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sheetId="1" r:id="rId5"/>
    <sheet state="visible" name="References" sheetId="2" r:id="rId6"/>
    <sheet state="visible" name="Circuits" sheetId="3" r:id="rId7"/>
    <sheet state="visible" name="Connections" sheetId="4" r:id="rId8"/>
    <sheet state="visible" name="FRG" sheetId="5" r:id="rId9"/>
    <sheet state="visible" name="Config" sheetId="6" r:id="rId10"/>
    <sheet state="visible" name="Settings" sheetId="7" r:id="rId11"/>
    <sheet state="visible" name="AdminOnly" sheetId="8" r:id="rId12"/>
    <sheet state="visible" name="WS GraphBIF" sheetId="9" r:id="rId13"/>
    <sheet state="visible" name="WS GraphHCD" sheetId="10" r:id="rId14"/>
    <sheet state="visible" name="WS GraphFRG" sheetId="11" r:id="rId15"/>
  </sheets>
  <definedNames>
    <definedName hidden="1" localSheetId="1" name="_xlnm._FilterDatabase">References!$A$1:$I$4106</definedName>
    <definedName hidden="1" localSheetId="2" name="_xlnm._FilterDatabase">Circuits!$A$1:$AA$4108</definedName>
    <definedName hidden="1" localSheetId="3" name="_xlnm._FilterDatabase">Connections!$A$1:$AJ$1049</definedName>
    <definedName hidden="1" localSheetId="4" name="Z_684C8613_A990_465D_8BA3_F1A3BAB3C46A_.wvu.FilterData">FRG!$BM$1:$BM$198</definedName>
    <definedName hidden="1" localSheetId="4" name="Z_3E088E2B_C53F_4771_9549_36E2E6ED4CF1_.wvu.FilterData">FRG!$A$1:$BX$198</definedName>
    <definedName hidden="1" localSheetId="1" name="Z_8C64D917_F7D5_475E_AB1B_63DA77F03899_.wvu.FilterData">References!$A$1:$W$210</definedName>
    <definedName hidden="1" localSheetId="4" name="Z_6A346567_8EF9_453A_A34D_612935F97A7A_.wvu.FilterData">FRG!$B$1:$BM$1</definedName>
  </definedNames>
  <calcPr/>
  <customWorkbookViews>
    <customWorkbookView activeSheetId="0" maximized="1" windowHeight="0" windowWidth="0" guid="{684C8613-A990-465D-8BA3-F1A3BAB3C46A}" name="Filter 2"/>
    <customWorkbookView activeSheetId="0" maximized="1" windowHeight="0" windowWidth="0" guid="{3E088E2B-C53F-4771-9549-36E2E6ED4CF1}" name="Filter 3"/>
    <customWorkbookView activeSheetId="0" maximized="1" windowHeight="0" windowWidth="0" guid="{8C64D917-F7D5-475E-AB1B-63DA77F03899}" name="ALL"/>
    <customWorkbookView activeSheetId="0" maximized="1" windowHeight="0" windowWidth="0" guid="{6A346567-8EF9-453A-A34D-612935F97A7A}" name="Filter 1"/>
  </customWorkbookViews>
</workbook>
</file>

<file path=xl/sharedStrings.xml><?xml version="1.0" encoding="utf-8"?>
<sst xmlns="http://schemas.openxmlformats.org/spreadsheetml/2006/main" count="528" uniqueCount="301">
  <si>
    <t>Contributor</t>
  </si>
  <si>
    <t>Project ID</t>
  </si>
  <si>
    <t>List of contributors</t>
  </si>
  <si>
    <t>Description</t>
  </si>
  <si>
    <t>BRA version</t>
  </si>
  <si>
    <t>Template-v2-2.bra</t>
  </si>
  <si>
    <t>Sheet Name</t>
  </si>
  <si>
    <t>Review End Line</t>
  </si>
  <si>
    <t>References</t>
  </si>
  <si>
    <t>Circuits</t>
  </si>
  <si>
    <t>Connections</t>
  </si>
  <si>
    <t>FRG</t>
  </si>
  <si>
    <t>Note: fill in "1" if you do not register any data</t>
  </si>
  <si>
    <t>[WS] ROI Circuits</t>
  </si>
  <si>
    <t>ROI_</t>
  </si>
  <si>
    <t>Projections</t>
  </si>
  <si>
    <t>Output Semantics (0)</t>
  </si>
  <si>
    <t>Process(0)</t>
  </si>
  <si>
    <t>Node ID</t>
  </si>
  <si>
    <t>Subnodes</t>
  </si>
  <si>
    <t>Circuit ID</t>
  </si>
  <si>
    <t>Projected Circuits</t>
  </si>
  <si>
    <t>Projected Circuits Validation</t>
  </si>
  <si>
    <t>Uniform Circuits</t>
  </si>
  <si>
    <t>Input Circuits</t>
  </si>
  <si>
    <t>Output Circuits</t>
  </si>
  <si>
    <t>[WS] Uniform Circuit Collections</t>
  </si>
  <si>
    <t>[WS] Merged Input Circuits</t>
  </si>
  <si>
    <t>[WS] Merged Input Circuit Collections</t>
  </si>
  <si>
    <t>[WS] Merged Output Circuits</t>
  </si>
  <si>
    <t>[WS] Merged Output Circuit Collections</t>
  </si>
  <si>
    <t>[WS] inROI (for Region Category)</t>
  </si>
  <si>
    <t>[WS] input (for Region Category)</t>
  </si>
  <si>
    <t>[WS] output (for Region Category)</t>
  </si>
  <si>
    <t>[WS] Number of outROI in the Uniform Circuits</t>
  </si>
  <si>
    <t>[WS] Circuit ID with Modulation Type</t>
  </si>
  <si>
    <t>[WS] Input Recursive-join Uniform</t>
  </si>
  <si>
    <t>[WS] Input Circuits with Modulation Type</t>
  </si>
  <si>
    <t>[WS] Output Semantics with Modulation Type</t>
  </si>
  <si>
    <t>Region Category</t>
  </si>
  <si>
    <t>Interface</t>
  </si>
  <si>
    <t>Implementation</t>
  </si>
  <si>
    <t>Capability&amp;Mechanism</t>
  </si>
  <si>
    <t>Capability&amp;Mechanism Review (LLM)</t>
  </si>
  <si>
    <t>Implementation of Uniform Circuit</t>
  </si>
  <si>
    <t>Capability</t>
  </si>
  <si>
    <t>Mechanism Synthesis Review (LLM)</t>
  </si>
  <si>
    <t>Requirements Realization by Interface Review (LLM)</t>
  </si>
  <si>
    <t>Requirements Realization by Interface</t>
  </si>
  <si>
    <t>Requirements Endorsement by Capability Review (LLM)</t>
  </si>
  <si>
    <t>Requirements</t>
  </si>
  <si>
    <t>Requirements Review (LLM)</t>
  </si>
  <si>
    <t>Output Semantics</t>
  </si>
  <si>
    <t>Output Semantics Review (LLM)</t>
  </si>
  <si>
    <t>Comments</t>
  </si>
  <si>
    <t>Contributor Response to Reviewers</t>
  </si>
  <si>
    <t>Status</t>
  </si>
  <si>
    <t>Review results</t>
  </si>
  <si>
    <t>Auto Error Codes</t>
  </si>
  <si>
    <t>Error Code-1</t>
  </si>
  <si>
    <t>Error Code-2</t>
  </si>
  <si>
    <t>Other Error Codes</t>
  </si>
  <si>
    <t>Review comments</t>
  </si>
  <si>
    <t>Reviewer</t>
  </si>
  <si>
    <t>Reviewed date</t>
  </si>
  <si>
    <t>Review Summary</t>
  </si>
  <si>
    <t xml:space="preserve">
&lt;&lt;mechanism to realize the capability&gt;&gt;
</t>
  </si>
  <si>
    <t>Configuration sheet</t>
  </si>
  <si>
    <t>Auto Configuration</t>
  </si>
  <si>
    <t>Link "FRG" Sheet</t>
  </si>
  <si>
    <t>This Spreadsheet ID</t>
  </si>
  <si>
    <t>1l3pDJaEAmQWwdQi0rcSETjBqeL1Q4AmMtEug90yJ1Fg</t>
  </si>
  <si>
    <t>WholeBIF file ID</t>
  </si>
  <si>
    <t>1Wt7pJKpi_mVKUeyziPuKcXQwB10u8b0T6RCz8gNe9fc</t>
  </si>
  <si>
    <t>https://docs.google.com/spreadsheets/d/1Wt7pJKpi_mVKUeyziPuKcXQwB10u8b0T6RCz8gNe9fc/edit#gid=906811205</t>
  </si>
  <si>
    <t>BRA data: Error code List (Master)</t>
  </si>
  <si>
    <t>1mCQOmjBRIx-k12a2x8uV3aSKKZ5dDW0na4bVnZtAzhM</t>
  </si>
  <si>
    <t>https://docs.google.com/spreadsheets/d/1mCQOmjBRIx-k12a2x8uV3aSKKZ5dDW0na4bVnZtAzhM/edit</t>
  </si>
  <si>
    <t>Output Semantics Generativity</t>
  </si>
  <si>
    <t>Process Synthesizability</t>
  </si>
  <si>
    <t>Confirmation Result</t>
  </si>
  <si>
    <t>Generatable</t>
  </si>
  <si>
    <t xml:space="preserve">Leaf process w/o synthesis </t>
  </si>
  <si>
    <t>ROI</t>
  </si>
  <si>
    <t>No errors found</t>
  </si>
  <si>
    <t>Probably generatable [W]</t>
  </si>
  <si>
    <t>Synthesizable</t>
  </si>
  <si>
    <t>inROI</t>
  </si>
  <si>
    <t>Less than 3 errors found</t>
  </si>
  <si>
    <t>Likely generatable [W]</t>
  </si>
  <si>
    <t>Probably synthesizable [W]</t>
  </si>
  <si>
    <t>Input</t>
  </si>
  <si>
    <t>More than 4 errors found</t>
  </si>
  <si>
    <t>Possibly generatable [W]</t>
  </si>
  <si>
    <t>Likely synthesizable [W]</t>
  </si>
  <si>
    <t>Output</t>
  </si>
  <si>
    <t>Not generatable [W]</t>
  </si>
  <si>
    <t>Possibly synthesizable [W]</t>
  </si>
  <si>
    <t>Input/Output</t>
  </si>
  <si>
    <t>Difficult to judge [W]</t>
  </si>
  <si>
    <t>Not synthesizable [W]</t>
  </si>
  <si>
    <t>Amaral, 1991</t>
  </si>
  <si>
    <t>Andersen, 2006</t>
  </si>
  <si>
    <t>Ango, 2019</t>
  </si>
  <si>
    <t>Apps, 2018</t>
  </si>
  <si>
    <t>Baker, 2018</t>
  </si>
  <si>
    <t>Barmack, 2000</t>
  </si>
  <si>
    <t>Basile, 2021</t>
  </si>
  <si>
    <t>Behrendt, 2013</t>
  </si>
  <si>
    <t>Benarroch, 2008</t>
  </si>
  <si>
    <t>Bohne, 2019</t>
  </si>
  <si>
    <t>Bolam, 2010</t>
  </si>
  <si>
    <t>Bonjean, 2012</t>
  </si>
  <si>
    <t>Bradfield, 2013</t>
  </si>
  <si>
    <t>Brun, 2002</t>
  </si>
  <si>
    <t>Bubb, 2017</t>
  </si>
  <si>
    <t>Burne, 1981</t>
  </si>
  <si>
    <t>Carcaud, 2017</t>
  </si>
  <si>
    <t>Chevaleyre, 2010</t>
  </si>
  <si>
    <t>Chiang, 2019</t>
  </si>
  <si>
    <t>Clascá, 2012</t>
  </si>
  <si>
    <t>Cohen, 1984</t>
  </si>
  <si>
    <t>Coudé, 2018</t>
  </si>
  <si>
    <t>Crittenden, 2011</t>
  </si>
  <si>
    <t>Cromer, 2007</t>
  </si>
  <si>
    <t>Crosson, 2013</t>
  </si>
  <si>
    <t>D’Angelo, 2013</t>
  </si>
  <si>
    <t>De Zeeuw, 2021</t>
  </si>
  <si>
    <t>Doig, 2017</t>
  </si>
  <si>
    <t>Economo, 2018</t>
  </si>
  <si>
    <t>Fan, 2016</t>
  </si>
  <si>
    <t>Fiore, 2015</t>
  </si>
  <si>
    <t>Frank, 2006</t>
  </si>
  <si>
    <t>Fujita, 2020</t>
  </si>
  <si>
    <t>Fukawa, 2020</t>
  </si>
  <si>
    <t>Galvan, 2015</t>
  </si>
  <si>
    <t>Gou, 2019</t>
  </si>
  <si>
    <t>Guo, 2020</t>
  </si>
  <si>
    <t>Habas, 2019</t>
  </si>
  <si>
    <t>Harris, 2015</t>
  </si>
  <si>
    <t>Haynes, 2013</t>
  </si>
  <si>
    <t>Hikosaka, 2000</t>
  </si>
  <si>
    <t>Hikosaka, 2007</t>
  </si>
  <si>
    <t>Ito, 1977</t>
  </si>
  <si>
    <t>Izawa, 2007</t>
  </si>
  <si>
    <t>Janak, 2015</t>
  </si>
  <si>
    <t>Jasmin, 2019</t>
  </si>
  <si>
    <t>Jimsheleishvili, 2020-rf</t>
  </si>
  <si>
    <t>Jones, 1998</t>
  </si>
  <si>
    <t>Ju, 2018</t>
  </si>
  <si>
    <t>Kaas, 2000</t>
  </si>
  <si>
    <t>Kahan, 2012</t>
  </si>
  <si>
    <t>Kaneko, 1997</t>
  </si>
  <si>
    <t>Kaneko, 2013</t>
  </si>
  <si>
    <t>Kesner, 2007</t>
  </si>
  <si>
    <t>Kheradmand, 2011</t>
  </si>
  <si>
    <t>Klink, 1997</t>
  </si>
  <si>
    <t>Knierim, 2014</t>
  </si>
  <si>
    <t>Knierim, 2015</t>
  </si>
  <si>
    <t>Knierim, 2021</t>
  </si>
  <si>
    <t>Koban, 2021</t>
  </si>
  <si>
    <t>Kohara, 2013</t>
  </si>
  <si>
    <t>Kojima, 2018</t>
  </si>
  <si>
    <t>Kojima, 2021</t>
  </si>
  <si>
    <t>Krack, 2010</t>
  </si>
  <si>
    <t>Krueger, 2019</t>
  </si>
  <si>
    <t>Lee, 2007</t>
  </si>
  <si>
    <t>Lemieux, 2014</t>
  </si>
  <si>
    <t>Llins, 2002</t>
  </si>
  <si>
    <t>Llorens-Martín, 2014</t>
  </si>
  <si>
    <t>Lu, 2012</t>
  </si>
  <si>
    <t>Luo, 2018</t>
  </si>
  <si>
    <t>Majka, 2020</t>
  </si>
  <si>
    <t>Markov, 2013</t>
  </si>
  <si>
    <t>Matsuno, 2016</t>
  </si>
  <si>
    <t>May, 2019</t>
  </si>
  <si>
    <t>McNaughton, 1977</t>
  </si>
  <si>
    <t>Missal, 2000</t>
  </si>
  <si>
    <t>Mitchell, 2015</t>
  </si>
  <si>
    <t>Miyachi, 2006</t>
  </si>
  <si>
    <t>Miyamoto, 2021</t>
  </si>
  <si>
    <t>Monakow, 1978</t>
  </si>
  <si>
    <t>Moser, 2010</t>
  </si>
  <si>
    <t>Mungall, 2012</t>
  </si>
  <si>
    <t>Munoz, 1993</t>
  </si>
  <si>
    <t>Noda, 1990</t>
  </si>
  <si>
    <t>Ohara, 2018</t>
  </si>
  <si>
    <t>OKeefe, 1976</t>
  </si>
  <si>
    <t>OReilly, 2012-ne</t>
  </si>
  <si>
    <t>Pascual, 2013</t>
  </si>
  <si>
    <t>Passingham, 2012</t>
  </si>
  <si>
    <t>Paxinos, 2012</t>
  </si>
  <si>
    <t>PereiradeVasconcelos, 2015</t>
  </si>
  <si>
    <t>Petrides, 2012</t>
  </si>
  <si>
    <t>Piantoni, 2016</t>
  </si>
  <si>
    <t>Pierce, 2020</t>
  </si>
  <si>
    <t>Pitkänen, 2000</t>
  </si>
  <si>
    <t>Quinet, 2020</t>
  </si>
  <si>
    <t>Rajakumar, 1993</t>
  </si>
  <si>
    <t>Ralph, 2016</t>
  </si>
  <si>
    <t>Reference ID</t>
  </si>
  <si>
    <t>Robertson, 1998</t>
  </si>
  <si>
    <t>Robinson, 1972</t>
  </si>
  <si>
    <t>Rodrigo, 2018</t>
  </si>
  <si>
    <t>Rodriguez, 2004</t>
  </si>
  <si>
    <t>Rogers, 2013</t>
  </si>
  <si>
    <t>Rolls, 1998</t>
  </si>
  <si>
    <t>Rolls, 2007</t>
  </si>
  <si>
    <t>Rolls, 2013</t>
  </si>
  <si>
    <t>Romanski, 2009</t>
  </si>
  <si>
    <t>Rondi-Reig, 2014</t>
  </si>
  <si>
    <t>Rowland, 2013</t>
  </si>
  <si>
    <t>Saga, 2017</t>
  </si>
  <si>
    <t>Schnyder, 1985</t>
  </si>
  <si>
    <t>Scott, 2017</t>
  </si>
  <si>
    <t>Shepherd, 2013</t>
  </si>
  <si>
    <t>Shepherd, 2017</t>
  </si>
  <si>
    <t>Shin, 2011</t>
  </si>
  <si>
    <t>Shook, 1990</t>
  </si>
  <si>
    <t>Smith, 2011</t>
  </si>
  <si>
    <t>Solari, 2011</t>
  </si>
  <si>
    <t>Sugiuchi, 2011</t>
  </si>
  <si>
    <t>Sugiuchi, 2013</t>
  </si>
  <si>
    <t>Takahashi, 2018</t>
  </si>
  <si>
    <t>Takahashi, 2021</t>
  </si>
  <si>
    <t>Tamamaki, 1993</t>
  </si>
  <si>
    <t>Tanji, 2008</t>
  </si>
  <si>
    <t>Verwer, 1997</t>
  </si>
  <si>
    <t>Wagner, 2020</t>
  </si>
  <si>
    <t>Wang, 2013</t>
  </si>
  <si>
    <t>Wang, 2020</t>
  </si>
  <si>
    <t>Wang, 2021</t>
  </si>
  <si>
    <t>Wei, 2016</t>
  </si>
  <si>
    <t>White, 2017</t>
  </si>
  <si>
    <t>Witter, 2000</t>
  </si>
  <si>
    <t>Wolpert, 1998</t>
  </si>
  <si>
    <t>Yamakawa, 2020</t>
  </si>
  <si>
    <t>Yamakawa, 2020a</t>
  </si>
  <si>
    <t>Zhang, 2016</t>
  </si>
  <si>
    <t>Zhang, 2019</t>
  </si>
  <si>
    <t>Zhaoping, 2016</t>
  </si>
  <si>
    <t>Workspace Sheet</t>
  </si>
  <si>
    <t># layout: organic</t>
  </si>
  <si>
    <t>脳型ソフトウェア設計ガイド _ver.2</t>
  </si>
  <si>
    <t>for BIF Generator of GraphGenerator</t>
  </si>
  <si>
    <t>#</t>
  </si>
  <si>
    <t># stylename: nodeshape</t>
  </si>
  <si>
    <t># styles: { "input or output": "shape=ellipse;fillColor=#EEEEEE", \</t>
  </si>
  <si>
    <t>#   "Uniform":   "shape=rectangle", \</t>
  </si>
  <si>
    <t>#   "Not Uniform":  "shape=rectangle;rounded=1" }</t>
  </si>
  <si>
    <t># connect: {"from": "relationExcitatory", "to": "P1_Circuit_ID", "label": "", "style": "curved=1;fontSize=11;"}</t>
  </si>
  <si>
    <t># connect: {"from": "relationInhibitory", "to": "P1_Circuit_ID", "label": "", "style": "curved=1;fontSize=11;endArrow=oval;endFill=1;strokeColor=#007FFF;strokeWidth=2;"}</t>
  </si>
  <si>
    <t># connect: {"from": "relationModulatory", "to": "P1_Circuit_ID", "label": "", "style": "curved=1;fontSize=11;strokeWidth=2;endArrow=ERmany;endFill=1;"}</t>
  </si>
  <si>
    <t># connect: {"from": "relationMisc",   "to": "P1_Circuit_ID", "label": "",  "style": "curved=1;fontSize=11;strokeWidth=2;"}</t>
  </si>
  <si>
    <t># connect: {"from": "relationBlank",  "to": "P1_Circuit_ID", "label": "",   "style": "curved=1;fontSize=11;endArrow=cross;strokeColor=#FF0000;strokeWidth=2;dashed=1;"}</t>
  </si>
  <si>
    <t># ignore: relationExcitatory,relationInhibitory,relationModulatory,relationMisc,relationBlank,nodeshape</t>
  </si>
  <si>
    <t>Sender Circuit ID (sCID)</t>
  </si>
  <si>
    <t>sCID relation</t>
  </si>
  <si>
    <t>Notation of sCID in Literature</t>
  </si>
  <si>
    <t>Receiver Circuit ID (rCID)</t>
  </si>
  <si>
    <t>rCID relation</t>
  </si>
  <si>
    <t>Notation of rCID in Literature</t>
  </si>
  <si>
    <t>P1_Circuit_ID</t>
  </si>
  <si>
    <t>P6_Receiver_Circuits</t>
  </si>
  <si>
    <t>P3_Modulation_Type</t>
  </si>
  <si>
    <t>relationExcitatory</t>
  </si>
  <si>
    <t>relationInhibitory</t>
  </si>
  <si>
    <t>relationModulatory</t>
  </si>
  <si>
    <t>relationMisc</t>
  </si>
  <si>
    <t>relationBlank</t>
  </si>
  <si>
    <t>P2_Input_Output</t>
  </si>
  <si>
    <t>P7_Uniform</t>
  </si>
  <si>
    <t>nodeshape</t>
  </si>
  <si>
    <t>P4_Transmitter</t>
  </si>
  <si>
    <t>P5_Size</t>
  </si>
  <si>
    <t># layout: verticalflow</t>
  </si>
  <si>
    <t>for HCD Generator of GraphGenerator</t>
  </si>
  <si>
    <t>#   "component":  "shape=rectangle", \</t>
  </si>
  <si>
    <t>#   "group node":  "shape=rectangle;rounded=1" }</t>
  </si>
  <si>
    <t># connect: {"from": "relationExcitatory", "to": "P2_Circuit_ID", "label": "", "style": "curved=1;fontSize=11;"}</t>
  </si>
  <si>
    <t># connect: {"from": "relationInhibitory", "to": "P2_Circuit_ID", "label": "", "style": "curved=1;fontSize=11;endArrow=oval;endFill=1;strokeColor=#007FFF;strokeWidth=2;"}</t>
  </si>
  <si>
    <t># connect: {"from": "relationModulatory", "to": "P2_Circuit_ID", "label": "", "style": "curved=1;fontSize=11;strokeWidth=2;endArrow=ERmany;endFill=1;"}</t>
  </si>
  <si>
    <t># connect: {"from": "relationMisc",   "to": "P2_Circuit_ID", "label": "",  "style": "curved=1;fontSize=11;strokeWidth=2;"}</t>
  </si>
  <si>
    <t># connect: {"from": "relationBlank",  "to": "P2_Circuit_ID", "label": "",   "style": "curved=1;fontSize=11;endArrow=cross;strokeColor=#FF0000;strokeWidth=2;dashed=1;"}</t>
  </si>
  <si>
    <t># ignore: Projected_Circuits,Modulation_Type,relationExcitatory,relationInhibitory,relationModulatory,relationMisc,relationBlank,Region_Category,Subnodes,nodeshape</t>
  </si>
  <si>
    <t>P2_Circuit_ID</t>
  </si>
  <si>
    <t>Projected_Circuits</t>
  </si>
  <si>
    <t>P3_Transmitter</t>
  </si>
  <si>
    <t>Modulation_Type</t>
  </si>
  <si>
    <t>Region_Category</t>
  </si>
  <si>
    <t>P1_Node_ID</t>
  </si>
  <si>
    <t>P4_Capability</t>
  </si>
  <si>
    <t>P5_Output_Semantics</t>
  </si>
  <si>
    <t>link</t>
  </si>
  <si>
    <t>for FRG Generator of GraphGenerator</t>
  </si>
  <si>
    <t># styles: { "component":  "shape=rectangle;whiteSpace=wrap;", \</t>
  </si>
  <si>
    <t>#   "group node":  "shape=rectangle;rounded=1;whiteSpace=wrap;" }</t>
  </si>
  <si>
    <t># connect: {"from": "Subnodes", "to": "P1_Node_ID", "style": "curved=1;fontSize=11;"}</t>
  </si>
  <si>
    <t># ignore: Subnodes,nodeshape</t>
  </si>
  <si>
    <t>P2_Interface</t>
  </si>
  <si>
    <t>P3_Requirements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</si>
</sst>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yyyy/mm/dd"/>
    <numFmt numFmtId="166" formatCode="yyyy/m/d"/>
  </numFmts>
  <fonts count="35">
    <font>
      <sz val="10.0"/>
      <color rgb="FF000000"/>
      <name val="Arial"/>
      <scheme val="minor"/>
    </font>
    <font>
      <color theme="1"/>
      <name val="Arial"/>
    </font>
    <font>
      <b/>
      <color theme="1"/>
      <name val="Arial"/>
    </font>
    <font>
      <color rgb="FFFF0000"/>
      <name val="Arial"/>
    </font>
    <font>
      <color theme="1"/>
      <name val="Arial"/>
      <scheme val="minor"/>
    </font>
    <font>
      <sz val="9.0"/>
      <color rgb="FFFF0000"/>
      <name val="Arial"/>
      <scheme val="minor"/>
    </font>
    <font>
      <b/>
      <color rgb="FF222222"/>
      <name val="Arial"/>
    </font>
    <font>
      <u/>
      <color rgb="FF1155CC"/>
      <name val="Arial"/>
    </font>
    <font>
      <sz val="6.0"/>
      <color theme="1"/>
      <name val="Arial"/>
    </font>
    <font>
      <b/>
      <color rgb="FF000000"/>
      <name val="Arial"/>
    </font>
    <font>
      <u/>
      <color rgb="FF1155CC"/>
      <name val="Arial"/>
    </font>
    <font>
      <color rgb="FF212121"/>
      <name val="Arial"/>
    </font>
    <font>
      <sz val="11.0"/>
      <color theme="1"/>
      <name val="Inconsolata"/>
    </font>
    <font>
      <u/>
      <color rgb="FF1155CC"/>
      <name val="Arial"/>
    </font>
    <font>
      <u/>
      <color rgb="FF0000FF"/>
      <name val="Arial"/>
    </font>
    <font>
      <u/>
      <color rgb="FF0000FF"/>
      <name val="Arial"/>
    </font>
    <font>
      <u/>
      <color rgb="FF1155CC"/>
      <name val="Arial"/>
    </font>
    <font>
      <sz val="9.0"/>
      <color theme="1"/>
      <name val="Arial"/>
    </font>
    <font>
      <u/>
      <color theme="1"/>
      <name val="Arial"/>
    </font>
    <font>
      <color rgb="FF000000"/>
      <name val="Arial"/>
    </font>
    <font>
      <b/>
      <sz val="18.0"/>
      <color theme="1"/>
      <name val="Arial"/>
      <scheme val="minor"/>
    </font>
    <font>
      <b/>
      <color theme="1"/>
      <name val="Arial"/>
      <scheme val="minor"/>
    </font>
    <font>
      <u/>
      <color rgb="FF0000FF"/>
    </font>
    <font/>
    <font>
      <u/>
      <color rgb="FF1155CC"/>
    </font>
    <font>
      <u/>
      <color rgb="FF1155CC"/>
      <name val="Arial"/>
    </font>
    <font>
      <sz val="11.0"/>
      <color rgb="FF000000"/>
      <name val="Inconsolata"/>
    </font>
    <font>
      <sz val="11.0"/>
      <color rgb="FF1D1C1D"/>
      <name val="Slack-Lato"/>
    </font>
    <font>
      <sz val="11.0"/>
      <color rgb="FF1D1C1D"/>
      <name val="Arial"/>
    </font>
    <font>
      <u/>
      <color rgb="FF0000FF"/>
    </font>
    <font>
      <b/>
      <sz val="18.0"/>
      <color theme="1"/>
      <name val="Arial"/>
    </font>
    <font>
      <color rgb="FF34A853"/>
      <name val="Inconsolata"/>
    </font>
    <font>
      <u/>
      <color theme="1"/>
      <name val="Arial"/>
      <scheme val="minor"/>
    </font>
    <font>
      <sz val="12.0"/>
      <color theme="1"/>
      <name val="&quot;Noto Sans JP&quot;"/>
    </font>
    <font>
      <color theme="1"/>
      <name val="Inconsolata"/>
    </font>
  </fonts>
  <fills count="19">
    <fill>
      <patternFill patternType="none"/>
    </fill>
    <fill>
      <patternFill patternType="lightGray"/>
    </fill>
    <fill>
      <patternFill patternType="solid">
        <fgColor rgb="FFFCE5CD"/>
        <bgColor rgb="FFFCE5CD"/>
      </patternFill>
    </fill>
    <fill>
      <patternFill patternType="solid">
        <fgColor rgb="FFB7E1CD"/>
        <bgColor rgb="FFB7E1CD"/>
      </patternFill>
    </fill>
    <fill>
      <patternFill patternType="solid">
        <fgColor rgb="FFDCDBDA"/>
        <bgColor rgb="FFDCDBDA"/>
      </patternFill>
    </fill>
    <fill>
      <patternFill patternType="solid">
        <fgColor rgb="FFEFEFEF"/>
        <bgColor rgb="FFEFEFEF"/>
      </patternFill>
    </fill>
    <fill>
      <patternFill patternType="solid">
        <fgColor rgb="FFF3F3F3"/>
        <bgColor rgb="FFF3F3F3"/>
      </patternFill>
    </fill>
    <fill>
      <patternFill patternType="solid">
        <fgColor rgb="FFD9D2E9"/>
        <bgColor rgb="FFD9D2E9"/>
      </patternFill>
    </fill>
    <fill>
      <patternFill patternType="solid">
        <fgColor rgb="FFEAD1DC"/>
        <bgColor rgb="FFEAD1DC"/>
      </patternFill>
    </fill>
    <fill>
      <patternFill patternType="solid">
        <fgColor rgb="FFF4CCCC"/>
        <bgColor rgb="FFF4CCCC"/>
      </patternFill>
    </fill>
    <fill>
      <patternFill patternType="solid">
        <fgColor rgb="FFB7B7B7"/>
        <bgColor rgb="FFB7B7B7"/>
      </patternFill>
    </fill>
    <fill>
      <patternFill patternType="solid">
        <fgColor rgb="FFD9D9D9"/>
        <bgColor rgb="FFD9D9D9"/>
      </patternFill>
    </fill>
    <fill>
      <patternFill patternType="solid">
        <fgColor rgb="FFFFFFFF"/>
        <bgColor rgb="FFFFFFFF"/>
      </patternFill>
    </fill>
    <fill>
      <patternFill patternType="solid">
        <fgColor rgb="FFA4C3F3"/>
        <bgColor rgb="FFA4C3F3"/>
      </patternFill>
    </fill>
    <fill>
      <patternFill patternType="solid">
        <fgColor rgb="FF97BAF1"/>
        <bgColor rgb="FF97BAF1"/>
      </patternFill>
    </fill>
    <fill>
      <patternFill patternType="solid">
        <fgColor rgb="FFBED4F6"/>
        <bgColor rgb="FFBED4F6"/>
      </patternFill>
    </fill>
    <fill>
      <patternFill patternType="solid">
        <fgColor rgb="FFFFFF00"/>
        <bgColor rgb="FFFFFF00"/>
      </patternFill>
    </fill>
    <fill>
      <patternFill patternType="solid">
        <fgColor rgb="FFFF0000"/>
        <bgColor rgb="FFFF0000"/>
      </patternFill>
    </fill>
    <fill>
      <patternFill patternType="solid">
        <fgColor rgb="FFCCCCCC"/>
        <bgColor rgb="FFCCCCCC"/>
      </patternFill>
    </fill>
  </fills>
  <borders count="9">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border>
    <border>
      <left style="thin">
        <color rgb="FF000000"/>
      </left>
      <right style="thin">
        <color rgb="FF000000"/>
      </right>
      <top style="thin">
        <color rgb="FF000000"/>
      </top>
    </border>
  </borders>
  <cellStyleXfs count="1">
    <xf borderId="0" fillId="0" fontId="0" numFmtId="0" applyAlignment="1" applyFont="1"/>
  </cellStyleXfs>
  <cellXfs count="244">
    <xf borderId="0" fillId="0" fontId="0" numFmtId="0" xfId="0" applyAlignment="1" applyFont="1">
      <alignment readingOrder="0" shrinkToFit="0" vertical="bottom" wrapText="0"/>
    </xf>
    <xf borderId="0" fillId="2" fontId="1" numFmtId="0" xfId="0" applyAlignment="1" applyFill="1" applyFont="1">
      <alignment vertical="bottom"/>
    </xf>
    <xf borderId="1" fillId="2" fontId="1" numFmtId="0" xfId="0" applyAlignment="1" applyBorder="1" applyFill="1" applyFont="1">
      <alignment vertical="bottom"/>
    </xf>
    <xf borderId="1" fillId="3" fontId="1" numFmtId="0" xfId="0" applyAlignment="1" applyBorder="1" applyFill="1" applyFont="1">
      <alignment vertical="bottom"/>
    </xf>
    <xf borderId="1" fillId="4" fontId="1" numFmtId="0" xfId="0" applyAlignment="1" applyBorder="1" applyFill="1" applyFont="1">
      <alignment readingOrder="0" vertical="bottom"/>
    </xf>
    <xf borderId="0" fillId="5" fontId="1" numFmtId="0" xfId="0" applyAlignment="1" applyFill="1" applyFont="1">
      <alignment shrinkToFit="0" vertical="top" wrapText="1"/>
    </xf>
    <xf borderId="1" fillId="2" fontId="2" numFmtId="49" xfId="0" applyAlignment="1" applyBorder="1" applyFill="1" applyFont="1" applyNumberFormat="1">
      <alignment shrinkToFit="0" vertical="top" wrapText="1"/>
    </xf>
    <xf borderId="1" fillId="2" fontId="2" numFmtId="0" xfId="0" applyAlignment="1" applyBorder="1" applyFill="1" applyFont="1">
      <alignment shrinkToFit="0" vertical="top" wrapText="1"/>
    </xf>
    <xf borderId="1" fillId="0" fontId="1" numFmtId="0" xfId="0" applyAlignment="1" applyBorder="1" applyFont="1">
      <alignment vertical="bottom"/>
    </xf>
    <xf borderId="1" fillId="5" fontId="1" numFmtId="0" xfId="0" applyAlignment="1" applyBorder="1" applyFill="1" applyFont="1">
      <alignment shrinkToFit="0" vertical="top" wrapText="1"/>
    </xf>
    <xf borderId="2" fillId="0" fontId="1" numFmtId="0" xfId="0" applyAlignment="1" applyBorder="1" applyFont="1">
      <alignment vertical="bottom"/>
    </xf>
    <xf borderId="1" fillId="0" fontId="1" numFmtId="0" xfId="0" applyAlignment="1" applyBorder="1" applyFont="1">
      <alignment readingOrder="0" vertical="bottom"/>
    </xf>
    <xf borderId="1" fillId="3" fontId="2" numFmtId="0" xfId="0" applyAlignment="1" applyBorder="1" applyFill="1" applyFont="1">
      <alignment shrinkToFit="0" vertical="top" wrapText="1"/>
    </xf>
    <xf borderId="3" fillId="0" fontId="3" numFmtId="0" xfId="0" applyAlignment="1" applyBorder="1" applyFont="1">
      <alignment readingOrder="0" vertical="bottom"/>
    </xf>
    <xf borderId="1" fillId="5" fontId="2" numFmtId="0" xfId="0" applyAlignment="1" applyBorder="1" applyFill="1" applyFont="1">
      <alignment shrinkToFit="0" vertical="top" wrapText="1"/>
    </xf>
    <xf borderId="1" fillId="6" fontId="4" numFmtId="0" xfId="0" applyAlignment="1" applyBorder="1" applyFill="1" applyFont="1">
      <alignment readingOrder="0"/>
    </xf>
    <xf borderId="1" fillId="2" fontId="4" numFmtId="0" xfId="0" applyAlignment="1" applyBorder="1" applyFill="1" applyFont="1">
      <alignment readingOrder="0"/>
    </xf>
    <xf borderId="0" fillId="0" fontId="4" numFmtId="0" xfId="0" applyAlignment="1" applyFont="1">
      <alignment readingOrder="0"/>
    </xf>
    <xf borderId="1" fillId="0" fontId="4" numFmtId="0" xfId="0" applyAlignment="1" applyBorder="1" applyFont="1">
      <alignment readingOrder="0"/>
    </xf>
    <xf borderId="1" fillId="2" fontId="2" numFmtId="164" xfId="0" applyAlignment="1" applyBorder="1" applyFill="1" applyFont="1" applyNumberFormat="1">
      <alignment shrinkToFit="0" vertical="top" wrapText="1"/>
    </xf>
    <xf borderId="0" fillId="0" fontId="5" numFmtId="0" xfId="0" applyAlignment="1" applyFont="1">
      <alignment readingOrder="0"/>
    </xf>
    <xf borderId="1" fillId="7" fontId="2" numFmtId="0" xfId="0" applyAlignment="1" applyBorder="1" applyFill="1" applyFont="1">
      <alignment shrinkToFit="0" vertical="top" wrapText="1"/>
    </xf>
    <xf borderId="1" fillId="2" fontId="2" numFmtId="2" xfId="0" applyAlignment="1" applyBorder="1" applyFill="1" applyFont="1" applyNumberFormat="1">
      <alignment shrinkToFit="0" vertical="top" wrapText="1"/>
    </xf>
    <xf borderId="1" fillId="5" fontId="2" numFmtId="0" xfId="0" applyAlignment="1" applyBorder="1" applyFill="1" applyFont="1">
      <alignment readingOrder="0" shrinkToFit="0" vertical="top" wrapText="1"/>
    </xf>
    <xf borderId="1" fillId="8" fontId="2" numFmtId="0" xfId="0" applyAlignment="1" applyBorder="1" applyFill="1" applyFont="1">
      <alignment shrinkToFit="0" vertical="top" wrapText="1"/>
    </xf>
    <xf borderId="1" fillId="5" fontId="6" numFmtId="164" xfId="0" applyAlignment="1" applyBorder="1" applyFill="1" applyFont="1" applyNumberFormat="1">
      <alignment shrinkToFit="0" vertical="top" wrapText="1"/>
    </xf>
    <xf borderId="1" fillId="8" fontId="2" numFmtId="0" xfId="0" applyAlignment="1" applyBorder="1" applyFill="1" applyFont="1">
      <alignment readingOrder="0" shrinkToFit="0" vertical="top" wrapText="1"/>
    </xf>
    <xf borderId="1" fillId="5" fontId="2" numFmtId="164" xfId="0" applyAlignment="1" applyBorder="1" applyFill="1" applyFont="1" applyNumberFormat="1">
      <alignment shrinkToFit="0" vertical="top" wrapText="1"/>
    </xf>
    <xf borderId="1" fillId="5" fontId="2" numFmtId="2" xfId="0" applyAlignment="1" applyBorder="1" applyFill="1" applyFont="1" applyNumberFormat="1">
      <alignment shrinkToFit="0" vertical="top" wrapText="1"/>
    </xf>
    <xf borderId="1" fillId="3" fontId="2" numFmtId="0" xfId="0" applyAlignment="1" applyBorder="1" applyFill="1" applyFont="1">
      <alignment readingOrder="0" shrinkToFit="0" vertical="top" wrapText="1"/>
    </xf>
    <xf borderId="1" fillId="7" fontId="2" numFmtId="2" xfId="0" applyAlignment="1" applyBorder="1" applyFill="1" applyFont="1" applyNumberFormat="1">
      <alignment shrinkToFit="0" vertical="top" wrapText="1"/>
    </xf>
    <xf borderId="1" fillId="5" fontId="7" numFmtId="0" xfId="0" applyAlignment="1" applyBorder="1" applyFill="1" applyFont="1">
      <alignment shrinkToFit="0" vertical="top" wrapText="1"/>
    </xf>
    <xf borderId="1" fillId="9" fontId="2" numFmtId="0" xfId="0" applyAlignment="1" applyBorder="1" applyFill="1" applyFont="1">
      <alignment shrinkToFit="0" vertical="top" wrapText="1"/>
    </xf>
    <xf borderId="1" fillId="10" fontId="2" numFmtId="0" xfId="0" applyAlignment="1" applyBorder="1" applyFill="1" applyFont="1">
      <alignment readingOrder="0" shrinkToFit="0" vertical="top" wrapText="1"/>
    </xf>
    <xf borderId="1" fillId="10" fontId="2" numFmtId="0" xfId="0" applyAlignment="1" applyBorder="1" applyFill="1" applyFont="1">
      <alignment shrinkToFit="0" vertical="top" wrapText="1"/>
    </xf>
    <xf borderId="1" fillId="0" fontId="1" numFmtId="0" xfId="0" applyAlignment="1" applyBorder="1" applyFont="1">
      <alignment shrinkToFit="0" vertical="top" wrapText="1"/>
    </xf>
    <xf borderId="0" fillId="0" fontId="2" numFmtId="0" xfId="0" applyAlignment="1" applyFont="1">
      <alignment shrinkToFit="0" vertical="top" wrapText="1"/>
    </xf>
    <xf borderId="2" fillId="0" fontId="8" numFmtId="0" xfId="0" applyAlignment="1" applyBorder="1" applyFont="1">
      <alignment shrinkToFit="0" vertical="top" wrapText="1"/>
    </xf>
    <xf borderId="1" fillId="0" fontId="1" numFmtId="0" xfId="0" applyAlignment="1" applyBorder="1" applyFont="1">
      <alignment readingOrder="0" shrinkToFit="0" vertical="top" wrapText="1"/>
    </xf>
    <xf borderId="1" fillId="5" fontId="1" numFmtId="0" xfId="0" applyAlignment="1" applyBorder="1" applyFill="1" applyFont="1">
      <alignment horizontal="left" shrinkToFit="0" vertical="top" wrapText="1"/>
    </xf>
    <xf borderId="2" fillId="0" fontId="1" numFmtId="0" xfId="0" applyAlignment="1" applyBorder="1" applyFont="1">
      <alignment shrinkToFit="0" vertical="top" wrapText="1"/>
    </xf>
    <xf borderId="2" fillId="0" fontId="1" numFmtId="0" xfId="0" applyAlignment="1" applyBorder="1" applyFont="1">
      <alignment vertical="top"/>
    </xf>
    <xf borderId="1" fillId="0" fontId="1" numFmtId="0" xfId="0" applyAlignment="1" applyBorder="1" applyFont="1">
      <alignment shrinkToFit="0" vertical="top" wrapText="1"/>
    </xf>
    <xf borderId="1" fillId="0" fontId="1" numFmtId="0" xfId="0" applyAlignment="1" applyBorder="1" applyFont="1">
      <alignment vertical="top"/>
    </xf>
    <xf borderId="1" fillId="0" fontId="1" numFmtId="0" xfId="0" applyAlignment="1" applyBorder="1" applyFont="1">
      <alignment horizontal="center" readingOrder="0" shrinkToFit="0" vertical="top" wrapText="1"/>
    </xf>
    <xf borderId="2" fillId="0" fontId="1" numFmtId="0" xfId="0" applyAlignment="1" applyBorder="1" applyFont="1">
      <alignment vertical="top"/>
    </xf>
    <xf borderId="1" fillId="5" fontId="1" numFmtId="0" xfId="0" applyAlignment="1" applyBorder="1" applyFill="1" applyFont="1">
      <alignment readingOrder="0" shrinkToFit="0" vertical="top" wrapText="1"/>
    </xf>
    <xf borderId="1" fillId="0" fontId="1" numFmtId="0" xfId="0" applyAlignment="1" applyBorder="1" applyFont="1">
      <alignment readingOrder="0" vertical="top"/>
    </xf>
    <xf borderId="2" fillId="0" fontId="1" numFmtId="2" xfId="0" applyAlignment="1" applyBorder="1" applyFont="1" applyNumberFormat="1">
      <alignment shrinkToFit="0" vertical="top" wrapText="1"/>
    </xf>
    <xf borderId="1" fillId="0" fontId="1" numFmtId="165" xfId="0" applyAlignment="1" applyBorder="1" applyFont="1" applyNumberFormat="1">
      <alignment readingOrder="0" vertical="top"/>
    </xf>
    <xf borderId="1" fillId="0" fontId="4" numFmtId="0" xfId="0" applyAlignment="1" applyBorder="1" applyFont="1">
      <alignment readingOrder="0" shrinkToFit="0" vertical="top" wrapText="1"/>
    </xf>
    <xf borderId="2" fillId="0" fontId="1" numFmtId="2" xfId="0" applyAlignment="1" applyBorder="1" applyFont="1" applyNumberFormat="1">
      <alignment vertical="top"/>
    </xf>
    <xf borderId="3" fillId="0" fontId="1" numFmtId="0" xfId="0" applyAlignment="1" applyBorder="1" applyFont="1">
      <alignment shrinkToFit="0" vertical="top" wrapText="1"/>
    </xf>
    <xf borderId="1" fillId="11" fontId="2" numFmtId="49" xfId="0" applyAlignment="1" applyBorder="1" applyFill="1" applyFont="1" applyNumberFormat="1">
      <alignment horizontal="left" readingOrder="0" vertical="top"/>
    </xf>
    <xf borderId="4" fillId="0" fontId="8" numFmtId="0" xfId="0" applyAlignment="1" applyBorder="1" applyFont="1">
      <alignment shrinkToFit="0" vertical="top" wrapText="1"/>
    </xf>
    <xf borderId="4" fillId="0" fontId="1" numFmtId="0" xfId="0" applyAlignment="1" applyBorder="1" applyFont="1">
      <alignment vertical="top"/>
    </xf>
    <xf borderId="0" fillId="5" fontId="2" numFmtId="49" xfId="0" applyAlignment="1" applyFill="1" applyFont="1" applyNumberFormat="1">
      <alignment horizontal="left" vertical="top"/>
    </xf>
    <xf borderId="3" fillId="0" fontId="1" numFmtId="0" xfId="0" applyAlignment="1" applyBorder="1" applyFont="1">
      <alignment vertical="top"/>
    </xf>
    <xf borderId="1" fillId="5" fontId="2" numFmtId="0" xfId="0" applyAlignment="1" applyBorder="1" applyFill="1" applyFont="1">
      <alignment horizontal="left" shrinkToFit="0" vertical="top" wrapText="1"/>
    </xf>
    <xf borderId="2" fillId="5" fontId="1" numFmtId="0" xfId="0" applyAlignment="1" applyBorder="1" applyFill="1" applyFont="1">
      <alignment shrinkToFit="0" vertical="top" wrapText="1"/>
    </xf>
    <xf borderId="4" fillId="0" fontId="1" numFmtId="0" xfId="0" applyAlignment="1" applyBorder="1" applyFont="1">
      <alignment shrinkToFit="0" vertical="top" wrapText="1"/>
    </xf>
    <xf borderId="1" fillId="0" fontId="1" numFmtId="166" xfId="0" applyAlignment="1" applyBorder="1" applyFont="1" applyNumberFormat="1">
      <alignment readingOrder="0" shrinkToFit="0" vertical="top" wrapText="1"/>
    </xf>
    <xf borderId="2" fillId="5" fontId="1" numFmtId="164" xfId="0" applyAlignment="1" applyBorder="1" applyFill="1" applyFont="1" applyNumberFormat="1">
      <alignment vertical="top"/>
    </xf>
    <xf borderId="1" fillId="10" fontId="1" numFmtId="166" xfId="0" applyAlignment="1" applyBorder="1" applyFill="1" applyFont="1" applyNumberFormat="1">
      <alignment readingOrder="0" shrinkToFit="0" vertical="top" wrapText="1"/>
    </xf>
    <xf borderId="2" fillId="5" fontId="1" numFmtId="164" xfId="0" applyAlignment="1" applyBorder="1" applyFill="1" applyFont="1" applyNumberFormat="1">
      <alignment shrinkToFit="0" vertical="top" wrapText="1"/>
    </xf>
    <xf borderId="3" fillId="12" fontId="1" numFmtId="0" xfId="0" applyAlignment="1" applyBorder="1" applyFill="1" applyFont="1">
      <alignment vertical="top"/>
    </xf>
    <xf borderId="5" fillId="5" fontId="2" numFmtId="0" xfId="0" applyAlignment="1" applyBorder="1" applyFill="1" applyFont="1">
      <alignment horizontal="left" shrinkToFit="0" vertical="top" wrapText="1"/>
    </xf>
    <xf borderId="4" fillId="0" fontId="1" numFmtId="0" xfId="0" applyAlignment="1" applyBorder="1" applyFont="1">
      <alignment shrinkToFit="0" vertical="top" wrapText="1"/>
    </xf>
    <xf borderId="1" fillId="10" fontId="1" numFmtId="0" xfId="0" applyAlignment="1" applyBorder="1" applyFill="1" applyFont="1">
      <alignment readingOrder="0" shrinkToFit="0" vertical="top" wrapText="1"/>
    </xf>
    <xf borderId="1" fillId="2" fontId="9" numFmtId="0" xfId="0" applyAlignment="1" applyBorder="1" applyFill="1" applyFont="1">
      <alignment readingOrder="0" shrinkToFit="0" vertical="top" wrapText="1"/>
    </xf>
    <xf borderId="1" fillId="3" fontId="9" numFmtId="0" xfId="0" applyAlignment="1" applyBorder="1" applyFill="1" applyFont="1">
      <alignment readingOrder="0" shrinkToFit="0" vertical="top" wrapText="1"/>
    </xf>
    <xf borderId="2" fillId="3" fontId="9" numFmtId="0" xfId="0" applyAlignment="1" applyBorder="1" applyFill="1" applyFont="1">
      <alignment horizontal="left" shrinkToFit="0" vertical="top" wrapText="1"/>
    </xf>
    <xf borderId="3" fillId="0" fontId="10" numFmtId="0" xfId="0" applyAlignment="1" applyBorder="1" applyFont="1">
      <alignment shrinkToFit="0" vertical="top" wrapText="1"/>
    </xf>
    <xf borderId="1" fillId="3" fontId="9" numFmtId="0" xfId="0" applyAlignment="1" applyBorder="1" applyFill="1" applyFont="1">
      <alignment horizontal="left" readingOrder="0" shrinkToFit="0" vertical="top" wrapText="1"/>
    </xf>
    <xf borderId="1" fillId="11" fontId="2" numFmtId="0" xfId="0" applyAlignment="1" applyBorder="1" applyFill="1" applyFont="1">
      <alignment horizontal="left" readingOrder="0" shrinkToFit="0" vertical="top" wrapText="1"/>
    </xf>
    <xf borderId="2" fillId="11" fontId="2" numFmtId="0" xfId="0" applyAlignment="1" applyBorder="1" applyFill="1" applyFont="1">
      <alignment horizontal="left" readingOrder="0" shrinkToFit="0" vertical="top" wrapText="1"/>
    </xf>
    <xf borderId="3" fillId="12" fontId="11" numFmtId="0" xfId="0" applyAlignment="1" applyBorder="1" applyFill="1" applyFont="1">
      <alignment shrinkToFit="0" vertical="top" wrapText="1"/>
    </xf>
    <xf borderId="2" fillId="10" fontId="2" numFmtId="0" xfId="0" applyAlignment="1" applyBorder="1" applyFill="1" applyFont="1">
      <alignment horizontal="left" readingOrder="0" shrinkToFit="0" vertical="top" wrapText="1"/>
    </xf>
    <xf borderId="4" fillId="0" fontId="1" numFmtId="0" xfId="0" applyAlignment="1" applyBorder="1" applyFont="1">
      <alignment vertical="top"/>
    </xf>
    <xf borderId="1" fillId="10" fontId="2" numFmtId="0" xfId="0" applyAlignment="1" applyBorder="1" applyFill="1" applyFont="1">
      <alignment horizontal="left" readingOrder="0" shrinkToFit="0" vertical="top" wrapText="1"/>
    </xf>
    <xf borderId="1" fillId="5" fontId="1" numFmtId="0" xfId="0" applyAlignment="1" applyBorder="1" applyFill="1" applyFont="1">
      <alignment readingOrder="0" shrinkToFit="0" vertical="top" wrapText="1"/>
    </xf>
    <xf borderId="1" fillId="10" fontId="2" numFmtId="0" xfId="0" applyAlignment="1" applyBorder="1" applyFill="1" applyFont="1">
      <alignment horizontal="left" shrinkToFit="0" vertical="top" wrapText="1"/>
    </xf>
    <xf borderId="3" fillId="0" fontId="1" numFmtId="0" xfId="0" applyAlignment="1" applyBorder="1" applyFont="1">
      <alignment vertical="top"/>
    </xf>
    <xf borderId="2" fillId="13" fontId="1" numFmtId="164" xfId="0" applyAlignment="1" applyBorder="1" applyFill="1" applyFont="1" applyNumberFormat="1">
      <alignment horizontal="right" shrinkToFit="0" vertical="top" wrapText="1"/>
    </xf>
    <xf borderId="1" fillId="10" fontId="2" numFmtId="0" xfId="0" applyAlignment="1" applyBorder="1" applyFill="1" applyFont="1">
      <alignment shrinkToFit="0" vertical="top" wrapText="1"/>
    </xf>
    <xf borderId="1" fillId="11" fontId="2" numFmtId="0" xfId="0" applyAlignment="1" applyBorder="1" applyFill="1" applyFont="1">
      <alignment horizontal="left" shrinkToFit="0" vertical="top" wrapText="1"/>
    </xf>
    <xf borderId="3" fillId="0" fontId="1" numFmtId="0" xfId="0" applyAlignment="1" applyBorder="1" applyFont="1">
      <alignment shrinkToFit="0" vertical="top" wrapText="1"/>
    </xf>
    <xf borderId="4" fillId="0" fontId="8" numFmtId="0" xfId="0" applyAlignment="1" applyBorder="1" applyFont="1">
      <alignment readingOrder="0" shrinkToFit="0" vertical="top" wrapText="1"/>
    </xf>
    <xf borderId="2" fillId="3" fontId="2" numFmtId="0" xfId="0" applyAlignment="1" applyBorder="1" applyFill="1" applyFont="1">
      <alignment readingOrder="0" shrinkToFit="0" vertical="top" wrapText="1"/>
    </xf>
    <xf borderId="1" fillId="10" fontId="1" numFmtId="0" xfId="0" applyAlignment="1" applyBorder="1" applyFill="1" applyFont="1">
      <alignment shrinkToFit="0" vertical="top" wrapText="1"/>
    </xf>
    <xf borderId="2" fillId="8" fontId="2" numFmtId="0" xfId="0" applyAlignment="1" applyBorder="1" applyFill="1" applyFont="1">
      <alignment readingOrder="0" shrinkToFit="0" vertical="top" wrapText="1"/>
    </xf>
    <xf borderId="1" fillId="11" fontId="9" numFmtId="0" xfId="0" applyAlignment="1" applyBorder="1" applyFill="1" applyFont="1">
      <alignment horizontal="left" readingOrder="0" shrinkToFit="0" vertical="top" wrapText="1"/>
    </xf>
    <xf borderId="2" fillId="8" fontId="2" numFmtId="0" xfId="0" applyAlignment="1" applyBorder="1" applyFill="1" applyFont="1">
      <alignment horizontal="left" readingOrder="0" shrinkToFit="0" vertical="top" wrapText="1"/>
    </xf>
    <xf borderId="2" fillId="3" fontId="2" numFmtId="0" xfId="0" applyAlignment="1" applyBorder="1" applyFill="1" applyFont="1">
      <alignment horizontal="left" readingOrder="0" shrinkToFit="0" vertical="top" wrapText="1"/>
    </xf>
    <xf borderId="1" fillId="2" fontId="2" numFmtId="0" xfId="0" applyAlignment="1" applyBorder="1" applyFill="1" applyFont="1">
      <alignment horizontal="left" readingOrder="0" shrinkToFit="0" vertical="top" wrapText="1"/>
    </xf>
    <xf borderId="1" fillId="0" fontId="8" numFmtId="0" xfId="0" applyAlignment="1" applyBorder="1" applyFont="1">
      <alignment readingOrder="0" shrinkToFit="0" vertical="top" wrapText="1"/>
    </xf>
    <xf borderId="1" fillId="3" fontId="2" numFmtId="2" xfId="0" applyAlignment="1" applyBorder="1" applyFill="1" applyFont="1" applyNumberFormat="1">
      <alignment readingOrder="0" shrinkToFit="0" vertical="top" wrapText="1"/>
    </xf>
    <xf borderId="2" fillId="12" fontId="1" numFmtId="164" xfId="0" applyAlignment="1" applyBorder="1" applyFill="1" applyFont="1" applyNumberFormat="1">
      <alignment horizontal="right" shrinkToFit="0" vertical="top" wrapText="1"/>
    </xf>
    <xf borderId="1" fillId="3" fontId="2" numFmtId="0" xfId="0" applyAlignment="1" applyBorder="1" applyFill="1" applyFont="1">
      <alignment shrinkToFit="0" vertical="top" wrapText="1"/>
    </xf>
    <xf borderId="5" fillId="11" fontId="2" numFmtId="0" xfId="0" applyAlignment="1" applyBorder="1" applyFill="1" applyFont="1">
      <alignment horizontal="left" readingOrder="0" shrinkToFit="0" vertical="top" wrapText="1"/>
    </xf>
    <xf borderId="5" fillId="8" fontId="2" numFmtId="0" xfId="0" applyAlignment="1" applyBorder="1" applyFill="1" applyFont="1">
      <alignment horizontal="left" readingOrder="0" shrinkToFit="0" vertical="top" wrapText="1"/>
    </xf>
    <xf borderId="2" fillId="14" fontId="1" numFmtId="164" xfId="0" applyAlignment="1" applyBorder="1" applyFill="1" applyFont="1" applyNumberFormat="1">
      <alignment horizontal="right" shrinkToFit="0" vertical="top" wrapText="1"/>
    </xf>
    <xf borderId="1" fillId="8" fontId="2" numFmtId="0" xfId="0" applyAlignment="1" applyBorder="1" applyFill="1" applyFont="1">
      <alignment horizontal="left" readingOrder="0" shrinkToFit="0" vertical="top" wrapText="1"/>
    </xf>
    <xf borderId="1" fillId="0" fontId="8" numFmtId="0" xfId="0" applyAlignment="1" applyBorder="1" applyFont="1">
      <alignment shrinkToFit="0" vertical="top" wrapText="1"/>
    </xf>
    <xf borderId="5" fillId="6" fontId="2" numFmtId="0" xfId="0" applyAlignment="1" applyBorder="1" applyFill="1" applyFont="1">
      <alignment horizontal="left" readingOrder="0" shrinkToFit="0" vertical="top" wrapText="1"/>
    </xf>
    <xf borderId="2" fillId="15" fontId="1" numFmtId="0" xfId="0" applyAlignment="1" applyBorder="1" applyFill="1" applyFont="1">
      <alignment horizontal="right" shrinkToFit="0" vertical="top" wrapText="1"/>
    </xf>
    <xf borderId="1" fillId="11" fontId="1" numFmtId="0" xfId="0" applyAlignment="1" applyBorder="1" applyFill="1" applyFont="1">
      <alignment shrinkToFit="0" vertical="top" wrapText="1"/>
    </xf>
    <xf borderId="2" fillId="12" fontId="12" numFmtId="0" xfId="0" applyAlignment="1" applyBorder="1" applyFill="1" applyFont="1">
      <alignment horizontal="right" shrinkToFit="0" vertical="top" wrapText="1"/>
    </xf>
    <xf borderId="1" fillId="5" fontId="1" numFmtId="0" xfId="0" applyAlignment="1" applyBorder="1" applyFill="1" applyFont="1">
      <alignment shrinkToFit="0" vertical="top" wrapText="1"/>
    </xf>
    <xf borderId="1" fillId="0" fontId="1" numFmtId="165" xfId="0" applyAlignment="1" applyBorder="1" applyFont="1" applyNumberFormat="1">
      <alignment readingOrder="0" shrinkToFit="0" vertical="top" wrapText="1"/>
    </xf>
    <xf borderId="1" fillId="0" fontId="1" numFmtId="164" xfId="0" applyAlignment="1" applyBorder="1" applyFont="1" applyNumberFormat="1">
      <alignment horizontal="left" readingOrder="0" shrinkToFit="0" vertical="top" wrapText="1"/>
    </xf>
    <xf borderId="1" fillId="0" fontId="1" numFmtId="164" xfId="0" applyAlignment="1" applyBorder="1" applyFont="1" applyNumberFormat="1">
      <alignment horizontal="left" shrinkToFit="0" vertical="top" wrapText="1"/>
    </xf>
    <xf borderId="1" fillId="0" fontId="4" numFmtId="0" xfId="0" applyAlignment="1" applyBorder="1" applyFont="1">
      <alignment horizontal="left" shrinkToFit="0" vertical="top" wrapText="1"/>
    </xf>
    <xf borderId="1" fillId="5" fontId="4" numFmtId="0" xfId="0" applyAlignment="1" applyBorder="1" applyFill="1" applyFont="1">
      <alignment horizontal="left" readingOrder="0" shrinkToFit="0" vertical="top" wrapText="1"/>
    </xf>
    <xf borderId="1" fillId="5" fontId="1" numFmtId="164" xfId="0" applyAlignment="1" applyBorder="1" applyFill="1" applyFont="1" applyNumberFormat="1">
      <alignment horizontal="left" readingOrder="0" shrinkToFit="0" vertical="top" wrapText="1"/>
    </xf>
    <xf borderId="1" fillId="0" fontId="1" numFmtId="166" xfId="0" applyAlignment="1" applyBorder="1" applyFont="1" applyNumberFormat="1">
      <alignment horizontal="left" readingOrder="0" shrinkToFit="0" vertical="top" wrapText="1"/>
    </xf>
    <xf borderId="0" fillId="0" fontId="1" numFmtId="164" xfId="0" applyAlignment="1" applyFont="1" applyNumberFormat="1">
      <alignment horizontal="left" shrinkToFit="0" vertical="top" wrapText="1"/>
    </xf>
    <xf borderId="4" fillId="0" fontId="1" numFmtId="2" xfId="0" applyAlignment="1" applyBorder="1" applyFont="1" applyNumberFormat="1">
      <alignment shrinkToFit="0" vertical="top" wrapText="1"/>
    </xf>
    <xf borderId="4" fillId="0" fontId="1" numFmtId="2" xfId="0" applyAlignment="1" applyBorder="1" applyFont="1" applyNumberFormat="1">
      <alignment vertical="top"/>
    </xf>
    <xf borderId="2" fillId="5" fontId="1" numFmtId="0" xfId="0" applyAlignment="1" applyBorder="1" applyFill="1" applyFont="1">
      <alignment vertical="top"/>
    </xf>
    <xf borderId="1" fillId="16" fontId="1" numFmtId="0" xfId="0" applyAlignment="1" applyBorder="1" applyFill="1" applyFont="1">
      <alignment shrinkToFit="0" vertical="top" wrapText="1"/>
    </xf>
    <xf borderId="6" fillId="5" fontId="1" numFmtId="0" xfId="0" applyAlignment="1" applyBorder="1" applyFill="1" applyFont="1">
      <alignment vertical="top"/>
    </xf>
    <xf borderId="1" fillId="16" fontId="13" numFmtId="0" xfId="0" applyAlignment="1" applyBorder="1" applyFill="1" applyFont="1">
      <alignment shrinkToFit="0" vertical="top" wrapText="1"/>
    </xf>
    <xf borderId="1" fillId="16" fontId="8" numFmtId="0" xfId="0" applyAlignment="1" applyBorder="1" applyFill="1" applyFont="1">
      <alignment shrinkToFit="0" vertical="top" wrapText="1"/>
    </xf>
    <xf borderId="2" fillId="0" fontId="1" numFmtId="0" xfId="0" applyAlignment="1" applyBorder="1" applyFont="1">
      <alignment readingOrder="0" shrinkToFit="0" vertical="top" wrapText="1"/>
    </xf>
    <xf borderId="1" fillId="17" fontId="12" numFmtId="0" xfId="0" applyAlignment="1" applyBorder="1" applyFill="1" applyFont="1">
      <alignment shrinkToFit="0" vertical="top" wrapText="1"/>
    </xf>
    <xf borderId="1" fillId="11" fontId="1" numFmtId="0" xfId="0" applyAlignment="1" applyBorder="1" applyFill="1" applyFont="1">
      <alignment vertical="top"/>
    </xf>
    <xf borderId="4" fillId="11" fontId="1" numFmtId="0" xfId="0" applyAlignment="1" applyBorder="1" applyFill="1" applyFont="1">
      <alignment readingOrder="0" shrinkToFit="0" vertical="top" wrapText="1"/>
    </xf>
    <xf borderId="2" fillId="11" fontId="1" numFmtId="0" xfId="0" applyAlignment="1" applyBorder="1" applyFill="1" applyFont="1">
      <alignment vertical="top"/>
    </xf>
    <xf borderId="4" fillId="10" fontId="1" numFmtId="0" xfId="0" applyAlignment="1" applyBorder="1" applyFill="1" applyFont="1">
      <alignment readingOrder="0" shrinkToFit="0" vertical="top" wrapText="1"/>
    </xf>
    <xf borderId="2" fillId="10" fontId="1" numFmtId="0" xfId="0" applyAlignment="1" applyBorder="1" applyFill="1" applyFont="1">
      <alignment shrinkToFit="0" vertical="top" wrapText="1"/>
    </xf>
    <xf borderId="1" fillId="5" fontId="14" numFmtId="0" xfId="0" applyAlignment="1" applyBorder="1" applyFill="1" applyFont="1">
      <alignment shrinkToFit="0" vertical="top" wrapText="1"/>
    </xf>
    <xf borderId="1" fillId="10" fontId="1" numFmtId="0" xfId="0" applyAlignment="1" applyBorder="1" applyFill="1" applyFont="1">
      <alignment vertical="top"/>
    </xf>
    <xf borderId="1" fillId="0" fontId="15" numFmtId="0" xfId="0" applyAlignment="1" applyBorder="1" applyFont="1">
      <alignment shrinkToFit="0" vertical="top" wrapText="1"/>
    </xf>
    <xf borderId="1" fillId="10" fontId="1" numFmtId="0" xfId="0" applyAlignment="1" applyBorder="1" applyFill="1" applyFont="1">
      <alignment readingOrder="0" vertical="top"/>
    </xf>
    <xf borderId="1" fillId="0" fontId="16" numFmtId="0" xfId="0" applyAlignment="1" applyBorder="1" applyFont="1">
      <alignment shrinkToFit="0" vertical="top" wrapText="1"/>
    </xf>
    <xf borderId="2" fillId="10" fontId="1" numFmtId="0" xfId="0" applyAlignment="1" applyBorder="1" applyFill="1" applyFont="1">
      <alignment horizontal="right" shrinkToFit="0" vertical="top" wrapText="1"/>
    </xf>
    <xf borderId="1" fillId="5" fontId="1" numFmtId="0" xfId="0" applyAlignment="1" applyBorder="1" applyFill="1" applyFont="1">
      <alignment horizontal="center" shrinkToFit="0" vertical="top" wrapText="1"/>
    </xf>
    <xf borderId="2" fillId="10" fontId="1" numFmtId="0" xfId="0" applyAlignment="1" applyBorder="1" applyFill="1" applyFont="1">
      <alignment vertical="top"/>
    </xf>
    <xf borderId="2" fillId="11" fontId="1" numFmtId="0" xfId="0" applyAlignment="1" applyBorder="1" applyFill="1" applyFont="1">
      <alignment shrinkToFit="0" vertical="top" wrapText="1"/>
    </xf>
    <xf borderId="4" fillId="0" fontId="1" numFmtId="0" xfId="0" applyAlignment="1" applyBorder="1" applyFont="1">
      <alignment readingOrder="0" shrinkToFit="0" vertical="top" wrapText="1"/>
    </xf>
    <xf borderId="4" fillId="11" fontId="1" numFmtId="0" xfId="0" applyAlignment="1" applyBorder="1" applyFill="1" applyFont="1">
      <alignment shrinkToFit="0" vertical="top" wrapText="1"/>
    </xf>
    <xf borderId="1" fillId="0" fontId="1" numFmtId="0" xfId="0" applyAlignment="1" applyBorder="1" applyFont="1">
      <alignment readingOrder="0" vertical="top"/>
    </xf>
    <xf borderId="4" fillId="11" fontId="17" numFmtId="166" xfId="0" applyAlignment="1" applyBorder="1" applyFill="1" applyFont="1" applyNumberFormat="1">
      <alignment readingOrder="0" shrinkToFit="0" vertical="top" wrapText="1"/>
    </xf>
    <xf borderId="4" fillId="0" fontId="17" numFmtId="166" xfId="0" applyAlignment="1" applyBorder="1" applyFont="1" applyNumberFormat="1">
      <alignment readingOrder="0" shrinkToFit="0" vertical="top" wrapText="1"/>
    </xf>
    <xf borderId="1" fillId="0" fontId="17" numFmtId="166" xfId="0" applyAlignment="1" applyBorder="1" applyFont="1" applyNumberFormat="1">
      <alignment readingOrder="0" shrinkToFit="0" vertical="top" wrapText="1"/>
    </xf>
    <xf borderId="5" fillId="6" fontId="17" numFmtId="0" xfId="0" applyAlignment="1" applyBorder="1" applyFill="1" applyFont="1">
      <alignment readingOrder="0" shrinkToFit="0" vertical="top" wrapText="1"/>
    </xf>
    <xf borderId="1" fillId="16" fontId="1" numFmtId="0" xfId="0" applyAlignment="1" applyBorder="1" applyFill="1" applyFont="1">
      <alignment horizontal="left" shrinkToFit="0" vertical="top" wrapText="1"/>
    </xf>
    <xf borderId="1" fillId="16" fontId="4" numFmtId="0" xfId="0" applyAlignment="1" applyBorder="1" applyFill="1" applyFont="1">
      <alignment readingOrder="0" shrinkToFit="0" vertical="top" wrapText="1"/>
    </xf>
    <xf borderId="1" fillId="16" fontId="1" numFmtId="0" xfId="0" applyAlignment="1" applyBorder="1" applyFill="1" applyFont="1">
      <alignment readingOrder="0" shrinkToFit="0" vertical="top" wrapText="1"/>
    </xf>
    <xf borderId="1" fillId="17" fontId="1" numFmtId="49" xfId="0" applyAlignment="1" applyBorder="1" applyFill="1" applyFont="1" applyNumberFormat="1">
      <alignment shrinkToFit="0" vertical="top" wrapText="1"/>
    </xf>
    <xf borderId="1" fillId="0" fontId="1" numFmtId="49" xfId="0" applyAlignment="1" applyBorder="1" applyFont="1" applyNumberFormat="1">
      <alignment shrinkToFit="0" vertical="top" wrapText="1"/>
    </xf>
    <xf borderId="4" fillId="11" fontId="3" numFmtId="0" xfId="0" applyAlignment="1" applyBorder="1" applyFill="1" applyFont="1">
      <alignment readingOrder="0" shrinkToFit="0" vertical="top" wrapText="1"/>
    </xf>
    <xf borderId="4" fillId="0" fontId="3" numFmtId="0" xfId="0" applyAlignment="1" applyBorder="1" applyFont="1">
      <alignment readingOrder="0" shrinkToFit="0" vertical="top" wrapText="1"/>
    </xf>
    <xf borderId="1" fillId="0" fontId="3" numFmtId="0" xfId="0" applyAlignment="1" applyBorder="1" applyFont="1">
      <alignment readingOrder="0" shrinkToFit="0" vertical="top" wrapText="1"/>
    </xf>
    <xf borderId="1" fillId="0" fontId="17" numFmtId="0" xfId="0" applyAlignment="1" applyBorder="1" applyFont="1">
      <alignment readingOrder="0" vertical="bottom"/>
    </xf>
    <xf borderId="4" fillId="0" fontId="17" numFmtId="0" xfId="0" applyAlignment="1" applyBorder="1" applyFont="1">
      <alignment readingOrder="0" shrinkToFit="0" vertical="top" wrapText="1"/>
    </xf>
    <xf borderId="1" fillId="0" fontId="12" numFmtId="49" xfId="0" applyAlignment="1" applyBorder="1" applyFont="1" applyNumberFormat="1">
      <alignment horizontal="right" shrinkToFit="0" vertical="top" wrapText="1"/>
    </xf>
    <xf borderId="1" fillId="5" fontId="1" numFmtId="0" xfId="0" applyAlignment="1" applyBorder="1" applyFill="1" applyFont="1">
      <alignment horizontal="right" shrinkToFit="0" vertical="top" wrapText="1"/>
    </xf>
    <xf borderId="1" fillId="0" fontId="1" numFmtId="0" xfId="0" applyAlignment="1" applyBorder="1" applyFont="1">
      <alignment horizontal="center" shrinkToFit="0" vertical="top" wrapText="1"/>
    </xf>
    <xf borderId="1" fillId="0" fontId="17" numFmtId="0" xfId="0" applyAlignment="1" applyBorder="1" applyFont="1">
      <alignment readingOrder="0" vertical="bottom"/>
    </xf>
    <xf borderId="3" fillId="0" fontId="3" numFmtId="0" xfId="0" applyAlignment="1" applyBorder="1" applyFont="1">
      <alignment readingOrder="0" shrinkToFit="0" vertical="top" wrapText="1"/>
    </xf>
    <xf borderId="4" fillId="0" fontId="3" numFmtId="0" xfId="0" applyAlignment="1" applyBorder="1" applyFont="1">
      <alignment vertical="top"/>
    </xf>
    <xf borderId="1" fillId="0" fontId="1" numFmtId="2" xfId="0" applyAlignment="1" applyBorder="1" applyFont="1" applyNumberFormat="1">
      <alignment shrinkToFit="0" vertical="top" wrapText="1"/>
    </xf>
    <xf borderId="1" fillId="5" fontId="4" numFmtId="0" xfId="0" applyAlignment="1" applyBorder="1" applyFill="1" applyFont="1">
      <alignment horizontal="left" shrinkToFit="0" vertical="top" wrapText="1"/>
    </xf>
    <xf borderId="1" fillId="5" fontId="1" numFmtId="164" xfId="0" applyAlignment="1" applyBorder="1" applyFill="1" applyFont="1" applyNumberFormat="1">
      <alignment horizontal="left" shrinkToFit="0" vertical="top" wrapText="1"/>
    </xf>
    <xf borderId="1" fillId="16" fontId="1" numFmtId="2" xfId="0" applyAlignment="1" applyBorder="1" applyFill="1" applyFont="1" applyNumberFormat="1">
      <alignment shrinkToFit="0" vertical="top" wrapText="1"/>
    </xf>
    <xf borderId="1" fillId="16" fontId="1" numFmtId="0" xfId="0" applyAlignment="1" applyBorder="1" applyFill="1" applyFont="1">
      <alignment shrinkToFit="0" vertical="top" wrapText="1"/>
    </xf>
    <xf borderId="1" fillId="16" fontId="18" numFmtId="0" xfId="0" applyAlignment="1" applyBorder="1" applyFill="1" applyFont="1">
      <alignment shrinkToFit="0" vertical="top" wrapText="1"/>
    </xf>
    <xf borderId="1" fillId="16" fontId="1" numFmtId="164" xfId="0" applyAlignment="1" applyBorder="1" applyFill="1" applyFont="1" applyNumberFormat="1">
      <alignment shrinkToFit="0" vertical="top" wrapText="1"/>
    </xf>
    <xf borderId="1" fillId="16" fontId="1" numFmtId="164" xfId="0" applyAlignment="1" applyBorder="1" applyFill="1" applyFont="1" applyNumberFormat="1">
      <alignment horizontal="right" shrinkToFit="0" vertical="top" wrapText="1"/>
    </xf>
    <xf borderId="1" fillId="16" fontId="1" numFmtId="0" xfId="0" applyAlignment="1" applyBorder="1" applyFill="1" applyFont="1">
      <alignment horizontal="right" shrinkToFit="0" vertical="top" wrapText="1"/>
    </xf>
    <xf borderId="1" fillId="16" fontId="12" numFmtId="0" xfId="0" applyAlignment="1" applyBorder="1" applyFill="1" applyFont="1">
      <alignment horizontal="right" shrinkToFit="0" vertical="top" wrapText="1"/>
    </xf>
    <xf borderId="1" fillId="16" fontId="1" numFmtId="164" xfId="0" applyAlignment="1" applyBorder="1" applyFill="1" applyFont="1" applyNumberFormat="1">
      <alignment horizontal="left" readingOrder="0" shrinkToFit="0" vertical="top" wrapText="1"/>
    </xf>
    <xf borderId="1" fillId="16" fontId="1" numFmtId="164" xfId="0" applyAlignment="1" applyBorder="1" applyFill="1" applyFont="1" applyNumberFormat="1">
      <alignment horizontal="left" shrinkToFit="0" vertical="top" wrapText="1"/>
    </xf>
    <xf borderId="1" fillId="16" fontId="4" numFmtId="0" xfId="0" applyAlignment="1" applyBorder="1" applyFill="1" applyFont="1">
      <alignment horizontal="left" shrinkToFit="0" vertical="top" wrapText="1"/>
    </xf>
    <xf borderId="0" fillId="16" fontId="1" numFmtId="164" xfId="0" applyAlignment="1" applyFill="1" applyFont="1" applyNumberFormat="1">
      <alignment horizontal="left" shrinkToFit="0" vertical="top" wrapText="1"/>
    </xf>
    <xf borderId="1" fillId="17" fontId="1" numFmtId="0" xfId="0" applyAlignment="1" applyBorder="1" applyFill="1" applyFont="1">
      <alignment shrinkToFit="0" vertical="top" wrapText="1"/>
    </xf>
    <xf borderId="1" fillId="12" fontId="1" numFmtId="0" xfId="0" applyAlignment="1" applyBorder="1" applyFill="1" applyFont="1">
      <alignment shrinkToFit="0" vertical="top" wrapText="1"/>
    </xf>
    <xf borderId="1" fillId="5" fontId="1" numFmtId="164" xfId="0" applyAlignment="1" applyBorder="1" applyFill="1" applyFont="1" applyNumberFormat="1">
      <alignment horizontal="right" shrinkToFit="0" vertical="top" wrapText="1"/>
    </xf>
    <xf borderId="1" fillId="0" fontId="1" numFmtId="164" xfId="0" applyAlignment="1" applyBorder="1" applyFont="1" applyNumberFormat="1">
      <alignment shrinkToFit="0" vertical="top" wrapText="1"/>
    </xf>
    <xf borderId="1" fillId="5" fontId="1" numFmtId="164" xfId="0" applyAlignment="1" applyBorder="1" applyFill="1" applyFont="1" applyNumberFormat="1">
      <alignment shrinkToFit="0" vertical="top" wrapText="1"/>
    </xf>
    <xf borderId="1" fillId="12" fontId="12" numFmtId="0" xfId="0" applyAlignment="1" applyBorder="1" applyFill="1" applyFont="1">
      <alignment shrinkToFit="0" vertical="top" wrapText="1"/>
    </xf>
    <xf borderId="1" fillId="5" fontId="1" numFmtId="0" xfId="0" applyAlignment="1" applyBorder="1" applyFill="1" applyFont="1">
      <alignment vertical="top"/>
    </xf>
    <xf borderId="1" fillId="0" fontId="2" numFmtId="0" xfId="0" applyAlignment="1" applyBorder="1" applyFont="1">
      <alignment readingOrder="0" shrinkToFit="0" vertical="top" wrapText="1"/>
    </xf>
    <xf borderId="1" fillId="11" fontId="1" numFmtId="0" xfId="0" applyAlignment="1" applyBorder="1" applyFill="1" applyFont="1">
      <alignment readingOrder="0" shrinkToFit="0" vertical="top" wrapText="1"/>
    </xf>
    <xf borderId="7" fillId="11" fontId="1" numFmtId="0" xfId="0" applyAlignment="1" applyBorder="1" applyFill="1" applyFont="1">
      <alignment vertical="bottom"/>
    </xf>
    <xf borderId="7" fillId="11" fontId="1" numFmtId="0" xfId="0" applyAlignment="1" applyBorder="1" applyFill="1" applyFont="1">
      <alignment readingOrder="0" shrinkToFit="0" vertical="top" wrapText="1"/>
    </xf>
    <xf borderId="7" fillId="0" fontId="1" numFmtId="0" xfId="0" applyAlignment="1" applyBorder="1" applyFont="1">
      <alignment readingOrder="0" shrinkToFit="0" vertical="top" wrapText="1"/>
    </xf>
    <xf borderId="7" fillId="0" fontId="17" numFmtId="166" xfId="0" applyAlignment="1" applyBorder="1" applyFont="1" applyNumberFormat="1">
      <alignment readingOrder="0" shrinkToFit="0" vertical="top" wrapText="1"/>
    </xf>
    <xf borderId="1" fillId="11" fontId="1" numFmtId="0" xfId="0" applyAlignment="1" applyBorder="1" applyFill="1" applyFont="1">
      <alignment vertical="bottom"/>
    </xf>
    <xf borderId="5" fillId="0" fontId="1" numFmtId="0" xfId="0" applyAlignment="1" applyBorder="1" applyFont="1">
      <alignment readingOrder="0" vertical="top"/>
    </xf>
    <xf borderId="2" fillId="0" fontId="17" numFmtId="166" xfId="0" applyAlignment="1" applyBorder="1" applyFont="1" applyNumberFormat="1">
      <alignment readingOrder="0" shrinkToFit="0" vertical="top" wrapText="1"/>
    </xf>
    <xf borderId="1" fillId="0" fontId="1" numFmtId="0" xfId="0" applyAlignment="1" applyBorder="1" applyFont="1">
      <alignment readingOrder="0" shrinkToFit="0" vertical="bottom" wrapText="1"/>
    </xf>
    <xf borderId="1" fillId="0" fontId="1" numFmtId="0" xfId="0" applyAlignment="1" applyBorder="1" applyFont="1">
      <alignment shrinkToFit="0" vertical="bottom" wrapText="1"/>
    </xf>
    <xf borderId="1" fillId="11" fontId="1" numFmtId="0" xfId="0" applyAlignment="1" applyBorder="1" applyFill="1" applyFont="1">
      <alignment shrinkToFit="0" vertical="top" wrapText="1"/>
    </xf>
    <xf borderId="1" fillId="0" fontId="1" numFmtId="0" xfId="0" applyAlignment="1" applyBorder="1" applyFont="1">
      <alignment vertical="bottom"/>
    </xf>
    <xf borderId="1" fillId="11" fontId="1" numFmtId="0" xfId="0" applyAlignment="1" applyBorder="1" applyFill="1" applyFont="1">
      <alignment shrinkToFit="0" vertical="top" wrapText="1"/>
    </xf>
    <xf borderId="1" fillId="0" fontId="19" numFmtId="0" xfId="0" applyAlignment="1" applyBorder="1" applyFont="1">
      <alignment readingOrder="0" shrinkToFit="0" vertical="bottom" wrapText="1"/>
    </xf>
    <xf borderId="1" fillId="11" fontId="3" numFmtId="0" xfId="0" applyAlignment="1" applyBorder="1" applyFill="1" applyFont="1">
      <alignment readingOrder="0" shrinkToFit="0" vertical="top" wrapText="1"/>
    </xf>
    <xf borderId="5" fillId="0" fontId="1" numFmtId="0" xfId="0" applyAlignment="1" applyBorder="1" applyFont="1">
      <alignment readingOrder="0" vertical="top"/>
    </xf>
    <xf borderId="1" fillId="11" fontId="1" numFmtId="0" xfId="0" applyAlignment="1" applyBorder="1" applyFill="1" applyFont="1">
      <alignment readingOrder="0" shrinkToFit="0" vertical="top" wrapText="1"/>
    </xf>
    <xf borderId="1" fillId="0" fontId="1" numFmtId="0" xfId="0" applyAlignment="1" applyBorder="1" applyFont="1">
      <alignment readingOrder="0" shrinkToFit="0" vertical="top" wrapText="1"/>
    </xf>
    <xf borderId="5" fillId="0" fontId="1" numFmtId="0" xfId="0" applyAlignment="1" applyBorder="1" applyFont="1">
      <alignment vertical="top"/>
    </xf>
    <xf borderId="1" fillId="0" fontId="1" numFmtId="164" xfId="0" applyAlignment="1" applyBorder="1" applyFont="1" applyNumberFormat="1">
      <alignment horizontal="right" shrinkToFit="0" vertical="top" wrapText="1"/>
    </xf>
    <xf borderId="1" fillId="0" fontId="1" numFmtId="0" xfId="0" applyAlignment="1" applyBorder="1" applyFont="1">
      <alignment horizontal="right" shrinkToFit="0" vertical="top" wrapText="1"/>
    </xf>
    <xf borderId="0" fillId="0" fontId="20" numFmtId="0" xfId="0" applyAlignment="1" applyFont="1">
      <alignment readingOrder="0"/>
    </xf>
    <xf borderId="8" fillId="5" fontId="21" numFmtId="0" xfId="0" applyAlignment="1" applyBorder="1" applyFill="1" applyFont="1">
      <alignment readingOrder="0" vertical="top"/>
    </xf>
    <xf borderId="1" fillId="5" fontId="21" numFmtId="0" xfId="0" applyAlignment="1" applyBorder="1" applyFill="1" applyFont="1">
      <alignment readingOrder="0"/>
    </xf>
    <xf borderId="5" fillId="5" fontId="22" numFmtId="0" xfId="0" applyAlignment="1" applyBorder="1" applyFill="1" applyFont="1">
      <alignment readingOrder="0"/>
    </xf>
    <xf borderId="6" fillId="5" fontId="4" numFmtId="0" xfId="0" applyBorder="1" applyFill="1" applyFont="1"/>
    <xf borderId="2" fillId="5" fontId="4" numFmtId="0" xfId="0" applyBorder="1" applyFill="1" applyFont="1"/>
    <xf borderId="3" fillId="0" fontId="23" numFmtId="0" xfId="0" applyBorder="1" applyFont="1"/>
    <xf borderId="5" fillId="5" fontId="4" numFmtId="0" xfId="0" applyBorder="1" applyFill="1" applyFont="1"/>
    <xf borderId="1" fillId="18" fontId="1" numFmtId="0" xfId="0" applyAlignment="1" applyBorder="1" applyFill="1" applyFont="1">
      <alignment readingOrder="0" vertical="bottom"/>
    </xf>
    <xf borderId="1" fillId="0" fontId="24" numFmtId="0" xfId="0" applyAlignment="1" applyBorder="1" applyFont="1">
      <alignment readingOrder="0"/>
    </xf>
    <xf borderId="1" fillId="0" fontId="25" numFmtId="0" xfId="0" applyAlignment="1" applyBorder="1" applyFont="1">
      <alignment readingOrder="0" vertical="bottom"/>
    </xf>
    <xf borderId="0" fillId="12" fontId="26" numFmtId="0" xfId="0" applyFill="1" applyFont="1"/>
    <xf borderId="0" fillId="0" fontId="4" numFmtId="0" xfId="0" applyFont="1"/>
    <xf borderId="0" fillId="0" fontId="4" numFmtId="0" xfId="0" applyAlignment="1" applyFont="1">
      <alignment readingOrder="0"/>
    </xf>
    <xf borderId="0" fillId="12" fontId="26" numFmtId="0" xfId="0" applyAlignment="1" applyFill="1" applyFont="1">
      <alignment horizontal="left" shrinkToFit="0" wrapText="0"/>
    </xf>
    <xf borderId="0" fillId="0" fontId="4" numFmtId="164" xfId="0" applyFont="1" applyNumberFormat="1"/>
    <xf borderId="0" fillId="0" fontId="4" numFmtId="2" xfId="0" applyFont="1" applyNumberFormat="1"/>
    <xf borderId="0" fillId="12" fontId="27" numFmtId="0" xfId="0" applyAlignment="1" applyFill="1" applyFont="1">
      <alignment horizontal="left" readingOrder="0"/>
    </xf>
    <xf borderId="0" fillId="0" fontId="4" numFmtId="0" xfId="0" applyAlignment="1" applyFont="1">
      <alignment shrinkToFit="0" wrapText="0"/>
    </xf>
    <xf borderId="0" fillId="0" fontId="4" numFmtId="49" xfId="0" applyFont="1" applyNumberFormat="1"/>
    <xf borderId="0" fillId="12" fontId="28" numFmtId="0" xfId="0" applyAlignment="1" applyFill="1" applyFont="1">
      <alignment horizontal="left" readingOrder="0"/>
    </xf>
    <xf borderId="0" fillId="0" fontId="29" numFmtId="0" xfId="0" applyFont="1"/>
    <xf borderId="0" fillId="0" fontId="30" numFmtId="0" xfId="0" applyAlignment="1" applyFont="1">
      <alignment readingOrder="0" shrinkToFit="0" vertical="top" wrapText="0"/>
    </xf>
    <xf borderId="0" fillId="0" fontId="4" numFmtId="0" xfId="0" applyAlignment="1" applyFont="1">
      <alignment shrinkToFit="0" vertical="top" wrapText="1"/>
    </xf>
    <xf borderId="0" fillId="0" fontId="1" numFmtId="0" xfId="0" applyAlignment="1" applyFont="1">
      <alignment shrinkToFit="0" vertical="top" wrapText="1"/>
    </xf>
    <xf borderId="0" fillId="0" fontId="31" numFmtId="0" xfId="0" applyAlignment="1" applyFont="1">
      <alignment vertical="top"/>
    </xf>
    <xf borderId="0" fillId="0" fontId="32" numFmtId="0" xfId="0" applyAlignment="1" applyFont="1">
      <alignment readingOrder="0" shrinkToFit="0" vertical="top" wrapText="0"/>
    </xf>
    <xf borderId="0" fillId="0" fontId="33" numFmtId="0" xfId="0" applyAlignment="1" applyFont="1">
      <alignment readingOrder="0"/>
    </xf>
    <xf borderId="0" fillId="0" fontId="31" numFmtId="0" xfId="0" applyAlignment="1" applyFont="1">
      <alignment readingOrder="0" vertical="top"/>
    </xf>
    <xf borderId="1" fillId="18" fontId="1" numFmtId="0" xfId="0" applyAlignment="1" applyBorder="1" applyFill="1" applyFont="1">
      <alignment shrinkToFit="0" vertical="top" wrapText="1"/>
    </xf>
    <xf borderId="0" fillId="0" fontId="4" numFmtId="0" xfId="0" applyAlignment="1" applyFont="1">
      <alignment shrinkToFit="0" vertical="top" wrapText="0"/>
    </xf>
    <xf borderId="1" fillId="0" fontId="4" numFmtId="0" xfId="0" applyBorder="1" applyFont="1"/>
    <xf borderId="1" fillId="18" fontId="4" numFmtId="0" xfId="0" applyBorder="1" applyFill="1" applyFont="1"/>
    <xf borderId="1" fillId="0" fontId="1" numFmtId="0" xfId="0" applyAlignment="1" applyBorder="1" applyFont="1">
      <alignment horizontal="left" shrinkToFit="0" vertical="top" wrapText="1"/>
    </xf>
    <xf borderId="0" fillId="0" fontId="1" numFmtId="0" xfId="0" applyAlignment="1" applyFont="1">
      <alignment horizontal="left" shrinkToFit="0" vertical="top" wrapText="1"/>
    </xf>
    <xf borderId="0" fillId="0" fontId="31" numFmtId="0" xfId="0" applyAlignment="1" applyFont="1">
      <alignment vertical="top"/>
    </xf>
    <xf borderId="0" fillId="0" fontId="34" numFmtId="0" xfId="0" applyAlignment="1" applyFont="1">
      <alignment vertical="top"/>
    </xf>
    <xf borderId="0" fillId="0" fontId="4"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doi.org/10.1016/j.neuroscience.2018.08.027" TargetMode="External"/><Relationship Id="rId190" Type="http://schemas.openxmlformats.org/officeDocument/2006/relationships/hyperlink" Target="https://www.doi2bib.org/bib/10.1523/ENEURO.0519-20.2021" TargetMode="External"/><Relationship Id="rId42" Type="http://schemas.openxmlformats.org/officeDocument/2006/relationships/hyperlink" Target="https://www.doi.org/10.1152/jn.01045.2012" TargetMode="External"/><Relationship Id="rId41" Type="http://schemas.openxmlformats.org/officeDocument/2006/relationships/hyperlink" Target="https://www.doi2bib.org/bib/10.1016/j.neuroscience.2018.08.027" TargetMode="External"/><Relationship Id="rId44" Type="http://schemas.openxmlformats.org/officeDocument/2006/relationships/hyperlink" Target="https://www.doi.org/10.3757/jser.70.89" TargetMode="External"/><Relationship Id="rId194" Type="http://schemas.openxmlformats.org/officeDocument/2006/relationships/hyperlink" Target="https://www.doi2bib.org/bib/10.1038/nn.3614" TargetMode="External"/><Relationship Id="rId43" Type="http://schemas.openxmlformats.org/officeDocument/2006/relationships/hyperlink" Target="https://www.doi2bib.org/bib/10.1152/jn.01045.2012" TargetMode="External"/><Relationship Id="rId193" Type="http://schemas.openxmlformats.org/officeDocument/2006/relationships/hyperlink" Target="https://www.doi.org/10.1038/nn.3614" TargetMode="External"/><Relationship Id="rId46" Type="http://schemas.openxmlformats.org/officeDocument/2006/relationships/hyperlink" Target="https://www.doi.org/10.3389/fnana.2011.00065" TargetMode="External"/><Relationship Id="rId192" Type="http://schemas.openxmlformats.org/officeDocument/2006/relationships/hyperlink" Target="https://www.doi2bib.org/bib/10.1073/pnas.1806215115" TargetMode="External"/><Relationship Id="rId45" Type="http://schemas.openxmlformats.org/officeDocument/2006/relationships/hyperlink" Target="https://www.doi2bib.org/bib/10.3757/jser.70.89" TargetMode="External"/><Relationship Id="rId191" Type="http://schemas.openxmlformats.org/officeDocument/2006/relationships/hyperlink" Target="https://www.doi.org/10.1073/pnas.1806215115" TargetMode="External"/><Relationship Id="rId48" Type="http://schemas.openxmlformats.org/officeDocument/2006/relationships/hyperlink" Target="https://www.doi.org/10.1016/b978-1-4160-5316-3.00074-5" TargetMode="External"/><Relationship Id="rId187" Type="http://schemas.openxmlformats.org/officeDocument/2006/relationships/hyperlink" Target="https://www.doi.org/10.1016/j.tins.2010.07.002" TargetMode="External"/><Relationship Id="rId47" Type="http://schemas.openxmlformats.org/officeDocument/2006/relationships/hyperlink" Target="https://www.doi2bib.org/bib/10.3389/fnana.2011.00065" TargetMode="External"/><Relationship Id="rId186" Type="http://schemas.openxmlformats.org/officeDocument/2006/relationships/hyperlink" Target="https://www.doi2bib.org/bib/10.1016/j.tins.2018.10.004" TargetMode="External"/><Relationship Id="rId185" Type="http://schemas.openxmlformats.org/officeDocument/2006/relationships/hyperlink" Target="https://www.doi.org/10.1016/j.tins.2018.10.004" TargetMode="External"/><Relationship Id="rId49" Type="http://schemas.openxmlformats.org/officeDocument/2006/relationships/hyperlink" Target="https://www.doi2bib.org/bib/10.1016/b978-1-4160-5316-3.00074-5" TargetMode="External"/><Relationship Id="rId184" Type="http://schemas.openxmlformats.org/officeDocument/2006/relationships/hyperlink" Target="https://www.sciencedirect.com/science/article/pii/S0166223618302753" TargetMode="External"/><Relationship Id="rId189" Type="http://schemas.openxmlformats.org/officeDocument/2006/relationships/hyperlink" Target="https://www.doi.org/10.1523/ENEURO.0519-20.2021" TargetMode="External"/><Relationship Id="rId188" Type="http://schemas.openxmlformats.org/officeDocument/2006/relationships/hyperlink" Target="https://www.doi2bib.org/bib/10.1016/j.tins.2010.07.002" TargetMode="External"/><Relationship Id="rId31" Type="http://schemas.openxmlformats.org/officeDocument/2006/relationships/hyperlink" Target="https://www.doi2bib.org/bib/10.1016/j.tins.2019.11.002" TargetMode="External"/><Relationship Id="rId30" Type="http://schemas.openxmlformats.org/officeDocument/2006/relationships/hyperlink" Target="https://www.doi.org/10.1016/j.tins.2019.11.002" TargetMode="External"/><Relationship Id="rId33" Type="http://schemas.openxmlformats.org/officeDocument/2006/relationships/hyperlink" Target="https://www.doi2bib.org/bib/10.1002/(SICI)1098-1063(1997)7:4%3C397::AID-HIPO5%3E3.0.CO;2-G" TargetMode="External"/><Relationship Id="rId183" Type="http://schemas.openxmlformats.org/officeDocument/2006/relationships/hyperlink" Target="https://www.doi2bib.org/bib/10.1016/j.tins.2018.10.004" TargetMode="External"/><Relationship Id="rId32" Type="http://schemas.openxmlformats.org/officeDocument/2006/relationships/hyperlink" Target="https://www.doi.org/10.1002/(SICI)1098-1063(1997)7:4%3C397::AID-HIPO5%3E3.0.CO;2-G" TargetMode="External"/><Relationship Id="rId182" Type="http://schemas.openxmlformats.org/officeDocument/2006/relationships/hyperlink" Target="https://www.doi.org/10.1016/j.tins.2018.10.004" TargetMode="External"/><Relationship Id="rId35" Type="http://schemas.openxmlformats.org/officeDocument/2006/relationships/hyperlink" Target="https://www.doi2bib.org/bib/10.1152/physrev.00014.2007" TargetMode="External"/><Relationship Id="rId181" Type="http://schemas.openxmlformats.org/officeDocument/2006/relationships/hyperlink" Target="https://www.doi2bib.org/bib/10.1073/pnas.0701934104" TargetMode="External"/><Relationship Id="rId34" Type="http://schemas.openxmlformats.org/officeDocument/2006/relationships/hyperlink" Target="https://www.doi.org/10.1152/physrev.00014.2007" TargetMode="External"/><Relationship Id="rId180" Type="http://schemas.openxmlformats.org/officeDocument/2006/relationships/hyperlink" Target="https://www.doi.org/10.1073/pnas.0701934104" TargetMode="External"/><Relationship Id="rId37" Type="http://schemas.openxmlformats.org/officeDocument/2006/relationships/hyperlink" Target="https://www.doi2bib.org/bib/10.1002/hipo.450030408" TargetMode="External"/><Relationship Id="rId176" Type="http://schemas.openxmlformats.org/officeDocument/2006/relationships/hyperlink" Target="https://www.doi.org/10.1073/pnas.012604899" TargetMode="External"/><Relationship Id="rId297" Type="http://schemas.openxmlformats.org/officeDocument/2006/relationships/hyperlink" Target="https://www.doi.org/10.1177/2398212817723443" TargetMode="External"/><Relationship Id="rId36" Type="http://schemas.openxmlformats.org/officeDocument/2006/relationships/hyperlink" Target="https://www.doi.org/10.1002/hipo.450030408" TargetMode="External"/><Relationship Id="rId175" Type="http://schemas.openxmlformats.org/officeDocument/2006/relationships/hyperlink" Target="https://www.doi2bib.org/bib/10.3389/fnana.2014.00038" TargetMode="External"/><Relationship Id="rId296" Type="http://schemas.openxmlformats.org/officeDocument/2006/relationships/hyperlink" Target="https://www.doi2bib.org/bib/10.1002/cne.902020212" TargetMode="External"/><Relationship Id="rId39" Type="http://schemas.openxmlformats.org/officeDocument/2006/relationships/hyperlink" Target="https://www.doi2bib.org/bib/10.1523/JNEUROSCI.1731-21.2021" TargetMode="External"/><Relationship Id="rId174" Type="http://schemas.openxmlformats.org/officeDocument/2006/relationships/hyperlink" Target="https://www.doi.org/10.3389/fnana.2014.00038" TargetMode="External"/><Relationship Id="rId295" Type="http://schemas.openxmlformats.org/officeDocument/2006/relationships/hyperlink" Target="https://www.doi.org/10.1002/cne.902020212" TargetMode="External"/><Relationship Id="rId38" Type="http://schemas.openxmlformats.org/officeDocument/2006/relationships/hyperlink" Target="https://www.doi.org/10.1523/JNEUROSCI.1731-21.2021" TargetMode="External"/><Relationship Id="rId173" Type="http://schemas.openxmlformats.org/officeDocument/2006/relationships/hyperlink" Target="https://www.doi2bib.org/bib/10.1073/pnas.1211168109" TargetMode="External"/><Relationship Id="rId294" Type="http://schemas.openxmlformats.org/officeDocument/2006/relationships/hyperlink" Target="https://www.doi2bib.org/bib/10.1523/ENEURO.0290-16.2017" TargetMode="External"/><Relationship Id="rId179" Type="http://schemas.openxmlformats.org/officeDocument/2006/relationships/hyperlink" Target="https://www.doi2bib.org/bib/10.1523/JNEUROSCI.1156-13.2014" TargetMode="External"/><Relationship Id="rId178" Type="http://schemas.openxmlformats.org/officeDocument/2006/relationships/hyperlink" Target="https://www.doi.org/10.1523/JNEUROSCI.1156-13.2014" TargetMode="External"/><Relationship Id="rId299" Type="http://schemas.openxmlformats.org/officeDocument/2006/relationships/hyperlink" Target="https://www.doi.org/10.1126/science.1071089" TargetMode="External"/><Relationship Id="rId177" Type="http://schemas.openxmlformats.org/officeDocument/2006/relationships/hyperlink" Target="https://www.doi2bib.org/bib/10.1073/pnas.012604899" TargetMode="External"/><Relationship Id="rId298" Type="http://schemas.openxmlformats.org/officeDocument/2006/relationships/hyperlink" Target="https://www.doi2bib.org/bib/10.1177/2398212817723443" TargetMode="External"/><Relationship Id="rId20" Type="http://schemas.openxmlformats.org/officeDocument/2006/relationships/hyperlink" Target="https://www.doi.org/10.1523/JNEUROSCI.3648-15.2016" TargetMode="External"/><Relationship Id="rId22" Type="http://schemas.openxmlformats.org/officeDocument/2006/relationships/hyperlink" Target="https://www.doi.org/10.1002/jnr.24993" TargetMode="External"/><Relationship Id="rId21" Type="http://schemas.openxmlformats.org/officeDocument/2006/relationships/hyperlink" Target="https://www.doi2bib.org/bib/10.1523/JNEUROSCI.3648-15.2016" TargetMode="External"/><Relationship Id="rId24" Type="http://schemas.openxmlformats.org/officeDocument/2006/relationships/hyperlink" Target="https://www.doi.org/10.1016/j.cell.2020.04.007" TargetMode="External"/><Relationship Id="rId23" Type="http://schemas.openxmlformats.org/officeDocument/2006/relationships/hyperlink" Target="https://www.doi2bib.org/bib/10.1002/jnr.24993" TargetMode="External"/><Relationship Id="rId26" Type="http://schemas.openxmlformats.org/officeDocument/2006/relationships/hyperlink" Target="https://doi.org/10.1016/j.cell.2020.04.007" TargetMode="External"/><Relationship Id="rId25" Type="http://schemas.openxmlformats.org/officeDocument/2006/relationships/hyperlink" Target="https://www.doi2bib.org/bib/10.1016/j.cell.2020.04.007" TargetMode="External"/><Relationship Id="rId28" Type="http://schemas.openxmlformats.org/officeDocument/2006/relationships/hyperlink" Target="https://www.doi2bib.org/bib/10.1523/JNEUROSCI.2726-11.2013" TargetMode="External"/><Relationship Id="rId27" Type="http://schemas.openxmlformats.org/officeDocument/2006/relationships/hyperlink" Target="https://www.doi.org/10.1523/JNEUROSCI.2726-11.2013" TargetMode="External"/><Relationship Id="rId29" Type="http://schemas.openxmlformats.org/officeDocument/2006/relationships/hyperlink" Target="https://www.jneurosci.org/content/33/41/16285" TargetMode="External"/><Relationship Id="rId11" Type="http://schemas.openxmlformats.org/officeDocument/2006/relationships/hyperlink" Target="https://www.doi.org/10.1007/s00354-019-00081-z" TargetMode="External"/><Relationship Id="rId10" Type="http://schemas.openxmlformats.org/officeDocument/2006/relationships/hyperlink" Target="https://www.frontiersin.org/articles/10.3389/fncom.2020.00074/full" TargetMode="External"/><Relationship Id="rId13" Type="http://schemas.openxmlformats.org/officeDocument/2006/relationships/hyperlink" Target="https://www.doi.org/10.1016/S1364-6613(98)01221-2" TargetMode="External"/><Relationship Id="rId12" Type="http://schemas.openxmlformats.org/officeDocument/2006/relationships/hyperlink" Target="https://www.doi2bib.org/bib/10.1007/s00354-019-00081-z" TargetMode="External"/><Relationship Id="rId15" Type="http://schemas.openxmlformats.org/officeDocument/2006/relationships/hyperlink" Target="https://www.doi.org/10.1002/1098-1063(2000)10:4%3C398::aid-hipo6%3E3.0.co;2-k" TargetMode="External"/><Relationship Id="rId198" Type="http://schemas.openxmlformats.org/officeDocument/2006/relationships/hyperlink" Target="https://nba.uth.tmc.edu/neuroscience/m/s3/chapter05.html" TargetMode="External"/><Relationship Id="rId14" Type="http://schemas.openxmlformats.org/officeDocument/2006/relationships/hyperlink" Target="https://www.doi2bib.org/bib/10.1016/S1364-6613(98)01221-2" TargetMode="External"/><Relationship Id="rId197" Type="http://schemas.openxmlformats.org/officeDocument/2006/relationships/hyperlink" Target="https://www.nature.com/articles/s41583-021-00446-8" TargetMode="External"/><Relationship Id="rId17" Type="http://schemas.openxmlformats.org/officeDocument/2006/relationships/hyperlink" Target="https://www.doi.org/10.1073/pnas.1701003114" TargetMode="External"/><Relationship Id="rId196" Type="http://schemas.openxmlformats.org/officeDocument/2006/relationships/hyperlink" Target="https://www.doi2bib.org/bib/10.1038/s41583-021-00446-8" TargetMode="External"/><Relationship Id="rId16" Type="http://schemas.openxmlformats.org/officeDocument/2006/relationships/hyperlink" Target="https://www.doi2bib.org/bib/10.1002/1098-1063(2000)10:4%3C398::aid-hipo6%3E3.0.co;2-k" TargetMode="External"/><Relationship Id="rId195" Type="http://schemas.openxmlformats.org/officeDocument/2006/relationships/hyperlink" Target="https://www.doi.org/10.1038/s41583-021-00446-8" TargetMode="External"/><Relationship Id="rId19" Type="http://schemas.openxmlformats.org/officeDocument/2006/relationships/hyperlink" Target="https://doi.org/10.1073/pnas.1701003114" TargetMode="External"/><Relationship Id="rId18" Type="http://schemas.openxmlformats.org/officeDocument/2006/relationships/hyperlink" Target="https://www.doi2bib.org/bib/10.1073/pnas.1701003114" TargetMode="External"/><Relationship Id="rId199" Type="http://schemas.openxmlformats.org/officeDocument/2006/relationships/hyperlink" Target="https://nba.uth.tmc.edu/neuroscience/m/s3/chapter05.html" TargetMode="External"/><Relationship Id="rId84" Type="http://schemas.openxmlformats.org/officeDocument/2006/relationships/hyperlink" Target="https://www.doi2bib.org/bib/10.1101/lm.631207" TargetMode="External"/><Relationship Id="rId83" Type="http://schemas.openxmlformats.org/officeDocument/2006/relationships/hyperlink" Target="https://www.doi.org/10.1101/lm.631207" TargetMode="External"/><Relationship Id="rId86" Type="http://schemas.openxmlformats.org/officeDocument/2006/relationships/hyperlink" Target="https://www.doi2bib.org/bib/10.1152/jn.1998.79.4.1797" TargetMode="External"/><Relationship Id="rId85" Type="http://schemas.openxmlformats.org/officeDocument/2006/relationships/hyperlink" Target="https://www.doi.org/10.1152/jn.1998.79.4.1797" TargetMode="External"/><Relationship Id="rId88" Type="http://schemas.openxmlformats.org/officeDocument/2006/relationships/hyperlink" Target="https://www.doi2bib.org/bib/10.1152/jn.1998.79.4.1797" TargetMode="External"/><Relationship Id="rId150" Type="http://schemas.openxmlformats.org/officeDocument/2006/relationships/hyperlink" Target="https://www.doi.org/10.1007/s00429-021-02264-1" TargetMode="External"/><Relationship Id="rId271" Type="http://schemas.openxmlformats.org/officeDocument/2006/relationships/hyperlink" Target="https://www.doi2bib.org/bib/10.1038/s41593-020-00754-9" TargetMode="External"/><Relationship Id="rId87" Type="http://schemas.openxmlformats.org/officeDocument/2006/relationships/hyperlink" Target="https://www.doi.org/10.1152/jn.1998.79.4.1797" TargetMode="External"/><Relationship Id="rId270" Type="http://schemas.openxmlformats.org/officeDocument/2006/relationships/hyperlink" Target="https://www.doi.org/10.1038/s41593-020-00754-9" TargetMode="External"/><Relationship Id="rId89" Type="http://schemas.openxmlformats.org/officeDocument/2006/relationships/hyperlink" Target="https://www.doi.org/10.1152/jn.1998.79.4.1797" TargetMode="External"/><Relationship Id="rId80" Type="http://schemas.openxmlformats.org/officeDocument/2006/relationships/hyperlink" Target="https://www.doi2bib.org/bib/10.3389/fnsys.2013.00074" TargetMode="External"/><Relationship Id="rId82" Type="http://schemas.openxmlformats.org/officeDocument/2006/relationships/hyperlink" Target="https://www.doi2bib.org/bib/10.1101/lm.631207" TargetMode="External"/><Relationship Id="rId81" Type="http://schemas.openxmlformats.org/officeDocument/2006/relationships/hyperlink" Target="https://www.doi.org/10.1101/lm.631207" TargetMode="External"/><Relationship Id="rId1" Type="http://schemas.openxmlformats.org/officeDocument/2006/relationships/hyperlink" Target="https://www.doi.org/10.1016/j.conb.2016.06.017" TargetMode="External"/><Relationship Id="rId2" Type="http://schemas.openxmlformats.org/officeDocument/2006/relationships/hyperlink" Target="https://www.doi2bib.org/bib/10.1016/j.conb.2016.06.017" TargetMode="External"/><Relationship Id="rId3" Type="http://schemas.openxmlformats.org/officeDocument/2006/relationships/hyperlink" Target="https://doi.org/10.1016/j.conb.2016.06.017" TargetMode="External"/><Relationship Id="rId149" Type="http://schemas.openxmlformats.org/officeDocument/2006/relationships/hyperlink" Target="https://www.doi2bib.org/bib/10.1007/BF00235561" TargetMode="External"/><Relationship Id="rId4" Type="http://schemas.openxmlformats.org/officeDocument/2006/relationships/hyperlink" Target="https://www.doi.org/10.1073/pnas.1817689116" TargetMode="External"/><Relationship Id="rId148" Type="http://schemas.openxmlformats.org/officeDocument/2006/relationships/hyperlink" Target="https://www.doi.org/10.1007/BF00235561" TargetMode="External"/><Relationship Id="rId269" Type="http://schemas.openxmlformats.org/officeDocument/2006/relationships/hyperlink" Target="https://www.doi2bib.org/bib/10.1093/med/9780190636111.003.0011" TargetMode="External"/><Relationship Id="rId9" Type="http://schemas.openxmlformats.org/officeDocument/2006/relationships/hyperlink" Target="https://www.doi2bib.org/bib/10.3389/fncom.2020.00074" TargetMode="External"/><Relationship Id="rId143" Type="http://schemas.openxmlformats.org/officeDocument/2006/relationships/hyperlink" Target="https://www.doi.org/10.1093/med/9780195389883.003.0017" TargetMode="External"/><Relationship Id="rId264" Type="http://schemas.openxmlformats.org/officeDocument/2006/relationships/hyperlink" Target="https://www.doi2bib.org/bib/10.1093/cercor/bhw157" TargetMode="External"/><Relationship Id="rId142" Type="http://schemas.openxmlformats.org/officeDocument/2006/relationships/hyperlink" Target="https://www.doi2bib.org/bib/10.1186/gb-2012-13-1-r5" TargetMode="External"/><Relationship Id="rId263" Type="http://schemas.openxmlformats.org/officeDocument/2006/relationships/hyperlink" Target="https://www.doi.org/10.1093/cercor/bhw157" TargetMode="External"/><Relationship Id="rId141" Type="http://schemas.openxmlformats.org/officeDocument/2006/relationships/hyperlink" Target="https://www.doi.org/10.1186/gb-2012-13-1-r5" TargetMode="External"/><Relationship Id="rId262" Type="http://schemas.openxmlformats.org/officeDocument/2006/relationships/hyperlink" Target="https://www.doi2bib.org/bib/10.1098/rstb.2015.0053" TargetMode="External"/><Relationship Id="rId140" Type="http://schemas.openxmlformats.org/officeDocument/2006/relationships/hyperlink" Target="https://www.doi2bib.org/bib/10.1152/jn.1993.70.2.559" TargetMode="External"/><Relationship Id="rId261" Type="http://schemas.openxmlformats.org/officeDocument/2006/relationships/hyperlink" Target="https://www.doi.org/10.1098/rstb.2015.0053" TargetMode="External"/><Relationship Id="rId5" Type="http://schemas.openxmlformats.org/officeDocument/2006/relationships/hyperlink" Target="https://www.doi2bib.org/bib/10.1073/pnas.1817689116" TargetMode="External"/><Relationship Id="rId147" Type="http://schemas.openxmlformats.org/officeDocument/2006/relationships/hyperlink" Target="https://www.doi2bib.org/bib/10.1007/BF00235561" TargetMode="External"/><Relationship Id="rId268" Type="http://schemas.openxmlformats.org/officeDocument/2006/relationships/hyperlink" Target="https://www.doi.org/10.1093/med/9780190636111.003.0011" TargetMode="External"/><Relationship Id="rId6" Type="http://schemas.openxmlformats.org/officeDocument/2006/relationships/hyperlink" Target="https://www.doi.org/10.1186/s40673-016-0047-1" TargetMode="External"/><Relationship Id="rId146" Type="http://schemas.openxmlformats.org/officeDocument/2006/relationships/hyperlink" Target="https://www.doi.org/10.1007/BF00235561" TargetMode="External"/><Relationship Id="rId267" Type="http://schemas.openxmlformats.org/officeDocument/2006/relationships/hyperlink" Target="https://www.doi2bib.org/bib/10.1038/s41586-018-0642-9" TargetMode="External"/><Relationship Id="rId7" Type="http://schemas.openxmlformats.org/officeDocument/2006/relationships/hyperlink" Target="https://www.doi2bib.org/bib/10.1186/s40673-016-0047-1" TargetMode="External"/><Relationship Id="rId145" Type="http://schemas.openxmlformats.org/officeDocument/2006/relationships/hyperlink" Target="https://oxfordmedicine.com/view/10.1093/med/9780195389883.001.0001/med-9780195389883" TargetMode="External"/><Relationship Id="rId266" Type="http://schemas.openxmlformats.org/officeDocument/2006/relationships/hyperlink" Target="https://www.doi.org/10.1038/s41586-018-0642-9" TargetMode="External"/><Relationship Id="rId8" Type="http://schemas.openxmlformats.org/officeDocument/2006/relationships/hyperlink" Target="https://www.doi.org/10.3389/fncom.2020.00074" TargetMode="External"/><Relationship Id="rId144" Type="http://schemas.openxmlformats.org/officeDocument/2006/relationships/hyperlink" Target="https://www.doi2bib.org/bib/10.1093/med/9780195389883.003.0017" TargetMode="External"/><Relationship Id="rId265" Type="http://schemas.openxmlformats.org/officeDocument/2006/relationships/hyperlink" Target="http://atlas.brainnetome.org/" TargetMode="External"/><Relationship Id="rId73" Type="http://schemas.openxmlformats.org/officeDocument/2006/relationships/hyperlink" Target="https://www.doi.org/10.1146/annurev.neuro.051508.135431" TargetMode="External"/><Relationship Id="rId72" Type="http://schemas.openxmlformats.org/officeDocument/2006/relationships/hyperlink" Target="https://www.doi2bib.org/bib/10.3389/fnsys.2014.00205" TargetMode="External"/><Relationship Id="rId75" Type="http://schemas.openxmlformats.org/officeDocument/2006/relationships/hyperlink" Target="https://www.doi.org/10.3389/fnsys.2013.00074" TargetMode="External"/><Relationship Id="rId74" Type="http://schemas.openxmlformats.org/officeDocument/2006/relationships/hyperlink" Target="https://www.doi2bib.org/bib/10.1146/annurev.neuro.051508.135431" TargetMode="External"/><Relationship Id="rId77" Type="http://schemas.openxmlformats.org/officeDocument/2006/relationships/hyperlink" Target="https://www.doi.org/10.3389/fnsys.2013.00074" TargetMode="External"/><Relationship Id="rId260" Type="http://schemas.openxmlformats.org/officeDocument/2006/relationships/hyperlink" Target="https://www.doi2bib.org/bib/10.1016/j.neunet.2006.03.006" TargetMode="External"/><Relationship Id="rId76" Type="http://schemas.openxmlformats.org/officeDocument/2006/relationships/hyperlink" Target="https://www.doi2bib.org/bib/10.3389/fnsys.2013.00074" TargetMode="External"/><Relationship Id="rId79" Type="http://schemas.openxmlformats.org/officeDocument/2006/relationships/hyperlink" Target="https://www.doi.org/10.3389/fnsys.2013.00074" TargetMode="External"/><Relationship Id="rId78" Type="http://schemas.openxmlformats.org/officeDocument/2006/relationships/hyperlink" Target="https://www.doi2bib.org/bib/10.3389/fnsys.2013.00074" TargetMode="External"/><Relationship Id="rId71" Type="http://schemas.openxmlformats.org/officeDocument/2006/relationships/hyperlink" Target="https://www.doi.org/10.3389/fnsys.2014.00205" TargetMode="External"/><Relationship Id="rId70" Type="http://schemas.openxmlformats.org/officeDocument/2006/relationships/hyperlink" Target="https://www.doi2bib.org/bib/10.1523/JNEUROSCI.1046-13.2013" TargetMode="External"/><Relationship Id="rId139" Type="http://schemas.openxmlformats.org/officeDocument/2006/relationships/hyperlink" Target="https://www.doi.org/10.1152/jn.1993.70.2.559" TargetMode="External"/><Relationship Id="rId138" Type="http://schemas.openxmlformats.org/officeDocument/2006/relationships/hyperlink" Target="https://www.doi2bib.org/bib/10.1002/cne.903020211" TargetMode="External"/><Relationship Id="rId259" Type="http://schemas.openxmlformats.org/officeDocument/2006/relationships/hyperlink" Target="https://www.doi.org/10.1016/j.neunet.2006.03.006" TargetMode="External"/><Relationship Id="rId137" Type="http://schemas.openxmlformats.org/officeDocument/2006/relationships/hyperlink" Target="https://www.doi.org/10.1002/cne.903020211" TargetMode="External"/><Relationship Id="rId258" Type="http://schemas.openxmlformats.org/officeDocument/2006/relationships/hyperlink" Target="https://www.doi2bib.org/bib/10.7554/eLife.58613" TargetMode="External"/><Relationship Id="rId132" Type="http://schemas.openxmlformats.org/officeDocument/2006/relationships/hyperlink" Target="https://www.doi2bib.org/bib/10.1016/0014-4886(76)90055-8" TargetMode="External"/><Relationship Id="rId253" Type="http://schemas.openxmlformats.org/officeDocument/2006/relationships/hyperlink" Target="https://www.doi.org/10.3390/brainsci10010028" TargetMode="External"/><Relationship Id="rId131" Type="http://schemas.openxmlformats.org/officeDocument/2006/relationships/hyperlink" Target="https://www.doi.org/10.1016/0014-4886(76)90055-8" TargetMode="External"/><Relationship Id="rId252" Type="http://schemas.openxmlformats.org/officeDocument/2006/relationships/hyperlink" Target="https://www.doi2bib.org/bib/10.3389/fnana.2015.00005" TargetMode="External"/><Relationship Id="rId130" Type="http://schemas.openxmlformats.org/officeDocument/2006/relationships/hyperlink" Target="https://github.com/CompCogNeuro/ed4" TargetMode="External"/><Relationship Id="rId251" Type="http://schemas.openxmlformats.org/officeDocument/2006/relationships/hyperlink" Target="https://www.doi.org/10.3389/fnana.2015.00005" TargetMode="External"/><Relationship Id="rId250" Type="http://schemas.openxmlformats.org/officeDocument/2006/relationships/hyperlink" Target="https://www.doi2bib.org/bib/10.1101/681148" TargetMode="External"/><Relationship Id="rId136" Type="http://schemas.openxmlformats.org/officeDocument/2006/relationships/hyperlink" Target="https://www.doi2bib.org/bib/10.1016/j.celrep.2018.06.014" TargetMode="External"/><Relationship Id="rId257" Type="http://schemas.openxmlformats.org/officeDocument/2006/relationships/hyperlink" Target="https://www.doi.org/10.7554/eLife.58613" TargetMode="External"/><Relationship Id="rId135" Type="http://schemas.openxmlformats.org/officeDocument/2006/relationships/hyperlink" Target="https://www.doi.org/10.1016/j.celrep.2018.06.014" TargetMode="External"/><Relationship Id="rId256" Type="http://schemas.openxmlformats.org/officeDocument/2006/relationships/hyperlink" Target="https://www.mdpi.com/2076-3425/10/1/28" TargetMode="External"/><Relationship Id="rId134" Type="http://schemas.openxmlformats.org/officeDocument/2006/relationships/hyperlink" Target="https://www.doi2bib.org/bib/10.1016/0014-4886(76)90055-8" TargetMode="External"/><Relationship Id="rId255" Type="http://schemas.openxmlformats.org/officeDocument/2006/relationships/hyperlink" Target="https://doi.org/10.3390/brainsci10010028" TargetMode="External"/><Relationship Id="rId133" Type="http://schemas.openxmlformats.org/officeDocument/2006/relationships/hyperlink" Target="https://www.doi.org/10.1016/0014-4886(76)90055-8" TargetMode="External"/><Relationship Id="rId254" Type="http://schemas.openxmlformats.org/officeDocument/2006/relationships/hyperlink" Target="https://www.doi2bib.org/bib/10.3390/brainsci10010028" TargetMode="External"/><Relationship Id="rId62" Type="http://schemas.openxmlformats.org/officeDocument/2006/relationships/hyperlink" Target="https://www.doi2bib.org/bib/10.1002/cne.24283" TargetMode="External"/><Relationship Id="rId61" Type="http://schemas.openxmlformats.org/officeDocument/2006/relationships/hyperlink" Target="https://www.doi.org/10.1002/cne.24283" TargetMode="External"/><Relationship Id="rId64" Type="http://schemas.openxmlformats.org/officeDocument/2006/relationships/hyperlink" Target="https://www.doi2bib.org/bib/10.1016/0006-8993(85)90520-7" TargetMode="External"/><Relationship Id="rId63" Type="http://schemas.openxmlformats.org/officeDocument/2006/relationships/hyperlink" Target="https://www.doi.org/10.1016/0006-8993(85)90520-7" TargetMode="External"/><Relationship Id="rId66" Type="http://schemas.openxmlformats.org/officeDocument/2006/relationships/hyperlink" Target="https://www.doi2bib.org/bib/10.3389/fnana.2017.00030" TargetMode="External"/><Relationship Id="rId172" Type="http://schemas.openxmlformats.org/officeDocument/2006/relationships/hyperlink" Target="https://www.doi.org/10.1073/pnas.1211168109" TargetMode="External"/><Relationship Id="rId293" Type="http://schemas.openxmlformats.org/officeDocument/2006/relationships/hyperlink" Target="https://www.doi.org/10.1523/ENEURO.0290-16.2017" TargetMode="External"/><Relationship Id="rId65" Type="http://schemas.openxmlformats.org/officeDocument/2006/relationships/hyperlink" Target="https://www.doi.org/10.3389/fnana.2017.00030" TargetMode="External"/><Relationship Id="rId171" Type="http://schemas.openxmlformats.org/officeDocument/2006/relationships/hyperlink" Target="https://www.frontiersin.org/articles/10.3389/fpsyg.2018.00859/full" TargetMode="External"/><Relationship Id="rId292" Type="http://schemas.openxmlformats.org/officeDocument/2006/relationships/hyperlink" Target="https://www.doi2bib.org/bib/10.1016/j.neuron.2010.04.013" TargetMode="External"/><Relationship Id="rId68" Type="http://schemas.openxmlformats.org/officeDocument/2006/relationships/hyperlink" Target="https://www.doi2bib.org/bib/10.3389/fnana.2017.00030" TargetMode="External"/><Relationship Id="rId170" Type="http://schemas.openxmlformats.org/officeDocument/2006/relationships/hyperlink" Target="https://www.doi2bib.org/bib/10.3389/fpsyg.2018.00859" TargetMode="External"/><Relationship Id="rId291" Type="http://schemas.openxmlformats.org/officeDocument/2006/relationships/hyperlink" Target="https://www.doi.org/10.1016/j.neuron.2010.04.013" TargetMode="External"/><Relationship Id="rId67" Type="http://schemas.openxmlformats.org/officeDocument/2006/relationships/hyperlink" Target="https://www.doi.org/10.3389/fnana.2017.00030" TargetMode="External"/><Relationship Id="rId290" Type="http://schemas.openxmlformats.org/officeDocument/2006/relationships/hyperlink" Target="https://www.doi2bib.org/bib/10.1523/JNEUROSCI.1162-19.2019" TargetMode="External"/><Relationship Id="rId60" Type="http://schemas.openxmlformats.org/officeDocument/2006/relationships/hyperlink" Target="https://www.doi2bib.org/bib/10.1038/nrn3469" TargetMode="External"/><Relationship Id="rId165" Type="http://schemas.openxmlformats.org/officeDocument/2006/relationships/hyperlink" Target="https://www.doi2bib.org/bib/10.1002/cne.23458" TargetMode="External"/><Relationship Id="rId286" Type="http://schemas.openxmlformats.org/officeDocument/2006/relationships/hyperlink" Target="https://link.springer.com/article/10.1007%2FBF00231143" TargetMode="External"/><Relationship Id="rId69" Type="http://schemas.openxmlformats.org/officeDocument/2006/relationships/hyperlink" Target="https://www.doi.org/10.1523/JNEUROSCI.1046-13.2013" TargetMode="External"/><Relationship Id="rId164" Type="http://schemas.openxmlformats.org/officeDocument/2006/relationships/hyperlink" Target="https://www.doi.org/10.1002/cne.23458" TargetMode="External"/><Relationship Id="rId285" Type="http://schemas.openxmlformats.org/officeDocument/2006/relationships/hyperlink" Target="https://www.doi2bib.org/bib/10.1007/BF00231143" TargetMode="External"/><Relationship Id="rId163" Type="http://schemas.openxmlformats.org/officeDocument/2006/relationships/hyperlink" Target="https://www.doi2bib.org/bib/10.1371/journal.pone.0164037" TargetMode="External"/><Relationship Id="rId284" Type="http://schemas.openxmlformats.org/officeDocument/2006/relationships/hyperlink" Target="https://www.doi.org/10.1007/BF00231143" TargetMode="External"/><Relationship Id="rId162" Type="http://schemas.openxmlformats.org/officeDocument/2006/relationships/hyperlink" Target="https://www.doi.org/10.1371/journal.pone.0164037" TargetMode="External"/><Relationship Id="rId283" Type="http://schemas.openxmlformats.org/officeDocument/2006/relationships/hyperlink" Target="https://www.doi2bib.org/bib/10.1007/s00429-018-1726-x" TargetMode="External"/><Relationship Id="rId169" Type="http://schemas.openxmlformats.org/officeDocument/2006/relationships/hyperlink" Target="https://www.doi.org/10.3389/fpsyg.2018.00859" TargetMode="External"/><Relationship Id="rId168" Type="http://schemas.openxmlformats.org/officeDocument/2006/relationships/hyperlink" Target="https://www.nature.com/articles/s41467-020-14858-0" TargetMode="External"/><Relationship Id="rId289" Type="http://schemas.openxmlformats.org/officeDocument/2006/relationships/hyperlink" Target="https://www.doi.org/10.1523/JNEUROSCI.1162-19.2019" TargetMode="External"/><Relationship Id="rId167" Type="http://schemas.openxmlformats.org/officeDocument/2006/relationships/hyperlink" Target="https://www.doi2bib.org/bib/10.1038/s41467-020-14858-0" TargetMode="External"/><Relationship Id="rId288" Type="http://schemas.openxmlformats.org/officeDocument/2006/relationships/hyperlink" Target="https://www.doi2bib.org/bib/10.1111/j.1460-9568.2012.08033.x" TargetMode="External"/><Relationship Id="rId166" Type="http://schemas.openxmlformats.org/officeDocument/2006/relationships/hyperlink" Target="https://www.doi.org/10.1038/s41467-020-14858-0" TargetMode="External"/><Relationship Id="rId287" Type="http://schemas.openxmlformats.org/officeDocument/2006/relationships/hyperlink" Target="https://www.doi.org/10.1111/j.1460-9568.2012.08033.x" TargetMode="External"/><Relationship Id="rId51" Type="http://schemas.openxmlformats.org/officeDocument/2006/relationships/hyperlink" Target="https://www.doi.org/10.1002/cne.903010410" TargetMode="External"/><Relationship Id="rId50" Type="http://schemas.openxmlformats.org/officeDocument/2006/relationships/hyperlink" Target="https://clinicalgate.com/anatomy-and-synaptic-connectivity-of-the-basal-ganglia/" TargetMode="External"/><Relationship Id="rId53" Type="http://schemas.openxmlformats.org/officeDocument/2006/relationships/hyperlink" Target="https://www.doi.org/10.1523/JNEUROSCI.0768-11.2011" TargetMode="External"/><Relationship Id="rId52" Type="http://schemas.openxmlformats.org/officeDocument/2006/relationships/hyperlink" Target="https://www.doi2bib.org/bib/10.1002/cne.903010410" TargetMode="External"/><Relationship Id="rId55" Type="http://schemas.openxmlformats.org/officeDocument/2006/relationships/hyperlink" Target="https://www.doi.org/10.1093/med/9780190636111.001.0001" TargetMode="External"/><Relationship Id="rId161" Type="http://schemas.openxmlformats.org/officeDocument/2006/relationships/hyperlink" Target="https://www.doi2bib.org/bib/10.1152/jn.00846.2018" TargetMode="External"/><Relationship Id="rId282" Type="http://schemas.openxmlformats.org/officeDocument/2006/relationships/hyperlink" Target="https://www.doi.org/10.1007/s00429-018-1726-x" TargetMode="External"/><Relationship Id="rId54" Type="http://schemas.openxmlformats.org/officeDocument/2006/relationships/hyperlink" Target="https://www.doi2bib.org/bib/10.1523/JNEUROSCI.0768-11.2011" TargetMode="External"/><Relationship Id="rId160" Type="http://schemas.openxmlformats.org/officeDocument/2006/relationships/hyperlink" Target="https://www.doi.org/10.1152/jn.00846.2018" TargetMode="External"/><Relationship Id="rId281" Type="http://schemas.openxmlformats.org/officeDocument/2006/relationships/hyperlink" Target="https://www.doi2bib.org/bib/10.3389/fnana.2011.00059" TargetMode="External"/><Relationship Id="rId57" Type="http://schemas.openxmlformats.org/officeDocument/2006/relationships/hyperlink" Target="https://www.doi.org/10.1038/nrn3469" TargetMode="External"/><Relationship Id="rId280" Type="http://schemas.openxmlformats.org/officeDocument/2006/relationships/hyperlink" Target="https://www.doi.org/10.3389/fnana.2011.00059" TargetMode="External"/><Relationship Id="rId56" Type="http://schemas.openxmlformats.org/officeDocument/2006/relationships/hyperlink" Target="https://www.doi2bib.org/bib/10.1093/med/9780190636111.001.0001" TargetMode="External"/><Relationship Id="rId159" Type="http://schemas.openxmlformats.org/officeDocument/2006/relationships/hyperlink" Target="https://www.doi2bib.org/bib/10.1002/cne.901750404" TargetMode="External"/><Relationship Id="rId59" Type="http://schemas.openxmlformats.org/officeDocument/2006/relationships/hyperlink" Target="https://www.doi.org/10.1038/nrn3469" TargetMode="External"/><Relationship Id="rId154" Type="http://schemas.openxmlformats.org/officeDocument/2006/relationships/hyperlink" Target="https://www.doi.org/10.1016/j.neubiorev.2015.03.001" TargetMode="External"/><Relationship Id="rId275" Type="http://schemas.openxmlformats.org/officeDocument/2006/relationships/hyperlink" Target="https://www.doi2bib.org/bib/10.1016/j.bandl.2012.06.011" TargetMode="External"/><Relationship Id="rId58" Type="http://schemas.openxmlformats.org/officeDocument/2006/relationships/hyperlink" Target="https://www.doi2bib.org/bib/10.1038/nrn3469" TargetMode="External"/><Relationship Id="rId153" Type="http://schemas.openxmlformats.org/officeDocument/2006/relationships/hyperlink" Target="https://www.doi2bib.org/bib/10.1016/j.neures.2006.07.012" TargetMode="External"/><Relationship Id="rId274" Type="http://schemas.openxmlformats.org/officeDocument/2006/relationships/hyperlink" Target="https://www.doi.org/10.1016/j.bandl.2012.06.011" TargetMode="External"/><Relationship Id="rId152" Type="http://schemas.openxmlformats.org/officeDocument/2006/relationships/hyperlink" Target="https://www.doi.org/10.1016/j.neures.2006.07.012" TargetMode="External"/><Relationship Id="rId273" Type="http://schemas.openxmlformats.org/officeDocument/2006/relationships/hyperlink" Target="https://www.doi2bib.org/bib/10.3389/fncir.2012.00116" TargetMode="External"/><Relationship Id="rId151" Type="http://schemas.openxmlformats.org/officeDocument/2006/relationships/hyperlink" Target="https://www.doi2bib.org/bib/10.1007/s00429-021-02264-1" TargetMode="External"/><Relationship Id="rId272" Type="http://schemas.openxmlformats.org/officeDocument/2006/relationships/hyperlink" Target="https://www.doi.org/10.3389/fncir.2012.00116" TargetMode="External"/><Relationship Id="rId158" Type="http://schemas.openxmlformats.org/officeDocument/2006/relationships/hyperlink" Target="https://www.doi.org/10.1002/cne.901750404" TargetMode="External"/><Relationship Id="rId279" Type="http://schemas.openxmlformats.org/officeDocument/2006/relationships/hyperlink" Target="https://www.doi2bib.org/bib/10.3389/fnana.2011.00059" TargetMode="External"/><Relationship Id="rId157" Type="http://schemas.openxmlformats.org/officeDocument/2006/relationships/hyperlink" Target="https://www.doi2bib.org/bib/10.1152/jn.2000.83.4.2080" TargetMode="External"/><Relationship Id="rId278" Type="http://schemas.openxmlformats.org/officeDocument/2006/relationships/hyperlink" Target="https://www.doi.org/10.3389/fnana.2011.00059" TargetMode="External"/><Relationship Id="rId156" Type="http://schemas.openxmlformats.org/officeDocument/2006/relationships/hyperlink" Target="https://www.doi.org/10.1152/jn.2000.83.4.2080" TargetMode="External"/><Relationship Id="rId277" Type="http://schemas.openxmlformats.org/officeDocument/2006/relationships/hyperlink" Target="https://www.doi2bib.org/bib/10.1152/jn.00308.2007" TargetMode="External"/><Relationship Id="rId155" Type="http://schemas.openxmlformats.org/officeDocument/2006/relationships/hyperlink" Target="https://www.doi2bib.org/bib/10.1016/j.neubiorev.2015.03.001" TargetMode="External"/><Relationship Id="rId276" Type="http://schemas.openxmlformats.org/officeDocument/2006/relationships/hyperlink" Target="https://www.doi.org/10.1152/jn.00308.2007" TargetMode="External"/><Relationship Id="rId107" Type="http://schemas.openxmlformats.org/officeDocument/2006/relationships/hyperlink" Target="https://www.doi2bib.org/bib/10.1002/cne.903310210" TargetMode="External"/><Relationship Id="rId228" Type="http://schemas.openxmlformats.org/officeDocument/2006/relationships/hyperlink" Target="https://www.doi.org/10.1038/s41583-019-0160-2" TargetMode="External"/><Relationship Id="rId106" Type="http://schemas.openxmlformats.org/officeDocument/2006/relationships/hyperlink" Target="https://www.doi.org/10.1002/cne.903310210" TargetMode="External"/><Relationship Id="rId227" Type="http://schemas.openxmlformats.org/officeDocument/2006/relationships/hyperlink" Target="https://www.ncbi.nlm.nih.gov/books/NBK538167/" TargetMode="External"/><Relationship Id="rId105" Type="http://schemas.openxmlformats.org/officeDocument/2006/relationships/hyperlink" Target="https://www.doi2bib.org/bib/10.1038/nrn.2016.150" TargetMode="External"/><Relationship Id="rId226" Type="http://schemas.openxmlformats.org/officeDocument/2006/relationships/hyperlink" Target="https://www.ncbi.nlm.nih.gov/books/NBK538167/" TargetMode="External"/><Relationship Id="rId104" Type="http://schemas.openxmlformats.org/officeDocument/2006/relationships/hyperlink" Target="https://www.doi.org/10.1038/nrn.2016.150" TargetMode="External"/><Relationship Id="rId225" Type="http://schemas.openxmlformats.org/officeDocument/2006/relationships/hyperlink" Target="https://www.doi2bib.org/bib/10.1016/s0306-4522(97)00581-2" TargetMode="External"/><Relationship Id="rId109" Type="http://schemas.openxmlformats.org/officeDocument/2006/relationships/hyperlink" Target="https://www.doi2bib.org/bib/10.1002/cne.903310210" TargetMode="External"/><Relationship Id="rId108" Type="http://schemas.openxmlformats.org/officeDocument/2006/relationships/hyperlink" Target="https://www.doi.org/10.1002/cne.903310210" TargetMode="External"/><Relationship Id="rId229" Type="http://schemas.openxmlformats.org/officeDocument/2006/relationships/hyperlink" Target="https://www.doi2bib.org/bib/10.1038/s41583-019-0160-2" TargetMode="External"/><Relationship Id="rId220" Type="http://schemas.openxmlformats.org/officeDocument/2006/relationships/hyperlink" Target="https://www.doi.org/10.1073/pnas.97.22.11793" TargetMode="External"/><Relationship Id="rId103" Type="http://schemas.openxmlformats.org/officeDocument/2006/relationships/hyperlink" Target="https://www.doi2bib.org/bib/10.1152/jn.1998.79.3.1145" TargetMode="External"/><Relationship Id="rId224" Type="http://schemas.openxmlformats.org/officeDocument/2006/relationships/hyperlink" Target="https://www.doi.org/10.1016/s0306-4522(97)00581-2" TargetMode="External"/><Relationship Id="rId102" Type="http://schemas.openxmlformats.org/officeDocument/2006/relationships/hyperlink" Target="https://www.doi.org/10.1152/jn.1998.79.3.1145" TargetMode="External"/><Relationship Id="rId223" Type="http://schemas.openxmlformats.org/officeDocument/2006/relationships/hyperlink" Target="https://www.doi2bib.org/bib/10.1101/379149" TargetMode="External"/><Relationship Id="rId101" Type="http://schemas.openxmlformats.org/officeDocument/2006/relationships/hyperlink" Target="https://www.doi2bib.org/bib/10.1152/jn.1998.79.3.1145" TargetMode="External"/><Relationship Id="rId222" Type="http://schemas.openxmlformats.org/officeDocument/2006/relationships/hyperlink" Target="https://www.doi.org/10.1101/379149" TargetMode="External"/><Relationship Id="rId100" Type="http://schemas.openxmlformats.org/officeDocument/2006/relationships/hyperlink" Target="https://www.doi.org/10.1152/jn.1998.79.3.1145" TargetMode="External"/><Relationship Id="rId221" Type="http://schemas.openxmlformats.org/officeDocument/2006/relationships/hyperlink" Target="https://www.doi2bib.org/bib/10.1073/pnas.97.22.11793" TargetMode="External"/><Relationship Id="rId217" Type="http://schemas.openxmlformats.org/officeDocument/2006/relationships/hyperlink" Target="https://www.doi2bib.org/bib/10.1371/journal.pone.0050270" TargetMode="External"/><Relationship Id="rId216" Type="http://schemas.openxmlformats.org/officeDocument/2006/relationships/hyperlink" Target="https://www.doi.org/10.1371/journal.pone.0050270" TargetMode="External"/><Relationship Id="rId215" Type="http://schemas.openxmlformats.org/officeDocument/2006/relationships/hyperlink" Target="https://www.doi2bib.org/bib/10.1152/jn.1997.78.4.1753" TargetMode="External"/><Relationship Id="rId214" Type="http://schemas.openxmlformats.org/officeDocument/2006/relationships/hyperlink" Target="https://www.doi.org/10.1152/jn.1997.78.4.1753" TargetMode="External"/><Relationship Id="rId219" Type="http://schemas.openxmlformats.org/officeDocument/2006/relationships/hyperlink" Target="https://www.doi2bib.org/bib/10.1371/journal.pone.0050270" TargetMode="External"/><Relationship Id="rId218" Type="http://schemas.openxmlformats.org/officeDocument/2006/relationships/hyperlink" Target="https://www.doi.org/10.1371/journal.pone.0050270" TargetMode="External"/><Relationship Id="rId330" Type="http://schemas.openxmlformats.org/officeDocument/2006/relationships/drawing" Target="../drawings/drawing2.xml"/><Relationship Id="rId213" Type="http://schemas.openxmlformats.org/officeDocument/2006/relationships/hyperlink" Target="https://www.doi2bib.org/bib/10.3389/fncir.2013.00075" TargetMode="External"/><Relationship Id="rId212" Type="http://schemas.openxmlformats.org/officeDocument/2006/relationships/hyperlink" Target="https://www.doi.org/10.3389/fncir.2013.00075" TargetMode="External"/><Relationship Id="rId211" Type="http://schemas.openxmlformats.org/officeDocument/2006/relationships/hyperlink" Target="https://www.doi2bib.org/bib/10.1101/lm.688207" TargetMode="External"/><Relationship Id="rId210" Type="http://schemas.openxmlformats.org/officeDocument/2006/relationships/hyperlink" Target="https://www.doi.org/10.1101/lm.688207" TargetMode="External"/><Relationship Id="rId129" Type="http://schemas.openxmlformats.org/officeDocument/2006/relationships/hyperlink" Target="https://github.com/CompCogNeuro/ed4" TargetMode="External"/><Relationship Id="rId128" Type="http://schemas.openxmlformats.org/officeDocument/2006/relationships/hyperlink" Target="https://www.doi2bib.org/bib/10.1093/cercor/bht260" TargetMode="External"/><Relationship Id="rId249" Type="http://schemas.openxmlformats.org/officeDocument/2006/relationships/hyperlink" Target="https://www.doi.org/10.1101/681148" TargetMode="External"/><Relationship Id="rId127" Type="http://schemas.openxmlformats.org/officeDocument/2006/relationships/hyperlink" Target="https://www.doi.org/10.1093/cercor/bht260" TargetMode="External"/><Relationship Id="rId248" Type="http://schemas.openxmlformats.org/officeDocument/2006/relationships/hyperlink" Target="https://www.doi2bib.org/bib/10.1101/637447" TargetMode="External"/><Relationship Id="rId126" Type="http://schemas.openxmlformats.org/officeDocument/2006/relationships/hyperlink" Target="https://www.doi2bib.org/bib/10.1093/acprof:osobl/9780199552917.001.0001" TargetMode="External"/><Relationship Id="rId247" Type="http://schemas.openxmlformats.org/officeDocument/2006/relationships/hyperlink" Target="https://www.doi.org/10.1101/637447" TargetMode="External"/><Relationship Id="rId121" Type="http://schemas.openxmlformats.org/officeDocument/2006/relationships/hyperlink" Target="https://www.doi2bib.org/bib/10.1016/j.cortex.2011.07.002" TargetMode="External"/><Relationship Id="rId242" Type="http://schemas.openxmlformats.org/officeDocument/2006/relationships/hyperlink" Target="https://www.doi2bib.org/bib/10.1523/JNEUROSCI.4674-12.2013" TargetMode="External"/><Relationship Id="rId120" Type="http://schemas.openxmlformats.org/officeDocument/2006/relationships/hyperlink" Target="https://www.doi.org/10.1016/j.cortex.2011.07.002" TargetMode="External"/><Relationship Id="rId241" Type="http://schemas.openxmlformats.org/officeDocument/2006/relationships/hyperlink" Target="https://www.doi.org/10.1523/JNEUROSCI.4674-12.2013" TargetMode="External"/><Relationship Id="rId240" Type="http://schemas.openxmlformats.org/officeDocument/2006/relationships/hyperlink" Target="https://www.doi2bib.org/bib/10.1152/physrev.2000.80.3.953" TargetMode="External"/><Relationship Id="rId125" Type="http://schemas.openxmlformats.org/officeDocument/2006/relationships/hyperlink" Target="https://www.doi.org/10.1093/acprof:osobl/9780199552917.001.0001" TargetMode="External"/><Relationship Id="rId246" Type="http://schemas.openxmlformats.org/officeDocument/2006/relationships/hyperlink" Target="https://www.doi2bib.org/bib/10.1007/s12311-019-01019-3" TargetMode="External"/><Relationship Id="rId124" Type="http://schemas.openxmlformats.org/officeDocument/2006/relationships/hyperlink" Target="https://www.marmosetbrain.org/reference%0A%0Ahttps://journals.viamedica.pl/folia_morphologica/article/viewFile/16543/13176" TargetMode="External"/><Relationship Id="rId245" Type="http://schemas.openxmlformats.org/officeDocument/2006/relationships/hyperlink" Target="https://www.doi.org/10.1007/s12311-019-01019-3" TargetMode="External"/><Relationship Id="rId123" Type="http://schemas.openxmlformats.org/officeDocument/2006/relationships/hyperlink" Target="https://www.doi2bib.org/bib/10.1016/j.neubiorev.2014.10.021" TargetMode="External"/><Relationship Id="rId244" Type="http://schemas.openxmlformats.org/officeDocument/2006/relationships/hyperlink" Target="https://www.doi2bib.org/bib/10.1038/nn.3917" TargetMode="External"/><Relationship Id="rId122" Type="http://schemas.openxmlformats.org/officeDocument/2006/relationships/hyperlink" Target="https://www.doi.org/10.1016/j.neubiorev.2014.10.021" TargetMode="External"/><Relationship Id="rId243" Type="http://schemas.openxmlformats.org/officeDocument/2006/relationships/hyperlink" Target="https://www.doi.org/10.1038/nn.3917" TargetMode="External"/><Relationship Id="rId95" Type="http://schemas.openxmlformats.org/officeDocument/2006/relationships/hyperlink" Target="https://www.doi.org/10.1111/jora.12342" TargetMode="External"/><Relationship Id="rId94" Type="http://schemas.openxmlformats.org/officeDocument/2006/relationships/hyperlink" Target="https://www.doi2bib.org/bib/10.1162/089892904970690" TargetMode="External"/><Relationship Id="rId97" Type="http://schemas.openxmlformats.org/officeDocument/2006/relationships/hyperlink" Target="https://onlinelibrary.wiley.com/doi/full/10.1111/jora.12342" TargetMode="External"/><Relationship Id="rId96" Type="http://schemas.openxmlformats.org/officeDocument/2006/relationships/hyperlink" Target="https://www.doi2bib.org/bib/10.1111/jora.12342" TargetMode="External"/><Relationship Id="rId99" Type="http://schemas.openxmlformats.org/officeDocument/2006/relationships/hyperlink" Target="https://www.doi2bib.org/bib/10.1016/0042-6989(72)90070-3" TargetMode="External"/><Relationship Id="rId98" Type="http://schemas.openxmlformats.org/officeDocument/2006/relationships/hyperlink" Target="https://www.doi.org/10.1016/0042-6989(72)90070-3" TargetMode="External"/><Relationship Id="rId91" Type="http://schemas.openxmlformats.org/officeDocument/2006/relationships/hyperlink" Target="https://www.doi.org/10.3389/fnsys.2013.00015" TargetMode="External"/><Relationship Id="rId90" Type="http://schemas.openxmlformats.org/officeDocument/2006/relationships/hyperlink" Target="https://www.doi2bib.org/bib/10.1152/jn.1998.79.4.1797" TargetMode="External"/><Relationship Id="rId93" Type="http://schemas.openxmlformats.org/officeDocument/2006/relationships/hyperlink" Target="https://www.doi.org/10.1162/089892904970690" TargetMode="External"/><Relationship Id="rId92" Type="http://schemas.openxmlformats.org/officeDocument/2006/relationships/hyperlink" Target="https://www.doi2bib.org/bib/10.3389/fnsys.2013.00015" TargetMode="External"/><Relationship Id="rId118" Type="http://schemas.openxmlformats.org/officeDocument/2006/relationships/hyperlink" Target="https://www.doi.org/10.1155/2016/3024342" TargetMode="External"/><Relationship Id="rId239" Type="http://schemas.openxmlformats.org/officeDocument/2006/relationships/hyperlink" Target="https://www.doi.org/10.1152/physrev.2000.80.3.953" TargetMode="External"/><Relationship Id="rId117" Type="http://schemas.openxmlformats.org/officeDocument/2006/relationships/hyperlink" Target="https://www.doi2bib.org/bib/10.1093/scan/nsaa076" TargetMode="External"/><Relationship Id="rId238" Type="http://schemas.openxmlformats.org/officeDocument/2006/relationships/hyperlink" Target="https://www.sciencedirect.com/science/article/pii/S0079612306600125?via%3Dihub" TargetMode="External"/><Relationship Id="rId116" Type="http://schemas.openxmlformats.org/officeDocument/2006/relationships/hyperlink" Target="https://www.doi.org/10.1093/scan/nsaa076" TargetMode="External"/><Relationship Id="rId237" Type="http://schemas.openxmlformats.org/officeDocument/2006/relationships/hyperlink" Target="https://www.doi2bib.org/bib/10.1016/S0079-6123(06)60012-5" TargetMode="External"/><Relationship Id="rId115" Type="http://schemas.openxmlformats.org/officeDocument/2006/relationships/hyperlink" Target="https://www.doi2bib.org/bib/10.1093/scan/nsaa076" TargetMode="External"/><Relationship Id="rId236" Type="http://schemas.openxmlformats.org/officeDocument/2006/relationships/hyperlink" Target="https://www.doi.org/10.1016/S0079-6123(06)60012-5" TargetMode="External"/><Relationship Id="rId119" Type="http://schemas.openxmlformats.org/officeDocument/2006/relationships/hyperlink" Target="https://www.doi2bib.org/bib/10.1155/2016/3024342" TargetMode="External"/><Relationship Id="rId110" Type="http://schemas.openxmlformats.org/officeDocument/2006/relationships/hyperlink" Target="https://www.doi.org/10.1073/pnas.2015318117" TargetMode="External"/><Relationship Id="rId231" Type="http://schemas.openxmlformats.org/officeDocument/2006/relationships/hyperlink" Target="https://www.doi2bib.org/bib/10.1038/nature14188" TargetMode="External"/><Relationship Id="rId230" Type="http://schemas.openxmlformats.org/officeDocument/2006/relationships/hyperlink" Target="https://www.doi.org/10.1038/nature14188" TargetMode="External"/><Relationship Id="rId114" Type="http://schemas.openxmlformats.org/officeDocument/2006/relationships/hyperlink" Target="https://www.doi.org/10.1093/scan/nsaa076" TargetMode="External"/><Relationship Id="rId235" Type="http://schemas.openxmlformats.org/officeDocument/2006/relationships/hyperlink" Target="https://www.doi2bib.org/bib/10.1113/jphysiol.1977.sp011747" TargetMode="External"/><Relationship Id="rId113" Type="http://schemas.openxmlformats.org/officeDocument/2006/relationships/hyperlink" Target="https://journals.viamedica.pl/folia_morphologica/article/viewFile/16543/13176" TargetMode="External"/><Relationship Id="rId234" Type="http://schemas.openxmlformats.org/officeDocument/2006/relationships/hyperlink" Target="https://www.doi.org/10.1113/jphysiol.1977.sp011747" TargetMode="External"/><Relationship Id="rId112" Type="http://schemas.openxmlformats.org/officeDocument/2006/relationships/hyperlink" Target="https://journals.viamedica.pl/folia_morphologica/article/viewFile/16543/13176" TargetMode="External"/><Relationship Id="rId233" Type="http://schemas.openxmlformats.org/officeDocument/2006/relationships/hyperlink" Target="https://www.doi2bib.org/bib/10.1152/jn.01073.2006" TargetMode="External"/><Relationship Id="rId111" Type="http://schemas.openxmlformats.org/officeDocument/2006/relationships/hyperlink" Target="https://www.doi2bib.org/bib/10.1073/pnas.2015318117" TargetMode="External"/><Relationship Id="rId232" Type="http://schemas.openxmlformats.org/officeDocument/2006/relationships/hyperlink" Target="https://www.doi.org/10.1152/jn.01073.2006" TargetMode="External"/><Relationship Id="rId305" Type="http://schemas.openxmlformats.org/officeDocument/2006/relationships/hyperlink" Target="https://www.doi.org/10.1093/med/9780195389883.003.0011" TargetMode="External"/><Relationship Id="rId304" Type="http://schemas.openxmlformats.org/officeDocument/2006/relationships/hyperlink" Target="https://www.doi2bib.org/bib/10.1523/JNEUROSCI.6141-11.2012" TargetMode="External"/><Relationship Id="rId303" Type="http://schemas.openxmlformats.org/officeDocument/2006/relationships/hyperlink" Target="https://www.doi.org/10.1523/JNEUROSCI.6141-11.2012" TargetMode="External"/><Relationship Id="rId302" Type="http://schemas.openxmlformats.org/officeDocument/2006/relationships/hyperlink" Target="https://www.doi2bib.org/bib/10.3389/fnsys.2013.00051" TargetMode="External"/><Relationship Id="rId309" Type="http://schemas.openxmlformats.org/officeDocument/2006/relationships/hyperlink" Target="https://www.doi.org/10.1212/01.wnl.0000326066.57313.13" TargetMode="External"/><Relationship Id="rId308" Type="http://schemas.openxmlformats.org/officeDocument/2006/relationships/hyperlink" Target="https://www.doi2bib.org/bib/10.3389/fncir.2019.00051" TargetMode="External"/><Relationship Id="rId307" Type="http://schemas.openxmlformats.org/officeDocument/2006/relationships/hyperlink" Target="https://www.doi.org/10.3389/fncir.2019.00051" TargetMode="External"/><Relationship Id="rId306" Type="http://schemas.openxmlformats.org/officeDocument/2006/relationships/hyperlink" Target="https://www.doi2bib.org/bib/10.1093/med/9780195389883.003.0011" TargetMode="External"/><Relationship Id="rId301" Type="http://schemas.openxmlformats.org/officeDocument/2006/relationships/hyperlink" Target="https://www.doi.org/10.3389/fnsys.2013.00051" TargetMode="External"/><Relationship Id="rId300" Type="http://schemas.openxmlformats.org/officeDocument/2006/relationships/hyperlink" Target="https://www.doi2bib.org/bib/10.1126/science.1071089" TargetMode="External"/><Relationship Id="rId206" Type="http://schemas.openxmlformats.org/officeDocument/2006/relationships/hyperlink" Target="https://www.doi.org/10.3389/fneur.2011.00053" TargetMode="External"/><Relationship Id="rId327" Type="http://schemas.openxmlformats.org/officeDocument/2006/relationships/hyperlink" Target="https://www.doi2bib.org/bib/10.1002/hipo.450010410" TargetMode="External"/><Relationship Id="rId205" Type="http://schemas.openxmlformats.org/officeDocument/2006/relationships/hyperlink" Target="https://www.doi2bib.org/bib/10.1002/(SICI)1098-1063(1997)7:5%3C571::AID-HIPO12%3E3.0.CO;2-Y" TargetMode="External"/><Relationship Id="rId326" Type="http://schemas.openxmlformats.org/officeDocument/2006/relationships/hyperlink" Target="https://www.doi.org/10.1002/hipo.450010410" TargetMode="External"/><Relationship Id="rId204" Type="http://schemas.openxmlformats.org/officeDocument/2006/relationships/hyperlink" Target="https://www.doi.org/10.1002/(SICI)1098-1063(1997)7:5%3C571::AID-HIPO12%3E3.0.CO;2-Y" TargetMode="External"/><Relationship Id="rId325" Type="http://schemas.openxmlformats.org/officeDocument/2006/relationships/hyperlink" Target="https://www.doi2bib.org/bib/10.1093/acprof:oso/9780195100273.001.0001" TargetMode="External"/><Relationship Id="rId203" Type="http://schemas.openxmlformats.org/officeDocument/2006/relationships/hyperlink" Target="https://www.doi2bib.org/bib/10.1098/rstb.2013.0369" TargetMode="External"/><Relationship Id="rId324" Type="http://schemas.openxmlformats.org/officeDocument/2006/relationships/hyperlink" Target="https://www.doi.org/10.1093/acprof:oso/9780195100273.001.0001" TargetMode="External"/><Relationship Id="rId209" Type="http://schemas.openxmlformats.org/officeDocument/2006/relationships/hyperlink" Target="https://www.doi2bib.org/bib/10.3389/fneur.2011.00053" TargetMode="External"/><Relationship Id="rId208" Type="http://schemas.openxmlformats.org/officeDocument/2006/relationships/hyperlink" Target="https://www.doi.org/10.3389/fneur.2011.00053" TargetMode="External"/><Relationship Id="rId329" Type="http://schemas.openxmlformats.org/officeDocument/2006/relationships/hyperlink" Target="https://en.wikipedia.org/wiki/Accessory_cuneate_nucleus" TargetMode="External"/><Relationship Id="rId207" Type="http://schemas.openxmlformats.org/officeDocument/2006/relationships/hyperlink" Target="https://www.doi2bib.org/bib/10.3389/fneur.2011.00053" TargetMode="External"/><Relationship Id="rId328" Type="http://schemas.openxmlformats.org/officeDocument/2006/relationships/hyperlink" Target="https://en.wikipedia.org/wiki/Accessory_cuneate_nucleus" TargetMode="External"/><Relationship Id="rId202" Type="http://schemas.openxmlformats.org/officeDocument/2006/relationships/hyperlink" Target="https://www.doi.org/10.1098/rstb.2013.0369" TargetMode="External"/><Relationship Id="rId323" Type="http://schemas.openxmlformats.org/officeDocument/2006/relationships/hyperlink" Target="https://www.doi2bib.org/bib/10.7554/eLife.46973" TargetMode="External"/><Relationship Id="rId201" Type="http://schemas.openxmlformats.org/officeDocument/2006/relationships/hyperlink" Target="https://www.doi2bib.org/bib/10.1016/j.cub.2015.10.049" TargetMode="External"/><Relationship Id="rId322" Type="http://schemas.openxmlformats.org/officeDocument/2006/relationships/hyperlink" Target="https://www.doi.org/10.7554/eLife.46973" TargetMode="External"/><Relationship Id="rId200" Type="http://schemas.openxmlformats.org/officeDocument/2006/relationships/hyperlink" Target="https://www.doi.org/10.1016/j.cub.2015.10.049" TargetMode="External"/><Relationship Id="rId321" Type="http://schemas.openxmlformats.org/officeDocument/2006/relationships/hyperlink" Target="https://www.doi2bib.org/bib/10.1007/s12311-018-0952-3" TargetMode="External"/><Relationship Id="rId320" Type="http://schemas.openxmlformats.org/officeDocument/2006/relationships/hyperlink" Target="https://www.doi.org/10.1007/s12311-018-0952-3" TargetMode="External"/><Relationship Id="rId316" Type="http://schemas.openxmlformats.org/officeDocument/2006/relationships/hyperlink" Target="https://www.doi.org/10.1152/jn.2000.83.6.3559" TargetMode="External"/><Relationship Id="rId315" Type="http://schemas.openxmlformats.org/officeDocument/2006/relationships/hyperlink" Target="https://www.doi2bib.org/bib/10.1007/s00429-020-02171-x" TargetMode="External"/><Relationship Id="rId314" Type="http://schemas.openxmlformats.org/officeDocument/2006/relationships/hyperlink" Target="https://www.doi.org/10.1007/s00429-020-02171-x" TargetMode="External"/><Relationship Id="rId313" Type="http://schemas.openxmlformats.org/officeDocument/2006/relationships/hyperlink" Target="https://www.frontiersin.org/articles/10.3389/fpsyg.2013.00304/full" TargetMode="External"/><Relationship Id="rId319" Type="http://schemas.openxmlformats.org/officeDocument/2006/relationships/hyperlink" Target="https://www.doi2bib.org/bib/10.1523/JNEUROSCI.0150-18.2018" TargetMode="External"/><Relationship Id="rId318" Type="http://schemas.openxmlformats.org/officeDocument/2006/relationships/hyperlink" Target="https://www.doi.org/10.1523/JNEUROSCI.0150-18.2018" TargetMode="External"/><Relationship Id="rId317" Type="http://schemas.openxmlformats.org/officeDocument/2006/relationships/hyperlink" Target="https://www.doi2bib.org/bib/10.1152/jn.2000.83.6.3559" TargetMode="External"/><Relationship Id="rId312" Type="http://schemas.openxmlformats.org/officeDocument/2006/relationships/hyperlink" Target="https://www.doi2bib.org/bib/10.3389/fpsyg.2013.00304" TargetMode="External"/><Relationship Id="rId311" Type="http://schemas.openxmlformats.org/officeDocument/2006/relationships/hyperlink" Target="https://www.doi.org/10.3389/fpsyg.2013.00304" TargetMode="External"/><Relationship Id="rId310" Type="http://schemas.openxmlformats.org/officeDocument/2006/relationships/hyperlink" Target="https://www.doi2bib.org/bib/10.1212/01.wnl.0000326066.57313.13"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90" Type="http://schemas.openxmlformats.org/officeDocument/2006/relationships/hyperlink" Target="https://www.doi.org/10.1007/s00429-020-02171-x" TargetMode="External"/><Relationship Id="rId194" Type="http://schemas.openxmlformats.org/officeDocument/2006/relationships/hyperlink" Target="https://nba.uth.tmc.edu/neuroscience/m/s3/chapter05.html" TargetMode="External"/><Relationship Id="rId193" Type="http://schemas.openxmlformats.org/officeDocument/2006/relationships/hyperlink" Target="https://www.doi.org/10.3389/fneur.2011.00053" TargetMode="External"/><Relationship Id="rId192" Type="http://schemas.openxmlformats.org/officeDocument/2006/relationships/hyperlink" Target="https://www.doi.org/10.1007/s00429-020-02171-x" TargetMode="External"/><Relationship Id="rId191" Type="http://schemas.openxmlformats.org/officeDocument/2006/relationships/hyperlink" Target="https://nba.uth.tmc.edu/neuroscience/m/s3/chapter05.html" TargetMode="External"/><Relationship Id="rId187" Type="http://schemas.openxmlformats.org/officeDocument/2006/relationships/hyperlink" Target="https://www.doi.org/10.1016/j.tins.2019.11.002" TargetMode="External"/><Relationship Id="rId186" Type="http://schemas.openxmlformats.org/officeDocument/2006/relationships/hyperlink" Target="https://www.doi.org/10.1016/j.tins.2019.11.002" TargetMode="External"/><Relationship Id="rId185" Type="http://schemas.openxmlformats.org/officeDocument/2006/relationships/hyperlink" Target="https://www.doi.org/10.3389/fncir.2012.00116" TargetMode="External"/><Relationship Id="rId184" Type="http://schemas.openxmlformats.org/officeDocument/2006/relationships/hyperlink" Target="https://www.doi.org/10.3389/fncir.2012.00116" TargetMode="External"/><Relationship Id="rId189" Type="http://schemas.openxmlformats.org/officeDocument/2006/relationships/hyperlink" Target="https://nba.uth.tmc.edu/neuroscience/m/s3/chapter05.html" TargetMode="External"/><Relationship Id="rId188" Type="http://schemas.openxmlformats.org/officeDocument/2006/relationships/hyperlink" Target="https://www.doi.org/10.1016/j.tins.2019.11.002" TargetMode="External"/><Relationship Id="rId183" Type="http://schemas.openxmlformats.org/officeDocument/2006/relationships/hyperlink" Target="https://www.doi.org/10.1002/1098-1063(2000)10:4%3C398::aid-hipo6%3E3.0.co;2-k" TargetMode="External"/><Relationship Id="rId182" Type="http://schemas.openxmlformats.org/officeDocument/2006/relationships/hyperlink" Target="https://www.doi.org/10.3389/fnana.2014.00038" TargetMode="External"/><Relationship Id="rId181" Type="http://schemas.openxmlformats.org/officeDocument/2006/relationships/hyperlink" Target="https://www.doi.org/10.1016/j.cub.2015.10.049" TargetMode="External"/><Relationship Id="rId180" Type="http://schemas.openxmlformats.org/officeDocument/2006/relationships/hyperlink" Target="https://www.doi.org/10.1016/j.cub.2015.10.049" TargetMode="External"/><Relationship Id="rId176" Type="http://schemas.openxmlformats.org/officeDocument/2006/relationships/hyperlink" Target="https://www.doi.org/10.3389/fnana.2014.00038" TargetMode="External"/><Relationship Id="rId297" Type="http://schemas.openxmlformats.org/officeDocument/2006/relationships/hyperlink" Target="https://www.doi.org/10.3389/fnsys.2013.00015" TargetMode="External"/><Relationship Id="rId175" Type="http://schemas.openxmlformats.org/officeDocument/2006/relationships/hyperlink" Target="https://www.doi.org/10.3389/fnana.2014.00038" TargetMode="External"/><Relationship Id="rId296" Type="http://schemas.openxmlformats.org/officeDocument/2006/relationships/hyperlink" Target="https://www.doi.org/10.3389/fncir.2019.00051" TargetMode="External"/><Relationship Id="rId174" Type="http://schemas.openxmlformats.org/officeDocument/2006/relationships/hyperlink" Target="https://www.doi.org/10.3389/fnana.2014.00038" TargetMode="External"/><Relationship Id="rId295" Type="http://schemas.openxmlformats.org/officeDocument/2006/relationships/hyperlink" Target="https://www.doi.org/10.3389/fncir.2019.00051" TargetMode="External"/><Relationship Id="rId173" Type="http://schemas.openxmlformats.org/officeDocument/2006/relationships/hyperlink" Target="https://www.doi.org/10.1038/nn.3614" TargetMode="External"/><Relationship Id="rId294" Type="http://schemas.openxmlformats.org/officeDocument/2006/relationships/hyperlink" Target="https://www.doi.org/10.1007/s00429-020-02171-x" TargetMode="External"/><Relationship Id="rId179" Type="http://schemas.openxmlformats.org/officeDocument/2006/relationships/hyperlink" Target="https://www.doi.org/10.1016/j.cub.2015.10.049" TargetMode="External"/><Relationship Id="rId178" Type="http://schemas.openxmlformats.org/officeDocument/2006/relationships/hyperlink" Target="https://www.doi.org/10.3389/fnana.2014.00038" TargetMode="External"/><Relationship Id="rId299" Type="http://schemas.openxmlformats.org/officeDocument/2006/relationships/hyperlink" Target="https://www.doi.org/10.1016/j.tins.2019.11.002" TargetMode="External"/><Relationship Id="rId177" Type="http://schemas.openxmlformats.org/officeDocument/2006/relationships/hyperlink" Target="https://www.doi.org/10.1016/j.cub.2015.10.049" TargetMode="External"/><Relationship Id="rId298" Type="http://schemas.openxmlformats.org/officeDocument/2006/relationships/hyperlink" Target="https://www.doi.org/10.3389/fnsys.2013.00015" TargetMode="External"/><Relationship Id="rId198" Type="http://schemas.openxmlformats.org/officeDocument/2006/relationships/hyperlink" Target="https://journals.viamedica.pl/folia_morphologica/article/viewFile/16543/13176" TargetMode="External"/><Relationship Id="rId197" Type="http://schemas.openxmlformats.org/officeDocument/2006/relationships/hyperlink" Target="https://journals.viamedica.pl/folia_morphologica/article/viewFile/16543/13176" TargetMode="External"/><Relationship Id="rId196" Type="http://schemas.openxmlformats.org/officeDocument/2006/relationships/hyperlink" Target="https://journals.viamedica.pl/folia_morphologica/article/viewFile/16543/13176" TargetMode="External"/><Relationship Id="rId195" Type="http://schemas.openxmlformats.org/officeDocument/2006/relationships/hyperlink" Target="https://www.doi.org/10.1007/s00429-020-02171-x" TargetMode="External"/><Relationship Id="rId199" Type="http://schemas.openxmlformats.org/officeDocument/2006/relationships/hyperlink" Target="https://journals.viamedica.pl/folia_morphologica/article/viewFile/16543/13176" TargetMode="External"/><Relationship Id="rId150" Type="http://schemas.openxmlformats.org/officeDocument/2006/relationships/hyperlink" Target="https://www.doi.org/10.1098/rstb.2015.0053" TargetMode="External"/><Relationship Id="rId271" Type="http://schemas.openxmlformats.org/officeDocument/2006/relationships/hyperlink" Target="https://www.doi.org/10.1523/JNEUROSCI.6141-11.2012" TargetMode="External"/><Relationship Id="rId392" Type="http://schemas.openxmlformats.org/officeDocument/2006/relationships/hyperlink" Target="https://journals.viamedica.pl/folia_morphologica/article/viewFile/16543/13176" TargetMode="External"/><Relationship Id="rId270" Type="http://schemas.openxmlformats.org/officeDocument/2006/relationships/hyperlink" Target="https://www.doi.org/10.1523/JNEUROSCI.0150-18.2018" TargetMode="External"/><Relationship Id="rId391" Type="http://schemas.openxmlformats.org/officeDocument/2006/relationships/hyperlink" Target="https://journals.viamedica.pl/folia_morphologica/article/viewFile/16543/13176" TargetMode="External"/><Relationship Id="rId390" Type="http://schemas.openxmlformats.org/officeDocument/2006/relationships/hyperlink" Target="https://journals.viamedica.pl/folia_morphologica/article/viewFile/16543/13176" TargetMode="External"/><Relationship Id="rId1" Type="http://schemas.openxmlformats.org/officeDocument/2006/relationships/hyperlink" Target="https://www.doi.org/10.1038/s41583-019-0160-2" TargetMode="External"/><Relationship Id="rId2" Type="http://schemas.openxmlformats.org/officeDocument/2006/relationships/hyperlink" Target="https://www.doi.org/10.1038/s41583-019-0160-2" TargetMode="External"/><Relationship Id="rId3" Type="http://schemas.openxmlformats.org/officeDocument/2006/relationships/hyperlink" Target="https://www.doi.org/10.1146/annurev.neuro.051508.135431" TargetMode="External"/><Relationship Id="rId149" Type="http://schemas.openxmlformats.org/officeDocument/2006/relationships/hyperlink" Target="https://www.doi.org/10.1098/rstb.2015.0053" TargetMode="External"/><Relationship Id="rId4" Type="http://schemas.openxmlformats.org/officeDocument/2006/relationships/hyperlink" Target="https://www.doi.org/10.1146/annurev.neuro.051508.135431" TargetMode="External"/><Relationship Id="rId148" Type="http://schemas.openxmlformats.org/officeDocument/2006/relationships/hyperlink" Target="https://journals.viamedica.pl/folia_morphologica/article/viewFile/16543/13176" TargetMode="External"/><Relationship Id="rId269" Type="http://schemas.openxmlformats.org/officeDocument/2006/relationships/hyperlink" Target="https://www.doi.org/10.1038/nrn3469" TargetMode="External"/><Relationship Id="rId9" Type="http://schemas.openxmlformats.org/officeDocument/2006/relationships/hyperlink" Target="https://www.doi.org/10.1002/cne.24283" TargetMode="External"/><Relationship Id="rId143" Type="http://schemas.openxmlformats.org/officeDocument/2006/relationships/hyperlink" Target="https://journals.viamedica.pl/folia_morphologica/article/viewFile/16543/13176" TargetMode="External"/><Relationship Id="rId264" Type="http://schemas.openxmlformats.org/officeDocument/2006/relationships/hyperlink" Target="https://www.doi.org/10.1162/089892904970690" TargetMode="External"/><Relationship Id="rId385" Type="http://schemas.openxmlformats.org/officeDocument/2006/relationships/hyperlink" Target="https://www.doi.org/10.1146/annurev.neuro.051508.135431" TargetMode="External"/><Relationship Id="rId142" Type="http://schemas.openxmlformats.org/officeDocument/2006/relationships/hyperlink" Target="https://journals.viamedica.pl/folia_morphologica/article/viewFile/16543/13176" TargetMode="External"/><Relationship Id="rId263" Type="http://schemas.openxmlformats.org/officeDocument/2006/relationships/hyperlink" Target="https://www.doi.org/10.1523/JNEUROSCI.1156-13.2014" TargetMode="External"/><Relationship Id="rId384" Type="http://schemas.openxmlformats.org/officeDocument/2006/relationships/hyperlink" Target="https://www.doi.org/10.1146/annurev.neuro.051508.135431" TargetMode="External"/><Relationship Id="rId141" Type="http://schemas.openxmlformats.org/officeDocument/2006/relationships/hyperlink" Target="https://journals.viamedica.pl/folia_morphologica/article/viewFile/16543/13176" TargetMode="External"/><Relationship Id="rId262" Type="http://schemas.openxmlformats.org/officeDocument/2006/relationships/hyperlink" Target="https://www.doi.org/10.1523/JNEUROSCI.1156-13.2014" TargetMode="External"/><Relationship Id="rId383" Type="http://schemas.openxmlformats.org/officeDocument/2006/relationships/hyperlink" Target="https://www.doi.org/10.1146/annurev.neuro.051508.135431" TargetMode="External"/><Relationship Id="rId140" Type="http://schemas.openxmlformats.org/officeDocument/2006/relationships/hyperlink" Target="https://journals.viamedica.pl/folia_morphologica/article/viewFile/16543/13176" TargetMode="External"/><Relationship Id="rId261" Type="http://schemas.openxmlformats.org/officeDocument/2006/relationships/hyperlink" Target="https://www.doi.org/10.3389/fncir.2013.00075" TargetMode="External"/><Relationship Id="rId382" Type="http://schemas.openxmlformats.org/officeDocument/2006/relationships/hyperlink" Target="https://www.doi.org/10.1002/cne.23458" TargetMode="External"/><Relationship Id="rId5" Type="http://schemas.openxmlformats.org/officeDocument/2006/relationships/hyperlink" Target="https://www.doi.org/10.1146/annurev.neuro.051508.135431" TargetMode="External"/><Relationship Id="rId147" Type="http://schemas.openxmlformats.org/officeDocument/2006/relationships/hyperlink" Target="https://journals.viamedica.pl/folia_morphologica/article/viewFile/16543/13176" TargetMode="External"/><Relationship Id="rId268" Type="http://schemas.openxmlformats.org/officeDocument/2006/relationships/hyperlink" Target="https://www.doi.org/10.1038/nrn3469" TargetMode="External"/><Relationship Id="rId389" Type="http://schemas.openxmlformats.org/officeDocument/2006/relationships/hyperlink" Target="https://journals.viamedica.pl/folia_morphologica/article/viewFile/16543/13176" TargetMode="External"/><Relationship Id="rId6" Type="http://schemas.openxmlformats.org/officeDocument/2006/relationships/hyperlink" Target="https://www.doi.org/10.1146/annurev.neuro.051508.135431" TargetMode="External"/><Relationship Id="rId146" Type="http://schemas.openxmlformats.org/officeDocument/2006/relationships/hyperlink" Target="https://journals.viamedica.pl/folia_morphologica/article/viewFile/16543/13176" TargetMode="External"/><Relationship Id="rId267" Type="http://schemas.openxmlformats.org/officeDocument/2006/relationships/hyperlink" Target="https://www.doi.org/10.1038/nrn3469" TargetMode="External"/><Relationship Id="rId388" Type="http://schemas.openxmlformats.org/officeDocument/2006/relationships/hyperlink" Target="https://www.doi.org/10.1093/cercor/bht260" TargetMode="External"/><Relationship Id="rId7" Type="http://schemas.openxmlformats.org/officeDocument/2006/relationships/hyperlink" Target="https://www.doi.org/10.1146/annurev.neuro.051508.135431" TargetMode="External"/><Relationship Id="rId145" Type="http://schemas.openxmlformats.org/officeDocument/2006/relationships/hyperlink" Target="https://journals.viamedica.pl/folia_morphologica/article/viewFile/16543/13176" TargetMode="External"/><Relationship Id="rId266" Type="http://schemas.openxmlformats.org/officeDocument/2006/relationships/hyperlink" Target="https://www.doi.org/10.1038/nrn3469" TargetMode="External"/><Relationship Id="rId387" Type="http://schemas.openxmlformats.org/officeDocument/2006/relationships/hyperlink" Target="https://www.doi.org/10.1146/annurev.neuro.051508.135431" TargetMode="External"/><Relationship Id="rId8" Type="http://schemas.openxmlformats.org/officeDocument/2006/relationships/hyperlink" Target="https://www.doi.org/10.1002/cne.24283" TargetMode="External"/><Relationship Id="rId144" Type="http://schemas.openxmlformats.org/officeDocument/2006/relationships/hyperlink" Target="https://journals.viamedica.pl/folia_morphologica/article/viewFile/16543/13176" TargetMode="External"/><Relationship Id="rId265" Type="http://schemas.openxmlformats.org/officeDocument/2006/relationships/hyperlink" Target="https://www.doi.org/10.1038/nrn3469" TargetMode="External"/><Relationship Id="rId386" Type="http://schemas.openxmlformats.org/officeDocument/2006/relationships/hyperlink" Target="https://www.doi.org/10.1146/annurev.neuro.051508.135431" TargetMode="External"/><Relationship Id="rId260" Type="http://schemas.openxmlformats.org/officeDocument/2006/relationships/hyperlink" Target="https://www.doi.org/10.1038/s41586-018-0642-9" TargetMode="External"/><Relationship Id="rId381" Type="http://schemas.openxmlformats.org/officeDocument/2006/relationships/hyperlink" Target="https://www.doi.org/10.1038/s41583-019-0160-2" TargetMode="External"/><Relationship Id="rId380" Type="http://schemas.openxmlformats.org/officeDocument/2006/relationships/hyperlink" Target="https://www.doi.org/10.1038/s41583-019-0160-2" TargetMode="External"/><Relationship Id="rId139" Type="http://schemas.openxmlformats.org/officeDocument/2006/relationships/hyperlink" Target="https://journals.viamedica.pl/folia_morphologica/article/viewFile/16543/13176" TargetMode="External"/><Relationship Id="rId138" Type="http://schemas.openxmlformats.org/officeDocument/2006/relationships/hyperlink" Target="https://journals.viamedica.pl/folia_morphologica/article/viewFile/16543/13176" TargetMode="External"/><Relationship Id="rId259" Type="http://schemas.openxmlformats.org/officeDocument/2006/relationships/hyperlink" Target="https://www.doi.org/10.1038/s41586-018-0642-9" TargetMode="External"/><Relationship Id="rId137" Type="http://schemas.openxmlformats.org/officeDocument/2006/relationships/hyperlink" Target="https://journals.viamedica.pl/folia_morphologica/article/viewFile/16543/13176" TargetMode="External"/><Relationship Id="rId258" Type="http://schemas.openxmlformats.org/officeDocument/2006/relationships/hyperlink" Target="https://www.doi.org/10.1038/s41586-018-0642-9" TargetMode="External"/><Relationship Id="rId379" Type="http://schemas.openxmlformats.org/officeDocument/2006/relationships/hyperlink" Target="https://www.doi.org/10.1093/cercor/bhw157" TargetMode="External"/><Relationship Id="rId132" Type="http://schemas.openxmlformats.org/officeDocument/2006/relationships/hyperlink" Target="https://journals.viamedica.pl/folia_morphologica/article/viewFile/16543/13176" TargetMode="External"/><Relationship Id="rId253" Type="http://schemas.openxmlformats.org/officeDocument/2006/relationships/hyperlink" Target="https://www.doi.org/10.1523/JNEUROSCI.0150-18.2018" TargetMode="External"/><Relationship Id="rId374" Type="http://schemas.openxmlformats.org/officeDocument/2006/relationships/hyperlink" Target="https://nba.uth.tmc.edu/neuroscience/m/s3/chapter05.html" TargetMode="External"/><Relationship Id="rId495" Type="http://schemas.openxmlformats.org/officeDocument/2006/relationships/hyperlink" Target="https://journals.viamedica.pl/folia_morphologica/article/viewFile/16543/13176" TargetMode="External"/><Relationship Id="rId131" Type="http://schemas.openxmlformats.org/officeDocument/2006/relationships/hyperlink" Target="https://journals.viamedica.pl/folia_morphologica/article/viewFile/16543/13176" TargetMode="External"/><Relationship Id="rId252" Type="http://schemas.openxmlformats.org/officeDocument/2006/relationships/hyperlink" Target="https://www.doi.org/10.1523/JNEUROSCI.0150-18.2018" TargetMode="External"/><Relationship Id="rId373" Type="http://schemas.openxmlformats.org/officeDocument/2006/relationships/hyperlink" Target="https://www.doi.org/10.7554/eLife.58613" TargetMode="External"/><Relationship Id="rId494" Type="http://schemas.openxmlformats.org/officeDocument/2006/relationships/hyperlink" Target="https://journals.viamedica.pl/folia_morphologica/article/viewFile/16543/13176" TargetMode="External"/><Relationship Id="rId130" Type="http://schemas.openxmlformats.org/officeDocument/2006/relationships/hyperlink" Target="https://journals.viamedica.pl/folia_morphologica/article/viewFile/16543/13176" TargetMode="External"/><Relationship Id="rId251" Type="http://schemas.openxmlformats.org/officeDocument/2006/relationships/hyperlink" Target="https://www.doi.org/10.1523/JNEUROSCI.0150-18.2018" TargetMode="External"/><Relationship Id="rId372" Type="http://schemas.openxmlformats.org/officeDocument/2006/relationships/hyperlink" Target="https://www.doi.org/10.7554/eLife.58613" TargetMode="External"/><Relationship Id="rId493" Type="http://schemas.openxmlformats.org/officeDocument/2006/relationships/hyperlink" Target="https://www.doi.org/10.1016/j.tins.2019.11.002" TargetMode="External"/><Relationship Id="rId250" Type="http://schemas.openxmlformats.org/officeDocument/2006/relationships/hyperlink" Target="https://www.doi.org/10.1523/JNEUROSCI.0150-18.2018" TargetMode="External"/><Relationship Id="rId371" Type="http://schemas.openxmlformats.org/officeDocument/2006/relationships/hyperlink" Target="https://nba.uth.tmc.edu/neuroscience/m/s3/chapter05.html" TargetMode="External"/><Relationship Id="rId492" Type="http://schemas.openxmlformats.org/officeDocument/2006/relationships/hyperlink" Target="https://journals.viamedica.pl/folia_morphologica/article/viewFile/16543/13176" TargetMode="External"/><Relationship Id="rId136" Type="http://schemas.openxmlformats.org/officeDocument/2006/relationships/hyperlink" Target="https://journals.viamedica.pl/folia_morphologica/article/viewFile/16543/13176" TargetMode="External"/><Relationship Id="rId257" Type="http://schemas.openxmlformats.org/officeDocument/2006/relationships/hyperlink" Target="https://www.doi.org/10.1111/j.1460-9568.2012.08033.x" TargetMode="External"/><Relationship Id="rId378" Type="http://schemas.openxmlformats.org/officeDocument/2006/relationships/hyperlink" Target="https://www.doi.org/10.1093/cercor/bhw157" TargetMode="External"/><Relationship Id="rId499" Type="http://schemas.openxmlformats.org/officeDocument/2006/relationships/hyperlink" Target="https://journals.viamedica.pl/folia_morphologica/article/viewFile/16543/13176" TargetMode="External"/><Relationship Id="rId135" Type="http://schemas.openxmlformats.org/officeDocument/2006/relationships/hyperlink" Target="https://journals.viamedica.pl/folia_morphologica/article/viewFile/16543/13176" TargetMode="External"/><Relationship Id="rId256" Type="http://schemas.openxmlformats.org/officeDocument/2006/relationships/hyperlink" Target="https://www.doi.org/10.1523/JNEUROSCI.6141-11.2012" TargetMode="External"/><Relationship Id="rId377" Type="http://schemas.openxmlformats.org/officeDocument/2006/relationships/hyperlink" Target="https://journals.viamedica.pl/folia_morphologica/article/viewFile/16543/13176" TargetMode="External"/><Relationship Id="rId498" Type="http://schemas.openxmlformats.org/officeDocument/2006/relationships/hyperlink" Target="https://journals.viamedica.pl/folia_morphologica/article/viewFile/16543/13176" TargetMode="External"/><Relationship Id="rId134" Type="http://schemas.openxmlformats.org/officeDocument/2006/relationships/hyperlink" Target="https://journals.viamedica.pl/folia_morphologica/article/viewFile/16543/13176" TargetMode="External"/><Relationship Id="rId255" Type="http://schemas.openxmlformats.org/officeDocument/2006/relationships/hyperlink" Target="https://www.doi.org/10.1523/JNEUROSCI.6141-11.2012" TargetMode="External"/><Relationship Id="rId376" Type="http://schemas.openxmlformats.org/officeDocument/2006/relationships/hyperlink" Target="https://www.doi.org/10.3389/fnsys.2014.00205" TargetMode="External"/><Relationship Id="rId497" Type="http://schemas.openxmlformats.org/officeDocument/2006/relationships/hyperlink" Target="https://journals.viamedica.pl/folia_morphologica/article/viewFile/16543/13176" TargetMode="External"/><Relationship Id="rId133" Type="http://schemas.openxmlformats.org/officeDocument/2006/relationships/hyperlink" Target="https://journals.viamedica.pl/folia_morphologica/article/viewFile/16543/13176" TargetMode="External"/><Relationship Id="rId254" Type="http://schemas.openxmlformats.org/officeDocument/2006/relationships/hyperlink" Target="https://www.doi.org/10.1523/JNEUROSCI.0150-18.2018" TargetMode="External"/><Relationship Id="rId375" Type="http://schemas.openxmlformats.org/officeDocument/2006/relationships/hyperlink" Target="https://nba.uth.tmc.edu/neuroscience/m/s3/chapter05.html" TargetMode="External"/><Relationship Id="rId496" Type="http://schemas.openxmlformats.org/officeDocument/2006/relationships/hyperlink" Target="https://journals.viamedica.pl/folia_morphologica/article/viewFile/16543/13176" TargetMode="External"/><Relationship Id="rId172" Type="http://schemas.openxmlformats.org/officeDocument/2006/relationships/hyperlink" Target="https://www.doi.org/10.1016/j.neuron.2010.04.013" TargetMode="External"/><Relationship Id="rId293" Type="http://schemas.openxmlformats.org/officeDocument/2006/relationships/hyperlink" Target="https://www.doi.org/10.1007/s00429-020-02171-x" TargetMode="External"/><Relationship Id="rId171" Type="http://schemas.openxmlformats.org/officeDocument/2006/relationships/hyperlink" Target="https://www.doi.org/10.1016/j.neuron.2010.04.013" TargetMode="External"/><Relationship Id="rId292" Type="http://schemas.openxmlformats.org/officeDocument/2006/relationships/hyperlink" Target="https://www.doi.org/10.1007/s00429-020-02171-x" TargetMode="External"/><Relationship Id="rId170" Type="http://schemas.openxmlformats.org/officeDocument/2006/relationships/hyperlink" Target="https://www.doi.org/10.1523/JNEUROSCI.1046-13.2013" TargetMode="External"/><Relationship Id="rId291" Type="http://schemas.openxmlformats.org/officeDocument/2006/relationships/hyperlink" Target="https://www.doi.org/10.1093/med/9780190636111.003.0011" TargetMode="External"/><Relationship Id="rId290" Type="http://schemas.openxmlformats.org/officeDocument/2006/relationships/hyperlink" Target="https://journals.viamedica.pl/folia_morphologica/article/viewFile/16543/13176" TargetMode="External"/><Relationship Id="rId165" Type="http://schemas.openxmlformats.org/officeDocument/2006/relationships/hyperlink" Target="https://www.doi.org/10.1093/med/9780195389883.003.0017" TargetMode="External"/><Relationship Id="rId286" Type="http://schemas.openxmlformats.org/officeDocument/2006/relationships/hyperlink" Target="https://www.doi.org/10.3389/fnana.2014.00038" TargetMode="External"/><Relationship Id="rId164" Type="http://schemas.openxmlformats.org/officeDocument/2006/relationships/hyperlink" Target="https://www.doi.org/10.1098/rstb.2013.0369" TargetMode="External"/><Relationship Id="rId285" Type="http://schemas.openxmlformats.org/officeDocument/2006/relationships/hyperlink" Target="https://www.doi.org/10.1038/nn.3614" TargetMode="External"/><Relationship Id="rId163" Type="http://schemas.openxmlformats.org/officeDocument/2006/relationships/hyperlink" Target="https://www.doi.org/10.1098/rstb.2013.0369" TargetMode="External"/><Relationship Id="rId284" Type="http://schemas.openxmlformats.org/officeDocument/2006/relationships/hyperlink" Target="https://www.doi.org/10.3389/fnana.2015.00005" TargetMode="External"/><Relationship Id="rId162" Type="http://schemas.openxmlformats.org/officeDocument/2006/relationships/hyperlink" Target="https://www.doi.org/10.1002/hipo.450010410" TargetMode="External"/><Relationship Id="rId283" Type="http://schemas.openxmlformats.org/officeDocument/2006/relationships/hyperlink" Target="https://www.doi.org/10.3389/fnana.2015.00005" TargetMode="External"/><Relationship Id="rId169" Type="http://schemas.openxmlformats.org/officeDocument/2006/relationships/hyperlink" Target="https://www.doi.org/10.1002/1098-1063(2000)10:4%3C398::aid-hipo6%3E3.0.co;2-k" TargetMode="External"/><Relationship Id="rId168" Type="http://schemas.openxmlformats.org/officeDocument/2006/relationships/hyperlink" Target="https://www.doi.org/10.1098/rstb.2013.0369" TargetMode="External"/><Relationship Id="rId289" Type="http://schemas.openxmlformats.org/officeDocument/2006/relationships/hyperlink" Target="https://www.doi.org/10.1002/1098-1063(2000)10:4%3C398::aid-hipo6%3E3.0.co;2-k" TargetMode="External"/><Relationship Id="rId167" Type="http://schemas.openxmlformats.org/officeDocument/2006/relationships/hyperlink" Target="https://www.doi.org/10.1002/hipo.450010410" TargetMode="External"/><Relationship Id="rId288" Type="http://schemas.openxmlformats.org/officeDocument/2006/relationships/hyperlink" Target="https://www.doi.org/10.3389/fnana.2014.00038" TargetMode="External"/><Relationship Id="rId166" Type="http://schemas.openxmlformats.org/officeDocument/2006/relationships/hyperlink" Target="https://www.doi.org/10.1002/1098-1063(2000)10:4%3C398::aid-hipo6%3E3.0.co;2-k" TargetMode="External"/><Relationship Id="rId287" Type="http://schemas.openxmlformats.org/officeDocument/2006/relationships/hyperlink" Target="https://www.doi.org/10.1016/j.cub.2015.10.049" TargetMode="External"/><Relationship Id="rId161" Type="http://schemas.openxmlformats.org/officeDocument/2006/relationships/hyperlink" Target="https://www.doi.org/10.1002/(SICI)1098-1063(1997)7:4%3C397::AID-HIPO5%3E3.0.CO;2-G" TargetMode="External"/><Relationship Id="rId282" Type="http://schemas.openxmlformats.org/officeDocument/2006/relationships/hyperlink" Target="https://www.doi.org/10.3389/fnana.2015.00005" TargetMode="External"/><Relationship Id="rId160" Type="http://schemas.openxmlformats.org/officeDocument/2006/relationships/hyperlink" Target="https://www.doi.org/10.1002/(SICI)1098-1063(1997)7:4%3C397::AID-HIPO5%3E3.0.CO;2-G" TargetMode="External"/><Relationship Id="rId281" Type="http://schemas.openxmlformats.org/officeDocument/2006/relationships/hyperlink" Target="https://www.doi.org/10.1523/JNEUROSCI.0150-18.2018" TargetMode="External"/><Relationship Id="rId280" Type="http://schemas.openxmlformats.org/officeDocument/2006/relationships/hyperlink" Target="https://www.doi.org/10.1523/JNEUROSCI.0150-18.2018" TargetMode="External"/><Relationship Id="rId159" Type="http://schemas.openxmlformats.org/officeDocument/2006/relationships/hyperlink" Target="https://www.doi.org/10.3389/fnsys.2013.00074" TargetMode="External"/><Relationship Id="rId154" Type="http://schemas.openxmlformats.org/officeDocument/2006/relationships/hyperlink" Target="https://journals.viamedica.pl/folia_morphologica/article/viewFile/16543/13176" TargetMode="External"/><Relationship Id="rId275" Type="http://schemas.openxmlformats.org/officeDocument/2006/relationships/hyperlink" Target="https://www.doi.org/10.1523/JNEUROSCI.1156-13.2014" TargetMode="External"/><Relationship Id="rId396" Type="http://schemas.openxmlformats.org/officeDocument/2006/relationships/hyperlink" Target="https://journals.viamedica.pl/folia_morphologica/article/viewFile/16543/13176" TargetMode="External"/><Relationship Id="rId153" Type="http://schemas.openxmlformats.org/officeDocument/2006/relationships/hyperlink" Target="https://journals.viamedica.pl/folia_morphologica/article/viewFile/16543/13176" TargetMode="External"/><Relationship Id="rId274" Type="http://schemas.openxmlformats.org/officeDocument/2006/relationships/hyperlink" Target="https://www.doi.org/10.1523/JNEUROSCI.1156-13.2014" TargetMode="External"/><Relationship Id="rId395" Type="http://schemas.openxmlformats.org/officeDocument/2006/relationships/hyperlink" Target="https://journals.viamedica.pl/folia_morphologica/article/viewFile/16543/13176" TargetMode="External"/><Relationship Id="rId152" Type="http://schemas.openxmlformats.org/officeDocument/2006/relationships/hyperlink" Target="https://www.doi.org/10.3389/fnana.2015.00005" TargetMode="External"/><Relationship Id="rId273" Type="http://schemas.openxmlformats.org/officeDocument/2006/relationships/hyperlink" Target="https://www.doi.org/10.1111/j.1460-9568.2012.08033.x" TargetMode="External"/><Relationship Id="rId394" Type="http://schemas.openxmlformats.org/officeDocument/2006/relationships/hyperlink" Target="https://journals.viamedica.pl/folia_morphologica/article/viewFile/16543/13176" TargetMode="External"/><Relationship Id="rId151" Type="http://schemas.openxmlformats.org/officeDocument/2006/relationships/hyperlink" Target="https://www.doi.org/10.3389/fnana.2015.00005" TargetMode="External"/><Relationship Id="rId272" Type="http://schemas.openxmlformats.org/officeDocument/2006/relationships/hyperlink" Target="https://www.doi.org/10.1523/JNEUROSCI.6141-11.2012" TargetMode="External"/><Relationship Id="rId393" Type="http://schemas.openxmlformats.org/officeDocument/2006/relationships/hyperlink" Target="https://journals.viamedica.pl/folia_morphologica/article/viewFile/16543/13176" TargetMode="External"/><Relationship Id="rId158" Type="http://schemas.openxmlformats.org/officeDocument/2006/relationships/hyperlink" Target="https://www.doi.org/10.3389/fnsys.2013.00074" TargetMode="External"/><Relationship Id="rId279" Type="http://schemas.openxmlformats.org/officeDocument/2006/relationships/hyperlink" Target="https://www.doi.org/10.1038/nrn3469" TargetMode="External"/><Relationship Id="rId157" Type="http://schemas.openxmlformats.org/officeDocument/2006/relationships/hyperlink" Target="https://www.doi.org/10.1093/med/9780195389883.003.0017" TargetMode="External"/><Relationship Id="rId278" Type="http://schemas.openxmlformats.org/officeDocument/2006/relationships/hyperlink" Target="https://www.doi.org/10.1038/nrn3469" TargetMode="External"/><Relationship Id="rId399" Type="http://schemas.openxmlformats.org/officeDocument/2006/relationships/hyperlink" Target="https://journals.viamedica.pl/folia_morphologica/article/viewFile/16543/13176" TargetMode="External"/><Relationship Id="rId156" Type="http://schemas.openxmlformats.org/officeDocument/2006/relationships/hyperlink" Target="https://www.doi.org/10.1093/med/9780195389883.003.0017" TargetMode="External"/><Relationship Id="rId277" Type="http://schemas.openxmlformats.org/officeDocument/2006/relationships/hyperlink" Target="https://www.doi.org/10.1162/089892904970690" TargetMode="External"/><Relationship Id="rId398" Type="http://schemas.openxmlformats.org/officeDocument/2006/relationships/hyperlink" Target="https://journals.viamedica.pl/folia_morphologica/article/viewFile/16543/13176" TargetMode="External"/><Relationship Id="rId155" Type="http://schemas.openxmlformats.org/officeDocument/2006/relationships/hyperlink" Target="https://www.doi.org/10.3389/fnana.2014.00038" TargetMode="External"/><Relationship Id="rId276" Type="http://schemas.openxmlformats.org/officeDocument/2006/relationships/hyperlink" Target="https://www.doi.org/10.1162/089892904970690" TargetMode="External"/><Relationship Id="rId397" Type="http://schemas.openxmlformats.org/officeDocument/2006/relationships/hyperlink" Target="https://journals.viamedica.pl/folia_morphologica/article/viewFile/16543/13176" TargetMode="External"/><Relationship Id="rId40" Type="http://schemas.openxmlformats.org/officeDocument/2006/relationships/hyperlink" Target="https://nba.uth.tmc.edu/neuroscience/m/s3/chapter05.html" TargetMode="External"/><Relationship Id="rId42" Type="http://schemas.openxmlformats.org/officeDocument/2006/relationships/hyperlink" Target="https://nba.uth.tmc.edu/neuroscience/m/s3/chapter05.html" TargetMode="External"/><Relationship Id="rId41" Type="http://schemas.openxmlformats.org/officeDocument/2006/relationships/hyperlink" Target="https://www.doi.org/10.3389/fncir.2012.00116" TargetMode="External"/><Relationship Id="rId44" Type="http://schemas.openxmlformats.org/officeDocument/2006/relationships/hyperlink" Target="https://nba.uth.tmc.edu/neuroscience/m/s3/chapter05.html" TargetMode="External"/><Relationship Id="rId43" Type="http://schemas.openxmlformats.org/officeDocument/2006/relationships/hyperlink" Target="https://nba.uth.tmc.edu/neuroscience/m/s3/chapter05.html" TargetMode="External"/><Relationship Id="rId46" Type="http://schemas.openxmlformats.org/officeDocument/2006/relationships/hyperlink" Target="https://nba.uth.tmc.edu/neuroscience/m/s3/chapter05.html" TargetMode="External"/><Relationship Id="rId45" Type="http://schemas.openxmlformats.org/officeDocument/2006/relationships/hyperlink" Target="https://nba.uth.tmc.edu/neuroscience/m/s3/chapter05.html" TargetMode="External"/><Relationship Id="rId509" Type="http://schemas.openxmlformats.org/officeDocument/2006/relationships/hyperlink" Target="https://journals.viamedica.pl/folia_morphologica/article/viewFile/16543/13176" TargetMode="External"/><Relationship Id="rId508" Type="http://schemas.openxmlformats.org/officeDocument/2006/relationships/hyperlink" Target="https://journals.viamedica.pl/folia_morphologica/article/viewFile/16543/13176" TargetMode="External"/><Relationship Id="rId629" Type="http://schemas.openxmlformats.org/officeDocument/2006/relationships/hyperlink" Target="https://www.doi.org/10.1523/JNEUROSCI.1156-13.2014" TargetMode="External"/><Relationship Id="rId503" Type="http://schemas.openxmlformats.org/officeDocument/2006/relationships/hyperlink" Target="https://journals.viamedica.pl/folia_morphologica/article/viewFile/16543/13176" TargetMode="External"/><Relationship Id="rId624" Type="http://schemas.openxmlformats.org/officeDocument/2006/relationships/hyperlink" Target="https://www.doi.org/10.3389/fncir.2013.00075" TargetMode="External"/><Relationship Id="rId502" Type="http://schemas.openxmlformats.org/officeDocument/2006/relationships/hyperlink" Target="https://journals.viamedica.pl/folia_morphologica/article/viewFile/16543/13176" TargetMode="External"/><Relationship Id="rId623" Type="http://schemas.openxmlformats.org/officeDocument/2006/relationships/hyperlink" Target="https://www.doi.org/10.3389/fncir.2013.00075" TargetMode="External"/><Relationship Id="rId501" Type="http://schemas.openxmlformats.org/officeDocument/2006/relationships/hyperlink" Target="https://journals.viamedica.pl/folia_morphologica/article/viewFile/16543/13176" TargetMode="External"/><Relationship Id="rId622" Type="http://schemas.openxmlformats.org/officeDocument/2006/relationships/hyperlink" Target="https://www.doi.org/10.3389/fncir.2013.00075" TargetMode="External"/><Relationship Id="rId500" Type="http://schemas.openxmlformats.org/officeDocument/2006/relationships/hyperlink" Target="https://journals.viamedica.pl/folia_morphologica/article/viewFile/16543/13176" TargetMode="External"/><Relationship Id="rId621" Type="http://schemas.openxmlformats.org/officeDocument/2006/relationships/hyperlink" Target="https://www.doi.org/10.1038/nn.3917" TargetMode="External"/><Relationship Id="rId507" Type="http://schemas.openxmlformats.org/officeDocument/2006/relationships/hyperlink" Target="https://journals.viamedica.pl/folia_morphologica/article/viewFile/16543/13176" TargetMode="External"/><Relationship Id="rId628" Type="http://schemas.openxmlformats.org/officeDocument/2006/relationships/hyperlink" Target="https://www.doi.org/10.1523/JNEUROSCI.1156-13.2014" TargetMode="External"/><Relationship Id="rId506" Type="http://schemas.openxmlformats.org/officeDocument/2006/relationships/hyperlink" Target="https://www.doi.org/10.1093/med/9780195389883.003.0017" TargetMode="External"/><Relationship Id="rId627" Type="http://schemas.openxmlformats.org/officeDocument/2006/relationships/hyperlink" Target="https://www.doi.org/10.1523/JNEUROSCI.1156-13.2014" TargetMode="External"/><Relationship Id="rId505" Type="http://schemas.openxmlformats.org/officeDocument/2006/relationships/hyperlink" Target="https://www.doi.org/10.1093/med/9780195389883.003.0017" TargetMode="External"/><Relationship Id="rId626" Type="http://schemas.openxmlformats.org/officeDocument/2006/relationships/hyperlink" Target="https://www.doi.org/10.1523/JNEUROSCI.1156-13.2014" TargetMode="External"/><Relationship Id="rId504" Type="http://schemas.openxmlformats.org/officeDocument/2006/relationships/hyperlink" Target="https://www.doi.org/10.1177/2398212817723443" TargetMode="External"/><Relationship Id="rId625" Type="http://schemas.openxmlformats.org/officeDocument/2006/relationships/hyperlink" Target="https://www.doi.org/10.3389/fncir.2013.00075" TargetMode="External"/><Relationship Id="rId48" Type="http://schemas.openxmlformats.org/officeDocument/2006/relationships/hyperlink" Target="https://www.doi.org/10.1038/s41583-019-0160-2" TargetMode="External"/><Relationship Id="rId47" Type="http://schemas.openxmlformats.org/officeDocument/2006/relationships/hyperlink" Target="https://www.doi.org/10.1038/s41583-019-0160-2" TargetMode="External"/><Relationship Id="rId49" Type="http://schemas.openxmlformats.org/officeDocument/2006/relationships/hyperlink" Target="https://www.doi.org/10.1038/s41583-019-0160-2" TargetMode="External"/><Relationship Id="rId620" Type="http://schemas.openxmlformats.org/officeDocument/2006/relationships/hyperlink" Target="https://www.doi.org/10.1038/nn.3917" TargetMode="External"/><Relationship Id="rId31" Type="http://schemas.openxmlformats.org/officeDocument/2006/relationships/hyperlink" Target="https://journals.viamedica.pl/folia_morphologica/article/viewFile/16543/13176" TargetMode="External"/><Relationship Id="rId30" Type="http://schemas.openxmlformats.org/officeDocument/2006/relationships/hyperlink" Target="https://journals.viamedica.pl/folia_morphologica/article/viewFile/16543/13176" TargetMode="External"/><Relationship Id="rId33" Type="http://schemas.openxmlformats.org/officeDocument/2006/relationships/hyperlink" Target="https://journals.viamedica.pl/folia_morphologica/article/viewFile/16543/13176" TargetMode="External"/><Relationship Id="rId32" Type="http://schemas.openxmlformats.org/officeDocument/2006/relationships/hyperlink" Target="https://journals.viamedica.pl/folia_morphologica/article/viewFile/16543/13176" TargetMode="External"/><Relationship Id="rId35" Type="http://schemas.openxmlformats.org/officeDocument/2006/relationships/hyperlink" Target="https://www.doi.org/10.3389/fnsys.2014.00205" TargetMode="External"/><Relationship Id="rId34" Type="http://schemas.openxmlformats.org/officeDocument/2006/relationships/hyperlink" Target="https://journals.viamedica.pl/folia_morphologica/article/viewFile/16543/13176" TargetMode="External"/><Relationship Id="rId619" Type="http://schemas.openxmlformats.org/officeDocument/2006/relationships/hyperlink" Target="https://www.doi.org/10.1038/nn.3917" TargetMode="External"/><Relationship Id="rId618" Type="http://schemas.openxmlformats.org/officeDocument/2006/relationships/hyperlink" Target="https://www.doi.org/10.1111/j.1460-9568.2012.08033.x" TargetMode="External"/><Relationship Id="rId613" Type="http://schemas.openxmlformats.org/officeDocument/2006/relationships/hyperlink" Target="https://www.doi.org/10.1523/JNEUROSCI.6141-11.2012" TargetMode="External"/><Relationship Id="rId612" Type="http://schemas.openxmlformats.org/officeDocument/2006/relationships/hyperlink" Target="https://www.doi.org/10.1523/JNEUROSCI.6141-11.2012" TargetMode="External"/><Relationship Id="rId611" Type="http://schemas.openxmlformats.org/officeDocument/2006/relationships/hyperlink" Target="https://www.doi.org/10.1523/JNEUROSCI.6141-11.2012" TargetMode="External"/><Relationship Id="rId610" Type="http://schemas.openxmlformats.org/officeDocument/2006/relationships/hyperlink" Target="https://www.doi.org/10.1523/JNEUROSCI.6141-11.2012" TargetMode="External"/><Relationship Id="rId617" Type="http://schemas.openxmlformats.org/officeDocument/2006/relationships/hyperlink" Target="https://www.doi.org/10.1111/j.1460-9568.2012.08033.x" TargetMode="External"/><Relationship Id="rId616" Type="http://schemas.openxmlformats.org/officeDocument/2006/relationships/hyperlink" Target="https://www.doi.org/10.1111/j.1460-9568.2012.08033.x" TargetMode="External"/><Relationship Id="rId615" Type="http://schemas.openxmlformats.org/officeDocument/2006/relationships/hyperlink" Target="https://www.doi.org/10.1111/j.1460-9568.2012.08033.x" TargetMode="External"/><Relationship Id="rId614" Type="http://schemas.openxmlformats.org/officeDocument/2006/relationships/hyperlink" Target="https://www.doi.org/10.1111/j.1460-9568.2012.08033.x" TargetMode="External"/><Relationship Id="rId37" Type="http://schemas.openxmlformats.org/officeDocument/2006/relationships/hyperlink" Target="https://nba.uth.tmc.edu/neuroscience/m/s3/chapter05.html" TargetMode="External"/><Relationship Id="rId36" Type="http://schemas.openxmlformats.org/officeDocument/2006/relationships/hyperlink" Target="https://www.doi.org/10.3389/fnsys.2014.00205" TargetMode="External"/><Relationship Id="rId39" Type="http://schemas.openxmlformats.org/officeDocument/2006/relationships/hyperlink" Target="https://nba.uth.tmc.edu/neuroscience/m/s3/chapter05.html" TargetMode="External"/><Relationship Id="rId38" Type="http://schemas.openxmlformats.org/officeDocument/2006/relationships/hyperlink" Target="https://nba.uth.tmc.edu/neuroscience/m/s3/chapter05.html" TargetMode="External"/><Relationship Id="rId20" Type="http://schemas.openxmlformats.org/officeDocument/2006/relationships/hyperlink" Target="https://www.doi.org/10.1016/0006-8993(85)90520-7" TargetMode="External"/><Relationship Id="rId22" Type="http://schemas.openxmlformats.org/officeDocument/2006/relationships/hyperlink" Target="https://www.doi.org/10.1523/JNEUROSCI.4674-12.2013" TargetMode="External"/><Relationship Id="rId21" Type="http://schemas.openxmlformats.org/officeDocument/2006/relationships/hyperlink" Target="https://www.doi.org/10.1002/cne.903010410" TargetMode="External"/><Relationship Id="rId24" Type="http://schemas.openxmlformats.org/officeDocument/2006/relationships/hyperlink" Target="https://journals.viamedica.pl/folia_morphologica/article/viewFile/16543/13176" TargetMode="External"/><Relationship Id="rId23" Type="http://schemas.openxmlformats.org/officeDocument/2006/relationships/hyperlink" Target="https://journals.viamedica.pl/folia_morphologica/article/viewFile/16543/13176" TargetMode="External"/><Relationship Id="rId409" Type="http://schemas.openxmlformats.org/officeDocument/2006/relationships/hyperlink" Target="https://journals.viamedica.pl/folia_morphologica/article/viewFile/16543/13176" TargetMode="External"/><Relationship Id="rId404" Type="http://schemas.openxmlformats.org/officeDocument/2006/relationships/hyperlink" Target="https://journals.viamedica.pl/folia_morphologica/article/viewFile/16543/13176" TargetMode="External"/><Relationship Id="rId525" Type="http://schemas.openxmlformats.org/officeDocument/2006/relationships/hyperlink" Target="https://www.doi.org/10.3389/fnana.2015.00005" TargetMode="External"/><Relationship Id="rId646" Type="http://schemas.openxmlformats.org/officeDocument/2006/relationships/hyperlink" Target="https://www.doi.org/10.1111/j.1460-9568.2012.08033.x" TargetMode="External"/><Relationship Id="rId403" Type="http://schemas.openxmlformats.org/officeDocument/2006/relationships/hyperlink" Target="https://journals.viamedica.pl/folia_morphologica/article/viewFile/16543/13176" TargetMode="External"/><Relationship Id="rId524" Type="http://schemas.openxmlformats.org/officeDocument/2006/relationships/hyperlink" Target="https://journals.viamedica.pl/folia_morphologica/article/viewFile/16543/13176" TargetMode="External"/><Relationship Id="rId645" Type="http://schemas.openxmlformats.org/officeDocument/2006/relationships/hyperlink" Target="https://www.doi.org/10.1111/j.1460-9568.2012.08033.x" TargetMode="External"/><Relationship Id="rId402" Type="http://schemas.openxmlformats.org/officeDocument/2006/relationships/hyperlink" Target="https://journals.viamedica.pl/folia_morphologica/article/viewFile/16543/13176" TargetMode="External"/><Relationship Id="rId523" Type="http://schemas.openxmlformats.org/officeDocument/2006/relationships/hyperlink" Target="https://www.doi.org/10.1016/j.tins.2019.11.002" TargetMode="External"/><Relationship Id="rId644" Type="http://schemas.openxmlformats.org/officeDocument/2006/relationships/hyperlink" Target="https://www.doi.org/10.1111/j.1460-9568.2012.08033.x" TargetMode="External"/><Relationship Id="rId401" Type="http://schemas.openxmlformats.org/officeDocument/2006/relationships/hyperlink" Target="https://journals.viamedica.pl/folia_morphologica/article/viewFile/16543/13176" TargetMode="External"/><Relationship Id="rId522" Type="http://schemas.openxmlformats.org/officeDocument/2006/relationships/hyperlink" Target="https://nba.uth.tmc.edu/neuroscience/m/s3/chapter05.html" TargetMode="External"/><Relationship Id="rId643" Type="http://schemas.openxmlformats.org/officeDocument/2006/relationships/hyperlink" Target="https://www.doi.org/10.1523/JNEUROSCI.6141-11.2012" TargetMode="External"/><Relationship Id="rId408" Type="http://schemas.openxmlformats.org/officeDocument/2006/relationships/hyperlink" Target="https://journals.viamedica.pl/folia_morphologica/article/viewFile/16543/13176" TargetMode="External"/><Relationship Id="rId529" Type="http://schemas.openxmlformats.org/officeDocument/2006/relationships/hyperlink" Target="https://www.doi.org/10.1016/j.neuroscience.2018.08.027" TargetMode="External"/><Relationship Id="rId407" Type="http://schemas.openxmlformats.org/officeDocument/2006/relationships/hyperlink" Target="https://journals.viamedica.pl/folia_morphologica/article/viewFile/16543/13176" TargetMode="External"/><Relationship Id="rId528" Type="http://schemas.openxmlformats.org/officeDocument/2006/relationships/hyperlink" Target="https://www.doi.org/10.1016/j.neuroscience.2018.08.027" TargetMode="External"/><Relationship Id="rId649" Type="http://schemas.openxmlformats.org/officeDocument/2006/relationships/hyperlink" Target="https://www.doi.org/10.1038/nn.3917" TargetMode="External"/><Relationship Id="rId406" Type="http://schemas.openxmlformats.org/officeDocument/2006/relationships/hyperlink" Target="https://journals.viamedica.pl/folia_morphologica/article/viewFile/16543/13176" TargetMode="External"/><Relationship Id="rId527" Type="http://schemas.openxmlformats.org/officeDocument/2006/relationships/hyperlink" Target="https://www.doi.org/10.1007/s00429-020-02171-x" TargetMode="External"/><Relationship Id="rId648" Type="http://schemas.openxmlformats.org/officeDocument/2006/relationships/hyperlink" Target="https://www.doi.org/10.1038/nn.3917" TargetMode="External"/><Relationship Id="rId405" Type="http://schemas.openxmlformats.org/officeDocument/2006/relationships/hyperlink" Target="https://journals.viamedica.pl/folia_morphologica/article/viewFile/16543/13176" TargetMode="External"/><Relationship Id="rId526" Type="http://schemas.openxmlformats.org/officeDocument/2006/relationships/hyperlink" Target="https://www.doi.org/10.1007/s00429-020-02171-x" TargetMode="External"/><Relationship Id="rId647" Type="http://schemas.openxmlformats.org/officeDocument/2006/relationships/hyperlink" Target="https://www.doi.org/10.1111/j.1460-9568.2012.08033.x" TargetMode="External"/><Relationship Id="rId26" Type="http://schemas.openxmlformats.org/officeDocument/2006/relationships/hyperlink" Target="https://journals.viamedica.pl/folia_morphologica/article/viewFile/16543/13176" TargetMode="External"/><Relationship Id="rId25" Type="http://schemas.openxmlformats.org/officeDocument/2006/relationships/hyperlink" Target="https://journals.viamedica.pl/folia_morphologica/article/viewFile/16543/13176" TargetMode="External"/><Relationship Id="rId28" Type="http://schemas.openxmlformats.org/officeDocument/2006/relationships/hyperlink" Target="https://journals.viamedica.pl/folia_morphologica/article/viewFile/16543/13176" TargetMode="External"/><Relationship Id="rId27" Type="http://schemas.openxmlformats.org/officeDocument/2006/relationships/hyperlink" Target="https://journals.viamedica.pl/folia_morphologica/article/viewFile/16543/13176" TargetMode="External"/><Relationship Id="rId400" Type="http://schemas.openxmlformats.org/officeDocument/2006/relationships/hyperlink" Target="https://journals.viamedica.pl/folia_morphologica/article/viewFile/16543/13176" TargetMode="External"/><Relationship Id="rId521" Type="http://schemas.openxmlformats.org/officeDocument/2006/relationships/hyperlink" Target="https://nba.uth.tmc.edu/neuroscience/m/s3/chapter05.html" TargetMode="External"/><Relationship Id="rId642" Type="http://schemas.openxmlformats.org/officeDocument/2006/relationships/hyperlink" Target="https://www.doi.org/10.1523/JNEUROSCI.6141-11.2012" TargetMode="External"/><Relationship Id="rId29" Type="http://schemas.openxmlformats.org/officeDocument/2006/relationships/hyperlink" Target="https://journals.viamedica.pl/folia_morphologica/article/viewFile/16543/13176" TargetMode="External"/><Relationship Id="rId520" Type="http://schemas.openxmlformats.org/officeDocument/2006/relationships/hyperlink" Target="https://www.doi.org/10.3389/fncir.2012.00116" TargetMode="External"/><Relationship Id="rId641" Type="http://schemas.openxmlformats.org/officeDocument/2006/relationships/hyperlink" Target="https://www.doi.org/10.1523/JNEUROSCI.6141-11.2012" TargetMode="External"/><Relationship Id="rId640" Type="http://schemas.openxmlformats.org/officeDocument/2006/relationships/hyperlink" Target="https://www.doi.org/10.1212/01.wnl.0000326066.57313.13" TargetMode="External"/><Relationship Id="rId11" Type="http://schemas.openxmlformats.org/officeDocument/2006/relationships/hyperlink" Target="https://www.doi.org/10.1523/JNEUROSCI.4674-12.2013" TargetMode="External"/><Relationship Id="rId10" Type="http://schemas.openxmlformats.org/officeDocument/2006/relationships/hyperlink" Target="https://www.doi.org/10.1002/cne.24283" TargetMode="External"/><Relationship Id="rId13" Type="http://schemas.openxmlformats.org/officeDocument/2006/relationships/hyperlink" Target="https://www.doi.org/10.1002/1098-1063(2000)10:4%3C398::aid-hipo6%3E3.0.co;2-k" TargetMode="External"/><Relationship Id="rId12" Type="http://schemas.openxmlformats.org/officeDocument/2006/relationships/hyperlink" Target="https://www.doi.org/10.1093/med/9780195389883.003.0017" TargetMode="External"/><Relationship Id="rId519" Type="http://schemas.openxmlformats.org/officeDocument/2006/relationships/hyperlink" Target="https://journals.viamedica.pl/folia_morphologica/article/viewFile/16543/13176" TargetMode="External"/><Relationship Id="rId514" Type="http://schemas.openxmlformats.org/officeDocument/2006/relationships/hyperlink" Target="https://journals.viamedica.pl/folia_morphologica/article/viewFile/16543/13176" TargetMode="External"/><Relationship Id="rId635" Type="http://schemas.openxmlformats.org/officeDocument/2006/relationships/hyperlink" Target="https://www.doi.org/10.1523/JNEUROSCI.3648-15.2016" TargetMode="External"/><Relationship Id="rId513" Type="http://schemas.openxmlformats.org/officeDocument/2006/relationships/hyperlink" Target="https://www.doi.org/10.3389/fnana.2015.00005" TargetMode="External"/><Relationship Id="rId634" Type="http://schemas.openxmlformats.org/officeDocument/2006/relationships/hyperlink" Target="https://www.doi.org/10.1523/JNEUROSCI.3648-15.2016" TargetMode="External"/><Relationship Id="rId512" Type="http://schemas.openxmlformats.org/officeDocument/2006/relationships/hyperlink" Target="https://journals.viamedica.pl/folia_morphologica/article/viewFile/16543/13176" TargetMode="External"/><Relationship Id="rId633" Type="http://schemas.openxmlformats.org/officeDocument/2006/relationships/hyperlink" Target="https://www.doi.org/10.1523/JNEUROSCI.3648-15.2016" TargetMode="External"/><Relationship Id="rId511" Type="http://schemas.openxmlformats.org/officeDocument/2006/relationships/hyperlink" Target="https://journals.viamedica.pl/folia_morphologica/article/viewFile/16543/13176" TargetMode="External"/><Relationship Id="rId632" Type="http://schemas.openxmlformats.org/officeDocument/2006/relationships/hyperlink" Target="https://www.doi.org/10.1523/JNEUROSCI.3648-15.2016" TargetMode="External"/><Relationship Id="rId518" Type="http://schemas.openxmlformats.org/officeDocument/2006/relationships/hyperlink" Target="https://journals.viamedica.pl/folia_morphologica/article/viewFile/16543/13176" TargetMode="External"/><Relationship Id="rId639" Type="http://schemas.openxmlformats.org/officeDocument/2006/relationships/hyperlink" Target="https://www.doi.org/10.1038/nn.3917" TargetMode="External"/><Relationship Id="rId517" Type="http://schemas.openxmlformats.org/officeDocument/2006/relationships/hyperlink" Target="https://journals.viamedica.pl/folia_morphologica/article/viewFile/16543/13176" TargetMode="External"/><Relationship Id="rId638" Type="http://schemas.openxmlformats.org/officeDocument/2006/relationships/hyperlink" Target="https://www.doi.org/10.1038/nn.3917" TargetMode="External"/><Relationship Id="rId516" Type="http://schemas.openxmlformats.org/officeDocument/2006/relationships/hyperlink" Target="https://journals.viamedica.pl/folia_morphologica/article/viewFile/16543/13176" TargetMode="External"/><Relationship Id="rId637" Type="http://schemas.openxmlformats.org/officeDocument/2006/relationships/hyperlink" Target="https://www.doi.org/10.1111/j.1460-9568.2012.08033.x" TargetMode="External"/><Relationship Id="rId515" Type="http://schemas.openxmlformats.org/officeDocument/2006/relationships/hyperlink" Target="https://journals.viamedica.pl/folia_morphologica/article/viewFile/16543/13176" TargetMode="External"/><Relationship Id="rId636" Type="http://schemas.openxmlformats.org/officeDocument/2006/relationships/hyperlink" Target="https://www.doi.org/10.1111/j.1460-9568.2012.08033.x" TargetMode="External"/><Relationship Id="rId15" Type="http://schemas.openxmlformats.org/officeDocument/2006/relationships/hyperlink" Target="https://www.doi.org/10.1002/1098-1063(2000)10:4%3C398::aid-hipo6%3E3.0.co;2-k" TargetMode="External"/><Relationship Id="rId14" Type="http://schemas.openxmlformats.org/officeDocument/2006/relationships/hyperlink" Target="https://www.doi.org/10.1093/med/9780195389883.003.0017" TargetMode="External"/><Relationship Id="rId17" Type="http://schemas.openxmlformats.org/officeDocument/2006/relationships/hyperlink" Target="https://www.doi.org/10.1523/JNEUROSCI.4674-12.2013" TargetMode="External"/><Relationship Id="rId16" Type="http://schemas.openxmlformats.org/officeDocument/2006/relationships/hyperlink" Target="https://www.doi.org/10.1523/JNEUROSCI.4674-12.2013" TargetMode="External"/><Relationship Id="rId19" Type="http://schemas.openxmlformats.org/officeDocument/2006/relationships/hyperlink" Target="https://www.doi.org/10.1007/BF00235561" TargetMode="External"/><Relationship Id="rId510" Type="http://schemas.openxmlformats.org/officeDocument/2006/relationships/hyperlink" Target="https://journals.viamedica.pl/folia_morphologica/article/viewFile/16543/13176" TargetMode="External"/><Relationship Id="rId631" Type="http://schemas.openxmlformats.org/officeDocument/2006/relationships/hyperlink" Target="https://www.doi.org/10.1162/089892904970690" TargetMode="External"/><Relationship Id="rId18" Type="http://schemas.openxmlformats.org/officeDocument/2006/relationships/hyperlink" Target="https://www.doi.org/10.1093/cercor/bhw157" TargetMode="External"/><Relationship Id="rId630" Type="http://schemas.openxmlformats.org/officeDocument/2006/relationships/hyperlink" Target="https://www.doi.org/10.1162/089892904970690" TargetMode="External"/><Relationship Id="rId84" Type="http://schemas.openxmlformats.org/officeDocument/2006/relationships/hyperlink" Target="https://www.doi.org/10.1146/annurev.neuro.051508.135431" TargetMode="External"/><Relationship Id="rId83" Type="http://schemas.openxmlformats.org/officeDocument/2006/relationships/hyperlink" Target="https://www.doi.org/10.1146/annurev.neuro.051508.135431" TargetMode="External"/><Relationship Id="rId86" Type="http://schemas.openxmlformats.org/officeDocument/2006/relationships/hyperlink" Target="https://www.doi.org/10.1146/annurev.neuro.051508.135431" TargetMode="External"/><Relationship Id="rId85" Type="http://schemas.openxmlformats.org/officeDocument/2006/relationships/hyperlink" Target="https://www.doi.org/10.1146/annurev.neuro.051508.135431" TargetMode="External"/><Relationship Id="rId88" Type="http://schemas.openxmlformats.org/officeDocument/2006/relationships/hyperlink" Target="https://www.doi.org/10.1146/annurev.neuro.051508.135431" TargetMode="External"/><Relationship Id="rId87" Type="http://schemas.openxmlformats.org/officeDocument/2006/relationships/hyperlink" Target="https://www.doi.org/10.1146/annurev.neuro.051508.135431" TargetMode="External"/><Relationship Id="rId89" Type="http://schemas.openxmlformats.org/officeDocument/2006/relationships/hyperlink" Target="https://www.doi.org/10.1146/annurev.neuro.051508.135431" TargetMode="External"/><Relationship Id="rId80" Type="http://schemas.openxmlformats.org/officeDocument/2006/relationships/hyperlink" Target="https://www.doi.org/10.1146/annurev.neuro.051508.135431" TargetMode="External"/><Relationship Id="rId82" Type="http://schemas.openxmlformats.org/officeDocument/2006/relationships/hyperlink" Target="https://www.doi.org/10.1146/annurev.neuro.051508.135431" TargetMode="External"/><Relationship Id="rId81" Type="http://schemas.openxmlformats.org/officeDocument/2006/relationships/hyperlink" Target="https://www.doi.org/10.1146/annurev.neuro.051508.135431" TargetMode="External"/><Relationship Id="rId73" Type="http://schemas.openxmlformats.org/officeDocument/2006/relationships/hyperlink" Target="https://www.doi.org/10.1146/annurev.neuro.051508.135431" TargetMode="External"/><Relationship Id="rId72" Type="http://schemas.openxmlformats.org/officeDocument/2006/relationships/hyperlink" Target="https://www.doi.org/10.1146/annurev.neuro.051508.135431" TargetMode="External"/><Relationship Id="rId75" Type="http://schemas.openxmlformats.org/officeDocument/2006/relationships/hyperlink" Target="https://www.doi.org/10.1146/annurev.neuro.051508.135431" TargetMode="External"/><Relationship Id="rId74" Type="http://schemas.openxmlformats.org/officeDocument/2006/relationships/hyperlink" Target="https://www.doi.org/10.1146/annurev.neuro.051508.135431" TargetMode="External"/><Relationship Id="rId77" Type="http://schemas.openxmlformats.org/officeDocument/2006/relationships/hyperlink" Target="https://www.doi.org/10.1146/annurev.neuro.051508.135431" TargetMode="External"/><Relationship Id="rId76" Type="http://schemas.openxmlformats.org/officeDocument/2006/relationships/hyperlink" Target="https://www.doi.org/10.1146/annurev.neuro.051508.135431" TargetMode="External"/><Relationship Id="rId79" Type="http://schemas.openxmlformats.org/officeDocument/2006/relationships/hyperlink" Target="https://www.doi.org/10.1146/annurev.neuro.051508.135431" TargetMode="External"/><Relationship Id="rId78" Type="http://schemas.openxmlformats.org/officeDocument/2006/relationships/hyperlink" Target="https://www.doi.org/10.1146/annurev.neuro.051508.135431" TargetMode="External"/><Relationship Id="rId71" Type="http://schemas.openxmlformats.org/officeDocument/2006/relationships/hyperlink" Target="https://www.doi.org/10.1146/annurev.neuro.051508.135431" TargetMode="External"/><Relationship Id="rId70" Type="http://schemas.openxmlformats.org/officeDocument/2006/relationships/hyperlink" Target="https://www.doi.org/10.1146/annurev.neuro.051508.135431" TargetMode="External"/><Relationship Id="rId62" Type="http://schemas.openxmlformats.org/officeDocument/2006/relationships/hyperlink" Target="https://www.doi.org/10.1146/annurev.neuro.051508.135431" TargetMode="External"/><Relationship Id="rId61" Type="http://schemas.openxmlformats.org/officeDocument/2006/relationships/hyperlink" Target="https://www.doi.org/10.1146/annurev.neuro.051508.135431" TargetMode="External"/><Relationship Id="rId64" Type="http://schemas.openxmlformats.org/officeDocument/2006/relationships/hyperlink" Target="https://www.doi.org/10.1146/annurev.neuro.051508.135431" TargetMode="External"/><Relationship Id="rId63" Type="http://schemas.openxmlformats.org/officeDocument/2006/relationships/hyperlink" Target="https://www.doi.org/10.1146/annurev.neuro.051508.135431" TargetMode="External"/><Relationship Id="rId66" Type="http://schemas.openxmlformats.org/officeDocument/2006/relationships/hyperlink" Target="https://www.doi.org/10.1002/cne.24283" TargetMode="External"/><Relationship Id="rId65" Type="http://schemas.openxmlformats.org/officeDocument/2006/relationships/hyperlink" Target="https://www.doi.org/10.1002/cne.24283" TargetMode="External"/><Relationship Id="rId68" Type="http://schemas.openxmlformats.org/officeDocument/2006/relationships/hyperlink" Target="https://www.doi.org/10.1146/annurev.neuro.051508.135431" TargetMode="External"/><Relationship Id="rId67" Type="http://schemas.openxmlformats.org/officeDocument/2006/relationships/hyperlink" Target="https://www.doi.org/10.1146/annurev.neuro.051508.135431" TargetMode="External"/><Relationship Id="rId609" Type="http://schemas.openxmlformats.org/officeDocument/2006/relationships/hyperlink" Target="https://www.doi.org/10.1523/JNEUROSCI.6141-11.2012" TargetMode="External"/><Relationship Id="rId608" Type="http://schemas.openxmlformats.org/officeDocument/2006/relationships/hyperlink" Target="https://www.doi.org/10.1212/01.wnl.0000326066.57313.13" TargetMode="External"/><Relationship Id="rId607" Type="http://schemas.openxmlformats.org/officeDocument/2006/relationships/hyperlink" Target="https://journals.viamedica.pl/folia_morphologica/article/viewFile/16543/13176" TargetMode="External"/><Relationship Id="rId60" Type="http://schemas.openxmlformats.org/officeDocument/2006/relationships/hyperlink" Target="https://www.doi.org/10.1146/annurev.neuro.051508.135431" TargetMode="External"/><Relationship Id="rId602" Type="http://schemas.openxmlformats.org/officeDocument/2006/relationships/hyperlink" Target="https://www.doi.org/10.3389/fnana.2011.00059" TargetMode="External"/><Relationship Id="rId601" Type="http://schemas.openxmlformats.org/officeDocument/2006/relationships/hyperlink" Target="https://www.doi.org/10.1007/s12311-019-01019-3" TargetMode="External"/><Relationship Id="rId600" Type="http://schemas.openxmlformats.org/officeDocument/2006/relationships/hyperlink" Target="https://journals.viamedica.pl/folia_morphologica/article/viewFile/16543/13176" TargetMode="External"/><Relationship Id="rId606" Type="http://schemas.openxmlformats.org/officeDocument/2006/relationships/hyperlink" Target="https://journals.viamedica.pl/folia_morphologica/article/viewFile/16543/13176" TargetMode="External"/><Relationship Id="rId605" Type="http://schemas.openxmlformats.org/officeDocument/2006/relationships/hyperlink" Target="https://www.doi.org/10.1038/nrn3469" TargetMode="External"/><Relationship Id="rId604" Type="http://schemas.openxmlformats.org/officeDocument/2006/relationships/hyperlink" Target="https://www.doi.org/10.1002/cne.903310210" TargetMode="External"/><Relationship Id="rId603" Type="http://schemas.openxmlformats.org/officeDocument/2006/relationships/hyperlink" Target="https://www.doi.org/10.1007/s00429-021-02264-1" TargetMode="External"/><Relationship Id="rId69" Type="http://schemas.openxmlformats.org/officeDocument/2006/relationships/hyperlink" Target="https://www.doi.org/10.1146/annurev.neuro.051508.135431" TargetMode="External"/><Relationship Id="rId51" Type="http://schemas.openxmlformats.org/officeDocument/2006/relationships/hyperlink" Target="https://www.doi.org/10.1002/cne.24283" TargetMode="External"/><Relationship Id="rId50" Type="http://schemas.openxmlformats.org/officeDocument/2006/relationships/hyperlink" Target="https://www.doi.org/10.1002/cne.24283" TargetMode="External"/><Relationship Id="rId53" Type="http://schemas.openxmlformats.org/officeDocument/2006/relationships/hyperlink" Target="https://www.doi.org/10.1038/s41583-019-0160-2" TargetMode="External"/><Relationship Id="rId52" Type="http://schemas.openxmlformats.org/officeDocument/2006/relationships/hyperlink" Target="https://www.doi.org/10.1002/cne.24283" TargetMode="External"/><Relationship Id="rId55" Type="http://schemas.openxmlformats.org/officeDocument/2006/relationships/hyperlink" Target="https://www.doi.org/10.1038/s41583-019-0160-2" TargetMode="External"/><Relationship Id="rId54" Type="http://schemas.openxmlformats.org/officeDocument/2006/relationships/hyperlink" Target="https://www.doi.org/10.1038/s41583-019-0160-2" TargetMode="External"/><Relationship Id="rId57" Type="http://schemas.openxmlformats.org/officeDocument/2006/relationships/hyperlink" Target="https://www.doi.org/10.1038/s41583-019-0160-2" TargetMode="External"/><Relationship Id="rId56" Type="http://schemas.openxmlformats.org/officeDocument/2006/relationships/hyperlink" Target="https://www.doi.org/10.1038/s41583-019-0160-2" TargetMode="External"/><Relationship Id="rId59" Type="http://schemas.openxmlformats.org/officeDocument/2006/relationships/hyperlink" Target="https://www.doi.org/10.1146/annurev.neuro.051508.135431" TargetMode="External"/><Relationship Id="rId58" Type="http://schemas.openxmlformats.org/officeDocument/2006/relationships/hyperlink" Target="https://www.doi.org/10.1146/annurev.neuro.051508.135431" TargetMode="External"/><Relationship Id="rId590" Type="http://schemas.openxmlformats.org/officeDocument/2006/relationships/hyperlink" Target="https://www.doi.org/10.1038/s41583-019-0160-2" TargetMode="External"/><Relationship Id="rId107" Type="http://schemas.openxmlformats.org/officeDocument/2006/relationships/hyperlink" Target="https://www.doi.org/10.1146/annurev.neuro.051508.135431" TargetMode="External"/><Relationship Id="rId228" Type="http://schemas.openxmlformats.org/officeDocument/2006/relationships/hyperlink" Target="https://www.doi.org/10.1523/JNEUROSCI.2726-11.2013" TargetMode="External"/><Relationship Id="rId349" Type="http://schemas.openxmlformats.org/officeDocument/2006/relationships/hyperlink" Target="https://www.doi.org/10.1016/S0079-6123(06)60012-5" TargetMode="External"/><Relationship Id="rId106" Type="http://schemas.openxmlformats.org/officeDocument/2006/relationships/hyperlink" Target="https://www.doi.org/10.1146/annurev.neuro.051508.135431" TargetMode="External"/><Relationship Id="rId227" Type="http://schemas.openxmlformats.org/officeDocument/2006/relationships/hyperlink" Target="https://www.doi.org/10.1152/jn.00846.2018" TargetMode="External"/><Relationship Id="rId348" Type="http://schemas.openxmlformats.org/officeDocument/2006/relationships/hyperlink" Target="https://www.doi.org/10.3389/fnana.2015.00005" TargetMode="External"/><Relationship Id="rId469" Type="http://schemas.openxmlformats.org/officeDocument/2006/relationships/hyperlink" Target="https://www.doi.org/10.1523/ENEURO.0290-16.2017" TargetMode="External"/><Relationship Id="rId105" Type="http://schemas.openxmlformats.org/officeDocument/2006/relationships/hyperlink" Target="https://www.doi.org/10.1146/annurev.neuro.051508.135431" TargetMode="External"/><Relationship Id="rId226" Type="http://schemas.openxmlformats.org/officeDocument/2006/relationships/hyperlink" Target="https://www.doi.org/10.1152/jn.00846.2018" TargetMode="External"/><Relationship Id="rId347" Type="http://schemas.openxmlformats.org/officeDocument/2006/relationships/hyperlink" Target="https://www.doi.org/10.3389/fnana.2015.00005" TargetMode="External"/><Relationship Id="rId468" Type="http://schemas.openxmlformats.org/officeDocument/2006/relationships/hyperlink" Target="https://www.doi.org/10.1523/JNEUROSCI.0768-11.2011" TargetMode="External"/><Relationship Id="rId589" Type="http://schemas.openxmlformats.org/officeDocument/2006/relationships/hyperlink" Target="https://nba.uth.tmc.edu/neuroscience/m/s3/chapter05.html" TargetMode="External"/><Relationship Id="rId104" Type="http://schemas.openxmlformats.org/officeDocument/2006/relationships/hyperlink" Target="https://www.doi.org/10.1002/cne.24283" TargetMode="External"/><Relationship Id="rId225" Type="http://schemas.openxmlformats.org/officeDocument/2006/relationships/hyperlink" Target="https://www.doi.org/10.1152/jn.00846.2018" TargetMode="External"/><Relationship Id="rId346" Type="http://schemas.openxmlformats.org/officeDocument/2006/relationships/hyperlink" Target="https://www.doi.org/10.3389/fnana.2015.00005" TargetMode="External"/><Relationship Id="rId467" Type="http://schemas.openxmlformats.org/officeDocument/2006/relationships/hyperlink" Target="https://www.doi.org/10.1371/journal.pone.0164037" TargetMode="External"/><Relationship Id="rId588" Type="http://schemas.openxmlformats.org/officeDocument/2006/relationships/hyperlink" Target="https://nba.uth.tmc.edu/neuroscience/m/s3/chapter05.html" TargetMode="External"/><Relationship Id="rId109" Type="http://schemas.openxmlformats.org/officeDocument/2006/relationships/hyperlink" Target="https://www.doi.org/10.1146/annurev.neuro.051508.135431" TargetMode="External"/><Relationship Id="rId108" Type="http://schemas.openxmlformats.org/officeDocument/2006/relationships/hyperlink" Target="https://www.doi.org/10.1146/annurev.neuro.051508.135431" TargetMode="External"/><Relationship Id="rId229" Type="http://schemas.openxmlformats.org/officeDocument/2006/relationships/hyperlink" Target="https://journals.viamedica.pl/folia_morphologica/article/viewFile/16543/13176" TargetMode="External"/><Relationship Id="rId220" Type="http://schemas.openxmlformats.org/officeDocument/2006/relationships/hyperlink" Target="https://journals.viamedica.pl/folia_morphologica/article/viewFile/16543/13176" TargetMode="External"/><Relationship Id="rId341" Type="http://schemas.openxmlformats.org/officeDocument/2006/relationships/hyperlink" Target="https://www.doi.org/10.3389/fnana.2015.00005" TargetMode="External"/><Relationship Id="rId462" Type="http://schemas.openxmlformats.org/officeDocument/2006/relationships/hyperlink" Target="https://www.doi.org/10.3389/fnana.2015.00005" TargetMode="External"/><Relationship Id="rId583" Type="http://schemas.openxmlformats.org/officeDocument/2006/relationships/hyperlink" Target="https://www.doi.org/10.1016/b978-1-4160-5316-3.00074-5" TargetMode="External"/><Relationship Id="rId340" Type="http://schemas.openxmlformats.org/officeDocument/2006/relationships/hyperlink" Target="https://www.doi.org/10.1098/rstb.2015.0053" TargetMode="External"/><Relationship Id="rId461" Type="http://schemas.openxmlformats.org/officeDocument/2006/relationships/hyperlink" Target="https://www.doi.org/10.1002/1098-1063(2000)10:4%3C398::aid-hipo6%3E3.0.co;2-k" TargetMode="External"/><Relationship Id="rId582" Type="http://schemas.openxmlformats.org/officeDocument/2006/relationships/hyperlink" Target="https://www.doi.org/10.1016/b978-1-4160-5316-3.00074-5" TargetMode="External"/><Relationship Id="rId460" Type="http://schemas.openxmlformats.org/officeDocument/2006/relationships/hyperlink" Target="https://www.doi.org/10.1093/med/9780195389883.003.0017" TargetMode="External"/><Relationship Id="rId581" Type="http://schemas.openxmlformats.org/officeDocument/2006/relationships/hyperlink" Target="https://journals.viamedica.pl/folia_morphologica/article/viewFile/16543/13176" TargetMode="External"/><Relationship Id="rId580" Type="http://schemas.openxmlformats.org/officeDocument/2006/relationships/hyperlink" Target="https://www.doi.org/10.1002/cne.903010410" TargetMode="External"/><Relationship Id="rId103" Type="http://schemas.openxmlformats.org/officeDocument/2006/relationships/hyperlink" Target="https://www.doi.org/10.1002/cne.24283" TargetMode="External"/><Relationship Id="rId224" Type="http://schemas.openxmlformats.org/officeDocument/2006/relationships/hyperlink" Target="https://www.doi.org/10.3389/fnana.2015.00005" TargetMode="External"/><Relationship Id="rId345" Type="http://schemas.openxmlformats.org/officeDocument/2006/relationships/hyperlink" Target="https://www.doi.org/10.3389/fnana.2015.00005" TargetMode="External"/><Relationship Id="rId466" Type="http://schemas.openxmlformats.org/officeDocument/2006/relationships/hyperlink" Target="https://www.doi.org/10.1523/ENEURO.0290-16.2017" TargetMode="External"/><Relationship Id="rId587" Type="http://schemas.openxmlformats.org/officeDocument/2006/relationships/hyperlink" Target="https://nba.uth.tmc.edu/neuroscience/m/s3/chapter05.html" TargetMode="External"/><Relationship Id="rId102" Type="http://schemas.openxmlformats.org/officeDocument/2006/relationships/hyperlink" Target="https://www.doi.org/10.1002/cne.24283" TargetMode="External"/><Relationship Id="rId223" Type="http://schemas.openxmlformats.org/officeDocument/2006/relationships/hyperlink" Target="https://journals.viamedica.pl/folia_morphologica/article/viewFile/16543/13176" TargetMode="External"/><Relationship Id="rId344" Type="http://schemas.openxmlformats.org/officeDocument/2006/relationships/hyperlink" Target="https://www.doi.org/10.3389/fnana.2015.00005" TargetMode="External"/><Relationship Id="rId465" Type="http://schemas.openxmlformats.org/officeDocument/2006/relationships/hyperlink" Target="https://nba.uth.tmc.edu/neuroscience/m/s3/chapter05.html" TargetMode="External"/><Relationship Id="rId586" Type="http://schemas.openxmlformats.org/officeDocument/2006/relationships/hyperlink" Target="https://nba.uth.tmc.edu/neuroscience/m/s3/chapter05.html" TargetMode="External"/><Relationship Id="rId101" Type="http://schemas.openxmlformats.org/officeDocument/2006/relationships/hyperlink" Target="https://www.doi.org/10.1146/annurev.neuro.051508.135431" TargetMode="External"/><Relationship Id="rId222" Type="http://schemas.openxmlformats.org/officeDocument/2006/relationships/hyperlink" Target="https://journals.viamedica.pl/folia_morphologica/article/viewFile/16543/13176" TargetMode="External"/><Relationship Id="rId343" Type="http://schemas.openxmlformats.org/officeDocument/2006/relationships/hyperlink" Target="https://www.doi.org/10.3389/fnana.2015.00005" TargetMode="External"/><Relationship Id="rId464" Type="http://schemas.openxmlformats.org/officeDocument/2006/relationships/hyperlink" Target="https://nba.uth.tmc.edu/neuroscience/m/s3/chapter05.html" TargetMode="External"/><Relationship Id="rId585" Type="http://schemas.openxmlformats.org/officeDocument/2006/relationships/hyperlink" Target="https://www.doi.org/10.3389/fncir.2012.00116" TargetMode="External"/><Relationship Id="rId100" Type="http://schemas.openxmlformats.org/officeDocument/2006/relationships/hyperlink" Target="https://www.doi.org/10.1146/annurev.neuro.051508.135431" TargetMode="External"/><Relationship Id="rId221" Type="http://schemas.openxmlformats.org/officeDocument/2006/relationships/hyperlink" Target="https://journals.viamedica.pl/folia_morphologica/article/viewFile/16543/13176" TargetMode="External"/><Relationship Id="rId342" Type="http://schemas.openxmlformats.org/officeDocument/2006/relationships/hyperlink" Target="https://www.doi.org/10.3389/fnana.2015.00005" TargetMode="External"/><Relationship Id="rId463" Type="http://schemas.openxmlformats.org/officeDocument/2006/relationships/hyperlink" Target="https://www.doi.org/10.1016/j.celrep.2018.06.014" TargetMode="External"/><Relationship Id="rId584" Type="http://schemas.openxmlformats.org/officeDocument/2006/relationships/hyperlink" Target="https://journals.viamedica.pl/folia_morphologica/article/viewFile/16543/13176" TargetMode="External"/><Relationship Id="rId217" Type="http://schemas.openxmlformats.org/officeDocument/2006/relationships/hyperlink" Target="https://journals.viamedica.pl/folia_morphologica/article/viewFile/16543/13176" TargetMode="External"/><Relationship Id="rId338" Type="http://schemas.openxmlformats.org/officeDocument/2006/relationships/hyperlink" Target="https://www.doi.org/10.1523/JNEUROSCI.0768-11.2011" TargetMode="External"/><Relationship Id="rId459" Type="http://schemas.openxmlformats.org/officeDocument/2006/relationships/hyperlink" Target="https://www.doi.org/10.1002/1098-1063(2000)10:4%3C398::aid-hipo6%3E3.0.co;2-k" TargetMode="External"/><Relationship Id="rId216" Type="http://schemas.openxmlformats.org/officeDocument/2006/relationships/hyperlink" Target="https://journals.viamedica.pl/folia_morphologica/article/viewFile/16543/13176" TargetMode="External"/><Relationship Id="rId337" Type="http://schemas.openxmlformats.org/officeDocument/2006/relationships/hyperlink" Target="https://www.doi.org/10.1371/journal.pone.0164037" TargetMode="External"/><Relationship Id="rId458" Type="http://schemas.openxmlformats.org/officeDocument/2006/relationships/hyperlink" Target="https://www.doi.org/10.1002/1098-1063(2000)10:4%3C398::aid-hipo6%3E3.0.co;2-k" TargetMode="External"/><Relationship Id="rId579" Type="http://schemas.openxmlformats.org/officeDocument/2006/relationships/hyperlink" Target="https://www.doi.org/10.1002/cne.902020212" TargetMode="External"/><Relationship Id="rId215" Type="http://schemas.openxmlformats.org/officeDocument/2006/relationships/hyperlink" Target="https://journals.viamedica.pl/folia_morphologica/article/viewFile/16543/13176" TargetMode="External"/><Relationship Id="rId336" Type="http://schemas.openxmlformats.org/officeDocument/2006/relationships/hyperlink" Target="https://www.doi.org/10.1523/ENEURO.0290-16.2017" TargetMode="External"/><Relationship Id="rId457" Type="http://schemas.openxmlformats.org/officeDocument/2006/relationships/hyperlink" Target="https://www.doi.org/10.1002/1098-1063(2000)10:4%3C398::aid-hipo6%3E3.0.co;2-k" TargetMode="External"/><Relationship Id="rId578" Type="http://schemas.openxmlformats.org/officeDocument/2006/relationships/hyperlink" Target="https://www.doi.org/10.3389/fnsys.2014.00205" TargetMode="External"/><Relationship Id="rId214" Type="http://schemas.openxmlformats.org/officeDocument/2006/relationships/hyperlink" Target="https://journals.viamedica.pl/folia_morphologica/article/viewFile/16543/13176" TargetMode="External"/><Relationship Id="rId335" Type="http://schemas.openxmlformats.org/officeDocument/2006/relationships/hyperlink" Target="https://www.doi.org/10.1007/s12311-018-0952-3" TargetMode="External"/><Relationship Id="rId456" Type="http://schemas.openxmlformats.org/officeDocument/2006/relationships/hyperlink" Target="https://www.doi.org/10.1093/med/9780195389883.003.0017" TargetMode="External"/><Relationship Id="rId577" Type="http://schemas.openxmlformats.org/officeDocument/2006/relationships/hyperlink" Target="https://www.doi.org/10.3389/fneur.2011.00053" TargetMode="External"/><Relationship Id="rId219" Type="http://schemas.openxmlformats.org/officeDocument/2006/relationships/hyperlink" Target="https://journals.viamedica.pl/folia_morphologica/article/viewFile/16543/13176" TargetMode="External"/><Relationship Id="rId218" Type="http://schemas.openxmlformats.org/officeDocument/2006/relationships/hyperlink" Target="https://journals.viamedica.pl/folia_morphologica/article/viewFile/16543/13176" TargetMode="External"/><Relationship Id="rId339" Type="http://schemas.openxmlformats.org/officeDocument/2006/relationships/hyperlink" Target="https://www.doi.org/10.1016/j.tins.2019.11.002" TargetMode="External"/><Relationship Id="rId330" Type="http://schemas.openxmlformats.org/officeDocument/2006/relationships/hyperlink" Target="https://nba.uth.tmc.edu/neuroscience/m/s3/chapter05.html" TargetMode="External"/><Relationship Id="rId451" Type="http://schemas.openxmlformats.org/officeDocument/2006/relationships/hyperlink" Target="https://www.doi.org/10.1002/1098-1063(2000)10:4%3C398::aid-hipo6%3E3.0.co;2-k" TargetMode="External"/><Relationship Id="rId572" Type="http://schemas.openxmlformats.org/officeDocument/2006/relationships/hyperlink" Target="https://www.doi.org/10.1093/med/9780195389883.003.0017" TargetMode="External"/><Relationship Id="rId693" Type="http://schemas.openxmlformats.org/officeDocument/2006/relationships/hyperlink" Target="https://journals.viamedica.pl/folia_morphologica/article/viewFile/16543/13176" TargetMode="External"/><Relationship Id="rId450" Type="http://schemas.openxmlformats.org/officeDocument/2006/relationships/hyperlink" Target="https://www.doi.org/10.1093/med/9780195389883.003.0017" TargetMode="External"/><Relationship Id="rId571" Type="http://schemas.openxmlformats.org/officeDocument/2006/relationships/hyperlink" Target="https://www.doi.org/10.1093/med/9780195389883.003.0017" TargetMode="External"/><Relationship Id="rId692" Type="http://schemas.openxmlformats.org/officeDocument/2006/relationships/hyperlink" Target="https://journals.viamedica.pl/folia_morphologica/article/viewFile/16543/13176" TargetMode="External"/><Relationship Id="rId570" Type="http://schemas.openxmlformats.org/officeDocument/2006/relationships/hyperlink" Target="https://www.doi.org/10.1177/2398212817723443" TargetMode="External"/><Relationship Id="rId691" Type="http://schemas.openxmlformats.org/officeDocument/2006/relationships/hyperlink" Target="https://journals.viamedica.pl/folia_morphologica/article/viewFile/16543/13176" TargetMode="External"/><Relationship Id="rId690" Type="http://schemas.openxmlformats.org/officeDocument/2006/relationships/hyperlink" Target="https://www.doi.org/10.3389/fncir.2013.00075" TargetMode="External"/><Relationship Id="rId213" Type="http://schemas.openxmlformats.org/officeDocument/2006/relationships/hyperlink" Target="https://journals.viamedica.pl/folia_morphologica/article/viewFile/16543/13176" TargetMode="External"/><Relationship Id="rId334" Type="http://schemas.openxmlformats.org/officeDocument/2006/relationships/hyperlink" Target="https://www.doi.org/10.1007/s12311-018-0952-3" TargetMode="External"/><Relationship Id="rId455" Type="http://schemas.openxmlformats.org/officeDocument/2006/relationships/hyperlink" Target="https://www.doi.org/10.1093/med/9780195389883.003.0017" TargetMode="External"/><Relationship Id="rId576" Type="http://schemas.openxmlformats.org/officeDocument/2006/relationships/hyperlink" Target="https://journals.viamedica.pl/folia_morphologica/article/viewFile/16543/13176" TargetMode="External"/><Relationship Id="rId212" Type="http://schemas.openxmlformats.org/officeDocument/2006/relationships/hyperlink" Target="https://journals.viamedica.pl/folia_morphologica/article/viewFile/16543/13176" TargetMode="External"/><Relationship Id="rId333" Type="http://schemas.openxmlformats.org/officeDocument/2006/relationships/hyperlink" Target="https://www.doi.org/10.1002/cne.903020211" TargetMode="External"/><Relationship Id="rId454" Type="http://schemas.openxmlformats.org/officeDocument/2006/relationships/hyperlink" Target="https://www.doi.org/10.1002/1098-1063(2000)10:4%3C398::aid-hipo6%3E3.0.co;2-k" TargetMode="External"/><Relationship Id="rId575" Type="http://schemas.openxmlformats.org/officeDocument/2006/relationships/hyperlink" Target="https://journals.viamedica.pl/folia_morphologica/article/viewFile/16543/13176" TargetMode="External"/><Relationship Id="rId211" Type="http://schemas.openxmlformats.org/officeDocument/2006/relationships/hyperlink" Target="https://journals.viamedica.pl/folia_morphologica/article/viewFile/16543/13176" TargetMode="External"/><Relationship Id="rId332" Type="http://schemas.openxmlformats.org/officeDocument/2006/relationships/hyperlink" Target="https://www.doi.org/10.3389/fneur.2011.00053" TargetMode="External"/><Relationship Id="rId453" Type="http://schemas.openxmlformats.org/officeDocument/2006/relationships/hyperlink" Target="https://www.doi.org/10.1093/med/9780195389883.003.0017" TargetMode="External"/><Relationship Id="rId574" Type="http://schemas.openxmlformats.org/officeDocument/2006/relationships/hyperlink" Target="https://journals.viamedica.pl/folia_morphologica/article/viewFile/16543/13176" TargetMode="External"/><Relationship Id="rId210" Type="http://schemas.openxmlformats.org/officeDocument/2006/relationships/hyperlink" Target="https://journals.viamedica.pl/folia_morphologica/article/viewFile/16543/13176" TargetMode="External"/><Relationship Id="rId331" Type="http://schemas.openxmlformats.org/officeDocument/2006/relationships/hyperlink" Target="https://www.doi.org/10.3389/fneur.2011.00053" TargetMode="External"/><Relationship Id="rId452" Type="http://schemas.openxmlformats.org/officeDocument/2006/relationships/hyperlink" Target="https://www.doi.org/10.3389/fnana.2014.00038" TargetMode="External"/><Relationship Id="rId573" Type="http://schemas.openxmlformats.org/officeDocument/2006/relationships/hyperlink" Target="https://www.doi.org/10.1093/med/9780195389883.003.0017" TargetMode="External"/><Relationship Id="rId694" Type="http://schemas.openxmlformats.org/officeDocument/2006/relationships/drawing" Target="../drawings/drawing4.xml"/><Relationship Id="rId370" Type="http://schemas.openxmlformats.org/officeDocument/2006/relationships/hyperlink" Target="https://nba.uth.tmc.edu/neuroscience/m/s3/chapter05.html" TargetMode="External"/><Relationship Id="rId491" Type="http://schemas.openxmlformats.org/officeDocument/2006/relationships/hyperlink" Target="https://journals.viamedica.pl/folia_morphologica/article/viewFile/16543/13176" TargetMode="External"/><Relationship Id="rId490" Type="http://schemas.openxmlformats.org/officeDocument/2006/relationships/hyperlink" Target="https://journals.viamedica.pl/folia_morphologica/article/viewFile/16543/13176" TargetMode="External"/><Relationship Id="rId129" Type="http://schemas.openxmlformats.org/officeDocument/2006/relationships/hyperlink" Target="https://journals.viamedica.pl/folia_morphologica/article/viewFile/16543/13176" TargetMode="External"/><Relationship Id="rId128" Type="http://schemas.openxmlformats.org/officeDocument/2006/relationships/hyperlink" Target="https://journals.viamedica.pl/folia_morphologica/article/viewFile/16543/13176" TargetMode="External"/><Relationship Id="rId249" Type="http://schemas.openxmlformats.org/officeDocument/2006/relationships/hyperlink" Target="https://www.doi.org/10.1523/JNEUROSCI.0150-18.2018" TargetMode="External"/><Relationship Id="rId127" Type="http://schemas.openxmlformats.org/officeDocument/2006/relationships/hyperlink" Target="https://journals.viamedica.pl/folia_morphologica/article/viewFile/16543/13176" TargetMode="External"/><Relationship Id="rId248" Type="http://schemas.openxmlformats.org/officeDocument/2006/relationships/hyperlink" Target="https://www.doi.org/10.1038/nrn3469" TargetMode="External"/><Relationship Id="rId369" Type="http://schemas.openxmlformats.org/officeDocument/2006/relationships/hyperlink" Target="https://www.doi.org/10.1016/j.tins.2019.11.002" TargetMode="External"/><Relationship Id="rId126" Type="http://schemas.openxmlformats.org/officeDocument/2006/relationships/hyperlink" Target="https://journals.viamedica.pl/folia_morphologica/article/viewFile/16543/13176" TargetMode="External"/><Relationship Id="rId247" Type="http://schemas.openxmlformats.org/officeDocument/2006/relationships/hyperlink" Target="https://www.doi.org/10.1523/JNEUROSCI.0150-18.2018" TargetMode="External"/><Relationship Id="rId368" Type="http://schemas.openxmlformats.org/officeDocument/2006/relationships/hyperlink" Target="https://www.doi.org/10.1007/s00429-020-02171-x" TargetMode="External"/><Relationship Id="rId489" Type="http://schemas.openxmlformats.org/officeDocument/2006/relationships/hyperlink" Target="https://journals.viamedica.pl/folia_morphologica/article/viewFile/16543/13176" TargetMode="External"/><Relationship Id="rId121" Type="http://schemas.openxmlformats.org/officeDocument/2006/relationships/hyperlink" Target="https://journals.viamedica.pl/folia_morphologica/article/viewFile/16543/13176" TargetMode="External"/><Relationship Id="rId242" Type="http://schemas.openxmlformats.org/officeDocument/2006/relationships/hyperlink" Target="https://www.doi.org/10.1007/BF00231143" TargetMode="External"/><Relationship Id="rId363" Type="http://schemas.openxmlformats.org/officeDocument/2006/relationships/hyperlink" Target="https://www.doi.org/10.3389/fncir.2019.00051" TargetMode="External"/><Relationship Id="rId484" Type="http://schemas.openxmlformats.org/officeDocument/2006/relationships/hyperlink" Target="https://journals.viamedica.pl/folia_morphologica/article/viewFile/16543/13176" TargetMode="External"/><Relationship Id="rId120" Type="http://schemas.openxmlformats.org/officeDocument/2006/relationships/hyperlink" Target="https://journals.viamedica.pl/folia_morphologica/article/viewFile/16543/13176" TargetMode="External"/><Relationship Id="rId241" Type="http://schemas.openxmlformats.org/officeDocument/2006/relationships/hyperlink" Target="https://journals.viamedica.pl/folia_morphologica/article/viewFile/16543/13176" TargetMode="External"/><Relationship Id="rId362" Type="http://schemas.openxmlformats.org/officeDocument/2006/relationships/hyperlink" Target="https://www.doi.org/10.1007/s00429-020-02171-x" TargetMode="External"/><Relationship Id="rId483" Type="http://schemas.openxmlformats.org/officeDocument/2006/relationships/hyperlink" Target="https://www.doi.org/10.3389/fneur.2011.00053" TargetMode="External"/><Relationship Id="rId240" Type="http://schemas.openxmlformats.org/officeDocument/2006/relationships/hyperlink" Target="https://journals.viamedica.pl/folia_morphologica/article/viewFile/16543/13176" TargetMode="External"/><Relationship Id="rId361" Type="http://schemas.openxmlformats.org/officeDocument/2006/relationships/hyperlink" Target="https://journals.viamedica.pl/folia_morphologica/article/viewFile/16543/13176" TargetMode="External"/><Relationship Id="rId482" Type="http://schemas.openxmlformats.org/officeDocument/2006/relationships/hyperlink" Target="https://www.doi.org/10.3389/fneur.2011.00053" TargetMode="External"/><Relationship Id="rId360" Type="http://schemas.openxmlformats.org/officeDocument/2006/relationships/hyperlink" Target="https://journals.viamedica.pl/folia_morphologica/article/viewFile/16543/13176" TargetMode="External"/><Relationship Id="rId481" Type="http://schemas.openxmlformats.org/officeDocument/2006/relationships/hyperlink" Target="https://www.doi.org/10.3389/fneur.2011.00053" TargetMode="External"/><Relationship Id="rId125" Type="http://schemas.openxmlformats.org/officeDocument/2006/relationships/hyperlink" Target="https://journals.viamedica.pl/folia_morphologica/article/viewFile/16543/13176" TargetMode="External"/><Relationship Id="rId246" Type="http://schemas.openxmlformats.org/officeDocument/2006/relationships/hyperlink" Target="https://www.doi.org/10.1016/j.tins.2019.11.002" TargetMode="External"/><Relationship Id="rId367" Type="http://schemas.openxmlformats.org/officeDocument/2006/relationships/hyperlink" Target="https://www.doi.org/10.1007/s00429-020-02171-x" TargetMode="External"/><Relationship Id="rId488" Type="http://schemas.openxmlformats.org/officeDocument/2006/relationships/hyperlink" Target="https://journals.viamedica.pl/folia_morphologica/article/viewFile/16543/13176" TargetMode="External"/><Relationship Id="rId124" Type="http://schemas.openxmlformats.org/officeDocument/2006/relationships/hyperlink" Target="https://journals.viamedica.pl/folia_morphologica/article/viewFile/16543/13176" TargetMode="External"/><Relationship Id="rId245" Type="http://schemas.openxmlformats.org/officeDocument/2006/relationships/hyperlink" Target="https://www.doi.org/10.1016/j.neuroscience.2018.08.027" TargetMode="External"/><Relationship Id="rId366" Type="http://schemas.openxmlformats.org/officeDocument/2006/relationships/hyperlink" Target="https://www.doi.org/10.1007/s12311-018-0952-3" TargetMode="External"/><Relationship Id="rId487" Type="http://schemas.openxmlformats.org/officeDocument/2006/relationships/hyperlink" Target="https://journals.viamedica.pl/folia_morphologica/article/viewFile/16543/13176" TargetMode="External"/><Relationship Id="rId123" Type="http://schemas.openxmlformats.org/officeDocument/2006/relationships/hyperlink" Target="https://journals.viamedica.pl/folia_morphologica/article/viewFile/16543/13176" TargetMode="External"/><Relationship Id="rId244" Type="http://schemas.openxmlformats.org/officeDocument/2006/relationships/hyperlink" Target="https://www.doi.org/10.1016/j.neuroscience.2018.08.027" TargetMode="External"/><Relationship Id="rId365" Type="http://schemas.openxmlformats.org/officeDocument/2006/relationships/hyperlink" Target="https://www.doi.org/10.1073/pnas.1211168109" TargetMode="External"/><Relationship Id="rId486" Type="http://schemas.openxmlformats.org/officeDocument/2006/relationships/hyperlink" Target="https://journals.viamedica.pl/folia_morphologica/article/viewFile/16543/13176" TargetMode="External"/><Relationship Id="rId122" Type="http://schemas.openxmlformats.org/officeDocument/2006/relationships/hyperlink" Target="https://journals.viamedica.pl/folia_morphologica/article/viewFile/16543/13176" TargetMode="External"/><Relationship Id="rId243" Type="http://schemas.openxmlformats.org/officeDocument/2006/relationships/hyperlink" Target="https://www.doi.org/10.3389/fneur.2011.00053" TargetMode="External"/><Relationship Id="rId364" Type="http://schemas.openxmlformats.org/officeDocument/2006/relationships/hyperlink" Target="https://www.doi.org/10.3389/fncir.2019.00051" TargetMode="External"/><Relationship Id="rId485" Type="http://schemas.openxmlformats.org/officeDocument/2006/relationships/hyperlink" Target="https://journals.viamedica.pl/folia_morphologica/article/viewFile/16543/13176" TargetMode="External"/><Relationship Id="rId95" Type="http://schemas.openxmlformats.org/officeDocument/2006/relationships/hyperlink" Target="https://www.doi.org/10.1146/annurev.neuro.051508.135431" TargetMode="External"/><Relationship Id="rId94" Type="http://schemas.openxmlformats.org/officeDocument/2006/relationships/hyperlink" Target="https://www.doi.org/10.1146/annurev.neuro.051508.135431" TargetMode="External"/><Relationship Id="rId97" Type="http://schemas.openxmlformats.org/officeDocument/2006/relationships/hyperlink" Target="https://www.doi.org/10.1146/annurev.neuro.051508.135431" TargetMode="External"/><Relationship Id="rId96" Type="http://schemas.openxmlformats.org/officeDocument/2006/relationships/hyperlink" Target="https://www.doi.org/10.1146/annurev.neuro.051508.135431" TargetMode="External"/><Relationship Id="rId99" Type="http://schemas.openxmlformats.org/officeDocument/2006/relationships/hyperlink" Target="https://www.doi.org/10.1146/annurev.neuro.051508.135431" TargetMode="External"/><Relationship Id="rId480" Type="http://schemas.openxmlformats.org/officeDocument/2006/relationships/hyperlink" Target="https://www.doi.org/10.1002/jnr.24993" TargetMode="External"/><Relationship Id="rId98" Type="http://schemas.openxmlformats.org/officeDocument/2006/relationships/hyperlink" Target="https://www.doi.org/10.1146/annurev.neuro.051508.135431" TargetMode="External"/><Relationship Id="rId91" Type="http://schemas.openxmlformats.org/officeDocument/2006/relationships/hyperlink" Target="https://www.doi.org/10.1038/s41583-019-0160-2" TargetMode="External"/><Relationship Id="rId90" Type="http://schemas.openxmlformats.org/officeDocument/2006/relationships/hyperlink" Target="https://www.doi.org/10.1038/s41583-019-0160-2" TargetMode="External"/><Relationship Id="rId93" Type="http://schemas.openxmlformats.org/officeDocument/2006/relationships/hyperlink" Target="https://www.doi.org/10.1038/s41583-019-0160-2" TargetMode="External"/><Relationship Id="rId92" Type="http://schemas.openxmlformats.org/officeDocument/2006/relationships/hyperlink" Target="https://www.doi.org/10.1038/s41583-019-0160-2" TargetMode="External"/><Relationship Id="rId118" Type="http://schemas.openxmlformats.org/officeDocument/2006/relationships/hyperlink" Target="https://journals.viamedica.pl/folia_morphologica/article/viewFile/16543/13176" TargetMode="External"/><Relationship Id="rId239" Type="http://schemas.openxmlformats.org/officeDocument/2006/relationships/hyperlink" Target="https://journals.viamedica.pl/folia_morphologica/article/viewFile/16543/13176" TargetMode="External"/><Relationship Id="rId117" Type="http://schemas.openxmlformats.org/officeDocument/2006/relationships/hyperlink" Target="https://journals.viamedica.pl/folia_morphologica/article/viewFile/16543/13176" TargetMode="External"/><Relationship Id="rId238" Type="http://schemas.openxmlformats.org/officeDocument/2006/relationships/hyperlink" Target="https://journals.viamedica.pl/folia_morphologica/article/viewFile/16543/13176" TargetMode="External"/><Relationship Id="rId359" Type="http://schemas.openxmlformats.org/officeDocument/2006/relationships/hyperlink" Target="https://journals.viamedica.pl/folia_morphologica/article/viewFile/16543/13176" TargetMode="External"/><Relationship Id="rId116" Type="http://schemas.openxmlformats.org/officeDocument/2006/relationships/hyperlink" Target="https://www.doi.org/10.1146/annurev.neuro.051508.135431" TargetMode="External"/><Relationship Id="rId237" Type="http://schemas.openxmlformats.org/officeDocument/2006/relationships/hyperlink" Target="https://journals.viamedica.pl/folia_morphologica/article/viewFile/16543/13176" TargetMode="External"/><Relationship Id="rId358" Type="http://schemas.openxmlformats.org/officeDocument/2006/relationships/hyperlink" Target="https://journals.viamedica.pl/folia_morphologica/article/viewFile/16543/13176" TargetMode="External"/><Relationship Id="rId479" Type="http://schemas.openxmlformats.org/officeDocument/2006/relationships/hyperlink" Target="https://www.doi.org/10.1007/s00429-020-02171-x" TargetMode="External"/><Relationship Id="rId115" Type="http://schemas.openxmlformats.org/officeDocument/2006/relationships/hyperlink" Target="https://www.doi.org/10.1146/annurev.neuro.051508.135431" TargetMode="External"/><Relationship Id="rId236" Type="http://schemas.openxmlformats.org/officeDocument/2006/relationships/hyperlink" Target="https://journals.viamedica.pl/folia_morphologica/article/viewFile/16543/13176" TargetMode="External"/><Relationship Id="rId357" Type="http://schemas.openxmlformats.org/officeDocument/2006/relationships/hyperlink" Target="https://journals.viamedica.pl/folia_morphologica/article/viewFile/16543/13176" TargetMode="External"/><Relationship Id="rId478" Type="http://schemas.openxmlformats.org/officeDocument/2006/relationships/hyperlink" Target="https://www.doi.org/10.3389/fnana.2015.00005" TargetMode="External"/><Relationship Id="rId599" Type="http://schemas.openxmlformats.org/officeDocument/2006/relationships/hyperlink" Target="https://journals.viamedica.pl/folia_morphologica/article/viewFile/16543/13176" TargetMode="External"/><Relationship Id="rId119" Type="http://schemas.openxmlformats.org/officeDocument/2006/relationships/hyperlink" Target="https://journals.viamedica.pl/folia_morphologica/article/viewFile/16543/13176" TargetMode="External"/><Relationship Id="rId110" Type="http://schemas.openxmlformats.org/officeDocument/2006/relationships/hyperlink" Target="https://www.doi.org/10.1146/annurev.neuro.051508.135431" TargetMode="External"/><Relationship Id="rId231" Type="http://schemas.openxmlformats.org/officeDocument/2006/relationships/hyperlink" Target="https://journals.viamedica.pl/folia_morphologica/article/viewFile/16543/13176" TargetMode="External"/><Relationship Id="rId352" Type="http://schemas.openxmlformats.org/officeDocument/2006/relationships/hyperlink" Target="https://www.doi.org/10.1002/cne.903310210" TargetMode="External"/><Relationship Id="rId473" Type="http://schemas.openxmlformats.org/officeDocument/2006/relationships/hyperlink" Target="https://www.doi.org/10.1523/JNEUROSCI.0768-11.2011" TargetMode="External"/><Relationship Id="rId594" Type="http://schemas.openxmlformats.org/officeDocument/2006/relationships/hyperlink" Target="https://www.doi.org/10.1371/journal.pone.0050270" TargetMode="External"/><Relationship Id="rId230" Type="http://schemas.openxmlformats.org/officeDocument/2006/relationships/hyperlink" Target="https://journals.viamedica.pl/folia_morphologica/article/viewFile/16543/13176" TargetMode="External"/><Relationship Id="rId351" Type="http://schemas.openxmlformats.org/officeDocument/2006/relationships/hyperlink" Target="https://www.doi.org/10.1002/cne.903310210" TargetMode="External"/><Relationship Id="rId472" Type="http://schemas.openxmlformats.org/officeDocument/2006/relationships/hyperlink" Target="https://www.doi.org/10.1523/JNEUROSCI.0768-11.2011" TargetMode="External"/><Relationship Id="rId593" Type="http://schemas.openxmlformats.org/officeDocument/2006/relationships/hyperlink" Target="https://www.doi.org/10.1098/rstb.2015.0053" TargetMode="External"/><Relationship Id="rId350" Type="http://schemas.openxmlformats.org/officeDocument/2006/relationships/hyperlink" Target="https://www.doi.org/10.1212/01.wnl.0000326066.57313.13" TargetMode="External"/><Relationship Id="rId471" Type="http://schemas.openxmlformats.org/officeDocument/2006/relationships/hyperlink" Target="https://www.doi.org/10.1371/journal.pone.0164037" TargetMode="External"/><Relationship Id="rId592" Type="http://schemas.openxmlformats.org/officeDocument/2006/relationships/hyperlink" Target="https://www.doi.org/10.1098/rstb.2015.0053" TargetMode="External"/><Relationship Id="rId470" Type="http://schemas.openxmlformats.org/officeDocument/2006/relationships/hyperlink" Target="https://www.doi.org/10.1113/jphysiol.1977.sp011747" TargetMode="External"/><Relationship Id="rId591" Type="http://schemas.openxmlformats.org/officeDocument/2006/relationships/hyperlink" Target="https://www.doi.org/10.1098/rstb.2015.0053" TargetMode="External"/><Relationship Id="rId114" Type="http://schemas.openxmlformats.org/officeDocument/2006/relationships/hyperlink" Target="https://www.doi.org/10.1146/annurev.neuro.051508.135431" TargetMode="External"/><Relationship Id="rId235" Type="http://schemas.openxmlformats.org/officeDocument/2006/relationships/hyperlink" Target="https://journals.viamedica.pl/folia_morphologica/article/viewFile/16543/13176" TargetMode="External"/><Relationship Id="rId356" Type="http://schemas.openxmlformats.org/officeDocument/2006/relationships/hyperlink" Target="https://journals.viamedica.pl/folia_morphologica/article/viewFile/16543/13176" TargetMode="External"/><Relationship Id="rId477" Type="http://schemas.openxmlformats.org/officeDocument/2006/relationships/hyperlink" Target="https://www.doi.org/10.3389/fnana.2015.00005" TargetMode="External"/><Relationship Id="rId598" Type="http://schemas.openxmlformats.org/officeDocument/2006/relationships/hyperlink" Target="https://www.doi.org/10.3389/fncir.2012.00116" TargetMode="External"/><Relationship Id="rId113" Type="http://schemas.openxmlformats.org/officeDocument/2006/relationships/hyperlink" Target="https://www.doi.org/10.1146/annurev.neuro.051508.135431" TargetMode="External"/><Relationship Id="rId234" Type="http://schemas.openxmlformats.org/officeDocument/2006/relationships/hyperlink" Target="https://journals.viamedica.pl/folia_morphologica/article/viewFile/16543/13176" TargetMode="External"/><Relationship Id="rId355" Type="http://schemas.openxmlformats.org/officeDocument/2006/relationships/hyperlink" Target="https://journals.viamedica.pl/folia_morphologica/article/viewFile/16543/13176" TargetMode="External"/><Relationship Id="rId476" Type="http://schemas.openxmlformats.org/officeDocument/2006/relationships/hyperlink" Target="https://journals.viamedica.pl/folia_morphologica/article/viewFile/16543/13176" TargetMode="External"/><Relationship Id="rId597" Type="http://schemas.openxmlformats.org/officeDocument/2006/relationships/hyperlink" Target="https://www.doi.org/10.1016/j.tins.2010.07.002" TargetMode="External"/><Relationship Id="rId112" Type="http://schemas.openxmlformats.org/officeDocument/2006/relationships/hyperlink" Target="https://www.doi.org/10.1146/annurev.neuro.051508.135431" TargetMode="External"/><Relationship Id="rId233" Type="http://schemas.openxmlformats.org/officeDocument/2006/relationships/hyperlink" Target="https://journals.viamedica.pl/folia_morphologica/article/viewFile/16543/13176" TargetMode="External"/><Relationship Id="rId354" Type="http://schemas.openxmlformats.org/officeDocument/2006/relationships/hyperlink" Target="https://journals.viamedica.pl/folia_morphologica/article/viewFile/16543/13176" TargetMode="External"/><Relationship Id="rId475" Type="http://schemas.openxmlformats.org/officeDocument/2006/relationships/hyperlink" Target="https://journals.viamedica.pl/folia_morphologica/article/viewFile/16543/13176" TargetMode="External"/><Relationship Id="rId596" Type="http://schemas.openxmlformats.org/officeDocument/2006/relationships/hyperlink" Target="https://www.doi.org/10.1016/j.tins.2010.07.002" TargetMode="External"/><Relationship Id="rId111" Type="http://schemas.openxmlformats.org/officeDocument/2006/relationships/hyperlink" Target="https://www.doi.org/10.1146/annurev.neuro.051508.135431" TargetMode="External"/><Relationship Id="rId232" Type="http://schemas.openxmlformats.org/officeDocument/2006/relationships/hyperlink" Target="https://journals.viamedica.pl/folia_morphologica/article/viewFile/16543/13176" TargetMode="External"/><Relationship Id="rId353" Type="http://schemas.openxmlformats.org/officeDocument/2006/relationships/hyperlink" Target="https://journals.viamedica.pl/folia_morphologica/article/viewFile/16543/13176" TargetMode="External"/><Relationship Id="rId474" Type="http://schemas.openxmlformats.org/officeDocument/2006/relationships/hyperlink" Target="https://journals.viamedica.pl/folia_morphologica/article/viewFile/16543/13176" TargetMode="External"/><Relationship Id="rId595" Type="http://schemas.openxmlformats.org/officeDocument/2006/relationships/hyperlink" Target="https://www.doi.org/10.1016/j.tins.2010.07.002" TargetMode="External"/><Relationship Id="rId305" Type="http://schemas.openxmlformats.org/officeDocument/2006/relationships/hyperlink" Target="https://journals.viamedica.pl/folia_morphologica/article/viewFile/16543/13176" TargetMode="External"/><Relationship Id="rId426" Type="http://schemas.openxmlformats.org/officeDocument/2006/relationships/hyperlink" Target="https://journals.viamedica.pl/folia_morphologica/article/viewFile/16543/13176" TargetMode="External"/><Relationship Id="rId547" Type="http://schemas.openxmlformats.org/officeDocument/2006/relationships/hyperlink" Target="https://www.doi.org/10.3389/fnana.2015.00005" TargetMode="External"/><Relationship Id="rId668" Type="http://schemas.openxmlformats.org/officeDocument/2006/relationships/hyperlink" Target="https://nba.uth.tmc.edu/neuroscience/m/s3/chapter05.html" TargetMode="External"/><Relationship Id="rId304" Type="http://schemas.openxmlformats.org/officeDocument/2006/relationships/hyperlink" Target="https://journals.viamedica.pl/folia_morphologica/article/viewFile/16543/13176" TargetMode="External"/><Relationship Id="rId425" Type="http://schemas.openxmlformats.org/officeDocument/2006/relationships/hyperlink" Target="https://journals.viamedica.pl/folia_morphologica/article/viewFile/16543/13176" TargetMode="External"/><Relationship Id="rId546" Type="http://schemas.openxmlformats.org/officeDocument/2006/relationships/hyperlink" Target="https://www.doi.org/10.3389/fnana.2015.00005" TargetMode="External"/><Relationship Id="rId667" Type="http://schemas.openxmlformats.org/officeDocument/2006/relationships/hyperlink" Target="https://www.doi.org/10.3389/fnana.2015.00005" TargetMode="External"/><Relationship Id="rId303" Type="http://schemas.openxmlformats.org/officeDocument/2006/relationships/hyperlink" Target="https://journals.viamedica.pl/folia_morphologica/article/viewFile/16543/13176" TargetMode="External"/><Relationship Id="rId424" Type="http://schemas.openxmlformats.org/officeDocument/2006/relationships/hyperlink" Target="https://journals.viamedica.pl/folia_morphologica/article/viewFile/16543/13176" TargetMode="External"/><Relationship Id="rId545" Type="http://schemas.openxmlformats.org/officeDocument/2006/relationships/hyperlink" Target="https://www.doi.org/10.3389/fnana.2015.00005" TargetMode="External"/><Relationship Id="rId666" Type="http://schemas.openxmlformats.org/officeDocument/2006/relationships/hyperlink" Target="https://www.doi.org/10.3389/fncir.2013.00075" TargetMode="External"/><Relationship Id="rId302" Type="http://schemas.openxmlformats.org/officeDocument/2006/relationships/hyperlink" Target="https://www.doi.org/10.1073/pnas.1817689116" TargetMode="External"/><Relationship Id="rId423" Type="http://schemas.openxmlformats.org/officeDocument/2006/relationships/hyperlink" Target="https://journals.viamedica.pl/folia_morphologica/article/viewFile/16543/13176" TargetMode="External"/><Relationship Id="rId544" Type="http://schemas.openxmlformats.org/officeDocument/2006/relationships/hyperlink" Target="https://www.doi.org/10.1146/annurev.neuro.051508.135431" TargetMode="External"/><Relationship Id="rId665" Type="http://schemas.openxmlformats.org/officeDocument/2006/relationships/hyperlink" Target="https://www.doi.org/10.3389/fncir.2013.00075" TargetMode="External"/><Relationship Id="rId309" Type="http://schemas.openxmlformats.org/officeDocument/2006/relationships/hyperlink" Target="https://www.doi.org/10.1002/hipo.450030408" TargetMode="External"/><Relationship Id="rId308" Type="http://schemas.openxmlformats.org/officeDocument/2006/relationships/hyperlink" Target="https://journals.viamedica.pl/folia_morphologica/article/viewFile/16543/13176" TargetMode="External"/><Relationship Id="rId429" Type="http://schemas.openxmlformats.org/officeDocument/2006/relationships/hyperlink" Target="https://www.doi.org/10.1523/JNEUROSCI.4674-12.2013" TargetMode="External"/><Relationship Id="rId307" Type="http://schemas.openxmlformats.org/officeDocument/2006/relationships/hyperlink" Target="https://journals.viamedica.pl/folia_morphologica/article/viewFile/16543/13176" TargetMode="External"/><Relationship Id="rId428" Type="http://schemas.openxmlformats.org/officeDocument/2006/relationships/hyperlink" Target="https://www.doi.org/10.1007/s00429-018-1726-x" TargetMode="External"/><Relationship Id="rId549" Type="http://schemas.openxmlformats.org/officeDocument/2006/relationships/hyperlink" Target="https://www.doi.org/10.1523/JNEUROSCI.6141-11.2012" TargetMode="External"/><Relationship Id="rId306" Type="http://schemas.openxmlformats.org/officeDocument/2006/relationships/hyperlink" Target="https://journals.viamedica.pl/folia_morphologica/article/viewFile/16543/13176" TargetMode="External"/><Relationship Id="rId427" Type="http://schemas.openxmlformats.org/officeDocument/2006/relationships/hyperlink" Target="https://journals.viamedica.pl/folia_morphologica/article/viewFile/16543/13176" TargetMode="External"/><Relationship Id="rId548" Type="http://schemas.openxmlformats.org/officeDocument/2006/relationships/hyperlink" Target="https://www.doi.org/10.1523/JNEUROSCI.6141-11.2012" TargetMode="External"/><Relationship Id="rId669" Type="http://schemas.openxmlformats.org/officeDocument/2006/relationships/hyperlink" Target="https://nba.uth.tmc.edu/neuroscience/m/s3/chapter05.html" TargetMode="External"/><Relationship Id="rId660" Type="http://schemas.openxmlformats.org/officeDocument/2006/relationships/hyperlink" Target="https://journals.viamedica.pl/folia_morphologica/article/viewFile/16543/13176" TargetMode="External"/><Relationship Id="rId301" Type="http://schemas.openxmlformats.org/officeDocument/2006/relationships/hyperlink" Target="https://www.doi.org/10.1007/s12311-018-0952-3" TargetMode="External"/><Relationship Id="rId422" Type="http://schemas.openxmlformats.org/officeDocument/2006/relationships/hyperlink" Target="https://www.doi.org/10.1002/1098-1063(2000)10:4%3C398::aid-hipo6%3E3.0.co;2-k" TargetMode="External"/><Relationship Id="rId543" Type="http://schemas.openxmlformats.org/officeDocument/2006/relationships/hyperlink" Target="https://www.doi.org/10.1146/annurev.neuro.051508.135431" TargetMode="External"/><Relationship Id="rId664" Type="http://schemas.openxmlformats.org/officeDocument/2006/relationships/hyperlink" Target="https://www.doi.org/10.3389/fncir.2013.00075" TargetMode="External"/><Relationship Id="rId300" Type="http://schemas.openxmlformats.org/officeDocument/2006/relationships/hyperlink" Target="https://www.doi.org/10.1073/pnas.1817689116" TargetMode="External"/><Relationship Id="rId421" Type="http://schemas.openxmlformats.org/officeDocument/2006/relationships/hyperlink" Target="https://www.doi.org/10.1098/rstb.2013.0369" TargetMode="External"/><Relationship Id="rId542" Type="http://schemas.openxmlformats.org/officeDocument/2006/relationships/hyperlink" Target="https://www.doi.org/10.1093/med/9780195389883.003.0017" TargetMode="External"/><Relationship Id="rId663" Type="http://schemas.openxmlformats.org/officeDocument/2006/relationships/hyperlink" Target="https://www.doi.org/10.3389/fncir.2013.00075" TargetMode="External"/><Relationship Id="rId420" Type="http://schemas.openxmlformats.org/officeDocument/2006/relationships/hyperlink" Target="https://www.doi.org/10.1002/1098-1063(2000)10:4%3C398::aid-hipo6%3E3.0.co;2-k" TargetMode="External"/><Relationship Id="rId541" Type="http://schemas.openxmlformats.org/officeDocument/2006/relationships/hyperlink" Target="https://www.doi.org/10.3389/fnsys.2014.00205" TargetMode="External"/><Relationship Id="rId662" Type="http://schemas.openxmlformats.org/officeDocument/2006/relationships/hyperlink" Target="https://www.doi.org/10.1007/s12311-019-01019-3" TargetMode="External"/><Relationship Id="rId540" Type="http://schemas.openxmlformats.org/officeDocument/2006/relationships/hyperlink" Target="https://www.doi.org/10.1371/journal.pone.0164037" TargetMode="External"/><Relationship Id="rId661" Type="http://schemas.openxmlformats.org/officeDocument/2006/relationships/hyperlink" Target="https://www.doi.org/10.3389/fnana.2015.00005" TargetMode="External"/><Relationship Id="rId415" Type="http://schemas.openxmlformats.org/officeDocument/2006/relationships/hyperlink" Target="https://www.doi.org/10.1002/1098-1063(2000)10:4%3C398::aid-hipo6%3E3.0.co;2-k" TargetMode="External"/><Relationship Id="rId536" Type="http://schemas.openxmlformats.org/officeDocument/2006/relationships/hyperlink" Target="https://journals.viamedica.pl/folia_morphologica/article/viewFile/16543/13176" TargetMode="External"/><Relationship Id="rId657" Type="http://schemas.openxmlformats.org/officeDocument/2006/relationships/hyperlink" Target="https://www.doi.org/10.1523/JNEUROSCI.3648-15.2016" TargetMode="External"/><Relationship Id="rId414" Type="http://schemas.openxmlformats.org/officeDocument/2006/relationships/hyperlink" Target="https://www.doi.org/10.1093/med/9780195389883.003.0017" TargetMode="External"/><Relationship Id="rId535" Type="http://schemas.openxmlformats.org/officeDocument/2006/relationships/hyperlink" Target="https://www.doi.org/10.1016/j.neuroscience.2018.08.027" TargetMode="External"/><Relationship Id="rId656" Type="http://schemas.openxmlformats.org/officeDocument/2006/relationships/hyperlink" Target="https://www.doi.org/10.1162/089892904970690" TargetMode="External"/><Relationship Id="rId413" Type="http://schemas.openxmlformats.org/officeDocument/2006/relationships/hyperlink" Target="https://www.doi.org/10.1002/1098-1063(2000)10:4%3C398::aid-hipo6%3E3.0.co;2-k" TargetMode="External"/><Relationship Id="rId534" Type="http://schemas.openxmlformats.org/officeDocument/2006/relationships/hyperlink" Target="https://www.doi.org/10.1016/j.neuroscience.2018.08.027" TargetMode="External"/><Relationship Id="rId655" Type="http://schemas.openxmlformats.org/officeDocument/2006/relationships/hyperlink" Target="https://www.doi.org/10.1523/JNEUROSCI.1156-13.2014" TargetMode="External"/><Relationship Id="rId412" Type="http://schemas.openxmlformats.org/officeDocument/2006/relationships/hyperlink" Target="https://www.doi.org/10.1093/med/9780195389883.003.0017" TargetMode="External"/><Relationship Id="rId533" Type="http://schemas.openxmlformats.org/officeDocument/2006/relationships/hyperlink" Target="https://www.doi.org/10.1016/j.neuroscience.2018.08.027" TargetMode="External"/><Relationship Id="rId654" Type="http://schemas.openxmlformats.org/officeDocument/2006/relationships/hyperlink" Target="https://www.doi.org/10.1523/JNEUROSCI.1156-13.2014" TargetMode="External"/><Relationship Id="rId419" Type="http://schemas.openxmlformats.org/officeDocument/2006/relationships/hyperlink" Target="https://www.doi.org/10.1002/1098-1063(2000)10:4%3C398::aid-hipo6%3E3.0.co;2-k" TargetMode="External"/><Relationship Id="rId418" Type="http://schemas.openxmlformats.org/officeDocument/2006/relationships/hyperlink" Target="https://www.doi.org/10.1002/1098-1063(2000)10:4%3C398::aid-hipo6%3E3.0.co;2-k" TargetMode="External"/><Relationship Id="rId539" Type="http://schemas.openxmlformats.org/officeDocument/2006/relationships/hyperlink" Target="https://www.doi.org/10.1113/jphysiol.1977.sp011747" TargetMode="External"/><Relationship Id="rId417" Type="http://schemas.openxmlformats.org/officeDocument/2006/relationships/hyperlink" Target="https://www.doi.org/10.1093/med/9780195389883.003.0017" TargetMode="External"/><Relationship Id="rId538" Type="http://schemas.openxmlformats.org/officeDocument/2006/relationships/hyperlink" Target="https://www.doi.org/10.1152/jn.2000.83.6.3559" TargetMode="External"/><Relationship Id="rId659" Type="http://schemas.openxmlformats.org/officeDocument/2006/relationships/hyperlink" Target="https://journals.viamedica.pl/folia_morphologica/article/viewFile/16543/13176" TargetMode="External"/><Relationship Id="rId416" Type="http://schemas.openxmlformats.org/officeDocument/2006/relationships/hyperlink" Target="https://www.doi.org/10.1093/med/9780195389883.003.0017" TargetMode="External"/><Relationship Id="rId537" Type="http://schemas.openxmlformats.org/officeDocument/2006/relationships/hyperlink" Target="https://journals.viamedica.pl/folia_morphologica/article/viewFile/16543/13176" TargetMode="External"/><Relationship Id="rId658" Type="http://schemas.openxmlformats.org/officeDocument/2006/relationships/hyperlink" Target="https://www.doi.org/10.1523/JNEUROSCI.3648-15.2016" TargetMode="External"/><Relationship Id="rId411" Type="http://schemas.openxmlformats.org/officeDocument/2006/relationships/hyperlink" Target="https://www.doi.org/10.1002/cne.901750404" TargetMode="External"/><Relationship Id="rId532" Type="http://schemas.openxmlformats.org/officeDocument/2006/relationships/hyperlink" Target="https://www.doi.org/10.1016/j.neuroscience.2018.08.027" TargetMode="External"/><Relationship Id="rId653" Type="http://schemas.openxmlformats.org/officeDocument/2006/relationships/hyperlink" Target="https://www.doi.org/10.1523/JNEUROSCI.1156-13.2014" TargetMode="External"/><Relationship Id="rId410" Type="http://schemas.openxmlformats.org/officeDocument/2006/relationships/hyperlink" Target="https://www.doi.org/10.1098/rstb.2013.0369" TargetMode="External"/><Relationship Id="rId531" Type="http://schemas.openxmlformats.org/officeDocument/2006/relationships/hyperlink" Target="https://www.doi.org/10.1016/j.neuroscience.2018.08.027" TargetMode="External"/><Relationship Id="rId652" Type="http://schemas.openxmlformats.org/officeDocument/2006/relationships/hyperlink" Target="https://www.doi.org/10.3389/fncir.2013.00075" TargetMode="External"/><Relationship Id="rId530" Type="http://schemas.openxmlformats.org/officeDocument/2006/relationships/hyperlink" Target="https://www.doi.org/10.1016/j.neuroscience.2018.08.027" TargetMode="External"/><Relationship Id="rId651" Type="http://schemas.openxmlformats.org/officeDocument/2006/relationships/hyperlink" Target="https://www.doi.org/10.3389/fncir.2013.00075" TargetMode="External"/><Relationship Id="rId650" Type="http://schemas.openxmlformats.org/officeDocument/2006/relationships/hyperlink" Target="https://www.doi.org/10.1016/s0306-4522(97)00581-2" TargetMode="External"/><Relationship Id="rId206" Type="http://schemas.openxmlformats.org/officeDocument/2006/relationships/hyperlink" Target="https://journals.viamedica.pl/folia_morphologica/article/viewFile/16543/13176" TargetMode="External"/><Relationship Id="rId327" Type="http://schemas.openxmlformats.org/officeDocument/2006/relationships/hyperlink" Target="https://www.doi.org/10.7554/eLife.58613" TargetMode="External"/><Relationship Id="rId448" Type="http://schemas.openxmlformats.org/officeDocument/2006/relationships/hyperlink" Target="https://www.doi.org/10.1002/cne.901750404" TargetMode="External"/><Relationship Id="rId569" Type="http://schemas.openxmlformats.org/officeDocument/2006/relationships/hyperlink" Target="https://www.doi.org/10.1177/2398212817723443" TargetMode="External"/><Relationship Id="rId205" Type="http://schemas.openxmlformats.org/officeDocument/2006/relationships/hyperlink" Target="https://journals.viamedica.pl/folia_morphologica/article/viewFile/16543/13176" TargetMode="External"/><Relationship Id="rId326" Type="http://schemas.openxmlformats.org/officeDocument/2006/relationships/hyperlink" Target="https://www.doi.org/10.7554/eLife.58613" TargetMode="External"/><Relationship Id="rId447" Type="http://schemas.openxmlformats.org/officeDocument/2006/relationships/hyperlink" Target="https://www.doi.org/10.1002/(SICI)1098-1063(1997)7:5%3C571::AID-HIPO12%3E3.0.CO;2-Y" TargetMode="External"/><Relationship Id="rId568" Type="http://schemas.openxmlformats.org/officeDocument/2006/relationships/hyperlink" Target="https://journals.viamedica.pl/folia_morphologica/article/viewFile/16543/13176" TargetMode="External"/><Relationship Id="rId689" Type="http://schemas.openxmlformats.org/officeDocument/2006/relationships/hyperlink" Target="https://www.doi.org/10.3389/fncir.2013.00075" TargetMode="External"/><Relationship Id="rId204" Type="http://schemas.openxmlformats.org/officeDocument/2006/relationships/hyperlink" Target="https://journals.viamedica.pl/folia_morphologica/article/viewFile/16543/13176" TargetMode="External"/><Relationship Id="rId325" Type="http://schemas.openxmlformats.org/officeDocument/2006/relationships/hyperlink" Target="https://www.doi.org/10.3389/fncir.2019.00051" TargetMode="External"/><Relationship Id="rId446" Type="http://schemas.openxmlformats.org/officeDocument/2006/relationships/hyperlink" Target="https://journals.viamedica.pl/folia_morphologica/article/viewFile/16543/13176" TargetMode="External"/><Relationship Id="rId567" Type="http://schemas.openxmlformats.org/officeDocument/2006/relationships/hyperlink" Target="https://journals.viamedica.pl/folia_morphologica/article/viewFile/16543/13176" TargetMode="External"/><Relationship Id="rId688" Type="http://schemas.openxmlformats.org/officeDocument/2006/relationships/hyperlink" Target="https://www.doi.org/10.3389/fncir.2013.00075" TargetMode="External"/><Relationship Id="rId203" Type="http://schemas.openxmlformats.org/officeDocument/2006/relationships/hyperlink" Target="https://journals.viamedica.pl/folia_morphologica/article/viewFile/16543/13176" TargetMode="External"/><Relationship Id="rId324" Type="http://schemas.openxmlformats.org/officeDocument/2006/relationships/hyperlink" Target="https://www.doi.org/10.3389/fncir.2019.00051" TargetMode="External"/><Relationship Id="rId445" Type="http://schemas.openxmlformats.org/officeDocument/2006/relationships/hyperlink" Target="https://journals.viamedica.pl/folia_morphologica/article/viewFile/16543/13176" TargetMode="External"/><Relationship Id="rId566" Type="http://schemas.openxmlformats.org/officeDocument/2006/relationships/hyperlink" Target="https://www.doi.org/10.1186/s40673-016-0047-1" TargetMode="External"/><Relationship Id="rId687" Type="http://schemas.openxmlformats.org/officeDocument/2006/relationships/hyperlink" Target="https://www.doi.org/10.3389/fncir.2013.00075" TargetMode="External"/><Relationship Id="rId209" Type="http://schemas.openxmlformats.org/officeDocument/2006/relationships/hyperlink" Target="https://journals.viamedica.pl/folia_morphologica/article/viewFile/16543/13176" TargetMode="External"/><Relationship Id="rId208" Type="http://schemas.openxmlformats.org/officeDocument/2006/relationships/hyperlink" Target="https://journals.viamedica.pl/folia_morphologica/article/viewFile/16543/13176" TargetMode="External"/><Relationship Id="rId329" Type="http://schemas.openxmlformats.org/officeDocument/2006/relationships/hyperlink" Target="https://www.doi.org/10.7554/eLife.58613" TargetMode="External"/><Relationship Id="rId207" Type="http://schemas.openxmlformats.org/officeDocument/2006/relationships/hyperlink" Target="https://journals.viamedica.pl/folia_morphologica/article/viewFile/16543/13176" TargetMode="External"/><Relationship Id="rId328" Type="http://schemas.openxmlformats.org/officeDocument/2006/relationships/hyperlink" Target="https://www.doi.org/10.7554/eLife.58613" TargetMode="External"/><Relationship Id="rId449" Type="http://schemas.openxmlformats.org/officeDocument/2006/relationships/hyperlink" Target="https://www.doi.org/10.1002/(SICI)1098-1063(1997)7:5%3C571::AID-HIPO12%3E3.0.CO;2-Y" TargetMode="External"/><Relationship Id="rId440" Type="http://schemas.openxmlformats.org/officeDocument/2006/relationships/hyperlink" Target="https://journals.viamedica.pl/folia_morphologica/article/viewFile/16543/13176" TargetMode="External"/><Relationship Id="rId561" Type="http://schemas.openxmlformats.org/officeDocument/2006/relationships/hyperlink" Target="https://www.doi.org/10.1152/jn.1993.70.2.559" TargetMode="External"/><Relationship Id="rId682" Type="http://schemas.openxmlformats.org/officeDocument/2006/relationships/hyperlink" Target="https://www.doi.org/10.1002/1098-1063(2000)10:4%3C398::aid-hipo6%3E3.0.co;2-k" TargetMode="External"/><Relationship Id="rId560" Type="http://schemas.openxmlformats.org/officeDocument/2006/relationships/hyperlink" Target="https://www.doi.org/10.1007/BF00231143" TargetMode="External"/><Relationship Id="rId681" Type="http://schemas.openxmlformats.org/officeDocument/2006/relationships/hyperlink" Target="https://www.doi.org/10.1093/med/9780195389883.003.0017" TargetMode="External"/><Relationship Id="rId680" Type="http://schemas.openxmlformats.org/officeDocument/2006/relationships/hyperlink" Target="https://www.doi.org/10.3389/fnsys.2014.00205" TargetMode="External"/><Relationship Id="rId202" Type="http://schemas.openxmlformats.org/officeDocument/2006/relationships/hyperlink" Target="https://journals.viamedica.pl/folia_morphologica/article/viewFile/16543/13176" TargetMode="External"/><Relationship Id="rId323" Type="http://schemas.openxmlformats.org/officeDocument/2006/relationships/hyperlink" Target="https://www.doi.org/10.3389/fncir.2019.00051" TargetMode="External"/><Relationship Id="rId444" Type="http://schemas.openxmlformats.org/officeDocument/2006/relationships/hyperlink" Target="https://journals.viamedica.pl/folia_morphologica/article/viewFile/16543/13176" TargetMode="External"/><Relationship Id="rId565" Type="http://schemas.openxmlformats.org/officeDocument/2006/relationships/hyperlink" Target="https://www.doi.org/10.3389/fneur.2011.00053" TargetMode="External"/><Relationship Id="rId686" Type="http://schemas.openxmlformats.org/officeDocument/2006/relationships/hyperlink" Target="https://www.doi.org/10.1007/s12311-019-01019-3" TargetMode="External"/><Relationship Id="rId201" Type="http://schemas.openxmlformats.org/officeDocument/2006/relationships/hyperlink" Target="https://journals.viamedica.pl/folia_morphologica/article/viewFile/16543/13176" TargetMode="External"/><Relationship Id="rId322" Type="http://schemas.openxmlformats.org/officeDocument/2006/relationships/hyperlink" Target="https://www.doi.org/10.3389/fncir.2019.00051" TargetMode="External"/><Relationship Id="rId443" Type="http://schemas.openxmlformats.org/officeDocument/2006/relationships/hyperlink" Target="https://journals.viamedica.pl/folia_morphologica/article/viewFile/16543/13176" TargetMode="External"/><Relationship Id="rId564" Type="http://schemas.openxmlformats.org/officeDocument/2006/relationships/hyperlink" Target="https://www.doi.org/10.3389/fnsys.2014.00205" TargetMode="External"/><Relationship Id="rId685" Type="http://schemas.openxmlformats.org/officeDocument/2006/relationships/hyperlink" Target="https://www.doi.org/10.3389/fnana.2015.00005" TargetMode="External"/><Relationship Id="rId200" Type="http://schemas.openxmlformats.org/officeDocument/2006/relationships/hyperlink" Target="https://journals.viamedica.pl/folia_morphologica/article/viewFile/16543/13176" TargetMode="External"/><Relationship Id="rId321" Type="http://schemas.openxmlformats.org/officeDocument/2006/relationships/hyperlink" Target="https://www.doi.org/10.1186/s40673-016-0047-1" TargetMode="External"/><Relationship Id="rId442" Type="http://schemas.openxmlformats.org/officeDocument/2006/relationships/hyperlink" Target="https://journals.viamedica.pl/folia_morphologica/article/viewFile/16543/13176" TargetMode="External"/><Relationship Id="rId563" Type="http://schemas.openxmlformats.org/officeDocument/2006/relationships/hyperlink" Target="https://www.doi.org/10.3389/fneur.2011.00053" TargetMode="External"/><Relationship Id="rId684" Type="http://schemas.openxmlformats.org/officeDocument/2006/relationships/hyperlink" Target="https://www.doi.org/10.1002/1098-1063(2000)10:4%3C398::aid-hipo6%3E3.0.co;2-k" TargetMode="External"/><Relationship Id="rId320" Type="http://schemas.openxmlformats.org/officeDocument/2006/relationships/hyperlink" Target="https://www.doi.org/10.7554/eLife.58613" TargetMode="External"/><Relationship Id="rId441" Type="http://schemas.openxmlformats.org/officeDocument/2006/relationships/hyperlink" Target="https://journals.viamedica.pl/folia_morphologica/article/viewFile/16543/13176" TargetMode="External"/><Relationship Id="rId562" Type="http://schemas.openxmlformats.org/officeDocument/2006/relationships/hyperlink" Target="https://www.doi.org/10.3389/fneur.2011.00053" TargetMode="External"/><Relationship Id="rId683" Type="http://schemas.openxmlformats.org/officeDocument/2006/relationships/hyperlink" Target="https://www.doi.org/10.1093/med/9780195389883.003.0017" TargetMode="External"/><Relationship Id="rId316" Type="http://schemas.openxmlformats.org/officeDocument/2006/relationships/hyperlink" Target="https://journals.viamedica.pl/folia_morphologica/article/viewFile/16543/13176" TargetMode="External"/><Relationship Id="rId437" Type="http://schemas.openxmlformats.org/officeDocument/2006/relationships/hyperlink" Target="https://journals.viamedica.pl/folia_morphologica/article/viewFile/16543/13176" TargetMode="External"/><Relationship Id="rId558" Type="http://schemas.openxmlformats.org/officeDocument/2006/relationships/hyperlink" Target="https://www.doi.org/10.1007/s00429-020-02171-x" TargetMode="External"/><Relationship Id="rId679" Type="http://schemas.openxmlformats.org/officeDocument/2006/relationships/hyperlink" Target="https://www.doi.org/10.1371/journal.pone.0164037" TargetMode="External"/><Relationship Id="rId315" Type="http://schemas.openxmlformats.org/officeDocument/2006/relationships/hyperlink" Target="https://journals.viamedica.pl/folia_morphologica/article/viewFile/16543/13176" TargetMode="External"/><Relationship Id="rId436" Type="http://schemas.openxmlformats.org/officeDocument/2006/relationships/hyperlink" Target="https://www.doi.org/10.1038/s41593-020-00754-9" TargetMode="External"/><Relationship Id="rId557" Type="http://schemas.openxmlformats.org/officeDocument/2006/relationships/hyperlink" Target="https://www.doi.org/10.1007/s00429-020-02171-x" TargetMode="External"/><Relationship Id="rId678" Type="http://schemas.openxmlformats.org/officeDocument/2006/relationships/hyperlink" Target="https://www.doi.org/10.1523/ENEURO.0290-16.2017" TargetMode="External"/><Relationship Id="rId314" Type="http://schemas.openxmlformats.org/officeDocument/2006/relationships/hyperlink" Target="https://journals.viamedica.pl/folia_morphologica/article/viewFile/16543/13176" TargetMode="External"/><Relationship Id="rId435" Type="http://schemas.openxmlformats.org/officeDocument/2006/relationships/hyperlink" Target="https://www.doi.org/10.3389/fnana.2015.00005" TargetMode="External"/><Relationship Id="rId556" Type="http://schemas.openxmlformats.org/officeDocument/2006/relationships/hyperlink" Target="https://www.doi.org/10.1101/637447" TargetMode="External"/><Relationship Id="rId677" Type="http://schemas.openxmlformats.org/officeDocument/2006/relationships/hyperlink" Target="https://www.doi.org/10.1523/ENEURO.0290-16.2017" TargetMode="External"/><Relationship Id="rId313" Type="http://schemas.openxmlformats.org/officeDocument/2006/relationships/hyperlink" Target="https://journals.viamedica.pl/folia_morphologica/article/viewFile/16543/13176" TargetMode="External"/><Relationship Id="rId434" Type="http://schemas.openxmlformats.org/officeDocument/2006/relationships/hyperlink" Target="https://journals.viamedica.pl/folia_morphologica/article/viewFile/16543/13176" TargetMode="External"/><Relationship Id="rId555" Type="http://schemas.openxmlformats.org/officeDocument/2006/relationships/hyperlink" Target="https://journals.viamedica.pl/folia_morphologica/article/viewFile/16543/13176" TargetMode="External"/><Relationship Id="rId676" Type="http://schemas.openxmlformats.org/officeDocument/2006/relationships/hyperlink" Target="https://www.doi.org/10.7554/eLife.46973" TargetMode="External"/><Relationship Id="rId319" Type="http://schemas.openxmlformats.org/officeDocument/2006/relationships/hyperlink" Target="https://www.doi.org/10.7554/eLife.58613" TargetMode="External"/><Relationship Id="rId318" Type="http://schemas.openxmlformats.org/officeDocument/2006/relationships/hyperlink" Target="https://nba.uth.tmc.edu/neuroscience/m/s3/chapter05.html" TargetMode="External"/><Relationship Id="rId439" Type="http://schemas.openxmlformats.org/officeDocument/2006/relationships/hyperlink" Target="https://journals.viamedica.pl/folia_morphologica/article/viewFile/16543/13176" TargetMode="External"/><Relationship Id="rId317" Type="http://schemas.openxmlformats.org/officeDocument/2006/relationships/hyperlink" Target="https://www.doi.org/10.1101/637447" TargetMode="External"/><Relationship Id="rId438" Type="http://schemas.openxmlformats.org/officeDocument/2006/relationships/hyperlink" Target="https://journals.viamedica.pl/folia_morphologica/article/viewFile/16543/13176" TargetMode="External"/><Relationship Id="rId559" Type="http://schemas.openxmlformats.org/officeDocument/2006/relationships/hyperlink" Target="https://www.doi.org/10.1093/acprof:oso/9780195100273.001.0001" TargetMode="External"/><Relationship Id="rId550" Type="http://schemas.openxmlformats.org/officeDocument/2006/relationships/hyperlink" Target="https://www.doi.org/10.1523/JNEUROSCI.6141-11.2012" TargetMode="External"/><Relationship Id="rId671" Type="http://schemas.openxmlformats.org/officeDocument/2006/relationships/hyperlink" Target="https://nba.uth.tmc.edu/neuroscience/m/s3/chapter05.html" TargetMode="External"/><Relationship Id="rId670" Type="http://schemas.openxmlformats.org/officeDocument/2006/relationships/hyperlink" Target="https://nba.uth.tmc.edu/neuroscience/m/s3/chapter05.html" TargetMode="External"/><Relationship Id="rId312" Type="http://schemas.openxmlformats.org/officeDocument/2006/relationships/hyperlink" Target="https://www.doi.org/10.1101/637447" TargetMode="External"/><Relationship Id="rId433" Type="http://schemas.openxmlformats.org/officeDocument/2006/relationships/hyperlink" Target="https://www.doi.org/10.1016/j.neures.2006.07.012" TargetMode="External"/><Relationship Id="rId554" Type="http://schemas.openxmlformats.org/officeDocument/2006/relationships/hyperlink" Target="https://journals.viamedica.pl/folia_morphologica/article/viewFile/16543/13176" TargetMode="External"/><Relationship Id="rId675" Type="http://schemas.openxmlformats.org/officeDocument/2006/relationships/hyperlink" Target="https://www.doi.org/10.3389/fnana.2015.00005" TargetMode="External"/><Relationship Id="rId311" Type="http://schemas.openxmlformats.org/officeDocument/2006/relationships/hyperlink" Target="https://www.doi.org/10.1101/637447" TargetMode="External"/><Relationship Id="rId432" Type="http://schemas.openxmlformats.org/officeDocument/2006/relationships/hyperlink" Target="https://www.doi.org/10.1016/j.neures.2006.07.012" TargetMode="External"/><Relationship Id="rId553" Type="http://schemas.openxmlformats.org/officeDocument/2006/relationships/hyperlink" Target="https://www.doi.org/10.1523/JNEUROSCI.3648-15.2016" TargetMode="External"/><Relationship Id="rId674" Type="http://schemas.openxmlformats.org/officeDocument/2006/relationships/hyperlink" Target="https://www.doi.org/10.3389/fnana.2015.00005" TargetMode="External"/><Relationship Id="rId310" Type="http://schemas.openxmlformats.org/officeDocument/2006/relationships/hyperlink" Target="https://www.doi.org/10.1002/hipo.450030408" TargetMode="External"/><Relationship Id="rId431" Type="http://schemas.openxmlformats.org/officeDocument/2006/relationships/hyperlink" Target="https://www.doi.org/10.1016/j.neures.2006.07.012" TargetMode="External"/><Relationship Id="rId552" Type="http://schemas.openxmlformats.org/officeDocument/2006/relationships/hyperlink" Target="https://www.doi.org/10.1523/JNEUROSCI.3648-15.2016" TargetMode="External"/><Relationship Id="rId673" Type="http://schemas.openxmlformats.org/officeDocument/2006/relationships/hyperlink" Target="https://www.doi.org/10.3389/fnana.2015.00005" TargetMode="External"/><Relationship Id="rId430" Type="http://schemas.openxmlformats.org/officeDocument/2006/relationships/hyperlink" Target="https://www.doi.org/10.1016/j.neures.2006.07.012" TargetMode="External"/><Relationship Id="rId551" Type="http://schemas.openxmlformats.org/officeDocument/2006/relationships/hyperlink" Target="https://www.doi.org/10.1162/089892904970690" TargetMode="External"/><Relationship Id="rId672" Type="http://schemas.openxmlformats.org/officeDocument/2006/relationships/hyperlink" Target="https://nba.uth.tmc.edu/neuroscience/m/s3/chapter05.html"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Wt7pJKpi_mVKUeyziPuKcXQwB10u8b0T6RCz8gNe9fc/edit" TargetMode="External"/><Relationship Id="rId2" Type="http://schemas.openxmlformats.org/officeDocument/2006/relationships/hyperlink" Target="https://docs.google.com/spreadsheets/d/1mCQOmjBRIx-k12a2x8uV3aSKKZ5dDW0na4bVnZtAzhM/edit"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ncbi.nlm.nih.gov/Taxonomy/Browser/wwwtax.cgi" TargetMode="External"/><Relationship Id="rId2" Type="http://schemas.openxmlformats.org/officeDocument/2006/relationships/hyperlink" Target="https://www.mightexbio.com/what-is-cracm/)"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document/d/1xGorlRWsAWd52myxHjkLeqmCi99DisWVVQDII1RrqEI/edit?tab=t.0"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63"/>
    <col customWidth="1" min="2" max="2" width="22.13"/>
    <col customWidth="1" min="3" max="3" width="45.88"/>
    <col customWidth="1" min="4" max="4" width="56.5"/>
    <col customWidth="1" min="5" max="5" width="20.5"/>
  </cols>
  <sheetData>
    <row r="1">
      <c r="A1" s="1" t="s">
        <v>0</v>
      </c>
      <c r="B1" s="2" t="s">
        <v>1</v>
      </c>
      <c r="C1" s="2" t="s">
        <v>2</v>
      </c>
      <c r="D1" s="3" t="s">
        <v>3</v>
      </c>
      <c r="E1" s="4" t="s">
        <v>4</v>
      </c>
    </row>
    <row r="2">
      <c r="A2" s="8"/>
      <c r="B2" s="10"/>
      <c r="C2" s="10"/>
      <c r="D2" s="11"/>
      <c r="E2" s="13" t="s">
        <v>5</v>
      </c>
    </row>
    <row r="4">
      <c r="A4" s="15" t="s">
        <v>6</v>
      </c>
      <c r="B4" s="16" t="s">
        <v>7</v>
      </c>
      <c r="E4" s="17"/>
    </row>
    <row r="5">
      <c r="A5" s="18" t="s">
        <v>8</v>
      </c>
      <c r="B5" s="18"/>
    </row>
    <row r="6">
      <c r="A6" s="18" t="s">
        <v>9</v>
      </c>
      <c r="B6" s="18"/>
    </row>
    <row r="7">
      <c r="A7" s="18" t="s">
        <v>10</v>
      </c>
      <c r="B7" s="18"/>
    </row>
    <row r="8">
      <c r="A8" s="18" t="s">
        <v>11</v>
      </c>
      <c r="B8" s="18"/>
    </row>
    <row r="9">
      <c r="B9" s="20" t="s">
        <v>12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9.75"/>
    <col customWidth="1" min="4" max="4" width="17.13"/>
    <col customWidth="1" min="5" max="5" width="21.75"/>
    <col customWidth="1" min="8" max="8" width="21.13"/>
  </cols>
  <sheetData>
    <row r="1">
      <c r="A1" s="5" t="str">
        <f>IFERROR(__xludf.DUMMYFUNCTION("IMPORTRANGE(Settings!$A$2,""wbReferences!A1:W1"")"),"Reference ID")</f>
        <v>Reference ID</v>
      </c>
      <c r="B1" s="9" t="str">
        <f>IFERROR(__xludf.DUMMYFUNCTION("""COMPUTED_VALUE"""),"Doc. Link")</f>
        <v>Doc. Link</v>
      </c>
      <c r="C1" s="9" t="str">
        <f>IFERROR(__xludf.DUMMYFUNCTION("""COMPUTED_VALUE"""),"BibTex link")</f>
        <v>BibTex link</v>
      </c>
      <c r="D1" s="7" t="str">
        <f>IFERROR(__xludf.DUMMYFUNCTION("""COMPUTED_VALUE"""),"DOI")</f>
        <v>DOI</v>
      </c>
      <c r="E1" s="12" t="str">
        <f>IFERROR(__xludf.DUMMYFUNCTION("""COMPUTED_VALUE"""),"BibTex ")</f>
        <v>BibTex </v>
      </c>
      <c r="F1" s="7" t="str">
        <f>IFERROR(__xludf.DUMMYFUNCTION("""COMPUTED_VALUE"""),"Litterature type")</f>
        <v>Litterature type</v>
      </c>
      <c r="G1" s="9" t="str">
        <f>IFERROR(__xludf.DUMMYFUNCTION("""COMPUTED_VALUE"""),"Type")</f>
        <v>Type</v>
      </c>
      <c r="H1" s="9" t="str">
        <f>IFERROR(__xludf.DUMMYFUNCTION("""COMPUTED_VALUE"""),"Authors")</f>
        <v>Authors</v>
      </c>
      <c r="I1" s="9" t="str">
        <f>IFERROR(__xludf.DUMMYFUNCTION("""COMPUTED_VALUE"""),"Title")</f>
        <v>Title</v>
      </c>
      <c r="J1" s="9" t="str">
        <f>IFERROR(__xludf.DUMMYFUNCTION("""COMPUTED_VALUE"""),"Journal names")</f>
        <v>Journal names</v>
      </c>
      <c r="K1" s="12" t="str">
        <f>IFERROR(__xludf.DUMMYFUNCTION("""COMPUTED_VALUE"""),"Alternative URL")</f>
        <v>Alternative URL</v>
      </c>
      <c r="L1" s="7" t="str">
        <f>IFERROR(__xludf.DUMMYFUNCTION("""COMPUTED_VALUE"""),"Contributor")</f>
        <v>Contributor</v>
      </c>
      <c r="M1" s="7" t="str">
        <f>IFERROR(__xludf.DUMMYFUNCTION("""COMPUTED_VALUE"""),"Project ID")</f>
        <v>Project ID</v>
      </c>
      <c r="N1" s="21" t="str">
        <f>IFERROR(__xludf.DUMMYFUNCTION("""COMPUTED_VALUE"""),"WBIF pull request")</f>
        <v>WBIF pull request</v>
      </c>
      <c r="O1" s="21" t="str">
        <f>IFERROR(__xludf.DUMMYFUNCTION("""COMPUTED_VALUE"""),"WBIF copied")</f>
        <v>WBIF copied</v>
      </c>
      <c r="P1" s="14" t="str">
        <f>IFERROR(__xludf.DUMMYFUNCTION("""COMPUTED_VALUE"""),"Review results")</f>
        <v>Review results</v>
      </c>
      <c r="Q1" s="23" t="str">
        <f>IFERROR(__xludf.DUMMYFUNCTION("""COMPUTED_VALUE"""),"Auto Error Codes")</f>
        <v>Auto Error Codes</v>
      </c>
      <c r="R1" s="24" t="str">
        <f>IFERROR(__xludf.DUMMYFUNCTION("""COMPUTED_VALUE"""),"Error Code-1")</f>
        <v>Error Code-1</v>
      </c>
      <c r="S1" s="24" t="str">
        <f>IFERROR(__xludf.DUMMYFUNCTION("""COMPUTED_VALUE"""),"Error Code-2")</f>
        <v>Error Code-2</v>
      </c>
      <c r="T1" s="24" t="str">
        <f>IFERROR(__xludf.DUMMYFUNCTION("""COMPUTED_VALUE"""),"Other Error Codes")</f>
        <v>Other Error Codes</v>
      </c>
      <c r="U1" s="24" t="str">
        <f>IFERROR(__xludf.DUMMYFUNCTION("""COMPUTED_VALUE"""),"Review comments")</f>
        <v>Review comments</v>
      </c>
      <c r="V1" s="26" t="str">
        <f>IFERROR(__xludf.DUMMYFUNCTION("""COMPUTED_VALUE"""),"Reviewer")</f>
        <v>Reviewer</v>
      </c>
      <c r="W1" s="24" t="str">
        <f>IFERROR(__xludf.DUMMYFUNCTION("""COMPUTED_VALUE"""),"Reviewed date")</f>
        <v>Reviewed date</v>
      </c>
    </row>
    <row r="2">
      <c r="A2" s="9" t="str">
        <f>IFERROR(__xludf.DUMMYFUNCTION("IF(ISBLANK(E2), ""(no BibTex)"", CONCATENATE(REGEXEXTRACT(SUBSTITUTE($E2, ""_"", """"),""@.+{(.+)\d{4}""),"", "",REGEXEXTRACT($E2,""@.+{.+(\d{4}.*),"")))"),"(no BibTex)")</f>
        <v>(no BibTex)</v>
      </c>
      <c r="B2" s="31" t="str">
        <f t="shared" ref="B2:B29" si="1">IF(ISBLANK(D2),IF(ISBLANK(K2),"-",HYPERLINK(K2,"DOC(alt)")), HYPERLINK(CONCAT("https://www.doi.org/",D2),"DOC"))</f>
        <v>-</v>
      </c>
      <c r="C2" s="31" t="str">
        <f t="shared" ref="C2:C29" si="2">IF(ISBLANK(D2),"(no DOI)", HYPERLINK(CONCAT("https://www.doi2bib.org/bib/",D2),"BIB"))</f>
        <v>(no DOI)</v>
      </c>
      <c r="D2" s="35"/>
      <c r="E2" s="37"/>
      <c r="F2" s="40"/>
      <c r="G2" s="9" t="str">
        <f>IFERROR(__xludf.DUMMYFUNCTION("IF(ISBLANK(E2),""(no BibTex)"",PROPER(REGEXEXTRACT($E2,""@(.+){"")))"),"(no BibTex)")</f>
        <v>(no BibTex)</v>
      </c>
      <c r="H2" s="9" t="str">
        <f>IFERROR(__xludf.DUMMYFUNCTION("IF(ISBLANK(E2),""(no BibTex)"",SUBSTITUTE(IFNA(REGEXEXTRACT($E2,""author += +{(.+)}""),REGEXEXTRACT($E2,""editor *= *{(.+)}"")),"" and"", "",""))"),"(no BibTex)")</f>
        <v>(no BibTex)</v>
      </c>
      <c r="I2" s="9" t="str">
        <f>IFERROR(__xludf.DUMMYFUNCTION("IF(ISBLANK(E2),""(no BibTex)"",REGEXEXTRACT($E2,""title *= *{(.+)}""))"),"(no BibTex)")</f>
        <v>(no BibTex)</v>
      </c>
      <c r="J2" s="9" t="str">
        <f>IFERROR(__xludf.DUMMYFUNCTION("IFNA(IFNA(REGEXEXTRACT($E2,""journal *= *{(.+)}""), REGEXEXTRACT($E2,""booktitle *= *{(.+)}"")), ""-"")"),"-")</f>
        <v>-</v>
      </c>
      <c r="K2" s="43"/>
      <c r="L2" s="40"/>
      <c r="M2" s="40"/>
      <c r="N2" s="42"/>
      <c r="O2" s="42"/>
      <c r="P2" s="46"/>
      <c r="Q2" s="46"/>
      <c r="R2" s="42"/>
      <c r="S2" s="42"/>
      <c r="T2" s="38"/>
      <c r="U2" s="43"/>
      <c r="V2" s="47"/>
      <c r="W2" s="49"/>
    </row>
    <row r="3">
      <c r="A3" s="9" t="str">
        <f>IFERROR(__xludf.DUMMYFUNCTION("IF(ISBLANK(E3), ""(no BibTex)"", CONCATENATE(REGEXEXTRACT(SUBSTITUTE($E3, ""_"", """"),""@.+{(.+)\d{4}""),"", "",REGEXEXTRACT($E3,""@.+{.+(\d{4}.*),"")))"),"(no BibTex)")</f>
        <v>(no BibTex)</v>
      </c>
      <c r="B3" s="31" t="str">
        <f t="shared" si="1"/>
        <v>-</v>
      </c>
      <c r="C3" s="31" t="str">
        <f t="shared" si="2"/>
        <v>(no DOI)</v>
      </c>
      <c r="D3" s="52"/>
      <c r="E3" s="54"/>
      <c r="F3" s="55"/>
      <c r="G3" s="9" t="str">
        <f>IFERROR(__xludf.DUMMYFUNCTION("IF(ISBLANK(E3),""(no BibTex)"",PROPER(REGEXEXTRACT($E3,""@(.+){"")))"),"(no BibTex)")</f>
        <v>(no BibTex)</v>
      </c>
      <c r="H3" s="9" t="str">
        <f>IFERROR(__xludf.DUMMYFUNCTION("IF(ISBLANK(E3),""(no BibTex)"",SUBSTITUTE(IFNA(REGEXEXTRACT($E3,""author += +{(.+)}""),REGEXEXTRACT($E3,""editor *= *{(.+)}"")),"" and"", "",""))"),"(no BibTex)")</f>
        <v>(no BibTex)</v>
      </c>
      <c r="I3" s="9" t="str">
        <f>IFERROR(__xludf.DUMMYFUNCTION("IF(ISBLANK(E3),""(no BibTex)"",REGEXEXTRACT($E3,""title *= *{(.+)}""))"),"(no BibTex)")</f>
        <v>(no BibTex)</v>
      </c>
      <c r="J3" s="9" t="str">
        <f>IFERROR(__xludf.DUMMYFUNCTION("IFNA(IFNA(REGEXEXTRACT($E3,""journal *= *{(.+)}""), REGEXEXTRACT($E3,""booktitle *= *{(.+)}"")), ""-"")"),"-")</f>
        <v>-</v>
      </c>
      <c r="K3" s="57"/>
      <c r="L3" s="60"/>
      <c r="M3" s="60"/>
      <c r="N3" s="42"/>
      <c r="O3" s="42"/>
      <c r="P3" s="46"/>
      <c r="Q3" s="46"/>
      <c r="R3" s="38"/>
      <c r="S3" s="38"/>
      <c r="T3" s="42"/>
      <c r="U3" s="43"/>
      <c r="V3" s="47"/>
      <c r="W3" s="49"/>
    </row>
    <row r="4">
      <c r="A4" s="9" t="str">
        <f>IFERROR(__xludf.DUMMYFUNCTION("IF(ISBLANK(E4), ""(no BibTex)"", CONCATENATE(REGEXEXTRACT(SUBSTITUTE($E4, ""_"", """"),""@.+{(.+)\d{4}""),"", "",REGEXEXTRACT($E4,""@.+{.+(\d{4}.*),"")))"),"(no BibTex)")</f>
        <v>(no BibTex)</v>
      </c>
      <c r="B4" s="31" t="str">
        <f t="shared" si="1"/>
        <v>-</v>
      </c>
      <c r="C4" s="31" t="str">
        <f t="shared" si="2"/>
        <v>(no DOI)</v>
      </c>
      <c r="D4" s="52"/>
      <c r="E4" s="54"/>
      <c r="F4" s="60"/>
      <c r="G4" s="9" t="str">
        <f>IFERROR(__xludf.DUMMYFUNCTION("IF(ISBLANK(E4),""(no BibTex)"",PROPER(REGEXEXTRACT($E4,""@(.+){"")))"),"(no BibTex)")</f>
        <v>(no BibTex)</v>
      </c>
      <c r="H4" s="9" t="str">
        <f>IFERROR(__xludf.DUMMYFUNCTION("IF(ISBLANK(E4),""(no BibTex)"",SUBSTITUTE(IFNA(REGEXEXTRACT($E4,""author += +{(.+)}""),REGEXEXTRACT($E4,""editor *= *{(.+)}"")),"" and"", "",""))"),"(no BibTex)")</f>
        <v>(no BibTex)</v>
      </c>
      <c r="I4" s="9" t="str">
        <f>IFERROR(__xludf.DUMMYFUNCTION("IF(ISBLANK(E4),""(no BibTex)"",REGEXEXTRACT($E4,""title *= *{(.+)}""))"),"(no BibTex)")</f>
        <v>(no BibTex)</v>
      </c>
      <c r="J4" s="9" t="str">
        <f>IFERROR(__xludf.DUMMYFUNCTION("IFNA(IFNA(REGEXEXTRACT($E4,""journal *= *{(.+)}""), REGEXEXTRACT($E4,""booktitle *= *{(.+)}"")), ""-"")"),"-")</f>
        <v>-</v>
      </c>
      <c r="K4" s="57"/>
      <c r="L4" s="60"/>
      <c r="M4" s="60"/>
      <c r="N4" s="42"/>
      <c r="O4" s="42"/>
      <c r="P4" s="46"/>
      <c r="Q4" s="46"/>
      <c r="R4" s="42"/>
      <c r="S4" s="42"/>
      <c r="T4" s="42"/>
      <c r="U4" s="43"/>
      <c r="V4" s="47"/>
      <c r="W4" s="49"/>
    </row>
    <row r="5">
      <c r="A5" s="9" t="str">
        <f>IFERROR(__xludf.DUMMYFUNCTION("IF(ISBLANK(E5), ""(no BibTex)"", CONCATENATE(REGEXEXTRACT(SUBSTITUTE($E5, ""_"", """"),""@.+{(.+)\d{4}""),"", "",REGEXEXTRACT($E5,""@.+{.+(\d{4}.*),"")))"),"(no BibTex)")</f>
        <v>(no BibTex)</v>
      </c>
      <c r="B5" s="31" t="str">
        <f t="shared" si="1"/>
        <v>-</v>
      </c>
      <c r="C5" s="31" t="str">
        <f t="shared" si="2"/>
        <v>(no DOI)</v>
      </c>
      <c r="D5" s="65"/>
      <c r="E5" s="54"/>
      <c r="F5" s="67"/>
      <c r="G5" s="9" t="str">
        <f>IFERROR(__xludf.DUMMYFUNCTION("IF(ISBLANK(E5),""(no BibTex)"",PROPER(REGEXEXTRACT($E5,""@(.+){"")))"),"(no BibTex)")</f>
        <v>(no BibTex)</v>
      </c>
      <c r="H5" s="9" t="str">
        <f>IFERROR(__xludf.DUMMYFUNCTION("IF(ISBLANK(E5),""(no BibTex)"",SUBSTITUTE(IFNA(REGEXEXTRACT($E5,""author += +{(.+)}""),REGEXEXTRACT($E5,""editor *= *{(.+)}"")),"" and"", "",""))"),"(no BibTex)")</f>
        <v>(no BibTex)</v>
      </c>
      <c r="I5" s="9" t="str">
        <f>IFERROR(__xludf.DUMMYFUNCTION("IF(ISBLANK(E5),""(no BibTex)"",REGEXEXTRACT($E5,""title *= *{(.+)}""))"),"(no BibTex)")</f>
        <v>(no BibTex)</v>
      </c>
      <c r="J5" s="9" t="str">
        <f>IFERROR(__xludf.DUMMYFUNCTION("IFNA(IFNA(REGEXEXTRACT($E5,""journal *= *{(.+)}""), REGEXEXTRACT($E5,""booktitle *= *{(.+)}"")), ""-"")"),"-")</f>
        <v>-</v>
      </c>
      <c r="K5" s="72"/>
      <c r="L5" s="60"/>
      <c r="M5" s="60"/>
      <c r="N5" s="42"/>
      <c r="O5" s="42"/>
      <c r="P5" s="46"/>
      <c r="Q5" s="46"/>
      <c r="R5" s="42"/>
      <c r="S5" s="42"/>
      <c r="T5" s="42"/>
      <c r="U5" s="43"/>
      <c r="V5" s="47"/>
      <c r="W5" s="49"/>
    </row>
    <row r="6">
      <c r="A6" s="9" t="str">
        <f>IFERROR(__xludf.DUMMYFUNCTION("IF(ISBLANK(E6), ""(no BibTex)"", CONCATENATE(REGEXEXTRACT(SUBSTITUTE($E6, ""_"", """"),""@.+{(.+)\d{4}""),"", "",REGEXEXTRACT($E6,""@.+{.+(\d{4}.*),"")))"),"(no BibTex)")</f>
        <v>(no BibTex)</v>
      </c>
      <c r="B6" s="31" t="str">
        <f t="shared" si="1"/>
        <v>-</v>
      </c>
      <c r="C6" s="31" t="str">
        <f t="shared" si="2"/>
        <v>(no DOI)</v>
      </c>
      <c r="D6" s="76"/>
      <c r="E6" s="54"/>
      <c r="F6" s="78"/>
      <c r="G6" s="9" t="str">
        <f>IFERROR(__xludf.DUMMYFUNCTION("IF(ISBLANK(E6),""(no BibTex)"",PROPER(REGEXEXTRACT($E6,""@(.+){"")))"),"(no BibTex)")</f>
        <v>(no BibTex)</v>
      </c>
      <c r="H6" s="9" t="str">
        <f>IFERROR(__xludf.DUMMYFUNCTION("IF(ISBLANK(E6),""(no BibTex)"",SUBSTITUTE(IFNA(REGEXEXTRACT($E6,""author += +{(.+)}""),REGEXEXTRACT($E6,""editor *= *{(.+)}"")),"" and"", "",""))"),"(no BibTex)")</f>
        <v>(no BibTex)</v>
      </c>
      <c r="I6" s="9" t="str">
        <f>IFERROR(__xludf.DUMMYFUNCTION("IF(ISBLANK(E6),""(no BibTex)"",REGEXEXTRACT($E6,""title *= *{(.+)}""))"),"(no BibTex)")</f>
        <v>(no BibTex)</v>
      </c>
      <c r="J6" s="9" t="str">
        <f>IFERROR(__xludf.DUMMYFUNCTION("IFNA(IFNA(REGEXEXTRACT($E6,""journal *= *{(.+)}""), REGEXEXTRACT($E6,""booktitle *= *{(.+)}"")), ""-"")"),"-")</f>
        <v>-</v>
      </c>
      <c r="K6" s="82"/>
      <c r="L6" s="60"/>
      <c r="M6" s="60"/>
      <c r="N6" s="42"/>
      <c r="O6" s="42"/>
      <c r="P6" s="46"/>
      <c r="Q6" s="46"/>
      <c r="R6" s="42"/>
      <c r="S6" s="42"/>
      <c r="T6" s="42"/>
      <c r="U6" s="43"/>
      <c r="V6" s="47"/>
      <c r="W6" s="49"/>
    </row>
    <row r="7">
      <c r="A7" s="9" t="str">
        <f>IFERROR(__xludf.DUMMYFUNCTION("IF(ISBLANK(E7), ""(no BibTex)"", CONCATENATE(REGEXEXTRACT(SUBSTITUTE($E7, ""_"", """"),""@.+{(.+)\d{4}""),"", "",REGEXEXTRACT($E7,""@.+{.+(\d{4}.*),"")))"),"(no BibTex)")</f>
        <v>(no BibTex)</v>
      </c>
      <c r="B7" s="31" t="str">
        <f t="shared" si="1"/>
        <v>-</v>
      </c>
      <c r="C7" s="31" t="str">
        <f t="shared" si="2"/>
        <v>(no DOI)</v>
      </c>
      <c r="D7" s="86"/>
      <c r="E7" s="87"/>
      <c r="F7" s="60"/>
      <c r="G7" s="9" t="str">
        <f>IFERROR(__xludf.DUMMYFUNCTION("IF(ISBLANK(E7),""(no BibTex)"",PROPER(REGEXEXTRACT($E7,""@(.+){"")))"),"(no BibTex)")</f>
        <v>(no BibTex)</v>
      </c>
      <c r="H7" s="9" t="str">
        <f>IFERROR(__xludf.DUMMYFUNCTION("IF(ISBLANK(E7),""(no BibTex)"",SUBSTITUTE(IFNA(REGEXEXTRACT($E7,""author += +{(.+)}""),REGEXEXTRACT($E7,""editor *= *{(.+)}"")),"" and"", "",""))"),"(no BibTex)")</f>
        <v>(no BibTex)</v>
      </c>
      <c r="I7" s="9" t="str">
        <f>IFERROR(__xludf.DUMMYFUNCTION("IF(ISBLANK(E7),""(no BibTex)"",REGEXEXTRACT($E7,""title *= *{(.+)}""))"),"(no BibTex)")</f>
        <v>(no BibTex)</v>
      </c>
      <c r="J7" s="9" t="str">
        <f>IFERROR(__xludf.DUMMYFUNCTION("IFNA(IFNA(REGEXEXTRACT($E7,""journal *= *{(.+)}""), REGEXEXTRACT($E7,""booktitle *= *{(.+)}"")), ""-"")"),"-")</f>
        <v>-</v>
      </c>
      <c r="K7" s="82"/>
      <c r="L7" s="67"/>
      <c r="M7" s="67"/>
      <c r="N7" s="42"/>
      <c r="O7" s="42"/>
      <c r="P7" s="80"/>
      <c r="Q7" s="46"/>
      <c r="R7" s="42"/>
      <c r="S7" s="42"/>
      <c r="T7" s="42"/>
      <c r="U7" s="43"/>
      <c r="V7" s="47"/>
      <c r="W7" s="49"/>
    </row>
    <row r="8">
      <c r="A8" s="9" t="str">
        <f>IFERROR(__xludf.DUMMYFUNCTION("IF(ISBLANK(E8), ""(no BibTex)"", CONCATENATE(REGEXEXTRACT(SUBSTITUTE($E8, ""_"", """"),""@.+{(.+)\d{4}""),"", "",REGEXEXTRACT($E8,""@.+{.+(\d{4}.*),"")))"),"(no BibTex)")</f>
        <v>(no BibTex)</v>
      </c>
      <c r="B8" s="31" t="str">
        <f t="shared" si="1"/>
        <v>-</v>
      </c>
      <c r="C8" s="31" t="str">
        <f t="shared" si="2"/>
        <v>(no DOI)</v>
      </c>
      <c r="D8" s="38"/>
      <c r="E8" s="95"/>
      <c r="F8" s="38"/>
      <c r="G8" s="9" t="str">
        <f>IFERROR(__xludf.DUMMYFUNCTION("IF(ISBLANK(E8),""(no BibTex)"",PROPER(REGEXEXTRACT($E8,""@(.+){"")))"),"(no BibTex)")</f>
        <v>(no BibTex)</v>
      </c>
      <c r="H8" s="9" t="str">
        <f>IFERROR(__xludf.DUMMYFUNCTION("IF(ISBLANK(E8),""(no BibTex)"",SUBSTITUTE(IFNA(REGEXEXTRACT($E8,""author += +{(.+)}""),REGEXEXTRACT($E8,""editor *= *{(.+)}"")),"" and"", "",""))"),"(no BibTex)")</f>
        <v>(no BibTex)</v>
      </c>
      <c r="I8" s="9" t="str">
        <f>IFERROR(__xludf.DUMMYFUNCTION("IF(ISBLANK(E8),""(no BibTex)"",REGEXEXTRACT($E8,""title *= *{(.+)}""))"),"(no BibTex)")</f>
        <v>(no BibTex)</v>
      </c>
      <c r="J8" s="9" t="str">
        <f>IFERROR(__xludf.DUMMYFUNCTION("IFNA(IFNA(REGEXEXTRACT($E8,""journal *= *{(.+)}""), REGEXEXTRACT($E8,""booktitle *= *{(.+)}"")), ""-"")"),"-")</f>
        <v>-</v>
      </c>
      <c r="K8" s="42"/>
      <c r="L8" s="42"/>
      <c r="M8" s="42"/>
      <c r="N8" s="42"/>
      <c r="O8" s="42"/>
      <c r="P8" s="9"/>
      <c r="Q8" s="46"/>
      <c r="R8" s="42"/>
      <c r="S8" s="42"/>
      <c r="T8" s="42"/>
      <c r="U8" s="43"/>
      <c r="V8" s="43"/>
      <c r="W8" s="43"/>
    </row>
    <row r="9">
      <c r="A9" s="9" t="str">
        <f>IFERROR(__xludf.DUMMYFUNCTION("IF(ISBLANK(E9), ""(no BibTex)"", CONCATENATE(REGEXEXTRACT(SUBSTITUTE($E9, ""_"", """"),""@.+{(.+)\d{4}""),"", "",REGEXEXTRACT($E9,""@.+{.+(\d{4}.*),"")))"),"(no BibTex)")</f>
        <v>(no BibTex)</v>
      </c>
      <c r="B9" s="31" t="str">
        <f t="shared" si="1"/>
        <v>-</v>
      </c>
      <c r="C9" s="31" t="str">
        <f t="shared" si="2"/>
        <v>(no DOI)</v>
      </c>
      <c r="D9" s="42"/>
      <c r="E9" s="103"/>
      <c r="F9" s="42"/>
      <c r="G9" s="9" t="str">
        <f>IFERROR(__xludf.DUMMYFUNCTION("IF(ISBLANK(E9),""(no BibTex)"",PROPER(REGEXEXTRACT($E9,""@(.+){"")))"),"(no BibTex)")</f>
        <v>(no BibTex)</v>
      </c>
      <c r="H9" s="9" t="str">
        <f>IFERROR(__xludf.DUMMYFUNCTION("IF(ISBLANK(E9),""(no BibTex)"",SUBSTITUTE(IFNA(REGEXEXTRACT($E9,""author += +{(.+)}""),REGEXEXTRACT($E9,""editor *= *{(.+)}"")),"" and"", "",""))"),"(no BibTex)")</f>
        <v>(no BibTex)</v>
      </c>
      <c r="I9" s="9" t="str">
        <f>IFERROR(__xludf.DUMMYFUNCTION("IF(ISBLANK(E9),""(no BibTex)"",REGEXEXTRACT($E9,""title *= *{(.+)}""))"),"(no BibTex)")</f>
        <v>(no BibTex)</v>
      </c>
      <c r="J9" s="9" t="str">
        <f>IFERROR(__xludf.DUMMYFUNCTION("IFNA(IFNA(REGEXEXTRACT($E9,""journal *= *{(.+)}""), REGEXEXTRACT($E9,""booktitle *= *{(.+)}"")), ""-"")"),"-")</f>
        <v>-</v>
      </c>
      <c r="K9" s="42"/>
      <c r="L9" s="42"/>
      <c r="M9" s="42"/>
      <c r="N9" s="42"/>
      <c r="O9" s="42"/>
      <c r="P9" s="9"/>
      <c r="Q9" s="9"/>
      <c r="R9" s="42"/>
      <c r="S9" s="42"/>
      <c r="T9" s="42"/>
      <c r="U9" s="43"/>
      <c r="V9" s="43"/>
      <c r="W9" s="43"/>
    </row>
    <row r="10">
      <c r="A10" s="9" t="str">
        <f>IFERROR(__xludf.DUMMYFUNCTION("IF(ISBLANK(E10), ""(no BibTex)"", CONCATENATE(REGEXEXTRACT(SUBSTITUTE($E10, ""_"", """"),""@.+{(.+)\d{4}""),"", "",REGEXEXTRACT($E10,""@.+{.+(\d{4}.*),"")))"),"(no BibTex)")</f>
        <v>(no BibTex)</v>
      </c>
      <c r="B10" s="31" t="str">
        <f t="shared" si="1"/>
        <v>-</v>
      </c>
      <c r="C10" s="31" t="str">
        <f t="shared" si="2"/>
        <v>(no DOI)</v>
      </c>
      <c r="D10" s="42"/>
      <c r="E10" s="103"/>
      <c r="F10" s="42"/>
      <c r="G10" s="9" t="str">
        <f>IFERROR(__xludf.DUMMYFUNCTION("IF(ISBLANK(E10),""(no BibTex)"",PROPER(REGEXEXTRACT($E10,""@(.+){"")))"),"(no BibTex)")</f>
        <v>(no BibTex)</v>
      </c>
      <c r="H10" s="9" t="str">
        <f>IFERROR(__xludf.DUMMYFUNCTION("IF(ISBLANK(E10),""(no BibTex)"",SUBSTITUTE(IFNA(REGEXEXTRACT($E10,""author += +{(.+)}""),REGEXEXTRACT($E10,""editor *= *{(.+)}"")),"" and"", "",""))"),"(no BibTex)")</f>
        <v>(no BibTex)</v>
      </c>
      <c r="I10" s="9" t="str">
        <f>IFERROR(__xludf.DUMMYFUNCTION("IF(ISBLANK(E10),""(no BibTex)"",REGEXEXTRACT($E10,""title *= *{(.+)}""))"),"(no BibTex)")</f>
        <v>(no BibTex)</v>
      </c>
      <c r="J10" s="9" t="str">
        <f>IFERROR(__xludf.DUMMYFUNCTION("IFNA(IFNA(REGEXEXTRACT($E10,""journal *= *{(.+)}""), REGEXEXTRACT($E10,""booktitle *= *{(.+)}"")), ""-"")"),"-")</f>
        <v>-</v>
      </c>
      <c r="K10" s="42"/>
      <c r="L10" s="42"/>
      <c r="M10" s="42"/>
      <c r="N10" s="42"/>
      <c r="O10" s="42"/>
      <c r="P10" s="9"/>
      <c r="Q10" s="9"/>
      <c r="R10" s="42"/>
      <c r="S10" s="42"/>
      <c r="T10" s="42"/>
      <c r="U10" s="43"/>
      <c r="V10" s="43"/>
      <c r="W10" s="43"/>
    </row>
    <row r="11">
      <c r="A11" s="9" t="str">
        <f>IFERROR(__xludf.DUMMYFUNCTION("IF(ISBLANK(E11), ""(no BibTex)"", CONCATENATE(REGEXEXTRACT(SUBSTITUTE($E11, ""_"", """"),""@.+{(.+)\d{4}""),"", "",REGEXEXTRACT($E11,""@.+{.+(\d{4}.*),"")))"),"(no BibTex)")</f>
        <v>(no BibTex)</v>
      </c>
      <c r="B11" s="31" t="str">
        <f t="shared" si="1"/>
        <v>-</v>
      </c>
      <c r="C11" s="31" t="str">
        <f t="shared" si="2"/>
        <v>(no DOI)</v>
      </c>
      <c r="D11" s="42"/>
      <c r="E11" s="103"/>
      <c r="F11" s="42"/>
      <c r="G11" s="9" t="str">
        <f>IFERROR(__xludf.DUMMYFUNCTION("IF(ISBLANK(E11),""(no BibTex)"",PROPER(REGEXEXTRACT($E11,""@(.+){"")))"),"(no BibTex)")</f>
        <v>(no BibTex)</v>
      </c>
      <c r="H11" s="9" t="str">
        <f>IFERROR(__xludf.DUMMYFUNCTION("IF(ISBLANK(E11),""(no BibTex)"",SUBSTITUTE(IFNA(REGEXEXTRACT($E11,""author += +{(.+)}""),REGEXEXTRACT($E11,""editor *= *{(.+)}"")),"" and"", "",""))"),"(no BibTex)")</f>
        <v>(no BibTex)</v>
      </c>
      <c r="I11" s="9" t="str">
        <f>IFERROR(__xludf.DUMMYFUNCTION("IF(ISBLANK(E11),""(no BibTex)"",REGEXEXTRACT($E11,""title *= *{(.+)}""))"),"(no BibTex)")</f>
        <v>(no BibTex)</v>
      </c>
      <c r="J11" s="9" t="str">
        <f>IFERROR(__xludf.DUMMYFUNCTION("IFNA(IFNA(REGEXEXTRACT($E11,""journal *= *{(.+)}""), REGEXEXTRACT($E11,""booktitle *= *{(.+)}"")), ""-"")"),"-")</f>
        <v>-</v>
      </c>
      <c r="K11" s="42"/>
      <c r="L11" s="42"/>
      <c r="M11" s="42"/>
      <c r="N11" s="42"/>
      <c r="O11" s="42"/>
      <c r="P11" s="9"/>
      <c r="Q11" s="9"/>
      <c r="R11" s="42"/>
      <c r="S11" s="42"/>
      <c r="T11" s="42"/>
      <c r="U11" s="43"/>
      <c r="V11" s="43"/>
      <c r="W11" s="43"/>
    </row>
    <row r="12">
      <c r="A12" s="9" t="str">
        <f>IFERROR(__xludf.DUMMYFUNCTION("IF(ISBLANK(E12), ""(no BibTex)"", CONCATENATE(REGEXEXTRACT(SUBSTITUTE($E12, ""_"", """"),""@.+{(.+)\d{4}""),"", "",REGEXEXTRACT($E12,""@.+{.+(\d{4}.*),"")))"),"(no BibTex)")</f>
        <v>(no BibTex)</v>
      </c>
      <c r="B12" s="31" t="str">
        <f t="shared" si="1"/>
        <v>-</v>
      </c>
      <c r="C12" s="31" t="str">
        <f t="shared" si="2"/>
        <v>(no DOI)</v>
      </c>
      <c r="D12" s="42"/>
      <c r="E12" s="103"/>
      <c r="F12" s="42"/>
      <c r="G12" s="9" t="str">
        <f>IFERROR(__xludf.DUMMYFUNCTION("IF(ISBLANK(E12),""(no BibTex)"",PROPER(REGEXEXTRACT($E12,""@(.+){"")))"),"(no BibTex)")</f>
        <v>(no BibTex)</v>
      </c>
      <c r="H12" s="9" t="str">
        <f>IFERROR(__xludf.DUMMYFUNCTION("IF(ISBLANK(E12),""(no BibTex)"",SUBSTITUTE(IFNA(REGEXEXTRACT($E12,""author += +{(.+)}""),REGEXEXTRACT($E12,""editor *= *{(.+)}"")),"" and"", "",""))"),"(no BibTex)")</f>
        <v>(no BibTex)</v>
      </c>
      <c r="I12" s="9" t="str">
        <f>IFERROR(__xludf.DUMMYFUNCTION("IF(ISBLANK(E12),""(no BibTex)"",REGEXEXTRACT($E12,""title *= *{(.+)}""))"),"(no BibTex)")</f>
        <v>(no BibTex)</v>
      </c>
      <c r="J12" s="9" t="str">
        <f>IFERROR(__xludf.DUMMYFUNCTION("IFNA(IFNA(REGEXEXTRACT($E12,""journal *= *{(.+)}""), REGEXEXTRACT($E12,""booktitle *= *{(.+)}"")), ""-"")"),"-")</f>
        <v>-</v>
      </c>
      <c r="K12" s="42"/>
      <c r="L12" s="42"/>
      <c r="M12" s="42"/>
      <c r="N12" s="42"/>
      <c r="O12" s="42"/>
      <c r="P12" s="9"/>
      <c r="Q12" s="9"/>
      <c r="R12" s="42"/>
      <c r="S12" s="42"/>
      <c r="T12" s="42"/>
      <c r="U12" s="43"/>
      <c r="V12" s="43"/>
      <c r="W12" s="43"/>
    </row>
    <row r="13">
      <c r="A13" s="9" t="str">
        <f>IFERROR(__xludf.DUMMYFUNCTION("IF(ISBLANK(E13), ""(no BibTex)"", CONCATENATE(REGEXEXTRACT(SUBSTITUTE($E13, ""_"", """"),""@.+{(.+)\d{4}""),"", "",REGEXEXTRACT($E13,""@.+{.+(\d{4}.*),"")))"),"(no BibTex)")</f>
        <v>(no BibTex)</v>
      </c>
      <c r="B13" s="31" t="str">
        <f t="shared" si="1"/>
        <v>-</v>
      </c>
      <c r="C13" s="31" t="str">
        <f t="shared" si="2"/>
        <v>(no DOI)</v>
      </c>
      <c r="D13" s="42"/>
      <c r="E13" s="103"/>
      <c r="F13" s="42"/>
      <c r="G13" s="9" t="str">
        <f>IFERROR(__xludf.DUMMYFUNCTION("IF(ISBLANK(E13),""(no BibTex)"",PROPER(REGEXEXTRACT($E13,""@(.+){"")))"),"(no BibTex)")</f>
        <v>(no BibTex)</v>
      </c>
      <c r="H13" s="9" t="str">
        <f>IFERROR(__xludf.DUMMYFUNCTION("IF(ISBLANK(E13),""(no BibTex)"",SUBSTITUTE(IFNA(REGEXEXTRACT($E13,""author += +{(.+)}""),REGEXEXTRACT($E13,""editor *= *{(.+)}"")),"" and"", "",""))"),"(no BibTex)")</f>
        <v>(no BibTex)</v>
      </c>
      <c r="I13" s="9" t="str">
        <f>IFERROR(__xludf.DUMMYFUNCTION("IF(ISBLANK(E13),""(no BibTex)"",REGEXEXTRACT($E13,""title *= *{(.+)}""))"),"(no BibTex)")</f>
        <v>(no BibTex)</v>
      </c>
      <c r="J13" s="9" t="str">
        <f>IFERROR(__xludf.DUMMYFUNCTION("IFNA(IFNA(REGEXEXTRACT($E13,""journal *= *{(.+)}""), REGEXEXTRACT($E13,""booktitle *= *{(.+)}"")), ""-"")"),"-")</f>
        <v>-</v>
      </c>
      <c r="K13" s="42"/>
      <c r="L13" s="42"/>
      <c r="M13" s="42"/>
      <c r="N13" s="42"/>
      <c r="O13" s="42"/>
      <c r="P13" s="9"/>
      <c r="Q13" s="9"/>
      <c r="R13" s="42"/>
      <c r="S13" s="42"/>
      <c r="T13" s="42"/>
      <c r="U13" s="43"/>
      <c r="V13" s="43"/>
      <c r="W13" s="43"/>
    </row>
    <row r="14">
      <c r="A14" s="9" t="str">
        <f>IFERROR(__xludf.DUMMYFUNCTION("IF(ISBLANK(E14), ""(no BibTex)"", CONCATENATE(REGEXEXTRACT(SUBSTITUTE($E14, ""_"", """"),""@.+{(.+)\d{4}""),"", "",REGEXEXTRACT($E14,""@.+{.+(\d{4}.*),"")))"),"(no BibTex)")</f>
        <v>(no BibTex)</v>
      </c>
      <c r="B14" s="31" t="str">
        <f t="shared" si="1"/>
        <v>-</v>
      </c>
      <c r="C14" s="31" t="str">
        <f t="shared" si="2"/>
        <v>(no DOI)</v>
      </c>
      <c r="D14" s="42"/>
      <c r="E14" s="103"/>
      <c r="F14" s="42"/>
      <c r="G14" s="9" t="str">
        <f>IFERROR(__xludf.DUMMYFUNCTION("IF(ISBLANK(E14),""(no BibTex)"",PROPER(REGEXEXTRACT($E14,""@(.+){"")))"),"(no BibTex)")</f>
        <v>(no BibTex)</v>
      </c>
      <c r="H14" s="9" t="str">
        <f>IFERROR(__xludf.DUMMYFUNCTION("IF(ISBLANK(E14),""(no BibTex)"",SUBSTITUTE(IFNA(REGEXEXTRACT($E14,""author += +{(.+)}""),REGEXEXTRACT($E14,""editor *= *{(.+)}"")),"" and"", "",""))"),"(no BibTex)")</f>
        <v>(no BibTex)</v>
      </c>
      <c r="I14" s="9" t="str">
        <f>IFERROR(__xludf.DUMMYFUNCTION("IF(ISBLANK(E14),""(no BibTex)"",REGEXEXTRACT($E14,""title *= *{(.+)}""))"),"(no BibTex)")</f>
        <v>(no BibTex)</v>
      </c>
      <c r="J14" s="9" t="str">
        <f>IFERROR(__xludf.DUMMYFUNCTION("IFNA(IFNA(REGEXEXTRACT($E14,""journal *= *{(.+)}""), REGEXEXTRACT($E14,""booktitle *= *{(.+)}"")), ""-"")"),"-")</f>
        <v>-</v>
      </c>
      <c r="K14" s="42"/>
      <c r="L14" s="42"/>
      <c r="M14" s="42"/>
      <c r="N14" s="42"/>
      <c r="O14" s="42"/>
      <c r="P14" s="9"/>
      <c r="Q14" s="9"/>
      <c r="R14" s="42"/>
      <c r="S14" s="42"/>
      <c r="T14" s="42"/>
      <c r="U14" s="43"/>
      <c r="V14" s="43"/>
      <c r="W14" s="43"/>
    </row>
    <row r="15">
      <c r="A15" s="9" t="str">
        <f>IFERROR(__xludf.DUMMYFUNCTION("IF(ISBLANK(E15), ""(no BibTex)"", CONCATENATE(REGEXEXTRACT(SUBSTITUTE($E15, ""_"", """"),""@.+{(.+)\d{4}""),"", "",REGEXEXTRACT($E15,""@.+{.+(\d{4}.*),"")))"),"(no BibTex)")</f>
        <v>(no BibTex)</v>
      </c>
      <c r="B15" s="31" t="str">
        <f t="shared" si="1"/>
        <v>-</v>
      </c>
      <c r="C15" s="31" t="str">
        <f t="shared" si="2"/>
        <v>(no DOI)</v>
      </c>
      <c r="D15" s="42"/>
      <c r="E15" s="103"/>
      <c r="F15" s="42"/>
      <c r="G15" s="9" t="str">
        <f>IFERROR(__xludf.DUMMYFUNCTION("IF(ISBLANK(E15),""(no BibTex)"",PROPER(REGEXEXTRACT($E15,""@(.+){"")))"),"(no BibTex)")</f>
        <v>(no BibTex)</v>
      </c>
      <c r="H15" s="9" t="str">
        <f>IFERROR(__xludf.DUMMYFUNCTION("IF(ISBLANK(E15),""(no BibTex)"",SUBSTITUTE(IFNA(REGEXEXTRACT($E15,""author += +{(.+)}""),REGEXEXTRACT($E15,""editor *= *{(.+)}"")),"" and"", "",""))"),"(no BibTex)")</f>
        <v>(no BibTex)</v>
      </c>
      <c r="I15" s="9" t="str">
        <f>IFERROR(__xludf.DUMMYFUNCTION("IF(ISBLANK(E15),""(no BibTex)"",REGEXEXTRACT($E15,""title *= *{(.+)}""))"),"(no BibTex)")</f>
        <v>(no BibTex)</v>
      </c>
      <c r="J15" s="9" t="str">
        <f>IFERROR(__xludf.DUMMYFUNCTION("IFNA(IFNA(REGEXEXTRACT($E15,""journal *= *{(.+)}""), REGEXEXTRACT($E15,""booktitle *= *{(.+)}"")), ""-"")"),"-")</f>
        <v>-</v>
      </c>
      <c r="K15" s="42"/>
      <c r="L15" s="42"/>
      <c r="M15" s="42"/>
      <c r="N15" s="42"/>
      <c r="O15" s="42"/>
      <c r="P15" s="9"/>
      <c r="Q15" s="9"/>
      <c r="R15" s="42"/>
      <c r="S15" s="42"/>
      <c r="T15" s="42"/>
      <c r="U15" s="43"/>
      <c r="V15" s="43"/>
      <c r="W15" s="43"/>
    </row>
    <row r="16">
      <c r="A16" s="9" t="str">
        <f>IFERROR(__xludf.DUMMYFUNCTION("IF(ISBLANK(E16), ""(no BibTex)"", CONCATENATE(REGEXEXTRACT(SUBSTITUTE($E16, ""_"", """"),""@.+{(.+)\d{4}""),"", "",REGEXEXTRACT($E16,""@.+{.+(\d{4}.*),"")))"),"(no BibTex)")</f>
        <v>(no BibTex)</v>
      </c>
      <c r="B16" s="31" t="str">
        <f t="shared" si="1"/>
        <v>-</v>
      </c>
      <c r="C16" s="31" t="str">
        <f t="shared" si="2"/>
        <v>(no DOI)</v>
      </c>
      <c r="D16" s="42"/>
      <c r="E16" s="103"/>
      <c r="F16" s="42"/>
      <c r="G16" s="9" t="str">
        <f>IFERROR(__xludf.DUMMYFUNCTION("IF(ISBLANK(E16),""(no BibTex)"",PROPER(REGEXEXTRACT($E16,""@(.+){"")))"),"(no BibTex)")</f>
        <v>(no BibTex)</v>
      </c>
      <c r="H16" s="9" t="str">
        <f>IFERROR(__xludf.DUMMYFUNCTION("IF(ISBLANK(E16),""(no BibTex)"",SUBSTITUTE(IFNA(REGEXEXTRACT($E16,""author += +{(.+)}""),REGEXEXTRACT($E16,""editor *= *{(.+)}"")),"" and"", "",""))"),"(no BibTex)")</f>
        <v>(no BibTex)</v>
      </c>
      <c r="I16" s="9" t="str">
        <f>IFERROR(__xludf.DUMMYFUNCTION("IF(ISBLANK(E16),""(no BibTex)"",REGEXEXTRACT($E16,""title *= *{(.+)}""))"),"(no BibTex)")</f>
        <v>(no BibTex)</v>
      </c>
      <c r="J16" s="9" t="str">
        <f>IFERROR(__xludf.DUMMYFUNCTION("IFNA(IFNA(REGEXEXTRACT($E16,""journal *= *{(.+)}""), REGEXEXTRACT($E16,""booktitle *= *{(.+)}"")), ""-"")"),"-")</f>
        <v>-</v>
      </c>
      <c r="K16" s="42"/>
      <c r="L16" s="42"/>
      <c r="M16" s="42"/>
      <c r="N16" s="42"/>
      <c r="O16" s="42"/>
      <c r="P16" s="9"/>
      <c r="Q16" s="9"/>
      <c r="R16" s="42"/>
      <c r="S16" s="42"/>
      <c r="T16" s="42"/>
      <c r="U16" s="43"/>
      <c r="V16" s="43"/>
      <c r="W16" s="43"/>
    </row>
    <row r="17">
      <c r="A17" s="9" t="str">
        <f>IFERROR(__xludf.DUMMYFUNCTION("IF(ISBLANK(E17), ""(no BibTex)"", CONCATENATE(REGEXEXTRACT(SUBSTITUTE($E17, ""_"", """"),""@.+{(.+)\d{4}""),"", "",REGEXEXTRACT($E17,""@.+{.+(\d{4}.*),"")))"),"(no BibTex)")</f>
        <v>(no BibTex)</v>
      </c>
      <c r="B17" s="31" t="str">
        <f t="shared" si="1"/>
        <v>-</v>
      </c>
      <c r="C17" s="31" t="str">
        <f t="shared" si="2"/>
        <v>(no DOI)</v>
      </c>
      <c r="D17" s="42"/>
      <c r="E17" s="103"/>
      <c r="F17" s="42"/>
      <c r="G17" s="9" t="str">
        <f>IFERROR(__xludf.DUMMYFUNCTION("IF(ISBLANK(E17),""(no BibTex)"",PROPER(REGEXEXTRACT($E17,""@(.+){"")))"),"(no BibTex)")</f>
        <v>(no BibTex)</v>
      </c>
      <c r="H17" s="9" t="str">
        <f>IFERROR(__xludf.DUMMYFUNCTION("IF(ISBLANK(E17),""(no BibTex)"",SUBSTITUTE(IFNA(REGEXEXTRACT($E17,""author += +{(.+)}""),REGEXEXTRACT($E17,""editor *= *{(.+)}"")),"" and"", "",""))"),"(no BibTex)")</f>
        <v>(no BibTex)</v>
      </c>
      <c r="I17" s="9" t="str">
        <f>IFERROR(__xludf.DUMMYFUNCTION("IF(ISBLANK(E17),""(no BibTex)"",REGEXEXTRACT($E17,""title *= *{(.+)}""))"),"(no BibTex)")</f>
        <v>(no BibTex)</v>
      </c>
      <c r="J17" s="9" t="str">
        <f>IFERROR(__xludf.DUMMYFUNCTION("IFNA(IFNA(REGEXEXTRACT($E17,""journal *= *{(.+)}""), REGEXEXTRACT($E17,""booktitle *= *{(.+)}"")), ""-"")"),"-")</f>
        <v>-</v>
      </c>
      <c r="K17" s="42"/>
      <c r="L17" s="42"/>
      <c r="M17" s="42"/>
      <c r="N17" s="42"/>
      <c r="O17" s="42"/>
      <c r="P17" s="9"/>
      <c r="Q17" s="9"/>
      <c r="R17" s="42"/>
      <c r="S17" s="42"/>
      <c r="T17" s="42"/>
      <c r="U17" s="43"/>
      <c r="V17" s="43"/>
      <c r="W17" s="43"/>
    </row>
    <row r="18">
      <c r="A18" s="9" t="str">
        <f>IFERROR(__xludf.DUMMYFUNCTION("IF(ISBLANK(E18), ""(no BibTex)"", CONCATENATE(REGEXEXTRACT(SUBSTITUTE($E18, ""_"", """"),""@.+{(.+)\d{4}""),"", "",REGEXEXTRACT($E18,""@.+{.+(\d{4}.*),"")))"),"(no BibTex)")</f>
        <v>(no BibTex)</v>
      </c>
      <c r="B18" s="31" t="str">
        <f t="shared" si="1"/>
        <v>-</v>
      </c>
      <c r="C18" s="31" t="str">
        <f t="shared" si="2"/>
        <v>(no DOI)</v>
      </c>
      <c r="D18" s="42"/>
      <c r="E18" s="103"/>
      <c r="F18" s="42"/>
      <c r="G18" s="9" t="str">
        <f>IFERROR(__xludf.DUMMYFUNCTION("IF(ISBLANK(E18),""(no BibTex)"",PROPER(REGEXEXTRACT($E18,""@(.+){"")))"),"(no BibTex)")</f>
        <v>(no BibTex)</v>
      </c>
      <c r="H18" s="9" t="str">
        <f>IFERROR(__xludf.DUMMYFUNCTION("IF(ISBLANK(E18),""(no BibTex)"",SUBSTITUTE(IFNA(REGEXEXTRACT($E18,""author += +{(.+)}""),REGEXEXTRACT($E18,""editor *= *{(.+)}"")),"" and"", "",""))"),"(no BibTex)")</f>
        <v>(no BibTex)</v>
      </c>
      <c r="I18" s="9" t="str">
        <f>IFERROR(__xludf.DUMMYFUNCTION("IF(ISBLANK(E18),""(no BibTex)"",REGEXEXTRACT($E18,""title *= *{(.+)}""))"),"(no BibTex)")</f>
        <v>(no BibTex)</v>
      </c>
      <c r="J18" s="9" t="str">
        <f>IFERROR(__xludf.DUMMYFUNCTION("IFNA(IFNA(REGEXEXTRACT($E18,""journal *= *{(.+)}""), REGEXEXTRACT($E18,""booktitle *= *{(.+)}"")), ""-"")"),"-")</f>
        <v>-</v>
      </c>
      <c r="K18" s="42"/>
      <c r="L18" s="42"/>
      <c r="M18" s="42"/>
      <c r="N18" s="42"/>
      <c r="O18" s="42"/>
      <c r="P18" s="9"/>
      <c r="Q18" s="9"/>
      <c r="R18" s="42"/>
      <c r="S18" s="42"/>
      <c r="T18" s="42"/>
      <c r="U18" s="43"/>
      <c r="V18" s="43"/>
      <c r="W18" s="43"/>
    </row>
    <row r="19">
      <c r="A19" s="9" t="str">
        <f>IFERROR(__xludf.DUMMYFUNCTION("IF(ISBLANK(E19), ""(no BibTex)"", CONCATENATE(REGEXEXTRACT(SUBSTITUTE($E19, ""_"", """"),""@.+{(.+)\d{4}""),"", "",REGEXEXTRACT($E19,""@.+{.+(\d{4}.*),"")))"),"(no BibTex)")</f>
        <v>(no BibTex)</v>
      </c>
      <c r="B19" s="31" t="str">
        <f t="shared" si="1"/>
        <v>-</v>
      </c>
      <c r="C19" s="31" t="str">
        <f t="shared" si="2"/>
        <v>(no DOI)</v>
      </c>
      <c r="D19" s="42"/>
      <c r="E19" s="103"/>
      <c r="F19" s="42"/>
      <c r="G19" s="9" t="str">
        <f>IFERROR(__xludf.DUMMYFUNCTION("IF(ISBLANK(E19),""(no BibTex)"",PROPER(REGEXEXTRACT($E19,""@(.+){"")))"),"(no BibTex)")</f>
        <v>(no BibTex)</v>
      </c>
      <c r="H19" s="9" t="str">
        <f>IFERROR(__xludf.DUMMYFUNCTION("IF(ISBLANK(E19),""(no BibTex)"",SUBSTITUTE(IFNA(REGEXEXTRACT($E19,""author += +{(.+)}""),REGEXEXTRACT($E19,""editor *= *{(.+)}"")),"" and"", "",""))"),"(no BibTex)")</f>
        <v>(no BibTex)</v>
      </c>
      <c r="I19" s="9" t="str">
        <f>IFERROR(__xludf.DUMMYFUNCTION("IF(ISBLANK(E19),""(no BibTex)"",REGEXEXTRACT($E19,""title *= *{(.+)}""))"),"(no BibTex)")</f>
        <v>(no BibTex)</v>
      </c>
      <c r="J19" s="9" t="str">
        <f>IFERROR(__xludf.DUMMYFUNCTION("IFNA(IFNA(REGEXEXTRACT($E19,""journal *= *{(.+)}""), REGEXEXTRACT($E19,""booktitle *= *{(.+)}"")), ""-"")"),"-")</f>
        <v>-</v>
      </c>
      <c r="K19" s="42"/>
      <c r="L19" s="42"/>
      <c r="M19" s="42"/>
      <c r="N19" s="42"/>
      <c r="O19" s="42"/>
      <c r="P19" s="9"/>
      <c r="Q19" s="9"/>
      <c r="R19" s="42"/>
      <c r="S19" s="42"/>
      <c r="T19" s="42"/>
      <c r="U19" s="43"/>
      <c r="V19" s="43"/>
      <c r="W19" s="43"/>
    </row>
    <row r="20">
      <c r="A20" s="9" t="str">
        <f>IFERROR(__xludf.DUMMYFUNCTION("IF(ISBLANK(E20), ""(no BibTex)"", CONCATENATE(REGEXEXTRACT(SUBSTITUTE($E20, ""_"", """"),""@.+{(.+)\d{4}""),"", "",REGEXEXTRACT($E20,""@.+{.+(\d{4}.*),"")))"),"(no BibTex)")</f>
        <v>(no BibTex)</v>
      </c>
      <c r="B20" s="31" t="str">
        <f t="shared" si="1"/>
        <v>-</v>
      </c>
      <c r="C20" s="31" t="str">
        <f t="shared" si="2"/>
        <v>(no DOI)</v>
      </c>
      <c r="D20" s="42"/>
      <c r="E20" s="103"/>
      <c r="F20" s="42"/>
      <c r="G20" s="9" t="str">
        <f>IFERROR(__xludf.DUMMYFUNCTION("IF(ISBLANK(E20),""(no BibTex)"",PROPER(REGEXEXTRACT($E20,""@(.+){"")))"),"(no BibTex)")</f>
        <v>(no BibTex)</v>
      </c>
      <c r="H20" s="9" t="str">
        <f>IFERROR(__xludf.DUMMYFUNCTION("IF(ISBLANK(E20),""(no BibTex)"",SUBSTITUTE(IFNA(REGEXEXTRACT($E20,""author += +{(.+)}""),REGEXEXTRACT($E20,""editor *= *{(.+)}"")),"" and"", "",""))"),"(no BibTex)")</f>
        <v>(no BibTex)</v>
      </c>
      <c r="I20" s="9" t="str">
        <f>IFERROR(__xludf.DUMMYFUNCTION("IF(ISBLANK(E20),""(no BibTex)"",REGEXEXTRACT($E20,""title *= *{(.+)}""))"),"(no BibTex)")</f>
        <v>(no BibTex)</v>
      </c>
      <c r="J20" s="9" t="str">
        <f>IFERROR(__xludf.DUMMYFUNCTION("IFNA(IFNA(REGEXEXTRACT($E20,""journal *= *{(.+)}""), REGEXEXTRACT($E20,""booktitle *= *{(.+)}"")), ""-"")"),"-")</f>
        <v>-</v>
      </c>
      <c r="K20" s="42"/>
      <c r="L20" s="42"/>
      <c r="M20" s="42"/>
      <c r="N20" s="42"/>
      <c r="O20" s="42"/>
      <c r="P20" s="9"/>
      <c r="Q20" s="9"/>
      <c r="R20" s="42"/>
      <c r="S20" s="42"/>
      <c r="T20" s="42"/>
      <c r="U20" s="43"/>
      <c r="V20" s="43"/>
      <c r="W20" s="43"/>
    </row>
    <row r="21">
      <c r="A21" s="9" t="str">
        <f>IFERROR(__xludf.DUMMYFUNCTION("IF(ISBLANK(E21), ""(no BibTex)"", CONCATENATE(REGEXEXTRACT(SUBSTITUTE($E21, ""_"", """"),""@.+{(.+)\d{4}""),"", "",REGEXEXTRACT($E21,""@.+{.+(\d{4}.*),"")))"),"(no BibTex)")</f>
        <v>(no BibTex)</v>
      </c>
      <c r="B21" s="31" t="str">
        <f t="shared" si="1"/>
        <v>-</v>
      </c>
      <c r="C21" s="31" t="str">
        <f t="shared" si="2"/>
        <v>(no DOI)</v>
      </c>
      <c r="D21" s="42"/>
      <c r="E21" s="103"/>
      <c r="F21" s="42"/>
      <c r="G21" s="9" t="str">
        <f>IFERROR(__xludf.DUMMYFUNCTION("IF(ISBLANK(E21),""(no BibTex)"",PROPER(REGEXEXTRACT($E21,""@(.+){"")))"),"(no BibTex)")</f>
        <v>(no BibTex)</v>
      </c>
      <c r="H21" s="9" t="str">
        <f>IFERROR(__xludf.DUMMYFUNCTION("IF(ISBLANK(E21),""(no BibTex)"",SUBSTITUTE(IFNA(REGEXEXTRACT($E21,""author += +{(.+)}""),REGEXEXTRACT($E21,""editor *= *{(.+)}"")),"" and"", "",""))"),"(no BibTex)")</f>
        <v>(no BibTex)</v>
      </c>
      <c r="I21" s="9" t="str">
        <f>IFERROR(__xludf.DUMMYFUNCTION("IF(ISBLANK(E21),""(no BibTex)"",REGEXEXTRACT($E21,""title *= *{(.+)}""))"),"(no BibTex)")</f>
        <v>(no BibTex)</v>
      </c>
      <c r="J21" s="9" t="str">
        <f>IFERROR(__xludf.DUMMYFUNCTION("IFNA(IFNA(REGEXEXTRACT($E21,""journal *= *{(.+)}""), REGEXEXTRACT($E21,""booktitle *= *{(.+)}"")), ""-"")"),"-")</f>
        <v>-</v>
      </c>
      <c r="K21" s="42"/>
      <c r="L21" s="42"/>
      <c r="M21" s="42"/>
      <c r="N21" s="42"/>
      <c r="O21" s="42"/>
      <c r="P21" s="9"/>
      <c r="Q21" s="9"/>
      <c r="R21" s="42"/>
      <c r="S21" s="42"/>
      <c r="T21" s="42"/>
      <c r="U21" s="43"/>
      <c r="V21" s="43"/>
      <c r="W21" s="43"/>
    </row>
    <row r="22">
      <c r="A22" s="9" t="str">
        <f>IFERROR(__xludf.DUMMYFUNCTION("IF(ISBLANK(E22), ""(no BibTex)"", CONCATENATE(REGEXEXTRACT(SUBSTITUTE($E22, ""_"", """"),""@.+{(.+)\d{4}""),"", "",REGEXEXTRACT($E22,""@.+{.+(\d{4}.*),"")))"),"(no BibTex)")</f>
        <v>(no BibTex)</v>
      </c>
      <c r="B22" s="31" t="str">
        <f t="shared" si="1"/>
        <v>-</v>
      </c>
      <c r="C22" s="31" t="str">
        <f t="shared" si="2"/>
        <v>(no DOI)</v>
      </c>
      <c r="D22" s="42"/>
      <c r="E22" s="103"/>
      <c r="F22" s="42"/>
      <c r="G22" s="9" t="str">
        <f>IFERROR(__xludf.DUMMYFUNCTION("IF(ISBLANK(E22),""(no BibTex)"",PROPER(REGEXEXTRACT($E22,""@(.+){"")))"),"(no BibTex)")</f>
        <v>(no BibTex)</v>
      </c>
      <c r="H22" s="9" t="str">
        <f>IFERROR(__xludf.DUMMYFUNCTION("IF(ISBLANK(E22),""(no BibTex)"",SUBSTITUTE(IFNA(REGEXEXTRACT($E22,""author += +{(.+)}""),REGEXEXTRACT($E22,""editor *= *{(.+)}"")),"" and"", "",""))"),"(no BibTex)")</f>
        <v>(no BibTex)</v>
      </c>
      <c r="I22" s="9" t="str">
        <f>IFERROR(__xludf.DUMMYFUNCTION("IF(ISBLANK(E22),""(no BibTex)"",REGEXEXTRACT($E22,""title *= *{(.+)}""))"),"(no BibTex)")</f>
        <v>(no BibTex)</v>
      </c>
      <c r="J22" s="9" t="str">
        <f>IFERROR(__xludf.DUMMYFUNCTION("IFNA(IFNA(REGEXEXTRACT($E22,""journal *= *{(.+)}""), REGEXEXTRACT($E22,""booktitle *= *{(.+)}"")), ""-"")"),"-")</f>
        <v>-</v>
      </c>
      <c r="K22" s="42"/>
      <c r="L22" s="42"/>
      <c r="M22" s="42"/>
      <c r="N22" s="42"/>
      <c r="O22" s="42"/>
      <c r="P22" s="9"/>
      <c r="Q22" s="9"/>
      <c r="R22" s="42"/>
      <c r="S22" s="42"/>
      <c r="T22" s="42"/>
      <c r="U22" s="43"/>
      <c r="V22" s="43"/>
      <c r="W22" s="43"/>
    </row>
    <row r="23">
      <c r="A23" s="9" t="str">
        <f>IFERROR(__xludf.DUMMYFUNCTION("IF(ISBLANK(E23), ""(no BibTex)"", CONCATENATE(REGEXEXTRACT(SUBSTITUTE($E23, ""_"", """"),""@.+{(.+)\d{4}""),"", "",REGEXEXTRACT($E23,""@.+{.+(\d{4}.*),"")))"),"(no BibTex)")</f>
        <v>(no BibTex)</v>
      </c>
      <c r="B23" s="31" t="str">
        <f t="shared" si="1"/>
        <v>-</v>
      </c>
      <c r="C23" s="31" t="str">
        <f t="shared" si="2"/>
        <v>(no DOI)</v>
      </c>
      <c r="D23" s="42"/>
      <c r="E23" s="103"/>
      <c r="F23" s="42"/>
      <c r="G23" s="9" t="str">
        <f>IFERROR(__xludf.DUMMYFUNCTION("IF(ISBLANK(E23),""(no BibTex)"",PROPER(REGEXEXTRACT($E23,""@(.+){"")))"),"(no BibTex)")</f>
        <v>(no BibTex)</v>
      </c>
      <c r="H23" s="9" t="str">
        <f>IFERROR(__xludf.DUMMYFUNCTION("IF(ISBLANK(E23),""(no BibTex)"",SUBSTITUTE(IFNA(REGEXEXTRACT($E23,""author += +{(.+)}""),REGEXEXTRACT($E23,""editor *= *{(.+)}"")),"" and"", "",""))"),"(no BibTex)")</f>
        <v>(no BibTex)</v>
      </c>
      <c r="I23" s="9" t="str">
        <f>IFERROR(__xludf.DUMMYFUNCTION("IF(ISBLANK(E23),""(no BibTex)"",REGEXEXTRACT($E23,""title *= *{(.+)}""))"),"(no BibTex)")</f>
        <v>(no BibTex)</v>
      </c>
      <c r="J23" s="9" t="str">
        <f>IFERROR(__xludf.DUMMYFUNCTION("IFNA(IFNA(REGEXEXTRACT($E23,""journal *= *{(.+)}""), REGEXEXTRACT($E23,""booktitle *= *{(.+)}"")), ""-"")"),"-")</f>
        <v>-</v>
      </c>
      <c r="K23" s="42"/>
      <c r="L23" s="42"/>
      <c r="M23" s="42"/>
      <c r="N23" s="42"/>
      <c r="O23" s="42"/>
      <c r="P23" s="9"/>
      <c r="Q23" s="9"/>
      <c r="R23" s="42"/>
      <c r="S23" s="42"/>
      <c r="T23" s="42"/>
      <c r="U23" s="43"/>
      <c r="V23" s="43"/>
      <c r="W23" s="43"/>
    </row>
    <row r="24">
      <c r="A24" s="9" t="str">
        <f>IFERROR(__xludf.DUMMYFUNCTION("IF(ISBLANK(E24), ""(no BibTex)"", CONCATENATE(REGEXEXTRACT(SUBSTITUTE($E24, ""_"", """"),""@.+{(.+)\d{4}""),"", "",REGEXEXTRACT($E24,""@.+{.+(\d{4}.*),"")))"),"(no BibTex)")</f>
        <v>(no BibTex)</v>
      </c>
      <c r="B24" s="31" t="str">
        <f t="shared" si="1"/>
        <v>-</v>
      </c>
      <c r="C24" s="31" t="str">
        <f t="shared" si="2"/>
        <v>(no DOI)</v>
      </c>
      <c r="D24" s="42"/>
      <c r="E24" s="103"/>
      <c r="F24" s="42"/>
      <c r="G24" s="9" t="str">
        <f>IFERROR(__xludf.DUMMYFUNCTION("IF(ISBLANK(E24),""(no BibTex)"",PROPER(REGEXEXTRACT($E24,""@(.+){"")))"),"(no BibTex)")</f>
        <v>(no BibTex)</v>
      </c>
      <c r="H24" s="9" t="str">
        <f>IFERROR(__xludf.DUMMYFUNCTION("IF(ISBLANK(E24),""(no BibTex)"",SUBSTITUTE(IFNA(REGEXEXTRACT($E24,""author += +{(.+)}""),REGEXEXTRACT($E24,""editor *= *{(.+)}"")),"" and"", "",""))"),"(no BibTex)")</f>
        <v>(no BibTex)</v>
      </c>
      <c r="I24" s="9" t="str">
        <f>IFERROR(__xludf.DUMMYFUNCTION("IF(ISBLANK(E24),""(no BibTex)"",REGEXEXTRACT($E24,""title *= *{(.+)}""))"),"(no BibTex)")</f>
        <v>(no BibTex)</v>
      </c>
      <c r="J24" s="9" t="str">
        <f>IFERROR(__xludf.DUMMYFUNCTION("IFNA(IFNA(REGEXEXTRACT($E24,""journal *= *{(.+)}""), REGEXEXTRACT($E24,""booktitle *= *{(.+)}"")), ""-"")"),"-")</f>
        <v>-</v>
      </c>
      <c r="K24" s="42"/>
      <c r="L24" s="42"/>
      <c r="M24" s="42"/>
      <c r="N24" s="42"/>
      <c r="O24" s="42"/>
      <c r="P24" s="9"/>
      <c r="Q24" s="9"/>
      <c r="R24" s="42"/>
      <c r="S24" s="42"/>
      <c r="T24" s="42"/>
      <c r="U24" s="43"/>
      <c r="V24" s="43"/>
      <c r="W24" s="43"/>
    </row>
    <row r="25">
      <c r="A25" s="9" t="str">
        <f>IFERROR(__xludf.DUMMYFUNCTION("IF(ISBLANK(E25), ""(no BibTex)"", CONCATENATE(REGEXEXTRACT(SUBSTITUTE($E25, ""_"", """"),""@.+{(.+)\d{4}""),"", "",REGEXEXTRACT($E25,""@.+{.+(\d{4}.*),"")))"),"(no BibTex)")</f>
        <v>(no BibTex)</v>
      </c>
      <c r="B25" s="31" t="str">
        <f t="shared" si="1"/>
        <v>-</v>
      </c>
      <c r="C25" s="31" t="str">
        <f t="shared" si="2"/>
        <v>(no DOI)</v>
      </c>
      <c r="D25" s="42"/>
      <c r="E25" s="103"/>
      <c r="F25" s="42"/>
      <c r="G25" s="9" t="str">
        <f>IFERROR(__xludf.DUMMYFUNCTION("IF(ISBLANK(E25),""(no BibTex)"",PROPER(REGEXEXTRACT($E25,""@(.+){"")))"),"(no BibTex)")</f>
        <v>(no BibTex)</v>
      </c>
      <c r="H25" s="9" t="str">
        <f>IFERROR(__xludf.DUMMYFUNCTION("IF(ISBLANK(E25),""(no BibTex)"",SUBSTITUTE(IFNA(REGEXEXTRACT($E25,""author += +{(.+)}""),REGEXEXTRACT($E25,""editor *= *{(.+)}"")),"" and"", "",""))"),"(no BibTex)")</f>
        <v>(no BibTex)</v>
      </c>
      <c r="I25" s="9" t="str">
        <f>IFERROR(__xludf.DUMMYFUNCTION("IF(ISBLANK(E25),""(no BibTex)"",REGEXEXTRACT($E25,""title *= *{(.+)}""))"),"(no BibTex)")</f>
        <v>(no BibTex)</v>
      </c>
      <c r="J25" s="9" t="str">
        <f>IFERROR(__xludf.DUMMYFUNCTION("IFNA(IFNA(REGEXEXTRACT($E25,""journal *= *{(.+)}""), REGEXEXTRACT($E25,""booktitle *= *{(.+)}"")), ""-"")"),"-")</f>
        <v>-</v>
      </c>
      <c r="K25" s="42"/>
      <c r="L25" s="42"/>
      <c r="M25" s="42"/>
      <c r="N25" s="42"/>
      <c r="O25" s="42"/>
      <c r="P25" s="9"/>
      <c r="Q25" s="9"/>
      <c r="R25" s="42"/>
      <c r="S25" s="42"/>
      <c r="T25" s="42"/>
      <c r="U25" s="43"/>
      <c r="V25" s="43"/>
      <c r="W25" s="43"/>
    </row>
    <row r="26">
      <c r="A26" s="9" t="str">
        <f>IFERROR(__xludf.DUMMYFUNCTION("IF(ISBLANK(E26), ""(no BibTex)"", CONCATENATE(REGEXEXTRACT(SUBSTITUTE($E26, ""_"", """"),""@.+{(.+)\d{4}""),"", "",REGEXEXTRACT($E26,""@.+{.+(\d{4}.*),"")))"),"(no BibTex)")</f>
        <v>(no BibTex)</v>
      </c>
      <c r="B26" s="31" t="str">
        <f t="shared" si="1"/>
        <v>-</v>
      </c>
      <c r="C26" s="31" t="str">
        <f t="shared" si="2"/>
        <v>(no DOI)</v>
      </c>
      <c r="D26" s="42"/>
      <c r="E26" s="103"/>
      <c r="F26" s="42"/>
      <c r="G26" s="9" t="str">
        <f>IFERROR(__xludf.DUMMYFUNCTION("IF(ISBLANK(E26),""(no BibTex)"",PROPER(REGEXEXTRACT($E26,""@(.+){"")))"),"(no BibTex)")</f>
        <v>(no BibTex)</v>
      </c>
      <c r="H26" s="9" t="str">
        <f>IFERROR(__xludf.DUMMYFUNCTION("IF(ISBLANK(E26),""(no BibTex)"",SUBSTITUTE(IFNA(REGEXEXTRACT($E26,""author += +{(.+)}""),REGEXEXTRACT($E26,""editor *= *{(.+)}"")),"" and"", "",""))"),"(no BibTex)")</f>
        <v>(no BibTex)</v>
      </c>
      <c r="I26" s="9" t="str">
        <f>IFERROR(__xludf.DUMMYFUNCTION("IF(ISBLANK(E26),""(no BibTex)"",REGEXEXTRACT($E26,""title *= *{(.+)}""))"),"(no BibTex)")</f>
        <v>(no BibTex)</v>
      </c>
      <c r="J26" s="9" t="str">
        <f>IFERROR(__xludf.DUMMYFUNCTION("IFNA(IFNA(REGEXEXTRACT($E26,""journal *= *{(.+)}""), REGEXEXTRACT($E26,""booktitle *= *{(.+)}"")), ""-"")"),"-")</f>
        <v>-</v>
      </c>
      <c r="K26" s="42"/>
      <c r="L26" s="42"/>
      <c r="M26" s="42"/>
      <c r="N26" s="42"/>
      <c r="O26" s="42"/>
      <c r="P26" s="9"/>
      <c r="Q26" s="9"/>
      <c r="R26" s="42"/>
      <c r="S26" s="42"/>
      <c r="T26" s="42"/>
      <c r="U26" s="43"/>
      <c r="V26" s="43"/>
      <c r="W26" s="43"/>
    </row>
    <row r="27">
      <c r="A27" s="9" t="str">
        <f>IFERROR(__xludf.DUMMYFUNCTION("IF(ISBLANK(E27), ""(no BibTex)"", CONCATENATE(REGEXEXTRACT(SUBSTITUTE($E27, ""_"", """"),""@.+{(.+)\d{4}""),"", "",REGEXEXTRACT($E27,""@.+{.+(\d{4}.*),"")))"),"(no BibTex)")</f>
        <v>(no BibTex)</v>
      </c>
      <c r="B27" s="31" t="str">
        <f t="shared" si="1"/>
        <v>-</v>
      </c>
      <c r="C27" s="31" t="str">
        <f t="shared" si="2"/>
        <v>(no DOI)</v>
      </c>
      <c r="D27" s="42"/>
      <c r="E27" s="103"/>
      <c r="F27" s="42"/>
      <c r="G27" s="9" t="str">
        <f>IFERROR(__xludf.DUMMYFUNCTION("IF(ISBLANK(E27),""(no BibTex)"",PROPER(REGEXEXTRACT($E27,""@(.+){"")))"),"(no BibTex)")</f>
        <v>(no BibTex)</v>
      </c>
      <c r="H27" s="9" t="str">
        <f>IFERROR(__xludf.DUMMYFUNCTION("IF(ISBLANK(E27),""(no BibTex)"",SUBSTITUTE(IFNA(REGEXEXTRACT($E27,""author += +{(.+)}""),REGEXEXTRACT($E27,""editor *= *{(.+)}"")),"" and"", "",""))"),"(no BibTex)")</f>
        <v>(no BibTex)</v>
      </c>
      <c r="I27" s="9" t="str">
        <f>IFERROR(__xludf.DUMMYFUNCTION("IF(ISBLANK(E27),""(no BibTex)"",REGEXEXTRACT($E27,""title *= *{(.+)}""))"),"(no BibTex)")</f>
        <v>(no BibTex)</v>
      </c>
      <c r="J27" s="9" t="str">
        <f>IFERROR(__xludf.DUMMYFUNCTION("IFNA(IFNA(REGEXEXTRACT($E27,""journal *= *{(.+)}""), REGEXEXTRACT($E27,""booktitle *= *{(.+)}"")), ""-"")"),"-")</f>
        <v>-</v>
      </c>
      <c r="K27" s="42"/>
      <c r="L27" s="42"/>
      <c r="M27" s="42"/>
      <c r="N27" s="42"/>
      <c r="O27" s="42"/>
      <c r="P27" s="9"/>
      <c r="Q27" s="9"/>
      <c r="R27" s="42"/>
      <c r="S27" s="42"/>
      <c r="T27" s="42"/>
      <c r="U27" s="43"/>
      <c r="V27" s="43"/>
      <c r="W27" s="43"/>
    </row>
    <row r="28">
      <c r="A28" s="9" t="str">
        <f>IFERROR(__xludf.DUMMYFUNCTION("IF(ISBLANK(E28), ""(no BibTex)"", CONCATENATE(REGEXEXTRACT(SUBSTITUTE($E28, ""_"", """"),""@.+{(.+)\d{4}""),"", "",REGEXEXTRACT($E28,""@.+{.+(\d{4}.*),"")))"),"(no BibTex)")</f>
        <v>(no BibTex)</v>
      </c>
      <c r="B28" s="31" t="str">
        <f t="shared" si="1"/>
        <v>-</v>
      </c>
      <c r="C28" s="31" t="str">
        <f t="shared" si="2"/>
        <v>(no DOI)</v>
      </c>
      <c r="D28" s="42"/>
      <c r="E28" s="103"/>
      <c r="F28" s="42"/>
      <c r="G28" s="9" t="str">
        <f>IFERROR(__xludf.DUMMYFUNCTION("IF(ISBLANK(E28),""(no BibTex)"",PROPER(REGEXEXTRACT($E28,""@(.+){"")))"),"(no BibTex)")</f>
        <v>(no BibTex)</v>
      </c>
      <c r="H28" s="9" t="str">
        <f>IFERROR(__xludf.DUMMYFUNCTION("IF(ISBLANK(E28),""(no BibTex)"",SUBSTITUTE(IFNA(REGEXEXTRACT($E28,""author += +{(.+)}""),REGEXEXTRACT($E28,""editor *= *{(.+)}"")),"" and"", "",""))"),"(no BibTex)")</f>
        <v>(no BibTex)</v>
      </c>
      <c r="I28" s="9" t="str">
        <f>IFERROR(__xludf.DUMMYFUNCTION("IF(ISBLANK(E28),""(no BibTex)"",REGEXEXTRACT($E28,""title *= *{(.+)}""))"),"(no BibTex)")</f>
        <v>(no BibTex)</v>
      </c>
      <c r="J28" s="9" t="str">
        <f>IFERROR(__xludf.DUMMYFUNCTION("IFNA(IFNA(REGEXEXTRACT($E28,""journal *= *{(.+)}""), REGEXEXTRACT($E28,""booktitle *= *{(.+)}"")), ""-"")"),"-")</f>
        <v>-</v>
      </c>
      <c r="K28" s="42"/>
      <c r="L28" s="42"/>
      <c r="M28" s="42"/>
      <c r="N28" s="42"/>
      <c r="O28" s="42"/>
      <c r="P28" s="9"/>
      <c r="Q28" s="9"/>
      <c r="R28" s="42"/>
      <c r="S28" s="42"/>
      <c r="T28" s="42"/>
      <c r="U28" s="43"/>
      <c r="V28" s="43"/>
      <c r="W28" s="43"/>
    </row>
    <row r="29">
      <c r="A29" s="9" t="str">
        <f>IFERROR(__xludf.DUMMYFUNCTION("IF(ISBLANK(E29), ""(no BibTex)"", CONCATENATE(REGEXEXTRACT(SUBSTITUTE($E29, ""_"", """"),""@.+{(.+)\d{4}""),"", "",REGEXEXTRACT($E29,""@.+{.+(\d{4}.*),"")))"),"(no BibTex)")</f>
        <v>(no BibTex)</v>
      </c>
      <c r="B29" s="31" t="str">
        <f t="shared" si="1"/>
        <v>-</v>
      </c>
      <c r="C29" s="31" t="str">
        <f t="shared" si="2"/>
        <v>(no DOI)</v>
      </c>
      <c r="D29" s="42"/>
      <c r="E29" s="103"/>
      <c r="F29" s="42"/>
      <c r="G29" s="9" t="str">
        <f>IFERROR(__xludf.DUMMYFUNCTION("IF(ISBLANK(E29),""(no BibTex)"",PROPER(REGEXEXTRACT($E29,""@(.+){"")))"),"(no BibTex)")</f>
        <v>(no BibTex)</v>
      </c>
      <c r="H29" s="9" t="str">
        <f>IFERROR(__xludf.DUMMYFUNCTION("IF(ISBLANK(E29),""(no BibTex)"",SUBSTITUTE(IFNA(REGEXEXTRACT($E29,""author += +{(.+)}""),REGEXEXTRACT($E29,""editor *= *{(.+)}"")),"" and"", "",""))"),"(no BibTex)")</f>
        <v>(no BibTex)</v>
      </c>
      <c r="I29" s="9" t="str">
        <f>IFERROR(__xludf.DUMMYFUNCTION("IF(ISBLANK(E29),""(no BibTex)"",REGEXEXTRACT($E29,""title *= *{(.+)}""))"),"(no BibTex)")</f>
        <v>(no BibTex)</v>
      </c>
      <c r="J29" s="9" t="str">
        <f>IFERROR(__xludf.DUMMYFUNCTION("IFNA(IFNA(REGEXEXTRACT($E29,""journal *= *{(.+)}""), REGEXEXTRACT($E29,""booktitle *= *{(.+)}"")), ""-"")"),"-")</f>
        <v>-</v>
      </c>
      <c r="K29" s="42"/>
      <c r="L29" s="42"/>
      <c r="M29" s="42"/>
      <c r="N29" s="42"/>
      <c r="O29" s="42"/>
      <c r="P29" s="9"/>
      <c r="Q29" s="9"/>
      <c r="R29" s="42"/>
      <c r="S29" s="42"/>
      <c r="T29" s="42"/>
      <c r="U29" s="43"/>
      <c r="V29" s="43"/>
      <c r="W29" s="43"/>
    </row>
    <row r="30">
      <c r="A30" s="120"/>
      <c r="B30" s="122"/>
      <c r="C30" s="122"/>
      <c r="D30" s="120"/>
      <c r="E30" s="123"/>
      <c r="F30" s="120"/>
      <c r="G30" s="120"/>
      <c r="H30" s="120"/>
      <c r="I30" s="120"/>
      <c r="J30" s="120"/>
      <c r="K30" s="120"/>
      <c r="L30" s="120"/>
      <c r="M30" s="120"/>
      <c r="N30" s="120"/>
      <c r="O30" s="120"/>
      <c r="P30" s="9"/>
      <c r="Q30" s="9"/>
      <c r="R30" s="120"/>
      <c r="S30" s="120"/>
      <c r="T30" s="120"/>
      <c r="U30" s="120"/>
      <c r="V30" s="120"/>
      <c r="W30" s="120"/>
    </row>
    <row r="31">
      <c r="A31" s="125" t="str">
        <f>IFERROR(__xludf.DUMMYFUNCTION("IMPORTRANGE(Settings!$A$2,""wbReferences!A2:W200"")"),"Zhaoping, 2016")</f>
        <v>Zhaoping, 2016</v>
      </c>
      <c r="B31" s="31" t="str">
        <f>IFERROR(__xludf.DUMMYFUNCTION("""COMPUTED_VALUE"""),"DOC")</f>
        <v>DOC</v>
      </c>
      <c r="C31" s="131" t="str">
        <f>IFERROR(__xludf.DUMMYFUNCTION("""COMPUTED_VALUE"""),"BIB")</f>
        <v>BIB</v>
      </c>
      <c r="D31" s="133" t="str">
        <f>IFERROR(__xludf.DUMMYFUNCTION("""COMPUTED_VALUE"""),"10.1016/j.conb.2016.06.017")</f>
        <v>10.1016/j.conb.2016.06.017</v>
      </c>
      <c r="E31" s="103" t="str">
        <f>IFERROR(__xludf.DUMMYFUNCTION("""COMPUTED_VALUE"""),"@article{Zhaoping_2016,
	doi = {10.1016/j.conb.2016.06.017},
	url = {https://doi.org/10.1016%2Fj.conb.2016.06.017},
	year = 2016,
	month = {oct},
	publisher = {Elsevier {BV}},
	volume = {40},
	pages = {94--102},
	author = {Li Zhaoping},
	title = {From the"&amp;" optic tectum to the primary visual cortex: migration through evolution of the saliency map for exogenous attentional guidance},
	journal = {Current Opinion in Neurobiology}
}")</f>
        <v>@article{Zhaoping_2016,
	doi = {10.1016/j.conb.2016.06.017},
	url = {https://doi.org/10.1016%2Fj.conb.2016.06.017},
	year = 2016,
	month = {oct},
	publisher = {Elsevier {BV}},
	volume = {40},
	pages = {94--102},
	author = {Li Zhaoping},
	title = {From the optic tectum to the primary visual cortex: migration through evolution of the saliency map for exogenous attentional guidance},
	journal = {Current Opinion in Neurobiology}
}</v>
      </c>
      <c r="F31" s="42"/>
      <c r="G31" s="9" t="str">
        <f>IFERROR(__xludf.DUMMYFUNCTION("""COMPUTED_VALUE"""),"Article")</f>
        <v>Article</v>
      </c>
      <c r="H31" s="9" t="str">
        <f>IFERROR(__xludf.DUMMYFUNCTION("""COMPUTED_VALUE"""),"Li Zhaoping")</f>
        <v>Li Zhaoping</v>
      </c>
      <c r="I31" s="9" t="str">
        <f>IFERROR(__xludf.DUMMYFUNCTION("""COMPUTED_VALUE"""),"From the optic tectum to the primary visual cortex: migration through evolution of the saliency map for exogenous attentional guidance")</f>
        <v>From the optic tectum to the primary visual cortex: migration through evolution of the saliency map for exogenous attentional guidance</v>
      </c>
      <c r="J31" s="9" t="str">
        <f>IFERROR(__xludf.DUMMYFUNCTION("""COMPUTED_VALUE"""),"Current Opinion in Neurobiology")</f>
        <v>Current Opinion in Neurobiology</v>
      </c>
      <c r="K31" s="135"/>
      <c r="L31" s="42"/>
      <c r="M31" s="42"/>
      <c r="N31" s="42"/>
      <c r="O31" s="42"/>
      <c r="P31" s="9"/>
      <c r="Q31" s="9"/>
      <c r="R31" s="42"/>
      <c r="S31" s="42"/>
      <c r="T31" s="42"/>
      <c r="U31" s="42"/>
      <c r="V31" s="42"/>
      <c r="W31" s="42"/>
    </row>
    <row r="32">
      <c r="A32" s="9" t="str">
        <f>IFERROR(__xludf.DUMMYFUNCTION("""COMPUTED_VALUE"""),"Zhang, 2019")</f>
        <v>Zhang, 2019</v>
      </c>
      <c r="B32" s="31" t="str">
        <f>IFERROR(__xludf.DUMMYFUNCTION("""COMPUTED_VALUE"""),"DOC")</f>
        <v>DOC</v>
      </c>
      <c r="C32" s="131" t="str">
        <f>IFERROR(__xludf.DUMMYFUNCTION("""COMPUTED_VALUE"""),"BIB")</f>
        <v>BIB</v>
      </c>
      <c r="D32" s="42" t="str">
        <f>IFERROR(__xludf.DUMMYFUNCTION("""COMPUTED_VALUE"""),"10.1073/pnas.1817689116")</f>
        <v>10.1073/pnas.1817689116</v>
      </c>
      <c r="E32" s="103" t="str">
        <f>IFERROR(__xludf.DUMMYFUNCTION("""COMPUTED_VALUE"""),"@article{Zhang_2019,
	doi = {10.1073/pnas.1817689116},
	url = {https://doi.org/10.1073%2Fpnas.1817689116},
	year = 2019,
	month = {jun},
	publisher = {Proceedings of the National Academy of Sciences},
	volume = {116},
	number = {27},
	pages = {13592--1360"&amp;"1},
	author = {Xu Zhang and Sabato Santaniello},
	title = {Role of cerebellar {GABAergic} dysfunctions in the origins of essential tremor},
	journal = {Proceedings of the National Academy of Sciences}
}")</f>
        <v>@article{Zhang_2019,
	doi = {10.1073/pnas.1817689116},
	url = {https://doi.org/10.1073%2Fpnas.1817689116},
	year = 2019,
	month = {jun},
	publisher = {Proceedings of the National Academy of Sciences},
	volume = {116},
	number = {27},
	pages = {13592--13601},
	author = {Xu Zhang and Sabato Santaniello},
	title = {Role of cerebellar {GABAergic} dysfunctions in the origins of essential tremor},
	journal = {Proceedings of the National Academy of Sciences}
}</v>
      </c>
      <c r="F32" s="42"/>
      <c r="G32" s="9" t="str">
        <f>IFERROR(__xludf.DUMMYFUNCTION("""COMPUTED_VALUE"""),"Article")</f>
        <v>Article</v>
      </c>
      <c r="H32" s="9" t="str">
        <f>IFERROR(__xludf.DUMMYFUNCTION("""COMPUTED_VALUE"""),"Xu Zhang, Sabato Santaniello")</f>
        <v>Xu Zhang, Sabato Santaniello</v>
      </c>
      <c r="I32" s="9" t="str">
        <f>IFERROR(__xludf.DUMMYFUNCTION("""COMPUTED_VALUE"""),"Role of cerebellar {GABAergic} dysfunctions in the origins of essential tremor")</f>
        <v>Role of cerebellar {GABAergic} dysfunctions in the origins of essential tremor</v>
      </c>
      <c r="J32" s="9" t="str">
        <f>IFERROR(__xludf.DUMMYFUNCTION("""COMPUTED_VALUE"""),"Proceedings of the National Academy of Sciences")</f>
        <v>Proceedings of the National Academy of Sciences</v>
      </c>
      <c r="K32" s="135"/>
      <c r="L32" s="42" t="str">
        <f>IFERROR(__xludf.DUMMYFUNCTION("""COMPUTED_VALUE"""),"Hiroshi Yamakawa")</f>
        <v>Hiroshi Yamakawa</v>
      </c>
      <c r="M32" s="42" t="str">
        <f>IFERROR(__xludf.DUMMYFUNCTION("""COMPUTED_VALUE"""),"HY20Cerebellum")</f>
        <v>HY20Cerebellum</v>
      </c>
      <c r="N32" s="42"/>
      <c r="O32" s="42"/>
      <c r="P32" s="9"/>
      <c r="Q32" s="9"/>
      <c r="R32" s="42"/>
      <c r="S32" s="42"/>
      <c r="T32" s="42"/>
      <c r="U32" s="42"/>
      <c r="V32" s="42"/>
      <c r="W32" s="42"/>
    </row>
    <row r="33">
      <c r="A33" s="137" t="str">
        <f>IFERROR(__xludf.DUMMYFUNCTION("""COMPUTED_VALUE"""),"Zhang, 2016")</f>
        <v>Zhang, 2016</v>
      </c>
      <c r="B33" s="31" t="str">
        <f>IFERROR(__xludf.DUMMYFUNCTION("""COMPUTED_VALUE"""),"DOC")</f>
        <v>DOC</v>
      </c>
      <c r="C33" s="131" t="str">
        <f>IFERROR(__xludf.DUMMYFUNCTION("""COMPUTED_VALUE"""),"BIB")</f>
        <v>BIB</v>
      </c>
      <c r="D33" s="42" t="str">
        <f>IFERROR(__xludf.DUMMYFUNCTION("""COMPUTED_VALUE"""),"10.1186/s40673-016-0047-1")</f>
        <v>10.1186/s40673-016-0047-1</v>
      </c>
      <c r="E33" s="103" t="str">
        <f>IFERROR(__xludf.DUMMYFUNCTION("""COMPUTED_VALUE"""),"@article{Zhang_2016,
        doi = {10.1186/s40673-016-0047-1},
        url = {https://doi.org/10.1186%2Fs40673-016-0047-1},
        year = 2016,
        month = {may},
        publisher = {Springer Science and Business Media {LLC}},
        volume = {3},"&amp;"
        number = {1},
        author = {Xiao-Yang Zhang and Jian-Jun Wang and Jing-Ning Zhu},
        title = {Cerebellar fastigial nucleus: from anatomic construction to physiological functions},
        journal = {Cerebellum &amp; Ataxias}
}")</f>
        <v>@article{Zhang_2016,
        doi = {10.1186/s40673-016-0047-1},
        url = {https://doi.org/10.1186%2Fs40673-016-0047-1},
        year = 2016,
        month = {may},
        publisher = {Springer Science and Business Media {LLC}},
        volume = {3},
        number = {1},
        author = {Xiao-Yang Zhang and Jian-Jun Wang and Jing-Ning Zhu},
        title = {Cerebellar fastigial nucleus: from anatomic construction to physiological functions},
        journal = {Cerebellum &amp; Ataxias}
}</v>
      </c>
      <c r="F33" s="42"/>
      <c r="G33" s="9" t="str">
        <f>IFERROR(__xludf.DUMMYFUNCTION("""COMPUTED_VALUE"""),"Article")</f>
        <v>Article</v>
      </c>
      <c r="H33" s="9" t="str">
        <f>IFERROR(__xludf.DUMMYFUNCTION("""COMPUTED_VALUE"""),"Xiao-Yang Zhang, Jian-Jun Wang, Jing-Ning Zhu")</f>
        <v>Xiao-Yang Zhang, Jian-Jun Wang, Jing-Ning Zhu</v>
      </c>
      <c r="I33" s="9" t="str">
        <f>IFERROR(__xludf.DUMMYFUNCTION("""COMPUTED_VALUE"""),"Cerebellar fastigial nucleus: from anatomic construction to physiological functions")</f>
        <v>Cerebellar fastigial nucleus: from anatomic construction to physiological functions</v>
      </c>
      <c r="J33" s="9" t="str">
        <f>IFERROR(__xludf.DUMMYFUNCTION("""COMPUTED_VALUE"""),"Cerebellum &amp; Ataxias")</f>
        <v>Cerebellum &amp; Ataxias</v>
      </c>
      <c r="K33" s="135"/>
      <c r="L33" s="42" t="str">
        <f>IFERROR(__xludf.DUMMYFUNCTION("""COMPUTED_VALUE"""),"Yoshinasa Tawatsji")</f>
        <v>Yoshinasa Tawatsji</v>
      </c>
      <c r="M33" s="42" t="str">
        <f>IFERROR(__xludf.DUMMYFUNCTION("""COMPUTED_VALUE"""),"Oculomotor")</f>
        <v>Oculomotor</v>
      </c>
      <c r="N33" s="42"/>
      <c r="O33" s="42"/>
      <c r="P33" s="9"/>
      <c r="Q33" s="9"/>
      <c r="R33" s="42"/>
      <c r="S33" s="42"/>
      <c r="T33" s="42"/>
      <c r="U33" s="42"/>
      <c r="V33" s="42"/>
      <c r="W33" s="42"/>
    </row>
    <row r="34">
      <c r="A34" s="9" t="str">
        <f>IFERROR(__xludf.DUMMYFUNCTION("""COMPUTED_VALUE"""),"Yamakawa, 2020")</f>
        <v>Yamakawa, 2020</v>
      </c>
      <c r="B34" s="31" t="str">
        <f>IFERROR(__xludf.DUMMYFUNCTION("""COMPUTED_VALUE"""),"DOC")</f>
        <v>DOC</v>
      </c>
      <c r="C34" s="131" t="str">
        <f>IFERROR(__xludf.DUMMYFUNCTION("""COMPUTED_VALUE"""),"BIB")</f>
        <v>BIB</v>
      </c>
      <c r="D34" s="42" t="str">
        <f>IFERROR(__xludf.DUMMYFUNCTION("""COMPUTED_VALUE"""),"10.3389/fncom.2020.00074")</f>
        <v>10.3389/fncom.2020.00074</v>
      </c>
      <c r="E34" s="103" t="str">
        <f>IFERROR(__xludf.DUMMYFUNCTION("""COMPUTED_VALUE"""),"@article{Yamakawa_2020,
	doi = {10.3389/fncom.2020.00074},
	url = {https://doi.org/10.3389%2Ffncom.2020.00074},
	year = 2020,
	month = {aug},
	publisher = {Frontiers Media {SA}},
	volume = {14},
	author = {Hiroshi Yamakawa},
	title = {Revealing the Comput"&amp;"ational Meaning of Neocortical Interarea Signals},
	journal = {Frontiers in Computational Neuroscience}
}")</f>
        <v>@article{Yamakawa_2020,
	doi = {10.3389/fncom.2020.00074},
	url = {https://doi.org/10.3389%2Ffncom.2020.00074},
	year = 2020,
	month = {aug},
	publisher = {Frontiers Media {SA}},
	volume = {14},
	author = {Hiroshi Yamakawa},
	title = {Revealing the Computational Meaning of Neocortical Interarea Signals},
	journal = {Frontiers in Computational Neuroscience}
}</v>
      </c>
      <c r="F34" s="42"/>
      <c r="G34" s="9" t="str">
        <f>IFERROR(__xludf.DUMMYFUNCTION("""COMPUTED_VALUE"""),"Article")</f>
        <v>Article</v>
      </c>
      <c r="H34" s="9" t="str">
        <f>IFERROR(__xludf.DUMMYFUNCTION("""COMPUTED_VALUE"""),"Hiroshi Yamakawa")</f>
        <v>Hiroshi Yamakawa</v>
      </c>
      <c r="I34" s="9" t="str">
        <f>IFERROR(__xludf.DUMMYFUNCTION("""COMPUTED_VALUE"""),"Revealing the Computational Meaning of Neocortical Interarea Signals")</f>
        <v>Revealing the Computational Meaning of Neocortical Interarea Signals</v>
      </c>
      <c r="J34" s="9" t="str">
        <f>IFERROR(__xludf.DUMMYFUNCTION("""COMPUTED_VALUE"""),"Frontiers in Computational Neuroscience")</f>
        <v>Frontiers in Computational Neuroscience</v>
      </c>
      <c r="K34" s="135" t="str">
        <f>IFERROR(__xludf.DUMMYFUNCTION("""COMPUTED_VALUE"""),"https://www.frontiersin.org/articles/10.3389/fncom.2020.00074/full")</f>
        <v>https://www.frontiersin.org/articles/10.3389/fncom.2020.00074/full</v>
      </c>
      <c r="L34" s="42" t="str">
        <f>IFERROR(__xludf.DUMMYFUNCTION("""COMPUTED_VALUE"""),"Hiroshi Yamakawa")</f>
        <v>Hiroshi Yamakawa</v>
      </c>
      <c r="M34" s="42" t="str">
        <f>IFERROR(__xludf.DUMMYFUNCTION("""COMPUTED_VALUE"""),"HY18NeocorticalInterareaSignals")</f>
        <v>HY18NeocorticalInterareaSignals</v>
      </c>
      <c r="N34" s="42"/>
      <c r="O34" s="42"/>
      <c r="P34" s="9"/>
      <c r="Q34" s="9"/>
      <c r="R34" s="42"/>
      <c r="S34" s="42"/>
      <c r="T34" s="42"/>
      <c r="U34" s="42"/>
      <c r="V34" s="42"/>
      <c r="W34" s="42"/>
    </row>
    <row r="35">
      <c r="A35" s="9" t="str">
        <f>IFERROR(__xludf.DUMMYFUNCTION("""COMPUTED_VALUE"""),"Yamakawa, 2020a")</f>
        <v>Yamakawa, 2020a</v>
      </c>
      <c r="B35" s="31" t="str">
        <f>IFERROR(__xludf.DUMMYFUNCTION("""COMPUTED_VALUE"""),"DOC")</f>
        <v>DOC</v>
      </c>
      <c r="C35" s="131" t="str">
        <f>IFERROR(__xludf.DUMMYFUNCTION("""COMPUTED_VALUE"""),"BIB")</f>
        <v>BIB</v>
      </c>
      <c r="D35" s="42" t="str">
        <f>IFERROR(__xludf.DUMMYFUNCTION("""COMPUTED_VALUE"""),"10.1007/s00354-019-00081-z")</f>
        <v>10.1007/s00354-019-00081-z</v>
      </c>
      <c r="E35" s="103" t="str">
        <f>IFERROR(__xludf.DUMMYFUNCTION("""COMPUTED_VALUE"""),"@article{Yamakawa_2020a,
        doi = {10.1007/s00354-019-00081-z},
        url = {https://doi.org/10.1007%2Fs00354-019-00081-z},
        year = 2020,
        month = {jan},
        publisher = {Springer Science and Business Media {LLC}},
        volume "&amp;"= {38},
        number = {1},
        pages = {49--64},
        author = {Hiroshi Yamakawa},
        title = {Attentional Reinforcement Learning in the Brain},
        journal = {New Generation Computing}
}")</f>
        <v>@article{Yamakawa_2020a,
        doi = {10.1007/s00354-019-00081-z},
        url = {https://doi.org/10.1007%2Fs00354-019-00081-z},
        year = 2020,
        month = {jan},
        publisher = {Springer Science and Business Media {LLC}},
        volume = {38},
        number = {1},
        pages = {49--64},
        author = {Hiroshi Yamakawa},
        title = {Attentional Reinforcement Learning in the Brain},
        journal = {New Generation Computing}
}</v>
      </c>
      <c r="F35" s="42" t="str">
        <f>IFERROR(__xludf.DUMMYFUNCTION("""COMPUTED_VALUE"""),"Hypothesis")</f>
        <v>Hypothesis</v>
      </c>
      <c r="G35" s="9" t="str">
        <f>IFERROR(__xludf.DUMMYFUNCTION("""COMPUTED_VALUE"""),"Article")</f>
        <v>Article</v>
      </c>
      <c r="H35" s="9" t="str">
        <f>IFERROR(__xludf.DUMMYFUNCTION("""COMPUTED_VALUE"""),"Hiroshi Yamakawa")</f>
        <v>Hiroshi Yamakawa</v>
      </c>
      <c r="I35" s="9" t="str">
        <f>IFERROR(__xludf.DUMMYFUNCTION("""COMPUTED_VALUE"""),"Attentional Reinforcement Learning in the Brain")</f>
        <v>Attentional Reinforcement Learning in the Brain</v>
      </c>
      <c r="J35" s="9" t="str">
        <f>IFERROR(__xludf.DUMMYFUNCTION("""COMPUTED_VALUE"""),"New Generation Computing")</f>
        <v>New Generation Computing</v>
      </c>
      <c r="K35" s="135"/>
      <c r="L35" s="42" t="str">
        <f>IFERROR(__xludf.DUMMYFUNCTION("""COMPUTED_VALUE"""),"Hiroshi Yamakawa")</f>
        <v>Hiroshi Yamakawa</v>
      </c>
      <c r="M35" s="42" t="str">
        <f>IFERROR(__xludf.DUMMYFUNCTION("""COMPUTED_VALUE"""),"HY18NeocorticalInterareaSignals")</f>
        <v>HY18NeocorticalInterareaSignals</v>
      </c>
      <c r="N35" s="42"/>
      <c r="O35" s="42"/>
      <c r="P35" s="9"/>
      <c r="Q35" s="9"/>
      <c r="R35" s="42"/>
      <c r="S35" s="42"/>
      <c r="T35" s="42"/>
      <c r="U35" s="42"/>
      <c r="V35" s="42"/>
      <c r="W35" s="42"/>
    </row>
    <row r="36">
      <c r="A36" s="9" t="str">
        <f>IFERROR(__xludf.DUMMYFUNCTION("""COMPUTED_VALUE"""),"Wolpert, 1998")</f>
        <v>Wolpert, 1998</v>
      </c>
      <c r="B36" s="31" t="str">
        <f>IFERROR(__xludf.DUMMYFUNCTION("""COMPUTED_VALUE"""),"DOC")</f>
        <v>DOC</v>
      </c>
      <c r="C36" s="131" t="str">
        <f>IFERROR(__xludf.DUMMYFUNCTION("""COMPUTED_VALUE"""),"BIB")</f>
        <v>BIB</v>
      </c>
      <c r="D36" s="42" t="str">
        <f>IFERROR(__xludf.DUMMYFUNCTION("""COMPUTED_VALUE"""),"10.1016/S1364-6613(98)01221-2")</f>
        <v>10.1016/S1364-6613(98)01221-2</v>
      </c>
      <c r="E36" s="103" t="str">
        <f>IFERROR(__xludf.DUMMYFUNCTION("""COMPUTED_VALUE"""),"@article{Wolpert_1998,
	doi = {10.1016/s1364-6613(98)01221-2},
	url = {https://doi.org/10.1016%2Fs1364-6613%2898%2901221-2},
	year = 1998,
	month = {sep},
	publisher = {Elsevier {BV}},
	volume = {2},
	number = {9},
	pages = {338--347},
	author = {Daniel M"&amp;" Wolpert and R.Chris Miall and Mitsuo Kawato},
	title = {Internal models in the cerebellum},
	journal = {Trends in Cognitive Sciences}
}")</f>
        <v>@article{Wolpert_1998,
	doi = {10.1016/s1364-6613(98)01221-2},
	url = {https://doi.org/10.1016%2Fs1364-6613%2898%2901221-2},
	year = 1998,
	month = {sep},
	publisher = {Elsevier {BV}},
	volume = {2},
	number = {9},
	pages = {338--347},
	author = {Daniel M Wolpert and R.Chris Miall and Mitsuo Kawato},
	title = {Internal models in the cerebellum},
	journal = {Trends in Cognitive Sciences}
}</v>
      </c>
      <c r="F36" s="42"/>
      <c r="G36" s="9" t="str">
        <f>IFERROR(__xludf.DUMMYFUNCTION("""COMPUTED_VALUE"""),"Article")</f>
        <v>Article</v>
      </c>
      <c r="H36" s="9" t="str">
        <f>IFERROR(__xludf.DUMMYFUNCTION("""COMPUTED_VALUE"""),"Daniel M Wolpert, R.Chris Miall, Mitsuo Kawato")</f>
        <v>Daniel M Wolpert, R.Chris Miall, Mitsuo Kawato</v>
      </c>
      <c r="I36" s="9" t="str">
        <f>IFERROR(__xludf.DUMMYFUNCTION("""COMPUTED_VALUE"""),"Internal models in the cerebellum")</f>
        <v>Internal models in the cerebellum</v>
      </c>
      <c r="J36" s="9" t="str">
        <f>IFERROR(__xludf.DUMMYFUNCTION("""COMPUTED_VALUE"""),"Trends in Cognitive Sciences")</f>
        <v>Trends in Cognitive Sciences</v>
      </c>
      <c r="K36" s="135"/>
      <c r="L36" s="42" t="str">
        <f>IFERROR(__xludf.DUMMYFUNCTION("""COMPUTED_VALUE"""),"Hiroshi Yamakawa")</f>
        <v>Hiroshi Yamakawa</v>
      </c>
      <c r="M36" s="42" t="str">
        <f>IFERROR(__xludf.DUMMYFUNCTION("""COMPUTED_VALUE"""),"HY20Cerebellum")</f>
        <v>HY20Cerebellum</v>
      </c>
      <c r="N36" s="42"/>
      <c r="O36" s="42"/>
      <c r="P36" s="9"/>
      <c r="Q36" s="9"/>
      <c r="R36" s="42"/>
      <c r="S36" s="42"/>
      <c r="T36" s="42"/>
      <c r="U36" s="42"/>
      <c r="V36" s="42"/>
      <c r="W36" s="42"/>
    </row>
    <row r="37">
      <c r="A37" s="9" t="str">
        <f>IFERROR(__xludf.DUMMYFUNCTION("""COMPUTED_VALUE"""),"Witter, 2000")</f>
        <v>Witter, 2000</v>
      </c>
      <c r="B37" s="31" t="str">
        <f>IFERROR(__xludf.DUMMYFUNCTION("""COMPUTED_VALUE"""),"DOC")</f>
        <v>DOC</v>
      </c>
      <c r="C37" s="131" t="str">
        <f>IFERROR(__xludf.DUMMYFUNCTION("""COMPUTED_VALUE"""),"BIB")</f>
        <v>BIB</v>
      </c>
      <c r="D37" s="42" t="str">
        <f>IFERROR(__xludf.DUMMYFUNCTION("""COMPUTED_VALUE"""),"10.1002/1098-1063(2000)10:4&lt;398::aid-hipo6&gt;3.0.co;2-k")</f>
        <v>10.1002/1098-1063(2000)10:4&lt;398::aid-hipo6&gt;3.0.co;2-k</v>
      </c>
      <c r="E37" s="103" t="str">
        <f>IFERROR(__xludf.DUMMYFUNCTION("""COMPUTED_VALUE"""),"@article{Witter_2000,
	doi = {10.1002/1098-1063(2000)10:4&lt;398::aid-hipo6&gt;3.0.co;2-k},
	url = {https://doi.org/10.1002%2F1098-1063%282000%2910%3A4%3C398%3A%3Aaid-hipo6%3E3.0.co%3B2-k},
	year = 2000,
	publisher = {Wiley},
	volume = {10},
	number = {4},
	pag"&amp;"es = {398--410},
	author = {Menno P. Witter and Pieterke A. Naber and Theo van Haeften and Willem C.M. Machielsen and Serge A.R.B. Rombouts and Frederik Barkhof and Philip Scheltens and Fernando H. Lopes da Silva},
	title = {Cortico-hippocampal communicat"&amp;"ion by way of parallel parahippocampal-subicular pathways},
	journal = {Hippocampus}
}")</f>
        <v>@article{Witter_2000,
	doi = {10.1002/1098-1063(2000)10:4&lt;398::aid-hipo6&gt;3.0.co;2-k},
	url = {https://doi.org/10.1002%2F1098-1063%282000%2910%3A4%3C398%3A%3Aaid-hipo6%3E3.0.co%3B2-k},
	year = 2000,
	publisher = {Wiley},
	volume = {10},
	number = {4},
	pages = {398--410},
	author = {Menno P. Witter and Pieterke A. Naber and Theo van Haeften and Willem C.M. Machielsen and Serge A.R.B. Rombouts and Frederik Barkhof and Philip Scheltens and Fernando H. Lopes da Silva},
	title = {Cortico-hippocampal communication by way of parallel parahippocampal-subicular pathways},
	journal = {Hippocampus}
}</v>
      </c>
      <c r="F37" s="42" t="str">
        <f>IFERROR(__xludf.DUMMYFUNCTION("""COMPUTED_VALUE"""),"Review")</f>
        <v>Review</v>
      </c>
      <c r="G37" s="9" t="str">
        <f>IFERROR(__xludf.DUMMYFUNCTION("""COMPUTED_VALUE"""),"Article")</f>
        <v>Article</v>
      </c>
      <c r="H37" s="9" t="str">
        <f>IFERROR(__xludf.DUMMYFUNCTION("""COMPUTED_VALUE"""),"Menno P. Witter, Pieterke A. Naber, Theo van Haeften, Willem C.M. Machielsen, Serge A.R.B. Rombouts, Frederik Barkhof, Philip Scheltens, Fernando H. Lopes da Silva")</f>
        <v>Menno P. Witter, Pieterke A. Naber, Theo van Haeften, Willem C.M. Machielsen, Serge A.R.B. Rombouts, Frederik Barkhof, Philip Scheltens, Fernando H. Lopes da Silva</v>
      </c>
      <c r="I37" s="9" t="str">
        <f>IFERROR(__xludf.DUMMYFUNCTION("""COMPUTED_VALUE"""),"Cortico-hippocampal communication by way of parallel parahippocampal-subicular pathways")</f>
        <v>Cortico-hippocampal communication by way of parallel parahippocampal-subicular pathways</v>
      </c>
      <c r="J37" s="9" t="str">
        <f>IFERROR(__xludf.DUMMYFUNCTION("""COMPUTED_VALUE"""),"Hippocampus")</f>
        <v>Hippocampus</v>
      </c>
      <c r="K37" s="42"/>
      <c r="L37" s="42" t="str">
        <f>IFERROR(__xludf.DUMMYFUNCTION("""COMPUTED_VALUE"""),"Ayako Fukawa")</f>
        <v>Ayako Fukawa</v>
      </c>
      <c r="M37" s="42" t="str">
        <f>IFERROR(__xludf.DUMMYFUNCTION("""COMPUTED_VALUE"""),"AT20HippocampalFormation")</f>
        <v>AT20HippocampalFormation</v>
      </c>
      <c r="N37" s="42"/>
      <c r="O37" s="42"/>
      <c r="P37" s="9"/>
      <c r="Q37" s="9"/>
      <c r="R37" s="42"/>
      <c r="S37" s="42"/>
      <c r="T37" s="42"/>
      <c r="U37" s="42"/>
      <c r="V37" s="42"/>
      <c r="W37" s="42"/>
    </row>
    <row r="38">
      <c r="A38" s="137" t="str">
        <f>IFERROR(__xludf.DUMMYFUNCTION("""COMPUTED_VALUE"""),"White, 2017")</f>
        <v>White, 2017</v>
      </c>
      <c r="B38" s="131" t="str">
        <f>IFERROR(__xludf.DUMMYFUNCTION("""COMPUTED_VALUE"""),"DOC")</f>
        <v>DOC</v>
      </c>
      <c r="C38" s="131" t="str">
        <f>IFERROR(__xludf.DUMMYFUNCTION("""COMPUTED_VALUE"""),"BIB")</f>
        <v>BIB</v>
      </c>
      <c r="D38" s="133" t="str">
        <f>IFERROR(__xludf.DUMMYFUNCTION("""COMPUTED_VALUE"""),"10.1073/pnas.1701003114")</f>
        <v>10.1073/pnas.1701003114</v>
      </c>
      <c r="E38" s="103" t="str">
        <f>IFERROR(__xludf.DUMMYFUNCTION("""COMPUTED_VALUE"""),"@article{White_2017,
	doi = {10.1073/pnas.1701003114},
	url = {https://doi.org/10.1073%2Fpnas.1701003114},
	year = 2017,
	month = {aug},
	publisher = {Proceedings of the National Academy of Sciences},
	volume = {114},
	number = {35},
	pages = {9451--9456}"&amp;",
	author = {Brian J. White and Janis Y. Kan and Ron Levy and Laurent Itti and Douglas P. Munoz},
	title = {Superior colliculus encodes visual saliency before the primary visual cortex},
	journal = {Proceedings of the National Academy of Sciences}
}")</f>
        <v>@article{White_2017,
	doi = {10.1073/pnas.1701003114},
	url = {https://doi.org/10.1073%2Fpnas.1701003114},
	year = 2017,
	month = {aug},
	publisher = {Proceedings of the National Academy of Sciences},
	volume = {114},
	number = {35},
	pages = {9451--9456},
	author = {Brian J. White and Janis Y. Kan and Ron Levy and Laurent Itti and Douglas P. Munoz},
	title = {Superior colliculus encodes visual saliency before the primary visual cortex},
	journal = {Proceedings of the National Academy of Sciences}
}</v>
      </c>
      <c r="F38" s="42"/>
      <c r="G38" s="9" t="str">
        <f>IFERROR(__xludf.DUMMYFUNCTION("""COMPUTED_VALUE"""),"Article")</f>
        <v>Article</v>
      </c>
      <c r="H38" s="9" t="str">
        <f>IFERROR(__xludf.DUMMYFUNCTION("""COMPUTED_VALUE"""),"Brian J. White, Janis Y. Kan, Ron Levy, Laurent Itti, Douglas P. Munoz")</f>
        <v>Brian J. White, Janis Y. Kan, Ron Levy, Laurent Itti, Douglas P. Munoz</v>
      </c>
      <c r="I38" s="9" t="str">
        <f>IFERROR(__xludf.DUMMYFUNCTION("""COMPUTED_VALUE"""),"Superior colliculus encodes visual saliency before the primary visual cortex")</f>
        <v>Superior colliculus encodes visual saliency before the primary visual cortex</v>
      </c>
      <c r="J38" s="9" t="str">
        <f>IFERROR(__xludf.DUMMYFUNCTION("""COMPUTED_VALUE"""),"Proceedings of the National Academy of Sciences")</f>
        <v>Proceedings of the National Academy of Sciences</v>
      </c>
      <c r="K38" s="42"/>
      <c r="L38" s="42"/>
      <c r="M38" s="42"/>
      <c r="N38" s="42"/>
      <c r="O38" s="42"/>
      <c r="P38" s="9"/>
      <c r="Q38" s="9"/>
      <c r="R38" s="42"/>
      <c r="S38" s="42"/>
      <c r="T38" s="42"/>
      <c r="U38" s="42"/>
      <c r="V38" s="42"/>
      <c r="W38" s="42"/>
    </row>
    <row r="39">
      <c r="A39" s="9" t="str">
        <f>IFERROR(__xludf.DUMMYFUNCTION("""COMPUTED_VALUE"""),"Wei, 2016")</f>
        <v>Wei, 2016</v>
      </c>
      <c r="B39" s="31" t="str">
        <f>IFERROR(__xludf.DUMMYFUNCTION("""COMPUTED_VALUE"""),"DOC")</f>
        <v>DOC</v>
      </c>
      <c r="C39" s="31" t="str">
        <f>IFERROR(__xludf.DUMMYFUNCTION("""COMPUTED_VALUE"""),"BIB")</f>
        <v>BIB</v>
      </c>
      <c r="D39" s="42" t="str">
        <f>IFERROR(__xludf.DUMMYFUNCTION("""COMPUTED_VALUE"""),"10.1523/JNEUROSCI.3648-15.2016")</f>
        <v>10.1523/JNEUROSCI.3648-15.2016</v>
      </c>
      <c r="E39" s="103" t="str">
        <f>IFERROR(__xludf.DUMMYFUNCTION("""COMPUTED_VALUE"""),"@article{Wei_2016,
	doi = {10.1523/jneurosci.3648-15.2016},
	url = {https://doi.org/10.1523%2Fjneurosci.3648-15.2016},
	year = 2016,
	month = {apr},
	publisher = {Society for Neuroscience},
	volume = {36},
	number = {15},
	pages = {4231--4247},
	author = "&amp;"{Yina Wei and Giri P. Krishnan and Maxim Bazhenov},
	title = {Synaptic Mechanisms of Memory Consolidation during Sleep Slow Oscillations},
	journal = {The Journal of Neuroscience}
}")</f>
        <v>@article{Wei_2016,
	doi = {10.1523/jneurosci.3648-15.2016},
	url = {https://doi.org/10.1523%2Fjneurosci.3648-15.2016},
	year = 2016,
	month = {apr},
	publisher = {Society for Neuroscience},
	volume = {36},
	number = {15},
	pages = {4231--4247},
	author = {Yina Wei and Giri P. Krishnan and Maxim Bazhenov},
	title = {Synaptic Mechanisms of Memory Consolidation during Sleep Slow Oscillations},
	journal = {The Journal of Neuroscience}
}</v>
      </c>
      <c r="F39" s="42"/>
      <c r="G39" s="9" t="str">
        <f>IFERROR(__xludf.DUMMYFUNCTION("""COMPUTED_VALUE"""),"Article")</f>
        <v>Article</v>
      </c>
      <c r="H39" s="9" t="str">
        <f>IFERROR(__xludf.DUMMYFUNCTION("""COMPUTED_VALUE"""),"Yina Wei, Giri P. Krishnan, Maxim Bazhenov")</f>
        <v>Yina Wei, Giri P. Krishnan, Maxim Bazhenov</v>
      </c>
      <c r="I39" s="9" t="str">
        <f>IFERROR(__xludf.DUMMYFUNCTION("""COMPUTED_VALUE"""),"Synaptic Mechanisms of Memory Consolidation during Sleep Slow Oscillations")</f>
        <v>Synaptic Mechanisms of Memory Consolidation during Sleep Slow Oscillations</v>
      </c>
      <c r="J39" s="9" t="str">
        <f>IFERROR(__xludf.DUMMYFUNCTION("""COMPUTED_VALUE"""),"The Journal of Neuroscience")</f>
        <v>The Journal of Neuroscience</v>
      </c>
      <c r="K39" s="42" t="str">
        <f>IFERROR(__xludf.DUMMYFUNCTION("""COMPUTED_VALUE"""),"Fig.1")</f>
        <v>Fig.1</v>
      </c>
      <c r="L39" s="42" t="str">
        <f>IFERROR(__xludf.DUMMYFUNCTION("""COMPUTED_VALUE"""),"Hiroshi Yamakawa")</f>
        <v>Hiroshi Yamakawa</v>
      </c>
      <c r="M39" s="42" t="str">
        <f>IFERROR(__xludf.DUMMYFUNCTION("""COMPUTED_VALUE"""),"HY18NeocorticalInterareaSignals")</f>
        <v>HY18NeocorticalInterareaSignals</v>
      </c>
      <c r="N39" s="42"/>
      <c r="O39" s="42"/>
      <c r="P39" s="9"/>
      <c r="Q39" s="9"/>
      <c r="R39" s="42"/>
      <c r="S39" s="42"/>
      <c r="T39" s="42"/>
      <c r="U39" s="42"/>
      <c r="V39" s="42"/>
      <c r="W39" s="42"/>
    </row>
    <row r="40">
      <c r="A40" s="9" t="str">
        <f>IFERROR(__xludf.DUMMYFUNCTION("""COMPUTED_VALUE"""),"Wang, 2021")</f>
        <v>Wang, 2021</v>
      </c>
      <c r="B40" s="31" t="str">
        <f>IFERROR(__xludf.DUMMYFUNCTION("""COMPUTED_VALUE"""),"DOC")</f>
        <v>DOC</v>
      </c>
      <c r="C40" s="31" t="str">
        <f>IFERROR(__xludf.DUMMYFUNCTION("""COMPUTED_VALUE"""),"BIB")</f>
        <v>BIB</v>
      </c>
      <c r="D40" s="42" t="str">
        <f>IFERROR(__xludf.DUMMYFUNCTION("""COMPUTED_VALUE"""),"10.1002/jnr.24993")</f>
        <v>10.1002/jnr.24993</v>
      </c>
      <c r="E40" s="103" t="str">
        <f>IFERROR(__xludf.DUMMYFUNCTION("""COMPUTED_VALUE"""),"@article{Wang2021,
  doi = {10.1002/jnr.24993},
  url = {https://doi.org/10.1002/jnr.24993},
  year = {2021},
  month = dec,
  publisher = {Wiley},
  volume = {100},
  number = {2},
  pages = {620--637},
  author = {Xiaolu Wang and Manuele Novell"&amp;"o and Zhenyu Gao and Tom J. H. Ruigrok and Chris I. De Zeeuw},
  title = {Input and output organization of the mesodiencephalic junction for cerebro-cerebellar communication},
  journal = {Journal of Neuroscience Research}
}")</f>
        <v>@article{Wang2021,
  doi = {10.1002/jnr.24993},
  url = {https://doi.org/10.1002/jnr.24993},
  year = {2021},
  month = dec,
  publisher = {Wiley},
  volume = {100},
  number = {2},
  pages = {620--637},
  author = {Xiaolu Wang and Manuele Novello and Zhenyu Gao and Tom J. H. Ruigrok and Chris I. De Zeeuw},
  title = {Input and output organization of the mesodiencephalic junction for cerebro-cerebellar communication},
  journal = {Journal of Neuroscience Research}
}</v>
      </c>
      <c r="F40" s="42"/>
      <c r="G40" s="9" t="str">
        <f>IFERROR(__xludf.DUMMYFUNCTION("""COMPUTED_VALUE"""),"Article")</f>
        <v>Article</v>
      </c>
      <c r="H40" s="9" t="str">
        <f>IFERROR(__xludf.DUMMYFUNCTION("""COMPUTED_VALUE"""),"Xiaolu Wang, Manuele Novello, Zhenyu Gao, Tom J. H. Ruigrok, Chris I. De Zeeuw")</f>
        <v>Xiaolu Wang, Manuele Novello, Zhenyu Gao, Tom J. H. Ruigrok, Chris I. De Zeeuw</v>
      </c>
      <c r="I40" s="9" t="str">
        <f>IFERROR(__xludf.DUMMYFUNCTION("""COMPUTED_VALUE"""),"Input and output organization of the mesodiencephalic junction for cerebro-cerebellar communication")</f>
        <v>Input and output organization of the mesodiencephalic junction for cerebro-cerebellar communication</v>
      </c>
      <c r="J40" s="9" t="str">
        <f>IFERROR(__xludf.DUMMYFUNCTION("""COMPUTED_VALUE"""),"Journal of Neuroscience Research")</f>
        <v>Journal of Neuroscience Research</v>
      </c>
      <c r="K40" s="42"/>
      <c r="L40" s="42" t="str">
        <f>IFERROR(__xludf.DUMMYFUNCTION("""COMPUTED_VALUE"""),"Hiroshi Yamakawa")</f>
        <v>Hiroshi Yamakawa</v>
      </c>
      <c r="M40" s="42" t="str">
        <f>IFERROR(__xludf.DUMMYFUNCTION("""COMPUTED_VALUE"""),"HY20Cerebellum")</f>
        <v>HY20Cerebellum</v>
      </c>
      <c r="N40" s="42"/>
      <c r="O40" s="42"/>
      <c r="P40" s="9"/>
      <c r="Q40" s="9"/>
      <c r="R40" s="42"/>
      <c r="S40" s="42"/>
      <c r="T40" s="42"/>
      <c r="U40" s="42"/>
      <c r="V40" s="42"/>
      <c r="W40" s="42"/>
    </row>
    <row r="41">
      <c r="A41" s="9" t="str">
        <f>IFERROR(__xludf.DUMMYFUNCTION("""COMPUTED_VALUE"""),"Wang, 2020")</f>
        <v>Wang, 2020</v>
      </c>
      <c r="B41" s="31" t="str">
        <f>IFERROR(__xludf.DUMMYFUNCTION("""COMPUTED_VALUE"""),"DOC")</f>
        <v>DOC</v>
      </c>
      <c r="C41" s="31" t="str">
        <f>IFERROR(__xludf.DUMMYFUNCTION("""COMPUTED_VALUE"""),"BIB")</f>
        <v>BIB</v>
      </c>
      <c r="D41" s="133" t="str">
        <f>IFERROR(__xludf.DUMMYFUNCTION("""COMPUTED_VALUE"""),"10.1016/j.cell.2020.04.007")</f>
        <v>10.1016/j.cell.2020.04.007</v>
      </c>
      <c r="E41" s="103" t="str">
        <f>IFERROR(__xludf.DUMMYFUNCTION("""COMPUTED_VALUE"""),"@article{Wang_2020,
	doi = {10.1016/j.cell.2020.04.007},
	url = {https://doi.org/10.1016%2Fj.cell.2020.04.007},
	year = 2020,
	month = {may},
	publisher = {Elsevier {BV}},
	volume = {181},
	number = {4},
	pages = {936--953.e20},
	author = {Quanxin Wang an"&amp;"d Song-Lin Ding and Yang Li and Josh Royall and David Feng and Phil Lesnar and Nile Graddis and Maitham Naeemi and Benjamin Facer and Anh Ho and Tim Dolbeare and Brandon Blanchard and Nick Dee and Wayne Wakeman and Karla E. Hirokawa and Aaron Szafer and S"&amp;"usan M. Sunkin and Seung Wook Oh and Amy Bernard and John W. Phillips and Michael Hawrylycz and Christof Koch and Hongkui Zeng and Julie A. Harris and Lydia Ng},
	title = {The Allen Mouse Brain Common Coordinate Framework: A 3D Reference Atlas},
	journal "&amp;"= {Cell}
}")</f>
        <v>@article{Wang_2020,
	doi = {10.1016/j.cell.2020.04.007},
	url = {https://doi.org/10.1016%2Fj.cell.2020.04.007},
	year = 2020,
	month = {may},
	publisher = {Elsevier {BV}},
	volume = {181},
	number = {4},
	pages = {936--953.e20},
	author = {Quanxin Wang and Song-Lin Ding and Yang Li and Josh Royall and David Feng and Phil Lesnar and Nile Graddis and Maitham Naeemi and Benjamin Facer and Anh Ho and Tim Dolbeare and Brandon Blanchard and Nick Dee and Wayne Wakeman and Karla E. Hirokawa and Aaron Szafer and Susan M. Sunkin and Seung Wook Oh and Amy Bernard and John W. Phillips and Michael Hawrylycz and Christof Koch and Hongkui Zeng and Julie A. Harris and Lydia Ng},
	title = {The Allen Mouse Brain Common Coordinate Framework: A 3D Reference Atlas},
	journal = {Cell}
}</v>
      </c>
      <c r="F41" s="42"/>
      <c r="G41" s="9" t="str">
        <f>IFERROR(__xludf.DUMMYFUNCTION("""COMPUTED_VALUE"""),"Article")</f>
        <v>Article</v>
      </c>
      <c r="H41" s="9" t="str">
        <f>IFERROR(__xludf.DUMMYFUNCTION("""COMPUTED_VALUE"""),"Quanxin Wang, Song-Lin Ding, Yang Li, Josh Royall, David Feng, Phil Lesnar, Nile Graddis, Maitham Naeemi, Benjamin Facer, Anh Ho, Tim Dolbeare, Brandon Blanchard, Nick Dee, Wayne Wakeman, Karla E. Hirokawa, Aaron Szafer, Susan M. Sunkin, Seung Wook Oh, Am"&amp;"y Bernard, John W. Phillips, Michael Hawrylycz, Christof Koch, Hongkui Zeng, Julie A. Harris, Lydia Ng")</f>
        <v>Quanxin Wang, Song-Lin Ding, Yang Li, Josh Royall, David Feng, Phil Lesnar, Nile Graddis, Maitham Naeemi, Benjamin Facer, Anh Ho, Tim Dolbeare, Brandon Blanchard, Nick Dee, Wayne Wakeman, Karla E. Hirokawa, Aaron Szafer, Susan M. Sunkin, Seung Wook Oh, Amy Bernard, John W. Phillips, Michael Hawrylycz, Christof Koch, Hongkui Zeng, Julie A. Harris, Lydia Ng</v>
      </c>
      <c r="I41" s="9" t="str">
        <f>IFERROR(__xludf.DUMMYFUNCTION("""COMPUTED_VALUE"""),"The Allen Mouse Brain Common Coordinate Framework: A 3D Reference Atlas")</f>
        <v>The Allen Mouse Brain Common Coordinate Framework: A 3D Reference Atlas</v>
      </c>
      <c r="J41" s="9" t="str">
        <f>IFERROR(__xludf.DUMMYFUNCTION("""COMPUTED_VALUE"""),"Cell")</f>
        <v>Cell</v>
      </c>
      <c r="K41" s="42"/>
      <c r="L41" s="42"/>
      <c r="M41" s="42"/>
      <c r="N41" s="42"/>
      <c r="O41" s="42"/>
      <c r="P41" s="9"/>
      <c r="Q41" s="9"/>
      <c r="R41" s="42"/>
      <c r="S41" s="42"/>
      <c r="T41" s="42"/>
      <c r="U41" s="42"/>
      <c r="V41" s="42"/>
      <c r="W41" s="42"/>
    </row>
    <row r="42">
      <c r="A42" s="9" t="str">
        <f>IFERROR(__xludf.DUMMYFUNCTION("""COMPUTED_VALUE"""),"Wang, 2013")</f>
        <v>Wang, 2013</v>
      </c>
      <c r="B42" s="31" t="str">
        <f>IFERROR(__xludf.DUMMYFUNCTION("""COMPUTED_VALUE"""),"DOC")</f>
        <v>DOC</v>
      </c>
      <c r="C42" s="31" t="str">
        <f>IFERROR(__xludf.DUMMYFUNCTION("""COMPUTED_VALUE"""),"BIB")</f>
        <v>BIB</v>
      </c>
      <c r="D42" s="42" t="str">
        <f>IFERROR(__xludf.DUMMYFUNCTION("""COMPUTED_VALUE"""),"10.1523/JNEUROSCI.2726-11.2013")</f>
        <v>10.1523/JNEUROSCI.2726-11.2013</v>
      </c>
      <c r="E42" s="103" t="str">
        <f>IFERROR(__xludf.DUMMYFUNCTION("""COMPUTED_VALUE"""),"@article{Wang_2013,
	doi = {10.1523/jneurosci.2726-11.2013},
	url = {https://doi.org/10.1523%2Fjneurosci.2726-11.2013},
	year = 2013,
	month = {oct},
	publisher = {Society for Neuroscience},
	volume = {33},
	number = {41},
	pages = {16285--16296},
	author"&amp;" = {N. Wang and E. Perkins and L. Zhou and S. Warren and P. J. May},
	title = {Anatomical Evidence that the Superior Colliculus Controls Saccades through Central Mesencephalic Reticular Formation Gating of Omnipause Neuron Activity},
	journal = {Journal o"&amp;"f Neuroscience}
}")</f>
        <v>@article{Wang_2013,
	doi = {10.1523/jneurosci.2726-11.2013},
	url = {https://doi.org/10.1523%2Fjneurosci.2726-11.2013},
	year = 2013,
	month = {oct},
	publisher = {Society for Neuroscience},
	volume = {33},
	number = {41},
	pages = {16285--16296},
	author = {N. Wang and E. Perkins and L. Zhou and S. Warren and P. J. May},
	title = {Anatomical Evidence that the Superior Colliculus Controls Saccades through Central Mesencephalic Reticular Formation Gating of Omnipause Neuron Activity},
	journal = {Journal of Neuroscience}
}</v>
      </c>
      <c r="F42" s="42"/>
      <c r="G42" s="9" t="str">
        <f>IFERROR(__xludf.DUMMYFUNCTION("""COMPUTED_VALUE"""),"Article")</f>
        <v>Article</v>
      </c>
      <c r="H42" s="9" t="str">
        <f>IFERROR(__xludf.DUMMYFUNCTION("""COMPUTED_VALUE"""),"N. Wang, E. Perkins, L. Zhou, S. Warren, P. J. May")</f>
        <v>N. Wang, E. Perkins, L. Zhou, S. Warren, P. J. May</v>
      </c>
      <c r="I42" s="9" t="str">
        <f>IFERROR(__xludf.DUMMYFUNCTION("""COMPUTED_VALUE"""),"Anatomical Evidence that the Superior Colliculus Controls Saccades through Central Mesencephalic Reticular Formation Gating of Omnipause Neuron Activity")</f>
        <v>Anatomical Evidence that the Superior Colliculus Controls Saccades through Central Mesencephalic Reticular Formation Gating of Omnipause Neuron Activity</v>
      </c>
      <c r="J42" s="9" t="str">
        <f>IFERROR(__xludf.DUMMYFUNCTION("""COMPUTED_VALUE"""),"Journal of Neuroscience")</f>
        <v>Journal of Neuroscience</v>
      </c>
      <c r="K42" s="133" t="str">
        <f>IFERROR(__xludf.DUMMYFUNCTION("""COMPUTED_VALUE"""),"https://www.jneurosci.org/content/33/41/16285")</f>
        <v>https://www.jneurosci.org/content/33/41/16285</v>
      </c>
      <c r="L42" s="42" t="str">
        <f>IFERROR(__xludf.DUMMYFUNCTION("""COMPUTED_VALUE"""),"Yoshinasa Tawatsji")</f>
        <v>Yoshinasa Tawatsji</v>
      </c>
      <c r="M42" s="42" t="str">
        <f>IFERROR(__xludf.DUMMYFUNCTION("""COMPUTED_VALUE"""),"Oculomotor")</f>
        <v>Oculomotor</v>
      </c>
      <c r="N42" s="42"/>
      <c r="O42" s="42"/>
      <c r="P42" s="9"/>
      <c r="Q42" s="9"/>
      <c r="R42" s="42"/>
      <c r="S42" s="42"/>
      <c r="T42" s="42"/>
      <c r="U42" s="42"/>
      <c r="V42" s="42"/>
      <c r="W42" s="42"/>
    </row>
    <row r="43">
      <c r="A43" s="9" t="str">
        <f>IFERROR(__xludf.DUMMYFUNCTION("""COMPUTED_VALUE"""),"Wagner, 2020")</f>
        <v>Wagner, 2020</v>
      </c>
      <c r="B43" s="31" t="str">
        <f>IFERROR(__xludf.DUMMYFUNCTION("""COMPUTED_VALUE"""),"DOC")</f>
        <v>DOC</v>
      </c>
      <c r="C43" s="31" t="str">
        <f>IFERROR(__xludf.DUMMYFUNCTION("""COMPUTED_VALUE"""),"BIB")</f>
        <v>BIB</v>
      </c>
      <c r="D43" s="42" t="str">
        <f>IFERROR(__xludf.DUMMYFUNCTION("""COMPUTED_VALUE"""),"10.1016/j.tins.2019.11.002")</f>
        <v>10.1016/j.tins.2019.11.002</v>
      </c>
      <c r="E43" s="103" t="str">
        <f>IFERROR(__xludf.DUMMYFUNCTION("""COMPUTED_VALUE"""),"@article{Wagner_2020,
        doi = {10.1016/j.tins.2019.11.002},
        url = {https://doi.org/10.1016%2Fj.tins.2019.11.002},
        year = 2020,
        month = {jan},
        publisher = {Elsevier {BV}},
        volume = {43},
        number = {1},
 "&amp;"       pages = {42--54},
        author = {Mark J. Wagner and Liqun Luo},
        title = {Neocortex{\textendash}Cerebellum Circuits for Cognitive Processing},
        journal = {Trends in Neurosciences}
}")</f>
        <v>@article{Wagner_2020,
        doi = {10.1016/j.tins.2019.11.002},
        url = {https://doi.org/10.1016%2Fj.tins.2019.11.002},
        year = 2020,
        month = {jan},
        publisher = {Elsevier {BV}},
        volume = {43},
        number = {1},
        pages = {42--54},
        author = {Mark J. Wagner and Liqun Luo},
        title = {Neocortex{\textendash}Cerebellum Circuits for Cognitive Processing},
        journal = {Trends in Neurosciences}
}</v>
      </c>
      <c r="F43" s="42"/>
      <c r="G43" s="9" t="str">
        <f>IFERROR(__xludf.DUMMYFUNCTION("""COMPUTED_VALUE"""),"Article")</f>
        <v>Article</v>
      </c>
      <c r="H43" s="9" t="str">
        <f>IFERROR(__xludf.DUMMYFUNCTION("""COMPUTED_VALUE"""),"Mark J. Wagner, Liqun Luo")</f>
        <v>Mark J. Wagner, Liqun Luo</v>
      </c>
      <c r="I43" s="9" t="str">
        <f>IFERROR(__xludf.DUMMYFUNCTION("""COMPUTED_VALUE"""),"Neocortex{\textendash}Cerebellum Circuits for Cognitive Processing")</f>
        <v>Neocortex{\textendash}Cerebellum Circuits for Cognitive Processing</v>
      </c>
      <c r="J43" s="9" t="str">
        <f>IFERROR(__xludf.DUMMYFUNCTION("""COMPUTED_VALUE"""),"Trends in Neurosciences")</f>
        <v>Trends in Neurosciences</v>
      </c>
      <c r="K43" s="42"/>
      <c r="L43" s="42" t="str">
        <f>IFERROR(__xludf.DUMMYFUNCTION("""COMPUTED_VALUE"""),"Hiroshi Yamakawa")</f>
        <v>Hiroshi Yamakawa</v>
      </c>
      <c r="M43" s="42" t="str">
        <f>IFERROR(__xludf.DUMMYFUNCTION("""COMPUTED_VALUE"""),"HY20Cerebellum")</f>
        <v>HY20Cerebellum</v>
      </c>
      <c r="N43" s="42"/>
      <c r="O43" s="42"/>
      <c r="P43" s="9"/>
      <c r="Q43" s="9"/>
      <c r="R43" s="42"/>
      <c r="S43" s="42"/>
      <c r="T43" s="42"/>
      <c r="U43" s="42"/>
      <c r="V43" s="42"/>
      <c r="W43" s="42"/>
    </row>
    <row r="44">
      <c r="A44" s="9" t="str">
        <f>IFERROR(__xludf.DUMMYFUNCTION("""COMPUTED_VALUE"""),"Verwer, 1997")</f>
        <v>Verwer, 1997</v>
      </c>
      <c r="B44" s="31" t="str">
        <f>IFERROR(__xludf.DUMMYFUNCTION("""COMPUTED_VALUE"""),"DOC")</f>
        <v>DOC</v>
      </c>
      <c r="C44" s="31" t="str">
        <f>IFERROR(__xludf.DUMMYFUNCTION("""COMPUTED_VALUE"""),"BIB")</f>
        <v>BIB</v>
      </c>
      <c r="D44" s="42" t="str">
        <f>IFERROR(__xludf.DUMMYFUNCTION("""COMPUTED_VALUE"""),"10.1002/(SICI)1098-1063(1997)7:4&lt;397::AID-HIPO5&gt;3.0.CO;2-G")</f>
        <v>10.1002/(SICI)1098-1063(1997)7:4&lt;397::AID-HIPO5&gt;3.0.CO;2-G</v>
      </c>
      <c r="E44" s="103" t="str">
        <f>IFERROR(__xludf.DUMMYFUNCTION("""COMPUTED_VALUE"""),"@article{Verwer_1997,
	doi = {10.1002/(sici)1098-1063(1997)7:4&lt;397::aid-hipo5&gt;3.0.co;2-g},
	url = {https://doi.org/10.1002%2F%28sici%291098-1063%281997%297%3A4%3C397%3A%3Aaid-hipo5%3E3.0.co%3B2-g},
	year = 1997,
	publisher = {Wiley},
	volume = {7},
	numbe"&amp;"r = {4},
	pages = {397--402},
	author = {Ronald W.H. Verwer and Ron J. Meijer and Hannie F.M. Van Uum and Menno P. Witter},
	title = {Collateral projections from the rat hippocampal formation to the lateral and medial prefrontal cortex},
	journal = {Hippo"&amp;"campus}
}")</f>
        <v>@article{Verwer_1997,
	doi = {10.1002/(sici)1098-1063(1997)7:4&lt;397::aid-hipo5&gt;3.0.co;2-g},
	url = {https://doi.org/10.1002%2F%28sici%291098-1063%281997%297%3A4%3C397%3A%3Aaid-hipo5%3E3.0.co%3B2-g},
	year = 1997,
	publisher = {Wiley},
	volume = {7},
	number = {4},
	pages = {397--402},
	author = {Ronald W.H. Verwer and Ron J. Meijer and Hannie F.M. Van Uum and Menno P. Witter},
	title = {Collateral projections from the rat hippocampal formation to the lateral and medial prefrontal cortex},
	journal = {Hippocampus}
}</v>
      </c>
      <c r="F44" s="42"/>
      <c r="G44" s="9" t="str">
        <f>IFERROR(__xludf.DUMMYFUNCTION("""COMPUTED_VALUE"""),"Article")</f>
        <v>Article</v>
      </c>
      <c r="H44" s="9" t="str">
        <f>IFERROR(__xludf.DUMMYFUNCTION("""COMPUTED_VALUE"""),"Ronald W.H. Verwer, Ron J. Meijer, Hannie F.M. Van Uum, Menno P. Witter")</f>
        <v>Ronald W.H. Verwer, Ron J. Meijer, Hannie F.M. Van Uum, Menno P. Witter</v>
      </c>
      <c r="I44" s="9" t="str">
        <f>IFERROR(__xludf.DUMMYFUNCTION("""COMPUTED_VALUE"""),"Collateral projections from the rat hippocampal formation to the lateral and medial prefrontal cortex")</f>
        <v>Collateral projections from the rat hippocampal formation to the lateral and medial prefrontal cortex</v>
      </c>
      <c r="J44" s="9" t="str">
        <f>IFERROR(__xludf.DUMMYFUNCTION("""COMPUTED_VALUE"""),"Hippocampus")</f>
        <v>Hippocampus</v>
      </c>
      <c r="K44" s="42"/>
      <c r="L44" s="42" t="str">
        <f>IFERROR(__xludf.DUMMYFUNCTION("""COMPUTED_VALUE"""),"Ayako Fukawa")</f>
        <v>Ayako Fukawa</v>
      </c>
      <c r="M44" s="42" t="str">
        <f>IFERROR(__xludf.DUMMYFUNCTION("""COMPUTED_VALUE"""),"AT20HippocampalFormation
Claustrum")</f>
        <v>AT20HippocampalFormation
Claustrum</v>
      </c>
      <c r="N44" s="42"/>
      <c r="O44" s="42"/>
      <c r="P44" s="9"/>
      <c r="Q44" s="9"/>
      <c r="R44" s="42"/>
      <c r="S44" s="42"/>
      <c r="T44" s="42"/>
      <c r="U44" s="42"/>
      <c r="V44" s="42"/>
      <c r="W44" s="42"/>
    </row>
    <row r="45">
      <c r="A45" s="9" t="str">
        <f>IFERROR(__xludf.DUMMYFUNCTION("""COMPUTED_VALUE"""),"Tanji, 2008")</f>
        <v>Tanji, 2008</v>
      </c>
      <c r="B45" s="31" t="str">
        <f>IFERROR(__xludf.DUMMYFUNCTION("""COMPUTED_VALUE"""),"DOC")</f>
        <v>DOC</v>
      </c>
      <c r="C45" s="31" t="str">
        <f>IFERROR(__xludf.DUMMYFUNCTION("""COMPUTED_VALUE"""),"BIB")</f>
        <v>BIB</v>
      </c>
      <c r="D45" s="42" t="str">
        <f>IFERROR(__xludf.DUMMYFUNCTION("""COMPUTED_VALUE"""),"10.1152/physrev.00014.2007")</f>
        <v>10.1152/physrev.00014.2007</v>
      </c>
      <c r="E45" s="103" t="str">
        <f>IFERROR(__xludf.DUMMYFUNCTION("""COMPUTED_VALUE"""),"@article{Tanji_2008,
	doi = {10.1152/physrev.00014.2007},
	url = {https://doi.org/10.1152%2Fphysrev.00014.2007},
	year = 2008,
	month = {jan},
	publisher = {American Physiological Society},
	volume = {88},
	number = {1},
	pages = {37--57},
	author = {Jun "&amp;"Tanji and Eiji Hoshi},
	title = {Role of the Lateral Prefrontal Cortex in Executive Behavioral Control},
	journal = {Physiological Reviews}
}")</f>
        <v>@article{Tanji_2008,
	doi = {10.1152/physrev.00014.2007},
	url = {https://doi.org/10.1152%2Fphysrev.00014.2007},
	year = 2008,
	month = {jan},
	publisher = {American Physiological Society},
	volume = {88},
	number = {1},
	pages = {37--57},
	author = {Jun Tanji and Eiji Hoshi},
	title = {Role of the Lateral Prefrontal Cortex in Executive Behavioral Control},
	journal = {Physiological Reviews}
}</v>
      </c>
      <c r="F45" s="42"/>
      <c r="G45" s="9" t="str">
        <f>IFERROR(__xludf.DUMMYFUNCTION("""COMPUTED_VALUE"""),"Article")</f>
        <v>Article</v>
      </c>
      <c r="H45" s="9" t="str">
        <f>IFERROR(__xludf.DUMMYFUNCTION("""COMPUTED_VALUE"""),"Jun Tanji, Eiji Hoshi")</f>
        <v>Jun Tanji, Eiji Hoshi</v>
      </c>
      <c r="I45" s="9" t="str">
        <f>IFERROR(__xludf.DUMMYFUNCTION("""COMPUTED_VALUE"""),"Role of the Lateral Prefrontal Cortex in Executive Behavioral Control")</f>
        <v>Role of the Lateral Prefrontal Cortex in Executive Behavioral Control</v>
      </c>
      <c r="J45" s="9" t="str">
        <f>IFERROR(__xludf.DUMMYFUNCTION("""COMPUTED_VALUE"""),"Physiological Reviews")</f>
        <v>Physiological Reviews</v>
      </c>
      <c r="K45" s="42"/>
      <c r="L45" s="42"/>
      <c r="M45" s="42"/>
      <c r="N45" s="42"/>
      <c r="O45" s="42"/>
      <c r="P45" s="9"/>
      <c r="Q45" s="9"/>
      <c r="R45" s="42"/>
      <c r="S45" s="42"/>
      <c r="T45" s="42"/>
      <c r="U45" s="42"/>
      <c r="V45" s="42"/>
      <c r="W45" s="42"/>
    </row>
    <row r="46">
      <c r="A46" s="9" t="str">
        <f>IFERROR(__xludf.DUMMYFUNCTION("""COMPUTED_VALUE"""),"Tamamaki, 1993")</f>
        <v>Tamamaki, 1993</v>
      </c>
      <c r="B46" s="31" t="str">
        <f>IFERROR(__xludf.DUMMYFUNCTION("""COMPUTED_VALUE"""),"DOC")</f>
        <v>DOC</v>
      </c>
      <c r="C46" s="31" t="str">
        <f>IFERROR(__xludf.DUMMYFUNCTION("""COMPUTED_VALUE"""),"BIB")</f>
        <v>BIB</v>
      </c>
      <c r="D46" s="42" t="str">
        <f>IFERROR(__xludf.DUMMYFUNCTION("""COMPUTED_VALUE"""),"10.1002/hipo.450030408")</f>
        <v>10.1002/hipo.450030408</v>
      </c>
      <c r="E46" s="103" t="str">
        <f>IFERROR(__xludf.DUMMYFUNCTION("""COMPUTED_VALUE"""),"@article{Tamamaki_1993,
	doi = {10.1002/hipo.450030408},
	url = {https://doi.org/10.1002%2Fhipo.450030408},
	year = 1993,
	month = {oct},
	publisher = {Wiley},
	volume = {3},
	number = {4},
	pages = {471--480},
	author = {Nobuaki Tamamaki and Yoshiaki Noj"&amp;"yo},
	title = {Projection of the entorhinal layer {II} neurons in the rat as revealed by intracellular pressure-injection of neurobiotin},
	journal = {Hippocampus}
}")</f>
        <v>@article{Tamamaki_1993,
	doi = {10.1002/hipo.450030408},
	url = {https://doi.org/10.1002%2Fhipo.450030408},
	year = 1993,
	month = {oct},
	publisher = {Wiley},
	volume = {3},
	number = {4},
	pages = {471--480},
	author = {Nobuaki Tamamaki and Yoshiaki Nojyo},
	title = {Projection of the entorhinal layer {II} neurons in the rat as revealed by intracellular pressure-injection of neurobiotin},
	journal = {Hippocampus}
}</v>
      </c>
      <c r="F46" s="42" t="str">
        <f>IFERROR(__xludf.DUMMYFUNCTION("""COMPUTED_VALUE"""),"Experimental results")</f>
        <v>Experimental results</v>
      </c>
      <c r="G46" s="9" t="str">
        <f>IFERROR(__xludf.DUMMYFUNCTION("""COMPUTED_VALUE"""),"Article")</f>
        <v>Article</v>
      </c>
      <c r="H46" s="9" t="str">
        <f>IFERROR(__xludf.DUMMYFUNCTION("""COMPUTED_VALUE"""),"Nobuaki Tamamaki, Yoshiaki Nojyo")</f>
        <v>Nobuaki Tamamaki, Yoshiaki Nojyo</v>
      </c>
      <c r="I46" s="9" t="str">
        <f>IFERROR(__xludf.DUMMYFUNCTION("""COMPUTED_VALUE"""),"Projection of the entorhinal layer {II} neurons in the rat as revealed by intracellular pressure-injection of neurobiotin")</f>
        <v>Projection of the entorhinal layer {II} neurons in the rat as revealed by intracellular pressure-injection of neurobiotin</v>
      </c>
      <c r="J46" s="9" t="str">
        <f>IFERROR(__xludf.DUMMYFUNCTION("""COMPUTED_VALUE"""),"Hippocampus")</f>
        <v>Hippocampus</v>
      </c>
      <c r="K46" s="42"/>
      <c r="L46" s="42" t="str">
        <f>IFERROR(__xludf.DUMMYFUNCTION("""COMPUTED_VALUE"""),"Yuske Shibata")</f>
        <v>Yuske Shibata</v>
      </c>
      <c r="M46" s="42" t="str">
        <f>IFERROR(__xludf.DUMMYFUNCTION("""COMPUTED_VALUE"""),"YS21CredibilityCheck")</f>
        <v>YS21CredibilityCheck</v>
      </c>
      <c r="N46" s="42"/>
      <c r="O46" s="42"/>
      <c r="P46" s="9"/>
      <c r="Q46" s="9"/>
      <c r="R46" s="42"/>
      <c r="S46" s="42"/>
      <c r="T46" s="42"/>
      <c r="U46" s="42"/>
      <c r="V46" s="42"/>
      <c r="W46" s="42"/>
    </row>
    <row r="47">
      <c r="A47" s="9" t="str">
        <f>IFERROR(__xludf.DUMMYFUNCTION("""COMPUTED_VALUE"""),"Takahashi, 2021")</f>
        <v>Takahashi, 2021</v>
      </c>
      <c r="B47" s="31" t="str">
        <f>IFERROR(__xludf.DUMMYFUNCTION("""COMPUTED_VALUE"""),"DOC")</f>
        <v>DOC</v>
      </c>
      <c r="C47" s="31" t="str">
        <f>IFERROR(__xludf.DUMMYFUNCTION("""COMPUTED_VALUE"""),"BIB")</f>
        <v>BIB</v>
      </c>
      <c r="D47" s="42" t="str">
        <f>IFERROR(__xludf.DUMMYFUNCTION("""COMPUTED_VALUE"""),"10.1523/JNEUROSCI.1731-21.2021")</f>
        <v>10.1523/JNEUROSCI.1731-21.2021</v>
      </c>
      <c r="E47" s="103" t="str">
        <f>IFERROR(__xludf.DUMMYFUNCTION("""COMPUTED_VALUE"""),"@article{Takahashi_2021,
	doi = {10.1523/jneurosci.1731-21.2021},
	url = {https://doi.org/10.1523%2Fjneurosci.1731-21.2021},
	year = 2021,
	month = {dec},
	publisher = {Society for Neuroscience},
	volume = {42},
	number = {5},
	pages = {789--803},
	author"&amp;" = {Mayu Takahashi and Yuriko Sugiuchi and Jie Na and Yoshikazu Shinoda},
	title = {Brainstem Circuits Triggering Saccades and Fixation},
	journal = {The Journal of Neuroscience}
}")</f>
        <v>@article{Takahashi_2021,
	doi = {10.1523/jneurosci.1731-21.2021},
	url = {https://doi.org/10.1523%2Fjneurosci.1731-21.2021},
	year = 2021,
	month = {dec},
	publisher = {Society for Neuroscience},
	volume = {42},
	number = {5},
	pages = {789--803},
	author = {Mayu Takahashi and Yuriko Sugiuchi and Jie Na and Yoshikazu Shinoda},
	title = {Brainstem Circuits Triggering Saccades and Fixation},
	journal = {The Journal of Neuroscience}
}</v>
      </c>
      <c r="F47" s="42"/>
      <c r="G47" s="9" t="str">
        <f>IFERROR(__xludf.DUMMYFUNCTION("""COMPUTED_VALUE"""),"Article")</f>
        <v>Article</v>
      </c>
      <c r="H47" s="9" t="str">
        <f>IFERROR(__xludf.DUMMYFUNCTION("""COMPUTED_VALUE"""),"Mayu Takahashi, Yuriko Sugiuchi, Jie Na, Yoshikazu Shinoda")</f>
        <v>Mayu Takahashi, Yuriko Sugiuchi, Jie Na, Yoshikazu Shinoda</v>
      </c>
      <c r="I47" s="9" t="str">
        <f>IFERROR(__xludf.DUMMYFUNCTION("""COMPUTED_VALUE"""),"Brainstem Circuits Triggering Saccades and Fixation")</f>
        <v>Brainstem Circuits Triggering Saccades and Fixation</v>
      </c>
      <c r="J47" s="9" t="str">
        <f>IFERROR(__xludf.DUMMYFUNCTION("""COMPUTED_VALUE"""),"The Journal of Neuroscience")</f>
        <v>The Journal of Neuroscience</v>
      </c>
      <c r="K47" s="42"/>
      <c r="L47" s="42" t="str">
        <f>IFERROR(__xludf.DUMMYFUNCTION("""COMPUTED_VALUE"""),"Yoshinasa Tawatsji")</f>
        <v>Yoshinasa Tawatsji</v>
      </c>
      <c r="M47" s="42" t="str">
        <f>IFERROR(__xludf.DUMMYFUNCTION("""COMPUTED_VALUE"""),"Oculomotor")</f>
        <v>Oculomotor</v>
      </c>
      <c r="N47" s="42"/>
      <c r="O47" s="42"/>
      <c r="P47" s="9"/>
      <c r="Q47" s="9"/>
      <c r="R47" s="42"/>
      <c r="S47" s="42"/>
      <c r="T47" s="42"/>
      <c r="U47" s="42"/>
      <c r="V47" s="42"/>
      <c r="W47" s="42"/>
    </row>
    <row r="48">
      <c r="A48" s="9" t="str">
        <f>IFERROR(__xludf.DUMMYFUNCTION("""COMPUTED_VALUE"""),"Takahashi, 2018")</f>
        <v>Takahashi, 2018</v>
      </c>
      <c r="B48" s="31" t="str">
        <f>IFERROR(__xludf.DUMMYFUNCTION("""COMPUTED_VALUE"""),"DOC")</f>
        <v>DOC</v>
      </c>
      <c r="C48" s="31" t="str">
        <f>IFERROR(__xludf.DUMMYFUNCTION("""COMPUTED_VALUE"""),"BIB")</f>
        <v>BIB</v>
      </c>
      <c r="D48" s="42" t="str">
        <f>IFERROR(__xludf.DUMMYFUNCTION("""COMPUTED_VALUE"""),"10.1016/j.neuroscience.2018.08.027")</f>
        <v>10.1016/j.neuroscience.2018.08.027</v>
      </c>
      <c r="E48" s="103" t="str">
        <f>IFERROR(__xludf.DUMMYFUNCTION("""COMPUTED_VALUE"""),"@article{Takahashi_2018,
	doi = {10.1016/j.neuroscience.2018.08.027},
	url = {https://doi.org/10.1016%2Fj.neuroscience.2018.08.027},
	year = 2018,
	month = {nov},
	publisher = {Elsevier {BV}},
	volume = {392},
	pages = {281--328},
	author = {Mayu Takahash"&amp;"i and Yoshikazu Shinoda},
	title = {Brain Stem Neural Circuits of Horizontal and Vertical Saccade Systems and their Frame of Reference},
	journal = {Neuroscience}
}")</f>
        <v>@article{Takahashi_2018,
	doi = {10.1016/j.neuroscience.2018.08.027},
	url = {https://doi.org/10.1016%2Fj.neuroscience.2018.08.027},
	year = 2018,
	month = {nov},
	publisher = {Elsevier {BV}},
	volume = {392},
	pages = {281--328},
	author = {Mayu Takahashi and Yoshikazu Shinoda},
	title = {Brain Stem Neural Circuits of Horizontal and Vertical Saccade Systems and their Frame of Reference},
	journal = {Neuroscience}
}</v>
      </c>
      <c r="F48" s="42"/>
      <c r="G48" s="9" t="str">
        <f>IFERROR(__xludf.DUMMYFUNCTION("""COMPUTED_VALUE"""),"Article")</f>
        <v>Article</v>
      </c>
      <c r="H48" s="9" t="str">
        <f>IFERROR(__xludf.DUMMYFUNCTION("""COMPUTED_VALUE"""),"Mayu Takahashi, Yoshikazu Shinoda")</f>
        <v>Mayu Takahashi, Yoshikazu Shinoda</v>
      </c>
      <c r="I48" s="9" t="str">
        <f>IFERROR(__xludf.DUMMYFUNCTION("""COMPUTED_VALUE"""),"Brain Stem Neural Circuits of Horizontal and Vertical Saccade Systems and their Frame of Reference")</f>
        <v>Brain Stem Neural Circuits of Horizontal and Vertical Saccade Systems and their Frame of Reference</v>
      </c>
      <c r="J48" s="9" t="str">
        <f>IFERROR(__xludf.DUMMYFUNCTION("""COMPUTED_VALUE"""),"Neuroscience")</f>
        <v>Neuroscience</v>
      </c>
      <c r="K48" s="42"/>
      <c r="L48" s="42" t="str">
        <f>IFERROR(__xludf.DUMMYFUNCTION("""COMPUTED_VALUE"""),"Yoshinasa Tawatsji")</f>
        <v>Yoshinasa Tawatsji</v>
      </c>
      <c r="M48" s="42" t="str">
        <f>IFERROR(__xludf.DUMMYFUNCTION("""COMPUTED_VALUE"""),"Oculomotor")</f>
        <v>Oculomotor</v>
      </c>
      <c r="N48" s="42"/>
      <c r="O48" s="42"/>
      <c r="P48" s="9"/>
      <c r="Q48" s="9"/>
      <c r="R48" s="42"/>
      <c r="S48" s="42"/>
      <c r="T48" s="42"/>
      <c r="U48" s="42"/>
      <c r="V48" s="42"/>
      <c r="W48" s="42"/>
    </row>
    <row r="49">
      <c r="A49" s="9" t="str">
        <f>IFERROR(__xludf.DUMMYFUNCTION("""COMPUTED_VALUE"""),"Sugiuchi, 2013")</f>
        <v>Sugiuchi, 2013</v>
      </c>
      <c r="B49" s="31" t="str">
        <f>IFERROR(__xludf.DUMMYFUNCTION("""COMPUTED_VALUE"""),"DOC")</f>
        <v>DOC</v>
      </c>
      <c r="C49" s="31" t="str">
        <f>IFERROR(__xludf.DUMMYFUNCTION("""COMPUTED_VALUE"""),"BIB")</f>
        <v>BIB</v>
      </c>
      <c r="D49" s="42" t="str">
        <f>IFERROR(__xludf.DUMMYFUNCTION("""COMPUTED_VALUE"""),"10.1152/jn.01045.2012")</f>
        <v>10.1152/jn.01045.2012</v>
      </c>
      <c r="E49" s="103" t="str">
        <f>IFERROR(__xludf.DUMMYFUNCTION("""COMPUTED_VALUE"""),"@article{Sugiuchi_2013,
	doi = {10.1152/jn.01045.2012},
	url = {https://doi.org/10.1152%2Fjn.01045.2012},
	year = 2013,
	month = {aug},
	publisher = {American Physiological Society},
	volume = {110},
	number = {3},
	pages = {640--657},
	author = {Y. Sugiu"&amp;"chi and M. Takahashi and Y. Shinoda},
	title = {Input-output organization of inhibitory neurons in the interstitial nucleus of Cajal projecting to the contralateral trochlear and oculomotor nucleus},
	journal = {Journal of Neurophysiology}
}")</f>
        <v>@article{Sugiuchi_2013,
	doi = {10.1152/jn.01045.2012},
	url = {https://doi.org/10.1152%2Fjn.01045.2012},
	year = 2013,
	month = {aug},
	publisher = {American Physiological Society},
	volume = {110},
	number = {3},
	pages = {640--657},
	author = {Y. Sugiuchi and M. Takahashi and Y. Shinoda},
	title = {Input-output organization of inhibitory neurons in the interstitial nucleus of Cajal projecting to the contralateral trochlear and oculomotor nucleus},
	journal = {Journal of Neurophysiology}
}</v>
      </c>
      <c r="F49" s="42"/>
      <c r="G49" s="9" t="str">
        <f>IFERROR(__xludf.DUMMYFUNCTION("""COMPUTED_VALUE"""),"Article")</f>
        <v>Article</v>
      </c>
      <c r="H49" s="9" t="str">
        <f>IFERROR(__xludf.DUMMYFUNCTION("""COMPUTED_VALUE"""),"Y. Sugiuchi, M. Takahashi, Y. Shinoda")</f>
        <v>Y. Sugiuchi, M. Takahashi, Y. Shinoda</v>
      </c>
      <c r="I49" s="9" t="str">
        <f>IFERROR(__xludf.DUMMYFUNCTION("""COMPUTED_VALUE"""),"Input-output organization of inhibitory neurons in the interstitial nucleus of Cajal projecting to the contralateral trochlear and oculomotor nucleus")</f>
        <v>Input-output organization of inhibitory neurons in the interstitial nucleus of Cajal projecting to the contralateral trochlear and oculomotor nucleus</v>
      </c>
      <c r="J49" s="9" t="str">
        <f>IFERROR(__xludf.DUMMYFUNCTION("""COMPUTED_VALUE"""),"Journal of Neurophysiology")</f>
        <v>Journal of Neurophysiology</v>
      </c>
      <c r="K49" s="135"/>
      <c r="L49" s="42" t="str">
        <f>IFERROR(__xludf.DUMMYFUNCTION("""COMPUTED_VALUE"""),"Yoshinasa Tawatsji")</f>
        <v>Yoshinasa Tawatsji</v>
      </c>
      <c r="M49" s="42" t="str">
        <f>IFERROR(__xludf.DUMMYFUNCTION("""COMPUTED_VALUE"""),"Oculomotor")</f>
        <v>Oculomotor</v>
      </c>
      <c r="N49" s="42"/>
      <c r="O49" s="42"/>
      <c r="P49" s="9"/>
      <c r="Q49" s="9"/>
      <c r="R49" s="42"/>
      <c r="S49" s="42"/>
      <c r="T49" s="42"/>
      <c r="U49" s="42"/>
      <c r="V49" s="42"/>
      <c r="W49" s="42"/>
    </row>
    <row r="50">
      <c r="A50" s="9" t="str">
        <f>IFERROR(__xludf.DUMMYFUNCTION("""COMPUTED_VALUE"""),"Sugiuchi, 2011")</f>
        <v>Sugiuchi, 2011</v>
      </c>
      <c r="B50" s="31" t="str">
        <f>IFERROR(__xludf.DUMMYFUNCTION("""COMPUTED_VALUE"""),"DOC")</f>
        <v>DOC</v>
      </c>
      <c r="C50" s="31" t="str">
        <f>IFERROR(__xludf.DUMMYFUNCTION("""COMPUTED_VALUE"""),"BIB")</f>
        <v>BIB</v>
      </c>
      <c r="D50" s="42" t="str">
        <f>IFERROR(__xludf.DUMMYFUNCTION("""COMPUTED_VALUE"""),"10.3757/jser.70.89")</f>
        <v>10.3757/jser.70.89</v>
      </c>
      <c r="E50" s="103" t="str">
        <f>IFERROR(__xludf.DUMMYFUNCTION("""COMPUTED_VALUE"""),"@article{Sugiuchi_2011,
	doi = {10.3757/jser.70.89},
	url = {https://doi.org/10.3757%2Fjser.70.89},
	year = 2011,
	publisher = {Japan Society of Equilibrium Research},
	volume = {70},
	number = {2},
	pages = {89--94},
	author = {Yuriko Sugiuchi and Mayu T"&amp;"akahashi},
	title = {Neural mechanisms of saccadic eye movements: common ground with the vestibular system},
	journal = {Equilibrium Research}
}")</f>
        <v>@article{Sugiuchi_2011,
	doi = {10.3757/jser.70.89},
	url = {https://doi.org/10.3757%2Fjser.70.89},
	year = 2011,
	publisher = {Japan Society of Equilibrium Research},
	volume = {70},
	number = {2},
	pages = {89--94},
	author = {Yuriko Sugiuchi and Mayu Takahashi},
	title = {Neural mechanisms of saccadic eye movements: common ground with the vestibular system},
	journal = {Equilibrium Research}
}</v>
      </c>
      <c r="F50" s="42"/>
      <c r="G50" s="9" t="str">
        <f>IFERROR(__xludf.DUMMYFUNCTION("""COMPUTED_VALUE"""),"Article")</f>
        <v>Article</v>
      </c>
      <c r="H50" s="9" t="str">
        <f>IFERROR(__xludf.DUMMYFUNCTION("""COMPUTED_VALUE"""),"Yuriko Sugiuchi, Mayu Takahashi")</f>
        <v>Yuriko Sugiuchi, Mayu Takahashi</v>
      </c>
      <c r="I50" s="9" t="str">
        <f>IFERROR(__xludf.DUMMYFUNCTION("""COMPUTED_VALUE"""),"Neural mechanisms of saccadic eye movements: common ground with the vestibular system")</f>
        <v>Neural mechanisms of saccadic eye movements: common ground with the vestibular system</v>
      </c>
      <c r="J50" s="9" t="str">
        <f>IFERROR(__xludf.DUMMYFUNCTION("""COMPUTED_VALUE"""),"Equilibrium Research")</f>
        <v>Equilibrium Research</v>
      </c>
      <c r="K50" s="42"/>
      <c r="L50" s="42" t="str">
        <f>IFERROR(__xludf.DUMMYFUNCTION("""COMPUTED_VALUE"""),"Yoshinasa Tawatsji")</f>
        <v>Yoshinasa Tawatsji</v>
      </c>
      <c r="M50" s="42" t="str">
        <f>IFERROR(__xludf.DUMMYFUNCTION("""COMPUTED_VALUE"""),"Oculomotor")</f>
        <v>Oculomotor</v>
      </c>
      <c r="N50" s="42"/>
      <c r="O50" s="42"/>
      <c r="P50" s="9"/>
      <c r="Q50" s="9"/>
      <c r="R50" s="42"/>
      <c r="S50" s="42"/>
      <c r="T50" s="42"/>
      <c r="U50" s="42"/>
      <c r="V50" s="42"/>
      <c r="W50" s="42"/>
    </row>
    <row r="51">
      <c r="A51" s="9" t="str">
        <f>IFERROR(__xludf.DUMMYFUNCTION("""COMPUTED_VALUE"""),"Solari, 2011")</f>
        <v>Solari, 2011</v>
      </c>
      <c r="B51" s="31" t="str">
        <f>IFERROR(__xludf.DUMMYFUNCTION("""COMPUTED_VALUE"""),"DOC")</f>
        <v>DOC</v>
      </c>
      <c r="C51" s="31" t="str">
        <f>IFERROR(__xludf.DUMMYFUNCTION("""COMPUTED_VALUE"""),"BIB")</f>
        <v>BIB</v>
      </c>
      <c r="D51" s="42" t="str">
        <f>IFERROR(__xludf.DUMMYFUNCTION("""COMPUTED_VALUE"""),"10.3389/fnana.2011.00065")</f>
        <v>10.3389/fnana.2011.00065</v>
      </c>
      <c r="E51" s="103" t="str">
        <f>IFERROR(__xludf.DUMMYFUNCTION("""COMPUTED_VALUE"""),"@article{Solari_2011,
	doi = {10.3389/fnana.2011.00065},
	url = {https://doi.org/10.3389%2Ffnana.2011.00065},
	year = 2011,
	publisher = {Frontiers Media {SA}},
	author = {Solari},
	title = {Cognitive consilience: Primate non-primary neuroanatomical circu"&amp;"its underlying cognition},
	journal = {Frontiers in Neuroanatomy}
}")</f>
        <v>@article{Solari_2011,
	doi = {10.3389/fnana.2011.00065},
	url = {https://doi.org/10.3389%2Ffnana.2011.00065},
	year = 2011,
	publisher = {Frontiers Media {SA}},
	author = {Solari},
	title = {Cognitive consilience: Primate non-primary neuroanatomical circuits underlying cognition},
	journal = {Frontiers in Neuroanatomy}
}</v>
      </c>
      <c r="F51" s="42"/>
      <c r="G51" s="9" t="str">
        <f>IFERROR(__xludf.DUMMYFUNCTION("""COMPUTED_VALUE"""),"Article")</f>
        <v>Article</v>
      </c>
      <c r="H51" s="9" t="str">
        <f>IFERROR(__xludf.DUMMYFUNCTION("""COMPUTED_VALUE"""),"Solari")</f>
        <v>Solari</v>
      </c>
      <c r="I51" s="9" t="str">
        <f>IFERROR(__xludf.DUMMYFUNCTION("""COMPUTED_VALUE"""),"Cognitive consilience: Primate non-primary neuroanatomical circuits underlying cognition")</f>
        <v>Cognitive consilience: Primate non-primary neuroanatomical circuits underlying cognition</v>
      </c>
      <c r="J51" s="9" t="str">
        <f>IFERROR(__xludf.DUMMYFUNCTION("""COMPUTED_VALUE"""),"Frontiers in Neuroanatomy")</f>
        <v>Frontiers in Neuroanatomy</v>
      </c>
      <c r="K51" s="42"/>
      <c r="L51" s="42" t="str">
        <f>IFERROR(__xludf.DUMMYFUNCTION("""COMPUTED_VALUE"""),"Hiroshi Yamakawa")</f>
        <v>Hiroshi Yamakawa</v>
      </c>
      <c r="M51" s="42" t="str">
        <f>IFERROR(__xludf.DUMMYFUNCTION("""COMPUTED_VALUE"""),"HY18NeocorticalInterareaSignals")</f>
        <v>HY18NeocorticalInterareaSignals</v>
      </c>
      <c r="N51" s="42"/>
      <c r="O51" s="42"/>
      <c r="P51" s="9"/>
      <c r="Q51" s="9"/>
      <c r="R51" s="42"/>
      <c r="S51" s="42"/>
      <c r="T51" s="42"/>
      <c r="U51" s="42"/>
      <c r="V51" s="42"/>
      <c r="W51" s="42"/>
    </row>
    <row r="52">
      <c r="A52" s="9" t="str">
        <f>IFERROR(__xludf.DUMMYFUNCTION("""COMPUTED_VALUE"""),"Smith, 2011")</f>
        <v>Smith, 2011</v>
      </c>
      <c r="B52" s="31" t="str">
        <f>IFERROR(__xludf.DUMMYFUNCTION("""COMPUTED_VALUE"""),"DOC")</f>
        <v>DOC</v>
      </c>
      <c r="C52" s="31" t="str">
        <f>IFERROR(__xludf.DUMMYFUNCTION("""COMPUTED_VALUE"""),"BIB")</f>
        <v>BIB</v>
      </c>
      <c r="D52" s="42" t="str">
        <f>IFERROR(__xludf.DUMMYFUNCTION("""COMPUTED_VALUE"""),"10.1016/b978-1-4160-5316-3.00074-5")</f>
        <v>10.1016/b978-1-4160-5316-3.00074-5</v>
      </c>
      <c r="E52" s="103" t="str">
        <f>IFERROR(__xludf.DUMMYFUNCTION("""COMPUTED_VALUE"""),"@incollection{Smith_2011,
        doi = {10.1016/b978-1-4160-5316-3.00074-5},
        url = {https://doi.org/10.1016%2Fb978-1-4160-5316-3.00074-5},
        year = 2011,
        publisher = {Elsevier},
        pages = {854--863},
        author = {Yoland S"&amp;"mith},
        title = {Anatomy and Synaptic Connectivity of the Basal Ganglia},
        booktitle = {Youmans Neurological Surgery}
}")</f>
        <v>@incollection{Smith_2011,
        doi = {10.1016/b978-1-4160-5316-3.00074-5},
        url = {https://doi.org/10.1016%2Fb978-1-4160-5316-3.00074-5},
        year = 2011,
        publisher = {Elsevier},
        pages = {854--863},
        author = {Yoland Smith},
        title = {Anatomy and Synaptic Connectivity of the Basal Ganglia},
        booktitle = {Youmans Neurological Surgery}
}</v>
      </c>
      <c r="F52" s="42"/>
      <c r="G52" s="9" t="str">
        <f>IFERROR(__xludf.DUMMYFUNCTION("""COMPUTED_VALUE"""),"Incollection")</f>
        <v>Incollection</v>
      </c>
      <c r="H52" s="9" t="str">
        <f>IFERROR(__xludf.DUMMYFUNCTION("""COMPUTED_VALUE"""),"Yoland Smith")</f>
        <v>Yoland Smith</v>
      </c>
      <c r="I52" s="9" t="str">
        <f>IFERROR(__xludf.DUMMYFUNCTION("""COMPUTED_VALUE"""),"Anatomy and Synaptic Connectivity of the Basal Ganglia")</f>
        <v>Anatomy and Synaptic Connectivity of the Basal Ganglia</v>
      </c>
      <c r="J52" s="9" t="str">
        <f>IFERROR(__xludf.DUMMYFUNCTION("""COMPUTED_VALUE"""),"Youmans Neurological Surgery")</f>
        <v>Youmans Neurological Surgery</v>
      </c>
      <c r="K52" s="133" t="str">
        <f>IFERROR(__xludf.DUMMYFUNCTION("""COMPUTED_VALUE"""),"https://clinicalgate.com/anatomy-and-synaptic-connectivity-of-the-basal-ganglia/")</f>
        <v>https://clinicalgate.com/anatomy-and-synaptic-connectivity-of-the-basal-ganglia/</v>
      </c>
      <c r="L52" s="42" t="str">
        <f>IFERROR(__xludf.DUMMYFUNCTION("""COMPUTED_VALUE"""),"Yuske Shibata")</f>
        <v>Yuske Shibata</v>
      </c>
      <c r="M52" s="42" t="str">
        <f>IFERROR(__xludf.DUMMYFUNCTION("""COMPUTED_VALUE"""),"YS21BgLoop")</f>
        <v>YS21BgLoop</v>
      </c>
      <c r="N52" s="42"/>
      <c r="O52" s="42"/>
      <c r="P52" s="9"/>
      <c r="Q52" s="9"/>
      <c r="R52" s="42"/>
      <c r="S52" s="42"/>
      <c r="T52" s="42"/>
      <c r="U52" s="42"/>
      <c r="V52" s="42"/>
      <c r="W52" s="42"/>
    </row>
    <row r="53">
      <c r="A53" s="9" t="str">
        <f>IFERROR(__xludf.DUMMYFUNCTION("""COMPUTED_VALUE"""),"Shook, 1990")</f>
        <v>Shook, 1990</v>
      </c>
      <c r="B53" s="31" t="str">
        <f>IFERROR(__xludf.DUMMYFUNCTION("""COMPUTED_VALUE"""),"DOC")</f>
        <v>DOC</v>
      </c>
      <c r="C53" s="31" t="str">
        <f>IFERROR(__xludf.DUMMYFUNCTION("""COMPUTED_VALUE"""),"BIB")</f>
        <v>BIB</v>
      </c>
      <c r="D53" s="42" t="str">
        <f>IFERROR(__xludf.DUMMYFUNCTION("""COMPUTED_VALUE"""),"10.1002/cne.903010410")</f>
        <v>10.1002/cne.903010410</v>
      </c>
      <c r="E53" s="103" t="str">
        <f>IFERROR(__xludf.DUMMYFUNCTION("""COMPUTED_VALUE"""),"@article{Shook_1990,
	doi = {10.1002/cne.903010410},
	url = {https://doi.org/10.1002%2Fcne.903010410},
	year = 1990,
	month = {nov},
	publisher = {Wiley},
	volume = {301},
	number = {4},
	pages = {618--642},
	author = {B. L. Shook and M. Schlag-Rey and J."&amp;" Schlag},
	title = {Primate supplementary eye field: I. Comparative aspects of mesencephalic and pontine connections},
	journal = {The Journal of Comparative Neurology}
}")</f>
        <v>@article{Shook_1990,
	doi = {10.1002/cne.903010410},
	url = {https://doi.org/10.1002%2Fcne.903010410},
	year = 1990,
	month = {nov},
	publisher = {Wiley},
	volume = {301},
	number = {4},
	pages = {618--642},
	author = {B. L. Shook and M. Schlag-Rey and J. Schlag},
	title = {Primate supplementary eye field: I. Comparative aspects of mesencephalic and pontine connections},
	journal = {The Journal of Comparative Neurology}
}</v>
      </c>
      <c r="F53" s="42"/>
      <c r="G53" s="9" t="str">
        <f>IFERROR(__xludf.DUMMYFUNCTION("""COMPUTED_VALUE"""),"Article")</f>
        <v>Article</v>
      </c>
      <c r="H53" s="9" t="str">
        <f>IFERROR(__xludf.DUMMYFUNCTION("""COMPUTED_VALUE"""),"B. L. Shook, M. Schlag-Rey, J. Schlag")</f>
        <v>B. L. Shook, M. Schlag-Rey, J. Schlag</v>
      </c>
      <c r="I53" s="9" t="str">
        <f>IFERROR(__xludf.DUMMYFUNCTION("""COMPUTED_VALUE"""),"Primate supplementary eye field: I. Comparative aspects of mesencephalic and pontine connections")</f>
        <v>Primate supplementary eye field: I. Comparative aspects of mesencephalic and pontine connections</v>
      </c>
      <c r="J53" s="9" t="str">
        <f>IFERROR(__xludf.DUMMYFUNCTION("""COMPUTED_VALUE"""),"The Journal of Comparative Neurology")</f>
        <v>The Journal of Comparative Neurology</v>
      </c>
      <c r="K53" s="42"/>
      <c r="L53" s="42" t="str">
        <f>IFERROR(__xludf.DUMMYFUNCTION("""COMPUTED_VALUE"""),"Yoshinasa Tawatsji")</f>
        <v>Yoshinasa Tawatsji</v>
      </c>
      <c r="M53" s="42" t="str">
        <f>IFERROR(__xludf.DUMMYFUNCTION("""COMPUTED_VALUE"""),"Oculomotor")</f>
        <v>Oculomotor</v>
      </c>
      <c r="N53" s="42"/>
      <c r="O53" s="42"/>
      <c r="P53" s="9"/>
      <c r="Q53" s="9"/>
      <c r="R53" s="42"/>
      <c r="S53" s="42"/>
      <c r="T53" s="42"/>
      <c r="U53" s="42"/>
      <c r="V53" s="42"/>
      <c r="W53" s="42"/>
    </row>
    <row r="54">
      <c r="A54" s="9" t="str">
        <f>IFERROR(__xludf.DUMMYFUNCTION("""COMPUTED_VALUE"""),"Shin, 2011")</f>
        <v>Shin, 2011</v>
      </c>
      <c r="B54" s="31" t="str">
        <f>IFERROR(__xludf.DUMMYFUNCTION("""COMPUTED_VALUE"""),"DOC")</f>
        <v>DOC</v>
      </c>
      <c r="C54" s="31" t="str">
        <f>IFERROR(__xludf.DUMMYFUNCTION("""COMPUTED_VALUE"""),"BIB")</f>
        <v>BIB</v>
      </c>
      <c r="D54" s="42" t="str">
        <f>IFERROR(__xludf.DUMMYFUNCTION("""COMPUTED_VALUE"""),"10.1523/JNEUROSCI.0768-11.2011")</f>
        <v>10.1523/JNEUROSCI.0768-11.2011</v>
      </c>
      <c r="E54" s="103" t="str">
        <f>IFERROR(__xludf.DUMMYFUNCTION("""COMPUTED_VALUE"""),"@article{Shin_2011,
	doi = {10.1523/jneurosci.0768-11.2011},
	url = {https://doi.org/10.1523%2Fjneurosci.0768-11.2011},
	year = 2011,
	month = {jul},
	publisher = {Society for Neuroscience},
	volume = {31},
	number = {30},
	pages = {10776--10786},
	author"&amp;" = {M. Shin and S. H. Moghadam and C. Sekirnjak and M. W. Bagnall and K. E. Kolkman and R. Jacobs and M. Faulstich and S. du Lac},
	title = {Multiple Types of Cerebellar Target Neurons and Their Circuitry in the Vestibulo-ocular Reflex},
	journal = {Journ"&amp;"al of Neuroscience}
}")</f>
        <v>@article{Shin_2011,
	doi = {10.1523/jneurosci.0768-11.2011},
	url = {https://doi.org/10.1523%2Fjneurosci.0768-11.2011},
	year = 2011,
	month = {jul},
	publisher = {Society for Neuroscience},
	volume = {31},
	number = {30},
	pages = {10776--10786},
	author = {M. Shin and S. H. Moghadam and C. Sekirnjak and M. W. Bagnall and K. E. Kolkman and R. Jacobs and M. Faulstich and S. du Lac},
	title = {Multiple Types of Cerebellar Target Neurons and Their Circuitry in the Vestibulo-ocular Reflex},
	journal = {Journal of Neuroscience}
}</v>
      </c>
      <c r="F54" s="42"/>
      <c r="G54" s="9" t="str">
        <f>IFERROR(__xludf.DUMMYFUNCTION("""COMPUTED_VALUE"""),"Article")</f>
        <v>Article</v>
      </c>
      <c r="H54" s="9" t="str">
        <f>IFERROR(__xludf.DUMMYFUNCTION("""COMPUTED_VALUE"""),"M. Shin, S. H. Moghadam, C. Sekirnjak, M. W. Bagnall, K. E. Kolkman, R. Jacobs, M. Faulstich, S. du Lac")</f>
        <v>M. Shin, S. H. Moghadam, C. Sekirnjak, M. W. Bagnall, K. E. Kolkman, R. Jacobs, M. Faulstich, S. du Lac</v>
      </c>
      <c r="I54" s="9" t="str">
        <f>IFERROR(__xludf.DUMMYFUNCTION("""COMPUTED_VALUE"""),"Multiple Types of Cerebellar Target Neurons and Their Circuitry in the Vestibulo-ocular Reflex")</f>
        <v>Multiple Types of Cerebellar Target Neurons and Their Circuitry in the Vestibulo-ocular Reflex</v>
      </c>
      <c r="J54" s="9" t="str">
        <f>IFERROR(__xludf.DUMMYFUNCTION("""COMPUTED_VALUE"""),"Journal of Neuroscience")</f>
        <v>Journal of Neuroscience</v>
      </c>
      <c r="K54" s="42"/>
      <c r="L54" s="42" t="str">
        <f>IFERROR(__xludf.DUMMYFUNCTION("""COMPUTED_VALUE"""),"Hiroshi Yamakawa")</f>
        <v>Hiroshi Yamakawa</v>
      </c>
      <c r="M54" s="42" t="str">
        <f>IFERROR(__xludf.DUMMYFUNCTION("""COMPUTED_VALUE"""),"HY20Cerebellum")</f>
        <v>HY20Cerebellum</v>
      </c>
      <c r="N54" s="42"/>
      <c r="O54" s="42"/>
      <c r="P54" s="9"/>
      <c r="Q54" s="9"/>
      <c r="R54" s="42"/>
      <c r="S54" s="42"/>
      <c r="T54" s="42"/>
      <c r="U54" s="42"/>
      <c r="V54" s="42"/>
      <c r="W54" s="42"/>
    </row>
    <row r="55">
      <c r="A55" s="9" t="str">
        <f>IFERROR(__xludf.DUMMYFUNCTION("""COMPUTED_VALUE"""),"Shepherd, 2017")</f>
        <v>Shepherd, 2017</v>
      </c>
      <c r="B55" s="31" t="str">
        <f>IFERROR(__xludf.DUMMYFUNCTION("""COMPUTED_VALUE"""),"DOC")</f>
        <v>DOC</v>
      </c>
      <c r="C55" s="31" t="str">
        <f>IFERROR(__xludf.DUMMYFUNCTION("""COMPUTED_VALUE"""),"BIB")</f>
        <v>BIB</v>
      </c>
      <c r="D55" s="42" t="str">
        <f>IFERROR(__xludf.DUMMYFUNCTION("""COMPUTED_VALUE"""),"10.1093/med/9780190636111.001.0001")</f>
        <v>10.1093/med/9780190636111.001.0001</v>
      </c>
      <c r="E55" s="103" t="str">
        <f>IFERROR(__xludf.DUMMYFUNCTION("""COMPUTED_VALUE"""),"@book{Shepherd2017,
  doi = {10.1093/med/9780190636111.001.0001},
  url = {https://doi.org/10.1093/med/9780190636111.001.0001},
  year = {2017},
  month = dec,
  publisher = {Oxford University Press},
  editor = {Gordon M Shepherd and Sten Grillner},
  ti"&amp;"tle = {Handbook of Brain Microcircuits}
}")</f>
        <v>@book{Shepherd2017,
  doi = {10.1093/med/9780190636111.001.0001},
  url = {https://doi.org/10.1093/med/9780190636111.001.0001},
  year = {2017},
  month = dec,
  publisher = {Oxford University Press},
  editor = {Gordon M Shepherd and Sten Grillner},
  title = {Handbook of Brain Microcircuits}
}</v>
      </c>
      <c r="F55" s="42" t="str">
        <f>IFERROR(__xludf.DUMMYFUNCTION("""COMPUTED_VALUE"""),"Textbook")</f>
        <v>Textbook</v>
      </c>
      <c r="G55" s="9" t="str">
        <f>IFERROR(__xludf.DUMMYFUNCTION("""COMPUTED_VALUE"""),"Book")</f>
        <v>Book</v>
      </c>
      <c r="H55" s="9" t="str">
        <f>IFERROR(__xludf.DUMMYFUNCTION("""COMPUTED_VALUE"""),"Gordon M Shepherd, Sten Grillner")</f>
        <v>Gordon M Shepherd, Sten Grillner</v>
      </c>
      <c r="I55" s="9" t="str">
        <f>IFERROR(__xludf.DUMMYFUNCTION("""COMPUTED_VALUE"""),"Handbook of Brain Microcircuits")</f>
        <v>Handbook of Brain Microcircuits</v>
      </c>
      <c r="J55" s="9" t="str">
        <f>IFERROR(__xludf.DUMMYFUNCTION("""COMPUTED_VALUE"""),"-")</f>
        <v>-</v>
      </c>
      <c r="K55" s="42"/>
      <c r="L55" s="42"/>
      <c r="M55" s="42"/>
      <c r="N55" s="42"/>
      <c r="O55" s="42"/>
      <c r="P55" s="9"/>
      <c r="Q55" s="9"/>
      <c r="R55" s="42"/>
      <c r="S55" s="42"/>
      <c r="T55" s="42"/>
      <c r="U55" s="42"/>
      <c r="V55" s="42"/>
      <c r="W55" s="42"/>
    </row>
    <row r="56">
      <c r="A56" s="9" t="str">
        <f>IFERROR(__xludf.DUMMYFUNCTION("""COMPUTED_VALUE"""),"Shepherd, 2013")</f>
        <v>Shepherd, 2013</v>
      </c>
      <c r="B56" s="31" t="str">
        <f>IFERROR(__xludf.DUMMYFUNCTION("""COMPUTED_VALUE"""),"DOC")</f>
        <v>DOC</v>
      </c>
      <c r="C56" s="31" t="str">
        <f>IFERROR(__xludf.DUMMYFUNCTION("""COMPUTED_VALUE"""),"BIB")</f>
        <v>BIB</v>
      </c>
      <c r="D56" s="42" t="str">
        <f>IFERROR(__xludf.DUMMYFUNCTION("""COMPUTED_VALUE"""),"10.1038/nrn3469")</f>
        <v>10.1038/nrn3469</v>
      </c>
      <c r="E56" s="103" t="str">
        <f>IFERROR(__xludf.DUMMYFUNCTION("""COMPUTED_VALUE"""),"@article{Shepherd_2013,
	doi = {10.1038/nrn3469},
	url = {https://doi.org/10.1038%2Fnrn3469},
	year = 2013,
	month = {mar},
	publisher = {Springer Science and Business Media {LLC}},
	volume = {14},
	number = {4},
	pages = {278--291},
	author = {Gordon M. "&amp;"G. Shepherd},
	title = {Corticostriatal connectivity and its role in disease},
	journal = {Nature Reviews Neuroscience}
}")</f>
        <v>@article{Shepherd_2013,
	doi = {10.1038/nrn3469},
	url = {https://doi.org/10.1038%2Fnrn3469},
	year = 2013,
	month = {mar},
	publisher = {Springer Science and Business Media {LLC}},
	volume = {14},
	number = {4},
	pages = {278--291},
	author = {Gordon M. G. Shepherd},
	title = {Corticostriatal connectivity and its role in disease},
	journal = {Nature Reviews Neuroscience}
}</v>
      </c>
      <c r="F56" s="42"/>
      <c r="G56" s="9" t="str">
        <f>IFERROR(__xludf.DUMMYFUNCTION("""COMPUTED_VALUE"""),"Article")</f>
        <v>Article</v>
      </c>
      <c r="H56" s="9" t="str">
        <f>IFERROR(__xludf.DUMMYFUNCTION("""COMPUTED_VALUE"""),"Gordon M. G. Shepherd")</f>
        <v>Gordon M. G. Shepherd</v>
      </c>
      <c r="I56" s="9" t="str">
        <f>IFERROR(__xludf.DUMMYFUNCTION("""COMPUTED_VALUE"""),"Corticostriatal connectivity and its role in disease")</f>
        <v>Corticostriatal connectivity and its role in disease</v>
      </c>
      <c r="J56" s="9" t="str">
        <f>IFERROR(__xludf.DUMMYFUNCTION("""COMPUTED_VALUE"""),"Nature Reviews Neuroscience")</f>
        <v>Nature Reviews Neuroscience</v>
      </c>
      <c r="K56" s="42"/>
      <c r="L56" s="42" t="str">
        <f>IFERROR(__xludf.DUMMYFUNCTION("""COMPUTED_VALUE"""),"Yuske Shibata")</f>
        <v>Yuske Shibata</v>
      </c>
      <c r="M56" s="42" t="str">
        <f>IFERROR(__xludf.DUMMYFUNCTION("""COMPUTED_VALUE"""),"YS21BgLoop")</f>
        <v>YS21BgLoop</v>
      </c>
      <c r="N56" s="42"/>
      <c r="O56" s="42"/>
      <c r="P56" s="9"/>
      <c r="Q56" s="9"/>
      <c r="R56" s="42"/>
      <c r="S56" s="42"/>
      <c r="T56" s="42"/>
      <c r="U56" s="42"/>
      <c r="V56" s="42"/>
      <c r="W56" s="42"/>
    </row>
    <row r="57">
      <c r="A57" s="9" t="str">
        <f>IFERROR(__xludf.DUMMYFUNCTION("""COMPUTED_VALUE"""),"Shepherd, 2013")</f>
        <v>Shepherd, 2013</v>
      </c>
      <c r="B57" s="31" t="str">
        <f>IFERROR(__xludf.DUMMYFUNCTION("""COMPUTED_VALUE"""),"DOC")</f>
        <v>DOC</v>
      </c>
      <c r="C57" s="31" t="str">
        <f>IFERROR(__xludf.DUMMYFUNCTION("""COMPUTED_VALUE"""),"BIB")</f>
        <v>BIB</v>
      </c>
      <c r="D57" s="42" t="str">
        <f>IFERROR(__xludf.DUMMYFUNCTION("""COMPUTED_VALUE"""),"10.1038/nrn3469")</f>
        <v>10.1038/nrn3469</v>
      </c>
      <c r="E57" s="103" t="str">
        <f>IFERROR(__xludf.DUMMYFUNCTION("""COMPUTED_VALUE"""),"@article{Shepherd_2013,
	doi = {10.1038/nrn3469},
	url = {https://doi.org/10.1038%2Fnrn3469},
	year = 2013,
	month = {mar},
	publisher = {Springer Science and Business Media {LLC}},
	volume = {14},
	number = {4},
	pages = {278--291},
	author = {Gordon M. "&amp;"G. Shepherd},
	title = {Corticostriatal connectivity and its role in disease},
	journal = {Nature Reviews Neuroscience}
}")</f>
        <v>@article{Shepherd_2013,
	doi = {10.1038/nrn3469},
	url = {https://doi.org/10.1038%2Fnrn3469},
	year = 2013,
	month = {mar},
	publisher = {Springer Science and Business Media {LLC}},
	volume = {14},
	number = {4},
	pages = {278--291},
	author = {Gordon M. G. Shepherd},
	title = {Corticostriatal connectivity and its role in disease},
	journal = {Nature Reviews Neuroscience}
}</v>
      </c>
      <c r="F57" s="42"/>
      <c r="G57" s="9" t="str">
        <f>IFERROR(__xludf.DUMMYFUNCTION("""COMPUTED_VALUE"""),"Article")</f>
        <v>Article</v>
      </c>
      <c r="H57" s="9" t="str">
        <f>IFERROR(__xludf.DUMMYFUNCTION("""COMPUTED_VALUE"""),"Gordon M. G. Shepherd")</f>
        <v>Gordon M. G. Shepherd</v>
      </c>
      <c r="I57" s="9" t="str">
        <f>IFERROR(__xludf.DUMMYFUNCTION("""COMPUTED_VALUE"""),"Corticostriatal connectivity and its role in disease")</f>
        <v>Corticostriatal connectivity and its role in disease</v>
      </c>
      <c r="J57" s="9" t="str">
        <f>IFERROR(__xludf.DUMMYFUNCTION("""COMPUTED_VALUE"""),"Nature Reviews Neuroscience")</f>
        <v>Nature Reviews Neuroscience</v>
      </c>
      <c r="K57" s="42"/>
      <c r="L57" s="42"/>
      <c r="M57" s="42"/>
      <c r="N57" s="42"/>
      <c r="O57" s="42"/>
      <c r="P57" s="9"/>
      <c r="Q57" s="9"/>
      <c r="R57" s="42"/>
      <c r="S57" s="42"/>
      <c r="T57" s="42"/>
      <c r="U57" s="42"/>
      <c r="V57" s="42"/>
      <c r="W57" s="42"/>
    </row>
    <row r="58">
      <c r="A58" s="9" t="str">
        <f>IFERROR(__xludf.DUMMYFUNCTION("""COMPUTED_VALUE"""),"Scott, 2017")</f>
        <v>Scott, 2017</v>
      </c>
      <c r="B58" s="31" t="str">
        <f>IFERROR(__xludf.DUMMYFUNCTION("""COMPUTED_VALUE"""),"DOC")</f>
        <v>DOC</v>
      </c>
      <c r="C58" s="31" t="str">
        <f>IFERROR(__xludf.DUMMYFUNCTION("""COMPUTED_VALUE"""),"BIB")</f>
        <v>BIB</v>
      </c>
      <c r="D58" s="42" t="str">
        <f>IFERROR(__xludf.DUMMYFUNCTION("""COMPUTED_VALUE"""),"10.1002/cne.24283")</f>
        <v>10.1002/cne.24283</v>
      </c>
      <c r="E58" s="103" t="str">
        <f>IFERROR(__xludf.DUMMYFUNCTION("""COMPUTED_VALUE"""),"@article{Scott_2017,
	doi = {10.1002/cne.24283},
	url = {https://doi.org/10.1002%2Fcne.24283},
	year = 2017,
	month = {jul},
	publisher = {Wiley},
	volume = {525},
	number = {16},
	pages = {3488--3513},
	author = {Brian H. Scott and Kadharbatcha S. Saleem"&amp;" and Yukiko Kikuchi and Makoto Fukushima and Mortimer Mishkin and Richard C. Saunders},
	title = {Thalamic connections of the core auditory cortex and rostral supratemporal plane in the macaque monkey},
	journal = {Journal of Comparative Neurology}
}")</f>
        <v>@article{Scott_2017,
	doi = {10.1002/cne.24283},
	url = {https://doi.org/10.1002%2Fcne.24283},
	year = 2017,
	month = {jul},
	publisher = {Wiley},
	volume = {525},
	number = {16},
	pages = {3488--3513},
	author = {Brian H. Scott and Kadharbatcha S. Saleem and Yukiko Kikuchi and Makoto Fukushima and Mortimer Mishkin and Richard C. Saunders},
	title = {Thalamic connections of the core auditory cortex and rostral supratemporal plane in the macaque monkey},
	journal = {Journal of Comparative Neurology}
}</v>
      </c>
      <c r="F58" s="42" t="str">
        <f>IFERROR(__xludf.DUMMYFUNCTION("""COMPUTED_VALUE"""),"Experimental results")</f>
        <v>Experimental results</v>
      </c>
      <c r="G58" s="9" t="str">
        <f>IFERROR(__xludf.DUMMYFUNCTION("""COMPUTED_VALUE"""),"Article")</f>
        <v>Article</v>
      </c>
      <c r="H58" s="9" t="str">
        <f>IFERROR(__xludf.DUMMYFUNCTION("""COMPUTED_VALUE"""),"Brian H. Scott, Kadharbatcha S. Saleem, Yukiko Kikuchi, Makoto Fukushima, Mortimer Mishkin, Richard C. Saunders")</f>
        <v>Brian H. Scott, Kadharbatcha S. Saleem, Yukiko Kikuchi, Makoto Fukushima, Mortimer Mishkin, Richard C. Saunders</v>
      </c>
      <c r="I58" s="9" t="str">
        <f>IFERROR(__xludf.DUMMYFUNCTION("""COMPUTED_VALUE"""),"Thalamic connections of the core auditory cortex and rostral supratemporal plane in the macaque monkey")</f>
        <v>Thalamic connections of the core auditory cortex and rostral supratemporal plane in the macaque monkey</v>
      </c>
      <c r="J58" s="9" t="str">
        <f>IFERROR(__xludf.DUMMYFUNCTION("""COMPUTED_VALUE"""),"Journal of Comparative Neurology")</f>
        <v>Journal of Comparative Neurology</v>
      </c>
      <c r="K58" s="42"/>
      <c r="L58" s="42" t="str">
        <f>IFERROR(__xludf.DUMMYFUNCTION("""COMPUTED_VALUE"""),"Hiroshi Yamakawa")</f>
        <v>Hiroshi Yamakawa</v>
      </c>
      <c r="M58" s="42" t="str">
        <f>IFERROR(__xludf.DUMMYFUNCTION("""COMPUTED_VALUE"""),"HY22DAA")</f>
        <v>HY22DAA</v>
      </c>
      <c r="N58" s="42"/>
      <c r="O58" s="42"/>
      <c r="P58" s="9"/>
      <c r="Q58" s="9"/>
      <c r="R58" s="42"/>
      <c r="S58" s="42"/>
      <c r="T58" s="42"/>
      <c r="U58" s="42"/>
      <c r="V58" s="42"/>
      <c r="W58" s="42"/>
    </row>
    <row r="59">
      <c r="A59" s="9" t="str">
        <f>IFERROR(__xludf.DUMMYFUNCTION("""COMPUTED_VALUE"""),"Schnyder, 1985")</f>
        <v>Schnyder, 1985</v>
      </c>
      <c r="B59" s="31" t="str">
        <f>IFERROR(__xludf.DUMMYFUNCTION("""COMPUTED_VALUE"""),"DOC")</f>
        <v>DOC</v>
      </c>
      <c r="C59" s="31" t="str">
        <f>IFERROR(__xludf.DUMMYFUNCTION("""COMPUTED_VALUE"""),"BIB")</f>
        <v>BIB</v>
      </c>
      <c r="D59" s="42" t="str">
        <f>IFERROR(__xludf.DUMMYFUNCTION("""COMPUTED_VALUE"""),"10.1016/0006-8993(85)90520-7")</f>
        <v>10.1016/0006-8993(85)90520-7</v>
      </c>
      <c r="E59" s="103" t="str">
        <f>IFERROR(__xludf.DUMMYFUNCTION("""COMPUTED_VALUE"""),"@article{Schnyder_1985,
	doi = {10.1016/0006-8993(85)90520-7},
	url = {https://doi.org/10.1016%2F0006-8993%2885%2990520-7},
	year = 1985,
	month = {mar},
	publisher = {Elsevier {BV}},
	volume = {329},
	number = {1-2},
	pages = {151--160},
	author = {H. Sc"&amp;"hnyder and H. Reisine and K. Hepp and V. Henn},
	title = {Frontal eye field projection to the paramedian pontine reticular formation traced with wheat germ agglutinin in the monkey},
	journal = {Brain Research}
}")</f>
        <v>@article{Schnyder_1985,
	doi = {10.1016/0006-8993(85)90520-7},
	url = {https://doi.org/10.1016%2F0006-8993%2885%2990520-7},
	year = 1985,
	month = {mar},
	publisher = {Elsevier {BV}},
	volume = {329},
	number = {1-2},
	pages = {151--160},
	author = {H. Schnyder and H. Reisine and K. Hepp and V. Henn},
	title = {Frontal eye field projection to the paramedian pontine reticular formation traced with wheat germ agglutinin in the monkey},
	journal = {Brain Research}
}</v>
      </c>
      <c r="F59" s="42"/>
      <c r="G59" s="9" t="str">
        <f>IFERROR(__xludf.DUMMYFUNCTION("""COMPUTED_VALUE"""),"Article")</f>
        <v>Article</v>
      </c>
      <c r="H59" s="9" t="str">
        <f>IFERROR(__xludf.DUMMYFUNCTION("""COMPUTED_VALUE"""),"H. Schnyder, H. Reisine, K. Hepp, V. Henn")</f>
        <v>H. Schnyder, H. Reisine, K. Hepp, V. Henn</v>
      </c>
      <c r="I59" s="9" t="str">
        <f>IFERROR(__xludf.DUMMYFUNCTION("""COMPUTED_VALUE"""),"Frontal eye field projection to the paramedian pontine reticular formation traced with wheat germ agglutinin in the monkey")</f>
        <v>Frontal eye field projection to the paramedian pontine reticular formation traced with wheat germ agglutinin in the monkey</v>
      </c>
      <c r="J59" s="9" t="str">
        <f>IFERROR(__xludf.DUMMYFUNCTION("""COMPUTED_VALUE"""),"Brain Research")</f>
        <v>Brain Research</v>
      </c>
      <c r="K59" s="42"/>
      <c r="L59" s="42" t="str">
        <f>IFERROR(__xludf.DUMMYFUNCTION("""COMPUTED_VALUE"""),"Yoshinasa Tawatsji")</f>
        <v>Yoshinasa Tawatsji</v>
      </c>
      <c r="M59" s="42" t="str">
        <f>IFERROR(__xludf.DUMMYFUNCTION("""COMPUTED_VALUE"""),"Oculomotor")</f>
        <v>Oculomotor</v>
      </c>
      <c r="N59" s="42"/>
      <c r="O59" s="42"/>
      <c r="P59" s="9"/>
      <c r="Q59" s="9"/>
      <c r="R59" s="42"/>
      <c r="S59" s="42"/>
      <c r="T59" s="42"/>
      <c r="U59" s="42"/>
      <c r="V59" s="42"/>
      <c r="W59" s="42"/>
    </row>
    <row r="60">
      <c r="A60" s="9" t="str">
        <f>IFERROR(__xludf.DUMMYFUNCTION("""COMPUTED_VALUE"""),"Saga, 2017")</f>
        <v>Saga, 2017</v>
      </c>
      <c r="B60" s="31" t="str">
        <f>IFERROR(__xludf.DUMMYFUNCTION("""COMPUTED_VALUE"""),"DOC")</f>
        <v>DOC</v>
      </c>
      <c r="C60" s="31" t="str">
        <f>IFERROR(__xludf.DUMMYFUNCTION("""COMPUTED_VALUE"""),"BIB")</f>
        <v>BIB</v>
      </c>
      <c r="D60" s="42" t="str">
        <f>IFERROR(__xludf.DUMMYFUNCTION("""COMPUTED_VALUE"""),"10.3389/fnana.2017.00030")</f>
        <v>10.3389/fnana.2017.00030</v>
      </c>
      <c r="E60" s="103" t="str">
        <f>IFERROR(__xludf.DUMMYFUNCTION("""COMPUTED_VALUE"""),"@article{Saga_2017,
	doi = {10.3389/fnana.2017.00030},
	url = {https://doi.org/10.3389%2Ffnana.2017.00030},
	year = 2017,
	month = {apr},
	publisher = {Frontiers Media {SA}},
	volume = {11},
	author = {Yosuke Saga and Eiji Hoshi and L{\'{e}}on Tremblay},
"&amp;"	title = {Roles of Multiple Globus Pallidus Territories of Monkeys and Humans in Motivation, Cognition and Action: An Anatomical, Physiological and Pathophysiological Review},
	journal = {Frontiers in Neuroanatomy}
}")</f>
        <v>@article{Saga_2017,
	doi = {10.3389/fnana.2017.00030},
	url = {https://doi.org/10.3389%2Ffnana.2017.00030},
	year = 2017,
	month = {apr},
	publisher = {Frontiers Media {SA}},
	volume = {11},
	author = {Yosuke Saga and Eiji Hoshi and L{\'{e}}on Tremblay},
	title = {Roles of Multiple Globus Pallidus Territories of Monkeys and Humans in Motivation, Cognition and Action: An Anatomical, Physiological and Pathophysiological Review},
	journal = {Frontiers in Neuroanatomy}
}</v>
      </c>
      <c r="F60" s="42"/>
      <c r="G60" s="9" t="str">
        <f>IFERROR(__xludf.DUMMYFUNCTION("""COMPUTED_VALUE"""),"Article")</f>
        <v>Article</v>
      </c>
      <c r="H60" s="9" t="str">
        <f>IFERROR(__xludf.DUMMYFUNCTION("""COMPUTED_VALUE"""),"Yosuke Saga, Eiji Hoshi, L{\'{e}}on Tremblay")</f>
        <v>Yosuke Saga, Eiji Hoshi, L{\'{e}}on Tremblay</v>
      </c>
      <c r="I60" s="9" t="str">
        <f>IFERROR(__xludf.DUMMYFUNCTION("""COMPUTED_VALUE"""),"Roles of Multiple Globus Pallidus Territories of Monkeys and Humans in Motivation, Cognition and Action: An Anatomical, Physiological and Pathophysiological Review")</f>
        <v>Roles of Multiple Globus Pallidus Territories of Monkeys and Humans in Motivation, Cognition and Action: An Anatomical, Physiological and Pathophysiological Review</v>
      </c>
      <c r="J60" s="9" t="str">
        <f>IFERROR(__xludf.DUMMYFUNCTION("""COMPUTED_VALUE"""),"Frontiers in Neuroanatomy")</f>
        <v>Frontiers in Neuroanatomy</v>
      </c>
      <c r="K60" s="42"/>
      <c r="L60" s="42" t="str">
        <f>IFERROR(__xludf.DUMMYFUNCTION("""COMPUTED_VALUE"""),"Yuske Shibata")</f>
        <v>Yuske Shibata</v>
      </c>
      <c r="M60" s="42" t="str">
        <f>IFERROR(__xludf.DUMMYFUNCTION("""COMPUTED_VALUE"""),"YS21BgLoop")</f>
        <v>YS21BgLoop</v>
      </c>
      <c r="N60" s="42"/>
      <c r="O60" s="42"/>
      <c r="P60" s="9"/>
      <c r="Q60" s="9"/>
      <c r="R60" s="42"/>
      <c r="S60" s="42"/>
      <c r="T60" s="42"/>
      <c r="U60" s="42"/>
      <c r="V60" s="42"/>
      <c r="W60" s="42"/>
    </row>
    <row r="61">
      <c r="A61" s="9" t="str">
        <f>IFERROR(__xludf.DUMMYFUNCTION("""COMPUTED_VALUE"""),"Saga, 2017")</f>
        <v>Saga, 2017</v>
      </c>
      <c r="B61" s="31" t="str">
        <f>IFERROR(__xludf.DUMMYFUNCTION("""COMPUTED_VALUE"""),"DOC")</f>
        <v>DOC</v>
      </c>
      <c r="C61" s="31" t="str">
        <f>IFERROR(__xludf.DUMMYFUNCTION("""COMPUTED_VALUE"""),"BIB")</f>
        <v>BIB</v>
      </c>
      <c r="D61" s="42" t="str">
        <f>IFERROR(__xludf.DUMMYFUNCTION("""COMPUTED_VALUE"""),"10.3389/fnana.2017.00030")</f>
        <v>10.3389/fnana.2017.00030</v>
      </c>
      <c r="E61" s="103" t="str">
        <f>IFERROR(__xludf.DUMMYFUNCTION("""COMPUTED_VALUE"""),"@article{Saga_2017,
	doi = {10.3389/fnana.2017.00030},
	url = {https://doi.org/10.3389%2Ffnana.2017.00030},
	year = 2017,
	month = {apr},
	publisher = {Frontiers Media {SA}},
	volume = {11},
	author = {Yosuke Saga and Eiji Hoshi and L{\'{e}}on Tremblay},
"&amp;"	title = {Roles of Multiple Globus Pallidus Territories of Monkeys and Humans in Motivation, Cognition and Action: An Anatomical, Physiological and Pathophysiological Review},
	journal = {Frontiers in Neuroanatomy}
}")</f>
        <v>@article{Saga_2017,
	doi = {10.3389/fnana.2017.00030},
	url = {https://doi.org/10.3389%2Ffnana.2017.00030},
	year = 2017,
	month = {apr},
	publisher = {Frontiers Media {SA}},
	volume = {11},
	author = {Yosuke Saga and Eiji Hoshi and L{\'{e}}on Tremblay},
	title = {Roles of Multiple Globus Pallidus Territories of Monkeys and Humans in Motivation, Cognition and Action: An Anatomical, Physiological and Pathophysiological Review},
	journal = {Frontiers in Neuroanatomy}
}</v>
      </c>
      <c r="F61" s="42"/>
      <c r="G61" s="9" t="str">
        <f>IFERROR(__xludf.DUMMYFUNCTION("""COMPUTED_VALUE"""),"Article")</f>
        <v>Article</v>
      </c>
      <c r="H61" s="9" t="str">
        <f>IFERROR(__xludf.DUMMYFUNCTION("""COMPUTED_VALUE"""),"Yosuke Saga, Eiji Hoshi, L{\'{e}}on Tremblay")</f>
        <v>Yosuke Saga, Eiji Hoshi, L{\'{e}}on Tremblay</v>
      </c>
      <c r="I61" s="9" t="str">
        <f>IFERROR(__xludf.DUMMYFUNCTION("""COMPUTED_VALUE"""),"Roles of Multiple Globus Pallidus Territories of Monkeys and Humans in Motivation, Cognition and Action: An Anatomical, Physiological and Pathophysiological Review")</f>
        <v>Roles of Multiple Globus Pallidus Territories of Monkeys and Humans in Motivation, Cognition and Action: An Anatomical, Physiological and Pathophysiological Review</v>
      </c>
      <c r="J61" s="9" t="str">
        <f>IFERROR(__xludf.DUMMYFUNCTION("""COMPUTED_VALUE"""),"Frontiers in Neuroanatomy")</f>
        <v>Frontiers in Neuroanatomy</v>
      </c>
      <c r="K61" s="42"/>
      <c r="L61" s="42"/>
      <c r="M61" s="42"/>
      <c r="N61" s="42"/>
      <c r="O61" s="42"/>
      <c r="P61" s="9"/>
      <c r="Q61" s="9"/>
      <c r="R61" s="42"/>
      <c r="S61" s="42"/>
      <c r="T61" s="42"/>
      <c r="U61" s="42"/>
      <c r="V61" s="42"/>
      <c r="W61" s="42"/>
    </row>
    <row r="62">
      <c r="A62" s="9" t="str">
        <f>IFERROR(__xludf.DUMMYFUNCTION("""COMPUTED_VALUE"""),"Rowland, 2013")</f>
        <v>Rowland, 2013</v>
      </c>
      <c r="B62" s="31" t="str">
        <f>IFERROR(__xludf.DUMMYFUNCTION("""COMPUTED_VALUE"""),"DOC")</f>
        <v>DOC</v>
      </c>
      <c r="C62" s="31" t="str">
        <f>IFERROR(__xludf.DUMMYFUNCTION("""COMPUTED_VALUE"""),"BIB")</f>
        <v>BIB</v>
      </c>
      <c r="D62" s="42" t="str">
        <f>IFERROR(__xludf.DUMMYFUNCTION("""COMPUTED_VALUE"""),"10.1523/JNEUROSCI.1046-13.2013")</f>
        <v>10.1523/JNEUROSCI.1046-13.2013</v>
      </c>
      <c r="E62" s="103" t="str">
        <f>IFERROR(__xludf.DUMMYFUNCTION("""COMPUTED_VALUE"""),"@article{Rowland_2013,
	doi = {10.1523/jneurosci.1046-13.2013},
	url = {https://doi.org/10.1523%2Fjneurosci.1046-13.2013},
	year = 2013,
	month = {sep},
	publisher = {Society for Neuroscience},
	volume = {33},
	number = {37},
	pages = {14889--14898},
	aut"&amp;"hor = {D. C. Rowland and A. P. Weible and I. R. Wickersham and H. Wu and M. Mayford and M. P. Witter and C. G. Kentros},
	title = {Transgenically Targeted Rabies Virus Demonstrates a Major Monosynaptic Projection from Hippocampal Area {CA}2 to Medial Ento"&amp;"rhinal Layer {II} Neurons},
	journal = {Journal of Neuroscience}
}")</f>
        <v>@article{Rowland_2013,
	doi = {10.1523/jneurosci.1046-13.2013},
	url = {https://doi.org/10.1523%2Fjneurosci.1046-13.2013},
	year = 2013,
	month = {sep},
	publisher = {Society for Neuroscience},
	volume = {33},
	number = {37},
	pages = {14889--14898},
	author = {D. C. Rowland and A. P. Weible and I. R. Wickersham and H. Wu and M. Mayford and M. P. Witter and C. G. Kentros},
	title = {Transgenically Targeted Rabies Virus Demonstrates a Major Monosynaptic Projection from Hippocampal Area {CA}2 to Medial Entorhinal Layer {II} Neurons},
	journal = {Journal of Neuroscience}
}</v>
      </c>
      <c r="F62" s="42" t="str">
        <f>IFERROR(__xludf.DUMMYFUNCTION("""COMPUTED_VALUE"""),"Experimental results")</f>
        <v>Experimental results</v>
      </c>
      <c r="G62" s="9" t="str">
        <f>IFERROR(__xludf.DUMMYFUNCTION("""COMPUTED_VALUE"""),"Article")</f>
        <v>Article</v>
      </c>
      <c r="H62" s="9" t="str">
        <f>IFERROR(__xludf.DUMMYFUNCTION("""COMPUTED_VALUE"""),"D. C. Rowland, A. P. Weible, I. R. Wickersham, H. Wu, M. Mayford, M. P. Witter, C. G. Kentros")</f>
        <v>D. C. Rowland, A. P. Weible, I. R. Wickersham, H. Wu, M. Mayford, M. P. Witter, C. G. Kentros</v>
      </c>
      <c r="I62" s="9" t="str">
        <f>IFERROR(__xludf.DUMMYFUNCTION("""COMPUTED_VALUE"""),"Transgenically Targeted Rabies Virus Demonstrates a Major Monosynaptic Projection from Hippocampal Area {CA}2 to Medial Entorhinal Layer {II} Neurons")</f>
        <v>Transgenically Targeted Rabies Virus Demonstrates a Major Monosynaptic Projection from Hippocampal Area {CA}2 to Medial Entorhinal Layer {II} Neurons</v>
      </c>
      <c r="J62" s="9" t="str">
        <f>IFERROR(__xludf.DUMMYFUNCTION("""COMPUTED_VALUE"""),"Journal of Neuroscience")</f>
        <v>Journal of Neuroscience</v>
      </c>
      <c r="K62" s="135"/>
      <c r="L62" s="42" t="str">
        <f>IFERROR(__xludf.DUMMYFUNCTION("""COMPUTED_VALUE"""),"Yuske Shibata")</f>
        <v>Yuske Shibata</v>
      </c>
      <c r="M62" s="42" t="str">
        <f>IFERROR(__xludf.DUMMYFUNCTION("""COMPUTED_VALUE"""),"YS21CredibilityCheck")</f>
        <v>YS21CredibilityCheck</v>
      </c>
      <c r="N62" s="42"/>
      <c r="O62" s="42"/>
      <c r="P62" s="9"/>
      <c r="Q62" s="9"/>
      <c r="R62" s="42"/>
      <c r="S62" s="42"/>
      <c r="T62" s="42"/>
      <c r="U62" s="42"/>
      <c r="V62" s="42"/>
      <c r="W62" s="42"/>
    </row>
    <row r="63">
      <c r="A63" s="9" t="str">
        <f>IFERROR(__xludf.DUMMYFUNCTION("""COMPUTED_VALUE"""),"Rondi-Reig, 2014")</f>
        <v>Rondi-Reig, 2014</v>
      </c>
      <c r="B63" s="31" t="str">
        <f>IFERROR(__xludf.DUMMYFUNCTION("""COMPUTED_VALUE"""),"DOC")</f>
        <v>DOC</v>
      </c>
      <c r="C63" s="31" t="str">
        <f>IFERROR(__xludf.DUMMYFUNCTION("""COMPUTED_VALUE"""),"BIB")</f>
        <v>BIB</v>
      </c>
      <c r="D63" s="42" t="str">
        <f>IFERROR(__xludf.DUMMYFUNCTION("""COMPUTED_VALUE"""),"10.3389/fnsys.2014.00205")</f>
        <v>10.3389/fnsys.2014.00205</v>
      </c>
      <c r="E63" s="103" t="str">
        <f>IFERROR(__xludf.DUMMYFUNCTION("""COMPUTED_VALUE"""),"@article{Rondi-Reig_2014,
        doi = {10.3389/fnsys.2014.00205},
        url = {https://doi.org/10.3389%2Ffnsys.2014.00205},
        year = 2014,
        month = {nov},
        publisher = {Frontiers Media {SA}},
        volume = {8},
        author = "&amp;"{Laure Rondi-Reig and Anne-Lise Paradis and Julie M. Lefort and Benedicte M. Babayan and Christine Tobin},
        title = {How the cerebellum may monitor sensory information for spatial representation},
        journal = {Frontiers in Systems Neuroscienc"&amp;"e}
}")</f>
        <v>@article{Rondi-Reig_2014,
        doi = {10.3389/fnsys.2014.00205},
        url = {https://doi.org/10.3389%2Ffnsys.2014.00205},
        year = 2014,
        month = {nov},
        publisher = {Frontiers Media {SA}},
        volume = {8},
        author = {Laure Rondi-Reig and Anne-Lise Paradis and Julie M. Lefort and Benedicte M. Babayan and Christine Tobin},
        title = {How the cerebellum may monitor sensory information for spatial representation},
        journal = {Frontiers in Systems Neuroscience}
}</v>
      </c>
      <c r="F63" s="42"/>
      <c r="G63" s="9" t="str">
        <f>IFERROR(__xludf.DUMMYFUNCTION("""COMPUTED_VALUE"""),"Article")</f>
        <v>Article</v>
      </c>
      <c r="H63" s="9" t="str">
        <f>IFERROR(__xludf.DUMMYFUNCTION("""COMPUTED_VALUE"""),"Laure Rondi-Reig, Anne-Lise Paradis, Julie M. Lefort, Benedicte M. Babayan, Christine Tobin")</f>
        <v>Laure Rondi-Reig, Anne-Lise Paradis, Julie M. Lefort, Benedicte M. Babayan, Christine Tobin</v>
      </c>
      <c r="I63" s="9" t="str">
        <f>IFERROR(__xludf.DUMMYFUNCTION("""COMPUTED_VALUE"""),"How the cerebellum may monitor sensory information for spatial representation")</f>
        <v>How the cerebellum may monitor sensory information for spatial representation</v>
      </c>
      <c r="J63" s="9" t="str">
        <f>IFERROR(__xludf.DUMMYFUNCTION("""COMPUTED_VALUE"""),"Frontiers in Systems Neuroscience")</f>
        <v>Frontiers in Systems Neuroscience</v>
      </c>
      <c r="K63" s="42"/>
      <c r="L63" s="42" t="str">
        <f>IFERROR(__xludf.DUMMYFUNCTION("""COMPUTED_VALUE"""),"Hiroshi Yamakawa")</f>
        <v>Hiroshi Yamakawa</v>
      </c>
      <c r="M63" s="42" t="str">
        <f>IFERROR(__xludf.DUMMYFUNCTION("""COMPUTED_VALUE"""),"HY20Cerebellum")</f>
        <v>HY20Cerebellum</v>
      </c>
      <c r="N63" s="42"/>
      <c r="O63" s="42"/>
      <c r="P63" s="9"/>
      <c r="Q63" s="9"/>
      <c r="R63" s="42"/>
      <c r="S63" s="42"/>
      <c r="T63" s="42"/>
      <c r="U63" s="42"/>
      <c r="V63" s="42"/>
      <c r="W63" s="42"/>
    </row>
    <row r="64">
      <c r="A64" s="9" t="str">
        <f>IFERROR(__xludf.DUMMYFUNCTION("""COMPUTED_VALUE"""),"Romanski, 2009")</f>
        <v>Romanski, 2009</v>
      </c>
      <c r="B64" s="31" t="str">
        <f>IFERROR(__xludf.DUMMYFUNCTION("""COMPUTED_VALUE"""),"DOC")</f>
        <v>DOC</v>
      </c>
      <c r="C64" s="31" t="str">
        <f>IFERROR(__xludf.DUMMYFUNCTION("""COMPUTED_VALUE"""),"BIB")</f>
        <v>BIB</v>
      </c>
      <c r="D64" s="42" t="str">
        <f>IFERROR(__xludf.DUMMYFUNCTION("""COMPUTED_VALUE"""),"10.1146/annurev.neuro.051508.135431")</f>
        <v>10.1146/annurev.neuro.051508.135431</v>
      </c>
      <c r="E64" s="103" t="str">
        <f>IFERROR(__xludf.DUMMYFUNCTION("""COMPUTED_VALUE"""),"@article{Romanski_2009,
	doi = {10.1146/annurev.neuro.051508.135431},
	url = {https://doi.org/10.1146%2Fannurev.neuro.051508.135431},
	year = 2009,
	month = {jun},
	publisher = {Annual Reviews},
	volume = {32},
	number = {1},
	pages = {315--346},
	author "&amp;"= {Lizabeth M. Romanski and Bruno B. Averbeck},
	title = {The Primate Cortical Auditory System and Neural Representation of Conspecific Vocalizations},
	journal = {Annual Review of Neuroscience}
}")</f>
        <v>@article{Romanski_2009,
	doi = {10.1146/annurev.neuro.051508.135431},
	url = {https://doi.org/10.1146%2Fannurev.neuro.051508.135431},
	year = 2009,
	month = {jun},
	publisher = {Annual Reviews},
	volume = {32},
	number = {1},
	pages = {315--346},
	author = {Lizabeth M. Romanski and Bruno B. Averbeck},
	title = {The Primate Cortical Auditory System and Neural Representation of Conspecific Vocalizations},
	journal = {Annual Review of Neuroscience}
}</v>
      </c>
      <c r="F64" s="42"/>
      <c r="G64" s="9" t="str">
        <f>IFERROR(__xludf.DUMMYFUNCTION("""COMPUTED_VALUE"""),"Article")</f>
        <v>Article</v>
      </c>
      <c r="H64" s="9" t="str">
        <f>IFERROR(__xludf.DUMMYFUNCTION("""COMPUTED_VALUE"""),"Lizabeth M. Romanski, Bruno B. Averbeck")</f>
        <v>Lizabeth M. Romanski, Bruno B. Averbeck</v>
      </c>
      <c r="I64" s="9" t="str">
        <f>IFERROR(__xludf.DUMMYFUNCTION("""COMPUTED_VALUE"""),"The Primate Cortical Auditory System and Neural Representation of Conspecific Vocalizations")</f>
        <v>The Primate Cortical Auditory System and Neural Representation of Conspecific Vocalizations</v>
      </c>
      <c r="J64" s="9" t="str">
        <f>IFERROR(__xludf.DUMMYFUNCTION("""COMPUTED_VALUE"""),"Annual Review of Neuroscience")</f>
        <v>Annual Review of Neuroscience</v>
      </c>
      <c r="K64" s="42"/>
      <c r="L64" s="42" t="str">
        <f>IFERROR(__xludf.DUMMYFUNCTION("""COMPUTED_VALUE"""),"Hiroshi Yamakawa")</f>
        <v>Hiroshi Yamakawa</v>
      </c>
      <c r="M64" s="42" t="str">
        <f>IFERROR(__xludf.DUMMYFUNCTION("""COMPUTED_VALUE"""),"HY22DAA")</f>
        <v>HY22DAA</v>
      </c>
      <c r="N64" s="42"/>
      <c r="O64" s="42"/>
      <c r="P64" s="9"/>
      <c r="Q64" s="9"/>
      <c r="R64" s="42"/>
      <c r="S64" s="42"/>
      <c r="T64" s="42"/>
      <c r="U64" s="42"/>
      <c r="V64" s="42"/>
      <c r="W64" s="42"/>
    </row>
    <row r="65">
      <c r="A65" s="9" t="str">
        <f>IFERROR(__xludf.DUMMYFUNCTION("""COMPUTED_VALUE"""),"Rolls, 2013")</f>
        <v>Rolls, 2013</v>
      </c>
      <c r="B65" s="31" t="str">
        <f>IFERROR(__xludf.DUMMYFUNCTION("""COMPUTED_VALUE"""),"DOC")</f>
        <v>DOC</v>
      </c>
      <c r="C65" s="31" t="str">
        <f>IFERROR(__xludf.DUMMYFUNCTION("""COMPUTED_VALUE"""),"BIB")</f>
        <v>BIB</v>
      </c>
      <c r="D65" s="42" t="str">
        <f>IFERROR(__xludf.DUMMYFUNCTION("""COMPUTED_VALUE"""),"10.3389/fnsys.2013.00074")</f>
        <v>10.3389/fnsys.2013.00074</v>
      </c>
      <c r="E65" s="103" t="str">
        <f>IFERROR(__xludf.DUMMYFUNCTION("""COMPUTED_VALUE"""),"@article{Rolls_2013,
	doi = {10.3389/fnsys.2013.00074},
	url = {https://doi.org/10.3389%2Ffnsys.2013.00074},
	year = 2013,
	publisher = {Frontiers Media {SA}},
	volume = {7},
	author = {Edmund T. Rolls},
	title = {The mechanisms for pattern completion and"&amp;" pattern separation in the hippocampus},
	journal = {Frontiers in Systems Neuroscience}
}")</f>
        <v>@article{Rolls_2013,
	doi = {10.3389/fnsys.2013.00074},
	url = {https://doi.org/10.3389%2Ffnsys.2013.00074},
	year = 2013,
	publisher = {Frontiers Media {SA}},
	volume = {7},
	author = {Edmund T. Rolls},
	title = {The mechanisms for pattern completion and pattern separation in the hippocampus},
	journal = {Frontiers in Systems Neuroscience}
}</v>
      </c>
      <c r="F65" s="42"/>
      <c r="G65" s="9" t="str">
        <f>IFERROR(__xludf.DUMMYFUNCTION("""COMPUTED_VALUE"""),"Article")</f>
        <v>Article</v>
      </c>
      <c r="H65" s="9" t="str">
        <f>IFERROR(__xludf.DUMMYFUNCTION("""COMPUTED_VALUE"""),"Edmund T. Rolls")</f>
        <v>Edmund T. Rolls</v>
      </c>
      <c r="I65" s="9" t="str">
        <f>IFERROR(__xludf.DUMMYFUNCTION("""COMPUTED_VALUE"""),"The mechanisms for pattern completion and pattern separation in the hippocampus")</f>
        <v>The mechanisms for pattern completion and pattern separation in the hippocampus</v>
      </c>
      <c r="J65" s="9" t="str">
        <f>IFERROR(__xludf.DUMMYFUNCTION("""COMPUTED_VALUE"""),"Frontiers in Systems Neuroscience")</f>
        <v>Frontiers in Systems Neuroscience</v>
      </c>
      <c r="K65" s="42"/>
      <c r="L65" s="42" t="str">
        <f>IFERROR(__xludf.DUMMYFUNCTION("""COMPUTED_VALUE"""),"Ayako Fukawa")</f>
        <v>Ayako Fukawa</v>
      </c>
      <c r="M65" s="42" t="str">
        <f>IFERROR(__xludf.DUMMYFUNCTION("""COMPUTED_VALUE"""),"AT20HippocampalFormation")</f>
        <v>AT20HippocampalFormation</v>
      </c>
      <c r="N65" s="42"/>
      <c r="O65" s="42"/>
      <c r="P65" s="9"/>
      <c r="Q65" s="9"/>
      <c r="R65" s="42"/>
      <c r="S65" s="42"/>
      <c r="T65" s="42"/>
      <c r="U65" s="42"/>
      <c r="V65" s="42"/>
      <c r="W65" s="42"/>
    </row>
    <row r="66">
      <c r="A66" s="9" t="str">
        <f>IFERROR(__xludf.DUMMYFUNCTION("""COMPUTED_VALUE"""),"Rolls, 2013")</f>
        <v>Rolls, 2013</v>
      </c>
      <c r="B66" s="31" t="str">
        <f>IFERROR(__xludf.DUMMYFUNCTION("""COMPUTED_VALUE"""),"DOC")</f>
        <v>DOC</v>
      </c>
      <c r="C66" s="31" t="str">
        <f>IFERROR(__xludf.DUMMYFUNCTION("""COMPUTED_VALUE"""),"BIB")</f>
        <v>BIB</v>
      </c>
      <c r="D66" s="42" t="str">
        <f>IFERROR(__xludf.DUMMYFUNCTION("""COMPUTED_VALUE"""),"10.3389/fnsys.2013.00074")</f>
        <v>10.3389/fnsys.2013.00074</v>
      </c>
      <c r="E66" s="103" t="str">
        <f>IFERROR(__xludf.DUMMYFUNCTION("""COMPUTED_VALUE"""),"@article{Rolls_2013,
	doi = {10.3389/fnsys.2013.00074},
	url = {https://doi.org/10.3389%2Ffnsys.2013.00074},
	year = 2013,
	publisher = {Frontiers Media {SA}},
	volume = {7},
	author = {Edmund T. Rolls},
	title = {The mechanisms for pattern completion and"&amp;" pattern separation in the hippocampus},
	journal = {Frontiers in Systems Neuroscience}
}")</f>
        <v>@article{Rolls_2013,
	doi = {10.3389/fnsys.2013.00074},
	url = {https://doi.org/10.3389%2Ffnsys.2013.00074},
	year = 2013,
	publisher = {Frontiers Media {SA}},
	volume = {7},
	author = {Edmund T. Rolls},
	title = {The mechanisms for pattern completion and pattern separation in the hippocampus},
	journal = {Frontiers in Systems Neuroscience}
}</v>
      </c>
      <c r="F66" s="42"/>
      <c r="G66" s="9" t="str">
        <f>IFERROR(__xludf.DUMMYFUNCTION("""COMPUTED_VALUE"""),"Article")</f>
        <v>Article</v>
      </c>
      <c r="H66" s="9" t="str">
        <f>IFERROR(__xludf.DUMMYFUNCTION("""COMPUTED_VALUE"""),"Edmund T. Rolls")</f>
        <v>Edmund T. Rolls</v>
      </c>
      <c r="I66" s="9" t="str">
        <f>IFERROR(__xludf.DUMMYFUNCTION("""COMPUTED_VALUE"""),"The mechanisms for pattern completion and pattern separation in the hippocampus")</f>
        <v>The mechanisms for pattern completion and pattern separation in the hippocampus</v>
      </c>
      <c r="J66" s="9" t="str">
        <f>IFERROR(__xludf.DUMMYFUNCTION("""COMPUTED_VALUE"""),"Frontiers in Systems Neuroscience")</f>
        <v>Frontiers in Systems Neuroscience</v>
      </c>
      <c r="K66" s="42"/>
      <c r="L66" s="42"/>
      <c r="M66" s="42"/>
      <c r="N66" s="42"/>
      <c r="O66" s="42"/>
      <c r="P66" s="9"/>
      <c r="Q66" s="9"/>
      <c r="R66" s="42"/>
      <c r="S66" s="42"/>
      <c r="T66" s="42"/>
      <c r="U66" s="42"/>
      <c r="V66" s="42"/>
      <c r="W66" s="42"/>
    </row>
    <row r="67">
      <c r="A67" s="9" t="str">
        <f>IFERROR(__xludf.DUMMYFUNCTION("""COMPUTED_VALUE"""),"Rolls, 2013")</f>
        <v>Rolls, 2013</v>
      </c>
      <c r="B67" s="31" t="str">
        <f>IFERROR(__xludf.DUMMYFUNCTION("""COMPUTED_VALUE"""),"DOC")</f>
        <v>DOC</v>
      </c>
      <c r="C67" s="31" t="str">
        <f>IFERROR(__xludf.DUMMYFUNCTION("""COMPUTED_VALUE"""),"BIB")</f>
        <v>BIB</v>
      </c>
      <c r="D67" s="42" t="str">
        <f>IFERROR(__xludf.DUMMYFUNCTION("""COMPUTED_VALUE"""),"10.3389/fnsys.2013.00074")</f>
        <v>10.3389/fnsys.2013.00074</v>
      </c>
      <c r="E67" s="103" t="str">
        <f>IFERROR(__xludf.DUMMYFUNCTION("""COMPUTED_VALUE"""),"@article{Rolls_2013,
	doi = {10.3389/fnsys.2013.00074},
	url = {https://doi.org/10.3389%2Ffnsys.2013.00074},
	year = 2013,
	publisher = {Frontiers Media {SA}},
	volume = {7},
	author = {Edmund T. Rolls},
	title = {The mechanisms for pattern completion and"&amp;" pattern separation in the hippocampus},
	journal = {Frontiers in Systems Neuroscience}
}")</f>
        <v>@article{Rolls_2013,
	doi = {10.3389/fnsys.2013.00074},
	url = {https://doi.org/10.3389%2Ffnsys.2013.00074},
	year = 2013,
	publisher = {Frontiers Media {SA}},
	volume = {7},
	author = {Edmund T. Rolls},
	title = {The mechanisms for pattern completion and pattern separation in the hippocampus},
	journal = {Frontiers in Systems Neuroscience}
}</v>
      </c>
      <c r="F67" s="42"/>
      <c r="G67" s="9" t="str">
        <f>IFERROR(__xludf.DUMMYFUNCTION("""COMPUTED_VALUE"""),"Article")</f>
        <v>Article</v>
      </c>
      <c r="H67" s="9" t="str">
        <f>IFERROR(__xludf.DUMMYFUNCTION("""COMPUTED_VALUE"""),"Edmund T. Rolls")</f>
        <v>Edmund T. Rolls</v>
      </c>
      <c r="I67" s="9" t="str">
        <f>IFERROR(__xludf.DUMMYFUNCTION("""COMPUTED_VALUE"""),"The mechanisms for pattern completion and pattern separation in the hippocampus")</f>
        <v>The mechanisms for pattern completion and pattern separation in the hippocampus</v>
      </c>
      <c r="J67" s="9" t="str">
        <f>IFERROR(__xludf.DUMMYFUNCTION("""COMPUTED_VALUE"""),"Frontiers in Systems Neuroscience")</f>
        <v>Frontiers in Systems Neuroscience</v>
      </c>
      <c r="K67" s="42"/>
      <c r="L67" s="42"/>
      <c r="M67" s="42"/>
      <c r="N67" s="42"/>
      <c r="O67" s="42"/>
      <c r="P67" s="9"/>
      <c r="Q67" s="9"/>
      <c r="R67" s="42"/>
      <c r="S67" s="42"/>
      <c r="T67" s="42"/>
      <c r="U67" s="42"/>
      <c r="V67" s="42"/>
      <c r="W67" s="42"/>
    </row>
    <row r="68">
      <c r="A68" s="9" t="str">
        <f>IFERROR(__xludf.DUMMYFUNCTION("""COMPUTED_VALUE"""),"Rolls, 2007")</f>
        <v>Rolls, 2007</v>
      </c>
      <c r="B68" s="31" t="str">
        <f>IFERROR(__xludf.DUMMYFUNCTION("""COMPUTED_VALUE"""),"DOC")</f>
        <v>DOC</v>
      </c>
      <c r="C68" s="31" t="str">
        <f>IFERROR(__xludf.DUMMYFUNCTION("""COMPUTED_VALUE"""),"BIB")</f>
        <v>BIB</v>
      </c>
      <c r="D68" s="42" t="str">
        <f>IFERROR(__xludf.DUMMYFUNCTION("""COMPUTED_VALUE"""),"10.1101/lm.631207 ")</f>
        <v>10.1101/lm.631207 </v>
      </c>
      <c r="E68" s="103" t="str">
        <f>IFERROR(__xludf.DUMMYFUNCTION("""COMPUTED_VALUE"""),"@article{Rolls_2007,
	doi = {10.1101/lm.631207},
	url = {https://doi.org/10.1101%2Flm.631207},
	year = 2007,
	month = {nov},
	publisher = {Cold Spring Harbor Laboratory},
	volume = {14},
	number = {11},
	pages = {714--731},
	author = {E. T. Rolls},
	title"&amp;" = {An attractor network in the hippocampus: Theory and neurophysiology},
	journal = {Learning {\&amp;}amp$\mathsemicolon$ Memory}
}")</f>
        <v>@article{Rolls_2007,
	doi = {10.1101/lm.631207},
	url = {https://doi.org/10.1101%2Flm.631207},
	year = 2007,
	month = {nov},
	publisher = {Cold Spring Harbor Laboratory},
	volume = {14},
	number = {11},
	pages = {714--731},
	author = {E. T. Rolls},
	title = {An attractor network in the hippocampus: Theory and neurophysiology},
	journal = {Learning {\&amp;}amp$\mathsemicolon$ Memory}
}</v>
      </c>
      <c r="F68" s="42"/>
      <c r="G68" s="9" t="str">
        <f>IFERROR(__xludf.DUMMYFUNCTION("""COMPUTED_VALUE"""),"Article")</f>
        <v>Article</v>
      </c>
      <c r="H68" s="9" t="str">
        <f>IFERROR(__xludf.DUMMYFUNCTION("""COMPUTED_VALUE"""),"E. T. Rolls")</f>
        <v>E. T. Rolls</v>
      </c>
      <c r="I68" s="9" t="str">
        <f>IFERROR(__xludf.DUMMYFUNCTION("""COMPUTED_VALUE"""),"An attractor network in the hippocampus: Theory and neurophysiology")</f>
        <v>An attractor network in the hippocampus: Theory and neurophysiology</v>
      </c>
      <c r="J68" s="9" t="str">
        <f>IFERROR(__xludf.DUMMYFUNCTION("""COMPUTED_VALUE"""),"Learning {\&amp;}amp$\mathsemicolon$ Memory")</f>
        <v>Learning {\&amp;}amp$\mathsemicolon$ Memory</v>
      </c>
      <c r="K68" s="42"/>
      <c r="L68" s="42" t="str">
        <f>IFERROR(__xludf.DUMMYFUNCTION("""COMPUTED_VALUE"""),"Ayako Fukawa")</f>
        <v>Ayako Fukawa</v>
      </c>
      <c r="M68" s="42" t="str">
        <f>IFERROR(__xludf.DUMMYFUNCTION("""COMPUTED_VALUE"""),"AT20HippocampalFormation")</f>
        <v>AT20HippocampalFormation</v>
      </c>
      <c r="N68" s="42"/>
      <c r="O68" s="42"/>
      <c r="P68" s="9"/>
      <c r="Q68" s="9"/>
      <c r="R68" s="42"/>
      <c r="S68" s="42"/>
      <c r="T68" s="42"/>
      <c r="U68" s="42"/>
      <c r="V68" s="42"/>
      <c r="W68" s="42"/>
    </row>
    <row r="69">
      <c r="A69" s="9" t="str">
        <f>IFERROR(__xludf.DUMMYFUNCTION("""COMPUTED_VALUE"""),"Rolls, 2007")</f>
        <v>Rolls, 2007</v>
      </c>
      <c r="B69" s="31" t="str">
        <f>IFERROR(__xludf.DUMMYFUNCTION("""COMPUTED_VALUE"""),"DOC")</f>
        <v>DOC</v>
      </c>
      <c r="C69" s="31" t="str">
        <f>IFERROR(__xludf.DUMMYFUNCTION("""COMPUTED_VALUE"""),"BIB")</f>
        <v>BIB</v>
      </c>
      <c r="D69" s="42" t="str">
        <f>IFERROR(__xludf.DUMMYFUNCTION("""COMPUTED_VALUE"""),"10.1101/lm.631207")</f>
        <v>10.1101/lm.631207</v>
      </c>
      <c r="E69" s="103" t="str">
        <f>IFERROR(__xludf.DUMMYFUNCTION("""COMPUTED_VALUE"""),"@article{Rolls_2007,
	doi = {10.1101/lm.631207},
	url = {https://doi.org/10.1101%2Flm.631207},
	year = 2007,
	month = {nov},
	publisher = {Cold Spring Harbor Laboratory},
	volume = {14},
	number = {11},
	pages = {714--731},
	author = {E. T. Rolls},
	title"&amp;" = {An attractor network in the hippocampus: Theory and neurophysiology},
	journal = {Learning {\&amp;}amp$\mathsemicolon$ Memory}
}")</f>
        <v>@article{Rolls_2007,
	doi = {10.1101/lm.631207},
	url = {https://doi.org/10.1101%2Flm.631207},
	year = 2007,
	month = {nov},
	publisher = {Cold Spring Harbor Laboratory},
	volume = {14},
	number = {11},
	pages = {714--731},
	author = {E. T. Rolls},
	title = {An attractor network in the hippocampus: Theory and neurophysiology},
	journal = {Learning {\&amp;}amp$\mathsemicolon$ Memory}
}</v>
      </c>
      <c r="F69" s="42"/>
      <c r="G69" s="9" t="str">
        <f>IFERROR(__xludf.DUMMYFUNCTION("""COMPUTED_VALUE"""),"Article")</f>
        <v>Article</v>
      </c>
      <c r="H69" s="9" t="str">
        <f>IFERROR(__xludf.DUMMYFUNCTION("""COMPUTED_VALUE"""),"E. T. Rolls")</f>
        <v>E. T. Rolls</v>
      </c>
      <c r="I69" s="9" t="str">
        <f>IFERROR(__xludf.DUMMYFUNCTION("""COMPUTED_VALUE"""),"An attractor network in the hippocampus: Theory and neurophysiology")</f>
        <v>An attractor network in the hippocampus: Theory and neurophysiology</v>
      </c>
      <c r="J69" s="9" t="str">
        <f>IFERROR(__xludf.DUMMYFUNCTION("""COMPUTED_VALUE"""),"Learning {\&amp;}amp$\mathsemicolon$ Memory")</f>
        <v>Learning {\&amp;}amp$\mathsemicolon$ Memory</v>
      </c>
      <c r="K69" s="42"/>
      <c r="L69" s="42"/>
      <c r="M69" s="42"/>
      <c r="N69" s="42"/>
      <c r="O69" s="42"/>
      <c r="P69" s="9"/>
      <c r="Q69" s="9"/>
      <c r="R69" s="42"/>
      <c r="S69" s="42"/>
      <c r="T69" s="42"/>
      <c r="U69" s="42"/>
      <c r="V69" s="42"/>
      <c r="W69" s="42"/>
    </row>
    <row r="70">
      <c r="A70" s="9" t="str">
        <f>IFERROR(__xludf.DUMMYFUNCTION("""COMPUTED_VALUE"""),"Rolls, 1998")</f>
        <v>Rolls, 1998</v>
      </c>
      <c r="B70" s="31" t="str">
        <f>IFERROR(__xludf.DUMMYFUNCTION("""COMPUTED_VALUE"""),"DOC")</f>
        <v>DOC</v>
      </c>
      <c r="C70" s="31" t="str">
        <f>IFERROR(__xludf.DUMMYFUNCTION("""COMPUTED_VALUE"""),"BIB")</f>
        <v>BIB</v>
      </c>
      <c r="D70" s="42" t="str">
        <f>IFERROR(__xludf.DUMMYFUNCTION("""COMPUTED_VALUE"""),"10.1152/jn.1998.79.4.1797")</f>
        <v>10.1152/jn.1998.79.4.1797</v>
      </c>
      <c r="E70" s="103" t="str">
        <f>IFERROR(__xludf.DUMMYFUNCTION("""COMPUTED_VALUE"""),"@article{Rolls_1998,
	doi = {10.1152/jn.1998.79.4.1797},
	url = {https://doi.org/10.1152%2Fjn.1998.79.4.1797},
	year = 1998,
	month = {apr},
	publisher = {American Physiological Society},
	volume = {79},
	number = {4},
	pages = {1797--1813},
	author = {Ed"&amp;"mund T. Rolls and Alessandro Treves and Robert G. Robertson and Pierre Georges-Fran{\c{c}}ois and Stefano Panzeri},
	title = {Information About Spatial View in an Ensemble of Primate Hippocampal Cells},
	journal = {Journal of Neurophysiology}
}")</f>
        <v>@article{Rolls_1998,
	doi = {10.1152/jn.1998.79.4.1797},
	url = {https://doi.org/10.1152%2Fjn.1998.79.4.1797},
	year = 1998,
	month = {apr},
	publisher = {American Physiological Society},
	volume = {79},
	number = {4},
	pages = {1797--1813},
	author = {Edmund T. Rolls and Alessandro Treves and Robert G. Robertson and Pierre Georges-Fran{\c{c}}ois and Stefano Panzeri},
	title = {Information About Spatial View in an Ensemble of Primate Hippocampal Cells},
	journal = {Journal of Neurophysiology}
}</v>
      </c>
      <c r="F70" s="42"/>
      <c r="G70" s="9" t="str">
        <f>IFERROR(__xludf.DUMMYFUNCTION("""COMPUTED_VALUE"""),"Article")</f>
        <v>Article</v>
      </c>
      <c r="H70" s="9" t="str">
        <f>IFERROR(__xludf.DUMMYFUNCTION("""COMPUTED_VALUE"""),"Edmund T. Rolls, Alessandro Treves, Robert G. Robertson, Pierre Georges-Fran{\c{c}}ois, Stefano Panzeri")</f>
        <v>Edmund T. Rolls, Alessandro Treves, Robert G. Robertson, Pierre Georges-Fran{\c{c}}ois, Stefano Panzeri</v>
      </c>
      <c r="I70" s="9" t="str">
        <f>IFERROR(__xludf.DUMMYFUNCTION("""COMPUTED_VALUE"""),"Information About Spatial View in an Ensemble of Primate Hippocampal Cells")</f>
        <v>Information About Spatial View in an Ensemble of Primate Hippocampal Cells</v>
      </c>
      <c r="J70" s="9" t="str">
        <f>IFERROR(__xludf.DUMMYFUNCTION("""COMPUTED_VALUE"""),"Journal of Neurophysiology")</f>
        <v>Journal of Neurophysiology</v>
      </c>
      <c r="K70" s="42"/>
      <c r="L70" s="42" t="str">
        <f>IFERROR(__xludf.DUMMYFUNCTION("""COMPUTED_VALUE"""),"Yuske Shibata")</f>
        <v>Yuske Shibata</v>
      </c>
      <c r="M70" s="42" t="str">
        <f>IFERROR(__xludf.DUMMYFUNCTION("""COMPUTED_VALUE"""),"YS21CredibilityCheck")</f>
        <v>YS21CredibilityCheck</v>
      </c>
      <c r="N70" s="42"/>
      <c r="O70" s="42"/>
      <c r="P70" s="9"/>
      <c r="Q70" s="9"/>
      <c r="R70" s="42"/>
      <c r="S70" s="42"/>
      <c r="T70" s="42"/>
      <c r="U70" s="42"/>
      <c r="V70" s="42"/>
      <c r="W70" s="42"/>
    </row>
    <row r="71">
      <c r="A71" s="9" t="str">
        <f>IFERROR(__xludf.DUMMYFUNCTION("""COMPUTED_VALUE"""),"Rolls, 1998")</f>
        <v>Rolls, 1998</v>
      </c>
      <c r="B71" s="31" t="str">
        <f>IFERROR(__xludf.DUMMYFUNCTION("""COMPUTED_VALUE"""),"DOC")</f>
        <v>DOC</v>
      </c>
      <c r="C71" s="31" t="str">
        <f>IFERROR(__xludf.DUMMYFUNCTION("""COMPUTED_VALUE"""),"BIB")</f>
        <v>BIB</v>
      </c>
      <c r="D71" s="42" t="str">
        <f>IFERROR(__xludf.DUMMYFUNCTION("""COMPUTED_VALUE"""),"10.1152/jn.1998.79.4.1797")</f>
        <v>10.1152/jn.1998.79.4.1797</v>
      </c>
      <c r="E71" s="103" t="str">
        <f>IFERROR(__xludf.DUMMYFUNCTION("""COMPUTED_VALUE"""),"@article{Rolls_1998,
	doi = {10.1152/jn.1998.79.4.1797},
	url = {https://doi.org/10.1152%2Fjn.1998.79.4.1797},
	year = 1998,
	month = {apr},
	publisher = {American Physiological Society},
	volume = {79},
	number = {4},
	pages = {1797--1813},
	author = {Ed"&amp;"mund T. Rolls and Alessandro Treves and Robert G. Robertson and Pierre Georges-Fran{\c{c}}ois and Stefano Panzeri},
	title = {Information About Spatial View in an Ensemble of Primate Hippocampal Cells},
	journal = {Journal of Neurophysiology}
}")</f>
        <v>@article{Rolls_1998,
	doi = {10.1152/jn.1998.79.4.1797},
	url = {https://doi.org/10.1152%2Fjn.1998.79.4.1797},
	year = 1998,
	month = {apr},
	publisher = {American Physiological Society},
	volume = {79},
	number = {4},
	pages = {1797--1813},
	author = {Edmund T. Rolls and Alessandro Treves and Robert G. Robertson and Pierre Georges-Fran{\c{c}}ois and Stefano Panzeri},
	title = {Information About Spatial View in an Ensemble of Primate Hippocampal Cells},
	journal = {Journal of Neurophysiology}
}</v>
      </c>
      <c r="F71" s="42"/>
      <c r="G71" s="9" t="str">
        <f>IFERROR(__xludf.DUMMYFUNCTION("""COMPUTED_VALUE"""),"Article")</f>
        <v>Article</v>
      </c>
      <c r="H71" s="9" t="str">
        <f>IFERROR(__xludf.DUMMYFUNCTION("""COMPUTED_VALUE"""),"Edmund T. Rolls, Alessandro Treves, Robert G. Robertson, Pierre Georges-Fran{\c{c}}ois, Stefano Panzeri")</f>
        <v>Edmund T. Rolls, Alessandro Treves, Robert G. Robertson, Pierre Georges-Fran{\c{c}}ois, Stefano Panzeri</v>
      </c>
      <c r="I71" s="9" t="str">
        <f>IFERROR(__xludf.DUMMYFUNCTION("""COMPUTED_VALUE"""),"Information About Spatial View in an Ensemble of Primate Hippocampal Cells")</f>
        <v>Information About Spatial View in an Ensemble of Primate Hippocampal Cells</v>
      </c>
      <c r="J71" s="9" t="str">
        <f>IFERROR(__xludf.DUMMYFUNCTION("""COMPUTED_VALUE"""),"Journal of Neurophysiology")</f>
        <v>Journal of Neurophysiology</v>
      </c>
      <c r="K71" s="42"/>
      <c r="L71" s="42" t="str">
        <f>IFERROR(__xludf.DUMMYFUNCTION("""COMPUTED_VALUE"""),"Ayako Fukawa")</f>
        <v>Ayako Fukawa</v>
      </c>
      <c r="M71" s="42" t="str">
        <f>IFERROR(__xludf.DUMMYFUNCTION("""COMPUTED_VALUE"""),"AT20HippocampalFormation")</f>
        <v>AT20HippocampalFormation</v>
      </c>
      <c r="N71" s="42"/>
      <c r="O71" s="42"/>
      <c r="P71" s="9"/>
      <c r="Q71" s="9"/>
      <c r="R71" s="42"/>
      <c r="S71" s="42"/>
      <c r="T71" s="42"/>
      <c r="U71" s="42"/>
      <c r="V71" s="42"/>
      <c r="W71" s="42"/>
    </row>
    <row r="72">
      <c r="A72" s="9" t="str">
        <f>IFERROR(__xludf.DUMMYFUNCTION("""COMPUTED_VALUE"""),"Rolls, 1998")</f>
        <v>Rolls, 1998</v>
      </c>
      <c r="B72" s="31" t="str">
        <f>IFERROR(__xludf.DUMMYFUNCTION("""COMPUTED_VALUE"""),"DOC")</f>
        <v>DOC</v>
      </c>
      <c r="C72" s="31" t="str">
        <f>IFERROR(__xludf.DUMMYFUNCTION("""COMPUTED_VALUE"""),"BIB")</f>
        <v>BIB</v>
      </c>
      <c r="D72" s="42" t="str">
        <f>IFERROR(__xludf.DUMMYFUNCTION("""COMPUTED_VALUE"""),"10.1152/jn.1998.79.4.1797")</f>
        <v>10.1152/jn.1998.79.4.1797</v>
      </c>
      <c r="E72" s="103" t="str">
        <f>IFERROR(__xludf.DUMMYFUNCTION("""COMPUTED_VALUE"""),"@article{Rolls_1998,
	doi = {10.1152/jn.1998.79.4.1797},
	url = {https://doi.org/10.1152%2Fjn.1998.79.4.1797},
	year = 1998,
	month = {apr},
	publisher = {American Physiological Society},
	volume = {79},
	number = {4},
	pages = {1797--1813},
	author = {Ed"&amp;"mund T. Rolls and Alessandro Treves and Robert G. Robertson and Pierre Georges-Fran{\c{c}}ois and Stefano Panzeri},
	title = {Information About Spatial View in an Ensemble of Primate Hippocampal Cells},
	journal = {Journal of Neurophysiology}
}")</f>
        <v>@article{Rolls_1998,
	doi = {10.1152/jn.1998.79.4.1797},
	url = {https://doi.org/10.1152%2Fjn.1998.79.4.1797},
	year = 1998,
	month = {apr},
	publisher = {American Physiological Society},
	volume = {79},
	number = {4},
	pages = {1797--1813},
	author = {Edmund T. Rolls and Alessandro Treves and Robert G. Robertson and Pierre Georges-Fran{\c{c}}ois and Stefano Panzeri},
	title = {Information About Spatial View in an Ensemble of Primate Hippocampal Cells},
	journal = {Journal of Neurophysiology}
}</v>
      </c>
      <c r="F72" s="42"/>
      <c r="G72" s="9" t="str">
        <f>IFERROR(__xludf.DUMMYFUNCTION("""COMPUTED_VALUE"""),"Article")</f>
        <v>Article</v>
      </c>
      <c r="H72" s="9" t="str">
        <f>IFERROR(__xludf.DUMMYFUNCTION("""COMPUTED_VALUE"""),"Edmund T. Rolls, Alessandro Treves, Robert G. Robertson, Pierre Georges-Fran{\c{c}}ois, Stefano Panzeri")</f>
        <v>Edmund T. Rolls, Alessandro Treves, Robert G. Robertson, Pierre Georges-Fran{\c{c}}ois, Stefano Panzeri</v>
      </c>
      <c r="I72" s="9" t="str">
        <f>IFERROR(__xludf.DUMMYFUNCTION("""COMPUTED_VALUE"""),"Information About Spatial View in an Ensemble of Primate Hippocampal Cells")</f>
        <v>Information About Spatial View in an Ensemble of Primate Hippocampal Cells</v>
      </c>
      <c r="J72" s="9" t="str">
        <f>IFERROR(__xludf.DUMMYFUNCTION("""COMPUTED_VALUE"""),"Journal of Neurophysiology")</f>
        <v>Journal of Neurophysiology</v>
      </c>
      <c r="K72" s="42"/>
      <c r="L72" s="42"/>
      <c r="M72" s="42"/>
      <c r="N72" s="42"/>
      <c r="O72" s="42"/>
      <c r="P72" s="9"/>
      <c r="Q72" s="9"/>
      <c r="R72" s="42"/>
      <c r="S72" s="42"/>
      <c r="T72" s="42"/>
      <c r="U72" s="42"/>
      <c r="V72" s="42"/>
      <c r="W72" s="42"/>
    </row>
    <row r="73">
      <c r="A73" s="9" t="str">
        <f>IFERROR(__xludf.DUMMYFUNCTION("""COMPUTED_VALUE"""),"Rogers, 2013")</f>
        <v>Rogers, 2013</v>
      </c>
      <c r="B73" s="31" t="str">
        <f>IFERROR(__xludf.DUMMYFUNCTION("""COMPUTED_VALUE"""),"DOC")</f>
        <v>DOC</v>
      </c>
      <c r="C73" s="31" t="str">
        <f>IFERROR(__xludf.DUMMYFUNCTION("""COMPUTED_VALUE"""),"BIB")</f>
        <v>BIB</v>
      </c>
      <c r="D73" s="42" t="str">
        <f>IFERROR(__xludf.DUMMYFUNCTION("""COMPUTED_VALUE"""),"10.3389/fnsys.2013.00015")</f>
        <v>10.3389/fnsys.2013.00015</v>
      </c>
      <c r="E73" s="103" t="str">
        <f>IFERROR(__xludf.DUMMYFUNCTION("""COMPUTED_VALUE"""),"@article{Rogers_2013,
	doi = {10.3389/fnsys.2013.00015},
	url = {https://doi.org/10.3389%2Ffnsys.2013.00015},
	year = 2013,
	publisher = {Frontiers Media {SA}},
	volume = {7},
	author = {Tiffany D. Rogers and Eric McKimm and Price E. Dickson and Dan Goldo"&amp;"witz and Charles D. Blaha and Guy Mittleman},
	title = {Is autism a disease of the cerebellum? An integration of clinical and pre-clinical research},
	journal = {Frontiers in Systems Neuroscience}
}")</f>
        <v>@article{Rogers_2013,
	doi = {10.3389/fnsys.2013.00015},
	url = {https://doi.org/10.3389%2Ffnsys.2013.00015},
	year = 2013,
	publisher = {Frontiers Media {SA}},
	volume = {7},
	author = {Tiffany D. Rogers and Eric McKimm and Price E. Dickson and Dan Goldowitz and Charles D. Blaha and Guy Mittleman},
	title = {Is autism a disease of the cerebellum? An integration of clinical and pre-clinical research},
	journal = {Frontiers in Systems Neuroscience}
}</v>
      </c>
      <c r="F73" s="42"/>
      <c r="G73" s="9" t="str">
        <f>IFERROR(__xludf.DUMMYFUNCTION("""COMPUTED_VALUE"""),"Article")</f>
        <v>Article</v>
      </c>
      <c r="H73" s="9" t="str">
        <f>IFERROR(__xludf.DUMMYFUNCTION("""COMPUTED_VALUE"""),"Tiffany D. Rogers, Eric McKimm, Price E. Dickson, Dan Goldowitz, Charles D. Blaha, Guy Mittleman")</f>
        <v>Tiffany D. Rogers, Eric McKimm, Price E. Dickson, Dan Goldowitz, Charles D. Blaha, Guy Mittleman</v>
      </c>
      <c r="I73" s="9" t="str">
        <f>IFERROR(__xludf.DUMMYFUNCTION("""COMPUTED_VALUE"""),"Is autism a disease of the cerebellum? An integration of clinical and pre-clinical research")</f>
        <v>Is autism a disease of the cerebellum? An integration of clinical and pre-clinical research</v>
      </c>
      <c r="J73" s="9" t="str">
        <f>IFERROR(__xludf.DUMMYFUNCTION("""COMPUTED_VALUE"""),"Frontiers in Systems Neuroscience")</f>
        <v>Frontiers in Systems Neuroscience</v>
      </c>
      <c r="K73" s="42"/>
      <c r="L73" s="42" t="str">
        <f>IFERROR(__xludf.DUMMYFUNCTION("""COMPUTED_VALUE"""),"Hiroshi Yamakawa")</f>
        <v>Hiroshi Yamakawa</v>
      </c>
      <c r="M73" s="42" t="str">
        <f>IFERROR(__xludf.DUMMYFUNCTION("""COMPUTED_VALUE"""),"HY20Cerebellum")</f>
        <v>HY20Cerebellum</v>
      </c>
      <c r="N73" s="42"/>
      <c r="O73" s="42"/>
      <c r="P73" s="9"/>
      <c r="Q73" s="9"/>
      <c r="R73" s="42"/>
      <c r="S73" s="42"/>
      <c r="T73" s="42"/>
      <c r="U73" s="42"/>
      <c r="V73" s="42"/>
      <c r="W73" s="42"/>
    </row>
    <row r="74">
      <c r="A74" s="9" t="str">
        <f>IFERROR(__xludf.DUMMYFUNCTION("""COMPUTED_VALUE"""),"Rodriguez, 2004")</f>
        <v>Rodriguez, 2004</v>
      </c>
      <c r="B74" s="31" t="str">
        <f>IFERROR(__xludf.DUMMYFUNCTION("""COMPUTED_VALUE"""),"DOC")</f>
        <v>DOC</v>
      </c>
      <c r="C74" s="31" t="str">
        <f>IFERROR(__xludf.DUMMYFUNCTION("""COMPUTED_VALUE"""),"BIB")</f>
        <v>BIB</v>
      </c>
      <c r="D74" s="42" t="str">
        <f>IFERROR(__xludf.DUMMYFUNCTION("""COMPUTED_VALUE"""),"10.1162/089892904970690")</f>
        <v>10.1162/089892904970690</v>
      </c>
      <c r="E74" s="103" t="str">
        <f>IFERROR(__xludf.DUMMYFUNCTION("""COMPUTED_VALUE"""),"@article{Rodriguez_2004,
	doi = {10.1162/089892904970690},
	url = {https://doi.org/10.1162%2F089892904970690},
	year = 2004,
	month = {jun},
	publisher = {{MIT} Press - Journals},
	volume = {16},
	number = {5},
	pages = {856--877},
	author = {A. Rodriguez"&amp;" and J. Whitson and R. Granger},
	title = {Derivation and Analysis of Basic Computational Operations of Thalamocortical Circuits},
	journal = {Journal of Cognitive Neuroscience}
}")</f>
        <v>@article{Rodriguez_2004,
	doi = {10.1162/089892904970690},
	url = {https://doi.org/10.1162%2F089892904970690},
	year = 2004,
	month = {jun},
	publisher = {{MIT} Press - Journals},
	volume = {16},
	number = {5},
	pages = {856--877},
	author = {A. Rodriguez and J. Whitson and R. Granger},
	title = {Derivation and Analysis of Basic Computational Operations of Thalamocortical Circuits},
	journal = {Journal of Cognitive Neuroscience}
}</v>
      </c>
      <c r="F74" s="42"/>
      <c r="G74" s="9" t="str">
        <f>IFERROR(__xludf.DUMMYFUNCTION("""COMPUTED_VALUE"""),"Article")</f>
        <v>Article</v>
      </c>
      <c r="H74" s="9" t="str">
        <f>IFERROR(__xludf.DUMMYFUNCTION("""COMPUTED_VALUE"""),"A. Rodriguez, J. Whitson, R. Granger")</f>
        <v>A. Rodriguez, J. Whitson, R. Granger</v>
      </c>
      <c r="I74" s="9" t="str">
        <f>IFERROR(__xludf.DUMMYFUNCTION("""COMPUTED_VALUE"""),"Derivation and Analysis of Basic Computational Operations of Thalamocortical Circuits")</f>
        <v>Derivation and Analysis of Basic Computational Operations of Thalamocortical Circuits</v>
      </c>
      <c r="J74" s="9" t="str">
        <f>IFERROR(__xludf.DUMMYFUNCTION("""COMPUTED_VALUE"""),"Journal of Cognitive Neuroscience")</f>
        <v>Journal of Cognitive Neuroscience</v>
      </c>
      <c r="K74" s="42" t="str">
        <f>IFERROR(__xludf.DUMMYFUNCTION("""COMPUTED_VALUE"""),"Fig.3")</f>
        <v>Fig.3</v>
      </c>
      <c r="L74" s="42" t="str">
        <f>IFERROR(__xludf.DUMMYFUNCTION("""COMPUTED_VALUE"""),"Hiroshi Yamakawa")</f>
        <v>Hiroshi Yamakawa</v>
      </c>
      <c r="M74" s="42" t="str">
        <f>IFERROR(__xludf.DUMMYFUNCTION("""COMPUTED_VALUE"""),"HY18NeocorticalInterareaSignals")</f>
        <v>HY18NeocorticalInterareaSignals</v>
      </c>
      <c r="N74" s="42"/>
      <c r="O74" s="42"/>
      <c r="P74" s="9"/>
      <c r="Q74" s="9"/>
      <c r="R74" s="42"/>
      <c r="S74" s="42"/>
      <c r="T74" s="42"/>
      <c r="U74" s="42"/>
      <c r="V74" s="42"/>
      <c r="W74" s="42"/>
    </row>
    <row r="75">
      <c r="A75" s="9" t="str">
        <f>IFERROR(__xludf.DUMMYFUNCTION("""COMPUTED_VALUE"""),"Rodrigo, 2018")</f>
        <v>Rodrigo, 2018</v>
      </c>
      <c r="B75" s="31" t="str">
        <f>IFERROR(__xludf.DUMMYFUNCTION("""COMPUTED_VALUE"""),"DOC")</f>
        <v>DOC</v>
      </c>
      <c r="C75" s="31" t="str">
        <f>IFERROR(__xludf.DUMMYFUNCTION("""COMPUTED_VALUE"""),"BIB")</f>
        <v>BIB</v>
      </c>
      <c r="D75" s="42" t="str">
        <f>IFERROR(__xludf.DUMMYFUNCTION("""COMPUTED_VALUE"""),"10.1111/jora.12342")</f>
        <v>10.1111/jora.12342</v>
      </c>
      <c r="E75" s="103" t="str">
        <f>IFERROR(__xludf.DUMMYFUNCTION("""COMPUTED_VALUE"""),"@article{Rodrigo_2018,
	doi = {10.1111/jora.12342},
	url = {https://doi.org/10.1111%2Fjora.12342},
	year = 2018,
	month = {feb},
	publisher = {Wiley},
	volume = {28},
	number = {1},
	pages = {70--86},
	author = {Mar{\'{\i}}a Jos{\'{e}} Rodrigo and Iv{\'{a"&amp;"}}n Padr{\'{o}}n and Manuel de Vega and Evelyn Ferstl},
	title = {Neural Substrates of Counterfactual Emotions After Risky Decisions in Late Adolescents and Young Adults},
	journal = {Journal of Research on Adolescence}
}")</f>
        <v>@article{Rodrigo_2018,
	doi = {10.1111/jora.12342},
	url = {https://doi.org/10.1111%2Fjora.12342},
	year = 2018,
	month = {feb},
	publisher = {Wiley},
	volume = {28},
	number = {1},
	pages = {70--86},
	author = {Mar{\'{\i}}a Jos{\'{e}} Rodrigo and Iv{\'{a}}n Padr{\'{o}}n and Manuel de Vega and Evelyn Ferstl},
	title = {Neural Substrates of Counterfactual Emotions After Risky Decisions in Late Adolescents and Young Adults},
	journal = {Journal of Research on Adolescence}
}</v>
      </c>
      <c r="F75" s="42"/>
      <c r="G75" s="9" t="str">
        <f>IFERROR(__xludf.DUMMYFUNCTION("""COMPUTED_VALUE"""),"Article")</f>
        <v>Article</v>
      </c>
      <c r="H75" s="9" t="str">
        <f>IFERROR(__xludf.DUMMYFUNCTION("""COMPUTED_VALUE"""),"Mar{\'{\i}}a Jos{\'{e}} Rodrigo, Iv{\'{a}}n Padr{\'{o}}n, Manuel de Vega, Evelyn Ferstl")</f>
        <v>Mar{\'{\i}}a Jos{\'{e}} Rodrigo, Iv{\'{a}}n Padr{\'{o}}n, Manuel de Vega, Evelyn Ferstl</v>
      </c>
      <c r="I75" s="9" t="str">
        <f>IFERROR(__xludf.DUMMYFUNCTION("""COMPUTED_VALUE"""),"Neural Substrates of Counterfactual Emotions After Risky Decisions in Late Adolescents and Young Adults")</f>
        <v>Neural Substrates of Counterfactual Emotions After Risky Decisions in Late Adolescents and Young Adults</v>
      </c>
      <c r="J75" s="9" t="str">
        <f>IFERROR(__xludf.DUMMYFUNCTION("""COMPUTED_VALUE"""),"Journal of Research on Adolescence")</f>
        <v>Journal of Research on Adolescence</v>
      </c>
      <c r="K75" s="133" t="str">
        <f>IFERROR(__xludf.DUMMYFUNCTION("""COMPUTED_VALUE"""),"https://onlinelibrary.wiley.com/doi/full/10.1111/jora.12342")</f>
        <v>https://onlinelibrary.wiley.com/doi/full/10.1111/jora.12342</v>
      </c>
      <c r="L75" s="42"/>
      <c r="M75" s="42" t="str">
        <f>IFERROR(__xludf.DUMMYFUNCTION("""COMPUTED_VALUE"""),"Trust")</f>
        <v>Trust</v>
      </c>
      <c r="N75" s="42"/>
      <c r="O75" s="42"/>
      <c r="P75" s="9"/>
      <c r="Q75" s="9"/>
      <c r="R75" s="42"/>
      <c r="S75" s="42"/>
      <c r="T75" s="42"/>
      <c r="U75" s="42"/>
      <c r="V75" s="42"/>
      <c r="W75" s="42"/>
    </row>
    <row r="76">
      <c r="A76" s="9" t="str">
        <f>IFERROR(__xludf.DUMMYFUNCTION("""COMPUTED_VALUE"""),"Robinson, 1972")</f>
        <v>Robinson, 1972</v>
      </c>
      <c r="B76" s="31" t="str">
        <f>IFERROR(__xludf.DUMMYFUNCTION("""COMPUTED_VALUE"""),"DOC")</f>
        <v>DOC</v>
      </c>
      <c r="C76" s="31" t="str">
        <f>IFERROR(__xludf.DUMMYFUNCTION("""COMPUTED_VALUE"""),"BIB")</f>
        <v>BIB</v>
      </c>
      <c r="D76" s="42" t="str">
        <f>IFERROR(__xludf.DUMMYFUNCTION("""COMPUTED_VALUE"""),"10.1016/0042-6989(72)90070-3")</f>
        <v>10.1016/0042-6989(72)90070-3</v>
      </c>
      <c r="E76" s="103" t="str">
        <f>IFERROR(__xludf.DUMMYFUNCTION("""COMPUTED_VALUE"""),"@article{Robinson_1972,
	doi = {10.1016/0042-6989(72)90070-3},
	url = {https://doi.org/10.1016%2F0042-6989%2872%2990070-3},
	year = 1972,
	month = {nov},
	publisher = {Elsevier {BV}},
	volume = {12},
	number = {11},
	pages = {1795--1808},
	author = {D.A. "&amp;"Robinson},
	title = {Eye movements evoked by collicular stimulation in the alert monkey},
	journal = {Vision Research}
}")</f>
        <v>@article{Robinson_1972,
	doi = {10.1016/0042-6989(72)90070-3},
	url = {https://doi.org/10.1016%2F0042-6989%2872%2990070-3},
	year = 1972,
	month = {nov},
	publisher = {Elsevier {BV}},
	volume = {12},
	number = {11},
	pages = {1795--1808},
	author = {D.A. Robinson},
	title = {Eye movements evoked by collicular stimulation in the alert monkey},
	journal = {Vision Research}
}</v>
      </c>
      <c r="F76" s="42"/>
      <c r="G76" s="9" t="str">
        <f>IFERROR(__xludf.DUMMYFUNCTION("""COMPUTED_VALUE"""),"Article")</f>
        <v>Article</v>
      </c>
      <c r="H76" s="9" t="str">
        <f>IFERROR(__xludf.DUMMYFUNCTION("""COMPUTED_VALUE"""),"D.A. Robinson")</f>
        <v>D.A. Robinson</v>
      </c>
      <c r="I76" s="9" t="str">
        <f>IFERROR(__xludf.DUMMYFUNCTION("""COMPUTED_VALUE"""),"Eye movements evoked by collicular stimulation in the alert monkey")</f>
        <v>Eye movements evoked by collicular stimulation in the alert monkey</v>
      </c>
      <c r="J76" s="9" t="str">
        <f>IFERROR(__xludf.DUMMYFUNCTION("""COMPUTED_VALUE"""),"Vision Research")</f>
        <v>Vision Research</v>
      </c>
      <c r="K76" s="42"/>
      <c r="L76" s="42" t="str">
        <f>IFERROR(__xludf.DUMMYFUNCTION("""COMPUTED_VALUE"""),"Yoshinasa Tawatsji")</f>
        <v>Yoshinasa Tawatsji</v>
      </c>
      <c r="M76" s="42" t="str">
        <f>IFERROR(__xludf.DUMMYFUNCTION("""COMPUTED_VALUE"""),"Oculomotor")</f>
        <v>Oculomotor</v>
      </c>
      <c r="N76" s="42"/>
      <c r="O76" s="42"/>
      <c r="P76" s="9"/>
      <c r="Q76" s="9"/>
      <c r="R76" s="42"/>
      <c r="S76" s="42"/>
      <c r="T76" s="42"/>
      <c r="U76" s="42"/>
      <c r="V76" s="42"/>
      <c r="W76" s="42"/>
    </row>
    <row r="77">
      <c r="A77" s="9" t="str">
        <f>IFERROR(__xludf.DUMMYFUNCTION("""COMPUTED_VALUE"""),"Robertson, 1998")</f>
        <v>Robertson, 1998</v>
      </c>
      <c r="B77" s="31" t="str">
        <f>IFERROR(__xludf.DUMMYFUNCTION("""COMPUTED_VALUE"""),"DOC")</f>
        <v>DOC</v>
      </c>
      <c r="C77" s="31" t="str">
        <f>IFERROR(__xludf.DUMMYFUNCTION("""COMPUTED_VALUE"""),"BIB")</f>
        <v>BIB</v>
      </c>
      <c r="D77" s="42" t="str">
        <f>IFERROR(__xludf.DUMMYFUNCTION("""COMPUTED_VALUE"""),"10.1152/jn.1998.79.3.1145")</f>
        <v>10.1152/jn.1998.79.3.1145</v>
      </c>
      <c r="E77" s="103" t="str">
        <f>IFERROR(__xludf.DUMMYFUNCTION("""COMPUTED_VALUE"""),"@article{Robertson_1998,
	doi = {10.1152/jn.1998.79.3.1145},
	url = {https://doi.org/10.1152%2Fjn.1998.79.3.1145},
	year = 1998,
	month = {mar},
	publisher = {American Physiological Society},
	volume = {79},
	number = {3},
	pages = {1145--1156},
	author ="&amp;" {Robert G. Robertson and Edmund T. Rolls and Pierre Georges-Fran{\c{c}}ois},
	title = {Spatial View Cells in the Primate Hippocampus: Effects of Removal of View Details},
	journal = {Journal of Neurophysiology}
}")</f>
        <v>@article{Robertson_1998,
	doi = {10.1152/jn.1998.79.3.1145},
	url = {https://doi.org/10.1152%2Fjn.1998.79.3.1145},
	year = 1998,
	month = {mar},
	publisher = {American Physiological Society},
	volume = {79},
	number = {3},
	pages = {1145--1156},
	author = {Robert G. Robertson and Edmund T. Rolls and Pierre Georges-Fran{\c{c}}ois},
	title = {Spatial View Cells in the Primate Hippocampus: Effects of Removal of View Details},
	journal = {Journal of Neurophysiology}
}</v>
      </c>
      <c r="F77" s="42"/>
      <c r="G77" s="9" t="str">
        <f>IFERROR(__xludf.DUMMYFUNCTION("""COMPUTED_VALUE"""),"Article")</f>
        <v>Article</v>
      </c>
      <c r="H77" s="9" t="str">
        <f>IFERROR(__xludf.DUMMYFUNCTION("""COMPUTED_VALUE"""),"Robert G. Robertson, Edmund T. Rolls, Pierre Georges-Fran{\c{c}}ois")</f>
        <v>Robert G. Robertson, Edmund T. Rolls, Pierre Georges-Fran{\c{c}}ois</v>
      </c>
      <c r="I77" s="9" t="str">
        <f>IFERROR(__xludf.DUMMYFUNCTION("""COMPUTED_VALUE"""),"Spatial View Cells in the Primate Hippocampus: Effects of Removal of View Details")</f>
        <v>Spatial View Cells in the Primate Hippocampus: Effects of Removal of View Details</v>
      </c>
      <c r="J77" s="9" t="str">
        <f>IFERROR(__xludf.DUMMYFUNCTION("""COMPUTED_VALUE"""),"Journal of Neurophysiology")</f>
        <v>Journal of Neurophysiology</v>
      </c>
      <c r="K77" s="42"/>
      <c r="L77" s="42" t="str">
        <f>IFERROR(__xludf.DUMMYFUNCTION("""COMPUTED_VALUE"""),"Ayako Fukawa")</f>
        <v>Ayako Fukawa</v>
      </c>
      <c r="M77" s="42" t="str">
        <f>IFERROR(__xludf.DUMMYFUNCTION("""COMPUTED_VALUE"""),"AT20HippocampalFormation")</f>
        <v>AT20HippocampalFormation</v>
      </c>
      <c r="N77" s="42"/>
      <c r="O77" s="42"/>
      <c r="P77" s="9"/>
      <c r="Q77" s="9"/>
      <c r="R77" s="42"/>
      <c r="S77" s="42"/>
      <c r="T77" s="42"/>
      <c r="U77" s="42"/>
      <c r="V77" s="42"/>
      <c r="W77" s="42"/>
    </row>
    <row r="78">
      <c r="A78" s="9" t="str">
        <f>IFERROR(__xludf.DUMMYFUNCTION("""COMPUTED_VALUE"""),"Robertson, 1998")</f>
        <v>Robertson, 1998</v>
      </c>
      <c r="B78" s="31" t="str">
        <f>IFERROR(__xludf.DUMMYFUNCTION("""COMPUTED_VALUE"""),"DOC")</f>
        <v>DOC</v>
      </c>
      <c r="C78" s="31" t="str">
        <f>IFERROR(__xludf.DUMMYFUNCTION("""COMPUTED_VALUE"""),"BIB")</f>
        <v>BIB</v>
      </c>
      <c r="D78" s="42" t="str">
        <f>IFERROR(__xludf.DUMMYFUNCTION("""COMPUTED_VALUE"""),"10.1152/jn.1998.79.3.1145")</f>
        <v>10.1152/jn.1998.79.3.1145</v>
      </c>
      <c r="E78" s="103" t="str">
        <f>IFERROR(__xludf.DUMMYFUNCTION("""COMPUTED_VALUE"""),"@article{Robertson_1998,
	doi = {10.1152/jn.1998.79.3.1145},
	url = {https://doi.org/10.1152%2Fjn.1998.79.3.1145},
	year = 1998,
	month = {mar},
	publisher = {American Physiological Society},
	volume = {79},
	number = {3},
	pages = {1145--1156},
	author ="&amp;" {Robert G. Robertson and Edmund T. Rolls and Pierre Georges-Fran{\c{c}}ois},
	title = {Spatial View Cells in the Primate Hippocampus: Effects of Removal of View Details},
	journal = {Journal of Neurophysiology}
}")</f>
        <v>@article{Robertson_1998,
	doi = {10.1152/jn.1998.79.3.1145},
	url = {https://doi.org/10.1152%2Fjn.1998.79.3.1145},
	year = 1998,
	month = {mar},
	publisher = {American Physiological Society},
	volume = {79},
	number = {3},
	pages = {1145--1156},
	author = {Robert G. Robertson and Edmund T. Rolls and Pierre Georges-Fran{\c{c}}ois},
	title = {Spatial View Cells in the Primate Hippocampus: Effects of Removal of View Details},
	journal = {Journal of Neurophysiology}
}</v>
      </c>
      <c r="F78" s="42"/>
      <c r="G78" s="9" t="str">
        <f>IFERROR(__xludf.DUMMYFUNCTION("""COMPUTED_VALUE"""),"Article")</f>
        <v>Article</v>
      </c>
      <c r="H78" s="9" t="str">
        <f>IFERROR(__xludf.DUMMYFUNCTION("""COMPUTED_VALUE"""),"Robert G. Robertson, Edmund T. Rolls, Pierre Georges-Fran{\c{c}}ois")</f>
        <v>Robert G. Robertson, Edmund T. Rolls, Pierre Georges-Fran{\c{c}}ois</v>
      </c>
      <c r="I78" s="9" t="str">
        <f>IFERROR(__xludf.DUMMYFUNCTION("""COMPUTED_VALUE"""),"Spatial View Cells in the Primate Hippocampus: Effects of Removal of View Details")</f>
        <v>Spatial View Cells in the Primate Hippocampus: Effects of Removal of View Details</v>
      </c>
      <c r="J78" s="9" t="str">
        <f>IFERROR(__xludf.DUMMYFUNCTION("""COMPUTED_VALUE"""),"Journal of Neurophysiology")</f>
        <v>Journal of Neurophysiology</v>
      </c>
      <c r="K78" s="42"/>
      <c r="L78" s="42"/>
      <c r="M78" s="42"/>
      <c r="N78" s="42"/>
      <c r="O78" s="42"/>
      <c r="P78" s="9"/>
      <c r="Q78" s="9"/>
      <c r="R78" s="42"/>
      <c r="S78" s="42"/>
      <c r="T78" s="42"/>
      <c r="U78" s="42"/>
      <c r="V78" s="42"/>
      <c r="W78" s="42"/>
    </row>
    <row r="79">
      <c r="A79" s="9" t="str">
        <f>IFERROR(__xludf.DUMMYFUNCTION("""COMPUTED_VALUE"""),"Ralph, 2016")</f>
        <v>Ralph, 2016</v>
      </c>
      <c r="B79" s="31" t="str">
        <f>IFERROR(__xludf.DUMMYFUNCTION("""COMPUTED_VALUE"""),"DOC")</f>
        <v>DOC</v>
      </c>
      <c r="C79" s="31" t="str">
        <f>IFERROR(__xludf.DUMMYFUNCTION("""COMPUTED_VALUE"""),"BIB")</f>
        <v>BIB</v>
      </c>
      <c r="D79" s="42" t="str">
        <f>IFERROR(__xludf.DUMMYFUNCTION("""COMPUTED_VALUE"""),"10.1038/nrn.2016.150")</f>
        <v>10.1038/nrn.2016.150</v>
      </c>
      <c r="E79" s="103" t="str">
        <f>IFERROR(__xludf.DUMMYFUNCTION("""COMPUTED_VALUE"""),"@article{Ralph_2016,
	doi = {10.1038/nrn.2016.150},
	url = {https://doi.org/10.1038%2Fnrn.2016.150},
	year = 2016,
	month = {nov},
	publisher = {Springer Science and Business Media {LLC}},
	volume = {18},
	number = {1},
	pages = {42--55},
	author = {Matth"&amp;"ew A. Lambon Ralph and Elizabeth Jefferies and Karalyn Patterson and Timothy T. Rogers},
	title = {The neural and computational bases of semantic cognition},
	journal = {Nature Reviews Neuroscience}
}")</f>
        <v>@article{Ralph_2016,
	doi = {10.1038/nrn.2016.150},
	url = {https://doi.org/10.1038%2Fnrn.2016.150},
	year = 2016,
	month = {nov},
	publisher = {Springer Science and Business Media {LLC}},
	volume = {18},
	number = {1},
	pages = {42--55},
	author = {Matthew A. Lambon Ralph and Elizabeth Jefferies and Karalyn Patterson and Timothy T. Rogers},
	title = {The neural and computational bases of semantic cognition},
	journal = {Nature Reviews Neuroscience}
}</v>
      </c>
      <c r="F79" s="42"/>
      <c r="G79" s="9" t="str">
        <f>IFERROR(__xludf.DUMMYFUNCTION("""COMPUTED_VALUE"""),"Article")</f>
        <v>Article</v>
      </c>
      <c r="H79" s="9" t="str">
        <f>IFERROR(__xludf.DUMMYFUNCTION("""COMPUTED_VALUE"""),"Matthew A. Lambon Ralph, Elizabeth Jefferies, Karalyn Patterson, Timothy T. Rogers")</f>
        <v>Matthew A. Lambon Ralph, Elizabeth Jefferies, Karalyn Patterson, Timothy T. Rogers</v>
      </c>
      <c r="I79" s="9" t="str">
        <f>IFERROR(__xludf.DUMMYFUNCTION("""COMPUTED_VALUE"""),"The neural and computational bases of semantic cognition")</f>
        <v>The neural and computational bases of semantic cognition</v>
      </c>
      <c r="J79" s="9" t="str">
        <f>IFERROR(__xludf.DUMMYFUNCTION("""COMPUTED_VALUE"""),"Nature Reviews Neuroscience")</f>
        <v>Nature Reviews Neuroscience</v>
      </c>
      <c r="K79" s="42"/>
      <c r="L79" s="42" t="str">
        <f>IFERROR(__xludf.DUMMYFUNCTION("""COMPUTED_VALUE"""),"Hiroshi Yamakawa")</f>
        <v>Hiroshi Yamakawa</v>
      </c>
      <c r="M79" s="42" t="str">
        <f>IFERROR(__xludf.DUMMYFUNCTION("""COMPUTED_VALUE"""),"HY22DAA")</f>
        <v>HY22DAA</v>
      </c>
      <c r="N79" s="42"/>
      <c r="O79" s="42"/>
      <c r="P79" s="9"/>
      <c r="Q79" s="9"/>
      <c r="R79" s="42"/>
      <c r="S79" s="42"/>
      <c r="T79" s="42"/>
      <c r="U79" s="42"/>
      <c r="V79" s="42"/>
      <c r="W79" s="42"/>
    </row>
    <row r="80">
      <c r="A80" s="9" t="str">
        <f>IFERROR(__xludf.DUMMYFUNCTION("""COMPUTED_VALUE"""),"Rajakumar, 1993")</f>
        <v>Rajakumar, 1993</v>
      </c>
      <c r="B80" s="31" t="str">
        <f>IFERROR(__xludf.DUMMYFUNCTION("""COMPUTED_VALUE"""),"DOC")</f>
        <v>DOC</v>
      </c>
      <c r="C80" s="31" t="str">
        <f>IFERROR(__xludf.DUMMYFUNCTION("""COMPUTED_VALUE"""),"BIB")</f>
        <v>BIB</v>
      </c>
      <c r="D80" s="42" t="str">
        <f>IFERROR(__xludf.DUMMYFUNCTION("""COMPUTED_VALUE"""),"10.1002/cne.903310210")</f>
        <v>10.1002/cne.903310210</v>
      </c>
      <c r="E80" s="103" t="str">
        <f>IFERROR(__xludf.DUMMYFUNCTION("""COMPUTED_VALUE"""),"@article{Rajakumar_1993,
	doi = {10.1002/cne.903310210},
	url = {https://doi.org/10.1002%2Fcne.903310210},
	year = 1993,
	month = {may},
	publisher = {Wiley},
	volume = {331},
	number = {2},
	pages = {286--296},
	author = {N. Rajakumar and K. Elisevich an"&amp;"d B. A. Flumerfelt},
	title = {Compartmental origin of the striato-entopeduncular projection in the rat},
	journal = {The Journal of Comparative Neurology}
}")</f>
        <v>@article{Rajakumar_1993,
	doi = {10.1002/cne.903310210},
	url = {https://doi.org/10.1002%2Fcne.903310210},
	year = 1993,
	month = {may},
	publisher = {Wiley},
	volume = {331},
	number = {2},
	pages = {286--296},
	author = {N. Rajakumar and K. Elisevich and B. A. Flumerfelt},
	title = {Compartmental origin of the striato-entopeduncular projection in the rat},
	journal = {The Journal of Comparative Neurology}
}</v>
      </c>
      <c r="F80" s="42"/>
      <c r="G80" s="9" t="str">
        <f>IFERROR(__xludf.DUMMYFUNCTION("""COMPUTED_VALUE"""),"Article")</f>
        <v>Article</v>
      </c>
      <c r="H80" s="9" t="str">
        <f>IFERROR(__xludf.DUMMYFUNCTION("""COMPUTED_VALUE"""),"N. Rajakumar, K. Elisevich, B. A. Flumerfelt")</f>
        <v>N. Rajakumar, K. Elisevich, B. A. Flumerfelt</v>
      </c>
      <c r="I80" s="9" t="str">
        <f>IFERROR(__xludf.DUMMYFUNCTION("""COMPUTED_VALUE"""),"Compartmental origin of the striato-entopeduncular projection in the rat")</f>
        <v>Compartmental origin of the striato-entopeduncular projection in the rat</v>
      </c>
      <c r="J80" s="9" t="str">
        <f>IFERROR(__xludf.DUMMYFUNCTION("""COMPUTED_VALUE"""),"The Journal of Comparative Neurology")</f>
        <v>The Journal of Comparative Neurology</v>
      </c>
      <c r="K80" s="42"/>
      <c r="L80" s="42" t="str">
        <f>IFERROR(__xludf.DUMMYFUNCTION("""COMPUTED_VALUE"""),"Yuske Shibata")</f>
        <v>Yuske Shibata</v>
      </c>
      <c r="M80" s="42" t="str">
        <f>IFERROR(__xludf.DUMMYFUNCTION("""COMPUTED_VALUE"""),"YS21BgLoop")</f>
        <v>YS21BgLoop</v>
      </c>
      <c r="N80" s="42"/>
      <c r="O80" s="42"/>
      <c r="P80" s="9"/>
      <c r="Q80" s="9"/>
      <c r="R80" s="42"/>
      <c r="S80" s="42"/>
      <c r="T80" s="42"/>
      <c r="U80" s="42"/>
      <c r="V80" s="42"/>
      <c r="W80" s="42"/>
    </row>
    <row r="81">
      <c r="A81" s="9" t="str">
        <f>IFERROR(__xludf.DUMMYFUNCTION("""COMPUTED_VALUE"""),"Rajakumar, 1993")</f>
        <v>Rajakumar, 1993</v>
      </c>
      <c r="B81" s="31" t="str">
        <f>IFERROR(__xludf.DUMMYFUNCTION("""COMPUTED_VALUE"""),"DOC")</f>
        <v>DOC</v>
      </c>
      <c r="C81" s="31" t="str">
        <f>IFERROR(__xludf.DUMMYFUNCTION("""COMPUTED_VALUE"""),"BIB")</f>
        <v>BIB</v>
      </c>
      <c r="D81" s="42" t="str">
        <f>IFERROR(__xludf.DUMMYFUNCTION("""COMPUTED_VALUE"""),"10.1002/cne.903310210")</f>
        <v>10.1002/cne.903310210</v>
      </c>
      <c r="E81" s="103" t="str">
        <f>IFERROR(__xludf.DUMMYFUNCTION("""COMPUTED_VALUE"""),"@article{Rajakumar_1993,
	doi = {10.1002/cne.903310210},
	url = {https://doi.org/10.1002%2Fcne.903310210},
	year = 1993,
	month = {may},
	publisher = {Wiley},
	volume = {331},
	number = {2},
	pages = {286--296},
	author = {N. Rajakumar and K. Elisevich an"&amp;"d B. A. Flumerfelt},
	title = {Compartmental origin of the striato-entopeduncular projection in the rat},
	journal = {The Journal of Comparative Neurology}
}")</f>
        <v>@article{Rajakumar_1993,
	doi = {10.1002/cne.903310210},
	url = {https://doi.org/10.1002%2Fcne.903310210},
	year = 1993,
	month = {may},
	publisher = {Wiley},
	volume = {331},
	number = {2},
	pages = {286--296},
	author = {N. Rajakumar and K. Elisevich and B. A. Flumerfelt},
	title = {Compartmental origin of the striato-entopeduncular projection in the rat},
	journal = {The Journal of Comparative Neurology}
}</v>
      </c>
      <c r="F81" s="42"/>
      <c r="G81" s="9" t="str">
        <f>IFERROR(__xludf.DUMMYFUNCTION("""COMPUTED_VALUE"""),"Article")</f>
        <v>Article</v>
      </c>
      <c r="H81" s="9" t="str">
        <f>IFERROR(__xludf.DUMMYFUNCTION("""COMPUTED_VALUE"""),"N. Rajakumar, K. Elisevich, B. A. Flumerfelt")</f>
        <v>N. Rajakumar, K. Elisevich, B. A. Flumerfelt</v>
      </c>
      <c r="I81" s="9" t="str">
        <f>IFERROR(__xludf.DUMMYFUNCTION("""COMPUTED_VALUE"""),"Compartmental origin of the striato-entopeduncular projection in the rat")</f>
        <v>Compartmental origin of the striato-entopeduncular projection in the rat</v>
      </c>
      <c r="J81" s="9" t="str">
        <f>IFERROR(__xludf.DUMMYFUNCTION("""COMPUTED_VALUE"""),"The Journal of Comparative Neurology")</f>
        <v>The Journal of Comparative Neurology</v>
      </c>
      <c r="K81" s="42"/>
      <c r="L81" s="42"/>
      <c r="M81" s="42"/>
      <c r="N81" s="42"/>
      <c r="O81" s="42"/>
      <c r="P81" s="9"/>
      <c r="Q81" s="9"/>
      <c r="R81" s="42"/>
      <c r="S81" s="42"/>
      <c r="T81" s="42"/>
      <c r="U81" s="42"/>
      <c r="V81" s="42"/>
      <c r="W81" s="42"/>
    </row>
    <row r="82">
      <c r="A82" s="9" t="str">
        <f>IFERROR(__xludf.DUMMYFUNCTION("""COMPUTED_VALUE"""),"Quinet, 2020")</f>
        <v>Quinet, 2020</v>
      </c>
      <c r="B82" s="31" t="str">
        <f>IFERROR(__xludf.DUMMYFUNCTION("""COMPUTED_VALUE"""),"DOC")</f>
        <v>DOC</v>
      </c>
      <c r="C82" s="31" t="str">
        <f>IFERROR(__xludf.DUMMYFUNCTION("""COMPUTED_VALUE"""),"BIB")</f>
        <v>BIB</v>
      </c>
      <c r="D82" s="42" t="str">
        <f>IFERROR(__xludf.DUMMYFUNCTION("""COMPUTED_VALUE"""),"10.1073/pnas.2015318117")</f>
        <v>10.1073/pnas.2015318117</v>
      </c>
      <c r="E82" s="103" t="str">
        <f>IFERROR(__xludf.DUMMYFUNCTION("""COMPUTED_VALUE"""),"@article{Quinet_2020,
	doi = {10.1073/pnas.2015318117},
	url = {https://doi.org/10.1073%2Fpnas.2015318117},
	year = 2020,
	month = {nov},
	publisher = {Proceedings of the National Academy of Sciences},
	volume = {117},
	number = {46},
	pages = {29123--291"&amp;"32},
	author = {Julie Quinet and Kevin Schultz and Paul J. May and Paul D. Gamlin},
	title = {Neural control of rapid binocular eye movements: Saccade-vergence burst neurons},
	journal = {Proceedings of the National Academy of Sciences}
}")</f>
        <v>@article{Quinet_2020,
	doi = {10.1073/pnas.2015318117},
	url = {https://doi.org/10.1073%2Fpnas.2015318117},
	year = 2020,
	month = {nov},
	publisher = {Proceedings of the National Academy of Sciences},
	volume = {117},
	number = {46},
	pages = {29123--29132},
	author = {Julie Quinet and Kevin Schultz and Paul J. May and Paul D. Gamlin},
	title = {Neural control of rapid binocular eye movements: Saccade-vergence burst neurons},
	journal = {Proceedings of the National Academy of Sciences}
}</v>
      </c>
      <c r="F82" s="42"/>
      <c r="G82" s="9" t="str">
        <f>IFERROR(__xludf.DUMMYFUNCTION("""COMPUTED_VALUE"""),"Article")</f>
        <v>Article</v>
      </c>
      <c r="H82" s="9" t="str">
        <f>IFERROR(__xludf.DUMMYFUNCTION("""COMPUTED_VALUE"""),"Julie Quinet, Kevin Schultz, Paul J. May, Paul D. Gamlin")</f>
        <v>Julie Quinet, Kevin Schultz, Paul J. May, Paul D. Gamlin</v>
      </c>
      <c r="I82" s="9" t="str">
        <f>IFERROR(__xludf.DUMMYFUNCTION("""COMPUTED_VALUE"""),"Neural control of rapid binocular eye movements: Saccade-vergence burst neurons")</f>
        <v>Neural control of rapid binocular eye movements: Saccade-vergence burst neurons</v>
      </c>
      <c r="J82" s="9" t="str">
        <f>IFERROR(__xludf.DUMMYFUNCTION("""COMPUTED_VALUE"""),"Proceedings of the National Academy of Sciences")</f>
        <v>Proceedings of the National Academy of Sciences</v>
      </c>
      <c r="K82" s="42"/>
      <c r="L82" s="42" t="str">
        <f>IFERROR(__xludf.DUMMYFUNCTION("""COMPUTED_VALUE"""),"Yoshinasa Tawatsji")</f>
        <v>Yoshinasa Tawatsji</v>
      </c>
      <c r="M82" s="42" t="str">
        <f>IFERROR(__xludf.DUMMYFUNCTION("""COMPUTED_VALUE"""),"Oculomotor")</f>
        <v>Oculomotor</v>
      </c>
      <c r="N82" s="42"/>
      <c r="O82" s="42"/>
      <c r="P82" s="9"/>
      <c r="Q82" s="9"/>
      <c r="R82" s="42"/>
      <c r="S82" s="42"/>
      <c r="T82" s="42"/>
      <c r="U82" s="42"/>
      <c r="V82" s="42"/>
      <c r="W82" s="42"/>
    </row>
    <row r="83">
      <c r="A83" s="9" t="str">
        <f>IFERROR(__xludf.DUMMYFUNCTION("""COMPUTED_VALUE"""),"Pitkänen, 2000")</f>
        <v>Pitkänen, 2000</v>
      </c>
      <c r="B83" s="31" t="str">
        <f>IFERROR(__xludf.DUMMYFUNCTION("""COMPUTED_VALUE"""),"DOC(alt)")</f>
        <v>DOC(alt)</v>
      </c>
      <c r="C83" s="31" t="str">
        <f>IFERROR(__xludf.DUMMYFUNCTION("""COMPUTED_VALUE"""),"(no DOI)")</f>
        <v>(no DOI)</v>
      </c>
      <c r="D83" s="42"/>
      <c r="E83" s="103" t="str">
        <f>IFERROR(__xludf.DUMMYFUNCTION("""COMPUTED_VALUE"""),"@ARTICLE{Pitkänen2000,
  title    = {Anatomic heterogeneity of the rat amygdaloid complex},
  author   = {Pitkänen, A and Jolkkonen, E and Kemppainen, S},
  journal  = {Folia morphologica},
  volume   =  59,
  number   =  1,
  pages    = ""1--23"",
  year"&amp;"     =  2000,
  language = ""en"",
  issn     = ""0015-5659"",
  pmid     = ""10774087""
}")</f>
        <v>@ARTICLE{Pitkänen2000,
  title    = {Anatomic heterogeneity of the rat amygdaloid complex},
  author   = {Pitkänen, A and Jolkkonen, E and Kemppainen, S},
  journal  = {Folia morphologica},
  volume   =  59,
  number   =  1,
  pages    = "1--23",
  year     =  2000,
  language = "en",
  issn     = "0015-5659",
  pmid     = "10774087"
}</v>
      </c>
      <c r="F83" s="42" t="str">
        <f>IFERROR(__xludf.DUMMYFUNCTION("""COMPUTED_VALUE"""),"Review")</f>
        <v>Review</v>
      </c>
      <c r="G83" s="9" t="str">
        <f>IFERROR(__xludf.DUMMYFUNCTION("""COMPUTED_VALUE"""),"Article")</f>
        <v>Article</v>
      </c>
      <c r="H83" s="9" t="str">
        <f>IFERROR(__xludf.DUMMYFUNCTION("""COMPUTED_VALUE"""),"Pitkänen, A, Jolkkonen, E, Kemppainen, S")</f>
        <v>Pitkänen, A, Jolkkonen, E, Kemppainen, S</v>
      </c>
      <c r="I83" s="9" t="str">
        <f>IFERROR(__xludf.DUMMYFUNCTION("""COMPUTED_VALUE"""),"Anatomic heterogeneity of the rat amygdaloid complex")</f>
        <v>Anatomic heterogeneity of the rat amygdaloid complex</v>
      </c>
      <c r="J83" s="9" t="str">
        <f>IFERROR(__xludf.DUMMYFUNCTION("""COMPUTED_VALUE"""),"Folia morphologica")</f>
        <v>Folia morphologica</v>
      </c>
      <c r="K83" s="133" t="str">
        <f>IFERROR(__xludf.DUMMYFUNCTION("""COMPUTED_VALUE"""),"https://journals.viamedica.pl/folia_morphologica/article/viewFile/16543/13176#page=1")</f>
        <v>https://journals.viamedica.pl/folia_morphologica/article/viewFile/16543/13176#page=1</v>
      </c>
      <c r="L83" s="42" t="str">
        <f>IFERROR(__xludf.DUMMYFUNCTION("""COMPUTED_VALUE"""),"Tatsuya Miyamoto")</f>
        <v>Tatsuya Miyamoto</v>
      </c>
      <c r="M83" s="42" t="str">
        <f>IFERROR(__xludf.DUMMYFUNCTION("""COMPUTED_VALUE"""),"TM21Amygdala")</f>
        <v>TM21Amygdala</v>
      </c>
      <c r="N83" s="42"/>
      <c r="O83" s="42"/>
      <c r="P83" s="9"/>
      <c r="Q83" s="9"/>
      <c r="R83" s="42"/>
      <c r="S83" s="42"/>
      <c r="T83" s="42"/>
      <c r="U83" s="42"/>
      <c r="V83" s="42"/>
      <c r="W83" s="42"/>
    </row>
    <row r="84">
      <c r="A84" s="9" t="str">
        <f>IFERROR(__xludf.DUMMYFUNCTION("""COMPUTED_VALUE"""),"Pierce, 2020")</f>
        <v>Pierce, 2020</v>
      </c>
      <c r="B84" s="31" t="str">
        <f>IFERROR(__xludf.DUMMYFUNCTION("""COMPUTED_VALUE"""),"DOC")</f>
        <v>DOC</v>
      </c>
      <c r="C84" s="31" t="str">
        <f>IFERROR(__xludf.DUMMYFUNCTION("""COMPUTED_VALUE"""),"BIB")</f>
        <v>BIB</v>
      </c>
      <c r="D84" s="42" t="str">
        <f>IFERROR(__xludf.DUMMYFUNCTION("""COMPUTED_VALUE"""),"10.1093/scan/nsaa076")</f>
        <v>10.1093/scan/nsaa076</v>
      </c>
      <c r="E84" s="103" t="str">
        <f>IFERROR(__xludf.DUMMYFUNCTION("""COMPUTED_VALUE"""),"@article{Pierce_2020,
	doi = {10.1093/scan/nsaa076},
	url = {https://doi.org/10.1093%2Fscan%2Fnsaa076},
	year = 2020,
	month = {may},
	publisher = {Oxford University Press ({OUP})},
	volume = {15},
	number = {5},
	pages = {599--613},
	author = {Jordan E P"&amp;"ierce and Julie P{\'{e}}ron},
	title = {The basal ganglia and the cerebellum in human emotion},
	journal = {Social Cognitive and Affective Neuroscience}
}")</f>
        <v>@article{Pierce_2020,
	doi = {10.1093/scan/nsaa076},
	url = {https://doi.org/10.1093%2Fscan%2Fnsaa076},
	year = 2020,
	month = {may},
	publisher = {Oxford University Press ({OUP})},
	volume = {15},
	number = {5},
	pages = {599--613},
	author = {Jordan E Pierce and Julie P{\'{e}}ron},
	title = {The basal ganglia and the cerebellum in human emotion},
	journal = {Social Cognitive and Affective Neuroscience}
}</v>
      </c>
      <c r="F84" s="42"/>
      <c r="G84" s="9" t="str">
        <f>IFERROR(__xludf.DUMMYFUNCTION("""COMPUTED_VALUE"""),"Article")</f>
        <v>Article</v>
      </c>
      <c r="H84" s="9" t="str">
        <f>IFERROR(__xludf.DUMMYFUNCTION("""COMPUTED_VALUE"""),"Jordan E Pierce, Julie P{\'{e}}ron")</f>
        <v>Jordan E Pierce, Julie P{\'{e}}ron</v>
      </c>
      <c r="I84" s="9" t="str">
        <f>IFERROR(__xludf.DUMMYFUNCTION("""COMPUTED_VALUE"""),"The basal ganglia and the cerebellum in human emotion")</f>
        <v>The basal ganglia and the cerebellum in human emotion</v>
      </c>
      <c r="J84" s="9" t="str">
        <f>IFERROR(__xludf.DUMMYFUNCTION("""COMPUTED_VALUE"""),"Social Cognitive and Affective Neuroscience")</f>
        <v>Social Cognitive and Affective Neuroscience</v>
      </c>
      <c r="K84" s="42"/>
      <c r="L84" s="42" t="str">
        <f>IFERROR(__xludf.DUMMYFUNCTION("""COMPUTED_VALUE"""),"Yuske Shibata")</f>
        <v>Yuske Shibata</v>
      </c>
      <c r="M84" s="42" t="str">
        <f>IFERROR(__xludf.DUMMYFUNCTION("""COMPUTED_VALUE"""),"YS21BgLoop")</f>
        <v>YS21BgLoop</v>
      </c>
      <c r="N84" s="42"/>
      <c r="O84" s="42"/>
      <c r="P84" s="9"/>
      <c r="Q84" s="9"/>
      <c r="R84" s="42"/>
      <c r="S84" s="42"/>
      <c r="T84" s="42"/>
      <c r="U84" s="42"/>
      <c r="V84" s="42"/>
      <c r="W84" s="42"/>
    </row>
    <row r="85">
      <c r="A85" s="9" t="str">
        <f>IFERROR(__xludf.DUMMYFUNCTION("""COMPUTED_VALUE"""),"Pierce, 2020")</f>
        <v>Pierce, 2020</v>
      </c>
      <c r="B85" s="31" t="str">
        <f>IFERROR(__xludf.DUMMYFUNCTION("""COMPUTED_VALUE"""),"DOC")</f>
        <v>DOC</v>
      </c>
      <c r="C85" s="31" t="str">
        <f>IFERROR(__xludf.DUMMYFUNCTION("""COMPUTED_VALUE"""),"BIB")</f>
        <v>BIB</v>
      </c>
      <c r="D85" s="42" t="str">
        <f>IFERROR(__xludf.DUMMYFUNCTION("""COMPUTED_VALUE"""),"10.1093/scan/nsaa076")</f>
        <v>10.1093/scan/nsaa076</v>
      </c>
      <c r="E85" s="103" t="str">
        <f>IFERROR(__xludf.DUMMYFUNCTION("""COMPUTED_VALUE"""),"@article{Pierce_2020,
	doi = {10.1093/scan/nsaa076},
	url = {https://doi.org/10.1093%2Fscan%2Fnsaa076},
	year = 2020,
	month = {may},
	publisher = {Oxford University Press ({OUP})},
	volume = {15},
	number = {5},
	pages = {599--613},
	author = {Jordan E P"&amp;"ierce and Julie P{\'{e}}ron},
	title = {The basal ganglia and the cerebellum in human emotion},
	journal = {Social Cognitive and Affective Neuroscience}
}")</f>
        <v>@article{Pierce_2020,
	doi = {10.1093/scan/nsaa076},
	url = {https://doi.org/10.1093%2Fscan%2Fnsaa076},
	year = 2020,
	month = {may},
	publisher = {Oxford University Press ({OUP})},
	volume = {15},
	number = {5},
	pages = {599--613},
	author = {Jordan E Pierce and Julie P{\'{e}}ron},
	title = {The basal ganglia and the cerebellum in human emotion},
	journal = {Social Cognitive and Affective Neuroscience}
}</v>
      </c>
      <c r="F85" s="42"/>
      <c r="G85" s="9" t="str">
        <f>IFERROR(__xludf.DUMMYFUNCTION("""COMPUTED_VALUE"""),"Article")</f>
        <v>Article</v>
      </c>
      <c r="H85" s="9" t="str">
        <f>IFERROR(__xludf.DUMMYFUNCTION("""COMPUTED_VALUE"""),"Jordan E Pierce, Julie P{\'{e}}ron")</f>
        <v>Jordan E Pierce, Julie P{\'{e}}ron</v>
      </c>
      <c r="I85" s="9" t="str">
        <f>IFERROR(__xludf.DUMMYFUNCTION("""COMPUTED_VALUE"""),"The basal ganglia and the cerebellum in human emotion")</f>
        <v>The basal ganglia and the cerebellum in human emotion</v>
      </c>
      <c r="J85" s="9" t="str">
        <f>IFERROR(__xludf.DUMMYFUNCTION("""COMPUTED_VALUE"""),"Social Cognitive and Affective Neuroscience")</f>
        <v>Social Cognitive and Affective Neuroscience</v>
      </c>
      <c r="K85" s="135"/>
      <c r="L85" s="42"/>
      <c r="M85" s="42"/>
      <c r="N85" s="42"/>
      <c r="O85" s="42"/>
      <c r="P85" s="9"/>
      <c r="Q85" s="9"/>
      <c r="R85" s="42"/>
      <c r="S85" s="42"/>
      <c r="T85" s="42"/>
      <c r="U85" s="42"/>
      <c r="V85" s="42"/>
      <c r="W85" s="42"/>
    </row>
    <row r="86">
      <c r="A86" s="9" t="str">
        <f>IFERROR(__xludf.DUMMYFUNCTION("""COMPUTED_VALUE"""),"Piantoni, 2016")</f>
        <v>Piantoni, 2016</v>
      </c>
      <c r="B86" s="31" t="str">
        <f>IFERROR(__xludf.DUMMYFUNCTION("""COMPUTED_VALUE"""),"DOC")</f>
        <v>DOC</v>
      </c>
      <c r="C86" s="31" t="str">
        <f>IFERROR(__xludf.DUMMYFUNCTION("""COMPUTED_VALUE"""),"BIB")</f>
        <v>BIB</v>
      </c>
      <c r="D86" s="42" t="str">
        <f>IFERROR(__xludf.DUMMYFUNCTION("""COMPUTED_VALUE"""),"10.1155/2016/3024342")</f>
        <v>10.1155/2016/3024342</v>
      </c>
      <c r="E86" s="103" t="str">
        <f>IFERROR(__xludf.DUMMYFUNCTION("""COMPUTED_VALUE"""),"@article{Piantoni_2016,
	doi = {10.1155/2016/3024342},
	url = {https://doi.org/10.1155%2F2016%2F3024342},
	year = 2016,
	publisher = {Hindawi Limited},
	volume = {2016},
	pages = {1--10},
	author = {Giovanni Piantoni and Eric Halgren and Sydney S. Cash},
"&amp;"	title = {The Contribution of Thalamocortical Core and Matrix Pathways to Sleep Spindles},
	journal = {Neural Plasticity}
}")</f>
        <v>@article{Piantoni_2016,
	doi = {10.1155/2016/3024342},
	url = {https://doi.org/10.1155%2F2016%2F3024342},
	year = 2016,
	publisher = {Hindawi Limited},
	volume = {2016},
	pages = {1--10},
	author = {Giovanni Piantoni and Eric Halgren and Sydney S. Cash},
	title = {The Contribution of Thalamocortical Core and Matrix Pathways to Sleep Spindles},
	journal = {Neural Plasticity}
}</v>
      </c>
      <c r="F86" s="42"/>
      <c r="G86" s="9" t="str">
        <f>IFERROR(__xludf.DUMMYFUNCTION("""COMPUTED_VALUE"""),"Article")</f>
        <v>Article</v>
      </c>
      <c r="H86" s="9" t="str">
        <f>IFERROR(__xludf.DUMMYFUNCTION("""COMPUTED_VALUE"""),"Giovanni Piantoni, Eric Halgren, Sydney S. Cash")</f>
        <v>Giovanni Piantoni, Eric Halgren, Sydney S. Cash</v>
      </c>
      <c r="I86" s="9" t="str">
        <f>IFERROR(__xludf.DUMMYFUNCTION("""COMPUTED_VALUE"""),"The Contribution of Thalamocortical Core and Matrix Pathways to Sleep Spindles")</f>
        <v>The Contribution of Thalamocortical Core and Matrix Pathways to Sleep Spindles</v>
      </c>
      <c r="J86" s="9" t="str">
        <f>IFERROR(__xludf.DUMMYFUNCTION("""COMPUTED_VALUE"""),"Neural Plasticity")</f>
        <v>Neural Plasticity</v>
      </c>
      <c r="K86" s="42" t="str">
        <f>IFERROR(__xludf.DUMMYFUNCTION("""COMPUTED_VALUE"""),"Fig.1")</f>
        <v>Fig.1</v>
      </c>
      <c r="L86" s="42" t="str">
        <f>IFERROR(__xludf.DUMMYFUNCTION("""COMPUTED_VALUE"""),"Hiroshi Yamakawa")</f>
        <v>Hiroshi Yamakawa</v>
      </c>
      <c r="M86" s="42" t="str">
        <f>IFERROR(__xludf.DUMMYFUNCTION("""COMPUTED_VALUE"""),"HY18NeocorticalInterareaSignals")</f>
        <v>HY18NeocorticalInterareaSignals</v>
      </c>
      <c r="N86" s="42"/>
      <c r="O86" s="42"/>
      <c r="P86" s="9"/>
      <c r="Q86" s="9"/>
      <c r="R86" s="42"/>
      <c r="S86" s="42"/>
      <c r="T86" s="42"/>
      <c r="U86" s="42"/>
      <c r="V86" s="42"/>
      <c r="W86" s="42"/>
    </row>
    <row r="87">
      <c r="A87" s="9" t="str">
        <f>IFERROR(__xludf.DUMMYFUNCTION("""COMPUTED_VALUE"""),"Petrides, 2012")</f>
        <v>Petrides, 2012</v>
      </c>
      <c r="B87" s="31" t="str">
        <f>IFERROR(__xludf.DUMMYFUNCTION("""COMPUTED_VALUE"""),"DOC")</f>
        <v>DOC</v>
      </c>
      <c r="C87" s="31" t="str">
        <f>IFERROR(__xludf.DUMMYFUNCTION("""COMPUTED_VALUE"""),"BIB")</f>
        <v>BIB</v>
      </c>
      <c r="D87" s="42" t="str">
        <f>IFERROR(__xludf.DUMMYFUNCTION("""COMPUTED_VALUE"""),"10.1016/j.cortex.2011.07.002")</f>
        <v>10.1016/j.cortex.2011.07.002</v>
      </c>
      <c r="E87" s="103" t="str">
        <f>IFERROR(__xludf.DUMMYFUNCTION("""COMPUTED_VALUE"""),"@article{Petrides_2012,
	doi = {10.1016/j.cortex.2011.07.002},
	url = {https://doi.org/10.1016%2Fj.cortex.2011.07.002},
	year = 2012,
	month = {jan},
	publisher = {Elsevier {BV}},
	volume = {48},
	number = {1},
	pages = {46--57},
	author = {Michael Petrid"&amp;"es and Francesco Tomaiuolo and Edward H. Yeterian and Deepak N. Pandya},
	title = {The prefrontal cortex: Comparative architectonic organization in the human and the macaque monkey brains},
	journal = {Cortex}
}")</f>
        <v>@article{Petrides_2012,
	doi = {10.1016/j.cortex.2011.07.002},
	url = {https://doi.org/10.1016%2Fj.cortex.2011.07.002},
	year = 2012,
	month = {jan},
	publisher = {Elsevier {BV}},
	volume = {48},
	number = {1},
	pages = {46--57},
	author = {Michael Petrides and Francesco Tomaiuolo and Edward H. Yeterian and Deepak N. Pandya},
	title = {The prefrontal cortex: Comparative architectonic organization in the human and the macaque monkey brains},
	journal = {Cortex}
}</v>
      </c>
      <c r="F87" s="42"/>
      <c r="G87" s="9" t="str">
        <f>IFERROR(__xludf.DUMMYFUNCTION("""COMPUTED_VALUE"""),"Article")</f>
        <v>Article</v>
      </c>
      <c r="H87" s="9" t="str">
        <f>IFERROR(__xludf.DUMMYFUNCTION("""COMPUTED_VALUE"""),"Michael Petrides, Francesco Tomaiuolo, Edward H. Yeterian, Deepak N. Pandya")</f>
        <v>Michael Petrides, Francesco Tomaiuolo, Edward H. Yeterian, Deepak N. Pandya</v>
      </c>
      <c r="I87" s="9" t="str">
        <f>IFERROR(__xludf.DUMMYFUNCTION("""COMPUTED_VALUE"""),"The prefrontal cortex: Comparative architectonic organization in the human and the macaque monkey brains")</f>
        <v>The prefrontal cortex: Comparative architectonic organization in the human and the macaque monkey brains</v>
      </c>
      <c r="J87" s="9" t="str">
        <f>IFERROR(__xludf.DUMMYFUNCTION("""COMPUTED_VALUE"""),"Cortex")</f>
        <v>Cortex</v>
      </c>
      <c r="K87" s="42"/>
      <c r="L87" s="42"/>
      <c r="M87" s="42"/>
      <c r="N87" s="42"/>
      <c r="O87" s="42"/>
      <c r="P87" s="9"/>
      <c r="Q87" s="9"/>
      <c r="R87" s="42"/>
      <c r="S87" s="42"/>
      <c r="T87" s="42"/>
      <c r="U87" s="42"/>
      <c r="V87" s="42"/>
      <c r="W87" s="42"/>
    </row>
    <row r="88">
      <c r="A88" s="9" t="str">
        <f>IFERROR(__xludf.DUMMYFUNCTION("""COMPUTED_VALUE"""),"PereiradeVasconcelos, 2015")</f>
        <v>PereiradeVasconcelos, 2015</v>
      </c>
      <c r="B88" s="31" t="str">
        <f>IFERROR(__xludf.DUMMYFUNCTION("""COMPUTED_VALUE"""),"DOC")</f>
        <v>DOC</v>
      </c>
      <c r="C88" s="31" t="str">
        <f>IFERROR(__xludf.DUMMYFUNCTION("""COMPUTED_VALUE"""),"BIB")</f>
        <v>BIB</v>
      </c>
      <c r="D88" s="42" t="str">
        <f>IFERROR(__xludf.DUMMYFUNCTION("""COMPUTED_VALUE"""),"10.1016/j.neubiorev.2014.10.021")</f>
        <v>10.1016/j.neubiorev.2014.10.021</v>
      </c>
      <c r="E88" s="103" t="str">
        <f>IFERROR(__xludf.DUMMYFUNCTION("""COMPUTED_VALUE"""),"@article{Pereira_de_Vasconcelos_2015,
        doi = {10.1016/j.neubiorev.2014.10.021},
        url = {https://doi.org/10.1016%2Fj.neubiorev.2014.10.021},
        year = 2015,
        month = {jul},
        publisher = {Elsevier {BV}},
        volume = {54"&amp;"},
        pages = {175--196},
        author = {Anne Pereira de Vasconcelos and Jean-Christophe Cassel},
        title = {The nonspecific thalamus: A place in a wedding bed for making memories last?},
        journal = {Neuroscience &amp; Biobehavioral Revie"&amp;"ws}
}")</f>
        <v>@article{Pereira_de_Vasconcelos_2015,
        doi = {10.1016/j.neubiorev.2014.10.021},
        url = {https://doi.org/10.1016%2Fj.neubiorev.2014.10.021},
        year = 2015,
        month = {jul},
        publisher = {Elsevier {BV}},
        volume = {54},
        pages = {175--196},
        author = {Anne Pereira de Vasconcelos and Jean-Christophe Cassel},
        title = {The nonspecific thalamus: A place in a wedding bed for making memories last?},
        journal = {Neuroscience &amp; Biobehavioral Reviews}
}</v>
      </c>
      <c r="F88" s="42"/>
      <c r="G88" s="9" t="str">
        <f>IFERROR(__xludf.DUMMYFUNCTION("""COMPUTED_VALUE"""),"Article")</f>
        <v>Article</v>
      </c>
      <c r="H88" s="9" t="str">
        <f>IFERROR(__xludf.DUMMYFUNCTION("""COMPUTED_VALUE"""),"Anne Pereira de Vasconcelos, Jean-Christophe Cassel")</f>
        <v>Anne Pereira de Vasconcelos, Jean-Christophe Cassel</v>
      </c>
      <c r="I88" s="9" t="str">
        <f>IFERROR(__xludf.DUMMYFUNCTION("""COMPUTED_VALUE"""),"The nonspecific thalamus: A place in a wedding bed for making memories last?")</f>
        <v>The nonspecific thalamus: A place in a wedding bed for making memories last?</v>
      </c>
      <c r="J88" s="9" t="str">
        <f>IFERROR(__xludf.DUMMYFUNCTION("""COMPUTED_VALUE"""),"Neuroscience &amp; Biobehavioral Reviews")</f>
        <v>Neuroscience &amp; Biobehavioral Reviews</v>
      </c>
      <c r="K88" s="135" t="str">
        <f>IFERROR(__xludf.DUMMYFUNCTION("""COMPUTED_VALUE"""),"Fig.5")</f>
        <v>Fig.5</v>
      </c>
      <c r="L88" s="42" t="str">
        <f>IFERROR(__xludf.DUMMYFUNCTION("""COMPUTED_VALUE"""),"Hiroshi Yamakawa")</f>
        <v>Hiroshi Yamakawa</v>
      </c>
      <c r="M88" s="42" t="str">
        <f>IFERROR(__xludf.DUMMYFUNCTION("""COMPUTED_VALUE"""),"HY18NeocorticalInterareaSignals")</f>
        <v>HY18NeocorticalInterareaSignals</v>
      </c>
      <c r="N88" s="42"/>
      <c r="O88" s="42"/>
      <c r="P88" s="9"/>
      <c r="Q88" s="9"/>
      <c r="R88" s="42"/>
      <c r="S88" s="42"/>
      <c r="T88" s="42"/>
      <c r="U88" s="42"/>
      <c r="V88" s="42"/>
      <c r="W88" s="42"/>
    </row>
    <row r="89">
      <c r="A89" s="9" t="str">
        <f>IFERROR(__xludf.DUMMYFUNCTION("""COMPUTED_VALUE"""),"Paxinos, 2012")</f>
        <v>Paxinos, 2012</v>
      </c>
      <c r="B89" s="31" t="str">
        <f>IFERROR(__xludf.DUMMYFUNCTION("""COMPUTED_VALUE"""),"DOC(alt)")</f>
        <v>DOC(alt)</v>
      </c>
      <c r="C89" s="31" t="str">
        <f>IFERROR(__xludf.DUMMYFUNCTION("""COMPUTED_VALUE"""),"(no DOI)")</f>
        <v>(no DOI)</v>
      </c>
      <c r="D89" s="42"/>
      <c r="E89" s="103" t="str">
        <f>IFERROR(__xludf.DUMMYFUNCTION("""COMPUTED_VALUE"""),"
@BOOK{Paxinos2012,
  title     = {The Marmoset Brain in Stereotaxic Coordinates},
  author    = {Paxinos, George and Watson, Charles and Petrides, Michael and Rosa, Marcello and Tokuno, Hironobu},
  publisher = ""Elsevier Science"",
  month     =  ""27~"&amp;""" # oct,
  year      =  2012,
  language  = ""en"",
  isbn      = ""9780124158184""
}
")</f>
        <v>
@BOOK{Paxinos2012,
  title     = {The Marmoset Brain in Stereotaxic Coordinates},
  author    = {Paxinos, George and Watson, Charles and Petrides, Michael and Rosa, Marcello and Tokuno, Hironobu},
  publisher = "Elsevier Science",
  month     =  "27~" # oct,
  year      =  2012,
  language  = "en",
  isbn      = "9780124158184"
}
</v>
      </c>
      <c r="F89" s="42"/>
      <c r="G89" s="9" t="str">
        <f>IFERROR(__xludf.DUMMYFUNCTION("""COMPUTED_VALUE"""),"Book")</f>
        <v>Book</v>
      </c>
      <c r="H89" s="9" t="str">
        <f>IFERROR(__xludf.DUMMYFUNCTION("""COMPUTED_VALUE"""),"Paxinos, George, Watson, Charles, Petrides, Michael, Rosa, Marcello, Tokuno, Hironobu")</f>
        <v>Paxinos, George, Watson, Charles, Petrides, Michael, Rosa, Marcello, Tokuno, Hironobu</v>
      </c>
      <c r="I89" s="9" t="str">
        <f>IFERROR(__xludf.DUMMYFUNCTION("""COMPUTED_VALUE"""),"The Marmoset Brain in Stereotaxic Coordinates")</f>
        <v>The Marmoset Brain in Stereotaxic Coordinates</v>
      </c>
      <c r="J89" s="9" t="str">
        <f>IFERROR(__xludf.DUMMYFUNCTION("""COMPUTED_VALUE"""),"-")</f>
        <v>-</v>
      </c>
      <c r="K89" s="135" t="str">
        <f>IFERROR(__xludf.DUMMYFUNCTION("""COMPUTED_VALUE"""),"https://www.marmosetbrain.org/reference
https://journals.viamedica.pl/folia_morphologica/article/viewFile/16543/13176#page=1")</f>
        <v>https://www.marmosetbrain.org/reference
https://journals.viamedica.pl/folia_morphologica/article/viewFile/16543/13176#page=1</v>
      </c>
      <c r="L89" s="42" t="str">
        <f>IFERROR(__xludf.DUMMYFUNCTION("""COMPUTED_VALUE"""),"Yudai Suzuki")</f>
        <v>Yudai Suzuki</v>
      </c>
      <c r="M89" s="42" t="str">
        <f>IFERROR(__xludf.DUMMYFUNCTION("""COMPUTED_VALUE"""),"YS21Trust")</f>
        <v>YS21Trust</v>
      </c>
      <c r="N89" s="42"/>
      <c r="O89" s="42"/>
      <c r="P89" s="9"/>
      <c r="Q89" s="9"/>
      <c r="R89" s="42"/>
      <c r="S89" s="42"/>
      <c r="T89" s="42"/>
      <c r="U89" s="42"/>
      <c r="V89" s="42"/>
      <c r="W89" s="42"/>
    </row>
    <row r="90">
      <c r="A90" s="9" t="str">
        <f>IFERROR(__xludf.DUMMYFUNCTION("""COMPUTED_VALUE"""),"Passingham, 2012")</f>
        <v>Passingham, 2012</v>
      </c>
      <c r="B90" s="31" t="str">
        <f>IFERROR(__xludf.DUMMYFUNCTION("""COMPUTED_VALUE"""),"DOC")</f>
        <v>DOC</v>
      </c>
      <c r="C90" s="31" t="str">
        <f>IFERROR(__xludf.DUMMYFUNCTION("""COMPUTED_VALUE"""),"BIB")</f>
        <v>BIB</v>
      </c>
      <c r="D90" s="42" t="str">
        <f>IFERROR(__xludf.DUMMYFUNCTION("""COMPUTED_VALUE"""),"10.1093/acprof:osobl/9780199552917.001.0001")</f>
        <v>10.1093/acprof:osobl/9780199552917.001.0001</v>
      </c>
      <c r="E90" s="103" t="str">
        <f>IFERROR(__xludf.DUMMYFUNCTION("""COMPUTED_VALUE"""),"@book{Passingham_2012,
        doi = {10.1093/acprof:osobl/9780199552917.001.0001},
        url = {https://doi.org/10.1093%2Facprof%3Aosobl%2F9780199552917.001.0001},
        year = 2012,
        month = {jul},
        publisher = {Oxford University Press"&amp;"},
        author = {Richard E. Passingham and Steven P. Wise},
        title = {The Neurobiology of the Prefrontal Cortex}
}")</f>
        <v>@book{Passingham_2012,
        doi = {10.1093/acprof:osobl/9780199552917.001.0001},
        url = {https://doi.org/10.1093%2Facprof%3Aosobl%2F9780199552917.001.0001},
        year = 2012,
        month = {jul},
        publisher = {Oxford University Press},
        author = {Richard E. Passingham and Steven P. Wise},
        title = {The Neurobiology of the Prefrontal Cortex}
}</v>
      </c>
      <c r="F90" s="42"/>
      <c r="G90" s="9" t="str">
        <f>IFERROR(__xludf.DUMMYFUNCTION("""COMPUTED_VALUE"""),"Book")</f>
        <v>Book</v>
      </c>
      <c r="H90" s="9" t="str">
        <f>IFERROR(__xludf.DUMMYFUNCTION("""COMPUTED_VALUE"""),"Richard E. Passingham, Steven P. Wise")</f>
        <v>Richard E. Passingham, Steven P. Wise</v>
      </c>
      <c r="I90" s="9" t="str">
        <f>IFERROR(__xludf.DUMMYFUNCTION("""COMPUTED_VALUE"""),"The Neurobiology of the Prefrontal Cortex")</f>
        <v>The Neurobiology of the Prefrontal Cortex</v>
      </c>
      <c r="J90" s="9" t="str">
        <f>IFERROR(__xludf.DUMMYFUNCTION("""COMPUTED_VALUE"""),"-")</f>
        <v>-</v>
      </c>
      <c r="K90" s="135"/>
      <c r="L90" s="42"/>
      <c r="M90" s="42"/>
      <c r="N90" s="42"/>
      <c r="O90" s="42"/>
      <c r="P90" s="9"/>
      <c r="Q90" s="9"/>
      <c r="R90" s="42"/>
      <c r="S90" s="42"/>
      <c r="T90" s="42"/>
      <c r="U90" s="42"/>
      <c r="V90" s="42"/>
      <c r="W90" s="42"/>
    </row>
    <row r="91">
      <c r="A91" s="9" t="str">
        <f>IFERROR(__xludf.DUMMYFUNCTION("""COMPUTED_VALUE"""),"Pascual, 2013")</f>
        <v>Pascual, 2013</v>
      </c>
      <c r="B91" s="31" t="str">
        <f>IFERROR(__xludf.DUMMYFUNCTION("""COMPUTED_VALUE"""),"DOC")</f>
        <v>DOC</v>
      </c>
      <c r="C91" s="31" t="str">
        <f>IFERROR(__xludf.DUMMYFUNCTION("""COMPUTED_VALUE"""),"BIB")</f>
        <v>BIB</v>
      </c>
      <c r="D91" s="42" t="str">
        <f>IFERROR(__xludf.DUMMYFUNCTION("""COMPUTED_VALUE"""),"10.1093/cercor/bht260")</f>
        <v>10.1093/cercor/bht260</v>
      </c>
      <c r="E91" s="103" t="str">
        <f>IFERROR(__xludf.DUMMYFUNCTION("""COMPUTED_VALUE"""),"@article{Pascual2013,
  doi = {10.1093/cercor/bht260},
  url = {https://doi.org/10.1093/cercor/bht260},
  year = {2013},
  month = sep,
  publisher = {Oxford University Press ({OUP})},
  volume = {25},
  number = {3},
  pages = {680--702},
  author = {Bel"&amp;"en Pascual and Joseph C. Masdeu and Mark Hollenbeck and Nikos Makris and Ricardo Insausti and Song-Lin Ding and Bradford C. Dickerson},
  title = {Large-Scale Brain Networks of the Human Left Temporal Pole: A Functional Connectivity MRI Study},
  journal "&amp;"= {Cerebral Cortex}
}")</f>
        <v>@article{Pascual2013,
  doi = {10.1093/cercor/bht260},
  url = {https://doi.org/10.1093/cercor/bht260},
  year = {2013},
  month = sep,
  publisher = {Oxford University Press ({OUP})},
  volume = {25},
  number = {3},
  pages = {680--702},
  author = {Belen Pascual and Joseph C. Masdeu and Mark Hollenbeck and Nikos Makris and Ricardo Insausti and Song-Lin Ding and Bradford C. Dickerson},
  title = {Large-Scale Brain Networks of the Human Left Temporal Pole: A Functional Connectivity MRI Study},
  journal = {Cerebral Cortex}
}</v>
      </c>
      <c r="F91" s="42"/>
      <c r="G91" s="9" t="str">
        <f>IFERROR(__xludf.DUMMYFUNCTION("""COMPUTED_VALUE"""),"Article")</f>
        <v>Article</v>
      </c>
      <c r="H91" s="9" t="str">
        <f>IFERROR(__xludf.DUMMYFUNCTION("""COMPUTED_VALUE"""),"Belen Pascual, Joseph C. Masdeu, Mark Hollenbeck, Nikos Makris, Ricardo Insausti, Song-Lin Ding, Bradford C. Dickerson")</f>
        <v>Belen Pascual, Joseph C. Masdeu, Mark Hollenbeck, Nikos Makris, Ricardo Insausti, Song-Lin Ding, Bradford C. Dickerson</v>
      </c>
      <c r="I91" s="9" t="str">
        <f>IFERROR(__xludf.DUMMYFUNCTION("""COMPUTED_VALUE"""),"Large-Scale Brain Networks of the Human Left Temporal Pole: A Functional Connectivity MRI Study")</f>
        <v>Large-Scale Brain Networks of the Human Left Temporal Pole: A Functional Connectivity MRI Study</v>
      </c>
      <c r="J91" s="9" t="str">
        <f>IFERROR(__xludf.DUMMYFUNCTION("""COMPUTED_VALUE"""),"Cerebral Cortex")</f>
        <v>Cerebral Cortex</v>
      </c>
      <c r="K91" s="42"/>
      <c r="L91" s="42" t="str">
        <f>IFERROR(__xludf.DUMMYFUNCTION("""COMPUTED_VALUE"""),"Hiroshi Yamakawa")</f>
        <v>Hiroshi Yamakawa</v>
      </c>
      <c r="M91" s="42" t="str">
        <f>IFERROR(__xludf.DUMMYFUNCTION("""COMPUTED_VALUE"""),"HY22DAA")</f>
        <v>HY22DAA</v>
      </c>
      <c r="N91" s="42"/>
      <c r="O91" s="42"/>
      <c r="P91" s="9"/>
      <c r="Q91" s="9"/>
      <c r="R91" s="42"/>
      <c r="S91" s="42"/>
      <c r="T91" s="42"/>
      <c r="U91" s="42"/>
      <c r="V91" s="42"/>
      <c r="W91" s="42"/>
    </row>
    <row r="92">
      <c r="A92" s="9" t="str">
        <f>IFERROR(__xludf.DUMMYFUNCTION("""COMPUTED_VALUE"""),"OReilly, 2012-ne")</f>
        <v>OReilly, 2012-ne</v>
      </c>
      <c r="B92" s="31" t="str">
        <f>IFERROR(__xludf.DUMMYFUNCTION("""COMPUTED_VALUE"""),"DOC(alt)")</f>
        <v>DOC(alt)</v>
      </c>
      <c r="C92" s="31" t="str">
        <f>IFERROR(__xludf.DUMMYFUNCTION("""COMPUTED_VALUE"""),"(no DOI)")</f>
        <v>(no DOI)</v>
      </c>
      <c r="D92" s="42"/>
      <c r="E92" s="103" t="str">
        <f>IFERROR(__xludf.DUMMYFUNCTION("""COMPUTED_VALUE"""),"
@BOOK{OReilly2012-ne,
  title     = {Computational cognitive neuroscience},
  author    = {O'Reilly, Randall C},
  publisher = ""University of California Davis"",
  year      =  2012,
  language  = ""en""
}")</f>
        <v>
@BOOK{OReilly2012-ne,
  title     = {Computational cognitive neuroscience},
  author    = {O'Reilly, Randall C},
  publisher = "University of California Davis",
  year      =  2012,
  language  = "en"
}</v>
      </c>
      <c r="F92" s="42"/>
      <c r="G92" s="9" t="str">
        <f>IFERROR(__xludf.DUMMYFUNCTION("""COMPUTED_VALUE"""),"Book")</f>
        <v>Book</v>
      </c>
      <c r="H92" s="9" t="str">
        <f>IFERROR(__xludf.DUMMYFUNCTION("""COMPUTED_VALUE"""),"O'Reilly, Randall C")</f>
        <v>O'Reilly, Randall C</v>
      </c>
      <c r="I92" s="9" t="str">
        <f>IFERROR(__xludf.DUMMYFUNCTION("""COMPUTED_VALUE"""),"Computational cognitive neuroscience")</f>
        <v>Computational cognitive neuroscience</v>
      </c>
      <c r="J92" s="9" t="str">
        <f>IFERROR(__xludf.DUMMYFUNCTION("""COMPUTED_VALUE"""),"-")</f>
        <v>-</v>
      </c>
      <c r="K92" s="135" t="str">
        <f>IFERROR(__xludf.DUMMYFUNCTION("""COMPUTED_VALUE"""),"https://github.com/CompCogNeuro/ed4")</f>
        <v>https://github.com/CompCogNeuro/ed4</v>
      </c>
      <c r="L92" s="42"/>
      <c r="M92" s="42"/>
      <c r="N92" s="42"/>
      <c r="O92" s="42"/>
      <c r="P92" s="9"/>
      <c r="Q92" s="9"/>
      <c r="R92" s="42"/>
      <c r="S92" s="42"/>
      <c r="T92" s="42"/>
      <c r="U92" s="42"/>
      <c r="V92" s="42"/>
      <c r="W92" s="42"/>
    </row>
    <row r="93">
      <c r="A93" s="9" t="str">
        <f>IFERROR(__xludf.DUMMYFUNCTION("""COMPUTED_VALUE"""),"OKeefe, 1976")</f>
        <v>OKeefe, 1976</v>
      </c>
      <c r="B93" s="31" t="str">
        <f>IFERROR(__xludf.DUMMYFUNCTION("""COMPUTED_VALUE"""),"DOC")</f>
        <v>DOC</v>
      </c>
      <c r="C93" s="31" t="str">
        <f>IFERROR(__xludf.DUMMYFUNCTION("""COMPUTED_VALUE"""),"BIB")</f>
        <v>BIB</v>
      </c>
      <c r="D93" s="42" t="str">
        <f>IFERROR(__xludf.DUMMYFUNCTION("""COMPUTED_VALUE"""),"10.1016/0014-4886(76)90055-8")</f>
        <v>10.1016/0014-4886(76)90055-8</v>
      </c>
      <c r="E93" s="103" t="str">
        <f>IFERROR(__xludf.DUMMYFUNCTION("""COMPUTED_VALUE"""),"@article{O_Keefe_1976,
	doi = {10.1016/0014-4886(76)90055-8},
	url = {https://doi.org/10.1016%2F0014-4886%2876%2990055-8},
	year = 1976,
	month = {jan},
	publisher = {Elsevier {BV}},
	volume = {51},
	number = {1},
	pages = {78--109},
	author = {John O{\te"&amp;"xtquotesingle}Keefe},
	title = {Place units in the hippocampus of the freely moving rat},
	journal = {Experimental Neurology}
}")</f>
        <v>@article{O_Keefe_1976,
	doi = {10.1016/0014-4886(76)90055-8},
	url = {https://doi.org/10.1016%2F0014-4886%2876%2990055-8},
	year = 1976,
	month = {jan},
	publisher = {Elsevier {BV}},
	volume = {51},
	number = {1},
	pages = {78--109},
	author = {John O{\textquotesingle}Keefe},
	title = {Place units in the hippocampus of the freely moving rat},
	journal = {Experimental Neurology}
}</v>
      </c>
      <c r="F93" s="42"/>
      <c r="G93" s="9" t="str">
        <f>IFERROR(__xludf.DUMMYFUNCTION("""COMPUTED_VALUE"""),"Article")</f>
        <v>Article</v>
      </c>
      <c r="H93" s="9" t="str">
        <f>IFERROR(__xludf.DUMMYFUNCTION("""COMPUTED_VALUE"""),"John O{\textquotesingle}Keefe")</f>
        <v>John O{\textquotesingle}Keefe</v>
      </c>
      <c r="I93" s="9" t="str">
        <f>IFERROR(__xludf.DUMMYFUNCTION("""COMPUTED_VALUE"""),"Place units in the hippocampus of the freely moving rat")</f>
        <v>Place units in the hippocampus of the freely moving rat</v>
      </c>
      <c r="J93" s="9" t="str">
        <f>IFERROR(__xludf.DUMMYFUNCTION("""COMPUTED_VALUE"""),"Experimental Neurology")</f>
        <v>Experimental Neurology</v>
      </c>
      <c r="K93" s="42"/>
      <c r="L93" s="42" t="str">
        <f>IFERROR(__xludf.DUMMYFUNCTION("""COMPUTED_VALUE"""),"Ayako Fukawa")</f>
        <v>Ayako Fukawa</v>
      </c>
      <c r="M93" s="42" t="str">
        <f>IFERROR(__xludf.DUMMYFUNCTION("""COMPUTED_VALUE"""),"AT20HippocampalFormation")</f>
        <v>AT20HippocampalFormation</v>
      </c>
      <c r="N93" s="42"/>
      <c r="O93" s="42"/>
      <c r="P93" s="9"/>
      <c r="Q93" s="9"/>
      <c r="R93" s="42"/>
      <c r="S93" s="42"/>
      <c r="T93" s="42"/>
      <c r="U93" s="42"/>
      <c r="V93" s="42"/>
      <c r="W93" s="42"/>
    </row>
    <row r="94">
      <c r="A94" s="9" t="str">
        <f>IFERROR(__xludf.DUMMYFUNCTION("""COMPUTED_VALUE"""),"OKeefe, 1976")</f>
        <v>OKeefe, 1976</v>
      </c>
      <c r="B94" s="31" t="str">
        <f>IFERROR(__xludf.DUMMYFUNCTION("""COMPUTED_VALUE"""),"DOC")</f>
        <v>DOC</v>
      </c>
      <c r="C94" s="31" t="str">
        <f>IFERROR(__xludf.DUMMYFUNCTION("""COMPUTED_VALUE"""),"BIB")</f>
        <v>BIB</v>
      </c>
      <c r="D94" s="42" t="str">
        <f>IFERROR(__xludf.DUMMYFUNCTION("""COMPUTED_VALUE"""),"10.1016/0014-4886(76)90055-8")</f>
        <v>10.1016/0014-4886(76)90055-8</v>
      </c>
      <c r="E94" s="103" t="str">
        <f>IFERROR(__xludf.DUMMYFUNCTION("""COMPUTED_VALUE"""),"@article{O_Keefe_1976,
	doi = {10.1016/0014-4886(76)90055-8},
	url = {https://doi.org/10.1016%2F0014-4886%2876%2990055-8},
	year = 1976,
	month = {jan},
	publisher = {Elsevier {BV}},
	volume = {51},
	number = {1},
	pages = {78--109},
	author = {John O{\te"&amp;"xtquotesingle}Keefe},
	title = {Place units in the hippocampus of the freely moving rat},
	journal = {Experimental Neurology}
}")</f>
        <v>@article{O_Keefe_1976,
	doi = {10.1016/0014-4886(76)90055-8},
	url = {https://doi.org/10.1016%2F0014-4886%2876%2990055-8},
	year = 1976,
	month = {jan},
	publisher = {Elsevier {BV}},
	volume = {51},
	number = {1},
	pages = {78--109},
	author = {John O{\textquotesingle}Keefe},
	title = {Place units in the hippocampus of the freely moving rat},
	journal = {Experimental Neurology}
}</v>
      </c>
      <c r="F94" s="42"/>
      <c r="G94" s="9" t="str">
        <f>IFERROR(__xludf.DUMMYFUNCTION("""COMPUTED_VALUE"""),"Article")</f>
        <v>Article</v>
      </c>
      <c r="H94" s="9" t="str">
        <f>IFERROR(__xludf.DUMMYFUNCTION("""COMPUTED_VALUE"""),"John O{\textquotesingle}Keefe")</f>
        <v>John O{\textquotesingle}Keefe</v>
      </c>
      <c r="I94" s="9" t="str">
        <f>IFERROR(__xludf.DUMMYFUNCTION("""COMPUTED_VALUE"""),"Place units in the hippocampus of the freely moving rat")</f>
        <v>Place units in the hippocampus of the freely moving rat</v>
      </c>
      <c r="J94" s="9" t="str">
        <f>IFERROR(__xludf.DUMMYFUNCTION("""COMPUTED_VALUE"""),"Experimental Neurology")</f>
        <v>Experimental Neurology</v>
      </c>
      <c r="K94" s="135"/>
      <c r="L94" s="42"/>
      <c r="M94" s="42"/>
      <c r="N94" s="42"/>
      <c r="O94" s="42"/>
      <c r="P94" s="9"/>
      <c r="Q94" s="9"/>
      <c r="R94" s="42"/>
      <c r="S94" s="42"/>
      <c r="T94" s="42"/>
      <c r="U94" s="42"/>
      <c r="V94" s="42"/>
      <c r="W94" s="42"/>
    </row>
    <row r="95">
      <c r="A95" s="9" t="str">
        <f>IFERROR(__xludf.DUMMYFUNCTION("""COMPUTED_VALUE"""),"Ohara, 2018")</f>
        <v>Ohara, 2018</v>
      </c>
      <c r="B95" s="31" t="str">
        <f>IFERROR(__xludf.DUMMYFUNCTION("""COMPUTED_VALUE"""),"DOC")</f>
        <v>DOC</v>
      </c>
      <c r="C95" s="31" t="str">
        <f>IFERROR(__xludf.DUMMYFUNCTION("""COMPUTED_VALUE"""),"BIB")</f>
        <v>BIB</v>
      </c>
      <c r="D95" s="42" t="str">
        <f>IFERROR(__xludf.DUMMYFUNCTION("""COMPUTED_VALUE"""),"10.1016/j.celrep.2018.06.014")</f>
        <v>10.1016/j.celrep.2018.06.014</v>
      </c>
      <c r="E95" s="103" t="str">
        <f>IFERROR(__xludf.DUMMYFUNCTION("""COMPUTED_VALUE"""),"@article{Ohara_2018,
	doi = {10.1016/j.celrep.2018.06.014},
	url = {https://doi.org/10.1016%2Fj.celrep.2018.06.014},
	year = 2018,
	month = {jul},
	publisher = {Elsevier {BV}},
	volume = {24},
	number = {1},
	pages = {107--116},
	author = {Shinya Ohara an"&amp;"d Mariko Onodera and {\O}yvind W. Simonsen and Rintaro Yoshino and Hiroyuki Hioki and Toshio Iijima and Ken-Ichiro Tsutsui and Menno P. Witter},
	title = {Intrinsic Projections of Layer Vb Neurons to Layers Va, {III}, and {II} in the Lateral and Medial En"&amp;"torhinal Cortex of the Rat},
	journal = {Cell Reports}
}")</f>
        <v>@article{Ohara_2018,
	doi = {10.1016/j.celrep.2018.06.014},
	url = {https://doi.org/10.1016%2Fj.celrep.2018.06.014},
	year = 2018,
	month = {jul},
	publisher = {Elsevier {BV}},
	volume = {24},
	number = {1},
	pages = {107--116},
	author = {Shinya Ohara and Mariko Onodera and {\O}yvind W. Simonsen and Rintaro Yoshino and Hiroyuki Hioki and Toshio Iijima and Ken-Ichiro Tsutsui and Menno P. Witter},
	title = {Intrinsic Projections of Layer Vb Neurons to Layers Va, {III}, and {II} in the Lateral and Medial Entorhinal Cortex of the Rat},
	journal = {Cell Reports}
}</v>
      </c>
      <c r="F95" s="42"/>
      <c r="G95" s="9" t="str">
        <f>IFERROR(__xludf.DUMMYFUNCTION("""COMPUTED_VALUE"""),"Article")</f>
        <v>Article</v>
      </c>
      <c r="H95" s="9" t="str">
        <f>IFERROR(__xludf.DUMMYFUNCTION("""COMPUTED_VALUE"""),"Shinya Ohara, Mariko Onodera, {\O}yvind W. Simonsen, Rintaro Yoshino, Hiroyuki Hioki, Toshio Iijima, Ken-Ichiro Tsutsui, Menno P. Witter")</f>
        <v>Shinya Ohara, Mariko Onodera, {\O}yvind W. Simonsen, Rintaro Yoshino, Hiroyuki Hioki, Toshio Iijima, Ken-Ichiro Tsutsui, Menno P. Witter</v>
      </c>
      <c r="I95" s="9" t="str">
        <f>IFERROR(__xludf.DUMMYFUNCTION("""COMPUTED_VALUE"""),"Intrinsic Projections of Layer Vb Neurons to Layers Va, {III}, and {II} in the Lateral and Medial Entorhinal Cortex of the Rat")</f>
        <v>Intrinsic Projections of Layer Vb Neurons to Layers Va, {III}, and {II} in the Lateral and Medial Entorhinal Cortex of the Rat</v>
      </c>
      <c r="J95" s="9" t="str">
        <f>IFERROR(__xludf.DUMMYFUNCTION("""COMPUTED_VALUE"""),"Cell Reports")</f>
        <v>Cell Reports</v>
      </c>
      <c r="K95" s="135"/>
      <c r="L95" s="42" t="str">
        <f>IFERROR(__xludf.DUMMYFUNCTION("""COMPUTED_VALUE"""),"Ayako Fukawa")</f>
        <v>Ayako Fukawa</v>
      </c>
      <c r="M95" s="42" t="str">
        <f>IFERROR(__xludf.DUMMYFUNCTION("""COMPUTED_VALUE"""),"AT20HippocampalFormation")</f>
        <v>AT20HippocampalFormation</v>
      </c>
      <c r="N95" s="42"/>
      <c r="O95" s="42"/>
      <c r="P95" s="9"/>
      <c r="Q95" s="9"/>
      <c r="R95" s="42"/>
      <c r="S95" s="42"/>
      <c r="T95" s="42"/>
      <c r="U95" s="42"/>
      <c r="V95" s="42"/>
      <c r="W95" s="42"/>
    </row>
    <row r="96">
      <c r="A96" s="9" t="str">
        <f>IFERROR(__xludf.DUMMYFUNCTION("""COMPUTED_VALUE"""),"Noda, 1990")</f>
        <v>Noda, 1990</v>
      </c>
      <c r="B96" s="31" t="str">
        <f>IFERROR(__xludf.DUMMYFUNCTION("""COMPUTED_VALUE"""),"DOC")</f>
        <v>DOC</v>
      </c>
      <c r="C96" s="31" t="str">
        <f>IFERROR(__xludf.DUMMYFUNCTION("""COMPUTED_VALUE"""),"BIB")</f>
        <v>BIB</v>
      </c>
      <c r="D96" s="42" t="str">
        <f>IFERROR(__xludf.DUMMYFUNCTION("""COMPUTED_VALUE"""),"10.1002/cne.903020211")</f>
        <v>10.1002/cne.903020211</v>
      </c>
      <c r="E96" s="103" t="str">
        <f>IFERROR(__xludf.DUMMYFUNCTION("""COMPUTED_VALUE"""),"@article{Noda_1990,
	doi = {10.1002/cne.903020211},
	url = {https://doi.org/10.1002%2Fcne.903020211},
	year = 1990,
	month = {dec},
	publisher = {Wiley},
	volume = {302},
	number = {2},
	pages = {330--348},
	author = {Hiroharu Noda and Shoei Sugita and Yo"&amp;"ichi Ikeda},
	title = {Afferent and efferent connections of the oculomotor region of the fastigial nucleus in the macaque monkey},
	journal = {The Journal of Comparative Neurology}
}")</f>
        <v>@article{Noda_1990,
	doi = {10.1002/cne.903020211},
	url = {https://doi.org/10.1002%2Fcne.903020211},
	year = 1990,
	month = {dec},
	publisher = {Wiley},
	volume = {302},
	number = {2},
	pages = {330--348},
	author = {Hiroharu Noda and Shoei Sugita and Yoichi Ikeda},
	title = {Afferent and efferent connections of the oculomotor region of the fastigial nucleus in the macaque monkey},
	journal = {The Journal of Comparative Neurology}
}</v>
      </c>
      <c r="F96" s="42"/>
      <c r="G96" s="9" t="str">
        <f>IFERROR(__xludf.DUMMYFUNCTION("""COMPUTED_VALUE"""),"Article")</f>
        <v>Article</v>
      </c>
      <c r="H96" s="9" t="str">
        <f>IFERROR(__xludf.DUMMYFUNCTION("""COMPUTED_VALUE"""),"Hiroharu Noda, Shoei Sugita, Yoichi Ikeda")</f>
        <v>Hiroharu Noda, Shoei Sugita, Yoichi Ikeda</v>
      </c>
      <c r="I96" s="9" t="str">
        <f>IFERROR(__xludf.DUMMYFUNCTION("""COMPUTED_VALUE"""),"Afferent and efferent connections of the oculomotor region of the fastigial nucleus in the macaque monkey")</f>
        <v>Afferent and efferent connections of the oculomotor region of the fastigial nucleus in the macaque monkey</v>
      </c>
      <c r="J96" s="9" t="str">
        <f>IFERROR(__xludf.DUMMYFUNCTION("""COMPUTED_VALUE"""),"The Journal of Comparative Neurology")</f>
        <v>The Journal of Comparative Neurology</v>
      </c>
      <c r="K96" s="135"/>
      <c r="L96" s="42" t="str">
        <f>IFERROR(__xludf.DUMMYFUNCTION("""COMPUTED_VALUE"""),"Yoshinasa Tawatsji")</f>
        <v>Yoshinasa Tawatsji</v>
      </c>
      <c r="M96" s="42" t="str">
        <f>IFERROR(__xludf.DUMMYFUNCTION("""COMPUTED_VALUE"""),"Oculomotor")</f>
        <v>Oculomotor</v>
      </c>
      <c r="N96" s="42"/>
      <c r="O96" s="42"/>
      <c r="P96" s="9"/>
      <c r="Q96" s="9"/>
      <c r="R96" s="42"/>
      <c r="S96" s="42"/>
      <c r="T96" s="42"/>
      <c r="U96" s="42"/>
      <c r="V96" s="42"/>
      <c r="W96" s="42"/>
    </row>
    <row r="97">
      <c r="A97" s="9" t="str">
        <f>IFERROR(__xludf.DUMMYFUNCTION("""COMPUTED_VALUE"""),"Munoz, 1993")</f>
        <v>Munoz, 1993</v>
      </c>
      <c r="B97" s="31" t="str">
        <f>IFERROR(__xludf.DUMMYFUNCTION("""COMPUTED_VALUE"""),"DOC")</f>
        <v>DOC</v>
      </c>
      <c r="C97" s="31" t="str">
        <f>IFERROR(__xludf.DUMMYFUNCTION("""COMPUTED_VALUE"""),"BIB")</f>
        <v>BIB</v>
      </c>
      <c r="D97" s="42" t="str">
        <f>IFERROR(__xludf.DUMMYFUNCTION("""COMPUTED_VALUE"""),"10.1152/jn.1993.70.2.559")</f>
        <v>10.1152/jn.1993.70.2.559</v>
      </c>
      <c r="E97" s="103" t="str">
        <f>IFERROR(__xludf.DUMMYFUNCTION("""COMPUTED_VALUE"""),"@article{Munoz_1993,
	doi = {10.1152/jn.1993.70.2.559},
	url = {https://doi.org/10.1152%2Fjn.1993.70.2.559},
	year = 1993,
	month = {aug},
	publisher = {American Physiological Society},
	volume = {70},
	number = {2},
	pages = {559--575},
	author = {D. P. "&amp;"Munoz and R. H. Wurtz},
	title = {Fixation cells in monkey superior colliculus. I. Characteristics of cell discharge},
	journal = {Journal of Neurophysiology}
}")</f>
        <v>@article{Munoz_1993,
	doi = {10.1152/jn.1993.70.2.559},
	url = {https://doi.org/10.1152%2Fjn.1993.70.2.559},
	year = 1993,
	month = {aug},
	publisher = {American Physiological Society},
	volume = {70},
	number = {2},
	pages = {559--575},
	author = {D. P. Munoz and R. H. Wurtz},
	title = {Fixation cells in monkey superior colliculus. I. Characteristics of cell discharge},
	journal = {Journal of Neurophysiology}
}</v>
      </c>
      <c r="F97" s="42"/>
      <c r="G97" s="9" t="str">
        <f>IFERROR(__xludf.DUMMYFUNCTION("""COMPUTED_VALUE"""),"Article")</f>
        <v>Article</v>
      </c>
      <c r="H97" s="9" t="str">
        <f>IFERROR(__xludf.DUMMYFUNCTION("""COMPUTED_VALUE"""),"D. P. Munoz, R. H. Wurtz")</f>
        <v>D. P. Munoz, R. H. Wurtz</v>
      </c>
      <c r="I97" s="9" t="str">
        <f>IFERROR(__xludf.DUMMYFUNCTION("""COMPUTED_VALUE"""),"Fixation cells in monkey superior colliculus. I. Characteristics of cell discharge")</f>
        <v>Fixation cells in monkey superior colliculus. I. Characteristics of cell discharge</v>
      </c>
      <c r="J97" s="9" t="str">
        <f>IFERROR(__xludf.DUMMYFUNCTION("""COMPUTED_VALUE"""),"Journal of Neurophysiology")</f>
        <v>Journal of Neurophysiology</v>
      </c>
      <c r="K97" s="42"/>
      <c r="L97" s="42" t="str">
        <f>IFERROR(__xludf.DUMMYFUNCTION("""COMPUTED_VALUE"""),"Yoshinasa Tawatsji")</f>
        <v>Yoshinasa Tawatsji</v>
      </c>
      <c r="M97" s="42" t="str">
        <f>IFERROR(__xludf.DUMMYFUNCTION("""COMPUTED_VALUE"""),"Oculomotor")</f>
        <v>Oculomotor</v>
      </c>
      <c r="N97" s="42"/>
      <c r="O97" s="42"/>
      <c r="P97" s="9"/>
      <c r="Q97" s="9"/>
      <c r="R97" s="42"/>
      <c r="S97" s="42"/>
      <c r="T97" s="42"/>
      <c r="U97" s="42"/>
      <c r="V97" s="42"/>
      <c r="W97" s="42"/>
    </row>
    <row r="98">
      <c r="A98" s="9" t="str">
        <f>IFERROR(__xludf.DUMMYFUNCTION("""COMPUTED_VALUE"""),"Mungall, 2012")</f>
        <v>Mungall, 2012</v>
      </c>
      <c r="B98" s="31" t="str">
        <f>IFERROR(__xludf.DUMMYFUNCTION("""COMPUTED_VALUE"""),"DOC")</f>
        <v>DOC</v>
      </c>
      <c r="C98" s="31" t="str">
        <f>IFERROR(__xludf.DUMMYFUNCTION("""COMPUTED_VALUE"""),"BIB")</f>
        <v>BIB</v>
      </c>
      <c r="D98" s="42" t="str">
        <f>IFERROR(__xludf.DUMMYFUNCTION("""COMPUTED_VALUE"""),"10.1186/gb-2012-13-1-r5")</f>
        <v>10.1186/gb-2012-13-1-r5</v>
      </c>
      <c r="E98" s="103" t="str">
        <f>IFERROR(__xludf.DUMMYFUNCTION("""COMPUTED_VALUE"""),"@article{Mungall2012,
  doi = {10.1186/gb-2012-13-1-r5},
  url = {https://doi.org/10.1186/gb-2012-13-1-r5},
  year = {2012},
  publisher = {Springer Science and Business Media {LLC}},
  volume = {13},
  number = {1},
  pages = {R5},
  author = {Ch"&amp;"ristopher J Mungall and Carlo Torniai and Georgios V Gkoutos and Suzanna E Lewis and Melissa A Haendel},
  title = {Uberon,  an integrative multi-species anatomy ontology},
  journal = {Genome Biology}
}")</f>
        <v>@article{Mungall2012,
  doi = {10.1186/gb-2012-13-1-r5},
  url = {https://doi.org/10.1186/gb-2012-13-1-r5},
  year = {2012},
  publisher = {Springer Science and Business Media {LLC}},
  volume = {13},
  number = {1},
  pages = {R5},
  author = {Christopher J Mungall and Carlo Torniai and Georgios V Gkoutos and Suzanna E Lewis and Melissa A Haendel},
  title = {Uberon,  an integrative multi-species anatomy ontology},
  journal = {Genome Biology}
}</v>
      </c>
      <c r="F98" s="42"/>
      <c r="G98" s="9" t="str">
        <f>IFERROR(__xludf.DUMMYFUNCTION("""COMPUTED_VALUE"""),"Article")</f>
        <v>Article</v>
      </c>
      <c r="H98" s="9" t="str">
        <f>IFERROR(__xludf.DUMMYFUNCTION("""COMPUTED_VALUE"""),"Christopher J Mungall, Carlo Torniai, Georgios V Gkoutos, Suzanna E Lewis, Melissa A Haendel")</f>
        <v>Christopher J Mungall, Carlo Torniai, Georgios V Gkoutos, Suzanna E Lewis, Melissa A Haendel</v>
      </c>
      <c r="I98" s="9" t="str">
        <f>IFERROR(__xludf.DUMMYFUNCTION("""COMPUTED_VALUE"""),"Uberon,  an integrative multi-species anatomy ontology")</f>
        <v>Uberon,  an integrative multi-species anatomy ontology</v>
      </c>
      <c r="J98" s="9" t="str">
        <f>IFERROR(__xludf.DUMMYFUNCTION("""COMPUTED_VALUE"""),"Genome Biology")</f>
        <v>Genome Biology</v>
      </c>
      <c r="K98" s="42"/>
      <c r="L98" s="42" t="str">
        <f>IFERROR(__xludf.DUMMYFUNCTION("""COMPUTED_VALUE"""),"Hiroshi Yamakawa")</f>
        <v>Hiroshi Yamakawa</v>
      </c>
      <c r="M98" s="42" t="str">
        <f>IFERROR(__xludf.DUMMYFUNCTION("""COMPUTED_VALUE"""),"HY20Cerebellum")</f>
        <v>HY20Cerebellum</v>
      </c>
      <c r="N98" s="42"/>
      <c r="O98" s="42"/>
      <c r="P98" s="9"/>
      <c r="Q98" s="9"/>
      <c r="R98" s="42"/>
      <c r="S98" s="42"/>
      <c r="T98" s="42"/>
      <c r="U98" s="42"/>
      <c r="V98" s="42"/>
      <c r="W98" s="42"/>
    </row>
    <row r="99">
      <c r="A99" s="9" t="str">
        <f>IFERROR(__xludf.DUMMYFUNCTION("""COMPUTED_VALUE"""),"Moser, 2010")</f>
        <v>Moser, 2010</v>
      </c>
      <c r="B99" s="31" t="str">
        <f>IFERROR(__xludf.DUMMYFUNCTION("""COMPUTED_VALUE"""),"DOC")</f>
        <v>DOC</v>
      </c>
      <c r="C99" s="31" t="str">
        <f>IFERROR(__xludf.DUMMYFUNCTION("""COMPUTED_VALUE"""),"BIB")</f>
        <v>BIB</v>
      </c>
      <c r="D99" s="42" t="str">
        <f>IFERROR(__xludf.DUMMYFUNCTION("""COMPUTED_VALUE"""),"10.1093/med/9780195389883.003.0017")</f>
        <v>10.1093/med/9780195389883.003.0017</v>
      </c>
      <c r="E99" s="103" t="str">
        <f>IFERROR(__xludf.DUMMYFUNCTION("""COMPUTED_VALUE"""),"@incollection{Moser_2010,
	doi = {10.1093/med/9780195389883.003.0017},
	url = {https://doi.org/10.1093%2Fmed%2F9780195389883.003.0017},
	year = 2010,
	month = {aug},
	publisher = {Oxford University Press},
	pages = {175--190},
	author = {Edvard I. Moser a"&amp;"nd Menno P. Witter and May-Britt Moser},
	title = {Entorhinal Cortex},
	booktitle = {Handbook of Brain Microcircuits}
}")</f>
        <v>@incollection{Moser_2010,
	doi = {10.1093/med/9780195389883.003.0017},
	url = {https://doi.org/10.1093%2Fmed%2F9780195389883.003.0017},
	year = 2010,
	month = {aug},
	publisher = {Oxford University Press},
	pages = {175--190},
	author = {Edvard I. Moser and Menno P. Witter and May-Britt Moser},
	title = {Entorhinal Cortex},
	booktitle = {Handbook of Brain Microcircuits}
}</v>
      </c>
      <c r="F99" s="42" t="str">
        <f>IFERROR(__xludf.DUMMYFUNCTION("""COMPUTED_VALUE"""),"Textbook")</f>
        <v>Textbook</v>
      </c>
      <c r="G99" s="9" t="str">
        <f>IFERROR(__xludf.DUMMYFUNCTION("""COMPUTED_VALUE"""),"Incollection")</f>
        <v>Incollection</v>
      </c>
      <c r="H99" s="9" t="str">
        <f>IFERROR(__xludf.DUMMYFUNCTION("""COMPUTED_VALUE"""),"Edvard I. Moser, Menno P. Witter, May-Britt Moser")</f>
        <v>Edvard I. Moser, Menno P. Witter, May-Britt Moser</v>
      </c>
      <c r="I99" s="9" t="str">
        <f>IFERROR(__xludf.DUMMYFUNCTION("""COMPUTED_VALUE"""),"Entorhinal Cortex")</f>
        <v>Entorhinal Cortex</v>
      </c>
      <c r="J99" s="9" t="str">
        <f>IFERROR(__xludf.DUMMYFUNCTION("""COMPUTED_VALUE"""),"Handbook of Brain Microcircuits")</f>
        <v>Handbook of Brain Microcircuits</v>
      </c>
      <c r="K99" s="135" t="str">
        <f>IFERROR(__xludf.DUMMYFUNCTION("""COMPUTED_VALUE"""),"https://oxfordmedicine.com/view/10.1093/med/9780195389883.001.0001/med-9780195389883")</f>
        <v>https://oxfordmedicine.com/view/10.1093/med/9780195389883.001.0001/med-9780195389883</v>
      </c>
      <c r="L99" s="42" t="str">
        <f>IFERROR(__xludf.DUMMYFUNCTION("""COMPUTED_VALUE"""),"Ayako Fukawa")</f>
        <v>Ayako Fukawa</v>
      </c>
      <c r="M99" s="42" t="str">
        <f>IFERROR(__xludf.DUMMYFUNCTION("""COMPUTED_VALUE"""),"AT20HippocampalFormation")</f>
        <v>AT20HippocampalFormation</v>
      </c>
      <c r="N99" s="42"/>
      <c r="O99" s="42"/>
      <c r="P99" s="9"/>
      <c r="Q99" s="9"/>
      <c r="R99" s="42"/>
      <c r="S99" s="42"/>
      <c r="T99" s="42"/>
      <c r="U99" s="42"/>
      <c r="V99" s="42"/>
      <c r="W99" s="42"/>
    </row>
    <row r="100">
      <c r="A100" s="9" t="str">
        <f>IFERROR(__xludf.DUMMYFUNCTION("""COMPUTED_VALUE"""),"Monakow, 1978")</f>
        <v>Monakow, 1978</v>
      </c>
      <c r="B100" s="31" t="str">
        <f>IFERROR(__xludf.DUMMYFUNCTION("""COMPUTED_VALUE"""),"DOC")</f>
        <v>DOC</v>
      </c>
      <c r="C100" s="31" t="str">
        <f>IFERROR(__xludf.DUMMYFUNCTION("""COMPUTED_VALUE"""),"BIB")</f>
        <v>BIB</v>
      </c>
      <c r="D100" s="42" t="str">
        <f>IFERROR(__xludf.DUMMYFUNCTION("""COMPUTED_VALUE"""),"10.1007/BF00235561")</f>
        <v>10.1007/BF00235561</v>
      </c>
      <c r="E100" s="103" t="str">
        <f>IFERROR(__xludf.DUMMYFUNCTION("""COMPUTED_VALUE"""),"@article{Monakow_1978,
        doi = {10.1007/bf00235561},
        url = {https://doi.org/10.1007%2Fbf00235561},
        year = 1978,
        publisher = {Springer Science and Business Media {LLC}},
        volume = {33},
        number = {3-4},
        a"&amp;"uthor = {K.Hartmann-von Monakow and K. Akert and H. Künzle },
        title = {Projections of the precentral motor cortex and other cortical areas of the frontal lobe to the subthalamic nucleus in the monkey},
        journal = {Experimental Brain Researc"&amp;"h}
}")</f>
        <v>@article{Monakow_1978,
        doi = {10.1007/bf00235561},
        url = {https://doi.org/10.1007%2Fbf00235561},
        year = 1978,
        publisher = {Springer Science and Business Media {LLC}},
        volume = {33},
        number = {3-4},
        author = {K.Hartmann-von Monakow and K. Akert and H. Künzle },
        title = {Projections of the precentral motor cortex and other cortical areas of the frontal lobe to the subthalamic nucleus in the monkey},
        journal = {Experimental Brain Research}
}</v>
      </c>
      <c r="F100" s="42"/>
      <c r="G100" s="9" t="str">
        <f>IFERROR(__xludf.DUMMYFUNCTION("""COMPUTED_VALUE"""),"Article")</f>
        <v>Article</v>
      </c>
      <c r="H100" s="9" t="str">
        <f>IFERROR(__xludf.DUMMYFUNCTION("""COMPUTED_VALUE"""),"K.Hartmann-von Monakow, K. Akert, H. Künzle ")</f>
        <v>K.Hartmann-von Monakow, K. Akert, H. Künzle </v>
      </c>
      <c r="I100" s="9" t="str">
        <f>IFERROR(__xludf.DUMMYFUNCTION("""COMPUTED_VALUE"""),"Projections of the precentral motor cortex and other cortical areas of the frontal lobe to the subthalamic nucleus in the monkey")</f>
        <v>Projections of the precentral motor cortex and other cortical areas of the frontal lobe to the subthalamic nucleus in the monkey</v>
      </c>
      <c r="J100" s="9" t="str">
        <f>IFERROR(__xludf.DUMMYFUNCTION("""COMPUTED_VALUE"""),"Experimental Brain Research")</f>
        <v>Experimental Brain Research</v>
      </c>
      <c r="K100" s="135"/>
      <c r="L100" s="42" t="str">
        <f>IFERROR(__xludf.DUMMYFUNCTION("""COMPUTED_VALUE"""),"Yuske Shibata")</f>
        <v>Yuske Shibata</v>
      </c>
      <c r="M100" s="42" t="str">
        <f>IFERROR(__xludf.DUMMYFUNCTION("""COMPUTED_VALUE"""),"YS21BgLoop")</f>
        <v>YS21BgLoop</v>
      </c>
      <c r="N100" s="42"/>
      <c r="O100" s="42"/>
      <c r="P100" s="9"/>
      <c r="Q100" s="9"/>
      <c r="R100" s="42"/>
      <c r="S100" s="42"/>
      <c r="T100" s="42"/>
      <c r="U100" s="42"/>
      <c r="V100" s="42"/>
      <c r="W100" s="42"/>
    </row>
    <row r="101">
      <c r="A101" s="9" t="str">
        <f>IFERROR(__xludf.DUMMYFUNCTION("""COMPUTED_VALUE"""),"Monakow, 1978")</f>
        <v>Monakow, 1978</v>
      </c>
      <c r="B101" s="31" t="str">
        <f>IFERROR(__xludf.DUMMYFUNCTION("""COMPUTED_VALUE"""),"DOC")</f>
        <v>DOC</v>
      </c>
      <c r="C101" s="31" t="str">
        <f>IFERROR(__xludf.DUMMYFUNCTION("""COMPUTED_VALUE"""),"BIB")</f>
        <v>BIB</v>
      </c>
      <c r="D101" s="42" t="str">
        <f>IFERROR(__xludf.DUMMYFUNCTION("""COMPUTED_VALUE"""),"10.1007/BF00235561")</f>
        <v>10.1007/BF00235561</v>
      </c>
      <c r="E101" s="103" t="str">
        <f>IFERROR(__xludf.DUMMYFUNCTION("""COMPUTED_VALUE"""),"@article{Monakow_1978,
        doi = {10.1007/bf00235561},
        url = {https://doi.org/10.1007%2Fbf00235561},
        year = 1978,
        publisher = {Springer Science and Business Media {LLC}},
        volume = {33},
        number = {3-4},
        a"&amp;"uthor = {K.Hartmann-von Monakow and K. Akert and H. Künzle },
        title = {Projections of the precentral motor cortex and other cortical areas of the frontal lobe to the subthalamic nucleus in the monkey},
        journal = {Experimental Brain Researc"&amp;"h}
}")</f>
        <v>@article{Monakow_1978,
        doi = {10.1007/bf00235561},
        url = {https://doi.org/10.1007%2Fbf00235561},
        year = 1978,
        publisher = {Springer Science and Business Media {LLC}},
        volume = {33},
        number = {3-4},
        author = {K.Hartmann-von Monakow and K. Akert and H. Künzle },
        title = {Projections of the precentral motor cortex and other cortical areas of the frontal lobe to the subthalamic nucleus in the monkey},
        journal = {Experimental Brain Research}
}</v>
      </c>
      <c r="F101" s="42"/>
      <c r="G101" s="9" t="str">
        <f>IFERROR(__xludf.DUMMYFUNCTION("""COMPUTED_VALUE"""),"Article")</f>
        <v>Article</v>
      </c>
      <c r="H101" s="9" t="str">
        <f>IFERROR(__xludf.DUMMYFUNCTION("""COMPUTED_VALUE"""),"K.Hartmann-von Monakow, K. Akert, H. Künzle ")</f>
        <v>K.Hartmann-von Monakow, K. Akert, H. Künzle </v>
      </c>
      <c r="I101" s="9" t="str">
        <f>IFERROR(__xludf.DUMMYFUNCTION("""COMPUTED_VALUE"""),"Projections of the precentral motor cortex and other cortical areas of the frontal lobe to the subthalamic nucleus in the monkey")</f>
        <v>Projections of the precentral motor cortex and other cortical areas of the frontal lobe to the subthalamic nucleus in the monkey</v>
      </c>
      <c r="J101" s="9" t="str">
        <f>IFERROR(__xludf.DUMMYFUNCTION("""COMPUTED_VALUE"""),"Experimental Brain Research")</f>
        <v>Experimental Brain Research</v>
      </c>
      <c r="K101" s="42"/>
      <c r="L101" s="42" t="str">
        <f>IFERROR(__xludf.DUMMYFUNCTION("""COMPUTED_VALUE"""),"Yuske Shibata")</f>
        <v>Yuske Shibata</v>
      </c>
      <c r="M101" s="42" t="str">
        <f>IFERROR(__xludf.DUMMYFUNCTION("""COMPUTED_VALUE"""),"YS21BgLoop")</f>
        <v>YS21BgLoop</v>
      </c>
      <c r="N101" s="42"/>
      <c r="O101" s="42"/>
      <c r="P101" s="9"/>
      <c r="Q101" s="9"/>
      <c r="R101" s="42"/>
      <c r="S101" s="42"/>
      <c r="T101" s="42"/>
      <c r="U101" s="42"/>
      <c r="V101" s="42"/>
      <c r="W101" s="42"/>
    </row>
    <row r="102">
      <c r="A102" s="9" t="str">
        <f>IFERROR(__xludf.DUMMYFUNCTION("""COMPUTED_VALUE"""),"Miyamoto, 2021")</f>
        <v>Miyamoto, 2021</v>
      </c>
      <c r="B102" s="31" t="str">
        <f>IFERROR(__xludf.DUMMYFUNCTION("""COMPUTED_VALUE"""),"DOC")</f>
        <v>DOC</v>
      </c>
      <c r="C102" s="31" t="str">
        <f>IFERROR(__xludf.DUMMYFUNCTION("""COMPUTED_VALUE"""),"BIB")</f>
        <v>BIB</v>
      </c>
      <c r="D102" s="42" t="str">
        <f>IFERROR(__xludf.DUMMYFUNCTION("""COMPUTED_VALUE"""),"10.1007/s00429-021-02264-1")</f>
        <v>10.1007/s00429-021-02264-1</v>
      </c>
      <c r="E102" s="103" t="str">
        <f>IFERROR(__xludf.DUMMYFUNCTION("""COMPUTED_VALUE"""),"@article{Miyamoto_2021,
	doi = {10.1007/s00429-021-02264-1},
	url = {https://doi.org/10.1007%2Fs00429-021-02264-1},
	year = 2021,
	month = {mar},
	publisher = {Springer Science and Business Media {LLC}},
	volume = {226},
	number = {5},
	pages = {1497--151"&amp;"0},
	author = {Yuta Miyamoto and Takaichi Fukuda},
	title = {The habenula-targeting neurons in the mouse entopeduncular nucleus contain not only somatostatin-positive neurons but also nitric oxide synthase-positive neurons},
	journal = {Brain Structure an"&amp;"d Function}
}")</f>
        <v>@article{Miyamoto_2021,
	doi = {10.1007/s00429-021-02264-1},
	url = {https://doi.org/10.1007%2Fs00429-021-02264-1},
	year = 2021,
	month = {mar},
	publisher = {Springer Science and Business Media {LLC}},
	volume = {226},
	number = {5},
	pages = {1497--1510},
	author = {Yuta Miyamoto and Takaichi Fukuda},
	title = {The habenula-targeting neurons in the mouse entopeduncular nucleus contain not only somatostatin-positive neurons but also nitric oxide synthase-positive neurons},
	journal = {Brain Structure and Function}
}</v>
      </c>
      <c r="F102" s="42"/>
      <c r="G102" s="9" t="str">
        <f>IFERROR(__xludf.DUMMYFUNCTION("""COMPUTED_VALUE"""),"Article")</f>
        <v>Article</v>
      </c>
      <c r="H102" s="9" t="str">
        <f>IFERROR(__xludf.DUMMYFUNCTION("""COMPUTED_VALUE"""),"Yuta Miyamoto, Takaichi Fukuda")</f>
        <v>Yuta Miyamoto, Takaichi Fukuda</v>
      </c>
      <c r="I102" s="9" t="str">
        <f>IFERROR(__xludf.DUMMYFUNCTION("""COMPUTED_VALUE"""),"The habenula-targeting neurons in the mouse entopeduncular nucleus contain not only somatostatin-positive neurons but also nitric oxide synthase-positive neurons")</f>
        <v>The habenula-targeting neurons in the mouse entopeduncular nucleus contain not only somatostatin-positive neurons but also nitric oxide synthase-positive neurons</v>
      </c>
      <c r="J102" s="9" t="str">
        <f>IFERROR(__xludf.DUMMYFUNCTION("""COMPUTED_VALUE"""),"Brain Structure and Function")</f>
        <v>Brain Structure and Function</v>
      </c>
      <c r="K102" s="135"/>
      <c r="L102" s="42" t="str">
        <f>IFERROR(__xludf.DUMMYFUNCTION("""COMPUTED_VALUE"""),"Yuske Shibata")</f>
        <v>Yuske Shibata</v>
      </c>
      <c r="M102" s="42" t="str">
        <f>IFERROR(__xludf.DUMMYFUNCTION("""COMPUTED_VALUE"""),"YS21BgLoop")</f>
        <v>YS21BgLoop</v>
      </c>
      <c r="N102" s="42"/>
      <c r="O102" s="42"/>
      <c r="P102" s="9"/>
      <c r="Q102" s="9"/>
      <c r="R102" s="42"/>
      <c r="S102" s="42"/>
      <c r="T102" s="42"/>
      <c r="U102" s="42"/>
      <c r="V102" s="42"/>
      <c r="W102" s="42"/>
    </row>
    <row r="103">
      <c r="A103" s="9" t="str">
        <f>IFERROR(__xludf.DUMMYFUNCTION("""COMPUTED_VALUE"""),"Miyachi, 2006")</f>
        <v>Miyachi, 2006</v>
      </c>
      <c r="B103" s="31" t="str">
        <f>IFERROR(__xludf.DUMMYFUNCTION("""COMPUTED_VALUE"""),"DOC")</f>
        <v>DOC</v>
      </c>
      <c r="C103" s="31" t="str">
        <f>IFERROR(__xludf.DUMMYFUNCTION("""COMPUTED_VALUE"""),"BIB")</f>
        <v>BIB</v>
      </c>
      <c r="D103" s="42" t="str">
        <f>IFERROR(__xludf.DUMMYFUNCTION("""COMPUTED_VALUE"""),"10.1016/j.neures.2006.07.012")</f>
        <v>10.1016/j.neures.2006.07.012</v>
      </c>
      <c r="E103" s="103" t="str">
        <f>IFERROR(__xludf.DUMMYFUNCTION("""COMPUTED_VALUE"""),"@article{Miyachi_2006,
	doi = {10.1016/j.neures.2006.07.012},
	url = {https://doi.org/10.1016%2Fj.neures.2006.07.012},
	year = 2006,
	month = {nov},
	publisher = {Elsevier {BV}},
	volume = {56},
	number = {3},
	pages = {300--308},
	author = {Shigehiro Miy"&amp;"achi and Xiaofeng Lu and Michiko Imanishi and Kaori Sawada and Atsushi Nambu and Masahiko Takada},
	title = {Somatotopically arranged inputs from putamen and subthalamic nucleus to primary motor cortex},
	journal = {Neuroscience Research}
}")</f>
        <v>@article{Miyachi_2006,
	doi = {10.1016/j.neures.2006.07.012},
	url = {https://doi.org/10.1016%2Fj.neures.2006.07.012},
	year = 2006,
	month = {nov},
	publisher = {Elsevier {BV}},
	volume = {56},
	number = {3},
	pages = {300--308},
	author = {Shigehiro Miyachi and Xiaofeng Lu and Michiko Imanishi and Kaori Sawada and Atsushi Nambu and Masahiko Takada},
	title = {Somatotopically arranged inputs from putamen and subthalamic nucleus to primary motor cortex},
	journal = {Neuroscience Research}
}</v>
      </c>
      <c r="F103" s="42"/>
      <c r="G103" s="9" t="str">
        <f>IFERROR(__xludf.DUMMYFUNCTION("""COMPUTED_VALUE"""),"Article")</f>
        <v>Article</v>
      </c>
      <c r="H103" s="9" t="str">
        <f>IFERROR(__xludf.DUMMYFUNCTION("""COMPUTED_VALUE"""),"Shigehiro Miyachi, Xiaofeng Lu, Michiko Imanishi, Kaori Sawada, Atsushi Nambu, Masahiko Takada")</f>
        <v>Shigehiro Miyachi, Xiaofeng Lu, Michiko Imanishi, Kaori Sawada, Atsushi Nambu, Masahiko Takada</v>
      </c>
      <c r="I103" s="9" t="str">
        <f>IFERROR(__xludf.DUMMYFUNCTION("""COMPUTED_VALUE"""),"Somatotopically arranged inputs from putamen and subthalamic nucleus to primary motor cortex")</f>
        <v>Somatotopically arranged inputs from putamen and subthalamic nucleus to primary motor cortex</v>
      </c>
      <c r="J103" s="9" t="str">
        <f>IFERROR(__xludf.DUMMYFUNCTION("""COMPUTED_VALUE"""),"Neuroscience Research")</f>
        <v>Neuroscience Research</v>
      </c>
      <c r="K103" s="42"/>
      <c r="L103" s="42" t="str">
        <f>IFERROR(__xludf.DUMMYFUNCTION("""COMPUTED_VALUE"""),"Yuske Shibata")</f>
        <v>Yuske Shibata</v>
      </c>
      <c r="M103" s="42" t="str">
        <f>IFERROR(__xludf.DUMMYFUNCTION("""COMPUTED_VALUE"""),"YS21BgLoop")</f>
        <v>YS21BgLoop</v>
      </c>
      <c r="N103" s="42"/>
      <c r="O103" s="42"/>
      <c r="P103" s="9"/>
      <c r="Q103" s="9"/>
      <c r="R103" s="42"/>
      <c r="S103" s="42"/>
      <c r="T103" s="42"/>
      <c r="U103" s="42"/>
      <c r="V103" s="42"/>
      <c r="W103" s="42"/>
    </row>
    <row r="104">
      <c r="A104" s="9" t="str">
        <f>IFERROR(__xludf.DUMMYFUNCTION("""COMPUTED_VALUE"""),"Mitchell, 2015")</f>
        <v>Mitchell, 2015</v>
      </c>
      <c r="B104" s="31" t="str">
        <f>IFERROR(__xludf.DUMMYFUNCTION("""COMPUTED_VALUE"""),"DOC")</f>
        <v>DOC</v>
      </c>
      <c r="C104" s="31" t="str">
        <f>IFERROR(__xludf.DUMMYFUNCTION("""COMPUTED_VALUE"""),"BIB")</f>
        <v>BIB</v>
      </c>
      <c r="D104" s="42" t="str">
        <f>IFERROR(__xludf.DUMMYFUNCTION("""COMPUTED_VALUE"""),"10.1016/j.neubiorev.2015.03.001")</f>
        <v>10.1016/j.neubiorev.2015.03.001</v>
      </c>
      <c r="E104" s="103" t="str">
        <f>IFERROR(__xludf.DUMMYFUNCTION("""COMPUTED_VALUE"""),"@article{Mitchell_2015,
        doi = {10.1016/j.neubiorev.2015.03.001},
        url = {https://doi.org/10.1016%2Fj.neubiorev.2015.03.001},
        year = 2015,
        month = {jul},
        publisher = {Elsevier {BV}},
        volume = {54},
        pag"&amp;"es = {76--88},
        author = {Anna S. Mitchell},
        title = {The mediodorsal thalamus as a higher order thalamic relay nucleus important for learning and decision-making},
        journal = {Neuroscience &amp; Biobehavioral Reviews}
}")</f>
        <v>@article{Mitchell_2015,
        doi = {10.1016/j.neubiorev.2015.03.001},
        url = {https://doi.org/10.1016%2Fj.neubiorev.2015.03.001},
        year = 2015,
        month = {jul},
        publisher = {Elsevier {BV}},
        volume = {54},
        pages = {76--88},
        author = {Anna S. Mitchell},
        title = {The mediodorsal thalamus as a higher order thalamic relay nucleus important for learning and decision-making},
        journal = {Neuroscience &amp; Biobehavioral Reviews}
}</v>
      </c>
      <c r="F104" s="42"/>
      <c r="G104" s="9" t="str">
        <f>IFERROR(__xludf.DUMMYFUNCTION("""COMPUTED_VALUE"""),"Article")</f>
        <v>Article</v>
      </c>
      <c r="H104" s="9" t="str">
        <f>IFERROR(__xludf.DUMMYFUNCTION("""COMPUTED_VALUE"""),"Anna S. Mitchell")</f>
        <v>Anna S. Mitchell</v>
      </c>
      <c r="I104" s="9" t="str">
        <f>IFERROR(__xludf.DUMMYFUNCTION("""COMPUTED_VALUE"""),"The mediodorsal thalamus as a higher order thalamic relay nucleus important for learning and decision-making")</f>
        <v>The mediodorsal thalamus as a higher order thalamic relay nucleus important for learning and decision-making</v>
      </c>
      <c r="J104" s="9" t="str">
        <f>IFERROR(__xludf.DUMMYFUNCTION("""COMPUTED_VALUE"""),"Neuroscience &amp; Biobehavioral Reviews")</f>
        <v>Neuroscience &amp; Biobehavioral Reviews</v>
      </c>
      <c r="K104" s="42" t="str">
        <f>IFERROR(__xludf.DUMMYFUNCTION("""COMPUTED_VALUE"""),"Fig. 2")</f>
        <v>Fig. 2</v>
      </c>
      <c r="L104" s="42" t="str">
        <f>IFERROR(__xludf.DUMMYFUNCTION("""COMPUTED_VALUE"""),"Hiroshi Yamakawa")</f>
        <v>Hiroshi Yamakawa</v>
      </c>
      <c r="M104" s="42" t="str">
        <f>IFERROR(__xludf.DUMMYFUNCTION("""COMPUTED_VALUE"""),"HY18NeocorticalInterareaSignals")</f>
        <v>HY18NeocorticalInterareaSignals</v>
      </c>
      <c r="N104" s="42"/>
      <c r="O104" s="42"/>
      <c r="P104" s="9"/>
      <c r="Q104" s="9"/>
      <c r="R104" s="42"/>
      <c r="S104" s="42"/>
      <c r="T104" s="42"/>
      <c r="U104" s="42"/>
      <c r="V104" s="42"/>
      <c r="W104" s="42"/>
    </row>
    <row r="105">
      <c r="A105" s="9" t="str">
        <f>IFERROR(__xludf.DUMMYFUNCTION("""COMPUTED_VALUE"""),"Missal, 2000")</f>
        <v>Missal, 2000</v>
      </c>
      <c r="B105" s="31" t="str">
        <f>IFERROR(__xludf.DUMMYFUNCTION("""COMPUTED_VALUE"""),"DOC")</f>
        <v>DOC</v>
      </c>
      <c r="C105" s="31" t="str">
        <f>IFERROR(__xludf.DUMMYFUNCTION("""COMPUTED_VALUE"""),"BIB")</f>
        <v>BIB</v>
      </c>
      <c r="D105" s="42" t="str">
        <f>IFERROR(__xludf.DUMMYFUNCTION("""COMPUTED_VALUE"""),"10.1152/jn.2000.83.4.2080")</f>
        <v>10.1152/jn.2000.83.4.2080</v>
      </c>
      <c r="E105" s="103" t="str">
        <f>IFERROR(__xludf.DUMMYFUNCTION("""COMPUTED_VALUE"""),"@article{Missal_2000,
	doi = {10.1152/jn.2000.83.4.2080},
	url = {https://doi.org/10.1152%2Fjn.2000.83.4.2080},
	year = 2000,
	month = {apr},
	publisher = {American Physiological Society},
	volume = {83},
	number = {4},
	pages = {2080--2092},
	author = {M"&amp;". Missal and S. de Brouwer and P. Lef{\`{e}}vre and E. Olivier},
	title = {Activity of Mesencephalic Vertical Burst Neurons During Saccades and Smooth Pursuit},
	journal = {Journal of Neurophysiology}
}")</f>
        <v>@article{Missal_2000,
	doi = {10.1152/jn.2000.83.4.2080},
	url = {https://doi.org/10.1152%2Fjn.2000.83.4.2080},
	year = 2000,
	month = {apr},
	publisher = {American Physiological Society},
	volume = {83},
	number = {4},
	pages = {2080--2092},
	author = {M. Missal and S. de Brouwer and P. Lef{\`{e}}vre and E. Olivier},
	title = {Activity of Mesencephalic Vertical Burst Neurons During Saccades and Smooth Pursuit},
	journal = {Journal of Neurophysiology}
}</v>
      </c>
      <c r="F105" s="42"/>
      <c r="G105" s="9" t="str">
        <f>IFERROR(__xludf.DUMMYFUNCTION("""COMPUTED_VALUE"""),"Article")</f>
        <v>Article</v>
      </c>
      <c r="H105" s="9" t="str">
        <f>IFERROR(__xludf.DUMMYFUNCTION("""COMPUTED_VALUE"""),"M. Missal, S. de Brouwer, P. Lef{\`{e}}vre, E. Olivier")</f>
        <v>M. Missal, S. de Brouwer, P. Lef{\`{e}}vre, E. Olivier</v>
      </c>
      <c r="I105" s="9" t="str">
        <f>IFERROR(__xludf.DUMMYFUNCTION("""COMPUTED_VALUE"""),"Activity of Mesencephalic Vertical Burst Neurons During Saccades and Smooth Pursuit")</f>
        <v>Activity of Mesencephalic Vertical Burst Neurons During Saccades and Smooth Pursuit</v>
      </c>
      <c r="J105" s="9" t="str">
        <f>IFERROR(__xludf.DUMMYFUNCTION("""COMPUTED_VALUE"""),"Journal of Neurophysiology")</f>
        <v>Journal of Neurophysiology</v>
      </c>
      <c r="K105" s="42"/>
      <c r="L105" s="42" t="str">
        <f>IFERROR(__xludf.DUMMYFUNCTION("""COMPUTED_VALUE"""),"Yoshinasa Tawatsji")</f>
        <v>Yoshinasa Tawatsji</v>
      </c>
      <c r="M105" s="42" t="str">
        <f>IFERROR(__xludf.DUMMYFUNCTION("""COMPUTED_VALUE"""),"Oculomotor")</f>
        <v>Oculomotor</v>
      </c>
      <c r="N105" s="42"/>
      <c r="O105" s="42"/>
      <c r="P105" s="9"/>
      <c r="Q105" s="9"/>
      <c r="R105" s="42"/>
      <c r="S105" s="42"/>
      <c r="T105" s="42"/>
      <c r="U105" s="42"/>
      <c r="V105" s="42"/>
      <c r="W105" s="42"/>
    </row>
    <row r="106">
      <c r="A106" s="9" t="str">
        <f>IFERROR(__xludf.DUMMYFUNCTION("""COMPUTED_VALUE"""),"McNaughton, 1977")</f>
        <v>McNaughton, 1977</v>
      </c>
      <c r="B106" s="31" t="str">
        <f>IFERROR(__xludf.DUMMYFUNCTION("""COMPUTED_VALUE"""),"DOC")</f>
        <v>DOC</v>
      </c>
      <c r="C106" s="31" t="str">
        <f>IFERROR(__xludf.DUMMYFUNCTION("""COMPUTED_VALUE"""),"BIB")</f>
        <v>BIB</v>
      </c>
      <c r="D106" s="42" t="str">
        <f>IFERROR(__xludf.DUMMYFUNCTION("""COMPUTED_VALUE"""),"10.1002/cne.901750404")</f>
        <v>10.1002/cne.901750404</v>
      </c>
      <c r="E106" s="103" t="str">
        <f>IFERROR(__xludf.DUMMYFUNCTION("""COMPUTED_VALUE"""),"@article{McNaughton_1977,
	doi = {10.1002/cne.901750404},
	url = {https://doi.org/10.1002%2Fcne.901750404},
	year = 1977,
	month = {oct},
	publisher = {Wiley},
	volume = {175},
	number = {4},
	pages = {439--453},
	author = {B. L. McNaughton and C. A. Barn"&amp;"es},
	title = {Physiological identification and analysis of dentate granule cell responses to stimulation of the medial and lateral perforant pathways in the rat},
	journal = {The Journal of Comparative Neurology}
}")</f>
        <v>@article{McNaughton_1977,
	doi = {10.1002/cne.901750404},
	url = {https://doi.org/10.1002%2Fcne.901750404},
	year = 1977,
	month = {oct},
	publisher = {Wiley},
	volume = {175},
	number = {4},
	pages = {439--453},
	author = {B. L. McNaughton and C. A. Barnes},
	title = {Physiological identification and analysis of dentate granule cell responses to stimulation of the medial and lateral perforant pathways in the rat},
	journal = {The Journal of Comparative Neurology}
}</v>
      </c>
      <c r="F106" s="42" t="str">
        <f>IFERROR(__xludf.DUMMYFUNCTION("""COMPUTED_VALUE"""),"Experimental results")</f>
        <v>Experimental results</v>
      </c>
      <c r="G106" s="9" t="str">
        <f>IFERROR(__xludf.DUMMYFUNCTION("""COMPUTED_VALUE"""),"Article")</f>
        <v>Article</v>
      </c>
      <c r="H106" s="9" t="str">
        <f>IFERROR(__xludf.DUMMYFUNCTION("""COMPUTED_VALUE"""),"B. L. McNaughton, C. A. Barnes")</f>
        <v>B. L. McNaughton, C. A. Barnes</v>
      </c>
      <c r="I106" s="9" t="str">
        <f>IFERROR(__xludf.DUMMYFUNCTION("""COMPUTED_VALUE"""),"Physiological identification and analysis of dentate granule cell responses to stimulation of the medial and lateral perforant pathways in the rat")</f>
        <v>Physiological identification and analysis of dentate granule cell responses to stimulation of the medial and lateral perforant pathways in the rat</v>
      </c>
      <c r="J106" s="9" t="str">
        <f>IFERROR(__xludf.DUMMYFUNCTION("""COMPUTED_VALUE"""),"The Journal of Comparative Neurology")</f>
        <v>The Journal of Comparative Neurology</v>
      </c>
      <c r="K106" s="42"/>
      <c r="L106" s="42" t="str">
        <f>IFERROR(__xludf.DUMMYFUNCTION("""COMPUTED_VALUE"""),"Yuske Shibata")</f>
        <v>Yuske Shibata</v>
      </c>
      <c r="M106" s="42" t="str">
        <f>IFERROR(__xludf.DUMMYFUNCTION("""COMPUTED_VALUE"""),"YS21CredibilityCheck")</f>
        <v>YS21CredibilityCheck</v>
      </c>
      <c r="N106" s="42"/>
      <c r="O106" s="42"/>
      <c r="P106" s="9"/>
      <c r="Q106" s="9"/>
      <c r="R106" s="42"/>
      <c r="S106" s="42"/>
      <c r="T106" s="42"/>
      <c r="U106" s="42"/>
      <c r="V106" s="42"/>
      <c r="W106" s="42"/>
    </row>
    <row r="107">
      <c r="A107" s="9" t="str">
        <f>IFERROR(__xludf.DUMMYFUNCTION("""COMPUTED_VALUE"""),"May, 2019")</f>
        <v>May, 2019</v>
      </c>
      <c r="B107" s="31" t="str">
        <f>IFERROR(__xludf.DUMMYFUNCTION("""COMPUTED_VALUE"""),"DOC")</f>
        <v>DOC</v>
      </c>
      <c r="C107" s="31" t="str">
        <f>IFERROR(__xludf.DUMMYFUNCTION("""COMPUTED_VALUE"""),"BIB")</f>
        <v>BIB</v>
      </c>
      <c r="D107" s="42" t="str">
        <f>IFERROR(__xludf.DUMMYFUNCTION("""COMPUTED_VALUE"""),"10.1152/jn.00846.2018")</f>
        <v>10.1152/jn.00846.2018</v>
      </c>
      <c r="E107" s="103" t="str">
        <f>IFERROR(__xludf.DUMMYFUNCTION("""COMPUTED_VALUE"""),"@article{May_2019,
	doi = {10.1152/jn.00846.2018},
	url = {https://doi.org/10.1152%2Fjn.00846.2018},
	year = 2019,
	month = {may},
	publisher = {American Physiological Society},
	volume = {121},
	number = {5},
	pages = {1692--1703},
	author = {Paul J. May"&amp;" and Isabelle Billig and Paul D. Gamlin and Julie Quinet},
	title = {Central mesencephalic reticular formation control of the near response: lens accommodation circuits},
	journal = {Journal of Neurophysiology}
}")</f>
        <v>@article{May_2019,
	doi = {10.1152/jn.00846.2018},
	url = {https://doi.org/10.1152%2Fjn.00846.2018},
	year = 2019,
	month = {may},
	publisher = {American Physiological Society},
	volume = {121},
	number = {5},
	pages = {1692--1703},
	author = {Paul J. May and Isabelle Billig and Paul D. Gamlin and Julie Quinet},
	title = {Central mesencephalic reticular formation control of the near response: lens accommodation circuits},
	journal = {Journal of Neurophysiology}
}</v>
      </c>
      <c r="F107" s="42"/>
      <c r="G107" s="9" t="str">
        <f>IFERROR(__xludf.DUMMYFUNCTION("""COMPUTED_VALUE"""),"Article")</f>
        <v>Article</v>
      </c>
      <c r="H107" s="9" t="str">
        <f>IFERROR(__xludf.DUMMYFUNCTION("""COMPUTED_VALUE"""),"Paul J. May, Isabelle Billig, Paul D. Gamlin, Julie Quinet")</f>
        <v>Paul J. May, Isabelle Billig, Paul D. Gamlin, Julie Quinet</v>
      </c>
      <c r="I107" s="9" t="str">
        <f>IFERROR(__xludf.DUMMYFUNCTION("""COMPUTED_VALUE"""),"Central mesencephalic reticular formation control of the near response: lens accommodation circuits")</f>
        <v>Central mesencephalic reticular formation control of the near response: lens accommodation circuits</v>
      </c>
      <c r="J107" s="9" t="str">
        <f>IFERROR(__xludf.DUMMYFUNCTION("""COMPUTED_VALUE"""),"Journal of Neurophysiology")</f>
        <v>Journal of Neurophysiology</v>
      </c>
      <c r="K107" s="42"/>
      <c r="L107" s="42" t="str">
        <f>IFERROR(__xludf.DUMMYFUNCTION("""COMPUTED_VALUE"""),"Yoshinasa Tawatsji")</f>
        <v>Yoshinasa Tawatsji</v>
      </c>
      <c r="M107" s="42" t="str">
        <f>IFERROR(__xludf.DUMMYFUNCTION("""COMPUTED_VALUE"""),"Oculomotor")</f>
        <v>Oculomotor</v>
      </c>
      <c r="N107" s="42"/>
      <c r="O107" s="42"/>
      <c r="P107" s="9"/>
      <c r="Q107" s="9"/>
      <c r="R107" s="42"/>
      <c r="S107" s="42"/>
      <c r="T107" s="42"/>
      <c r="U107" s="42"/>
      <c r="V107" s="42"/>
      <c r="W107" s="42"/>
    </row>
    <row r="108">
      <c r="A108" s="9" t="str">
        <f>IFERROR(__xludf.DUMMYFUNCTION("""COMPUTED_VALUE"""),"Matsuno, 2016")</f>
        <v>Matsuno, 2016</v>
      </c>
      <c r="B108" s="31" t="str">
        <f>IFERROR(__xludf.DUMMYFUNCTION("""COMPUTED_VALUE"""),"DOC")</f>
        <v>DOC</v>
      </c>
      <c r="C108" s="31" t="str">
        <f>IFERROR(__xludf.DUMMYFUNCTION("""COMPUTED_VALUE"""),"BIB")</f>
        <v>BIB</v>
      </c>
      <c r="D108" s="42" t="str">
        <f>IFERROR(__xludf.DUMMYFUNCTION("""COMPUTED_VALUE"""),"10.1371/journal.pone.0164037")</f>
        <v>10.1371/journal.pone.0164037</v>
      </c>
      <c r="E108" s="103" t="str">
        <f>IFERROR(__xludf.DUMMYFUNCTION("""COMPUTED_VALUE"""),"@article{Matsuno_2016,
        doi = {10.1371/journal.pone.0164037},
        url = {https://doi.org/10.1371%2Fjournal.pone.0164037},
        year = 2016,
        month = {oct},
        publisher = {Public Library of Science ({PLoS})},
        volume = {11"&amp;"},
        number = {10},
        pages = {e0164037},
        author = {Hitomi Matsuno and Moeko Kudoh and Akiya Watakabe and Tetsuo Yamamori and Ryuichi Shigemoto and Soichi Nagao},
        editor = {Manuel S. Malmierca},
        title = {Distribution an"&amp;"d Structure of Synapses on Medial Vestibular Nuclear Neurons Targeted by Cerebellar Flocculus Purkinje Cells and Vestibular Nerve in Mice: Light and Electron Microscopy Studies},
        journal = {{PLoS} {ONE}}
}")</f>
        <v>@article{Matsuno_2016,
        doi = {10.1371/journal.pone.0164037},
        url = {https://doi.org/10.1371%2Fjournal.pone.0164037},
        year = 2016,
        month = {oct},
        publisher = {Public Library of Science ({PLoS})},
        volume = {11},
        number = {10},
        pages = {e0164037},
        author = {Hitomi Matsuno and Moeko Kudoh and Akiya Watakabe and Tetsuo Yamamori and Ryuichi Shigemoto and Soichi Nagao},
        editor = {Manuel S. Malmierca},
        title = {Distribution and Structure of Synapses on Medial Vestibular Nuclear Neurons Targeted by Cerebellar Flocculus Purkinje Cells and Vestibular Nerve in Mice: Light and Electron Microscopy Studies},
        journal = {{PLoS} {ONE}}
}</v>
      </c>
      <c r="F108" s="42"/>
      <c r="G108" s="9" t="str">
        <f>IFERROR(__xludf.DUMMYFUNCTION("""COMPUTED_VALUE"""),"Article")</f>
        <v>Article</v>
      </c>
      <c r="H108" s="9" t="str">
        <f>IFERROR(__xludf.DUMMYFUNCTION("""COMPUTED_VALUE"""),"Hitomi Matsuno, Moeko Kudoh, Akiya Watakabe, Tetsuo Yamamori, Ryuichi Shigemoto, Soichi Nagao")</f>
        <v>Hitomi Matsuno, Moeko Kudoh, Akiya Watakabe, Tetsuo Yamamori, Ryuichi Shigemoto, Soichi Nagao</v>
      </c>
      <c r="I108" s="9" t="str">
        <f>IFERROR(__xludf.DUMMYFUNCTION("""COMPUTED_VALUE"""),"Distribution and Structure of Synapses on Medial Vestibular Nuclear Neurons Targeted by Cerebellar Flocculus Purkinje Cells and Vestibular Nerve in Mice: Light and Electron Microscopy Studies")</f>
        <v>Distribution and Structure of Synapses on Medial Vestibular Nuclear Neurons Targeted by Cerebellar Flocculus Purkinje Cells and Vestibular Nerve in Mice: Light and Electron Microscopy Studies</v>
      </c>
      <c r="J108" s="9" t="str">
        <f>IFERROR(__xludf.DUMMYFUNCTION("""COMPUTED_VALUE"""),"{PLoS} {ONE}")</f>
        <v>{PLoS} {ONE}</v>
      </c>
      <c r="K108" s="42"/>
      <c r="L108" s="42" t="str">
        <f>IFERROR(__xludf.DUMMYFUNCTION("""COMPUTED_VALUE"""),"Hiroshi Yamakawa")</f>
        <v>Hiroshi Yamakawa</v>
      </c>
      <c r="M108" s="42" t="str">
        <f>IFERROR(__xludf.DUMMYFUNCTION("""COMPUTED_VALUE"""),"HY20Cerebellum")</f>
        <v>HY20Cerebellum</v>
      </c>
      <c r="N108" s="42"/>
      <c r="O108" s="42"/>
      <c r="P108" s="9"/>
      <c r="Q108" s="9"/>
      <c r="R108" s="42"/>
      <c r="S108" s="42"/>
      <c r="T108" s="42"/>
      <c r="U108" s="42"/>
      <c r="V108" s="42"/>
      <c r="W108" s="42"/>
    </row>
    <row r="109">
      <c r="A109" s="9" t="str">
        <f>IFERROR(__xludf.DUMMYFUNCTION("""COMPUTED_VALUE"""),"Markov, 2013")</f>
        <v>Markov, 2013</v>
      </c>
      <c r="B109" s="31" t="str">
        <f>IFERROR(__xludf.DUMMYFUNCTION("""COMPUTED_VALUE"""),"DOC")</f>
        <v>DOC</v>
      </c>
      <c r="C109" s="31" t="str">
        <f>IFERROR(__xludf.DUMMYFUNCTION("""COMPUTED_VALUE"""),"BIB")</f>
        <v>BIB</v>
      </c>
      <c r="D109" s="42" t="str">
        <f>IFERROR(__xludf.DUMMYFUNCTION("""COMPUTED_VALUE"""),"10.1002/cne.23458")</f>
        <v>10.1002/cne.23458</v>
      </c>
      <c r="E109" s="103" t="str">
        <f>IFERROR(__xludf.DUMMYFUNCTION("""COMPUTED_VALUE"""),"@article{Markov_2013,
	doi = {10.1002/cne.23458},
	url = {https://doi.org/10.1002%2Fcne.23458},
	year = 2013,
	month = {nov},
	publisher = {Wiley},
	volume = {522},
	number = {1},
	pages = {225--259},
	author = {Nikola T. Markov and Julien Vezoli and Pasc"&amp;"al Chameau and Arnaud Falchier and Ren{\'{e}} Quilodran and Cyril Huissoud and Camille Lamy and Pierre Misery and Pascale Giroud and Shimon Ullman and Pascal Barone and Colette Dehay and Kenneth Knoblauch and Henry Kennedy},
	title = {Anatomy of hierarchy"&amp;": Feedforward and feedback pathways in macaque visual cortex},
	journal = {Journal of Comparative Neurology}
}")</f>
        <v>@article{Markov_2013,
	doi = {10.1002/cne.23458},
	url = {https://doi.org/10.1002%2Fcne.23458},
	year = 2013,
	month = {nov},
	publisher = {Wiley},
	volume = {522},
	number = {1},
	pages = {225--259},
	author = {Nikola T. Markov and Julien Vezoli and Pascal Chameau and Arnaud Falchier and Ren{\'{e}} Quilodran and Cyril Huissoud and Camille Lamy and Pierre Misery and Pascale Giroud and Shimon Ullman and Pascal Barone and Colette Dehay and Kenneth Knoblauch and Henry Kennedy},
	title = {Anatomy of hierarchy: Feedforward and feedback pathways in macaque visual cortex},
	journal = {Journal of Comparative Neurology}
}</v>
      </c>
      <c r="F109" s="42" t="str">
        <f>IFERROR(__xludf.DUMMYFUNCTION("""COMPUTED_VALUE"""),"Review")</f>
        <v>Review</v>
      </c>
      <c r="G109" s="9" t="str">
        <f>IFERROR(__xludf.DUMMYFUNCTION("""COMPUTED_VALUE"""),"Article")</f>
        <v>Article</v>
      </c>
      <c r="H109" s="9" t="str">
        <f>IFERROR(__xludf.DUMMYFUNCTION("""COMPUTED_VALUE"""),"Nikola T. Markov, Julien Vezoli, Pascal Chameau, Arnaud Falchier, Ren{\'{e}} Quilodran, Cyril Huissoud, Camille Lamy, Pierre Misery, Pascale Giroud, Shimon Ullman, Pascal Barone, Colette Dehay, Kenneth Knoblauch, Henry Kennedy")</f>
        <v>Nikola T. Markov, Julien Vezoli, Pascal Chameau, Arnaud Falchier, Ren{\'{e}} Quilodran, Cyril Huissoud, Camille Lamy, Pierre Misery, Pascale Giroud, Shimon Ullman, Pascal Barone, Colette Dehay, Kenneth Knoblauch, Henry Kennedy</v>
      </c>
      <c r="I109" s="9" t="str">
        <f>IFERROR(__xludf.DUMMYFUNCTION("""COMPUTED_VALUE"""),"Anatomy of hierarchy: Feedforward and feedback pathways in macaque visual cortex")</f>
        <v>Anatomy of hierarchy: Feedforward and feedback pathways in macaque visual cortex</v>
      </c>
      <c r="J109" s="9" t="str">
        <f>IFERROR(__xludf.DUMMYFUNCTION("""COMPUTED_VALUE"""),"Journal of Comparative Neurology")</f>
        <v>Journal of Comparative Neurology</v>
      </c>
      <c r="K109" s="42"/>
      <c r="L109" s="42" t="str">
        <f>IFERROR(__xludf.DUMMYFUNCTION("""COMPUTED_VALUE"""),"Hiroshi Yamakawa")</f>
        <v>Hiroshi Yamakawa</v>
      </c>
      <c r="M109" s="42" t="str">
        <f>IFERROR(__xludf.DUMMYFUNCTION("""COMPUTED_VALUE"""),"HY18NeocorticalInterareaSignals")</f>
        <v>HY18NeocorticalInterareaSignals</v>
      </c>
      <c r="N109" s="42"/>
      <c r="O109" s="42"/>
      <c r="P109" s="9"/>
      <c r="Q109" s="9"/>
      <c r="R109" s="42"/>
      <c r="S109" s="42"/>
      <c r="T109" s="42"/>
      <c r="U109" s="42"/>
      <c r="V109" s="42"/>
      <c r="W109" s="42"/>
    </row>
    <row r="110">
      <c r="A110" s="9" t="str">
        <f>IFERROR(__xludf.DUMMYFUNCTION("""COMPUTED_VALUE"""),"Majka, 2020")</f>
        <v>Majka, 2020</v>
      </c>
      <c r="B110" s="31" t="str">
        <f>IFERROR(__xludf.DUMMYFUNCTION("""COMPUTED_VALUE"""),"DOC")</f>
        <v>DOC</v>
      </c>
      <c r="C110" s="31" t="str">
        <f>IFERROR(__xludf.DUMMYFUNCTION("""COMPUTED_VALUE"""),"BIB")</f>
        <v>BIB</v>
      </c>
      <c r="D110" s="42" t="str">
        <f>IFERROR(__xludf.DUMMYFUNCTION("""COMPUTED_VALUE"""),"10.1038/s41467-020-14858-0")</f>
        <v>10.1038/s41467-020-14858-0</v>
      </c>
      <c r="E110" s="103" t="str">
        <f>IFERROR(__xludf.DUMMYFUNCTION("""COMPUTED_VALUE"""),"@article{Majka_2020,
	doi = {10.1038/s41467-020-14858-0},
	url = {https://doi.org/10.1038%2Fs41467-020-14858-0},
	year = 2020,
	month = {feb},
	publisher = {Springer Science and Business Media {LLC}},
	volume = {11},
	number = {1},
	author = {Piotr Majka "&amp;"and Shi Bai and Sophia Bakola and Sylwia Bednarek and Jonathan M. Chan and Natalia Jermakow and Lauretta Passarelli and David H. Reser and Panagiota Theodoni and Katrina H. Worthy and Xiao-Jing Wang and Daniel K. W{\'{o}}jcik and Partha P. Mitra and Marce"&amp;"llo G. P. Rosa},
	title = {Open access resource for cellular-resolution analyses of corticocortical connectivity in the marmoset monkey},
	journal = {Nature Communications}
}")</f>
        <v>@article{Majka_2020,
	doi = {10.1038/s41467-020-14858-0},
	url = {https://doi.org/10.1038%2Fs41467-020-14858-0},
	year = 2020,
	month = {feb},
	publisher = {Springer Science and Business Media {LLC}},
	volume = {11},
	number = {1},
	author = {Piotr Majka and Shi Bai and Sophia Bakola and Sylwia Bednarek and Jonathan M. Chan and Natalia Jermakow and Lauretta Passarelli and David H. Reser and Panagiota Theodoni and Katrina H. Worthy and Xiao-Jing Wang and Daniel K. W{\'{o}}jcik and Partha P. Mitra and Marcello G. P. Rosa},
	title = {Open access resource for cellular-resolution analyses of corticocortical connectivity in the marmoset monkey},
	journal = {Nature Communications}
}</v>
      </c>
      <c r="F110" s="42"/>
      <c r="G110" s="9" t="str">
        <f>IFERROR(__xludf.DUMMYFUNCTION("""COMPUTED_VALUE"""),"Article")</f>
        <v>Article</v>
      </c>
      <c r="H110" s="9" t="str">
        <f>IFERROR(__xludf.DUMMYFUNCTION("""COMPUTED_VALUE"""),"Piotr Majka, Shi Bai, Sophia Bakola, Sylwia Bednarek, Jonathan M. Chan, Natalia Jermakow, Lauretta Passarelli, David H. Reser, Panagiota Theodoni, Katrina H. Worthy, Xiao-Jing Wang, Daniel K. W{\'{o}}jcik, Partha P. Mitra, Marcello G. P. Rosa")</f>
        <v>Piotr Majka, Shi Bai, Sophia Bakola, Sylwia Bednarek, Jonathan M. Chan, Natalia Jermakow, Lauretta Passarelli, David H. Reser, Panagiota Theodoni, Katrina H. Worthy, Xiao-Jing Wang, Daniel K. W{\'{o}}jcik, Partha P. Mitra, Marcello G. P. Rosa</v>
      </c>
      <c r="I110" s="9" t="str">
        <f>IFERROR(__xludf.DUMMYFUNCTION("""COMPUTED_VALUE"""),"Open access resource for cellular-resolution analyses of corticocortical connectivity in the marmoset monkey")</f>
        <v>Open access resource for cellular-resolution analyses of corticocortical connectivity in the marmoset monkey</v>
      </c>
      <c r="J110" s="9" t="str">
        <f>IFERROR(__xludf.DUMMYFUNCTION("""COMPUTED_VALUE"""),"Nature Communications")</f>
        <v>Nature Communications</v>
      </c>
      <c r="K110" s="135" t="str">
        <f>IFERROR(__xludf.DUMMYFUNCTION("""COMPUTED_VALUE"""),"https://www.nature.com/articles/s41467-020-14858-0")</f>
        <v>https://www.nature.com/articles/s41467-020-14858-0</v>
      </c>
      <c r="L110" s="42" t="str">
        <f>IFERROR(__xludf.DUMMYFUNCTION("""COMPUTED_VALUE"""),"Yudai Suzuki")</f>
        <v>Yudai Suzuki</v>
      </c>
      <c r="M110" s="42" t="str">
        <f>IFERROR(__xludf.DUMMYFUNCTION("""COMPUTED_VALUE"""),"YS21Trust")</f>
        <v>YS21Trust</v>
      </c>
      <c r="N110" s="42"/>
      <c r="O110" s="42"/>
      <c r="P110" s="9"/>
      <c r="Q110" s="9"/>
      <c r="R110" s="42"/>
      <c r="S110" s="42"/>
      <c r="T110" s="42"/>
      <c r="U110" s="42"/>
      <c r="V110" s="42"/>
      <c r="W110" s="42"/>
    </row>
    <row r="111">
      <c r="A111" s="9" t="str">
        <f>IFERROR(__xludf.DUMMYFUNCTION("""COMPUTED_VALUE"""),"Luo, 2018")</f>
        <v>Luo, 2018</v>
      </c>
      <c r="B111" s="31" t="str">
        <f>IFERROR(__xludf.DUMMYFUNCTION("""COMPUTED_VALUE"""),"DOC")</f>
        <v>DOC</v>
      </c>
      <c r="C111" s="31" t="str">
        <f>IFERROR(__xludf.DUMMYFUNCTION("""COMPUTED_VALUE"""),"BIB")</f>
        <v>BIB</v>
      </c>
      <c r="D111" s="42" t="str">
        <f>IFERROR(__xludf.DUMMYFUNCTION("""COMPUTED_VALUE"""),"10.3389/fpsyg.2018.00859")</f>
        <v>10.3389/fpsyg.2018.00859</v>
      </c>
      <c r="E111" s="103" t="str">
        <f>IFERROR(__xludf.DUMMYFUNCTION("""COMPUTED_VALUE"""),"@article{Luo_2018,
	doi = {10.3389/fpsyg.2018.00859},
	url = {https://doi.org/10.3389%2Ffpsyg.2018.00859},
	year = 2018,
	month = {jun},
	publisher = {Frontiers Media {SA}},
	volume = {9},
	author = {Jun Luo},
	title = {The Neural Basis of and a Common Ne"&amp;"ural Circuitry in Different Types of Pro-social Behavior},
	journal = {Frontiers in Psychology}
}")</f>
        <v>@article{Luo_2018,
	doi = {10.3389/fpsyg.2018.00859},
	url = {https://doi.org/10.3389%2Ffpsyg.2018.00859},
	year = 2018,
	month = {jun},
	publisher = {Frontiers Media {SA}},
	volume = {9},
	author = {Jun Luo},
	title = {The Neural Basis of and a Common Neural Circuitry in Different Types of Pro-social Behavior},
	journal = {Frontiers in Psychology}
}</v>
      </c>
      <c r="F111" s="42"/>
      <c r="G111" s="9" t="str">
        <f>IFERROR(__xludf.DUMMYFUNCTION("""COMPUTED_VALUE"""),"Article")</f>
        <v>Article</v>
      </c>
      <c r="H111" s="9" t="str">
        <f>IFERROR(__xludf.DUMMYFUNCTION("""COMPUTED_VALUE"""),"Jun Luo")</f>
        <v>Jun Luo</v>
      </c>
      <c r="I111" s="9" t="str">
        <f>IFERROR(__xludf.DUMMYFUNCTION("""COMPUTED_VALUE"""),"The Neural Basis of and a Common Neural Circuitry in Different Types of Pro-social Behavior")</f>
        <v>The Neural Basis of and a Common Neural Circuitry in Different Types of Pro-social Behavior</v>
      </c>
      <c r="J111" s="9" t="str">
        <f>IFERROR(__xludf.DUMMYFUNCTION("""COMPUTED_VALUE"""),"Frontiers in Psychology")</f>
        <v>Frontiers in Psychology</v>
      </c>
      <c r="K111" s="133" t="str">
        <f>IFERROR(__xludf.DUMMYFUNCTION("""COMPUTED_VALUE"""),"https://www.frontiersin.org/articles/10.3389/fpsyg.2018.00859/full")</f>
        <v>https://www.frontiersin.org/articles/10.3389/fpsyg.2018.00859/full</v>
      </c>
      <c r="L111" s="42"/>
      <c r="M111" s="42" t="str">
        <f>IFERROR(__xludf.DUMMYFUNCTION("""COMPUTED_VALUE"""),"Trust")</f>
        <v>Trust</v>
      </c>
      <c r="N111" s="42"/>
      <c r="O111" s="42"/>
      <c r="P111" s="9"/>
      <c r="Q111" s="9"/>
      <c r="R111" s="42"/>
      <c r="S111" s="42"/>
      <c r="T111" s="42"/>
      <c r="U111" s="42"/>
      <c r="V111" s="42"/>
      <c r="W111" s="42"/>
    </row>
    <row r="112">
      <c r="A112" s="9" t="str">
        <f>IFERROR(__xludf.DUMMYFUNCTION("""COMPUTED_VALUE"""),"Lu, 2012")</f>
        <v>Lu, 2012</v>
      </c>
      <c r="B112" s="31" t="str">
        <f>IFERROR(__xludf.DUMMYFUNCTION("""COMPUTED_VALUE"""),"DOC")</f>
        <v>DOC</v>
      </c>
      <c r="C112" s="31" t="str">
        <f>IFERROR(__xludf.DUMMYFUNCTION("""COMPUTED_VALUE"""),"BIB")</f>
        <v>BIB</v>
      </c>
      <c r="D112" s="42" t="str">
        <f>IFERROR(__xludf.DUMMYFUNCTION("""COMPUTED_VALUE"""),"10.1073/pnas.1211168109")</f>
        <v>10.1073/pnas.1211168109</v>
      </c>
      <c r="E112" s="103" t="str">
        <f>IFERROR(__xludf.DUMMYFUNCTION("""COMPUTED_VALUE"""),"@article{Lu_2012,
	doi = {10.1073/pnas.1211168109},
	url = {https://doi.org/10.1073%2Fpnas.1211168109},
	year = 2012,
	month = {oct},
	publisher = {Proceedings of the National Academy of Sciences},
	volume = {109},
	number = {46},
	pages = {18980--18984},"&amp;"
	author = {Xiaofeng Lu and Shigehiro Miyachi and Masahiko Takada},
	title = {Anatomical evidence for the involvement of medial cerebellar output from the interpositus nuclei in cognitive functions},
	journal = {Proceedings of the National Academy of Scie"&amp;"nces}
}")</f>
        <v>@article{Lu_2012,
	doi = {10.1073/pnas.1211168109},
	url = {https://doi.org/10.1073%2Fpnas.1211168109},
	year = 2012,
	month = {oct},
	publisher = {Proceedings of the National Academy of Sciences},
	volume = {109},
	number = {46},
	pages = {18980--18984},
	author = {Xiaofeng Lu and Shigehiro Miyachi and Masahiko Takada},
	title = {Anatomical evidence for the involvement of medial cerebellar output from the interpositus nuclei in cognitive functions},
	journal = {Proceedings of the National Academy of Sciences}
}</v>
      </c>
      <c r="F112" s="42"/>
      <c r="G112" s="9" t="str">
        <f>IFERROR(__xludf.DUMMYFUNCTION("""COMPUTED_VALUE"""),"Article")</f>
        <v>Article</v>
      </c>
      <c r="H112" s="9" t="str">
        <f>IFERROR(__xludf.DUMMYFUNCTION("""COMPUTED_VALUE"""),"Xiaofeng Lu, Shigehiro Miyachi, Masahiko Takada")</f>
        <v>Xiaofeng Lu, Shigehiro Miyachi, Masahiko Takada</v>
      </c>
      <c r="I112" s="9" t="str">
        <f>IFERROR(__xludf.DUMMYFUNCTION("""COMPUTED_VALUE"""),"Anatomical evidence for the involvement of medial cerebellar output from the interpositus nuclei in cognitive functions")</f>
        <v>Anatomical evidence for the involvement of medial cerebellar output from the interpositus nuclei in cognitive functions</v>
      </c>
      <c r="J112" s="9" t="str">
        <f>IFERROR(__xludf.DUMMYFUNCTION("""COMPUTED_VALUE"""),"Proceedings of the National Academy of Sciences")</f>
        <v>Proceedings of the National Academy of Sciences</v>
      </c>
      <c r="K112" s="42"/>
      <c r="L112" s="42" t="str">
        <f>IFERROR(__xludf.DUMMYFUNCTION("""COMPUTED_VALUE"""),"Hiroshi Yamakawa")</f>
        <v>Hiroshi Yamakawa</v>
      </c>
      <c r="M112" s="42" t="str">
        <f>IFERROR(__xludf.DUMMYFUNCTION("""COMPUTED_VALUE"""),"HY20Cerebellum")</f>
        <v>HY20Cerebellum</v>
      </c>
      <c r="N112" s="42"/>
      <c r="O112" s="42"/>
      <c r="P112" s="9"/>
      <c r="Q112" s="9"/>
      <c r="R112" s="42"/>
      <c r="S112" s="42"/>
      <c r="T112" s="42"/>
      <c r="U112" s="42"/>
      <c r="V112" s="42"/>
      <c r="W112" s="42"/>
    </row>
    <row r="113">
      <c r="A113" s="9" t="str">
        <f>IFERROR(__xludf.DUMMYFUNCTION("""COMPUTED_VALUE"""),"Llorens-Martín, 2014")</f>
        <v>Llorens-Martín, 2014</v>
      </c>
      <c r="B113" s="31" t="str">
        <f>IFERROR(__xludf.DUMMYFUNCTION("""COMPUTED_VALUE"""),"DOC")</f>
        <v>DOC</v>
      </c>
      <c r="C113" s="31" t="str">
        <f>IFERROR(__xludf.DUMMYFUNCTION("""COMPUTED_VALUE"""),"BIB")</f>
        <v>BIB</v>
      </c>
      <c r="D113" s="42" t="str">
        <f>IFERROR(__xludf.DUMMYFUNCTION("""COMPUTED_VALUE"""),"10.3389/fnana.2014.00038")</f>
        <v>10.3389/fnana.2014.00038</v>
      </c>
      <c r="E113" s="103" t="str">
        <f>IFERROR(__xludf.DUMMYFUNCTION("""COMPUTED_VALUE"""),"@article{Llorens-Martín_2014,
        doi = {10.3389/fnana.2014.00038},
        url = {https://doi.org/10.3389%2Ffnana.2014.00038},
        year = 2014,
        month = {may},
        publisher = {Frontiers Media {SA}},
        volume = {8},
        autho"&amp;"r = {Maria Llorens-Martín and Lidia Blazquez-Llorca and Ruth Benavides-Piccione and Alberto Rabano and Felix Hernandez and Jesus Avila and Javier DeFelipe},
        title = {Selective alterations of neurons and circuits related to early memory loss in Alz"&amp;"heimer{\^{a}}{\mbox{\texteuro}}{\texttrademark}s disease},
        journal = {Frontiers in Neuroanatomy}
}")</f>
        <v>@article{Llorens-Martín_2014,
        doi = {10.3389/fnana.2014.00038},
        url = {https://doi.org/10.3389%2Ffnana.2014.00038},
        year = 2014,
        month = {may},
        publisher = {Frontiers Media {SA}},
        volume = {8},
        author = {Maria Llorens-Martín and Lidia Blazquez-Llorca and Ruth Benavides-Piccione and Alberto Rabano and Felix Hernandez and Jesus Avila and Javier DeFelipe},
        title = {Selective alterations of neurons and circuits related to early memory loss in Alzheimer{\^{a}}{\mbox{\texteuro}}{\texttrademark}s disease},
        journal = {Frontiers in Neuroanatomy}
}</v>
      </c>
      <c r="F113" s="42" t="str">
        <f>IFERROR(__xludf.DUMMYFUNCTION("""COMPUTED_VALUE"""),"Hypothesis")</f>
        <v>Hypothesis</v>
      </c>
      <c r="G113" s="9" t="str">
        <f>IFERROR(__xludf.DUMMYFUNCTION("""COMPUTED_VALUE"""),"Article")</f>
        <v>Article</v>
      </c>
      <c r="H113" s="9" t="str">
        <f>IFERROR(__xludf.DUMMYFUNCTION("""COMPUTED_VALUE"""),"Maria Llorens-Martín, Lidia Blazquez-Llorca, Ruth Benavides-Piccione, Alberto Rabano, Felix Hernandez, Jesus Avila, Javier DeFelipe")</f>
        <v>Maria Llorens-Martín, Lidia Blazquez-Llorca, Ruth Benavides-Piccione, Alberto Rabano, Felix Hernandez, Jesus Avila, Javier DeFelipe</v>
      </c>
      <c r="I113" s="9" t="str">
        <f>IFERROR(__xludf.DUMMYFUNCTION("""COMPUTED_VALUE"""),"Selective alterations of neurons and circuits related to early memory loss in Alzheimer{\^{a}}{\mbox{\texteuro}}{\texttrademark}s disease")</f>
        <v>Selective alterations of neurons and circuits related to early memory loss in Alzheimer{\^{a}}{\mbox{\texteuro}}{\texttrademark}s disease</v>
      </c>
      <c r="J113" s="9" t="str">
        <f>IFERROR(__xludf.DUMMYFUNCTION("""COMPUTED_VALUE"""),"Frontiers in Neuroanatomy")</f>
        <v>Frontiers in Neuroanatomy</v>
      </c>
      <c r="K113" s="42"/>
      <c r="L113" s="42" t="str">
        <f>IFERROR(__xludf.DUMMYFUNCTION("""COMPUTED_VALUE"""),"Ayako Fukawa")</f>
        <v>Ayako Fukawa</v>
      </c>
      <c r="M113" s="42" t="str">
        <f>IFERROR(__xludf.DUMMYFUNCTION("""COMPUTED_VALUE"""),"AT20HippocampalFormation")</f>
        <v>AT20HippocampalFormation</v>
      </c>
      <c r="N113" s="42"/>
      <c r="O113" s="42"/>
      <c r="P113" s="9"/>
      <c r="Q113" s="9"/>
      <c r="R113" s="42"/>
      <c r="S113" s="42"/>
      <c r="T113" s="42"/>
      <c r="U113" s="42"/>
      <c r="V113" s="42"/>
      <c r="W113" s="42"/>
    </row>
    <row r="114">
      <c r="A114" s="9" t="str">
        <f>IFERROR(__xludf.DUMMYFUNCTION("""COMPUTED_VALUE"""),"Llins, 2002")</f>
        <v>Llins, 2002</v>
      </c>
      <c r="B114" s="31" t="str">
        <f>IFERROR(__xludf.DUMMYFUNCTION("""COMPUTED_VALUE"""),"DOC")</f>
        <v>DOC</v>
      </c>
      <c r="C114" s="31" t="str">
        <f>IFERROR(__xludf.DUMMYFUNCTION("""COMPUTED_VALUE"""),"BIB")</f>
        <v>BIB</v>
      </c>
      <c r="D114" s="42" t="str">
        <f>IFERROR(__xludf.DUMMYFUNCTION("""COMPUTED_VALUE"""),"10.1073/pnas.012604899")</f>
        <v>10.1073/pnas.012604899</v>
      </c>
      <c r="E114" s="103" t="str">
        <f>IFERROR(__xludf.DUMMYFUNCTION("""COMPUTED_VALUE"""),"@article{Llin_s_2002,
	doi = {10.1073/pnas.012604899},
	url = {https://doi.org/10.1073%2Fpnas.012604899},
	year = 2002,
	month = {jan},
	publisher = {Proceedings of the National Academy of Sciences},
	volume = {99},
	number = {1},
	pages = {449--454},
	au"&amp;"thor = {Rodolfo R. Llin{\'{a}}s and Elena Leznik and Francisco J. Urbano},
	title = {Temporal binding via cortical coincidence detection of specific and nonspecific thalamocortical inputs: A voltage-dependent dye-imaging study in mouse brain slices},
	jou"&amp;"rnal = {Proceedings of the National Academy of Sciences}
}")</f>
        <v>@article{Llin_s_2002,
	doi = {10.1073/pnas.012604899},
	url = {https://doi.org/10.1073%2Fpnas.012604899},
	year = 2002,
	month = {jan},
	publisher = {Proceedings of the National Academy of Sciences},
	volume = {99},
	number = {1},
	pages = {449--454},
	author = {Rodolfo R. Llin{\'{a}}s and Elena Leznik and Francisco J. Urbano},
	title = {Temporal binding via cortical coincidence detection of specific and nonspecific thalamocortical inputs: A voltage-dependent dye-imaging study in mouse brain slices},
	journal = {Proceedings of the National Academy of Sciences}
}</v>
      </c>
      <c r="F114" s="42"/>
      <c r="G114" s="9" t="str">
        <f>IFERROR(__xludf.DUMMYFUNCTION("""COMPUTED_VALUE"""),"Article")</f>
        <v>Article</v>
      </c>
      <c r="H114" s="9" t="str">
        <f>IFERROR(__xludf.DUMMYFUNCTION("""COMPUTED_VALUE"""),"Rodolfo R. Llin{\'{a}}s, Elena Leznik, Francisco J. Urbano")</f>
        <v>Rodolfo R. Llin{\'{a}}s, Elena Leznik, Francisco J. Urbano</v>
      </c>
      <c r="I114" s="9" t="str">
        <f>IFERROR(__xludf.DUMMYFUNCTION("""COMPUTED_VALUE"""),"Temporal binding via cortical coincidence detection of specific and nonspecific thalamocortical inputs: A voltage-dependent dye-imaging study in mouse brain slices")</f>
        <v>Temporal binding via cortical coincidence detection of specific and nonspecific thalamocortical inputs: A voltage-dependent dye-imaging study in mouse brain slices</v>
      </c>
      <c r="J114" s="9" t="str">
        <f>IFERROR(__xludf.DUMMYFUNCTION("""COMPUTED_VALUE"""),"Proceedings of the National Academy of Sciences")</f>
        <v>Proceedings of the National Academy of Sciences</v>
      </c>
      <c r="K114" s="42" t="str">
        <f>IFERROR(__xludf.DUMMYFUNCTION("""COMPUTED_VALUE"""),"Fig.5")</f>
        <v>Fig.5</v>
      </c>
      <c r="L114" s="42" t="str">
        <f>IFERROR(__xludf.DUMMYFUNCTION("""COMPUTED_VALUE"""),"Hiroshi Yamakawa")</f>
        <v>Hiroshi Yamakawa</v>
      </c>
      <c r="M114" s="42" t="str">
        <f>IFERROR(__xludf.DUMMYFUNCTION("""COMPUTED_VALUE"""),"HY18NeocorticalInterareaSignals")</f>
        <v>HY18NeocorticalInterareaSignals</v>
      </c>
      <c r="N114" s="42"/>
      <c r="O114" s="42"/>
      <c r="P114" s="9"/>
      <c r="Q114" s="9"/>
      <c r="R114" s="42"/>
      <c r="S114" s="42"/>
      <c r="T114" s="42"/>
      <c r="U114" s="42"/>
      <c r="V114" s="42"/>
      <c r="W114" s="42"/>
    </row>
    <row r="115">
      <c r="A115" s="9" t="str">
        <f>IFERROR(__xludf.DUMMYFUNCTION("""COMPUTED_VALUE"""),"Lemieux, 2014")</f>
        <v>Lemieux, 2014</v>
      </c>
      <c r="B115" s="31" t="str">
        <f>IFERROR(__xludf.DUMMYFUNCTION("""COMPUTED_VALUE"""),"DOC")</f>
        <v>DOC</v>
      </c>
      <c r="C115" s="31" t="str">
        <f>IFERROR(__xludf.DUMMYFUNCTION("""COMPUTED_VALUE"""),"BIB")</f>
        <v>BIB</v>
      </c>
      <c r="D115" s="42" t="str">
        <f>IFERROR(__xludf.DUMMYFUNCTION("""COMPUTED_VALUE"""),"10.1523/JNEUROSCI.1156-13.2014")</f>
        <v>10.1523/JNEUROSCI.1156-13.2014</v>
      </c>
      <c r="E115" s="103" t="str">
        <f>IFERROR(__xludf.DUMMYFUNCTION("""COMPUTED_VALUE"""),"@article{Lemieux_2014,
	doi = {10.1523/jneurosci.1156-13.2014},
	url = {https://doi.org/10.1523%2Fjneurosci.1156-13.2014},
	year = 2014,
	month = {apr},
	publisher = {Society for Neuroscience},
	volume = {34},
	number = {16},
	pages = {5689--5703},
	autho"&amp;"r = {M. Lemieux and J.-Y. Chen and P. Lonjers and M. Bazhenov and I. Timofeev},
	title = {The Impact of Cortical Deafferentation on the Neocortical Slow Oscillation},
	journal = {Journal of Neuroscience}
}")</f>
        <v>@article{Lemieux_2014,
	doi = {10.1523/jneurosci.1156-13.2014},
	url = {https://doi.org/10.1523%2Fjneurosci.1156-13.2014},
	year = 2014,
	month = {apr},
	publisher = {Society for Neuroscience},
	volume = {34},
	number = {16},
	pages = {5689--5703},
	author = {M. Lemieux and J.-Y. Chen and P. Lonjers and M. Bazhenov and I. Timofeev},
	title = {The Impact of Cortical Deafferentation on the Neocortical Slow Oscillation},
	journal = {Journal of Neuroscience}
}</v>
      </c>
      <c r="F115" s="42"/>
      <c r="G115" s="9" t="str">
        <f>IFERROR(__xludf.DUMMYFUNCTION("""COMPUTED_VALUE"""),"Article")</f>
        <v>Article</v>
      </c>
      <c r="H115" s="9" t="str">
        <f>IFERROR(__xludf.DUMMYFUNCTION("""COMPUTED_VALUE"""),"M. Lemieux, J.-Y. Chen, P. Lonjers, M. Bazhenov, I. Timofeev")</f>
        <v>M. Lemieux, J.-Y. Chen, P. Lonjers, M. Bazhenov, I. Timofeev</v>
      </c>
      <c r="I115" s="9" t="str">
        <f>IFERROR(__xludf.DUMMYFUNCTION("""COMPUTED_VALUE"""),"The Impact of Cortical Deafferentation on the Neocortical Slow Oscillation")</f>
        <v>The Impact of Cortical Deafferentation on the Neocortical Slow Oscillation</v>
      </c>
      <c r="J115" s="9" t="str">
        <f>IFERROR(__xludf.DUMMYFUNCTION("""COMPUTED_VALUE"""),"Journal of Neuroscience")</f>
        <v>Journal of Neuroscience</v>
      </c>
      <c r="K115" s="42" t="str">
        <f>IFERROR(__xludf.DUMMYFUNCTION("""COMPUTED_VALUE"""),"Fig.7")</f>
        <v>Fig.7</v>
      </c>
      <c r="L115" s="42" t="str">
        <f>IFERROR(__xludf.DUMMYFUNCTION("""COMPUTED_VALUE"""),"Hiroshi Yamakawa")</f>
        <v>Hiroshi Yamakawa</v>
      </c>
      <c r="M115" s="42" t="str">
        <f>IFERROR(__xludf.DUMMYFUNCTION("""COMPUTED_VALUE"""),"HY18NeocorticalInterareaSignals")</f>
        <v>HY18NeocorticalInterareaSignals</v>
      </c>
      <c r="N115" s="42"/>
      <c r="O115" s="42"/>
      <c r="P115" s="9"/>
      <c r="Q115" s="9"/>
      <c r="R115" s="42"/>
      <c r="S115" s="42"/>
      <c r="T115" s="42"/>
      <c r="U115" s="42"/>
      <c r="V115" s="42"/>
      <c r="W115" s="42"/>
    </row>
    <row r="116">
      <c r="A116" s="9" t="str">
        <f>IFERROR(__xludf.DUMMYFUNCTION("""COMPUTED_VALUE"""),"Lee, 2007")</f>
        <v>Lee, 2007</v>
      </c>
      <c r="B116" s="31" t="str">
        <f>IFERROR(__xludf.DUMMYFUNCTION("""COMPUTED_VALUE"""),"DOC")</f>
        <v>DOC</v>
      </c>
      <c r="C116" s="31" t="str">
        <f>IFERROR(__xludf.DUMMYFUNCTION("""COMPUTED_VALUE"""),"BIB")</f>
        <v>BIB</v>
      </c>
      <c r="D116" s="42" t="str">
        <f>IFERROR(__xludf.DUMMYFUNCTION("""COMPUTED_VALUE"""),"10.1073/pnas.0701934104")</f>
        <v>10.1073/pnas.0701934104</v>
      </c>
      <c r="E116" s="103" t="str">
        <f>IFERROR(__xludf.DUMMYFUNCTION("""COMPUTED_VALUE"""),"@article{Lee_2007,
	doi = {10.1073/pnas.0701934104},
	url = {https://doi.org/10.1073%2Fpnas.0701934104},
	year = 2007,
	month = {apr},
	publisher = {Proceedings of the National Academy of Sciences},
	volume = {104},
	number = {16},
	pages = {6824--6827},
"&amp;"	author = {Psyche H. Lee and Thongchai Sooksawate and Yuchio Yanagawa and Kaoru Isa and Tadashi Isa and William C. Hall},
	title = {Identity of a pathway for saccadic suppression},
	journal = {Proceedings of the National Academy of Sciences}
}")</f>
        <v>@article{Lee_2007,
	doi = {10.1073/pnas.0701934104},
	url = {https://doi.org/10.1073%2Fpnas.0701934104},
	year = 2007,
	month = {apr},
	publisher = {Proceedings of the National Academy of Sciences},
	volume = {104},
	number = {16},
	pages = {6824--6827},
	author = {Psyche H. Lee and Thongchai Sooksawate and Yuchio Yanagawa and Kaoru Isa and Tadashi Isa and William C. Hall},
	title = {Identity of a pathway for saccadic suppression},
	journal = {Proceedings of the National Academy of Sciences}
}</v>
      </c>
      <c r="F116" s="42"/>
      <c r="G116" s="9" t="str">
        <f>IFERROR(__xludf.DUMMYFUNCTION("""COMPUTED_VALUE"""),"Article")</f>
        <v>Article</v>
      </c>
      <c r="H116" s="9" t="str">
        <f>IFERROR(__xludf.DUMMYFUNCTION("""COMPUTED_VALUE"""),"Psyche H. Lee, Thongchai Sooksawate, Yuchio Yanagawa, Kaoru Isa, Tadashi Isa, William C. Hall")</f>
        <v>Psyche H. Lee, Thongchai Sooksawate, Yuchio Yanagawa, Kaoru Isa, Tadashi Isa, William C. Hall</v>
      </c>
      <c r="I116" s="9" t="str">
        <f>IFERROR(__xludf.DUMMYFUNCTION("""COMPUTED_VALUE"""),"Identity of a pathway for saccadic suppression")</f>
        <v>Identity of a pathway for saccadic suppression</v>
      </c>
      <c r="J116" s="9" t="str">
        <f>IFERROR(__xludf.DUMMYFUNCTION("""COMPUTED_VALUE"""),"Proceedings of the National Academy of Sciences")</f>
        <v>Proceedings of the National Academy of Sciences</v>
      </c>
      <c r="K116" s="42"/>
      <c r="L116" s="42" t="str">
        <f>IFERROR(__xludf.DUMMYFUNCTION("""COMPUTED_VALUE"""),"Yoshinasa Tawatsji")</f>
        <v>Yoshinasa Tawatsji</v>
      </c>
      <c r="M116" s="42" t="str">
        <f>IFERROR(__xludf.DUMMYFUNCTION("""COMPUTED_VALUE"""),"Oculomotor")</f>
        <v>Oculomotor</v>
      </c>
      <c r="N116" s="42"/>
      <c r="O116" s="42"/>
      <c r="P116" s="9"/>
      <c r="Q116" s="9"/>
      <c r="R116" s="42"/>
      <c r="S116" s="42"/>
      <c r="T116" s="42"/>
      <c r="U116" s="42"/>
      <c r="V116" s="42"/>
      <c r="W116" s="42"/>
    </row>
    <row r="117">
      <c r="A117" s="9" t="str">
        <f>IFERROR(__xludf.DUMMYFUNCTION("""COMPUTED_VALUE"""),"Krueger, 2019")</f>
        <v>Krueger, 2019</v>
      </c>
      <c r="B117" s="31" t="str">
        <f>IFERROR(__xludf.DUMMYFUNCTION("""COMPUTED_VALUE"""),"DOC")</f>
        <v>DOC</v>
      </c>
      <c r="C117" s="31" t="str">
        <f>IFERROR(__xludf.DUMMYFUNCTION("""COMPUTED_VALUE"""),"BIB")</f>
        <v>BIB</v>
      </c>
      <c r="D117" s="42" t="str">
        <f>IFERROR(__xludf.DUMMYFUNCTION("""COMPUTED_VALUE"""),"10.1016/j.tins.2018.10.004")</f>
        <v>10.1016/j.tins.2018.10.004</v>
      </c>
      <c r="E117" s="103" t="str">
        <f>IFERROR(__xludf.DUMMYFUNCTION("""COMPUTED_VALUE"""),"@article{Krueger_2019,
        doi = {10.1016/j.tins.2018.10.004},
        url = {https://doi.org/10.1016%2Fj.tins.2018.10.004},
        year = 2019,
        month = {feb},
        publisher = {Elsevier {BV}},
        volume = {42},
        number = {2},
"&amp;"        pages = {92--101},
        author = {Frank Krueger and Andreas Meyer-Lindenberg},
        title = {Toward a Model of Interpersonal Trust Drawn from Neuroscience, Psychology, and Economics},
        journal = {Trends in Neurosciences}
}")</f>
        <v>@article{Krueger_2019,
        doi = {10.1016/j.tins.2018.10.004},
        url = {https://doi.org/10.1016%2Fj.tins.2018.10.004},
        year = 2019,
        month = {feb},
        publisher = {Elsevier {BV}},
        volume = {42},
        number = {2},
        pages = {92--101},
        author = {Frank Krueger and Andreas Meyer-Lindenberg},
        title = {Toward a Model of Interpersonal Trust Drawn from Neuroscience, Psychology, and Economics},
        journal = {Trends in Neurosciences}
}</v>
      </c>
      <c r="F117" s="42"/>
      <c r="G117" s="9" t="str">
        <f>IFERROR(__xludf.DUMMYFUNCTION("""COMPUTED_VALUE"""),"Article")</f>
        <v>Article</v>
      </c>
      <c r="H117" s="9" t="str">
        <f>IFERROR(__xludf.DUMMYFUNCTION("""COMPUTED_VALUE"""),"Frank Krueger, Andreas Meyer-Lindenberg")</f>
        <v>Frank Krueger, Andreas Meyer-Lindenberg</v>
      </c>
      <c r="I117" s="9" t="str">
        <f>IFERROR(__xludf.DUMMYFUNCTION("""COMPUTED_VALUE"""),"Toward a Model of Interpersonal Trust Drawn from Neuroscience, Psychology, and Economics")</f>
        <v>Toward a Model of Interpersonal Trust Drawn from Neuroscience, Psychology, and Economics</v>
      </c>
      <c r="J117" s="9" t="str">
        <f>IFERROR(__xludf.DUMMYFUNCTION("""COMPUTED_VALUE"""),"Trends in Neurosciences")</f>
        <v>Trends in Neurosciences</v>
      </c>
      <c r="K117" s="133" t="str">
        <f>IFERROR(__xludf.DUMMYFUNCTION("""COMPUTED_VALUE"""),"https://www.sciencedirect.com/science/article/pii/S0166223618302753")</f>
        <v>https://www.sciencedirect.com/science/article/pii/S0166223618302753</v>
      </c>
      <c r="L117" s="42"/>
      <c r="M117" s="42" t="str">
        <f>IFERROR(__xludf.DUMMYFUNCTION("""COMPUTED_VALUE"""),"Trust")</f>
        <v>Trust</v>
      </c>
      <c r="N117" s="42"/>
      <c r="O117" s="42"/>
      <c r="P117" s="9"/>
      <c r="Q117" s="9"/>
      <c r="R117" s="42"/>
      <c r="S117" s="42"/>
      <c r="T117" s="42"/>
      <c r="U117" s="42"/>
      <c r="V117" s="42"/>
      <c r="W117" s="42"/>
    </row>
    <row r="118">
      <c r="A118" s="9" t="str">
        <f>IFERROR(__xludf.DUMMYFUNCTION("""COMPUTED_VALUE"""),"Krueger, 2019")</f>
        <v>Krueger, 2019</v>
      </c>
      <c r="B118" s="31" t="str">
        <f>IFERROR(__xludf.DUMMYFUNCTION("""COMPUTED_VALUE"""),"DOC")</f>
        <v>DOC</v>
      </c>
      <c r="C118" s="31" t="str">
        <f>IFERROR(__xludf.DUMMYFUNCTION("""COMPUTED_VALUE"""),"BIB")</f>
        <v>BIB</v>
      </c>
      <c r="D118" s="42" t="str">
        <f>IFERROR(__xludf.DUMMYFUNCTION("""COMPUTED_VALUE"""),"10.1016/j.tins.2018.10.004")</f>
        <v>10.1016/j.tins.2018.10.004</v>
      </c>
      <c r="E118" s="103" t="str">
        <f>IFERROR(__xludf.DUMMYFUNCTION("""COMPUTED_VALUE"""),"@article{Krueger2019,
  doi = {10.1016/j.tins.2018.10.004},
  url = {https://doi.org/10.1016/j.tins.2018.10.004},
  year = {2019},
  month = feb,
  publisher = {Elsevier {BV}},
  volume = {42},
  number = {2},
  pages = {92--101},
  author = {Frank Kruege"&amp;"r and Andreas Meyer-Lindenberg},
  title = {Toward a Model of Interpersonal Trust Drawn from Neuroscience,  Psychology,  and Economics},
  journal = {Trends in Neurosciences}
}")</f>
        <v>@article{Krueger2019,
  doi = {10.1016/j.tins.2018.10.004},
  url = {https://doi.org/10.1016/j.tins.2018.10.004},
  year = {2019},
  month = feb,
  publisher = {Elsevier {BV}},
  volume = {42},
  number = {2},
  pages = {92--101},
  author = {Frank Krueger and Andreas Meyer-Lindenberg},
  title = {Toward a Model of Interpersonal Trust Drawn from Neuroscience,  Psychology,  and Economics},
  journal = {Trends in Neurosciences}
}</v>
      </c>
      <c r="F118" s="42" t="str">
        <f>IFERROR(__xludf.DUMMYFUNCTION("""COMPUTED_VALUE"""),"Opinion")</f>
        <v>Opinion</v>
      </c>
      <c r="G118" s="9" t="str">
        <f>IFERROR(__xludf.DUMMYFUNCTION("""COMPUTED_VALUE"""),"Article")</f>
        <v>Article</v>
      </c>
      <c r="H118" s="9" t="str">
        <f>IFERROR(__xludf.DUMMYFUNCTION("""COMPUTED_VALUE"""),"Frank Krueger, Andreas Meyer-Lindenberg")</f>
        <v>Frank Krueger, Andreas Meyer-Lindenberg</v>
      </c>
      <c r="I118" s="9" t="str">
        <f>IFERROR(__xludf.DUMMYFUNCTION("""COMPUTED_VALUE"""),"Toward a Model of Interpersonal Trust Drawn from Neuroscience,  Psychology,  and Economics")</f>
        <v>Toward a Model of Interpersonal Trust Drawn from Neuroscience,  Psychology,  and Economics</v>
      </c>
      <c r="J118" s="9" t="str">
        <f>IFERROR(__xludf.DUMMYFUNCTION("""COMPUTED_VALUE"""),"Trends in Neurosciences")</f>
        <v>Trends in Neurosciences</v>
      </c>
      <c r="K118" s="42"/>
      <c r="L118" s="42" t="str">
        <f>IFERROR(__xludf.DUMMYFUNCTION("""COMPUTED_VALUE"""),"Hiroshi Yamakawa")</f>
        <v>Hiroshi Yamakawa</v>
      </c>
      <c r="M118" s="42" t="str">
        <f>IFERROR(__xludf.DUMMYFUNCTION("""COMPUTED_VALUE"""),"HY20Cerebellum")</f>
        <v>HY20Cerebellum</v>
      </c>
      <c r="N118" s="42"/>
      <c r="O118" s="42"/>
      <c r="P118" s="9"/>
      <c r="Q118" s="9"/>
      <c r="R118" s="42"/>
      <c r="S118" s="42"/>
      <c r="T118" s="42"/>
      <c r="U118" s="42"/>
      <c r="V118" s="42"/>
      <c r="W118" s="42"/>
    </row>
    <row r="119">
      <c r="A119" s="9" t="str">
        <f>IFERROR(__xludf.DUMMYFUNCTION("""COMPUTED_VALUE"""),"Krack, 2010")</f>
        <v>Krack, 2010</v>
      </c>
      <c r="B119" s="31" t="str">
        <f>IFERROR(__xludf.DUMMYFUNCTION("""COMPUTED_VALUE"""),"DOC")</f>
        <v>DOC</v>
      </c>
      <c r="C119" s="31" t="str">
        <f>IFERROR(__xludf.DUMMYFUNCTION("""COMPUTED_VALUE"""),"BIB")</f>
        <v>BIB</v>
      </c>
      <c r="D119" s="42" t="str">
        <f>IFERROR(__xludf.DUMMYFUNCTION("""COMPUTED_VALUE"""),"10.1016/j.tins.2010.07.002")</f>
        <v>10.1016/j.tins.2010.07.002</v>
      </c>
      <c r="E119" s="103" t="str">
        <f>IFERROR(__xludf.DUMMYFUNCTION("""COMPUTED_VALUE"""),"@article{Krack_2010,
	doi = {10.1016/j.tins.2010.07.002},
	url = {https://doi.org/10.1016%2Fj.tins.2010.07.002},
	year = 2010,
	month = {oct},
	publisher = {Elsevier {BV}},
	volume = {33},
	number = {10},
	pages = {474--484},
	author = {Paul Krack and Mar"&amp;"wan I. Hariz and Christelle Baunez and Jorge Guridi and Jose A. Obeso},
	title = {Deep brain stimulation: from neurology to psychiatry?},
	journal = {Trends in Neurosciences}
}")</f>
        <v>@article{Krack_2010,
	doi = {10.1016/j.tins.2010.07.002},
	url = {https://doi.org/10.1016%2Fj.tins.2010.07.002},
	year = 2010,
	month = {oct},
	publisher = {Elsevier {BV}},
	volume = {33},
	number = {10},
	pages = {474--484},
	author = {Paul Krack and Marwan I. Hariz and Christelle Baunez and Jorge Guridi and Jose A. Obeso},
	title = {Deep brain stimulation: from neurology to psychiatry?},
	journal = {Trends in Neurosciences}
}</v>
      </c>
      <c r="F119" s="42"/>
      <c r="G119" s="9" t="str">
        <f>IFERROR(__xludf.DUMMYFUNCTION("""COMPUTED_VALUE"""),"Article")</f>
        <v>Article</v>
      </c>
      <c r="H119" s="9" t="str">
        <f>IFERROR(__xludf.DUMMYFUNCTION("""COMPUTED_VALUE"""),"Paul Krack, Marwan I. Hariz, Christelle Baunez, Jorge Guridi, Jose A. Obeso")</f>
        <v>Paul Krack, Marwan I. Hariz, Christelle Baunez, Jorge Guridi, Jose A. Obeso</v>
      </c>
      <c r="I119" s="9" t="str">
        <f>IFERROR(__xludf.DUMMYFUNCTION("""COMPUTED_VALUE"""),"Deep brain stimulation: from neurology to psychiatry?")</f>
        <v>Deep brain stimulation: from neurology to psychiatry?</v>
      </c>
      <c r="J119" s="9" t="str">
        <f>IFERROR(__xludf.DUMMYFUNCTION("""COMPUTED_VALUE"""),"Trends in Neurosciences")</f>
        <v>Trends in Neurosciences</v>
      </c>
      <c r="K119" s="42"/>
      <c r="L119" s="42" t="str">
        <f>IFERROR(__xludf.DUMMYFUNCTION("""COMPUTED_VALUE"""),"Yuske Shibata")</f>
        <v>Yuske Shibata</v>
      </c>
      <c r="M119" s="42" t="str">
        <f>IFERROR(__xludf.DUMMYFUNCTION("""COMPUTED_VALUE"""),"YS21BgLoop")</f>
        <v>YS21BgLoop</v>
      </c>
      <c r="N119" s="42"/>
      <c r="O119" s="42"/>
      <c r="P119" s="9"/>
      <c r="Q119" s="9"/>
      <c r="R119" s="42"/>
      <c r="S119" s="42"/>
      <c r="T119" s="42"/>
      <c r="U119" s="42"/>
      <c r="V119" s="42"/>
      <c r="W119" s="42"/>
    </row>
    <row r="120">
      <c r="A120" s="9" t="str">
        <f>IFERROR(__xludf.DUMMYFUNCTION("""COMPUTED_VALUE"""),"Kojima, 2021")</f>
        <v>Kojima, 2021</v>
      </c>
      <c r="B120" s="31" t="str">
        <f>IFERROR(__xludf.DUMMYFUNCTION("""COMPUTED_VALUE"""),"DOC")</f>
        <v>DOC</v>
      </c>
      <c r="C120" s="31" t="str">
        <f>IFERROR(__xludf.DUMMYFUNCTION("""COMPUTED_VALUE"""),"BIB")</f>
        <v>BIB</v>
      </c>
      <c r="D120" s="135" t="str">
        <f>IFERROR(__xludf.DUMMYFUNCTION("""COMPUTED_VALUE"""),"10.1523/ENEURO.0519-20.2021")</f>
        <v>10.1523/ENEURO.0519-20.2021</v>
      </c>
      <c r="E120" s="103" t="str">
        <f>IFERROR(__xludf.DUMMYFUNCTION("""COMPUTED_VALUE"""),"@article{Kojima_2021,
	doi = {10.1523/eneuro.0519-20.2021},
	url = {https://doi.org/10.1523%2Feneuro.0519-20.2021},
	year = 2021,
	month = {mar},
	publisher = {Society for Neuroscience},
	volume = {8},
	number = {2},
	pages = {ENEURO.0519--20.2021},
	auth"&amp;"or = {Yoshiko Kojima and Paul J. May},
	title = {The Substantia Nigra Pars Reticulata Modulates Error-Based Saccadic Learning in Monkeys},
	journal = {eneuro}
}")</f>
        <v>@article{Kojima_2021,
	doi = {10.1523/eneuro.0519-20.2021},
	url = {https://doi.org/10.1523%2Feneuro.0519-20.2021},
	year = 2021,
	month = {mar},
	publisher = {Society for Neuroscience},
	volume = {8},
	number = {2},
	pages = {ENEURO.0519--20.2021},
	author = {Yoshiko Kojima and Paul J. May},
	title = {The Substantia Nigra Pars Reticulata Modulates Error-Based Saccadic Learning in Monkeys},
	journal = {eneuro}
}</v>
      </c>
      <c r="F120" s="42"/>
      <c r="G120" s="9" t="str">
        <f>IFERROR(__xludf.DUMMYFUNCTION("""COMPUTED_VALUE"""),"Article")</f>
        <v>Article</v>
      </c>
      <c r="H120" s="9" t="str">
        <f>IFERROR(__xludf.DUMMYFUNCTION("""COMPUTED_VALUE"""),"Yoshiko Kojima, Paul J. May")</f>
        <v>Yoshiko Kojima, Paul J. May</v>
      </c>
      <c r="I120" s="9" t="str">
        <f>IFERROR(__xludf.DUMMYFUNCTION("""COMPUTED_VALUE"""),"The Substantia Nigra Pars Reticulata Modulates Error-Based Saccadic Learning in Monkeys")</f>
        <v>The Substantia Nigra Pars Reticulata Modulates Error-Based Saccadic Learning in Monkeys</v>
      </c>
      <c r="J120" s="9" t="str">
        <f>IFERROR(__xludf.DUMMYFUNCTION("""COMPUTED_VALUE"""),"eneuro")</f>
        <v>eneuro</v>
      </c>
      <c r="K120" s="135"/>
      <c r="L120" s="42" t="str">
        <f>IFERROR(__xludf.DUMMYFUNCTION("""COMPUTED_VALUE"""),"Yoshinasa Tawatsji")</f>
        <v>Yoshinasa Tawatsji</v>
      </c>
      <c r="M120" s="42" t="str">
        <f>IFERROR(__xludf.DUMMYFUNCTION("""COMPUTED_VALUE"""),"Oculomotor")</f>
        <v>Oculomotor</v>
      </c>
      <c r="N120" s="42"/>
      <c r="O120" s="42"/>
      <c r="P120" s="9"/>
      <c r="Q120" s="9"/>
      <c r="R120" s="42"/>
      <c r="S120" s="42"/>
      <c r="T120" s="42"/>
      <c r="U120" s="42"/>
      <c r="V120" s="42"/>
      <c r="W120" s="42"/>
    </row>
    <row r="121">
      <c r="A121" s="9" t="str">
        <f>IFERROR(__xludf.DUMMYFUNCTION("""COMPUTED_VALUE"""),"Kojima, 2018")</f>
        <v>Kojima, 2018</v>
      </c>
      <c r="B121" s="31" t="str">
        <f>IFERROR(__xludf.DUMMYFUNCTION("""COMPUTED_VALUE"""),"DOC")</f>
        <v>DOC</v>
      </c>
      <c r="C121" s="31" t="str">
        <f>IFERROR(__xludf.DUMMYFUNCTION("""COMPUTED_VALUE"""),"BIB")</f>
        <v>BIB</v>
      </c>
      <c r="D121" s="42" t="str">
        <f>IFERROR(__xludf.DUMMYFUNCTION("""COMPUTED_VALUE"""),"10.1073/pnas.1806215115")</f>
        <v>10.1073/pnas.1806215115</v>
      </c>
      <c r="E121" s="103" t="str">
        <f>IFERROR(__xludf.DUMMYFUNCTION("""COMPUTED_VALUE"""),"@article{Kojima_2018,
	doi = {10.1073/pnas.1806215115},
	url = {https://doi.org/10.1073%2Fpnas.1806215115},
	year = 2018,
	month = {sep},
	publisher = {Proceedings of the National Academy of Sciences},
	volume = {115},
	number = {38},
	author = {Yoshiko K"&amp;"ojima and Robijanto Soetedjo},
	title = {Elimination of the error signal in the superior colliculus impairs saccade motor learning},
	journal = {Proceedings of the National Academy of Sciences}
}")</f>
        <v>@article{Kojima_2018,
	doi = {10.1073/pnas.1806215115},
	url = {https://doi.org/10.1073%2Fpnas.1806215115},
	year = 2018,
	month = {sep},
	publisher = {Proceedings of the National Academy of Sciences},
	volume = {115},
	number = {38},
	author = {Yoshiko Kojima and Robijanto Soetedjo},
	title = {Elimination of the error signal in the superior colliculus impairs saccade motor learning},
	journal = {Proceedings of the National Academy of Sciences}
}</v>
      </c>
      <c r="F121" s="42"/>
      <c r="G121" s="9" t="str">
        <f>IFERROR(__xludf.DUMMYFUNCTION("""COMPUTED_VALUE"""),"Article")</f>
        <v>Article</v>
      </c>
      <c r="H121" s="9" t="str">
        <f>IFERROR(__xludf.DUMMYFUNCTION("""COMPUTED_VALUE"""),"Yoshiko Kojima, Robijanto Soetedjo")</f>
        <v>Yoshiko Kojima, Robijanto Soetedjo</v>
      </c>
      <c r="I121" s="9" t="str">
        <f>IFERROR(__xludf.DUMMYFUNCTION("""COMPUTED_VALUE"""),"Elimination of the error signal in the superior colliculus impairs saccade motor learning")</f>
        <v>Elimination of the error signal in the superior colliculus impairs saccade motor learning</v>
      </c>
      <c r="J121" s="9" t="str">
        <f>IFERROR(__xludf.DUMMYFUNCTION("""COMPUTED_VALUE"""),"Proceedings of the National Academy of Sciences")</f>
        <v>Proceedings of the National Academy of Sciences</v>
      </c>
      <c r="K121" s="42"/>
      <c r="L121" s="42" t="str">
        <f>IFERROR(__xludf.DUMMYFUNCTION("""COMPUTED_VALUE"""),"Yoshinasa Tawatsji")</f>
        <v>Yoshinasa Tawatsji</v>
      </c>
      <c r="M121" s="42" t="str">
        <f>IFERROR(__xludf.DUMMYFUNCTION("""COMPUTED_VALUE"""),"Oculomotor")</f>
        <v>Oculomotor</v>
      </c>
      <c r="N121" s="42"/>
      <c r="O121" s="42"/>
      <c r="P121" s="9"/>
      <c r="Q121" s="9"/>
      <c r="R121" s="42"/>
      <c r="S121" s="42"/>
      <c r="T121" s="42"/>
      <c r="U121" s="42"/>
      <c r="V121" s="42"/>
      <c r="W121" s="42"/>
    </row>
    <row r="122">
      <c r="A122" s="9" t="str">
        <f>IFERROR(__xludf.DUMMYFUNCTION("""COMPUTED_VALUE"""),"Kohara, 2013")</f>
        <v>Kohara, 2013</v>
      </c>
      <c r="B122" s="31" t="str">
        <f>IFERROR(__xludf.DUMMYFUNCTION("""COMPUTED_VALUE"""),"DOC")</f>
        <v>DOC</v>
      </c>
      <c r="C122" s="31" t="str">
        <f>IFERROR(__xludf.DUMMYFUNCTION("""COMPUTED_VALUE"""),"BIB")</f>
        <v>BIB</v>
      </c>
      <c r="D122" s="42" t="str">
        <f>IFERROR(__xludf.DUMMYFUNCTION("""COMPUTED_VALUE"""),"10.1038/nn.3614")</f>
        <v>10.1038/nn.3614</v>
      </c>
      <c r="E122" s="103" t="str">
        <f>IFERROR(__xludf.DUMMYFUNCTION("""COMPUTED_VALUE"""),"@article{Kohara_2013,
	doi = {10.1038/nn.3614},
	url = {https://doi.org/10.1038%2Fnn.3614},
	year = 2013,
	month = {dec},
	publisher = {Springer Science and Business Media {LLC}},
	volume = {17},
	number = {2},
	pages = {269--279},
	author = {Keigo Kohara"&amp;" and Michele Pignatelli and Alexander J Rivest and Hae-Yoon Jung and Takashi Kitamura and Junghyup Suh and Dominic Frank and Koichiro Kajikawa and Nathan Mise and Yuichi Obata and Ian R Wickersham and Susumu Tonegawa},
	title = {Cell type{\textendash}spec"&amp;"ific genetic and optogenetic tools reveal hippocampal {CA}2 circuits},
	journal = {Nature Neuroscience}
}")</f>
        <v>@article{Kohara_2013,
	doi = {10.1038/nn.3614},
	url = {https://doi.org/10.1038%2Fnn.3614},
	year = 2013,
	month = {dec},
	publisher = {Springer Science and Business Media {LLC}},
	volume = {17},
	number = {2},
	pages = {269--279},
	author = {Keigo Kohara and Michele Pignatelli and Alexander J Rivest and Hae-Yoon Jung and Takashi Kitamura and Junghyup Suh and Dominic Frank and Koichiro Kajikawa and Nathan Mise and Yuichi Obata and Ian R Wickersham and Susumu Tonegawa},
	title = {Cell type{\textendash}specific genetic and optogenetic tools reveal hippocampal {CA}2 circuits},
	journal = {Nature Neuroscience}
}</v>
      </c>
      <c r="F122" s="42" t="str">
        <f>IFERROR(__xludf.DUMMYFUNCTION("""COMPUTED_VALUE"""),"Experimental results")</f>
        <v>Experimental results</v>
      </c>
      <c r="G122" s="9" t="str">
        <f>IFERROR(__xludf.DUMMYFUNCTION("""COMPUTED_VALUE"""),"Article")</f>
        <v>Article</v>
      </c>
      <c r="H122" s="9" t="str">
        <f>IFERROR(__xludf.DUMMYFUNCTION("""COMPUTED_VALUE"""),"Keigo Kohara, Michele Pignatelli, Alexander J Rivest, Hae-Yoon Jung, Takashi Kitamura, Junghyup Suh, Dominic Frank, Koichiro Kajikawa, Nathan Mise, Yuichi Obata, Ian R Wickersham, Susumu Tonegawa")</f>
        <v>Keigo Kohara, Michele Pignatelli, Alexander J Rivest, Hae-Yoon Jung, Takashi Kitamura, Junghyup Suh, Dominic Frank, Koichiro Kajikawa, Nathan Mise, Yuichi Obata, Ian R Wickersham, Susumu Tonegawa</v>
      </c>
      <c r="I122" s="9" t="str">
        <f>IFERROR(__xludf.DUMMYFUNCTION("""COMPUTED_VALUE"""),"Cell type{\textendash}specific genetic and optogenetic tools reveal hippocampal {CA}2 circuits")</f>
        <v>Cell type{\textendash}specific genetic and optogenetic tools reveal hippocampal {CA}2 circuits</v>
      </c>
      <c r="J122" s="9" t="str">
        <f>IFERROR(__xludf.DUMMYFUNCTION("""COMPUTED_VALUE"""),"Nature Neuroscience")</f>
        <v>Nature Neuroscience</v>
      </c>
      <c r="K122" s="42"/>
      <c r="L122" s="42" t="str">
        <f>IFERROR(__xludf.DUMMYFUNCTION("""COMPUTED_VALUE"""),"Yuske Shibata")</f>
        <v>Yuske Shibata</v>
      </c>
      <c r="M122" s="42" t="str">
        <f>IFERROR(__xludf.DUMMYFUNCTION("""COMPUTED_VALUE"""),"Credibility Check")</f>
        <v>Credibility Check</v>
      </c>
      <c r="N122" s="42"/>
      <c r="O122" s="42"/>
      <c r="P122" s="9"/>
      <c r="Q122" s="9"/>
      <c r="R122" s="42"/>
      <c r="S122" s="42"/>
      <c r="T122" s="42"/>
      <c r="U122" s="42"/>
      <c r="V122" s="42"/>
      <c r="W122" s="42"/>
    </row>
    <row r="123">
      <c r="A123" s="9" t="str">
        <f>IFERROR(__xludf.DUMMYFUNCTION("""COMPUTED_VALUE"""),"Koban, 2021")</f>
        <v>Koban, 2021</v>
      </c>
      <c r="B123" s="31" t="str">
        <f>IFERROR(__xludf.DUMMYFUNCTION("""COMPUTED_VALUE"""),"DOC")</f>
        <v>DOC</v>
      </c>
      <c r="C123" s="31" t="str">
        <f>IFERROR(__xludf.DUMMYFUNCTION("""COMPUTED_VALUE"""),"BIB")</f>
        <v>BIB</v>
      </c>
      <c r="D123" s="42" t="str">
        <f>IFERROR(__xludf.DUMMYFUNCTION("""COMPUTED_VALUE"""),"10.1038/s41583-021-00446-8")</f>
        <v>10.1038/s41583-021-00446-8</v>
      </c>
      <c r="E123" s="103" t="str">
        <f>IFERROR(__xludf.DUMMYFUNCTION("""COMPUTED_VALUE"""),"@article{Koban_2021,
	doi = {10.1038/s41583-021-00446-8},
	url = {https://doi.org/10.1038%2Fs41583-021-00446-8},
	year = 2021,
	month = {mar},
	publisher = {Springer Science and Business Media {LLC}},
	volume = {22},
	number = {5},
	pages = {309--322},
	a"&amp;"uthor = {Leonie Koban and Peter J. Gianaros and Hedy Kober and Tor D. Wager},
	title = {The self in context: brain systems linking mental and physical health},
	journal = {Nature Reviews Neuroscience}
}")</f>
        <v>@article{Koban_2021,
	doi = {10.1038/s41583-021-00446-8},
	url = {https://doi.org/10.1038%2Fs41583-021-00446-8},
	year = 2021,
	month = {mar},
	publisher = {Springer Science and Business Media {LLC}},
	volume = {22},
	number = {5},
	pages = {309--322},
	author = {Leonie Koban and Peter J. Gianaros and Hedy Kober and Tor D. Wager},
	title = {The self in context: brain systems linking mental and physical health},
	journal = {Nature Reviews Neuroscience}
}</v>
      </c>
      <c r="F123" s="42"/>
      <c r="G123" s="9" t="str">
        <f>IFERROR(__xludf.DUMMYFUNCTION("""COMPUTED_VALUE"""),"Article")</f>
        <v>Article</v>
      </c>
      <c r="H123" s="9" t="str">
        <f>IFERROR(__xludf.DUMMYFUNCTION("""COMPUTED_VALUE"""),"Leonie Koban, Peter J. Gianaros, Hedy Kober, Tor D. Wager")</f>
        <v>Leonie Koban, Peter J. Gianaros, Hedy Kober, Tor D. Wager</v>
      </c>
      <c r="I123" s="9" t="str">
        <f>IFERROR(__xludf.DUMMYFUNCTION("""COMPUTED_VALUE"""),"The self in context: brain systems linking mental and physical health")</f>
        <v>The self in context: brain systems linking mental and physical health</v>
      </c>
      <c r="J123" s="9" t="str">
        <f>IFERROR(__xludf.DUMMYFUNCTION("""COMPUTED_VALUE"""),"Nature Reviews Neuroscience")</f>
        <v>Nature Reviews Neuroscience</v>
      </c>
      <c r="K123" s="133" t="str">
        <f>IFERROR(__xludf.DUMMYFUNCTION("""COMPUTED_VALUE"""),"https://www.nature.com/articles/s41583-021-00446-8")</f>
        <v>https://www.nature.com/articles/s41583-021-00446-8</v>
      </c>
      <c r="L123" s="42"/>
      <c r="M123" s="42" t="str">
        <f>IFERROR(__xludf.DUMMYFUNCTION("""COMPUTED_VALUE"""),"Trust")</f>
        <v>Trust</v>
      </c>
      <c r="N123" s="42"/>
      <c r="O123" s="42"/>
      <c r="P123" s="9"/>
      <c r="Q123" s="9"/>
      <c r="R123" s="42"/>
      <c r="S123" s="42"/>
      <c r="T123" s="42"/>
      <c r="U123" s="42"/>
      <c r="V123" s="42"/>
      <c r="W123" s="42"/>
    </row>
    <row r="124">
      <c r="A124" s="9" t="str">
        <f>IFERROR(__xludf.DUMMYFUNCTION("""COMPUTED_VALUE"""),"Knierim, 2021")</f>
        <v>Knierim, 2021</v>
      </c>
      <c r="B124" s="31" t="str">
        <f>IFERROR(__xludf.DUMMYFUNCTION("""COMPUTED_VALUE"""),"DOC(alt)")</f>
        <v>DOC(alt)</v>
      </c>
      <c r="C124" s="31" t="str">
        <f>IFERROR(__xludf.DUMMYFUNCTION("""COMPUTED_VALUE"""),"(no DOI)")</f>
        <v>(no DOI)</v>
      </c>
      <c r="D124" s="42"/>
      <c r="E124" s="103" t="str">
        <f>IFERROR(__xludf.DUMMYFUNCTION("""COMPUTED_VALUE"""),"@MISC{Knierim_2021,
  title        = {Cerebellum (Section 3, Chapter 5) Neuroscience Online: An Electronic Textbook for the Neurosciences},
  booktitle    = {Neuroscience Online, an {Open-Access} Neuroscience Electronic Textbook},
  author       = {Knieri"&amp;"m, James},
  publisher    = ""UTHealth"",
  howpublished = ""\url{https://nba.uth.tmc.edu/neuroscience/m/s3/chapter05.html}"",
  note         = ""Accessed: 2022-5-23""
}
")</f>
        <v>@MISC{Knierim_2021,
  title        = {Cerebellum (Section 3, Chapter 5) Neuroscience Online: An Electronic Textbook for the Neurosciences},
  booktitle    = {Neuroscience Online, an {Open-Access} Neuroscience Electronic Textbook},
  author       = {Knierim, James},
  publisher    = "UTHealth",
  howpublished = "\url{https://nba.uth.tmc.edu/neuroscience/m/s3/chapter05.html}",
  note         = "Accessed: 2022-5-23"
}
</v>
      </c>
      <c r="F124" s="42" t="str">
        <f>IFERROR(__xludf.DUMMYFUNCTION("""COMPUTED_VALUE"""),"Textbook")</f>
        <v>Textbook</v>
      </c>
      <c r="G124" s="9" t="str">
        <f>IFERROR(__xludf.DUMMYFUNCTION("""COMPUTED_VALUE"""),"Misc")</f>
        <v>Misc</v>
      </c>
      <c r="H124" s="9" t="str">
        <f>IFERROR(__xludf.DUMMYFUNCTION("""COMPUTED_VALUE"""),"Knierim, James")</f>
        <v>Knierim, James</v>
      </c>
      <c r="I124" s="9" t="str">
        <f>IFERROR(__xludf.DUMMYFUNCTION("""COMPUTED_VALUE"""),"Cerebellum (Section 3, Chapter 5) Neuroscience Online: An Electronic Textbook for the Neurosciences")</f>
        <v>Cerebellum (Section 3, Chapter 5) Neuroscience Online: An Electronic Textbook for the Neurosciences</v>
      </c>
      <c r="J124" s="9" t="str">
        <f>IFERROR(__xludf.DUMMYFUNCTION("""COMPUTED_VALUE"""),"Neuroscience Online, an {Open-Access} Neuroscience Electronic Textbook")</f>
        <v>Neuroscience Online, an {Open-Access} Neuroscience Electronic Textbook</v>
      </c>
      <c r="K124" s="133" t="str">
        <f>IFERROR(__xludf.DUMMYFUNCTION("""COMPUTED_VALUE"""),"https://nba.uth.tmc.edu/neuroscience/m/s3/chapter05.html")</f>
        <v>https://nba.uth.tmc.edu/neuroscience/m/s3/chapter05.html</v>
      </c>
      <c r="L124" s="42" t="str">
        <f>IFERROR(__xludf.DUMMYFUNCTION("""COMPUTED_VALUE"""),"Hiroshi Yamakawa")</f>
        <v>Hiroshi Yamakawa</v>
      </c>
      <c r="M124" s="42" t="str">
        <f>IFERROR(__xludf.DUMMYFUNCTION("""COMPUTED_VALUE"""),"HY20Cerebellum")</f>
        <v>HY20Cerebellum</v>
      </c>
      <c r="N124" s="42"/>
      <c r="O124" s="42"/>
      <c r="P124" s="9"/>
      <c r="Q124" s="9"/>
      <c r="R124" s="42"/>
      <c r="S124" s="42"/>
      <c r="T124" s="42"/>
      <c r="U124" s="42"/>
      <c r="V124" s="42"/>
      <c r="W124" s="42"/>
    </row>
    <row r="125">
      <c r="A125" s="9" t="str">
        <f>IFERROR(__xludf.DUMMYFUNCTION("""COMPUTED_VALUE"""),"Knierim, 2015")</f>
        <v>Knierim, 2015</v>
      </c>
      <c r="B125" s="31" t="str">
        <f>IFERROR(__xludf.DUMMYFUNCTION("""COMPUTED_VALUE"""),"DOC")</f>
        <v>DOC</v>
      </c>
      <c r="C125" s="31" t="str">
        <f>IFERROR(__xludf.DUMMYFUNCTION("""COMPUTED_VALUE"""),"BIB")</f>
        <v>BIB</v>
      </c>
      <c r="D125" s="42" t="str">
        <f>IFERROR(__xludf.DUMMYFUNCTION("""COMPUTED_VALUE"""),"10.1016/j.cub.2015.10.049")</f>
        <v>10.1016/j.cub.2015.10.049</v>
      </c>
      <c r="E125" s="103" t="str">
        <f>IFERROR(__xludf.DUMMYFUNCTION("""COMPUTED_VALUE"""),"@article{Knierim_2015,
	doi = {10.1016/j.cub.2015.10.049},
	url = {https://doi.org/10.1016%2Fj.cub.2015.10.049},
	year = 2015,
	month = {dec},
	publisher = {Elsevier {BV}},
	volume = {25},
	number = {23},
	pages = {R1116--R1121},
	author = {James J. Knier"&amp;"im},
	title = {The hippocampus},
	journal = {Current Biology}
}")</f>
        <v>@article{Knierim_2015,
	doi = {10.1016/j.cub.2015.10.049},
	url = {https://doi.org/10.1016%2Fj.cub.2015.10.049},
	year = 2015,
	month = {dec},
	publisher = {Elsevier {BV}},
	volume = {25},
	number = {23},
	pages = {R1116--R1121},
	author = {James J. Knierim},
	title = {The hippocampus},
	journal = {Current Biology}
}</v>
      </c>
      <c r="F125" s="42"/>
      <c r="G125" s="9" t="str">
        <f>IFERROR(__xludf.DUMMYFUNCTION("""COMPUTED_VALUE"""),"Article")</f>
        <v>Article</v>
      </c>
      <c r="H125" s="9" t="str">
        <f>IFERROR(__xludf.DUMMYFUNCTION("""COMPUTED_VALUE"""),"James J. Knierim")</f>
        <v>James J. Knierim</v>
      </c>
      <c r="I125" s="9" t="str">
        <f>IFERROR(__xludf.DUMMYFUNCTION("""COMPUTED_VALUE"""),"The hippocampus")</f>
        <v>The hippocampus</v>
      </c>
      <c r="J125" s="9" t="str">
        <f>IFERROR(__xludf.DUMMYFUNCTION("""COMPUTED_VALUE"""),"Current Biology")</f>
        <v>Current Biology</v>
      </c>
      <c r="K125" s="135"/>
      <c r="L125" s="42" t="str">
        <f>IFERROR(__xludf.DUMMYFUNCTION("""COMPUTED_VALUE"""),"Ayako Fukawa")</f>
        <v>Ayako Fukawa</v>
      </c>
      <c r="M125" s="42" t="str">
        <f>IFERROR(__xludf.DUMMYFUNCTION("""COMPUTED_VALUE"""),"AT20HippocampalFormation")</f>
        <v>AT20HippocampalFormation</v>
      </c>
      <c r="N125" s="42"/>
      <c r="O125" s="42"/>
      <c r="P125" s="9"/>
      <c r="Q125" s="9"/>
      <c r="R125" s="42"/>
      <c r="S125" s="42"/>
      <c r="T125" s="42"/>
      <c r="U125" s="42"/>
      <c r="V125" s="42"/>
      <c r="W125" s="42"/>
    </row>
    <row r="126">
      <c r="A126" s="9" t="str">
        <f>IFERROR(__xludf.DUMMYFUNCTION("""COMPUTED_VALUE"""),"Knierim, 2014")</f>
        <v>Knierim, 2014</v>
      </c>
      <c r="B126" s="31" t="str">
        <f>IFERROR(__xludf.DUMMYFUNCTION("""COMPUTED_VALUE"""),"DOC")</f>
        <v>DOC</v>
      </c>
      <c r="C126" s="31" t="str">
        <f>IFERROR(__xludf.DUMMYFUNCTION("""COMPUTED_VALUE"""),"BIB")</f>
        <v>BIB</v>
      </c>
      <c r="D126" s="42" t="str">
        <f>IFERROR(__xludf.DUMMYFUNCTION("""COMPUTED_VALUE"""),"10.1098/rstb.2013.0369")</f>
        <v>10.1098/rstb.2013.0369</v>
      </c>
      <c r="E126" s="103" t="str">
        <f>IFERROR(__xludf.DUMMYFUNCTION("""COMPUTED_VALUE"""),"@article{Knierim_2014,
	doi = {10.1098/rstb.2013.0369},
	url = {https://doi.org/10.1098%2Frstb.2013.0369},
	year = 2014,
	month = {feb},
	publisher = {The Royal Society},
	volume = {369},
	number = {1635},
	pages = {20130369},
	author = {James J. Knierim "&amp;"and Joshua P. Neunuebel and Sachin S. Deshmukh},
	title = {Functional correlates of the lateral and medial entorhinal cortex: objects, path integration and local{\textendash}global reference frames},
	journal = {Philosophical Transactions of the Royal Soc"&amp;"iety B: Biological Sciences}
}")</f>
        <v>@article{Knierim_2014,
	doi = {10.1098/rstb.2013.0369},
	url = {https://doi.org/10.1098%2Frstb.2013.0369},
	year = 2014,
	month = {feb},
	publisher = {The Royal Society},
	volume = {369},
	number = {1635},
	pages = {20130369},
	author = {James J. Knierim and Joshua P. Neunuebel and Sachin S. Deshmukh},
	title = {Functional correlates of the lateral and medial entorhinal cortex: objects, path integration and local{\textendash}global reference frames},
	journal = {Philosophical Transactions of the Royal Society B: Biological Sciences}
}</v>
      </c>
      <c r="F126" s="42"/>
      <c r="G126" s="9" t="str">
        <f>IFERROR(__xludf.DUMMYFUNCTION("""COMPUTED_VALUE"""),"Article")</f>
        <v>Article</v>
      </c>
      <c r="H126" s="9" t="str">
        <f>IFERROR(__xludf.DUMMYFUNCTION("""COMPUTED_VALUE"""),"James J. Knierim, Joshua P. Neunuebel, Sachin S. Deshmukh")</f>
        <v>James J. Knierim, Joshua P. Neunuebel, Sachin S. Deshmukh</v>
      </c>
      <c r="I126" s="9" t="str">
        <f>IFERROR(__xludf.DUMMYFUNCTION("""COMPUTED_VALUE"""),"Functional correlates of the lateral and medial entorhinal cortex: objects, path integration and local{\textendash}global reference frames")</f>
        <v>Functional correlates of the lateral and medial entorhinal cortex: objects, path integration and local{\textendash}global reference frames</v>
      </c>
      <c r="J126" s="9" t="str">
        <f>IFERROR(__xludf.DUMMYFUNCTION("""COMPUTED_VALUE"""),"Philosophical Transactions of the Royal Society B: Biological Sciences")</f>
        <v>Philosophical Transactions of the Royal Society B: Biological Sciences</v>
      </c>
      <c r="K126" s="42"/>
      <c r="L126" s="42" t="str">
        <f>IFERROR(__xludf.DUMMYFUNCTION("""COMPUTED_VALUE"""),"Ayako Fukawa")</f>
        <v>Ayako Fukawa</v>
      </c>
      <c r="M126" s="42" t="str">
        <f>IFERROR(__xludf.DUMMYFUNCTION("""COMPUTED_VALUE"""),"AT20HippocampalFormation")</f>
        <v>AT20HippocampalFormation</v>
      </c>
      <c r="N126" s="42"/>
      <c r="O126" s="42"/>
      <c r="P126" s="9"/>
      <c r="Q126" s="9"/>
      <c r="R126" s="42"/>
      <c r="S126" s="42"/>
      <c r="T126" s="42"/>
      <c r="U126" s="42"/>
      <c r="V126" s="42"/>
      <c r="W126" s="42"/>
    </row>
    <row r="127">
      <c r="A127" s="9" t="str">
        <f>IFERROR(__xludf.DUMMYFUNCTION("""COMPUTED_VALUE"""),"Klink, 1997")</f>
        <v>Klink, 1997</v>
      </c>
      <c r="B127" s="31" t="str">
        <f>IFERROR(__xludf.DUMMYFUNCTION("""COMPUTED_VALUE"""),"DOC")</f>
        <v>DOC</v>
      </c>
      <c r="C127" s="31" t="str">
        <f>IFERROR(__xludf.DUMMYFUNCTION("""COMPUTED_VALUE"""),"BIB")</f>
        <v>BIB</v>
      </c>
      <c r="D127" s="42" t="str">
        <f>IFERROR(__xludf.DUMMYFUNCTION("""COMPUTED_VALUE"""),"10.1002/(SICI)1098-1063(1997)7:5&lt;571::AID-HIPO12&gt;3.0.CO;2-Y")</f>
        <v>10.1002/(SICI)1098-1063(1997)7:5&lt;571::AID-HIPO12&gt;3.0.CO;2-Y</v>
      </c>
      <c r="E127" s="103" t="str">
        <f>IFERROR(__xludf.DUMMYFUNCTION("""COMPUTED_VALUE"""),"@article{Klink_1997,
	doi = {10.1002/(sici)1098-1063(1997)7:5&lt;571::aid-hipo12&gt;3.0.co;2-y},
	url = {https://doi.org/10.1002%2F%28sici%291098-1063%281997%297%3A5%3C571%3A%3Aaid-hipo12%3E3.0.co%3B2-y},
	year = 1997,
	publisher = {Wiley},
	volume = {7},
	numb"&amp;"er = {5},
	pages = {571--583},
	author = {Ruby Klink and Angel Alonso},
	title = {Morphological characteristics of layer {II} projection neurons in the rat medial entorhinal cortex},
	journal = {Hippocampus}
}")</f>
        <v>@article{Klink_1997,
	doi = {10.1002/(sici)1098-1063(1997)7:5&lt;571::aid-hipo12&gt;3.0.co;2-y},
	url = {https://doi.org/10.1002%2F%28sici%291098-1063%281997%297%3A5%3C571%3A%3Aaid-hipo12%3E3.0.co%3B2-y},
	year = 1997,
	publisher = {Wiley},
	volume = {7},
	number = {5},
	pages = {571--583},
	author = {Ruby Klink and Angel Alonso},
	title = {Morphological characteristics of layer {II} projection neurons in the rat medial entorhinal cortex},
	journal = {Hippocampus}
}</v>
      </c>
      <c r="F127" s="42" t="str">
        <f>IFERROR(__xludf.DUMMYFUNCTION("""COMPUTED_VALUE"""),"Experimental results")</f>
        <v>Experimental results</v>
      </c>
      <c r="G127" s="9" t="str">
        <f>IFERROR(__xludf.DUMMYFUNCTION("""COMPUTED_VALUE"""),"Article")</f>
        <v>Article</v>
      </c>
      <c r="H127" s="9" t="str">
        <f>IFERROR(__xludf.DUMMYFUNCTION("""COMPUTED_VALUE"""),"Ruby Klink, Angel Alonso")</f>
        <v>Ruby Klink, Angel Alonso</v>
      </c>
      <c r="I127" s="9" t="str">
        <f>IFERROR(__xludf.DUMMYFUNCTION("""COMPUTED_VALUE"""),"Morphological characteristics of layer {II} projection neurons in the rat medial entorhinal cortex")</f>
        <v>Morphological characteristics of layer {II} projection neurons in the rat medial entorhinal cortex</v>
      </c>
      <c r="J127" s="9" t="str">
        <f>IFERROR(__xludf.DUMMYFUNCTION("""COMPUTED_VALUE"""),"Hippocampus")</f>
        <v>Hippocampus</v>
      </c>
      <c r="K127" s="42"/>
      <c r="L127" s="42" t="str">
        <f>IFERROR(__xludf.DUMMYFUNCTION("""COMPUTED_VALUE"""),"Yuske Shibata")</f>
        <v>Yuske Shibata</v>
      </c>
      <c r="M127" s="42" t="str">
        <f>IFERROR(__xludf.DUMMYFUNCTION("""COMPUTED_VALUE"""),"YS21CredibilityCheck")</f>
        <v>YS21CredibilityCheck</v>
      </c>
      <c r="N127" s="42"/>
      <c r="O127" s="42"/>
      <c r="P127" s="9"/>
      <c r="Q127" s="9"/>
      <c r="R127" s="42"/>
      <c r="S127" s="42"/>
      <c r="T127" s="42"/>
      <c r="U127" s="42"/>
      <c r="V127" s="42"/>
      <c r="W127" s="42"/>
    </row>
    <row r="128">
      <c r="A128" s="9" t="str">
        <f>IFERROR(__xludf.DUMMYFUNCTION("""COMPUTED_VALUE"""),"Kheradmand, 2011")</f>
        <v>Kheradmand, 2011</v>
      </c>
      <c r="B128" s="31" t="str">
        <f>IFERROR(__xludf.DUMMYFUNCTION("""COMPUTED_VALUE"""),"DOC")</f>
        <v>DOC</v>
      </c>
      <c r="C128" s="31" t="str">
        <f>IFERROR(__xludf.DUMMYFUNCTION("""COMPUTED_VALUE"""),"BIB")</f>
        <v>BIB</v>
      </c>
      <c r="D128" s="42" t="str">
        <f>IFERROR(__xludf.DUMMYFUNCTION("""COMPUTED_VALUE"""),"10.3389/fneur.2011.00053")</f>
        <v>10.3389/fneur.2011.00053</v>
      </c>
      <c r="E128" s="103" t="str">
        <f>IFERROR(__xludf.DUMMYFUNCTION("""COMPUTED_VALUE"""),"@article{Kheradmand_2011,
	doi = {10.3389/fneur.2011.00053},
	url = {https://doi.org/10.3389%2Ffneur.2011.00053},
	year = 2011,
	publisher = {Frontiers Media {SA}},
	volume = {2},
	author = {Amir Kheradmand and David S. Zee},
	title = {Cerebellum and Ocul"&amp;"ar Motor Control},
	journal = {Frontiers in Neurology}
}")</f>
        <v>@article{Kheradmand_2011,
	doi = {10.3389/fneur.2011.00053},
	url = {https://doi.org/10.3389%2Ffneur.2011.00053},
	year = 2011,
	publisher = {Frontiers Media {SA}},
	volume = {2},
	author = {Amir Kheradmand and David S. Zee},
	title = {Cerebellum and Ocular Motor Control},
	journal = {Frontiers in Neurology}
}</v>
      </c>
      <c r="F128" s="42"/>
      <c r="G128" s="9" t="str">
        <f>IFERROR(__xludf.DUMMYFUNCTION("""COMPUTED_VALUE"""),"Article")</f>
        <v>Article</v>
      </c>
      <c r="H128" s="9" t="str">
        <f>IFERROR(__xludf.DUMMYFUNCTION("""COMPUTED_VALUE"""),"Amir Kheradmand, David S. Zee")</f>
        <v>Amir Kheradmand, David S. Zee</v>
      </c>
      <c r="I128" s="9" t="str">
        <f>IFERROR(__xludf.DUMMYFUNCTION("""COMPUTED_VALUE"""),"Cerebellum and Ocular Motor Control")</f>
        <v>Cerebellum and Ocular Motor Control</v>
      </c>
      <c r="J128" s="9" t="str">
        <f>IFERROR(__xludf.DUMMYFUNCTION("""COMPUTED_VALUE"""),"Frontiers in Neurology")</f>
        <v>Frontiers in Neurology</v>
      </c>
      <c r="K128" s="42"/>
      <c r="L128" s="42" t="str">
        <f>IFERROR(__xludf.DUMMYFUNCTION("""COMPUTED_VALUE"""),"Hiroshi Yamakawa")</f>
        <v>Hiroshi Yamakawa</v>
      </c>
      <c r="M128" s="42" t="str">
        <f>IFERROR(__xludf.DUMMYFUNCTION("""COMPUTED_VALUE"""),"HY20Cerebellum")</f>
        <v>HY20Cerebellum</v>
      </c>
      <c r="N128" s="42"/>
      <c r="O128" s="42"/>
      <c r="P128" s="9"/>
      <c r="Q128" s="9"/>
      <c r="R128" s="42"/>
      <c r="S128" s="42"/>
      <c r="T128" s="42"/>
      <c r="U128" s="42"/>
      <c r="V128" s="42"/>
      <c r="W128" s="42"/>
    </row>
    <row r="129">
      <c r="A129" s="9" t="str">
        <f>IFERROR(__xludf.DUMMYFUNCTION("""COMPUTED_VALUE"""),"Kheradmand, 2011")</f>
        <v>Kheradmand, 2011</v>
      </c>
      <c r="B129" s="31" t="str">
        <f>IFERROR(__xludf.DUMMYFUNCTION("""COMPUTED_VALUE"""),"DOC")</f>
        <v>DOC</v>
      </c>
      <c r="C129" s="31" t="str">
        <f>IFERROR(__xludf.DUMMYFUNCTION("""COMPUTED_VALUE"""),"BIB")</f>
        <v>BIB</v>
      </c>
      <c r="D129" s="42" t="str">
        <f>IFERROR(__xludf.DUMMYFUNCTION("""COMPUTED_VALUE"""),"10.3389/fneur.2011.00053")</f>
        <v>10.3389/fneur.2011.00053</v>
      </c>
      <c r="E129" s="103" t="str">
        <f>IFERROR(__xludf.DUMMYFUNCTION("""COMPUTED_VALUE"""),"@article{Kheradmand_2011,
	doi = {10.3389/fneur.2011.00053},
	url = {https://doi.org/10.3389%2Ffneur.2011.00053},
	year = 2011,
	publisher = {Frontiers Media {SA}},
	volume = {2},
	author = {Amir Kheradmand and David S. Zee},
	title = {Cerebellum and Ocul"&amp;"ar Motor Control},
	journal = {Frontiers in Neurology}
}")</f>
        <v>@article{Kheradmand_2011,
	doi = {10.3389/fneur.2011.00053},
	url = {https://doi.org/10.3389%2Ffneur.2011.00053},
	year = 2011,
	publisher = {Frontiers Media {SA}},
	volume = {2},
	author = {Amir Kheradmand and David S. Zee},
	title = {Cerebellum and Ocular Motor Control},
	journal = {Frontiers in Neurology}
}</v>
      </c>
      <c r="F129" s="42"/>
      <c r="G129" s="9" t="str">
        <f>IFERROR(__xludf.DUMMYFUNCTION("""COMPUTED_VALUE"""),"Article")</f>
        <v>Article</v>
      </c>
      <c r="H129" s="9" t="str">
        <f>IFERROR(__xludf.DUMMYFUNCTION("""COMPUTED_VALUE"""),"Amir Kheradmand, David S. Zee")</f>
        <v>Amir Kheradmand, David S. Zee</v>
      </c>
      <c r="I129" s="9" t="str">
        <f>IFERROR(__xludf.DUMMYFUNCTION("""COMPUTED_VALUE"""),"Cerebellum and Ocular Motor Control")</f>
        <v>Cerebellum and Ocular Motor Control</v>
      </c>
      <c r="J129" s="9" t="str">
        <f>IFERROR(__xludf.DUMMYFUNCTION("""COMPUTED_VALUE"""),"Frontiers in Neurology")</f>
        <v>Frontiers in Neurology</v>
      </c>
      <c r="K129" s="42"/>
      <c r="L129" s="42" t="str">
        <f>IFERROR(__xludf.DUMMYFUNCTION("""COMPUTED_VALUE"""),"Yoshinasa Tawatsji")</f>
        <v>Yoshinasa Tawatsji</v>
      </c>
      <c r="M129" s="42" t="str">
        <f>IFERROR(__xludf.DUMMYFUNCTION("""COMPUTED_VALUE"""),"Oculomotor")</f>
        <v>Oculomotor</v>
      </c>
      <c r="N129" s="42"/>
      <c r="O129" s="42"/>
      <c r="P129" s="9"/>
      <c r="Q129" s="9"/>
      <c r="R129" s="42"/>
      <c r="S129" s="42"/>
      <c r="T129" s="42"/>
      <c r="U129" s="42"/>
      <c r="V129" s="42"/>
      <c r="W129" s="42"/>
    </row>
    <row r="130">
      <c r="A130" s="9" t="str">
        <f>IFERROR(__xludf.DUMMYFUNCTION("""COMPUTED_VALUE"""),"Kesner, 2007")</f>
        <v>Kesner, 2007</v>
      </c>
      <c r="B130" s="31" t="str">
        <f>IFERROR(__xludf.DUMMYFUNCTION("""COMPUTED_VALUE"""),"DOC")</f>
        <v>DOC</v>
      </c>
      <c r="C130" s="31" t="str">
        <f>IFERROR(__xludf.DUMMYFUNCTION("""COMPUTED_VALUE"""),"BIB")</f>
        <v>BIB</v>
      </c>
      <c r="D130" s="42" t="str">
        <f>IFERROR(__xludf.DUMMYFUNCTION("""COMPUTED_VALUE"""),"10.1101/lm.688207")</f>
        <v>10.1101/lm.688207</v>
      </c>
      <c r="E130" s="103" t="str">
        <f>IFERROR(__xludf.DUMMYFUNCTION("""COMPUTED_VALUE"""),"@article{Kesner_2007,
	doi = {10.1101/lm.688207},
	url = {https://doi.org/10.1101%2Flm.688207},
	year = 2007,
	month = {nov},
	publisher = {Cold Spring Harbor Laboratory},
	volume = {14},
	number = {11},
	pages = {771--781},
	author = {R. P. Kesner},
	tit"&amp;"le = {Behavioral functions of the {CA}3 subregion of the hippocampus},
	journal = {Learning {\&amp;}amp$\mathsemicolon$ Memory}
}")</f>
        <v>@article{Kesner_2007,
	doi = {10.1101/lm.688207},
	url = {https://doi.org/10.1101%2Flm.688207},
	year = 2007,
	month = {nov},
	publisher = {Cold Spring Harbor Laboratory},
	volume = {14},
	number = {11},
	pages = {771--781},
	author = {R. P. Kesner},
	title = {Behavioral functions of the {CA}3 subregion of the hippocampus},
	journal = {Learning {\&amp;}amp$\mathsemicolon$ Memory}
}</v>
      </c>
      <c r="F130" s="42"/>
      <c r="G130" s="9" t="str">
        <f>IFERROR(__xludf.DUMMYFUNCTION("""COMPUTED_VALUE"""),"Article")</f>
        <v>Article</v>
      </c>
      <c r="H130" s="9" t="str">
        <f>IFERROR(__xludf.DUMMYFUNCTION("""COMPUTED_VALUE"""),"R. P. Kesner")</f>
        <v>R. P. Kesner</v>
      </c>
      <c r="I130" s="9" t="str">
        <f>IFERROR(__xludf.DUMMYFUNCTION("""COMPUTED_VALUE"""),"Behavioral functions of the {CA}3 subregion of the hippocampus")</f>
        <v>Behavioral functions of the {CA}3 subregion of the hippocampus</v>
      </c>
      <c r="J130" s="9" t="str">
        <f>IFERROR(__xludf.DUMMYFUNCTION("""COMPUTED_VALUE"""),"Learning {\&amp;}amp$\mathsemicolon$ Memory")</f>
        <v>Learning {\&amp;}amp$\mathsemicolon$ Memory</v>
      </c>
      <c r="K130" s="42"/>
      <c r="L130" s="42" t="str">
        <f>IFERROR(__xludf.DUMMYFUNCTION("""COMPUTED_VALUE"""),"Ayako Fukawa")</f>
        <v>Ayako Fukawa</v>
      </c>
      <c r="M130" s="42" t="str">
        <f>IFERROR(__xludf.DUMMYFUNCTION("""COMPUTED_VALUE"""),"AT20HippocampalFormation")</f>
        <v>AT20HippocampalFormation</v>
      </c>
      <c r="N130" s="42"/>
      <c r="O130" s="42"/>
      <c r="P130" s="9"/>
      <c r="Q130" s="9"/>
      <c r="R130" s="42"/>
      <c r="S130" s="42"/>
      <c r="T130" s="42"/>
      <c r="U130" s="42"/>
      <c r="V130" s="42"/>
      <c r="W130" s="42"/>
    </row>
    <row r="131">
      <c r="A131" s="9" t="str">
        <f>IFERROR(__xludf.DUMMYFUNCTION("""COMPUTED_VALUE"""),"Kaneko, 2013")</f>
        <v>Kaneko, 2013</v>
      </c>
      <c r="B131" s="31" t="str">
        <f>IFERROR(__xludf.DUMMYFUNCTION("""COMPUTED_VALUE"""),"DOC")</f>
        <v>DOC</v>
      </c>
      <c r="C131" s="31" t="str">
        <f>IFERROR(__xludf.DUMMYFUNCTION("""COMPUTED_VALUE"""),"BIB")</f>
        <v>BIB</v>
      </c>
      <c r="D131" s="42" t="str">
        <f>IFERROR(__xludf.DUMMYFUNCTION("""COMPUTED_VALUE"""),"10.3389/fncir.2013.00075")</f>
        <v>10.3389/fncir.2013.00075</v>
      </c>
      <c r="E131" s="103" t="str">
        <f>IFERROR(__xludf.DUMMYFUNCTION("""COMPUTED_VALUE"""),"@article{Kaneko_2013,
	doi = {10.3389/fncir.2013.00075},
	url = {https://doi.org/10.3389%2Ffncir.2013.00075},
	year = 2013,
	publisher = {Frontiers Media {SA}},
	volume = {7},
	author = {Takeshi Kaneko},
	title = {Local connections of excitatory neurons i"&amp;"n motor-associated cortical areas of the rat},
	journal = {Frontiers in Neural Circuits}
}")</f>
        <v>@article{Kaneko_2013,
	doi = {10.3389/fncir.2013.00075},
	url = {https://doi.org/10.3389%2Ffncir.2013.00075},
	year = 2013,
	publisher = {Frontiers Media {SA}},
	volume = {7},
	author = {Takeshi Kaneko},
	title = {Local connections of excitatory neurons in motor-associated cortical areas of the rat},
	journal = {Frontiers in Neural Circuits}
}</v>
      </c>
      <c r="F131" s="42"/>
      <c r="G131" s="9" t="str">
        <f>IFERROR(__xludf.DUMMYFUNCTION("""COMPUTED_VALUE"""),"Article")</f>
        <v>Article</v>
      </c>
      <c r="H131" s="9" t="str">
        <f>IFERROR(__xludf.DUMMYFUNCTION("""COMPUTED_VALUE"""),"Takeshi Kaneko")</f>
        <v>Takeshi Kaneko</v>
      </c>
      <c r="I131" s="9" t="str">
        <f>IFERROR(__xludf.DUMMYFUNCTION("""COMPUTED_VALUE"""),"Local connections of excitatory neurons in motor-associated cortical areas of the rat")</f>
        <v>Local connections of excitatory neurons in motor-associated cortical areas of the rat</v>
      </c>
      <c r="J131" s="9" t="str">
        <f>IFERROR(__xludf.DUMMYFUNCTION("""COMPUTED_VALUE"""),"Frontiers in Neural Circuits")</f>
        <v>Frontiers in Neural Circuits</v>
      </c>
      <c r="K131" s="42"/>
      <c r="L131" s="42" t="str">
        <f>IFERROR(__xludf.DUMMYFUNCTION("""COMPUTED_VALUE"""),"Yuske Shibata")</f>
        <v>Yuske Shibata</v>
      </c>
      <c r="M131" s="42" t="str">
        <f>IFERROR(__xludf.DUMMYFUNCTION("""COMPUTED_VALUE"""),"YS21BgLoop")</f>
        <v>YS21BgLoop</v>
      </c>
      <c r="N131" s="42"/>
      <c r="O131" s="42"/>
      <c r="P131" s="9"/>
      <c r="Q131" s="9"/>
      <c r="R131" s="42"/>
      <c r="S131" s="42"/>
      <c r="T131" s="42"/>
      <c r="U131" s="42"/>
      <c r="V131" s="42"/>
      <c r="W131" s="42"/>
    </row>
    <row r="132">
      <c r="A132" s="9" t="str">
        <f>IFERROR(__xludf.DUMMYFUNCTION("""COMPUTED_VALUE"""),"Kaneko, 1997")</f>
        <v>Kaneko, 1997</v>
      </c>
      <c r="B132" s="31" t="str">
        <f>IFERROR(__xludf.DUMMYFUNCTION("""COMPUTED_VALUE"""),"DOC")</f>
        <v>DOC</v>
      </c>
      <c r="C132" s="31" t="str">
        <f>IFERROR(__xludf.DUMMYFUNCTION("""COMPUTED_VALUE"""),"BIB")</f>
        <v>BIB</v>
      </c>
      <c r="D132" s="42" t="str">
        <f>IFERROR(__xludf.DUMMYFUNCTION("""COMPUTED_VALUE"""),"10.1152/jn.1997.78.4.1753")</f>
        <v>10.1152/jn.1997.78.4.1753</v>
      </c>
      <c r="E132" s="103" t="str">
        <f>IFERROR(__xludf.DUMMYFUNCTION("""COMPUTED_VALUE"""),"@article{Kaneko_1997,
	doi = {10.1152/jn.1997.78.4.1753},
	url = {https://doi.org/10.1152%2Fjn.1997.78.4.1753},
	year = 1997,
	month = {oct},
	publisher = {American Physiological Society},
	volume = {78},
	number = {4},
	pages = {1753--1768},
	author = {C"&amp;"hris R. S. Kaneko},
	title = {Eye Movement Deficits After Ibotenic Acid Lesions of the Nucleus Prepositus Hypoglossi in Monkeys. I. Saccades and Fixation},
	journal = {Journal of Neurophysiology}
}")</f>
        <v>@article{Kaneko_1997,
	doi = {10.1152/jn.1997.78.4.1753},
	url = {https://doi.org/10.1152%2Fjn.1997.78.4.1753},
	year = 1997,
	month = {oct},
	publisher = {American Physiological Society},
	volume = {78},
	number = {4},
	pages = {1753--1768},
	author = {Chris R. S. Kaneko},
	title = {Eye Movement Deficits After Ibotenic Acid Lesions of the Nucleus Prepositus Hypoglossi in Monkeys. I. Saccades and Fixation},
	journal = {Journal of Neurophysiology}
}</v>
      </c>
      <c r="F132" s="42"/>
      <c r="G132" s="9" t="str">
        <f>IFERROR(__xludf.DUMMYFUNCTION("""COMPUTED_VALUE"""),"Article")</f>
        <v>Article</v>
      </c>
      <c r="H132" s="9" t="str">
        <f>IFERROR(__xludf.DUMMYFUNCTION("""COMPUTED_VALUE"""),"Chris R. S. Kaneko")</f>
        <v>Chris R. S. Kaneko</v>
      </c>
      <c r="I132" s="9" t="str">
        <f>IFERROR(__xludf.DUMMYFUNCTION("""COMPUTED_VALUE"""),"Eye Movement Deficits After Ibotenic Acid Lesions of the Nucleus Prepositus Hypoglossi in Monkeys. I. Saccades and Fixation")</f>
        <v>Eye Movement Deficits After Ibotenic Acid Lesions of the Nucleus Prepositus Hypoglossi in Monkeys. I. Saccades and Fixation</v>
      </c>
      <c r="J132" s="9" t="str">
        <f>IFERROR(__xludf.DUMMYFUNCTION("""COMPUTED_VALUE"""),"Journal of Neurophysiology")</f>
        <v>Journal of Neurophysiology</v>
      </c>
      <c r="K132" s="42"/>
      <c r="L132" s="42" t="str">
        <f>IFERROR(__xludf.DUMMYFUNCTION("""COMPUTED_VALUE"""),"Yoshinasa Tawatsji")</f>
        <v>Yoshinasa Tawatsji</v>
      </c>
      <c r="M132" s="42" t="str">
        <f>IFERROR(__xludf.DUMMYFUNCTION("""COMPUTED_VALUE"""),"Oculomotor")</f>
        <v>Oculomotor</v>
      </c>
      <c r="N132" s="42"/>
      <c r="O132" s="42"/>
      <c r="P132" s="9"/>
      <c r="Q132" s="9"/>
      <c r="R132" s="42"/>
      <c r="S132" s="42"/>
      <c r="T132" s="42"/>
      <c r="U132" s="42"/>
      <c r="V132" s="42"/>
      <c r="W132" s="42"/>
    </row>
    <row r="133">
      <c r="A133" s="9" t="str">
        <f>IFERROR(__xludf.DUMMYFUNCTION("""COMPUTED_VALUE"""),"Kahan, 2012")</f>
        <v>Kahan, 2012</v>
      </c>
      <c r="B133" s="31" t="str">
        <f>IFERROR(__xludf.DUMMYFUNCTION("""COMPUTED_VALUE"""),"DOC")</f>
        <v>DOC</v>
      </c>
      <c r="C133" s="31" t="str">
        <f>IFERROR(__xludf.DUMMYFUNCTION("""COMPUTED_VALUE"""),"BIB")</f>
        <v>BIB</v>
      </c>
      <c r="D133" s="42" t="str">
        <f>IFERROR(__xludf.DUMMYFUNCTION("""COMPUTED_VALUE"""),"10.1371/journal.pone.0050270")</f>
        <v>10.1371/journal.pone.0050270</v>
      </c>
      <c r="E133" s="103" t="str">
        <f>IFERROR(__xludf.DUMMYFUNCTION("""COMPUTED_VALUE"""),"@article{Kahan_2012,
	doi = {10.1371/journal.pone.0050270},
	url = {https://doi.org/10.1371%2Fjournal.pone.0050270},
	year = 2012,
	month = {dec},
	publisher = {Public Library of Science ({PLoS})},
	volume = {7},
	number = {12},
	pages = {e50270},
	author"&amp;" = {Josh Kahan and Laura Mancini and Maren Urner and Karl Friston and Marwan Hariz and Etienne Holl and Mark White and Diane Ruge and Marjan Jahanshahi and Tessel Boertien and Tarek Yousry and John S. Thornton and Patricia Limousin and Ludvic Zrinzo and T"&amp;"om Foltynie},
	editor = {Jean-Claude Baron},
	title = {Therapeutic Subthalamic Nucleus Deep Brain Stimulation Reverses Cortico-Thalamic Coupling during Voluntary Movements in Parkinson{\textquotesingle}s Disease},
	journal = {{PLoS} {ONE}}
}")</f>
        <v>@article{Kahan_2012,
	doi = {10.1371/journal.pone.0050270},
	url = {https://doi.org/10.1371%2Fjournal.pone.0050270},
	year = 2012,
	month = {dec},
	publisher = {Public Library of Science ({PLoS})},
	volume = {7},
	number = {12},
	pages = {e50270},
	author = {Josh Kahan and Laura Mancini and Maren Urner and Karl Friston and Marwan Hariz and Etienne Holl and Mark White and Diane Ruge and Marjan Jahanshahi and Tessel Boertien and Tarek Yousry and John S. Thornton and Patricia Limousin and Ludvic Zrinzo and Tom Foltynie},
	editor = {Jean-Claude Baron},
	title = {Therapeutic Subthalamic Nucleus Deep Brain Stimulation Reverses Cortico-Thalamic Coupling during Voluntary Movements in Parkinson{\textquotesingle}s Disease},
	journal = {{PLoS} {ONE}}
}</v>
      </c>
      <c r="F133" s="42"/>
      <c r="G133" s="9" t="str">
        <f>IFERROR(__xludf.DUMMYFUNCTION("""COMPUTED_VALUE"""),"Article")</f>
        <v>Article</v>
      </c>
      <c r="H133" s="9" t="str">
        <f>IFERROR(__xludf.DUMMYFUNCTION("""COMPUTED_VALUE"""),"Josh Kahan, Laura Mancini, Maren Urner, Karl Friston, Marwan Hariz, Etienne Holl, Mark White, Diane Ruge, Marjan Jahanshahi, Tessel Boertien, Tarek Yousry, John S. Thornton, Patricia Limousin, Ludvic Zrinzo, Tom Foltynie")</f>
        <v>Josh Kahan, Laura Mancini, Maren Urner, Karl Friston, Marwan Hariz, Etienne Holl, Mark White, Diane Ruge, Marjan Jahanshahi, Tessel Boertien, Tarek Yousry, John S. Thornton, Patricia Limousin, Ludvic Zrinzo, Tom Foltynie</v>
      </c>
      <c r="I133" s="9" t="str">
        <f>IFERROR(__xludf.DUMMYFUNCTION("""COMPUTED_VALUE"""),"Therapeutic Subthalamic Nucleus Deep Brain Stimulation Reverses Cortico-Thalamic Coupling during Voluntary Movements in Parkinson{\textquotesingle}s Disease")</f>
        <v>Therapeutic Subthalamic Nucleus Deep Brain Stimulation Reverses Cortico-Thalamic Coupling during Voluntary Movements in Parkinson{\textquotesingle}s Disease</v>
      </c>
      <c r="J133" s="9" t="str">
        <f>IFERROR(__xludf.DUMMYFUNCTION("""COMPUTED_VALUE"""),"{PLoS} {ONE}")</f>
        <v>{PLoS} {ONE}</v>
      </c>
      <c r="K133" s="42"/>
      <c r="L133" s="42" t="str">
        <f>IFERROR(__xludf.DUMMYFUNCTION("""COMPUTED_VALUE"""),"Yuske Shibata")</f>
        <v>Yuske Shibata</v>
      </c>
      <c r="M133" s="42" t="str">
        <f>IFERROR(__xludf.DUMMYFUNCTION("""COMPUTED_VALUE"""),"YS21BgLoop")</f>
        <v>YS21BgLoop</v>
      </c>
      <c r="N133" s="42"/>
      <c r="O133" s="42"/>
      <c r="P133" s="9"/>
      <c r="Q133" s="9"/>
      <c r="R133" s="42"/>
      <c r="S133" s="42"/>
      <c r="T133" s="42"/>
      <c r="U133" s="42"/>
      <c r="V133" s="42"/>
      <c r="W133" s="42"/>
    </row>
    <row r="134">
      <c r="A134" s="9" t="str">
        <f>IFERROR(__xludf.DUMMYFUNCTION("""COMPUTED_VALUE"""),"Kahan, 2012")</f>
        <v>Kahan, 2012</v>
      </c>
      <c r="B134" s="31" t="str">
        <f>IFERROR(__xludf.DUMMYFUNCTION("""COMPUTED_VALUE"""),"DOC")</f>
        <v>DOC</v>
      </c>
      <c r="C134" s="31" t="str">
        <f>IFERROR(__xludf.DUMMYFUNCTION("""COMPUTED_VALUE"""),"BIB")</f>
        <v>BIB</v>
      </c>
      <c r="D134" s="42" t="str">
        <f>IFERROR(__xludf.DUMMYFUNCTION("""COMPUTED_VALUE"""),"10.1371/journal.pone.0050270")</f>
        <v>10.1371/journal.pone.0050270</v>
      </c>
      <c r="E134" s="103" t="str">
        <f>IFERROR(__xludf.DUMMYFUNCTION("""COMPUTED_VALUE"""),"@article{Kahan_2012,
	doi = {10.1371/journal.pone.0050270},
	url = {https://doi.org/10.1371%2Fjournal.pone.0050270},
	year = 2012,
	month = {dec},
	publisher = {Public Library of Science ({PLoS})},
	volume = {7},
	number = {12},
	pages = {e50270},
	author"&amp;" = {Josh Kahan and Laura Mancini and Maren Urner and Karl Friston and Marwan Hariz and Etienne Holl and Mark White and Diane Ruge and Marjan Jahanshahi and Tessel Boertien and Tarek Yousry and John S. Thornton and Patricia Limousin and Ludvic Zrinzo and T"&amp;"om Foltynie},
	editor = {Jean-Claude Baron},
	title = {Therapeutic Subthalamic Nucleus Deep Brain Stimulation Reverses Cortico-Thalamic Coupling during Voluntary Movements in Parkinson{\textquotesingle}s Disease},
	journal = {{PLoS} {ONE}}
}")</f>
        <v>@article{Kahan_2012,
	doi = {10.1371/journal.pone.0050270},
	url = {https://doi.org/10.1371%2Fjournal.pone.0050270},
	year = 2012,
	month = {dec},
	publisher = {Public Library of Science ({PLoS})},
	volume = {7},
	number = {12},
	pages = {e50270},
	author = {Josh Kahan and Laura Mancini and Maren Urner and Karl Friston and Marwan Hariz and Etienne Holl and Mark White and Diane Ruge and Marjan Jahanshahi and Tessel Boertien and Tarek Yousry and John S. Thornton and Patricia Limousin and Ludvic Zrinzo and Tom Foltynie},
	editor = {Jean-Claude Baron},
	title = {Therapeutic Subthalamic Nucleus Deep Brain Stimulation Reverses Cortico-Thalamic Coupling during Voluntary Movements in Parkinson{\textquotesingle}s Disease},
	journal = {{PLoS} {ONE}}
}</v>
      </c>
      <c r="F134" s="42"/>
      <c r="G134" s="9" t="str">
        <f>IFERROR(__xludf.DUMMYFUNCTION("""COMPUTED_VALUE"""),"Article")</f>
        <v>Article</v>
      </c>
      <c r="H134" s="9" t="str">
        <f>IFERROR(__xludf.DUMMYFUNCTION("""COMPUTED_VALUE"""),"Josh Kahan, Laura Mancini, Maren Urner, Karl Friston, Marwan Hariz, Etienne Holl, Mark White, Diane Ruge, Marjan Jahanshahi, Tessel Boertien, Tarek Yousry, John S. Thornton, Patricia Limousin, Ludvic Zrinzo, Tom Foltynie")</f>
        <v>Josh Kahan, Laura Mancini, Maren Urner, Karl Friston, Marwan Hariz, Etienne Holl, Mark White, Diane Ruge, Marjan Jahanshahi, Tessel Boertien, Tarek Yousry, John S. Thornton, Patricia Limousin, Ludvic Zrinzo, Tom Foltynie</v>
      </c>
      <c r="I134" s="9" t="str">
        <f>IFERROR(__xludf.DUMMYFUNCTION("""COMPUTED_VALUE"""),"Therapeutic Subthalamic Nucleus Deep Brain Stimulation Reverses Cortico-Thalamic Coupling during Voluntary Movements in Parkinson{\textquotesingle}s Disease")</f>
        <v>Therapeutic Subthalamic Nucleus Deep Brain Stimulation Reverses Cortico-Thalamic Coupling during Voluntary Movements in Parkinson{\textquotesingle}s Disease</v>
      </c>
      <c r="J134" s="9" t="str">
        <f>IFERROR(__xludf.DUMMYFUNCTION("""COMPUTED_VALUE"""),"{PLoS} {ONE}")</f>
        <v>{PLoS} {ONE}</v>
      </c>
      <c r="K134" s="42"/>
      <c r="L134" s="42"/>
      <c r="M134" s="42"/>
      <c r="N134" s="42"/>
      <c r="O134" s="42"/>
      <c r="P134" s="9"/>
      <c r="Q134" s="9"/>
      <c r="R134" s="42"/>
      <c r="S134" s="42"/>
      <c r="T134" s="42"/>
      <c r="U134" s="42"/>
      <c r="V134" s="42"/>
      <c r="W134" s="42"/>
    </row>
    <row r="135">
      <c r="A135" s="9" t="str">
        <f>IFERROR(__xludf.DUMMYFUNCTION("""COMPUTED_VALUE"""),"Kaas, 2000")</f>
        <v>Kaas, 2000</v>
      </c>
      <c r="B135" s="31" t="str">
        <f>IFERROR(__xludf.DUMMYFUNCTION("""COMPUTED_VALUE"""),"DOC")</f>
        <v>DOC</v>
      </c>
      <c r="C135" s="31" t="str">
        <f>IFERROR(__xludf.DUMMYFUNCTION("""COMPUTED_VALUE"""),"BIB")</f>
        <v>BIB</v>
      </c>
      <c r="D135" s="42" t="str">
        <f>IFERROR(__xludf.DUMMYFUNCTION("""COMPUTED_VALUE"""),"10.1073/pnas.97.22.11793")</f>
        <v>10.1073/pnas.97.22.11793</v>
      </c>
      <c r="E135" s="103" t="str">
        <f>IFERROR(__xludf.DUMMYFUNCTION("""COMPUTED_VALUE"""),"@article{Kaas_2000,
	doi = {10.1073/pnas.97.22.11793},
	url = {https://doi.org/10.1073%2Fpnas.97.22.11793},
	year = 2000,
	month = {oct},
	publisher = {Proceedings of the National Academy of Sciences},
	volume = {97},
	number = {22},
	pages = {11793--1179"&amp;"9},
	author = {Jon H. Kaas and Troy A. Hackett},
	title = {Subdivisions of auditory cortex and processing streams in primates},
	journal = {Proceedings of the National Academy of Sciences}
}")</f>
        <v>@article{Kaas_2000,
	doi = {10.1073/pnas.97.22.11793},
	url = {https://doi.org/10.1073%2Fpnas.97.22.11793},
	year = 2000,
	month = {oct},
	publisher = {Proceedings of the National Academy of Sciences},
	volume = {97},
	number = {22},
	pages = {11793--11799},
	author = {Jon H. Kaas and Troy A. Hackett},
	title = {Subdivisions of auditory cortex and processing streams in primates},
	journal = {Proceedings of the National Academy of Sciences}
}</v>
      </c>
      <c r="F135" s="42"/>
      <c r="G135" s="9" t="str">
        <f>IFERROR(__xludf.DUMMYFUNCTION("""COMPUTED_VALUE"""),"Article")</f>
        <v>Article</v>
      </c>
      <c r="H135" s="9" t="str">
        <f>IFERROR(__xludf.DUMMYFUNCTION("""COMPUTED_VALUE"""),"Jon H. Kaas, Troy A. Hackett")</f>
        <v>Jon H. Kaas, Troy A. Hackett</v>
      </c>
      <c r="I135" s="9" t="str">
        <f>IFERROR(__xludf.DUMMYFUNCTION("""COMPUTED_VALUE"""),"Subdivisions of auditory cortex and processing streams in primates")</f>
        <v>Subdivisions of auditory cortex and processing streams in primates</v>
      </c>
      <c r="J135" s="9" t="str">
        <f>IFERROR(__xludf.DUMMYFUNCTION("""COMPUTED_VALUE"""),"Proceedings of the National Academy of Sciences")</f>
        <v>Proceedings of the National Academy of Sciences</v>
      </c>
      <c r="K135" s="42"/>
      <c r="L135" s="42" t="str">
        <f>IFERROR(__xludf.DUMMYFUNCTION("""COMPUTED_VALUE"""),"Hiroshi Yamakawa")</f>
        <v>Hiroshi Yamakawa</v>
      </c>
      <c r="M135" s="42" t="str">
        <f>IFERROR(__xludf.DUMMYFUNCTION("""COMPUTED_VALUE"""),"HY22DAA")</f>
        <v>HY22DAA</v>
      </c>
      <c r="N135" s="42"/>
      <c r="O135" s="42"/>
      <c r="P135" s="9"/>
      <c r="Q135" s="9"/>
      <c r="R135" s="42"/>
      <c r="S135" s="42"/>
      <c r="T135" s="42"/>
      <c r="U135" s="42"/>
      <c r="V135" s="42"/>
      <c r="W135" s="42"/>
    </row>
    <row r="136">
      <c r="A136" s="9" t="str">
        <f>IFERROR(__xludf.DUMMYFUNCTION("""COMPUTED_VALUE"""),"Ju, 2018")</f>
        <v>Ju, 2018</v>
      </c>
      <c r="B136" s="31" t="str">
        <f>IFERROR(__xludf.DUMMYFUNCTION("""COMPUTED_VALUE"""),"DOC")</f>
        <v>DOC</v>
      </c>
      <c r="C136" s="31" t="str">
        <f>IFERROR(__xludf.DUMMYFUNCTION("""COMPUTED_VALUE"""),"BIB")</f>
        <v>BIB</v>
      </c>
      <c r="D136" s="42" t="str">
        <f>IFERROR(__xludf.DUMMYFUNCTION("""COMPUTED_VALUE"""),"10.1101/379149")</f>
        <v>10.1101/379149</v>
      </c>
      <c r="E136" s="103" t="str">
        <f>IFERROR(__xludf.DUMMYFUNCTION("""COMPUTED_VALUE"""),"@article{Ju_2018,
	doi = {10.1101/379149},
	url = {https://doi.org/10.1101%2F379149},
	year = 2018,
	month = {jul},
	publisher = {Cold Spring Harbor Laboratory},
	author = {Chiheng Ju and Laurens W.J. Bosman and Tycho M. Hoogland and Arthiha Velauthapilla"&amp;"i and Pavithra Murugesan and Pascal Warnaar and Romano M. van Genderen and Mario Negrello and Chris I. De Zeeuw},
	title = {Neurons of the inferior olive respond to broad classes of sensory input while subject to homeostatic control}
}")</f>
        <v>@article{Ju_2018,
	doi = {10.1101/379149},
	url = {https://doi.org/10.1101%2F379149},
	year = 2018,
	month = {jul},
	publisher = {Cold Spring Harbor Laboratory},
	author = {Chiheng Ju and Laurens W.J. Bosman and Tycho M. Hoogland and Arthiha Velauthapillai and Pavithra Murugesan and Pascal Warnaar and Romano M. van Genderen and Mario Negrello and Chris I. De Zeeuw},
	title = {Neurons of the inferior olive respond to broad classes of sensory input while subject to homeostatic control}
}</v>
      </c>
      <c r="F136" s="42"/>
      <c r="G136" s="9" t="str">
        <f>IFERROR(__xludf.DUMMYFUNCTION("""COMPUTED_VALUE"""),"Article")</f>
        <v>Article</v>
      </c>
      <c r="H136" s="9" t="str">
        <f>IFERROR(__xludf.DUMMYFUNCTION("""COMPUTED_VALUE"""),"Chiheng Ju, Laurens W.J. Bosman, Tycho M. Hoogland, Arthiha Velauthapillai, Pavithra Murugesan, Pascal Warnaar, Romano M. van Genderen, Mario Negrello, Chris I. De Zeeuw")</f>
        <v>Chiheng Ju, Laurens W.J. Bosman, Tycho M. Hoogland, Arthiha Velauthapillai, Pavithra Murugesan, Pascal Warnaar, Romano M. van Genderen, Mario Negrello, Chris I. De Zeeuw</v>
      </c>
      <c r="I136" s="9" t="str">
        <f>IFERROR(__xludf.DUMMYFUNCTION("""COMPUTED_VALUE"""),"Neurons of the inferior olive respond to broad classes of sensory input while subject to homeostatic control")</f>
        <v>Neurons of the inferior olive respond to broad classes of sensory input while subject to homeostatic control</v>
      </c>
      <c r="J136" s="9" t="str">
        <f>IFERROR(__xludf.DUMMYFUNCTION("""COMPUTED_VALUE"""),"-")</f>
        <v>-</v>
      </c>
      <c r="K136" s="42"/>
      <c r="L136" s="42" t="str">
        <f>IFERROR(__xludf.DUMMYFUNCTION("""COMPUTED_VALUE"""),"Hiroshi Yamakawa")</f>
        <v>Hiroshi Yamakawa</v>
      </c>
      <c r="M136" s="42" t="str">
        <f>IFERROR(__xludf.DUMMYFUNCTION("""COMPUTED_VALUE"""),"HY20Cerebellum")</f>
        <v>HY20Cerebellum</v>
      </c>
      <c r="N136" s="42"/>
      <c r="O136" s="42"/>
      <c r="P136" s="9"/>
      <c r="Q136" s="9"/>
      <c r="R136" s="42"/>
      <c r="S136" s="42"/>
      <c r="T136" s="42"/>
      <c r="U136" s="42"/>
      <c r="V136" s="42"/>
      <c r="W136" s="42"/>
    </row>
    <row r="137">
      <c r="A137" s="9" t="str">
        <f>IFERROR(__xludf.DUMMYFUNCTION("""COMPUTED_VALUE"""),"Jones, 1998")</f>
        <v>Jones, 1998</v>
      </c>
      <c r="B137" s="31" t="str">
        <f>IFERROR(__xludf.DUMMYFUNCTION("""COMPUTED_VALUE"""),"DOC")</f>
        <v>DOC</v>
      </c>
      <c r="C137" s="31" t="str">
        <f>IFERROR(__xludf.DUMMYFUNCTION("""COMPUTED_VALUE"""),"BIB")</f>
        <v>BIB</v>
      </c>
      <c r="D137" s="42" t="str">
        <f>IFERROR(__xludf.DUMMYFUNCTION("""COMPUTED_VALUE"""),"10.1016/s0306-4522(97)00581-2")</f>
        <v>10.1016/s0306-4522(97)00581-2</v>
      </c>
      <c r="E137" s="103" t="str">
        <f>IFERROR(__xludf.DUMMYFUNCTION("""COMPUTED_VALUE"""),"@article{Jones_1998,
	doi = {10.1016/s0306-4522(97)00581-2},
	url = {https://doi.org/10.1016%2Fs0306-4522%2897%2900581-2},
	year = 1998,
	month = {apr},
	publisher = {Elsevier {BV}},
	volume = {85},
	number = {2},
	pages = {331--345},
	author = {E.G Jones"&amp;"},
	title = {Viewpoint: the core and matrix of thalamic organization},
	journal = {Neuroscience}
}")</f>
        <v>@article{Jones_1998,
	doi = {10.1016/s0306-4522(97)00581-2},
	url = {https://doi.org/10.1016%2Fs0306-4522%2897%2900581-2},
	year = 1998,
	month = {apr},
	publisher = {Elsevier {BV}},
	volume = {85},
	number = {2},
	pages = {331--345},
	author = {E.G Jones},
	title = {Viewpoint: the core and matrix of thalamic organization},
	journal = {Neuroscience}
}</v>
      </c>
      <c r="F137" s="42"/>
      <c r="G137" s="9" t="str">
        <f>IFERROR(__xludf.DUMMYFUNCTION("""COMPUTED_VALUE"""),"Article")</f>
        <v>Article</v>
      </c>
      <c r="H137" s="9" t="str">
        <f>IFERROR(__xludf.DUMMYFUNCTION("""COMPUTED_VALUE"""),"E.G Jones")</f>
        <v>E.G Jones</v>
      </c>
      <c r="I137" s="9" t="str">
        <f>IFERROR(__xludf.DUMMYFUNCTION("""COMPUTED_VALUE"""),"Viewpoint: the core and matrix of thalamic organization")</f>
        <v>Viewpoint: the core and matrix of thalamic organization</v>
      </c>
      <c r="J137" s="9" t="str">
        <f>IFERROR(__xludf.DUMMYFUNCTION("""COMPUTED_VALUE"""),"Neuroscience")</f>
        <v>Neuroscience</v>
      </c>
      <c r="K137" s="42"/>
      <c r="L137" s="42" t="str">
        <f>IFERROR(__xludf.DUMMYFUNCTION("""COMPUTED_VALUE"""),"Hiroshi Yamakawa")</f>
        <v>Hiroshi Yamakawa</v>
      </c>
      <c r="M137" s="42" t="str">
        <f>IFERROR(__xludf.DUMMYFUNCTION("""COMPUTED_VALUE"""),"HY18NeocorticalInterareaSignals")</f>
        <v>HY18NeocorticalInterareaSignals</v>
      </c>
      <c r="N137" s="42"/>
      <c r="O137" s="42"/>
      <c r="P137" s="9"/>
      <c r="Q137" s="9"/>
      <c r="R137" s="42"/>
      <c r="S137" s="42"/>
      <c r="T137" s="42"/>
      <c r="U137" s="42"/>
      <c r="V137" s="42"/>
      <c r="W137" s="42"/>
    </row>
    <row r="138">
      <c r="A138" s="9" t="str">
        <f>IFERROR(__xludf.DUMMYFUNCTION("""COMPUTED_VALUE"""),"Jimsheleishvili, 2020-rf")</f>
        <v>Jimsheleishvili, 2020-rf</v>
      </c>
      <c r="B138" s="31" t="str">
        <f>IFERROR(__xludf.DUMMYFUNCTION("""COMPUTED_VALUE"""),"DOC(alt)")</f>
        <v>DOC(alt)</v>
      </c>
      <c r="C138" s="31" t="str">
        <f>IFERROR(__xludf.DUMMYFUNCTION("""COMPUTED_VALUE"""),"(no DOI)")</f>
        <v>(no DOI)</v>
      </c>
      <c r="D138" s="42"/>
      <c r="E138" s="103" t="str">
        <f>IFERROR(__xludf.DUMMYFUNCTION("""COMPUTED_VALUE"""),"@INCOLLECTION{Jimsheleishvili2020-rf,
  title     = {Neuroanatomy, Cerebellum},
  booktitle = ""{StatPearls}"",
  author    = {Jimsheleishvili, Sopiko and Dididze, Marine},
  publisher = ""StatPearls Publishing"",
  month     =  ""31~"" # jul,
  year     "&amp;" =  2020,
  address   = ""Treasure Island (FL)"",
  pmid      = ""30844194""
}
")</f>
        <v>@INCOLLECTION{Jimsheleishvili2020-rf,
  title     = {Neuroanatomy, Cerebellum},
  booktitle = "{StatPearls}",
  author    = {Jimsheleishvili, Sopiko and Dididze, Marine},
  publisher = "StatPearls Publishing",
  month     =  "31~" # jul,
  year      =  2020,
  address   = "Treasure Island (FL)",
  pmid      = "30844194"
}
</v>
      </c>
      <c r="F138" s="42"/>
      <c r="G138" s="9" t="str">
        <f>IFERROR(__xludf.DUMMYFUNCTION("""COMPUTED_VALUE"""),"Incollection")</f>
        <v>Incollection</v>
      </c>
      <c r="H138" s="9" t="str">
        <f>IFERROR(__xludf.DUMMYFUNCTION("""COMPUTED_VALUE"""),"Jimsheleishvili, Sopiko, Dididze, Marine")</f>
        <v>Jimsheleishvili, Sopiko, Dididze, Marine</v>
      </c>
      <c r="I138" s="9" t="str">
        <f>IFERROR(__xludf.DUMMYFUNCTION("""COMPUTED_VALUE"""),"Neuroanatomy, Cerebellum")</f>
        <v>Neuroanatomy, Cerebellum</v>
      </c>
      <c r="J138" s="9" t="str">
        <f>IFERROR(__xludf.DUMMYFUNCTION("""COMPUTED_VALUE"""),"StatPearls")</f>
        <v>StatPearls</v>
      </c>
      <c r="K138" s="133" t="str">
        <f>IFERROR(__xludf.DUMMYFUNCTION("""COMPUTED_VALUE"""),"https://www.ncbi.nlm.nih.gov/books/NBK538167/")</f>
        <v>https://www.ncbi.nlm.nih.gov/books/NBK538167/</v>
      </c>
      <c r="L138" s="42" t="str">
        <f>IFERROR(__xludf.DUMMYFUNCTION("""COMPUTED_VALUE"""),"Hiroshi Yamakawa")</f>
        <v>Hiroshi Yamakawa</v>
      </c>
      <c r="M138" s="42" t="str">
        <f>IFERROR(__xludf.DUMMYFUNCTION("""COMPUTED_VALUE"""),"HY20Cerebellum")</f>
        <v>HY20Cerebellum</v>
      </c>
      <c r="N138" s="42"/>
      <c r="O138" s="42"/>
      <c r="P138" s="9"/>
      <c r="Q138" s="9"/>
      <c r="R138" s="42"/>
      <c r="S138" s="42"/>
      <c r="T138" s="42"/>
      <c r="U138" s="42"/>
      <c r="V138" s="42"/>
      <c r="W138" s="42"/>
    </row>
    <row r="139">
      <c r="A139" s="9" t="str">
        <f>IFERROR(__xludf.DUMMYFUNCTION("""COMPUTED_VALUE"""),"Jasmin, 2019")</f>
        <v>Jasmin, 2019</v>
      </c>
      <c r="B139" s="31" t="str">
        <f>IFERROR(__xludf.DUMMYFUNCTION("""COMPUTED_VALUE"""),"DOC")</f>
        <v>DOC</v>
      </c>
      <c r="C139" s="31" t="str">
        <f>IFERROR(__xludf.DUMMYFUNCTION("""COMPUTED_VALUE"""),"BIB")</f>
        <v>BIB</v>
      </c>
      <c r="D139" s="42" t="str">
        <f>IFERROR(__xludf.DUMMYFUNCTION("""COMPUTED_VALUE"""),"10.1038/s41583-019-0160-2")</f>
        <v>10.1038/s41583-019-0160-2</v>
      </c>
      <c r="E139" s="103" t="str">
        <f>IFERROR(__xludf.DUMMYFUNCTION("""COMPUTED_VALUE"""),"@article{Jasmin_2019,
	doi = {10.1038/s41583-019-0160-2},
	url = {https://doi.org/10.1038%2Fs41583-019-0160-2},
	year = 2019,
	month = {mar},
	publisher = {Springer Science and Business Media {LLC}},
	volume = {20},
	number = {7},
	pages = {425--434},
	au"&amp;"thor = {Kyle Jasmin and C{\'{e}}sar F. Lima and Sophie K. Scott},
	title = {Understanding rostral{\textendash}caudal auditory cortex contributions to auditory perception},
	journal = {Nature Reviews Neuroscience}
}")</f>
        <v>@article{Jasmin_2019,
	doi = {10.1038/s41583-019-0160-2},
	url = {https://doi.org/10.1038%2Fs41583-019-0160-2},
	year = 2019,
	month = {mar},
	publisher = {Springer Science and Business Media {LLC}},
	volume = {20},
	number = {7},
	pages = {425--434},
	author = {Kyle Jasmin and C{\'{e}}sar F. Lima and Sophie K. Scott},
	title = {Understanding rostral{\textendash}caudal auditory cortex contributions to auditory perception},
	journal = {Nature Reviews Neuroscience}
}</v>
      </c>
      <c r="F139" s="42" t="str">
        <f>IFERROR(__xludf.DUMMYFUNCTION("""COMPUTED_VALUE"""),"Review")</f>
        <v>Review</v>
      </c>
      <c r="G139" s="9" t="str">
        <f>IFERROR(__xludf.DUMMYFUNCTION("""COMPUTED_VALUE"""),"Article")</f>
        <v>Article</v>
      </c>
      <c r="H139" s="9" t="str">
        <f>IFERROR(__xludf.DUMMYFUNCTION("""COMPUTED_VALUE"""),"Kyle Jasmin, C{\'{e}}sar F. Lima, Sophie K. Scott")</f>
        <v>Kyle Jasmin, C{\'{e}}sar F. Lima, Sophie K. Scott</v>
      </c>
      <c r="I139" s="9" t="str">
        <f>IFERROR(__xludf.DUMMYFUNCTION("""COMPUTED_VALUE"""),"Understanding rostral{\textendash}caudal auditory cortex contributions to auditory perception")</f>
        <v>Understanding rostral{\textendash}caudal auditory cortex contributions to auditory perception</v>
      </c>
      <c r="J139" s="9" t="str">
        <f>IFERROR(__xludf.DUMMYFUNCTION("""COMPUTED_VALUE"""),"Nature Reviews Neuroscience")</f>
        <v>Nature Reviews Neuroscience</v>
      </c>
      <c r="K139" s="42"/>
      <c r="L139" s="42" t="str">
        <f>IFERROR(__xludf.DUMMYFUNCTION("""COMPUTED_VALUE"""),"Hiroshi Yamakawa")</f>
        <v>Hiroshi Yamakawa</v>
      </c>
      <c r="M139" s="42" t="str">
        <f>IFERROR(__xludf.DUMMYFUNCTION("""COMPUTED_VALUE"""),"HY22DAA")</f>
        <v>HY22DAA</v>
      </c>
      <c r="N139" s="42"/>
      <c r="O139" s="42"/>
      <c r="P139" s="9"/>
      <c r="Q139" s="9"/>
      <c r="R139" s="42"/>
      <c r="S139" s="42"/>
      <c r="T139" s="42"/>
      <c r="U139" s="42"/>
      <c r="V139" s="42"/>
      <c r="W139" s="42"/>
    </row>
    <row r="140">
      <c r="A140" s="9" t="str">
        <f>IFERROR(__xludf.DUMMYFUNCTION("""COMPUTED_VALUE"""),"Janak, 2015")</f>
        <v>Janak, 2015</v>
      </c>
      <c r="B140" s="31" t="str">
        <f>IFERROR(__xludf.DUMMYFUNCTION("""COMPUTED_VALUE"""),"DOC")</f>
        <v>DOC</v>
      </c>
      <c r="C140" s="31" t="str">
        <f>IFERROR(__xludf.DUMMYFUNCTION("""COMPUTED_VALUE"""),"BIB")</f>
        <v>BIB</v>
      </c>
      <c r="D140" s="42" t="str">
        <f>IFERROR(__xludf.DUMMYFUNCTION("""COMPUTED_VALUE"""),"10.1038/nature14188")</f>
        <v>10.1038/nature14188</v>
      </c>
      <c r="E140" s="103" t="str">
        <f>IFERROR(__xludf.DUMMYFUNCTION("""COMPUTED_VALUE"""),"@article{Janak_2015,
	doi = {10.1038/nature14188},
	url = {https://doi.org/10.1038%2Fnature14188},
	year = 2015,
	month = {jan},
	publisher = {Springer Science and Business Media {LLC}},
	volume = {517},
	number = {7534},
	pages = {284--292},
	author = {P"&amp;"atricia H. Janak and Kay M. Tye},
	title = {From circuits to behaviour in the amygdala},
	journal = {Nature}
}")</f>
        <v>@article{Janak_2015,
	doi = {10.1038/nature14188},
	url = {https://doi.org/10.1038%2Fnature14188},
	year = 2015,
	month = {jan},
	publisher = {Springer Science and Business Media {LLC}},
	volume = {517},
	number = {7534},
	pages = {284--292},
	author = {Patricia H. Janak and Kay M. Tye},
	title = {From circuits to behaviour in the amygdala},
	journal = {Nature}
}</v>
      </c>
      <c r="F140" s="42"/>
      <c r="G140" s="9" t="str">
        <f>IFERROR(__xludf.DUMMYFUNCTION("""COMPUTED_VALUE"""),"Article")</f>
        <v>Article</v>
      </c>
      <c r="H140" s="9" t="str">
        <f>IFERROR(__xludf.DUMMYFUNCTION("""COMPUTED_VALUE"""),"Patricia H. Janak, Kay M. Tye")</f>
        <v>Patricia H. Janak, Kay M. Tye</v>
      </c>
      <c r="I140" s="9" t="str">
        <f>IFERROR(__xludf.DUMMYFUNCTION("""COMPUTED_VALUE"""),"From circuits to behaviour in the amygdala")</f>
        <v>From circuits to behaviour in the amygdala</v>
      </c>
      <c r="J140" s="9" t="str">
        <f>IFERROR(__xludf.DUMMYFUNCTION("""COMPUTED_VALUE"""),"Nature")</f>
        <v>Nature</v>
      </c>
      <c r="K140" s="42"/>
      <c r="L140" s="42" t="str">
        <f>IFERROR(__xludf.DUMMYFUNCTION("""COMPUTED_VALUE"""),"Tatsuya Miyamoto")</f>
        <v>Tatsuya Miyamoto</v>
      </c>
      <c r="M140" s="42" t="str">
        <f>IFERROR(__xludf.DUMMYFUNCTION("""COMPUTED_VALUE"""),"TM21Amygdala")</f>
        <v>TM21Amygdala</v>
      </c>
      <c r="N140" s="42"/>
      <c r="O140" s="42"/>
      <c r="P140" s="9"/>
      <c r="Q140" s="9"/>
      <c r="R140" s="42"/>
      <c r="S140" s="42"/>
      <c r="T140" s="42"/>
      <c r="U140" s="42"/>
      <c r="V140" s="42"/>
      <c r="W140" s="42"/>
    </row>
    <row r="141">
      <c r="A141" s="9" t="str">
        <f>IFERROR(__xludf.DUMMYFUNCTION("""COMPUTED_VALUE"""),"Izawa, 2007")</f>
        <v>Izawa, 2007</v>
      </c>
      <c r="B141" s="31" t="str">
        <f>IFERROR(__xludf.DUMMYFUNCTION("""COMPUTED_VALUE"""),"DOC")</f>
        <v>DOC</v>
      </c>
      <c r="C141" s="31" t="str">
        <f>IFERROR(__xludf.DUMMYFUNCTION("""COMPUTED_VALUE"""),"BIB")</f>
        <v>BIB</v>
      </c>
      <c r="D141" s="42" t="str">
        <f>IFERROR(__xludf.DUMMYFUNCTION("""COMPUTED_VALUE"""),"10.1152/jn.01073.2006")</f>
        <v>10.1152/jn.01073.2006</v>
      </c>
      <c r="E141" s="103" t="str">
        <f>IFERROR(__xludf.DUMMYFUNCTION("""COMPUTED_VALUE"""),"@article{Izawa_2007,
	doi = {10.1152/jn.01073.2006},
	url = {https://doi.org/10.1152%2Fjn.01073.2006},
	year = 2007,
	month = {may},
	publisher = {American Physiological Society},
	volume = {97},
	number = {5},
	pages = {3696--3712},
	author = {Yoshiko Iz"&amp;"awa and Yuriko Sugiuchi and Yoshikazu Shinoda},
	title = {Neural Organization of the Pathways From the Superior Colliculus to Trochlear Motoneurons},
	journal = {Journal of Neurophysiology}
}")</f>
        <v>@article{Izawa_2007,
	doi = {10.1152/jn.01073.2006},
	url = {https://doi.org/10.1152%2Fjn.01073.2006},
	year = 2007,
	month = {may},
	publisher = {American Physiological Society},
	volume = {97},
	number = {5},
	pages = {3696--3712},
	author = {Yoshiko Izawa and Yuriko Sugiuchi and Yoshikazu Shinoda},
	title = {Neural Organization of the Pathways From the Superior Colliculus to Trochlear Motoneurons},
	journal = {Journal of Neurophysiology}
}</v>
      </c>
      <c r="F141" s="42"/>
      <c r="G141" s="9" t="str">
        <f>IFERROR(__xludf.DUMMYFUNCTION("""COMPUTED_VALUE"""),"Article")</f>
        <v>Article</v>
      </c>
      <c r="H141" s="9" t="str">
        <f>IFERROR(__xludf.DUMMYFUNCTION("""COMPUTED_VALUE"""),"Yoshiko Izawa, Yuriko Sugiuchi, Yoshikazu Shinoda")</f>
        <v>Yoshiko Izawa, Yuriko Sugiuchi, Yoshikazu Shinoda</v>
      </c>
      <c r="I141" s="9" t="str">
        <f>IFERROR(__xludf.DUMMYFUNCTION("""COMPUTED_VALUE"""),"Neural Organization of the Pathways From the Superior Colliculus to Trochlear Motoneurons")</f>
        <v>Neural Organization of the Pathways From the Superior Colliculus to Trochlear Motoneurons</v>
      </c>
      <c r="J141" s="9" t="str">
        <f>IFERROR(__xludf.DUMMYFUNCTION("""COMPUTED_VALUE"""),"Journal of Neurophysiology")</f>
        <v>Journal of Neurophysiology</v>
      </c>
      <c r="K141" s="42"/>
      <c r="L141" s="42" t="str">
        <f>IFERROR(__xludf.DUMMYFUNCTION("""COMPUTED_VALUE"""),"Yoshinasa Tawatsji")</f>
        <v>Yoshinasa Tawatsji</v>
      </c>
      <c r="M141" s="42" t="str">
        <f>IFERROR(__xludf.DUMMYFUNCTION("""COMPUTED_VALUE"""),"Oculomotor")</f>
        <v>Oculomotor</v>
      </c>
      <c r="N141" s="42"/>
      <c r="O141" s="42"/>
      <c r="P141" s="9"/>
      <c r="Q141" s="9"/>
      <c r="R141" s="42"/>
      <c r="S141" s="42"/>
      <c r="T141" s="42"/>
      <c r="U141" s="42"/>
      <c r="V141" s="42"/>
      <c r="W141" s="42"/>
    </row>
    <row r="142">
      <c r="A142" s="9" t="str">
        <f>IFERROR(__xludf.DUMMYFUNCTION("""COMPUTED_VALUE"""),"Ito, 1977")</f>
        <v>Ito, 1977</v>
      </c>
      <c r="B142" s="31" t="str">
        <f>IFERROR(__xludf.DUMMYFUNCTION("""COMPUTED_VALUE"""),"DOC")</f>
        <v>DOC</v>
      </c>
      <c r="C142" s="31" t="str">
        <f>IFERROR(__xludf.DUMMYFUNCTION("""COMPUTED_VALUE"""),"BIB")</f>
        <v>BIB</v>
      </c>
      <c r="D142" s="42" t="str">
        <f>IFERROR(__xludf.DUMMYFUNCTION("""COMPUTED_VALUE"""),"10.1113/jphysiol.1977.sp011747")</f>
        <v>10.1113/jphysiol.1977.sp011747</v>
      </c>
      <c r="E142" s="103" t="str">
        <f>IFERROR(__xludf.DUMMYFUNCTION("""COMPUTED_VALUE"""),"@article{Ito_1977,
	doi = {10.1113/jphysiol.1977.sp011747},
	url = {https://doi.org/10.1113%2Fjphysiol.1977.sp011747},
	year = 1977,
	month = {mar},
	publisher = {Wiley},
	volume = {265},
	number = {3},
	pages = {833--854},
	author = {M Ito and N Nisimaru"&amp;" and M Yamamoto},
	title = {Specific patterns of neuronal connexions involved in the control of the rabbit{\textquotesingle}s vestibulo-ocular reflexes by the cerebellar flocculus.},
	journal = {The Journal of Physiology}
}")</f>
        <v>@article{Ito_1977,
	doi = {10.1113/jphysiol.1977.sp011747},
	url = {https://doi.org/10.1113%2Fjphysiol.1977.sp011747},
	year = 1977,
	month = {mar},
	publisher = {Wiley},
	volume = {265},
	number = {3},
	pages = {833--854},
	author = {M Ito and N Nisimaru and M Yamamoto},
	title = {Specific patterns of neuronal connexions involved in the control of the rabbit{\textquotesingle}s vestibulo-ocular reflexes by the cerebellar flocculus.},
	journal = {The Journal of Physiology}
}</v>
      </c>
      <c r="F142" s="42"/>
      <c r="G142" s="9" t="str">
        <f>IFERROR(__xludf.DUMMYFUNCTION("""COMPUTED_VALUE"""),"Article")</f>
        <v>Article</v>
      </c>
      <c r="H142" s="9" t="str">
        <f>IFERROR(__xludf.DUMMYFUNCTION("""COMPUTED_VALUE"""),"M Ito, N Nisimaru, M Yamamoto")</f>
        <v>M Ito, N Nisimaru, M Yamamoto</v>
      </c>
      <c r="I142" s="9" t="str">
        <f>IFERROR(__xludf.DUMMYFUNCTION("""COMPUTED_VALUE"""),"Specific patterns of neuronal connexions involved in the control of the rabbit{\textquotesingle}s vestibulo-ocular reflexes by the cerebellar flocculus.")</f>
        <v>Specific patterns of neuronal connexions involved in the control of the rabbit{\textquotesingle}s vestibulo-ocular reflexes by the cerebellar flocculus.</v>
      </c>
      <c r="J142" s="9" t="str">
        <f>IFERROR(__xludf.DUMMYFUNCTION("""COMPUTED_VALUE"""),"The Journal of Physiology")</f>
        <v>The Journal of Physiology</v>
      </c>
      <c r="K142" s="42"/>
      <c r="L142" s="42" t="str">
        <f>IFERROR(__xludf.DUMMYFUNCTION("""COMPUTED_VALUE"""),"Hiroshi Yamakawa")</f>
        <v>Hiroshi Yamakawa</v>
      </c>
      <c r="M142" s="42" t="str">
        <f>IFERROR(__xludf.DUMMYFUNCTION("""COMPUTED_VALUE"""),"HY20Cerebellum")</f>
        <v>HY20Cerebellum</v>
      </c>
      <c r="N142" s="42"/>
      <c r="O142" s="42"/>
      <c r="P142" s="9"/>
      <c r="Q142" s="9"/>
      <c r="R142" s="42"/>
      <c r="S142" s="42"/>
      <c r="T142" s="42"/>
      <c r="U142" s="42"/>
      <c r="V142" s="42"/>
      <c r="W142" s="42"/>
    </row>
    <row r="143">
      <c r="A143" s="9" t="str">
        <f>IFERROR(__xludf.DUMMYFUNCTION("""COMPUTED_VALUE"""),"Hikosaka, 2007")</f>
        <v>Hikosaka, 2007</v>
      </c>
      <c r="B143" s="31" t="str">
        <f>IFERROR(__xludf.DUMMYFUNCTION("""COMPUTED_VALUE"""),"DOC")</f>
        <v>DOC</v>
      </c>
      <c r="C143" s="31" t="str">
        <f>IFERROR(__xludf.DUMMYFUNCTION("""COMPUTED_VALUE"""),"BIB")</f>
        <v>BIB</v>
      </c>
      <c r="D143" s="42" t="str">
        <f>IFERROR(__xludf.DUMMYFUNCTION("""COMPUTED_VALUE"""),"10.1016/S0079-6123(06)60012-5")</f>
        <v>10.1016/S0079-6123(06)60012-5</v>
      </c>
      <c r="E143" s="103" t="str">
        <f>IFERROR(__xludf.DUMMYFUNCTION("""COMPUTED_VALUE"""),"@incollection{Hikosaka_2007,
	doi = {10.1016/s0079-6123(06)60012-5},
	url = {https://doi.org/10.1016%2Fs0079-6123%2806%2960012-5},
	year = 2007,
	publisher = {Elsevier},
	pages = {209--226},
	author = {O. Hikosaka},
	title = {{GABAergic} output of the bas"&amp;"al ganglia},
	booktitle = {Progress in Brain Research}
}")</f>
        <v>@incollection{Hikosaka_2007,
	doi = {10.1016/s0079-6123(06)60012-5},
	url = {https://doi.org/10.1016%2Fs0079-6123%2806%2960012-5},
	year = 2007,
	publisher = {Elsevier},
	pages = {209--226},
	author = {O. Hikosaka},
	title = {{GABAergic} output of the basal ganglia},
	booktitle = {Progress in Brain Research}
}</v>
      </c>
      <c r="F143" s="42"/>
      <c r="G143" s="9" t="str">
        <f>IFERROR(__xludf.DUMMYFUNCTION("""COMPUTED_VALUE"""),"Incollection")</f>
        <v>Incollection</v>
      </c>
      <c r="H143" s="9" t="str">
        <f>IFERROR(__xludf.DUMMYFUNCTION("""COMPUTED_VALUE"""),"O. Hikosaka")</f>
        <v>O. Hikosaka</v>
      </c>
      <c r="I143" s="9" t="str">
        <f>IFERROR(__xludf.DUMMYFUNCTION("""COMPUTED_VALUE"""),"{GABAergic} output of the basal ganglia")</f>
        <v>{GABAergic} output of the basal ganglia</v>
      </c>
      <c r="J143" s="9" t="str">
        <f>IFERROR(__xludf.DUMMYFUNCTION("""COMPUTED_VALUE"""),"Progress in Brain Research")</f>
        <v>Progress in Brain Research</v>
      </c>
      <c r="K143" s="133" t="str">
        <f>IFERROR(__xludf.DUMMYFUNCTION("""COMPUTED_VALUE"""),"https://www.sciencedirect.com/science/article/pii/S0079612306600125?via%3Dihub")</f>
        <v>https://www.sciencedirect.com/science/article/pii/S0079612306600125?via%3Dihub</v>
      </c>
      <c r="L143" s="42" t="str">
        <f>IFERROR(__xludf.DUMMYFUNCTION("""COMPUTED_VALUE"""),"Yuske Shibata")</f>
        <v>Yuske Shibata</v>
      </c>
      <c r="M143" s="42" t="str">
        <f>IFERROR(__xludf.DUMMYFUNCTION("""COMPUTED_VALUE"""),"YS21BgLoop")</f>
        <v>YS21BgLoop</v>
      </c>
      <c r="N143" s="42"/>
      <c r="O143" s="42"/>
      <c r="P143" s="9"/>
      <c r="Q143" s="9"/>
      <c r="R143" s="42"/>
      <c r="S143" s="42"/>
      <c r="T143" s="42"/>
      <c r="U143" s="42"/>
      <c r="V143" s="42"/>
      <c r="W143" s="42"/>
    </row>
    <row r="144">
      <c r="A144" s="9" t="str">
        <f>IFERROR(__xludf.DUMMYFUNCTION("""COMPUTED_VALUE"""),"Hikosaka, 2000")</f>
        <v>Hikosaka, 2000</v>
      </c>
      <c r="B144" s="31" t="str">
        <f>IFERROR(__xludf.DUMMYFUNCTION("""COMPUTED_VALUE"""),"DOC")</f>
        <v>DOC</v>
      </c>
      <c r="C144" s="31" t="str">
        <f>IFERROR(__xludf.DUMMYFUNCTION("""COMPUTED_VALUE"""),"BIB")</f>
        <v>BIB</v>
      </c>
      <c r="D144" s="42" t="str">
        <f>IFERROR(__xludf.DUMMYFUNCTION("""COMPUTED_VALUE"""),"10.1152/physrev.2000.80.3.953")</f>
        <v>10.1152/physrev.2000.80.3.953</v>
      </c>
      <c r="E144" s="103" t="str">
        <f>IFERROR(__xludf.DUMMYFUNCTION("""COMPUTED_VALUE"""),"@article{Hikosaka_2000,
	doi = {10.1152/physrev.2000.80.3.953},
	url = {https://doi.org/10.1152%2Fphysrev.2000.80.3.953},
	year = 2000,
	month = {jul},
	publisher = {American Physiological Society},
	volume = {80},
	number = {3},
	pages = {953--978},
	aut"&amp;"hor = {Okihide Hikosaka and Yoriko Takikawa and Reiko Kawagoe},
	title = {Role of the Basal Ganglia in the Control  of Purposive Saccadic Eye Movements},
	journal = {Physiological Reviews}
}")</f>
        <v>@article{Hikosaka_2000,
	doi = {10.1152/physrev.2000.80.3.953},
	url = {https://doi.org/10.1152%2Fphysrev.2000.80.3.953},
	year = 2000,
	month = {jul},
	publisher = {American Physiological Society},
	volume = {80},
	number = {3},
	pages = {953--978},
	author = {Okihide Hikosaka and Yoriko Takikawa and Reiko Kawagoe},
	title = {Role of the Basal Ganglia in the Control  of Purposive Saccadic Eye Movements},
	journal = {Physiological Reviews}
}</v>
      </c>
      <c r="F144" s="42"/>
      <c r="G144" s="9" t="str">
        <f>IFERROR(__xludf.DUMMYFUNCTION("""COMPUTED_VALUE"""),"Article")</f>
        <v>Article</v>
      </c>
      <c r="H144" s="9" t="str">
        <f>IFERROR(__xludf.DUMMYFUNCTION("""COMPUTED_VALUE"""),"Okihide Hikosaka, Yoriko Takikawa, Reiko Kawagoe")</f>
        <v>Okihide Hikosaka, Yoriko Takikawa, Reiko Kawagoe</v>
      </c>
      <c r="I144" s="9" t="str">
        <f>IFERROR(__xludf.DUMMYFUNCTION("""COMPUTED_VALUE"""),"Role of the Basal Ganglia in the Control  of Purposive Saccadic Eye Movements")</f>
        <v>Role of the Basal Ganglia in the Control  of Purposive Saccadic Eye Movements</v>
      </c>
      <c r="J144" s="9" t="str">
        <f>IFERROR(__xludf.DUMMYFUNCTION("""COMPUTED_VALUE"""),"Physiological Reviews")</f>
        <v>Physiological Reviews</v>
      </c>
      <c r="K144" s="42"/>
      <c r="L144" s="42" t="str">
        <f>IFERROR(__xludf.DUMMYFUNCTION("""COMPUTED_VALUE"""),"Yoshinasa Tawatsji")</f>
        <v>Yoshinasa Tawatsji</v>
      </c>
      <c r="M144" s="42" t="str">
        <f>IFERROR(__xludf.DUMMYFUNCTION("""COMPUTED_VALUE"""),"Oculomotor")</f>
        <v>Oculomotor</v>
      </c>
      <c r="N144" s="42"/>
      <c r="O144" s="42"/>
      <c r="P144" s="9"/>
      <c r="Q144" s="9"/>
      <c r="R144" s="42"/>
      <c r="S144" s="42"/>
      <c r="T144" s="42"/>
      <c r="U144" s="42"/>
      <c r="V144" s="42"/>
      <c r="W144" s="42"/>
    </row>
    <row r="145">
      <c r="A145" s="9" t="str">
        <f>IFERROR(__xludf.DUMMYFUNCTION("""COMPUTED_VALUE"""),"Haynes, 2013")</f>
        <v>Haynes, 2013</v>
      </c>
      <c r="B145" s="31" t="str">
        <f>IFERROR(__xludf.DUMMYFUNCTION("""COMPUTED_VALUE"""),"DOC")</f>
        <v>DOC</v>
      </c>
      <c r="C145" s="31" t="str">
        <f>IFERROR(__xludf.DUMMYFUNCTION("""COMPUTED_VALUE"""),"BIB")</f>
        <v>BIB</v>
      </c>
      <c r="D145" s="42" t="str">
        <f>IFERROR(__xludf.DUMMYFUNCTION("""COMPUTED_VALUE"""),"10.1523/JNEUROSCI.4674-12.2013")</f>
        <v>10.1523/JNEUROSCI.4674-12.2013</v>
      </c>
      <c r="E145" s="103" t="str">
        <f>IFERROR(__xludf.DUMMYFUNCTION("""COMPUTED_VALUE"""),"@article{Haynes_2013,
	doi = {10.1523/jneurosci.4674-12.2013},
	url = {https://doi.org/10.1523%2Fjneurosci.4674-12.2013},
	year = 2013,
	month = {mar},
	publisher = {Society for Neuroscience},
	volume = {33},
	number = {11},
	pages = {4804--4814},
	author"&amp;" = {W. I. A. Haynes and S. N. Haber},
	title = {The Organization of Prefrontal-Subthalamic Inputs in Primates Provides an Anatomical Substrate for Both Functional Specificity and Integration: Implications for Basal Ganglia Models and Deep Brain Stimulatio"&amp;"n},
	journal = {Journal of Neuroscience}
}")</f>
        <v>@article{Haynes_2013,
	doi = {10.1523/jneurosci.4674-12.2013},
	url = {https://doi.org/10.1523%2Fjneurosci.4674-12.2013},
	year = 2013,
	month = {mar},
	publisher = {Society for Neuroscience},
	volume = {33},
	number = {11},
	pages = {4804--4814},
	author = {W. I. A. Haynes and S. N. Haber},
	title = {The Organization of Prefrontal-Subthalamic Inputs in Primates Provides an Anatomical Substrate for Both Functional Specificity and Integration: Implications for Basal Ganglia Models and Deep Brain Stimulation},
	journal = {Journal of Neuroscience}
}</v>
      </c>
      <c r="F145" s="42"/>
      <c r="G145" s="9" t="str">
        <f>IFERROR(__xludf.DUMMYFUNCTION("""COMPUTED_VALUE"""),"Article")</f>
        <v>Article</v>
      </c>
      <c r="H145" s="9" t="str">
        <f>IFERROR(__xludf.DUMMYFUNCTION("""COMPUTED_VALUE"""),"W. I. A. Haynes, S. N. Haber")</f>
        <v>W. I. A. Haynes, S. N. Haber</v>
      </c>
      <c r="I145" s="9" t="str">
        <f>IFERROR(__xludf.DUMMYFUNCTION("""COMPUTED_VALUE"""),"The Organization of Prefrontal-Subthalamic Inputs in Primates Provides an Anatomical Substrate for Both Functional Specificity and Integration: Implications for Basal Ganglia Models and Deep Brain Stimulation")</f>
        <v>The Organization of Prefrontal-Subthalamic Inputs in Primates Provides an Anatomical Substrate for Both Functional Specificity and Integration: Implications for Basal Ganglia Models and Deep Brain Stimulation</v>
      </c>
      <c r="J145" s="9" t="str">
        <f>IFERROR(__xludf.DUMMYFUNCTION("""COMPUTED_VALUE"""),"Journal of Neuroscience")</f>
        <v>Journal of Neuroscience</v>
      </c>
      <c r="K145" s="42"/>
      <c r="L145" s="42" t="str">
        <f>IFERROR(__xludf.DUMMYFUNCTION("""COMPUTED_VALUE"""),"Yuske Shibata")</f>
        <v>Yuske Shibata</v>
      </c>
      <c r="M145" s="42" t="str">
        <f>IFERROR(__xludf.DUMMYFUNCTION("""COMPUTED_VALUE"""),"YS21BgLoop")</f>
        <v>YS21BgLoop</v>
      </c>
      <c r="N145" s="42"/>
      <c r="O145" s="42"/>
      <c r="P145" s="9"/>
      <c r="Q145" s="9"/>
      <c r="R145" s="42"/>
      <c r="S145" s="42"/>
      <c r="T145" s="42"/>
      <c r="U145" s="42"/>
      <c r="V145" s="42"/>
      <c r="W145" s="42"/>
    </row>
    <row r="146">
      <c r="A146" s="9" t="str">
        <f>IFERROR(__xludf.DUMMYFUNCTION("""COMPUTED_VALUE"""),"Harris, 2015")</f>
        <v>Harris, 2015</v>
      </c>
      <c r="B146" s="31" t="str">
        <f>IFERROR(__xludf.DUMMYFUNCTION("""COMPUTED_VALUE"""),"DOC")</f>
        <v>DOC</v>
      </c>
      <c r="C146" s="31" t="str">
        <f>IFERROR(__xludf.DUMMYFUNCTION("""COMPUTED_VALUE"""),"BIB")</f>
        <v>BIB</v>
      </c>
      <c r="D146" s="42" t="str">
        <f>IFERROR(__xludf.DUMMYFUNCTION("""COMPUTED_VALUE"""),"10.1038/nn.3917")</f>
        <v>10.1038/nn.3917</v>
      </c>
      <c r="E146" s="103" t="str">
        <f>IFERROR(__xludf.DUMMYFUNCTION("""COMPUTED_VALUE"""),"@article{Harris_2015,
	doi = {10.1038/nn.3917},
	url = {https://doi.org/10.1038%2Fnn.3917},
	year = 2015,
	month = {jan},
	publisher = {Springer Science and Business Media {LLC}},
	volume = {18},
	number = {2},
	pages = {170--181},
	author = {Kenneth D Ha"&amp;"rris and Gordon M G Shepherd},
	title = {The neocortical circuit: themes and variations},
	journal = {Nature Neuroscience}
}")</f>
        <v>@article{Harris_2015,
	doi = {10.1038/nn.3917},
	url = {https://doi.org/10.1038%2Fnn.3917},
	year = 2015,
	month = {jan},
	publisher = {Springer Science and Business Media {LLC}},
	volume = {18},
	number = {2},
	pages = {170--181},
	author = {Kenneth D Harris and Gordon M G Shepherd},
	title = {The neocortical circuit: themes and variations},
	journal = {Nature Neuroscience}
}</v>
      </c>
      <c r="F146" s="42"/>
      <c r="G146" s="9" t="str">
        <f>IFERROR(__xludf.DUMMYFUNCTION("""COMPUTED_VALUE"""),"Article")</f>
        <v>Article</v>
      </c>
      <c r="H146" s="9" t="str">
        <f>IFERROR(__xludf.DUMMYFUNCTION("""COMPUTED_VALUE"""),"Kenneth D Harris, Gordon M G Shepherd")</f>
        <v>Kenneth D Harris, Gordon M G Shepherd</v>
      </c>
      <c r="I146" s="9" t="str">
        <f>IFERROR(__xludf.DUMMYFUNCTION("""COMPUTED_VALUE"""),"The neocortical circuit: themes and variations")</f>
        <v>The neocortical circuit: themes and variations</v>
      </c>
      <c r="J146" s="9" t="str">
        <f>IFERROR(__xludf.DUMMYFUNCTION("""COMPUTED_VALUE"""),"Nature Neuroscience")</f>
        <v>Nature Neuroscience</v>
      </c>
      <c r="K146" s="42"/>
      <c r="L146" s="42" t="str">
        <f>IFERROR(__xludf.DUMMYFUNCTION("""COMPUTED_VALUE"""),"Yuske Shibata")</f>
        <v>Yuske Shibata</v>
      </c>
      <c r="M146" s="42" t="str">
        <f>IFERROR(__xludf.DUMMYFUNCTION("""COMPUTED_VALUE"""),"YS21BgLoop")</f>
        <v>YS21BgLoop</v>
      </c>
      <c r="N146" s="42"/>
      <c r="O146" s="42"/>
      <c r="P146" s="9"/>
      <c r="Q146" s="9"/>
      <c r="R146" s="42"/>
      <c r="S146" s="42"/>
      <c r="T146" s="42"/>
      <c r="U146" s="42"/>
      <c r="V146" s="42"/>
      <c r="W146" s="42"/>
    </row>
    <row r="147">
      <c r="A147" s="9" t="str">
        <f>IFERROR(__xludf.DUMMYFUNCTION("""COMPUTED_VALUE"""),"Habas, 2019")</f>
        <v>Habas, 2019</v>
      </c>
      <c r="B147" s="31" t="str">
        <f>IFERROR(__xludf.DUMMYFUNCTION("""COMPUTED_VALUE"""),"DOC")</f>
        <v>DOC</v>
      </c>
      <c r="C147" s="31" t="str">
        <f>IFERROR(__xludf.DUMMYFUNCTION("""COMPUTED_VALUE"""),"BIB")</f>
        <v>BIB</v>
      </c>
      <c r="D147" s="42" t="str">
        <f>IFERROR(__xludf.DUMMYFUNCTION("""COMPUTED_VALUE"""),"10.1007/s12311-019-01019-3")</f>
        <v>10.1007/s12311-019-01019-3</v>
      </c>
      <c r="E147" s="103" t="str">
        <f>IFERROR(__xludf.DUMMYFUNCTION("""COMPUTED_VALUE"""),"@article{Habas_2019,
	doi = {10.1007/s12311-019-01019-3},
	url = {https://doi.org/10.1007%2Fs12311-019-01019-3},
	year = 2019,
	month = {mar},
	publisher = {Springer Science and Business Media {LLC}},
	author = {Christophe Habas and Mario Manto and Pierre"&amp;" Cabaraux},
	title = {The Cerebellar Thalamus},
	journal = {The Cerebellum}
}")</f>
        <v>@article{Habas_2019,
	doi = {10.1007/s12311-019-01019-3},
	url = {https://doi.org/10.1007%2Fs12311-019-01019-3},
	year = 2019,
	month = {mar},
	publisher = {Springer Science and Business Media {LLC}},
	author = {Christophe Habas and Mario Manto and Pierre Cabaraux},
	title = {The Cerebellar Thalamus},
	journal = {The Cerebellum}
}</v>
      </c>
      <c r="F147" s="42"/>
      <c r="G147" s="9" t="str">
        <f>IFERROR(__xludf.DUMMYFUNCTION("""COMPUTED_VALUE"""),"Article")</f>
        <v>Article</v>
      </c>
      <c r="H147" s="9" t="str">
        <f>IFERROR(__xludf.DUMMYFUNCTION("""COMPUTED_VALUE"""),"Christophe Habas, Mario Manto, Pierre Cabaraux")</f>
        <v>Christophe Habas, Mario Manto, Pierre Cabaraux</v>
      </c>
      <c r="I147" s="9" t="str">
        <f>IFERROR(__xludf.DUMMYFUNCTION("""COMPUTED_VALUE"""),"The Cerebellar Thalamus")</f>
        <v>The Cerebellar Thalamus</v>
      </c>
      <c r="J147" s="9" t="str">
        <f>IFERROR(__xludf.DUMMYFUNCTION("""COMPUTED_VALUE"""),"The Cerebellum")</f>
        <v>The Cerebellum</v>
      </c>
      <c r="K147" s="42"/>
      <c r="L147" s="42" t="str">
        <f>IFERROR(__xludf.DUMMYFUNCTION("""COMPUTED_VALUE"""),"Hiroshi Yamakawa")</f>
        <v>Hiroshi Yamakawa</v>
      </c>
      <c r="M147" s="42" t="str">
        <f>IFERROR(__xludf.DUMMYFUNCTION("""COMPUTED_VALUE"""),"HY20Cerebellum")</f>
        <v>HY20Cerebellum</v>
      </c>
      <c r="N147" s="42"/>
      <c r="O147" s="42"/>
      <c r="P147" s="9"/>
      <c r="Q147" s="9"/>
      <c r="R147" s="42"/>
      <c r="S147" s="42"/>
      <c r="T147" s="42"/>
      <c r="U147" s="42"/>
      <c r="V147" s="42"/>
      <c r="W147" s="42"/>
    </row>
    <row r="148">
      <c r="A148" s="9" t="str">
        <f>IFERROR(__xludf.DUMMYFUNCTION("""COMPUTED_VALUE"""),"Guo, 2020")</f>
        <v>Guo, 2020</v>
      </c>
      <c r="B148" s="31" t="str">
        <f>IFERROR(__xludf.DUMMYFUNCTION("""COMPUTED_VALUE"""),"DOC")</f>
        <v>DOC</v>
      </c>
      <c r="C148" s="31" t="str">
        <f>IFERROR(__xludf.DUMMYFUNCTION("""COMPUTED_VALUE"""),"BIB")</f>
        <v>BIB</v>
      </c>
      <c r="D148" s="42" t="str">
        <f>IFERROR(__xludf.DUMMYFUNCTION("""COMPUTED_VALUE"""),"10.1101/637447")</f>
        <v>10.1101/637447</v>
      </c>
      <c r="E148" s="103" t="str">
        <f>IFERROR(__xludf.DUMMYFUNCTION("""COMPUTED_VALUE"""),"@article{Guo_2020,
        doi = {10.1101/637447},
        url = {https://doi.org/10.1101%2F637447},
        year = 2020,
        month = {may},
        publisher = {Cold Spring Harbor Laboratory},
        author = {Jian-Zhong Guo and Britton Sauerbrei an"&amp;"d Jeremy D. Cohen and Matteo Mischiati and Austin Graves and Ferruccio Pisanello and Kristin Branson and Adam W. Hantman},
        title = {Dynamics of the Cortico-Cerebellar Loop Fine-Tune Dexterous Movement}
}")</f>
        <v>@article{Guo_2020,
        doi = {10.1101/637447},
        url = {https://doi.org/10.1101%2F637447},
        year = 2020,
        month = {may},
        publisher = {Cold Spring Harbor Laboratory},
        author = {Jian-Zhong Guo and Britton Sauerbrei and Jeremy D. Cohen and Matteo Mischiati and Austin Graves and Ferruccio Pisanello and Kristin Branson and Adam W. Hantman},
        title = {Dynamics of the Cortico-Cerebellar Loop Fine-Tune Dexterous Movement}
}</v>
      </c>
      <c r="F148" s="42"/>
      <c r="G148" s="9" t="str">
        <f>IFERROR(__xludf.DUMMYFUNCTION("""COMPUTED_VALUE"""),"Article")</f>
        <v>Article</v>
      </c>
      <c r="H148" s="9" t="str">
        <f>IFERROR(__xludf.DUMMYFUNCTION("""COMPUTED_VALUE"""),"Jian-Zhong Guo, Britton Sauerbrei, Jeremy D. Cohen, Matteo Mischiati, Austin Graves, Ferruccio Pisanello, Kristin Branson, Adam W. Hantman")</f>
        <v>Jian-Zhong Guo, Britton Sauerbrei, Jeremy D. Cohen, Matteo Mischiati, Austin Graves, Ferruccio Pisanello, Kristin Branson, Adam W. Hantman</v>
      </c>
      <c r="I148" s="9" t="str">
        <f>IFERROR(__xludf.DUMMYFUNCTION("""COMPUTED_VALUE"""),"Dynamics of the Cortico-Cerebellar Loop Fine-Tune Dexterous Movement")</f>
        <v>Dynamics of the Cortico-Cerebellar Loop Fine-Tune Dexterous Movement</v>
      </c>
      <c r="J148" s="9" t="str">
        <f>IFERROR(__xludf.DUMMYFUNCTION("""COMPUTED_VALUE"""),"-")</f>
        <v>-</v>
      </c>
      <c r="K148" s="42"/>
      <c r="L148" s="42" t="str">
        <f>IFERROR(__xludf.DUMMYFUNCTION("""COMPUTED_VALUE"""),"Hiroshi Yamakawa")</f>
        <v>Hiroshi Yamakawa</v>
      </c>
      <c r="M148" s="42" t="str">
        <f>IFERROR(__xludf.DUMMYFUNCTION("""COMPUTED_VALUE"""),"HY20Cerebellum")</f>
        <v>HY20Cerebellum</v>
      </c>
      <c r="N148" s="42"/>
      <c r="O148" s="42"/>
      <c r="P148" s="9"/>
      <c r="Q148" s="9"/>
      <c r="R148" s="42"/>
      <c r="S148" s="42"/>
      <c r="T148" s="42"/>
      <c r="U148" s="42"/>
      <c r="V148" s="42"/>
      <c r="W148" s="42"/>
    </row>
    <row r="149">
      <c r="A149" s="9" t="str">
        <f>IFERROR(__xludf.DUMMYFUNCTION("""COMPUTED_VALUE"""),"Gou, 2019")</f>
        <v>Gou, 2019</v>
      </c>
      <c r="B149" s="31" t="str">
        <f>IFERROR(__xludf.DUMMYFUNCTION("""COMPUTED_VALUE"""),"DOC")</f>
        <v>DOC</v>
      </c>
      <c r="C149" s="31" t="str">
        <f>IFERROR(__xludf.DUMMYFUNCTION("""COMPUTED_VALUE"""),"BIB")</f>
        <v>BIB</v>
      </c>
      <c r="D149" s="42" t="str">
        <f>IFERROR(__xludf.DUMMYFUNCTION("""COMPUTED_VALUE"""),"10.1101/681148")</f>
        <v>10.1101/681148</v>
      </c>
      <c r="E149" s="103" t="str">
        <f>IFERROR(__xludf.DUMMYFUNCTION("""COMPUTED_VALUE"""),"@article{Gou_2019,
	doi = {10.1101/681148},
	url = {https://doi.org/10.1101%2F681148},
	year = 2019,
	month = {jun},
	publisher = {Cold Spring Harbor Laboratory},
	author = {Gemma Gou and Adriana Roca-Fernandez and Murat Kilinc and Elena Serrano and Rita "&amp;"Reig-Viader and Yoichi Araki and Richard L. Huganir and Cristian de Quintana-Schmidt and Gavin Rumbaugh and {\`{A}}lex Bay{\'{e}}s},
	title = {{SynGAP} Splice Variants Display Heterogeneous Spatio-Temporal Expression And Subcellular Distribution In The De"&amp;"veloping Mammalian Brain}
}")</f>
        <v>@article{Gou_2019,
	doi = {10.1101/681148},
	url = {https://doi.org/10.1101%2F681148},
	year = 2019,
	month = {jun},
	publisher = {Cold Spring Harbor Laboratory},
	author = {Gemma Gou and Adriana Roca-Fernandez and Murat Kilinc and Elena Serrano and Rita Reig-Viader and Yoichi Araki and Richard L. Huganir and Cristian de Quintana-Schmidt and Gavin Rumbaugh and {\`{A}}lex Bay{\'{e}}s},
	title = {{SynGAP} Splice Variants Display Heterogeneous Spatio-Temporal Expression And Subcellular Distribution In The Developing Mammalian Brain}
}</v>
      </c>
      <c r="F149" s="42"/>
      <c r="G149" s="9" t="str">
        <f>IFERROR(__xludf.DUMMYFUNCTION("""COMPUTED_VALUE"""),"Article")</f>
        <v>Article</v>
      </c>
      <c r="H149" s="9" t="str">
        <f>IFERROR(__xludf.DUMMYFUNCTION("""COMPUTED_VALUE"""),"Gemma Gou, Adriana Roca-Fernandez, Murat Kilinc, Elena Serrano, Rita Reig-Viader, Yoichi Araki, Richard L. Huganir, Cristian de Quintana-Schmidt, Gavin Rumbaugh, {\`{A}}lex Bay{\'{e}}s")</f>
        <v>Gemma Gou, Adriana Roca-Fernandez, Murat Kilinc, Elena Serrano, Rita Reig-Viader, Yoichi Araki, Richard L. Huganir, Cristian de Quintana-Schmidt, Gavin Rumbaugh, {\`{A}}lex Bay{\'{e}}s</v>
      </c>
      <c r="I149" s="9" t="str">
        <f>IFERROR(__xludf.DUMMYFUNCTION("""COMPUTED_VALUE"""),"{SynGAP} Splice Variants Display Heterogeneous Spatio-Temporal Expression And Subcellular Distribution In The Developing Mammalian Brain")</f>
        <v>{SynGAP} Splice Variants Display Heterogeneous Spatio-Temporal Expression And Subcellular Distribution In The Developing Mammalian Brain</v>
      </c>
      <c r="J149" s="9" t="str">
        <f>IFERROR(__xludf.DUMMYFUNCTION("""COMPUTED_VALUE"""),"-")</f>
        <v>-</v>
      </c>
      <c r="K149" s="42"/>
      <c r="L149" s="42"/>
      <c r="M149" s="42"/>
      <c r="N149" s="42"/>
      <c r="O149" s="42"/>
      <c r="P149" s="9"/>
      <c r="Q149" s="9"/>
      <c r="R149" s="42"/>
      <c r="S149" s="42"/>
      <c r="T149" s="42"/>
      <c r="U149" s="42"/>
      <c r="V149" s="42"/>
      <c r="W149" s="42"/>
    </row>
    <row r="150">
      <c r="A150" s="9" t="str">
        <f>IFERROR(__xludf.DUMMYFUNCTION("""COMPUTED_VALUE"""),"Galvan, 2015")</f>
        <v>Galvan, 2015</v>
      </c>
      <c r="B150" s="31" t="str">
        <f>IFERROR(__xludf.DUMMYFUNCTION("""COMPUTED_VALUE"""),"DOC")</f>
        <v>DOC</v>
      </c>
      <c r="C150" s="31" t="str">
        <f>IFERROR(__xludf.DUMMYFUNCTION("""COMPUTED_VALUE"""),"BIB")</f>
        <v>BIB</v>
      </c>
      <c r="D150" s="42" t="str">
        <f>IFERROR(__xludf.DUMMYFUNCTION("""COMPUTED_VALUE"""),"10.3389/fnana.2015.00005")</f>
        <v>10.3389/fnana.2015.00005</v>
      </c>
      <c r="E150" s="103" t="str">
        <f>IFERROR(__xludf.DUMMYFUNCTION("""COMPUTED_VALUE"""),"@article{Galvan_2015,
        doi = {10.3389/fnana.2015.00005},
        url = {https://doi.org/10.3389%2Ffnana.2015.00005},
        year = 2015,
        month = {feb},
        publisher = {Frontiers Media {SA}},
        volume = {9},
        author = {Adr"&amp;"iana Galvan and Annaelle Devergnas and Thomas Wichmann},
        title = {Alterations in neuronal activity in basal ganglia-thalamocortical circuits in the parkinsonian state},
        journal = {Frontiers in Neuroanatomy}
}")</f>
        <v>@article{Galvan_2015,
        doi = {10.3389/fnana.2015.00005},
        url = {https://doi.org/10.3389%2Ffnana.2015.00005},
        year = 2015,
        month = {feb},
        publisher = {Frontiers Media {SA}},
        volume = {9},
        author = {Adriana Galvan and Annaelle Devergnas and Thomas Wichmann},
        title = {Alterations in neuronal activity in basal ganglia-thalamocortical circuits in the parkinsonian state},
        journal = {Frontiers in Neuroanatomy}
}</v>
      </c>
      <c r="F150" s="42"/>
      <c r="G150" s="9" t="str">
        <f>IFERROR(__xludf.DUMMYFUNCTION("""COMPUTED_VALUE"""),"Article")</f>
        <v>Article</v>
      </c>
      <c r="H150" s="9" t="str">
        <f>IFERROR(__xludf.DUMMYFUNCTION("""COMPUTED_VALUE"""),"Adriana Galvan, Annaelle Devergnas, Thomas Wichmann")</f>
        <v>Adriana Galvan, Annaelle Devergnas, Thomas Wichmann</v>
      </c>
      <c r="I150" s="9" t="str">
        <f>IFERROR(__xludf.DUMMYFUNCTION("""COMPUTED_VALUE"""),"Alterations in neuronal activity in basal ganglia-thalamocortical circuits in the parkinsonian state")</f>
        <v>Alterations in neuronal activity in basal ganglia-thalamocortical circuits in the parkinsonian state</v>
      </c>
      <c r="J150" s="9" t="str">
        <f>IFERROR(__xludf.DUMMYFUNCTION("""COMPUTED_VALUE"""),"Frontiers in Neuroanatomy")</f>
        <v>Frontiers in Neuroanatomy</v>
      </c>
      <c r="K150" s="135"/>
      <c r="L150" s="42" t="str">
        <f>IFERROR(__xludf.DUMMYFUNCTION("""COMPUTED_VALUE"""),"Yuske Shibata")</f>
        <v>Yuske Shibata</v>
      </c>
      <c r="M150" s="42" t="str">
        <f>IFERROR(__xludf.DUMMYFUNCTION("""COMPUTED_VALUE"""),"YS21BgLoop")</f>
        <v>YS21BgLoop</v>
      </c>
      <c r="N150" s="42"/>
      <c r="O150" s="42"/>
      <c r="P150" s="9"/>
      <c r="Q150" s="9"/>
      <c r="R150" s="42"/>
      <c r="S150" s="42"/>
      <c r="T150" s="42"/>
      <c r="U150" s="42"/>
      <c r="V150" s="42"/>
      <c r="W150" s="42"/>
    </row>
    <row r="151">
      <c r="A151" s="9" t="str">
        <f>IFERROR(__xludf.DUMMYFUNCTION("""COMPUTED_VALUE"""),"Fukawa, 2020")</f>
        <v>Fukawa, 2020</v>
      </c>
      <c r="B151" s="31" t="str">
        <f>IFERROR(__xludf.DUMMYFUNCTION("""COMPUTED_VALUE"""),"DOC")</f>
        <v>DOC</v>
      </c>
      <c r="C151" s="31" t="str">
        <f>IFERROR(__xludf.DUMMYFUNCTION("""COMPUTED_VALUE"""),"BIB")</f>
        <v>BIB</v>
      </c>
      <c r="D151" s="133" t="str">
        <f>IFERROR(__xludf.DUMMYFUNCTION("""COMPUTED_VALUE"""),"10.3390/brainsci10010028")</f>
        <v>10.3390/brainsci10010028</v>
      </c>
      <c r="E151" s="103" t="str">
        <f>IFERROR(__xludf.DUMMYFUNCTION("""COMPUTED_VALUE"""),"@article{Fukawa_2020,
	doi = {10.3390/brainsci10010028},
	url = {https://doi.org/10.3390%2Fbrainsci10010028},
	year = 2020,
	month = {jan},
	publisher = {{MDPI} {AG}},
	volume = {10},
	number = {1},
	pages = {28},
	author = {Ayako Fukawa and Takahiro Aiza"&amp;"wa and Hiroshi Yamakawa and Ikuko Eguchi Yairi},
	title = {Identifying Core Regions for Path Integration on Medial Entorhinal Cortex of Hippocampal Formation},
	journal = {Brain Sciences}
}")</f>
        <v>@article{Fukawa_2020,
	doi = {10.3390/brainsci10010028},
	url = {https://doi.org/10.3390%2Fbrainsci10010028},
	year = 2020,
	month = {jan},
	publisher = {{MDPI} {AG}},
	volume = {10},
	number = {1},
	pages = {28},
	author = {Ayako Fukawa and Takahiro Aizawa and Hiroshi Yamakawa and Ikuko Eguchi Yairi},
	title = {Identifying Core Regions for Path Integration on Medial Entorhinal Cortex of Hippocampal Formation},
	journal = {Brain Sciences}
}</v>
      </c>
      <c r="F151" s="42"/>
      <c r="G151" s="9" t="str">
        <f>IFERROR(__xludf.DUMMYFUNCTION("""COMPUTED_VALUE"""),"Article")</f>
        <v>Article</v>
      </c>
      <c r="H151" s="9" t="str">
        <f>IFERROR(__xludf.DUMMYFUNCTION("""COMPUTED_VALUE"""),"Ayako Fukawa, Takahiro Aizawa, Hiroshi Yamakawa, Ikuko Eguchi Yairi")</f>
        <v>Ayako Fukawa, Takahiro Aizawa, Hiroshi Yamakawa, Ikuko Eguchi Yairi</v>
      </c>
      <c r="I151" s="9" t="str">
        <f>IFERROR(__xludf.DUMMYFUNCTION("""COMPUTED_VALUE"""),"Identifying Core Regions for Path Integration on Medial Entorhinal Cortex of Hippocampal Formation")</f>
        <v>Identifying Core Regions for Path Integration on Medial Entorhinal Cortex of Hippocampal Formation</v>
      </c>
      <c r="J151" s="9" t="str">
        <f>IFERROR(__xludf.DUMMYFUNCTION("""COMPUTED_VALUE"""),"Brain Sciences")</f>
        <v>Brain Sciences</v>
      </c>
      <c r="K151" s="133" t="str">
        <f>IFERROR(__xludf.DUMMYFUNCTION("""COMPUTED_VALUE"""),"https://www.mdpi.com/2076-3425/10/1/28")</f>
        <v>https://www.mdpi.com/2076-3425/10/1/28</v>
      </c>
      <c r="L151" s="42" t="str">
        <f>IFERROR(__xludf.DUMMYFUNCTION("""COMPUTED_VALUE"""),"Ayako Fukawa")</f>
        <v>Ayako Fukawa</v>
      </c>
      <c r="M151" s="42" t="str">
        <f>IFERROR(__xludf.DUMMYFUNCTION("""COMPUTED_VALUE"""),"AT20HippocampalFormation")</f>
        <v>AT20HippocampalFormation</v>
      </c>
      <c r="N151" s="42"/>
      <c r="O151" s="42"/>
      <c r="P151" s="9"/>
      <c r="Q151" s="9"/>
      <c r="R151" s="42"/>
      <c r="S151" s="42"/>
      <c r="T151" s="42"/>
      <c r="U151" s="42"/>
      <c r="V151" s="42"/>
      <c r="W151" s="42"/>
    </row>
    <row r="152">
      <c r="A152" s="9" t="str">
        <f>IFERROR(__xludf.DUMMYFUNCTION("""COMPUTED_VALUE"""),"Fujita, 2020")</f>
        <v>Fujita, 2020</v>
      </c>
      <c r="B152" s="31" t="str">
        <f>IFERROR(__xludf.DUMMYFUNCTION("""COMPUTED_VALUE"""),"DOC")</f>
        <v>DOC</v>
      </c>
      <c r="C152" s="31" t="str">
        <f>IFERROR(__xludf.DUMMYFUNCTION("""COMPUTED_VALUE"""),"BIB")</f>
        <v>BIB</v>
      </c>
      <c r="D152" s="42" t="str">
        <f>IFERROR(__xludf.DUMMYFUNCTION("""COMPUTED_VALUE"""),"10.7554/eLife.58613")</f>
        <v>10.7554/eLife.58613</v>
      </c>
      <c r="E152" s="103" t="str">
        <f>IFERROR(__xludf.DUMMYFUNCTION("""COMPUTED_VALUE"""),"@article{Fujita_2020,
	doi = {10.7554/elife.58613},
	url = {https://doi.org/10.7554%2Felife.58613},
	year = 2020,
	month = {jul},
	publisher = {{eLife} Sciences Publications, Ltd},
	volume = {9},
	author = {Hirofumi Fujita and Takashi Kodama and Sascha du"&amp;" Lac},
	title = {Modular output circuits of the fastigial nucleus for diverse motor and nonmotor functions of the cerebellar vermis},
	journal = {{eLife}}
}")</f>
        <v>@article{Fujita_2020,
	doi = {10.7554/elife.58613},
	url = {https://doi.org/10.7554%2Felife.58613},
	year = 2020,
	month = {jul},
	publisher = {{eLife} Sciences Publications, Ltd},
	volume = {9},
	author = {Hirofumi Fujita and Takashi Kodama and Sascha du Lac},
	title = {Modular output circuits of the fastigial nucleus for diverse motor and nonmotor functions of the cerebellar vermis},
	journal = {{eLife}}
}</v>
      </c>
      <c r="F152" s="42"/>
      <c r="G152" s="9" t="str">
        <f>IFERROR(__xludf.DUMMYFUNCTION("""COMPUTED_VALUE"""),"Article")</f>
        <v>Article</v>
      </c>
      <c r="H152" s="9" t="str">
        <f>IFERROR(__xludf.DUMMYFUNCTION("""COMPUTED_VALUE"""),"Hirofumi Fujita, Takashi Kodama, Sascha du Lac")</f>
        <v>Hirofumi Fujita, Takashi Kodama, Sascha du Lac</v>
      </c>
      <c r="I152" s="9" t="str">
        <f>IFERROR(__xludf.DUMMYFUNCTION("""COMPUTED_VALUE"""),"Modular output circuits of the fastigial nucleus for diverse motor and nonmotor functions of the cerebellar vermis")</f>
        <v>Modular output circuits of the fastigial nucleus for diverse motor and nonmotor functions of the cerebellar vermis</v>
      </c>
      <c r="J152" s="9" t="str">
        <f>IFERROR(__xludf.DUMMYFUNCTION("""COMPUTED_VALUE"""),"{eLife}")</f>
        <v>{eLife}</v>
      </c>
      <c r="K152" s="42"/>
      <c r="L152" s="42" t="str">
        <f>IFERROR(__xludf.DUMMYFUNCTION("""COMPUTED_VALUE"""),"Yoshinasa Tawatsji")</f>
        <v>Yoshinasa Tawatsji</v>
      </c>
      <c r="M152" s="42" t="str">
        <f>IFERROR(__xludf.DUMMYFUNCTION("""COMPUTED_VALUE"""),"Oculomotor")</f>
        <v>Oculomotor</v>
      </c>
      <c r="N152" s="42"/>
      <c r="O152" s="42"/>
      <c r="P152" s="9"/>
      <c r="Q152" s="9"/>
      <c r="R152" s="42"/>
      <c r="S152" s="42"/>
      <c r="T152" s="42"/>
      <c r="U152" s="42"/>
      <c r="V152" s="42"/>
      <c r="W152" s="42"/>
    </row>
    <row r="153">
      <c r="A153" s="9" t="str">
        <f>IFERROR(__xludf.DUMMYFUNCTION("""COMPUTED_VALUE"""),"Frank, 2006")</f>
        <v>Frank, 2006</v>
      </c>
      <c r="B153" s="31" t="str">
        <f>IFERROR(__xludf.DUMMYFUNCTION("""COMPUTED_VALUE"""),"DOC")</f>
        <v>DOC</v>
      </c>
      <c r="C153" s="31" t="str">
        <f>IFERROR(__xludf.DUMMYFUNCTION("""COMPUTED_VALUE"""),"BIB")</f>
        <v>BIB</v>
      </c>
      <c r="D153" s="42" t="str">
        <f>IFERROR(__xludf.DUMMYFUNCTION("""COMPUTED_VALUE"""),"10.1016/j.neunet.2006.03.006")</f>
        <v>10.1016/j.neunet.2006.03.006</v>
      </c>
      <c r="E153" s="103" t="str">
        <f>IFERROR(__xludf.DUMMYFUNCTION("""COMPUTED_VALUE"""),"@article{Frank_2006,
	doi = {10.1016/j.neunet.2006.03.006},
	url = {https://doi.org/10.1016%2Fj.neunet.2006.03.006},
	year = 2006,
	month = {oct},
	publisher = {Elsevier {BV}},
	volume = {19},
	number = {8},
	pages = {1120--1136},
	author = {Michael J. Fr"&amp;"ank},
	title = {Hold your horses: A dynamic computational role for the subthalamic nucleus in decision making},
	journal = {Neural Networks}
}")</f>
        <v>@article{Frank_2006,
	doi = {10.1016/j.neunet.2006.03.006},
	url = {https://doi.org/10.1016%2Fj.neunet.2006.03.006},
	year = 2006,
	month = {oct},
	publisher = {Elsevier {BV}},
	volume = {19},
	number = {8},
	pages = {1120--1136},
	author = {Michael J. Frank},
	title = {Hold your horses: A dynamic computational role for the subthalamic nucleus in decision making},
	journal = {Neural Networks}
}</v>
      </c>
      <c r="F153" s="42"/>
      <c r="G153" s="9" t="str">
        <f>IFERROR(__xludf.DUMMYFUNCTION("""COMPUTED_VALUE"""),"Article")</f>
        <v>Article</v>
      </c>
      <c r="H153" s="9" t="str">
        <f>IFERROR(__xludf.DUMMYFUNCTION("""COMPUTED_VALUE"""),"Michael J. Frank")</f>
        <v>Michael J. Frank</v>
      </c>
      <c r="I153" s="9" t="str">
        <f>IFERROR(__xludf.DUMMYFUNCTION("""COMPUTED_VALUE"""),"Hold your horses: A dynamic computational role for the subthalamic nucleus in decision making")</f>
        <v>Hold your horses: A dynamic computational role for the subthalamic nucleus in decision making</v>
      </c>
      <c r="J153" s="9" t="str">
        <f>IFERROR(__xludf.DUMMYFUNCTION("""COMPUTED_VALUE"""),"Neural Networks")</f>
        <v>Neural Networks</v>
      </c>
      <c r="K153" s="135"/>
      <c r="L153" s="42"/>
      <c r="M153" s="42"/>
      <c r="N153" s="42"/>
      <c r="O153" s="42"/>
      <c r="P153" s="9"/>
      <c r="Q153" s="9"/>
      <c r="R153" s="42"/>
      <c r="S153" s="42"/>
      <c r="T153" s="42"/>
      <c r="U153" s="42"/>
      <c r="V153" s="42"/>
      <c r="W153" s="42"/>
    </row>
    <row r="154">
      <c r="A154" s="9" t="str">
        <f>IFERROR(__xludf.DUMMYFUNCTION("""COMPUTED_VALUE"""),"Fiore, 2015")</f>
        <v>Fiore, 2015</v>
      </c>
      <c r="B154" s="31" t="str">
        <f>IFERROR(__xludf.DUMMYFUNCTION("""COMPUTED_VALUE"""),"DOC")</f>
        <v>DOC</v>
      </c>
      <c r="C154" s="31" t="str">
        <f>IFERROR(__xludf.DUMMYFUNCTION("""COMPUTED_VALUE"""),"BIB")</f>
        <v>BIB</v>
      </c>
      <c r="D154" s="42" t="str">
        <f>IFERROR(__xludf.DUMMYFUNCTION("""COMPUTED_VALUE"""),"10.1098/rstb.2015.0053")</f>
        <v>10.1098/rstb.2015.0053</v>
      </c>
      <c r="E154" s="103" t="str">
        <f>IFERROR(__xludf.DUMMYFUNCTION("""COMPUTED_VALUE"""),"@article{Fiore_2015,
	doi = {10.1098/rstb.2015.0053},
	url = {https://doi.org/10.1098%2Frstb.2015.0053},
	year = 2015,
	month = {dec},
	publisher = {The Royal Society},
	volume = {370},
	number = {1684},
	pages = {20150053},
	author = {Vincenzo G. Fiore a"&amp;"nd Raymond J. Dolan and Nicholas J. Strausfeld and Frank Hirth},
	title = {Evolutionarily conserved mechanisms for the selection and maintenance of behavioural activity},
	journal = {Philosophical Transactions of the Royal Society B: Biological Sciences}
"&amp;"}")</f>
        <v>@article{Fiore_2015,
	doi = {10.1098/rstb.2015.0053},
	url = {https://doi.org/10.1098%2Frstb.2015.0053},
	year = 2015,
	month = {dec},
	publisher = {The Royal Society},
	volume = {370},
	number = {1684},
	pages = {20150053},
	author = {Vincenzo G. Fiore and Raymond J. Dolan and Nicholas J. Strausfeld and Frank Hirth},
	title = {Evolutionarily conserved mechanisms for the selection and maintenance of behavioural activity},
	journal = {Philosophical Transactions of the Royal Society B: Biological Sciences}
}</v>
      </c>
      <c r="F154" s="42"/>
      <c r="G154" s="9" t="str">
        <f>IFERROR(__xludf.DUMMYFUNCTION("""COMPUTED_VALUE"""),"Article")</f>
        <v>Article</v>
      </c>
      <c r="H154" s="9" t="str">
        <f>IFERROR(__xludf.DUMMYFUNCTION("""COMPUTED_VALUE"""),"Vincenzo G. Fiore, Raymond J. Dolan, Nicholas J. Strausfeld, Frank Hirth")</f>
        <v>Vincenzo G. Fiore, Raymond J. Dolan, Nicholas J. Strausfeld, Frank Hirth</v>
      </c>
      <c r="I154" s="9" t="str">
        <f>IFERROR(__xludf.DUMMYFUNCTION("""COMPUTED_VALUE"""),"Evolutionarily conserved mechanisms for the selection and maintenance of behavioural activity")</f>
        <v>Evolutionarily conserved mechanisms for the selection and maintenance of behavioural activity</v>
      </c>
      <c r="J154" s="9" t="str">
        <f>IFERROR(__xludf.DUMMYFUNCTION("""COMPUTED_VALUE"""),"Philosophical Transactions of the Royal Society B: Biological Sciences")</f>
        <v>Philosophical Transactions of the Royal Society B: Biological Sciences</v>
      </c>
      <c r="K154" s="42"/>
      <c r="L154" s="42" t="str">
        <f>IFERROR(__xludf.DUMMYFUNCTION("""COMPUTED_VALUE"""),"Yuske Shibata")</f>
        <v>Yuske Shibata</v>
      </c>
      <c r="M154" s="42" t="str">
        <f>IFERROR(__xludf.DUMMYFUNCTION("""COMPUTED_VALUE"""),"YS21BgLoop")</f>
        <v>YS21BgLoop</v>
      </c>
      <c r="N154" s="42"/>
      <c r="O154" s="42"/>
      <c r="P154" s="9"/>
      <c r="Q154" s="9"/>
      <c r="R154" s="42"/>
      <c r="S154" s="42"/>
      <c r="T154" s="42"/>
      <c r="U154" s="42"/>
      <c r="V154" s="42"/>
      <c r="W154" s="42"/>
    </row>
    <row r="155">
      <c r="A155" s="9" t="str">
        <f>IFERROR(__xludf.DUMMYFUNCTION("""COMPUTED_VALUE"""),"Fan, 2016")</f>
        <v>Fan, 2016</v>
      </c>
      <c r="B155" s="31" t="str">
        <f>IFERROR(__xludf.DUMMYFUNCTION("""COMPUTED_VALUE"""),"DOC")</f>
        <v>DOC</v>
      </c>
      <c r="C155" s="31" t="str">
        <f>IFERROR(__xludf.DUMMYFUNCTION("""COMPUTED_VALUE"""),"BIB")</f>
        <v>BIB</v>
      </c>
      <c r="D155" s="42" t="str">
        <f>IFERROR(__xludf.DUMMYFUNCTION("""COMPUTED_VALUE"""),"10.1093/cercor/bhw157")</f>
        <v>10.1093/cercor/bhw157</v>
      </c>
      <c r="E155" s="103" t="str">
        <f>IFERROR(__xludf.DUMMYFUNCTION("""COMPUTED_VALUE"""),"@article{Fan_2016,
	doi = {10.1093/cercor/bhw157},
	url = {https://doi.org/10.1093%2Fcercor%2Fbhw157},
	year = 2016,
	month = {may},
	publisher = {Oxford University Press ({OUP})},
	volume = {26},
	number = {8},
	pages = {3508--3526},
	author = {Lingzhong"&amp;" Fan and Hai Li and Junjie Zhuo and Yu Zhang and Jiaojian Wang and Liangfu Chen and Zhengyi Yang and Congying Chu and Sangma Xie and Angela R. Laird and Peter T. Fox and Simon B. Eickhoff and Chunshui Yu and Tianzi Jiang},
	title = {The Human Brainnetome "&amp;"Atlas: A New Brain Atlas Based on Connectional Architecture},
	journal = {Cerebral Cortex}
}")</f>
        <v>@article{Fan_2016,
	doi = {10.1093/cercor/bhw157},
	url = {https://doi.org/10.1093%2Fcercor%2Fbhw157},
	year = 2016,
	month = {may},
	publisher = {Oxford University Press ({OUP})},
	volume = {26},
	number = {8},
	pages = {3508--3526},
	author = {Lingzhong Fan and Hai Li and Junjie Zhuo and Yu Zhang and Jiaojian Wang and Liangfu Chen and Zhengyi Yang and Congying Chu and Sangma Xie and Angela R. Laird and Peter T. Fox and Simon B. Eickhoff and Chunshui Yu and Tianzi Jiang},
	title = {The Human Brainnetome Atlas: A New Brain Atlas Based on Connectional Architecture},
	journal = {Cerebral Cortex}
}</v>
      </c>
      <c r="F155" s="42" t="str">
        <f>IFERROR(__xludf.DUMMYFUNCTION("""COMPUTED_VALUE"""),"Data description")</f>
        <v>Data description</v>
      </c>
      <c r="G155" s="9" t="str">
        <f>IFERROR(__xludf.DUMMYFUNCTION("""COMPUTED_VALUE"""),"Article")</f>
        <v>Article</v>
      </c>
      <c r="H155" s="9" t="str">
        <f>IFERROR(__xludf.DUMMYFUNCTION("""COMPUTED_VALUE"""),"Lingzhong Fan, Hai Li, Junjie Zhuo, Yu Zhang, Jiaojian Wang, Liangfu Chen, Zhengyi Yang, Congying Chu, Sangma Xie, Angela R. Laird, Peter T. Fox, Simon B. Eickhoff, Chunshui Yu, Tianzi Jiang")</f>
        <v>Lingzhong Fan, Hai Li, Junjie Zhuo, Yu Zhang, Jiaojian Wang, Liangfu Chen, Zhengyi Yang, Congying Chu, Sangma Xie, Angela R. Laird, Peter T. Fox, Simon B. Eickhoff, Chunshui Yu, Tianzi Jiang</v>
      </c>
      <c r="I155" s="9" t="str">
        <f>IFERROR(__xludf.DUMMYFUNCTION("""COMPUTED_VALUE"""),"The Human Brainnetome Atlas: A New Brain Atlas Based on Connectional Architecture")</f>
        <v>The Human Brainnetome Atlas: A New Brain Atlas Based on Connectional Architecture</v>
      </c>
      <c r="J155" s="9" t="str">
        <f>IFERROR(__xludf.DUMMYFUNCTION("""COMPUTED_VALUE"""),"Cerebral Cortex")</f>
        <v>Cerebral Cortex</v>
      </c>
      <c r="K155" s="133" t="str">
        <f>IFERROR(__xludf.DUMMYFUNCTION("""COMPUTED_VALUE"""),"http://atlas.brainnetome.org/")</f>
        <v>http://atlas.brainnetome.org/</v>
      </c>
      <c r="L155" s="42" t="str">
        <f>IFERROR(__xludf.DUMMYFUNCTION("""COMPUTED_VALUE"""),"Hiroshi Yamakawa")</f>
        <v>Hiroshi Yamakawa</v>
      </c>
      <c r="M155" s="42" t="str">
        <f>IFERROR(__xludf.DUMMYFUNCTION("""COMPUTED_VALUE"""),"HY22DAA")</f>
        <v>HY22DAA</v>
      </c>
      <c r="N155" s="42"/>
      <c r="O155" s="42"/>
      <c r="P155" s="9"/>
      <c r="Q155" s="9"/>
      <c r="R155" s="42"/>
      <c r="S155" s="42"/>
      <c r="T155" s="42"/>
      <c r="U155" s="42"/>
      <c r="V155" s="42"/>
      <c r="W155" s="42"/>
    </row>
    <row r="156">
      <c r="A156" s="9" t="str">
        <f>IFERROR(__xludf.DUMMYFUNCTION("""COMPUTED_VALUE"""),"Economo, 2018")</f>
        <v>Economo, 2018</v>
      </c>
      <c r="B156" s="31" t="str">
        <f>IFERROR(__xludf.DUMMYFUNCTION("""COMPUTED_VALUE"""),"DOC")</f>
        <v>DOC</v>
      </c>
      <c r="C156" s="31" t="str">
        <f>IFERROR(__xludf.DUMMYFUNCTION("""COMPUTED_VALUE"""),"BIB")</f>
        <v>BIB</v>
      </c>
      <c r="D156" s="42" t="str">
        <f>IFERROR(__xludf.DUMMYFUNCTION("""COMPUTED_VALUE"""),"10.1038/s41586-018-0642-9")</f>
        <v>10.1038/s41586-018-0642-9</v>
      </c>
      <c r="E156" s="103" t="str">
        <f>IFERROR(__xludf.DUMMYFUNCTION("""COMPUTED_VALUE"""),"@article{Economo_2018,
	doi = {10.1038/s41586-018-0642-9},
	url = {https://doi.org/10.1038%2Fs41586-018-0642-9},
	year = 2018,
	month = {oct},
	publisher = {Springer Science and Business Media {LLC}},
	volume = {563},
	number = {7729},
	pages = {79--84},
"&amp;"	author = {Michael N. Economo and Sarada Viswanathan and Bosiljka Tasic and Erhan Bas and Johan Winnubst and Vilas Menon and Lucas T. Graybuck and Thuc Nghi Nguyen and Kimberly A. Smith and Zizhen Yao and Lihua Wang and Charles R. Gerfen and Jayaram Chand"&amp;"rashekar and Hongkui Zeng and Loren L. Looger and Karel Svoboda},
	title = {Distinct descending motor cortex pathways and their roles in movement},
	journal = {Nature}
}")</f>
        <v>@article{Economo_2018,
	doi = {10.1038/s41586-018-0642-9},
	url = {https://doi.org/10.1038%2Fs41586-018-0642-9},
	year = 2018,
	month = {oct},
	publisher = {Springer Science and Business Media {LLC}},
	volume = {563},
	number = {7729},
	pages = {79--84},
	author = {Michael N. Economo and Sarada Viswanathan and Bosiljka Tasic and Erhan Bas and Johan Winnubst and Vilas Menon and Lucas T. Graybuck and Thuc Nghi Nguyen and Kimberly A. Smith and Zizhen Yao and Lihua Wang and Charles R. Gerfen and Jayaram Chandrashekar and Hongkui Zeng and Loren L. Looger and Karel Svoboda},
	title = {Distinct descending motor cortex pathways and their roles in movement},
	journal = {Nature}
}</v>
      </c>
      <c r="F156" s="42"/>
      <c r="G156" s="9" t="str">
        <f>IFERROR(__xludf.DUMMYFUNCTION("""COMPUTED_VALUE"""),"Article")</f>
        <v>Article</v>
      </c>
      <c r="H156" s="9" t="str">
        <f>IFERROR(__xludf.DUMMYFUNCTION("""COMPUTED_VALUE"""),"Michael N. Economo, Sarada Viswanathan, Bosiljka Tasic, Erhan Bas, Johan Winnubst, Vilas Menon, Lucas T. Graybuck, Thuc Nghi Nguyen, Kimberly A. Smith, Zizhen Yao, Lihua Wang, Charles R. Gerfen, Jayaram Chandrashekar, Hongkui Zeng, Loren L. Looger, Karel "&amp;"Svoboda")</f>
        <v>Michael N. Economo, Sarada Viswanathan, Bosiljka Tasic, Erhan Bas, Johan Winnubst, Vilas Menon, Lucas T. Graybuck, Thuc Nghi Nguyen, Kimberly A. Smith, Zizhen Yao, Lihua Wang, Charles R. Gerfen, Jayaram Chandrashekar, Hongkui Zeng, Loren L. Looger, Karel Svoboda</v>
      </c>
      <c r="I156" s="9" t="str">
        <f>IFERROR(__xludf.DUMMYFUNCTION("""COMPUTED_VALUE"""),"Distinct descending motor cortex pathways and their roles in movement")</f>
        <v>Distinct descending motor cortex pathways and their roles in movement</v>
      </c>
      <c r="J156" s="9" t="str">
        <f>IFERROR(__xludf.DUMMYFUNCTION("""COMPUTED_VALUE"""),"Nature")</f>
        <v>Nature</v>
      </c>
      <c r="K156" s="42"/>
      <c r="L156" s="42" t="str">
        <f>IFERROR(__xludf.DUMMYFUNCTION("""COMPUTED_VALUE"""),"Hiroshi Yamakawa")</f>
        <v>Hiroshi Yamakawa</v>
      </c>
      <c r="M156" s="42" t="str">
        <f>IFERROR(__xludf.DUMMYFUNCTION("""COMPUTED_VALUE"""),"HY18NeocorticalInterareaSignals")</f>
        <v>HY18NeocorticalInterareaSignals</v>
      </c>
      <c r="N156" s="42"/>
      <c r="O156" s="42"/>
      <c r="P156" s="9"/>
      <c r="Q156" s="9"/>
      <c r="R156" s="42"/>
      <c r="S156" s="42"/>
      <c r="T156" s="42"/>
      <c r="U156" s="42"/>
      <c r="V156" s="42"/>
      <c r="W156" s="42"/>
    </row>
    <row r="157">
      <c r="A157" s="9" t="str">
        <f>IFERROR(__xludf.DUMMYFUNCTION("""COMPUTED_VALUE"""),"Doig, 2017")</f>
        <v>Doig, 2017</v>
      </c>
      <c r="B157" s="31" t="str">
        <f>IFERROR(__xludf.DUMMYFUNCTION("""COMPUTED_VALUE"""),"DOC")</f>
        <v>DOC</v>
      </c>
      <c r="C157" s="31" t="str">
        <f>IFERROR(__xludf.DUMMYFUNCTION("""COMPUTED_VALUE"""),"BIB")</f>
        <v>BIB</v>
      </c>
      <c r="D157" s="42" t="str">
        <f>IFERROR(__xludf.DUMMYFUNCTION("""COMPUTED_VALUE"""),"10.1093/med/9780190636111.003.0011")</f>
        <v>10.1093/med/9780190636111.003.0011</v>
      </c>
      <c r="E157" s="103" t="str">
        <f>IFERROR(__xludf.DUMMYFUNCTION("""COMPUTED_VALUE"""),"@incollection{Doig2017,
  doi = {10.1093/med/9780190636111.003.0011},
  url = {https://doi.org/10.1093/med/9780190636111.003.0011},
  year = {2017},
  month = dec,
  publisher = {Oxford University Press},
  pages = {121--132},
  author = {Natalie M"&amp;". Doig and J. Paul Bolam},
  editor = {Gordon M. Shepherd and Sten Grillner},
  title = {Microcircuits of the Striatum},
  booktitle = {Handbook of Brain Microcircuits}
}")</f>
        <v>@incollection{Doig2017,
  doi = {10.1093/med/9780190636111.003.0011},
  url = {https://doi.org/10.1093/med/9780190636111.003.0011},
  year = {2017},
  month = dec,
  publisher = {Oxford University Press},
  pages = {121--132},
  author = {Natalie M. Doig and J. Paul Bolam},
  editor = {Gordon M. Shepherd and Sten Grillner},
  title = {Microcircuits of the Striatum},
  booktitle = {Handbook of Brain Microcircuits}
}</v>
      </c>
      <c r="F157" s="42" t="str">
        <f>IFERROR(__xludf.DUMMYFUNCTION("""COMPUTED_VALUE"""),"Textbook")</f>
        <v>Textbook</v>
      </c>
      <c r="G157" s="9" t="str">
        <f>IFERROR(__xludf.DUMMYFUNCTION("""COMPUTED_VALUE"""),"Incollection")</f>
        <v>Incollection</v>
      </c>
      <c r="H157" s="9" t="str">
        <f>IFERROR(__xludf.DUMMYFUNCTION("""COMPUTED_VALUE"""),"Natalie M. Doig, J. Paul Bolam")</f>
        <v>Natalie M. Doig, J. Paul Bolam</v>
      </c>
      <c r="I157" s="9" t="str">
        <f>IFERROR(__xludf.DUMMYFUNCTION("""COMPUTED_VALUE"""),"Microcircuits of the Striatum")</f>
        <v>Microcircuits of the Striatum</v>
      </c>
      <c r="J157" s="9" t="str">
        <f>IFERROR(__xludf.DUMMYFUNCTION("""COMPUTED_VALUE"""),"Handbook of Brain Microcircuits")</f>
        <v>Handbook of Brain Microcircuits</v>
      </c>
      <c r="K157" s="42"/>
      <c r="L157" s="42"/>
      <c r="M157" s="42"/>
      <c r="N157" s="42"/>
      <c r="O157" s="42"/>
      <c r="P157" s="9"/>
      <c r="Q157" s="9"/>
      <c r="R157" s="42"/>
      <c r="S157" s="42"/>
      <c r="T157" s="42"/>
      <c r="U157" s="42"/>
      <c r="V157" s="42"/>
      <c r="W157" s="42"/>
    </row>
    <row r="158">
      <c r="A158" s="9" t="str">
        <f>IFERROR(__xludf.DUMMYFUNCTION("""COMPUTED_VALUE"""),"De Zeeuw, 2021")</f>
        <v>De Zeeuw, 2021</v>
      </c>
      <c r="B158" s="31" t="str">
        <f>IFERROR(__xludf.DUMMYFUNCTION("""COMPUTED_VALUE"""),"DOC")</f>
        <v>DOC</v>
      </c>
      <c r="C158" s="31" t="str">
        <f>IFERROR(__xludf.DUMMYFUNCTION("""COMPUTED_VALUE"""),"BIB")</f>
        <v>BIB</v>
      </c>
      <c r="D158" s="42" t="str">
        <f>IFERROR(__xludf.DUMMYFUNCTION("""COMPUTED_VALUE"""),"10.1038/s41593-020-00754-9")</f>
        <v>10.1038/s41593-020-00754-9</v>
      </c>
      <c r="E158" s="103" t="str">
        <f>IFERROR(__xludf.DUMMYFUNCTION("""COMPUTED_VALUE"""),"@article{De Zeeuw_2021,
        doi = {10.1038/s41593-020-00754-9},
        url = {https://doi.org/10.1038%2Fs41593-020-00754-9},
        year = 2021,
        month = {dec},
        publisher = {Springer Science and Business Media {LLC}},
        volume ="&amp;" {24},
        number = {2},
        pages = {160--167},
        author = {Chris I. De Zeeuw and Stephen G. Lisberger and Jennifer L. Raymond},
        title = {Diversity and dynamism in the cerebellum},
        journal = {Nature Neuroscience}
}")</f>
        <v>@article{De Zeeuw_2021,
        doi = {10.1038/s41593-020-00754-9},
        url = {https://doi.org/10.1038%2Fs41593-020-00754-9},
        year = 2021,
        month = {dec},
        publisher = {Springer Science and Business Media {LLC}},
        volume = {24},
        number = {2},
        pages = {160--167},
        author = {Chris I. De Zeeuw and Stephen G. Lisberger and Jennifer L. Raymond},
        title = {Diversity and dynamism in the cerebellum},
        journal = {Nature Neuroscience}
}</v>
      </c>
      <c r="F158" s="42"/>
      <c r="G158" s="9" t="str">
        <f>IFERROR(__xludf.DUMMYFUNCTION("""COMPUTED_VALUE"""),"Article")</f>
        <v>Article</v>
      </c>
      <c r="H158" s="9" t="str">
        <f>IFERROR(__xludf.DUMMYFUNCTION("""COMPUTED_VALUE"""),"Chris I. De Zeeuw, Stephen G. Lisberger, Jennifer L. Raymond")</f>
        <v>Chris I. De Zeeuw, Stephen G. Lisberger, Jennifer L. Raymond</v>
      </c>
      <c r="I158" s="9" t="str">
        <f>IFERROR(__xludf.DUMMYFUNCTION("""COMPUTED_VALUE"""),"Diversity and dynamism in the cerebellum")</f>
        <v>Diversity and dynamism in the cerebellum</v>
      </c>
      <c r="J158" s="9" t="str">
        <f>IFERROR(__xludf.DUMMYFUNCTION("""COMPUTED_VALUE"""),"Nature Neuroscience")</f>
        <v>Nature Neuroscience</v>
      </c>
      <c r="K158" s="42"/>
      <c r="L158" s="42" t="str">
        <f>IFERROR(__xludf.DUMMYFUNCTION("""COMPUTED_VALUE"""),"Hiroshi Yamakawa")</f>
        <v>Hiroshi Yamakawa</v>
      </c>
      <c r="M158" s="42" t="str">
        <f>IFERROR(__xludf.DUMMYFUNCTION("""COMPUTED_VALUE"""),"HY20Cerebellum")</f>
        <v>HY20Cerebellum</v>
      </c>
      <c r="N158" s="42"/>
      <c r="O158" s="42"/>
      <c r="P158" s="9"/>
      <c r="Q158" s="9"/>
      <c r="R158" s="42"/>
      <c r="S158" s="42"/>
      <c r="T158" s="42"/>
      <c r="U158" s="42"/>
      <c r="V158" s="42"/>
      <c r="W158" s="42"/>
    </row>
    <row r="159">
      <c r="A159" s="9" t="str">
        <f>IFERROR(__xludf.DUMMYFUNCTION("""COMPUTED_VALUE"""),"D’Angelo, 2013")</f>
        <v>D’Angelo, 2013</v>
      </c>
      <c r="B159" s="31" t="str">
        <f>IFERROR(__xludf.DUMMYFUNCTION("""COMPUTED_VALUE"""),"DOC")</f>
        <v>DOC</v>
      </c>
      <c r="C159" s="31" t="str">
        <f>IFERROR(__xludf.DUMMYFUNCTION("""COMPUTED_VALUE"""),"BIB")</f>
        <v>BIB</v>
      </c>
      <c r="D159" s="42" t="str">
        <f>IFERROR(__xludf.DUMMYFUNCTION("""COMPUTED_VALUE"""),"10.3389/fncir.2012.00116")</f>
        <v>10.3389/fncir.2012.00116</v>
      </c>
      <c r="E159" s="103" t="str">
        <f>IFERROR(__xludf.DUMMYFUNCTION("""COMPUTED_VALUE"""),"@article{D’Angelo_2013,
        doi = {10.3389/fncir.2012.00116},
        url = {https://doi.org/10.3389%2Ffncir.2012.00116},
        year = 2013,
        publisher = {Frontiers Media {SA}},
        volume = {6},
        author = {Egidio D’Angelo, and Ste"&amp;"fano Casali},
        title = {Seeking a unified framework for cerebellar function and dysfunction: from circuit operations to cognition},
        journal = {Frontiers in Neural Circuits}
}")</f>
        <v>@article{D’Angelo_2013,
        doi = {10.3389/fncir.2012.00116},
        url = {https://doi.org/10.3389%2Ffncir.2012.00116},
        year = 2013,
        publisher = {Frontiers Media {SA}},
        volume = {6},
        author = {Egidio D’Angelo, and Stefano Casali},
        title = {Seeking a unified framework for cerebellar function and dysfunction: from circuit operations to cognition},
        journal = {Frontiers in Neural Circuits}
}</v>
      </c>
      <c r="F159" s="42" t="str">
        <f>IFERROR(__xludf.DUMMYFUNCTION("""COMPUTED_VALUE"""),"Review")</f>
        <v>Review</v>
      </c>
      <c r="G159" s="9" t="str">
        <f>IFERROR(__xludf.DUMMYFUNCTION("""COMPUTED_VALUE"""),"Article")</f>
        <v>Article</v>
      </c>
      <c r="H159" s="9" t="str">
        <f>IFERROR(__xludf.DUMMYFUNCTION("""COMPUTED_VALUE"""),"Egidio D’Angelo,, Stefano Casali")</f>
        <v>Egidio D’Angelo,, Stefano Casali</v>
      </c>
      <c r="I159" s="9" t="str">
        <f>IFERROR(__xludf.DUMMYFUNCTION("""COMPUTED_VALUE"""),"Seeking a unified framework for cerebellar function and dysfunction: from circuit operations to cognition")</f>
        <v>Seeking a unified framework for cerebellar function and dysfunction: from circuit operations to cognition</v>
      </c>
      <c r="J159" s="9" t="str">
        <f>IFERROR(__xludf.DUMMYFUNCTION("""COMPUTED_VALUE"""),"Frontiers in Neural Circuits")</f>
        <v>Frontiers in Neural Circuits</v>
      </c>
      <c r="K159" s="42"/>
      <c r="L159" s="42" t="str">
        <f>IFERROR(__xludf.DUMMYFUNCTION("""COMPUTED_VALUE"""),"Yuske Shibata")</f>
        <v>Yuske Shibata</v>
      </c>
      <c r="M159" s="42" t="str">
        <f>IFERROR(__xludf.DUMMYFUNCTION("""COMPUTED_VALUE"""),"YS21BgLoop")</f>
        <v>YS21BgLoop</v>
      </c>
      <c r="N159" s="42"/>
      <c r="O159" s="42"/>
      <c r="P159" s="9"/>
      <c r="Q159" s="9"/>
      <c r="R159" s="42"/>
      <c r="S159" s="42"/>
      <c r="T159" s="42"/>
      <c r="U159" s="42"/>
      <c r="V159" s="42"/>
      <c r="W159" s="42"/>
    </row>
    <row r="160">
      <c r="A160" s="9" t="str">
        <f>IFERROR(__xludf.DUMMYFUNCTION("""COMPUTED_VALUE"""),"Crosson, 2013")</f>
        <v>Crosson, 2013</v>
      </c>
      <c r="B160" s="31" t="str">
        <f>IFERROR(__xludf.DUMMYFUNCTION("""COMPUTED_VALUE"""),"DOC")</f>
        <v>DOC</v>
      </c>
      <c r="C160" s="31" t="str">
        <f>IFERROR(__xludf.DUMMYFUNCTION("""COMPUTED_VALUE"""),"BIB")</f>
        <v>BIB</v>
      </c>
      <c r="D160" s="42" t="str">
        <f>IFERROR(__xludf.DUMMYFUNCTION("""COMPUTED_VALUE"""),"10.1016/j.bandl.2012.06.011")</f>
        <v>10.1016/j.bandl.2012.06.011</v>
      </c>
      <c r="E160" s="103" t="str">
        <f>IFERROR(__xludf.DUMMYFUNCTION("""COMPUTED_VALUE"""),"@article{Crosson_2013,
	doi = {10.1016/j.bandl.2012.06.011},
	url = {https://doi.org/10.1016%2Fj.bandl.2012.06.011},
	year = 2013,
	month = {jul},
	publisher = {Elsevier {BV}},
	volume = {126},
	number = {1},
	pages = {73--88},
	author = {Bruce Crosson},
"&amp;"	title = {Thalamic mechanisms in language: A reconsideration based on recent findings and concepts},
	journal = {Brain and Language}
}")</f>
        <v>@article{Crosson_2013,
	doi = {10.1016/j.bandl.2012.06.011},
	url = {https://doi.org/10.1016%2Fj.bandl.2012.06.011},
	year = 2013,
	month = {jul},
	publisher = {Elsevier {BV}},
	volume = {126},
	number = {1},
	pages = {73--88},
	author = {Bruce Crosson},
	title = {Thalamic mechanisms in language: A reconsideration based on recent findings and concepts},
	journal = {Brain and Language}
}</v>
      </c>
      <c r="F160" s="42"/>
      <c r="G160" s="9" t="str">
        <f>IFERROR(__xludf.DUMMYFUNCTION("""COMPUTED_VALUE"""),"Article")</f>
        <v>Article</v>
      </c>
      <c r="H160" s="9" t="str">
        <f>IFERROR(__xludf.DUMMYFUNCTION("""COMPUTED_VALUE"""),"Bruce Crosson")</f>
        <v>Bruce Crosson</v>
      </c>
      <c r="I160" s="9" t="str">
        <f>IFERROR(__xludf.DUMMYFUNCTION("""COMPUTED_VALUE"""),"Thalamic mechanisms in language: A reconsideration based on recent findings and concepts")</f>
        <v>Thalamic mechanisms in language: A reconsideration based on recent findings and concepts</v>
      </c>
      <c r="J160" s="9" t="str">
        <f>IFERROR(__xludf.DUMMYFUNCTION("""COMPUTED_VALUE"""),"Brain and Language")</f>
        <v>Brain and Language</v>
      </c>
      <c r="K160" s="42" t="str">
        <f>IFERROR(__xludf.DUMMYFUNCTION("""COMPUTED_VALUE"""),"Fig. 5")</f>
        <v>Fig. 5</v>
      </c>
      <c r="L160" s="42" t="str">
        <f>IFERROR(__xludf.DUMMYFUNCTION("""COMPUTED_VALUE"""),"Hiroshi Yamakawa")</f>
        <v>Hiroshi Yamakawa</v>
      </c>
      <c r="M160" s="42" t="str">
        <f>IFERROR(__xludf.DUMMYFUNCTION("""COMPUTED_VALUE"""),"HY18NeocorticalInterareaSignals")</f>
        <v>HY18NeocorticalInterareaSignals</v>
      </c>
      <c r="N160" s="42"/>
      <c r="O160" s="42"/>
      <c r="P160" s="9"/>
      <c r="Q160" s="9"/>
      <c r="R160" s="42"/>
      <c r="S160" s="42"/>
      <c r="T160" s="42"/>
      <c r="U160" s="42"/>
      <c r="V160" s="42"/>
      <c r="W160" s="42"/>
    </row>
    <row r="161">
      <c r="A161" s="9" t="str">
        <f>IFERROR(__xludf.DUMMYFUNCTION("""COMPUTED_VALUE"""),"Cromer, 2007")</f>
        <v>Cromer, 2007</v>
      </c>
      <c r="B161" s="31" t="str">
        <f>IFERROR(__xludf.DUMMYFUNCTION("""COMPUTED_VALUE"""),"DOC")</f>
        <v>DOC</v>
      </c>
      <c r="C161" s="31" t="str">
        <f>IFERROR(__xludf.DUMMYFUNCTION("""COMPUTED_VALUE"""),"BIB")</f>
        <v>BIB</v>
      </c>
      <c r="D161" s="42" t="str">
        <f>IFERROR(__xludf.DUMMYFUNCTION("""COMPUTED_VALUE"""),"10.1152/jn.00308.2007")</f>
        <v>10.1152/jn.00308.2007</v>
      </c>
      <c r="E161" s="103" t="str">
        <f>IFERROR(__xludf.DUMMYFUNCTION("""COMPUTED_VALUE"""),"@article{Cromer_2007,
	doi = {10.1152/jn.00308.2007},
	url = {https://doi.org/10.1152%2Fjn.00308.2007},
	year = 2007,
	month = {aug},
	publisher = {American Physiological Society},
	volume = {98},
	number = {2},
	pages = {835--850},
	author = {Jason A. Cr"&amp;"omer and David M. Waitzman},
	title = {Comparison of Saccade-Associated Neuronal Activity in the Primate Central Mesencephalic and Paramedian Pontine Reticular Formations},
	journal = {Journal of Neurophysiology}
}")</f>
        <v>@article{Cromer_2007,
	doi = {10.1152/jn.00308.2007},
	url = {https://doi.org/10.1152%2Fjn.00308.2007},
	year = 2007,
	month = {aug},
	publisher = {American Physiological Society},
	volume = {98},
	number = {2},
	pages = {835--850},
	author = {Jason A. Cromer and David M. Waitzman},
	title = {Comparison of Saccade-Associated Neuronal Activity in the Primate Central Mesencephalic and Paramedian Pontine Reticular Formations},
	journal = {Journal of Neurophysiology}
}</v>
      </c>
      <c r="F161" s="42"/>
      <c r="G161" s="9" t="str">
        <f>IFERROR(__xludf.DUMMYFUNCTION("""COMPUTED_VALUE"""),"Article")</f>
        <v>Article</v>
      </c>
      <c r="H161" s="9" t="str">
        <f>IFERROR(__xludf.DUMMYFUNCTION("""COMPUTED_VALUE"""),"Jason A. Cromer, David M. Waitzman")</f>
        <v>Jason A. Cromer, David M. Waitzman</v>
      </c>
      <c r="I161" s="9" t="str">
        <f>IFERROR(__xludf.DUMMYFUNCTION("""COMPUTED_VALUE"""),"Comparison of Saccade-Associated Neuronal Activity in the Primate Central Mesencephalic and Paramedian Pontine Reticular Formations")</f>
        <v>Comparison of Saccade-Associated Neuronal Activity in the Primate Central Mesencephalic and Paramedian Pontine Reticular Formations</v>
      </c>
      <c r="J161" s="9" t="str">
        <f>IFERROR(__xludf.DUMMYFUNCTION("""COMPUTED_VALUE"""),"Journal of Neurophysiology")</f>
        <v>Journal of Neurophysiology</v>
      </c>
      <c r="K161" s="42"/>
      <c r="L161" s="42" t="str">
        <f>IFERROR(__xludf.DUMMYFUNCTION("""COMPUTED_VALUE"""),"Yoshinasa Tawatsji")</f>
        <v>Yoshinasa Tawatsji</v>
      </c>
      <c r="M161" s="42" t="str">
        <f>IFERROR(__xludf.DUMMYFUNCTION("""COMPUTED_VALUE"""),"Oculomotor")</f>
        <v>Oculomotor</v>
      </c>
      <c r="N161" s="42"/>
      <c r="O161" s="42"/>
      <c r="P161" s="9"/>
      <c r="Q161" s="9"/>
      <c r="R161" s="42"/>
      <c r="S161" s="42"/>
      <c r="T161" s="42"/>
      <c r="U161" s="42"/>
      <c r="V161" s="42"/>
      <c r="W161" s="42"/>
    </row>
    <row r="162">
      <c r="A162" s="9" t="str">
        <f>IFERROR(__xludf.DUMMYFUNCTION("""COMPUTED_VALUE"""),"Crittenden, 2011")</f>
        <v>Crittenden, 2011</v>
      </c>
      <c r="B162" s="31" t="str">
        <f>IFERROR(__xludf.DUMMYFUNCTION("""COMPUTED_VALUE"""),"DOC")</f>
        <v>DOC</v>
      </c>
      <c r="C162" s="31" t="str">
        <f>IFERROR(__xludf.DUMMYFUNCTION("""COMPUTED_VALUE"""),"BIB")</f>
        <v>BIB</v>
      </c>
      <c r="D162" s="42" t="str">
        <f>IFERROR(__xludf.DUMMYFUNCTION("""COMPUTED_VALUE"""),"10.3389/fnana.2011.00059")</f>
        <v>10.3389/fnana.2011.00059</v>
      </c>
      <c r="E162" s="103" t="str">
        <f>IFERROR(__xludf.DUMMYFUNCTION("""COMPUTED_VALUE"""),"@article{Crittenden_2011,
	doi = {10.3389/fnana.2011.00059},
	url = {https://doi.org/10.3389%2Ffnana.2011.00059},
	year = 2011,
	publisher = {Frontiers Media {SA}},
	volume = {5},
	author = {Jill R. Crittenden and Ann M. Graybiel},
	title = {Basal Ganglia"&amp;" Disorders Associated with Imbalances in the Striatal Striosome and Matrix Compartments},
	journal = {Frontiers in Neuroanatomy}
}")</f>
        <v>@article{Crittenden_2011,
	doi = {10.3389/fnana.2011.00059},
	url = {https://doi.org/10.3389%2Ffnana.2011.00059},
	year = 2011,
	publisher = {Frontiers Media {SA}},
	volume = {5},
	author = {Jill R. Crittenden and Ann M. Graybiel},
	title = {Basal Ganglia Disorders Associated with Imbalances in the Striatal Striosome and Matrix Compartments},
	journal = {Frontiers in Neuroanatomy}
}</v>
      </c>
      <c r="F162" s="42"/>
      <c r="G162" s="9" t="str">
        <f>IFERROR(__xludf.DUMMYFUNCTION("""COMPUTED_VALUE"""),"Article")</f>
        <v>Article</v>
      </c>
      <c r="H162" s="9" t="str">
        <f>IFERROR(__xludf.DUMMYFUNCTION("""COMPUTED_VALUE"""),"Jill R. Crittenden, Ann M. Graybiel")</f>
        <v>Jill R. Crittenden, Ann M. Graybiel</v>
      </c>
      <c r="I162" s="9" t="str">
        <f>IFERROR(__xludf.DUMMYFUNCTION("""COMPUTED_VALUE"""),"Basal Ganglia Disorders Associated with Imbalances in the Striatal Striosome and Matrix Compartments")</f>
        <v>Basal Ganglia Disorders Associated with Imbalances in the Striatal Striosome and Matrix Compartments</v>
      </c>
      <c r="J162" s="9" t="str">
        <f>IFERROR(__xludf.DUMMYFUNCTION("""COMPUTED_VALUE"""),"Frontiers in Neuroanatomy")</f>
        <v>Frontiers in Neuroanatomy</v>
      </c>
      <c r="K162" s="42"/>
      <c r="L162" s="42" t="str">
        <f>IFERROR(__xludf.DUMMYFUNCTION("""COMPUTED_VALUE"""),"Yuske Shibata")</f>
        <v>Yuske Shibata</v>
      </c>
      <c r="M162" s="42" t="str">
        <f>IFERROR(__xludf.DUMMYFUNCTION("""COMPUTED_VALUE"""),"YS21BgLoop")</f>
        <v>YS21BgLoop</v>
      </c>
      <c r="N162" s="42"/>
      <c r="O162" s="42"/>
      <c r="P162" s="9"/>
      <c r="Q162" s="9"/>
      <c r="R162" s="42"/>
      <c r="S162" s="42"/>
      <c r="T162" s="42"/>
      <c r="U162" s="42"/>
      <c r="V162" s="42"/>
      <c r="W162" s="42"/>
    </row>
    <row r="163">
      <c r="A163" s="9" t="str">
        <f>IFERROR(__xludf.DUMMYFUNCTION("""COMPUTED_VALUE"""),"Crittenden, 2011")</f>
        <v>Crittenden, 2011</v>
      </c>
      <c r="B163" s="31" t="str">
        <f>IFERROR(__xludf.DUMMYFUNCTION("""COMPUTED_VALUE"""),"DOC")</f>
        <v>DOC</v>
      </c>
      <c r="C163" s="31" t="str">
        <f>IFERROR(__xludf.DUMMYFUNCTION("""COMPUTED_VALUE"""),"BIB")</f>
        <v>BIB</v>
      </c>
      <c r="D163" s="42" t="str">
        <f>IFERROR(__xludf.DUMMYFUNCTION("""COMPUTED_VALUE"""),"10.3389/fnana.2011.00059")</f>
        <v>10.3389/fnana.2011.00059</v>
      </c>
      <c r="E163" s="103" t="str">
        <f>IFERROR(__xludf.DUMMYFUNCTION("""COMPUTED_VALUE"""),"@article{Crittenden_2011,
	doi = {10.3389/fnana.2011.00059},
	url = {https://doi.org/10.3389%2Ffnana.2011.00059},
	year = 2011,
	publisher = {Frontiers Media {SA}},
	volume = {5},
	author = {Jill R. Crittenden and Ann M. Graybiel},
	title = {Basal Ganglia"&amp;" Disorders Associated with Imbalances in the Striatal Striosome and Matrix Compartments},
	journal = {Frontiers in Neuroanatomy}
}")</f>
        <v>@article{Crittenden_2011,
	doi = {10.3389/fnana.2011.00059},
	url = {https://doi.org/10.3389%2Ffnana.2011.00059},
	year = 2011,
	publisher = {Frontiers Media {SA}},
	volume = {5},
	author = {Jill R. Crittenden and Ann M. Graybiel},
	title = {Basal Ganglia Disorders Associated with Imbalances in the Striatal Striosome and Matrix Compartments},
	journal = {Frontiers in Neuroanatomy}
}</v>
      </c>
      <c r="F163" s="42"/>
      <c r="G163" s="9" t="str">
        <f>IFERROR(__xludf.DUMMYFUNCTION("""COMPUTED_VALUE"""),"Article")</f>
        <v>Article</v>
      </c>
      <c r="H163" s="9" t="str">
        <f>IFERROR(__xludf.DUMMYFUNCTION("""COMPUTED_VALUE"""),"Jill R. Crittenden, Ann M. Graybiel")</f>
        <v>Jill R. Crittenden, Ann M. Graybiel</v>
      </c>
      <c r="I163" s="9" t="str">
        <f>IFERROR(__xludf.DUMMYFUNCTION("""COMPUTED_VALUE"""),"Basal Ganglia Disorders Associated with Imbalances in the Striatal Striosome and Matrix Compartments")</f>
        <v>Basal Ganglia Disorders Associated with Imbalances in the Striatal Striosome and Matrix Compartments</v>
      </c>
      <c r="J163" s="9" t="str">
        <f>IFERROR(__xludf.DUMMYFUNCTION("""COMPUTED_VALUE"""),"Frontiers in Neuroanatomy")</f>
        <v>Frontiers in Neuroanatomy</v>
      </c>
      <c r="K163" s="42"/>
      <c r="L163" s="42"/>
      <c r="M163" s="42"/>
      <c r="N163" s="42"/>
      <c r="O163" s="42"/>
      <c r="P163" s="9"/>
      <c r="Q163" s="9"/>
      <c r="R163" s="42"/>
      <c r="S163" s="42"/>
      <c r="T163" s="42"/>
      <c r="U163" s="42"/>
      <c r="V163" s="42"/>
      <c r="W163" s="42"/>
    </row>
    <row r="164">
      <c r="A164" s="9" t="str">
        <f>IFERROR(__xludf.DUMMYFUNCTION("""COMPUTED_VALUE"""),"Coudé, 2018")</f>
        <v>Coudé, 2018</v>
      </c>
      <c r="B164" s="31" t="str">
        <f>IFERROR(__xludf.DUMMYFUNCTION("""COMPUTED_VALUE"""),"DOC")</f>
        <v>DOC</v>
      </c>
      <c r="C164" s="31" t="str">
        <f>IFERROR(__xludf.DUMMYFUNCTION("""COMPUTED_VALUE"""),"BIB")</f>
        <v>BIB</v>
      </c>
      <c r="D164" s="42" t="str">
        <f>IFERROR(__xludf.DUMMYFUNCTION("""COMPUTED_VALUE"""),"10.1007/s00429-018-1726-x")</f>
        <v>10.1007/s00429-018-1726-x</v>
      </c>
      <c r="E164" s="103" t="str">
        <f>IFERROR(__xludf.DUMMYFUNCTION("""COMPUTED_VALUE"""),"@article{Coudé2018,
  doi = {10.1007/s00429-018-1726-x},
  url = {https://doi.org/10.1007/s00429-018-1726-x},
  year = {2018},
  month = aug,
  publisher = {Springer Science and Business Media {LLC}},
  volume = {223},
  number = {9},
  pages = {3959--397"&amp;"3},
  author = {Dymka Coudé, and Andr{\'{e}} Parent and Martin Parent},
  title = {Single-axon tracing of the corticosubthalamic hyperdirect pathway in primates},
  journal = {Brain Structure and Function}
}")</f>
        <v>@article{Coudé2018,
  doi = {10.1007/s00429-018-1726-x},
  url = {https://doi.org/10.1007/s00429-018-1726-x},
  year = {2018},
  month = aug,
  publisher = {Springer Science and Business Media {LLC}},
  volume = {223},
  number = {9},
  pages = {3959--3973},
  author = {Dymka Coudé, and Andr{\'{e}} Parent and Martin Parent},
  title = {Single-axon tracing of the corticosubthalamic hyperdirect pathway in primates},
  journal = {Brain Structure and Function}
}</v>
      </c>
      <c r="F164" s="42" t="str">
        <f>IFERROR(__xludf.DUMMYFUNCTION("""COMPUTED_VALUE"""),"Experimental results")</f>
        <v>Experimental results</v>
      </c>
      <c r="G164" s="9" t="str">
        <f>IFERROR(__xludf.DUMMYFUNCTION("""COMPUTED_VALUE"""),"Article")</f>
        <v>Article</v>
      </c>
      <c r="H164" s="9" t="str">
        <f>IFERROR(__xludf.DUMMYFUNCTION("""COMPUTED_VALUE"""),"Dymka Coudé,, Andr{\'{e}} Parent, Martin Parent")</f>
        <v>Dymka Coudé,, Andr{\'{e}} Parent, Martin Parent</v>
      </c>
      <c r="I164" s="9" t="str">
        <f>IFERROR(__xludf.DUMMYFUNCTION("""COMPUTED_VALUE"""),"Single-axon tracing of the corticosubthalamic hyperdirect pathway in primates")</f>
        <v>Single-axon tracing of the corticosubthalamic hyperdirect pathway in primates</v>
      </c>
      <c r="J164" s="9" t="str">
        <f>IFERROR(__xludf.DUMMYFUNCTION("""COMPUTED_VALUE"""),"Brain Structure and Function")</f>
        <v>Brain Structure and Function</v>
      </c>
      <c r="K164" s="42"/>
      <c r="L164" s="42"/>
      <c r="M164" s="42"/>
      <c r="N164" s="42"/>
      <c r="O164" s="42"/>
      <c r="P164" s="9"/>
      <c r="Q164" s="9"/>
      <c r="R164" s="42"/>
      <c r="S164" s="42"/>
      <c r="T164" s="42"/>
      <c r="U164" s="42"/>
      <c r="V164" s="42"/>
      <c r="W164" s="42"/>
    </row>
    <row r="165">
      <c r="A165" s="9" t="str">
        <f>IFERROR(__xludf.DUMMYFUNCTION("""COMPUTED_VALUE"""),"Cohen, 1984")</f>
        <v>Cohen, 1984</v>
      </c>
      <c r="B165" s="31" t="str">
        <f>IFERROR(__xludf.DUMMYFUNCTION("""COMPUTED_VALUE"""),"DOC")</f>
        <v>DOC</v>
      </c>
      <c r="C165" s="31" t="str">
        <f>IFERROR(__xludf.DUMMYFUNCTION("""COMPUTED_VALUE"""),"BIB")</f>
        <v>BIB</v>
      </c>
      <c r="D165" s="42" t="str">
        <f>IFERROR(__xludf.DUMMYFUNCTION("""COMPUTED_VALUE"""),"10.1007/BF00231143")</f>
        <v>10.1007/BF00231143</v>
      </c>
      <c r="E165" s="103" t="str">
        <f>IFERROR(__xludf.DUMMYFUNCTION("""COMPUTED_VALUE"""),"@article{Cohen_1984,
        doi = {10.1007/bf00231143},
        url = {https://doi.org/10.1007%2Fbf00231143},
        year = 1984,
        publisher = {Springer Science and Business Media {LLC}},
        volume = {57},
        number = {1},
        autho"&amp;"r = {B. Cohen and J.A. Büttner-Ennever},
        title = {Projections from the superior colliculus to a region of the central mesencephalic reticular formation ({cMRF}) associated with horizontal saccadic eye movements},
        journal = {Experimental Br"&amp;"ain Research}
}")</f>
        <v>@article{Cohen_1984,
        doi = {10.1007/bf00231143},
        url = {https://doi.org/10.1007%2Fbf00231143},
        year = 1984,
        publisher = {Springer Science and Business Media {LLC}},
        volume = {57},
        number = {1},
        author = {B. Cohen and J.A. Büttner-Ennever},
        title = {Projections from the superior colliculus to a region of the central mesencephalic reticular formation ({cMRF}) associated with horizontal saccadic eye movements},
        journal = {Experimental Brain Research}
}</v>
      </c>
      <c r="F165" s="42"/>
      <c r="G165" s="9" t="str">
        <f>IFERROR(__xludf.DUMMYFUNCTION("""COMPUTED_VALUE"""),"Article")</f>
        <v>Article</v>
      </c>
      <c r="H165" s="9" t="str">
        <f>IFERROR(__xludf.DUMMYFUNCTION("""COMPUTED_VALUE"""),"B. Cohen, J.A. Büttner-Ennever")</f>
        <v>B. Cohen, J.A. Büttner-Ennever</v>
      </c>
      <c r="I165" s="9" t="str">
        <f>IFERROR(__xludf.DUMMYFUNCTION("""COMPUTED_VALUE"""),"Projections from the superior colliculus to a region of the central mesencephalic reticular formation ({cMRF}) associated with horizontal saccadic eye movements")</f>
        <v>Projections from the superior colliculus to a region of the central mesencephalic reticular formation ({cMRF}) associated with horizontal saccadic eye movements</v>
      </c>
      <c r="J165" s="9" t="str">
        <f>IFERROR(__xludf.DUMMYFUNCTION("""COMPUTED_VALUE"""),"Experimental Brain Research")</f>
        <v>Experimental Brain Research</v>
      </c>
      <c r="K165" s="133" t="str">
        <f>IFERROR(__xludf.DUMMYFUNCTION("""COMPUTED_VALUE"""),"https://link.springer.com/article/10.1007%2FBF00231143")</f>
        <v>https://link.springer.com/article/10.1007%2FBF00231143</v>
      </c>
      <c r="L165" s="42" t="str">
        <f>IFERROR(__xludf.DUMMYFUNCTION("""COMPUTED_VALUE"""),"Yoshinasa Tawatsji")</f>
        <v>Yoshinasa Tawatsji</v>
      </c>
      <c r="M165" s="42" t="str">
        <f>IFERROR(__xludf.DUMMYFUNCTION("""COMPUTED_VALUE"""),"Oculomotor")</f>
        <v>Oculomotor</v>
      </c>
      <c r="N165" s="42"/>
      <c r="O165" s="42"/>
      <c r="P165" s="9"/>
      <c r="Q165" s="9"/>
      <c r="R165" s="42"/>
      <c r="S165" s="42"/>
      <c r="T165" s="42"/>
      <c r="U165" s="42"/>
      <c r="V165" s="42"/>
      <c r="W165" s="42"/>
    </row>
    <row r="166">
      <c r="A166" s="9" t="str">
        <f>IFERROR(__xludf.DUMMYFUNCTION("""COMPUTED_VALUE"""),"Clascá, 2012")</f>
        <v>Clascá, 2012</v>
      </c>
      <c r="B166" s="31" t="str">
        <f>IFERROR(__xludf.DUMMYFUNCTION("""COMPUTED_VALUE"""),"DOC")</f>
        <v>DOC</v>
      </c>
      <c r="C166" s="31" t="str">
        <f>IFERROR(__xludf.DUMMYFUNCTION("""COMPUTED_VALUE"""),"BIB")</f>
        <v>BIB</v>
      </c>
      <c r="D166" s="42" t="str">
        <f>IFERROR(__xludf.DUMMYFUNCTION("""COMPUTED_VALUE"""),"10.1111/j.1460-9568.2012.08033.x")</f>
        <v>10.1111/j.1460-9568.2012.08033.x</v>
      </c>
      <c r="E166" s="103" t="str">
        <f>IFERROR(__xludf.DUMMYFUNCTION("""COMPUTED_VALUE"""),"@article{Clascá_2012,
        doi = {10.1111/j.1460-9568.2012.08033.x},
        url = {https://doi.org/10.1111%2Fj.1460-9568.2012.08033.x},
        year = 2012,
        month = {may},
        publisher = {Wiley},
        volume = {35},
        number = {1"&amp;"0},
        pages = {1524--1532},
        author = {Francisco Clascá  and Pablo Rubio-Garrido and Denis Jabaudon},
        title = {Unveiling the diversity of thalamocortical neuron subtypes},
        journal = {European Journal of Neuroscience}
}")</f>
        <v>@article{Clascá_2012,
        doi = {10.1111/j.1460-9568.2012.08033.x},
        url = {https://doi.org/10.1111%2Fj.1460-9568.2012.08033.x},
        year = 2012,
        month = {may},
        publisher = {Wiley},
        volume = {35},
        number = {10},
        pages = {1524--1532},
        author = {Francisco Clascá  and Pablo Rubio-Garrido and Denis Jabaudon},
        title = {Unveiling the diversity of thalamocortical neuron subtypes},
        journal = {European Journal of Neuroscience}
}</v>
      </c>
      <c r="F166" s="42"/>
      <c r="G166" s="9" t="str">
        <f>IFERROR(__xludf.DUMMYFUNCTION("""COMPUTED_VALUE"""),"Article")</f>
        <v>Article</v>
      </c>
      <c r="H166" s="9" t="str">
        <f>IFERROR(__xludf.DUMMYFUNCTION("""COMPUTED_VALUE"""),"Francisco Clascá , Pablo Rubio-Garrido, Denis Jabaudon")</f>
        <v>Francisco Clascá , Pablo Rubio-Garrido, Denis Jabaudon</v>
      </c>
      <c r="I166" s="9" t="str">
        <f>IFERROR(__xludf.DUMMYFUNCTION("""COMPUTED_VALUE"""),"Unveiling the diversity of thalamocortical neuron subtypes")</f>
        <v>Unveiling the diversity of thalamocortical neuron subtypes</v>
      </c>
      <c r="J166" s="9" t="str">
        <f>IFERROR(__xludf.DUMMYFUNCTION("""COMPUTED_VALUE"""),"European Journal of Neuroscience")</f>
        <v>European Journal of Neuroscience</v>
      </c>
      <c r="K166" s="42"/>
      <c r="L166" s="42" t="str">
        <f>IFERROR(__xludf.DUMMYFUNCTION("""COMPUTED_VALUE"""),"Hiroshi Yamakawa")</f>
        <v>Hiroshi Yamakawa</v>
      </c>
      <c r="M166" s="42" t="str">
        <f>IFERROR(__xludf.DUMMYFUNCTION("""COMPUTED_VALUE"""),"HY18NeocorticalInterareaSignals")</f>
        <v>HY18NeocorticalInterareaSignals</v>
      </c>
      <c r="N166" s="42"/>
      <c r="O166" s="42"/>
      <c r="P166" s="9"/>
      <c r="Q166" s="9"/>
      <c r="R166" s="42"/>
      <c r="S166" s="42"/>
      <c r="T166" s="42"/>
      <c r="U166" s="42"/>
      <c r="V166" s="42"/>
      <c r="W166" s="42"/>
    </row>
    <row r="167">
      <c r="A167" s="9" t="str">
        <f>IFERROR(__xludf.DUMMYFUNCTION("""COMPUTED_VALUE"""),"Chiang, 2019")</f>
        <v>Chiang, 2019</v>
      </c>
      <c r="B167" s="31" t="str">
        <f>IFERROR(__xludf.DUMMYFUNCTION("""COMPUTED_VALUE"""),"DOC")</f>
        <v>DOC</v>
      </c>
      <c r="C167" s="31" t="str">
        <f>IFERROR(__xludf.DUMMYFUNCTION("""COMPUTED_VALUE"""),"BIB")</f>
        <v>BIB</v>
      </c>
      <c r="D167" s="42" t="str">
        <f>IFERROR(__xludf.DUMMYFUNCTION("""COMPUTED_VALUE"""),"10.1523/JNEUROSCI.1162-19.2019")</f>
        <v>10.1523/JNEUROSCI.1162-19.2019</v>
      </c>
      <c r="E167" s="103" t="str">
        <f>IFERROR(__xludf.DUMMYFUNCTION("""COMPUTED_VALUE"""),"@article{Chiang_2019,
	doi = {10.1523/jneurosci.1162-19.2019},
	url = {https://doi.org/10.1523%2Fjneurosci.1162-19.2019},
	year = 2019,
	month = {oct},
	publisher = {Society for Neuroscience},
	volume = {39},
	number = {42},
	pages = {8225--8230},
	author"&amp;" = {Michael C. Chiang and Anna Bowen and Lindsey A. Schier and Domenico Tupone and Olivia Uddin and Mary M. Heinricher},
	title = {Parabrachial Complex: A Hub for Pain and Aversion},
	journal = {The Journal of Neuroscience}
}")</f>
        <v>@article{Chiang_2019,
	doi = {10.1523/jneurosci.1162-19.2019},
	url = {https://doi.org/10.1523%2Fjneurosci.1162-19.2019},
	year = 2019,
	month = {oct},
	publisher = {Society for Neuroscience},
	volume = {39},
	number = {42},
	pages = {8225--8230},
	author = {Michael C. Chiang and Anna Bowen and Lindsey A. Schier and Domenico Tupone and Olivia Uddin and Mary M. Heinricher},
	title = {Parabrachial Complex: A Hub for Pain and Aversion},
	journal = {The Journal of Neuroscience}
}</v>
      </c>
      <c r="F167" s="42"/>
      <c r="G167" s="9" t="str">
        <f>IFERROR(__xludf.DUMMYFUNCTION("""COMPUTED_VALUE"""),"Article")</f>
        <v>Article</v>
      </c>
      <c r="H167" s="9" t="str">
        <f>IFERROR(__xludf.DUMMYFUNCTION("""COMPUTED_VALUE"""),"Michael C. Chiang, Anna Bowen, Lindsey A. Schier, Domenico Tupone, Olivia Uddin, Mary M. Heinricher")</f>
        <v>Michael C. Chiang, Anna Bowen, Lindsey A. Schier, Domenico Tupone, Olivia Uddin, Mary M. Heinricher</v>
      </c>
      <c r="I167" s="9" t="str">
        <f>IFERROR(__xludf.DUMMYFUNCTION("""COMPUTED_VALUE"""),"Parabrachial Complex: A Hub for Pain and Aversion")</f>
        <v>Parabrachial Complex: A Hub for Pain and Aversion</v>
      </c>
      <c r="J167" s="9" t="str">
        <f>IFERROR(__xludf.DUMMYFUNCTION("""COMPUTED_VALUE"""),"The Journal of Neuroscience")</f>
        <v>The Journal of Neuroscience</v>
      </c>
      <c r="K167" s="42"/>
      <c r="L167" s="42" t="str">
        <f>IFERROR(__xludf.DUMMYFUNCTION("""COMPUTED_VALUE"""),"Tatsuya Miyamoto")</f>
        <v>Tatsuya Miyamoto</v>
      </c>
      <c r="M167" s="42" t="str">
        <f>IFERROR(__xludf.DUMMYFUNCTION("""COMPUTED_VALUE"""),"TM21Amygdala")</f>
        <v>TM21Amygdala</v>
      </c>
      <c r="N167" s="42"/>
      <c r="O167" s="42"/>
      <c r="P167" s="9"/>
      <c r="Q167" s="9"/>
      <c r="R167" s="42"/>
      <c r="S167" s="42"/>
      <c r="T167" s="42"/>
      <c r="U167" s="42"/>
      <c r="V167" s="42"/>
      <c r="W167" s="42"/>
    </row>
    <row r="168">
      <c r="A168" s="9" t="str">
        <f>IFERROR(__xludf.DUMMYFUNCTION("""COMPUTED_VALUE"""),"Chevaleyre, 2010")</f>
        <v>Chevaleyre, 2010</v>
      </c>
      <c r="B168" s="31" t="str">
        <f>IFERROR(__xludf.DUMMYFUNCTION("""COMPUTED_VALUE"""),"DOC")</f>
        <v>DOC</v>
      </c>
      <c r="C168" s="31" t="str">
        <f>IFERROR(__xludf.DUMMYFUNCTION("""COMPUTED_VALUE"""),"BIB")</f>
        <v>BIB</v>
      </c>
      <c r="D168" s="42" t="str">
        <f>IFERROR(__xludf.DUMMYFUNCTION("""COMPUTED_VALUE"""),"10.1016/j.neuron.2010.04.013")</f>
        <v>10.1016/j.neuron.2010.04.013</v>
      </c>
      <c r="E168" s="103" t="str">
        <f>IFERROR(__xludf.DUMMYFUNCTION("""COMPUTED_VALUE"""),"@article{Chevaleyre_2010,
	doi = {10.1016/j.neuron.2010.04.013},
	url = {https://doi.org/10.1016%2Fj.neuron.2010.04.013},
	year = 2010,
	month = {may},
	publisher = {Elsevier {BV}},
	volume = {66},
	number = {4},
	pages = {560--572},
	author = {Vivien Che"&amp;"valeyre and Steven A. Siegelbaum},
	title = {Strong {CA}2 Pyramidal Neuron Synapses Define a Powerful Disynaptic Cortico-Hippocampal Loop},
	journal = {Neuron}
}")</f>
        <v>@article{Chevaleyre_2010,
	doi = {10.1016/j.neuron.2010.04.013},
	url = {https://doi.org/10.1016%2Fj.neuron.2010.04.013},
	year = 2010,
	month = {may},
	publisher = {Elsevier {BV}},
	volume = {66},
	number = {4},
	pages = {560--572},
	author = {Vivien Chevaleyre and Steven A. Siegelbaum},
	title = {Strong {CA}2 Pyramidal Neuron Synapses Define a Powerful Disynaptic Cortico-Hippocampal Loop},
	journal = {Neuron}
}</v>
      </c>
      <c r="F168" s="42" t="str">
        <f>IFERROR(__xludf.DUMMYFUNCTION("""COMPUTED_VALUE"""),"Experimental results")</f>
        <v>Experimental results</v>
      </c>
      <c r="G168" s="9" t="str">
        <f>IFERROR(__xludf.DUMMYFUNCTION("""COMPUTED_VALUE"""),"Article")</f>
        <v>Article</v>
      </c>
      <c r="H168" s="9" t="str">
        <f>IFERROR(__xludf.DUMMYFUNCTION("""COMPUTED_VALUE"""),"Vivien Chevaleyre, Steven A. Siegelbaum")</f>
        <v>Vivien Chevaleyre, Steven A. Siegelbaum</v>
      </c>
      <c r="I168" s="9" t="str">
        <f>IFERROR(__xludf.DUMMYFUNCTION("""COMPUTED_VALUE"""),"Strong {CA}2 Pyramidal Neuron Synapses Define a Powerful Disynaptic Cortico-Hippocampal Loop")</f>
        <v>Strong {CA}2 Pyramidal Neuron Synapses Define a Powerful Disynaptic Cortico-Hippocampal Loop</v>
      </c>
      <c r="J168" s="9" t="str">
        <f>IFERROR(__xludf.DUMMYFUNCTION("""COMPUTED_VALUE"""),"Neuron")</f>
        <v>Neuron</v>
      </c>
      <c r="K168" s="42"/>
      <c r="L168" s="42" t="str">
        <f>IFERROR(__xludf.DUMMYFUNCTION("""COMPUTED_VALUE"""),"Yuske Shibata")</f>
        <v>Yuske Shibata</v>
      </c>
      <c r="M168" s="42" t="str">
        <f>IFERROR(__xludf.DUMMYFUNCTION("""COMPUTED_VALUE"""),"YS21CredibilityCheck")</f>
        <v>YS21CredibilityCheck</v>
      </c>
      <c r="N168" s="42"/>
      <c r="O168" s="42"/>
      <c r="P168" s="9"/>
      <c r="Q168" s="9"/>
      <c r="R168" s="42"/>
      <c r="S168" s="42"/>
      <c r="T168" s="42"/>
      <c r="U168" s="42"/>
      <c r="V168" s="42"/>
      <c r="W168" s="42"/>
    </row>
    <row r="169">
      <c r="A169" s="9" t="str">
        <f>IFERROR(__xludf.DUMMYFUNCTION("""COMPUTED_VALUE"""),"Carcaud, 2017")</f>
        <v>Carcaud, 2017</v>
      </c>
      <c r="B169" s="31" t="str">
        <f>IFERROR(__xludf.DUMMYFUNCTION("""COMPUTED_VALUE"""),"DOC")</f>
        <v>DOC</v>
      </c>
      <c r="C169" s="31" t="str">
        <f>IFERROR(__xludf.DUMMYFUNCTION("""COMPUTED_VALUE"""),"BIB")</f>
        <v>BIB</v>
      </c>
      <c r="D169" s="42" t="str">
        <f>IFERROR(__xludf.DUMMYFUNCTION("""COMPUTED_VALUE"""),"10.1523/ENEURO.0290-16.2017")</f>
        <v>10.1523/ENEURO.0290-16.2017</v>
      </c>
      <c r="E169" s="103" t="str">
        <f>IFERROR(__xludf.DUMMYFUNCTION("""COMPUTED_VALUE"""),"@article{Carcaud_2017,
	doi = {10.1523/eneuro.0290-16.2017},
	url = {https://doi.org/10.1523%2Feneuro.0290-16.2017},
	year = 2017,
	month = {jan},
	publisher = {Society for Neuroscience},
	volume = {4},
	number = {1},
	pages = {ENEURO.0290--16.2017},
	aut"&amp;"hor = {Julie Carcaud and Filipa Fran{\c{c}}a de Barros and Erwin Idoux and Daniel Eug{\`{e}}ne and Lionel Reveret and Lee E. Moore and Pierre-Paul Vidal and Mathieu Beraneck},
	title = {Long-Lasting Visuo-Vestibular Mismatch in Freely-Behaving Mice Reduce"&amp;"s the Vestibulo-Ocular Reflex and Leads to Neural Changes in the Direct Vestibular Pathway},
	journal = {eneuro}
}")</f>
        <v>@article{Carcaud_2017,
	doi = {10.1523/eneuro.0290-16.2017},
	url = {https://doi.org/10.1523%2Feneuro.0290-16.2017},
	year = 2017,
	month = {jan},
	publisher = {Society for Neuroscience},
	volume = {4},
	number = {1},
	pages = {ENEURO.0290--16.2017},
	author = {Julie Carcaud and Filipa Fran{\c{c}}a de Barros and Erwin Idoux and Daniel Eug{\`{e}}ne and Lionel Reveret and Lee E. Moore and Pierre-Paul Vidal and Mathieu Beraneck},
	title = {Long-Lasting Visuo-Vestibular Mismatch in Freely-Behaving Mice Reduces the Vestibulo-Ocular Reflex and Leads to Neural Changes in the Direct Vestibular Pathway},
	journal = {eneuro}
}</v>
      </c>
      <c r="F169" s="42"/>
      <c r="G169" s="9" t="str">
        <f>IFERROR(__xludf.DUMMYFUNCTION("""COMPUTED_VALUE"""),"Article")</f>
        <v>Article</v>
      </c>
      <c r="H169" s="9" t="str">
        <f>IFERROR(__xludf.DUMMYFUNCTION("""COMPUTED_VALUE"""),"Julie Carcaud, Filipa Fran{\c{c}}a de Barros, Erwin Idoux, Daniel Eug{\`{e}}ne, Lionel Reveret, Lee E. Moore, Pierre-Paul Vidal, Mathieu Beraneck")</f>
        <v>Julie Carcaud, Filipa Fran{\c{c}}a de Barros, Erwin Idoux, Daniel Eug{\`{e}}ne, Lionel Reveret, Lee E. Moore, Pierre-Paul Vidal, Mathieu Beraneck</v>
      </c>
      <c r="I169" s="9" t="str">
        <f>IFERROR(__xludf.DUMMYFUNCTION("""COMPUTED_VALUE"""),"Long-Lasting Visuo-Vestibular Mismatch in Freely-Behaving Mice Reduces the Vestibulo-Ocular Reflex and Leads to Neural Changes in the Direct Vestibular Pathway")</f>
        <v>Long-Lasting Visuo-Vestibular Mismatch in Freely-Behaving Mice Reduces the Vestibulo-Ocular Reflex and Leads to Neural Changes in the Direct Vestibular Pathway</v>
      </c>
      <c r="J169" s="9" t="str">
        <f>IFERROR(__xludf.DUMMYFUNCTION("""COMPUTED_VALUE"""),"eneuro")</f>
        <v>eneuro</v>
      </c>
      <c r="K169" s="42"/>
      <c r="L169" s="42" t="str">
        <f>IFERROR(__xludf.DUMMYFUNCTION("""COMPUTED_VALUE"""),"Hiroshi Yamakawa")</f>
        <v>Hiroshi Yamakawa</v>
      </c>
      <c r="M169" s="42" t="str">
        <f>IFERROR(__xludf.DUMMYFUNCTION("""COMPUTED_VALUE"""),"HY20Cerebellum")</f>
        <v>HY20Cerebellum</v>
      </c>
      <c r="N169" s="42"/>
      <c r="O169" s="42"/>
      <c r="P169" s="9"/>
      <c r="Q169" s="9"/>
      <c r="R169" s="42"/>
      <c r="S169" s="42"/>
      <c r="T169" s="42"/>
      <c r="U169" s="42"/>
      <c r="V169" s="42"/>
      <c r="W169" s="42"/>
    </row>
    <row r="170">
      <c r="A170" s="9" t="str">
        <f>IFERROR(__xludf.DUMMYFUNCTION("""COMPUTED_VALUE"""),"Burne, 1981")</f>
        <v>Burne, 1981</v>
      </c>
      <c r="B170" s="31" t="str">
        <f>IFERROR(__xludf.DUMMYFUNCTION("""COMPUTED_VALUE"""),"DOC")</f>
        <v>DOC</v>
      </c>
      <c r="C170" s="31" t="str">
        <f>IFERROR(__xludf.DUMMYFUNCTION("""COMPUTED_VALUE"""),"BIB")</f>
        <v>BIB</v>
      </c>
      <c r="D170" s="42" t="str">
        <f>IFERROR(__xludf.DUMMYFUNCTION("""COMPUTED_VALUE"""),"10.1002/cne.902020212")</f>
        <v>10.1002/cne.902020212</v>
      </c>
      <c r="E170" s="103" t="str">
        <f>IFERROR(__xludf.DUMMYFUNCTION("""COMPUTED_VALUE"""),"@article{Burne_1981,
	doi = {10.1002/cne.902020212},
	url = {https://doi.org/10.1002%2Fcne.902020212},
	year = 1981,
	month = {oct},
	publisher = {Wiley},
	volume = {202},
	number = {2},
	pages = {287--307},
	author = {R. A. Burne and S. A. Azizi and G. A"&amp;". Mihailoff and D. J. Woodward},
	title = {The tectopontine projection in the rat with comments on visual pathways to the basilar pons},
	journal = {The Journal of Comparative Neurology}
}")</f>
        <v>@article{Burne_1981,
	doi = {10.1002/cne.902020212},
	url = {https://doi.org/10.1002%2Fcne.902020212},
	year = 1981,
	month = {oct},
	publisher = {Wiley},
	volume = {202},
	number = {2},
	pages = {287--307},
	author = {R. A. Burne and S. A. Azizi and G. A. Mihailoff and D. J. Woodward},
	title = {The tectopontine projection in the rat with comments on visual pathways to the basilar pons},
	journal = {The Journal of Comparative Neurology}
}</v>
      </c>
      <c r="F170" s="42"/>
      <c r="G170" s="9" t="str">
        <f>IFERROR(__xludf.DUMMYFUNCTION("""COMPUTED_VALUE"""),"Article")</f>
        <v>Article</v>
      </c>
      <c r="H170" s="9" t="str">
        <f>IFERROR(__xludf.DUMMYFUNCTION("""COMPUTED_VALUE"""),"R. A. Burne, S. A. Azizi, G. A. Mihailoff, D. J. Woodward")</f>
        <v>R. A. Burne, S. A. Azizi, G. A. Mihailoff, D. J. Woodward</v>
      </c>
      <c r="I170" s="9" t="str">
        <f>IFERROR(__xludf.DUMMYFUNCTION("""COMPUTED_VALUE"""),"The tectopontine projection in the rat with comments on visual pathways to the basilar pons")</f>
        <v>The tectopontine projection in the rat with comments on visual pathways to the basilar pons</v>
      </c>
      <c r="J170" s="9" t="str">
        <f>IFERROR(__xludf.DUMMYFUNCTION("""COMPUTED_VALUE"""),"The Journal of Comparative Neurology")</f>
        <v>The Journal of Comparative Neurology</v>
      </c>
      <c r="K170" s="42"/>
      <c r="L170" s="42" t="str">
        <f>IFERROR(__xludf.DUMMYFUNCTION("""COMPUTED_VALUE"""),"Yoshinasa Tawatsji")</f>
        <v>Yoshinasa Tawatsji</v>
      </c>
      <c r="M170" s="42" t="str">
        <f>IFERROR(__xludf.DUMMYFUNCTION("""COMPUTED_VALUE"""),"Oculomotor")</f>
        <v>Oculomotor</v>
      </c>
      <c r="N170" s="42"/>
      <c r="O170" s="42"/>
      <c r="P170" s="9"/>
      <c r="Q170" s="9"/>
      <c r="R170" s="42"/>
      <c r="S170" s="42"/>
      <c r="T170" s="42"/>
      <c r="U170" s="42"/>
      <c r="V170" s="42"/>
      <c r="W170" s="42"/>
    </row>
    <row r="171">
      <c r="A171" s="9" t="str">
        <f>IFERROR(__xludf.DUMMYFUNCTION("""COMPUTED_VALUE"""),"Bubb, 2017")</f>
        <v>Bubb, 2017</v>
      </c>
      <c r="B171" s="31" t="str">
        <f>IFERROR(__xludf.DUMMYFUNCTION("""COMPUTED_VALUE"""),"DOC")</f>
        <v>DOC</v>
      </c>
      <c r="C171" s="31" t="str">
        <f>IFERROR(__xludf.DUMMYFUNCTION("""COMPUTED_VALUE"""),"BIB")</f>
        <v>BIB</v>
      </c>
      <c r="D171" s="42" t="str">
        <f>IFERROR(__xludf.DUMMYFUNCTION("""COMPUTED_VALUE"""),"10.1177/2398212817723443")</f>
        <v>10.1177/2398212817723443</v>
      </c>
      <c r="E171" s="103" t="str">
        <f>IFERROR(__xludf.DUMMYFUNCTION("""COMPUTED_VALUE"""),"@article{Bubb_2017,
	doi = {10.1177/2398212817723443},
	url = {https://doi.org/10.1177%2F2398212817723443},
	year = 2017,
	month = {jan},
	publisher = {{SAGE} Publications},
	volume = {1},
	pages = {239821281772344},
	author = {Emma J. Bubb and Lisa Kinna"&amp;"vane and John P. Aggleton},
	title = {Hippocampal{\textendash}diencephalic{\textendash}cingulate networks for memory and emotion: An anatomical guide},
	journal = {Brain and Neuroscience Advances}
}")</f>
        <v>@article{Bubb_2017,
	doi = {10.1177/2398212817723443},
	url = {https://doi.org/10.1177%2F2398212817723443},
	year = 2017,
	month = {jan},
	publisher = {{SAGE} Publications},
	volume = {1},
	pages = {239821281772344},
	author = {Emma J. Bubb and Lisa Kinnavane and John P. Aggleton},
	title = {Hippocampal{\textendash}diencephalic{\textendash}cingulate networks for memory and emotion: An anatomical guide},
	journal = {Brain and Neuroscience Advances}
}</v>
      </c>
      <c r="F171" s="42"/>
      <c r="G171" s="9" t="str">
        <f>IFERROR(__xludf.DUMMYFUNCTION("""COMPUTED_VALUE"""),"Article")</f>
        <v>Article</v>
      </c>
      <c r="H171" s="9" t="str">
        <f>IFERROR(__xludf.DUMMYFUNCTION("""COMPUTED_VALUE"""),"Emma J. Bubb, Lisa Kinnavane, John P. Aggleton")</f>
        <v>Emma J. Bubb, Lisa Kinnavane, John P. Aggleton</v>
      </c>
      <c r="I171" s="9" t="str">
        <f>IFERROR(__xludf.DUMMYFUNCTION("""COMPUTED_VALUE"""),"Hippocampal{\textendash}diencephalic{\textendash}cingulate networks for memory and emotion: An anatomical guide")</f>
        <v>Hippocampal{\textendash}diencephalic{\textendash}cingulate networks for memory and emotion: An anatomical guide</v>
      </c>
      <c r="J171" s="9" t="str">
        <f>IFERROR(__xludf.DUMMYFUNCTION("""COMPUTED_VALUE"""),"Brain and Neuroscience Advances")</f>
        <v>Brain and Neuroscience Advances</v>
      </c>
      <c r="K171" s="42"/>
      <c r="L171" s="42" t="str">
        <f>IFERROR(__xludf.DUMMYFUNCTION("""COMPUTED_VALUE"""),"Ayako Fukawa")</f>
        <v>Ayako Fukawa</v>
      </c>
      <c r="M171" s="42" t="str">
        <f>IFERROR(__xludf.DUMMYFUNCTION("""COMPUTED_VALUE"""),"AT20HippocampalFormation")</f>
        <v>AT20HippocampalFormation</v>
      </c>
      <c r="N171" s="42"/>
      <c r="O171" s="42"/>
      <c r="P171" s="9"/>
      <c r="Q171" s="9"/>
      <c r="R171" s="42"/>
      <c r="S171" s="42"/>
      <c r="T171" s="42"/>
      <c r="U171" s="42"/>
      <c r="V171" s="42"/>
      <c r="W171" s="42"/>
    </row>
    <row r="172">
      <c r="A172" s="9" t="str">
        <f>IFERROR(__xludf.DUMMYFUNCTION("""COMPUTED_VALUE"""),"Brun, 2002")</f>
        <v>Brun, 2002</v>
      </c>
      <c r="B172" s="31" t="str">
        <f>IFERROR(__xludf.DUMMYFUNCTION("""COMPUTED_VALUE"""),"DOC")</f>
        <v>DOC</v>
      </c>
      <c r="C172" s="31" t="str">
        <f>IFERROR(__xludf.DUMMYFUNCTION("""COMPUTED_VALUE"""),"BIB")</f>
        <v>BIB</v>
      </c>
      <c r="D172" s="42" t="str">
        <f>IFERROR(__xludf.DUMMYFUNCTION("""COMPUTED_VALUE"""),"10.1126/science.1071089 ")</f>
        <v>10.1126/science.1071089 </v>
      </c>
      <c r="E172" s="103" t="str">
        <f>IFERROR(__xludf.DUMMYFUNCTION("""COMPUTED_VALUE"""),"@article{Brun_2002,
	doi = {10.1126/science.1071089},
	url = {https://doi.org/10.1126%2Fscience.1071089},
	year = 2002,
	month = {jun},
	publisher = {American Association for the Advancement of Science ({AAAS})},
	volume = {296},
	number = {5576},
	pages "&amp;"= {2243--2246},
	author = {Vegard H. Brun and Mona K. Otn{\ae}ss and Sturla Molden and Hill-Aina Steffenach and Menno P. Witter and May-Britt Moser and Edvard I. Moser},
	title = {Place Cells and Place Recognition Maintained by Direct Entorhinal-Hippocamp"&amp;"al Circuitry},
	journal = {Science}
}")</f>
        <v>@article{Brun_2002,
	doi = {10.1126/science.1071089},
	url = {https://doi.org/10.1126%2Fscience.1071089},
	year = 2002,
	month = {jun},
	publisher = {American Association for the Advancement of Science ({AAAS})},
	volume = {296},
	number = {5576},
	pages = {2243--2246},
	author = {Vegard H. Brun and Mona K. Otn{\ae}ss and Sturla Molden and Hill-Aina Steffenach and Menno P. Witter and May-Britt Moser and Edvard I. Moser},
	title = {Place Cells and Place Recognition Maintained by Direct Entorhinal-Hippocampal Circuitry},
	journal = {Science}
}</v>
      </c>
      <c r="F172" s="42"/>
      <c r="G172" s="9" t="str">
        <f>IFERROR(__xludf.DUMMYFUNCTION("""COMPUTED_VALUE"""),"Article")</f>
        <v>Article</v>
      </c>
      <c r="H172" s="9" t="str">
        <f>IFERROR(__xludf.DUMMYFUNCTION("""COMPUTED_VALUE"""),"Vegard H. Brun, Mona K. Otn{\ae}ss, Sturla Molden, Hill-Aina Steffenach, Menno P. Witter, May-Britt Moser, Edvard I. Moser")</f>
        <v>Vegard H. Brun, Mona K. Otn{\ae}ss, Sturla Molden, Hill-Aina Steffenach, Menno P. Witter, May-Britt Moser, Edvard I. Moser</v>
      </c>
      <c r="I172" s="9" t="str">
        <f>IFERROR(__xludf.DUMMYFUNCTION("""COMPUTED_VALUE"""),"Place Cells and Place Recognition Maintained by Direct Entorhinal-Hippocampal Circuitry")</f>
        <v>Place Cells and Place Recognition Maintained by Direct Entorhinal-Hippocampal Circuitry</v>
      </c>
      <c r="J172" s="9" t="str">
        <f>IFERROR(__xludf.DUMMYFUNCTION("""COMPUTED_VALUE"""),"Science")</f>
        <v>Science</v>
      </c>
      <c r="K172" s="42"/>
      <c r="L172" s="42" t="str">
        <f>IFERROR(__xludf.DUMMYFUNCTION("""COMPUTED_VALUE"""),"Ayako Fukawa")</f>
        <v>Ayako Fukawa</v>
      </c>
      <c r="M172" s="42" t="str">
        <f>IFERROR(__xludf.DUMMYFUNCTION("""COMPUTED_VALUE"""),"HF.Taniguchi")</f>
        <v>HF.Taniguchi</v>
      </c>
      <c r="N172" s="42"/>
      <c r="O172" s="42"/>
      <c r="P172" s="9"/>
      <c r="Q172" s="9"/>
      <c r="R172" s="42"/>
      <c r="S172" s="42"/>
      <c r="T172" s="42"/>
      <c r="U172" s="42"/>
      <c r="V172" s="42"/>
      <c r="W172" s="42"/>
    </row>
    <row r="173">
      <c r="A173" s="9" t="str">
        <f>IFERROR(__xludf.DUMMYFUNCTION("""COMPUTED_VALUE"""),"Bradfield, 2013")</f>
        <v>Bradfield, 2013</v>
      </c>
      <c r="B173" s="31" t="str">
        <f>IFERROR(__xludf.DUMMYFUNCTION("""COMPUTED_VALUE"""),"DOC")</f>
        <v>DOC</v>
      </c>
      <c r="C173" s="31" t="str">
        <f>IFERROR(__xludf.DUMMYFUNCTION("""COMPUTED_VALUE"""),"BIB")</f>
        <v>BIB</v>
      </c>
      <c r="D173" s="42" t="str">
        <f>IFERROR(__xludf.DUMMYFUNCTION("""COMPUTED_VALUE"""),"10.3389/fnsys.2013.00051")</f>
        <v>10.3389/fnsys.2013.00051</v>
      </c>
      <c r="E173" s="103" t="str">
        <f>IFERROR(__xludf.DUMMYFUNCTION("""COMPUTED_VALUE"""),"@article{Bradfield_2013,
	doi = {10.3389/fnsys.2013.00051},
	url = {https://doi.org/10.3389%2Ffnsys.2013.00051},
	year = 2013,
	publisher = {Frontiers Media {SA}},
	volume = {7},
	author = {Laura A. Bradfield and Genevra Hart and Bernard W. Balleine},
	ti"&amp;"tle = {The role of the anterior, mediodorsal, and parafascicular thalamus in instrumental conditioning},
	journal = {Frontiers in Systems Neuroscience}
}")</f>
        <v>@article{Bradfield_2013,
	doi = {10.3389/fnsys.2013.00051},
	url = {https://doi.org/10.3389%2Ffnsys.2013.00051},
	year = 2013,
	publisher = {Frontiers Media {SA}},
	volume = {7},
	author = {Laura A. Bradfield and Genevra Hart and Bernard W. Balleine},
	title = {The role of the anterior, mediodorsal, and parafascicular thalamus in instrumental conditioning},
	journal = {Frontiers in Systems Neuroscience}
}</v>
      </c>
      <c r="F173" s="42"/>
      <c r="G173" s="9" t="str">
        <f>IFERROR(__xludf.DUMMYFUNCTION("""COMPUTED_VALUE"""),"Article")</f>
        <v>Article</v>
      </c>
      <c r="H173" s="9" t="str">
        <f>IFERROR(__xludf.DUMMYFUNCTION("""COMPUTED_VALUE"""),"Laura A. Bradfield, Genevra Hart, Bernard W. Balleine")</f>
        <v>Laura A. Bradfield, Genevra Hart, Bernard W. Balleine</v>
      </c>
      <c r="I173" s="9" t="str">
        <f>IFERROR(__xludf.DUMMYFUNCTION("""COMPUTED_VALUE"""),"The role of the anterior, mediodorsal, and parafascicular thalamus in instrumental conditioning")</f>
        <v>The role of the anterior, mediodorsal, and parafascicular thalamus in instrumental conditioning</v>
      </c>
      <c r="J173" s="9" t="str">
        <f>IFERROR(__xludf.DUMMYFUNCTION("""COMPUTED_VALUE"""),"Frontiers in Systems Neuroscience")</f>
        <v>Frontiers in Systems Neuroscience</v>
      </c>
      <c r="K173" s="42"/>
      <c r="L173" s="42" t="str">
        <f>IFERROR(__xludf.DUMMYFUNCTION("""COMPUTED_VALUE"""),"Yuske Shibata")</f>
        <v>Yuske Shibata</v>
      </c>
      <c r="M173" s="42" t="str">
        <f>IFERROR(__xludf.DUMMYFUNCTION("""COMPUTED_VALUE"""),"YS21BgLoop")</f>
        <v>YS21BgLoop</v>
      </c>
      <c r="N173" s="42"/>
      <c r="O173" s="42"/>
      <c r="P173" s="9"/>
      <c r="Q173" s="9"/>
      <c r="R173" s="42"/>
      <c r="S173" s="42"/>
      <c r="T173" s="42"/>
      <c r="U173" s="42"/>
      <c r="V173" s="42"/>
      <c r="W173" s="42"/>
    </row>
    <row r="174">
      <c r="A174" s="9" t="str">
        <f>IFERROR(__xludf.DUMMYFUNCTION("""COMPUTED_VALUE"""),"Bonjean, 2012")</f>
        <v>Bonjean, 2012</v>
      </c>
      <c r="B174" s="31" t="str">
        <f>IFERROR(__xludf.DUMMYFUNCTION("""COMPUTED_VALUE"""),"DOC")</f>
        <v>DOC</v>
      </c>
      <c r="C174" s="31" t="str">
        <f>IFERROR(__xludf.DUMMYFUNCTION("""COMPUTED_VALUE"""),"BIB")</f>
        <v>BIB</v>
      </c>
      <c r="D174" s="42" t="str">
        <f>IFERROR(__xludf.DUMMYFUNCTION("""COMPUTED_VALUE"""),"10.1523/JNEUROSCI.6141-11.2012")</f>
        <v>10.1523/JNEUROSCI.6141-11.2012</v>
      </c>
      <c r="E174" s="103" t="str">
        <f>IFERROR(__xludf.DUMMYFUNCTION("""COMPUTED_VALUE"""),"@article{Bonjean_2012,
	doi = {10.1523/jneurosci.6141-11.2012},
	url = {https://doi.org/10.1523%2Fjneurosci.6141-11.2012},
	year = 2012,
	month = {apr},
	publisher = {Society for Neuroscience},
	volume = {32},
	number = {15},
	pages = {5250--5263},
	autho"&amp;"r = {M. Bonjean and T. Baker and M. Bazhenov and S. Cash and E. Halgren and T. Sejnowski},
	title = {Interactions between Core and Matrix Thalamocortical Projections in Human Sleep Spindle Synchronization},
	journal = {Journal of Neuroscience}
}")</f>
        <v>@article{Bonjean_2012,
	doi = {10.1523/jneurosci.6141-11.2012},
	url = {https://doi.org/10.1523%2Fjneurosci.6141-11.2012},
	year = 2012,
	month = {apr},
	publisher = {Society for Neuroscience},
	volume = {32},
	number = {15},
	pages = {5250--5263},
	author = {M. Bonjean and T. Baker and M. Bazhenov and S. Cash and E. Halgren and T. Sejnowski},
	title = {Interactions between Core and Matrix Thalamocortical Projections in Human Sleep Spindle Synchronization},
	journal = {Journal of Neuroscience}
}</v>
      </c>
      <c r="F174" s="42"/>
      <c r="G174" s="9" t="str">
        <f>IFERROR(__xludf.DUMMYFUNCTION("""COMPUTED_VALUE"""),"Article")</f>
        <v>Article</v>
      </c>
      <c r="H174" s="9" t="str">
        <f>IFERROR(__xludf.DUMMYFUNCTION("""COMPUTED_VALUE"""),"M. Bonjean, T. Baker, M. Bazhenov, S. Cash, E. Halgren, T. Sejnowski")</f>
        <v>M. Bonjean, T. Baker, M. Bazhenov, S. Cash, E. Halgren, T. Sejnowski</v>
      </c>
      <c r="I174" s="9" t="str">
        <f>IFERROR(__xludf.DUMMYFUNCTION("""COMPUTED_VALUE"""),"Interactions between Core and Matrix Thalamocortical Projections in Human Sleep Spindle Synchronization")</f>
        <v>Interactions between Core and Matrix Thalamocortical Projections in Human Sleep Spindle Synchronization</v>
      </c>
      <c r="J174" s="9" t="str">
        <f>IFERROR(__xludf.DUMMYFUNCTION("""COMPUTED_VALUE"""),"Journal of Neuroscience")</f>
        <v>Journal of Neuroscience</v>
      </c>
      <c r="K174" s="42" t="str">
        <f>IFERROR(__xludf.DUMMYFUNCTION("""COMPUTED_VALUE"""),"Fig.1")</f>
        <v>Fig.1</v>
      </c>
      <c r="L174" s="42" t="str">
        <f>IFERROR(__xludf.DUMMYFUNCTION("""COMPUTED_VALUE"""),"Hiroshi Yamakawa")</f>
        <v>Hiroshi Yamakawa</v>
      </c>
      <c r="M174" s="42" t="str">
        <f>IFERROR(__xludf.DUMMYFUNCTION("""COMPUTED_VALUE"""),"HY18NeocorticalInterareaSignals")</f>
        <v>HY18NeocorticalInterareaSignals</v>
      </c>
      <c r="N174" s="42"/>
      <c r="O174" s="42"/>
      <c r="P174" s="9"/>
      <c r="Q174" s="9"/>
      <c r="R174" s="42"/>
      <c r="S174" s="42"/>
      <c r="T174" s="42"/>
      <c r="U174" s="42"/>
      <c r="V174" s="42"/>
      <c r="W174" s="42"/>
    </row>
    <row r="175">
      <c r="A175" s="9" t="str">
        <f>IFERROR(__xludf.DUMMYFUNCTION("""COMPUTED_VALUE"""),"Bolam, 2010")</f>
        <v>Bolam, 2010</v>
      </c>
      <c r="B175" s="31" t="str">
        <f>IFERROR(__xludf.DUMMYFUNCTION("""COMPUTED_VALUE"""),"DOC")</f>
        <v>DOC</v>
      </c>
      <c r="C175" s="31" t="str">
        <f>IFERROR(__xludf.DUMMYFUNCTION("""COMPUTED_VALUE"""),"BIB")</f>
        <v>BIB</v>
      </c>
      <c r="D175" s="42" t="str">
        <f>IFERROR(__xludf.DUMMYFUNCTION("""COMPUTED_VALUE"""),"10.1093/med/9780195389883.003.0011")</f>
        <v>10.1093/med/9780195389883.003.0011</v>
      </c>
      <c r="E175" s="103" t="str">
        <f>IFERROR(__xludf.DUMMYFUNCTION("""COMPUTED_VALUE"""),"@incollection{Bolam_2010,
        doi = {10.1093/med/9780195389883.003.0011},
        url = {https://doi.org/10.1093%2Fmed%2F9780195389883.003.0011},
        year = 2010,
        month = {aug},
        publisher = {Oxford University Press},
        pages "&amp;"= {109--119},
        author = {J. Paul Bolam},
        title = {Microcircuits of the Striatum},
        booktitle = {Handbook of Brain Microcircuits}
}")</f>
        <v>@incollection{Bolam_2010,
        doi = {10.1093/med/9780195389883.003.0011},
        url = {https://doi.org/10.1093%2Fmed%2F9780195389883.003.0011},
        year = 2010,
        month = {aug},
        publisher = {Oxford University Press},
        pages = {109--119},
        author = {J. Paul Bolam},
        title = {Microcircuits of the Striatum},
        booktitle = {Handbook of Brain Microcircuits}
}</v>
      </c>
      <c r="F175" s="42" t="str">
        <f>IFERROR(__xludf.DUMMYFUNCTION("""COMPUTED_VALUE"""),"Textbook")</f>
        <v>Textbook</v>
      </c>
      <c r="G175" s="9" t="str">
        <f>IFERROR(__xludf.DUMMYFUNCTION("""COMPUTED_VALUE"""),"Incollection")</f>
        <v>Incollection</v>
      </c>
      <c r="H175" s="9" t="str">
        <f>IFERROR(__xludf.DUMMYFUNCTION("""COMPUTED_VALUE"""),"J. Paul Bolam")</f>
        <v>J. Paul Bolam</v>
      </c>
      <c r="I175" s="9" t="str">
        <f>IFERROR(__xludf.DUMMYFUNCTION("""COMPUTED_VALUE"""),"Microcircuits of the Striatum")</f>
        <v>Microcircuits of the Striatum</v>
      </c>
      <c r="J175" s="9" t="str">
        <f>IFERROR(__xludf.DUMMYFUNCTION("""COMPUTED_VALUE"""),"Handbook of Brain Microcircuits")</f>
        <v>Handbook of Brain Microcircuits</v>
      </c>
      <c r="K175" s="135"/>
      <c r="L175" s="42" t="str">
        <f>IFERROR(__xludf.DUMMYFUNCTION("""COMPUTED_VALUE"""),"Yuske Shibata")</f>
        <v>Yuske Shibata</v>
      </c>
      <c r="M175" s="42" t="str">
        <f>IFERROR(__xludf.DUMMYFUNCTION("""COMPUTED_VALUE"""),"YS21BgLoop")</f>
        <v>YS21BgLoop</v>
      </c>
      <c r="N175" s="42"/>
      <c r="O175" s="42"/>
      <c r="P175" s="9"/>
      <c r="Q175" s="9"/>
      <c r="R175" s="42"/>
      <c r="S175" s="42"/>
      <c r="T175" s="42"/>
      <c r="U175" s="42"/>
      <c r="V175" s="42"/>
      <c r="W175" s="42"/>
    </row>
    <row r="176">
      <c r="A176" s="9" t="str">
        <f>IFERROR(__xludf.DUMMYFUNCTION("""COMPUTED_VALUE"""),"Bohne, 2019")</f>
        <v>Bohne, 2019</v>
      </c>
      <c r="B176" s="31" t="str">
        <f>IFERROR(__xludf.DUMMYFUNCTION("""COMPUTED_VALUE"""),"DOC")</f>
        <v>DOC</v>
      </c>
      <c r="C176" s="31" t="str">
        <f>IFERROR(__xludf.DUMMYFUNCTION("""COMPUTED_VALUE"""),"BIB")</f>
        <v>BIB</v>
      </c>
      <c r="D176" s="42" t="str">
        <f>IFERROR(__xludf.DUMMYFUNCTION("""COMPUTED_VALUE"""),"10.3389/fncir.2019.00051")</f>
        <v>10.3389/fncir.2019.00051</v>
      </c>
      <c r="E176" s="103" t="str">
        <f>IFERROR(__xludf.DUMMYFUNCTION("""COMPUTED_VALUE"""),"@article{Bohne_2019,
	doi = {10.3389/fncir.2019.00051},
	url = {https://doi.org/10.3389%2Ffncir.2019.00051},
	year = 2019,
	month = {aug},
	publisher = {Frontiers Media {SA}},
	volume = {13},
	author = {Pauline Bohne and Martin K. Schwarz and Stefan Herli"&amp;"tze and Melanie D. Mark},
	title = {A New Projection From the Deep Cerebellar Nuclei to the Hippocampus via the Ventrolateral and Laterodorsal Thalamus in Mice},
	journal = {Frontiers in Neural Circuits}
}")</f>
        <v>@article{Bohne_2019,
	doi = {10.3389/fncir.2019.00051},
	url = {https://doi.org/10.3389%2Ffncir.2019.00051},
	year = 2019,
	month = {aug},
	publisher = {Frontiers Media {SA}},
	volume = {13},
	author = {Pauline Bohne and Martin K. Schwarz and Stefan Herlitze and Melanie D. Mark},
	title = {A New Projection From the Deep Cerebellar Nuclei to the Hippocampus via the Ventrolateral and Laterodorsal Thalamus in Mice},
	journal = {Frontiers in Neural Circuits}
}</v>
      </c>
      <c r="F176" s="42"/>
      <c r="G176" s="9" t="str">
        <f>IFERROR(__xludf.DUMMYFUNCTION("""COMPUTED_VALUE"""),"Article")</f>
        <v>Article</v>
      </c>
      <c r="H176" s="9" t="str">
        <f>IFERROR(__xludf.DUMMYFUNCTION("""COMPUTED_VALUE"""),"Pauline Bohne, Martin K. Schwarz, Stefan Herlitze, Melanie D. Mark")</f>
        <v>Pauline Bohne, Martin K. Schwarz, Stefan Herlitze, Melanie D. Mark</v>
      </c>
      <c r="I176" s="9" t="str">
        <f>IFERROR(__xludf.DUMMYFUNCTION("""COMPUTED_VALUE"""),"A New Projection From the Deep Cerebellar Nuclei to the Hippocampus via the Ventrolateral and Laterodorsal Thalamus in Mice")</f>
        <v>A New Projection From the Deep Cerebellar Nuclei to the Hippocampus via the Ventrolateral and Laterodorsal Thalamus in Mice</v>
      </c>
      <c r="J176" s="9" t="str">
        <f>IFERROR(__xludf.DUMMYFUNCTION("""COMPUTED_VALUE"""),"Frontiers in Neural Circuits")</f>
        <v>Frontiers in Neural Circuits</v>
      </c>
      <c r="K176" s="42"/>
      <c r="L176" s="42" t="str">
        <f>IFERROR(__xludf.DUMMYFUNCTION("""COMPUTED_VALUE"""),"Hiroshi Yamakawa")</f>
        <v>Hiroshi Yamakawa</v>
      </c>
      <c r="M176" s="42" t="str">
        <f>IFERROR(__xludf.DUMMYFUNCTION("""COMPUTED_VALUE"""),"HY20Cerebellum")</f>
        <v>HY20Cerebellum</v>
      </c>
      <c r="N176" s="42"/>
      <c r="O176" s="42"/>
      <c r="P176" s="9"/>
      <c r="Q176" s="9"/>
      <c r="R176" s="42"/>
      <c r="S176" s="42"/>
      <c r="T176" s="42"/>
      <c r="U176" s="42"/>
      <c r="V176" s="42"/>
      <c r="W176" s="42"/>
    </row>
    <row r="177">
      <c r="A177" s="9" t="str">
        <f>IFERROR(__xludf.DUMMYFUNCTION("""COMPUTED_VALUE"""),"Benarroch, 2008")</f>
        <v>Benarroch, 2008</v>
      </c>
      <c r="B177" s="31" t="str">
        <f>IFERROR(__xludf.DUMMYFUNCTION("""COMPUTED_VALUE"""),"DOC")</f>
        <v>DOC</v>
      </c>
      <c r="C177" s="31" t="str">
        <f>IFERROR(__xludf.DUMMYFUNCTION("""COMPUTED_VALUE"""),"BIB")</f>
        <v>BIB</v>
      </c>
      <c r="D177" s="42" t="str">
        <f>IFERROR(__xludf.DUMMYFUNCTION("""COMPUTED_VALUE"""),"10.1212/01.wnl.0000326066.57313.13")</f>
        <v>10.1212/01.wnl.0000326066.57313.13</v>
      </c>
      <c r="E177" s="103" t="str">
        <f>IFERROR(__xludf.DUMMYFUNCTION("""COMPUTED_VALUE"""),"@article{Benarroch_2008,
	doi = {10.1212/01.wnl.0000326066.57313.13},
	url = {https://doi.org/10.1212%2F01.wnl.0000326066.57313.13},
	year = 2008,
	month = {sep},
	publisher = {Ovid Technologies (Wolters Kluwer Health)},
	volume = {71},
	number = {12},
	p"&amp;"ages = {944--949},
	author = {E. E. Benarroch},
	title = {The midline and intralaminar thalamic nuclei: Anatomic and functional specificity and implications in neurologic disease},
	journal = {Neurology}
}")</f>
        <v>@article{Benarroch_2008,
	doi = {10.1212/01.wnl.0000326066.57313.13},
	url = {https://doi.org/10.1212%2F01.wnl.0000326066.57313.13},
	year = 2008,
	month = {sep},
	publisher = {Ovid Technologies (Wolters Kluwer Health)},
	volume = {71},
	number = {12},
	pages = {944--949},
	author = {E. E. Benarroch},
	title = {The midline and intralaminar thalamic nuclei: Anatomic and functional specificity and implications in neurologic disease},
	journal = {Neurology}
}</v>
      </c>
      <c r="F177" s="42"/>
      <c r="G177" s="9" t="str">
        <f>IFERROR(__xludf.DUMMYFUNCTION("""COMPUTED_VALUE"""),"Article")</f>
        <v>Article</v>
      </c>
      <c r="H177" s="9" t="str">
        <f>IFERROR(__xludf.DUMMYFUNCTION("""COMPUTED_VALUE"""),"E. E. Benarroch")</f>
        <v>E. E. Benarroch</v>
      </c>
      <c r="I177" s="9" t="str">
        <f>IFERROR(__xludf.DUMMYFUNCTION("""COMPUTED_VALUE"""),"The midline and intralaminar thalamic nuclei: Anatomic and functional specificity and implications in neurologic disease")</f>
        <v>The midline and intralaminar thalamic nuclei: Anatomic and functional specificity and implications in neurologic disease</v>
      </c>
      <c r="J177" s="9" t="str">
        <f>IFERROR(__xludf.DUMMYFUNCTION("""COMPUTED_VALUE"""),"Neurology")</f>
        <v>Neurology</v>
      </c>
      <c r="K177" s="42" t="str">
        <f>IFERROR(__xludf.DUMMYFUNCTION("""COMPUTED_VALUE"""),"Fig.2")</f>
        <v>Fig.2</v>
      </c>
      <c r="L177" s="42" t="str">
        <f>IFERROR(__xludf.DUMMYFUNCTION("""COMPUTED_VALUE"""),"Hiroshi Yamakawa")</f>
        <v>Hiroshi Yamakawa</v>
      </c>
      <c r="M177" s="42" t="str">
        <f>IFERROR(__xludf.DUMMYFUNCTION("""COMPUTED_VALUE"""),"HY18NeocorticalInterareaSignals")</f>
        <v>HY18NeocorticalInterareaSignals</v>
      </c>
      <c r="N177" s="42"/>
      <c r="O177" s="42"/>
      <c r="P177" s="9"/>
      <c r="Q177" s="9"/>
      <c r="R177" s="42"/>
      <c r="S177" s="42"/>
      <c r="T177" s="42"/>
      <c r="U177" s="42"/>
      <c r="V177" s="42"/>
      <c r="W177" s="42"/>
    </row>
    <row r="178">
      <c r="A178" s="9" t="str">
        <f>IFERROR(__xludf.DUMMYFUNCTION("""COMPUTED_VALUE"""),"Behrendt, 2013")</f>
        <v>Behrendt, 2013</v>
      </c>
      <c r="B178" s="31" t="str">
        <f>IFERROR(__xludf.DUMMYFUNCTION("""COMPUTED_VALUE"""),"DOC")</f>
        <v>DOC</v>
      </c>
      <c r="C178" s="31" t="str">
        <f>IFERROR(__xludf.DUMMYFUNCTION("""COMPUTED_VALUE"""),"BIB")</f>
        <v>BIB</v>
      </c>
      <c r="D178" s="42" t="str">
        <f>IFERROR(__xludf.DUMMYFUNCTION("""COMPUTED_VALUE"""),"10.3389/fpsyg.2013.00304")</f>
        <v>10.3389/fpsyg.2013.00304</v>
      </c>
      <c r="E178" s="103" t="str">
        <f>IFERROR(__xludf.DUMMYFUNCTION("""COMPUTED_VALUE"""),"@article{Behrendt_2013,
	doi = {10.3389/fpsyg.2013.00304},
	url = {https://doi.org/10.3389%2Ffpsyg.2013.00304},
	year = 2013,
	publisher = {Frontiers Media {SA}},
	volume = {4},
	author = {Ralf-Peter Behrendt},
	title = {Conscious Experience and Episodic "&amp;"Memory: Hippocampus at the Crossroads},
	journal = {Frontiers in Psychology}
}")</f>
        <v>@article{Behrendt_2013,
	doi = {10.3389/fpsyg.2013.00304},
	url = {https://doi.org/10.3389%2Ffpsyg.2013.00304},
	year = 2013,
	publisher = {Frontiers Media {SA}},
	volume = {4},
	author = {Ralf-Peter Behrendt},
	title = {Conscious Experience and Episodic Memory: Hippocampus at the Crossroads},
	journal = {Frontiers in Psychology}
}</v>
      </c>
      <c r="F178" s="42"/>
      <c r="G178" s="9" t="str">
        <f>IFERROR(__xludf.DUMMYFUNCTION("""COMPUTED_VALUE"""),"Article")</f>
        <v>Article</v>
      </c>
      <c r="H178" s="9" t="str">
        <f>IFERROR(__xludf.DUMMYFUNCTION("""COMPUTED_VALUE"""),"Ralf-Peter Behrendt")</f>
        <v>Ralf-Peter Behrendt</v>
      </c>
      <c r="I178" s="9" t="str">
        <f>IFERROR(__xludf.DUMMYFUNCTION("""COMPUTED_VALUE"""),"Conscious Experience and Episodic Memory: Hippocampus at the Crossroads")</f>
        <v>Conscious Experience and Episodic Memory: Hippocampus at the Crossroads</v>
      </c>
      <c r="J178" s="9" t="str">
        <f>IFERROR(__xludf.DUMMYFUNCTION("""COMPUTED_VALUE"""),"Frontiers in Psychology")</f>
        <v>Frontiers in Psychology</v>
      </c>
      <c r="K178" s="133" t="str">
        <f>IFERROR(__xludf.DUMMYFUNCTION("""COMPUTED_VALUE"""),"https://www.frontiersin.org/articles/10.3389/fpsyg.2013.00304/full")</f>
        <v>https://www.frontiersin.org/articles/10.3389/fpsyg.2013.00304/full</v>
      </c>
      <c r="L178" s="42" t="str">
        <f>IFERROR(__xludf.DUMMYFUNCTION("""COMPUTED_VALUE"""),"Yuske Shibata")</f>
        <v>Yuske Shibata</v>
      </c>
      <c r="M178" s="42" t="str">
        <f>IFERROR(__xludf.DUMMYFUNCTION("""COMPUTED_VALUE"""),"YS21CredibilityCheck")</f>
        <v>YS21CredibilityCheck</v>
      </c>
      <c r="N178" s="42"/>
      <c r="O178" s="42"/>
      <c r="P178" s="9"/>
      <c r="Q178" s="9"/>
      <c r="R178" s="42"/>
      <c r="S178" s="42"/>
      <c r="T178" s="42"/>
      <c r="U178" s="42"/>
      <c r="V178" s="42"/>
      <c r="W178" s="42"/>
    </row>
    <row r="179">
      <c r="A179" s="9" t="str">
        <f>IFERROR(__xludf.DUMMYFUNCTION("""COMPUTED_VALUE"""),"Basile, 2021")</f>
        <v>Basile, 2021</v>
      </c>
      <c r="B179" s="31" t="str">
        <f>IFERROR(__xludf.DUMMYFUNCTION("""COMPUTED_VALUE"""),"DOC")</f>
        <v>DOC</v>
      </c>
      <c r="C179" s="31" t="str">
        <f>IFERROR(__xludf.DUMMYFUNCTION("""COMPUTED_VALUE"""),"BIB")</f>
        <v>BIB</v>
      </c>
      <c r="D179" s="42" t="str">
        <f>IFERROR(__xludf.DUMMYFUNCTION("""COMPUTED_VALUE"""),"10.1007/s00429-020-02171-x")</f>
        <v>10.1007/s00429-020-02171-x</v>
      </c>
      <c r="E179" s="103" t="str">
        <f>IFERROR(__xludf.DUMMYFUNCTION("""COMPUTED_VALUE"""),"@article{Basile_2021,
        doi = {10.1007/s00429-020-02171-x},
        url = {https://doi.org/10.1007%2Fs00429-020-02171-x},
        year = 2021,
        month = {nov},
        publisher = {Springer Science and Business Media {LLC}},
        volume = {"&amp;"226},
        number = {1},
        pages = {69--91},
        author = {Gianpaolo Antonio Basile and Marina Quartu and Salvatore Bertino and Maria Pina Serra and Marianna Boi and Alessia Bramanti and Giuseppe Pio Anastasi and Demetrio Milardi and Alberto "&amp;"Cacciola},
        title = {Red nucleus structure and function: from anatomy to clinical neurosciences},
        journal = {Brain Structure and Function}
}")</f>
        <v>@article{Basile_2021,
        doi = {10.1007/s00429-020-02171-x},
        url = {https://doi.org/10.1007%2Fs00429-020-02171-x},
        year = 2021,
        month = {nov},
        publisher = {Springer Science and Business Media {LLC}},
        volume = {226},
        number = {1},
        pages = {69--91},
        author = {Gianpaolo Antonio Basile and Marina Quartu and Salvatore Bertino and Maria Pina Serra and Marianna Boi and Alessia Bramanti and Giuseppe Pio Anastasi and Demetrio Milardi and Alberto Cacciola},
        title = {Red nucleus structure and function: from anatomy to clinical neurosciences},
        journal = {Brain Structure and Function}
}</v>
      </c>
      <c r="F179" s="42"/>
      <c r="G179" s="9" t="str">
        <f>IFERROR(__xludf.DUMMYFUNCTION("""COMPUTED_VALUE"""),"Article")</f>
        <v>Article</v>
      </c>
      <c r="H179" s="9" t="str">
        <f>IFERROR(__xludf.DUMMYFUNCTION("""COMPUTED_VALUE"""),"Gianpaolo Antonio Basile, Marina Quartu, Salvatore Bertino, Maria Pina Serra, Marianna Boi, Alessia Bramanti, Giuseppe Pio Anastasi, Demetrio Milardi, Alberto Cacciola")</f>
        <v>Gianpaolo Antonio Basile, Marina Quartu, Salvatore Bertino, Maria Pina Serra, Marianna Boi, Alessia Bramanti, Giuseppe Pio Anastasi, Demetrio Milardi, Alberto Cacciola</v>
      </c>
      <c r="I179" s="9" t="str">
        <f>IFERROR(__xludf.DUMMYFUNCTION("""COMPUTED_VALUE"""),"Red nucleus structure and function: from anatomy to clinical neurosciences")</f>
        <v>Red nucleus structure and function: from anatomy to clinical neurosciences</v>
      </c>
      <c r="J179" s="9" t="str">
        <f>IFERROR(__xludf.DUMMYFUNCTION("""COMPUTED_VALUE"""),"Brain Structure and Function")</f>
        <v>Brain Structure and Function</v>
      </c>
      <c r="K179" s="42"/>
      <c r="L179" s="42" t="str">
        <f>IFERROR(__xludf.DUMMYFUNCTION("""COMPUTED_VALUE"""),"Hiroshi Yamakawa")</f>
        <v>Hiroshi Yamakawa</v>
      </c>
      <c r="M179" s="42" t="str">
        <f>IFERROR(__xludf.DUMMYFUNCTION("""COMPUTED_VALUE"""),"HY20Cerebellum")</f>
        <v>HY20Cerebellum</v>
      </c>
      <c r="N179" s="42"/>
      <c r="O179" s="42"/>
      <c r="P179" s="9"/>
      <c r="Q179" s="9"/>
      <c r="R179" s="42"/>
      <c r="S179" s="42"/>
      <c r="T179" s="42"/>
      <c r="U179" s="42"/>
      <c r="V179" s="42"/>
      <c r="W179" s="42"/>
    </row>
    <row r="180">
      <c r="A180" s="9" t="str">
        <f>IFERROR(__xludf.DUMMYFUNCTION("""COMPUTED_VALUE"""),"Barmack, 2000")</f>
        <v>Barmack, 2000</v>
      </c>
      <c r="B180" s="31" t="str">
        <f>IFERROR(__xludf.DUMMYFUNCTION("""COMPUTED_VALUE"""),"DOC")</f>
        <v>DOC</v>
      </c>
      <c r="C180" s="31" t="str">
        <f>IFERROR(__xludf.DUMMYFUNCTION("""COMPUTED_VALUE"""),"BIB")</f>
        <v>BIB</v>
      </c>
      <c r="D180" s="42" t="str">
        <f>IFERROR(__xludf.DUMMYFUNCTION("""COMPUTED_VALUE"""),"10.1152/jn.2000.83.6.3559")</f>
        <v>10.1152/jn.2000.83.6.3559</v>
      </c>
      <c r="E180" s="103" t="str">
        <f>IFERROR(__xludf.DUMMYFUNCTION("""COMPUTED_VALUE"""),"@article{Barmack_2000,
	doi = {10.1152/jn.2000.83.6.3559},
	url = {https://doi.org/10.1152%2Fjn.2000.83.6.3559},
	year = 2000,
	month = {jun},
	publisher = {American Physiological Society},
	volume = {83},
	number = {6},
	pages = {3559--3569},
	author = {"&amp;"N. H. Barmack and V. Yakhnitsa},
	title = {Vestibular Signals in the Parasolitary Nucleus},
	journal = {Journal of Neurophysiology}
}")</f>
        <v>@article{Barmack_2000,
	doi = {10.1152/jn.2000.83.6.3559},
	url = {https://doi.org/10.1152%2Fjn.2000.83.6.3559},
	year = 2000,
	month = {jun},
	publisher = {American Physiological Society},
	volume = {83},
	number = {6},
	pages = {3559--3569},
	author = {N. H. Barmack and V. Yakhnitsa},
	title = {Vestibular Signals in the Parasolitary Nucleus},
	journal = {Journal of Neurophysiology}
}</v>
      </c>
      <c r="F180" s="42"/>
      <c r="G180" s="9" t="str">
        <f>IFERROR(__xludf.DUMMYFUNCTION("""COMPUTED_VALUE"""),"Article")</f>
        <v>Article</v>
      </c>
      <c r="H180" s="9" t="str">
        <f>IFERROR(__xludf.DUMMYFUNCTION("""COMPUTED_VALUE"""),"N. H. Barmack, V. Yakhnitsa")</f>
        <v>N. H. Barmack, V. Yakhnitsa</v>
      </c>
      <c r="I180" s="9" t="str">
        <f>IFERROR(__xludf.DUMMYFUNCTION("""COMPUTED_VALUE"""),"Vestibular Signals in the Parasolitary Nucleus")</f>
        <v>Vestibular Signals in the Parasolitary Nucleus</v>
      </c>
      <c r="J180" s="9" t="str">
        <f>IFERROR(__xludf.DUMMYFUNCTION("""COMPUTED_VALUE"""),"Journal of Neurophysiology")</f>
        <v>Journal of Neurophysiology</v>
      </c>
      <c r="K180" s="42"/>
      <c r="L180" s="42" t="str">
        <f>IFERROR(__xludf.DUMMYFUNCTION("""COMPUTED_VALUE"""),"Hiroshi Yamakawa")</f>
        <v>Hiroshi Yamakawa</v>
      </c>
      <c r="M180" s="42" t="str">
        <f>IFERROR(__xludf.DUMMYFUNCTION("""COMPUTED_VALUE"""),"HY20Cerebellum")</f>
        <v>HY20Cerebellum</v>
      </c>
      <c r="N180" s="42"/>
      <c r="O180" s="42"/>
      <c r="P180" s="9"/>
      <c r="Q180" s="9"/>
      <c r="R180" s="42"/>
      <c r="S180" s="42"/>
      <c r="T180" s="42"/>
      <c r="U180" s="42"/>
      <c r="V180" s="42"/>
      <c r="W180" s="42"/>
    </row>
    <row r="181">
      <c r="A181" s="9" t="str">
        <f>IFERROR(__xludf.DUMMYFUNCTION("""COMPUTED_VALUE"""),"Baker, 2018")</f>
        <v>Baker, 2018</v>
      </c>
      <c r="B181" s="31" t="str">
        <f>IFERROR(__xludf.DUMMYFUNCTION("""COMPUTED_VALUE"""),"DOC")</f>
        <v>DOC</v>
      </c>
      <c r="C181" s="31" t="str">
        <f>IFERROR(__xludf.DUMMYFUNCTION("""COMPUTED_VALUE"""),"BIB")</f>
        <v>BIB</v>
      </c>
      <c r="D181" s="42" t="str">
        <f>IFERROR(__xludf.DUMMYFUNCTION("""COMPUTED_VALUE"""),"10.1523/JNEUROSCI.0150-18.2018")</f>
        <v>10.1523/JNEUROSCI.0150-18.2018</v>
      </c>
      <c r="E181" s="103" t="str">
        <f>IFERROR(__xludf.DUMMYFUNCTION("""COMPUTED_VALUE"""),"@article{Baker_2018,
	doi = {10.1523/jneurosci.0150-18.2018},
	url = {https://doi.org/10.1523%2Fjneurosci.0150-18.2018},
	year = 2018,
	month = {may},
	publisher = {Society for Neuroscience},
	volume = {38},
	number = {24},
	pages = {5441--5455},
	author "&amp;"= {Arielle Baker and Brian Kalmbach and Mieko Morishima and Juhyun Kim and Ashley Juavinett and Nuo Li and Nikolai Dembrow},
	title = {Specialized Subpopulations of Deep-Layer Pyramidal Neurons in the Neocortex: Bridging Cellular Properties to Functional "&amp;"Consequences},
	journal = {The Journal of Neuroscience}
}")</f>
        <v>@article{Baker_2018,
	doi = {10.1523/jneurosci.0150-18.2018},
	url = {https://doi.org/10.1523%2Fjneurosci.0150-18.2018},
	year = 2018,
	month = {may},
	publisher = {Society for Neuroscience},
	volume = {38},
	number = {24},
	pages = {5441--5455},
	author = {Arielle Baker and Brian Kalmbach and Mieko Morishima and Juhyun Kim and Ashley Juavinett and Nuo Li and Nikolai Dembrow},
	title = {Specialized Subpopulations of Deep-Layer Pyramidal Neurons in the Neocortex: Bridging Cellular Properties to Functional Consequences},
	journal = {The Journal of Neuroscience}
}</v>
      </c>
      <c r="F181" s="42"/>
      <c r="G181" s="9" t="str">
        <f>IFERROR(__xludf.DUMMYFUNCTION("""COMPUTED_VALUE"""),"Article")</f>
        <v>Article</v>
      </c>
      <c r="H181" s="9" t="str">
        <f>IFERROR(__xludf.DUMMYFUNCTION("""COMPUTED_VALUE"""),"Arielle Baker, Brian Kalmbach, Mieko Morishima, Juhyun Kim, Ashley Juavinett, Nuo Li, Nikolai Dembrow")</f>
        <v>Arielle Baker, Brian Kalmbach, Mieko Morishima, Juhyun Kim, Ashley Juavinett, Nuo Li, Nikolai Dembrow</v>
      </c>
      <c r="I181" s="9" t="str">
        <f>IFERROR(__xludf.DUMMYFUNCTION("""COMPUTED_VALUE"""),"Specialized Subpopulations of Deep-Layer Pyramidal Neurons in the Neocortex: Bridging Cellular Properties to Functional Consequences")</f>
        <v>Specialized Subpopulations of Deep-Layer Pyramidal Neurons in the Neocortex: Bridging Cellular Properties to Functional Consequences</v>
      </c>
      <c r="J181" s="9" t="str">
        <f>IFERROR(__xludf.DUMMYFUNCTION("""COMPUTED_VALUE"""),"The Journal of Neuroscience")</f>
        <v>The Journal of Neuroscience</v>
      </c>
      <c r="K181" s="42"/>
      <c r="L181" s="42" t="str">
        <f>IFERROR(__xludf.DUMMYFUNCTION("""COMPUTED_VALUE"""),"Hiroshi Yamakawa")</f>
        <v>Hiroshi Yamakawa</v>
      </c>
      <c r="M181" s="42" t="str">
        <f>IFERROR(__xludf.DUMMYFUNCTION("""COMPUTED_VALUE"""),"HY18NeocorticalInterareaSignals")</f>
        <v>HY18NeocorticalInterareaSignals</v>
      </c>
      <c r="N181" s="42"/>
      <c r="O181" s="42"/>
      <c r="P181" s="9"/>
      <c r="Q181" s="9"/>
      <c r="R181" s="42"/>
      <c r="S181" s="42"/>
      <c r="T181" s="42"/>
      <c r="U181" s="42"/>
      <c r="V181" s="42"/>
      <c r="W181" s="42"/>
    </row>
    <row r="182">
      <c r="A182" s="9" t="str">
        <f>IFERROR(__xludf.DUMMYFUNCTION("""COMPUTED_VALUE"""),"Apps, 2018")</f>
        <v>Apps, 2018</v>
      </c>
      <c r="B182" s="31" t="str">
        <f>IFERROR(__xludf.DUMMYFUNCTION("""COMPUTED_VALUE"""),"DOC")</f>
        <v>DOC</v>
      </c>
      <c r="C182" s="31" t="str">
        <f>IFERROR(__xludf.DUMMYFUNCTION("""COMPUTED_VALUE"""),"BIB")</f>
        <v>BIB</v>
      </c>
      <c r="D182" s="42" t="str">
        <f>IFERROR(__xludf.DUMMYFUNCTION("""COMPUTED_VALUE"""),"10.1007/s12311-018-0952-3")</f>
        <v>10.1007/s12311-018-0952-3</v>
      </c>
      <c r="E182" s="103" t="str">
        <f>IFERROR(__xludf.DUMMYFUNCTION("""COMPUTED_VALUE"""),"@article{Apps_2018,
	doi = {10.1007/s12311-018-0952-3},
	url = {https://doi.org/10.1007%2Fs12311-018-0952-3},
	year = 2018,
	month = {jun},
	publisher = {Springer Science and Business Media {LLC}},
	volume = {17},
	number = {5},
	pages = {654--682},
	auth"&amp;"or = {Richard Apps and Richard Hawkes and Sho Aoki and Fredrik Bengtsson and Amanda M. Brown and Gang Chen and Timothy J. Ebner and Philippe Isope and Henrik Jörntell and Elizabeth P. Lackey and Charlotte Lawrenson and Bridget Lumb and Martijn Schonewille"&amp;" and Roy V. Sillitoe and Ludovic Spaeth and Izumi Sugihara and Antoine Valera and Jan Voogd and Douglas R. Wylie and Tom J. H. Ruigrok},
	title = {Cerebellar Modules and Their Role as Operational Cerebellar Processing Units},
	journal = {The Cerebellum}
}")</f>
        <v>@article{Apps_2018,
	doi = {10.1007/s12311-018-0952-3},
	url = {https://doi.org/10.1007%2Fs12311-018-0952-3},
	year = 2018,
	month = {jun},
	publisher = {Springer Science and Business Media {LLC}},
	volume = {17},
	number = {5},
	pages = {654--682},
	author = {Richard Apps and Richard Hawkes and Sho Aoki and Fredrik Bengtsson and Amanda M. Brown and Gang Chen and Timothy J. Ebner and Philippe Isope and Henrik Jörntell and Elizabeth P. Lackey and Charlotte Lawrenson and Bridget Lumb and Martijn Schonewille and Roy V. Sillitoe and Ludovic Spaeth and Izumi Sugihara and Antoine Valera and Jan Voogd and Douglas R. Wylie and Tom J. H. Ruigrok},
	title = {Cerebellar Modules and Their Role as Operational Cerebellar Processing Units},
	journal = {The Cerebellum}
}</v>
      </c>
      <c r="F182" s="42"/>
      <c r="G182" s="9" t="str">
        <f>IFERROR(__xludf.DUMMYFUNCTION("""COMPUTED_VALUE"""),"Article")</f>
        <v>Article</v>
      </c>
      <c r="H182" s="9" t="str">
        <f>IFERROR(__xludf.DUMMYFUNCTION("""COMPUTED_VALUE"""),"Richard Apps, Richard Hawkes, Sho Aoki, Fredrik Bengtsson, Amanda M. Brown, Gang Chen, Timothy J. Ebner, Philippe Isope, Henrik Jörntell, Elizabeth P. Lackey, Charlotte Lawrenson, Bridget Lumb, Martijn Schonewille, Roy V. Sillitoe, Ludovic Spaeth, Izumi S"&amp;"ugihara, Antoine Valera, Jan Voogd, Douglas R. Wylie, Tom J. H. Ruigrok")</f>
        <v>Richard Apps, Richard Hawkes, Sho Aoki, Fredrik Bengtsson, Amanda M. Brown, Gang Chen, Timothy J. Ebner, Philippe Isope, Henrik Jörntell, Elizabeth P. Lackey, Charlotte Lawrenson, Bridget Lumb, Martijn Schonewille, Roy V. Sillitoe, Ludovic Spaeth, Izumi Sugihara, Antoine Valera, Jan Voogd, Douglas R. Wylie, Tom J. H. Ruigrok</v>
      </c>
      <c r="I182" s="9" t="str">
        <f>IFERROR(__xludf.DUMMYFUNCTION("""COMPUTED_VALUE"""),"Cerebellar Modules and Their Role as Operational Cerebellar Processing Units")</f>
        <v>Cerebellar Modules and Their Role as Operational Cerebellar Processing Units</v>
      </c>
      <c r="J182" s="9" t="str">
        <f>IFERROR(__xludf.DUMMYFUNCTION("""COMPUTED_VALUE"""),"The Cerebellum")</f>
        <v>The Cerebellum</v>
      </c>
      <c r="K182" s="42"/>
      <c r="L182" s="42" t="str">
        <f>IFERROR(__xludf.DUMMYFUNCTION("""COMPUTED_VALUE"""),"Hiroshi Yamakawa")</f>
        <v>Hiroshi Yamakawa</v>
      </c>
      <c r="M182" s="42" t="str">
        <f>IFERROR(__xludf.DUMMYFUNCTION("""COMPUTED_VALUE"""),"HY20Cerebellum")</f>
        <v>HY20Cerebellum</v>
      </c>
      <c r="N182" s="42"/>
      <c r="O182" s="42"/>
      <c r="P182" s="9"/>
      <c r="Q182" s="9"/>
      <c r="R182" s="42"/>
      <c r="S182" s="42"/>
      <c r="T182" s="42"/>
      <c r="U182" s="42"/>
      <c r="V182" s="42"/>
      <c r="W182" s="42"/>
    </row>
    <row r="183">
      <c r="A183" s="9" t="str">
        <f>IFERROR(__xludf.DUMMYFUNCTION("""COMPUTED_VALUE"""),"Ango, 2019")</f>
        <v>Ango, 2019</v>
      </c>
      <c r="B183" s="31" t="str">
        <f>IFERROR(__xludf.DUMMYFUNCTION("""COMPUTED_VALUE"""),"DOC")</f>
        <v>DOC</v>
      </c>
      <c r="C183" s="31" t="str">
        <f>IFERROR(__xludf.DUMMYFUNCTION("""COMPUTED_VALUE"""),"BIB")</f>
        <v>BIB</v>
      </c>
      <c r="D183" s="42" t="str">
        <f>IFERROR(__xludf.DUMMYFUNCTION("""COMPUTED_VALUE"""),"10.7554/eLife.46973
")</f>
        <v>10.7554/eLife.46973
</v>
      </c>
      <c r="E183" s="103" t="str">
        <f>IFERROR(__xludf.DUMMYFUNCTION("""COMPUTED_VALUE"""),"@article{Ango2019,
  doi = {10.7554/elife.46973},
  url = {https://doi.org/10.7554/elife.46973},
  year = {2019},
  month = apr,
  publisher = {{eLife} Sciences Publications,  Ltd},
  volume = {8},
  author = {Fabrice Ango and Raphaël Dos Reis},
 "&amp;" title = {Sensing how to balance},
  journal = {{eLife}}
}")</f>
        <v>@article{Ango2019,
  doi = {10.7554/elife.46973},
  url = {https://doi.org/10.7554/elife.46973},
  year = {2019},
  month = apr,
  publisher = {{eLife} Sciences Publications,  Ltd},
  volume = {8},
  author = {Fabrice Ango and Raphaël Dos Reis},
  title = {Sensing how to balance},
  journal = {{eLife}}
}</v>
      </c>
      <c r="F183" s="42" t="str">
        <f>IFERROR(__xludf.DUMMYFUNCTION("""COMPUTED_VALUE"""),"Insight")</f>
        <v>Insight</v>
      </c>
      <c r="G183" s="9" t="str">
        <f>IFERROR(__xludf.DUMMYFUNCTION("""COMPUTED_VALUE"""),"Article")</f>
        <v>Article</v>
      </c>
      <c r="H183" s="9" t="str">
        <f>IFERROR(__xludf.DUMMYFUNCTION("""COMPUTED_VALUE"""),"Fabrice Ango, Raphaël Dos Reis")</f>
        <v>Fabrice Ango, Raphaël Dos Reis</v>
      </c>
      <c r="I183" s="9" t="str">
        <f>IFERROR(__xludf.DUMMYFUNCTION("""COMPUTED_VALUE"""),"Sensing how to balance")</f>
        <v>Sensing how to balance</v>
      </c>
      <c r="J183" s="9" t="str">
        <f>IFERROR(__xludf.DUMMYFUNCTION("""COMPUTED_VALUE"""),"{eLife}")</f>
        <v>{eLife}</v>
      </c>
      <c r="K183" s="42"/>
      <c r="L183" s="42" t="str">
        <f>IFERROR(__xludf.DUMMYFUNCTION("""COMPUTED_VALUE"""),"Hiroshi Yamakawa")</f>
        <v>Hiroshi Yamakawa</v>
      </c>
      <c r="M183" s="42" t="str">
        <f>IFERROR(__xludf.DUMMYFUNCTION("""COMPUTED_VALUE"""),"HY20Cerebellum")</f>
        <v>HY20Cerebellum</v>
      </c>
      <c r="N183" s="42"/>
      <c r="O183" s="42"/>
      <c r="P183" s="9"/>
      <c r="Q183" s="9"/>
      <c r="R183" s="42"/>
      <c r="S183" s="42"/>
      <c r="T183" s="42"/>
      <c r="U183" s="42"/>
      <c r="V183" s="42"/>
      <c r="W183" s="42"/>
    </row>
    <row r="184">
      <c r="A184" s="9" t="str">
        <f>IFERROR(__xludf.DUMMYFUNCTION("""COMPUTED_VALUE"""),"Andersen, 2006")</f>
        <v>Andersen, 2006</v>
      </c>
      <c r="B184" s="31" t="str">
        <f>IFERROR(__xludf.DUMMYFUNCTION("""COMPUTED_VALUE"""),"DOC")</f>
        <v>DOC</v>
      </c>
      <c r="C184" s="31" t="str">
        <f>IFERROR(__xludf.DUMMYFUNCTION("""COMPUTED_VALUE"""),"BIB")</f>
        <v>BIB</v>
      </c>
      <c r="D184" s="42" t="str">
        <f>IFERROR(__xludf.DUMMYFUNCTION("""COMPUTED_VALUE"""),"10.1093/acprof:oso/9780195100273.001.0001")</f>
        <v>10.1093/acprof:oso/9780195100273.001.0001</v>
      </c>
      <c r="E184" s="103" t="str">
        <f>IFERROR(__xludf.DUMMYFUNCTION("""COMPUTED_VALUE"""),"@book{Andersen2006,
        doi = {10.1093/acprof:oso/9780195100273.001.0001},
        url = {https://doi.org/10.1093%2Facprof%3Aoso%2F9780195100273.001.0001},
        year = 2006,
        month = {dec},
        publisher = {Oxford University Press},
    "&amp;"    editor = {Per Andersen and Richard Morris and David Amaral and Tim Bliss and John O{\textquotesingle}Keefe},
        title = {The Hippocampus Book}
}")</f>
        <v>@book{Andersen2006,
        doi = {10.1093/acprof:oso/9780195100273.001.0001},
        url = {https://doi.org/10.1093%2Facprof%3Aoso%2F9780195100273.001.0001},
        year = 2006,
        month = {dec},
        publisher = {Oxford University Press},
        editor = {Per Andersen and Richard Morris and David Amaral and Tim Bliss and John O{\textquotesingle}Keefe},
        title = {The Hippocampus Book}
}</v>
      </c>
      <c r="F184" s="42"/>
      <c r="G184" s="9" t="str">
        <f>IFERROR(__xludf.DUMMYFUNCTION("""COMPUTED_VALUE"""),"Book")</f>
        <v>Book</v>
      </c>
      <c r="H184" s="9" t="str">
        <f>IFERROR(__xludf.DUMMYFUNCTION("""COMPUTED_VALUE"""),"Per Andersen, Richard Morris, David Amaral, Tim Bliss, John O{\textquotesingle}Keefe")</f>
        <v>Per Andersen, Richard Morris, David Amaral, Tim Bliss, John O{\textquotesingle}Keefe</v>
      </c>
      <c r="I184" s="9" t="str">
        <f>IFERROR(__xludf.DUMMYFUNCTION("""COMPUTED_VALUE"""),"The Hippocampus Book")</f>
        <v>The Hippocampus Book</v>
      </c>
      <c r="J184" s="9" t="str">
        <f>IFERROR(__xludf.DUMMYFUNCTION("""COMPUTED_VALUE"""),"-")</f>
        <v>-</v>
      </c>
      <c r="K184" s="42"/>
      <c r="L184" s="42" t="str">
        <f>IFERROR(__xludf.DUMMYFUNCTION("""COMPUTED_VALUE"""),"Ayako Fukawa")</f>
        <v>Ayako Fukawa</v>
      </c>
      <c r="M184" s="42" t="str">
        <f>IFERROR(__xludf.DUMMYFUNCTION("""COMPUTED_VALUE"""),"AT20HippocampalFormation")</f>
        <v>AT20HippocampalFormation</v>
      </c>
      <c r="N184" s="42"/>
      <c r="O184" s="42"/>
      <c r="P184" s="9"/>
      <c r="Q184" s="9"/>
      <c r="R184" s="42"/>
      <c r="S184" s="42"/>
      <c r="T184" s="42"/>
      <c r="U184" s="42"/>
      <c r="V184" s="42"/>
      <c r="W184" s="42"/>
    </row>
    <row r="185">
      <c r="A185" s="9" t="str">
        <f>IFERROR(__xludf.DUMMYFUNCTION("""COMPUTED_VALUE"""),"Amaral, 1991")</f>
        <v>Amaral, 1991</v>
      </c>
      <c r="B185" s="31" t="str">
        <f>IFERROR(__xludf.DUMMYFUNCTION("""COMPUTED_VALUE"""),"DOC")</f>
        <v>DOC</v>
      </c>
      <c r="C185" s="31" t="str">
        <f>IFERROR(__xludf.DUMMYFUNCTION("""COMPUTED_VALUE"""),"BIB")</f>
        <v>BIB</v>
      </c>
      <c r="D185" s="42" t="str">
        <f>IFERROR(__xludf.DUMMYFUNCTION("""COMPUTED_VALUE"""),"10.1002/hipo.450010410")</f>
        <v>10.1002/hipo.450010410</v>
      </c>
      <c r="E185" s="103" t="str">
        <f>IFERROR(__xludf.DUMMYFUNCTION("""COMPUTED_VALUE"""),"@article{Amaral_1991,
	doi = {10.1002/hipo.450010410},
	url = {https://doi.org/10.1002%2Fhipo.450010410},
	year = 1991,
	month = {oct},
	publisher = {Wiley},
	volume = {1},
	number = {4},
	pages = {415--435},
	author = {David G. Amaral and Cynthia Dolorfo"&amp;" and Pablo Alvarez-Royo},
	title = {Organization of {CA}1 projections to the subiculum: A {PHA}-L analysis in the rat},
	journal = {Hippocampus}
}")</f>
        <v>@article{Amaral_1991,
	doi = {10.1002/hipo.450010410},
	url = {https://doi.org/10.1002%2Fhipo.450010410},
	year = 1991,
	month = {oct},
	publisher = {Wiley},
	volume = {1},
	number = {4},
	pages = {415--435},
	author = {David G. Amaral and Cynthia Dolorfo and Pablo Alvarez-Royo},
	title = {Organization of {CA}1 projections to the subiculum: A {PHA}-L analysis in the rat},
	journal = {Hippocampus}
}</v>
      </c>
      <c r="F185" s="42" t="str">
        <f>IFERROR(__xludf.DUMMYFUNCTION("""COMPUTED_VALUE"""),"Experimental results")</f>
        <v>Experimental results</v>
      </c>
      <c r="G185" s="9" t="str">
        <f>IFERROR(__xludf.DUMMYFUNCTION("""COMPUTED_VALUE"""),"Article")</f>
        <v>Article</v>
      </c>
      <c r="H185" s="9" t="str">
        <f>IFERROR(__xludf.DUMMYFUNCTION("""COMPUTED_VALUE"""),"David G. Amaral, Cynthia Dolorfo, Pablo Alvarez-Royo")</f>
        <v>David G. Amaral, Cynthia Dolorfo, Pablo Alvarez-Royo</v>
      </c>
      <c r="I185" s="9" t="str">
        <f>IFERROR(__xludf.DUMMYFUNCTION("""COMPUTED_VALUE"""),"Organization of {CA}1 projections to the subiculum: A {PHA}-L analysis in the rat")</f>
        <v>Organization of {CA}1 projections to the subiculum: A {PHA}-L analysis in the rat</v>
      </c>
      <c r="J185" s="9" t="str">
        <f>IFERROR(__xludf.DUMMYFUNCTION("""COMPUTED_VALUE"""),"Hippocampus")</f>
        <v>Hippocampus</v>
      </c>
      <c r="K185" s="42"/>
      <c r="L185" s="42" t="str">
        <f>IFERROR(__xludf.DUMMYFUNCTION("""COMPUTED_VALUE"""),"Yuske Shibata")</f>
        <v>Yuske Shibata</v>
      </c>
      <c r="M185" s="42" t="str">
        <f>IFERROR(__xludf.DUMMYFUNCTION("""COMPUTED_VALUE"""),"YS21CredibilityCheck")</f>
        <v>YS21CredibilityCheck</v>
      </c>
      <c r="N185" s="42"/>
      <c r="O185" s="42"/>
      <c r="P185" s="9"/>
      <c r="Q185" s="9"/>
      <c r="R185" s="42"/>
      <c r="S185" s="42"/>
      <c r="T185" s="42"/>
      <c r="U185" s="42"/>
      <c r="V185" s="42"/>
      <c r="W185" s="42"/>
    </row>
    <row r="186">
      <c r="A186" s="9" t="str">
        <f>IFERROR(__xludf.DUMMYFUNCTION("""COMPUTED_VALUE"""),"(no BibTex)")</f>
        <v>(no BibTex)</v>
      </c>
      <c r="B186" s="31" t="str">
        <f>IFERROR(__xludf.DUMMYFUNCTION("""COMPUTED_VALUE"""),"DOC(alt)")</f>
        <v>DOC(alt)</v>
      </c>
      <c r="C186" s="31" t="str">
        <f>IFERROR(__xludf.DUMMYFUNCTION("""COMPUTED_VALUE"""),"(no DOI)")</f>
        <v>(no DOI)</v>
      </c>
      <c r="D186" s="42"/>
      <c r="E186" s="103"/>
      <c r="F186" s="42"/>
      <c r="G186" s="9" t="str">
        <f>IFERROR(__xludf.DUMMYFUNCTION("""COMPUTED_VALUE"""),"Article")</f>
        <v>Article</v>
      </c>
      <c r="H186" s="9" t="str">
        <f>IFERROR(__xludf.DUMMYFUNCTION("""COMPUTED_VALUE"""),"Wikipedia")</f>
        <v>Wikipedia</v>
      </c>
      <c r="I186" s="9" t="str">
        <f>IFERROR(__xludf.DUMMYFUNCTION("""COMPUTED_VALUE"""),"Accessory cuneate nucleu
")</f>
        <v>Accessory cuneate nucleu
</v>
      </c>
      <c r="J186" s="9"/>
      <c r="K186" s="133" t="str">
        <f>IFERROR(__xludf.DUMMYFUNCTION("""COMPUTED_VALUE"""),"https://en.wikipedia.org/wiki/Accessory_cuneate_nucleus")</f>
        <v>https://en.wikipedia.org/wiki/Accessory_cuneate_nucleus</v>
      </c>
      <c r="L186" s="42" t="str">
        <f>IFERROR(__xludf.DUMMYFUNCTION("""COMPUTED_VALUE"""),"Hiroshi Yamakawa")</f>
        <v>Hiroshi Yamakawa</v>
      </c>
      <c r="M186" s="42" t="str">
        <f>IFERROR(__xludf.DUMMYFUNCTION("""COMPUTED_VALUE"""),"HY20Cerebellum")</f>
        <v>HY20Cerebellum</v>
      </c>
      <c r="N186" s="42"/>
      <c r="O186" s="42"/>
      <c r="P186" s="9"/>
      <c r="Q186" s="9"/>
      <c r="R186" s="42"/>
      <c r="S186" s="42"/>
      <c r="T186" s="42"/>
      <c r="U186" s="42"/>
      <c r="V186" s="42"/>
      <c r="W186" s="42"/>
    </row>
    <row r="187">
      <c r="A187" s="9" t="str">
        <f>IFERROR(__xludf.DUMMYFUNCTION("""COMPUTED_VALUE"""),"(no BibTex)")</f>
        <v>(no BibTex)</v>
      </c>
      <c r="B187" s="31" t="str">
        <f>IFERROR(__xludf.DUMMYFUNCTION("""COMPUTED_VALUE"""),"-")</f>
        <v>-</v>
      </c>
      <c r="C187" s="31" t="str">
        <f>IFERROR(__xludf.DUMMYFUNCTION("""COMPUTED_VALUE"""),"(no DOI)")</f>
        <v>(no DOI)</v>
      </c>
      <c r="D187" s="42"/>
      <c r="E187" s="103"/>
      <c r="F187" s="42"/>
      <c r="G187" s="9" t="str">
        <f>IFERROR(__xludf.DUMMYFUNCTION("""COMPUTED_VALUE"""),"(no BibTex)")</f>
        <v>(no BibTex)</v>
      </c>
      <c r="H187" s="9" t="str">
        <f>IFERROR(__xludf.DUMMYFUNCTION("""COMPUTED_VALUE"""),"(no BibTex)")</f>
        <v>(no BibTex)</v>
      </c>
      <c r="I187" s="9" t="str">
        <f>IFERROR(__xludf.DUMMYFUNCTION("""COMPUTED_VALUE"""),"(no BibTex)")</f>
        <v>(no BibTex)</v>
      </c>
      <c r="J187" s="9" t="str">
        <f>IFERROR(__xludf.DUMMYFUNCTION("""COMPUTED_VALUE"""),"-")</f>
        <v>-</v>
      </c>
      <c r="K187" s="42"/>
      <c r="L187" s="42"/>
      <c r="M187" s="42"/>
      <c r="N187" s="42"/>
      <c r="O187" s="42"/>
      <c r="P187" s="9"/>
      <c r="Q187" s="9"/>
      <c r="R187" s="42"/>
      <c r="S187" s="42"/>
      <c r="T187" s="42"/>
      <c r="U187" s="42"/>
      <c r="V187" s="42"/>
      <c r="W187" s="42"/>
    </row>
    <row r="188">
      <c r="A188" s="9" t="str">
        <f>IFERROR(__xludf.DUMMYFUNCTION("""COMPUTED_VALUE"""),"(no BibTex)")</f>
        <v>(no BibTex)</v>
      </c>
      <c r="B188" s="31" t="str">
        <f>IFERROR(__xludf.DUMMYFUNCTION("""COMPUTED_VALUE"""),"-")</f>
        <v>-</v>
      </c>
      <c r="C188" s="31" t="str">
        <f>IFERROR(__xludf.DUMMYFUNCTION("""COMPUTED_VALUE"""),"(no DOI)")</f>
        <v>(no DOI)</v>
      </c>
      <c r="D188" s="42"/>
      <c r="E188" s="103"/>
      <c r="F188" s="42"/>
      <c r="G188" s="9" t="str">
        <f>IFERROR(__xludf.DUMMYFUNCTION("""COMPUTED_VALUE"""),"(no BibTex)")</f>
        <v>(no BibTex)</v>
      </c>
      <c r="H188" s="9" t="str">
        <f>IFERROR(__xludf.DUMMYFUNCTION("""COMPUTED_VALUE"""),"(no BibTex)")</f>
        <v>(no BibTex)</v>
      </c>
      <c r="I188" s="9" t="str">
        <f>IFERROR(__xludf.DUMMYFUNCTION("""COMPUTED_VALUE"""),"(no BibTex)")</f>
        <v>(no BibTex)</v>
      </c>
      <c r="J188" s="9" t="str">
        <f>IFERROR(__xludf.DUMMYFUNCTION("""COMPUTED_VALUE"""),"-")</f>
        <v>-</v>
      </c>
      <c r="K188" s="42"/>
      <c r="L188" s="42"/>
      <c r="M188" s="42"/>
      <c r="N188" s="42"/>
      <c r="O188" s="42"/>
      <c r="P188" s="9"/>
      <c r="Q188" s="9"/>
      <c r="R188" s="42"/>
      <c r="S188" s="42"/>
      <c r="T188" s="42"/>
      <c r="U188" s="42"/>
      <c r="V188" s="42"/>
      <c r="W188" s="42"/>
    </row>
    <row r="189">
      <c r="A189" s="9" t="str">
        <f>IFERROR(__xludf.DUMMYFUNCTION("""COMPUTED_VALUE"""),"(no BibTex)")</f>
        <v>(no BibTex)</v>
      </c>
      <c r="B189" s="31" t="str">
        <f>IFERROR(__xludf.DUMMYFUNCTION("""COMPUTED_VALUE"""),"-")</f>
        <v>-</v>
      </c>
      <c r="C189" s="31" t="str">
        <f>IFERROR(__xludf.DUMMYFUNCTION("""COMPUTED_VALUE"""),"(no DOI)")</f>
        <v>(no DOI)</v>
      </c>
      <c r="D189" s="42"/>
      <c r="E189" s="103"/>
      <c r="F189" s="42"/>
      <c r="G189" s="9" t="str">
        <f>IFERROR(__xludf.DUMMYFUNCTION("""COMPUTED_VALUE"""),"(no BibTex)")</f>
        <v>(no BibTex)</v>
      </c>
      <c r="H189" s="9" t="str">
        <f>IFERROR(__xludf.DUMMYFUNCTION("""COMPUTED_VALUE"""),"(no BibTex)")</f>
        <v>(no BibTex)</v>
      </c>
      <c r="I189" s="9" t="str">
        <f>IFERROR(__xludf.DUMMYFUNCTION("""COMPUTED_VALUE"""),"(no BibTex)")</f>
        <v>(no BibTex)</v>
      </c>
      <c r="J189" s="9" t="str">
        <f>IFERROR(__xludf.DUMMYFUNCTION("""COMPUTED_VALUE"""),"-")</f>
        <v>-</v>
      </c>
      <c r="K189" s="42"/>
      <c r="L189" s="42"/>
      <c r="M189" s="42"/>
      <c r="N189" s="42"/>
      <c r="O189" s="42"/>
      <c r="P189" s="9"/>
      <c r="Q189" s="9"/>
      <c r="R189" s="42"/>
      <c r="S189" s="42"/>
      <c r="T189" s="42"/>
      <c r="U189" s="42"/>
      <c r="V189" s="42"/>
      <c r="W189" s="42"/>
    </row>
    <row r="190">
      <c r="A190" s="9" t="str">
        <f>IFERROR(__xludf.DUMMYFUNCTION("""COMPUTED_VALUE"""),"(no BibTex)")</f>
        <v>(no BibTex)</v>
      </c>
      <c r="B190" s="31" t="str">
        <f>IFERROR(__xludf.DUMMYFUNCTION("""COMPUTED_VALUE"""),"-")</f>
        <v>-</v>
      </c>
      <c r="C190" s="31" t="str">
        <f>IFERROR(__xludf.DUMMYFUNCTION("""COMPUTED_VALUE"""),"(no DOI)")</f>
        <v>(no DOI)</v>
      </c>
      <c r="D190" s="42"/>
      <c r="E190" s="103"/>
      <c r="F190" s="42"/>
      <c r="G190" s="9" t="str">
        <f>IFERROR(__xludf.DUMMYFUNCTION("""COMPUTED_VALUE"""),"(no BibTex)")</f>
        <v>(no BibTex)</v>
      </c>
      <c r="H190" s="9" t="str">
        <f>IFERROR(__xludf.DUMMYFUNCTION("""COMPUTED_VALUE"""),"(no BibTex)")</f>
        <v>(no BibTex)</v>
      </c>
      <c r="I190" s="9" t="str">
        <f>IFERROR(__xludf.DUMMYFUNCTION("""COMPUTED_VALUE"""),"(no BibTex)")</f>
        <v>(no BibTex)</v>
      </c>
      <c r="J190" s="9" t="str">
        <f>IFERROR(__xludf.DUMMYFUNCTION("""COMPUTED_VALUE"""),"-")</f>
        <v>-</v>
      </c>
      <c r="K190" s="42"/>
      <c r="L190" s="42"/>
      <c r="M190" s="42"/>
      <c r="N190" s="42"/>
      <c r="O190" s="42"/>
      <c r="P190" s="9"/>
      <c r="Q190" s="9"/>
      <c r="R190" s="42"/>
      <c r="S190" s="42"/>
      <c r="T190" s="42"/>
      <c r="U190" s="42"/>
      <c r="V190" s="42"/>
      <c r="W190" s="42"/>
    </row>
    <row r="191">
      <c r="A191" s="9" t="str">
        <f>IFERROR(__xludf.DUMMYFUNCTION("""COMPUTED_VALUE"""),"(no BibTex)")</f>
        <v>(no BibTex)</v>
      </c>
      <c r="B191" s="31" t="str">
        <f>IFERROR(__xludf.DUMMYFUNCTION("""COMPUTED_VALUE"""),"-")</f>
        <v>-</v>
      </c>
      <c r="C191" s="31" t="str">
        <f>IFERROR(__xludf.DUMMYFUNCTION("""COMPUTED_VALUE"""),"(no DOI)")</f>
        <v>(no DOI)</v>
      </c>
      <c r="D191" s="42"/>
      <c r="E191" s="103"/>
      <c r="F191" s="42"/>
      <c r="G191" s="9" t="str">
        <f>IFERROR(__xludf.DUMMYFUNCTION("""COMPUTED_VALUE"""),"(no BibTex)")</f>
        <v>(no BibTex)</v>
      </c>
      <c r="H191" s="9" t="str">
        <f>IFERROR(__xludf.DUMMYFUNCTION("""COMPUTED_VALUE"""),"(no BibTex)")</f>
        <v>(no BibTex)</v>
      </c>
      <c r="I191" s="9" t="str">
        <f>IFERROR(__xludf.DUMMYFUNCTION("""COMPUTED_VALUE"""),"(no BibTex)")</f>
        <v>(no BibTex)</v>
      </c>
      <c r="J191" s="9" t="str">
        <f>IFERROR(__xludf.DUMMYFUNCTION("""COMPUTED_VALUE"""),"-")</f>
        <v>-</v>
      </c>
      <c r="K191" s="42"/>
      <c r="L191" s="42"/>
      <c r="M191" s="42"/>
      <c r="N191" s="42"/>
      <c r="O191" s="42"/>
      <c r="P191" s="9"/>
      <c r="Q191" s="9"/>
      <c r="R191" s="42"/>
      <c r="S191" s="42"/>
      <c r="T191" s="42"/>
      <c r="U191" s="42"/>
      <c r="V191" s="42"/>
      <c r="W191" s="42"/>
    </row>
    <row r="192">
      <c r="A192" s="9" t="str">
        <f>IFERROR(__xludf.DUMMYFUNCTION("""COMPUTED_VALUE"""),"(no BibTex)")</f>
        <v>(no BibTex)</v>
      </c>
      <c r="B192" s="31" t="str">
        <f>IFERROR(__xludf.DUMMYFUNCTION("""COMPUTED_VALUE"""),"-")</f>
        <v>-</v>
      </c>
      <c r="C192" s="31" t="str">
        <f>IFERROR(__xludf.DUMMYFUNCTION("""COMPUTED_VALUE"""),"(no DOI)")</f>
        <v>(no DOI)</v>
      </c>
      <c r="D192" s="135"/>
      <c r="E192" s="103"/>
      <c r="F192" s="42"/>
      <c r="G192" s="9" t="str">
        <f>IFERROR(__xludf.DUMMYFUNCTION("""COMPUTED_VALUE"""),"(no BibTex)")</f>
        <v>(no BibTex)</v>
      </c>
      <c r="H192" s="9" t="str">
        <f>IFERROR(__xludf.DUMMYFUNCTION("""COMPUTED_VALUE"""),"(no BibTex)")</f>
        <v>(no BibTex)</v>
      </c>
      <c r="I192" s="9" t="str">
        <f>IFERROR(__xludf.DUMMYFUNCTION("""COMPUTED_VALUE"""),"(no BibTex)")</f>
        <v>(no BibTex)</v>
      </c>
      <c r="J192" s="9" t="str">
        <f>IFERROR(__xludf.DUMMYFUNCTION("""COMPUTED_VALUE"""),"-")</f>
        <v>-</v>
      </c>
      <c r="K192" s="42"/>
      <c r="L192" s="42"/>
      <c r="M192" s="42"/>
      <c r="N192" s="42"/>
      <c r="O192" s="42"/>
      <c r="P192" s="9"/>
      <c r="Q192" s="9"/>
      <c r="R192" s="42"/>
      <c r="S192" s="42"/>
      <c r="T192" s="42"/>
      <c r="U192" s="42"/>
      <c r="V192" s="42"/>
      <c r="W192" s="42"/>
    </row>
    <row r="193">
      <c r="A193" s="9" t="str">
        <f>IFERROR(__xludf.DUMMYFUNCTION("""COMPUTED_VALUE"""),"(no BibTex)")</f>
        <v>(no BibTex)</v>
      </c>
      <c r="B193" s="31" t="str">
        <f>IFERROR(__xludf.DUMMYFUNCTION("""COMPUTED_VALUE"""),"-")</f>
        <v>-</v>
      </c>
      <c r="C193" s="31" t="str">
        <f>IFERROR(__xludf.DUMMYFUNCTION("""COMPUTED_VALUE"""),"(no DOI)")</f>
        <v>(no DOI)</v>
      </c>
      <c r="D193" s="135"/>
      <c r="E193" s="103"/>
      <c r="F193" s="42"/>
      <c r="G193" s="9" t="str">
        <f>IFERROR(__xludf.DUMMYFUNCTION("""COMPUTED_VALUE"""),"(no BibTex)")</f>
        <v>(no BibTex)</v>
      </c>
      <c r="H193" s="9" t="str">
        <f>IFERROR(__xludf.DUMMYFUNCTION("""COMPUTED_VALUE"""),"(no BibTex)")</f>
        <v>(no BibTex)</v>
      </c>
      <c r="I193" s="9" t="str">
        <f>IFERROR(__xludf.DUMMYFUNCTION("""COMPUTED_VALUE"""),"(no BibTex)")</f>
        <v>(no BibTex)</v>
      </c>
      <c r="J193" s="9" t="str">
        <f>IFERROR(__xludf.DUMMYFUNCTION("""COMPUTED_VALUE"""),"-")</f>
        <v>-</v>
      </c>
      <c r="K193" s="42"/>
      <c r="L193" s="42"/>
      <c r="M193" s="42"/>
      <c r="N193" s="42"/>
      <c r="O193" s="42"/>
      <c r="P193" s="9"/>
      <c r="Q193" s="9"/>
      <c r="R193" s="42"/>
      <c r="S193" s="42"/>
      <c r="T193" s="42"/>
      <c r="U193" s="42"/>
      <c r="V193" s="42"/>
      <c r="W193" s="42"/>
    </row>
    <row r="194">
      <c r="A194" s="9" t="str">
        <f>IFERROR(__xludf.DUMMYFUNCTION("""COMPUTED_VALUE"""),"(no BibTex)")</f>
        <v>(no BibTex)</v>
      </c>
      <c r="B194" s="31" t="str">
        <f>IFERROR(__xludf.DUMMYFUNCTION("""COMPUTED_VALUE"""),"-")</f>
        <v>-</v>
      </c>
      <c r="C194" s="31" t="str">
        <f>IFERROR(__xludf.DUMMYFUNCTION("""COMPUTED_VALUE"""),"(no DOI)")</f>
        <v>(no DOI)</v>
      </c>
      <c r="D194" s="135"/>
      <c r="E194" s="103"/>
      <c r="F194" s="42"/>
      <c r="G194" s="9" t="str">
        <f>IFERROR(__xludf.DUMMYFUNCTION("""COMPUTED_VALUE"""),"(no BibTex)")</f>
        <v>(no BibTex)</v>
      </c>
      <c r="H194" s="9" t="str">
        <f>IFERROR(__xludf.DUMMYFUNCTION("""COMPUTED_VALUE"""),"(no BibTex)")</f>
        <v>(no BibTex)</v>
      </c>
      <c r="I194" s="9" t="str">
        <f>IFERROR(__xludf.DUMMYFUNCTION("""COMPUTED_VALUE"""),"(no BibTex)")</f>
        <v>(no BibTex)</v>
      </c>
      <c r="J194" s="9" t="str">
        <f>IFERROR(__xludf.DUMMYFUNCTION("""COMPUTED_VALUE"""),"-")</f>
        <v>-</v>
      </c>
      <c r="K194" s="42"/>
      <c r="L194" s="42"/>
      <c r="M194" s="42"/>
      <c r="N194" s="42"/>
      <c r="O194" s="42"/>
      <c r="P194" s="9"/>
      <c r="Q194" s="9"/>
      <c r="R194" s="42"/>
      <c r="S194" s="42"/>
      <c r="T194" s="42"/>
      <c r="U194" s="42"/>
      <c r="V194" s="42"/>
      <c r="W194" s="42"/>
    </row>
    <row r="195">
      <c r="A195" s="9" t="str">
        <f>IFERROR(__xludf.DUMMYFUNCTION("""COMPUTED_VALUE"""),"(no BibTex)")</f>
        <v>(no BibTex)</v>
      </c>
      <c r="B195" s="31" t="str">
        <f>IFERROR(__xludf.DUMMYFUNCTION("""COMPUTED_VALUE"""),"-")</f>
        <v>-</v>
      </c>
      <c r="C195" s="31" t="str">
        <f>IFERROR(__xludf.DUMMYFUNCTION("""COMPUTED_VALUE"""),"(no DOI)")</f>
        <v>(no DOI)</v>
      </c>
      <c r="D195" s="42"/>
      <c r="E195" s="103"/>
      <c r="F195" s="42"/>
      <c r="G195" s="9" t="str">
        <f>IFERROR(__xludf.DUMMYFUNCTION("""COMPUTED_VALUE"""),"(no BibTex)")</f>
        <v>(no BibTex)</v>
      </c>
      <c r="H195" s="9" t="str">
        <f>IFERROR(__xludf.DUMMYFUNCTION("""COMPUTED_VALUE"""),"(no BibTex)")</f>
        <v>(no BibTex)</v>
      </c>
      <c r="I195" s="9" t="str">
        <f>IFERROR(__xludf.DUMMYFUNCTION("""COMPUTED_VALUE"""),"(no BibTex)")</f>
        <v>(no BibTex)</v>
      </c>
      <c r="J195" s="9" t="str">
        <f>IFERROR(__xludf.DUMMYFUNCTION("""COMPUTED_VALUE"""),"-")</f>
        <v>-</v>
      </c>
      <c r="K195" s="42"/>
      <c r="L195" s="42"/>
      <c r="M195" s="42"/>
      <c r="N195" s="42"/>
      <c r="O195" s="42"/>
      <c r="P195" s="9"/>
      <c r="Q195" s="9"/>
      <c r="R195" s="42"/>
      <c r="S195" s="42"/>
      <c r="T195" s="42"/>
      <c r="U195" s="42"/>
      <c r="V195" s="42"/>
      <c r="W195" s="42"/>
    </row>
    <row r="196">
      <c r="A196" s="9" t="str">
        <f>IFERROR(__xludf.DUMMYFUNCTION("""COMPUTED_VALUE"""),"(no BibTex)")</f>
        <v>(no BibTex)</v>
      </c>
      <c r="B196" s="31" t="str">
        <f>IFERROR(__xludf.DUMMYFUNCTION("""COMPUTED_VALUE"""),"-")</f>
        <v>-</v>
      </c>
      <c r="C196" s="31" t="str">
        <f>IFERROR(__xludf.DUMMYFUNCTION("""COMPUTED_VALUE"""),"(no DOI)")</f>
        <v>(no DOI)</v>
      </c>
      <c r="D196" s="42"/>
      <c r="E196" s="103"/>
      <c r="F196" s="42"/>
      <c r="G196" s="9" t="str">
        <f>IFERROR(__xludf.DUMMYFUNCTION("""COMPUTED_VALUE"""),"(no BibTex)")</f>
        <v>(no BibTex)</v>
      </c>
      <c r="H196" s="9" t="str">
        <f>IFERROR(__xludf.DUMMYFUNCTION("""COMPUTED_VALUE"""),"(no BibTex)")</f>
        <v>(no BibTex)</v>
      </c>
      <c r="I196" s="9" t="str">
        <f>IFERROR(__xludf.DUMMYFUNCTION("""COMPUTED_VALUE"""),"(no BibTex)")</f>
        <v>(no BibTex)</v>
      </c>
      <c r="J196" s="9" t="str">
        <f>IFERROR(__xludf.DUMMYFUNCTION("""COMPUTED_VALUE"""),"-")</f>
        <v>-</v>
      </c>
      <c r="K196" s="42"/>
      <c r="L196" s="42"/>
      <c r="M196" s="42"/>
      <c r="N196" s="42"/>
      <c r="O196" s="42"/>
      <c r="P196" s="9"/>
      <c r="Q196" s="9"/>
      <c r="R196" s="42"/>
      <c r="S196" s="42"/>
      <c r="T196" s="42"/>
      <c r="U196" s="42"/>
      <c r="V196" s="42"/>
      <c r="W196" s="42"/>
    </row>
    <row r="197">
      <c r="A197" s="9" t="str">
        <f>IFERROR(__xludf.DUMMYFUNCTION("""COMPUTED_VALUE"""),"(no BibTex)")</f>
        <v>(no BibTex)</v>
      </c>
      <c r="B197" s="31" t="str">
        <f>IFERROR(__xludf.DUMMYFUNCTION("""COMPUTED_VALUE"""),"-")</f>
        <v>-</v>
      </c>
      <c r="C197" s="31" t="str">
        <f>IFERROR(__xludf.DUMMYFUNCTION("""COMPUTED_VALUE"""),"(no DOI)")</f>
        <v>(no DOI)</v>
      </c>
      <c r="D197" s="42"/>
      <c r="E197" s="103"/>
      <c r="F197" s="42"/>
      <c r="G197" s="9" t="str">
        <f>IFERROR(__xludf.DUMMYFUNCTION("""COMPUTED_VALUE"""),"(no BibTex)")</f>
        <v>(no BibTex)</v>
      </c>
      <c r="H197" s="9" t="str">
        <f>IFERROR(__xludf.DUMMYFUNCTION("""COMPUTED_VALUE"""),"(no BibTex)")</f>
        <v>(no BibTex)</v>
      </c>
      <c r="I197" s="9" t="str">
        <f>IFERROR(__xludf.DUMMYFUNCTION("""COMPUTED_VALUE"""),"(no BibTex)")</f>
        <v>(no BibTex)</v>
      </c>
      <c r="J197" s="9" t="str">
        <f>IFERROR(__xludf.DUMMYFUNCTION("""COMPUTED_VALUE"""),"-")</f>
        <v>-</v>
      </c>
      <c r="K197" s="135"/>
      <c r="L197" s="42"/>
      <c r="M197" s="42"/>
      <c r="N197" s="42"/>
      <c r="O197" s="42"/>
      <c r="P197" s="9"/>
      <c r="Q197" s="9"/>
      <c r="R197" s="42"/>
      <c r="S197" s="42"/>
      <c r="T197" s="42"/>
      <c r="U197" s="42"/>
      <c r="V197" s="42"/>
      <c r="W197" s="42"/>
    </row>
    <row r="198">
      <c r="A198" s="9" t="str">
        <f>IFERROR(__xludf.DUMMYFUNCTION("""COMPUTED_VALUE"""),"(no BibTex)")</f>
        <v>(no BibTex)</v>
      </c>
      <c r="B198" s="31" t="str">
        <f>IFERROR(__xludf.DUMMYFUNCTION("""COMPUTED_VALUE"""),"-")</f>
        <v>-</v>
      </c>
      <c r="C198" s="31" t="str">
        <f>IFERROR(__xludf.DUMMYFUNCTION("""COMPUTED_VALUE"""),"(no DOI)")</f>
        <v>(no DOI)</v>
      </c>
      <c r="D198" s="42"/>
      <c r="E198" s="103"/>
      <c r="F198" s="42"/>
      <c r="G198" s="9" t="str">
        <f>IFERROR(__xludf.DUMMYFUNCTION("""COMPUTED_VALUE"""),"(no BibTex)")</f>
        <v>(no BibTex)</v>
      </c>
      <c r="H198" s="9" t="str">
        <f>IFERROR(__xludf.DUMMYFUNCTION("""COMPUTED_VALUE"""),"(no BibTex)")</f>
        <v>(no BibTex)</v>
      </c>
      <c r="I198" s="9" t="str">
        <f>IFERROR(__xludf.DUMMYFUNCTION("""COMPUTED_VALUE"""),"(no BibTex)")</f>
        <v>(no BibTex)</v>
      </c>
      <c r="J198" s="9" t="str">
        <f>IFERROR(__xludf.DUMMYFUNCTION("""COMPUTED_VALUE"""),"-")</f>
        <v>-</v>
      </c>
      <c r="K198" s="135"/>
      <c r="L198" s="42"/>
      <c r="M198" s="42"/>
      <c r="N198" s="42"/>
      <c r="O198" s="42"/>
      <c r="P198" s="9"/>
      <c r="Q198" s="9"/>
      <c r="R198" s="42"/>
      <c r="S198" s="42"/>
      <c r="T198" s="42"/>
      <c r="U198" s="42"/>
      <c r="V198" s="42"/>
      <c r="W198" s="42"/>
    </row>
    <row r="199">
      <c r="A199" s="9" t="str">
        <f>IFERROR(__xludf.DUMMYFUNCTION("""COMPUTED_VALUE"""),"(no BibTex)")</f>
        <v>(no BibTex)</v>
      </c>
      <c r="B199" s="31" t="str">
        <f>IFERROR(__xludf.DUMMYFUNCTION("""COMPUTED_VALUE"""),"-")</f>
        <v>-</v>
      </c>
      <c r="C199" s="31" t="str">
        <f>IFERROR(__xludf.DUMMYFUNCTION("""COMPUTED_VALUE"""),"(no DOI)")</f>
        <v>(no DOI)</v>
      </c>
      <c r="D199" s="42"/>
      <c r="E199" s="103"/>
      <c r="F199" s="42"/>
      <c r="G199" s="9" t="str">
        <f>IFERROR(__xludf.DUMMYFUNCTION("""COMPUTED_VALUE"""),"(no BibTex)")</f>
        <v>(no BibTex)</v>
      </c>
      <c r="H199" s="9" t="str">
        <f>IFERROR(__xludf.DUMMYFUNCTION("""COMPUTED_VALUE"""),"(no BibTex)")</f>
        <v>(no BibTex)</v>
      </c>
      <c r="I199" s="9" t="str">
        <f>IFERROR(__xludf.DUMMYFUNCTION("""COMPUTED_VALUE"""),"(no BibTex)")</f>
        <v>(no BibTex)</v>
      </c>
      <c r="J199" s="9" t="str">
        <f>IFERROR(__xludf.DUMMYFUNCTION("""COMPUTED_VALUE"""),"-")</f>
        <v>-</v>
      </c>
      <c r="K199" s="135"/>
      <c r="L199" s="42"/>
      <c r="M199" s="42"/>
      <c r="N199" s="42"/>
      <c r="O199" s="42"/>
      <c r="P199" s="9"/>
      <c r="Q199" s="9"/>
      <c r="R199" s="42"/>
      <c r="S199" s="42"/>
      <c r="T199" s="42"/>
      <c r="U199" s="42"/>
      <c r="V199" s="42"/>
      <c r="W199" s="42"/>
    </row>
    <row r="200">
      <c r="A200" s="9" t="str">
        <f>IFERROR(__xludf.DUMMYFUNCTION("""COMPUTED_VALUE"""),"(no BibTex)")</f>
        <v>(no BibTex)</v>
      </c>
      <c r="B200" s="31" t="str">
        <f>IFERROR(__xludf.DUMMYFUNCTION("""COMPUTED_VALUE"""),"-")</f>
        <v>-</v>
      </c>
      <c r="C200" s="31" t="str">
        <f>IFERROR(__xludf.DUMMYFUNCTION("""COMPUTED_VALUE"""),"(no DOI)")</f>
        <v>(no DOI)</v>
      </c>
      <c r="D200" s="42"/>
      <c r="E200" s="103"/>
      <c r="F200" s="42"/>
      <c r="G200" s="9" t="str">
        <f>IFERROR(__xludf.DUMMYFUNCTION("""COMPUTED_VALUE"""),"(no BibTex)")</f>
        <v>(no BibTex)</v>
      </c>
      <c r="H200" s="9" t="str">
        <f>IFERROR(__xludf.DUMMYFUNCTION("""COMPUTED_VALUE"""),"(no BibTex)")</f>
        <v>(no BibTex)</v>
      </c>
      <c r="I200" s="9" t="str">
        <f>IFERROR(__xludf.DUMMYFUNCTION("""COMPUTED_VALUE"""),"(no BibTex)")</f>
        <v>(no BibTex)</v>
      </c>
      <c r="J200" s="9" t="str">
        <f>IFERROR(__xludf.DUMMYFUNCTION("""COMPUTED_VALUE"""),"-")</f>
        <v>-</v>
      </c>
      <c r="K200" s="135"/>
      <c r="L200" s="42"/>
      <c r="M200" s="42"/>
      <c r="N200" s="42"/>
      <c r="O200" s="42"/>
      <c r="P200" s="9"/>
      <c r="Q200" s="9"/>
      <c r="R200" s="42"/>
      <c r="S200" s="42"/>
      <c r="T200" s="42"/>
      <c r="U200" s="42"/>
      <c r="V200" s="42"/>
      <c r="W200" s="42"/>
    </row>
    <row r="201">
      <c r="A201" s="9" t="str">
        <f>IFERROR(__xludf.DUMMYFUNCTION("""COMPUTED_VALUE"""),"(no BibTex)")</f>
        <v>(no BibTex)</v>
      </c>
      <c r="B201" s="31" t="str">
        <f>IFERROR(__xludf.DUMMYFUNCTION("""COMPUTED_VALUE"""),"-")</f>
        <v>-</v>
      </c>
      <c r="C201" s="31" t="str">
        <f>IFERROR(__xludf.DUMMYFUNCTION("""COMPUTED_VALUE"""),"(no DOI)")</f>
        <v>(no DOI)</v>
      </c>
      <c r="D201" s="42"/>
      <c r="E201" s="103"/>
      <c r="F201" s="42"/>
      <c r="G201" s="9" t="str">
        <f>IFERROR(__xludf.DUMMYFUNCTION("""COMPUTED_VALUE"""),"(no BibTex)")</f>
        <v>(no BibTex)</v>
      </c>
      <c r="H201" s="9" t="str">
        <f>IFERROR(__xludf.DUMMYFUNCTION("""COMPUTED_VALUE"""),"(no BibTex)")</f>
        <v>(no BibTex)</v>
      </c>
      <c r="I201" s="9" t="str">
        <f>IFERROR(__xludf.DUMMYFUNCTION("""COMPUTED_VALUE"""),"(no BibTex)")</f>
        <v>(no BibTex)</v>
      </c>
      <c r="J201" s="9" t="str">
        <f>IFERROR(__xludf.DUMMYFUNCTION("""COMPUTED_VALUE"""),"-")</f>
        <v>-</v>
      </c>
      <c r="K201" s="135"/>
      <c r="L201" s="42"/>
      <c r="M201" s="42"/>
      <c r="N201" s="42"/>
      <c r="O201" s="42"/>
      <c r="P201" s="9"/>
      <c r="Q201" s="9"/>
      <c r="R201" s="42"/>
      <c r="S201" s="42"/>
      <c r="T201" s="42"/>
      <c r="U201" s="42"/>
      <c r="V201" s="42"/>
      <c r="W201" s="42"/>
    </row>
    <row r="202">
      <c r="A202" s="9" t="str">
        <f>IFERROR(__xludf.DUMMYFUNCTION("""COMPUTED_VALUE"""),"(no BibTex)")</f>
        <v>(no BibTex)</v>
      </c>
      <c r="B202" s="31" t="str">
        <f>IFERROR(__xludf.DUMMYFUNCTION("""COMPUTED_VALUE"""),"-")</f>
        <v>-</v>
      </c>
      <c r="C202" s="31" t="str">
        <f>IFERROR(__xludf.DUMMYFUNCTION("""COMPUTED_VALUE"""),"(no DOI)")</f>
        <v>(no DOI)</v>
      </c>
      <c r="D202" s="42"/>
      <c r="E202" s="103"/>
      <c r="F202" s="42"/>
      <c r="G202" s="9" t="str">
        <f>IFERROR(__xludf.DUMMYFUNCTION("""COMPUTED_VALUE"""),"(no BibTex)")</f>
        <v>(no BibTex)</v>
      </c>
      <c r="H202" s="9" t="str">
        <f>IFERROR(__xludf.DUMMYFUNCTION("""COMPUTED_VALUE"""),"(no BibTex)")</f>
        <v>(no BibTex)</v>
      </c>
      <c r="I202" s="9" t="str">
        <f>IFERROR(__xludf.DUMMYFUNCTION("""COMPUTED_VALUE"""),"(no BibTex)")</f>
        <v>(no BibTex)</v>
      </c>
      <c r="J202" s="9" t="str">
        <f>IFERROR(__xludf.DUMMYFUNCTION("""COMPUTED_VALUE"""),"-")</f>
        <v>-</v>
      </c>
      <c r="K202" s="42"/>
      <c r="L202" s="42"/>
      <c r="M202" s="42"/>
      <c r="N202" s="42"/>
      <c r="O202" s="42"/>
      <c r="P202" s="9"/>
      <c r="Q202" s="9"/>
      <c r="R202" s="42"/>
      <c r="S202" s="42"/>
      <c r="T202" s="42"/>
      <c r="U202" s="42"/>
      <c r="V202" s="42"/>
      <c r="W202" s="42"/>
    </row>
    <row r="203">
      <c r="A203" s="9" t="str">
        <f>IFERROR(__xludf.DUMMYFUNCTION("""COMPUTED_VALUE"""),"(no BibTex)")</f>
        <v>(no BibTex)</v>
      </c>
      <c r="B203" s="31" t="str">
        <f>IFERROR(__xludf.DUMMYFUNCTION("""COMPUTED_VALUE"""),"-")</f>
        <v>-</v>
      </c>
      <c r="C203" s="31" t="str">
        <f>IFERROR(__xludf.DUMMYFUNCTION("""COMPUTED_VALUE"""),"(no DOI)")</f>
        <v>(no DOI)</v>
      </c>
      <c r="D203" s="42"/>
      <c r="E203" s="103"/>
      <c r="F203" s="42"/>
      <c r="G203" s="9" t="str">
        <f>IFERROR(__xludf.DUMMYFUNCTION("""COMPUTED_VALUE"""),"(no BibTex)")</f>
        <v>(no BibTex)</v>
      </c>
      <c r="H203" s="9" t="str">
        <f>IFERROR(__xludf.DUMMYFUNCTION("""COMPUTED_VALUE"""),"(no BibTex)")</f>
        <v>(no BibTex)</v>
      </c>
      <c r="I203" s="9" t="str">
        <f>IFERROR(__xludf.DUMMYFUNCTION("""COMPUTED_VALUE"""),"(no BibTex)")</f>
        <v>(no BibTex)</v>
      </c>
      <c r="J203" s="9" t="str">
        <f>IFERROR(__xludf.DUMMYFUNCTION("""COMPUTED_VALUE"""),"-")</f>
        <v>-</v>
      </c>
      <c r="K203" s="42"/>
      <c r="L203" s="42"/>
      <c r="M203" s="42"/>
      <c r="N203" s="42"/>
      <c r="O203" s="42"/>
      <c r="P203" s="9"/>
      <c r="Q203" s="9"/>
      <c r="R203" s="42"/>
      <c r="S203" s="42"/>
      <c r="T203" s="42"/>
      <c r="U203" s="42"/>
      <c r="V203" s="42"/>
      <c r="W203" s="42"/>
    </row>
    <row r="204">
      <c r="A204" s="9" t="str">
        <f>IFERROR(__xludf.DUMMYFUNCTION("""COMPUTED_VALUE"""),"(no BibTex)")</f>
        <v>(no BibTex)</v>
      </c>
      <c r="B204" s="31" t="str">
        <f>IFERROR(__xludf.DUMMYFUNCTION("""COMPUTED_VALUE"""),"-")</f>
        <v>-</v>
      </c>
      <c r="C204" s="31" t="str">
        <f>IFERROR(__xludf.DUMMYFUNCTION("""COMPUTED_VALUE"""),"(no DOI)")</f>
        <v>(no DOI)</v>
      </c>
      <c r="D204" s="42"/>
      <c r="E204" s="103"/>
      <c r="F204" s="42"/>
      <c r="G204" s="9" t="str">
        <f>IFERROR(__xludf.DUMMYFUNCTION("""COMPUTED_VALUE"""),"(no BibTex)")</f>
        <v>(no BibTex)</v>
      </c>
      <c r="H204" s="9" t="str">
        <f>IFERROR(__xludf.DUMMYFUNCTION("""COMPUTED_VALUE"""),"(no BibTex)")</f>
        <v>(no BibTex)</v>
      </c>
      <c r="I204" s="9" t="str">
        <f>IFERROR(__xludf.DUMMYFUNCTION("""COMPUTED_VALUE"""),"(no BibTex)")</f>
        <v>(no BibTex)</v>
      </c>
      <c r="J204" s="9" t="str">
        <f>IFERROR(__xludf.DUMMYFUNCTION("""COMPUTED_VALUE"""),"-")</f>
        <v>-</v>
      </c>
      <c r="K204" s="42"/>
      <c r="L204" s="42"/>
      <c r="M204" s="42"/>
      <c r="N204" s="42"/>
      <c r="O204" s="42"/>
      <c r="P204" s="9"/>
      <c r="Q204" s="9"/>
      <c r="R204" s="42"/>
      <c r="S204" s="42"/>
      <c r="T204" s="42"/>
      <c r="U204" s="42"/>
      <c r="V204" s="42"/>
      <c r="W204" s="42"/>
    </row>
    <row r="205">
      <c r="A205" s="9" t="str">
        <f>IFERROR(__xludf.DUMMYFUNCTION("""COMPUTED_VALUE"""),"(no BibTex)")</f>
        <v>(no BibTex)</v>
      </c>
      <c r="B205" s="9" t="str">
        <f>IFERROR(__xludf.DUMMYFUNCTION("""COMPUTED_VALUE"""),"-")</f>
        <v>-</v>
      </c>
      <c r="C205" s="9" t="str">
        <f>IFERROR(__xludf.DUMMYFUNCTION("""COMPUTED_VALUE"""),"(no DOI)")</f>
        <v>(no DOI)</v>
      </c>
      <c r="D205" s="42"/>
      <c r="E205" s="103"/>
      <c r="F205" s="42"/>
      <c r="G205" s="9" t="str">
        <f>IFERROR(__xludf.DUMMYFUNCTION("""COMPUTED_VALUE"""),"(no BibTex)")</f>
        <v>(no BibTex)</v>
      </c>
      <c r="H205" s="9" t="str">
        <f>IFERROR(__xludf.DUMMYFUNCTION("""COMPUTED_VALUE"""),"(no BibTex)")</f>
        <v>(no BibTex)</v>
      </c>
      <c r="I205" s="9" t="str">
        <f>IFERROR(__xludf.DUMMYFUNCTION("""COMPUTED_VALUE"""),"(no BibTex)")</f>
        <v>(no BibTex)</v>
      </c>
      <c r="J205" s="9" t="str">
        <f>IFERROR(__xludf.DUMMYFUNCTION("""COMPUTED_VALUE"""),"-")</f>
        <v>-</v>
      </c>
      <c r="K205" s="42"/>
      <c r="L205" s="42"/>
      <c r="M205" s="42"/>
      <c r="N205" s="42"/>
      <c r="O205" s="42"/>
      <c r="P205" s="9"/>
      <c r="Q205" s="9"/>
      <c r="R205" s="42"/>
      <c r="S205" s="42"/>
      <c r="T205" s="42"/>
      <c r="U205" s="42"/>
      <c r="V205" s="42"/>
      <c r="W205" s="42"/>
    </row>
    <row r="206">
      <c r="A206" s="9" t="str">
        <f>IFERROR(__xludf.DUMMYFUNCTION("""COMPUTED_VALUE"""),"(no BibTex)")</f>
        <v>(no BibTex)</v>
      </c>
      <c r="B206" s="9" t="str">
        <f>IFERROR(__xludf.DUMMYFUNCTION("""COMPUTED_VALUE"""),"-")</f>
        <v>-</v>
      </c>
      <c r="C206" s="9" t="str">
        <f>IFERROR(__xludf.DUMMYFUNCTION("""COMPUTED_VALUE"""),"(no DOI)")</f>
        <v>(no DOI)</v>
      </c>
      <c r="D206" s="42"/>
      <c r="E206" s="103"/>
      <c r="F206" s="42"/>
      <c r="G206" s="9" t="str">
        <f>IFERROR(__xludf.DUMMYFUNCTION("""COMPUTED_VALUE"""),"(no BibTex)")</f>
        <v>(no BibTex)</v>
      </c>
      <c r="H206" s="9" t="str">
        <f>IFERROR(__xludf.DUMMYFUNCTION("""COMPUTED_VALUE"""),"(no BibTex)")</f>
        <v>(no BibTex)</v>
      </c>
      <c r="I206" s="9" t="str">
        <f>IFERROR(__xludf.DUMMYFUNCTION("""COMPUTED_VALUE"""),"(no BibTex)")</f>
        <v>(no BibTex)</v>
      </c>
      <c r="J206" s="9" t="str">
        <f>IFERROR(__xludf.DUMMYFUNCTION("""COMPUTED_VALUE"""),"-")</f>
        <v>-</v>
      </c>
      <c r="K206" s="42"/>
      <c r="L206" s="42"/>
      <c r="M206" s="42"/>
      <c r="N206" s="42"/>
      <c r="O206" s="42"/>
      <c r="P206" s="9"/>
      <c r="Q206" s="9"/>
      <c r="R206" s="42"/>
      <c r="S206" s="42"/>
      <c r="T206" s="42"/>
      <c r="U206" s="42"/>
      <c r="V206" s="42"/>
      <c r="W206" s="42"/>
    </row>
    <row r="207">
      <c r="A207" s="9" t="str">
        <f>IFERROR(__xludf.DUMMYFUNCTION("""COMPUTED_VALUE"""),"(no BibTex)")</f>
        <v>(no BibTex)</v>
      </c>
      <c r="B207" s="9" t="str">
        <f>IFERROR(__xludf.DUMMYFUNCTION("""COMPUTED_VALUE"""),"-")</f>
        <v>-</v>
      </c>
      <c r="C207" s="9" t="str">
        <f>IFERROR(__xludf.DUMMYFUNCTION("""COMPUTED_VALUE"""),"(no DOI)")</f>
        <v>(no DOI)</v>
      </c>
      <c r="D207" s="42"/>
      <c r="E207" s="103"/>
      <c r="F207" s="42"/>
      <c r="G207" s="9" t="str">
        <f>IFERROR(__xludf.DUMMYFUNCTION("""COMPUTED_VALUE"""),"(no BibTex)")</f>
        <v>(no BibTex)</v>
      </c>
      <c r="H207" s="9" t="str">
        <f>IFERROR(__xludf.DUMMYFUNCTION("""COMPUTED_VALUE"""),"(no BibTex)")</f>
        <v>(no BibTex)</v>
      </c>
      <c r="I207" s="9" t="str">
        <f>IFERROR(__xludf.DUMMYFUNCTION("""COMPUTED_VALUE"""),"(no BibTex)")</f>
        <v>(no BibTex)</v>
      </c>
      <c r="J207" s="9" t="str">
        <f>IFERROR(__xludf.DUMMYFUNCTION("""COMPUTED_VALUE"""),"-")</f>
        <v>-</v>
      </c>
      <c r="K207" s="42"/>
      <c r="L207" s="42"/>
      <c r="M207" s="42"/>
      <c r="N207" s="42"/>
      <c r="O207" s="42"/>
      <c r="P207" s="9"/>
      <c r="Q207" s="9"/>
      <c r="R207" s="42"/>
      <c r="S207" s="42"/>
      <c r="T207" s="42"/>
      <c r="U207" s="42"/>
      <c r="V207" s="42"/>
      <c r="W207" s="42"/>
    </row>
    <row r="208">
      <c r="A208" s="9" t="str">
        <f>IFERROR(__xludf.DUMMYFUNCTION("""COMPUTED_VALUE"""),"(no BibTex)")</f>
        <v>(no BibTex)</v>
      </c>
      <c r="B208" s="9" t="str">
        <f>IFERROR(__xludf.DUMMYFUNCTION("""COMPUTED_VALUE"""),"-")</f>
        <v>-</v>
      </c>
      <c r="C208" s="9" t="str">
        <f>IFERROR(__xludf.DUMMYFUNCTION("""COMPUTED_VALUE"""),"(no DOI)")</f>
        <v>(no DOI)</v>
      </c>
      <c r="D208" s="42"/>
      <c r="E208" s="103"/>
      <c r="F208" s="42"/>
      <c r="G208" s="9" t="str">
        <f>IFERROR(__xludf.DUMMYFUNCTION("""COMPUTED_VALUE"""),"(no BibTex)")</f>
        <v>(no BibTex)</v>
      </c>
      <c r="H208" s="9" t="str">
        <f>IFERROR(__xludf.DUMMYFUNCTION("""COMPUTED_VALUE"""),"(no BibTex)")</f>
        <v>(no BibTex)</v>
      </c>
      <c r="I208" s="9" t="str">
        <f>IFERROR(__xludf.DUMMYFUNCTION("""COMPUTED_VALUE"""),"(no BibTex)")</f>
        <v>(no BibTex)</v>
      </c>
      <c r="J208" s="9" t="str">
        <f>IFERROR(__xludf.DUMMYFUNCTION("""COMPUTED_VALUE"""),"-")</f>
        <v>-</v>
      </c>
      <c r="K208" s="42"/>
      <c r="L208" s="42"/>
      <c r="M208" s="42"/>
      <c r="N208" s="42"/>
      <c r="O208" s="42"/>
      <c r="P208" s="9"/>
      <c r="Q208" s="9"/>
      <c r="R208" s="42"/>
      <c r="S208" s="42"/>
      <c r="T208" s="42"/>
      <c r="U208" s="42"/>
      <c r="V208" s="42"/>
      <c r="W208" s="42"/>
    </row>
    <row r="209">
      <c r="A209" s="9" t="str">
        <f>IFERROR(__xludf.DUMMYFUNCTION("""COMPUTED_VALUE"""),"(no BibTex)")</f>
        <v>(no BibTex)</v>
      </c>
      <c r="B209" s="9" t="str">
        <f>IFERROR(__xludf.DUMMYFUNCTION("""COMPUTED_VALUE"""),"-")</f>
        <v>-</v>
      </c>
      <c r="C209" s="9" t="str">
        <f>IFERROR(__xludf.DUMMYFUNCTION("""COMPUTED_VALUE"""),"(no DOI)")</f>
        <v>(no DOI)</v>
      </c>
      <c r="D209" s="42"/>
      <c r="E209" s="103"/>
      <c r="F209" s="42"/>
      <c r="G209" s="9" t="str">
        <f>IFERROR(__xludf.DUMMYFUNCTION("""COMPUTED_VALUE"""),"(no BibTex)")</f>
        <v>(no BibTex)</v>
      </c>
      <c r="H209" s="9" t="str">
        <f>IFERROR(__xludf.DUMMYFUNCTION("""COMPUTED_VALUE"""),"(no BibTex)")</f>
        <v>(no BibTex)</v>
      </c>
      <c r="I209" s="9" t="str">
        <f>IFERROR(__xludf.DUMMYFUNCTION("""COMPUTED_VALUE"""),"(no BibTex)")</f>
        <v>(no BibTex)</v>
      </c>
      <c r="J209" s="9" t="str">
        <f>IFERROR(__xludf.DUMMYFUNCTION("""COMPUTED_VALUE"""),"-")</f>
        <v>-</v>
      </c>
      <c r="K209" s="42"/>
      <c r="L209" s="42"/>
      <c r="M209" s="42"/>
      <c r="N209" s="42"/>
      <c r="O209" s="42"/>
      <c r="P209" s="9"/>
      <c r="Q209" s="9"/>
      <c r="R209" s="42"/>
      <c r="S209" s="42"/>
      <c r="T209" s="42"/>
      <c r="U209" s="42"/>
      <c r="V209" s="42"/>
      <c r="W209" s="42"/>
    </row>
    <row r="210">
      <c r="A210" s="9" t="str">
        <f>IFERROR(__xludf.DUMMYFUNCTION("""COMPUTED_VALUE"""),"(no BibTex)")</f>
        <v>(no BibTex)</v>
      </c>
      <c r="B210" s="9" t="str">
        <f>IFERROR(__xludf.DUMMYFUNCTION("""COMPUTED_VALUE"""),"-")</f>
        <v>-</v>
      </c>
      <c r="C210" s="9" t="str">
        <f>IFERROR(__xludf.DUMMYFUNCTION("""COMPUTED_VALUE"""),"(no DOI)")</f>
        <v>(no DOI)</v>
      </c>
      <c r="D210" s="42"/>
      <c r="E210" s="103"/>
      <c r="F210" s="42"/>
      <c r="G210" s="9" t="str">
        <f>IFERROR(__xludf.DUMMYFUNCTION("""COMPUTED_VALUE"""),"(no BibTex)")</f>
        <v>(no BibTex)</v>
      </c>
      <c r="H210" s="9" t="str">
        <f>IFERROR(__xludf.DUMMYFUNCTION("""COMPUTED_VALUE"""),"(no BibTex)")</f>
        <v>(no BibTex)</v>
      </c>
      <c r="I210" s="9" t="str">
        <f>IFERROR(__xludf.DUMMYFUNCTION("""COMPUTED_VALUE"""),"(no BibTex)")</f>
        <v>(no BibTex)</v>
      </c>
      <c r="J210" s="9" t="str">
        <f>IFERROR(__xludf.DUMMYFUNCTION("""COMPUTED_VALUE"""),"-")</f>
        <v>-</v>
      </c>
      <c r="K210" s="42"/>
      <c r="L210" s="42"/>
      <c r="M210" s="42"/>
      <c r="N210" s="42"/>
      <c r="O210" s="42"/>
      <c r="P210" s="9"/>
      <c r="Q210" s="9"/>
      <c r="R210" s="42"/>
      <c r="S210" s="42"/>
      <c r="T210" s="42"/>
      <c r="U210" s="42"/>
      <c r="V210" s="42"/>
      <c r="W210" s="42"/>
    </row>
    <row r="211">
      <c r="A211" s="9" t="str">
        <f>IFERROR(__xludf.DUMMYFUNCTION("""COMPUTED_VALUE"""),"(no BibTex)")</f>
        <v>(no BibTex)</v>
      </c>
      <c r="B211" s="9" t="str">
        <f>IFERROR(__xludf.DUMMYFUNCTION("""COMPUTED_VALUE"""),"-")</f>
        <v>-</v>
      </c>
      <c r="C211" s="9" t="str">
        <f>IFERROR(__xludf.DUMMYFUNCTION("""COMPUTED_VALUE"""),"(no DOI)")</f>
        <v>(no DOI)</v>
      </c>
      <c r="D211" s="42"/>
      <c r="E211" s="103"/>
      <c r="F211" s="42"/>
      <c r="G211" s="9" t="str">
        <f>IFERROR(__xludf.DUMMYFUNCTION("""COMPUTED_VALUE"""),"(no BibTex)")</f>
        <v>(no BibTex)</v>
      </c>
      <c r="H211" s="9" t="str">
        <f>IFERROR(__xludf.DUMMYFUNCTION("""COMPUTED_VALUE"""),"(no BibTex)")</f>
        <v>(no BibTex)</v>
      </c>
      <c r="I211" s="9" t="str">
        <f>IFERROR(__xludf.DUMMYFUNCTION("""COMPUTED_VALUE"""),"(no BibTex)")</f>
        <v>(no BibTex)</v>
      </c>
      <c r="J211" s="9" t="str">
        <f>IFERROR(__xludf.DUMMYFUNCTION("""COMPUTED_VALUE"""),"-")</f>
        <v>-</v>
      </c>
      <c r="K211" s="42"/>
      <c r="L211" s="42"/>
      <c r="M211" s="42"/>
      <c r="N211" s="42"/>
      <c r="O211" s="42"/>
      <c r="P211" s="9"/>
      <c r="Q211" s="9"/>
      <c r="R211" s="42"/>
      <c r="S211" s="42"/>
      <c r="T211" s="42"/>
      <c r="U211" s="42"/>
      <c r="V211" s="42"/>
      <c r="W211" s="42"/>
    </row>
    <row r="212">
      <c r="A212" s="9" t="str">
        <f>IFERROR(__xludf.DUMMYFUNCTION("""COMPUTED_VALUE"""),"(no BibTex)")</f>
        <v>(no BibTex)</v>
      </c>
      <c r="B212" s="9" t="str">
        <f>IFERROR(__xludf.DUMMYFUNCTION("""COMPUTED_VALUE"""),"-")</f>
        <v>-</v>
      </c>
      <c r="C212" s="9" t="str">
        <f>IFERROR(__xludf.DUMMYFUNCTION("""COMPUTED_VALUE"""),"(no DOI)")</f>
        <v>(no DOI)</v>
      </c>
      <c r="D212" s="42"/>
      <c r="E212" s="103"/>
      <c r="F212" s="42"/>
      <c r="G212" s="9" t="str">
        <f>IFERROR(__xludf.DUMMYFUNCTION("""COMPUTED_VALUE"""),"(no BibTex)")</f>
        <v>(no BibTex)</v>
      </c>
      <c r="H212" s="9" t="str">
        <f>IFERROR(__xludf.DUMMYFUNCTION("""COMPUTED_VALUE"""),"(no BibTex)")</f>
        <v>(no BibTex)</v>
      </c>
      <c r="I212" s="9" t="str">
        <f>IFERROR(__xludf.DUMMYFUNCTION("""COMPUTED_VALUE"""),"(no BibTex)")</f>
        <v>(no BibTex)</v>
      </c>
      <c r="J212" s="9" t="str">
        <f>IFERROR(__xludf.DUMMYFUNCTION("""COMPUTED_VALUE"""),"-")</f>
        <v>-</v>
      </c>
      <c r="K212" s="42"/>
      <c r="L212" s="42"/>
      <c r="M212" s="42"/>
      <c r="N212" s="42"/>
      <c r="O212" s="42"/>
      <c r="P212" s="9"/>
      <c r="Q212" s="9"/>
      <c r="R212" s="42"/>
      <c r="S212" s="42"/>
      <c r="T212" s="42"/>
      <c r="U212" s="42"/>
      <c r="V212" s="42"/>
      <c r="W212" s="42"/>
    </row>
    <row r="213">
      <c r="A213" s="9" t="str">
        <f>IFERROR(__xludf.DUMMYFUNCTION("""COMPUTED_VALUE"""),"(no BibTex)")</f>
        <v>(no BibTex)</v>
      </c>
      <c r="B213" s="9" t="str">
        <f>IFERROR(__xludf.DUMMYFUNCTION("""COMPUTED_VALUE"""),"-")</f>
        <v>-</v>
      </c>
      <c r="C213" s="9" t="str">
        <f>IFERROR(__xludf.DUMMYFUNCTION("""COMPUTED_VALUE"""),"(no DOI)")</f>
        <v>(no DOI)</v>
      </c>
      <c r="D213" s="42"/>
      <c r="E213" s="103"/>
      <c r="F213" s="42"/>
      <c r="G213" s="9" t="str">
        <f>IFERROR(__xludf.DUMMYFUNCTION("""COMPUTED_VALUE"""),"(no BibTex)")</f>
        <v>(no BibTex)</v>
      </c>
      <c r="H213" s="9" t="str">
        <f>IFERROR(__xludf.DUMMYFUNCTION("""COMPUTED_VALUE"""),"(no BibTex)")</f>
        <v>(no BibTex)</v>
      </c>
      <c r="I213" s="9" t="str">
        <f>IFERROR(__xludf.DUMMYFUNCTION("""COMPUTED_VALUE"""),"(no BibTex)")</f>
        <v>(no BibTex)</v>
      </c>
      <c r="J213" s="9" t="str">
        <f>IFERROR(__xludf.DUMMYFUNCTION("""COMPUTED_VALUE"""),"-")</f>
        <v>-</v>
      </c>
      <c r="K213" s="42"/>
      <c r="L213" s="42"/>
      <c r="M213" s="42"/>
      <c r="N213" s="42"/>
      <c r="O213" s="42"/>
      <c r="P213" s="9"/>
      <c r="Q213" s="9"/>
      <c r="R213" s="42"/>
      <c r="S213" s="42"/>
      <c r="T213" s="42"/>
      <c r="U213" s="42"/>
      <c r="V213" s="42"/>
      <c r="W213" s="42"/>
    </row>
    <row r="214">
      <c r="A214" s="9" t="str">
        <f>IFERROR(__xludf.DUMMYFUNCTION("""COMPUTED_VALUE"""),"(no BibTex)")</f>
        <v>(no BibTex)</v>
      </c>
      <c r="B214" s="9" t="str">
        <f>IFERROR(__xludf.DUMMYFUNCTION("""COMPUTED_VALUE"""),"-")</f>
        <v>-</v>
      </c>
      <c r="C214" s="9" t="str">
        <f>IFERROR(__xludf.DUMMYFUNCTION("""COMPUTED_VALUE"""),"(no DOI)")</f>
        <v>(no DOI)</v>
      </c>
      <c r="D214" s="42"/>
      <c r="E214" s="103"/>
      <c r="F214" s="42"/>
      <c r="G214" s="9" t="str">
        <f>IFERROR(__xludf.DUMMYFUNCTION("""COMPUTED_VALUE"""),"(no BibTex)")</f>
        <v>(no BibTex)</v>
      </c>
      <c r="H214" s="9" t="str">
        <f>IFERROR(__xludf.DUMMYFUNCTION("""COMPUTED_VALUE"""),"(no BibTex)")</f>
        <v>(no BibTex)</v>
      </c>
      <c r="I214" s="9" t="str">
        <f>IFERROR(__xludf.DUMMYFUNCTION("""COMPUTED_VALUE"""),"(no BibTex)")</f>
        <v>(no BibTex)</v>
      </c>
      <c r="J214" s="9" t="str">
        <f>IFERROR(__xludf.DUMMYFUNCTION("""COMPUTED_VALUE"""),"-")</f>
        <v>-</v>
      </c>
      <c r="K214" s="42"/>
      <c r="L214" s="42"/>
      <c r="M214" s="42"/>
      <c r="N214" s="42"/>
      <c r="O214" s="42"/>
      <c r="P214" s="9"/>
      <c r="Q214" s="9"/>
      <c r="R214" s="42"/>
      <c r="S214" s="42"/>
      <c r="T214" s="42"/>
      <c r="U214" s="42"/>
      <c r="V214" s="42"/>
      <c r="W214" s="42"/>
    </row>
    <row r="215">
      <c r="A215" s="9" t="str">
        <f>IFERROR(__xludf.DUMMYFUNCTION("""COMPUTED_VALUE"""),"(no BibTex)")</f>
        <v>(no BibTex)</v>
      </c>
      <c r="B215" s="9" t="str">
        <f>IFERROR(__xludf.DUMMYFUNCTION("""COMPUTED_VALUE"""),"-")</f>
        <v>-</v>
      </c>
      <c r="C215" s="9" t="str">
        <f>IFERROR(__xludf.DUMMYFUNCTION("""COMPUTED_VALUE"""),"(no DOI)")</f>
        <v>(no DOI)</v>
      </c>
      <c r="D215" s="42"/>
      <c r="E215" s="103"/>
      <c r="F215" s="42"/>
      <c r="G215" s="9" t="str">
        <f>IFERROR(__xludf.DUMMYFUNCTION("""COMPUTED_VALUE"""),"(no BibTex)")</f>
        <v>(no BibTex)</v>
      </c>
      <c r="H215" s="9" t="str">
        <f>IFERROR(__xludf.DUMMYFUNCTION("""COMPUTED_VALUE"""),"(no BibTex)")</f>
        <v>(no BibTex)</v>
      </c>
      <c r="I215" s="9" t="str">
        <f>IFERROR(__xludf.DUMMYFUNCTION("""COMPUTED_VALUE"""),"(no BibTex)")</f>
        <v>(no BibTex)</v>
      </c>
      <c r="J215" s="9" t="str">
        <f>IFERROR(__xludf.DUMMYFUNCTION("""COMPUTED_VALUE"""),"-")</f>
        <v>-</v>
      </c>
      <c r="K215" s="42"/>
      <c r="L215" s="42"/>
      <c r="M215" s="42"/>
      <c r="N215" s="42"/>
      <c r="O215" s="42"/>
      <c r="P215" s="9"/>
      <c r="Q215" s="9"/>
      <c r="R215" s="42"/>
      <c r="S215" s="42"/>
      <c r="T215" s="42"/>
      <c r="U215" s="42"/>
      <c r="V215" s="42"/>
      <c r="W215" s="42"/>
    </row>
    <row r="216">
      <c r="A216" s="9" t="str">
        <f>IFERROR(__xludf.DUMMYFUNCTION("""COMPUTED_VALUE"""),"(no BibTex)")</f>
        <v>(no BibTex)</v>
      </c>
      <c r="B216" s="9" t="str">
        <f>IFERROR(__xludf.DUMMYFUNCTION("""COMPUTED_VALUE"""),"-")</f>
        <v>-</v>
      </c>
      <c r="C216" s="9" t="str">
        <f>IFERROR(__xludf.DUMMYFUNCTION("""COMPUTED_VALUE"""),"(no DOI)")</f>
        <v>(no DOI)</v>
      </c>
      <c r="D216" s="42"/>
      <c r="E216" s="103"/>
      <c r="F216" s="42"/>
      <c r="G216" s="9" t="str">
        <f>IFERROR(__xludf.DUMMYFUNCTION("""COMPUTED_VALUE"""),"(no BibTex)")</f>
        <v>(no BibTex)</v>
      </c>
      <c r="H216" s="9" t="str">
        <f>IFERROR(__xludf.DUMMYFUNCTION("""COMPUTED_VALUE"""),"(no BibTex)")</f>
        <v>(no BibTex)</v>
      </c>
      <c r="I216" s="9" t="str">
        <f>IFERROR(__xludf.DUMMYFUNCTION("""COMPUTED_VALUE"""),"(no BibTex)")</f>
        <v>(no BibTex)</v>
      </c>
      <c r="J216" s="9" t="str">
        <f>IFERROR(__xludf.DUMMYFUNCTION("""COMPUTED_VALUE"""),"-")</f>
        <v>-</v>
      </c>
      <c r="K216" s="42"/>
      <c r="L216" s="42"/>
      <c r="M216" s="42"/>
      <c r="N216" s="42"/>
      <c r="O216" s="42"/>
      <c r="P216" s="9"/>
      <c r="Q216" s="9"/>
      <c r="R216" s="42"/>
      <c r="S216" s="42"/>
      <c r="T216" s="42"/>
      <c r="U216" s="42"/>
      <c r="V216" s="42"/>
      <c r="W216" s="42"/>
    </row>
    <row r="217">
      <c r="A217" s="9" t="str">
        <f>IFERROR(__xludf.DUMMYFUNCTION("""COMPUTED_VALUE"""),"(no BibTex)")</f>
        <v>(no BibTex)</v>
      </c>
      <c r="B217" s="9" t="str">
        <f>IFERROR(__xludf.DUMMYFUNCTION("""COMPUTED_VALUE"""),"-")</f>
        <v>-</v>
      </c>
      <c r="C217" s="9" t="str">
        <f>IFERROR(__xludf.DUMMYFUNCTION("""COMPUTED_VALUE"""),"(no DOI)")</f>
        <v>(no DOI)</v>
      </c>
      <c r="D217" s="42"/>
      <c r="E217" s="103"/>
      <c r="F217" s="42"/>
      <c r="G217" s="9" t="str">
        <f>IFERROR(__xludf.DUMMYFUNCTION("""COMPUTED_VALUE"""),"(no BibTex)")</f>
        <v>(no BibTex)</v>
      </c>
      <c r="H217" s="9" t="str">
        <f>IFERROR(__xludf.DUMMYFUNCTION("""COMPUTED_VALUE"""),"(no BibTex)")</f>
        <v>(no BibTex)</v>
      </c>
      <c r="I217" s="9" t="str">
        <f>IFERROR(__xludf.DUMMYFUNCTION("""COMPUTED_VALUE"""),"(no BibTex)")</f>
        <v>(no BibTex)</v>
      </c>
      <c r="J217" s="9" t="str">
        <f>IFERROR(__xludf.DUMMYFUNCTION("""COMPUTED_VALUE"""),"-")</f>
        <v>-</v>
      </c>
      <c r="K217" s="42"/>
      <c r="L217" s="42"/>
      <c r="M217" s="42"/>
      <c r="N217" s="42"/>
      <c r="O217" s="42"/>
      <c r="P217" s="9"/>
      <c r="Q217" s="9"/>
      <c r="R217" s="42"/>
      <c r="S217" s="42"/>
      <c r="T217" s="42"/>
      <c r="U217" s="42"/>
      <c r="V217" s="42"/>
      <c r="W217" s="42"/>
    </row>
    <row r="218">
      <c r="A218" s="9" t="str">
        <f>IFERROR(__xludf.DUMMYFUNCTION("""COMPUTED_VALUE"""),"(no BibTex)")</f>
        <v>(no BibTex)</v>
      </c>
      <c r="B218" s="9" t="str">
        <f>IFERROR(__xludf.DUMMYFUNCTION("""COMPUTED_VALUE"""),"-")</f>
        <v>-</v>
      </c>
      <c r="C218" s="9" t="str">
        <f>IFERROR(__xludf.DUMMYFUNCTION("""COMPUTED_VALUE"""),"(no DOI)")</f>
        <v>(no DOI)</v>
      </c>
      <c r="D218" s="42"/>
      <c r="E218" s="103"/>
      <c r="F218" s="42"/>
      <c r="G218" s="9" t="str">
        <f>IFERROR(__xludf.DUMMYFUNCTION("""COMPUTED_VALUE"""),"(no BibTex)")</f>
        <v>(no BibTex)</v>
      </c>
      <c r="H218" s="9" t="str">
        <f>IFERROR(__xludf.DUMMYFUNCTION("""COMPUTED_VALUE"""),"(no BibTex)")</f>
        <v>(no BibTex)</v>
      </c>
      <c r="I218" s="9" t="str">
        <f>IFERROR(__xludf.DUMMYFUNCTION("""COMPUTED_VALUE"""),"(no BibTex)")</f>
        <v>(no BibTex)</v>
      </c>
      <c r="J218" s="9" t="str">
        <f>IFERROR(__xludf.DUMMYFUNCTION("""COMPUTED_VALUE"""),"-")</f>
        <v>-</v>
      </c>
      <c r="K218" s="42"/>
      <c r="L218" s="42"/>
      <c r="M218" s="42"/>
      <c r="N218" s="42"/>
      <c r="O218" s="42"/>
      <c r="P218" s="9"/>
      <c r="Q218" s="9"/>
      <c r="R218" s="42"/>
      <c r="S218" s="42"/>
      <c r="T218" s="42"/>
      <c r="U218" s="42"/>
      <c r="V218" s="42"/>
      <c r="W218" s="42"/>
    </row>
    <row r="219">
      <c r="A219" s="9" t="str">
        <f>IFERROR(__xludf.DUMMYFUNCTION("""COMPUTED_VALUE"""),"(no BibTex)")</f>
        <v>(no BibTex)</v>
      </c>
      <c r="B219" s="9" t="str">
        <f>IFERROR(__xludf.DUMMYFUNCTION("""COMPUTED_VALUE"""),"-")</f>
        <v>-</v>
      </c>
      <c r="C219" s="9" t="str">
        <f>IFERROR(__xludf.DUMMYFUNCTION("""COMPUTED_VALUE"""),"(no DOI)")</f>
        <v>(no DOI)</v>
      </c>
      <c r="D219" s="42"/>
      <c r="E219" s="103"/>
      <c r="F219" s="42"/>
      <c r="G219" s="9" t="str">
        <f>IFERROR(__xludf.DUMMYFUNCTION("""COMPUTED_VALUE"""),"(no BibTex)")</f>
        <v>(no BibTex)</v>
      </c>
      <c r="H219" s="9" t="str">
        <f>IFERROR(__xludf.DUMMYFUNCTION("""COMPUTED_VALUE"""),"(no BibTex)")</f>
        <v>(no BibTex)</v>
      </c>
      <c r="I219" s="9" t="str">
        <f>IFERROR(__xludf.DUMMYFUNCTION("""COMPUTED_VALUE"""),"(no BibTex)")</f>
        <v>(no BibTex)</v>
      </c>
      <c r="J219" s="9" t="str">
        <f>IFERROR(__xludf.DUMMYFUNCTION("""COMPUTED_VALUE"""),"-")</f>
        <v>-</v>
      </c>
      <c r="K219" s="42"/>
      <c r="L219" s="42"/>
      <c r="M219" s="42"/>
      <c r="N219" s="42"/>
      <c r="O219" s="42"/>
      <c r="P219" s="9"/>
      <c r="Q219" s="9"/>
      <c r="R219" s="42"/>
      <c r="S219" s="42"/>
      <c r="T219" s="42"/>
      <c r="U219" s="42"/>
      <c r="V219" s="42"/>
      <c r="W219" s="42"/>
    </row>
    <row r="220">
      <c r="A220" s="9"/>
      <c r="B220" s="9"/>
      <c r="C220" s="9"/>
      <c r="D220" s="42"/>
      <c r="E220" s="103"/>
      <c r="F220" s="42"/>
      <c r="G220" s="9"/>
      <c r="H220" s="9"/>
      <c r="I220" s="9"/>
      <c r="J220" s="9"/>
      <c r="K220" s="42"/>
      <c r="L220" s="42"/>
      <c r="M220" s="42"/>
      <c r="N220" s="42"/>
      <c r="O220" s="42"/>
      <c r="P220" s="9"/>
      <c r="Q220" s="9"/>
      <c r="R220" s="42"/>
      <c r="S220" s="42"/>
      <c r="T220" s="42"/>
      <c r="U220" s="42"/>
      <c r="V220" s="42"/>
      <c r="W220" s="42"/>
    </row>
    <row r="221">
      <c r="A221" s="9"/>
      <c r="B221" s="9"/>
      <c r="C221" s="9"/>
      <c r="D221" s="42"/>
      <c r="E221" s="103"/>
      <c r="F221" s="42"/>
      <c r="G221" s="9"/>
      <c r="H221" s="9"/>
      <c r="I221" s="9"/>
      <c r="J221" s="9"/>
      <c r="K221" s="42"/>
      <c r="L221" s="42"/>
      <c r="M221" s="42"/>
      <c r="N221" s="42"/>
      <c r="O221" s="42"/>
      <c r="P221" s="9"/>
      <c r="Q221" s="9"/>
      <c r="R221" s="42"/>
      <c r="S221" s="42"/>
      <c r="T221" s="42"/>
      <c r="U221" s="42"/>
      <c r="V221" s="42"/>
      <c r="W221" s="42"/>
    </row>
    <row r="222">
      <c r="A222" s="9"/>
      <c r="B222" s="9"/>
      <c r="C222" s="9"/>
      <c r="D222" s="42"/>
      <c r="E222" s="103"/>
      <c r="F222" s="42"/>
      <c r="G222" s="9"/>
      <c r="H222" s="9"/>
      <c r="I222" s="9"/>
      <c r="J222" s="9"/>
      <c r="K222" s="42"/>
      <c r="L222" s="42"/>
      <c r="M222" s="42"/>
      <c r="N222" s="42"/>
      <c r="O222" s="42"/>
      <c r="P222" s="9"/>
      <c r="Q222" s="9"/>
      <c r="R222" s="42"/>
      <c r="S222" s="42"/>
      <c r="T222" s="42"/>
      <c r="U222" s="42"/>
      <c r="V222" s="42"/>
      <c r="W222" s="42"/>
    </row>
    <row r="223">
      <c r="A223" s="9"/>
      <c r="B223" s="9"/>
      <c r="C223" s="9"/>
      <c r="D223" s="42"/>
      <c r="E223" s="103"/>
      <c r="F223" s="42"/>
      <c r="G223" s="9"/>
      <c r="H223" s="9"/>
      <c r="I223" s="9"/>
      <c r="J223" s="9"/>
      <c r="K223" s="42"/>
      <c r="L223" s="42"/>
      <c r="M223" s="42"/>
      <c r="N223" s="42"/>
      <c r="O223" s="42"/>
      <c r="P223" s="9"/>
      <c r="Q223" s="9"/>
      <c r="R223" s="42"/>
      <c r="S223" s="42"/>
      <c r="T223" s="42"/>
      <c r="U223" s="42"/>
      <c r="V223" s="42"/>
      <c r="W223" s="42"/>
    </row>
    <row r="224">
      <c r="A224" s="9"/>
      <c r="B224" s="9"/>
      <c r="C224" s="9"/>
      <c r="D224" s="42"/>
      <c r="E224" s="103"/>
      <c r="F224" s="42"/>
      <c r="G224" s="9"/>
      <c r="H224" s="9"/>
      <c r="I224" s="9"/>
      <c r="J224" s="9"/>
      <c r="K224" s="42"/>
      <c r="L224" s="42"/>
      <c r="M224" s="42"/>
      <c r="N224" s="42"/>
      <c r="O224" s="42"/>
      <c r="P224" s="9"/>
      <c r="Q224" s="9"/>
      <c r="R224" s="42"/>
      <c r="S224" s="42"/>
      <c r="T224" s="42"/>
      <c r="U224" s="42"/>
      <c r="V224" s="42"/>
      <c r="W224" s="42"/>
    </row>
    <row r="225">
      <c r="A225" s="9"/>
      <c r="B225" s="9"/>
      <c r="C225" s="9"/>
      <c r="D225" s="42"/>
      <c r="E225" s="103"/>
      <c r="F225" s="42"/>
      <c r="G225" s="9"/>
      <c r="H225" s="9"/>
      <c r="I225" s="9"/>
      <c r="J225" s="9"/>
      <c r="K225" s="42"/>
      <c r="L225" s="42"/>
      <c r="M225" s="42"/>
      <c r="N225" s="42"/>
      <c r="O225" s="42"/>
      <c r="P225" s="9"/>
      <c r="Q225" s="9"/>
      <c r="R225" s="42"/>
      <c r="S225" s="42"/>
      <c r="T225" s="42"/>
      <c r="U225" s="42"/>
      <c r="V225" s="42"/>
      <c r="W225" s="42"/>
    </row>
    <row r="226">
      <c r="A226" s="9"/>
      <c r="B226" s="9"/>
      <c r="C226" s="9"/>
      <c r="D226" s="42"/>
      <c r="E226" s="103"/>
      <c r="F226" s="42"/>
      <c r="G226" s="9"/>
      <c r="H226" s="9"/>
      <c r="I226" s="9"/>
      <c r="J226" s="9"/>
      <c r="K226" s="42"/>
      <c r="L226" s="42"/>
      <c r="M226" s="42"/>
      <c r="N226" s="42"/>
      <c r="O226" s="42"/>
      <c r="P226" s="9"/>
      <c r="Q226" s="9"/>
      <c r="R226" s="42"/>
      <c r="S226" s="42"/>
      <c r="T226" s="42"/>
      <c r="U226" s="42"/>
      <c r="V226" s="42"/>
      <c r="W226" s="42"/>
    </row>
    <row r="227">
      <c r="A227" s="9"/>
      <c r="B227" s="9"/>
      <c r="C227" s="9"/>
      <c r="D227" s="42"/>
      <c r="E227" s="103"/>
      <c r="F227" s="42"/>
      <c r="G227" s="9"/>
      <c r="H227" s="9"/>
      <c r="I227" s="9"/>
      <c r="J227" s="9"/>
      <c r="K227" s="42"/>
      <c r="L227" s="42"/>
      <c r="M227" s="42"/>
      <c r="N227" s="42"/>
      <c r="O227" s="42"/>
      <c r="P227" s="9"/>
      <c r="Q227" s="9"/>
      <c r="R227" s="42"/>
      <c r="S227" s="42"/>
      <c r="T227" s="42"/>
      <c r="U227" s="42"/>
      <c r="V227" s="42"/>
      <c r="W227" s="42"/>
    </row>
    <row r="228">
      <c r="A228" s="9"/>
      <c r="B228" s="9"/>
      <c r="C228" s="9"/>
      <c r="D228" s="42"/>
      <c r="E228" s="103"/>
      <c r="F228" s="42"/>
      <c r="G228" s="9"/>
      <c r="H228" s="9"/>
      <c r="I228" s="9"/>
      <c r="J228" s="9"/>
      <c r="K228" s="42"/>
      <c r="L228" s="42"/>
      <c r="M228" s="42"/>
      <c r="N228" s="42"/>
      <c r="O228" s="42"/>
      <c r="P228" s="9"/>
      <c r="Q228" s="9"/>
      <c r="R228" s="42"/>
      <c r="S228" s="42"/>
      <c r="T228" s="42"/>
      <c r="U228" s="42"/>
      <c r="V228" s="42"/>
      <c r="W228" s="42"/>
    </row>
    <row r="229">
      <c r="A229" s="9"/>
      <c r="B229" s="9"/>
      <c r="C229" s="9"/>
      <c r="D229" s="42"/>
      <c r="E229" s="103"/>
      <c r="F229" s="42"/>
      <c r="G229" s="9"/>
      <c r="H229" s="9"/>
      <c r="I229" s="9"/>
      <c r="J229" s="9"/>
      <c r="K229" s="42"/>
      <c r="L229" s="42"/>
      <c r="M229" s="42"/>
      <c r="N229" s="42"/>
      <c r="O229" s="42"/>
      <c r="P229" s="9"/>
      <c r="Q229" s="9"/>
      <c r="R229" s="42"/>
      <c r="S229" s="42"/>
      <c r="T229" s="42"/>
      <c r="U229" s="42"/>
      <c r="V229" s="42"/>
      <c r="W229" s="42"/>
    </row>
    <row r="230">
      <c r="A230" s="9"/>
      <c r="B230" s="9"/>
      <c r="C230" s="9"/>
      <c r="D230" s="42"/>
      <c r="E230" s="103"/>
      <c r="F230" s="42"/>
      <c r="G230" s="9"/>
      <c r="H230" s="9"/>
      <c r="I230" s="9"/>
      <c r="J230" s="9"/>
      <c r="K230" s="42"/>
      <c r="L230" s="42"/>
      <c r="M230" s="42"/>
      <c r="N230" s="42"/>
      <c r="O230" s="42"/>
      <c r="P230" s="9"/>
      <c r="Q230" s="9"/>
      <c r="R230" s="42"/>
      <c r="S230" s="42"/>
      <c r="T230" s="42"/>
      <c r="U230" s="42"/>
      <c r="V230" s="42"/>
      <c r="W230" s="42"/>
    </row>
    <row r="231">
      <c r="A231" s="9"/>
      <c r="B231" s="9"/>
      <c r="C231" s="9"/>
      <c r="D231" s="42"/>
      <c r="E231" s="103"/>
      <c r="F231" s="42"/>
      <c r="G231" s="9"/>
      <c r="H231" s="9"/>
      <c r="I231" s="9"/>
      <c r="J231" s="9"/>
      <c r="K231" s="42"/>
      <c r="L231" s="42"/>
      <c r="M231" s="42"/>
      <c r="N231" s="42"/>
      <c r="O231" s="42"/>
      <c r="P231" s="9"/>
      <c r="Q231" s="9"/>
      <c r="R231" s="42"/>
      <c r="S231" s="42"/>
      <c r="T231" s="42"/>
      <c r="U231" s="42"/>
      <c r="V231" s="42"/>
      <c r="W231" s="42"/>
    </row>
    <row r="232">
      <c r="A232" s="9"/>
      <c r="B232" s="9"/>
      <c r="C232" s="9"/>
      <c r="D232" s="42"/>
      <c r="E232" s="103"/>
      <c r="F232" s="42"/>
      <c r="G232" s="9"/>
      <c r="H232" s="9"/>
      <c r="I232" s="9"/>
      <c r="J232" s="9"/>
      <c r="K232" s="42"/>
      <c r="L232" s="42"/>
      <c r="M232" s="42"/>
      <c r="N232" s="42"/>
      <c r="O232" s="42"/>
      <c r="P232" s="9"/>
      <c r="Q232" s="9"/>
      <c r="R232" s="42"/>
      <c r="S232" s="42"/>
      <c r="T232" s="42"/>
      <c r="U232" s="42"/>
      <c r="V232" s="42"/>
      <c r="W232" s="42"/>
    </row>
    <row r="233">
      <c r="A233" s="9"/>
      <c r="B233" s="9"/>
      <c r="C233" s="9"/>
      <c r="D233" s="42"/>
      <c r="E233" s="103"/>
      <c r="F233" s="42"/>
      <c r="G233" s="9"/>
      <c r="H233" s="9"/>
      <c r="I233" s="9"/>
      <c r="J233" s="9"/>
      <c r="K233" s="42"/>
      <c r="L233" s="42"/>
      <c r="M233" s="42"/>
      <c r="N233" s="42"/>
      <c r="O233" s="42"/>
      <c r="P233" s="9"/>
      <c r="Q233" s="9"/>
      <c r="R233" s="42"/>
      <c r="S233" s="42"/>
      <c r="T233" s="42"/>
      <c r="U233" s="42"/>
      <c r="V233" s="42"/>
      <c r="W233" s="42"/>
    </row>
    <row r="234">
      <c r="A234" s="9"/>
      <c r="B234" s="9"/>
      <c r="C234" s="9"/>
      <c r="D234" s="42"/>
      <c r="E234" s="103"/>
      <c r="F234" s="42"/>
      <c r="G234" s="9"/>
      <c r="H234" s="9"/>
      <c r="I234" s="9"/>
      <c r="J234" s="9"/>
      <c r="K234" s="42"/>
      <c r="L234" s="42"/>
      <c r="M234" s="42"/>
      <c r="N234" s="42"/>
      <c r="O234" s="42"/>
      <c r="P234" s="9"/>
      <c r="Q234" s="9"/>
      <c r="R234" s="42"/>
      <c r="S234" s="42"/>
      <c r="T234" s="42"/>
      <c r="U234" s="42"/>
      <c r="V234" s="42"/>
      <c r="W234" s="42"/>
    </row>
    <row r="235">
      <c r="A235" s="9"/>
      <c r="B235" s="9"/>
      <c r="C235" s="9"/>
      <c r="D235" s="42"/>
      <c r="E235" s="103"/>
      <c r="F235" s="42"/>
      <c r="G235" s="9"/>
      <c r="H235" s="9"/>
      <c r="I235" s="9"/>
      <c r="J235" s="9"/>
      <c r="K235" s="42"/>
      <c r="L235" s="42"/>
      <c r="M235" s="42"/>
      <c r="N235" s="42"/>
      <c r="O235" s="42"/>
      <c r="P235" s="9"/>
      <c r="Q235" s="9"/>
      <c r="R235" s="42"/>
      <c r="S235" s="42"/>
      <c r="T235" s="42"/>
      <c r="U235" s="42"/>
      <c r="V235" s="42"/>
      <c r="W235" s="42"/>
    </row>
    <row r="236">
      <c r="A236" s="9"/>
      <c r="B236" s="9"/>
      <c r="C236" s="9"/>
      <c r="D236" s="42"/>
      <c r="E236" s="103"/>
      <c r="F236" s="42"/>
      <c r="G236" s="9"/>
      <c r="H236" s="9"/>
      <c r="I236" s="9"/>
      <c r="J236" s="9"/>
      <c r="K236" s="42"/>
      <c r="L236" s="42"/>
      <c r="M236" s="42"/>
      <c r="N236" s="42"/>
      <c r="O236" s="42"/>
      <c r="P236" s="9"/>
      <c r="Q236" s="9"/>
      <c r="R236" s="42"/>
      <c r="S236" s="42"/>
      <c r="T236" s="42"/>
      <c r="U236" s="42"/>
      <c r="V236" s="42"/>
      <c r="W236" s="42"/>
    </row>
    <row r="237">
      <c r="A237" s="9"/>
      <c r="B237" s="9"/>
      <c r="C237" s="9"/>
      <c r="D237" s="42"/>
      <c r="E237" s="103"/>
      <c r="F237" s="42"/>
      <c r="G237" s="9"/>
      <c r="H237" s="9"/>
      <c r="I237" s="9"/>
      <c r="J237" s="9"/>
      <c r="K237" s="42"/>
      <c r="L237" s="42"/>
      <c r="M237" s="42"/>
      <c r="N237" s="42"/>
      <c r="O237" s="42"/>
      <c r="P237" s="9"/>
      <c r="Q237" s="9"/>
      <c r="R237" s="42"/>
      <c r="S237" s="42"/>
      <c r="T237" s="42"/>
      <c r="U237" s="42"/>
      <c r="V237" s="42"/>
      <c r="W237" s="42"/>
    </row>
    <row r="238">
      <c r="A238" s="9"/>
      <c r="B238" s="9"/>
      <c r="C238" s="9"/>
      <c r="D238" s="42"/>
      <c r="E238" s="103"/>
      <c r="F238" s="42"/>
      <c r="G238" s="9"/>
      <c r="H238" s="9"/>
      <c r="I238" s="9"/>
      <c r="J238" s="9"/>
      <c r="K238" s="42"/>
      <c r="L238" s="42"/>
      <c r="M238" s="42"/>
      <c r="N238" s="42"/>
      <c r="O238" s="42"/>
      <c r="P238" s="9"/>
      <c r="Q238" s="9"/>
      <c r="R238" s="42"/>
      <c r="S238" s="42"/>
      <c r="T238" s="42"/>
      <c r="U238" s="42"/>
      <c r="V238" s="42"/>
      <c r="W238" s="42"/>
    </row>
    <row r="239">
      <c r="A239" s="9"/>
      <c r="B239" s="9"/>
      <c r="C239" s="9"/>
      <c r="D239" s="42"/>
      <c r="E239" s="103"/>
      <c r="F239" s="42"/>
      <c r="G239" s="9"/>
      <c r="H239" s="9"/>
      <c r="I239" s="9"/>
      <c r="J239" s="9"/>
      <c r="K239" s="42"/>
      <c r="L239" s="42"/>
      <c r="M239" s="42"/>
      <c r="N239" s="42"/>
      <c r="O239" s="42"/>
      <c r="P239" s="9"/>
      <c r="Q239" s="9"/>
      <c r="R239" s="42"/>
      <c r="S239" s="42"/>
      <c r="T239" s="42"/>
      <c r="U239" s="42"/>
      <c r="V239" s="42"/>
      <c r="W239" s="42"/>
    </row>
    <row r="240">
      <c r="A240" s="9"/>
      <c r="B240" s="9"/>
      <c r="C240" s="9"/>
      <c r="D240" s="42"/>
      <c r="E240" s="103"/>
      <c r="F240" s="42"/>
      <c r="G240" s="9"/>
      <c r="H240" s="9"/>
      <c r="I240" s="9"/>
      <c r="J240" s="9"/>
      <c r="K240" s="42"/>
      <c r="L240" s="42"/>
      <c r="M240" s="42"/>
      <c r="N240" s="42"/>
      <c r="O240" s="42"/>
      <c r="P240" s="9"/>
      <c r="Q240" s="9"/>
      <c r="R240" s="42"/>
      <c r="S240" s="42"/>
      <c r="T240" s="42"/>
      <c r="U240" s="42"/>
      <c r="V240" s="42"/>
      <c r="W240" s="42"/>
    </row>
    <row r="241">
      <c r="A241" s="9"/>
      <c r="B241" s="9"/>
      <c r="C241" s="9"/>
      <c r="D241" s="42"/>
      <c r="E241" s="103"/>
      <c r="F241" s="42"/>
      <c r="G241" s="9"/>
      <c r="H241" s="9"/>
      <c r="I241" s="9"/>
      <c r="J241" s="9"/>
      <c r="K241" s="42"/>
      <c r="L241" s="42"/>
      <c r="M241" s="42"/>
      <c r="N241" s="42"/>
      <c r="O241" s="42"/>
      <c r="P241" s="9"/>
      <c r="Q241" s="9"/>
      <c r="R241" s="42"/>
      <c r="S241" s="42"/>
      <c r="T241" s="42"/>
      <c r="U241" s="42"/>
      <c r="V241" s="42"/>
      <c r="W241" s="42"/>
    </row>
    <row r="242">
      <c r="A242" s="9"/>
      <c r="B242" s="9"/>
      <c r="C242" s="9"/>
      <c r="D242" s="42"/>
      <c r="E242" s="103"/>
      <c r="F242" s="42"/>
      <c r="G242" s="9"/>
      <c r="H242" s="9"/>
      <c r="I242" s="9"/>
      <c r="J242" s="9"/>
      <c r="K242" s="42"/>
      <c r="L242" s="42"/>
      <c r="M242" s="42"/>
      <c r="N242" s="42"/>
      <c r="O242" s="42"/>
      <c r="P242" s="9"/>
      <c r="Q242" s="9"/>
      <c r="R242" s="42"/>
      <c r="S242" s="42"/>
      <c r="T242" s="42"/>
      <c r="U242" s="42"/>
      <c r="V242" s="42"/>
      <c r="W242" s="42"/>
    </row>
    <row r="243">
      <c r="A243" s="9"/>
      <c r="B243" s="9"/>
      <c r="C243" s="9"/>
      <c r="D243" s="42"/>
      <c r="E243" s="103"/>
      <c r="F243" s="42"/>
      <c r="G243" s="9"/>
      <c r="H243" s="9"/>
      <c r="I243" s="9"/>
      <c r="J243" s="9"/>
      <c r="K243" s="42"/>
      <c r="L243" s="42"/>
      <c r="M243" s="42"/>
      <c r="N243" s="42"/>
      <c r="O243" s="42"/>
      <c r="P243" s="9"/>
      <c r="Q243" s="9"/>
      <c r="R243" s="42"/>
      <c r="S243" s="42"/>
      <c r="T243" s="42"/>
      <c r="U243" s="42"/>
      <c r="V243" s="42"/>
      <c r="W243" s="42"/>
    </row>
    <row r="244">
      <c r="A244" s="9"/>
      <c r="B244" s="9"/>
      <c r="C244" s="9"/>
      <c r="D244" s="42"/>
      <c r="E244" s="103"/>
      <c r="F244" s="42"/>
      <c r="G244" s="9"/>
      <c r="H244" s="9"/>
      <c r="I244" s="9"/>
      <c r="J244" s="9"/>
      <c r="K244" s="42"/>
      <c r="L244" s="42"/>
      <c r="M244" s="42"/>
      <c r="N244" s="42"/>
      <c r="O244" s="42"/>
      <c r="P244" s="9"/>
      <c r="Q244" s="9"/>
      <c r="R244" s="42"/>
      <c r="S244" s="42"/>
      <c r="T244" s="42"/>
      <c r="U244" s="42"/>
      <c r="V244" s="42"/>
      <c r="W244" s="42"/>
    </row>
    <row r="245">
      <c r="A245" s="9"/>
      <c r="B245" s="9"/>
      <c r="C245" s="9"/>
      <c r="D245" s="42"/>
      <c r="E245" s="103"/>
      <c r="F245" s="42"/>
      <c r="G245" s="9"/>
      <c r="H245" s="9"/>
      <c r="I245" s="9"/>
      <c r="J245" s="9"/>
      <c r="K245" s="42"/>
      <c r="L245" s="42"/>
      <c r="M245" s="42"/>
      <c r="N245" s="42"/>
      <c r="O245" s="42"/>
      <c r="P245" s="9"/>
      <c r="Q245" s="9"/>
      <c r="R245" s="42"/>
      <c r="S245" s="42"/>
      <c r="T245" s="42"/>
      <c r="U245" s="42"/>
      <c r="V245" s="42"/>
      <c r="W245" s="42"/>
    </row>
    <row r="246">
      <c r="A246" s="9"/>
      <c r="B246" s="9"/>
      <c r="C246" s="9"/>
      <c r="D246" s="42"/>
      <c r="E246" s="103"/>
      <c r="F246" s="42"/>
      <c r="G246" s="9"/>
      <c r="H246" s="9"/>
      <c r="I246" s="9"/>
      <c r="J246" s="9"/>
      <c r="K246" s="42"/>
      <c r="L246" s="42"/>
      <c r="M246" s="42"/>
      <c r="N246" s="42"/>
      <c r="O246" s="42"/>
      <c r="P246" s="9"/>
      <c r="Q246" s="9"/>
      <c r="R246" s="42"/>
      <c r="S246" s="42"/>
      <c r="T246" s="42"/>
      <c r="U246" s="42"/>
      <c r="V246" s="42"/>
      <c r="W246" s="42"/>
    </row>
    <row r="247">
      <c r="A247" s="9"/>
      <c r="B247" s="9"/>
      <c r="C247" s="9"/>
      <c r="D247" s="42"/>
      <c r="E247" s="103"/>
      <c r="F247" s="42"/>
      <c r="G247" s="9"/>
      <c r="H247" s="9"/>
      <c r="I247" s="9"/>
      <c r="J247" s="9"/>
      <c r="K247" s="42"/>
      <c r="L247" s="42"/>
      <c r="M247" s="42"/>
      <c r="N247" s="42"/>
      <c r="O247" s="42"/>
      <c r="P247" s="9"/>
      <c r="Q247" s="9"/>
      <c r="R247" s="42"/>
      <c r="S247" s="42"/>
      <c r="T247" s="42"/>
      <c r="U247" s="42"/>
      <c r="V247" s="42"/>
      <c r="W247" s="42"/>
    </row>
    <row r="248">
      <c r="A248" s="9"/>
      <c r="B248" s="9"/>
      <c r="C248" s="9"/>
      <c r="D248" s="42"/>
      <c r="E248" s="103"/>
      <c r="F248" s="42"/>
      <c r="G248" s="9"/>
      <c r="H248" s="9"/>
      <c r="I248" s="9"/>
      <c r="J248" s="9"/>
      <c r="K248" s="42"/>
      <c r="L248" s="42"/>
      <c r="M248" s="42"/>
      <c r="N248" s="42"/>
      <c r="O248" s="42"/>
      <c r="P248" s="9"/>
      <c r="Q248" s="9"/>
      <c r="R248" s="42"/>
      <c r="S248" s="42"/>
      <c r="T248" s="42"/>
      <c r="U248" s="42"/>
      <c r="V248" s="42"/>
      <c r="W248" s="42"/>
    </row>
    <row r="249">
      <c r="A249" s="9"/>
      <c r="B249" s="9"/>
      <c r="C249" s="9"/>
      <c r="D249" s="42"/>
      <c r="E249" s="103"/>
      <c r="F249" s="42"/>
      <c r="G249" s="9"/>
      <c r="H249" s="9"/>
      <c r="I249" s="9"/>
      <c r="J249" s="9"/>
      <c r="K249" s="42"/>
      <c r="L249" s="42"/>
      <c r="M249" s="42"/>
      <c r="N249" s="42"/>
      <c r="O249" s="42"/>
      <c r="P249" s="9"/>
      <c r="Q249" s="9"/>
      <c r="R249" s="42"/>
      <c r="S249" s="42"/>
      <c r="T249" s="42"/>
      <c r="U249" s="42"/>
      <c r="V249" s="42"/>
      <c r="W249" s="42"/>
    </row>
    <row r="250">
      <c r="A250" s="9"/>
      <c r="B250" s="9"/>
      <c r="C250" s="9"/>
      <c r="D250" s="42"/>
      <c r="E250" s="103"/>
      <c r="F250" s="42"/>
      <c r="G250" s="9"/>
      <c r="H250" s="9"/>
      <c r="I250" s="9"/>
      <c r="J250" s="9"/>
      <c r="K250" s="42"/>
      <c r="L250" s="42"/>
      <c r="M250" s="42"/>
      <c r="N250" s="42"/>
      <c r="O250" s="42"/>
      <c r="P250" s="9"/>
      <c r="Q250" s="9"/>
      <c r="R250" s="42"/>
      <c r="S250" s="42"/>
      <c r="T250" s="42"/>
      <c r="U250" s="42"/>
      <c r="V250" s="42"/>
      <c r="W250" s="42"/>
    </row>
    <row r="251">
      <c r="A251" s="9"/>
      <c r="B251" s="9"/>
      <c r="C251" s="9"/>
      <c r="D251" s="42"/>
      <c r="E251" s="103"/>
      <c r="F251" s="42"/>
      <c r="G251" s="9"/>
      <c r="H251" s="9"/>
      <c r="I251" s="9"/>
      <c r="J251" s="9"/>
      <c r="K251" s="42"/>
      <c r="L251" s="42"/>
      <c r="M251" s="42"/>
      <c r="N251" s="42"/>
      <c r="O251" s="42"/>
      <c r="P251" s="9"/>
      <c r="Q251" s="9"/>
      <c r="R251" s="42"/>
      <c r="S251" s="42"/>
      <c r="T251" s="42"/>
      <c r="U251" s="42"/>
      <c r="V251" s="42"/>
      <c r="W251" s="42"/>
    </row>
    <row r="252">
      <c r="A252" s="9"/>
      <c r="B252" s="9"/>
      <c r="C252" s="9"/>
      <c r="D252" s="42"/>
      <c r="E252" s="103"/>
      <c r="F252" s="42"/>
      <c r="G252" s="9"/>
      <c r="H252" s="9"/>
      <c r="I252" s="9"/>
      <c r="J252" s="9"/>
      <c r="K252" s="42"/>
      <c r="L252" s="42"/>
      <c r="M252" s="42"/>
      <c r="N252" s="42"/>
      <c r="O252" s="42"/>
      <c r="P252" s="9"/>
      <c r="Q252" s="9"/>
      <c r="R252" s="42"/>
      <c r="S252" s="42"/>
      <c r="T252" s="42"/>
      <c r="U252" s="42"/>
      <c r="V252" s="42"/>
      <c r="W252" s="42"/>
    </row>
    <row r="253">
      <c r="A253" s="9"/>
      <c r="B253" s="9"/>
      <c r="C253" s="9"/>
      <c r="D253" s="42"/>
      <c r="E253" s="103"/>
      <c r="F253" s="42"/>
      <c r="G253" s="9"/>
      <c r="H253" s="9"/>
      <c r="I253" s="9"/>
      <c r="J253" s="9"/>
      <c r="K253" s="42"/>
      <c r="L253" s="42"/>
      <c r="M253" s="42"/>
      <c r="N253" s="42"/>
      <c r="O253" s="42"/>
      <c r="P253" s="9"/>
      <c r="Q253" s="9"/>
      <c r="R253" s="42"/>
      <c r="S253" s="42"/>
      <c r="T253" s="42"/>
      <c r="U253" s="42"/>
      <c r="V253" s="42"/>
      <c r="W253" s="42"/>
    </row>
    <row r="254">
      <c r="A254" s="9"/>
      <c r="B254" s="9"/>
      <c r="C254" s="9"/>
      <c r="D254" s="42"/>
      <c r="E254" s="103"/>
      <c r="F254" s="42"/>
      <c r="G254" s="9"/>
      <c r="H254" s="9"/>
      <c r="I254" s="9"/>
      <c r="J254" s="9"/>
      <c r="K254" s="42"/>
      <c r="L254" s="42"/>
      <c r="M254" s="42"/>
      <c r="N254" s="42"/>
      <c r="O254" s="42"/>
      <c r="P254" s="9"/>
      <c r="Q254" s="9"/>
      <c r="R254" s="42"/>
      <c r="S254" s="42"/>
      <c r="T254" s="42"/>
      <c r="U254" s="42"/>
      <c r="V254" s="42"/>
      <c r="W254" s="42"/>
    </row>
    <row r="255">
      <c r="A255" s="9"/>
      <c r="B255" s="9"/>
      <c r="C255" s="9"/>
      <c r="D255" s="42"/>
      <c r="E255" s="103"/>
      <c r="F255" s="42"/>
      <c r="G255" s="9"/>
      <c r="H255" s="9"/>
      <c r="I255" s="9"/>
      <c r="J255" s="9"/>
      <c r="K255" s="42"/>
      <c r="L255" s="42"/>
      <c r="M255" s="42"/>
      <c r="N255" s="42"/>
      <c r="O255" s="42"/>
      <c r="P255" s="9"/>
      <c r="Q255" s="9"/>
      <c r="R255" s="42"/>
      <c r="S255" s="42"/>
      <c r="T255" s="42"/>
      <c r="U255" s="42"/>
      <c r="V255" s="42"/>
      <c r="W255" s="42"/>
    </row>
    <row r="256">
      <c r="A256" s="9"/>
      <c r="B256" s="9"/>
      <c r="C256" s="9"/>
      <c r="D256" s="42"/>
      <c r="E256" s="103"/>
      <c r="F256" s="42"/>
      <c r="G256" s="9"/>
      <c r="H256" s="9"/>
      <c r="I256" s="9"/>
      <c r="J256" s="9"/>
      <c r="K256" s="42"/>
      <c r="L256" s="42"/>
      <c r="M256" s="42"/>
      <c r="N256" s="42"/>
      <c r="O256" s="42"/>
      <c r="P256" s="9"/>
      <c r="Q256" s="9"/>
      <c r="R256" s="42"/>
      <c r="S256" s="42"/>
      <c r="T256" s="42"/>
      <c r="U256" s="42"/>
      <c r="V256" s="42"/>
      <c r="W256" s="42"/>
    </row>
    <row r="257">
      <c r="A257" s="9"/>
      <c r="B257" s="9"/>
      <c r="C257" s="9"/>
      <c r="D257" s="42"/>
      <c r="E257" s="103"/>
      <c r="F257" s="42"/>
      <c r="G257" s="9"/>
      <c r="H257" s="9"/>
      <c r="I257" s="9"/>
      <c r="J257" s="9"/>
      <c r="K257" s="42"/>
      <c r="L257" s="42"/>
      <c r="M257" s="42"/>
      <c r="N257" s="42"/>
      <c r="O257" s="42"/>
      <c r="P257" s="9"/>
      <c r="Q257" s="9"/>
      <c r="R257" s="42"/>
      <c r="S257" s="42"/>
      <c r="T257" s="42"/>
      <c r="U257" s="42"/>
      <c r="V257" s="42"/>
      <c r="W257" s="42"/>
    </row>
    <row r="258">
      <c r="A258" s="9"/>
      <c r="B258" s="9"/>
      <c r="C258" s="9"/>
      <c r="D258" s="42"/>
      <c r="E258" s="103"/>
      <c r="F258" s="42"/>
      <c r="G258" s="9"/>
      <c r="H258" s="9"/>
      <c r="I258" s="9"/>
      <c r="J258" s="9"/>
      <c r="K258" s="42"/>
      <c r="L258" s="42"/>
      <c r="M258" s="42"/>
      <c r="N258" s="42"/>
      <c r="O258" s="42"/>
      <c r="P258" s="9"/>
      <c r="Q258" s="9"/>
      <c r="R258" s="42"/>
      <c r="S258" s="42"/>
      <c r="T258" s="42"/>
      <c r="U258" s="42"/>
      <c r="V258" s="42"/>
      <c r="W258" s="42"/>
    </row>
    <row r="259">
      <c r="A259" s="9"/>
      <c r="B259" s="9"/>
      <c r="C259" s="9"/>
      <c r="D259" s="42"/>
      <c r="E259" s="103"/>
      <c r="F259" s="42"/>
      <c r="G259" s="9"/>
      <c r="H259" s="9"/>
      <c r="I259" s="9"/>
      <c r="J259" s="9"/>
      <c r="K259" s="42"/>
      <c r="L259" s="42"/>
      <c r="M259" s="42"/>
      <c r="N259" s="42"/>
      <c r="O259" s="42"/>
      <c r="P259" s="9"/>
      <c r="Q259" s="9"/>
      <c r="R259" s="42"/>
      <c r="S259" s="42"/>
      <c r="T259" s="42"/>
      <c r="U259" s="42"/>
      <c r="V259" s="42"/>
      <c r="W259" s="42"/>
    </row>
    <row r="260">
      <c r="A260" s="9"/>
      <c r="B260" s="9"/>
      <c r="C260" s="9"/>
      <c r="D260" s="42"/>
      <c r="E260" s="103"/>
      <c r="F260" s="42"/>
      <c r="G260" s="9"/>
      <c r="H260" s="9"/>
      <c r="I260" s="9"/>
      <c r="J260" s="9"/>
      <c r="K260" s="42"/>
      <c r="L260" s="42"/>
      <c r="M260" s="42"/>
      <c r="N260" s="42"/>
      <c r="O260" s="42"/>
      <c r="P260" s="9"/>
      <c r="Q260" s="9"/>
      <c r="R260" s="42"/>
      <c r="S260" s="42"/>
      <c r="T260" s="42"/>
      <c r="U260" s="42"/>
      <c r="V260" s="42"/>
      <c r="W260" s="42"/>
    </row>
    <row r="261">
      <c r="A261" s="9"/>
      <c r="B261" s="9"/>
      <c r="C261" s="9"/>
      <c r="D261" s="42"/>
      <c r="E261" s="103"/>
      <c r="F261" s="42"/>
      <c r="G261" s="9"/>
      <c r="H261" s="9"/>
      <c r="I261" s="9"/>
      <c r="J261" s="9"/>
      <c r="K261" s="42"/>
      <c r="L261" s="42"/>
      <c r="M261" s="42"/>
      <c r="N261" s="42"/>
      <c r="O261" s="42"/>
      <c r="P261" s="9"/>
      <c r="Q261" s="9"/>
      <c r="R261" s="42"/>
      <c r="S261" s="42"/>
      <c r="T261" s="42"/>
      <c r="U261" s="42"/>
      <c r="V261" s="42"/>
      <c r="W261" s="42"/>
    </row>
    <row r="262">
      <c r="A262" s="9"/>
      <c r="B262" s="9"/>
      <c r="C262" s="9"/>
      <c r="D262" s="42"/>
      <c r="E262" s="103"/>
      <c r="F262" s="42"/>
      <c r="G262" s="9"/>
      <c r="H262" s="9"/>
      <c r="I262" s="9"/>
      <c r="J262" s="9"/>
      <c r="K262" s="42"/>
      <c r="L262" s="42"/>
      <c r="M262" s="42"/>
      <c r="N262" s="42"/>
      <c r="O262" s="42"/>
      <c r="P262" s="9"/>
      <c r="Q262" s="9"/>
      <c r="R262" s="42"/>
      <c r="S262" s="42"/>
      <c r="T262" s="42"/>
      <c r="U262" s="42"/>
      <c r="V262" s="42"/>
      <c r="W262" s="42"/>
    </row>
    <row r="263">
      <c r="A263" s="9"/>
      <c r="B263" s="9"/>
      <c r="C263" s="9"/>
      <c r="D263" s="42"/>
      <c r="E263" s="103"/>
      <c r="F263" s="42"/>
      <c r="G263" s="9"/>
      <c r="H263" s="9"/>
      <c r="I263" s="9"/>
      <c r="J263" s="9"/>
      <c r="K263" s="42"/>
      <c r="L263" s="42"/>
      <c r="M263" s="42"/>
      <c r="N263" s="42"/>
      <c r="O263" s="42"/>
      <c r="P263" s="9"/>
      <c r="Q263" s="9"/>
      <c r="R263" s="42"/>
      <c r="S263" s="42"/>
      <c r="T263" s="42"/>
      <c r="U263" s="42"/>
      <c r="V263" s="42"/>
      <c r="W263" s="42"/>
    </row>
    <row r="264">
      <c r="A264" s="9"/>
      <c r="B264" s="9"/>
      <c r="C264" s="9"/>
      <c r="D264" s="42"/>
      <c r="E264" s="103"/>
      <c r="F264" s="42"/>
      <c r="G264" s="9"/>
      <c r="H264" s="9"/>
      <c r="I264" s="9"/>
      <c r="J264" s="9"/>
      <c r="K264" s="42"/>
      <c r="L264" s="42"/>
      <c r="M264" s="42"/>
      <c r="N264" s="42"/>
      <c r="O264" s="42"/>
      <c r="P264" s="9"/>
      <c r="Q264" s="9"/>
      <c r="R264" s="42"/>
      <c r="S264" s="42"/>
      <c r="T264" s="42"/>
      <c r="U264" s="42"/>
      <c r="V264" s="42"/>
      <c r="W264" s="42"/>
    </row>
    <row r="265">
      <c r="A265" s="9"/>
      <c r="B265" s="9"/>
      <c r="C265" s="9"/>
      <c r="D265" s="42"/>
      <c r="E265" s="103"/>
      <c r="F265" s="42"/>
      <c r="G265" s="9"/>
      <c r="H265" s="9"/>
      <c r="I265" s="9"/>
      <c r="J265" s="9"/>
      <c r="K265" s="42"/>
      <c r="L265" s="42"/>
      <c r="M265" s="42"/>
      <c r="N265" s="42"/>
      <c r="O265" s="42"/>
      <c r="P265" s="9"/>
      <c r="Q265" s="9"/>
      <c r="R265" s="42"/>
      <c r="S265" s="42"/>
      <c r="T265" s="42"/>
      <c r="U265" s="42"/>
      <c r="V265" s="42"/>
      <c r="W265" s="42"/>
    </row>
    <row r="266">
      <c r="A266" s="9"/>
      <c r="B266" s="9"/>
      <c r="C266" s="9"/>
      <c r="D266" s="42"/>
      <c r="E266" s="103"/>
      <c r="F266" s="42"/>
      <c r="G266" s="9"/>
      <c r="H266" s="9"/>
      <c r="I266" s="9"/>
      <c r="J266" s="9"/>
      <c r="K266" s="42"/>
      <c r="L266" s="42"/>
      <c r="M266" s="42"/>
      <c r="N266" s="42"/>
      <c r="O266" s="42"/>
      <c r="P266" s="9"/>
      <c r="Q266" s="9"/>
      <c r="R266" s="42"/>
      <c r="S266" s="42"/>
      <c r="T266" s="42"/>
      <c r="U266" s="42"/>
      <c r="V266" s="42"/>
      <c r="W266" s="42"/>
    </row>
    <row r="267">
      <c r="A267" s="9"/>
      <c r="B267" s="9"/>
      <c r="C267" s="9"/>
      <c r="D267" s="42"/>
      <c r="E267" s="103"/>
      <c r="F267" s="42"/>
      <c r="G267" s="9"/>
      <c r="H267" s="9"/>
      <c r="I267" s="9"/>
      <c r="J267" s="9"/>
      <c r="K267" s="42"/>
      <c r="L267" s="42"/>
      <c r="M267" s="42"/>
      <c r="N267" s="42"/>
      <c r="O267" s="42"/>
      <c r="P267" s="9"/>
      <c r="Q267" s="9"/>
      <c r="R267" s="42"/>
      <c r="S267" s="42"/>
      <c r="T267" s="42"/>
      <c r="U267" s="42"/>
      <c r="V267" s="42"/>
      <c r="W267" s="42"/>
    </row>
    <row r="268">
      <c r="A268" s="9"/>
      <c r="B268" s="9"/>
      <c r="C268" s="9"/>
      <c r="D268" s="42"/>
      <c r="E268" s="103"/>
      <c r="F268" s="42"/>
      <c r="G268" s="9"/>
      <c r="H268" s="9"/>
      <c r="I268" s="9"/>
      <c r="J268" s="9"/>
      <c r="K268" s="42"/>
      <c r="L268" s="42"/>
      <c r="M268" s="42"/>
      <c r="N268" s="42"/>
      <c r="O268" s="42"/>
      <c r="P268" s="9"/>
      <c r="Q268" s="9"/>
      <c r="R268" s="42"/>
      <c r="S268" s="42"/>
      <c r="T268" s="42"/>
      <c r="U268" s="42"/>
      <c r="V268" s="42"/>
      <c r="W268" s="42"/>
    </row>
    <row r="269">
      <c r="A269" s="9"/>
      <c r="B269" s="9"/>
      <c r="C269" s="9"/>
      <c r="D269" s="42"/>
      <c r="E269" s="103"/>
      <c r="F269" s="42"/>
      <c r="G269" s="9"/>
      <c r="H269" s="9"/>
      <c r="I269" s="9"/>
      <c r="J269" s="9"/>
      <c r="K269" s="42"/>
      <c r="L269" s="42"/>
      <c r="M269" s="42"/>
      <c r="N269" s="42"/>
      <c r="O269" s="42"/>
      <c r="P269" s="9"/>
      <c r="Q269" s="9"/>
      <c r="R269" s="42"/>
      <c r="S269" s="42"/>
      <c r="T269" s="42"/>
      <c r="U269" s="42"/>
      <c r="V269" s="42"/>
      <c r="W269" s="42"/>
    </row>
    <row r="270">
      <c r="A270" s="9"/>
      <c r="B270" s="9"/>
      <c r="C270" s="9"/>
      <c r="D270" s="42"/>
      <c r="E270" s="103"/>
      <c r="F270" s="42"/>
      <c r="G270" s="9"/>
      <c r="H270" s="9"/>
      <c r="I270" s="9"/>
      <c r="J270" s="9"/>
      <c r="K270" s="42"/>
      <c r="L270" s="42"/>
      <c r="M270" s="42"/>
      <c r="N270" s="42"/>
      <c r="O270" s="42"/>
      <c r="P270" s="9"/>
      <c r="Q270" s="9"/>
      <c r="R270" s="42"/>
      <c r="S270" s="42"/>
      <c r="T270" s="42"/>
      <c r="U270" s="42"/>
      <c r="V270" s="42"/>
      <c r="W270" s="42"/>
    </row>
    <row r="271">
      <c r="A271" s="9"/>
      <c r="B271" s="9"/>
      <c r="C271" s="9"/>
      <c r="D271" s="42"/>
      <c r="E271" s="103"/>
      <c r="F271" s="42"/>
      <c r="G271" s="9"/>
      <c r="H271" s="9"/>
      <c r="I271" s="9"/>
      <c r="J271" s="9"/>
      <c r="K271" s="42"/>
      <c r="L271" s="42"/>
      <c r="M271" s="42"/>
      <c r="N271" s="42"/>
      <c r="O271" s="42"/>
      <c r="P271" s="9"/>
      <c r="Q271" s="9"/>
      <c r="R271" s="42"/>
      <c r="S271" s="42"/>
      <c r="T271" s="42"/>
      <c r="U271" s="42"/>
      <c r="V271" s="42"/>
      <c r="W271" s="42"/>
    </row>
    <row r="272">
      <c r="A272" s="9"/>
      <c r="B272" s="9"/>
      <c r="C272" s="9"/>
      <c r="D272" s="42"/>
      <c r="E272" s="103"/>
      <c r="F272" s="42"/>
      <c r="G272" s="9"/>
      <c r="H272" s="9"/>
      <c r="I272" s="9"/>
      <c r="J272" s="9"/>
      <c r="K272" s="42"/>
      <c r="L272" s="42"/>
      <c r="M272" s="42"/>
      <c r="N272" s="42"/>
      <c r="O272" s="42"/>
      <c r="P272" s="9"/>
      <c r="Q272" s="9"/>
      <c r="R272" s="42"/>
      <c r="S272" s="42"/>
      <c r="T272" s="42"/>
      <c r="U272" s="42"/>
      <c r="V272" s="42"/>
      <c r="W272" s="42"/>
    </row>
    <row r="273">
      <c r="A273" s="9"/>
      <c r="B273" s="9"/>
      <c r="C273" s="9"/>
      <c r="D273" s="42"/>
      <c r="E273" s="103"/>
      <c r="F273" s="42"/>
      <c r="G273" s="9"/>
      <c r="H273" s="9"/>
      <c r="I273" s="9"/>
      <c r="J273" s="9"/>
      <c r="K273" s="42"/>
      <c r="L273" s="42"/>
      <c r="M273" s="42"/>
      <c r="N273" s="42"/>
      <c r="O273" s="42"/>
      <c r="P273" s="9"/>
      <c r="Q273" s="9"/>
      <c r="R273" s="42"/>
      <c r="S273" s="42"/>
      <c r="T273" s="42"/>
      <c r="U273" s="42"/>
      <c r="V273" s="42"/>
      <c r="W273" s="42"/>
    </row>
    <row r="274">
      <c r="A274" s="9"/>
      <c r="B274" s="9"/>
      <c r="C274" s="9"/>
      <c r="D274" s="42"/>
      <c r="E274" s="103"/>
      <c r="F274" s="42"/>
      <c r="G274" s="9"/>
      <c r="H274" s="9"/>
      <c r="I274" s="9"/>
      <c r="J274" s="9"/>
      <c r="K274" s="42"/>
      <c r="L274" s="42"/>
      <c r="M274" s="42"/>
      <c r="N274" s="42"/>
      <c r="O274" s="42"/>
      <c r="P274" s="9"/>
      <c r="Q274" s="9"/>
      <c r="R274" s="42"/>
      <c r="S274" s="42"/>
      <c r="T274" s="42"/>
      <c r="U274" s="42"/>
      <c r="V274" s="42"/>
      <c r="W274" s="42"/>
    </row>
    <row r="275">
      <c r="A275" s="9"/>
      <c r="B275" s="9"/>
      <c r="C275" s="9"/>
      <c r="D275" s="42"/>
      <c r="E275" s="103"/>
      <c r="F275" s="42"/>
      <c r="G275" s="9"/>
      <c r="H275" s="9"/>
      <c r="I275" s="9"/>
      <c r="J275" s="9"/>
      <c r="K275" s="42"/>
      <c r="L275" s="42"/>
      <c r="M275" s="42"/>
      <c r="N275" s="42"/>
      <c r="O275" s="42"/>
      <c r="P275" s="9"/>
      <c r="Q275" s="9"/>
      <c r="R275" s="42"/>
      <c r="S275" s="42"/>
      <c r="T275" s="42"/>
      <c r="U275" s="42"/>
      <c r="V275" s="42"/>
      <c r="W275" s="42"/>
    </row>
    <row r="276">
      <c r="A276" s="9"/>
      <c r="B276" s="9"/>
      <c r="C276" s="9"/>
      <c r="D276" s="42"/>
      <c r="E276" s="103"/>
      <c r="F276" s="42"/>
      <c r="G276" s="9"/>
      <c r="H276" s="9"/>
      <c r="I276" s="9"/>
      <c r="J276" s="9"/>
      <c r="K276" s="42"/>
      <c r="L276" s="42"/>
      <c r="M276" s="42"/>
      <c r="N276" s="42"/>
      <c r="O276" s="42"/>
      <c r="P276" s="9"/>
      <c r="Q276" s="9"/>
      <c r="R276" s="42"/>
      <c r="S276" s="42"/>
      <c r="T276" s="42"/>
      <c r="U276" s="42"/>
      <c r="V276" s="42"/>
      <c r="W276" s="42"/>
    </row>
    <row r="277">
      <c r="A277" s="9"/>
      <c r="B277" s="9"/>
      <c r="C277" s="9"/>
      <c r="D277" s="42"/>
      <c r="E277" s="103"/>
      <c r="F277" s="42"/>
      <c r="G277" s="9"/>
      <c r="H277" s="9"/>
      <c r="I277" s="9"/>
      <c r="J277" s="9"/>
      <c r="K277" s="42"/>
      <c r="L277" s="42"/>
      <c r="M277" s="42"/>
      <c r="N277" s="42"/>
      <c r="O277" s="42"/>
      <c r="P277" s="9"/>
      <c r="Q277" s="9"/>
      <c r="R277" s="42"/>
      <c r="S277" s="42"/>
      <c r="T277" s="42"/>
      <c r="U277" s="42"/>
      <c r="V277" s="42"/>
      <c r="W277" s="42"/>
    </row>
    <row r="278">
      <c r="A278" s="9"/>
      <c r="B278" s="9"/>
      <c r="C278" s="9"/>
      <c r="D278" s="42"/>
      <c r="E278" s="103"/>
      <c r="F278" s="42"/>
      <c r="G278" s="9"/>
      <c r="H278" s="9"/>
      <c r="I278" s="9"/>
      <c r="J278" s="9"/>
      <c r="K278" s="42"/>
      <c r="L278" s="42"/>
      <c r="M278" s="42"/>
      <c r="N278" s="42"/>
      <c r="O278" s="42"/>
      <c r="P278" s="9"/>
      <c r="Q278" s="9"/>
      <c r="R278" s="42"/>
      <c r="S278" s="42"/>
      <c r="T278" s="42"/>
      <c r="U278" s="42"/>
      <c r="V278" s="42"/>
      <c r="W278" s="42"/>
    </row>
    <row r="279">
      <c r="A279" s="9"/>
      <c r="B279" s="9"/>
      <c r="C279" s="9"/>
      <c r="D279" s="42"/>
      <c r="E279" s="103"/>
      <c r="F279" s="42"/>
      <c r="G279" s="9"/>
      <c r="H279" s="9"/>
      <c r="I279" s="9"/>
      <c r="J279" s="9"/>
      <c r="K279" s="42"/>
      <c r="L279" s="42"/>
      <c r="M279" s="42"/>
      <c r="N279" s="42"/>
      <c r="O279" s="42"/>
      <c r="P279" s="9"/>
      <c r="Q279" s="9"/>
      <c r="R279" s="42"/>
      <c r="S279" s="42"/>
      <c r="T279" s="42"/>
      <c r="U279" s="42"/>
      <c r="V279" s="42"/>
      <c r="W279" s="42"/>
    </row>
    <row r="280">
      <c r="A280" s="9"/>
      <c r="B280" s="9"/>
      <c r="C280" s="9"/>
      <c r="D280" s="42"/>
      <c r="E280" s="103"/>
      <c r="F280" s="42"/>
      <c r="G280" s="9"/>
      <c r="H280" s="9"/>
      <c r="I280" s="9"/>
      <c r="J280" s="9"/>
      <c r="K280" s="42"/>
      <c r="L280" s="42"/>
      <c r="M280" s="42"/>
      <c r="N280" s="42"/>
      <c r="O280" s="42"/>
      <c r="P280" s="9"/>
      <c r="Q280" s="9"/>
      <c r="R280" s="42"/>
      <c r="S280" s="42"/>
      <c r="T280" s="42"/>
      <c r="U280" s="42"/>
      <c r="V280" s="42"/>
      <c r="W280" s="42"/>
    </row>
    <row r="281">
      <c r="A281" s="9"/>
      <c r="B281" s="9"/>
      <c r="C281" s="9"/>
      <c r="D281" s="42"/>
      <c r="E281" s="103"/>
      <c r="F281" s="42"/>
      <c r="G281" s="9"/>
      <c r="H281" s="9"/>
      <c r="I281" s="9"/>
      <c r="J281" s="9"/>
      <c r="K281" s="42"/>
      <c r="L281" s="42"/>
      <c r="M281" s="42"/>
      <c r="N281" s="42"/>
      <c r="O281" s="42"/>
      <c r="P281" s="9"/>
      <c r="Q281" s="9"/>
      <c r="R281" s="42"/>
      <c r="S281" s="42"/>
      <c r="T281" s="42"/>
      <c r="U281" s="42"/>
      <c r="V281" s="42"/>
      <c r="W281" s="42"/>
    </row>
    <row r="282">
      <c r="A282" s="9"/>
      <c r="B282" s="9"/>
      <c r="C282" s="9"/>
      <c r="D282" s="42"/>
      <c r="E282" s="103"/>
      <c r="F282" s="42"/>
      <c r="G282" s="9"/>
      <c r="H282" s="9"/>
      <c r="I282" s="9"/>
      <c r="J282" s="9"/>
      <c r="K282" s="42"/>
      <c r="L282" s="42"/>
      <c r="M282" s="42"/>
      <c r="N282" s="42"/>
      <c r="O282" s="42"/>
      <c r="P282" s="9"/>
      <c r="Q282" s="9"/>
      <c r="R282" s="42"/>
      <c r="S282" s="42"/>
      <c r="T282" s="42"/>
      <c r="U282" s="42"/>
      <c r="V282" s="42"/>
      <c r="W282" s="42"/>
    </row>
    <row r="283">
      <c r="A283" s="9"/>
      <c r="B283" s="9"/>
      <c r="C283" s="9"/>
      <c r="D283" s="42"/>
      <c r="E283" s="103"/>
      <c r="F283" s="42"/>
      <c r="G283" s="9"/>
      <c r="H283" s="9"/>
      <c r="I283" s="9"/>
      <c r="J283" s="9"/>
      <c r="K283" s="42"/>
      <c r="L283" s="42"/>
      <c r="M283" s="42"/>
      <c r="N283" s="42"/>
      <c r="O283" s="42"/>
      <c r="P283" s="9"/>
      <c r="Q283" s="9"/>
      <c r="R283" s="42"/>
      <c r="S283" s="42"/>
      <c r="T283" s="42"/>
      <c r="U283" s="42"/>
      <c r="V283" s="42"/>
      <c r="W283" s="42"/>
    </row>
    <row r="284">
      <c r="A284" s="9"/>
      <c r="B284" s="9"/>
      <c r="C284" s="9"/>
      <c r="D284" s="42"/>
      <c r="E284" s="103"/>
      <c r="F284" s="42"/>
      <c r="G284" s="9"/>
      <c r="H284" s="9"/>
      <c r="I284" s="9"/>
      <c r="J284" s="9"/>
      <c r="K284" s="42"/>
      <c r="L284" s="42"/>
      <c r="M284" s="42"/>
      <c r="N284" s="42"/>
      <c r="O284" s="42"/>
      <c r="P284" s="9"/>
      <c r="Q284" s="9"/>
      <c r="R284" s="42"/>
      <c r="S284" s="42"/>
      <c r="T284" s="42"/>
      <c r="U284" s="42"/>
      <c r="V284" s="42"/>
      <c r="W284" s="42"/>
    </row>
    <row r="285">
      <c r="A285" s="9"/>
      <c r="B285" s="9"/>
      <c r="C285" s="9"/>
      <c r="D285" s="42"/>
      <c r="E285" s="103"/>
      <c r="F285" s="42"/>
      <c r="G285" s="9"/>
      <c r="H285" s="9"/>
      <c r="I285" s="9"/>
      <c r="J285" s="9"/>
      <c r="K285" s="42"/>
      <c r="L285" s="42"/>
      <c r="M285" s="42"/>
      <c r="N285" s="42"/>
      <c r="O285" s="42"/>
      <c r="P285" s="9"/>
      <c r="Q285" s="9"/>
      <c r="R285" s="42"/>
      <c r="S285" s="42"/>
      <c r="T285" s="42"/>
      <c r="U285" s="42"/>
      <c r="V285" s="42"/>
      <c r="W285" s="42"/>
    </row>
    <row r="286">
      <c r="A286" s="9"/>
      <c r="B286" s="9"/>
      <c r="C286" s="9"/>
      <c r="D286" s="42"/>
      <c r="E286" s="103"/>
      <c r="F286" s="42"/>
      <c r="G286" s="9"/>
      <c r="H286" s="9"/>
      <c r="I286" s="9"/>
      <c r="J286" s="9"/>
      <c r="K286" s="42"/>
      <c r="L286" s="42"/>
      <c r="M286" s="42"/>
      <c r="N286" s="42"/>
      <c r="O286" s="42"/>
      <c r="P286" s="9"/>
      <c r="Q286" s="9"/>
      <c r="R286" s="42"/>
      <c r="S286" s="42"/>
      <c r="T286" s="42"/>
      <c r="U286" s="42"/>
      <c r="V286" s="42"/>
      <c r="W286" s="42"/>
    </row>
    <row r="287">
      <c r="A287" s="9"/>
      <c r="B287" s="9"/>
      <c r="C287" s="9"/>
      <c r="D287" s="42"/>
      <c r="E287" s="103"/>
      <c r="F287" s="42"/>
      <c r="G287" s="9"/>
      <c r="H287" s="9"/>
      <c r="I287" s="9"/>
      <c r="J287" s="9"/>
      <c r="K287" s="42"/>
      <c r="L287" s="42"/>
      <c r="M287" s="42"/>
      <c r="N287" s="42"/>
      <c r="O287" s="42"/>
      <c r="P287" s="9"/>
      <c r="Q287" s="9"/>
      <c r="R287" s="42"/>
      <c r="S287" s="42"/>
      <c r="T287" s="42"/>
      <c r="U287" s="42"/>
      <c r="V287" s="42"/>
      <c r="W287" s="42"/>
    </row>
    <row r="288">
      <c r="A288" s="9"/>
      <c r="B288" s="9"/>
      <c r="C288" s="9"/>
      <c r="D288" s="42"/>
      <c r="E288" s="103"/>
      <c r="F288" s="42"/>
      <c r="G288" s="9"/>
      <c r="H288" s="9"/>
      <c r="I288" s="9"/>
      <c r="J288" s="9"/>
      <c r="K288" s="42"/>
      <c r="L288" s="42"/>
      <c r="M288" s="42"/>
      <c r="N288" s="42"/>
      <c r="O288" s="42"/>
      <c r="P288" s="9"/>
      <c r="Q288" s="9"/>
      <c r="R288" s="42"/>
      <c r="S288" s="42"/>
      <c r="T288" s="42"/>
      <c r="U288" s="42"/>
      <c r="V288" s="42"/>
      <c r="W288" s="42"/>
    </row>
    <row r="289">
      <c r="A289" s="9"/>
      <c r="B289" s="9"/>
      <c r="C289" s="9"/>
      <c r="D289" s="42"/>
      <c r="E289" s="103"/>
      <c r="F289" s="42"/>
      <c r="G289" s="9"/>
      <c r="H289" s="9"/>
      <c r="I289" s="9"/>
      <c r="J289" s="9"/>
      <c r="K289" s="42"/>
      <c r="L289" s="42"/>
      <c r="M289" s="42"/>
      <c r="N289" s="42"/>
      <c r="O289" s="42"/>
      <c r="P289" s="9"/>
      <c r="Q289" s="9"/>
      <c r="R289" s="42"/>
      <c r="S289" s="42"/>
      <c r="T289" s="42"/>
      <c r="U289" s="42"/>
      <c r="V289" s="42"/>
      <c r="W289" s="42"/>
    </row>
    <row r="290">
      <c r="A290" s="9"/>
      <c r="B290" s="9"/>
      <c r="C290" s="9"/>
      <c r="D290" s="42"/>
      <c r="E290" s="103"/>
      <c r="F290" s="42"/>
      <c r="G290" s="9"/>
      <c r="H290" s="9"/>
      <c r="I290" s="9"/>
      <c r="J290" s="9"/>
      <c r="K290" s="42"/>
      <c r="L290" s="42"/>
      <c r="M290" s="42"/>
      <c r="N290" s="42"/>
      <c r="O290" s="42"/>
      <c r="P290" s="9"/>
      <c r="Q290" s="9"/>
      <c r="R290" s="42"/>
      <c r="S290" s="42"/>
      <c r="T290" s="42"/>
      <c r="U290" s="42"/>
      <c r="V290" s="42"/>
      <c r="W290" s="42"/>
    </row>
    <row r="291">
      <c r="A291" s="9"/>
      <c r="B291" s="9"/>
      <c r="C291" s="9"/>
      <c r="D291" s="42"/>
      <c r="E291" s="103"/>
      <c r="F291" s="42"/>
      <c r="G291" s="9"/>
      <c r="H291" s="9"/>
      <c r="I291" s="9"/>
      <c r="J291" s="9"/>
      <c r="K291" s="42"/>
      <c r="L291" s="42"/>
      <c r="M291" s="42"/>
      <c r="N291" s="42"/>
      <c r="O291" s="42"/>
      <c r="P291" s="9"/>
      <c r="Q291" s="9"/>
      <c r="R291" s="42"/>
      <c r="S291" s="42"/>
      <c r="T291" s="42"/>
      <c r="U291" s="42"/>
      <c r="V291" s="42"/>
      <c r="W291" s="42"/>
    </row>
    <row r="292">
      <c r="A292" s="9"/>
      <c r="B292" s="9"/>
      <c r="C292" s="9"/>
      <c r="D292" s="42"/>
      <c r="E292" s="103"/>
      <c r="F292" s="42"/>
      <c r="G292" s="9"/>
      <c r="H292" s="9"/>
      <c r="I292" s="9"/>
      <c r="J292" s="9"/>
      <c r="K292" s="42"/>
      <c r="L292" s="42"/>
      <c r="M292" s="42"/>
      <c r="N292" s="42"/>
      <c r="O292" s="42"/>
      <c r="P292" s="9"/>
      <c r="Q292" s="9"/>
      <c r="R292" s="42"/>
      <c r="S292" s="42"/>
      <c r="T292" s="42"/>
      <c r="U292" s="42"/>
      <c r="V292" s="42"/>
      <c r="W292" s="42"/>
    </row>
    <row r="293">
      <c r="A293" s="9"/>
      <c r="B293" s="9"/>
      <c r="C293" s="9"/>
      <c r="D293" s="42"/>
      <c r="E293" s="103"/>
      <c r="F293" s="42"/>
      <c r="G293" s="9"/>
      <c r="H293" s="9"/>
      <c r="I293" s="9"/>
      <c r="J293" s="9"/>
      <c r="K293" s="42"/>
      <c r="L293" s="42"/>
      <c r="M293" s="42"/>
      <c r="N293" s="42"/>
      <c r="O293" s="42"/>
      <c r="P293" s="9"/>
      <c r="Q293" s="9"/>
      <c r="R293" s="42"/>
      <c r="S293" s="42"/>
      <c r="T293" s="42"/>
      <c r="U293" s="42"/>
      <c r="V293" s="42"/>
      <c r="W293" s="42"/>
    </row>
    <row r="294">
      <c r="A294" s="9"/>
      <c r="B294" s="9"/>
      <c r="C294" s="9"/>
      <c r="D294" s="42"/>
      <c r="E294" s="103"/>
      <c r="F294" s="42"/>
      <c r="G294" s="9"/>
      <c r="H294" s="9"/>
      <c r="I294" s="9"/>
      <c r="J294" s="9"/>
      <c r="K294" s="42"/>
      <c r="L294" s="42"/>
      <c r="M294" s="42"/>
      <c r="N294" s="42"/>
      <c r="O294" s="42"/>
      <c r="P294" s="9"/>
      <c r="Q294" s="9"/>
      <c r="R294" s="42"/>
      <c r="S294" s="42"/>
      <c r="T294" s="42"/>
      <c r="U294" s="42"/>
      <c r="V294" s="42"/>
      <c r="W294" s="42"/>
    </row>
    <row r="295">
      <c r="A295" s="9"/>
      <c r="B295" s="9"/>
      <c r="C295" s="9"/>
      <c r="D295" s="42"/>
      <c r="E295" s="103"/>
      <c r="F295" s="42"/>
      <c r="G295" s="9"/>
      <c r="H295" s="9"/>
      <c r="I295" s="9"/>
      <c r="J295" s="9"/>
      <c r="K295" s="42"/>
      <c r="L295" s="42"/>
      <c r="M295" s="42"/>
      <c r="N295" s="42"/>
      <c r="O295" s="42"/>
      <c r="P295" s="9"/>
      <c r="Q295" s="9"/>
      <c r="R295" s="42"/>
      <c r="S295" s="42"/>
      <c r="T295" s="42"/>
      <c r="U295" s="42"/>
      <c r="V295" s="42"/>
      <c r="W295" s="42"/>
    </row>
    <row r="296">
      <c r="A296" s="9"/>
      <c r="B296" s="9"/>
      <c r="C296" s="9"/>
      <c r="D296" s="42"/>
      <c r="E296" s="103"/>
      <c r="F296" s="42"/>
      <c r="G296" s="9"/>
      <c r="H296" s="9"/>
      <c r="I296" s="9"/>
      <c r="J296" s="9"/>
      <c r="K296" s="42"/>
      <c r="L296" s="42"/>
      <c r="M296" s="42"/>
      <c r="N296" s="42"/>
      <c r="O296" s="42"/>
      <c r="P296" s="9"/>
      <c r="Q296" s="9"/>
      <c r="R296" s="42"/>
      <c r="S296" s="42"/>
      <c r="T296" s="42"/>
      <c r="U296" s="42"/>
      <c r="V296" s="42"/>
      <c r="W296" s="42"/>
    </row>
    <row r="297">
      <c r="A297" s="9"/>
      <c r="B297" s="9"/>
      <c r="C297" s="9"/>
      <c r="D297" s="42"/>
      <c r="E297" s="103"/>
      <c r="F297" s="42"/>
      <c r="G297" s="9"/>
      <c r="H297" s="9"/>
      <c r="I297" s="9"/>
      <c r="J297" s="9"/>
      <c r="K297" s="42"/>
      <c r="L297" s="42"/>
      <c r="M297" s="42"/>
      <c r="N297" s="42"/>
      <c r="O297" s="42"/>
      <c r="P297" s="9"/>
      <c r="Q297" s="9"/>
      <c r="R297" s="42"/>
      <c r="S297" s="42"/>
      <c r="T297" s="42"/>
      <c r="U297" s="42"/>
      <c r="V297" s="42"/>
      <c r="W297" s="42"/>
    </row>
    <row r="298">
      <c r="A298" s="9"/>
      <c r="B298" s="9"/>
      <c r="C298" s="9"/>
      <c r="D298" s="42"/>
      <c r="E298" s="103"/>
      <c r="F298" s="42"/>
      <c r="G298" s="9"/>
      <c r="H298" s="9"/>
      <c r="I298" s="9"/>
      <c r="J298" s="9"/>
      <c r="K298" s="42"/>
      <c r="L298" s="42"/>
      <c r="M298" s="42"/>
      <c r="N298" s="42"/>
      <c r="O298" s="42"/>
      <c r="P298" s="9"/>
      <c r="Q298" s="9"/>
      <c r="R298" s="42"/>
      <c r="S298" s="42"/>
      <c r="T298" s="42"/>
      <c r="U298" s="42"/>
      <c r="V298" s="42"/>
      <c r="W298" s="42"/>
    </row>
    <row r="299">
      <c r="A299" s="9"/>
      <c r="B299" s="9"/>
      <c r="C299" s="9"/>
      <c r="D299" s="42"/>
      <c r="E299" s="103"/>
      <c r="F299" s="42"/>
      <c r="G299" s="9"/>
      <c r="H299" s="9"/>
      <c r="I299" s="9"/>
      <c r="J299" s="9"/>
      <c r="K299" s="42"/>
      <c r="L299" s="42"/>
      <c r="M299" s="42"/>
      <c r="N299" s="42"/>
      <c r="O299" s="42"/>
      <c r="P299" s="9"/>
      <c r="Q299" s="9"/>
      <c r="R299" s="42"/>
      <c r="S299" s="42"/>
      <c r="T299" s="42"/>
      <c r="U299" s="42"/>
      <c r="V299" s="42"/>
      <c r="W299" s="42"/>
    </row>
    <row r="300">
      <c r="A300" s="9"/>
      <c r="B300" s="9"/>
      <c r="C300" s="9"/>
      <c r="D300" s="42"/>
      <c r="E300" s="103"/>
      <c r="F300" s="42"/>
      <c r="G300" s="9"/>
      <c r="H300" s="9"/>
      <c r="I300" s="9"/>
      <c r="J300" s="9"/>
      <c r="K300" s="42"/>
      <c r="L300" s="42"/>
      <c r="M300" s="42"/>
      <c r="N300" s="42"/>
      <c r="O300" s="42"/>
      <c r="P300" s="9"/>
      <c r="Q300" s="9"/>
      <c r="R300" s="42"/>
      <c r="S300" s="42"/>
      <c r="T300" s="42"/>
      <c r="U300" s="42"/>
      <c r="V300" s="42"/>
      <c r="W300" s="42"/>
    </row>
    <row r="301">
      <c r="A301" s="9"/>
      <c r="B301" s="9"/>
      <c r="C301" s="9"/>
      <c r="D301" s="42"/>
      <c r="E301" s="103"/>
      <c r="F301" s="42"/>
      <c r="G301" s="9"/>
      <c r="H301" s="9"/>
      <c r="I301" s="9"/>
      <c r="J301" s="9"/>
      <c r="K301" s="42"/>
      <c r="L301" s="42"/>
      <c r="M301" s="42"/>
      <c r="N301" s="42"/>
      <c r="O301" s="42"/>
      <c r="P301" s="9"/>
      <c r="Q301" s="9"/>
      <c r="R301" s="42"/>
      <c r="S301" s="42"/>
      <c r="T301" s="42"/>
      <c r="U301" s="42"/>
      <c r="V301" s="42"/>
      <c r="W301" s="42"/>
    </row>
    <row r="302">
      <c r="A302" s="9"/>
      <c r="B302" s="9"/>
      <c r="C302" s="9"/>
      <c r="D302" s="42"/>
      <c r="E302" s="103"/>
      <c r="F302" s="42"/>
      <c r="G302" s="9"/>
      <c r="H302" s="9"/>
      <c r="I302" s="9"/>
      <c r="J302" s="9"/>
      <c r="K302" s="42"/>
      <c r="L302" s="42"/>
      <c r="M302" s="42"/>
      <c r="N302" s="42"/>
      <c r="O302" s="42"/>
      <c r="P302" s="9"/>
      <c r="Q302" s="9"/>
      <c r="R302" s="42"/>
      <c r="S302" s="42"/>
      <c r="T302" s="42"/>
      <c r="U302" s="42"/>
      <c r="V302" s="42"/>
      <c r="W302" s="42"/>
    </row>
    <row r="303">
      <c r="A303" s="9"/>
      <c r="B303" s="9"/>
      <c r="C303" s="9"/>
      <c r="D303" s="42"/>
      <c r="E303" s="103"/>
      <c r="F303" s="42"/>
      <c r="G303" s="9"/>
      <c r="H303" s="9"/>
      <c r="I303" s="9"/>
      <c r="J303" s="9"/>
      <c r="K303" s="42"/>
      <c r="L303" s="42"/>
      <c r="M303" s="42"/>
      <c r="N303" s="42"/>
      <c r="O303" s="42"/>
      <c r="P303" s="9"/>
      <c r="Q303" s="9"/>
      <c r="R303" s="42"/>
      <c r="S303" s="42"/>
      <c r="T303" s="42"/>
      <c r="U303" s="42"/>
      <c r="V303" s="42"/>
      <c r="W303" s="42"/>
    </row>
    <row r="304">
      <c r="A304" s="9"/>
      <c r="B304" s="9"/>
      <c r="C304" s="9"/>
      <c r="D304" s="42"/>
      <c r="E304" s="103"/>
      <c r="F304" s="42"/>
      <c r="G304" s="9"/>
      <c r="H304" s="9"/>
      <c r="I304" s="9"/>
      <c r="J304" s="9"/>
      <c r="K304" s="42"/>
      <c r="L304" s="42"/>
      <c r="M304" s="42"/>
      <c r="N304" s="42"/>
      <c r="O304" s="42"/>
      <c r="P304" s="9"/>
      <c r="Q304" s="9"/>
      <c r="R304" s="42"/>
      <c r="S304" s="42"/>
      <c r="T304" s="42"/>
      <c r="U304" s="42"/>
      <c r="V304" s="42"/>
      <c r="W304" s="42"/>
    </row>
    <row r="305">
      <c r="A305" s="9"/>
      <c r="B305" s="9"/>
      <c r="C305" s="9"/>
      <c r="D305" s="42"/>
      <c r="E305" s="103"/>
      <c r="F305" s="42"/>
      <c r="G305" s="9"/>
      <c r="H305" s="9"/>
      <c r="I305" s="9"/>
      <c r="J305" s="9"/>
      <c r="K305" s="42"/>
      <c r="L305" s="42"/>
      <c r="M305" s="42"/>
      <c r="N305" s="42"/>
      <c r="O305" s="42"/>
      <c r="P305" s="9"/>
      <c r="Q305" s="9"/>
      <c r="R305" s="42"/>
      <c r="S305" s="42"/>
      <c r="T305" s="42"/>
      <c r="U305" s="42"/>
      <c r="V305" s="42"/>
      <c r="W305" s="42"/>
    </row>
    <row r="306">
      <c r="A306" s="9"/>
      <c r="B306" s="9"/>
      <c r="C306" s="9"/>
      <c r="D306" s="42"/>
      <c r="E306" s="103"/>
      <c r="F306" s="42"/>
      <c r="G306" s="9"/>
      <c r="H306" s="9"/>
      <c r="I306" s="9"/>
      <c r="J306" s="9"/>
      <c r="K306" s="42"/>
      <c r="L306" s="42"/>
      <c r="M306" s="42"/>
      <c r="N306" s="42"/>
      <c r="O306" s="42"/>
      <c r="P306" s="9"/>
      <c r="Q306" s="9"/>
      <c r="R306" s="42"/>
      <c r="S306" s="42"/>
      <c r="T306" s="42"/>
      <c r="U306" s="42"/>
      <c r="V306" s="42"/>
      <c r="W306" s="42"/>
    </row>
    <row r="307">
      <c r="A307" s="9"/>
      <c r="B307" s="9"/>
      <c r="C307" s="9"/>
      <c r="D307" s="42"/>
      <c r="E307" s="103"/>
      <c r="F307" s="42"/>
      <c r="G307" s="9"/>
      <c r="H307" s="9"/>
      <c r="I307" s="9"/>
      <c r="J307" s="9"/>
      <c r="K307" s="42"/>
      <c r="L307" s="42"/>
      <c r="M307" s="42"/>
      <c r="N307" s="42"/>
      <c r="O307" s="42"/>
      <c r="P307" s="9"/>
      <c r="Q307" s="9"/>
      <c r="R307" s="42"/>
      <c r="S307" s="42"/>
      <c r="T307" s="42"/>
      <c r="U307" s="42"/>
      <c r="V307" s="42"/>
      <c r="W307" s="42"/>
    </row>
    <row r="308">
      <c r="A308" s="9"/>
      <c r="B308" s="9"/>
      <c r="C308" s="9"/>
      <c r="D308" s="42"/>
      <c r="E308" s="103"/>
      <c r="F308" s="42"/>
      <c r="G308" s="9"/>
      <c r="H308" s="9"/>
      <c r="I308" s="9"/>
      <c r="J308" s="9"/>
      <c r="K308" s="42"/>
      <c r="L308" s="42"/>
      <c r="M308" s="42"/>
      <c r="N308" s="42"/>
      <c r="O308" s="42"/>
      <c r="P308" s="9"/>
      <c r="Q308" s="9"/>
      <c r="R308" s="42"/>
      <c r="S308" s="42"/>
      <c r="T308" s="42"/>
      <c r="U308" s="42"/>
      <c r="V308" s="42"/>
      <c r="W308" s="42"/>
    </row>
    <row r="309">
      <c r="A309" s="9"/>
      <c r="B309" s="9"/>
      <c r="C309" s="9"/>
      <c r="D309" s="42"/>
      <c r="E309" s="103"/>
      <c r="F309" s="42"/>
      <c r="G309" s="9"/>
      <c r="H309" s="9"/>
      <c r="I309" s="9"/>
      <c r="J309" s="9"/>
      <c r="K309" s="42"/>
      <c r="L309" s="42"/>
      <c r="M309" s="42"/>
      <c r="N309" s="42"/>
      <c r="O309" s="42"/>
      <c r="P309" s="9"/>
      <c r="Q309" s="9"/>
      <c r="R309" s="42"/>
      <c r="S309" s="42"/>
      <c r="T309" s="42"/>
      <c r="U309" s="42"/>
      <c r="V309" s="42"/>
      <c r="W309" s="42"/>
    </row>
    <row r="310">
      <c r="A310" s="9"/>
      <c r="B310" s="9"/>
      <c r="C310" s="9"/>
      <c r="D310" s="42"/>
      <c r="E310" s="103"/>
      <c r="F310" s="42"/>
      <c r="G310" s="9"/>
      <c r="H310" s="9"/>
      <c r="I310" s="9"/>
      <c r="J310" s="9"/>
      <c r="K310" s="42"/>
      <c r="L310" s="42"/>
      <c r="M310" s="42"/>
      <c r="N310" s="42"/>
      <c r="O310" s="42"/>
      <c r="P310" s="9"/>
      <c r="Q310" s="9"/>
      <c r="R310" s="42"/>
      <c r="S310" s="42"/>
      <c r="T310" s="42"/>
      <c r="U310" s="42"/>
      <c r="V310" s="42"/>
      <c r="W310" s="42"/>
    </row>
    <row r="311">
      <c r="A311" s="9"/>
      <c r="B311" s="9"/>
      <c r="C311" s="9"/>
      <c r="D311" s="42"/>
      <c r="E311" s="103"/>
      <c r="F311" s="42"/>
      <c r="G311" s="9"/>
      <c r="H311" s="9"/>
      <c r="I311" s="9"/>
      <c r="J311" s="9"/>
      <c r="K311" s="42"/>
      <c r="L311" s="42"/>
      <c r="M311" s="42"/>
      <c r="N311" s="42"/>
      <c r="O311" s="42"/>
      <c r="P311" s="9"/>
      <c r="Q311" s="9"/>
      <c r="R311" s="42"/>
      <c r="S311" s="42"/>
      <c r="T311" s="42"/>
      <c r="U311" s="42"/>
      <c r="V311" s="42"/>
      <c r="W311" s="42"/>
    </row>
    <row r="312">
      <c r="A312" s="9"/>
      <c r="B312" s="9"/>
      <c r="C312" s="9"/>
      <c r="D312" s="42"/>
      <c r="E312" s="103"/>
      <c r="F312" s="42"/>
      <c r="G312" s="9"/>
      <c r="H312" s="9"/>
      <c r="I312" s="9"/>
      <c r="J312" s="9"/>
      <c r="K312" s="42"/>
      <c r="L312" s="42"/>
      <c r="M312" s="42"/>
      <c r="N312" s="42"/>
      <c r="O312" s="42"/>
      <c r="P312" s="9"/>
      <c r="Q312" s="9"/>
      <c r="R312" s="42"/>
      <c r="S312" s="42"/>
      <c r="T312" s="42"/>
      <c r="U312" s="42"/>
      <c r="V312" s="42"/>
      <c r="W312" s="42"/>
    </row>
    <row r="313">
      <c r="A313" s="9"/>
      <c r="B313" s="9"/>
      <c r="C313" s="9"/>
      <c r="D313" s="42"/>
      <c r="E313" s="103"/>
      <c r="F313" s="42"/>
      <c r="G313" s="9"/>
      <c r="H313" s="9"/>
      <c r="I313" s="9"/>
      <c r="J313" s="9"/>
      <c r="K313" s="42"/>
      <c r="L313" s="42"/>
      <c r="M313" s="42"/>
      <c r="N313" s="42"/>
      <c r="O313" s="42"/>
      <c r="P313" s="9"/>
      <c r="Q313" s="9"/>
      <c r="R313" s="42"/>
      <c r="S313" s="42"/>
      <c r="T313" s="42"/>
      <c r="U313" s="42"/>
      <c r="V313" s="42"/>
      <c r="W313" s="42"/>
    </row>
    <row r="314">
      <c r="A314" s="9"/>
      <c r="B314" s="9"/>
      <c r="C314" s="9"/>
      <c r="D314" s="42"/>
      <c r="E314" s="103"/>
      <c r="F314" s="42"/>
      <c r="G314" s="9"/>
      <c r="H314" s="9"/>
      <c r="I314" s="9"/>
      <c r="J314" s="9"/>
      <c r="K314" s="42"/>
      <c r="L314" s="42"/>
      <c r="M314" s="42"/>
      <c r="N314" s="42"/>
      <c r="O314" s="42"/>
      <c r="P314" s="9"/>
      <c r="Q314" s="9"/>
      <c r="R314" s="42"/>
      <c r="S314" s="42"/>
      <c r="T314" s="42"/>
      <c r="U314" s="42"/>
      <c r="V314" s="42"/>
      <c r="W314" s="42"/>
    </row>
    <row r="315">
      <c r="A315" s="9"/>
      <c r="B315" s="9"/>
      <c r="C315" s="9"/>
      <c r="D315" s="42"/>
      <c r="E315" s="103"/>
      <c r="F315" s="42"/>
      <c r="G315" s="9"/>
      <c r="H315" s="9"/>
      <c r="I315" s="9"/>
      <c r="J315" s="9"/>
      <c r="K315" s="42"/>
      <c r="L315" s="42"/>
      <c r="M315" s="42"/>
      <c r="N315" s="42"/>
      <c r="O315" s="42"/>
      <c r="P315" s="9"/>
      <c r="Q315" s="9"/>
      <c r="R315" s="42"/>
      <c r="S315" s="42"/>
      <c r="T315" s="42"/>
      <c r="U315" s="42"/>
      <c r="V315" s="42"/>
      <c r="W315" s="42"/>
    </row>
    <row r="316">
      <c r="A316" s="9"/>
      <c r="B316" s="9"/>
      <c r="C316" s="9"/>
      <c r="D316" s="42"/>
      <c r="E316" s="103"/>
      <c r="F316" s="42"/>
      <c r="G316" s="9"/>
      <c r="H316" s="9"/>
      <c r="I316" s="9"/>
      <c r="J316" s="9"/>
      <c r="K316" s="42"/>
      <c r="L316" s="42"/>
      <c r="M316" s="42"/>
      <c r="N316" s="42"/>
      <c r="O316" s="42"/>
      <c r="P316" s="9"/>
      <c r="Q316" s="9"/>
      <c r="R316" s="42"/>
      <c r="S316" s="42"/>
      <c r="T316" s="42"/>
      <c r="U316" s="42"/>
      <c r="V316" s="42"/>
      <c r="W316" s="42"/>
    </row>
    <row r="317">
      <c r="A317" s="9"/>
      <c r="B317" s="9"/>
      <c r="C317" s="9"/>
      <c r="D317" s="42"/>
      <c r="E317" s="103"/>
      <c r="F317" s="42"/>
      <c r="G317" s="9"/>
      <c r="H317" s="9"/>
      <c r="I317" s="9"/>
      <c r="J317" s="9"/>
      <c r="K317" s="42"/>
      <c r="L317" s="42"/>
      <c r="M317" s="42"/>
      <c r="N317" s="42"/>
      <c r="O317" s="42"/>
      <c r="P317" s="9"/>
      <c r="Q317" s="9"/>
      <c r="R317" s="42"/>
      <c r="S317" s="42"/>
      <c r="T317" s="42"/>
      <c r="U317" s="42"/>
      <c r="V317" s="42"/>
      <c r="W317" s="42"/>
    </row>
    <row r="318">
      <c r="A318" s="9"/>
      <c r="B318" s="9"/>
      <c r="C318" s="9"/>
      <c r="D318" s="42"/>
      <c r="E318" s="103"/>
      <c r="F318" s="42"/>
      <c r="G318" s="9"/>
      <c r="H318" s="9"/>
      <c r="I318" s="9"/>
      <c r="J318" s="9"/>
      <c r="K318" s="42"/>
      <c r="L318" s="42"/>
      <c r="M318" s="42"/>
      <c r="N318" s="42"/>
      <c r="O318" s="42"/>
      <c r="P318" s="9"/>
      <c r="Q318" s="9"/>
      <c r="R318" s="42"/>
      <c r="S318" s="42"/>
      <c r="T318" s="42"/>
      <c r="U318" s="42"/>
      <c r="V318" s="42"/>
      <c r="W318" s="42"/>
    </row>
    <row r="319">
      <c r="A319" s="9"/>
      <c r="B319" s="9"/>
      <c r="C319" s="9"/>
      <c r="D319" s="42"/>
      <c r="E319" s="103"/>
      <c r="F319" s="42"/>
      <c r="G319" s="9"/>
      <c r="H319" s="9"/>
      <c r="I319" s="9"/>
      <c r="J319" s="9"/>
      <c r="K319" s="42"/>
      <c r="L319" s="42"/>
      <c r="M319" s="42"/>
      <c r="N319" s="42"/>
      <c r="O319" s="42"/>
      <c r="P319" s="9"/>
      <c r="Q319" s="9"/>
      <c r="R319" s="42"/>
      <c r="S319" s="42"/>
      <c r="T319" s="42"/>
      <c r="U319" s="42"/>
      <c r="V319" s="42"/>
      <c r="W319" s="42"/>
    </row>
    <row r="320">
      <c r="A320" s="9"/>
      <c r="B320" s="9"/>
      <c r="C320" s="9"/>
      <c r="D320" s="42"/>
      <c r="E320" s="103"/>
      <c r="F320" s="42"/>
      <c r="G320" s="9"/>
      <c r="H320" s="9"/>
      <c r="I320" s="9"/>
      <c r="J320" s="9"/>
      <c r="K320" s="42"/>
      <c r="L320" s="42"/>
      <c r="M320" s="42"/>
      <c r="N320" s="42"/>
      <c r="O320" s="42"/>
      <c r="P320" s="9"/>
      <c r="Q320" s="9"/>
      <c r="R320" s="42"/>
      <c r="S320" s="42"/>
      <c r="T320" s="42"/>
      <c r="U320" s="42"/>
      <c r="V320" s="42"/>
      <c r="W320" s="42"/>
    </row>
    <row r="321">
      <c r="A321" s="9"/>
      <c r="B321" s="9"/>
      <c r="C321" s="9"/>
      <c r="D321" s="42"/>
      <c r="E321" s="103"/>
      <c r="F321" s="42"/>
      <c r="G321" s="9"/>
      <c r="H321" s="9"/>
      <c r="I321" s="9"/>
      <c r="J321" s="9"/>
      <c r="K321" s="42"/>
      <c r="L321" s="42"/>
      <c r="M321" s="42"/>
      <c r="N321" s="42"/>
      <c r="O321" s="42"/>
      <c r="P321" s="9"/>
      <c r="Q321" s="9"/>
      <c r="R321" s="42"/>
      <c r="S321" s="42"/>
      <c r="T321" s="42"/>
      <c r="U321" s="42"/>
      <c r="V321" s="42"/>
      <c r="W321" s="42"/>
    </row>
    <row r="322">
      <c r="A322" s="9"/>
      <c r="B322" s="9"/>
      <c r="C322" s="9"/>
      <c r="D322" s="42"/>
      <c r="E322" s="103"/>
      <c r="F322" s="42"/>
      <c r="G322" s="9"/>
      <c r="H322" s="9"/>
      <c r="I322" s="9"/>
      <c r="J322" s="9"/>
      <c r="K322" s="42"/>
      <c r="L322" s="42"/>
      <c r="M322" s="42"/>
      <c r="N322" s="42"/>
      <c r="O322" s="42"/>
      <c r="P322" s="9"/>
      <c r="Q322" s="9"/>
      <c r="R322" s="42"/>
      <c r="S322" s="42"/>
      <c r="T322" s="42"/>
      <c r="U322" s="42"/>
      <c r="V322" s="42"/>
      <c r="W322" s="42"/>
    </row>
    <row r="323">
      <c r="A323" s="9"/>
      <c r="B323" s="9"/>
      <c r="C323" s="9"/>
      <c r="D323" s="42"/>
      <c r="E323" s="103"/>
      <c r="F323" s="42"/>
      <c r="G323" s="9"/>
      <c r="H323" s="9"/>
      <c r="I323" s="9"/>
      <c r="J323" s="9"/>
      <c r="K323" s="42"/>
      <c r="L323" s="42"/>
      <c r="M323" s="42"/>
      <c r="N323" s="42"/>
      <c r="O323" s="42"/>
      <c r="P323" s="9"/>
      <c r="Q323" s="9"/>
      <c r="R323" s="42"/>
      <c r="S323" s="42"/>
      <c r="T323" s="42"/>
      <c r="U323" s="42"/>
      <c r="V323" s="42"/>
      <c r="W323" s="42"/>
    </row>
    <row r="324">
      <c r="A324" s="9"/>
      <c r="B324" s="9"/>
      <c r="C324" s="9"/>
      <c r="D324" s="42"/>
      <c r="E324" s="103"/>
      <c r="F324" s="42"/>
      <c r="G324" s="9"/>
      <c r="H324" s="9"/>
      <c r="I324" s="9"/>
      <c r="J324" s="9"/>
      <c r="K324" s="42"/>
      <c r="L324" s="42"/>
      <c r="M324" s="42"/>
      <c r="N324" s="42"/>
      <c r="O324" s="42"/>
      <c r="P324" s="9"/>
      <c r="Q324" s="9"/>
      <c r="R324" s="42"/>
      <c r="S324" s="42"/>
      <c r="T324" s="42"/>
      <c r="U324" s="42"/>
      <c r="V324" s="42"/>
      <c r="W324" s="42"/>
    </row>
    <row r="325">
      <c r="A325" s="9"/>
      <c r="B325" s="9"/>
      <c r="C325" s="9"/>
      <c r="D325" s="42"/>
      <c r="E325" s="103"/>
      <c r="F325" s="42"/>
      <c r="G325" s="9"/>
      <c r="H325" s="9"/>
      <c r="I325" s="9"/>
      <c r="J325" s="9"/>
      <c r="K325" s="42"/>
      <c r="L325" s="42"/>
      <c r="M325" s="42"/>
      <c r="N325" s="42"/>
      <c r="O325" s="42"/>
      <c r="P325" s="9"/>
      <c r="Q325" s="9"/>
      <c r="R325" s="42"/>
      <c r="S325" s="42"/>
      <c r="T325" s="42"/>
      <c r="U325" s="42"/>
      <c r="V325" s="42"/>
      <c r="W325" s="42"/>
    </row>
    <row r="326">
      <c r="A326" s="9"/>
      <c r="B326" s="9"/>
      <c r="C326" s="9"/>
      <c r="D326" s="42"/>
      <c r="E326" s="103"/>
      <c r="F326" s="42"/>
      <c r="G326" s="9"/>
      <c r="H326" s="9"/>
      <c r="I326" s="9"/>
      <c r="J326" s="9"/>
      <c r="K326" s="42"/>
      <c r="L326" s="42"/>
      <c r="M326" s="42"/>
      <c r="N326" s="42"/>
      <c r="O326" s="42"/>
      <c r="P326" s="9"/>
      <c r="Q326" s="9"/>
      <c r="R326" s="42"/>
      <c r="S326" s="42"/>
      <c r="T326" s="42"/>
      <c r="U326" s="42"/>
      <c r="V326" s="42"/>
      <c r="W326" s="42"/>
    </row>
    <row r="327">
      <c r="A327" s="9"/>
      <c r="B327" s="9"/>
      <c r="C327" s="9"/>
      <c r="D327" s="42"/>
      <c r="E327" s="103"/>
      <c r="F327" s="42"/>
      <c r="G327" s="9"/>
      <c r="H327" s="9"/>
      <c r="I327" s="9"/>
      <c r="J327" s="9"/>
      <c r="K327" s="42"/>
      <c r="L327" s="42"/>
      <c r="M327" s="42"/>
      <c r="N327" s="42"/>
      <c r="O327" s="42"/>
      <c r="P327" s="9"/>
      <c r="Q327" s="9"/>
      <c r="R327" s="42"/>
      <c r="S327" s="42"/>
      <c r="T327" s="42"/>
      <c r="U327" s="42"/>
      <c r="V327" s="42"/>
      <c r="W327" s="42"/>
    </row>
    <row r="328">
      <c r="A328" s="9"/>
      <c r="B328" s="9"/>
      <c r="C328" s="9"/>
      <c r="D328" s="42"/>
      <c r="E328" s="103"/>
      <c r="F328" s="42"/>
      <c r="G328" s="9"/>
      <c r="H328" s="9"/>
      <c r="I328" s="9"/>
      <c r="J328" s="9"/>
      <c r="K328" s="42"/>
      <c r="L328" s="42"/>
      <c r="M328" s="42"/>
      <c r="N328" s="42"/>
      <c r="O328" s="42"/>
      <c r="P328" s="9"/>
      <c r="Q328" s="9"/>
      <c r="R328" s="42"/>
      <c r="S328" s="42"/>
      <c r="T328" s="42"/>
      <c r="U328" s="42"/>
      <c r="V328" s="42"/>
      <c r="W328" s="42"/>
    </row>
    <row r="329">
      <c r="A329" s="9"/>
      <c r="B329" s="9"/>
      <c r="C329" s="9"/>
      <c r="D329" s="42"/>
      <c r="E329" s="103"/>
      <c r="F329" s="42"/>
      <c r="G329" s="9"/>
      <c r="H329" s="9"/>
      <c r="I329" s="9"/>
      <c r="J329" s="9"/>
      <c r="K329" s="42"/>
      <c r="L329" s="42"/>
      <c r="M329" s="42"/>
      <c r="N329" s="42"/>
      <c r="O329" s="42"/>
      <c r="P329" s="9"/>
      <c r="Q329" s="9"/>
      <c r="R329" s="42"/>
      <c r="S329" s="42"/>
      <c r="T329" s="42"/>
      <c r="U329" s="42"/>
      <c r="V329" s="42"/>
      <c r="W329" s="42"/>
    </row>
    <row r="330">
      <c r="A330" s="9"/>
      <c r="B330" s="9"/>
      <c r="C330" s="9"/>
      <c r="D330" s="42"/>
      <c r="E330" s="103"/>
      <c r="F330" s="42"/>
      <c r="G330" s="9"/>
      <c r="H330" s="9"/>
      <c r="I330" s="9"/>
      <c r="J330" s="9"/>
      <c r="K330" s="42"/>
      <c r="L330" s="42"/>
      <c r="M330" s="42"/>
      <c r="N330" s="42"/>
      <c r="O330" s="42"/>
      <c r="P330" s="9"/>
      <c r="Q330" s="9"/>
      <c r="R330" s="42"/>
      <c r="S330" s="42"/>
      <c r="T330" s="42"/>
      <c r="U330" s="42"/>
      <c r="V330" s="42"/>
      <c r="W330" s="42"/>
    </row>
    <row r="331">
      <c r="A331" s="9"/>
      <c r="B331" s="9"/>
      <c r="C331" s="9"/>
      <c r="D331" s="42"/>
      <c r="E331" s="103"/>
      <c r="F331" s="42"/>
      <c r="G331" s="9"/>
      <c r="H331" s="9"/>
      <c r="I331" s="9"/>
      <c r="J331" s="9"/>
      <c r="K331" s="42"/>
      <c r="L331" s="42"/>
      <c r="M331" s="42"/>
      <c r="N331" s="42"/>
      <c r="O331" s="42"/>
      <c r="P331" s="9"/>
      <c r="Q331" s="9"/>
      <c r="R331" s="42"/>
      <c r="S331" s="42"/>
      <c r="T331" s="42"/>
      <c r="U331" s="42"/>
      <c r="V331" s="42"/>
      <c r="W331" s="42"/>
    </row>
    <row r="332">
      <c r="A332" s="9"/>
      <c r="B332" s="9"/>
      <c r="C332" s="9"/>
      <c r="D332" s="42"/>
      <c r="E332" s="103"/>
      <c r="F332" s="42"/>
      <c r="G332" s="9"/>
      <c r="H332" s="9"/>
      <c r="I332" s="9"/>
      <c r="J332" s="9"/>
      <c r="K332" s="42"/>
      <c r="L332" s="42"/>
      <c r="M332" s="42"/>
      <c r="N332" s="42"/>
      <c r="O332" s="42"/>
      <c r="P332" s="9"/>
      <c r="Q332" s="9"/>
      <c r="R332" s="42"/>
      <c r="S332" s="42"/>
      <c r="T332" s="42"/>
      <c r="U332" s="42"/>
      <c r="V332" s="42"/>
      <c r="W332" s="42"/>
    </row>
    <row r="333">
      <c r="A333" s="9"/>
      <c r="B333" s="9"/>
      <c r="C333" s="9"/>
      <c r="D333" s="42"/>
      <c r="E333" s="103"/>
      <c r="F333" s="42"/>
      <c r="G333" s="9"/>
      <c r="H333" s="9"/>
      <c r="I333" s="9"/>
      <c r="J333" s="9"/>
      <c r="K333" s="42"/>
      <c r="L333" s="42"/>
      <c r="M333" s="42"/>
      <c r="N333" s="42"/>
      <c r="O333" s="42"/>
      <c r="P333" s="9"/>
      <c r="Q333" s="9"/>
      <c r="R333" s="42"/>
      <c r="S333" s="42"/>
      <c r="T333" s="42"/>
      <c r="U333" s="42"/>
      <c r="V333" s="42"/>
      <c r="W333" s="42"/>
    </row>
    <row r="334">
      <c r="A334" s="9"/>
      <c r="B334" s="9"/>
      <c r="C334" s="9"/>
      <c r="D334" s="42"/>
      <c r="E334" s="103"/>
      <c r="F334" s="42"/>
      <c r="G334" s="9"/>
      <c r="H334" s="9"/>
      <c r="I334" s="9"/>
      <c r="J334" s="9"/>
      <c r="K334" s="42"/>
      <c r="L334" s="42"/>
      <c r="M334" s="42"/>
      <c r="N334" s="42"/>
      <c r="O334" s="42"/>
      <c r="P334" s="9"/>
      <c r="Q334" s="9"/>
      <c r="R334" s="42"/>
      <c r="S334" s="42"/>
      <c r="T334" s="42"/>
      <c r="U334" s="42"/>
      <c r="V334" s="42"/>
      <c r="W334" s="42"/>
    </row>
    <row r="335">
      <c r="A335" s="9"/>
      <c r="B335" s="9"/>
      <c r="C335" s="9"/>
      <c r="D335" s="42"/>
      <c r="E335" s="103"/>
      <c r="F335" s="42"/>
      <c r="G335" s="9"/>
      <c r="H335" s="9"/>
      <c r="I335" s="9"/>
      <c r="J335" s="9"/>
      <c r="K335" s="42"/>
      <c r="L335" s="42"/>
      <c r="M335" s="42"/>
      <c r="N335" s="42"/>
      <c r="O335" s="42"/>
      <c r="P335" s="9"/>
      <c r="Q335" s="9"/>
      <c r="R335" s="42"/>
      <c r="S335" s="42"/>
      <c r="T335" s="42"/>
      <c r="U335" s="42"/>
      <c r="V335" s="42"/>
      <c r="W335" s="42"/>
    </row>
    <row r="336">
      <c r="A336" s="9"/>
      <c r="B336" s="9"/>
      <c r="C336" s="9"/>
      <c r="D336" s="42"/>
      <c r="E336" s="103"/>
      <c r="F336" s="42"/>
      <c r="G336" s="9"/>
      <c r="H336" s="9"/>
      <c r="I336" s="9"/>
      <c r="J336" s="9"/>
      <c r="K336" s="42"/>
      <c r="L336" s="42"/>
      <c r="M336" s="42"/>
      <c r="N336" s="42"/>
      <c r="O336" s="42"/>
      <c r="P336" s="9"/>
      <c r="Q336" s="9"/>
      <c r="R336" s="42"/>
      <c r="S336" s="42"/>
      <c r="T336" s="42"/>
      <c r="U336" s="42"/>
      <c r="V336" s="42"/>
      <c r="W336" s="42"/>
    </row>
    <row r="337">
      <c r="A337" s="9"/>
      <c r="B337" s="9"/>
      <c r="C337" s="9"/>
      <c r="D337" s="42"/>
      <c r="E337" s="103"/>
      <c r="F337" s="42"/>
      <c r="G337" s="9"/>
      <c r="H337" s="9"/>
      <c r="I337" s="9"/>
      <c r="J337" s="9"/>
      <c r="K337" s="42"/>
      <c r="L337" s="42"/>
      <c r="M337" s="42"/>
      <c r="N337" s="42"/>
      <c r="O337" s="42"/>
      <c r="P337" s="9"/>
      <c r="Q337" s="9"/>
      <c r="R337" s="42"/>
      <c r="S337" s="42"/>
      <c r="T337" s="42"/>
      <c r="U337" s="42"/>
      <c r="V337" s="42"/>
      <c r="W337" s="42"/>
    </row>
    <row r="338">
      <c r="A338" s="9"/>
      <c r="B338" s="9"/>
      <c r="C338" s="9"/>
      <c r="D338" s="42"/>
      <c r="E338" s="103"/>
      <c r="F338" s="42"/>
      <c r="G338" s="9"/>
      <c r="H338" s="9"/>
      <c r="I338" s="9"/>
      <c r="J338" s="9"/>
      <c r="K338" s="42"/>
      <c r="L338" s="42"/>
      <c r="M338" s="42"/>
      <c r="N338" s="42"/>
      <c r="O338" s="42"/>
      <c r="P338" s="9"/>
      <c r="Q338" s="9"/>
      <c r="R338" s="42"/>
      <c r="S338" s="42"/>
      <c r="T338" s="42"/>
      <c r="U338" s="42"/>
      <c r="V338" s="42"/>
      <c r="W338" s="42"/>
    </row>
    <row r="339">
      <c r="A339" s="9"/>
      <c r="B339" s="9"/>
      <c r="C339" s="9"/>
      <c r="D339" s="42"/>
      <c r="E339" s="103"/>
      <c r="F339" s="42"/>
      <c r="G339" s="9"/>
      <c r="H339" s="9"/>
      <c r="I339" s="9"/>
      <c r="J339" s="9"/>
      <c r="K339" s="42"/>
      <c r="L339" s="42"/>
      <c r="M339" s="42"/>
      <c r="N339" s="42"/>
      <c r="O339" s="42"/>
      <c r="P339" s="9"/>
      <c r="Q339" s="9"/>
      <c r="R339" s="42"/>
      <c r="S339" s="42"/>
      <c r="T339" s="42"/>
      <c r="U339" s="42"/>
      <c r="V339" s="42"/>
      <c r="W339" s="42"/>
    </row>
    <row r="340">
      <c r="A340" s="9"/>
      <c r="B340" s="9"/>
      <c r="C340" s="9"/>
      <c r="D340" s="42"/>
      <c r="E340" s="103"/>
      <c r="F340" s="42"/>
      <c r="G340" s="9"/>
      <c r="H340" s="9"/>
      <c r="I340" s="9"/>
      <c r="J340" s="9"/>
      <c r="K340" s="42"/>
      <c r="L340" s="42"/>
      <c r="M340" s="42"/>
      <c r="N340" s="42"/>
      <c r="O340" s="42"/>
      <c r="P340" s="9"/>
      <c r="Q340" s="9"/>
      <c r="R340" s="42"/>
      <c r="S340" s="42"/>
      <c r="T340" s="42"/>
      <c r="U340" s="42"/>
      <c r="V340" s="42"/>
      <c r="W340" s="42"/>
    </row>
    <row r="341">
      <c r="A341" s="9"/>
      <c r="B341" s="9"/>
      <c r="C341" s="9"/>
      <c r="D341" s="42"/>
      <c r="E341" s="103"/>
      <c r="F341" s="42"/>
      <c r="G341" s="9"/>
      <c r="H341" s="9"/>
      <c r="I341" s="9"/>
      <c r="J341" s="9"/>
      <c r="K341" s="42"/>
      <c r="L341" s="42"/>
      <c r="M341" s="42"/>
      <c r="N341" s="42"/>
      <c r="O341" s="42"/>
      <c r="P341" s="9"/>
      <c r="Q341" s="9"/>
      <c r="R341" s="42"/>
      <c r="S341" s="42"/>
      <c r="T341" s="42"/>
      <c r="U341" s="42"/>
      <c r="V341" s="42"/>
      <c r="W341" s="42"/>
    </row>
    <row r="342">
      <c r="A342" s="9"/>
      <c r="B342" s="9"/>
      <c r="C342" s="9"/>
      <c r="D342" s="42"/>
      <c r="E342" s="103"/>
      <c r="F342" s="42"/>
      <c r="G342" s="9"/>
      <c r="H342" s="9"/>
      <c r="I342" s="9"/>
      <c r="J342" s="9"/>
      <c r="K342" s="42"/>
      <c r="L342" s="42"/>
      <c r="M342" s="42"/>
      <c r="N342" s="42"/>
      <c r="O342" s="42"/>
      <c r="P342" s="9"/>
      <c r="Q342" s="9"/>
      <c r="R342" s="42"/>
      <c r="S342" s="42"/>
      <c r="T342" s="42"/>
      <c r="U342" s="42"/>
      <c r="V342" s="42"/>
      <c r="W342" s="42"/>
    </row>
    <row r="343">
      <c r="A343" s="9"/>
      <c r="B343" s="9"/>
      <c r="C343" s="9"/>
      <c r="D343" s="42"/>
      <c r="E343" s="103"/>
      <c r="F343" s="42"/>
      <c r="G343" s="9"/>
      <c r="H343" s="9"/>
      <c r="I343" s="9"/>
      <c r="J343" s="9"/>
      <c r="K343" s="42"/>
      <c r="L343" s="42"/>
      <c r="M343" s="42"/>
      <c r="N343" s="42"/>
      <c r="O343" s="42"/>
      <c r="P343" s="9"/>
      <c r="Q343" s="9"/>
      <c r="R343" s="42"/>
      <c r="S343" s="42"/>
      <c r="T343" s="42"/>
      <c r="U343" s="42"/>
      <c r="V343" s="42"/>
      <c r="W343" s="42"/>
    </row>
    <row r="344">
      <c r="A344" s="9"/>
      <c r="B344" s="9"/>
      <c r="C344" s="9"/>
      <c r="D344" s="42"/>
      <c r="E344" s="103"/>
      <c r="F344" s="42"/>
      <c r="G344" s="9"/>
      <c r="H344" s="9"/>
      <c r="I344" s="9"/>
      <c r="J344" s="9"/>
      <c r="K344" s="42"/>
      <c r="L344" s="42"/>
      <c r="M344" s="42"/>
      <c r="N344" s="42"/>
      <c r="O344" s="42"/>
      <c r="P344" s="9"/>
      <c r="Q344" s="9"/>
      <c r="R344" s="42"/>
      <c r="S344" s="42"/>
      <c r="T344" s="42"/>
      <c r="U344" s="42"/>
      <c r="V344" s="42"/>
      <c r="W344" s="42"/>
    </row>
    <row r="345">
      <c r="A345" s="9"/>
      <c r="B345" s="9"/>
      <c r="C345" s="9"/>
      <c r="D345" s="42"/>
      <c r="E345" s="103"/>
      <c r="F345" s="42"/>
      <c r="G345" s="9"/>
      <c r="H345" s="9"/>
      <c r="I345" s="9"/>
      <c r="J345" s="9"/>
      <c r="K345" s="42"/>
      <c r="L345" s="42"/>
      <c r="M345" s="42"/>
      <c r="N345" s="42"/>
      <c r="O345" s="42"/>
      <c r="P345" s="9"/>
      <c r="Q345" s="9"/>
      <c r="R345" s="42"/>
      <c r="S345" s="42"/>
      <c r="T345" s="42"/>
      <c r="U345" s="42"/>
      <c r="V345" s="42"/>
      <c r="W345" s="42"/>
    </row>
    <row r="346">
      <c r="A346" s="9"/>
      <c r="B346" s="9"/>
      <c r="C346" s="9"/>
      <c r="D346" s="42"/>
      <c r="E346" s="103"/>
      <c r="F346" s="42"/>
      <c r="G346" s="9"/>
      <c r="H346" s="9"/>
      <c r="I346" s="9"/>
      <c r="J346" s="9"/>
      <c r="K346" s="42"/>
      <c r="L346" s="42"/>
      <c r="M346" s="42"/>
      <c r="N346" s="42"/>
      <c r="O346" s="42"/>
      <c r="P346" s="9"/>
      <c r="Q346" s="9"/>
      <c r="R346" s="42"/>
      <c r="S346" s="42"/>
      <c r="T346" s="42"/>
      <c r="U346" s="42"/>
      <c r="V346" s="42"/>
      <c r="W346" s="42"/>
    </row>
    <row r="347">
      <c r="A347" s="9"/>
      <c r="B347" s="9"/>
      <c r="C347" s="9"/>
      <c r="D347" s="42"/>
      <c r="E347" s="103"/>
      <c r="F347" s="42"/>
      <c r="G347" s="9"/>
      <c r="H347" s="9"/>
      <c r="I347" s="9"/>
      <c r="J347" s="9"/>
      <c r="K347" s="42"/>
      <c r="L347" s="42"/>
      <c r="M347" s="42"/>
      <c r="N347" s="42"/>
      <c r="O347" s="42"/>
      <c r="P347" s="9"/>
      <c r="Q347" s="9"/>
      <c r="R347" s="42"/>
      <c r="S347" s="42"/>
      <c r="T347" s="42"/>
      <c r="U347" s="42"/>
      <c r="V347" s="42"/>
      <c r="W347" s="42"/>
    </row>
    <row r="348">
      <c r="A348" s="9"/>
      <c r="B348" s="9"/>
      <c r="C348" s="9"/>
      <c r="D348" s="42"/>
      <c r="E348" s="103"/>
      <c r="F348" s="42"/>
      <c r="G348" s="9"/>
      <c r="H348" s="9"/>
      <c r="I348" s="9"/>
      <c r="J348" s="9"/>
      <c r="K348" s="42"/>
      <c r="L348" s="42"/>
      <c r="M348" s="42"/>
      <c r="N348" s="42"/>
      <c r="O348" s="42"/>
      <c r="P348" s="9"/>
      <c r="Q348" s="9"/>
      <c r="R348" s="42"/>
      <c r="S348" s="42"/>
      <c r="T348" s="42"/>
      <c r="U348" s="42"/>
      <c r="V348" s="42"/>
      <c r="W348" s="42"/>
    </row>
    <row r="349">
      <c r="A349" s="9"/>
      <c r="B349" s="9"/>
      <c r="C349" s="9"/>
      <c r="D349" s="42"/>
      <c r="E349" s="103"/>
      <c r="F349" s="42"/>
      <c r="G349" s="9"/>
      <c r="H349" s="9"/>
      <c r="I349" s="9"/>
      <c r="J349" s="9"/>
      <c r="K349" s="42"/>
      <c r="L349" s="42"/>
      <c r="M349" s="42"/>
      <c r="N349" s="42"/>
      <c r="O349" s="42"/>
      <c r="P349" s="9"/>
      <c r="Q349" s="9"/>
      <c r="R349" s="42"/>
      <c r="S349" s="42"/>
      <c r="T349" s="42"/>
      <c r="U349" s="42"/>
      <c r="V349" s="42"/>
      <c r="W349" s="42"/>
    </row>
    <row r="350">
      <c r="A350" s="9"/>
      <c r="B350" s="9"/>
      <c r="C350" s="9"/>
      <c r="D350" s="42"/>
      <c r="E350" s="103"/>
      <c r="F350" s="42"/>
      <c r="G350" s="9"/>
      <c r="H350" s="9"/>
      <c r="I350" s="9"/>
      <c r="J350" s="9"/>
      <c r="K350" s="42"/>
      <c r="L350" s="42"/>
      <c r="M350" s="42"/>
      <c r="N350" s="42"/>
      <c r="O350" s="42"/>
      <c r="P350" s="9"/>
      <c r="Q350" s="9"/>
      <c r="R350" s="42"/>
      <c r="S350" s="42"/>
      <c r="T350" s="42"/>
      <c r="U350" s="42"/>
      <c r="V350" s="42"/>
      <c r="W350" s="42"/>
    </row>
    <row r="351">
      <c r="A351" s="9"/>
      <c r="B351" s="9"/>
      <c r="C351" s="9"/>
      <c r="D351" s="42"/>
      <c r="E351" s="103"/>
      <c r="F351" s="42"/>
      <c r="G351" s="9"/>
      <c r="H351" s="9"/>
      <c r="I351" s="9"/>
      <c r="J351" s="9"/>
      <c r="K351" s="42"/>
      <c r="L351" s="42"/>
      <c r="M351" s="42"/>
      <c r="N351" s="42"/>
      <c r="O351" s="42"/>
      <c r="P351" s="9"/>
      <c r="Q351" s="9"/>
      <c r="R351" s="42"/>
      <c r="S351" s="42"/>
      <c r="T351" s="42"/>
      <c r="U351" s="42"/>
      <c r="V351" s="42"/>
      <c r="W351" s="42"/>
    </row>
    <row r="352">
      <c r="A352" s="9"/>
      <c r="B352" s="9"/>
      <c r="C352" s="9"/>
      <c r="D352" s="42"/>
      <c r="E352" s="103"/>
      <c r="F352" s="42"/>
      <c r="G352" s="9"/>
      <c r="H352" s="9"/>
      <c r="I352" s="9"/>
      <c r="J352" s="9"/>
      <c r="K352" s="42"/>
      <c r="L352" s="42"/>
      <c r="M352" s="42"/>
      <c r="N352" s="42"/>
      <c r="O352" s="42"/>
      <c r="P352" s="9"/>
      <c r="Q352" s="9"/>
      <c r="R352" s="42"/>
      <c r="S352" s="42"/>
      <c r="T352" s="42"/>
      <c r="U352" s="42"/>
      <c r="V352" s="42"/>
      <c r="W352" s="42"/>
    </row>
    <row r="353">
      <c r="A353" s="9"/>
      <c r="B353" s="9"/>
      <c r="C353" s="9"/>
      <c r="D353" s="42"/>
      <c r="E353" s="103"/>
      <c r="F353" s="42"/>
      <c r="G353" s="9"/>
      <c r="H353" s="9"/>
      <c r="I353" s="9"/>
      <c r="J353" s="9"/>
      <c r="K353" s="42"/>
      <c r="L353" s="42"/>
      <c r="M353" s="42"/>
      <c r="N353" s="42"/>
      <c r="O353" s="42"/>
      <c r="P353" s="9"/>
      <c r="Q353" s="9"/>
      <c r="R353" s="42"/>
      <c r="S353" s="42"/>
      <c r="T353" s="42"/>
      <c r="U353" s="42"/>
      <c r="V353" s="42"/>
      <c r="W353" s="42"/>
    </row>
    <row r="354">
      <c r="A354" s="9"/>
      <c r="B354" s="9"/>
      <c r="C354" s="9"/>
      <c r="D354" s="42"/>
      <c r="E354" s="103"/>
      <c r="F354" s="42"/>
      <c r="G354" s="9"/>
      <c r="H354" s="9"/>
      <c r="I354" s="9"/>
      <c r="J354" s="9"/>
      <c r="K354" s="42"/>
      <c r="L354" s="42"/>
      <c r="M354" s="42"/>
      <c r="N354" s="42"/>
      <c r="O354" s="42"/>
      <c r="P354" s="9"/>
      <c r="Q354" s="9"/>
      <c r="R354" s="42"/>
      <c r="S354" s="42"/>
      <c r="T354" s="42"/>
      <c r="U354" s="42"/>
      <c r="V354" s="42"/>
      <c r="W354" s="42"/>
    </row>
    <row r="355">
      <c r="A355" s="9"/>
      <c r="B355" s="9"/>
      <c r="C355" s="9"/>
      <c r="D355" s="42"/>
      <c r="E355" s="103"/>
      <c r="F355" s="42"/>
      <c r="G355" s="9"/>
      <c r="H355" s="9"/>
      <c r="I355" s="9"/>
      <c r="J355" s="9"/>
      <c r="K355" s="42"/>
      <c r="L355" s="42"/>
      <c r="M355" s="42"/>
      <c r="N355" s="42"/>
      <c r="O355" s="42"/>
      <c r="P355" s="9"/>
      <c r="Q355" s="9"/>
      <c r="R355" s="42"/>
      <c r="S355" s="42"/>
      <c r="T355" s="42"/>
      <c r="U355" s="42"/>
      <c r="V355" s="42"/>
      <c r="W355" s="42"/>
    </row>
    <row r="356">
      <c r="A356" s="9"/>
      <c r="B356" s="9"/>
      <c r="C356" s="9"/>
      <c r="D356" s="42"/>
      <c r="E356" s="103"/>
      <c r="F356" s="42"/>
      <c r="G356" s="9"/>
      <c r="H356" s="9"/>
      <c r="I356" s="9"/>
      <c r="J356" s="9"/>
      <c r="K356" s="42"/>
      <c r="L356" s="42"/>
      <c r="M356" s="42"/>
      <c r="N356" s="42"/>
      <c r="O356" s="42"/>
      <c r="P356" s="9"/>
      <c r="Q356" s="9"/>
      <c r="R356" s="42"/>
      <c r="S356" s="42"/>
      <c r="T356" s="42"/>
      <c r="U356" s="42"/>
      <c r="V356" s="42"/>
      <c r="W356" s="42"/>
    </row>
    <row r="357">
      <c r="A357" s="9"/>
      <c r="B357" s="9"/>
      <c r="C357" s="9"/>
      <c r="D357" s="42"/>
      <c r="E357" s="103"/>
      <c r="F357" s="42"/>
      <c r="G357" s="9"/>
      <c r="H357" s="9"/>
      <c r="I357" s="9"/>
      <c r="J357" s="9"/>
      <c r="K357" s="42"/>
      <c r="L357" s="42"/>
      <c r="M357" s="42"/>
      <c r="N357" s="42"/>
      <c r="O357" s="42"/>
      <c r="P357" s="9"/>
      <c r="Q357" s="9"/>
      <c r="R357" s="42"/>
      <c r="S357" s="42"/>
      <c r="T357" s="42"/>
      <c r="U357" s="42"/>
      <c r="V357" s="42"/>
      <c r="W357" s="42"/>
    </row>
    <row r="358">
      <c r="A358" s="9"/>
      <c r="B358" s="9"/>
      <c r="C358" s="9"/>
      <c r="D358" s="42"/>
      <c r="E358" s="103"/>
      <c r="F358" s="42"/>
      <c r="G358" s="9"/>
      <c r="H358" s="9"/>
      <c r="I358" s="9"/>
      <c r="J358" s="9"/>
      <c r="K358" s="42"/>
      <c r="L358" s="42"/>
      <c r="M358" s="42"/>
      <c r="N358" s="42"/>
      <c r="O358" s="42"/>
      <c r="P358" s="9"/>
      <c r="Q358" s="9"/>
      <c r="R358" s="42"/>
      <c r="S358" s="42"/>
      <c r="T358" s="42"/>
      <c r="U358" s="42"/>
      <c r="V358" s="42"/>
      <c r="W358" s="42"/>
    </row>
    <row r="359">
      <c r="A359" s="9"/>
      <c r="B359" s="9"/>
      <c r="C359" s="9"/>
      <c r="D359" s="42"/>
      <c r="E359" s="103"/>
      <c r="F359" s="42"/>
      <c r="G359" s="9"/>
      <c r="H359" s="9"/>
      <c r="I359" s="9"/>
      <c r="J359" s="9"/>
      <c r="K359" s="42"/>
      <c r="L359" s="42"/>
      <c r="M359" s="42"/>
      <c r="N359" s="42"/>
      <c r="O359" s="42"/>
      <c r="P359" s="9"/>
      <c r="Q359" s="9"/>
      <c r="R359" s="42"/>
      <c r="S359" s="42"/>
      <c r="T359" s="42"/>
      <c r="U359" s="42"/>
      <c r="V359" s="42"/>
      <c r="W359" s="42"/>
    </row>
    <row r="360">
      <c r="A360" s="9"/>
      <c r="B360" s="9"/>
      <c r="C360" s="9"/>
      <c r="D360" s="42"/>
      <c r="E360" s="103"/>
      <c r="F360" s="42"/>
      <c r="G360" s="9"/>
      <c r="H360" s="9"/>
      <c r="I360" s="9"/>
      <c r="J360" s="9"/>
      <c r="K360" s="42"/>
      <c r="L360" s="42"/>
      <c r="M360" s="42"/>
      <c r="N360" s="42"/>
      <c r="O360" s="42"/>
      <c r="P360" s="9"/>
      <c r="Q360" s="9"/>
      <c r="R360" s="42"/>
      <c r="S360" s="42"/>
      <c r="T360" s="42"/>
      <c r="U360" s="42"/>
      <c r="V360" s="42"/>
      <c r="W360" s="42"/>
    </row>
    <row r="361">
      <c r="A361" s="9"/>
      <c r="B361" s="9"/>
      <c r="C361" s="9"/>
      <c r="D361" s="42"/>
      <c r="E361" s="103"/>
      <c r="F361" s="42"/>
      <c r="G361" s="9"/>
      <c r="H361" s="9"/>
      <c r="I361" s="9"/>
      <c r="J361" s="9"/>
      <c r="K361" s="42"/>
      <c r="L361" s="42"/>
      <c r="M361" s="42"/>
      <c r="N361" s="42"/>
      <c r="O361" s="42"/>
      <c r="P361" s="9"/>
      <c r="Q361" s="9"/>
      <c r="R361" s="42"/>
      <c r="S361" s="42"/>
      <c r="T361" s="42"/>
      <c r="U361" s="42"/>
      <c r="V361" s="42"/>
      <c r="W361" s="42"/>
    </row>
    <row r="362">
      <c r="A362" s="9"/>
      <c r="B362" s="9"/>
      <c r="C362" s="9"/>
      <c r="D362" s="42"/>
      <c r="E362" s="103"/>
      <c r="F362" s="42"/>
      <c r="G362" s="9"/>
      <c r="H362" s="9"/>
      <c r="I362" s="9"/>
      <c r="J362" s="9"/>
      <c r="K362" s="42"/>
      <c r="L362" s="42"/>
      <c r="M362" s="42"/>
      <c r="N362" s="42"/>
      <c r="O362" s="42"/>
      <c r="P362" s="9"/>
      <c r="Q362" s="9"/>
      <c r="R362" s="42"/>
      <c r="S362" s="42"/>
      <c r="T362" s="42"/>
      <c r="U362" s="42"/>
      <c r="V362" s="42"/>
      <c r="W362" s="42"/>
    </row>
    <row r="363">
      <c r="A363" s="9"/>
      <c r="B363" s="9"/>
      <c r="C363" s="9"/>
      <c r="D363" s="42"/>
      <c r="E363" s="103"/>
      <c r="F363" s="42"/>
      <c r="G363" s="9"/>
      <c r="H363" s="9"/>
      <c r="I363" s="9"/>
      <c r="J363" s="9"/>
      <c r="K363" s="42"/>
      <c r="L363" s="42"/>
      <c r="M363" s="42"/>
      <c r="N363" s="42"/>
      <c r="O363" s="42"/>
      <c r="P363" s="9"/>
      <c r="Q363" s="9"/>
      <c r="R363" s="42"/>
      <c r="S363" s="42"/>
      <c r="T363" s="42"/>
      <c r="U363" s="42"/>
      <c r="V363" s="42"/>
      <c r="W363" s="42"/>
    </row>
    <row r="364">
      <c r="A364" s="9"/>
      <c r="B364" s="9"/>
      <c r="C364" s="9"/>
      <c r="D364" s="42"/>
      <c r="E364" s="103"/>
      <c r="F364" s="42"/>
      <c r="G364" s="9"/>
      <c r="H364" s="9"/>
      <c r="I364" s="9"/>
      <c r="J364" s="9"/>
      <c r="K364" s="42"/>
      <c r="L364" s="42"/>
      <c r="M364" s="42"/>
      <c r="N364" s="42"/>
      <c r="O364" s="42"/>
      <c r="P364" s="9"/>
      <c r="Q364" s="9"/>
      <c r="R364" s="42"/>
      <c r="S364" s="42"/>
      <c r="T364" s="42"/>
      <c r="U364" s="42"/>
      <c r="V364" s="42"/>
      <c r="W364" s="42"/>
    </row>
    <row r="365">
      <c r="A365" s="9"/>
      <c r="B365" s="9"/>
      <c r="C365" s="9"/>
      <c r="D365" s="42"/>
      <c r="E365" s="103"/>
      <c r="F365" s="42"/>
      <c r="G365" s="9"/>
      <c r="H365" s="9"/>
      <c r="I365" s="9"/>
      <c r="J365" s="9"/>
      <c r="K365" s="42"/>
      <c r="L365" s="42"/>
      <c r="M365" s="42"/>
      <c r="N365" s="42"/>
      <c r="O365" s="42"/>
      <c r="P365" s="9"/>
      <c r="Q365" s="9"/>
      <c r="R365" s="42"/>
      <c r="S365" s="42"/>
      <c r="T365" s="42"/>
      <c r="U365" s="42"/>
      <c r="V365" s="42"/>
      <c r="W365" s="42"/>
    </row>
    <row r="366">
      <c r="A366" s="9"/>
      <c r="B366" s="9"/>
      <c r="C366" s="9"/>
      <c r="D366" s="42"/>
      <c r="E366" s="103"/>
      <c r="F366" s="42"/>
      <c r="G366" s="9"/>
      <c r="H366" s="9"/>
      <c r="I366" s="9"/>
      <c r="J366" s="9"/>
      <c r="K366" s="42"/>
      <c r="L366" s="42"/>
      <c r="M366" s="42"/>
      <c r="N366" s="42"/>
      <c r="O366" s="42"/>
      <c r="P366" s="9"/>
      <c r="Q366" s="9"/>
      <c r="R366" s="42"/>
      <c r="S366" s="42"/>
      <c r="T366" s="42"/>
      <c r="U366" s="42"/>
      <c r="V366" s="42"/>
      <c r="W366" s="42"/>
    </row>
    <row r="367">
      <c r="A367" s="9"/>
      <c r="B367" s="9"/>
      <c r="C367" s="9"/>
      <c r="D367" s="42"/>
      <c r="E367" s="103"/>
      <c r="F367" s="42"/>
      <c r="G367" s="9"/>
      <c r="H367" s="9"/>
      <c r="I367" s="9"/>
      <c r="J367" s="9"/>
      <c r="K367" s="42"/>
      <c r="L367" s="42"/>
      <c r="M367" s="42"/>
      <c r="N367" s="42"/>
      <c r="O367" s="42"/>
      <c r="P367" s="9"/>
      <c r="Q367" s="9"/>
      <c r="R367" s="42"/>
      <c r="S367" s="42"/>
      <c r="T367" s="42"/>
      <c r="U367" s="42"/>
      <c r="V367" s="42"/>
      <c r="W367" s="42"/>
    </row>
    <row r="368">
      <c r="A368" s="9"/>
      <c r="B368" s="9"/>
      <c r="C368" s="9"/>
      <c r="D368" s="42"/>
      <c r="E368" s="103"/>
      <c r="F368" s="42"/>
      <c r="G368" s="9"/>
      <c r="H368" s="9"/>
      <c r="I368" s="9"/>
      <c r="J368" s="9"/>
      <c r="K368" s="42"/>
      <c r="L368" s="42"/>
      <c r="M368" s="42"/>
      <c r="N368" s="42"/>
      <c r="O368" s="42"/>
      <c r="P368" s="9"/>
      <c r="Q368" s="9"/>
      <c r="R368" s="42"/>
      <c r="S368" s="42"/>
      <c r="T368" s="42"/>
      <c r="U368" s="42"/>
      <c r="V368" s="42"/>
      <c r="W368" s="42"/>
    </row>
    <row r="369">
      <c r="A369" s="9"/>
      <c r="B369" s="9"/>
      <c r="C369" s="9"/>
      <c r="D369" s="42"/>
      <c r="E369" s="103"/>
      <c r="F369" s="42"/>
      <c r="G369" s="9"/>
      <c r="H369" s="9"/>
      <c r="I369" s="9"/>
      <c r="J369" s="9"/>
      <c r="K369" s="42"/>
      <c r="L369" s="42"/>
      <c r="M369" s="42"/>
      <c r="N369" s="42"/>
      <c r="O369" s="42"/>
      <c r="P369" s="9"/>
      <c r="Q369" s="9"/>
      <c r="R369" s="42"/>
      <c r="S369" s="42"/>
      <c r="T369" s="42"/>
      <c r="U369" s="42"/>
      <c r="V369" s="42"/>
      <c r="W369" s="42"/>
    </row>
    <row r="370">
      <c r="A370" s="9"/>
      <c r="B370" s="9"/>
      <c r="C370" s="9"/>
      <c r="D370" s="42"/>
      <c r="E370" s="103"/>
      <c r="F370" s="42"/>
      <c r="G370" s="9"/>
      <c r="H370" s="9"/>
      <c r="I370" s="9"/>
      <c r="J370" s="9"/>
      <c r="K370" s="42"/>
      <c r="L370" s="42"/>
      <c r="M370" s="42"/>
      <c r="N370" s="42"/>
      <c r="O370" s="42"/>
      <c r="P370" s="9"/>
      <c r="Q370" s="9"/>
      <c r="R370" s="42"/>
      <c r="S370" s="42"/>
      <c r="T370" s="42"/>
      <c r="U370" s="42"/>
      <c r="V370" s="42"/>
      <c r="W370" s="42"/>
    </row>
    <row r="371">
      <c r="A371" s="9"/>
      <c r="B371" s="9"/>
      <c r="C371" s="9"/>
      <c r="D371" s="42"/>
      <c r="E371" s="103"/>
      <c r="F371" s="42"/>
      <c r="G371" s="9"/>
      <c r="H371" s="9"/>
      <c r="I371" s="9"/>
      <c r="J371" s="9"/>
      <c r="K371" s="42"/>
      <c r="L371" s="42"/>
      <c r="M371" s="42"/>
      <c r="N371" s="42"/>
      <c r="O371" s="42"/>
      <c r="P371" s="9"/>
      <c r="Q371" s="9"/>
      <c r="R371" s="42"/>
      <c r="S371" s="42"/>
      <c r="T371" s="42"/>
      <c r="U371" s="42"/>
      <c r="V371" s="42"/>
      <c r="W371" s="42"/>
    </row>
    <row r="372">
      <c r="A372" s="9"/>
      <c r="B372" s="9"/>
      <c r="C372" s="9"/>
      <c r="D372" s="42"/>
      <c r="E372" s="103"/>
      <c r="F372" s="42"/>
      <c r="G372" s="9"/>
      <c r="H372" s="9"/>
      <c r="I372" s="9"/>
      <c r="J372" s="9"/>
      <c r="K372" s="42"/>
      <c r="L372" s="42"/>
      <c r="M372" s="42"/>
      <c r="N372" s="42"/>
      <c r="O372" s="42"/>
      <c r="P372" s="9"/>
      <c r="Q372" s="9"/>
      <c r="R372" s="42"/>
      <c r="S372" s="42"/>
      <c r="T372" s="42"/>
      <c r="U372" s="42"/>
      <c r="V372" s="42"/>
      <c r="W372" s="42"/>
    </row>
    <row r="373">
      <c r="A373" s="9"/>
      <c r="B373" s="9"/>
      <c r="C373" s="9"/>
      <c r="D373" s="42"/>
      <c r="E373" s="103"/>
      <c r="F373" s="42"/>
      <c r="G373" s="9"/>
      <c r="H373" s="9"/>
      <c r="I373" s="9"/>
      <c r="J373" s="9"/>
      <c r="K373" s="42"/>
      <c r="L373" s="42"/>
      <c r="M373" s="42"/>
      <c r="N373" s="42"/>
      <c r="O373" s="42"/>
      <c r="P373" s="9"/>
      <c r="Q373" s="9"/>
      <c r="R373" s="42"/>
      <c r="S373" s="42"/>
      <c r="T373" s="42"/>
      <c r="U373" s="42"/>
      <c r="V373" s="42"/>
      <c r="W373" s="42"/>
    </row>
    <row r="374">
      <c r="A374" s="9"/>
      <c r="B374" s="9"/>
      <c r="C374" s="9"/>
      <c r="D374" s="42"/>
      <c r="E374" s="103"/>
      <c r="F374" s="42"/>
      <c r="G374" s="9"/>
      <c r="H374" s="9"/>
      <c r="I374" s="9"/>
      <c r="J374" s="9"/>
      <c r="K374" s="42"/>
      <c r="L374" s="42"/>
      <c r="M374" s="42"/>
      <c r="N374" s="42"/>
      <c r="O374" s="42"/>
      <c r="P374" s="9"/>
      <c r="Q374" s="9"/>
      <c r="R374" s="42"/>
      <c r="S374" s="42"/>
      <c r="T374" s="42"/>
      <c r="U374" s="42"/>
      <c r="V374" s="42"/>
      <c r="W374" s="42"/>
    </row>
    <row r="375">
      <c r="A375" s="9"/>
      <c r="B375" s="9"/>
      <c r="C375" s="9"/>
      <c r="D375" s="42"/>
      <c r="E375" s="103"/>
      <c r="F375" s="42"/>
      <c r="G375" s="9"/>
      <c r="H375" s="9"/>
      <c r="I375" s="9"/>
      <c r="J375" s="9"/>
      <c r="K375" s="42"/>
      <c r="L375" s="42"/>
      <c r="M375" s="42"/>
      <c r="N375" s="42"/>
      <c r="O375" s="42"/>
      <c r="P375" s="9"/>
      <c r="Q375" s="9"/>
      <c r="R375" s="42"/>
      <c r="S375" s="42"/>
      <c r="T375" s="42"/>
      <c r="U375" s="42"/>
      <c r="V375" s="42"/>
      <c r="W375" s="42"/>
    </row>
    <row r="376">
      <c r="A376" s="9"/>
      <c r="B376" s="9"/>
      <c r="C376" s="9"/>
      <c r="D376" s="42"/>
      <c r="E376" s="103"/>
      <c r="F376" s="42"/>
      <c r="G376" s="9"/>
      <c r="H376" s="9"/>
      <c r="I376" s="9"/>
      <c r="J376" s="9"/>
      <c r="K376" s="42"/>
      <c r="L376" s="42"/>
      <c r="M376" s="42"/>
      <c r="N376" s="42"/>
      <c r="O376" s="42"/>
      <c r="P376" s="9"/>
      <c r="Q376" s="9"/>
      <c r="R376" s="42"/>
      <c r="S376" s="42"/>
      <c r="T376" s="42"/>
      <c r="U376" s="42"/>
      <c r="V376" s="42"/>
      <c r="W376" s="42"/>
    </row>
    <row r="377">
      <c r="A377" s="9"/>
      <c r="B377" s="9"/>
      <c r="C377" s="9"/>
      <c r="D377" s="42"/>
      <c r="E377" s="103"/>
      <c r="F377" s="42"/>
      <c r="G377" s="9"/>
      <c r="H377" s="9"/>
      <c r="I377" s="9"/>
      <c r="J377" s="9"/>
      <c r="K377" s="42"/>
      <c r="L377" s="42"/>
      <c r="M377" s="42"/>
      <c r="N377" s="42"/>
      <c r="O377" s="42"/>
      <c r="P377" s="9"/>
      <c r="Q377" s="9"/>
      <c r="R377" s="42"/>
      <c r="S377" s="42"/>
      <c r="T377" s="42"/>
      <c r="U377" s="42"/>
      <c r="V377" s="42"/>
      <c r="W377" s="42"/>
    </row>
    <row r="378">
      <c r="A378" s="9"/>
      <c r="B378" s="9"/>
      <c r="C378" s="9"/>
      <c r="D378" s="42"/>
      <c r="E378" s="103"/>
      <c r="F378" s="42"/>
      <c r="G378" s="9"/>
      <c r="H378" s="9"/>
      <c r="I378" s="9"/>
      <c r="J378" s="9"/>
      <c r="K378" s="42"/>
      <c r="L378" s="42"/>
      <c r="M378" s="42"/>
      <c r="N378" s="42"/>
      <c r="O378" s="42"/>
      <c r="P378" s="9"/>
      <c r="Q378" s="9"/>
      <c r="R378" s="42"/>
      <c r="S378" s="42"/>
      <c r="T378" s="42"/>
      <c r="U378" s="42"/>
      <c r="V378" s="42"/>
      <c r="W378" s="42"/>
    </row>
    <row r="379">
      <c r="A379" s="9"/>
      <c r="B379" s="9"/>
      <c r="C379" s="9"/>
      <c r="D379" s="42"/>
      <c r="E379" s="103"/>
      <c r="F379" s="42"/>
      <c r="G379" s="9"/>
      <c r="H379" s="9"/>
      <c r="I379" s="9"/>
      <c r="J379" s="9"/>
      <c r="K379" s="42"/>
      <c r="L379" s="42"/>
      <c r="M379" s="42"/>
      <c r="N379" s="42"/>
      <c r="O379" s="42"/>
      <c r="P379" s="9"/>
      <c r="Q379" s="9"/>
      <c r="R379" s="42"/>
      <c r="S379" s="42"/>
      <c r="T379" s="42"/>
      <c r="U379" s="42"/>
      <c r="V379" s="42"/>
      <c r="W379" s="42"/>
    </row>
    <row r="380">
      <c r="A380" s="9"/>
      <c r="B380" s="9"/>
      <c r="C380" s="9"/>
      <c r="D380" s="42"/>
      <c r="E380" s="103"/>
      <c r="F380" s="42"/>
      <c r="G380" s="9"/>
      <c r="H380" s="9"/>
      <c r="I380" s="9"/>
      <c r="J380" s="9"/>
      <c r="K380" s="42"/>
      <c r="L380" s="42"/>
      <c r="M380" s="42"/>
      <c r="N380" s="42"/>
      <c r="O380" s="42"/>
      <c r="P380" s="9"/>
      <c r="Q380" s="9"/>
      <c r="R380" s="42"/>
      <c r="S380" s="42"/>
      <c r="T380" s="42"/>
      <c r="U380" s="42"/>
      <c r="V380" s="42"/>
      <c r="W380" s="42"/>
    </row>
    <row r="381">
      <c r="A381" s="9"/>
      <c r="B381" s="9"/>
      <c r="C381" s="9"/>
      <c r="D381" s="42"/>
      <c r="E381" s="103"/>
      <c r="F381" s="42"/>
      <c r="G381" s="9"/>
      <c r="H381" s="9"/>
      <c r="I381" s="9"/>
      <c r="J381" s="9"/>
      <c r="K381" s="42"/>
      <c r="L381" s="42"/>
      <c r="M381" s="42"/>
      <c r="N381" s="42"/>
      <c r="O381" s="42"/>
      <c r="P381" s="9"/>
      <c r="Q381" s="9"/>
      <c r="R381" s="42"/>
      <c r="S381" s="42"/>
      <c r="T381" s="42"/>
      <c r="U381" s="42"/>
      <c r="V381" s="42"/>
      <c r="W381" s="42"/>
    </row>
    <row r="382">
      <c r="A382" s="9"/>
      <c r="B382" s="9"/>
      <c r="C382" s="9"/>
      <c r="D382" s="42"/>
      <c r="E382" s="103"/>
      <c r="F382" s="42"/>
      <c r="G382" s="9"/>
      <c r="H382" s="9"/>
      <c r="I382" s="9"/>
      <c r="J382" s="9"/>
      <c r="K382" s="42"/>
      <c r="L382" s="42"/>
      <c r="M382" s="42"/>
      <c r="N382" s="42"/>
      <c r="O382" s="42"/>
      <c r="P382" s="9"/>
      <c r="Q382" s="9"/>
      <c r="R382" s="42"/>
      <c r="S382" s="42"/>
      <c r="T382" s="42"/>
      <c r="U382" s="42"/>
      <c r="V382" s="42"/>
      <c r="W382" s="42"/>
    </row>
    <row r="383">
      <c r="A383" s="9"/>
      <c r="B383" s="9"/>
      <c r="C383" s="9"/>
      <c r="D383" s="42"/>
      <c r="E383" s="103"/>
      <c r="F383" s="42"/>
      <c r="G383" s="9"/>
      <c r="H383" s="9"/>
      <c r="I383" s="9"/>
      <c r="J383" s="9"/>
      <c r="K383" s="42"/>
      <c r="L383" s="42"/>
      <c r="M383" s="42"/>
      <c r="N383" s="42"/>
      <c r="O383" s="42"/>
      <c r="P383" s="9"/>
      <c r="Q383" s="9"/>
      <c r="R383" s="42"/>
      <c r="S383" s="42"/>
      <c r="T383" s="42"/>
      <c r="U383" s="42"/>
      <c r="V383" s="42"/>
      <c r="W383" s="42"/>
    </row>
    <row r="384">
      <c r="A384" s="9"/>
      <c r="B384" s="9"/>
      <c r="C384" s="9"/>
      <c r="D384" s="42"/>
      <c r="E384" s="103"/>
      <c r="F384" s="42"/>
      <c r="G384" s="9"/>
      <c r="H384" s="9"/>
      <c r="I384" s="9"/>
      <c r="J384" s="9"/>
      <c r="K384" s="42"/>
      <c r="L384" s="42"/>
      <c r="M384" s="42"/>
      <c r="N384" s="42"/>
      <c r="O384" s="42"/>
      <c r="P384" s="9"/>
      <c r="Q384" s="9"/>
      <c r="R384" s="42"/>
      <c r="S384" s="42"/>
      <c r="T384" s="42"/>
      <c r="U384" s="42"/>
      <c r="V384" s="42"/>
      <c r="W384" s="42"/>
    </row>
    <row r="385">
      <c r="A385" s="9"/>
      <c r="B385" s="9"/>
      <c r="C385" s="9"/>
      <c r="D385" s="42"/>
      <c r="E385" s="103"/>
      <c r="F385" s="42"/>
      <c r="G385" s="9"/>
      <c r="H385" s="9"/>
      <c r="I385" s="9"/>
      <c r="J385" s="9"/>
      <c r="K385" s="42"/>
      <c r="L385" s="42"/>
      <c r="M385" s="42"/>
      <c r="N385" s="42"/>
      <c r="O385" s="42"/>
      <c r="P385" s="9"/>
      <c r="Q385" s="9"/>
      <c r="R385" s="42"/>
      <c r="S385" s="42"/>
      <c r="T385" s="42"/>
      <c r="U385" s="42"/>
      <c r="V385" s="42"/>
      <c r="W385" s="42"/>
    </row>
    <row r="386">
      <c r="A386" s="9"/>
      <c r="B386" s="9"/>
      <c r="C386" s="9"/>
      <c r="D386" s="42"/>
      <c r="E386" s="103"/>
      <c r="F386" s="42"/>
      <c r="G386" s="9"/>
      <c r="H386" s="9"/>
      <c r="I386" s="9"/>
      <c r="J386" s="9"/>
      <c r="K386" s="42"/>
      <c r="L386" s="42"/>
      <c r="M386" s="42"/>
      <c r="N386" s="42"/>
      <c r="O386" s="42"/>
      <c r="P386" s="9"/>
      <c r="Q386" s="9"/>
      <c r="R386" s="42"/>
      <c r="S386" s="42"/>
      <c r="T386" s="42"/>
      <c r="U386" s="42"/>
      <c r="V386" s="42"/>
      <c r="W386" s="42"/>
    </row>
    <row r="387">
      <c r="A387" s="9"/>
      <c r="B387" s="9"/>
      <c r="C387" s="9"/>
      <c r="D387" s="42"/>
      <c r="E387" s="103"/>
      <c r="F387" s="42"/>
      <c r="G387" s="9"/>
      <c r="H387" s="9"/>
      <c r="I387" s="9"/>
      <c r="J387" s="9"/>
      <c r="K387" s="42"/>
      <c r="L387" s="42"/>
      <c r="M387" s="42"/>
      <c r="N387" s="42"/>
      <c r="O387" s="42"/>
      <c r="P387" s="9"/>
      <c r="Q387" s="9"/>
      <c r="R387" s="42"/>
      <c r="S387" s="42"/>
      <c r="T387" s="42"/>
      <c r="U387" s="42"/>
      <c r="V387" s="42"/>
      <c r="W387" s="42"/>
    </row>
    <row r="388">
      <c r="A388" s="9"/>
      <c r="B388" s="9"/>
      <c r="C388" s="9"/>
      <c r="D388" s="42"/>
      <c r="E388" s="103"/>
      <c r="F388" s="42"/>
      <c r="G388" s="9"/>
      <c r="H388" s="9"/>
      <c r="I388" s="9"/>
      <c r="J388" s="9"/>
      <c r="K388" s="42"/>
      <c r="L388" s="42"/>
      <c r="M388" s="42"/>
      <c r="N388" s="42"/>
      <c r="O388" s="42"/>
      <c r="P388" s="9"/>
      <c r="Q388" s="9"/>
      <c r="R388" s="42"/>
      <c r="S388" s="42"/>
      <c r="T388" s="42"/>
      <c r="U388" s="42"/>
      <c r="V388" s="42"/>
      <c r="W388" s="42"/>
    </row>
    <row r="389">
      <c r="A389" s="9"/>
      <c r="B389" s="9"/>
      <c r="C389" s="9"/>
      <c r="D389" s="42"/>
      <c r="E389" s="103"/>
      <c r="F389" s="42"/>
      <c r="G389" s="9"/>
      <c r="H389" s="9"/>
      <c r="I389" s="9"/>
      <c r="J389" s="9"/>
      <c r="K389" s="42"/>
      <c r="L389" s="42"/>
      <c r="M389" s="42"/>
      <c r="N389" s="42"/>
      <c r="O389" s="42"/>
      <c r="P389" s="9"/>
      <c r="Q389" s="9"/>
      <c r="R389" s="42"/>
      <c r="S389" s="42"/>
      <c r="T389" s="42"/>
      <c r="U389" s="42"/>
      <c r="V389" s="42"/>
      <c r="W389" s="42"/>
    </row>
    <row r="390">
      <c r="A390" s="9"/>
      <c r="B390" s="9"/>
      <c r="C390" s="9"/>
      <c r="D390" s="42"/>
      <c r="E390" s="103"/>
      <c r="F390" s="42"/>
      <c r="G390" s="9"/>
      <c r="H390" s="9"/>
      <c r="I390" s="9"/>
      <c r="J390" s="9"/>
      <c r="K390" s="42"/>
      <c r="L390" s="42"/>
      <c r="M390" s="42"/>
      <c r="N390" s="42"/>
      <c r="O390" s="42"/>
      <c r="P390" s="9"/>
      <c r="Q390" s="9"/>
      <c r="R390" s="42"/>
      <c r="S390" s="42"/>
      <c r="T390" s="42"/>
      <c r="U390" s="42"/>
      <c r="V390" s="42"/>
      <c r="W390" s="42"/>
    </row>
    <row r="391">
      <c r="A391" s="9"/>
      <c r="B391" s="9"/>
      <c r="C391" s="9"/>
      <c r="D391" s="42"/>
      <c r="E391" s="103"/>
      <c r="F391" s="42"/>
      <c r="G391" s="9"/>
      <c r="H391" s="9"/>
      <c r="I391" s="9"/>
      <c r="J391" s="9"/>
      <c r="K391" s="42"/>
      <c r="L391" s="42"/>
      <c r="M391" s="42"/>
      <c r="N391" s="42"/>
      <c r="O391" s="42"/>
      <c r="P391" s="9"/>
      <c r="Q391" s="9"/>
      <c r="R391" s="42"/>
      <c r="S391" s="42"/>
      <c r="T391" s="42"/>
      <c r="U391" s="42"/>
      <c r="V391" s="42"/>
      <c r="W391" s="42"/>
    </row>
    <row r="392">
      <c r="A392" s="9"/>
      <c r="B392" s="9"/>
      <c r="C392" s="9"/>
      <c r="D392" s="42"/>
      <c r="E392" s="103"/>
      <c r="F392" s="42"/>
      <c r="G392" s="9"/>
      <c r="H392" s="9"/>
      <c r="I392" s="9"/>
      <c r="J392" s="9"/>
      <c r="K392" s="42"/>
      <c r="L392" s="42"/>
      <c r="M392" s="42"/>
      <c r="N392" s="42"/>
      <c r="O392" s="42"/>
      <c r="P392" s="9"/>
      <c r="Q392" s="9"/>
      <c r="R392" s="42"/>
      <c r="S392" s="42"/>
      <c r="T392" s="42"/>
      <c r="U392" s="42"/>
      <c r="V392" s="42"/>
      <c r="W392" s="42"/>
    </row>
    <row r="393">
      <c r="A393" s="9"/>
      <c r="B393" s="9"/>
      <c r="C393" s="9"/>
      <c r="D393" s="42"/>
      <c r="E393" s="103"/>
      <c r="F393" s="42"/>
      <c r="G393" s="9"/>
      <c r="H393" s="9"/>
      <c r="I393" s="9"/>
      <c r="J393" s="9"/>
      <c r="K393" s="42"/>
      <c r="L393" s="42"/>
      <c r="M393" s="42"/>
      <c r="N393" s="42"/>
      <c r="O393" s="42"/>
      <c r="P393" s="9"/>
      <c r="Q393" s="9"/>
      <c r="R393" s="42"/>
      <c r="S393" s="42"/>
      <c r="T393" s="42"/>
      <c r="U393" s="42"/>
      <c r="V393" s="42"/>
      <c r="W393" s="42"/>
    </row>
    <row r="394">
      <c r="A394" s="9"/>
      <c r="B394" s="9"/>
      <c r="C394" s="9"/>
      <c r="D394" s="42"/>
      <c r="E394" s="103"/>
      <c r="F394" s="42"/>
      <c r="G394" s="9"/>
      <c r="H394" s="9"/>
      <c r="I394" s="9"/>
      <c r="J394" s="9"/>
      <c r="K394" s="42"/>
      <c r="L394" s="42"/>
      <c r="M394" s="42"/>
      <c r="N394" s="42"/>
      <c r="O394" s="42"/>
      <c r="P394" s="9"/>
      <c r="Q394" s="9"/>
      <c r="R394" s="42"/>
      <c r="S394" s="42"/>
      <c r="T394" s="42"/>
      <c r="U394" s="42"/>
      <c r="V394" s="42"/>
      <c r="W394" s="42"/>
    </row>
    <row r="395">
      <c r="A395" s="9"/>
      <c r="B395" s="9"/>
      <c r="C395" s="9"/>
      <c r="D395" s="42"/>
      <c r="E395" s="103"/>
      <c r="F395" s="42"/>
      <c r="G395" s="9"/>
      <c r="H395" s="9"/>
      <c r="I395" s="9"/>
      <c r="J395" s="9"/>
      <c r="K395" s="42"/>
      <c r="L395" s="42"/>
      <c r="M395" s="42"/>
      <c r="N395" s="42"/>
      <c r="O395" s="42"/>
      <c r="P395" s="9"/>
      <c r="Q395" s="9"/>
      <c r="R395" s="42"/>
      <c r="S395" s="42"/>
      <c r="T395" s="42"/>
      <c r="U395" s="42"/>
      <c r="V395" s="42"/>
      <c r="W395" s="42"/>
    </row>
    <row r="396">
      <c r="A396" s="9"/>
      <c r="B396" s="9"/>
      <c r="C396" s="9"/>
      <c r="D396" s="42"/>
      <c r="E396" s="103"/>
      <c r="F396" s="42"/>
      <c r="G396" s="9"/>
      <c r="H396" s="9"/>
      <c r="I396" s="9"/>
      <c r="J396" s="9"/>
      <c r="K396" s="42"/>
      <c r="L396" s="42"/>
      <c r="M396" s="42"/>
      <c r="N396" s="42"/>
      <c r="O396" s="42"/>
      <c r="P396" s="9"/>
      <c r="Q396" s="9"/>
      <c r="R396" s="42"/>
      <c r="S396" s="42"/>
      <c r="T396" s="42"/>
      <c r="U396" s="42"/>
      <c r="V396" s="42"/>
      <c r="W396" s="42"/>
    </row>
    <row r="397">
      <c r="A397" s="9"/>
      <c r="B397" s="9"/>
      <c r="C397" s="9"/>
      <c r="D397" s="42"/>
      <c r="E397" s="103"/>
      <c r="F397" s="42"/>
      <c r="G397" s="9"/>
      <c r="H397" s="9"/>
      <c r="I397" s="9"/>
      <c r="J397" s="9"/>
      <c r="K397" s="42"/>
      <c r="L397" s="42"/>
      <c r="M397" s="42"/>
      <c r="N397" s="42"/>
      <c r="O397" s="42"/>
      <c r="P397" s="9"/>
      <c r="Q397" s="9"/>
      <c r="R397" s="42"/>
      <c r="S397" s="42"/>
      <c r="T397" s="42"/>
      <c r="U397" s="42"/>
      <c r="V397" s="42"/>
      <c r="W397" s="42"/>
    </row>
    <row r="398">
      <c r="A398" s="9"/>
      <c r="B398" s="9"/>
      <c r="C398" s="9"/>
      <c r="D398" s="42"/>
      <c r="E398" s="103"/>
      <c r="F398" s="42"/>
      <c r="G398" s="9"/>
      <c r="H398" s="9"/>
      <c r="I398" s="9"/>
      <c r="J398" s="9"/>
      <c r="K398" s="42"/>
      <c r="L398" s="42"/>
      <c r="M398" s="42"/>
      <c r="N398" s="42"/>
      <c r="O398" s="42"/>
      <c r="P398" s="9"/>
      <c r="Q398" s="9"/>
      <c r="R398" s="42"/>
      <c r="S398" s="42"/>
      <c r="T398" s="42"/>
      <c r="U398" s="42"/>
      <c r="V398" s="42"/>
      <c r="W398" s="42"/>
    </row>
    <row r="399">
      <c r="A399" s="9"/>
      <c r="B399" s="9"/>
      <c r="C399" s="9"/>
      <c r="D399" s="42"/>
      <c r="E399" s="103"/>
      <c r="F399" s="42"/>
      <c r="G399" s="9"/>
      <c r="H399" s="9"/>
      <c r="I399" s="9"/>
      <c r="J399" s="9"/>
      <c r="K399" s="42"/>
      <c r="L399" s="42"/>
      <c r="M399" s="42"/>
      <c r="N399" s="42"/>
      <c r="O399" s="42"/>
      <c r="P399" s="9"/>
      <c r="Q399" s="9"/>
      <c r="R399" s="42"/>
      <c r="S399" s="42"/>
      <c r="T399" s="42"/>
      <c r="U399" s="42"/>
      <c r="V399" s="42"/>
      <c r="W399" s="42"/>
    </row>
    <row r="400">
      <c r="A400" s="9"/>
      <c r="B400" s="9"/>
      <c r="C400" s="9"/>
      <c r="D400" s="42"/>
      <c r="E400" s="103"/>
      <c r="F400" s="42"/>
      <c r="G400" s="9"/>
      <c r="H400" s="9"/>
      <c r="I400" s="9"/>
      <c r="J400" s="9"/>
      <c r="K400" s="42"/>
      <c r="L400" s="42"/>
      <c r="M400" s="42"/>
      <c r="N400" s="42"/>
      <c r="O400" s="42"/>
      <c r="P400" s="9"/>
      <c r="Q400" s="9"/>
      <c r="R400" s="42"/>
      <c r="S400" s="42"/>
      <c r="T400" s="42"/>
      <c r="U400" s="42"/>
      <c r="V400" s="42"/>
      <c r="W400" s="42"/>
    </row>
    <row r="401">
      <c r="A401" s="9"/>
      <c r="B401" s="9"/>
      <c r="C401" s="9"/>
      <c r="D401" s="42"/>
      <c r="E401" s="103"/>
      <c r="F401" s="42"/>
      <c r="G401" s="9"/>
      <c r="H401" s="9"/>
      <c r="I401" s="9"/>
      <c r="J401" s="9"/>
      <c r="K401" s="42"/>
      <c r="L401" s="42"/>
      <c r="M401" s="42"/>
      <c r="N401" s="42"/>
      <c r="O401" s="42"/>
      <c r="P401" s="9"/>
      <c r="Q401" s="9"/>
      <c r="R401" s="42"/>
      <c r="S401" s="42"/>
      <c r="T401" s="42"/>
      <c r="U401" s="42"/>
      <c r="V401" s="42"/>
      <c r="W401" s="42"/>
    </row>
    <row r="402">
      <c r="A402" s="9"/>
      <c r="B402" s="9"/>
      <c r="C402" s="9"/>
      <c r="D402" s="42"/>
      <c r="E402" s="103"/>
      <c r="F402" s="42"/>
      <c r="G402" s="9"/>
      <c r="H402" s="9"/>
      <c r="I402" s="9"/>
      <c r="J402" s="9"/>
      <c r="K402" s="42"/>
      <c r="L402" s="42"/>
      <c r="M402" s="42"/>
      <c r="N402" s="42"/>
      <c r="O402" s="42"/>
      <c r="P402" s="9"/>
      <c r="Q402" s="9"/>
      <c r="R402" s="42"/>
      <c r="S402" s="42"/>
      <c r="T402" s="42"/>
      <c r="U402" s="42"/>
      <c r="V402" s="42"/>
      <c r="W402" s="42"/>
    </row>
    <row r="403">
      <c r="A403" s="9"/>
      <c r="B403" s="9"/>
      <c r="C403" s="9"/>
      <c r="D403" s="42"/>
      <c r="E403" s="103"/>
      <c r="F403" s="42"/>
      <c r="G403" s="9"/>
      <c r="H403" s="9"/>
      <c r="I403" s="9"/>
      <c r="J403" s="9"/>
      <c r="K403" s="42"/>
      <c r="L403" s="42"/>
      <c r="M403" s="42"/>
      <c r="N403" s="42"/>
      <c r="O403" s="42"/>
      <c r="P403" s="9"/>
      <c r="Q403" s="9"/>
      <c r="R403" s="42"/>
      <c r="S403" s="42"/>
      <c r="T403" s="42"/>
      <c r="U403" s="42"/>
      <c r="V403" s="42"/>
      <c r="W403" s="42"/>
    </row>
    <row r="404">
      <c r="A404" s="9"/>
      <c r="B404" s="9"/>
      <c r="C404" s="9"/>
      <c r="D404" s="42"/>
      <c r="E404" s="103"/>
      <c r="F404" s="42"/>
      <c r="G404" s="9"/>
      <c r="H404" s="9"/>
      <c r="I404" s="9"/>
      <c r="J404" s="9"/>
      <c r="K404" s="42"/>
      <c r="L404" s="42"/>
      <c r="M404" s="42"/>
      <c r="N404" s="42"/>
      <c r="O404" s="42"/>
      <c r="P404" s="9"/>
      <c r="Q404" s="9"/>
      <c r="R404" s="42"/>
      <c r="S404" s="42"/>
      <c r="T404" s="42"/>
      <c r="U404" s="42"/>
      <c r="V404" s="42"/>
      <c r="W404" s="42"/>
    </row>
    <row r="405">
      <c r="A405" s="9"/>
      <c r="B405" s="9"/>
      <c r="C405" s="9"/>
      <c r="D405" s="42"/>
      <c r="E405" s="103"/>
      <c r="F405" s="42"/>
      <c r="G405" s="9"/>
      <c r="H405" s="9"/>
      <c r="I405" s="9"/>
      <c r="J405" s="9"/>
      <c r="K405" s="42"/>
      <c r="L405" s="42"/>
      <c r="M405" s="42"/>
      <c r="N405" s="42"/>
      <c r="O405" s="42"/>
      <c r="P405" s="9"/>
      <c r="Q405" s="9"/>
      <c r="R405" s="42"/>
      <c r="S405" s="42"/>
      <c r="T405" s="42"/>
      <c r="U405" s="42"/>
      <c r="V405" s="42"/>
      <c r="W405" s="42"/>
    </row>
    <row r="406">
      <c r="A406" s="9"/>
      <c r="B406" s="9"/>
      <c r="C406" s="9"/>
      <c r="D406" s="42"/>
      <c r="E406" s="103"/>
      <c r="F406" s="42"/>
      <c r="G406" s="9"/>
      <c r="H406" s="9"/>
      <c r="I406" s="9"/>
      <c r="J406" s="9"/>
      <c r="K406" s="42"/>
      <c r="L406" s="42"/>
      <c r="M406" s="42"/>
      <c r="N406" s="42"/>
      <c r="O406" s="42"/>
      <c r="P406" s="9"/>
      <c r="Q406" s="9"/>
      <c r="R406" s="42"/>
      <c r="S406" s="42"/>
      <c r="T406" s="42"/>
      <c r="U406" s="42"/>
      <c r="V406" s="42"/>
      <c r="W406" s="42"/>
    </row>
    <row r="407">
      <c r="A407" s="9"/>
      <c r="B407" s="9"/>
      <c r="C407" s="9"/>
      <c r="D407" s="42"/>
      <c r="E407" s="103"/>
      <c r="F407" s="42"/>
      <c r="G407" s="9"/>
      <c r="H407" s="9"/>
      <c r="I407" s="9"/>
      <c r="J407" s="9"/>
      <c r="K407" s="42"/>
      <c r="L407" s="42"/>
      <c r="M407" s="42"/>
      <c r="N407" s="42"/>
      <c r="O407" s="42"/>
      <c r="P407" s="9"/>
      <c r="Q407" s="9"/>
      <c r="R407" s="42"/>
      <c r="S407" s="42"/>
      <c r="T407" s="42"/>
      <c r="U407" s="42"/>
      <c r="V407" s="42"/>
      <c r="W407" s="42"/>
    </row>
    <row r="408">
      <c r="A408" s="9"/>
      <c r="B408" s="9"/>
      <c r="C408" s="9"/>
      <c r="D408" s="42"/>
      <c r="E408" s="103"/>
      <c r="F408" s="42"/>
      <c r="G408" s="9"/>
      <c r="H408" s="9"/>
      <c r="I408" s="9"/>
      <c r="J408" s="9"/>
      <c r="K408" s="42"/>
      <c r="L408" s="42"/>
      <c r="M408" s="42"/>
      <c r="N408" s="42"/>
      <c r="O408" s="42"/>
      <c r="P408" s="9"/>
      <c r="Q408" s="9"/>
      <c r="R408" s="42"/>
      <c r="S408" s="42"/>
      <c r="T408" s="42"/>
      <c r="U408" s="42"/>
      <c r="V408" s="42"/>
      <c r="W408" s="42"/>
    </row>
    <row r="409">
      <c r="A409" s="9"/>
      <c r="B409" s="9"/>
      <c r="C409" s="9"/>
      <c r="D409" s="42"/>
      <c r="E409" s="103"/>
      <c r="F409" s="42"/>
      <c r="G409" s="9"/>
      <c r="H409" s="9"/>
      <c r="I409" s="9"/>
      <c r="J409" s="9"/>
      <c r="K409" s="42"/>
      <c r="L409" s="42"/>
      <c r="M409" s="42"/>
      <c r="N409" s="42"/>
      <c r="O409" s="42"/>
      <c r="P409" s="9"/>
      <c r="Q409" s="9"/>
      <c r="R409" s="42"/>
      <c r="S409" s="42"/>
      <c r="T409" s="42"/>
      <c r="U409" s="42"/>
      <c r="V409" s="42"/>
      <c r="W409" s="42"/>
    </row>
    <row r="410">
      <c r="A410" s="9"/>
      <c r="B410" s="9"/>
      <c r="C410" s="9"/>
      <c r="D410" s="42"/>
      <c r="E410" s="103"/>
      <c r="F410" s="42"/>
      <c r="G410" s="9"/>
      <c r="H410" s="9"/>
      <c r="I410" s="9"/>
      <c r="J410" s="9"/>
      <c r="K410" s="42"/>
      <c r="L410" s="42"/>
      <c r="M410" s="42"/>
      <c r="N410" s="42"/>
      <c r="O410" s="42"/>
      <c r="P410" s="9"/>
      <c r="Q410" s="9"/>
      <c r="R410" s="42"/>
      <c r="S410" s="42"/>
      <c r="T410" s="42"/>
      <c r="U410" s="42"/>
      <c r="V410" s="42"/>
      <c r="W410" s="42"/>
    </row>
    <row r="411">
      <c r="A411" s="9"/>
      <c r="B411" s="9"/>
      <c r="C411" s="9"/>
      <c r="D411" s="42"/>
      <c r="E411" s="103"/>
      <c r="F411" s="42"/>
      <c r="G411" s="9"/>
      <c r="H411" s="9"/>
      <c r="I411" s="9"/>
      <c r="J411" s="9"/>
      <c r="K411" s="42"/>
      <c r="L411" s="42"/>
      <c r="M411" s="42"/>
      <c r="N411" s="42"/>
      <c r="O411" s="42"/>
      <c r="P411" s="9"/>
      <c r="Q411" s="9"/>
      <c r="R411" s="42"/>
      <c r="S411" s="42"/>
      <c r="T411" s="42"/>
      <c r="U411" s="42"/>
      <c r="V411" s="42"/>
      <c r="W411" s="42"/>
    </row>
    <row r="412">
      <c r="A412" s="9"/>
      <c r="B412" s="9"/>
      <c r="C412" s="9"/>
      <c r="D412" s="42"/>
      <c r="E412" s="103"/>
      <c r="F412" s="42"/>
      <c r="G412" s="9"/>
      <c r="H412" s="9"/>
      <c r="I412" s="9"/>
      <c r="J412" s="9"/>
      <c r="K412" s="42"/>
      <c r="L412" s="42"/>
      <c r="M412" s="42"/>
      <c r="N412" s="42"/>
      <c r="O412" s="42"/>
      <c r="P412" s="9"/>
      <c r="Q412" s="9"/>
      <c r="R412" s="42"/>
      <c r="S412" s="42"/>
      <c r="T412" s="42"/>
      <c r="U412" s="42"/>
      <c r="V412" s="42"/>
      <c r="W412" s="42"/>
    </row>
    <row r="413">
      <c r="A413" s="9"/>
      <c r="B413" s="9"/>
      <c r="C413" s="9"/>
      <c r="D413" s="42"/>
      <c r="E413" s="103"/>
      <c r="F413" s="42"/>
      <c r="G413" s="9"/>
      <c r="H413" s="9"/>
      <c r="I413" s="9"/>
      <c r="J413" s="9"/>
      <c r="K413" s="42"/>
      <c r="L413" s="42"/>
      <c r="M413" s="42"/>
      <c r="N413" s="42"/>
      <c r="O413" s="42"/>
      <c r="P413" s="9"/>
      <c r="Q413" s="9"/>
      <c r="R413" s="42"/>
      <c r="S413" s="42"/>
      <c r="T413" s="42"/>
      <c r="U413" s="42"/>
      <c r="V413" s="42"/>
      <c r="W413" s="42"/>
    </row>
    <row r="414">
      <c r="A414" s="9"/>
      <c r="B414" s="9"/>
      <c r="C414" s="9"/>
      <c r="D414" s="42"/>
      <c r="E414" s="103"/>
      <c r="F414" s="42"/>
      <c r="G414" s="9"/>
      <c r="H414" s="9"/>
      <c r="I414" s="9"/>
      <c r="J414" s="9"/>
      <c r="K414" s="42"/>
      <c r="L414" s="42"/>
      <c r="M414" s="42"/>
      <c r="N414" s="42"/>
      <c r="O414" s="42"/>
      <c r="P414" s="9"/>
      <c r="Q414" s="9"/>
      <c r="R414" s="42"/>
      <c r="S414" s="42"/>
      <c r="T414" s="42"/>
      <c r="U414" s="42"/>
      <c r="V414" s="42"/>
      <c r="W414" s="42"/>
    </row>
    <row r="415">
      <c r="A415" s="9"/>
      <c r="B415" s="9"/>
      <c r="C415" s="9"/>
      <c r="D415" s="42"/>
      <c r="E415" s="103"/>
      <c r="F415" s="42"/>
      <c r="G415" s="9"/>
      <c r="H415" s="9"/>
      <c r="I415" s="9"/>
      <c r="J415" s="9"/>
      <c r="K415" s="42"/>
      <c r="L415" s="42"/>
      <c r="M415" s="42"/>
      <c r="N415" s="42"/>
      <c r="O415" s="42"/>
      <c r="P415" s="9"/>
      <c r="Q415" s="9"/>
      <c r="R415" s="42"/>
      <c r="S415" s="42"/>
      <c r="T415" s="42"/>
      <c r="U415" s="42"/>
      <c r="V415" s="42"/>
      <c r="W415" s="42"/>
    </row>
    <row r="416">
      <c r="A416" s="9"/>
      <c r="B416" s="9"/>
      <c r="C416" s="9"/>
      <c r="D416" s="42"/>
      <c r="E416" s="103"/>
      <c r="F416" s="42"/>
      <c r="G416" s="9"/>
      <c r="H416" s="9"/>
      <c r="I416" s="9"/>
      <c r="J416" s="9"/>
      <c r="K416" s="42"/>
      <c r="L416" s="42"/>
      <c r="M416" s="42"/>
      <c r="N416" s="42"/>
      <c r="O416" s="42"/>
      <c r="P416" s="9"/>
      <c r="Q416" s="9"/>
      <c r="R416" s="42"/>
      <c r="S416" s="42"/>
      <c r="T416" s="42"/>
      <c r="U416" s="42"/>
      <c r="V416" s="42"/>
      <c r="W416" s="42"/>
    </row>
    <row r="417">
      <c r="A417" s="9"/>
      <c r="B417" s="9"/>
      <c r="C417" s="9"/>
      <c r="D417" s="42"/>
      <c r="E417" s="103"/>
      <c r="F417" s="42"/>
      <c r="G417" s="9"/>
      <c r="H417" s="9"/>
      <c r="I417" s="9"/>
      <c r="J417" s="9"/>
      <c r="K417" s="42"/>
      <c r="L417" s="42"/>
      <c r="M417" s="42"/>
      <c r="N417" s="42"/>
      <c r="O417" s="42"/>
      <c r="P417" s="9"/>
      <c r="Q417" s="9"/>
      <c r="R417" s="42"/>
      <c r="S417" s="42"/>
      <c r="T417" s="42"/>
      <c r="U417" s="42"/>
      <c r="V417" s="42"/>
      <c r="W417" s="42"/>
    </row>
    <row r="418">
      <c r="A418" s="9"/>
      <c r="B418" s="9"/>
      <c r="C418" s="9"/>
      <c r="D418" s="42"/>
      <c r="E418" s="103"/>
      <c r="F418" s="42"/>
      <c r="G418" s="9"/>
      <c r="H418" s="9"/>
      <c r="I418" s="9"/>
      <c r="J418" s="9"/>
      <c r="K418" s="42"/>
      <c r="L418" s="42"/>
      <c r="M418" s="42"/>
      <c r="N418" s="42"/>
      <c r="O418" s="42"/>
      <c r="P418" s="9"/>
      <c r="Q418" s="9"/>
      <c r="R418" s="42"/>
      <c r="S418" s="42"/>
      <c r="T418" s="42"/>
      <c r="U418" s="42"/>
      <c r="V418" s="42"/>
      <c r="W418" s="42"/>
    </row>
    <row r="419">
      <c r="A419" s="9"/>
      <c r="B419" s="9"/>
      <c r="C419" s="9"/>
      <c r="D419" s="42"/>
      <c r="E419" s="103"/>
      <c r="F419" s="42"/>
      <c r="G419" s="9"/>
      <c r="H419" s="9"/>
      <c r="I419" s="9"/>
      <c r="J419" s="9"/>
      <c r="K419" s="42"/>
      <c r="L419" s="42"/>
      <c r="M419" s="42"/>
      <c r="N419" s="42"/>
      <c r="O419" s="42"/>
      <c r="P419" s="9"/>
      <c r="Q419" s="9"/>
      <c r="R419" s="42"/>
      <c r="S419" s="42"/>
      <c r="T419" s="42"/>
      <c r="U419" s="42"/>
      <c r="V419" s="42"/>
      <c r="W419" s="42"/>
    </row>
    <row r="420">
      <c r="A420" s="9"/>
      <c r="B420" s="9"/>
      <c r="C420" s="9"/>
      <c r="D420" s="42"/>
      <c r="E420" s="103"/>
      <c r="F420" s="42"/>
      <c r="G420" s="9"/>
      <c r="H420" s="9"/>
      <c r="I420" s="9"/>
      <c r="J420" s="9"/>
      <c r="K420" s="42"/>
      <c r="L420" s="42"/>
      <c r="M420" s="42"/>
      <c r="N420" s="42"/>
      <c r="O420" s="42"/>
      <c r="P420" s="9"/>
      <c r="Q420" s="9"/>
      <c r="R420" s="42"/>
      <c r="S420" s="42"/>
      <c r="T420" s="42"/>
      <c r="U420" s="42"/>
      <c r="V420" s="42"/>
      <c r="W420" s="42"/>
    </row>
    <row r="421">
      <c r="A421" s="9"/>
      <c r="B421" s="9"/>
      <c r="C421" s="9"/>
      <c r="D421" s="42"/>
      <c r="E421" s="103"/>
      <c r="F421" s="42"/>
      <c r="G421" s="9"/>
      <c r="H421" s="9"/>
      <c r="I421" s="9"/>
      <c r="J421" s="9"/>
      <c r="K421" s="42"/>
      <c r="L421" s="42"/>
      <c r="M421" s="42"/>
      <c r="N421" s="42"/>
      <c r="O421" s="42"/>
      <c r="P421" s="9"/>
      <c r="Q421" s="9"/>
      <c r="R421" s="42"/>
      <c r="S421" s="42"/>
      <c r="T421" s="42"/>
      <c r="U421" s="42"/>
      <c r="V421" s="42"/>
      <c r="W421" s="42"/>
    </row>
    <row r="422">
      <c r="A422" s="9"/>
      <c r="B422" s="9"/>
      <c r="C422" s="9"/>
      <c r="D422" s="42"/>
      <c r="E422" s="103"/>
      <c r="F422" s="42"/>
      <c r="G422" s="9"/>
      <c r="H422" s="9"/>
      <c r="I422" s="9"/>
      <c r="J422" s="9"/>
      <c r="K422" s="42"/>
      <c r="L422" s="42"/>
      <c r="M422" s="42"/>
      <c r="N422" s="42"/>
      <c r="O422" s="42"/>
      <c r="P422" s="9"/>
      <c r="Q422" s="9"/>
      <c r="R422" s="42"/>
      <c r="S422" s="42"/>
      <c r="T422" s="42"/>
      <c r="U422" s="42"/>
      <c r="V422" s="42"/>
      <c r="W422" s="42"/>
    </row>
    <row r="423">
      <c r="A423" s="9"/>
      <c r="B423" s="9"/>
      <c r="C423" s="9"/>
      <c r="D423" s="42"/>
      <c r="E423" s="103"/>
      <c r="F423" s="42"/>
      <c r="G423" s="9"/>
      <c r="H423" s="9"/>
      <c r="I423" s="9"/>
      <c r="J423" s="9"/>
      <c r="K423" s="42"/>
      <c r="L423" s="42"/>
      <c r="M423" s="42"/>
      <c r="N423" s="42"/>
      <c r="O423" s="42"/>
      <c r="P423" s="9"/>
      <c r="Q423" s="9"/>
      <c r="R423" s="42"/>
      <c r="S423" s="42"/>
      <c r="T423" s="42"/>
      <c r="U423" s="42"/>
      <c r="V423" s="42"/>
      <c r="W423" s="42"/>
    </row>
    <row r="424">
      <c r="A424" s="9"/>
      <c r="B424" s="9"/>
      <c r="C424" s="9"/>
      <c r="D424" s="42"/>
      <c r="E424" s="103"/>
      <c r="F424" s="42"/>
      <c r="G424" s="9"/>
      <c r="H424" s="9"/>
      <c r="I424" s="9"/>
      <c r="J424" s="9"/>
      <c r="K424" s="42"/>
      <c r="L424" s="42"/>
      <c r="M424" s="42"/>
      <c r="N424" s="42"/>
      <c r="O424" s="42"/>
      <c r="P424" s="9"/>
      <c r="Q424" s="9"/>
      <c r="R424" s="42"/>
      <c r="S424" s="42"/>
      <c r="T424" s="42"/>
      <c r="U424" s="42"/>
      <c r="V424" s="42"/>
      <c r="W424" s="42"/>
    </row>
    <row r="425">
      <c r="A425" s="9"/>
      <c r="B425" s="9"/>
      <c r="C425" s="9"/>
      <c r="D425" s="42"/>
      <c r="E425" s="103"/>
      <c r="F425" s="42"/>
      <c r="G425" s="9"/>
      <c r="H425" s="9"/>
      <c r="I425" s="9"/>
      <c r="J425" s="9"/>
      <c r="K425" s="42"/>
      <c r="L425" s="42"/>
      <c r="M425" s="42"/>
      <c r="N425" s="42"/>
      <c r="O425" s="42"/>
      <c r="P425" s="9"/>
      <c r="Q425" s="9"/>
      <c r="R425" s="42"/>
      <c r="S425" s="42"/>
      <c r="T425" s="42"/>
      <c r="U425" s="42"/>
      <c r="V425" s="42"/>
      <c r="W425" s="42"/>
    </row>
    <row r="426">
      <c r="A426" s="9"/>
      <c r="B426" s="9"/>
      <c r="C426" s="9"/>
      <c r="D426" s="42"/>
      <c r="E426" s="103"/>
      <c r="F426" s="42"/>
      <c r="G426" s="9"/>
      <c r="H426" s="9"/>
      <c r="I426" s="9"/>
      <c r="J426" s="9"/>
      <c r="K426" s="42"/>
      <c r="L426" s="42"/>
      <c r="M426" s="42"/>
      <c r="N426" s="42"/>
      <c r="O426" s="42"/>
      <c r="P426" s="9"/>
      <c r="Q426" s="9"/>
      <c r="R426" s="42"/>
      <c r="S426" s="42"/>
      <c r="T426" s="42"/>
      <c r="U426" s="42"/>
      <c r="V426" s="42"/>
      <c r="W426" s="42"/>
    </row>
    <row r="427">
      <c r="A427" s="9"/>
      <c r="B427" s="9"/>
      <c r="C427" s="9"/>
      <c r="D427" s="42"/>
      <c r="E427" s="103"/>
      <c r="F427" s="42"/>
      <c r="G427" s="9"/>
      <c r="H427" s="9"/>
      <c r="I427" s="9"/>
      <c r="J427" s="9"/>
      <c r="K427" s="42"/>
      <c r="L427" s="42"/>
      <c r="M427" s="42"/>
      <c r="N427" s="42"/>
      <c r="O427" s="42"/>
      <c r="P427" s="9"/>
      <c r="Q427" s="9"/>
      <c r="R427" s="42"/>
      <c r="S427" s="42"/>
      <c r="T427" s="42"/>
      <c r="U427" s="42"/>
      <c r="V427" s="42"/>
      <c r="W427" s="42"/>
    </row>
    <row r="428">
      <c r="A428" s="9"/>
      <c r="B428" s="9"/>
      <c r="C428" s="9"/>
      <c r="D428" s="42"/>
      <c r="E428" s="103"/>
      <c r="F428" s="42"/>
      <c r="G428" s="9"/>
      <c r="H428" s="9"/>
      <c r="I428" s="9"/>
      <c r="J428" s="9"/>
      <c r="K428" s="42"/>
      <c r="L428" s="42"/>
      <c r="M428" s="42"/>
      <c r="N428" s="42"/>
      <c r="O428" s="42"/>
      <c r="P428" s="9"/>
      <c r="Q428" s="9"/>
      <c r="R428" s="42"/>
      <c r="S428" s="42"/>
      <c r="T428" s="42"/>
      <c r="U428" s="42"/>
      <c r="V428" s="42"/>
      <c r="W428" s="42"/>
    </row>
    <row r="429">
      <c r="A429" s="9"/>
      <c r="B429" s="9"/>
      <c r="C429" s="9"/>
      <c r="D429" s="42"/>
      <c r="E429" s="103"/>
      <c r="F429" s="42"/>
      <c r="G429" s="9"/>
      <c r="H429" s="9"/>
      <c r="I429" s="9"/>
      <c r="J429" s="9"/>
      <c r="K429" s="42"/>
      <c r="L429" s="42"/>
      <c r="M429" s="42"/>
      <c r="N429" s="42"/>
      <c r="O429" s="42"/>
      <c r="P429" s="9"/>
      <c r="Q429" s="9"/>
      <c r="R429" s="42"/>
      <c r="S429" s="42"/>
      <c r="T429" s="42"/>
      <c r="U429" s="42"/>
      <c r="V429" s="42"/>
      <c r="W429" s="42"/>
    </row>
    <row r="430">
      <c r="A430" s="9"/>
      <c r="B430" s="9"/>
      <c r="C430" s="9"/>
      <c r="D430" s="42"/>
      <c r="E430" s="103"/>
      <c r="F430" s="42"/>
      <c r="G430" s="9"/>
      <c r="H430" s="9"/>
      <c r="I430" s="9"/>
      <c r="J430" s="9"/>
      <c r="K430" s="42"/>
      <c r="L430" s="42"/>
      <c r="M430" s="42"/>
      <c r="N430" s="42"/>
      <c r="O430" s="42"/>
      <c r="P430" s="9"/>
      <c r="Q430" s="9"/>
      <c r="R430" s="42"/>
      <c r="S430" s="42"/>
      <c r="T430" s="42"/>
      <c r="U430" s="42"/>
      <c r="V430" s="42"/>
      <c r="W430" s="42"/>
    </row>
    <row r="431">
      <c r="A431" s="9"/>
      <c r="B431" s="9"/>
      <c r="C431" s="9"/>
      <c r="D431" s="42"/>
      <c r="E431" s="103"/>
      <c r="F431" s="42"/>
      <c r="G431" s="9"/>
      <c r="H431" s="9"/>
      <c r="I431" s="9"/>
      <c r="J431" s="9"/>
      <c r="K431" s="42"/>
      <c r="L431" s="42"/>
      <c r="M431" s="42"/>
      <c r="N431" s="42"/>
      <c r="O431" s="42"/>
      <c r="P431" s="9"/>
      <c r="Q431" s="9"/>
      <c r="R431" s="42"/>
      <c r="S431" s="42"/>
      <c r="T431" s="42"/>
      <c r="U431" s="42"/>
      <c r="V431" s="42"/>
      <c r="W431" s="42"/>
    </row>
    <row r="432">
      <c r="A432" s="9"/>
      <c r="B432" s="9"/>
      <c r="C432" s="9"/>
      <c r="D432" s="42"/>
      <c r="E432" s="103"/>
      <c r="F432" s="42"/>
      <c r="G432" s="9"/>
      <c r="H432" s="9"/>
      <c r="I432" s="9"/>
      <c r="J432" s="9"/>
      <c r="K432" s="42"/>
      <c r="L432" s="42"/>
      <c r="M432" s="42"/>
      <c r="N432" s="42"/>
      <c r="O432" s="42"/>
      <c r="P432" s="9"/>
      <c r="Q432" s="9"/>
      <c r="R432" s="42"/>
      <c r="S432" s="42"/>
      <c r="T432" s="42"/>
      <c r="U432" s="42"/>
      <c r="V432" s="42"/>
      <c r="W432" s="42"/>
    </row>
    <row r="433">
      <c r="A433" s="9"/>
      <c r="B433" s="9"/>
      <c r="C433" s="9"/>
      <c r="D433" s="42"/>
      <c r="E433" s="103"/>
      <c r="F433" s="42"/>
      <c r="G433" s="9"/>
      <c r="H433" s="9"/>
      <c r="I433" s="9"/>
      <c r="J433" s="9"/>
      <c r="K433" s="42"/>
      <c r="L433" s="42"/>
      <c r="M433" s="42"/>
      <c r="N433" s="42"/>
      <c r="O433" s="42"/>
      <c r="P433" s="9"/>
      <c r="Q433" s="9"/>
      <c r="R433" s="42"/>
      <c r="S433" s="42"/>
      <c r="T433" s="42"/>
      <c r="U433" s="42"/>
      <c r="V433" s="42"/>
      <c r="W433" s="42"/>
    </row>
    <row r="434">
      <c r="A434" s="9"/>
      <c r="B434" s="9"/>
      <c r="C434" s="9"/>
      <c r="D434" s="42"/>
      <c r="E434" s="103"/>
      <c r="F434" s="42"/>
      <c r="G434" s="9"/>
      <c r="H434" s="9"/>
      <c r="I434" s="9"/>
      <c r="J434" s="9"/>
      <c r="K434" s="42"/>
      <c r="L434" s="42"/>
      <c r="M434" s="42"/>
      <c r="N434" s="42"/>
      <c r="O434" s="42"/>
      <c r="P434" s="9"/>
      <c r="Q434" s="9"/>
      <c r="R434" s="42"/>
      <c r="S434" s="42"/>
      <c r="T434" s="42"/>
      <c r="U434" s="42"/>
      <c r="V434" s="42"/>
      <c r="W434" s="42"/>
    </row>
    <row r="435">
      <c r="A435" s="9"/>
      <c r="B435" s="9"/>
      <c r="C435" s="9"/>
      <c r="D435" s="42"/>
      <c r="E435" s="103"/>
      <c r="F435" s="42"/>
      <c r="G435" s="9"/>
      <c r="H435" s="9"/>
      <c r="I435" s="9"/>
      <c r="J435" s="9"/>
      <c r="K435" s="42"/>
      <c r="L435" s="42"/>
      <c r="M435" s="42"/>
      <c r="N435" s="42"/>
      <c r="O435" s="42"/>
      <c r="P435" s="9"/>
      <c r="Q435" s="9"/>
      <c r="R435" s="42"/>
      <c r="S435" s="42"/>
      <c r="T435" s="42"/>
      <c r="U435" s="42"/>
      <c r="V435" s="42"/>
      <c r="W435" s="42"/>
    </row>
    <row r="436">
      <c r="A436" s="9"/>
      <c r="B436" s="9"/>
      <c r="C436" s="9"/>
      <c r="D436" s="42"/>
      <c r="E436" s="103"/>
      <c r="F436" s="42"/>
      <c r="G436" s="9"/>
      <c r="H436" s="9"/>
      <c r="I436" s="9"/>
      <c r="J436" s="9"/>
      <c r="K436" s="42"/>
      <c r="L436" s="42"/>
      <c r="M436" s="42"/>
      <c r="N436" s="42"/>
      <c r="O436" s="42"/>
      <c r="P436" s="9"/>
      <c r="Q436" s="9"/>
      <c r="R436" s="42"/>
      <c r="S436" s="42"/>
      <c r="T436" s="42"/>
      <c r="U436" s="42"/>
      <c r="V436" s="42"/>
      <c r="W436" s="42"/>
    </row>
    <row r="437">
      <c r="A437" s="9"/>
      <c r="B437" s="9"/>
      <c r="C437" s="9"/>
      <c r="D437" s="42"/>
      <c r="E437" s="103"/>
      <c r="F437" s="42"/>
      <c r="G437" s="9"/>
      <c r="H437" s="9"/>
      <c r="I437" s="9"/>
      <c r="J437" s="9"/>
      <c r="K437" s="42"/>
      <c r="L437" s="42"/>
      <c r="M437" s="42"/>
      <c r="N437" s="42"/>
      <c r="O437" s="42"/>
      <c r="P437" s="9"/>
      <c r="Q437" s="9"/>
      <c r="R437" s="42"/>
      <c r="S437" s="42"/>
      <c r="T437" s="42"/>
      <c r="U437" s="42"/>
      <c r="V437" s="42"/>
      <c r="W437" s="42"/>
    </row>
    <row r="438">
      <c r="A438" s="9"/>
      <c r="B438" s="9"/>
      <c r="C438" s="9"/>
      <c r="D438" s="42"/>
      <c r="E438" s="103"/>
      <c r="F438" s="42"/>
      <c r="G438" s="9"/>
      <c r="H438" s="9"/>
      <c r="I438" s="9"/>
      <c r="J438" s="9"/>
      <c r="K438" s="42"/>
      <c r="L438" s="42"/>
      <c r="M438" s="42"/>
      <c r="N438" s="42"/>
      <c r="O438" s="42"/>
      <c r="P438" s="9"/>
      <c r="Q438" s="9"/>
      <c r="R438" s="42"/>
      <c r="S438" s="42"/>
      <c r="T438" s="42"/>
      <c r="U438" s="42"/>
      <c r="V438" s="42"/>
      <c r="W438" s="42"/>
    </row>
    <row r="439">
      <c r="A439" s="9"/>
      <c r="B439" s="9"/>
      <c r="C439" s="9"/>
      <c r="D439" s="42"/>
      <c r="E439" s="103"/>
      <c r="F439" s="42"/>
      <c r="G439" s="9"/>
      <c r="H439" s="9"/>
      <c r="I439" s="9"/>
      <c r="J439" s="9"/>
      <c r="K439" s="42"/>
      <c r="L439" s="42"/>
      <c r="M439" s="42"/>
      <c r="N439" s="42"/>
      <c r="O439" s="42"/>
      <c r="P439" s="9"/>
      <c r="Q439" s="9"/>
      <c r="R439" s="42"/>
      <c r="S439" s="42"/>
      <c r="T439" s="42"/>
      <c r="U439" s="42"/>
      <c r="V439" s="42"/>
      <c r="W439" s="42"/>
    </row>
    <row r="440">
      <c r="A440" s="9"/>
      <c r="B440" s="9"/>
      <c r="C440" s="9"/>
      <c r="D440" s="42"/>
      <c r="E440" s="103"/>
      <c r="F440" s="42"/>
      <c r="G440" s="9"/>
      <c r="H440" s="9"/>
      <c r="I440" s="9"/>
      <c r="J440" s="9"/>
      <c r="K440" s="42"/>
      <c r="L440" s="42"/>
      <c r="M440" s="42"/>
      <c r="N440" s="42"/>
      <c r="O440" s="42"/>
      <c r="P440" s="9"/>
      <c r="Q440" s="9"/>
      <c r="R440" s="42"/>
      <c r="S440" s="42"/>
      <c r="T440" s="42"/>
      <c r="U440" s="42"/>
      <c r="V440" s="42"/>
      <c r="W440" s="42"/>
    </row>
    <row r="441">
      <c r="A441" s="9"/>
      <c r="B441" s="9"/>
      <c r="C441" s="9"/>
      <c r="D441" s="42"/>
      <c r="E441" s="103"/>
      <c r="F441" s="42"/>
      <c r="G441" s="9"/>
      <c r="H441" s="9"/>
      <c r="I441" s="9"/>
      <c r="J441" s="9"/>
      <c r="K441" s="42"/>
      <c r="L441" s="42"/>
      <c r="M441" s="42"/>
      <c r="N441" s="42"/>
      <c r="O441" s="42"/>
      <c r="P441" s="9"/>
      <c r="Q441" s="9"/>
      <c r="R441" s="42"/>
      <c r="S441" s="42"/>
      <c r="T441" s="42"/>
      <c r="U441" s="42"/>
      <c r="V441" s="42"/>
      <c r="W441" s="42"/>
    </row>
    <row r="442">
      <c r="A442" s="9"/>
      <c r="B442" s="9"/>
      <c r="C442" s="9"/>
      <c r="D442" s="42"/>
      <c r="E442" s="103"/>
      <c r="F442" s="42"/>
      <c r="G442" s="9"/>
      <c r="H442" s="9"/>
      <c r="I442" s="9"/>
      <c r="J442" s="9"/>
      <c r="K442" s="42"/>
      <c r="L442" s="42"/>
      <c r="M442" s="42"/>
      <c r="N442" s="42"/>
      <c r="O442" s="42"/>
      <c r="P442" s="9"/>
      <c r="Q442" s="9"/>
      <c r="R442" s="42"/>
      <c r="S442" s="42"/>
      <c r="T442" s="42"/>
      <c r="U442" s="42"/>
      <c r="V442" s="42"/>
      <c r="W442" s="42"/>
    </row>
    <row r="443">
      <c r="A443" s="9"/>
      <c r="B443" s="9"/>
      <c r="C443" s="9"/>
      <c r="D443" s="42"/>
      <c r="E443" s="103"/>
      <c r="F443" s="42"/>
      <c r="G443" s="9"/>
      <c r="H443" s="9"/>
      <c r="I443" s="9"/>
      <c r="J443" s="9"/>
      <c r="K443" s="42"/>
      <c r="L443" s="42"/>
      <c r="M443" s="42"/>
      <c r="N443" s="42"/>
      <c r="O443" s="42"/>
      <c r="P443" s="9"/>
      <c r="Q443" s="9"/>
      <c r="R443" s="42"/>
      <c r="S443" s="42"/>
      <c r="T443" s="42"/>
      <c r="U443" s="42"/>
      <c r="V443" s="42"/>
      <c r="W443" s="42"/>
    </row>
    <row r="444">
      <c r="A444" s="9"/>
      <c r="B444" s="9"/>
      <c r="C444" s="9"/>
      <c r="D444" s="42"/>
      <c r="E444" s="103"/>
      <c r="F444" s="42"/>
      <c r="G444" s="9"/>
      <c r="H444" s="9"/>
      <c r="I444" s="9"/>
      <c r="J444" s="9"/>
      <c r="K444" s="42"/>
      <c r="L444" s="42"/>
      <c r="M444" s="42"/>
      <c r="N444" s="42"/>
      <c r="O444" s="42"/>
      <c r="P444" s="9"/>
      <c r="Q444" s="9"/>
      <c r="R444" s="42"/>
      <c r="S444" s="42"/>
      <c r="T444" s="42"/>
      <c r="U444" s="42"/>
      <c r="V444" s="42"/>
      <c r="W444" s="42"/>
    </row>
    <row r="445">
      <c r="A445" s="9"/>
      <c r="B445" s="9"/>
      <c r="C445" s="9"/>
      <c r="D445" s="42"/>
      <c r="E445" s="103"/>
      <c r="F445" s="42"/>
      <c r="G445" s="9"/>
      <c r="H445" s="9"/>
      <c r="I445" s="9"/>
      <c r="J445" s="9"/>
      <c r="K445" s="42"/>
      <c r="L445" s="42"/>
      <c r="M445" s="42"/>
      <c r="N445" s="42"/>
      <c r="O445" s="42"/>
      <c r="P445" s="9"/>
      <c r="Q445" s="9"/>
      <c r="R445" s="42"/>
      <c r="S445" s="42"/>
      <c r="T445" s="42"/>
      <c r="U445" s="42"/>
      <c r="V445" s="42"/>
      <c r="W445" s="42"/>
    </row>
    <row r="446">
      <c r="A446" s="9"/>
      <c r="B446" s="9"/>
      <c r="C446" s="9"/>
      <c r="D446" s="42"/>
      <c r="E446" s="103"/>
      <c r="F446" s="42"/>
      <c r="G446" s="9"/>
      <c r="H446" s="9"/>
      <c r="I446" s="9"/>
      <c r="J446" s="9"/>
      <c r="K446" s="42"/>
      <c r="L446" s="42"/>
      <c r="M446" s="42"/>
      <c r="N446" s="42"/>
      <c r="O446" s="42"/>
      <c r="P446" s="9"/>
      <c r="Q446" s="9"/>
      <c r="R446" s="42"/>
      <c r="S446" s="42"/>
      <c r="T446" s="42"/>
      <c r="U446" s="42"/>
      <c r="V446" s="42"/>
      <c r="W446" s="42"/>
    </row>
    <row r="447">
      <c r="A447" s="9"/>
      <c r="B447" s="9"/>
      <c r="C447" s="9"/>
      <c r="D447" s="42"/>
      <c r="E447" s="103"/>
      <c r="F447" s="42"/>
      <c r="G447" s="9"/>
      <c r="H447" s="9"/>
      <c r="I447" s="9"/>
      <c r="J447" s="9"/>
      <c r="K447" s="42"/>
      <c r="L447" s="42"/>
      <c r="M447" s="42"/>
      <c r="N447" s="42"/>
      <c r="O447" s="42"/>
      <c r="P447" s="9"/>
      <c r="Q447" s="9"/>
      <c r="R447" s="42"/>
      <c r="S447" s="42"/>
      <c r="T447" s="42"/>
      <c r="U447" s="42"/>
      <c r="V447" s="42"/>
      <c r="W447" s="42"/>
    </row>
    <row r="448">
      <c r="A448" s="9"/>
      <c r="B448" s="9"/>
      <c r="C448" s="9"/>
      <c r="D448" s="42"/>
      <c r="E448" s="103"/>
      <c r="F448" s="42"/>
      <c r="G448" s="9"/>
      <c r="H448" s="9"/>
      <c r="I448" s="9"/>
      <c r="J448" s="9"/>
      <c r="K448" s="42"/>
      <c r="L448" s="42"/>
      <c r="M448" s="42"/>
      <c r="N448" s="42"/>
      <c r="O448" s="42"/>
      <c r="P448" s="9"/>
      <c r="Q448" s="9"/>
      <c r="R448" s="42"/>
      <c r="S448" s="42"/>
      <c r="T448" s="42"/>
      <c r="U448" s="42"/>
      <c r="V448" s="42"/>
      <c r="W448" s="42"/>
    </row>
    <row r="449">
      <c r="A449" s="9"/>
      <c r="B449" s="9"/>
      <c r="C449" s="9"/>
      <c r="D449" s="42"/>
      <c r="E449" s="103"/>
      <c r="F449" s="42"/>
      <c r="G449" s="9"/>
      <c r="H449" s="9"/>
      <c r="I449" s="9"/>
      <c r="J449" s="9"/>
      <c r="K449" s="42"/>
      <c r="L449" s="42"/>
      <c r="M449" s="42"/>
      <c r="N449" s="42"/>
      <c r="O449" s="42"/>
      <c r="P449" s="9"/>
      <c r="Q449" s="9"/>
      <c r="R449" s="42"/>
      <c r="S449" s="42"/>
      <c r="T449" s="42"/>
      <c r="U449" s="42"/>
      <c r="V449" s="42"/>
      <c r="W449" s="42"/>
    </row>
    <row r="450">
      <c r="A450" s="9"/>
      <c r="B450" s="9"/>
      <c r="C450" s="9"/>
      <c r="D450" s="42"/>
      <c r="E450" s="103"/>
      <c r="F450" s="42"/>
      <c r="G450" s="9"/>
      <c r="H450" s="9"/>
      <c r="I450" s="9"/>
      <c r="J450" s="9"/>
      <c r="K450" s="42"/>
      <c r="L450" s="42"/>
      <c r="M450" s="42"/>
      <c r="N450" s="42"/>
      <c r="O450" s="42"/>
      <c r="P450" s="9"/>
      <c r="Q450" s="9"/>
      <c r="R450" s="42"/>
      <c r="S450" s="42"/>
      <c r="T450" s="42"/>
      <c r="U450" s="42"/>
      <c r="V450" s="42"/>
      <c r="W450" s="42"/>
    </row>
    <row r="451">
      <c r="A451" s="9"/>
      <c r="B451" s="9"/>
      <c r="C451" s="9"/>
      <c r="D451" s="42"/>
      <c r="E451" s="103"/>
      <c r="F451" s="42"/>
      <c r="G451" s="9"/>
      <c r="H451" s="9"/>
      <c r="I451" s="9"/>
      <c r="J451" s="9"/>
      <c r="K451" s="42"/>
      <c r="L451" s="42"/>
      <c r="M451" s="42"/>
      <c r="N451" s="42"/>
      <c r="O451" s="42"/>
      <c r="P451" s="9"/>
      <c r="Q451" s="9"/>
      <c r="R451" s="42"/>
      <c r="S451" s="42"/>
      <c r="T451" s="42"/>
      <c r="U451" s="42"/>
      <c r="V451" s="42"/>
      <c r="W451" s="42"/>
    </row>
    <row r="452">
      <c r="A452" s="9"/>
      <c r="B452" s="9"/>
      <c r="C452" s="9"/>
      <c r="D452" s="42"/>
      <c r="E452" s="103"/>
      <c r="F452" s="42"/>
      <c r="G452" s="9"/>
      <c r="H452" s="9"/>
      <c r="I452" s="9"/>
      <c r="J452" s="9"/>
      <c r="K452" s="42"/>
      <c r="L452" s="42"/>
      <c r="M452" s="42"/>
      <c r="N452" s="42"/>
      <c r="O452" s="42"/>
      <c r="P452" s="9"/>
      <c r="Q452" s="9"/>
      <c r="R452" s="42"/>
      <c r="S452" s="42"/>
      <c r="T452" s="42"/>
      <c r="U452" s="42"/>
      <c r="V452" s="42"/>
      <c r="W452" s="42"/>
    </row>
    <row r="453">
      <c r="A453" s="9"/>
      <c r="B453" s="9"/>
      <c r="C453" s="9"/>
      <c r="D453" s="42"/>
      <c r="E453" s="103"/>
      <c r="F453" s="42"/>
      <c r="G453" s="9"/>
      <c r="H453" s="9"/>
      <c r="I453" s="9"/>
      <c r="J453" s="9"/>
      <c r="K453" s="42"/>
      <c r="L453" s="42"/>
      <c r="M453" s="42"/>
      <c r="N453" s="42"/>
      <c r="O453" s="42"/>
      <c r="P453" s="9"/>
      <c r="Q453" s="9"/>
      <c r="R453" s="42"/>
      <c r="S453" s="42"/>
      <c r="T453" s="42"/>
      <c r="U453" s="42"/>
      <c r="V453" s="42"/>
      <c r="W453" s="42"/>
    </row>
    <row r="454">
      <c r="A454" s="9"/>
      <c r="B454" s="9"/>
      <c r="C454" s="9"/>
      <c r="D454" s="42"/>
      <c r="E454" s="103"/>
      <c r="F454" s="42"/>
      <c r="G454" s="9"/>
      <c r="H454" s="9"/>
      <c r="I454" s="9"/>
      <c r="J454" s="9"/>
      <c r="K454" s="42"/>
      <c r="L454" s="42"/>
      <c r="M454" s="42"/>
      <c r="N454" s="42"/>
      <c r="O454" s="42"/>
      <c r="P454" s="9"/>
      <c r="Q454" s="9"/>
      <c r="R454" s="42"/>
      <c r="S454" s="42"/>
      <c r="T454" s="42"/>
      <c r="U454" s="42"/>
      <c r="V454" s="42"/>
      <c r="W454" s="42"/>
    </row>
    <row r="455">
      <c r="A455" s="9"/>
      <c r="B455" s="9"/>
      <c r="C455" s="9"/>
      <c r="D455" s="42"/>
      <c r="E455" s="103"/>
      <c r="F455" s="42"/>
      <c r="G455" s="9"/>
      <c r="H455" s="9"/>
      <c r="I455" s="9"/>
      <c r="J455" s="9"/>
      <c r="K455" s="42"/>
      <c r="L455" s="42"/>
      <c r="M455" s="42"/>
      <c r="N455" s="42"/>
      <c r="O455" s="42"/>
      <c r="P455" s="9"/>
      <c r="Q455" s="9"/>
      <c r="R455" s="42"/>
      <c r="S455" s="42"/>
      <c r="T455" s="42"/>
      <c r="U455" s="42"/>
      <c r="V455" s="42"/>
      <c r="W455" s="42"/>
    </row>
    <row r="456">
      <c r="A456" s="9"/>
      <c r="B456" s="9"/>
      <c r="C456" s="9"/>
      <c r="D456" s="42"/>
      <c r="E456" s="103"/>
      <c r="F456" s="42"/>
      <c r="G456" s="9"/>
      <c r="H456" s="9"/>
      <c r="I456" s="9"/>
      <c r="J456" s="9"/>
      <c r="K456" s="42"/>
      <c r="L456" s="42"/>
      <c r="M456" s="42"/>
      <c r="N456" s="42"/>
      <c r="O456" s="42"/>
      <c r="P456" s="9"/>
      <c r="Q456" s="9"/>
      <c r="R456" s="42"/>
      <c r="S456" s="42"/>
      <c r="T456" s="42"/>
      <c r="U456" s="42"/>
      <c r="V456" s="42"/>
      <c r="W456" s="42"/>
    </row>
    <row r="457">
      <c r="A457" s="9"/>
      <c r="B457" s="9"/>
      <c r="C457" s="9"/>
      <c r="D457" s="42"/>
      <c r="E457" s="103"/>
      <c r="F457" s="42"/>
      <c r="G457" s="9"/>
      <c r="H457" s="9"/>
      <c r="I457" s="9"/>
      <c r="J457" s="9"/>
      <c r="K457" s="42"/>
      <c r="L457" s="42"/>
      <c r="M457" s="42"/>
      <c r="N457" s="42"/>
      <c r="O457" s="42"/>
      <c r="P457" s="9"/>
      <c r="Q457" s="9"/>
      <c r="R457" s="42"/>
      <c r="S457" s="42"/>
      <c r="T457" s="42"/>
      <c r="U457" s="42"/>
      <c r="V457" s="42"/>
      <c r="W457" s="42"/>
    </row>
    <row r="458">
      <c r="A458" s="9"/>
      <c r="B458" s="9"/>
      <c r="C458" s="9"/>
      <c r="D458" s="42"/>
      <c r="E458" s="103"/>
      <c r="F458" s="42"/>
      <c r="G458" s="9"/>
      <c r="H458" s="9"/>
      <c r="I458" s="9"/>
      <c r="J458" s="9"/>
      <c r="K458" s="42"/>
      <c r="L458" s="42"/>
      <c r="M458" s="42"/>
      <c r="N458" s="42"/>
      <c r="O458" s="42"/>
      <c r="P458" s="9"/>
      <c r="Q458" s="9"/>
      <c r="R458" s="42"/>
      <c r="S458" s="42"/>
      <c r="T458" s="42"/>
      <c r="U458" s="42"/>
      <c r="V458" s="42"/>
      <c r="W458" s="42"/>
    </row>
    <row r="459">
      <c r="A459" s="9"/>
      <c r="B459" s="9"/>
      <c r="C459" s="9"/>
      <c r="D459" s="42"/>
      <c r="E459" s="103"/>
      <c r="F459" s="42"/>
      <c r="G459" s="9"/>
      <c r="H459" s="9"/>
      <c r="I459" s="9"/>
      <c r="J459" s="9"/>
      <c r="K459" s="42"/>
      <c r="L459" s="42"/>
      <c r="M459" s="42"/>
      <c r="N459" s="42"/>
      <c r="O459" s="42"/>
      <c r="P459" s="9"/>
      <c r="Q459" s="9"/>
      <c r="R459" s="42"/>
      <c r="S459" s="42"/>
      <c r="T459" s="42"/>
      <c r="U459" s="42"/>
      <c r="V459" s="42"/>
      <c r="W459" s="42"/>
    </row>
    <row r="460">
      <c r="A460" s="9"/>
      <c r="B460" s="9"/>
      <c r="C460" s="9"/>
      <c r="D460" s="42"/>
      <c r="E460" s="103"/>
      <c r="F460" s="42"/>
      <c r="G460" s="9"/>
      <c r="H460" s="9"/>
      <c r="I460" s="9"/>
      <c r="J460" s="9"/>
      <c r="K460" s="42"/>
      <c r="L460" s="42"/>
      <c r="M460" s="42"/>
      <c r="N460" s="42"/>
      <c r="O460" s="42"/>
      <c r="P460" s="9"/>
      <c r="Q460" s="9"/>
      <c r="R460" s="42"/>
      <c r="S460" s="42"/>
      <c r="T460" s="42"/>
      <c r="U460" s="42"/>
      <c r="V460" s="42"/>
      <c r="W460" s="42"/>
    </row>
    <row r="461">
      <c r="A461" s="9"/>
      <c r="B461" s="9"/>
      <c r="C461" s="9"/>
      <c r="D461" s="42"/>
      <c r="E461" s="103"/>
      <c r="F461" s="42"/>
      <c r="G461" s="9"/>
      <c r="H461" s="9"/>
      <c r="I461" s="9"/>
      <c r="J461" s="9"/>
      <c r="K461" s="42"/>
      <c r="L461" s="42"/>
      <c r="M461" s="42"/>
      <c r="N461" s="42"/>
      <c r="O461" s="42"/>
      <c r="P461" s="9"/>
      <c r="Q461" s="9"/>
      <c r="R461" s="42"/>
      <c r="S461" s="42"/>
      <c r="T461" s="42"/>
      <c r="U461" s="42"/>
      <c r="V461" s="42"/>
      <c r="W461" s="42"/>
    </row>
    <row r="462">
      <c r="A462" s="9"/>
      <c r="B462" s="9"/>
      <c r="C462" s="9"/>
      <c r="D462" s="42"/>
      <c r="E462" s="103"/>
      <c r="F462" s="42"/>
      <c r="G462" s="9"/>
      <c r="H462" s="9"/>
      <c r="I462" s="9"/>
      <c r="J462" s="9"/>
      <c r="K462" s="42"/>
      <c r="L462" s="42"/>
      <c r="M462" s="42"/>
      <c r="N462" s="42"/>
      <c r="O462" s="42"/>
      <c r="P462" s="9"/>
      <c r="Q462" s="9"/>
      <c r="R462" s="42"/>
      <c r="S462" s="42"/>
      <c r="T462" s="42"/>
      <c r="U462" s="42"/>
      <c r="V462" s="42"/>
      <c r="W462" s="42"/>
    </row>
    <row r="463">
      <c r="A463" s="9"/>
      <c r="B463" s="9"/>
      <c r="C463" s="9"/>
      <c r="D463" s="42"/>
      <c r="E463" s="103"/>
      <c r="F463" s="42"/>
      <c r="G463" s="9"/>
      <c r="H463" s="9"/>
      <c r="I463" s="9"/>
      <c r="J463" s="9"/>
      <c r="K463" s="42"/>
      <c r="L463" s="42"/>
      <c r="M463" s="42"/>
      <c r="N463" s="42"/>
      <c r="O463" s="42"/>
      <c r="P463" s="9"/>
      <c r="Q463" s="9"/>
      <c r="R463" s="42"/>
      <c r="S463" s="42"/>
      <c r="T463" s="42"/>
      <c r="U463" s="42"/>
      <c r="V463" s="42"/>
      <c r="W463" s="42"/>
    </row>
    <row r="464">
      <c r="A464" s="9"/>
      <c r="B464" s="9"/>
      <c r="C464" s="9"/>
      <c r="D464" s="42"/>
      <c r="E464" s="103"/>
      <c r="F464" s="42"/>
      <c r="G464" s="9"/>
      <c r="H464" s="9"/>
      <c r="I464" s="9"/>
      <c r="J464" s="9"/>
      <c r="K464" s="42"/>
      <c r="L464" s="42"/>
      <c r="M464" s="42"/>
      <c r="N464" s="42"/>
      <c r="O464" s="42"/>
      <c r="P464" s="9"/>
      <c r="Q464" s="9"/>
      <c r="R464" s="42"/>
      <c r="S464" s="42"/>
      <c r="T464" s="42"/>
      <c r="U464" s="42"/>
      <c r="V464" s="42"/>
      <c r="W464" s="42"/>
    </row>
    <row r="465">
      <c r="A465" s="9"/>
      <c r="B465" s="9"/>
      <c r="C465" s="9"/>
      <c r="D465" s="42"/>
      <c r="E465" s="103"/>
      <c r="F465" s="42"/>
      <c r="G465" s="9"/>
      <c r="H465" s="9"/>
      <c r="I465" s="9"/>
      <c r="J465" s="9"/>
      <c r="K465" s="42"/>
      <c r="L465" s="42"/>
      <c r="M465" s="42"/>
      <c r="N465" s="42"/>
      <c r="O465" s="42"/>
      <c r="P465" s="9"/>
      <c r="Q465" s="9"/>
      <c r="R465" s="42"/>
      <c r="S465" s="42"/>
      <c r="T465" s="42"/>
      <c r="U465" s="42"/>
      <c r="V465" s="42"/>
      <c r="W465" s="42"/>
    </row>
    <row r="466">
      <c r="A466" s="9"/>
      <c r="B466" s="9"/>
      <c r="C466" s="9"/>
      <c r="D466" s="42"/>
      <c r="E466" s="103"/>
      <c r="F466" s="42"/>
      <c r="G466" s="9"/>
      <c r="H466" s="9"/>
      <c r="I466" s="9"/>
      <c r="J466" s="9"/>
      <c r="K466" s="42"/>
      <c r="L466" s="42"/>
      <c r="M466" s="42"/>
      <c r="N466" s="42"/>
      <c r="O466" s="42"/>
      <c r="P466" s="9"/>
      <c r="Q466" s="9"/>
      <c r="R466" s="42"/>
      <c r="S466" s="42"/>
      <c r="T466" s="42"/>
      <c r="U466" s="42"/>
      <c r="V466" s="42"/>
      <c r="W466" s="42"/>
    </row>
    <row r="467">
      <c r="A467" s="9"/>
      <c r="B467" s="9"/>
      <c r="C467" s="9"/>
      <c r="D467" s="42"/>
      <c r="E467" s="103"/>
      <c r="F467" s="42"/>
      <c r="G467" s="9"/>
      <c r="H467" s="9"/>
      <c r="I467" s="9"/>
      <c r="J467" s="9"/>
      <c r="K467" s="42"/>
      <c r="L467" s="42"/>
      <c r="M467" s="42"/>
      <c r="N467" s="42"/>
      <c r="O467" s="42"/>
      <c r="P467" s="9"/>
      <c r="Q467" s="9"/>
      <c r="R467" s="42"/>
      <c r="S467" s="42"/>
      <c r="T467" s="42"/>
      <c r="U467" s="42"/>
      <c r="V467" s="42"/>
      <c r="W467" s="42"/>
    </row>
    <row r="468">
      <c r="A468" s="9"/>
      <c r="B468" s="9"/>
      <c r="C468" s="9"/>
      <c r="D468" s="42"/>
      <c r="E468" s="103"/>
      <c r="F468" s="42"/>
      <c r="G468" s="9"/>
      <c r="H468" s="9"/>
      <c r="I468" s="9"/>
      <c r="J468" s="9"/>
      <c r="K468" s="42"/>
      <c r="L468" s="42"/>
      <c r="M468" s="42"/>
      <c r="N468" s="42"/>
      <c r="O468" s="42"/>
      <c r="P468" s="9"/>
      <c r="Q468" s="9"/>
      <c r="R468" s="42"/>
      <c r="S468" s="42"/>
      <c r="T468" s="42"/>
      <c r="U468" s="42"/>
      <c r="V468" s="42"/>
      <c r="W468" s="42"/>
    </row>
    <row r="469">
      <c r="A469" s="9"/>
      <c r="B469" s="9"/>
      <c r="C469" s="9"/>
      <c r="D469" s="42"/>
      <c r="E469" s="103"/>
      <c r="F469" s="42"/>
      <c r="G469" s="9"/>
      <c r="H469" s="9"/>
      <c r="I469" s="9"/>
      <c r="J469" s="9"/>
      <c r="K469" s="42"/>
      <c r="L469" s="42"/>
      <c r="M469" s="42"/>
      <c r="N469" s="42"/>
      <c r="O469" s="42"/>
      <c r="P469" s="9"/>
      <c r="Q469" s="9"/>
      <c r="R469" s="42"/>
      <c r="S469" s="42"/>
      <c r="T469" s="42"/>
      <c r="U469" s="42"/>
      <c r="V469" s="42"/>
      <c r="W469" s="42"/>
    </row>
    <row r="470">
      <c r="A470" s="9"/>
      <c r="B470" s="9"/>
      <c r="C470" s="9"/>
      <c r="D470" s="42"/>
      <c r="E470" s="103"/>
      <c r="F470" s="42"/>
      <c r="G470" s="9"/>
      <c r="H470" s="9"/>
      <c r="I470" s="9"/>
      <c r="J470" s="9"/>
      <c r="K470" s="42"/>
      <c r="L470" s="42"/>
      <c r="M470" s="42"/>
      <c r="N470" s="42"/>
      <c r="O470" s="42"/>
      <c r="P470" s="9"/>
      <c r="Q470" s="9"/>
      <c r="R470" s="42"/>
      <c r="S470" s="42"/>
      <c r="T470" s="42"/>
      <c r="U470" s="42"/>
      <c r="V470" s="42"/>
      <c r="W470" s="42"/>
    </row>
    <row r="471">
      <c r="A471" s="9"/>
      <c r="B471" s="9"/>
      <c r="C471" s="9"/>
      <c r="D471" s="42"/>
      <c r="E471" s="103"/>
      <c r="F471" s="42"/>
      <c r="G471" s="9"/>
      <c r="H471" s="9"/>
      <c r="I471" s="9"/>
      <c r="J471" s="9"/>
      <c r="K471" s="42"/>
      <c r="L471" s="42"/>
      <c r="M471" s="42"/>
      <c r="N471" s="42"/>
      <c r="O471" s="42"/>
      <c r="P471" s="9"/>
      <c r="Q471" s="9"/>
      <c r="R471" s="42"/>
      <c r="S471" s="42"/>
      <c r="T471" s="42"/>
      <c r="U471" s="42"/>
      <c r="V471" s="42"/>
      <c r="W471" s="42"/>
    </row>
    <row r="472">
      <c r="A472" s="9"/>
      <c r="B472" s="9"/>
      <c r="C472" s="9"/>
      <c r="D472" s="42"/>
      <c r="E472" s="103"/>
      <c r="F472" s="42"/>
      <c r="G472" s="9"/>
      <c r="H472" s="9"/>
      <c r="I472" s="9"/>
      <c r="J472" s="9"/>
      <c r="K472" s="42"/>
      <c r="L472" s="42"/>
      <c r="M472" s="42"/>
      <c r="N472" s="42"/>
      <c r="O472" s="42"/>
      <c r="P472" s="9"/>
      <c r="Q472" s="9"/>
      <c r="R472" s="42"/>
      <c r="S472" s="42"/>
      <c r="T472" s="42"/>
      <c r="U472" s="42"/>
      <c r="V472" s="42"/>
      <c r="W472" s="42"/>
    </row>
    <row r="473">
      <c r="A473" s="9"/>
      <c r="B473" s="9"/>
      <c r="C473" s="9"/>
      <c r="D473" s="42"/>
      <c r="E473" s="103"/>
      <c r="F473" s="42"/>
      <c r="G473" s="9"/>
      <c r="H473" s="9"/>
      <c r="I473" s="9"/>
      <c r="J473" s="9"/>
      <c r="K473" s="42"/>
      <c r="L473" s="42"/>
      <c r="M473" s="42"/>
      <c r="N473" s="42"/>
      <c r="O473" s="42"/>
      <c r="P473" s="9"/>
      <c r="Q473" s="9"/>
      <c r="R473" s="42"/>
      <c r="S473" s="42"/>
      <c r="T473" s="42"/>
      <c r="U473" s="42"/>
      <c r="V473" s="42"/>
      <c r="W473" s="42"/>
    </row>
    <row r="474">
      <c r="A474" s="9"/>
      <c r="B474" s="9"/>
      <c r="C474" s="9"/>
      <c r="D474" s="42"/>
      <c r="E474" s="103"/>
      <c r="F474" s="42"/>
      <c r="G474" s="9"/>
      <c r="H474" s="9"/>
      <c r="I474" s="9"/>
      <c r="J474" s="9"/>
      <c r="K474" s="42"/>
      <c r="L474" s="42"/>
      <c r="M474" s="42"/>
      <c r="N474" s="42"/>
      <c r="O474" s="42"/>
      <c r="P474" s="9"/>
      <c r="Q474" s="9"/>
      <c r="R474" s="42"/>
      <c r="S474" s="42"/>
      <c r="T474" s="42"/>
      <c r="U474" s="42"/>
      <c r="V474" s="42"/>
      <c r="W474" s="42"/>
    </row>
    <row r="475">
      <c r="A475" s="9"/>
      <c r="B475" s="9"/>
      <c r="C475" s="9"/>
      <c r="D475" s="42"/>
      <c r="E475" s="103"/>
      <c r="F475" s="42"/>
      <c r="G475" s="9"/>
      <c r="H475" s="9"/>
      <c r="I475" s="9"/>
      <c r="J475" s="9"/>
      <c r="K475" s="42"/>
      <c r="L475" s="42"/>
      <c r="M475" s="42"/>
      <c r="N475" s="42"/>
      <c r="O475" s="42"/>
      <c r="P475" s="9"/>
      <c r="Q475" s="9"/>
      <c r="R475" s="42"/>
      <c r="S475" s="42"/>
      <c r="T475" s="42"/>
      <c r="U475" s="42"/>
      <c r="V475" s="42"/>
      <c r="W475" s="42"/>
    </row>
    <row r="476">
      <c r="A476" s="9"/>
      <c r="B476" s="9"/>
      <c r="C476" s="9"/>
      <c r="D476" s="42"/>
      <c r="E476" s="103"/>
      <c r="F476" s="42"/>
      <c r="G476" s="9"/>
      <c r="H476" s="9"/>
      <c r="I476" s="9"/>
      <c r="J476" s="9"/>
      <c r="K476" s="42"/>
      <c r="L476" s="42"/>
      <c r="M476" s="42"/>
      <c r="N476" s="42"/>
      <c r="O476" s="42"/>
      <c r="P476" s="9"/>
      <c r="Q476" s="9"/>
      <c r="R476" s="42"/>
      <c r="S476" s="42"/>
      <c r="T476" s="42"/>
      <c r="U476" s="42"/>
      <c r="V476" s="42"/>
      <c r="W476" s="42"/>
    </row>
    <row r="477">
      <c r="A477" s="9"/>
      <c r="B477" s="9"/>
      <c r="C477" s="9"/>
      <c r="D477" s="42"/>
      <c r="E477" s="103"/>
      <c r="F477" s="42"/>
      <c r="G477" s="9"/>
      <c r="H477" s="9"/>
      <c r="I477" s="9"/>
      <c r="J477" s="9"/>
      <c r="K477" s="42"/>
      <c r="L477" s="42"/>
      <c r="M477" s="42"/>
      <c r="N477" s="42"/>
      <c r="O477" s="42"/>
      <c r="P477" s="9"/>
      <c r="Q477" s="9"/>
      <c r="R477" s="42"/>
      <c r="S477" s="42"/>
      <c r="T477" s="42"/>
      <c r="U477" s="42"/>
      <c r="V477" s="42"/>
      <c r="W477" s="42"/>
    </row>
    <row r="478">
      <c r="A478" s="9"/>
      <c r="B478" s="9"/>
      <c r="C478" s="9"/>
      <c r="D478" s="42"/>
      <c r="E478" s="103"/>
      <c r="F478" s="42"/>
      <c r="G478" s="9"/>
      <c r="H478" s="9"/>
      <c r="I478" s="9"/>
      <c r="J478" s="9"/>
      <c r="K478" s="42"/>
      <c r="L478" s="42"/>
      <c r="M478" s="42"/>
      <c r="N478" s="42"/>
      <c r="O478" s="42"/>
      <c r="P478" s="9"/>
      <c r="Q478" s="9"/>
      <c r="R478" s="42"/>
      <c r="S478" s="42"/>
      <c r="T478" s="42"/>
      <c r="U478" s="42"/>
      <c r="V478" s="42"/>
      <c r="W478" s="42"/>
    </row>
    <row r="479">
      <c r="A479" s="9"/>
      <c r="B479" s="9"/>
      <c r="C479" s="9"/>
      <c r="D479" s="42"/>
      <c r="E479" s="103"/>
      <c r="F479" s="42"/>
      <c r="G479" s="9"/>
      <c r="H479" s="9"/>
      <c r="I479" s="9"/>
      <c r="J479" s="9"/>
      <c r="K479" s="42"/>
      <c r="L479" s="42"/>
      <c r="M479" s="42"/>
      <c r="N479" s="42"/>
      <c r="O479" s="42"/>
      <c r="P479" s="9"/>
      <c r="Q479" s="9"/>
      <c r="R479" s="42"/>
      <c r="S479" s="42"/>
      <c r="T479" s="42"/>
      <c r="U479" s="42"/>
      <c r="V479" s="42"/>
      <c r="W479" s="42"/>
    </row>
    <row r="480">
      <c r="A480" s="9"/>
      <c r="B480" s="9"/>
      <c r="C480" s="9"/>
      <c r="D480" s="42"/>
      <c r="E480" s="103"/>
      <c r="F480" s="42"/>
      <c r="G480" s="9"/>
      <c r="H480" s="9"/>
      <c r="I480" s="9"/>
      <c r="J480" s="9"/>
      <c r="K480" s="42"/>
      <c r="L480" s="42"/>
      <c r="M480" s="42"/>
      <c r="N480" s="42"/>
      <c r="O480" s="42"/>
      <c r="P480" s="9"/>
      <c r="Q480" s="9"/>
      <c r="R480" s="42"/>
      <c r="S480" s="42"/>
      <c r="T480" s="42"/>
      <c r="U480" s="42"/>
      <c r="V480" s="42"/>
      <c r="W480" s="42"/>
    </row>
    <row r="481">
      <c r="A481" s="9"/>
      <c r="B481" s="9"/>
      <c r="C481" s="9"/>
      <c r="D481" s="42"/>
      <c r="E481" s="103"/>
      <c r="F481" s="42"/>
      <c r="G481" s="9"/>
      <c r="H481" s="9"/>
      <c r="I481" s="9"/>
      <c r="J481" s="9"/>
      <c r="K481" s="42"/>
      <c r="L481" s="42"/>
      <c r="M481" s="42"/>
      <c r="N481" s="42"/>
      <c r="O481" s="42"/>
      <c r="P481" s="9"/>
      <c r="Q481" s="9"/>
      <c r="R481" s="42"/>
      <c r="S481" s="42"/>
      <c r="T481" s="42"/>
      <c r="U481" s="42"/>
      <c r="V481" s="42"/>
      <c r="W481" s="42"/>
    </row>
    <row r="482">
      <c r="A482" s="9"/>
      <c r="B482" s="9"/>
      <c r="C482" s="9"/>
      <c r="D482" s="42"/>
      <c r="E482" s="103"/>
      <c r="F482" s="42"/>
      <c r="G482" s="9"/>
      <c r="H482" s="9"/>
      <c r="I482" s="9"/>
      <c r="J482" s="9"/>
      <c r="K482" s="42"/>
      <c r="L482" s="42"/>
      <c r="M482" s="42"/>
      <c r="N482" s="42"/>
      <c r="O482" s="42"/>
      <c r="P482" s="9"/>
      <c r="Q482" s="9"/>
      <c r="R482" s="42"/>
      <c r="S482" s="42"/>
      <c r="T482" s="42"/>
      <c r="U482" s="42"/>
      <c r="V482" s="42"/>
      <c r="W482" s="42"/>
    </row>
    <row r="483">
      <c r="A483" s="9"/>
      <c r="B483" s="9"/>
      <c r="C483" s="9"/>
      <c r="D483" s="42"/>
      <c r="E483" s="103"/>
      <c r="F483" s="42"/>
      <c r="G483" s="9"/>
      <c r="H483" s="9"/>
      <c r="I483" s="9"/>
      <c r="J483" s="9"/>
      <c r="K483" s="42"/>
      <c r="L483" s="42"/>
      <c r="M483" s="42"/>
      <c r="N483" s="42"/>
      <c r="O483" s="42"/>
      <c r="P483" s="9"/>
      <c r="Q483" s="9"/>
      <c r="R483" s="42"/>
      <c r="S483" s="42"/>
      <c r="T483" s="42"/>
      <c r="U483" s="42"/>
      <c r="V483" s="42"/>
      <c r="W483" s="42"/>
    </row>
    <row r="484">
      <c r="A484" s="9"/>
      <c r="B484" s="9"/>
      <c r="C484" s="9"/>
      <c r="D484" s="42"/>
      <c r="E484" s="103"/>
      <c r="F484" s="42"/>
      <c r="G484" s="9"/>
      <c r="H484" s="9"/>
      <c r="I484" s="9"/>
      <c r="J484" s="9"/>
      <c r="K484" s="42"/>
      <c r="L484" s="42"/>
      <c r="M484" s="42"/>
      <c r="N484" s="42"/>
      <c r="O484" s="42"/>
      <c r="P484" s="9"/>
      <c r="Q484" s="9"/>
      <c r="R484" s="42"/>
      <c r="S484" s="42"/>
      <c r="T484" s="42"/>
      <c r="U484" s="42"/>
      <c r="V484" s="42"/>
      <c r="W484" s="42"/>
    </row>
    <row r="485">
      <c r="A485" s="9"/>
      <c r="B485" s="9"/>
      <c r="C485" s="9"/>
      <c r="D485" s="42"/>
      <c r="E485" s="103"/>
      <c r="F485" s="42"/>
      <c r="G485" s="9"/>
      <c r="H485" s="9"/>
      <c r="I485" s="9"/>
      <c r="J485" s="9"/>
      <c r="K485" s="42"/>
      <c r="L485" s="42"/>
      <c r="M485" s="42"/>
      <c r="N485" s="42"/>
      <c r="O485" s="42"/>
      <c r="P485" s="9"/>
      <c r="Q485" s="9"/>
      <c r="R485" s="42"/>
      <c r="S485" s="42"/>
      <c r="T485" s="42"/>
      <c r="U485" s="42"/>
      <c r="V485" s="42"/>
      <c r="W485" s="42"/>
    </row>
    <row r="486">
      <c r="A486" s="9"/>
      <c r="B486" s="9"/>
      <c r="C486" s="9"/>
      <c r="D486" s="42"/>
      <c r="E486" s="103"/>
      <c r="F486" s="42"/>
      <c r="G486" s="9"/>
      <c r="H486" s="9"/>
      <c r="I486" s="9"/>
      <c r="J486" s="9"/>
      <c r="K486" s="42"/>
      <c r="L486" s="42"/>
      <c r="M486" s="42"/>
      <c r="N486" s="42"/>
      <c r="O486" s="42"/>
      <c r="P486" s="9"/>
      <c r="Q486" s="9"/>
      <c r="R486" s="42"/>
      <c r="S486" s="42"/>
      <c r="T486" s="42"/>
      <c r="U486" s="42"/>
      <c r="V486" s="42"/>
      <c r="W486" s="42"/>
    </row>
    <row r="487">
      <c r="A487" s="9"/>
      <c r="B487" s="9"/>
      <c r="C487" s="9"/>
      <c r="D487" s="42"/>
      <c r="E487" s="103"/>
      <c r="F487" s="42"/>
      <c r="G487" s="9"/>
      <c r="H487" s="9"/>
      <c r="I487" s="9"/>
      <c r="J487" s="9"/>
      <c r="K487" s="42"/>
      <c r="L487" s="42"/>
      <c r="M487" s="42"/>
      <c r="N487" s="42"/>
      <c r="O487" s="42"/>
      <c r="P487" s="9"/>
      <c r="Q487" s="9"/>
      <c r="R487" s="42"/>
      <c r="S487" s="42"/>
      <c r="T487" s="42"/>
      <c r="U487" s="42"/>
      <c r="V487" s="42"/>
      <c r="W487" s="42"/>
    </row>
    <row r="488">
      <c r="A488" s="9"/>
      <c r="B488" s="9"/>
      <c r="C488" s="9"/>
      <c r="D488" s="42"/>
      <c r="E488" s="103"/>
      <c r="F488" s="42"/>
      <c r="G488" s="9"/>
      <c r="H488" s="9"/>
      <c r="I488" s="9"/>
      <c r="J488" s="9"/>
      <c r="K488" s="42"/>
      <c r="L488" s="42"/>
      <c r="M488" s="42"/>
      <c r="N488" s="42"/>
      <c r="O488" s="42"/>
      <c r="P488" s="9"/>
      <c r="Q488" s="9"/>
      <c r="R488" s="42"/>
      <c r="S488" s="42"/>
      <c r="T488" s="42"/>
      <c r="U488" s="42"/>
      <c r="V488" s="42"/>
      <c r="W488" s="42"/>
    </row>
    <row r="489">
      <c r="A489" s="9"/>
      <c r="B489" s="9"/>
      <c r="C489" s="9"/>
      <c r="D489" s="42"/>
      <c r="E489" s="103"/>
      <c r="F489" s="42"/>
      <c r="G489" s="9"/>
      <c r="H489" s="9"/>
      <c r="I489" s="9"/>
      <c r="J489" s="9"/>
      <c r="K489" s="42"/>
      <c r="L489" s="42"/>
      <c r="M489" s="42"/>
      <c r="N489" s="42"/>
      <c r="O489" s="42"/>
      <c r="P489" s="9"/>
      <c r="Q489" s="9"/>
      <c r="R489" s="42"/>
      <c r="S489" s="42"/>
      <c r="T489" s="42"/>
      <c r="U489" s="42"/>
      <c r="V489" s="42"/>
      <c r="W489" s="42"/>
    </row>
    <row r="490">
      <c r="A490" s="9"/>
      <c r="B490" s="9"/>
      <c r="C490" s="9"/>
      <c r="D490" s="42"/>
      <c r="E490" s="103"/>
      <c r="F490" s="42"/>
      <c r="G490" s="9"/>
      <c r="H490" s="9"/>
      <c r="I490" s="9"/>
      <c r="J490" s="9"/>
      <c r="K490" s="42"/>
      <c r="L490" s="42"/>
      <c r="M490" s="42"/>
      <c r="N490" s="42"/>
      <c r="O490" s="42"/>
      <c r="P490" s="9"/>
      <c r="Q490" s="9"/>
      <c r="R490" s="42"/>
      <c r="S490" s="42"/>
      <c r="T490" s="42"/>
      <c r="U490" s="42"/>
      <c r="V490" s="42"/>
      <c r="W490" s="42"/>
    </row>
    <row r="491">
      <c r="A491" s="9"/>
      <c r="B491" s="9"/>
      <c r="C491" s="9"/>
      <c r="D491" s="42"/>
      <c r="E491" s="103"/>
      <c r="F491" s="42"/>
      <c r="G491" s="9"/>
      <c r="H491" s="9"/>
      <c r="I491" s="9"/>
      <c r="J491" s="9"/>
      <c r="K491" s="42"/>
      <c r="L491" s="42"/>
      <c r="M491" s="42"/>
      <c r="N491" s="42"/>
      <c r="O491" s="42"/>
      <c r="P491" s="9"/>
      <c r="Q491" s="9"/>
      <c r="R491" s="42"/>
      <c r="S491" s="42"/>
      <c r="T491" s="42"/>
      <c r="U491" s="42"/>
      <c r="V491" s="42"/>
      <c r="W491" s="42"/>
    </row>
    <row r="492">
      <c r="A492" s="9"/>
      <c r="B492" s="9"/>
      <c r="C492" s="9"/>
      <c r="D492" s="42"/>
      <c r="E492" s="103"/>
      <c r="F492" s="42"/>
      <c r="G492" s="9"/>
      <c r="H492" s="9"/>
      <c r="I492" s="9"/>
      <c r="J492" s="9"/>
      <c r="K492" s="42"/>
      <c r="L492" s="42"/>
      <c r="M492" s="42"/>
      <c r="N492" s="42"/>
      <c r="O492" s="42"/>
      <c r="P492" s="9"/>
      <c r="Q492" s="9"/>
      <c r="R492" s="42"/>
      <c r="S492" s="42"/>
      <c r="T492" s="42"/>
      <c r="U492" s="42"/>
      <c r="V492" s="42"/>
      <c r="W492" s="42"/>
    </row>
    <row r="493">
      <c r="A493" s="9"/>
      <c r="B493" s="9"/>
      <c r="C493" s="9"/>
      <c r="D493" s="42"/>
      <c r="E493" s="103"/>
      <c r="F493" s="42"/>
      <c r="G493" s="9"/>
      <c r="H493" s="9"/>
      <c r="I493" s="9"/>
      <c r="J493" s="9"/>
      <c r="K493" s="42"/>
      <c r="L493" s="42"/>
      <c r="M493" s="42"/>
      <c r="N493" s="42"/>
      <c r="O493" s="42"/>
      <c r="P493" s="9"/>
      <c r="Q493" s="9"/>
      <c r="R493" s="42"/>
      <c r="S493" s="42"/>
      <c r="T493" s="42"/>
      <c r="U493" s="42"/>
      <c r="V493" s="42"/>
      <c r="W493" s="42"/>
    </row>
    <row r="494">
      <c r="A494" s="9"/>
      <c r="B494" s="9"/>
      <c r="C494" s="9"/>
      <c r="D494" s="42"/>
      <c r="E494" s="103"/>
      <c r="F494" s="42"/>
      <c r="G494" s="9"/>
      <c r="H494" s="9"/>
      <c r="I494" s="9"/>
      <c r="J494" s="9"/>
      <c r="K494" s="42"/>
      <c r="L494" s="42"/>
      <c r="M494" s="42"/>
      <c r="N494" s="42"/>
      <c r="O494" s="42"/>
      <c r="P494" s="9"/>
      <c r="Q494" s="9"/>
      <c r="R494" s="42"/>
      <c r="S494" s="42"/>
      <c r="T494" s="42"/>
      <c r="U494" s="42"/>
      <c r="V494" s="42"/>
      <c r="W494" s="42"/>
    </row>
    <row r="495">
      <c r="A495" s="9"/>
      <c r="B495" s="9"/>
      <c r="C495" s="9"/>
      <c r="D495" s="42"/>
      <c r="E495" s="103"/>
      <c r="F495" s="42"/>
      <c r="G495" s="9"/>
      <c r="H495" s="9"/>
      <c r="I495" s="9"/>
      <c r="J495" s="9"/>
      <c r="K495" s="42"/>
      <c r="L495" s="42"/>
      <c r="M495" s="42"/>
      <c r="N495" s="42"/>
      <c r="O495" s="42"/>
      <c r="P495" s="9"/>
      <c r="Q495" s="9"/>
      <c r="R495" s="42"/>
      <c r="S495" s="42"/>
      <c r="T495" s="42"/>
      <c r="U495" s="42"/>
      <c r="V495" s="42"/>
      <c r="W495" s="42"/>
    </row>
    <row r="496">
      <c r="A496" s="9"/>
      <c r="B496" s="9"/>
      <c r="C496" s="9"/>
      <c r="D496" s="42"/>
      <c r="E496" s="103"/>
      <c r="F496" s="42"/>
      <c r="G496" s="9"/>
      <c r="H496" s="9"/>
      <c r="I496" s="9"/>
      <c r="J496" s="9"/>
      <c r="K496" s="42"/>
      <c r="L496" s="42"/>
      <c r="M496" s="42"/>
      <c r="N496" s="42"/>
      <c r="O496" s="42"/>
      <c r="P496" s="9"/>
      <c r="Q496" s="9"/>
      <c r="R496" s="42"/>
      <c r="S496" s="42"/>
      <c r="T496" s="42"/>
      <c r="U496" s="42"/>
      <c r="V496" s="42"/>
      <c r="W496" s="42"/>
    </row>
    <row r="497">
      <c r="A497" s="9"/>
      <c r="B497" s="9"/>
      <c r="C497" s="9"/>
      <c r="D497" s="42"/>
      <c r="E497" s="103"/>
      <c r="F497" s="42"/>
      <c r="G497" s="9"/>
      <c r="H497" s="9"/>
      <c r="I497" s="9"/>
      <c r="J497" s="9"/>
      <c r="K497" s="42"/>
      <c r="L497" s="42"/>
      <c r="M497" s="42"/>
      <c r="N497" s="42"/>
      <c r="O497" s="42"/>
      <c r="P497" s="9"/>
      <c r="Q497" s="9"/>
      <c r="R497" s="42"/>
      <c r="S497" s="42"/>
      <c r="T497" s="42"/>
      <c r="U497" s="42"/>
      <c r="V497" s="42"/>
      <c r="W497" s="42"/>
    </row>
    <row r="498">
      <c r="A498" s="9"/>
      <c r="B498" s="9"/>
      <c r="C498" s="9"/>
      <c r="D498" s="42"/>
      <c r="E498" s="103"/>
      <c r="F498" s="42"/>
      <c r="G498" s="9"/>
      <c r="H498" s="9"/>
      <c r="I498" s="9"/>
      <c r="J498" s="9"/>
      <c r="K498" s="42"/>
      <c r="L498" s="42"/>
      <c r="M498" s="42"/>
      <c r="N498" s="42"/>
      <c r="O498" s="42"/>
      <c r="P498" s="9"/>
      <c r="Q498" s="9"/>
      <c r="R498" s="42"/>
      <c r="S498" s="42"/>
      <c r="T498" s="42"/>
      <c r="U498" s="42"/>
      <c r="V498" s="42"/>
      <c r="W498" s="42"/>
    </row>
    <row r="499">
      <c r="A499" s="9"/>
      <c r="B499" s="9"/>
      <c r="C499" s="9"/>
      <c r="D499" s="42"/>
      <c r="E499" s="103"/>
      <c r="F499" s="42"/>
      <c r="G499" s="9"/>
      <c r="H499" s="9"/>
      <c r="I499" s="9"/>
      <c r="J499" s="9"/>
      <c r="K499" s="42"/>
      <c r="L499" s="42"/>
      <c r="M499" s="42"/>
      <c r="N499" s="42"/>
      <c r="O499" s="42"/>
      <c r="P499" s="9"/>
      <c r="Q499" s="9"/>
      <c r="R499" s="42"/>
      <c r="S499" s="42"/>
      <c r="T499" s="42"/>
      <c r="U499" s="42"/>
      <c r="V499" s="42"/>
      <c r="W499" s="42"/>
    </row>
    <row r="500">
      <c r="A500" s="9"/>
      <c r="B500" s="9"/>
      <c r="C500" s="9"/>
      <c r="D500" s="42"/>
      <c r="E500" s="103"/>
      <c r="F500" s="42"/>
      <c r="G500" s="9"/>
      <c r="H500" s="9"/>
      <c r="I500" s="9"/>
      <c r="J500" s="9"/>
      <c r="K500" s="42"/>
      <c r="L500" s="42"/>
      <c r="M500" s="42"/>
      <c r="N500" s="42"/>
      <c r="O500" s="42"/>
      <c r="P500" s="9"/>
      <c r="Q500" s="9"/>
      <c r="R500" s="42"/>
      <c r="S500" s="42"/>
      <c r="T500" s="42"/>
      <c r="U500" s="42"/>
      <c r="V500" s="42"/>
      <c r="W500" s="42"/>
    </row>
    <row r="501">
      <c r="A501" s="9"/>
      <c r="B501" s="9"/>
      <c r="C501" s="9"/>
      <c r="D501" s="42"/>
      <c r="E501" s="103"/>
      <c r="F501" s="42"/>
      <c r="G501" s="9"/>
      <c r="H501" s="9"/>
      <c r="I501" s="9"/>
      <c r="J501" s="9"/>
      <c r="K501" s="42"/>
      <c r="L501" s="42"/>
      <c r="M501" s="42"/>
      <c r="N501" s="42"/>
      <c r="O501" s="42"/>
      <c r="P501" s="9"/>
      <c r="Q501" s="9"/>
      <c r="R501" s="42"/>
      <c r="S501" s="42"/>
      <c r="T501" s="42"/>
      <c r="U501" s="42"/>
      <c r="V501" s="42"/>
      <c r="W501" s="42"/>
    </row>
    <row r="502">
      <c r="A502" s="9"/>
      <c r="B502" s="9"/>
      <c r="C502" s="9"/>
      <c r="D502" s="42"/>
      <c r="E502" s="103"/>
      <c r="F502" s="42"/>
      <c r="G502" s="9"/>
      <c r="H502" s="9"/>
      <c r="I502" s="9"/>
      <c r="J502" s="9"/>
      <c r="K502" s="42"/>
      <c r="L502" s="42"/>
      <c r="M502" s="42"/>
      <c r="N502" s="42"/>
      <c r="O502" s="42"/>
      <c r="P502" s="9"/>
      <c r="Q502" s="9"/>
      <c r="R502" s="42"/>
      <c r="S502" s="42"/>
      <c r="T502" s="42"/>
      <c r="U502" s="42"/>
      <c r="V502" s="42"/>
      <c r="W502" s="42"/>
    </row>
    <row r="503">
      <c r="A503" s="9"/>
      <c r="B503" s="9"/>
      <c r="C503" s="9"/>
      <c r="D503" s="42"/>
      <c r="E503" s="103"/>
      <c r="F503" s="42"/>
      <c r="G503" s="9"/>
      <c r="H503" s="9"/>
      <c r="I503" s="9"/>
      <c r="J503" s="9"/>
      <c r="K503" s="42"/>
      <c r="L503" s="42"/>
      <c r="M503" s="42"/>
      <c r="N503" s="42"/>
      <c r="O503" s="42"/>
      <c r="P503" s="9"/>
      <c r="Q503" s="9"/>
      <c r="R503" s="42"/>
      <c r="S503" s="42"/>
      <c r="T503" s="42"/>
      <c r="U503" s="42"/>
      <c r="V503" s="42"/>
      <c r="W503" s="42"/>
    </row>
    <row r="504">
      <c r="A504" s="9"/>
      <c r="B504" s="9"/>
      <c r="C504" s="9"/>
      <c r="D504" s="42"/>
      <c r="E504" s="103"/>
      <c r="F504" s="42"/>
      <c r="G504" s="9"/>
      <c r="H504" s="9"/>
      <c r="I504" s="9"/>
      <c r="J504" s="9"/>
      <c r="K504" s="42"/>
      <c r="L504" s="42"/>
      <c r="M504" s="42"/>
      <c r="N504" s="42"/>
      <c r="O504" s="42"/>
      <c r="P504" s="9"/>
      <c r="Q504" s="9"/>
      <c r="R504" s="42"/>
      <c r="S504" s="42"/>
      <c r="T504" s="42"/>
      <c r="U504" s="42"/>
      <c r="V504" s="42"/>
      <c r="W504" s="42"/>
    </row>
    <row r="505">
      <c r="A505" s="9"/>
      <c r="B505" s="9"/>
      <c r="C505" s="9"/>
      <c r="D505" s="42"/>
      <c r="E505" s="103"/>
      <c r="F505" s="42"/>
      <c r="G505" s="9"/>
      <c r="H505" s="9"/>
      <c r="I505" s="9"/>
      <c r="J505" s="9"/>
      <c r="K505" s="42"/>
      <c r="L505" s="42"/>
      <c r="M505" s="42"/>
      <c r="N505" s="42"/>
      <c r="O505" s="42"/>
      <c r="P505" s="9"/>
      <c r="Q505" s="9"/>
      <c r="R505" s="42"/>
      <c r="S505" s="42"/>
      <c r="T505" s="42"/>
      <c r="U505" s="42"/>
      <c r="V505" s="42"/>
      <c r="W505" s="42"/>
    </row>
    <row r="506">
      <c r="A506" s="9"/>
      <c r="B506" s="9"/>
      <c r="C506" s="9"/>
      <c r="D506" s="42"/>
      <c r="E506" s="103"/>
      <c r="F506" s="42"/>
      <c r="G506" s="9"/>
      <c r="H506" s="9"/>
      <c r="I506" s="9"/>
      <c r="J506" s="9"/>
      <c r="K506" s="42"/>
      <c r="L506" s="42"/>
      <c r="M506" s="42"/>
      <c r="N506" s="42"/>
      <c r="O506" s="42"/>
      <c r="P506" s="9"/>
      <c r="Q506" s="9"/>
      <c r="R506" s="42"/>
      <c r="S506" s="42"/>
      <c r="T506" s="42"/>
      <c r="U506" s="42"/>
      <c r="V506" s="42"/>
      <c r="W506" s="42"/>
    </row>
    <row r="507">
      <c r="A507" s="9"/>
      <c r="B507" s="9"/>
      <c r="C507" s="9"/>
      <c r="D507" s="42"/>
      <c r="E507" s="103"/>
      <c r="F507" s="42"/>
      <c r="G507" s="9"/>
      <c r="H507" s="9"/>
      <c r="I507" s="9"/>
      <c r="J507" s="9"/>
      <c r="K507" s="42"/>
      <c r="L507" s="42"/>
      <c r="M507" s="42"/>
      <c r="N507" s="42"/>
      <c r="O507" s="42"/>
      <c r="P507" s="9"/>
      <c r="Q507" s="9"/>
      <c r="R507" s="42"/>
      <c r="S507" s="42"/>
      <c r="T507" s="42"/>
      <c r="U507" s="42"/>
      <c r="V507" s="42"/>
      <c r="W507" s="42"/>
    </row>
    <row r="508">
      <c r="A508" s="9"/>
      <c r="B508" s="9"/>
      <c r="C508" s="9"/>
      <c r="D508" s="42"/>
      <c r="E508" s="103"/>
      <c r="F508" s="42"/>
      <c r="G508" s="9"/>
      <c r="H508" s="9"/>
      <c r="I508" s="9"/>
      <c r="J508" s="9"/>
      <c r="K508" s="42"/>
      <c r="L508" s="42"/>
      <c r="M508" s="42"/>
      <c r="N508" s="42"/>
      <c r="O508" s="42"/>
      <c r="P508" s="9"/>
      <c r="Q508" s="9"/>
      <c r="R508" s="42"/>
      <c r="S508" s="42"/>
      <c r="T508" s="42"/>
      <c r="U508" s="42"/>
      <c r="V508" s="42"/>
      <c r="W508" s="42"/>
    </row>
    <row r="509">
      <c r="A509" s="9"/>
      <c r="B509" s="9"/>
      <c r="C509" s="9"/>
      <c r="D509" s="42"/>
      <c r="E509" s="103"/>
      <c r="F509" s="42"/>
      <c r="G509" s="9"/>
      <c r="H509" s="9"/>
      <c r="I509" s="9"/>
      <c r="J509" s="9"/>
      <c r="K509" s="42"/>
      <c r="L509" s="42"/>
      <c r="M509" s="42"/>
      <c r="N509" s="42"/>
      <c r="O509" s="42"/>
      <c r="P509" s="9"/>
      <c r="Q509" s="9"/>
      <c r="R509" s="42"/>
      <c r="S509" s="42"/>
      <c r="T509" s="42"/>
      <c r="U509" s="42"/>
      <c r="V509" s="42"/>
      <c r="W509" s="42"/>
    </row>
    <row r="510">
      <c r="A510" s="9"/>
      <c r="B510" s="9"/>
      <c r="C510" s="9"/>
      <c r="D510" s="42"/>
      <c r="E510" s="103"/>
      <c r="F510" s="42"/>
      <c r="G510" s="9"/>
      <c r="H510" s="9"/>
      <c r="I510" s="9"/>
      <c r="J510" s="9"/>
      <c r="K510" s="42"/>
      <c r="L510" s="42"/>
      <c r="M510" s="42"/>
      <c r="N510" s="42"/>
      <c r="O510" s="42"/>
      <c r="P510" s="9"/>
      <c r="Q510" s="9"/>
      <c r="R510" s="42"/>
      <c r="S510" s="42"/>
      <c r="T510" s="42"/>
      <c r="U510" s="42"/>
      <c r="V510" s="42"/>
      <c r="W510" s="42"/>
    </row>
    <row r="511">
      <c r="A511" s="9"/>
      <c r="B511" s="9"/>
      <c r="C511" s="9"/>
      <c r="D511" s="42"/>
      <c r="E511" s="103"/>
      <c r="F511" s="42"/>
      <c r="G511" s="9"/>
      <c r="H511" s="9"/>
      <c r="I511" s="9"/>
      <c r="J511" s="9"/>
      <c r="K511" s="42"/>
      <c r="L511" s="42"/>
      <c r="M511" s="42"/>
      <c r="N511" s="42"/>
      <c r="O511" s="42"/>
      <c r="P511" s="9"/>
      <c r="Q511" s="9"/>
      <c r="R511" s="42"/>
      <c r="S511" s="42"/>
      <c r="T511" s="42"/>
      <c r="U511" s="42"/>
      <c r="V511" s="42"/>
      <c r="W511" s="42"/>
    </row>
    <row r="512">
      <c r="A512" s="9"/>
      <c r="B512" s="9"/>
      <c r="C512" s="9"/>
      <c r="D512" s="42"/>
      <c r="E512" s="103"/>
      <c r="F512" s="42"/>
      <c r="G512" s="9"/>
      <c r="H512" s="9"/>
      <c r="I512" s="9"/>
      <c r="J512" s="9"/>
      <c r="K512" s="42"/>
      <c r="L512" s="42"/>
      <c r="M512" s="42"/>
      <c r="N512" s="42"/>
      <c r="O512" s="42"/>
      <c r="P512" s="9"/>
      <c r="Q512" s="9"/>
      <c r="R512" s="42"/>
      <c r="S512" s="42"/>
      <c r="T512" s="42"/>
      <c r="U512" s="42"/>
      <c r="V512" s="42"/>
      <c r="W512" s="42"/>
    </row>
    <row r="513">
      <c r="A513" s="9"/>
      <c r="B513" s="9"/>
      <c r="C513" s="9"/>
      <c r="D513" s="42"/>
      <c r="E513" s="103"/>
      <c r="F513" s="42"/>
      <c r="G513" s="9"/>
      <c r="H513" s="9"/>
      <c r="I513" s="9"/>
      <c r="J513" s="9"/>
      <c r="K513" s="42"/>
      <c r="L513" s="42"/>
      <c r="M513" s="42"/>
      <c r="N513" s="42"/>
      <c r="O513" s="42"/>
      <c r="P513" s="9"/>
      <c r="Q513" s="9"/>
      <c r="R513" s="42"/>
      <c r="S513" s="42"/>
      <c r="T513" s="42"/>
      <c r="U513" s="42"/>
      <c r="V513" s="42"/>
      <c r="W513" s="42"/>
    </row>
    <row r="514">
      <c r="A514" s="9"/>
      <c r="B514" s="9"/>
      <c r="C514" s="9"/>
      <c r="D514" s="42"/>
      <c r="E514" s="103"/>
      <c r="F514" s="42"/>
      <c r="G514" s="9"/>
      <c r="H514" s="9"/>
      <c r="I514" s="9"/>
      <c r="J514" s="9"/>
      <c r="K514" s="42"/>
      <c r="L514" s="42"/>
      <c r="M514" s="42"/>
      <c r="N514" s="42"/>
      <c r="O514" s="42"/>
      <c r="P514" s="9"/>
      <c r="Q514" s="9"/>
      <c r="R514" s="42"/>
      <c r="S514" s="42"/>
      <c r="T514" s="42"/>
      <c r="U514" s="42"/>
      <c r="V514" s="42"/>
      <c r="W514" s="42"/>
    </row>
    <row r="515">
      <c r="A515" s="9"/>
      <c r="B515" s="9"/>
      <c r="C515" s="9"/>
      <c r="D515" s="42"/>
      <c r="E515" s="103"/>
      <c r="F515" s="42"/>
      <c r="G515" s="9"/>
      <c r="H515" s="9"/>
      <c r="I515" s="9"/>
      <c r="J515" s="9"/>
      <c r="K515" s="42"/>
      <c r="L515" s="42"/>
      <c r="M515" s="42"/>
      <c r="N515" s="42"/>
      <c r="O515" s="42"/>
      <c r="P515" s="9"/>
      <c r="Q515" s="9"/>
      <c r="R515" s="42"/>
      <c r="S515" s="42"/>
      <c r="T515" s="42"/>
      <c r="U515" s="42"/>
      <c r="V515" s="42"/>
      <c r="W515" s="42"/>
    </row>
    <row r="516">
      <c r="A516" s="9"/>
      <c r="B516" s="9"/>
      <c r="C516" s="9"/>
      <c r="D516" s="42"/>
      <c r="E516" s="103"/>
      <c r="F516" s="42"/>
      <c r="G516" s="9"/>
      <c r="H516" s="9"/>
      <c r="I516" s="9"/>
      <c r="J516" s="9"/>
      <c r="K516" s="42"/>
      <c r="L516" s="42"/>
      <c r="M516" s="42"/>
      <c r="N516" s="42"/>
      <c r="O516" s="42"/>
      <c r="P516" s="9"/>
      <c r="Q516" s="9"/>
      <c r="R516" s="42"/>
      <c r="S516" s="42"/>
      <c r="T516" s="42"/>
      <c r="U516" s="42"/>
      <c r="V516" s="42"/>
      <c r="W516" s="42"/>
    </row>
    <row r="517">
      <c r="A517" s="9"/>
      <c r="B517" s="9"/>
      <c r="C517" s="9"/>
      <c r="D517" s="42"/>
      <c r="E517" s="103"/>
      <c r="F517" s="42"/>
      <c r="G517" s="9"/>
      <c r="H517" s="9"/>
      <c r="I517" s="9"/>
      <c r="J517" s="9"/>
      <c r="K517" s="42"/>
      <c r="L517" s="42"/>
      <c r="M517" s="42"/>
      <c r="N517" s="42"/>
      <c r="O517" s="42"/>
      <c r="P517" s="9"/>
      <c r="Q517" s="9"/>
      <c r="R517" s="42"/>
      <c r="S517" s="42"/>
      <c r="T517" s="42"/>
      <c r="U517" s="42"/>
      <c r="V517" s="42"/>
      <c r="W517" s="42"/>
    </row>
    <row r="518">
      <c r="A518" s="9"/>
      <c r="B518" s="9"/>
      <c r="C518" s="9"/>
      <c r="D518" s="42"/>
      <c r="E518" s="103"/>
      <c r="F518" s="42"/>
      <c r="G518" s="9"/>
      <c r="H518" s="9"/>
      <c r="I518" s="9"/>
      <c r="J518" s="9"/>
      <c r="K518" s="42"/>
      <c r="L518" s="42"/>
      <c r="M518" s="42"/>
      <c r="N518" s="42"/>
      <c r="O518" s="42"/>
      <c r="P518" s="9"/>
      <c r="Q518" s="9"/>
      <c r="R518" s="42"/>
      <c r="S518" s="42"/>
      <c r="T518" s="42"/>
      <c r="U518" s="42"/>
      <c r="V518" s="42"/>
      <c r="W518" s="42"/>
    </row>
    <row r="519">
      <c r="A519" s="9"/>
      <c r="B519" s="9"/>
      <c r="C519" s="9"/>
      <c r="D519" s="42"/>
      <c r="E519" s="103"/>
      <c r="F519" s="42"/>
      <c r="G519" s="9"/>
      <c r="H519" s="9"/>
      <c r="I519" s="9"/>
      <c r="J519" s="9"/>
      <c r="K519" s="42"/>
      <c r="L519" s="42"/>
      <c r="M519" s="42"/>
      <c r="N519" s="42"/>
      <c r="O519" s="42"/>
      <c r="P519" s="9"/>
      <c r="Q519" s="9"/>
      <c r="R519" s="42"/>
      <c r="S519" s="42"/>
      <c r="T519" s="42"/>
      <c r="U519" s="42"/>
      <c r="V519" s="42"/>
      <c r="W519" s="42"/>
    </row>
    <row r="520">
      <c r="A520" s="9"/>
      <c r="B520" s="9"/>
      <c r="C520" s="9"/>
      <c r="D520" s="42"/>
      <c r="E520" s="103"/>
      <c r="F520" s="42"/>
      <c r="G520" s="9"/>
      <c r="H520" s="9"/>
      <c r="I520" s="9"/>
      <c r="J520" s="9"/>
      <c r="K520" s="42"/>
      <c r="L520" s="42"/>
      <c r="M520" s="42"/>
      <c r="N520" s="42"/>
      <c r="O520" s="42"/>
      <c r="P520" s="9"/>
      <c r="Q520" s="9"/>
      <c r="R520" s="42"/>
      <c r="S520" s="42"/>
      <c r="T520" s="42"/>
      <c r="U520" s="42"/>
      <c r="V520" s="42"/>
      <c r="W520" s="42"/>
    </row>
    <row r="521">
      <c r="A521" s="9"/>
      <c r="B521" s="9"/>
      <c r="C521" s="9"/>
      <c r="D521" s="42"/>
      <c r="E521" s="103"/>
      <c r="F521" s="42"/>
      <c r="G521" s="9"/>
      <c r="H521" s="9"/>
      <c r="I521" s="9"/>
      <c r="J521" s="9"/>
      <c r="K521" s="42"/>
      <c r="L521" s="42"/>
      <c r="M521" s="42"/>
      <c r="N521" s="42"/>
      <c r="O521" s="42"/>
      <c r="P521" s="9"/>
      <c r="Q521" s="9"/>
      <c r="R521" s="42"/>
      <c r="S521" s="42"/>
      <c r="T521" s="42"/>
      <c r="U521" s="42"/>
      <c r="V521" s="42"/>
      <c r="W521" s="42"/>
    </row>
    <row r="522">
      <c r="A522" s="9"/>
      <c r="B522" s="9"/>
      <c r="C522" s="9"/>
      <c r="D522" s="42"/>
      <c r="E522" s="103"/>
      <c r="F522" s="42"/>
      <c r="G522" s="9"/>
      <c r="H522" s="9"/>
      <c r="I522" s="9"/>
      <c r="J522" s="9"/>
      <c r="K522" s="42"/>
      <c r="L522" s="42"/>
      <c r="M522" s="42"/>
      <c r="N522" s="42"/>
      <c r="O522" s="42"/>
      <c r="P522" s="9"/>
      <c r="Q522" s="9"/>
      <c r="R522" s="42"/>
      <c r="S522" s="42"/>
      <c r="T522" s="42"/>
      <c r="U522" s="42"/>
      <c r="V522" s="42"/>
      <c r="W522" s="42"/>
    </row>
    <row r="523">
      <c r="A523" s="9"/>
      <c r="B523" s="9"/>
      <c r="C523" s="9"/>
      <c r="D523" s="42"/>
      <c r="E523" s="103"/>
      <c r="F523" s="42"/>
      <c r="G523" s="9"/>
      <c r="H523" s="9"/>
      <c r="I523" s="9"/>
      <c r="J523" s="9"/>
      <c r="K523" s="42"/>
      <c r="L523" s="42"/>
      <c r="M523" s="42"/>
      <c r="N523" s="42"/>
      <c r="O523" s="42"/>
      <c r="P523" s="9"/>
      <c r="Q523" s="9"/>
      <c r="R523" s="42"/>
      <c r="S523" s="42"/>
      <c r="T523" s="42"/>
      <c r="U523" s="42"/>
      <c r="V523" s="42"/>
      <c r="W523" s="42"/>
    </row>
    <row r="524">
      <c r="A524" s="9"/>
      <c r="B524" s="9"/>
      <c r="C524" s="9"/>
      <c r="D524" s="42"/>
      <c r="E524" s="103"/>
      <c r="F524" s="42"/>
      <c r="G524" s="9"/>
      <c r="H524" s="9"/>
      <c r="I524" s="9"/>
      <c r="J524" s="9"/>
      <c r="K524" s="42"/>
      <c r="L524" s="42"/>
      <c r="M524" s="42"/>
      <c r="N524" s="42"/>
      <c r="O524" s="42"/>
      <c r="P524" s="9"/>
      <c r="Q524" s="9"/>
      <c r="R524" s="42"/>
      <c r="S524" s="42"/>
      <c r="T524" s="42"/>
      <c r="U524" s="42"/>
      <c r="V524" s="42"/>
      <c r="W524" s="42"/>
    </row>
    <row r="525">
      <c r="A525" s="9"/>
      <c r="B525" s="9"/>
      <c r="C525" s="9"/>
      <c r="D525" s="42"/>
      <c r="E525" s="103"/>
      <c r="F525" s="42"/>
      <c r="G525" s="9"/>
      <c r="H525" s="9"/>
      <c r="I525" s="9"/>
      <c r="J525" s="9"/>
      <c r="K525" s="42"/>
      <c r="L525" s="42"/>
      <c r="M525" s="42"/>
      <c r="N525" s="42"/>
      <c r="O525" s="42"/>
      <c r="P525" s="9"/>
      <c r="Q525" s="9"/>
      <c r="R525" s="42"/>
      <c r="S525" s="42"/>
      <c r="T525" s="42"/>
      <c r="U525" s="42"/>
      <c r="V525" s="42"/>
      <c r="W525" s="42"/>
    </row>
    <row r="526">
      <c r="A526" s="9"/>
      <c r="B526" s="9"/>
      <c r="C526" s="9"/>
      <c r="D526" s="42"/>
      <c r="E526" s="103"/>
      <c r="F526" s="42"/>
      <c r="G526" s="9"/>
      <c r="H526" s="9"/>
      <c r="I526" s="9"/>
      <c r="J526" s="9"/>
      <c r="K526" s="42"/>
      <c r="L526" s="42"/>
      <c r="M526" s="42"/>
      <c r="N526" s="42"/>
      <c r="O526" s="42"/>
      <c r="P526" s="9"/>
      <c r="Q526" s="9"/>
      <c r="R526" s="42"/>
      <c r="S526" s="42"/>
      <c r="T526" s="42"/>
      <c r="U526" s="42"/>
      <c r="V526" s="42"/>
      <c r="W526" s="42"/>
    </row>
    <row r="527">
      <c r="A527" s="9"/>
      <c r="B527" s="9"/>
      <c r="C527" s="9"/>
      <c r="D527" s="42"/>
      <c r="E527" s="103"/>
      <c r="F527" s="42"/>
      <c r="G527" s="9"/>
      <c r="H527" s="9"/>
      <c r="I527" s="9"/>
      <c r="J527" s="9"/>
      <c r="K527" s="42"/>
      <c r="L527" s="42"/>
      <c r="M527" s="42"/>
      <c r="N527" s="42"/>
      <c r="O527" s="42"/>
      <c r="P527" s="9"/>
      <c r="Q527" s="9"/>
      <c r="R527" s="42"/>
      <c r="S527" s="42"/>
      <c r="T527" s="42"/>
      <c r="U527" s="42"/>
      <c r="V527" s="42"/>
      <c r="W527" s="42"/>
    </row>
    <row r="528">
      <c r="A528" s="9"/>
      <c r="B528" s="9"/>
      <c r="C528" s="9"/>
      <c r="D528" s="42"/>
      <c r="E528" s="103"/>
      <c r="F528" s="42"/>
      <c r="G528" s="9"/>
      <c r="H528" s="9"/>
      <c r="I528" s="9"/>
      <c r="J528" s="9"/>
      <c r="K528" s="42"/>
      <c r="L528" s="42"/>
      <c r="M528" s="42"/>
      <c r="N528" s="42"/>
      <c r="O528" s="42"/>
      <c r="P528" s="9"/>
      <c r="Q528" s="9"/>
      <c r="R528" s="42"/>
      <c r="S528" s="42"/>
      <c r="T528" s="42"/>
      <c r="U528" s="42"/>
      <c r="V528" s="42"/>
      <c r="W528" s="42"/>
    </row>
    <row r="529">
      <c r="A529" s="9"/>
      <c r="B529" s="9"/>
      <c r="C529" s="9"/>
      <c r="D529" s="42"/>
      <c r="E529" s="103"/>
      <c r="F529" s="42"/>
      <c r="G529" s="9"/>
      <c r="H529" s="9"/>
      <c r="I529" s="9"/>
      <c r="J529" s="9"/>
      <c r="K529" s="42"/>
      <c r="L529" s="42"/>
      <c r="M529" s="42"/>
      <c r="N529" s="42"/>
      <c r="O529" s="42"/>
      <c r="P529" s="9"/>
      <c r="Q529" s="9"/>
      <c r="R529" s="42"/>
      <c r="S529" s="42"/>
      <c r="T529" s="42"/>
      <c r="U529" s="42"/>
      <c r="V529" s="42"/>
      <c r="W529" s="42"/>
    </row>
    <row r="530">
      <c r="A530" s="9"/>
      <c r="B530" s="9"/>
      <c r="C530" s="9"/>
      <c r="D530" s="42"/>
      <c r="E530" s="103"/>
      <c r="F530" s="42"/>
      <c r="G530" s="9"/>
      <c r="H530" s="9"/>
      <c r="I530" s="9"/>
      <c r="J530" s="9"/>
      <c r="K530" s="42"/>
      <c r="L530" s="42"/>
      <c r="M530" s="42"/>
      <c r="N530" s="42"/>
      <c r="O530" s="42"/>
      <c r="P530" s="9"/>
      <c r="Q530" s="9"/>
      <c r="R530" s="42"/>
      <c r="S530" s="42"/>
      <c r="T530" s="42"/>
      <c r="U530" s="42"/>
      <c r="V530" s="42"/>
      <c r="W530" s="42"/>
    </row>
    <row r="531">
      <c r="A531" s="9"/>
      <c r="B531" s="9"/>
      <c r="C531" s="9"/>
      <c r="D531" s="42"/>
      <c r="E531" s="103"/>
      <c r="F531" s="42"/>
      <c r="G531" s="9"/>
      <c r="H531" s="9"/>
      <c r="I531" s="9"/>
      <c r="J531" s="9"/>
      <c r="K531" s="42"/>
      <c r="L531" s="42"/>
      <c r="M531" s="42"/>
      <c r="N531" s="42"/>
      <c r="O531" s="42"/>
      <c r="P531" s="9"/>
      <c r="Q531" s="9"/>
      <c r="R531" s="42"/>
      <c r="S531" s="42"/>
      <c r="T531" s="42"/>
      <c r="U531" s="42"/>
      <c r="V531" s="42"/>
      <c r="W531" s="42"/>
    </row>
    <row r="532">
      <c r="A532" s="9"/>
      <c r="B532" s="9"/>
      <c r="C532" s="9"/>
      <c r="D532" s="42"/>
      <c r="E532" s="103"/>
      <c r="F532" s="42"/>
      <c r="G532" s="9"/>
      <c r="H532" s="9"/>
      <c r="I532" s="9"/>
      <c r="J532" s="9"/>
      <c r="K532" s="42"/>
      <c r="L532" s="42"/>
      <c r="M532" s="42"/>
      <c r="N532" s="42"/>
      <c r="O532" s="42"/>
      <c r="P532" s="9"/>
      <c r="Q532" s="9"/>
      <c r="R532" s="42"/>
      <c r="S532" s="42"/>
      <c r="T532" s="42"/>
      <c r="U532" s="42"/>
      <c r="V532" s="42"/>
      <c r="W532" s="42"/>
    </row>
    <row r="533">
      <c r="A533" s="9"/>
      <c r="B533" s="9"/>
      <c r="C533" s="9"/>
      <c r="D533" s="42"/>
      <c r="E533" s="103"/>
      <c r="F533" s="42"/>
      <c r="G533" s="9"/>
      <c r="H533" s="9"/>
      <c r="I533" s="9"/>
      <c r="J533" s="9"/>
      <c r="K533" s="42"/>
      <c r="L533" s="42"/>
      <c r="M533" s="42"/>
      <c r="N533" s="42"/>
      <c r="O533" s="42"/>
      <c r="P533" s="9"/>
      <c r="Q533" s="9"/>
      <c r="R533" s="42"/>
      <c r="S533" s="42"/>
      <c r="T533" s="42"/>
      <c r="U533" s="42"/>
      <c r="V533" s="42"/>
      <c r="W533" s="42"/>
    </row>
    <row r="534">
      <c r="A534" s="9"/>
      <c r="B534" s="9"/>
      <c r="C534" s="9"/>
      <c r="D534" s="42"/>
      <c r="E534" s="103"/>
      <c r="F534" s="42"/>
      <c r="G534" s="9"/>
      <c r="H534" s="9"/>
      <c r="I534" s="9"/>
      <c r="J534" s="9"/>
      <c r="K534" s="42"/>
      <c r="L534" s="42"/>
      <c r="M534" s="42"/>
      <c r="N534" s="42"/>
      <c r="O534" s="42"/>
      <c r="P534" s="9"/>
      <c r="Q534" s="9"/>
      <c r="R534" s="42"/>
      <c r="S534" s="42"/>
      <c r="T534" s="42"/>
      <c r="U534" s="42"/>
      <c r="V534" s="42"/>
      <c r="W534" s="42"/>
    </row>
    <row r="535">
      <c r="A535" s="9"/>
      <c r="B535" s="9"/>
      <c r="C535" s="9"/>
      <c r="D535" s="42"/>
      <c r="E535" s="103"/>
      <c r="F535" s="42"/>
      <c r="G535" s="9"/>
      <c r="H535" s="9"/>
      <c r="I535" s="9"/>
      <c r="J535" s="9"/>
      <c r="K535" s="42"/>
      <c r="L535" s="42"/>
      <c r="M535" s="42"/>
      <c r="N535" s="42"/>
      <c r="O535" s="42"/>
      <c r="P535" s="9"/>
      <c r="Q535" s="9"/>
      <c r="R535" s="42"/>
      <c r="S535" s="42"/>
      <c r="T535" s="42"/>
      <c r="U535" s="42"/>
      <c r="V535" s="42"/>
      <c r="W535" s="42"/>
    </row>
    <row r="536">
      <c r="A536" s="9"/>
      <c r="B536" s="9"/>
      <c r="C536" s="9"/>
      <c r="D536" s="42"/>
      <c r="E536" s="103"/>
      <c r="F536" s="42"/>
      <c r="G536" s="9"/>
      <c r="H536" s="9"/>
      <c r="I536" s="9"/>
      <c r="J536" s="9"/>
      <c r="K536" s="42"/>
      <c r="L536" s="42"/>
      <c r="M536" s="42"/>
      <c r="N536" s="42"/>
      <c r="O536" s="42"/>
      <c r="P536" s="9"/>
      <c r="Q536" s="9"/>
      <c r="R536" s="42"/>
      <c r="S536" s="42"/>
      <c r="T536" s="42"/>
      <c r="U536" s="42"/>
      <c r="V536" s="42"/>
      <c r="W536" s="42"/>
    </row>
    <row r="537">
      <c r="A537" s="9"/>
      <c r="B537" s="9"/>
      <c r="C537" s="9"/>
      <c r="D537" s="42"/>
      <c r="E537" s="103"/>
      <c r="F537" s="42"/>
      <c r="G537" s="9"/>
      <c r="H537" s="9"/>
      <c r="I537" s="9"/>
      <c r="J537" s="9"/>
      <c r="K537" s="42"/>
      <c r="L537" s="42"/>
      <c r="M537" s="42"/>
      <c r="N537" s="42"/>
      <c r="O537" s="42"/>
      <c r="P537" s="9"/>
      <c r="Q537" s="9"/>
      <c r="R537" s="42"/>
      <c r="S537" s="42"/>
      <c r="T537" s="42"/>
      <c r="U537" s="42"/>
      <c r="V537" s="42"/>
      <c r="W537" s="42"/>
    </row>
    <row r="538">
      <c r="A538" s="9"/>
      <c r="B538" s="9"/>
      <c r="C538" s="9"/>
      <c r="D538" s="42"/>
      <c r="E538" s="103"/>
      <c r="F538" s="42"/>
      <c r="G538" s="9"/>
      <c r="H538" s="9"/>
      <c r="I538" s="9"/>
      <c r="J538" s="9"/>
      <c r="K538" s="42"/>
      <c r="L538" s="42"/>
      <c r="M538" s="42"/>
      <c r="N538" s="42"/>
      <c r="O538" s="42"/>
      <c r="P538" s="9"/>
      <c r="Q538" s="9"/>
      <c r="R538" s="42"/>
      <c r="S538" s="42"/>
      <c r="T538" s="42"/>
      <c r="U538" s="42"/>
      <c r="V538" s="42"/>
      <c r="W538" s="42"/>
    </row>
    <row r="539">
      <c r="A539" s="9"/>
      <c r="B539" s="9"/>
      <c r="C539" s="9"/>
      <c r="D539" s="42"/>
      <c r="E539" s="103"/>
      <c r="F539" s="42"/>
      <c r="G539" s="9"/>
      <c r="H539" s="9"/>
      <c r="I539" s="9"/>
      <c r="J539" s="9"/>
      <c r="K539" s="42"/>
      <c r="L539" s="42"/>
      <c r="M539" s="42"/>
      <c r="N539" s="42"/>
      <c r="O539" s="42"/>
      <c r="P539" s="9"/>
      <c r="Q539" s="9"/>
      <c r="R539" s="42"/>
      <c r="S539" s="42"/>
      <c r="T539" s="42"/>
      <c r="U539" s="42"/>
      <c r="V539" s="42"/>
      <c r="W539" s="42"/>
    </row>
    <row r="540">
      <c r="A540" s="9"/>
      <c r="B540" s="9"/>
      <c r="C540" s="9"/>
      <c r="D540" s="42"/>
      <c r="E540" s="103"/>
      <c r="F540" s="42"/>
      <c r="G540" s="9"/>
      <c r="H540" s="9"/>
      <c r="I540" s="9"/>
      <c r="J540" s="9"/>
      <c r="K540" s="42"/>
      <c r="L540" s="42"/>
      <c r="M540" s="42"/>
      <c r="N540" s="42"/>
      <c r="O540" s="42"/>
      <c r="P540" s="9"/>
      <c r="Q540" s="9"/>
      <c r="R540" s="42"/>
      <c r="S540" s="42"/>
      <c r="T540" s="42"/>
      <c r="U540" s="42"/>
      <c r="V540" s="42"/>
      <c r="W540" s="42"/>
    </row>
    <row r="541">
      <c r="A541" s="9"/>
      <c r="B541" s="9"/>
      <c r="C541" s="9"/>
      <c r="D541" s="42"/>
      <c r="E541" s="103"/>
      <c r="F541" s="42"/>
      <c r="G541" s="9"/>
      <c r="H541" s="9"/>
      <c r="I541" s="9"/>
      <c r="J541" s="9"/>
      <c r="K541" s="42"/>
      <c r="L541" s="42"/>
      <c r="M541" s="42"/>
      <c r="N541" s="42"/>
      <c r="O541" s="42"/>
      <c r="P541" s="9"/>
      <c r="Q541" s="9"/>
      <c r="R541" s="42"/>
      <c r="S541" s="42"/>
      <c r="T541" s="42"/>
      <c r="U541" s="42"/>
      <c r="V541" s="42"/>
      <c r="W541" s="42"/>
    </row>
    <row r="542">
      <c r="A542" s="9"/>
      <c r="B542" s="9"/>
      <c r="C542" s="9"/>
      <c r="D542" s="42"/>
      <c r="E542" s="103"/>
      <c r="F542" s="42"/>
      <c r="G542" s="9"/>
      <c r="H542" s="9"/>
      <c r="I542" s="9"/>
      <c r="J542" s="9"/>
      <c r="K542" s="42"/>
      <c r="L542" s="42"/>
      <c r="M542" s="42"/>
      <c r="N542" s="42"/>
      <c r="O542" s="42"/>
      <c r="P542" s="9"/>
      <c r="Q542" s="9"/>
      <c r="R542" s="42"/>
      <c r="S542" s="42"/>
      <c r="T542" s="42"/>
      <c r="U542" s="42"/>
      <c r="V542" s="42"/>
      <c r="W542" s="42"/>
    </row>
    <row r="543">
      <c r="A543" s="9"/>
      <c r="B543" s="9"/>
      <c r="C543" s="9"/>
      <c r="D543" s="42"/>
      <c r="E543" s="103"/>
      <c r="F543" s="42"/>
      <c r="G543" s="9"/>
      <c r="H543" s="9"/>
      <c r="I543" s="9"/>
      <c r="J543" s="9"/>
      <c r="K543" s="42"/>
      <c r="L543" s="42"/>
      <c r="M543" s="42"/>
      <c r="N543" s="42"/>
      <c r="O543" s="42"/>
      <c r="P543" s="9"/>
      <c r="Q543" s="9"/>
      <c r="R543" s="42"/>
      <c r="S543" s="42"/>
      <c r="T543" s="42"/>
      <c r="U543" s="42"/>
      <c r="V543" s="42"/>
      <c r="W543" s="42"/>
    </row>
    <row r="544">
      <c r="A544" s="9"/>
      <c r="B544" s="9"/>
      <c r="C544" s="9"/>
      <c r="D544" s="42"/>
      <c r="E544" s="103"/>
      <c r="F544" s="42"/>
      <c r="G544" s="9"/>
      <c r="H544" s="9"/>
      <c r="I544" s="9"/>
      <c r="J544" s="9"/>
      <c r="K544" s="42"/>
      <c r="L544" s="42"/>
      <c r="M544" s="42"/>
      <c r="N544" s="42"/>
      <c r="O544" s="42"/>
      <c r="P544" s="9"/>
      <c r="Q544" s="9"/>
      <c r="R544" s="42"/>
      <c r="S544" s="42"/>
      <c r="T544" s="42"/>
      <c r="U544" s="42"/>
      <c r="V544" s="42"/>
      <c r="W544" s="42"/>
    </row>
    <row r="545">
      <c r="A545" s="9"/>
      <c r="B545" s="9"/>
      <c r="C545" s="9"/>
      <c r="D545" s="42"/>
      <c r="E545" s="103"/>
      <c r="F545" s="42"/>
      <c r="G545" s="9"/>
      <c r="H545" s="9"/>
      <c r="I545" s="9"/>
      <c r="J545" s="9"/>
      <c r="K545" s="42"/>
      <c r="L545" s="42"/>
      <c r="M545" s="42"/>
      <c r="N545" s="42"/>
      <c r="O545" s="42"/>
      <c r="P545" s="9"/>
      <c r="Q545" s="9"/>
      <c r="R545" s="42"/>
      <c r="S545" s="42"/>
      <c r="T545" s="42"/>
      <c r="U545" s="42"/>
      <c r="V545" s="42"/>
      <c r="W545" s="42"/>
    </row>
    <row r="546">
      <c r="A546" s="9"/>
      <c r="B546" s="9"/>
      <c r="C546" s="9"/>
      <c r="D546" s="42"/>
      <c r="E546" s="103"/>
      <c r="F546" s="42"/>
      <c r="G546" s="9"/>
      <c r="H546" s="9"/>
      <c r="I546" s="9"/>
      <c r="J546" s="9"/>
      <c r="K546" s="42"/>
      <c r="L546" s="42"/>
      <c r="M546" s="42"/>
      <c r="N546" s="42"/>
      <c r="O546" s="42"/>
      <c r="P546" s="9"/>
      <c r="Q546" s="9"/>
      <c r="R546" s="42"/>
      <c r="S546" s="42"/>
      <c r="T546" s="42"/>
      <c r="U546" s="42"/>
      <c r="V546" s="42"/>
      <c r="W546" s="42"/>
    </row>
    <row r="547">
      <c r="A547" s="9"/>
      <c r="B547" s="9"/>
      <c r="C547" s="9"/>
      <c r="D547" s="42"/>
      <c r="E547" s="103"/>
      <c r="F547" s="42"/>
      <c r="G547" s="9"/>
      <c r="H547" s="9"/>
      <c r="I547" s="9"/>
      <c r="J547" s="9"/>
      <c r="K547" s="42"/>
      <c r="L547" s="42"/>
      <c r="M547" s="42"/>
      <c r="N547" s="42"/>
      <c r="O547" s="42"/>
      <c r="P547" s="9"/>
      <c r="Q547" s="9"/>
      <c r="R547" s="42"/>
      <c r="S547" s="42"/>
      <c r="T547" s="42"/>
      <c r="U547" s="42"/>
      <c r="V547" s="42"/>
      <c r="W547" s="42"/>
    </row>
    <row r="548">
      <c r="A548" s="9"/>
      <c r="B548" s="9"/>
      <c r="C548" s="9"/>
      <c r="D548" s="42"/>
      <c r="E548" s="103"/>
      <c r="F548" s="42"/>
      <c r="G548" s="9"/>
      <c r="H548" s="9"/>
      <c r="I548" s="9"/>
      <c r="J548" s="9"/>
      <c r="K548" s="42"/>
      <c r="L548" s="42"/>
      <c r="M548" s="42"/>
      <c r="N548" s="42"/>
      <c r="O548" s="42"/>
      <c r="P548" s="9"/>
      <c r="Q548" s="9"/>
      <c r="R548" s="42"/>
      <c r="S548" s="42"/>
      <c r="T548" s="42"/>
      <c r="U548" s="42"/>
      <c r="V548" s="42"/>
      <c r="W548" s="42"/>
    </row>
    <row r="549">
      <c r="A549" s="9"/>
      <c r="B549" s="9"/>
      <c r="C549" s="9"/>
      <c r="D549" s="42"/>
      <c r="E549" s="103"/>
      <c r="F549" s="42"/>
      <c r="G549" s="9"/>
      <c r="H549" s="9"/>
      <c r="I549" s="9"/>
      <c r="J549" s="9"/>
      <c r="K549" s="42"/>
      <c r="L549" s="42"/>
      <c r="M549" s="42"/>
      <c r="N549" s="42"/>
      <c r="O549" s="42"/>
      <c r="P549" s="9"/>
      <c r="Q549" s="9"/>
      <c r="R549" s="42"/>
      <c r="S549" s="42"/>
      <c r="T549" s="42"/>
      <c r="U549" s="42"/>
      <c r="V549" s="42"/>
      <c r="W549" s="42"/>
    </row>
    <row r="550">
      <c r="A550" s="9"/>
      <c r="B550" s="9"/>
      <c r="C550" s="9"/>
      <c r="D550" s="42"/>
      <c r="E550" s="103"/>
      <c r="F550" s="42"/>
      <c r="G550" s="9"/>
      <c r="H550" s="9"/>
      <c r="I550" s="9"/>
      <c r="J550" s="9"/>
      <c r="K550" s="42"/>
      <c r="L550" s="42"/>
      <c r="M550" s="42"/>
      <c r="N550" s="42"/>
      <c r="O550" s="42"/>
      <c r="P550" s="9"/>
      <c r="Q550" s="9"/>
      <c r="R550" s="42"/>
      <c r="S550" s="42"/>
      <c r="T550" s="42"/>
      <c r="U550" s="42"/>
      <c r="V550" s="42"/>
      <c r="W550" s="42"/>
    </row>
    <row r="551">
      <c r="A551" s="9"/>
      <c r="B551" s="9"/>
      <c r="C551" s="9"/>
      <c r="D551" s="42"/>
      <c r="E551" s="103"/>
      <c r="F551" s="42"/>
      <c r="G551" s="9"/>
      <c r="H551" s="9"/>
      <c r="I551" s="9"/>
      <c r="J551" s="9"/>
      <c r="K551" s="42"/>
      <c r="L551" s="42"/>
      <c r="M551" s="42"/>
      <c r="N551" s="42"/>
      <c r="O551" s="42"/>
      <c r="P551" s="9"/>
      <c r="Q551" s="9"/>
      <c r="R551" s="42"/>
      <c r="S551" s="42"/>
      <c r="T551" s="42"/>
      <c r="U551" s="42"/>
      <c r="V551" s="42"/>
      <c r="W551" s="42"/>
    </row>
    <row r="552">
      <c r="A552" s="9"/>
      <c r="B552" s="9"/>
      <c r="C552" s="9"/>
      <c r="D552" s="42"/>
      <c r="E552" s="103"/>
      <c r="F552" s="42"/>
      <c r="G552" s="9"/>
      <c r="H552" s="9"/>
      <c r="I552" s="9"/>
      <c r="J552" s="9"/>
      <c r="K552" s="42"/>
      <c r="L552" s="42"/>
      <c r="M552" s="42"/>
      <c r="N552" s="42"/>
      <c r="O552" s="42"/>
      <c r="P552" s="9"/>
      <c r="Q552" s="9"/>
      <c r="R552" s="42"/>
      <c r="S552" s="42"/>
      <c r="T552" s="42"/>
      <c r="U552" s="42"/>
      <c r="V552" s="42"/>
      <c r="W552" s="42"/>
    </row>
    <row r="553">
      <c r="A553" s="9"/>
      <c r="B553" s="9"/>
      <c r="C553" s="9"/>
      <c r="D553" s="42"/>
      <c r="E553" s="103"/>
      <c r="F553" s="42"/>
      <c r="G553" s="9"/>
      <c r="H553" s="9"/>
      <c r="I553" s="9"/>
      <c r="J553" s="9"/>
      <c r="K553" s="42"/>
      <c r="L553" s="42"/>
      <c r="M553" s="42"/>
      <c r="N553" s="42"/>
      <c r="O553" s="42"/>
      <c r="P553" s="9"/>
      <c r="Q553" s="9"/>
      <c r="R553" s="42"/>
      <c r="S553" s="42"/>
      <c r="T553" s="42"/>
      <c r="U553" s="42"/>
      <c r="V553" s="42"/>
      <c r="W553" s="42"/>
    </row>
    <row r="554">
      <c r="A554" s="9"/>
      <c r="B554" s="9"/>
      <c r="C554" s="9"/>
      <c r="D554" s="42"/>
      <c r="E554" s="103"/>
      <c r="F554" s="42"/>
      <c r="G554" s="9"/>
      <c r="H554" s="9"/>
      <c r="I554" s="9"/>
      <c r="J554" s="9"/>
      <c r="K554" s="42"/>
      <c r="L554" s="42"/>
      <c r="M554" s="42"/>
      <c r="N554" s="42"/>
      <c r="O554" s="42"/>
      <c r="P554" s="9"/>
      <c r="Q554" s="9"/>
      <c r="R554" s="42"/>
      <c r="S554" s="42"/>
      <c r="T554" s="42"/>
      <c r="U554" s="42"/>
      <c r="V554" s="42"/>
      <c r="W554" s="42"/>
    </row>
    <row r="555">
      <c r="A555" s="9"/>
      <c r="B555" s="9"/>
      <c r="C555" s="9"/>
      <c r="D555" s="42"/>
      <c r="E555" s="103"/>
      <c r="F555" s="42"/>
      <c r="G555" s="9"/>
      <c r="H555" s="9"/>
      <c r="I555" s="9"/>
      <c r="J555" s="9"/>
      <c r="K555" s="42"/>
      <c r="L555" s="42"/>
      <c r="M555" s="42"/>
      <c r="N555" s="42"/>
      <c r="O555" s="42"/>
      <c r="P555" s="9"/>
      <c r="Q555" s="9"/>
      <c r="R555" s="42"/>
      <c r="S555" s="42"/>
      <c r="T555" s="42"/>
      <c r="U555" s="42"/>
      <c r="V555" s="42"/>
      <c r="W555" s="42"/>
    </row>
    <row r="556">
      <c r="A556" s="9"/>
      <c r="B556" s="9"/>
      <c r="C556" s="9"/>
      <c r="D556" s="42"/>
      <c r="E556" s="103"/>
      <c r="F556" s="42"/>
      <c r="G556" s="9"/>
      <c r="H556" s="9"/>
      <c r="I556" s="9"/>
      <c r="J556" s="9"/>
      <c r="K556" s="42"/>
      <c r="L556" s="42"/>
      <c r="M556" s="42"/>
      <c r="N556" s="42"/>
      <c r="O556" s="42"/>
      <c r="P556" s="9"/>
      <c r="Q556" s="9"/>
      <c r="R556" s="42"/>
      <c r="S556" s="42"/>
      <c r="T556" s="42"/>
      <c r="U556" s="42"/>
      <c r="V556" s="42"/>
      <c r="W556" s="42"/>
    </row>
    <row r="557">
      <c r="A557" s="9"/>
      <c r="B557" s="9"/>
      <c r="C557" s="9"/>
      <c r="D557" s="42"/>
      <c r="E557" s="103"/>
      <c r="F557" s="42"/>
      <c r="G557" s="9"/>
      <c r="H557" s="9"/>
      <c r="I557" s="9"/>
      <c r="J557" s="9"/>
      <c r="K557" s="42"/>
      <c r="L557" s="42"/>
      <c r="M557" s="42"/>
      <c r="N557" s="42"/>
      <c r="O557" s="42"/>
      <c r="P557" s="9"/>
      <c r="Q557" s="9"/>
      <c r="R557" s="42"/>
      <c r="S557" s="42"/>
      <c r="T557" s="42"/>
      <c r="U557" s="42"/>
      <c r="V557" s="42"/>
      <c r="W557" s="42"/>
    </row>
    <row r="558">
      <c r="A558" s="9"/>
      <c r="B558" s="9"/>
      <c r="C558" s="9"/>
      <c r="D558" s="42"/>
      <c r="E558" s="103"/>
      <c r="F558" s="42"/>
      <c r="G558" s="9"/>
      <c r="H558" s="9"/>
      <c r="I558" s="9"/>
      <c r="J558" s="9"/>
      <c r="K558" s="42"/>
      <c r="L558" s="42"/>
      <c r="M558" s="42"/>
      <c r="N558" s="42"/>
      <c r="O558" s="42"/>
      <c r="P558" s="9"/>
      <c r="Q558" s="9"/>
      <c r="R558" s="42"/>
      <c r="S558" s="42"/>
      <c r="T558" s="42"/>
      <c r="U558" s="42"/>
      <c r="V558" s="42"/>
      <c r="W558" s="42"/>
    </row>
    <row r="559">
      <c r="A559" s="9"/>
      <c r="B559" s="9"/>
      <c r="C559" s="9"/>
      <c r="D559" s="42"/>
      <c r="E559" s="103"/>
      <c r="F559" s="42"/>
      <c r="G559" s="9"/>
      <c r="H559" s="9"/>
      <c r="I559" s="9"/>
      <c r="J559" s="9"/>
      <c r="K559" s="42"/>
      <c r="L559" s="42"/>
      <c r="M559" s="42"/>
      <c r="N559" s="42"/>
      <c r="O559" s="42"/>
      <c r="P559" s="9"/>
      <c r="Q559" s="9"/>
      <c r="R559" s="42"/>
      <c r="S559" s="42"/>
      <c r="T559" s="42"/>
      <c r="U559" s="42"/>
      <c r="V559" s="42"/>
      <c r="W559" s="42"/>
    </row>
    <row r="560">
      <c r="A560" s="9"/>
      <c r="B560" s="9"/>
      <c r="C560" s="9"/>
      <c r="D560" s="42"/>
      <c r="E560" s="103"/>
      <c r="F560" s="42"/>
      <c r="G560" s="9"/>
      <c r="H560" s="9"/>
      <c r="I560" s="9"/>
      <c r="J560" s="9"/>
      <c r="K560" s="42"/>
      <c r="L560" s="42"/>
      <c r="M560" s="42"/>
      <c r="N560" s="42"/>
      <c r="O560" s="42"/>
      <c r="P560" s="9"/>
      <c r="Q560" s="9"/>
      <c r="R560" s="42"/>
      <c r="S560" s="42"/>
      <c r="T560" s="42"/>
      <c r="U560" s="42"/>
      <c r="V560" s="42"/>
      <c r="W560" s="42"/>
    </row>
    <row r="561">
      <c r="A561" s="9"/>
      <c r="B561" s="9"/>
      <c r="C561" s="9"/>
      <c r="D561" s="42"/>
      <c r="E561" s="103"/>
      <c r="F561" s="42"/>
      <c r="G561" s="9"/>
      <c r="H561" s="9"/>
      <c r="I561" s="9"/>
      <c r="J561" s="9"/>
      <c r="K561" s="42"/>
      <c r="L561" s="42"/>
      <c r="M561" s="42"/>
      <c r="N561" s="42"/>
      <c r="O561" s="42"/>
      <c r="P561" s="9"/>
      <c r="Q561" s="9"/>
      <c r="R561" s="42"/>
      <c r="S561" s="42"/>
      <c r="T561" s="42"/>
      <c r="U561" s="42"/>
      <c r="V561" s="42"/>
      <c r="W561" s="42"/>
    </row>
    <row r="562">
      <c r="A562" s="9"/>
      <c r="B562" s="9"/>
      <c r="C562" s="9"/>
      <c r="D562" s="42"/>
      <c r="E562" s="103"/>
      <c r="F562" s="42"/>
      <c r="G562" s="9"/>
      <c r="H562" s="9"/>
      <c r="I562" s="9"/>
      <c r="J562" s="9"/>
      <c r="K562" s="42"/>
      <c r="L562" s="42"/>
      <c r="M562" s="42"/>
      <c r="N562" s="42"/>
      <c r="O562" s="42"/>
      <c r="P562" s="9"/>
      <c r="Q562" s="9"/>
      <c r="R562" s="42"/>
      <c r="S562" s="42"/>
      <c r="T562" s="42"/>
      <c r="U562" s="42"/>
      <c r="V562" s="42"/>
      <c r="W562" s="42"/>
    </row>
    <row r="563">
      <c r="A563" s="9"/>
      <c r="B563" s="9"/>
      <c r="C563" s="9"/>
      <c r="D563" s="42"/>
      <c r="E563" s="103"/>
      <c r="F563" s="42"/>
      <c r="G563" s="9"/>
      <c r="H563" s="9"/>
      <c r="I563" s="9"/>
      <c r="J563" s="9"/>
      <c r="K563" s="42"/>
      <c r="L563" s="42"/>
      <c r="M563" s="42"/>
      <c r="N563" s="42"/>
      <c r="O563" s="42"/>
      <c r="P563" s="9"/>
      <c r="Q563" s="9"/>
      <c r="R563" s="42"/>
      <c r="S563" s="42"/>
      <c r="T563" s="42"/>
      <c r="U563" s="42"/>
      <c r="V563" s="42"/>
      <c r="W563" s="42"/>
    </row>
    <row r="564">
      <c r="A564" s="9"/>
      <c r="B564" s="9"/>
      <c r="C564" s="9"/>
      <c r="D564" s="42"/>
      <c r="E564" s="103"/>
      <c r="F564" s="42"/>
      <c r="G564" s="9"/>
      <c r="H564" s="9"/>
      <c r="I564" s="9"/>
      <c r="J564" s="9"/>
      <c r="K564" s="42"/>
      <c r="L564" s="42"/>
      <c r="M564" s="42"/>
      <c r="N564" s="42"/>
      <c r="O564" s="42"/>
      <c r="P564" s="9"/>
      <c r="Q564" s="9"/>
      <c r="R564" s="42"/>
      <c r="S564" s="42"/>
      <c r="T564" s="42"/>
      <c r="U564" s="42"/>
      <c r="V564" s="42"/>
      <c r="W564" s="42"/>
    </row>
    <row r="565">
      <c r="A565" s="9"/>
      <c r="B565" s="9"/>
      <c r="C565" s="9"/>
      <c r="D565" s="42"/>
      <c r="E565" s="103"/>
      <c r="F565" s="42"/>
      <c r="G565" s="9"/>
      <c r="H565" s="9"/>
      <c r="I565" s="9"/>
      <c r="J565" s="9"/>
      <c r="K565" s="42"/>
      <c r="L565" s="42"/>
      <c r="M565" s="42"/>
      <c r="N565" s="42"/>
      <c r="O565" s="42"/>
      <c r="P565" s="9"/>
      <c r="Q565" s="9"/>
      <c r="R565" s="42"/>
      <c r="S565" s="42"/>
      <c r="T565" s="42"/>
      <c r="U565" s="42"/>
      <c r="V565" s="42"/>
      <c r="W565" s="42"/>
    </row>
    <row r="566">
      <c r="A566" s="9"/>
      <c r="B566" s="9"/>
      <c r="C566" s="9"/>
      <c r="D566" s="42"/>
      <c r="E566" s="103"/>
      <c r="F566" s="42"/>
      <c r="G566" s="9"/>
      <c r="H566" s="9"/>
      <c r="I566" s="9"/>
      <c r="J566" s="9"/>
      <c r="K566" s="42"/>
      <c r="L566" s="42"/>
      <c r="M566" s="42"/>
      <c r="N566" s="42"/>
      <c r="O566" s="42"/>
      <c r="P566" s="9"/>
      <c r="Q566" s="9"/>
      <c r="R566" s="42"/>
      <c r="S566" s="42"/>
      <c r="T566" s="42"/>
      <c r="U566" s="42"/>
      <c r="V566" s="42"/>
      <c r="W566" s="42"/>
    </row>
    <row r="567">
      <c r="A567" s="9"/>
      <c r="B567" s="9"/>
      <c r="C567" s="9"/>
      <c r="D567" s="42"/>
      <c r="E567" s="103"/>
      <c r="F567" s="42"/>
      <c r="G567" s="9"/>
      <c r="H567" s="9"/>
      <c r="I567" s="9"/>
      <c r="J567" s="9"/>
      <c r="K567" s="42"/>
      <c r="L567" s="42"/>
      <c r="M567" s="42"/>
      <c r="N567" s="42"/>
      <c r="O567" s="42"/>
      <c r="P567" s="9"/>
      <c r="Q567" s="9"/>
      <c r="R567" s="42"/>
      <c r="S567" s="42"/>
      <c r="T567" s="42"/>
      <c r="U567" s="42"/>
      <c r="V567" s="42"/>
      <c r="W567" s="42"/>
    </row>
    <row r="568">
      <c r="A568" s="9"/>
      <c r="B568" s="9"/>
      <c r="C568" s="9"/>
      <c r="D568" s="42"/>
      <c r="E568" s="103"/>
      <c r="F568" s="42"/>
      <c r="G568" s="9"/>
      <c r="H568" s="9"/>
      <c r="I568" s="9"/>
      <c r="J568" s="9"/>
      <c r="K568" s="42"/>
      <c r="L568" s="42"/>
      <c r="M568" s="42"/>
      <c r="N568" s="42"/>
      <c r="O568" s="42"/>
      <c r="P568" s="9"/>
      <c r="Q568" s="9"/>
      <c r="R568" s="42"/>
      <c r="S568" s="42"/>
      <c r="T568" s="42"/>
      <c r="U568" s="42"/>
      <c r="V568" s="42"/>
      <c r="W568" s="42"/>
    </row>
    <row r="569">
      <c r="A569" s="9"/>
      <c r="B569" s="9"/>
      <c r="C569" s="9"/>
      <c r="D569" s="42"/>
      <c r="E569" s="103"/>
      <c r="F569" s="42"/>
      <c r="G569" s="9"/>
      <c r="H569" s="9"/>
      <c r="I569" s="9"/>
      <c r="J569" s="9"/>
      <c r="K569" s="42"/>
      <c r="L569" s="42"/>
      <c r="M569" s="42"/>
      <c r="N569" s="42"/>
      <c r="O569" s="42"/>
      <c r="P569" s="9"/>
      <c r="Q569" s="9"/>
      <c r="R569" s="42"/>
      <c r="S569" s="42"/>
      <c r="T569" s="42"/>
      <c r="U569" s="42"/>
      <c r="V569" s="42"/>
      <c r="W569" s="42"/>
    </row>
    <row r="570">
      <c r="A570" s="9"/>
      <c r="B570" s="9"/>
      <c r="C570" s="9"/>
      <c r="D570" s="42"/>
      <c r="E570" s="103"/>
      <c r="F570" s="42"/>
      <c r="G570" s="9"/>
      <c r="H570" s="9"/>
      <c r="I570" s="9"/>
      <c r="J570" s="9"/>
      <c r="K570" s="42"/>
      <c r="L570" s="42"/>
      <c r="M570" s="42"/>
      <c r="N570" s="42"/>
      <c r="O570" s="42"/>
      <c r="P570" s="9"/>
      <c r="Q570" s="9"/>
      <c r="R570" s="42"/>
      <c r="S570" s="42"/>
      <c r="T570" s="42"/>
      <c r="U570" s="42"/>
      <c r="V570" s="42"/>
      <c r="W570" s="42"/>
    </row>
    <row r="571">
      <c r="A571" s="9"/>
      <c r="B571" s="9"/>
      <c r="C571" s="9"/>
      <c r="D571" s="42"/>
      <c r="E571" s="103"/>
      <c r="F571" s="42"/>
      <c r="G571" s="9"/>
      <c r="H571" s="9"/>
      <c r="I571" s="9"/>
      <c r="J571" s="9"/>
      <c r="K571" s="42"/>
      <c r="L571" s="42"/>
      <c r="M571" s="42"/>
      <c r="N571" s="42"/>
      <c r="O571" s="42"/>
      <c r="P571" s="9"/>
      <c r="Q571" s="9"/>
      <c r="R571" s="42"/>
      <c r="S571" s="42"/>
      <c r="T571" s="42"/>
      <c r="U571" s="42"/>
      <c r="V571" s="42"/>
      <c r="W571" s="42"/>
    </row>
    <row r="572">
      <c r="A572" s="9"/>
      <c r="B572" s="9"/>
      <c r="C572" s="9"/>
      <c r="D572" s="42"/>
      <c r="E572" s="103"/>
      <c r="F572" s="42"/>
      <c r="G572" s="9"/>
      <c r="H572" s="9"/>
      <c r="I572" s="9"/>
      <c r="J572" s="9"/>
      <c r="K572" s="42"/>
      <c r="L572" s="42"/>
      <c r="M572" s="42"/>
      <c r="N572" s="42"/>
      <c r="O572" s="42"/>
      <c r="P572" s="9"/>
      <c r="Q572" s="9"/>
      <c r="R572" s="42"/>
      <c r="S572" s="42"/>
      <c r="T572" s="42"/>
      <c r="U572" s="42"/>
      <c r="V572" s="42"/>
      <c r="W572" s="42"/>
    </row>
    <row r="573">
      <c r="A573" s="9"/>
      <c r="B573" s="9"/>
      <c r="C573" s="9"/>
      <c r="D573" s="42"/>
      <c r="E573" s="103"/>
      <c r="F573" s="42"/>
      <c r="G573" s="9"/>
      <c r="H573" s="9"/>
      <c r="I573" s="9"/>
      <c r="J573" s="9"/>
      <c r="K573" s="42"/>
      <c r="L573" s="42"/>
      <c r="M573" s="42"/>
      <c r="N573" s="42"/>
      <c r="O573" s="42"/>
      <c r="P573" s="9"/>
      <c r="Q573" s="9"/>
      <c r="R573" s="42"/>
      <c r="S573" s="42"/>
      <c r="T573" s="42"/>
      <c r="U573" s="42"/>
      <c r="V573" s="42"/>
      <c r="W573" s="42"/>
    </row>
    <row r="574">
      <c r="A574" s="9"/>
      <c r="B574" s="9"/>
      <c r="C574" s="9"/>
      <c r="D574" s="42"/>
      <c r="E574" s="103"/>
      <c r="F574" s="42"/>
      <c r="G574" s="9"/>
      <c r="H574" s="9"/>
      <c r="I574" s="9"/>
      <c r="J574" s="9"/>
      <c r="K574" s="42"/>
      <c r="L574" s="42"/>
      <c r="M574" s="42"/>
      <c r="N574" s="42"/>
      <c r="O574" s="42"/>
      <c r="P574" s="9"/>
      <c r="Q574" s="9"/>
      <c r="R574" s="42"/>
      <c r="S574" s="42"/>
      <c r="T574" s="42"/>
      <c r="U574" s="42"/>
      <c r="V574" s="42"/>
      <c r="W574" s="42"/>
    </row>
    <row r="575">
      <c r="A575" s="9"/>
      <c r="B575" s="9"/>
      <c r="C575" s="9"/>
      <c r="D575" s="42"/>
      <c r="E575" s="103"/>
      <c r="F575" s="42"/>
      <c r="G575" s="9"/>
      <c r="H575" s="9"/>
      <c r="I575" s="9"/>
      <c r="J575" s="9"/>
      <c r="K575" s="42"/>
      <c r="L575" s="42"/>
      <c r="M575" s="42"/>
      <c r="N575" s="42"/>
      <c r="O575" s="42"/>
      <c r="P575" s="9"/>
      <c r="Q575" s="9"/>
      <c r="R575" s="42"/>
      <c r="S575" s="42"/>
      <c r="T575" s="42"/>
      <c r="U575" s="42"/>
      <c r="V575" s="42"/>
      <c r="W575" s="42"/>
    </row>
    <row r="576">
      <c r="A576" s="9"/>
      <c r="B576" s="9"/>
      <c r="C576" s="9"/>
      <c r="D576" s="42"/>
      <c r="E576" s="103"/>
      <c r="F576" s="42"/>
      <c r="G576" s="9"/>
      <c r="H576" s="9"/>
      <c r="I576" s="9"/>
      <c r="J576" s="9"/>
      <c r="K576" s="42"/>
      <c r="L576" s="42"/>
      <c r="M576" s="42"/>
      <c r="N576" s="42"/>
      <c r="O576" s="42"/>
      <c r="P576" s="9"/>
      <c r="Q576" s="9"/>
      <c r="R576" s="42"/>
      <c r="S576" s="42"/>
      <c r="T576" s="42"/>
      <c r="U576" s="42"/>
      <c r="V576" s="42"/>
      <c r="W576" s="42"/>
    </row>
    <row r="577">
      <c r="A577" s="9"/>
      <c r="B577" s="9"/>
      <c r="C577" s="9"/>
      <c r="D577" s="42"/>
      <c r="E577" s="103"/>
      <c r="F577" s="42"/>
      <c r="G577" s="9"/>
      <c r="H577" s="9"/>
      <c r="I577" s="9"/>
      <c r="J577" s="9"/>
      <c r="K577" s="42"/>
      <c r="L577" s="42"/>
      <c r="M577" s="42"/>
      <c r="N577" s="42"/>
      <c r="O577" s="42"/>
      <c r="P577" s="9"/>
      <c r="Q577" s="9"/>
      <c r="R577" s="42"/>
      <c r="S577" s="42"/>
      <c r="T577" s="42"/>
      <c r="U577" s="42"/>
      <c r="V577" s="42"/>
      <c r="W577" s="42"/>
    </row>
    <row r="578">
      <c r="A578" s="9"/>
      <c r="B578" s="9"/>
      <c r="C578" s="9"/>
      <c r="D578" s="42"/>
      <c r="E578" s="103"/>
      <c r="F578" s="42"/>
      <c r="G578" s="9"/>
      <c r="H578" s="9"/>
      <c r="I578" s="9"/>
      <c r="J578" s="9"/>
      <c r="K578" s="42"/>
      <c r="L578" s="42"/>
      <c r="M578" s="42"/>
      <c r="N578" s="42"/>
      <c r="O578" s="42"/>
      <c r="P578" s="9"/>
      <c r="Q578" s="9"/>
      <c r="R578" s="42"/>
      <c r="S578" s="42"/>
      <c r="T578" s="42"/>
      <c r="U578" s="42"/>
      <c r="V578" s="42"/>
      <c r="W578" s="42"/>
    </row>
    <row r="579">
      <c r="A579" s="9"/>
      <c r="B579" s="9"/>
      <c r="C579" s="9"/>
      <c r="D579" s="42"/>
      <c r="E579" s="103"/>
      <c r="F579" s="42"/>
      <c r="G579" s="9"/>
      <c r="H579" s="9"/>
      <c r="I579" s="9"/>
      <c r="J579" s="9"/>
      <c r="K579" s="42"/>
      <c r="L579" s="42"/>
      <c r="M579" s="42"/>
      <c r="N579" s="42"/>
      <c r="O579" s="42"/>
      <c r="P579" s="9"/>
      <c r="Q579" s="9"/>
      <c r="R579" s="42"/>
      <c r="S579" s="42"/>
      <c r="T579" s="42"/>
      <c r="U579" s="42"/>
      <c r="V579" s="42"/>
      <c r="W579" s="42"/>
    </row>
    <row r="580">
      <c r="A580" s="9"/>
      <c r="B580" s="9"/>
      <c r="C580" s="9"/>
      <c r="D580" s="42"/>
      <c r="E580" s="103"/>
      <c r="F580" s="42"/>
      <c r="G580" s="9"/>
      <c r="H580" s="9"/>
      <c r="I580" s="9"/>
      <c r="J580" s="9"/>
      <c r="K580" s="42"/>
      <c r="L580" s="42"/>
      <c r="M580" s="42"/>
      <c r="N580" s="42"/>
      <c r="O580" s="42"/>
      <c r="P580" s="9"/>
      <c r="Q580" s="9"/>
      <c r="R580" s="42"/>
      <c r="S580" s="42"/>
      <c r="T580" s="42"/>
      <c r="U580" s="42"/>
      <c r="V580" s="42"/>
      <c r="W580" s="42"/>
    </row>
    <row r="581">
      <c r="A581" s="9"/>
      <c r="B581" s="9"/>
      <c r="C581" s="9"/>
      <c r="D581" s="42"/>
      <c r="E581" s="103"/>
      <c r="F581" s="42"/>
      <c r="G581" s="9"/>
      <c r="H581" s="9"/>
      <c r="I581" s="9"/>
      <c r="J581" s="9"/>
      <c r="K581" s="42"/>
      <c r="L581" s="42"/>
      <c r="M581" s="42"/>
      <c r="N581" s="42"/>
      <c r="O581" s="42"/>
      <c r="P581" s="9"/>
      <c r="Q581" s="9"/>
      <c r="R581" s="42"/>
      <c r="S581" s="42"/>
      <c r="T581" s="42"/>
      <c r="U581" s="42"/>
      <c r="V581" s="42"/>
      <c r="W581" s="42"/>
    </row>
    <row r="582">
      <c r="A582" s="9"/>
      <c r="B582" s="9"/>
      <c r="C582" s="9"/>
      <c r="D582" s="42"/>
      <c r="E582" s="103"/>
      <c r="F582" s="42"/>
      <c r="G582" s="9"/>
      <c r="H582" s="9"/>
      <c r="I582" s="9"/>
      <c r="J582" s="9"/>
      <c r="K582" s="42"/>
      <c r="L582" s="42"/>
      <c r="M582" s="42"/>
      <c r="N582" s="42"/>
      <c r="O582" s="42"/>
      <c r="P582" s="9"/>
      <c r="Q582" s="9"/>
      <c r="R582" s="42"/>
      <c r="S582" s="42"/>
      <c r="T582" s="42"/>
      <c r="U582" s="42"/>
      <c r="V582" s="42"/>
      <c r="W582" s="42"/>
    </row>
    <row r="583">
      <c r="A583" s="9"/>
      <c r="B583" s="9"/>
      <c r="C583" s="9"/>
      <c r="D583" s="42"/>
      <c r="E583" s="103"/>
      <c r="F583" s="42"/>
      <c r="G583" s="9"/>
      <c r="H583" s="9"/>
      <c r="I583" s="9"/>
      <c r="J583" s="9"/>
      <c r="K583" s="42"/>
      <c r="L583" s="42"/>
      <c r="M583" s="42"/>
      <c r="N583" s="42"/>
      <c r="O583" s="42"/>
      <c r="P583" s="9"/>
      <c r="Q583" s="9"/>
      <c r="R583" s="42"/>
      <c r="S583" s="42"/>
      <c r="T583" s="42"/>
      <c r="U583" s="42"/>
      <c r="V583" s="42"/>
      <c r="W583" s="42"/>
    </row>
    <row r="584">
      <c r="A584" s="9"/>
      <c r="B584" s="9"/>
      <c r="C584" s="9"/>
      <c r="D584" s="42"/>
      <c r="E584" s="103"/>
      <c r="F584" s="42"/>
      <c r="G584" s="9"/>
      <c r="H584" s="9"/>
      <c r="I584" s="9"/>
      <c r="J584" s="9"/>
      <c r="K584" s="42"/>
      <c r="L584" s="42"/>
      <c r="M584" s="42"/>
      <c r="N584" s="42"/>
      <c r="O584" s="42"/>
      <c r="P584" s="9"/>
      <c r="Q584" s="9"/>
      <c r="R584" s="42"/>
      <c r="S584" s="42"/>
      <c r="T584" s="42"/>
      <c r="U584" s="42"/>
      <c r="V584" s="42"/>
      <c r="W584" s="42"/>
    </row>
    <row r="585">
      <c r="A585" s="9"/>
      <c r="B585" s="9"/>
      <c r="C585" s="9"/>
      <c r="D585" s="42"/>
      <c r="E585" s="103"/>
      <c r="F585" s="42"/>
      <c r="G585" s="9"/>
      <c r="H585" s="9"/>
      <c r="I585" s="9"/>
      <c r="J585" s="9"/>
      <c r="K585" s="42"/>
      <c r="L585" s="42"/>
      <c r="M585" s="42"/>
      <c r="N585" s="42"/>
      <c r="O585" s="42"/>
      <c r="P585" s="9"/>
      <c r="Q585" s="9"/>
      <c r="R585" s="42"/>
      <c r="S585" s="42"/>
      <c r="T585" s="42"/>
      <c r="U585" s="42"/>
      <c r="V585" s="42"/>
      <c r="W585" s="42"/>
    </row>
    <row r="586">
      <c r="A586" s="9"/>
      <c r="B586" s="9"/>
      <c r="C586" s="9"/>
      <c r="D586" s="42"/>
      <c r="E586" s="103"/>
      <c r="F586" s="42"/>
      <c r="G586" s="9"/>
      <c r="H586" s="9"/>
      <c r="I586" s="9"/>
      <c r="J586" s="9"/>
      <c r="K586" s="42"/>
      <c r="L586" s="42"/>
      <c r="M586" s="42"/>
      <c r="N586" s="42"/>
      <c r="O586" s="42"/>
      <c r="P586" s="9"/>
      <c r="Q586" s="9"/>
      <c r="R586" s="42"/>
      <c r="S586" s="42"/>
      <c r="T586" s="42"/>
      <c r="U586" s="42"/>
      <c r="V586" s="42"/>
      <c r="W586" s="42"/>
    </row>
    <row r="587">
      <c r="A587" s="9"/>
      <c r="B587" s="9"/>
      <c r="C587" s="9"/>
      <c r="D587" s="42"/>
      <c r="E587" s="103"/>
      <c r="F587" s="42"/>
      <c r="G587" s="9"/>
      <c r="H587" s="9"/>
      <c r="I587" s="9"/>
      <c r="J587" s="9"/>
      <c r="K587" s="42"/>
      <c r="L587" s="42"/>
      <c r="M587" s="42"/>
      <c r="N587" s="42"/>
      <c r="O587" s="42"/>
      <c r="P587" s="9"/>
      <c r="Q587" s="9"/>
      <c r="R587" s="42"/>
      <c r="S587" s="42"/>
      <c r="T587" s="42"/>
      <c r="U587" s="42"/>
      <c r="V587" s="42"/>
      <c r="W587" s="42"/>
    </row>
    <row r="588">
      <c r="A588" s="9"/>
      <c r="B588" s="9"/>
      <c r="C588" s="9"/>
      <c r="D588" s="42"/>
      <c r="E588" s="103"/>
      <c r="F588" s="42"/>
      <c r="G588" s="9"/>
      <c r="H588" s="9"/>
      <c r="I588" s="9"/>
      <c r="J588" s="9"/>
      <c r="K588" s="42"/>
      <c r="L588" s="42"/>
      <c r="M588" s="42"/>
      <c r="N588" s="42"/>
      <c r="O588" s="42"/>
      <c r="P588" s="9"/>
      <c r="Q588" s="9"/>
      <c r="R588" s="42"/>
      <c r="S588" s="42"/>
      <c r="T588" s="42"/>
      <c r="U588" s="42"/>
      <c r="V588" s="42"/>
      <c r="W588" s="42"/>
    </row>
    <row r="589">
      <c r="A589" s="9"/>
      <c r="B589" s="9"/>
      <c r="C589" s="9"/>
      <c r="D589" s="42"/>
      <c r="E589" s="103"/>
      <c r="F589" s="42"/>
      <c r="G589" s="9"/>
      <c r="H589" s="9"/>
      <c r="I589" s="9"/>
      <c r="J589" s="9"/>
      <c r="K589" s="42"/>
      <c r="L589" s="42"/>
      <c r="M589" s="42"/>
      <c r="N589" s="42"/>
      <c r="O589" s="42"/>
      <c r="P589" s="9"/>
      <c r="Q589" s="9"/>
      <c r="R589" s="42"/>
      <c r="S589" s="42"/>
      <c r="T589" s="42"/>
      <c r="U589" s="42"/>
      <c r="V589" s="42"/>
      <c r="W589" s="42"/>
    </row>
    <row r="590">
      <c r="A590" s="9"/>
      <c r="B590" s="9"/>
      <c r="C590" s="9"/>
      <c r="D590" s="42"/>
      <c r="E590" s="103"/>
      <c r="F590" s="42"/>
      <c r="G590" s="9"/>
      <c r="H590" s="9"/>
      <c r="I590" s="9"/>
      <c r="J590" s="9"/>
      <c r="K590" s="42"/>
      <c r="L590" s="42"/>
      <c r="M590" s="42"/>
      <c r="N590" s="42"/>
      <c r="O590" s="42"/>
      <c r="P590" s="9"/>
      <c r="Q590" s="9"/>
      <c r="R590" s="42"/>
      <c r="S590" s="42"/>
      <c r="T590" s="42"/>
      <c r="U590" s="42"/>
      <c r="V590" s="42"/>
      <c r="W590" s="42"/>
    </row>
    <row r="591">
      <c r="A591" s="9"/>
      <c r="B591" s="9"/>
      <c r="C591" s="9"/>
      <c r="D591" s="42"/>
      <c r="E591" s="103"/>
      <c r="F591" s="42"/>
      <c r="G591" s="9"/>
      <c r="H591" s="9"/>
      <c r="I591" s="9"/>
      <c r="J591" s="9"/>
      <c r="K591" s="42"/>
      <c r="L591" s="42"/>
      <c r="M591" s="42"/>
      <c r="N591" s="42"/>
      <c r="O591" s="42"/>
      <c r="P591" s="9"/>
      <c r="Q591" s="9"/>
      <c r="R591" s="42"/>
      <c r="S591" s="42"/>
      <c r="T591" s="42"/>
      <c r="U591" s="42"/>
      <c r="V591" s="42"/>
      <c r="W591" s="42"/>
    </row>
    <row r="592">
      <c r="A592" s="9"/>
      <c r="B592" s="9"/>
      <c r="C592" s="9"/>
      <c r="D592" s="42"/>
      <c r="E592" s="103"/>
      <c r="F592" s="42"/>
      <c r="G592" s="9"/>
      <c r="H592" s="9"/>
      <c r="I592" s="9"/>
      <c r="J592" s="9"/>
      <c r="K592" s="42"/>
      <c r="L592" s="42"/>
      <c r="M592" s="42"/>
      <c r="N592" s="42"/>
      <c r="O592" s="42"/>
      <c r="P592" s="9"/>
      <c r="Q592" s="9"/>
      <c r="R592" s="42"/>
      <c r="S592" s="42"/>
      <c r="T592" s="42"/>
      <c r="U592" s="42"/>
      <c r="V592" s="42"/>
      <c r="W592" s="42"/>
    </row>
    <row r="593">
      <c r="A593" s="9"/>
      <c r="B593" s="9"/>
      <c r="C593" s="9"/>
      <c r="D593" s="42"/>
      <c r="E593" s="103"/>
      <c r="F593" s="42"/>
      <c r="G593" s="9"/>
      <c r="H593" s="9"/>
      <c r="I593" s="9"/>
      <c r="J593" s="9"/>
      <c r="K593" s="42"/>
      <c r="L593" s="42"/>
      <c r="M593" s="42"/>
      <c r="N593" s="42"/>
      <c r="O593" s="42"/>
      <c r="P593" s="9"/>
      <c r="Q593" s="9"/>
      <c r="R593" s="42"/>
      <c r="S593" s="42"/>
      <c r="T593" s="42"/>
      <c r="U593" s="42"/>
      <c r="V593" s="42"/>
      <c r="W593" s="42"/>
    </row>
    <row r="594">
      <c r="A594" s="9"/>
      <c r="B594" s="9"/>
      <c r="C594" s="9"/>
      <c r="D594" s="42"/>
      <c r="E594" s="103"/>
      <c r="F594" s="42"/>
      <c r="G594" s="9"/>
      <c r="H594" s="9"/>
      <c r="I594" s="9"/>
      <c r="J594" s="9"/>
      <c r="K594" s="42"/>
      <c r="L594" s="42"/>
      <c r="M594" s="42"/>
      <c r="N594" s="42"/>
      <c r="O594" s="42"/>
      <c r="P594" s="9"/>
      <c r="Q594" s="9"/>
      <c r="R594" s="42"/>
      <c r="S594" s="42"/>
      <c r="T594" s="42"/>
      <c r="U594" s="42"/>
      <c r="V594" s="42"/>
      <c r="W594" s="42"/>
    </row>
    <row r="595">
      <c r="A595" s="9"/>
      <c r="B595" s="9"/>
      <c r="C595" s="9"/>
      <c r="D595" s="42"/>
      <c r="E595" s="103"/>
      <c r="F595" s="42"/>
      <c r="G595" s="9"/>
      <c r="H595" s="9"/>
      <c r="I595" s="9"/>
      <c r="J595" s="9"/>
      <c r="K595" s="42"/>
      <c r="L595" s="42"/>
      <c r="M595" s="42"/>
      <c r="N595" s="42"/>
      <c r="O595" s="42"/>
      <c r="P595" s="9"/>
      <c r="Q595" s="9"/>
      <c r="R595" s="42"/>
      <c r="S595" s="42"/>
      <c r="T595" s="42"/>
      <c r="U595" s="42"/>
      <c r="V595" s="42"/>
      <c r="W595" s="42"/>
    </row>
    <row r="596">
      <c r="A596" s="9"/>
      <c r="B596" s="9"/>
      <c r="C596" s="9"/>
      <c r="D596" s="42"/>
      <c r="E596" s="103"/>
      <c r="F596" s="42"/>
      <c r="G596" s="9"/>
      <c r="H596" s="9"/>
      <c r="I596" s="9"/>
      <c r="J596" s="9"/>
      <c r="K596" s="42"/>
      <c r="L596" s="42"/>
      <c r="M596" s="42"/>
      <c r="N596" s="42"/>
      <c r="O596" s="42"/>
      <c r="P596" s="9"/>
      <c r="Q596" s="9"/>
      <c r="R596" s="42"/>
      <c r="S596" s="42"/>
      <c r="T596" s="42"/>
      <c r="U596" s="42"/>
      <c r="V596" s="42"/>
      <c r="W596" s="42"/>
    </row>
    <row r="597">
      <c r="A597" s="9"/>
      <c r="B597" s="9"/>
      <c r="C597" s="9"/>
      <c r="D597" s="42"/>
      <c r="E597" s="103"/>
      <c r="F597" s="42"/>
      <c r="G597" s="9"/>
      <c r="H597" s="9"/>
      <c r="I597" s="9"/>
      <c r="J597" s="9"/>
      <c r="K597" s="42"/>
      <c r="L597" s="42"/>
      <c r="M597" s="42"/>
      <c r="N597" s="42"/>
      <c r="O597" s="42"/>
      <c r="P597" s="9"/>
      <c r="Q597" s="9"/>
      <c r="R597" s="42"/>
      <c r="S597" s="42"/>
      <c r="T597" s="42"/>
      <c r="U597" s="42"/>
      <c r="V597" s="42"/>
      <c r="W597" s="42"/>
    </row>
    <row r="598">
      <c r="A598" s="9"/>
      <c r="B598" s="9"/>
      <c r="C598" s="9"/>
      <c r="D598" s="42"/>
      <c r="E598" s="103"/>
      <c r="F598" s="42"/>
      <c r="G598" s="9"/>
      <c r="H598" s="9"/>
      <c r="I598" s="9"/>
      <c r="J598" s="9"/>
      <c r="K598" s="42"/>
      <c r="L598" s="42"/>
      <c r="M598" s="42"/>
      <c r="N598" s="42"/>
      <c r="O598" s="42"/>
      <c r="P598" s="9"/>
      <c r="Q598" s="9"/>
      <c r="R598" s="42"/>
      <c r="S598" s="42"/>
      <c r="T598" s="42"/>
      <c r="U598" s="42"/>
      <c r="V598" s="42"/>
      <c r="W598" s="42"/>
    </row>
    <row r="599">
      <c r="A599" s="9"/>
      <c r="B599" s="9"/>
      <c r="C599" s="9"/>
      <c r="D599" s="42"/>
      <c r="E599" s="103"/>
      <c r="F599" s="42"/>
      <c r="G599" s="9"/>
      <c r="H599" s="9"/>
      <c r="I599" s="9"/>
      <c r="J599" s="9"/>
      <c r="K599" s="42"/>
      <c r="L599" s="42"/>
      <c r="M599" s="42"/>
      <c r="N599" s="42"/>
      <c r="O599" s="42"/>
      <c r="P599" s="9"/>
      <c r="Q599" s="9"/>
      <c r="R599" s="42"/>
      <c r="S599" s="42"/>
      <c r="T599" s="42"/>
      <c r="U599" s="42"/>
      <c r="V599" s="42"/>
      <c r="W599" s="42"/>
    </row>
    <row r="600">
      <c r="A600" s="9"/>
      <c r="B600" s="9"/>
      <c r="C600" s="9"/>
      <c r="D600" s="42"/>
      <c r="E600" s="103"/>
      <c r="F600" s="42"/>
      <c r="G600" s="9"/>
      <c r="H600" s="9"/>
      <c r="I600" s="9"/>
      <c r="J600" s="9"/>
      <c r="K600" s="42"/>
      <c r="L600" s="42"/>
      <c r="M600" s="42"/>
      <c r="N600" s="42"/>
      <c r="O600" s="42"/>
      <c r="P600" s="9"/>
      <c r="Q600" s="9"/>
      <c r="R600" s="42"/>
      <c r="S600" s="42"/>
      <c r="T600" s="42"/>
      <c r="U600" s="42"/>
      <c r="V600" s="42"/>
      <c r="W600" s="42"/>
    </row>
    <row r="601">
      <c r="A601" s="9"/>
      <c r="B601" s="9"/>
      <c r="C601" s="9"/>
      <c r="D601" s="42"/>
      <c r="E601" s="103"/>
      <c r="F601" s="42"/>
      <c r="G601" s="9"/>
      <c r="H601" s="9"/>
      <c r="I601" s="9"/>
      <c r="J601" s="9"/>
      <c r="K601" s="42"/>
      <c r="L601" s="42"/>
      <c r="M601" s="42"/>
      <c r="N601" s="42"/>
      <c r="O601" s="42"/>
      <c r="P601" s="9"/>
      <c r="Q601" s="9"/>
      <c r="R601" s="42"/>
      <c r="S601" s="42"/>
      <c r="T601" s="42"/>
      <c r="U601" s="42"/>
      <c r="V601" s="42"/>
      <c r="W601" s="42"/>
    </row>
    <row r="602">
      <c r="A602" s="9"/>
      <c r="B602" s="9"/>
      <c r="C602" s="9"/>
      <c r="D602" s="42"/>
      <c r="E602" s="103"/>
      <c r="F602" s="42"/>
      <c r="G602" s="9"/>
      <c r="H602" s="9"/>
      <c r="I602" s="9"/>
      <c r="J602" s="9"/>
      <c r="K602" s="42"/>
      <c r="L602" s="42"/>
      <c r="M602" s="42"/>
      <c r="N602" s="42"/>
      <c r="O602" s="42"/>
      <c r="P602" s="9"/>
      <c r="Q602" s="9"/>
      <c r="R602" s="42"/>
      <c r="S602" s="42"/>
      <c r="T602" s="42"/>
      <c r="U602" s="42"/>
      <c r="V602" s="42"/>
      <c r="W602" s="42"/>
    </row>
    <row r="603">
      <c r="A603" s="9"/>
      <c r="B603" s="9"/>
      <c r="C603" s="9"/>
      <c r="D603" s="42"/>
      <c r="E603" s="103"/>
      <c r="F603" s="42"/>
      <c r="G603" s="9"/>
      <c r="H603" s="9"/>
      <c r="I603" s="9"/>
      <c r="J603" s="9"/>
      <c r="K603" s="42"/>
      <c r="L603" s="42"/>
      <c r="M603" s="42"/>
      <c r="N603" s="42"/>
      <c r="O603" s="42"/>
      <c r="P603" s="9"/>
      <c r="Q603" s="9"/>
      <c r="R603" s="42"/>
      <c r="S603" s="42"/>
      <c r="T603" s="42"/>
      <c r="U603" s="42"/>
      <c r="V603" s="42"/>
      <c r="W603" s="42"/>
    </row>
    <row r="604">
      <c r="A604" s="9"/>
      <c r="B604" s="9"/>
      <c r="C604" s="9"/>
      <c r="D604" s="42"/>
      <c r="E604" s="103"/>
      <c r="F604" s="42"/>
      <c r="G604" s="9"/>
      <c r="H604" s="9"/>
      <c r="I604" s="9"/>
      <c r="J604" s="9"/>
      <c r="K604" s="42"/>
      <c r="L604" s="42"/>
      <c r="M604" s="42"/>
      <c r="N604" s="42"/>
      <c r="O604" s="42"/>
      <c r="P604" s="9"/>
      <c r="Q604" s="9"/>
      <c r="R604" s="42"/>
      <c r="S604" s="42"/>
      <c r="T604" s="42"/>
      <c r="U604" s="42"/>
      <c r="V604" s="42"/>
      <c r="W604" s="42"/>
    </row>
    <row r="605">
      <c r="A605" s="9"/>
      <c r="B605" s="9"/>
      <c r="C605" s="9"/>
      <c r="D605" s="42"/>
      <c r="E605" s="103"/>
      <c r="F605" s="42"/>
      <c r="G605" s="9"/>
      <c r="H605" s="9"/>
      <c r="I605" s="9"/>
      <c r="J605" s="9"/>
      <c r="K605" s="42"/>
      <c r="L605" s="42"/>
      <c r="M605" s="42"/>
      <c r="N605" s="42"/>
      <c r="O605" s="42"/>
      <c r="P605" s="9"/>
      <c r="Q605" s="9"/>
      <c r="R605" s="42"/>
      <c r="S605" s="42"/>
      <c r="T605" s="42"/>
      <c r="U605" s="42"/>
      <c r="V605" s="42"/>
      <c r="W605" s="42"/>
    </row>
    <row r="606">
      <c r="A606" s="9"/>
      <c r="B606" s="9"/>
      <c r="C606" s="9"/>
      <c r="D606" s="42"/>
      <c r="E606" s="103"/>
      <c r="F606" s="42"/>
      <c r="G606" s="9"/>
      <c r="H606" s="9"/>
      <c r="I606" s="9"/>
      <c r="J606" s="9"/>
      <c r="K606" s="42"/>
      <c r="L606" s="42"/>
      <c r="M606" s="42"/>
      <c r="N606" s="42"/>
      <c r="O606" s="42"/>
      <c r="P606" s="9"/>
      <c r="Q606" s="9"/>
      <c r="R606" s="42"/>
      <c r="S606" s="42"/>
      <c r="T606" s="42"/>
      <c r="U606" s="42"/>
      <c r="V606" s="42"/>
      <c r="W606" s="42"/>
    </row>
    <row r="607">
      <c r="A607" s="9"/>
      <c r="B607" s="9"/>
      <c r="C607" s="9"/>
      <c r="D607" s="42"/>
      <c r="E607" s="103"/>
      <c r="F607" s="42"/>
      <c r="G607" s="9"/>
      <c r="H607" s="9"/>
      <c r="I607" s="9"/>
      <c r="J607" s="9"/>
      <c r="K607" s="42"/>
      <c r="L607" s="42"/>
      <c r="M607" s="42"/>
      <c r="N607" s="42"/>
      <c r="O607" s="42"/>
      <c r="P607" s="9"/>
      <c r="Q607" s="9"/>
      <c r="R607" s="42"/>
      <c r="S607" s="42"/>
      <c r="T607" s="42"/>
      <c r="U607" s="42"/>
      <c r="V607" s="42"/>
      <c r="W607" s="42"/>
    </row>
    <row r="608">
      <c r="A608" s="9"/>
      <c r="B608" s="9"/>
      <c r="C608" s="9"/>
      <c r="D608" s="42"/>
      <c r="E608" s="103"/>
      <c r="F608" s="42"/>
      <c r="G608" s="9"/>
      <c r="H608" s="9"/>
      <c r="I608" s="9"/>
      <c r="J608" s="9"/>
      <c r="K608" s="42"/>
      <c r="L608" s="42"/>
      <c r="M608" s="42"/>
      <c r="N608" s="42"/>
      <c r="O608" s="42"/>
      <c r="P608" s="9"/>
      <c r="Q608" s="9"/>
      <c r="R608" s="42"/>
      <c r="S608" s="42"/>
      <c r="T608" s="42"/>
      <c r="U608" s="42"/>
      <c r="V608" s="42"/>
      <c r="W608" s="42"/>
    </row>
    <row r="609">
      <c r="A609" s="9"/>
      <c r="B609" s="9"/>
      <c r="C609" s="9"/>
      <c r="D609" s="42"/>
      <c r="E609" s="103"/>
      <c r="F609" s="42"/>
      <c r="G609" s="9"/>
      <c r="H609" s="9"/>
      <c r="I609" s="9"/>
      <c r="J609" s="9"/>
      <c r="K609" s="42"/>
      <c r="L609" s="42"/>
      <c r="M609" s="42"/>
      <c r="N609" s="42"/>
      <c r="O609" s="42"/>
      <c r="P609" s="9"/>
      <c r="Q609" s="9"/>
      <c r="R609" s="42"/>
      <c r="S609" s="42"/>
      <c r="T609" s="42"/>
      <c r="U609" s="42"/>
      <c r="V609" s="42"/>
      <c r="W609" s="42"/>
    </row>
    <row r="610">
      <c r="A610" s="9"/>
      <c r="B610" s="9"/>
      <c r="C610" s="9"/>
      <c r="D610" s="42"/>
      <c r="E610" s="103"/>
      <c r="F610" s="42"/>
      <c r="G610" s="9"/>
      <c r="H610" s="9"/>
      <c r="I610" s="9"/>
      <c r="J610" s="9"/>
      <c r="K610" s="42"/>
      <c r="L610" s="42"/>
      <c r="M610" s="42"/>
      <c r="N610" s="42"/>
      <c r="O610" s="42"/>
      <c r="P610" s="9"/>
      <c r="Q610" s="9"/>
      <c r="R610" s="42"/>
      <c r="S610" s="42"/>
      <c r="T610" s="42"/>
      <c r="U610" s="42"/>
      <c r="V610" s="42"/>
      <c r="W610" s="42"/>
    </row>
    <row r="611">
      <c r="A611" s="9"/>
      <c r="B611" s="9"/>
      <c r="C611" s="9"/>
      <c r="D611" s="42"/>
      <c r="E611" s="103"/>
      <c r="F611" s="42"/>
      <c r="G611" s="9"/>
      <c r="H611" s="9"/>
      <c r="I611" s="9"/>
      <c r="J611" s="9"/>
      <c r="K611" s="42"/>
      <c r="L611" s="42"/>
      <c r="M611" s="42"/>
      <c r="N611" s="42"/>
      <c r="O611" s="42"/>
      <c r="P611" s="9"/>
      <c r="Q611" s="9"/>
      <c r="R611" s="42"/>
      <c r="S611" s="42"/>
      <c r="T611" s="42"/>
      <c r="U611" s="42"/>
      <c r="V611" s="42"/>
      <c r="W611" s="42"/>
    </row>
    <row r="612">
      <c r="A612" s="9"/>
      <c r="B612" s="9"/>
      <c r="C612" s="9"/>
      <c r="D612" s="42"/>
      <c r="E612" s="103"/>
      <c r="F612" s="42"/>
      <c r="G612" s="9"/>
      <c r="H612" s="9"/>
      <c r="I612" s="9"/>
      <c r="J612" s="9"/>
      <c r="K612" s="42"/>
      <c r="L612" s="42"/>
      <c r="M612" s="42"/>
      <c r="N612" s="42"/>
      <c r="O612" s="42"/>
      <c r="P612" s="9"/>
      <c r="Q612" s="9"/>
      <c r="R612" s="42"/>
      <c r="S612" s="42"/>
      <c r="T612" s="42"/>
      <c r="U612" s="42"/>
      <c r="V612" s="42"/>
      <c r="W612" s="42"/>
    </row>
    <row r="613">
      <c r="A613" s="9"/>
      <c r="B613" s="9"/>
      <c r="C613" s="9"/>
      <c r="D613" s="42"/>
      <c r="E613" s="103"/>
      <c r="F613" s="42"/>
      <c r="G613" s="9"/>
      <c r="H613" s="9"/>
      <c r="I613" s="9"/>
      <c r="J613" s="9"/>
      <c r="K613" s="42"/>
      <c r="L613" s="42"/>
      <c r="M613" s="42"/>
      <c r="N613" s="42"/>
      <c r="O613" s="42"/>
      <c r="P613" s="9"/>
      <c r="Q613" s="9"/>
      <c r="R613" s="42"/>
      <c r="S613" s="42"/>
      <c r="T613" s="42"/>
      <c r="U613" s="42"/>
      <c r="V613" s="42"/>
      <c r="W613" s="42"/>
    </row>
    <row r="614">
      <c r="A614" s="9"/>
      <c r="B614" s="9"/>
      <c r="C614" s="9"/>
      <c r="D614" s="42"/>
      <c r="E614" s="103"/>
      <c r="F614" s="42"/>
      <c r="G614" s="9"/>
      <c r="H614" s="9"/>
      <c r="I614" s="9"/>
      <c r="J614" s="9"/>
      <c r="K614" s="42"/>
      <c r="L614" s="42"/>
      <c r="M614" s="42"/>
      <c r="N614" s="42"/>
      <c r="O614" s="42"/>
      <c r="P614" s="9"/>
      <c r="Q614" s="9"/>
      <c r="R614" s="42"/>
      <c r="S614" s="42"/>
      <c r="T614" s="42"/>
      <c r="U614" s="42"/>
      <c r="V614" s="42"/>
      <c r="W614" s="42"/>
    </row>
    <row r="615">
      <c r="A615" s="9"/>
      <c r="B615" s="9"/>
      <c r="C615" s="9"/>
      <c r="D615" s="42"/>
      <c r="E615" s="103"/>
      <c r="F615" s="42"/>
      <c r="G615" s="9"/>
      <c r="H615" s="9"/>
      <c r="I615" s="9"/>
      <c r="J615" s="9"/>
      <c r="K615" s="42"/>
      <c r="L615" s="42"/>
      <c r="M615" s="42"/>
      <c r="N615" s="42"/>
      <c r="O615" s="42"/>
      <c r="P615" s="9"/>
      <c r="Q615" s="9"/>
      <c r="R615" s="42"/>
      <c r="S615" s="42"/>
      <c r="T615" s="42"/>
      <c r="U615" s="42"/>
      <c r="V615" s="42"/>
      <c r="W615" s="42"/>
    </row>
    <row r="616">
      <c r="A616" s="9"/>
      <c r="B616" s="9"/>
      <c r="C616" s="9"/>
      <c r="D616" s="42"/>
      <c r="E616" s="103"/>
      <c r="F616" s="42"/>
      <c r="G616" s="9"/>
      <c r="H616" s="9"/>
      <c r="I616" s="9"/>
      <c r="J616" s="9"/>
      <c r="K616" s="42"/>
      <c r="L616" s="42"/>
      <c r="M616" s="42"/>
      <c r="N616" s="42"/>
      <c r="O616" s="42"/>
      <c r="P616" s="9"/>
      <c r="Q616" s="9"/>
      <c r="R616" s="42"/>
      <c r="S616" s="42"/>
      <c r="T616" s="42"/>
      <c r="U616" s="42"/>
      <c r="V616" s="42"/>
      <c r="W616" s="42"/>
    </row>
    <row r="617">
      <c r="A617" s="9"/>
      <c r="B617" s="9"/>
      <c r="C617" s="9"/>
      <c r="D617" s="42"/>
      <c r="E617" s="103"/>
      <c r="F617" s="42"/>
      <c r="G617" s="9"/>
      <c r="H617" s="9"/>
      <c r="I617" s="9"/>
      <c r="J617" s="9"/>
      <c r="K617" s="42"/>
      <c r="L617" s="42"/>
      <c r="M617" s="42"/>
      <c r="N617" s="42"/>
      <c r="O617" s="42"/>
      <c r="P617" s="9"/>
      <c r="Q617" s="9"/>
      <c r="R617" s="42"/>
      <c r="S617" s="42"/>
      <c r="T617" s="42"/>
      <c r="U617" s="42"/>
      <c r="V617" s="42"/>
      <c r="W617" s="42"/>
    </row>
    <row r="618">
      <c r="A618" s="9"/>
      <c r="B618" s="9"/>
      <c r="C618" s="9"/>
      <c r="D618" s="42"/>
      <c r="E618" s="103"/>
      <c r="F618" s="42"/>
      <c r="G618" s="9"/>
      <c r="H618" s="9"/>
      <c r="I618" s="9"/>
      <c r="J618" s="9"/>
      <c r="K618" s="42"/>
      <c r="L618" s="42"/>
      <c r="M618" s="42"/>
      <c r="N618" s="42"/>
      <c r="O618" s="42"/>
      <c r="P618" s="9"/>
      <c r="Q618" s="9"/>
      <c r="R618" s="42"/>
      <c r="S618" s="42"/>
      <c r="T618" s="42"/>
      <c r="U618" s="42"/>
      <c r="V618" s="42"/>
      <c r="W618" s="42"/>
    </row>
    <row r="619">
      <c r="A619" s="9"/>
      <c r="B619" s="9"/>
      <c r="C619" s="9"/>
      <c r="D619" s="42"/>
      <c r="E619" s="103"/>
      <c r="F619" s="42"/>
      <c r="G619" s="9"/>
      <c r="H619" s="9"/>
      <c r="I619" s="9"/>
      <c r="J619" s="9"/>
      <c r="K619" s="42"/>
      <c r="L619" s="42"/>
      <c r="M619" s="42"/>
      <c r="N619" s="42"/>
      <c r="O619" s="42"/>
      <c r="P619" s="9"/>
      <c r="Q619" s="9"/>
      <c r="R619" s="42"/>
      <c r="S619" s="42"/>
      <c r="T619" s="42"/>
      <c r="U619" s="42"/>
      <c r="V619" s="42"/>
      <c r="W619" s="42"/>
    </row>
    <row r="620">
      <c r="A620" s="9"/>
      <c r="B620" s="9"/>
      <c r="C620" s="9"/>
      <c r="D620" s="42"/>
      <c r="E620" s="103"/>
      <c r="F620" s="42"/>
      <c r="G620" s="9"/>
      <c r="H620" s="9"/>
      <c r="I620" s="9"/>
      <c r="J620" s="9"/>
      <c r="K620" s="42"/>
      <c r="L620" s="42"/>
      <c r="M620" s="42"/>
      <c r="N620" s="42"/>
      <c r="O620" s="42"/>
      <c r="P620" s="9"/>
      <c r="Q620" s="9"/>
      <c r="R620" s="42"/>
      <c r="S620" s="42"/>
      <c r="T620" s="42"/>
      <c r="U620" s="42"/>
      <c r="V620" s="42"/>
      <c r="W620" s="42"/>
    </row>
    <row r="621">
      <c r="A621" s="9"/>
      <c r="B621" s="9"/>
      <c r="C621" s="9"/>
      <c r="D621" s="42"/>
      <c r="E621" s="103"/>
      <c r="F621" s="42"/>
      <c r="G621" s="9"/>
      <c r="H621" s="9"/>
      <c r="I621" s="9"/>
      <c r="J621" s="9"/>
      <c r="K621" s="42"/>
      <c r="L621" s="42"/>
      <c r="M621" s="42"/>
      <c r="N621" s="42"/>
      <c r="O621" s="42"/>
      <c r="P621" s="9"/>
      <c r="Q621" s="9"/>
      <c r="R621" s="42"/>
      <c r="S621" s="42"/>
      <c r="T621" s="42"/>
      <c r="U621" s="42"/>
      <c r="V621" s="42"/>
      <c r="W621" s="42"/>
    </row>
    <row r="622">
      <c r="A622" s="9"/>
      <c r="B622" s="9"/>
      <c r="C622" s="9"/>
      <c r="D622" s="42"/>
      <c r="E622" s="103"/>
      <c r="F622" s="42"/>
      <c r="G622" s="9"/>
      <c r="H622" s="9"/>
      <c r="I622" s="9"/>
      <c r="J622" s="9"/>
      <c r="K622" s="42"/>
      <c r="L622" s="42"/>
      <c r="M622" s="42"/>
      <c r="N622" s="42"/>
      <c r="O622" s="42"/>
      <c r="P622" s="9"/>
      <c r="Q622" s="9"/>
      <c r="R622" s="42"/>
      <c r="S622" s="42"/>
      <c r="T622" s="42"/>
      <c r="U622" s="42"/>
      <c r="V622" s="42"/>
      <c r="W622" s="42"/>
    </row>
    <row r="623">
      <c r="A623" s="9"/>
      <c r="B623" s="9"/>
      <c r="C623" s="9"/>
      <c r="D623" s="42"/>
      <c r="E623" s="103"/>
      <c r="F623" s="42"/>
      <c r="G623" s="9"/>
      <c r="H623" s="9"/>
      <c r="I623" s="9"/>
      <c r="J623" s="9"/>
      <c r="K623" s="42"/>
      <c r="L623" s="42"/>
      <c r="M623" s="42"/>
      <c r="N623" s="42"/>
      <c r="O623" s="42"/>
      <c r="P623" s="9"/>
      <c r="Q623" s="9"/>
      <c r="R623" s="42"/>
      <c r="S623" s="42"/>
      <c r="T623" s="42"/>
      <c r="U623" s="42"/>
      <c r="V623" s="42"/>
      <c r="W623" s="42"/>
    </row>
    <row r="624">
      <c r="A624" s="9"/>
      <c r="B624" s="9"/>
      <c r="C624" s="9"/>
      <c r="D624" s="42"/>
      <c r="E624" s="103"/>
      <c r="F624" s="42"/>
      <c r="G624" s="9"/>
      <c r="H624" s="9"/>
      <c r="I624" s="9"/>
      <c r="J624" s="9"/>
      <c r="K624" s="42"/>
      <c r="L624" s="42"/>
      <c r="M624" s="42"/>
      <c r="N624" s="42"/>
      <c r="O624" s="42"/>
      <c r="P624" s="9"/>
      <c r="Q624" s="9"/>
      <c r="R624" s="42"/>
      <c r="S624" s="42"/>
      <c r="T624" s="42"/>
      <c r="U624" s="42"/>
      <c r="V624" s="42"/>
      <c r="W624" s="42"/>
    </row>
    <row r="625">
      <c r="A625" s="9"/>
      <c r="B625" s="9"/>
      <c r="C625" s="9"/>
      <c r="D625" s="42"/>
      <c r="E625" s="103"/>
      <c r="F625" s="42"/>
      <c r="G625" s="9"/>
      <c r="H625" s="9"/>
      <c r="I625" s="9"/>
      <c r="J625" s="9"/>
      <c r="K625" s="42"/>
      <c r="L625" s="42"/>
      <c r="M625" s="42"/>
      <c r="N625" s="42"/>
      <c r="O625" s="42"/>
      <c r="P625" s="9"/>
      <c r="Q625" s="9"/>
      <c r="R625" s="42"/>
      <c r="S625" s="42"/>
      <c r="T625" s="42"/>
      <c r="U625" s="42"/>
      <c r="V625" s="42"/>
      <c r="W625" s="42"/>
    </row>
    <row r="626">
      <c r="A626" s="9"/>
      <c r="B626" s="9"/>
      <c r="C626" s="9"/>
      <c r="D626" s="42"/>
      <c r="E626" s="103"/>
      <c r="F626" s="42"/>
      <c r="G626" s="9"/>
      <c r="H626" s="9"/>
      <c r="I626" s="9"/>
      <c r="J626" s="9"/>
      <c r="K626" s="42"/>
      <c r="L626" s="42"/>
      <c r="M626" s="42"/>
      <c r="N626" s="42"/>
      <c r="O626" s="42"/>
      <c r="P626" s="9"/>
      <c r="Q626" s="9"/>
      <c r="R626" s="42"/>
      <c r="S626" s="42"/>
      <c r="T626" s="42"/>
      <c r="U626" s="42"/>
      <c r="V626" s="42"/>
      <c r="W626" s="42"/>
    </row>
    <row r="627">
      <c r="A627" s="9"/>
      <c r="B627" s="9"/>
      <c r="C627" s="9"/>
      <c r="D627" s="42"/>
      <c r="E627" s="103"/>
      <c r="F627" s="42"/>
      <c r="G627" s="9"/>
      <c r="H627" s="9"/>
      <c r="I627" s="9"/>
      <c r="J627" s="9"/>
      <c r="K627" s="42"/>
      <c r="L627" s="42"/>
      <c r="M627" s="42"/>
      <c r="N627" s="42"/>
      <c r="O627" s="42"/>
      <c r="P627" s="9"/>
      <c r="Q627" s="9"/>
      <c r="R627" s="42"/>
      <c r="S627" s="42"/>
      <c r="T627" s="42"/>
      <c r="U627" s="42"/>
      <c r="V627" s="42"/>
      <c r="W627" s="42"/>
    </row>
    <row r="628">
      <c r="A628" s="9"/>
      <c r="B628" s="9"/>
      <c r="C628" s="9"/>
      <c r="D628" s="42"/>
      <c r="E628" s="103"/>
      <c r="F628" s="42"/>
      <c r="G628" s="9"/>
      <c r="H628" s="9"/>
      <c r="I628" s="9"/>
      <c r="J628" s="9"/>
      <c r="K628" s="42"/>
      <c r="L628" s="42"/>
      <c r="M628" s="42"/>
      <c r="N628" s="42"/>
      <c r="O628" s="42"/>
      <c r="P628" s="9"/>
      <c r="Q628" s="9"/>
      <c r="R628" s="42"/>
      <c r="S628" s="42"/>
      <c r="T628" s="42"/>
      <c r="U628" s="42"/>
      <c r="V628" s="42"/>
      <c r="W628" s="42"/>
    </row>
    <row r="629">
      <c r="A629" s="9"/>
      <c r="B629" s="9"/>
      <c r="C629" s="9"/>
      <c r="D629" s="42"/>
      <c r="E629" s="103"/>
      <c r="F629" s="42"/>
      <c r="G629" s="9"/>
      <c r="H629" s="9"/>
      <c r="I629" s="9"/>
      <c r="J629" s="9"/>
      <c r="K629" s="42"/>
      <c r="L629" s="42"/>
      <c r="M629" s="42"/>
      <c r="N629" s="42"/>
      <c r="O629" s="42"/>
      <c r="P629" s="9"/>
      <c r="Q629" s="9"/>
      <c r="R629" s="42"/>
      <c r="S629" s="42"/>
      <c r="T629" s="42"/>
      <c r="U629" s="42"/>
      <c r="V629" s="42"/>
      <c r="W629" s="42"/>
    </row>
    <row r="630">
      <c r="A630" s="9"/>
      <c r="B630" s="9"/>
      <c r="C630" s="9"/>
      <c r="D630" s="42"/>
      <c r="E630" s="103"/>
      <c r="F630" s="42"/>
      <c r="G630" s="9"/>
      <c r="H630" s="9"/>
      <c r="I630" s="9"/>
      <c r="J630" s="9"/>
      <c r="K630" s="42"/>
      <c r="L630" s="42"/>
      <c r="M630" s="42"/>
      <c r="N630" s="42"/>
      <c r="O630" s="42"/>
      <c r="P630" s="9"/>
      <c r="Q630" s="9"/>
      <c r="R630" s="42"/>
      <c r="S630" s="42"/>
      <c r="T630" s="42"/>
      <c r="U630" s="42"/>
      <c r="V630" s="42"/>
      <c r="W630" s="42"/>
    </row>
    <row r="631">
      <c r="A631" s="9"/>
      <c r="B631" s="9"/>
      <c r="C631" s="9"/>
      <c r="D631" s="42"/>
      <c r="E631" s="103"/>
      <c r="F631" s="42"/>
      <c r="G631" s="9"/>
      <c r="H631" s="9"/>
      <c r="I631" s="9"/>
      <c r="J631" s="9"/>
      <c r="K631" s="42"/>
      <c r="L631" s="42"/>
      <c r="M631" s="42"/>
      <c r="N631" s="42"/>
      <c r="O631" s="42"/>
      <c r="P631" s="9"/>
      <c r="Q631" s="9"/>
      <c r="R631" s="42"/>
      <c r="S631" s="42"/>
      <c r="T631" s="42"/>
      <c r="U631" s="42"/>
      <c r="V631" s="42"/>
      <c r="W631" s="42"/>
    </row>
    <row r="632">
      <c r="A632" s="9"/>
      <c r="B632" s="9"/>
      <c r="C632" s="9"/>
      <c r="D632" s="42"/>
      <c r="E632" s="103"/>
      <c r="F632" s="42"/>
      <c r="G632" s="9"/>
      <c r="H632" s="9"/>
      <c r="I632" s="9"/>
      <c r="J632" s="9"/>
      <c r="K632" s="42"/>
      <c r="L632" s="42"/>
      <c r="M632" s="42"/>
      <c r="N632" s="42"/>
      <c r="O632" s="42"/>
      <c r="P632" s="9"/>
      <c r="Q632" s="9"/>
      <c r="R632" s="42"/>
      <c r="S632" s="42"/>
      <c r="T632" s="42"/>
      <c r="U632" s="42"/>
      <c r="V632" s="42"/>
      <c r="W632" s="42"/>
    </row>
    <row r="633">
      <c r="A633" s="9"/>
      <c r="B633" s="9"/>
      <c r="C633" s="9"/>
      <c r="D633" s="42"/>
      <c r="E633" s="103"/>
      <c r="F633" s="42"/>
      <c r="G633" s="9"/>
      <c r="H633" s="9"/>
      <c r="I633" s="9"/>
      <c r="J633" s="9"/>
      <c r="K633" s="42"/>
      <c r="L633" s="42"/>
      <c r="M633" s="42"/>
      <c r="N633" s="42"/>
      <c r="O633" s="42"/>
      <c r="P633" s="9"/>
      <c r="Q633" s="9"/>
      <c r="R633" s="42"/>
      <c r="S633" s="42"/>
      <c r="T633" s="42"/>
      <c r="U633" s="42"/>
      <c r="V633" s="42"/>
      <c r="W633" s="42"/>
    </row>
    <row r="634">
      <c r="A634" s="9"/>
      <c r="B634" s="9"/>
      <c r="C634" s="9"/>
      <c r="D634" s="42"/>
      <c r="E634" s="103"/>
      <c r="F634" s="42"/>
      <c r="G634" s="9"/>
      <c r="H634" s="9"/>
      <c r="I634" s="9"/>
      <c r="J634" s="9"/>
      <c r="K634" s="42"/>
      <c r="L634" s="42"/>
      <c r="M634" s="42"/>
      <c r="N634" s="42"/>
      <c r="O634" s="42"/>
      <c r="P634" s="9"/>
      <c r="Q634" s="9"/>
      <c r="R634" s="42"/>
      <c r="S634" s="42"/>
      <c r="T634" s="42"/>
      <c r="U634" s="42"/>
      <c r="V634" s="42"/>
      <c r="W634" s="42"/>
    </row>
    <row r="635">
      <c r="A635" s="9"/>
      <c r="B635" s="9"/>
      <c r="C635" s="9"/>
      <c r="D635" s="42"/>
      <c r="E635" s="103"/>
      <c r="F635" s="42"/>
      <c r="G635" s="9"/>
      <c r="H635" s="9"/>
      <c r="I635" s="9"/>
      <c r="J635" s="9"/>
      <c r="K635" s="42"/>
      <c r="L635" s="42"/>
      <c r="M635" s="42"/>
      <c r="N635" s="42"/>
      <c r="O635" s="42"/>
      <c r="P635" s="9"/>
      <c r="Q635" s="9"/>
      <c r="R635" s="42"/>
      <c r="S635" s="42"/>
      <c r="T635" s="42"/>
      <c r="U635" s="42"/>
      <c r="V635" s="42"/>
      <c r="W635" s="42"/>
    </row>
    <row r="636">
      <c r="A636" s="9"/>
      <c r="B636" s="9"/>
      <c r="C636" s="9"/>
      <c r="D636" s="42"/>
      <c r="E636" s="103"/>
      <c r="F636" s="42"/>
      <c r="G636" s="9"/>
      <c r="H636" s="9"/>
      <c r="I636" s="9"/>
      <c r="J636" s="9"/>
      <c r="K636" s="42"/>
      <c r="L636" s="42"/>
      <c r="M636" s="42"/>
      <c r="N636" s="42"/>
      <c r="O636" s="42"/>
      <c r="P636" s="9"/>
      <c r="Q636" s="9"/>
      <c r="R636" s="42"/>
      <c r="S636" s="42"/>
      <c r="T636" s="42"/>
      <c r="U636" s="42"/>
      <c r="V636" s="42"/>
      <c r="W636" s="42"/>
    </row>
    <row r="637">
      <c r="A637" s="9"/>
      <c r="B637" s="9"/>
      <c r="C637" s="9"/>
      <c r="D637" s="42"/>
      <c r="E637" s="103"/>
      <c r="F637" s="42"/>
      <c r="G637" s="9"/>
      <c r="H637" s="9"/>
      <c r="I637" s="9"/>
      <c r="J637" s="9"/>
      <c r="K637" s="42"/>
      <c r="L637" s="42"/>
      <c r="M637" s="42"/>
      <c r="N637" s="42"/>
      <c r="O637" s="42"/>
      <c r="P637" s="9"/>
      <c r="Q637" s="9"/>
      <c r="R637" s="42"/>
      <c r="S637" s="42"/>
      <c r="T637" s="42"/>
      <c r="U637" s="42"/>
      <c r="V637" s="42"/>
      <c r="W637" s="42"/>
    </row>
    <row r="638">
      <c r="A638" s="9"/>
      <c r="B638" s="9"/>
      <c r="C638" s="9"/>
      <c r="D638" s="42"/>
      <c r="E638" s="103"/>
      <c r="F638" s="42"/>
      <c r="G638" s="9"/>
      <c r="H638" s="9"/>
      <c r="I638" s="9"/>
      <c r="J638" s="9"/>
      <c r="K638" s="42"/>
      <c r="L638" s="42"/>
      <c r="M638" s="42"/>
      <c r="N638" s="42"/>
      <c r="O638" s="42"/>
      <c r="P638" s="9"/>
      <c r="Q638" s="9"/>
      <c r="R638" s="42"/>
      <c r="S638" s="42"/>
      <c r="T638" s="42"/>
      <c r="U638" s="42"/>
      <c r="V638" s="42"/>
      <c r="W638" s="42"/>
    </row>
    <row r="639">
      <c r="A639" s="9"/>
      <c r="B639" s="9"/>
      <c r="C639" s="9"/>
      <c r="D639" s="42"/>
      <c r="E639" s="103"/>
      <c r="F639" s="42"/>
      <c r="G639" s="9"/>
      <c r="H639" s="9"/>
      <c r="I639" s="9"/>
      <c r="J639" s="9"/>
      <c r="K639" s="42"/>
      <c r="L639" s="42"/>
      <c r="M639" s="42"/>
      <c r="N639" s="42"/>
      <c r="O639" s="42"/>
      <c r="P639" s="9"/>
      <c r="Q639" s="9"/>
      <c r="R639" s="42"/>
      <c r="S639" s="42"/>
      <c r="T639" s="42"/>
      <c r="U639" s="42"/>
      <c r="V639" s="42"/>
      <c r="W639" s="42"/>
    </row>
    <row r="640">
      <c r="A640" s="9"/>
      <c r="B640" s="9"/>
      <c r="C640" s="9"/>
      <c r="D640" s="42"/>
      <c r="E640" s="103"/>
      <c r="F640" s="42"/>
      <c r="G640" s="9"/>
      <c r="H640" s="9"/>
      <c r="I640" s="9"/>
      <c r="J640" s="9"/>
      <c r="K640" s="42"/>
      <c r="L640" s="42"/>
      <c r="M640" s="42"/>
      <c r="N640" s="42"/>
      <c r="O640" s="42"/>
      <c r="P640" s="9"/>
      <c r="Q640" s="9"/>
      <c r="R640" s="42"/>
      <c r="S640" s="42"/>
      <c r="T640" s="42"/>
      <c r="U640" s="42"/>
      <c r="V640" s="42"/>
      <c r="W640" s="42"/>
    </row>
    <row r="641">
      <c r="A641" s="9"/>
      <c r="B641" s="9"/>
      <c r="C641" s="9"/>
      <c r="D641" s="42"/>
      <c r="E641" s="103"/>
      <c r="F641" s="42"/>
      <c r="G641" s="9"/>
      <c r="H641" s="9"/>
      <c r="I641" s="9"/>
      <c r="J641" s="9"/>
      <c r="K641" s="42"/>
      <c r="L641" s="42"/>
      <c r="M641" s="42"/>
      <c r="N641" s="42"/>
      <c r="O641" s="42"/>
      <c r="P641" s="9"/>
      <c r="Q641" s="9"/>
      <c r="R641" s="42"/>
      <c r="S641" s="42"/>
      <c r="T641" s="42"/>
      <c r="U641" s="42"/>
      <c r="V641" s="42"/>
      <c r="W641" s="42"/>
    </row>
    <row r="642">
      <c r="A642" s="9"/>
      <c r="B642" s="9"/>
      <c r="C642" s="9"/>
      <c r="D642" s="42"/>
      <c r="E642" s="103"/>
      <c r="F642" s="42"/>
      <c r="G642" s="9"/>
      <c r="H642" s="9"/>
      <c r="I642" s="9"/>
      <c r="J642" s="9"/>
      <c r="K642" s="42"/>
      <c r="L642" s="42"/>
      <c r="M642" s="42"/>
      <c r="N642" s="42"/>
      <c r="O642" s="42"/>
      <c r="P642" s="9"/>
      <c r="Q642" s="9"/>
      <c r="R642" s="42"/>
      <c r="S642" s="42"/>
      <c r="T642" s="42"/>
      <c r="U642" s="42"/>
      <c r="V642" s="42"/>
      <c r="W642" s="42"/>
    </row>
    <row r="643">
      <c r="A643" s="9"/>
      <c r="B643" s="9"/>
      <c r="C643" s="9"/>
      <c r="D643" s="42"/>
      <c r="E643" s="103"/>
      <c r="F643" s="42"/>
      <c r="G643" s="9"/>
      <c r="H643" s="9"/>
      <c r="I643" s="9"/>
      <c r="J643" s="9"/>
      <c r="K643" s="42"/>
      <c r="L643" s="42"/>
      <c r="M643" s="42"/>
      <c r="N643" s="42"/>
      <c r="O643" s="42"/>
      <c r="P643" s="9"/>
      <c r="Q643" s="9"/>
      <c r="R643" s="42"/>
      <c r="S643" s="42"/>
      <c r="T643" s="42"/>
      <c r="U643" s="42"/>
      <c r="V643" s="42"/>
      <c r="W643" s="42"/>
    </row>
    <row r="644">
      <c r="A644" s="9"/>
      <c r="B644" s="9"/>
      <c r="C644" s="9"/>
      <c r="D644" s="42"/>
      <c r="E644" s="103"/>
      <c r="F644" s="42"/>
      <c r="G644" s="9"/>
      <c r="H644" s="9"/>
      <c r="I644" s="9"/>
      <c r="J644" s="9"/>
      <c r="K644" s="42"/>
      <c r="L644" s="42"/>
      <c r="M644" s="42"/>
      <c r="N644" s="42"/>
      <c r="O644" s="42"/>
      <c r="P644" s="9"/>
      <c r="Q644" s="9"/>
      <c r="R644" s="42"/>
      <c r="S644" s="42"/>
      <c r="T644" s="42"/>
      <c r="U644" s="42"/>
      <c r="V644" s="42"/>
      <c r="W644" s="42"/>
    </row>
    <row r="645">
      <c r="A645" s="9"/>
      <c r="B645" s="9"/>
      <c r="C645" s="9"/>
      <c r="D645" s="42"/>
      <c r="E645" s="103"/>
      <c r="F645" s="42"/>
      <c r="G645" s="9"/>
      <c r="H645" s="9"/>
      <c r="I645" s="9"/>
      <c r="J645" s="9"/>
      <c r="K645" s="42"/>
      <c r="L645" s="42"/>
      <c r="M645" s="42"/>
      <c r="N645" s="42"/>
      <c r="O645" s="42"/>
      <c r="P645" s="9"/>
      <c r="Q645" s="9"/>
      <c r="R645" s="42"/>
      <c r="S645" s="42"/>
      <c r="T645" s="42"/>
      <c r="U645" s="42"/>
      <c r="V645" s="42"/>
      <c r="W645" s="42"/>
    </row>
    <row r="646">
      <c r="A646" s="9"/>
      <c r="B646" s="9"/>
      <c r="C646" s="9"/>
      <c r="D646" s="42"/>
      <c r="E646" s="103"/>
      <c r="F646" s="42"/>
      <c r="G646" s="9"/>
      <c r="H646" s="9"/>
      <c r="I646" s="9"/>
      <c r="J646" s="9"/>
      <c r="K646" s="42"/>
      <c r="L646" s="42"/>
      <c r="M646" s="42"/>
      <c r="N646" s="42"/>
      <c r="O646" s="42"/>
      <c r="P646" s="9"/>
      <c r="Q646" s="9"/>
      <c r="R646" s="42"/>
      <c r="S646" s="42"/>
      <c r="T646" s="42"/>
      <c r="U646" s="42"/>
      <c r="V646" s="42"/>
      <c r="W646" s="42"/>
    </row>
    <row r="647">
      <c r="A647" s="9"/>
      <c r="B647" s="9"/>
      <c r="C647" s="9"/>
      <c r="D647" s="42"/>
      <c r="E647" s="103"/>
      <c r="F647" s="42"/>
      <c r="G647" s="9"/>
      <c r="H647" s="9"/>
      <c r="I647" s="9"/>
      <c r="J647" s="9"/>
      <c r="K647" s="42"/>
      <c r="L647" s="42"/>
      <c r="M647" s="42"/>
      <c r="N647" s="42"/>
      <c r="O647" s="42"/>
      <c r="P647" s="9"/>
      <c r="Q647" s="9"/>
      <c r="R647" s="42"/>
      <c r="S647" s="42"/>
      <c r="T647" s="42"/>
      <c r="U647" s="42"/>
      <c r="V647" s="42"/>
      <c r="W647" s="42"/>
    </row>
    <row r="648">
      <c r="A648" s="9"/>
      <c r="B648" s="9"/>
      <c r="C648" s="9"/>
      <c r="D648" s="42"/>
      <c r="E648" s="103"/>
      <c r="F648" s="42"/>
      <c r="G648" s="9"/>
      <c r="H648" s="9"/>
      <c r="I648" s="9"/>
      <c r="J648" s="9"/>
      <c r="K648" s="42"/>
      <c r="L648" s="42"/>
      <c r="M648" s="42"/>
      <c r="N648" s="42"/>
      <c r="O648" s="42"/>
      <c r="P648" s="9"/>
      <c r="Q648" s="9"/>
      <c r="R648" s="42"/>
      <c r="S648" s="42"/>
      <c r="T648" s="42"/>
      <c r="U648" s="42"/>
      <c r="V648" s="42"/>
      <c r="W648" s="42"/>
    </row>
    <row r="649">
      <c r="A649" s="9"/>
      <c r="B649" s="9"/>
      <c r="C649" s="9"/>
      <c r="D649" s="42"/>
      <c r="E649" s="103"/>
      <c r="F649" s="42"/>
      <c r="G649" s="9"/>
      <c r="H649" s="9"/>
      <c r="I649" s="9"/>
      <c r="J649" s="9"/>
      <c r="K649" s="42"/>
      <c r="L649" s="42"/>
      <c r="M649" s="42"/>
      <c r="N649" s="42"/>
      <c r="O649" s="42"/>
      <c r="P649" s="9"/>
      <c r="Q649" s="9"/>
      <c r="R649" s="42"/>
      <c r="S649" s="42"/>
      <c r="T649" s="42"/>
      <c r="U649" s="42"/>
      <c r="V649" s="42"/>
      <c r="W649" s="42"/>
    </row>
    <row r="650">
      <c r="A650" s="9"/>
      <c r="B650" s="9"/>
      <c r="C650" s="9"/>
      <c r="D650" s="42"/>
      <c r="E650" s="103"/>
      <c r="F650" s="42"/>
      <c r="G650" s="9"/>
      <c r="H650" s="9"/>
      <c r="I650" s="9"/>
      <c r="J650" s="9"/>
      <c r="K650" s="42"/>
      <c r="L650" s="42"/>
      <c r="M650" s="42"/>
      <c r="N650" s="42"/>
      <c r="O650" s="42"/>
      <c r="P650" s="9"/>
      <c r="Q650" s="9"/>
      <c r="R650" s="42"/>
      <c r="S650" s="42"/>
      <c r="T650" s="42"/>
      <c r="U650" s="42"/>
      <c r="V650" s="42"/>
      <c r="W650" s="42"/>
    </row>
    <row r="651">
      <c r="A651" s="9"/>
      <c r="B651" s="9"/>
      <c r="C651" s="9"/>
      <c r="D651" s="42"/>
      <c r="E651" s="103"/>
      <c r="F651" s="42"/>
      <c r="G651" s="9"/>
      <c r="H651" s="9"/>
      <c r="I651" s="9"/>
      <c r="J651" s="9"/>
      <c r="K651" s="42"/>
      <c r="L651" s="42"/>
      <c r="M651" s="42"/>
      <c r="N651" s="42"/>
      <c r="O651" s="42"/>
      <c r="P651" s="9"/>
      <c r="Q651" s="9"/>
      <c r="R651" s="42"/>
      <c r="S651" s="42"/>
      <c r="T651" s="42"/>
      <c r="U651" s="42"/>
      <c r="V651" s="42"/>
      <c r="W651" s="42"/>
    </row>
    <row r="652">
      <c r="A652" s="9"/>
      <c r="B652" s="9"/>
      <c r="C652" s="9"/>
      <c r="D652" s="42"/>
      <c r="E652" s="103"/>
      <c r="F652" s="42"/>
      <c r="G652" s="9"/>
      <c r="H652" s="9"/>
      <c r="I652" s="9"/>
      <c r="J652" s="9"/>
      <c r="K652" s="42"/>
      <c r="L652" s="42"/>
      <c r="M652" s="42"/>
      <c r="N652" s="42"/>
      <c r="O652" s="42"/>
      <c r="P652" s="9"/>
      <c r="Q652" s="9"/>
      <c r="R652" s="42"/>
      <c r="S652" s="42"/>
      <c r="T652" s="42"/>
      <c r="U652" s="42"/>
      <c r="V652" s="42"/>
      <c r="W652" s="42"/>
    </row>
    <row r="653">
      <c r="A653" s="9"/>
      <c r="B653" s="9"/>
      <c r="C653" s="9"/>
      <c r="D653" s="42"/>
      <c r="E653" s="103"/>
      <c r="F653" s="42"/>
      <c r="G653" s="9"/>
      <c r="H653" s="9"/>
      <c r="I653" s="9"/>
      <c r="J653" s="9"/>
      <c r="K653" s="42"/>
      <c r="L653" s="42"/>
      <c r="M653" s="42"/>
      <c r="N653" s="42"/>
      <c r="O653" s="42"/>
      <c r="P653" s="9"/>
      <c r="Q653" s="9"/>
      <c r="R653" s="42"/>
      <c r="S653" s="42"/>
      <c r="T653" s="42"/>
      <c r="U653" s="42"/>
      <c r="V653" s="42"/>
      <c r="W653" s="42"/>
    </row>
    <row r="654">
      <c r="A654" s="9"/>
      <c r="B654" s="9"/>
      <c r="C654" s="9"/>
      <c r="D654" s="42"/>
      <c r="E654" s="103"/>
      <c r="F654" s="42"/>
      <c r="G654" s="9"/>
      <c r="H654" s="9"/>
      <c r="I654" s="9"/>
      <c r="J654" s="9"/>
      <c r="K654" s="42"/>
      <c r="L654" s="42"/>
      <c r="M654" s="42"/>
      <c r="N654" s="42"/>
      <c r="O654" s="42"/>
      <c r="P654" s="9"/>
      <c r="Q654" s="9"/>
      <c r="R654" s="42"/>
      <c r="S654" s="42"/>
      <c r="T654" s="42"/>
      <c r="U654" s="42"/>
      <c r="V654" s="42"/>
      <c r="W654" s="42"/>
    </row>
    <row r="655">
      <c r="A655" s="9"/>
      <c r="B655" s="9"/>
      <c r="C655" s="9"/>
      <c r="D655" s="42"/>
      <c r="E655" s="103"/>
      <c r="F655" s="42"/>
      <c r="G655" s="9"/>
      <c r="H655" s="9"/>
      <c r="I655" s="9"/>
      <c r="J655" s="9"/>
      <c r="K655" s="42"/>
      <c r="L655" s="42"/>
      <c r="M655" s="42"/>
      <c r="N655" s="42"/>
      <c r="O655" s="42"/>
      <c r="P655" s="9"/>
      <c r="Q655" s="9"/>
      <c r="R655" s="42"/>
      <c r="S655" s="42"/>
      <c r="T655" s="42"/>
      <c r="U655" s="42"/>
      <c r="V655" s="42"/>
      <c r="W655" s="42"/>
    </row>
    <row r="656">
      <c r="A656" s="9"/>
      <c r="B656" s="9"/>
      <c r="C656" s="9"/>
      <c r="D656" s="42"/>
      <c r="E656" s="103"/>
      <c r="F656" s="42"/>
      <c r="G656" s="9"/>
      <c r="H656" s="9"/>
      <c r="I656" s="9"/>
      <c r="J656" s="9"/>
      <c r="K656" s="42"/>
      <c r="L656" s="42"/>
      <c r="M656" s="42"/>
      <c r="N656" s="42"/>
      <c r="O656" s="42"/>
      <c r="P656" s="9"/>
      <c r="Q656" s="9"/>
      <c r="R656" s="42"/>
      <c r="S656" s="42"/>
      <c r="T656" s="42"/>
      <c r="U656" s="42"/>
      <c r="V656" s="42"/>
      <c r="W656" s="42"/>
    </row>
    <row r="657">
      <c r="A657" s="9"/>
      <c r="B657" s="9"/>
      <c r="C657" s="9"/>
      <c r="D657" s="42"/>
      <c r="E657" s="103"/>
      <c r="F657" s="42"/>
      <c r="G657" s="9"/>
      <c r="H657" s="9"/>
      <c r="I657" s="9"/>
      <c r="J657" s="9"/>
      <c r="K657" s="42"/>
      <c r="L657" s="42"/>
      <c r="M657" s="42"/>
      <c r="N657" s="42"/>
      <c r="O657" s="42"/>
      <c r="P657" s="9"/>
      <c r="Q657" s="9"/>
      <c r="R657" s="42"/>
      <c r="S657" s="42"/>
      <c r="T657" s="42"/>
      <c r="U657" s="42"/>
      <c r="V657" s="42"/>
      <c r="W657" s="42"/>
    </row>
    <row r="658">
      <c r="A658" s="9"/>
      <c r="B658" s="9"/>
      <c r="C658" s="9"/>
      <c r="D658" s="42"/>
      <c r="E658" s="103"/>
      <c r="F658" s="42"/>
      <c r="G658" s="9"/>
      <c r="H658" s="9"/>
      <c r="I658" s="9"/>
      <c r="J658" s="9"/>
      <c r="K658" s="42"/>
      <c r="L658" s="42"/>
      <c r="M658" s="42"/>
      <c r="N658" s="42"/>
      <c r="O658" s="42"/>
      <c r="P658" s="9"/>
      <c r="Q658" s="9"/>
      <c r="R658" s="42"/>
      <c r="S658" s="42"/>
      <c r="T658" s="42"/>
      <c r="U658" s="42"/>
      <c r="V658" s="42"/>
      <c r="W658" s="42"/>
    </row>
    <row r="659">
      <c r="A659" s="9"/>
      <c r="B659" s="9"/>
      <c r="C659" s="9"/>
      <c r="D659" s="42"/>
      <c r="E659" s="103"/>
      <c r="F659" s="42"/>
      <c r="G659" s="9"/>
      <c r="H659" s="9"/>
      <c r="I659" s="9"/>
      <c r="J659" s="9"/>
      <c r="K659" s="42"/>
      <c r="L659" s="42"/>
      <c r="M659" s="42"/>
      <c r="N659" s="42"/>
      <c r="O659" s="42"/>
      <c r="P659" s="9"/>
      <c r="Q659" s="9"/>
      <c r="R659" s="42"/>
      <c r="S659" s="42"/>
      <c r="T659" s="42"/>
      <c r="U659" s="42"/>
      <c r="V659" s="42"/>
      <c r="W659" s="42"/>
    </row>
    <row r="660">
      <c r="A660" s="9"/>
      <c r="B660" s="9"/>
      <c r="C660" s="9"/>
      <c r="D660" s="42"/>
      <c r="E660" s="103"/>
      <c r="F660" s="42"/>
      <c r="G660" s="9"/>
      <c r="H660" s="9"/>
      <c r="I660" s="9"/>
      <c r="J660" s="9"/>
      <c r="K660" s="42"/>
      <c r="L660" s="42"/>
      <c r="M660" s="42"/>
      <c r="N660" s="42"/>
      <c r="O660" s="42"/>
      <c r="P660" s="9"/>
      <c r="Q660" s="9"/>
      <c r="R660" s="42"/>
      <c r="S660" s="42"/>
      <c r="T660" s="42"/>
      <c r="U660" s="42"/>
      <c r="V660" s="42"/>
      <c r="W660" s="42"/>
    </row>
    <row r="661">
      <c r="A661" s="9"/>
      <c r="B661" s="9"/>
      <c r="C661" s="9"/>
      <c r="D661" s="42"/>
      <c r="E661" s="103"/>
      <c r="F661" s="42"/>
      <c r="G661" s="9"/>
      <c r="H661" s="9"/>
      <c r="I661" s="9"/>
      <c r="J661" s="9"/>
      <c r="K661" s="42"/>
      <c r="L661" s="42"/>
      <c r="M661" s="42"/>
      <c r="N661" s="42"/>
      <c r="O661" s="42"/>
      <c r="P661" s="9"/>
      <c r="Q661" s="9"/>
      <c r="R661" s="42"/>
      <c r="S661" s="42"/>
      <c r="T661" s="42"/>
      <c r="U661" s="42"/>
      <c r="V661" s="42"/>
      <c r="W661" s="42"/>
    </row>
    <row r="662">
      <c r="A662" s="9"/>
      <c r="B662" s="9"/>
      <c r="C662" s="9"/>
      <c r="D662" s="42"/>
      <c r="E662" s="103"/>
      <c r="F662" s="42"/>
      <c r="G662" s="9"/>
      <c r="H662" s="9"/>
      <c r="I662" s="9"/>
      <c r="J662" s="9"/>
      <c r="K662" s="42"/>
      <c r="L662" s="42"/>
      <c r="M662" s="42"/>
      <c r="N662" s="42"/>
      <c r="O662" s="42"/>
      <c r="P662" s="9"/>
      <c r="Q662" s="9"/>
      <c r="R662" s="42"/>
      <c r="S662" s="42"/>
      <c r="T662" s="42"/>
      <c r="U662" s="42"/>
      <c r="V662" s="42"/>
      <c r="W662" s="42"/>
    </row>
    <row r="663">
      <c r="A663" s="9"/>
      <c r="B663" s="9"/>
      <c r="C663" s="9"/>
      <c r="D663" s="42"/>
      <c r="E663" s="103"/>
      <c r="F663" s="42"/>
      <c r="G663" s="9"/>
      <c r="H663" s="9"/>
      <c r="I663" s="9"/>
      <c r="J663" s="9"/>
      <c r="K663" s="42"/>
      <c r="L663" s="42"/>
      <c r="M663" s="42"/>
      <c r="N663" s="42"/>
      <c r="O663" s="42"/>
      <c r="P663" s="9"/>
      <c r="Q663" s="9"/>
      <c r="R663" s="42"/>
      <c r="S663" s="42"/>
      <c r="T663" s="42"/>
      <c r="U663" s="42"/>
      <c r="V663" s="42"/>
      <c r="W663" s="42"/>
    </row>
    <row r="664">
      <c r="A664" s="9"/>
      <c r="B664" s="9"/>
      <c r="C664" s="9"/>
      <c r="D664" s="42"/>
      <c r="E664" s="103"/>
      <c r="F664" s="42"/>
      <c r="G664" s="9"/>
      <c r="H664" s="9"/>
      <c r="I664" s="9"/>
      <c r="J664" s="9"/>
      <c r="K664" s="42"/>
      <c r="L664" s="42"/>
      <c r="M664" s="42"/>
      <c r="N664" s="42"/>
      <c r="O664" s="42"/>
      <c r="P664" s="9"/>
      <c r="Q664" s="9"/>
      <c r="R664" s="42"/>
      <c r="S664" s="42"/>
      <c r="T664" s="42"/>
      <c r="U664" s="42"/>
      <c r="V664" s="42"/>
      <c r="W664" s="42"/>
    </row>
    <row r="665">
      <c r="A665" s="9"/>
      <c r="B665" s="9"/>
      <c r="C665" s="9"/>
      <c r="D665" s="42"/>
      <c r="E665" s="103"/>
      <c r="F665" s="42"/>
      <c r="G665" s="9"/>
      <c r="H665" s="9"/>
      <c r="I665" s="9"/>
      <c r="J665" s="9"/>
      <c r="K665" s="42"/>
      <c r="L665" s="42"/>
      <c r="M665" s="42"/>
      <c r="N665" s="42"/>
      <c r="O665" s="42"/>
      <c r="P665" s="9"/>
      <c r="Q665" s="9"/>
      <c r="R665" s="42"/>
      <c r="S665" s="42"/>
      <c r="T665" s="42"/>
      <c r="U665" s="42"/>
      <c r="V665" s="42"/>
      <c r="W665" s="42"/>
    </row>
    <row r="666">
      <c r="A666" s="9"/>
      <c r="B666" s="9"/>
      <c r="C666" s="9"/>
      <c r="D666" s="42"/>
      <c r="E666" s="103"/>
      <c r="F666" s="42"/>
      <c r="G666" s="9"/>
      <c r="H666" s="9"/>
      <c r="I666" s="9"/>
      <c r="J666" s="9"/>
      <c r="K666" s="42"/>
      <c r="L666" s="42"/>
      <c r="M666" s="42"/>
      <c r="N666" s="42"/>
      <c r="O666" s="42"/>
      <c r="P666" s="9"/>
      <c r="Q666" s="9"/>
      <c r="R666" s="42"/>
      <c r="S666" s="42"/>
      <c r="T666" s="42"/>
      <c r="U666" s="42"/>
      <c r="V666" s="42"/>
      <c r="W666" s="42"/>
    </row>
    <row r="667">
      <c r="A667" s="9"/>
      <c r="B667" s="9"/>
      <c r="C667" s="9"/>
      <c r="D667" s="42"/>
      <c r="E667" s="103"/>
      <c r="F667" s="42"/>
      <c r="G667" s="9"/>
      <c r="H667" s="9"/>
      <c r="I667" s="9"/>
      <c r="J667" s="9"/>
      <c r="K667" s="42"/>
      <c r="L667" s="42"/>
      <c r="M667" s="42"/>
      <c r="N667" s="42"/>
      <c r="O667" s="42"/>
      <c r="P667" s="9"/>
      <c r="Q667" s="9"/>
      <c r="R667" s="42"/>
      <c r="S667" s="42"/>
      <c r="T667" s="42"/>
      <c r="U667" s="42"/>
      <c r="V667" s="42"/>
      <c r="W667" s="42"/>
    </row>
    <row r="668">
      <c r="A668" s="9"/>
      <c r="B668" s="9"/>
      <c r="C668" s="9"/>
      <c r="D668" s="42"/>
      <c r="E668" s="103"/>
      <c r="F668" s="42"/>
      <c r="G668" s="9"/>
      <c r="H668" s="9"/>
      <c r="I668" s="9"/>
      <c r="J668" s="9"/>
      <c r="K668" s="42"/>
      <c r="L668" s="42"/>
      <c r="M668" s="42"/>
      <c r="N668" s="42"/>
      <c r="O668" s="42"/>
      <c r="P668" s="9"/>
      <c r="Q668" s="9"/>
      <c r="R668" s="42"/>
      <c r="S668" s="42"/>
      <c r="T668" s="42"/>
      <c r="U668" s="42"/>
      <c r="V668" s="42"/>
      <c r="W668" s="42"/>
    </row>
    <row r="669">
      <c r="A669" s="9"/>
      <c r="B669" s="9"/>
      <c r="C669" s="9"/>
      <c r="D669" s="42"/>
      <c r="E669" s="103"/>
      <c r="F669" s="42"/>
      <c r="G669" s="9"/>
      <c r="H669" s="9"/>
      <c r="I669" s="9"/>
      <c r="J669" s="9"/>
      <c r="K669" s="42"/>
      <c r="L669" s="42"/>
      <c r="M669" s="42"/>
      <c r="N669" s="42"/>
      <c r="O669" s="42"/>
      <c r="P669" s="9"/>
      <c r="Q669" s="9"/>
      <c r="R669" s="42"/>
      <c r="S669" s="42"/>
      <c r="T669" s="42"/>
      <c r="U669" s="42"/>
      <c r="V669" s="42"/>
      <c r="W669" s="42"/>
    </row>
    <row r="670">
      <c r="A670" s="9"/>
      <c r="B670" s="9"/>
      <c r="C670" s="9"/>
      <c r="D670" s="42"/>
      <c r="E670" s="103"/>
      <c r="F670" s="42"/>
      <c r="G670" s="9"/>
      <c r="H670" s="9"/>
      <c r="I670" s="9"/>
      <c r="J670" s="9"/>
      <c r="K670" s="42"/>
      <c r="L670" s="42"/>
      <c r="M670" s="42"/>
      <c r="N670" s="42"/>
      <c r="O670" s="42"/>
      <c r="P670" s="9"/>
      <c r="Q670" s="9"/>
      <c r="R670" s="42"/>
      <c r="S670" s="42"/>
      <c r="T670" s="42"/>
      <c r="U670" s="42"/>
      <c r="V670" s="42"/>
      <c r="W670" s="42"/>
    </row>
    <row r="671">
      <c r="A671" s="9"/>
      <c r="B671" s="9"/>
      <c r="C671" s="9"/>
      <c r="D671" s="42"/>
      <c r="E671" s="103"/>
      <c r="F671" s="42"/>
      <c r="G671" s="9"/>
      <c r="H671" s="9"/>
      <c r="I671" s="9"/>
      <c r="J671" s="9"/>
      <c r="K671" s="42"/>
      <c r="L671" s="42"/>
      <c r="M671" s="42"/>
      <c r="N671" s="42"/>
      <c r="O671" s="42"/>
      <c r="P671" s="9"/>
      <c r="Q671" s="9"/>
      <c r="R671" s="42"/>
      <c r="S671" s="42"/>
      <c r="T671" s="42"/>
      <c r="U671" s="42"/>
      <c r="V671" s="42"/>
      <c r="W671" s="42"/>
    </row>
    <row r="672">
      <c r="A672" s="9"/>
      <c r="B672" s="9"/>
      <c r="C672" s="9"/>
      <c r="D672" s="42"/>
      <c r="E672" s="103"/>
      <c r="F672" s="42"/>
      <c r="G672" s="9"/>
      <c r="H672" s="9"/>
      <c r="I672" s="9"/>
      <c r="J672" s="9"/>
      <c r="K672" s="42"/>
      <c r="L672" s="42"/>
      <c r="M672" s="42"/>
      <c r="N672" s="42"/>
      <c r="O672" s="42"/>
      <c r="P672" s="9"/>
      <c r="Q672" s="9"/>
      <c r="R672" s="42"/>
      <c r="S672" s="42"/>
      <c r="T672" s="42"/>
      <c r="U672" s="42"/>
      <c r="V672" s="42"/>
      <c r="W672" s="42"/>
    </row>
    <row r="673">
      <c r="A673" s="9"/>
      <c r="B673" s="9"/>
      <c r="C673" s="9"/>
      <c r="D673" s="42"/>
      <c r="E673" s="103"/>
      <c r="F673" s="42"/>
      <c r="G673" s="9"/>
      <c r="H673" s="9"/>
      <c r="I673" s="9"/>
      <c r="J673" s="9"/>
      <c r="K673" s="42"/>
      <c r="L673" s="42"/>
      <c r="M673" s="42"/>
      <c r="N673" s="42"/>
      <c r="O673" s="42"/>
      <c r="P673" s="9"/>
      <c r="Q673" s="9"/>
      <c r="R673" s="42"/>
      <c r="S673" s="42"/>
      <c r="T673" s="42"/>
      <c r="U673" s="42"/>
      <c r="V673" s="42"/>
      <c r="W673" s="42"/>
    </row>
    <row r="674">
      <c r="A674" s="9"/>
      <c r="B674" s="9"/>
      <c r="C674" s="9"/>
      <c r="D674" s="42"/>
      <c r="E674" s="103"/>
      <c r="F674" s="42"/>
      <c r="G674" s="9"/>
      <c r="H674" s="9"/>
      <c r="I674" s="9"/>
      <c r="J674" s="9"/>
      <c r="K674" s="42"/>
      <c r="L674" s="42"/>
      <c r="M674" s="42"/>
      <c r="N674" s="42"/>
      <c r="O674" s="42"/>
      <c r="P674" s="9"/>
      <c r="Q674" s="9"/>
      <c r="R674" s="42"/>
      <c r="S674" s="42"/>
      <c r="T674" s="42"/>
      <c r="U674" s="42"/>
      <c r="V674" s="42"/>
      <c r="W674" s="42"/>
    </row>
    <row r="675">
      <c r="A675" s="9"/>
      <c r="B675" s="9"/>
      <c r="C675" s="9"/>
      <c r="D675" s="42"/>
      <c r="E675" s="103"/>
      <c r="F675" s="42"/>
      <c r="G675" s="9"/>
      <c r="H675" s="9"/>
      <c r="I675" s="9"/>
      <c r="J675" s="9"/>
      <c r="K675" s="42"/>
      <c r="L675" s="42"/>
      <c r="M675" s="42"/>
      <c r="N675" s="42"/>
      <c r="O675" s="42"/>
      <c r="P675" s="9"/>
      <c r="Q675" s="9"/>
      <c r="R675" s="42"/>
      <c r="S675" s="42"/>
      <c r="T675" s="42"/>
      <c r="U675" s="42"/>
      <c r="V675" s="42"/>
      <c r="W675" s="42"/>
    </row>
    <row r="676">
      <c r="A676" s="9"/>
      <c r="B676" s="9"/>
      <c r="C676" s="9"/>
      <c r="D676" s="42"/>
      <c r="E676" s="103"/>
      <c r="F676" s="42"/>
      <c r="G676" s="9"/>
      <c r="H676" s="9"/>
      <c r="I676" s="9"/>
      <c r="J676" s="9"/>
      <c r="K676" s="42"/>
      <c r="L676" s="42"/>
      <c r="M676" s="42"/>
      <c r="N676" s="42"/>
      <c r="O676" s="42"/>
      <c r="P676" s="9"/>
      <c r="Q676" s="9"/>
      <c r="R676" s="42"/>
      <c r="S676" s="42"/>
      <c r="T676" s="42"/>
      <c r="U676" s="42"/>
      <c r="V676" s="42"/>
      <c r="W676" s="42"/>
    </row>
    <row r="677">
      <c r="A677" s="9"/>
      <c r="B677" s="9"/>
      <c r="C677" s="9"/>
      <c r="D677" s="42"/>
      <c r="E677" s="103"/>
      <c r="F677" s="42"/>
      <c r="G677" s="9"/>
      <c r="H677" s="9"/>
      <c r="I677" s="9"/>
      <c r="J677" s="9"/>
      <c r="K677" s="42"/>
      <c r="L677" s="42"/>
      <c r="M677" s="42"/>
      <c r="N677" s="42"/>
      <c r="O677" s="42"/>
      <c r="P677" s="9"/>
      <c r="Q677" s="9"/>
      <c r="R677" s="42"/>
      <c r="S677" s="42"/>
      <c r="T677" s="42"/>
      <c r="U677" s="42"/>
      <c r="V677" s="42"/>
      <c r="W677" s="42"/>
    </row>
    <row r="678">
      <c r="A678" s="9"/>
      <c r="B678" s="9"/>
      <c r="C678" s="9"/>
      <c r="D678" s="42"/>
      <c r="E678" s="103"/>
      <c r="F678" s="42"/>
      <c r="G678" s="9"/>
      <c r="H678" s="9"/>
      <c r="I678" s="9"/>
      <c r="J678" s="9"/>
      <c r="K678" s="42"/>
      <c r="L678" s="42"/>
      <c r="M678" s="42"/>
      <c r="N678" s="42"/>
      <c r="O678" s="42"/>
      <c r="P678" s="9"/>
      <c r="Q678" s="9"/>
      <c r="R678" s="42"/>
      <c r="S678" s="42"/>
      <c r="T678" s="42"/>
      <c r="U678" s="42"/>
      <c r="V678" s="42"/>
      <c r="W678" s="42"/>
    </row>
    <row r="679">
      <c r="A679" s="9"/>
      <c r="B679" s="9"/>
      <c r="C679" s="9"/>
      <c r="D679" s="42"/>
      <c r="E679" s="103"/>
      <c r="F679" s="42"/>
      <c r="G679" s="9"/>
      <c r="H679" s="9"/>
      <c r="I679" s="9"/>
      <c r="J679" s="9"/>
      <c r="K679" s="42"/>
      <c r="L679" s="42"/>
      <c r="M679" s="42"/>
      <c r="N679" s="42"/>
      <c r="O679" s="42"/>
      <c r="P679" s="9"/>
      <c r="Q679" s="9"/>
      <c r="R679" s="42"/>
      <c r="S679" s="42"/>
      <c r="T679" s="42"/>
      <c r="U679" s="42"/>
      <c r="V679" s="42"/>
      <c r="W679" s="42"/>
    </row>
    <row r="680">
      <c r="A680" s="9"/>
      <c r="B680" s="9"/>
      <c r="C680" s="9"/>
      <c r="D680" s="42"/>
      <c r="E680" s="103"/>
      <c r="F680" s="42"/>
      <c r="G680" s="9"/>
      <c r="H680" s="9"/>
      <c r="I680" s="9"/>
      <c r="J680" s="9"/>
      <c r="K680" s="42"/>
      <c r="L680" s="42"/>
      <c r="M680" s="42"/>
      <c r="N680" s="42"/>
      <c r="O680" s="42"/>
      <c r="P680" s="9"/>
      <c r="Q680" s="9"/>
      <c r="R680" s="42"/>
      <c r="S680" s="42"/>
      <c r="T680" s="42"/>
      <c r="U680" s="42"/>
      <c r="V680" s="42"/>
      <c r="W680" s="42"/>
    </row>
    <row r="681">
      <c r="A681" s="9"/>
      <c r="B681" s="9"/>
      <c r="C681" s="9"/>
      <c r="D681" s="42"/>
      <c r="E681" s="103"/>
      <c r="F681" s="42"/>
      <c r="G681" s="9"/>
      <c r="H681" s="9"/>
      <c r="I681" s="9"/>
      <c r="J681" s="9"/>
      <c r="K681" s="42"/>
      <c r="L681" s="42"/>
      <c r="M681" s="42"/>
      <c r="N681" s="42"/>
      <c r="O681" s="42"/>
      <c r="P681" s="9"/>
      <c r="Q681" s="9"/>
      <c r="R681" s="42"/>
      <c r="S681" s="42"/>
      <c r="T681" s="42"/>
      <c r="U681" s="42"/>
      <c r="V681" s="42"/>
      <c r="W681" s="42"/>
    </row>
    <row r="682">
      <c r="A682" s="9"/>
      <c r="B682" s="9"/>
      <c r="C682" s="9"/>
      <c r="D682" s="42"/>
      <c r="E682" s="103"/>
      <c r="F682" s="42"/>
      <c r="G682" s="9"/>
      <c r="H682" s="9"/>
      <c r="I682" s="9"/>
      <c r="J682" s="9"/>
      <c r="K682" s="42"/>
      <c r="L682" s="42"/>
      <c r="M682" s="42"/>
      <c r="N682" s="42"/>
      <c r="O682" s="42"/>
      <c r="P682" s="9"/>
      <c r="Q682" s="9"/>
      <c r="R682" s="42"/>
      <c r="S682" s="42"/>
      <c r="T682" s="42"/>
      <c r="U682" s="42"/>
      <c r="V682" s="42"/>
      <c r="W682" s="42"/>
    </row>
    <row r="683">
      <c r="A683" s="9"/>
      <c r="B683" s="9"/>
      <c r="C683" s="9"/>
      <c r="D683" s="42"/>
      <c r="E683" s="103"/>
      <c r="F683" s="42"/>
      <c r="G683" s="9"/>
      <c r="H683" s="9"/>
      <c r="I683" s="9"/>
      <c r="J683" s="9"/>
      <c r="K683" s="42"/>
      <c r="L683" s="42"/>
      <c r="M683" s="42"/>
      <c r="N683" s="42"/>
      <c r="O683" s="42"/>
      <c r="P683" s="9"/>
      <c r="Q683" s="9"/>
      <c r="R683" s="42"/>
      <c r="S683" s="42"/>
      <c r="T683" s="42"/>
      <c r="U683" s="42"/>
      <c r="V683" s="42"/>
      <c r="W683" s="42"/>
    </row>
    <row r="684">
      <c r="A684" s="9"/>
      <c r="B684" s="9"/>
      <c r="C684" s="9"/>
      <c r="D684" s="42"/>
      <c r="E684" s="103"/>
      <c r="F684" s="42"/>
      <c r="G684" s="9"/>
      <c r="H684" s="9"/>
      <c r="I684" s="9"/>
      <c r="J684" s="9"/>
      <c r="K684" s="42"/>
      <c r="L684" s="42"/>
      <c r="M684" s="42"/>
      <c r="N684" s="42"/>
      <c r="O684" s="42"/>
      <c r="P684" s="9"/>
      <c r="Q684" s="9"/>
      <c r="R684" s="42"/>
      <c r="S684" s="42"/>
      <c r="T684" s="42"/>
      <c r="U684" s="42"/>
      <c r="V684" s="42"/>
      <c r="W684" s="42"/>
    </row>
    <row r="685">
      <c r="A685" s="9"/>
      <c r="B685" s="9"/>
      <c r="C685" s="9"/>
      <c r="D685" s="42"/>
      <c r="E685" s="103"/>
      <c r="F685" s="42"/>
      <c r="G685" s="9"/>
      <c r="H685" s="9"/>
      <c r="I685" s="9"/>
      <c r="J685" s="9"/>
      <c r="K685" s="42"/>
      <c r="L685" s="42"/>
      <c r="M685" s="42"/>
      <c r="N685" s="42"/>
      <c r="O685" s="42"/>
      <c r="P685" s="9"/>
      <c r="Q685" s="9"/>
      <c r="R685" s="42"/>
      <c r="S685" s="42"/>
      <c r="T685" s="42"/>
      <c r="U685" s="42"/>
      <c r="V685" s="42"/>
      <c r="W685" s="42"/>
    </row>
    <row r="686">
      <c r="A686" s="9"/>
      <c r="B686" s="9"/>
      <c r="C686" s="9"/>
      <c r="D686" s="42"/>
      <c r="E686" s="103"/>
      <c r="F686" s="42"/>
      <c r="G686" s="9"/>
      <c r="H686" s="9"/>
      <c r="I686" s="9"/>
      <c r="J686" s="9"/>
      <c r="K686" s="42"/>
      <c r="L686" s="42"/>
      <c r="M686" s="42"/>
      <c r="N686" s="42"/>
      <c r="O686" s="42"/>
      <c r="P686" s="9"/>
      <c r="Q686" s="9"/>
      <c r="R686" s="42"/>
      <c r="S686" s="42"/>
      <c r="T686" s="42"/>
      <c r="U686" s="42"/>
      <c r="V686" s="42"/>
      <c r="W686" s="42"/>
    </row>
    <row r="687">
      <c r="A687" s="9"/>
      <c r="B687" s="9"/>
      <c r="C687" s="9"/>
      <c r="D687" s="42"/>
      <c r="E687" s="103"/>
      <c r="F687" s="42"/>
      <c r="G687" s="9"/>
      <c r="H687" s="9"/>
      <c r="I687" s="9"/>
      <c r="J687" s="9"/>
      <c r="K687" s="42"/>
      <c r="L687" s="42"/>
      <c r="M687" s="42"/>
      <c r="N687" s="42"/>
      <c r="O687" s="42"/>
      <c r="P687" s="9"/>
      <c r="Q687" s="9"/>
      <c r="R687" s="42"/>
      <c r="S687" s="42"/>
      <c r="T687" s="42"/>
      <c r="U687" s="42"/>
      <c r="V687" s="42"/>
      <c r="W687" s="42"/>
    </row>
    <row r="688">
      <c r="A688" s="9"/>
      <c r="B688" s="9"/>
      <c r="C688" s="9"/>
      <c r="D688" s="42"/>
      <c r="E688" s="103"/>
      <c r="F688" s="42"/>
      <c r="G688" s="9"/>
      <c r="H688" s="9"/>
      <c r="I688" s="9"/>
      <c r="J688" s="9"/>
      <c r="K688" s="42"/>
      <c r="L688" s="42"/>
      <c r="M688" s="42"/>
      <c r="N688" s="42"/>
      <c r="O688" s="42"/>
      <c r="P688" s="9"/>
      <c r="Q688" s="9"/>
      <c r="R688" s="42"/>
      <c r="S688" s="42"/>
      <c r="T688" s="42"/>
      <c r="U688" s="42"/>
      <c r="V688" s="42"/>
      <c r="W688" s="42"/>
    </row>
    <row r="689">
      <c r="A689" s="9"/>
      <c r="B689" s="9"/>
      <c r="C689" s="9"/>
      <c r="D689" s="42"/>
      <c r="E689" s="103"/>
      <c r="F689" s="42"/>
      <c r="G689" s="9"/>
      <c r="H689" s="9"/>
      <c r="I689" s="9"/>
      <c r="J689" s="9"/>
      <c r="K689" s="42"/>
      <c r="L689" s="42"/>
      <c r="M689" s="42"/>
      <c r="N689" s="42"/>
      <c r="O689" s="42"/>
      <c r="P689" s="9"/>
      <c r="Q689" s="9"/>
      <c r="R689" s="42"/>
      <c r="S689" s="42"/>
      <c r="T689" s="42"/>
      <c r="U689" s="42"/>
      <c r="V689" s="42"/>
      <c r="W689" s="42"/>
    </row>
    <row r="690">
      <c r="A690" s="9"/>
      <c r="B690" s="9"/>
      <c r="C690" s="9"/>
      <c r="D690" s="42"/>
      <c r="E690" s="103"/>
      <c r="F690" s="42"/>
      <c r="G690" s="9"/>
      <c r="H690" s="9"/>
      <c r="I690" s="9"/>
      <c r="J690" s="9"/>
      <c r="K690" s="42"/>
      <c r="L690" s="42"/>
      <c r="M690" s="42"/>
      <c r="N690" s="42"/>
      <c r="O690" s="42"/>
      <c r="P690" s="9"/>
      <c r="Q690" s="9"/>
      <c r="R690" s="42"/>
      <c r="S690" s="42"/>
      <c r="T690" s="42"/>
      <c r="U690" s="42"/>
      <c r="V690" s="42"/>
      <c r="W690" s="42"/>
    </row>
    <row r="691">
      <c r="A691" s="9"/>
      <c r="B691" s="9"/>
      <c r="C691" s="9"/>
      <c r="D691" s="42"/>
      <c r="E691" s="103"/>
      <c r="F691" s="42"/>
      <c r="G691" s="9"/>
      <c r="H691" s="9"/>
      <c r="I691" s="9"/>
      <c r="J691" s="9"/>
      <c r="K691" s="42"/>
      <c r="L691" s="42"/>
      <c r="M691" s="42"/>
      <c r="N691" s="42"/>
      <c r="O691" s="42"/>
      <c r="P691" s="9"/>
      <c r="Q691" s="9"/>
      <c r="R691" s="42"/>
      <c r="S691" s="42"/>
      <c r="T691" s="42"/>
      <c r="U691" s="42"/>
      <c r="V691" s="42"/>
      <c r="W691" s="42"/>
    </row>
    <row r="692">
      <c r="A692" s="9"/>
      <c r="B692" s="9"/>
      <c r="C692" s="9"/>
      <c r="D692" s="42"/>
      <c r="E692" s="103"/>
      <c r="F692" s="42"/>
      <c r="G692" s="9"/>
      <c r="H692" s="9"/>
      <c r="I692" s="9"/>
      <c r="J692" s="9"/>
      <c r="K692" s="42"/>
      <c r="L692" s="42"/>
      <c r="M692" s="42"/>
      <c r="N692" s="42"/>
      <c r="O692" s="42"/>
      <c r="P692" s="9"/>
      <c r="Q692" s="9"/>
      <c r="R692" s="42"/>
      <c r="S692" s="42"/>
      <c r="T692" s="42"/>
      <c r="U692" s="42"/>
      <c r="V692" s="42"/>
      <c r="W692" s="42"/>
    </row>
    <row r="693">
      <c r="A693" s="9"/>
      <c r="B693" s="9"/>
      <c r="C693" s="9"/>
      <c r="D693" s="42"/>
      <c r="E693" s="103"/>
      <c r="F693" s="42"/>
      <c r="G693" s="9"/>
      <c r="H693" s="9"/>
      <c r="I693" s="9"/>
      <c r="J693" s="9"/>
      <c r="K693" s="42"/>
      <c r="L693" s="42"/>
      <c r="M693" s="42"/>
      <c r="N693" s="42"/>
      <c r="O693" s="42"/>
      <c r="P693" s="9"/>
      <c r="Q693" s="9"/>
      <c r="R693" s="42"/>
      <c r="S693" s="42"/>
      <c r="T693" s="42"/>
      <c r="U693" s="42"/>
      <c r="V693" s="42"/>
      <c r="W693" s="42"/>
    </row>
    <row r="694">
      <c r="A694" s="9"/>
      <c r="B694" s="9"/>
      <c r="C694" s="9"/>
      <c r="D694" s="42"/>
      <c r="E694" s="103"/>
      <c r="F694" s="42"/>
      <c r="G694" s="9"/>
      <c r="H694" s="9"/>
      <c r="I694" s="9"/>
      <c r="J694" s="9"/>
      <c r="K694" s="42"/>
      <c r="L694" s="42"/>
      <c r="M694" s="42"/>
      <c r="N694" s="42"/>
      <c r="O694" s="42"/>
      <c r="P694" s="9"/>
      <c r="Q694" s="9"/>
      <c r="R694" s="42"/>
      <c r="S694" s="42"/>
      <c r="T694" s="42"/>
      <c r="U694" s="42"/>
      <c r="V694" s="42"/>
      <c r="W694" s="42"/>
    </row>
    <row r="695">
      <c r="A695" s="9"/>
      <c r="B695" s="9"/>
      <c r="C695" s="9"/>
      <c r="D695" s="42"/>
      <c r="E695" s="103"/>
      <c r="F695" s="42"/>
      <c r="G695" s="9"/>
      <c r="H695" s="9"/>
      <c r="I695" s="9"/>
      <c r="J695" s="9"/>
      <c r="K695" s="42"/>
      <c r="L695" s="42"/>
      <c r="M695" s="42"/>
      <c r="N695" s="42"/>
      <c r="O695" s="42"/>
      <c r="P695" s="9"/>
      <c r="Q695" s="9"/>
      <c r="R695" s="42"/>
      <c r="S695" s="42"/>
      <c r="T695" s="42"/>
      <c r="U695" s="42"/>
      <c r="V695" s="42"/>
      <c r="W695" s="42"/>
    </row>
    <row r="696">
      <c r="A696" s="9"/>
      <c r="B696" s="9"/>
      <c r="C696" s="9"/>
      <c r="D696" s="42"/>
      <c r="E696" s="103"/>
      <c r="F696" s="42"/>
      <c r="G696" s="9"/>
      <c r="H696" s="9"/>
      <c r="I696" s="9"/>
      <c r="J696" s="9"/>
      <c r="K696" s="42"/>
      <c r="L696" s="42"/>
      <c r="M696" s="42"/>
      <c r="N696" s="42"/>
      <c r="O696" s="42"/>
      <c r="P696" s="9"/>
      <c r="Q696" s="9"/>
      <c r="R696" s="42"/>
      <c r="S696" s="42"/>
      <c r="T696" s="42"/>
      <c r="U696" s="42"/>
      <c r="V696" s="42"/>
      <c r="W696" s="42"/>
    </row>
    <row r="697">
      <c r="A697" s="9"/>
      <c r="B697" s="9"/>
      <c r="C697" s="9"/>
      <c r="D697" s="42"/>
      <c r="E697" s="103"/>
      <c r="F697" s="42"/>
      <c r="G697" s="9"/>
      <c r="H697" s="9"/>
      <c r="I697" s="9"/>
      <c r="J697" s="9"/>
      <c r="K697" s="42"/>
      <c r="L697" s="42"/>
      <c r="M697" s="42"/>
      <c r="N697" s="42"/>
      <c r="O697" s="42"/>
      <c r="P697" s="9"/>
      <c r="Q697" s="9"/>
      <c r="R697" s="42"/>
      <c r="S697" s="42"/>
      <c r="T697" s="42"/>
      <c r="U697" s="42"/>
      <c r="V697" s="42"/>
      <c r="W697" s="42"/>
    </row>
    <row r="698">
      <c r="A698" s="9"/>
      <c r="B698" s="9"/>
      <c r="C698" s="9"/>
      <c r="D698" s="42"/>
      <c r="E698" s="103"/>
      <c r="F698" s="42"/>
      <c r="G698" s="9"/>
      <c r="H698" s="9"/>
      <c r="I698" s="9"/>
      <c r="J698" s="9"/>
      <c r="K698" s="42"/>
      <c r="L698" s="42"/>
      <c r="M698" s="42"/>
      <c r="N698" s="42"/>
      <c r="O698" s="42"/>
      <c r="P698" s="9"/>
      <c r="Q698" s="9"/>
      <c r="R698" s="42"/>
      <c r="S698" s="42"/>
      <c r="T698" s="42"/>
      <c r="U698" s="42"/>
      <c r="V698" s="42"/>
      <c r="W698" s="42"/>
    </row>
    <row r="699">
      <c r="A699" s="9"/>
      <c r="B699" s="9"/>
      <c r="C699" s="9"/>
      <c r="D699" s="42"/>
      <c r="E699" s="103"/>
      <c r="F699" s="42"/>
      <c r="G699" s="9"/>
      <c r="H699" s="9"/>
      <c r="I699" s="9"/>
      <c r="J699" s="9"/>
      <c r="K699" s="42"/>
      <c r="L699" s="42"/>
      <c r="M699" s="42"/>
      <c r="N699" s="42"/>
      <c r="O699" s="42"/>
      <c r="P699" s="9"/>
      <c r="Q699" s="9"/>
      <c r="R699" s="42"/>
      <c r="S699" s="42"/>
      <c r="T699" s="42"/>
      <c r="U699" s="42"/>
      <c r="V699" s="42"/>
      <c r="W699" s="42"/>
    </row>
    <row r="700">
      <c r="A700" s="9"/>
      <c r="B700" s="9"/>
      <c r="C700" s="9"/>
      <c r="D700" s="42"/>
      <c r="E700" s="103"/>
      <c r="F700" s="42"/>
      <c r="G700" s="9"/>
      <c r="H700" s="9"/>
      <c r="I700" s="9"/>
      <c r="J700" s="9"/>
      <c r="K700" s="42"/>
      <c r="L700" s="42"/>
      <c r="M700" s="42"/>
      <c r="N700" s="42"/>
      <c r="O700" s="42"/>
      <c r="P700" s="9"/>
      <c r="Q700" s="9"/>
      <c r="R700" s="42"/>
      <c r="S700" s="42"/>
      <c r="T700" s="42"/>
      <c r="U700" s="42"/>
      <c r="V700" s="42"/>
      <c r="W700" s="42"/>
    </row>
    <row r="701">
      <c r="A701" s="9"/>
      <c r="B701" s="9"/>
      <c r="C701" s="9"/>
      <c r="D701" s="42"/>
      <c r="E701" s="103"/>
      <c r="F701" s="42"/>
      <c r="G701" s="9"/>
      <c r="H701" s="9"/>
      <c r="I701" s="9"/>
      <c r="J701" s="9"/>
      <c r="K701" s="42"/>
      <c r="L701" s="42"/>
      <c r="M701" s="42"/>
      <c r="N701" s="42"/>
      <c r="O701" s="42"/>
      <c r="P701" s="9"/>
      <c r="Q701" s="9"/>
      <c r="R701" s="42"/>
      <c r="S701" s="42"/>
      <c r="T701" s="42"/>
      <c r="U701" s="42"/>
      <c r="V701" s="42"/>
      <c r="W701" s="42"/>
    </row>
    <row r="702">
      <c r="A702" s="9"/>
      <c r="B702" s="9"/>
      <c r="C702" s="9"/>
      <c r="D702" s="42"/>
      <c r="E702" s="103"/>
      <c r="F702" s="42"/>
      <c r="G702" s="9"/>
      <c r="H702" s="9"/>
      <c r="I702" s="9"/>
      <c r="J702" s="9"/>
      <c r="K702" s="42"/>
      <c r="L702" s="42"/>
      <c r="M702" s="42"/>
      <c r="N702" s="42"/>
      <c r="O702" s="42"/>
      <c r="P702" s="9"/>
      <c r="Q702" s="9"/>
      <c r="R702" s="42"/>
      <c r="S702" s="42"/>
      <c r="T702" s="42"/>
      <c r="U702" s="42"/>
      <c r="V702" s="42"/>
      <c r="W702" s="42"/>
    </row>
    <row r="703">
      <c r="A703" s="9"/>
      <c r="B703" s="9"/>
      <c r="C703" s="9"/>
      <c r="D703" s="42"/>
      <c r="E703" s="103"/>
      <c r="F703" s="42"/>
      <c r="G703" s="9"/>
      <c r="H703" s="9"/>
      <c r="I703" s="9"/>
      <c r="J703" s="9"/>
      <c r="K703" s="42"/>
      <c r="L703" s="42"/>
      <c r="M703" s="42"/>
      <c r="N703" s="42"/>
      <c r="O703" s="42"/>
      <c r="P703" s="9"/>
      <c r="Q703" s="9"/>
      <c r="R703" s="42"/>
      <c r="S703" s="42"/>
      <c r="T703" s="42"/>
      <c r="U703" s="42"/>
      <c r="V703" s="42"/>
      <c r="W703" s="42"/>
    </row>
    <row r="704">
      <c r="A704" s="9"/>
      <c r="B704" s="9"/>
      <c r="C704" s="9"/>
      <c r="D704" s="42"/>
      <c r="E704" s="103"/>
      <c r="F704" s="42"/>
      <c r="G704" s="9"/>
      <c r="H704" s="9"/>
      <c r="I704" s="9"/>
      <c r="J704" s="9"/>
      <c r="K704" s="42"/>
      <c r="L704" s="42"/>
      <c r="M704" s="42"/>
      <c r="N704" s="42"/>
      <c r="O704" s="42"/>
      <c r="P704" s="9"/>
      <c r="Q704" s="9"/>
      <c r="R704" s="42"/>
      <c r="S704" s="42"/>
      <c r="T704" s="42"/>
      <c r="U704" s="42"/>
      <c r="V704" s="42"/>
      <c r="W704" s="42"/>
    </row>
    <row r="705">
      <c r="A705" s="9"/>
      <c r="B705" s="9"/>
      <c r="C705" s="9"/>
      <c r="D705" s="42"/>
      <c r="E705" s="103"/>
      <c r="F705" s="42"/>
      <c r="G705" s="9"/>
      <c r="H705" s="9"/>
      <c r="I705" s="9"/>
      <c r="J705" s="9"/>
      <c r="K705" s="42"/>
      <c r="L705" s="42"/>
      <c r="M705" s="42"/>
      <c r="N705" s="42"/>
      <c r="O705" s="42"/>
      <c r="P705" s="9"/>
      <c r="Q705" s="9"/>
      <c r="R705" s="42"/>
      <c r="S705" s="42"/>
      <c r="T705" s="42"/>
      <c r="U705" s="42"/>
      <c r="V705" s="42"/>
      <c r="W705" s="42"/>
    </row>
    <row r="706">
      <c r="A706" s="9"/>
      <c r="B706" s="9"/>
      <c r="C706" s="9"/>
      <c r="D706" s="42"/>
      <c r="E706" s="103"/>
      <c r="F706" s="42"/>
      <c r="G706" s="9"/>
      <c r="H706" s="9"/>
      <c r="I706" s="9"/>
      <c r="J706" s="9"/>
      <c r="K706" s="42"/>
      <c r="L706" s="42"/>
      <c r="M706" s="42"/>
      <c r="N706" s="42"/>
      <c r="O706" s="42"/>
      <c r="P706" s="9"/>
      <c r="Q706" s="9"/>
      <c r="R706" s="42"/>
      <c r="S706" s="42"/>
      <c r="T706" s="42"/>
      <c r="U706" s="42"/>
      <c r="V706" s="42"/>
      <c r="W706" s="42"/>
    </row>
    <row r="707">
      <c r="A707" s="9"/>
      <c r="B707" s="9"/>
      <c r="C707" s="9"/>
      <c r="D707" s="42"/>
      <c r="E707" s="103"/>
      <c r="F707" s="42"/>
      <c r="G707" s="9"/>
      <c r="H707" s="9"/>
      <c r="I707" s="9"/>
      <c r="J707" s="9"/>
      <c r="K707" s="42"/>
      <c r="L707" s="42"/>
      <c r="M707" s="42"/>
      <c r="N707" s="42"/>
      <c r="O707" s="42"/>
      <c r="P707" s="9"/>
      <c r="Q707" s="9"/>
      <c r="R707" s="42"/>
      <c r="S707" s="42"/>
      <c r="T707" s="42"/>
      <c r="U707" s="42"/>
      <c r="V707" s="42"/>
      <c r="W707" s="42"/>
    </row>
    <row r="708">
      <c r="A708" s="9"/>
      <c r="B708" s="9"/>
      <c r="C708" s="9"/>
      <c r="D708" s="42"/>
      <c r="E708" s="103"/>
      <c r="F708" s="42"/>
      <c r="G708" s="9"/>
      <c r="H708" s="9"/>
      <c r="I708" s="9"/>
      <c r="J708" s="9"/>
      <c r="K708" s="42"/>
      <c r="L708" s="42"/>
      <c r="M708" s="42"/>
      <c r="N708" s="42"/>
      <c r="O708" s="42"/>
      <c r="P708" s="9"/>
      <c r="Q708" s="9"/>
      <c r="R708" s="42"/>
      <c r="S708" s="42"/>
      <c r="T708" s="42"/>
      <c r="U708" s="42"/>
      <c r="V708" s="42"/>
      <c r="W708" s="42"/>
    </row>
    <row r="709">
      <c r="A709" s="9"/>
      <c r="B709" s="9"/>
      <c r="C709" s="9"/>
      <c r="D709" s="42"/>
      <c r="E709" s="103"/>
      <c r="F709" s="42"/>
      <c r="G709" s="9"/>
      <c r="H709" s="9"/>
      <c r="I709" s="9"/>
      <c r="J709" s="9"/>
      <c r="K709" s="42"/>
      <c r="L709" s="42"/>
      <c r="M709" s="42"/>
      <c r="N709" s="42"/>
      <c r="O709" s="42"/>
      <c r="P709" s="9"/>
      <c r="Q709" s="9"/>
      <c r="R709" s="42"/>
      <c r="S709" s="42"/>
      <c r="T709" s="42"/>
      <c r="U709" s="42"/>
      <c r="V709" s="42"/>
      <c r="W709" s="42"/>
    </row>
    <row r="710">
      <c r="A710" s="9"/>
      <c r="B710" s="9"/>
      <c r="C710" s="9"/>
      <c r="D710" s="42"/>
      <c r="E710" s="103"/>
      <c r="F710" s="42"/>
      <c r="G710" s="9"/>
      <c r="H710" s="9"/>
      <c r="I710" s="9"/>
      <c r="J710" s="9"/>
      <c r="K710" s="42"/>
      <c r="L710" s="42"/>
      <c r="M710" s="42"/>
      <c r="N710" s="42"/>
      <c r="O710" s="42"/>
      <c r="P710" s="9"/>
      <c r="Q710" s="9"/>
      <c r="R710" s="42"/>
      <c r="S710" s="42"/>
      <c r="T710" s="42"/>
      <c r="U710" s="42"/>
      <c r="V710" s="42"/>
      <c r="W710" s="42"/>
    </row>
    <row r="711">
      <c r="A711" s="9"/>
      <c r="B711" s="9"/>
      <c r="C711" s="9"/>
      <c r="D711" s="42"/>
      <c r="E711" s="103"/>
      <c r="F711" s="42"/>
      <c r="G711" s="9"/>
      <c r="H711" s="9"/>
      <c r="I711" s="9"/>
      <c r="J711" s="9"/>
      <c r="K711" s="42"/>
      <c r="L711" s="42"/>
      <c r="M711" s="42"/>
      <c r="N711" s="42"/>
      <c r="O711" s="42"/>
      <c r="P711" s="9"/>
      <c r="Q711" s="9"/>
      <c r="R711" s="42"/>
      <c r="S711" s="42"/>
      <c r="T711" s="42"/>
      <c r="U711" s="42"/>
      <c r="V711" s="42"/>
      <c r="W711" s="42"/>
    </row>
    <row r="712">
      <c r="A712" s="9"/>
      <c r="B712" s="9"/>
      <c r="C712" s="9"/>
      <c r="D712" s="42"/>
      <c r="E712" s="103"/>
      <c r="F712" s="42"/>
      <c r="G712" s="9"/>
      <c r="H712" s="9"/>
      <c r="I712" s="9"/>
      <c r="J712" s="9"/>
      <c r="K712" s="42"/>
      <c r="L712" s="42"/>
      <c r="M712" s="42"/>
      <c r="N712" s="42"/>
      <c r="O712" s="42"/>
      <c r="P712" s="9"/>
      <c r="Q712" s="9"/>
      <c r="R712" s="42"/>
      <c r="S712" s="42"/>
      <c r="T712" s="42"/>
      <c r="U712" s="42"/>
      <c r="V712" s="42"/>
      <c r="W712" s="42"/>
    </row>
    <row r="713">
      <c r="A713" s="9"/>
      <c r="B713" s="9"/>
      <c r="C713" s="9"/>
      <c r="D713" s="42"/>
      <c r="E713" s="103"/>
      <c r="F713" s="42"/>
      <c r="G713" s="9"/>
      <c r="H713" s="9"/>
      <c r="I713" s="9"/>
      <c r="J713" s="9"/>
      <c r="K713" s="42"/>
      <c r="L713" s="42"/>
      <c r="M713" s="42"/>
      <c r="N713" s="42"/>
      <c r="O713" s="42"/>
      <c r="P713" s="9"/>
      <c r="Q713" s="9"/>
      <c r="R713" s="42"/>
      <c r="S713" s="42"/>
      <c r="T713" s="42"/>
      <c r="U713" s="42"/>
      <c r="V713" s="42"/>
      <c r="W713" s="42"/>
    </row>
    <row r="714">
      <c r="A714" s="9"/>
      <c r="B714" s="9"/>
      <c r="C714" s="9"/>
      <c r="D714" s="42"/>
      <c r="E714" s="103"/>
      <c r="F714" s="42"/>
      <c r="G714" s="9"/>
      <c r="H714" s="9"/>
      <c r="I714" s="9"/>
      <c r="J714" s="9"/>
      <c r="K714" s="42"/>
      <c r="L714" s="42"/>
      <c r="M714" s="42"/>
      <c r="N714" s="42"/>
      <c r="O714" s="42"/>
      <c r="P714" s="9"/>
      <c r="Q714" s="9"/>
      <c r="R714" s="42"/>
      <c r="S714" s="42"/>
      <c r="T714" s="42"/>
      <c r="U714" s="42"/>
      <c r="V714" s="42"/>
      <c r="W714" s="42"/>
    </row>
    <row r="715">
      <c r="A715" s="9"/>
      <c r="B715" s="9"/>
      <c r="C715" s="9"/>
      <c r="D715" s="42"/>
      <c r="E715" s="103"/>
      <c r="F715" s="42"/>
      <c r="G715" s="9"/>
      <c r="H715" s="9"/>
      <c r="I715" s="9"/>
      <c r="J715" s="9"/>
      <c r="K715" s="42"/>
      <c r="L715" s="42"/>
      <c r="M715" s="42"/>
      <c r="N715" s="42"/>
      <c r="O715" s="42"/>
      <c r="P715" s="9"/>
      <c r="Q715" s="9"/>
      <c r="R715" s="42"/>
      <c r="S715" s="42"/>
      <c r="T715" s="42"/>
      <c r="U715" s="42"/>
      <c r="V715" s="42"/>
      <c r="W715" s="42"/>
    </row>
    <row r="716">
      <c r="A716" s="9"/>
      <c r="B716" s="9"/>
      <c r="C716" s="9"/>
      <c r="D716" s="42"/>
      <c r="E716" s="103"/>
      <c r="F716" s="42"/>
      <c r="G716" s="9"/>
      <c r="H716" s="9"/>
      <c r="I716" s="9"/>
      <c r="J716" s="9"/>
      <c r="K716" s="42"/>
      <c r="L716" s="42"/>
      <c r="M716" s="42"/>
      <c r="N716" s="42"/>
      <c r="O716" s="42"/>
      <c r="P716" s="9"/>
      <c r="Q716" s="9"/>
      <c r="R716" s="42"/>
      <c r="S716" s="42"/>
      <c r="T716" s="42"/>
      <c r="U716" s="42"/>
      <c r="V716" s="42"/>
      <c r="W716" s="42"/>
    </row>
    <row r="717">
      <c r="A717" s="9"/>
      <c r="B717" s="9"/>
      <c r="C717" s="9"/>
      <c r="D717" s="42"/>
      <c r="E717" s="103"/>
      <c r="F717" s="42"/>
      <c r="G717" s="9"/>
      <c r="H717" s="9"/>
      <c r="I717" s="9"/>
      <c r="J717" s="9"/>
      <c r="K717" s="42"/>
      <c r="L717" s="42"/>
      <c r="M717" s="42"/>
      <c r="N717" s="42"/>
      <c r="O717" s="42"/>
      <c r="P717" s="9"/>
      <c r="Q717" s="9"/>
      <c r="R717" s="42"/>
      <c r="S717" s="42"/>
      <c r="T717" s="42"/>
      <c r="U717" s="42"/>
      <c r="V717" s="42"/>
      <c r="W717" s="42"/>
    </row>
    <row r="718">
      <c r="A718" s="9"/>
      <c r="B718" s="9"/>
      <c r="C718" s="9"/>
      <c r="D718" s="42"/>
      <c r="E718" s="103"/>
      <c r="F718" s="42"/>
      <c r="G718" s="9"/>
      <c r="H718" s="9"/>
      <c r="I718" s="9"/>
      <c r="J718" s="9"/>
      <c r="K718" s="42"/>
      <c r="L718" s="42"/>
      <c r="M718" s="42"/>
      <c r="N718" s="42"/>
      <c r="O718" s="42"/>
      <c r="P718" s="9"/>
      <c r="Q718" s="9"/>
      <c r="R718" s="42"/>
      <c r="S718" s="42"/>
      <c r="T718" s="42"/>
      <c r="U718" s="42"/>
      <c r="V718" s="42"/>
      <c r="W718" s="42"/>
    </row>
    <row r="719">
      <c r="A719" s="9"/>
      <c r="B719" s="9"/>
      <c r="C719" s="9"/>
      <c r="D719" s="42"/>
      <c r="E719" s="103"/>
      <c r="F719" s="42"/>
      <c r="G719" s="9"/>
      <c r="H719" s="9"/>
      <c r="I719" s="9"/>
      <c r="J719" s="9"/>
      <c r="K719" s="42"/>
      <c r="L719" s="42"/>
      <c r="M719" s="42"/>
      <c r="N719" s="42"/>
      <c r="O719" s="42"/>
      <c r="P719" s="9"/>
      <c r="Q719" s="9"/>
      <c r="R719" s="42"/>
      <c r="S719" s="42"/>
      <c r="T719" s="42"/>
      <c r="U719" s="42"/>
      <c r="V719" s="42"/>
      <c r="W719" s="42"/>
    </row>
    <row r="720">
      <c r="A720" s="9"/>
      <c r="B720" s="9"/>
      <c r="C720" s="9"/>
      <c r="D720" s="42"/>
      <c r="E720" s="103"/>
      <c r="F720" s="42"/>
      <c r="G720" s="9"/>
      <c r="H720" s="9"/>
      <c r="I720" s="9"/>
      <c r="J720" s="9"/>
      <c r="K720" s="42"/>
      <c r="L720" s="42"/>
      <c r="M720" s="42"/>
      <c r="N720" s="42"/>
      <c r="O720" s="42"/>
      <c r="P720" s="9"/>
      <c r="Q720" s="9"/>
      <c r="R720" s="42"/>
      <c r="S720" s="42"/>
      <c r="T720" s="42"/>
      <c r="U720" s="42"/>
      <c r="V720" s="42"/>
      <c r="W720" s="42"/>
    </row>
    <row r="721">
      <c r="A721" s="9"/>
      <c r="B721" s="9"/>
      <c r="C721" s="9"/>
      <c r="D721" s="42"/>
      <c r="E721" s="103"/>
      <c r="F721" s="42"/>
      <c r="G721" s="9"/>
      <c r="H721" s="9"/>
      <c r="I721" s="9"/>
      <c r="J721" s="9"/>
      <c r="K721" s="42"/>
      <c r="L721" s="42"/>
      <c r="M721" s="42"/>
      <c r="N721" s="42"/>
      <c r="O721" s="42"/>
      <c r="P721" s="9"/>
      <c r="Q721" s="9"/>
      <c r="R721" s="42"/>
      <c r="S721" s="42"/>
      <c r="T721" s="42"/>
      <c r="U721" s="42"/>
      <c r="V721" s="42"/>
      <c r="W721" s="42"/>
    </row>
    <row r="722">
      <c r="A722" s="9"/>
      <c r="B722" s="9"/>
      <c r="C722" s="9"/>
      <c r="D722" s="42"/>
      <c r="E722" s="103"/>
      <c r="F722" s="42"/>
      <c r="G722" s="9"/>
      <c r="H722" s="9"/>
      <c r="I722" s="9"/>
      <c r="J722" s="9"/>
      <c r="K722" s="42"/>
      <c r="L722" s="42"/>
      <c r="M722" s="42"/>
      <c r="N722" s="42"/>
      <c r="O722" s="42"/>
      <c r="P722" s="9"/>
      <c r="Q722" s="9"/>
      <c r="R722" s="42"/>
      <c r="S722" s="42"/>
      <c r="T722" s="42"/>
      <c r="U722" s="42"/>
      <c r="V722" s="42"/>
      <c r="W722" s="42"/>
    </row>
    <row r="723">
      <c r="A723" s="9"/>
      <c r="B723" s="9"/>
      <c r="C723" s="9"/>
      <c r="D723" s="42"/>
      <c r="E723" s="103"/>
      <c r="F723" s="42"/>
      <c r="G723" s="9"/>
      <c r="H723" s="9"/>
      <c r="I723" s="9"/>
      <c r="J723" s="9"/>
      <c r="K723" s="42"/>
      <c r="L723" s="42"/>
      <c r="M723" s="42"/>
      <c r="N723" s="42"/>
      <c r="O723" s="42"/>
      <c r="P723" s="9"/>
      <c r="Q723" s="9"/>
      <c r="R723" s="42"/>
      <c r="S723" s="42"/>
      <c r="T723" s="42"/>
      <c r="U723" s="42"/>
      <c r="V723" s="42"/>
      <c r="W723" s="42"/>
    </row>
    <row r="724">
      <c r="A724" s="9"/>
      <c r="B724" s="9"/>
      <c r="C724" s="9"/>
      <c r="D724" s="42"/>
      <c r="E724" s="103"/>
      <c r="F724" s="42"/>
      <c r="G724" s="9"/>
      <c r="H724" s="9"/>
      <c r="I724" s="9"/>
      <c r="J724" s="9"/>
      <c r="K724" s="42"/>
      <c r="L724" s="42"/>
      <c r="M724" s="42"/>
      <c r="N724" s="42"/>
      <c r="O724" s="42"/>
      <c r="P724" s="9"/>
      <c r="Q724" s="9"/>
      <c r="R724" s="42"/>
      <c r="S724" s="42"/>
      <c r="T724" s="42"/>
      <c r="U724" s="42"/>
      <c r="V724" s="42"/>
      <c r="W724" s="42"/>
    </row>
    <row r="725">
      <c r="A725" s="9"/>
      <c r="B725" s="9"/>
      <c r="C725" s="9"/>
      <c r="D725" s="42"/>
      <c r="E725" s="103"/>
      <c r="F725" s="42"/>
      <c r="G725" s="9"/>
      <c r="H725" s="9"/>
      <c r="I725" s="9"/>
      <c r="J725" s="9"/>
      <c r="K725" s="42"/>
      <c r="L725" s="42"/>
      <c r="M725" s="42"/>
      <c r="N725" s="42"/>
      <c r="O725" s="42"/>
      <c r="P725" s="9"/>
      <c r="Q725" s="9"/>
      <c r="R725" s="42"/>
      <c r="S725" s="42"/>
      <c r="T725" s="42"/>
      <c r="U725" s="42"/>
      <c r="V725" s="42"/>
      <c r="W725" s="42"/>
    </row>
    <row r="726">
      <c r="A726" s="9"/>
      <c r="B726" s="9"/>
      <c r="C726" s="9"/>
      <c r="D726" s="42"/>
      <c r="E726" s="103"/>
      <c r="F726" s="42"/>
      <c r="G726" s="9"/>
      <c r="H726" s="9"/>
      <c r="I726" s="9"/>
      <c r="J726" s="9"/>
      <c r="K726" s="42"/>
      <c r="L726" s="42"/>
      <c r="M726" s="42"/>
      <c r="N726" s="42"/>
      <c r="O726" s="42"/>
      <c r="P726" s="9"/>
      <c r="Q726" s="9"/>
      <c r="R726" s="42"/>
      <c r="S726" s="42"/>
      <c r="T726" s="42"/>
      <c r="U726" s="42"/>
      <c r="V726" s="42"/>
      <c r="W726" s="42"/>
    </row>
    <row r="727">
      <c r="A727" s="9"/>
      <c r="B727" s="9"/>
      <c r="C727" s="9"/>
      <c r="D727" s="42"/>
      <c r="E727" s="103"/>
      <c r="F727" s="42"/>
      <c r="G727" s="9"/>
      <c r="H727" s="9"/>
      <c r="I727" s="9"/>
      <c r="J727" s="9"/>
      <c r="K727" s="42"/>
      <c r="L727" s="42"/>
      <c r="M727" s="42"/>
      <c r="N727" s="42"/>
      <c r="O727" s="42"/>
      <c r="P727" s="9"/>
      <c r="Q727" s="9"/>
      <c r="R727" s="42"/>
      <c r="S727" s="42"/>
      <c r="T727" s="42"/>
      <c r="U727" s="42"/>
      <c r="V727" s="42"/>
      <c r="W727" s="42"/>
    </row>
    <row r="728">
      <c r="A728" s="9"/>
      <c r="B728" s="9"/>
      <c r="C728" s="9"/>
      <c r="D728" s="42"/>
      <c r="E728" s="103"/>
      <c r="F728" s="42"/>
      <c r="G728" s="9"/>
      <c r="H728" s="9"/>
      <c r="I728" s="9"/>
      <c r="J728" s="9"/>
      <c r="K728" s="42"/>
      <c r="L728" s="42"/>
      <c r="M728" s="42"/>
      <c r="N728" s="42"/>
      <c r="O728" s="42"/>
      <c r="P728" s="9"/>
      <c r="Q728" s="9"/>
      <c r="R728" s="42"/>
      <c r="S728" s="42"/>
      <c r="T728" s="42"/>
      <c r="U728" s="42"/>
      <c r="V728" s="42"/>
      <c r="W728" s="42"/>
    </row>
    <row r="729">
      <c r="A729" s="9"/>
      <c r="B729" s="9"/>
      <c r="C729" s="9"/>
      <c r="D729" s="42"/>
      <c r="E729" s="103"/>
      <c r="F729" s="42"/>
      <c r="G729" s="9"/>
      <c r="H729" s="9"/>
      <c r="I729" s="9"/>
      <c r="J729" s="9"/>
      <c r="K729" s="42"/>
      <c r="L729" s="42"/>
      <c r="M729" s="42"/>
      <c r="N729" s="42"/>
      <c r="O729" s="42"/>
      <c r="P729" s="9"/>
      <c r="Q729" s="9"/>
      <c r="R729" s="42"/>
      <c r="S729" s="42"/>
      <c r="T729" s="42"/>
      <c r="U729" s="42"/>
      <c r="V729" s="42"/>
      <c r="W729" s="42"/>
    </row>
    <row r="730">
      <c r="A730" s="9"/>
      <c r="B730" s="9"/>
      <c r="C730" s="9"/>
      <c r="D730" s="42"/>
      <c r="E730" s="103"/>
      <c r="F730" s="42"/>
      <c r="G730" s="9"/>
      <c r="H730" s="9"/>
      <c r="I730" s="9"/>
      <c r="J730" s="9"/>
      <c r="K730" s="42"/>
      <c r="L730" s="42"/>
      <c r="M730" s="42"/>
      <c r="N730" s="42"/>
      <c r="O730" s="42"/>
      <c r="P730" s="9"/>
      <c r="Q730" s="9"/>
      <c r="R730" s="42"/>
      <c r="S730" s="42"/>
      <c r="T730" s="42"/>
      <c r="U730" s="42"/>
      <c r="V730" s="42"/>
      <c r="W730" s="42"/>
    </row>
    <row r="731">
      <c r="A731" s="9"/>
      <c r="B731" s="9"/>
      <c r="C731" s="9"/>
      <c r="D731" s="42"/>
      <c r="E731" s="103"/>
      <c r="F731" s="42"/>
      <c r="G731" s="9"/>
      <c r="H731" s="9"/>
      <c r="I731" s="9"/>
      <c r="J731" s="9"/>
      <c r="K731" s="42"/>
      <c r="L731" s="42"/>
      <c r="M731" s="42"/>
      <c r="N731" s="42"/>
      <c r="O731" s="42"/>
      <c r="P731" s="9"/>
      <c r="Q731" s="9"/>
      <c r="R731" s="42"/>
      <c r="S731" s="42"/>
      <c r="T731" s="42"/>
      <c r="U731" s="42"/>
      <c r="V731" s="42"/>
      <c r="W731" s="42"/>
    </row>
    <row r="732">
      <c r="A732" s="9"/>
      <c r="B732" s="9"/>
      <c r="C732" s="9"/>
      <c r="D732" s="42"/>
      <c r="E732" s="103"/>
      <c r="F732" s="42"/>
      <c r="G732" s="9"/>
      <c r="H732" s="9"/>
      <c r="I732" s="9"/>
      <c r="J732" s="9"/>
      <c r="K732" s="42"/>
      <c r="L732" s="42"/>
      <c r="M732" s="42"/>
      <c r="N732" s="42"/>
      <c r="O732" s="42"/>
      <c r="P732" s="9"/>
      <c r="Q732" s="9"/>
      <c r="R732" s="42"/>
      <c r="S732" s="42"/>
      <c r="T732" s="42"/>
      <c r="U732" s="42"/>
      <c r="V732" s="42"/>
      <c r="W732" s="42"/>
    </row>
    <row r="733">
      <c r="A733" s="9"/>
      <c r="B733" s="9"/>
      <c r="C733" s="9"/>
      <c r="D733" s="42"/>
      <c r="E733" s="103"/>
      <c r="F733" s="42"/>
      <c r="G733" s="9"/>
      <c r="H733" s="9"/>
      <c r="I733" s="9"/>
      <c r="J733" s="9"/>
      <c r="K733" s="42"/>
      <c r="L733" s="42"/>
      <c r="M733" s="42"/>
      <c r="N733" s="42"/>
      <c r="O733" s="42"/>
      <c r="P733" s="9"/>
      <c r="Q733" s="9"/>
      <c r="R733" s="42"/>
      <c r="S733" s="42"/>
      <c r="T733" s="42"/>
      <c r="U733" s="42"/>
      <c r="V733" s="42"/>
      <c r="W733" s="42"/>
    </row>
    <row r="734">
      <c r="A734" s="9"/>
      <c r="B734" s="9"/>
      <c r="C734" s="9"/>
      <c r="D734" s="42"/>
      <c r="E734" s="103"/>
      <c r="F734" s="42"/>
      <c r="G734" s="9"/>
      <c r="H734" s="9"/>
      <c r="I734" s="9"/>
      <c r="J734" s="9"/>
      <c r="K734" s="42"/>
      <c r="L734" s="42"/>
      <c r="M734" s="42"/>
      <c r="N734" s="42"/>
      <c r="O734" s="42"/>
      <c r="P734" s="9"/>
      <c r="Q734" s="9"/>
      <c r="R734" s="42"/>
      <c r="S734" s="42"/>
      <c r="T734" s="42"/>
      <c r="U734" s="42"/>
      <c r="V734" s="42"/>
      <c r="W734" s="42"/>
    </row>
    <row r="735">
      <c r="A735" s="9"/>
      <c r="B735" s="9"/>
      <c r="C735" s="9"/>
      <c r="D735" s="42"/>
      <c r="E735" s="103"/>
      <c r="F735" s="42"/>
      <c r="G735" s="9"/>
      <c r="H735" s="9"/>
      <c r="I735" s="9"/>
      <c r="J735" s="9"/>
      <c r="K735" s="42"/>
      <c r="L735" s="42"/>
      <c r="M735" s="42"/>
      <c r="N735" s="42"/>
      <c r="O735" s="42"/>
      <c r="P735" s="9"/>
      <c r="Q735" s="9"/>
      <c r="R735" s="42"/>
      <c r="S735" s="42"/>
      <c r="T735" s="42"/>
      <c r="U735" s="42"/>
      <c r="V735" s="42"/>
      <c r="W735" s="42"/>
    </row>
    <row r="736">
      <c r="A736" s="9"/>
      <c r="B736" s="9"/>
      <c r="C736" s="9"/>
      <c r="D736" s="42"/>
      <c r="E736" s="103"/>
      <c r="F736" s="42"/>
      <c r="G736" s="9"/>
      <c r="H736" s="9"/>
      <c r="I736" s="9"/>
      <c r="J736" s="9"/>
      <c r="K736" s="42"/>
      <c r="L736" s="42"/>
      <c r="M736" s="42"/>
      <c r="N736" s="42"/>
      <c r="O736" s="42"/>
      <c r="P736" s="9"/>
      <c r="Q736" s="9"/>
      <c r="R736" s="42"/>
      <c r="S736" s="42"/>
      <c r="T736" s="42"/>
      <c r="U736" s="42"/>
      <c r="V736" s="42"/>
      <c r="W736" s="42"/>
    </row>
    <row r="737">
      <c r="A737" s="9"/>
      <c r="B737" s="9"/>
      <c r="C737" s="9"/>
      <c r="D737" s="42"/>
      <c r="E737" s="103"/>
      <c r="F737" s="42"/>
      <c r="G737" s="9"/>
      <c r="H737" s="9"/>
      <c r="I737" s="9"/>
      <c r="J737" s="9"/>
      <c r="K737" s="42"/>
      <c r="L737" s="42"/>
      <c r="M737" s="42"/>
      <c r="N737" s="42"/>
      <c r="O737" s="42"/>
      <c r="P737" s="9"/>
      <c r="Q737" s="9"/>
      <c r="R737" s="42"/>
      <c r="S737" s="42"/>
      <c r="T737" s="42"/>
      <c r="U737" s="42"/>
      <c r="V737" s="42"/>
      <c r="W737" s="42"/>
    </row>
    <row r="738">
      <c r="A738" s="9"/>
      <c r="B738" s="9"/>
      <c r="C738" s="9"/>
      <c r="D738" s="42"/>
      <c r="E738" s="103"/>
      <c r="F738" s="42"/>
      <c r="G738" s="9"/>
      <c r="H738" s="9"/>
      <c r="I738" s="9"/>
      <c r="J738" s="9"/>
      <c r="K738" s="42"/>
      <c r="L738" s="42"/>
      <c r="M738" s="42"/>
      <c r="N738" s="42"/>
      <c r="O738" s="42"/>
      <c r="P738" s="9"/>
      <c r="Q738" s="9"/>
      <c r="R738" s="42"/>
      <c r="S738" s="42"/>
      <c r="T738" s="42"/>
      <c r="U738" s="42"/>
      <c r="V738" s="42"/>
      <c r="W738" s="42"/>
    </row>
    <row r="739">
      <c r="A739" s="9"/>
      <c r="B739" s="9"/>
      <c r="C739" s="9"/>
      <c r="D739" s="42"/>
      <c r="E739" s="103"/>
      <c r="F739" s="42"/>
      <c r="G739" s="9"/>
      <c r="H739" s="9"/>
      <c r="I739" s="9"/>
      <c r="J739" s="9"/>
      <c r="K739" s="42"/>
      <c r="L739" s="42"/>
      <c r="M739" s="42"/>
      <c r="N739" s="42"/>
      <c r="O739" s="42"/>
      <c r="P739" s="9"/>
      <c r="Q739" s="9"/>
      <c r="R739" s="42"/>
      <c r="S739" s="42"/>
      <c r="T739" s="42"/>
      <c r="U739" s="42"/>
      <c r="V739" s="42"/>
      <c r="W739" s="42"/>
    </row>
    <row r="740">
      <c r="A740" s="9"/>
      <c r="B740" s="9"/>
      <c r="C740" s="9"/>
      <c r="D740" s="42"/>
      <c r="E740" s="103"/>
      <c r="F740" s="42"/>
      <c r="G740" s="9"/>
      <c r="H740" s="9"/>
      <c r="I740" s="9"/>
      <c r="J740" s="9"/>
      <c r="K740" s="42"/>
      <c r="L740" s="42"/>
      <c r="M740" s="42"/>
      <c r="N740" s="42"/>
      <c r="O740" s="42"/>
      <c r="P740" s="9"/>
      <c r="Q740" s="9"/>
      <c r="R740" s="42"/>
      <c r="S740" s="42"/>
      <c r="T740" s="42"/>
      <c r="U740" s="42"/>
      <c r="V740" s="42"/>
      <c r="W740" s="42"/>
    </row>
    <row r="741">
      <c r="A741" s="9"/>
      <c r="B741" s="9"/>
      <c r="C741" s="9"/>
      <c r="D741" s="42"/>
      <c r="E741" s="103"/>
      <c r="F741" s="42"/>
      <c r="G741" s="9"/>
      <c r="H741" s="9"/>
      <c r="I741" s="9"/>
      <c r="J741" s="9"/>
      <c r="K741" s="42"/>
      <c r="L741" s="42"/>
      <c r="M741" s="42"/>
      <c r="N741" s="42"/>
      <c r="O741" s="42"/>
      <c r="P741" s="9"/>
      <c r="Q741" s="9"/>
      <c r="R741" s="42"/>
      <c r="S741" s="42"/>
      <c r="T741" s="42"/>
      <c r="U741" s="42"/>
      <c r="V741" s="42"/>
      <c r="W741" s="42"/>
    </row>
    <row r="742">
      <c r="A742" s="9"/>
      <c r="B742" s="9"/>
      <c r="C742" s="9"/>
      <c r="D742" s="42"/>
      <c r="E742" s="103"/>
      <c r="F742" s="42"/>
      <c r="G742" s="9"/>
      <c r="H742" s="9"/>
      <c r="I742" s="9"/>
      <c r="J742" s="9"/>
      <c r="K742" s="42"/>
      <c r="L742" s="42"/>
      <c r="M742" s="42"/>
      <c r="N742" s="42"/>
      <c r="O742" s="42"/>
      <c r="P742" s="9"/>
      <c r="Q742" s="9"/>
      <c r="R742" s="42"/>
      <c r="S742" s="42"/>
      <c r="T742" s="42"/>
      <c r="U742" s="42"/>
      <c r="V742" s="42"/>
      <c r="W742" s="42"/>
    </row>
    <row r="743">
      <c r="A743" s="9"/>
      <c r="B743" s="9"/>
      <c r="C743" s="9"/>
      <c r="D743" s="42"/>
      <c r="E743" s="103"/>
      <c r="F743" s="42"/>
      <c r="G743" s="9"/>
      <c r="H743" s="9"/>
      <c r="I743" s="9"/>
      <c r="J743" s="9"/>
      <c r="K743" s="42"/>
      <c r="L743" s="42"/>
      <c r="M743" s="42"/>
      <c r="N743" s="42"/>
      <c r="O743" s="42"/>
      <c r="P743" s="9"/>
      <c r="Q743" s="9"/>
      <c r="R743" s="42"/>
      <c r="S743" s="42"/>
      <c r="T743" s="42"/>
      <c r="U743" s="42"/>
      <c r="V743" s="42"/>
      <c r="W743" s="42"/>
    </row>
    <row r="744">
      <c r="A744" s="9"/>
      <c r="B744" s="9"/>
      <c r="C744" s="9"/>
      <c r="D744" s="42"/>
      <c r="E744" s="103"/>
      <c r="F744" s="42"/>
      <c r="G744" s="9"/>
      <c r="H744" s="9"/>
      <c r="I744" s="9"/>
      <c r="J744" s="9"/>
      <c r="K744" s="42"/>
      <c r="L744" s="42"/>
      <c r="M744" s="42"/>
      <c r="N744" s="42"/>
      <c r="O744" s="42"/>
      <c r="P744" s="9"/>
      <c r="Q744" s="9"/>
      <c r="R744" s="42"/>
      <c r="S744" s="42"/>
      <c r="T744" s="42"/>
      <c r="U744" s="42"/>
      <c r="V744" s="42"/>
      <c r="W744" s="42"/>
    </row>
    <row r="745">
      <c r="A745" s="9"/>
      <c r="B745" s="9"/>
      <c r="C745" s="9"/>
      <c r="D745" s="42"/>
      <c r="E745" s="103"/>
      <c r="F745" s="42"/>
      <c r="G745" s="9"/>
      <c r="H745" s="9"/>
      <c r="I745" s="9"/>
      <c r="J745" s="9"/>
      <c r="K745" s="42"/>
      <c r="L745" s="42"/>
      <c r="M745" s="42"/>
      <c r="N745" s="42"/>
      <c r="O745" s="42"/>
      <c r="P745" s="9"/>
      <c r="Q745" s="9"/>
      <c r="R745" s="42"/>
      <c r="S745" s="42"/>
      <c r="T745" s="42"/>
      <c r="U745" s="42"/>
      <c r="V745" s="42"/>
      <c r="W745" s="42"/>
    </row>
    <row r="746">
      <c r="A746" s="9"/>
      <c r="B746" s="9"/>
      <c r="C746" s="9"/>
      <c r="D746" s="42"/>
      <c r="E746" s="103"/>
      <c r="F746" s="42"/>
      <c r="G746" s="9"/>
      <c r="H746" s="9"/>
      <c r="I746" s="9"/>
      <c r="J746" s="9"/>
      <c r="K746" s="42"/>
      <c r="L746" s="42"/>
      <c r="M746" s="42"/>
      <c r="N746" s="42"/>
      <c r="O746" s="42"/>
      <c r="P746" s="9"/>
      <c r="Q746" s="9"/>
      <c r="R746" s="42"/>
      <c r="S746" s="42"/>
      <c r="T746" s="42"/>
      <c r="U746" s="42"/>
      <c r="V746" s="42"/>
      <c r="W746" s="42"/>
    </row>
    <row r="747">
      <c r="A747" s="9"/>
      <c r="B747" s="9"/>
      <c r="C747" s="9"/>
      <c r="D747" s="42"/>
      <c r="E747" s="103"/>
      <c r="F747" s="42"/>
      <c r="G747" s="9"/>
      <c r="H747" s="9"/>
      <c r="I747" s="9"/>
      <c r="J747" s="9"/>
      <c r="K747" s="42"/>
      <c r="L747" s="42"/>
      <c r="M747" s="42"/>
      <c r="N747" s="42"/>
      <c r="O747" s="42"/>
      <c r="P747" s="9"/>
      <c r="Q747" s="9"/>
      <c r="R747" s="42"/>
      <c r="S747" s="42"/>
      <c r="T747" s="42"/>
      <c r="U747" s="42"/>
      <c r="V747" s="42"/>
      <c r="W747" s="42"/>
    </row>
    <row r="748">
      <c r="A748" s="9"/>
      <c r="B748" s="9"/>
      <c r="C748" s="9"/>
      <c r="D748" s="42"/>
      <c r="E748" s="103"/>
      <c r="F748" s="42"/>
      <c r="G748" s="9"/>
      <c r="H748" s="9"/>
      <c r="I748" s="9"/>
      <c r="J748" s="9"/>
      <c r="K748" s="42"/>
      <c r="L748" s="42"/>
      <c r="M748" s="42"/>
      <c r="N748" s="42"/>
      <c r="O748" s="42"/>
      <c r="P748" s="9"/>
      <c r="Q748" s="9"/>
      <c r="R748" s="42"/>
      <c r="S748" s="42"/>
      <c r="T748" s="42"/>
      <c r="U748" s="42"/>
      <c r="V748" s="42"/>
      <c r="W748" s="42"/>
    </row>
    <row r="749">
      <c r="A749" s="9"/>
      <c r="B749" s="9"/>
      <c r="C749" s="9"/>
      <c r="D749" s="42"/>
      <c r="E749" s="103"/>
      <c r="F749" s="42"/>
      <c r="G749" s="9"/>
      <c r="H749" s="9"/>
      <c r="I749" s="9"/>
      <c r="J749" s="9"/>
      <c r="K749" s="42"/>
      <c r="L749" s="42"/>
      <c r="M749" s="42"/>
      <c r="N749" s="42"/>
      <c r="O749" s="42"/>
      <c r="P749" s="9"/>
      <c r="Q749" s="9"/>
      <c r="R749" s="42"/>
      <c r="S749" s="42"/>
      <c r="T749" s="42"/>
      <c r="U749" s="42"/>
      <c r="V749" s="42"/>
      <c r="W749" s="42"/>
    </row>
    <row r="750">
      <c r="A750" s="9"/>
      <c r="B750" s="9"/>
      <c r="C750" s="9"/>
      <c r="D750" s="42"/>
      <c r="E750" s="103"/>
      <c r="F750" s="42"/>
      <c r="G750" s="9"/>
      <c r="H750" s="9"/>
      <c r="I750" s="9"/>
      <c r="J750" s="9"/>
      <c r="K750" s="42"/>
      <c r="L750" s="42"/>
      <c r="M750" s="42"/>
      <c r="N750" s="42"/>
      <c r="O750" s="42"/>
      <c r="P750" s="9"/>
      <c r="Q750" s="9"/>
      <c r="R750" s="42"/>
      <c r="S750" s="42"/>
      <c r="T750" s="42"/>
      <c r="U750" s="42"/>
      <c r="V750" s="42"/>
      <c r="W750" s="42"/>
    </row>
    <row r="751">
      <c r="A751" s="9"/>
      <c r="B751" s="9"/>
      <c r="C751" s="9"/>
      <c r="D751" s="42"/>
      <c r="E751" s="103"/>
      <c r="F751" s="42"/>
      <c r="G751" s="9"/>
      <c r="H751" s="9"/>
      <c r="I751" s="9"/>
      <c r="J751" s="9"/>
      <c r="K751" s="42"/>
      <c r="L751" s="42"/>
      <c r="M751" s="42"/>
      <c r="N751" s="42"/>
      <c r="O751" s="42"/>
      <c r="P751" s="9"/>
      <c r="Q751" s="9"/>
      <c r="R751" s="42"/>
      <c r="S751" s="42"/>
      <c r="T751" s="42"/>
      <c r="U751" s="42"/>
      <c r="V751" s="42"/>
      <c r="W751" s="42"/>
    </row>
    <row r="752">
      <c r="A752" s="9"/>
      <c r="B752" s="9"/>
      <c r="C752" s="9"/>
      <c r="D752" s="42"/>
      <c r="E752" s="103"/>
      <c r="F752" s="42"/>
      <c r="G752" s="9"/>
      <c r="H752" s="9"/>
      <c r="I752" s="9"/>
      <c r="J752" s="9"/>
      <c r="K752" s="42"/>
      <c r="L752" s="42"/>
      <c r="M752" s="42"/>
      <c r="N752" s="42"/>
      <c r="O752" s="42"/>
      <c r="P752" s="9"/>
      <c r="Q752" s="9"/>
      <c r="R752" s="42"/>
      <c r="S752" s="42"/>
      <c r="T752" s="42"/>
      <c r="U752" s="42"/>
      <c r="V752" s="42"/>
      <c r="W752" s="42"/>
    </row>
    <row r="753">
      <c r="A753" s="9"/>
      <c r="B753" s="9"/>
      <c r="C753" s="9"/>
      <c r="D753" s="42"/>
      <c r="E753" s="103"/>
      <c r="F753" s="42"/>
      <c r="G753" s="9"/>
      <c r="H753" s="9"/>
      <c r="I753" s="9"/>
      <c r="J753" s="9"/>
      <c r="K753" s="42"/>
      <c r="L753" s="42"/>
      <c r="M753" s="42"/>
      <c r="N753" s="42"/>
      <c r="O753" s="42"/>
      <c r="P753" s="9"/>
      <c r="Q753" s="9"/>
      <c r="R753" s="42"/>
      <c r="S753" s="42"/>
      <c r="T753" s="42"/>
      <c r="U753" s="42"/>
      <c r="V753" s="42"/>
      <c r="W753" s="42"/>
    </row>
    <row r="754">
      <c r="A754" s="9"/>
      <c r="B754" s="9"/>
      <c r="C754" s="9"/>
      <c r="D754" s="42"/>
      <c r="E754" s="103"/>
      <c r="F754" s="42"/>
      <c r="G754" s="9"/>
      <c r="H754" s="9"/>
      <c r="I754" s="9"/>
      <c r="J754" s="9"/>
      <c r="K754" s="42"/>
      <c r="L754" s="42"/>
      <c r="M754" s="42"/>
      <c r="N754" s="42"/>
      <c r="O754" s="42"/>
      <c r="P754" s="9"/>
      <c r="Q754" s="9"/>
      <c r="R754" s="42"/>
      <c r="S754" s="42"/>
      <c r="T754" s="42"/>
      <c r="U754" s="42"/>
      <c r="V754" s="42"/>
      <c r="W754" s="42"/>
    </row>
    <row r="755">
      <c r="A755" s="9"/>
      <c r="B755" s="9"/>
      <c r="C755" s="9"/>
      <c r="D755" s="42"/>
      <c r="E755" s="103"/>
      <c r="F755" s="42"/>
      <c r="G755" s="9"/>
      <c r="H755" s="9"/>
      <c r="I755" s="9"/>
      <c r="J755" s="9"/>
      <c r="K755" s="42"/>
      <c r="L755" s="42"/>
      <c r="M755" s="42"/>
      <c r="N755" s="42"/>
      <c r="O755" s="42"/>
      <c r="P755" s="9"/>
      <c r="Q755" s="9"/>
      <c r="R755" s="42"/>
      <c r="S755" s="42"/>
      <c r="T755" s="42"/>
      <c r="U755" s="42"/>
      <c r="V755" s="42"/>
      <c r="W755" s="42"/>
    </row>
    <row r="756">
      <c r="A756" s="9"/>
      <c r="B756" s="9"/>
      <c r="C756" s="9"/>
      <c r="D756" s="42"/>
      <c r="E756" s="103"/>
      <c r="F756" s="42"/>
      <c r="G756" s="9"/>
      <c r="H756" s="9"/>
      <c r="I756" s="9"/>
      <c r="J756" s="9"/>
      <c r="K756" s="42"/>
      <c r="L756" s="42"/>
      <c r="M756" s="42"/>
      <c r="N756" s="42"/>
      <c r="O756" s="42"/>
      <c r="P756" s="9"/>
      <c r="Q756" s="9"/>
      <c r="R756" s="42"/>
      <c r="S756" s="42"/>
      <c r="T756" s="42"/>
      <c r="U756" s="42"/>
      <c r="V756" s="42"/>
      <c r="W756" s="42"/>
    </row>
    <row r="757">
      <c r="A757" s="9"/>
      <c r="B757" s="9"/>
      <c r="C757" s="9"/>
      <c r="D757" s="42"/>
      <c r="E757" s="103"/>
      <c r="F757" s="42"/>
      <c r="G757" s="9"/>
      <c r="H757" s="9"/>
      <c r="I757" s="9"/>
      <c r="J757" s="9"/>
      <c r="K757" s="42"/>
      <c r="L757" s="42"/>
      <c r="M757" s="42"/>
      <c r="N757" s="42"/>
      <c r="O757" s="42"/>
      <c r="P757" s="9"/>
      <c r="Q757" s="9"/>
      <c r="R757" s="42"/>
      <c r="S757" s="42"/>
      <c r="T757" s="42"/>
      <c r="U757" s="42"/>
      <c r="V757" s="42"/>
      <c r="W757" s="42"/>
    </row>
    <row r="758">
      <c r="A758" s="9"/>
      <c r="B758" s="9"/>
      <c r="C758" s="9"/>
      <c r="D758" s="42"/>
      <c r="E758" s="103"/>
      <c r="F758" s="42"/>
      <c r="G758" s="9"/>
      <c r="H758" s="9"/>
      <c r="I758" s="9"/>
      <c r="J758" s="9"/>
      <c r="K758" s="42"/>
      <c r="L758" s="42"/>
      <c r="M758" s="42"/>
      <c r="N758" s="42"/>
      <c r="O758" s="42"/>
      <c r="P758" s="9"/>
      <c r="Q758" s="9"/>
      <c r="R758" s="42"/>
      <c r="S758" s="42"/>
      <c r="T758" s="42"/>
      <c r="U758" s="42"/>
      <c r="V758" s="42"/>
      <c r="W758" s="42"/>
    </row>
    <row r="759">
      <c r="A759" s="9"/>
      <c r="B759" s="9"/>
      <c r="C759" s="9"/>
      <c r="D759" s="42"/>
      <c r="E759" s="103"/>
      <c r="F759" s="42"/>
      <c r="G759" s="9"/>
      <c r="H759" s="9"/>
      <c r="I759" s="9"/>
      <c r="J759" s="9"/>
      <c r="K759" s="42"/>
      <c r="L759" s="42"/>
      <c r="M759" s="42"/>
      <c r="N759" s="42"/>
      <c r="O759" s="42"/>
      <c r="P759" s="9"/>
      <c r="Q759" s="9"/>
      <c r="R759" s="42"/>
      <c r="S759" s="42"/>
      <c r="T759" s="42"/>
      <c r="U759" s="42"/>
      <c r="V759" s="42"/>
      <c r="W759" s="42"/>
    </row>
    <row r="760">
      <c r="A760" s="9"/>
      <c r="B760" s="9"/>
      <c r="C760" s="9"/>
      <c r="D760" s="42"/>
      <c r="E760" s="103"/>
      <c r="F760" s="42"/>
      <c r="G760" s="9"/>
      <c r="H760" s="9"/>
      <c r="I760" s="9"/>
      <c r="J760" s="9"/>
      <c r="K760" s="42"/>
      <c r="L760" s="42"/>
      <c r="M760" s="42"/>
      <c r="N760" s="42"/>
      <c r="O760" s="42"/>
      <c r="P760" s="9"/>
      <c r="Q760" s="9"/>
      <c r="R760" s="42"/>
      <c r="S760" s="42"/>
      <c r="T760" s="42"/>
      <c r="U760" s="42"/>
      <c r="V760" s="42"/>
      <c r="W760" s="42"/>
    </row>
    <row r="761">
      <c r="A761" s="9"/>
      <c r="B761" s="9"/>
      <c r="C761" s="9"/>
      <c r="D761" s="42"/>
      <c r="E761" s="103"/>
      <c r="F761" s="42"/>
      <c r="G761" s="9"/>
      <c r="H761" s="9"/>
      <c r="I761" s="9"/>
      <c r="J761" s="9"/>
      <c r="K761" s="42"/>
      <c r="L761" s="42"/>
      <c r="M761" s="42"/>
      <c r="N761" s="42"/>
      <c r="O761" s="42"/>
      <c r="P761" s="9"/>
      <c r="Q761" s="9"/>
      <c r="R761" s="42"/>
      <c r="S761" s="42"/>
      <c r="T761" s="42"/>
      <c r="U761" s="42"/>
      <c r="V761" s="42"/>
      <c r="W761" s="42"/>
    </row>
    <row r="762">
      <c r="A762" s="9"/>
      <c r="B762" s="9"/>
      <c r="C762" s="9"/>
      <c r="D762" s="42"/>
      <c r="E762" s="103"/>
      <c r="F762" s="42"/>
      <c r="G762" s="9"/>
      <c r="H762" s="9"/>
      <c r="I762" s="9"/>
      <c r="J762" s="9"/>
      <c r="K762" s="42"/>
      <c r="L762" s="42"/>
      <c r="M762" s="42"/>
      <c r="N762" s="42"/>
      <c r="O762" s="42"/>
      <c r="P762" s="9"/>
      <c r="Q762" s="9"/>
      <c r="R762" s="42"/>
      <c r="S762" s="42"/>
      <c r="T762" s="42"/>
      <c r="U762" s="42"/>
      <c r="V762" s="42"/>
      <c r="W762" s="42"/>
    </row>
    <row r="763">
      <c r="A763" s="9"/>
      <c r="B763" s="9"/>
      <c r="C763" s="9"/>
      <c r="D763" s="42"/>
      <c r="E763" s="103"/>
      <c r="F763" s="42"/>
      <c r="G763" s="9"/>
      <c r="H763" s="9"/>
      <c r="I763" s="9"/>
      <c r="J763" s="9"/>
      <c r="K763" s="42"/>
      <c r="L763" s="42"/>
      <c r="M763" s="42"/>
      <c r="N763" s="42"/>
      <c r="O763" s="42"/>
      <c r="P763" s="9"/>
      <c r="Q763" s="9"/>
      <c r="R763" s="42"/>
      <c r="S763" s="42"/>
      <c r="T763" s="42"/>
      <c r="U763" s="42"/>
      <c r="V763" s="42"/>
      <c r="W763" s="42"/>
    </row>
    <row r="764">
      <c r="A764" s="9"/>
      <c r="B764" s="9"/>
      <c r="C764" s="9"/>
      <c r="D764" s="42"/>
      <c r="E764" s="103"/>
      <c r="F764" s="42"/>
      <c r="G764" s="9"/>
      <c r="H764" s="9"/>
      <c r="I764" s="9"/>
      <c r="J764" s="9"/>
      <c r="K764" s="42"/>
      <c r="L764" s="42"/>
      <c r="M764" s="42"/>
      <c r="N764" s="42"/>
      <c r="O764" s="42"/>
      <c r="P764" s="9"/>
      <c r="Q764" s="9"/>
      <c r="R764" s="42"/>
      <c r="S764" s="42"/>
      <c r="T764" s="42"/>
      <c r="U764" s="42"/>
      <c r="V764" s="42"/>
      <c r="W764" s="42"/>
    </row>
    <row r="765">
      <c r="A765" s="9"/>
      <c r="B765" s="9"/>
      <c r="C765" s="9"/>
      <c r="D765" s="42"/>
      <c r="E765" s="103"/>
      <c r="F765" s="42"/>
      <c r="G765" s="9"/>
      <c r="H765" s="9"/>
      <c r="I765" s="9"/>
      <c r="J765" s="9"/>
      <c r="K765" s="42"/>
      <c r="L765" s="42"/>
      <c r="M765" s="42"/>
      <c r="N765" s="42"/>
      <c r="O765" s="42"/>
      <c r="P765" s="9"/>
      <c r="Q765" s="9"/>
      <c r="R765" s="42"/>
      <c r="S765" s="42"/>
      <c r="T765" s="42"/>
      <c r="U765" s="42"/>
      <c r="V765" s="42"/>
      <c r="W765" s="42"/>
    </row>
    <row r="766">
      <c r="A766" s="9"/>
      <c r="B766" s="9"/>
      <c r="C766" s="9"/>
      <c r="D766" s="42"/>
      <c r="E766" s="103"/>
      <c r="F766" s="42"/>
      <c r="G766" s="9"/>
      <c r="H766" s="9"/>
      <c r="I766" s="9"/>
      <c r="J766" s="9"/>
      <c r="K766" s="42"/>
      <c r="L766" s="42"/>
      <c r="M766" s="42"/>
      <c r="N766" s="42"/>
      <c r="O766" s="42"/>
      <c r="P766" s="9"/>
      <c r="Q766" s="9"/>
      <c r="R766" s="42"/>
      <c r="S766" s="42"/>
      <c r="T766" s="42"/>
      <c r="U766" s="42"/>
      <c r="V766" s="42"/>
      <c r="W766" s="42"/>
    </row>
    <row r="767">
      <c r="A767" s="9"/>
      <c r="B767" s="9"/>
      <c r="C767" s="9"/>
      <c r="D767" s="42"/>
      <c r="E767" s="103"/>
      <c r="F767" s="42"/>
      <c r="G767" s="9"/>
      <c r="H767" s="9"/>
      <c r="I767" s="9"/>
      <c r="J767" s="9"/>
      <c r="K767" s="42"/>
      <c r="L767" s="42"/>
      <c r="M767" s="42"/>
      <c r="N767" s="42"/>
      <c r="O767" s="42"/>
      <c r="P767" s="9"/>
      <c r="Q767" s="9"/>
      <c r="R767" s="42"/>
      <c r="S767" s="42"/>
      <c r="T767" s="42"/>
      <c r="U767" s="42"/>
      <c r="V767" s="42"/>
      <c r="W767" s="42"/>
    </row>
    <row r="768">
      <c r="A768" s="9"/>
      <c r="B768" s="9"/>
      <c r="C768" s="9"/>
      <c r="D768" s="42"/>
      <c r="E768" s="103"/>
      <c r="F768" s="42"/>
      <c r="G768" s="9"/>
      <c r="H768" s="9"/>
      <c r="I768" s="9"/>
      <c r="J768" s="9"/>
      <c r="K768" s="42"/>
      <c r="L768" s="42"/>
      <c r="M768" s="42"/>
      <c r="N768" s="42"/>
      <c r="O768" s="42"/>
      <c r="P768" s="9"/>
      <c r="Q768" s="9"/>
      <c r="R768" s="42"/>
      <c r="S768" s="42"/>
      <c r="T768" s="42"/>
      <c r="U768" s="42"/>
      <c r="V768" s="42"/>
      <c r="W768" s="42"/>
    </row>
    <row r="769">
      <c r="A769" s="9"/>
      <c r="B769" s="9"/>
      <c r="C769" s="9"/>
      <c r="D769" s="42"/>
      <c r="E769" s="103"/>
      <c r="F769" s="42"/>
      <c r="G769" s="9"/>
      <c r="H769" s="9"/>
      <c r="I769" s="9"/>
      <c r="J769" s="9"/>
      <c r="K769" s="42"/>
      <c r="L769" s="42"/>
      <c r="M769" s="42"/>
      <c r="N769" s="42"/>
      <c r="O769" s="42"/>
      <c r="P769" s="9"/>
      <c r="Q769" s="9"/>
      <c r="R769" s="42"/>
      <c r="S769" s="42"/>
      <c r="T769" s="42"/>
      <c r="U769" s="42"/>
      <c r="V769" s="42"/>
      <c r="W769" s="42"/>
    </row>
    <row r="770">
      <c r="A770" s="9"/>
      <c r="B770" s="9"/>
      <c r="C770" s="9"/>
      <c r="D770" s="42"/>
      <c r="E770" s="103"/>
      <c r="F770" s="42"/>
      <c r="G770" s="9"/>
      <c r="H770" s="9"/>
      <c r="I770" s="9"/>
      <c r="J770" s="9"/>
      <c r="K770" s="42"/>
      <c r="L770" s="42"/>
      <c r="M770" s="42"/>
      <c r="N770" s="42"/>
      <c r="O770" s="42"/>
      <c r="P770" s="9"/>
      <c r="Q770" s="9"/>
      <c r="R770" s="42"/>
      <c r="S770" s="42"/>
      <c r="T770" s="42"/>
      <c r="U770" s="42"/>
      <c r="V770" s="42"/>
      <c r="W770" s="42"/>
    </row>
    <row r="771">
      <c r="A771" s="9"/>
      <c r="B771" s="9"/>
      <c r="C771" s="9"/>
      <c r="D771" s="42"/>
      <c r="E771" s="103"/>
      <c r="F771" s="42"/>
      <c r="G771" s="9"/>
      <c r="H771" s="9"/>
      <c r="I771" s="9"/>
      <c r="J771" s="9"/>
      <c r="K771" s="42"/>
      <c r="L771" s="42"/>
      <c r="M771" s="42"/>
      <c r="N771" s="42"/>
      <c r="O771" s="42"/>
      <c r="P771" s="9"/>
      <c r="Q771" s="9"/>
      <c r="R771" s="42"/>
      <c r="S771" s="42"/>
      <c r="T771" s="42"/>
      <c r="U771" s="42"/>
      <c r="V771" s="42"/>
      <c r="W771" s="42"/>
    </row>
    <row r="772">
      <c r="A772" s="9"/>
      <c r="B772" s="9"/>
      <c r="C772" s="9"/>
      <c r="D772" s="42"/>
      <c r="E772" s="103"/>
      <c r="F772" s="42"/>
      <c r="G772" s="9"/>
      <c r="H772" s="9"/>
      <c r="I772" s="9"/>
      <c r="J772" s="9"/>
      <c r="K772" s="42"/>
      <c r="L772" s="42"/>
      <c r="M772" s="42"/>
      <c r="N772" s="42"/>
      <c r="O772" s="42"/>
      <c r="P772" s="9"/>
      <c r="Q772" s="9"/>
      <c r="R772" s="42"/>
      <c r="S772" s="42"/>
      <c r="T772" s="42"/>
      <c r="U772" s="42"/>
      <c r="V772" s="42"/>
      <c r="W772" s="42"/>
    </row>
    <row r="773">
      <c r="A773" s="9"/>
      <c r="B773" s="9"/>
      <c r="C773" s="9"/>
      <c r="D773" s="42"/>
      <c r="E773" s="103"/>
      <c r="F773" s="42"/>
      <c r="G773" s="9"/>
      <c r="H773" s="9"/>
      <c r="I773" s="9"/>
      <c r="J773" s="9"/>
      <c r="K773" s="42"/>
      <c r="L773" s="42"/>
      <c r="M773" s="42"/>
      <c r="N773" s="42"/>
      <c r="O773" s="42"/>
      <c r="P773" s="9"/>
      <c r="Q773" s="9"/>
      <c r="R773" s="42"/>
      <c r="S773" s="42"/>
      <c r="T773" s="42"/>
      <c r="U773" s="42"/>
      <c r="V773" s="42"/>
      <c r="W773" s="42"/>
    </row>
    <row r="774">
      <c r="A774" s="9"/>
      <c r="B774" s="9"/>
      <c r="C774" s="9"/>
      <c r="D774" s="42"/>
      <c r="E774" s="103"/>
      <c r="F774" s="42"/>
      <c r="G774" s="9"/>
      <c r="H774" s="9"/>
      <c r="I774" s="9"/>
      <c r="J774" s="9"/>
      <c r="K774" s="42"/>
      <c r="L774" s="42"/>
      <c r="M774" s="42"/>
      <c r="N774" s="42"/>
      <c r="O774" s="42"/>
      <c r="P774" s="9"/>
      <c r="Q774" s="9"/>
      <c r="R774" s="42"/>
      <c r="S774" s="42"/>
      <c r="T774" s="42"/>
      <c r="U774" s="42"/>
      <c r="V774" s="42"/>
      <c r="W774" s="42"/>
    </row>
    <row r="775">
      <c r="A775" s="9"/>
      <c r="B775" s="9"/>
      <c r="C775" s="9"/>
      <c r="D775" s="42"/>
      <c r="E775" s="103"/>
      <c r="F775" s="42"/>
      <c r="G775" s="9"/>
      <c r="H775" s="9"/>
      <c r="I775" s="9"/>
      <c r="J775" s="9"/>
      <c r="K775" s="42"/>
      <c r="L775" s="42"/>
      <c r="M775" s="42"/>
      <c r="N775" s="42"/>
      <c r="O775" s="42"/>
      <c r="P775" s="9"/>
      <c r="Q775" s="9"/>
      <c r="R775" s="42"/>
      <c r="S775" s="42"/>
      <c r="T775" s="42"/>
      <c r="U775" s="42"/>
      <c r="V775" s="42"/>
      <c r="W775" s="42"/>
    </row>
    <row r="776">
      <c r="A776" s="9"/>
      <c r="B776" s="9"/>
      <c r="C776" s="9"/>
      <c r="D776" s="42"/>
      <c r="E776" s="103"/>
      <c r="F776" s="42"/>
      <c r="G776" s="9"/>
      <c r="H776" s="9"/>
      <c r="I776" s="9"/>
      <c r="J776" s="9"/>
      <c r="K776" s="42"/>
      <c r="L776" s="42"/>
      <c r="M776" s="42"/>
      <c r="N776" s="42"/>
      <c r="O776" s="42"/>
      <c r="P776" s="9"/>
      <c r="Q776" s="9"/>
      <c r="R776" s="42"/>
      <c r="S776" s="42"/>
      <c r="T776" s="42"/>
      <c r="U776" s="42"/>
      <c r="V776" s="42"/>
      <c r="W776" s="42"/>
    </row>
    <row r="777">
      <c r="A777" s="9"/>
      <c r="B777" s="9"/>
      <c r="C777" s="9"/>
      <c r="D777" s="42"/>
      <c r="E777" s="103"/>
      <c r="F777" s="42"/>
      <c r="G777" s="9"/>
      <c r="H777" s="9"/>
      <c r="I777" s="9"/>
      <c r="J777" s="9"/>
      <c r="K777" s="42"/>
      <c r="L777" s="42"/>
      <c r="M777" s="42"/>
      <c r="N777" s="42"/>
      <c r="O777" s="42"/>
      <c r="P777" s="9"/>
      <c r="Q777" s="9"/>
      <c r="R777" s="42"/>
      <c r="S777" s="42"/>
      <c r="T777" s="42"/>
      <c r="U777" s="42"/>
      <c r="V777" s="42"/>
      <c r="W777" s="42"/>
    </row>
    <row r="778">
      <c r="A778" s="9"/>
      <c r="B778" s="9"/>
      <c r="C778" s="9"/>
      <c r="D778" s="42"/>
      <c r="E778" s="103"/>
      <c r="F778" s="42"/>
      <c r="G778" s="9"/>
      <c r="H778" s="9"/>
      <c r="I778" s="9"/>
      <c r="J778" s="9"/>
      <c r="K778" s="42"/>
      <c r="L778" s="42"/>
      <c r="M778" s="42"/>
      <c r="N778" s="42"/>
      <c r="O778" s="42"/>
      <c r="P778" s="9"/>
      <c r="Q778" s="9"/>
      <c r="R778" s="42"/>
      <c r="S778" s="42"/>
      <c r="T778" s="42"/>
      <c r="U778" s="42"/>
      <c r="V778" s="42"/>
      <c r="W778" s="42"/>
    </row>
    <row r="779">
      <c r="A779" s="9"/>
      <c r="B779" s="9"/>
      <c r="C779" s="9"/>
      <c r="D779" s="42"/>
      <c r="E779" s="103"/>
      <c r="F779" s="42"/>
      <c r="G779" s="9"/>
      <c r="H779" s="9"/>
      <c r="I779" s="9"/>
      <c r="J779" s="9"/>
      <c r="K779" s="42"/>
      <c r="L779" s="42"/>
      <c r="M779" s="42"/>
      <c r="N779" s="42"/>
      <c r="O779" s="42"/>
      <c r="P779" s="9"/>
      <c r="Q779" s="9"/>
      <c r="R779" s="42"/>
      <c r="S779" s="42"/>
      <c r="T779" s="42"/>
      <c r="U779" s="42"/>
      <c r="V779" s="42"/>
      <c r="W779" s="42"/>
    </row>
    <row r="780">
      <c r="A780" s="9"/>
      <c r="B780" s="9"/>
      <c r="C780" s="9"/>
      <c r="D780" s="42"/>
      <c r="E780" s="103"/>
      <c r="F780" s="42"/>
      <c r="G780" s="9"/>
      <c r="H780" s="9"/>
      <c r="I780" s="9"/>
      <c r="J780" s="9"/>
      <c r="K780" s="42"/>
      <c r="L780" s="42"/>
      <c r="M780" s="42"/>
      <c r="N780" s="42"/>
      <c r="O780" s="42"/>
      <c r="P780" s="9"/>
      <c r="Q780" s="9"/>
      <c r="R780" s="42"/>
      <c r="S780" s="42"/>
      <c r="T780" s="42"/>
      <c r="U780" s="42"/>
      <c r="V780" s="42"/>
      <c r="W780" s="42"/>
    </row>
    <row r="781">
      <c r="A781" s="9"/>
      <c r="B781" s="9"/>
      <c r="C781" s="9"/>
      <c r="D781" s="42"/>
      <c r="E781" s="103"/>
      <c r="F781" s="42"/>
      <c r="G781" s="9"/>
      <c r="H781" s="9"/>
      <c r="I781" s="9"/>
      <c r="J781" s="9"/>
      <c r="K781" s="42"/>
      <c r="L781" s="42"/>
      <c r="M781" s="42"/>
      <c r="N781" s="42"/>
      <c r="O781" s="42"/>
      <c r="P781" s="9"/>
      <c r="Q781" s="9"/>
      <c r="R781" s="42"/>
      <c r="S781" s="42"/>
      <c r="T781" s="42"/>
      <c r="U781" s="42"/>
      <c r="V781" s="42"/>
      <c r="W781" s="42"/>
    </row>
    <row r="782">
      <c r="A782" s="9"/>
      <c r="B782" s="9"/>
      <c r="C782" s="9"/>
      <c r="D782" s="42"/>
      <c r="E782" s="103"/>
      <c r="F782" s="42"/>
      <c r="G782" s="9"/>
      <c r="H782" s="9"/>
      <c r="I782" s="9"/>
      <c r="J782" s="9"/>
      <c r="K782" s="42"/>
      <c r="L782" s="42"/>
      <c r="M782" s="42"/>
      <c r="N782" s="42"/>
      <c r="O782" s="42"/>
      <c r="P782" s="9"/>
      <c r="Q782" s="9"/>
      <c r="R782" s="42"/>
      <c r="S782" s="42"/>
      <c r="T782" s="42"/>
      <c r="U782" s="42"/>
      <c r="V782" s="42"/>
      <c r="W782" s="42"/>
    </row>
    <row r="783">
      <c r="A783" s="9"/>
      <c r="B783" s="9"/>
      <c r="C783" s="9"/>
      <c r="D783" s="42"/>
      <c r="E783" s="103"/>
      <c r="F783" s="42"/>
      <c r="G783" s="9"/>
      <c r="H783" s="9"/>
      <c r="I783" s="9"/>
      <c r="J783" s="9"/>
      <c r="K783" s="42"/>
      <c r="L783" s="42"/>
      <c r="M783" s="42"/>
      <c r="N783" s="42"/>
      <c r="O783" s="42"/>
      <c r="P783" s="9"/>
      <c r="Q783" s="9"/>
      <c r="R783" s="42"/>
      <c r="S783" s="42"/>
      <c r="T783" s="42"/>
      <c r="U783" s="42"/>
      <c r="V783" s="42"/>
      <c r="W783" s="42"/>
    </row>
    <row r="784">
      <c r="A784" s="9"/>
      <c r="B784" s="9"/>
      <c r="C784" s="9"/>
      <c r="D784" s="42"/>
      <c r="E784" s="103"/>
      <c r="F784" s="42"/>
      <c r="G784" s="9"/>
      <c r="H784" s="9"/>
      <c r="I784" s="9"/>
      <c r="J784" s="9"/>
      <c r="K784" s="42"/>
      <c r="L784" s="42"/>
      <c r="M784" s="42"/>
      <c r="N784" s="42"/>
      <c r="O784" s="42"/>
      <c r="P784" s="9"/>
      <c r="Q784" s="9"/>
      <c r="R784" s="42"/>
      <c r="S784" s="42"/>
      <c r="T784" s="42"/>
      <c r="U784" s="42"/>
      <c r="V784" s="42"/>
      <c r="W784" s="42"/>
    </row>
    <row r="785">
      <c r="A785" s="9"/>
      <c r="B785" s="9"/>
      <c r="C785" s="9"/>
      <c r="D785" s="42"/>
      <c r="E785" s="103"/>
      <c r="F785" s="42"/>
      <c r="G785" s="9"/>
      <c r="H785" s="9"/>
      <c r="I785" s="9"/>
      <c r="J785" s="9"/>
      <c r="K785" s="42"/>
      <c r="L785" s="42"/>
      <c r="M785" s="42"/>
      <c r="N785" s="42"/>
      <c r="O785" s="42"/>
      <c r="P785" s="9"/>
      <c r="Q785" s="9"/>
      <c r="R785" s="42"/>
      <c r="S785" s="42"/>
      <c r="T785" s="42"/>
      <c r="U785" s="42"/>
      <c r="V785" s="42"/>
      <c r="W785" s="42"/>
    </row>
    <row r="786">
      <c r="A786" s="9"/>
      <c r="B786" s="9"/>
      <c r="C786" s="9"/>
      <c r="D786" s="42"/>
      <c r="E786" s="103"/>
      <c r="F786" s="42"/>
      <c r="G786" s="9"/>
      <c r="H786" s="9"/>
      <c r="I786" s="9"/>
      <c r="J786" s="9"/>
      <c r="K786" s="42"/>
      <c r="L786" s="42"/>
      <c r="M786" s="42"/>
      <c r="N786" s="42"/>
      <c r="O786" s="42"/>
      <c r="P786" s="9"/>
      <c r="Q786" s="9"/>
      <c r="R786" s="42"/>
      <c r="S786" s="42"/>
      <c r="T786" s="42"/>
      <c r="U786" s="42"/>
      <c r="V786" s="42"/>
      <c r="W786" s="42"/>
    </row>
    <row r="787">
      <c r="A787" s="9"/>
      <c r="B787" s="9"/>
      <c r="C787" s="9"/>
      <c r="D787" s="42"/>
      <c r="E787" s="103"/>
      <c r="F787" s="42"/>
      <c r="G787" s="9"/>
      <c r="H787" s="9"/>
      <c r="I787" s="9"/>
      <c r="J787" s="9"/>
      <c r="K787" s="42"/>
      <c r="L787" s="42"/>
      <c r="M787" s="42"/>
      <c r="N787" s="42"/>
      <c r="O787" s="42"/>
      <c r="P787" s="9"/>
      <c r="Q787" s="9"/>
      <c r="R787" s="42"/>
      <c r="S787" s="42"/>
      <c r="T787" s="42"/>
      <c r="U787" s="42"/>
      <c r="V787" s="42"/>
      <c r="W787" s="42"/>
    </row>
    <row r="788">
      <c r="A788" s="9"/>
      <c r="B788" s="9"/>
      <c r="C788" s="9"/>
      <c r="D788" s="42"/>
      <c r="E788" s="103"/>
      <c r="F788" s="42"/>
      <c r="G788" s="9"/>
      <c r="H788" s="9"/>
      <c r="I788" s="9"/>
      <c r="J788" s="9"/>
      <c r="K788" s="42"/>
      <c r="L788" s="42"/>
      <c r="M788" s="42"/>
      <c r="N788" s="42"/>
      <c r="O788" s="42"/>
      <c r="P788" s="9"/>
      <c r="Q788" s="9"/>
      <c r="R788" s="42"/>
      <c r="S788" s="42"/>
      <c r="T788" s="42"/>
      <c r="U788" s="42"/>
      <c r="V788" s="42"/>
      <c r="W788" s="42"/>
    </row>
    <row r="789">
      <c r="A789" s="9"/>
      <c r="B789" s="9"/>
      <c r="C789" s="9"/>
      <c r="D789" s="42"/>
      <c r="E789" s="103"/>
      <c r="F789" s="42"/>
      <c r="G789" s="9"/>
      <c r="H789" s="9"/>
      <c r="I789" s="9"/>
      <c r="J789" s="9"/>
      <c r="K789" s="42"/>
      <c r="L789" s="42"/>
      <c r="M789" s="42"/>
      <c r="N789" s="42"/>
      <c r="O789" s="42"/>
      <c r="P789" s="9"/>
      <c r="Q789" s="9"/>
      <c r="R789" s="42"/>
      <c r="S789" s="42"/>
      <c r="T789" s="42"/>
      <c r="U789" s="42"/>
      <c r="V789" s="42"/>
      <c r="W789" s="42"/>
    </row>
    <row r="790">
      <c r="A790" s="9"/>
      <c r="B790" s="9"/>
      <c r="C790" s="9"/>
      <c r="D790" s="42"/>
      <c r="E790" s="103"/>
      <c r="F790" s="42"/>
      <c r="G790" s="9"/>
      <c r="H790" s="9"/>
      <c r="I790" s="9"/>
      <c r="J790" s="9"/>
      <c r="K790" s="42"/>
      <c r="L790" s="42"/>
      <c r="M790" s="42"/>
      <c r="N790" s="42"/>
      <c r="O790" s="42"/>
      <c r="P790" s="9"/>
      <c r="Q790" s="9"/>
      <c r="R790" s="42"/>
      <c r="S790" s="42"/>
      <c r="T790" s="42"/>
      <c r="U790" s="42"/>
      <c r="V790" s="42"/>
      <c r="W790" s="42"/>
    </row>
    <row r="791">
      <c r="A791" s="9"/>
      <c r="B791" s="9"/>
      <c r="C791" s="9"/>
      <c r="D791" s="42"/>
      <c r="E791" s="103"/>
      <c r="F791" s="42"/>
      <c r="G791" s="9"/>
      <c r="H791" s="9"/>
      <c r="I791" s="9"/>
      <c r="J791" s="9"/>
      <c r="K791" s="42"/>
      <c r="L791" s="42"/>
      <c r="M791" s="42"/>
      <c r="N791" s="42"/>
      <c r="O791" s="42"/>
      <c r="P791" s="9"/>
      <c r="Q791" s="9"/>
      <c r="R791" s="42"/>
      <c r="S791" s="42"/>
      <c r="T791" s="42"/>
      <c r="U791" s="42"/>
      <c r="V791" s="42"/>
      <c r="W791" s="42"/>
    </row>
    <row r="792">
      <c r="A792" s="9"/>
      <c r="B792" s="9"/>
      <c r="C792" s="9"/>
      <c r="D792" s="42"/>
      <c r="E792" s="103"/>
      <c r="F792" s="42"/>
      <c r="G792" s="9"/>
      <c r="H792" s="9"/>
      <c r="I792" s="9"/>
      <c r="J792" s="9"/>
      <c r="K792" s="42"/>
      <c r="L792" s="42"/>
      <c r="M792" s="42"/>
      <c r="N792" s="42"/>
      <c r="O792" s="42"/>
      <c r="P792" s="9"/>
      <c r="Q792" s="9"/>
      <c r="R792" s="42"/>
      <c r="S792" s="42"/>
      <c r="T792" s="42"/>
      <c r="U792" s="42"/>
      <c r="V792" s="42"/>
      <c r="W792" s="42"/>
    </row>
    <row r="793">
      <c r="A793" s="9"/>
      <c r="B793" s="9"/>
      <c r="C793" s="9"/>
      <c r="D793" s="42"/>
      <c r="E793" s="103"/>
      <c r="F793" s="42"/>
      <c r="G793" s="9"/>
      <c r="H793" s="9"/>
      <c r="I793" s="9"/>
      <c r="J793" s="9"/>
      <c r="K793" s="42"/>
      <c r="L793" s="42"/>
      <c r="M793" s="42"/>
      <c r="N793" s="42"/>
      <c r="O793" s="42"/>
      <c r="P793" s="9"/>
      <c r="Q793" s="9"/>
      <c r="R793" s="42"/>
      <c r="S793" s="42"/>
      <c r="T793" s="42"/>
      <c r="U793" s="42"/>
      <c r="V793" s="42"/>
      <c r="W793" s="42"/>
    </row>
    <row r="794">
      <c r="A794" s="9"/>
      <c r="B794" s="9"/>
      <c r="C794" s="9"/>
      <c r="D794" s="42"/>
      <c r="E794" s="103"/>
      <c r="F794" s="42"/>
      <c r="G794" s="9"/>
      <c r="H794" s="9"/>
      <c r="I794" s="9"/>
      <c r="J794" s="9"/>
      <c r="K794" s="42"/>
      <c r="L794" s="42"/>
      <c r="M794" s="42"/>
      <c r="N794" s="42"/>
      <c r="O794" s="42"/>
      <c r="P794" s="9"/>
      <c r="Q794" s="9"/>
      <c r="R794" s="42"/>
      <c r="S794" s="42"/>
      <c r="T794" s="42"/>
      <c r="U794" s="42"/>
      <c r="V794" s="42"/>
      <c r="W794" s="42"/>
    </row>
    <row r="795">
      <c r="A795" s="9"/>
      <c r="B795" s="9"/>
      <c r="C795" s="9"/>
      <c r="D795" s="42"/>
      <c r="E795" s="103"/>
      <c r="F795" s="42"/>
      <c r="G795" s="9"/>
      <c r="H795" s="9"/>
      <c r="I795" s="9"/>
      <c r="J795" s="9"/>
      <c r="K795" s="42"/>
      <c r="L795" s="42"/>
      <c r="M795" s="42"/>
      <c r="N795" s="42"/>
      <c r="O795" s="42"/>
      <c r="P795" s="9"/>
      <c r="Q795" s="9"/>
      <c r="R795" s="42"/>
      <c r="S795" s="42"/>
      <c r="T795" s="42"/>
      <c r="U795" s="42"/>
      <c r="V795" s="42"/>
      <c r="W795" s="42"/>
    </row>
    <row r="796">
      <c r="A796" s="9"/>
      <c r="B796" s="9"/>
      <c r="C796" s="9"/>
      <c r="D796" s="42"/>
      <c r="E796" s="103"/>
      <c r="F796" s="42"/>
      <c r="G796" s="9"/>
      <c r="H796" s="9"/>
      <c r="I796" s="9"/>
      <c r="J796" s="9"/>
      <c r="K796" s="42"/>
      <c r="L796" s="42"/>
      <c r="M796" s="42"/>
      <c r="N796" s="42"/>
      <c r="O796" s="42"/>
      <c r="P796" s="9"/>
      <c r="Q796" s="9"/>
      <c r="R796" s="42"/>
      <c r="S796" s="42"/>
      <c r="T796" s="42"/>
      <c r="U796" s="42"/>
      <c r="V796" s="42"/>
      <c r="W796" s="42"/>
    </row>
    <row r="797">
      <c r="A797" s="9"/>
      <c r="B797" s="9"/>
      <c r="C797" s="9"/>
      <c r="D797" s="42"/>
      <c r="E797" s="103"/>
      <c r="F797" s="42"/>
      <c r="G797" s="9"/>
      <c r="H797" s="9"/>
      <c r="I797" s="9"/>
      <c r="J797" s="9"/>
      <c r="K797" s="42"/>
      <c r="L797" s="42"/>
      <c r="M797" s="42"/>
      <c r="N797" s="42"/>
      <c r="O797" s="42"/>
      <c r="P797" s="9"/>
      <c r="Q797" s="9"/>
      <c r="R797" s="42"/>
      <c r="S797" s="42"/>
      <c r="T797" s="42"/>
      <c r="U797" s="42"/>
      <c r="V797" s="42"/>
      <c r="W797" s="42"/>
    </row>
    <row r="798">
      <c r="A798" s="9"/>
      <c r="B798" s="9"/>
      <c r="C798" s="9"/>
      <c r="D798" s="42"/>
      <c r="E798" s="103"/>
      <c r="F798" s="42"/>
      <c r="G798" s="9"/>
      <c r="H798" s="9"/>
      <c r="I798" s="9"/>
      <c r="J798" s="9"/>
      <c r="K798" s="42"/>
      <c r="L798" s="42"/>
      <c r="M798" s="42"/>
      <c r="N798" s="42"/>
      <c r="O798" s="42"/>
      <c r="P798" s="9"/>
      <c r="Q798" s="9"/>
      <c r="R798" s="42"/>
      <c r="S798" s="42"/>
      <c r="T798" s="42"/>
      <c r="U798" s="42"/>
      <c r="V798" s="42"/>
      <c r="W798" s="42"/>
    </row>
    <row r="799">
      <c r="A799" s="9"/>
      <c r="B799" s="9"/>
      <c r="C799" s="9"/>
      <c r="D799" s="42"/>
      <c r="E799" s="103"/>
      <c r="F799" s="42"/>
      <c r="G799" s="9"/>
      <c r="H799" s="9"/>
      <c r="I799" s="9"/>
      <c r="J799" s="9"/>
      <c r="K799" s="42"/>
      <c r="L799" s="42"/>
      <c r="M799" s="42"/>
      <c r="N799" s="42"/>
      <c r="O799" s="42"/>
      <c r="P799" s="9"/>
      <c r="Q799" s="9"/>
      <c r="R799" s="42"/>
      <c r="S799" s="42"/>
      <c r="T799" s="42"/>
      <c r="U799" s="42"/>
      <c r="V799" s="42"/>
      <c r="W799" s="42"/>
    </row>
    <row r="800">
      <c r="A800" s="9"/>
      <c r="B800" s="9"/>
      <c r="C800" s="9"/>
      <c r="D800" s="42"/>
      <c r="E800" s="103"/>
      <c r="F800" s="42"/>
      <c r="G800" s="9"/>
      <c r="H800" s="9"/>
      <c r="I800" s="9"/>
      <c r="J800" s="9"/>
      <c r="K800" s="42"/>
      <c r="L800" s="42"/>
      <c r="M800" s="42"/>
      <c r="N800" s="42"/>
      <c r="O800" s="42"/>
      <c r="P800" s="9"/>
      <c r="Q800" s="9"/>
      <c r="R800" s="42"/>
      <c r="S800" s="42"/>
      <c r="T800" s="42"/>
      <c r="U800" s="42"/>
      <c r="V800" s="42"/>
      <c r="W800" s="42"/>
    </row>
    <row r="801">
      <c r="A801" s="9"/>
      <c r="B801" s="9"/>
      <c r="C801" s="9"/>
      <c r="D801" s="42"/>
      <c r="E801" s="103"/>
      <c r="F801" s="42"/>
      <c r="G801" s="9"/>
      <c r="H801" s="9"/>
      <c r="I801" s="9"/>
      <c r="J801" s="9"/>
      <c r="K801" s="42"/>
      <c r="L801" s="42"/>
      <c r="M801" s="42"/>
      <c r="N801" s="42"/>
      <c r="O801" s="42"/>
      <c r="P801" s="9"/>
      <c r="Q801" s="9"/>
      <c r="R801" s="42"/>
      <c r="S801" s="42"/>
      <c r="T801" s="42"/>
      <c r="U801" s="42"/>
      <c r="V801" s="42"/>
      <c r="W801" s="42"/>
    </row>
    <row r="802">
      <c r="A802" s="9"/>
      <c r="B802" s="9"/>
      <c r="C802" s="9"/>
      <c r="D802" s="42"/>
      <c r="E802" s="103"/>
      <c r="F802" s="42"/>
      <c r="G802" s="9"/>
      <c r="H802" s="9"/>
      <c r="I802" s="9"/>
      <c r="J802" s="9"/>
      <c r="K802" s="42"/>
      <c r="L802" s="42"/>
      <c r="M802" s="42"/>
      <c r="N802" s="42"/>
      <c r="O802" s="42"/>
      <c r="P802" s="9"/>
      <c r="Q802" s="9"/>
      <c r="R802" s="42"/>
      <c r="S802" s="42"/>
      <c r="T802" s="42"/>
      <c r="U802" s="42"/>
      <c r="V802" s="42"/>
      <c r="W802" s="42"/>
    </row>
    <row r="803">
      <c r="A803" s="9"/>
      <c r="B803" s="9"/>
      <c r="C803" s="9"/>
      <c r="D803" s="42"/>
      <c r="E803" s="103"/>
      <c r="F803" s="42"/>
      <c r="G803" s="9"/>
      <c r="H803" s="9"/>
      <c r="I803" s="9"/>
      <c r="J803" s="9"/>
      <c r="K803" s="42"/>
      <c r="L803" s="42"/>
      <c r="M803" s="42"/>
      <c r="N803" s="42"/>
      <c r="O803" s="42"/>
      <c r="P803" s="9"/>
      <c r="Q803" s="9"/>
      <c r="R803" s="42"/>
      <c r="S803" s="42"/>
      <c r="T803" s="42"/>
      <c r="U803" s="42"/>
      <c r="V803" s="42"/>
      <c r="W803" s="42"/>
    </row>
    <row r="804">
      <c r="A804" s="9"/>
      <c r="B804" s="9"/>
      <c r="C804" s="9"/>
      <c r="D804" s="42"/>
      <c r="E804" s="103"/>
      <c r="F804" s="42"/>
      <c r="G804" s="9"/>
      <c r="H804" s="9"/>
      <c r="I804" s="9"/>
      <c r="J804" s="9"/>
      <c r="K804" s="42"/>
      <c r="L804" s="42"/>
      <c r="M804" s="42"/>
      <c r="N804" s="42"/>
      <c r="O804" s="42"/>
      <c r="P804" s="9"/>
      <c r="Q804" s="9"/>
      <c r="R804" s="42"/>
      <c r="S804" s="42"/>
      <c r="T804" s="42"/>
      <c r="U804" s="42"/>
      <c r="V804" s="42"/>
      <c r="W804" s="42"/>
    </row>
    <row r="805">
      <c r="A805" s="9"/>
      <c r="B805" s="9"/>
      <c r="C805" s="9"/>
      <c r="D805" s="42"/>
      <c r="E805" s="103"/>
      <c r="F805" s="42"/>
      <c r="G805" s="9"/>
      <c r="H805" s="9"/>
      <c r="I805" s="9"/>
      <c r="J805" s="9"/>
      <c r="K805" s="42"/>
      <c r="L805" s="42"/>
      <c r="M805" s="42"/>
      <c r="N805" s="42"/>
      <c r="O805" s="42"/>
      <c r="P805" s="9"/>
      <c r="Q805" s="9"/>
      <c r="R805" s="42"/>
      <c r="S805" s="42"/>
      <c r="T805" s="42"/>
      <c r="U805" s="42"/>
      <c r="V805" s="42"/>
      <c r="W805" s="42"/>
    </row>
    <row r="806">
      <c r="A806" s="9"/>
      <c r="B806" s="9"/>
      <c r="C806" s="9"/>
      <c r="D806" s="42"/>
      <c r="E806" s="103"/>
      <c r="F806" s="42"/>
      <c r="G806" s="9"/>
      <c r="H806" s="9"/>
      <c r="I806" s="9"/>
      <c r="J806" s="9"/>
      <c r="K806" s="42"/>
      <c r="L806" s="42"/>
      <c r="M806" s="42"/>
      <c r="N806" s="42"/>
      <c r="O806" s="42"/>
      <c r="P806" s="9"/>
      <c r="Q806" s="9"/>
      <c r="R806" s="42"/>
      <c r="S806" s="42"/>
      <c r="T806" s="42"/>
      <c r="U806" s="42"/>
      <c r="V806" s="42"/>
      <c r="W806" s="42"/>
    </row>
    <row r="807">
      <c r="A807" s="9"/>
      <c r="B807" s="9"/>
      <c r="C807" s="9"/>
      <c r="D807" s="42"/>
      <c r="E807" s="103"/>
      <c r="F807" s="42"/>
      <c r="G807" s="9"/>
      <c r="H807" s="9"/>
      <c r="I807" s="9"/>
      <c r="J807" s="9"/>
      <c r="K807" s="42"/>
      <c r="L807" s="42"/>
      <c r="M807" s="42"/>
      <c r="N807" s="42"/>
      <c r="O807" s="42"/>
      <c r="P807" s="9"/>
      <c r="Q807" s="9"/>
      <c r="R807" s="42"/>
      <c r="S807" s="42"/>
      <c r="T807" s="42"/>
      <c r="U807" s="42"/>
      <c r="V807" s="42"/>
      <c r="W807" s="42"/>
    </row>
    <row r="808">
      <c r="A808" s="9"/>
      <c r="B808" s="9"/>
      <c r="C808" s="9"/>
      <c r="D808" s="42"/>
      <c r="E808" s="103"/>
      <c r="F808" s="42"/>
      <c r="G808" s="9"/>
      <c r="H808" s="9"/>
      <c r="I808" s="9"/>
      <c r="J808" s="9"/>
      <c r="K808" s="42"/>
      <c r="L808" s="42"/>
      <c r="M808" s="42"/>
      <c r="N808" s="42"/>
      <c r="O808" s="42"/>
      <c r="P808" s="9"/>
      <c r="Q808" s="9"/>
      <c r="R808" s="42"/>
      <c r="S808" s="42"/>
      <c r="T808" s="42"/>
      <c r="U808" s="42"/>
      <c r="V808" s="42"/>
      <c r="W808" s="42"/>
    </row>
    <row r="809">
      <c r="A809" s="9"/>
      <c r="B809" s="9"/>
      <c r="C809" s="9"/>
      <c r="D809" s="42"/>
      <c r="E809" s="103"/>
      <c r="F809" s="42"/>
      <c r="G809" s="9"/>
      <c r="H809" s="9"/>
      <c r="I809" s="9"/>
      <c r="J809" s="9"/>
      <c r="K809" s="42"/>
      <c r="L809" s="42"/>
      <c r="M809" s="42"/>
      <c r="N809" s="42"/>
      <c r="O809" s="42"/>
      <c r="P809" s="9"/>
      <c r="Q809" s="9"/>
      <c r="R809" s="42"/>
      <c r="S809" s="42"/>
      <c r="T809" s="42"/>
      <c r="U809" s="42"/>
      <c r="V809" s="42"/>
      <c r="W809" s="42"/>
    </row>
    <row r="810">
      <c r="A810" s="9"/>
      <c r="B810" s="9"/>
      <c r="C810" s="9"/>
      <c r="D810" s="42"/>
      <c r="E810" s="103"/>
      <c r="F810" s="42"/>
      <c r="G810" s="9"/>
      <c r="H810" s="9"/>
      <c r="I810" s="9"/>
      <c r="J810" s="9"/>
      <c r="K810" s="42"/>
      <c r="L810" s="42"/>
      <c r="M810" s="42"/>
      <c r="N810" s="42"/>
      <c r="O810" s="42"/>
      <c r="P810" s="9"/>
      <c r="Q810" s="9"/>
      <c r="R810" s="42"/>
      <c r="S810" s="42"/>
      <c r="T810" s="42"/>
      <c r="U810" s="42"/>
      <c r="V810" s="42"/>
      <c r="W810" s="42"/>
    </row>
    <row r="811">
      <c r="A811" s="9"/>
      <c r="B811" s="9"/>
      <c r="C811" s="9"/>
      <c r="D811" s="42"/>
      <c r="E811" s="103"/>
      <c r="F811" s="42"/>
      <c r="G811" s="9"/>
      <c r="H811" s="9"/>
      <c r="I811" s="9"/>
      <c r="J811" s="9"/>
      <c r="K811" s="42"/>
      <c r="L811" s="42"/>
      <c r="M811" s="42"/>
      <c r="N811" s="42"/>
      <c r="O811" s="42"/>
      <c r="P811" s="9"/>
      <c r="Q811" s="9"/>
      <c r="R811" s="42"/>
      <c r="S811" s="42"/>
      <c r="T811" s="42"/>
      <c r="U811" s="42"/>
      <c r="V811" s="42"/>
      <c r="W811" s="42"/>
    </row>
    <row r="812">
      <c r="A812" s="9"/>
      <c r="B812" s="9"/>
      <c r="C812" s="9"/>
      <c r="D812" s="42"/>
      <c r="E812" s="103"/>
      <c r="F812" s="42"/>
      <c r="G812" s="9"/>
      <c r="H812" s="9"/>
      <c r="I812" s="9"/>
      <c r="J812" s="9"/>
      <c r="K812" s="42"/>
      <c r="L812" s="42"/>
      <c r="M812" s="42"/>
      <c r="N812" s="42"/>
      <c r="O812" s="42"/>
      <c r="P812" s="9"/>
      <c r="Q812" s="9"/>
      <c r="R812" s="42"/>
      <c r="S812" s="42"/>
      <c r="T812" s="42"/>
      <c r="U812" s="42"/>
      <c r="V812" s="42"/>
      <c r="W812" s="42"/>
    </row>
    <row r="813">
      <c r="A813" s="9"/>
      <c r="B813" s="9"/>
      <c r="C813" s="9"/>
      <c r="D813" s="42"/>
      <c r="E813" s="103"/>
      <c r="F813" s="42"/>
      <c r="G813" s="9"/>
      <c r="H813" s="9"/>
      <c r="I813" s="9"/>
      <c r="J813" s="9"/>
      <c r="K813" s="42"/>
      <c r="L813" s="42"/>
      <c r="M813" s="42"/>
      <c r="N813" s="42"/>
      <c r="O813" s="42"/>
      <c r="P813" s="9"/>
      <c r="Q813" s="9"/>
      <c r="R813" s="42"/>
      <c r="S813" s="42"/>
      <c r="T813" s="42"/>
      <c r="U813" s="42"/>
      <c r="V813" s="42"/>
      <c r="W813" s="42"/>
    </row>
    <row r="814">
      <c r="A814" s="9"/>
      <c r="B814" s="9"/>
      <c r="C814" s="9"/>
      <c r="D814" s="42"/>
      <c r="E814" s="103"/>
      <c r="F814" s="42"/>
      <c r="G814" s="9"/>
      <c r="H814" s="9"/>
      <c r="I814" s="9"/>
      <c r="J814" s="9"/>
      <c r="K814" s="42"/>
      <c r="L814" s="42"/>
      <c r="M814" s="42"/>
      <c r="N814" s="42"/>
      <c r="O814" s="42"/>
      <c r="P814" s="9"/>
      <c r="Q814" s="9"/>
      <c r="R814" s="42"/>
      <c r="S814" s="42"/>
      <c r="T814" s="42"/>
      <c r="U814" s="42"/>
      <c r="V814" s="42"/>
      <c r="W814" s="42"/>
    </row>
    <row r="815">
      <c r="A815" s="9"/>
      <c r="B815" s="9"/>
      <c r="C815" s="9"/>
      <c r="D815" s="42"/>
      <c r="E815" s="103"/>
      <c r="F815" s="42"/>
      <c r="G815" s="9"/>
      <c r="H815" s="9"/>
      <c r="I815" s="9"/>
      <c r="J815" s="9"/>
      <c r="K815" s="42"/>
      <c r="L815" s="42"/>
      <c r="M815" s="42"/>
      <c r="N815" s="42"/>
      <c r="O815" s="42"/>
      <c r="P815" s="9"/>
      <c r="Q815" s="9"/>
      <c r="R815" s="42"/>
      <c r="S815" s="42"/>
      <c r="T815" s="42"/>
      <c r="U815" s="42"/>
      <c r="V815" s="42"/>
      <c r="W815" s="42"/>
    </row>
    <row r="816">
      <c r="A816" s="9"/>
      <c r="B816" s="9"/>
      <c r="C816" s="9"/>
      <c r="D816" s="42"/>
      <c r="E816" s="103"/>
      <c r="F816" s="42"/>
      <c r="G816" s="9"/>
      <c r="H816" s="9"/>
      <c r="I816" s="9"/>
      <c r="J816" s="9"/>
      <c r="K816" s="42"/>
      <c r="L816" s="42"/>
      <c r="M816" s="42"/>
      <c r="N816" s="42"/>
      <c r="O816" s="42"/>
      <c r="P816" s="9"/>
      <c r="Q816" s="9"/>
      <c r="R816" s="42"/>
      <c r="S816" s="42"/>
      <c r="T816" s="42"/>
      <c r="U816" s="42"/>
      <c r="V816" s="42"/>
      <c r="W816" s="42"/>
    </row>
    <row r="817">
      <c r="A817" s="9"/>
      <c r="B817" s="9"/>
      <c r="C817" s="9"/>
      <c r="D817" s="42"/>
      <c r="E817" s="103"/>
      <c r="F817" s="42"/>
      <c r="G817" s="9"/>
      <c r="H817" s="9"/>
      <c r="I817" s="9"/>
      <c r="J817" s="9"/>
      <c r="K817" s="42"/>
      <c r="L817" s="42"/>
      <c r="M817" s="42"/>
      <c r="N817" s="42"/>
      <c r="O817" s="42"/>
      <c r="P817" s="9"/>
      <c r="Q817" s="9"/>
      <c r="R817" s="42"/>
      <c r="S817" s="42"/>
      <c r="T817" s="42"/>
      <c r="U817" s="42"/>
      <c r="V817" s="42"/>
      <c r="W817" s="42"/>
    </row>
    <row r="818">
      <c r="A818" s="9"/>
      <c r="B818" s="9"/>
      <c r="C818" s="9"/>
      <c r="D818" s="42"/>
      <c r="E818" s="103"/>
      <c r="F818" s="42"/>
      <c r="G818" s="9"/>
      <c r="H818" s="9"/>
      <c r="I818" s="9"/>
      <c r="J818" s="9"/>
      <c r="K818" s="42"/>
      <c r="L818" s="42"/>
      <c r="M818" s="42"/>
      <c r="N818" s="42"/>
      <c r="O818" s="42"/>
      <c r="P818" s="9"/>
      <c r="Q818" s="9"/>
      <c r="R818" s="42"/>
      <c r="S818" s="42"/>
      <c r="T818" s="42"/>
      <c r="U818" s="42"/>
      <c r="V818" s="42"/>
      <c r="W818" s="42"/>
    </row>
    <row r="819">
      <c r="A819" s="9"/>
      <c r="B819" s="9"/>
      <c r="C819" s="9"/>
      <c r="D819" s="42"/>
      <c r="E819" s="103"/>
      <c r="F819" s="42"/>
      <c r="G819" s="9"/>
      <c r="H819" s="9"/>
      <c r="I819" s="9"/>
      <c r="J819" s="9"/>
      <c r="K819" s="42"/>
      <c r="L819" s="42"/>
      <c r="M819" s="42"/>
      <c r="N819" s="42"/>
      <c r="O819" s="42"/>
      <c r="P819" s="9"/>
      <c r="Q819" s="9"/>
      <c r="R819" s="42"/>
      <c r="S819" s="42"/>
      <c r="T819" s="42"/>
      <c r="U819" s="42"/>
      <c r="V819" s="42"/>
      <c r="W819" s="42"/>
    </row>
    <row r="820">
      <c r="A820" s="9"/>
      <c r="B820" s="9"/>
      <c r="C820" s="9"/>
      <c r="D820" s="42"/>
      <c r="E820" s="103"/>
      <c r="F820" s="42"/>
      <c r="G820" s="9"/>
      <c r="H820" s="9"/>
      <c r="I820" s="9"/>
      <c r="J820" s="9"/>
      <c r="K820" s="42"/>
      <c r="L820" s="42"/>
      <c r="M820" s="42"/>
      <c r="N820" s="42"/>
      <c r="O820" s="42"/>
      <c r="P820" s="9"/>
      <c r="Q820" s="9"/>
      <c r="R820" s="42"/>
      <c r="S820" s="42"/>
      <c r="T820" s="42"/>
      <c r="U820" s="42"/>
      <c r="V820" s="42"/>
      <c r="W820" s="42"/>
    </row>
    <row r="821">
      <c r="A821" s="9"/>
      <c r="B821" s="9"/>
      <c r="C821" s="9"/>
      <c r="D821" s="42"/>
      <c r="E821" s="103"/>
      <c r="F821" s="42"/>
      <c r="G821" s="9"/>
      <c r="H821" s="9"/>
      <c r="I821" s="9"/>
      <c r="J821" s="9"/>
      <c r="K821" s="42"/>
      <c r="L821" s="42"/>
      <c r="M821" s="42"/>
      <c r="N821" s="42"/>
      <c r="O821" s="42"/>
      <c r="P821" s="9"/>
      <c r="Q821" s="9"/>
      <c r="R821" s="42"/>
      <c r="S821" s="42"/>
      <c r="T821" s="42"/>
      <c r="U821" s="42"/>
      <c r="V821" s="42"/>
      <c r="W821" s="42"/>
    </row>
    <row r="822">
      <c r="A822" s="9"/>
      <c r="B822" s="9"/>
      <c r="C822" s="9"/>
      <c r="D822" s="42"/>
      <c r="E822" s="103"/>
      <c r="F822" s="42"/>
      <c r="G822" s="9"/>
      <c r="H822" s="9"/>
      <c r="I822" s="9"/>
      <c r="J822" s="9"/>
      <c r="K822" s="42"/>
      <c r="L822" s="42"/>
      <c r="M822" s="42"/>
      <c r="N822" s="42"/>
      <c r="O822" s="42"/>
      <c r="P822" s="9"/>
      <c r="Q822" s="9"/>
      <c r="R822" s="42"/>
      <c r="S822" s="42"/>
      <c r="T822" s="42"/>
      <c r="U822" s="42"/>
      <c r="V822" s="42"/>
      <c r="W822" s="42"/>
    </row>
    <row r="823">
      <c r="A823" s="9"/>
      <c r="B823" s="9"/>
      <c r="C823" s="9"/>
      <c r="D823" s="42"/>
      <c r="E823" s="103"/>
      <c r="F823" s="42"/>
      <c r="G823" s="9"/>
      <c r="H823" s="9"/>
      <c r="I823" s="9"/>
      <c r="J823" s="9"/>
      <c r="K823" s="42"/>
      <c r="L823" s="42"/>
      <c r="M823" s="42"/>
      <c r="N823" s="42"/>
      <c r="O823" s="42"/>
      <c r="P823" s="9"/>
      <c r="Q823" s="9"/>
      <c r="R823" s="42"/>
      <c r="S823" s="42"/>
      <c r="T823" s="42"/>
      <c r="U823" s="42"/>
      <c r="V823" s="42"/>
      <c r="W823" s="42"/>
    </row>
    <row r="824">
      <c r="A824" s="9"/>
      <c r="B824" s="9"/>
      <c r="C824" s="9"/>
      <c r="D824" s="42"/>
      <c r="E824" s="103"/>
      <c r="F824" s="42"/>
      <c r="G824" s="9"/>
      <c r="H824" s="9"/>
      <c r="I824" s="9"/>
      <c r="J824" s="9"/>
      <c r="K824" s="42"/>
      <c r="L824" s="42"/>
      <c r="M824" s="42"/>
      <c r="N824" s="42"/>
      <c r="O824" s="42"/>
      <c r="P824" s="9"/>
      <c r="Q824" s="9"/>
      <c r="R824" s="42"/>
      <c r="S824" s="42"/>
      <c r="T824" s="42"/>
      <c r="U824" s="42"/>
      <c r="V824" s="42"/>
      <c r="W824" s="42"/>
    </row>
    <row r="825">
      <c r="A825" s="9"/>
      <c r="B825" s="9"/>
      <c r="C825" s="9"/>
      <c r="D825" s="42"/>
      <c r="E825" s="103"/>
      <c r="F825" s="42"/>
      <c r="G825" s="9"/>
      <c r="H825" s="9"/>
      <c r="I825" s="9"/>
      <c r="J825" s="9"/>
      <c r="K825" s="42"/>
      <c r="L825" s="42"/>
      <c r="M825" s="42"/>
      <c r="N825" s="42"/>
      <c r="O825" s="42"/>
      <c r="P825" s="9"/>
      <c r="Q825" s="9"/>
      <c r="R825" s="42"/>
      <c r="S825" s="42"/>
      <c r="T825" s="42"/>
      <c r="U825" s="42"/>
      <c r="V825" s="42"/>
      <c r="W825" s="42"/>
    </row>
    <row r="826">
      <c r="A826" s="9"/>
      <c r="B826" s="9"/>
      <c r="C826" s="9"/>
      <c r="D826" s="42"/>
      <c r="E826" s="103"/>
      <c r="F826" s="42"/>
      <c r="G826" s="9"/>
      <c r="H826" s="9"/>
      <c r="I826" s="9"/>
      <c r="J826" s="9"/>
      <c r="K826" s="42"/>
      <c r="L826" s="42"/>
      <c r="M826" s="42"/>
      <c r="N826" s="42"/>
      <c r="O826" s="42"/>
      <c r="P826" s="9"/>
      <c r="Q826" s="9"/>
      <c r="R826" s="42"/>
      <c r="S826" s="42"/>
      <c r="T826" s="42"/>
      <c r="U826" s="42"/>
      <c r="V826" s="42"/>
      <c r="W826" s="42"/>
    </row>
    <row r="827">
      <c r="A827" s="9"/>
      <c r="B827" s="9"/>
      <c r="C827" s="9"/>
      <c r="D827" s="42"/>
      <c r="E827" s="103"/>
      <c r="F827" s="42"/>
      <c r="G827" s="9"/>
      <c r="H827" s="9"/>
      <c r="I827" s="9"/>
      <c r="J827" s="9"/>
      <c r="K827" s="42"/>
      <c r="L827" s="42"/>
      <c r="M827" s="42"/>
      <c r="N827" s="42"/>
      <c r="O827" s="42"/>
      <c r="P827" s="9"/>
      <c r="Q827" s="9"/>
      <c r="R827" s="42"/>
      <c r="S827" s="42"/>
      <c r="T827" s="42"/>
      <c r="U827" s="42"/>
      <c r="V827" s="42"/>
      <c r="W827" s="42"/>
    </row>
    <row r="828">
      <c r="A828" s="9"/>
      <c r="B828" s="9"/>
      <c r="C828" s="9"/>
      <c r="D828" s="42"/>
      <c r="E828" s="103"/>
      <c r="F828" s="42"/>
      <c r="G828" s="9"/>
      <c r="H828" s="9"/>
      <c r="I828" s="9"/>
      <c r="J828" s="9"/>
      <c r="K828" s="42"/>
      <c r="L828" s="42"/>
      <c r="M828" s="42"/>
      <c r="N828" s="42"/>
      <c r="O828" s="42"/>
      <c r="P828" s="9"/>
      <c r="Q828" s="9"/>
      <c r="R828" s="42"/>
      <c r="S828" s="42"/>
      <c r="T828" s="42"/>
      <c r="U828" s="42"/>
      <c r="V828" s="42"/>
      <c r="W828" s="42"/>
    </row>
    <row r="829">
      <c r="A829" s="9"/>
      <c r="B829" s="9"/>
      <c r="C829" s="9"/>
      <c r="D829" s="42"/>
      <c r="E829" s="103"/>
      <c r="F829" s="42"/>
      <c r="G829" s="9"/>
      <c r="H829" s="9"/>
      <c r="I829" s="9"/>
      <c r="J829" s="9"/>
      <c r="K829" s="42"/>
      <c r="L829" s="42"/>
      <c r="M829" s="42"/>
      <c r="N829" s="42"/>
      <c r="O829" s="42"/>
      <c r="P829" s="9"/>
      <c r="Q829" s="9"/>
      <c r="R829" s="42"/>
      <c r="S829" s="42"/>
      <c r="T829" s="42"/>
      <c r="U829" s="42"/>
      <c r="V829" s="42"/>
      <c r="W829" s="42"/>
    </row>
    <row r="830">
      <c r="A830" s="9"/>
      <c r="B830" s="9"/>
      <c r="C830" s="9"/>
      <c r="D830" s="42"/>
      <c r="E830" s="103"/>
      <c r="F830" s="42"/>
      <c r="G830" s="9"/>
      <c r="H830" s="9"/>
      <c r="I830" s="9"/>
      <c r="J830" s="9"/>
      <c r="K830" s="42"/>
      <c r="L830" s="42"/>
      <c r="M830" s="42"/>
      <c r="N830" s="42"/>
      <c r="O830" s="42"/>
      <c r="P830" s="9"/>
      <c r="Q830" s="9"/>
      <c r="R830" s="42"/>
      <c r="S830" s="42"/>
      <c r="T830" s="42"/>
      <c r="U830" s="42"/>
      <c r="V830" s="42"/>
      <c r="W830" s="42"/>
    </row>
    <row r="831">
      <c r="A831" s="9"/>
      <c r="B831" s="9"/>
      <c r="C831" s="9"/>
      <c r="D831" s="42"/>
      <c r="E831" s="103"/>
      <c r="F831" s="42"/>
      <c r="G831" s="9"/>
      <c r="H831" s="9"/>
      <c r="I831" s="9"/>
      <c r="J831" s="9"/>
      <c r="K831" s="42"/>
      <c r="L831" s="42"/>
      <c r="M831" s="42"/>
      <c r="N831" s="42"/>
      <c r="O831" s="42"/>
      <c r="P831" s="9"/>
      <c r="Q831" s="9"/>
      <c r="R831" s="42"/>
      <c r="S831" s="42"/>
      <c r="T831" s="42"/>
      <c r="U831" s="42"/>
      <c r="V831" s="42"/>
      <c r="W831" s="42"/>
    </row>
    <row r="832">
      <c r="A832" s="9"/>
      <c r="B832" s="9"/>
      <c r="C832" s="9"/>
      <c r="D832" s="42"/>
      <c r="E832" s="103"/>
      <c r="F832" s="42"/>
      <c r="G832" s="9"/>
      <c r="H832" s="9"/>
      <c r="I832" s="9"/>
      <c r="J832" s="9"/>
      <c r="K832" s="42"/>
      <c r="L832" s="42"/>
      <c r="M832" s="42"/>
      <c r="N832" s="42"/>
      <c r="O832" s="42"/>
      <c r="P832" s="9"/>
      <c r="Q832" s="9"/>
      <c r="R832" s="42"/>
      <c r="S832" s="42"/>
      <c r="T832" s="42"/>
      <c r="U832" s="42"/>
      <c r="V832" s="42"/>
      <c r="W832" s="42"/>
    </row>
    <row r="833">
      <c r="A833" s="9"/>
      <c r="B833" s="9"/>
      <c r="C833" s="9"/>
      <c r="D833" s="42"/>
      <c r="E833" s="103"/>
      <c r="F833" s="42"/>
      <c r="G833" s="9"/>
      <c r="H833" s="9"/>
      <c r="I833" s="9"/>
      <c r="J833" s="9"/>
      <c r="K833" s="42"/>
      <c r="L833" s="42"/>
      <c r="M833" s="42"/>
      <c r="N833" s="42"/>
      <c r="O833" s="42"/>
      <c r="P833" s="9"/>
      <c r="Q833" s="9"/>
      <c r="R833" s="42"/>
      <c r="S833" s="42"/>
      <c r="T833" s="42"/>
      <c r="U833" s="42"/>
      <c r="V833" s="42"/>
      <c r="W833" s="42"/>
    </row>
    <row r="834">
      <c r="A834" s="9"/>
      <c r="B834" s="9"/>
      <c r="C834" s="9"/>
      <c r="D834" s="42"/>
      <c r="E834" s="103"/>
      <c r="F834" s="42"/>
      <c r="G834" s="9"/>
      <c r="H834" s="9"/>
      <c r="I834" s="9"/>
      <c r="J834" s="9"/>
      <c r="K834" s="42"/>
      <c r="L834" s="42"/>
      <c r="M834" s="42"/>
      <c r="N834" s="42"/>
      <c r="O834" s="42"/>
      <c r="P834" s="9"/>
      <c r="Q834" s="9"/>
      <c r="R834" s="42"/>
      <c r="S834" s="42"/>
      <c r="T834" s="42"/>
      <c r="U834" s="42"/>
      <c r="V834" s="42"/>
      <c r="W834" s="42"/>
    </row>
    <row r="835">
      <c r="A835" s="9"/>
      <c r="B835" s="9"/>
      <c r="C835" s="9"/>
      <c r="D835" s="42"/>
      <c r="E835" s="103"/>
      <c r="F835" s="42"/>
      <c r="G835" s="9"/>
      <c r="H835" s="9"/>
      <c r="I835" s="9"/>
      <c r="J835" s="9"/>
      <c r="K835" s="42"/>
      <c r="L835" s="42"/>
      <c r="M835" s="42"/>
      <c r="N835" s="42"/>
      <c r="O835" s="42"/>
      <c r="P835" s="9"/>
      <c r="Q835" s="9"/>
      <c r="R835" s="42"/>
      <c r="S835" s="42"/>
      <c r="T835" s="42"/>
      <c r="U835" s="42"/>
      <c r="V835" s="42"/>
      <c r="W835" s="42"/>
    </row>
    <row r="836">
      <c r="A836" s="9"/>
      <c r="B836" s="9"/>
      <c r="C836" s="9"/>
      <c r="D836" s="42"/>
      <c r="E836" s="103"/>
      <c r="F836" s="42"/>
      <c r="G836" s="9"/>
      <c r="H836" s="9"/>
      <c r="I836" s="9"/>
      <c r="J836" s="9"/>
      <c r="K836" s="42"/>
      <c r="L836" s="42"/>
      <c r="M836" s="42"/>
      <c r="N836" s="42"/>
      <c r="O836" s="42"/>
      <c r="P836" s="9"/>
      <c r="Q836" s="9"/>
      <c r="R836" s="42"/>
      <c r="S836" s="42"/>
      <c r="T836" s="42"/>
      <c r="U836" s="42"/>
      <c r="V836" s="42"/>
      <c r="W836" s="42"/>
    </row>
    <row r="837">
      <c r="A837" s="9"/>
      <c r="B837" s="9"/>
      <c r="C837" s="9"/>
      <c r="D837" s="42"/>
      <c r="E837" s="103"/>
      <c r="F837" s="42"/>
      <c r="G837" s="9"/>
      <c r="H837" s="9"/>
      <c r="I837" s="9"/>
      <c r="J837" s="9"/>
      <c r="K837" s="42"/>
      <c r="L837" s="42"/>
      <c r="M837" s="42"/>
      <c r="N837" s="42"/>
      <c r="O837" s="42"/>
      <c r="P837" s="9"/>
      <c r="Q837" s="9"/>
      <c r="R837" s="42"/>
      <c r="S837" s="42"/>
      <c r="T837" s="42"/>
      <c r="U837" s="42"/>
      <c r="V837" s="42"/>
      <c r="W837" s="42"/>
    </row>
    <row r="838">
      <c r="A838" s="9"/>
      <c r="B838" s="9"/>
      <c r="C838" s="9"/>
      <c r="D838" s="42"/>
      <c r="E838" s="103"/>
      <c r="F838" s="42"/>
      <c r="G838" s="9"/>
      <c r="H838" s="9"/>
      <c r="I838" s="9"/>
      <c r="J838" s="9"/>
      <c r="K838" s="42"/>
      <c r="L838" s="42"/>
      <c r="M838" s="42"/>
      <c r="N838" s="42"/>
      <c r="O838" s="42"/>
      <c r="P838" s="9"/>
      <c r="Q838" s="9"/>
      <c r="R838" s="42"/>
      <c r="S838" s="42"/>
      <c r="T838" s="42"/>
      <c r="U838" s="42"/>
      <c r="V838" s="42"/>
      <c r="W838" s="42"/>
    </row>
    <row r="839">
      <c r="A839" s="9"/>
      <c r="B839" s="9"/>
      <c r="C839" s="9"/>
      <c r="D839" s="42"/>
      <c r="E839" s="103"/>
      <c r="F839" s="42"/>
      <c r="G839" s="9"/>
      <c r="H839" s="9"/>
      <c r="I839" s="9"/>
      <c r="J839" s="9"/>
      <c r="K839" s="42"/>
      <c r="L839" s="42"/>
      <c r="M839" s="42"/>
      <c r="N839" s="42"/>
      <c r="O839" s="42"/>
      <c r="P839" s="9"/>
      <c r="Q839" s="9"/>
      <c r="R839" s="42"/>
      <c r="S839" s="42"/>
      <c r="T839" s="42"/>
      <c r="U839" s="42"/>
      <c r="V839" s="42"/>
      <c r="W839" s="42"/>
    </row>
    <row r="840">
      <c r="A840" s="9"/>
      <c r="B840" s="9"/>
      <c r="C840" s="9"/>
      <c r="D840" s="42"/>
      <c r="E840" s="103"/>
      <c r="F840" s="42"/>
      <c r="G840" s="9"/>
      <c r="H840" s="9"/>
      <c r="I840" s="9"/>
      <c r="J840" s="9"/>
      <c r="K840" s="42"/>
      <c r="L840" s="42"/>
      <c r="M840" s="42"/>
      <c r="N840" s="42"/>
      <c r="O840" s="42"/>
      <c r="P840" s="9"/>
      <c r="Q840" s="9"/>
      <c r="R840" s="42"/>
      <c r="S840" s="42"/>
      <c r="T840" s="42"/>
      <c r="U840" s="42"/>
      <c r="V840" s="42"/>
      <c r="W840" s="42"/>
    </row>
    <row r="841">
      <c r="A841" s="9"/>
      <c r="B841" s="9"/>
      <c r="C841" s="9"/>
      <c r="D841" s="42"/>
      <c r="E841" s="103"/>
      <c r="F841" s="42"/>
      <c r="G841" s="9"/>
      <c r="H841" s="9"/>
      <c r="I841" s="9"/>
      <c r="J841" s="9"/>
      <c r="K841" s="42"/>
      <c r="L841" s="42"/>
      <c r="M841" s="42"/>
      <c r="N841" s="42"/>
      <c r="O841" s="42"/>
      <c r="P841" s="9"/>
      <c r="Q841" s="9"/>
      <c r="R841" s="42"/>
      <c r="S841" s="42"/>
      <c r="T841" s="42"/>
      <c r="U841" s="42"/>
      <c r="V841" s="42"/>
      <c r="W841" s="42"/>
    </row>
    <row r="842">
      <c r="A842" s="9"/>
      <c r="B842" s="9"/>
      <c r="C842" s="9"/>
      <c r="D842" s="42"/>
      <c r="E842" s="103"/>
      <c r="F842" s="42"/>
      <c r="G842" s="9"/>
      <c r="H842" s="9"/>
      <c r="I842" s="9"/>
      <c r="J842" s="9"/>
      <c r="K842" s="42"/>
      <c r="L842" s="42"/>
      <c r="M842" s="42"/>
      <c r="N842" s="42"/>
      <c r="O842" s="42"/>
      <c r="P842" s="9"/>
      <c r="Q842" s="9"/>
      <c r="R842" s="42"/>
      <c r="S842" s="42"/>
      <c r="T842" s="42"/>
      <c r="U842" s="42"/>
      <c r="V842" s="42"/>
      <c r="W842" s="42"/>
    </row>
    <row r="843">
      <c r="A843" s="9"/>
      <c r="B843" s="9"/>
      <c r="C843" s="9"/>
      <c r="D843" s="42"/>
      <c r="E843" s="103"/>
      <c r="F843" s="42"/>
      <c r="G843" s="9"/>
      <c r="H843" s="9"/>
      <c r="I843" s="9"/>
      <c r="J843" s="9"/>
      <c r="K843" s="42"/>
      <c r="L843" s="42"/>
      <c r="M843" s="42"/>
      <c r="N843" s="42"/>
      <c r="O843" s="42"/>
      <c r="P843" s="9"/>
      <c r="Q843" s="9"/>
      <c r="R843" s="42"/>
      <c r="S843" s="42"/>
      <c r="T843" s="42"/>
      <c r="U843" s="42"/>
      <c r="V843" s="42"/>
      <c r="W843" s="42"/>
    </row>
    <row r="844">
      <c r="A844" s="9"/>
      <c r="B844" s="9"/>
      <c r="C844" s="9"/>
      <c r="D844" s="42"/>
      <c r="E844" s="103"/>
      <c r="F844" s="42"/>
      <c r="G844" s="9"/>
      <c r="H844" s="9"/>
      <c r="I844" s="9"/>
      <c r="J844" s="9"/>
      <c r="K844" s="42"/>
      <c r="L844" s="42"/>
      <c r="M844" s="42"/>
      <c r="N844" s="42"/>
      <c r="O844" s="42"/>
      <c r="P844" s="9"/>
      <c r="Q844" s="9"/>
      <c r="R844" s="42"/>
      <c r="S844" s="42"/>
      <c r="T844" s="42"/>
      <c r="U844" s="42"/>
      <c r="V844" s="42"/>
      <c r="W844" s="42"/>
    </row>
    <row r="845">
      <c r="A845" s="9"/>
      <c r="B845" s="9"/>
      <c r="C845" s="9"/>
      <c r="D845" s="42"/>
      <c r="E845" s="103"/>
      <c r="F845" s="42"/>
      <c r="G845" s="9"/>
      <c r="H845" s="9"/>
      <c r="I845" s="9"/>
      <c r="J845" s="9"/>
      <c r="K845" s="42"/>
      <c r="L845" s="42"/>
      <c r="M845" s="42"/>
      <c r="N845" s="42"/>
      <c r="O845" s="42"/>
      <c r="P845" s="9"/>
      <c r="Q845" s="9"/>
      <c r="R845" s="42"/>
      <c r="S845" s="42"/>
      <c r="T845" s="42"/>
      <c r="U845" s="42"/>
      <c r="V845" s="42"/>
      <c r="W845" s="42"/>
    </row>
    <row r="846">
      <c r="A846" s="9"/>
      <c r="B846" s="9"/>
      <c r="C846" s="9"/>
      <c r="D846" s="42"/>
      <c r="E846" s="103"/>
      <c r="F846" s="42"/>
      <c r="G846" s="9"/>
      <c r="H846" s="9"/>
      <c r="I846" s="9"/>
      <c r="J846" s="9"/>
      <c r="K846" s="42"/>
      <c r="L846" s="42"/>
      <c r="M846" s="42"/>
      <c r="N846" s="42"/>
      <c r="O846" s="42"/>
      <c r="P846" s="9"/>
      <c r="Q846" s="9"/>
      <c r="R846" s="42"/>
      <c r="S846" s="42"/>
      <c r="T846" s="42"/>
      <c r="U846" s="42"/>
      <c r="V846" s="42"/>
      <c r="W846" s="42"/>
    </row>
    <row r="847">
      <c r="A847" s="9"/>
      <c r="B847" s="9"/>
      <c r="C847" s="9"/>
      <c r="D847" s="42"/>
      <c r="E847" s="103"/>
      <c r="F847" s="42"/>
      <c r="G847" s="9"/>
      <c r="H847" s="9"/>
      <c r="I847" s="9"/>
      <c r="J847" s="9"/>
      <c r="K847" s="42"/>
      <c r="L847" s="42"/>
      <c r="M847" s="42"/>
      <c r="N847" s="42"/>
      <c r="O847" s="42"/>
      <c r="P847" s="9"/>
      <c r="Q847" s="9"/>
      <c r="R847" s="42"/>
      <c r="S847" s="42"/>
      <c r="T847" s="42"/>
      <c r="U847" s="42"/>
      <c r="V847" s="42"/>
      <c r="W847" s="42"/>
    </row>
    <row r="848">
      <c r="A848" s="9"/>
      <c r="B848" s="9"/>
      <c r="C848" s="9"/>
      <c r="D848" s="42"/>
      <c r="E848" s="103"/>
      <c r="F848" s="42"/>
      <c r="G848" s="9"/>
      <c r="H848" s="9"/>
      <c r="I848" s="9"/>
      <c r="J848" s="9"/>
      <c r="K848" s="42"/>
      <c r="L848" s="42"/>
      <c r="M848" s="42"/>
      <c r="N848" s="42"/>
      <c r="O848" s="42"/>
      <c r="P848" s="9"/>
      <c r="Q848" s="9"/>
      <c r="R848" s="42"/>
      <c r="S848" s="42"/>
      <c r="T848" s="42"/>
      <c r="U848" s="42"/>
      <c r="V848" s="42"/>
      <c r="W848" s="42"/>
    </row>
    <row r="849">
      <c r="A849" s="9"/>
      <c r="B849" s="9"/>
      <c r="C849" s="9"/>
      <c r="D849" s="42"/>
      <c r="E849" s="103"/>
      <c r="F849" s="42"/>
      <c r="G849" s="9"/>
      <c r="H849" s="9"/>
      <c r="I849" s="9"/>
      <c r="J849" s="9"/>
      <c r="K849" s="42"/>
      <c r="L849" s="42"/>
      <c r="M849" s="42"/>
      <c r="N849" s="42"/>
      <c r="O849" s="42"/>
      <c r="P849" s="9"/>
      <c r="Q849" s="9"/>
      <c r="R849" s="42"/>
      <c r="S849" s="42"/>
      <c r="T849" s="42"/>
      <c r="U849" s="42"/>
      <c r="V849" s="42"/>
      <c r="W849" s="42"/>
    </row>
    <row r="850">
      <c r="A850" s="9"/>
      <c r="B850" s="9"/>
      <c r="C850" s="9"/>
      <c r="D850" s="42"/>
      <c r="E850" s="103"/>
      <c r="F850" s="42"/>
      <c r="G850" s="9"/>
      <c r="H850" s="9"/>
      <c r="I850" s="9"/>
      <c r="J850" s="9"/>
      <c r="K850" s="42"/>
      <c r="L850" s="42"/>
      <c r="M850" s="42"/>
      <c r="N850" s="42"/>
      <c r="O850" s="42"/>
      <c r="P850" s="9"/>
      <c r="Q850" s="9"/>
      <c r="R850" s="42"/>
      <c r="S850" s="42"/>
      <c r="T850" s="42"/>
      <c r="U850" s="42"/>
      <c r="V850" s="42"/>
      <c r="W850" s="42"/>
    </row>
    <row r="851">
      <c r="A851" s="9"/>
      <c r="B851" s="9"/>
      <c r="C851" s="9"/>
      <c r="D851" s="42"/>
      <c r="E851" s="103"/>
      <c r="F851" s="42"/>
      <c r="G851" s="9"/>
      <c r="H851" s="9"/>
      <c r="I851" s="9"/>
      <c r="J851" s="9"/>
      <c r="K851" s="42"/>
      <c r="L851" s="42"/>
      <c r="M851" s="42"/>
      <c r="N851" s="42"/>
      <c r="O851" s="42"/>
      <c r="P851" s="9"/>
      <c r="Q851" s="9"/>
      <c r="R851" s="42"/>
      <c r="S851" s="42"/>
      <c r="T851" s="42"/>
      <c r="U851" s="42"/>
      <c r="V851" s="42"/>
      <c r="W851" s="42"/>
    </row>
    <row r="852">
      <c r="A852" s="9"/>
      <c r="B852" s="9"/>
      <c r="C852" s="9"/>
      <c r="D852" s="42"/>
      <c r="E852" s="103"/>
      <c r="F852" s="42"/>
      <c r="G852" s="9"/>
      <c r="H852" s="9"/>
      <c r="I852" s="9"/>
      <c r="J852" s="9"/>
      <c r="K852" s="42"/>
      <c r="L852" s="42"/>
      <c r="M852" s="42"/>
      <c r="N852" s="42"/>
      <c r="O852" s="42"/>
      <c r="P852" s="9"/>
      <c r="Q852" s="9"/>
      <c r="R852" s="42"/>
      <c r="S852" s="42"/>
      <c r="T852" s="42"/>
      <c r="U852" s="42"/>
      <c r="V852" s="42"/>
      <c r="W852" s="42"/>
    </row>
    <row r="853">
      <c r="A853" s="9"/>
      <c r="B853" s="9"/>
      <c r="C853" s="9"/>
      <c r="D853" s="42"/>
      <c r="E853" s="103"/>
      <c r="F853" s="42"/>
      <c r="G853" s="9"/>
      <c r="H853" s="9"/>
      <c r="I853" s="9"/>
      <c r="J853" s="9"/>
      <c r="K853" s="42"/>
      <c r="L853" s="42"/>
      <c r="M853" s="42"/>
      <c r="N853" s="42"/>
      <c r="O853" s="42"/>
      <c r="P853" s="9"/>
      <c r="Q853" s="9"/>
      <c r="R853" s="42"/>
      <c r="S853" s="42"/>
      <c r="T853" s="42"/>
      <c r="U853" s="42"/>
      <c r="V853" s="42"/>
      <c r="W853" s="42"/>
    </row>
    <row r="854">
      <c r="A854" s="9"/>
      <c r="B854" s="9"/>
      <c r="C854" s="9"/>
      <c r="D854" s="42"/>
      <c r="E854" s="103"/>
      <c r="F854" s="42"/>
      <c r="G854" s="9"/>
      <c r="H854" s="9"/>
      <c r="I854" s="9"/>
      <c r="J854" s="9"/>
      <c r="K854" s="42"/>
      <c r="L854" s="42"/>
      <c r="M854" s="42"/>
      <c r="N854" s="42"/>
      <c r="O854" s="42"/>
      <c r="P854" s="9"/>
      <c r="Q854" s="9"/>
      <c r="R854" s="42"/>
      <c r="S854" s="42"/>
      <c r="T854" s="42"/>
      <c r="U854" s="42"/>
      <c r="V854" s="42"/>
      <c r="W854" s="42"/>
    </row>
    <row r="855">
      <c r="A855" s="9"/>
      <c r="B855" s="9"/>
      <c r="C855" s="9"/>
      <c r="D855" s="42"/>
      <c r="E855" s="103"/>
      <c r="F855" s="42"/>
      <c r="G855" s="9"/>
      <c r="H855" s="9"/>
      <c r="I855" s="9"/>
      <c r="J855" s="9"/>
      <c r="K855" s="42"/>
      <c r="L855" s="42"/>
      <c r="M855" s="42"/>
      <c r="N855" s="42"/>
      <c r="O855" s="42"/>
      <c r="P855" s="9"/>
      <c r="Q855" s="9"/>
      <c r="R855" s="42"/>
      <c r="S855" s="42"/>
      <c r="T855" s="42"/>
      <c r="U855" s="42"/>
      <c r="V855" s="42"/>
      <c r="W855" s="42"/>
    </row>
    <row r="856">
      <c r="A856" s="9"/>
      <c r="B856" s="9"/>
      <c r="C856" s="9"/>
      <c r="D856" s="42"/>
      <c r="E856" s="103"/>
      <c r="F856" s="42"/>
      <c r="G856" s="9"/>
      <c r="H856" s="9"/>
      <c r="I856" s="9"/>
      <c r="J856" s="9"/>
      <c r="K856" s="42"/>
      <c r="L856" s="42"/>
      <c r="M856" s="42"/>
      <c r="N856" s="42"/>
      <c r="O856" s="42"/>
      <c r="P856" s="9"/>
      <c r="Q856" s="9"/>
      <c r="R856" s="42"/>
      <c r="S856" s="42"/>
      <c r="T856" s="42"/>
      <c r="U856" s="42"/>
      <c r="V856" s="42"/>
      <c r="W856" s="42"/>
    </row>
    <row r="857">
      <c r="A857" s="9"/>
      <c r="B857" s="9"/>
      <c r="C857" s="9"/>
      <c r="D857" s="42"/>
      <c r="E857" s="103"/>
      <c r="F857" s="42"/>
      <c r="G857" s="9"/>
      <c r="H857" s="9"/>
      <c r="I857" s="9"/>
      <c r="J857" s="9"/>
      <c r="K857" s="42"/>
      <c r="L857" s="42"/>
      <c r="M857" s="42"/>
      <c r="N857" s="42"/>
      <c r="O857" s="42"/>
      <c r="P857" s="9"/>
      <c r="Q857" s="9"/>
      <c r="R857" s="42"/>
      <c r="S857" s="42"/>
      <c r="T857" s="42"/>
      <c r="U857" s="42"/>
      <c r="V857" s="42"/>
      <c r="W857" s="42"/>
    </row>
    <row r="858">
      <c r="A858" s="9"/>
      <c r="B858" s="9"/>
      <c r="C858" s="9"/>
      <c r="D858" s="42"/>
      <c r="E858" s="103"/>
      <c r="F858" s="42"/>
      <c r="G858" s="9"/>
      <c r="H858" s="9"/>
      <c r="I858" s="9"/>
      <c r="J858" s="9"/>
      <c r="K858" s="42"/>
      <c r="L858" s="42"/>
      <c r="M858" s="42"/>
      <c r="N858" s="42"/>
      <c r="O858" s="42"/>
      <c r="P858" s="9"/>
      <c r="Q858" s="9"/>
      <c r="R858" s="42"/>
      <c r="S858" s="42"/>
      <c r="T858" s="42"/>
      <c r="U858" s="42"/>
      <c r="V858" s="42"/>
      <c r="W858" s="42"/>
    </row>
    <row r="859">
      <c r="A859" s="9"/>
      <c r="B859" s="9"/>
      <c r="C859" s="9"/>
      <c r="D859" s="42"/>
      <c r="E859" s="103"/>
      <c r="F859" s="42"/>
      <c r="G859" s="9"/>
      <c r="H859" s="9"/>
      <c r="I859" s="9"/>
      <c r="J859" s="9"/>
      <c r="K859" s="42"/>
      <c r="L859" s="42"/>
      <c r="M859" s="42"/>
      <c r="N859" s="42"/>
      <c r="O859" s="42"/>
      <c r="P859" s="9"/>
      <c r="Q859" s="9"/>
      <c r="R859" s="42"/>
      <c r="S859" s="42"/>
      <c r="T859" s="42"/>
      <c r="U859" s="42"/>
      <c r="V859" s="42"/>
      <c r="W859" s="42"/>
    </row>
    <row r="860">
      <c r="A860" s="9"/>
      <c r="B860" s="9"/>
      <c r="C860" s="9"/>
      <c r="D860" s="42"/>
      <c r="E860" s="103"/>
      <c r="F860" s="42"/>
      <c r="G860" s="9"/>
      <c r="H860" s="9"/>
      <c r="I860" s="9"/>
      <c r="J860" s="9"/>
      <c r="K860" s="42"/>
      <c r="L860" s="42"/>
      <c r="M860" s="42"/>
      <c r="N860" s="42"/>
      <c r="O860" s="42"/>
      <c r="P860" s="9"/>
      <c r="Q860" s="9"/>
      <c r="R860" s="42"/>
      <c r="S860" s="42"/>
      <c r="T860" s="42"/>
      <c r="U860" s="42"/>
      <c r="V860" s="42"/>
      <c r="W860" s="42"/>
    </row>
    <row r="861">
      <c r="A861" s="9"/>
      <c r="B861" s="9"/>
      <c r="C861" s="9"/>
      <c r="D861" s="42"/>
      <c r="E861" s="103"/>
      <c r="F861" s="42"/>
      <c r="G861" s="9"/>
      <c r="H861" s="9"/>
      <c r="I861" s="9"/>
      <c r="J861" s="9"/>
      <c r="K861" s="42"/>
      <c r="L861" s="42"/>
      <c r="M861" s="42"/>
      <c r="N861" s="42"/>
      <c r="O861" s="42"/>
      <c r="P861" s="9"/>
      <c r="Q861" s="9"/>
      <c r="R861" s="42"/>
      <c r="S861" s="42"/>
      <c r="T861" s="42"/>
      <c r="U861" s="42"/>
      <c r="V861" s="42"/>
      <c r="W861" s="42"/>
    </row>
    <row r="862">
      <c r="A862" s="9"/>
      <c r="B862" s="9"/>
      <c r="C862" s="9"/>
      <c r="D862" s="42"/>
      <c r="E862" s="103"/>
      <c r="F862" s="42"/>
      <c r="G862" s="9"/>
      <c r="H862" s="9"/>
      <c r="I862" s="9"/>
      <c r="J862" s="9"/>
      <c r="K862" s="42"/>
      <c r="L862" s="42"/>
      <c r="M862" s="42"/>
      <c r="N862" s="42"/>
      <c r="O862" s="42"/>
      <c r="P862" s="9"/>
      <c r="Q862" s="9"/>
      <c r="R862" s="42"/>
      <c r="S862" s="42"/>
      <c r="T862" s="42"/>
      <c r="U862" s="42"/>
      <c r="V862" s="42"/>
      <c r="W862" s="42"/>
    </row>
    <row r="863">
      <c r="A863" s="9"/>
      <c r="B863" s="9"/>
      <c r="C863" s="9"/>
      <c r="D863" s="42"/>
      <c r="E863" s="103"/>
      <c r="F863" s="42"/>
      <c r="G863" s="9"/>
      <c r="H863" s="9"/>
      <c r="I863" s="9"/>
      <c r="J863" s="9"/>
      <c r="K863" s="42"/>
      <c r="L863" s="42"/>
      <c r="M863" s="42"/>
      <c r="N863" s="42"/>
      <c r="O863" s="42"/>
      <c r="P863" s="9"/>
      <c r="Q863" s="9"/>
      <c r="R863" s="42"/>
      <c r="S863" s="42"/>
      <c r="T863" s="42"/>
      <c r="U863" s="42"/>
      <c r="V863" s="42"/>
      <c r="W863" s="42"/>
    </row>
    <row r="864">
      <c r="A864" s="9"/>
      <c r="B864" s="9"/>
      <c r="C864" s="9"/>
      <c r="D864" s="42"/>
      <c r="E864" s="103"/>
      <c r="F864" s="42"/>
      <c r="G864" s="9"/>
      <c r="H864" s="9"/>
      <c r="I864" s="9"/>
      <c r="J864" s="9"/>
      <c r="K864" s="42"/>
      <c r="L864" s="42"/>
      <c r="M864" s="42"/>
      <c r="N864" s="42"/>
      <c r="O864" s="42"/>
      <c r="P864" s="9"/>
      <c r="Q864" s="9"/>
      <c r="R864" s="42"/>
      <c r="S864" s="42"/>
      <c r="T864" s="42"/>
      <c r="U864" s="42"/>
      <c r="V864" s="42"/>
      <c r="W864" s="42"/>
    </row>
    <row r="865">
      <c r="A865" s="9"/>
      <c r="B865" s="9"/>
      <c r="C865" s="9"/>
      <c r="D865" s="42"/>
      <c r="E865" s="103"/>
      <c r="F865" s="42"/>
      <c r="G865" s="9"/>
      <c r="H865" s="9"/>
      <c r="I865" s="9"/>
      <c r="J865" s="9"/>
      <c r="K865" s="42"/>
      <c r="L865" s="42"/>
      <c r="M865" s="42"/>
      <c r="N865" s="42"/>
      <c r="O865" s="42"/>
      <c r="P865" s="9"/>
      <c r="Q865" s="9"/>
      <c r="R865" s="42"/>
      <c r="S865" s="42"/>
      <c r="T865" s="42"/>
      <c r="U865" s="42"/>
      <c r="V865" s="42"/>
      <c r="W865" s="42"/>
    </row>
    <row r="866">
      <c r="A866" s="9"/>
      <c r="B866" s="9"/>
      <c r="C866" s="9"/>
      <c r="D866" s="42"/>
      <c r="E866" s="103"/>
      <c r="F866" s="42"/>
      <c r="G866" s="9"/>
      <c r="H866" s="9"/>
      <c r="I866" s="9"/>
      <c r="J866" s="9"/>
      <c r="K866" s="42"/>
      <c r="L866" s="42"/>
      <c r="M866" s="42"/>
      <c r="N866" s="42"/>
      <c r="O866" s="42"/>
      <c r="P866" s="9"/>
      <c r="Q866" s="9"/>
      <c r="R866" s="42"/>
      <c r="S866" s="42"/>
      <c r="T866" s="42"/>
      <c r="U866" s="42"/>
      <c r="V866" s="42"/>
      <c r="W866" s="42"/>
    </row>
    <row r="867">
      <c r="A867" s="9"/>
      <c r="B867" s="9"/>
      <c r="C867" s="9"/>
      <c r="D867" s="42"/>
      <c r="E867" s="103"/>
      <c r="F867" s="42"/>
      <c r="G867" s="9"/>
      <c r="H867" s="9"/>
      <c r="I867" s="9"/>
      <c r="J867" s="9"/>
      <c r="K867" s="42"/>
      <c r="L867" s="42"/>
      <c r="M867" s="42"/>
      <c r="N867" s="42"/>
      <c r="O867" s="42"/>
      <c r="P867" s="9"/>
      <c r="Q867" s="9"/>
      <c r="R867" s="42"/>
      <c r="S867" s="42"/>
      <c r="T867" s="42"/>
      <c r="U867" s="42"/>
      <c r="V867" s="42"/>
      <c r="W867" s="42"/>
    </row>
    <row r="868">
      <c r="A868" s="9"/>
      <c r="B868" s="9"/>
      <c r="C868" s="9"/>
      <c r="D868" s="42"/>
      <c r="E868" s="103"/>
      <c r="F868" s="42"/>
      <c r="G868" s="9"/>
      <c r="H868" s="9"/>
      <c r="I868" s="9"/>
      <c r="J868" s="9"/>
      <c r="K868" s="42"/>
      <c r="L868" s="42"/>
      <c r="M868" s="42"/>
      <c r="N868" s="42"/>
      <c r="O868" s="42"/>
      <c r="P868" s="9"/>
      <c r="Q868" s="9"/>
      <c r="R868" s="42"/>
      <c r="S868" s="42"/>
      <c r="T868" s="42"/>
      <c r="U868" s="42"/>
      <c r="V868" s="42"/>
      <c r="W868" s="42"/>
    </row>
    <row r="869">
      <c r="A869" s="9"/>
      <c r="B869" s="9"/>
      <c r="C869" s="9"/>
      <c r="D869" s="42"/>
      <c r="E869" s="103"/>
      <c r="F869" s="42"/>
      <c r="G869" s="9"/>
      <c r="H869" s="9"/>
      <c r="I869" s="9"/>
      <c r="J869" s="9"/>
      <c r="K869" s="42"/>
      <c r="L869" s="42"/>
      <c r="M869" s="42"/>
      <c r="N869" s="42"/>
      <c r="O869" s="42"/>
      <c r="P869" s="9"/>
      <c r="Q869" s="9"/>
      <c r="R869" s="42"/>
      <c r="S869" s="42"/>
      <c r="T869" s="42"/>
      <c r="U869" s="42"/>
      <c r="V869" s="42"/>
      <c r="W869" s="42"/>
    </row>
    <row r="870">
      <c r="A870" s="9"/>
      <c r="B870" s="9"/>
      <c r="C870" s="9"/>
      <c r="D870" s="42"/>
      <c r="E870" s="103"/>
      <c r="F870" s="42"/>
      <c r="G870" s="9"/>
      <c r="H870" s="9"/>
      <c r="I870" s="9"/>
      <c r="J870" s="9"/>
      <c r="K870" s="42"/>
      <c r="L870" s="42"/>
      <c r="M870" s="42"/>
      <c r="N870" s="42"/>
      <c r="O870" s="42"/>
      <c r="P870" s="9"/>
      <c r="Q870" s="9"/>
      <c r="R870" s="42"/>
      <c r="S870" s="42"/>
      <c r="T870" s="42"/>
      <c r="U870" s="42"/>
      <c r="V870" s="42"/>
      <c r="W870" s="42"/>
    </row>
    <row r="871">
      <c r="A871" s="9"/>
      <c r="B871" s="9"/>
      <c r="C871" s="9"/>
      <c r="D871" s="42"/>
      <c r="E871" s="103"/>
      <c r="F871" s="42"/>
      <c r="G871" s="9"/>
      <c r="H871" s="9"/>
      <c r="I871" s="9"/>
      <c r="J871" s="9"/>
      <c r="K871" s="42"/>
      <c r="L871" s="42"/>
      <c r="M871" s="42"/>
      <c r="N871" s="42"/>
      <c r="O871" s="42"/>
      <c r="P871" s="9"/>
      <c r="Q871" s="9"/>
      <c r="R871" s="42"/>
      <c r="S871" s="42"/>
      <c r="T871" s="42"/>
      <c r="U871" s="42"/>
      <c r="V871" s="42"/>
      <c r="W871" s="42"/>
    </row>
    <row r="872">
      <c r="A872" s="9"/>
      <c r="B872" s="9"/>
      <c r="C872" s="9"/>
      <c r="D872" s="42"/>
      <c r="E872" s="103"/>
      <c r="F872" s="42"/>
      <c r="G872" s="9"/>
      <c r="H872" s="9"/>
      <c r="I872" s="9"/>
      <c r="J872" s="9"/>
      <c r="K872" s="42"/>
      <c r="L872" s="42"/>
      <c r="M872" s="42"/>
      <c r="N872" s="42"/>
      <c r="O872" s="42"/>
      <c r="P872" s="9"/>
      <c r="Q872" s="9"/>
      <c r="R872" s="42"/>
      <c r="S872" s="42"/>
      <c r="T872" s="42"/>
      <c r="U872" s="42"/>
      <c r="V872" s="42"/>
      <c r="W872" s="42"/>
    </row>
    <row r="873">
      <c r="A873" s="9"/>
      <c r="B873" s="9"/>
      <c r="C873" s="9"/>
      <c r="D873" s="42"/>
      <c r="E873" s="103"/>
      <c r="F873" s="42"/>
      <c r="G873" s="9"/>
      <c r="H873" s="9"/>
      <c r="I873" s="9"/>
      <c r="J873" s="9"/>
      <c r="K873" s="42"/>
      <c r="L873" s="42"/>
      <c r="M873" s="42"/>
      <c r="N873" s="42"/>
      <c r="O873" s="42"/>
      <c r="P873" s="9"/>
      <c r="Q873" s="9"/>
      <c r="R873" s="42"/>
      <c r="S873" s="42"/>
      <c r="T873" s="42"/>
      <c r="U873" s="42"/>
      <c r="V873" s="42"/>
      <c r="W873" s="42"/>
    </row>
    <row r="874">
      <c r="A874" s="9"/>
      <c r="B874" s="9"/>
      <c r="C874" s="9"/>
      <c r="D874" s="42"/>
      <c r="E874" s="103"/>
      <c r="F874" s="42"/>
      <c r="G874" s="9"/>
      <c r="H874" s="9"/>
      <c r="I874" s="9"/>
      <c r="J874" s="9"/>
      <c r="K874" s="42"/>
      <c r="L874" s="42"/>
      <c r="M874" s="42"/>
      <c r="N874" s="42"/>
      <c r="O874" s="42"/>
      <c r="P874" s="9"/>
      <c r="Q874" s="9"/>
      <c r="R874" s="42"/>
      <c r="S874" s="42"/>
      <c r="T874" s="42"/>
      <c r="U874" s="42"/>
      <c r="V874" s="42"/>
      <c r="W874" s="42"/>
    </row>
    <row r="875">
      <c r="A875" s="9"/>
      <c r="B875" s="9"/>
      <c r="C875" s="9"/>
      <c r="D875" s="42"/>
      <c r="E875" s="103"/>
      <c r="F875" s="42"/>
      <c r="G875" s="9"/>
      <c r="H875" s="9"/>
      <c r="I875" s="9"/>
      <c r="J875" s="9"/>
      <c r="K875" s="42"/>
      <c r="L875" s="42"/>
      <c r="M875" s="42"/>
      <c r="N875" s="42"/>
      <c r="O875" s="42"/>
      <c r="P875" s="9"/>
      <c r="Q875" s="9"/>
      <c r="R875" s="42"/>
      <c r="S875" s="42"/>
      <c r="T875" s="42"/>
      <c r="U875" s="42"/>
      <c r="V875" s="42"/>
      <c r="W875" s="42"/>
    </row>
    <row r="876">
      <c r="A876" s="9"/>
      <c r="B876" s="9"/>
      <c r="C876" s="9"/>
      <c r="D876" s="42"/>
      <c r="E876" s="103"/>
      <c r="F876" s="42"/>
      <c r="G876" s="9"/>
      <c r="H876" s="9"/>
      <c r="I876" s="9"/>
      <c r="J876" s="9"/>
      <c r="K876" s="42"/>
      <c r="L876" s="42"/>
      <c r="M876" s="42"/>
      <c r="N876" s="42"/>
      <c r="O876" s="42"/>
      <c r="P876" s="9"/>
      <c r="Q876" s="9"/>
      <c r="R876" s="42"/>
      <c r="S876" s="42"/>
      <c r="T876" s="42"/>
      <c r="U876" s="42"/>
      <c r="V876" s="42"/>
      <c r="W876" s="42"/>
    </row>
    <row r="877">
      <c r="A877" s="9"/>
      <c r="B877" s="9"/>
      <c r="C877" s="9"/>
      <c r="D877" s="42"/>
      <c r="E877" s="103"/>
      <c r="F877" s="42"/>
      <c r="G877" s="9"/>
      <c r="H877" s="9"/>
      <c r="I877" s="9"/>
      <c r="J877" s="9"/>
      <c r="K877" s="42"/>
      <c r="L877" s="42"/>
      <c r="M877" s="42"/>
      <c r="N877" s="42"/>
      <c r="O877" s="42"/>
      <c r="P877" s="9"/>
      <c r="Q877" s="9"/>
      <c r="R877" s="42"/>
      <c r="S877" s="42"/>
      <c r="T877" s="42"/>
      <c r="U877" s="42"/>
      <c r="V877" s="42"/>
      <c r="W877" s="42"/>
    </row>
    <row r="878">
      <c r="A878" s="9"/>
      <c r="B878" s="9"/>
      <c r="C878" s="9"/>
      <c r="D878" s="42"/>
      <c r="E878" s="103"/>
      <c r="F878" s="42"/>
      <c r="G878" s="9"/>
      <c r="H878" s="9"/>
      <c r="I878" s="9"/>
      <c r="J878" s="9"/>
      <c r="K878" s="42"/>
      <c r="L878" s="42"/>
      <c r="M878" s="42"/>
      <c r="N878" s="42"/>
      <c r="O878" s="42"/>
      <c r="P878" s="9"/>
      <c r="Q878" s="9"/>
      <c r="R878" s="42"/>
      <c r="S878" s="42"/>
      <c r="T878" s="42"/>
      <c r="U878" s="42"/>
      <c r="V878" s="42"/>
      <c r="W878" s="42"/>
    </row>
    <row r="879">
      <c r="A879" s="9"/>
      <c r="B879" s="9"/>
      <c r="C879" s="9"/>
      <c r="D879" s="42"/>
      <c r="E879" s="103"/>
      <c r="F879" s="42"/>
      <c r="G879" s="9"/>
      <c r="H879" s="9"/>
      <c r="I879" s="9"/>
      <c r="J879" s="9"/>
      <c r="K879" s="42"/>
      <c r="L879" s="42"/>
      <c r="M879" s="42"/>
      <c r="N879" s="42"/>
      <c r="O879" s="42"/>
      <c r="P879" s="9"/>
      <c r="Q879" s="9"/>
      <c r="R879" s="42"/>
      <c r="S879" s="42"/>
      <c r="T879" s="42"/>
      <c r="U879" s="42"/>
      <c r="V879" s="42"/>
      <c r="W879" s="42"/>
    </row>
    <row r="880">
      <c r="A880" s="9"/>
      <c r="B880" s="9"/>
      <c r="C880" s="9"/>
      <c r="D880" s="42"/>
      <c r="E880" s="103"/>
      <c r="F880" s="42"/>
      <c r="G880" s="9"/>
      <c r="H880" s="9"/>
      <c r="I880" s="9"/>
      <c r="J880" s="9"/>
      <c r="K880" s="42"/>
      <c r="L880" s="42"/>
      <c r="M880" s="42"/>
      <c r="N880" s="42"/>
      <c r="O880" s="42"/>
      <c r="P880" s="9"/>
      <c r="Q880" s="9"/>
      <c r="R880" s="42"/>
      <c r="S880" s="42"/>
      <c r="T880" s="42"/>
      <c r="U880" s="42"/>
      <c r="V880" s="42"/>
      <c r="W880" s="42"/>
    </row>
    <row r="881">
      <c r="A881" s="9"/>
      <c r="B881" s="9"/>
      <c r="C881" s="9"/>
      <c r="D881" s="42"/>
      <c r="E881" s="103"/>
      <c r="F881" s="42"/>
      <c r="G881" s="9"/>
      <c r="H881" s="9"/>
      <c r="I881" s="9"/>
      <c r="J881" s="9"/>
      <c r="K881" s="42"/>
      <c r="L881" s="42"/>
      <c r="M881" s="42"/>
      <c r="N881" s="42"/>
      <c r="O881" s="42"/>
      <c r="P881" s="9"/>
      <c r="Q881" s="9"/>
      <c r="R881" s="42"/>
      <c r="S881" s="42"/>
      <c r="T881" s="42"/>
      <c r="U881" s="42"/>
      <c r="V881" s="42"/>
      <c r="W881" s="42"/>
    </row>
    <row r="882">
      <c r="A882" s="9"/>
      <c r="B882" s="9"/>
      <c r="C882" s="9"/>
      <c r="D882" s="42"/>
      <c r="E882" s="103"/>
      <c r="F882" s="42"/>
      <c r="G882" s="9"/>
      <c r="H882" s="9"/>
      <c r="I882" s="9"/>
      <c r="J882" s="9"/>
      <c r="K882" s="42"/>
      <c r="L882" s="42"/>
      <c r="M882" s="42"/>
      <c r="N882" s="42"/>
      <c r="O882" s="42"/>
      <c r="P882" s="9"/>
      <c r="Q882" s="9"/>
      <c r="R882" s="42"/>
      <c r="S882" s="42"/>
      <c r="T882" s="42"/>
      <c r="U882" s="42"/>
      <c r="V882" s="42"/>
      <c r="W882" s="42"/>
    </row>
    <row r="883">
      <c r="A883" s="9"/>
      <c r="B883" s="9"/>
      <c r="C883" s="9"/>
      <c r="D883" s="42"/>
      <c r="E883" s="103"/>
      <c r="F883" s="42"/>
      <c r="G883" s="9"/>
      <c r="H883" s="9"/>
      <c r="I883" s="9"/>
      <c r="J883" s="9"/>
      <c r="K883" s="42"/>
      <c r="L883" s="42"/>
      <c r="M883" s="42"/>
      <c r="N883" s="42"/>
      <c r="O883" s="42"/>
      <c r="P883" s="9"/>
      <c r="Q883" s="9"/>
      <c r="R883" s="42"/>
      <c r="S883" s="42"/>
      <c r="T883" s="42"/>
      <c r="U883" s="42"/>
      <c r="V883" s="42"/>
      <c r="W883" s="42"/>
    </row>
    <row r="884">
      <c r="A884" s="9"/>
      <c r="B884" s="9"/>
      <c r="C884" s="9"/>
      <c r="D884" s="42"/>
      <c r="E884" s="103"/>
      <c r="F884" s="42"/>
      <c r="G884" s="9"/>
      <c r="H884" s="9"/>
      <c r="I884" s="9"/>
      <c r="J884" s="9"/>
      <c r="K884" s="42"/>
      <c r="L884" s="42"/>
      <c r="M884" s="42"/>
      <c r="N884" s="42"/>
      <c r="O884" s="42"/>
      <c r="P884" s="9"/>
      <c r="Q884" s="9"/>
      <c r="R884" s="42"/>
      <c r="S884" s="42"/>
      <c r="T884" s="42"/>
      <c r="U884" s="42"/>
      <c r="V884" s="42"/>
      <c r="W884" s="42"/>
    </row>
    <row r="885">
      <c r="A885" s="9"/>
      <c r="B885" s="9"/>
      <c r="C885" s="9"/>
      <c r="D885" s="42"/>
      <c r="E885" s="103"/>
      <c r="F885" s="42"/>
      <c r="G885" s="9"/>
      <c r="H885" s="9"/>
      <c r="I885" s="9"/>
      <c r="J885" s="9"/>
      <c r="K885" s="42"/>
      <c r="L885" s="42"/>
      <c r="M885" s="42"/>
      <c r="N885" s="42"/>
      <c r="O885" s="42"/>
      <c r="P885" s="9"/>
      <c r="Q885" s="9"/>
      <c r="R885" s="42"/>
      <c r="S885" s="42"/>
      <c r="T885" s="42"/>
      <c r="U885" s="42"/>
      <c r="V885" s="42"/>
      <c r="W885" s="42"/>
    </row>
    <row r="886">
      <c r="A886" s="9"/>
      <c r="B886" s="9"/>
      <c r="C886" s="9"/>
      <c r="D886" s="42"/>
      <c r="E886" s="103"/>
      <c r="F886" s="42"/>
      <c r="G886" s="9"/>
      <c r="H886" s="9"/>
      <c r="I886" s="9"/>
      <c r="J886" s="9"/>
      <c r="K886" s="42"/>
      <c r="L886" s="42"/>
      <c r="M886" s="42"/>
      <c r="N886" s="42"/>
      <c r="O886" s="42"/>
      <c r="P886" s="9"/>
      <c r="Q886" s="9"/>
      <c r="R886" s="42"/>
      <c r="S886" s="42"/>
      <c r="T886" s="42"/>
      <c r="U886" s="42"/>
      <c r="V886" s="42"/>
      <c r="W886" s="42"/>
    </row>
    <row r="887">
      <c r="A887" s="9"/>
      <c r="B887" s="9"/>
      <c r="C887" s="9"/>
      <c r="D887" s="42"/>
      <c r="E887" s="103"/>
      <c r="F887" s="42"/>
      <c r="G887" s="9"/>
      <c r="H887" s="9"/>
      <c r="I887" s="9"/>
      <c r="J887" s="9"/>
      <c r="K887" s="42"/>
      <c r="L887" s="42"/>
      <c r="M887" s="42"/>
      <c r="N887" s="42"/>
      <c r="O887" s="42"/>
      <c r="P887" s="9"/>
      <c r="Q887" s="9"/>
      <c r="R887" s="42"/>
      <c r="S887" s="42"/>
      <c r="T887" s="42"/>
      <c r="U887" s="42"/>
      <c r="V887" s="42"/>
      <c r="W887" s="42"/>
    </row>
    <row r="888">
      <c r="A888" s="9"/>
      <c r="B888" s="9"/>
      <c r="C888" s="9"/>
      <c r="D888" s="42"/>
      <c r="E888" s="103"/>
      <c r="F888" s="42"/>
      <c r="G888" s="9"/>
      <c r="H888" s="9"/>
      <c r="I888" s="9"/>
      <c r="J888" s="9"/>
      <c r="K888" s="42"/>
      <c r="L888" s="42"/>
      <c r="M888" s="42"/>
      <c r="N888" s="42"/>
      <c r="O888" s="42"/>
      <c r="P888" s="9"/>
      <c r="Q888" s="9"/>
      <c r="R888" s="42"/>
      <c r="S888" s="42"/>
      <c r="T888" s="42"/>
      <c r="U888" s="42"/>
      <c r="V888" s="42"/>
      <c r="W888" s="42"/>
    </row>
    <row r="889">
      <c r="A889" s="9"/>
      <c r="B889" s="9"/>
      <c r="C889" s="9"/>
      <c r="D889" s="42"/>
      <c r="E889" s="103"/>
      <c r="F889" s="42"/>
      <c r="G889" s="9"/>
      <c r="H889" s="9"/>
      <c r="I889" s="9"/>
      <c r="J889" s="9"/>
      <c r="K889" s="42"/>
      <c r="L889" s="42"/>
      <c r="M889" s="42"/>
      <c r="N889" s="42"/>
      <c r="O889" s="42"/>
      <c r="P889" s="9"/>
      <c r="Q889" s="9"/>
      <c r="R889" s="42"/>
      <c r="S889" s="42"/>
      <c r="T889" s="42"/>
      <c r="U889" s="42"/>
      <c r="V889" s="42"/>
      <c r="W889" s="42"/>
    </row>
    <row r="890">
      <c r="A890" s="9"/>
      <c r="B890" s="9"/>
      <c r="C890" s="9"/>
      <c r="D890" s="42"/>
      <c r="E890" s="103"/>
      <c r="F890" s="42"/>
      <c r="G890" s="9"/>
      <c r="H890" s="9"/>
      <c r="I890" s="9"/>
      <c r="J890" s="9"/>
      <c r="K890" s="42"/>
      <c r="L890" s="42"/>
      <c r="M890" s="42"/>
      <c r="N890" s="42"/>
      <c r="O890" s="42"/>
      <c r="P890" s="9"/>
      <c r="Q890" s="9"/>
      <c r="R890" s="42"/>
      <c r="S890" s="42"/>
      <c r="T890" s="42"/>
      <c r="U890" s="42"/>
      <c r="V890" s="42"/>
      <c r="W890" s="42"/>
    </row>
    <row r="891">
      <c r="A891" s="9"/>
      <c r="B891" s="9"/>
      <c r="C891" s="9"/>
      <c r="D891" s="42"/>
      <c r="E891" s="103"/>
      <c r="F891" s="42"/>
      <c r="G891" s="9"/>
      <c r="H891" s="9"/>
      <c r="I891" s="9"/>
      <c r="J891" s="9"/>
      <c r="K891" s="42"/>
      <c r="L891" s="42"/>
      <c r="M891" s="42"/>
      <c r="N891" s="42"/>
      <c r="O891" s="42"/>
      <c r="P891" s="9"/>
      <c r="Q891" s="9"/>
      <c r="R891" s="42"/>
      <c r="S891" s="42"/>
      <c r="T891" s="42"/>
      <c r="U891" s="42"/>
      <c r="V891" s="42"/>
      <c r="W891" s="42"/>
    </row>
    <row r="892">
      <c r="A892" s="9"/>
      <c r="B892" s="9"/>
      <c r="C892" s="9"/>
      <c r="D892" s="42"/>
      <c r="E892" s="103"/>
      <c r="F892" s="42"/>
      <c r="G892" s="9"/>
      <c r="H892" s="9"/>
      <c r="I892" s="9"/>
      <c r="J892" s="9"/>
      <c r="K892" s="42"/>
      <c r="L892" s="42"/>
      <c r="M892" s="42"/>
      <c r="N892" s="42"/>
      <c r="O892" s="42"/>
      <c r="P892" s="9"/>
      <c r="Q892" s="9"/>
      <c r="R892" s="42"/>
      <c r="S892" s="42"/>
      <c r="T892" s="42"/>
      <c r="U892" s="42"/>
      <c r="V892" s="42"/>
      <c r="W892" s="42"/>
    </row>
    <row r="893">
      <c r="A893" s="9"/>
      <c r="B893" s="9"/>
      <c r="C893" s="9"/>
      <c r="D893" s="42"/>
      <c r="E893" s="103"/>
      <c r="F893" s="42"/>
      <c r="G893" s="9"/>
      <c r="H893" s="9"/>
      <c r="I893" s="9"/>
      <c r="J893" s="9"/>
      <c r="K893" s="42"/>
      <c r="L893" s="42"/>
      <c r="M893" s="42"/>
      <c r="N893" s="42"/>
      <c r="O893" s="42"/>
      <c r="P893" s="9"/>
      <c r="Q893" s="9"/>
      <c r="R893" s="42"/>
      <c r="S893" s="42"/>
      <c r="T893" s="42"/>
      <c r="U893" s="42"/>
      <c r="V893" s="42"/>
      <c r="W893" s="42"/>
    </row>
    <row r="894">
      <c r="A894" s="9"/>
      <c r="B894" s="9"/>
      <c r="C894" s="9"/>
      <c r="D894" s="42"/>
      <c r="E894" s="103"/>
      <c r="F894" s="42"/>
      <c r="G894" s="9"/>
      <c r="H894" s="9"/>
      <c r="I894" s="9"/>
      <c r="J894" s="9"/>
      <c r="K894" s="42"/>
      <c r="L894" s="42"/>
      <c r="M894" s="42"/>
      <c r="N894" s="42"/>
      <c r="O894" s="42"/>
      <c r="P894" s="9"/>
      <c r="Q894" s="9"/>
      <c r="R894" s="42"/>
      <c r="S894" s="42"/>
      <c r="T894" s="42"/>
      <c r="U894" s="42"/>
      <c r="V894" s="42"/>
      <c r="W894" s="42"/>
    </row>
    <row r="895">
      <c r="A895" s="9"/>
      <c r="B895" s="9"/>
      <c r="C895" s="9"/>
      <c r="D895" s="42"/>
      <c r="E895" s="103"/>
      <c r="F895" s="42"/>
      <c r="G895" s="9"/>
      <c r="H895" s="9"/>
      <c r="I895" s="9"/>
      <c r="J895" s="9"/>
      <c r="K895" s="42"/>
      <c r="L895" s="42"/>
      <c r="M895" s="42"/>
      <c r="N895" s="42"/>
      <c r="O895" s="42"/>
      <c r="P895" s="9"/>
      <c r="Q895" s="9"/>
      <c r="R895" s="42"/>
      <c r="S895" s="42"/>
      <c r="T895" s="42"/>
      <c r="U895" s="42"/>
      <c r="V895" s="42"/>
      <c r="W895" s="42"/>
    </row>
    <row r="896">
      <c r="A896" s="9"/>
      <c r="B896" s="9"/>
      <c r="C896" s="9"/>
      <c r="D896" s="42"/>
      <c r="E896" s="103"/>
      <c r="F896" s="42"/>
      <c r="G896" s="9"/>
      <c r="H896" s="9"/>
      <c r="I896" s="9"/>
      <c r="J896" s="9"/>
      <c r="K896" s="42"/>
      <c r="L896" s="42"/>
      <c r="M896" s="42"/>
      <c r="N896" s="42"/>
      <c r="O896" s="42"/>
      <c r="P896" s="9"/>
      <c r="Q896" s="9"/>
      <c r="R896" s="42"/>
      <c r="S896" s="42"/>
      <c r="T896" s="42"/>
      <c r="U896" s="42"/>
      <c r="V896" s="42"/>
      <c r="W896" s="42"/>
    </row>
    <row r="897">
      <c r="A897" s="9"/>
      <c r="B897" s="9"/>
      <c r="C897" s="9"/>
      <c r="D897" s="42"/>
      <c r="E897" s="103"/>
      <c r="F897" s="42"/>
      <c r="G897" s="9"/>
      <c r="H897" s="9"/>
      <c r="I897" s="9"/>
      <c r="J897" s="9"/>
      <c r="K897" s="42"/>
      <c r="L897" s="42"/>
      <c r="M897" s="42"/>
      <c r="N897" s="42"/>
      <c r="O897" s="42"/>
      <c r="P897" s="9"/>
      <c r="Q897" s="9"/>
      <c r="R897" s="42"/>
      <c r="S897" s="42"/>
      <c r="T897" s="42"/>
      <c r="U897" s="42"/>
      <c r="V897" s="42"/>
      <c r="W897" s="42"/>
    </row>
    <row r="898">
      <c r="A898" s="9"/>
      <c r="B898" s="9"/>
      <c r="C898" s="9"/>
      <c r="D898" s="42"/>
      <c r="E898" s="103"/>
      <c r="F898" s="42"/>
      <c r="G898" s="9"/>
      <c r="H898" s="9"/>
      <c r="I898" s="9"/>
      <c r="J898" s="9"/>
      <c r="K898" s="42"/>
      <c r="L898" s="42"/>
      <c r="M898" s="42"/>
      <c r="N898" s="42"/>
      <c r="O898" s="42"/>
      <c r="P898" s="9"/>
      <c r="Q898" s="9"/>
      <c r="R898" s="42"/>
      <c r="S898" s="42"/>
      <c r="T898" s="42"/>
      <c r="U898" s="42"/>
      <c r="V898" s="42"/>
      <c r="W898" s="42"/>
    </row>
    <row r="899">
      <c r="A899" s="9"/>
      <c r="B899" s="9"/>
      <c r="C899" s="9"/>
      <c r="D899" s="42"/>
      <c r="E899" s="103"/>
      <c r="F899" s="42"/>
      <c r="G899" s="9"/>
      <c r="H899" s="9"/>
      <c r="I899" s="9"/>
      <c r="J899" s="9"/>
      <c r="K899" s="42"/>
      <c r="L899" s="42"/>
      <c r="M899" s="42"/>
      <c r="N899" s="42"/>
      <c r="O899" s="42"/>
      <c r="P899" s="9"/>
      <c r="Q899" s="9"/>
      <c r="R899" s="42"/>
      <c r="S899" s="42"/>
      <c r="T899" s="42"/>
      <c r="U899" s="42"/>
      <c r="V899" s="42"/>
      <c r="W899" s="42"/>
    </row>
    <row r="900">
      <c r="A900" s="9"/>
      <c r="B900" s="9"/>
      <c r="C900" s="9"/>
      <c r="D900" s="42"/>
      <c r="E900" s="103"/>
      <c r="F900" s="42"/>
      <c r="G900" s="9"/>
      <c r="H900" s="9"/>
      <c r="I900" s="9"/>
      <c r="J900" s="9"/>
      <c r="K900" s="42"/>
      <c r="L900" s="42"/>
      <c r="M900" s="42"/>
      <c r="N900" s="42"/>
      <c r="O900" s="42"/>
      <c r="P900" s="9"/>
      <c r="Q900" s="9"/>
      <c r="R900" s="42"/>
      <c r="S900" s="42"/>
      <c r="T900" s="42"/>
      <c r="U900" s="42"/>
      <c r="V900" s="42"/>
      <c r="W900" s="42"/>
    </row>
    <row r="901">
      <c r="A901" s="9"/>
      <c r="B901" s="9"/>
      <c r="C901" s="9"/>
      <c r="D901" s="42"/>
      <c r="E901" s="103"/>
      <c r="F901" s="42"/>
      <c r="G901" s="9"/>
      <c r="H901" s="9"/>
      <c r="I901" s="9"/>
      <c r="J901" s="9"/>
      <c r="K901" s="42"/>
      <c r="L901" s="42"/>
      <c r="M901" s="42"/>
      <c r="N901" s="42"/>
      <c r="O901" s="42"/>
      <c r="P901" s="9"/>
      <c r="Q901" s="9"/>
      <c r="R901" s="42"/>
      <c r="S901" s="42"/>
      <c r="T901" s="42"/>
      <c r="U901" s="42"/>
      <c r="V901" s="42"/>
      <c r="W901" s="42"/>
    </row>
    <row r="902">
      <c r="A902" s="9"/>
      <c r="B902" s="9"/>
      <c r="C902" s="9"/>
      <c r="D902" s="42"/>
      <c r="E902" s="103"/>
      <c r="F902" s="42"/>
      <c r="G902" s="9"/>
      <c r="H902" s="9"/>
      <c r="I902" s="9"/>
      <c r="J902" s="9"/>
      <c r="K902" s="42"/>
      <c r="L902" s="42"/>
      <c r="M902" s="42"/>
      <c r="N902" s="42"/>
      <c r="O902" s="42"/>
      <c r="P902" s="9"/>
      <c r="Q902" s="9"/>
      <c r="R902" s="42"/>
      <c r="S902" s="42"/>
      <c r="T902" s="42"/>
      <c r="U902" s="42"/>
      <c r="V902" s="42"/>
      <c r="W902" s="42"/>
    </row>
    <row r="903">
      <c r="A903" s="9"/>
      <c r="B903" s="9"/>
      <c r="C903" s="9"/>
      <c r="D903" s="42"/>
      <c r="E903" s="103"/>
      <c r="F903" s="42"/>
      <c r="G903" s="9"/>
      <c r="H903" s="9"/>
      <c r="I903" s="9"/>
      <c r="J903" s="9"/>
      <c r="K903" s="42"/>
      <c r="L903" s="42"/>
      <c r="M903" s="42"/>
      <c r="N903" s="42"/>
      <c r="O903" s="42"/>
      <c r="P903" s="9"/>
      <c r="Q903" s="9"/>
      <c r="R903" s="42"/>
      <c r="S903" s="42"/>
      <c r="T903" s="42"/>
      <c r="U903" s="42"/>
      <c r="V903" s="42"/>
      <c r="W903" s="42"/>
    </row>
    <row r="904">
      <c r="A904" s="9"/>
      <c r="B904" s="9"/>
      <c r="C904" s="9"/>
      <c r="D904" s="42"/>
      <c r="E904" s="103"/>
      <c r="F904" s="42"/>
      <c r="G904" s="9"/>
      <c r="H904" s="9"/>
      <c r="I904" s="9"/>
      <c r="J904" s="9"/>
      <c r="K904" s="42"/>
      <c r="L904" s="42"/>
      <c r="M904" s="42"/>
      <c r="N904" s="42"/>
      <c r="O904" s="42"/>
      <c r="P904" s="9"/>
      <c r="Q904" s="9"/>
      <c r="R904" s="42"/>
      <c r="S904" s="42"/>
      <c r="T904" s="42"/>
      <c r="U904" s="42"/>
      <c r="V904" s="42"/>
      <c r="W904" s="42"/>
    </row>
    <row r="905">
      <c r="A905" s="9"/>
      <c r="B905" s="9"/>
      <c r="C905" s="9"/>
      <c r="D905" s="42"/>
      <c r="E905" s="103"/>
      <c r="F905" s="42"/>
      <c r="G905" s="9"/>
      <c r="H905" s="9"/>
      <c r="I905" s="9"/>
      <c r="J905" s="9"/>
      <c r="K905" s="42"/>
      <c r="L905" s="42"/>
      <c r="M905" s="42"/>
      <c r="N905" s="42"/>
      <c r="O905" s="42"/>
      <c r="P905" s="9"/>
      <c r="Q905" s="9"/>
      <c r="R905" s="42"/>
      <c r="S905" s="42"/>
      <c r="T905" s="42"/>
      <c r="U905" s="42"/>
      <c r="V905" s="42"/>
      <c r="W905" s="42"/>
    </row>
    <row r="906">
      <c r="A906" s="9"/>
      <c r="B906" s="9"/>
      <c r="C906" s="9"/>
      <c r="D906" s="42"/>
      <c r="E906" s="103"/>
      <c r="F906" s="42"/>
      <c r="G906" s="9"/>
      <c r="H906" s="9"/>
      <c r="I906" s="9"/>
      <c r="J906" s="9"/>
      <c r="K906" s="42"/>
      <c r="L906" s="42"/>
      <c r="M906" s="42"/>
      <c r="N906" s="42"/>
      <c r="O906" s="42"/>
      <c r="P906" s="9"/>
      <c r="Q906" s="9"/>
      <c r="R906" s="42"/>
      <c r="S906" s="42"/>
      <c r="T906" s="42"/>
      <c r="U906" s="42"/>
      <c r="V906" s="42"/>
      <c r="W906" s="42"/>
    </row>
    <row r="907">
      <c r="A907" s="9"/>
      <c r="B907" s="9"/>
      <c r="C907" s="9"/>
      <c r="D907" s="42"/>
      <c r="E907" s="103"/>
      <c r="F907" s="42"/>
      <c r="G907" s="9"/>
      <c r="H907" s="9"/>
      <c r="I907" s="9"/>
      <c r="J907" s="9"/>
      <c r="K907" s="42"/>
      <c r="L907" s="42"/>
      <c r="M907" s="42"/>
      <c r="N907" s="42"/>
      <c r="O907" s="42"/>
      <c r="P907" s="9"/>
      <c r="Q907" s="9"/>
      <c r="R907" s="42"/>
      <c r="S907" s="42"/>
      <c r="T907" s="42"/>
      <c r="U907" s="42"/>
      <c r="V907" s="42"/>
      <c r="W907" s="42"/>
    </row>
    <row r="908">
      <c r="A908" s="9"/>
      <c r="B908" s="9"/>
      <c r="C908" s="9"/>
      <c r="D908" s="42"/>
      <c r="E908" s="103"/>
      <c r="F908" s="42"/>
      <c r="G908" s="9"/>
      <c r="H908" s="9"/>
      <c r="I908" s="9"/>
      <c r="J908" s="9"/>
      <c r="K908" s="42"/>
      <c r="L908" s="42"/>
      <c r="M908" s="42"/>
      <c r="N908" s="42"/>
      <c r="O908" s="42"/>
      <c r="P908" s="9"/>
      <c r="Q908" s="9"/>
      <c r="R908" s="42"/>
      <c r="S908" s="42"/>
      <c r="T908" s="42"/>
      <c r="U908" s="42"/>
      <c r="V908" s="42"/>
      <c r="W908" s="42"/>
    </row>
    <row r="909">
      <c r="A909" s="9"/>
      <c r="B909" s="9"/>
      <c r="C909" s="9"/>
      <c r="D909" s="42"/>
      <c r="E909" s="103"/>
      <c r="F909" s="42"/>
      <c r="G909" s="9"/>
      <c r="H909" s="9"/>
      <c r="I909" s="9"/>
      <c r="J909" s="9"/>
      <c r="K909" s="42"/>
      <c r="L909" s="42"/>
      <c r="M909" s="42"/>
      <c r="N909" s="42"/>
      <c r="O909" s="42"/>
      <c r="P909" s="9"/>
      <c r="Q909" s="9"/>
      <c r="R909" s="42"/>
      <c r="S909" s="42"/>
      <c r="T909" s="42"/>
      <c r="U909" s="42"/>
      <c r="V909" s="42"/>
      <c r="W909" s="42"/>
    </row>
    <row r="910">
      <c r="A910" s="9"/>
      <c r="B910" s="9"/>
      <c r="C910" s="9"/>
      <c r="D910" s="42"/>
      <c r="E910" s="103"/>
      <c r="F910" s="42"/>
      <c r="G910" s="9"/>
      <c r="H910" s="9"/>
      <c r="I910" s="9"/>
      <c r="J910" s="9"/>
      <c r="K910" s="42"/>
      <c r="L910" s="42"/>
      <c r="M910" s="42"/>
      <c r="N910" s="42"/>
      <c r="O910" s="42"/>
      <c r="P910" s="9"/>
      <c r="Q910" s="9"/>
      <c r="R910" s="42"/>
      <c r="S910" s="42"/>
      <c r="T910" s="42"/>
      <c r="U910" s="42"/>
      <c r="V910" s="42"/>
      <c r="W910" s="42"/>
    </row>
    <row r="911">
      <c r="A911" s="9"/>
      <c r="B911" s="9"/>
      <c r="C911" s="9"/>
      <c r="D911" s="42"/>
      <c r="E911" s="103"/>
      <c r="F911" s="42"/>
      <c r="G911" s="9"/>
      <c r="H911" s="9"/>
      <c r="I911" s="9"/>
      <c r="J911" s="9"/>
      <c r="K911" s="42"/>
      <c r="L911" s="42"/>
      <c r="M911" s="42"/>
      <c r="N911" s="42"/>
      <c r="O911" s="42"/>
      <c r="P911" s="9"/>
      <c r="Q911" s="9"/>
      <c r="R911" s="42"/>
      <c r="S911" s="42"/>
      <c r="T911" s="42"/>
      <c r="U911" s="42"/>
      <c r="V911" s="42"/>
      <c r="W911" s="42"/>
    </row>
    <row r="912">
      <c r="A912" s="9"/>
      <c r="B912" s="9"/>
      <c r="C912" s="9"/>
      <c r="D912" s="42"/>
      <c r="E912" s="103"/>
      <c r="F912" s="42"/>
      <c r="G912" s="9"/>
      <c r="H912" s="9"/>
      <c r="I912" s="9"/>
      <c r="J912" s="9"/>
      <c r="K912" s="42"/>
      <c r="L912" s="42"/>
      <c r="M912" s="42"/>
      <c r="N912" s="42"/>
      <c r="O912" s="42"/>
      <c r="P912" s="9"/>
      <c r="Q912" s="9"/>
      <c r="R912" s="42"/>
      <c r="S912" s="42"/>
      <c r="T912" s="42"/>
      <c r="U912" s="42"/>
      <c r="V912" s="42"/>
      <c r="W912" s="42"/>
    </row>
    <row r="913">
      <c r="A913" s="9"/>
      <c r="B913" s="9"/>
      <c r="C913" s="9"/>
      <c r="D913" s="42"/>
      <c r="E913" s="103"/>
      <c r="F913" s="42"/>
      <c r="G913" s="9"/>
      <c r="H913" s="9"/>
      <c r="I913" s="9"/>
      <c r="J913" s="9"/>
      <c r="K913" s="42"/>
      <c r="L913" s="42"/>
      <c r="M913" s="42"/>
      <c r="N913" s="42"/>
      <c r="O913" s="42"/>
      <c r="P913" s="9"/>
      <c r="Q913" s="9"/>
      <c r="R913" s="42"/>
      <c r="S913" s="42"/>
      <c r="T913" s="42"/>
      <c r="U913" s="42"/>
      <c r="V913" s="42"/>
      <c r="W913" s="42"/>
    </row>
    <row r="914">
      <c r="A914" s="9"/>
      <c r="B914" s="9"/>
      <c r="C914" s="9"/>
      <c r="D914" s="42"/>
      <c r="E914" s="103"/>
      <c r="F914" s="42"/>
      <c r="G914" s="9"/>
      <c r="H914" s="9"/>
      <c r="I914" s="9"/>
      <c r="J914" s="9"/>
      <c r="K914" s="42"/>
      <c r="L914" s="42"/>
      <c r="M914" s="42"/>
      <c r="N914" s="42"/>
      <c r="O914" s="42"/>
      <c r="P914" s="9"/>
      <c r="Q914" s="9"/>
      <c r="R914" s="42"/>
      <c r="S914" s="42"/>
      <c r="T914" s="42"/>
      <c r="U914" s="42"/>
      <c r="V914" s="42"/>
      <c r="W914" s="42"/>
    </row>
    <row r="915">
      <c r="A915" s="9"/>
      <c r="B915" s="9"/>
      <c r="C915" s="9"/>
      <c r="D915" s="42"/>
      <c r="E915" s="103"/>
      <c r="F915" s="42"/>
      <c r="G915" s="9"/>
      <c r="H915" s="9"/>
      <c r="I915" s="9"/>
      <c r="J915" s="9"/>
      <c r="K915" s="42"/>
      <c r="L915" s="42"/>
      <c r="M915" s="42"/>
      <c r="N915" s="42"/>
      <c r="O915" s="42"/>
      <c r="P915" s="9"/>
      <c r="Q915" s="9"/>
      <c r="R915" s="42"/>
      <c r="S915" s="42"/>
      <c r="T915" s="42"/>
      <c r="U915" s="42"/>
      <c r="V915" s="42"/>
      <c r="W915" s="42"/>
    </row>
    <row r="916">
      <c r="A916" s="9"/>
      <c r="B916" s="9"/>
      <c r="C916" s="9"/>
      <c r="D916" s="42"/>
      <c r="E916" s="103"/>
      <c r="F916" s="42"/>
      <c r="G916" s="9"/>
      <c r="H916" s="9"/>
      <c r="I916" s="9"/>
      <c r="J916" s="9"/>
      <c r="K916" s="42"/>
      <c r="L916" s="42"/>
      <c r="M916" s="42"/>
      <c r="N916" s="42"/>
      <c r="O916" s="42"/>
      <c r="P916" s="9"/>
      <c r="Q916" s="9"/>
      <c r="R916" s="42"/>
      <c r="S916" s="42"/>
      <c r="T916" s="42"/>
      <c r="U916" s="42"/>
      <c r="V916" s="42"/>
      <c r="W916" s="42"/>
    </row>
    <row r="917">
      <c r="A917" s="9"/>
      <c r="B917" s="9"/>
      <c r="C917" s="9"/>
      <c r="D917" s="42"/>
      <c r="E917" s="103"/>
      <c r="F917" s="42"/>
      <c r="G917" s="9"/>
      <c r="H917" s="9"/>
      <c r="I917" s="9"/>
      <c r="J917" s="9"/>
      <c r="K917" s="42"/>
      <c r="L917" s="42"/>
      <c r="M917" s="42"/>
      <c r="N917" s="42"/>
      <c r="O917" s="42"/>
      <c r="P917" s="9"/>
      <c r="Q917" s="9"/>
      <c r="R917" s="42"/>
      <c r="S917" s="42"/>
      <c r="T917" s="42"/>
      <c r="U917" s="42"/>
      <c r="V917" s="42"/>
      <c r="W917" s="42"/>
    </row>
    <row r="918">
      <c r="A918" s="9"/>
      <c r="B918" s="9"/>
      <c r="C918" s="9"/>
      <c r="D918" s="42"/>
      <c r="E918" s="103"/>
      <c r="F918" s="42"/>
      <c r="G918" s="9"/>
      <c r="H918" s="9"/>
      <c r="I918" s="9"/>
      <c r="J918" s="9"/>
      <c r="K918" s="42"/>
      <c r="L918" s="42"/>
      <c r="M918" s="42"/>
      <c r="N918" s="42"/>
      <c r="O918" s="42"/>
      <c r="P918" s="9"/>
      <c r="Q918" s="9"/>
      <c r="R918" s="42"/>
      <c r="S918" s="42"/>
      <c r="T918" s="42"/>
      <c r="U918" s="42"/>
      <c r="V918" s="42"/>
      <c r="W918" s="42"/>
    </row>
    <row r="919">
      <c r="A919" s="9"/>
      <c r="B919" s="9"/>
      <c r="C919" s="9"/>
      <c r="D919" s="42"/>
      <c r="E919" s="103"/>
      <c r="F919" s="42"/>
      <c r="G919" s="9"/>
      <c r="H919" s="9"/>
      <c r="I919" s="9"/>
      <c r="J919" s="9"/>
      <c r="K919" s="42"/>
      <c r="L919" s="42"/>
      <c r="M919" s="42"/>
      <c r="N919" s="42"/>
      <c r="O919" s="42"/>
      <c r="P919" s="9"/>
      <c r="Q919" s="9"/>
      <c r="R919" s="42"/>
      <c r="S919" s="42"/>
      <c r="T919" s="42"/>
      <c r="U919" s="42"/>
      <c r="V919" s="42"/>
      <c r="W919" s="42"/>
    </row>
    <row r="920">
      <c r="A920" s="9"/>
      <c r="B920" s="9"/>
      <c r="C920" s="9"/>
      <c r="D920" s="42"/>
      <c r="E920" s="103"/>
      <c r="F920" s="42"/>
      <c r="G920" s="9"/>
      <c r="H920" s="9"/>
      <c r="I920" s="9"/>
      <c r="J920" s="9"/>
      <c r="K920" s="42"/>
      <c r="L920" s="42"/>
      <c r="M920" s="42"/>
      <c r="N920" s="42"/>
      <c r="O920" s="42"/>
      <c r="P920" s="9"/>
      <c r="Q920" s="9"/>
      <c r="R920" s="42"/>
      <c r="S920" s="42"/>
      <c r="T920" s="42"/>
      <c r="U920" s="42"/>
      <c r="V920" s="42"/>
      <c r="W920" s="42"/>
    </row>
    <row r="921">
      <c r="A921" s="9"/>
      <c r="B921" s="9"/>
      <c r="C921" s="9"/>
      <c r="D921" s="42"/>
      <c r="E921" s="103"/>
      <c r="F921" s="42"/>
      <c r="G921" s="9"/>
      <c r="H921" s="9"/>
      <c r="I921" s="9"/>
      <c r="J921" s="9"/>
      <c r="K921" s="42"/>
      <c r="L921" s="42"/>
      <c r="M921" s="42"/>
      <c r="N921" s="42"/>
      <c r="O921" s="42"/>
      <c r="P921" s="9"/>
      <c r="Q921" s="9"/>
      <c r="R921" s="42"/>
      <c r="S921" s="42"/>
      <c r="T921" s="42"/>
      <c r="U921" s="42"/>
      <c r="V921" s="42"/>
      <c r="W921" s="42"/>
    </row>
    <row r="922">
      <c r="A922" s="9"/>
      <c r="B922" s="9"/>
      <c r="C922" s="9"/>
      <c r="D922" s="42"/>
      <c r="E922" s="103"/>
      <c r="F922" s="42"/>
      <c r="G922" s="9"/>
      <c r="H922" s="9"/>
      <c r="I922" s="9"/>
      <c r="J922" s="9"/>
      <c r="K922" s="42"/>
      <c r="L922" s="42"/>
      <c r="M922" s="42"/>
      <c r="N922" s="42"/>
      <c r="O922" s="42"/>
      <c r="P922" s="9"/>
      <c r="Q922" s="9"/>
      <c r="R922" s="42"/>
      <c r="S922" s="42"/>
      <c r="T922" s="42"/>
      <c r="U922" s="42"/>
      <c r="V922" s="42"/>
      <c r="W922" s="42"/>
    </row>
    <row r="923">
      <c r="A923" s="9"/>
      <c r="B923" s="9"/>
      <c r="C923" s="9"/>
      <c r="D923" s="42"/>
      <c r="E923" s="103"/>
      <c r="F923" s="42"/>
      <c r="G923" s="9"/>
      <c r="H923" s="9"/>
      <c r="I923" s="9"/>
      <c r="J923" s="9"/>
      <c r="K923" s="42"/>
      <c r="L923" s="42"/>
      <c r="M923" s="42"/>
      <c r="N923" s="42"/>
      <c r="O923" s="42"/>
      <c r="P923" s="9"/>
      <c r="Q923" s="9"/>
      <c r="R923" s="42"/>
      <c r="S923" s="42"/>
      <c r="T923" s="42"/>
      <c r="U923" s="42"/>
      <c r="V923" s="42"/>
      <c r="W923" s="42"/>
    </row>
    <row r="924">
      <c r="A924" s="9"/>
      <c r="B924" s="9"/>
      <c r="C924" s="9"/>
      <c r="D924" s="42"/>
      <c r="E924" s="103"/>
      <c r="F924" s="42"/>
      <c r="G924" s="9"/>
      <c r="H924" s="9"/>
      <c r="I924" s="9"/>
      <c r="J924" s="9"/>
      <c r="K924" s="42"/>
      <c r="L924" s="42"/>
      <c r="M924" s="42"/>
      <c r="N924" s="42"/>
      <c r="O924" s="42"/>
      <c r="P924" s="9"/>
      <c r="Q924" s="9"/>
      <c r="R924" s="42"/>
      <c r="S924" s="42"/>
      <c r="T924" s="42"/>
      <c r="U924" s="42"/>
      <c r="V924" s="42"/>
      <c r="W924" s="42"/>
    </row>
    <row r="925">
      <c r="A925" s="9"/>
      <c r="B925" s="9"/>
      <c r="C925" s="9"/>
      <c r="D925" s="42"/>
      <c r="E925" s="103"/>
      <c r="F925" s="42"/>
      <c r="G925" s="9"/>
      <c r="H925" s="9"/>
      <c r="I925" s="9"/>
      <c r="J925" s="9"/>
      <c r="K925" s="42"/>
      <c r="L925" s="42"/>
      <c r="M925" s="42"/>
      <c r="N925" s="42"/>
      <c r="O925" s="42"/>
      <c r="P925" s="9"/>
      <c r="Q925" s="9"/>
      <c r="R925" s="42"/>
      <c r="S925" s="42"/>
      <c r="T925" s="42"/>
      <c r="U925" s="42"/>
      <c r="V925" s="42"/>
      <c r="W925" s="42"/>
    </row>
    <row r="926">
      <c r="A926" s="9"/>
      <c r="B926" s="9"/>
      <c r="C926" s="9"/>
      <c r="D926" s="42"/>
      <c r="E926" s="103"/>
      <c r="F926" s="42"/>
      <c r="G926" s="9"/>
      <c r="H926" s="9"/>
      <c r="I926" s="9"/>
      <c r="J926" s="9"/>
      <c r="K926" s="42"/>
      <c r="L926" s="42"/>
      <c r="M926" s="42"/>
      <c r="N926" s="42"/>
      <c r="O926" s="42"/>
      <c r="P926" s="9"/>
      <c r="Q926" s="9"/>
      <c r="R926" s="42"/>
      <c r="S926" s="42"/>
      <c r="T926" s="42"/>
      <c r="U926" s="42"/>
      <c r="V926" s="42"/>
      <c r="W926" s="42"/>
    </row>
    <row r="927">
      <c r="A927" s="9"/>
      <c r="B927" s="9"/>
      <c r="C927" s="9"/>
      <c r="D927" s="42"/>
      <c r="E927" s="103"/>
      <c r="F927" s="42"/>
      <c r="G927" s="9"/>
      <c r="H927" s="9"/>
      <c r="I927" s="9"/>
      <c r="J927" s="9"/>
      <c r="K927" s="42"/>
      <c r="L927" s="42"/>
      <c r="M927" s="42"/>
      <c r="N927" s="42"/>
      <c r="O927" s="42"/>
      <c r="P927" s="9"/>
      <c r="Q927" s="9"/>
      <c r="R927" s="42"/>
      <c r="S927" s="42"/>
      <c r="T927" s="42"/>
      <c r="U927" s="42"/>
      <c r="V927" s="42"/>
      <c r="W927" s="42"/>
    </row>
    <row r="928">
      <c r="A928" s="9"/>
      <c r="B928" s="9"/>
      <c r="C928" s="9"/>
      <c r="D928" s="42"/>
      <c r="E928" s="103"/>
      <c r="F928" s="42"/>
      <c r="G928" s="9"/>
      <c r="H928" s="9"/>
      <c r="I928" s="9"/>
      <c r="J928" s="9"/>
      <c r="K928" s="42"/>
      <c r="L928" s="42"/>
      <c r="M928" s="42"/>
      <c r="N928" s="42"/>
      <c r="O928" s="42"/>
      <c r="P928" s="9"/>
      <c r="Q928" s="9"/>
      <c r="R928" s="42"/>
      <c r="S928" s="42"/>
      <c r="T928" s="42"/>
      <c r="U928" s="42"/>
      <c r="V928" s="42"/>
      <c r="W928" s="42"/>
    </row>
    <row r="929">
      <c r="A929" s="9"/>
      <c r="B929" s="9"/>
      <c r="C929" s="9"/>
      <c r="D929" s="42"/>
      <c r="E929" s="103"/>
      <c r="F929" s="42"/>
      <c r="G929" s="9"/>
      <c r="H929" s="9"/>
      <c r="I929" s="9"/>
      <c r="J929" s="9"/>
      <c r="K929" s="42"/>
      <c r="L929" s="42"/>
      <c r="M929" s="42"/>
      <c r="N929" s="42"/>
      <c r="O929" s="42"/>
      <c r="P929" s="9"/>
      <c r="Q929" s="9"/>
      <c r="R929" s="42"/>
      <c r="S929" s="42"/>
      <c r="T929" s="42"/>
      <c r="U929" s="42"/>
      <c r="V929" s="42"/>
      <c r="W929" s="42"/>
    </row>
    <row r="930">
      <c r="A930" s="9"/>
      <c r="B930" s="9"/>
      <c r="C930" s="9"/>
      <c r="D930" s="42"/>
      <c r="E930" s="103"/>
      <c r="F930" s="42"/>
      <c r="G930" s="9"/>
      <c r="H930" s="9"/>
      <c r="I930" s="9"/>
      <c r="J930" s="9"/>
      <c r="K930" s="42"/>
      <c r="L930" s="42"/>
      <c r="M930" s="42"/>
      <c r="N930" s="42"/>
      <c r="O930" s="42"/>
      <c r="P930" s="9"/>
      <c r="Q930" s="9"/>
      <c r="R930" s="42"/>
      <c r="S930" s="42"/>
      <c r="T930" s="42"/>
      <c r="U930" s="42"/>
      <c r="V930" s="42"/>
      <c r="W930" s="42"/>
    </row>
    <row r="931">
      <c r="A931" s="9"/>
      <c r="B931" s="9"/>
      <c r="C931" s="9"/>
      <c r="D931" s="42"/>
      <c r="E931" s="103"/>
      <c r="F931" s="42"/>
      <c r="G931" s="9"/>
      <c r="H931" s="9"/>
      <c r="I931" s="9"/>
      <c r="J931" s="9"/>
      <c r="K931" s="42"/>
      <c r="L931" s="42"/>
      <c r="M931" s="42"/>
      <c r="N931" s="42"/>
      <c r="O931" s="42"/>
      <c r="P931" s="9"/>
      <c r="Q931" s="9"/>
      <c r="R931" s="42"/>
      <c r="S931" s="42"/>
      <c r="T931" s="42"/>
      <c r="U931" s="42"/>
      <c r="V931" s="42"/>
      <c r="W931" s="42"/>
    </row>
    <row r="932">
      <c r="A932" s="9"/>
      <c r="B932" s="9"/>
      <c r="C932" s="9"/>
      <c r="D932" s="42"/>
      <c r="E932" s="103"/>
      <c r="F932" s="42"/>
      <c r="G932" s="9"/>
      <c r="H932" s="9"/>
      <c r="I932" s="9"/>
      <c r="J932" s="9"/>
      <c r="K932" s="42"/>
      <c r="L932" s="42"/>
      <c r="M932" s="42"/>
      <c r="N932" s="42"/>
      <c r="O932" s="42"/>
      <c r="P932" s="9"/>
      <c r="Q932" s="9"/>
      <c r="R932" s="42"/>
      <c r="S932" s="42"/>
      <c r="T932" s="42"/>
      <c r="U932" s="42"/>
      <c r="V932" s="42"/>
      <c r="W932" s="42"/>
    </row>
    <row r="933">
      <c r="A933" s="9"/>
      <c r="B933" s="9"/>
      <c r="C933" s="9"/>
      <c r="D933" s="42"/>
      <c r="E933" s="103"/>
      <c r="F933" s="42"/>
      <c r="G933" s="9"/>
      <c r="H933" s="9"/>
      <c r="I933" s="9"/>
      <c r="J933" s="9"/>
      <c r="K933" s="42"/>
      <c r="L933" s="42"/>
      <c r="M933" s="42"/>
      <c r="N933" s="42"/>
      <c r="O933" s="42"/>
      <c r="P933" s="9"/>
      <c r="Q933" s="9"/>
      <c r="R933" s="42"/>
      <c r="S933" s="42"/>
      <c r="T933" s="42"/>
      <c r="U933" s="42"/>
      <c r="V933" s="42"/>
      <c r="W933" s="42"/>
    </row>
    <row r="934">
      <c r="A934" s="9"/>
      <c r="B934" s="9"/>
      <c r="C934" s="9"/>
      <c r="D934" s="42"/>
      <c r="E934" s="103"/>
      <c r="F934" s="42"/>
      <c r="G934" s="9"/>
      <c r="H934" s="9"/>
      <c r="I934" s="9"/>
      <c r="J934" s="9"/>
      <c r="K934" s="42"/>
      <c r="L934" s="42"/>
      <c r="M934" s="42"/>
      <c r="N934" s="42"/>
      <c r="O934" s="42"/>
      <c r="P934" s="9"/>
      <c r="Q934" s="9"/>
      <c r="R934" s="42"/>
      <c r="S934" s="42"/>
      <c r="T934" s="42"/>
      <c r="U934" s="42"/>
      <c r="V934" s="42"/>
      <c r="W934" s="42"/>
    </row>
    <row r="935">
      <c r="A935" s="9"/>
      <c r="B935" s="9"/>
      <c r="C935" s="9"/>
      <c r="D935" s="42"/>
      <c r="E935" s="103"/>
      <c r="F935" s="42"/>
      <c r="G935" s="9"/>
      <c r="H935" s="9"/>
      <c r="I935" s="9"/>
      <c r="J935" s="9"/>
      <c r="K935" s="42"/>
      <c r="L935" s="42"/>
      <c r="M935" s="42"/>
      <c r="N935" s="42"/>
      <c r="O935" s="42"/>
      <c r="P935" s="9"/>
      <c r="Q935" s="9"/>
      <c r="R935" s="42"/>
      <c r="S935" s="42"/>
      <c r="T935" s="42"/>
      <c r="U935" s="42"/>
      <c r="V935" s="42"/>
      <c r="W935" s="42"/>
    </row>
    <row r="936">
      <c r="A936" s="9"/>
      <c r="B936" s="9"/>
      <c r="C936" s="9"/>
      <c r="D936" s="42"/>
      <c r="E936" s="103"/>
      <c r="F936" s="42"/>
      <c r="G936" s="9"/>
      <c r="H936" s="9"/>
      <c r="I936" s="9"/>
      <c r="J936" s="9"/>
      <c r="K936" s="42"/>
      <c r="L936" s="42"/>
      <c r="M936" s="42"/>
      <c r="N936" s="42"/>
      <c r="O936" s="42"/>
      <c r="P936" s="9"/>
      <c r="Q936" s="9"/>
      <c r="R936" s="42"/>
      <c r="S936" s="42"/>
      <c r="T936" s="42"/>
      <c r="U936" s="42"/>
      <c r="V936" s="42"/>
      <c r="W936" s="42"/>
    </row>
    <row r="937">
      <c r="A937" s="9"/>
      <c r="B937" s="9"/>
      <c r="C937" s="9"/>
      <c r="D937" s="42"/>
      <c r="E937" s="103"/>
      <c r="F937" s="42"/>
      <c r="G937" s="9"/>
      <c r="H937" s="9"/>
      <c r="I937" s="9"/>
      <c r="J937" s="9"/>
      <c r="K937" s="42"/>
      <c r="L937" s="42"/>
      <c r="M937" s="42"/>
      <c r="N937" s="42"/>
      <c r="O937" s="42"/>
      <c r="P937" s="9"/>
      <c r="Q937" s="9"/>
      <c r="R937" s="42"/>
      <c r="S937" s="42"/>
      <c r="T937" s="42"/>
      <c r="U937" s="42"/>
      <c r="V937" s="42"/>
      <c r="W937" s="42"/>
    </row>
    <row r="938">
      <c r="A938" s="9"/>
      <c r="B938" s="9"/>
      <c r="C938" s="9"/>
      <c r="D938" s="42"/>
      <c r="E938" s="103"/>
      <c r="F938" s="42"/>
      <c r="G938" s="9"/>
      <c r="H938" s="9"/>
      <c r="I938" s="9"/>
      <c r="J938" s="9"/>
      <c r="K938" s="42"/>
      <c r="L938" s="42"/>
      <c r="M938" s="42"/>
      <c r="N938" s="42"/>
      <c r="O938" s="42"/>
      <c r="P938" s="9"/>
      <c r="Q938" s="9"/>
      <c r="R938" s="42"/>
      <c r="S938" s="42"/>
      <c r="T938" s="42"/>
      <c r="U938" s="42"/>
      <c r="V938" s="42"/>
      <c r="W938" s="42"/>
    </row>
    <row r="939">
      <c r="A939" s="9"/>
      <c r="B939" s="9"/>
      <c r="C939" s="9"/>
      <c r="D939" s="42"/>
      <c r="E939" s="103"/>
      <c r="F939" s="42"/>
      <c r="G939" s="9"/>
      <c r="H939" s="9"/>
      <c r="I939" s="9"/>
      <c r="J939" s="9"/>
      <c r="K939" s="42"/>
      <c r="L939" s="42"/>
      <c r="M939" s="42"/>
      <c r="N939" s="42"/>
      <c r="O939" s="42"/>
      <c r="P939" s="9"/>
      <c r="Q939" s="9"/>
      <c r="R939" s="42"/>
      <c r="S939" s="42"/>
      <c r="T939" s="42"/>
      <c r="U939" s="42"/>
      <c r="V939" s="42"/>
      <c r="W939" s="42"/>
    </row>
    <row r="940">
      <c r="A940" s="9"/>
      <c r="B940" s="9"/>
      <c r="C940" s="9"/>
      <c r="D940" s="42"/>
      <c r="E940" s="103"/>
      <c r="F940" s="42"/>
      <c r="G940" s="9"/>
      <c r="H940" s="9"/>
      <c r="I940" s="9"/>
      <c r="J940" s="9"/>
      <c r="K940" s="42"/>
      <c r="L940" s="42"/>
      <c r="M940" s="42"/>
      <c r="N940" s="42"/>
      <c r="O940" s="42"/>
      <c r="P940" s="9"/>
      <c r="Q940" s="9"/>
      <c r="R940" s="42"/>
      <c r="S940" s="42"/>
      <c r="T940" s="42"/>
      <c r="U940" s="42"/>
      <c r="V940" s="42"/>
      <c r="W940" s="42"/>
    </row>
    <row r="941">
      <c r="A941" s="9"/>
      <c r="B941" s="9"/>
      <c r="C941" s="9"/>
      <c r="D941" s="42"/>
      <c r="E941" s="103"/>
      <c r="F941" s="42"/>
      <c r="G941" s="9"/>
      <c r="H941" s="9"/>
      <c r="I941" s="9"/>
      <c r="J941" s="9"/>
      <c r="K941" s="42"/>
      <c r="L941" s="42"/>
      <c r="M941" s="42"/>
      <c r="N941" s="42"/>
      <c r="O941" s="42"/>
      <c r="P941" s="9"/>
      <c r="Q941" s="9"/>
      <c r="R941" s="42"/>
      <c r="S941" s="42"/>
      <c r="T941" s="42"/>
      <c r="U941" s="42"/>
      <c r="V941" s="42"/>
      <c r="W941" s="42"/>
    </row>
    <row r="942">
      <c r="A942" s="9"/>
      <c r="B942" s="9"/>
      <c r="C942" s="9"/>
      <c r="D942" s="42"/>
      <c r="E942" s="103"/>
      <c r="F942" s="42"/>
      <c r="G942" s="9"/>
      <c r="H942" s="9"/>
      <c r="I942" s="9"/>
      <c r="J942" s="9"/>
      <c r="K942" s="42"/>
      <c r="L942" s="42"/>
      <c r="M942" s="42"/>
      <c r="N942" s="42"/>
      <c r="O942" s="42"/>
      <c r="P942" s="9"/>
      <c r="Q942" s="9"/>
      <c r="R942" s="42"/>
      <c r="S942" s="42"/>
      <c r="T942" s="42"/>
      <c r="U942" s="42"/>
      <c r="V942" s="42"/>
      <c r="W942" s="42"/>
    </row>
    <row r="943">
      <c r="A943" s="9"/>
      <c r="B943" s="9"/>
      <c r="C943" s="9"/>
      <c r="D943" s="42"/>
      <c r="E943" s="103"/>
      <c r="F943" s="42"/>
      <c r="G943" s="9"/>
      <c r="H943" s="9"/>
      <c r="I943" s="9"/>
      <c r="J943" s="9"/>
      <c r="K943" s="42"/>
      <c r="L943" s="42"/>
      <c r="M943" s="42"/>
      <c r="N943" s="42"/>
      <c r="O943" s="42"/>
      <c r="P943" s="9"/>
      <c r="Q943" s="9"/>
      <c r="R943" s="42"/>
      <c r="S943" s="42"/>
      <c r="T943" s="42"/>
      <c r="U943" s="42"/>
      <c r="V943" s="42"/>
      <c r="W943" s="42"/>
    </row>
    <row r="944">
      <c r="A944" s="9"/>
      <c r="B944" s="9"/>
      <c r="C944" s="9"/>
      <c r="D944" s="42"/>
      <c r="E944" s="103"/>
      <c r="F944" s="42"/>
      <c r="G944" s="9"/>
      <c r="H944" s="9"/>
      <c r="I944" s="9"/>
      <c r="J944" s="9"/>
      <c r="K944" s="42"/>
      <c r="L944" s="42"/>
      <c r="M944" s="42"/>
      <c r="N944" s="42"/>
      <c r="O944" s="42"/>
      <c r="P944" s="9"/>
      <c r="Q944" s="9"/>
      <c r="R944" s="42"/>
      <c r="S944" s="42"/>
      <c r="T944" s="42"/>
      <c r="U944" s="42"/>
      <c r="V944" s="42"/>
      <c r="W944" s="42"/>
    </row>
    <row r="945">
      <c r="A945" s="9"/>
      <c r="B945" s="9"/>
      <c r="C945" s="9"/>
      <c r="D945" s="42"/>
      <c r="E945" s="103"/>
      <c r="F945" s="42"/>
      <c r="G945" s="9"/>
      <c r="H945" s="9"/>
      <c r="I945" s="9"/>
      <c r="J945" s="9"/>
      <c r="K945" s="42"/>
      <c r="L945" s="42"/>
      <c r="M945" s="42"/>
      <c r="N945" s="42"/>
      <c r="O945" s="42"/>
      <c r="P945" s="9"/>
      <c r="Q945" s="9"/>
      <c r="R945" s="42"/>
      <c r="S945" s="42"/>
      <c r="T945" s="42"/>
      <c r="U945" s="42"/>
      <c r="V945" s="42"/>
      <c r="W945" s="42"/>
    </row>
    <row r="946">
      <c r="A946" s="9"/>
      <c r="B946" s="9"/>
      <c r="C946" s="9"/>
      <c r="D946" s="42"/>
      <c r="E946" s="103"/>
      <c r="F946" s="42"/>
      <c r="G946" s="9"/>
      <c r="H946" s="9"/>
      <c r="I946" s="9"/>
      <c r="J946" s="9"/>
      <c r="K946" s="42"/>
      <c r="L946" s="42"/>
      <c r="M946" s="42"/>
      <c r="N946" s="42"/>
      <c r="O946" s="42"/>
      <c r="P946" s="9"/>
      <c r="Q946" s="9"/>
      <c r="R946" s="42"/>
      <c r="S946" s="42"/>
      <c r="T946" s="42"/>
      <c r="U946" s="42"/>
      <c r="V946" s="42"/>
      <c r="W946" s="42"/>
    </row>
    <row r="947">
      <c r="A947" s="9"/>
      <c r="B947" s="9"/>
      <c r="C947" s="9"/>
      <c r="D947" s="42"/>
      <c r="E947" s="103"/>
      <c r="F947" s="42"/>
      <c r="G947" s="9"/>
      <c r="H947" s="9"/>
      <c r="I947" s="9"/>
      <c r="J947" s="9"/>
      <c r="K947" s="42"/>
      <c r="L947" s="42"/>
      <c r="M947" s="42"/>
      <c r="N947" s="42"/>
      <c r="O947" s="42"/>
      <c r="P947" s="9"/>
      <c r="Q947" s="9"/>
      <c r="R947" s="42"/>
      <c r="S947" s="42"/>
      <c r="T947" s="42"/>
      <c r="U947" s="42"/>
      <c r="V947" s="42"/>
      <c r="W947" s="42"/>
    </row>
    <row r="948">
      <c r="A948" s="9"/>
      <c r="B948" s="9"/>
      <c r="C948" s="9"/>
      <c r="D948" s="42"/>
      <c r="E948" s="103"/>
      <c r="F948" s="42"/>
      <c r="G948" s="9"/>
      <c r="H948" s="9"/>
      <c r="I948" s="9"/>
      <c r="J948" s="9"/>
      <c r="K948" s="42"/>
      <c r="L948" s="42"/>
      <c r="M948" s="42"/>
      <c r="N948" s="42"/>
      <c r="O948" s="42"/>
      <c r="P948" s="9"/>
      <c r="Q948" s="9"/>
      <c r="R948" s="42"/>
      <c r="S948" s="42"/>
      <c r="T948" s="42"/>
      <c r="U948" s="42"/>
      <c r="V948" s="42"/>
      <c r="W948" s="42"/>
    </row>
    <row r="949">
      <c r="A949" s="9"/>
      <c r="B949" s="9"/>
      <c r="C949" s="9"/>
      <c r="D949" s="42"/>
      <c r="E949" s="103"/>
      <c r="F949" s="42"/>
      <c r="G949" s="9"/>
      <c r="H949" s="9"/>
      <c r="I949" s="9"/>
      <c r="J949" s="9"/>
      <c r="K949" s="42"/>
      <c r="L949" s="42"/>
      <c r="M949" s="42"/>
      <c r="N949" s="42"/>
      <c r="O949" s="42"/>
      <c r="P949" s="9"/>
      <c r="Q949" s="9"/>
      <c r="R949" s="42"/>
      <c r="S949" s="42"/>
      <c r="T949" s="42"/>
      <c r="U949" s="42"/>
      <c r="V949" s="42"/>
      <c r="W949" s="42"/>
    </row>
    <row r="950">
      <c r="A950" s="9"/>
      <c r="B950" s="9"/>
      <c r="C950" s="9"/>
      <c r="D950" s="42"/>
      <c r="E950" s="103"/>
      <c r="F950" s="42"/>
      <c r="G950" s="9"/>
      <c r="H950" s="9"/>
      <c r="I950" s="9"/>
      <c r="J950" s="9"/>
      <c r="K950" s="42"/>
      <c r="L950" s="42"/>
      <c r="M950" s="42"/>
      <c r="N950" s="42"/>
      <c r="O950" s="42"/>
      <c r="P950" s="9"/>
      <c r="Q950" s="9"/>
      <c r="R950" s="42"/>
      <c r="S950" s="42"/>
      <c r="T950" s="42"/>
      <c r="U950" s="42"/>
      <c r="V950" s="42"/>
      <c r="W950" s="42"/>
    </row>
    <row r="951">
      <c r="A951" s="9"/>
      <c r="B951" s="9"/>
      <c r="C951" s="9"/>
      <c r="D951" s="42"/>
      <c r="E951" s="103"/>
      <c r="F951" s="42"/>
      <c r="G951" s="9"/>
      <c r="H951" s="9"/>
      <c r="I951" s="9"/>
      <c r="J951" s="9"/>
      <c r="K951" s="42"/>
      <c r="L951" s="42"/>
      <c r="M951" s="42"/>
      <c r="N951" s="42"/>
      <c r="O951" s="42"/>
      <c r="P951" s="9"/>
      <c r="Q951" s="9"/>
      <c r="R951" s="42"/>
      <c r="S951" s="42"/>
      <c r="T951" s="42"/>
      <c r="U951" s="42"/>
      <c r="V951" s="42"/>
      <c r="W951" s="42"/>
    </row>
    <row r="952">
      <c r="A952" s="9"/>
      <c r="B952" s="9"/>
      <c r="C952" s="9"/>
      <c r="D952" s="42"/>
      <c r="E952" s="103"/>
      <c r="F952" s="42"/>
      <c r="G952" s="9"/>
      <c r="H952" s="9"/>
      <c r="I952" s="9"/>
      <c r="J952" s="9"/>
      <c r="K952" s="42"/>
      <c r="L952" s="42"/>
      <c r="M952" s="42"/>
      <c r="N952" s="42"/>
      <c r="O952" s="42"/>
      <c r="P952" s="9"/>
      <c r="Q952" s="9"/>
      <c r="R952" s="42"/>
      <c r="S952" s="42"/>
      <c r="T952" s="42"/>
      <c r="U952" s="42"/>
      <c r="V952" s="42"/>
      <c r="W952" s="42"/>
    </row>
    <row r="953">
      <c r="A953" s="9"/>
      <c r="B953" s="9"/>
      <c r="C953" s="9"/>
      <c r="D953" s="42"/>
      <c r="E953" s="103"/>
      <c r="F953" s="42"/>
      <c r="G953" s="9"/>
      <c r="H953" s="9"/>
      <c r="I953" s="9"/>
      <c r="J953" s="9"/>
      <c r="K953" s="42"/>
      <c r="L953" s="42"/>
      <c r="M953" s="42"/>
      <c r="N953" s="42"/>
      <c r="O953" s="42"/>
      <c r="P953" s="9"/>
      <c r="Q953" s="9"/>
      <c r="R953" s="42"/>
      <c r="S953" s="42"/>
      <c r="T953" s="42"/>
      <c r="U953" s="42"/>
      <c r="V953" s="42"/>
      <c r="W953" s="42"/>
    </row>
    <row r="954">
      <c r="A954" s="9"/>
      <c r="B954" s="9"/>
      <c r="C954" s="9"/>
      <c r="D954" s="42"/>
      <c r="E954" s="103"/>
      <c r="F954" s="42"/>
      <c r="G954" s="9"/>
      <c r="H954" s="9"/>
      <c r="I954" s="9"/>
      <c r="J954" s="9"/>
      <c r="K954" s="42"/>
      <c r="L954" s="42"/>
      <c r="M954" s="42"/>
      <c r="N954" s="42"/>
      <c r="O954" s="42"/>
      <c r="P954" s="9"/>
      <c r="Q954" s="9"/>
      <c r="R954" s="42"/>
      <c r="S954" s="42"/>
      <c r="T954" s="42"/>
      <c r="U954" s="42"/>
      <c r="V954" s="42"/>
      <c r="W954" s="42"/>
    </row>
    <row r="955">
      <c r="A955" s="9"/>
      <c r="B955" s="9"/>
      <c r="C955" s="9"/>
      <c r="D955" s="42"/>
      <c r="E955" s="103"/>
      <c r="F955" s="42"/>
      <c r="G955" s="9"/>
      <c r="H955" s="9"/>
      <c r="I955" s="9"/>
      <c r="J955" s="9"/>
      <c r="K955" s="42"/>
      <c r="L955" s="42"/>
      <c r="M955" s="42"/>
      <c r="N955" s="42"/>
      <c r="O955" s="42"/>
      <c r="P955" s="9"/>
      <c r="Q955" s="9"/>
      <c r="R955" s="42"/>
      <c r="S955" s="42"/>
      <c r="T955" s="42"/>
      <c r="U955" s="42"/>
      <c r="V955" s="42"/>
      <c r="W955" s="42"/>
    </row>
    <row r="956">
      <c r="A956" s="9"/>
      <c r="B956" s="9"/>
      <c r="C956" s="9"/>
      <c r="D956" s="42"/>
      <c r="E956" s="103"/>
      <c r="F956" s="42"/>
      <c r="G956" s="9"/>
      <c r="H956" s="9"/>
      <c r="I956" s="9"/>
      <c r="J956" s="9"/>
      <c r="K956" s="42"/>
      <c r="L956" s="42"/>
      <c r="M956" s="42"/>
      <c r="N956" s="42"/>
      <c r="O956" s="42"/>
      <c r="P956" s="9"/>
      <c r="Q956" s="9"/>
      <c r="R956" s="42"/>
      <c r="S956" s="42"/>
      <c r="T956" s="42"/>
      <c r="U956" s="42"/>
      <c r="V956" s="42"/>
      <c r="W956" s="42"/>
    </row>
    <row r="957">
      <c r="A957" s="9"/>
      <c r="B957" s="9"/>
      <c r="C957" s="9"/>
      <c r="D957" s="42"/>
      <c r="E957" s="103"/>
      <c r="F957" s="42"/>
      <c r="G957" s="9"/>
      <c r="H957" s="9"/>
      <c r="I957" s="9"/>
      <c r="J957" s="9"/>
      <c r="K957" s="42"/>
      <c r="L957" s="42"/>
      <c r="M957" s="42"/>
      <c r="N957" s="42"/>
      <c r="O957" s="42"/>
      <c r="P957" s="9"/>
      <c r="Q957" s="9"/>
      <c r="R957" s="42"/>
      <c r="S957" s="42"/>
      <c r="T957" s="42"/>
      <c r="U957" s="42"/>
      <c r="V957" s="42"/>
      <c r="W957" s="42"/>
    </row>
    <row r="958">
      <c r="A958" s="9"/>
      <c r="B958" s="9"/>
      <c r="C958" s="9"/>
      <c r="D958" s="42"/>
      <c r="E958" s="103"/>
      <c r="F958" s="42"/>
      <c r="G958" s="9"/>
      <c r="H958" s="9"/>
      <c r="I958" s="9"/>
      <c r="J958" s="9"/>
      <c r="K958" s="42"/>
      <c r="L958" s="42"/>
      <c r="M958" s="42"/>
      <c r="N958" s="42"/>
      <c r="O958" s="42"/>
      <c r="P958" s="9"/>
      <c r="Q958" s="9"/>
      <c r="R958" s="42"/>
      <c r="S958" s="42"/>
      <c r="T958" s="42"/>
      <c r="U958" s="42"/>
      <c r="V958" s="42"/>
      <c r="W958" s="42"/>
    </row>
    <row r="959">
      <c r="A959" s="9"/>
      <c r="B959" s="9"/>
      <c r="C959" s="9"/>
      <c r="D959" s="42"/>
      <c r="E959" s="103"/>
      <c r="F959" s="42"/>
      <c r="G959" s="9"/>
      <c r="H959" s="9"/>
      <c r="I959" s="9"/>
      <c r="J959" s="9"/>
      <c r="K959" s="42"/>
      <c r="L959" s="42"/>
      <c r="M959" s="42"/>
      <c r="N959" s="42"/>
      <c r="O959" s="42"/>
      <c r="P959" s="9"/>
      <c r="Q959" s="9"/>
      <c r="R959" s="42"/>
      <c r="S959" s="42"/>
      <c r="T959" s="42"/>
      <c r="U959" s="42"/>
      <c r="V959" s="42"/>
      <c r="W959" s="42"/>
    </row>
    <row r="960">
      <c r="A960" s="9"/>
      <c r="B960" s="9"/>
      <c r="C960" s="9"/>
      <c r="D960" s="42"/>
      <c r="E960" s="103"/>
      <c r="F960" s="42"/>
      <c r="G960" s="9"/>
      <c r="H960" s="9"/>
      <c r="I960" s="9"/>
      <c r="J960" s="9"/>
      <c r="K960" s="42"/>
      <c r="L960" s="42"/>
      <c r="M960" s="42"/>
      <c r="N960" s="42"/>
      <c r="O960" s="42"/>
      <c r="P960" s="9"/>
      <c r="Q960" s="9"/>
      <c r="R960" s="42"/>
      <c r="S960" s="42"/>
      <c r="T960" s="42"/>
      <c r="U960" s="42"/>
      <c r="V960" s="42"/>
      <c r="W960" s="42"/>
    </row>
    <row r="961">
      <c r="A961" s="9"/>
      <c r="B961" s="9"/>
      <c r="C961" s="9"/>
      <c r="D961" s="42"/>
      <c r="E961" s="103"/>
      <c r="F961" s="42"/>
      <c r="G961" s="9"/>
      <c r="H961" s="9"/>
      <c r="I961" s="9"/>
      <c r="J961" s="9"/>
      <c r="K961" s="42"/>
      <c r="L961" s="42"/>
      <c r="M961" s="42"/>
      <c r="N961" s="42"/>
      <c r="O961" s="42"/>
      <c r="P961" s="9"/>
      <c r="Q961" s="9"/>
      <c r="R961" s="42"/>
      <c r="S961" s="42"/>
      <c r="T961" s="42"/>
      <c r="U961" s="42"/>
      <c r="V961" s="42"/>
      <c r="W961" s="42"/>
    </row>
    <row r="962">
      <c r="A962" s="9"/>
      <c r="B962" s="9"/>
      <c r="C962" s="9"/>
      <c r="D962" s="42"/>
      <c r="E962" s="103"/>
      <c r="F962" s="42"/>
      <c r="G962" s="9"/>
      <c r="H962" s="9"/>
      <c r="I962" s="9"/>
      <c r="J962" s="9"/>
      <c r="K962" s="42"/>
      <c r="L962" s="42"/>
      <c r="M962" s="42"/>
      <c r="N962" s="42"/>
      <c r="O962" s="42"/>
      <c r="P962" s="9"/>
      <c r="Q962" s="9"/>
      <c r="R962" s="42"/>
      <c r="S962" s="42"/>
      <c r="T962" s="42"/>
      <c r="U962" s="42"/>
      <c r="V962" s="42"/>
      <c r="W962" s="42"/>
    </row>
    <row r="963">
      <c r="A963" s="9"/>
      <c r="B963" s="9"/>
      <c r="C963" s="9"/>
      <c r="D963" s="42"/>
      <c r="E963" s="103"/>
      <c r="F963" s="42"/>
      <c r="G963" s="9"/>
      <c r="H963" s="9"/>
      <c r="I963" s="9"/>
      <c r="J963" s="9"/>
      <c r="K963" s="42"/>
      <c r="L963" s="42"/>
      <c r="M963" s="42"/>
      <c r="N963" s="42"/>
      <c r="O963" s="42"/>
      <c r="P963" s="9"/>
      <c r="Q963" s="9"/>
      <c r="R963" s="42"/>
      <c r="S963" s="42"/>
      <c r="T963" s="42"/>
      <c r="U963" s="42"/>
      <c r="V963" s="42"/>
      <c r="W963" s="42"/>
    </row>
    <row r="964">
      <c r="A964" s="9"/>
      <c r="B964" s="9"/>
      <c r="C964" s="9"/>
      <c r="D964" s="42"/>
      <c r="E964" s="103"/>
      <c r="F964" s="42"/>
      <c r="G964" s="9"/>
      <c r="H964" s="9"/>
      <c r="I964" s="9"/>
      <c r="J964" s="9"/>
      <c r="K964" s="42"/>
      <c r="L964" s="42"/>
      <c r="M964" s="42"/>
      <c r="N964" s="42"/>
      <c r="O964" s="42"/>
      <c r="P964" s="9"/>
      <c r="Q964" s="9"/>
      <c r="R964" s="42"/>
      <c r="S964" s="42"/>
      <c r="T964" s="42"/>
      <c r="U964" s="42"/>
      <c r="V964" s="42"/>
      <c r="W964" s="42"/>
    </row>
    <row r="965">
      <c r="A965" s="9"/>
      <c r="B965" s="9"/>
      <c r="C965" s="9"/>
      <c r="D965" s="42"/>
      <c r="E965" s="103"/>
      <c r="F965" s="42"/>
      <c r="G965" s="9"/>
      <c r="H965" s="9"/>
      <c r="I965" s="9"/>
      <c r="J965" s="9"/>
      <c r="K965" s="42"/>
      <c r="L965" s="42"/>
      <c r="M965" s="42"/>
      <c r="N965" s="42"/>
      <c r="O965" s="42"/>
      <c r="P965" s="9"/>
      <c r="Q965" s="9"/>
      <c r="R965" s="42"/>
      <c r="S965" s="42"/>
      <c r="T965" s="42"/>
      <c r="U965" s="42"/>
      <c r="V965" s="42"/>
      <c r="W965" s="42"/>
    </row>
    <row r="966">
      <c r="A966" s="9"/>
      <c r="B966" s="9"/>
      <c r="C966" s="9"/>
      <c r="D966" s="42"/>
      <c r="E966" s="103"/>
      <c r="F966" s="42"/>
      <c r="G966" s="9"/>
      <c r="H966" s="9"/>
      <c r="I966" s="9"/>
      <c r="J966" s="9"/>
      <c r="K966" s="42"/>
      <c r="L966" s="42"/>
      <c r="M966" s="42"/>
      <c r="N966" s="42"/>
      <c r="O966" s="42"/>
      <c r="P966" s="9"/>
      <c r="Q966" s="9"/>
      <c r="R966" s="42"/>
      <c r="S966" s="42"/>
      <c r="T966" s="42"/>
      <c r="U966" s="42"/>
      <c r="V966" s="42"/>
      <c r="W966" s="42"/>
    </row>
    <row r="967">
      <c r="A967" s="9"/>
      <c r="B967" s="9"/>
      <c r="C967" s="9"/>
      <c r="D967" s="42"/>
      <c r="E967" s="103"/>
      <c r="F967" s="42"/>
      <c r="G967" s="9"/>
      <c r="H967" s="9"/>
      <c r="I967" s="9"/>
      <c r="J967" s="9"/>
      <c r="K967" s="42"/>
      <c r="L967" s="42"/>
      <c r="M967" s="42"/>
      <c r="N967" s="42"/>
      <c r="O967" s="42"/>
      <c r="P967" s="9"/>
      <c r="Q967" s="9"/>
      <c r="R967" s="42"/>
      <c r="S967" s="42"/>
      <c r="T967" s="42"/>
      <c r="U967" s="42"/>
      <c r="V967" s="42"/>
      <c r="W967" s="42"/>
    </row>
    <row r="968">
      <c r="A968" s="9"/>
      <c r="B968" s="9"/>
      <c r="C968" s="9"/>
      <c r="D968" s="42"/>
      <c r="E968" s="103"/>
      <c r="F968" s="42"/>
      <c r="G968" s="9"/>
      <c r="H968" s="9"/>
      <c r="I968" s="9"/>
      <c r="J968" s="9"/>
      <c r="K968" s="42"/>
      <c r="L968" s="42"/>
      <c r="M968" s="42"/>
      <c r="N968" s="42"/>
      <c r="O968" s="42"/>
      <c r="P968" s="9"/>
      <c r="Q968" s="9"/>
      <c r="R968" s="42"/>
      <c r="S968" s="42"/>
      <c r="T968" s="42"/>
      <c r="U968" s="42"/>
      <c r="V968" s="42"/>
      <c r="W968" s="42"/>
    </row>
    <row r="969">
      <c r="A969" s="9"/>
      <c r="B969" s="9"/>
      <c r="C969" s="9"/>
      <c r="D969" s="42"/>
      <c r="E969" s="103"/>
      <c r="F969" s="42"/>
      <c r="G969" s="9"/>
      <c r="H969" s="9"/>
      <c r="I969" s="9"/>
      <c r="J969" s="9"/>
      <c r="K969" s="42"/>
      <c r="L969" s="42"/>
      <c r="M969" s="42"/>
      <c r="N969" s="42"/>
      <c r="O969" s="42"/>
      <c r="P969" s="9"/>
      <c r="Q969" s="9"/>
      <c r="R969" s="42"/>
      <c r="S969" s="42"/>
      <c r="T969" s="42"/>
      <c r="U969" s="42"/>
      <c r="V969" s="42"/>
      <c r="W969" s="42"/>
    </row>
    <row r="970">
      <c r="A970" s="9"/>
      <c r="B970" s="9"/>
      <c r="C970" s="9"/>
      <c r="D970" s="42"/>
      <c r="E970" s="103"/>
      <c r="F970" s="42"/>
      <c r="G970" s="9"/>
      <c r="H970" s="9"/>
      <c r="I970" s="9"/>
      <c r="J970" s="9"/>
      <c r="K970" s="42"/>
      <c r="L970" s="42"/>
      <c r="M970" s="42"/>
      <c r="N970" s="42"/>
      <c r="O970" s="42"/>
      <c r="P970" s="9"/>
      <c r="Q970" s="9"/>
      <c r="R970" s="42"/>
      <c r="S970" s="42"/>
      <c r="T970" s="42"/>
      <c r="U970" s="42"/>
      <c r="V970" s="42"/>
      <c r="W970" s="42"/>
    </row>
    <row r="971">
      <c r="A971" s="9"/>
      <c r="B971" s="9"/>
      <c r="C971" s="9"/>
      <c r="D971" s="42"/>
      <c r="E971" s="103"/>
      <c r="F971" s="42"/>
      <c r="G971" s="9"/>
      <c r="H971" s="9"/>
      <c r="I971" s="9"/>
      <c r="J971" s="9"/>
      <c r="K971" s="42"/>
      <c r="L971" s="42"/>
      <c r="M971" s="42"/>
      <c r="N971" s="42"/>
      <c r="O971" s="42"/>
      <c r="P971" s="9"/>
      <c r="Q971" s="9"/>
      <c r="R971" s="42"/>
      <c r="S971" s="42"/>
      <c r="T971" s="42"/>
      <c r="U971" s="42"/>
      <c r="V971" s="42"/>
      <c r="W971" s="42"/>
    </row>
    <row r="972">
      <c r="A972" s="9"/>
      <c r="B972" s="9"/>
      <c r="C972" s="9"/>
      <c r="D972" s="42"/>
      <c r="E972" s="103"/>
      <c r="F972" s="42"/>
      <c r="G972" s="9"/>
      <c r="H972" s="9"/>
      <c r="I972" s="9"/>
      <c r="J972" s="9"/>
      <c r="K972" s="42"/>
      <c r="L972" s="42"/>
      <c r="M972" s="42"/>
      <c r="N972" s="42"/>
      <c r="O972" s="42"/>
      <c r="P972" s="9"/>
      <c r="Q972" s="9"/>
      <c r="R972" s="42"/>
      <c r="S972" s="42"/>
      <c r="T972" s="42"/>
      <c r="U972" s="42"/>
      <c r="V972" s="42"/>
      <c r="W972" s="42"/>
    </row>
    <row r="973">
      <c r="A973" s="9"/>
      <c r="B973" s="9"/>
      <c r="C973" s="9"/>
      <c r="D973" s="42"/>
      <c r="E973" s="103"/>
      <c r="F973" s="42"/>
      <c r="G973" s="9"/>
      <c r="H973" s="9"/>
      <c r="I973" s="9"/>
      <c r="J973" s="9"/>
      <c r="K973" s="42"/>
      <c r="L973" s="42"/>
      <c r="M973" s="42"/>
      <c r="N973" s="42"/>
      <c r="O973" s="42"/>
      <c r="P973" s="9"/>
      <c r="Q973" s="9"/>
      <c r="R973" s="42"/>
      <c r="S973" s="42"/>
      <c r="T973" s="42"/>
      <c r="U973" s="42"/>
      <c r="V973" s="42"/>
      <c r="W973" s="42"/>
    </row>
    <row r="974">
      <c r="A974" s="9"/>
      <c r="B974" s="9"/>
      <c r="C974" s="9"/>
      <c r="D974" s="42"/>
      <c r="E974" s="103"/>
      <c r="F974" s="42"/>
      <c r="G974" s="9"/>
      <c r="H974" s="9"/>
      <c r="I974" s="9"/>
      <c r="J974" s="9"/>
      <c r="K974" s="42"/>
      <c r="L974" s="42"/>
      <c r="M974" s="42"/>
      <c r="N974" s="42"/>
      <c r="O974" s="42"/>
      <c r="P974" s="9"/>
      <c r="Q974" s="9"/>
      <c r="R974" s="42"/>
      <c r="S974" s="42"/>
      <c r="T974" s="42"/>
      <c r="U974" s="42"/>
      <c r="V974" s="42"/>
      <c r="W974" s="42"/>
    </row>
    <row r="975">
      <c r="A975" s="9"/>
      <c r="B975" s="9"/>
      <c r="C975" s="9"/>
      <c r="D975" s="42"/>
      <c r="E975" s="103"/>
      <c r="F975" s="42"/>
      <c r="G975" s="9"/>
      <c r="H975" s="9"/>
      <c r="I975" s="9"/>
      <c r="J975" s="9"/>
      <c r="K975" s="42"/>
      <c r="L975" s="42"/>
      <c r="M975" s="42"/>
      <c r="N975" s="42"/>
      <c r="O975" s="42"/>
      <c r="P975" s="9"/>
      <c r="Q975" s="9"/>
      <c r="R975" s="42"/>
      <c r="S975" s="42"/>
      <c r="T975" s="42"/>
      <c r="U975" s="42"/>
      <c r="V975" s="42"/>
      <c r="W975" s="42"/>
    </row>
    <row r="976">
      <c r="A976" s="9"/>
      <c r="B976" s="9"/>
      <c r="C976" s="9"/>
      <c r="D976" s="42"/>
      <c r="E976" s="103"/>
      <c r="F976" s="42"/>
      <c r="G976" s="9"/>
      <c r="H976" s="9"/>
      <c r="I976" s="9"/>
      <c r="J976" s="9"/>
      <c r="K976" s="42"/>
      <c r="L976" s="42"/>
      <c r="M976" s="42"/>
      <c r="N976" s="42"/>
      <c r="O976" s="42"/>
      <c r="P976" s="9"/>
      <c r="Q976" s="9"/>
      <c r="R976" s="42"/>
      <c r="S976" s="42"/>
      <c r="T976" s="42"/>
      <c r="U976" s="42"/>
      <c r="V976" s="42"/>
      <c r="W976" s="42"/>
    </row>
    <row r="977">
      <c r="A977" s="9"/>
      <c r="B977" s="9"/>
      <c r="C977" s="9"/>
      <c r="D977" s="42"/>
      <c r="E977" s="103"/>
      <c r="F977" s="42"/>
      <c r="G977" s="9"/>
      <c r="H977" s="9"/>
      <c r="I977" s="9"/>
      <c r="J977" s="9"/>
      <c r="K977" s="42"/>
      <c r="L977" s="42"/>
      <c r="M977" s="42"/>
      <c r="N977" s="42"/>
      <c r="O977" s="42"/>
      <c r="P977" s="9"/>
      <c r="Q977" s="9"/>
      <c r="R977" s="42"/>
      <c r="S977" s="42"/>
      <c r="T977" s="42"/>
      <c r="U977" s="42"/>
      <c r="V977" s="42"/>
      <c r="W977" s="42"/>
    </row>
    <row r="978">
      <c r="A978" s="9"/>
      <c r="B978" s="9"/>
      <c r="C978" s="9"/>
      <c r="D978" s="42"/>
      <c r="E978" s="103"/>
      <c r="F978" s="42"/>
      <c r="G978" s="9"/>
      <c r="H978" s="9"/>
      <c r="I978" s="9"/>
      <c r="J978" s="9"/>
      <c r="K978" s="42"/>
      <c r="L978" s="42"/>
      <c r="M978" s="42"/>
      <c r="N978" s="42"/>
      <c r="O978" s="42"/>
      <c r="P978" s="9"/>
      <c r="Q978" s="9"/>
      <c r="R978" s="42"/>
      <c r="S978" s="42"/>
      <c r="T978" s="42"/>
      <c r="U978" s="42"/>
      <c r="V978" s="42"/>
      <c r="W978" s="42"/>
    </row>
    <row r="979">
      <c r="A979" s="9"/>
      <c r="B979" s="9"/>
      <c r="C979" s="9"/>
      <c r="D979" s="42"/>
      <c r="E979" s="103"/>
      <c r="F979" s="42"/>
      <c r="G979" s="9"/>
      <c r="H979" s="9"/>
      <c r="I979" s="9"/>
      <c r="J979" s="9"/>
      <c r="K979" s="42"/>
      <c r="L979" s="42"/>
      <c r="M979" s="42"/>
      <c r="N979" s="42"/>
      <c r="O979" s="42"/>
      <c r="P979" s="9"/>
      <c r="Q979" s="9"/>
      <c r="R979" s="42"/>
      <c r="S979" s="42"/>
      <c r="T979" s="42"/>
      <c r="U979" s="42"/>
      <c r="V979" s="42"/>
      <c r="W979" s="42"/>
    </row>
    <row r="980">
      <c r="A980" s="9"/>
      <c r="B980" s="9"/>
      <c r="C980" s="9"/>
      <c r="D980" s="42"/>
      <c r="E980" s="103"/>
      <c r="F980" s="42"/>
      <c r="G980" s="9"/>
      <c r="H980" s="9"/>
      <c r="I980" s="9"/>
      <c r="J980" s="9"/>
      <c r="K980" s="42"/>
      <c r="L980" s="42"/>
      <c r="M980" s="42"/>
      <c r="N980" s="42"/>
      <c r="O980" s="42"/>
      <c r="P980" s="9"/>
      <c r="Q980" s="9"/>
      <c r="R980" s="42"/>
      <c r="S980" s="42"/>
      <c r="T980" s="42"/>
      <c r="U980" s="42"/>
      <c r="V980" s="42"/>
      <c r="W980" s="42"/>
    </row>
    <row r="981">
      <c r="A981" s="9"/>
      <c r="B981" s="9"/>
      <c r="C981" s="9"/>
      <c r="D981" s="42"/>
      <c r="E981" s="103"/>
      <c r="F981" s="42"/>
      <c r="G981" s="9"/>
      <c r="H981" s="9"/>
      <c r="I981" s="9"/>
      <c r="J981" s="9"/>
      <c r="K981" s="42"/>
      <c r="L981" s="42"/>
      <c r="M981" s="42"/>
      <c r="N981" s="42"/>
      <c r="O981" s="42"/>
      <c r="P981" s="9"/>
      <c r="Q981" s="9"/>
      <c r="R981" s="42"/>
      <c r="S981" s="42"/>
      <c r="T981" s="42"/>
      <c r="U981" s="42"/>
      <c r="V981" s="42"/>
      <c r="W981" s="42"/>
    </row>
    <row r="982">
      <c r="A982" s="9"/>
      <c r="B982" s="9"/>
      <c r="C982" s="9"/>
      <c r="D982" s="42"/>
      <c r="E982" s="103"/>
      <c r="F982" s="42"/>
      <c r="G982" s="9"/>
      <c r="H982" s="9"/>
      <c r="I982" s="9"/>
      <c r="J982" s="9"/>
      <c r="K982" s="42"/>
      <c r="L982" s="42"/>
      <c r="M982" s="42"/>
      <c r="N982" s="42"/>
      <c r="O982" s="42"/>
      <c r="P982" s="9"/>
      <c r="Q982" s="9"/>
      <c r="R982" s="42"/>
      <c r="S982" s="42"/>
      <c r="T982" s="42"/>
      <c r="U982" s="42"/>
      <c r="V982" s="42"/>
      <c r="W982" s="42"/>
    </row>
    <row r="983">
      <c r="A983" s="9"/>
      <c r="B983" s="9"/>
      <c r="C983" s="9"/>
      <c r="D983" s="42"/>
      <c r="E983" s="103"/>
      <c r="F983" s="42"/>
      <c r="G983" s="9"/>
      <c r="H983" s="9"/>
      <c r="I983" s="9"/>
      <c r="J983" s="9"/>
      <c r="K983" s="42"/>
      <c r="L983" s="42"/>
      <c r="M983" s="42"/>
      <c r="N983" s="42"/>
      <c r="O983" s="42"/>
      <c r="P983" s="9"/>
      <c r="Q983" s="9"/>
      <c r="R983" s="42"/>
      <c r="S983" s="42"/>
      <c r="T983" s="42"/>
      <c r="U983" s="42"/>
      <c r="V983" s="42"/>
      <c r="W983" s="42"/>
    </row>
    <row r="984">
      <c r="A984" s="9"/>
      <c r="B984" s="9"/>
      <c r="C984" s="9"/>
      <c r="D984" s="42"/>
      <c r="E984" s="103"/>
      <c r="F984" s="42"/>
      <c r="G984" s="9"/>
      <c r="H984" s="9"/>
      <c r="I984" s="9"/>
      <c r="J984" s="9"/>
      <c r="K984" s="42"/>
      <c r="L984" s="42"/>
      <c r="M984" s="42"/>
      <c r="N984" s="42"/>
      <c r="O984" s="42"/>
      <c r="P984" s="9"/>
      <c r="Q984" s="9"/>
      <c r="R984" s="42"/>
      <c r="S984" s="42"/>
      <c r="T984" s="42"/>
      <c r="U984" s="42"/>
      <c r="V984" s="42"/>
      <c r="W984" s="42"/>
    </row>
    <row r="985">
      <c r="A985" s="9"/>
      <c r="B985" s="9"/>
      <c r="C985" s="9"/>
      <c r="D985" s="42"/>
      <c r="E985" s="103"/>
      <c r="F985" s="42"/>
      <c r="G985" s="9"/>
      <c r="H985" s="9"/>
      <c r="I985" s="9"/>
      <c r="J985" s="9"/>
      <c r="K985" s="42"/>
      <c r="L985" s="42"/>
      <c r="M985" s="42"/>
      <c r="N985" s="42"/>
      <c r="O985" s="42"/>
      <c r="P985" s="9"/>
      <c r="Q985" s="9"/>
      <c r="R985" s="42"/>
      <c r="S985" s="42"/>
      <c r="T985" s="42"/>
      <c r="U985" s="42"/>
      <c r="V985" s="42"/>
      <c r="W985" s="42"/>
    </row>
    <row r="986">
      <c r="A986" s="9"/>
      <c r="B986" s="9"/>
      <c r="C986" s="9"/>
      <c r="D986" s="42"/>
      <c r="E986" s="103"/>
      <c r="F986" s="42"/>
      <c r="G986" s="9"/>
      <c r="H986" s="9"/>
      <c r="I986" s="9"/>
      <c r="J986" s="9"/>
      <c r="K986" s="42"/>
      <c r="L986" s="42"/>
      <c r="M986" s="42"/>
      <c r="N986" s="42"/>
      <c r="O986" s="42"/>
      <c r="P986" s="9"/>
      <c r="Q986" s="9"/>
      <c r="R986" s="42"/>
      <c r="S986" s="42"/>
      <c r="T986" s="42"/>
      <c r="U986" s="42"/>
      <c r="V986" s="42"/>
      <c r="W986" s="42"/>
    </row>
    <row r="987">
      <c r="A987" s="9"/>
      <c r="B987" s="9"/>
      <c r="C987" s="9"/>
      <c r="D987" s="42"/>
      <c r="E987" s="103"/>
      <c r="F987" s="42"/>
      <c r="G987" s="9"/>
      <c r="H987" s="9"/>
      <c r="I987" s="9"/>
      <c r="J987" s="9"/>
      <c r="K987" s="42"/>
      <c r="L987" s="42"/>
      <c r="M987" s="42"/>
      <c r="N987" s="42"/>
      <c r="O987" s="42"/>
      <c r="P987" s="9"/>
      <c r="Q987" s="9"/>
      <c r="R987" s="42"/>
      <c r="S987" s="42"/>
      <c r="T987" s="42"/>
      <c r="U987" s="42"/>
      <c r="V987" s="42"/>
      <c r="W987" s="42"/>
    </row>
    <row r="988">
      <c r="A988" s="9"/>
      <c r="B988" s="9"/>
      <c r="C988" s="9"/>
      <c r="D988" s="42"/>
      <c r="E988" s="103"/>
      <c r="F988" s="42"/>
      <c r="G988" s="9"/>
      <c r="H988" s="9"/>
      <c r="I988" s="9"/>
      <c r="J988" s="9"/>
      <c r="K988" s="42"/>
      <c r="L988" s="42"/>
      <c r="M988" s="42"/>
      <c r="N988" s="42"/>
      <c r="O988" s="42"/>
      <c r="P988" s="9"/>
      <c r="Q988" s="9"/>
      <c r="R988" s="42"/>
      <c r="S988" s="42"/>
      <c r="T988" s="42"/>
      <c r="U988" s="42"/>
      <c r="V988" s="42"/>
      <c r="W988" s="42"/>
    </row>
    <row r="989">
      <c r="A989" s="9"/>
      <c r="B989" s="9"/>
      <c r="C989" s="9"/>
      <c r="D989" s="42"/>
      <c r="E989" s="103"/>
      <c r="F989" s="42"/>
      <c r="G989" s="9"/>
      <c r="H989" s="9"/>
      <c r="I989" s="9"/>
      <c r="J989" s="9"/>
      <c r="K989" s="42"/>
      <c r="L989" s="42"/>
      <c r="M989" s="42"/>
      <c r="N989" s="42"/>
      <c r="O989" s="42"/>
      <c r="P989" s="9"/>
      <c r="Q989" s="9"/>
      <c r="R989" s="42"/>
      <c r="S989" s="42"/>
      <c r="T989" s="42"/>
      <c r="U989" s="42"/>
      <c r="V989" s="42"/>
      <c r="W989" s="42"/>
    </row>
    <row r="990">
      <c r="A990" s="9"/>
      <c r="B990" s="9"/>
      <c r="C990" s="9"/>
      <c r="D990" s="42"/>
      <c r="E990" s="103"/>
      <c r="F990" s="42"/>
      <c r="G990" s="9"/>
      <c r="H990" s="9"/>
      <c r="I990" s="9"/>
      <c r="J990" s="9"/>
      <c r="K990" s="42"/>
      <c r="L990" s="42"/>
      <c r="M990" s="42"/>
      <c r="N990" s="42"/>
      <c r="O990" s="42"/>
      <c r="P990" s="9"/>
      <c r="Q990" s="9"/>
      <c r="R990" s="42"/>
      <c r="S990" s="42"/>
      <c r="T990" s="42"/>
      <c r="U990" s="42"/>
      <c r="V990" s="42"/>
      <c r="W990" s="42"/>
    </row>
    <row r="991">
      <c r="A991" s="9"/>
      <c r="B991" s="9"/>
      <c r="C991" s="9"/>
      <c r="D991" s="42"/>
      <c r="E991" s="103"/>
      <c r="F991" s="42"/>
      <c r="G991" s="9"/>
      <c r="H991" s="9"/>
      <c r="I991" s="9"/>
      <c r="J991" s="9"/>
      <c r="K991" s="42"/>
      <c r="L991" s="42"/>
      <c r="M991" s="42"/>
      <c r="N991" s="42"/>
      <c r="O991" s="42"/>
      <c r="P991" s="9"/>
      <c r="Q991" s="9"/>
      <c r="R991" s="42"/>
      <c r="S991" s="42"/>
      <c r="T991" s="42"/>
      <c r="U991" s="42"/>
      <c r="V991" s="42"/>
      <c r="W991" s="42"/>
    </row>
    <row r="992">
      <c r="A992" s="9"/>
      <c r="B992" s="9"/>
      <c r="C992" s="9"/>
      <c r="D992" s="42"/>
      <c r="E992" s="103"/>
      <c r="F992" s="42"/>
      <c r="G992" s="9"/>
      <c r="H992" s="9"/>
      <c r="I992" s="9"/>
      <c r="J992" s="9"/>
      <c r="K992" s="42"/>
      <c r="L992" s="42"/>
      <c r="M992" s="42"/>
      <c r="N992" s="42"/>
      <c r="O992" s="42"/>
      <c r="P992" s="9"/>
      <c r="Q992" s="9"/>
      <c r="R992" s="42"/>
      <c r="S992" s="42"/>
      <c r="T992" s="42"/>
      <c r="U992" s="42"/>
      <c r="V992" s="42"/>
      <c r="W992" s="42"/>
    </row>
    <row r="993">
      <c r="A993" s="9"/>
      <c r="B993" s="9"/>
      <c r="C993" s="9"/>
      <c r="D993" s="42"/>
      <c r="E993" s="103"/>
      <c r="F993" s="42"/>
      <c r="G993" s="9"/>
      <c r="H993" s="9"/>
      <c r="I993" s="9"/>
      <c r="J993" s="9"/>
      <c r="K993" s="42"/>
      <c r="L993" s="42"/>
      <c r="M993" s="42"/>
      <c r="N993" s="42"/>
      <c r="O993" s="42"/>
      <c r="P993" s="9"/>
      <c r="Q993" s="9"/>
      <c r="R993" s="42"/>
      <c r="S993" s="42"/>
      <c r="T993" s="42"/>
      <c r="U993" s="42"/>
      <c r="V993" s="42"/>
      <c r="W993" s="42"/>
    </row>
    <row r="994">
      <c r="A994" s="9"/>
      <c r="B994" s="9"/>
      <c r="C994" s="9"/>
      <c r="D994" s="42"/>
      <c r="E994" s="103"/>
      <c r="F994" s="42"/>
      <c r="G994" s="9"/>
      <c r="H994" s="9"/>
      <c r="I994" s="9"/>
      <c r="J994" s="9"/>
      <c r="K994" s="42"/>
      <c r="L994" s="42"/>
      <c r="M994" s="42"/>
      <c r="N994" s="42"/>
      <c r="O994" s="42"/>
      <c r="P994" s="9"/>
      <c r="Q994" s="9"/>
      <c r="R994" s="42"/>
      <c r="S994" s="42"/>
      <c r="T994" s="42"/>
      <c r="U994" s="42"/>
      <c r="V994" s="42"/>
      <c r="W994" s="42"/>
    </row>
    <row r="995">
      <c r="A995" s="9"/>
      <c r="B995" s="9"/>
      <c r="C995" s="9"/>
      <c r="D995" s="42"/>
      <c r="E995" s="103"/>
      <c r="F995" s="42"/>
      <c r="G995" s="9"/>
      <c r="H995" s="9"/>
      <c r="I995" s="9"/>
      <c r="J995" s="9"/>
      <c r="K995" s="42"/>
      <c r="L995" s="42"/>
      <c r="M995" s="42"/>
      <c r="N995" s="42"/>
      <c r="O995" s="42"/>
      <c r="P995" s="9"/>
      <c r="Q995" s="9"/>
      <c r="R995" s="42"/>
      <c r="S995" s="42"/>
      <c r="T995" s="42"/>
      <c r="U995" s="42"/>
      <c r="V995" s="42"/>
      <c r="W995" s="42"/>
    </row>
    <row r="996">
      <c r="A996" s="9"/>
      <c r="B996" s="9"/>
      <c r="C996" s="9"/>
      <c r="D996" s="42"/>
      <c r="E996" s="103"/>
      <c r="F996" s="42"/>
      <c r="G996" s="9"/>
      <c r="H996" s="9"/>
      <c r="I996" s="9"/>
      <c r="J996" s="9"/>
      <c r="K996" s="42"/>
      <c r="L996" s="42"/>
      <c r="M996" s="42"/>
      <c r="N996" s="42"/>
      <c r="O996" s="42"/>
      <c r="P996" s="9"/>
      <c r="Q996" s="9"/>
      <c r="R996" s="42"/>
      <c r="S996" s="42"/>
      <c r="T996" s="42"/>
      <c r="U996" s="42"/>
      <c r="V996" s="42"/>
      <c r="W996" s="42"/>
    </row>
    <row r="997">
      <c r="A997" s="9"/>
      <c r="B997" s="9"/>
      <c r="C997" s="9"/>
      <c r="D997" s="42"/>
      <c r="E997" s="103"/>
      <c r="F997" s="42"/>
      <c r="G997" s="9"/>
      <c r="H997" s="9"/>
      <c r="I997" s="9"/>
      <c r="J997" s="9"/>
      <c r="K997" s="42"/>
      <c r="L997" s="42"/>
      <c r="M997" s="42"/>
      <c r="N997" s="42"/>
      <c r="O997" s="42"/>
      <c r="P997" s="9"/>
      <c r="Q997" s="9"/>
      <c r="R997" s="42"/>
      <c r="S997" s="42"/>
      <c r="T997" s="42"/>
      <c r="U997" s="42"/>
      <c r="V997" s="42"/>
      <c r="W997" s="42"/>
    </row>
    <row r="998">
      <c r="A998" s="9"/>
      <c r="B998" s="9"/>
      <c r="C998" s="9"/>
      <c r="D998" s="42"/>
      <c r="E998" s="103"/>
      <c r="F998" s="42"/>
      <c r="G998" s="9"/>
      <c r="H998" s="9"/>
      <c r="I998" s="9"/>
      <c r="J998" s="9"/>
      <c r="K998" s="42"/>
      <c r="L998" s="42"/>
      <c r="M998" s="42"/>
      <c r="N998" s="42"/>
      <c r="O998" s="42"/>
      <c r="P998" s="9"/>
      <c r="Q998" s="9"/>
      <c r="R998" s="42"/>
      <c r="S998" s="42"/>
      <c r="T998" s="42"/>
      <c r="U998" s="42"/>
      <c r="V998" s="42"/>
      <c r="W998" s="42"/>
    </row>
    <row r="999">
      <c r="A999" s="9"/>
      <c r="B999" s="9"/>
      <c r="C999" s="9"/>
      <c r="D999" s="42"/>
      <c r="E999" s="103"/>
      <c r="F999" s="42"/>
      <c r="G999" s="9"/>
      <c r="H999" s="9"/>
      <c r="I999" s="9"/>
      <c r="J999" s="9"/>
      <c r="K999" s="42"/>
      <c r="L999" s="42"/>
      <c r="M999" s="42"/>
      <c r="N999" s="42"/>
      <c r="O999" s="42"/>
      <c r="P999" s="9"/>
      <c r="Q999" s="9"/>
      <c r="R999" s="42"/>
      <c r="S999" s="42"/>
      <c r="T999" s="42"/>
      <c r="U999" s="42"/>
      <c r="V999" s="42"/>
      <c r="W999" s="42"/>
    </row>
    <row r="1000">
      <c r="A1000" s="9"/>
      <c r="B1000" s="9"/>
      <c r="C1000" s="9"/>
      <c r="D1000" s="42"/>
      <c r="E1000" s="103"/>
      <c r="F1000" s="42"/>
      <c r="G1000" s="9"/>
      <c r="H1000" s="9"/>
      <c r="I1000" s="9"/>
      <c r="J1000" s="9"/>
      <c r="K1000" s="42"/>
      <c r="L1000" s="42"/>
      <c r="M1000" s="42"/>
      <c r="N1000" s="42"/>
      <c r="O1000" s="42"/>
      <c r="P1000" s="9"/>
      <c r="Q1000" s="9"/>
      <c r="R1000" s="42"/>
      <c r="S1000" s="42"/>
      <c r="T1000" s="42"/>
      <c r="U1000" s="42"/>
      <c r="V1000" s="42"/>
      <c r="W1000" s="42"/>
    </row>
    <row r="1001">
      <c r="A1001" s="9"/>
      <c r="B1001" s="9"/>
      <c r="C1001" s="9"/>
      <c r="D1001" s="42"/>
      <c r="E1001" s="103"/>
      <c r="F1001" s="42"/>
      <c r="G1001" s="9"/>
      <c r="H1001" s="9"/>
      <c r="I1001" s="9"/>
      <c r="J1001" s="9"/>
      <c r="K1001" s="42"/>
      <c r="L1001" s="42"/>
      <c r="M1001" s="42"/>
      <c r="N1001" s="42"/>
      <c r="O1001" s="42"/>
      <c r="P1001" s="9"/>
      <c r="Q1001" s="9"/>
      <c r="R1001" s="42"/>
      <c r="S1001" s="42"/>
      <c r="T1001" s="42"/>
      <c r="U1001" s="42"/>
      <c r="V1001" s="42"/>
      <c r="W1001" s="42"/>
    </row>
    <row r="1002">
      <c r="A1002" s="9"/>
      <c r="B1002" s="9"/>
      <c r="C1002" s="9"/>
      <c r="D1002" s="42"/>
      <c r="E1002" s="103"/>
      <c r="F1002" s="42"/>
      <c r="G1002" s="9"/>
      <c r="H1002" s="9"/>
      <c r="I1002" s="9"/>
      <c r="J1002" s="9"/>
      <c r="K1002" s="42"/>
      <c r="L1002" s="42"/>
      <c r="M1002" s="42"/>
      <c r="N1002" s="42"/>
      <c r="O1002" s="42"/>
      <c r="P1002" s="9"/>
      <c r="Q1002" s="9"/>
      <c r="R1002" s="42"/>
      <c r="S1002" s="42"/>
      <c r="T1002" s="42"/>
      <c r="U1002" s="42"/>
      <c r="V1002" s="42"/>
      <c r="W1002" s="42"/>
    </row>
    <row r="1003">
      <c r="A1003" s="9"/>
      <c r="B1003" s="9"/>
      <c r="C1003" s="9"/>
      <c r="D1003" s="42"/>
      <c r="E1003" s="103"/>
      <c r="F1003" s="42"/>
      <c r="G1003" s="9"/>
      <c r="H1003" s="9"/>
      <c r="I1003" s="9"/>
      <c r="J1003" s="9"/>
      <c r="K1003" s="42"/>
      <c r="L1003" s="42"/>
      <c r="M1003" s="42"/>
      <c r="N1003" s="42"/>
      <c r="O1003" s="42"/>
      <c r="P1003" s="9"/>
      <c r="Q1003" s="9"/>
      <c r="R1003" s="42"/>
      <c r="S1003" s="42"/>
      <c r="T1003" s="42"/>
      <c r="U1003" s="42"/>
      <c r="V1003" s="42"/>
      <c r="W1003" s="42"/>
    </row>
    <row r="1004">
      <c r="A1004" s="9"/>
      <c r="B1004" s="9"/>
      <c r="C1004" s="9"/>
      <c r="D1004" s="42"/>
      <c r="E1004" s="103"/>
      <c r="F1004" s="42"/>
      <c r="G1004" s="9"/>
      <c r="H1004" s="9"/>
      <c r="I1004" s="9"/>
      <c r="J1004" s="9"/>
      <c r="K1004" s="42"/>
      <c r="L1004" s="42"/>
      <c r="M1004" s="42"/>
      <c r="N1004" s="42"/>
      <c r="O1004" s="42"/>
      <c r="P1004" s="9"/>
      <c r="Q1004" s="9"/>
      <c r="R1004" s="42"/>
      <c r="S1004" s="42"/>
      <c r="T1004" s="42"/>
      <c r="U1004" s="42"/>
      <c r="V1004" s="42"/>
      <c r="W1004" s="42"/>
    </row>
    <row r="1005">
      <c r="A1005" s="9"/>
      <c r="B1005" s="9"/>
      <c r="C1005" s="9"/>
      <c r="D1005" s="42"/>
      <c r="E1005" s="103"/>
      <c r="F1005" s="42"/>
      <c r="G1005" s="9"/>
      <c r="H1005" s="9"/>
      <c r="I1005" s="9"/>
      <c r="J1005" s="9"/>
      <c r="K1005" s="42"/>
      <c r="L1005" s="42"/>
      <c r="M1005" s="42"/>
      <c r="N1005" s="42"/>
      <c r="O1005" s="42"/>
      <c r="P1005" s="9"/>
      <c r="Q1005" s="9"/>
      <c r="R1005" s="42"/>
      <c r="S1005" s="42"/>
      <c r="T1005" s="42"/>
      <c r="U1005" s="42"/>
      <c r="V1005" s="42"/>
      <c r="W1005" s="42"/>
    </row>
    <row r="1006">
      <c r="A1006" s="9"/>
      <c r="B1006" s="9"/>
      <c r="C1006" s="9"/>
      <c r="D1006" s="42"/>
      <c r="E1006" s="103"/>
      <c r="F1006" s="42"/>
      <c r="G1006" s="9"/>
      <c r="H1006" s="9"/>
      <c r="I1006" s="9"/>
      <c r="J1006" s="9"/>
      <c r="K1006" s="42"/>
      <c r="L1006" s="42"/>
      <c r="M1006" s="42"/>
      <c r="N1006" s="42"/>
      <c r="O1006" s="42"/>
      <c r="P1006" s="9"/>
      <c r="Q1006" s="9"/>
      <c r="R1006" s="42"/>
      <c r="S1006" s="42"/>
      <c r="T1006" s="42"/>
      <c r="U1006" s="42"/>
      <c r="V1006" s="42"/>
      <c r="W1006" s="42"/>
    </row>
    <row r="1007">
      <c r="A1007" s="9"/>
      <c r="B1007" s="9"/>
      <c r="C1007" s="9"/>
      <c r="D1007" s="42"/>
      <c r="E1007" s="103"/>
      <c r="F1007" s="42"/>
      <c r="G1007" s="9"/>
      <c r="H1007" s="9"/>
      <c r="I1007" s="9"/>
      <c r="J1007" s="9"/>
      <c r="K1007" s="42"/>
      <c r="L1007" s="42"/>
      <c r="M1007" s="42"/>
      <c r="N1007" s="42"/>
      <c r="O1007" s="42"/>
      <c r="P1007" s="9"/>
      <c r="Q1007" s="9"/>
      <c r="R1007" s="42"/>
      <c r="S1007" s="42"/>
      <c r="T1007" s="42"/>
      <c r="U1007" s="42"/>
      <c r="V1007" s="42"/>
      <c r="W1007" s="42"/>
    </row>
    <row r="1008">
      <c r="A1008" s="9"/>
      <c r="B1008" s="9"/>
      <c r="C1008" s="9"/>
      <c r="D1008" s="42"/>
      <c r="E1008" s="103"/>
      <c r="F1008" s="42"/>
      <c r="G1008" s="9"/>
      <c r="H1008" s="9"/>
      <c r="I1008" s="9"/>
      <c r="J1008" s="9"/>
      <c r="K1008" s="42"/>
      <c r="L1008" s="42"/>
      <c r="M1008" s="42"/>
      <c r="N1008" s="42"/>
      <c r="O1008" s="42"/>
      <c r="P1008" s="9"/>
      <c r="Q1008" s="9"/>
      <c r="R1008" s="42"/>
      <c r="S1008" s="42"/>
      <c r="T1008" s="42"/>
      <c r="U1008" s="42"/>
      <c r="V1008" s="42"/>
      <c r="W1008" s="42"/>
    </row>
    <row r="1009">
      <c r="A1009" s="9"/>
      <c r="B1009" s="9"/>
      <c r="C1009" s="9"/>
      <c r="D1009" s="42"/>
      <c r="E1009" s="103"/>
      <c r="F1009" s="42"/>
      <c r="G1009" s="9"/>
      <c r="H1009" s="9"/>
      <c r="I1009" s="9"/>
      <c r="J1009" s="9"/>
      <c r="K1009" s="42"/>
      <c r="L1009" s="42"/>
      <c r="M1009" s="42"/>
      <c r="N1009" s="42"/>
      <c r="O1009" s="42"/>
      <c r="P1009" s="9"/>
      <c r="Q1009" s="9"/>
      <c r="R1009" s="42"/>
      <c r="S1009" s="42"/>
      <c r="T1009" s="42"/>
      <c r="U1009" s="42"/>
      <c r="V1009" s="42"/>
      <c r="W1009" s="42"/>
    </row>
    <row r="1010">
      <c r="A1010" s="9"/>
      <c r="B1010" s="9"/>
      <c r="C1010" s="9"/>
      <c r="D1010" s="42"/>
      <c r="E1010" s="103"/>
      <c r="F1010" s="42"/>
      <c r="G1010" s="9"/>
      <c r="H1010" s="9"/>
      <c r="I1010" s="9"/>
      <c r="J1010" s="9"/>
      <c r="K1010" s="42"/>
      <c r="L1010" s="42"/>
      <c r="M1010" s="42"/>
      <c r="N1010" s="42"/>
      <c r="O1010" s="42"/>
      <c r="P1010" s="9"/>
      <c r="Q1010" s="9"/>
      <c r="R1010" s="42"/>
      <c r="S1010" s="42"/>
      <c r="T1010" s="42"/>
      <c r="U1010" s="42"/>
      <c r="V1010" s="42"/>
      <c r="W1010" s="42"/>
    </row>
    <row r="1011">
      <c r="A1011" s="9"/>
      <c r="B1011" s="9"/>
      <c r="C1011" s="9"/>
      <c r="D1011" s="42"/>
      <c r="E1011" s="103"/>
      <c r="F1011" s="42"/>
      <c r="G1011" s="9"/>
      <c r="H1011" s="9"/>
      <c r="I1011" s="9"/>
      <c r="J1011" s="9"/>
      <c r="K1011" s="42"/>
      <c r="L1011" s="42"/>
      <c r="M1011" s="42"/>
      <c r="N1011" s="42"/>
      <c r="O1011" s="42"/>
      <c r="P1011" s="9"/>
      <c r="Q1011" s="9"/>
      <c r="R1011" s="42"/>
      <c r="S1011" s="42"/>
      <c r="T1011" s="42"/>
      <c r="U1011" s="42"/>
      <c r="V1011" s="42"/>
      <c r="W1011" s="42"/>
    </row>
    <row r="1012">
      <c r="A1012" s="9"/>
      <c r="B1012" s="9"/>
      <c r="C1012" s="9"/>
      <c r="D1012" s="42"/>
      <c r="E1012" s="103"/>
      <c r="F1012" s="42"/>
      <c r="G1012" s="9"/>
      <c r="H1012" s="9"/>
      <c r="I1012" s="9"/>
      <c r="J1012" s="9"/>
      <c r="K1012" s="42"/>
      <c r="L1012" s="42"/>
      <c r="M1012" s="42"/>
      <c r="N1012" s="42"/>
      <c r="O1012" s="42"/>
      <c r="P1012" s="9"/>
      <c r="Q1012" s="9"/>
      <c r="R1012" s="42"/>
      <c r="S1012" s="42"/>
      <c r="T1012" s="42"/>
      <c r="U1012" s="42"/>
      <c r="V1012" s="42"/>
      <c r="W1012" s="42"/>
    </row>
    <row r="1013">
      <c r="A1013" s="9"/>
      <c r="B1013" s="9"/>
      <c r="C1013" s="9"/>
      <c r="D1013" s="42"/>
      <c r="E1013" s="103"/>
      <c r="F1013" s="42"/>
      <c r="G1013" s="9"/>
      <c r="H1013" s="9"/>
      <c r="I1013" s="9"/>
      <c r="J1013" s="9"/>
      <c r="K1013" s="42"/>
      <c r="L1013" s="42"/>
      <c r="M1013" s="42"/>
      <c r="N1013" s="42"/>
      <c r="O1013" s="42"/>
      <c r="P1013" s="9"/>
      <c r="Q1013" s="9"/>
      <c r="R1013" s="42"/>
      <c r="S1013" s="42"/>
      <c r="T1013" s="42"/>
      <c r="U1013" s="42"/>
      <c r="V1013" s="42"/>
      <c r="W1013" s="42"/>
    </row>
    <row r="1014">
      <c r="A1014" s="9"/>
      <c r="B1014" s="9"/>
      <c r="C1014" s="9"/>
      <c r="D1014" s="42"/>
      <c r="E1014" s="103"/>
      <c r="F1014" s="42"/>
      <c r="G1014" s="9"/>
      <c r="H1014" s="9"/>
      <c r="I1014" s="9"/>
      <c r="J1014" s="9"/>
      <c r="K1014" s="42"/>
      <c r="L1014" s="42"/>
      <c r="M1014" s="42"/>
      <c r="N1014" s="42"/>
      <c r="O1014" s="42"/>
      <c r="P1014" s="9"/>
      <c r="Q1014" s="9"/>
      <c r="R1014" s="42"/>
      <c r="S1014" s="42"/>
      <c r="T1014" s="42"/>
      <c r="U1014" s="42"/>
      <c r="V1014" s="42"/>
      <c r="W1014" s="42"/>
    </row>
    <row r="1015">
      <c r="A1015" s="9"/>
      <c r="B1015" s="9"/>
      <c r="C1015" s="9"/>
      <c r="D1015" s="42"/>
      <c r="E1015" s="103"/>
      <c r="F1015" s="42"/>
      <c r="G1015" s="9"/>
      <c r="H1015" s="9"/>
      <c r="I1015" s="9"/>
      <c r="J1015" s="9"/>
      <c r="K1015" s="42"/>
      <c r="L1015" s="42"/>
      <c r="M1015" s="42"/>
      <c r="N1015" s="42"/>
      <c r="O1015" s="42"/>
      <c r="P1015" s="9"/>
      <c r="Q1015" s="9"/>
      <c r="R1015" s="42"/>
      <c r="S1015" s="42"/>
      <c r="T1015" s="42"/>
      <c r="U1015" s="42"/>
      <c r="V1015" s="42"/>
      <c r="W1015" s="42"/>
    </row>
    <row r="1016">
      <c r="A1016" s="9"/>
      <c r="B1016" s="9"/>
      <c r="C1016" s="9"/>
      <c r="D1016" s="42"/>
      <c r="E1016" s="103"/>
      <c r="F1016" s="42"/>
      <c r="G1016" s="9"/>
      <c r="H1016" s="9"/>
      <c r="I1016" s="9"/>
      <c r="J1016" s="9"/>
      <c r="K1016" s="42"/>
      <c r="L1016" s="42"/>
      <c r="M1016" s="42"/>
      <c r="N1016" s="42"/>
      <c r="O1016" s="42"/>
      <c r="P1016" s="9"/>
      <c r="Q1016" s="9"/>
      <c r="R1016" s="42"/>
      <c r="S1016" s="42"/>
      <c r="T1016" s="42"/>
      <c r="U1016" s="42"/>
      <c r="V1016" s="42"/>
      <c r="W1016" s="42"/>
    </row>
    <row r="1017">
      <c r="A1017" s="9"/>
      <c r="B1017" s="9"/>
      <c r="C1017" s="9"/>
      <c r="D1017" s="42"/>
      <c r="E1017" s="103"/>
      <c r="F1017" s="42"/>
      <c r="G1017" s="9"/>
      <c r="H1017" s="9"/>
      <c r="I1017" s="9"/>
      <c r="J1017" s="9"/>
      <c r="K1017" s="42"/>
      <c r="L1017" s="42"/>
      <c r="M1017" s="42"/>
      <c r="N1017" s="42"/>
      <c r="O1017" s="42"/>
      <c r="P1017" s="9"/>
      <c r="Q1017" s="9"/>
      <c r="R1017" s="42"/>
      <c r="S1017" s="42"/>
      <c r="T1017" s="42"/>
      <c r="U1017" s="42"/>
      <c r="V1017" s="42"/>
      <c r="W1017" s="42"/>
    </row>
    <row r="1018">
      <c r="A1018" s="9"/>
      <c r="B1018" s="9"/>
      <c r="C1018" s="9"/>
      <c r="D1018" s="42"/>
      <c r="E1018" s="103"/>
      <c r="F1018" s="42"/>
      <c r="G1018" s="9"/>
      <c r="H1018" s="9"/>
      <c r="I1018" s="9"/>
      <c r="J1018" s="9"/>
      <c r="K1018" s="42"/>
      <c r="L1018" s="42"/>
      <c r="M1018" s="42"/>
      <c r="N1018" s="42"/>
      <c r="O1018" s="42"/>
      <c r="P1018" s="9"/>
      <c r="Q1018" s="9"/>
      <c r="R1018" s="42"/>
      <c r="S1018" s="42"/>
      <c r="T1018" s="42"/>
      <c r="U1018" s="42"/>
      <c r="V1018" s="42"/>
      <c r="W1018" s="42"/>
    </row>
    <row r="1019">
      <c r="A1019" s="9"/>
      <c r="B1019" s="9"/>
      <c r="C1019" s="9"/>
      <c r="D1019" s="42"/>
      <c r="E1019" s="103"/>
      <c r="F1019" s="42"/>
      <c r="G1019" s="9"/>
      <c r="H1019" s="9"/>
      <c r="I1019" s="9"/>
      <c r="J1019" s="9"/>
      <c r="K1019" s="42"/>
      <c r="L1019" s="42"/>
      <c r="M1019" s="42"/>
      <c r="N1019" s="42"/>
      <c r="O1019" s="42"/>
      <c r="P1019" s="9"/>
      <c r="Q1019" s="9"/>
      <c r="R1019" s="42"/>
      <c r="S1019" s="42"/>
      <c r="T1019" s="42"/>
      <c r="U1019" s="42"/>
      <c r="V1019" s="42"/>
      <c r="W1019" s="42"/>
    </row>
    <row r="1020">
      <c r="A1020" s="9"/>
      <c r="B1020" s="9"/>
      <c r="C1020" s="9"/>
      <c r="D1020" s="42"/>
      <c r="E1020" s="103"/>
      <c r="F1020" s="42"/>
      <c r="G1020" s="9"/>
      <c r="H1020" s="9"/>
      <c r="I1020" s="9"/>
      <c r="J1020" s="9"/>
      <c r="K1020" s="42"/>
      <c r="L1020" s="42"/>
      <c r="M1020" s="42"/>
      <c r="N1020" s="42"/>
      <c r="O1020" s="42"/>
      <c r="P1020" s="9"/>
      <c r="Q1020" s="9"/>
      <c r="R1020" s="42"/>
      <c r="S1020" s="42"/>
      <c r="T1020" s="42"/>
      <c r="U1020" s="42"/>
      <c r="V1020" s="42"/>
      <c r="W1020" s="42"/>
    </row>
    <row r="1021">
      <c r="A1021" s="9"/>
      <c r="B1021" s="9"/>
      <c r="C1021" s="9"/>
      <c r="D1021" s="42"/>
      <c r="E1021" s="103"/>
      <c r="F1021" s="42"/>
      <c r="G1021" s="9"/>
      <c r="H1021" s="9"/>
      <c r="I1021" s="9"/>
      <c r="J1021" s="9"/>
      <c r="K1021" s="42"/>
      <c r="L1021" s="42"/>
      <c r="M1021" s="42"/>
      <c r="N1021" s="42"/>
      <c r="O1021" s="42"/>
      <c r="P1021" s="9"/>
      <c r="Q1021" s="9"/>
      <c r="R1021" s="42"/>
      <c r="S1021" s="42"/>
      <c r="T1021" s="42"/>
      <c r="U1021" s="42"/>
      <c r="V1021" s="42"/>
      <c r="W1021" s="42"/>
    </row>
    <row r="1022">
      <c r="A1022" s="9"/>
      <c r="B1022" s="9"/>
      <c r="C1022" s="9"/>
      <c r="D1022" s="42"/>
      <c r="E1022" s="103"/>
      <c r="F1022" s="42"/>
      <c r="G1022" s="9"/>
      <c r="H1022" s="9"/>
      <c r="I1022" s="9"/>
      <c r="J1022" s="9"/>
      <c r="K1022" s="42"/>
      <c r="L1022" s="42"/>
      <c r="M1022" s="42"/>
      <c r="N1022" s="42"/>
      <c r="O1022" s="42"/>
      <c r="P1022" s="9"/>
      <c r="Q1022" s="9"/>
      <c r="R1022" s="42"/>
      <c r="S1022" s="42"/>
      <c r="T1022" s="42"/>
      <c r="U1022" s="42"/>
      <c r="V1022" s="42"/>
      <c r="W1022" s="42"/>
    </row>
    <row r="1023">
      <c r="A1023" s="9"/>
      <c r="B1023" s="9"/>
      <c r="C1023" s="9"/>
      <c r="D1023" s="42"/>
      <c r="E1023" s="103"/>
      <c r="F1023" s="42"/>
      <c r="G1023" s="9"/>
      <c r="H1023" s="9"/>
      <c r="I1023" s="9"/>
      <c r="J1023" s="9"/>
      <c r="K1023" s="42"/>
      <c r="L1023" s="42"/>
      <c r="M1023" s="42"/>
      <c r="N1023" s="42"/>
      <c r="O1023" s="42"/>
      <c r="P1023" s="9"/>
      <c r="Q1023" s="9"/>
      <c r="R1023" s="42"/>
      <c r="S1023" s="42"/>
      <c r="T1023" s="42"/>
      <c r="U1023" s="42"/>
      <c r="V1023" s="42"/>
      <c r="W1023" s="42"/>
    </row>
    <row r="1024">
      <c r="A1024" s="9"/>
      <c r="B1024" s="9"/>
      <c r="C1024" s="9"/>
      <c r="D1024" s="42"/>
      <c r="E1024" s="103"/>
      <c r="F1024" s="42"/>
      <c r="G1024" s="9"/>
      <c r="H1024" s="9"/>
      <c r="I1024" s="9"/>
      <c r="J1024" s="9"/>
      <c r="K1024" s="42"/>
      <c r="L1024" s="42"/>
      <c r="M1024" s="42"/>
      <c r="N1024" s="42"/>
      <c r="O1024" s="42"/>
      <c r="P1024" s="9"/>
      <c r="Q1024" s="9"/>
      <c r="R1024" s="42"/>
      <c r="S1024" s="42"/>
      <c r="T1024" s="42"/>
      <c r="U1024" s="42"/>
      <c r="V1024" s="42"/>
      <c r="W1024" s="42"/>
    </row>
    <row r="1025">
      <c r="A1025" s="9"/>
      <c r="B1025" s="9"/>
      <c r="C1025" s="9"/>
      <c r="D1025" s="42"/>
      <c r="E1025" s="103"/>
      <c r="F1025" s="42"/>
      <c r="G1025" s="9"/>
      <c r="H1025" s="9"/>
      <c r="I1025" s="9"/>
      <c r="J1025" s="9"/>
      <c r="K1025" s="42"/>
      <c r="L1025" s="42"/>
      <c r="M1025" s="42"/>
      <c r="N1025" s="42"/>
      <c r="O1025" s="42"/>
      <c r="P1025" s="9"/>
      <c r="Q1025" s="9"/>
      <c r="R1025" s="42"/>
      <c r="S1025" s="42"/>
      <c r="T1025" s="42"/>
      <c r="U1025" s="42"/>
      <c r="V1025" s="42"/>
      <c r="W1025" s="42"/>
    </row>
    <row r="1026">
      <c r="A1026" s="9"/>
      <c r="B1026" s="9"/>
      <c r="C1026" s="9"/>
      <c r="D1026" s="42"/>
      <c r="E1026" s="103"/>
      <c r="F1026" s="42"/>
      <c r="G1026" s="9"/>
      <c r="H1026" s="9"/>
      <c r="I1026" s="9"/>
      <c r="J1026" s="9"/>
      <c r="K1026" s="42"/>
      <c r="L1026" s="42"/>
      <c r="M1026" s="42"/>
      <c r="N1026" s="42"/>
      <c r="O1026" s="42"/>
      <c r="P1026" s="9"/>
      <c r="Q1026" s="9"/>
      <c r="R1026" s="42"/>
      <c r="S1026" s="42"/>
      <c r="T1026" s="42"/>
      <c r="U1026" s="42"/>
      <c r="V1026" s="42"/>
      <c r="W1026" s="42"/>
    </row>
    <row r="1027">
      <c r="A1027" s="9"/>
      <c r="B1027" s="9"/>
      <c r="C1027" s="9"/>
      <c r="D1027" s="42"/>
      <c r="E1027" s="103"/>
      <c r="F1027" s="42"/>
      <c r="G1027" s="9"/>
      <c r="H1027" s="9"/>
      <c r="I1027" s="9"/>
      <c r="J1027" s="9"/>
      <c r="K1027" s="42"/>
      <c r="L1027" s="42"/>
      <c r="M1027" s="42"/>
      <c r="N1027" s="42"/>
      <c r="O1027" s="42"/>
      <c r="P1027" s="9"/>
      <c r="Q1027" s="9"/>
      <c r="R1027" s="42"/>
      <c r="S1027" s="42"/>
      <c r="T1027" s="42"/>
      <c r="U1027" s="42"/>
      <c r="V1027" s="42"/>
      <c r="W1027" s="42"/>
    </row>
    <row r="1028">
      <c r="A1028" s="9"/>
      <c r="B1028" s="9"/>
      <c r="C1028" s="9"/>
      <c r="D1028" s="42"/>
      <c r="E1028" s="103"/>
      <c r="F1028" s="42"/>
      <c r="G1028" s="9"/>
      <c r="H1028" s="9"/>
      <c r="I1028" s="9"/>
      <c r="J1028" s="9"/>
      <c r="K1028" s="42"/>
      <c r="L1028" s="42"/>
      <c r="M1028" s="42"/>
      <c r="N1028" s="42"/>
      <c r="O1028" s="42"/>
      <c r="P1028" s="9"/>
      <c r="Q1028" s="9"/>
      <c r="R1028" s="42"/>
      <c r="S1028" s="42"/>
      <c r="T1028" s="42"/>
      <c r="U1028" s="42"/>
      <c r="V1028" s="42"/>
      <c r="W1028" s="42"/>
    </row>
    <row r="1029">
      <c r="A1029" s="9"/>
      <c r="B1029" s="9"/>
      <c r="C1029" s="9"/>
      <c r="D1029" s="42"/>
      <c r="E1029" s="103"/>
      <c r="F1029" s="42"/>
      <c r="G1029" s="9"/>
      <c r="H1029" s="9"/>
      <c r="I1029" s="9"/>
      <c r="J1029" s="9"/>
      <c r="K1029" s="42"/>
      <c r="L1029" s="42"/>
      <c r="M1029" s="42"/>
      <c r="N1029" s="42"/>
      <c r="O1029" s="42"/>
      <c r="P1029" s="9"/>
      <c r="Q1029" s="9"/>
      <c r="R1029" s="42"/>
      <c r="S1029" s="42"/>
      <c r="T1029" s="42"/>
      <c r="U1029" s="42"/>
      <c r="V1029" s="42"/>
      <c r="W1029" s="42"/>
    </row>
    <row r="1030">
      <c r="A1030" s="9"/>
      <c r="B1030" s="9"/>
      <c r="C1030" s="9"/>
      <c r="D1030" s="42"/>
      <c r="E1030" s="103"/>
      <c r="F1030" s="42"/>
      <c r="G1030" s="9"/>
      <c r="H1030" s="9"/>
      <c r="I1030" s="9"/>
      <c r="J1030" s="9"/>
      <c r="K1030" s="42"/>
      <c r="L1030" s="42"/>
      <c r="M1030" s="42"/>
      <c r="N1030" s="42"/>
      <c r="O1030" s="42"/>
      <c r="P1030" s="9"/>
      <c r="Q1030" s="9"/>
      <c r="R1030" s="42"/>
      <c r="S1030" s="42"/>
      <c r="T1030" s="42"/>
      <c r="U1030" s="42"/>
      <c r="V1030" s="42"/>
      <c r="W1030" s="42"/>
    </row>
    <row r="1031">
      <c r="A1031" s="9"/>
      <c r="B1031" s="9"/>
      <c r="C1031" s="9"/>
      <c r="D1031" s="42"/>
      <c r="E1031" s="103"/>
      <c r="F1031" s="42"/>
      <c r="G1031" s="9"/>
      <c r="H1031" s="9"/>
      <c r="I1031" s="9"/>
      <c r="J1031" s="9"/>
      <c r="K1031" s="42"/>
      <c r="L1031" s="42"/>
      <c r="M1031" s="42"/>
      <c r="N1031" s="42"/>
      <c r="O1031" s="42"/>
      <c r="P1031" s="9"/>
      <c r="Q1031" s="9"/>
      <c r="R1031" s="42"/>
      <c r="S1031" s="42"/>
      <c r="T1031" s="42"/>
      <c r="U1031" s="42"/>
      <c r="V1031" s="42"/>
      <c r="W1031" s="42"/>
    </row>
    <row r="1032">
      <c r="A1032" s="9"/>
      <c r="B1032" s="9"/>
      <c r="C1032" s="9"/>
      <c r="D1032" s="42"/>
      <c r="E1032" s="103"/>
      <c r="F1032" s="42"/>
      <c r="G1032" s="9"/>
      <c r="H1032" s="9"/>
      <c r="I1032" s="9"/>
      <c r="J1032" s="9"/>
      <c r="K1032" s="42"/>
      <c r="L1032" s="42"/>
      <c r="M1032" s="42"/>
      <c r="N1032" s="42"/>
      <c r="O1032" s="42"/>
      <c r="P1032" s="9"/>
      <c r="Q1032" s="9"/>
      <c r="R1032" s="42"/>
      <c r="S1032" s="42"/>
      <c r="T1032" s="42"/>
      <c r="U1032" s="42"/>
      <c r="V1032" s="42"/>
      <c r="W1032" s="42"/>
    </row>
    <row r="1033">
      <c r="A1033" s="9"/>
      <c r="B1033" s="9"/>
      <c r="C1033" s="9"/>
      <c r="D1033" s="42"/>
      <c r="E1033" s="103"/>
      <c r="F1033" s="42"/>
      <c r="G1033" s="9"/>
      <c r="H1033" s="9"/>
      <c r="I1033" s="9"/>
      <c r="J1033" s="9"/>
      <c r="K1033" s="42"/>
      <c r="L1033" s="42"/>
      <c r="M1033" s="42"/>
      <c r="N1033" s="42"/>
      <c r="O1033" s="42"/>
      <c r="P1033" s="9"/>
      <c r="Q1033" s="9"/>
      <c r="R1033" s="42"/>
      <c r="S1033" s="42"/>
      <c r="T1033" s="42"/>
      <c r="U1033" s="42"/>
      <c r="V1033" s="42"/>
      <c r="W1033" s="42"/>
    </row>
    <row r="1034">
      <c r="A1034" s="9"/>
      <c r="B1034" s="9"/>
      <c r="C1034" s="9"/>
      <c r="D1034" s="42"/>
      <c r="E1034" s="103"/>
      <c r="F1034" s="42"/>
      <c r="G1034" s="9"/>
      <c r="H1034" s="9"/>
      <c r="I1034" s="9"/>
      <c r="J1034" s="9"/>
      <c r="K1034" s="42"/>
      <c r="L1034" s="42"/>
      <c r="M1034" s="42"/>
      <c r="N1034" s="42"/>
      <c r="O1034" s="42"/>
      <c r="P1034" s="9"/>
      <c r="Q1034" s="9"/>
      <c r="R1034" s="42"/>
      <c r="S1034" s="42"/>
      <c r="T1034" s="42"/>
      <c r="U1034" s="42"/>
      <c r="V1034" s="42"/>
      <c r="W1034" s="42"/>
    </row>
    <row r="1035">
      <c r="A1035" s="9"/>
      <c r="B1035" s="9"/>
      <c r="C1035" s="9"/>
      <c r="D1035" s="42"/>
      <c r="E1035" s="103"/>
      <c r="F1035" s="42"/>
      <c r="G1035" s="9"/>
      <c r="H1035" s="9"/>
      <c r="I1035" s="9"/>
      <c r="J1035" s="9"/>
      <c r="K1035" s="42"/>
      <c r="L1035" s="42"/>
      <c r="M1035" s="42"/>
      <c r="N1035" s="42"/>
      <c r="O1035" s="42"/>
      <c r="P1035" s="9"/>
      <c r="Q1035" s="9"/>
      <c r="R1035" s="42"/>
      <c r="S1035" s="42"/>
      <c r="T1035" s="42"/>
      <c r="U1035" s="42"/>
      <c r="V1035" s="42"/>
      <c r="W1035" s="42"/>
    </row>
    <row r="1036">
      <c r="A1036" s="9"/>
      <c r="B1036" s="9"/>
      <c r="C1036" s="9"/>
      <c r="D1036" s="42"/>
      <c r="E1036" s="103"/>
      <c r="F1036" s="42"/>
      <c r="G1036" s="9"/>
      <c r="H1036" s="9"/>
      <c r="I1036" s="9"/>
      <c r="J1036" s="9"/>
      <c r="K1036" s="42"/>
      <c r="L1036" s="42"/>
      <c r="M1036" s="42"/>
      <c r="N1036" s="42"/>
      <c r="O1036" s="42"/>
      <c r="P1036" s="9"/>
      <c r="Q1036" s="9"/>
      <c r="R1036" s="42"/>
      <c r="S1036" s="42"/>
      <c r="T1036" s="42"/>
      <c r="U1036" s="42"/>
      <c r="V1036" s="42"/>
      <c r="W1036" s="42"/>
    </row>
    <row r="1037">
      <c r="A1037" s="9"/>
      <c r="B1037" s="9"/>
      <c r="C1037" s="9"/>
      <c r="D1037" s="42"/>
      <c r="E1037" s="103"/>
      <c r="F1037" s="42"/>
      <c r="G1037" s="9"/>
      <c r="H1037" s="9"/>
      <c r="I1037" s="9"/>
      <c r="J1037" s="9"/>
      <c r="K1037" s="42"/>
      <c r="L1037" s="42"/>
      <c r="M1037" s="42"/>
      <c r="N1037" s="42"/>
      <c r="O1037" s="42"/>
      <c r="P1037" s="9"/>
      <c r="Q1037" s="9"/>
      <c r="R1037" s="42"/>
      <c r="S1037" s="42"/>
      <c r="T1037" s="42"/>
      <c r="U1037" s="42"/>
      <c r="V1037" s="42"/>
      <c r="W1037" s="42"/>
    </row>
    <row r="1038">
      <c r="A1038" s="9"/>
      <c r="B1038" s="9"/>
      <c r="C1038" s="9"/>
      <c r="D1038" s="42"/>
      <c r="E1038" s="103"/>
      <c r="F1038" s="42"/>
      <c r="G1038" s="9"/>
      <c r="H1038" s="9"/>
      <c r="I1038" s="9"/>
      <c r="J1038" s="9"/>
      <c r="K1038" s="42"/>
      <c r="L1038" s="42"/>
      <c r="M1038" s="42"/>
      <c r="N1038" s="42"/>
      <c r="O1038" s="42"/>
      <c r="P1038" s="9"/>
      <c r="Q1038" s="9"/>
      <c r="R1038" s="42"/>
      <c r="S1038" s="42"/>
      <c r="T1038" s="42"/>
      <c r="U1038" s="42"/>
      <c r="V1038" s="42"/>
      <c r="W1038" s="42"/>
    </row>
    <row r="1039">
      <c r="A1039" s="9"/>
      <c r="B1039" s="9"/>
      <c r="C1039" s="9"/>
      <c r="D1039" s="42"/>
      <c r="E1039" s="103"/>
      <c r="F1039" s="42"/>
      <c r="G1039" s="9"/>
      <c r="H1039" s="9"/>
      <c r="I1039" s="9"/>
      <c r="J1039" s="9"/>
      <c r="K1039" s="42"/>
      <c r="L1039" s="42"/>
      <c r="M1039" s="42"/>
      <c r="N1039" s="42"/>
      <c r="O1039" s="42"/>
      <c r="P1039" s="9"/>
      <c r="Q1039" s="9"/>
      <c r="R1039" s="42"/>
      <c r="S1039" s="42"/>
      <c r="T1039" s="42"/>
      <c r="U1039" s="42"/>
      <c r="V1039" s="42"/>
      <c r="W1039" s="42"/>
    </row>
    <row r="1040">
      <c r="A1040" s="9"/>
      <c r="B1040" s="9"/>
      <c r="C1040" s="9"/>
      <c r="D1040" s="42"/>
      <c r="E1040" s="103"/>
      <c r="F1040" s="42"/>
      <c r="G1040" s="9"/>
      <c r="H1040" s="9"/>
      <c r="I1040" s="9"/>
      <c r="J1040" s="9"/>
      <c r="K1040" s="42"/>
      <c r="L1040" s="42"/>
      <c r="M1040" s="42"/>
      <c r="N1040" s="42"/>
      <c r="O1040" s="42"/>
      <c r="P1040" s="9"/>
      <c r="Q1040" s="9"/>
      <c r="R1040" s="42"/>
      <c r="S1040" s="42"/>
      <c r="T1040" s="42"/>
      <c r="U1040" s="42"/>
      <c r="V1040" s="42"/>
      <c r="W1040" s="42"/>
    </row>
    <row r="1041">
      <c r="A1041" s="9"/>
      <c r="B1041" s="9"/>
      <c r="C1041" s="9"/>
      <c r="D1041" s="42"/>
      <c r="E1041" s="103"/>
      <c r="F1041" s="42"/>
      <c r="G1041" s="9"/>
      <c r="H1041" s="9"/>
      <c r="I1041" s="9"/>
      <c r="J1041" s="9"/>
      <c r="K1041" s="42"/>
      <c r="L1041" s="42"/>
      <c r="M1041" s="42"/>
      <c r="N1041" s="42"/>
      <c r="O1041" s="42"/>
      <c r="P1041" s="9"/>
      <c r="Q1041" s="9"/>
      <c r="R1041" s="42"/>
      <c r="S1041" s="42"/>
      <c r="T1041" s="42"/>
      <c r="U1041" s="42"/>
      <c r="V1041" s="42"/>
      <c r="W1041" s="42"/>
    </row>
    <row r="1042">
      <c r="A1042" s="9"/>
      <c r="B1042" s="9"/>
      <c r="C1042" s="9"/>
      <c r="D1042" s="42"/>
      <c r="E1042" s="103"/>
      <c r="F1042" s="42"/>
      <c r="G1042" s="9"/>
      <c r="H1042" s="9"/>
      <c r="I1042" s="9"/>
      <c r="J1042" s="9"/>
      <c r="K1042" s="42"/>
      <c r="L1042" s="42"/>
      <c r="M1042" s="42"/>
      <c r="N1042" s="42"/>
      <c r="O1042" s="42"/>
      <c r="P1042" s="9"/>
      <c r="Q1042" s="9"/>
      <c r="R1042" s="42"/>
      <c r="S1042" s="42"/>
      <c r="T1042" s="42"/>
      <c r="U1042" s="42"/>
      <c r="V1042" s="42"/>
      <c r="W1042" s="42"/>
    </row>
    <row r="1043">
      <c r="A1043" s="9"/>
      <c r="B1043" s="9"/>
      <c r="C1043" s="9"/>
      <c r="D1043" s="42"/>
      <c r="E1043" s="103"/>
      <c r="F1043" s="42"/>
      <c r="G1043" s="9"/>
      <c r="H1043" s="9"/>
      <c r="I1043" s="9"/>
      <c r="J1043" s="9"/>
      <c r="K1043" s="42"/>
      <c r="L1043" s="42"/>
      <c r="M1043" s="42"/>
      <c r="N1043" s="42"/>
      <c r="O1043" s="42"/>
      <c r="P1043" s="9"/>
      <c r="Q1043" s="9"/>
      <c r="R1043" s="42"/>
      <c r="S1043" s="42"/>
      <c r="T1043" s="42"/>
      <c r="U1043" s="42"/>
      <c r="V1043" s="42"/>
      <c r="W1043" s="42"/>
    </row>
    <row r="1044">
      <c r="A1044" s="9"/>
      <c r="B1044" s="9"/>
      <c r="C1044" s="9"/>
      <c r="D1044" s="42"/>
      <c r="E1044" s="103"/>
      <c r="F1044" s="42"/>
      <c r="G1044" s="9"/>
      <c r="H1044" s="9"/>
      <c r="I1044" s="9"/>
      <c r="J1044" s="9"/>
      <c r="K1044" s="42"/>
      <c r="L1044" s="42"/>
      <c r="M1044" s="42"/>
      <c r="N1044" s="42"/>
      <c r="O1044" s="42"/>
      <c r="P1044" s="9"/>
      <c r="Q1044" s="9"/>
      <c r="R1044" s="42"/>
      <c r="S1044" s="42"/>
      <c r="T1044" s="42"/>
      <c r="U1044" s="42"/>
      <c r="V1044" s="42"/>
      <c r="W1044" s="42"/>
    </row>
    <row r="1045">
      <c r="A1045" s="9"/>
      <c r="B1045" s="9"/>
      <c r="C1045" s="9"/>
      <c r="D1045" s="42"/>
      <c r="E1045" s="103"/>
      <c r="F1045" s="42"/>
      <c r="G1045" s="9"/>
      <c r="H1045" s="9"/>
      <c r="I1045" s="9"/>
      <c r="J1045" s="9"/>
      <c r="K1045" s="42"/>
      <c r="L1045" s="42"/>
      <c r="M1045" s="42"/>
      <c r="N1045" s="42"/>
      <c r="O1045" s="42"/>
      <c r="P1045" s="9"/>
      <c r="Q1045" s="9"/>
      <c r="R1045" s="42"/>
      <c r="S1045" s="42"/>
      <c r="T1045" s="42"/>
      <c r="U1045" s="42"/>
      <c r="V1045" s="42"/>
      <c r="W1045" s="42"/>
    </row>
    <row r="1046">
      <c r="A1046" s="9"/>
      <c r="B1046" s="9"/>
      <c r="C1046" s="9"/>
      <c r="D1046" s="42"/>
      <c r="E1046" s="103"/>
      <c r="F1046" s="42"/>
      <c r="G1046" s="9"/>
      <c r="H1046" s="9"/>
      <c r="I1046" s="9"/>
      <c r="J1046" s="9"/>
      <c r="K1046" s="42"/>
      <c r="L1046" s="42"/>
      <c r="M1046" s="42"/>
      <c r="N1046" s="42"/>
      <c r="O1046" s="42"/>
      <c r="P1046" s="9"/>
      <c r="Q1046" s="9"/>
      <c r="R1046" s="42"/>
      <c r="S1046" s="42"/>
      <c r="T1046" s="42"/>
      <c r="U1046" s="42"/>
      <c r="V1046" s="42"/>
      <c r="W1046" s="42"/>
    </row>
    <row r="1047">
      <c r="A1047" s="9"/>
      <c r="B1047" s="9"/>
      <c r="C1047" s="9"/>
      <c r="D1047" s="42"/>
      <c r="E1047" s="103"/>
      <c r="F1047" s="42"/>
      <c r="G1047" s="9"/>
      <c r="H1047" s="9"/>
      <c r="I1047" s="9"/>
      <c r="J1047" s="9"/>
      <c r="K1047" s="42"/>
      <c r="L1047" s="42"/>
      <c r="M1047" s="42"/>
      <c r="N1047" s="42"/>
      <c r="O1047" s="42"/>
      <c r="P1047" s="9"/>
      <c r="Q1047" s="9"/>
      <c r="R1047" s="42"/>
      <c r="S1047" s="42"/>
      <c r="T1047" s="42"/>
      <c r="U1047" s="42"/>
      <c r="V1047" s="42"/>
      <c r="W1047" s="42"/>
    </row>
    <row r="1048">
      <c r="A1048" s="9"/>
      <c r="B1048" s="9"/>
      <c r="C1048" s="9"/>
      <c r="D1048" s="42"/>
      <c r="E1048" s="103"/>
      <c r="F1048" s="42"/>
      <c r="G1048" s="9"/>
      <c r="H1048" s="9"/>
      <c r="I1048" s="9"/>
      <c r="J1048" s="9"/>
      <c r="K1048" s="42"/>
      <c r="L1048" s="42"/>
      <c r="M1048" s="42"/>
      <c r="N1048" s="42"/>
      <c r="O1048" s="42"/>
      <c r="P1048" s="9"/>
      <c r="Q1048" s="9"/>
      <c r="R1048" s="42"/>
      <c r="S1048" s="42"/>
      <c r="T1048" s="42"/>
      <c r="U1048" s="42"/>
      <c r="V1048" s="42"/>
      <c r="W1048" s="42"/>
    </row>
    <row r="1049">
      <c r="A1049" s="9"/>
      <c r="B1049" s="9"/>
      <c r="C1049" s="9"/>
      <c r="D1049" s="42"/>
      <c r="E1049" s="103"/>
      <c r="F1049" s="42"/>
      <c r="G1049" s="9"/>
      <c r="H1049" s="9"/>
      <c r="I1049" s="9"/>
      <c r="J1049" s="9"/>
      <c r="K1049" s="42"/>
      <c r="L1049" s="42"/>
      <c r="M1049" s="42"/>
      <c r="N1049" s="42"/>
      <c r="O1049" s="42"/>
      <c r="P1049" s="9"/>
      <c r="Q1049" s="9"/>
      <c r="R1049" s="42"/>
      <c r="S1049" s="42"/>
      <c r="T1049" s="42"/>
      <c r="U1049" s="42"/>
      <c r="V1049" s="42"/>
      <c r="W1049" s="42"/>
    </row>
    <row r="1050">
      <c r="A1050" s="9"/>
      <c r="B1050" s="9"/>
      <c r="C1050" s="9"/>
      <c r="D1050" s="42"/>
      <c r="E1050" s="103"/>
      <c r="F1050" s="42"/>
      <c r="G1050" s="9"/>
      <c r="H1050" s="9"/>
      <c r="I1050" s="9"/>
      <c r="J1050" s="9"/>
      <c r="K1050" s="42"/>
      <c r="L1050" s="42"/>
      <c r="M1050" s="42"/>
      <c r="N1050" s="42"/>
      <c r="O1050" s="42"/>
      <c r="P1050" s="9"/>
      <c r="Q1050" s="9"/>
      <c r="R1050" s="42"/>
      <c r="S1050" s="42"/>
      <c r="T1050" s="42"/>
      <c r="U1050" s="42"/>
      <c r="V1050" s="42"/>
      <c r="W1050" s="42"/>
    </row>
    <row r="1051">
      <c r="A1051" s="9"/>
      <c r="B1051" s="9"/>
      <c r="C1051" s="9"/>
      <c r="D1051" s="42"/>
      <c r="E1051" s="103"/>
      <c r="F1051" s="42"/>
      <c r="G1051" s="9"/>
      <c r="H1051" s="9"/>
      <c r="I1051" s="9"/>
      <c r="J1051" s="9"/>
      <c r="K1051" s="42"/>
      <c r="L1051" s="42"/>
      <c r="M1051" s="42"/>
      <c r="N1051" s="42"/>
      <c r="O1051" s="42"/>
      <c r="P1051" s="9"/>
      <c r="Q1051" s="9"/>
      <c r="R1051" s="42"/>
      <c r="S1051" s="42"/>
      <c r="T1051" s="42"/>
      <c r="U1051" s="42"/>
      <c r="V1051" s="42"/>
      <c r="W1051" s="42"/>
    </row>
    <row r="1052">
      <c r="A1052" s="9"/>
      <c r="B1052" s="9"/>
      <c r="C1052" s="9"/>
      <c r="D1052" s="42"/>
      <c r="E1052" s="103"/>
      <c r="F1052" s="42"/>
      <c r="G1052" s="9"/>
      <c r="H1052" s="9"/>
      <c r="I1052" s="9"/>
      <c r="J1052" s="9"/>
      <c r="K1052" s="42"/>
      <c r="L1052" s="42"/>
      <c r="M1052" s="42"/>
      <c r="N1052" s="42"/>
      <c r="O1052" s="42"/>
      <c r="P1052" s="9"/>
      <c r="Q1052" s="9"/>
      <c r="R1052" s="42"/>
      <c r="S1052" s="42"/>
      <c r="T1052" s="42"/>
      <c r="U1052" s="42"/>
      <c r="V1052" s="42"/>
      <c r="W1052" s="42"/>
    </row>
    <row r="1053">
      <c r="A1053" s="9"/>
      <c r="B1053" s="9"/>
      <c r="C1053" s="9"/>
      <c r="D1053" s="42"/>
      <c r="E1053" s="103"/>
      <c r="F1053" s="42"/>
      <c r="G1053" s="9"/>
      <c r="H1053" s="9"/>
      <c r="I1053" s="9"/>
      <c r="J1053" s="9"/>
      <c r="K1053" s="42"/>
      <c r="L1053" s="42"/>
      <c r="M1053" s="42"/>
      <c r="N1053" s="42"/>
      <c r="O1053" s="42"/>
      <c r="P1053" s="9"/>
      <c r="Q1053" s="9"/>
      <c r="R1053" s="42"/>
      <c r="S1053" s="42"/>
      <c r="T1053" s="42"/>
      <c r="U1053" s="42"/>
      <c r="V1053" s="42"/>
      <c r="W1053" s="42"/>
    </row>
    <row r="1054">
      <c r="A1054" s="9"/>
      <c r="B1054" s="9"/>
      <c r="C1054" s="9"/>
      <c r="D1054" s="42"/>
      <c r="E1054" s="103"/>
      <c r="F1054" s="42"/>
      <c r="G1054" s="9"/>
      <c r="H1054" s="9"/>
      <c r="I1054" s="9"/>
      <c r="J1054" s="9"/>
      <c r="K1054" s="42"/>
      <c r="L1054" s="42"/>
      <c r="M1054" s="42"/>
      <c r="N1054" s="42"/>
      <c r="O1054" s="42"/>
      <c r="P1054" s="9"/>
      <c r="Q1054" s="9"/>
      <c r="R1054" s="42"/>
      <c r="S1054" s="42"/>
      <c r="T1054" s="42"/>
      <c r="U1054" s="42"/>
      <c r="V1054" s="42"/>
      <c r="W1054" s="42"/>
    </row>
    <row r="1055">
      <c r="A1055" s="9"/>
      <c r="B1055" s="9"/>
      <c r="C1055" s="9"/>
      <c r="D1055" s="42"/>
      <c r="E1055" s="103"/>
      <c r="F1055" s="42"/>
      <c r="G1055" s="9"/>
      <c r="H1055" s="9"/>
      <c r="I1055" s="9"/>
      <c r="J1055" s="9"/>
      <c r="K1055" s="42"/>
      <c r="L1055" s="42"/>
      <c r="M1055" s="42"/>
      <c r="N1055" s="42"/>
      <c r="O1055" s="42"/>
      <c r="P1055" s="9"/>
      <c r="Q1055" s="9"/>
      <c r="R1055" s="42"/>
      <c r="S1055" s="42"/>
      <c r="T1055" s="42"/>
      <c r="U1055" s="42"/>
      <c r="V1055" s="42"/>
      <c r="W1055" s="42"/>
    </row>
    <row r="1056">
      <c r="A1056" s="9"/>
      <c r="B1056" s="9"/>
      <c r="C1056" s="9"/>
      <c r="D1056" s="42"/>
      <c r="E1056" s="103"/>
      <c r="F1056" s="42"/>
      <c r="G1056" s="9"/>
      <c r="H1056" s="9"/>
      <c r="I1056" s="9"/>
      <c r="J1056" s="9"/>
      <c r="K1056" s="42"/>
      <c r="L1056" s="42"/>
      <c r="M1056" s="42"/>
      <c r="N1056" s="42"/>
      <c r="O1056" s="42"/>
      <c r="P1056" s="9"/>
      <c r="Q1056" s="9"/>
      <c r="R1056" s="42"/>
      <c r="S1056" s="42"/>
      <c r="T1056" s="42"/>
      <c r="U1056" s="42"/>
      <c r="V1056" s="42"/>
      <c r="W1056" s="42"/>
    </row>
    <row r="1057">
      <c r="A1057" s="9"/>
      <c r="B1057" s="9"/>
      <c r="C1057" s="9"/>
      <c r="D1057" s="42"/>
      <c r="E1057" s="103"/>
      <c r="F1057" s="42"/>
      <c r="G1057" s="9"/>
      <c r="H1057" s="9"/>
      <c r="I1057" s="9"/>
      <c r="J1057" s="9"/>
      <c r="K1057" s="42"/>
      <c r="L1057" s="42"/>
      <c r="M1057" s="42"/>
      <c r="N1057" s="42"/>
      <c r="O1057" s="42"/>
      <c r="P1057" s="9"/>
      <c r="Q1057" s="9"/>
      <c r="R1057" s="42"/>
      <c r="S1057" s="42"/>
      <c r="T1057" s="42"/>
      <c r="U1057" s="42"/>
      <c r="V1057" s="42"/>
      <c r="W1057" s="42"/>
    </row>
    <row r="1058">
      <c r="A1058" s="9"/>
      <c r="B1058" s="9"/>
      <c r="C1058" s="9"/>
      <c r="D1058" s="42"/>
      <c r="E1058" s="103"/>
      <c r="F1058" s="42"/>
      <c r="G1058" s="9"/>
      <c r="H1058" s="9"/>
      <c r="I1058" s="9"/>
      <c r="J1058" s="9"/>
      <c r="K1058" s="42"/>
      <c r="L1058" s="42"/>
      <c r="M1058" s="42"/>
      <c r="N1058" s="42"/>
      <c r="O1058" s="42"/>
      <c r="P1058" s="9"/>
      <c r="Q1058" s="9"/>
      <c r="R1058" s="42"/>
      <c r="S1058" s="42"/>
      <c r="T1058" s="42"/>
      <c r="U1058" s="42"/>
      <c r="V1058" s="42"/>
      <c r="W1058" s="42"/>
    </row>
    <row r="1059">
      <c r="A1059" s="9"/>
      <c r="B1059" s="9"/>
      <c r="C1059" s="9"/>
      <c r="D1059" s="42"/>
      <c r="E1059" s="103"/>
      <c r="F1059" s="42"/>
      <c r="G1059" s="9"/>
      <c r="H1059" s="9"/>
      <c r="I1059" s="9"/>
      <c r="J1059" s="9"/>
      <c r="K1059" s="42"/>
      <c r="L1059" s="42"/>
      <c r="M1059" s="42"/>
      <c r="N1059" s="42"/>
      <c r="O1059" s="42"/>
      <c r="P1059" s="9"/>
      <c r="Q1059" s="9"/>
      <c r="R1059" s="42"/>
      <c r="S1059" s="42"/>
      <c r="T1059" s="42"/>
      <c r="U1059" s="42"/>
      <c r="V1059" s="42"/>
      <c r="W1059" s="42"/>
    </row>
    <row r="1060">
      <c r="A1060" s="9"/>
      <c r="B1060" s="9"/>
      <c r="C1060" s="9"/>
      <c r="D1060" s="42"/>
      <c r="E1060" s="103"/>
      <c r="F1060" s="42"/>
      <c r="G1060" s="9"/>
      <c r="H1060" s="9"/>
      <c r="I1060" s="9"/>
      <c r="J1060" s="9"/>
      <c r="K1060" s="42"/>
      <c r="L1060" s="42"/>
      <c r="M1060" s="42"/>
      <c r="N1060" s="42"/>
      <c r="O1060" s="42"/>
      <c r="P1060" s="9"/>
      <c r="Q1060" s="9"/>
      <c r="R1060" s="42"/>
      <c r="S1060" s="42"/>
      <c r="T1060" s="42"/>
      <c r="U1060" s="42"/>
      <c r="V1060" s="42"/>
      <c r="W1060" s="42"/>
    </row>
    <row r="1061">
      <c r="A1061" s="9"/>
      <c r="B1061" s="9"/>
      <c r="C1061" s="9"/>
      <c r="D1061" s="42"/>
      <c r="E1061" s="103"/>
      <c r="F1061" s="42"/>
      <c r="G1061" s="9"/>
      <c r="H1061" s="9"/>
      <c r="I1061" s="9"/>
      <c r="J1061" s="9"/>
      <c r="K1061" s="42"/>
      <c r="L1061" s="42"/>
      <c r="M1061" s="42"/>
      <c r="N1061" s="42"/>
      <c r="O1061" s="42"/>
      <c r="P1061" s="9"/>
      <c r="Q1061" s="9"/>
      <c r="R1061" s="42"/>
      <c r="S1061" s="42"/>
      <c r="T1061" s="42"/>
      <c r="U1061" s="42"/>
      <c r="V1061" s="42"/>
      <c r="W1061" s="42"/>
    </row>
    <row r="1062">
      <c r="A1062" s="9"/>
      <c r="B1062" s="9"/>
      <c r="C1062" s="9"/>
      <c r="D1062" s="42"/>
      <c r="E1062" s="103"/>
      <c r="F1062" s="42"/>
      <c r="G1062" s="9"/>
      <c r="H1062" s="9"/>
      <c r="I1062" s="9"/>
      <c r="J1062" s="9"/>
      <c r="K1062" s="42"/>
      <c r="L1062" s="42"/>
      <c r="M1062" s="42"/>
      <c r="N1062" s="42"/>
      <c r="O1062" s="42"/>
      <c r="P1062" s="9"/>
      <c r="Q1062" s="9"/>
      <c r="R1062" s="42"/>
      <c r="S1062" s="42"/>
      <c r="T1062" s="42"/>
      <c r="U1062" s="42"/>
      <c r="V1062" s="42"/>
      <c r="W1062" s="42"/>
    </row>
    <row r="1063">
      <c r="A1063" s="9"/>
      <c r="B1063" s="9"/>
      <c r="C1063" s="9"/>
      <c r="D1063" s="42"/>
      <c r="E1063" s="103"/>
      <c r="F1063" s="42"/>
      <c r="G1063" s="9"/>
      <c r="H1063" s="9"/>
      <c r="I1063" s="9"/>
      <c r="J1063" s="9"/>
      <c r="K1063" s="42"/>
      <c r="L1063" s="42"/>
      <c r="M1063" s="42"/>
      <c r="N1063" s="42"/>
      <c r="O1063" s="42"/>
      <c r="P1063" s="9"/>
      <c r="Q1063" s="9"/>
      <c r="R1063" s="42"/>
      <c r="S1063" s="42"/>
      <c r="T1063" s="42"/>
      <c r="U1063" s="42"/>
      <c r="V1063" s="42"/>
      <c r="W1063" s="42"/>
    </row>
    <row r="1064">
      <c r="A1064" s="9"/>
      <c r="B1064" s="9"/>
      <c r="C1064" s="9"/>
      <c r="D1064" s="42"/>
      <c r="E1064" s="103"/>
      <c r="F1064" s="42"/>
      <c r="G1064" s="9"/>
      <c r="H1064" s="9"/>
      <c r="I1064" s="9"/>
      <c r="J1064" s="9"/>
      <c r="K1064" s="42"/>
      <c r="L1064" s="42"/>
      <c r="M1064" s="42"/>
      <c r="N1064" s="42"/>
      <c r="O1064" s="42"/>
      <c r="P1064" s="9"/>
      <c r="Q1064" s="9"/>
      <c r="R1064" s="42"/>
      <c r="S1064" s="42"/>
      <c r="T1064" s="42"/>
      <c r="U1064" s="42"/>
      <c r="V1064" s="42"/>
      <c r="W1064" s="42"/>
    </row>
    <row r="1065">
      <c r="A1065" s="9"/>
      <c r="B1065" s="9"/>
      <c r="C1065" s="9"/>
      <c r="D1065" s="42"/>
      <c r="E1065" s="103"/>
      <c r="F1065" s="42"/>
      <c r="G1065" s="9"/>
      <c r="H1065" s="9"/>
      <c r="I1065" s="9"/>
      <c r="J1065" s="9"/>
      <c r="K1065" s="42"/>
      <c r="L1065" s="42"/>
      <c r="M1065" s="42"/>
      <c r="N1065" s="42"/>
      <c r="O1065" s="42"/>
      <c r="P1065" s="9"/>
      <c r="Q1065" s="9"/>
      <c r="R1065" s="42"/>
      <c r="S1065" s="42"/>
      <c r="T1065" s="42"/>
      <c r="U1065" s="42"/>
      <c r="V1065" s="42"/>
      <c r="W1065" s="42"/>
    </row>
    <row r="1066">
      <c r="A1066" s="9"/>
      <c r="B1066" s="9"/>
      <c r="C1066" s="9"/>
      <c r="D1066" s="42"/>
      <c r="E1066" s="103"/>
      <c r="F1066" s="42"/>
      <c r="G1066" s="9"/>
      <c r="H1066" s="9"/>
      <c r="I1066" s="9"/>
      <c r="J1066" s="9"/>
      <c r="K1066" s="42"/>
      <c r="L1066" s="42"/>
      <c r="M1066" s="42"/>
      <c r="N1066" s="42"/>
      <c r="O1066" s="42"/>
      <c r="P1066" s="9"/>
      <c r="Q1066" s="9"/>
      <c r="R1066" s="42"/>
      <c r="S1066" s="42"/>
      <c r="T1066" s="42"/>
      <c r="U1066" s="42"/>
      <c r="V1066" s="42"/>
      <c r="W1066" s="42"/>
    </row>
    <row r="1067">
      <c r="A1067" s="9"/>
      <c r="B1067" s="9"/>
      <c r="C1067" s="9"/>
      <c r="D1067" s="42"/>
      <c r="E1067" s="103"/>
      <c r="F1067" s="42"/>
      <c r="G1067" s="9"/>
      <c r="H1067" s="9"/>
      <c r="I1067" s="9"/>
      <c r="J1067" s="9"/>
      <c r="K1067" s="42"/>
      <c r="L1067" s="42"/>
      <c r="M1067" s="42"/>
      <c r="N1067" s="42"/>
      <c r="O1067" s="42"/>
      <c r="P1067" s="9"/>
      <c r="Q1067" s="9"/>
      <c r="R1067" s="42"/>
      <c r="S1067" s="42"/>
      <c r="T1067" s="42"/>
      <c r="U1067" s="42"/>
      <c r="V1067" s="42"/>
      <c r="W1067" s="42"/>
    </row>
    <row r="1068">
      <c r="A1068" s="9"/>
      <c r="B1068" s="9"/>
      <c r="C1068" s="9"/>
      <c r="D1068" s="42"/>
      <c r="E1068" s="103"/>
      <c r="F1068" s="42"/>
      <c r="G1068" s="9"/>
      <c r="H1068" s="9"/>
      <c r="I1068" s="9"/>
      <c r="J1068" s="9"/>
      <c r="K1068" s="42"/>
      <c r="L1068" s="42"/>
      <c r="M1068" s="42"/>
      <c r="N1068" s="42"/>
      <c r="O1068" s="42"/>
      <c r="P1068" s="9"/>
      <c r="Q1068" s="9"/>
      <c r="R1068" s="42"/>
      <c r="S1068" s="42"/>
      <c r="T1068" s="42"/>
      <c r="U1068" s="42"/>
      <c r="V1068" s="42"/>
      <c r="W1068" s="42"/>
    </row>
    <row r="1069">
      <c r="A1069" s="9"/>
      <c r="B1069" s="9"/>
      <c r="C1069" s="9"/>
      <c r="D1069" s="42"/>
      <c r="E1069" s="103"/>
      <c r="F1069" s="42"/>
      <c r="G1069" s="9"/>
      <c r="H1069" s="9"/>
      <c r="I1069" s="9"/>
      <c r="J1069" s="9"/>
      <c r="K1069" s="42"/>
      <c r="L1069" s="42"/>
      <c r="M1069" s="42"/>
      <c r="N1069" s="42"/>
      <c r="O1069" s="42"/>
      <c r="P1069" s="9"/>
      <c r="Q1069" s="9"/>
      <c r="R1069" s="42"/>
      <c r="S1069" s="42"/>
      <c r="T1069" s="42"/>
      <c r="U1069" s="42"/>
      <c r="V1069" s="42"/>
      <c r="W1069" s="42"/>
    </row>
    <row r="1070">
      <c r="A1070" s="9"/>
      <c r="B1070" s="9"/>
      <c r="C1070" s="9"/>
      <c r="D1070" s="42"/>
      <c r="E1070" s="103"/>
      <c r="F1070" s="42"/>
      <c r="G1070" s="9"/>
      <c r="H1070" s="9"/>
      <c r="I1070" s="9"/>
      <c r="J1070" s="9"/>
      <c r="K1070" s="42"/>
      <c r="L1070" s="42"/>
      <c r="M1070" s="42"/>
      <c r="N1070" s="42"/>
      <c r="O1070" s="42"/>
      <c r="P1070" s="9"/>
      <c r="Q1070" s="9"/>
      <c r="R1070" s="42"/>
      <c r="S1070" s="42"/>
      <c r="T1070" s="42"/>
      <c r="U1070" s="42"/>
      <c r="V1070" s="42"/>
      <c r="W1070" s="42"/>
    </row>
    <row r="1071">
      <c r="A1071" s="9"/>
      <c r="B1071" s="9"/>
      <c r="C1071" s="9"/>
      <c r="D1071" s="42"/>
      <c r="E1071" s="103"/>
      <c r="F1071" s="42"/>
      <c r="G1071" s="9"/>
      <c r="H1071" s="9"/>
      <c r="I1071" s="9"/>
      <c r="J1071" s="9"/>
      <c r="K1071" s="42"/>
      <c r="L1071" s="42"/>
      <c r="M1071" s="42"/>
      <c r="N1071" s="42"/>
      <c r="O1071" s="42"/>
      <c r="P1071" s="9"/>
      <c r="Q1071" s="9"/>
      <c r="R1071" s="42"/>
      <c r="S1071" s="42"/>
      <c r="T1071" s="42"/>
      <c r="U1071" s="42"/>
      <c r="V1071" s="42"/>
      <c r="W1071" s="42"/>
    </row>
    <row r="1072">
      <c r="A1072" s="9"/>
      <c r="B1072" s="9"/>
      <c r="C1072" s="9"/>
      <c r="D1072" s="42"/>
      <c r="E1072" s="103"/>
      <c r="F1072" s="42"/>
      <c r="G1072" s="9"/>
      <c r="H1072" s="9"/>
      <c r="I1072" s="9"/>
      <c r="J1072" s="9"/>
      <c r="K1072" s="42"/>
      <c r="L1072" s="42"/>
      <c r="M1072" s="42"/>
      <c r="N1072" s="42"/>
      <c r="O1072" s="42"/>
      <c r="P1072" s="9"/>
      <c r="Q1072" s="9"/>
      <c r="R1072" s="42"/>
      <c r="S1072" s="42"/>
      <c r="T1072" s="42"/>
      <c r="U1072" s="42"/>
      <c r="V1072" s="42"/>
      <c r="W1072" s="42"/>
    </row>
    <row r="1073">
      <c r="A1073" s="9"/>
      <c r="B1073" s="9"/>
      <c r="C1073" s="9"/>
      <c r="D1073" s="42"/>
      <c r="E1073" s="103"/>
      <c r="F1073" s="42"/>
      <c r="G1073" s="9"/>
      <c r="H1073" s="9"/>
      <c r="I1073" s="9"/>
      <c r="J1073" s="9"/>
      <c r="K1073" s="42"/>
      <c r="L1073" s="42"/>
      <c r="M1073" s="42"/>
      <c r="N1073" s="42"/>
      <c r="O1073" s="42"/>
      <c r="P1073" s="9"/>
      <c r="Q1073" s="9"/>
      <c r="R1073" s="42"/>
      <c r="S1073" s="42"/>
      <c r="T1073" s="42"/>
      <c r="U1073" s="42"/>
      <c r="V1073" s="42"/>
      <c r="W1073" s="42"/>
    </row>
    <row r="1074">
      <c r="A1074" s="9"/>
      <c r="B1074" s="9"/>
      <c r="C1074" s="9"/>
      <c r="D1074" s="42"/>
      <c r="E1074" s="103"/>
      <c r="F1074" s="42"/>
      <c r="G1074" s="9"/>
      <c r="H1074" s="9"/>
      <c r="I1074" s="9"/>
      <c r="J1074" s="9"/>
      <c r="K1074" s="42"/>
      <c r="L1074" s="42"/>
      <c r="M1074" s="42"/>
      <c r="N1074" s="42"/>
      <c r="O1074" s="42"/>
      <c r="P1074" s="9"/>
      <c r="Q1074" s="9"/>
      <c r="R1074" s="42"/>
      <c r="S1074" s="42"/>
      <c r="T1074" s="42"/>
      <c r="U1074" s="42"/>
      <c r="V1074" s="42"/>
      <c r="W1074" s="42"/>
    </row>
    <row r="1075">
      <c r="A1075" s="9"/>
      <c r="B1075" s="9"/>
      <c r="C1075" s="9"/>
      <c r="D1075" s="42"/>
      <c r="E1075" s="103"/>
      <c r="F1075" s="42"/>
      <c r="G1075" s="9"/>
      <c r="H1075" s="9"/>
      <c r="I1075" s="9"/>
      <c r="J1075" s="9"/>
      <c r="K1075" s="42"/>
      <c r="L1075" s="42"/>
      <c r="M1075" s="42"/>
      <c r="N1075" s="42"/>
      <c r="O1075" s="42"/>
      <c r="P1075" s="9"/>
      <c r="Q1075" s="9"/>
      <c r="R1075" s="42"/>
      <c r="S1075" s="42"/>
      <c r="T1075" s="42"/>
      <c r="U1075" s="42"/>
      <c r="V1075" s="42"/>
      <c r="W1075" s="42"/>
    </row>
    <row r="1076">
      <c r="A1076" s="9"/>
      <c r="B1076" s="9"/>
      <c r="C1076" s="9"/>
      <c r="D1076" s="42"/>
      <c r="E1076" s="103"/>
      <c r="F1076" s="42"/>
      <c r="G1076" s="9"/>
      <c r="H1076" s="9"/>
      <c r="I1076" s="9"/>
      <c r="J1076" s="9"/>
      <c r="K1076" s="42"/>
      <c r="L1076" s="42"/>
      <c r="M1076" s="42"/>
      <c r="N1076" s="42"/>
      <c r="O1076" s="42"/>
      <c r="P1076" s="9"/>
      <c r="Q1076" s="9"/>
      <c r="R1076" s="42"/>
      <c r="S1076" s="42"/>
      <c r="T1076" s="42"/>
      <c r="U1076" s="42"/>
      <c r="V1076" s="42"/>
      <c r="W1076" s="42"/>
    </row>
    <row r="1077">
      <c r="A1077" s="9"/>
      <c r="B1077" s="9"/>
      <c r="C1077" s="9"/>
      <c r="D1077" s="42"/>
      <c r="E1077" s="103"/>
      <c r="F1077" s="42"/>
      <c r="G1077" s="9"/>
      <c r="H1077" s="9"/>
      <c r="I1077" s="9"/>
      <c r="J1077" s="9"/>
      <c r="K1077" s="42"/>
      <c r="L1077" s="42"/>
      <c r="M1077" s="42"/>
      <c r="N1077" s="42"/>
      <c r="O1077" s="42"/>
      <c r="P1077" s="9"/>
      <c r="Q1077" s="9"/>
      <c r="R1077" s="42"/>
      <c r="S1077" s="42"/>
      <c r="T1077" s="42"/>
      <c r="U1077" s="42"/>
      <c r="V1077" s="42"/>
      <c r="W1077" s="42"/>
    </row>
    <row r="1078">
      <c r="A1078" s="9"/>
      <c r="B1078" s="9"/>
      <c r="C1078" s="9"/>
      <c r="D1078" s="42"/>
      <c r="E1078" s="103"/>
      <c r="F1078" s="42"/>
      <c r="G1078" s="9"/>
      <c r="H1078" s="9"/>
      <c r="I1078" s="9"/>
      <c r="J1078" s="9"/>
      <c r="K1078" s="42"/>
      <c r="L1078" s="42"/>
      <c r="M1078" s="42"/>
      <c r="N1078" s="42"/>
      <c r="O1078" s="42"/>
      <c r="P1078" s="9"/>
      <c r="Q1078" s="9"/>
      <c r="R1078" s="42"/>
      <c r="S1078" s="42"/>
      <c r="T1078" s="42"/>
      <c r="U1078" s="42"/>
      <c r="V1078" s="42"/>
      <c r="W1078" s="42"/>
    </row>
    <row r="1079">
      <c r="A1079" s="9"/>
      <c r="B1079" s="9"/>
      <c r="C1079" s="9"/>
      <c r="D1079" s="42"/>
      <c r="E1079" s="103"/>
      <c r="F1079" s="42"/>
      <c r="G1079" s="9"/>
      <c r="H1079" s="9"/>
      <c r="I1079" s="9"/>
      <c r="J1079" s="9"/>
      <c r="K1079" s="42"/>
      <c r="L1079" s="42"/>
      <c r="M1079" s="42"/>
      <c r="N1079" s="42"/>
      <c r="O1079" s="42"/>
      <c r="P1079" s="9"/>
      <c r="Q1079" s="9"/>
      <c r="R1079" s="42"/>
      <c r="S1079" s="42"/>
      <c r="T1079" s="42"/>
      <c r="U1079" s="42"/>
      <c r="V1079" s="42"/>
      <c r="W1079" s="42"/>
    </row>
    <row r="1080">
      <c r="A1080" s="9"/>
      <c r="B1080" s="9"/>
      <c r="C1080" s="9"/>
      <c r="D1080" s="42"/>
      <c r="E1080" s="103"/>
      <c r="F1080" s="42"/>
      <c r="G1080" s="9"/>
      <c r="H1080" s="9"/>
      <c r="I1080" s="9"/>
      <c r="J1080" s="9"/>
      <c r="K1080" s="42"/>
      <c r="L1080" s="42"/>
      <c r="M1080" s="42"/>
      <c r="N1080" s="42"/>
      <c r="O1080" s="42"/>
      <c r="P1080" s="9"/>
      <c r="Q1080" s="9"/>
      <c r="R1080" s="42"/>
      <c r="S1080" s="42"/>
      <c r="T1080" s="42"/>
      <c r="U1080" s="42"/>
      <c r="V1080" s="42"/>
      <c r="W1080" s="42"/>
    </row>
    <row r="1081">
      <c r="A1081" s="9"/>
      <c r="B1081" s="9"/>
      <c r="C1081" s="9"/>
      <c r="D1081" s="42"/>
      <c r="E1081" s="103"/>
      <c r="F1081" s="42"/>
      <c r="G1081" s="9"/>
      <c r="H1081" s="9"/>
      <c r="I1081" s="9"/>
      <c r="J1081" s="9"/>
      <c r="K1081" s="42"/>
      <c r="L1081" s="42"/>
      <c r="M1081" s="42"/>
      <c r="N1081" s="42"/>
      <c r="O1081" s="42"/>
      <c r="P1081" s="9"/>
      <c r="Q1081" s="9"/>
      <c r="R1081" s="42"/>
      <c r="S1081" s="42"/>
      <c r="T1081" s="42"/>
      <c r="U1081" s="42"/>
      <c r="V1081" s="42"/>
      <c r="W1081" s="42"/>
    </row>
    <row r="1082">
      <c r="A1082" s="9"/>
      <c r="B1082" s="9"/>
      <c r="C1082" s="9"/>
      <c r="D1082" s="42"/>
      <c r="E1082" s="103"/>
      <c r="F1082" s="42"/>
      <c r="G1082" s="9"/>
      <c r="H1082" s="9"/>
      <c r="I1082" s="9"/>
      <c r="J1082" s="9"/>
      <c r="K1082" s="42"/>
      <c r="L1082" s="42"/>
      <c r="M1082" s="42"/>
      <c r="N1082" s="42"/>
      <c r="O1082" s="42"/>
      <c r="P1082" s="9"/>
      <c r="Q1082" s="9"/>
      <c r="R1082" s="42"/>
      <c r="S1082" s="42"/>
      <c r="T1082" s="42"/>
      <c r="U1082" s="42"/>
      <c r="V1082" s="42"/>
      <c r="W1082" s="42"/>
    </row>
    <row r="1083">
      <c r="A1083" s="9"/>
      <c r="B1083" s="9"/>
      <c r="C1083" s="9"/>
      <c r="D1083" s="42"/>
      <c r="E1083" s="103"/>
      <c r="F1083" s="42"/>
      <c r="G1083" s="9"/>
      <c r="H1083" s="9"/>
      <c r="I1083" s="9"/>
      <c r="J1083" s="9"/>
      <c r="K1083" s="42"/>
      <c r="L1083" s="42"/>
      <c r="M1083" s="42"/>
      <c r="N1083" s="42"/>
      <c r="O1083" s="42"/>
      <c r="P1083" s="9"/>
      <c r="Q1083" s="9"/>
      <c r="R1083" s="42"/>
      <c r="S1083" s="42"/>
      <c r="T1083" s="42"/>
      <c r="U1083" s="42"/>
      <c r="V1083" s="42"/>
      <c r="W1083" s="42"/>
    </row>
    <row r="1084">
      <c r="A1084" s="9"/>
      <c r="B1084" s="9"/>
      <c r="C1084" s="9"/>
      <c r="D1084" s="42"/>
      <c r="E1084" s="103"/>
      <c r="F1084" s="42"/>
      <c r="G1084" s="9"/>
      <c r="H1084" s="9"/>
      <c r="I1084" s="9"/>
      <c r="J1084" s="9"/>
      <c r="K1084" s="42"/>
      <c r="L1084" s="42"/>
      <c r="M1084" s="42"/>
      <c r="N1084" s="42"/>
      <c r="O1084" s="42"/>
      <c r="P1084" s="9"/>
      <c r="Q1084" s="9"/>
      <c r="R1084" s="42"/>
      <c r="S1084" s="42"/>
      <c r="T1084" s="42"/>
      <c r="U1084" s="42"/>
      <c r="V1084" s="42"/>
      <c r="W1084" s="42"/>
    </row>
    <row r="1085">
      <c r="A1085" s="9"/>
      <c r="B1085" s="9"/>
      <c r="C1085" s="9"/>
      <c r="D1085" s="42"/>
      <c r="E1085" s="103"/>
      <c r="F1085" s="42"/>
      <c r="G1085" s="9"/>
      <c r="H1085" s="9"/>
      <c r="I1085" s="9"/>
      <c r="J1085" s="9"/>
      <c r="K1085" s="42"/>
      <c r="L1085" s="42"/>
      <c r="M1085" s="42"/>
      <c r="N1085" s="42"/>
      <c r="O1085" s="42"/>
      <c r="P1085" s="9"/>
      <c r="Q1085" s="9"/>
      <c r="R1085" s="42"/>
      <c r="S1085" s="42"/>
      <c r="T1085" s="42"/>
      <c r="U1085" s="42"/>
      <c r="V1085" s="42"/>
      <c r="W1085" s="42"/>
    </row>
    <row r="1086">
      <c r="A1086" s="9"/>
      <c r="B1086" s="9"/>
      <c r="C1086" s="9"/>
      <c r="D1086" s="42"/>
      <c r="E1086" s="103"/>
      <c r="F1086" s="42"/>
      <c r="G1086" s="9"/>
      <c r="H1086" s="9"/>
      <c r="I1086" s="9"/>
      <c r="J1086" s="9"/>
      <c r="K1086" s="42"/>
      <c r="L1086" s="42"/>
      <c r="M1086" s="42"/>
      <c r="N1086" s="42"/>
      <c r="O1086" s="42"/>
      <c r="P1086" s="9"/>
      <c r="Q1086" s="9"/>
      <c r="R1086" s="42"/>
      <c r="S1086" s="42"/>
      <c r="T1086" s="42"/>
      <c r="U1086" s="42"/>
      <c r="V1086" s="42"/>
      <c r="W1086" s="42"/>
    </row>
    <row r="1087">
      <c r="A1087" s="9"/>
      <c r="B1087" s="9"/>
      <c r="C1087" s="9"/>
      <c r="D1087" s="42"/>
      <c r="E1087" s="103"/>
      <c r="F1087" s="42"/>
      <c r="G1087" s="9"/>
      <c r="H1087" s="9"/>
      <c r="I1087" s="9"/>
      <c r="J1087" s="9"/>
      <c r="K1087" s="42"/>
      <c r="L1087" s="42"/>
      <c r="M1087" s="42"/>
      <c r="N1087" s="42"/>
      <c r="O1087" s="42"/>
      <c r="P1087" s="9"/>
      <c r="Q1087" s="9"/>
      <c r="R1087" s="42"/>
      <c r="S1087" s="42"/>
      <c r="T1087" s="42"/>
      <c r="U1087" s="42"/>
      <c r="V1087" s="42"/>
      <c r="W1087" s="42"/>
    </row>
    <row r="1088">
      <c r="A1088" s="9"/>
      <c r="B1088" s="9"/>
      <c r="C1088" s="9"/>
      <c r="D1088" s="42"/>
      <c r="E1088" s="103"/>
      <c r="F1088" s="42"/>
      <c r="G1088" s="9"/>
      <c r="H1088" s="9"/>
      <c r="I1088" s="9"/>
      <c r="J1088" s="9"/>
      <c r="K1088" s="42"/>
      <c r="L1088" s="42"/>
      <c r="M1088" s="42"/>
      <c r="N1088" s="42"/>
      <c r="O1088" s="42"/>
      <c r="P1088" s="9"/>
      <c r="Q1088" s="9"/>
      <c r="R1088" s="42"/>
      <c r="S1088" s="42"/>
      <c r="T1088" s="42"/>
      <c r="U1088" s="42"/>
      <c r="V1088" s="42"/>
      <c r="W1088" s="42"/>
    </row>
    <row r="1089">
      <c r="A1089" s="9"/>
      <c r="B1089" s="9"/>
      <c r="C1089" s="9"/>
      <c r="D1089" s="42"/>
      <c r="E1089" s="103"/>
      <c r="F1089" s="42"/>
      <c r="G1089" s="9"/>
      <c r="H1089" s="9"/>
      <c r="I1089" s="9"/>
      <c r="J1089" s="9"/>
      <c r="K1089" s="42"/>
      <c r="L1089" s="42"/>
      <c r="M1089" s="42"/>
      <c r="N1089" s="42"/>
      <c r="O1089" s="42"/>
      <c r="P1089" s="9"/>
      <c r="Q1089" s="9"/>
      <c r="R1089" s="42"/>
      <c r="S1089" s="42"/>
      <c r="T1089" s="42"/>
      <c r="U1089" s="42"/>
      <c r="V1089" s="42"/>
      <c r="W1089" s="42"/>
    </row>
    <row r="1090">
      <c r="A1090" s="9"/>
      <c r="B1090" s="9"/>
      <c r="C1090" s="9"/>
      <c r="D1090" s="42"/>
      <c r="E1090" s="103"/>
      <c r="F1090" s="42"/>
      <c r="G1090" s="9"/>
      <c r="H1090" s="9"/>
      <c r="I1090" s="9"/>
      <c r="J1090" s="9"/>
      <c r="K1090" s="42"/>
      <c r="L1090" s="42"/>
      <c r="M1090" s="42"/>
      <c r="N1090" s="42"/>
      <c r="O1090" s="42"/>
      <c r="P1090" s="9"/>
      <c r="Q1090" s="9"/>
      <c r="R1090" s="42"/>
      <c r="S1090" s="42"/>
      <c r="T1090" s="42"/>
      <c r="U1090" s="42"/>
      <c r="V1090" s="42"/>
      <c r="W1090" s="42"/>
    </row>
    <row r="1091">
      <c r="A1091" s="9"/>
      <c r="B1091" s="9"/>
      <c r="C1091" s="9"/>
      <c r="D1091" s="42"/>
      <c r="E1091" s="103"/>
      <c r="F1091" s="42"/>
      <c r="G1091" s="9"/>
      <c r="H1091" s="9"/>
      <c r="I1091" s="9"/>
      <c r="J1091" s="9"/>
      <c r="K1091" s="42"/>
      <c r="L1091" s="42"/>
      <c r="M1091" s="42"/>
      <c r="N1091" s="42"/>
      <c r="O1091" s="42"/>
      <c r="P1091" s="9"/>
      <c r="Q1091" s="9"/>
      <c r="R1091" s="42"/>
      <c r="S1091" s="42"/>
      <c r="T1091" s="42"/>
      <c r="U1091" s="42"/>
      <c r="V1091" s="42"/>
      <c r="W1091" s="42"/>
    </row>
    <row r="1092">
      <c r="A1092" s="9"/>
      <c r="B1092" s="9"/>
      <c r="C1092" s="9"/>
      <c r="D1092" s="42"/>
      <c r="E1092" s="103"/>
      <c r="F1092" s="42"/>
      <c r="G1092" s="9"/>
      <c r="H1092" s="9"/>
      <c r="I1092" s="9"/>
      <c r="J1092" s="9"/>
      <c r="K1092" s="42"/>
      <c r="L1092" s="42"/>
      <c r="M1092" s="42"/>
      <c r="N1092" s="42"/>
      <c r="O1092" s="42"/>
      <c r="P1092" s="9"/>
      <c r="Q1092" s="9"/>
      <c r="R1092" s="42"/>
      <c r="S1092" s="42"/>
      <c r="T1092" s="42"/>
      <c r="U1092" s="42"/>
      <c r="V1092" s="42"/>
      <c r="W1092" s="42"/>
    </row>
    <row r="1093">
      <c r="A1093" s="9"/>
      <c r="B1093" s="9"/>
      <c r="C1093" s="9"/>
      <c r="D1093" s="42"/>
      <c r="E1093" s="103"/>
      <c r="F1093" s="42"/>
      <c r="G1093" s="9"/>
      <c r="H1093" s="9"/>
      <c r="I1093" s="9"/>
      <c r="J1093" s="9"/>
      <c r="K1093" s="42"/>
      <c r="L1093" s="42"/>
      <c r="M1093" s="42"/>
      <c r="N1093" s="42"/>
      <c r="O1093" s="42"/>
      <c r="P1093" s="9"/>
      <c r="Q1093" s="9"/>
      <c r="R1093" s="42"/>
      <c r="S1093" s="42"/>
      <c r="T1093" s="42"/>
      <c r="U1093" s="42"/>
      <c r="V1093" s="42"/>
      <c r="W1093" s="42"/>
    </row>
    <row r="1094">
      <c r="A1094" s="9"/>
      <c r="B1094" s="9"/>
      <c r="C1094" s="9"/>
      <c r="D1094" s="42"/>
      <c r="E1094" s="103"/>
      <c r="F1094" s="42"/>
      <c r="G1094" s="9"/>
      <c r="H1094" s="9"/>
      <c r="I1094" s="9"/>
      <c r="J1094" s="9"/>
      <c r="K1094" s="42"/>
      <c r="L1094" s="42"/>
      <c r="M1094" s="42"/>
      <c r="N1094" s="42"/>
      <c r="O1094" s="42"/>
      <c r="P1094" s="9"/>
      <c r="Q1094" s="9"/>
      <c r="R1094" s="42"/>
      <c r="S1094" s="42"/>
      <c r="T1094" s="42"/>
      <c r="U1094" s="42"/>
      <c r="V1094" s="42"/>
      <c r="W1094" s="42"/>
    </row>
    <row r="1095">
      <c r="A1095" s="9"/>
      <c r="B1095" s="9"/>
      <c r="C1095" s="9"/>
      <c r="D1095" s="42"/>
      <c r="E1095" s="103"/>
      <c r="F1095" s="42"/>
      <c r="G1095" s="9"/>
      <c r="H1095" s="9"/>
      <c r="I1095" s="9"/>
      <c r="J1095" s="9"/>
      <c r="K1095" s="42"/>
      <c r="L1095" s="42"/>
      <c r="M1095" s="42"/>
      <c r="N1095" s="42"/>
      <c r="O1095" s="42"/>
      <c r="P1095" s="9"/>
      <c r="Q1095" s="9"/>
      <c r="R1095" s="42"/>
      <c r="S1095" s="42"/>
      <c r="T1095" s="42"/>
      <c r="U1095" s="42"/>
      <c r="V1095" s="42"/>
      <c r="W1095" s="42"/>
    </row>
    <row r="1096">
      <c r="A1096" s="9"/>
      <c r="B1096" s="9"/>
      <c r="C1096" s="9"/>
      <c r="D1096" s="42"/>
      <c r="E1096" s="103"/>
      <c r="F1096" s="42"/>
      <c r="G1096" s="9"/>
      <c r="H1096" s="9"/>
      <c r="I1096" s="9"/>
      <c r="J1096" s="9"/>
      <c r="K1096" s="42"/>
      <c r="L1096" s="42"/>
      <c r="M1096" s="42"/>
      <c r="N1096" s="42"/>
      <c r="O1096" s="42"/>
      <c r="P1096" s="9"/>
      <c r="Q1096" s="9"/>
      <c r="R1096" s="42"/>
      <c r="S1096" s="42"/>
      <c r="T1096" s="42"/>
      <c r="U1096" s="42"/>
      <c r="V1096" s="42"/>
      <c r="W1096" s="42"/>
    </row>
    <row r="1097">
      <c r="A1097" s="9"/>
      <c r="B1097" s="9"/>
      <c r="C1097" s="9"/>
      <c r="D1097" s="42"/>
      <c r="E1097" s="103"/>
      <c r="F1097" s="42"/>
      <c r="G1097" s="9"/>
      <c r="H1097" s="9"/>
      <c r="I1097" s="9"/>
      <c r="J1097" s="9"/>
      <c r="K1097" s="42"/>
      <c r="L1097" s="42"/>
      <c r="M1097" s="42"/>
      <c r="N1097" s="42"/>
      <c r="O1097" s="42"/>
      <c r="P1097" s="9"/>
      <c r="Q1097" s="9"/>
      <c r="R1097" s="42"/>
      <c r="S1097" s="42"/>
      <c r="T1097" s="42"/>
      <c r="U1097" s="42"/>
      <c r="V1097" s="42"/>
      <c r="W1097" s="42"/>
    </row>
    <row r="1098">
      <c r="A1098" s="9"/>
      <c r="B1098" s="9"/>
      <c r="C1098" s="9"/>
      <c r="D1098" s="42"/>
      <c r="E1098" s="103"/>
      <c r="F1098" s="42"/>
      <c r="G1098" s="9"/>
      <c r="H1098" s="9"/>
      <c r="I1098" s="9"/>
      <c r="J1098" s="9"/>
      <c r="K1098" s="42"/>
      <c r="L1098" s="42"/>
      <c r="M1098" s="42"/>
      <c r="N1098" s="42"/>
      <c r="O1098" s="42"/>
      <c r="P1098" s="9"/>
      <c r="Q1098" s="9"/>
      <c r="R1098" s="42"/>
      <c r="S1098" s="42"/>
      <c r="T1098" s="42"/>
      <c r="U1098" s="42"/>
      <c r="V1098" s="42"/>
      <c r="W1098" s="42"/>
    </row>
    <row r="1099">
      <c r="A1099" s="9"/>
      <c r="B1099" s="9"/>
      <c r="C1099" s="9"/>
      <c r="D1099" s="42"/>
      <c r="E1099" s="103"/>
      <c r="F1099" s="42"/>
      <c r="G1099" s="9"/>
      <c r="H1099" s="9"/>
      <c r="I1099" s="9"/>
      <c r="J1099" s="9"/>
      <c r="K1099" s="42"/>
      <c r="L1099" s="42"/>
      <c r="M1099" s="42"/>
      <c r="N1099" s="42"/>
      <c r="O1099" s="42"/>
      <c r="P1099" s="9"/>
      <c r="Q1099" s="9"/>
      <c r="R1099" s="42"/>
      <c r="S1099" s="42"/>
      <c r="T1099" s="42"/>
      <c r="U1099" s="42"/>
      <c r="V1099" s="42"/>
      <c r="W1099" s="42"/>
    </row>
    <row r="1100">
      <c r="A1100" s="9"/>
      <c r="B1100" s="9"/>
      <c r="C1100" s="9"/>
      <c r="D1100" s="42"/>
      <c r="E1100" s="103"/>
      <c r="F1100" s="42"/>
      <c r="G1100" s="9"/>
      <c r="H1100" s="9"/>
      <c r="I1100" s="9"/>
      <c r="J1100" s="9"/>
      <c r="K1100" s="42"/>
      <c r="L1100" s="42"/>
      <c r="M1100" s="42"/>
      <c r="N1100" s="42"/>
      <c r="O1100" s="42"/>
      <c r="P1100" s="9"/>
      <c r="Q1100" s="9"/>
      <c r="R1100" s="42"/>
      <c r="S1100" s="42"/>
      <c r="T1100" s="42"/>
      <c r="U1100" s="42"/>
      <c r="V1100" s="42"/>
      <c r="W1100" s="42"/>
    </row>
    <row r="1101">
      <c r="A1101" s="9"/>
      <c r="B1101" s="9"/>
      <c r="C1101" s="9"/>
      <c r="D1101" s="42"/>
      <c r="E1101" s="103"/>
      <c r="F1101" s="42"/>
      <c r="G1101" s="9"/>
      <c r="H1101" s="9"/>
      <c r="I1101" s="9"/>
      <c r="J1101" s="9"/>
      <c r="K1101" s="42"/>
      <c r="L1101" s="42"/>
      <c r="M1101" s="42"/>
      <c r="N1101" s="42"/>
      <c r="O1101" s="42"/>
      <c r="P1101" s="9"/>
      <c r="Q1101" s="9"/>
      <c r="R1101" s="42"/>
      <c r="S1101" s="42"/>
      <c r="T1101" s="42"/>
      <c r="U1101" s="42"/>
      <c r="V1101" s="42"/>
      <c r="W1101" s="42"/>
    </row>
    <row r="1102">
      <c r="A1102" s="9"/>
      <c r="B1102" s="9"/>
      <c r="C1102" s="9"/>
      <c r="D1102" s="42"/>
      <c r="E1102" s="103"/>
      <c r="F1102" s="42"/>
      <c r="G1102" s="9"/>
      <c r="H1102" s="9"/>
      <c r="I1102" s="9"/>
      <c r="J1102" s="9"/>
      <c r="K1102" s="42"/>
      <c r="L1102" s="42"/>
      <c r="M1102" s="42"/>
      <c r="N1102" s="42"/>
      <c r="O1102" s="42"/>
      <c r="P1102" s="9"/>
      <c r="Q1102" s="9"/>
      <c r="R1102" s="42"/>
      <c r="S1102" s="42"/>
      <c r="T1102" s="42"/>
      <c r="U1102" s="42"/>
      <c r="V1102" s="42"/>
      <c r="W1102" s="42"/>
    </row>
    <row r="1103">
      <c r="A1103" s="9"/>
      <c r="B1103" s="9"/>
      <c r="C1103" s="9"/>
      <c r="D1103" s="42"/>
      <c r="E1103" s="103"/>
      <c r="F1103" s="42"/>
      <c r="G1103" s="9"/>
      <c r="H1103" s="9"/>
      <c r="I1103" s="9"/>
      <c r="J1103" s="9"/>
      <c r="K1103" s="42"/>
      <c r="L1103" s="42"/>
      <c r="M1103" s="42"/>
      <c r="N1103" s="42"/>
      <c r="O1103" s="42"/>
      <c r="P1103" s="9"/>
      <c r="Q1103" s="9"/>
      <c r="R1103" s="42"/>
      <c r="S1103" s="42"/>
      <c r="T1103" s="42"/>
      <c r="U1103" s="42"/>
      <c r="V1103" s="42"/>
      <c r="W1103" s="42"/>
    </row>
    <row r="1104">
      <c r="A1104" s="9"/>
      <c r="B1104" s="9"/>
      <c r="C1104" s="9"/>
      <c r="D1104" s="42"/>
      <c r="E1104" s="103"/>
      <c r="F1104" s="42"/>
      <c r="G1104" s="9"/>
      <c r="H1104" s="9"/>
      <c r="I1104" s="9"/>
      <c r="J1104" s="9"/>
      <c r="K1104" s="42"/>
      <c r="L1104" s="42"/>
      <c r="M1104" s="42"/>
      <c r="N1104" s="42"/>
      <c r="O1104" s="42"/>
      <c r="P1104" s="9"/>
      <c r="Q1104" s="9"/>
      <c r="R1104" s="42"/>
      <c r="S1104" s="42"/>
      <c r="T1104" s="42"/>
      <c r="U1104" s="42"/>
      <c r="V1104" s="42"/>
      <c r="W1104" s="42"/>
    </row>
    <row r="1105">
      <c r="A1105" s="9"/>
      <c r="B1105" s="9"/>
      <c r="C1105" s="9"/>
      <c r="D1105" s="42"/>
      <c r="E1105" s="103"/>
      <c r="F1105" s="42"/>
      <c r="G1105" s="9"/>
      <c r="H1105" s="9"/>
      <c r="I1105" s="9"/>
      <c r="J1105" s="9"/>
      <c r="K1105" s="42"/>
      <c r="L1105" s="42"/>
      <c r="M1105" s="42"/>
      <c r="N1105" s="42"/>
      <c r="O1105" s="42"/>
      <c r="P1105" s="9"/>
      <c r="Q1105" s="9"/>
      <c r="R1105" s="42"/>
      <c r="S1105" s="42"/>
      <c r="T1105" s="42"/>
      <c r="U1105" s="42"/>
      <c r="V1105" s="42"/>
      <c r="W1105" s="42"/>
    </row>
    <row r="1106">
      <c r="A1106" s="9"/>
      <c r="B1106" s="9"/>
      <c r="C1106" s="9"/>
      <c r="D1106" s="42"/>
      <c r="E1106" s="103"/>
      <c r="F1106" s="42"/>
      <c r="G1106" s="9"/>
      <c r="H1106" s="9"/>
      <c r="I1106" s="9"/>
      <c r="J1106" s="9"/>
      <c r="K1106" s="42"/>
      <c r="L1106" s="42"/>
      <c r="M1106" s="42"/>
      <c r="N1106" s="42"/>
      <c r="O1106" s="42"/>
      <c r="P1106" s="9"/>
      <c r="Q1106" s="9"/>
      <c r="R1106" s="42"/>
      <c r="S1106" s="42"/>
      <c r="T1106" s="42"/>
      <c r="U1106" s="42"/>
      <c r="V1106" s="42"/>
      <c r="W1106" s="42"/>
    </row>
    <row r="1107">
      <c r="A1107" s="9"/>
      <c r="B1107" s="9"/>
      <c r="C1107" s="9"/>
      <c r="D1107" s="42"/>
      <c r="E1107" s="103"/>
      <c r="F1107" s="42"/>
      <c r="G1107" s="9"/>
      <c r="H1107" s="9"/>
      <c r="I1107" s="9"/>
      <c r="J1107" s="9"/>
      <c r="K1107" s="42"/>
      <c r="L1107" s="42"/>
      <c r="M1107" s="42"/>
      <c r="N1107" s="42"/>
      <c r="O1107" s="42"/>
      <c r="P1107" s="9"/>
      <c r="Q1107" s="9"/>
      <c r="R1107" s="42"/>
      <c r="S1107" s="42"/>
      <c r="T1107" s="42"/>
      <c r="U1107" s="42"/>
      <c r="V1107" s="42"/>
      <c r="W1107" s="42"/>
    </row>
    <row r="1108">
      <c r="A1108" s="9"/>
      <c r="B1108" s="9"/>
      <c r="C1108" s="9"/>
      <c r="D1108" s="42"/>
      <c r="E1108" s="103"/>
      <c r="F1108" s="42"/>
      <c r="G1108" s="9"/>
      <c r="H1108" s="9"/>
      <c r="I1108" s="9"/>
      <c r="J1108" s="9"/>
      <c r="K1108" s="42"/>
      <c r="L1108" s="42"/>
      <c r="M1108" s="42"/>
      <c r="N1108" s="42"/>
      <c r="O1108" s="42"/>
      <c r="P1108" s="9"/>
      <c r="Q1108" s="9"/>
      <c r="R1108" s="42"/>
      <c r="S1108" s="42"/>
      <c r="T1108" s="42"/>
      <c r="U1108" s="42"/>
      <c r="V1108" s="42"/>
      <c r="W1108" s="42"/>
    </row>
    <row r="1109">
      <c r="A1109" s="9"/>
      <c r="B1109" s="9"/>
      <c r="C1109" s="9"/>
      <c r="D1109" s="42"/>
      <c r="E1109" s="103"/>
      <c r="F1109" s="42"/>
      <c r="G1109" s="9"/>
      <c r="H1109" s="9"/>
      <c r="I1109" s="9"/>
      <c r="J1109" s="9"/>
      <c r="K1109" s="42"/>
      <c r="L1109" s="42"/>
      <c r="M1109" s="42"/>
      <c r="N1109" s="42"/>
      <c r="O1109" s="42"/>
      <c r="P1109" s="9"/>
      <c r="Q1109" s="9"/>
      <c r="R1109" s="42"/>
      <c r="S1109" s="42"/>
      <c r="T1109" s="42"/>
      <c r="U1109" s="42"/>
      <c r="V1109" s="42"/>
      <c r="W1109" s="42"/>
    </row>
    <row r="1110">
      <c r="A1110" s="9"/>
      <c r="B1110" s="9"/>
      <c r="C1110" s="9"/>
      <c r="D1110" s="42"/>
      <c r="E1110" s="103"/>
      <c r="F1110" s="42"/>
      <c r="G1110" s="9"/>
      <c r="H1110" s="9"/>
      <c r="I1110" s="9"/>
      <c r="J1110" s="9"/>
      <c r="K1110" s="42"/>
      <c r="L1110" s="42"/>
      <c r="M1110" s="42"/>
      <c r="N1110" s="42"/>
      <c r="O1110" s="42"/>
      <c r="P1110" s="9"/>
      <c r="Q1110" s="9"/>
      <c r="R1110" s="42"/>
      <c r="S1110" s="42"/>
      <c r="T1110" s="42"/>
      <c r="U1110" s="42"/>
      <c r="V1110" s="42"/>
      <c r="W1110" s="42"/>
    </row>
    <row r="1111">
      <c r="A1111" s="9"/>
      <c r="B1111" s="9"/>
      <c r="C1111" s="9"/>
      <c r="D1111" s="42"/>
      <c r="E1111" s="103"/>
      <c r="F1111" s="42"/>
      <c r="G1111" s="9"/>
      <c r="H1111" s="9"/>
      <c r="I1111" s="9"/>
      <c r="J1111" s="9"/>
      <c r="K1111" s="42"/>
      <c r="L1111" s="42"/>
      <c r="M1111" s="42"/>
      <c r="N1111" s="42"/>
      <c r="O1111" s="42"/>
      <c r="P1111" s="9"/>
      <c r="Q1111" s="9"/>
      <c r="R1111" s="42"/>
      <c r="S1111" s="42"/>
      <c r="T1111" s="42"/>
      <c r="U1111" s="42"/>
      <c r="V1111" s="42"/>
      <c r="W1111" s="42"/>
    </row>
    <row r="1112">
      <c r="A1112" s="9"/>
      <c r="B1112" s="9"/>
      <c r="C1112" s="9"/>
      <c r="D1112" s="42"/>
      <c r="E1112" s="103"/>
      <c r="F1112" s="42"/>
      <c r="G1112" s="9"/>
      <c r="H1112" s="9"/>
      <c r="I1112" s="9"/>
      <c r="J1112" s="9"/>
      <c r="K1112" s="42"/>
      <c r="L1112" s="42"/>
      <c r="M1112" s="42"/>
      <c r="N1112" s="42"/>
      <c r="O1112" s="42"/>
      <c r="P1112" s="9"/>
      <c r="Q1112" s="9"/>
      <c r="R1112" s="42"/>
      <c r="S1112" s="42"/>
      <c r="T1112" s="42"/>
      <c r="U1112" s="42"/>
      <c r="V1112" s="42"/>
      <c r="W1112" s="42"/>
    </row>
    <row r="1113">
      <c r="A1113" s="9"/>
      <c r="B1113" s="9"/>
      <c r="C1113" s="9"/>
      <c r="D1113" s="42"/>
      <c r="E1113" s="103"/>
      <c r="F1113" s="42"/>
      <c r="G1113" s="9"/>
      <c r="H1113" s="9"/>
      <c r="I1113" s="9"/>
      <c r="J1113" s="9"/>
      <c r="K1113" s="42"/>
      <c r="L1113" s="42"/>
      <c r="M1113" s="42"/>
      <c r="N1113" s="42"/>
      <c r="O1113" s="42"/>
      <c r="P1113" s="9"/>
      <c r="Q1113" s="9"/>
      <c r="R1113" s="42"/>
      <c r="S1113" s="42"/>
      <c r="T1113" s="42"/>
      <c r="U1113" s="42"/>
      <c r="V1113" s="42"/>
      <c r="W1113" s="42"/>
    </row>
    <row r="1114">
      <c r="A1114" s="9"/>
      <c r="B1114" s="9"/>
      <c r="C1114" s="9"/>
      <c r="D1114" s="42"/>
      <c r="E1114" s="103"/>
      <c r="F1114" s="42"/>
      <c r="G1114" s="9"/>
      <c r="H1114" s="9"/>
      <c r="I1114" s="9"/>
      <c r="J1114" s="9"/>
      <c r="K1114" s="42"/>
      <c r="L1114" s="42"/>
      <c r="M1114" s="42"/>
      <c r="N1114" s="42"/>
      <c r="O1114" s="42"/>
      <c r="P1114" s="9"/>
      <c r="Q1114" s="9"/>
      <c r="R1114" s="42"/>
      <c r="S1114" s="42"/>
      <c r="T1114" s="42"/>
      <c r="U1114" s="42"/>
      <c r="V1114" s="42"/>
      <c r="W1114" s="42"/>
    </row>
    <row r="1115">
      <c r="A1115" s="9"/>
      <c r="B1115" s="9"/>
      <c r="C1115" s="9"/>
      <c r="D1115" s="42"/>
      <c r="E1115" s="103"/>
      <c r="F1115" s="42"/>
      <c r="G1115" s="9"/>
      <c r="H1115" s="9"/>
      <c r="I1115" s="9"/>
      <c r="J1115" s="9"/>
      <c r="K1115" s="42"/>
      <c r="L1115" s="42"/>
      <c r="M1115" s="42"/>
      <c r="N1115" s="42"/>
      <c r="O1115" s="42"/>
      <c r="P1115" s="9"/>
      <c r="Q1115" s="9"/>
      <c r="R1115" s="42"/>
      <c r="S1115" s="42"/>
      <c r="T1115" s="42"/>
      <c r="U1115" s="42"/>
      <c r="V1115" s="42"/>
      <c r="W1115" s="42"/>
    </row>
    <row r="1116">
      <c r="A1116" s="9"/>
      <c r="B1116" s="9"/>
      <c r="C1116" s="9"/>
      <c r="D1116" s="42"/>
      <c r="E1116" s="103"/>
      <c r="F1116" s="42"/>
      <c r="G1116" s="9"/>
      <c r="H1116" s="9"/>
      <c r="I1116" s="9"/>
      <c r="J1116" s="9"/>
      <c r="K1116" s="42"/>
      <c r="L1116" s="42"/>
      <c r="M1116" s="42"/>
      <c r="N1116" s="42"/>
      <c r="O1116" s="42"/>
      <c r="P1116" s="9"/>
      <c r="Q1116" s="9"/>
      <c r="R1116" s="42"/>
      <c r="S1116" s="42"/>
      <c r="T1116" s="42"/>
      <c r="U1116" s="42"/>
      <c r="V1116" s="42"/>
      <c r="W1116" s="42"/>
    </row>
    <row r="1117">
      <c r="A1117" s="9"/>
      <c r="B1117" s="9"/>
      <c r="C1117" s="9"/>
      <c r="D1117" s="42"/>
      <c r="E1117" s="103"/>
      <c r="F1117" s="42"/>
      <c r="G1117" s="9"/>
      <c r="H1117" s="9"/>
      <c r="I1117" s="9"/>
      <c r="J1117" s="9"/>
      <c r="K1117" s="42"/>
      <c r="L1117" s="42"/>
      <c r="M1117" s="42"/>
      <c r="N1117" s="42"/>
      <c r="O1117" s="42"/>
      <c r="P1117" s="9"/>
      <c r="Q1117" s="9"/>
      <c r="R1117" s="42"/>
      <c r="S1117" s="42"/>
      <c r="T1117" s="42"/>
      <c r="U1117" s="42"/>
      <c r="V1117" s="42"/>
      <c r="W1117" s="42"/>
    </row>
    <row r="1118">
      <c r="A1118" s="9"/>
      <c r="B1118" s="9"/>
      <c r="C1118" s="9"/>
      <c r="D1118" s="42"/>
      <c r="E1118" s="103"/>
      <c r="F1118" s="42"/>
      <c r="G1118" s="9"/>
      <c r="H1118" s="9"/>
      <c r="I1118" s="9"/>
      <c r="J1118" s="9"/>
      <c r="K1118" s="42"/>
      <c r="L1118" s="42"/>
      <c r="M1118" s="42"/>
      <c r="N1118" s="42"/>
      <c r="O1118" s="42"/>
      <c r="P1118" s="9"/>
      <c r="Q1118" s="9"/>
      <c r="R1118" s="42"/>
      <c r="S1118" s="42"/>
      <c r="T1118" s="42"/>
      <c r="U1118" s="42"/>
      <c r="V1118" s="42"/>
      <c r="W1118" s="42"/>
    </row>
    <row r="1119">
      <c r="A1119" s="9"/>
      <c r="B1119" s="9"/>
      <c r="C1119" s="9"/>
      <c r="D1119" s="42"/>
      <c r="E1119" s="103"/>
      <c r="F1119" s="42"/>
      <c r="G1119" s="9"/>
      <c r="H1119" s="9"/>
      <c r="I1119" s="9"/>
      <c r="J1119" s="9"/>
      <c r="K1119" s="42"/>
      <c r="L1119" s="42"/>
      <c r="M1119" s="42"/>
      <c r="N1119" s="42"/>
      <c r="O1119" s="42"/>
      <c r="P1119" s="9"/>
      <c r="Q1119" s="9"/>
      <c r="R1119" s="42"/>
      <c r="S1119" s="42"/>
      <c r="T1119" s="42"/>
      <c r="U1119" s="42"/>
      <c r="V1119" s="42"/>
      <c r="W1119" s="42"/>
    </row>
    <row r="1120">
      <c r="A1120" s="9"/>
      <c r="B1120" s="9"/>
      <c r="C1120" s="9"/>
      <c r="D1120" s="42"/>
      <c r="E1120" s="103"/>
      <c r="F1120" s="42"/>
      <c r="G1120" s="9"/>
      <c r="H1120" s="9"/>
      <c r="I1120" s="9"/>
      <c r="J1120" s="9"/>
      <c r="K1120" s="42"/>
      <c r="L1120" s="42"/>
      <c r="M1120" s="42"/>
      <c r="N1120" s="42"/>
      <c r="O1120" s="42"/>
      <c r="P1120" s="9"/>
      <c r="Q1120" s="9"/>
      <c r="R1120" s="42"/>
      <c r="S1120" s="42"/>
      <c r="T1120" s="42"/>
      <c r="U1120" s="42"/>
      <c r="V1120" s="42"/>
      <c r="W1120" s="42"/>
    </row>
    <row r="1121">
      <c r="A1121" s="9"/>
      <c r="B1121" s="9"/>
      <c r="C1121" s="9"/>
      <c r="D1121" s="42"/>
      <c r="E1121" s="103"/>
      <c r="F1121" s="42"/>
      <c r="G1121" s="9"/>
      <c r="H1121" s="9"/>
      <c r="I1121" s="9"/>
      <c r="J1121" s="9"/>
      <c r="K1121" s="42"/>
      <c r="L1121" s="42"/>
      <c r="M1121" s="42"/>
      <c r="N1121" s="42"/>
      <c r="O1121" s="42"/>
      <c r="P1121" s="9"/>
      <c r="Q1121" s="9"/>
      <c r="R1121" s="42"/>
      <c r="S1121" s="42"/>
      <c r="T1121" s="42"/>
      <c r="U1121" s="42"/>
      <c r="V1121" s="42"/>
      <c r="W1121" s="42"/>
    </row>
    <row r="1122">
      <c r="A1122" s="9"/>
      <c r="B1122" s="9"/>
      <c r="C1122" s="9"/>
      <c r="D1122" s="42"/>
      <c r="E1122" s="103"/>
      <c r="F1122" s="42"/>
      <c r="G1122" s="9"/>
      <c r="H1122" s="9"/>
      <c r="I1122" s="9"/>
      <c r="J1122" s="9"/>
      <c r="K1122" s="42"/>
      <c r="L1122" s="42"/>
      <c r="M1122" s="42"/>
      <c r="N1122" s="42"/>
      <c r="O1122" s="42"/>
      <c r="P1122" s="9"/>
      <c r="Q1122" s="9"/>
      <c r="R1122" s="42"/>
      <c r="S1122" s="42"/>
      <c r="T1122" s="42"/>
      <c r="U1122" s="42"/>
      <c r="V1122" s="42"/>
      <c r="W1122" s="42"/>
    </row>
    <row r="1123">
      <c r="A1123" s="9"/>
      <c r="B1123" s="9"/>
      <c r="C1123" s="9"/>
      <c r="D1123" s="42"/>
      <c r="E1123" s="103"/>
      <c r="F1123" s="42"/>
      <c r="G1123" s="9"/>
      <c r="H1123" s="9"/>
      <c r="I1123" s="9"/>
      <c r="J1123" s="9"/>
      <c r="K1123" s="42"/>
      <c r="L1123" s="42"/>
      <c r="M1123" s="42"/>
      <c r="N1123" s="42"/>
      <c r="O1123" s="42"/>
      <c r="P1123" s="9"/>
      <c r="Q1123" s="9"/>
      <c r="R1123" s="42"/>
      <c r="S1123" s="42"/>
      <c r="T1123" s="42"/>
      <c r="U1123" s="42"/>
      <c r="V1123" s="42"/>
      <c r="W1123" s="42"/>
    </row>
    <row r="1124">
      <c r="A1124" s="9"/>
      <c r="B1124" s="9"/>
      <c r="C1124" s="9"/>
      <c r="D1124" s="42"/>
      <c r="E1124" s="103"/>
      <c r="F1124" s="42"/>
      <c r="G1124" s="9"/>
      <c r="H1124" s="9"/>
      <c r="I1124" s="9"/>
      <c r="J1124" s="9"/>
      <c r="K1124" s="42"/>
      <c r="L1124" s="42"/>
      <c r="M1124" s="42"/>
      <c r="N1124" s="42"/>
      <c r="O1124" s="42"/>
      <c r="P1124" s="9"/>
      <c r="Q1124" s="9"/>
      <c r="R1124" s="42"/>
      <c r="S1124" s="42"/>
      <c r="T1124" s="42"/>
      <c r="U1124" s="42"/>
      <c r="V1124" s="42"/>
      <c r="W1124" s="42"/>
    </row>
    <row r="1125">
      <c r="A1125" s="9"/>
      <c r="B1125" s="9"/>
      <c r="C1125" s="9"/>
      <c r="D1125" s="42"/>
      <c r="E1125" s="103"/>
      <c r="F1125" s="42"/>
      <c r="G1125" s="9"/>
      <c r="H1125" s="9"/>
      <c r="I1125" s="9"/>
      <c r="J1125" s="9"/>
      <c r="K1125" s="42"/>
      <c r="L1125" s="42"/>
      <c r="M1125" s="42"/>
      <c r="N1125" s="42"/>
      <c r="O1125" s="42"/>
      <c r="P1125" s="9"/>
      <c r="Q1125" s="9"/>
      <c r="R1125" s="42"/>
      <c r="S1125" s="42"/>
      <c r="T1125" s="42"/>
      <c r="U1125" s="42"/>
      <c r="V1125" s="42"/>
      <c r="W1125" s="42"/>
    </row>
    <row r="1126">
      <c r="A1126" s="9"/>
      <c r="B1126" s="9"/>
      <c r="C1126" s="9"/>
      <c r="D1126" s="42"/>
      <c r="E1126" s="103"/>
      <c r="F1126" s="42"/>
      <c r="G1126" s="9"/>
      <c r="H1126" s="9"/>
      <c r="I1126" s="9"/>
      <c r="J1126" s="9"/>
      <c r="K1126" s="42"/>
      <c r="L1126" s="42"/>
      <c r="M1126" s="42"/>
      <c r="N1126" s="42"/>
      <c r="O1126" s="42"/>
      <c r="P1126" s="9"/>
      <c r="Q1126" s="9"/>
      <c r="R1126" s="42"/>
      <c r="S1126" s="42"/>
      <c r="T1126" s="42"/>
      <c r="U1126" s="42"/>
      <c r="V1126" s="42"/>
      <c r="W1126" s="42"/>
    </row>
    <row r="1127">
      <c r="A1127" s="9"/>
      <c r="B1127" s="9"/>
      <c r="C1127" s="9"/>
      <c r="D1127" s="42"/>
      <c r="E1127" s="103"/>
      <c r="F1127" s="42"/>
      <c r="G1127" s="9"/>
      <c r="H1127" s="9"/>
      <c r="I1127" s="9"/>
      <c r="J1127" s="9"/>
      <c r="K1127" s="42"/>
      <c r="L1127" s="42"/>
      <c r="M1127" s="42"/>
      <c r="N1127" s="42"/>
      <c r="O1127" s="42"/>
      <c r="P1127" s="9"/>
      <c r="Q1127" s="9"/>
      <c r="R1127" s="42"/>
      <c r="S1127" s="42"/>
      <c r="T1127" s="42"/>
      <c r="U1127" s="42"/>
      <c r="V1127" s="42"/>
      <c r="W1127" s="42"/>
    </row>
    <row r="1128">
      <c r="A1128" s="9"/>
      <c r="B1128" s="9"/>
      <c r="C1128" s="9"/>
      <c r="D1128" s="42"/>
      <c r="E1128" s="103"/>
      <c r="F1128" s="42"/>
      <c r="G1128" s="9"/>
      <c r="H1128" s="9"/>
      <c r="I1128" s="9"/>
      <c r="J1128" s="9"/>
      <c r="K1128" s="42"/>
      <c r="L1128" s="42"/>
      <c r="M1128" s="42"/>
      <c r="N1128" s="42"/>
      <c r="O1128" s="42"/>
      <c r="P1128" s="9"/>
      <c r="Q1128" s="9"/>
      <c r="R1128" s="42"/>
      <c r="S1128" s="42"/>
      <c r="T1128" s="42"/>
      <c r="U1128" s="42"/>
      <c r="V1128" s="42"/>
      <c r="W1128" s="42"/>
    </row>
    <row r="1129">
      <c r="A1129" s="9"/>
      <c r="B1129" s="9"/>
      <c r="C1129" s="9"/>
      <c r="D1129" s="42"/>
      <c r="E1129" s="103"/>
      <c r="F1129" s="42"/>
      <c r="G1129" s="9"/>
      <c r="H1129" s="9"/>
      <c r="I1129" s="9"/>
      <c r="J1129" s="9"/>
      <c r="K1129" s="42"/>
      <c r="L1129" s="42"/>
      <c r="M1129" s="42"/>
      <c r="N1129" s="42"/>
      <c r="O1129" s="42"/>
      <c r="P1129" s="9"/>
      <c r="Q1129" s="9"/>
      <c r="R1129" s="42"/>
      <c r="S1129" s="42"/>
      <c r="T1129" s="42"/>
      <c r="U1129" s="42"/>
      <c r="V1129" s="42"/>
      <c r="W1129" s="42"/>
    </row>
    <row r="1130">
      <c r="A1130" s="9"/>
      <c r="B1130" s="9"/>
      <c r="C1130" s="9"/>
      <c r="D1130" s="42"/>
      <c r="E1130" s="103"/>
      <c r="F1130" s="42"/>
      <c r="G1130" s="9"/>
      <c r="H1130" s="9"/>
      <c r="I1130" s="9"/>
      <c r="J1130" s="9"/>
      <c r="K1130" s="42"/>
      <c r="L1130" s="42"/>
      <c r="M1130" s="42"/>
      <c r="N1130" s="42"/>
      <c r="O1130" s="42"/>
      <c r="P1130" s="9"/>
      <c r="Q1130" s="9"/>
      <c r="R1130" s="42"/>
      <c r="S1130" s="42"/>
      <c r="T1130" s="42"/>
      <c r="U1130" s="42"/>
      <c r="V1130" s="42"/>
      <c r="W1130" s="42"/>
    </row>
    <row r="1131">
      <c r="A1131" s="9"/>
      <c r="B1131" s="9"/>
      <c r="C1131" s="9"/>
      <c r="D1131" s="42"/>
      <c r="E1131" s="103"/>
      <c r="F1131" s="42"/>
      <c r="G1131" s="9"/>
      <c r="H1131" s="9"/>
      <c r="I1131" s="9"/>
      <c r="J1131" s="9"/>
      <c r="K1131" s="42"/>
      <c r="L1131" s="42"/>
      <c r="M1131" s="42"/>
      <c r="N1131" s="42"/>
      <c r="O1131" s="42"/>
      <c r="P1131" s="9"/>
      <c r="Q1131" s="9"/>
      <c r="R1131" s="42"/>
      <c r="S1131" s="42"/>
      <c r="T1131" s="42"/>
      <c r="U1131" s="42"/>
      <c r="V1131" s="42"/>
      <c r="W1131" s="42"/>
    </row>
    <row r="1132">
      <c r="A1132" s="9"/>
      <c r="B1132" s="9"/>
      <c r="C1132" s="9"/>
      <c r="D1132" s="42"/>
      <c r="E1132" s="103"/>
      <c r="F1132" s="42"/>
      <c r="G1132" s="9"/>
      <c r="H1132" s="9"/>
      <c r="I1132" s="9"/>
      <c r="J1132" s="9"/>
      <c r="K1132" s="42"/>
      <c r="L1132" s="42"/>
      <c r="M1132" s="42"/>
      <c r="N1132" s="42"/>
      <c r="O1132" s="42"/>
      <c r="P1132" s="9"/>
      <c r="Q1132" s="9"/>
      <c r="R1132" s="42"/>
      <c r="S1132" s="42"/>
      <c r="T1132" s="42"/>
      <c r="U1132" s="42"/>
      <c r="V1132" s="42"/>
      <c r="W1132" s="42"/>
    </row>
    <row r="1133">
      <c r="A1133" s="9"/>
      <c r="B1133" s="9"/>
      <c r="C1133" s="9"/>
      <c r="D1133" s="42"/>
      <c r="E1133" s="103"/>
      <c r="F1133" s="42"/>
      <c r="G1133" s="9"/>
      <c r="H1133" s="9"/>
      <c r="I1133" s="9"/>
      <c r="J1133" s="9"/>
      <c r="K1133" s="42"/>
      <c r="L1133" s="42"/>
      <c r="M1133" s="42"/>
      <c r="N1133" s="42"/>
      <c r="O1133" s="42"/>
      <c r="P1133" s="9"/>
      <c r="Q1133" s="9"/>
      <c r="R1133" s="42"/>
      <c r="S1133" s="42"/>
      <c r="T1133" s="42"/>
      <c r="U1133" s="42"/>
      <c r="V1133" s="42"/>
      <c r="W1133" s="42"/>
    </row>
    <row r="1134">
      <c r="A1134" s="9"/>
      <c r="B1134" s="9"/>
      <c r="C1134" s="9"/>
      <c r="D1134" s="42"/>
      <c r="E1134" s="103"/>
      <c r="F1134" s="42"/>
      <c r="G1134" s="9"/>
      <c r="H1134" s="9"/>
      <c r="I1134" s="9"/>
      <c r="J1134" s="9"/>
      <c r="K1134" s="42"/>
      <c r="L1134" s="42"/>
      <c r="M1134" s="42"/>
      <c r="N1134" s="42"/>
      <c r="O1134" s="42"/>
      <c r="P1134" s="9"/>
      <c r="Q1134" s="9"/>
      <c r="R1134" s="42"/>
      <c r="S1134" s="42"/>
      <c r="T1134" s="42"/>
      <c r="U1134" s="42"/>
      <c r="V1134" s="42"/>
      <c r="W1134" s="42"/>
    </row>
    <row r="1135">
      <c r="A1135" s="9"/>
      <c r="B1135" s="9"/>
      <c r="C1135" s="9"/>
      <c r="D1135" s="42"/>
      <c r="E1135" s="103"/>
      <c r="F1135" s="42"/>
      <c r="G1135" s="9"/>
      <c r="H1135" s="9"/>
      <c r="I1135" s="9"/>
      <c r="J1135" s="9"/>
      <c r="K1135" s="42"/>
      <c r="L1135" s="42"/>
      <c r="M1135" s="42"/>
      <c r="N1135" s="42"/>
      <c r="O1135" s="42"/>
      <c r="P1135" s="9"/>
      <c r="Q1135" s="9"/>
      <c r="R1135" s="42"/>
      <c r="S1135" s="42"/>
      <c r="T1135" s="42"/>
      <c r="U1135" s="42"/>
      <c r="V1135" s="42"/>
      <c r="W1135" s="42"/>
    </row>
    <row r="1136">
      <c r="A1136" s="9"/>
      <c r="B1136" s="9"/>
      <c r="C1136" s="9"/>
      <c r="D1136" s="42"/>
      <c r="E1136" s="103"/>
      <c r="F1136" s="42"/>
      <c r="G1136" s="9"/>
      <c r="H1136" s="9"/>
      <c r="I1136" s="9"/>
      <c r="J1136" s="9"/>
      <c r="K1136" s="42"/>
      <c r="L1136" s="42"/>
      <c r="M1136" s="42"/>
      <c r="N1136" s="42"/>
      <c r="O1136" s="42"/>
      <c r="P1136" s="9"/>
      <c r="Q1136" s="9"/>
      <c r="R1136" s="42"/>
      <c r="S1136" s="42"/>
      <c r="T1136" s="42"/>
      <c r="U1136" s="42"/>
      <c r="V1136" s="42"/>
      <c r="W1136" s="42"/>
    </row>
    <row r="1137">
      <c r="A1137" s="9"/>
      <c r="B1137" s="9"/>
      <c r="C1137" s="9"/>
      <c r="D1137" s="42"/>
      <c r="E1137" s="103"/>
      <c r="F1137" s="42"/>
      <c r="G1137" s="9"/>
      <c r="H1137" s="9"/>
      <c r="I1137" s="9"/>
      <c r="J1137" s="9"/>
      <c r="K1137" s="42"/>
      <c r="L1137" s="42"/>
      <c r="M1137" s="42"/>
      <c r="N1137" s="42"/>
      <c r="O1137" s="42"/>
      <c r="P1137" s="9"/>
      <c r="Q1137" s="9"/>
      <c r="R1137" s="42"/>
      <c r="S1137" s="42"/>
      <c r="T1137" s="42"/>
      <c r="U1137" s="42"/>
      <c r="V1137" s="42"/>
      <c r="W1137" s="42"/>
    </row>
    <row r="1138">
      <c r="A1138" s="9"/>
      <c r="B1138" s="9"/>
      <c r="C1138" s="9"/>
      <c r="D1138" s="42"/>
      <c r="E1138" s="103"/>
      <c r="F1138" s="42"/>
      <c r="G1138" s="9"/>
      <c r="H1138" s="9"/>
      <c r="I1138" s="9"/>
      <c r="J1138" s="9"/>
      <c r="K1138" s="42"/>
      <c r="L1138" s="42"/>
      <c r="M1138" s="42"/>
      <c r="N1138" s="42"/>
      <c r="O1138" s="42"/>
      <c r="P1138" s="9"/>
      <c r="Q1138" s="9"/>
      <c r="R1138" s="42"/>
      <c r="S1138" s="42"/>
      <c r="T1138" s="42"/>
      <c r="U1138" s="42"/>
      <c r="V1138" s="42"/>
      <c r="W1138" s="42"/>
    </row>
    <row r="1139">
      <c r="A1139" s="9"/>
      <c r="B1139" s="9"/>
      <c r="C1139" s="9"/>
      <c r="D1139" s="42"/>
      <c r="E1139" s="103"/>
      <c r="F1139" s="42"/>
      <c r="G1139" s="9"/>
      <c r="H1139" s="9"/>
      <c r="I1139" s="9"/>
      <c r="J1139" s="9"/>
      <c r="K1139" s="42"/>
      <c r="L1139" s="42"/>
      <c r="M1139" s="42"/>
      <c r="N1139" s="42"/>
      <c r="O1139" s="42"/>
      <c r="P1139" s="9"/>
      <c r="Q1139" s="9"/>
      <c r="R1139" s="42"/>
      <c r="S1139" s="42"/>
      <c r="T1139" s="42"/>
      <c r="U1139" s="42"/>
      <c r="V1139" s="42"/>
      <c r="W1139" s="42"/>
    </row>
    <row r="1140">
      <c r="A1140" s="9"/>
      <c r="B1140" s="9"/>
      <c r="C1140" s="9"/>
      <c r="D1140" s="42"/>
      <c r="E1140" s="103"/>
      <c r="F1140" s="42"/>
      <c r="G1140" s="9"/>
      <c r="H1140" s="9"/>
      <c r="I1140" s="9"/>
      <c r="J1140" s="9"/>
      <c r="K1140" s="42"/>
      <c r="L1140" s="42"/>
      <c r="M1140" s="42"/>
      <c r="N1140" s="42"/>
      <c r="O1140" s="42"/>
      <c r="P1140" s="9"/>
      <c r="Q1140" s="9"/>
      <c r="R1140" s="42"/>
      <c r="S1140" s="42"/>
      <c r="T1140" s="42"/>
      <c r="U1140" s="42"/>
      <c r="V1140" s="42"/>
      <c r="W1140" s="42"/>
    </row>
    <row r="1141">
      <c r="A1141" s="9"/>
      <c r="B1141" s="9"/>
      <c r="C1141" s="9"/>
      <c r="D1141" s="42"/>
      <c r="E1141" s="103"/>
      <c r="F1141" s="42"/>
      <c r="G1141" s="9"/>
      <c r="H1141" s="9"/>
      <c r="I1141" s="9"/>
      <c r="J1141" s="9"/>
      <c r="K1141" s="42"/>
      <c r="L1141" s="42"/>
      <c r="M1141" s="42"/>
      <c r="N1141" s="42"/>
      <c r="O1141" s="42"/>
      <c r="P1141" s="9"/>
      <c r="Q1141" s="9"/>
      <c r="R1141" s="42"/>
      <c r="S1141" s="42"/>
      <c r="T1141" s="42"/>
      <c r="U1141" s="42"/>
      <c r="V1141" s="42"/>
      <c r="W1141" s="42"/>
    </row>
    <row r="1142">
      <c r="A1142" s="9"/>
      <c r="B1142" s="9"/>
      <c r="C1142" s="9"/>
      <c r="D1142" s="42"/>
      <c r="E1142" s="103"/>
      <c r="F1142" s="42"/>
      <c r="G1142" s="9"/>
      <c r="H1142" s="9"/>
      <c r="I1142" s="9"/>
      <c r="J1142" s="9"/>
      <c r="K1142" s="42"/>
      <c r="L1142" s="42"/>
      <c r="M1142" s="42"/>
      <c r="N1142" s="42"/>
      <c r="O1142" s="42"/>
      <c r="P1142" s="9"/>
      <c r="Q1142" s="9"/>
      <c r="R1142" s="42"/>
      <c r="S1142" s="42"/>
      <c r="T1142" s="42"/>
      <c r="U1142" s="42"/>
      <c r="V1142" s="42"/>
      <c r="W1142" s="42"/>
    </row>
    <row r="1143">
      <c r="A1143" s="9"/>
      <c r="B1143" s="9"/>
      <c r="C1143" s="9"/>
      <c r="D1143" s="42"/>
      <c r="E1143" s="103"/>
      <c r="F1143" s="42"/>
      <c r="G1143" s="9"/>
      <c r="H1143" s="9"/>
      <c r="I1143" s="9"/>
      <c r="J1143" s="9"/>
      <c r="K1143" s="42"/>
      <c r="L1143" s="42"/>
      <c r="M1143" s="42"/>
      <c r="N1143" s="42"/>
      <c r="O1143" s="42"/>
      <c r="P1143" s="9"/>
      <c r="Q1143" s="9"/>
      <c r="R1143" s="42"/>
      <c r="S1143" s="42"/>
      <c r="T1143" s="42"/>
      <c r="U1143" s="42"/>
      <c r="V1143" s="42"/>
      <c r="W1143" s="42"/>
    </row>
    <row r="1144">
      <c r="A1144" s="9"/>
      <c r="B1144" s="9"/>
      <c r="C1144" s="9"/>
      <c r="D1144" s="42"/>
      <c r="E1144" s="103"/>
      <c r="F1144" s="42"/>
      <c r="G1144" s="9"/>
      <c r="H1144" s="9"/>
      <c r="I1144" s="9"/>
      <c r="J1144" s="9"/>
      <c r="K1144" s="42"/>
      <c r="L1144" s="42"/>
      <c r="M1144" s="42"/>
      <c r="N1144" s="42"/>
      <c r="O1144" s="42"/>
      <c r="P1144" s="9"/>
      <c r="Q1144" s="9"/>
      <c r="R1144" s="42"/>
      <c r="S1144" s="42"/>
      <c r="T1144" s="42"/>
      <c r="U1144" s="42"/>
      <c r="V1144" s="42"/>
      <c r="W1144" s="42"/>
    </row>
    <row r="1145">
      <c r="A1145" s="9"/>
      <c r="B1145" s="9"/>
      <c r="C1145" s="9"/>
      <c r="D1145" s="42"/>
      <c r="E1145" s="103"/>
      <c r="F1145" s="42"/>
      <c r="G1145" s="9"/>
      <c r="H1145" s="9"/>
      <c r="I1145" s="9"/>
      <c r="J1145" s="9"/>
      <c r="K1145" s="42"/>
      <c r="L1145" s="42"/>
      <c r="M1145" s="42"/>
      <c r="N1145" s="42"/>
      <c r="O1145" s="42"/>
      <c r="P1145" s="9"/>
      <c r="Q1145" s="9"/>
      <c r="R1145" s="42"/>
      <c r="S1145" s="42"/>
      <c r="T1145" s="42"/>
      <c r="U1145" s="42"/>
      <c r="V1145" s="42"/>
      <c r="W1145" s="42"/>
    </row>
    <row r="1146">
      <c r="A1146" s="9"/>
      <c r="B1146" s="9"/>
      <c r="C1146" s="9"/>
      <c r="D1146" s="42"/>
      <c r="E1146" s="103"/>
      <c r="F1146" s="42"/>
      <c r="G1146" s="9"/>
      <c r="H1146" s="9"/>
      <c r="I1146" s="9"/>
      <c r="J1146" s="9"/>
      <c r="K1146" s="42"/>
      <c r="L1146" s="42"/>
      <c r="M1146" s="42"/>
      <c r="N1146" s="42"/>
      <c r="O1146" s="42"/>
      <c r="P1146" s="9"/>
      <c r="Q1146" s="9"/>
      <c r="R1146" s="42"/>
      <c r="S1146" s="42"/>
      <c r="T1146" s="42"/>
      <c r="U1146" s="42"/>
      <c r="V1146" s="42"/>
      <c r="W1146" s="42"/>
    </row>
    <row r="1147">
      <c r="A1147" s="9"/>
      <c r="B1147" s="9"/>
      <c r="C1147" s="9"/>
      <c r="D1147" s="42"/>
      <c r="E1147" s="103"/>
      <c r="F1147" s="42"/>
      <c r="G1147" s="9"/>
      <c r="H1147" s="9"/>
      <c r="I1147" s="9"/>
      <c r="J1147" s="9"/>
      <c r="K1147" s="42"/>
      <c r="L1147" s="42"/>
      <c r="M1147" s="42"/>
      <c r="N1147" s="42"/>
      <c r="O1147" s="42"/>
      <c r="P1147" s="9"/>
      <c r="Q1147" s="9"/>
      <c r="R1147" s="42"/>
      <c r="S1147" s="42"/>
      <c r="T1147" s="42"/>
      <c r="U1147" s="42"/>
      <c r="V1147" s="42"/>
      <c r="W1147" s="42"/>
    </row>
    <row r="1148">
      <c r="A1148" s="9"/>
      <c r="B1148" s="9"/>
      <c r="C1148" s="9"/>
      <c r="D1148" s="42"/>
      <c r="E1148" s="103"/>
      <c r="F1148" s="42"/>
      <c r="G1148" s="9"/>
      <c r="H1148" s="9"/>
      <c r="I1148" s="9"/>
      <c r="J1148" s="9"/>
      <c r="K1148" s="42"/>
      <c r="L1148" s="42"/>
      <c r="M1148" s="42"/>
      <c r="N1148" s="42"/>
      <c r="O1148" s="42"/>
      <c r="P1148" s="9"/>
      <c r="Q1148" s="9"/>
      <c r="R1148" s="42"/>
      <c r="S1148" s="42"/>
      <c r="T1148" s="42"/>
      <c r="U1148" s="42"/>
      <c r="V1148" s="42"/>
      <c r="W1148" s="42"/>
    </row>
    <row r="1149">
      <c r="A1149" s="9"/>
      <c r="B1149" s="9"/>
      <c r="C1149" s="9"/>
      <c r="D1149" s="42"/>
      <c r="E1149" s="103"/>
      <c r="F1149" s="42"/>
      <c r="G1149" s="9"/>
      <c r="H1149" s="9"/>
      <c r="I1149" s="9"/>
      <c r="J1149" s="9"/>
      <c r="K1149" s="42"/>
      <c r="L1149" s="42"/>
      <c r="M1149" s="42"/>
      <c r="N1149" s="42"/>
      <c r="O1149" s="42"/>
      <c r="P1149" s="9"/>
      <c r="Q1149" s="9"/>
      <c r="R1149" s="42"/>
      <c r="S1149" s="42"/>
      <c r="T1149" s="42"/>
      <c r="U1149" s="42"/>
      <c r="V1149" s="42"/>
      <c r="W1149" s="42"/>
    </row>
    <row r="1150">
      <c r="A1150" s="9"/>
      <c r="B1150" s="9"/>
      <c r="C1150" s="9"/>
      <c r="D1150" s="42"/>
      <c r="E1150" s="103"/>
      <c r="F1150" s="42"/>
      <c r="G1150" s="9"/>
      <c r="H1150" s="9"/>
      <c r="I1150" s="9"/>
      <c r="J1150" s="9"/>
      <c r="K1150" s="42"/>
      <c r="L1150" s="42"/>
      <c r="M1150" s="42"/>
      <c r="N1150" s="42"/>
      <c r="O1150" s="42"/>
      <c r="P1150" s="9"/>
      <c r="Q1150" s="9"/>
      <c r="R1150" s="42"/>
      <c r="S1150" s="42"/>
      <c r="T1150" s="42"/>
      <c r="U1150" s="42"/>
      <c r="V1150" s="42"/>
      <c r="W1150" s="42"/>
    </row>
    <row r="1151">
      <c r="A1151" s="9"/>
      <c r="B1151" s="9"/>
      <c r="C1151" s="9"/>
      <c r="D1151" s="42"/>
      <c r="E1151" s="103"/>
      <c r="F1151" s="42"/>
      <c r="G1151" s="9"/>
      <c r="H1151" s="9"/>
      <c r="I1151" s="9"/>
      <c r="J1151" s="9"/>
      <c r="K1151" s="42"/>
      <c r="L1151" s="42"/>
      <c r="M1151" s="42"/>
      <c r="N1151" s="42"/>
      <c r="O1151" s="42"/>
      <c r="P1151" s="9"/>
      <c r="Q1151" s="9"/>
      <c r="R1151" s="42"/>
      <c r="S1151" s="42"/>
      <c r="T1151" s="42"/>
      <c r="U1151" s="42"/>
      <c r="V1151" s="42"/>
      <c r="W1151" s="42"/>
    </row>
    <row r="1152">
      <c r="A1152" s="9"/>
      <c r="B1152" s="9"/>
      <c r="C1152" s="9"/>
      <c r="D1152" s="42"/>
      <c r="E1152" s="103"/>
      <c r="F1152" s="42"/>
      <c r="G1152" s="9"/>
      <c r="H1152" s="9"/>
      <c r="I1152" s="9"/>
      <c r="J1152" s="9"/>
      <c r="K1152" s="42"/>
      <c r="L1152" s="42"/>
      <c r="M1152" s="42"/>
      <c r="N1152" s="42"/>
      <c r="O1152" s="42"/>
      <c r="P1152" s="9"/>
      <c r="Q1152" s="9"/>
      <c r="R1152" s="42"/>
      <c r="S1152" s="42"/>
      <c r="T1152" s="42"/>
      <c r="U1152" s="42"/>
      <c r="V1152" s="42"/>
      <c r="W1152" s="42"/>
    </row>
    <row r="1153">
      <c r="A1153" s="9"/>
      <c r="B1153" s="9"/>
      <c r="C1153" s="9"/>
      <c r="D1153" s="42"/>
      <c r="E1153" s="103"/>
      <c r="F1153" s="42"/>
      <c r="G1153" s="9"/>
      <c r="H1153" s="9"/>
      <c r="I1153" s="9"/>
      <c r="J1153" s="9"/>
      <c r="K1153" s="42"/>
      <c r="L1153" s="42"/>
      <c r="M1153" s="42"/>
      <c r="N1153" s="42"/>
      <c r="O1153" s="42"/>
      <c r="P1153" s="9"/>
      <c r="Q1153" s="9"/>
      <c r="R1153" s="42"/>
      <c r="S1153" s="42"/>
      <c r="T1153" s="42"/>
      <c r="U1153" s="42"/>
      <c r="V1153" s="42"/>
      <c r="W1153" s="42"/>
    </row>
    <row r="1154">
      <c r="A1154" s="9"/>
      <c r="B1154" s="9"/>
      <c r="C1154" s="9"/>
      <c r="D1154" s="42"/>
      <c r="E1154" s="103"/>
      <c r="F1154" s="42"/>
      <c r="G1154" s="9"/>
      <c r="H1154" s="9"/>
      <c r="I1154" s="9"/>
      <c r="J1154" s="9"/>
      <c r="K1154" s="42"/>
      <c r="L1154" s="42"/>
      <c r="M1154" s="42"/>
      <c r="N1154" s="42"/>
      <c r="O1154" s="42"/>
      <c r="P1154" s="9"/>
      <c r="Q1154" s="9"/>
      <c r="R1154" s="42"/>
      <c r="S1154" s="42"/>
      <c r="T1154" s="42"/>
      <c r="U1154" s="42"/>
      <c r="V1154" s="42"/>
      <c r="W1154" s="42"/>
    </row>
    <row r="1155">
      <c r="A1155" s="9"/>
      <c r="B1155" s="9"/>
      <c r="C1155" s="9"/>
      <c r="D1155" s="42"/>
      <c r="E1155" s="103"/>
      <c r="F1155" s="42"/>
      <c r="G1155" s="9"/>
      <c r="H1155" s="9"/>
      <c r="I1155" s="9"/>
      <c r="J1155" s="9"/>
      <c r="K1155" s="42"/>
      <c r="L1155" s="42"/>
      <c r="M1155" s="42"/>
      <c r="N1155" s="42"/>
      <c r="O1155" s="42"/>
      <c r="P1155" s="9"/>
      <c r="Q1155" s="9"/>
      <c r="R1155" s="42"/>
      <c r="S1155" s="42"/>
      <c r="T1155" s="42"/>
      <c r="U1155" s="42"/>
      <c r="V1155" s="42"/>
      <c r="W1155" s="42"/>
    </row>
    <row r="1156">
      <c r="A1156" s="9"/>
      <c r="B1156" s="9"/>
      <c r="C1156" s="9"/>
      <c r="D1156" s="42"/>
      <c r="E1156" s="103"/>
      <c r="F1156" s="42"/>
      <c r="G1156" s="9"/>
      <c r="H1156" s="9"/>
      <c r="I1156" s="9"/>
      <c r="J1156" s="9"/>
      <c r="K1156" s="42"/>
      <c r="L1156" s="42"/>
      <c r="M1156" s="42"/>
      <c r="N1156" s="42"/>
      <c r="O1156" s="42"/>
      <c r="P1156" s="9"/>
      <c r="Q1156" s="9"/>
      <c r="R1156" s="42"/>
      <c r="S1156" s="42"/>
      <c r="T1156" s="42"/>
      <c r="U1156" s="42"/>
      <c r="V1156" s="42"/>
      <c r="W1156" s="42"/>
    </row>
    <row r="1157">
      <c r="A1157" s="9"/>
      <c r="B1157" s="9"/>
      <c r="C1157" s="9"/>
      <c r="D1157" s="42"/>
      <c r="E1157" s="103"/>
      <c r="F1157" s="42"/>
      <c r="G1157" s="9"/>
      <c r="H1157" s="9"/>
      <c r="I1157" s="9"/>
      <c r="J1157" s="9"/>
      <c r="K1157" s="42"/>
      <c r="L1157" s="42"/>
      <c r="M1157" s="42"/>
      <c r="N1157" s="42"/>
      <c r="O1157" s="42"/>
      <c r="P1157" s="9"/>
      <c r="Q1157" s="9"/>
      <c r="R1157" s="42"/>
      <c r="S1157" s="42"/>
      <c r="T1157" s="42"/>
      <c r="U1157" s="42"/>
      <c r="V1157" s="42"/>
      <c r="W1157" s="42"/>
    </row>
    <row r="1158">
      <c r="A1158" s="9"/>
      <c r="B1158" s="9"/>
      <c r="C1158" s="9"/>
      <c r="D1158" s="42"/>
      <c r="E1158" s="103"/>
      <c r="F1158" s="42"/>
      <c r="G1158" s="9"/>
      <c r="H1158" s="9"/>
      <c r="I1158" s="9"/>
      <c r="J1158" s="9"/>
      <c r="K1158" s="42"/>
      <c r="L1158" s="42"/>
      <c r="M1158" s="42"/>
      <c r="N1158" s="42"/>
      <c r="O1158" s="42"/>
      <c r="P1158" s="9"/>
      <c r="Q1158" s="9"/>
      <c r="R1158" s="42"/>
      <c r="S1158" s="42"/>
      <c r="T1158" s="42"/>
      <c r="U1158" s="42"/>
      <c r="V1158" s="42"/>
      <c r="W1158" s="42"/>
    </row>
    <row r="1159">
      <c r="A1159" s="9"/>
      <c r="B1159" s="9"/>
      <c r="C1159" s="9"/>
      <c r="D1159" s="42"/>
      <c r="E1159" s="103"/>
      <c r="F1159" s="42"/>
      <c r="G1159" s="9"/>
      <c r="H1159" s="9"/>
      <c r="I1159" s="9"/>
      <c r="J1159" s="9"/>
      <c r="K1159" s="42"/>
      <c r="L1159" s="42"/>
      <c r="M1159" s="42"/>
      <c r="N1159" s="42"/>
      <c r="O1159" s="42"/>
      <c r="P1159" s="9"/>
      <c r="Q1159" s="9"/>
      <c r="R1159" s="42"/>
      <c r="S1159" s="42"/>
      <c r="T1159" s="42"/>
      <c r="U1159" s="42"/>
      <c r="V1159" s="42"/>
      <c r="W1159" s="42"/>
    </row>
    <row r="1160">
      <c r="A1160" s="9"/>
      <c r="B1160" s="9"/>
      <c r="C1160" s="9"/>
      <c r="D1160" s="42"/>
      <c r="E1160" s="103"/>
      <c r="F1160" s="42"/>
      <c r="G1160" s="9"/>
      <c r="H1160" s="9"/>
      <c r="I1160" s="9"/>
      <c r="J1160" s="9"/>
      <c r="K1160" s="42"/>
      <c r="L1160" s="42"/>
      <c r="M1160" s="42"/>
      <c r="N1160" s="42"/>
      <c r="O1160" s="42"/>
      <c r="P1160" s="9"/>
      <c r="Q1160" s="9"/>
      <c r="R1160" s="42"/>
      <c r="S1160" s="42"/>
      <c r="T1160" s="42"/>
      <c r="U1160" s="42"/>
      <c r="V1160" s="42"/>
      <c r="W1160" s="42"/>
    </row>
    <row r="1161">
      <c r="A1161" s="9"/>
      <c r="B1161" s="9"/>
      <c r="C1161" s="9"/>
      <c r="D1161" s="42"/>
      <c r="E1161" s="103"/>
      <c r="F1161" s="42"/>
      <c r="G1161" s="9"/>
      <c r="H1161" s="9"/>
      <c r="I1161" s="9"/>
      <c r="J1161" s="9"/>
      <c r="K1161" s="42"/>
      <c r="L1161" s="42"/>
      <c r="M1161" s="42"/>
      <c r="N1161" s="42"/>
      <c r="O1161" s="42"/>
      <c r="P1161" s="9"/>
      <c r="Q1161" s="9"/>
      <c r="R1161" s="42"/>
      <c r="S1161" s="42"/>
      <c r="T1161" s="42"/>
      <c r="U1161" s="42"/>
      <c r="V1161" s="42"/>
      <c r="W1161" s="42"/>
    </row>
    <row r="1162">
      <c r="A1162" s="9"/>
      <c r="B1162" s="9"/>
      <c r="C1162" s="9"/>
      <c r="D1162" s="42"/>
      <c r="E1162" s="103"/>
      <c r="F1162" s="42"/>
      <c r="G1162" s="9"/>
      <c r="H1162" s="9"/>
      <c r="I1162" s="9"/>
      <c r="J1162" s="9"/>
      <c r="K1162" s="42"/>
      <c r="L1162" s="42"/>
      <c r="M1162" s="42"/>
      <c r="N1162" s="42"/>
      <c r="O1162" s="42"/>
      <c r="P1162" s="9"/>
      <c r="Q1162" s="9"/>
      <c r="R1162" s="42"/>
      <c r="S1162" s="42"/>
      <c r="T1162" s="42"/>
      <c r="U1162" s="42"/>
      <c r="V1162" s="42"/>
      <c r="W1162" s="42"/>
    </row>
    <row r="1163">
      <c r="A1163" s="9"/>
      <c r="B1163" s="9"/>
      <c r="C1163" s="9"/>
      <c r="D1163" s="42"/>
      <c r="E1163" s="103"/>
      <c r="F1163" s="42"/>
      <c r="G1163" s="9"/>
      <c r="H1163" s="9"/>
      <c r="I1163" s="9"/>
      <c r="J1163" s="9"/>
      <c r="K1163" s="42"/>
      <c r="L1163" s="42"/>
      <c r="M1163" s="42"/>
      <c r="N1163" s="42"/>
      <c r="O1163" s="42"/>
      <c r="P1163" s="9"/>
      <c r="Q1163" s="9"/>
      <c r="R1163" s="42"/>
      <c r="S1163" s="42"/>
      <c r="T1163" s="42"/>
      <c r="U1163" s="42"/>
      <c r="V1163" s="42"/>
      <c r="W1163" s="42"/>
    </row>
    <row r="1164">
      <c r="A1164" s="9"/>
      <c r="B1164" s="9"/>
      <c r="C1164" s="9"/>
      <c r="D1164" s="42"/>
      <c r="E1164" s="103"/>
      <c r="F1164" s="42"/>
      <c r="G1164" s="9"/>
      <c r="H1164" s="9"/>
      <c r="I1164" s="9"/>
      <c r="J1164" s="9"/>
      <c r="K1164" s="42"/>
      <c r="L1164" s="42"/>
      <c r="M1164" s="42"/>
      <c r="N1164" s="42"/>
      <c r="O1164" s="42"/>
      <c r="P1164" s="9"/>
      <c r="Q1164" s="9"/>
      <c r="R1164" s="42"/>
      <c r="S1164" s="42"/>
      <c r="T1164" s="42"/>
      <c r="U1164" s="42"/>
      <c r="V1164" s="42"/>
      <c r="W1164" s="42"/>
    </row>
    <row r="1165">
      <c r="A1165" s="9"/>
      <c r="B1165" s="9"/>
      <c r="C1165" s="9"/>
      <c r="D1165" s="42"/>
      <c r="E1165" s="103"/>
      <c r="F1165" s="42"/>
      <c r="G1165" s="9"/>
      <c r="H1165" s="9"/>
      <c r="I1165" s="9"/>
      <c r="J1165" s="9"/>
      <c r="K1165" s="42"/>
      <c r="L1165" s="42"/>
      <c r="M1165" s="42"/>
      <c r="N1165" s="42"/>
      <c r="O1165" s="42"/>
      <c r="P1165" s="9"/>
      <c r="Q1165" s="9"/>
      <c r="R1165" s="42"/>
      <c r="S1165" s="42"/>
      <c r="T1165" s="42"/>
      <c r="U1165" s="42"/>
      <c r="V1165" s="42"/>
      <c r="W1165" s="42"/>
    </row>
    <row r="1166">
      <c r="A1166" s="9"/>
      <c r="B1166" s="9"/>
      <c r="C1166" s="9"/>
      <c r="D1166" s="42"/>
      <c r="E1166" s="103"/>
      <c r="F1166" s="42"/>
      <c r="G1166" s="9"/>
      <c r="H1166" s="9"/>
      <c r="I1166" s="9"/>
      <c r="J1166" s="9"/>
      <c r="K1166" s="42"/>
      <c r="L1166" s="42"/>
      <c r="M1166" s="42"/>
      <c r="N1166" s="42"/>
      <c r="O1166" s="42"/>
      <c r="P1166" s="9"/>
      <c r="Q1166" s="9"/>
      <c r="R1166" s="42"/>
      <c r="S1166" s="42"/>
      <c r="T1166" s="42"/>
      <c r="U1166" s="42"/>
      <c r="V1166" s="42"/>
      <c r="W1166" s="42"/>
    </row>
    <row r="1167">
      <c r="A1167" s="9"/>
      <c r="B1167" s="9"/>
      <c r="C1167" s="9"/>
      <c r="D1167" s="42"/>
      <c r="E1167" s="103"/>
      <c r="F1167" s="42"/>
      <c r="G1167" s="9"/>
      <c r="H1167" s="9"/>
      <c r="I1167" s="9"/>
      <c r="J1167" s="9"/>
      <c r="K1167" s="42"/>
      <c r="L1167" s="42"/>
      <c r="M1167" s="42"/>
      <c r="N1167" s="42"/>
      <c r="O1167" s="42"/>
      <c r="P1167" s="9"/>
      <c r="Q1167" s="9"/>
      <c r="R1167" s="42"/>
      <c r="S1167" s="42"/>
      <c r="T1167" s="42"/>
      <c r="U1167" s="42"/>
      <c r="V1167" s="42"/>
      <c r="W1167" s="42"/>
    </row>
    <row r="1168">
      <c r="A1168" s="9"/>
      <c r="B1168" s="9"/>
      <c r="C1168" s="9"/>
      <c r="D1168" s="42"/>
      <c r="E1168" s="103"/>
      <c r="F1168" s="42"/>
      <c r="G1168" s="9"/>
      <c r="H1168" s="9"/>
      <c r="I1168" s="9"/>
      <c r="J1168" s="9"/>
      <c r="K1168" s="42"/>
      <c r="L1168" s="42"/>
      <c r="M1168" s="42"/>
      <c r="N1168" s="42"/>
      <c r="O1168" s="42"/>
      <c r="P1168" s="9"/>
      <c r="Q1168" s="9"/>
      <c r="R1168" s="42"/>
      <c r="S1168" s="42"/>
      <c r="T1168" s="42"/>
      <c r="U1168" s="42"/>
      <c r="V1168" s="42"/>
      <c r="W1168" s="42"/>
    </row>
    <row r="1169">
      <c r="A1169" s="9"/>
      <c r="B1169" s="9"/>
      <c r="C1169" s="9"/>
      <c r="D1169" s="42"/>
      <c r="E1169" s="103"/>
      <c r="F1169" s="42"/>
      <c r="G1169" s="9"/>
      <c r="H1169" s="9"/>
      <c r="I1169" s="9"/>
      <c r="J1169" s="9"/>
      <c r="K1169" s="42"/>
      <c r="L1169" s="42"/>
      <c r="M1169" s="42"/>
      <c r="N1169" s="42"/>
      <c r="O1169" s="42"/>
      <c r="P1169" s="9"/>
      <c r="Q1169" s="9"/>
      <c r="R1169" s="42"/>
      <c r="S1169" s="42"/>
      <c r="T1169" s="42"/>
      <c r="U1169" s="42"/>
      <c r="V1169" s="42"/>
      <c r="W1169" s="42"/>
    </row>
    <row r="1170">
      <c r="A1170" s="9"/>
      <c r="B1170" s="9"/>
      <c r="C1170" s="9"/>
      <c r="D1170" s="42"/>
      <c r="E1170" s="103"/>
      <c r="F1170" s="42"/>
      <c r="G1170" s="9"/>
      <c r="H1170" s="9"/>
      <c r="I1170" s="9"/>
      <c r="J1170" s="9"/>
      <c r="K1170" s="42"/>
      <c r="L1170" s="42"/>
      <c r="M1170" s="42"/>
      <c r="N1170" s="42"/>
      <c r="O1170" s="42"/>
      <c r="P1170" s="9"/>
      <c r="Q1170" s="9"/>
      <c r="R1170" s="42"/>
      <c r="S1170" s="42"/>
      <c r="T1170" s="42"/>
      <c r="U1170" s="42"/>
      <c r="V1170" s="42"/>
      <c r="W1170" s="42"/>
    </row>
    <row r="1171">
      <c r="A1171" s="9"/>
      <c r="B1171" s="9"/>
      <c r="C1171" s="9"/>
      <c r="D1171" s="42"/>
      <c r="E1171" s="103"/>
      <c r="F1171" s="42"/>
      <c r="G1171" s="9"/>
      <c r="H1171" s="9"/>
      <c r="I1171" s="9"/>
      <c r="J1171" s="9"/>
      <c r="K1171" s="42"/>
      <c r="L1171" s="42"/>
      <c r="M1171" s="42"/>
      <c r="N1171" s="42"/>
      <c r="O1171" s="42"/>
      <c r="P1171" s="9"/>
      <c r="Q1171" s="9"/>
      <c r="R1171" s="42"/>
      <c r="S1171" s="42"/>
      <c r="T1171" s="42"/>
      <c r="U1171" s="42"/>
      <c r="V1171" s="42"/>
      <c r="W1171" s="42"/>
    </row>
    <row r="1172">
      <c r="A1172" s="9"/>
      <c r="B1172" s="9"/>
      <c r="C1172" s="9"/>
      <c r="D1172" s="42"/>
      <c r="E1172" s="103"/>
      <c r="F1172" s="42"/>
      <c r="G1172" s="9"/>
      <c r="H1172" s="9"/>
      <c r="I1172" s="9"/>
      <c r="J1172" s="9"/>
      <c r="K1172" s="42"/>
      <c r="L1172" s="42"/>
      <c r="M1172" s="42"/>
      <c r="N1172" s="42"/>
      <c r="O1172" s="42"/>
      <c r="P1172" s="9"/>
      <c r="Q1172" s="9"/>
      <c r="R1172" s="42"/>
      <c r="S1172" s="42"/>
      <c r="T1172" s="42"/>
      <c r="U1172" s="42"/>
      <c r="V1172" s="42"/>
      <c r="W1172" s="42"/>
    </row>
    <row r="1173">
      <c r="A1173" s="9"/>
      <c r="B1173" s="9"/>
      <c r="C1173" s="9"/>
      <c r="D1173" s="42"/>
      <c r="E1173" s="103"/>
      <c r="F1173" s="42"/>
      <c r="G1173" s="9"/>
      <c r="H1173" s="9"/>
      <c r="I1173" s="9"/>
      <c r="J1173" s="9"/>
      <c r="K1173" s="42"/>
      <c r="L1173" s="42"/>
      <c r="M1173" s="42"/>
      <c r="N1173" s="42"/>
      <c r="O1173" s="42"/>
      <c r="P1173" s="9"/>
      <c r="Q1173" s="9"/>
      <c r="R1173" s="42"/>
      <c r="S1173" s="42"/>
      <c r="T1173" s="42"/>
      <c r="U1173" s="42"/>
      <c r="V1173" s="42"/>
      <c r="W1173" s="42"/>
    </row>
    <row r="1174">
      <c r="A1174" s="9"/>
      <c r="B1174" s="9"/>
      <c r="C1174" s="9"/>
      <c r="D1174" s="42"/>
      <c r="E1174" s="103"/>
      <c r="F1174" s="42"/>
      <c r="G1174" s="9"/>
      <c r="H1174" s="9"/>
      <c r="I1174" s="9"/>
      <c r="J1174" s="9"/>
      <c r="K1174" s="42"/>
      <c r="L1174" s="42"/>
      <c r="M1174" s="42"/>
      <c r="N1174" s="42"/>
      <c r="O1174" s="42"/>
      <c r="P1174" s="9"/>
      <c r="Q1174" s="9"/>
      <c r="R1174" s="42"/>
      <c r="S1174" s="42"/>
      <c r="T1174" s="42"/>
      <c r="U1174" s="42"/>
      <c r="V1174" s="42"/>
      <c r="W1174" s="42"/>
    </row>
    <row r="1175">
      <c r="A1175" s="9"/>
      <c r="B1175" s="9"/>
      <c r="C1175" s="9"/>
      <c r="D1175" s="42"/>
      <c r="E1175" s="103"/>
      <c r="F1175" s="42"/>
      <c r="G1175" s="9"/>
      <c r="H1175" s="9"/>
      <c r="I1175" s="9"/>
      <c r="J1175" s="9"/>
      <c r="K1175" s="42"/>
      <c r="L1175" s="42"/>
      <c r="M1175" s="42"/>
      <c r="N1175" s="42"/>
      <c r="O1175" s="42"/>
      <c r="P1175" s="9"/>
      <c r="Q1175" s="9"/>
      <c r="R1175" s="42"/>
      <c r="S1175" s="42"/>
      <c r="T1175" s="42"/>
      <c r="U1175" s="42"/>
      <c r="V1175" s="42"/>
      <c r="W1175" s="42"/>
    </row>
    <row r="1176">
      <c r="A1176" s="9"/>
      <c r="B1176" s="9"/>
      <c r="C1176" s="9"/>
      <c r="D1176" s="42"/>
      <c r="E1176" s="103"/>
      <c r="F1176" s="42"/>
      <c r="G1176" s="9"/>
      <c r="H1176" s="9"/>
      <c r="I1176" s="9"/>
      <c r="J1176" s="9"/>
      <c r="K1176" s="42"/>
      <c r="L1176" s="42"/>
      <c r="M1176" s="42"/>
      <c r="N1176" s="42"/>
      <c r="O1176" s="42"/>
      <c r="P1176" s="9"/>
      <c r="Q1176" s="9"/>
      <c r="R1176" s="42"/>
      <c r="S1176" s="42"/>
      <c r="T1176" s="42"/>
      <c r="U1176" s="42"/>
      <c r="V1176" s="42"/>
      <c r="W1176" s="42"/>
    </row>
    <row r="1177">
      <c r="A1177" s="9"/>
      <c r="B1177" s="9"/>
      <c r="C1177" s="9"/>
      <c r="D1177" s="42"/>
      <c r="E1177" s="103"/>
      <c r="F1177" s="42"/>
      <c r="G1177" s="9"/>
      <c r="H1177" s="9"/>
      <c r="I1177" s="9"/>
      <c r="J1177" s="9"/>
      <c r="K1177" s="42"/>
      <c r="L1177" s="42"/>
      <c r="M1177" s="42"/>
      <c r="N1177" s="42"/>
      <c r="O1177" s="42"/>
      <c r="P1177" s="9"/>
      <c r="Q1177" s="9"/>
      <c r="R1177" s="42"/>
      <c r="S1177" s="42"/>
      <c r="T1177" s="42"/>
      <c r="U1177" s="42"/>
      <c r="V1177" s="42"/>
      <c r="W1177" s="42"/>
    </row>
    <row r="1178">
      <c r="A1178" s="9"/>
      <c r="B1178" s="9"/>
      <c r="C1178" s="9"/>
      <c r="D1178" s="42"/>
      <c r="E1178" s="103"/>
      <c r="F1178" s="42"/>
      <c r="G1178" s="9"/>
      <c r="H1178" s="9"/>
      <c r="I1178" s="9"/>
      <c r="J1178" s="9"/>
      <c r="K1178" s="42"/>
      <c r="L1178" s="42"/>
      <c r="M1178" s="42"/>
      <c r="N1178" s="42"/>
      <c r="O1178" s="42"/>
      <c r="P1178" s="9"/>
      <c r="Q1178" s="9"/>
      <c r="R1178" s="42"/>
      <c r="S1178" s="42"/>
      <c r="T1178" s="42"/>
      <c r="U1178" s="42"/>
      <c r="V1178" s="42"/>
      <c r="W1178" s="42"/>
    </row>
    <row r="1179">
      <c r="A1179" s="9"/>
      <c r="B1179" s="9"/>
      <c r="C1179" s="9"/>
      <c r="D1179" s="42"/>
      <c r="E1179" s="103"/>
      <c r="F1179" s="42"/>
      <c r="G1179" s="9"/>
      <c r="H1179" s="9"/>
      <c r="I1179" s="9"/>
      <c r="J1179" s="9"/>
      <c r="K1179" s="42"/>
      <c r="L1179" s="42"/>
      <c r="M1179" s="42"/>
      <c r="N1179" s="42"/>
      <c r="O1179" s="42"/>
      <c r="P1179" s="9"/>
      <c r="Q1179" s="9"/>
      <c r="R1179" s="42"/>
      <c r="S1179" s="42"/>
      <c r="T1179" s="42"/>
      <c r="U1179" s="42"/>
      <c r="V1179" s="42"/>
      <c r="W1179" s="42"/>
    </row>
    <row r="1180">
      <c r="A1180" s="9"/>
      <c r="B1180" s="9"/>
      <c r="C1180" s="9"/>
      <c r="D1180" s="42"/>
      <c r="E1180" s="103"/>
      <c r="F1180" s="42"/>
      <c r="G1180" s="9"/>
      <c r="H1180" s="9"/>
      <c r="I1180" s="9"/>
      <c r="J1180" s="9"/>
      <c r="K1180" s="42"/>
      <c r="L1180" s="42"/>
      <c r="M1180" s="42"/>
      <c r="N1180" s="42"/>
      <c r="O1180" s="42"/>
      <c r="P1180" s="9"/>
      <c r="Q1180" s="9"/>
      <c r="R1180" s="42"/>
      <c r="S1180" s="42"/>
      <c r="T1180" s="42"/>
      <c r="U1180" s="42"/>
      <c r="V1180" s="42"/>
      <c r="W1180" s="42"/>
    </row>
    <row r="1181">
      <c r="A1181" s="9"/>
      <c r="B1181" s="9"/>
      <c r="C1181" s="9"/>
      <c r="D1181" s="42"/>
      <c r="E1181" s="103"/>
      <c r="F1181" s="42"/>
      <c r="G1181" s="9"/>
      <c r="H1181" s="9"/>
      <c r="I1181" s="9"/>
      <c r="J1181" s="9"/>
      <c r="K1181" s="42"/>
      <c r="L1181" s="42"/>
      <c r="M1181" s="42"/>
      <c r="N1181" s="42"/>
      <c r="O1181" s="42"/>
      <c r="P1181" s="9"/>
      <c r="Q1181" s="9"/>
      <c r="R1181" s="42"/>
      <c r="S1181" s="42"/>
      <c r="T1181" s="42"/>
      <c r="U1181" s="42"/>
      <c r="V1181" s="42"/>
      <c r="W1181" s="42"/>
    </row>
    <row r="1182">
      <c r="A1182" s="9"/>
      <c r="B1182" s="9"/>
      <c r="C1182" s="9"/>
      <c r="D1182" s="42"/>
      <c r="E1182" s="103"/>
      <c r="F1182" s="42"/>
      <c r="G1182" s="9"/>
      <c r="H1182" s="9"/>
      <c r="I1182" s="9"/>
      <c r="J1182" s="9"/>
      <c r="K1182" s="42"/>
      <c r="L1182" s="42"/>
      <c r="M1182" s="42"/>
      <c r="N1182" s="42"/>
      <c r="O1182" s="42"/>
      <c r="P1182" s="9"/>
      <c r="Q1182" s="9"/>
      <c r="R1182" s="42"/>
      <c r="S1182" s="42"/>
      <c r="T1182" s="42"/>
      <c r="U1182" s="42"/>
      <c r="V1182" s="42"/>
      <c r="W1182" s="42"/>
    </row>
    <row r="1183">
      <c r="A1183" s="9"/>
      <c r="B1183" s="9"/>
      <c r="C1183" s="9"/>
      <c r="D1183" s="42"/>
      <c r="E1183" s="103"/>
      <c r="F1183" s="42"/>
      <c r="G1183" s="9"/>
      <c r="H1183" s="9"/>
      <c r="I1183" s="9"/>
      <c r="J1183" s="9"/>
      <c r="K1183" s="42"/>
      <c r="L1183" s="42"/>
      <c r="M1183" s="42"/>
      <c r="N1183" s="42"/>
      <c r="O1183" s="42"/>
      <c r="P1183" s="9"/>
      <c r="Q1183" s="9"/>
      <c r="R1183" s="42"/>
      <c r="S1183" s="42"/>
      <c r="T1183" s="42"/>
      <c r="U1183" s="42"/>
      <c r="V1183" s="42"/>
      <c r="W1183" s="42"/>
    </row>
    <row r="1184">
      <c r="A1184" s="9"/>
      <c r="B1184" s="9"/>
      <c r="C1184" s="9"/>
      <c r="D1184" s="42"/>
      <c r="E1184" s="103"/>
      <c r="F1184" s="42"/>
      <c r="G1184" s="9"/>
      <c r="H1184" s="9"/>
      <c r="I1184" s="9"/>
      <c r="J1184" s="9"/>
      <c r="K1184" s="42"/>
      <c r="L1184" s="42"/>
      <c r="M1184" s="42"/>
      <c r="N1184" s="42"/>
      <c r="O1184" s="42"/>
      <c r="P1184" s="9"/>
      <c r="Q1184" s="9"/>
      <c r="R1184" s="42"/>
      <c r="S1184" s="42"/>
      <c r="T1184" s="42"/>
      <c r="U1184" s="42"/>
      <c r="V1184" s="42"/>
      <c r="W1184" s="42"/>
    </row>
    <row r="1185">
      <c r="A1185" s="9"/>
      <c r="B1185" s="9"/>
      <c r="C1185" s="9"/>
      <c r="D1185" s="42"/>
      <c r="E1185" s="103"/>
      <c r="F1185" s="42"/>
      <c r="G1185" s="9"/>
      <c r="H1185" s="9"/>
      <c r="I1185" s="9"/>
      <c r="J1185" s="9"/>
      <c r="K1185" s="42"/>
      <c r="L1185" s="42"/>
      <c r="M1185" s="42"/>
      <c r="N1185" s="42"/>
      <c r="O1185" s="42"/>
      <c r="P1185" s="9"/>
      <c r="Q1185" s="9"/>
      <c r="R1185" s="42"/>
      <c r="S1185" s="42"/>
      <c r="T1185" s="42"/>
      <c r="U1185" s="42"/>
      <c r="V1185" s="42"/>
      <c r="W1185" s="42"/>
    </row>
    <row r="1186">
      <c r="A1186" s="9"/>
      <c r="B1186" s="9"/>
      <c r="C1186" s="9"/>
      <c r="D1186" s="42"/>
      <c r="E1186" s="103"/>
      <c r="F1186" s="42"/>
      <c r="G1186" s="9"/>
      <c r="H1186" s="9"/>
      <c r="I1186" s="9"/>
      <c r="J1186" s="9"/>
      <c r="K1186" s="42"/>
      <c r="L1186" s="42"/>
      <c r="M1186" s="42"/>
      <c r="N1186" s="42"/>
      <c r="O1186" s="42"/>
      <c r="P1186" s="9"/>
      <c r="Q1186" s="9"/>
      <c r="R1186" s="42"/>
      <c r="S1186" s="42"/>
      <c r="T1186" s="42"/>
      <c r="U1186" s="42"/>
      <c r="V1186" s="42"/>
      <c r="W1186" s="42"/>
    </row>
    <row r="1187">
      <c r="A1187" s="9"/>
      <c r="B1187" s="9"/>
      <c r="C1187" s="9"/>
      <c r="D1187" s="42"/>
      <c r="E1187" s="103"/>
      <c r="F1187" s="42"/>
      <c r="G1187" s="9"/>
      <c r="H1187" s="9"/>
      <c r="I1187" s="9"/>
      <c r="J1187" s="9"/>
      <c r="K1187" s="42"/>
      <c r="L1187" s="42"/>
      <c r="M1187" s="42"/>
      <c r="N1187" s="42"/>
      <c r="O1187" s="42"/>
      <c r="P1187" s="9"/>
      <c r="Q1187" s="9"/>
      <c r="R1187" s="42"/>
      <c r="S1187" s="42"/>
      <c r="T1187" s="42"/>
      <c r="U1187" s="42"/>
      <c r="V1187" s="42"/>
      <c r="W1187" s="42"/>
    </row>
    <row r="1188">
      <c r="A1188" s="9"/>
      <c r="B1188" s="9"/>
      <c r="C1188" s="9"/>
      <c r="D1188" s="42"/>
      <c r="E1188" s="103"/>
      <c r="F1188" s="42"/>
      <c r="G1188" s="9"/>
      <c r="H1188" s="9"/>
      <c r="I1188" s="9"/>
      <c r="J1188" s="9"/>
      <c r="K1188" s="42"/>
      <c r="L1188" s="42"/>
      <c r="M1188" s="42"/>
      <c r="N1188" s="42"/>
      <c r="O1188" s="42"/>
      <c r="P1188" s="9"/>
      <c r="Q1188" s="9"/>
      <c r="R1188" s="42"/>
      <c r="S1188" s="42"/>
      <c r="T1188" s="42"/>
      <c r="U1188" s="42"/>
      <c r="V1188" s="42"/>
      <c r="W1188" s="42"/>
    </row>
    <row r="1189">
      <c r="A1189" s="9"/>
      <c r="B1189" s="9"/>
      <c r="C1189" s="9"/>
      <c r="D1189" s="42"/>
      <c r="E1189" s="103"/>
      <c r="F1189" s="42"/>
      <c r="G1189" s="9"/>
      <c r="H1189" s="9"/>
      <c r="I1189" s="9"/>
      <c r="J1189" s="9"/>
      <c r="K1189" s="42"/>
      <c r="L1189" s="42"/>
      <c r="M1189" s="42"/>
      <c r="N1189" s="42"/>
      <c r="O1189" s="42"/>
      <c r="P1189" s="9"/>
      <c r="Q1189" s="9"/>
      <c r="R1189" s="42"/>
      <c r="S1189" s="42"/>
      <c r="T1189" s="42"/>
      <c r="U1189" s="42"/>
      <c r="V1189" s="42"/>
      <c r="W1189" s="42"/>
    </row>
    <row r="1190">
      <c r="A1190" s="9"/>
      <c r="B1190" s="9"/>
      <c r="C1190" s="9"/>
      <c r="D1190" s="42"/>
      <c r="E1190" s="103"/>
      <c r="F1190" s="42"/>
      <c r="G1190" s="9"/>
      <c r="H1190" s="9"/>
      <c r="I1190" s="9"/>
      <c r="J1190" s="9"/>
      <c r="K1190" s="42"/>
      <c r="L1190" s="42"/>
      <c r="M1190" s="42"/>
      <c r="N1190" s="42"/>
      <c r="O1190" s="42"/>
      <c r="P1190" s="9"/>
      <c r="Q1190" s="9"/>
      <c r="R1190" s="42"/>
      <c r="S1190" s="42"/>
      <c r="T1190" s="42"/>
      <c r="U1190" s="42"/>
      <c r="V1190" s="42"/>
      <c r="W1190" s="42"/>
    </row>
    <row r="1191">
      <c r="A1191" s="9"/>
      <c r="B1191" s="9"/>
      <c r="C1191" s="9"/>
      <c r="D1191" s="42"/>
      <c r="E1191" s="103"/>
      <c r="F1191" s="42"/>
      <c r="G1191" s="9"/>
      <c r="H1191" s="9"/>
      <c r="I1191" s="9"/>
      <c r="J1191" s="9"/>
      <c r="K1191" s="42"/>
      <c r="L1191" s="42"/>
      <c r="M1191" s="42"/>
      <c r="N1191" s="42"/>
      <c r="O1191" s="42"/>
      <c r="P1191" s="9"/>
      <c r="Q1191" s="9"/>
      <c r="R1191" s="42"/>
      <c r="S1191" s="42"/>
      <c r="T1191" s="42"/>
      <c r="U1191" s="42"/>
      <c r="V1191" s="42"/>
      <c r="W1191" s="42"/>
    </row>
    <row r="1192">
      <c r="A1192" s="9"/>
      <c r="B1192" s="9"/>
      <c r="C1192" s="9"/>
      <c r="D1192" s="42"/>
      <c r="E1192" s="103"/>
      <c r="F1192" s="42"/>
      <c r="G1192" s="9"/>
      <c r="H1192" s="9"/>
      <c r="I1192" s="9"/>
      <c r="J1192" s="9"/>
      <c r="K1192" s="42"/>
      <c r="L1192" s="42"/>
      <c r="M1192" s="42"/>
      <c r="N1192" s="42"/>
      <c r="O1192" s="42"/>
      <c r="P1192" s="9"/>
      <c r="Q1192" s="9"/>
      <c r="R1192" s="42"/>
      <c r="S1192" s="42"/>
      <c r="T1192" s="42"/>
      <c r="U1192" s="42"/>
      <c r="V1192" s="42"/>
      <c r="W1192" s="42"/>
    </row>
    <row r="1193">
      <c r="A1193" s="9"/>
      <c r="B1193" s="9"/>
      <c r="C1193" s="9"/>
      <c r="D1193" s="42"/>
      <c r="E1193" s="103"/>
      <c r="F1193" s="42"/>
      <c r="G1193" s="9"/>
      <c r="H1193" s="9"/>
      <c r="I1193" s="9"/>
      <c r="J1193" s="9"/>
      <c r="K1193" s="42"/>
      <c r="L1193" s="42"/>
      <c r="M1193" s="42"/>
      <c r="N1193" s="42"/>
      <c r="O1193" s="42"/>
      <c r="P1193" s="9"/>
      <c r="Q1193" s="9"/>
      <c r="R1193" s="42"/>
      <c r="S1193" s="42"/>
      <c r="T1193" s="42"/>
      <c r="U1193" s="42"/>
      <c r="V1193" s="42"/>
      <c r="W1193" s="42"/>
    </row>
    <row r="1194">
      <c r="A1194" s="9"/>
      <c r="B1194" s="9"/>
      <c r="C1194" s="9"/>
      <c r="D1194" s="42"/>
      <c r="E1194" s="103"/>
      <c r="F1194" s="42"/>
      <c r="G1194" s="9"/>
      <c r="H1194" s="9"/>
      <c r="I1194" s="9"/>
      <c r="J1194" s="9"/>
      <c r="K1194" s="42"/>
      <c r="L1194" s="42"/>
      <c r="M1194" s="42"/>
      <c r="N1194" s="42"/>
      <c r="O1194" s="42"/>
      <c r="P1194" s="9"/>
      <c r="Q1194" s="9"/>
      <c r="R1194" s="42"/>
      <c r="S1194" s="42"/>
      <c r="T1194" s="42"/>
      <c r="U1194" s="42"/>
      <c r="V1194" s="42"/>
      <c r="W1194" s="42"/>
    </row>
    <row r="1195">
      <c r="A1195" s="9"/>
      <c r="B1195" s="9"/>
      <c r="C1195" s="9"/>
      <c r="D1195" s="42"/>
      <c r="E1195" s="103"/>
      <c r="F1195" s="42"/>
      <c r="G1195" s="9"/>
      <c r="H1195" s="9"/>
      <c r="I1195" s="9"/>
      <c r="J1195" s="9"/>
      <c r="K1195" s="42"/>
      <c r="L1195" s="42"/>
      <c r="M1195" s="42"/>
      <c r="N1195" s="42"/>
      <c r="O1195" s="42"/>
      <c r="P1195" s="9"/>
      <c r="Q1195" s="9"/>
      <c r="R1195" s="42"/>
      <c r="S1195" s="42"/>
      <c r="T1195" s="42"/>
      <c r="U1195" s="42"/>
      <c r="V1195" s="42"/>
      <c r="W1195" s="42"/>
    </row>
    <row r="1196">
      <c r="A1196" s="9"/>
      <c r="B1196" s="9"/>
      <c r="C1196" s="9"/>
      <c r="D1196" s="42"/>
      <c r="E1196" s="103"/>
      <c r="F1196" s="42"/>
      <c r="G1196" s="9"/>
      <c r="H1196" s="9"/>
      <c r="I1196" s="9"/>
      <c r="J1196" s="9"/>
      <c r="K1196" s="42"/>
      <c r="L1196" s="42"/>
      <c r="M1196" s="42"/>
      <c r="N1196" s="42"/>
      <c r="O1196" s="42"/>
      <c r="P1196" s="9"/>
      <c r="Q1196" s="9"/>
      <c r="R1196" s="42"/>
      <c r="S1196" s="42"/>
      <c r="T1196" s="42"/>
      <c r="U1196" s="42"/>
      <c r="V1196" s="42"/>
      <c r="W1196" s="42"/>
    </row>
    <row r="1197">
      <c r="A1197" s="9"/>
      <c r="B1197" s="9"/>
      <c r="C1197" s="9"/>
      <c r="D1197" s="42"/>
      <c r="E1197" s="103"/>
      <c r="F1197" s="42"/>
      <c r="G1197" s="9"/>
      <c r="H1197" s="9"/>
      <c r="I1197" s="9"/>
      <c r="J1197" s="9"/>
      <c r="K1197" s="42"/>
      <c r="L1197" s="42"/>
      <c r="M1197" s="42"/>
      <c r="N1197" s="42"/>
      <c r="O1197" s="42"/>
      <c r="P1197" s="9"/>
      <c r="Q1197" s="9"/>
      <c r="R1197" s="42"/>
      <c r="S1197" s="42"/>
      <c r="T1197" s="42"/>
      <c r="U1197" s="42"/>
      <c r="V1197" s="42"/>
      <c r="W1197" s="42"/>
    </row>
    <row r="1198">
      <c r="A1198" s="9"/>
      <c r="B1198" s="9"/>
      <c r="C1198" s="9"/>
      <c r="D1198" s="42"/>
      <c r="E1198" s="103"/>
      <c r="F1198" s="42"/>
      <c r="G1198" s="9"/>
      <c r="H1198" s="9"/>
      <c r="I1198" s="9"/>
      <c r="J1198" s="9"/>
      <c r="K1198" s="42"/>
      <c r="L1198" s="42"/>
      <c r="M1198" s="42"/>
      <c r="N1198" s="42"/>
      <c r="O1198" s="42"/>
      <c r="P1198" s="9"/>
      <c r="Q1198" s="9"/>
      <c r="R1198" s="42"/>
      <c r="S1198" s="42"/>
      <c r="T1198" s="42"/>
      <c r="U1198" s="42"/>
      <c r="V1198" s="42"/>
      <c r="W1198" s="42"/>
    </row>
    <row r="1199">
      <c r="A1199" s="9"/>
      <c r="B1199" s="9"/>
      <c r="C1199" s="9"/>
      <c r="D1199" s="42"/>
      <c r="E1199" s="103"/>
      <c r="F1199" s="42"/>
      <c r="G1199" s="9"/>
      <c r="H1199" s="9"/>
      <c r="I1199" s="9"/>
      <c r="J1199" s="9"/>
      <c r="K1199" s="42"/>
      <c r="L1199" s="42"/>
      <c r="M1199" s="42"/>
      <c r="N1199" s="42"/>
      <c r="O1199" s="42"/>
      <c r="P1199" s="9"/>
      <c r="Q1199" s="9"/>
      <c r="R1199" s="42"/>
      <c r="S1199" s="42"/>
      <c r="T1199" s="42"/>
      <c r="U1199" s="42"/>
      <c r="V1199" s="42"/>
      <c r="W1199" s="42"/>
    </row>
    <row r="1200">
      <c r="A1200" s="9"/>
      <c r="B1200" s="9"/>
      <c r="C1200" s="9"/>
      <c r="D1200" s="42"/>
      <c r="E1200" s="103"/>
      <c r="F1200" s="42"/>
      <c r="G1200" s="9"/>
      <c r="H1200" s="9"/>
      <c r="I1200" s="9"/>
      <c r="J1200" s="9"/>
      <c r="K1200" s="42"/>
      <c r="L1200" s="42"/>
      <c r="M1200" s="42"/>
      <c r="N1200" s="42"/>
      <c r="O1200" s="42"/>
      <c r="P1200" s="9"/>
      <c r="Q1200" s="9"/>
      <c r="R1200" s="42"/>
      <c r="S1200" s="42"/>
      <c r="T1200" s="42"/>
      <c r="U1200" s="42"/>
      <c r="V1200" s="42"/>
      <c r="W1200" s="42"/>
    </row>
    <row r="1201">
      <c r="A1201" s="9"/>
      <c r="B1201" s="9"/>
      <c r="C1201" s="9"/>
      <c r="D1201" s="42"/>
      <c r="E1201" s="103"/>
      <c r="F1201" s="42"/>
      <c r="G1201" s="9"/>
      <c r="H1201" s="9"/>
      <c r="I1201" s="9"/>
      <c r="J1201" s="9"/>
      <c r="K1201" s="42"/>
      <c r="L1201" s="42"/>
      <c r="M1201" s="42"/>
      <c r="N1201" s="42"/>
      <c r="O1201" s="42"/>
      <c r="P1201" s="9"/>
      <c r="Q1201" s="9"/>
      <c r="R1201" s="42"/>
      <c r="S1201" s="42"/>
      <c r="T1201" s="42"/>
      <c r="U1201" s="42"/>
      <c r="V1201" s="42"/>
      <c r="W1201" s="42"/>
    </row>
    <row r="1202">
      <c r="A1202" s="9"/>
      <c r="B1202" s="9"/>
      <c r="C1202" s="9"/>
      <c r="D1202" s="42"/>
      <c r="E1202" s="103"/>
      <c r="F1202" s="42"/>
      <c r="G1202" s="9"/>
      <c r="H1202" s="9"/>
      <c r="I1202" s="9"/>
      <c r="J1202" s="9"/>
      <c r="K1202" s="42"/>
      <c r="L1202" s="42"/>
      <c r="M1202" s="42"/>
      <c r="N1202" s="42"/>
      <c r="O1202" s="42"/>
      <c r="P1202" s="9"/>
      <c r="Q1202" s="9"/>
      <c r="R1202" s="42"/>
      <c r="S1202" s="42"/>
      <c r="T1202" s="42"/>
      <c r="U1202" s="42"/>
      <c r="V1202" s="42"/>
      <c r="W1202" s="42"/>
    </row>
    <row r="1203">
      <c r="A1203" s="9"/>
      <c r="B1203" s="9"/>
      <c r="C1203" s="9"/>
      <c r="D1203" s="42"/>
      <c r="E1203" s="103"/>
      <c r="F1203" s="42"/>
      <c r="G1203" s="9"/>
      <c r="H1203" s="9"/>
      <c r="I1203" s="9"/>
      <c r="J1203" s="9"/>
      <c r="K1203" s="42"/>
      <c r="L1203" s="42"/>
      <c r="M1203" s="42"/>
      <c r="N1203" s="42"/>
      <c r="O1203" s="42"/>
      <c r="P1203" s="9"/>
      <c r="Q1203" s="9"/>
      <c r="R1203" s="42"/>
      <c r="S1203" s="42"/>
      <c r="T1203" s="42"/>
      <c r="U1203" s="42"/>
      <c r="V1203" s="42"/>
      <c r="W1203" s="42"/>
    </row>
    <row r="1204">
      <c r="A1204" s="9"/>
      <c r="B1204" s="9"/>
      <c r="C1204" s="9"/>
      <c r="D1204" s="42"/>
      <c r="E1204" s="103"/>
      <c r="F1204" s="42"/>
      <c r="G1204" s="9"/>
      <c r="H1204" s="9"/>
      <c r="I1204" s="9"/>
      <c r="J1204" s="9"/>
      <c r="K1204" s="42"/>
      <c r="L1204" s="42"/>
      <c r="M1204" s="42"/>
      <c r="N1204" s="42"/>
      <c r="O1204" s="42"/>
      <c r="P1204" s="9"/>
      <c r="Q1204" s="9"/>
      <c r="R1204" s="42"/>
      <c r="S1204" s="42"/>
      <c r="T1204" s="42"/>
      <c r="U1204" s="42"/>
      <c r="V1204" s="42"/>
      <c r="W1204" s="42"/>
    </row>
    <row r="1205">
      <c r="A1205" s="9"/>
      <c r="B1205" s="9"/>
      <c r="C1205" s="9"/>
      <c r="D1205" s="42"/>
      <c r="E1205" s="103"/>
      <c r="F1205" s="42"/>
      <c r="G1205" s="9"/>
      <c r="H1205" s="9"/>
      <c r="I1205" s="9"/>
      <c r="J1205" s="9"/>
      <c r="K1205" s="42"/>
      <c r="L1205" s="42"/>
      <c r="M1205" s="42"/>
      <c r="N1205" s="42"/>
      <c r="O1205" s="42"/>
      <c r="P1205" s="9"/>
      <c r="Q1205" s="9"/>
      <c r="R1205" s="42"/>
      <c r="S1205" s="42"/>
      <c r="T1205" s="42"/>
      <c r="U1205" s="42"/>
      <c r="V1205" s="42"/>
      <c r="W1205" s="42"/>
    </row>
    <row r="1206">
      <c r="A1206" s="9"/>
      <c r="B1206" s="9"/>
      <c r="C1206" s="9"/>
      <c r="D1206" s="42"/>
      <c r="E1206" s="103"/>
      <c r="F1206" s="42"/>
      <c r="G1206" s="9"/>
      <c r="H1206" s="9"/>
      <c r="I1206" s="9"/>
      <c r="J1206" s="9"/>
      <c r="K1206" s="42"/>
      <c r="L1206" s="42"/>
      <c r="M1206" s="42"/>
      <c r="N1206" s="42"/>
      <c r="O1206" s="42"/>
      <c r="P1206" s="9"/>
      <c r="Q1206" s="9"/>
      <c r="R1206" s="42"/>
      <c r="S1206" s="42"/>
      <c r="T1206" s="42"/>
      <c r="U1206" s="42"/>
      <c r="V1206" s="42"/>
      <c r="W1206" s="42"/>
    </row>
    <row r="1207">
      <c r="A1207" s="9"/>
      <c r="B1207" s="9"/>
      <c r="C1207" s="9"/>
      <c r="D1207" s="42"/>
      <c r="E1207" s="103"/>
      <c r="F1207" s="42"/>
      <c r="G1207" s="9"/>
      <c r="H1207" s="9"/>
      <c r="I1207" s="9"/>
      <c r="J1207" s="9"/>
      <c r="K1207" s="42"/>
      <c r="L1207" s="42"/>
      <c r="M1207" s="42"/>
      <c r="N1207" s="42"/>
      <c r="O1207" s="42"/>
      <c r="P1207" s="9"/>
      <c r="Q1207" s="9"/>
      <c r="R1207" s="42"/>
      <c r="S1207" s="42"/>
      <c r="T1207" s="42"/>
      <c r="U1207" s="42"/>
      <c r="V1207" s="42"/>
      <c r="W1207" s="42"/>
    </row>
    <row r="1208">
      <c r="A1208" s="9"/>
      <c r="B1208" s="9"/>
      <c r="C1208" s="9"/>
      <c r="D1208" s="42"/>
      <c r="E1208" s="103"/>
      <c r="F1208" s="42"/>
      <c r="G1208" s="9"/>
      <c r="H1208" s="9"/>
      <c r="I1208" s="9"/>
      <c r="J1208" s="9"/>
      <c r="K1208" s="42"/>
      <c r="L1208" s="42"/>
      <c r="M1208" s="42"/>
      <c r="N1208" s="42"/>
      <c r="O1208" s="42"/>
      <c r="P1208" s="9"/>
      <c r="Q1208" s="9"/>
      <c r="R1208" s="42"/>
      <c r="S1208" s="42"/>
      <c r="T1208" s="42"/>
      <c r="U1208" s="42"/>
      <c r="V1208" s="42"/>
      <c r="W1208" s="42"/>
    </row>
    <row r="1209">
      <c r="A1209" s="9"/>
      <c r="B1209" s="9"/>
      <c r="C1209" s="9"/>
      <c r="D1209" s="42"/>
      <c r="E1209" s="103"/>
      <c r="F1209" s="42"/>
      <c r="G1209" s="9"/>
      <c r="H1209" s="9"/>
      <c r="I1209" s="9"/>
      <c r="J1209" s="9"/>
      <c r="K1209" s="42"/>
      <c r="L1209" s="42"/>
      <c r="M1209" s="42"/>
      <c r="N1209" s="42"/>
      <c r="O1209" s="42"/>
      <c r="P1209" s="9"/>
      <c r="Q1209" s="9"/>
      <c r="R1209" s="42"/>
      <c r="S1209" s="42"/>
      <c r="T1209" s="42"/>
      <c r="U1209" s="42"/>
      <c r="V1209" s="42"/>
      <c r="W1209" s="42"/>
    </row>
    <row r="1210">
      <c r="A1210" s="9"/>
      <c r="B1210" s="9"/>
      <c r="C1210" s="9"/>
      <c r="D1210" s="42"/>
      <c r="E1210" s="103"/>
      <c r="F1210" s="42"/>
      <c r="G1210" s="9"/>
      <c r="H1210" s="9"/>
      <c r="I1210" s="9"/>
      <c r="J1210" s="9"/>
      <c r="K1210" s="42"/>
      <c r="L1210" s="42"/>
      <c r="M1210" s="42"/>
      <c r="N1210" s="42"/>
      <c r="O1210" s="42"/>
      <c r="P1210" s="9"/>
      <c r="Q1210" s="9"/>
      <c r="R1210" s="42"/>
      <c r="S1210" s="42"/>
      <c r="T1210" s="42"/>
      <c r="U1210" s="42"/>
      <c r="V1210" s="42"/>
      <c r="W1210" s="42"/>
    </row>
    <row r="1211">
      <c r="A1211" s="9"/>
      <c r="B1211" s="9"/>
      <c r="C1211" s="9"/>
      <c r="D1211" s="42"/>
      <c r="E1211" s="103"/>
      <c r="F1211" s="42"/>
      <c r="G1211" s="9"/>
      <c r="H1211" s="9"/>
      <c r="I1211" s="9"/>
      <c r="J1211" s="9"/>
      <c r="K1211" s="42"/>
      <c r="L1211" s="42"/>
      <c r="M1211" s="42"/>
      <c r="N1211" s="42"/>
      <c r="O1211" s="42"/>
      <c r="P1211" s="9"/>
      <c r="Q1211" s="9"/>
      <c r="R1211" s="42"/>
      <c r="S1211" s="42"/>
      <c r="T1211" s="42"/>
      <c r="U1211" s="42"/>
      <c r="V1211" s="42"/>
      <c r="W1211" s="42"/>
    </row>
    <row r="1212">
      <c r="A1212" s="9"/>
      <c r="B1212" s="9"/>
      <c r="C1212" s="9"/>
      <c r="D1212" s="42"/>
      <c r="E1212" s="103"/>
      <c r="F1212" s="42"/>
      <c r="G1212" s="9"/>
      <c r="H1212" s="9"/>
      <c r="I1212" s="9"/>
      <c r="J1212" s="9"/>
      <c r="K1212" s="42"/>
      <c r="L1212" s="42"/>
      <c r="M1212" s="42"/>
      <c r="N1212" s="42"/>
      <c r="O1212" s="42"/>
      <c r="P1212" s="9"/>
      <c r="Q1212" s="9"/>
      <c r="R1212" s="42"/>
      <c r="S1212" s="42"/>
      <c r="T1212" s="42"/>
      <c r="U1212" s="42"/>
      <c r="V1212" s="42"/>
      <c r="W1212" s="42"/>
    </row>
    <row r="1213">
      <c r="A1213" s="9"/>
      <c r="B1213" s="9"/>
      <c r="C1213" s="9"/>
      <c r="D1213" s="42"/>
      <c r="E1213" s="103"/>
      <c r="F1213" s="42"/>
      <c r="G1213" s="9"/>
      <c r="H1213" s="9"/>
      <c r="I1213" s="9"/>
      <c r="J1213" s="9"/>
      <c r="K1213" s="42"/>
      <c r="L1213" s="42"/>
      <c r="M1213" s="42"/>
      <c r="N1213" s="42"/>
      <c r="O1213" s="42"/>
      <c r="P1213" s="9"/>
      <c r="Q1213" s="9"/>
      <c r="R1213" s="42"/>
      <c r="S1213" s="42"/>
      <c r="T1213" s="42"/>
      <c r="U1213" s="42"/>
      <c r="V1213" s="42"/>
      <c r="W1213" s="42"/>
    </row>
    <row r="1214">
      <c r="A1214" s="9"/>
      <c r="B1214" s="9"/>
      <c r="C1214" s="9"/>
      <c r="D1214" s="42"/>
      <c r="E1214" s="103"/>
      <c r="F1214" s="42"/>
      <c r="G1214" s="9"/>
      <c r="H1214" s="9"/>
      <c r="I1214" s="9"/>
      <c r="J1214" s="9"/>
      <c r="K1214" s="42"/>
      <c r="L1214" s="42"/>
      <c r="M1214" s="42"/>
      <c r="N1214" s="42"/>
      <c r="O1214" s="42"/>
      <c r="P1214" s="9"/>
      <c r="Q1214" s="9"/>
      <c r="R1214" s="42"/>
      <c r="S1214" s="42"/>
      <c r="T1214" s="42"/>
      <c r="U1214" s="42"/>
      <c r="V1214" s="42"/>
      <c r="W1214" s="42"/>
    </row>
    <row r="1215">
      <c r="A1215" s="9"/>
      <c r="B1215" s="9"/>
      <c r="C1215" s="9"/>
      <c r="D1215" s="42"/>
      <c r="E1215" s="103"/>
      <c r="F1215" s="42"/>
      <c r="G1215" s="9"/>
      <c r="H1215" s="9"/>
      <c r="I1215" s="9"/>
      <c r="J1215" s="9"/>
      <c r="K1215" s="42"/>
      <c r="L1215" s="42"/>
      <c r="M1215" s="42"/>
      <c r="N1215" s="42"/>
      <c r="O1215" s="42"/>
      <c r="P1215" s="9"/>
      <c r="Q1215" s="9"/>
      <c r="R1215" s="42"/>
      <c r="S1215" s="42"/>
      <c r="T1215" s="42"/>
      <c r="U1215" s="42"/>
      <c r="V1215" s="42"/>
      <c r="W1215" s="42"/>
    </row>
    <row r="1216">
      <c r="A1216" s="9"/>
      <c r="B1216" s="9"/>
      <c r="C1216" s="9"/>
      <c r="D1216" s="42"/>
      <c r="E1216" s="103"/>
      <c r="F1216" s="42"/>
      <c r="G1216" s="9"/>
      <c r="H1216" s="9"/>
      <c r="I1216" s="9"/>
      <c r="J1216" s="9"/>
      <c r="K1216" s="42"/>
      <c r="L1216" s="42"/>
      <c r="M1216" s="42"/>
      <c r="N1216" s="42"/>
      <c r="O1216" s="42"/>
      <c r="P1216" s="9"/>
      <c r="Q1216" s="9"/>
      <c r="R1216" s="42"/>
      <c r="S1216" s="42"/>
      <c r="T1216" s="42"/>
      <c r="U1216" s="42"/>
      <c r="V1216" s="42"/>
      <c r="W1216" s="42"/>
    </row>
    <row r="1217">
      <c r="A1217" s="9"/>
      <c r="B1217" s="9"/>
      <c r="C1217" s="9"/>
      <c r="D1217" s="42"/>
      <c r="E1217" s="103"/>
      <c r="F1217" s="42"/>
      <c r="G1217" s="9"/>
      <c r="H1217" s="9"/>
      <c r="I1217" s="9"/>
      <c r="J1217" s="9"/>
      <c r="K1217" s="42"/>
      <c r="L1217" s="42"/>
      <c r="M1217" s="42"/>
      <c r="N1217" s="42"/>
      <c r="O1217" s="42"/>
      <c r="P1217" s="9"/>
      <c r="Q1217" s="9"/>
      <c r="R1217" s="42"/>
      <c r="S1217" s="42"/>
      <c r="T1217" s="42"/>
      <c r="U1217" s="42"/>
      <c r="V1217" s="42"/>
      <c r="W1217" s="42"/>
    </row>
    <row r="1218">
      <c r="A1218" s="9"/>
      <c r="B1218" s="9"/>
      <c r="C1218" s="9"/>
      <c r="D1218" s="42"/>
      <c r="E1218" s="103"/>
      <c r="F1218" s="42"/>
      <c r="G1218" s="9"/>
      <c r="H1218" s="9"/>
      <c r="I1218" s="9"/>
      <c r="J1218" s="9"/>
      <c r="K1218" s="42"/>
      <c r="L1218" s="42"/>
      <c r="M1218" s="42"/>
      <c r="N1218" s="42"/>
      <c r="O1218" s="42"/>
      <c r="P1218" s="9"/>
      <c r="Q1218" s="9"/>
      <c r="R1218" s="42"/>
      <c r="S1218" s="42"/>
      <c r="T1218" s="42"/>
      <c r="U1218" s="42"/>
      <c r="V1218" s="42"/>
      <c r="W1218" s="42"/>
    </row>
    <row r="1219">
      <c r="A1219" s="9"/>
      <c r="B1219" s="9"/>
      <c r="C1219" s="9"/>
      <c r="D1219" s="42"/>
      <c r="E1219" s="103"/>
      <c r="F1219" s="42"/>
      <c r="G1219" s="9"/>
      <c r="H1219" s="9"/>
      <c r="I1219" s="9"/>
      <c r="J1219" s="9"/>
      <c r="K1219" s="42"/>
      <c r="L1219" s="42"/>
      <c r="M1219" s="42"/>
      <c r="N1219" s="42"/>
      <c r="O1219" s="42"/>
      <c r="P1219" s="9"/>
      <c r="Q1219" s="9"/>
      <c r="R1219" s="42"/>
      <c r="S1219" s="42"/>
      <c r="T1219" s="42"/>
      <c r="U1219" s="42"/>
      <c r="V1219" s="42"/>
      <c r="W1219" s="42"/>
    </row>
    <row r="1220">
      <c r="A1220" s="9"/>
      <c r="B1220" s="9"/>
      <c r="C1220" s="9"/>
      <c r="D1220" s="42"/>
      <c r="E1220" s="103"/>
      <c r="F1220" s="42"/>
      <c r="G1220" s="9"/>
      <c r="H1220" s="9"/>
      <c r="I1220" s="9"/>
      <c r="J1220" s="9"/>
      <c r="K1220" s="42"/>
      <c r="L1220" s="42"/>
      <c r="M1220" s="42"/>
      <c r="N1220" s="42"/>
      <c r="O1220" s="42"/>
      <c r="P1220" s="9"/>
      <c r="Q1220" s="9"/>
      <c r="R1220" s="42"/>
      <c r="S1220" s="42"/>
      <c r="T1220" s="42"/>
      <c r="U1220" s="42"/>
      <c r="V1220" s="42"/>
      <c r="W1220" s="42"/>
    </row>
    <row r="1221">
      <c r="A1221" s="9"/>
      <c r="B1221" s="9"/>
      <c r="C1221" s="9"/>
      <c r="D1221" s="42"/>
      <c r="E1221" s="103"/>
      <c r="F1221" s="42"/>
      <c r="G1221" s="9"/>
      <c r="H1221" s="9"/>
      <c r="I1221" s="9"/>
      <c r="J1221" s="9"/>
      <c r="K1221" s="42"/>
      <c r="L1221" s="42"/>
      <c r="M1221" s="42"/>
      <c r="N1221" s="42"/>
      <c r="O1221" s="42"/>
      <c r="P1221" s="9"/>
      <c r="Q1221" s="9"/>
      <c r="R1221" s="42"/>
      <c r="S1221" s="42"/>
      <c r="T1221" s="42"/>
      <c r="U1221" s="42"/>
      <c r="V1221" s="42"/>
      <c r="W1221" s="42"/>
    </row>
    <row r="1222">
      <c r="A1222" s="9"/>
      <c r="B1222" s="9"/>
      <c r="C1222" s="9"/>
      <c r="D1222" s="42"/>
      <c r="E1222" s="103"/>
      <c r="F1222" s="42"/>
      <c r="G1222" s="9"/>
      <c r="H1222" s="9"/>
      <c r="I1222" s="9"/>
      <c r="J1222" s="9"/>
      <c r="K1222" s="42"/>
      <c r="L1222" s="42"/>
      <c r="M1222" s="42"/>
      <c r="N1222" s="42"/>
      <c r="O1222" s="42"/>
      <c r="P1222" s="9"/>
      <c r="Q1222" s="9"/>
      <c r="R1222" s="42"/>
      <c r="S1222" s="42"/>
      <c r="T1222" s="42"/>
      <c r="U1222" s="42"/>
      <c r="V1222" s="42"/>
      <c r="W1222" s="42"/>
    </row>
    <row r="1223">
      <c r="A1223" s="9"/>
      <c r="B1223" s="9"/>
      <c r="C1223" s="9"/>
      <c r="D1223" s="42"/>
      <c r="E1223" s="103"/>
      <c r="F1223" s="42"/>
      <c r="G1223" s="9"/>
      <c r="H1223" s="9"/>
      <c r="I1223" s="9"/>
      <c r="J1223" s="9"/>
      <c r="K1223" s="42"/>
      <c r="L1223" s="42"/>
      <c r="M1223" s="42"/>
      <c r="N1223" s="42"/>
      <c r="O1223" s="42"/>
      <c r="P1223" s="9"/>
      <c r="Q1223" s="9"/>
      <c r="R1223" s="42"/>
      <c r="S1223" s="42"/>
      <c r="T1223" s="42"/>
      <c r="U1223" s="42"/>
      <c r="V1223" s="42"/>
      <c r="W1223" s="42"/>
    </row>
    <row r="1224">
      <c r="A1224" s="9"/>
      <c r="B1224" s="9"/>
      <c r="C1224" s="9"/>
      <c r="D1224" s="42"/>
      <c r="E1224" s="103"/>
      <c r="F1224" s="42"/>
      <c r="G1224" s="9"/>
      <c r="H1224" s="9"/>
      <c r="I1224" s="9"/>
      <c r="J1224" s="9"/>
      <c r="K1224" s="42"/>
      <c r="L1224" s="42"/>
      <c r="M1224" s="42"/>
      <c r="N1224" s="42"/>
      <c r="O1224" s="42"/>
      <c r="P1224" s="9"/>
      <c r="Q1224" s="9"/>
      <c r="R1224" s="42"/>
      <c r="S1224" s="42"/>
      <c r="T1224" s="42"/>
      <c r="U1224" s="42"/>
      <c r="V1224" s="42"/>
      <c r="W1224" s="42"/>
    </row>
    <row r="1225">
      <c r="A1225" s="9"/>
      <c r="B1225" s="9"/>
      <c r="C1225" s="9"/>
      <c r="D1225" s="42"/>
      <c r="E1225" s="103"/>
      <c r="F1225" s="42"/>
      <c r="G1225" s="9"/>
      <c r="H1225" s="9"/>
      <c r="I1225" s="9"/>
      <c r="J1225" s="9"/>
      <c r="K1225" s="42"/>
      <c r="L1225" s="42"/>
      <c r="M1225" s="42"/>
      <c r="N1225" s="42"/>
      <c r="O1225" s="42"/>
      <c r="P1225" s="9"/>
      <c r="Q1225" s="9"/>
      <c r="R1225" s="42"/>
      <c r="S1225" s="42"/>
      <c r="T1225" s="42"/>
      <c r="U1225" s="42"/>
      <c r="V1225" s="42"/>
      <c r="W1225" s="42"/>
    </row>
    <row r="1226">
      <c r="A1226" s="9"/>
      <c r="B1226" s="9"/>
      <c r="C1226" s="9"/>
      <c r="D1226" s="42"/>
      <c r="E1226" s="103"/>
      <c r="F1226" s="42"/>
      <c r="G1226" s="9"/>
      <c r="H1226" s="9"/>
      <c r="I1226" s="9"/>
      <c r="J1226" s="9"/>
      <c r="K1226" s="42"/>
      <c r="L1226" s="42"/>
      <c r="M1226" s="42"/>
      <c r="N1226" s="42"/>
      <c r="O1226" s="42"/>
      <c r="P1226" s="9"/>
      <c r="Q1226" s="9"/>
      <c r="R1226" s="42"/>
      <c r="S1226" s="42"/>
      <c r="T1226" s="42"/>
      <c r="U1226" s="42"/>
      <c r="V1226" s="42"/>
      <c r="W1226" s="42"/>
    </row>
    <row r="1227">
      <c r="A1227" s="9"/>
      <c r="B1227" s="9"/>
      <c r="C1227" s="9"/>
      <c r="D1227" s="42"/>
      <c r="E1227" s="103"/>
      <c r="F1227" s="42"/>
      <c r="G1227" s="9"/>
      <c r="H1227" s="9"/>
      <c r="I1227" s="9"/>
      <c r="J1227" s="9"/>
      <c r="K1227" s="42"/>
      <c r="L1227" s="42"/>
      <c r="M1227" s="42"/>
      <c r="N1227" s="42"/>
      <c r="O1227" s="42"/>
      <c r="P1227" s="9"/>
      <c r="Q1227" s="9"/>
      <c r="R1227" s="42"/>
      <c r="S1227" s="42"/>
      <c r="T1227" s="42"/>
      <c r="U1227" s="42"/>
      <c r="V1227" s="42"/>
      <c r="W1227" s="42"/>
    </row>
    <row r="1228">
      <c r="A1228" s="9"/>
      <c r="B1228" s="9"/>
      <c r="C1228" s="9"/>
      <c r="D1228" s="42"/>
      <c r="E1228" s="103"/>
      <c r="F1228" s="42"/>
      <c r="G1228" s="9"/>
      <c r="H1228" s="9"/>
      <c r="I1228" s="9"/>
      <c r="J1228" s="9"/>
      <c r="K1228" s="42"/>
      <c r="L1228" s="42"/>
      <c r="M1228" s="42"/>
      <c r="N1228" s="42"/>
      <c r="O1228" s="42"/>
      <c r="P1228" s="9"/>
      <c r="Q1228" s="9"/>
      <c r="R1228" s="42"/>
      <c r="S1228" s="42"/>
      <c r="T1228" s="42"/>
      <c r="U1228" s="42"/>
      <c r="V1228" s="42"/>
      <c r="W1228" s="42"/>
    </row>
    <row r="1229">
      <c r="A1229" s="9"/>
      <c r="B1229" s="9"/>
      <c r="C1229" s="9"/>
      <c r="D1229" s="42"/>
      <c r="E1229" s="103"/>
      <c r="F1229" s="42"/>
      <c r="G1229" s="9"/>
      <c r="H1229" s="9"/>
      <c r="I1229" s="9"/>
      <c r="J1229" s="9"/>
      <c r="K1229" s="42"/>
      <c r="L1229" s="42"/>
      <c r="M1229" s="42"/>
      <c r="N1229" s="42"/>
      <c r="O1229" s="42"/>
      <c r="P1229" s="9"/>
      <c r="Q1229" s="9"/>
      <c r="R1229" s="42"/>
      <c r="S1229" s="42"/>
      <c r="T1229" s="42"/>
      <c r="U1229" s="42"/>
      <c r="V1229" s="42"/>
      <c r="W1229" s="42"/>
    </row>
    <row r="1230">
      <c r="A1230" s="9"/>
      <c r="B1230" s="9"/>
      <c r="C1230" s="9"/>
      <c r="D1230" s="42"/>
      <c r="E1230" s="103"/>
      <c r="F1230" s="42"/>
      <c r="G1230" s="9"/>
      <c r="H1230" s="9"/>
      <c r="I1230" s="9"/>
      <c r="J1230" s="9"/>
      <c r="K1230" s="42"/>
      <c r="L1230" s="42"/>
      <c r="M1230" s="42"/>
      <c r="N1230" s="42"/>
      <c r="O1230" s="42"/>
      <c r="P1230" s="9"/>
      <c r="Q1230" s="9"/>
      <c r="R1230" s="42"/>
      <c r="S1230" s="42"/>
      <c r="T1230" s="42"/>
      <c r="U1230" s="42"/>
      <c r="V1230" s="42"/>
      <c r="W1230" s="42"/>
    </row>
    <row r="1231">
      <c r="A1231" s="9"/>
      <c r="B1231" s="9"/>
      <c r="C1231" s="9"/>
      <c r="D1231" s="42"/>
      <c r="E1231" s="103"/>
      <c r="F1231" s="42"/>
      <c r="G1231" s="9"/>
      <c r="H1231" s="9"/>
      <c r="I1231" s="9"/>
      <c r="J1231" s="9"/>
      <c r="K1231" s="42"/>
      <c r="L1231" s="42"/>
      <c r="M1231" s="42"/>
      <c r="N1231" s="42"/>
      <c r="O1231" s="42"/>
      <c r="P1231" s="9"/>
      <c r="Q1231" s="9"/>
      <c r="R1231" s="42"/>
      <c r="S1231" s="42"/>
      <c r="T1231" s="42"/>
      <c r="U1231" s="42"/>
      <c r="V1231" s="42"/>
      <c r="W1231" s="42"/>
    </row>
    <row r="1232">
      <c r="A1232" s="9"/>
      <c r="B1232" s="9"/>
      <c r="C1232" s="9"/>
      <c r="D1232" s="42"/>
      <c r="E1232" s="103"/>
      <c r="F1232" s="42"/>
      <c r="G1232" s="9"/>
      <c r="H1232" s="9"/>
      <c r="I1232" s="9"/>
      <c r="J1232" s="9"/>
      <c r="K1232" s="42"/>
      <c r="L1232" s="42"/>
      <c r="M1232" s="42"/>
      <c r="N1232" s="42"/>
      <c r="O1232" s="42"/>
      <c r="P1232" s="9"/>
      <c r="Q1232" s="9"/>
      <c r="R1232" s="42"/>
      <c r="S1232" s="42"/>
      <c r="T1232" s="42"/>
      <c r="U1232" s="42"/>
      <c r="V1232" s="42"/>
      <c r="W1232" s="42"/>
    </row>
    <row r="1233">
      <c r="A1233" s="9"/>
      <c r="B1233" s="9"/>
      <c r="C1233" s="9"/>
      <c r="D1233" s="42"/>
      <c r="E1233" s="103"/>
      <c r="F1233" s="42"/>
      <c r="G1233" s="9"/>
      <c r="H1233" s="9"/>
      <c r="I1233" s="9"/>
      <c r="J1233" s="9"/>
      <c r="K1233" s="42"/>
      <c r="L1233" s="42"/>
      <c r="M1233" s="42"/>
      <c r="N1233" s="42"/>
      <c r="O1233" s="42"/>
      <c r="P1233" s="9"/>
      <c r="Q1233" s="9"/>
      <c r="R1233" s="42"/>
      <c r="S1233" s="42"/>
      <c r="T1233" s="42"/>
      <c r="U1233" s="42"/>
      <c r="V1233" s="42"/>
      <c r="W1233" s="42"/>
    </row>
    <row r="1234">
      <c r="A1234" s="9"/>
      <c r="B1234" s="9"/>
      <c r="C1234" s="9"/>
      <c r="D1234" s="42"/>
      <c r="E1234" s="103"/>
      <c r="F1234" s="42"/>
      <c r="G1234" s="9"/>
      <c r="H1234" s="9"/>
      <c r="I1234" s="9"/>
      <c r="J1234" s="9"/>
      <c r="K1234" s="42"/>
      <c r="L1234" s="42"/>
      <c r="M1234" s="42"/>
      <c r="N1234" s="42"/>
      <c r="O1234" s="42"/>
      <c r="P1234" s="9"/>
      <c r="Q1234" s="9"/>
      <c r="R1234" s="42"/>
      <c r="S1234" s="42"/>
      <c r="T1234" s="42"/>
      <c r="U1234" s="42"/>
      <c r="V1234" s="42"/>
      <c r="W1234" s="42"/>
    </row>
    <row r="1235">
      <c r="A1235" s="9"/>
      <c r="B1235" s="9"/>
      <c r="C1235" s="9"/>
      <c r="D1235" s="42"/>
      <c r="E1235" s="103"/>
      <c r="F1235" s="42"/>
      <c r="G1235" s="9"/>
      <c r="H1235" s="9"/>
      <c r="I1235" s="9"/>
      <c r="J1235" s="9"/>
      <c r="K1235" s="42"/>
      <c r="L1235" s="42"/>
      <c r="M1235" s="42"/>
      <c r="N1235" s="42"/>
      <c r="O1235" s="42"/>
      <c r="P1235" s="9"/>
      <c r="Q1235" s="9"/>
      <c r="R1235" s="42"/>
      <c r="S1235" s="42"/>
      <c r="T1235" s="42"/>
      <c r="U1235" s="42"/>
      <c r="V1235" s="42"/>
      <c r="W1235" s="42"/>
    </row>
    <row r="1236">
      <c r="A1236" s="9"/>
      <c r="B1236" s="9"/>
      <c r="C1236" s="9"/>
      <c r="D1236" s="42"/>
      <c r="E1236" s="103"/>
      <c r="F1236" s="42"/>
      <c r="G1236" s="9"/>
      <c r="H1236" s="9"/>
      <c r="I1236" s="9"/>
      <c r="J1236" s="9"/>
      <c r="K1236" s="42"/>
      <c r="L1236" s="42"/>
      <c r="M1236" s="42"/>
      <c r="N1236" s="42"/>
      <c r="O1236" s="42"/>
      <c r="P1236" s="9"/>
      <c r="Q1236" s="9"/>
      <c r="R1236" s="42"/>
      <c r="S1236" s="42"/>
      <c r="T1236" s="42"/>
      <c r="U1236" s="42"/>
      <c r="V1236" s="42"/>
      <c r="W1236" s="42"/>
    </row>
    <row r="1237">
      <c r="A1237" s="9"/>
      <c r="B1237" s="9"/>
      <c r="C1237" s="9"/>
      <c r="D1237" s="42"/>
      <c r="E1237" s="103"/>
      <c r="F1237" s="42"/>
      <c r="G1237" s="9"/>
      <c r="H1237" s="9"/>
      <c r="I1237" s="9"/>
      <c r="J1237" s="9"/>
      <c r="K1237" s="42"/>
      <c r="L1237" s="42"/>
      <c r="M1237" s="42"/>
      <c r="N1237" s="42"/>
      <c r="O1237" s="42"/>
      <c r="P1237" s="9"/>
      <c r="Q1237" s="9"/>
      <c r="R1237" s="42"/>
      <c r="S1237" s="42"/>
      <c r="T1237" s="42"/>
      <c r="U1237" s="42"/>
      <c r="V1237" s="42"/>
      <c r="W1237" s="42"/>
    </row>
    <row r="1238">
      <c r="A1238" s="9"/>
      <c r="B1238" s="9"/>
      <c r="C1238" s="9"/>
      <c r="D1238" s="42"/>
      <c r="E1238" s="103"/>
      <c r="F1238" s="42"/>
      <c r="G1238" s="9"/>
      <c r="H1238" s="9"/>
      <c r="I1238" s="9"/>
      <c r="J1238" s="9"/>
      <c r="K1238" s="42"/>
      <c r="L1238" s="42"/>
      <c r="M1238" s="42"/>
      <c r="N1238" s="42"/>
      <c r="O1238" s="42"/>
      <c r="P1238" s="9"/>
      <c r="Q1238" s="9"/>
      <c r="R1238" s="42"/>
      <c r="S1238" s="42"/>
      <c r="T1238" s="42"/>
      <c r="U1238" s="42"/>
      <c r="V1238" s="42"/>
      <c r="W1238" s="42"/>
    </row>
    <row r="1239">
      <c r="A1239" s="9"/>
      <c r="B1239" s="9"/>
      <c r="C1239" s="9"/>
      <c r="D1239" s="42"/>
      <c r="E1239" s="103"/>
      <c r="F1239" s="42"/>
      <c r="G1239" s="9"/>
      <c r="H1239" s="9"/>
      <c r="I1239" s="9"/>
      <c r="J1239" s="9"/>
      <c r="K1239" s="42"/>
      <c r="L1239" s="42"/>
      <c r="M1239" s="42"/>
      <c r="N1239" s="42"/>
      <c r="O1239" s="42"/>
      <c r="P1239" s="9"/>
      <c r="Q1239" s="9"/>
      <c r="R1239" s="42"/>
      <c r="S1239" s="42"/>
      <c r="T1239" s="42"/>
      <c r="U1239" s="42"/>
      <c r="V1239" s="42"/>
      <c r="W1239" s="42"/>
    </row>
    <row r="1240">
      <c r="A1240" s="9"/>
      <c r="B1240" s="9"/>
      <c r="C1240" s="9"/>
      <c r="D1240" s="42"/>
      <c r="E1240" s="103"/>
      <c r="F1240" s="42"/>
      <c r="G1240" s="9"/>
      <c r="H1240" s="9"/>
      <c r="I1240" s="9"/>
      <c r="J1240" s="9"/>
      <c r="K1240" s="42"/>
      <c r="L1240" s="42"/>
      <c r="M1240" s="42"/>
      <c r="N1240" s="42"/>
      <c r="O1240" s="42"/>
      <c r="P1240" s="9"/>
      <c r="Q1240" s="9"/>
      <c r="R1240" s="42"/>
      <c r="S1240" s="42"/>
      <c r="T1240" s="42"/>
      <c r="U1240" s="42"/>
      <c r="V1240" s="42"/>
      <c r="W1240" s="42"/>
    </row>
    <row r="1241">
      <c r="A1241" s="9"/>
      <c r="B1241" s="9"/>
      <c r="C1241" s="9"/>
      <c r="D1241" s="42"/>
      <c r="E1241" s="103"/>
      <c r="F1241" s="42"/>
      <c r="G1241" s="9"/>
      <c r="H1241" s="9"/>
      <c r="I1241" s="9"/>
      <c r="J1241" s="9"/>
      <c r="K1241" s="42"/>
      <c r="L1241" s="42"/>
      <c r="M1241" s="42"/>
      <c r="N1241" s="42"/>
      <c r="O1241" s="42"/>
      <c r="P1241" s="9"/>
      <c r="Q1241" s="9"/>
      <c r="R1241" s="42"/>
      <c r="S1241" s="42"/>
      <c r="T1241" s="42"/>
      <c r="U1241" s="42"/>
      <c r="V1241" s="42"/>
      <c r="W1241" s="42"/>
    </row>
    <row r="1242">
      <c r="A1242" s="9"/>
      <c r="B1242" s="9"/>
      <c r="C1242" s="9"/>
      <c r="D1242" s="42"/>
      <c r="E1242" s="103"/>
      <c r="F1242" s="42"/>
      <c r="G1242" s="9"/>
      <c r="H1242" s="9"/>
      <c r="I1242" s="9"/>
      <c r="J1242" s="9"/>
      <c r="K1242" s="42"/>
      <c r="L1242" s="42"/>
      <c r="M1242" s="42"/>
      <c r="N1242" s="42"/>
      <c r="O1242" s="42"/>
      <c r="P1242" s="9"/>
      <c r="Q1242" s="9"/>
      <c r="R1242" s="42"/>
      <c r="S1242" s="42"/>
      <c r="T1242" s="42"/>
      <c r="U1242" s="42"/>
      <c r="V1242" s="42"/>
      <c r="W1242" s="42"/>
    </row>
    <row r="1243">
      <c r="A1243" s="9"/>
      <c r="B1243" s="9"/>
      <c r="C1243" s="9"/>
      <c r="D1243" s="42"/>
      <c r="E1243" s="103"/>
      <c r="F1243" s="42"/>
      <c r="G1243" s="9"/>
      <c r="H1243" s="9"/>
      <c r="I1243" s="9"/>
      <c r="J1243" s="9"/>
      <c r="K1243" s="42"/>
      <c r="L1243" s="42"/>
      <c r="M1243" s="42"/>
      <c r="N1243" s="42"/>
      <c r="O1243" s="42"/>
      <c r="P1243" s="9"/>
      <c r="Q1243" s="9"/>
      <c r="R1243" s="42"/>
      <c r="S1243" s="42"/>
      <c r="T1243" s="42"/>
      <c r="U1243" s="42"/>
      <c r="V1243" s="42"/>
      <c r="W1243" s="42"/>
    </row>
    <row r="1244">
      <c r="A1244" s="9"/>
      <c r="B1244" s="9"/>
      <c r="C1244" s="9"/>
      <c r="D1244" s="42"/>
      <c r="E1244" s="103"/>
      <c r="F1244" s="42"/>
      <c r="G1244" s="9"/>
      <c r="H1244" s="9"/>
      <c r="I1244" s="9"/>
      <c r="J1244" s="9"/>
      <c r="K1244" s="42"/>
      <c r="L1244" s="42"/>
      <c r="M1244" s="42"/>
      <c r="N1244" s="42"/>
      <c r="O1244" s="42"/>
      <c r="P1244" s="9"/>
      <c r="Q1244" s="9"/>
      <c r="R1244" s="42"/>
      <c r="S1244" s="42"/>
      <c r="T1244" s="42"/>
      <c r="U1244" s="42"/>
      <c r="V1244" s="42"/>
      <c r="W1244" s="42"/>
    </row>
    <row r="1245">
      <c r="A1245" s="9"/>
      <c r="B1245" s="9"/>
      <c r="C1245" s="9"/>
      <c r="D1245" s="42"/>
      <c r="E1245" s="103"/>
      <c r="F1245" s="42"/>
      <c r="G1245" s="9"/>
      <c r="H1245" s="9"/>
      <c r="I1245" s="9"/>
      <c r="J1245" s="9"/>
      <c r="K1245" s="42"/>
      <c r="L1245" s="42"/>
      <c r="M1245" s="42"/>
      <c r="N1245" s="42"/>
      <c r="O1245" s="42"/>
      <c r="P1245" s="9"/>
      <c r="Q1245" s="9"/>
      <c r="R1245" s="42"/>
      <c r="S1245" s="42"/>
      <c r="T1245" s="42"/>
      <c r="U1245" s="42"/>
      <c r="V1245" s="42"/>
      <c r="W1245" s="42"/>
    </row>
    <row r="1246">
      <c r="A1246" s="9"/>
      <c r="B1246" s="9"/>
      <c r="C1246" s="9"/>
      <c r="D1246" s="42"/>
      <c r="E1246" s="103"/>
      <c r="F1246" s="42"/>
      <c r="G1246" s="9"/>
      <c r="H1246" s="9"/>
      <c r="I1246" s="9"/>
      <c r="J1246" s="9"/>
      <c r="K1246" s="42"/>
      <c r="L1246" s="42"/>
      <c r="M1246" s="42"/>
      <c r="N1246" s="42"/>
      <c r="O1246" s="42"/>
      <c r="P1246" s="9"/>
      <c r="Q1246" s="9"/>
      <c r="R1246" s="42"/>
      <c r="S1246" s="42"/>
      <c r="T1246" s="42"/>
      <c r="U1246" s="42"/>
      <c r="V1246" s="42"/>
      <c r="W1246" s="42"/>
    </row>
    <row r="1247">
      <c r="A1247" s="9"/>
      <c r="B1247" s="9"/>
      <c r="C1247" s="9"/>
      <c r="D1247" s="42"/>
      <c r="E1247" s="103"/>
      <c r="F1247" s="42"/>
      <c r="G1247" s="9"/>
      <c r="H1247" s="9"/>
      <c r="I1247" s="9"/>
      <c r="J1247" s="9"/>
      <c r="K1247" s="42"/>
      <c r="L1247" s="42"/>
      <c r="M1247" s="42"/>
      <c r="N1247" s="42"/>
      <c r="O1247" s="42"/>
      <c r="P1247" s="9"/>
      <c r="Q1247" s="9"/>
      <c r="R1247" s="42"/>
      <c r="S1247" s="42"/>
      <c r="T1247" s="42"/>
      <c r="U1247" s="42"/>
      <c r="V1247" s="42"/>
      <c r="W1247" s="42"/>
    </row>
    <row r="1248">
      <c r="A1248" s="9"/>
      <c r="B1248" s="9"/>
      <c r="C1248" s="9"/>
      <c r="D1248" s="42"/>
      <c r="E1248" s="103"/>
      <c r="F1248" s="42"/>
      <c r="G1248" s="9"/>
      <c r="H1248" s="9"/>
      <c r="I1248" s="9"/>
      <c r="J1248" s="9"/>
      <c r="K1248" s="42"/>
      <c r="L1248" s="42"/>
      <c r="M1248" s="42"/>
      <c r="N1248" s="42"/>
      <c r="O1248" s="42"/>
      <c r="P1248" s="9"/>
      <c r="Q1248" s="9"/>
      <c r="R1248" s="42"/>
      <c r="S1248" s="42"/>
      <c r="T1248" s="42"/>
      <c r="U1248" s="42"/>
      <c r="V1248" s="42"/>
      <c r="W1248" s="42"/>
    </row>
    <row r="1249">
      <c r="A1249" s="9"/>
      <c r="B1249" s="9"/>
      <c r="C1249" s="9"/>
      <c r="D1249" s="42"/>
      <c r="E1249" s="103"/>
      <c r="F1249" s="42"/>
      <c r="G1249" s="9"/>
      <c r="H1249" s="9"/>
      <c r="I1249" s="9"/>
      <c r="J1249" s="9"/>
      <c r="K1249" s="42"/>
      <c r="L1249" s="42"/>
      <c r="M1249" s="42"/>
      <c r="N1249" s="42"/>
      <c r="O1249" s="42"/>
      <c r="P1249" s="9"/>
      <c r="Q1249" s="9"/>
      <c r="R1249" s="42"/>
      <c r="S1249" s="42"/>
      <c r="T1249" s="42"/>
      <c r="U1249" s="42"/>
      <c r="V1249" s="42"/>
      <c r="W1249" s="42"/>
    </row>
    <row r="1250">
      <c r="A1250" s="9"/>
      <c r="B1250" s="9"/>
      <c r="C1250" s="9"/>
      <c r="D1250" s="42"/>
      <c r="E1250" s="103"/>
      <c r="F1250" s="42"/>
      <c r="G1250" s="9"/>
      <c r="H1250" s="9"/>
      <c r="I1250" s="9"/>
      <c r="J1250" s="9"/>
      <c r="K1250" s="42"/>
      <c r="L1250" s="42"/>
      <c r="M1250" s="42"/>
      <c r="N1250" s="42"/>
      <c r="O1250" s="42"/>
      <c r="P1250" s="9"/>
      <c r="Q1250" s="9"/>
      <c r="R1250" s="42"/>
      <c r="S1250" s="42"/>
      <c r="T1250" s="42"/>
      <c r="U1250" s="42"/>
      <c r="V1250" s="42"/>
      <c r="W1250" s="42"/>
    </row>
    <row r="1251">
      <c r="A1251" s="9"/>
      <c r="B1251" s="9"/>
      <c r="C1251" s="9"/>
      <c r="D1251" s="42"/>
      <c r="E1251" s="103"/>
      <c r="F1251" s="42"/>
      <c r="G1251" s="9"/>
      <c r="H1251" s="9"/>
      <c r="I1251" s="9"/>
      <c r="J1251" s="9"/>
      <c r="K1251" s="42"/>
      <c r="L1251" s="42"/>
      <c r="M1251" s="42"/>
      <c r="N1251" s="42"/>
      <c r="O1251" s="42"/>
      <c r="P1251" s="9"/>
      <c r="Q1251" s="9"/>
      <c r="R1251" s="42"/>
      <c r="S1251" s="42"/>
      <c r="T1251" s="42"/>
      <c r="U1251" s="42"/>
      <c r="V1251" s="42"/>
      <c r="W1251" s="42"/>
    </row>
    <row r="1252">
      <c r="A1252" s="9"/>
      <c r="B1252" s="9"/>
      <c r="C1252" s="9"/>
      <c r="D1252" s="42"/>
      <c r="E1252" s="103"/>
      <c r="F1252" s="42"/>
      <c r="G1252" s="9"/>
      <c r="H1252" s="9"/>
      <c r="I1252" s="9"/>
      <c r="J1252" s="9"/>
      <c r="K1252" s="42"/>
      <c r="L1252" s="42"/>
      <c r="M1252" s="42"/>
      <c r="N1252" s="42"/>
      <c r="O1252" s="42"/>
      <c r="P1252" s="9"/>
      <c r="Q1252" s="9"/>
      <c r="R1252" s="42"/>
      <c r="S1252" s="42"/>
      <c r="T1252" s="42"/>
      <c r="U1252" s="42"/>
      <c r="V1252" s="42"/>
      <c r="W1252" s="42"/>
    </row>
    <row r="1253">
      <c r="A1253" s="9"/>
      <c r="B1253" s="9"/>
      <c r="C1253" s="9"/>
      <c r="D1253" s="42"/>
      <c r="E1253" s="103"/>
      <c r="F1253" s="42"/>
      <c r="G1253" s="9"/>
      <c r="H1253" s="9"/>
      <c r="I1253" s="9"/>
      <c r="J1253" s="9"/>
      <c r="K1253" s="42"/>
      <c r="L1253" s="42"/>
      <c r="M1253" s="42"/>
      <c r="N1253" s="42"/>
      <c r="O1253" s="42"/>
      <c r="P1253" s="9"/>
      <c r="Q1253" s="9"/>
      <c r="R1253" s="42"/>
      <c r="S1253" s="42"/>
      <c r="T1253" s="42"/>
      <c r="U1253" s="42"/>
      <c r="V1253" s="42"/>
      <c r="W1253" s="42"/>
    </row>
    <row r="1254">
      <c r="A1254" s="9"/>
      <c r="B1254" s="9"/>
      <c r="C1254" s="9"/>
      <c r="D1254" s="42"/>
      <c r="E1254" s="103"/>
      <c r="F1254" s="42"/>
      <c r="G1254" s="9"/>
      <c r="H1254" s="9"/>
      <c r="I1254" s="9"/>
      <c r="J1254" s="9"/>
      <c r="K1254" s="42"/>
      <c r="L1254" s="42"/>
      <c r="M1254" s="42"/>
      <c r="N1254" s="42"/>
      <c r="O1254" s="42"/>
      <c r="P1254" s="9"/>
      <c r="Q1254" s="9"/>
      <c r="R1254" s="42"/>
      <c r="S1254" s="42"/>
      <c r="T1254" s="42"/>
      <c r="U1254" s="42"/>
      <c r="V1254" s="42"/>
      <c r="W1254" s="42"/>
    </row>
    <row r="1255">
      <c r="A1255" s="9"/>
      <c r="B1255" s="9"/>
      <c r="C1255" s="9"/>
      <c r="D1255" s="42"/>
      <c r="E1255" s="103"/>
      <c r="F1255" s="42"/>
      <c r="G1255" s="9"/>
      <c r="H1255" s="9"/>
      <c r="I1255" s="9"/>
      <c r="J1255" s="9"/>
      <c r="K1255" s="42"/>
      <c r="L1255" s="42"/>
      <c r="M1255" s="42"/>
      <c r="N1255" s="42"/>
      <c r="O1255" s="42"/>
      <c r="P1255" s="9"/>
      <c r="Q1255" s="9"/>
      <c r="R1255" s="42"/>
      <c r="S1255" s="42"/>
      <c r="T1255" s="42"/>
      <c r="U1255" s="42"/>
      <c r="V1255" s="42"/>
      <c r="W1255" s="42"/>
    </row>
    <row r="1256">
      <c r="A1256" s="9"/>
      <c r="B1256" s="9"/>
      <c r="C1256" s="9"/>
      <c r="D1256" s="42"/>
      <c r="E1256" s="103"/>
      <c r="F1256" s="42"/>
      <c r="G1256" s="9"/>
      <c r="H1256" s="9"/>
      <c r="I1256" s="9"/>
      <c r="J1256" s="9"/>
      <c r="K1256" s="42"/>
      <c r="L1256" s="42"/>
      <c r="M1256" s="42"/>
      <c r="N1256" s="42"/>
      <c r="O1256" s="42"/>
      <c r="P1256" s="9"/>
      <c r="Q1256" s="9"/>
      <c r="R1256" s="42"/>
      <c r="S1256" s="42"/>
      <c r="T1256" s="42"/>
      <c r="U1256" s="42"/>
      <c r="V1256" s="42"/>
      <c r="W1256" s="42"/>
    </row>
    <row r="1257">
      <c r="A1257" s="9"/>
      <c r="B1257" s="9"/>
      <c r="C1257" s="9"/>
      <c r="D1257" s="42"/>
      <c r="E1257" s="103"/>
      <c r="F1257" s="42"/>
      <c r="G1257" s="9"/>
      <c r="H1257" s="9"/>
      <c r="I1257" s="9"/>
      <c r="J1257" s="9"/>
      <c r="K1257" s="42"/>
      <c r="L1257" s="42"/>
      <c r="M1257" s="42"/>
      <c r="N1257" s="42"/>
      <c r="O1257" s="42"/>
      <c r="P1257" s="9"/>
      <c r="Q1257" s="9"/>
      <c r="R1257" s="42"/>
      <c r="S1257" s="42"/>
      <c r="T1257" s="42"/>
      <c r="U1257" s="42"/>
      <c r="V1257" s="42"/>
      <c r="W1257" s="42"/>
    </row>
    <row r="1258">
      <c r="A1258" s="9"/>
      <c r="B1258" s="9"/>
      <c r="C1258" s="9"/>
      <c r="D1258" s="42"/>
      <c r="E1258" s="103"/>
      <c r="F1258" s="42"/>
      <c r="G1258" s="9"/>
      <c r="H1258" s="9"/>
      <c r="I1258" s="9"/>
      <c r="J1258" s="9"/>
      <c r="K1258" s="42"/>
      <c r="L1258" s="42"/>
      <c r="M1258" s="42"/>
      <c r="N1258" s="42"/>
      <c r="O1258" s="42"/>
      <c r="P1258" s="9"/>
      <c r="Q1258" s="9"/>
      <c r="R1258" s="42"/>
      <c r="S1258" s="42"/>
      <c r="T1258" s="42"/>
      <c r="U1258" s="42"/>
      <c r="V1258" s="42"/>
      <c r="W1258" s="42"/>
    </row>
    <row r="1259">
      <c r="A1259" s="9"/>
      <c r="B1259" s="9"/>
      <c r="C1259" s="9"/>
      <c r="D1259" s="42"/>
      <c r="E1259" s="103"/>
      <c r="F1259" s="42"/>
      <c r="G1259" s="9"/>
      <c r="H1259" s="9"/>
      <c r="I1259" s="9"/>
      <c r="J1259" s="9"/>
      <c r="K1259" s="42"/>
      <c r="L1259" s="42"/>
      <c r="M1259" s="42"/>
      <c r="N1259" s="42"/>
      <c r="O1259" s="42"/>
      <c r="P1259" s="9"/>
      <c r="Q1259" s="9"/>
      <c r="R1259" s="42"/>
      <c r="S1259" s="42"/>
      <c r="T1259" s="42"/>
      <c r="U1259" s="42"/>
      <c r="V1259" s="42"/>
      <c r="W1259" s="42"/>
    </row>
    <row r="1260">
      <c r="A1260" s="9"/>
      <c r="B1260" s="9"/>
      <c r="C1260" s="9"/>
      <c r="D1260" s="42"/>
      <c r="E1260" s="103"/>
      <c r="F1260" s="42"/>
      <c r="G1260" s="9"/>
      <c r="H1260" s="9"/>
      <c r="I1260" s="9"/>
      <c r="J1260" s="9"/>
      <c r="K1260" s="42"/>
      <c r="L1260" s="42"/>
      <c r="M1260" s="42"/>
      <c r="N1260" s="42"/>
      <c r="O1260" s="42"/>
      <c r="P1260" s="9"/>
      <c r="Q1260" s="9"/>
      <c r="R1260" s="42"/>
      <c r="S1260" s="42"/>
      <c r="T1260" s="42"/>
      <c r="U1260" s="42"/>
      <c r="V1260" s="42"/>
      <c r="W1260" s="42"/>
    </row>
    <row r="1261">
      <c r="A1261" s="9"/>
      <c r="B1261" s="9"/>
      <c r="C1261" s="9"/>
      <c r="D1261" s="42"/>
      <c r="E1261" s="103"/>
      <c r="F1261" s="42"/>
      <c r="G1261" s="9"/>
      <c r="H1261" s="9"/>
      <c r="I1261" s="9"/>
      <c r="J1261" s="9"/>
      <c r="K1261" s="42"/>
      <c r="L1261" s="42"/>
      <c r="M1261" s="42"/>
      <c r="N1261" s="42"/>
      <c r="O1261" s="42"/>
      <c r="P1261" s="9"/>
      <c r="Q1261" s="9"/>
      <c r="R1261" s="42"/>
      <c r="S1261" s="42"/>
      <c r="T1261" s="42"/>
      <c r="U1261" s="42"/>
      <c r="V1261" s="42"/>
      <c r="W1261" s="42"/>
    </row>
    <row r="1262">
      <c r="A1262" s="9"/>
      <c r="B1262" s="9"/>
      <c r="C1262" s="9"/>
      <c r="D1262" s="42"/>
      <c r="E1262" s="103"/>
      <c r="F1262" s="42"/>
      <c r="G1262" s="9"/>
      <c r="H1262" s="9"/>
      <c r="I1262" s="9"/>
      <c r="J1262" s="9"/>
      <c r="K1262" s="42"/>
      <c r="L1262" s="42"/>
      <c r="M1262" s="42"/>
      <c r="N1262" s="42"/>
      <c r="O1262" s="42"/>
      <c r="P1262" s="9"/>
      <c r="Q1262" s="9"/>
      <c r="R1262" s="42"/>
      <c r="S1262" s="42"/>
      <c r="T1262" s="42"/>
      <c r="U1262" s="42"/>
      <c r="V1262" s="42"/>
      <c r="W1262" s="42"/>
    </row>
    <row r="1263">
      <c r="A1263" s="9"/>
      <c r="B1263" s="9"/>
      <c r="C1263" s="9"/>
      <c r="D1263" s="42"/>
      <c r="E1263" s="103"/>
      <c r="F1263" s="42"/>
      <c r="G1263" s="9"/>
      <c r="H1263" s="9"/>
      <c r="I1263" s="9"/>
      <c r="J1263" s="9"/>
      <c r="K1263" s="42"/>
      <c r="L1263" s="42"/>
      <c r="M1263" s="42"/>
      <c r="N1263" s="42"/>
      <c r="O1263" s="42"/>
      <c r="P1263" s="9"/>
      <c r="Q1263" s="9"/>
      <c r="R1263" s="42"/>
      <c r="S1263" s="42"/>
      <c r="T1263" s="42"/>
      <c r="U1263" s="42"/>
      <c r="V1263" s="42"/>
      <c r="W1263" s="42"/>
    </row>
    <row r="1264">
      <c r="A1264" s="9"/>
      <c r="B1264" s="9"/>
      <c r="C1264" s="9"/>
      <c r="D1264" s="42"/>
      <c r="E1264" s="103"/>
      <c r="F1264" s="42"/>
      <c r="G1264" s="9"/>
      <c r="H1264" s="9"/>
      <c r="I1264" s="9"/>
      <c r="J1264" s="9"/>
      <c r="K1264" s="42"/>
      <c r="L1264" s="42"/>
      <c r="M1264" s="42"/>
      <c r="N1264" s="42"/>
      <c r="O1264" s="42"/>
      <c r="P1264" s="9"/>
      <c r="Q1264" s="9"/>
      <c r="R1264" s="42"/>
      <c r="S1264" s="42"/>
      <c r="T1264" s="42"/>
      <c r="U1264" s="42"/>
      <c r="V1264" s="42"/>
      <c r="W1264" s="42"/>
    </row>
    <row r="1265">
      <c r="A1265" s="9"/>
      <c r="B1265" s="9"/>
      <c r="C1265" s="9"/>
      <c r="D1265" s="42"/>
      <c r="E1265" s="103"/>
      <c r="F1265" s="42"/>
      <c r="G1265" s="9"/>
      <c r="H1265" s="9"/>
      <c r="I1265" s="9"/>
      <c r="J1265" s="9"/>
      <c r="K1265" s="42"/>
      <c r="L1265" s="42"/>
      <c r="M1265" s="42"/>
      <c r="N1265" s="42"/>
      <c r="O1265" s="42"/>
      <c r="P1265" s="9"/>
      <c r="Q1265" s="9"/>
      <c r="R1265" s="42"/>
      <c r="S1265" s="42"/>
      <c r="T1265" s="42"/>
      <c r="U1265" s="42"/>
      <c r="V1265" s="42"/>
      <c r="W1265" s="42"/>
    </row>
    <row r="1266">
      <c r="A1266" s="9"/>
      <c r="B1266" s="9"/>
      <c r="C1266" s="9"/>
      <c r="D1266" s="42"/>
      <c r="E1266" s="103"/>
      <c r="F1266" s="42"/>
      <c r="G1266" s="9"/>
      <c r="H1266" s="9"/>
      <c r="I1266" s="9"/>
      <c r="J1266" s="9"/>
      <c r="K1266" s="42"/>
      <c r="L1266" s="42"/>
      <c r="M1266" s="42"/>
      <c r="N1266" s="42"/>
      <c r="O1266" s="42"/>
      <c r="P1266" s="9"/>
      <c r="Q1266" s="9"/>
      <c r="R1266" s="42"/>
      <c r="S1266" s="42"/>
      <c r="T1266" s="42"/>
      <c r="U1266" s="42"/>
      <c r="V1266" s="42"/>
      <c r="W1266" s="42"/>
    </row>
    <row r="1267">
      <c r="A1267" s="9"/>
      <c r="B1267" s="9"/>
      <c r="C1267" s="9"/>
      <c r="D1267" s="42"/>
      <c r="E1267" s="103"/>
      <c r="F1267" s="42"/>
      <c r="G1267" s="9"/>
      <c r="H1267" s="9"/>
      <c r="I1267" s="9"/>
      <c r="J1267" s="9"/>
      <c r="K1267" s="42"/>
      <c r="L1267" s="42"/>
      <c r="M1267" s="42"/>
      <c r="N1267" s="42"/>
      <c r="O1267" s="42"/>
      <c r="P1267" s="9"/>
      <c r="Q1267" s="9"/>
      <c r="R1267" s="42"/>
      <c r="S1267" s="42"/>
      <c r="T1267" s="42"/>
      <c r="U1267" s="42"/>
      <c r="V1267" s="42"/>
      <c r="W1267" s="42"/>
    </row>
    <row r="1268">
      <c r="A1268" s="9"/>
      <c r="B1268" s="9"/>
      <c r="C1268" s="9"/>
      <c r="D1268" s="42"/>
      <c r="E1268" s="103"/>
      <c r="F1268" s="42"/>
      <c r="G1268" s="9"/>
      <c r="H1268" s="9"/>
      <c r="I1268" s="9"/>
      <c r="J1268" s="9"/>
      <c r="K1268" s="42"/>
      <c r="L1268" s="42"/>
      <c r="M1268" s="42"/>
      <c r="N1268" s="42"/>
      <c r="O1268" s="42"/>
      <c r="P1268" s="9"/>
      <c r="Q1268" s="9"/>
      <c r="R1268" s="42"/>
      <c r="S1268" s="42"/>
      <c r="T1268" s="42"/>
      <c r="U1268" s="42"/>
      <c r="V1268" s="42"/>
      <c r="W1268" s="42"/>
    </row>
    <row r="1269">
      <c r="A1269" s="9"/>
      <c r="B1269" s="9"/>
      <c r="C1269" s="9"/>
      <c r="D1269" s="42"/>
      <c r="E1269" s="103"/>
      <c r="F1269" s="42"/>
      <c r="G1269" s="9"/>
      <c r="H1269" s="9"/>
      <c r="I1269" s="9"/>
      <c r="J1269" s="9"/>
      <c r="K1269" s="42"/>
      <c r="L1269" s="42"/>
      <c r="M1269" s="42"/>
      <c r="N1269" s="42"/>
      <c r="O1269" s="42"/>
      <c r="P1269" s="9"/>
      <c r="Q1269" s="9"/>
      <c r="R1269" s="42"/>
      <c r="S1269" s="42"/>
      <c r="T1269" s="42"/>
      <c r="U1269" s="42"/>
      <c r="V1269" s="42"/>
      <c r="W1269" s="42"/>
    </row>
    <row r="1270">
      <c r="A1270" s="9"/>
      <c r="B1270" s="9"/>
      <c r="C1270" s="9"/>
      <c r="D1270" s="42"/>
      <c r="E1270" s="103"/>
      <c r="F1270" s="42"/>
      <c r="G1270" s="9"/>
      <c r="H1270" s="9"/>
      <c r="I1270" s="9"/>
      <c r="J1270" s="9"/>
      <c r="K1270" s="42"/>
      <c r="L1270" s="42"/>
      <c r="M1270" s="42"/>
      <c r="N1270" s="42"/>
      <c r="O1270" s="42"/>
      <c r="P1270" s="9"/>
      <c r="Q1270" s="9"/>
      <c r="R1270" s="42"/>
      <c r="S1270" s="42"/>
      <c r="T1270" s="42"/>
      <c r="U1270" s="42"/>
      <c r="V1270" s="42"/>
      <c r="W1270" s="42"/>
    </row>
    <row r="1271">
      <c r="A1271" s="9"/>
      <c r="B1271" s="9"/>
      <c r="C1271" s="9"/>
      <c r="D1271" s="42"/>
      <c r="E1271" s="103"/>
      <c r="F1271" s="42"/>
      <c r="G1271" s="9"/>
      <c r="H1271" s="9"/>
      <c r="I1271" s="9"/>
      <c r="J1271" s="9"/>
      <c r="K1271" s="42"/>
      <c r="L1271" s="42"/>
      <c r="M1271" s="42"/>
      <c r="N1271" s="42"/>
      <c r="O1271" s="42"/>
      <c r="P1271" s="9"/>
      <c r="Q1271" s="9"/>
      <c r="R1271" s="42"/>
      <c r="S1271" s="42"/>
      <c r="T1271" s="42"/>
      <c r="U1271" s="42"/>
      <c r="V1271" s="42"/>
      <c r="W1271" s="42"/>
    </row>
    <row r="1272">
      <c r="A1272" s="9"/>
      <c r="B1272" s="9"/>
      <c r="C1272" s="9"/>
      <c r="D1272" s="42"/>
      <c r="E1272" s="103"/>
      <c r="F1272" s="42"/>
      <c r="G1272" s="9"/>
      <c r="H1272" s="9"/>
      <c r="I1272" s="9"/>
      <c r="J1272" s="9"/>
      <c r="K1272" s="42"/>
      <c r="L1272" s="42"/>
      <c r="M1272" s="42"/>
      <c r="N1272" s="42"/>
      <c r="O1272" s="42"/>
      <c r="P1272" s="9"/>
      <c r="Q1272" s="9"/>
      <c r="R1272" s="42"/>
      <c r="S1272" s="42"/>
      <c r="T1272" s="42"/>
      <c r="U1272" s="42"/>
      <c r="V1272" s="42"/>
      <c r="W1272" s="42"/>
    </row>
    <row r="1273">
      <c r="A1273" s="9"/>
      <c r="B1273" s="9"/>
      <c r="C1273" s="9"/>
      <c r="D1273" s="42"/>
      <c r="E1273" s="103"/>
      <c r="F1273" s="42"/>
      <c r="G1273" s="9"/>
      <c r="H1273" s="9"/>
      <c r="I1273" s="9"/>
      <c r="J1273" s="9"/>
      <c r="K1273" s="42"/>
      <c r="L1273" s="42"/>
      <c r="M1273" s="42"/>
      <c r="N1273" s="42"/>
      <c r="O1273" s="42"/>
      <c r="P1273" s="9"/>
      <c r="Q1273" s="9"/>
      <c r="R1273" s="42"/>
      <c r="S1273" s="42"/>
      <c r="T1273" s="42"/>
      <c r="U1273" s="42"/>
      <c r="V1273" s="42"/>
      <c r="W1273" s="42"/>
    </row>
    <row r="1274">
      <c r="A1274" s="9"/>
      <c r="B1274" s="9"/>
      <c r="C1274" s="9"/>
      <c r="D1274" s="42"/>
      <c r="E1274" s="103"/>
      <c r="F1274" s="42"/>
      <c r="G1274" s="9"/>
      <c r="H1274" s="9"/>
      <c r="I1274" s="9"/>
      <c r="J1274" s="9"/>
      <c r="K1274" s="42"/>
      <c r="L1274" s="42"/>
      <c r="M1274" s="42"/>
      <c r="N1274" s="42"/>
      <c r="O1274" s="42"/>
      <c r="P1274" s="9"/>
      <c r="Q1274" s="9"/>
      <c r="R1274" s="42"/>
      <c r="S1274" s="42"/>
      <c r="T1274" s="42"/>
      <c r="U1274" s="42"/>
      <c r="V1274" s="42"/>
      <c r="W1274" s="42"/>
    </row>
    <row r="1275">
      <c r="A1275" s="9"/>
      <c r="B1275" s="9"/>
      <c r="C1275" s="9"/>
      <c r="D1275" s="42"/>
      <c r="E1275" s="103"/>
      <c r="F1275" s="42"/>
      <c r="G1275" s="9"/>
      <c r="H1275" s="9"/>
      <c r="I1275" s="9"/>
      <c r="J1275" s="9"/>
      <c r="K1275" s="42"/>
      <c r="L1275" s="42"/>
      <c r="M1275" s="42"/>
      <c r="N1275" s="42"/>
      <c r="O1275" s="42"/>
      <c r="P1275" s="9"/>
      <c r="Q1275" s="9"/>
      <c r="R1275" s="42"/>
      <c r="S1275" s="42"/>
      <c r="T1275" s="42"/>
      <c r="U1275" s="42"/>
      <c r="V1275" s="42"/>
      <c r="W1275" s="42"/>
    </row>
    <row r="1276">
      <c r="A1276" s="9"/>
      <c r="B1276" s="9"/>
      <c r="C1276" s="9"/>
      <c r="D1276" s="42"/>
      <c r="E1276" s="103"/>
      <c r="F1276" s="42"/>
      <c r="G1276" s="9"/>
      <c r="H1276" s="9"/>
      <c r="I1276" s="9"/>
      <c r="J1276" s="9"/>
      <c r="K1276" s="42"/>
      <c r="L1276" s="42"/>
      <c r="M1276" s="42"/>
      <c r="N1276" s="42"/>
      <c r="O1276" s="42"/>
      <c r="P1276" s="9"/>
      <c r="Q1276" s="9"/>
      <c r="R1276" s="42"/>
      <c r="S1276" s="42"/>
      <c r="T1276" s="42"/>
      <c r="U1276" s="42"/>
      <c r="V1276" s="42"/>
      <c r="W1276" s="42"/>
    </row>
    <row r="1277">
      <c r="A1277" s="9"/>
      <c r="B1277" s="9"/>
      <c r="C1277" s="9"/>
      <c r="D1277" s="42"/>
      <c r="E1277" s="103"/>
      <c r="F1277" s="42"/>
      <c r="G1277" s="9"/>
      <c r="H1277" s="9"/>
      <c r="I1277" s="9"/>
      <c r="J1277" s="9"/>
      <c r="K1277" s="42"/>
      <c r="L1277" s="42"/>
      <c r="M1277" s="42"/>
      <c r="N1277" s="42"/>
      <c r="O1277" s="42"/>
      <c r="P1277" s="9"/>
      <c r="Q1277" s="9"/>
      <c r="R1277" s="42"/>
      <c r="S1277" s="42"/>
      <c r="T1277" s="42"/>
      <c r="U1277" s="42"/>
      <c r="V1277" s="42"/>
      <c r="W1277" s="42"/>
    </row>
    <row r="1278">
      <c r="A1278" s="9"/>
      <c r="B1278" s="9"/>
      <c r="C1278" s="9"/>
      <c r="D1278" s="42"/>
      <c r="E1278" s="103"/>
      <c r="F1278" s="42"/>
      <c r="G1278" s="9"/>
      <c r="H1278" s="9"/>
      <c r="I1278" s="9"/>
      <c r="J1278" s="9"/>
      <c r="K1278" s="42"/>
      <c r="L1278" s="42"/>
      <c r="M1278" s="42"/>
      <c r="N1278" s="42"/>
      <c r="O1278" s="42"/>
      <c r="P1278" s="9"/>
      <c r="Q1278" s="9"/>
      <c r="R1278" s="42"/>
      <c r="S1278" s="42"/>
      <c r="T1278" s="42"/>
      <c r="U1278" s="42"/>
      <c r="V1278" s="42"/>
      <c r="W1278" s="42"/>
    </row>
    <row r="1279">
      <c r="A1279" s="9"/>
      <c r="B1279" s="9"/>
      <c r="C1279" s="9"/>
      <c r="D1279" s="42"/>
      <c r="E1279" s="103"/>
      <c r="F1279" s="42"/>
      <c r="G1279" s="9"/>
      <c r="H1279" s="9"/>
      <c r="I1279" s="9"/>
      <c r="J1279" s="9"/>
      <c r="K1279" s="42"/>
      <c r="L1279" s="42"/>
      <c r="M1279" s="42"/>
      <c r="N1279" s="42"/>
      <c r="O1279" s="42"/>
      <c r="P1279" s="9"/>
      <c r="Q1279" s="9"/>
      <c r="R1279" s="42"/>
      <c r="S1279" s="42"/>
      <c r="T1279" s="42"/>
      <c r="U1279" s="42"/>
      <c r="V1279" s="42"/>
      <c r="W1279" s="42"/>
    </row>
    <row r="1280">
      <c r="A1280" s="9"/>
      <c r="B1280" s="9"/>
      <c r="C1280" s="9"/>
      <c r="D1280" s="42"/>
      <c r="E1280" s="103"/>
      <c r="F1280" s="42"/>
      <c r="G1280" s="9"/>
      <c r="H1280" s="9"/>
      <c r="I1280" s="9"/>
      <c r="J1280" s="9"/>
      <c r="K1280" s="42"/>
      <c r="L1280" s="42"/>
      <c r="M1280" s="42"/>
      <c r="N1280" s="42"/>
      <c r="O1280" s="42"/>
      <c r="P1280" s="9"/>
      <c r="Q1280" s="9"/>
      <c r="R1280" s="42"/>
      <c r="S1280" s="42"/>
      <c r="T1280" s="42"/>
      <c r="U1280" s="42"/>
      <c r="V1280" s="42"/>
      <c r="W1280" s="42"/>
    </row>
    <row r="1281">
      <c r="A1281" s="9"/>
      <c r="B1281" s="9"/>
      <c r="C1281" s="9"/>
      <c r="D1281" s="42"/>
      <c r="E1281" s="103"/>
      <c r="F1281" s="42"/>
      <c r="G1281" s="9"/>
      <c r="H1281" s="9"/>
      <c r="I1281" s="9"/>
      <c r="J1281" s="9"/>
      <c r="K1281" s="42"/>
      <c r="L1281" s="42"/>
      <c r="M1281" s="42"/>
      <c r="N1281" s="42"/>
      <c r="O1281" s="42"/>
      <c r="P1281" s="9"/>
      <c r="Q1281" s="9"/>
      <c r="R1281" s="42"/>
      <c r="S1281" s="42"/>
      <c r="T1281" s="42"/>
      <c r="U1281" s="42"/>
      <c r="V1281" s="42"/>
      <c r="W1281" s="42"/>
    </row>
    <row r="1282">
      <c r="A1282" s="9"/>
      <c r="B1282" s="9"/>
      <c r="C1282" s="9"/>
      <c r="D1282" s="42"/>
      <c r="E1282" s="103"/>
      <c r="F1282" s="42"/>
      <c r="G1282" s="9"/>
      <c r="H1282" s="9"/>
      <c r="I1282" s="9"/>
      <c r="J1282" s="9"/>
      <c r="K1282" s="42"/>
      <c r="L1282" s="42"/>
      <c r="M1282" s="42"/>
      <c r="N1282" s="42"/>
      <c r="O1282" s="42"/>
      <c r="P1282" s="9"/>
      <c r="Q1282" s="9"/>
      <c r="R1282" s="42"/>
      <c r="S1282" s="42"/>
      <c r="T1282" s="42"/>
      <c r="U1282" s="42"/>
      <c r="V1282" s="42"/>
      <c r="W1282" s="42"/>
    </row>
    <row r="1283">
      <c r="A1283" s="9"/>
      <c r="B1283" s="9"/>
      <c r="C1283" s="9"/>
      <c r="D1283" s="42"/>
      <c r="E1283" s="103"/>
      <c r="F1283" s="42"/>
      <c r="G1283" s="9"/>
      <c r="H1283" s="9"/>
      <c r="I1283" s="9"/>
      <c r="J1283" s="9"/>
      <c r="K1283" s="42"/>
      <c r="L1283" s="42"/>
      <c r="M1283" s="42"/>
      <c r="N1283" s="42"/>
      <c r="O1283" s="42"/>
      <c r="P1283" s="9"/>
      <c r="Q1283" s="9"/>
      <c r="R1283" s="42"/>
      <c r="S1283" s="42"/>
      <c r="T1283" s="42"/>
      <c r="U1283" s="42"/>
      <c r="V1283" s="42"/>
      <c r="W1283" s="42"/>
    </row>
    <row r="1284">
      <c r="A1284" s="9"/>
      <c r="B1284" s="9"/>
      <c r="C1284" s="9"/>
      <c r="D1284" s="42"/>
      <c r="E1284" s="103"/>
      <c r="F1284" s="42"/>
      <c r="G1284" s="9"/>
      <c r="H1284" s="9"/>
      <c r="I1284" s="9"/>
      <c r="J1284" s="9"/>
      <c r="K1284" s="42"/>
      <c r="L1284" s="42"/>
      <c r="M1284" s="42"/>
      <c r="N1284" s="42"/>
      <c r="O1284" s="42"/>
      <c r="P1284" s="9"/>
      <c r="Q1284" s="9"/>
      <c r="R1284" s="42"/>
      <c r="S1284" s="42"/>
      <c r="T1284" s="42"/>
      <c r="U1284" s="42"/>
      <c r="V1284" s="42"/>
      <c r="W1284" s="42"/>
    </row>
    <row r="1285">
      <c r="A1285" s="9"/>
      <c r="B1285" s="9"/>
      <c r="C1285" s="9"/>
      <c r="D1285" s="42"/>
      <c r="E1285" s="103"/>
      <c r="F1285" s="42"/>
      <c r="G1285" s="9"/>
      <c r="H1285" s="9"/>
      <c r="I1285" s="9"/>
      <c r="J1285" s="9"/>
      <c r="K1285" s="42"/>
      <c r="L1285" s="42"/>
      <c r="M1285" s="42"/>
      <c r="N1285" s="42"/>
      <c r="O1285" s="42"/>
      <c r="P1285" s="9"/>
      <c r="Q1285" s="9"/>
      <c r="R1285" s="42"/>
      <c r="S1285" s="42"/>
      <c r="T1285" s="42"/>
      <c r="U1285" s="42"/>
      <c r="V1285" s="42"/>
      <c r="W1285" s="42"/>
    </row>
    <row r="1286">
      <c r="A1286" s="9"/>
      <c r="B1286" s="9"/>
      <c r="C1286" s="9"/>
      <c r="D1286" s="42"/>
      <c r="E1286" s="103"/>
      <c r="F1286" s="42"/>
      <c r="G1286" s="9"/>
      <c r="H1286" s="9"/>
      <c r="I1286" s="9"/>
      <c r="J1286" s="9"/>
      <c r="K1286" s="42"/>
      <c r="L1286" s="42"/>
      <c r="M1286" s="42"/>
      <c r="N1286" s="42"/>
      <c r="O1286" s="42"/>
      <c r="P1286" s="9"/>
      <c r="Q1286" s="9"/>
      <c r="R1286" s="42"/>
      <c r="S1286" s="42"/>
      <c r="T1286" s="42"/>
      <c r="U1286" s="42"/>
      <c r="V1286" s="42"/>
      <c r="W1286" s="42"/>
    </row>
    <row r="1287">
      <c r="A1287" s="9"/>
      <c r="B1287" s="9"/>
      <c r="C1287" s="9"/>
      <c r="D1287" s="42"/>
      <c r="E1287" s="103"/>
      <c r="F1287" s="42"/>
      <c r="G1287" s="9"/>
      <c r="H1287" s="9"/>
      <c r="I1287" s="9"/>
      <c r="J1287" s="9"/>
      <c r="K1287" s="42"/>
      <c r="L1287" s="42"/>
      <c r="M1287" s="42"/>
      <c r="N1287" s="42"/>
      <c r="O1287" s="42"/>
      <c r="P1287" s="9"/>
      <c r="Q1287" s="9"/>
      <c r="R1287" s="42"/>
      <c r="S1287" s="42"/>
      <c r="T1287" s="42"/>
      <c r="U1287" s="42"/>
      <c r="V1287" s="42"/>
      <c r="W1287" s="42"/>
    </row>
    <row r="1288">
      <c r="A1288" s="9"/>
      <c r="B1288" s="9"/>
      <c r="C1288" s="9"/>
      <c r="D1288" s="42"/>
      <c r="E1288" s="103"/>
      <c r="F1288" s="42"/>
      <c r="G1288" s="9"/>
      <c r="H1288" s="9"/>
      <c r="I1288" s="9"/>
      <c r="J1288" s="9"/>
      <c r="K1288" s="42"/>
      <c r="L1288" s="42"/>
      <c r="M1288" s="42"/>
      <c r="N1288" s="42"/>
      <c r="O1288" s="42"/>
      <c r="P1288" s="9"/>
      <c r="Q1288" s="9"/>
      <c r="R1288" s="42"/>
      <c r="S1288" s="42"/>
      <c r="T1288" s="42"/>
      <c r="U1288" s="42"/>
      <c r="V1288" s="42"/>
      <c r="W1288" s="42"/>
    </row>
    <row r="1289">
      <c r="A1289" s="9"/>
      <c r="B1289" s="9"/>
      <c r="C1289" s="9"/>
      <c r="D1289" s="42"/>
      <c r="E1289" s="103"/>
      <c r="F1289" s="42"/>
      <c r="G1289" s="9"/>
      <c r="H1289" s="9"/>
      <c r="I1289" s="9"/>
      <c r="J1289" s="9"/>
      <c r="K1289" s="42"/>
      <c r="L1289" s="42"/>
      <c r="M1289" s="42"/>
      <c r="N1289" s="42"/>
      <c r="O1289" s="42"/>
      <c r="P1289" s="9"/>
      <c r="Q1289" s="9"/>
      <c r="R1289" s="42"/>
      <c r="S1289" s="42"/>
      <c r="T1289" s="42"/>
      <c r="U1289" s="42"/>
      <c r="V1289" s="42"/>
      <c r="W1289" s="42"/>
    </row>
    <row r="1290">
      <c r="A1290" s="9"/>
      <c r="B1290" s="9"/>
      <c r="C1290" s="9"/>
      <c r="D1290" s="42"/>
      <c r="E1290" s="103"/>
      <c r="F1290" s="42"/>
      <c r="G1290" s="9"/>
      <c r="H1290" s="9"/>
      <c r="I1290" s="9"/>
      <c r="J1290" s="9"/>
      <c r="K1290" s="42"/>
      <c r="L1290" s="42"/>
      <c r="M1290" s="42"/>
      <c r="N1290" s="42"/>
      <c r="O1290" s="42"/>
      <c r="P1290" s="9"/>
      <c r="Q1290" s="9"/>
      <c r="R1290" s="42"/>
      <c r="S1290" s="42"/>
      <c r="T1290" s="42"/>
      <c r="U1290" s="42"/>
      <c r="V1290" s="42"/>
      <c r="W1290" s="42"/>
    </row>
    <row r="1291">
      <c r="A1291" s="9"/>
      <c r="B1291" s="9"/>
      <c r="C1291" s="9"/>
      <c r="D1291" s="42"/>
      <c r="E1291" s="103"/>
      <c r="F1291" s="42"/>
      <c r="G1291" s="9"/>
      <c r="H1291" s="9"/>
      <c r="I1291" s="9"/>
      <c r="J1291" s="9"/>
      <c r="K1291" s="42"/>
      <c r="L1291" s="42"/>
      <c r="M1291" s="42"/>
      <c r="N1291" s="42"/>
      <c r="O1291" s="42"/>
      <c r="P1291" s="9"/>
      <c r="Q1291" s="9"/>
      <c r="R1291" s="42"/>
      <c r="S1291" s="42"/>
      <c r="T1291" s="42"/>
      <c r="U1291" s="42"/>
      <c r="V1291" s="42"/>
      <c r="W1291" s="42"/>
    </row>
    <row r="1292">
      <c r="A1292" s="9"/>
      <c r="B1292" s="9"/>
      <c r="C1292" s="9"/>
      <c r="D1292" s="42"/>
      <c r="E1292" s="103"/>
      <c r="F1292" s="42"/>
      <c r="G1292" s="9"/>
      <c r="H1292" s="9"/>
      <c r="I1292" s="9"/>
      <c r="J1292" s="9"/>
      <c r="K1292" s="42"/>
      <c r="L1292" s="42"/>
      <c r="M1292" s="42"/>
      <c r="N1292" s="42"/>
      <c r="O1292" s="42"/>
      <c r="P1292" s="9"/>
      <c r="Q1292" s="9"/>
      <c r="R1292" s="42"/>
      <c r="S1292" s="42"/>
      <c r="T1292" s="42"/>
      <c r="U1292" s="42"/>
      <c r="V1292" s="42"/>
      <c r="W1292" s="42"/>
    </row>
    <row r="1293">
      <c r="A1293" s="9"/>
      <c r="B1293" s="9"/>
      <c r="C1293" s="9"/>
      <c r="D1293" s="42"/>
      <c r="E1293" s="103"/>
      <c r="F1293" s="42"/>
      <c r="G1293" s="9"/>
      <c r="H1293" s="9"/>
      <c r="I1293" s="9"/>
      <c r="J1293" s="9"/>
      <c r="K1293" s="42"/>
      <c r="L1293" s="42"/>
      <c r="M1293" s="42"/>
      <c r="N1293" s="42"/>
      <c r="O1293" s="42"/>
      <c r="P1293" s="9"/>
      <c r="Q1293" s="9"/>
      <c r="R1293" s="42"/>
      <c r="S1293" s="42"/>
      <c r="T1293" s="42"/>
      <c r="U1293" s="42"/>
      <c r="V1293" s="42"/>
      <c r="W1293" s="42"/>
    </row>
    <row r="1294">
      <c r="A1294" s="9"/>
      <c r="B1294" s="9"/>
      <c r="C1294" s="9"/>
      <c r="D1294" s="42"/>
      <c r="E1294" s="103"/>
      <c r="F1294" s="42"/>
      <c r="G1294" s="9"/>
      <c r="H1294" s="9"/>
      <c r="I1294" s="9"/>
      <c r="J1294" s="9"/>
      <c r="K1294" s="42"/>
      <c r="L1294" s="42"/>
      <c r="M1294" s="42"/>
      <c r="N1294" s="42"/>
      <c r="O1294" s="42"/>
      <c r="P1294" s="9"/>
      <c r="Q1294" s="9"/>
      <c r="R1294" s="42"/>
      <c r="S1294" s="42"/>
      <c r="T1294" s="42"/>
      <c r="U1294" s="42"/>
      <c r="V1294" s="42"/>
      <c r="W1294" s="42"/>
    </row>
    <row r="1295">
      <c r="A1295" s="9"/>
      <c r="B1295" s="9"/>
      <c r="C1295" s="9"/>
      <c r="D1295" s="42"/>
      <c r="E1295" s="103"/>
      <c r="F1295" s="42"/>
      <c r="G1295" s="9"/>
      <c r="H1295" s="9"/>
      <c r="I1295" s="9"/>
      <c r="J1295" s="9"/>
      <c r="K1295" s="42"/>
      <c r="L1295" s="42"/>
      <c r="M1295" s="42"/>
      <c r="N1295" s="42"/>
      <c r="O1295" s="42"/>
      <c r="P1295" s="9"/>
      <c r="Q1295" s="9"/>
      <c r="R1295" s="42"/>
      <c r="S1295" s="42"/>
      <c r="T1295" s="42"/>
      <c r="U1295" s="42"/>
      <c r="V1295" s="42"/>
      <c r="W1295" s="42"/>
    </row>
    <row r="1296">
      <c r="A1296" s="9"/>
      <c r="B1296" s="9"/>
      <c r="C1296" s="9"/>
      <c r="D1296" s="42"/>
      <c r="E1296" s="103"/>
      <c r="F1296" s="42"/>
      <c r="G1296" s="9"/>
      <c r="H1296" s="9"/>
      <c r="I1296" s="9"/>
      <c r="J1296" s="9"/>
      <c r="K1296" s="42"/>
      <c r="L1296" s="42"/>
      <c r="M1296" s="42"/>
      <c r="N1296" s="42"/>
      <c r="O1296" s="42"/>
      <c r="P1296" s="9"/>
      <c r="Q1296" s="9"/>
      <c r="R1296" s="42"/>
      <c r="S1296" s="42"/>
      <c r="T1296" s="42"/>
      <c r="U1296" s="42"/>
      <c r="V1296" s="42"/>
      <c r="W1296" s="42"/>
    </row>
    <row r="1297">
      <c r="A1297" s="9"/>
      <c r="B1297" s="9"/>
      <c r="C1297" s="9"/>
      <c r="D1297" s="42"/>
      <c r="E1297" s="103"/>
      <c r="F1297" s="42"/>
      <c r="G1297" s="9"/>
      <c r="H1297" s="9"/>
      <c r="I1297" s="9"/>
      <c r="J1297" s="9"/>
      <c r="K1297" s="42"/>
      <c r="L1297" s="42"/>
      <c r="M1297" s="42"/>
      <c r="N1297" s="42"/>
      <c r="O1297" s="42"/>
      <c r="P1297" s="9"/>
      <c r="Q1297" s="9"/>
      <c r="R1297" s="42"/>
      <c r="S1297" s="42"/>
      <c r="T1297" s="42"/>
      <c r="U1297" s="42"/>
      <c r="V1297" s="42"/>
      <c r="W1297" s="42"/>
    </row>
    <row r="1298">
      <c r="A1298" s="9"/>
      <c r="B1298" s="9"/>
      <c r="C1298" s="9"/>
      <c r="D1298" s="42"/>
      <c r="E1298" s="103"/>
      <c r="F1298" s="42"/>
      <c r="G1298" s="9"/>
      <c r="H1298" s="9"/>
      <c r="I1298" s="9"/>
      <c r="J1298" s="9"/>
      <c r="K1298" s="42"/>
      <c r="L1298" s="42"/>
      <c r="M1298" s="42"/>
      <c r="N1298" s="42"/>
      <c r="O1298" s="42"/>
      <c r="P1298" s="9"/>
      <c r="Q1298" s="9"/>
      <c r="R1298" s="42"/>
      <c r="S1298" s="42"/>
      <c r="T1298" s="42"/>
      <c r="U1298" s="42"/>
      <c r="V1298" s="42"/>
      <c r="W1298" s="42"/>
    </row>
    <row r="1299">
      <c r="A1299" s="9"/>
      <c r="B1299" s="9"/>
      <c r="C1299" s="9"/>
      <c r="D1299" s="42"/>
      <c r="E1299" s="103"/>
      <c r="F1299" s="42"/>
      <c r="G1299" s="9"/>
      <c r="H1299" s="9"/>
      <c r="I1299" s="9"/>
      <c r="J1299" s="9"/>
      <c r="K1299" s="42"/>
      <c r="L1299" s="42"/>
      <c r="M1299" s="42"/>
      <c r="N1299" s="42"/>
      <c r="O1299" s="42"/>
      <c r="P1299" s="9"/>
      <c r="Q1299" s="9"/>
      <c r="R1299" s="42"/>
      <c r="S1299" s="42"/>
      <c r="T1299" s="42"/>
      <c r="U1299" s="42"/>
      <c r="V1299" s="42"/>
      <c r="W1299" s="42"/>
    </row>
    <row r="1300">
      <c r="A1300" s="9"/>
      <c r="B1300" s="9"/>
      <c r="C1300" s="9"/>
      <c r="D1300" s="42"/>
      <c r="E1300" s="103"/>
      <c r="F1300" s="42"/>
      <c r="G1300" s="9"/>
      <c r="H1300" s="9"/>
      <c r="I1300" s="9"/>
      <c r="J1300" s="9"/>
      <c r="K1300" s="42"/>
      <c r="L1300" s="42"/>
      <c r="M1300" s="42"/>
      <c r="N1300" s="42"/>
      <c r="O1300" s="42"/>
      <c r="P1300" s="9"/>
      <c r="Q1300" s="9"/>
      <c r="R1300" s="42"/>
      <c r="S1300" s="42"/>
      <c r="T1300" s="42"/>
      <c r="U1300" s="42"/>
      <c r="V1300" s="42"/>
      <c r="W1300" s="42"/>
    </row>
    <row r="1301">
      <c r="A1301" s="9"/>
      <c r="B1301" s="9"/>
      <c r="C1301" s="9"/>
      <c r="D1301" s="42"/>
      <c r="E1301" s="103"/>
      <c r="F1301" s="42"/>
      <c r="G1301" s="9"/>
      <c r="H1301" s="9"/>
      <c r="I1301" s="9"/>
      <c r="J1301" s="9"/>
      <c r="K1301" s="42"/>
      <c r="L1301" s="42"/>
      <c r="M1301" s="42"/>
      <c r="N1301" s="42"/>
      <c r="O1301" s="42"/>
      <c r="P1301" s="9"/>
      <c r="Q1301" s="9"/>
      <c r="R1301" s="42"/>
      <c r="S1301" s="42"/>
      <c r="T1301" s="42"/>
      <c r="U1301" s="42"/>
      <c r="V1301" s="42"/>
      <c r="W1301" s="42"/>
    </row>
    <row r="1302">
      <c r="A1302" s="9"/>
      <c r="B1302" s="9"/>
      <c r="C1302" s="9"/>
      <c r="D1302" s="42"/>
      <c r="E1302" s="103"/>
      <c r="F1302" s="42"/>
      <c r="G1302" s="9"/>
      <c r="H1302" s="9"/>
      <c r="I1302" s="9"/>
      <c r="J1302" s="9"/>
      <c r="K1302" s="42"/>
      <c r="L1302" s="42"/>
      <c r="M1302" s="42"/>
      <c r="N1302" s="42"/>
      <c r="O1302" s="42"/>
      <c r="P1302" s="9"/>
      <c r="Q1302" s="9"/>
      <c r="R1302" s="42"/>
      <c r="S1302" s="42"/>
      <c r="T1302" s="42"/>
      <c r="U1302" s="42"/>
      <c r="V1302" s="42"/>
      <c r="W1302" s="42"/>
    </row>
    <row r="1303">
      <c r="A1303" s="9"/>
      <c r="B1303" s="9"/>
      <c r="C1303" s="9"/>
      <c r="D1303" s="42"/>
      <c r="E1303" s="103"/>
      <c r="F1303" s="42"/>
      <c r="G1303" s="9"/>
      <c r="H1303" s="9"/>
      <c r="I1303" s="9"/>
      <c r="J1303" s="9"/>
      <c r="K1303" s="42"/>
      <c r="L1303" s="42"/>
      <c r="M1303" s="42"/>
      <c r="N1303" s="42"/>
      <c r="O1303" s="42"/>
      <c r="P1303" s="9"/>
      <c r="Q1303" s="9"/>
      <c r="R1303" s="42"/>
      <c r="S1303" s="42"/>
      <c r="T1303" s="42"/>
      <c r="U1303" s="42"/>
      <c r="V1303" s="42"/>
      <c r="W1303" s="42"/>
    </row>
    <row r="1304">
      <c r="A1304" s="9"/>
      <c r="B1304" s="9"/>
      <c r="C1304" s="9"/>
      <c r="D1304" s="42"/>
      <c r="E1304" s="103"/>
      <c r="F1304" s="42"/>
      <c r="G1304" s="9"/>
      <c r="H1304" s="9"/>
      <c r="I1304" s="9"/>
      <c r="J1304" s="9"/>
      <c r="K1304" s="42"/>
      <c r="L1304" s="42"/>
      <c r="M1304" s="42"/>
      <c r="N1304" s="42"/>
      <c r="O1304" s="42"/>
      <c r="P1304" s="9"/>
      <c r="Q1304" s="9"/>
      <c r="R1304" s="42"/>
      <c r="S1304" s="42"/>
      <c r="T1304" s="42"/>
      <c r="U1304" s="42"/>
      <c r="V1304" s="42"/>
      <c r="W1304" s="42"/>
    </row>
    <row r="1305">
      <c r="A1305" s="9"/>
      <c r="B1305" s="9"/>
      <c r="C1305" s="9"/>
      <c r="D1305" s="42"/>
      <c r="E1305" s="103"/>
      <c r="F1305" s="42"/>
      <c r="G1305" s="9"/>
      <c r="H1305" s="9"/>
      <c r="I1305" s="9"/>
      <c r="J1305" s="9"/>
      <c r="K1305" s="42"/>
      <c r="L1305" s="42"/>
      <c r="M1305" s="42"/>
      <c r="N1305" s="42"/>
      <c r="O1305" s="42"/>
      <c r="P1305" s="9"/>
      <c r="Q1305" s="9"/>
      <c r="R1305" s="42"/>
      <c r="S1305" s="42"/>
      <c r="T1305" s="42"/>
      <c r="U1305" s="42"/>
      <c r="V1305" s="42"/>
      <c r="W1305" s="42"/>
    </row>
    <row r="1306">
      <c r="A1306" s="9"/>
      <c r="B1306" s="9"/>
      <c r="C1306" s="9"/>
      <c r="D1306" s="42"/>
      <c r="E1306" s="103"/>
      <c r="F1306" s="42"/>
      <c r="G1306" s="9"/>
      <c r="H1306" s="9"/>
      <c r="I1306" s="9"/>
      <c r="J1306" s="9"/>
      <c r="K1306" s="42"/>
      <c r="L1306" s="42"/>
      <c r="M1306" s="42"/>
      <c r="N1306" s="42"/>
      <c r="O1306" s="42"/>
      <c r="P1306" s="9"/>
      <c r="Q1306" s="9"/>
      <c r="R1306" s="42"/>
      <c r="S1306" s="42"/>
      <c r="T1306" s="42"/>
      <c r="U1306" s="42"/>
      <c r="V1306" s="42"/>
      <c r="W1306" s="42"/>
    </row>
    <row r="1307">
      <c r="A1307" s="9"/>
      <c r="B1307" s="9"/>
      <c r="C1307" s="9"/>
      <c r="D1307" s="42"/>
      <c r="E1307" s="103"/>
      <c r="F1307" s="42"/>
      <c r="G1307" s="9"/>
      <c r="H1307" s="9"/>
      <c r="I1307" s="9"/>
      <c r="J1307" s="9"/>
      <c r="K1307" s="42"/>
      <c r="L1307" s="42"/>
      <c r="M1307" s="42"/>
      <c r="N1307" s="42"/>
      <c r="O1307" s="42"/>
      <c r="P1307" s="9"/>
      <c r="Q1307" s="9"/>
      <c r="R1307" s="42"/>
      <c r="S1307" s="42"/>
      <c r="T1307" s="42"/>
      <c r="U1307" s="42"/>
      <c r="V1307" s="42"/>
      <c r="W1307" s="42"/>
    </row>
    <row r="1308">
      <c r="A1308" s="9"/>
      <c r="B1308" s="9"/>
      <c r="C1308" s="9"/>
      <c r="D1308" s="42"/>
      <c r="E1308" s="103"/>
      <c r="F1308" s="42"/>
      <c r="G1308" s="9"/>
      <c r="H1308" s="9"/>
      <c r="I1308" s="9"/>
      <c r="J1308" s="9"/>
      <c r="K1308" s="42"/>
      <c r="L1308" s="42"/>
      <c r="M1308" s="42"/>
      <c r="N1308" s="42"/>
      <c r="O1308" s="42"/>
      <c r="P1308" s="9"/>
      <c r="Q1308" s="9"/>
      <c r="R1308" s="42"/>
      <c r="S1308" s="42"/>
      <c r="T1308" s="42"/>
      <c r="U1308" s="42"/>
      <c r="V1308" s="42"/>
      <c r="W1308" s="42"/>
    </row>
    <row r="1309">
      <c r="A1309" s="9"/>
      <c r="B1309" s="9"/>
      <c r="C1309" s="9"/>
      <c r="D1309" s="42"/>
      <c r="E1309" s="103"/>
      <c r="F1309" s="42"/>
      <c r="G1309" s="9"/>
      <c r="H1309" s="9"/>
      <c r="I1309" s="9"/>
      <c r="J1309" s="9"/>
      <c r="K1309" s="42"/>
      <c r="L1309" s="42"/>
      <c r="M1309" s="42"/>
      <c r="N1309" s="42"/>
      <c r="O1309" s="42"/>
      <c r="P1309" s="9"/>
      <c r="Q1309" s="9"/>
      <c r="R1309" s="42"/>
      <c r="S1309" s="42"/>
      <c r="T1309" s="42"/>
      <c r="U1309" s="42"/>
      <c r="V1309" s="42"/>
      <c r="W1309" s="42"/>
    </row>
    <row r="1310">
      <c r="A1310" s="9"/>
      <c r="B1310" s="9"/>
      <c r="C1310" s="9"/>
      <c r="D1310" s="42"/>
      <c r="E1310" s="103"/>
      <c r="F1310" s="42"/>
      <c r="G1310" s="9"/>
      <c r="H1310" s="9"/>
      <c r="I1310" s="9"/>
      <c r="J1310" s="9"/>
      <c r="K1310" s="42"/>
      <c r="L1310" s="42"/>
      <c r="M1310" s="42"/>
      <c r="N1310" s="42"/>
      <c r="O1310" s="42"/>
      <c r="P1310" s="9"/>
      <c r="Q1310" s="9"/>
      <c r="R1310" s="42"/>
      <c r="S1310" s="42"/>
      <c r="T1310" s="42"/>
      <c r="U1310" s="42"/>
      <c r="V1310" s="42"/>
      <c r="W1310" s="42"/>
    </row>
    <row r="1311">
      <c r="A1311" s="9"/>
      <c r="B1311" s="9"/>
      <c r="C1311" s="9"/>
      <c r="D1311" s="42"/>
      <c r="E1311" s="103"/>
      <c r="F1311" s="42"/>
      <c r="G1311" s="9"/>
      <c r="H1311" s="9"/>
      <c r="I1311" s="9"/>
      <c r="J1311" s="9"/>
      <c r="K1311" s="42"/>
      <c r="L1311" s="42"/>
      <c r="M1311" s="42"/>
      <c r="N1311" s="42"/>
      <c r="O1311" s="42"/>
      <c r="P1311" s="9"/>
      <c r="Q1311" s="9"/>
      <c r="R1311" s="42"/>
      <c r="S1311" s="42"/>
      <c r="T1311" s="42"/>
      <c r="U1311" s="42"/>
      <c r="V1311" s="42"/>
      <c r="W1311" s="42"/>
    </row>
    <row r="1312">
      <c r="A1312" s="9"/>
      <c r="B1312" s="9"/>
      <c r="C1312" s="9"/>
      <c r="D1312" s="42"/>
      <c r="E1312" s="103"/>
      <c r="F1312" s="42"/>
      <c r="G1312" s="9"/>
      <c r="H1312" s="9"/>
      <c r="I1312" s="9"/>
      <c r="J1312" s="9"/>
      <c r="K1312" s="42"/>
      <c r="L1312" s="42"/>
      <c r="M1312" s="42"/>
      <c r="N1312" s="42"/>
      <c r="O1312" s="42"/>
      <c r="P1312" s="9"/>
      <c r="Q1312" s="9"/>
      <c r="R1312" s="42"/>
      <c r="S1312" s="42"/>
      <c r="T1312" s="42"/>
      <c r="U1312" s="42"/>
      <c r="V1312" s="42"/>
      <c r="W1312" s="42"/>
    </row>
    <row r="1313">
      <c r="A1313" s="9"/>
      <c r="B1313" s="9"/>
      <c r="C1313" s="9"/>
      <c r="D1313" s="42"/>
      <c r="E1313" s="103"/>
      <c r="F1313" s="42"/>
      <c r="G1313" s="9"/>
      <c r="H1313" s="9"/>
      <c r="I1313" s="9"/>
      <c r="J1313" s="9"/>
      <c r="K1313" s="42"/>
      <c r="L1313" s="42"/>
      <c r="M1313" s="42"/>
      <c r="N1313" s="42"/>
      <c r="O1313" s="42"/>
      <c r="P1313" s="9"/>
      <c r="Q1313" s="9"/>
      <c r="R1313" s="42"/>
      <c r="S1313" s="42"/>
      <c r="T1313" s="42"/>
      <c r="U1313" s="42"/>
      <c r="V1313" s="42"/>
      <c r="W1313" s="42"/>
    </row>
    <row r="1314">
      <c r="A1314" s="9"/>
      <c r="B1314" s="9"/>
      <c r="C1314" s="9"/>
      <c r="D1314" s="42"/>
      <c r="E1314" s="103"/>
      <c r="F1314" s="42"/>
      <c r="G1314" s="9"/>
      <c r="H1314" s="9"/>
      <c r="I1314" s="9"/>
      <c r="J1314" s="9"/>
      <c r="K1314" s="42"/>
      <c r="L1314" s="42"/>
      <c r="M1314" s="42"/>
      <c r="N1314" s="42"/>
      <c r="O1314" s="42"/>
      <c r="P1314" s="9"/>
      <c r="Q1314" s="9"/>
      <c r="R1314" s="42"/>
      <c r="S1314" s="42"/>
      <c r="T1314" s="42"/>
      <c r="U1314" s="42"/>
      <c r="V1314" s="42"/>
      <c r="W1314" s="42"/>
    </row>
    <row r="1315">
      <c r="A1315" s="9"/>
      <c r="B1315" s="9"/>
      <c r="C1315" s="9"/>
      <c r="D1315" s="42"/>
      <c r="E1315" s="103"/>
      <c r="F1315" s="42"/>
      <c r="G1315" s="9"/>
      <c r="H1315" s="9"/>
      <c r="I1315" s="9"/>
      <c r="J1315" s="9"/>
      <c r="K1315" s="42"/>
      <c r="L1315" s="42"/>
      <c r="M1315" s="42"/>
      <c r="N1315" s="42"/>
      <c r="O1315" s="42"/>
      <c r="P1315" s="9"/>
      <c r="Q1315" s="9"/>
      <c r="R1315" s="42"/>
      <c r="S1315" s="42"/>
      <c r="T1315" s="42"/>
      <c r="U1315" s="42"/>
      <c r="V1315" s="42"/>
      <c r="W1315" s="42"/>
    </row>
    <row r="1316">
      <c r="A1316" s="9"/>
      <c r="B1316" s="9"/>
      <c r="C1316" s="9"/>
      <c r="D1316" s="42"/>
      <c r="E1316" s="103"/>
      <c r="F1316" s="42"/>
      <c r="G1316" s="9"/>
      <c r="H1316" s="9"/>
      <c r="I1316" s="9"/>
      <c r="J1316" s="9"/>
      <c r="K1316" s="42"/>
      <c r="L1316" s="42"/>
      <c r="M1316" s="42"/>
      <c r="N1316" s="42"/>
      <c r="O1316" s="42"/>
      <c r="P1316" s="9"/>
      <c r="Q1316" s="9"/>
      <c r="R1316" s="42"/>
      <c r="S1316" s="42"/>
      <c r="T1316" s="42"/>
      <c r="U1316" s="42"/>
      <c r="V1316" s="42"/>
      <c r="W1316" s="42"/>
    </row>
    <row r="1317">
      <c r="A1317" s="9"/>
      <c r="B1317" s="9"/>
      <c r="C1317" s="9"/>
      <c r="D1317" s="42"/>
      <c r="E1317" s="103"/>
      <c r="F1317" s="42"/>
      <c r="G1317" s="9"/>
      <c r="H1317" s="9"/>
      <c r="I1317" s="9"/>
      <c r="J1317" s="9"/>
      <c r="K1317" s="42"/>
      <c r="L1317" s="42"/>
      <c r="M1317" s="42"/>
      <c r="N1317" s="42"/>
      <c r="O1317" s="42"/>
      <c r="P1317" s="9"/>
      <c r="Q1317" s="9"/>
      <c r="R1317" s="42"/>
      <c r="S1317" s="42"/>
      <c r="T1317" s="42"/>
      <c r="U1317" s="42"/>
      <c r="V1317" s="42"/>
      <c r="W1317" s="42"/>
    </row>
    <row r="1318">
      <c r="A1318" s="9"/>
      <c r="B1318" s="9"/>
      <c r="C1318" s="9"/>
      <c r="D1318" s="42"/>
      <c r="E1318" s="103"/>
      <c r="F1318" s="42"/>
      <c r="G1318" s="9"/>
      <c r="H1318" s="9"/>
      <c r="I1318" s="9"/>
      <c r="J1318" s="9"/>
      <c r="K1318" s="42"/>
      <c r="L1318" s="42"/>
      <c r="M1318" s="42"/>
      <c r="N1318" s="42"/>
      <c r="O1318" s="42"/>
      <c r="P1318" s="9"/>
      <c r="Q1318" s="9"/>
      <c r="R1318" s="42"/>
      <c r="S1318" s="42"/>
      <c r="T1318" s="42"/>
      <c r="U1318" s="42"/>
      <c r="V1318" s="42"/>
      <c r="W1318" s="42"/>
    </row>
    <row r="1319">
      <c r="A1319" s="9"/>
      <c r="B1319" s="9"/>
      <c r="C1319" s="9"/>
      <c r="D1319" s="42"/>
      <c r="E1319" s="103"/>
      <c r="F1319" s="42"/>
      <c r="G1319" s="9"/>
      <c r="H1319" s="9"/>
      <c r="I1319" s="9"/>
      <c r="J1319" s="9"/>
      <c r="K1319" s="42"/>
      <c r="L1319" s="42"/>
      <c r="M1319" s="42"/>
      <c r="N1319" s="42"/>
      <c r="O1319" s="42"/>
      <c r="P1319" s="9"/>
      <c r="Q1319" s="9"/>
      <c r="R1319" s="42"/>
      <c r="S1319" s="42"/>
      <c r="T1319" s="42"/>
      <c r="U1319" s="42"/>
      <c r="V1319" s="42"/>
      <c r="W1319" s="42"/>
    </row>
    <row r="1320">
      <c r="A1320" s="9"/>
      <c r="B1320" s="9"/>
      <c r="C1320" s="9"/>
      <c r="D1320" s="42"/>
      <c r="E1320" s="103"/>
      <c r="F1320" s="42"/>
      <c r="G1320" s="9"/>
      <c r="H1320" s="9"/>
      <c r="I1320" s="9"/>
      <c r="J1320" s="9"/>
      <c r="K1320" s="42"/>
      <c r="L1320" s="42"/>
      <c r="M1320" s="42"/>
      <c r="N1320" s="42"/>
      <c r="O1320" s="42"/>
      <c r="P1320" s="9"/>
      <c r="Q1320" s="9"/>
      <c r="R1320" s="42"/>
      <c r="S1320" s="42"/>
      <c r="T1320" s="42"/>
      <c r="U1320" s="42"/>
      <c r="V1320" s="42"/>
      <c r="W1320" s="42"/>
    </row>
    <row r="1321">
      <c r="A1321" s="9"/>
      <c r="B1321" s="9"/>
      <c r="C1321" s="9"/>
      <c r="D1321" s="42"/>
      <c r="E1321" s="103"/>
      <c r="F1321" s="42"/>
      <c r="G1321" s="9"/>
      <c r="H1321" s="9"/>
      <c r="I1321" s="9"/>
      <c r="J1321" s="9"/>
      <c r="K1321" s="42"/>
      <c r="L1321" s="42"/>
      <c r="M1321" s="42"/>
      <c r="N1321" s="42"/>
      <c r="O1321" s="42"/>
      <c r="P1321" s="9"/>
      <c r="Q1321" s="9"/>
      <c r="R1321" s="42"/>
      <c r="S1321" s="42"/>
      <c r="T1321" s="42"/>
      <c r="U1321" s="42"/>
      <c r="V1321" s="42"/>
      <c r="W1321" s="42"/>
    </row>
    <row r="1322">
      <c r="A1322" s="9"/>
      <c r="B1322" s="9"/>
      <c r="C1322" s="9"/>
      <c r="D1322" s="42"/>
      <c r="E1322" s="103"/>
      <c r="F1322" s="42"/>
      <c r="G1322" s="9"/>
      <c r="H1322" s="9"/>
      <c r="I1322" s="9"/>
      <c r="J1322" s="9"/>
      <c r="K1322" s="42"/>
      <c r="L1322" s="42"/>
      <c r="M1322" s="42"/>
      <c r="N1322" s="42"/>
      <c r="O1322" s="42"/>
      <c r="P1322" s="9"/>
      <c r="Q1322" s="9"/>
      <c r="R1322" s="42"/>
      <c r="S1322" s="42"/>
      <c r="T1322" s="42"/>
      <c r="U1322" s="42"/>
      <c r="V1322" s="42"/>
      <c r="W1322" s="42"/>
    </row>
    <row r="1323">
      <c r="A1323" s="9"/>
      <c r="B1323" s="9"/>
      <c r="C1323" s="9"/>
      <c r="D1323" s="42"/>
      <c r="E1323" s="103"/>
      <c r="F1323" s="42"/>
      <c r="G1323" s="9"/>
      <c r="H1323" s="9"/>
      <c r="I1323" s="9"/>
      <c r="J1323" s="9"/>
      <c r="K1323" s="42"/>
      <c r="L1323" s="42"/>
      <c r="M1323" s="42"/>
      <c r="N1323" s="42"/>
      <c r="O1323" s="42"/>
      <c r="P1323" s="9"/>
      <c r="Q1323" s="9"/>
      <c r="R1323" s="42"/>
      <c r="S1323" s="42"/>
      <c r="T1323" s="42"/>
      <c r="U1323" s="42"/>
      <c r="V1323" s="42"/>
      <c r="W1323" s="42"/>
    </row>
    <row r="1324">
      <c r="A1324" s="9"/>
      <c r="B1324" s="9"/>
      <c r="C1324" s="9"/>
      <c r="D1324" s="42"/>
      <c r="E1324" s="103"/>
      <c r="F1324" s="42"/>
      <c r="G1324" s="9"/>
      <c r="H1324" s="9"/>
      <c r="I1324" s="9"/>
      <c r="J1324" s="9"/>
      <c r="K1324" s="42"/>
      <c r="L1324" s="42"/>
      <c r="M1324" s="42"/>
      <c r="N1324" s="42"/>
      <c r="O1324" s="42"/>
      <c r="P1324" s="9"/>
      <c r="Q1324" s="9"/>
      <c r="R1324" s="42"/>
      <c r="S1324" s="42"/>
      <c r="T1324" s="42"/>
      <c r="U1324" s="42"/>
      <c r="V1324" s="42"/>
      <c r="W1324" s="42"/>
    </row>
    <row r="1325">
      <c r="A1325" s="9"/>
      <c r="B1325" s="9"/>
      <c r="C1325" s="9"/>
      <c r="D1325" s="42"/>
      <c r="E1325" s="103"/>
      <c r="F1325" s="42"/>
      <c r="G1325" s="9"/>
      <c r="H1325" s="9"/>
      <c r="I1325" s="9"/>
      <c r="J1325" s="9"/>
      <c r="K1325" s="42"/>
      <c r="L1325" s="42"/>
      <c r="M1325" s="42"/>
      <c r="N1325" s="42"/>
      <c r="O1325" s="42"/>
      <c r="P1325" s="9"/>
      <c r="Q1325" s="9"/>
      <c r="R1325" s="42"/>
      <c r="S1325" s="42"/>
      <c r="T1325" s="42"/>
      <c r="U1325" s="42"/>
      <c r="V1325" s="42"/>
      <c r="W1325" s="42"/>
    </row>
    <row r="1326">
      <c r="A1326" s="9"/>
      <c r="B1326" s="9"/>
      <c r="C1326" s="9"/>
      <c r="D1326" s="42"/>
      <c r="E1326" s="103"/>
      <c r="F1326" s="42"/>
      <c r="G1326" s="9"/>
      <c r="H1326" s="9"/>
      <c r="I1326" s="9"/>
      <c r="J1326" s="9"/>
      <c r="K1326" s="42"/>
      <c r="L1326" s="42"/>
      <c r="M1326" s="42"/>
      <c r="N1326" s="42"/>
      <c r="O1326" s="42"/>
      <c r="P1326" s="9"/>
      <c r="Q1326" s="9"/>
      <c r="R1326" s="42"/>
      <c r="S1326" s="42"/>
      <c r="T1326" s="42"/>
      <c r="U1326" s="42"/>
      <c r="V1326" s="42"/>
      <c r="W1326" s="42"/>
    </row>
    <row r="1327">
      <c r="A1327" s="9"/>
      <c r="B1327" s="9"/>
      <c r="C1327" s="9"/>
      <c r="D1327" s="42"/>
      <c r="E1327" s="103"/>
      <c r="F1327" s="42"/>
      <c r="G1327" s="9"/>
      <c r="H1327" s="9"/>
      <c r="I1327" s="9"/>
      <c r="J1327" s="9"/>
      <c r="K1327" s="42"/>
      <c r="L1327" s="42"/>
      <c r="M1327" s="42"/>
      <c r="N1327" s="42"/>
      <c r="O1327" s="42"/>
      <c r="P1327" s="9"/>
      <c r="Q1327" s="9"/>
      <c r="R1327" s="42"/>
      <c r="S1327" s="42"/>
      <c r="T1327" s="42"/>
      <c r="U1327" s="42"/>
      <c r="V1327" s="42"/>
      <c r="W1327" s="42"/>
    </row>
    <row r="1328">
      <c r="A1328" s="9"/>
      <c r="B1328" s="9"/>
      <c r="C1328" s="9"/>
      <c r="D1328" s="42"/>
      <c r="E1328" s="103"/>
      <c r="F1328" s="42"/>
      <c r="G1328" s="9"/>
      <c r="H1328" s="9"/>
      <c r="I1328" s="9"/>
      <c r="J1328" s="9"/>
      <c r="K1328" s="42"/>
      <c r="L1328" s="42"/>
      <c r="M1328" s="42"/>
      <c r="N1328" s="42"/>
      <c r="O1328" s="42"/>
      <c r="P1328" s="9"/>
      <c r="Q1328" s="9"/>
      <c r="R1328" s="42"/>
      <c r="S1328" s="42"/>
      <c r="T1328" s="42"/>
      <c r="U1328" s="42"/>
      <c r="V1328" s="42"/>
      <c r="W1328" s="42"/>
    </row>
    <row r="1329">
      <c r="A1329" s="9"/>
      <c r="B1329" s="9"/>
      <c r="C1329" s="9"/>
      <c r="D1329" s="42"/>
      <c r="E1329" s="103"/>
      <c r="F1329" s="42"/>
      <c r="G1329" s="9"/>
      <c r="H1329" s="9"/>
      <c r="I1329" s="9"/>
      <c r="J1329" s="9"/>
      <c r="K1329" s="42"/>
      <c r="L1329" s="42"/>
      <c r="M1329" s="42"/>
      <c r="N1329" s="42"/>
      <c r="O1329" s="42"/>
      <c r="P1329" s="9"/>
      <c r="Q1329" s="9"/>
      <c r="R1329" s="42"/>
      <c r="S1329" s="42"/>
      <c r="T1329" s="42"/>
      <c r="U1329" s="42"/>
      <c r="V1329" s="42"/>
      <c r="W1329" s="42"/>
    </row>
    <row r="1330">
      <c r="A1330" s="9"/>
      <c r="B1330" s="9"/>
      <c r="C1330" s="9"/>
      <c r="D1330" s="42"/>
      <c r="E1330" s="103"/>
      <c r="F1330" s="42"/>
      <c r="G1330" s="9"/>
      <c r="H1330" s="9"/>
      <c r="I1330" s="9"/>
      <c r="J1330" s="9"/>
      <c r="K1330" s="42"/>
      <c r="L1330" s="42"/>
      <c r="M1330" s="42"/>
      <c r="N1330" s="42"/>
      <c r="O1330" s="42"/>
      <c r="P1330" s="9"/>
      <c r="Q1330" s="9"/>
      <c r="R1330" s="42"/>
      <c r="S1330" s="42"/>
      <c r="T1330" s="42"/>
      <c r="U1330" s="42"/>
      <c r="V1330" s="42"/>
      <c r="W1330" s="42"/>
    </row>
    <row r="1331">
      <c r="A1331" s="9"/>
      <c r="B1331" s="9"/>
      <c r="C1331" s="9"/>
      <c r="D1331" s="42"/>
      <c r="E1331" s="103"/>
      <c r="F1331" s="42"/>
      <c r="G1331" s="9"/>
      <c r="H1331" s="9"/>
      <c r="I1331" s="9"/>
      <c r="J1331" s="9"/>
      <c r="K1331" s="42"/>
      <c r="L1331" s="42"/>
      <c r="M1331" s="42"/>
      <c r="N1331" s="42"/>
      <c r="O1331" s="42"/>
      <c r="P1331" s="9"/>
      <c r="Q1331" s="9"/>
      <c r="R1331" s="42"/>
      <c r="S1331" s="42"/>
      <c r="T1331" s="42"/>
      <c r="U1331" s="42"/>
      <c r="V1331" s="42"/>
      <c r="W1331" s="42"/>
    </row>
    <row r="1332">
      <c r="A1332" s="9"/>
      <c r="B1332" s="9"/>
      <c r="C1332" s="9"/>
      <c r="D1332" s="42"/>
      <c r="E1332" s="103"/>
      <c r="F1332" s="42"/>
      <c r="G1332" s="9"/>
      <c r="H1332" s="9"/>
      <c r="I1332" s="9"/>
      <c r="J1332" s="9"/>
      <c r="K1332" s="42"/>
      <c r="L1332" s="42"/>
      <c r="M1332" s="42"/>
      <c r="N1332" s="42"/>
      <c r="O1332" s="42"/>
      <c r="P1332" s="9"/>
      <c r="Q1332" s="9"/>
      <c r="R1332" s="42"/>
      <c r="S1332" s="42"/>
      <c r="T1332" s="42"/>
      <c r="U1332" s="42"/>
      <c r="V1332" s="42"/>
      <c r="W1332" s="42"/>
    </row>
    <row r="1333">
      <c r="A1333" s="9"/>
      <c r="B1333" s="9"/>
      <c r="C1333" s="9"/>
      <c r="D1333" s="42"/>
      <c r="E1333" s="103"/>
      <c r="F1333" s="42"/>
      <c r="G1333" s="9"/>
      <c r="H1333" s="9"/>
      <c r="I1333" s="9"/>
      <c r="J1333" s="9"/>
      <c r="K1333" s="42"/>
      <c r="L1333" s="42"/>
      <c r="M1333" s="42"/>
      <c r="N1333" s="42"/>
      <c r="O1333" s="42"/>
      <c r="P1333" s="9"/>
      <c r="Q1333" s="9"/>
      <c r="R1333" s="42"/>
      <c r="S1333" s="42"/>
      <c r="T1333" s="42"/>
      <c r="U1333" s="42"/>
      <c r="V1333" s="42"/>
      <c r="W1333" s="42"/>
    </row>
    <row r="1334">
      <c r="A1334" s="9"/>
      <c r="B1334" s="9"/>
      <c r="C1334" s="9"/>
      <c r="D1334" s="42"/>
      <c r="E1334" s="103"/>
      <c r="F1334" s="42"/>
      <c r="G1334" s="9"/>
      <c r="H1334" s="9"/>
      <c r="I1334" s="9"/>
      <c r="J1334" s="9"/>
      <c r="K1334" s="42"/>
      <c r="L1334" s="42"/>
      <c r="M1334" s="42"/>
      <c r="N1334" s="42"/>
      <c r="O1334" s="42"/>
      <c r="P1334" s="9"/>
      <c r="Q1334" s="9"/>
      <c r="R1334" s="42"/>
      <c r="S1334" s="42"/>
      <c r="T1334" s="42"/>
      <c r="U1334" s="42"/>
      <c r="V1334" s="42"/>
      <c r="W1334" s="42"/>
    </row>
    <row r="1335">
      <c r="A1335" s="9"/>
      <c r="B1335" s="9"/>
      <c r="C1335" s="9"/>
      <c r="D1335" s="42"/>
      <c r="E1335" s="103"/>
      <c r="F1335" s="42"/>
      <c r="G1335" s="9"/>
      <c r="H1335" s="9"/>
      <c r="I1335" s="9"/>
      <c r="J1335" s="9"/>
      <c r="K1335" s="42"/>
      <c r="L1335" s="42"/>
      <c r="M1335" s="42"/>
      <c r="N1335" s="42"/>
      <c r="O1335" s="42"/>
      <c r="P1335" s="9"/>
      <c r="Q1335" s="9"/>
      <c r="R1335" s="42"/>
      <c r="S1335" s="42"/>
      <c r="T1335" s="42"/>
      <c r="U1335" s="42"/>
      <c r="V1335" s="42"/>
      <c r="W1335" s="42"/>
    </row>
    <row r="1336">
      <c r="A1336" s="9"/>
      <c r="B1336" s="9"/>
      <c r="C1336" s="9"/>
      <c r="D1336" s="42"/>
      <c r="E1336" s="103"/>
      <c r="F1336" s="42"/>
      <c r="G1336" s="9"/>
      <c r="H1336" s="9"/>
      <c r="I1336" s="9"/>
      <c r="J1336" s="9"/>
      <c r="K1336" s="42"/>
      <c r="L1336" s="42"/>
      <c r="M1336" s="42"/>
      <c r="N1336" s="42"/>
      <c r="O1336" s="42"/>
      <c r="P1336" s="9"/>
      <c r="Q1336" s="9"/>
      <c r="R1336" s="42"/>
      <c r="S1336" s="42"/>
      <c r="T1336" s="42"/>
      <c r="U1336" s="42"/>
      <c r="V1336" s="42"/>
      <c r="W1336" s="42"/>
    </row>
    <row r="1337">
      <c r="A1337" s="9"/>
      <c r="B1337" s="9"/>
      <c r="C1337" s="9"/>
      <c r="D1337" s="42"/>
      <c r="E1337" s="103"/>
      <c r="F1337" s="42"/>
      <c r="G1337" s="9"/>
      <c r="H1337" s="9"/>
      <c r="I1337" s="9"/>
      <c r="J1337" s="9"/>
      <c r="K1337" s="42"/>
      <c r="L1337" s="42"/>
      <c r="M1337" s="42"/>
      <c r="N1337" s="42"/>
      <c r="O1337" s="42"/>
      <c r="P1337" s="9"/>
      <c r="Q1337" s="9"/>
      <c r="R1337" s="42"/>
      <c r="S1337" s="42"/>
      <c r="T1337" s="42"/>
      <c r="U1337" s="42"/>
      <c r="V1337" s="42"/>
      <c r="W1337" s="42"/>
    </row>
    <row r="1338">
      <c r="A1338" s="9"/>
      <c r="B1338" s="9"/>
      <c r="C1338" s="9"/>
      <c r="D1338" s="42"/>
      <c r="E1338" s="103"/>
      <c r="F1338" s="42"/>
      <c r="G1338" s="9"/>
      <c r="H1338" s="9"/>
      <c r="I1338" s="9"/>
      <c r="J1338" s="9"/>
      <c r="K1338" s="42"/>
      <c r="L1338" s="42"/>
      <c r="M1338" s="42"/>
      <c r="N1338" s="42"/>
      <c r="O1338" s="42"/>
      <c r="P1338" s="9"/>
      <c r="Q1338" s="9"/>
      <c r="R1338" s="42"/>
      <c r="S1338" s="42"/>
      <c r="T1338" s="42"/>
      <c r="U1338" s="42"/>
      <c r="V1338" s="42"/>
      <c r="W1338" s="42"/>
    </row>
    <row r="1339">
      <c r="A1339" s="9"/>
      <c r="B1339" s="9"/>
      <c r="C1339" s="9"/>
      <c r="D1339" s="42"/>
      <c r="E1339" s="103"/>
      <c r="F1339" s="42"/>
      <c r="G1339" s="9"/>
      <c r="H1339" s="9"/>
      <c r="I1339" s="9"/>
      <c r="J1339" s="9"/>
      <c r="K1339" s="42"/>
      <c r="L1339" s="42"/>
      <c r="M1339" s="42"/>
      <c r="N1339" s="42"/>
      <c r="O1339" s="42"/>
      <c r="P1339" s="9"/>
      <c r="Q1339" s="9"/>
      <c r="R1339" s="42"/>
      <c r="S1339" s="42"/>
      <c r="T1339" s="42"/>
      <c r="U1339" s="42"/>
      <c r="V1339" s="42"/>
      <c r="W1339" s="42"/>
    </row>
    <row r="1340">
      <c r="A1340" s="9"/>
      <c r="B1340" s="9"/>
      <c r="C1340" s="9"/>
      <c r="D1340" s="42"/>
      <c r="E1340" s="103"/>
      <c r="F1340" s="42"/>
      <c r="G1340" s="9"/>
      <c r="H1340" s="9"/>
      <c r="I1340" s="9"/>
      <c r="J1340" s="9"/>
      <c r="K1340" s="42"/>
      <c r="L1340" s="42"/>
      <c r="M1340" s="42"/>
      <c r="N1340" s="42"/>
      <c r="O1340" s="42"/>
      <c r="P1340" s="9"/>
      <c r="Q1340" s="9"/>
      <c r="R1340" s="42"/>
      <c r="S1340" s="42"/>
      <c r="T1340" s="42"/>
      <c r="U1340" s="42"/>
      <c r="V1340" s="42"/>
      <c r="W1340" s="42"/>
    </row>
    <row r="1341">
      <c r="A1341" s="9"/>
      <c r="B1341" s="9"/>
      <c r="C1341" s="9"/>
      <c r="D1341" s="42"/>
      <c r="E1341" s="103"/>
      <c r="F1341" s="42"/>
      <c r="G1341" s="9"/>
      <c r="H1341" s="9"/>
      <c r="I1341" s="9"/>
      <c r="J1341" s="9"/>
      <c r="K1341" s="42"/>
      <c r="L1341" s="42"/>
      <c r="M1341" s="42"/>
      <c r="N1341" s="42"/>
      <c r="O1341" s="42"/>
      <c r="P1341" s="9"/>
      <c r="Q1341" s="9"/>
      <c r="R1341" s="42"/>
      <c r="S1341" s="42"/>
      <c r="T1341" s="42"/>
      <c r="U1341" s="42"/>
      <c r="V1341" s="42"/>
      <c r="W1341" s="42"/>
    </row>
    <row r="1342">
      <c r="A1342" s="9"/>
      <c r="B1342" s="9"/>
      <c r="C1342" s="9"/>
      <c r="D1342" s="42"/>
      <c r="E1342" s="103"/>
      <c r="F1342" s="42"/>
      <c r="G1342" s="9"/>
      <c r="H1342" s="9"/>
      <c r="I1342" s="9"/>
      <c r="J1342" s="9"/>
      <c r="K1342" s="42"/>
      <c r="L1342" s="42"/>
      <c r="M1342" s="42"/>
      <c r="N1342" s="42"/>
      <c r="O1342" s="42"/>
      <c r="P1342" s="9"/>
      <c r="Q1342" s="9"/>
      <c r="R1342" s="42"/>
      <c r="S1342" s="42"/>
      <c r="T1342" s="42"/>
      <c r="U1342" s="42"/>
      <c r="V1342" s="42"/>
      <c r="W1342" s="42"/>
    </row>
    <row r="1343">
      <c r="A1343" s="9"/>
      <c r="B1343" s="9"/>
      <c r="C1343" s="9"/>
      <c r="D1343" s="42"/>
      <c r="E1343" s="103"/>
      <c r="F1343" s="42"/>
      <c r="G1343" s="9"/>
      <c r="H1343" s="9"/>
      <c r="I1343" s="9"/>
      <c r="J1343" s="9"/>
      <c r="K1343" s="42"/>
      <c r="L1343" s="42"/>
      <c r="M1343" s="42"/>
      <c r="N1343" s="42"/>
      <c r="O1343" s="42"/>
      <c r="P1343" s="9"/>
      <c r="Q1343" s="9"/>
      <c r="R1343" s="42"/>
      <c r="S1343" s="42"/>
      <c r="T1343" s="42"/>
      <c r="U1343" s="42"/>
      <c r="V1343" s="42"/>
      <c r="W1343" s="42"/>
    </row>
    <row r="1344">
      <c r="A1344" s="9"/>
      <c r="B1344" s="9"/>
      <c r="C1344" s="9"/>
      <c r="D1344" s="42"/>
      <c r="E1344" s="103"/>
      <c r="F1344" s="42"/>
      <c r="G1344" s="9"/>
      <c r="H1344" s="9"/>
      <c r="I1344" s="9"/>
      <c r="J1344" s="9"/>
      <c r="K1344" s="42"/>
      <c r="L1344" s="42"/>
      <c r="M1344" s="42"/>
      <c r="N1344" s="42"/>
      <c r="O1344" s="42"/>
      <c r="P1344" s="9"/>
      <c r="Q1344" s="9"/>
      <c r="R1344" s="42"/>
      <c r="S1344" s="42"/>
      <c r="T1344" s="42"/>
      <c r="U1344" s="42"/>
      <c r="V1344" s="42"/>
      <c r="W1344" s="42"/>
    </row>
    <row r="1345">
      <c r="A1345" s="9"/>
      <c r="B1345" s="9"/>
      <c r="C1345" s="9"/>
      <c r="D1345" s="42"/>
      <c r="E1345" s="103"/>
      <c r="F1345" s="42"/>
      <c r="G1345" s="9"/>
      <c r="H1345" s="9"/>
      <c r="I1345" s="9"/>
      <c r="J1345" s="9"/>
      <c r="K1345" s="42"/>
      <c r="L1345" s="42"/>
      <c r="M1345" s="42"/>
      <c r="N1345" s="42"/>
      <c r="O1345" s="42"/>
      <c r="P1345" s="9"/>
      <c r="Q1345" s="9"/>
      <c r="R1345" s="42"/>
      <c r="S1345" s="42"/>
      <c r="T1345" s="42"/>
      <c r="U1345" s="42"/>
      <c r="V1345" s="42"/>
      <c r="W1345" s="42"/>
    </row>
    <row r="1346">
      <c r="A1346" s="9"/>
      <c r="B1346" s="9"/>
      <c r="C1346" s="9"/>
      <c r="D1346" s="42"/>
      <c r="E1346" s="103"/>
      <c r="F1346" s="42"/>
      <c r="G1346" s="9"/>
      <c r="H1346" s="9"/>
      <c r="I1346" s="9"/>
      <c r="J1346" s="9"/>
      <c r="K1346" s="42"/>
      <c r="L1346" s="42"/>
      <c r="M1346" s="42"/>
      <c r="N1346" s="42"/>
      <c r="O1346" s="42"/>
      <c r="P1346" s="9"/>
      <c r="Q1346" s="9"/>
      <c r="R1346" s="42"/>
      <c r="S1346" s="42"/>
      <c r="T1346" s="42"/>
      <c r="U1346" s="42"/>
      <c r="V1346" s="42"/>
      <c r="W1346" s="42"/>
    </row>
    <row r="1347">
      <c r="A1347" s="9"/>
      <c r="B1347" s="9"/>
      <c r="C1347" s="9"/>
      <c r="D1347" s="42"/>
      <c r="E1347" s="103"/>
      <c r="F1347" s="42"/>
      <c r="G1347" s="9"/>
      <c r="H1347" s="9"/>
      <c r="I1347" s="9"/>
      <c r="J1347" s="9"/>
      <c r="K1347" s="42"/>
      <c r="L1347" s="42"/>
      <c r="M1347" s="42"/>
      <c r="N1347" s="42"/>
      <c r="O1347" s="42"/>
      <c r="P1347" s="9"/>
      <c r="Q1347" s="9"/>
      <c r="R1347" s="42"/>
      <c r="S1347" s="42"/>
      <c r="T1347" s="42"/>
      <c r="U1347" s="42"/>
      <c r="V1347" s="42"/>
      <c r="W1347" s="42"/>
    </row>
    <row r="1348">
      <c r="A1348" s="9"/>
      <c r="B1348" s="9"/>
      <c r="C1348" s="9"/>
      <c r="D1348" s="42"/>
      <c r="E1348" s="103"/>
      <c r="F1348" s="42"/>
      <c r="G1348" s="9"/>
      <c r="H1348" s="9"/>
      <c r="I1348" s="9"/>
      <c r="J1348" s="9"/>
      <c r="K1348" s="42"/>
      <c r="L1348" s="42"/>
      <c r="M1348" s="42"/>
      <c r="N1348" s="42"/>
      <c r="O1348" s="42"/>
      <c r="P1348" s="9"/>
      <c r="Q1348" s="9"/>
      <c r="R1348" s="42"/>
      <c r="S1348" s="42"/>
      <c r="T1348" s="42"/>
      <c r="U1348" s="42"/>
      <c r="V1348" s="42"/>
      <c r="W1348" s="42"/>
    </row>
    <row r="1349">
      <c r="A1349" s="9"/>
      <c r="B1349" s="9"/>
      <c r="C1349" s="9"/>
      <c r="D1349" s="42"/>
      <c r="E1349" s="103"/>
      <c r="F1349" s="42"/>
      <c r="G1349" s="9"/>
      <c r="H1349" s="9"/>
      <c r="I1349" s="9"/>
      <c r="J1349" s="9"/>
      <c r="K1349" s="42"/>
      <c r="L1349" s="42"/>
      <c r="M1349" s="42"/>
      <c r="N1349" s="42"/>
      <c r="O1349" s="42"/>
      <c r="P1349" s="9"/>
      <c r="Q1349" s="9"/>
      <c r="R1349" s="42"/>
      <c r="S1349" s="42"/>
      <c r="T1349" s="42"/>
      <c r="U1349" s="42"/>
      <c r="V1349" s="42"/>
      <c r="W1349" s="42"/>
    </row>
    <row r="1350">
      <c r="A1350" s="9"/>
      <c r="B1350" s="9"/>
      <c r="C1350" s="9"/>
      <c r="D1350" s="42"/>
      <c r="E1350" s="103"/>
      <c r="F1350" s="42"/>
      <c r="G1350" s="9"/>
      <c r="H1350" s="9"/>
      <c r="I1350" s="9"/>
      <c r="J1350" s="9"/>
      <c r="K1350" s="42"/>
      <c r="L1350" s="42"/>
      <c r="M1350" s="42"/>
      <c r="N1350" s="42"/>
      <c r="O1350" s="42"/>
      <c r="P1350" s="9"/>
      <c r="Q1350" s="9"/>
      <c r="R1350" s="42"/>
      <c r="S1350" s="42"/>
      <c r="T1350" s="42"/>
      <c r="U1350" s="42"/>
      <c r="V1350" s="42"/>
      <c r="W1350" s="42"/>
    </row>
    <row r="1351">
      <c r="A1351" s="9"/>
      <c r="B1351" s="9"/>
      <c r="C1351" s="9"/>
      <c r="D1351" s="42"/>
      <c r="E1351" s="103"/>
      <c r="F1351" s="42"/>
      <c r="G1351" s="9"/>
      <c r="H1351" s="9"/>
      <c r="I1351" s="9"/>
      <c r="J1351" s="9"/>
      <c r="K1351" s="42"/>
      <c r="L1351" s="42"/>
      <c r="M1351" s="42"/>
      <c r="N1351" s="42"/>
      <c r="O1351" s="42"/>
      <c r="P1351" s="9"/>
      <c r="Q1351" s="9"/>
      <c r="R1351" s="42"/>
      <c r="S1351" s="42"/>
      <c r="T1351" s="42"/>
      <c r="U1351" s="42"/>
      <c r="V1351" s="42"/>
      <c r="W1351" s="42"/>
    </row>
    <row r="1352">
      <c r="A1352" s="9"/>
      <c r="B1352" s="9"/>
      <c r="C1352" s="9"/>
      <c r="D1352" s="42"/>
      <c r="E1352" s="103"/>
      <c r="F1352" s="42"/>
      <c r="G1352" s="9"/>
      <c r="H1352" s="9"/>
      <c r="I1352" s="9"/>
      <c r="J1352" s="9"/>
      <c r="K1352" s="42"/>
      <c r="L1352" s="42"/>
      <c r="M1352" s="42"/>
      <c r="N1352" s="42"/>
      <c r="O1352" s="42"/>
      <c r="P1352" s="9"/>
      <c r="Q1352" s="9"/>
      <c r="R1352" s="42"/>
      <c r="S1352" s="42"/>
      <c r="T1352" s="42"/>
      <c r="U1352" s="42"/>
      <c r="V1352" s="42"/>
      <c r="W1352" s="42"/>
    </row>
    <row r="1353">
      <c r="A1353" s="9"/>
      <c r="B1353" s="9"/>
      <c r="C1353" s="9"/>
      <c r="D1353" s="42"/>
      <c r="E1353" s="103"/>
      <c r="F1353" s="42"/>
      <c r="G1353" s="9"/>
      <c r="H1353" s="9"/>
      <c r="I1353" s="9"/>
      <c r="J1353" s="9"/>
      <c r="K1353" s="42"/>
      <c r="L1353" s="42"/>
      <c r="M1353" s="42"/>
      <c r="N1353" s="42"/>
      <c r="O1353" s="42"/>
      <c r="P1353" s="9"/>
      <c r="Q1353" s="9"/>
      <c r="R1353" s="42"/>
      <c r="S1353" s="42"/>
      <c r="T1353" s="42"/>
      <c r="U1353" s="42"/>
      <c r="V1353" s="42"/>
      <c r="W1353" s="42"/>
    </row>
    <row r="1354">
      <c r="A1354" s="9"/>
      <c r="B1354" s="9"/>
      <c r="C1354" s="9"/>
      <c r="D1354" s="42"/>
      <c r="E1354" s="103"/>
      <c r="F1354" s="42"/>
      <c r="G1354" s="9"/>
      <c r="H1354" s="9"/>
      <c r="I1354" s="9"/>
      <c r="J1354" s="9"/>
      <c r="K1354" s="42"/>
      <c r="L1354" s="42"/>
      <c r="M1354" s="42"/>
      <c r="N1354" s="42"/>
      <c r="O1354" s="42"/>
      <c r="P1354" s="9"/>
      <c r="Q1354" s="9"/>
      <c r="R1354" s="42"/>
      <c r="S1354" s="42"/>
      <c r="T1354" s="42"/>
      <c r="U1354" s="42"/>
      <c r="V1354" s="42"/>
      <c r="W1354" s="42"/>
    </row>
    <row r="1355">
      <c r="A1355" s="9"/>
      <c r="B1355" s="9"/>
      <c r="C1355" s="9"/>
      <c r="D1355" s="42"/>
      <c r="E1355" s="103"/>
      <c r="F1355" s="42"/>
      <c r="G1355" s="9"/>
      <c r="H1355" s="9"/>
      <c r="I1355" s="9"/>
      <c r="J1355" s="9"/>
      <c r="K1355" s="42"/>
      <c r="L1355" s="42"/>
      <c r="M1355" s="42"/>
      <c r="N1355" s="42"/>
      <c r="O1355" s="42"/>
      <c r="P1355" s="9"/>
      <c r="Q1355" s="9"/>
      <c r="R1355" s="42"/>
      <c r="S1355" s="42"/>
      <c r="T1355" s="42"/>
      <c r="U1355" s="42"/>
      <c r="V1355" s="42"/>
      <c r="W1355" s="42"/>
    </row>
    <row r="1356">
      <c r="A1356" s="9"/>
      <c r="B1356" s="9"/>
      <c r="C1356" s="9"/>
      <c r="D1356" s="42"/>
      <c r="E1356" s="103"/>
      <c r="F1356" s="42"/>
      <c r="G1356" s="9"/>
      <c r="H1356" s="9"/>
      <c r="I1356" s="9"/>
      <c r="J1356" s="9"/>
      <c r="K1356" s="42"/>
      <c r="L1356" s="42"/>
      <c r="M1356" s="42"/>
      <c r="N1356" s="42"/>
      <c r="O1356" s="42"/>
      <c r="P1356" s="9"/>
      <c r="Q1356" s="9"/>
      <c r="R1356" s="42"/>
      <c r="S1356" s="42"/>
      <c r="T1356" s="42"/>
      <c r="U1356" s="42"/>
      <c r="V1356" s="42"/>
      <c r="W1356" s="42"/>
    </row>
    <row r="1357">
      <c r="A1357" s="9"/>
      <c r="B1357" s="9"/>
      <c r="C1357" s="9"/>
      <c r="D1357" s="42"/>
      <c r="E1357" s="103"/>
      <c r="F1357" s="42"/>
      <c r="G1357" s="9"/>
      <c r="H1357" s="9"/>
      <c r="I1357" s="9"/>
      <c r="J1357" s="9"/>
      <c r="K1357" s="42"/>
      <c r="L1357" s="42"/>
      <c r="M1357" s="42"/>
      <c r="N1357" s="42"/>
      <c r="O1357" s="42"/>
      <c r="P1357" s="9"/>
      <c r="Q1357" s="9"/>
      <c r="R1357" s="42"/>
      <c r="S1357" s="42"/>
      <c r="T1357" s="42"/>
      <c r="U1357" s="42"/>
      <c r="V1357" s="42"/>
      <c r="W1357" s="42"/>
    </row>
    <row r="1358">
      <c r="A1358" s="9"/>
      <c r="B1358" s="9"/>
      <c r="C1358" s="9"/>
      <c r="D1358" s="42"/>
      <c r="E1358" s="103"/>
      <c r="F1358" s="42"/>
      <c r="G1358" s="9"/>
      <c r="H1358" s="9"/>
      <c r="I1358" s="9"/>
      <c r="J1358" s="9"/>
      <c r="K1358" s="42"/>
      <c r="L1358" s="42"/>
      <c r="M1358" s="42"/>
      <c r="N1358" s="42"/>
      <c r="O1358" s="42"/>
      <c r="P1358" s="9"/>
      <c r="Q1358" s="9"/>
      <c r="R1358" s="42"/>
      <c r="S1358" s="42"/>
      <c r="T1358" s="42"/>
      <c r="U1358" s="42"/>
      <c r="V1358" s="42"/>
      <c r="W1358" s="42"/>
    </row>
    <row r="1359">
      <c r="A1359" s="9"/>
      <c r="B1359" s="9"/>
      <c r="C1359" s="9"/>
      <c r="D1359" s="42"/>
      <c r="E1359" s="103"/>
      <c r="F1359" s="42"/>
      <c r="G1359" s="9"/>
      <c r="H1359" s="9"/>
      <c r="I1359" s="9"/>
      <c r="J1359" s="9"/>
      <c r="K1359" s="42"/>
      <c r="L1359" s="42"/>
      <c r="M1359" s="42"/>
      <c r="N1359" s="42"/>
      <c r="O1359" s="42"/>
      <c r="P1359" s="9"/>
      <c r="Q1359" s="9"/>
      <c r="R1359" s="42"/>
      <c r="S1359" s="42"/>
      <c r="T1359" s="42"/>
      <c r="U1359" s="42"/>
      <c r="V1359" s="42"/>
      <c r="W1359" s="42"/>
    </row>
    <row r="1360">
      <c r="A1360" s="9"/>
      <c r="B1360" s="9"/>
      <c r="C1360" s="9"/>
      <c r="D1360" s="42"/>
      <c r="E1360" s="103"/>
      <c r="F1360" s="42"/>
      <c r="G1360" s="9"/>
      <c r="H1360" s="9"/>
      <c r="I1360" s="9"/>
      <c r="J1360" s="9"/>
      <c r="K1360" s="42"/>
      <c r="L1360" s="42"/>
      <c r="M1360" s="42"/>
      <c r="N1360" s="42"/>
      <c r="O1360" s="42"/>
      <c r="P1360" s="9"/>
      <c r="Q1360" s="9"/>
      <c r="R1360" s="42"/>
      <c r="S1360" s="42"/>
      <c r="T1360" s="42"/>
      <c r="U1360" s="42"/>
      <c r="V1360" s="42"/>
      <c r="W1360" s="42"/>
    </row>
    <row r="1361">
      <c r="A1361" s="9"/>
      <c r="B1361" s="9"/>
      <c r="C1361" s="9"/>
      <c r="D1361" s="42"/>
      <c r="E1361" s="103"/>
      <c r="F1361" s="42"/>
      <c r="G1361" s="9"/>
      <c r="H1361" s="9"/>
      <c r="I1361" s="9"/>
      <c r="J1361" s="9"/>
      <c r="K1361" s="42"/>
      <c r="L1361" s="42"/>
      <c r="M1361" s="42"/>
      <c r="N1361" s="42"/>
      <c r="O1361" s="42"/>
      <c r="P1361" s="9"/>
      <c r="Q1361" s="9"/>
      <c r="R1361" s="42"/>
      <c r="S1361" s="42"/>
      <c r="T1361" s="42"/>
      <c r="U1361" s="42"/>
      <c r="V1361" s="42"/>
      <c r="W1361" s="42"/>
    </row>
    <row r="1362">
      <c r="A1362" s="9"/>
      <c r="B1362" s="9"/>
      <c r="C1362" s="9"/>
      <c r="D1362" s="42"/>
      <c r="E1362" s="103"/>
      <c r="F1362" s="42"/>
      <c r="G1362" s="9"/>
      <c r="H1362" s="9"/>
      <c r="I1362" s="9"/>
      <c r="J1362" s="9"/>
      <c r="K1362" s="42"/>
      <c r="L1362" s="42"/>
      <c r="M1362" s="42"/>
      <c r="N1362" s="42"/>
      <c r="O1362" s="42"/>
      <c r="P1362" s="9"/>
      <c r="Q1362" s="9"/>
      <c r="R1362" s="42"/>
      <c r="S1362" s="42"/>
      <c r="T1362" s="42"/>
      <c r="U1362" s="42"/>
      <c r="V1362" s="42"/>
      <c r="W1362" s="42"/>
    </row>
    <row r="1363">
      <c r="A1363" s="9"/>
      <c r="B1363" s="9"/>
      <c r="C1363" s="9"/>
      <c r="D1363" s="42"/>
      <c r="E1363" s="103"/>
      <c r="F1363" s="42"/>
      <c r="G1363" s="9"/>
      <c r="H1363" s="9"/>
      <c r="I1363" s="9"/>
      <c r="J1363" s="9"/>
      <c r="K1363" s="42"/>
      <c r="L1363" s="42"/>
      <c r="M1363" s="42"/>
      <c r="N1363" s="42"/>
      <c r="O1363" s="42"/>
      <c r="P1363" s="9"/>
      <c r="Q1363" s="9"/>
      <c r="R1363" s="42"/>
      <c r="S1363" s="42"/>
      <c r="T1363" s="42"/>
      <c r="U1363" s="42"/>
      <c r="V1363" s="42"/>
      <c r="W1363" s="42"/>
    </row>
    <row r="1364">
      <c r="A1364" s="9"/>
      <c r="B1364" s="9"/>
      <c r="C1364" s="9"/>
      <c r="D1364" s="42"/>
      <c r="E1364" s="103"/>
      <c r="F1364" s="42"/>
      <c r="G1364" s="9"/>
      <c r="H1364" s="9"/>
      <c r="I1364" s="9"/>
      <c r="J1364" s="9"/>
      <c r="K1364" s="42"/>
      <c r="L1364" s="42"/>
      <c r="M1364" s="42"/>
      <c r="N1364" s="42"/>
      <c r="O1364" s="42"/>
      <c r="P1364" s="9"/>
      <c r="Q1364" s="9"/>
      <c r="R1364" s="42"/>
      <c r="S1364" s="42"/>
      <c r="T1364" s="42"/>
      <c r="U1364" s="42"/>
      <c r="V1364" s="42"/>
      <c r="W1364" s="42"/>
    </row>
    <row r="1365">
      <c r="A1365" s="9"/>
      <c r="B1365" s="9"/>
      <c r="C1365" s="9"/>
      <c r="D1365" s="42"/>
      <c r="E1365" s="103"/>
      <c r="F1365" s="42"/>
      <c r="G1365" s="9"/>
      <c r="H1365" s="9"/>
      <c r="I1365" s="9"/>
      <c r="J1365" s="9"/>
      <c r="K1365" s="42"/>
      <c r="L1365" s="42"/>
      <c r="M1365" s="42"/>
      <c r="N1365" s="42"/>
      <c r="O1365" s="42"/>
      <c r="P1365" s="9"/>
      <c r="Q1365" s="9"/>
      <c r="R1365" s="42"/>
      <c r="S1365" s="42"/>
      <c r="T1365" s="42"/>
      <c r="U1365" s="42"/>
      <c r="V1365" s="42"/>
      <c r="W1365" s="42"/>
    </row>
    <row r="1366">
      <c r="A1366" s="9"/>
      <c r="B1366" s="9"/>
      <c r="C1366" s="9"/>
      <c r="D1366" s="42"/>
      <c r="E1366" s="103"/>
      <c r="F1366" s="42"/>
      <c r="G1366" s="9"/>
      <c r="H1366" s="9"/>
      <c r="I1366" s="9"/>
      <c r="J1366" s="9"/>
      <c r="K1366" s="42"/>
      <c r="L1366" s="42"/>
      <c r="M1366" s="42"/>
      <c r="N1366" s="42"/>
      <c r="O1366" s="42"/>
      <c r="P1366" s="9"/>
      <c r="Q1366" s="9"/>
      <c r="R1366" s="42"/>
      <c r="S1366" s="42"/>
      <c r="T1366" s="42"/>
      <c r="U1366" s="42"/>
      <c r="V1366" s="42"/>
      <c r="W1366" s="42"/>
    </row>
    <row r="1367">
      <c r="A1367" s="9"/>
      <c r="B1367" s="9"/>
      <c r="C1367" s="9"/>
      <c r="D1367" s="42"/>
      <c r="E1367" s="103"/>
      <c r="F1367" s="42"/>
      <c r="G1367" s="9"/>
      <c r="H1367" s="9"/>
      <c r="I1367" s="9"/>
      <c r="J1367" s="9"/>
      <c r="K1367" s="42"/>
      <c r="L1367" s="42"/>
      <c r="M1367" s="42"/>
      <c r="N1367" s="42"/>
      <c r="O1367" s="42"/>
      <c r="P1367" s="9"/>
      <c r="Q1367" s="9"/>
      <c r="R1367" s="42"/>
      <c r="S1367" s="42"/>
      <c r="T1367" s="42"/>
      <c r="U1367" s="42"/>
      <c r="V1367" s="42"/>
      <c r="W1367" s="42"/>
    </row>
    <row r="1368">
      <c r="A1368" s="9"/>
      <c r="B1368" s="9"/>
      <c r="C1368" s="9"/>
      <c r="D1368" s="42"/>
      <c r="E1368" s="103"/>
      <c r="F1368" s="42"/>
      <c r="G1368" s="9"/>
      <c r="H1368" s="9"/>
      <c r="I1368" s="9"/>
      <c r="J1368" s="9"/>
      <c r="K1368" s="42"/>
      <c r="L1368" s="42"/>
      <c r="M1368" s="42"/>
      <c r="N1368" s="42"/>
      <c r="O1368" s="42"/>
      <c r="P1368" s="9"/>
      <c r="Q1368" s="9"/>
      <c r="R1368" s="42"/>
      <c r="S1368" s="42"/>
      <c r="T1368" s="42"/>
      <c r="U1368" s="42"/>
      <c r="V1368" s="42"/>
      <c r="W1368" s="42"/>
    </row>
    <row r="1369">
      <c r="A1369" s="9"/>
      <c r="B1369" s="9"/>
      <c r="C1369" s="9"/>
      <c r="D1369" s="42"/>
      <c r="E1369" s="103"/>
      <c r="F1369" s="42"/>
      <c r="G1369" s="9"/>
      <c r="H1369" s="9"/>
      <c r="I1369" s="9"/>
      <c r="J1369" s="9"/>
      <c r="K1369" s="42"/>
      <c r="L1369" s="42"/>
      <c r="M1369" s="42"/>
      <c r="N1369" s="42"/>
      <c r="O1369" s="42"/>
      <c r="P1369" s="9"/>
      <c r="Q1369" s="9"/>
      <c r="R1369" s="42"/>
      <c r="S1369" s="42"/>
      <c r="T1369" s="42"/>
      <c r="U1369" s="42"/>
      <c r="V1369" s="42"/>
      <c r="W1369" s="42"/>
    </row>
    <row r="1370">
      <c r="A1370" s="9"/>
      <c r="B1370" s="9"/>
      <c r="C1370" s="9"/>
      <c r="D1370" s="42"/>
      <c r="E1370" s="103"/>
      <c r="F1370" s="42"/>
      <c r="G1370" s="9"/>
      <c r="H1370" s="9"/>
      <c r="I1370" s="9"/>
      <c r="J1370" s="9"/>
      <c r="K1370" s="42"/>
      <c r="L1370" s="42"/>
      <c r="M1370" s="42"/>
      <c r="N1370" s="42"/>
      <c r="O1370" s="42"/>
      <c r="P1370" s="9"/>
      <c r="Q1370" s="9"/>
      <c r="R1370" s="42"/>
      <c r="S1370" s="42"/>
      <c r="T1370" s="42"/>
      <c r="U1370" s="42"/>
      <c r="V1370" s="42"/>
      <c r="W1370" s="42"/>
    </row>
    <row r="1371">
      <c r="A1371" s="9"/>
      <c r="B1371" s="9"/>
      <c r="C1371" s="9"/>
      <c r="D1371" s="42"/>
      <c r="E1371" s="103"/>
      <c r="F1371" s="42"/>
      <c r="G1371" s="9"/>
      <c r="H1371" s="9"/>
      <c r="I1371" s="9"/>
      <c r="J1371" s="9"/>
      <c r="K1371" s="42"/>
      <c r="L1371" s="42"/>
      <c r="M1371" s="42"/>
      <c r="N1371" s="42"/>
      <c r="O1371" s="42"/>
      <c r="P1371" s="9"/>
      <c r="Q1371" s="9"/>
      <c r="R1371" s="42"/>
      <c r="S1371" s="42"/>
      <c r="T1371" s="42"/>
      <c r="U1371" s="42"/>
      <c r="V1371" s="42"/>
      <c r="W1371" s="42"/>
    </row>
    <row r="1372">
      <c r="A1372" s="9"/>
      <c r="B1372" s="9"/>
      <c r="C1372" s="9"/>
      <c r="D1372" s="42"/>
      <c r="E1372" s="103"/>
      <c r="F1372" s="42"/>
      <c r="G1372" s="9"/>
      <c r="H1372" s="9"/>
      <c r="I1372" s="9"/>
      <c r="J1372" s="9"/>
      <c r="K1372" s="42"/>
      <c r="L1372" s="42"/>
      <c r="M1372" s="42"/>
      <c r="N1372" s="42"/>
      <c r="O1372" s="42"/>
      <c r="P1372" s="9"/>
      <c r="Q1372" s="9"/>
      <c r="R1372" s="42"/>
      <c r="S1372" s="42"/>
      <c r="T1372" s="42"/>
      <c r="U1372" s="42"/>
      <c r="V1372" s="42"/>
      <c r="W1372" s="42"/>
    </row>
    <row r="1373">
      <c r="A1373" s="9"/>
      <c r="B1373" s="9"/>
      <c r="C1373" s="9"/>
      <c r="D1373" s="42"/>
      <c r="E1373" s="103"/>
      <c r="F1373" s="42"/>
      <c r="G1373" s="9"/>
      <c r="H1373" s="9"/>
      <c r="I1373" s="9"/>
      <c r="J1373" s="9"/>
      <c r="K1373" s="42"/>
      <c r="L1373" s="42"/>
      <c r="M1373" s="42"/>
      <c r="N1373" s="42"/>
      <c r="O1373" s="42"/>
      <c r="P1373" s="9"/>
      <c r="Q1373" s="9"/>
      <c r="R1373" s="42"/>
      <c r="S1373" s="42"/>
      <c r="T1373" s="42"/>
      <c r="U1373" s="42"/>
      <c r="V1373" s="42"/>
      <c r="W1373" s="42"/>
    </row>
    <row r="1374">
      <c r="A1374" s="9"/>
      <c r="B1374" s="9"/>
      <c r="C1374" s="9"/>
      <c r="D1374" s="42"/>
      <c r="E1374" s="103"/>
      <c r="F1374" s="42"/>
      <c r="G1374" s="9"/>
      <c r="H1374" s="9"/>
      <c r="I1374" s="9"/>
      <c r="J1374" s="9"/>
      <c r="K1374" s="42"/>
      <c r="L1374" s="42"/>
      <c r="M1374" s="42"/>
      <c r="N1374" s="42"/>
      <c r="O1374" s="42"/>
      <c r="P1374" s="9"/>
      <c r="Q1374" s="9"/>
      <c r="R1374" s="42"/>
      <c r="S1374" s="42"/>
      <c r="T1374" s="42"/>
      <c r="U1374" s="42"/>
      <c r="V1374" s="42"/>
      <c r="W1374" s="42"/>
    </row>
    <row r="1375">
      <c r="A1375" s="9"/>
      <c r="B1375" s="9"/>
      <c r="C1375" s="9"/>
      <c r="D1375" s="42"/>
      <c r="E1375" s="103"/>
      <c r="F1375" s="42"/>
      <c r="G1375" s="9"/>
      <c r="H1375" s="9"/>
      <c r="I1375" s="9"/>
      <c r="J1375" s="9"/>
      <c r="K1375" s="42"/>
      <c r="L1375" s="42"/>
      <c r="M1375" s="42"/>
      <c r="N1375" s="42"/>
      <c r="O1375" s="42"/>
      <c r="P1375" s="9"/>
      <c r="Q1375" s="9"/>
      <c r="R1375" s="42"/>
      <c r="S1375" s="42"/>
      <c r="T1375" s="42"/>
      <c r="U1375" s="42"/>
      <c r="V1375" s="42"/>
      <c r="W1375" s="42"/>
    </row>
    <row r="1376">
      <c r="A1376" s="9"/>
      <c r="B1376" s="9"/>
      <c r="C1376" s="9"/>
      <c r="D1376" s="42"/>
      <c r="E1376" s="103"/>
      <c r="F1376" s="42"/>
      <c r="G1376" s="9"/>
      <c r="H1376" s="9"/>
      <c r="I1376" s="9"/>
      <c r="J1376" s="9"/>
      <c r="K1376" s="42"/>
      <c r="L1376" s="42"/>
      <c r="M1376" s="42"/>
      <c r="N1376" s="42"/>
      <c r="O1376" s="42"/>
      <c r="P1376" s="9"/>
      <c r="Q1376" s="9"/>
      <c r="R1376" s="42"/>
      <c r="S1376" s="42"/>
      <c r="T1376" s="42"/>
      <c r="U1376" s="42"/>
      <c r="V1376" s="42"/>
      <c r="W1376" s="42"/>
    </row>
    <row r="1377">
      <c r="A1377" s="9"/>
      <c r="B1377" s="9"/>
      <c r="C1377" s="9"/>
      <c r="D1377" s="42"/>
      <c r="E1377" s="103"/>
      <c r="F1377" s="42"/>
      <c r="G1377" s="9"/>
      <c r="H1377" s="9"/>
      <c r="I1377" s="9"/>
      <c r="J1377" s="9"/>
      <c r="K1377" s="42"/>
      <c r="L1377" s="42"/>
      <c r="M1377" s="42"/>
      <c r="N1377" s="42"/>
      <c r="O1377" s="42"/>
      <c r="P1377" s="9"/>
      <c r="Q1377" s="9"/>
      <c r="R1377" s="42"/>
      <c r="S1377" s="42"/>
      <c r="T1377" s="42"/>
      <c r="U1377" s="42"/>
      <c r="V1377" s="42"/>
      <c r="W1377" s="42"/>
    </row>
    <row r="1378">
      <c r="A1378" s="9"/>
      <c r="B1378" s="9"/>
      <c r="C1378" s="9"/>
      <c r="D1378" s="42"/>
      <c r="E1378" s="103"/>
      <c r="F1378" s="42"/>
      <c r="G1378" s="9"/>
      <c r="H1378" s="9"/>
      <c r="I1378" s="9"/>
      <c r="J1378" s="9"/>
      <c r="K1378" s="42"/>
      <c r="L1378" s="42"/>
      <c r="M1378" s="42"/>
      <c r="N1378" s="42"/>
      <c r="O1378" s="42"/>
      <c r="P1378" s="9"/>
      <c r="Q1378" s="9"/>
      <c r="R1378" s="42"/>
      <c r="S1378" s="42"/>
      <c r="T1378" s="42"/>
      <c r="U1378" s="42"/>
      <c r="V1378" s="42"/>
      <c r="W1378" s="42"/>
    </row>
    <row r="1379">
      <c r="A1379" s="9"/>
      <c r="B1379" s="9"/>
      <c r="C1379" s="9"/>
      <c r="D1379" s="42"/>
      <c r="E1379" s="103"/>
      <c r="F1379" s="42"/>
      <c r="G1379" s="9"/>
      <c r="H1379" s="9"/>
      <c r="I1379" s="9"/>
      <c r="J1379" s="9"/>
      <c r="K1379" s="42"/>
      <c r="L1379" s="42"/>
      <c r="M1379" s="42"/>
      <c r="N1379" s="42"/>
      <c r="O1379" s="42"/>
      <c r="P1379" s="9"/>
      <c r="Q1379" s="9"/>
      <c r="R1379" s="42"/>
      <c r="S1379" s="42"/>
      <c r="T1379" s="42"/>
      <c r="U1379" s="42"/>
      <c r="V1379" s="42"/>
      <c r="W1379" s="42"/>
    </row>
    <row r="1380">
      <c r="A1380" s="9"/>
      <c r="B1380" s="9"/>
      <c r="C1380" s="9"/>
      <c r="D1380" s="42"/>
      <c r="E1380" s="103"/>
      <c r="F1380" s="42"/>
      <c r="G1380" s="9"/>
      <c r="H1380" s="9"/>
      <c r="I1380" s="9"/>
      <c r="J1380" s="9"/>
      <c r="K1380" s="42"/>
      <c r="L1380" s="42"/>
      <c r="M1380" s="42"/>
      <c r="N1380" s="42"/>
      <c r="O1380" s="42"/>
      <c r="P1380" s="9"/>
      <c r="Q1380" s="9"/>
      <c r="R1380" s="42"/>
      <c r="S1380" s="42"/>
      <c r="T1380" s="42"/>
      <c r="U1380" s="42"/>
      <c r="V1380" s="42"/>
      <c r="W1380" s="42"/>
    </row>
    <row r="1381">
      <c r="A1381" s="9"/>
      <c r="B1381" s="9"/>
      <c r="C1381" s="9"/>
      <c r="D1381" s="42"/>
      <c r="E1381" s="103"/>
      <c r="F1381" s="42"/>
      <c r="G1381" s="9"/>
      <c r="H1381" s="9"/>
      <c r="I1381" s="9"/>
      <c r="J1381" s="9"/>
      <c r="K1381" s="42"/>
      <c r="L1381" s="42"/>
      <c r="M1381" s="42"/>
      <c r="N1381" s="42"/>
      <c r="O1381" s="42"/>
      <c r="P1381" s="9"/>
      <c r="Q1381" s="9"/>
      <c r="R1381" s="42"/>
      <c r="S1381" s="42"/>
      <c r="T1381" s="42"/>
      <c r="U1381" s="42"/>
      <c r="V1381" s="42"/>
      <c r="W1381" s="42"/>
    </row>
    <row r="1382">
      <c r="A1382" s="9"/>
      <c r="B1382" s="9"/>
      <c r="C1382" s="9"/>
      <c r="D1382" s="42"/>
      <c r="E1382" s="103"/>
      <c r="F1382" s="42"/>
      <c r="G1382" s="9"/>
      <c r="H1382" s="9"/>
      <c r="I1382" s="9"/>
      <c r="J1382" s="9"/>
      <c r="K1382" s="42"/>
      <c r="L1382" s="42"/>
      <c r="M1382" s="42"/>
      <c r="N1382" s="42"/>
      <c r="O1382" s="42"/>
      <c r="P1382" s="9"/>
      <c r="Q1382" s="9"/>
      <c r="R1382" s="42"/>
      <c r="S1382" s="42"/>
      <c r="T1382" s="42"/>
      <c r="U1382" s="42"/>
      <c r="V1382" s="42"/>
      <c r="W1382" s="42"/>
    </row>
    <row r="1383">
      <c r="A1383" s="9"/>
      <c r="B1383" s="9"/>
      <c r="C1383" s="9"/>
      <c r="D1383" s="42"/>
      <c r="E1383" s="103"/>
      <c r="F1383" s="42"/>
      <c r="G1383" s="9"/>
      <c r="H1383" s="9"/>
      <c r="I1383" s="9"/>
      <c r="J1383" s="9"/>
      <c r="K1383" s="42"/>
      <c r="L1383" s="42"/>
      <c r="M1383" s="42"/>
      <c r="N1383" s="42"/>
      <c r="O1383" s="42"/>
      <c r="P1383" s="9"/>
      <c r="Q1383" s="9"/>
      <c r="R1383" s="42"/>
      <c r="S1383" s="42"/>
      <c r="T1383" s="42"/>
      <c r="U1383" s="42"/>
      <c r="V1383" s="42"/>
      <c r="W1383" s="42"/>
    </row>
    <row r="1384">
      <c r="A1384" s="9"/>
      <c r="B1384" s="9"/>
      <c r="C1384" s="9"/>
      <c r="D1384" s="42"/>
      <c r="E1384" s="103"/>
      <c r="F1384" s="42"/>
      <c r="G1384" s="9"/>
      <c r="H1384" s="9"/>
      <c r="I1384" s="9"/>
      <c r="J1384" s="9"/>
      <c r="K1384" s="42"/>
      <c r="L1384" s="42"/>
      <c r="M1384" s="42"/>
      <c r="N1384" s="42"/>
      <c r="O1384" s="42"/>
      <c r="P1384" s="9"/>
      <c r="Q1384" s="9"/>
      <c r="R1384" s="42"/>
      <c r="S1384" s="42"/>
      <c r="T1384" s="42"/>
      <c r="U1384" s="42"/>
      <c r="V1384" s="42"/>
      <c r="W1384" s="42"/>
    </row>
    <row r="1385">
      <c r="A1385" s="9"/>
      <c r="B1385" s="9"/>
      <c r="C1385" s="9"/>
      <c r="D1385" s="42"/>
      <c r="E1385" s="103"/>
      <c r="F1385" s="42"/>
      <c r="G1385" s="9"/>
      <c r="H1385" s="9"/>
      <c r="I1385" s="9"/>
      <c r="J1385" s="9"/>
      <c r="K1385" s="42"/>
      <c r="L1385" s="42"/>
      <c r="M1385" s="42"/>
      <c r="N1385" s="42"/>
      <c r="O1385" s="42"/>
      <c r="P1385" s="9"/>
      <c r="Q1385" s="9"/>
      <c r="R1385" s="42"/>
      <c r="S1385" s="42"/>
      <c r="T1385" s="42"/>
      <c r="U1385" s="42"/>
      <c r="V1385" s="42"/>
      <c r="W1385" s="42"/>
    </row>
    <row r="1386">
      <c r="A1386" s="9"/>
      <c r="B1386" s="9"/>
      <c r="C1386" s="9"/>
      <c r="D1386" s="42"/>
      <c r="E1386" s="103"/>
      <c r="F1386" s="42"/>
      <c r="G1386" s="9"/>
      <c r="H1386" s="9"/>
      <c r="I1386" s="9"/>
      <c r="J1386" s="9"/>
      <c r="K1386" s="42"/>
      <c r="L1386" s="42"/>
      <c r="M1386" s="42"/>
      <c r="N1386" s="42"/>
      <c r="O1386" s="42"/>
      <c r="P1386" s="9"/>
      <c r="Q1386" s="9"/>
      <c r="R1386" s="42"/>
      <c r="S1386" s="42"/>
      <c r="T1386" s="42"/>
      <c r="U1386" s="42"/>
      <c r="V1386" s="42"/>
      <c r="W1386" s="42"/>
    </row>
    <row r="1387">
      <c r="A1387" s="9"/>
      <c r="B1387" s="9"/>
      <c r="C1387" s="9"/>
      <c r="D1387" s="42"/>
      <c r="E1387" s="103"/>
      <c r="F1387" s="42"/>
      <c r="G1387" s="9"/>
      <c r="H1387" s="9"/>
      <c r="I1387" s="9"/>
      <c r="J1387" s="9"/>
      <c r="K1387" s="42"/>
      <c r="L1387" s="42"/>
      <c r="M1387" s="42"/>
      <c r="N1387" s="42"/>
      <c r="O1387" s="42"/>
      <c r="P1387" s="9"/>
      <c r="Q1387" s="9"/>
      <c r="R1387" s="42"/>
      <c r="S1387" s="42"/>
      <c r="T1387" s="42"/>
      <c r="U1387" s="42"/>
      <c r="V1387" s="42"/>
      <c r="W1387" s="42"/>
    </row>
    <row r="1388">
      <c r="A1388" s="9"/>
      <c r="B1388" s="9"/>
      <c r="C1388" s="9"/>
      <c r="D1388" s="42"/>
      <c r="E1388" s="103"/>
      <c r="F1388" s="42"/>
      <c r="G1388" s="9"/>
      <c r="H1388" s="9"/>
      <c r="I1388" s="9"/>
      <c r="J1388" s="9"/>
      <c r="K1388" s="42"/>
      <c r="L1388" s="42"/>
      <c r="M1388" s="42"/>
      <c r="N1388" s="42"/>
      <c r="O1388" s="42"/>
      <c r="P1388" s="9"/>
      <c r="Q1388" s="9"/>
      <c r="R1388" s="42"/>
      <c r="S1388" s="42"/>
      <c r="T1388" s="42"/>
      <c r="U1388" s="42"/>
      <c r="V1388" s="42"/>
      <c r="W1388" s="42"/>
    </row>
    <row r="1389">
      <c r="A1389" s="9"/>
      <c r="B1389" s="9"/>
      <c r="C1389" s="9"/>
      <c r="D1389" s="42"/>
      <c r="E1389" s="103"/>
      <c r="F1389" s="42"/>
      <c r="G1389" s="9"/>
      <c r="H1389" s="9"/>
      <c r="I1389" s="9"/>
      <c r="J1389" s="9"/>
      <c r="K1389" s="42"/>
      <c r="L1389" s="42"/>
      <c r="M1389" s="42"/>
      <c r="N1389" s="42"/>
      <c r="O1389" s="42"/>
      <c r="P1389" s="9"/>
      <c r="Q1389" s="9"/>
      <c r="R1389" s="42"/>
      <c r="S1389" s="42"/>
      <c r="T1389" s="42"/>
      <c r="U1389" s="42"/>
      <c r="V1389" s="42"/>
      <c r="W1389" s="42"/>
    </row>
    <row r="1390">
      <c r="A1390" s="9"/>
      <c r="B1390" s="9"/>
      <c r="C1390" s="9"/>
      <c r="D1390" s="42"/>
      <c r="E1390" s="103"/>
      <c r="F1390" s="42"/>
      <c r="G1390" s="9"/>
      <c r="H1390" s="9"/>
      <c r="I1390" s="9"/>
      <c r="J1390" s="9"/>
      <c r="K1390" s="42"/>
      <c r="L1390" s="42"/>
      <c r="M1390" s="42"/>
      <c r="N1390" s="42"/>
      <c r="O1390" s="42"/>
      <c r="P1390" s="9"/>
      <c r="Q1390" s="9"/>
      <c r="R1390" s="42"/>
      <c r="S1390" s="42"/>
      <c r="T1390" s="42"/>
      <c r="U1390" s="42"/>
      <c r="V1390" s="42"/>
      <c r="W1390" s="42"/>
    </row>
    <row r="1391">
      <c r="A1391" s="9"/>
      <c r="B1391" s="9"/>
      <c r="C1391" s="9"/>
      <c r="D1391" s="42"/>
      <c r="E1391" s="103"/>
      <c r="F1391" s="42"/>
      <c r="G1391" s="9"/>
      <c r="H1391" s="9"/>
      <c r="I1391" s="9"/>
      <c r="J1391" s="9"/>
      <c r="K1391" s="42"/>
      <c r="L1391" s="42"/>
      <c r="M1391" s="42"/>
      <c r="N1391" s="42"/>
      <c r="O1391" s="42"/>
      <c r="P1391" s="9"/>
      <c r="Q1391" s="9"/>
      <c r="R1391" s="42"/>
      <c r="S1391" s="42"/>
      <c r="T1391" s="42"/>
      <c r="U1391" s="42"/>
      <c r="V1391" s="42"/>
      <c r="W1391" s="42"/>
    </row>
    <row r="1392">
      <c r="A1392" s="9"/>
      <c r="B1392" s="9"/>
      <c r="C1392" s="9"/>
      <c r="D1392" s="42"/>
      <c r="E1392" s="103"/>
      <c r="F1392" s="42"/>
      <c r="G1392" s="9"/>
      <c r="H1392" s="9"/>
      <c r="I1392" s="9"/>
      <c r="J1392" s="9"/>
      <c r="K1392" s="42"/>
      <c r="L1392" s="42"/>
      <c r="M1392" s="42"/>
      <c r="N1392" s="42"/>
      <c r="O1392" s="42"/>
      <c r="P1392" s="9"/>
      <c r="Q1392" s="9"/>
      <c r="R1392" s="42"/>
      <c r="S1392" s="42"/>
      <c r="T1392" s="42"/>
      <c r="U1392" s="42"/>
      <c r="V1392" s="42"/>
      <c r="W1392" s="42"/>
    </row>
    <row r="1393">
      <c r="A1393" s="9"/>
      <c r="B1393" s="9"/>
      <c r="C1393" s="9"/>
      <c r="D1393" s="42"/>
      <c r="E1393" s="103"/>
      <c r="F1393" s="42"/>
      <c r="G1393" s="9"/>
      <c r="H1393" s="9"/>
      <c r="I1393" s="9"/>
      <c r="J1393" s="9"/>
      <c r="K1393" s="42"/>
      <c r="L1393" s="42"/>
      <c r="M1393" s="42"/>
      <c r="N1393" s="42"/>
      <c r="O1393" s="42"/>
      <c r="P1393" s="9"/>
      <c r="Q1393" s="9"/>
      <c r="R1393" s="42"/>
      <c r="S1393" s="42"/>
      <c r="T1393" s="42"/>
      <c r="U1393" s="42"/>
      <c r="V1393" s="42"/>
      <c r="W1393" s="42"/>
    </row>
    <row r="1394">
      <c r="A1394" s="9"/>
      <c r="B1394" s="9"/>
      <c r="C1394" s="9"/>
      <c r="D1394" s="42"/>
      <c r="E1394" s="103"/>
      <c r="F1394" s="42"/>
      <c r="G1394" s="9"/>
      <c r="H1394" s="9"/>
      <c r="I1394" s="9"/>
      <c r="J1394" s="9"/>
      <c r="K1394" s="42"/>
      <c r="L1394" s="42"/>
      <c r="M1394" s="42"/>
      <c r="N1394" s="42"/>
      <c r="O1394" s="42"/>
      <c r="P1394" s="9"/>
      <c r="Q1394" s="9"/>
      <c r="R1394" s="42"/>
      <c r="S1394" s="42"/>
      <c r="T1394" s="42"/>
      <c r="U1394" s="42"/>
      <c r="V1394" s="42"/>
      <c r="W1394" s="42"/>
    </row>
    <row r="1395">
      <c r="A1395" s="9"/>
      <c r="B1395" s="9"/>
      <c r="C1395" s="9"/>
      <c r="D1395" s="42"/>
      <c r="E1395" s="103"/>
      <c r="F1395" s="42"/>
      <c r="G1395" s="9"/>
      <c r="H1395" s="9"/>
      <c r="I1395" s="9"/>
      <c r="J1395" s="9"/>
      <c r="K1395" s="42"/>
      <c r="L1395" s="42"/>
      <c r="M1395" s="42"/>
      <c r="N1395" s="42"/>
      <c r="O1395" s="42"/>
      <c r="P1395" s="9"/>
      <c r="Q1395" s="9"/>
      <c r="R1395" s="42"/>
      <c r="S1395" s="42"/>
      <c r="T1395" s="42"/>
      <c r="U1395" s="42"/>
      <c r="V1395" s="42"/>
      <c r="W1395" s="42"/>
    </row>
    <row r="1396">
      <c r="A1396" s="9"/>
      <c r="B1396" s="9"/>
      <c r="C1396" s="9"/>
      <c r="D1396" s="42"/>
      <c r="E1396" s="103"/>
      <c r="F1396" s="42"/>
      <c r="G1396" s="9"/>
      <c r="H1396" s="9"/>
      <c r="I1396" s="9"/>
      <c r="J1396" s="9"/>
      <c r="K1396" s="42"/>
      <c r="L1396" s="42"/>
      <c r="M1396" s="42"/>
      <c r="N1396" s="42"/>
      <c r="O1396" s="42"/>
      <c r="P1396" s="9"/>
      <c r="Q1396" s="9"/>
      <c r="R1396" s="42"/>
      <c r="S1396" s="42"/>
      <c r="T1396" s="42"/>
      <c r="U1396" s="42"/>
      <c r="V1396" s="42"/>
      <c r="W1396" s="42"/>
    </row>
    <row r="1397">
      <c r="A1397" s="9"/>
      <c r="B1397" s="9"/>
      <c r="C1397" s="9"/>
      <c r="D1397" s="42"/>
      <c r="E1397" s="103"/>
      <c r="F1397" s="42"/>
      <c r="G1397" s="9"/>
      <c r="H1397" s="9"/>
      <c r="I1397" s="9"/>
      <c r="J1397" s="9"/>
      <c r="K1397" s="42"/>
      <c r="L1397" s="42"/>
      <c r="M1397" s="42"/>
      <c r="N1397" s="42"/>
      <c r="O1397" s="42"/>
      <c r="P1397" s="9"/>
      <c r="Q1397" s="9"/>
      <c r="R1397" s="42"/>
      <c r="S1397" s="42"/>
      <c r="T1397" s="42"/>
      <c r="U1397" s="42"/>
      <c r="V1397" s="42"/>
      <c r="W1397" s="42"/>
    </row>
    <row r="1398">
      <c r="A1398" s="9"/>
      <c r="B1398" s="9"/>
      <c r="C1398" s="9"/>
      <c r="D1398" s="42"/>
      <c r="E1398" s="103"/>
      <c r="F1398" s="42"/>
      <c r="G1398" s="9"/>
      <c r="H1398" s="9"/>
      <c r="I1398" s="9"/>
      <c r="J1398" s="9"/>
      <c r="K1398" s="42"/>
      <c r="L1398" s="42"/>
      <c r="M1398" s="42"/>
      <c r="N1398" s="42"/>
      <c r="O1398" s="42"/>
      <c r="P1398" s="9"/>
      <c r="Q1398" s="9"/>
      <c r="R1398" s="42"/>
      <c r="S1398" s="42"/>
      <c r="T1398" s="42"/>
      <c r="U1398" s="42"/>
      <c r="V1398" s="42"/>
      <c r="W1398" s="42"/>
    </row>
    <row r="1399">
      <c r="A1399" s="9"/>
      <c r="B1399" s="9"/>
      <c r="C1399" s="9"/>
      <c r="D1399" s="42"/>
      <c r="E1399" s="103"/>
      <c r="F1399" s="42"/>
      <c r="G1399" s="9"/>
      <c r="H1399" s="9"/>
      <c r="I1399" s="9"/>
      <c r="J1399" s="9"/>
      <c r="K1399" s="42"/>
      <c r="L1399" s="42"/>
      <c r="M1399" s="42"/>
      <c r="N1399" s="42"/>
      <c r="O1399" s="42"/>
      <c r="P1399" s="9"/>
      <c r="Q1399" s="9"/>
      <c r="R1399" s="42"/>
      <c r="S1399" s="42"/>
      <c r="T1399" s="42"/>
      <c r="U1399" s="42"/>
      <c r="V1399" s="42"/>
      <c r="W1399" s="42"/>
    </row>
    <row r="1400">
      <c r="A1400" s="9"/>
      <c r="B1400" s="9"/>
      <c r="C1400" s="9"/>
      <c r="D1400" s="42"/>
      <c r="E1400" s="103"/>
      <c r="F1400" s="42"/>
      <c r="G1400" s="9"/>
      <c r="H1400" s="9"/>
      <c r="I1400" s="9"/>
      <c r="J1400" s="9"/>
      <c r="K1400" s="42"/>
      <c r="L1400" s="42"/>
      <c r="M1400" s="42"/>
      <c r="N1400" s="42"/>
      <c r="O1400" s="42"/>
      <c r="P1400" s="9"/>
      <c r="Q1400" s="9"/>
      <c r="R1400" s="42"/>
      <c r="S1400" s="42"/>
      <c r="T1400" s="42"/>
      <c r="U1400" s="42"/>
      <c r="V1400" s="42"/>
      <c r="W1400" s="42"/>
    </row>
    <row r="1401">
      <c r="A1401" s="9"/>
      <c r="B1401" s="9"/>
      <c r="C1401" s="9"/>
      <c r="D1401" s="42"/>
      <c r="E1401" s="103"/>
      <c r="F1401" s="42"/>
      <c r="G1401" s="9"/>
      <c r="H1401" s="9"/>
      <c r="I1401" s="9"/>
      <c r="J1401" s="9"/>
      <c r="K1401" s="42"/>
      <c r="L1401" s="42"/>
      <c r="M1401" s="42"/>
      <c r="N1401" s="42"/>
      <c r="O1401" s="42"/>
      <c r="P1401" s="9"/>
      <c r="Q1401" s="9"/>
      <c r="R1401" s="42"/>
      <c r="S1401" s="42"/>
      <c r="T1401" s="42"/>
      <c r="U1401" s="42"/>
      <c r="V1401" s="42"/>
      <c r="W1401" s="42"/>
    </row>
    <row r="1402">
      <c r="A1402" s="9"/>
      <c r="B1402" s="9"/>
      <c r="C1402" s="9"/>
      <c r="D1402" s="42"/>
      <c r="E1402" s="103"/>
      <c r="F1402" s="42"/>
      <c r="G1402" s="9"/>
      <c r="H1402" s="9"/>
      <c r="I1402" s="9"/>
      <c r="J1402" s="9"/>
      <c r="K1402" s="42"/>
      <c r="L1402" s="42"/>
      <c r="M1402" s="42"/>
      <c r="N1402" s="42"/>
      <c r="O1402" s="42"/>
      <c r="P1402" s="9"/>
      <c r="Q1402" s="9"/>
      <c r="R1402" s="42"/>
      <c r="S1402" s="42"/>
      <c r="T1402" s="42"/>
      <c r="U1402" s="42"/>
      <c r="V1402" s="42"/>
      <c r="W1402" s="42"/>
    </row>
    <row r="1403">
      <c r="A1403" s="9"/>
      <c r="B1403" s="9"/>
      <c r="C1403" s="9"/>
      <c r="D1403" s="42"/>
      <c r="E1403" s="103"/>
      <c r="F1403" s="42"/>
      <c r="G1403" s="9"/>
      <c r="H1403" s="9"/>
      <c r="I1403" s="9"/>
      <c r="J1403" s="9"/>
      <c r="K1403" s="42"/>
      <c r="L1403" s="42"/>
      <c r="M1403" s="42"/>
      <c r="N1403" s="42"/>
      <c r="O1403" s="42"/>
      <c r="P1403" s="9"/>
      <c r="Q1403" s="9"/>
      <c r="R1403" s="42"/>
      <c r="S1403" s="42"/>
      <c r="T1403" s="42"/>
      <c r="U1403" s="42"/>
      <c r="V1403" s="42"/>
      <c r="W1403" s="42"/>
    </row>
    <row r="1404">
      <c r="A1404" s="9"/>
      <c r="B1404" s="9"/>
      <c r="C1404" s="9"/>
      <c r="D1404" s="42"/>
      <c r="E1404" s="103"/>
      <c r="F1404" s="42"/>
      <c r="G1404" s="9"/>
      <c r="H1404" s="9"/>
      <c r="I1404" s="9"/>
      <c r="J1404" s="9"/>
      <c r="K1404" s="42"/>
      <c r="L1404" s="42"/>
      <c r="M1404" s="42"/>
      <c r="N1404" s="42"/>
      <c r="O1404" s="42"/>
      <c r="P1404" s="9"/>
      <c r="Q1404" s="9"/>
      <c r="R1404" s="42"/>
      <c r="S1404" s="42"/>
      <c r="T1404" s="42"/>
      <c r="U1404" s="42"/>
      <c r="V1404" s="42"/>
      <c r="W1404" s="42"/>
    </row>
    <row r="1405">
      <c r="A1405" s="9"/>
      <c r="B1405" s="9"/>
      <c r="C1405" s="9"/>
      <c r="D1405" s="42"/>
      <c r="E1405" s="103"/>
      <c r="F1405" s="42"/>
      <c r="G1405" s="9"/>
      <c r="H1405" s="9"/>
      <c r="I1405" s="9"/>
      <c r="J1405" s="9"/>
      <c r="K1405" s="42"/>
      <c r="L1405" s="42"/>
      <c r="M1405" s="42"/>
      <c r="N1405" s="42"/>
      <c r="O1405" s="42"/>
      <c r="P1405" s="9"/>
      <c r="Q1405" s="9"/>
      <c r="R1405" s="42"/>
      <c r="S1405" s="42"/>
      <c r="T1405" s="42"/>
      <c r="U1405" s="42"/>
      <c r="V1405" s="42"/>
      <c r="W1405" s="42"/>
    </row>
    <row r="1406">
      <c r="A1406" s="9"/>
      <c r="B1406" s="9"/>
      <c r="C1406" s="9"/>
      <c r="D1406" s="42"/>
      <c r="E1406" s="103"/>
      <c r="F1406" s="42"/>
      <c r="G1406" s="9"/>
      <c r="H1406" s="9"/>
      <c r="I1406" s="9"/>
      <c r="J1406" s="9"/>
      <c r="K1406" s="42"/>
      <c r="L1406" s="42"/>
      <c r="M1406" s="42"/>
      <c r="N1406" s="42"/>
      <c r="O1406" s="42"/>
      <c r="P1406" s="9"/>
      <c r="Q1406" s="9"/>
      <c r="R1406" s="42"/>
      <c r="S1406" s="42"/>
      <c r="T1406" s="42"/>
      <c r="U1406" s="42"/>
      <c r="V1406" s="42"/>
      <c r="W1406" s="42"/>
    </row>
    <row r="1407">
      <c r="A1407" s="9"/>
      <c r="B1407" s="9"/>
      <c r="C1407" s="9"/>
      <c r="D1407" s="42"/>
      <c r="E1407" s="103"/>
      <c r="F1407" s="42"/>
      <c r="G1407" s="9"/>
      <c r="H1407" s="9"/>
      <c r="I1407" s="9"/>
      <c r="J1407" s="9"/>
      <c r="K1407" s="42"/>
      <c r="L1407" s="42"/>
      <c r="M1407" s="42"/>
      <c r="N1407" s="42"/>
      <c r="O1407" s="42"/>
      <c r="P1407" s="9"/>
      <c r="Q1407" s="9"/>
      <c r="R1407" s="42"/>
      <c r="S1407" s="42"/>
      <c r="T1407" s="42"/>
      <c r="U1407" s="42"/>
      <c r="V1407" s="42"/>
      <c r="W1407" s="42"/>
    </row>
    <row r="1408">
      <c r="A1408" s="9"/>
      <c r="B1408" s="9"/>
      <c r="C1408" s="9"/>
      <c r="D1408" s="42"/>
      <c r="E1408" s="103"/>
      <c r="F1408" s="42"/>
      <c r="G1408" s="9"/>
      <c r="H1408" s="9"/>
      <c r="I1408" s="9"/>
      <c r="J1408" s="9"/>
      <c r="K1408" s="42"/>
      <c r="L1408" s="42"/>
      <c r="M1408" s="42"/>
      <c r="N1408" s="42"/>
      <c r="O1408" s="42"/>
      <c r="P1408" s="9"/>
      <c r="Q1408" s="9"/>
      <c r="R1408" s="42"/>
      <c r="S1408" s="42"/>
      <c r="T1408" s="42"/>
      <c r="U1408" s="42"/>
      <c r="V1408" s="42"/>
      <c r="W1408" s="42"/>
    </row>
    <row r="1409">
      <c r="A1409" s="9"/>
      <c r="B1409" s="9"/>
      <c r="C1409" s="9"/>
      <c r="D1409" s="42"/>
      <c r="E1409" s="103"/>
      <c r="F1409" s="42"/>
      <c r="G1409" s="9"/>
      <c r="H1409" s="9"/>
      <c r="I1409" s="9"/>
      <c r="J1409" s="9"/>
      <c r="K1409" s="42"/>
      <c r="L1409" s="42"/>
      <c r="M1409" s="42"/>
      <c r="N1409" s="42"/>
      <c r="O1409" s="42"/>
      <c r="P1409" s="9"/>
      <c r="Q1409" s="9"/>
      <c r="R1409" s="42"/>
      <c r="S1409" s="42"/>
      <c r="T1409" s="42"/>
      <c r="U1409" s="42"/>
      <c r="V1409" s="42"/>
      <c r="W1409" s="42"/>
    </row>
    <row r="1410">
      <c r="A1410" s="9"/>
      <c r="B1410" s="9"/>
      <c r="C1410" s="9"/>
      <c r="D1410" s="42"/>
      <c r="E1410" s="103"/>
      <c r="F1410" s="42"/>
      <c r="G1410" s="9"/>
      <c r="H1410" s="9"/>
      <c r="I1410" s="9"/>
      <c r="J1410" s="9"/>
      <c r="K1410" s="42"/>
      <c r="L1410" s="42"/>
      <c r="M1410" s="42"/>
      <c r="N1410" s="42"/>
      <c r="O1410" s="42"/>
      <c r="P1410" s="9"/>
      <c r="Q1410" s="9"/>
      <c r="R1410" s="42"/>
      <c r="S1410" s="42"/>
      <c r="T1410" s="42"/>
      <c r="U1410" s="42"/>
      <c r="V1410" s="42"/>
      <c r="W1410" s="42"/>
    </row>
    <row r="1411">
      <c r="A1411" s="9"/>
      <c r="B1411" s="9"/>
      <c r="C1411" s="9"/>
      <c r="D1411" s="42"/>
      <c r="E1411" s="103"/>
      <c r="F1411" s="42"/>
      <c r="G1411" s="9"/>
      <c r="H1411" s="9"/>
      <c r="I1411" s="9"/>
      <c r="J1411" s="9"/>
      <c r="K1411" s="42"/>
      <c r="L1411" s="42"/>
      <c r="M1411" s="42"/>
      <c r="N1411" s="42"/>
      <c r="O1411" s="42"/>
      <c r="P1411" s="9"/>
      <c r="Q1411" s="9"/>
      <c r="R1411" s="42"/>
      <c r="S1411" s="42"/>
      <c r="T1411" s="42"/>
      <c r="U1411" s="42"/>
      <c r="V1411" s="42"/>
      <c r="W1411" s="42"/>
    </row>
    <row r="1412">
      <c r="A1412" s="9"/>
      <c r="B1412" s="9"/>
      <c r="C1412" s="9"/>
      <c r="D1412" s="42"/>
      <c r="E1412" s="103"/>
      <c r="F1412" s="42"/>
      <c r="G1412" s="9"/>
      <c r="H1412" s="9"/>
      <c r="I1412" s="9"/>
      <c r="J1412" s="9"/>
      <c r="K1412" s="42"/>
      <c r="L1412" s="42"/>
      <c r="M1412" s="42"/>
      <c r="N1412" s="42"/>
      <c r="O1412" s="42"/>
      <c r="P1412" s="9"/>
      <c r="Q1412" s="9"/>
      <c r="R1412" s="42"/>
      <c r="S1412" s="42"/>
      <c r="T1412" s="42"/>
      <c r="U1412" s="42"/>
      <c r="V1412" s="42"/>
      <c r="W1412" s="42"/>
    </row>
    <row r="1413">
      <c r="A1413" s="9"/>
      <c r="B1413" s="9"/>
      <c r="C1413" s="9"/>
      <c r="D1413" s="42"/>
      <c r="E1413" s="103"/>
      <c r="F1413" s="42"/>
      <c r="G1413" s="9"/>
      <c r="H1413" s="9"/>
      <c r="I1413" s="9"/>
      <c r="J1413" s="9"/>
      <c r="K1413" s="42"/>
      <c r="L1413" s="42"/>
      <c r="M1413" s="42"/>
      <c r="N1413" s="42"/>
      <c r="O1413" s="42"/>
      <c r="P1413" s="9"/>
      <c r="Q1413" s="9"/>
      <c r="R1413" s="42"/>
      <c r="S1413" s="42"/>
      <c r="T1413" s="42"/>
      <c r="U1413" s="42"/>
      <c r="V1413" s="42"/>
      <c r="W1413" s="42"/>
    </row>
    <row r="1414">
      <c r="A1414" s="9"/>
      <c r="B1414" s="9"/>
      <c r="C1414" s="9"/>
      <c r="D1414" s="42"/>
      <c r="E1414" s="103"/>
      <c r="F1414" s="42"/>
      <c r="G1414" s="9"/>
      <c r="H1414" s="9"/>
      <c r="I1414" s="9"/>
      <c r="J1414" s="9"/>
      <c r="K1414" s="42"/>
      <c r="L1414" s="42"/>
      <c r="M1414" s="42"/>
      <c r="N1414" s="42"/>
      <c r="O1414" s="42"/>
      <c r="P1414" s="9"/>
      <c r="Q1414" s="9"/>
      <c r="R1414" s="42"/>
      <c r="S1414" s="42"/>
      <c r="T1414" s="42"/>
      <c r="U1414" s="42"/>
      <c r="V1414" s="42"/>
      <c r="W1414" s="42"/>
    </row>
    <row r="1415">
      <c r="A1415" s="9"/>
      <c r="B1415" s="9"/>
      <c r="C1415" s="9"/>
      <c r="D1415" s="42"/>
      <c r="E1415" s="103"/>
      <c r="F1415" s="42"/>
      <c r="G1415" s="9"/>
      <c r="H1415" s="9"/>
      <c r="I1415" s="9"/>
      <c r="J1415" s="9"/>
      <c r="K1415" s="42"/>
      <c r="L1415" s="42"/>
      <c r="M1415" s="42"/>
      <c r="N1415" s="42"/>
      <c r="O1415" s="42"/>
      <c r="P1415" s="9"/>
      <c r="Q1415" s="9"/>
      <c r="R1415" s="42"/>
      <c r="S1415" s="42"/>
      <c r="T1415" s="42"/>
      <c r="U1415" s="42"/>
      <c r="V1415" s="42"/>
      <c r="W1415" s="42"/>
    </row>
    <row r="1416">
      <c r="A1416" s="9"/>
      <c r="B1416" s="9"/>
      <c r="C1416" s="9"/>
      <c r="D1416" s="42"/>
      <c r="E1416" s="103"/>
      <c r="F1416" s="42"/>
      <c r="G1416" s="9"/>
      <c r="H1416" s="9"/>
      <c r="I1416" s="9"/>
      <c r="J1416" s="9"/>
      <c r="K1416" s="42"/>
      <c r="L1416" s="42"/>
      <c r="M1416" s="42"/>
      <c r="N1416" s="42"/>
      <c r="O1416" s="42"/>
      <c r="P1416" s="9"/>
      <c r="Q1416" s="9"/>
      <c r="R1416" s="42"/>
      <c r="S1416" s="42"/>
      <c r="T1416" s="42"/>
      <c r="U1416" s="42"/>
      <c r="V1416" s="42"/>
      <c r="W1416" s="42"/>
    </row>
    <row r="1417">
      <c r="A1417" s="9"/>
      <c r="B1417" s="9"/>
      <c r="C1417" s="9"/>
      <c r="D1417" s="42"/>
      <c r="E1417" s="103"/>
      <c r="F1417" s="42"/>
      <c r="G1417" s="9"/>
      <c r="H1417" s="9"/>
      <c r="I1417" s="9"/>
      <c r="J1417" s="9"/>
      <c r="K1417" s="42"/>
      <c r="L1417" s="42"/>
      <c r="M1417" s="42"/>
      <c r="N1417" s="42"/>
      <c r="O1417" s="42"/>
      <c r="P1417" s="9"/>
      <c r="Q1417" s="9"/>
      <c r="R1417" s="42"/>
      <c r="S1417" s="42"/>
      <c r="T1417" s="42"/>
      <c r="U1417" s="42"/>
      <c r="V1417" s="42"/>
      <c r="W1417" s="42"/>
    </row>
    <row r="1418">
      <c r="A1418" s="9"/>
      <c r="B1418" s="9"/>
      <c r="C1418" s="9"/>
      <c r="D1418" s="42"/>
      <c r="E1418" s="103"/>
      <c r="F1418" s="42"/>
      <c r="G1418" s="9"/>
      <c r="H1418" s="9"/>
      <c r="I1418" s="9"/>
      <c r="J1418" s="9"/>
      <c r="K1418" s="42"/>
      <c r="L1418" s="42"/>
      <c r="M1418" s="42"/>
      <c r="N1418" s="42"/>
      <c r="O1418" s="42"/>
      <c r="P1418" s="9"/>
      <c r="Q1418" s="9"/>
      <c r="R1418" s="42"/>
      <c r="S1418" s="42"/>
      <c r="T1418" s="42"/>
      <c r="U1418" s="42"/>
      <c r="V1418" s="42"/>
      <c r="W1418" s="42"/>
    </row>
    <row r="1419">
      <c r="A1419" s="9"/>
      <c r="B1419" s="9"/>
      <c r="C1419" s="9"/>
      <c r="D1419" s="42"/>
      <c r="E1419" s="103"/>
      <c r="F1419" s="42"/>
      <c r="G1419" s="9"/>
      <c r="H1419" s="9"/>
      <c r="I1419" s="9"/>
      <c r="J1419" s="9"/>
      <c r="K1419" s="42"/>
      <c r="L1419" s="42"/>
      <c r="M1419" s="42"/>
      <c r="N1419" s="42"/>
      <c r="O1419" s="42"/>
      <c r="P1419" s="9"/>
      <c r="Q1419" s="9"/>
      <c r="R1419" s="42"/>
      <c r="S1419" s="42"/>
      <c r="T1419" s="42"/>
      <c r="U1419" s="42"/>
      <c r="V1419" s="42"/>
      <c r="W1419" s="42"/>
    </row>
    <row r="1420">
      <c r="A1420" s="9"/>
      <c r="B1420" s="9"/>
      <c r="C1420" s="9"/>
      <c r="D1420" s="42"/>
      <c r="E1420" s="103"/>
      <c r="F1420" s="42"/>
      <c r="G1420" s="9"/>
      <c r="H1420" s="9"/>
      <c r="I1420" s="9"/>
      <c r="J1420" s="9"/>
      <c r="K1420" s="42"/>
      <c r="L1420" s="42"/>
      <c r="M1420" s="42"/>
      <c r="N1420" s="42"/>
      <c r="O1420" s="42"/>
      <c r="P1420" s="9"/>
      <c r="Q1420" s="9"/>
      <c r="R1420" s="42"/>
      <c r="S1420" s="42"/>
      <c r="T1420" s="42"/>
      <c r="U1420" s="42"/>
      <c r="V1420" s="42"/>
      <c r="W1420" s="42"/>
    </row>
    <row r="1421">
      <c r="A1421" s="9"/>
      <c r="B1421" s="9"/>
      <c r="C1421" s="9"/>
      <c r="D1421" s="42"/>
      <c r="E1421" s="103"/>
      <c r="F1421" s="42"/>
      <c r="G1421" s="9"/>
      <c r="H1421" s="9"/>
      <c r="I1421" s="9"/>
      <c r="J1421" s="9"/>
      <c r="K1421" s="42"/>
      <c r="L1421" s="42"/>
      <c r="M1421" s="42"/>
      <c r="N1421" s="42"/>
      <c r="O1421" s="42"/>
      <c r="P1421" s="9"/>
      <c r="Q1421" s="9"/>
      <c r="R1421" s="42"/>
      <c r="S1421" s="42"/>
      <c r="T1421" s="42"/>
      <c r="U1421" s="42"/>
      <c r="V1421" s="42"/>
      <c r="W1421" s="42"/>
    </row>
    <row r="1422">
      <c r="A1422" s="9"/>
      <c r="B1422" s="9"/>
      <c r="C1422" s="9"/>
      <c r="D1422" s="42"/>
      <c r="E1422" s="103"/>
      <c r="F1422" s="42"/>
      <c r="G1422" s="9"/>
      <c r="H1422" s="9"/>
      <c r="I1422" s="9"/>
      <c r="J1422" s="9"/>
      <c r="K1422" s="42"/>
      <c r="L1422" s="42"/>
      <c r="M1422" s="42"/>
      <c r="N1422" s="42"/>
      <c r="O1422" s="42"/>
      <c r="P1422" s="9"/>
      <c r="Q1422" s="9"/>
      <c r="R1422" s="42"/>
      <c r="S1422" s="42"/>
      <c r="T1422" s="42"/>
      <c r="U1422" s="42"/>
      <c r="V1422" s="42"/>
      <c r="W1422" s="42"/>
    </row>
    <row r="1423">
      <c r="A1423" s="9"/>
      <c r="B1423" s="9"/>
      <c r="C1423" s="9"/>
      <c r="D1423" s="42"/>
      <c r="E1423" s="103"/>
      <c r="F1423" s="42"/>
      <c r="G1423" s="9"/>
      <c r="H1423" s="9"/>
      <c r="I1423" s="9"/>
      <c r="J1423" s="9"/>
      <c r="K1423" s="42"/>
      <c r="L1423" s="42"/>
      <c r="M1423" s="42"/>
      <c r="N1423" s="42"/>
      <c r="O1423" s="42"/>
      <c r="P1423" s="9"/>
      <c r="Q1423" s="9"/>
      <c r="R1423" s="42"/>
      <c r="S1423" s="42"/>
      <c r="T1423" s="42"/>
      <c r="U1423" s="42"/>
      <c r="V1423" s="42"/>
      <c r="W1423" s="42"/>
    </row>
    <row r="1424">
      <c r="A1424" s="9"/>
      <c r="B1424" s="9"/>
      <c r="C1424" s="9"/>
      <c r="D1424" s="42"/>
      <c r="E1424" s="103"/>
      <c r="F1424" s="42"/>
      <c r="G1424" s="9"/>
      <c r="H1424" s="9"/>
      <c r="I1424" s="9"/>
      <c r="J1424" s="9"/>
      <c r="K1424" s="42"/>
      <c r="L1424" s="42"/>
      <c r="M1424" s="42"/>
      <c r="N1424" s="42"/>
      <c r="O1424" s="42"/>
      <c r="P1424" s="9"/>
      <c r="Q1424" s="9"/>
      <c r="R1424" s="42"/>
      <c r="S1424" s="42"/>
      <c r="T1424" s="42"/>
      <c r="U1424" s="42"/>
      <c r="V1424" s="42"/>
      <c r="W1424" s="42"/>
    </row>
    <row r="1425">
      <c r="A1425" s="9"/>
      <c r="B1425" s="9"/>
      <c r="C1425" s="9"/>
      <c r="D1425" s="42"/>
      <c r="E1425" s="103"/>
      <c r="F1425" s="42"/>
      <c r="G1425" s="9"/>
      <c r="H1425" s="9"/>
      <c r="I1425" s="9"/>
      <c r="J1425" s="9"/>
      <c r="K1425" s="42"/>
      <c r="L1425" s="42"/>
      <c r="M1425" s="42"/>
      <c r="N1425" s="42"/>
      <c r="O1425" s="42"/>
      <c r="P1425" s="9"/>
      <c r="Q1425" s="9"/>
      <c r="R1425" s="42"/>
      <c r="S1425" s="42"/>
      <c r="T1425" s="42"/>
      <c r="U1425" s="42"/>
      <c r="V1425" s="42"/>
      <c r="W1425" s="42"/>
    </row>
    <row r="1426">
      <c r="A1426" s="9"/>
      <c r="B1426" s="9"/>
      <c r="C1426" s="9"/>
      <c r="D1426" s="42"/>
      <c r="E1426" s="103"/>
      <c r="F1426" s="42"/>
      <c r="G1426" s="9"/>
      <c r="H1426" s="9"/>
      <c r="I1426" s="9"/>
      <c r="J1426" s="9"/>
      <c r="K1426" s="42"/>
      <c r="L1426" s="42"/>
      <c r="M1426" s="42"/>
      <c r="N1426" s="42"/>
      <c r="O1426" s="42"/>
      <c r="P1426" s="9"/>
      <c r="Q1426" s="9"/>
      <c r="R1426" s="42"/>
      <c r="S1426" s="42"/>
      <c r="T1426" s="42"/>
      <c r="U1426" s="42"/>
      <c r="V1426" s="42"/>
      <c r="W1426" s="42"/>
    </row>
    <row r="1427">
      <c r="A1427" s="9"/>
      <c r="B1427" s="9"/>
      <c r="C1427" s="9"/>
      <c r="D1427" s="42"/>
      <c r="E1427" s="103"/>
      <c r="F1427" s="42"/>
      <c r="G1427" s="9"/>
      <c r="H1427" s="9"/>
      <c r="I1427" s="9"/>
      <c r="J1427" s="9"/>
      <c r="K1427" s="42"/>
      <c r="L1427" s="42"/>
      <c r="M1427" s="42"/>
      <c r="N1427" s="42"/>
      <c r="O1427" s="42"/>
      <c r="P1427" s="9"/>
      <c r="Q1427" s="9"/>
      <c r="R1427" s="42"/>
      <c r="S1427" s="42"/>
      <c r="T1427" s="42"/>
      <c r="U1427" s="42"/>
      <c r="V1427" s="42"/>
      <c r="W1427" s="42"/>
    </row>
    <row r="1428">
      <c r="A1428" s="9"/>
      <c r="B1428" s="9"/>
      <c r="C1428" s="9"/>
      <c r="D1428" s="42"/>
      <c r="E1428" s="103"/>
      <c r="F1428" s="42"/>
      <c r="G1428" s="9"/>
      <c r="H1428" s="9"/>
      <c r="I1428" s="9"/>
      <c r="J1428" s="9"/>
      <c r="K1428" s="42"/>
      <c r="L1428" s="42"/>
      <c r="M1428" s="42"/>
      <c r="N1428" s="42"/>
      <c r="O1428" s="42"/>
      <c r="P1428" s="9"/>
      <c r="Q1428" s="9"/>
      <c r="R1428" s="42"/>
      <c r="S1428" s="42"/>
      <c r="T1428" s="42"/>
      <c r="U1428" s="42"/>
      <c r="V1428" s="42"/>
      <c r="W1428" s="42"/>
    </row>
    <row r="1429">
      <c r="A1429" s="9"/>
      <c r="B1429" s="9"/>
      <c r="C1429" s="9"/>
      <c r="D1429" s="42"/>
      <c r="E1429" s="103"/>
      <c r="F1429" s="42"/>
      <c r="G1429" s="9"/>
      <c r="H1429" s="9"/>
      <c r="I1429" s="9"/>
      <c r="J1429" s="9"/>
      <c r="K1429" s="42"/>
      <c r="L1429" s="42"/>
      <c r="M1429" s="42"/>
      <c r="N1429" s="42"/>
      <c r="O1429" s="42"/>
      <c r="P1429" s="9"/>
      <c r="Q1429" s="9"/>
      <c r="R1429" s="42"/>
      <c r="S1429" s="42"/>
      <c r="T1429" s="42"/>
      <c r="U1429" s="42"/>
      <c r="V1429" s="42"/>
      <c r="W1429" s="42"/>
    </row>
    <row r="1430">
      <c r="A1430" s="9"/>
      <c r="B1430" s="9"/>
      <c r="C1430" s="9"/>
      <c r="D1430" s="42"/>
      <c r="E1430" s="103"/>
      <c r="F1430" s="42"/>
      <c r="G1430" s="9"/>
      <c r="H1430" s="9"/>
      <c r="I1430" s="9"/>
      <c r="J1430" s="9"/>
      <c r="K1430" s="42"/>
      <c r="L1430" s="42"/>
      <c r="M1430" s="42"/>
      <c r="N1430" s="42"/>
      <c r="O1430" s="42"/>
      <c r="P1430" s="9"/>
      <c r="Q1430" s="9"/>
      <c r="R1430" s="42"/>
      <c r="S1430" s="42"/>
      <c r="T1430" s="42"/>
      <c r="U1430" s="42"/>
      <c r="V1430" s="42"/>
      <c r="W1430" s="42"/>
    </row>
    <row r="1431">
      <c r="A1431" s="9"/>
      <c r="B1431" s="9"/>
      <c r="C1431" s="9"/>
      <c r="D1431" s="42"/>
      <c r="E1431" s="103"/>
      <c r="F1431" s="42"/>
      <c r="G1431" s="9"/>
      <c r="H1431" s="9"/>
      <c r="I1431" s="9"/>
      <c r="J1431" s="9"/>
      <c r="K1431" s="42"/>
      <c r="L1431" s="42"/>
      <c r="M1431" s="42"/>
      <c r="N1431" s="42"/>
      <c r="O1431" s="42"/>
      <c r="P1431" s="9"/>
      <c r="Q1431" s="9"/>
      <c r="R1431" s="42"/>
      <c r="S1431" s="42"/>
      <c r="T1431" s="42"/>
      <c r="U1431" s="42"/>
      <c r="V1431" s="42"/>
      <c r="W1431" s="42"/>
    </row>
    <row r="1432">
      <c r="A1432" s="9"/>
      <c r="B1432" s="9"/>
      <c r="C1432" s="9"/>
      <c r="D1432" s="42"/>
      <c r="E1432" s="103"/>
      <c r="F1432" s="42"/>
      <c r="G1432" s="9"/>
      <c r="H1432" s="9"/>
      <c r="I1432" s="9"/>
      <c r="J1432" s="9"/>
      <c r="K1432" s="42"/>
      <c r="L1432" s="42"/>
      <c r="M1432" s="42"/>
      <c r="N1432" s="42"/>
      <c r="O1432" s="42"/>
      <c r="P1432" s="9"/>
      <c r="Q1432" s="9"/>
      <c r="R1432" s="42"/>
      <c r="S1432" s="42"/>
      <c r="T1432" s="42"/>
      <c r="U1432" s="42"/>
      <c r="V1432" s="42"/>
      <c r="W1432" s="42"/>
    </row>
    <row r="1433">
      <c r="A1433" s="9"/>
      <c r="B1433" s="9"/>
      <c r="C1433" s="9"/>
      <c r="D1433" s="42"/>
      <c r="E1433" s="103"/>
      <c r="F1433" s="42"/>
      <c r="G1433" s="9"/>
      <c r="H1433" s="9"/>
      <c r="I1433" s="9"/>
      <c r="J1433" s="9"/>
      <c r="K1433" s="42"/>
      <c r="L1433" s="42"/>
      <c r="M1433" s="42"/>
      <c r="N1433" s="42"/>
      <c r="O1433" s="42"/>
      <c r="P1433" s="9"/>
      <c r="Q1433" s="9"/>
      <c r="R1433" s="42"/>
      <c r="S1433" s="42"/>
      <c r="T1433" s="42"/>
      <c r="U1433" s="42"/>
      <c r="V1433" s="42"/>
      <c r="W1433" s="42"/>
    </row>
    <row r="1434">
      <c r="A1434" s="9"/>
      <c r="B1434" s="9"/>
      <c r="C1434" s="9"/>
      <c r="D1434" s="42"/>
      <c r="E1434" s="103"/>
      <c r="F1434" s="42"/>
      <c r="G1434" s="9"/>
      <c r="H1434" s="9"/>
      <c r="I1434" s="9"/>
      <c r="J1434" s="9"/>
      <c r="K1434" s="42"/>
      <c r="L1434" s="42"/>
      <c r="M1434" s="42"/>
      <c r="N1434" s="42"/>
      <c r="O1434" s="42"/>
      <c r="P1434" s="9"/>
      <c r="Q1434" s="9"/>
      <c r="R1434" s="42"/>
      <c r="S1434" s="42"/>
      <c r="T1434" s="42"/>
      <c r="U1434" s="42"/>
      <c r="V1434" s="42"/>
      <c r="W1434" s="42"/>
    </row>
    <row r="1435">
      <c r="A1435" s="9"/>
      <c r="B1435" s="9"/>
      <c r="C1435" s="9"/>
      <c r="D1435" s="42"/>
      <c r="E1435" s="103"/>
      <c r="F1435" s="42"/>
      <c r="G1435" s="9"/>
      <c r="H1435" s="9"/>
      <c r="I1435" s="9"/>
      <c r="J1435" s="9"/>
      <c r="K1435" s="42"/>
      <c r="L1435" s="42"/>
      <c r="M1435" s="42"/>
      <c r="N1435" s="42"/>
      <c r="O1435" s="42"/>
      <c r="P1435" s="9"/>
      <c r="Q1435" s="9"/>
      <c r="R1435" s="42"/>
      <c r="S1435" s="42"/>
      <c r="T1435" s="42"/>
      <c r="U1435" s="42"/>
      <c r="V1435" s="42"/>
      <c r="W1435" s="42"/>
    </row>
    <row r="1436">
      <c r="A1436" s="9"/>
      <c r="B1436" s="9"/>
      <c r="C1436" s="9"/>
      <c r="D1436" s="42"/>
      <c r="E1436" s="103"/>
      <c r="F1436" s="42"/>
      <c r="G1436" s="9"/>
      <c r="H1436" s="9"/>
      <c r="I1436" s="9"/>
      <c r="J1436" s="9"/>
      <c r="K1436" s="42"/>
      <c r="L1436" s="42"/>
      <c r="M1436" s="42"/>
      <c r="N1436" s="42"/>
      <c r="O1436" s="42"/>
      <c r="P1436" s="9"/>
      <c r="Q1436" s="9"/>
      <c r="R1436" s="42"/>
      <c r="S1436" s="42"/>
      <c r="T1436" s="42"/>
      <c r="U1436" s="42"/>
      <c r="V1436" s="42"/>
      <c r="W1436" s="42"/>
    </row>
    <row r="1437">
      <c r="A1437" s="9"/>
      <c r="B1437" s="9"/>
      <c r="C1437" s="9"/>
      <c r="D1437" s="42"/>
      <c r="E1437" s="103"/>
      <c r="F1437" s="42"/>
      <c r="G1437" s="9"/>
      <c r="H1437" s="9"/>
      <c r="I1437" s="9"/>
      <c r="J1437" s="9"/>
      <c r="K1437" s="42"/>
      <c r="L1437" s="42"/>
      <c r="M1437" s="42"/>
      <c r="N1437" s="42"/>
      <c r="O1437" s="42"/>
      <c r="P1437" s="9"/>
      <c r="Q1437" s="9"/>
      <c r="R1437" s="42"/>
      <c r="S1437" s="42"/>
      <c r="T1437" s="42"/>
      <c r="U1437" s="42"/>
      <c r="V1437" s="42"/>
      <c r="W1437" s="42"/>
    </row>
    <row r="1438">
      <c r="A1438" s="9"/>
      <c r="B1438" s="9"/>
      <c r="C1438" s="9"/>
      <c r="D1438" s="42"/>
      <c r="E1438" s="103"/>
      <c r="F1438" s="42"/>
      <c r="G1438" s="9"/>
      <c r="H1438" s="9"/>
      <c r="I1438" s="9"/>
      <c r="J1438" s="9"/>
      <c r="K1438" s="42"/>
      <c r="L1438" s="42"/>
      <c r="M1438" s="42"/>
      <c r="N1438" s="42"/>
      <c r="O1438" s="42"/>
      <c r="P1438" s="9"/>
      <c r="Q1438" s="9"/>
      <c r="R1438" s="42"/>
      <c r="S1438" s="42"/>
      <c r="T1438" s="42"/>
      <c r="U1438" s="42"/>
      <c r="V1438" s="42"/>
      <c r="W1438" s="42"/>
    </row>
    <row r="1439">
      <c r="A1439" s="9"/>
      <c r="B1439" s="9"/>
      <c r="C1439" s="9"/>
      <c r="D1439" s="42"/>
      <c r="E1439" s="103"/>
      <c r="F1439" s="42"/>
      <c r="G1439" s="9"/>
      <c r="H1439" s="9"/>
      <c r="I1439" s="9"/>
      <c r="J1439" s="9"/>
      <c r="K1439" s="42"/>
      <c r="L1439" s="42"/>
      <c r="M1439" s="42"/>
      <c r="N1439" s="42"/>
      <c r="O1439" s="42"/>
      <c r="P1439" s="9"/>
      <c r="Q1439" s="9"/>
      <c r="R1439" s="42"/>
      <c r="S1439" s="42"/>
      <c r="T1439" s="42"/>
      <c r="U1439" s="42"/>
      <c r="V1439" s="42"/>
      <c r="W1439" s="42"/>
    </row>
    <row r="1440">
      <c r="A1440" s="9"/>
      <c r="B1440" s="9"/>
      <c r="C1440" s="9"/>
      <c r="D1440" s="42"/>
      <c r="E1440" s="103"/>
      <c r="F1440" s="42"/>
      <c r="G1440" s="9"/>
      <c r="H1440" s="9"/>
      <c r="I1440" s="9"/>
      <c r="J1440" s="9"/>
      <c r="K1440" s="42"/>
      <c r="L1440" s="42"/>
      <c r="M1440" s="42"/>
      <c r="N1440" s="42"/>
      <c r="O1440" s="42"/>
      <c r="P1440" s="9"/>
      <c r="Q1440" s="9"/>
      <c r="R1440" s="42"/>
      <c r="S1440" s="42"/>
      <c r="T1440" s="42"/>
      <c r="U1440" s="42"/>
      <c r="V1440" s="42"/>
      <c r="W1440" s="42"/>
    </row>
    <row r="1441">
      <c r="A1441" s="9"/>
      <c r="B1441" s="9"/>
      <c r="C1441" s="9"/>
      <c r="D1441" s="42"/>
      <c r="E1441" s="103"/>
      <c r="F1441" s="42"/>
      <c r="G1441" s="9"/>
      <c r="H1441" s="9"/>
      <c r="I1441" s="9"/>
      <c r="J1441" s="9"/>
      <c r="K1441" s="42"/>
      <c r="L1441" s="42"/>
      <c r="M1441" s="42"/>
      <c r="N1441" s="42"/>
      <c r="O1441" s="42"/>
      <c r="P1441" s="9"/>
      <c r="Q1441" s="9"/>
      <c r="R1441" s="42"/>
      <c r="S1441" s="42"/>
      <c r="T1441" s="42"/>
      <c r="U1441" s="42"/>
      <c r="V1441" s="42"/>
      <c r="W1441" s="42"/>
    </row>
    <row r="1442">
      <c r="A1442" s="9"/>
      <c r="B1442" s="9"/>
      <c r="C1442" s="9"/>
      <c r="D1442" s="42"/>
      <c r="E1442" s="103"/>
      <c r="F1442" s="42"/>
      <c r="G1442" s="9"/>
      <c r="H1442" s="9"/>
      <c r="I1442" s="9"/>
      <c r="J1442" s="9"/>
      <c r="K1442" s="42"/>
      <c r="L1442" s="42"/>
      <c r="M1442" s="42"/>
      <c r="N1442" s="42"/>
      <c r="O1442" s="42"/>
      <c r="P1442" s="9"/>
      <c r="Q1442" s="9"/>
      <c r="R1442" s="42"/>
      <c r="S1442" s="42"/>
      <c r="T1442" s="42"/>
      <c r="U1442" s="42"/>
      <c r="V1442" s="42"/>
      <c r="W1442" s="42"/>
    </row>
    <row r="1443">
      <c r="A1443" s="9"/>
      <c r="B1443" s="9"/>
      <c r="C1443" s="9"/>
      <c r="D1443" s="42"/>
      <c r="E1443" s="103"/>
      <c r="F1443" s="42"/>
      <c r="G1443" s="9"/>
      <c r="H1443" s="9"/>
      <c r="I1443" s="9"/>
      <c r="J1443" s="9"/>
      <c r="K1443" s="42"/>
      <c r="L1443" s="42"/>
      <c r="M1443" s="42"/>
      <c r="N1443" s="42"/>
      <c r="O1443" s="42"/>
      <c r="P1443" s="9"/>
      <c r="Q1443" s="9"/>
      <c r="R1443" s="42"/>
      <c r="S1443" s="42"/>
      <c r="T1443" s="42"/>
      <c r="U1443" s="42"/>
      <c r="V1443" s="42"/>
      <c r="W1443" s="42"/>
    </row>
    <row r="1444">
      <c r="A1444" s="9"/>
      <c r="B1444" s="9"/>
      <c r="C1444" s="9"/>
      <c r="D1444" s="42"/>
      <c r="E1444" s="103"/>
      <c r="F1444" s="42"/>
      <c r="G1444" s="9"/>
      <c r="H1444" s="9"/>
      <c r="I1444" s="9"/>
      <c r="J1444" s="9"/>
      <c r="K1444" s="42"/>
      <c r="L1444" s="42"/>
      <c r="M1444" s="42"/>
      <c r="N1444" s="42"/>
      <c r="O1444" s="42"/>
      <c r="P1444" s="9"/>
      <c r="Q1444" s="9"/>
      <c r="R1444" s="42"/>
      <c r="S1444" s="42"/>
      <c r="T1444" s="42"/>
      <c r="U1444" s="42"/>
      <c r="V1444" s="42"/>
      <c r="W1444" s="42"/>
    </row>
    <row r="1445">
      <c r="A1445" s="9"/>
      <c r="B1445" s="9"/>
      <c r="C1445" s="9"/>
      <c r="D1445" s="42"/>
      <c r="E1445" s="103"/>
      <c r="F1445" s="42"/>
      <c r="G1445" s="9"/>
      <c r="H1445" s="9"/>
      <c r="I1445" s="9"/>
      <c r="J1445" s="9"/>
      <c r="K1445" s="42"/>
      <c r="L1445" s="42"/>
      <c r="M1445" s="42"/>
      <c r="N1445" s="42"/>
      <c r="O1445" s="42"/>
      <c r="P1445" s="9"/>
      <c r="Q1445" s="9"/>
      <c r="R1445" s="42"/>
      <c r="S1445" s="42"/>
      <c r="T1445" s="42"/>
      <c r="U1445" s="42"/>
      <c r="V1445" s="42"/>
      <c r="W1445" s="42"/>
    </row>
    <row r="1446">
      <c r="A1446" s="9"/>
      <c r="B1446" s="9"/>
      <c r="C1446" s="9"/>
      <c r="D1446" s="42"/>
      <c r="E1446" s="103"/>
      <c r="F1446" s="42"/>
      <c r="G1446" s="9"/>
      <c r="H1446" s="9"/>
      <c r="I1446" s="9"/>
      <c r="J1446" s="9"/>
      <c r="K1446" s="42"/>
      <c r="L1446" s="42"/>
      <c r="M1446" s="42"/>
      <c r="N1446" s="42"/>
      <c r="O1446" s="42"/>
      <c r="P1446" s="9"/>
      <c r="Q1446" s="9"/>
      <c r="R1446" s="42"/>
      <c r="S1446" s="42"/>
      <c r="T1446" s="42"/>
      <c r="U1446" s="42"/>
      <c r="V1446" s="42"/>
      <c r="W1446" s="42"/>
    </row>
    <row r="1447">
      <c r="A1447" s="9"/>
      <c r="B1447" s="9"/>
      <c r="C1447" s="9"/>
      <c r="D1447" s="42"/>
      <c r="E1447" s="103"/>
      <c r="F1447" s="42"/>
      <c r="G1447" s="9"/>
      <c r="H1447" s="9"/>
      <c r="I1447" s="9"/>
      <c r="J1447" s="9"/>
      <c r="K1447" s="42"/>
      <c r="L1447" s="42"/>
      <c r="M1447" s="42"/>
      <c r="N1447" s="42"/>
      <c r="O1447" s="42"/>
      <c r="P1447" s="9"/>
      <c r="Q1447" s="9"/>
      <c r="R1447" s="42"/>
      <c r="S1447" s="42"/>
      <c r="T1447" s="42"/>
      <c r="U1447" s="42"/>
      <c r="V1447" s="42"/>
      <c r="W1447" s="42"/>
    </row>
    <row r="1448">
      <c r="A1448" s="9"/>
      <c r="B1448" s="9"/>
      <c r="C1448" s="9"/>
      <c r="D1448" s="42"/>
      <c r="E1448" s="103"/>
      <c r="F1448" s="42"/>
      <c r="G1448" s="9"/>
      <c r="H1448" s="9"/>
      <c r="I1448" s="9"/>
      <c r="J1448" s="9"/>
      <c r="K1448" s="42"/>
      <c r="L1448" s="42"/>
      <c r="M1448" s="42"/>
      <c r="N1448" s="42"/>
      <c r="O1448" s="42"/>
      <c r="P1448" s="9"/>
      <c r="Q1448" s="9"/>
      <c r="R1448" s="42"/>
      <c r="S1448" s="42"/>
      <c r="T1448" s="42"/>
      <c r="U1448" s="42"/>
      <c r="V1448" s="42"/>
      <c r="W1448" s="42"/>
    </row>
    <row r="1449">
      <c r="A1449" s="9"/>
      <c r="B1449" s="9"/>
      <c r="C1449" s="9"/>
      <c r="D1449" s="42"/>
      <c r="E1449" s="103"/>
      <c r="F1449" s="42"/>
      <c r="G1449" s="9"/>
      <c r="H1449" s="9"/>
      <c r="I1449" s="9"/>
      <c r="J1449" s="9"/>
      <c r="K1449" s="42"/>
      <c r="L1449" s="42"/>
      <c r="M1449" s="42"/>
      <c r="N1449" s="42"/>
      <c r="O1449" s="42"/>
      <c r="P1449" s="9"/>
      <c r="Q1449" s="9"/>
      <c r="R1449" s="42"/>
      <c r="S1449" s="42"/>
      <c r="T1449" s="42"/>
      <c r="U1449" s="42"/>
      <c r="V1449" s="42"/>
      <c r="W1449" s="42"/>
    </row>
    <row r="1450">
      <c r="A1450" s="9"/>
      <c r="B1450" s="9"/>
      <c r="C1450" s="9"/>
      <c r="D1450" s="42"/>
      <c r="E1450" s="103"/>
      <c r="F1450" s="42"/>
      <c r="G1450" s="9"/>
      <c r="H1450" s="9"/>
      <c r="I1450" s="9"/>
      <c r="J1450" s="9"/>
      <c r="K1450" s="42"/>
      <c r="L1450" s="42"/>
      <c r="M1450" s="42"/>
      <c r="N1450" s="42"/>
      <c r="O1450" s="42"/>
      <c r="P1450" s="9"/>
      <c r="Q1450" s="9"/>
      <c r="R1450" s="42"/>
      <c r="S1450" s="42"/>
      <c r="T1450" s="42"/>
      <c r="U1450" s="42"/>
      <c r="V1450" s="42"/>
      <c r="W1450" s="42"/>
    </row>
    <row r="1451">
      <c r="A1451" s="9"/>
      <c r="B1451" s="9"/>
      <c r="C1451" s="9"/>
      <c r="D1451" s="42"/>
      <c r="E1451" s="103"/>
      <c r="F1451" s="42"/>
      <c r="G1451" s="9"/>
      <c r="H1451" s="9"/>
      <c r="I1451" s="9"/>
      <c r="J1451" s="9"/>
      <c r="K1451" s="42"/>
      <c r="L1451" s="42"/>
      <c r="M1451" s="42"/>
      <c r="N1451" s="42"/>
      <c r="O1451" s="42"/>
      <c r="P1451" s="9"/>
      <c r="Q1451" s="9"/>
      <c r="R1451" s="42"/>
      <c r="S1451" s="42"/>
      <c r="T1451" s="42"/>
      <c r="U1451" s="42"/>
      <c r="V1451" s="42"/>
      <c r="W1451" s="42"/>
    </row>
    <row r="1452">
      <c r="A1452" s="9"/>
      <c r="B1452" s="9"/>
      <c r="C1452" s="9"/>
      <c r="D1452" s="42"/>
      <c r="E1452" s="103"/>
      <c r="F1452" s="42"/>
      <c r="G1452" s="9"/>
      <c r="H1452" s="9"/>
      <c r="I1452" s="9"/>
      <c r="J1452" s="9"/>
      <c r="K1452" s="42"/>
      <c r="L1452" s="42"/>
      <c r="M1452" s="42"/>
      <c r="N1452" s="42"/>
      <c r="O1452" s="42"/>
      <c r="P1452" s="9"/>
      <c r="Q1452" s="9"/>
      <c r="R1452" s="42"/>
      <c r="S1452" s="42"/>
      <c r="T1452" s="42"/>
      <c r="U1452" s="42"/>
      <c r="V1452" s="42"/>
      <c r="W1452" s="42"/>
    </row>
    <row r="1453">
      <c r="A1453" s="9"/>
      <c r="B1453" s="9"/>
      <c r="C1453" s="9"/>
      <c r="D1453" s="42"/>
      <c r="E1453" s="103"/>
      <c r="F1453" s="42"/>
      <c r="G1453" s="9"/>
      <c r="H1453" s="9"/>
      <c r="I1453" s="9"/>
      <c r="J1453" s="9"/>
      <c r="K1453" s="42"/>
      <c r="L1453" s="42"/>
      <c r="M1453" s="42"/>
      <c r="N1453" s="42"/>
      <c r="O1453" s="42"/>
      <c r="P1453" s="9"/>
      <c r="Q1453" s="9"/>
      <c r="R1453" s="42"/>
      <c r="S1453" s="42"/>
      <c r="T1453" s="42"/>
      <c r="U1453" s="42"/>
      <c r="V1453" s="42"/>
      <c r="W1453" s="42"/>
    </row>
    <row r="1454">
      <c r="A1454" s="9"/>
      <c r="B1454" s="9"/>
      <c r="C1454" s="9"/>
      <c r="D1454" s="42"/>
      <c r="E1454" s="103"/>
      <c r="F1454" s="42"/>
      <c r="G1454" s="9"/>
      <c r="H1454" s="9"/>
      <c r="I1454" s="9"/>
      <c r="J1454" s="9"/>
      <c r="K1454" s="42"/>
      <c r="L1454" s="42"/>
      <c r="M1454" s="42"/>
      <c r="N1454" s="42"/>
      <c r="O1454" s="42"/>
      <c r="P1454" s="9"/>
      <c r="Q1454" s="9"/>
      <c r="R1454" s="42"/>
      <c r="S1454" s="42"/>
      <c r="T1454" s="42"/>
      <c r="U1454" s="42"/>
      <c r="V1454" s="42"/>
      <c r="W1454" s="42"/>
    </row>
    <row r="1455">
      <c r="A1455" s="9"/>
      <c r="B1455" s="9"/>
      <c r="C1455" s="9"/>
      <c r="D1455" s="42"/>
      <c r="E1455" s="103"/>
      <c r="F1455" s="42"/>
      <c r="G1455" s="9"/>
      <c r="H1455" s="9"/>
      <c r="I1455" s="9"/>
      <c r="J1455" s="9"/>
      <c r="K1455" s="42"/>
      <c r="L1455" s="42"/>
      <c r="M1455" s="42"/>
      <c r="N1455" s="42"/>
      <c r="O1455" s="42"/>
      <c r="P1455" s="9"/>
      <c r="Q1455" s="9"/>
      <c r="R1455" s="42"/>
      <c r="S1455" s="42"/>
      <c r="T1455" s="42"/>
      <c r="U1455" s="42"/>
      <c r="V1455" s="42"/>
      <c r="W1455" s="42"/>
    </row>
    <row r="1456">
      <c r="A1456" s="9"/>
      <c r="B1456" s="9"/>
      <c r="C1456" s="9"/>
      <c r="D1456" s="42"/>
      <c r="E1456" s="103"/>
      <c r="F1456" s="42"/>
      <c r="G1456" s="9"/>
      <c r="H1456" s="9"/>
      <c r="I1456" s="9"/>
      <c r="J1456" s="9"/>
      <c r="K1456" s="42"/>
      <c r="L1456" s="42"/>
      <c r="M1456" s="42"/>
      <c r="N1456" s="42"/>
      <c r="O1456" s="42"/>
      <c r="P1456" s="9"/>
      <c r="Q1456" s="9"/>
      <c r="R1456" s="42"/>
      <c r="S1456" s="42"/>
      <c r="T1456" s="42"/>
      <c r="U1456" s="42"/>
      <c r="V1456" s="42"/>
      <c r="W1456" s="42"/>
    </row>
    <row r="1457">
      <c r="A1457" s="9"/>
      <c r="B1457" s="9"/>
      <c r="C1457" s="9"/>
      <c r="D1457" s="42"/>
      <c r="E1457" s="103"/>
      <c r="F1457" s="42"/>
      <c r="G1457" s="9"/>
      <c r="H1457" s="9"/>
      <c r="I1457" s="9"/>
      <c r="J1457" s="9"/>
      <c r="K1457" s="42"/>
      <c r="L1457" s="42"/>
      <c r="M1457" s="42"/>
      <c r="N1457" s="42"/>
      <c r="O1457" s="42"/>
      <c r="P1457" s="9"/>
      <c r="Q1457" s="9"/>
      <c r="R1457" s="42"/>
      <c r="S1457" s="42"/>
      <c r="T1457" s="42"/>
      <c r="U1457" s="42"/>
      <c r="V1457" s="42"/>
      <c r="W1457" s="42"/>
    </row>
    <row r="1458">
      <c r="A1458" s="9"/>
      <c r="B1458" s="9"/>
      <c r="C1458" s="9"/>
      <c r="D1458" s="42"/>
      <c r="E1458" s="103"/>
      <c r="F1458" s="42"/>
      <c r="G1458" s="9"/>
      <c r="H1458" s="9"/>
      <c r="I1458" s="9"/>
      <c r="J1458" s="9"/>
      <c r="K1458" s="42"/>
      <c r="L1458" s="42"/>
      <c r="M1458" s="42"/>
      <c r="N1458" s="42"/>
      <c r="O1458" s="42"/>
      <c r="P1458" s="9"/>
      <c r="Q1458" s="9"/>
      <c r="R1458" s="42"/>
      <c r="S1458" s="42"/>
      <c r="T1458" s="42"/>
      <c r="U1458" s="42"/>
      <c r="V1458" s="42"/>
      <c r="W1458" s="42"/>
    </row>
    <row r="1459">
      <c r="A1459" s="9"/>
      <c r="B1459" s="9"/>
      <c r="C1459" s="9"/>
      <c r="D1459" s="42"/>
      <c r="E1459" s="103"/>
      <c r="F1459" s="42"/>
      <c r="G1459" s="9"/>
      <c r="H1459" s="9"/>
      <c r="I1459" s="9"/>
      <c r="J1459" s="9"/>
      <c r="K1459" s="42"/>
      <c r="L1459" s="42"/>
      <c r="M1459" s="42"/>
      <c r="N1459" s="42"/>
      <c r="O1459" s="42"/>
      <c r="P1459" s="9"/>
      <c r="Q1459" s="9"/>
      <c r="R1459" s="42"/>
      <c r="S1459" s="42"/>
      <c r="T1459" s="42"/>
      <c r="U1459" s="42"/>
      <c r="V1459" s="42"/>
      <c r="W1459" s="42"/>
    </row>
    <row r="1460">
      <c r="A1460" s="9"/>
      <c r="B1460" s="9"/>
      <c r="C1460" s="9"/>
      <c r="D1460" s="42"/>
      <c r="E1460" s="103"/>
      <c r="F1460" s="42"/>
      <c r="G1460" s="9"/>
      <c r="H1460" s="9"/>
      <c r="I1460" s="9"/>
      <c r="J1460" s="9"/>
      <c r="K1460" s="42"/>
      <c r="L1460" s="42"/>
      <c r="M1460" s="42"/>
      <c r="N1460" s="42"/>
      <c r="O1460" s="42"/>
      <c r="P1460" s="9"/>
      <c r="Q1460" s="9"/>
      <c r="R1460" s="42"/>
      <c r="S1460" s="42"/>
      <c r="T1460" s="42"/>
      <c r="U1460" s="42"/>
      <c r="V1460" s="42"/>
      <c r="W1460" s="42"/>
    </row>
    <row r="1461">
      <c r="A1461" s="9"/>
      <c r="B1461" s="9"/>
      <c r="C1461" s="9"/>
      <c r="D1461" s="42"/>
      <c r="E1461" s="103"/>
      <c r="F1461" s="42"/>
      <c r="G1461" s="9"/>
      <c r="H1461" s="9"/>
      <c r="I1461" s="9"/>
      <c r="J1461" s="9"/>
      <c r="K1461" s="42"/>
      <c r="L1461" s="42"/>
      <c r="M1461" s="42"/>
      <c r="N1461" s="42"/>
      <c r="O1461" s="42"/>
      <c r="P1461" s="9"/>
      <c r="Q1461" s="9"/>
      <c r="R1461" s="42"/>
      <c r="S1461" s="42"/>
      <c r="T1461" s="42"/>
      <c r="U1461" s="42"/>
      <c r="V1461" s="42"/>
      <c r="W1461" s="42"/>
    </row>
    <row r="1462">
      <c r="A1462" s="9"/>
      <c r="B1462" s="9"/>
      <c r="C1462" s="9"/>
      <c r="D1462" s="42"/>
      <c r="E1462" s="103"/>
      <c r="F1462" s="42"/>
      <c r="G1462" s="9"/>
      <c r="H1462" s="9"/>
      <c r="I1462" s="9"/>
      <c r="J1462" s="9"/>
      <c r="K1462" s="42"/>
      <c r="L1462" s="42"/>
      <c r="M1462" s="42"/>
      <c r="N1462" s="42"/>
      <c r="O1462" s="42"/>
      <c r="P1462" s="9"/>
      <c r="Q1462" s="9"/>
      <c r="R1462" s="42"/>
      <c r="S1462" s="42"/>
      <c r="T1462" s="42"/>
      <c r="U1462" s="42"/>
      <c r="V1462" s="42"/>
      <c r="W1462" s="42"/>
    </row>
    <row r="1463">
      <c r="A1463" s="9"/>
      <c r="B1463" s="9"/>
      <c r="C1463" s="9"/>
      <c r="D1463" s="42"/>
      <c r="E1463" s="103"/>
      <c r="F1463" s="42"/>
      <c r="G1463" s="9"/>
      <c r="H1463" s="9"/>
      <c r="I1463" s="9"/>
      <c r="J1463" s="9"/>
      <c r="K1463" s="42"/>
      <c r="L1463" s="42"/>
      <c r="M1463" s="42"/>
      <c r="N1463" s="42"/>
      <c r="O1463" s="42"/>
      <c r="P1463" s="9"/>
      <c r="Q1463" s="9"/>
      <c r="R1463" s="42"/>
      <c r="S1463" s="42"/>
      <c r="T1463" s="42"/>
      <c r="U1463" s="42"/>
      <c r="V1463" s="42"/>
      <c r="W1463" s="42"/>
    </row>
    <row r="1464">
      <c r="A1464" s="9"/>
      <c r="B1464" s="9"/>
      <c r="C1464" s="9"/>
      <c r="D1464" s="42"/>
      <c r="E1464" s="103"/>
      <c r="F1464" s="42"/>
      <c r="G1464" s="9"/>
      <c r="H1464" s="9"/>
      <c r="I1464" s="9"/>
      <c r="J1464" s="9"/>
      <c r="K1464" s="42"/>
      <c r="L1464" s="42"/>
      <c r="M1464" s="42"/>
      <c r="N1464" s="42"/>
      <c r="O1464" s="42"/>
      <c r="P1464" s="9"/>
      <c r="Q1464" s="9"/>
      <c r="R1464" s="42"/>
      <c r="S1464" s="42"/>
      <c r="T1464" s="42"/>
      <c r="U1464" s="42"/>
      <c r="V1464" s="42"/>
      <c r="W1464" s="42"/>
    </row>
    <row r="1465">
      <c r="A1465" s="9"/>
      <c r="B1465" s="9"/>
      <c r="C1465" s="9"/>
      <c r="D1465" s="42"/>
      <c r="E1465" s="103"/>
      <c r="F1465" s="42"/>
      <c r="G1465" s="9"/>
      <c r="H1465" s="9"/>
      <c r="I1465" s="9"/>
      <c r="J1465" s="9"/>
      <c r="K1465" s="42"/>
      <c r="L1465" s="42"/>
      <c r="M1465" s="42"/>
      <c r="N1465" s="42"/>
      <c r="O1465" s="42"/>
      <c r="P1465" s="9"/>
      <c r="Q1465" s="9"/>
      <c r="R1465" s="42"/>
      <c r="S1465" s="42"/>
      <c r="T1465" s="42"/>
      <c r="U1465" s="42"/>
      <c r="V1465" s="42"/>
      <c r="W1465" s="42"/>
    </row>
    <row r="1466">
      <c r="A1466" s="9"/>
      <c r="B1466" s="9"/>
      <c r="C1466" s="9"/>
      <c r="D1466" s="42"/>
      <c r="E1466" s="103"/>
      <c r="F1466" s="42"/>
      <c r="G1466" s="9"/>
      <c r="H1466" s="9"/>
      <c r="I1466" s="9"/>
      <c r="J1466" s="9"/>
      <c r="K1466" s="42"/>
      <c r="L1466" s="42"/>
      <c r="M1466" s="42"/>
      <c r="N1466" s="42"/>
      <c r="O1466" s="42"/>
      <c r="P1466" s="9"/>
      <c r="Q1466" s="9"/>
      <c r="R1466" s="42"/>
      <c r="S1466" s="42"/>
      <c r="T1466" s="42"/>
      <c r="U1466" s="42"/>
      <c r="V1466" s="42"/>
      <c r="W1466" s="42"/>
    </row>
    <row r="1467">
      <c r="A1467" s="9"/>
      <c r="B1467" s="9"/>
      <c r="C1467" s="9"/>
      <c r="D1467" s="42"/>
      <c r="E1467" s="103"/>
      <c r="F1467" s="42"/>
      <c r="G1467" s="9"/>
      <c r="H1467" s="9"/>
      <c r="I1467" s="9"/>
      <c r="J1467" s="9"/>
      <c r="K1467" s="42"/>
      <c r="L1467" s="42"/>
      <c r="M1467" s="42"/>
      <c r="N1467" s="42"/>
      <c r="O1467" s="42"/>
      <c r="P1467" s="9"/>
      <c r="Q1467" s="9"/>
      <c r="R1467" s="42"/>
      <c r="S1467" s="42"/>
      <c r="T1467" s="42"/>
      <c r="U1467" s="42"/>
      <c r="V1467" s="42"/>
      <c r="W1467" s="42"/>
    </row>
    <row r="1468">
      <c r="A1468" s="9"/>
      <c r="B1468" s="9"/>
      <c r="C1468" s="9"/>
      <c r="D1468" s="42"/>
      <c r="E1468" s="103"/>
      <c r="F1468" s="42"/>
      <c r="G1468" s="9"/>
      <c r="H1468" s="9"/>
      <c r="I1468" s="9"/>
      <c r="J1468" s="9"/>
      <c r="K1468" s="42"/>
      <c r="L1468" s="42"/>
      <c r="M1468" s="42"/>
      <c r="N1468" s="42"/>
      <c r="O1468" s="42"/>
      <c r="P1468" s="9"/>
      <c r="Q1468" s="9"/>
      <c r="R1468" s="42"/>
      <c r="S1468" s="42"/>
      <c r="T1468" s="42"/>
      <c r="U1468" s="42"/>
      <c r="V1468" s="42"/>
      <c r="W1468" s="42"/>
    </row>
    <row r="1469">
      <c r="A1469" s="9"/>
      <c r="B1469" s="9"/>
      <c r="C1469" s="9"/>
      <c r="D1469" s="42"/>
      <c r="E1469" s="103"/>
      <c r="F1469" s="42"/>
      <c r="G1469" s="9"/>
      <c r="H1469" s="9"/>
      <c r="I1469" s="9"/>
      <c r="J1469" s="9"/>
      <c r="K1469" s="42"/>
      <c r="L1469" s="42"/>
      <c r="M1469" s="42"/>
      <c r="N1469" s="42"/>
      <c r="O1469" s="42"/>
      <c r="P1469" s="9"/>
      <c r="Q1469" s="9"/>
      <c r="R1469" s="42"/>
      <c r="S1469" s="42"/>
      <c r="T1469" s="42"/>
      <c r="U1469" s="42"/>
      <c r="V1469" s="42"/>
      <c r="W1469" s="42"/>
    </row>
    <row r="1470">
      <c r="A1470" s="9"/>
      <c r="B1470" s="9"/>
      <c r="C1470" s="9"/>
      <c r="D1470" s="42"/>
      <c r="E1470" s="103"/>
      <c r="F1470" s="42"/>
      <c r="G1470" s="9"/>
      <c r="H1470" s="9"/>
      <c r="I1470" s="9"/>
      <c r="J1470" s="9"/>
      <c r="K1470" s="42"/>
      <c r="L1470" s="42"/>
      <c r="M1470" s="42"/>
      <c r="N1470" s="42"/>
      <c r="O1470" s="42"/>
      <c r="P1470" s="9"/>
      <c r="Q1470" s="9"/>
      <c r="R1470" s="42"/>
      <c r="S1470" s="42"/>
      <c r="T1470" s="42"/>
      <c r="U1470" s="42"/>
      <c r="V1470" s="42"/>
      <c r="W1470" s="42"/>
    </row>
    <row r="1471">
      <c r="A1471" s="9"/>
      <c r="B1471" s="9"/>
      <c r="C1471" s="9"/>
      <c r="D1471" s="42"/>
      <c r="E1471" s="103"/>
      <c r="F1471" s="42"/>
      <c r="G1471" s="9"/>
      <c r="H1471" s="9"/>
      <c r="I1471" s="9"/>
      <c r="J1471" s="9"/>
      <c r="K1471" s="42"/>
      <c r="L1471" s="42"/>
      <c r="M1471" s="42"/>
      <c r="N1471" s="42"/>
      <c r="O1471" s="42"/>
      <c r="P1471" s="9"/>
      <c r="Q1471" s="9"/>
      <c r="R1471" s="42"/>
      <c r="S1471" s="42"/>
      <c r="T1471" s="42"/>
      <c r="U1471" s="42"/>
      <c r="V1471" s="42"/>
      <c r="W1471" s="42"/>
    </row>
    <row r="1472">
      <c r="A1472" s="9"/>
      <c r="B1472" s="9"/>
      <c r="C1472" s="9"/>
      <c r="D1472" s="42"/>
      <c r="E1472" s="103"/>
      <c r="F1472" s="42"/>
      <c r="G1472" s="9"/>
      <c r="H1472" s="9"/>
      <c r="I1472" s="9"/>
      <c r="J1472" s="9"/>
      <c r="K1472" s="42"/>
      <c r="L1472" s="42"/>
      <c r="M1472" s="42"/>
      <c r="N1472" s="42"/>
      <c r="O1472" s="42"/>
      <c r="P1472" s="9"/>
      <c r="Q1472" s="9"/>
      <c r="R1472" s="42"/>
      <c r="S1472" s="42"/>
      <c r="T1472" s="42"/>
      <c r="U1472" s="42"/>
      <c r="V1472" s="42"/>
      <c r="W1472" s="42"/>
    </row>
    <row r="1473">
      <c r="A1473" s="9"/>
      <c r="B1473" s="9"/>
      <c r="C1473" s="9"/>
      <c r="D1473" s="42"/>
      <c r="E1473" s="103"/>
      <c r="F1473" s="42"/>
      <c r="G1473" s="9"/>
      <c r="H1473" s="9"/>
      <c r="I1473" s="9"/>
      <c r="J1473" s="9"/>
      <c r="K1473" s="42"/>
      <c r="L1473" s="42"/>
      <c r="M1473" s="42"/>
      <c r="N1473" s="42"/>
      <c r="O1473" s="42"/>
      <c r="P1473" s="9"/>
      <c r="Q1473" s="9"/>
      <c r="R1473" s="42"/>
      <c r="S1473" s="42"/>
      <c r="T1473" s="42"/>
      <c r="U1473" s="42"/>
      <c r="V1473" s="42"/>
      <c r="W1473" s="42"/>
    </row>
    <row r="1474">
      <c r="A1474" s="9"/>
      <c r="B1474" s="9"/>
      <c r="C1474" s="9"/>
      <c r="D1474" s="42"/>
      <c r="E1474" s="103"/>
      <c r="F1474" s="42"/>
      <c r="G1474" s="9"/>
      <c r="H1474" s="9"/>
      <c r="I1474" s="9"/>
      <c r="J1474" s="9"/>
      <c r="K1474" s="42"/>
      <c r="L1474" s="42"/>
      <c r="M1474" s="42"/>
      <c r="N1474" s="42"/>
      <c r="O1474" s="42"/>
      <c r="P1474" s="9"/>
      <c r="Q1474" s="9"/>
      <c r="R1474" s="42"/>
      <c r="S1474" s="42"/>
      <c r="T1474" s="42"/>
      <c r="U1474" s="42"/>
      <c r="V1474" s="42"/>
      <c r="W1474" s="42"/>
    </row>
    <row r="1475">
      <c r="A1475" s="9"/>
      <c r="B1475" s="9"/>
      <c r="C1475" s="9"/>
      <c r="D1475" s="42"/>
      <c r="E1475" s="103"/>
      <c r="F1475" s="42"/>
      <c r="G1475" s="9"/>
      <c r="H1475" s="9"/>
      <c r="I1475" s="9"/>
      <c r="J1475" s="9"/>
      <c r="K1475" s="42"/>
      <c r="L1475" s="42"/>
      <c r="M1475" s="42"/>
      <c r="N1475" s="42"/>
      <c r="O1475" s="42"/>
      <c r="P1475" s="9"/>
      <c r="Q1475" s="9"/>
      <c r="R1475" s="42"/>
      <c r="S1475" s="42"/>
      <c r="T1475" s="42"/>
      <c r="U1475" s="42"/>
      <c r="V1475" s="42"/>
      <c r="W1475" s="42"/>
    </row>
    <row r="1476">
      <c r="A1476" s="9"/>
      <c r="B1476" s="9"/>
      <c r="C1476" s="9"/>
      <c r="D1476" s="42"/>
      <c r="E1476" s="103"/>
      <c r="F1476" s="42"/>
      <c r="G1476" s="9"/>
      <c r="H1476" s="9"/>
      <c r="I1476" s="9"/>
      <c r="J1476" s="9"/>
      <c r="K1476" s="42"/>
      <c r="L1476" s="42"/>
      <c r="M1476" s="42"/>
      <c r="N1476" s="42"/>
      <c r="O1476" s="42"/>
      <c r="P1476" s="9"/>
      <c r="Q1476" s="9"/>
      <c r="R1476" s="42"/>
      <c r="S1476" s="42"/>
      <c r="T1476" s="42"/>
      <c r="U1476" s="42"/>
      <c r="V1476" s="42"/>
      <c r="W1476" s="42"/>
    </row>
    <row r="1477">
      <c r="A1477" s="9"/>
      <c r="B1477" s="9"/>
      <c r="C1477" s="9"/>
      <c r="D1477" s="42"/>
      <c r="E1477" s="103"/>
      <c r="F1477" s="42"/>
      <c r="G1477" s="9"/>
      <c r="H1477" s="9"/>
      <c r="I1477" s="9"/>
      <c r="J1477" s="9"/>
      <c r="K1477" s="42"/>
      <c r="L1477" s="42"/>
      <c r="M1477" s="42"/>
      <c r="N1477" s="42"/>
      <c r="O1477" s="42"/>
      <c r="P1477" s="9"/>
      <c r="Q1477" s="9"/>
      <c r="R1477" s="42"/>
      <c r="S1477" s="42"/>
      <c r="T1477" s="42"/>
      <c r="U1477" s="42"/>
      <c r="V1477" s="42"/>
      <c r="W1477" s="42"/>
    </row>
    <row r="1478">
      <c r="A1478" s="9"/>
      <c r="B1478" s="9"/>
      <c r="C1478" s="9"/>
      <c r="D1478" s="42"/>
      <c r="E1478" s="103"/>
      <c r="F1478" s="42"/>
      <c r="G1478" s="9"/>
      <c r="H1478" s="9"/>
      <c r="I1478" s="9"/>
      <c r="J1478" s="9"/>
      <c r="K1478" s="42"/>
      <c r="L1478" s="42"/>
      <c r="M1478" s="42"/>
      <c r="N1478" s="42"/>
      <c r="O1478" s="42"/>
      <c r="P1478" s="9"/>
      <c r="Q1478" s="9"/>
      <c r="R1478" s="42"/>
      <c r="S1478" s="42"/>
      <c r="T1478" s="42"/>
      <c r="U1478" s="42"/>
      <c r="V1478" s="42"/>
      <c r="W1478" s="42"/>
    </row>
    <row r="1479">
      <c r="A1479" s="9"/>
      <c r="B1479" s="9"/>
      <c r="C1479" s="9"/>
      <c r="D1479" s="42"/>
      <c r="E1479" s="103"/>
      <c r="F1479" s="42"/>
      <c r="G1479" s="9"/>
      <c r="H1479" s="9"/>
      <c r="I1479" s="9"/>
      <c r="J1479" s="9"/>
      <c r="K1479" s="42"/>
      <c r="L1479" s="42"/>
      <c r="M1479" s="42"/>
      <c r="N1479" s="42"/>
      <c r="O1479" s="42"/>
      <c r="P1479" s="9"/>
      <c r="Q1479" s="9"/>
      <c r="R1479" s="42"/>
      <c r="S1479" s="42"/>
      <c r="T1479" s="42"/>
      <c r="U1479" s="42"/>
      <c r="V1479" s="42"/>
      <c r="W1479" s="42"/>
    </row>
    <row r="1480">
      <c r="A1480" s="9"/>
      <c r="B1480" s="9"/>
      <c r="C1480" s="9"/>
      <c r="D1480" s="42"/>
      <c r="E1480" s="103"/>
      <c r="F1480" s="42"/>
      <c r="G1480" s="9"/>
      <c r="H1480" s="9"/>
      <c r="I1480" s="9"/>
      <c r="J1480" s="9"/>
      <c r="K1480" s="42"/>
      <c r="L1480" s="42"/>
      <c r="M1480" s="42"/>
      <c r="N1480" s="42"/>
      <c r="O1480" s="42"/>
      <c r="P1480" s="9"/>
      <c r="Q1480" s="9"/>
      <c r="R1480" s="42"/>
      <c r="S1480" s="42"/>
      <c r="T1480" s="42"/>
      <c r="U1480" s="42"/>
      <c r="V1480" s="42"/>
      <c r="W1480" s="42"/>
    </row>
    <row r="1481">
      <c r="A1481" s="9"/>
      <c r="B1481" s="9"/>
      <c r="C1481" s="9"/>
      <c r="D1481" s="42"/>
      <c r="E1481" s="103"/>
      <c r="F1481" s="42"/>
      <c r="G1481" s="9"/>
      <c r="H1481" s="9"/>
      <c r="I1481" s="9"/>
      <c r="J1481" s="9"/>
      <c r="K1481" s="42"/>
      <c r="L1481" s="42"/>
      <c r="M1481" s="42"/>
      <c r="N1481" s="42"/>
      <c r="O1481" s="42"/>
      <c r="P1481" s="9"/>
      <c r="Q1481" s="9"/>
      <c r="R1481" s="42"/>
      <c r="S1481" s="42"/>
      <c r="T1481" s="42"/>
      <c r="U1481" s="42"/>
      <c r="V1481" s="42"/>
      <c r="W1481" s="42"/>
    </row>
    <row r="1482">
      <c r="A1482" s="9"/>
      <c r="B1482" s="9"/>
      <c r="C1482" s="9"/>
      <c r="D1482" s="42"/>
      <c r="E1482" s="103"/>
      <c r="F1482" s="42"/>
      <c r="G1482" s="9"/>
      <c r="H1482" s="9"/>
      <c r="I1482" s="9"/>
      <c r="J1482" s="9"/>
      <c r="K1482" s="42"/>
      <c r="L1482" s="42"/>
      <c r="M1482" s="42"/>
      <c r="N1482" s="42"/>
      <c r="O1482" s="42"/>
      <c r="P1482" s="9"/>
      <c r="Q1482" s="9"/>
      <c r="R1482" s="42"/>
      <c r="S1482" s="42"/>
      <c r="T1482" s="42"/>
      <c r="U1482" s="42"/>
      <c r="V1482" s="42"/>
      <c r="W1482" s="42"/>
    </row>
    <row r="1483">
      <c r="A1483" s="9"/>
      <c r="B1483" s="9"/>
      <c r="C1483" s="9"/>
      <c r="D1483" s="42"/>
      <c r="E1483" s="103"/>
      <c r="F1483" s="42"/>
      <c r="G1483" s="9"/>
      <c r="H1483" s="9"/>
      <c r="I1483" s="9"/>
      <c r="J1483" s="9"/>
      <c r="K1483" s="42"/>
      <c r="L1483" s="42"/>
      <c r="M1483" s="42"/>
      <c r="N1483" s="42"/>
      <c r="O1483" s="42"/>
      <c r="P1483" s="9"/>
      <c r="Q1483" s="9"/>
      <c r="R1483" s="42"/>
      <c r="S1483" s="42"/>
      <c r="T1483" s="42"/>
      <c r="U1483" s="42"/>
      <c r="V1483" s="42"/>
      <c r="W1483" s="42"/>
    </row>
    <row r="1484">
      <c r="A1484" s="9"/>
      <c r="B1484" s="9"/>
      <c r="C1484" s="9"/>
      <c r="D1484" s="42"/>
      <c r="E1484" s="103"/>
      <c r="F1484" s="42"/>
      <c r="G1484" s="9"/>
      <c r="H1484" s="9"/>
      <c r="I1484" s="9"/>
      <c r="J1484" s="9"/>
      <c r="K1484" s="42"/>
      <c r="L1484" s="42"/>
      <c r="M1484" s="42"/>
      <c r="N1484" s="42"/>
      <c r="O1484" s="42"/>
      <c r="P1484" s="9"/>
      <c r="Q1484" s="9"/>
      <c r="R1484" s="42"/>
      <c r="S1484" s="42"/>
      <c r="T1484" s="42"/>
      <c r="U1484" s="42"/>
      <c r="V1484" s="42"/>
      <c r="W1484" s="42"/>
    </row>
    <row r="1485">
      <c r="A1485" s="9"/>
      <c r="B1485" s="9"/>
      <c r="C1485" s="9"/>
      <c r="D1485" s="42"/>
      <c r="E1485" s="103"/>
      <c r="F1485" s="42"/>
      <c r="G1485" s="9"/>
      <c r="H1485" s="9"/>
      <c r="I1485" s="9"/>
      <c r="J1485" s="9"/>
      <c r="K1485" s="42"/>
      <c r="L1485" s="42"/>
      <c r="M1485" s="42"/>
      <c r="N1485" s="42"/>
      <c r="O1485" s="42"/>
      <c r="P1485" s="9"/>
      <c r="Q1485" s="9"/>
      <c r="R1485" s="42"/>
      <c r="S1485" s="42"/>
      <c r="T1485" s="42"/>
      <c r="U1485" s="42"/>
      <c r="V1485" s="42"/>
      <c r="W1485" s="42"/>
    </row>
    <row r="1486">
      <c r="A1486" s="9"/>
      <c r="B1486" s="9"/>
      <c r="C1486" s="9"/>
      <c r="D1486" s="42"/>
      <c r="E1486" s="103"/>
      <c r="F1486" s="42"/>
      <c r="G1486" s="9"/>
      <c r="H1486" s="9"/>
      <c r="I1486" s="9"/>
      <c r="J1486" s="9"/>
      <c r="K1486" s="42"/>
      <c r="L1486" s="42"/>
      <c r="M1486" s="42"/>
      <c r="N1486" s="42"/>
      <c r="O1486" s="42"/>
      <c r="P1486" s="9"/>
      <c r="Q1486" s="9"/>
      <c r="R1486" s="42"/>
      <c r="S1486" s="42"/>
      <c r="T1486" s="42"/>
      <c r="U1486" s="42"/>
      <c r="V1486" s="42"/>
      <c r="W1486" s="42"/>
    </row>
    <row r="1487">
      <c r="A1487" s="9"/>
      <c r="B1487" s="9"/>
      <c r="C1487" s="9"/>
      <c r="D1487" s="42"/>
      <c r="E1487" s="103"/>
      <c r="F1487" s="42"/>
      <c r="G1487" s="9"/>
      <c r="H1487" s="9"/>
      <c r="I1487" s="9"/>
      <c r="J1487" s="9"/>
      <c r="K1487" s="42"/>
      <c r="L1487" s="42"/>
      <c r="M1487" s="42"/>
      <c r="N1487" s="42"/>
      <c r="O1487" s="42"/>
      <c r="P1487" s="9"/>
      <c r="Q1487" s="9"/>
      <c r="R1487" s="42"/>
      <c r="S1487" s="42"/>
      <c r="T1487" s="42"/>
      <c r="U1487" s="42"/>
      <c r="V1487" s="42"/>
      <c r="W1487" s="42"/>
    </row>
    <row r="1488">
      <c r="A1488" s="9"/>
      <c r="B1488" s="9"/>
      <c r="C1488" s="9"/>
      <c r="D1488" s="42"/>
      <c r="E1488" s="103"/>
      <c r="F1488" s="42"/>
      <c r="G1488" s="9"/>
      <c r="H1488" s="9"/>
      <c r="I1488" s="9"/>
      <c r="J1488" s="9"/>
      <c r="K1488" s="42"/>
      <c r="L1488" s="42"/>
      <c r="M1488" s="42"/>
      <c r="N1488" s="42"/>
      <c r="O1488" s="42"/>
      <c r="P1488" s="9"/>
      <c r="Q1488" s="9"/>
      <c r="R1488" s="42"/>
      <c r="S1488" s="42"/>
      <c r="T1488" s="42"/>
      <c r="U1488" s="42"/>
      <c r="V1488" s="42"/>
      <c r="W1488" s="42"/>
    </row>
    <row r="1489">
      <c r="A1489" s="9"/>
      <c r="B1489" s="9"/>
      <c r="C1489" s="9"/>
      <c r="D1489" s="42"/>
      <c r="E1489" s="103"/>
      <c r="F1489" s="42"/>
      <c r="G1489" s="9"/>
      <c r="H1489" s="9"/>
      <c r="I1489" s="9"/>
      <c r="J1489" s="9"/>
      <c r="K1489" s="42"/>
      <c r="L1489" s="42"/>
      <c r="M1489" s="42"/>
      <c r="N1489" s="42"/>
      <c r="O1489" s="42"/>
      <c r="P1489" s="9"/>
      <c r="Q1489" s="9"/>
      <c r="R1489" s="42"/>
      <c r="S1489" s="42"/>
      <c r="T1489" s="42"/>
      <c r="U1489" s="42"/>
      <c r="V1489" s="42"/>
      <c r="W1489" s="42"/>
    </row>
    <row r="1490">
      <c r="A1490" s="9"/>
      <c r="B1490" s="9"/>
      <c r="C1490" s="9"/>
      <c r="D1490" s="42"/>
      <c r="E1490" s="103"/>
      <c r="F1490" s="42"/>
      <c r="G1490" s="9"/>
      <c r="H1490" s="9"/>
      <c r="I1490" s="9"/>
      <c r="J1490" s="9"/>
      <c r="K1490" s="42"/>
      <c r="L1490" s="42"/>
      <c r="M1490" s="42"/>
      <c r="N1490" s="42"/>
      <c r="O1490" s="42"/>
      <c r="P1490" s="9"/>
      <c r="Q1490" s="9"/>
      <c r="R1490" s="42"/>
      <c r="S1490" s="42"/>
      <c r="T1490" s="42"/>
      <c r="U1490" s="42"/>
      <c r="V1490" s="42"/>
      <c r="W1490" s="42"/>
    </row>
    <row r="1491">
      <c r="A1491" s="9"/>
      <c r="B1491" s="9"/>
      <c r="C1491" s="9"/>
      <c r="D1491" s="42"/>
      <c r="E1491" s="103"/>
      <c r="F1491" s="42"/>
      <c r="G1491" s="9"/>
      <c r="H1491" s="9"/>
      <c r="I1491" s="9"/>
      <c r="J1491" s="9"/>
      <c r="K1491" s="42"/>
      <c r="L1491" s="42"/>
      <c r="M1491" s="42"/>
      <c r="N1491" s="42"/>
      <c r="O1491" s="42"/>
      <c r="P1491" s="9"/>
      <c r="Q1491" s="9"/>
      <c r="R1491" s="42"/>
      <c r="S1491" s="42"/>
      <c r="T1491" s="42"/>
      <c r="U1491" s="42"/>
      <c r="V1491" s="42"/>
      <c r="W1491" s="42"/>
    </row>
    <row r="1492">
      <c r="A1492" s="9"/>
      <c r="B1492" s="9"/>
      <c r="C1492" s="9"/>
      <c r="D1492" s="42"/>
      <c r="E1492" s="103"/>
      <c r="F1492" s="42"/>
      <c r="G1492" s="9"/>
      <c r="H1492" s="9"/>
      <c r="I1492" s="9"/>
      <c r="J1492" s="9"/>
      <c r="K1492" s="42"/>
      <c r="L1492" s="42"/>
      <c r="M1492" s="42"/>
      <c r="N1492" s="42"/>
      <c r="O1492" s="42"/>
      <c r="P1492" s="9"/>
      <c r="Q1492" s="9"/>
      <c r="R1492" s="42"/>
      <c r="S1492" s="42"/>
      <c r="T1492" s="42"/>
      <c r="U1492" s="42"/>
      <c r="V1492" s="42"/>
      <c r="W1492" s="42"/>
    </row>
    <row r="1493">
      <c r="A1493" s="9"/>
      <c r="B1493" s="9"/>
      <c r="C1493" s="9"/>
      <c r="D1493" s="42"/>
      <c r="E1493" s="103"/>
      <c r="F1493" s="42"/>
      <c r="G1493" s="9"/>
      <c r="H1493" s="9"/>
      <c r="I1493" s="9"/>
      <c r="J1493" s="9"/>
      <c r="K1493" s="42"/>
      <c r="L1493" s="42"/>
      <c r="M1493" s="42"/>
      <c r="N1493" s="42"/>
      <c r="O1493" s="42"/>
      <c r="P1493" s="9"/>
      <c r="Q1493" s="9"/>
      <c r="R1493" s="42"/>
      <c r="S1493" s="42"/>
      <c r="T1493" s="42"/>
      <c r="U1493" s="42"/>
      <c r="V1493" s="42"/>
      <c r="W1493" s="42"/>
    </row>
    <row r="1494">
      <c r="A1494" s="9"/>
      <c r="B1494" s="9"/>
      <c r="C1494" s="9"/>
      <c r="D1494" s="42"/>
      <c r="E1494" s="103"/>
      <c r="F1494" s="42"/>
      <c r="G1494" s="9"/>
      <c r="H1494" s="9"/>
      <c r="I1494" s="9"/>
      <c r="J1494" s="9"/>
      <c r="K1494" s="42"/>
      <c r="L1494" s="42"/>
      <c r="M1494" s="42"/>
      <c r="N1494" s="42"/>
      <c r="O1494" s="42"/>
      <c r="P1494" s="9"/>
      <c r="Q1494" s="9"/>
      <c r="R1494" s="42"/>
      <c r="S1494" s="42"/>
      <c r="T1494" s="42"/>
      <c r="U1494" s="42"/>
      <c r="V1494" s="42"/>
      <c r="W1494" s="42"/>
    </row>
    <row r="1495">
      <c r="A1495" s="9"/>
      <c r="B1495" s="9"/>
      <c r="C1495" s="9"/>
      <c r="D1495" s="42"/>
      <c r="E1495" s="103"/>
      <c r="F1495" s="42"/>
      <c r="G1495" s="9"/>
      <c r="H1495" s="9"/>
      <c r="I1495" s="9"/>
      <c r="J1495" s="9"/>
      <c r="K1495" s="42"/>
      <c r="L1495" s="42"/>
      <c r="M1495" s="42"/>
      <c r="N1495" s="42"/>
      <c r="O1495" s="42"/>
      <c r="P1495" s="9"/>
      <c r="Q1495" s="9"/>
      <c r="R1495" s="42"/>
      <c r="S1495" s="42"/>
      <c r="T1495" s="42"/>
      <c r="U1495" s="42"/>
      <c r="V1495" s="42"/>
      <c r="W1495" s="42"/>
    </row>
    <row r="1496">
      <c r="A1496" s="9"/>
      <c r="B1496" s="9"/>
      <c r="C1496" s="9"/>
      <c r="D1496" s="42"/>
      <c r="E1496" s="103"/>
      <c r="F1496" s="42"/>
      <c r="G1496" s="9"/>
      <c r="H1496" s="9"/>
      <c r="I1496" s="9"/>
      <c r="J1496" s="9"/>
      <c r="K1496" s="42"/>
      <c r="L1496" s="42"/>
      <c r="M1496" s="42"/>
      <c r="N1496" s="42"/>
      <c r="O1496" s="42"/>
      <c r="P1496" s="9"/>
      <c r="Q1496" s="9"/>
      <c r="R1496" s="42"/>
      <c r="S1496" s="42"/>
      <c r="T1496" s="42"/>
      <c r="U1496" s="42"/>
      <c r="V1496" s="42"/>
      <c r="W1496" s="42"/>
    </row>
    <row r="1497">
      <c r="A1497" s="9"/>
      <c r="B1497" s="9"/>
      <c r="C1497" s="9"/>
      <c r="D1497" s="42"/>
      <c r="E1497" s="103"/>
      <c r="F1497" s="42"/>
      <c r="G1497" s="9"/>
      <c r="H1497" s="9"/>
      <c r="I1497" s="9"/>
      <c r="J1497" s="9"/>
      <c r="K1497" s="42"/>
      <c r="L1497" s="42"/>
      <c r="M1497" s="42"/>
      <c r="N1497" s="42"/>
      <c r="O1497" s="42"/>
      <c r="P1497" s="9"/>
      <c r="Q1497" s="9"/>
      <c r="R1497" s="42"/>
      <c r="S1497" s="42"/>
      <c r="T1497" s="42"/>
      <c r="U1497" s="42"/>
      <c r="V1497" s="42"/>
      <c r="W1497" s="42"/>
    </row>
    <row r="1498">
      <c r="A1498" s="9"/>
      <c r="B1498" s="9"/>
      <c r="C1498" s="9"/>
      <c r="D1498" s="42"/>
      <c r="E1498" s="103"/>
      <c r="F1498" s="42"/>
      <c r="G1498" s="9"/>
      <c r="H1498" s="9"/>
      <c r="I1498" s="9"/>
      <c r="J1498" s="9"/>
      <c r="K1498" s="42"/>
      <c r="L1498" s="42"/>
      <c r="M1498" s="42"/>
      <c r="N1498" s="42"/>
      <c r="O1498" s="42"/>
      <c r="P1498" s="9"/>
      <c r="Q1498" s="9"/>
      <c r="R1498" s="42"/>
      <c r="S1498" s="42"/>
      <c r="T1498" s="42"/>
      <c r="U1498" s="42"/>
      <c r="V1498" s="42"/>
      <c r="W1498" s="42"/>
    </row>
    <row r="1499">
      <c r="A1499" s="9"/>
      <c r="B1499" s="9"/>
      <c r="C1499" s="9"/>
      <c r="D1499" s="42"/>
      <c r="E1499" s="103"/>
      <c r="F1499" s="42"/>
      <c r="G1499" s="9"/>
      <c r="H1499" s="9"/>
      <c r="I1499" s="9"/>
      <c r="J1499" s="9"/>
      <c r="K1499" s="42"/>
      <c r="L1499" s="42"/>
      <c r="M1499" s="42"/>
      <c r="N1499" s="42"/>
      <c r="O1499" s="42"/>
      <c r="P1499" s="9"/>
      <c r="Q1499" s="9"/>
      <c r="R1499" s="42"/>
      <c r="S1499" s="42"/>
      <c r="T1499" s="42"/>
      <c r="U1499" s="42"/>
      <c r="V1499" s="42"/>
      <c r="W1499" s="42"/>
    </row>
    <row r="1500">
      <c r="A1500" s="9"/>
      <c r="B1500" s="9"/>
      <c r="C1500" s="9"/>
      <c r="D1500" s="42"/>
      <c r="E1500" s="103"/>
      <c r="F1500" s="42"/>
      <c r="G1500" s="9"/>
      <c r="H1500" s="9"/>
      <c r="I1500" s="9"/>
      <c r="J1500" s="9"/>
      <c r="K1500" s="42"/>
      <c r="L1500" s="42"/>
      <c r="M1500" s="42"/>
      <c r="N1500" s="42"/>
      <c r="O1500" s="42"/>
      <c r="P1500" s="9"/>
      <c r="Q1500" s="9"/>
      <c r="R1500" s="42"/>
      <c r="S1500" s="42"/>
      <c r="T1500" s="42"/>
      <c r="U1500" s="42"/>
      <c r="V1500" s="42"/>
      <c r="W1500" s="42"/>
    </row>
    <row r="1501">
      <c r="A1501" s="9"/>
      <c r="B1501" s="9"/>
      <c r="C1501" s="9"/>
      <c r="D1501" s="42"/>
      <c r="E1501" s="103"/>
      <c r="F1501" s="42"/>
      <c r="G1501" s="9"/>
      <c r="H1501" s="9"/>
      <c r="I1501" s="9"/>
      <c r="J1501" s="9"/>
      <c r="K1501" s="42"/>
      <c r="L1501" s="42"/>
      <c r="M1501" s="42"/>
      <c r="N1501" s="42"/>
      <c r="O1501" s="42"/>
      <c r="P1501" s="9"/>
      <c r="Q1501" s="9"/>
      <c r="R1501" s="42"/>
      <c r="S1501" s="42"/>
      <c r="T1501" s="42"/>
      <c r="U1501" s="42"/>
      <c r="V1501" s="42"/>
      <c r="W1501" s="42"/>
    </row>
    <row r="1502">
      <c r="A1502" s="9"/>
      <c r="B1502" s="9"/>
      <c r="C1502" s="9"/>
      <c r="D1502" s="42"/>
      <c r="E1502" s="103"/>
      <c r="F1502" s="42"/>
      <c r="G1502" s="9"/>
      <c r="H1502" s="9"/>
      <c r="I1502" s="9"/>
      <c r="J1502" s="9"/>
      <c r="K1502" s="42"/>
      <c r="L1502" s="42"/>
      <c r="M1502" s="42"/>
      <c r="N1502" s="42"/>
      <c r="O1502" s="42"/>
      <c r="P1502" s="9"/>
      <c r="Q1502" s="9"/>
      <c r="R1502" s="42"/>
      <c r="S1502" s="42"/>
      <c r="T1502" s="42"/>
      <c r="U1502" s="42"/>
      <c r="V1502" s="42"/>
      <c r="W1502" s="42"/>
    </row>
    <row r="1503">
      <c r="A1503" s="9"/>
      <c r="B1503" s="9"/>
      <c r="C1503" s="9"/>
      <c r="D1503" s="42"/>
      <c r="E1503" s="103"/>
      <c r="F1503" s="42"/>
      <c r="G1503" s="9"/>
      <c r="H1503" s="9"/>
      <c r="I1503" s="9"/>
      <c r="J1503" s="9"/>
      <c r="K1503" s="42"/>
      <c r="L1503" s="42"/>
      <c r="M1503" s="42"/>
      <c r="N1503" s="42"/>
      <c r="O1503" s="42"/>
      <c r="P1503" s="9"/>
      <c r="Q1503" s="9"/>
      <c r="R1503" s="42"/>
      <c r="S1503" s="42"/>
      <c r="T1503" s="42"/>
      <c r="U1503" s="42"/>
      <c r="V1503" s="42"/>
      <c r="W1503" s="42"/>
    </row>
    <row r="1504">
      <c r="A1504" s="9"/>
      <c r="B1504" s="9"/>
      <c r="C1504" s="9"/>
      <c r="D1504" s="42"/>
      <c r="E1504" s="103"/>
      <c r="F1504" s="42"/>
      <c r="G1504" s="9"/>
      <c r="H1504" s="9"/>
      <c r="I1504" s="9"/>
      <c r="J1504" s="9"/>
      <c r="K1504" s="42"/>
      <c r="L1504" s="42"/>
      <c r="M1504" s="42"/>
      <c r="N1504" s="42"/>
      <c r="O1504" s="42"/>
      <c r="P1504" s="9"/>
      <c r="Q1504" s="9"/>
      <c r="R1504" s="42"/>
      <c r="S1504" s="42"/>
      <c r="T1504" s="42"/>
      <c r="U1504" s="42"/>
      <c r="V1504" s="42"/>
      <c r="W1504" s="42"/>
    </row>
    <row r="1505">
      <c r="A1505" s="9"/>
      <c r="B1505" s="9"/>
      <c r="C1505" s="9"/>
      <c r="D1505" s="42"/>
      <c r="E1505" s="103"/>
      <c r="F1505" s="42"/>
      <c r="G1505" s="9"/>
      <c r="H1505" s="9"/>
      <c r="I1505" s="9"/>
      <c r="J1505" s="9"/>
      <c r="K1505" s="42"/>
      <c r="L1505" s="42"/>
      <c r="M1505" s="42"/>
      <c r="N1505" s="42"/>
      <c r="O1505" s="42"/>
      <c r="P1505" s="9"/>
      <c r="Q1505" s="9"/>
      <c r="R1505" s="42"/>
      <c r="S1505" s="42"/>
      <c r="T1505" s="42"/>
      <c r="U1505" s="42"/>
      <c r="V1505" s="42"/>
      <c r="W1505" s="42"/>
    </row>
    <row r="1506">
      <c r="A1506" s="9"/>
      <c r="B1506" s="9"/>
      <c r="C1506" s="9"/>
      <c r="D1506" s="42"/>
      <c r="E1506" s="103"/>
      <c r="F1506" s="42"/>
      <c r="G1506" s="9"/>
      <c r="H1506" s="9"/>
      <c r="I1506" s="9"/>
      <c r="J1506" s="9"/>
      <c r="K1506" s="42"/>
      <c r="L1506" s="42"/>
      <c r="M1506" s="42"/>
      <c r="N1506" s="42"/>
      <c r="O1506" s="42"/>
      <c r="P1506" s="9"/>
      <c r="Q1506" s="9"/>
      <c r="R1506" s="42"/>
      <c r="S1506" s="42"/>
      <c r="T1506" s="42"/>
      <c r="U1506" s="42"/>
      <c r="V1506" s="42"/>
      <c r="W1506" s="42"/>
    </row>
    <row r="1507">
      <c r="A1507" s="9"/>
      <c r="B1507" s="9"/>
      <c r="C1507" s="9"/>
      <c r="D1507" s="42"/>
      <c r="E1507" s="103"/>
      <c r="F1507" s="42"/>
      <c r="G1507" s="9"/>
      <c r="H1507" s="9"/>
      <c r="I1507" s="9"/>
      <c r="J1507" s="9"/>
      <c r="K1507" s="42"/>
      <c r="L1507" s="42"/>
      <c r="M1507" s="42"/>
      <c r="N1507" s="42"/>
      <c r="O1507" s="42"/>
      <c r="P1507" s="9"/>
      <c r="Q1507" s="9"/>
      <c r="R1507" s="42"/>
      <c r="S1507" s="42"/>
      <c r="T1507" s="42"/>
      <c r="U1507" s="42"/>
      <c r="V1507" s="42"/>
      <c r="W1507" s="42"/>
    </row>
    <row r="1508">
      <c r="A1508" s="9"/>
      <c r="B1508" s="9"/>
      <c r="C1508" s="9"/>
      <c r="D1508" s="42"/>
      <c r="E1508" s="103"/>
      <c r="F1508" s="42"/>
      <c r="G1508" s="9"/>
      <c r="H1508" s="9"/>
      <c r="I1508" s="9"/>
      <c r="J1508" s="9"/>
      <c r="K1508" s="42"/>
      <c r="L1508" s="42"/>
      <c r="M1508" s="42"/>
      <c r="N1508" s="42"/>
      <c r="O1508" s="42"/>
      <c r="P1508" s="9"/>
      <c r="Q1508" s="9"/>
      <c r="R1508" s="42"/>
      <c r="S1508" s="42"/>
      <c r="T1508" s="42"/>
      <c r="U1508" s="42"/>
      <c r="V1508" s="42"/>
      <c r="W1508" s="42"/>
    </row>
    <row r="1509">
      <c r="A1509" s="9"/>
      <c r="B1509" s="9"/>
      <c r="C1509" s="9"/>
      <c r="D1509" s="42"/>
      <c r="E1509" s="103"/>
      <c r="F1509" s="42"/>
      <c r="G1509" s="9"/>
      <c r="H1509" s="9"/>
      <c r="I1509" s="9"/>
      <c r="J1509" s="9"/>
      <c r="K1509" s="42"/>
      <c r="L1509" s="42"/>
      <c r="M1509" s="42"/>
      <c r="N1509" s="42"/>
      <c r="O1509" s="42"/>
      <c r="P1509" s="9"/>
      <c r="Q1509" s="9"/>
      <c r="R1509" s="42"/>
      <c r="S1509" s="42"/>
      <c r="T1509" s="42"/>
      <c r="U1509" s="42"/>
      <c r="V1509" s="42"/>
      <c r="W1509" s="42"/>
    </row>
    <row r="1510">
      <c r="A1510" s="9"/>
      <c r="B1510" s="9"/>
      <c r="C1510" s="9"/>
      <c r="D1510" s="42"/>
      <c r="E1510" s="103"/>
      <c r="F1510" s="42"/>
      <c r="G1510" s="9"/>
      <c r="H1510" s="9"/>
      <c r="I1510" s="9"/>
      <c r="J1510" s="9"/>
      <c r="K1510" s="42"/>
      <c r="L1510" s="42"/>
      <c r="M1510" s="42"/>
      <c r="N1510" s="42"/>
      <c r="O1510" s="42"/>
      <c r="P1510" s="9"/>
      <c r="Q1510" s="9"/>
      <c r="R1510" s="42"/>
      <c r="S1510" s="42"/>
      <c r="T1510" s="42"/>
      <c r="U1510" s="42"/>
      <c r="V1510" s="42"/>
      <c r="W1510" s="42"/>
    </row>
    <row r="1511">
      <c r="A1511" s="9"/>
      <c r="B1511" s="9"/>
      <c r="C1511" s="9"/>
      <c r="D1511" s="42"/>
      <c r="E1511" s="103"/>
      <c r="F1511" s="42"/>
      <c r="G1511" s="9"/>
      <c r="H1511" s="9"/>
      <c r="I1511" s="9"/>
      <c r="J1511" s="9"/>
      <c r="K1511" s="42"/>
      <c r="L1511" s="42"/>
      <c r="M1511" s="42"/>
      <c r="N1511" s="42"/>
      <c r="O1511" s="42"/>
      <c r="P1511" s="9"/>
      <c r="Q1511" s="9"/>
      <c r="R1511" s="42"/>
      <c r="S1511" s="42"/>
      <c r="T1511" s="42"/>
      <c r="U1511" s="42"/>
      <c r="V1511" s="42"/>
      <c r="W1511" s="42"/>
    </row>
    <row r="1512">
      <c r="A1512" s="9"/>
      <c r="B1512" s="9"/>
      <c r="C1512" s="9"/>
      <c r="D1512" s="42"/>
      <c r="E1512" s="103"/>
      <c r="F1512" s="42"/>
      <c r="G1512" s="9"/>
      <c r="H1512" s="9"/>
      <c r="I1512" s="9"/>
      <c r="J1512" s="9"/>
      <c r="K1512" s="42"/>
      <c r="L1512" s="42"/>
      <c r="M1512" s="42"/>
      <c r="N1512" s="42"/>
      <c r="O1512" s="42"/>
      <c r="P1512" s="9"/>
      <c r="Q1512" s="9"/>
      <c r="R1512" s="42"/>
      <c r="S1512" s="42"/>
      <c r="T1512" s="42"/>
      <c r="U1512" s="42"/>
      <c r="V1512" s="42"/>
      <c r="W1512" s="42"/>
    </row>
    <row r="1513">
      <c r="A1513" s="9"/>
      <c r="B1513" s="9"/>
      <c r="C1513" s="9"/>
      <c r="D1513" s="42"/>
      <c r="E1513" s="103"/>
      <c r="F1513" s="42"/>
      <c r="G1513" s="9"/>
      <c r="H1513" s="9"/>
      <c r="I1513" s="9"/>
      <c r="J1513" s="9"/>
      <c r="K1513" s="42"/>
      <c r="L1513" s="42"/>
      <c r="M1513" s="42"/>
      <c r="N1513" s="42"/>
      <c r="O1513" s="42"/>
      <c r="P1513" s="9"/>
      <c r="Q1513" s="9"/>
      <c r="R1513" s="42"/>
      <c r="S1513" s="42"/>
      <c r="T1513" s="42"/>
      <c r="U1513" s="42"/>
      <c r="V1513" s="42"/>
      <c r="W1513" s="42"/>
    </row>
    <row r="1514">
      <c r="A1514" s="9"/>
      <c r="B1514" s="9"/>
      <c r="C1514" s="9"/>
      <c r="D1514" s="42"/>
      <c r="E1514" s="103"/>
      <c r="F1514" s="42"/>
      <c r="G1514" s="9"/>
      <c r="H1514" s="9"/>
      <c r="I1514" s="9"/>
      <c r="J1514" s="9"/>
      <c r="K1514" s="42"/>
      <c r="L1514" s="42"/>
      <c r="M1514" s="42"/>
      <c r="N1514" s="42"/>
      <c r="O1514" s="42"/>
      <c r="P1514" s="9"/>
      <c r="Q1514" s="9"/>
      <c r="R1514" s="42"/>
      <c r="S1514" s="42"/>
      <c r="T1514" s="42"/>
      <c r="U1514" s="42"/>
      <c r="V1514" s="42"/>
      <c r="W1514" s="42"/>
    </row>
    <row r="1515">
      <c r="A1515" s="9"/>
      <c r="B1515" s="9"/>
      <c r="C1515" s="9"/>
      <c r="D1515" s="42"/>
      <c r="E1515" s="103"/>
      <c r="F1515" s="42"/>
      <c r="G1515" s="9"/>
      <c r="H1515" s="9"/>
      <c r="I1515" s="9"/>
      <c r="J1515" s="9"/>
      <c r="K1515" s="42"/>
      <c r="L1515" s="42"/>
      <c r="M1515" s="42"/>
      <c r="N1515" s="42"/>
      <c r="O1515" s="42"/>
      <c r="P1515" s="9"/>
      <c r="Q1515" s="9"/>
      <c r="R1515" s="42"/>
      <c r="S1515" s="42"/>
      <c r="T1515" s="42"/>
      <c r="U1515" s="42"/>
      <c r="V1515" s="42"/>
      <c r="W1515" s="42"/>
    </row>
    <row r="1516">
      <c r="A1516" s="9"/>
      <c r="B1516" s="9"/>
      <c r="C1516" s="9"/>
      <c r="D1516" s="42"/>
      <c r="E1516" s="103"/>
      <c r="F1516" s="42"/>
      <c r="G1516" s="9"/>
      <c r="H1516" s="9"/>
      <c r="I1516" s="9"/>
      <c r="J1516" s="9"/>
      <c r="K1516" s="42"/>
      <c r="L1516" s="42"/>
      <c r="M1516" s="42"/>
      <c r="N1516" s="42"/>
      <c r="O1516" s="42"/>
      <c r="P1516" s="9"/>
      <c r="Q1516" s="9"/>
      <c r="R1516" s="42"/>
      <c r="S1516" s="42"/>
      <c r="T1516" s="42"/>
      <c r="U1516" s="42"/>
      <c r="V1516" s="42"/>
      <c r="W1516" s="42"/>
    </row>
    <row r="1517">
      <c r="A1517" s="9"/>
      <c r="B1517" s="9"/>
      <c r="C1517" s="9"/>
      <c r="D1517" s="42"/>
      <c r="E1517" s="103"/>
      <c r="F1517" s="42"/>
      <c r="G1517" s="9"/>
      <c r="H1517" s="9"/>
      <c r="I1517" s="9"/>
      <c r="J1517" s="9"/>
      <c r="K1517" s="42"/>
      <c r="L1517" s="42"/>
      <c r="M1517" s="42"/>
      <c r="N1517" s="42"/>
      <c r="O1517" s="42"/>
      <c r="P1517" s="9"/>
      <c r="Q1517" s="9"/>
      <c r="R1517" s="42"/>
      <c r="S1517" s="42"/>
      <c r="T1517" s="42"/>
      <c r="U1517" s="42"/>
      <c r="V1517" s="42"/>
      <c r="W1517" s="42"/>
    </row>
    <row r="1518">
      <c r="A1518" s="9"/>
      <c r="B1518" s="9"/>
      <c r="C1518" s="9"/>
      <c r="D1518" s="42"/>
      <c r="E1518" s="103"/>
      <c r="F1518" s="42"/>
      <c r="G1518" s="9"/>
      <c r="H1518" s="9"/>
      <c r="I1518" s="9"/>
      <c r="J1518" s="9"/>
      <c r="K1518" s="42"/>
      <c r="L1518" s="42"/>
      <c r="M1518" s="42"/>
      <c r="N1518" s="42"/>
      <c r="O1518" s="42"/>
      <c r="P1518" s="9"/>
      <c r="Q1518" s="9"/>
      <c r="R1518" s="42"/>
      <c r="S1518" s="42"/>
      <c r="T1518" s="42"/>
      <c r="U1518" s="42"/>
      <c r="V1518" s="42"/>
      <c r="W1518" s="42"/>
    </row>
    <row r="1519">
      <c r="A1519" s="9"/>
      <c r="B1519" s="9"/>
      <c r="C1519" s="9"/>
      <c r="D1519" s="42"/>
      <c r="E1519" s="103"/>
      <c r="F1519" s="42"/>
      <c r="G1519" s="9"/>
      <c r="H1519" s="9"/>
      <c r="I1519" s="9"/>
      <c r="J1519" s="9"/>
      <c r="K1519" s="42"/>
      <c r="L1519" s="42"/>
      <c r="M1519" s="42"/>
      <c r="N1519" s="42"/>
      <c r="O1519" s="42"/>
      <c r="P1519" s="9"/>
      <c r="Q1519" s="9"/>
      <c r="R1519" s="42"/>
      <c r="S1519" s="42"/>
      <c r="T1519" s="42"/>
      <c r="U1519" s="42"/>
      <c r="V1519" s="42"/>
      <c r="W1519" s="42"/>
    </row>
    <row r="1520">
      <c r="A1520" s="9"/>
      <c r="B1520" s="9"/>
      <c r="C1520" s="9"/>
      <c r="D1520" s="42"/>
      <c r="E1520" s="103"/>
      <c r="F1520" s="42"/>
      <c r="G1520" s="9"/>
      <c r="H1520" s="9"/>
      <c r="I1520" s="9"/>
      <c r="J1520" s="9"/>
      <c r="K1520" s="42"/>
      <c r="L1520" s="42"/>
      <c r="M1520" s="42"/>
      <c r="N1520" s="42"/>
      <c r="O1520" s="42"/>
      <c r="P1520" s="9"/>
      <c r="Q1520" s="9"/>
      <c r="R1520" s="42"/>
      <c r="S1520" s="42"/>
      <c r="T1520" s="42"/>
      <c r="U1520" s="42"/>
      <c r="V1520" s="42"/>
      <c r="W1520" s="42"/>
    </row>
    <row r="1521">
      <c r="A1521" s="9"/>
      <c r="B1521" s="9"/>
      <c r="C1521" s="9"/>
      <c r="D1521" s="42"/>
      <c r="E1521" s="103"/>
      <c r="F1521" s="42"/>
      <c r="G1521" s="9"/>
      <c r="H1521" s="9"/>
      <c r="I1521" s="9"/>
      <c r="J1521" s="9"/>
      <c r="K1521" s="42"/>
      <c r="L1521" s="42"/>
      <c r="M1521" s="42"/>
      <c r="N1521" s="42"/>
      <c r="O1521" s="42"/>
      <c r="P1521" s="9"/>
      <c r="Q1521" s="9"/>
      <c r="R1521" s="42"/>
      <c r="S1521" s="42"/>
      <c r="T1521" s="42"/>
      <c r="U1521" s="42"/>
      <c r="V1521" s="42"/>
      <c r="W1521" s="42"/>
    </row>
    <row r="1522">
      <c r="A1522" s="9"/>
      <c r="B1522" s="9"/>
      <c r="C1522" s="9"/>
      <c r="D1522" s="42"/>
      <c r="E1522" s="103"/>
      <c r="F1522" s="42"/>
      <c r="G1522" s="9"/>
      <c r="H1522" s="9"/>
      <c r="I1522" s="9"/>
      <c r="J1522" s="9"/>
      <c r="K1522" s="42"/>
      <c r="L1522" s="42"/>
      <c r="M1522" s="42"/>
      <c r="N1522" s="42"/>
      <c r="O1522" s="42"/>
      <c r="P1522" s="9"/>
      <c r="Q1522" s="9"/>
      <c r="R1522" s="42"/>
      <c r="S1522" s="42"/>
      <c r="T1522" s="42"/>
      <c r="U1522" s="42"/>
      <c r="V1522" s="42"/>
      <c r="W1522" s="42"/>
    </row>
    <row r="1523">
      <c r="A1523" s="9"/>
      <c r="B1523" s="9"/>
      <c r="C1523" s="9"/>
      <c r="D1523" s="42"/>
      <c r="E1523" s="103"/>
      <c r="F1523" s="42"/>
      <c r="G1523" s="9"/>
      <c r="H1523" s="9"/>
      <c r="I1523" s="9"/>
      <c r="J1523" s="9"/>
      <c r="K1523" s="42"/>
      <c r="L1523" s="42"/>
      <c r="M1523" s="42"/>
      <c r="N1523" s="42"/>
      <c r="O1523" s="42"/>
      <c r="P1523" s="9"/>
      <c r="Q1523" s="9"/>
      <c r="R1523" s="42"/>
      <c r="S1523" s="42"/>
      <c r="T1523" s="42"/>
      <c r="U1523" s="42"/>
      <c r="V1523" s="42"/>
      <c r="W1523" s="42"/>
    </row>
    <row r="1524">
      <c r="A1524" s="9"/>
      <c r="B1524" s="9"/>
      <c r="C1524" s="9"/>
      <c r="D1524" s="42"/>
      <c r="E1524" s="103"/>
      <c r="F1524" s="42"/>
      <c r="G1524" s="9"/>
      <c r="H1524" s="9"/>
      <c r="I1524" s="9"/>
      <c r="J1524" s="9"/>
      <c r="K1524" s="42"/>
      <c r="L1524" s="42"/>
      <c r="M1524" s="42"/>
      <c r="N1524" s="42"/>
      <c r="O1524" s="42"/>
      <c r="P1524" s="9"/>
      <c r="Q1524" s="9"/>
      <c r="R1524" s="42"/>
      <c r="S1524" s="42"/>
      <c r="T1524" s="42"/>
      <c r="U1524" s="42"/>
      <c r="V1524" s="42"/>
      <c r="W1524" s="42"/>
    </row>
    <row r="1525">
      <c r="A1525" s="9"/>
      <c r="B1525" s="9"/>
      <c r="C1525" s="9"/>
      <c r="D1525" s="42"/>
      <c r="E1525" s="103"/>
      <c r="F1525" s="42"/>
      <c r="G1525" s="9"/>
      <c r="H1525" s="9"/>
      <c r="I1525" s="9"/>
      <c r="J1525" s="9"/>
      <c r="K1525" s="42"/>
      <c r="L1525" s="42"/>
      <c r="M1525" s="42"/>
      <c r="N1525" s="42"/>
      <c r="O1525" s="42"/>
      <c r="P1525" s="9"/>
      <c r="Q1525" s="9"/>
      <c r="R1525" s="42"/>
      <c r="S1525" s="42"/>
      <c r="T1525" s="42"/>
      <c r="U1525" s="42"/>
      <c r="V1525" s="42"/>
      <c r="W1525" s="42"/>
    </row>
    <row r="1526">
      <c r="A1526" s="9"/>
      <c r="B1526" s="9"/>
      <c r="C1526" s="9"/>
      <c r="D1526" s="42"/>
      <c r="E1526" s="103"/>
      <c r="F1526" s="42"/>
      <c r="G1526" s="9"/>
      <c r="H1526" s="9"/>
      <c r="I1526" s="9"/>
      <c r="J1526" s="9"/>
      <c r="K1526" s="42"/>
      <c r="L1526" s="42"/>
      <c r="M1526" s="42"/>
      <c r="N1526" s="42"/>
      <c r="O1526" s="42"/>
      <c r="P1526" s="9"/>
      <c r="Q1526" s="9"/>
      <c r="R1526" s="42"/>
      <c r="S1526" s="42"/>
      <c r="T1526" s="42"/>
      <c r="U1526" s="42"/>
      <c r="V1526" s="42"/>
      <c r="W1526" s="42"/>
    </row>
    <row r="1527">
      <c r="A1527" s="9"/>
      <c r="B1527" s="9"/>
      <c r="C1527" s="9"/>
      <c r="D1527" s="42"/>
      <c r="E1527" s="103"/>
      <c r="F1527" s="42"/>
      <c r="G1527" s="9"/>
      <c r="H1527" s="9"/>
      <c r="I1527" s="9"/>
      <c r="J1527" s="9"/>
      <c r="K1527" s="42"/>
      <c r="L1527" s="42"/>
      <c r="M1527" s="42"/>
      <c r="N1527" s="42"/>
      <c r="O1527" s="42"/>
      <c r="P1527" s="9"/>
      <c r="Q1527" s="9"/>
      <c r="R1527" s="42"/>
      <c r="S1527" s="42"/>
      <c r="T1527" s="42"/>
      <c r="U1527" s="42"/>
      <c r="V1527" s="42"/>
      <c r="W1527" s="42"/>
    </row>
    <row r="1528">
      <c r="A1528" s="9"/>
      <c r="B1528" s="9"/>
      <c r="C1528" s="9"/>
      <c r="D1528" s="42"/>
      <c r="E1528" s="103"/>
      <c r="F1528" s="42"/>
      <c r="G1528" s="9"/>
      <c r="H1528" s="9"/>
      <c r="I1528" s="9"/>
      <c r="J1528" s="9"/>
      <c r="K1528" s="42"/>
      <c r="L1528" s="42"/>
      <c r="M1528" s="42"/>
      <c r="N1528" s="42"/>
      <c r="O1528" s="42"/>
      <c r="P1528" s="9"/>
      <c r="Q1528" s="9"/>
      <c r="R1528" s="42"/>
      <c r="S1528" s="42"/>
      <c r="T1528" s="42"/>
      <c r="U1528" s="42"/>
      <c r="V1528" s="42"/>
      <c r="W1528" s="42"/>
    </row>
    <row r="1529">
      <c r="A1529" s="9"/>
      <c r="B1529" s="9"/>
      <c r="C1529" s="9"/>
      <c r="D1529" s="42"/>
      <c r="E1529" s="103"/>
      <c r="F1529" s="42"/>
      <c r="G1529" s="9"/>
      <c r="H1529" s="9"/>
      <c r="I1529" s="9"/>
      <c r="J1529" s="9"/>
      <c r="K1529" s="42"/>
      <c r="L1529" s="42"/>
      <c r="M1529" s="42"/>
      <c r="N1529" s="42"/>
      <c r="O1529" s="42"/>
      <c r="P1529" s="9"/>
      <c r="Q1529" s="9"/>
      <c r="R1529" s="42"/>
      <c r="S1529" s="42"/>
      <c r="T1529" s="42"/>
      <c r="U1529" s="42"/>
      <c r="V1529" s="42"/>
      <c r="W1529" s="42"/>
    </row>
    <row r="1530">
      <c r="A1530" s="9"/>
      <c r="B1530" s="9"/>
      <c r="C1530" s="9"/>
      <c r="D1530" s="42"/>
      <c r="E1530" s="103"/>
      <c r="F1530" s="42"/>
      <c r="G1530" s="9"/>
      <c r="H1530" s="9"/>
      <c r="I1530" s="9"/>
      <c r="J1530" s="9"/>
      <c r="K1530" s="42"/>
      <c r="L1530" s="42"/>
      <c r="M1530" s="42"/>
      <c r="N1530" s="42"/>
      <c r="O1530" s="42"/>
      <c r="P1530" s="9"/>
      <c r="Q1530" s="9"/>
      <c r="R1530" s="42"/>
      <c r="S1530" s="42"/>
      <c r="T1530" s="42"/>
      <c r="U1530" s="42"/>
      <c r="V1530" s="42"/>
      <c r="W1530" s="42"/>
    </row>
    <row r="1531">
      <c r="A1531" s="9"/>
      <c r="B1531" s="9"/>
      <c r="C1531" s="9"/>
      <c r="D1531" s="42"/>
      <c r="E1531" s="103"/>
      <c r="F1531" s="42"/>
      <c r="G1531" s="9"/>
      <c r="H1531" s="9"/>
      <c r="I1531" s="9"/>
      <c r="J1531" s="9"/>
      <c r="K1531" s="42"/>
      <c r="L1531" s="42"/>
      <c r="M1531" s="42"/>
      <c r="N1531" s="42"/>
      <c r="O1531" s="42"/>
      <c r="P1531" s="9"/>
      <c r="Q1531" s="9"/>
      <c r="R1531" s="42"/>
      <c r="S1531" s="42"/>
      <c r="T1531" s="42"/>
      <c r="U1531" s="42"/>
      <c r="V1531" s="42"/>
      <c r="W1531" s="42"/>
    </row>
    <row r="1532">
      <c r="A1532" s="9"/>
      <c r="B1532" s="9"/>
      <c r="C1532" s="9"/>
      <c r="D1532" s="42"/>
      <c r="E1532" s="103"/>
      <c r="F1532" s="42"/>
      <c r="G1532" s="9"/>
      <c r="H1532" s="9"/>
      <c r="I1532" s="9"/>
      <c r="J1532" s="9"/>
      <c r="K1532" s="42"/>
      <c r="L1532" s="42"/>
      <c r="M1532" s="42"/>
      <c r="N1532" s="42"/>
      <c r="O1532" s="42"/>
      <c r="P1532" s="9"/>
      <c r="Q1532" s="9"/>
      <c r="R1532" s="42"/>
      <c r="S1532" s="42"/>
      <c r="T1532" s="42"/>
      <c r="U1532" s="42"/>
      <c r="V1532" s="42"/>
      <c r="W1532" s="42"/>
    </row>
    <row r="1533">
      <c r="A1533" s="9"/>
      <c r="B1533" s="9"/>
      <c r="C1533" s="9"/>
      <c r="D1533" s="42"/>
      <c r="E1533" s="103"/>
      <c r="F1533" s="42"/>
      <c r="G1533" s="9"/>
      <c r="H1533" s="9"/>
      <c r="I1533" s="9"/>
      <c r="J1533" s="9"/>
      <c r="K1533" s="42"/>
      <c r="L1533" s="42"/>
      <c r="M1533" s="42"/>
      <c r="N1533" s="42"/>
      <c r="O1533" s="42"/>
      <c r="P1533" s="9"/>
      <c r="Q1533" s="9"/>
      <c r="R1533" s="42"/>
      <c r="S1533" s="42"/>
      <c r="T1533" s="42"/>
      <c r="U1533" s="42"/>
      <c r="V1533" s="42"/>
      <c r="W1533" s="42"/>
    </row>
    <row r="1534">
      <c r="A1534" s="9"/>
      <c r="B1534" s="9"/>
      <c r="C1534" s="9"/>
      <c r="D1534" s="42"/>
      <c r="E1534" s="103"/>
      <c r="F1534" s="42"/>
      <c r="G1534" s="9"/>
      <c r="H1534" s="9"/>
      <c r="I1534" s="9"/>
      <c r="J1534" s="9"/>
      <c r="K1534" s="42"/>
      <c r="L1534" s="42"/>
      <c r="M1534" s="42"/>
      <c r="N1534" s="42"/>
      <c r="O1534" s="42"/>
      <c r="P1534" s="9"/>
      <c r="Q1534" s="9"/>
      <c r="R1534" s="42"/>
      <c r="S1534" s="42"/>
      <c r="T1534" s="42"/>
      <c r="U1534" s="42"/>
      <c r="V1534" s="42"/>
      <c r="W1534" s="42"/>
    </row>
    <row r="1535">
      <c r="A1535" s="9"/>
      <c r="B1535" s="9"/>
      <c r="C1535" s="9"/>
      <c r="D1535" s="42"/>
      <c r="E1535" s="103"/>
      <c r="F1535" s="42"/>
      <c r="G1535" s="9"/>
      <c r="H1535" s="9"/>
      <c r="I1535" s="9"/>
      <c r="J1535" s="9"/>
      <c r="K1535" s="42"/>
      <c r="L1535" s="42"/>
      <c r="M1535" s="42"/>
      <c r="N1535" s="42"/>
      <c r="O1535" s="42"/>
      <c r="P1535" s="9"/>
      <c r="Q1535" s="9"/>
      <c r="R1535" s="42"/>
      <c r="S1535" s="42"/>
      <c r="T1535" s="42"/>
      <c r="U1535" s="42"/>
      <c r="V1535" s="42"/>
      <c r="W1535" s="42"/>
    </row>
    <row r="1536">
      <c r="A1536" s="9"/>
      <c r="B1536" s="9"/>
      <c r="C1536" s="9"/>
      <c r="D1536" s="42"/>
      <c r="E1536" s="103"/>
      <c r="F1536" s="42"/>
      <c r="G1536" s="9"/>
      <c r="H1536" s="9"/>
      <c r="I1536" s="9"/>
      <c r="J1536" s="9"/>
      <c r="K1536" s="42"/>
      <c r="L1536" s="42"/>
      <c r="M1536" s="42"/>
      <c r="N1536" s="42"/>
      <c r="O1536" s="42"/>
      <c r="P1536" s="9"/>
      <c r="Q1536" s="9"/>
      <c r="R1536" s="42"/>
      <c r="S1536" s="42"/>
      <c r="T1536" s="42"/>
      <c r="U1536" s="42"/>
      <c r="V1536" s="42"/>
      <c r="W1536" s="42"/>
    </row>
    <row r="1537">
      <c r="A1537" s="9"/>
      <c r="B1537" s="9"/>
      <c r="C1537" s="9"/>
      <c r="D1537" s="42"/>
      <c r="E1537" s="103"/>
      <c r="F1537" s="42"/>
      <c r="G1537" s="9"/>
      <c r="H1537" s="9"/>
      <c r="I1537" s="9"/>
      <c r="J1537" s="9"/>
      <c r="K1537" s="42"/>
      <c r="L1537" s="42"/>
      <c r="M1537" s="42"/>
      <c r="N1537" s="42"/>
      <c r="O1537" s="42"/>
      <c r="P1537" s="9"/>
      <c r="Q1537" s="9"/>
      <c r="R1537" s="42"/>
      <c r="S1537" s="42"/>
      <c r="T1537" s="42"/>
      <c r="U1537" s="42"/>
      <c r="V1537" s="42"/>
      <c r="W1537" s="42"/>
    </row>
    <row r="1538">
      <c r="A1538" s="9"/>
      <c r="B1538" s="9"/>
      <c r="C1538" s="9"/>
      <c r="D1538" s="42"/>
      <c r="E1538" s="103"/>
      <c r="F1538" s="42"/>
      <c r="G1538" s="9"/>
      <c r="H1538" s="9"/>
      <c r="I1538" s="9"/>
      <c r="J1538" s="9"/>
      <c r="K1538" s="42"/>
      <c r="L1538" s="42"/>
      <c r="M1538" s="42"/>
      <c r="N1538" s="42"/>
      <c r="O1538" s="42"/>
      <c r="P1538" s="9"/>
      <c r="Q1538" s="9"/>
      <c r="R1538" s="42"/>
      <c r="S1538" s="42"/>
      <c r="T1538" s="42"/>
      <c r="U1538" s="42"/>
      <c r="V1538" s="42"/>
      <c r="W1538" s="42"/>
    </row>
    <row r="1539">
      <c r="A1539" s="9"/>
      <c r="B1539" s="9"/>
      <c r="C1539" s="9"/>
      <c r="D1539" s="42"/>
      <c r="E1539" s="103"/>
      <c r="F1539" s="42"/>
      <c r="G1539" s="9"/>
      <c r="H1539" s="9"/>
      <c r="I1539" s="9"/>
      <c r="J1539" s="9"/>
      <c r="K1539" s="42"/>
      <c r="L1539" s="42"/>
      <c r="M1539" s="42"/>
      <c r="N1539" s="42"/>
      <c r="O1539" s="42"/>
      <c r="P1539" s="9"/>
      <c r="Q1539" s="9"/>
      <c r="R1539" s="42"/>
      <c r="S1539" s="42"/>
      <c r="T1539" s="42"/>
      <c r="U1539" s="42"/>
      <c r="V1539" s="42"/>
      <c r="W1539" s="42"/>
    </row>
    <row r="1540">
      <c r="A1540" s="9"/>
      <c r="B1540" s="9"/>
      <c r="C1540" s="9"/>
      <c r="D1540" s="42"/>
      <c r="E1540" s="103"/>
      <c r="F1540" s="42"/>
      <c r="G1540" s="9"/>
      <c r="H1540" s="9"/>
      <c r="I1540" s="9"/>
      <c r="J1540" s="9"/>
      <c r="K1540" s="42"/>
      <c r="L1540" s="42"/>
      <c r="M1540" s="42"/>
      <c r="N1540" s="42"/>
      <c r="O1540" s="42"/>
      <c r="P1540" s="9"/>
      <c r="Q1540" s="9"/>
      <c r="R1540" s="42"/>
      <c r="S1540" s="42"/>
      <c r="T1540" s="42"/>
      <c r="U1540" s="42"/>
      <c r="V1540" s="42"/>
      <c r="W1540" s="42"/>
    </row>
    <row r="1541">
      <c r="A1541" s="9"/>
      <c r="B1541" s="9"/>
      <c r="C1541" s="9"/>
      <c r="D1541" s="42"/>
      <c r="E1541" s="103"/>
      <c r="F1541" s="42"/>
      <c r="G1541" s="9"/>
      <c r="H1541" s="9"/>
      <c r="I1541" s="9"/>
      <c r="J1541" s="9"/>
      <c r="K1541" s="42"/>
      <c r="L1541" s="42"/>
      <c r="M1541" s="42"/>
      <c r="N1541" s="42"/>
      <c r="O1541" s="42"/>
      <c r="P1541" s="9"/>
      <c r="Q1541" s="9"/>
      <c r="R1541" s="42"/>
      <c r="S1541" s="42"/>
      <c r="T1541" s="42"/>
      <c r="U1541" s="42"/>
      <c r="V1541" s="42"/>
      <c r="W1541" s="42"/>
    </row>
    <row r="1542">
      <c r="A1542" s="9"/>
      <c r="B1542" s="9"/>
      <c r="C1542" s="9"/>
      <c r="D1542" s="42"/>
      <c r="E1542" s="103"/>
      <c r="F1542" s="42"/>
      <c r="G1542" s="9"/>
      <c r="H1542" s="9"/>
      <c r="I1542" s="9"/>
      <c r="J1542" s="9"/>
      <c r="K1542" s="42"/>
      <c r="L1542" s="42"/>
      <c r="M1542" s="42"/>
      <c r="N1542" s="42"/>
      <c r="O1542" s="42"/>
      <c r="P1542" s="9"/>
      <c r="Q1542" s="9"/>
      <c r="R1542" s="42"/>
      <c r="S1542" s="42"/>
      <c r="T1542" s="42"/>
      <c r="U1542" s="42"/>
      <c r="V1542" s="42"/>
      <c r="W1542" s="42"/>
    </row>
    <row r="1543">
      <c r="A1543" s="9"/>
      <c r="B1543" s="9"/>
      <c r="C1543" s="9"/>
      <c r="D1543" s="42"/>
      <c r="E1543" s="103"/>
      <c r="F1543" s="42"/>
      <c r="G1543" s="9"/>
      <c r="H1543" s="9"/>
      <c r="I1543" s="9"/>
      <c r="J1543" s="9"/>
      <c r="K1543" s="42"/>
      <c r="L1543" s="42"/>
      <c r="M1543" s="42"/>
      <c r="N1543" s="42"/>
      <c r="O1543" s="42"/>
      <c r="P1543" s="9"/>
      <c r="Q1543" s="9"/>
      <c r="R1543" s="42"/>
      <c r="S1543" s="42"/>
      <c r="T1543" s="42"/>
      <c r="U1543" s="42"/>
      <c r="V1543" s="42"/>
      <c r="W1543" s="42"/>
    </row>
    <row r="1544">
      <c r="A1544" s="9"/>
      <c r="B1544" s="9"/>
      <c r="C1544" s="9"/>
      <c r="D1544" s="42"/>
      <c r="E1544" s="103"/>
      <c r="F1544" s="42"/>
      <c r="G1544" s="9"/>
      <c r="H1544" s="9"/>
      <c r="I1544" s="9"/>
      <c r="J1544" s="9"/>
      <c r="K1544" s="42"/>
      <c r="L1544" s="42"/>
      <c r="M1544" s="42"/>
      <c r="N1544" s="42"/>
      <c r="O1544" s="42"/>
      <c r="P1544" s="9"/>
      <c r="Q1544" s="9"/>
      <c r="R1544" s="42"/>
      <c r="S1544" s="42"/>
      <c r="T1544" s="42"/>
      <c r="U1544" s="42"/>
      <c r="V1544" s="42"/>
      <c r="W1544" s="42"/>
    </row>
    <row r="1545">
      <c r="A1545" s="9"/>
      <c r="B1545" s="9"/>
      <c r="C1545" s="9"/>
      <c r="D1545" s="42"/>
      <c r="E1545" s="103"/>
      <c r="F1545" s="42"/>
      <c r="G1545" s="9"/>
      <c r="H1545" s="9"/>
      <c r="I1545" s="9"/>
      <c r="J1545" s="9"/>
      <c r="K1545" s="42"/>
      <c r="L1545" s="42"/>
      <c r="M1545" s="42"/>
      <c r="N1545" s="42"/>
      <c r="O1545" s="42"/>
      <c r="P1545" s="9"/>
      <c r="Q1545" s="9"/>
      <c r="R1545" s="42"/>
      <c r="S1545" s="42"/>
      <c r="T1545" s="42"/>
      <c r="U1545" s="42"/>
      <c r="V1545" s="42"/>
      <c r="W1545" s="42"/>
    </row>
    <row r="1546">
      <c r="A1546" s="9"/>
      <c r="B1546" s="9"/>
      <c r="C1546" s="9"/>
      <c r="D1546" s="42"/>
      <c r="E1546" s="103"/>
      <c r="F1546" s="42"/>
      <c r="G1546" s="9"/>
      <c r="H1546" s="9"/>
      <c r="I1546" s="9"/>
      <c r="J1546" s="9"/>
      <c r="K1546" s="42"/>
      <c r="L1546" s="42"/>
      <c r="M1546" s="42"/>
      <c r="N1546" s="42"/>
      <c r="O1546" s="42"/>
      <c r="P1546" s="9"/>
      <c r="Q1546" s="9"/>
      <c r="R1546" s="42"/>
      <c r="S1546" s="42"/>
      <c r="T1546" s="42"/>
      <c r="U1546" s="42"/>
      <c r="V1546" s="42"/>
      <c r="W1546" s="42"/>
    </row>
    <row r="1547">
      <c r="A1547" s="9"/>
      <c r="B1547" s="9"/>
      <c r="C1547" s="9"/>
      <c r="D1547" s="42"/>
      <c r="E1547" s="103"/>
      <c r="F1547" s="42"/>
      <c r="G1547" s="9"/>
      <c r="H1547" s="9"/>
      <c r="I1547" s="9"/>
      <c r="J1547" s="9"/>
      <c r="K1547" s="42"/>
      <c r="L1547" s="42"/>
      <c r="M1547" s="42"/>
      <c r="N1547" s="42"/>
      <c r="O1547" s="42"/>
      <c r="P1547" s="9"/>
      <c r="Q1547" s="9"/>
      <c r="R1547" s="42"/>
      <c r="S1547" s="42"/>
      <c r="T1547" s="42"/>
      <c r="U1547" s="42"/>
      <c r="V1547" s="42"/>
      <c r="W1547" s="42"/>
    </row>
    <row r="1548">
      <c r="A1548" s="9"/>
      <c r="B1548" s="9"/>
      <c r="C1548" s="9"/>
      <c r="D1548" s="42"/>
      <c r="E1548" s="103"/>
      <c r="F1548" s="42"/>
      <c r="G1548" s="9"/>
      <c r="H1548" s="9"/>
      <c r="I1548" s="9"/>
      <c r="J1548" s="9"/>
      <c r="K1548" s="42"/>
      <c r="L1548" s="42"/>
      <c r="M1548" s="42"/>
      <c r="N1548" s="42"/>
      <c r="O1548" s="42"/>
      <c r="P1548" s="9"/>
      <c r="Q1548" s="9"/>
      <c r="R1548" s="42"/>
      <c r="S1548" s="42"/>
      <c r="T1548" s="42"/>
      <c r="U1548" s="42"/>
      <c r="V1548" s="42"/>
      <c r="W1548" s="42"/>
    </row>
    <row r="1549">
      <c r="A1549" s="9"/>
      <c r="B1549" s="9"/>
      <c r="C1549" s="9"/>
      <c r="D1549" s="42"/>
      <c r="E1549" s="103"/>
      <c r="F1549" s="42"/>
      <c r="G1549" s="9"/>
      <c r="H1549" s="9"/>
      <c r="I1549" s="9"/>
      <c r="J1549" s="9"/>
      <c r="K1549" s="42"/>
      <c r="L1549" s="42"/>
      <c r="M1549" s="42"/>
      <c r="N1549" s="42"/>
      <c r="O1549" s="42"/>
      <c r="P1549" s="9"/>
      <c r="Q1549" s="9"/>
      <c r="R1549" s="42"/>
      <c r="S1549" s="42"/>
      <c r="T1549" s="42"/>
      <c r="U1549" s="42"/>
      <c r="V1549" s="42"/>
      <c r="W1549" s="42"/>
    </row>
    <row r="1550">
      <c r="A1550" s="9"/>
      <c r="B1550" s="9"/>
      <c r="C1550" s="9"/>
      <c r="D1550" s="42"/>
      <c r="E1550" s="103"/>
      <c r="F1550" s="42"/>
      <c r="G1550" s="9"/>
      <c r="H1550" s="9"/>
      <c r="I1550" s="9"/>
      <c r="J1550" s="9"/>
      <c r="K1550" s="42"/>
      <c r="L1550" s="42"/>
      <c r="M1550" s="42"/>
      <c r="N1550" s="42"/>
      <c r="O1550" s="42"/>
      <c r="P1550" s="9"/>
      <c r="Q1550" s="9"/>
      <c r="R1550" s="42"/>
      <c r="S1550" s="42"/>
      <c r="T1550" s="42"/>
      <c r="U1550" s="42"/>
      <c r="V1550" s="42"/>
      <c r="W1550" s="42"/>
    </row>
    <row r="1551">
      <c r="A1551" s="9"/>
      <c r="B1551" s="9"/>
      <c r="C1551" s="9"/>
      <c r="D1551" s="42"/>
      <c r="E1551" s="103"/>
      <c r="F1551" s="42"/>
      <c r="G1551" s="9"/>
      <c r="H1551" s="9"/>
      <c r="I1551" s="9"/>
      <c r="J1551" s="9"/>
      <c r="K1551" s="42"/>
      <c r="L1551" s="42"/>
      <c r="M1551" s="42"/>
      <c r="N1551" s="42"/>
      <c r="O1551" s="42"/>
      <c r="P1551" s="9"/>
      <c r="Q1551" s="9"/>
      <c r="R1551" s="42"/>
      <c r="S1551" s="42"/>
      <c r="T1551" s="42"/>
      <c r="U1551" s="42"/>
      <c r="V1551" s="42"/>
      <c r="W1551" s="42"/>
    </row>
    <row r="1552">
      <c r="A1552" s="9"/>
      <c r="B1552" s="9"/>
      <c r="C1552" s="9"/>
      <c r="D1552" s="42"/>
      <c r="E1552" s="103"/>
      <c r="F1552" s="42"/>
      <c r="G1552" s="9"/>
      <c r="H1552" s="9"/>
      <c r="I1552" s="9"/>
      <c r="J1552" s="9"/>
      <c r="K1552" s="42"/>
      <c r="L1552" s="42"/>
      <c r="M1552" s="42"/>
      <c r="N1552" s="42"/>
      <c r="O1552" s="42"/>
      <c r="P1552" s="9"/>
      <c r="Q1552" s="9"/>
      <c r="R1552" s="42"/>
      <c r="S1552" s="42"/>
      <c r="T1552" s="42"/>
      <c r="U1552" s="42"/>
      <c r="V1552" s="42"/>
      <c r="W1552" s="42"/>
    </row>
    <row r="1553">
      <c r="A1553" s="9"/>
      <c r="B1553" s="9"/>
      <c r="C1553" s="9"/>
      <c r="D1553" s="42"/>
      <c r="E1553" s="103"/>
      <c r="F1553" s="42"/>
      <c r="G1553" s="9"/>
      <c r="H1553" s="9"/>
      <c r="I1553" s="9"/>
      <c r="J1553" s="9"/>
      <c r="K1553" s="42"/>
      <c r="L1553" s="42"/>
      <c r="M1553" s="42"/>
      <c r="N1553" s="42"/>
      <c r="O1553" s="42"/>
      <c r="P1553" s="9"/>
      <c r="Q1553" s="9"/>
      <c r="R1553" s="42"/>
      <c r="S1553" s="42"/>
      <c r="T1553" s="42"/>
      <c r="U1553" s="42"/>
      <c r="V1553" s="42"/>
      <c r="W1553" s="42"/>
    </row>
    <row r="1554">
      <c r="A1554" s="9"/>
      <c r="B1554" s="9"/>
      <c r="C1554" s="9"/>
      <c r="D1554" s="42"/>
      <c r="E1554" s="103"/>
      <c r="F1554" s="42"/>
      <c r="G1554" s="9"/>
      <c r="H1554" s="9"/>
      <c r="I1554" s="9"/>
      <c r="J1554" s="9"/>
      <c r="K1554" s="42"/>
      <c r="L1554" s="42"/>
      <c r="M1554" s="42"/>
      <c r="N1554" s="42"/>
      <c r="O1554" s="42"/>
      <c r="P1554" s="9"/>
      <c r="Q1554" s="9"/>
      <c r="R1554" s="42"/>
      <c r="S1554" s="42"/>
      <c r="T1554" s="42"/>
      <c r="U1554" s="42"/>
      <c r="V1554" s="42"/>
      <c r="W1554" s="42"/>
    </row>
    <row r="1555">
      <c r="A1555" s="9"/>
      <c r="B1555" s="9"/>
      <c r="C1555" s="9"/>
      <c r="D1555" s="42"/>
      <c r="E1555" s="103"/>
      <c r="F1555" s="42"/>
      <c r="G1555" s="9"/>
      <c r="H1555" s="9"/>
      <c r="I1555" s="9"/>
      <c r="J1555" s="9"/>
      <c r="K1555" s="42"/>
      <c r="L1555" s="42"/>
      <c r="M1555" s="42"/>
      <c r="N1555" s="42"/>
      <c r="O1555" s="42"/>
      <c r="P1555" s="9"/>
      <c r="Q1555" s="9"/>
      <c r="R1555" s="42"/>
      <c r="S1555" s="42"/>
      <c r="T1555" s="42"/>
      <c r="U1555" s="42"/>
      <c r="V1555" s="42"/>
      <c r="W1555" s="42"/>
    </row>
    <row r="1556">
      <c r="A1556" s="9"/>
      <c r="B1556" s="9"/>
      <c r="C1556" s="9"/>
      <c r="D1556" s="42"/>
      <c r="E1556" s="103"/>
      <c r="F1556" s="42"/>
      <c r="G1556" s="9"/>
      <c r="H1556" s="9"/>
      <c r="I1556" s="9"/>
      <c r="J1556" s="9"/>
      <c r="K1556" s="42"/>
      <c r="L1556" s="42"/>
      <c r="M1556" s="42"/>
      <c r="N1556" s="42"/>
      <c r="O1556" s="42"/>
      <c r="P1556" s="9"/>
      <c r="Q1556" s="9"/>
      <c r="R1556" s="42"/>
      <c r="S1556" s="42"/>
      <c r="T1556" s="42"/>
      <c r="U1556" s="42"/>
      <c r="V1556" s="42"/>
      <c r="W1556" s="42"/>
    </row>
    <row r="1557">
      <c r="A1557" s="9"/>
      <c r="B1557" s="9"/>
      <c r="C1557" s="9"/>
      <c r="D1557" s="42"/>
      <c r="E1557" s="103"/>
      <c r="F1557" s="42"/>
      <c r="G1557" s="9"/>
      <c r="H1557" s="9"/>
      <c r="I1557" s="9"/>
      <c r="J1557" s="9"/>
      <c r="K1557" s="42"/>
      <c r="L1557" s="42"/>
      <c r="M1557" s="42"/>
      <c r="N1557" s="42"/>
      <c r="O1557" s="42"/>
      <c r="P1557" s="9"/>
      <c r="Q1557" s="9"/>
      <c r="R1557" s="42"/>
      <c r="S1557" s="42"/>
      <c r="T1557" s="42"/>
      <c r="U1557" s="42"/>
      <c r="V1557" s="42"/>
      <c r="W1557" s="42"/>
    </row>
    <row r="1558">
      <c r="A1558" s="9"/>
      <c r="B1558" s="9"/>
      <c r="C1558" s="9"/>
      <c r="D1558" s="42"/>
      <c r="E1558" s="103"/>
      <c r="F1558" s="42"/>
      <c r="G1558" s="9"/>
      <c r="H1558" s="9"/>
      <c r="I1558" s="9"/>
      <c r="J1558" s="9"/>
      <c r="K1558" s="42"/>
      <c r="L1558" s="42"/>
      <c r="M1558" s="42"/>
      <c r="N1558" s="42"/>
      <c r="O1558" s="42"/>
      <c r="P1558" s="9"/>
      <c r="Q1558" s="9"/>
      <c r="R1558" s="42"/>
      <c r="S1558" s="42"/>
      <c r="T1558" s="42"/>
      <c r="U1558" s="42"/>
      <c r="V1558" s="42"/>
      <c r="W1558" s="42"/>
    </row>
    <row r="1559">
      <c r="A1559" s="9"/>
      <c r="B1559" s="9"/>
      <c r="C1559" s="9"/>
      <c r="D1559" s="42"/>
      <c r="E1559" s="103"/>
      <c r="F1559" s="42"/>
      <c r="G1559" s="9"/>
      <c r="H1559" s="9"/>
      <c r="I1559" s="9"/>
      <c r="J1559" s="9"/>
      <c r="K1559" s="42"/>
      <c r="L1559" s="42"/>
      <c r="M1559" s="42"/>
      <c r="N1559" s="42"/>
      <c r="O1559" s="42"/>
      <c r="P1559" s="9"/>
      <c r="Q1559" s="9"/>
      <c r="R1559" s="42"/>
      <c r="S1559" s="42"/>
      <c r="T1559" s="42"/>
      <c r="U1559" s="42"/>
      <c r="V1559" s="42"/>
      <c r="W1559" s="42"/>
    </row>
    <row r="1560">
      <c r="A1560" s="9"/>
      <c r="B1560" s="9"/>
      <c r="C1560" s="9"/>
      <c r="D1560" s="42"/>
      <c r="E1560" s="103"/>
      <c r="F1560" s="42"/>
      <c r="G1560" s="9"/>
      <c r="H1560" s="9"/>
      <c r="I1560" s="9"/>
      <c r="J1560" s="9"/>
      <c r="K1560" s="42"/>
      <c r="L1560" s="42"/>
      <c r="M1560" s="42"/>
      <c r="N1560" s="42"/>
      <c r="O1560" s="42"/>
      <c r="P1560" s="9"/>
      <c r="Q1560" s="9"/>
      <c r="R1560" s="42"/>
      <c r="S1560" s="42"/>
      <c r="T1560" s="42"/>
      <c r="U1560" s="42"/>
      <c r="V1560" s="42"/>
      <c r="W1560" s="42"/>
    </row>
    <row r="1561">
      <c r="A1561" s="9"/>
      <c r="B1561" s="9"/>
      <c r="C1561" s="9"/>
      <c r="D1561" s="42"/>
      <c r="E1561" s="103"/>
      <c r="F1561" s="42"/>
      <c r="G1561" s="9"/>
      <c r="H1561" s="9"/>
      <c r="I1561" s="9"/>
      <c r="J1561" s="9"/>
      <c r="K1561" s="42"/>
      <c r="L1561" s="42"/>
      <c r="M1561" s="42"/>
      <c r="N1561" s="42"/>
      <c r="O1561" s="42"/>
      <c r="P1561" s="9"/>
      <c r="Q1561" s="9"/>
      <c r="R1561" s="42"/>
      <c r="S1561" s="42"/>
      <c r="T1561" s="42"/>
      <c r="U1561" s="42"/>
      <c r="V1561" s="42"/>
      <c r="W1561" s="42"/>
    </row>
    <row r="1562">
      <c r="A1562" s="9"/>
      <c r="B1562" s="9"/>
      <c r="C1562" s="9"/>
      <c r="D1562" s="42"/>
      <c r="E1562" s="103"/>
      <c r="F1562" s="42"/>
      <c r="G1562" s="9"/>
      <c r="H1562" s="9"/>
      <c r="I1562" s="9"/>
      <c r="J1562" s="9"/>
      <c r="K1562" s="42"/>
      <c r="L1562" s="42"/>
      <c r="M1562" s="42"/>
      <c r="N1562" s="42"/>
      <c r="O1562" s="42"/>
      <c r="P1562" s="9"/>
      <c r="Q1562" s="9"/>
      <c r="R1562" s="42"/>
      <c r="S1562" s="42"/>
      <c r="T1562" s="42"/>
      <c r="U1562" s="42"/>
      <c r="V1562" s="42"/>
      <c r="W1562" s="42"/>
    </row>
    <row r="1563">
      <c r="A1563" s="9"/>
      <c r="B1563" s="9"/>
      <c r="C1563" s="9"/>
      <c r="D1563" s="42"/>
      <c r="E1563" s="103"/>
      <c r="F1563" s="42"/>
      <c r="G1563" s="9"/>
      <c r="H1563" s="9"/>
      <c r="I1563" s="9"/>
      <c r="J1563" s="9"/>
      <c r="K1563" s="42"/>
      <c r="L1563" s="42"/>
      <c r="M1563" s="42"/>
      <c r="N1563" s="42"/>
      <c r="O1563" s="42"/>
      <c r="P1563" s="9"/>
      <c r="Q1563" s="9"/>
      <c r="R1563" s="42"/>
      <c r="S1563" s="42"/>
      <c r="T1563" s="42"/>
      <c r="U1563" s="42"/>
      <c r="V1563" s="42"/>
      <c r="W1563" s="42"/>
    </row>
    <row r="1564">
      <c r="A1564" s="9"/>
      <c r="B1564" s="9"/>
      <c r="C1564" s="9"/>
      <c r="D1564" s="42"/>
      <c r="E1564" s="103"/>
      <c r="F1564" s="42"/>
      <c r="G1564" s="9"/>
      <c r="H1564" s="9"/>
      <c r="I1564" s="9"/>
      <c r="J1564" s="9"/>
      <c r="K1564" s="42"/>
      <c r="L1564" s="42"/>
      <c r="M1564" s="42"/>
      <c r="N1564" s="42"/>
      <c r="O1564" s="42"/>
      <c r="P1564" s="9"/>
      <c r="Q1564" s="9"/>
      <c r="R1564" s="42"/>
      <c r="S1564" s="42"/>
      <c r="T1564" s="42"/>
      <c r="U1564" s="42"/>
      <c r="V1564" s="42"/>
      <c r="W1564" s="42"/>
    </row>
    <row r="1565">
      <c r="A1565" s="9"/>
      <c r="B1565" s="9"/>
      <c r="C1565" s="9"/>
      <c r="D1565" s="42"/>
      <c r="E1565" s="103"/>
      <c r="F1565" s="42"/>
      <c r="G1565" s="9"/>
      <c r="H1565" s="9"/>
      <c r="I1565" s="9"/>
      <c r="J1565" s="9"/>
      <c r="K1565" s="42"/>
      <c r="L1565" s="42"/>
      <c r="M1565" s="42"/>
      <c r="N1565" s="42"/>
      <c r="O1565" s="42"/>
      <c r="P1565" s="9"/>
      <c r="Q1565" s="9"/>
      <c r="R1565" s="42"/>
      <c r="S1565" s="42"/>
      <c r="T1565" s="42"/>
      <c r="U1565" s="42"/>
      <c r="V1565" s="42"/>
      <c r="W1565" s="42"/>
    </row>
    <row r="1566">
      <c r="A1566" s="9"/>
      <c r="B1566" s="9"/>
      <c r="C1566" s="9"/>
      <c r="D1566" s="42"/>
      <c r="E1566" s="103"/>
      <c r="F1566" s="42"/>
      <c r="G1566" s="9"/>
      <c r="H1566" s="9"/>
      <c r="I1566" s="9"/>
      <c r="J1566" s="9"/>
      <c r="K1566" s="42"/>
      <c r="L1566" s="42"/>
      <c r="M1566" s="42"/>
      <c r="N1566" s="42"/>
      <c r="O1566" s="42"/>
      <c r="P1566" s="9"/>
      <c r="Q1566" s="9"/>
      <c r="R1566" s="42"/>
      <c r="S1566" s="42"/>
      <c r="T1566" s="42"/>
      <c r="U1566" s="42"/>
      <c r="V1566" s="42"/>
      <c r="W1566" s="42"/>
    </row>
    <row r="1567">
      <c r="A1567" s="9"/>
      <c r="B1567" s="9"/>
      <c r="C1567" s="9"/>
      <c r="D1567" s="42"/>
      <c r="E1567" s="103"/>
      <c r="F1567" s="42"/>
      <c r="G1567" s="9"/>
      <c r="H1567" s="9"/>
      <c r="I1567" s="9"/>
      <c r="J1567" s="9"/>
      <c r="K1567" s="42"/>
      <c r="L1567" s="42"/>
      <c r="M1567" s="42"/>
      <c r="N1567" s="42"/>
      <c r="O1567" s="42"/>
      <c r="P1567" s="9"/>
      <c r="Q1567" s="9"/>
      <c r="R1567" s="42"/>
      <c r="S1567" s="42"/>
      <c r="T1567" s="42"/>
      <c r="U1567" s="42"/>
      <c r="V1567" s="42"/>
      <c r="W1567" s="42"/>
    </row>
    <row r="1568">
      <c r="A1568" s="9"/>
      <c r="B1568" s="9"/>
      <c r="C1568" s="9"/>
      <c r="D1568" s="42"/>
      <c r="E1568" s="103"/>
      <c r="F1568" s="42"/>
      <c r="G1568" s="9"/>
      <c r="H1568" s="9"/>
      <c r="I1568" s="9"/>
      <c r="J1568" s="9"/>
      <c r="K1568" s="42"/>
      <c r="L1568" s="42"/>
      <c r="M1568" s="42"/>
      <c r="N1568" s="42"/>
      <c r="O1568" s="42"/>
      <c r="P1568" s="9"/>
      <c r="Q1568" s="9"/>
      <c r="R1568" s="42"/>
      <c r="S1568" s="42"/>
      <c r="T1568" s="42"/>
      <c r="U1568" s="42"/>
      <c r="V1568" s="42"/>
      <c r="W1568" s="42"/>
    </row>
    <row r="1569">
      <c r="A1569" s="9"/>
      <c r="B1569" s="9"/>
      <c r="C1569" s="9"/>
      <c r="D1569" s="42"/>
      <c r="E1569" s="103"/>
      <c r="F1569" s="42"/>
      <c r="G1569" s="9"/>
      <c r="H1569" s="9"/>
      <c r="I1569" s="9"/>
      <c r="J1569" s="9"/>
      <c r="K1569" s="42"/>
      <c r="L1569" s="42"/>
      <c r="M1569" s="42"/>
      <c r="N1569" s="42"/>
      <c r="O1569" s="42"/>
      <c r="P1569" s="9"/>
      <c r="Q1569" s="9"/>
      <c r="R1569" s="42"/>
      <c r="S1569" s="42"/>
      <c r="T1569" s="42"/>
      <c r="U1569" s="42"/>
      <c r="V1569" s="42"/>
      <c r="W1569" s="42"/>
    </row>
    <row r="1570">
      <c r="A1570" s="9"/>
      <c r="B1570" s="9"/>
      <c r="C1570" s="9"/>
      <c r="D1570" s="42"/>
      <c r="E1570" s="103"/>
      <c r="F1570" s="42"/>
      <c r="G1570" s="9"/>
      <c r="H1570" s="9"/>
      <c r="I1570" s="9"/>
      <c r="J1570" s="9"/>
      <c r="K1570" s="42"/>
      <c r="L1570" s="42"/>
      <c r="M1570" s="42"/>
      <c r="N1570" s="42"/>
      <c r="O1570" s="42"/>
      <c r="P1570" s="9"/>
      <c r="Q1570" s="9"/>
      <c r="R1570" s="42"/>
      <c r="S1570" s="42"/>
      <c r="T1570" s="42"/>
      <c r="U1570" s="42"/>
      <c r="V1570" s="42"/>
      <c r="W1570" s="42"/>
    </row>
    <row r="1571">
      <c r="A1571" s="9"/>
      <c r="B1571" s="9"/>
      <c r="C1571" s="9"/>
      <c r="D1571" s="42"/>
      <c r="E1571" s="103"/>
      <c r="F1571" s="42"/>
      <c r="G1571" s="9"/>
      <c r="H1571" s="9"/>
      <c r="I1571" s="9"/>
      <c r="J1571" s="9"/>
      <c r="K1571" s="42"/>
      <c r="L1571" s="42"/>
      <c r="M1571" s="42"/>
      <c r="N1571" s="42"/>
      <c r="O1571" s="42"/>
      <c r="P1571" s="9"/>
      <c r="Q1571" s="9"/>
      <c r="R1571" s="42"/>
      <c r="S1571" s="42"/>
      <c r="T1571" s="42"/>
      <c r="U1571" s="42"/>
      <c r="V1571" s="42"/>
      <c r="W1571" s="42"/>
    </row>
    <row r="1572">
      <c r="A1572" s="9"/>
      <c r="B1572" s="9"/>
      <c r="C1572" s="9"/>
      <c r="D1572" s="42"/>
      <c r="E1572" s="103"/>
      <c r="F1572" s="42"/>
      <c r="G1572" s="9"/>
      <c r="H1572" s="9"/>
      <c r="I1572" s="9"/>
      <c r="J1572" s="9"/>
      <c r="K1572" s="42"/>
      <c r="L1572" s="42"/>
      <c r="M1572" s="42"/>
      <c r="N1572" s="42"/>
      <c r="O1572" s="42"/>
      <c r="P1572" s="9"/>
      <c r="Q1572" s="9"/>
      <c r="R1572" s="42"/>
      <c r="S1572" s="42"/>
      <c r="T1572" s="42"/>
      <c r="U1572" s="42"/>
      <c r="V1572" s="42"/>
      <c r="W1572" s="42"/>
    </row>
    <row r="1573">
      <c r="A1573" s="9"/>
      <c r="B1573" s="9"/>
      <c r="C1573" s="9"/>
      <c r="D1573" s="42"/>
      <c r="E1573" s="103"/>
      <c r="F1573" s="42"/>
      <c r="G1573" s="9"/>
      <c r="H1573" s="9"/>
      <c r="I1573" s="9"/>
      <c r="J1573" s="9"/>
      <c r="K1573" s="42"/>
      <c r="L1573" s="42"/>
      <c r="M1573" s="42"/>
      <c r="N1573" s="42"/>
      <c r="O1573" s="42"/>
      <c r="P1573" s="9"/>
      <c r="Q1573" s="9"/>
      <c r="R1573" s="42"/>
      <c r="S1573" s="42"/>
      <c r="T1573" s="42"/>
      <c r="U1573" s="42"/>
      <c r="V1573" s="42"/>
      <c r="W1573" s="42"/>
    </row>
    <row r="1574">
      <c r="A1574" s="9"/>
      <c r="B1574" s="9"/>
      <c r="C1574" s="9"/>
      <c r="D1574" s="42"/>
      <c r="E1574" s="103"/>
      <c r="F1574" s="42"/>
      <c r="G1574" s="9"/>
      <c r="H1574" s="9"/>
      <c r="I1574" s="9"/>
      <c r="J1574" s="9"/>
      <c r="K1574" s="42"/>
      <c r="L1574" s="42"/>
      <c r="M1574" s="42"/>
      <c r="N1574" s="42"/>
      <c r="O1574" s="42"/>
      <c r="P1574" s="9"/>
      <c r="Q1574" s="9"/>
      <c r="R1574" s="42"/>
      <c r="S1574" s="42"/>
      <c r="T1574" s="42"/>
      <c r="U1574" s="42"/>
      <c r="V1574" s="42"/>
      <c r="W1574" s="42"/>
    </row>
    <row r="1575">
      <c r="A1575" s="9"/>
      <c r="B1575" s="9"/>
      <c r="C1575" s="9"/>
      <c r="D1575" s="42"/>
      <c r="E1575" s="103"/>
      <c r="F1575" s="42"/>
      <c r="G1575" s="9"/>
      <c r="H1575" s="9"/>
      <c r="I1575" s="9"/>
      <c r="J1575" s="9"/>
      <c r="K1575" s="42"/>
      <c r="L1575" s="42"/>
      <c r="M1575" s="42"/>
      <c r="N1575" s="42"/>
      <c r="O1575" s="42"/>
      <c r="P1575" s="9"/>
      <c r="Q1575" s="9"/>
      <c r="R1575" s="42"/>
      <c r="S1575" s="42"/>
      <c r="T1575" s="42"/>
      <c r="U1575" s="42"/>
      <c r="V1575" s="42"/>
      <c r="W1575" s="42"/>
    </row>
    <row r="1576">
      <c r="A1576" s="9"/>
      <c r="B1576" s="9"/>
      <c r="C1576" s="9"/>
      <c r="D1576" s="42"/>
      <c r="E1576" s="103"/>
      <c r="F1576" s="42"/>
      <c r="G1576" s="9"/>
      <c r="H1576" s="9"/>
      <c r="I1576" s="9"/>
      <c r="J1576" s="9"/>
      <c r="K1576" s="42"/>
      <c r="L1576" s="42"/>
      <c r="M1576" s="42"/>
      <c r="N1576" s="42"/>
      <c r="O1576" s="42"/>
      <c r="P1576" s="9"/>
      <c r="Q1576" s="9"/>
      <c r="R1576" s="42"/>
      <c r="S1576" s="42"/>
      <c r="T1576" s="42"/>
      <c r="U1576" s="42"/>
      <c r="V1576" s="42"/>
      <c r="W1576" s="42"/>
    </row>
    <row r="1577">
      <c r="A1577" s="9"/>
      <c r="B1577" s="9"/>
      <c r="C1577" s="9"/>
      <c r="D1577" s="42"/>
      <c r="E1577" s="103"/>
      <c r="F1577" s="42"/>
      <c r="G1577" s="9"/>
      <c r="H1577" s="9"/>
      <c r="I1577" s="9"/>
      <c r="J1577" s="9"/>
      <c r="K1577" s="42"/>
      <c r="L1577" s="42"/>
      <c r="M1577" s="42"/>
      <c r="N1577" s="42"/>
      <c r="O1577" s="42"/>
      <c r="P1577" s="9"/>
      <c r="Q1577" s="9"/>
      <c r="R1577" s="42"/>
      <c r="S1577" s="42"/>
      <c r="T1577" s="42"/>
      <c r="U1577" s="42"/>
      <c r="V1577" s="42"/>
      <c r="W1577" s="42"/>
    </row>
    <row r="1578">
      <c r="A1578" s="9"/>
      <c r="B1578" s="9"/>
      <c r="C1578" s="9"/>
      <c r="D1578" s="42"/>
      <c r="E1578" s="103"/>
      <c r="F1578" s="42"/>
      <c r="G1578" s="9"/>
      <c r="H1578" s="9"/>
      <c r="I1578" s="9"/>
      <c r="J1578" s="9"/>
      <c r="K1578" s="42"/>
      <c r="L1578" s="42"/>
      <c r="M1578" s="42"/>
      <c r="N1578" s="42"/>
      <c r="O1578" s="42"/>
      <c r="P1578" s="9"/>
      <c r="Q1578" s="9"/>
      <c r="R1578" s="42"/>
      <c r="S1578" s="42"/>
      <c r="T1578" s="42"/>
      <c r="U1578" s="42"/>
      <c r="V1578" s="42"/>
      <c r="W1578" s="42"/>
    </row>
    <row r="1579">
      <c r="A1579" s="9"/>
      <c r="B1579" s="9"/>
      <c r="C1579" s="9"/>
      <c r="D1579" s="42"/>
      <c r="E1579" s="103"/>
      <c r="F1579" s="42"/>
      <c r="G1579" s="9"/>
      <c r="H1579" s="9"/>
      <c r="I1579" s="9"/>
      <c r="J1579" s="9"/>
      <c r="K1579" s="42"/>
      <c r="L1579" s="42"/>
      <c r="M1579" s="42"/>
      <c r="N1579" s="42"/>
      <c r="O1579" s="42"/>
      <c r="P1579" s="9"/>
      <c r="Q1579" s="9"/>
      <c r="R1579" s="42"/>
      <c r="S1579" s="42"/>
      <c r="T1579" s="42"/>
      <c r="U1579" s="42"/>
      <c r="V1579" s="42"/>
      <c r="W1579" s="42"/>
    </row>
    <row r="1580">
      <c r="A1580" s="9"/>
      <c r="B1580" s="9"/>
      <c r="C1580" s="9"/>
      <c r="D1580" s="42"/>
      <c r="E1580" s="103"/>
      <c r="F1580" s="42"/>
      <c r="G1580" s="9"/>
      <c r="H1580" s="9"/>
      <c r="I1580" s="9"/>
      <c r="J1580" s="9"/>
      <c r="K1580" s="42"/>
      <c r="L1580" s="42"/>
      <c r="M1580" s="42"/>
      <c r="N1580" s="42"/>
      <c r="O1580" s="42"/>
      <c r="P1580" s="9"/>
      <c r="Q1580" s="9"/>
      <c r="R1580" s="42"/>
      <c r="S1580" s="42"/>
      <c r="T1580" s="42"/>
      <c r="U1580" s="42"/>
      <c r="V1580" s="42"/>
      <c r="W1580" s="42"/>
    </row>
    <row r="1581">
      <c r="A1581" s="9"/>
      <c r="B1581" s="9"/>
      <c r="C1581" s="9"/>
      <c r="D1581" s="42"/>
      <c r="E1581" s="103"/>
      <c r="F1581" s="42"/>
      <c r="G1581" s="9"/>
      <c r="H1581" s="9"/>
      <c r="I1581" s="9"/>
      <c r="J1581" s="9"/>
      <c r="K1581" s="42"/>
      <c r="L1581" s="42"/>
      <c r="M1581" s="42"/>
      <c r="N1581" s="42"/>
      <c r="O1581" s="42"/>
      <c r="P1581" s="9"/>
      <c r="Q1581" s="9"/>
      <c r="R1581" s="42"/>
      <c r="S1581" s="42"/>
      <c r="T1581" s="42"/>
      <c r="U1581" s="42"/>
      <c r="V1581" s="42"/>
      <c r="W1581" s="42"/>
    </row>
    <row r="1582">
      <c r="A1582" s="9"/>
      <c r="B1582" s="9"/>
      <c r="C1582" s="9"/>
      <c r="D1582" s="42"/>
      <c r="E1582" s="103"/>
      <c r="F1582" s="42"/>
      <c r="G1582" s="9"/>
      <c r="H1582" s="9"/>
      <c r="I1582" s="9"/>
      <c r="J1582" s="9"/>
      <c r="K1582" s="42"/>
      <c r="L1582" s="42"/>
      <c r="M1582" s="42"/>
      <c r="N1582" s="42"/>
      <c r="O1582" s="42"/>
      <c r="P1582" s="9"/>
      <c r="Q1582" s="9"/>
      <c r="R1582" s="42"/>
      <c r="S1582" s="42"/>
      <c r="T1582" s="42"/>
      <c r="U1582" s="42"/>
      <c r="V1582" s="42"/>
      <c r="W1582" s="42"/>
    </row>
    <row r="1583">
      <c r="A1583" s="9"/>
      <c r="B1583" s="9"/>
      <c r="C1583" s="9"/>
      <c r="D1583" s="42"/>
      <c r="E1583" s="103"/>
      <c r="F1583" s="42"/>
      <c r="G1583" s="9"/>
      <c r="H1583" s="9"/>
      <c r="I1583" s="9"/>
      <c r="J1583" s="9"/>
      <c r="K1583" s="42"/>
      <c r="L1583" s="42"/>
      <c r="M1583" s="42"/>
      <c r="N1583" s="42"/>
      <c r="O1583" s="42"/>
      <c r="P1583" s="9"/>
      <c r="Q1583" s="9"/>
      <c r="R1583" s="42"/>
      <c r="S1583" s="42"/>
      <c r="T1583" s="42"/>
      <c r="U1583" s="42"/>
      <c r="V1583" s="42"/>
      <c r="W1583" s="42"/>
    </row>
    <row r="1584">
      <c r="A1584" s="9"/>
      <c r="B1584" s="9"/>
      <c r="C1584" s="9"/>
      <c r="D1584" s="42"/>
      <c r="E1584" s="103"/>
      <c r="F1584" s="42"/>
      <c r="G1584" s="9"/>
      <c r="H1584" s="9"/>
      <c r="I1584" s="9"/>
      <c r="J1584" s="9"/>
      <c r="K1584" s="42"/>
      <c r="L1584" s="42"/>
      <c r="M1584" s="42"/>
      <c r="N1584" s="42"/>
      <c r="O1584" s="42"/>
      <c r="P1584" s="9"/>
      <c r="Q1584" s="9"/>
      <c r="R1584" s="42"/>
      <c r="S1584" s="42"/>
      <c r="T1584" s="42"/>
      <c r="U1584" s="42"/>
      <c r="V1584" s="42"/>
      <c r="W1584" s="42"/>
    </row>
    <row r="1585">
      <c r="A1585" s="9"/>
      <c r="B1585" s="9"/>
      <c r="C1585" s="9"/>
      <c r="D1585" s="42"/>
      <c r="E1585" s="103"/>
      <c r="F1585" s="42"/>
      <c r="G1585" s="9"/>
      <c r="H1585" s="9"/>
      <c r="I1585" s="9"/>
      <c r="J1585" s="9"/>
      <c r="K1585" s="42"/>
      <c r="L1585" s="42"/>
      <c r="M1585" s="42"/>
      <c r="N1585" s="42"/>
      <c r="O1585" s="42"/>
      <c r="P1585" s="9"/>
      <c r="Q1585" s="9"/>
      <c r="R1585" s="42"/>
      <c r="S1585" s="42"/>
      <c r="T1585" s="42"/>
      <c r="U1585" s="42"/>
      <c r="V1585" s="42"/>
      <c r="W1585" s="42"/>
    </row>
    <row r="1586">
      <c r="A1586" s="9"/>
      <c r="B1586" s="9"/>
      <c r="C1586" s="9"/>
      <c r="D1586" s="42"/>
      <c r="E1586" s="103"/>
      <c r="F1586" s="42"/>
      <c r="G1586" s="9"/>
      <c r="H1586" s="9"/>
      <c r="I1586" s="9"/>
      <c r="J1586" s="9"/>
      <c r="K1586" s="42"/>
      <c r="L1586" s="42"/>
      <c r="M1586" s="42"/>
      <c r="N1586" s="42"/>
      <c r="O1586" s="42"/>
      <c r="P1586" s="9"/>
      <c r="Q1586" s="9"/>
      <c r="R1586" s="42"/>
      <c r="S1586" s="42"/>
      <c r="T1586" s="42"/>
      <c r="U1586" s="42"/>
      <c r="V1586" s="42"/>
      <c r="W1586" s="42"/>
    </row>
    <row r="1587">
      <c r="A1587" s="9"/>
      <c r="B1587" s="9"/>
      <c r="C1587" s="9"/>
      <c r="D1587" s="42"/>
      <c r="E1587" s="103"/>
      <c r="F1587" s="42"/>
      <c r="G1587" s="9"/>
      <c r="H1587" s="9"/>
      <c r="I1587" s="9"/>
      <c r="J1587" s="9"/>
      <c r="K1587" s="42"/>
      <c r="L1587" s="42"/>
      <c r="M1587" s="42"/>
      <c r="N1587" s="42"/>
      <c r="O1587" s="42"/>
      <c r="P1587" s="9"/>
      <c r="Q1587" s="9"/>
      <c r="R1587" s="42"/>
      <c r="S1587" s="42"/>
      <c r="T1587" s="42"/>
      <c r="U1587" s="42"/>
      <c r="V1587" s="42"/>
      <c r="W1587" s="42"/>
    </row>
    <row r="1588">
      <c r="A1588" s="9"/>
      <c r="B1588" s="9"/>
      <c r="C1588" s="9"/>
      <c r="D1588" s="42"/>
      <c r="E1588" s="103"/>
      <c r="F1588" s="42"/>
      <c r="G1588" s="9"/>
      <c r="H1588" s="9"/>
      <c r="I1588" s="9"/>
      <c r="J1588" s="9"/>
      <c r="K1588" s="42"/>
      <c r="L1588" s="42"/>
      <c r="M1588" s="42"/>
      <c r="N1588" s="42"/>
      <c r="O1588" s="42"/>
      <c r="P1588" s="9"/>
      <c r="Q1588" s="9"/>
      <c r="R1588" s="42"/>
      <c r="S1588" s="42"/>
      <c r="T1588" s="42"/>
      <c r="U1588" s="42"/>
      <c r="V1588" s="42"/>
      <c r="W1588" s="42"/>
    </row>
    <row r="1589">
      <c r="A1589" s="9"/>
      <c r="B1589" s="9"/>
      <c r="C1589" s="9"/>
      <c r="D1589" s="42"/>
      <c r="E1589" s="103"/>
      <c r="F1589" s="42"/>
      <c r="G1589" s="9"/>
      <c r="H1589" s="9"/>
      <c r="I1589" s="9"/>
      <c r="J1589" s="9"/>
      <c r="K1589" s="42"/>
      <c r="L1589" s="42"/>
      <c r="M1589" s="42"/>
      <c r="N1589" s="42"/>
      <c r="O1589" s="42"/>
      <c r="P1589" s="9"/>
      <c r="Q1589" s="9"/>
      <c r="R1589" s="42"/>
      <c r="S1589" s="42"/>
      <c r="T1589" s="42"/>
      <c r="U1589" s="42"/>
      <c r="V1589" s="42"/>
      <c r="W1589" s="42"/>
    </row>
    <row r="1590">
      <c r="A1590" s="9"/>
      <c r="B1590" s="9"/>
      <c r="C1590" s="9"/>
      <c r="D1590" s="42"/>
      <c r="E1590" s="103"/>
      <c r="F1590" s="42"/>
      <c r="G1590" s="9"/>
      <c r="H1590" s="9"/>
      <c r="I1590" s="9"/>
      <c r="J1590" s="9"/>
      <c r="K1590" s="42"/>
      <c r="L1590" s="42"/>
      <c r="M1590" s="42"/>
      <c r="N1590" s="42"/>
      <c r="O1590" s="42"/>
      <c r="P1590" s="9"/>
      <c r="Q1590" s="9"/>
      <c r="R1590" s="42"/>
      <c r="S1590" s="42"/>
      <c r="T1590" s="42"/>
      <c r="U1590" s="42"/>
      <c r="V1590" s="42"/>
      <c r="W1590" s="42"/>
    </row>
    <row r="1591">
      <c r="A1591" s="9"/>
      <c r="B1591" s="9"/>
      <c r="C1591" s="9"/>
      <c r="D1591" s="42"/>
      <c r="E1591" s="103"/>
      <c r="F1591" s="42"/>
      <c r="G1591" s="9"/>
      <c r="H1591" s="9"/>
      <c r="I1591" s="9"/>
      <c r="J1591" s="9"/>
      <c r="K1591" s="42"/>
      <c r="L1591" s="42"/>
      <c r="M1591" s="42"/>
      <c r="N1591" s="42"/>
      <c r="O1591" s="42"/>
      <c r="P1591" s="9"/>
      <c r="Q1591" s="9"/>
      <c r="R1591" s="42"/>
      <c r="S1591" s="42"/>
      <c r="T1591" s="42"/>
      <c r="U1591" s="42"/>
      <c r="V1591" s="42"/>
      <c r="W1591" s="42"/>
    </row>
    <row r="1592">
      <c r="A1592" s="9"/>
      <c r="B1592" s="9"/>
      <c r="C1592" s="9"/>
      <c r="D1592" s="42"/>
      <c r="E1592" s="103"/>
      <c r="F1592" s="42"/>
      <c r="G1592" s="9"/>
      <c r="H1592" s="9"/>
      <c r="I1592" s="9"/>
      <c r="J1592" s="9"/>
      <c r="K1592" s="42"/>
      <c r="L1592" s="42"/>
      <c r="M1592" s="42"/>
      <c r="N1592" s="42"/>
      <c r="O1592" s="42"/>
      <c r="P1592" s="9"/>
      <c r="Q1592" s="9"/>
      <c r="R1592" s="42"/>
      <c r="S1592" s="42"/>
      <c r="T1592" s="42"/>
      <c r="U1592" s="42"/>
      <c r="V1592" s="42"/>
      <c r="W1592" s="42"/>
    </row>
    <row r="1593">
      <c r="A1593" s="9"/>
      <c r="B1593" s="9"/>
      <c r="C1593" s="9"/>
      <c r="D1593" s="42"/>
      <c r="E1593" s="103"/>
      <c r="F1593" s="42"/>
      <c r="G1593" s="9"/>
      <c r="H1593" s="9"/>
      <c r="I1593" s="9"/>
      <c r="J1593" s="9"/>
      <c r="K1593" s="42"/>
      <c r="L1593" s="42"/>
      <c r="M1593" s="42"/>
      <c r="N1593" s="42"/>
      <c r="O1593" s="42"/>
      <c r="P1593" s="9"/>
      <c r="Q1593" s="9"/>
      <c r="R1593" s="42"/>
      <c r="S1593" s="42"/>
      <c r="T1593" s="42"/>
      <c r="U1593" s="42"/>
      <c r="V1593" s="42"/>
      <c r="W1593" s="42"/>
    </row>
    <row r="1594">
      <c r="A1594" s="9"/>
      <c r="B1594" s="9"/>
      <c r="C1594" s="9"/>
      <c r="D1594" s="42"/>
      <c r="E1594" s="103"/>
      <c r="F1594" s="42"/>
      <c r="G1594" s="9"/>
      <c r="H1594" s="9"/>
      <c r="I1594" s="9"/>
      <c r="J1594" s="9"/>
      <c r="K1594" s="42"/>
      <c r="L1594" s="42"/>
      <c r="M1594" s="42"/>
      <c r="N1594" s="42"/>
      <c r="O1594" s="42"/>
      <c r="P1594" s="9"/>
      <c r="Q1594" s="9"/>
      <c r="R1594" s="42"/>
      <c r="S1594" s="42"/>
      <c r="T1594" s="42"/>
      <c r="U1594" s="42"/>
      <c r="V1594" s="42"/>
      <c r="W1594" s="42"/>
    </row>
    <row r="1595">
      <c r="A1595" s="9"/>
      <c r="B1595" s="9"/>
      <c r="C1595" s="9"/>
      <c r="D1595" s="42"/>
      <c r="E1595" s="103"/>
      <c r="F1595" s="42"/>
      <c r="G1595" s="9"/>
      <c r="H1595" s="9"/>
      <c r="I1595" s="9"/>
      <c r="J1595" s="9"/>
      <c r="K1595" s="42"/>
      <c r="L1595" s="42"/>
      <c r="M1595" s="42"/>
      <c r="N1595" s="42"/>
      <c r="O1595" s="42"/>
      <c r="P1595" s="9"/>
      <c r="Q1595" s="9"/>
      <c r="R1595" s="42"/>
      <c r="S1595" s="42"/>
      <c r="T1595" s="42"/>
      <c r="U1595" s="42"/>
      <c r="V1595" s="42"/>
      <c r="W1595" s="42"/>
    </row>
    <row r="1596">
      <c r="A1596" s="9"/>
      <c r="B1596" s="9"/>
      <c r="C1596" s="9"/>
      <c r="D1596" s="42"/>
      <c r="E1596" s="103"/>
      <c r="F1596" s="42"/>
      <c r="G1596" s="9"/>
      <c r="H1596" s="9"/>
      <c r="I1596" s="9"/>
      <c r="J1596" s="9"/>
      <c r="K1596" s="42"/>
      <c r="L1596" s="42"/>
      <c r="M1596" s="42"/>
      <c r="N1596" s="42"/>
      <c r="O1596" s="42"/>
      <c r="P1596" s="9"/>
      <c r="Q1596" s="9"/>
      <c r="R1596" s="42"/>
      <c r="S1596" s="42"/>
      <c r="T1596" s="42"/>
      <c r="U1596" s="42"/>
      <c r="V1596" s="42"/>
      <c r="W1596" s="42"/>
    </row>
    <row r="1597">
      <c r="A1597" s="9"/>
      <c r="B1597" s="9"/>
      <c r="C1597" s="9"/>
      <c r="D1597" s="42"/>
      <c r="E1597" s="103"/>
      <c r="F1597" s="42"/>
      <c r="G1597" s="9"/>
      <c r="H1597" s="9"/>
      <c r="I1597" s="9"/>
      <c r="J1597" s="9"/>
      <c r="K1597" s="42"/>
      <c r="L1597" s="42"/>
      <c r="M1597" s="42"/>
      <c r="N1597" s="42"/>
      <c r="O1597" s="42"/>
      <c r="P1597" s="9"/>
      <c r="Q1597" s="9"/>
      <c r="R1597" s="42"/>
      <c r="S1597" s="42"/>
      <c r="T1597" s="42"/>
      <c r="U1597" s="42"/>
      <c r="V1597" s="42"/>
      <c r="W1597" s="42"/>
    </row>
    <row r="1598">
      <c r="A1598" s="9"/>
      <c r="B1598" s="9"/>
      <c r="C1598" s="9"/>
      <c r="D1598" s="42"/>
      <c r="E1598" s="103"/>
      <c r="F1598" s="42"/>
      <c r="G1598" s="9"/>
      <c r="H1598" s="9"/>
      <c r="I1598" s="9"/>
      <c r="J1598" s="9"/>
      <c r="K1598" s="42"/>
      <c r="L1598" s="42"/>
      <c r="M1598" s="42"/>
      <c r="N1598" s="42"/>
      <c r="O1598" s="42"/>
      <c r="P1598" s="9"/>
      <c r="Q1598" s="9"/>
      <c r="R1598" s="42"/>
      <c r="S1598" s="42"/>
      <c r="T1598" s="42"/>
      <c r="U1598" s="42"/>
      <c r="V1598" s="42"/>
      <c r="W1598" s="42"/>
    </row>
    <row r="1599">
      <c r="A1599" s="9"/>
      <c r="B1599" s="9"/>
      <c r="C1599" s="9"/>
      <c r="D1599" s="42"/>
      <c r="E1599" s="103"/>
      <c r="F1599" s="42"/>
      <c r="G1599" s="9"/>
      <c r="H1599" s="9"/>
      <c r="I1599" s="9"/>
      <c r="J1599" s="9"/>
      <c r="K1599" s="42"/>
      <c r="L1599" s="42"/>
      <c r="M1599" s="42"/>
      <c r="N1599" s="42"/>
      <c r="O1599" s="42"/>
      <c r="P1599" s="9"/>
      <c r="Q1599" s="9"/>
      <c r="R1599" s="42"/>
      <c r="S1599" s="42"/>
      <c r="T1599" s="42"/>
      <c r="U1599" s="42"/>
      <c r="V1599" s="42"/>
      <c r="W1599" s="42"/>
    </row>
    <row r="1600">
      <c r="A1600" s="9"/>
      <c r="B1600" s="9"/>
      <c r="C1600" s="9"/>
      <c r="D1600" s="42"/>
      <c r="E1600" s="103"/>
      <c r="F1600" s="42"/>
      <c r="G1600" s="9"/>
      <c r="H1600" s="9"/>
      <c r="I1600" s="9"/>
      <c r="J1600" s="9"/>
      <c r="K1600" s="42"/>
      <c r="L1600" s="42"/>
      <c r="M1600" s="42"/>
      <c r="N1600" s="42"/>
      <c r="O1600" s="42"/>
      <c r="P1600" s="9"/>
      <c r="Q1600" s="9"/>
      <c r="R1600" s="42"/>
      <c r="S1600" s="42"/>
      <c r="T1600" s="42"/>
      <c r="U1600" s="42"/>
      <c r="V1600" s="42"/>
      <c r="W1600" s="42"/>
    </row>
    <row r="1601">
      <c r="A1601" s="9"/>
      <c r="B1601" s="9"/>
      <c r="C1601" s="9"/>
      <c r="D1601" s="42"/>
      <c r="E1601" s="103"/>
      <c r="F1601" s="42"/>
      <c r="G1601" s="9"/>
      <c r="H1601" s="9"/>
      <c r="I1601" s="9"/>
      <c r="J1601" s="9"/>
      <c r="K1601" s="42"/>
      <c r="L1601" s="42"/>
      <c r="M1601" s="42"/>
      <c r="N1601" s="42"/>
      <c r="O1601" s="42"/>
      <c r="P1601" s="9"/>
      <c r="Q1601" s="9"/>
      <c r="R1601" s="42"/>
      <c r="S1601" s="42"/>
      <c r="T1601" s="42"/>
      <c r="U1601" s="42"/>
      <c r="V1601" s="42"/>
      <c r="W1601" s="42"/>
    </row>
    <row r="1602">
      <c r="A1602" s="9"/>
      <c r="B1602" s="9"/>
      <c r="C1602" s="9"/>
      <c r="D1602" s="42"/>
      <c r="E1602" s="103"/>
      <c r="F1602" s="42"/>
      <c r="G1602" s="9"/>
      <c r="H1602" s="9"/>
      <c r="I1602" s="9"/>
      <c r="J1602" s="9"/>
      <c r="K1602" s="42"/>
      <c r="L1602" s="42"/>
      <c r="M1602" s="42"/>
      <c r="N1602" s="42"/>
      <c r="O1602" s="42"/>
      <c r="P1602" s="9"/>
      <c r="Q1602" s="9"/>
      <c r="R1602" s="42"/>
      <c r="S1602" s="42"/>
      <c r="T1602" s="42"/>
      <c r="U1602" s="42"/>
      <c r="V1602" s="42"/>
      <c r="W1602" s="42"/>
    </row>
    <row r="1603">
      <c r="A1603" s="9"/>
      <c r="B1603" s="9"/>
      <c r="C1603" s="9"/>
      <c r="D1603" s="42"/>
      <c r="E1603" s="103"/>
      <c r="F1603" s="42"/>
      <c r="G1603" s="9"/>
      <c r="H1603" s="9"/>
      <c r="I1603" s="9"/>
      <c r="J1603" s="9"/>
      <c r="K1603" s="42"/>
      <c r="L1603" s="42"/>
      <c r="M1603" s="42"/>
      <c r="N1603" s="42"/>
      <c r="O1603" s="42"/>
      <c r="P1603" s="9"/>
      <c r="Q1603" s="9"/>
      <c r="R1603" s="42"/>
      <c r="S1603" s="42"/>
      <c r="T1603" s="42"/>
      <c r="U1603" s="42"/>
      <c r="V1603" s="42"/>
      <c r="W1603" s="42"/>
    </row>
    <row r="1604">
      <c r="A1604" s="9"/>
      <c r="B1604" s="9"/>
      <c r="C1604" s="9"/>
      <c r="D1604" s="42"/>
      <c r="E1604" s="103"/>
      <c r="F1604" s="42"/>
      <c r="G1604" s="9"/>
      <c r="H1604" s="9"/>
      <c r="I1604" s="9"/>
      <c r="J1604" s="9"/>
      <c r="K1604" s="42"/>
      <c r="L1604" s="42"/>
      <c r="M1604" s="42"/>
      <c r="N1604" s="42"/>
      <c r="O1604" s="42"/>
      <c r="P1604" s="9"/>
      <c r="Q1604" s="9"/>
      <c r="R1604" s="42"/>
      <c r="S1604" s="42"/>
      <c r="T1604" s="42"/>
      <c r="U1604" s="42"/>
      <c r="V1604" s="42"/>
      <c r="W1604" s="42"/>
    </row>
    <row r="1605">
      <c r="A1605" s="9"/>
      <c r="B1605" s="9"/>
      <c r="C1605" s="9"/>
      <c r="D1605" s="42"/>
      <c r="E1605" s="103"/>
      <c r="F1605" s="42"/>
      <c r="G1605" s="9"/>
      <c r="H1605" s="9"/>
      <c r="I1605" s="9"/>
      <c r="J1605" s="9"/>
      <c r="K1605" s="42"/>
      <c r="L1605" s="42"/>
      <c r="M1605" s="42"/>
      <c r="N1605" s="42"/>
      <c r="O1605" s="42"/>
      <c r="P1605" s="9"/>
      <c r="Q1605" s="9"/>
      <c r="R1605" s="42"/>
      <c r="S1605" s="42"/>
      <c r="T1605" s="42"/>
      <c r="U1605" s="42"/>
      <c r="V1605" s="42"/>
      <c r="W1605" s="42"/>
    </row>
    <row r="1606">
      <c r="A1606" s="9"/>
      <c r="B1606" s="9"/>
      <c r="C1606" s="9"/>
      <c r="D1606" s="42"/>
      <c r="E1606" s="103"/>
      <c r="F1606" s="42"/>
      <c r="G1606" s="9"/>
      <c r="H1606" s="9"/>
      <c r="I1606" s="9"/>
      <c r="J1606" s="9"/>
      <c r="K1606" s="42"/>
      <c r="L1606" s="42"/>
      <c r="M1606" s="42"/>
      <c r="N1606" s="42"/>
      <c r="O1606" s="42"/>
      <c r="P1606" s="9"/>
      <c r="Q1606" s="9"/>
      <c r="R1606" s="42"/>
      <c r="S1606" s="42"/>
      <c r="T1606" s="42"/>
      <c r="U1606" s="42"/>
      <c r="V1606" s="42"/>
      <c r="W1606" s="42"/>
    </row>
    <row r="1607">
      <c r="A1607" s="9"/>
      <c r="B1607" s="9"/>
      <c r="C1607" s="9"/>
      <c r="D1607" s="42"/>
      <c r="E1607" s="103"/>
      <c r="F1607" s="42"/>
      <c r="G1607" s="9"/>
      <c r="H1607" s="9"/>
      <c r="I1607" s="9"/>
      <c r="J1607" s="9"/>
      <c r="K1607" s="42"/>
      <c r="L1607" s="42"/>
      <c r="M1607" s="42"/>
      <c r="N1607" s="42"/>
      <c r="O1607" s="42"/>
      <c r="P1607" s="9"/>
      <c r="Q1607" s="9"/>
      <c r="R1607" s="42"/>
      <c r="S1607" s="42"/>
      <c r="T1607" s="42"/>
      <c r="U1607" s="42"/>
      <c r="V1607" s="42"/>
      <c r="W1607" s="42"/>
    </row>
    <row r="1608">
      <c r="A1608" s="9"/>
      <c r="B1608" s="9"/>
      <c r="C1608" s="9"/>
      <c r="D1608" s="42"/>
      <c r="E1608" s="103"/>
      <c r="F1608" s="42"/>
      <c r="G1608" s="9"/>
      <c r="H1608" s="9"/>
      <c r="I1608" s="9"/>
      <c r="J1608" s="9"/>
      <c r="K1608" s="42"/>
      <c r="L1608" s="42"/>
      <c r="M1608" s="42"/>
      <c r="N1608" s="42"/>
      <c r="O1608" s="42"/>
      <c r="P1608" s="9"/>
      <c r="Q1608" s="9"/>
      <c r="R1608" s="42"/>
      <c r="S1608" s="42"/>
      <c r="T1608" s="42"/>
      <c r="U1608" s="42"/>
      <c r="V1608" s="42"/>
      <c r="W1608" s="42"/>
    </row>
    <row r="1609">
      <c r="A1609" s="9"/>
      <c r="B1609" s="9"/>
      <c r="C1609" s="9"/>
      <c r="D1609" s="42"/>
      <c r="E1609" s="103"/>
      <c r="F1609" s="42"/>
      <c r="G1609" s="9"/>
      <c r="H1609" s="9"/>
      <c r="I1609" s="9"/>
      <c r="J1609" s="9"/>
      <c r="K1609" s="42"/>
      <c r="L1609" s="42"/>
      <c r="M1609" s="42"/>
      <c r="N1609" s="42"/>
      <c r="O1609" s="42"/>
      <c r="P1609" s="9"/>
      <c r="Q1609" s="9"/>
      <c r="R1609" s="42"/>
      <c r="S1609" s="42"/>
      <c r="T1609" s="42"/>
      <c r="U1609" s="42"/>
      <c r="V1609" s="42"/>
      <c r="W1609" s="42"/>
    </row>
    <row r="1610">
      <c r="A1610" s="9"/>
      <c r="B1610" s="9"/>
      <c r="C1610" s="9"/>
      <c r="D1610" s="42"/>
      <c r="E1610" s="103"/>
      <c r="F1610" s="42"/>
      <c r="G1610" s="9"/>
      <c r="H1610" s="9"/>
      <c r="I1610" s="9"/>
      <c r="J1610" s="9"/>
      <c r="K1610" s="42"/>
      <c r="L1610" s="42"/>
      <c r="M1610" s="42"/>
      <c r="N1610" s="42"/>
      <c r="O1610" s="42"/>
      <c r="P1610" s="9"/>
      <c r="Q1610" s="9"/>
      <c r="R1610" s="42"/>
      <c r="S1610" s="42"/>
      <c r="T1610" s="42"/>
      <c r="U1610" s="42"/>
      <c r="V1610" s="42"/>
      <c r="W1610" s="42"/>
    </row>
    <row r="1611">
      <c r="A1611" s="9"/>
      <c r="B1611" s="9"/>
      <c r="C1611" s="9"/>
      <c r="D1611" s="42"/>
      <c r="E1611" s="103"/>
      <c r="F1611" s="42"/>
      <c r="G1611" s="9"/>
      <c r="H1611" s="9"/>
      <c r="I1611" s="9"/>
      <c r="J1611" s="9"/>
      <c r="K1611" s="42"/>
      <c r="L1611" s="42"/>
      <c r="M1611" s="42"/>
      <c r="N1611" s="42"/>
      <c r="O1611" s="42"/>
      <c r="P1611" s="9"/>
      <c r="Q1611" s="9"/>
      <c r="R1611" s="42"/>
      <c r="S1611" s="42"/>
      <c r="T1611" s="42"/>
      <c r="U1611" s="42"/>
      <c r="V1611" s="42"/>
      <c r="W1611" s="42"/>
    </row>
    <row r="1612">
      <c r="A1612" s="9"/>
      <c r="B1612" s="9"/>
      <c r="C1612" s="9"/>
      <c r="D1612" s="42"/>
      <c r="E1612" s="103"/>
      <c r="F1612" s="42"/>
      <c r="G1612" s="9"/>
      <c r="H1612" s="9"/>
      <c r="I1612" s="9"/>
      <c r="J1612" s="9"/>
      <c r="K1612" s="42"/>
      <c r="L1612" s="42"/>
      <c r="M1612" s="42"/>
      <c r="N1612" s="42"/>
      <c r="O1612" s="42"/>
      <c r="P1612" s="9"/>
      <c r="Q1612" s="9"/>
      <c r="R1612" s="42"/>
      <c r="S1612" s="42"/>
      <c r="T1612" s="42"/>
      <c r="U1612" s="42"/>
      <c r="V1612" s="42"/>
      <c r="W1612" s="42"/>
    </row>
    <row r="1613">
      <c r="A1613" s="9"/>
      <c r="B1613" s="9"/>
      <c r="C1613" s="9"/>
      <c r="D1613" s="42"/>
      <c r="E1613" s="103"/>
      <c r="F1613" s="42"/>
      <c r="G1613" s="9"/>
      <c r="H1613" s="9"/>
      <c r="I1613" s="9"/>
      <c r="J1613" s="9"/>
      <c r="K1613" s="42"/>
      <c r="L1613" s="42"/>
      <c r="M1613" s="42"/>
      <c r="N1613" s="42"/>
      <c r="O1613" s="42"/>
      <c r="P1613" s="9"/>
      <c r="Q1613" s="9"/>
      <c r="R1613" s="42"/>
      <c r="S1613" s="42"/>
      <c r="T1613" s="42"/>
      <c r="U1613" s="42"/>
      <c r="V1613" s="42"/>
      <c r="W1613" s="42"/>
    </row>
    <row r="1614">
      <c r="A1614" s="9"/>
      <c r="B1614" s="9"/>
      <c r="C1614" s="9"/>
      <c r="D1614" s="42"/>
      <c r="E1614" s="103"/>
      <c r="F1614" s="42"/>
      <c r="G1614" s="9"/>
      <c r="H1614" s="9"/>
      <c r="I1614" s="9"/>
      <c r="J1614" s="9"/>
      <c r="K1614" s="42"/>
      <c r="L1614" s="42"/>
      <c r="M1614" s="42"/>
      <c r="N1614" s="42"/>
      <c r="O1614" s="42"/>
      <c r="P1614" s="9"/>
      <c r="Q1614" s="9"/>
      <c r="R1614" s="42"/>
      <c r="S1614" s="42"/>
      <c r="T1614" s="42"/>
      <c r="U1614" s="42"/>
      <c r="V1614" s="42"/>
      <c r="W1614" s="42"/>
    </row>
    <row r="1615">
      <c r="A1615" s="9"/>
      <c r="B1615" s="9"/>
      <c r="C1615" s="9"/>
      <c r="D1615" s="42"/>
      <c r="E1615" s="103"/>
      <c r="F1615" s="42"/>
      <c r="G1615" s="9"/>
      <c r="H1615" s="9"/>
      <c r="I1615" s="9"/>
      <c r="J1615" s="9"/>
      <c r="K1615" s="42"/>
      <c r="L1615" s="42"/>
      <c r="M1615" s="42"/>
      <c r="N1615" s="42"/>
      <c r="O1615" s="42"/>
      <c r="P1615" s="9"/>
      <c r="Q1615" s="9"/>
      <c r="R1615" s="42"/>
      <c r="S1615" s="42"/>
      <c r="T1615" s="42"/>
      <c r="U1615" s="42"/>
      <c r="V1615" s="42"/>
      <c r="W1615" s="42"/>
    </row>
    <row r="1616">
      <c r="A1616" s="9"/>
      <c r="B1616" s="9"/>
      <c r="C1616" s="9"/>
      <c r="D1616" s="42"/>
      <c r="E1616" s="103"/>
      <c r="F1616" s="42"/>
      <c r="G1616" s="9"/>
      <c r="H1616" s="9"/>
      <c r="I1616" s="9"/>
      <c r="J1616" s="9"/>
      <c r="K1616" s="42"/>
      <c r="L1616" s="42"/>
      <c r="M1616" s="42"/>
      <c r="N1616" s="42"/>
      <c r="O1616" s="42"/>
      <c r="P1616" s="9"/>
      <c r="Q1616" s="9"/>
      <c r="R1616" s="42"/>
      <c r="S1616" s="42"/>
      <c r="T1616" s="42"/>
      <c r="U1616" s="42"/>
      <c r="V1616" s="42"/>
      <c r="W1616" s="42"/>
    </row>
    <row r="1617">
      <c r="A1617" s="9"/>
      <c r="B1617" s="9"/>
      <c r="C1617" s="9"/>
      <c r="D1617" s="42"/>
      <c r="E1617" s="103"/>
      <c r="F1617" s="42"/>
      <c r="G1617" s="9"/>
      <c r="H1617" s="9"/>
      <c r="I1617" s="9"/>
      <c r="J1617" s="9"/>
      <c r="K1617" s="42"/>
      <c r="L1617" s="42"/>
      <c r="M1617" s="42"/>
      <c r="N1617" s="42"/>
      <c r="O1617" s="42"/>
      <c r="P1617" s="9"/>
      <c r="Q1617" s="9"/>
      <c r="R1617" s="42"/>
      <c r="S1617" s="42"/>
      <c r="T1617" s="42"/>
      <c r="U1617" s="42"/>
      <c r="V1617" s="42"/>
      <c r="W1617" s="42"/>
    </row>
    <row r="1618">
      <c r="A1618" s="9"/>
      <c r="B1618" s="9"/>
      <c r="C1618" s="9"/>
      <c r="D1618" s="42"/>
      <c r="E1618" s="103"/>
      <c r="F1618" s="42"/>
      <c r="G1618" s="9"/>
      <c r="H1618" s="9"/>
      <c r="I1618" s="9"/>
      <c r="J1618" s="9"/>
      <c r="K1618" s="42"/>
      <c r="L1618" s="42"/>
      <c r="M1618" s="42"/>
      <c r="N1618" s="42"/>
      <c r="O1618" s="42"/>
      <c r="P1618" s="9"/>
      <c r="Q1618" s="9"/>
      <c r="R1618" s="42"/>
      <c r="S1618" s="42"/>
      <c r="T1618" s="42"/>
      <c r="U1618" s="42"/>
      <c r="V1618" s="42"/>
      <c r="W1618" s="42"/>
    </row>
    <row r="1619">
      <c r="A1619" s="9"/>
      <c r="B1619" s="9"/>
      <c r="C1619" s="9"/>
      <c r="D1619" s="42"/>
      <c r="E1619" s="103"/>
      <c r="F1619" s="42"/>
      <c r="G1619" s="9"/>
      <c r="H1619" s="9"/>
      <c r="I1619" s="9"/>
      <c r="J1619" s="9"/>
      <c r="K1619" s="42"/>
      <c r="L1619" s="42"/>
      <c r="M1619" s="42"/>
      <c r="N1619" s="42"/>
      <c r="O1619" s="42"/>
      <c r="P1619" s="9"/>
      <c r="Q1619" s="9"/>
      <c r="R1619" s="42"/>
      <c r="S1619" s="42"/>
      <c r="T1619" s="42"/>
      <c r="U1619" s="42"/>
      <c r="V1619" s="42"/>
      <c r="W1619" s="42"/>
    </row>
    <row r="1620">
      <c r="A1620" s="9"/>
      <c r="B1620" s="9"/>
      <c r="C1620" s="9"/>
      <c r="D1620" s="42"/>
      <c r="E1620" s="103"/>
      <c r="F1620" s="42"/>
      <c r="G1620" s="9"/>
      <c r="H1620" s="9"/>
      <c r="I1620" s="9"/>
      <c r="J1620" s="9"/>
      <c r="K1620" s="42"/>
      <c r="L1620" s="42"/>
      <c r="M1620" s="42"/>
      <c r="N1620" s="42"/>
      <c r="O1620" s="42"/>
      <c r="P1620" s="9"/>
      <c r="Q1620" s="9"/>
      <c r="R1620" s="42"/>
      <c r="S1620" s="42"/>
      <c r="T1620" s="42"/>
      <c r="U1620" s="42"/>
      <c r="V1620" s="42"/>
      <c r="W1620" s="42"/>
    </row>
    <row r="1621">
      <c r="A1621" s="9"/>
      <c r="B1621" s="9"/>
      <c r="C1621" s="9"/>
      <c r="D1621" s="42"/>
      <c r="E1621" s="103"/>
      <c r="F1621" s="42"/>
      <c r="G1621" s="9"/>
      <c r="H1621" s="9"/>
      <c r="I1621" s="9"/>
      <c r="J1621" s="9"/>
      <c r="K1621" s="42"/>
      <c r="L1621" s="42"/>
      <c r="M1621" s="42"/>
      <c r="N1621" s="42"/>
      <c r="O1621" s="42"/>
      <c r="P1621" s="9"/>
      <c r="Q1621" s="9"/>
      <c r="R1621" s="42"/>
      <c r="S1621" s="42"/>
      <c r="T1621" s="42"/>
      <c r="U1621" s="42"/>
      <c r="V1621" s="42"/>
      <c r="W1621" s="42"/>
    </row>
    <row r="1622">
      <c r="A1622" s="9"/>
      <c r="B1622" s="9"/>
      <c r="C1622" s="9"/>
      <c r="D1622" s="42"/>
      <c r="E1622" s="103"/>
      <c r="F1622" s="42"/>
      <c r="G1622" s="9"/>
      <c r="H1622" s="9"/>
      <c r="I1622" s="9"/>
      <c r="J1622" s="9"/>
      <c r="K1622" s="42"/>
      <c r="L1622" s="42"/>
      <c r="M1622" s="42"/>
      <c r="N1622" s="42"/>
      <c r="O1622" s="42"/>
      <c r="P1622" s="9"/>
      <c r="Q1622" s="9"/>
      <c r="R1622" s="42"/>
      <c r="S1622" s="42"/>
      <c r="T1622" s="42"/>
      <c r="U1622" s="42"/>
      <c r="V1622" s="42"/>
      <c r="W1622" s="42"/>
    </row>
    <row r="1623">
      <c r="A1623" s="9"/>
      <c r="B1623" s="9"/>
      <c r="C1623" s="9"/>
      <c r="D1623" s="42"/>
      <c r="E1623" s="103"/>
      <c r="F1623" s="42"/>
      <c r="G1623" s="9"/>
      <c r="H1623" s="9"/>
      <c r="I1623" s="9"/>
      <c r="J1623" s="9"/>
      <c r="K1623" s="42"/>
      <c r="L1623" s="42"/>
      <c r="M1623" s="42"/>
      <c r="N1623" s="42"/>
      <c r="O1623" s="42"/>
      <c r="P1623" s="9"/>
      <c r="Q1623" s="9"/>
      <c r="R1623" s="42"/>
      <c r="S1623" s="42"/>
      <c r="T1623" s="42"/>
      <c r="U1623" s="42"/>
      <c r="V1623" s="42"/>
      <c r="W1623" s="42"/>
    </row>
    <row r="1624">
      <c r="A1624" s="9"/>
      <c r="B1624" s="9"/>
      <c r="C1624" s="9"/>
      <c r="D1624" s="42"/>
      <c r="E1624" s="103"/>
      <c r="F1624" s="42"/>
      <c r="G1624" s="9"/>
      <c r="H1624" s="9"/>
      <c r="I1624" s="9"/>
      <c r="J1624" s="9"/>
      <c r="K1624" s="42"/>
      <c r="L1624" s="42"/>
      <c r="M1624" s="42"/>
      <c r="N1624" s="42"/>
      <c r="O1624" s="42"/>
      <c r="P1624" s="9"/>
      <c r="Q1624" s="9"/>
      <c r="R1624" s="42"/>
      <c r="S1624" s="42"/>
      <c r="T1624" s="42"/>
      <c r="U1624" s="42"/>
      <c r="V1624" s="42"/>
      <c r="W1624" s="42"/>
    </row>
    <row r="1625">
      <c r="A1625" s="9"/>
      <c r="B1625" s="9"/>
      <c r="C1625" s="9"/>
      <c r="D1625" s="42"/>
      <c r="E1625" s="103"/>
      <c r="F1625" s="42"/>
      <c r="G1625" s="9"/>
      <c r="H1625" s="9"/>
      <c r="I1625" s="9"/>
      <c r="J1625" s="9"/>
      <c r="K1625" s="42"/>
      <c r="L1625" s="42"/>
      <c r="M1625" s="42"/>
      <c r="N1625" s="42"/>
      <c r="O1625" s="42"/>
      <c r="P1625" s="9"/>
      <c r="Q1625" s="9"/>
      <c r="R1625" s="42"/>
      <c r="S1625" s="42"/>
      <c r="T1625" s="42"/>
      <c r="U1625" s="42"/>
      <c r="V1625" s="42"/>
      <c r="W1625" s="42"/>
    </row>
    <row r="1626">
      <c r="A1626" s="9"/>
      <c r="B1626" s="9"/>
      <c r="C1626" s="9"/>
      <c r="D1626" s="42"/>
      <c r="E1626" s="103"/>
      <c r="F1626" s="42"/>
      <c r="G1626" s="9"/>
      <c r="H1626" s="9"/>
      <c r="I1626" s="9"/>
      <c r="J1626" s="9"/>
      <c r="K1626" s="42"/>
      <c r="L1626" s="42"/>
      <c r="M1626" s="42"/>
      <c r="N1626" s="42"/>
      <c r="O1626" s="42"/>
      <c r="P1626" s="9"/>
      <c r="Q1626" s="9"/>
      <c r="R1626" s="42"/>
      <c r="S1626" s="42"/>
      <c r="T1626" s="42"/>
      <c r="U1626" s="42"/>
      <c r="V1626" s="42"/>
      <c r="W1626" s="42"/>
    </row>
    <row r="1627">
      <c r="A1627" s="9"/>
      <c r="B1627" s="9"/>
      <c r="C1627" s="9"/>
      <c r="D1627" s="42"/>
      <c r="E1627" s="103"/>
      <c r="F1627" s="42"/>
      <c r="G1627" s="9"/>
      <c r="H1627" s="9"/>
      <c r="I1627" s="9"/>
      <c r="J1627" s="9"/>
      <c r="K1627" s="42"/>
      <c r="L1627" s="42"/>
      <c r="M1627" s="42"/>
      <c r="N1627" s="42"/>
      <c r="O1627" s="42"/>
      <c r="P1627" s="9"/>
      <c r="Q1627" s="9"/>
      <c r="R1627" s="42"/>
      <c r="S1627" s="42"/>
      <c r="T1627" s="42"/>
      <c r="U1627" s="42"/>
      <c r="V1627" s="42"/>
      <c r="W1627" s="42"/>
    </row>
    <row r="1628">
      <c r="A1628" s="9"/>
      <c r="B1628" s="9"/>
      <c r="C1628" s="9"/>
      <c r="D1628" s="42"/>
      <c r="E1628" s="103"/>
      <c r="F1628" s="42"/>
      <c r="G1628" s="9"/>
      <c r="H1628" s="9"/>
      <c r="I1628" s="9"/>
      <c r="J1628" s="9"/>
      <c r="K1628" s="42"/>
      <c r="L1628" s="42"/>
      <c r="M1628" s="42"/>
      <c r="N1628" s="42"/>
      <c r="O1628" s="42"/>
      <c r="P1628" s="9"/>
      <c r="Q1628" s="9"/>
      <c r="R1628" s="42"/>
      <c r="S1628" s="42"/>
      <c r="T1628" s="42"/>
      <c r="U1628" s="42"/>
      <c r="V1628" s="42"/>
      <c r="W1628" s="42"/>
    </row>
    <row r="1629">
      <c r="A1629" s="9"/>
      <c r="B1629" s="9"/>
      <c r="C1629" s="9"/>
      <c r="D1629" s="42"/>
      <c r="E1629" s="103"/>
      <c r="F1629" s="42"/>
      <c r="G1629" s="9"/>
      <c r="H1629" s="9"/>
      <c r="I1629" s="9"/>
      <c r="J1629" s="9"/>
      <c r="K1629" s="42"/>
      <c r="L1629" s="42"/>
      <c r="M1629" s="42"/>
      <c r="N1629" s="42"/>
      <c r="O1629" s="42"/>
      <c r="P1629" s="9"/>
      <c r="Q1629" s="9"/>
      <c r="R1629" s="42"/>
      <c r="S1629" s="42"/>
      <c r="T1629" s="42"/>
      <c r="U1629" s="42"/>
      <c r="V1629" s="42"/>
      <c r="W1629" s="42"/>
    </row>
    <row r="1630">
      <c r="A1630" s="9"/>
      <c r="B1630" s="9"/>
      <c r="C1630" s="9"/>
      <c r="D1630" s="42"/>
      <c r="E1630" s="103"/>
      <c r="F1630" s="42"/>
      <c r="G1630" s="9"/>
      <c r="H1630" s="9"/>
      <c r="I1630" s="9"/>
      <c r="J1630" s="9"/>
      <c r="K1630" s="42"/>
      <c r="L1630" s="42"/>
      <c r="M1630" s="42"/>
      <c r="N1630" s="42"/>
      <c r="O1630" s="42"/>
      <c r="P1630" s="9"/>
      <c r="Q1630" s="9"/>
      <c r="R1630" s="42"/>
      <c r="S1630" s="42"/>
      <c r="T1630" s="42"/>
      <c r="U1630" s="42"/>
      <c r="V1630" s="42"/>
      <c r="W1630" s="42"/>
    </row>
    <row r="1631">
      <c r="A1631" s="9"/>
      <c r="B1631" s="9"/>
      <c r="C1631" s="9"/>
      <c r="D1631" s="42"/>
      <c r="E1631" s="103"/>
      <c r="F1631" s="42"/>
      <c r="G1631" s="9"/>
      <c r="H1631" s="9"/>
      <c r="I1631" s="9"/>
      <c r="J1631" s="9"/>
      <c r="K1631" s="42"/>
      <c r="L1631" s="42"/>
      <c r="M1631" s="42"/>
      <c r="N1631" s="42"/>
      <c r="O1631" s="42"/>
      <c r="P1631" s="9"/>
      <c r="Q1631" s="9"/>
      <c r="R1631" s="42"/>
      <c r="S1631" s="42"/>
      <c r="T1631" s="42"/>
      <c r="U1631" s="42"/>
      <c r="V1631" s="42"/>
      <c r="W1631" s="42"/>
    </row>
    <row r="1632">
      <c r="A1632" s="9"/>
      <c r="B1632" s="9"/>
      <c r="C1632" s="9"/>
      <c r="D1632" s="42"/>
      <c r="E1632" s="103"/>
      <c r="F1632" s="42"/>
      <c r="G1632" s="9"/>
      <c r="H1632" s="9"/>
      <c r="I1632" s="9"/>
      <c r="J1632" s="9"/>
      <c r="K1632" s="42"/>
      <c r="L1632" s="42"/>
      <c r="M1632" s="42"/>
      <c r="N1632" s="42"/>
      <c r="O1632" s="42"/>
      <c r="P1632" s="9"/>
      <c r="Q1632" s="9"/>
      <c r="R1632" s="42"/>
      <c r="S1632" s="42"/>
      <c r="T1632" s="42"/>
      <c r="U1632" s="42"/>
      <c r="V1632" s="42"/>
      <c r="W1632" s="42"/>
    </row>
    <row r="1633">
      <c r="A1633" s="9"/>
      <c r="B1633" s="9"/>
      <c r="C1633" s="9"/>
      <c r="D1633" s="42"/>
      <c r="E1633" s="103"/>
      <c r="F1633" s="42"/>
      <c r="G1633" s="9"/>
      <c r="H1633" s="9"/>
      <c r="I1633" s="9"/>
      <c r="J1633" s="9"/>
      <c r="K1633" s="42"/>
      <c r="L1633" s="42"/>
      <c r="M1633" s="42"/>
      <c r="N1633" s="42"/>
      <c r="O1633" s="42"/>
      <c r="P1633" s="9"/>
      <c r="Q1633" s="9"/>
      <c r="R1633" s="42"/>
      <c r="S1633" s="42"/>
      <c r="T1633" s="42"/>
      <c r="U1633" s="42"/>
      <c r="V1633" s="42"/>
      <c r="W1633" s="42"/>
    </row>
    <row r="1634">
      <c r="A1634" s="9"/>
      <c r="B1634" s="9"/>
      <c r="C1634" s="9"/>
      <c r="D1634" s="42"/>
      <c r="E1634" s="103"/>
      <c r="F1634" s="42"/>
      <c r="G1634" s="9"/>
      <c r="H1634" s="9"/>
      <c r="I1634" s="9"/>
      <c r="J1634" s="9"/>
      <c r="K1634" s="42"/>
      <c r="L1634" s="42"/>
      <c r="M1634" s="42"/>
      <c r="N1634" s="42"/>
      <c r="O1634" s="42"/>
      <c r="P1634" s="9"/>
      <c r="Q1634" s="9"/>
      <c r="R1634" s="42"/>
      <c r="S1634" s="42"/>
      <c r="T1634" s="42"/>
      <c r="U1634" s="42"/>
      <c r="V1634" s="42"/>
      <c r="W1634" s="42"/>
    </row>
    <row r="1635">
      <c r="A1635" s="9"/>
      <c r="B1635" s="9"/>
      <c r="C1635" s="9"/>
      <c r="D1635" s="42"/>
      <c r="E1635" s="103"/>
      <c r="F1635" s="42"/>
      <c r="G1635" s="9"/>
      <c r="H1635" s="9"/>
      <c r="I1635" s="9"/>
      <c r="J1635" s="9"/>
      <c r="K1635" s="42"/>
      <c r="L1635" s="42"/>
      <c r="M1635" s="42"/>
      <c r="N1635" s="42"/>
      <c r="O1635" s="42"/>
      <c r="P1635" s="9"/>
      <c r="Q1635" s="9"/>
      <c r="R1635" s="42"/>
      <c r="S1635" s="42"/>
      <c r="T1635" s="42"/>
      <c r="U1635" s="42"/>
      <c r="V1635" s="42"/>
      <c r="W1635" s="42"/>
    </row>
    <row r="1636">
      <c r="A1636" s="9"/>
      <c r="B1636" s="9"/>
      <c r="C1636" s="9"/>
      <c r="D1636" s="42"/>
      <c r="E1636" s="103"/>
      <c r="F1636" s="42"/>
      <c r="G1636" s="9"/>
      <c r="H1636" s="9"/>
      <c r="I1636" s="9"/>
      <c r="J1636" s="9"/>
      <c r="K1636" s="42"/>
      <c r="L1636" s="42"/>
      <c r="M1636" s="42"/>
      <c r="N1636" s="42"/>
      <c r="O1636" s="42"/>
      <c r="P1636" s="9"/>
      <c r="Q1636" s="9"/>
      <c r="R1636" s="42"/>
      <c r="S1636" s="42"/>
      <c r="T1636" s="42"/>
      <c r="U1636" s="42"/>
      <c r="V1636" s="42"/>
      <c r="W1636" s="42"/>
    </row>
    <row r="1637">
      <c r="A1637" s="9"/>
      <c r="B1637" s="9"/>
      <c r="C1637" s="9"/>
      <c r="D1637" s="42"/>
      <c r="E1637" s="103"/>
      <c r="F1637" s="42"/>
      <c r="G1637" s="9"/>
      <c r="H1637" s="9"/>
      <c r="I1637" s="9"/>
      <c r="J1637" s="9"/>
      <c r="K1637" s="42"/>
      <c r="L1637" s="42"/>
      <c r="M1637" s="42"/>
      <c r="N1637" s="42"/>
      <c r="O1637" s="42"/>
      <c r="P1637" s="9"/>
      <c r="Q1637" s="9"/>
      <c r="R1637" s="42"/>
      <c r="S1637" s="42"/>
      <c r="T1637" s="42"/>
      <c r="U1637" s="42"/>
      <c r="V1637" s="42"/>
      <c r="W1637" s="42"/>
    </row>
    <row r="1638">
      <c r="A1638" s="9"/>
      <c r="B1638" s="9"/>
      <c r="C1638" s="9"/>
      <c r="D1638" s="42"/>
      <c r="E1638" s="103"/>
      <c r="F1638" s="42"/>
      <c r="G1638" s="9"/>
      <c r="H1638" s="9"/>
      <c r="I1638" s="9"/>
      <c r="J1638" s="9"/>
      <c r="K1638" s="42"/>
      <c r="L1638" s="42"/>
      <c r="M1638" s="42"/>
      <c r="N1638" s="42"/>
      <c r="O1638" s="42"/>
      <c r="P1638" s="9"/>
      <c r="Q1638" s="9"/>
      <c r="R1638" s="42"/>
      <c r="S1638" s="42"/>
      <c r="T1638" s="42"/>
      <c r="U1638" s="42"/>
      <c r="V1638" s="42"/>
      <c r="W1638" s="42"/>
    </row>
    <row r="1639">
      <c r="A1639" s="9"/>
      <c r="B1639" s="9"/>
      <c r="C1639" s="9"/>
      <c r="D1639" s="42"/>
      <c r="E1639" s="103"/>
      <c r="F1639" s="42"/>
      <c r="G1639" s="9"/>
      <c r="H1639" s="9"/>
      <c r="I1639" s="9"/>
      <c r="J1639" s="9"/>
      <c r="K1639" s="42"/>
      <c r="L1639" s="42"/>
      <c r="M1639" s="42"/>
      <c r="N1639" s="42"/>
      <c r="O1639" s="42"/>
      <c r="P1639" s="9"/>
      <c r="Q1639" s="9"/>
      <c r="R1639" s="42"/>
      <c r="S1639" s="42"/>
      <c r="T1639" s="42"/>
      <c r="U1639" s="42"/>
      <c r="V1639" s="42"/>
      <c r="W1639" s="42"/>
    </row>
    <row r="1640">
      <c r="A1640" s="9"/>
      <c r="B1640" s="9"/>
      <c r="C1640" s="9"/>
      <c r="D1640" s="42"/>
      <c r="E1640" s="103"/>
      <c r="F1640" s="42"/>
      <c r="G1640" s="9"/>
      <c r="H1640" s="9"/>
      <c r="I1640" s="9"/>
      <c r="J1640" s="9"/>
      <c r="K1640" s="42"/>
      <c r="L1640" s="42"/>
      <c r="M1640" s="42"/>
      <c r="N1640" s="42"/>
      <c r="O1640" s="42"/>
      <c r="P1640" s="9"/>
      <c r="Q1640" s="9"/>
      <c r="R1640" s="42"/>
      <c r="S1640" s="42"/>
      <c r="T1640" s="42"/>
      <c r="U1640" s="42"/>
      <c r="V1640" s="42"/>
      <c r="W1640" s="42"/>
    </row>
    <row r="1641">
      <c r="A1641" s="9"/>
      <c r="B1641" s="9"/>
      <c r="C1641" s="9"/>
      <c r="D1641" s="42"/>
      <c r="E1641" s="103"/>
      <c r="F1641" s="42"/>
      <c r="G1641" s="9"/>
      <c r="H1641" s="9"/>
      <c r="I1641" s="9"/>
      <c r="J1641" s="9"/>
      <c r="K1641" s="42"/>
      <c r="L1641" s="42"/>
      <c r="M1641" s="42"/>
      <c r="N1641" s="42"/>
      <c r="O1641" s="42"/>
      <c r="P1641" s="9"/>
      <c r="Q1641" s="9"/>
      <c r="R1641" s="42"/>
      <c r="S1641" s="42"/>
      <c r="T1641" s="42"/>
      <c r="U1641" s="42"/>
      <c r="V1641" s="42"/>
      <c r="W1641" s="42"/>
    </row>
    <row r="1642">
      <c r="A1642" s="9"/>
      <c r="B1642" s="9"/>
      <c r="C1642" s="9"/>
      <c r="D1642" s="42"/>
      <c r="E1642" s="103"/>
      <c r="F1642" s="42"/>
      <c r="G1642" s="9"/>
      <c r="H1642" s="9"/>
      <c r="I1642" s="9"/>
      <c r="J1642" s="9"/>
      <c r="K1642" s="42"/>
      <c r="L1642" s="42"/>
      <c r="M1642" s="42"/>
      <c r="N1642" s="42"/>
      <c r="O1642" s="42"/>
      <c r="P1642" s="9"/>
      <c r="Q1642" s="9"/>
      <c r="R1642" s="42"/>
      <c r="S1642" s="42"/>
      <c r="T1642" s="42"/>
      <c r="U1642" s="42"/>
      <c r="V1642" s="42"/>
      <c r="W1642" s="42"/>
    </row>
    <row r="1643">
      <c r="A1643" s="9"/>
      <c r="B1643" s="9"/>
      <c r="C1643" s="9"/>
      <c r="D1643" s="42"/>
      <c r="E1643" s="103"/>
      <c r="F1643" s="42"/>
      <c r="G1643" s="9"/>
      <c r="H1643" s="9"/>
      <c r="I1643" s="9"/>
      <c r="J1643" s="9"/>
      <c r="K1643" s="42"/>
      <c r="L1643" s="42"/>
      <c r="M1643" s="42"/>
      <c r="N1643" s="42"/>
      <c r="O1643" s="42"/>
      <c r="P1643" s="9"/>
      <c r="Q1643" s="9"/>
      <c r="R1643" s="42"/>
      <c r="S1643" s="42"/>
      <c r="T1643" s="42"/>
      <c r="U1643" s="42"/>
      <c r="V1643" s="42"/>
      <c r="W1643" s="42"/>
    </row>
    <row r="1644">
      <c r="A1644" s="9"/>
      <c r="B1644" s="9"/>
      <c r="C1644" s="9"/>
      <c r="D1644" s="42"/>
      <c r="E1644" s="103"/>
      <c r="F1644" s="42"/>
      <c r="G1644" s="9"/>
      <c r="H1644" s="9"/>
      <c r="I1644" s="9"/>
      <c r="J1644" s="9"/>
      <c r="K1644" s="42"/>
      <c r="L1644" s="42"/>
      <c r="M1644" s="42"/>
      <c r="N1644" s="42"/>
      <c r="O1644" s="42"/>
      <c r="P1644" s="9"/>
      <c r="Q1644" s="9"/>
      <c r="R1644" s="42"/>
      <c r="S1644" s="42"/>
      <c r="T1644" s="42"/>
      <c r="U1644" s="42"/>
      <c r="V1644" s="42"/>
      <c r="W1644" s="42"/>
    </row>
    <row r="1645">
      <c r="A1645" s="9"/>
      <c r="B1645" s="9"/>
      <c r="C1645" s="9"/>
      <c r="D1645" s="42"/>
      <c r="E1645" s="103"/>
      <c r="F1645" s="42"/>
      <c r="G1645" s="9"/>
      <c r="H1645" s="9"/>
      <c r="I1645" s="9"/>
      <c r="J1645" s="9"/>
      <c r="K1645" s="42"/>
      <c r="L1645" s="42"/>
      <c r="M1645" s="42"/>
      <c r="N1645" s="42"/>
      <c r="O1645" s="42"/>
      <c r="P1645" s="9"/>
      <c r="Q1645" s="9"/>
      <c r="R1645" s="42"/>
      <c r="S1645" s="42"/>
      <c r="T1645" s="42"/>
      <c r="U1645" s="42"/>
      <c r="V1645" s="42"/>
      <c r="W1645" s="42"/>
    </row>
    <row r="1646">
      <c r="A1646" s="9"/>
      <c r="B1646" s="9"/>
      <c r="C1646" s="9"/>
      <c r="D1646" s="42"/>
      <c r="E1646" s="103"/>
      <c r="F1646" s="42"/>
      <c r="G1646" s="9"/>
      <c r="H1646" s="9"/>
      <c r="I1646" s="9"/>
      <c r="J1646" s="9"/>
      <c r="K1646" s="42"/>
      <c r="L1646" s="42"/>
      <c r="M1646" s="42"/>
      <c r="N1646" s="42"/>
      <c r="O1646" s="42"/>
      <c r="P1646" s="9"/>
      <c r="Q1646" s="9"/>
      <c r="R1646" s="42"/>
      <c r="S1646" s="42"/>
      <c r="T1646" s="42"/>
      <c r="U1646" s="42"/>
      <c r="V1646" s="42"/>
      <c r="W1646" s="42"/>
    </row>
    <row r="1647">
      <c r="A1647" s="9"/>
      <c r="B1647" s="9"/>
      <c r="C1647" s="9"/>
      <c r="D1647" s="42"/>
      <c r="E1647" s="103"/>
      <c r="F1647" s="42"/>
      <c r="G1647" s="9"/>
      <c r="H1647" s="9"/>
      <c r="I1647" s="9"/>
      <c r="J1647" s="9"/>
      <c r="K1647" s="42"/>
      <c r="L1647" s="42"/>
      <c r="M1647" s="42"/>
      <c r="N1647" s="42"/>
      <c r="O1647" s="42"/>
      <c r="P1647" s="9"/>
      <c r="Q1647" s="9"/>
      <c r="R1647" s="42"/>
      <c r="S1647" s="42"/>
      <c r="T1647" s="42"/>
      <c r="U1647" s="42"/>
      <c r="V1647" s="42"/>
      <c r="W1647" s="42"/>
    </row>
    <row r="1648">
      <c r="A1648" s="9"/>
      <c r="B1648" s="9"/>
      <c r="C1648" s="9"/>
      <c r="D1648" s="42"/>
      <c r="E1648" s="103"/>
      <c r="F1648" s="42"/>
      <c r="G1648" s="9"/>
      <c r="H1648" s="9"/>
      <c r="I1648" s="9"/>
      <c r="J1648" s="9"/>
      <c r="K1648" s="42"/>
      <c r="L1648" s="42"/>
      <c r="M1648" s="42"/>
      <c r="N1648" s="42"/>
      <c r="O1648" s="42"/>
      <c r="P1648" s="9"/>
      <c r="Q1648" s="9"/>
      <c r="R1648" s="42"/>
      <c r="S1648" s="42"/>
      <c r="T1648" s="42"/>
      <c r="U1648" s="42"/>
      <c r="V1648" s="42"/>
      <c r="W1648" s="42"/>
    </row>
    <row r="1649">
      <c r="A1649" s="9"/>
      <c r="B1649" s="9"/>
      <c r="C1649" s="9"/>
      <c r="D1649" s="42"/>
      <c r="E1649" s="103"/>
      <c r="F1649" s="42"/>
      <c r="G1649" s="9"/>
      <c r="H1649" s="9"/>
      <c r="I1649" s="9"/>
      <c r="J1649" s="9"/>
      <c r="K1649" s="42"/>
      <c r="L1649" s="42"/>
      <c r="M1649" s="42"/>
      <c r="N1649" s="42"/>
      <c r="O1649" s="42"/>
      <c r="P1649" s="9"/>
      <c r="Q1649" s="9"/>
      <c r="R1649" s="42"/>
      <c r="S1649" s="42"/>
      <c r="T1649" s="42"/>
      <c r="U1649" s="42"/>
      <c r="V1649" s="42"/>
      <c r="W1649" s="42"/>
    </row>
    <row r="1650">
      <c r="A1650" s="9"/>
      <c r="B1650" s="9"/>
      <c r="C1650" s="9"/>
      <c r="D1650" s="42"/>
      <c r="E1650" s="103"/>
      <c r="F1650" s="42"/>
      <c r="G1650" s="9"/>
      <c r="H1650" s="9"/>
      <c r="I1650" s="9"/>
      <c r="J1650" s="9"/>
      <c r="K1650" s="42"/>
      <c r="L1650" s="42"/>
      <c r="M1650" s="42"/>
      <c r="N1650" s="42"/>
      <c r="O1650" s="42"/>
      <c r="P1650" s="9"/>
      <c r="Q1650" s="9"/>
      <c r="R1650" s="42"/>
      <c r="S1650" s="42"/>
      <c r="T1650" s="42"/>
      <c r="U1650" s="42"/>
      <c r="V1650" s="42"/>
      <c r="W1650" s="42"/>
    </row>
    <row r="1651">
      <c r="A1651" s="9"/>
      <c r="B1651" s="9"/>
      <c r="C1651" s="9"/>
      <c r="D1651" s="42"/>
      <c r="E1651" s="103"/>
      <c r="F1651" s="42"/>
      <c r="G1651" s="9"/>
      <c r="H1651" s="9"/>
      <c r="I1651" s="9"/>
      <c r="J1651" s="9"/>
      <c r="K1651" s="42"/>
      <c r="L1651" s="42"/>
      <c r="M1651" s="42"/>
      <c r="N1651" s="42"/>
      <c r="O1651" s="42"/>
      <c r="P1651" s="9"/>
      <c r="Q1651" s="9"/>
      <c r="R1651" s="42"/>
      <c r="S1651" s="42"/>
      <c r="T1651" s="42"/>
      <c r="U1651" s="42"/>
      <c r="V1651" s="42"/>
      <c r="W1651" s="42"/>
    </row>
    <row r="1652">
      <c r="A1652" s="9"/>
      <c r="B1652" s="9"/>
      <c r="C1652" s="9"/>
      <c r="D1652" s="42"/>
      <c r="E1652" s="103"/>
      <c r="F1652" s="42"/>
      <c r="G1652" s="9"/>
      <c r="H1652" s="9"/>
      <c r="I1652" s="9"/>
      <c r="J1652" s="9"/>
      <c r="K1652" s="42"/>
      <c r="L1652" s="42"/>
      <c r="M1652" s="42"/>
      <c r="N1652" s="42"/>
      <c r="O1652" s="42"/>
      <c r="P1652" s="9"/>
      <c r="Q1652" s="9"/>
      <c r="R1652" s="42"/>
      <c r="S1652" s="42"/>
      <c r="T1652" s="42"/>
      <c r="U1652" s="42"/>
      <c r="V1652" s="42"/>
      <c r="W1652" s="42"/>
    </row>
    <row r="1653">
      <c r="A1653" s="9"/>
      <c r="B1653" s="9"/>
      <c r="C1653" s="9"/>
      <c r="D1653" s="42"/>
      <c r="E1653" s="103"/>
      <c r="F1653" s="42"/>
      <c r="G1653" s="9"/>
      <c r="H1653" s="9"/>
      <c r="I1653" s="9"/>
      <c r="J1653" s="9"/>
      <c r="K1653" s="42"/>
      <c r="L1653" s="42"/>
      <c r="M1653" s="42"/>
      <c r="N1653" s="42"/>
      <c r="O1653" s="42"/>
      <c r="P1653" s="9"/>
      <c r="Q1653" s="9"/>
      <c r="R1653" s="42"/>
      <c r="S1653" s="42"/>
      <c r="T1653" s="42"/>
      <c r="U1653" s="42"/>
      <c r="V1653" s="42"/>
      <c r="W1653" s="42"/>
    </row>
    <row r="1654">
      <c r="A1654" s="9"/>
      <c r="B1654" s="9"/>
      <c r="C1654" s="9"/>
      <c r="D1654" s="42"/>
      <c r="E1654" s="103"/>
      <c r="F1654" s="42"/>
      <c r="G1654" s="9"/>
      <c r="H1654" s="9"/>
      <c r="I1654" s="9"/>
      <c r="J1654" s="9"/>
      <c r="K1654" s="42"/>
      <c r="L1654" s="42"/>
      <c r="M1654" s="42"/>
      <c r="N1654" s="42"/>
      <c r="O1654" s="42"/>
      <c r="P1654" s="9"/>
      <c r="Q1654" s="9"/>
      <c r="R1654" s="42"/>
      <c r="S1654" s="42"/>
      <c r="T1654" s="42"/>
      <c r="U1654" s="42"/>
      <c r="V1654" s="42"/>
      <c r="W1654" s="42"/>
    </row>
    <row r="1655">
      <c r="A1655" s="9"/>
      <c r="B1655" s="9"/>
      <c r="C1655" s="9"/>
      <c r="D1655" s="42"/>
      <c r="E1655" s="103"/>
      <c r="F1655" s="42"/>
      <c r="G1655" s="9"/>
      <c r="H1655" s="9"/>
      <c r="I1655" s="9"/>
      <c r="J1655" s="9"/>
      <c r="K1655" s="42"/>
      <c r="L1655" s="42"/>
      <c r="M1655" s="42"/>
      <c r="N1655" s="42"/>
      <c r="O1655" s="42"/>
      <c r="P1655" s="9"/>
      <c r="Q1655" s="9"/>
      <c r="R1655" s="42"/>
      <c r="S1655" s="42"/>
      <c r="T1655" s="42"/>
      <c r="U1655" s="42"/>
      <c r="V1655" s="42"/>
      <c r="W1655" s="42"/>
    </row>
    <row r="1656">
      <c r="A1656" s="9"/>
      <c r="B1656" s="9"/>
      <c r="C1656" s="9"/>
      <c r="D1656" s="42"/>
      <c r="E1656" s="103"/>
      <c r="F1656" s="42"/>
      <c r="G1656" s="9"/>
      <c r="H1656" s="9"/>
      <c r="I1656" s="9"/>
      <c r="J1656" s="9"/>
      <c r="K1656" s="42"/>
      <c r="L1656" s="42"/>
      <c r="M1656" s="42"/>
      <c r="N1656" s="42"/>
      <c r="O1656" s="42"/>
      <c r="P1656" s="9"/>
      <c r="Q1656" s="9"/>
      <c r="R1656" s="42"/>
      <c r="S1656" s="42"/>
      <c r="T1656" s="42"/>
      <c r="U1656" s="42"/>
      <c r="V1656" s="42"/>
      <c r="W1656" s="42"/>
    </row>
    <row r="1657">
      <c r="A1657" s="9"/>
      <c r="B1657" s="9"/>
      <c r="C1657" s="9"/>
      <c r="D1657" s="42"/>
      <c r="E1657" s="103"/>
      <c r="F1657" s="42"/>
      <c r="G1657" s="9"/>
      <c r="H1657" s="9"/>
      <c r="I1657" s="9"/>
      <c r="J1657" s="9"/>
      <c r="K1657" s="42"/>
      <c r="L1657" s="42"/>
      <c r="M1657" s="42"/>
      <c r="N1657" s="42"/>
      <c r="O1657" s="42"/>
      <c r="P1657" s="9"/>
      <c r="Q1657" s="9"/>
      <c r="R1657" s="42"/>
      <c r="S1657" s="42"/>
      <c r="T1657" s="42"/>
      <c r="U1657" s="42"/>
      <c r="V1657" s="42"/>
      <c r="W1657" s="42"/>
    </row>
    <row r="1658">
      <c r="A1658" s="9"/>
      <c r="B1658" s="9"/>
      <c r="C1658" s="9"/>
      <c r="D1658" s="42"/>
      <c r="E1658" s="103"/>
      <c r="F1658" s="42"/>
      <c r="G1658" s="9"/>
      <c r="H1658" s="9"/>
      <c r="I1658" s="9"/>
      <c r="J1658" s="9"/>
      <c r="K1658" s="42"/>
      <c r="L1658" s="42"/>
      <c r="M1658" s="42"/>
      <c r="N1658" s="42"/>
      <c r="O1658" s="42"/>
      <c r="P1658" s="9"/>
      <c r="Q1658" s="9"/>
      <c r="R1658" s="42"/>
      <c r="S1658" s="42"/>
      <c r="T1658" s="42"/>
      <c r="U1658" s="42"/>
      <c r="V1658" s="42"/>
      <c r="W1658" s="42"/>
    </row>
    <row r="1659">
      <c r="A1659" s="9"/>
      <c r="B1659" s="9"/>
      <c r="C1659" s="9"/>
      <c r="D1659" s="42"/>
      <c r="E1659" s="103"/>
      <c r="F1659" s="42"/>
      <c r="G1659" s="9"/>
      <c r="H1659" s="9"/>
      <c r="I1659" s="9"/>
      <c r="J1659" s="9"/>
      <c r="K1659" s="42"/>
      <c r="L1659" s="42"/>
      <c r="M1659" s="42"/>
      <c r="N1659" s="42"/>
      <c r="O1659" s="42"/>
      <c r="P1659" s="9"/>
      <c r="Q1659" s="9"/>
      <c r="R1659" s="42"/>
      <c r="S1659" s="42"/>
      <c r="T1659" s="42"/>
      <c r="U1659" s="42"/>
      <c r="V1659" s="42"/>
      <c r="W1659" s="42"/>
    </row>
    <row r="1660">
      <c r="A1660" s="9"/>
      <c r="B1660" s="9"/>
      <c r="C1660" s="9"/>
      <c r="D1660" s="42"/>
      <c r="E1660" s="103"/>
      <c r="F1660" s="42"/>
      <c r="G1660" s="9"/>
      <c r="H1660" s="9"/>
      <c r="I1660" s="9"/>
      <c r="J1660" s="9"/>
      <c r="K1660" s="42"/>
      <c r="L1660" s="42"/>
      <c r="M1660" s="42"/>
      <c r="N1660" s="42"/>
      <c r="O1660" s="42"/>
      <c r="P1660" s="9"/>
      <c r="Q1660" s="9"/>
      <c r="R1660" s="42"/>
      <c r="S1660" s="42"/>
      <c r="T1660" s="42"/>
      <c r="U1660" s="42"/>
      <c r="V1660" s="42"/>
      <c r="W1660" s="42"/>
    </row>
    <row r="1661">
      <c r="A1661" s="9"/>
      <c r="B1661" s="9"/>
      <c r="C1661" s="9"/>
      <c r="D1661" s="42"/>
      <c r="E1661" s="103"/>
      <c r="F1661" s="42"/>
      <c r="G1661" s="9"/>
      <c r="H1661" s="9"/>
      <c r="I1661" s="9"/>
      <c r="J1661" s="9"/>
      <c r="K1661" s="42"/>
      <c r="L1661" s="42"/>
      <c r="M1661" s="42"/>
      <c r="N1661" s="42"/>
      <c r="O1661" s="42"/>
      <c r="P1661" s="9"/>
      <c r="Q1661" s="9"/>
      <c r="R1661" s="42"/>
      <c r="S1661" s="42"/>
      <c r="T1661" s="42"/>
      <c r="U1661" s="42"/>
      <c r="V1661" s="42"/>
      <c r="W1661" s="42"/>
    </row>
    <row r="1662">
      <c r="A1662" s="9"/>
      <c r="B1662" s="9"/>
      <c r="C1662" s="9"/>
      <c r="D1662" s="42"/>
      <c r="E1662" s="103"/>
      <c r="F1662" s="42"/>
      <c r="G1662" s="9"/>
      <c r="H1662" s="9"/>
      <c r="I1662" s="9"/>
      <c r="J1662" s="9"/>
      <c r="K1662" s="42"/>
      <c r="L1662" s="42"/>
      <c r="M1662" s="42"/>
      <c r="N1662" s="42"/>
      <c r="O1662" s="42"/>
      <c r="P1662" s="9"/>
      <c r="Q1662" s="9"/>
      <c r="R1662" s="42"/>
      <c r="S1662" s="42"/>
      <c r="T1662" s="42"/>
      <c r="U1662" s="42"/>
      <c r="V1662" s="42"/>
      <c r="W1662" s="42"/>
    </row>
    <row r="1663">
      <c r="A1663" s="9"/>
      <c r="B1663" s="9"/>
      <c r="C1663" s="9"/>
      <c r="D1663" s="42"/>
      <c r="E1663" s="103"/>
      <c r="F1663" s="42"/>
      <c r="G1663" s="9"/>
      <c r="H1663" s="9"/>
      <c r="I1663" s="9"/>
      <c r="J1663" s="9"/>
      <c r="K1663" s="42"/>
      <c r="L1663" s="42"/>
      <c r="M1663" s="42"/>
      <c r="N1663" s="42"/>
      <c r="O1663" s="42"/>
      <c r="P1663" s="9"/>
      <c r="Q1663" s="9"/>
      <c r="R1663" s="42"/>
      <c r="S1663" s="42"/>
      <c r="T1663" s="42"/>
      <c r="U1663" s="42"/>
      <c r="V1663" s="42"/>
      <c r="W1663" s="42"/>
    </row>
    <row r="1664">
      <c r="A1664" s="9"/>
      <c r="B1664" s="9"/>
      <c r="C1664" s="9"/>
      <c r="D1664" s="42"/>
      <c r="E1664" s="103"/>
      <c r="F1664" s="42"/>
      <c r="G1664" s="9"/>
      <c r="H1664" s="9"/>
      <c r="I1664" s="9"/>
      <c r="J1664" s="9"/>
      <c r="K1664" s="42"/>
      <c r="L1664" s="42"/>
      <c r="M1664" s="42"/>
      <c r="N1664" s="42"/>
      <c r="O1664" s="42"/>
      <c r="P1664" s="9"/>
      <c r="Q1664" s="9"/>
      <c r="R1664" s="42"/>
      <c r="S1664" s="42"/>
      <c r="T1664" s="42"/>
      <c r="U1664" s="42"/>
      <c r="V1664" s="42"/>
      <c r="W1664" s="42"/>
    </row>
    <row r="1665">
      <c r="A1665" s="9"/>
      <c r="B1665" s="9"/>
      <c r="C1665" s="9"/>
      <c r="D1665" s="42"/>
      <c r="E1665" s="103"/>
      <c r="F1665" s="42"/>
      <c r="G1665" s="9"/>
      <c r="H1665" s="9"/>
      <c r="I1665" s="9"/>
      <c r="J1665" s="9"/>
      <c r="K1665" s="42"/>
      <c r="L1665" s="42"/>
      <c r="M1665" s="42"/>
      <c r="N1665" s="42"/>
      <c r="O1665" s="42"/>
      <c r="P1665" s="9"/>
      <c r="Q1665" s="9"/>
      <c r="R1665" s="42"/>
      <c r="S1665" s="42"/>
      <c r="T1665" s="42"/>
      <c r="U1665" s="42"/>
      <c r="V1665" s="42"/>
      <c r="W1665" s="42"/>
    </row>
    <row r="1666">
      <c r="A1666" s="9"/>
      <c r="B1666" s="9"/>
      <c r="C1666" s="9"/>
      <c r="D1666" s="42"/>
      <c r="E1666" s="103"/>
      <c r="F1666" s="42"/>
      <c r="G1666" s="9"/>
      <c r="H1666" s="9"/>
      <c r="I1666" s="9"/>
      <c r="J1666" s="9"/>
      <c r="K1666" s="42"/>
      <c r="L1666" s="42"/>
      <c r="M1666" s="42"/>
      <c r="N1666" s="42"/>
      <c r="O1666" s="42"/>
      <c r="P1666" s="9"/>
      <c r="Q1666" s="9"/>
      <c r="R1666" s="42"/>
      <c r="S1666" s="42"/>
      <c r="T1666" s="42"/>
      <c r="U1666" s="42"/>
      <c r="V1666" s="42"/>
      <c r="W1666" s="42"/>
    </row>
    <row r="1667">
      <c r="A1667" s="9"/>
      <c r="B1667" s="9"/>
      <c r="C1667" s="9"/>
      <c r="D1667" s="42"/>
      <c r="E1667" s="103"/>
      <c r="F1667" s="42"/>
      <c r="G1667" s="9"/>
      <c r="H1667" s="9"/>
      <c r="I1667" s="9"/>
      <c r="J1667" s="9"/>
      <c r="K1667" s="42"/>
      <c r="L1667" s="42"/>
      <c r="M1667" s="42"/>
      <c r="N1667" s="42"/>
      <c r="O1667" s="42"/>
      <c r="P1667" s="9"/>
      <c r="Q1667" s="9"/>
      <c r="R1667" s="42"/>
      <c r="S1667" s="42"/>
      <c r="T1667" s="42"/>
      <c r="U1667" s="42"/>
      <c r="V1667" s="42"/>
      <c r="W1667" s="42"/>
    </row>
    <row r="1668">
      <c r="A1668" s="9"/>
      <c r="B1668" s="9"/>
      <c r="C1668" s="9"/>
      <c r="D1668" s="42"/>
      <c r="E1668" s="103"/>
      <c r="F1668" s="42"/>
      <c r="G1668" s="9"/>
      <c r="H1668" s="9"/>
      <c r="I1668" s="9"/>
      <c r="J1668" s="9"/>
      <c r="K1668" s="42"/>
      <c r="L1668" s="42"/>
      <c r="M1668" s="42"/>
      <c r="N1668" s="42"/>
      <c r="O1668" s="42"/>
      <c r="P1668" s="9"/>
      <c r="Q1668" s="9"/>
      <c r="R1668" s="42"/>
      <c r="S1668" s="42"/>
      <c r="T1668" s="42"/>
      <c r="U1668" s="42"/>
      <c r="V1668" s="42"/>
      <c r="W1668" s="42"/>
    </row>
    <row r="1669">
      <c r="A1669" s="9"/>
      <c r="B1669" s="9"/>
      <c r="C1669" s="9"/>
      <c r="D1669" s="42"/>
      <c r="E1669" s="103"/>
      <c r="F1669" s="42"/>
      <c r="G1669" s="9"/>
      <c r="H1669" s="9"/>
      <c r="I1669" s="9"/>
      <c r="J1669" s="9"/>
      <c r="K1669" s="42"/>
      <c r="L1669" s="42"/>
      <c r="M1669" s="42"/>
      <c r="N1669" s="42"/>
      <c r="O1669" s="42"/>
      <c r="P1669" s="9"/>
      <c r="Q1669" s="9"/>
      <c r="R1669" s="42"/>
      <c r="S1669" s="42"/>
      <c r="T1669" s="42"/>
      <c r="U1669" s="42"/>
      <c r="V1669" s="42"/>
      <c r="W1669" s="42"/>
    </row>
    <row r="1670">
      <c r="A1670" s="9"/>
      <c r="B1670" s="9"/>
      <c r="C1670" s="9"/>
      <c r="D1670" s="42"/>
      <c r="E1670" s="103"/>
      <c r="F1670" s="42"/>
      <c r="G1670" s="9"/>
      <c r="H1670" s="9"/>
      <c r="I1670" s="9"/>
      <c r="J1670" s="9"/>
      <c r="K1670" s="42"/>
      <c r="L1670" s="42"/>
      <c r="M1670" s="42"/>
      <c r="N1670" s="42"/>
      <c r="O1670" s="42"/>
      <c r="P1670" s="9"/>
      <c r="Q1670" s="9"/>
      <c r="R1670" s="42"/>
      <c r="S1670" s="42"/>
      <c r="T1670" s="42"/>
      <c r="U1670" s="42"/>
      <c r="V1670" s="42"/>
      <c r="W1670" s="42"/>
    </row>
    <row r="1671">
      <c r="A1671" s="9"/>
      <c r="B1671" s="9"/>
      <c r="C1671" s="9"/>
      <c r="D1671" s="42"/>
      <c r="E1671" s="103"/>
      <c r="F1671" s="42"/>
      <c r="G1671" s="9"/>
      <c r="H1671" s="9"/>
      <c r="I1671" s="9"/>
      <c r="J1671" s="9"/>
      <c r="K1671" s="42"/>
      <c r="L1671" s="42"/>
      <c r="M1671" s="42"/>
      <c r="N1671" s="42"/>
      <c r="O1671" s="42"/>
      <c r="P1671" s="9"/>
      <c r="Q1671" s="9"/>
      <c r="R1671" s="42"/>
      <c r="S1671" s="42"/>
      <c r="T1671" s="42"/>
      <c r="U1671" s="42"/>
      <c r="V1671" s="42"/>
      <c r="W1671" s="42"/>
    </row>
    <row r="1672">
      <c r="A1672" s="9"/>
      <c r="B1672" s="9"/>
      <c r="C1672" s="9"/>
      <c r="D1672" s="42"/>
      <c r="E1672" s="103"/>
      <c r="F1672" s="42"/>
      <c r="G1672" s="9"/>
      <c r="H1672" s="9"/>
      <c r="I1672" s="9"/>
      <c r="J1672" s="9"/>
      <c r="K1672" s="42"/>
      <c r="L1672" s="42"/>
      <c r="M1672" s="42"/>
      <c r="N1672" s="42"/>
      <c r="O1672" s="42"/>
      <c r="P1672" s="9"/>
      <c r="Q1672" s="9"/>
      <c r="R1672" s="42"/>
      <c r="S1672" s="42"/>
      <c r="T1672" s="42"/>
      <c r="U1672" s="42"/>
      <c r="V1672" s="42"/>
      <c r="W1672" s="42"/>
    </row>
    <row r="1673">
      <c r="A1673" s="9"/>
      <c r="B1673" s="9"/>
      <c r="C1673" s="9"/>
      <c r="D1673" s="42"/>
      <c r="E1673" s="103"/>
      <c r="F1673" s="42"/>
      <c r="G1673" s="9"/>
      <c r="H1673" s="9"/>
      <c r="I1673" s="9"/>
      <c r="J1673" s="9"/>
      <c r="K1673" s="42"/>
      <c r="L1673" s="42"/>
      <c r="M1673" s="42"/>
      <c r="N1673" s="42"/>
      <c r="O1673" s="42"/>
      <c r="P1673" s="9"/>
      <c r="Q1673" s="9"/>
      <c r="R1673" s="42"/>
      <c r="S1673" s="42"/>
      <c r="T1673" s="42"/>
      <c r="U1673" s="42"/>
      <c r="V1673" s="42"/>
      <c r="W1673" s="42"/>
    </row>
    <row r="1674">
      <c r="A1674" s="9"/>
      <c r="B1674" s="9"/>
      <c r="C1674" s="9"/>
      <c r="D1674" s="42"/>
      <c r="E1674" s="103"/>
      <c r="F1674" s="42"/>
      <c r="G1674" s="9"/>
      <c r="H1674" s="9"/>
      <c r="I1674" s="9"/>
      <c r="J1674" s="9"/>
      <c r="K1674" s="42"/>
      <c r="L1674" s="42"/>
      <c r="M1674" s="42"/>
      <c r="N1674" s="42"/>
      <c r="O1674" s="42"/>
      <c r="P1674" s="9"/>
      <c r="Q1674" s="9"/>
      <c r="R1674" s="42"/>
      <c r="S1674" s="42"/>
      <c r="T1674" s="42"/>
      <c r="U1674" s="42"/>
      <c r="V1674" s="42"/>
      <c r="W1674" s="42"/>
    </row>
    <row r="1675">
      <c r="A1675" s="9"/>
      <c r="B1675" s="9"/>
      <c r="C1675" s="9"/>
      <c r="D1675" s="42"/>
      <c r="E1675" s="103"/>
      <c r="F1675" s="42"/>
      <c r="G1675" s="9"/>
      <c r="H1675" s="9"/>
      <c r="I1675" s="9"/>
      <c r="J1675" s="9"/>
      <c r="K1675" s="42"/>
      <c r="L1675" s="42"/>
      <c r="M1675" s="42"/>
      <c r="N1675" s="42"/>
      <c r="O1675" s="42"/>
      <c r="P1675" s="9"/>
      <c r="Q1675" s="9"/>
      <c r="R1675" s="42"/>
      <c r="S1675" s="42"/>
      <c r="T1675" s="42"/>
      <c r="U1675" s="42"/>
      <c r="V1675" s="42"/>
      <c r="W1675" s="42"/>
    </row>
    <row r="1676">
      <c r="A1676" s="9"/>
      <c r="B1676" s="9"/>
      <c r="C1676" s="9"/>
      <c r="D1676" s="42"/>
      <c r="E1676" s="103"/>
      <c r="F1676" s="42"/>
      <c r="G1676" s="9"/>
      <c r="H1676" s="9"/>
      <c r="I1676" s="9"/>
      <c r="J1676" s="9"/>
      <c r="K1676" s="42"/>
      <c r="L1676" s="42"/>
      <c r="M1676" s="42"/>
      <c r="N1676" s="42"/>
      <c r="O1676" s="42"/>
      <c r="P1676" s="9"/>
      <c r="Q1676" s="9"/>
      <c r="R1676" s="42"/>
      <c r="S1676" s="42"/>
      <c r="T1676" s="42"/>
      <c r="U1676" s="42"/>
      <c r="V1676" s="42"/>
      <c r="W1676" s="42"/>
    </row>
    <row r="1677">
      <c r="A1677" s="9"/>
      <c r="B1677" s="9"/>
      <c r="C1677" s="9"/>
      <c r="D1677" s="42"/>
      <c r="E1677" s="103"/>
      <c r="F1677" s="42"/>
      <c r="G1677" s="9"/>
      <c r="H1677" s="9"/>
      <c r="I1677" s="9"/>
      <c r="J1677" s="9"/>
      <c r="K1677" s="42"/>
      <c r="L1677" s="42"/>
      <c r="M1677" s="42"/>
      <c r="N1677" s="42"/>
      <c r="O1677" s="42"/>
      <c r="P1677" s="9"/>
      <c r="Q1677" s="9"/>
      <c r="R1677" s="42"/>
      <c r="S1677" s="42"/>
      <c r="T1677" s="42"/>
      <c r="U1677" s="42"/>
      <c r="V1677" s="42"/>
      <c r="W1677" s="42"/>
    </row>
    <row r="1678">
      <c r="A1678" s="9"/>
      <c r="B1678" s="9"/>
      <c r="C1678" s="9"/>
      <c r="D1678" s="42"/>
      <c r="E1678" s="103"/>
      <c r="F1678" s="42"/>
      <c r="G1678" s="9"/>
      <c r="H1678" s="9"/>
      <c r="I1678" s="9"/>
      <c r="J1678" s="9"/>
      <c r="K1678" s="42"/>
      <c r="L1678" s="42"/>
      <c r="M1678" s="42"/>
      <c r="N1678" s="42"/>
      <c r="O1678" s="42"/>
      <c r="P1678" s="9"/>
      <c r="Q1678" s="9"/>
      <c r="R1678" s="42"/>
      <c r="S1678" s="42"/>
      <c r="T1678" s="42"/>
      <c r="U1678" s="42"/>
      <c r="V1678" s="42"/>
      <c r="W1678" s="42"/>
    </row>
    <row r="1679">
      <c r="A1679" s="9"/>
      <c r="B1679" s="9"/>
      <c r="C1679" s="9"/>
      <c r="D1679" s="42"/>
      <c r="E1679" s="103"/>
      <c r="F1679" s="42"/>
      <c r="G1679" s="9"/>
      <c r="H1679" s="9"/>
      <c r="I1679" s="9"/>
      <c r="J1679" s="9"/>
      <c r="K1679" s="42"/>
      <c r="L1679" s="42"/>
      <c r="M1679" s="42"/>
      <c r="N1679" s="42"/>
      <c r="O1679" s="42"/>
      <c r="P1679" s="9"/>
      <c r="Q1679" s="9"/>
      <c r="R1679" s="42"/>
      <c r="S1679" s="42"/>
      <c r="T1679" s="42"/>
      <c r="U1679" s="42"/>
      <c r="V1679" s="42"/>
      <c r="W1679" s="42"/>
    </row>
    <row r="1680">
      <c r="A1680" s="9"/>
      <c r="B1680" s="9"/>
      <c r="C1680" s="9"/>
      <c r="D1680" s="42"/>
      <c r="E1680" s="103"/>
      <c r="F1680" s="42"/>
      <c r="G1680" s="9"/>
      <c r="H1680" s="9"/>
      <c r="I1680" s="9"/>
      <c r="J1680" s="9"/>
      <c r="K1680" s="42"/>
      <c r="L1680" s="42"/>
      <c r="M1680" s="42"/>
      <c r="N1680" s="42"/>
      <c r="O1680" s="42"/>
      <c r="P1680" s="9"/>
      <c r="Q1680" s="9"/>
      <c r="R1680" s="42"/>
      <c r="S1680" s="42"/>
      <c r="T1680" s="42"/>
      <c r="U1680" s="42"/>
      <c r="V1680" s="42"/>
      <c r="W1680" s="42"/>
    </row>
    <row r="1681">
      <c r="A1681" s="9"/>
      <c r="B1681" s="9"/>
      <c r="C1681" s="9"/>
      <c r="D1681" s="42"/>
      <c r="E1681" s="103"/>
      <c r="F1681" s="42"/>
      <c r="G1681" s="9"/>
      <c r="H1681" s="9"/>
      <c r="I1681" s="9"/>
      <c r="J1681" s="9"/>
      <c r="K1681" s="42"/>
      <c r="L1681" s="42"/>
      <c r="M1681" s="42"/>
      <c r="N1681" s="42"/>
      <c r="O1681" s="42"/>
      <c r="P1681" s="9"/>
      <c r="Q1681" s="9"/>
      <c r="R1681" s="42"/>
      <c r="S1681" s="42"/>
      <c r="T1681" s="42"/>
      <c r="U1681" s="42"/>
      <c r="V1681" s="42"/>
      <c r="W1681" s="42"/>
    </row>
    <row r="1682">
      <c r="A1682" s="9"/>
      <c r="B1682" s="9"/>
      <c r="C1682" s="9"/>
      <c r="D1682" s="42"/>
      <c r="E1682" s="103"/>
      <c r="F1682" s="42"/>
      <c r="G1682" s="9"/>
      <c r="H1682" s="9"/>
      <c r="I1682" s="9"/>
      <c r="J1682" s="9"/>
      <c r="K1682" s="42"/>
      <c r="L1682" s="42"/>
      <c r="M1682" s="42"/>
      <c r="N1682" s="42"/>
      <c r="O1682" s="42"/>
      <c r="P1682" s="9"/>
      <c r="Q1682" s="9"/>
      <c r="R1682" s="42"/>
      <c r="S1682" s="42"/>
      <c r="T1682" s="42"/>
      <c r="U1682" s="42"/>
      <c r="V1682" s="42"/>
      <c r="W1682" s="42"/>
    </row>
    <row r="1683">
      <c r="A1683" s="9"/>
      <c r="B1683" s="9"/>
      <c r="C1683" s="9"/>
      <c r="D1683" s="42"/>
      <c r="E1683" s="103"/>
      <c r="F1683" s="42"/>
      <c r="G1683" s="9"/>
      <c r="H1683" s="9"/>
      <c r="I1683" s="9"/>
      <c r="J1683" s="9"/>
      <c r="K1683" s="42"/>
      <c r="L1683" s="42"/>
      <c r="M1683" s="42"/>
      <c r="N1683" s="42"/>
      <c r="O1683" s="42"/>
      <c r="P1683" s="9"/>
      <c r="Q1683" s="9"/>
      <c r="R1683" s="42"/>
      <c r="S1683" s="42"/>
      <c r="T1683" s="42"/>
      <c r="U1683" s="42"/>
      <c r="V1683" s="42"/>
      <c r="W1683" s="42"/>
    </row>
    <row r="1684">
      <c r="A1684" s="9"/>
      <c r="B1684" s="9"/>
      <c r="C1684" s="9"/>
      <c r="D1684" s="42"/>
      <c r="E1684" s="103"/>
      <c r="F1684" s="42"/>
      <c r="G1684" s="9"/>
      <c r="H1684" s="9"/>
      <c r="I1684" s="9"/>
      <c r="J1684" s="9"/>
      <c r="K1684" s="42"/>
      <c r="L1684" s="42"/>
      <c r="M1684" s="42"/>
      <c r="N1684" s="42"/>
      <c r="O1684" s="42"/>
      <c r="P1684" s="9"/>
      <c r="Q1684" s="9"/>
      <c r="R1684" s="42"/>
      <c r="S1684" s="42"/>
      <c r="T1684" s="42"/>
      <c r="U1684" s="42"/>
      <c r="V1684" s="42"/>
      <c r="W1684" s="42"/>
    </row>
    <row r="1685">
      <c r="A1685" s="9"/>
      <c r="B1685" s="9"/>
      <c r="C1685" s="9"/>
      <c r="D1685" s="42"/>
      <c r="E1685" s="103"/>
      <c r="F1685" s="42"/>
      <c r="G1685" s="9"/>
      <c r="H1685" s="9"/>
      <c r="I1685" s="9"/>
      <c r="J1685" s="9"/>
      <c r="K1685" s="42"/>
      <c r="L1685" s="42"/>
      <c r="M1685" s="42"/>
      <c r="N1685" s="42"/>
      <c r="O1685" s="42"/>
      <c r="P1685" s="9"/>
      <c r="Q1685" s="9"/>
      <c r="R1685" s="42"/>
      <c r="S1685" s="42"/>
      <c r="T1685" s="42"/>
      <c r="U1685" s="42"/>
      <c r="V1685" s="42"/>
      <c r="W1685" s="42"/>
    </row>
    <row r="1686">
      <c r="A1686" s="9"/>
      <c r="B1686" s="9"/>
      <c r="C1686" s="9"/>
      <c r="D1686" s="42"/>
      <c r="E1686" s="103"/>
      <c r="F1686" s="42"/>
      <c r="G1686" s="9"/>
      <c r="H1686" s="9"/>
      <c r="I1686" s="9"/>
      <c r="J1686" s="9"/>
      <c r="K1686" s="42"/>
      <c r="L1686" s="42"/>
      <c r="M1686" s="42"/>
      <c r="N1686" s="42"/>
      <c r="O1686" s="42"/>
      <c r="P1686" s="9"/>
      <c r="Q1686" s="9"/>
      <c r="R1686" s="42"/>
      <c r="S1686" s="42"/>
      <c r="T1686" s="42"/>
      <c r="U1686" s="42"/>
      <c r="V1686" s="42"/>
      <c r="W1686" s="42"/>
    </row>
    <row r="1687">
      <c r="A1687" s="9"/>
      <c r="B1687" s="9"/>
      <c r="C1687" s="9"/>
      <c r="D1687" s="42"/>
      <c r="E1687" s="103"/>
      <c r="F1687" s="42"/>
      <c r="G1687" s="9"/>
      <c r="H1687" s="9"/>
      <c r="I1687" s="9"/>
      <c r="J1687" s="9"/>
      <c r="K1687" s="42"/>
      <c r="L1687" s="42"/>
      <c r="M1687" s="42"/>
      <c r="N1687" s="42"/>
      <c r="O1687" s="42"/>
      <c r="P1687" s="9"/>
      <c r="Q1687" s="9"/>
      <c r="R1687" s="42"/>
      <c r="S1687" s="42"/>
      <c r="T1687" s="42"/>
      <c r="U1687" s="42"/>
      <c r="V1687" s="42"/>
      <c r="W1687" s="42"/>
    </row>
    <row r="1688">
      <c r="A1688" s="9"/>
      <c r="B1688" s="9"/>
      <c r="C1688" s="9"/>
      <c r="D1688" s="42"/>
      <c r="E1688" s="103"/>
      <c r="F1688" s="42"/>
      <c r="G1688" s="9"/>
      <c r="H1688" s="9"/>
      <c r="I1688" s="9"/>
      <c r="J1688" s="9"/>
      <c r="K1688" s="42"/>
      <c r="L1688" s="42"/>
      <c r="M1688" s="42"/>
      <c r="N1688" s="42"/>
      <c r="O1688" s="42"/>
      <c r="P1688" s="9"/>
      <c r="Q1688" s="9"/>
      <c r="R1688" s="42"/>
      <c r="S1688" s="42"/>
      <c r="T1688" s="42"/>
      <c r="U1688" s="42"/>
      <c r="V1688" s="42"/>
      <c r="W1688" s="42"/>
    </row>
    <row r="1689">
      <c r="A1689" s="9"/>
      <c r="B1689" s="9"/>
      <c r="C1689" s="9"/>
      <c r="D1689" s="42"/>
      <c r="E1689" s="103"/>
      <c r="F1689" s="42"/>
      <c r="G1689" s="9"/>
      <c r="H1689" s="9"/>
      <c r="I1689" s="9"/>
      <c r="J1689" s="9"/>
      <c r="K1689" s="42"/>
      <c r="L1689" s="42"/>
      <c r="M1689" s="42"/>
      <c r="N1689" s="42"/>
      <c r="O1689" s="42"/>
      <c r="P1689" s="9"/>
      <c r="Q1689" s="9"/>
      <c r="R1689" s="42"/>
      <c r="S1689" s="42"/>
      <c r="T1689" s="42"/>
      <c r="U1689" s="42"/>
      <c r="V1689" s="42"/>
      <c r="W1689" s="42"/>
    </row>
    <row r="1690">
      <c r="A1690" s="9"/>
      <c r="B1690" s="9"/>
      <c r="C1690" s="9"/>
      <c r="D1690" s="42"/>
      <c r="E1690" s="103"/>
      <c r="F1690" s="42"/>
      <c r="G1690" s="9"/>
      <c r="H1690" s="9"/>
      <c r="I1690" s="9"/>
      <c r="J1690" s="9"/>
      <c r="K1690" s="42"/>
      <c r="L1690" s="42"/>
      <c r="M1690" s="42"/>
      <c r="N1690" s="42"/>
      <c r="O1690" s="42"/>
      <c r="P1690" s="9"/>
      <c r="Q1690" s="9"/>
      <c r="R1690" s="42"/>
      <c r="S1690" s="42"/>
      <c r="T1690" s="42"/>
      <c r="U1690" s="42"/>
      <c r="V1690" s="42"/>
      <c r="W1690" s="42"/>
    </row>
    <row r="1691">
      <c r="A1691" s="9"/>
      <c r="B1691" s="9"/>
      <c r="C1691" s="9"/>
      <c r="D1691" s="42"/>
      <c r="E1691" s="103"/>
      <c r="F1691" s="42"/>
      <c r="G1691" s="9"/>
      <c r="H1691" s="9"/>
      <c r="I1691" s="9"/>
      <c r="J1691" s="9"/>
      <c r="K1691" s="42"/>
      <c r="L1691" s="42"/>
      <c r="M1691" s="42"/>
      <c r="N1691" s="42"/>
      <c r="O1691" s="42"/>
      <c r="P1691" s="9"/>
      <c r="Q1691" s="9"/>
      <c r="R1691" s="42"/>
      <c r="S1691" s="42"/>
      <c r="T1691" s="42"/>
      <c r="U1691" s="42"/>
      <c r="V1691" s="42"/>
      <c r="W1691" s="42"/>
    </row>
    <row r="1692">
      <c r="A1692" s="9"/>
      <c r="B1692" s="9"/>
      <c r="C1692" s="9"/>
      <c r="D1692" s="42"/>
      <c r="E1692" s="103"/>
      <c r="F1692" s="42"/>
      <c r="G1692" s="9"/>
      <c r="H1692" s="9"/>
      <c r="I1692" s="9"/>
      <c r="J1692" s="9"/>
      <c r="K1692" s="42"/>
      <c r="L1692" s="42"/>
      <c r="M1692" s="42"/>
      <c r="N1692" s="42"/>
      <c r="O1692" s="42"/>
      <c r="P1692" s="9"/>
      <c r="Q1692" s="9"/>
      <c r="R1692" s="42"/>
      <c r="S1692" s="42"/>
      <c r="T1692" s="42"/>
      <c r="U1692" s="42"/>
      <c r="V1692" s="42"/>
      <c r="W1692" s="42"/>
    </row>
    <row r="1693">
      <c r="A1693" s="9"/>
      <c r="B1693" s="9"/>
      <c r="C1693" s="9"/>
      <c r="D1693" s="42"/>
      <c r="E1693" s="103"/>
      <c r="F1693" s="42"/>
      <c r="G1693" s="9"/>
      <c r="H1693" s="9"/>
      <c r="I1693" s="9"/>
      <c r="J1693" s="9"/>
      <c r="K1693" s="42"/>
      <c r="L1693" s="42"/>
      <c r="M1693" s="42"/>
      <c r="N1693" s="42"/>
      <c r="O1693" s="42"/>
      <c r="P1693" s="9"/>
      <c r="Q1693" s="9"/>
      <c r="R1693" s="42"/>
      <c r="S1693" s="42"/>
      <c r="T1693" s="42"/>
      <c r="U1693" s="42"/>
      <c r="V1693" s="42"/>
      <c r="W1693" s="42"/>
    </row>
    <row r="1694">
      <c r="A1694" s="9"/>
      <c r="B1694" s="9"/>
      <c r="C1694" s="9"/>
      <c r="D1694" s="42"/>
      <c r="E1694" s="103"/>
      <c r="F1694" s="42"/>
      <c r="G1694" s="9"/>
      <c r="H1694" s="9"/>
      <c r="I1694" s="9"/>
      <c r="J1694" s="9"/>
      <c r="K1694" s="42"/>
      <c r="L1694" s="42"/>
      <c r="M1694" s="42"/>
      <c r="N1694" s="42"/>
      <c r="O1694" s="42"/>
      <c r="P1694" s="9"/>
      <c r="Q1694" s="9"/>
      <c r="R1694" s="42"/>
      <c r="S1694" s="42"/>
      <c r="T1694" s="42"/>
      <c r="U1694" s="42"/>
      <c r="V1694" s="42"/>
      <c r="W1694" s="42"/>
    </row>
    <row r="1695">
      <c r="A1695" s="9"/>
      <c r="B1695" s="9"/>
      <c r="C1695" s="9"/>
      <c r="D1695" s="42"/>
      <c r="E1695" s="103"/>
      <c r="F1695" s="42"/>
      <c r="G1695" s="9"/>
      <c r="H1695" s="9"/>
      <c r="I1695" s="9"/>
      <c r="J1695" s="9"/>
      <c r="K1695" s="42"/>
      <c r="L1695" s="42"/>
      <c r="M1695" s="42"/>
      <c r="N1695" s="42"/>
      <c r="O1695" s="42"/>
      <c r="P1695" s="9"/>
      <c r="Q1695" s="9"/>
      <c r="R1695" s="42"/>
      <c r="S1695" s="42"/>
      <c r="T1695" s="42"/>
      <c r="U1695" s="42"/>
      <c r="V1695" s="42"/>
      <c r="W1695" s="42"/>
    </row>
    <row r="1696">
      <c r="A1696" s="9"/>
      <c r="B1696" s="9"/>
      <c r="C1696" s="9"/>
      <c r="D1696" s="42"/>
      <c r="E1696" s="103"/>
      <c r="F1696" s="42"/>
      <c r="G1696" s="9"/>
      <c r="H1696" s="9"/>
      <c r="I1696" s="9"/>
      <c r="J1696" s="9"/>
      <c r="K1696" s="42"/>
      <c r="L1696" s="42"/>
      <c r="M1696" s="42"/>
      <c r="N1696" s="42"/>
      <c r="O1696" s="42"/>
      <c r="P1696" s="9"/>
      <c r="Q1696" s="9"/>
      <c r="R1696" s="42"/>
      <c r="S1696" s="42"/>
      <c r="T1696" s="42"/>
      <c r="U1696" s="42"/>
      <c r="V1696" s="42"/>
      <c r="W1696" s="42"/>
    </row>
    <row r="1697">
      <c r="A1697" s="9"/>
      <c r="B1697" s="9"/>
      <c r="C1697" s="9"/>
      <c r="D1697" s="42"/>
      <c r="E1697" s="103"/>
      <c r="F1697" s="42"/>
      <c r="G1697" s="9"/>
      <c r="H1697" s="9"/>
      <c r="I1697" s="9"/>
      <c r="J1697" s="9"/>
      <c r="K1697" s="42"/>
      <c r="L1697" s="42"/>
      <c r="M1697" s="42"/>
      <c r="N1697" s="42"/>
      <c r="O1697" s="42"/>
      <c r="P1697" s="9"/>
      <c r="Q1697" s="9"/>
      <c r="R1697" s="42"/>
      <c r="S1697" s="42"/>
      <c r="T1697" s="42"/>
      <c r="U1697" s="42"/>
      <c r="V1697" s="42"/>
      <c r="W1697" s="42"/>
    </row>
    <row r="1698">
      <c r="A1698" s="9"/>
      <c r="B1698" s="9"/>
      <c r="C1698" s="9"/>
      <c r="D1698" s="42"/>
      <c r="E1698" s="103"/>
      <c r="F1698" s="42"/>
      <c r="G1698" s="9"/>
      <c r="H1698" s="9"/>
      <c r="I1698" s="9"/>
      <c r="J1698" s="9"/>
      <c r="K1698" s="42"/>
      <c r="L1698" s="42"/>
      <c r="M1698" s="42"/>
      <c r="N1698" s="42"/>
      <c r="O1698" s="42"/>
      <c r="P1698" s="9"/>
      <c r="Q1698" s="9"/>
      <c r="R1698" s="42"/>
      <c r="S1698" s="42"/>
      <c r="T1698" s="42"/>
      <c r="U1698" s="42"/>
      <c r="V1698" s="42"/>
      <c r="W1698" s="42"/>
    </row>
    <row r="1699">
      <c r="A1699" s="9"/>
      <c r="B1699" s="9"/>
      <c r="C1699" s="9"/>
      <c r="D1699" s="42"/>
      <c r="E1699" s="103"/>
      <c r="F1699" s="42"/>
      <c r="G1699" s="9"/>
      <c r="H1699" s="9"/>
      <c r="I1699" s="9"/>
      <c r="J1699" s="9"/>
      <c r="K1699" s="42"/>
      <c r="L1699" s="42"/>
      <c r="M1699" s="42"/>
      <c r="N1699" s="42"/>
      <c r="O1699" s="42"/>
      <c r="P1699" s="9"/>
      <c r="Q1699" s="9"/>
      <c r="R1699" s="42"/>
      <c r="S1699" s="42"/>
      <c r="T1699" s="42"/>
      <c r="U1699" s="42"/>
      <c r="V1699" s="42"/>
      <c r="W1699" s="42"/>
    </row>
    <row r="1700">
      <c r="A1700" s="9"/>
      <c r="B1700" s="9"/>
      <c r="C1700" s="9"/>
      <c r="D1700" s="42"/>
      <c r="E1700" s="103"/>
      <c r="F1700" s="42"/>
      <c r="G1700" s="9"/>
      <c r="H1700" s="9"/>
      <c r="I1700" s="9"/>
      <c r="J1700" s="9"/>
      <c r="K1700" s="42"/>
      <c r="L1700" s="42"/>
      <c r="M1700" s="42"/>
      <c r="N1700" s="42"/>
      <c r="O1700" s="42"/>
      <c r="P1700" s="9"/>
      <c r="Q1700" s="9"/>
      <c r="R1700" s="42"/>
      <c r="S1700" s="42"/>
      <c r="T1700" s="42"/>
      <c r="U1700" s="42"/>
      <c r="V1700" s="42"/>
      <c r="W1700" s="42"/>
    </row>
    <row r="1701">
      <c r="A1701" s="9"/>
      <c r="B1701" s="9"/>
      <c r="C1701" s="9"/>
      <c r="D1701" s="42"/>
      <c r="E1701" s="103"/>
      <c r="F1701" s="42"/>
      <c r="G1701" s="9"/>
      <c r="H1701" s="9"/>
      <c r="I1701" s="9"/>
      <c r="J1701" s="9"/>
      <c r="K1701" s="42"/>
      <c r="L1701" s="42"/>
      <c r="M1701" s="42"/>
      <c r="N1701" s="42"/>
      <c r="O1701" s="42"/>
      <c r="P1701" s="9"/>
      <c r="Q1701" s="9"/>
      <c r="R1701" s="42"/>
      <c r="S1701" s="42"/>
      <c r="T1701" s="42"/>
      <c r="U1701" s="42"/>
      <c r="V1701" s="42"/>
      <c r="W1701" s="42"/>
    </row>
    <row r="1702">
      <c r="A1702" s="9"/>
      <c r="B1702" s="9"/>
      <c r="C1702" s="9"/>
      <c r="D1702" s="42"/>
      <c r="E1702" s="103"/>
      <c r="F1702" s="42"/>
      <c r="G1702" s="9"/>
      <c r="H1702" s="9"/>
      <c r="I1702" s="9"/>
      <c r="J1702" s="9"/>
      <c r="K1702" s="42"/>
      <c r="L1702" s="42"/>
      <c r="M1702" s="42"/>
      <c r="N1702" s="42"/>
      <c r="O1702" s="42"/>
      <c r="P1702" s="9"/>
      <c r="Q1702" s="9"/>
      <c r="R1702" s="42"/>
      <c r="S1702" s="42"/>
      <c r="T1702" s="42"/>
      <c r="U1702" s="42"/>
      <c r="V1702" s="42"/>
      <c r="W1702" s="42"/>
    </row>
    <row r="1703">
      <c r="A1703" s="9"/>
      <c r="B1703" s="9"/>
      <c r="C1703" s="9"/>
      <c r="D1703" s="42"/>
      <c r="E1703" s="103"/>
      <c r="F1703" s="42"/>
      <c r="G1703" s="9"/>
      <c r="H1703" s="9"/>
      <c r="I1703" s="9"/>
      <c r="J1703" s="9"/>
      <c r="K1703" s="42"/>
      <c r="L1703" s="42"/>
      <c r="M1703" s="42"/>
      <c r="N1703" s="42"/>
      <c r="O1703" s="42"/>
      <c r="P1703" s="9"/>
      <c r="Q1703" s="9"/>
      <c r="R1703" s="42"/>
      <c r="S1703" s="42"/>
      <c r="T1703" s="42"/>
      <c r="U1703" s="42"/>
      <c r="V1703" s="42"/>
      <c r="W1703" s="42"/>
    </row>
    <row r="1704">
      <c r="A1704" s="9"/>
      <c r="B1704" s="9"/>
      <c r="C1704" s="9"/>
      <c r="D1704" s="42"/>
      <c r="E1704" s="103"/>
      <c r="F1704" s="42"/>
      <c r="G1704" s="9"/>
      <c r="H1704" s="9"/>
      <c r="I1704" s="9"/>
      <c r="J1704" s="9"/>
      <c r="K1704" s="42"/>
      <c r="L1704" s="42"/>
      <c r="M1704" s="42"/>
      <c r="N1704" s="42"/>
      <c r="O1704" s="42"/>
      <c r="P1704" s="9"/>
      <c r="Q1704" s="9"/>
      <c r="R1704" s="42"/>
      <c r="S1704" s="42"/>
      <c r="T1704" s="42"/>
      <c r="U1704" s="42"/>
      <c r="V1704" s="42"/>
      <c r="W1704" s="42"/>
    </row>
    <row r="1705">
      <c r="A1705" s="9"/>
      <c r="B1705" s="9"/>
      <c r="C1705" s="9"/>
      <c r="D1705" s="42"/>
      <c r="E1705" s="103"/>
      <c r="F1705" s="42"/>
      <c r="G1705" s="9"/>
      <c r="H1705" s="9"/>
      <c r="I1705" s="9"/>
      <c r="J1705" s="9"/>
      <c r="K1705" s="42"/>
      <c r="L1705" s="42"/>
      <c r="M1705" s="42"/>
      <c r="N1705" s="42"/>
      <c r="O1705" s="42"/>
      <c r="P1705" s="9"/>
      <c r="Q1705" s="9"/>
      <c r="R1705" s="42"/>
      <c r="S1705" s="42"/>
      <c r="T1705" s="42"/>
      <c r="U1705" s="42"/>
      <c r="V1705" s="42"/>
      <c r="W1705" s="42"/>
    </row>
    <row r="1706">
      <c r="A1706" s="9"/>
      <c r="B1706" s="9"/>
      <c r="C1706" s="9"/>
      <c r="D1706" s="42"/>
      <c r="E1706" s="103"/>
      <c r="F1706" s="42"/>
      <c r="G1706" s="9"/>
      <c r="H1706" s="9"/>
      <c r="I1706" s="9"/>
      <c r="J1706" s="9"/>
      <c r="K1706" s="42"/>
      <c r="L1706" s="42"/>
      <c r="M1706" s="42"/>
      <c r="N1706" s="42"/>
      <c r="O1706" s="42"/>
      <c r="P1706" s="9"/>
      <c r="Q1706" s="9"/>
      <c r="R1706" s="42"/>
      <c r="S1706" s="42"/>
      <c r="T1706" s="42"/>
      <c r="U1706" s="42"/>
      <c r="V1706" s="42"/>
      <c r="W1706" s="42"/>
    </row>
    <row r="1707">
      <c r="A1707" s="9"/>
      <c r="B1707" s="9"/>
      <c r="C1707" s="9"/>
      <c r="D1707" s="42"/>
      <c r="E1707" s="103"/>
      <c r="F1707" s="42"/>
      <c r="G1707" s="9"/>
      <c r="H1707" s="9"/>
      <c r="I1707" s="9"/>
      <c r="J1707" s="9"/>
      <c r="K1707" s="42"/>
      <c r="L1707" s="42"/>
      <c r="M1707" s="42"/>
      <c r="N1707" s="42"/>
      <c r="O1707" s="42"/>
      <c r="P1707" s="9"/>
      <c r="Q1707" s="9"/>
      <c r="R1707" s="42"/>
      <c r="S1707" s="42"/>
      <c r="T1707" s="42"/>
      <c r="U1707" s="42"/>
      <c r="V1707" s="42"/>
      <c r="W1707" s="42"/>
    </row>
    <row r="1708">
      <c r="A1708" s="9"/>
      <c r="B1708" s="9"/>
      <c r="C1708" s="9"/>
      <c r="D1708" s="42"/>
      <c r="E1708" s="103"/>
      <c r="F1708" s="42"/>
      <c r="G1708" s="9"/>
      <c r="H1708" s="9"/>
      <c r="I1708" s="9"/>
      <c r="J1708" s="9"/>
      <c r="K1708" s="42"/>
      <c r="L1708" s="42"/>
      <c r="M1708" s="42"/>
      <c r="N1708" s="42"/>
      <c r="O1708" s="42"/>
      <c r="P1708" s="9"/>
      <c r="Q1708" s="9"/>
      <c r="R1708" s="42"/>
      <c r="S1708" s="42"/>
      <c r="T1708" s="42"/>
      <c r="U1708" s="42"/>
      <c r="V1708" s="42"/>
      <c r="W1708" s="42"/>
    </row>
    <row r="1709">
      <c r="A1709" s="9"/>
      <c r="B1709" s="9"/>
      <c r="C1709" s="9"/>
      <c r="D1709" s="42"/>
      <c r="E1709" s="103"/>
      <c r="F1709" s="42"/>
      <c r="G1709" s="9"/>
      <c r="H1709" s="9"/>
      <c r="I1709" s="9"/>
      <c r="J1709" s="9"/>
      <c r="K1709" s="42"/>
      <c r="L1709" s="42"/>
      <c r="M1709" s="42"/>
      <c r="N1709" s="42"/>
      <c r="O1709" s="42"/>
      <c r="P1709" s="9"/>
      <c r="Q1709" s="9"/>
      <c r="R1709" s="42"/>
      <c r="S1709" s="42"/>
      <c r="T1709" s="42"/>
      <c r="U1709" s="42"/>
      <c r="V1709" s="42"/>
      <c r="W1709" s="42"/>
    </row>
    <row r="1710">
      <c r="A1710" s="9"/>
      <c r="B1710" s="9"/>
      <c r="C1710" s="9"/>
      <c r="D1710" s="42"/>
      <c r="E1710" s="103"/>
      <c r="F1710" s="42"/>
      <c r="G1710" s="9"/>
      <c r="H1710" s="9"/>
      <c r="I1710" s="9"/>
      <c r="J1710" s="9"/>
      <c r="K1710" s="42"/>
      <c r="L1710" s="42"/>
      <c r="M1710" s="42"/>
      <c r="N1710" s="42"/>
      <c r="O1710" s="42"/>
      <c r="P1710" s="9"/>
      <c r="Q1710" s="9"/>
      <c r="R1710" s="42"/>
      <c r="S1710" s="42"/>
      <c r="T1710" s="42"/>
      <c r="U1710" s="42"/>
      <c r="V1710" s="42"/>
      <c r="W1710" s="42"/>
    </row>
    <row r="1711">
      <c r="A1711" s="9"/>
      <c r="B1711" s="9"/>
      <c r="C1711" s="9"/>
      <c r="D1711" s="42"/>
      <c r="E1711" s="103"/>
      <c r="F1711" s="42"/>
      <c r="G1711" s="9"/>
      <c r="H1711" s="9"/>
      <c r="I1711" s="9"/>
      <c r="J1711" s="9"/>
      <c r="K1711" s="42"/>
      <c r="L1711" s="42"/>
      <c r="M1711" s="42"/>
      <c r="N1711" s="42"/>
      <c r="O1711" s="42"/>
      <c r="P1711" s="9"/>
      <c r="Q1711" s="9"/>
      <c r="R1711" s="42"/>
      <c r="S1711" s="42"/>
      <c r="T1711" s="42"/>
      <c r="U1711" s="42"/>
      <c r="V1711" s="42"/>
      <c r="W1711" s="42"/>
    </row>
    <row r="1712">
      <c r="A1712" s="9"/>
      <c r="B1712" s="9"/>
      <c r="C1712" s="9"/>
      <c r="D1712" s="42"/>
      <c r="E1712" s="103"/>
      <c r="F1712" s="42"/>
      <c r="G1712" s="9"/>
      <c r="H1712" s="9"/>
      <c r="I1712" s="9"/>
      <c r="J1712" s="9"/>
      <c r="K1712" s="42"/>
      <c r="L1712" s="42"/>
      <c r="M1712" s="42"/>
      <c r="N1712" s="42"/>
      <c r="O1712" s="42"/>
      <c r="P1712" s="9"/>
      <c r="Q1712" s="9"/>
      <c r="R1712" s="42"/>
      <c r="S1712" s="42"/>
      <c r="T1712" s="42"/>
      <c r="U1712" s="42"/>
      <c r="V1712" s="42"/>
      <c r="W1712" s="42"/>
    </row>
    <row r="1713">
      <c r="A1713" s="9"/>
      <c r="B1713" s="9"/>
      <c r="C1713" s="9"/>
      <c r="D1713" s="42"/>
      <c r="E1713" s="103"/>
      <c r="F1713" s="42"/>
      <c r="G1713" s="9"/>
      <c r="H1713" s="9"/>
      <c r="I1713" s="9"/>
      <c r="J1713" s="9"/>
      <c r="K1713" s="42"/>
      <c r="L1713" s="42"/>
      <c r="M1713" s="42"/>
      <c r="N1713" s="42"/>
      <c r="O1713" s="42"/>
      <c r="P1713" s="9"/>
      <c r="Q1713" s="9"/>
      <c r="R1713" s="42"/>
      <c r="S1713" s="42"/>
      <c r="T1713" s="42"/>
      <c r="U1713" s="42"/>
      <c r="V1713" s="42"/>
      <c r="W1713" s="42"/>
    </row>
    <row r="1714">
      <c r="A1714" s="9"/>
      <c r="B1714" s="9"/>
      <c r="C1714" s="9"/>
      <c r="D1714" s="42"/>
      <c r="E1714" s="103"/>
      <c r="F1714" s="42"/>
      <c r="G1714" s="9"/>
      <c r="H1714" s="9"/>
      <c r="I1714" s="9"/>
      <c r="J1714" s="9"/>
      <c r="K1714" s="42"/>
      <c r="L1714" s="42"/>
      <c r="M1714" s="42"/>
      <c r="N1714" s="42"/>
      <c r="O1714" s="42"/>
      <c r="P1714" s="9"/>
      <c r="Q1714" s="9"/>
      <c r="R1714" s="42"/>
      <c r="S1714" s="42"/>
      <c r="T1714" s="42"/>
      <c r="U1714" s="42"/>
      <c r="V1714" s="42"/>
      <c r="W1714" s="42"/>
    </row>
    <row r="1715">
      <c r="A1715" s="9"/>
      <c r="B1715" s="9"/>
      <c r="C1715" s="9"/>
      <c r="D1715" s="42"/>
      <c r="E1715" s="103"/>
      <c r="F1715" s="42"/>
      <c r="G1715" s="9"/>
      <c r="H1715" s="9"/>
      <c r="I1715" s="9"/>
      <c r="J1715" s="9"/>
      <c r="K1715" s="42"/>
      <c r="L1715" s="42"/>
      <c r="M1715" s="42"/>
      <c r="N1715" s="42"/>
      <c r="O1715" s="42"/>
      <c r="P1715" s="9"/>
      <c r="Q1715" s="9"/>
      <c r="R1715" s="42"/>
      <c r="S1715" s="42"/>
      <c r="T1715" s="42"/>
      <c r="U1715" s="42"/>
      <c r="V1715" s="42"/>
      <c r="W1715" s="42"/>
    </row>
    <row r="1716">
      <c r="A1716" s="9"/>
      <c r="B1716" s="9"/>
      <c r="C1716" s="9"/>
      <c r="D1716" s="42"/>
      <c r="E1716" s="103"/>
      <c r="F1716" s="42"/>
      <c r="G1716" s="9"/>
      <c r="H1716" s="9"/>
      <c r="I1716" s="9"/>
      <c r="J1716" s="9"/>
      <c r="K1716" s="42"/>
      <c r="L1716" s="42"/>
      <c r="M1716" s="42"/>
      <c r="N1716" s="42"/>
      <c r="O1716" s="42"/>
      <c r="P1716" s="9"/>
      <c r="Q1716" s="9"/>
      <c r="R1716" s="42"/>
      <c r="S1716" s="42"/>
      <c r="T1716" s="42"/>
      <c r="U1716" s="42"/>
      <c r="V1716" s="42"/>
      <c r="W1716" s="42"/>
    </row>
    <row r="1717">
      <c r="A1717" s="9"/>
      <c r="B1717" s="9"/>
      <c r="C1717" s="9"/>
      <c r="D1717" s="42"/>
      <c r="E1717" s="103"/>
      <c r="F1717" s="42"/>
      <c r="G1717" s="9"/>
      <c r="H1717" s="9"/>
      <c r="I1717" s="9"/>
      <c r="J1717" s="9"/>
      <c r="K1717" s="42"/>
      <c r="L1717" s="42"/>
      <c r="M1717" s="42"/>
      <c r="N1717" s="42"/>
      <c r="O1717" s="42"/>
      <c r="P1717" s="9"/>
      <c r="Q1717" s="9"/>
      <c r="R1717" s="42"/>
      <c r="S1717" s="42"/>
      <c r="T1717" s="42"/>
      <c r="U1717" s="42"/>
      <c r="V1717" s="42"/>
      <c r="W1717" s="42"/>
    </row>
    <row r="1718">
      <c r="A1718" s="9"/>
      <c r="B1718" s="9"/>
      <c r="C1718" s="9"/>
      <c r="D1718" s="42"/>
      <c r="E1718" s="103"/>
      <c r="F1718" s="42"/>
      <c r="G1718" s="9"/>
      <c r="H1718" s="9"/>
      <c r="I1718" s="9"/>
      <c r="J1718" s="9"/>
      <c r="K1718" s="42"/>
      <c r="L1718" s="42"/>
      <c r="M1718" s="42"/>
      <c r="N1718" s="42"/>
      <c r="O1718" s="42"/>
      <c r="P1718" s="9"/>
      <c r="Q1718" s="9"/>
      <c r="R1718" s="42"/>
      <c r="S1718" s="42"/>
      <c r="T1718" s="42"/>
      <c r="U1718" s="42"/>
      <c r="V1718" s="42"/>
      <c r="W1718" s="42"/>
    </row>
    <row r="1719">
      <c r="A1719" s="9"/>
      <c r="B1719" s="9"/>
      <c r="C1719" s="9"/>
      <c r="D1719" s="42"/>
      <c r="E1719" s="103"/>
      <c r="F1719" s="42"/>
      <c r="G1719" s="9"/>
      <c r="H1719" s="9"/>
      <c r="I1719" s="9"/>
      <c r="J1719" s="9"/>
      <c r="K1719" s="42"/>
      <c r="L1719" s="42"/>
      <c r="M1719" s="42"/>
      <c r="N1719" s="42"/>
      <c r="O1719" s="42"/>
      <c r="P1719" s="9"/>
      <c r="Q1719" s="9"/>
      <c r="R1719" s="42"/>
      <c r="S1719" s="42"/>
      <c r="T1719" s="42"/>
      <c r="U1719" s="42"/>
      <c r="V1719" s="42"/>
      <c r="W1719" s="42"/>
    </row>
    <row r="1720">
      <c r="A1720" s="9"/>
      <c r="B1720" s="9"/>
      <c r="C1720" s="9"/>
      <c r="D1720" s="42"/>
      <c r="E1720" s="103"/>
      <c r="F1720" s="42"/>
      <c r="G1720" s="9"/>
      <c r="H1720" s="9"/>
      <c r="I1720" s="9"/>
      <c r="J1720" s="9"/>
      <c r="K1720" s="42"/>
      <c r="L1720" s="42"/>
      <c r="M1720" s="42"/>
      <c r="N1720" s="42"/>
      <c r="O1720" s="42"/>
      <c r="P1720" s="9"/>
      <c r="Q1720" s="9"/>
      <c r="R1720" s="42"/>
      <c r="S1720" s="42"/>
      <c r="T1720" s="42"/>
      <c r="U1720" s="42"/>
      <c r="V1720" s="42"/>
      <c r="W1720" s="42"/>
    </row>
    <row r="1721">
      <c r="A1721" s="9"/>
      <c r="B1721" s="9"/>
      <c r="C1721" s="9"/>
      <c r="D1721" s="42"/>
      <c r="E1721" s="103"/>
      <c r="F1721" s="42"/>
      <c r="G1721" s="9"/>
      <c r="H1721" s="9"/>
      <c r="I1721" s="9"/>
      <c r="J1721" s="9"/>
      <c r="K1721" s="42"/>
      <c r="L1721" s="42"/>
      <c r="M1721" s="42"/>
      <c r="N1721" s="42"/>
      <c r="O1721" s="42"/>
      <c r="P1721" s="9"/>
      <c r="Q1721" s="9"/>
      <c r="R1721" s="42"/>
      <c r="S1721" s="42"/>
      <c r="T1721" s="42"/>
      <c r="U1721" s="42"/>
      <c r="V1721" s="42"/>
      <c r="W1721" s="42"/>
    </row>
    <row r="1722">
      <c r="A1722" s="9"/>
      <c r="B1722" s="9"/>
      <c r="C1722" s="9"/>
      <c r="D1722" s="42"/>
      <c r="E1722" s="103"/>
      <c r="F1722" s="42"/>
      <c r="G1722" s="9"/>
      <c r="H1722" s="9"/>
      <c r="I1722" s="9"/>
      <c r="J1722" s="9"/>
      <c r="K1722" s="42"/>
      <c r="L1722" s="42"/>
      <c r="M1722" s="42"/>
      <c r="N1722" s="42"/>
      <c r="O1722" s="42"/>
      <c r="P1722" s="9"/>
      <c r="Q1722" s="9"/>
      <c r="R1722" s="42"/>
      <c r="S1722" s="42"/>
      <c r="T1722" s="42"/>
      <c r="U1722" s="42"/>
      <c r="V1722" s="42"/>
      <c r="W1722" s="42"/>
    </row>
    <row r="1723">
      <c r="A1723" s="9"/>
      <c r="B1723" s="9"/>
      <c r="C1723" s="9"/>
      <c r="D1723" s="42"/>
      <c r="E1723" s="103"/>
      <c r="F1723" s="42"/>
      <c r="G1723" s="9"/>
      <c r="H1723" s="9"/>
      <c r="I1723" s="9"/>
      <c r="J1723" s="9"/>
      <c r="K1723" s="42"/>
      <c r="L1723" s="42"/>
      <c r="M1723" s="42"/>
      <c r="N1723" s="42"/>
      <c r="O1723" s="42"/>
      <c r="P1723" s="9"/>
      <c r="Q1723" s="9"/>
      <c r="R1723" s="42"/>
      <c r="S1723" s="42"/>
      <c r="T1723" s="42"/>
      <c r="U1723" s="42"/>
      <c r="V1723" s="42"/>
      <c r="W1723" s="42"/>
    </row>
    <row r="1724">
      <c r="A1724" s="9"/>
      <c r="B1724" s="9"/>
      <c r="C1724" s="9"/>
      <c r="D1724" s="42"/>
      <c r="E1724" s="103"/>
      <c r="F1724" s="42"/>
      <c r="G1724" s="9"/>
      <c r="H1724" s="9"/>
      <c r="I1724" s="9"/>
      <c r="J1724" s="9"/>
      <c r="K1724" s="42"/>
      <c r="L1724" s="42"/>
      <c r="M1724" s="42"/>
      <c r="N1724" s="42"/>
      <c r="O1724" s="42"/>
      <c r="P1724" s="9"/>
      <c r="Q1724" s="9"/>
      <c r="R1724" s="42"/>
      <c r="S1724" s="42"/>
      <c r="T1724" s="42"/>
      <c r="U1724" s="42"/>
      <c r="V1724" s="42"/>
      <c r="W1724" s="42"/>
    </row>
    <row r="1725">
      <c r="A1725" s="9"/>
      <c r="B1725" s="9"/>
      <c r="C1725" s="9"/>
      <c r="D1725" s="42"/>
      <c r="E1725" s="103"/>
      <c r="F1725" s="42"/>
      <c r="G1725" s="9"/>
      <c r="H1725" s="9"/>
      <c r="I1725" s="9"/>
      <c r="J1725" s="9"/>
      <c r="K1725" s="42"/>
      <c r="L1725" s="42"/>
      <c r="M1725" s="42"/>
      <c r="N1725" s="42"/>
      <c r="O1725" s="42"/>
      <c r="P1725" s="9"/>
      <c r="Q1725" s="9"/>
      <c r="R1725" s="42"/>
      <c r="S1725" s="42"/>
      <c r="T1725" s="42"/>
      <c r="U1725" s="42"/>
      <c r="V1725" s="42"/>
      <c r="W1725" s="42"/>
    </row>
    <row r="1726">
      <c r="A1726" s="9"/>
      <c r="B1726" s="9"/>
      <c r="C1726" s="9"/>
      <c r="D1726" s="42"/>
      <c r="E1726" s="103"/>
      <c r="F1726" s="42"/>
      <c r="G1726" s="9"/>
      <c r="H1726" s="9"/>
      <c r="I1726" s="9"/>
      <c r="J1726" s="9"/>
      <c r="K1726" s="42"/>
      <c r="L1726" s="42"/>
      <c r="M1726" s="42"/>
      <c r="N1726" s="42"/>
      <c r="O1726" s="42"/>
      <c r="P1726" s="9"/>
      <c r="Q1726" s="9"/>
      <c r="R1726" s="42"/>
      <c r="S1726" s="42"/>
      <c r="T1726" s="42"/>
      <c r="U1726" s="42"/>
      <c r="V1726" s="42"/>
      <c r="W1726" s="42"/>
    </row>
    <row r="1727">
      <c r="A1727" s="9"/>
      <c r="B1727" s="9"/>
      <c r="C1727" s="9"/>
      <c r="D1727" s="42"/>
      <c r="E1727" s="103"/>
      <c r="F1727" s="42"/>
      <c r="G1727" s="9"/>
      <c r="H1727" s="9"/>
      <c r="I1727" s="9"/>
      <c r="J1727" s="9"/>
      <c r="K1727" s="42"/>
      <c r="L1727" s="42"/>
      <c r="M1727" s="42"/>
      <c r="N1727" s="42"/>
      <c r="O1727" s="42"/>
      <c r="P1727" s="9"/>
      <c r="Q1727" s="9"/>
      <c r="R1727" s="42"/>
      <c r="S1727" s="42"/>
      <c r="T1727" s="42"/>
      <c r="U1727" s="42"/>
      <c r="V1727" s="42"/>
      <c r="W1727" s="42"/>
    </row>
    <row r="1728">
      <c r="A1728" s="9"/>
      <c r="B1728" s="9"/>
      <c r="C1728" s="9"/>
      <c r="D1728" s="42"/>
      <c r="E1728" s="103"/>
      <c r="F1728" s="42"/>
      <c r="G1728" s="9"/>
      <c r="H1728" s="9"/>
      <c r="I1728" s="9"/>
      <c r="J1728" s="9"/>
      <c r="K1728" s="42"/>
      <c r="L1728" s="42"/>
      <c r="M1728" s="42"/>
      <c r="N1728" s="42"/>
      <c r="O1728" s="42"/>
      <c r="P1728" s="9"/>
      <c r="Q1728" s="9"/>
      <c r="R1728" s="42"/>
      <c r="S1728" s="42"/>
      <c r="T1728" s="42"/>
      <c r="U1728" s="42"/>
      <c r="V1728" s="42"/>
      <c r="W1728" s="42"/>
    </row>
    <row r="1729">
      <c r="A1729" s="9"/>
      <c r="B1729" s="9"/>
      <c r="C1729" s="9"/>
      <c r="D1729" s="42"/>
      <c r="E1729" s="103"/>
      <c r="F1729" s="42"/>
      <c r="G1729" s="9"/>
      <c r="H1729" s="9"/>
      <c r="I1729" s="9"/>
      <c r="J1729" s="9"/>
      <c r="K1729" s="42"/>
      <c r="L1729" s="42"/>
      <c r="M1729" s="42"/>
      <c r="N1729" s="42"/>
      <c r="O1729" s="42"/>
      <c r="P1729" s="9"/>
      <c r="Q1729" s="9"/>
      <c r="R1729" s="42"/>
      <c r="S1729" s="42"/>
      <c r="T1729" s="42"/>
      <c r="U1729" s="42"/>
      <c r="V1729" s="42"/>
      <c r="W1729" s="42"/>
    </row>
    <row r="1730">
      <c r="A1730" s="9"/>
      <c r="B1730" s="9"/>
      <c r="C1730" s="9"/>
      <c r="D1730" s="42"/>
      <c r="E1730" s="103"/>
      <c r="F1730" s="42"/>
      <c r="G1730" s="9"/>
      <c r="H1730" s="9"/>
      <c r="I1730" s="9"/>
      <c r="J1730" s="9"/>
      <c r="K1730" s="42"/>
      <c r="L1730" s="42"/>
      <c r="M1730" s="42"/>
      <c r="N1730" s="42"/>
      <c r="O1730" s="42"/>
      <c r="P1730" s="9"/>
      <c r="Q1730" s="9"/>
      <c r="R1730" s="42"/>
      <c r="S1730" s="42"/>
      <c r="T1730" s="42"/>
      <c r="U1730" s="42"/>
      <c r="V1730" s="42"/>
      <c r="W1730" s="42"/>
    </row>
    <row r="1731">
      <c r="A1731" s="9"/>
      <c r="B1731" s="9"/>
      <c r="C1731" s="9"/>
      <c r="D1731" s="42"/>
      <c r="E1731" s="103"/>
      <c r="F1731" s="42"/>
      <c r="G1731" s="9"/>
      <c r="H1731" s="9"/>
      <c r="I1731" s="9"/>
      <c r="J1731" s="9"/>
      <c r="K1731" s="42"/>
      <c r="L1731" s="42"/>
      <c r="M1731" s="42"/>
      <c r="N1731" s="42"/>
      <c r="O1731" s="42"/>
      <c r="P1731" s="9"/>
      <c r="Q1731" s="9"/>
      <c r="R1731" s="42"/>
      <c r="S1731" s="42"/>
      <c r="T1731" s="42"/>
      <c r="U1731" s="42"/>
      <c r="V1731" s="42"/>
      <c r="W1731" s="42"/>
    </row>
    <row r="1732">
      <c r="A1732" s="9"/>
      <c r="B1732" s="9"/>
      <c r="C1732" s="9"/>
      <c r="D1732" s="42"/>
      <c r="E1732" s="103"/>
      <c r="F1732" s="42"/>
      <c r="G1732" s="9"/>
      <c r="H1732" s="9"/>
      <c r="I1732" s="9"/>
      <c r="J1732" s="9"/>
      <c r="K1732" s="42"/>
      <c r="L1732" s="42"/>
      <c r="M1732" s="42"/>
      <c r="N1732" s="42"/>
      <c r="O1732" s="42"/>
      <c r="P1732" s="9"/>
      <c r="Q1732" s="9"/>
      <c r="R1732" s="42"/>
      <c r="S1732" s="42"/>
      <c r="T1732" s="42"/>
      <c r="U1732" s="42"/>
      <c r="V1732" s="42"/>
      <c r="W1732" s="42"/>
    </row>
    <row r="1733">
      <c r="A1733" s="9"/>
      <c r="B1733" s="9"/>
      <c r="C1733" s="9"/>
      <c r="D1733" s="42"/>
      <c r="E1733" s="103"/>
      <c r="F1733" s="42"/>
      <c r="G1733" s="9"/>
      <c r="H1733" s="9"/>
      <c r="I1733" s="9"/>
      <c r="J1733" s="9"/>
      <c r="K1733" s="42"/>
      <c r="L1733" s="42"/>
      <c r="M1733" s="42"/>
      <c r="N1733" s="42"/>
      <c r="O1733" s="42"/>
      <c r="P1733" s="9"/>
      <c r="Q1733" s="9"/>
      <c r="R1733" s="42"/>
      <c r="S1733" s="42"/>
      <c r="T1733" s="42"/>
      <c r="U1733" s="42"/>
      <c r="V1733" s="42"/>
      <c r="W1733" s="42"/>
    </row>
    <row r="1734">
      <c r="A1734" s="9"/>
      <c r="B1734" s="9"/>
      <c r="C1734" s="9"/>
      <c r="D1734" s="42"/>
      <c r="E1734" s="103"/>
      <c r="F1734" s="42"/>
      <c r="G1734" s="9"/>
      <c r="H1734" s="9"/>
      <c r="I1734" s="9"/>
      <c r="J1734" s="9"/>
      <c r="K1734" s="42"/>
      <c r="L1734" s="42"/>
      <c r="M1734" s="42"/>
      <c r="N1734" s="42"/>
      <c r="O1734" s="42"/>
      <c r="P1734" s="9"/>
      <c r="Q1734" s="9"/>
      <c r="R1734" s="42"/>
      <c r="S1734" s="42"/>
      <c r="T1734" s="42"/>
      <c r="U1734" s="42"/>
      <c r="V1734" s="42"/>
      <c r="W1734" s="42"/>
    </row>
    <row r="1735">
      <c r="A1735" s="9"/>
      <c r="B1735" s="9"/>
      <c r="C1735" s="9"/>
      <c r="D1735" s="42"/>
      <c r="E1735" s="103"/>
      <c r="F1735" s="42"/>
      <c r="G1735" s="9"/>
      <c r="H1735" s="9"/>
      <c r="I1735" s="9"/>
      <c r="J1735" s="9"/>
      <c r="K1735" s="42"/>
      <c r="L1735" s="42"/>
      <c r="M1735" s="42"/>
      <c r="N1735" s="42"/>
      <c r="O1735" s="42"/>
      <c r="P1735" s="9"/>
      <c r="Q1735" s="9"/>
      <c r="R1735" s="42"/>
      <c r="S1735" s="42"/>
      <c r="T1735" s="42"/>
      <c r="U1735" s="42"/>
      <c r="V1735" s="42"/>
      <c r="W1735" s="42"/>
    </row>
    <row r="1736">
      <c r="A1736" s="9"/>
      <c r="B1736" s="9"/>
      <c r="C1736" s="9"/>
      <c r="D1736" s="42"/>
      <c r="E1736" s="103"/>
      <c r="F1736" s="42"/>
      <c r="G1736" s="9"/>
      <c r="H1736" s="9"/>
      <c r="I1736" s="9"/>
      <c r="J1736" s="9"/>
      <c r="K1736" s="42"/>
      <c r="L1736" s="42"/>
      <c r="M1736" s="42"/>
      <c r="N1736" s="42"/>
      <c r="O1736" s="42"/>
      <c r="P1736" s="9"/>
      <c r="Q1736" s="9"/>
      <c r="R1736" s="42"/>
      <c r="S1736" s="42"/>
      <c r="T1736" s="42"/>
      <c r="U1736" s="42"/>
      <c r="V1736" s="42"/>
      <c r="W1736" s="42"/>
    </row>
    <row r="1737">
      <c r="A1737" s="9"/>
      <c r="B1737" s="9"/>
      <c r="C1737" s="9"/>
      <c r="D1737" s="42"/>
      <c r="E1737" s="103"/>
      <c r="F1737" s="42"/>
      <c r="G1737" s="9"/>
      <c r="H1737" s="9"/>
      <c r="I1737" s="9"/>
      <c r="J1737" s="9"/>
      <c r="K1737" s="42"/>
      <c r="L1737" s="42"/>
      <c r="M1737" s="42"/>
      <c r="N1737" s="42"/>
      <c r="O1737" s="42"/>
      <c r="P1737" s="9"/>
      <c r="Q1737" s="9"/>
      <c r="R1737" s="42"/>
      <c r="S1737" s="42"/>
      <c r="T1737" s="42"/>
      <c r="U1737" s="42"/>
      <c r="V1737" s="42"/>
      <c r="W1737" s="42"/>
    </row>
    <row r="1738">
      <c r="A1738" s="9"/>
      <c r="B1738" s="9"/>
      <c r="C1738" s="9"/>
      <c r="D1738" s="42"/>
      <c r="E1738" s="103"/>
      <c r="F1738" s="42"/>
      <c r="G1738" s="9"/>
      <c r="H1738" s="9"/>
      <c r="I1738" s="9"/>
      <c r="J1738" s="9"/>
      <c r="K1738" s="42"/>
      <c r="L1738" s="42"/>
      <c r="M1738" s="42"/>
      <c r="N1738" s="42"/>
      <c r="O1738" s="42"/>
      <c r="P1738" s="9"/>
      <c r="Q1738" s="9"/>
      <c r="R1738" s="42"/>
      <c r="S1738" s="42"/>
      <c r="T1738" s="42"/>
      <c r="U1738" s="42"/>
      <c r="V1738" s="42"/>
      <c r="W1738" s="42"/>
    </row>
    <row r="1739">
      <c r="A1739" s="9"/>
      <c r="B1739" s="9"/>
      <c r="C1739" s="9"/>
      <c r="D1739" s="42"/>
      <c r="E1739" s="103"/>
      <c r="F1739" s="42"/>
      <c r="G1739" s="9"/>
      <c r="H1739" s="9"/>
      <c r="I1739" s="9"/>
      <c r="J1739" s="9"/>
      <c r="K1739" s="42"/>
      <c r="L1739" s="42"/>
      <c r="M1739" s="42"/>
      <c r="N1739" s="42"/>
      <c r="O1739" s="42"/>
      <c r="P1739" s="9"/>
      <c r="Q1739" s="9"/>
      <c r="R1739" s="42"/>
      <c r="S1739" s="42"/>
      <c r="T1739" s="42"/>
      <c r="U1739" s="42"/>
      <c r="V1739" s="42"/>
      <c r="W1739" s="42"/>
    </row>
    <row r="1740">
      <c r="A1740" s="9"/>
      <c r="B1740" s="9"/>
      <c r="C1740" s="9"/>
      <c r="D1740" s="42"/>
      <c r="E1740" s="103"/>
      <c r="F1740" s="42"/>
      <c r="G1740" s="9"/>
      <c r="H1740" s="9"/>
      <c r="I1740" s="9"/>
      <c r="J1740" s="9"/>
      <c r="K1740" s="42"/>
      <c r="L1740" s="42"/>
      <c r="M1740" s="42"/>
      <c r="N1740" s="42"/>
      <c r="O1740" s="42"/>
      <c r="P1740" s="9"/>
      <c r="Q1740" s="9"/>
      <c r="R1740" s="42"/>
      <c r="S1740" s="42"/>
      <c r="T1740" s="42"/>
      <c r="U1740" s="42"/>
      <c r="V1740" s="42"/>
      <c r="W1740" s="42"/>
    </row>
    <row r="1741">
      <c r="A1741" s="9"/>
      <c r="B1741" s="9"/>
      <c r="C1741" s="9"/>
      <c r="D1741" s="42"/>
      <c r="E1741" s="103"/>
      <c r="F1741" s="42"/>
      <c r="G1741" s="9"/>
      <c r="H1741" s="9"/>
      <c r="I1741" s="9"/>
      <c r="J1741" s="9"/>
      <c r="K1741" s="42"/>
      <c r="L1741" s="42"/>
      <c r="M1741" s="42"/>
      <c r="N1741" s="42"/>
      <c r="O1741" s="42"/>
      <c r="P1741" s="9"/>
      <c r="Q1741" s="9"/>
      <c r="R1741" s="42"/>
      <c r="S1741" s="42"/>
      <c r="T1741" s="42"/>
      <c r="U1741" s="42"/>
      <c r="V1741" s="42"/>
      <c r="W1741" s="42"/>
    </row>
    <row r="1742">
      <c r="A1742" s="9"/>
      <c r="B1742" s="9"/>
      <c r="C1742" s="9"/>
      <c r="D1742" s="42"/>
      <c r="E1742" s="103"/>
      <c r="F1742" s="42"/>
      <c r="G1742" s="9"/>
      <c r="H1742" s="9"/>
      <c r="I1742" s="9"/>
      <c r="J1742" s="9"/>
      <c r="K1742" s="42"/>
      <c r="L1742" s="42"/>
      <c r="M1742" s="42"/>
      <c r="N1742" s="42"/>
      <c r="O1742" s="42"/>
      <c r="P1742" s="9"/>
      <c r="Q1742" s="9"/>
      <c r="R1742" s="42"/>
      <c r="S1742" s="42"/>
      <c r="T1742" s="42"/>
      <c r="U1742" s="42"/>
      <c r="V1742" s="42"/>
      <c r="W1742" s="42"/>
    </row>
    <row r="1743">
      <c r="A1743" s="9"/>
      <c r="B1743" s="9"/>
      <c r="C1743" s="9"/>
      <c r="D1743" s="42"/>
      <c r="E1743" s="103"/>
      <c r="F1743" s="42"/>
      <c r="G1743" s="9"/>
      <c r="H1743" s="9"/>
      <c r="I1743" s="9"/>
      <c r="J1743" s="9"/>
      <c r="K1743" s="42"/>
      <c r="L1743" s="42"/>
      <c r="M1743" s="42"/>
      <c r="N1743" s="42"/>
      <c r="O1743" s="42"/>
      <c r="P1743" s="9"/>
      <c r="Q1743" s="9"/>
      <c r="R1743" s="42"/>
      <c r="S1743" s="42"/>
      <c r="T1743" s="42"/>
      <c r="U1743" s="42"/>
      <c r="V1743" s="42"/>
      <c r="W1743" s="42"/>
    </row>
    <row r="1744">
      <c r="A1744" s="9"/>
      <c r="B1744" s="9"/>
      <c r="C1744" s="9"/>
      <c r="D1744" s="42"/>
      <c r="E1744" s="103"/>
      <c r="F1744" s="42"/>
      <c r="G1744" s="9"/>
      <c r="H1744" s="9"/>
      <c r="I1744" s="9"/>
      <c r="J1744" s="9"/>
      <c r="K1744" s="42"/>
      <c r="L1744" s="42"/>
      <c r="M1744" s="42"/>
      <c r="N1744" s="42"/>
      <c r="O1744" s="42"/>
      <c r="P1744" s="9"/>
      <c r="Q1744" s="9"/>
      <c r="R1744" s="42"/>
      <c r="S1744" s="42"/>
      <c r="T1744" s="42"/>
      <c r="U1744" s="42"/>
      <c r="V1744" s="42"/>
      <c r="W1744" s="42"/>
    </row>
    <row r="1745">
      <c r="A1745" s="9"/>
      <c r="B1745" s="9"/>
      <c r="C1745" s="9"/>
      <c r="D1745" s="42"/>
      <c r="E1745" s="103"/>
      <c r="F1745" s="42"/>
      <c r="G1745" s="9"/>
      <c r="H1745" s="9"/>
      <c r="I1745" s="9"/>
      <c r="J1745" s="9"/>
      <c r="K1745" s="42"/>
      <c r="L1745" s="42"/>
      <c r="M1745" s="42"/>
      <c r="N1745" s="42"/>
      <c r="O1745" s="42"/>
      <c r="P1745" s="9"/>
      <c r="Q1745" s="9"/>
      <c r="R1745" s="42"/>
      <c r="S1745" s="42"/>
      <c r="T1745" s="42"/>
      <c r="U1745" s="42"/>
      <c r="V1745" s="42"/>
      <c r="W1745" s="42"/>
    </row>
    <row r="1746">
      <c r="A1746" s="9"/>
      <c r="B1746" s="9"/>
      <c r="C1746" s="9"/>
      <c r="D1746" s="42"/>
      <c r="E1746" s="103"/>
      <c r="F1746" s="42"/>
      <c r="G1746" s="9"/>
      <c r="H1746" s="9"/>
      <c r="I1746" s="9"/>
      <c r="J1746" s="9"/>
      <c r="K1746" s="42"/>
      <c r="L1746" s="42"/>
      <c r="M1746" s="42"/>
      <c r="N1746" s="42"/>
      <c r="O1746" s="42"/>
      <c r="P1746" s="9"/>
      <c r="Q1746" s="9"/>
      <c r="R1746" s="42"/>
      <c r="S1746" s="42"/>
      <c r="T1746" s="42"/>
      <c r="U1746" s="42"/>
      <c r="V1746" s="42"/>
      <c r="W1746" s="42"/>
    </row>
    <row r="1747">
      <c r="A1747" s="9"/>
      <c r="B1747" s="9"/>
      <c r="C1747" s="9"/>
      <c r="D1747" s="42"/>
      <c r="E1747" s="103"/>
      <c r="F1747" s="42"/>
      <c r="G1747" s="9"/>
      <c r="H1747" s="9"/>
      <c r="I1747" s="9"/>
      <c r="J1747" s="9"/>
      <c r="K1747" s="42"/>
      <c r="L1747" s="42"/>
      <c r="M1747" s="42"/>
      <c r="N1747" s="42"/>
      <c r="O1747" s="42"/>
      <c r="P1747" s="9"/>
      <c r="Q1747" s="9"/>
      <c r="R1747" s="42"/>
      <c r="S1747" s="42"/>
      <c r="T1747" s="42"/>
      <c r="U1747" s="42"/>
      <c r="V1747" s="42"/>
      <c r="W1747" s="42"/>
    </row>
    <row r="1748">
      <c r="A1748" s="9"/>
      <c r="B1748" s="9"/>
      <c r="C1748" s="9"/>
      <c r="D1748" s="42"/>
      <c r="E1748" s="103"/>
      <c r="F1748" s="42"/>
      <c r="G1748" s="9"/>
      <c r="H1748" s="9"/>
      <c r="I1748" s="9"/>
      <c r="J1748" s="9"/>
      <c r="K1748" s="42"/>
      <c r="L1748" s="42"/>
      <c r="M1748" s="42"/>
      <c r="N1748" s="42"/>
      <c r="O1748" s="42"/>
      <c r="P1748" s="9"/>
      <c r="Q1748" s="9"/>
      <c r="R1748" s="42"/>
      <c r="S1748" s="42"/>
      <c r="T1748" s="42"/>
      <c r="U1748" s="42"/>
      <c r="V1748" s="42"/>
      <c r="W1748" s="42"/>
    </row>
    <row r="1749">
      <c r="A1749" s="9"/>
      <c r="B1749" s="9"/>
      <c r="C1749" s="9"/>
      <c r="D1749" s="42"/>
      <c r="E1749" s="103"/>
      <c r="F1749" s="42"/>
      <c r="G1749" s="9"/>
      <c r="H1749" s="9"/>
      <c r="I1749" s="9"/>
      <c r="J1749" s="9"/>
      <c r="K1749" s="42"/>
      <c r="L1749" s="42"/>
      <c r="M1749" s="42"/>
      <c r="N1749" s="42"/>
      <c r="O1749" s="42"/>
      <c r="P1749" s="9"/>
      <c r="Q1749" s="9"/>
      <c r="R1749" s="42"/>
      <c r="S1749" s="42"/>
      <c r="T1749" s="42"/>
      <c r="U1749" s="42"/>
      <c r="V1749" s="42"/>
      <c r="W1749" s="42"/>
    </row>
    <row r="1750">
      <c r="A1750" s="9"/>
      <c r="B1750" s="9"/>
      <c r="C1750" s="9"/>
      <c r="D1750" s="42"/>
      <c r="E1750" s="103"/>
      <c r="F1750" s="42"/>
      <c r="G1750" s="9"/>
      <c r="H1750" s="9"/>
      <c r="I1750" s="9"/>
      <c r="J1750" s="9"/>
      <c r="K1750" s="42"/>
      <c r="L1750" s="42"/>
      <c r="M1750" s="42"/>
      <c r="N1750" s="42"/>
      <c r="O1750" s="42"/>
      <c r="P1750" s="9"/>
      <c r="Q1750" s="9"/>
      <c r="R1750" s="42"/>
      <c r="S1750" s="42"/>
      <c r="T1750" s="42"/>
      <c r="U1750" s="42"/>
      <c r="V1750" s="42"/>
      <c r="W1750" s="42"/>
    </row>
    <row r="1751">
      <c r="A1751" s="9"/>
      <c r="B1751" s="9"/>
      <c r="C1751" s="9"/>
      <c r="D1751" s="42"/>
      <c r="E1751" s="103"/>
      <c r="F1751" s="42"/>
      <c r="G1751" s="9"/>
      <c r="H1751" s="9"/>
      <c r="I1751" s="9"/>
      <c r="J1751" s="9"/>
      <c r="K1751" s="42"/>
      <c r="L1751" s="42"/>
      <c r="M1751" s="42"/>
      <c r="N1751" s="42"/>
      <c r="O1751" s="42"/>
      <c r="P1751" s="9"/>
      <c r="Q1751" s="9"/>
      <c r="R1751" s="42"/>
      <c r="S1751" s="42"/>
      <c r="T1751" s="42"/>
      <c r="U1751" s="42"/>
      <c r="V1751" s="42"/>
      <c r="W1751" s="42"/>
    </row>
    <row r="1752">
      <c r="A1752" s="9"/>
      <c r="B1752" s="9"/>
      <c r="C1752" s="9"/>
      <c r="D1752" s="42"/>
      <c r="E1752" s="103"/>
      <c r="F1752" s="42"/>
      <c r="G1752" s="9"/>
      <c r="H1752" s="9"/>
      <c r="I1752" s="9"/>
      <c r="J1752" s="9"/>
      <c r="K1752" s="42"/>
      <c r="L1752" s="42"/>
      <c r="M1752" s="42"/>
      <c r="N1752" s="42"/>
      <c r="O1752" s="42"/>
      <c r="P1752" s="9"/>
      <c r="Q1752" s="9"/>
      <c r="R1752" s="42"/>
      <c r="S1752" s="42"/>
      <c r="T1752" s="42"/>
      <c r="U1752" s="42"/>
      <c r="V1752" s="42"/>
      <c r="W1752" s="42"/>
    </row>
    <row r="1753">
      <c r="A1753" s="9"/>
      <c r="B1753" s="9"/>
      <c r="C1753" s="9"/>
      <c r="D1753" s="42"/>
      <c r="E1753" s="103"/>
      <c r="F1753" s="42"/>
      <c r="G1753" s="9"/>
      <c r="H1753" s="9"/>
      <c r="I1753" s="9"/>
      <c r="J1753" s="9"/>
      <c r="K1753" s="42"/>
      <c r="L1753" s="42"/>
      <c r="M1753" s="42"/>
      <c r="N1753" s="42"/>
      <c r="O1753" s="42"/>
      <c r="P1753" s="9"/>
      <c r="Q1753" s="9"/>
      <c r="R1753" s="42"/>
      <c r="S1753" s="42"/>
      <c r="T1753" s="42"/>
      <c r="U1753" s="42"/>
      <c r="V1753" s="42"/>
      <c r="W1753" s="42"/>
    </row>
    <row r="1754">
      <c r="A1754" s="9"/>
      <c r="B1754" s="9"/>
      <c r="C1754" s="9"/>
      <c r="D1754" s="42"/>
      <c r="E1754" s="103"/>
      <c r="F1754" s="42"/>
      <c r="G1754" s="9"/>
      <c r="H1754" s="9"/>
      <c r="I1754" s="9"/>
      <c r="J1754" s="9"/>
      <c r="K1754" s="42"/>
      <c r="L1754" s="42"/>
      <c r="M1754" s="42"/>
      <c r="N1754" s="42"/>
      <c r="O1754" s="42"/>
      <c r="P1754" s="9"/>
      <c r="Q1754" s="9"/>
      <c r="R1754" s="42"/>
      <c r="S1754" s="42"/>
      <c r="T1754" s="42"/>
      <c r="U1754" s="42"/>
      <c r="V1754" s="42"/>
      <c r="W1754" s="42"/>
    </row>
    <row r="1755">
      <c r="A1755" s="9"/>
      <c r="B1755" s="9"/>
      <c r="C1755" s="9"/>
      <c r="D1755" s="42"/>
      <c r="E1755" s="103"/>
      <c r="F1755" s="42"/>
      <c r="G1755" s="9"/>
      <c r="H1755" s="9"/>
      <c r="I1755" s="9"/>
      <c r="J1755" s="9"/>
      <c r="K1755" s="42"/>
      <c r="L1755" s="42"/>
      <c r="M1755" s="42"/>
      <c r="N1755" s="42"/>
      <c r="O1755" s="42"/>
      <c r="P1755" s="9"/>
      <c r="Q1755" s="9"/>
      <c r="R1755" s="42"/>
      <c r="S1755" s="42"/>
      <c r="T1755" s="42"/>
      <c r="U1755" s="42"/>
      <c r="V1755" s="42"/>
      <c r="W1755" s="42"/>
    </row>
    <row r="1756">
      <c r="A1756" s="9"/>
      <c r="B1756" s="9"/>
      <c r="C1756" s="9"/>
      <c r="D1756" s="42"/>
      <c r="E1756" s="103"/>
      <c r="F1756" s="42"/>
      <c r="G1756" s="9"/>
      <c r="H1756" s="9"/>
      <c r="I1756" s="9"/>
      <c r="J1756" s="9"/>
      <c r="K1756" s="42"/>
      <c r="L1756" s="42"/>
      <c r="M1756" s="42"/>
      <c r="N1756" s="42"/>
      <c r="O1756" s="42"/>
      <c r="P1756" s="9"/>
      <c r="Q1756" s="9"/>
      <c r="R1756" s="42"/>
      <c r="S1756" s="42"/>
      <c r="T1756" s="42"/>
      <c r="U1756" s="42"/>
      <c r="V1756" s="42"/>
      <c r="W1756" s="42"/>
    </row>
    <row r="1757">
      <c r="A1757" s="9"/>
      <c r="B1757" s="9"/>
      <c r="C1757" s="9"/>
      <c r="D1757" s="42"/>
      <c r="E1757" s="103"/>
      <c r="F1757" s="42"/>
      <c r="G1757" s="9"/>
      <c r="H1757" s="9"/>
      <c r="I1757" s="9"/>
      <c r="J1757" s="9"/>
      <c r="K1757" s="42"/>
      <c r="L1757" s="42"/>
      <c r="M1757" s="42"/>
      <c r="N1757" s="42"/>
      <c r="O1757" s="42"/>
      <c r="P1757" s="9"/>
      <c r="Q1757" s="9"/>
      <c r="R1757" s="42"/>
      <c r="S1757" s="42"/>
      <c r="T1757" s="42"/>
      <c r="U1757" s="42"/>
      <c r="V1757" s="42"/>
      <c r="W1757" s="42"/>
    </row>
    <row r="1758">
      <c r="A1758" s="9"/>
      <c r="B1758" s="9"/>
      <c r="C1758" s="9"/>
      <c r="D1758" s="42"/>
      <c r="E1758" s="103"/>
      <c r="F1758" s="42"/>
      <c r="G1758" s="9"/>
      <c r="H1758" s="9"/>
      <c r="I1758" s="9"/>
      <c r="J1758" s="9"/>
      <c r="K1758" s="42"/>
      <c r="L1758" s="42"/>
      <c r="M1758" s="42"/>
      <c r="N1758" s="42"/>
      <c r="O1758" s="42"/>
      <c r="P1758" s="9"/>
      <c r="Q1758" s="9"/>
      <c r="R1758" s="42"/>
      <c r="S1758" s="42"/>
      <c r="T1758" s="42"/>
      <c r="U1758" s="42"/>
      <c r="V1758" s="42"/>
      <c r="W1758" s="42"/>
    </row>
    <row r="1759">
      <c r="A1759" s="9"/>
      <c r="B1759" s="9"/>
      <c r="C1759" s="9"/>
      <c r="D1759" s="42"/>
      <c r="E1759" s="103"/>
      <c r="F1759" s="42"/>
      <c r="G1759" s="9"/>
      <c r="H1759" s="9"/>
      <c r="I1759" s="9"/>
      <c r="J1759" s="9"/>
      <c r="K1759" s="42"/>
      <c r="L1759" s="42"/>
      <c r="M1759" s="42"/>
      <c r="N1759" s="42"/>
      <c r="O1759" s="42"/>
      <c r="P1759" s="9"/>
      <c r="Q1759" s="9"/>
      <c r="R1759" s="42"/>
      <c r="S1759" s="42"/>
      <c r="T1759" s="42"/>
      <c r="U1759" s="42"/>
      <c r="V1759" s="42"/>
      <c r="W1759" s="42"/>
    </row>
    <row r="1760">
      <c r="A1760" s="9"/>
      <c r="B1760" s="9"/>
      <c r="C1760" s="9"/>
      <c r="D1760" s="42"/>
      <c r="E1760" s="103"/>
      <c r="F1760" s="42"/>
      <c r="G1760" s="9"/>
      <c r="H1760" s="9"/>
      <c r="I1760" s="9"/>
      <c r="J1760" s="9"/>
      <c r="K1760" s="42"/>
      <c r="L1760" s="42"/>
      <c r="M1760" s="42"/>
      <c r="N1760" s="42"/>
      <c r="O1760" s="42"/>
      <c r="P1760" s="9"/>
      <c r="Q1760" s="9"/>
      <c r="R1760" s="42"/>
      <c r="S1760" s="42"/>
      <c r="T1760" s="42"/>
      <c r="U1760" s="42"/>
      <c r="V1760" s="42"/>
      <c r="W1760" s="42"/>
    </row>
    <row r="1761">
      <c r="A1761" s="9"/>
      <c r="B1761" s="9"/>
      <c r="C1761" s="9"/>
      <c r="D1761" s="42"/>
      <c r="E1761" s="103"/>
      <c r="F1761" s="42"/>
      <c r="G1761" s="9"/>
      <c r="H1761" s="9"/>
      <c r="I1761" s="9"/>
      <c r="J1761" s="9"/>
      <c r="K1761" s="42"/>
      <c r="L1761" s="42"/>
      <c r="M1761" s="42"/>
      <c r="N1761" s="42"/>
      <c r="O1761" s="42"/>
      <c r="P1761" s="9"/>
      <c r="Q1761" s="9"/>
      <c r="R1761" s="42"/>
      <c r="S1761" s="42"/>
      <c r="T1761" s="42"/>
      <c r="U1761" s="42"/>
      <c r="V1761" s="42"/>
      <c r="W1761" s="42"/>
    </row>
    <row r="1762">
      <c r="A1762" s="9"/>
      <c r="B1762" s="9"/>
      <c r="C1762" s="9"/>
      <c r="D1762" s="42"/>
      <c r="E1762" s="103"/>
      <c r="F1762" s="42"/>
      <c r="G1762" s="9"/>
      <c r="H1762" s="9"/>
      <c r="I1762" s="9"/>
      <c r="J1762" s="9"/>
      <c r="K1762" s="42"/>
      <c r="L1762" s="42"/>
      <c r="M1762" s="42"/>
      <c r="N1762" s="42"/>
      <c r="O1762" s="42"/>
      <c r="P1762" s="9"/>
      <c r="Q1762" s="9"/>
      <c r="R1762" s="42"/>
      <c r="S1762" s="42"/>
      <c r="T1762" s="42"/>
      <c r="U1762" s="42"/>
      <c r="V1762" s="42"/>
      <c r="W1762" s="42"/>
    </row>
    <row r="1763">
      <c r="A1763" s="9"/>
      <c r="B1763" s="9"/>
      <c r="C1763" s="9"/>
      <c r="D1763" s="42"/>
      <c r="E1763" s="103"/>
      <c r="F1763" s="42"/>
      <c r="G1763" s="9"/>
      <c r="H1763" s="9"/>
      <c r="I1763" s="9"/>
      <c r="J1763" s="9"/>
      <c r="K1763" s="42"/>
      <c r="L1763" s="42"/>
      <c r="M1763" s="42"/>
      <c r="N1763" s="42"/>
      <c r="O1763" s="42"/>
      <c r="P1763" s="9"/>
      <c r="Q1763" s="9"/>
      <c r="R1763" s="42"/>
      <c r="S1763" s="42"/>
      <c r="T1763" s="42"/>
      <c r="U1763" s="42"/>
      <c r="V1763" s="42"/>
      <c r="W1763" s="42"/>
    </row>
    <row r="1764">
      <c r="A1764" s="9"/>
      <c r="B1764" s="9"/>
      <c r="C1764" s="9"/>
      <c r="D1764" s="42"/>
      <c r="E1764" s="103"/>
      <c r="F1764" s="42"/>
      <c r="G1764" s="9"/>
      <c r="H1764" s="9"/>
      <c r="I1764" s="9"/>
      <c r="J1764" s="9"/>
      <c r="K1764" s="42"/>
      <c r="L1764" s="42"/>
      <c r="M1764" s="42"/>
      <c r="N1764" s="42"/>
      <c r="O1764" s="42"/>
      <c r="P1764" s="9"/>
      <c r="Q1764" s="9"/>
      <c r="R1764" s="42"/>
      <c r="S1764" s="42"/>
      <c r="T1764" s="42"/>
      <c r="U1764" s="42"/>
      <c r="V1764" s="42"/>
      <c r="W1764" s="42"/>
    </row>
    <row r="1765">
      <c r="A1765" s="9"/>
      <c r="B1765" s="9"/>
      <c r="C1765" s="9"/>
      <c r="D1765" s="42"/>
      <c r="E1765" s="103"/>
      <c r="F1765" s="42"/>
      <c r="G1765" s="9"/>
      <c r="H1765" s="9"/>
      <c r="I1765" s="9"/>
      <c r="J1765" s="9"/>
      <c r="K1765" s="42"/>
      <c r="L1765" s="42"/>
      <c r="M1765" s="42"/>
      <c r="N1765" s="42"/>
      <c r="O1765" s="42"/>
      <c r="P1765" s="9"/>
      <c r="Q1765" s="9"/>
      <c r="R1765" s="42"/>
      <c r="S1765" s="42"/>
      <c r="T1765" s="42"/>
      <c r="U1765" s="42"/>
      <c r="V1765" s="42"/>
      <c r="W1765" s="42"/>
    </row>
    <row r="1766">
      <c r="A1766" s="9"/>
      <c r="B1766" s="9"/>
      <c r="C1766" s="9"/>
      <c r="D1766" s="42"/>
      <c r="E1766" s="103"/>
      <c r="F1766" s="42"/>
      <c r="G1766" s="9"/>
      <c r="H1766" s="9"/>
      <c r="I1766" s="9"/>
      <c r="J1766" s="9"/>
      <c r="K1766" s="42"/>
      <c r="L1766" s="42"/>
      <c r="M1766" s="42"/>
      <c r="N1766" s="42"/>
      <c r="O1766" s="42"/>
      <c r="P1766" s="9"/>
      <c r="Q1766" s="9"/>
      <c r="R1766" s="42"/>
      <c r="S1766" s="42"/>
      <c r="T1766" s="42"/>
      <c r="U1766" s="42"/>
      <c r="V1766" s="42"/>
      <c r="W1766" s="42"/>
    </row>
    <row r="1767">
      <c r="A1767" s="9"/>
      <c r="B1767" s="9"/>
      <c r="C1767" s="9"/>
      <c r="D1767" s="42"/>
      <c r="E1767" s="103"/>
      <c r="F1767" s="42"/>
      <c r="G1767" s="9"/>
      <c r="H1767" s="9"/>
      <c r="I1767" s="9"/>
      <c r="J1767" s="9"/>
      <c r="K1767" s="42"/>
      <c r="L1767" s="42"/>
      <c r="M1767" s="42"/>
      <c r="N1767" s="42"/>
      <c r="O1767" s="42"/>
      <c r="P1767" s="9"/>
      <c r="Q1767" s="9"/>
      <c r="R1767" s="42"/>
      <c r="S1767" s="42"/>
      <c r="T1767" s="42"/>
      <c r="U1767" s="42"/>
      <c r="V1767" s="42"/>
      <c r="W1767" s="42"/>
    </row>
    <row r="1768">
      <c r="A1768" s="9"/>
      <c r="B1768" s="9"/>
      <c r="C1768" s="9"/>
      <c r="D1768" s="42"/>
      <c r="E1768" s="103"/>
      <c r="F1768" s="42"/>
      <c r="G1768" s="9"/>
      <c r="H1768" s="9"/>
      <c r="I1768" s="9"/>
      <c r="J1768" s="9"/>
      <c r="K1768" s="42"/>
      <c r="L1768" s="42"/>
      <c r="M1768" s="42"/>
      <c r="N1768" s="42"/>
      <c r="O1768" s="42"/>
      <c r="P1768" s="9"/>
      <c r="Q1768" s="9"/>
      <c r="R1768" s="42"/>
      <c r="S1768" s="42"/>
      <c r="T1768" s="42"/>
      <c r="U1768" s="42"/>
      <c r="V1768" s="42"/>
      <c r="W1768" s="42"/>
    </row>
    <row r="1769">
      <c r="A1769" s="9"/>
      <c r="B1769" s="9"/>
      <c r="C1769" s="9"/>
      <c r="D1769" s="42"/>
      <c r="E1769" s="103"/>
      <c r="F1769" s="42"/>
      <c r="G1769" s="9"/>
      <c r="H1769" s="9"/>
      <c r="I1769" s="9"/>
      <c r="J1769" s="9"/>
      <c r="K1769" s="42"/>
      <c r="L1769" s="42"/>
      <c r="M1769" s="42"/>
      <c r="N1769" s="42"/>
      <c r="O1769" s="42"/>
      <c r="P1769" s="9"/>
      <c r="Q1769" s="9"/>
      <c r="R1769" s="42"/>
      <c r="S1769" s="42"/>
      <c r="T1769" s="42"/>
      <c r="U1769" s="42"/>
      <c r="V1769" s="42"/>
      <c r="W1769" s="42"/>
    </row>
    <row r="1770">
      <c r="A1770" s="9"/>
      <c r="B1770" s="9"/>
      <c r="C1770" s="9"/>
      <c r="D1770" s="42"/>
      <c r="E1770" s="103"/>
      <c r="F1770" s="42"/>
      <c r="G1770" s="9"/>
      <c r="H1770" s="9"/>
      <c r="I1770" s="9"/>
      <c r="J1770" s="9"/>
      <c r="K1770" s="42"/>
      <c r="L1770" s="42"/>
      <c r="M1770" s="42"/>
      <c r="N1770" s="42"/>
      <c r="O1770" s="42"/>
      <c r="P1770" s="9"/>
      <c r="Q1770" s="9"/>
      <c r="R1770" s="42"/>
      <c r="S1770" s="42"/>
      <c r="T1770" s="42"/>
      <c r="U1770" s="42"/>
      <c r="V1770" s="42"/>
      <c r="W1770" s="42"/>
    </row>
    <row r="1771">
      <c r="A1771" s="9"/>
      <c r="B1771" s="9"/>
      <c r="C1771" s="9"/>
      <c r="D1771" s="42"/>
      <c r="E1771" s="103"/>
      <c r="F1771" s="42"/>
      <c r="G1771" s="9"/>
      <c r="H1771" s="9"/>
      <c r="I1771" s="9"/>
      <c r="J1771" s="9"/>
      <c r="K1771" s="42"/>
      <c r="L1771" s="42"/>
      <c r="M1771" s="42"/>
      <c r="N1771" s="42"/>
      <c r="O1771" s="42"/>
      <c r="P1771" s="9"/>
      <c r="Q1771" s="9"/>
      <c r="R1771" s="42"/>
      <c r="S1771" s="42"/>
      <c r="T1771" s="42"/>
      <c r="U1771" s="42"/>
      <c r="V1771" s="42"/>
      <c r="W1771" s="42"/>
    </row>
    <row r="1772">
      <c r="A1772" s="9"/>
      <c r="B1772" s="9"/>
      <c r="C1772" s="9"/>
      <c r="D1772" s="42"/>
      <c r="E1772" s="103"/>
      <c r="F1772" s="42"/>
      <c r="G1772" s="9"/>
      <c r="H1772" s="9"/>
      <c r="I1772" s="9"/>
      <c r="J1772" s="9"/>
      <c r="K1772" s="42"/>
      <c r="L1772" s="42"/>
      <c r="M1772" s="42"/>
      <c r="N1772" s="42"/>
      <c r="O1772" s="42"/>
      <c r="P1772" s="9"/>
      <c r="Q1772" s="9"/>
      <c r="R1772" s="42"/>
      <c r="S1772" s="42"/>
      <c r="T1772" s="42"/>
      <c r="U1772" s="42"/>
      <c r="V1772" s="42"/>
      <c r="W1772" s="42"/>
    </row>
    <row r="1773">
      <c r="A1773" s="9"/>
      <c r="B1773" s="9"/>
      <c r="C1773" s="9"/>
      <c r="D1773" s="42"/>
      <c r="E1773" s="103"/>
      <c r="F1773" s="42"/>
      <c r="G1773" s="9"/>
      <c r="H1773" s="9"/>
      <c r="I1773" s="9"/>
      <c r="J1773" s="9"/>
      <c r="K1773" s="42"/>
      <c r="L1773" s="42"/>
      <c r="M1773" s="42"/>
      <c r="N1773" s="42"/>
      <c r="O1773" s="42"/>
      <c r="P1773" s="9"/>
      <c r="Q1773" s="9"/>
      <c r="R1773" s="42"/>
      <c r="S1773" s="42"/>
      <c r="T1773" s="42"/>
      <c r="U1773" s="42"/>
      <c r="V1773" s="42"/>
      <c r="W1773" s="42"/>
    </row>
    <row r="1774">
      <c r="A1774" s="9"/>
      <c r="B1774" s="9"/>
      <c r="C1774" s="9"/>
      <c r="D1774" s="42"/>
      <c r="E1774" s="103"/>
      <c r="F1774" s="42"/>
      <c r="G1774" s="9"/>
      <c r="H1774" s="9"/>
      <c r="I1774" s="9"/>
      <c r="J1774" s="9"/>
      <c r="K1774" s="42"/>
      <c r="L1774" s="42"/>
      <c r="M1774" s="42"/>
      <c r="N1774" s="42"/>
      <c r="O1774" s="42"/>
      <c r="P1774" s="9"/>
      <c r="Q1774" s="9"/>
      <c r="R1774" s="42"/>
      <c r="S1774" s="42"/>
      <c r="T1774" s="42"/>
      <c r="U1774" s="42"/>
      <c r="V1774" s="42"/>
      <c r="W1774" s="42"/>
    </row>
    <row r="1775">
      <c r="A1775" s="9"/>
      <c r="B1775" s="9"/>
      <c r="C1775" s="9"/>
      <c r="D1775" s="42"/>
      <c r="E1775" s="103"/>
      <c r="F1775" s="42"/>
      <c r="G1775" s="9"/>
      <c r="H1775" s="9"/>
      <c r="I1775" s="9"/>
      <c r="J1775" s="9"/>
      <c r="K1775" s="42"/>
      <c r="L1775" s="42"/>
      <c r="M1775" s="42"/>
      <c r="N1775" s="42"/>
      <c r="O1775" s="42"/>
      <c r="P1775" s="9"/>
      <c r="Q1775" s="9"/>
      <c r="R1775" s="42"/>
      <c r="S1775" s="42"/>
      <c r="T1775" s="42"/>
      <c r="U1775" s="42"/>
      <c r="V1775" s="42"/>
      <c r="W1775" s="42"/>
    </row>
    <row r="1776">
      <c r="A1776" s="9"/>
      <c r="B1776" s="9"/>
      <c r="C1776" s="9"/>
      <c r="D1776" s="42"/>
      <c r="E1776" s="103"/>
      <c r="F1776" s="42"/>
      <c r="G1776" s="9"/>
      <c r="H1776" s="9"/>
      <c r="I1776" s="9"/>
      <c r="J1776" s="9"/>
      <c r="K1776" s="42"/>
      <c r="L1776" s="42"/>
      <c r="M1776" s="42"/>
      <c r="N1776" s="42"/>
      <c r="O1776" s="42"/>
      <c r="P1776" s="9"/>
      <c r="Q1776" s="9"/>
      <c r="R1776" s="42"/>
      <c r="S1776" s="42"/>
      <c r="T1776" s="42"/>
      <c r="U1776" s="42"/>
      <c r="V1776" s="42"/>
      <c r="W1776" s="42"/>
    </row>
    <row r="1777">
      <c r="A1777" s="9"/>
      <c r="B1777" s="9"/>
      <c r="C1777" s="9"/>
      <c r="D1777" s="42"/>
      <c r="E1777" s="103"/>
      <c r="F1777" s="42"/>
      <c r="G1777" s="9"/>
      <c r="H1777" s="9"/>
      <c r="I1777" s="9"/>
      <c r="J1777" s="9"/>
      <c r="K1777" s="42"/>
      <c r="L1777" s="42"/>
      <c r="M1777" s="42"/>
      <c r="N1777" s="42"/>
      <c r="O1777" s="42"/>
      <c r="P1777" s="9"/>
      <c r="Q1777" s="9"/>
      <c r="R1777" s="42"/>
      <c r="S1777" s="42"/>
      <c r="T1777" s="42"/>
      <c r="U1777" s="42"/>
      <c r="V1777" s="42"/>
      <c r="W1777" s="42"/>
    </row>
    <row r="1778">
      <c r="A1778" s="9"/>
      <c r="B1778" s="9"/>
      <c r="C1778" s="9"/>
      <c r="D1778" s="42"/>
      <c r="E1778" s="103"/>
      <c r="F1778" s="42"/>
      <c r="G1778" s="9"/>
      <c r="H1778" s="9"/>
      <c r="I1778" s="9"/>
      <c r="J1778" s="9"/>
      <c r="K1778" s="42"/>
      <c r="L1778" s="42"/>
      <c r="M1778" s="42"/>
      <c r="N1778" s="42"/>
      <c r="O1778" s="42"/>
      <c r="P1778" s="9"/>
      <c r="Q1778" s="9"/>
      <c r="R1778" s="42"/>
      <c r="S1778" s="42"/>
      <c r="T1778" s="42"/>
      <c r="U1778" s="42"/>
      <c r="V1778" s="42"/>
      <c r="W1778" s="42"/>
    </row>
    <row r="1779">
      <c r="A1779" s="9"/>
      <c r="B1779" s="9"/>
      <c r="C1779" s="9"/>
      <c r="D1779" s="42"/>
      <c r="E1779" s="103"/>
      <c r="F1779" s="42"/>
      <c r="G1779" s="9"/>
      <c r="H1779" s="9"/>
      <c r="I1779" s="9"/>
      <c r="J1779" s="9"/>
      <c r="K1779" s="42"/>
      <c r="L1779" s="42"/>
      <c r="M1779" s="42"/>
      <c r="N1779" s="42"/>
      <c r="O1779" s="42"/>
      <c r="P1779" s="9"/>
      <c r="Q1779" s="9"/>
      <c r="R1779" s="42"/>
      <c r="S1779" s="42"/>
      <c r="T1779" s="42"/>
      <c r="U1779" s="42"/>
      <c r="V1779" s="42"/>
      <c r="W1779" s="42"/>
    </row>
    <row r="1780">
      <c r="A1780" s="9"/>
      <c r="B1780" s="9"/>
      <c r="C1780" s="9"/>
      <c r="D1780" s="42"/>
      <c r="E1780" s="103"/>
      <c r="F1780" s="42"/>
      <c r="G1780" s="9"/>
      <c r="H1780" s="9"/>
      <c r="I1780" s="9"/>
      <c r="J1780" s="9"/>
      <c r="K1780" s="42"/>
      <c r="L1780" s="42"/>
      <c r="M1780" s="42"/>
      <c r="N1780" s="42"/>
      <c r="O1780" s="42"/>
      <c r="P1780" s="9"/>
      <c r="Q1780" s="9"/>
      <c r="R1780" s="42"/>
      <c r="S1780" s="42"/>
      <c r="T1780" s="42"/>
      <c r="U1780" s="42"/>
      <c r="V1780" s="42"/>
      <c r="W1780" s="42"/>
    </row>
    <row r="1781">
      <c r="A1781" s="9"/>
      <c r="B1781" s="9"/>
      <c r="C1781" s="9"/>
      <c r="D1781" s="42"/>
      <c r="E1781" s="103"/>
      <c r="F1781" s="42"/>
      <c r="G1781" s="9"/>
      <c r="H1781" s="9"/>
      <c r="I1781" s="9"/>
      <c r="J1781" s="9"/>
      <c r="K1781" s="42"/>
      <c r="L1781" s="42"/>
      <c r="M1781" s="42"/>
      <c r="N1781" s="42"/>
      <c r="O1781" s="42"/>
      <c r="P1781" s="9"/>
      <c r="Q1781" s="9"/>
      <c r="R1781" s="42"/>
      <c r="S1781" s="42"/>
      <c r="T1781" s="42"/>
      <c r="U1781" s="42"/>
      <c r="V1781" s="42"/>
      <c r="W1781" s="42"/>
    </row>
    <row r="1782">
      <c r="A1782" s="9"/>
      <c r="B1782" s="9"/>
      <c r="C1782" s="9"/>
      <c r="D1782" s="42"/>
      <c r="E1782" s="103"/>
      <c r="F1782" s="42"/>
      <c r="G1782" s="9"/>
      <c r="H1782" s="9"/>
      <c r="I1782" s="9"/>
      <c r="J1782" s="9"/>
      <c r="K1782" s="42"/>
      <c r="L1782" s="42"/>
      <c r="M1782" s="42"/>
      <c r="N1782" s="42"/>
      <c r="O1782" s="42"/>
      <c r="P1782" s="9"/>
      <c r="Q1782" s="9"/>
      <c r="R1782" s="42"/>
      <c r="S1782" s="42"/>
      <c r="T1782" s="42"/>
      <c r="U1782" s="42"/>
      <c r="V1782" s="42"/>
      <c r="W1782" s="42"/>
    </row>
    <row r="1783">
      <c r="A1783" s="9"/>
      <c r="B1783" s="9"/>
      <c r="C1783" s="9"/>
      <c r="D1783" s="42"/>
      <c r="E1783" s="103"/>
      <c r="F1783" s="42"/>
      <c r="G1783" s="9"/>
      <c r="H1783" s="9"/>
      <c r="I1783" s="9"/>
      <c r="J1783" s="9"/>
      <c r="K1783" s="42"/>
      <c r="L1783" s="42"/>
      <c r="M1783" s="42"/>
      <c r="N1783" s="42"/>
      <c r="O1783" s="42"/>
      <c r="P1783" s="9"/>
      <c r="Q1783" s="9"/>
      <c r="R1783" s="42"/>
      <c r="S1783" s="42"/>
      <c r="T1783" s="42"/>
      <c r="U1783" s="42"/>
      <c r="V1783" s="42"/>
      <c r="W1783" s="42"/>
    </row>
    <row r="1784">
      <c r="A1784" s="9"/>
      <c r="B1784" s="9"/>
      <c r="C1784" s="9"/>
      <c r="D1784" s="42"/>
      <c r="E1784" s="103"/>
      <c r="F1784" s="42"/>
      <c r="G1784" s="9"/>
      <c r="H1784" s="9"/>
      <c r="I1784" s="9"/>
      <c r="J1784" s="9"/>
      <c r="K1784" s="42"/>
      <c r="L1784" s="42"/>
      <c r="M1784" s="42"/>
      <c r="N1784" s="42"/>
      <c r="O1784" s="42"/>
      <c r="P1784" s="9"/>
      <c r="Q1784" s="9"/>
      <c r="R1784" s="42"/>
      <c r="S1784" s="42"/>
      <c r="T1784" s="42"/>
      <c r="U1784" s="42"/>
      <c r="V1784" s="42"/>
      <c r="W1784" s="42"/>
    </row>
    <row r="1785">
      <c r="A1785" s="9"/>
      <c r="B1785" s="9"/>
      <c r="C1785" s="9"/>
      <c r="D1785" s="42"/>
      <c r="E1785" s="103"/>
      <c r="F1785" s="42"/>
      <c r="G1785" s="9"/>
      <c r="H1785" s="9"/>
      <c r="I1785" s="9"/>
      <c r="J1785" s="9"/>
      <c r="K1785" s="42"/>
      <c r="L1785" s="42"/>
      <c r="M1785" s="42"/>
      <c r="N1785" s="42"/>
      <c r="O1785" s="42"/>
      <c r="P1785" s="9"/>
      <c r="Q1785" s="9"/>
      <c r="R1785" s="42"/>
      <c r="S1785" s="42"/>
      <c r="T1785" s="42"/>
      <c r="U1785" s="42"/>
      <c r="V1785" s="42"/>
      <c r="W1785" s="42"/>
    </row>
    <row r="1786">
      <c r="A1786" s="9"/>
      <c r="B1786" s="9"/>
      <c r="C1786" s="9"/>
      <c r="D1786" s="42"/>
      <c r="E1786" s="103"/>
      <c r="F1786" s="42"/>
      <c r="G1786" s="9"/>
      <c r="H1786" s="9"/>
      <c r="I1786" s="9"/>
      <c r="J1786" s="9"/>
      <c r="K1786" s="42"/>
      <c r="L1786" s="42"/>
      <c r="M1786" s="42"/>
      <c r="N1786" s="42"/>
      <c r="O1786" s="42"/>
      <c r="P1786" s="9"/>
      <c r="Q1786" s="9"/>
      <c r="R1786" s="42"/>
      <c r="S1786" s="42"/>
      <c r="T1786" s="42"/>
      <c r="U1786" s="42"/>
      <c r="V1786" s="42"/>
      <c r="W1786" s="42"/>
    </row>
    <row r="1787">
      <c r="A1787" s="9"/>
      <c r="B1787" s="9"/>
      <c r="C1787" s="9"/>
      <c r="D1787" s="42"/>
      <c r="E1787" s="103"/>
      <c r="F1787" s="42"/>
      <c r="G1787" s="9"/>
      <c r="H1787" s="9"/>
      <c r="I1787" s="9"/>
      <c r="J1787" s="9"/>
      <c r="K1787" s="42"/>
      <c r="L1787" s="42"/>
      <c r="M1787" s="42"/>
      <c r="N1787" s="42"/>
      <c r="O1787" s="42"/>
      <c r="P1787" s="9"/>
      <c r="Q1787" s="9"/>
      <c r="R1787" s="42"/>
      <c r="S1787" s="42"/>
      <c r="T1787" s="42"/>
      <c r="U1787" s="42"/>
      <c r="V1787" s="42"/>
      <c r="W1787" s="42"/>
    </row>
    <row r="1788">
      <c r="A1788" s="9"/>
      <c r="B1788" s="9"/>
      <c r="C1788" s="9"/>
      <c r="D1788" s="42"/>
      <c r="E1788" s="103"/>
      <c r="F1788" s="42"/>
      <c r="G1788" s="9"/>
      <c r="H1788" s="9"/>
      <c r="I1788" s="9"/>
      <c r="J1788" s="9"/>
      <c r="K1788" s="42"/>
      <c r="L1788" s="42"/>
      <c r="M1788" s="42"/>
      <c r="N1788" s="42"/>
      <c r="O1788" s="42"/>
      <c r="P1788" s="9"/>
      <c r="Q1788" s="9"/>
      <c r="R1788" s="42"/>
      <c r="S1788" s="42"/>
      <c r="T1788" s="42"/>
      <c r="U1788" s="42"/>
      <c r="V1788" s="42"/>
      <c r="W1788" s="42"/>
    </row>
    <row r="1789">
      <c r="A1789" s="9"/>
      <c r="B1789" s="9"/>
      <c r="C1789" s="9"/>
      <c r="D1789" s="42"/>
      <c r="E1789" s="103"/>
      <c r="F1789" s="42"/>
      <c r="G1789" s="9"/>
      <c r="H1789" s="9"/>
      <c r="I1789" s="9"/>
      <c r="J1789" s="9"/>
      <c r="K1789" s="42"/>
      <c r="L1789" s="42"/>
      <c r="M1789" s="42"/>
      <c r="N1789" s="42"/>
      <c r="O1789" s="42"/>
      <c r="P1789" s="9"/>
      <c r="Q1789" s="9"/>
      <c r="R1789" s="42"/>
      <c r="S1789" s="42"/>
      <c r="T1789" s="42"/>
      <c r="U1789" s="42"/>
      <c r="V1789" s="42"/>
      <c r="W1789" s="42"/>
    </row>
    <row r="1790">
      <c r="A1790" s="9"/>
      <c r="B1790" s="9"/>
      <c r="C1790" s="9"/>
      <c r="D1790" s="42"/>
      <c r="E1790" s="103"/>
      <c r="F1790" s="42"/>
      <c r="G1790" s="9"/>
      <c r="H1790" s="9"/>
      <c r="I1790" s="9"/>
      <c r="J1790" s="9"/>
      <c r="K1790" s="42"/>
      <c r="L1790" s="42"/>
      <c r="M1790" s="42"/>
      <c r="N1790" s="42"/>
      <c r="O1790" s="42"/>
      <c r="P1790" s="9"/>
      <c r="Q1790" s="9"/>
      <c r="R1790" s="42"/>
      <c r="S1790" s="42"/>
      <c r="T1790" s="42"/>
      <c r="U1790" s="42"/>
      <c r="V1790" s="42"/>
      <c r="W1790" s="42"/>
    </row>
    <row r="1791">
      <c r="A1791" s="9"/>
      <c r="B1791" s="9"/>
      <c r="C1791" s="9"/>
      <c r="D1791" s="42"/>
      <c r="E1791" s="103"/>
      <c r="F1791" s="42"/>
      <c r="G1791" s="9"/>
      <c r="H1791" s="9"/>
      <c r="I1791" s="9"/>
      <c r="J1791" s="9"/>
      <c r="K1791" s="42"/>
      <c r="L1791" s="42"/>
      <c r="M1791" s="42"/>
      <c r="N1791" s="42"/>
      <c r="O1791" s="42"/>
      <c r="P1791" s="9"/>
      <c r="Q1791" s="9"/>
      <c r="R1791" s="42"/>
      <c r="S1791" s="42"/>
      <c r="T1791" s="42"/>
      <c r="U1791" s="42"/>
      <c r="V1791" s="42"/>
      <c r="W1791" s="42"/>
    </row>
    <row r="1792">
      <c r="A1792" s="9"/>
      <c r="B1792" s="9"/>
      <c r="C1792" s="9"/>
      <c r="D1792" s="42"/>
      <c r="E1792" s="103"/>
      <c r="F1792" s="42"/>
      <c r="G1792" s="9"/>
      <c r="H1792" s="9"/>
      <c r="I1792" s="9"/>
      <c r="J1792" s="9"/>
      <c r="K1792" s="42"/>
      <c r="L1792" s="42"/>
      <c r="M1792" s="42"/>
      <c r="N1792" s="42"/>
      <c r="O1792" s="42"/>
      <c r="P1792" s="9"/>
      <c r="Q1792" s="9"/>
      <c r="R1792" s="42"/>
      <c r="S1792" s="42"/>
      <c r="T1792" s="42"/>
      <c r="U1792" s="42"/>
      <c r="V1792" s="42"/>
      <c r="W1792" s="42"/>
    </row>
    <row r="1793">
      <c r="A1793" s="9"/>
      <c r="B1793" s="9"/>
      <c r="C1793" s="9"/>
      <c r="D1793" s="42"/>
      <c r="E1793" s="103"/>
      <c r="F1793" s="42"/>
      <c r="G1793" s="9"/>
      <c r="H1793" s="9"/>
      <c r="I1793" s="9"/>
      <c r="J1793" s="9"/>
      <c r="K1793" s="42"/>
      <c r="L1793" s="42"/>
      <c r="M1793" s="42"/>
      <c r="N1793" s="42"/>
      <c r="O1793" s="42"/>
      <c r="P1793" s="9"/>
      <c r="Q1793" s="9"/>
      <c r="R1793" s="42"/>
      <c r="S1793" s="42"/>
      <c r="T1793" s="42"/>
      <c r="U1793" s="42"/>
      <c r="V1793" s="42"/>
      <c r="W1793" s="42"/>
    </row>
    <row r="1794">
      <c r="A1794" s="9"/>
      <c r="B1794" s="9"/>
      <c r="C1794" s="9"/>
      <c r="D1794" s="42"/>
      <c r="E1794" s="103"/>
      <c r="F1794" s="42"/>
      <c r="G1794" s="9"/>
      <c r="H1794" s="9"/>
      <c r="I1794" s="9"/>
      <c r="J1794" s="9"/>
      <c r="K1794" s="42"/>
      <c r="L1794" s="42"/>
      <c r="M1794" s="42"/>
      <c r="N1794" s="42"/>
      <c r="O1794" s="42"/>
      <c r="P1794" s="9"/>
      <c r="Q1794" s="9"/>
      <c r="R1794" s="42"/>
      <c r="S1794" s="42"/>
      <c r="T1794" s="42"/>
      <c r="U1794" s="42"/>
      <c r="V1794" s="42"/>
      <c r="W1794" s="42"/>
    </row>
    <row r="1795">
      <c r="A1795" s="9"/>
      <c r="B1795" s="9"/>
      <c r="C1795" s="9"/>
      <c r="D1795" s="42"/>
      <c r="E1795" s="103"/>
      <c r="F1795" s="42"/>
      <c r="G1795" s="9"/>
      <c r="H1795" s="9"/>
      <c r="I1795" s="9"/>
      <c r="J1795" s="9"/>
      <c r="K1795" s="42"/>
      <c r="L1795" s="42"/>
      <c r="M1795" s="42"/>
      <c r="N1795" s="42"/>
      <c r="O1795" s="42"/>
      <c r="P1795" s="9"/>
      <c r="Q1795" s="9"/>
      <c r="R1795" s="42"/>
      <c r="S1795" s="42"/>
      <c r="T1795" s="42"/>
      <c r="U1795" s="42"/>
      <c r="V1795" s="42"/>
      <c r="W1795" s="42"/>
    </row>
    <row r="1796">
      <c r="A1796" s="9"/>
      <c r="B1796" s="9"/>
      <c r="C1796" s="9"/>
      <c r="D1796" s="42"/>
      <c r="E1796" s="103"/>
      <c r="F1796" s="42"/>
      <c r="G1796" s="9"/>
      <c r="H1796" s="9"/>
      <c r="I1796" s="9"/>
      <c r="J1796" s="9"/>
      <c r="K1796" s="42"/>
      <c r="L1796" s="42"/>
      <c r="M1796" s="42"/>
      <c r="N1796" s="42"/>
      <c r="O1796" s="42"/>
      <c r="P1796" s="9"/>
      <c r="Q1796" s="9"/>
      <c r="R1796" s="42"/>
      <c r="S1796" s="42"/>
      <c r="T1796" s="42"/>
      <c r="U1796" s="42"/>
      <c r="V1796" s="42"/>
      <c r="W1796" s="42"/>
    </row>
    <row r="1797">
      <c r="A1797" s="9"/>
      <c r="B1797" s="9"/>
      <c r="C1797" s="9"/>
      <c r="D1797" s="42"/>
      <c r="E1797" s="103"/>
      <c r="F1797" s="42"/>
      <c r="G1797" s="9"/>
      <c r="H1797" s="9"/>
      <c r="I1797" s="9"/>
      <c r="J1797" s="9"/>
      <c r="K1797" s="42"/>
      <c r="L1797" s="42"/>
      <c r="M1797" s="42"/>
      <c r="N1797" s="42"/>
      <c r="O1797" s="42"/>
      <c r="P1797" s="9"/>
      <c r="Q1797" s="9"/>
      <c r="R1797" s="42"/>
      <c r="S1797" s="42"/>
      <c r="T1797" s="42"/>
      <c r="U1797" s="42"/>
      <c r="V1797" s="42"/>
      <c r="W1797" s="42"/>
    </row>
    <row r="1798">
      <c r="A1798" s="9"/>
      <c r="B1798" s="9"/>
      <c r="C1798" s="9"/>
      <c r="D1798" s="42"/>
      <c r="E1798" s="103"/>
      <c r="F1798" s="42"/>
      <c r="G1798" s="9"/>
      <c r="H1798" s="9"/>
      <c r="I1798" s="9"/>
      <c r="J1798" s="9"/>
      <c r="K1798" s="42"/>
      <c r="L1798" s="42"/>
      <c r="M1798" s="42"/>
      <c r="N1798" s="42"/>
      <c r="O1798" s="42"/>
      <c r="P1798" s="9"/>
      <c r="Q1798" s="9"/>
      <c r="R1798" s="42"/>
      <c r="S1798" s="42"/>
      <c r="T1798" s="42"/>
      <c r="U1798" s="42"/>
      <c r="V1798" s="42"/>
      <c r="W1798" s="42"/>
    </row>
    <row r="1799">
      <c r="A1799" s="9"/>
      <c r="B1799" s="9"/>
      <c r="C1799" s="9"/>
      <c r="D1799" s="42"/>
      <c r="E1799" s="103"/>
      <c r="F1799" s="42"/>
      <c r="G1799" s="9"/>
      <c r="H1799" s="9"/>
      <c r="I1799" s="9"/>
      <c r="J1799" s="9"/>
      <c r="K1799" s="42"/>
      <c r="L1799" s="42"/>
      <c r="M1799" s="42"/>
      <c r="N1799" s="42"/>
      <c r="O1799" s="42"/>
      <c r="P1799" s="9"/>
      <c r="Q1799" s="9"/>
      <c r="R1799" s="42"/>
      <c r="S1799" s="42"/>
      <c r="T1799" s="42"/>
      <c r="U1799" s="42"/>
      <c r="V1799" s="42"/>
      <c r="W1799" s="42"/>
    </row>
    <row r="1800">
      <c r="A1800" s="9"/>
      <c r="B1800" s="9"/>
      <c r="C1800" s="9"/>
      <c r="D1800" s="42"/>
      <c r="E1800" s="103"/>
      <c r="F1800" s="42"/>
      <c r="G1800" s="9"/>
      <c r="H1800" s="9"/>
      <c r="I1800" s="9"/>
      <c r="J1800" s="9"/>
      <c r="K1800" s="42"/>
      <c r="L1800" s="42"/>
      <c r="M1800" s="42"/>
      <c r="N1800" s="42"/>
      <c r="O1800" s="42"/>
      <c r="P1800" s="9"/>
      <c r="Q1800" s="9"/>
      <c r="R1800" s="42"/>
      <c r="S1800" s="42"/>
      <c r="T1800" s="42"/>
      <c r="U1800" s="42"/>
      <c r="V1800" s="42"/>
      <c r="W1800" s="42"/>
    </row>
    <row r="1801">
      <c r="A1801" s="9"/>
      <c r="B1801" s="9"/>
      <c r="C1801" s="9"/>
      <c r="D1801" s="42"/>
      <c r="E1801" s="103"/>
      <c r="F1801" s="42"/>
      <c r="G1801" s="9"/>
      <c r="H1801" s="9"/>
      <c r="I1801" s="9"/>
      <c r="J1801" s="9"/>
      <c r="K1801" s="42"/>
      <c r="L1801" s="42"/>
      <c r="M1801" s="42"/>
      <c r="N1801" s="42"/>
      <c r="O1801" s="42"/>
      <c r="P1801" s="9"/>
      <c r="Q1801" s="9"/>
      <c r="R1801" s="42"/>
      <c r="S1801" s="42"/>
      <c r="T1801" s="42"/>
      <c r="U1801" s="42"/>
      <c r="V1801" s="42"/>
      <c r="W1801" s="42"/>
    </row>
    <row r="1802">
      <c r="A1802" s="9"/>
      <c r="B1802" s="9"/>
      <c r="C1802" s="9"/>
      <c r="D1802" s="42"/>
      <c r="E1802" s="103"/>
      <c r="F1802" s="42"/>
      <c r="G1802" s="9"/>
      <c r="H1802" s="9"/>
      <c r="I1802" s="9"/>
      <c r="J1802" s="9"/>
      <c r="K1802" s="42"/>
      <c r="L1802" s="42"/>
      <c r="M1802" s="42"/>
      <c r="N1802" s="42"/>
      <c r="O1802" s="42"/>
      <c r="P1802" s="9"/>
      <c r="Q1802" s="9"/>
      <c r="R1802" s="42"/>
      <c r="S1802" s="42"/>
      <c r="T1802" s="42"/>
      <c r="U1802" s="42"/>
      <c r="V1802" s="42"/>
      <c r="W1802" s="42"/>
    </row>
    <row r="1803">
      <c r="A1803" s="9"/>
      <c r="B1803" s="9"/>
      <c r="C1803" s="9"/>
      <c r="D1803" s="42"/>
      <c r="E1803" s="103"/>
      <c r="F1803" s="42"/>
      <c r="G1803" s="9"/>
      <c r="H1803" s="9"/>
      <c r="I1803" s="9"/>
      <c r="J1803" s="9"/>
      <c r="K1803" s="42"/>
      <c r="L1803" s="42"/>
      <c r="M1803" s="42"/>
      <c r="N1803" s="42"/>
      <c r="O1803" s="42"/>
      <c r="P1803" s="9"/>
      <c r="Q1803" s="9"/>
      <c r="R1803" s="42"/>
      <c r="S1803" s="42"/>
      <c r="T1803" s="42"/>
      <c r="U1803" s="42"/>
      <c r="V1803" s="42"/>
      <c r="W1803" s="42"/>
    </row>
    <row r="1804">
      <c r="A1804" s="9"/>
      <c r="B1804" s="9"/>
      <c r="C1804" s="9"/>
      <c r="D1804" s="42"/>
      <c r="E1804" s="103"/>
      <c r="F1804" s="42"/>
      <c r="G1804" s="9"/>
      <c r="H1804" s="9"/>
      <c r="I1804" s="9"/>
      <c r="J1804" s="9"/>
      <c r="K1804" s="42"/>
      <c r="L1804" s="42"/>
      <c r="M1804" s="42"/>
      <c r="N1804" s="42"/>
      <c r="O1804" s="42"/>
      <c r="P1804" s="9"/>
      <c r="Q1804" s="9"/>
      <c r="R1804" s="42"/>
      <c r="S1804" s="42"/>
      <c r="T1804" s="42"/>
      <c r="U1804" s="42"/>
      <c r="V1804" s="42"/>
      <c r="W1804" s="42"/>
    </row>
    <row r="1805">
      <c r="A1805" s="9"/>
      <c r="B1805" s="9"/>
      <c r="C1805" s="9"/>
      <c r="D1805" s="42"/>
      <c r="E1805" s="103"/>
      <c r="F1805" s="42"/>
      <c r="G1805" s="9"/>
      <c r="H1805" s="9"/>
      <c r="I1805" s="9"/>
      <c r="J1805" s="9"/>
      <c r="K1805" s="42"/>
      <c r="L1805" s="42"/>
      <c r="M1805" s="42"/>
      <c r="N1805" s="42"/>
      <c r="O1805" s="42"/>
      <c r="P1805" s="9"/>
      <c r="Q1805" s="9"/>
      <c r="R1805" s="42"/>
      <c r="S1805" s="42"/>
      <c r="T1805" s="42"/>
      <c r="U1805" s="42"/>
      <c r="V1805" s="42"/>
      <c r="W1805" s="42"/>
    </row>
    <row r="1806">
      <c r="A1806" s="9"/>
      <c r="B1806" s="9"/>
      <c r="C1806" s="9"/>
      <c r="D1806" s="42"/>
      <c r="E1806" s="103"/>
      <c r="F1806" s="42"/>
      <c r="G1806" s="9"/>
      <c r="H1806" s="9"/>
      <c r="I1806" s="9"/>
      <c r="J1806" s="9"/>
      <c r="K1806" s="42"/>
      <c r="L1806" s="42"/>
      <c r="M1806" s="42"/>
      <c r="N1806" s="42"/>
      <c r="O1806" s="42"/>
      <c r="P1806" s="9"/>
      <c r="Q1806" s="9"/>
      <c r="R1806" s="42"/>
      <c r="S1806" s="42"/>
      <c r="T1806" s="42"/>
      <c r="U1806" s="42"/>
      <c r="V1806" s="42"/>
      <c r="W1806" s="42"/>
    </row>
    <row r="1807">
      <c r="A1807" s="9"/>
      <c r="B1807" s="9"/>
      <c r="C1807" s="9"/>
      <c r="D1807" s="42"/>
      <c r="E1807" s="103"/>
      <c r="F1807" s="42"/>
      <c r="G1807" s="9"/>
      <c r="H1807" s="9"/>
      <c r="I1807" s="9"/>
      <c r="J1807" s="9"/>
      <c r="K1807" s="42"/>
      <c r="L1807" s="42"/>
      <c r="M1807" s="42"/>
      <c r="N1807" s="42"/>
      <c r="O1807" s="42"/>
      <c r="P1807" s="9"/>
      <c r="Q1807" s="9"/>
      <c r="R1807" s="42"/>
      <c r="S1807" s="42"/>
      <c r="T1807" s="42"/>
      <c r="U1807" s="42"/>
      <c r="V1807" s="42"/>
      <c r="W1807" s="42"/>
    </row>
    <row r="1808">
      <c r="A1808" s="9"/>
      <c r="B1808" s="9"/>
      <c r="C1808" s="9"/>
      <c r="D1808" s="42"/>
      <c r="E1808" s="103"/>
      <c r="F1808" s="42"/>
      <c r="G1808" s="9"/>
      <c r="H1808" s="9"/>
      <c r="I1808" s="9"/>
      <c r="J1808" s="9"/>
      <c r="K1808" s="42"/>
      <c r="L1808" s="42"/>
      <c r="M1808" s="42"/>
      <c r="N1808" s="42"/>
      <c r="O1808" s="42"/>
      <c r="P1808" s="9"/>
      <c r="Q1808" s="9"/>
      <c r="R1808" s="42"/>
      <c r="S1808" s="42"/>
      <c r="T1808" s="42"/>
      <c r="U1808" s="42"/>
      <c r="V1808" s="42"/>
      <c r="W1808" s="42"/>
    </row>
    <row r="1809">
      <c r="A1809" s="9"/>
      <c r="B1809" s="9"/>
      <c r="C1809" s="9"/>
      <c r="D1809" s="42"/>
      <c r="E1809" s="103"/>
      <c r="F1809" s="42"/>
      <c r="G1809" s="9"/>
      <c r="H1809" s="9"/>
      <c r="I1809" s="9"/>
      <c r="J1809" s="9"/>
      <c r="K1809" s="42"/>
      <c r="L1809" s="42"/>
      <c r="M1809" s="42"/>
      <c r="N1809" s="42"/>
      <c r="O1809" s="42"/>
      <c r="P1809" s="9"/>
      <c r="Q1809" s="9"/>
      <c r="R1809" s="42"/>
      <c r="S1809" s="42"/>
      <c r="T1809" s="42"/>
      <c r="U1809" s="42"/>
      <c r="V1809" s="42"/>
      <c r="W1809" s="42"/>
    </row>
    <row r="1810">
      <c r="A1810" s="9"/>
      <c r="B1810" s="9"/>
      <c r="C1810" s="9"/>
      <c r="D1810" s="42"/>
      <c r="E1810" s="103"/>
      <c r="F1810" s="42"/>
      <c r="G1810" s="9"/>
      <c r="H1810" s="9"/>
      <c r="I1810" s="9"/>
      <c r="J1810" s="9"/>
      <c r="K1810" s="42"/>
      <c r="L1810" s="42"/>
      <c r="M1810" s="42"/>
      <c r="N1810" s="42"/>
      <c r="O1810" s="42"/>
      <c r="P1810" s="9"/>
      <c r="Q1810" s="9"/>
      <c r="R1810" s="42"/>
      <c r="S1810" s="42"/>
      <c r="T1810" s="42"/>
      <c r="U1810" s="42"/>
      <c r="V1810" s="42"/>
      <c r="W1810" s="42"/>
    </row>
    <row r="1811">
      <c r="A1811" s="9"/>
      <c r="B1811" s="9"/>
      <c r="C1811" s="9"/>
      <c r="D1811" s="42"/>
      <c r="E1811" s="103"/>
      <c r="F1811" s="42"/>
      <c r="G1811" s="9"/>
      <c r="H1811" s="9"/>
      <c r="I1811" s="9"/>
      <c r="J1811" s="9"/>
      <c r="K1811" s="42"/>
      <c r="L1811" s="42"/>
      <c r="M1811" s="42"/>
      <c r="N1811" s="42"/>
      <c r="O1811" s="42"/>
      <c r="P1811" s="9"/>
      <c r="Q1811" s="9"/>
      <c r="R1811" s="42"/>
      <c r="S1811" s="42"/>
      <c r="T1811" s="42"/>
      <c r="U1811" s="42"/>
      <c r="V1811" s="42"/>
      <c r="W1811" s="42"/>
    </row>
    <row r="1812">
      <c r="A1812" s="9"/>
      <c r="B1812" s="9"/>
      <c r="C1812" s="9"/>
      <c r="D1812" s="42"/>
      <c r="E1812" s="103"/>
      <c r="F1812" s="42"/>
      <c r="G1812" s="9"/>
      <c r="H1812" s="9"/>
      <c r="I1812" s="9"/>
      <c r="J1812" s="9"/>
      <c r="K1812" s="42"/>
      <c r="L1812" s="42"/>
      <c r="M1812" s="42"/>
      <c r="N1812" s="42"/>
      <c r="O1812" s="42"/>
      <c r="P1812" s="9"/>
      <c r="Q1812" s="9"/>
      <c r="R1812" s="42"/>
      <c r="S1812" s="42"/>
      <c r="T1812" s="42"/>
      <c r="U1812" s="42"/>
      <c r="V1812" s="42"/>
      <c r="W1812" s="42"/>
    </row>
    <row r="1813">
      <c r="A1813" s="9"/>
      <c r="B1813" s="9"/>
      <c r="C1813" s="9"/>
      <c r="D1813" s="42"/>
      <c r="E1813" s="103"/>
      <c r="F1813" s="42"/>
      <c r="G1813" s="9"/>
      <c r="H1813" s="9"/>
      <c r="I1813" s="9"/>
      <c r="J1813" s="9"/>
      <c r="K1813" s="42"/>
      <c r="L1813" s="42"/>
      <c r="M1813" s="42"/>
      <c r="N1813" s="42"/>
      <c r="O1813" s="42"/>
      <c r="P1813" s="9"/>
      <c r="Q1813" s="9"/>
      <c r="R1813" s="42"/>
      <c r="S1813" s="42"/>
      <c r="T1813" s="42"/>
      <c r="U1813" s="42"/>
      <c r="V1813" s="42"/>
      <c r="W1813" s="42"/>
    </row>
    <row r="1814">
      <c r="A1814" s="9"/>
      <c r="B1814" s="9"/>
      <c r="C1814" s="9"/>
      <c r="D1814" s="42"/>
      <c r="E1814" s="103"/>
      <c r="F1814" s="42"/>
      <c r="G1814" s="9"/>
      <c r="H1814" s="9"/>
      <c r="I1814" s="9"/>
      <c r="J1814" s="9"/>
      <c r="K1814" s="42"/>
      <c r="L1814" s="42"/>
      <c r="M1814" s="42"/>
      <c r="N1814" s="42"/>
      <c r="O1814" s="42"/>
      <c r="P1814" s="9"/>
      <c r="Q1814" s="9"/>
      <c r="R1814" s="42"/>
      <c r="S1814" s="42"/>
      <c r="T1814" s="42"/>
      <c r="U1814" s="42"/>
      <c r="V1814" s="42"/>
      <c r="W1814" s="42"/>
    </row>
    <row r="1815">
      <c r="A1815" s="9"/>
      <c r="B1815" s="9"/>
      <c r="C1815" s="9"/>
      <c r="D1815" s="42"/>
      <c r="E1815" s="103"/>
      <c r="F1815" s="42"/>
      <c r="G1815" s="9"/>
      <c r="H1815" s="9"/>
      <c r="I1815" s="9"/>
      <c r="J1815" s="9"/>
      <c r="K1815" s="42"/>
      <c r="L1815" s="42"/>
      <c r="M1815" s="42"/>
      <c r="N1815" s="42"/>
      <c r="O1815" s="42"/>
      <c r="P1815" s="9"/>
      <c r="Q1815" s="9"/>
      <c r="R1815" s="42"/>
      <c r="S1815" s="42"/>
      <c r="T1815" s="42"/>
      <c r="U1815" s="42"/>
      <c r="V1815" s="42"/>
      <c r="W1815" s="42"/>
    </row>
    <row r="1816">
      <c r="A1816" s="9"/>
      <c r="B1816" s="9"/>
      <c r="C1816" s="9"/>
      <c r="D1816" s="42"/>
      <c r="E1816" s="103"/>
      <c r="F1816" s="42"/>
      <c r="G1816" s="9"/>
      <c r="H1816" s="9"/>
      <c r="I1816" s="9"/>
      <c r="J1816" s="9"/>
      <c r="K1816" s="42"/>
      <c r="L1816" s="42"/>
      <c r="M1816" s="42"/>
      <c r="N1816" s="42"/>
      <c r="O1816" s="42"/>
      <c r="P1816" s="9"/>
      <c r="Q1816" s="9"/>
      <c r="R1816" s="42"/>
      <c r="S1816" s="42"/>
      <c r="T1816" s="42"/>
      <c r="U1816" s="42"/>
      <c r="V1816" s="42"/>
      <c r="W1816" s="42"/>
    </row>
    <row r="1817">
      <c r="A1817" s="9"/>
      <c r="B1817" s="9"/>
      <c r="C1817" s="9"/>
      <c r="D1817" s="42"/>
      <c r="E1817" s="103"/>
      <c r="F1817" s="42"/>
      <c r="G1817" s="9"/>
      <c r="H1817" s="9"/>
      <c r="I1817" s="9"/>
      <c r="J1817" s="9"/>
      <c r="K1817" s="42"/>
      <c r="L1817" s="42"/>
      <c r="M1817" s="42"/>
      <c r="N1817" s="42"/>
      <c r="O1817" s="42"/>
      <c r="P1817" s="9"/>
      <c r="Q1817" s="9"/>
      <c r="R1817" s="42"/>
      <c r="S1817" s="42"/>
      <c r="T1817" s="42"/>
      <c r="U1817" s="42"/>
      <c r="V1817" s="42"/>
      <c r="W1817" s="42"/>
    </row>
    <row r="1818">
      <c r="A1818" s="9"/>
      <c r="B1818" s="9"/>
      <c r="C1818" s="9"/>
      <c r="D1818" s="42"/>
      <c r="E1818" s="103"/>
      <c r="F1818" s="42"/>
      <c r="G1818" s="9"/>
      <c r="H1818" s="9"/>
      <c r="I1818" s="9"/>
      <c r="J1818" s="9"/>
      <c r="K1818" s="42"/>
      <c r="L1818" s="42"/>
      <c r="M1818" s="42"/>
      <c r="N1818" s="42"/>
      <c r="O1818" s="42"/>
      <c r="P1818" s="9"/>
      <c r="Q1818" s="9"/>
      <c r="R1818" s="42"/>
      <c r="S1818" s="42"/>
      <c r="T1818" s="42"/>
      <c r="U1818" s="42"/>
      <c r="V1818" s="42"/>
      <c r="W1818" s="42"/>
    </row>
    <row r="1819">
      <c r="A1819" s="9"/>
      <c r="B1819" s="9"/>
      <c r="C1819" s="9"/>
      <c r="D1819" s="42"/>
      <c r="E1819" s="103"/>
      <c r="F1819" s="42"/>
      <c r="G1819" s="9"/>
      <c r="H1819" s="9"/>
      <c r="I1819" s="9"/>
      <c r="J1819" s="9"/>
      <c r="K1819" s="42"/>
      <c r="L1819" s="42"/>
      <c r="M1819" s="42"/>
      <c r="N1819" s="42"/>
      <c r="O1819" s="42"/>
      <c r="P1819" s="9"/>
      <c r="Q1819" s="9"/>
      <c r="R1819" s="42"/>
      <c r="S1819" s="42"/>
      <c r="T1819" s="42"/>
      <c r="U1819" s="42"/>
      <c r="V1819" s="42"/>
      <c r="W1819" s="42"/>
    </row>
    <row r="1820">
      <c r="A1820" s="9"/>
      <c r="B1820" s="9"/>
      <c r="C1820" s="9"/>
      <c r="D1820" s="42"/>
      <c r="E1820" s="103"/>
      <c r="F1820" s="42"/>
      <c r="G1820" s="9"/>
      <c r="H1820" s="9"/>
      <c r="I1820" s="9"/>
      <c r="J1820" s="9"/>
      <c r="K1820" s="42"/>
      <c r="L1820" s="42"/>
      <c r="M1820" s="42"/>
      <c r="N1820" s="42"/>
      <c r="O1820" s="42"/>
      <c r="P1820" s="9"/>
      <c r="Q1820" s="9"/>
      <c r="R1820" s="42"/>
      <c r="S1820" s="42"/>
      <c r="T1820" s="42"/>
      <c r="U1820" s="42"/>
      <c r="V1820" s="42"/>
      <c r="W1820" s="42"/>
    </row>
    <row r="1821">
      <c r="A1821" s="9"/>
      <c r="B1821" s="9"/>
      <c r="C1821" s="9"/>
      <c r="D1821" s="42"/>
      <c r="E1821" s="103"/>
      <c r="F1821" s="42"/>
      <c r="G1821" s="9"/>
      <c r="H1821" s="9"/>
      <c r="I1821" s="9"/>
      <c r="J1821" s="9"/>
      <c r="K1821" s="42"/>
      <c r="L1821" s="42"/>
      <c r="M1821" s="42"/>
      <c r="N1821" s="42"/>
      <c r="O1821" s="42"/>
      <c r="P1821" s="9"/>
      <c r="Q1821" s="9"/>
      <c r="R1821" s="42"/>
      <c r="S1821" s="42"/>
      <c r="T1821" s="42"/>
      <c r="U1821" s="42"/>
      <c r="V1821" s="42"/>
      <c r="W1821" s="42"/>
    </row>
    <row r="1822">
      <c r="A1822" s="9"/>
      <c r="B1822" s="9"/>
      <c r="C1822" s="9"/>
      <c r="D1822" s="42"/>
      <c r="E1822" s="103"/>
      <c r="F1822" s="42"/>
      <c r="G1822" s="9"/>
      <c r="H1822" s="9"/>
      <c r="I1822" s="9"/>
      <c r="J1822" s="9"/>
      <c r="K1822" s="42"/>
      <c r="L1822" s="42"/>
      <c r="M1822" s="42"/>
      <c r="N1822" s="42"/>
      <c r="O1822" s="42"/>
      <c r="P1822" s="9"/>
      <c r="Q1822" s="9"/>
      <c r="R1822" s="42"/>
      <c r="S1822" s="42"/>
      <c r="T1822" s="42"/>
      <c r="U1822" s="42"/>
      <c r="V1822" s="42"/>
      <c r="W1822" s="42"/>
    </row>
    <row r="1823">
      <c r="A1823" s="9"/>
      <c r="B1823" s="9"/>
      <c r="C1823" s="9"/>
      <c r="D1823" s="42"/>
      <c r="E1823" s="103"/>
      <c r="F1823" s="42"/>
      <c r="G1823" s="9"/>
      <c r="H1823" s="9"/>
      <c r="I1823" s="9"/>
      <c r="J1823" s="9"/>
      <c r="K1823" s="42"/>
      <c r="L1823" s="42"/>
      <c r="M1823" s="42"/>
      <c r="N1823" s="42"/>
      <c r="O1823" s="42"/>
      <c r="P1823" s="9"/>
      <c r="Q1823" s="9"/>
      <c r="R1823" s="42"/>
      <c r="S1823" s="42"/>
      <c r="T1823" s="42"/>
      <c r="U1823" s="42"/>
      <c r="V1823" s="42"/>
      <c r="W1823" s="42"/>
    </row>
    <row r="1824">
      <c r="A1824" s="9"/>
      <c r="B1824" s="9"/>
      <c r="C1824" s="9"/>
      <c r="D1824" s="42"/>
      <c r="E1824" s="103"/>
      <c r="F1824" s="42"/>
      <c r="G1824" s="9"/>
      <c r="H1824" s="9"/>
      <c r="I1824" s="9"/>
      <c r="J1824" s="9"/>
      <c r="K1824" s="42"/>
      <c r="L1824" s="42"/>
      <c r="M1824" s="42"/>
      <c r="N1824" s="42"/>
      <c r="O1824" s="42"/>
      <c r="P1824" s="9"/>
      <c r="Q1824" s="9"/>
      <c r="R1824" s="42"/>
      <c r="S1824" s="42"/>
      <c r="T1824" s="42"/>
      <c r="U1824" s="42"/>
      <c r="V1824" s="42"/>
      <c r="W1824" s="42"/>
    </row>
    <row r="1825">
      <c r="A1825" s="9"/>
      <c r="B1825" s="9"/>
      <c r="C1825" s="9"/>
      <c r="D1825" s="42"/>
      <c r="E1825" s="103"/>
      <c r="F1825" s="42"/>
      <c r="G1825" s="9"/>
      <c r="H1825" s="9"/>
      <c r="I1825" s="9"/>
      <c r="J1825" s="9"/>
      <c r="K1825" s="42"/>
      <c r="L1825" s="42"/>
      <c r="M1825" s="42"/>
      <c r="N1825" s="42"/>
      <c r="O1825" s="42"/>
      <c r="P1825" s="9"/>
      <c r="Q1825" s="9"/>
      <c r="R1825" s="42"/>
      <c r="S1825" s="42"/>
      <c r="T1825" s="42"/>
      <c r="U1825" s="42"/>
      <c r="V1825" s="42"/>
      <c r="W1825" s="42"/>
    </row>
    <row r="1826">
      <c r="A1826" s="9"/>
      <c r="B1826" s="9"/>
      <c r="C1826" s="9"/>
      <c r="D1826" s="42"/>
      <c r="E1826" s="103"/>
      <c r="F1826" s="42"/>
      <c r="G1826" s="9"/>
      <c r="H1826" s="9"/>
      <c r="I1826" s="9"/>
      <c r="J1826" s="9"/>
      <c r="K1826" s="42"/>
      <c r="L1826" s="42"/>
      <c r="M1826" s="42"/>
      <c r="N1826" s="42"/>
      <c r="O1826" s="42"/>
      <c r="P1826" s="9"/>
      <c r="Q1826" s="9"/>
      <c r="R1826" s="42"/>
      <c r="S1826" s="42"/>
      <c r="T1826" s="42"/>
      <c r="U1826" s="42"/>
      <c r="V1826" s="42"/>
      <c r="W1826" s="42"/>
    </row>
    <row r="1827">
      <c r="A1827" s="9"/>
      <c r="B1827" s="9"/>
      <c r="C1827" s="9"/>
      <c r="D1827" s="42"/>
      <c r="E1827" s="103"/>
      <c r="F1827" s="42"/>
      <c r="G1827" s="9"/>
      <c r="H1827" s="9"/>
      <c r="I1827" s="9"/>
      <c r="J1827" s="9"/>
      <c r="K1827" s="42"/>
      <c r="L1827" s="42"/>
      <c r="M1827" s="42"/>
      <c r="N1827" s="42"/>
      <c r="O1827" s="42"/>
      <c r="P1827" s="9"/>
      <c r="Q1827" s="9"/>
      <c r="R1827" s="42"/>
      <c r="S1827" s="42"/>
      <c r="T1827" s="42"/>
      <c r="U1827" s="42"/>
      <c r="V1827" s="42"/>
      <c r="W1827" s="42"/>
    </row>
    <row r="1828">
      <c r="A1828" s="9"/>
      <c r="B1828" s="9"/>
      <c r="C1828" s="9"/>
      <c r="D1828" s="42"/>
      <c r="E1828" s="103"/>
      <c r="F1828" s="42"/>
      <c r="G1828" s="9"/>
      <c r="H1828" s="9"/>
      <c r="I1828" s="9"/>
      <c r="J1828" s="9"/>
      <c r="K1828" s="42"/>
      <c r="L1828" s="42"/>
      <c r="M1828" s="42"/>
      <c r="N1828" s="42"/>
      <c r="O1828" s="42"/>
      <c r="P1828" s="9"/>
      <c r="Q1828" s="9"/>
      <c r="R1828" s="42"/>
      <c r="S1828" s="42"/>
      <c r="T1828" s="42"/>
      <c r="U1828" s="42"/>
      <c r="V1828" s="42"/>
      <c r="W1828" s="42"/>
    </row>
    <row r="1829">
      <c r="A1829" s="9"/>
      <c r="B1829" s="9"/>
      <c r="C1829" s="9"/>
      <c r="D1829" s="42"/>
      <c r="E1829" s="103"/>
      <c r="F1829" s="42"/>
      <c r="G1829" s="9"/>
      <c r="H1829" s="9"/>
      <c r="I1829" s="9"/>
      <c r="J1829" s="9"/>
      <c r="K1829" s="42"/>
      <c r="L1829" s="42"/>
      <c r="M1829" s="42"/>
      <c r="N1829" s="42"/>
      <c r="O1829" s="42"/>
      <c r="P1829" s="9"/>
      <c r="Q1829" s="9"/>
      <c r="R1829" s="42"/>
      <c r="S1829" s="42"/>
      <c r="T1829" s="42"/>
      <c r="U1829" s="42"/>
      <c r="V1829" s="42"/>
      <c r="W1829" s="42"/>
    </row>
    <row r="1830">
      <c r="A1830" s="9"/>
      <c r="B1830" s="9"/>
      <c r="C1830" s="9"/>
      <c r="D1830" s="42"/>
      <c r="E1830" s="103"/>
      <c r="F1830" s="42"/>
      <c r="G1830" s="9"/>
      <c r="H1830" s="9"/>
      <c r="I1830" s="9"/>
      <c r="J1830" s="9"/>
      <c r="K1830" s="42"/>
      <c r="L1830" s="42"/>
      <c r="M1830" s="42"/>
      <c r="N1830" s="42"/>
      <c r="O1830" s="42"/>
      <c r="P1830" s="9"/>
      <c r="Q1830" s="9"/>
      <c r="R1830" s="42"/>
      <c r="S1830" s="42"/>
      <c r="T1830" s="42"/>
      <c r="U1830" s="42"/>
      <c r="V1830" s="42"/>
      <c r="W1830" s="42"/>
    </row>
    <row r="1831">
      <c r="A1831" s="9"/>
      <c r="B1831" s="9"/>
      <c r="C1831" s="9"/>
      <c r="D1831" s="42"/>
      <c r="E1831" s="103"/>
      <c r="F1831" s="42"/>
      <c r="G1831" s="9"/>
      <c r="H1831" s="9"/>
      <c r="I1831" s="9"/>
      <c r="J1831" s="9"/>
      <c r="K1831" s="42"/>
      <c r="L1831" s="42"/>
      <c r="M1831" s="42"/>
      <c r="N1831" s="42"/>
      <c r="O1831" s="42"/>
      <c r="P1831" s="9"/>
      <c r="Q1831" s="9"/>
      <c r="R1831" s="42"/>
      <c r="S1831" s="42"/>
      <c r="T1831" s="42"/>
      <c r="U1831" s="42"/>
      <c r="V1831" s="42"/>
      <c r="W1831" s="42"/>
    </row>
    <row r="1832">
      <c r="A1832" s="9"/>
      <c r="B1832" s="9"/>
      <c r="C1832" s="9"/>
      <c r="D1832" s="42"/>
      <c r="E1832" s="103"/>
      <c r="F1832" s="42"/>
      <c r="G1832" s="9"/>
      <c r="H1832" s="9"/>
      <c r="I1832" s="9"/>
      <c r="J1832" s="9"/>
      <c r="K1832" s="42"/>
      <c r="L1832" s="42"/>
      <c r="M1832" s="42"/>
      <c r="N1832" s="42"/>
      <c r="O1832" s="42"/>
      <c r="P1832" s="9"/>
      <c r="Q1832" s="9"/>
      <c r="R1832" s="42"/>
      <c r="S1832" s="42"/>
      <c r="T1832" s="42"/>
      <c r="U1832" s="42"/>
      <c r="V1832" s="42"/>
      <c r="W1832" s="42"/>
    </row>
    <row r="1833">
      <c r="A1833" s="9"/>
      <c r="B1833" s="9"/>
      <c r="C1833" s="9"/>
      <c r="D1833" s="42"/>
      <c r="E1833" s="103"/>
      <c r="F1833" s="42"/>
      <c r="G1833" s="9"/>
      <c r="H1833" s="9"/>
      <c r="I1833" s="9"/>
      <c r="J1833" s="9"/>
      <c r="K1833" s="42"/>
      <c r="L1833" s="42"/>
      <c r="M1833" s="42"/>
      <c r="N1833" s="42"/>
      <c r="O1833" s="42"/>
      <c r="P1833" s="9"/>
      <c r="Q1833" s="9"/>
      <c r="R1833" s="42"/>
      <c r="S1833" s="42"/>
      <c r="T1833" s="42"/>
      <c r="U1833" s="42"/>
      <c r="V1833" s="42"/>
      <c r="W1833" s="42"/>
    </row>
    <row r="1834">
      <c r="A1834" s="9"/>
      <c r="B1834" s="9"/>
      <c r="C1834" s="9"/>
      <c r="D1834" s="42"/>
      <c r="E1834" s="103"/>
      <c r="F1834" s="42"/>
      <c r="G1834" s="9"/>
      <c r="H1834" s="9"/>
      <c r="I1834" s="9"/>
      <c r="J1834" s="9"/>
      <c r="K1834" s="42"/>
      <c r="L1834" s="42"/>
      <c r="M1834" s="42"/>
      <c r="N1834" s="42"/>
      <c r="O1834" s="42"/>
      <c r="P1834" s="9"/>
      <c r="Q1834" s="9"/>
      <c r="R1834" s="42"/>
      <c r="S1834" s="42"/>
      <c r="T1834" s="42"/>
      <c r="U1834" s="42"/>
      <c r="V1834" s="42"/>
      <c r="W1834" s="42"/>
    </row>
    <row r="1835">
      <c r="A1835" s="9"/>
      <c r="B1835" s="9"/>
      <c r="C1835" s="9"/>
      <c r="D1835" s="42"/>
      <c r="E1835" s="103"/>
      <c r="F1835" s="42"/>
      <c r="G1835" s="9"/>
      <c r="H1835" s="9"/>
      <c r="I1835" s="9"/>
      <c r="J1835" s="9"/>
      <c r="K1835" s="42"/>
      <c r="L1835" s="42"/>
      <c r="M1835" s="42"/>
      <c r="N1835" s="42"/>
      <c r="O1835" s="42"/>
      <c r="P1835" s="9"/>
      <c r="Q1835" s="9"/>
      <c r="R1835" s="42"/>
      <c r="S1835" s="42"/>
      <c r="T1835" s="42"/>
      <c r="U1835" s="42"/>
      <c r="V1835" s="42"/>
      <c r="W1835" s="42"/>
    </row>
    <row r="1836">
      <c r="A1836" s="9"/>
      <c r="B1836" s="9"/>
      <c r="C1836" s="9"/>
      <c r="D1836" s="42"/>
      <c r="E1836" s="103"/>
      <c r="F1836" s="42"/>
      <c r="G1836" s="9"/>
      <c r="H1836" s="9"/>
      <c r="I1836" s="9"/>
      <c r="J1836" s="9"/>
      <c r="K1836" s="42"/>
      <c r="L1836" s="42"/>
      <c r="M1836" s="42"/>
      <c r="N1836" s="42"/>
      <c r="O1836" s="42"/>
      <c r="P1836" s="9"/>
      <c r="Q1836" s="9"/>
      <c r="R1836" s="42"/>
      <c r="S1836" s="42"/>
      <c r="T1836" s="42"/>
      <c r="U1836" s="42"/>
      <c r="V1836" s="42"/>
      <c r="W1836" s="42"/>
    </row>
    <row r="1837">
      <c r="A1837" s="9"/>
      <c r="B1837" s="9"/>
      <c r="C1837" s="9"/>
      <c r="D1837" s="42"/>
      <c r="E1837" s="103"/>
      <c r="F1837" s="42"/>
      <c r="G1837" s="9"/>
      <c r="H1837" s="9"/>
      <c r="I1837" s="9"/>
      <c r="J1837" s="9"/>
      <c r="K1837" s="42"/>
      <c r="L1837" s="42"/>
      <c r="M1837" s="42"/>
      <c r="N1837" s="42"/>
      <c r="O1837" s="42"/>
      <c r="P1837" s="9"/>
      <c r="Q1837" s="9"/>
      <c r="R1837" s="42"/>
      <c r="S1837" s="42"/>
      <c r="T1837" s="42"/>
      <c r="U1837" s="42"/>
      <c r="V1837" s="42"/>
      <c r="W1837" s="42"/>
    </row>
    <row r="1838">
      <c r="A1838" s="9"/>
      <c r="B1838" s="9"/>
      <c r="C1838" s="9"/>
      <c r="D1838" s="42"/>
      <c r="E1838" s="103"/>
      <c r="F1838" s="42"/>
      <c r="G1838" s="9"/>
      <c r="H1838" s="9"/>
      <c r="I1838" s="9"/>
      <c r="J1838" s="9"/>
      <c r="K1838" s="42"/>
      <c r="L1838" s="42"/>
      <c r="M1838" s="42"/>
      <c r="N1838" s="42"/>
      <c r="O1838" s="42"/>
      <c r="P1838" s="9"/>
      <c r="Q1838" s="9"/>
      <c r="R1838" s="42"/>
      <c r="S1838" s="42"/>
      <c r="T1838" s="42"/>
      <c r="U1838" s="42"/>
      <c r="V1838" s="42"/>
      <c r="W1838" s="42"/>
    </row>
    <row r="1839">
      <c r="A1839" s="9"/>
      <c r="B1839" s="9"/>
      <c r="C1839" s="9"/>
      <c r="D1839" s="42"/>
      <c r="E1839" s="103"/>
      <c r="F1839" s="42"/>
      <c r="G1839" s="9"/>
      <c r="H1839" s="9"/>
      <c r="I1839" s="9"/>
      <c r="J1839" s="9"/>
      <c r="K1839" s="42"/>
      <c r="L1839" s="42"/>
      <c r="M1839" s="42"/>
      <c r="N1839" s="42"/>
      <c r="O1839" s="42"/>
      <c r="P1839" s="9"/>
      <c r="Q1839" s="9"/>
      <c r="R1839" s="42"/>
      <c r="S1839" s="42"/>
      <c r="T1839" s="42"/>
      <c r="U1839" s="42"/>
      <c r="V1839" s="42"/>
      <c r="W1839" s="42"/>
    </row>
    <row r="1840">
      <c r="A1840" s="9"/>
      <c r="B1840" s="9"/>
      <c r="C1840" s="9"/>
      <c r="D1840" s="42"/>
      <c r="E1840" s="103"/>
      <c r="F1840" s="42"/>
      <c r="G1840" s="9"/>
      <c r="H1840" s="9"/>
      <c r="I1840" s="9"/>
      <c r="J1840" s="9"/>
      <c r="K1840" s="42"/>
      <c r="L1840" s="42"/>
      <c r="M1840" s="42"/>
      <c r="N1840" s="42"/>
      <c r="O1840" s="42"/>
      <c r="P1840" s="9"/>
      <c r="Q1840" s="9"/>
      <c r="R1840" s="42"/>
      <c r="S1840" s="42"/>
      <c r="T1840" s="42"/>
      <c r="U1840" s="42"/>
      <c r="V1840" s="42"/>
      <c r="W1840" s="42"/>
    </row>
    <row r="1841">
      <c r="A1841" s="9"/>
      <c r="B1841" s="9"/>
      <c r="C1841" s="9"/>
      <c r="D1841" s="42"/>
      <c r="E1841" s="103"/>
      <c r="F1841" s="42"/>
      <c r="G1841" s="9"/>
      <c r="H1841" s="9"/>
      <c r="I1841" s="9"/>
      <c r="J1841" s="9"/>
      <c r="K1841" s="42"/>
      <c r="L1841" s="42"/>
      <c r="M1841" s="42"/>
      <c r="N1841" s="42"/>
      <c r="O1841" s="42"/>
      <c r="P1841" s="9"/>
      <c r="Q1841" s="9"/>
      <c r="R1841" s="42"/>
      <c r="S1841" s="42"/>
      <c r="T1841" s="42"/>
      <c r="U1841" s="42"/>
      <c r="V1841" s="42"/>
      <c r="W1841" s="42"/>
    </row>
    <row r="1842">
      <c r="A1842" s="9"/>
      <c r="B1842" s="9"/>
      <c r="C1842" s="9"/>
      <c r="D1842" s="42"/>
      <c r="E1842" s="103"/>
      <c r="F1842" s="42"/>
      <c r="G1842" s="9"/>
      <c r="H1842" s="9"/>
      <c r="I1842" s="9"/>
      <c r="J1842" s="9"/>
      <c r="K1842" s="42"/>
      <c r="L1842" s="42"/>
      <c r="M1842" s="42"/>
      <c r="N1842" s="42"/>
      <c r="O1842" s="42"/>
      <c r="P1842" s="9"/>
      <c r="Q1842" s="9"/>
      <c r="R1842" s="42"/>
      <c r="S1842" s="42"/>
      <c r="T1842" s="42"/>
      <c r="U1842" s="42"/>
      <c r="V1842" s="42"/>
      <c r="W1842" s="42"/>
    </row>
    <row r="1843">
      <c r="A1843" s="9"/>
      <c r="B1843" s="9"/>
      <c r="C1843" s="9"/>
      <c r="D1843" s="42"/>
      <c r="E1843" s="103"/>
      <c r="F1843" s="42"/>
      <c r="G1843" s="9"/>
      <c r="H1843" s="9"/>
      <c r="I1843" s="9"/>
      <c r="J1843" s="9"/>
      <c r="K1843" s="42"/>
      <c r="L1843" s="42"/>
      <c r="M1843" s="42"/>
      <c r="N1843" s="42"/>
      <c r="O1843" s="42"/>
      <c r="P1843" s="9"/>
      <c r="Q1843" s="9"/>
      <c r="R1843" s="42"/>
      <c r="S1843" s="42"/>
      <c r="T1843" s="42"/>
      <c r="U1843" s="42"/>
      <c r="V1843" s="42"/>
      <c r="W1843" s="42"/>
    </row>
    <row r="1844">
      <c r="A1844" s="9"/>
      <c r="B1844" s="9"/>
      <c r="C1844" s="9"/>
      <c r="D1844" s="42"/>
      <c r="E1844" s="103"/>
      <c r="F1844" s="42"/>
      <c r="G1844" s="9"/>
      <c r="H1844" s="9"/>
      <c r="I1844" s="9"/>
      <c r="J1844" s="9"/>
      <c r="K1844" s="42"/>
      <c r="L1844" s="42"/>
      <c r="M1844" s="42"/>
      <c r="N1844" s="42"/>
      <c r="O1844" s="42"/>
      <c r="P1844" s="9"/>
      <c r="Q1844" s="9"/>
      <c r="R1844" s="42"/>
      <c r="S1844" s="42"/>
      <c r="T1844" s="42"/>
      <c r="U1844" s="42"/>
      <c r="V1844" s="42"/>
      <c r="W1844" s="42"/>
    </row>
    <row r="1845">
      <c r="A1845" s="9"/>
      <c r="B1845" s="9"/>
      <c r="C1845" s="9"/>
      <c r="D1845" s="42"/>
      <c r="E1845" s="103"/>
      <c r="F1845" s="42"/>
      <c r="G1845" s="9"/>
      <c r="H1845" s="9"/>
      <c r="I1845" s="9"/>
      <c r="J1845" s="9"/>
      <c r="K1845" s="42"/>
      <c r="L1845" s="42"/>
      <c r="M1845" s="42"/>
      <c r="N1845" s="42"/>
      <c r="O1845" s="42"/>
      <c r="P1845" s="9"/>
      <c r="Q1845" s="9"/>
      <c r="R1845" s="42"/>
      <c r="S1845" s="42"/>
      <c r="T1845" s="42"/>
      <c r="U1845" s="42"/>
      <c r="V1845" s="42"/>
      <c r="W1845" s="42"/>
    </row>
    <row r="1846">
      <c r="A1846" s="9"/>
      <c r="B1846" s="9"/>
      <c r="C1846" s="9"/>
      <c r="D1846" s="42"/>
      <c r="E1846" s="103"/>
      <c r="F1846" s="42"/>
      <c r="G1846" s="9"/>
      <c r="H1846" s="9"/>
      <c r="I1846" s="9"/>
      <c r="J1846" s="9"/>
      <c r="K1846" s="42"/>
      <c r="L1846" s="42"/>
      <c r="M1846" s="42"/>
      <c r="N1846" s="42"/>
      <c r="O1846" s="42"/>
      <c r="P1846" s="9"/>
      <c r="Q1846" s="9"/>
      <c r="R1846" s="42"/>
      <c r="S1846" s="42"/>
      <c r="T1846" s="42"/>
      <c r="U1846" s="42"/>
      <c r="V1846" s="42"/>
      <c r="W1846" s="42"/>
    </row>
    <row r="1847">
      <c r="A1847" s="9"/>
      <c r="B1847" s="9"/>
      <c r="C1847" s="9"/>
      <c r="D1847" s="42"/>
      <c r="E1847" s="103"/>
      <c r="F1847" s="42"/>
      <c r="G1847" s="9"/>
      <c r="H1847" s="9"/>
      <c r="I1847" s="9"/>
      <c r="J1847" s="9"/>
      <c r="K1847" s="42"/>
      <c r="L1847" s="42"/>
      <c r="M1847" s="42"/>
      <c r="N1847" s="42"/>
      <c r="O1847" s="42"/>
      <c r="P1847" s="9"/>
      <c r="Q1847" s="9"/>
      <c r="R1847" s="42"/>
      <c r="S1847" s="42"/>
      <c r="T1847" s="42"/>
      <c r="U1847" s="42"/>
      <c r="V1847" s="42"/>
      <c r="W1847" s="42"/>
    </row>
    <row r="1848">
      <c r="A1848" s="9"/>
      <c r="B1848" s="9"/>
      <c r="C1848" s="9"/>
      <c r="D1848" s="42"/>
      <c r="E1848" s="103"/>
      <c r="F1848" s="42"/>
      <c r="G1848" s="9"/>
      <c r="H1848" s="9"/>
      <c r="I1848" s="9"/>
      <c r="J1848" s="9"/>
      <c r="K1848" s="42"/>
      <c r="L1848" s="42"/>
      <c r="M1848" s="42"/>
      <c r="N1848" s="42"/>
      <c r="O1848" s="42"/>
      <c r="P1848" s="9"/>
      <c r="Q1848" s="9"/>
      <c r="R1848" s="42"/>
      <c r="S1848" s="42"/>
      <c r="T1848" s="42"/>
      <c r="U1848" s="42"/>
      <c r="V1848" s="42"/>
      <c r="W1848" s="42"/>
    </row>
    <row r="1849">
      <c r="A1849" s="9"/>
      <c r="B1849" s="9"/>
      <c r="C1849" s="9"/>
      <c r="D1849" s="42"/>
      <c r="E1849" s="103"/>
      <c r="F1849" s="42"/>
      <c r="G1849" s="9"/>
      <c r="H1849" s="9"/>
      <c r="I1849" s="9"/>
      <c r="J1849" s="9"/>
      <c r="K1849" s="42"/>
      <c r="L1849" s="42"/>
      <c r="M1849" s="42"/>
      <c r="N1849" s="42"/>
      <c r="O1849" s="42"/>
      <c r="P1849" s="9"/>
      <c r="Q1849" s="9"/>
      <c r="R1849" s="42"/>
      <c r="S1849" s="42"/>
      <c r="T1849" s="42"/>
      <c r="U1849" s="42"/>
      <c r="V1849" s="42"/>
      <c r="W1849" s="42"/>
    </row>
    <row r="1850">
      <c r="A1850" s="9"/>
      <c r="B1850" s="9"/>
      <c r="C1850" s="9"/>
      <c r="D1850" s="42"/>
      <c r="E1850" s="103"/>
      <c r="F1850" s="42"/>
      <c r="G1850" s="9"/>
      <c r="H1850" s="9"/>
      <c r="I1850" s="9"/>
      <c r="J1850" s="9"/>
      <c r="K1850" s="42"/>
      <c r="L1850" s="42"/>
      <c r="M1850" s="42"/>
      <c r="N1850" s="42"/>
      <c r="O1850" s="42"/>
      <c r="P1850" s="9"/>
      <c r="Q1850" s="9"/>
      <c r="R1850" s="42"/>
      <c r="S1850" s="42"/>
      <c r="T1850" s="42"/>
      <c r="U1850" s="42"/>
      <c r="V1850" s="42"/>
      <c r="W1850" s="42"/>
    </row>
    <row r="1851">
      <c r="A1851" s="9"/>
      <c r="B1851" s="9"/>
      <c r="C1851" s="9"/>
      <c r="D1851" s="42"/>
      <c r="E1851" s="103"/>
      <c r="F1851" s="42"/>
      <c r="G1851" s="9"/>
      <c r="H1851" s="9"/>
      <c r="I1851" s="9"/>
      <c r="J1851" s="9"/>
      <c r="K1851" s="42"/>
      <c r="L1851" s="42"/>
      <c r="M1851" s="42"/>
      <c r="N1851" s="42"/>
      <c r="O1851" s="42"/>
      <c r="P1851" s="9"/>
      <c r="Q1851" s="9"/>
      <c r="R1851" s="42"/>
      <c r="S1851" s="42"/>
      <c r="T1851" s="42"/>
      <c r="U1851" s="42"/>
      <c r="V1851" s="42"/>
      <c r="W1851" s="42"/>
    </row>
    <row r="1852">
      <c r="A1852" s="9"/>
      <c r="B1852" s="9"/>
      <c r="C1852" s="9"/>
      <c r="D1852" s="42"/>
      <c r="E1852" s="103"/>
      <c r="F1852" s="42"/>
      <c r="G1852" s="9"/>
      <c r="H1852" s="9"/>
      <c r="I1852" s="9"/>
      <c r="J1852" s="9"/>
      <c r="K1852" s="42"/>
      <c r="L1852" s="42"/>
      <c r="M1852" s="42"/>
      <c r="N1852" s="42"/>
      <c r="O1852" s="42"/>
      <c r="P1852" s="9"/>
      <c r="Q1852" s="9"/>
      <c r="R1852" s="42"/>
      <c r="S1852" s="42"/>
      <c r="T1852" s="42"/>
      <c r="U1852" s="42"/>
      <c r="V1852" s="42"/>
      <c r="W1852" s="42"/>
    </row>
    <row r="1853">
      <c r="A1853" s="9"/>
      <c r="B1853" s="9"/>
      <c r="C1853" s="9"/>
      <c r="D1853" s="42"/>
      <c r="E1853" s="103"/>
      <c r="F1853" s="42"/>
      <c r="G1853" s="9"/>
      <c r="H1853" s="9"/>
      <c r="I1853" s="9"/>
      <c r="J1853" s="9"/>
      <c r="K1853" s="42"/>
      <c r="L1853" s="42"/>
      <c r="M1853" s="42"/>
      <c r="N1853" s="42"/>
      <c r="O1853" s="42"/>
      <c r="P1853" s="9"/>
      <c r="Q1853" s="9"/>
      <c r="R1853" s="42"/>
      <c r="S1853" s="42"/>
      <c r="T1853" s="42"/>
      <c r="U1853" s="42"/>
      <c r="V1853" s="42"/>
      <c r="W1853" s="42"/>
    </row>
    <row r="1854">
      <c r="A1854" s="9"/>
      <c r="B1854" s="9"/>
      <c r="C1854" s="9"/>
      <c r="D1854" s="42"/>
      <c r="E1854" s="103"/>
      <c r="F1854" s="42"/>
      <c r="G1854" s="9"/>
      <c r="H1854" s="9"/>
      <c r="I1854" s="9"/>
      <c r="J1854" s="9"/>
      <c r="K1854" s="42"/>
      <c r="L1854" s="42"/>
      <c r="M1854" s="42"/>
      <c r="N1854" s="42"/>
      <c r="O1854" s="42"/>
      <c r="P1854" s="9"/>
      <c r="Q1854" s="9"/>
      <c r="R1854" s="42"/>
      <c r="S1854" s="42"/>
      <c r="T1854" s="42"/>
      <c r="U1854" s="42"/>
      <c r="V1854" s="42"/>
      <c r="W1854" s="42"/>
    </row>
    <row r="1855">
      <c r="A1855" s="9"/>
      <c r="B1855" s="9"/>
      <c r="C1855" s="9"/>
      <c r="D1855" s="42"/>
      <c r="E1855" s="103"/>
      <c r="F1855" s="42"/>
      <c r="G1855" s="9"/>
      <c r="H1855" s="9"/>
      <c r="I1855" s="9"/>
      <c r="J1855" s="9"/>
      <c r="K1855" s="42"/>
      <c r="L1855" s="42"/>
      <c r="M1855" s="42"/>
      <c r="N1855" s="42"/>
      <c r="O1855" s="42"/>
      <c r="P1855" s="9"/>
      <c r="Q1855" s="9"/>
      <c r="R1855" s="42"/>
      <c r="S1855" s="42"/>
      <c r="T1855" s="42"/>
      <c r="U1855" s="42"/>
      <c r="V1855" s="42"/>
      <c r="W1855" s="42"/>
    </row>
    <row r="1856">
      <c r="A1856" s="9"/>
      <c r="B1856" s="9"/>
      <c r="C1856" s="9"/>
      <c r="D1856" s="42"/>
      <c r="E1856" s="103"/>
      <c r="F1856" s="42"/>
      <c r="G1856" s="9"/>
      <c r="H1856" s="9"/>
      <c r="I1856" s="9"/>
      <c r="J1856" s="9"/>
      <c r="K1856" s="42"/>
      <c r="L1856" s="42"/>
      <c r="M1856" s="42"/>
      <c r="N1856" s="42"/>
      <c r="O1856" s="42"/>
      <c r="P1856" s="9"/>
      <c r="Q1856" s="9"/>
      <c r="R1856" s="42"/>
      <c r="S1856" s="42"/>
      <c r="T1856" s="42"/>
      <c r="U1856" s="42"/>
      <c r="V1856" s="42"/>
      <c r="W1856" s="42"/>
    </row>
    <row r="1857">
      <c r="A1857" s="9"/>
      <c r="B1857" s="9"/>
      <c r="C1857" s="9"/>
      <c r="D1857" s="42"/>
      <c r="E1857" s="103"/>
      <c r="F1857" s="42"/>
      <c r="G1857" s="9"/>
      <c r="H1857" s="9"/>
      <c r="I1857" s="9"/>
      <c r="J1857" s="9"/>
      <c r="K1857" s="42"/>
      <c r="L1857" s="42"/>
      <c r="M1857" s="42"/>
      <c r="N1857" s="42"/>
      <c r="O1857" s="42"/>
      <c r="P1857" s="9"/>
      <c r="Q1857" s="9"/>
      <c r="R1857" s="42"/>
      <c r="S1857" s="42"/>
      <c r="T1857" s="42"/>
      <c r="U1857" s="42"/>
      <c r="V1857" s="42"/>
      <c r="W1857" s="42"/>
    </row>
    <row r="1858">
      <c r="A1858" s="9"/>
      <c r="B1858" s="9"/>
      <c r="C1858" s="9"/>
      <c r="D1858" s="42"/>
      <c r="E1858" s="103"/>
      <c r="F1858" s="42"/>
      <c r="G1858" s="9"/>
      <c r="H1858" s="9"/>
      <c r="I1858" s="9"/>
      <c r="J1858" s="9"/>
      <c r="K1858" s="42"/>
      <c r="L1858" s="42"/>
      <c r="M1858" s="42"/>
      <c r="N1858" s="42"/>
      <c r="O1858" s="42"/>
      <c r="P1858" s="9"/>
      <c r="Q1858" s="9"/>
      <c r="R1858" s="42"/>
      <c r="S1858" s="42"/>
      <c r="T1858" s="42"/>
      <c r="U1858" s="42"/>
      <c r="V1858" s="42"/>
      <c r="W1858" s="42"/>
    </row>
    <row r="1859">
      <c r="A1859" s="9"/>
      <c r="B1859" s="9"/>
      <c r="C1859" s="9"/>
      <c r="D1859" s="42"/>
      <c r="E1859" s="103"/>
      <c r="F1859" s="42"/>
      <c r="G1859" s="9"/>
      <c r="H1859" s="9"/>
      <c r="I1859" s="9"/>
      <c r="J1859" s="9"/>
      <c r="K1859" s="42"/>
      <c r="L1859" s="42"/>
      <c r="M1859" s="42"/>
      <c r="N1859" s="42"/>
      <c r="O1859" s="42"/>
      <c r="P1859" s="9"/>
      <c r="Q1859" s="9"/>
      <c r="R1859" s="42"/>
      <c r="S1859" s="42"/>
      <c r="T1859" s="42"/>
      <c r="U1859" s="42"/>
      <c r="V1859" s="42"/>
      <c r="W1859" s="42"/>
    </row>
    <row r="1860">
      <c r="A1860" s="9"/>
      <c r="B1860" s="9"/>
      <c r="C1860" s="9"/>
      <c r="D1860" s="42"/>
      <c r="E1860" s="103"/>
      <c r="F1860" s="42"/>
      <c r="G1860" s="9"/>
      <c r="H1860" s="9"/>
      <c r="I1860" s="9"/>
      <c r="J1860" s="9"/>
      <c r="K1860" s="42"/>
      <c r="L1860" s="42"/>
      <c r="M1860" s="42"/>
      <c r="N1860" s="42"/>
      <c r="O1860" s="42"/>
      <c r="P1860" s="9"/>
      <c r="Q1860" s="9"/>
      <c r="R1860" s="42"/>
      <c r="S1860" s="42"/>
      <c r="T1860" s="42"/>
      <c r="U1860" s="42"/>
      <c r="V1860" s="42"/>
      <c r="W1860" s="42"/>
    </row>
    <row r="1861">
      <c r="A1861" s="9"/>
      <c r="B1861" s="9"/>
      <c r="C1861" s="9"/>
      <c r="D1861" s="42"/>
      <c r="E1861" s="103"/>
      <c r="F1861" s="42"/>
      <c r="G1861" s="9"/>
      <c r="H1861" s="9"/>
      <c r="I1861" s="9"/>
      <c r="J1861" s="9"/>
      <c r="K1861" s="42"/>
      <c r="L1861" s="42"/>
      <c r="M1861" s="42"/>
      <c r="N1861" s="42"/>
      <c r="O1861" s="42"/>
      <c r="P1861" s="9"/>
      <c r="Q1861" s="9"/>
      <c r="R1861" s="42"/>
      <c r="S1861" s="42"/>
      <c r="T1861" s="42"/>
      <c r="U1861" s="42"/>
      <c r="V1861" s="42"/>
      <c r="W1861" s="42"/>
    </row>
    <row r="1862">
      <c r="A1862" s="9"/>
      <c r="B1862" s="9"/>
      <c r="C1862" s="9"/>
      <c r="D1862" s="42"/>
      <c r="E1862" s="103"/>
      <c r="F1862" s="42"/>
      <c r="G1862" s="9"/>
      <c r="H1862" s="9"/>
      <c r="I1862" s="9"/>
      <c r="J1862" s="9"/>
      <c r="K1862" s="42"/>
      <c r="L1862" s="42"/>
      <c r="M1862" s="42"/>
      <c r="N1862" s="42"/>
      <c r="O1862" s="42"/>
      <c r="P1862" s="9"/>
      <c r="Q1862" s="9"/>
      <c r="R1862" s="42"/>
      <c r="S1862" s="42"/>
      <c r="T1862" s="42"/>
      <c r="U1862" s="42"/>
      <c r="V1862" s="42"/>
      <c r="W1862" s="42"/>
    </row>
    <row r="1863">
      <c r="A1863" s="9"/>
      <c r="B1863" s="9"/>
      <c r="C1863" s="9"/>
      <c r="D1863" s="42"/>
      <c r="E1863" s="103"/>
      <c r="F1863" s="42"/>
      <c r="G1863" s="9"/>
      <c r="H1863" s="9"/>
      <c r="I1863" s="9"/>
      <c r="J1863" s="9"/>
      <c r="K1863" s="42"/>
      <c r="L1863" s="42"/>
      <c r="M1863" s="42"/>
      <c r="N1863" s="42"/>
      <c r="O1863" s="42"/>
      <c r="P1863" s="9"/>
      <c r="Q1863" s="9"/>
      <c r="R1863" s="42"/>
      <c r="S1863" s="42"/>
      <c r="T1863" s="42"/>
      <c r="U1863" s="42"/>
      <c r="V1863" s="42"/>
      <c r="W1863" s="42"/>
    </row>
    <row r="1864">
      <c r="A1864" s="9"/>
      <c r="B1864" s="9"/>
      <c r="C1864" s="9"/>
      <c r="D1864" s="42"/>
      <c r="E1864" s="103"/>
      <c r="F1864" s="42"/>
      <c r="G1864" s="9"/>
      <c r="H1864" s="9"/>
      <c r="I1864" s="9"/>
      <c r="J1864" s="9"/>
      <c r="K1864" s="42"/>
      <c r="L1864" s="42"/>
      <c r="M1864" s="42"/>
      <c r="N1864" s="42"/>
      <c r="O1864" s="42"/>
      <c r="P1864" s="9"/>
      <c r="Q1864" s="9"/>
      <c r="R1864" s="42"/>
      <c r="S1864" s="42"/>
      <c r="T1864" s="42"/>
      <c r="U1864" s="42"/>
      <c r="V1864" s="42"/>
      <c r="W1864" s="42"/>
    </row>
    <row r="1865">
      <c r="A1865" s="9"/>
      <c r="B1865" s="9"/>
      <c r="C1865" s="9"/>
      <c r="D1865" s="42"/>
      <c r="E1865" s="103"/>
      <c r="F1865" s="42"/>
      <c r="G1865" s="9"/>
      <c r="H1865" s="9"/>
      <c r="I1865" s="9"/>
      <c r="J1865" s="9"/>
      <c r="K1865" s="42"/>
      <c r="L1865" s="42"/>
      <c r="M1865" s="42"/>
      <c r="N1865" s="42"/>
      <c r="O1865" s="42"/>
      <c r="P1865" s="9"/>
      <c r="Q1865" s="9"/>
      <c r="R1865" s="42"/>
      <c r="S1865" s="42"/>
      <c r="T1865" s="42"/>
      <c r="U1865" s="42"/>
      <c r="V1865" s="42"/>
      <c r="W1865" s="42"/>
    </row>
    <row r="1866">
      <c r="A1866" s="9"/>
      <c r="B1866" s="9"/>
      <c r="C1866" s="9"/>
      <c r="D1866" s="42"/>
      <c r="E1866" s="103"/>
      <c r="F1866" s="42"/>
      <c r="G1866" s="9"/>
      <c r="H1866" s="9"/>
      <c r="I1866" s="9"/>
      <c r="J1866" s="9"/>
      <c r="K1866" s="42"/>
      <c r="L1866" s="42"/>
      <c r="M1866" s="42"/>
      <c r="N1866" s="42"/>
      <c r="O1866" s="42"/>
      <c r="P1866" s="9"/>
      <c r="Q1866" s="9"/>
      <c r="R1866" s="42"/>
      <c r="S1866" s="42"/>
      <c r="T1866" s="42"/>
      <c r="U1866" s="42"/>
      <c r="V1866" s="42"/>
      <c r="W1866" s="42"/>
    </row>
    <row r="1867">
      <c r="A1867" s="9"/>
      <c r="B1867" s="9"/>
      <c r="C1867" s="9"/>
      <c r="D1867" s="42"/>
      <c r="E1867" s="103"/>
      <c r="F1867" s="42"/>
      <c r="G1867" s="9"/>
      <c r="H1867" s="9"/>
      <c r="I1867" s="9"/>
      <c r="J1867" s="9"/>
      <c r="K1867" s="42"/>
      <c r="L1867" s="42"/>
      <c r="M1867" s="42"/>
      <c r="N1867" s="42"/>
      <c r="O1867" s="42"/>
      <c r="P1867" s="9"/>
      <c r="Q1867" s="9"/>
      <c r="R1867" s="42"/>
      <c r="S1867" s="42"/>
      <c r="T1867" s="42"/>
      <c r="U1867" s="42"/>
      <c r="V1867" s="42"/>
      <c r="W1867" s="42"/>
    </row>
    <row r="1868">
      <c r="A1868" s="9"/>
      <c r="B1868" s="9"/>
      <c r="C1868" s="9"/>
      <c r="D1868" s="42"/>
      <c r="E1868" s="103"/>
      <c r="F1868" s="42"/>
      <c r="G1868" s="9"/>
      <c r="H1868" s="9"/>
      <c r="I1868" s="9"/>
      <c r="J1868" s="9"/>
      <c r="K1868" s="42"/>
      <c r="L1868" s="42"/>
      <c r="M1868" s="42"/>
      <c r="N1868" s="42"/>
      <c r="O1868" s="42"/>
      <c r="P1868" s="9"/>
      <c r="Q1868" s="9"/>
      <c r="R1868" s="42"/>
      <c r="S1868" s="42"/>
      <c r="T1868" s="42"/>
      <c r="U1868" s="42"/>
      <c r="V1868" s="42"/>
      <c r="W1868" s="42"/>
    </row>
    <row r="1869">
      <c r="A1869" s="9"/>
      <c r="B1869" s="9"/>
      <c r="C1869" s="9"/>
      <c r="D1869" s="42"/>
      <c r="E1869" s="103"/>
      <c r="F1869" s="42"/>
      <c r="G1869" s="9"/>
      <c r="H1869" s="9"/>
      <c r="I1869" s="9"/>
      <c r="J1869" s="9"/>
      <c r="K1869" s="42"/>
      <c r="L1869" s="42"/>
      <c r="M1869" s="42"/>
      <c r="N1869" s="42"/>
      <c r="O1869" s="42"/>
      <c r="P1869" s="9"/>
      <c r="Q1869" s="9"/>
      <c r="R1869" s="42"/>
      <c r="S1869" s="42"/>
      <c r="T1869" s="42"/>
      <c r="U1869" s="42"/>
      <c r="V1869" s="42"/>
      <c r="W1869" s="42"/>
    </row>
    <row r="1870">
      <c r="A1870" s="9"/>
      <c r="B1870" s="9"/>
      <c r="C1870" s="9"/>
      <c r="D1870" s="42"/>
      <c r="E1870" s="103"/>
      <c r="F1870" s="42"/>
      <c r="G1870" s="9"/>
      <c r="H1870" s="9"/>
      <c r="I1870" s="9"/>
      <c r="J1870" s="9"/>
      <c r="K1870" s="42"/>
      <c r="L1870" s="42"/>
      <c r="M1870" s="42"/>
      <c r="N1870" s="42"/>
      <c r="O1870" s="42"/>
      <c r="P1870" s="9"/>
      <c r="Q1870" s="9"/>
      <c r="R1870" s="42"/>
      <c r="S1870" s="42"/>
      <c r="T1870" s="42"/>
      <c r="U1870" s="42"/>
      <c r="V1870" s="42"/>
      <c r="W1870" s="42"/>
    </row>
    <row r="1871">
      <c r="A1871" s="9"/>
      <c r="B1871" s="9"/>
      <c r="C1871" s="9"/>
      <c r="D1871" s="42"/>
      <c r="E1871" s="103"/>
      <c r="F1871" s="42"/>
      <c r="G1871" s="9"/>
      <c r="H1871" s="9"/>
      <c r="I1871" s="9"/>
      <c r="J1871" s="9"/>
      <c r="K1871" s="42"/>
      <c r="L1871" s="42"/>
      <c r="M1871" s="42"/>
      <c r="N1871" s="42"/>
      <c r="O1871" s="42"/>
      <c r="P1871" s="9"/>
      <c r="Q1871" s="9"/>
      <c r="R1871" s="42"/>
      <c r="S1871" s="42"/>
      <c r="T1871" s="42"/>
      <c r="U1871" s="42"/>
      <c r="V1871" s="42"/>
      <c r="W1871" s="42"/>
    </row>
    <row r="1872">
      <c r="A1872" s="9"/>
      <c r="B1872" s="9"/>
      <c r="C1872" s="9"/>
      <c r="D1872" s="42"/>
      <c r="E1872" s="103"/>
      <c r="F1872" s="42"/>
      <c r="G1872" s="9"/>
      <c r="H1872" s="9"/>
      <c r="I1872" s="9"/>
      <c r="J1872" s="9"/>
      <c r="K1872" s="42"/>
      <c r="L1872" s="42"/>
      <c r="M1872" s="42"/>
      <c r="N1872" s="42"/>
      <c r="O1872" s="42"/>
      <c r="P1872" s="9"/>
      <c r="Q1872" s="9"/>
      <c r="R1872" s="42"/>
      <c r="S1872" s="42"/>
      <c r="T1872" s="42"/>
      <c r="U1872" s="42"/>
      <c r="V1872" s="42"/>
      <c r="W1872" s="42"/>
    </row>
    <row r="1873">
      <c r="A1873" s="9"/>
      <c r="B1873" s="9"/>
      <c r="C1873" s="9"/>
      <c r="D1873" s="42"/>
      <c r="E1873" s="103"/>
      <c r="F1873" s="42"/>
      <c r="G1873" s="9"/>
      <c r="H1873" s="9"/>
      <c r="I1873" s="9"/>
      <c r="J1873" s="9"/>
      <c r="K1873" s="42"/>
      <c r="L1873" s="42"/>
      <c r="M1873" s="42"/>
      <c r="N1873" s="42"/>
      <c r="O1873" s="42"/>
      <c r="P1873" s="9"/>
      <c r="Q1873" s="9"/>
      <c r="R1873" s="42"/>
      <c r="S1873" s="42"/>
      <c r="T1873" s="42"/>
      <c r="U1873" s="42"/>
      <c r="V1873" s="42"/>
      <c r="W1873" s="42"/>
    </row>
    <row r="1874">
      <c r="A1874" s="9"/>
      <c r="B1874" s="9"/>
      <c r="C1874" s="9"/>
      <c r="D1874" s="42"/>
      <c r="E1874" s="103"/>
      <c r="F1874" s="42"/>
      <c r="G1874" s="9"/>
      <c r="H1874" s="9"/>
      <c r="I1874" s="9"/>
      <c r="J1874" s="9"/>
      <c r="K1874" s="42"/>
      <c r="L1874" s="42"/>
      <c r="M1874" s="42"/>
      <c r="N1874" s="42"/>
      <c r="O1874" s="42"/>
      <c r="P1874" s="9"/>
      <c r="Q1874" s="9"/>
      <c r="R1874" s="42"/>
      <c r="S1874" s="42"/>
      <c r="T1874" s="42"/>
      <c r="U1874" s="42"/>
      <c r="V1874" s="42"/>
      <c r="W1874" s="42"/>
    </row>
    <row r="1875">
      <c r="A1875" s="9"/>
      <c r="B1875" s="9"/>
      <c r="C1875" s="9"/>
      <c r="D1875" s="42"/>
      <c r="E1875" s="103"/>
      <c r="F1875" s="42"/>
      <c r="G1875" s="9"/>
      <c r="H1875" s="9"/>
      <c r="I1875" s="9"/>
      <c r="J1875" s="9"/>
      <c r="K1875" s="42"/>
      <c r="L1875" s="42"/>
      <c r="M1875" s="42"/>
      <c r="N1875" s="42"/>
      <c r="O1875" s="42"/>
      <c r="P1875" s="9"/>
      <c r="Q1875" s="9"/>
      <c r="R1875" s="42"/>
      <c r="S1875" s="42"/>
      <c r="T1875" s="42"/>
      <c r="U1875" s="42"/>
      <c r="V1875" s="42"/>
      <c r="W1875" s="42"/>
    </row>
    <row r="1876">
      <c r="A1876" s="9"/>
      <c r="B1876" s="9"/>
      <c r="C1876" s="9"/>
      <c r="D1876" s="42"/>
      <c r="E1876" s="103"/>
      <c r="F1876" s="42"/>
      <c r="G1876" s="9"/>
      <c r="H1876" s="9"/>
      <c r="I1876" s="9"/>
      <c r="J1876" s="9"/>
      <c r="K1876" s="42"/>
      <c r="L1876" s="42"/>
      <c r="M1876" s="42"/>
      <c r="N1876" s="42"/>
      <c r="O1876" s="42"/>
      <c r="P1876" s="9"/>
      <c r="Q1876" s="9"/>
      <c r="R1876" s="42"/>
      <c r="S1876" s="42"/>
      <c r="T1876" s="42"/>
      <c r="U1876" s="42"/>
      <c r="V1876" s="42"/>
      <c r="W1876" s="42"/>
    </row>
    <row r="1877">
      <c r="A1877" s="9"/>
      <c r="B1877" s="9"/>
      <c r="C1877" s="9"/>
      <c r="D1877" s="42"/>
      <c r="E1877" s="103"/>
      <c r="F1877" s="42"/>
      <c r="G1877" s="9"/>
      <c r="H1877" s="9"/>
      <c r="I1877" s="9"/>
      <c r="J1877" s="9"/>
      <c r="K1877" s="42"/>
      <c r="L1877" s="42"/>
      <c r="M1877" s="42"/>
      <c r="N1877" s="42"/>
      <c r="O1877" s="42"/>
      <c r="P1877" s="9"/>
      <c r="Q1877" s="9"/>
      <c r="R1877" s="42"/>
      <c r="S1877" s="42"/>
      <c r="T1877" s="42"/>
      <c r="U1877" s="42"/>
      <c r="V1877" s="42"/>
      <c r="W1877" s="42"/>
    </row>
    <row r="1878">
      <c r="A1878" s="9"/>
      <c r="B1878" s="9"/>
      <c r="C1878" s="9"/>
      <c r="D1878" s="42"/>
      <c r="E1878" s="103"/>
      <c r="F1878" s="42"/>
      <c r="G1878" s="9"/>
      <c r="H1878" s="9"/>
      <c r="I1878" s="9"/>
      <c r="J1878" s="9"/>
      <c r="K1878" s="42"/>
      <c r="L1878" s="42"/>
      <c r="M1878" s="42"/>
      <c r="N1878" s="42"/>
      <c r="O1878" s="42"/>
      <c r="P1878" s="9"/>
      <c r="Q1878" s="9"/>
      <c r="R1878" s="42"/>
      <c r="S1878" s="42"/>
      <c r="T1878" s="42"/>
      <c r="U1878" s="42"/>
      <c r="V1878" s="42"/>
      <c r="W1878" s="42"/>
    </row>
    <row r="1879">
      <c r="A1879" s="9"/>
      <c r="B1879" s="9"/>
      <c r="C1879" s="9"/>
      <c r="D1879" s="42"/>
      <c r="E1879" s="103"/>
      <c r="F1879" s="42"/>
      <c r="G1879" s="9"/>
      <c r="H1879" s="9"/>
      <c r="I1879" s="9"/>
      <c r="J1879" s="9"/>
      <c r="K1879" s="42"/>
      <c r="L1879" s="42"/>
      <c r="M1879" s="42"/>
      <c r="N1879" s="42"/>
      <c r="O1879" s="42"/>
      <c r="P1879" s="9"/>
      <c r="Q1879" s="9"/>
      <c r="R1879" s="42"/>
      <c r="S1879" s="42"/>
      <c r="T1879" s="42"/>
      <c r="U1879" s="42"/>
      <c r="V1879" s="42"/>
      <c r="W1879" s="42"/>
    </row>
    <row r="1880">
      <c r="A1880" s="9"/>
      <c r="B1880" s="9"/>
      <c r="C1880" s="9"/>
      <c r="D1880" s="42"/>
      <c r="E1880" s="103"/>
      <c r="F1880" s="42"/>
      <c r="G1880" s="9"/>
      <c r="H1880" s="9"/>
      <c r="I1880" s="9"/>
      <c r="J1880" s="9"/>
      <c r="K1880" s="42"/>
      <c r="L1880" s="42"/>
      <c r="M1880" s="42"/>
      <c r="N1880" s="42"/>
      <c r="O1880" s="42"/>
      <c r="P1880" s="9"/>
      <c r="Q1880" s="9"/>
      <c r="R1880" s="42"/>
      <c r="S1880" s="42"/>
      <c r="T1880" s="42"/>
      <c r="U1880" s="42"/>
      <c r="V1880" s="42"/>
      <c r="W1880" s="42"/>
    </row>
    <row r="1881">
      <c r="A1881" s="9"/>
      <c r="B1881" s="9"/>
      <c r="C1881" s="9"/>
      <c r="D1881" s="42"/>
      <c r="E1881" s="103"/>
      <c r="F1881" s="42"/>
      <c r="G1881" s="9"/>
      <c r="H1881" s="9"/>
      <c r="I1881" s="9"/>
      <c r="J1881" s="9"/>
      <c r="K1881" s="42"/>
      <c r="L1881" s="42"/>
      <c r="M1881" s="42"/>
      <c r="N1881" s="42"/>
      <c r="O1881" s="42"/>
      <c r="P1881" s="9"/>
      <c r="Q1881" s="9"/>
      <c r="R1881" s="42"/>
      <c r="S1881" s="42"/>
      <c r="T1881" s="42"/>
      <c r="U1881" s="42"/>
      <c r="V1881" s="42"/>
      <c r="W1881" s="42"/>
    </row>
    <row r="1882">
      <c r="A1882" s="9"/>
      <c r="B1882" s="9"/>
      <c r="C1882" s="9"/>
      <c r="D1882" s="42"/>
      <c r="E1882" s="103"/>
      <c r="F1882" s="42"/>
      <c r="G1882" s="9"/>
      <c r="H1882" s="9"/>
      <c r="I1882" s="9"/>
      <c r="J1882" s="9"/>
      <c r="K1882" s="42"/>
      <c r="L1882" s="42"/>
      <c r="M1882" s="42"/>
      <c r="N1882" s="42"/>
      <c r="O1882" s="42"/>
      <c r="P1882" s="9"/>
      <c r="Q1882" s="9"/>
      <c r="R1882" s="42"/>
      <c r="S1882" s="42"/>
      <c r="T1882" s="42"/>
      <c r="U1882" s="42"/>
      <c r="V1882" s="42"/>
      <c r="W1882" s="42"/>
    </row>
    <row r="1883">
      <c r="A1883" s="9"/>
      <c r="B1883" s="9"/>
      <c r="C1883" s="9"/>
      <c r="D1883" s="42"/>
      <c r="E1883" s="103"/>
      <c r="F1883" s="42"/>
      <c r="G1883" s="9"/>
      <c r="H1883" s="9"/>
      <c r="I1883" s="9"/>
      <c r="J1883" s="9"/>
      <c r="K1883" s="42"/>
      <c r="L1883" s="42"/>
      <c r="M1883" s="42"/>
      <c r="N1883" s="42"/>
      <c r="O1883" s="42"/>
      <c r="P1883" s="9"/>
      <c r="Q1883" s="9"/>
      <c r="R1883" s="42"/>
      <c r="S1883" s="42"/>
      <c r="T1883" s="42"/>
      <c r="U1883" s="42"/>
      <c r="V1883" s="42"/>
      <c r="W1883" s="42"/>
    </row>
    <row r="1884">
      <c r="A1884" s="9"/>
      <c r="B1884" s="9"/>
      <c r="C1884" s="9"/>
      <c r="D1884" s="42"/>
      <c r="E1884" s="103"/>
      <c r="F1884" s="42"/>
      <c r="G1884" s="9"/>
      <c r="H1884" s="9"/>
      <c r="I1884" s="9"/>
      <c r="J1884" s="9"/>
      <c r="K1884" s="42"/>
      <c r="L1884" s="42"/>
      <c r="M1884" s="42"/>
      <c r="N1884" s="42"/>
      <c r="O1884" s="42"/>
      <c r="P1884" s="9"/>
      <c r="Q1884" s="9"/>
      <c r="R1884" s="42"/>
      <c r="S1884" s="42"/>
      <c r="T1884" s="42"/>
      <c r="U1884" s="42"/>
      <c r="V1884" s="42"/>
      <c r="W1884" s="42"/>
    </row>
    <row r="1885">
      <c r="A1885" s="9"/>
      <c r="B1885" s="9"/>
      <c r="C1885" s="9"/>
      <c r="D1885" s="42"/>
      <c r="E1885" s="103"/>
      <c r="F1885" s="42"/>
      <c r="G1885" s="9"/>
      <c r="H1885" s="9"/>
      <c r="I1885" s="9"/>
      <c r="J1885" s="9"/>
      <c r="K1885" s="42"/>
      <c r="L1885" s="42"/>
      <c r="M1885" s="42"/>
      <c r="N1885" s="42"/>
      <c r="O1885" s="42"/>
      <c r="P1885" s="9"/>
      <c r="Q1885" s="9"/>
      <c r="R1885" s="42"/>
      <c r="S1885" s="42"/>
      <c r="T1885" s="42"/>
      <c r="U1885" s="42"/>
      <c r="V1885" s="42"/>
      <c r="W1885" s="42"/>
    </row>
    <row r="1886">
      <c r="A1886" s="9"/>
      <c r="B1886" s="9"/>
      <c r="C1886" s="9"/>
      <c r="D1886" s="42"/>
      <c r="E1886" s="103"/>
      <c r="F1886" s="42"/>
      <c r="G1886" s="9"/>
      <c r="H1886" s="9"/>
      <c r="I1886" s="9"/>
      <c r="J1886" s="9"/>
      <c r="K1886" s="42"/>
      <c r="L1886" s="42"/>
      <c r="M1886" s="42"/>
      <c r="N1886" s="42"/>
      <c r="O1886" s="42"/>
      <c r="P1886" s="9"/>
      <c r="Q1886" s="9"/>
      <c r="R1886" s="42"/>
      <c r="S1886" s="42"/>
      <c r="T1886" s="42"/>
      <c r="U1886" s="42"/>
      <c r="V1886" s="42"/>
      <c r="W1886" s="42"/>
    </row>
    <row r="1887">
      <c r="A1887" s="9"/>
      <c r="B1887" s="9"/>
      <c r="C1887" s="9"/>
      <c r="D1887" s="42"/>
      <c r="E1887" s="103"/>
      <c r="F1887" s="42"/>
      <c r="G1887" s="9"/>
      <c r="H1887" s="9"/>
      <c r="I1887" s="9"/>
      <c r="J1887" s="9"/>
      <c r="K1887" s="42"/>
      <c r="L1887" s="42"/>
      <c r="M1887" s="42"/>
      <c r="N1887" s="42"/>
      <c r="O1887" s="42"/>
      <c r="P1887" s="9"/>
      <c r="Q1887" s="9"/>
      <c r="R1887" s="42"/>
      <c r="S1887" s="42"/>
      <c r="T1887" s="42"/>
      <c r="U1887" s="42"/>
      <c r="V1887" s="42"/>
      <c r="W1887" s="42"/>
    </row>
    <row r="1888">
      <c r="A1888" s="9"/>
      <c r="B1888" s="9"/>
      <c r="C1888" s="9"/>
      <c r="D1888" s="42"/>
      <c r="E1888" s="103"/>
      <c r="F1888" s="42"/>
      <c r="G1888" s="9"/>
      <c r="H1888" s="9"/>
      <c r="I1888" s="9"/>
      <c r="J1888" s="9"/>
      <c r="K1888" s="42"/>
      <c r="L1888" s="42"/>
      <c r="M1888" s="42"/>
      <c r="N1888" s="42"/>
      <c r="O1888" s="42"/>
      <c r="P1888" s="9"/>
      <c r="Q1888" s="9"/>
      <c r="R1888" s="42"/>
      <c r="S1888" s="42"/>
      <c r="T1888" s="42"/>
      <c r="U1888" s="42"/>
      <c r="V1888" s="42"/>
      <c r="W1888" s="42"/>
    </row>
    <row r="1889">
      <c r="A1889" s="9"/>
      <c r="B1889" s="9"/>
      <c r="C1889" s="9"/>
      <c r="D1889" s="42"/>
      <c r="E1889" s="103"/>
      <c r="F1889" s="42"/>
      <c r="G1889" s="9"/>
      <c r="H1889" s="9"/>
      <c r="I1889" s="9"/>
      <c r="J1889" s="9"/>
      <c r="K1889" s="42"/>
      <c r="L1889" s="42"/>
      <c r="M1889" s="42"/>
      <c r="N1889" s="42"/>
      <c r="O1889" s="42"/>
      <c r="P1889" s="9"/>
      <c r="Q1889" s="9"/>
      <c r="R1889" s="42"/>
      <c r="S1889" s="42"/>
      <c r="T1889" s="42"/>
      <c r="U1889" s="42"/>
      <c r="V1889" s="42"/>
      <c r="W1889" s="42"/>
    </row>
    <row r="1890">
      <c r="A1890" s="9"/>
      <c r="B1890" s="9"/>
      <c r="C1890" s="9"/>
      <c r="D1890" s="42"/>
      <c r="E1890" s="103"/>
      <c r="F1890" s="42"/>
      <c r="G1890" s="9"/>
      <c r="H1890" s="9"/>
      <c r="I1890" s="9"/>
      <c r="J1890" s="9"/>
      <c r="K1890" s="42"/>
      <c r="L1890" s="42"/>
      <c r="M1890" s="42"/>
      <c r="N1890" s="42"/>
      <c r="O1890" s="42"/>
      <c r="P1890" s="9"/>
      <c r="Q1890" s="9"/>
      <c r="R1890" s="42"/>
      <c r="S1890" s="42"/>
      <c r="T1890" s="42"/>
      <c r="U1890" s="42"/>
      <c r="V1890" s="42"/>
      <c r="W1890" s="42"/>
    </row>
    <row r="1891">
      <c r="A1891" s="9"/>
      <c r="B1891" s="9"/>
      <c r="C1891" s="9"/>
      <c r="D1891" s="42"/>
      <c r="E1891" s="103"/>
      <c r="F1891" s="42"/>
      <c r="G1891" s="9"/>
      <c r="H1891" s="9"/>
      <c r="I1891" s="9"/>
      <c r="J1891" s="9"/>
      <c r="K1891" s="42"/>
      <c r="L1891" s="42"/>
      <c r="M1891" s="42"/>
      <c r="N1891" s="42"/>
      <c r="O1891" s="42"/>
      <c r="P1891" s="9"/>
      <c r="Q1891" s="9"/>
      <c r="R1891" s="42"/>
      <c r="S1891" s="42"/>
      <c r="T1891" s="42"/>
      <c r="U1891" s="42"/>
      <c r="V1891" s="42"/>
      <c r="W1891" s="42"/>
    </row>
    <row r="1892">
      <c r="A1892" s="9"/>
      <c r="B1892" s="9"/>
      <c r="C1892" s="9"/>
      <c r="D1892" s="42"/>
      <c r="E1892" s="103"/>
      <c r="F1892" s="42"/>
      <c r="G1892" s="9"/>
      <c r="H1892" s="9"/>
      <c r="I1892" s="9"/>
      <c r="J1892" s="9"/>
      <c r="K1892" s="42"/>
      <c r="L1892" s="42"/>
      <c r="M1892" s="42"/>
      <c r="N1892" s="42"/>
      <c r="O1892" s="42"/>
      <c r="P1892" s="9"/>
      <c r="Q1892" s="9"/>
      <c r="R1892" s="42"/>
      <c r="S1892" s="42"/>
      <c r="T1892" s="42"/>
      <c r="U1892" s="42"/>
      <c r="V1892" s="42"/>
      <c r="W1892" s="42"/>
    </row>
    <row r="1893">
      <c r="A1893" s="9"/>
      <c r="B1893" s="9"/>
      <c r="C1893" s="9"/>
      <c r="D1893" s="42"/>
      <c r="E1893" s="103"/>
      <c r="F1893" s="42"/>
      <c r="G1893" s="9"/>
      <c r="H1893" s="9"/>
      <c r="I1893" s="9"/>
      <c r="J1893" s="9"/>
      <c r="K1893" s="42"/>
      <c r="L1893" s="42"/>
      <c r="M1893" s="42"/>
      <c r="N1893" s="42"/>
      <c r="O1893" s="42"/>
      <c r="P1893" s="9"/>
      <c r="Q1893" s="9"/>
      <c r="R1893" s="42"/>
      <c r="S1893" s="42"/>
      <c r="T1893" s="42"/>
      <c r="U1893" s="42"/>
      <c r="V1893" s="42"/>
      <c r="W1893" s="42"/>
    </row>
    <row r="1894">
      <c r="A1894" s="9"/>
      <c r="B1894" s="9"/>
      <c r="C1894" s="9"/>
      <c r="D1894" s="42"/>
      <c r="E1894" s="103"/>
      <c r="F1894" s="42"/>
      <c r="G1894" s="9"/>
      <c r="H1894" s="9"/>
      <c r="I1894" s="9"/>
      <c r="J1894" s="9"/>
      <c r="K1894" s="42"/>
      <c r="L1894" s="42"/>
      <c r="M1894" s="42"/>
      <c r="N1894" s="42"/>
      <c r="O1894" s="42"/>
      <c r="P1894" s="9"/>
      <c r="Q1894" s="9"/>
      <c r="R1894" s="42"/>
      <c r="S1894" s="42"/>
      <c r="T1894" s="42"/>
      <c r="U1894" s="42"/>
      <c r="V1894" s="42"/>
      <c r="W1894" s="42"/>
    </row>
    <row r="1895">
      <c r="A1895" s="9"/>
      <c r="B1895" s="9"/>
      <c r="C1895" s="9"/>
      <c r="D1895" s="42"/>
      <c r="E1895" s="103"/>
      <c r="F1895" s="42"/>
      <c r="G1895" s="9"/>
      <c r="H1895" s="9"/>
      <c r="I1895" s="9"/>
      <c r="J1895" s="9"/>
      <c r="K1895" s="42"/>
      <c r="L1895" s="42"/>
      <c r="M1895" s="42"/>
      <c r="N1895" s="42"/>
      <c r="O1895" s="42"/>
      <c r="P1895" s="9"/>
      <c r="Q1895" s="9"/>
      <c r="R1895" s="42"/>
      <c r="S1895" s="42"/>
      <c r="T1895" s="42"/>
      <c r="U1895" s="42"/>
      <c r="V1895" s="42"/>
      <c r="W1895" s="42"/>
    </row>
    <row r="1896">
      <c r="A1896" s="9"/>
      <c r="B1896" s="9"/>
      <c r="C1896" s="9"/>
      <c r="D1896" s="42"/>
      <c r="E1896" s="103"/>
      <c r="F1896" s="42"/>
      <c r="G1896" s="9"/>
      <c r="H1896" s="9"/>
      <c r="I1896" s="9"/>
      <c r="J1896" s="9"/>
      <c r="K1896" s="42"/>
      <c r="L1896" s="42"/>
      <c r="M1896" s="42"/>
      <c r="N1896" s="42"/>
      <c r="O1896" s="42"/>
      <c r="P1896" s="9"/>
      <c r="Q1896" s="9"/>
      <c r="R1896" s="42"/>
      <c r="S1896" s="42"/>
      <c r="T1896" s="42"/>
      <c r="U1896" s="42"/>
      <c r="V1896" s="42"/>
      <c r="W1896" s="42"/>
    </row>
    <row r="1897">
      <c r="A1897" s="9"/>
      <c r="B1897" s="9"/>
      <c r="C1897" s="9"/>
      <c r="D1897" s="42"/>
      <c r="E1897" s="103"/>
      <c r="F1897" s="42"/>
      <c r="G1897" s="9"/>
      <c r="H1897" s="9"/>
      <c r="I1897" s="9"/>
      <c r="J1897" s="9"/>
      <c r="K1897" s="42"/>
      <c r="L1897" s="42"/>
      <c r="M1897" s="42"/>
      <c r="N1897" s="42"/>
      <c r="O1897" s="42"/>
      <c r="P1897" s="9"/>
      <c r="Q1897" s="9"/>
      <c r="R1897" s="42"/>
      <c r="S1897" s="42"/>
      <c r="T1897" s="42"/>
      <c r="U1897" s="42"/>
      <c r="V1897" s="42"/>
      <c r="W1897" s="42"/>
    </row>
    <row r="1898">
      <c r="A1898" s="9"/>
      <c r="B1898" s="9"/>
      <c r="C1898" s="9"/>
      <c r="D1898" s="42"/>
      <c r="E1898" s="103"/>
      <c r="F1898" s="42"/>
      <c r="G1898" s="9"/>
      <c r="H1898" s="9"/>
      <c r="I1898" s="9"/>
      <c r="J1898" s="9"/>
      <c r="K1898" s="42"/>
      <c r="L1898" s="42"/>
      <c r="M1898" s="42"/>
      <c r="N1898" s="42"/>
      <c r="O1898" s="42"/>
      <c r="P1898" s="9"/>
      <c r="Q1898" s="9"/>
      <c r="R1898" s="42"/>
      <c r="S1898" s="42"/>
      <c r="T1898" s="42"/>
      <c r="U1898" s="42"/>
      <c r="V1898" s="42"/>
      <c r="W1898" s="42"/>
    </row>
    <row r="1899">
      <c r="A1899" s="9"/>
      <c r="B1899" s="9"/>
      <c r="C1899" s="9"/>
      <c r="D1899" s="42"/>
      <c r="E1899" s="103"/>
      <c r="F1899" s="42"/>
      <c r="G1899" s="9"/>
      <c r="H1899" s="9"/>
      <c r="I1899" s="9"/>
      <c r="J1899" s="9"/>
      <c r="K1899" s="42"/>
      <c r="L1899" s="42"/>
      <c r="M1899" s="42"/>
      <c r="N1899" s="42"/>
      <c r="O1899" s="42"/>
      <c r="P1899" s="9"/>
      <c r="Q1899" s="9"/>
      <c r="R1899" s="42"/>
      <c r="S1899" s="42"/>
      <c r="T1899" s="42"/>
      <c r="U1899" s="42"/>
      <c r="V1899" s="42"/>
      <c r="W1899" s="42"/>
    </row>
    <row r="1900">
      <c r="A1900" s="9"/>
      <c r="B1900" s="9"/>
      <c r="C1900" s="9"/>
      <c r="D1900" s="42"/>
      <c r="E1900" s="103"/>
      <c r="F1900" s="42"/>
      <c r="G1900" s="9"/>
      <c r="H1900" s="9"/>
      <c r="I1900" s="9"/>
      <c r="J1900" s="9"/>
      <c r="K1900" s="42"/>
      <c r="L1900" s="42"/>
      <c r="M1900" s="42"/>
      <c r="N1900" s="42"/>
      <c r="O1900" s="42"/>
      <c r="P1900" s="9"/>
      <c r="Q1900" s="9"/>
      <c r="R1900" s="42"/>
      <c r="S1900" s="42"/>
      <c r="T1900" s="42"/>
      <c r="U1900" s="42"/>
      <c r="V1900" s="42"/>
      <c r="W1900" s="42"/>
    </row>
    <row r="1901">
      <c r="A1901" s="9"/>
      <c r="B1901" s="9"/>
      <c r="C1901" s="9"/>
      <c r="D1901" s="42"/>
      <c r="E1901" s="103"/>
      <c r="F1901" s="42"/>
      <c r="G1901" s="9"/>
      <c r="H1901" s="9"/>
      <c r="I1901" s="9"/>
      <c r="J1901" s="9"/>
      <c r="K1901" s="42"/>
      <c r="L1901" s="42"/>
      <c r="M1901" s="42"/>
      <c r="N1901" s="42"/>
      <c r="O1901" s="42"/>
      <c r="P1901" s="9"/>
      <c r="Q1901" s="9"/>
      <c r="R1901" s="42"/>
      <c r="S1901" s="42"/>
      <c r="T1901" s="42"/>
      <c r="U1901" s="42"/>
      <c r="V1901" s="42"/>
      <c r="W1901" s="42"/>
    </row>
    <row r="1902">
      <c r="A1902" s="9"/>
      <c r="B1902" s="9"/>
      <c r="C1902" s="9"/>
      <c r="D1902" s="42"/>
      <c r="E1902" s="103"/>
      <c r="F1902" s="42"/>
      <c r="G1902" s="9"/>
      <c r="H1902" s="9"/>
      <c r="I1902" s="9"/>
      <c r="J1902" s="9"/>
      <c r="K1902" s="42"/>
      <c r="L1902" s="42"/>
      <c r="M1902" s="42"/>
      <c r="N1902" s="42"/>
      <c r="O1902" s="42"/>
      <c r="P1902" s="9"/>
      <c r="Q1902" s="9"/>
      <c r="R1902" s="42"/>
      <c r="S1902" s="42"/>
      <c r="T1902" s="42"/>
      <c r="U1902" s="42"/>
      <c r="V1902" s="42"/>
      <c r="W1902" s="42"/>
    </row>
    <row r="1903">
      <c r="A1903" s="9"/>
      <c r="B1903" s="9"/>
      <c r="C1903" s="9"/>
      <c r="D1903" s="42"/>
      <c r="E1903" s="103"/>
      <c r="F1903" s="42"/>
      <c r="G1903" s="9"/>
      <c r="H1903" s="9"/>
      <c r="I1903" s="9"/>
      <c r="J1903" s="9"/>
      <c r="K1903" s="42"/>
      <c r="L1903" s="42"/>
      <c r="M1903" s="42"/>
      <c r="N1903" s="42"/>
      <c r="O1903" s="42"/>
      <c r="P1903" s="9"/>
      <c r="Q1903" s="9"/>
      <c r="R1903" s="42"/>
      <c r="S1903" s="42"/>
      <c r="T1903" s="42"/>
      <c r="U1903" s="42"/>
      <c r="V1903" s="42"/>
      <c r="W1903" s="42"/>
    </row>
    <row r="1904">
      <c r="A1904" s="9"/>
      <c r="B1904" s="9"/>
      <c r="C1904" s="9"/>
      <c r="D1904" s="42"/>
      <c r="E1904" s="103"/>
      <c r="F1904" s="42"/>
      <c r="G1904" s="9"/>
      <c r="H1904" s="9"/>
      <c r="I1904" s="9"/>
      <c r="J1904" s="9"/>
      <c r="K1904" s="42"/>
      <c r="L1904" s="42"/>
      <c r="M1904" s="42"/>
      <c r="N1904" s="42"/>
      <c r="O1904" s="42"/>
      <c r="P1904" s="9"/>
      <c r="Q1904" s="9"/>
      <c r="R1904" s="42"/>
      <c r="S1904" s="42"/>
      <c r="T1904" s="42"/>
      <c r="U1904" s="42"/>
      <c r="V1904" s="42"/>
      <c r="W1904" s="42"/>
    </row>
    <row r="1905">
      <c r="A1905" s="9"/>
      <c r="B1905" s="9"/>
      <c r="C1905" s="9"/>
      <c r="D1905" s="42"/>
      <c r="E1905" s="103"/>
      <c r="F1905" s="42"/>
      <c r="G1905" s="9"/>
      <c r="H1905" s="9"/>
      <c r="I1905" s="9"/>
      <c r="J1905" s="9"/>
      <c r="K1905" s="42"/>
      <c r="L1905" s="42"/>
      <c r="M1905" s="42"/>
      <c r="N1905" s="42"/>
      <c r="O1905" s="42"/>
      <c r="P1905" s="9"/>
      <c r="Q1905" s="9"/>
      <c r="R1905" s="42"/>
      <c r="S1905" s="42"/>
      <c r="T1905" s="42"/>
      <c r="U1905" s="42"/>
      <c r="V1905" s="42"/>
      <c r="W1905" s="42"/>
    </row>
    <row r="1906">
      <c r="A1906" s="9"/>
      <c r="B1906" s="9"/>
      <c r="C1906" s="9"/>
      <c r="D1906" s="42"/>
      <c r="E1906" s="103"/>
      <c r="F1906" s="42"/>
      <c r="G1906" s="9"/>
      <c r="H1906" s="9"/>
      <c r="I1906" s="9"/>
      <c r="J1906" s="9"/>
      <c r="K1906" s="42"/>
      <c r="L1906" s="42"/>
      <c r="M1906" s="42"/>
      <c r="N1906" s="42"/>
      <c r="O1906" s="42"/>
      <c r="P1906" s="9"/>
      <c r="Q1906" s="9"/>
      <c r="R1906" s="42"/>
      <c r="S1906" s="42"/>
      <c r="T1906" s="42"/>
      <c r="U1906" s="42"/>
      <c r="V1906" s="42"/>
      <c r="W1906" s="42"/>
    </row>
    <row r="1907">
      <c r="A1907" s="9"/>
      <c r="B1907" s="9"/>
      <c r="C1907" s="9"/>
      <c r="D1907" s="42"/>
      <c r="E1907" s="103"/>
      <c r="F1907" s="42"/>
      <c r="G1907" s="9"/>
      <c r="H1907" s="9"/>
      <c r="I1907" s="9"/>
      <c r="J1907" s="9"/>
      <c r="K1907" s="42"/>
      <c r="L1907" s="42"/>
      <c r="M1907" s="42"/>
      <c r="N1907" s="42"/>
      <c r="O1907" s="42"/>
      <c r="P1907" s="9"/>
      <c r="Q1907" s="9"/>
      <c r="R1907" s="42"/>
      <c r="S1907" s="42"/>
      <c r="T1907" s="42"/>
      <c r="U1907" s="42"/>
      <c r="V1907" s="42"/>
      <c r="W1907" s="42"/>
    </row>
    <row r="1908">
      <c r="A1908" s="9"/>
      <c r="B1908" s="9"/>
      <c r="C1908" s="9"/>
      <c r="D1908" s="42"/>
      <c r="E1908" s="103"/>
      <c r="F1908" s="42"/>
      <c r="G1908" s="9"/>
      <c r="H1908" s="9"/>
      <c r="I1908" s="9"/>
      <c r="J1908" s="9"/>
      <c r="K1908" s="42"/>
      <c r="L1908" s="42"/>
      <c r="M1908" s="42"/>
      <c r="N1908" s="42"/>
      <c r="O1908" s="42"/>
      <c r="P1908" s="9"/>
      <c r="Q1908" s="9"/>
      <c r="R1908" s="42"/>
      <c r="S1908" s="42"/>
      <c r="T1908" s="42"/>
      <c r="U1908" s="42"/>
      <c r="V1908" s="42"/>
      <c r="W1908" s="42"/>
    </row>
    <row r="1909">
      <c r="A1909" s="9"/>
      <c r="B1909" s="9"/>
      <c r="C1909" s="9"/>
      <c r="D1909" s="42"/>
      <c r="E1909" s="103"/>
      <c r="F1909" s="42"/>
      <c r="G1909" s="9"/>
      <c r="H1909" s="9"/>
      <c r="I1909" s="9"/>
      <c r="J1909" s="9"/>
      <c r="K1909" s="42"/>
      <c r="L1909" s="42"/>
      <c r="M1909" s="42"/>
      <c r="N1909" s="42"/>
      <c r="O1909" s="42"/>
      <c r="P1909" s="9"/>
      <c r="Q1909" s="9"/>
      <c r="R1909" s="42"/>
      <c r="S1909" s="42"/>
      <c r="T1909" s="42"/>
      <c r="U1909" s="42"/>
      <c r="V1909" s="42"/>
      <c r="W1909" s="42"/>
    </row>
    <row r="1910">
      <c r="A1910" s="9"/>
      <c r="B1910" s="9"/>
      <c r="C1910" s="9"/>
      <c r="D1910" s="42"/>
      <c r="E1910" s="103"/>
      <c r="F1910" s="42"/>
      <c r="G1910" s="9"/>
      <c r="H1910" s="9"/>
      <c r="I1910" s="9"/>
      <c r="J1910" s="9"/>
      <c r="K1910" s="42"/>
      <c r="L1910" s="42"/>
      <c r="M1910" s="42"/>
      <c r="N1910" s="42"/>
      <c r="O1910" s="42"/>
      <c r="P1910" s="9"/>
      <c r="Q1910" s="9"/>
      <c r="R1910" s="42"/>
      <c r="S1910" s="42"/>
      <c r="T1910" s="42"/>
      <c r="U1910" s="42"/>
      <c r="V1910" s="42"/>
      <c r="W1910" s="42"/>
    </row>
    <row r="1911">
      <c r="A1911" s="9"/>
      <c r="B1911" s="9"/>
      <c r="C1911" s="9"/>
      <c r="D1911" s="42"/>
      <c r="E1911" s="103"/>
      <c r="F1911" s="42"/>
      <c r="G1911" s="9"/>
      <c r="H1911" s="9"/>
      <c r="I1911" s="9"/>
      <c r="J1911" s="9"/>
      <c r="K1911" s="42"/>
      <c r="L1911" s="42"/>
      <c r="M1911" s="42"/>
      <c r="N1911" s="42"/>
      <c r="O1911" s="42"/>
      <c r="P1911" s="9"/>
      <c r="Q1911" s="9"/>
      <c r="R1911" s="42"/>
      <c r="S1911" s="42"/>
      <c r="T1911" s="42"/>
      <c r="U1911" s="42"/>
      <c r="V1911" s="42"/>
      <c r="W1911" s="42"/>
    </row>
    <row r="1912">
      <c r="A1912" s="9"/>
      <c r="B1912" s="9"/>
      <c r="C1912" s="9"/>
      <c r="D1912" s="42"/>
      <c r="E1912" s="103"/>
      <c r="F1912" s="42"/>
      <c r="G1912" s="9"/>
      <c r="H1912" s="9"/>
      <c r="I1912" s="9"/>
      <c r="J1912" s="9"/>
      <c r="K1912" s="42"/>
      <c r="L1912" s="42"/>
      <c r="M1912" s="42"/>
      <c r="N1912" s="42"/>
      <c r="O1912" s="42"/>
      <c r="P1912" s="9"/>
      <c r="Q1912" s="9"/>
      <c r="R1912" s="42"/>
      <c r="S1912" s="42"/>
      <c r="T1912" s="42"/>
      <c r="U1912" s="42"/>
      <c r="V1912" s="42"/>
      <c r="W1912" s="42"/>
    </row>
    <row r="1913">
      <c r="A1913" s="9"/>
      <c r="B1913" s="9"/>
      <c r="C1913" s="9"/>
      <c r="D1913" s="42"/>
      <c r="E1913" s="103"/>
      <c r="F1913" s="42"/>
      <c r="G1913" s="9"/>
      <c r="H1913" s="9"/>
      <c r="I1913" s="9"/>
      <c r="J1913" s="9"/>
      <c r="K1913" s="42"/>
      <c r="L1913" s="42"/>
      <c r="M1913" s="42"/>
      <c r="N1913" s="42"/>
      <c r="O1913" s="42"/>
      <c r="P1913" s="9"/>
      <c r="Q1913" s="9"/>
      <c r="R1913" s="42"/>
      <c r="S1913" s="42"/>
      <c r="T1913" s="42"/>
      <c r="U1913" s="42"/>
      <c r="V1913" s="42"/>
      <c r="W1913" s="42"/>
    </row>
    <row r="1914">
      <c r="A1914" s="9"/>
      <c r="B1914" s="9"/>
      <c r="C1914" s="9"/>
      <c r="D1914" s="42"/>
      <c r="E1914" s="103"/>
      <c r="F1914" s="42"/>
      <c r="G1914" s="9"/>
      <c r="H1914" s="9"/>
      <c r="I1914" s="9"/>
      <c r="J1914" s="9"/>
      <c r="K1914" s="42"/>
      <c r="L1914" s="42"/>
      <c r="M1914" s="42"/>
      <c r="N1914" s="42"/>
      <c r="O1914" s="42"/>
      <c r="P1914" s="9"/>
      <c r="Q1914" s="9"/>
      <c r="R1914" s="42"/>
      <c r="S1914" s="42"/>
      <c r="T1914" s="42"/>
      <c r="U1914" s="42"/>
      <c r="V1914" s="42"/>
      <c r="W1914" s="42"/>
    </row>
    <row r="1915">
      <c r="A1915" s="9"/>
      <c r="B1915" s="9"/>
      <c r="C1915" s="9"/>
      <c r="D1915" s="42"/>
      <c r="E1915" s="103"/>
      <c r="F1915" s="42"/>
      <c r="G1915" s="9"/>
      <c r="H1915" s="9"/>
      <c r="I1915" s="9"/>
      <c r="J1915" s="9"/>
      <c r="K1915" s="42"/>
      <c r="L1915" s="42"/>
      <c r="M1915" s="42"/>
      <c r="N1915" s="42"/>
      <c r="O1915" s="42"/>
      <c r="P1915" s="9"/>
      <c r="Q1915" s="9"/>
      <c r="R1915" s="42"/>
      <c r="S1915" s="42"/>
      <c r="T1915" s="42"/>
      <c r="U1915" s="42"/>
      <c r="V1915" s="42"/>
      <c r="W1915" s="42"/>
    </row>
    <row r="1916">
      <c r="A1916" s="9"/>
      <c r="B1916" s="9"/>
      <c r="C1916" s="9"/>
      <c r="D1916" s="42"/>
      <c r="E1916" s="103"/>
      <c r="F1916" s="42"/>
      <c r="G1916" s="9"/>
      <c r="H1916" s="9"/>
      <c r="I1916" s="9"/>
      <c r="J1916" s="9"/>
      <c r="K1916" s="42"/>
      <c r="L1916" s="42"/>
      <c r="M1916" s="42"/>
      <c r="N1916" s="42"/>
      <c r="O1916" s="42"/>
      <c r="P1916" s="9"/>
      <c r="Q1916" s="9"/>
      <c r="R1916" s="42"/>
      <c r="S1916" s="42"/>
      <c r="T1916" s="42"/>
      <c r="U1916" s="42"/>
      <c r="V1916" s="42"/>
      <c r="W1916" s="42"/>
    </row>
    <row r="1917">
      <c r="A1917" s="9"/>
      <c r="B1917" s="9"/>
      <c r="C1917" s="9"/>
      <c r="D1917" s="42"/>
      <c r="E1917" s="103"/>
      <c r="F1917" s="42"/>
      <c r="G1917" s="9"/>
      <c r="H1917" s="9"/>
      <c r="I1917" s="9"/>
      <c r="J1917" s="9"/>
      <c r="K1917" s="42"/>
      <c r="L1917" s="42"/>
      <c r="M1917" s="42"/>
      <c r="N1917" s="42"/>
      <c r="O1917" s="42"/>
      <c r="P1917" s="9"/>
      <c r="Q1917" s="9"/>
      <c r="R1917" s="42"/>
      <c r="S1917" s="42"/>
      <c r="T1917" s="42"/>
      <c r="U1917" s="42"/>
      <c r="V1917" s="42"/>
      <c r="W1917" s="42"/>
    </row>
    <row r="1918">
      <c r="A1918" s="9"/>
      <c r="B1918" s="9"/>
      <c r="C1918" s="9"/>
      <c r="D1918" s="42"/>
      <c r="E1918" s="103"/>
      <c r="F1918" s="42"/>
      <c r="G1918" s="9"/>
      <c r="H1918" s="9"/>
      <c r="I1918" s="9"/>
      <c r="J1918" s="9"/>
      <c r="K1918" s="42"/>
      <c r="L1918" s="42"/>
      <c r="M1918" s="42"/>
      <c r="N1918" s="42"/>
      <c r="O1918" s="42"/>
      <c r="P1918" s="9"/>
      <c r="Q1918" s="9"/>
      <c r="R1918" s="42"/>
      <c r="S1918" s="42"/>
      <c r="T1918" s="42"/>
      <c r="U1918" s="42"/>
      <c r="V1918" s="42"/>
      <c r="W1918" s="42"/>
    </row>
    <row r="1919">
      <c r="A1919" s="9"/>
      <c r="B1919" s="9"/>
      <c r="C1919" s="9"/>
      <c r="D1919" s="42"/>
      <c r="E1919" s="103"/>
      <c r="F1919" s="42"/>
      <c r="G1919" s="9"/>
      <c r="H1919" s="9"/>
      <c r="I1919" s="9"/>
      <c r="J1919" s="9"/>
      <c r="K1919" s="42"/>
      <c r="L1919" s="42"/>
      <c r="M1919" s="42"/>
      <c r="N1919" s="42"/>
      <c r="O1919" s="42"/>
      <c r="P1919" s="9"/>
      <c r="Q1919" s="9"/>
      <c r="R1919" s="42"/>
      <c r="S1919" s="42"/>
      <c r="T1919" s="42"/>
      <c r="U1919" s="42"/>
      <c r="V1919" s="42"/>
      <c r="W1919" s="42"/>
    </row>
    <row r="1920">
      <c r="A1920" s="9"/>
      <c r="B1920" s="9"/>
      <c r="C1920" s="9"/>
      <c r="D1920" s="42"/>
      <c r="E1920" s="103"/>
      <c r="F1920" s="42"/>
      <c r="G1920" s="9"/>
      <c r="H1920" s="9"/>
      <c r="I1920" s="9"/>
      <c r="J1920" s="9"/>
      <c r="K1920" s="42"/>
      <c r="L1920" s="42"/>
      <c r="M1920" s="42"/>
      <c r="N1920" s="42"/>
      <c r="O1920" s="42"/>
      <c r="P1920" s="9"/>
      <c r="Q1920" s="9"/>
      <c r="R1920" s="42"/>
      <c r="S1920" s="42"/>
      <c r="T1920" s="42"/>
      <c r="U1920" s="42"/>
      <c r="V1920" s="42"/>
      <c r="W1920" s="42"/>
    </row>
    <row r="1921">
      <c r="A1921" s="9"/>
      <c r="B1921" s="9"/>
      <c r="C1921" s="9"/>
      <c r="D1921" s="42"/>
      <c r="E1921" s="103"/>
      <c r="F1921" s="42"/>
      <c r="G1921" s="9"/>
      <c r="H1921" s="9"/>
      <c r="I1921" s="9"/>
      <c r="J1921" s="9"/>
      <c r="K1921" s="42"/>
      <c r="L1921" s="42"/>
      <c r="M1921" s="42"/>
      <c r="N1921" s="42"/>
      <c r="O1921" s="42"/>
      <c r="P1921" s="9"/>
      <c r="Q1921" s="9"/>
      <c r="R1921" s="42"/>
      <c r="S1921" s="42"/>
      <c r="T1921" s="42"/>
      <c r="U1921" s="42"/>
      <c r="V1921" s="42"/>
      <c r="W1921" s="42"/>
    </row>
    <row r="1922">
      <c r="A1922" s="9"/>
      <c r="B1922" s="9"/>
      <c r="C1922" s="9"/>
      <c r="D1922" s="42"/>
      <c r="E1922" s="103"/>
      <c r="F1922" s="42"/>
      <c r="G1922" s="9"/>
      <c r="H1922" s="9"/>
      <c r="I1922" s="9"/>
      <c r="J1922" s="9"/>
      <c r="K1922" s="42"/>
      <c r="L1922" s="42"/>
      <c r="M1922" s="42"/>
      <c r="N1922" s="42"/>
      <c r="O1922" s="42"/>
      <c r="P1922" s="9"/>
      <c r="Q1922" s="9"/>
      <c r="R1922" s="42"/>
      <c r="S1922" s="42"/>
      <c r="T1922" s="42"/>
      <c r="U1922" s="42"/>
      <c r="V1922" s="42"/>
      <c r="W1922" s="42"/>
    </row>
    <row r="1923">
      <c r="A1923" s="9"/>
      <c r="B1923" s="9"/>
      <c r="C1923" s="9"/>
      <c r="D1923" s="42"/>
      <c r="E1923" s="103"/>
      <c r="F1923" s="42"/>
      <c r="G1923" s="9"/>
      <c r="H1923" s="9"/>
      <c r="I1923" s="9"/>
      <c r="J1923" s="9"/>
      <c r="K1923" s="42"/>
      <c r="L1923" s="42"/>
      <c r="M1923" s="42"/>
      <c r="N1923" s="42"/>
      <c r="O1923" s="42"/>
      <c r="P1923" s="9"/>
      <c r="Q1923" s="9"/>
      <c r="R1923" s="42"/>
      <c r="S1923" s="42"/>
      <c r="T1923" s="42"/>
      <c r="U1923" s="42"/>
      <c r="V1923" s="42"/>
      <c r="W1923" s="42"/>
    </row>
    <row r="1924">
      <c r="A1924" s="9"/>
      <c r="B1924" s="9"/>
      <c r="C1924" s="9"/>
      <c r="D1924" s="42"/>
      <c r="E1924" s="103"/>
      <c r="F1924" s="42"/>
      <c r="G1924" s="9"/>
      <c r="H1924" s="9"/>
      <c r="I1924" s="9"/>
      <c r="J1924" s="9"/>
      <c r="K1924" s="42"/>
      <c r="L1924" s="42"/>
      <c r="M1924" s="42"/>
      <c r="N1924" s="42"/>
      <c r="O1924" s="42"/>
      <c r="P1924" s="9"/>
      <c r="Q1924" s="9"/>
      <c r="R1924" s="42"/>
      <c r="S1924" s="42"/>
      <c r="T1924" s="42"/>
      <c r="U1924" s="42"/>
      <c r="V1924" s="42"/>
      <c r="W1924" s="42"/>
    </row>
    <row r="1925">
      <c r="A1925" s="9"/>
      <c r="B1925" s="9"/>
      <c r="C1925" s="9"/>
      <c r="D1925" s="42"/>
      <c r="E1925" s="103"/>
      <c r="F1925" s="42"/>
      <c r="G1925" s="9"/>
      <c r="H1925" s="9"/>
      <c r="I1925" s="9"/>
      <c r="J1925" s="9"/>
      <c r="K1925" s="42"/>
      <c r="L1925" s="42"/>
      <c r="M1925" s="42"/>
      <c r="N1925" s="42"/>
      <c r="O1925" s="42"/>
      <c r="P1925" s="9"/>
      <c r="Q1925" s="9"/>
      <c r="R1925" s="42"/>
      <c r="S1925" s="42"/>
      <c r="T1925" s="42"/>
      <c r="U1925" s="42"/>
      <c r="V1925" s="42"/>
      <c r="W1925" s="42"/>
    </row>
    <row r="1926">
      <c r="A1926" s="9"/>
      <c r="B1926" s="9"/>
      <c r="C1926" s="9"/>
      <c r="D1926" s="42"/>
      <c r="E1926" s="103"/>
      <c r="F1926" s="42"/>
      <c r="G1926" s="9"/>
      <c r="H1926" s="9"/>
      <c r="I1926" s="9"/>
      <c r="J1926" s="9"/>
      <c r="K1926" s="42"/>
      <c r="L1926" s="42"/>
      <c r="M1926" s="42"/>
      <c r="N1926" s="42"/>
      <c r="O1926" s="42"/>
      <c r="P1926" s="9"/>
      <c r="Q1926" s="9"/>
      <c r="R1926" s="42"/>
      <c r="S1926" s="42"/>
      <c r="T1926" s="42"/>
      <c r="U1926" s="42"/>
      <c r="V1926" s="42"/>
      <c r="W1926" s="42"/>
    </row>
    <row r="1927">
      <c r="A1927" s="9"/>
      <c r="B1927" s="9"/>
      <c r="C1927" s="9"/>
      <c r="D1927" s="42"/>
      <c r="E1927" s="103"/>
      <c r="F1927" s="42"/>
      <c r="G1927" s="9"/>
      <c r="H1927" s="9"/>
      <c r="I1927" s="9"/>
      <c r="J1927" s="9"/>
      <c r="K1927" s="42"/>
      <c r="L1927" s="42"/>
      <c r="M1927" s="42"/>
      <c r="N1927" s="42"/>
      <c r="O1927" s="42"/>
      <c r="P1927" s="9"/>
      <c r="Q1927" s="9"/>
      <c r="R1927" s="42"/>
      <c r="S1927" s="42"/>
      <c r="T1927" s="42"/>
      <c r="U1927" s="42"/>
      <c r="V1927" s="42"/>
      <c r="W1927" s="42"/>
    </row>
    <row r="1928">
      <c r="A1928" s="9"/>
      <c r="B1928" s="9"/>
      <c r="C1928" s="9"/>
      <c r="D1928" s="42"/>
      <c r="E1928" s="103"/>
      <c r="F1928" s="42"/>
      <c r="G1928" s="9"/>
      <c r="H1928" s="9"/>
      <c r="I1928" s="9"/>
      <c r="J1928" s="9"/>
      <c r="K1928" s="42"/>
      <c r="L1928" s="42"/>
      <c r="M1928" s="42"/>
      <c r="N1928" s="42"/>
      <c r="O1928" s="42"/>
      <c r="P1928" s="9"/>
      <c r="Q1928" s="9"/>
      <c r="R1928" s="42"/>
      <c r="S1928" s="42"/>
      <c r="T1928" s="42"/>
      <c r="U1928" s="42"/>
      <c r="V1928" s="42"/>
      <c r="W1928" s="42"/>
    </row>
    <row r="1929">
      <c r="A1929" s="9"/>
      <c r="B1929" s="9"/>
      <c r="C1929" s="9"/>
      <c r="D1929" s="42"/>
      <c r="E1929" s="103"/>
      <c r="F1929" s="42"/>
      <c r="G1929" s="9"/>
      <c r="H1929" s="9"/>
      <c r="I1929" s="9"/>
      <c r="J1929" s="9"/>
      <c r="K1929" s="42"/>
      <c r="L1929" s="42"/>
      <c r="M1929" s="42"/>
      <c r="N1929" s="42"/>
      <c r="O1929" s="42"/>
      <c r="P1929" s="9"/>
      <c r="Q1929" s="9"/>
      <c r="R1929" s="42"/>
      <c r="S1929" s="42"/>
      <c r="T1929" s="42"/>
      <c r="U1929" s="42"/>
      <c r="V1929" s="42"/>
      <c r="W1929" s="42"/>
    </row>
    <row r="1930">
      <c r="A1930" s="9"/>
      <c r="B1930" s="9"/>
      <c r="C1930" s="9"/>
      <c r="D1930" s="42"/>
      <c r="E1930" s="103"/>
      <c r="F1930" s="42"/>
      <c r="G1930" s="9"/>
      <c r="H1930" s="9"/>
      <c r="I1930" s="9"/>
      <c r="J1930" s="9"/>
      <c r="K1930" s="42"/>
      <c r="L1930" s="42"/>
      <c r="M1930" s="42"/>
      <c r="N1930" s="42"/>
      <c r="O1930" s="42"/>
      <c r="P1930" s="9"/>
      <c r="Q1930" s="9"/>
      <c r="R1930" s="42"/>
      <c r="S1930" s="42"/>
      <c r="T1930" s="42"/>
      <c r="U1930" s="42"/>
      <c r="V1930" s="42"/>
      <c r="W1930" s="42"/>
    </row>
    <row r="1931">
      <c r="A1931" s="9"/>
      <c r="B1931" s="9"/>
      <c r="C1931" s="9"/>
      <c r="D1931" s="42"/>
      <c r="E1931" s="103"/>
      <c r="F1931" s="42"/>
      <c r="G1931" s="9"/>
      <c r="H1931" s="9"/>
      <c r="I1931" s="9"/>
      <c r="J1931" s="9"/>
      <c r="K1931" s="42"/>
      <c r="L1931" s="42"/>
      <c r="M1931" s="42"/>
      <c r="N1931" s="42"/>
      <c r="O1931" s="42"/>
      <c r="P1931" s="9"/>
      <c r="Q1931" s="9"/>
      <c r="R1931" s="42"/>
      <c r="S1931" s="42"/>
      <c r="T1931" s="42"/>
      <c r="U1931" s="42"/>
      <c r="V1931" s="42"/>
      <c r="W1931" s="42"/>
    </row>
    <row r="1932">
      <c r="A1932" s="9"/>
      <c r="B1932" s="9"/>
      <c r="C1932" s="9"/>
      <c r="D1932" s="42"/>
      <c r="E1932" s="103"/>
      <c r="F1932" s="42"/>
      <c r="G1932" s="9"/>
      <c r="H1932" s="9"/>
      <c r="I1932" s="9"/>
      <c r="J1932" s="9"/>
      <c r="K1932" s="42"/>
      <c r="L1932" s="42"/>
      <c r="M1932" s="42"/>
      <c r="N1932" s="42"/>
      <c r="O1932" s="42"/>
      <c r="P1932" s="9"/>
      <c r="Q1932" s="9"/>
      <c r="R1932" s="42"/>
      <c r="S1932" s="42"/>
      <c r="T1932" s="42"/>
      <c r="U1932" s="42"/>
      <c r="V1932" s="42"/>
      <c r="W1932" s="42"/>
    </row>
    <row r="1933">
      <c r="A1933" s="9"/>
      <c r="B1933" s="9"/>
      <c r="C1933" s="9"/>
      <c r="D1933" s="42"/>
      <c r="E1933" s="103"/>
      <c r="F1933" s="42"/>
      <c r="G1933" s="9"/>
      <c r="H1933" s="9"/>
      <c r="I1933" s="9"/>
      <c r="J1933" s="9"/>
      <c r="K1933" s="42"/>
      <c r="L1933" s="42"/>
      <c r="M1933" s="42"/>
      <c r="N1933" s="42"/>
      <c r="O1933" s="42"/>
      <c r="P1933" s="9"/>
      <c r="Q1933" s="9"/>
      <c r="R1933" s="42"/>
      <c r="S1933" s="42"/>
      <c r="T1933" s="42"/>
      <c r="U1933" s="42"/>
      <c r="V1933" s="42"/>
      <c r="W1933" s="42"/>
    </row>
    <row r="1934">
      <c r="A1934" s="9"/>
      <c r="B1934" s="9"/>
      <c r="C1934" s="9"/>
      <c r="D1934" s="42"/>
      <c r="E1934" s="103"/>
      <c r="F1934" s="42"/>
      <c r="G1934" s="9"/>
      <c r="H1934" s="9"/>
      <c r="I1934" s="9"/>
      <c r="J1934" s="9"/>
      <c r="K1934" s="42"/>
      <c r="L1934" s="42"/>
      <c r="M1934" s="42"/>
      <c r="N1934" s="42"/>
      <c r="O1934" s="42"/>
      <c r="P1934" s="9"/>
      <c r="Q1934" s="9"/>
      <c r="R1934" s="42"/>
      <c r="S1934" s="42"/>
      <c r="T1934" s="42"/>
      <c r="U1934" s="42"/>
      <c r="V1934" s="42"/>
      <c r="W1934" s="42"/>
    </row>
    <row r="1935">
      <c r="A1935" s="9"/>
      <c r="B1935" s="9"/>
      <c r="C1935" s="9"/>
      <c r="D1935" s="42"/>
      <c r="E1935" s="103"/>
      <c r="F1935" s="42"/>
      <c r="G1935" s="9"/>
      <c r="H1935" s="9"/>
      <c r="I1935" s="9"/>
      <c r="J1935" s="9"/>
      <c r="K1935" s="42"/>
      <c r="L1935" s="42"/>
      <c r="M1935" s="42"/>
      <c r="N1935" s="42"/>
      <c r="O1935" s="42"/>
      <c r="P1935" s="9"/>
      <c r="Q1935" s="9"/>
      <c r="R1935" s="42"/>
      <c r="S1935" s="42"/>
      <c r="T1935" s="42"/>
      <c r="U1935" s="42"/>
      <c r="V1935" s="42"/>
      <c r="W1935" s="42"/>
    </row>
    <row r="1936">
      <c r="A1936" s="9"/>
      <c r="B1936" s="9"/>
      <c r="C1936" s="9"/>
      <c r="D1936" s="42"/>
      <c r="E1936" s="103"/>
      <c r="F1936" s="42"/>
      <c r="G1936" s="9"/>
      <c r="H1936" s="9"/>
      <c r="I1936" s="9"/>
      <c r="J1936" s="9"/>
      <c r="K1936" s="42"/>
      <c r="L1936" s="42"/>
      <c r="M1936" s="42"/>
      <c r="N1936" s="42"/>
      <c r="O1936" s="42"/>
      <c r="P1936" s="9"/>
      <c r="Q1936" s="9"/>
      <c r="R1936" s="42"/>
      <c r="S1936" s="42"/>
      <c r="T1936" s="42"/>
      <c r="U1936" s="42"/>
      <c r="V1936" s="42"/>
      <c r="W1936" s="42"/>
    </row>
    <row r="1937">
      <c r="A1937" s="9"/>
      <c r="B1937" s="9"/>
      <c r="C1937" s="9"/>
      <c r="D1937" s="42"/>
      <c r="E1937" s="103"/>
      <c r="F1937" s="42"/>
      <c r="G1937" s="9"/>
      <c r="H1937" s="9"/>
      <c r="I1937" s="9"/>
      <c r="J1937" s="9"/>
      <c r="K1937" s="42"/>
      <c r="L1937" s="42"/>
      <c r="M1937" s="42"/>
      <c r="N1937" s="42"/>
      <c r="O1937" s="42"/>
      <c r="P1937" s="9"/>
      <c r="Q1937" s="9"/>
      <c r="R1937" s="42"/>
      <c r="S1937" s="42"/>
      <c r="T1937" s="42"/>
      <c r="U1937" s="42"/>
      <c r="V1937" s="42"/>
      <c r="W1937" s="42"/>
    </row>
    <row r="1938">
      <c r="A1938" s="9"/>
      <c r="B1938" s="9"/>
      <c r="C1938" s="9"/>
      <c r="D1938" s="42"/>
      <c r="E1938" s="103"/>
      <c r="F1938" s="42"/>
      <c r="G1938" s="9"/>
      <c r="H1938" s="9"/>
      <c r="I1938" s="9"/>
      <c r="J1938" s="9"/>
      <c r="K1938" s="42"/>
      <c r="L1938" s="42"/>
      <c r="M1938" s="42"/>
      <c r="N1938" s="42"/>
      <c r="O1938" s="42"/>
      <c r="P1938" s="9"/>
      <c r="Q1938" s="9"/>
      <c r="R1938" s="42"/>
      <c r="S1938" s="42"/>
      <c r="T1938" s="42"/>
      <c r="U1938" s="42"/>
      <c r="V1938" s="42"/>
      <c r="W1938" s="42"/>
    </row>
    <row r="1939">
      <c r="A1939" s="9"/>
      <c r="B1939" s="9"/>
      <c r="C1939" s="9"/>
      <c r="D1939" s="42"/>
      <c r="E1939" s="103"/>
      <c r="F1939" s="42"/>
      <c r="G1939" s="9"/>
      <c r="H1939" s="9"/>
      <c r="I1939" s="9"/>
      <c r="J1939" s="9"/>
      <c r="K1939" s="42"/>
      <c r="L1939" s="42"/>
      <c r="M1939" s="42"/>
      <c r="N1939" s="42"/>
      <c r="O1939" s="42"/>
      <c r="P1939" s="9"/>
      <c r="Q1939" s="9"/>
      <c r="R1939" s="42"/>
      <c r="S1939" s="42"/>
      <c r="T1939" s="42"/>
      <c r="U1939" s="42"/>
      <c r="V1939" s="42"/>
      <c r="W1939" s="42"/>
    </row>
    <row r="1940">
      <c r="A1940" s="9"/>
      <c r="B1940" s="9"/>
      <c r="C1940" s="9"/>
      <c r="D1940" s="42"/>
      <c r="E1940" s="103"/>
      <c r="F1940" s="42"/>
      <c r="G1940" s="9"/>
      <c r="H1940" s="9"/>
      <c r="I1940" s="9"/>
      <c r="J1940" s="9"/>
      <c r="K1940" s="42"/>
      <c r="L1940" s="42"/>
      <c r="M1940" s="42"/>
      <c r="N1940" s="42"/>
      <c r="O1940" s="42"/>
      <c r="P1940" s="9"/>
      <c r="Q1940" s="9"/>
      <c r="R1940" s="42"/>
      <c r="S1940" s="42"/>
      <c r="T1940" s="42"/>
      <c r="U1940" s="42"/>
      <c r="V1940" s="42"/>
      <c r="W1940" s="42"/>
    </row>
    <row r="1941">
      <c r="A1941" s="9"/>
      <c r="B1941" s="9"/>
      <c r="C1941" s="9"/>
      <c r="D1941" s="42"/>
      <c r="E1941" s="103"/>
      <c r="F1941" s="42"/>
      <c r="G1941" s="9"/>
      <c r="H1941" s="9"/>
      <c r="I1941" s="9"/>
      <c r="J1941" s="9"/>
      <c r="K1941" s="42"/>
      <c r="L1941" s="42"/>
      <c r="M1941" s="42"/>
      <c r="N1941" s="42"/>
      <c r="O1941" s="42"/>
      <c r="P1941" s="9"/>
      <c r="Q1941" s="9"/>
      <c r="R1941" s="42"/>
      <c r="S1941" s="42"/>
      <c r="T1941" s="42"/>
      <c r="U1941" s="42"/>
      <c r="V1941" s="42"/>
      <c r="W1941" s="42"/>
    </row>
    <row r="1942">
      <c r="A1942" s="9"/>
      <c r="B1942" s="9"/>
      <c r="C1942" s="9"/>
      <c r="D1942" s="42"/>
      <c r="E1942" s="103"/>
      <c r="F1942" s="42"/>
      <c r="G1942" s="9"/>
      <c r="H1942" s="9"/>
      <c r="I1942" s="9"/>
      <c r="J1942" s="9"/>
      <c r="K1942" s="42"/>
      <c r="L1942" s="42"/>
      <c r="M1942" s="42"/>
      <c r="N1942" s="42"/>
      <c r="O1942" s="42"/>
      <c r="P1942" s="9"/>
      <c r="Q1942" s="9"/>
      <c r="R1942" s="42"/>
      <c r="S1942" s="42"/>
      <c r="T1942" s="42"/>
      <c r="U1942" s="42"/>
      <c r="V1942" s="42"/>
      <c r="W1942" s="42"/>
    </row>
    <row r="1943">
      <c r="A1943" s="9"/>
      <c r="B1943" s="9"/>
      <c r="C1943" s="9"/>
      <c r="D1943" s="42"/>
      <c r="E1943" s="103"/>
      <c r="F1943" s="42"/>
      <c r="G1943" s="9"/>
      <c r="H1943" s="9"/>
      <c r="I1943" s="9"/>
      <c r="J1943" s="9"/>
      <c r="K1943" s="42"/>
      <c r="L1943" s="42"/>
      <c r="M1943" s="42"/>
      <c r="N1943" s="42"/>
      <c r="O1943" s="42"/>
      <c r="P1943" s="9"/>
      <c r="Q1943" s="9"/>
      <c r="R1943" s="42"/>
      <c r="S1943" s="42"/>
      <c r="T1943" s="42"/>
      <c r="U1943" s="42"/>
      <c r="V1943" s="42"/>
      <c r="W1943" s="42"/>
    </row>
    <row r="1944">
      <c r="A1944" s="9"/>
      <c r="B1944" s="9"/>
      <c r="C1944" s="9"/>
      <c r="D1944" s="42"/>
      <c r="E1944" s="103"/>
      <c r="F1944" s="42"/>
      <c r="G1944" s="9"/>
      <c r="H1944" s="9"/>
      <c r="I1944" s="9"/>
      <c r="J1944" s="9"/>
      <c r="K1944" s="42"/>
      <c r="L1944" s="42"/>
      <c r="M1944" s="42"/>
      <c r="N1944" s="42"/>
      <c r="O1944" s="42"/>
      <c r="P1944" s="9"/>
      <c r="Q1944" s="9"/>
      <c r="R1944" s="42"/>
      <c r="S1944" s="42"/>
      <c r="T1944" s="42"/>
      <c r="U1944" s="42"/>
      <c r="V1944" s="42"/>
      <c r="W1944" s="42"/>
    </row>
    <row r="1945">
      <c r="A1945" s="9"/>
      <c r="B1945" s="9"/>
      <c r="C1945" s="9"/>
      <c r="D1945" s="42"/>
      <c r="E1945" s="103"/>
      <c r="F1945" s="42"/>
      <c r="G1945" s="9"/>
      <c r="H1945" s="9"/>
      <c r="I1945" s="9"/>
      <c r="J1945" s="9"/>
      <c r="K1945" s="42"/>
      <c r="L1945" s="42"/>
      <c r="M1945" s="42"/>
      <c r="N1945" s="42"/>
      <c r="O1945" s="42"/>
      <c r="P1945" s="9"/>
      <c r="Q1945" s="9"/>
      <c r="R1945" s="42"/>
      <c r="S1945" s="42"/>
      <c r="T1945" s="42"/>
      <c r="U1945" s="42"/>
      <c r="V1945" s="42"/>
      <c r="W1945" s="42"/>
    </row>
    <row r="1946">
      <c r="A1946" s="9"/>
      <c r="B1946" s="9"/>
      <c r="C1946" s="9"/>
      <c r="D1946" s="42"/>
      <c r="E1946" s="103"/>
      <c r="F1946" s="42"/>
      <c r="G1946" s="9"/>
      <c r="H1946" s="9"/>
      <c r="I1946" s="9"/>
      <c r="J1946" s="9"/>
      <c r="K1946" s="42"/>
      <c r="L1946" s="42"/>
      <c r="M1946" s="42"/>
      <c r="N1946" s="42"/>
      <c r="O1946" s="42"/>
      <c r="P1946" s="9"/>
      <c r="Q1946" s="9"/>
      <c r="R1946" s="42"/>
      <c r="S1946" s="42"/>
      <c r="T1946" s="42"/>
      <c r="U1946" s="42"/>
      <c r="V1946" s="42"/>
      <c r="W1946" s="42"/>
    </row>
    <row r="1947">
      <c r="A1947" s="9"/>
      <c r="B1947" s="9"/>
      <c r="C1947" s="9"/>
      <c r="D1947" s="42"/>
      <c r="E1947" s="103"/>
      <c r="F1947" s="42"/>
      <c r="G1947" s="9"/>
      <c r="H1947" s="9"/>
      <c r="I1947" s="9"/>
      <c r="J1947" s="9"/>
      <c r="K1947" s="42"/>
      <c r="L1947" s="42"/>
      <c r="M1947" s="42"/>
      <c r="N1947" s="42"/>
      <c r="O1947" s="42"/>
      <c r="P1947" s="9"/>
      <c r="Q1947" s="9"/>
      <c r="R1947" s="42"/>
      <c r="S1947" s="42"/>
      <c r="T1947" s="42"/>
      <c r="U1947" s="42"/>
      <c r="V1947" s="42"/>
      <c r="W1947" s="42"/>
    </row>
    <row r="1948">
      <c r="A1948" s="9"/>
      <c r="B1948" s="9"/>
      <c r="C1948" s="9"/>
      <c r="D1948" s="42"/>
      <c r="E1948" s="103"/>
      <c r="F1948" s="42"/>
      <c r="G1948" s="9"/>
      <c r="H1948" s="9"/>
      <c r="I1948" s="9"/>
      <c r="J1948" s="9"/>
      <c r="K1948" s="42"/>
      <c r="L1948" s="42"/>
      <c r="M1948" s="42"/>
      <c r="N1948" s="42"/>
      <c r="O1948" s="42"/>
      <c r="P1948" s="9"/>
      <c r="Q1948" s="9"/>
      <c r="R1948" s="42"/>
      <c r="S1948" s="42"/>
      <c r="T1948" s="42"/>
      <c r="U1948" s="42"/>
      <c r="V1948" s="42"/>
      <c r="W1948" s="42"/>
    </row>
    <row r="1949">
      <c r="A1949" s="9"/>
      <c r="B1949" s="9"/>
      <c r="C1949" s="9"/>
      <c r="D1949" s="42"/>
      <c r="E1949" s="103"/>
      <c r="F1949" s="42"/>
      <c r="G1949" s="9"/>
      <c r="H1949" s="9"/>
      <c r="I1949" s="9"/>
      <c r="J1949" s="9"/>
      <c r="K1949" s="42"/>
      <c r="L1949" s="42"/>
      <c r="M1949" s="42"/>
      <c r="N1949" s="42"/>
      <c r="O1949" s="42"/>
      <c r="P1949" s="9"/>
      <c r="Q1949" s="9"/>
      <c r="R1949" s="42"/>
      <c r="S1949" s="42"/>
      <c r="T1949" s="42"/>
      <c r="U1949" s="42"/>
      <c r="V1949" s="42"/>
      <c r="W1949" s="42"/>
    </row>
    <row r="1950">
      <c r="A1950" s="9"/>
      <c r="B1950" s="9"/>
      <c r="C1950" s="9"/>
      <c r="D1950" s="42"/>
      <c r="E1950" s="103"/>
      <c r="F1950" s="42"/>
      <c r="G1950" s="9"/>
      <c r="H1950" s="9"/>
      <c r="I1950" s="9"/>
      <c r="J1950" s="9"/>
      <c r="K1950" s="42"/>
      <c r="L1950" s="42"/>
      <c r="M1950" s="42"/>
      <c r="N1950" s="42"/>
      <c r="O1950" s="42"/>
      <c r="P1950" s="9"/>
      <c r="Q1950" s="9"/>
      <c r="R1950" s="42"/>
      <c r="S1950" s="42"/>
      <c r="T1950" s="42"/>
      <c r="U1950" s="42"/>
      <c r="V1950" s="42"/>
      <c r="W1950" s="42"/>
    </row>
    <row r="1951">
      <c r="A1951" s="9"/>
      <c r="B1951" s="9"/>
      <c r="C1951" s="9"/>
      <c r="D1951" s="42"/>
      <c r="E1951" s="103"/>
      <c r="F1951" s="42"/>
      <c r="G1951" s="9"/>
      <c r="H1951" s="9"/>
      <c r="I1951" s="9"/>
      <c r="J1951" s="9"/>
      <c r="K1951" s="42"/>
      <c r="L1951" s="42"/>
      <c r="M1951" s="42"/>
      <c r="N1951" s="42"/>
      <c r="O1951" s="42"/>
      <c r="P1951" s="9"/>
      <c r="Q1951" s="9"/>
      <c r="R1951" s="42"/>
      <c r="S1951" s="42"/>
      <c r="T1951" s="42"/>
      <c r="U1951" s="42"/>
      <c r="V1951" s="42"/>
      <c r="W1951" s="42"/>
    </row>
    <row r="1952">
      <c r="A1952" s="9"/>
      <c r="B1952" s="9"/>
      <c r="C1952" s="9"/>
      <c r="D1952" s="42"/>
      <c r="E1952" s="103"/>
      <c r="F1952" s="42"/>
      <c r="G1952" s="9"/>
      <c r="H1952" s="9"/>
      <c r="I1952" s="9"/>
      <c r="J1952" s="9"/>
      <c r="K1952" s="42"/>
      <c r="L1952" s="42"/>
      <c r="M1952" s="42"/>
      <c r="N1952" s="42"/>
      <c r="O1952" s="42"/>
      <c r="P1952" s="9"/>
      <c r="Q1952" s="9"/>
      <c r="R1952" s="42"/>
      <c r="S1952" s="42"/>
      <c r="T1952" s="42"/>
      <c r="U1952" s="42"/>
      <c r="V1952" s="42"/>
      <c r="W1952" s="42"/>
    </row>
    <row r="1953">
      <c r="A1953" s="9"/>
      <c r="B1953" s="9"/>
      <c r="C1953" s="9"/>
      <c r="D1953" s="42"/>
      <c r="E1953" s="103"/>
      <c r="F1953" s="42"/>
      <c r="G1953" s="9"/>
      <c r="H1953" s="9"/>
      <c r="I1953" s="9"/>
      <c r="J1953" s="9"/>
      <c r="K1953" s="42"/>
      <c r="L1953" s="42"/>
      <c r="M1953" s="42"/>
      <c r="N1953" s="42"/>
      <c r="O1953" s="42"/>
      <c r="P1953" s="9"/>
      <c r="Q1953" s="9"/>
      <c r="R1953" s="42"/>
      <c r="S1953" s="42"/>
      <c r="T1953" s="42"/>
      <c r="U1953" s="42"/>
      <c r="V1953" s="42"/>
      <c r="W1953" s="42"/>
    </row>
    <row r="1954">
      <c r="A1954" s="9"/>
      <c r="B1954" s="9"/>
      <c r="C1954" s="9"/>
      <c r="D1954" s="42"/>
      <c r="E1954" s="103"/>
      <c r="F1954" s="42"/>
      <c r="G1954" s="9"/>
      <c r="H1954" s="9"/>
      <c r="I1954" s="9"/>
      <c r="J1954" s="9"/>
      <c r="K1954" s="42"/>
      <c r="L1954" s="42"/>
      <c r="M1954" s="42"/>
      <c r="N1954" s="42"/>
      <c r="O1954" s="42"/>
      <c r="P1954" s="9"/>
      <c r="Q1954" s="9"/>
      <c r="R1954" s="42"/>
      <c r="S1954" s="42"/>
      <c r="T1954" s="42"/>
      <c r="U1954" s="42"/>
      <c r="V1954" s="42"/>
      <c r="W1954" s="42"/>
    </row>
    <row r="1955">
      <c r="A1955" s="9"/>
      <c r="B1955" s="9"/>
      <c r="C1955" s="9"/>
      <c r="D1955" s="42"/>
      <c r="E1955" s="103"/>
      <c r="F1955" s="42"/>
      <c r="G1955" s="9"/>
      <c r="H1955" s="9"/>
      <c r="I1955" s="9"/>
      <c r="J1955" s="9"/>
      <c r="K1955" s="42"/>
      <c r="L1955" s="42"/>
      <c r="M1955" s="42"/>
      <c r="N1955" s="42"/>
      <c r="O1955" s="42"/>
      <c r="P1955" s="9"/>
      <c r="Q1955" s="9"/>
      <c r="R1955" s="42"/>
      <c r="S1955" s="42"/>
      <c r="T1955" s="42"/>
      <c r="U1955" s="42"/>
      <c r="V1955" s="42"/>
      <c r="W1955" s="42"/>
    </row>
    <row r="1956">
      <c r="A1956" s="9"/>
      <c r="B1956" s="9"/>
      <c r="C1956" s="9"/>
      <c r="D1956" s="42"/>
      <c r="E1956" s="103"/>
      <c r="F1956" s="42"/>
      <c r="G1956" s="9"/>
      <c r="H1956" s="9"/>
      <c r="I1956" s="9"/>
      <c r="J1956" s="9"/>
      <c r="K1956" s="42"/>
      <c r="L1956" s="42"/>
      <c r="M1956" s="42"/>
      <c r="N1956" s="42"/>
      <c r="O1956" s="42"/>
      <c r="P1956" s="9"/>
      <c r="Q1956" s="9"/>
      <c r="R1956" s="42"/>
      <c r="S1956" s="42"/>
      <c r="T1956" s="42"/>
      <c r="U1956" s="42"/>
      <c r="V1956" s="42"/>
      <c r="W1956" s="42"/>
    </row>
    <row r="1957">
      <c r="A1957" s="9"/>
      <c r="B1957" s="9"/>
      <c r="C1957" s="9"/>
      <c r="D1957" s="42"/>
      <c r="E1957" s="103"/>
      <c r="F1957" s="42"/>
      <c r="G1957" s="9"/>
      <c r="H1957" s="9"/>
      <c r="I1957" s="9"/>
      <c r="J1957" s="9"/>
      <c r="K1957" s="42"/>
      <c r="L1957" s="42"/>
      <c r="M1957" s="42"/>
      <c r="N1957" s="42"/>
      <c r="O1957" s="42"/>
      <c r="P1957" s="9"/>
      <c r="Q1957" s="9"/>
      <c r="R1957" s="42"/>
      <c r="S1957" s="42"/>
      <c r="T1957" s="42"/>
      <c r="U1957" s="42"/>
      <c r="V1957" s="42"/>
      <c r="W1957" s="42"/>
    </row>
    <row r="1958">
      <c r="A1958" s="9"/>
      <c r="B1958" s="9"/>
      <c r="C1958" s="9"/>
      <c r="D1958" s="42"/>
      <c r="E1958" s="103"/>
      <c r="F1958" s="42"/>
      <c r="G1958" s="9"/>
      <c r="H1958" s="9"/>
      <c r="I1958" s="9"/>
      <c r="J1958" s="9"/>
      <c r="K1958" s="42"/>
      <c r="L1958" s="42"/>
      <c r="M1958" s="42"/>
      <c r="N1958" s="42"/>
      <c r="O1958" s="42"/>
      <c r="P1958" s="9"/>
      <c r="Q1958" s="9"/>
      <c r="R1958" s="42"/>
      <c r="S1958" s="42"/>
      <c r="T1958" s="42"/>
      <c r="U1958" s="42"/>
      <c r="V1958" s="42"/>
      <c r="W1958" s="42"/>
    </row>
    <row r="1959">
      <c r="A1959" s="9"/>
      <c r="B1959" s="9"/>
      <c r="C1959" s="9"/>
      <c r="D1959" s="42"/>
      <c r="E1959" s="103"/>
      <c r="F1959" s="42"/>
      <c r="G1959" s="9"/>
      <c r="H1959" s="9"/>
      <c r="I1959" s="9"/>
      <c r="J1959" s="9"/>
      <c r="K1959" s="42"/>
      <c r="L1959" s="42"/>
      <c r="M1959" s="42"/>
      <c r="N1959" s="42"/>
      <c r="O1959" s="42"/>
      <c r="P1959" s="9"/>
      <c r="Q1959" s="9"/>
      <c r="R1959" s="42"/>
      <c r="S1959" s="42"/>
      <c r="T1959" s="42"/>
      <c r="U1959" s="42"/>
      <c r="V1959" s="42"/>
      <c r="W1959" s="42"/>
    </row>
    <row r="1960">
      <c r="A1960" s="9"/>
      <c r="B1960" s="9"/>
      <c r="C1960" s="9"/>
      <c r="D1960" s="42"/>
      <c r="E1960" s="103"/>
      <c r="F1960" s="42"/>
      <c r="G1960" s="9"/>
      <c r="H1960" s="9"/>
      <c r="I1960" s="9"/>
      <c r="J1960" s="9"/>
      <c r="K1960" s="42"/>
      <c r="L1960" s="42"/>
      <c r="M1960" s="42"/>
      <c r="N1960" s="42"/>
      <c r="O1960" s="42"/>
      <c r="P1960" s="9"/>
      <c r="Q1960" s="9"/>
      <c r="R1960" s="42"/>
      <c r="S1960" s="42"/>
      <c r="T1960" s="42"/>
      <c r="U1960" s="42"/>
      <c r="V1960" s="42"/>
      <c r="W1960" s="42"/>
    </row>
    <row r="1961">
      <c r="A1961" s="9"/>
      <c r="B1961" s="9"/>
      <c r="C1961" s="9"/>
      <c r="D1961" s="42"/>
      <c r="E1961" s="103"/>
      <c r="F1961" s="42"/>
      <c r="G1961" s="9"/>
      <c r="H1961" s="9"/>
      <c r="I1961" s="9"/>
      <c r="J1961" s="9"/>
      <c r="K1961" s="42"/>
      <c r="L1961" s="42"/>
      <c r="M1961" s="42"/>
      <c r="N1961" s="42"/>
      <c r="O1961" s="42"/>
      <c r="P1961" s="9"/>
      <c r="Q1961" s="9"/>
      <c r="R1961" s="42"/>
      <c r="S1961" s="42"/>
      <c r="T1961" s="42"/>
      <c r="U1961" s="42"/>
      <c r="V1961" s="42"/>
      <c r="W1961" s="42"/>
    </row>
    <row r="1962">
      <c r="A1962" s="9"/>
      <c r="B1962" s="9"/>
      <c r="C1962" s="9"/>
      <c r="D1962" s="42"/>
      <c r="E1962" s="103"/>
      <c r="F1962" s="42"/>
      <c r="G1962" s="9"/>
      <c r="H1962" s="9"/>
      <c r="I1962" s="9"/>
      <c r="J1962" s="9"/>
      <c r="K1962" s="42"/>
      <c r="L1962" s="42"/>
      <c r="M1962" s="42"/>
      <c r="N1962" s="42"/>
      <c r="O1962" s="42"/>
      <c r="P1962" s="9"/>
      <c r="Q1962" s="9"/>
      <c r="R1962" s="42"/>
      <c r="S1962" s="42"/>
      <c r="T1962" s="42"/>
      <c r="U1962" s="42"/>
      <c r="V1962" s="42"/>
      <c r="W1962" s="42"/>
    </row>
    <row r="1963">
      <c r="A1963" s="9"/>
      <c r="B1963" s="9"/>
      <c r="C1963" s="9"/>
      <c r="D1963" s="42"/>
      <c r="E1963" s="103"/>
      <c r="F1963" s="42"/>
      <c r="G1963" s="9"/>
      <c r="H1963" s="9"/>
      <c r="I1963" s="9"/>
      <c r="J1963" s="9"/>
      <c r="K1963" s="42"/>
      <c r="L1963" s="42"/>
      <c r="M1963" s="42"/>
      <c r="N1963" s="42"/>
      <c r="O1963" s="42"/>
      <c r="P1963" s="9"/>
      <c r="Q1963" s="9"/>
      <c r="R1963" s="42"/>
      <c r="S1963" s="42"/>
      <c r="T1963" s="42"/>
      <c r="U1963" s="42"/>
      <c r="V1963" s="42"/>
      <c r="W1963" s="42"/>
    </row>
    <row r="1964">
      <c r="A1964" s="9"/>
      <c r="B1964" s="9"/>
      <c r="C1964" s="9"/>
      <c r="D1964" s="42"/>
      <c r="E1964" s="103"/>
      <c r="F1964" s="42"/>
      <c r="G1964" s="9"/>
      <c r="H1964" s="9"/>
      <c r="I1964" s="9"/>
      <c r="J1964" s="9"/>
      <c r="K1964" s="42"/>
      <c r="L1964" s="42"/>
      <c r="M1964" s="42"/>
      <c r="N1964" s="42"/>
      <c r="O1964" s="42"/>
      <c r="P1964" s="9"/>
      <c r="Q1964" s="9"/>
      <c r="R1964" s="42"/>
      <c r="S1964" s="42"/>
      <c r="T1964" s="42"/>
      <c r="U1964" s="42"/>
      <c r="V1964" s="42"/>
      <c r="W1964" s="42"/>
    </row>
    <row r="1965">
      <c r="A1965" s="9"/>
      <c r="B1965" s="9"/>
      <c r="C1965" s="9"/>
      <c r="D1965" s="42"/>
      <c r="E1965" s="103"/>
      <c r="F1965" s="42"/>
      <c r="G1965" s="9"/>
      <c r="H1965" s="9"/>
      <c r="I1965" s="9"/>
      <c r="J1965" s="9"/>
      <c r="K1965" s="42"/>
      <c r="L1965" s="42"/>
      <c r="M1965" s="42"/>
      <c r="N1965" s="42"/>
      <c r="O1965" s="42"/>
      <c r="P1965" s="9"/>
      <c r="Q1965" s="9"/>
      <c r="R1965" s="42"/>
      <c r="S1965" s="42"/>
      <c r="T1965" s="42"/>
      <c r="U1965" s="42"/>
      <c r="V1965" s="42"/>
      <c r="W1965" s="42"/>
    </row>
    <row r="1966">
      <c r="A1966" s="9"/>
      <c r="B1966" s="9"/>
      <c r="C1966" s="9"/>
      <c r="D1966" s="42"/>
      <c r="E1966" s="103"/>
      <c r="F1966" s="42"/>
      <c r="G1966" s="9"/>
      <c r="H1966" s="9"/>
      <c r="I1966" s="9"/>
      <c r="J1966" s="9"/>
      <c r="K1966" s="42"/>
      <c r="L1966" s="42"/>
      <c r="M1966" s="42"/>
      <c r="N1966" s="42"/>
      <c r="O1966" s="42"/>
      <c r="P1966" s="9"/>
      <c r="Q1966" s="9"/>
      <c r="R1966" s="42"/>
      <c r="S1966" s="42"/>
      <c r="T1966" s="42"/>
      <c r="U1966" s="42"/>
      <c r="V1966" s="42"/>
      <c r="W1966" s="42"/>
    </row>
    <row r="1967">
      <c r="A1967" s="9"/>
      <c r="B1967" s="9"/>
      <c r="C1967" s="9"/>
      <c r="D1967" s="42"/>
      <c r="E1967" s="103"/>
      <c r="F1967" s="42"/>
      <c r="G1967" s="9"/>
      <c r="H1967" s="9"/>
      <c r="I1967" s="9"/>
      <c r="J1967" s="9"/>
      <c r="K1967" s="42"/>
      <c r="L1967" s="42"/>
      <c r="M1967" s="42"/>
      <c r="N1967" s="42"/>
      <c r="O1967" s="42"/>
      <c r="P1967" s="9"/>
      <c r="Q1967" s="9"/>
      <c r="R1967" s="42"/>
      <c r="S1967" s="42"/>
      <c r="T1967" s="42"/>
      <c r="U1967" s="42"/>
      <c r="V1967" s="42"/>
      <c r="W1967" s="42"/>
    </row>
    <row r="1968">
      <c r="A1968" s="9"/>
      <c r="B1968" s="9"/>
      <c r="C1968" s="9"/>
      <c r="D1968" s="42"/>
      <c r="E1968" s="103"/>
      <c r="F1968" s="42"/>
      <c r="G1968" s="9"/>
      <c r="H1968" s="9"/>
      <c r="I1968" s="9"/>
      <c r="J1968" s="9"/>
      <c r="K1968" s="42"/>
      <c r="L1968" s="42"/>
      <c r="M1968" s="42"/>
      <c r="N1968" s="42"/>
      <c r="O1968" s="42"/>
      <c r="P1968" s="9"/>
      <c r="Q1968" s="9"/>
      <c r="R1968" s="42"/>
      <c r="S1968" s="42"/>
      <c r="T1968" s="42"/>
      <c r="U1968" s="42"/>
      <c r="V1968" s="42"/>
      <c r="W1968" s="42"/>
    </row>
    <row r="1969">
      <c r="A1969" s="9"/>
      <c r="B1969" s="9"/>
      <c r="C1969" s="9"/>
      <c r="D1969" s="42"/>
      <c r="E1969" s="103"/>
      <c r="F1969" s="42"/>
      <c r="G1969" s="9"/>
      <c r="H1969" s="9"/>
      <c r="I1969" s="9"/>
      <c r="J1969" s="9"/>
      <c r="K1969" s="42"/>
      <c r="L1969" s="42"/>
      <c r="M1969" s="42"/>
      <c r="N1969" s="42"/>
      <c r="O1969" s="42"/>
      <c r="P1969" s="9"/>
      <c r="Q1969" s="9"/>
      <c r="R1969" s="42"/>
      <c r="S1969" s="42"/>
      <c r="T1969" s="42"/>
      <c r="U1969" s="42"/>
      <c r="V1969" s="42"/>
      <c r="W1969" s="42"/>
    </row>
    <row r="1970">
      <c r="A1970" s="9"/>
      <c r="B1970" s="9"/>
      <c r="C1970" s="9"/>
      <c r="D1970" s="42"/>
      <c r="E1970" s="103"/>
      <c r="F1970" s="42"/>
      <c r="G1970" s="9"/>
      <c r="H1970" s="9"/>
      <c r="I1970" s="9"/>
      <c r="J1970" s="9"/>
      <c r="K1970" s="42"/>
      <c r="L1970" s="42"/>
      <c r="M1970" s="42"/>
      <c r="N1970" s="42"/>
      <c r="O1970" s="42"/>
      <c r="P1970" s="9"/>
      <c r="Q1970" s="9"/>
      <c r="R1970" s="42"/>
      <c r="S1970" s="42"/>
      <c r="T1970" s="42"/>
      <c r="U1970" s="42"/>
      <c r="V1970" s="42"/>
      <c r="W1970" s="42"/>
    </row>
    <row r="1971">
      <c r="A1971" s="9"/>
      <c r="B1971" s="9"/>
      <c r="C1971" s="9"/>
      <c r="D1971" s="42"/>
      <c r="E1971" s="103"/>
      <c r="F1971" s="42"/>
      <c r="G1971" s="9"/>
      <c r="H1971" s="9"/>
      <c r="I1971" s="9"/>
      <c r="J1971" s="9"/>
      <c r="K1971" s="42"/>
      <c r="L1971" s="42"/>
      <c r="M1971" s="42"/>
      <c r="N1971" s="42"/>
      <c r="O1971" s="42"/>
      <c r="P1971" s="9"/>
      <c r="Q1971" s="9"/>
      <c r="R1971" s="42"/>
      <c r="S1971" s="42"/>
      <c r="T1971" s="42"/>
      <c r="U1971" s="42"/>
      <c r="V1971" s="42"/>
      <c r="W1971" s="42"/>
    </row>
    <row r="1972">
      <c r="A1972" s="9"/>
      <c r="B1972" s="9"/>
      <c r="C1972" s="9"/>
      <c r="D1972" s="42"/>
      <c r="E1972" s="103"/>
      <c r="F1972" s="42"/>
      <c r="G1972" s="9"/>
      <c r="H1972" s="9"/>
      <c r="I1972" s="9"/>
      <c r="J1972" s="9"/>
      <c r="K1972" s="42"/>
      <c r="L1972" s="42"/>
      <c r="M1972" s="42"/>
      <c r="N1972" s="42"/>
      <c r="O1972" s="42"/>
      <c r="P1972" s="9"/>
      <c r="Q1972" s="9"/>
      <c r="R1972" s="42"/>
      <c r="S1972" s="42"/>
      <c r="T1972" s="42"/>
      <c r="U1972" s="42"/>
      <c r="V1972" s="42"/>
      <c r="W1972" s="42"/>
    </row>
    <row r="1973">
      <c r="A1973" s="9"/>
      <c r="B1973" s="9"/>
      <c r="C1973" s="9"/>
      <c r="D1973" s="42"/>
      <c r="E1973" s="103"/>
      <c r="F1973" s="42"/>
      <c r="G1973" s="9"/>
      <c r="H1973" s="9"/>
      <c r="I1973" s="9"/>
      <c r="J1973" s="9"/>
      <c r="K1973" s="42"/>
      <c r="L1973" s="42"/>
      <c r="M1973" s="42"/>
      <c r="N1973" s="42"/>
      <c r="O1973" s="42"/>
      <c r="P1973" s="9"/>
      <c r="Q1973" s="9"/>
      <c r="R1973" s="42"/>
      <c r="S1973" s="42"/>
      <c r="T1973" s="42"/>
      <c r="U1973" s="42"/>
      <c r="V1973" s="42"/>
      <c r="W1973" s="42"/>
    </row>
    <row r="1974">
      <c r="A1974" s="9"/>
      <c r="B1974" s="9"/>
      <c r="C1974" s="9"/>
      <c r="D1974" s="42"/>
      <c r="E1974" s="103"/>
      <c r="F1974" s="42"/>
      <c r="G1974" s="9"/>
      <c r="H1974" s="9"/>
      <c r="I1974" s="9"/>
      <c r="J1974" s="9"/>
      <c r="K1974" s="42"/>
      <c r="L1974" s="42"/>
      <c r="M1974" s="42"/>
      <c r="N1974" s="42"/>
      <c r="O1974" s="42"/>
      <c r="P1974" s="9"/>
      <c r="Q1974" s="9"/>
      <c r="R1974" s="42"/>
      <c r="S1974" s="42"/>
      <c r="T1974" s="42"/>
      <c r="U1974" s="42"/>
      <c r="V1974" s="42"/>
      <c r="W1974" s="42"/>
    </row>
    <row r="1975">
      <c r="A1975" s="9"/>
      <c r="B1975" s="9"/>
      <c r="C1975" s="9"/>
      <c r="D1975" s="42"/>
      <c r="E1975" s="103"/>
      <c r="F1975" s="42"/>
      <c r="G1975" s="9"/>
      <c r="H1975" s="9"/>
      <c r="I1975" s="9"/>
      <c r="J1975" s="9"/>
      <c r="K1975" s="42"/>
      <c r="L1975" s="42"/>
      <c r="M1975" s="42"/>
      <c r="N1975" s="42"/>
      <c r="O1975" s="42"/>
      <c r="P1975" s="9"/>
      <c r="Q1975" s="9"/>
      <c r="R1975" s="42"/>
      <c r="S1975" s="42"/>
      <c r="T1975" s="42"/>
      <c r="U1975" s="42"/>
      <c r="V1975" s="42"/>
      <c r="W1975" s="42"/>
    </row>
    <row r="1976">
      <c r="A1976" s="9"/>
      <c r="B1976" s="9"/>
      <c r="C1976" s="9"/>
      <c r="D1976" s="42"/>
      <c r="E1976" s="103"/>
      <c r="F1976" s="42"/>
      <c r="G1976" s="9"/>
      <c r="H1976" s="9"/>
      <c r="I1976" s="9"/>
      <c r="J1976" s="9"/>
      <c r="K1976" s="42"/>
      <c r="L1976" s="42"/>
      <c r="M1976" s="42"/>
      <c r="N1976" s="42"/>
      <c r="O1976" s="42"/>
      <c r="P1976" s="9"/>
      <c r="Q1976" s="9"/>
      <c r="R1976" s="42"/>
      <c r="S1976" s="42"/>
      <c r="T1976" s="42"/>
      <c r="U1976" s="42"/>
      <c r="V1976" s="42"/>
      <c r="W1976" s="42"/>
    </row>
    <row r="1977">
      <c r="A1977" s="9"/>
      <c r="B1977" s="9"/>
      <c r="C1977" s="9"/>
      <c r="D1977" s="42"/>
      <c r="E1977" s="103"/>
      <c r="F1977" s="42"/>
      <c r="G1977" s="9"/>
      <c r="H1977" s="9"/>
      <c r="I1977" s="9"/>
      <c r="J1977" s="9"/>
      <c r="K1977" s="42"/>
      <c r="L1977" s="42"/>
      <c r="M1977" s="42"/>
      <c r="N1977" s="42"/>
      <c r="O1977" s="42"/>
      <c r="P1977" s="9"/>
      <c r="Q1977" s="9"/>
      <c r="R1977" s="42"/>
      <c r="S1977" s="42"/>
      <c r="T1977" s="42"/>
      <c r="U1977" s="42"/>
      <c r="V1977" s="42"/>
      <c r="W1977" s="42"/>
    </row>
    <row r="1978">
      <c r="A1978" s="9"/>
      <c r="B1978" s="9"/>
      <c r="C1978" s="9"/>
      <c r="D1978" s="42"/>
      <c r="E1978" s="103"/>
      <c r="F1978" s="42"/>
      <c r="G1978" s="9"/>
      <c r="H1978" s="9"/>
      <c r="I1978" s="9"/>
      <c r="J1978" s="9"/>
      <c r="K1978" s="42"/>
      <c r="L1978" s="42"/>
      <c r="M1978" s="42"/>
      <c r="N1978" s="42"/>
      <c r="O1978" s="42"/>
      <c r="P1978" s="9"/>
      <c r="Q1978" s="9"/>
      <c r="R1978" s="42"/>
      <c r="S1978" s="42"/>
      <c r="T1978" s="42"/>
      <c r="U1978" s="42"/>
      <c r="V1978" s="42"/>
      <c r="W1978" s="42"/>
    </row>
    <row r="1979">
      <c r="A1979" s="9"/>
      <c r="B1979" s="9"/>
      <c r="C1979" s="9"/>
      <c r="D1979" s="42"/>
      <c r="E1979" s="103"/>
      <c r="F1979" s="42"/>
      <c r="G1979" s="9"/>
      <c r="H1979" s="9"/>
      <c r="I1979" s="9"/>
      <c r="J1979" s="9"/>
      <c r="K1979" s="42"/>
      <c r="L1979" s="42"/>
      <c r="M1979" s="42"/>
      <c r="N1979" s="42"/>
      <c r="O1979" s="42"/>
      <c r="P1979" s="9"/>
      <c r="Q1979" s="9"/>
      <c r="R1979" s="42"/>
      <c r="S1979" s="42"/>
      <c r="T1979" s="42"/>
      <c r="U1979" s="42"/>
      <c r="V1979" s="42"/>
      <c r="W1979" s="42"/>
    </row>
    <row r="1980">
      <c r="A1980" s="9"/>
      <c r="B1980" s="9"/>
      <c r="C1980" s="9"/>
      <c r="D1980" s="42"/>
      <c r="E1980" s="103"/>
      <c r="F1980" s="42"/>
      <c r="G1980" s="9"/>
      <c r="H1980" s="9"/>
      <c r="I1980" s="9"/>
      <c r="J1980" s="9"/>
      <c r="K1980" s="42"/>
      <c r="L1980" s="42"/>
      <c r="M1980" s="42"/>
      <c r="N1980" s="42"/>
      <c r="O1980" s="42"/>
      <c r="P1980" s="9"/>
      <c r="Q1980" s="9"/>
      <c r="R1980" s="42"/>
      <c r="S1980" s="42"/>
      <c r="T1980" s="42"/>
      <c r="U1980" s="42"/>
      <c r="V1980" s="42"/>
      <c r="W1980" s="42"/>
    </row>
    <row r="1981">
      <c r="A1981" s="9"/>
      <c r="B1981" s="9"/>
      <c r="C1981" s="9"/>
      <c r="D1981" s="42"/>
      <c r="E1981" s="103"/>
      <c r="F1981" s="42"/>
      <c r="G1981" s="9"/>
      <c r="H1981" s="9"/>
      <c r="I1981" s="9"/>
      <c r="J1981" s="9"/>
      <c r="K1981" s="42"/>
      <c r="L1981" s="42"/>
      <c r="M1981" s="42"/>
      <c r="N1981" s="42"/>
      <c r="O1981" s="42"/>
      <c r="P1981" s="9"/>
      <c r="Q1981" s="9"/>
      <c r="R1981" s="42"/>
      <c r="S1981" s="42"/>
      <c r="T1981" s="42"/>
      <c r="U1981" s="42"/>
      <c r="V1981" s="42"/>
      <c r="W1981" s="42"/>
    </row>
    <row r="1982">
      <c r="A1982" s="9"/>
      <c r="B1982" s="9"/>
      <c r="C1982" s="9"/>
      <c r="D1982" s="42"/>
      <c r="E1982" s="103"/>
      <c r="F1982" s="42"/>
      <c r="G1982" s="9"/>
      <c r="H1982" s="9"/>
      <c r="I1982" s="9"/>
      <c r="J1982" s="9"/>
      <c r="K1982" s="42"/>
      <c r="L1982" s="42"/>
      <c r="M1982" s="42"/>
      <c r="N1982" s="42"/>
      <c r="O1982" s="42"/>
      <c r="P1982" s="9"/>
      <c r="Q1982" s="9"/>
      <c r="R1982" s="42"/>
      <c r="S1982" s="42"/>
      <c r="T1982" s="42"/>
      <c r="U1982" s="42"/>
      <c r="V1982" s="42"/>
      <c r="W1982" s="42"/>
    </row>
    <row r="1983">
      <c r="A1983" s="9"/>
      <c r="B1983" s="9"/>
      <c r="C1983" s="9"/>
      <c r="D1983" s="42"/>
      <c r="E1983" s="103"/>
      <c r="F1983" s="42"/>
      <c r="G1983" s="9"/>
      <c r="H1983" s="9"/>
      <c r="I1983" s="9"/>
      <c r="J1983" s="9"/>
      <c r="K1983" s="42"/>
      <c r="L1983" s="42"/>
      <c r="M1983" s="42"/>
      <c r="N1983" s="42"/>
      <c r="O1983" s="42"/>
      <c r="P1983" s="9"/>
      <c r="Q1983" s="9"/>
      <c r="R1983" s="42"/>
      <c r="S1983" s="42"/>
      <c r="T1983" s="42"/>
      <c r="U1983" s="42"/>
      <c r="V1983" s="42"/>
      <c r="W1983" s="42"/>
    </row>
    <row r="1984">
      <c r="A1984" s="9"/>
      <c r="B1984" s="9"/>
      <c r="C1984" s="9"/>
      <c r="D1984" s="42"/>
      <c r="E1984" s="103"/>
      <c r="F1984" s="42"/>
      <c r="G1984" s="9"/>
      <c r="H1984" s="9"/>
      <c r="I1984" s="9"/>
      <c r="J1984" s="9"/>
      <c r="K1984" s="42"/>
      <c r="L1984" s="42"/>
      <c r="M1984" s="42"/>
      <c r="N1984" s="42"/>
      <c r="O1984" s="42"/>
      <c r="P1984" s="9"/>
      <c r="Q1984" s="9"/>
      <c r="R1984" s="42"/>
      <c r="S1984" s="42"/>
      <c r="T1984" s="42"/>
      <c r="U1984" s="42"/>
      <c r="V1984" s="42"/>
      <c r="W1984" s="42"/>
    </row>
    <row r="1985">
      <c r="A1985" s="9"/>
      <c r="B1985" s="9"/>
      <c r="C1985" s="9"/>
      <c r="D1985" s="42"/>
      <c r="E1985" s="103"/>
      <c r="F1985" s="42"/>
      <c r="G1985" s="9"/>
      <c r="H1985" s="9"/>
      <c r="I1985" s="9"/>
      <c r="J1985" s="9"/>
      <c r="K1985" s="42"/>
      <c r="L1985" s="42"/>
      <c r="M1985" s="42"/>
      <c r="N1985" s="42"/>
      <c r="O1985" s="42"/>
      <c r="P1985" s="9"/>
      <c r="Q1985" s="9"/>
      <c r="R1985" s="42"/>
      <c r="S1985" s="42"/>
      <c r="T1985" s="42"/>
      <c r="U1985" s="42"/>
      <c r="V1985" s="42"/>
      <c r="W1985" s="42"/>
    </row>
    <row r="1986">
      <c r="A1986" s="9"/>
      <c r="B1986" s="9"/>
      <c r="C1986" s="9"/>
      <c r="D1986" s="42"/>
      <c r="E1986" s="103"/>
      <c r="F1986" s="42"/>
      <c r="G1986" s="9"/>
      <c r="H1986" s="9"/>
      <c r="I1986" s="9"/>
      <c r="J1986" s="9"/>
      <c r="K1986" s="42"/>
      <c r="L1986" s="42"/>
      <c r="M1986" s="42"/>
      <c r="N1986" s="42"/>
      <c r="O1986" s="42"/>
      <c r="P1986" s="9"/>
      <c r="Q1986" s="9"/>
      <c r="R1986" s="42"/>
      <c r="S1986" s="42"/>
      <c r="T1986" s="42"/>
      <c r="U1986" s="42"/>
      <c r="V1986" s="42"/>
      <c r="W1986" s="42"/>
    </row>
    <row r="1987">
      <c r="A1987" s="9"/>
      <c r="B1987" s="9"/>
      <c r="C1987" s="9"/>
      <c r="D1987" s="42"/>
      <c r="E1987" s="103"/>
      <c r="F1987" s="42"/>
      <c r="G1987" s="9"/>
      <c r="H1987" s="9"/>
      <c r="I1987" s="9"/>
      <c r="J1987" s="9"/>
      <c r="K1987" s="42"/>
      <c r="L1987" s="42"/>
      <c r="M1987" s="42"/>
      <c r="N1987" s="42"/>
      <c r="O1987" s="42"/>
      <c r="P1987" s="9"/>
      <c r="Q1987" s="9"/>
      <c r="R1987" s="42"/>
      <c r="S1987" s="42"/>
      <c r="T1987" s="42"/>
      <c r="U1987" s="42"/>
      <c r="V1987" s="42"/>
      <c r="W1987" s="42"/>
    </row>
    <row r="1988">
      <c r="A1988" s="9"/>
      <c r="B1988" s="9"/>
      <c r="C1988" s="9"/>
      <c r="D1988" s="42"/>
      <c r="E1988" s="103"/>
      <c r="F1988" s="42"/>
      <c r="G1988" s="9"/>
      <c r="H1988" s="9"/>
      <c r="I1988" s="9"/>
      <c r="J1988" s="9"/>
      <c r="K1988" s="42"/>
      <c r="L1988" s="42"/>
      <c r="M1988" s="42"/>
      <c r="N1988" s="42"/>
      <c r="O1988" s="42"/>
      <c r="P1988" s="9"/>
      <c r="Q1988" s="9"/>
      <c r="R1988" s="42"/>
      <c r="S1988" s="42"/>
      <c r="T1988" s="42"/>
      <c r="U1988" s="42"/>
      <c r="V1988" s="42"/>
      <c r="W1988" s="42"/>
    </row>
    <row r="1989">
      <c r="A1989" s="9"/>
      <c r="B1989" s="9"/>
      <c r="C1989" s="9"/>
      <c r="D1989" s="42"/>
      <c r="E1989" s="103"/>
      <c r="F1989" s="42"/>
      <c r="G1989" s="9"/>
      <c r="H1989" s="9"/>
      <c r="I1989" s="9"/>
      <c r="J1989" s="9"/>
      <c r="K1989" s="42"/>
      <c r="L1989" s="42"/>
      <c r="M1989" s="42"/>
      <c r="N1989" s="42"/>
      <c r="O1989" s="42"/>
      <c r="P1989" s="9"/>
      <c r="Q1989" s="9"/>
      <c r="R1989" s="42"/>
      <c r="S1989" s="42"/>
      <c r="T1989" s="42"/>
      <c r="U1989" s="42"/>
      <c r="V1989" s="42"/>
      <c r="W1989" s="42"/>
    </row>
    <row r="1990">
      <c r="A1990" s="9"/>
      <c r="B1990" s="9"/>
      <c r="C1990" s="9"/>
      <c r="D1990" s="42"/>
      <c r="E1990" s="103"/>
      <c r="F1990" s="42"/>
      <c r="G1990" s="9"/>
      <c r="H1990" s="9"/>
      <c r="I1990" s="9"/>
      <c r="J1990" s="9"/>
      <c r="K1990" s="42"/>
      <c r="L1990" s="42"/>
      <c r="M1990" s="42"/>
      <c r="N1990" s="42"/>
      <c r="O1990" s="42"/>
      <c r="P1990" s="9"/>
      <c r="Q1990" s="9"/>
      <c r="R1990" s="42"/>
      <c r="S1990" s="42"/>
      <c r="T1990" s="42"/>
      <c r="U1990" s="42"/>
      <c r="V1990" s="42"/>
      <c r="W1990" s="42"/>
    </row>
    <row r="1991">
      <c r="A1991" s="9"/>
      <c r="B1991" s="9"/>
      <c r="C1991" s="9"/>
      <c r="D1991" s="42"/>
      <c r="E1991" s="103"/>
      <c r="F1991" s="42"/>
      <c r="G1991" s="9"/>
      <c r="H1991" s="9"/>
      <c r="I1991" s="9"/>
      <c r="J1991" s="9"/>
      <c r="K1991" s="42"/>
      <c r="L1991" s="42"/>
      <c r="M1991" s="42"/>
      <c r="N1991" s="42"/>
      <c r="O1991" s="42"/>
      <c r="P1991" s="9"/>
      <c r="Q1991" s="9"/>
      <c r="R1991" s="42"/>
      <c r="S1991" s="42"/>
      <c r="T1991" s="42"/>
      <c r="U1991" s="42"/>
      <c r="V1991" s="42"/>
      <c r="W1991" s="42"/>
    </row>
    <row r="1992">
      <c r="A1992" s="9"/>
      <c r="B1992" s="9"/>
      <c r="C1992" s="9"/>
      <c r="D1992" s="42"/>
      <c r="E1992" s="103"/>
      <c r="F1992" s="42"/>
      <c r="G1992" s="9"/>
      <c r="H1992" s="9"/>
      <c r="I1992" s="9"/>
      <c r="J1992" s="9"/>
      <c r="K1992" s="42"/>
      <c r="L1992" s="42"/>
      <c r="M1992" s="42"/>
      <c r="N1992" s="42"/>
      <c r="O1992" s="42"/>
      <c r="P1992" s="9"/>
      <c r="Q1992" s="9"/>
      <c r="R1992" s="42"/>
      <c r="S1992" s="42"/>
      <c r="T1992" s="42"/>
      <c r="U1992" s="42"/>
      <c r="V1992" s="42"/>
      <c r="W1992" s="42"/>
    </row>
    <row r="1993">
      <c r="A1993" s="9"/>
      <c r="B1993" s="9"/>
      <c r="C1993" s="9"/>
      <c r="D1993" s="42"/>
      <c r="E1993" s="103"/>
      <c r="F1993" s="42"/>
      <c r="G1993" s="9"/>
      <c r="H1993" s="9"/>
      <c r="I1993" s="9"/>
      <c r="J1993" s="9"/>
      <c r="K1993" s="42"/>
      <c r="L1993" s="42"/>
      <c r="M1993" s="42"/>
      <c r="N1993" s="42"/>
      <c r="O1993" s="42"/>
      <c r="P1993" s="9"/>
      <c r="Q1993" s="9"/>
      <c r="R1993" s="42"/>
      <c r="S1993" s="42"/>
      <c r="T1993" s="42"/>
      <c r="U1993" s="42"/>
      <c r="V1993" s="42"/>
      <c r="W1993" s="42"/>
    </row>
    <row r="1994">
      <c r="A1994" s="9"/>
      <c r="B1994" s="9"/>
      <c r="C1994" s="9"/>
      <c r="D1994" s="42"/>
      <c r="E1994" s="103"/>
      <c r="F1994" s="42"/>
      <c r="G1994" s="9"/>
      <c r="H1994" s="9"/>
      <c r="I1994" s="9"/>
      <c r="J1994" s="9"/>
      <c r="K1994" s="42"/>
      <c r="L1994" s="42"/>
      <c r="M1994" s="42"/>
      <c r="N1994" s="42"/>
      <c r="O1994" s="42"/>
      <c r="P1994" s="9"/>
      <c r="Q1994" s="9"/>
      <c r="R1994" s="42"/>
      <c r="S1994" s="42"/>
      <c r="T1994" s="42"/>
      <c r="U1994" s="42"/>
      <c r="V1994" s="42"/>
      <c r="W1994" s="42"/>
    </row>
    <row r="1995">
      <c r="A1995" s="9"/>
      <c r="B1995" s="9"/>
      <c r="C1995" s="9"/>
      <c r="D1995" s="42"/>
      <c r="E1995" s="103"/>
      <c r="F1995" s="42"/>
      <c r="G1995" s="9"/>
      <c r="H1995" s="9"/>
      <c r="I1995" s="9"/>
      <c r="J1995" s="9"/>
      <c r="K1995" s="42"/>
      <c r="L1995" s="42"/>
      <c r="M1995" s="42"/>
      <c r="N1995" s="42"/>
      <c r="O1995" s="42"/>
      <c r="P1995" s="9"/>
      <c r="Q1995" s="9"/>
      <c r="R1995" s="42"/>
      <c r="S1995" s="42"/>
      <c r="T1995" s="42"/>
      <c r="U1995" s="42"/>
      <c r="V1995" s="42"/>
      <c r="W1995" s="42"/>
    </row>
    <row r="1996">
      <c r="A1996" s="9"/>
      <c r="B1996" s="9"/>
      <c r="C1996" s="9"/>
      <c r="D1996" s="42"/>
      <c r="E1996" s="103"/>
      <c r="F1996" s="42"/>
      <c r="G1996" s="9"/>
      <c r="H1996" s="9"/>
      <c r="I1996" s="9"/>
      <c r="J1996" s="9"/>
      <c r="K1996" s="42"/>
      <c r="L1996" s="42"/>
      <c r="M1996" s="42"/>
      <c r="N1996" s="42"/>
      <c r="O1996" s="42"/>
      <c r="P1996" s="9"/>
      <c r="Q1996" s="9"/>
      <c r="R1996" s="42"/>
      <c r="S1996" s="42"/>
      <c r="T1996" s="42"/>
      <c r="U1996" s="42"/>
      <c r="V1996" s="42"/>
      <c r="W1996" s="42"/>
    </row>
    <row r="1997">
      <c r="A1997" s="9"/>
      <c r="B1997" s="9"/>
      <c r="C1997" s="9"/>
      <c r="D1997" s="42"/>
      <c r="E1997" s="103"/>
      <c r="F1997" s="42"/>
      <c r="G1997" s="9"/>
      <c r="H1997" s="9"/>
      <c r="I1997" s="9"/>
      <c r="J1997" s="9"/>
      <c r="K1997" s="42"/>
      <c r="L1997" s="42"/>
      <c r="M1997" s="42"/>
      <c r="N1997" s="42"/>
      <c r="O1997" s="42"/>
      <c r="P1997" s="9"/>
      <c r="Q1997" s="9"/>
      <c r="R1997" s="42"/>
      <c r="S1997" s="42"/>
      <c r="T1997" s="42"/>
      <c r="U1997" s="42"/>
      <c r="V1997" s="42"/>
      <c r="W1997" s="42"/>
    </row>
    <row r="1998">
      <c r="A1998" s="9"/>
      <c r="B1998" s="9"/>
      <c r="C1998" s="9"/>
      <c r="D1998" s="42"/>
      <c r="E1998" s="103"/>
      <c r="F1998" s="42"/>
      <c r="G1998" s="9"/>
      <c r="H1998" s="9"/>
      <c r="I1998" s="9"/>
      <c r="J1998" s="9"/>
      <c r="K1998" s="42"/>
      <c r="L1998" s="42"/>
      <c r="M1998" s="42"/>
      <c r="N1998" s="42"/>
      <c r="O1998" s="42"/>
      <c r="P1998" s="9"/>
      <c r="Q1998" s="9"/>
      <c r="R1998" s="42"/>
      <c r="S1998" s="42"/>
      <c r="T1998" s="42"/>
      <c r="U1998" s="42"/>
      <c r="V1998" s="42"/>
      <c r="W1998" s="42"/>
    </row>
    <row r="1999">
      <c r="A1999" s="9"/>
      <c r="B1999" s="9"/>
      <c r="C1999" s="9"/>
      <c r="D1999" s="42"/>
      <c r="E1999" s="103"/>
      <c r="F1999" s="42"/>
      <c r="G1999" s="9"/>
      <c r="H1999" s="9"/>
      <c r="I1999" s="9"/>
      <c r="J1999" s="9"/>
      <c r="K1999" s="42"/>
      <c r="L1999" s="42"/>
      <c r="M1999" s="42"/>
      <c r="N1999" s="42"/>
      <c r="O1999" s="42"/>
      <c r="P1999" s="9"/>
      <c r="Q1999" s="9"/>
      <c r="R1999" s="42"/>
      <c r="S1999" s="42"/>
      <c r="T1999" s="42"/>
      <c r="U1999" s="42"/>
      <c r="V1999" s="42"/>
      <c r="W1999" s="42"/>
    </row>
    <row r="2000">
      <c r="A2000" s="9"/>
      <c r="B2000" s="9"/>
      <c r="C2000" s="9"/>
      <c r="D2000" s="42"/>
      <c r="E2000" s="103"/>
      <c r="F2000" s="42"/>
      <c r="G2000" s="9"/>
      <c r="H2000" s="9"/>
      <c r="I2000" s="9"/>
      <c r="J2000" s="9"/>
      <c r="K2000" s="42"/>
      <c r="L2000" s="42"/>
      <c r="M2000" s="42"/>
      <c r="N2000" s="42"/>
      <c r="O2000" s="42"/>
      <c r="P2000" s="9"/>
      <c r="Q2000" s="9"/>
      <c r="R2000" s="42"/>
      <c r="S2000" s="42"/>
      <c r="T2000" s="42"/>
      <c r="U2000" s="42"/>
      <c r="V2000" s="42"/>
      <c r="W2000" s="42"/>
    </row>
    <row r="2001">
      <c r="A2001" s="9"/>
      <c r="B2001" s="9"/>
      <c r="C2001" s="9"/>
      <c r="D2001" s="42"/>
      <c r="E2001" s="103"/>
      <c r="F2001" s="42"/>
      <c r="G2001" s="9"/>
      <c r="H2001" s="9"/>
      <c r="I2001" s="9"/>
      <c r="J2001" s="9"/>
      <c r="K2001" s="42"/>
      <c r="L2001" s="42"/>
      <c r="M2001" s="42"/>
      <c r="N2001" s="42"/>
      <c r="O2001" s="42"/>
      <c r="P2001" s="9"/>
      <c r="Q2001" s="9"/>
      <c r="R2001" s="42"/>
      <c r="S2001" s="42"/>
      <c r="T2001" s="42"/>
      <c r="U2001" s="42"/>
      <c r="V2001" s="42"/>
      <c r="W2001" s="42"/>
    </row>
    <row r="2002">
      <c r="A2002" s="9"/>
      <c r="B2002" s="9"/>
      <c r="C2002" s="9"/>
      <c r="D2002" s="42"/>
      <c r="E2002" s="103"/>
      <c r="F2002" s="42"/>
      <c r="G2002" s="9"/>
      <c r="H2002" s="9"/>
      <c r="I2002" s="9"/>
      <c r="J2002" s="9"/>
      <c r="K2002" s="42"/>
      <c r="L2002" s="42"/>
      <c r="M2002" s="42"/>
      <c r="N2002" s="42"/>
      <c r="O2002" s="42"/>
      <c r="P2002" s="9"/>
      <c r="Q2002" s="9"/>
      <c r="R2002" s="42"/>
      <c r="S2002" s="42"/>
      <c r="T2002" s="42"/>
      <c r="U2002" s="42"/>
      <c r="V2002" s="42"/>
      <c r="W2002" s="42"/>
    </row>
    <row r="2003">
      <c r="A2003" s="9"/>
      <c r="B2003" s="9"/>
      <c r="C2003" s="9"/>
      <c r="D2003" s="42"/>
      <c r="E2003" s="103"/>
      <c r="F2003" s="42"/>
      <c r="G2003" s="9"/>
      <c r="H2003" s="9"/>
      <c r="I2003" s="9"/>
      <c r="J2003" s="9"/>
      <c r="K2003" s="42"/>
      <c r="L2003" s="42"/>
      <c r="M2003" s="42"/>
      <c r="N2003" s="42"/>
      <c r="O2003" s="42"/>
      <c r="P2003" s="9"/>
      <c r="Q2003" s="9"/>
      <c r="R2003" s="42"/>
      <c r="S2003" s="42"/>
      <c r="T2003" s="42"/>
      <c r="U2003" s="42"/>
      <c r="V2003" s="42"/>
      <c r="W2003" s="42"/>
    </row>
    <row r="2004">
      <c r="A2004" s="9"/>
      <c r="B2004" s="9"/>
      <c r="C2004" s="9"/>
      <c r="D2004" s="42"/>
      <c r="E2004" s="103"/>
      <c r="F2004" s="42"/>
      <c r="G2004" s="9"/>
      <c r="H2004" s="9"/>
      <c r="I2004" s="9"/>
      <c r="J2004" s="9"/>
      <c r="K2004" s="42"/>
      <c r="L2004" s="42"/>
      <c r="M2004" s="42"/>
      <c r="N2004" s="42"/>
      <c r="O2004" s="42"/>
      <c r="P2004" s="9"/>
      <c r="Q2004" s="9"/>
      <c r="R2004" s="42"/>
      <c r="S2004" s="42"/>
      <c r="T2004" s="42"/>
      <c r="U2004" s="42"/>
      <c r="V2004" s="42"/>
      <c r="W2004" s="42"/>
    </row>
    <row r="2005">
      <c r="A2005" s="9"/>
      <c r="B2005" s="9"/>
      <c r="C2005" s="9"/>
      <c r="D2005" s="42"/>
      <c r="E2005" s="103"/>
      <c r="F2005" s="42"/>
      <c r="G2005" s="9"/>
      <c r="H2005" s="9"/>
      <c r="I2005" s="9"/>
      <c r="J2005" s="9"/>
      <c r="K2005" s="42"/>
      <c r="L2005" s="42"/>
      <c r="M2005" s="42"/>
      <c r="N2005" s="42"/>
      <c r="O2005" s="42"/>
      <c r="P2005" s="9"/>
      <c r="Q2005" s="9"/>
      <c r="R2005" s="42"/>
      <c r="S2005" s="42"/>
      <c r="T2005" s="42"/>
      <c r="U2005" s="42"/>
      <c r="V2005" s="42"/>
      <c r="W2005" s="42"/>
    </row>
    <row r="2006">
      <c r="A2006" s="9"/>
      <c r="B2006" s="9"/>
      <c r="C2006" s="9"/>
      <c r="D2006" s="42"/>
      <c r="E2006" s="103"/>
      <c r="F2006" s="42"/>
      <c r="G2006" s="9"/>
      <c r="H2006" s="9"/>
      <c r="I2006" s="9"/>
      <c r="J2006" s="9"/>
      <c r="K2006" s="42"/>
      <c r="L2006" s="42"/>
      <c r="M2006" s="42"/>
      <c r="N2006" s="42"/>
      <c r="O2006" s="42"/>
      <c r="P2006" s="9"/>
      <c r="Q2006" s="9"/>
      <c r="R2006" s="42"/>
      <c r="S2006" s="42"/>
      <c r="T2006" s="42"/>
      <c r="U2006" s="42"/>
      <c r="V2006" s="42"/>
      <c r="W2006" s="42"/>
    </row>
    <row r="2007">
      <c r="A2007" s="9"/>
      <c r="B2007" s="9"/>
      <c r="C2007" s="9"/>
      <c r="D2007" s="42"/>
      <c r="E2007" s="103"/>
      <c r="F2007" s="42"/>
      <c r="G2007" s="9"/>
      <c r="H2007" s="9"/>
      <c r="I2007" s="9"/>
      <c r="J2007" s="9"/>
      <c r="K2007" s="42"/>
      <c r="L2007" s="42"/>
      <c r="M2007" s="42"/>
      <c r="N2007" s="42"/>
      <c r="O2007" s="42"/>
      <c r="P2007" s="9"/>
      <c r="Q2007" s="9"/>
      <c r="R2007" s="42"/>
      <c r="S2007" s="42"/>
      <c r="T2007" s="42"/>
      <c r="U2007" s="42"/>
      <c r="V2007" s="42"/>
      <c r="W2007" s="42"/>
    </row>
    <row r="2008">
      <c r="A2008" s="9"/>
      <c r="B2008" s="9"/>
      <c r="C2008" s="9"/>
      <c r="D2008" s="42"/>
      <c r="E2008" s="103"/>
      <c r="F2008" s="42"/>
      <c r="G2008" s="9"/>
      <c r="H2008" s="9"/>
      <c r="I2008" s="9"/>
      <c r="J2008" s="9"/>
      <c r="K2008" s="42"/>
      <c r="L2008" s="42"/>
      <c r="M2008" s="42"/>
      <c r="N2008" s="42"/>
      <c r="O2008" s="42"/>
      <c r="P2008" s="9"/>
      <c r="Q2008" s="9"/>
      <c r="R2008" s="42"/>
      <c r="S2008" s="42"/>
      <c r="T2008" s="42"/>
      <c r="U2008" s="42"/>
      <c r="V2008" s="42"/>
      <c r="W2008" s="42"/>
    </row>
    <row r="2009">
      <c r="A2009" s="9"/>
      <c r="B2009" s="9"/>
      <c r="C2009" s="9"/>
      <c r="D2009" s="42"/>
      <c r="E2009" s="103"/>
      <c r="F2009" s="42"/>
      <c r="G2009" s="9"/>
      <c r="H2009" s="9"/>
      <c r="I2009" s="9"/>
      <c r="J2009" s="9"/>
      <c r="K2009" s="42"/>
      <c r="L2009" s="42"/>
      <c r="M2009" s="42"/>
      <c r="N2009" s="42"/>
      <c r="O2009" s="42"/>
      <c r="P2009" s="9"/>
      <c r="Q2009" s="9"/>
      <c r="R2009" s="42"/>
      <c r="S2009" s="42"/>
      <c r="T2009" s="42"/>
      <c r="U2009" s="42"/>
      <c r="V2009" s="42"/>
      <c r="W2009" s="42"/>
    </row>
    <row r="2010">
      <c r="A2010" s="9"/>
      <c r="B2010" s="9"/>
      <c r="C2010" s="9"/>
      <c r="D2010" s="42"/>
      <c r="E2010" s="103"/>
      <c r="F2010" s="42"/>
      <c r="G2010" s="9"/>
      <c r="H2010" s="9"/>
      <c r="I2010" s="9"/>
      <c r="J2010" s="9"/>
      <c r="K2010" s="42"/>
      <c r="L2010" s="42"/>
      <c r="M2010" s="42"/>
      <c r="N2010" s="42"/>
      <c r="O2010" s="42"/>
      <c r="P2010" s="9"/>
      <c r="Q2010" s="9"/>
      <c r="R2010" s="42"/>
      <c r="S2010" s="42"/>
      <c r="T2010" s="42"/>
      <c r="U2010" s="42"/>
      <c r="V2010" s="42"/>
      <c r="W2010" s="42"/>
    </row>
    <row r="2011">
      <c r="A2011" s="9"/>
      <c r="B2011" s="9"/>
      <c r="C2011" s="9"/>
      <c r="D2011" s="42"/>
      <c r="E2011" s="103"/>
      <c r="F2011" s="42"/>
      <c r="G2011" s="9"/>
      <c r="H2011" s="9"/>
      <c r="I2011" s="9"/>
      <c r="J2011" s="9"/>
      <c r="K2011" s="42"/>
      <c r="L2011" s="42"/>
      <c r="M2011" s="42"/>
      <c r="N2011" s="42"/>
      <c r="O2011" s="42"/>
      <c r="P2011" s="9"/>
      <c r="Q2011" s="9"/>
      <c r="R2011" s="42"/>
      <c r="S2011" s="42"/>
      <c r="T2011" s="42"/>
      <c r="U2011" s="42"/>
      <c r="V2011" s="42"/>
      <c r="W2011" s="42"/>
    </row>
    <row r="2012">
      <c r="A2012" s="9"/>
      <c r="B2012" s="9"/>
      <c r="C2012" s="9"/>
      <c r="D2012" s="42"/>
      <c r="E2012" s="103"/>
      <c r="F2012" s="42"/>
      <c r="G2012" s="9"/>
      <c r="H2012" s="9"/>
      <c r="I2012" s="9"/>
      <c r="J2012" s="9"/>
      <c r="K2012" s="42"/>
      <c r="L2012" s="42"/>
      <c r="M2012" s="42"/>
      <c r="N2012" s="42"/>
      <c r="O2012" s="42"/>
      <c r="P2012" s="9"/>
      <c r="Q2012" s="9"/>
      <c r="R2012" s="42"/>
      <c r="S2012" s="42"/>
      <c r="T2012" s="42"/>
      <c r="U2012" s="42"/>
      <c r="V2012" s="42"/>
      <c r="W2012" s="42"/>
    </row>
    <row r="2013">
      <c r="A2013" s="9"/>
      <c r="B2013" s="9"/>
      <c r="C2013" s="9"/>
      <c r="D2013" s="42"/>
      <c r="E2013" s="103"/>
      <c r="F2013" s="42"/>
      <c r="G2013" s="9"/>
      <c r="H2013" s="9"/>
      <c r="I2013" s="9"/>
      <c r="J2013" s="9"/>
      <c r="K2013" s="42"/>
      <c r="L2013" s="42"/>
      <c r="M2013" s="42"/>
      <c r="N2013" s="42"/>
      <c r="O2013" s="42"/>
      <c r="P2013" s="9"/>
      <c r="Q2013" s="9"/>
      <c r="R2013" s="42"/>
      <c r="S2013" s="42"/>
      <c r="T2013" s="42"/>
      <c r="U2013" s="42"/>
      <c r="V2013" s="42"/>
      <c r="W2013" s="42"/>
    </row>
    <row r="2014">
      <c r="A2014" s="9"/>
      <c r="B2014" s="9"/>
      <c r="C2014" s="9"/>
      <c r="D2014" s="42"/>
      <c r="E2014" s="103"/>
      <c r="F2014" s="42"/>
      <c r="G2014" s="9"/>
      <c r="H2014" s="9"/>
      <c r="I2014" s="9"/>
      <c r="J2014" s="9"/>
      <c r="K2014" s="42"/>
      <c r="L2014" s="42"/>
      <c r="M2014" s="42"/>
      <c r="N2014" s="42"/>
      <c r="O2014" s="42"/>
      <c r="P2014" s="9"/>
      <c r="Q2014" s="9"/>
      <c r="R2014" s="42"/>
      <c r="S2014" s="42"/>
      <c r="T2014" s="42"/>
      <c r="U2014" s="42"/>
      <c r="V2014" s="42"/>
      <c r="W2014" s="42"/>
    </row>
    <row r="2015">
      <c r="A2015" s="9"/>
      <c r="B2015" s="9"/>
      <c r="C2015" s="9"/>
      <c r="D2015" s="42"/>
      <c r="E2015" s="103"/>
      <c r="F2015" s="42"/>
      <c r="G2015" s="9"/>
      <c r="H2015" s="9"/>
      <c r="I2015" s="9"/>
      <c r="J2015" s="9"/>
      <c r="K2015" s="42"/>
      <c r="L2015" s="42"/>
      <c r="M2015" s="42"/>
      <c r="N2015" s="42"/>
      <c r="O2015" s="42"/>
      <c r="P2015" s="9"/>
      <c r="Q2015" s="9"/>
      <c r="R2015" s="42"/>
      <c r="S2015" s="42"/>
      <c r="T2015" s="42"/>
      <c r="U2015" s="42"/>
      <c r="V2015" s="42"/>
      <c r="W2015" s="42"/>
    </row>
    <row r="2016">
      <c r="A2016" s="9"/>
      <c r="B2016" s="9"/>
      <c r="C2016" s="9"/>
      <c r="D2016" s="42"/>
      <c r="E2016" s="103"/>
      <c r="F2016" s="42"/>
      <c r="G2016" s="9"/>
      <c r="H2016" s="9"/>
      <c r="I2016" s="9"/>
      <c r="J2016" s="9"/>
      <c r="K2016" s="42"/>
      <c r="L2016" s="42"/>
      <c r="M2016" s="42"/>
      <c r="N2016" s="42"/>
      <c r="O2016" s="42"/>
      <c r="P2016" s="9"/>
      <c r="Q2016" s="9"/>
      <c r="R2016" s="42"/>
      <c r="S2016" s="42"/>
      <c r="T2016" s="42"/>
      <c r="U2016" s="42"/>
      <c r="V2016" s="42"/>
      <c r="W2016" s="42"/>
    </row>
    <row r="2017">
      <c r="A2017" s="9"/>
      <c r="B2017" s="9"/>
      <c r="C2017" s="9"/>
      <c r="D2017" s="42"/>
      <c r="E2017" s="103"/>
      <c r="F2017" s="42"/>
      <c r="G2017" s="9"/>
      <c r="H2017" s="9"/>
      <c r="I2017" s="9"/>
      <c r="J2017" s="9"/>
      <c r="K2017" s="42"/>
      <c r="L2017" s="42"/>
      <c r="M2017" s="42"/>
      <c r="N2017" s="42"/>
      <c r="O2017" s="42"/>
      <c r="P2017" s="9"/>
      <c r="Q2017" s="9"/>
      <c r="R2017" s="42"/>
      <c r="S2017" s="42"/>
      <c r="T2017" s="42"/>
      <c r="U2017" s="42"/>
      <c r="V2017" s="42"/>
      <c r="W2017" s="42"/>
    </row>
    <row r="2018">
      <c r="A2018" s="9"/>
      <c r="B2018" s="9"/>
      <c r="C2018" s="9"/>
      <c r="D2018" s="42"/>
      <c r="E2018" s="103"/>
      <c r="F2018" s="42"/>
      <c r="G2018" s="9"/>
      <c r="H2018" s="9"/>
      <c r="I2018" s="9"/>
      <c r="J2018" s="9"/>
      <c r="K2018" s="42"/>
      <c r="L2018" s="42"/>
      <c r="M2018" s="42"/>
      <c r="N2018" s="42"/>
      <c r="O2018" s="42"/>
      <c r="P2018" s="9"/>
      <c r="Q2018" s="9"/>
      <c r="R2018" s="42"/>
      <c r="S2018" s="42"/>
      <c r="T2018" s="42"/>
      <c r="U2018" s="42"/>
      <c r="V2018" s="42"/>
      <c r="W2018" s="42"/>
    </row>
    <row r="2019">
      <c r="A2019" s="9"/>
      <c r="B2019" s="9"/>
      <c r="C2019" s="9"/>
      <c r="D2019" s="42"/>
      <c r="E2019" s="103"/>
      <c r="F2019" s="42"/>
      <c r="G2019" s="9"/>
      <c r="H2019" s="9"/>
      <c r="I2019" s="9"/>
      <c r="J2019" s="9"/>
      <c r="K2019" s="42"/>
      <c r="L2019" s="42"/>
      <c r="M2019" s="42"/>
      <c r="N2019" s="42"/>
      <c r="O2019" s="42"/>
      <c r="P2019" s="9"/>
      <c r="Q2019" s="9"/>
      <c r="R2019" s="42"/>
      <c r="S2019" s="42"/>
      <c r="T2019" s="42"/>
      <c r="U2019" s="42"/>
      <c r="V2019" s="42"/>
      <c r="W2019" s="42"/>
    </row>
    <row r="2020">
      <c r="A2020" s="9"/>
      <c r="B2020" s="9"/>
      <c r="C2020" s="9"/>
      <c r="D2020" s="42"/>
      <c r="E2020" s="103"/>
      <c r="F2020" s="42"/>
      <c r="G2020" s="9"/>
      <c r="H2020" s="9"/>
      <c r="I2020" s="9"/>
      <c r="J2020" s="9"/>
      <c r="K2020" s="42"/>
      <c r="L2020" s="42"/>
      <c r="M2020" s="42"/>
      <c r="N2020" s="42"/>
      <c r="O2020" s="42"/>
      <c r="P2020" s="9"/>
      <c r="Q2020" s="9"/>
      <c r="R2020" s="42"/>
      <c r="S2020" s="42"/>
      <c r="T2020" s="42"/>
      <c r="U2020" s="42"/>
      <c r="V2020" s="42"/>
      <c r="W2020" s="42"/>
    </row>
    <row r="2021">
      <c r="A2021" s="9"/>
      <c r="B2021" s="9"/>
      <c r="C2021" s="9"/>
      <c r="D2021" s="42"/>
      <c r="E2021" s="103"/>
      <c r="F2021" s="42"/>
      <c r="G2021" s="9"/>
      <c r="H2021" s="9"/>
      <c r="I2021" s="9"/>
      <c r="J2021" s="9"/>
      <c r="K2021" s="42"/>
      <c r="L2021" s="42"/>
      <c r="M2021" s="42"/>
      <c r="N2021" s="42"/>
      <c r="O2021" s="42"/>
      <c r="P2021" s="9"/>
      <c r="Q2021" s="9"/>
      <c r="R2021" s="42"/>
      <c r="S2021" s="42"/>
      <c r="T2021" s="42"/>
      <c r="U2021" s="42"/>
      <c r="V2021" s="42"/>
      <c r="W2021" s="42"/>
    </row>
    <row r="2022">
      <c r="A2022" s="9"/>
      <c r="B2022" s="9"/>
      <c r="C2022" s="9"/>
      <c r="D2022" s="42"/>
      <c r="E2022" s="103"/>
      <c r="F2022" s="42"/>
      <c r="G2022" s="9"/>
      <c r="H2022" s="9"/>
      <c r="I2022" s="9"/>
      <c r="J2022" s="9"/>
      <c r="K2022" s="42"/>
      <c r="L2022" s="42"/>
      <c r="M2022" s="42"/>
      <c r="N2022" s="42"/>
      <c r="O2022" s="42"/>
      <c r="P2022" s="9"/>
      <c r="Q2022" s="9"/>
      <c r="R2022" s="42"/>
      <c r="S2022" s="42"/>
      <c r="T2022" s="42"/>
      <c r="U2022" s="42"/>
      <c r="V2022" s="42"/>
      <c r="W2022" s="42"/>
    </row>
    <row r="2023">
      <c r="A2023" s="9"/>
      <c r="B2023" s="9"/>
      <c r="C2023" s="9"/>
      <c r="D2023" s="42"/>
      <c r="E2023" s="103"/>
      <c r="F2023" s="42"/>
      <c r="G2023" s="9"/>
      <c r="H2023" s="9"/>
      <c r="I2023" s="9"/>
      <c r="J2023" s="9"/>
      <c r="K2023" s="42"/>
      <c r="L2023" s="42"/>
      <c r="M2023" s="42"/>
      <c r="N2023" s="42"/>
      <c r="O2023" s="42"/>
      <c r="P2023" s="9"/>
      <c r="Q2023" s="9"/>
      <c r="R2023" s="42"/>
      <c r="S2023" s="42"/>
      <c r="T2023" s="42"/>
      <c r="U2023" s="42"/>
      <c r="V2023" s="42"/>
      <c r="W2023" s="42"/>
    </row>
    <row r="2024">
      <c r="A2024" s="9"/>
      <c r="B2024" s="9"/>
      <c r="C2024" s="9"/>
      <c r="D2024" s="42"/>
      <c r="E2024" s="103"/>
      <c r="F2024" s="42"/>
      <c r="G2024" s="9"/>
      <c r="H2024" s="9"/>
      <c r="I2024" s="9"/>
      <c r="J2024" s="9"/>
      <c r="K2024" s="42"/>
      <c r="L2024" s="42"/>
      <c r="M2024" s="42"/>
      <c r="N2024" s="42"/>
      <c r="O2024" s="42"/>
      <c r="P2024" s="9"/>
      <c r="Q2024" s="9"/>
      <c r="R2024" s="42"/>
      <c r="S2024" s="42"/>
      <c r="T2024" s="42"/>
      <c r="U2024" s="42"/>
      <c r="V2024" s="42"/>
      <c r="W2024" s="42"/>
    </row>
    <row r="2025">
      <c r="A2025" s="9"/>
      <c r="B2025" s="9"/>
      <c r="C2025" s="9"/>
      <c r="D2025" s="42"/>
      <c r="E2025" s="103"/>
      <c r="F2025" s="42"/>
      <c r="G2025" s="9"/>
      <c r="H2025" s="9"/>
      <c r="I2025" s="9"/>
      <c r="J2025" s="9"/>
      <c r="K2025" s="42"/>
      <c r="L2025" s="42"/>
      <c r="M2025" s="42"/>
      <c r="N2025" s="42"/>
      <c r="O2025" s="42"/>
      <c r="P2025" s="9"/>
      <c r="Q2025" s="9"/>
      <c r="R2025" s="42"/>
      <c r="S2025" s="42"/>
      <c r="T2025" s="42"/>
      <c r="U2025" s="42"/>
      <c r="V2025" s="42"/>
      <c r="W2025" s="42"/>
    </row>
    <row r="2026">
      <c r="A2026" s="9"/>
      <c r="B2026" s="9"/>
      <c r="C2026" s="9"/>
      <c r="D2026" s="42"/>
      <c r="E2026" s="103"/>
      <c r="F2026" s="42"/>
      <c r="G2026" s="9"/>
      <c r="H2026" s="9"/>
      <c r="I2026" s="9"/>
      <c r="J2026" s="9"/>
      <c r="K2026" s="42"/>
      <c r="L2026" s="42"/>
      <c r="M2026" s="42"/>
      <c r="N2026" s="42"/>
      <c r="O2026" s="42"/>
      <c r="P2026" s="9"/>
      <c r="Q2026" s="9"/>
      <c r="R2026" s="42"/>
      <c r="S2026" s="42"/>
      <c r="T2026" s="42"/>
      <c r="U2026" s="42"/>
      <c r="V2026" s="42"/>
      <c r="W2026" s="42"/>
    </row>
    <row r="2027">
      <c r="A2027" s="9"/>
      <c r="B2027" s="9"/>
      <c r="C2027" s="9"/>
      <c r="D2027" s="42"/>
      <c r="E2027" s="103"/>
      <c r="F2027" s="42"/>
      <c r="G2027" s="9"/>
      <c r="H2027" s="9"/>
      <c r="I2027" s="9"/>
      <c r="J2027" s="9"/>
      <c r="K2027" s="42"/>
      <c r="L2027" s="42"/>
      <c r="M2027" s="42"/>
      <c r="N2027" s="42"/>
      <c r="O2027" s="42"/>
      <c r="P2027" s="9"/>
      <c r="Q2027" s="9"/>
      <c r="R2027" s="42"/>
      <c r="S2027" s="42"/>
      <c r="T2027" s="42"/>
      <c r="U2027" s="42"/>
      <c r="V2027" s="42"/>
      <c r="W2027" s="42"/>
    </row>
    <row r="2028">
      <c r="A2028" s="9"/>
      <c r="B2028" s="9"/>
      <c r="C2028" s="9"/>
      <c r="D2028" s="42"/>
      <c r="E2028" s="103"/>
      <c r="F2028" s="42"/>
      <c r="G2028" s="9"/>
      <c r="H2028" s="9"/>
      <c r="I2028" s="9"/>
      <c r="J2028" s="9"/>
      <c r="K2028" s="42"/>
      <c r="L2028" s="42"/>
      <c r="M2028" s="42"/>
      <c r="N2028" s="42"/>
      <c r="O2028" s="42"/>
      <c r="P2028" s="9"/>
      <c r="Q2028" s="9"/>
      <c r="R2028" s="42"/>
      <c r="S2028" s="42"/>
      <c r="T2028" s="42"/>
      <c r="U2028" s="42"/>
      <c r="V2028" s="42"/>
      <c r="W2028" s="42"/>
    </row>
    <row r="2029">
      <c r="A2029" s="9"/>
      <c r="B2029" s="9"/>
      <c r="C2029" s="9"/>
      <c r="D2029" s="42"/>
      <c r="E2029" s="103"/>
      <c r="F2029" s="42"/>
      <c r="G2029" s="9"/>
      <c r="H2029" s="9"/>
      <c r="I2029" s="9"/>
      <c r="J2029" s="9"/>
      <c r="K2029" s="42"/>
      <c r="L2029" s="42"/>
      <c r="M2029" s="42"/>
      <c r="N2029" s="42"/>
      <c r="O2029" s="42"/>
      <c r="P2029" s="9"/>
      <c r="Q2029" s="9"/>
      <c r="R2029" s="42"/>
      <c r="S2029" s="42"/>
      <c r="T2029" s="42"/>
      <c r="U2029" s="42"/>
      <c r="V2029" s="42"/>
      <c r="W2029" s="42"/>
    </row>
    <row r="2030">
      <c r="A2030" s="9"/>
      <c r="B2030" s="9"/>
      <c r="C2030" s="9"/>
      <c r="D2030" s="42"/>
      <c r="E2030" s="103"/>
      <c r="F2030" s="42"/>
      <c r="G2030" s="9"/>
      <c r="H2030" s="9"/>
      <c r="I2030" s="9"/>
      <c r="J2030" s="9"/>
      <c r="K2030" s="42"/>
      <c r="L2030" s="42"/>
      <c r="M2030" s="42"/>
      <c r="N2030" s="42"/>
      <c r="O2030" s="42"/>
      <c r="P2030" s="9"/>
      <c r="Q2030" s="9"/>
      <c r="R2030" s="42"/>
      <c r="S2030" s="42"/>
      <c r="T2030" s="42"/>
      <c r="U2030" s="42"/>
      <c r="V2030" s="42"/>
      <c r="W2030" s="42"/>
    </row>
    <row r="2031">
      <c r="A2031" s="9"/>
      <c r="B2031" s="9"/>
      <c r="C2031" s="9"/>
      <c r="D2031" s="42"/>
      <c r="E2031" s="103"/>
      <c r="F2031" s="42"/>
      <c r="G2031" s="9"/>
      <c r="H2031" s="9"/>
      <c r="I2031" s="9"/>
      <c r="J2031" s="9"/>
      <c r="K2031" s="42"/>
      <c r="L2031" s="42"/>
      <c r="M2031" s="42"/>
      <c r="N2031" s="42"/>
      <c r="O2031" s="42"/>
      <c r="P2031" s="9"/>
      <c r="Q2031" s="9"/>
      <c r="R2031" s="42"/>
      <c r="S2031" s="42"/>
      <c r="T2031" s="42"/>
      <c r="U2031" s="42"/>
      <c r="V2031" s="42"/>
      <c r="W2031" s="42"/>
    </row>
    <row r="2032">
      <c r="A2032" s="9"/>
      <c r="B2032" s="9"/>
      <c r="C2032" s="9"/>
      <c r="D2032" s="42"/>
      <c r="E2032" s="103"/>
      <c r="F2032" s="42"/>
      <c r="G2032" s="9"/>
      <c r="H2032" s="9"/>
      <c r="I2032" s="9"/>
      <c r="J2032" s="9"/>
      <c r="K2032" s="42"/>
      <c r="L2032" s="42"/>
      <c r="M2032" s="42"/>
      <c r="N2032" s="42"/>
      <c r="O2032" s="42"/>
      <c r="P2032" s="9"/>
      <c r="Q2032" s="9"/>
      <c r="R2032" s="42"/>
      <c r="S2032" s="42"/>
      <c r="T2032" s="42"/>
      <c r="U2032" s="42"/>
      <c r="V2032" s="42"/>
      <c r="W2032" s="42"/>
    </row>
    <row r="2033">
      <c r="A2033" s="9"/>
      <c r="B2033" s="9"/>
      <c r="C2033" s="9"/>
      <c r="D2033" s="42"/>
      <c r="E2033" s="103"/>
      <c r="F2033" s="42"/>
      <c r="G2033" s="9"/>
      <c r="H2033" s="9"/>
      <c r="I2033" s="9"/>
      <c r="J2033" s="9"/>
      <c r="K2033" s="42"/>
      <c r="L2033" s="42"/>
      <c r="M2033" s="42"/>
      <c r="N2033" s="42"/>
      <c r="O2033" s="42"/>
      <c r="P2033" s="9"/>
      <c r="Q2033" s="9"/>
      <c r="R2033" s="42"/>
      <c r="S2033" s="42"/>
      <c r="T2033" s="42"/>
      <c r="U2033" s="42"/>
      <c r="V2033" s="42"/>
      <c r="W2033" s="42"/>
    </row>
    <row r="2034">
      <c r="A2034" s="9"/>
      <c r="B2034" s="9"/>
      <c r="C2034" s="9"/>
      <c r="D2034" s="42"/>
      <c r="E2034" s="103"/>
      <c r="F2034" s="42"/>
      <c r="G2034" s="9"/>
      <c r="H2034" s="9"/>
      <c r="I2034" s="9"/>
      <c r="J2034" s="9"/>
      <c r="K2034" s="42"/>
      <c r="L2034" s="42"/>
      <c r="M2034" s="42"/>
      <c r="N2034" s="42"/>
      <c r="O2034" s="42"/>
      <c r="P2034" s="9"/>
      <c r="Q2034" s="9"/>
      <c r="R2034" s="42"/>
      <c r="S2034" s="42"/>
      <c r="T2034" s="42"/>
      <c r="U2034" s="42"/>
      <c r="V2034" s="42"/>
      <c r="W2034" s="42"/>
    </row>
    <row r="2035">
      <c r="A2035" s="9"/>
      <c r="B2035" s="9"/>
      <c r="C2035" s="9"/>
      <c r="D2035" s="42"/>
      <c r="E2035" s="103"/>
      <c r="F2035" s="42"/>
      <c r="G2035" s="9"/>
      <c r="H2035" s="9"/>
      <c r="I2035" s="9"/>
      <c r="J2035" s="9"/>
      <c r="K2035" s="42"/>
      <c r="L2035" s="42"/>
      <c r="M2035" s="42"/>
      <c r="N2035" s="42"/>
      <c r="O2035" s="42"/>
      <c r="P2035" s="9"/>
      <c r="Q2035" s="9"/>
      <c r="R2035" s="42"/>
      <c r="S2035" s="42"/>
      <c r="T2035" s="42"/>
      <c r="U2035" s="42"/>
      <c r="V2035" s="42"/>
      <c r="W2035" s="42"/>
    </row>
    <row r="2036">
      <c r="A2036" s="9"/>
      <c r="B2036" s="9"/>
      <c r="C2036" s="9"/>
      <c r="D2036" s="42"/>
      <c r="E2036" s="103"/>
      <c r="F2036" s="42"/>
      <c r="G2036" s="9"/>
      <c r="H2036" s="9"/>
      <c r="I2036" s="9"/>
      <c r="J2036" s="9"/>
      <c r="K2036" s="42"/>
      <c r="L2036" s="42"/>
      <c r="M2036" s="42"/>
      <c r="N2036" s="42"/>
      <c r="O2036" s="42"/>
      <c r="P2036" s="9"/>
      <c r="Q2036" s="9"/>
      <c r="R2036" s="42"/>
      <c r="S2036" s="42"/>
      <c r="T2036" s="42"/>
      <c r="U2036" s="42"/>
      <c r="V2036" s="42"/>
      <c r="W2036" s="42"/>
    </row>
    <row r="2037">
      <c r="A2037" s="9"/>
      <c r="B2037" s="9"/>
      <c r="C2037" s="9"/>
      <c r="D2037" s="42"/>
      <c r="E2037" s="103"/>
      <c r="F2037" s="42"/>
      <c r="G2037" s="9"/>
      <c r="H2037" s="9"/>
      <c r="I2037" s="9"/>
      <c r="J2037" s="9"/>
      <c r="K2037" s="42"/>
      <c r="L2037" s="42"/>
      <c r="M2037" s="42"/>
      <c r="N2037" s="42"/>
      <c r="O2037" s="42"/>
      <c r="P2037" s="9"/>
      <c r="Q2037" s="9"/>
      <c r="R2037" s="42"/>
      <c r="S2037" s="42"/>
      <c r="T2037" s="42"/>
      <c r="U2037" s="42"/>
      <c r="V2037" s="42"/>
      <c r="W2037" s="42"/>
    </row>
    <row r="2038">
      <c r="A2038" s="9"/>
      <c r="B2038" s="9"/>
      <c r="C2038" s="9"/>
      <c r="D2038" s="42"/>
      <c r="E2038" s="103"/>
      <c r="F2038" s="42"/>
      <c r="G2038" s="9"/>
      <c r="H2038" s="9"/>
      <c r="I2038" s="9"/>
      <c r="J2038" s="9"/>
      <c r="K2038" s="42"/>
      <c r="L2038" s="42"/>
      <c r="M2038" s="42"/>
      <c r="N2038" s="42"/>
      <c r="O2038" s="42"/>
      <c r="P2038" s="9"/>
      <c r="Q2038" s="9"/>
      <c r="R2038" s="42"/>
      <c r="S2038" s="42"/>
      <c r="T2038" s="42"/>
      <c r="U2038" s="42"/>
      <c r="V2038" s="42"/>
      <c r="W2038" s="42"/>
    </row>
    <row r="2039">
      <c r="A2039" s="9"/>
      <c r="B2039" s="9"/>
      <c r="C2039" s="9"/>
      <c r="D2039" s="42"/>
      <c r="E2039" s="103"/>
      <c r="F2039" s="42"/>
      <c r="G2039" s="9"/>
      <c r="H2039" s="9"/>
      <c r="I2039" s="9"/>
      <c r="J2039" s="9"/>
      <c r="K2039" s="42"/>
      <c r="L2039" s="42"/>
      <c r="M2039" s="42"/>
      <c r="N2039" s="42"/>
      <c r="O2039" s="42"/>
      <c r="P2039" s="9"/>
      <c r="Q2039" s="9"/>
      <c r="R2039" s="42"/>
      <c r="S2039" s="42"/>
      <c r="T2039" s="42"/>
      <c r="U2039" s="42"/>
      <c r="V2039" s="42"/>
      <c r="W2039" s="42"/>
    </row>
    <row r="2040">
      <c r="A2040" s="9"/>
      <c r="B2040" s="9"/>
      <c r="C2040" s="9"/>
      <c r="D2040" s="42"/>
      <c r="E2040" s="103"/>
      <c r="F2040" s="42"/>
      <c r="G2040" s="9"/>
      <c r="H2040" s="9"/>
      <c r="I2040" s="9"/>
      <c r="J2040" s="9"/>
      <c r="K2040" s="42"/>
      <c r="L2040" s="42"/>
      <c r="M2040" s="42"/>
      <c r="N2040" s="42"/>
      <c r="O2040" s="42"/>
      <c r="P2040" s="9"/>
      <c r="Q2040" s="9"/>
      <c r="R2040" s="42"/>
      <c r="S2040" s="42"/>
      <c r="T2040" s="42"/>
      <c r="U2040" s="42"/>
      <c r="V2040" s="42"/>
      <c r="W2040" s="42"/>
    </row>
    <row r="2041">
      <c r="A2041" s="9"/>
      <c r="B2041" s="9"/>
      <c r="C2041" s="9"/>
      <c r="D2041" s="42"/>
      <c r="E2041" s="103"/>
      <c r="F2041" s="42"/>
      <c r="G2041" s="9"/>
      <c r="H2041" s="9"/>
      <c r="I2041" s="9"/>
      <c r="J2041" s="9"/>
      <c r="K2041" s="42"/>
      <c r="L2041" s="42"/>
      <c r="M2041" s="42"/>
      <c r="N2041" s="42"/>
      <c r="O2041" s="42"/>
      <c r="P2041" s="9"/>
      <c r="Q2041" s="9"/>
      <c r="R2041" s="42"/>
      <c r="S2041" s="42"/>
      <c r="T2041" s="42"/>
      <c r="U2041" s="42"/>
      <c r="V2041" s="42"/>
      <c r="W2041" s="42"/>
    </row>
    <row r="2042">
      <c r="A2042" s="9"/>
      <c r="B2042" s="9"/>
      <c r="C2042" s="9"/>
      <c r="D2042" s="42"/>
      <c r="E2042" s="103"/>
      <c r="F2042" s="42"/>
      <c r="G2042" s="9"/>
      <c r="H2042" s="9"/>
      <c r="I2042" s="9"/>
      <c r="J2042" s="9"/>
      <c r="K2042" s="42"/>
      <c r="L2042" s="42"/>
      <c r="M2042" s="42"/>
      <c r="N2042" s="42"/>
      <c r="O2042" s="42"/>
      <c r="P2042" s="9"/>
      <c r="Q2042" s="9"/>
      <c r="R2042" s="42"/>
      <c r="S2042" s="42"/>
      <c r="T2042" s="42"/>
      <c r="U2042" s="42"/>
      <c r="V2042" s="42"/>
      <c r="W2042" s="42"/>
    </row>
    <row r="2043">
      <c r="A2043" s="9"/>
      <c r="B2043" s="9"/>
      <c r="C2043" s="9"/>
      <c r="D2043" s="42"/>
      <c r="E2043" s="103"/>
      <c r="F2043" s="42"/>
      <c r="G2043" s="9"/>
      <c r="H2043" s="9"/>
      <c r="I2043" s="9"/>
      <c r="J2043" s="9"/>
      <c r="K2043" s="42"/>
      <c r="L2043" s="42"/>
      <c r="M2043" s="42"/>
      <c r="N2043" s="42"/>
      <c r="O2043" s="42"/>
      <c r="P2043" s="9"/>
      <c r="Q2043" s="9"/>
      <c r="R2043" s="42"/>
      <c r="S2043" s="42"/>
      <c r="T2043" s="42"/>
      <c r="U2043" s="42"/>
      <c r="V2043" s="42"/>
      <c r="W2043" s="42"/>
    </row>
    <row r="2044">
      <c r="A2044" s="9"/>
      <c r="B2044" s="9"/>
      <c r="C2044" s="9"/>
      <c r="D2044" s="42"/>
      <c r="E2044" s="103"/>
      <c r="F2044" s="42"/>
      <c r="G2044" s="9"/>
      <c r="H2044" s="9"/>
      <c r="I2044" s="9"/>
      <c r="J2044" s="9"/>
      <c r="K2044" s="42"/>
      <c r="L2044" s="42"/>
      <c r="M2044" s="42"/>
      <c r="N2044" s="42"/>
      <c r="O2044" s="42"/>
      <c r="P2044" s="9"/>
      <c r="Q2044" s="9"/>
      <c r="R2044" s="42"/>
      <c r="S2044" s="42"/>
      <c r="T2044" s="42"/>
      <c r="U2044" s="42"/>
      <c r="V2044" s="42"/>
      <c r="W2044" s="42"/>
    </row>
    <row r="2045">
      <c r="A2045" s="9"/>
      <c r="B2045" s="9"/>
      <c r="C2045" s="9"/>
      <c r="D2045" s="42"/>
      <c r="E2045" s="103"/>
      <c r="F2045" s="42"/>
      <c r="G2045" s="9"/>
      <c r="H2045" s="9"/>
      <c r="I2045" s="9"/>
      <c r="J2045" s="9"/>
      <c r="K2045" s="42"/>
      <c r="L2045" s="42"/>
      <c r="M2045" s="42"/>
      <c r="N2045" s="42"/>
      <c r="O2045" s="42"/>
      <c r="P2045" s="9"/>
      <c r="Q2045" s="9"/>
      <c r="R2045" s="42"/>
      <c r="S2045" s="42"/>
      <c r="T2045" s="42"/>
      <c r="U2045" s="42"/>
      <c r="V2045" s="42"/>
      <c r="W2045" s="42"/>
    </row>
    <row r="2046">
      <c r="A2046" s="9"/>
      <c r="B2046" s="9"/>
      <c r="C2046" s="9"/>
      <c r="D2046" s="42"/>
      <c r="E2046" s="103"/>
      <c r="F2046" s="42"/>
      <c r="G2046" s="9"/>
      <c r="H2046" s="9"/>
      <c r="I2046" s="9"/>
      <c r="J2046" s="9"/>
      <c r="K2046" s="42"/>
      <c r="L2046" s="42"/>
      <c r="M2046" s="42"/>
      <c r="N2046" s="42"/>
      <c r="O2046" s="42"/>
      <c r="P2046" s="9"/>
      <c r="Q2046" s="9"/>
      <c r="R2046" s="42"/>
      <c r="S2046" s="42"/>
      <c r="T2046" s="42"/>
      <c r="U2046" s="42"/>
      <c r="V2046" s="42"/>
      <c r="W2046" s="42"/>
    </row>
    <row r="2047">
      <c r="A2047" s="9"/>
      <c r="B2047" s="9"/>
      <c r="C2047" s="9"/>
      <c r="D2047" s="42"/>
      <c r="E2047" s="103"/>
      <c r="F2047" s="42"/>
      <c r="G2047" s="9"/>
      <c r="H2047" s="9"/>
      <c r="I2047" s="9"/>
      <c r="J2047" s="9"/>
      <c r="K2047" s="42"/>
      <c r="L2047" s="42"/>
      <c r="M2047" s="42"/>
      <c r="N2047" s="42"/>
      <c r="O2047" s="42"/>
      <c r="P2047" s="9"/>
      <c r="Q2047" s="9"/>
      <c r="R2047" s="42"/>
      <c r="S2047" s="42"/>
      <c r="T2047" s="42"/>
      <c r="U2047" s="42"/>
      <c r="V2047" s="42"/>
      <c r="W2047" s="42"/>
    </row>
    <row r="2048">
      <c r="A2048" s="9"/>
      <c r="B2048" s="9"/>
      <c r="C2048" s="9"/>
      <c r="D2048" s="42"/>
      <c r="E2048" s="103"/>
      <c r="F2048" s="42"/>
      <c r="G2048" s="9"/>
      <c r="H2048" s="9"/>
      <c r="I2048" s="9"/>
      <c r="J2048" s="9"/>
      <c r="K2048" s="42"/>
      <c r="L2048" s="42"/>
      <c r="M2048" s="42"/>
      <c r="N2048" s="42"/>
      <c r="O2048" s="42"/>
      <c r="P2048" s="9"/>
      <c r="Q2048" s="9"/>
      <c r="R2048" s="42"/>
      <c r="S2048" s="42"/>
      <c r="T2048" s="42"/>
      <c r="U2048" s="42"/>
      <c r="V2048" s="42"/>
      <c r="W2048" s="42"/>
    </row>
    <row r="2049">
      <c r="A2049" s="9"/>
      <c r="B2049" s="9"/>
      <c r="C2049" s="9"/>
      <c r="D2049" s="42"/>
      <c r="E2049" s="103"/>
      <c r="F2049" s="42"/>
      <c r="G2049" s="9"/>
      <c r="H2049" s="9"/>
      <c r="I2049" s="9"/>
      <c r="J2049" s="9"/>
      <c r="K2049" s="42"/>
      <c r="L2049" s="42"/>
      <c r="M2049" s="42"/>
      <c r="N2049" s="42"/>
      <c r="O2049" s="42"/>
      <c r="P2049" s="9"/>
      <c r="Q2049" s="9"/>
      <c r="R2049" s="42"/>
      <c r="S2049" s="42"/>
      <c r="T2049" s="42"/>
      <c r="U2049" s="42"/>
      <c r="V2049" s="42"/>
      <c r="W2049" s="42"/>
    </row>
    <row r="2050">
      <c r="A2050" s="9"/>
      <c r="B2050" s="9"/>
      <c r="C2050" s="9"/>
      <c r="D2050" s="42"/>
      <c r="E2050" s="103"/>
      <c r="F2050" s="42"/>
      <c r="G2050" s="9"/>
      <c r="H2050" s="9"/>
      <c r="I2050" s="9"/>
      <c r="J2050" s="9"/>
      <c r="K2050" s="42"/>
      <c r="L2050" s="42"/>
      <c r="M2050" s="42"/>
      <c r="N2050" s="42"/>
      <c r="O2050" s="42"/>
      <c r="P2050" s="9"/>
      <c r="Q2050" s="9"/>
      <c r="R2050" s="42"/>
      <c r="S2050" s="42"/>
      <c r="T2050" s="42"/>
      <c r="U2050" s="42"/>
      <c r="V2050" s="42"/>
      <c r="W2050" s="42"/>
    </row>
    <row r="2051">
      <c r="A2051" s="9"/>
      <c r="B2051" s="9"/>
      <c r="C2051" s="9"/>
      <c r="D2051" s="42"/>
      <c r="E2051" s="103"/>
      <c r="F2051" s="42"/>
      <c r="G2051" s="9"/>
      <c r="H2051" s="9"/>
      <c r="I2051" s="9"/>
      <c r="J2051" s="9"/>
      <c r="K2051" s="42"/>
      <c r="L2051" s="42"/>
      <c r="M2051" s="42"/>
      <c r="N2051" s="42"/>
      <c r="O2051" s="42"/>
      <c r="P2051" s="9"/>
      <c r="Q2051" s="9"/>
      <c r="R2051" s="42"/>
      <c r="S2051" s="42"/>
      <c r="T2051" s="42"/>
      <c r="U2051" s="42"/>
      <c r="V2051" s="42"/>
      <c r="W2051" s="42"/>
    </row>
    <row r="2052">
      <c r="A2052" s="9"/>
      <c r="B2052" s="9"/>
      <c r="C2052" s="9"/>
      <c r="D2052" s="42"/>
      <c r="E2052" s="103"/>
      <c r="F2052" s="42"/>
      <c r="G2052" s="9"/>
      <c r="H2052" s="9"/>
      <c r="I2052" s="9"/>
      <c r="J2052" s="9"/>
      <c r="K2052" s="42"/>
      <c r="L2052" s="42"/>
      <c r="M2052" s="42"/>
      <c r="N2052" s="42"/>
      <c r="O2052" s="42"/>
      <c r="P2052" s="9"/>
      <c r="Q2052" s="9"/>
      <c r="R2052" s="42"/>
      <c r="S2052" s="42"/>
      <c r="T2052" s="42"/>
      <c r="U2052" s="42"/>
      <c r="V2052" s="42"/>
      <c r="W2052" s="42"/>
    </row>
    <row r="2053">
      <c r="A2053" s="9"/>
      <c r="B2053" s="9"/>
      <c r="C2053" s="9"/>
      <c r="D2053" s="42"/>
      <c r="E2053" s="103"/>
      <c r="F2053" s="42"/>
      <c r="G2053" s="9"/>
      <c r="H2053" s="9"/>
      <c r="I2053" s="9"/>
      <c r="J2053" s="9"/>
      <c r="K2053" s="42"/>
      <c r="L2053" s="42"/>
      <c r="M2053" s="42"/>
      <c r="N2053" s="42"/>
      <c r="O2053" s="42"/>
      <c r="P2053" s="9"/>
      <c r="Q2053" s="9"/>
      <c r="R2053" s="42"/>
      <c r="S2053" s="42"/>
      <c r="T2053" s="42"/>
      <c r="U2053" s="42"/>
      <c r="V2053" s="42"/>
      <c r="W2053" s="42"/>
    </row>
    <row r="2054">
      <c r="A2054" s="9"/>
      <c r="B2054" s="9"/>
      <c r="C2054" s="9"/>
      <c r="D2054" s="42"/>
      <c r="E2054" s="103"/>
      <c r="F2054" s="42"/>
      <c r="G2054" s="9"/>
      <c r="H2054" s="9"/>
      <c r="I2054" s="9"/>
      <c r="J2054" s="9"/>
      <c r="K2054" s="42"/>
      <c r="L2054" s="42"/>
      <c r="M2054" s="42"/>
      <c r="N2054" s="42"/>
      <c r="O2054" s="42"/>
      <c r="P2054" s="9"/>
      <c r="Q2054" s="9"/>
      <c r="R2054" s="42"/>
      <c r="S2054" s="42"/>
      <c r="T2054" s="42"/>
      <c r="U2054" s="42"/>
      <c r="V2054" s="42"/>
      <c r="W2054" s="42"/>
    </row>
    <row r="2055">
      <c r="A2055" s="9"/>
      <c r="B2055" s="9"/>
      <c r="C2055" s="9"/>
      <c r="D2055" s="42"/>
      <c r="E2055" s="103"/>
      <c r="F2055" s="42"/>
      <c r="G2055" s="9"/>
      <c r="H2055" s="9"/>
      <c r="I2055" s="9"/>
      <c r="J2055" s="9"/>
      <c r="K2055" s="42"/>
      <c r="L2055" s="42"/>
      <c r="M2055" s="42"/>
      <c r="N2055" s="42"/>
      <c r="O2055" s="42"/>
      <c r="P2055" s="9"/>
      <c r="Q2055" s="9"/>
      <c r="R2055" s="42"/>
      <c r="S2055" s="42"/>
      <c r="T2055" s="42"/>
      <c r="U2055" s="42"/>
      <c r="V2055" s="42"/>
      <c r="W2055" s="42"/>
    </row>
    <row r="2056">
      <c r="A2056" s="9"/>
      <c r="B2056" s="9"/>
      <c r="C2056" s="9"/>
      <c r="D2056" s="42"/>
      <c r="E2056" s="103"/>
      <c r="F2056" s="42"/>
      <c r="G2056" s="9"/>
      <c r="H2056" s="9"/>
      <c r="I2056" s="9"/>
      <c r="J2056" s="9"/>
      <c r="K2056" s="42"/>
      <c r="L2056" s="42"/>
      <c r="M2056" s="42"/>
      <c r="N2056" s="42"/>
      <c r="O2056" s="42"/>
      <c r="P2056" s="9"/>
      <c r="Q2056" s="9"/>
      <c r="R2056" s="42"/>
      <c r="S2056" s="42"/>
      <c r="T2056" s="42"/>
      <c r="U2056" s="42"/>
      <c r="V2056" s="42"/>
      <c r="W2056" s="42"/>
    </row>
    <row r="2057">
      <c r="A2057" s="9"/>
      <c r="B2057" s="9"/>
      <c r="C2057" s="9"/>
      <c r="D2057" s="42"/>
      <c r="E2057" s="103"/>
      <c r="F2057" s="42"/>
      <c r="G2057" s="9"/>
      <c r="H2057" s="9"/>
      <c r="I2057" s="9"/>
      <c r="J2057" s="9"/>
      <c r="K2057" s="42"/>
      <c r="L2057" s="42"/>
      <c r="M2057" s="42"/>
      <c r="N2057" s="42"/>
      <c r="O2057" s="42"/>
      <c r="P2057" s="9"/>
      <c r="Q2057" s="9"/>
      <c r="R2057" s="42"/>
      <c r="S2057" s="42"/>
      <c r="T2057" s="42"/>
      <c r="U2057" s="42"/>
      <c r="V2057" s="42"/>
      <c r="W2057" s="42"/>
    </row>
    <row r="2058">
      <c r="A2058" s="9"/>
      <c r="B2058" s="9"/>
      <c r="C2058" s="9"/>
      <c r="D2058" s="42"/>
      <c r="E2058" s="103"/>
      <c r="F2058" s="42"/>
      <c r="G2058" s="9"/>
      <c r="H2058" s="9"/>
      <c r="I2058" s="9"/>
      <c r="J2058" s="9"/>
      <c r="K2058" s="42"/>
      <c r="L2058" s="42"/>
      <c r="M2058" s="42"/>
      <c r="N2058" s="42"/>
      <c r="O2058" s="42"/>
      <c r="P2058" s="9"/>
      <c r="Q2058" s="9"/>
      <c r="R2058" s="42"/>
      <c r="S2058" s="42"/>
      <c r="T2058" s="42"/>
      <c r="U2058" s="42"/>
      <c r="V2058" s="42"/>
      <c r="W2058" s="42"/>
    </row>
    <row r="2059">
      <c r="A2059" s="9"/>
      <c r="B2059" s="9"/>
      <c r="C2059" s="9"/>
      <c r="D2059" s="42"/>
      <c r="E2059" s="103"/>
      <c r="F2059" s="42"/>
      <c r="G2059" s="9"/>
      <c r="H2059" s="9"/>
      <c r="I2059" s="9"/>
      <c r="J2059" s="9"/>
      <c r="K2059" s="42"/>
      <c r="L2059" s="42"/>
      <c r="M2059" s="42"/>
      <c r="N2059" s="42"/>
      <c r="O2059" s="42"/>
      <c r="P2059" s="9"/>
      <c r="Q2059" s="9"/>
      <c r="R2059" s="42"/>
      <c r="S2059" s="42"/>
      <c r="T2059" s="42"/>
      <c r="U2059" s="42"/>
      <c r="V2059" s="42"/>
      <c r="W2059" s="42"/>
    </row>
    <row r="2060">
      <c r="A2060" s="9"/>
      <c r="B2060" s="9"/>
      <c r="C2060" s="9"/>
      <c r="D2060" s="42"/>
      <c r="E2060" s="103"/>
      <c r="F2060" s="42"/>
      <c r="G2060" s="9"/>
      <c r="H2060" s="9"/>
      <c r="I2060" s="9"/>
      <c r="J2060" s="9"/>
      <c r="K2060" s="42"/>
      <c r="L2060" s="42"/>
      <c r="M2060" s="42"/>
      <c r="N2060" s="42"/>
      <c r="O2060" s="42"/>
      <c r="P2060" s="9"/>
      <c r="Q2060" s="9"/>
      <c r="R2060" s="42"/>
      <c r="S2060" s="42"/>
      <c r="T2060" s="42"/>
      <c r="U2060" s="42"/>
      <c r="V2060" s="42"/>
      <c r="W2060" s="42"/>
    </row>
    <row r="2061">
      <c r="A2061" s="9"/>
      <c r="B2061" s="9"/>
      <c r="C2061" s="9"/>
      <c r="D2061" s="42"/>
      <c r="E2061" s="103"/>
      <c r="F2061" s="42"/>
      <c r="G2061" s="9"/>
      <c r="H2061" s="9"/>
      <c r="I2061" s="9"/>
      <c r="J2061" s="9"/>
      <c r="K2061" s="42"/>
      <c r="L2061" s="42"/>
      <c r="M2061" s="42"/>
      <c r="N2061" s="42"/>
      <c r="O2061" s="42"/>
      <c r="P2061" s="9"/>
      <c r="Q2061" s="9"/>
      <c r="R2061" s="42"/>
      <c r="S2061" s="42"/>
      <c r="T2061" s="42"/>
      <c r="U2061" s="42"/>
      <c r="V2061" s="42"/>
      <c r="W2061" s="42"/>
    </row>
    <row r="2062">
      <c r="A2062" s="9"/>
      <c r="B2062" s="9"/>
      <c r="C2062" s="9"/>
      <c r="D2062" s="42"/>
      <c r="E2062" s="103"/>
      <c r="F2062" s="42"/>
      <c r="G2062" s="9"/>
      <c r="H2062" s="9"/>
      <c r="I2062" s="9"/>
      <c r="J2062" s="9"/>
      <c r="K2062" s="42"/>
      <c r="L2062" s="42"/>
      <c r="M2062" s="42"/>
      <c r="N2062" s="42"/>
      <c r="O2062" s="42"/>
      <c r="P2062" s="9"/>
      <c r="Q2062" s="9"/>
      <c r="R2062" s="42"/>
      <c r="S2062" s="42"/>
      <c r="T2062" s="42"/>
      <c r="U2062" s="42"/>
      <c r="V2062" s="42"/>
      <c r="W2062" s="42"/>
    </row>
    <row r="2063">
      <c r="A2063" s="9"/>
      <c r="B2063" s="9"/>
      <c r="C2063" s="9"/>
      <c r="D2063" s="42"/>
      <c r="E2063" s="103"/>
      <c r="F2063" s="42"/>
      <c r="G2063" s="9"/>
      <c r="H2063" s="9"/>
      <c r="I2063" s="9"/>
      <c r="J2063" s="9"/>
      <c r="K2063" s="42"/>
      <c r="L2063" s="42"/>
      <c r="M2063" s="42"/>
      <c r="N2063" s="42"/>
      <c r="O2063" s="42"/>
      <c r="P2063" s="9"/>
      <c r="Q2063" s="9"/>
      <c r="R2063" s="42"/>
      <c r="S2063" s="42"/>
      <c r="T2063" s="42"/>
      <c r="U2063" s="42"/>
      <c r="V2063" s="42"/>
      <c r="W2063" s="42"/>
    </row>
    <row r="2064">
      <c r="A2064" s="9"/>
      <c r="B2064" s="9"/>
      <c r="C2064" s="9"/>
      <c r="D2064" s="42"/>
      <c r="E2064" s="103"/>
      <c r="F2064" s="42"/>
      <c r="G2064" s="9"/>
      <c r="H2064" s="9"/>
      <c r="I2064" s="9"/>
      <c r="J2064" s="9"/>
      <c r="K2064" s="42"/>
      <c r="L2064" s="42"/>
      <c r="M2064" s="42"/>
      <c r="N2064" s="42"/>
      <c r="O2064" s="42"/>
      <c r="P2064" s="9"/>
      <c r="Q2064" s="9"/>
      <c r="R2064" s="42"/>
      <c r="S2064" s="42"/>
      <c r="T2064" s="42"/>
      <c r="U2064" s="42"/>
      <c r="V2064" s="42"/>
      <c r="W2064" s="42"/>
    </row>
    <row r="2065">
      <c r="A2065" s="9"/>
      <c r="B2065" s="9"/>
      <c r="C2065" s="9"/>
      <c r="D2065" s="42"/>
      <c r="E2065" s="103"/>
      <c r="F2065" s="42"/>
      <c r="G2065" s="9"/>
      <c r="H2065" s="9"/>
      <c r="I2065" s="9"/>
      <c r="J2065" s="9"/>
      <c r="K2065" s="42"/>
      <c r="L2065" s="42"/>
      <c r="M2065" s="42"/>
      <c r="N2065" s="42"/>
      <c r="O2065" s="42"/>
      <c r="P2065" s="9"/>
      <c r="Q2065" s="9"/>
      <c r="R2065" s="42"/>
      <c r="S2065" s="42"/>
      <c r="T2065" s="42"/>
      <c r="U2065" s="42"/>
      <c r="V2065" s="42"/>
      <c r="W2065" s="42"/>
    </row>
    <row r="2066">
      <c r="A2066" s="9"/>
      <c r="B2066" s="9"/>
      <c r="C2066" s="9"/>
      <c r="D2066" s="42"/>
      <c r="E2066" s="103"/>
      <c r="F2066" s="42"/>
      <c r="G2066" s="9"/>
      <c r="H2066" s="9"/>
      <c r="I2066" s="9"/>
      <c r="J2066" s="9"/>
      <c r="K2066" s="42"/>
      <c r="L2066" s="42"/>
      <c r="M2066" s="42"/>
      <c r="N2066" s="42"/>
      <c r="O2066" s="42"/>
      <c r="P2066" s="9"/>
      <c r="Q2066" s="9"/>
      <c r="R2066" s="42"/>
      <c r="S2066" s="42"/>
      <c r="T2066" s="42"/>
      <c r="U2066" s="42"/>
      <c r="V2066" s="42"/>
      <c r="W2066" s="42"/>
    </row>
    <row r="2067">
      <c r="A2067" s="9"/>
      <c r="B2067" s="9"/>
      <c r="C2067" s="9"/>
      <c r="D2067" s="42"/>
      <c r="E2067" s="103"/>
      <c r="F2067" s="42"/>
      <c r="G2067" s="9"/>
      <c r="H2067" s="9"/>
      <c r="I2067" s="9"/>
      <c r="J2067" s="9"/>
      <c r="K2067" s="42"/>
      <c r="L2067" s="42"/>
      <c r="M2067" s="42"/>
      <c r="N2067" s="42"/>
      <c r="O2067" s="42"/>
      <c r="P2067" s="9"/>
      <c r="Q2067" s="9"/>
      <c r="R2067" s="42"/>
      <c r="S2067" s="42"/>
      <c r="T2067" s="42"/>
      <c r="U2067" s="42"/>
      <c r="V2067" s="42"/>
      <c r="W2067" s="42"/>
    </row>
    <row r="2068">
      <c r="A2068" s="9"/>
      <c r="B2068" s="9"/>
      <c r="C2068" s="9"/>
      <c r="D2068" s="42"/>
      <c r="E2068" s="103"/>
      <c r="F2068" s="42"/>
      <c r="G2068" s="9"/>
      <c r="H2068" s="9"/>
      <c r="I2068" s="9"/>
      <c r="J2068" s="9"/>
      <c r="K2068" s="42"/>
      <c r="L2068" s="42"/>
      <c r="M2068" s="42"/>
      <c r="N2068" s="42"/>
      <c r="O2068" s="42"/>
      <c r="P2068" s="9"/>
      <c r="Q2068" s="9"/>
      <c r="R2068" s="42"/>
      <c r="S2068" s="42"/>
      <c r="T2068" s="42"/>
      <c r="U2068" s="42"/>
      <c r="V2068" s="42"/>
      <c r="W2068" s="42"/>
    </row>
    <row r="2069">
      <c r="A2069" s="9"/>
      <c r="B2069" s="9"/>
      <c r="C2069" s="9"/>
      <c r="D2069" s="42"/>
      <c r="E2069" s="103"/>
      <c r="F2069" s="42"/>
      <c r="G2069" s="9"/>
      <c r="H2069" s="9"/>
      <c r="I2069" s="9"/>
      <c r="J2069" s="9"/>
      <c r="K2069" s="42"/>
      <c r="L2069" s="42"/>
      <c r="M2069" s="42"/>
      <c r="N2069" s="42"/>
      <c r="O2069" s="42"/>
      <c r="P2069" s="9"/>
      <c r="Q2069" s="9"/>
      <c r="R2069" s="42"/>
      <c r="S2069" s="42"/>
      <c r="T2069" s="42"/>
      <c r="U2069" s="42"/>
      <c r="V2069" s="42"/>
      <c r="W2069" s="42"/>
    </row>
    <row r="2070">
      <c r="A2070" s="9"/>
      <c r="B2070" s="9"/>
      <c r="C2070" s="9"/>
      <c r="D2070" s="42"/>
      <c r="E2070" s="103"/>
      <c r="F2070" s="42"/>
      <c r="G2070" s="9"/>
      <c r="H2070" s="9"/>
      <c r="I2070" s="9"/>
      <c r="J2070" s="9"/>
      <c r="K2070" s="42"/>
      <c r="L2070" s="42"/>
      <c r="M2070" s="42"/>
      <c r="N2070" s="42"/>
      <c r="O2070" s="42"/>
      <c r="P2070" s="9"/>
      <c r="Q2070" s="9"/>
      <c r="R2070" s="42"/>
      <c r="S2070" s="42"/>
      <c r="T2070" s="42"/>
      <c r="U2070" s="42"/>
      <c r="V2070" s="42"/>
      <c r="W2070" s="42"/>
    </row>
    <row r="2071">
      <c r="A2071" s="9"/>
      <c r="B2071" s="9"/>
      <c r="C2071" s="9"/>
      <c r="D2071" s="42"/>
      <c r="E2071" s="103"/>
      <c r="F2071" s="42"/>
      <c r="G2071" s="9"/>
      <c r="H2071" s="9"/>
      <c r="I2071" s="9"/>
      <c r="J2071" s="9"/>
      <c r="K2071" s="42"/>
      <c r="L2071" s="42"/>
      <c r="M2071" s="42"/>
      <c r="N2071" s="42"/>
      <c r="O2071" s="42"/>
      <c r="P2071" s="9"/>
      <c r="Q2071" s="9"/>
      <c r="R2071" s="42"/>
      <c r="S2071" s="42"/>
      <c r="T2071" s="42"/>
      <c r="U2071" s="42"/>
      <c r="V2071" s="42"/>
      <c r="W2071" s="42"/>
    </row>
    <row r="2072">
      <c r="A2072" s="9"/>
      <c r="B2072" s="9"/>
      <c r="C2072" s="9"/>
      <c r="D2072" s="42"/>
      <c r="E2072" s="103"/>
      <c r="F2072" s="42"/>
      <c r="G2072" s="9"/>
      <c r="H2072" s="9"/>
      <c r="I2072" s="9"/>
      <c r="J2072" s="9"/>
      <c r="K2072" s="42"/>
      <c r="L2072" s="42"/>
      <c r="M2072" s="42"/>
      <c r="N2072" s="42"/>
      <c r="O2072" s="42"/>
      <c r="P2072" s="9"/>
      <c r="Q2072" s="9"/>
      <c r="R2072" s="42"/>
      <c r="S2072" s="42"/>
      <c r="T2072" s="42"/>
      <c r="U2072" s="42"/>
      <c r="V2072" s="42"/>
      <c r="W2072" s="42"/>
    </row>
    <row r="2073">
      <c r="A2073" s="9"/>
      <c r="B2073" s="9"/>
      <c r="C2073" s="9"/>
      <c r="D2073" s="42"/>
      <c r="E2073" s="103"/>
      <c r="F2073" s="42"/>
      <c r="G2073" s="9"/>
      <c r="H2073" s="9"/>
      <c r="I2073" s="9"/>
      <c r="J2073" s="9"/>
      <c r="K2073" s="42"/>
      <c r="L2073" s="42"/>
      <c r="M2073" s="42"/>
      <c r="N2073" s="42"/>
      <c r="O2073" s="42"/>
      <c r="P2073" s="9"/>
      <c r="Q2073" s="9"/>
      <c r="R2073" s="42"/>
      <c r="S2073" s="42"/>
      <c r="T2073" s="42"/>
      <c r="U2073" s="42"/>
      <c r="V2073" s="42"/>
      <c r="W2073" s="42"/>
    </row>
    <row r="2074">
      <c r="A2074" s="9"/>
      <c r="B2074" s="9"/>
      <c r="C2074" s="9"/>
      <c r="D2074" s="42"/>
      <c r="E2074" s="103"/>
      <c r="F2074" s="42"/>
      <c r="G2074" s="9"/>
      <c r="H2074" s="9"/>
      <c r="I2074" s="9"/>
      <c r="J2074" s="9"/>
      <c r="K2074" s="42"/>
      <c r="L2074" s="42"/>
      <c r="M2074" s="42"/>
      <c r="N2074" s="42"/>
      <c r="O2074" s="42"/>
      <c r="P2074" s="9"/>
      <c r="Q2074" s="9"/>
      <c r="R2074" s="42"/>
      <c r="S2074" s="42"/>
      <c r="T2074" s="42"/>
      <c r="U2074" s="42"/>
      <c r="V2074" s="42"/>
      <c r="W2074" s="42"/>
    </row>
    <row r="2075">
      <c r="A2075" s="9"/>
      <c r="B2075" s="9"/>
      <c r="C2075" s="9"/>
      <c r="D2075" s="42"/>
      <c r="E2075" s="103"/>
      <c r="F2075" s="42"/>
      <c r="G2075" s="9"/>
      <c r="H2075" s="9"/>
      <c r="I2075" s="9"/>
      <c r="J2075" s="9"/>
      <c r="K2075" s="42"/>
      <c r="L2075" s="42"/>
      <c r="M2075" s="42"/>
      <c r="N2075" s="42"/>
      <c r="O2075" s="42"/>
      <c r="P2075" s="9"/>
      <c r="Q2075" s="9"/>
      <c r="R2075" s="42"/>
      <c r="S2075" s="42"/>
      <c r="T2075" s="42"/>
      <c r="U2075" s="42"/>
      <c r="V2075" s="42"/>
      <c r="W2075" s="42"/>
    </row>
    <row r="2076">
      <c r="A2076" s="9"/>
      <c r="B2076" s="9"/>
      <c r="C2076" s="9"/>
      <c r="D2076" s="42"/>
      <c r="E2076" s="103"/>
      <c r="F2076" s="42"/>
      <c r="G2076" s="9"/>
      <c r="H2076" s="9"/>
      <c r="I2076" s="9"/>
      <c r="J2076" s="9"/>
      <c r="K2076" s="42"/>
      <c r="L2076" s="42"/>
      <c r="M2076" s="42"/>
      <c r="N2076" s="42"/>
      <c r="O2076" s="42"/>
      <c r="P2076" s="9"/>
      <c r="Q2076" s="9"/>
      <c r="R2076" s="42"/>
      <c r="S2076" s="42"/>
      <c r="T2076" s="42"/>
      <c r="U2076" s="42"/>
      <c r="V2076" s="42"/>
      <c r="W2076" s="42"/>
    </row>
    <row r="2077">
      <c r="A2077" s="9"/>
      <c r="B2077" s="9"/>
      <c r="C2077" s="9"/>
      <c r="D2077" s="42"/>
      <c r="E2077" s="103"/>
      <c r="F2077" s="42"/>
      <c r="G2077" s="9"/>
      <c r="H2077" s="9"/>
      <c r="I2077" s="9"/>
      <c r="J2077" s="9"/>
      <c r="K2077" s="42"/>
      <c r="L2077" s="42"/>
      <c r="M2077" s="42"/>
      <c r="N2077" s="42"/>
      <c r="O2077" s="42"/>
      <c r="P2077" s="9"/>
      <c r="Q2077" s="9"/>
      <c r="R2077" s="42"/>
      <c r="S2077" s="42"/>
      <c r="T2077" s="42"/>
      <c r="U2077" s="42"/>
      <c r="V2077" s="42"/>
      <c r="W2077" s="42"/>
    </row>
    <row r="2078">
      <c r="A2078" s="9"/>
      <c r="B2078" s="9"/>
      <c r="C2078" s="9"/>
      <c r="D2078" s="42"/>
      <c r="E2078" s="103"/>
      <c r="F2078" s="42"/>
      <c r="G2078" s="9"/>
      <c r="H2078" s="9"/>
      <c r="I2078" s="9"/>
      <c r="J2078" s="9"/>
      <c r="K2078" s="42"/>
      <c r="L2078" s="42"/>
      <c r="M2078" s="42"/>
      <c r="N2078" s="42"/>
      <c r="O2078" s="42"/>
      <c r="P2078" s="9"/>
      <c r="Q2078" s="9"/>
      <c r="R2078" s="42"/>
      <c r="S2078" s="42"/>
      <c r="T2078" s="42"/>
      <c r="U2078" s="42"/>
      <c r="V2078" s="42"/>
      <c r="W2078" s="42"/>
    </row>
    <row r="2079">
      <c r="A2079" s="9"/>
      <c r="B2079" s="9"/>
      <c r="C2079" s="9"/>
      <c r="D2079" s="42"/>
      <c r="E2079" s="103"/>
      <c r="F2079" s="42"/>
      <c r="G2079" s="9"/>
      <c r="H2079" s="9"/>
      <c r="I2079" s="9"/>
      <c r="J2079" s="9"/>
      <c r="K2079" s="42"/>
      <c r="L2079" s="42"/>
      <c r="M2079" s="42"/>
      <c r="N2079" s="42"/>
      <c r="O2079" s="42"/>
      <c r="P2079" s="9"/>
      <c r="Q2079" s="9"/>
      <c r="R2079" s="42"/>
      <c r="S2079" s="42"/>
      <c r="T2079" s="42"/>
      <c r="U2079" s="42"/>
      <c r="V2079" s="42"/>
      <c r="W2079" s="42"/>
    </row>
    <row r="2080">
      <c r="A2080" s="9"/>
      <c r="B2080" s="9"/>
      <c r="C2080" s="9"/>
      <c r="D2080" s="42"/>
      <c r="E2080" s="103"/>
      <c r="F2080" s="42"/>
      <c r="G2080" s="9"/>
      <c r="H2080" s="9"/>
      <c r="I2080" s="9"/>
      <c r="J2080" s="9"/>
      <c r="K2080" s="42"/>
      <c r="L2080" s="42"/>
      <c r="M2080" s="42"/>
      <c r="N2080" s="42"/>
      <c r="O2080" s="42"/>
      <c r="P2080" s="9"/>
      <c r="Q2080" s="9"/>
      <c r="R2080" s="42"/>
      <c r="S2080" s="42"/>
      <c r="T2080" s="42"/>
      <c r="U2080" s="42"/>
      <c r="V2080" s="42"/>
      <c r="W2080" s="42"/>
    </row>
    <row r="2081">
      <c r="A2081" s="9"/>
      <c r="B2081" s="9"/>
      <c r="C2081" s="9"/>
      <c r="D2081" s="42"/>
      <c r="E2081" s="103"/>
      <c r="F2081" s="42"/>
      <c r="G2081" s="9"/>
      <c r="H2081" s="9"/>
      <c r="I2081" s="9"/>
      <c r="J2081" s="9"/>
      <c r="K2081" s="42"/>
      <c r="L2081" s="42"/>
      <c r="M2081" s="42"/>
      <c r="N2081" s="42"/>
      <c r="O2081" s="42"/>
      <c r="P2081" s="9"/>
      <c r="Q2081" s="9"/>
      <c r="R2081" s="42"/>
      <c r="S2081" s="42"/>
      <c r="T2081" s="42"/>
      <c r="U2081" s="42"/>
      <c r="V2081" s="42"/>
      <c r="W2081" s="42"/>
    </row>
    <row r="2082">
      <c r="A2082" s="9"/>
      <c r="B2082" s="9"/>
      <c r="C2082" s="9"/>
      <c r="D2082" s="42"/>
      <c r="E2082" s="103"/>
      <c r="F2082" s="42"/>
      <c r="G2082" s="9"/>
      <c r="H2082" s="9"/>
      <c r="I2082" s="9"/>
      <c r="J2082" s="9"/>
      <c r="K2082" s="42"/>
      <c r="L2082" s="42"/>
      <c r="M2082" s="42"/>
      <c r="N2082" s="42"/>
      <c r="O2082" s="42"/>
      <c r="P2082" s="9"/>
      <c r="Q2082" s="9"/>
      <c r="R2082" s="42"/>
      <c r="S2082" s="42"/>
      <c r="T2082" s="42"/>
      <c r="U2082" s="42"/>
      <c r="V2082" s="42"/>
      <c r="W2082" s="42"/>
    </row>
    <row r="2083">
      <c r="A2083" s="9"/>
      <c r="B2083" s="9"/>
      <c r="C2083" s="9"/>
      <c r="D2083" s="42"/>
      <c r="E2083" s="103"/>
      <c r="F2083" s="42"/>
      <c r="G2083" s="9"/>
      <c r="H2083" s="9"/>
      <c r="I2083" s="9"/>
      <c r="J2083" s="9"/>
      <c r="K2083" s="42"/>
      <c r="L2083" s="42"/>
      <c r="M2083" s="42"/>
      <c r="N2083" s="42"/>
      <c r="O2083" s="42"/>
      <c r="P2083" s="9"/>
      <c r="Q2083" s="9"/>
      <c r="R2083" s="42"/>
      <c r="S2083" s="42"/>
      <c r="T2083" s="42"/>
      <c r="U2083" s="42"/>
      <c r="V2083" s="42"/>
      <c r="W2083" s="42"/>
    </row>
    <row r="2084">
      <c r="A2084" s="9"/>
      <c r="B2084" s="9"/>
      <c r="C2084" s="9"/>
      <c r="D2084" s="42"/>
      <c r="E2084" s="103"/>
      <c r="F2084" s="42"/>
      <c r="G2084" s="9"/>
      <c r="H2084" s="9"/>
      <c r="I2084" s="9"/>
      <c r="J2084" s="9"/>
      <c r="K2084" s="42"/>
      <c r="L2084" s="42"/>
      <c r="M2084" s="42"/>
      <c r="N2084" s="42"/>
      <c r="O2084" s="42"/>
      <c r="P2084" s="9"/>
      <c r="Q2084" s="9"/>
      <c r="R2084" s="42"/>
      <c r="S2084" s="42"/>
      <c r="T2084" s="42"/>
      <c r="U2084" s="42"/>
      <c r="V2084" s="42"/>
      <c r="W2084" s="42"/>
    </row>
    <row r="2085">
      <c r="A2085" s="9"/>
      <c r="B2085" s="9"/>
      <c r="C2085" s="9"/>
      <c r="D2085" s="42"/>
      <c r="E2085" s="103"/>
      <c r="F2085" s="42"/>
      <c r="G2085" s="9"/>
      <c r="H2085" s="9"/>
      <c r="I2085" s="9"/>
      <c r="J2085" s="9"/>
      <c r="K2085" s="42"/>
      <c r="L2085" s="42"/>
      <c r="M2085" s="42"/>
      <c r="N2085" s="42"/>
      <c r="O2085" s="42"/>
      <c r="P2085" s="9"/>
      <c r="Q2085" s="9"/>
      <c r="R2085" s="42"/>
      <c r="S2085" s="42"/>
      <c r="T2085" s="42"/>
      <c r="U2085" s="42"/>
      <c r="V2085" s="42"/>
      <c r="W2085" s="42"/>
    </row>
    <row r="2086">
      <c r="A2086" s="9"/>
      <c r="B2086" s="9"/>
      <c r="C2086" s="9"/>
      <c r="D2086" s="42"/>
      <c r="E2086" s="103"/>
      <c r="F2086" s="42"/>
      <c r="G2086" s="9"/>
      <c r="H2086" s="9"/>
      <c r="I2086" s="9"/>
      <c r="J2086" s="9"/>
      <c r="K2086" s="42"/>
      <c r="L2086" s="42"/>
      <c r="M2086" s="42"/>
      <c r="N2086" s="42"/>
      <c r="O2086" s="42"/>
      <c r="P2086" s="9"/>
      <c r="Q2086" s="9"/>
      <c r="R2086" s="42"/>
      <c r="S2086" s="42"/>
      <c r="T2086" s="42"/>
      <c r="U2086" s="42"/>
      <c r="V2086" s="42"/>
      <c r="W2086" s="42"/>
    </row>
    <row r="2087">
      <c r="A2087" s="9"/>
      <c r="B2087" s="9"/>
      <c r="C2087" s="9"/>
      <c r="D2087" s="42"/>
      <c r="E2087" s="103"/>
      <c r="F2087" s="42"/>
      <c r="G2087" s="9"/>
      <c r="H2087" s="9"/>
      <c r="I2087" s="9"/>
      <c r="J2087" s="9"/>
      <c r="K2087" s="42"/>
      <c r="L2087" s="42"/>
      <c r="M2087" s="42"/>
      <c r="N2087" s="42"/>
      <c r="O2087" s="42"/>
      <c r="P2087" s="9"/>
      <c r="Q2087" s="9"/>
      <c r="R2087" s="42"/>
      <c r="S2087" s="42"/>
      <c r="T2087" s="42"/>
      <c r="U2087" s="42"/>
      <c r="V2087" s="42"/>
      <c r="W2087" s="42"/>
    </row>
    <row r="2088">
      <c r="A2088" s="9"/>
      <c r="B2088" s="9"/>
      <c r="C2088" s="9"/>
      <c r="D2088" s="42"/>
      <c r="E2088" s="103"/>
      <c r="F2088" s="42"/>
      <c r="G2088" s="9"/>
      <c r="H2088" s="9"/>
      <c r="I2088" s="9"/>
      <c r="J2088" s="9"/>
      <c r="K2088" s="42"/>
      <c r="L2088" s="42"/>
      <c r="M2088" s="42"/>
      <c r="N2088" s="42"/>
      <c r="O2088" s="42"/>
      <c r="P2088" s="9"/>
      <c r="Q2088" s="9"/>
      <c r="R2088" s="42"/>
      <c r="S2088" s="42"/>
      <c r="T2088" s="42"/>
      <c r="U2088" s="42"/>
      <c r="V2088" s="42"/>
      <c r="W2088" s="42"/>
    </row>
    <row r="2089">
      <c r="A2089" s="9"/>
      <c r="B2089" s="9"/>
      <c r="C2089" s="9"/>
      <c r="D2089" s="42"/>
      <c r="E2089" s="103"/>
      <c r="F2089" s="42"/>
      <c r="G2089" s="9"/>
      <c r="H2089" s="9"/>
      <c r="I2089" s="9"/>
      <c r="J2089" s="9"/>
      <c r="K2089" s="42"/>
      <c r="L2089" s="42"/>
      <c r="M2089" s="42"/>
      <c r="N2089" s="42"/>
      <c r="O2089" s="42"/>
      <c r="P2089" s="9"/>
      <c r="Q2089" s="9"/>
      <c r="R2089" s="42"/>
      <c r="S2089" s="42"/>
      <c r="T2089" s="42"/>
      <c r="U2089" s="42"/>
      <c r="V2089" s="42"/>
      <c r="W2089" s="42"/>
    </row>
    <row r="2090">
      <c r="A2090" s="9"/>
      <c r="B2090" s="9"/>
      <c r="C2090" s="9"/>
      <c r="D2090" s="42"/>
      <c r="E2090" s="103"/>
      <c r="F2090" s="42"/>
      <c r="G2090" s="9"/>
      <c r="H2090" s="9"/>
      <c r="I2090" s="9"/>
      <c r="J2090" s="9"/>
      <c r="K2090" s="42"/>
      <c r="L2090" s="42"/>
      <c r="M2090" s="42"/>
      <c r="N2090" s="42"/>
      <c r="O2090" s="42"/>
      <c r="P2090" s="9"/>
      <c r="Q2090" s="9"/>
      <c r="R2090" s="42"/>
      <c r="S2090" s="42"/>
      <c r="T2090" s="42"/>
      <c r="U2090" s="42"/>
      <c r="V2090" s="42"/>
      <c r="W2090" s="42"/>
    </row>
    <row r="2091">
      <c r="A2091" s="9"/>
      <c r="B2091" s="9"/>
      <c r="C2091" s="9"/>
      <c r="D2091" s="42"/>
      <c r="E2091" s="103"/>
      <c r="F2091" s="42"/>
      <c r="G2091" s="9"/>
      <c r="H2091" s="9"/>
      <c r="I2091" s="9"/>
      <c r="J2091" s="9"/>
      <c r="K2091" s="42"/>
      <c r="L2091" s="42"/>
      <c r="M2091" s="42"/>
      <c r="N2091" s="42"/>
      <c r="O2091" s="42"/>
      <c r="P2091" s="9"/>
      <c r="Q2091" s="9"/>
      <c r="R2091" s="42"/>
      <c r="S2091" s="42"/>
      <c r="T2091" s="42"/>
      <c r="U2091" s="42"/>
      <c r="V2091" s="42"/>
      <c r="W2091" s="42"/>
    </row>
    <row r="2092">
      <c r="A2092" s="9"/>
      <c r="B2092" s="9"/>
      <c r="C2092" s="9"/>
      <c r="D2092" s="42"/>
      <c r="E2092" s="103"/>
      <c r="F2092" s="42"/>
      <c r="G2092" s="9"/>
      <c r="H2092" s="9"/>
      <c r="I2092" s="9"/>
      <c r="J2092" s="9"/>
      <c r="K2092" s="42"/>
      <c r="L2092" s="42"/>
      <c r="M2092" s="42"/>
      <c r="N2092" s="42"/>
      <c r="O2092" s="42"/>
      <c r="P2092" s="9"/>
      <c r="Q2092" s="9"/>
      <c r="R2092" s="42"/>
      <c r="S2092" s="42"/>
      <c r="T2092" s="42"/>
      <c r="U2092" s="42"/>
      <c r="V2092" s="42"/>
      <c r="W2092" s="42"/>
    </row>
    <row r="2093">
      <c r="A2093" s="9"/>
      <c r="B2093" s="9"/>
      <c r="C2093" s="9"/>
      <c r="D2093" s="42"/>
      <c r="E2093" s="103"/>
      <c r="F2093" s="42"/>
      <c r="G2093" s="9"/>
      <c r="H2093" s="9"/>
      <c r="I2093" s="9"/>
      <c r="J2093" s="9"/>
      <c r="K2093" s="42"/>
      <c r="L2093" s="42"/>
      <c r="M2093" s="42"/>
      <c r="N2093" s="42"/>
      <c r="O2093" s="42"/>
      <c r="P2093" s="9"/>
      <c r="Q2093" s="9"/>
      <c r="R2093" s="42"/>
      <c r="S2093" s="42"/>
      <c r="T2093" s="42"/>
      <c r="U2093" s="42"/>
      <c r="V2093" s="42"/>
      <c r="W2093" s="42"/>
    </row>
    <row r="2094">
      <c r="A2094" s="9"/>
      <c r="B2094" s="9"/>
      <c r="C2094" s="9"/>
      <c r="D2094" s="42"/>
      <c r="E2094" s="103"/>
      <c r="F2094" s="42"/>
      <c r="G2094" s="9"/>
      <c r="H2094" s="9"/>
      <c r="I2094" s="9"/>
      <c r="J2094" s="9"/>
      <c r="K2094" s="42"/>
      <c r="L2094" s="42"/>
      <c r="M2094" s="42"/>
      <c r="N2094" s="42"/>
      <c r="O2094" s="42"/>
      <c r="P2094" s="9"/>
      <c r="Q2094" s="9"/>
      <c r="R2094" s="42"/>
      <c r="S2094" s="42"/>
      <c r="T2094" s="42"/>
      <c r="U2094" s="42"/>
      <c r="V2094" s="42"/>
      <c r="W2094" s="42"/>
    </row>
    <row r="2095">
      <c r="A2095" s="9"/>
      <c r="B2095" s="9"/>
      <c r="C2095" s="9"/>
      <c r="D2095" s="42"/>
      <c r="E2095" s="103"/>
      <c r="F2095" s="42"/>
      <c r="G2095" s="9"/>
      <c r="H2095" s="9"/>
      <c r="I2095" s="9"/>
      <c r="J2095" s="9"/>
      <c r="K2095" s="42"/>
      <c r="L2095" s="42"/>
      <c r="M2095" s="42"/>
      <c r="N2095" s="42"/>
      <c r="O2095" s="42"/>
      <c r="P2095" s="9"/>
      <c r="Q2095" s="9"/>
      <c r="R2095" s="42"/>
      <c r="S2095" s="42"/>
      <c r="T2095" s="42"/>
      <c r="U2095" s="42"/>
      <c r="V2095" s="42"/>
      <c r="W2095" s="42"/>
    </row>
    <row r="2096">
      <c r="A2096" s="9"/>
      <c r="B2096" s="9"/>
      <c r="C2096" s="9"/>
      <c r="D2096" s="42"/>
      <c r="E2096" s="103"/>
      <c r="F2096" s="42"/>
      <c r="G2096" s="9"/>
      <c r="H2096" s="9"/>
      <c r="I2096" s="9"/>
      <c r="J2096" s="9"/>
      <c r="K2096" s="42"/>
      <c r="L2096" s="42"/>
      <c r="M2096" s="42"/>
      <c r="N2096" s="42"/>
      <c r="O2096" s="42"/>
      <c r="P2096" s="9"/>
      <c r="Q2096" s="9"/>
      <c r="R2096" s="42"/>
      <c r="S2096" s="42"/>
      <c r="T2096" s="42"/>
      <c r="U2096" s="42"/>
      <c r="V2096" s="42"/>
      <c r="W2096" s="42"/>
    </row>
    <row r="2097">
      <c r="A2097" s="9"/>
      <c r="B2097" s="9"/>
      <c r="C2097" s="9"/>
      <c r="D2097" s="42"/>
      <c r="E2097" s="103"/>
      <c r="F2097" s="42"/>
      <c r="G2097" s="9"/>
      <c r="H2097" s="9"/>
      <c r="I2097" s="9"/>
      <c r="J2097" s="9"/>
      <c r="K2097" s="42"/>
      <c r="L2097" s="42"/>
      <c r="M2097" s="42"/>
      <c r="N2097" s="42"/>
      <c r="O2097" s="42"/>
      <c r="P2097" s="9"/>
      <c r="Q2097" s="9"/>
      <c r="R2097" s="42"/>
      <c r="S2097" s="42"/>
      <c r="T2097" s="42"/>
      <c r="U2097" s="42"/>
      <c r="V2097" s="42"/>
      <c r="W2097" s="42"/>
    </row>
    <row r="2098">
      <c r="A2098" s="9"/>
      <c r="B2098" s="9"/>
      <c r="C2098" s="9"/>
      <c r="D2098" s="42"/>
      <c r="E2098" s="103"/>
      <c r="F2098" s="42"/>
      <c r="G2098" s="9"/>
      <c r="H2098" s="9"/>
      <c r="I2098" s="9"/>
      <c r="J2098" s="9"/>
      <c r="K2098" s="42"/>
      <c r="L2098" s="42"/>
      <c r="M2098" s="42"/>
      <c r="N2098" s="42"/>
      <c r="O2098" s="42"/>
      <c r="P2098" s="9"/>
      <c r="Q2098" s="9"/>
      <c r="R2098" s="42"/>
      <c r="S2098" s="42"/>
      <c r="T2098" s="42"/>
      <c r="U2098" s="42"/>
      <c r="V2098" s="42"/>
      <c r="W2098" s="42"/>
    </row>
    <row r="2099">
      <c r="A2099" s="9"/>
      <c r="B2099" s="9"/>
      <c r="C2099" s="9"/>
      <c r="D2099" s="42"/>
      <c r="E2099" s="103"/>
      <c r="F2099" s="42"/>
      <c r="G2099" s="9"/>
      <c r="H2099" s="9"/>
      <c r="I2099" s="9"/>
      <c r="J2099" s="9"/>
      <c r="K2099" s="42"/>
      <c r="L2099" s="42"/>
      <c r="M2099" s="42"/>
      <c r="N2099" s="42"/>
      <c r="O2099" s="42"/>
      <c r="P2099" s="9"/>
      <c r="Q2099" s="9"/>
      <c r="R2099" s="42"/>
      <c r="S2099" s="42"/>
      <c r="T2099" s="42"/>
      <c r="U2099" s="42"/>
      <c r="V2099" s="42"/>
      <c r="W2099" s="42"/>
    </row>
    <row r="2100">
      <c r="A2100" s="9"/>
      <c r="B2100" s="9"/>
      <c r="C2100" s="9"/>
      <c r="D2100" s="42"/>
      <c r="E2100" s="103"/>
      <c r="F2100" s="42"/>
      <c r="G2100" s="9"/>
      <c r="H2100" s="9"/>
      <c r="I2100" s="9"/>
      <c r="J2100" s="9"/>
      <c r="K2100" s="42"/>
      <c r="L2100" s="42"/>
      <c r="M2100" s="42"/>
      <c r="N2100" s="42"/>
      <c r="O2100" s="42"/>
      <c r="P2100" s="9"/>
      <c r="Q2100" s="9"/>
      <c r="R2100" s="42"/>
      <c r="S2100" s="42"/>
      <c r="T2100" s="42"/>
      <c r="U2100" s="42"/>
      <c r="V2100" s="42"/>
      <c r="W2100" s="42"/>
    </row>
    <row r="2101">
      <c r="A2101" s="9"/>
      <c r="B2101" s="9"/>
      <c r="C2101" s="9"/>
      <c r="D2101" s="42"/>
      <c r="E2101" s="103"/>
      <c r="F2101" s="42"/>
      <c r="G2101" s="9"/>
      <c r="H2101" s="9"/>
      <c r="I2101" s="9"/>
      <c r="J2101" s="9"/>
      <c r="K2101" s="42"/>
      <c r="L2101" s="42"/>
      <c r="M2101" s="42"/>
      <c r="N2101" s="42"/>
      <c r="O2101" s="42"/>
      <c r="P2101" s="9"/>
      <c r="Q2101" s="9"/>
      <c r="R2101" s="42"/>
      <c r="S2101" s="42"/>
      <c r="T2101" s="42"/>
      <c r="U2101" s="42"/>
      <c r="V2101" s="42"/>
      <c r="W2101" s="42"/>
    </row>
    <row r="2102">
      <c r="A2102" s="9"/>
      <c r="B2102" s="9"/>
      <c r="C2102" s="9"/>
      <c r="D2102" s="42"/>
      <c r="E2102" s="103"/>
      <c r="F2102" s="42"/>
      <c r="G2102" s="9"/>
      <c r="H2102" s="9"/>
      <c r="I2102" s="9"/>
      <c r="J2102" s="9"/>
      <c r="K2102" s="42"/>
      <c r="L2102" s="42"/>
      <c r="M2102" s="42"/>
      <c r="N2102" s="42"/>
      <c r="O2102" s="42"/>
      <c r="P2102" s="9"/>
      <c r="Q2102" s="9"/>
      <c r="R2102" s="42"/>
      <c r="S2102" s="42"/>
      <c r="T2102" s="42"/>
      <c r="U2102" s="42"/>
      <c r="V2102" s="42"/>
      <c r="W2102" s="42"/>
    </row>
    <row r="2103">
      <c r="A2103" s="9"/>
      <c r="B2103" s="9"/>
      <c r="C2103" s="9"/>
      <c r="D2103" s="42"/>
      <c r="E2103" s="103"/>
      <c r="F2103" s="42"/>
      <c r="G2103" s="9"/>
      <c r="H2103" s="9"/>
      <c r="I2103" s="9"/>
      <c r="J2103" s="9"/>
      <c r="K2103" s="42"/>
      <c r="L2103" s="42"/>
      <c r="M2103" s="42"/>
      <c r="N2103" s="42"/>
      <c r="O2103" s="42"/>
      <c r="P2103" s="9"/>
      <c r="Q2103" s="9"/>
      <c r="R2103" s="42"/>
      <c r="S2103" s="42"/>
      <c r="T2103" s="42"/>
      <c r="U2103" s="42"/>
      <c r="V2103" s="42"/>
      <c r="W2103" s="42"/>
    </row>
    <row r="2104">
      <c r="A2104" s="9"/>
      <c r="B2104" s="9"/>
      <c r="C2104" s="9"/>
      <c r="D2104" s="42"/>
      <c r="E2104" s="103"/>
      <c r="F2104" s="42"/>
      <c r="G2104" s="9"/>
      <c r="H2104" s="9"/>
      <c r="I2104" s="9"/>
      <c r="J2104" s="9"/>
      <c r="K2104" s="42"/>
      <c r="L2104" s="42"/>
      <c r="M2104" s="42"/>
      <c r="N2104" s="42"/>
      <c r="O2104" s="42"/>
      <c r="P2104" s="9"/>
      <c r="Q2104" s="9"/>
      <c r="R2104" s="42"/>
      <c r="S2104" s="42"/>
      <c r="T2104" s="42"/>
      <c r="U2104" s="42"/>
      <c r="V2104" s="42"/>
      <c r="W2104" s="42"/>
    </row>
    <row r="2105">
      <c r="A2105" s="9"/>
      <c r="B2105" s="9"/>
      <c r="C2105" s="9"/>
      <c r="D2105" s="42"/>
      <c r="E2105" s="103"/>
      <c r="F2105" s="42"/>
      <c r="G2105" s="9"/>
      <c r="H2105" s="9"/>
      <c r="I2105" s="9"/>
      <c r="J2105" s="9"/>
      <c r="K2105" s="42"/>
      <c r="L2105" s="42"/>
      <c r="M2105" s="42"/>
      <c r="N2105" s="42"/>
      <c r="O2105" s="42"/>
      <c r="P2105" s="9"/>
      <c r="Q2105" s="9"/>
      <c r="R2105" s="42"/>
      <c r="S2105" s="42"/>
      <c r="T2105" s="42"/>
      <c r="U2105" s="42"/>
      <c r="V2105" s="42"/>
      <c r="W2105" s="42"/>
    </row>
    <row r="2106">
      <c r="A2106" s="9"/>
      <c r="B2106" s="9"/>
      <c r="C2106" s="9"/>
      <c r="D2106" s="42"/>
      <c r="E2106" s="103"/>
      <c r="F2106" s="42"/>
      <c r="G2106" s="9"/>
      <c r="H2106" s="9"/>
      <c r="I2106" s="9"/>
      <c r="J2106" s="9"/>
      <c r="K2106" s="42"/>
      <c r="L2106" s="42"/>
      <c r="M2106" s="42"/>
      <c r="N2106" s="42"/>
      <c r="O2106" s="42"/>
      <c r="P2106" s="9"/>
      <c r="Q2106" s="9"/>
      <c r="R2106" s="42"/>
      <c r="S2106" s="42"/>
      <c r="T2106" s="42"/>
      <c r="U2106" s="42"/>
      <c r="V2106" s="42"/>
      <c r="W2106" s="42"/>
    </row>
    <row r="2107">
      <c r="A2107" s="9"/>
      <c r="B2107" s="9"/>
      <c r="C2107" s="9"/>
      <c r="D2107" s="42"/>
      <c r="E2107" s="103"/>
      <c r="F2107" s="42"/>
      <c r="G2107" s="9"/>
      <c r="H2107" s="9"/>
      <c r="I2107" s="9"/>
      <c r="J2107" s="9"/>
      <c r="K2107" s="42"/>
      <c r="L2107" s="42"/>
      <c r="M2107" s="42"/>
      <c r="N2107" s="42"/>
      <c r="O2107" s="42"/>
      <c r="P2107" s="9"/>
      <c r="Q2107" s="9"/>
      <c r="R2107" s="42"/>
      <c r="S2107" s="42"/>
      <c r="T2107" s="42"/>
      <c r="U2107" s="42"/>
      <c r="V2107" s="42"/>
      <c r="W2107" s="42"/>
    </row>
    <row r="2108">
      <c r="A2108" s="9"/>
      <c r="B2108" s="9"/>
      <c r="C2108" s="9"/>
      <c r="D2108" s="42"/>
      <c r="E2108" s="103"/>
      <c r="F2108" s="42"/>
      <c r="G2108" s="9"/>
      <c r="H2108" s="9"/>
      <c r="I2108" s="9"/>
      <c r="J2108" s="9"/>
      <c r="K2108" s="42"/>
      <c r="L2108" s="42"/>
      <c r="M2108" s="42"/>
      <c r="N2108" s="42"/>
      <c r="O2108" s="42"/>
      <c r="P2108" s="9"/>
      <c r="Q2108" s="9"/>
      <c r="R2108" s="42"/>
      <c r="S2108" s="42"/>
      <c r="T2108" s="42"/>
      <c r="U2108" s="42"/>
      <c r="V2108" s="42"/>
      <c r="W2108" s="42"/>
    </row>
    <row r="2109">
      <c r="A2109" s="9"/>
      <c r="B2109" s="9"/>
      <c r="C2109" s="9"/>
      <c r="D2109" s="42"/>
      <c r="E2109" s="103"/>
      <c r="F2109" s="42"/>
      <c r="G2109" s="9"/>
      <c r="H2109" s="9"/>
      <c r="I2109" s="9"/>
      <c r="J2109" s="9"/>
      <c r="K2109" s="42"/>
      <c r="L2109" s="42"/>
      <c r="M2109" s="42"/>
      <c r="N2109" s="42"/>
      <c r="O2109" s="42"/>
      <c r="P2109" s="9"/>
      <c r="Q2109" s="9"/>
      <c r="R2109" s="42"/>
      <c r="S2109" s="42"/>
      <c r="T2109" s="42"/>
      <c r="U2109" s="42"/>
      <c r="V2109" s="42"/>
      <c r="W2109" s="42"/>
    </row>
    <row r="2110">
      <c r="A2110" s="9"/>
      <c r="B2110" s="9"/>
      <c r="C2110" s="9"/>
      <c r="D2110" s="42"/>
      <c r="E2110" s="103"/>
      <c r="F2110" s="42"/>
      <c r="G2110" s="9"/>
      <c r="H2110" s="9"/>
      <c r="I2110" s="9"/>
      <c r="J2110" s="9"/>
      <c r="K2110" s="42"/>
      <c r="L2110" s="42"/>
      <c r="M2110" s="42"/>
      <c r="N2110" s="42"/>
      <c r="O2110" s="42"/>
      <c r="P2110" s="9"/>
      <c r="Q2110" s="9"/>
      <c r="R2110" s="42"/>
      <c r="S2110" s="42"/>
      <c r="T2110" s="42"/>
      <c r="U2110" s="42"/>
      <c r="V2110" s="42"/>
      <c r="W2110" s="42"/>
    </row>
    <row r="2111">
      <c r="A2111" s="9"/>
      <c r="B2111" s="9"/>
      <c r="C2111" s="9"/>
      <c r="D2111" s="42"/>
      <c r="E2111" s="103"/>
      <c r="F2111" s="42"/>
      <c r="G2111" s="9"/>
      <c r="H2111" s="9"/>
      <c r="I2111" s="9"/>
      <c r="J2111" s="9"/>
      <c r="K2111" s="42"/>
      <c r="L2111" s="42"/>
      <c r="M2111" s="42"/>
      <c r="N2111" s="42"/>
      <c r="O2111" s="42"/>
      <c r="P2111" s="9"/>
      <c r="Q2111" s="9"/>
      <c r="R2111" s="42"/>
      <c r="S2111" s="42"/>
      <c r="T2111" s="42"/>
      <c r="U2111" s="42"/>
      <c r="V2111" s="42"/>
      <c r="W2111" s="42"/>
    </row>
    <row r="2112">
      <c r="A2112" s="9"/>
      <c r="B2112" s="9"/>
      <c r="C2112" s="9"/>
      <c r="D2112" s="42"/>
      <c r="E2112" s="103"/>
      <c r="F2112" s="42"/>
      <c r="G2112" s="9"/>
      <c r="H2112" s="9"/>
      <c r="I2112" s="9"/>
      <c r="J2112" s="9"/>
      <c r="K2112" s="42"/>
      <c r="L2112" s="42"/>
      <c r="M2112" s="42"/>
      <c r="N2112" s="42"/>
      <c r="O2112" s="42"/>
      <c r="P2112" s="9"/>
      <c r="Q2112" s="9"/>
      <c r="R2112" s="42"/>
      <c r="S2112" s="42"/>
      <c r="T2112" s="42"/>
      <c r="U2112" s="42"/>
      <c r="V2112" s="42"/>
      <c r="W2112" s="42"/>
    </row>
    <row r="2113">
      <c r="A2113" s="9"/>
      <c r="B2113" s="9"/>
      <c r="C2113" s="9"/>
      <c r="D2113" s="42"/>
      <c r="E2113" s="103"/>
      <c r="F2113" s="42"/>
      <c r="G2113" s="9"/>
      <c r="H2113" s="9"/>
      <c r="I2113" s="9"/>
      <c r="J2113" s="9"/>
      <c r="K2113" s="42"/>
      <c r="L2113" s="42"/>
      <c r="M2113" s="42"/>
      <c r="N2113" s="42"/>
      <c r="O2113" s="42"/>
      <c r="P2113" s="9"/>
      <c r="Q2113" s="9"/>
      <c r="R2113" s="42"/>
      <c r="S2113" s="42"/>
      <c r="T2113" s="42"/>
      <c r="U2113" s="42"/>
      <c r="V2113" s="42"/>
      <c r="W2113" s="42"/>
    </row>
    <row r="2114">
      <c r="A2114" s="9"/>
      <c r="B2114" s="9"/>
      <c r="C2114" s="9"/>
      <c r="D2114" s="42"/>
      <c r="E2114" s="103"/>
      <c r="F2114" s="42"/>
      <c r="G2114" s="9"/>
      <c r="H2114" s="9"/>
      <c r="I2114" s="9"/>
      <c r="J2114" s="9"/>
      <c r="K2114" s="42"/>
      <c r="L2114" s="42"/>
      <c r="M2114" s="42"/>
      <c r="N2114" s="42"/>
      <c r="O2114" s="42"/>
      <c r="P2114" s="9"/>
      <c r="Q2114" s="9"/>
      <c r="R2114" s="42"/>
      <c r="S2114" s="42"/>
      <c r="T2114" s="42"/>
      <c r="U2114" s="42"/>
      <c r="V2114" s="42"/>
      <c r="W2114" s="42"/>
    </row>
    <row r="2115">
      <c r="A2115" s="9"/>
      <c r="B2115" s="9"/>
      <c r="C2115" s="9"/>
      <c r="D2115" s="42"/>
      <c r="E2115" s="103"/>
      <c r="F2115" s="42"/>
      <c r="G2115" s="9"/>
      <c r="H2115" s="9"/>
      <c r="I2115" s="9"/>
      <c r="J2115" s="9"/>
      <c r="K2115" s="42"/>
      <c r="L2115" s="42"/>
      <c r="M2115" s="42"/>
      <c r="N2115" s="42"/>
      <c r="O2115" s="42"/>
      <c r="P2115" s="9"/>
      <c r="Q2115" s="9"/>
      <c r="R2115" s="42"/>
      <c r="S2115" s="42"/>
      <c r="T2115" s="42"/>
      <c r="U2115" s="42"/>
      <c r="V2115" s="42"/>
      <c r="W2115" s="42"/>
    </row>
    <row r="2116">
      <c r="A2116" s="9"/>
      <c r="B2116" s="9"/>
      <c r="C2116" s="9"/>
      <c r="D2116" s="42"/>
      <c r="E2116" s="103"/>
      <c r="F2116" s="42"/>
      <c r="G2116" s="9"/>
      <c r="H2116" s="9"/>
      <c r="I2116" s="9"/>
      <c r="J2116" s="9"/>
      <c r="K2116" s="42"/>
      <c r="L2116" s="42"/>
      <c r="M2116" s="42"/>
      <c r="N2116" s="42"/>
      <c r="O2116" s="42"/>
      <c r="P2116" s="9"/>
      <c r="Q2116" s="9"/>
      <c r="R2116" s="42"/>
      <c r="S2116" s="42"/>
      <c r="T2116" s="42"/>
      <c r="U2116" s="42"/>
      <c r="V2116" s="42"/>
      <c r="W2116" s="42"/>
    </row>
    <row r="2117">
      <c r="A2117" s="9"/>
      <c r="B2117" s="9"/>
      <c r="C2117" s="9"/>
      <c r="D2117" s="42"/>
      <c r="E2117" s="103"/>
      <c r="F2117" s="42"/>
      <c r="G2117" s="9"/>
      <c r="H2117" s="9"/>
      <c r="I2117" s="9"/>
      <c r="J2117" s="9"/>
      <c r="K2117" s="42"/>
      <c r="L2117" s="42"/>
      <c r="M2117" s="42"/>
      <c r="N2117" s="42"/>
      <c r="O2117" s="42"/>
      <c r="P2117" s="9"/>
      <c r="Q2117" s="9"/>
      <c r="R2117" s="42"/>
      <c r="S2117" s="42"/>
      <c r="T2117" s="42"/>
      <c r="U2117" s="42"/>
      <c r="V2117" s="42"/>
      <c r="W2117" s="42"/>
    </row>
    <row r="2118">
      <c r="A2118" s="9"/>
      <c r="B2118" s="9"/>
      <c r="C2118" s="9"/>
      <c r="D2118" s="42"/>
      <c r="E2118" s="103"/>
      <c r="F2118" s="42"/>
      <c r="G2118" s="9"/>
      <c r="H2118" s="9"/>
      <c r="I2118" s="9"/>
      <c r="J2118" s="9"/>
      <c r="K2118" s="42"/>
      <c r="L2118" s="42"/>
      <c r="M2118" s="42"/>
      <c r="N2118" s="42"/>
      <c r="O2118" s="42"/>
      <c r="P2118" s="9"/>
      <c r="Q2118" s="9"/>
      <c r="R2118" s="42"/>
      <c r="S2118" s="42"/>
      <c r="T2118" s="42"/>
      <c r="U2118" s="42"/>
      <c r="V2118" s="42"/>
      <c r="W2118" s="42"/>
    </row>
    <row r="2119">
      <c r="A2119" s="9"/>
      <c r="B2119" s="9"/>
      <c r="C2119" s="9"/>
      <c r="D2119" s="42"/>
      <c r="E2119" s="103"/>
      <c r="F2119" s="42"/>
      <c r="G2119" s="9"/>
      <c r="H2119" s="9"/>
      <c r="I2119" s="9"/>
      <c r="J2119" s="9"/>
      <c r="K2119" s="42"/>
      <c r="L2119" s="42"/>
      <c r="M2119" s="42"/>
      <c r="N2119" s="42"/>
      <c r="O2119" s="42"/>
      <c r="P2119" s="9"/>
      <c r="Q2119" s="9"/>
      <c r="R2119" s="42"/>
      <c r="S2119" s="42"/>
      <c r="T2119" s="42"/>
      <c r="U2119" s="42"/>
      <c r="V2119" s="42"/>
      <c r="W2119" s="42"/>
    </row>
    <row r="2120">
      <c r="A2120" s="9"/>
      <c r="B2120" s="9"/>
      <c r="C2120" s="9"/>
      <c r="D2120" s="42"/>
      <c r="E2120" s="103"/>
      <c r="F2120" s="42"/>
      <c r="G2120" s="9"/>
      <c r="H2120" s="9"/>
      <c r="I2120" s="9"/>
      <c r="J2120" s="9"/>
      <c r="K2120" s="42"/>
      <c r="L2120" s="42"/>
      <c r="M2120" s="42"/>
      <c r="N2120" s="42"/>
      <c r="O2120" s="42"/>
      <c r="P2120" s="9"/>
      <c r="Q2120" s="9"/>
      <c r="R2120" s="42"/>
      <c r="S2120" s="42"/>
      <c r="T2120" s="42"/>
      <c r="U2120" s="42"/>
      <c r="V2120" s="42"/>
      <c r="W2120" s="42"/>
    </row>
    <row r="2121">
      <c r="A2121" s="9"/>
      <c r="B2121" s="9"/>
      <c r="C2121" s="9"/>
      <c r="D2121" s="42"/>
      <c r="E2121" s="103"/>
      <c r="F2121" s="42"/>
      <c r="G2121" s="9"/>
      <c r="H2121" s="9"/>
      <c r="I2121" s="9"/>
      <c r="J2121" s="9"/>
      <c r="K2121" s="42"/>
      <c r="L2121" s="42"/>
      <c r="M2121" s="42"/>
      <c r="N2121" s="42"/>
      <c r="O2121" s="42"/>
      <c r="P2121" s="9"/>
      <c r="Q2121" s="9"/>
      <c r="R2121" s="42"/>
      <c r="S2121" s="42"/>
      <c r="T2121" s="42"/>
      <c r="U2121" s="42"/>
      <c r="V2121" s="42"/>
      <c r="W2121" s="42"/>
    </row>
    <row r="2122">
      <c r="A2122" s="9"/>
      <c r="B2122" s="9"/>
      <c r="C2122" s="9"/>
      <c r="D2122" s="42"/>
      <c r="E2122" s="103"/>
      <c r="F2122" s="42"/>
      <c r="G2122" s="9"/>
      <c r="H2122" s="9"/>
      <c r="I2122" s="9"/>
      <c r="J2122" s="9"/>
      <c r="K2122" s="42"/>
      <c r="L2122" s="42"/>
      <c r="M2122" s="42"/>
      <c r="N2122" s="42"/>
      <c r="O2122" s="42"/>
      <c r="P2122" s="9"/>
      <c r="Q2122" s="9"/>
      <c r="R2122" s="42"/>
      <c r="S2122" s="42"/>
      <c r="T2122" s="42"/>
      <c r="U2122" s="42"/>
      <c r="V2122" s="42"/>
      <c r="W2122" s="42"/>
    </row>
    <row r="2123">
      <c r="A2123" s="9"/>
      <c r="B2123" s="9"/>
      <c r="C2123" s="9"/>
      <c r="D2123" s="42"/>
      <c r="E2123" s="103"/>
      <c r="F2123" s="42"/>
      <c r="G2123" s="9"/>
      <c r="H2123" s="9"/>
      <c r="I2123" s="9"/>
      <c r="J2123" s="9"/>
      <c r="K2123" s="42"/>
      <c r="L2123" s="42"/>
      <c r="M2123" s="42"/>
      <c r="N2123" s="42"/>
      <c r="O2123" s="42"/>
      <c r="P2123" s="9"/>
      <c r="Q2123" s="9"/>
      <c r="R2123" s="42"/>
      <c r="S2123" s="42"/>
      <c r="T2123" s="42"/>
      <c r="U2123" s="42"/>
      <c r="V2123" s="42"/>
      <c r="W2123" s="42"/>
    </row>
    <row r="2124">
      <c r="A2124" s="9"/>
      <c r="B2124" s="9"/>
      <c r="C2124" s="9"/>
      <c r="D2124" s="42"/>
      <c r="E2124" s="103"/>
      <c r="F2124" s="42"/>
      <c r="G2124" s="9"/>
      <c r="H2124" s="9"/>
      <c r="I2124" s="9"/>
      <c r="J2124" s="9"/>
      <c r="K2124" s="42"/>
      <c r="L2124" s="42"/>
      <c r="M2124" s="42"/>
      <c r="N2124" s="42"/>
      <c r="O2124" s="42"/>
      <c r="P2124" s="9"/>
      <c r="Q2124" s="9"/>
      <c r="R2124" s="42"/>
      <c r="S2124" s="42"/>
      <c r="T2124" s="42"/>
      <c r="U2124" s="42"/>
      <c r="V2124" s="42"/>
      <c r="W2124" s="42"/>
    </row>
    <row r="2125">
      <c r="A2125" s="9"/>
      <c r="B2125" s="9"/>
      <c r="C2125" s="9"/>
      <c r="D2125" s="42"/>
      <c r="E2125" s="103"/>
      <c r="F2125" s="42"/>
      <c r="G2125" s="9"/>
      <c r="H2125" s="9"/>
      <c r="I2125" s="9"/>
      <c r="J2125" s="9"/>
      <c r="K2125" s="42"/>
      <c r="L2125" s="42"/>
      <c r="M2125" s="42"/>
      <c r="N2125" s="42"/>
      <c r="O2125" s="42"/>
      <c r="P2125" s="9"/>
      <c r="Q2125" s="9"/>
      <c r="R2125" s="42"/>
      <c r="S2125" s="42"/>
      <c r="T2125" s="42"/>
      <c r="U2125" s="42"/>
      <c r="V2125" s="42"/>
      <c r="W2125" s="42"/>
    </row>
    <row r="2126">
      <c r="A2126" s="9"/>
      <c r="B2126" s="9"/>
      <c r="C2126" s="9"/>
      <c r="D2126" s="42"/>
      <c r="E2126" s="103"/>
      <c r="F2126" s="42"/>
      <c r="G2126" s="9"/>
      <c r="H2126" s="9"/>
      <c r="I2126" s="9"/>
      <c r="J2126" s="9"/>
      <c r="K2126" s="42"/>
      <c r="L2126" s="42"/>
      <c r="M2126" s="42"/>
      <c r="N2126" s="42"/>
      <c r="O2126" s="42"/>
      <c r="P2126" s="9"/>
      <c r="Q2126" s="9"/>
      <c r="R2126" s="42"/>
      <c r="S2126" s="42"/>
      <c r="T2126" s="42"/>
      <c r="U2126" s="42"/>
      <c r="V2126" s="42"/>
      <c r="W2126" s="42"/>
    </row>
    <row r="2127">
      <c r="A2127" s="9"/>
      <c r="B2127" s="9"/>
      <c r="C2127" s="9"/>
      <c r="D2127" s="42"/>
      <c r="E2127" s="103"/>
      <c r="F2127" s="42"/>
      <c r="G2127" s="9"/>
      <c r="H2127" s="9"/>
      <c r="I2127" s="9"/>
      <c r="J2127" s="9"/>
      <c r="K2127" s="42"/>
      <c r="L2127" s="42"/>
      <c r="M2127" s="42"/>
      <c r="N2127" s="42"/>
      <c r="O2127" s="42"/>
      <c r="P2127" s="9"/>
      <c r="Q2127" s="9"/>
      <c r="R2127" s="42"/>
      <c r="S2127" s="42"/>
      <c r="T2127" s="42"/>
      <c r="U2127" s="42"/>
      <c r="V2127" s="42"/>
      <c r="W2127" s="42"/>
    </row>
    <row r="2128">
      <c r="A2128" s="9"/>
      <c r="B2128" s="9"/>
      <c r="C2128" s="9"/>
      <c r="D2128" s="42"/>
      <c r="E2128" s="103"/>
      <c r="F2128" s="42"/>
      <c r="G2128" s="9"/>
      <c r="H2128" s="9"/>
      <c r="I2128" s="9"/>
      <c r="J2128" s="9"/>
      <c r="K2128" s="42"/>
      <c r="L2128" s="42"/>
      <c r="M2128" s="42"/>
      <c r="N2128" s="42"/>
      <c r="O2128" s="42"/>
      <c r="P2128" s="9"/>
      <c r="Q2128" s="9"/>
      <c r="R2128" s="42"/>
      <c r="S2128" s="42"/>
      <c r="T2128" s="42"/>
      <c r="U2128" s="42"/>
      <c r="V2128" s="42"/>
      <c r="W2128" s="42"/>
    </row>
    <row r="2129">
      <c r="A2129" s="9"/>
      <c r="B2129" s="9"/>
      <c r="C2129" s="9"/>
      <c r="D2129" s="42"/>
      <c r="E2129" s="103"/>
      <c r="F2129" s="42"/>
      <c r="G2129" s="9"/>
      <c r="H2129" s="9"/>
      <c r="I2129" s="9"/>
      <c r="J2129" s="9"/>
      <c r="K2129" s="42"/>
      <c r="L2129" s="42"/>
      <c r="M2129" s="42"/>
      <c r="N2129" s="42"/>
      <c r="O2129" s="42"/>
      <c r="P2129" s="9"/>
      <c r="Q2129" s="9"/>
      <c r="R2129" s="42"/>
      <c r="S2129" s="42"/>
      <c r="T2129" s="42"/>
      <c r="U2129" s="42"/>
      <c r="V2129" s="42"/>
      <c r="W2129" s="42"/>
    </row>
    <row r="2130">
      <c r="A2130" s="9"/>
      <c r="B2130" s="9"/>
      <c r="C2130" s="9"/>
      <c r="D2130" s="42"/>
      <c r="E2130" s="103"/>
      <c r="F2130" s="42"/>
      <c r="G2130" s="9"/>
      <c r="H2130" s="9"/>
      <c r="I2130" s="9"/>
      <c r="J2130" s="9"/>
      <c r="K2130" s="42"/>
      <c r="L2130" s="42"/>
      <c r="M2130" s="42"/>
      <c r="N2130" s="42"/>
      <c r="O2130" s="42"/>
      <c r="P2130" s="9"/>
      <c r="Q2130" s="9"/>
      <c r="R2130" s="42"/>
      <c r="S2130" s="42"/>
      <c r="T2130" s="42"/>
      <c r="U2130" s="42"/>
      <c r="V2130" s="42"/>
      <c r="W2130" s="42"/>
    </row>
    <row r="2131">
      <c r="A2131" s="9"/>
      <c r="B2131" s="9"/>
      <c r="C2131" s="9"/>
      <c r="D2131" s="42"/>
      <c r="E2131" s="103"/>
      <c r="F2131" s="42"/>
      <c r="G2131" s="9"/>
      <c r="H2131" s="9"/>
      <c r="I2131" s="9"/>
      <c r="J2131" s="9"/>
      <c r="K2131" s="42"/>
      <c r="L2131" s="42"/>
      <c r="M2131" s="42"/>
      <c r="N2131" s="42"/>
      <c r="O2131" s="42"/>
      <c r="P2131" s="9"/>
      <c r="Q2131" s="9"/>
      <c r="R2131" s="42"/>
      <c r="S2131" s="42"/>
      <c r="T2131" s="42"/>
      <c r="U2131" s="42"/>
      <c r="V2131" s="42"/>
      <c r="W2131" s="42"/>
    </row>
    <row r="2132">
      <c r="A2132" s="9"/>
      <c r="B2132" s="9"/>
      <c r="C2132" s="9"/>
      <c r="D2132" s="42"/>
      <c r="E2132" s="103"/>
      <c r="F2132" s="42"/>
      <c r="G2132" s="9"/>
      <c r="H2132" s="9"/>
      <c r="I2132" s="9"/>
      <c r="J2132" s="9"/>
      <c r="K2132" s="42"/>
      <c r="L2132" s="42"/>
      <c r="M2132" s="42"/>
      <c r="N2132" s="42"/>
      <c r="O2132" s="42"/>
      <c r="P2132" s="9"/>
      <c r="Q2132" s="9"/>
      <c r="R2132" s="42"/>
      <c r="S2132" s="42"/>
      <c r="T2132" s="42"/>
      <c r="U2132" s="42"/>
      <c r="V2132" s="42"/>
      <c r="W2132" s="42"/>
    </row>
    <row r="2133">
      <c r="A2133" s="9"/>
      <c r="B2133" s="9"/>
      <c r="C2133" s="9"/>
      <c r="D2133" s="42"/>
      <c r="E2133" s="103"/>
      <c r="F2133" s="42"/>
      <c r="G2133" s="9"/>
      <c r="H2133" s="9"/>
      <c r="I2133" s="9"/>
      <c r="J2133" s="9"/>
      <c r="K2133" s="42"/>
      <c r="L2133" s="42"/>
      <c r="M2133" s="42"/>
      <c r="N2133" s="42"/>
      <c r="O2133" s="42"/>
      <c r="P2133" s="9"/>
      <c r="Q2133" s="9"/>
      <c r="R2133" s="42"/>
      <c r="S2133" s="42"/>
      <c r="T2133" s="42"/>
      <c r="U2133" s="42"/>
      <c r="V2133" s="42"/>
      <c r="W2133" s="42"/>
    </row>
    <row r="2134">
      <c r="A2134" s="9"/>
      <c r="B2134" s="9"/>
      <c r="C2134" s="9"/>
      <c r="D2134" s="42"/>
      <c r="E2134" s="103"/>
      <c r="F2134" s="42"/>
      <c r="G2134" s="9"/>
      <c r="H2134" s="9"/>
      <c r="I2134" s="9"/>
      <c r="J2134" s="9"/>
      <c r="K2134" s="42"/>
      <c r="L2134" s="42"/>
      <c r="M2134" s="42"/>
      <c r="N2134" s="42"/>
      <c r="O2134" s="42"/>
      <c r="P2134" s="9"/>
      <c r="Q2134" s="9"/>
      <c r="R2134" s="42"/>
      <c r="S2134" s="42"/>
      <c r="T2134" s="42"/>
      <c r="U2134" s="42"/>
      <c r="V2134" s="42"/>
      <c r="W2134" s="42"/>
    </row>
    <row r="2135">
      <c r="A2135" s="9"/>
      <c r="B2135" s="9"/>
      <c r="C2135" s="9"/>
      <c r="D2135" s="42"/>
      <c r="E2135" s="103"/>
      <c r="F2135" s="42"/>
      <c r="G2135" s="9"/>
      <c r="H2135" s="9"/>
      <c r="I2135" s="9"/>
      <c r="J2135" s="9"/>
      <c r="K2135" s="42"/>
      <c r="L2135" s="42"/>
      <c r="M2135" s="42"/>
      <c r="N2135" s="42"/>
      <c r="O2135" s="42"/>
      <c r="P2135" s="9"/>
      <c r="Q2135" s="9"/>
      <c r="R2135" s="42"/>
      <c r="S2135" s="42"/>
      <c r="T2135" s="42"/>
      <c r="U2135" s="42"/>
      <c r="V2135" s="42"/>
      <c r="W2135" s="42"/>
    </row>
    <row r="2136">
      <c r="A2136" s="9"/>
      <c r="B2136" s="9"/>
      <c r="C2136" s="9"/>
      <c r="D2136" s="42"/>
      <c r="E2136" s="103"/>
      <c r="F2136" s="42"/>
      <c r="G2136" s="9"/>
      <c r="H2136" s="9"/>
      <c r="I2136" s="9"/>
      <c r="J2136" s="9"/>
      <c r="K2136" s="42"/>
      <c r="L2136" s="42"/>
      <c r="M2136" s="42"/>
      <c r="N2136" s="42"/>
      <c r="O2136" s="42"/>
      <c r="P2136" s="9"/>
      <c r="Q2136" s="9"/>
      <c r="R2136" s="42"/>
      <c r="S2136" s="42"/>
      <c r="T2136" s="42"/>
      <c r="U2136" s="42"/>
      <c r="V2136" s="42"/>
      <c r="W2136" s="42"/>
    </row>
    <row r="2137">
      <c r="A2137" s="9"/>
      <c r="B2137" s="9"/>
      <c r="C2137" s="9"/>
      <c r="D2137" s="42"/>
      <c r="E2137" s="103"/>
      <c r="F2137" s="42"/>
      <c r="G2137" s="9"/>
      <c r="H2137" s="9"/>
      <c r="I2137" s="9"/>
      <c r="J2137" s="9"/>
      <c r="K2137" s="42"/>
      <c r="L2137" s="42"/>
      <c r="M2137" s="42"/>
      <c r="N2137" s="42"/>
      <c r="O2137" s="42"/>
      <c r="P2137" s="9"/>
      <c r="Q2137" s="9"/>
      <c r="R2137" s="42"/>
      <c r="S2137" s="42"/>
      <c r="T2137" s="42"/>
      <c r="U2137" s="42"/>
      <c r="V2137" s="42"/>
      <c r="W2137" s="42"/>
    </row>
    <row r="2138">
      <c r="A2138" s="9"/>
      <c r="B2138" s="9"/>
      <c r="C2138" s="9"/>
      <c r="D2138" s="42"/>
      <c r="E2138" s="103"/>
      <c r="F2138" s="42"/>
      <c r="G2138" s="9"/>
      <c r="H2138" s="9"/>
      <c r="I2138" s="9"/>
      <c r="J2138" s="9"/>
      <c r="K2138" s="42"/>
      <c r="L2138" s="42"/>
      <c r="M2138" s="42"/>
      <c r="N2138" s="42"/>
      <c r="O2138" s="42"/>
      <c r="P2138" s="9"/>
      <c r="Q2138" s="9"/>
      <c r="R2138" s="42"/>
      <c r="S2138" s="42"/>
      <c r="T2138" s="42"/>
      <c r="U2138" s="42"/>
      <c r="V2138" s="42"/>
      <c r="W2138" s="42"/>
    </row>
    <row r="2139">
      <c r="A2139" s="9"/>
      <c r="B2139" s="9"/>
      <c r="C2139" s="9"/>
      <c r="D2139" s="42"/>
      <c r="E2139" s="103"/>
      <c r="F2139" s="42"/>
      <c r="G2139" s="9"/>
      <c r="H2139" s="9"/>
      <c r="I2139" s="9"/>
      <c r="J2139" s="9"/>
      <c r="K2139" s="42"/>
      <c r="L2139" s="42"/>
      <c r="M2139" s="42"/>
      <c r="N2139" s="42"/>
      <c r="O2139" s="42"/>
      <c r="P2139" s="9"/>
      <c r="Q2139" s="9"/>
      <c r="R2139" s="42"/>
      <c r="S2139" s="42"/>
      <c r="T2139" s="42"/>
      <c r="U2139" s="42"/>
      <c r="V2139" s="42"/>
      <c r="W2139" s="42"/>
    </row>
    <row r="2140">
      <c r="A2140" s="9"/>
      <c r="B2140" s="9"/>
      <c r="C2140" s="9"/>
      <c r="D2140" s="42"/>
      <c r="E2140" s="103"/>
      <c r="F2140" s="42"/>
      <c r="G2140" s="9"/>
      <c r="H2140" s="9"/>
      <c r="I2140" s="9"/>
      <c r="J2140" s="9"/>
      <c r="K2140" s="42"/>
      <c r="L2140" s="42"/>
      <c r="M2140" s="42"/>
      <c r="N2140" s="42"/>
      <c r="O2140" s="42"/>
      <c r="P2140" s="9"/>
      <c r="Q2140" s="9"/>
      <c r="R2140" s="42"/>
      <c r="S2140" s="42"/>
      <c r="T2140" s="42"/>
      <c r="U2140" s="42"/>
      <c r="V2140" s="42"/>
      <c r="W2140" s="42"/>
    </row>
    <row r="2141">
      <c r="A2141" s="9"/>
      <c r="B2141" s="9"/>
      <c r="C2141" s="9"/>
      <c r="D2141" s="42"/>
      <c r="E2141" s="103"/>
      <c r="F2141" s="42"/>
      <c r="G2141" s="9"/>
      <c r="H2141" s="9"/>
      <c r="I2141" s="9"/>
      <c r="J2141" s="9"/>
      <c r="K2141" s="42"/>
      <c r="L2141" s="42"/>
      <c r="M2141" s="42"/>
      <c r="N2141" s="42"/>
      <c r="O2141" s="42"/>
      <c r="P2141" s="9"/>
      <c r="Q2141" s="9"/>
      <c r="R2141" s="42"/>
      <c r="S2141" s="42"/>
      <c r="T2141" s="42"/>
      <c r="U2141" s="42"/>
      <c r="V2141" s="42"/>
      <c r="W2141" s="42"/>
    </row>
    <row r="2142">
      <c r="A2142" s="9"/>
      <c r="B2142" s="9"/>
      <c r="C2142" s="9"/>
      <c r="D2142" s="42"/>
      <c r="E2142" s="103"/>
      <c r="F2142" s="42"/>
      <c r="G2142" s="9"/>
      <c r="H2142" s="9"/>
      <c r="I2142" s="9"/>
      <c r="J2142" s="9"/>
      <c r="K2142" s="42"/>
      <c r="L2142" s="42"/>
      <c r="M2142" s="42"/>
      <c r="N2142" s="42"/>
      <c r="O2142" s="42"/>
      <c r="P2142" s="9"/>
      <c r="Q2142" s="9"/>
      <c r="R2142" s="42"/>
      <c r="S2142" s="42"/>
      <c r="T2142" s="42"/>
      <c r="U2142" s="42"/>
      <c r="V2142" s="42"/>
      <c r="W2142" s="42"/>
    </row>
    <row r="2143">
      <c r="A2143" s="9"/>
      <c r="B2143" s="9"/>
      <c r="C2143" s="9"/>
      <c r="D2143" s="42"/>
      <c r="E2143" s="103"/>
      <c r="F2143" s="42"/>
      <c r="G2143" s="9"/>
      <c r="H2143" s="9"/>
      <c r="I2143" s="9"/>
      <c r="J2143" s="9"/>
      <c r="K2143" s="42"/>
      <c r="L2143" s="42"/>
      <c r="M2143" s="42"/>
      <c r="N2143" s="42"/>
      <c r="O2143" s="42"/>
      <c r="P2143" s="9"/>
      <c r="Q2143" s="9"/>
      <c r="R2143" s="42"/>
      <c r="S2143" s="42"/>
      <c r="T2143" s="42"/>
      <c r="U2143" s="42"/>
      <c r="V2143" s="42"/>
      <c r="W2143" s="42"/>
    </row>
    <row r="2144">
      <c r="A2144" s="9"/>
      <c r="B2144" s="9"/>
      <c r="C2144" s="9"/>
      <c r="D2144" s="42"/>
      <c r="E2144" s="103"/>
      <c r="F2144" s="42"/>
      <c r="G2144" s="9"/>
      <c r="H2144" s="9"/>
      <c r="I2144" s="9"/>
      <c r="J2144" s="9"/>
      <c r="K2144" s="42"/>
      <c r="L2144" s="42"/>
      <c r="M2144" s="42"/>
      <c r="N2144" s="42"/>
      <c r="O2144" s="42"/>
      <c r="P2144" s="9"/>
      <c r="Q2144" s="9"/>
      <c r="R2144" s="42"/>
      <c r="S2144" s="42"/>
      <c r="T2144" s="42"/>
      <c r="U2144" s="42"/>
      <c r="V2144" s="42"/>
      <c r="W2144" s="42"/>
    </row>
    <row r="2145">
      <c r="A2145" s="9"/>
      <c r="B2145" s="9"/>
      <c r="C2145" s="9"/>
      <c r="D2145" s="42"/>
      <c r="E2145" s="103"/>
      <c r="F2145" s="42"/>
      <c r="G2145" s="9"/>
      <c r="H2145" s="9"/>
      <c r="I2145" s="9"/>
      <c r="J2145" s="9"/>
      <c r="K2145" s="42"/>
      <c r="L2145" s="42"/>
      <c r="M2145" s="42"/>
      <c r="N2145" s="42"/>
      <c r="O2145" s="42"/>
      <c r="P2145" s="9"/>
      <c r="Q2145" s="9"/>
      <c r="R2145" s="42"/>
      <c r="S2145" s="42"/>
      <c r="T2145" s="42"/>
      <c r="U2145" s="42"/>
      <c r="V2145" s="42"/>
      <c r="W2145" s="42"/>
    </row>
    <row r="2146">
      <c r="A2146" s="9"/>
      <c r="B2146" s="9"/>
      <c r="C2146" s="9"/>
      <c r="D2146" s="42"/>
      <c r="E2146" s="103"/>
      <c r="F2146" s="42"/>
      <c r="G2146" s="9"/>
      <c r="H2146" s="9"/>
      <c r="I2146" s="9"/>
      <c r="J2146" s="9"/>
      <c r="K2146" s="42"/>
      <c r="L2146" s="42"/>
      <c r="M2146" s="42"/>
      <c r="N2146" s="42"/>
      <c r="O2146" s="42"/>
      <c r="P2146" s="9"/>
      <c r="Q2146" s="9"/>
      <c r="R2146" s="42"/>
      <c r="S2146" s="42"/>
      <c r="T2146" s="42"/>
      <c r="U2146" s="42"/>
      <c r="V2146" s="42"/>
      <c r="W2146" s="42"/>
    </row>
    <row r="2147">
      <c r="A2147" s="9"/>
      <c r="B2147" s="9"/>
      <c r="C2147" s="9"/>
      <c r="D2147" s="42"/>
      <c r="E2147" s="103"/>
      <c r="F2147" s="42"/>
      <c r="G2147" s="9"/>
      <c r="H2147" s="9"/>
      <c r="I2147" s="9"/>
      <c r="J2147" s="9"/>
      <c r="K2147" s="42"/>
      <c r="L2147" s="42"/>
      <c r="M2147" s="42"/>
      <c r="N2147" s="42"/>
      <c r="O2147" s="42"/>
      <c r="P2147" s="9"/>
      <c r="Q2147" s="9"/>
      <c r="R2147" s="42"/>
      <c r="S2147" s="42"/>
      <c r="T2147" s="42"/>
      <c r="U2147" s="42"/>
      <c r="V2147" s="42"/>
      <c r="W2147" s="42"/>
    </row>
    <row r="2148">
      <c r="A2148" s="9"/>
      <c r="B2148" s="9"/>
      <c r="C2148" s="9"/>
      <c r="D2148" s="42"/>
      <c r="E2148" s="103"/>
      <c r="F2148" s="42"/>
      <c r="G2148" s="9"/>
      <c r="H2148" s="9"/>
      <c r="I2148" s="9"/>
      <c r="J2148" s="9"/>
      <c r="K2148" s="42"/>
      <c r="L2148" s="42"/>
      <c r="M2148" s="42"/>
      <c r="N2148" s="42"/>
      <c r="O2148" s="42"/>
      <c r="P2148" s="9"/>
      <c r="Q2148" s="9"/>
      <c r="R2148" s="42"/>
      <c r="S2148" s="42"/>
      <c r="T2148" s="42"/>
      <c r="U2148" s="42"/>
      <c r="V2148" s="42"/>
      <c r="W2148" s="42"/>
    </row>
    <row r="2149">
      <c r="A2149" s="9"/>
      <c r="B2149" s="9"/>
      <c r="C2149" s="9"/>
      <c r="D2149" s="42"/>
      <c r="E2149" s="103"/>
      <c r="F2149" s="42"/>
      <c r="G2149" s="9"/>
      <c r="H2149" s="9"/>
      <c r="I2149" s="9"/>
      <c r="J2149" s="9"/>
      <c r="K2149" s="42"/>
      <c r="L2149" s="42"/>
      <c r="M2149" s="42"/>
      <c r="N2149" s="42"/>
      <c r="O2149" s="42"/>
      <c r="P2149" s="9"/>
      <c r="Q2149" s="9"/>
      <c r="R2149" s="42"/>
      <c r="S2149" s="42"/>
      <c r="T2149" s="42"/>
      <c r="U2149" s="42"/>
      <c r="V2149" s="42"/>
      <c r="W2149" s="42"/>
    </row>
    <row r="2150">
      <c r="A2150" s="9"/>
      <c r="B2150" s="9"/>
      <c r="C2150" s="9"/>
      <c r="D2150" s="42"/>
      <c r="E2150" s="103"/>
      <c r="F2150" s="42"/>
      <c r="G2150" s="9"/>
      <c r="H2150" s="9"/>
      <c r="I2150" s="9"/>
      <c r="J2150" s="9"/>
      <c r="K2150" s="42"/>
      <c r="L2150" s="42"/>
      <c r="M2150" s="42"/>
      <c r="N2150" s="42"/>
      <c r="O2150" s="42"/>
      <c r="P2150" s="9"/>
      <c r="Q2150" s="9"/>
      <c r="R2150" s="42"/>
      <c r="S2150" s="42"/>
      <c r="T2150" s="42"/>
      <c r="U2150" s="42"/>
      <c r="V2150" s="42"/>
      <c r="W2150" s="42"/>
    </row>
    <row r="2151">
      <c r="A2151" s="9"/>
      <c r="B2151" s="9"/>
      <c r="C2151" s="9"/>
      <c r="D2151" s="42"/>
      <c r="E2151" s="103"/>
      <c r="F2151" s="42"/>
      <c r="G2151" s="9"/>
      <c r="H2151" s="9"/>
      <c r="I2151" s="9"/>
      <c r="J2151" s="9"/>
      <c r="K2151" s="42"/>
      <c r="L2151" s="42"/>
      <c r="M2151" s="42"/>
      <c r="N2151" s="42"/>
      <c r="O2151" s="42"/>
      <c r="P2151" s="9"/>
      <c r="Q2151" s="9"/>
      <c r="R2151" s="42"/>
      <c r="S2151" s="42"/>
      <c r="T2151" s="42"/>
      <c r="U2151" s="42"/>
      <c r="V2151" s="42"/>
      <c r="W2151" s="42"/>
    </row>
    <row r="2152">
      <c r="A2152" s="9"/>
      <c r="B2152" s="9"/>
      <c r="C2152" s="9"/>
      <c r="D2152" s="42"/>
      <c r="E2152" s="103"/>
      <c r="F2152" s="42"/>
      <c r="G2152" s="9"/>
      <c r="H2152" s="9"/>
      <c r="I2152" s="9"/>
      <c r="J2152" s="9"/>
      <c r="K2152" s="42"/>
      <c r="L2152" s="42"/>
      <c r="M2152" s="42"/>
      <c r="N2152" s="42"/>
      <c r="O2152" s="42"/>
      <c r="P2152" s="9"/>
      <c r="Q2152" s="9"/>
      <c r="R2152" s="42"/>
      <c r="S2152" s="42"/>
      <c r="T2152" s="42"/>
      <c r="U2152" s="42"/>
      <c r="V2152" s="42"/>
      <c r="W2152" s="42"/>
    </row>
    <row r="2153">
      <c r="A2153" s="9"/>
      <c r="B2153" s="9"/>
      <c r="C2153" s="9"/>
      <c r="D2153" s="42"/>
      <c r="E2153" s="103"/>
      <c r="F2153" s="42"/>
      <c r="G2153" s="9"/>
      <c r="H2153" s="9"/>
      <c r="I2153" s="9"/>
      <c r="J2153" s="9"/>
      <c r="K2153" s="42"/>
      <c r="L2153" s="42"/>
      <c r="M2153" s="42"/>
      <c r="N2153" s="42"/>
      <c r="O2153" s="42"/>
      <c r="P2153" s="9"/>
      <c r="Q2153" s="9"/>
      <c r="R2153" s="42"/>
      <c r="S2153" s="42"/>
      <c r="T2153" s="42"/>
      <c r="U2153" s="42"/>
      <c r="V2153" s="42"/>
      <c r="W2153" s="42"/>
    </row>
    <row r="2154">
      <c r="A2154" s="9"/>
      <c r="B2154" s="9"/>
      <c r="C2154" s="9"/>
      <c r="D2154" s="42"/>
      <c r="E2154" s="103"/>
      <c r="F2154" s="42"/>
      <c r="G2154" s="9"/>
      <c r="H2154" s="9"/>
      <c r="I2154" s="9"/>
      <c r="J2154" s="9"/>
      <c r="K2154" s="42"/>
      <c r="L2154" s="42"/>
      <c r="M2154" s="42"/>
      <c r="N2154" s="42"/>
      <c r="O2154" s="42"/>
      <c r="P2154" s="9"/>
      <c r="Q2154" s="9"/>
      <c r="R2154" s="42"/>
      <c r="S2154" s="42"/>
      <c r="T2154" s="42"/>
      <c r="U2154" s="42"/>
      <c r="V2154" s="42"/>
      <c r="W2154" s="42"/>
    </row>
    <row r="2155">
      <c r="A2155" s="9"/>
      <c r="B2155" s="9"/>
      <c r="C2155" s="9"/>
      <c r="D2155" s="42"/>
      <c r="E2155" s="103"/>
      <c r="F2155" s="42"/>
      <c r="G2155" s="9"/>
      <c r="H2155" s="9"/>
      <c r="I2155" s="9"/>
      <c r="J2155" s="9"/>
      <c r="K2155" s="42"/>
      <c r="L2155" s="42"/>
      <c r="M2155" s="42"/>
      <c r="N2155" s="42"/>
      <c r="O2155" s="42"/>
      <c r="P2155" s="9"/>
      <c r="Q2155" s="9"/>
      <c r="R2155" s="42"/>
      <c r="S2155" s="42"/>
      <c r="T2155" s="42"/>
      <c r="U2155" s="42"/>
      <c r="V2155" s="42"/>
      <c r="W2155" s="42"/>
    </row>
    <row r="2156">
      <c r="A2156" s="9"/>
      <c r="B2156" s="9"/>
      <c r="C2156" s="9"/>
      <c r="D2156" s="42"/>
      <c r="E2156" s="103"/>
      <c r="F2156" s="42"/>
      <c r="G2156" s="9"/>
      <c r="H2156" s="9"/>
      <c r="I2156" s="9"/>
      <c r="J2156" s="9"/>
      <c r="K2156" s="42"/>
      <c r="L2156" s="42"/>
      <c r="M2156" s="42"/>
      <c r="N2156" s="42"/>
      <c r="O2156" s="42"/>
      <c r="P2156" s="9"/>
      <c r="Q2156" s="9"/>
      <c r="R2156" s="42"/>
      <c r="S2156" s="42"/>
      <c r="T2156" s="42"/>
      <c r="U2156" s="42"/>
      <c r="V2156" s="42"/>
      <c r="W2156" s="42"/>
    </row>
    <row r="2157">
      <c r="A2157" s="9"/>
      <c r="B2157" s="9"/>
      <c r="C2157" s="9"/>
      <c r="D2157" s="42"/>
      <c r="E2157" s="103"/>
      <c r="F2157" s="42"/>
      <c r="G2157" s="9"/>
      <c r="H2157" s="9"/>
      <c r="I2157" s="9"/>
      <c r="J2157" s="9"/>
      <c r="K2157" s="42"/>
      <c r="L2157" s="42"/>
      <c r="M2157" s="42"/>
      <c r="N2157" s="42"/>
      <c r="O2157" s="42"/>
      <c r="P2157" s="9"/>
      <c r="Q2157" s="9"/>
      <c r="R2157" s="42"/>
      <c r="S2157" s="42"/>
      <c r="T2157" s="42"/>
      <c r="U2157" s="42"/>
      <c r="V2157" s="42"/>
      <c r="W2157" s="42"/>
    </row>
    <row r="2158">
      <c r="A2158" s="9"/>
      <c r="B2158" s="9"/>
      <c r="C2158" s="9"/>
      <c r="D2158" s="42"/>
      <c r="E2158" s="103"/>
      <c r="F2158" s="42"/>
      <c r="G2158" s="9"/>
      <c r="H2158" s="9"/>
      <c r="I2158" s="9"/>
      <c r="J2158" s="9"/>
      <c r="K2158" s="42"/>
      <c r="L2158" s="42"/>
      <c r="M2158" s="42"/>
      <c r="N2158" s="42"/>
      <c r="O2158" s="42"/>
      <c r="P2158" s="9"/>
      <c r="Q2158" s="9"/>
      <c r="R2158" s="42"/>
      <c r="S2158" s="42"/>
      <c r="T2158" s="42"/>
      <c r="U2158" s="42"/>
      <c r="V2158" s="42"/>
      <c r="W2158" s="42"/>
    </row>
    <row r="2159">
      <c r="A2159" s="9"/>
      <c r="B2159" s="9"/>
      <c r="C2159" s="9"/>
      <c r="D2159" s="42"/>
      <c r="E2159" s="103"/>
      <c r="F2159" s="42"/>
      <c r="G2159" s="9"/>
      <c r="H2159" s="9"/>
      <c r="I2159" s="9"/>
      <c r="J2159" s="9"/>
      <c r="K2159" s="42"/>
      <c r="L2159" s="42"/>
      <c r="M2159" s="42"/>
      <c r="N2159" s="42"/>
      <c r="O2159" s="42"/>
      <c r="P2159" s="9"/>
      <c r="Q2159" s="9"/>
      <c r="R2159" s="42"/>
      <c r="S2159" s="42"/>
      <c r="T2159" s="42"/>
      <c r="U2159" s="42"/>
      <c r="V2159" s="42"/>
      <c r="W2159" s="42"/>
    </row>
    <row r="2160">
      <c r="A2160" s="9"/>
      <c r="B2160" s="9"/>
      <c r="C2160" s="9"/>
      <c r="D2160" s="42"/>
      <c r="E2160" s="103"/>
      <c r="F2160" s="42"/>
      <c r="G2160" s="9"/>
      <c r="H2160" s="9"/>
      <c r="I2160" s="9"/>
      <c r="J2160" s="9"/>
      <c r="K2160" s="42"/>
      <c r="L2160" s="42"/>
      <c r="M2160" s="42"/>
      <c r="N2160" s="42"/>
      <c r="O2160" s="42"/>
      <c r="P2160" s="9"/>
      <c r="Q2160" s="9"/>
      <c r="R2160" s="42"/>
      <c r="S2160" s="42"/>
      <c r="T2160" s="42"/>
      <c r="U2160" s="42"/>
      <c r="V2160" s="42"/>
      <c r="W2160" s="42"/>
    </row>
    <row r="2161">
      <c r="A2161" s="9"/>
      <c r="B2161" s="9"/>
      <c r="C2161" s="9"/>
      <c r="D2161" s="42"/>
      <c r="E2161" s="103"/>
      <c r="F2161" s="42"/>
      <c r="G2161" s="9"/>
      <c r="H2161" s="9"/>
      <c r="I2161" s="9"/>
      <c r="J2161" s="9"/>
      <c r="K2161" s="42"/>
      <c r="L2161" s="42"/>
      <c r="M2161" s="42"/>
      <c r="N2161" s="42"/>
      <c r="O2161" s="42"/>
      <c r="P2161" s="9"/>
      <c r="Q2161" s="9"/>
      <c r="R2161" s="42"/>
      <c r="S2161" s="42"/>
      <c r="T2161" s="42"/>
      <c r="U2161" s="42"/>
      <c r="V2161" s="42"/>
      <c r="W2161" s="42"/>
    </row>
    <row r="2162">
      <c r="A2162" s="9"/>
      <c r="B2162" s="9"/>
      <c r="C2162" s="9"/>
      <c r="D2162" s="42"/>
      <c r="E2162" s="103"/>
      <c r="F2162" s="42"/>
      <c r="G2162" s="9"/>
      <c r="H2162" s="9"/>
      <c r="I2162" s="9"/>
      <c r="J2162" s="9"/>
      <c r="K2162" s="42"/>
      <c r="L2162" s="42"/>
      <c r="M2162" s="42"/>
      <c r="N2162" s="42"/>
      <c r="O2162" s="42"/>
      <c r="P2162" s="9"/>
      <c r="Q2162" s="9"/>
      <c r="R2162" s="42"/>
      <c r="S2162" s="42"/>
      <c r="T2162" s="42"/>
      <c r="U2162" s="42"/>
      <c r="V2162" s="42"/>
      <c r="W2162" s="42"/>
    </row>
    <row r="2163">
      <c r="A2163" s="9"/>
      <c r="B2163" s="9"/>
      <c r="C2163" s="9"/>
      <c r="D2163" s="42"/>
      <c r="E2163" s="103"/>
      <c r="F2163" s="42"/>
      <c r="G2163" s="9"/>
      <c r="H2163" s="9"/>
      <c r="I2163" s="9"/>
      <c r="J2163" s="9"/>
      <c r="K2163" s="42"/>
      <c r="L2163" s="42"/>
      <c r="M2163" s="42"/>
      <c r="N2163" s="42"/>
      <c r="O2163" s="42"/>
      <c r="P2163" s="9"/>
      <c r="Q2163" s="9"/>
      <c r="R2163" s="42"/>
      <c r="S2163" s="42"/>
      <c r="T2163" s="42"/>
      <c r="U2163" s="42"/>
      <c r="V2163" s="42"/>
      <c r="W2163" s="42"/>
    </row>
    <row r="2164">
      <c r="A2164" s="9"/>
      <c r="B2164" s="9"/>
      <c r="C2164" s="9"/>
      <c r="D2164" s="42"/>
      <c r="E2164" s="103"/>
      <c r="F2164" s="42"/>
      <c r="G2164" s="9"/>
      <c r="H2164" s="9"/>
      <c r="I2164" s="9"/>
      <c r="J2164" s="9"/>
      <c r="K2164" s="42"/>
      <c r="L2164" s="42"/>
      <c r="M2164" s="42"/>
      <c r="N2164" s="42"/>
      <c r="O2164" s="42"/>
      <c r="P2164" s="9"/>
      <c r="Q2164" s="9"/>
      <c r="R2164" s="42"/>
      <c r="S2164" s="42"/>
      <c r="T2164" s="42"/>
      <c r="U2164" s="42"/>
      <c r="V2164" s="42"/>
      <c r="W2164" s="42"/>
    </row>
    <row r="2165">
      <c r="A2165" s="9"/>
      <c r="B2165" s="9"/>
      <c r="C2165" s="9"/>
      <c r="D2165" s="42"/>
      <c r="E2165" s="103"/>
      <c r="F2165" s="42"/>
      <c r="G2165" s="9"/>
      <c r="H2165" s="9"/>
      <c r="I2165" s="9"/>
      <c r="J2165" s="9"/>
      <c r="K2165" s="42"/>
      <c r="L2165" s="42"/>
      <c r="M2165" s="42"/>
      <c r="N2165" s="42"/>
      <c r="O2165" s="42"/>
      <c r="P2165" s="9"/>
      <c r="Q2165" s="9"/>
      <c r="R2165" s="42"/>
      <c r="S2165" s="42"/>
      <c r="T2165" s="42"/>
      <c r="U2165" s="42"/>
      <c r="V2165" s="42"/>
      <c r="W2165" s="42"/>
    </row>
    <row r="2166">
      <c r="A2166" s="9"/>
      <c r="B2166" s="9"/>
      <c r="C2166" s="9"/>
      <c r="D2166" s="42"/>
      <c r="E2166" s="103"/>
      <c r="F2166" s="42"/>
      <c r="G2166" s="9"/>
      <c r="H2166" s="9"/>
      <c r="I2166" s="9"/>
      <c r="J2166" s="9"/>
      <c r="K2166" s="42"/>
      <c r="L2166" s="42"/>
      <c r="M2166" s="42"/>
      <c r="N2166" s="42"/>
      <c r="O2166" s="42"/>
      <c r="P2166" s="9"/>
      <c r="Q2166" s="9"/>
      <c r="R2166" s="42"/>
      <c r="S2166" s="42"/>
      <c r="T2166" s="42"/>
      <c r="U2166" s="42"/>
      <c r="V2166" s="42"/>
      <c r="W2166" s="42"/>
    </row>
    <row r="2167">
      <c r="A2167" s="9"/>
      <c r="B2167" s="9"/>
      <c r="C2167" s="9"/>
      <c r="D2167" s="42"/>
      <c r="E2167" s="103"/>
      <c r="F2167" s="42"/>
      <c r="G2167" s="9"/>
      <c r="H2167" s="9"/>
      <c r="I2167" s="9"/>
      <c r="J2167" s="9"/>
      <c r="K2167" s="42"/>
      <c r="L2167" s="42"/>
      <c r="M2167" s="42"/>
      <c r="N2167" s="42"/>
      <c r="O2167" s="42"/>
      <c r="P2167" s="9"/>
      <c r="Q2167" s="9"/>
      <c r="R2167" s="42"/>
      <c r="S2167" s="42"/>
      <c r="T2167" s="42"/>
      <c r="U2167" s="42"/>
      <c r="V2167" s="42"/>
      <c r="W2167" s="42"/>
    </row>
    <row r="2168">
      <c r="A2168" s="9"/>
      <c r="B2168" s="9"/>
      <c r="C2168" s="9"/>
      <c r="D2168" s="42"/>
      <c r="E2168" s="103"/>
      <c r="F2168" s="42"/>
      <c r="G2168" s="9"/>
      <c r="H2168" s="9"/>
      <c r="I2168" s="9"/>
      <c r="J2168" s="9"/>
      <c r="K2168" s="42"/>
      <c r="L2168" s="42"/>
      <c r="M2168" s="42"/>
      <c r="N2168" s="42"/>
      <c r="O2168" s="42"/>
      <c r="P2168" s="9"/>
      <c r="Q2168" s="9"/>
      <c r="R2168" s="42"/>
      <c r="S2168" s="42"/>
      <c r="T2168" s="42"/>
      <c r="U2168" s="42"/>
      <c r="V2168" s="42"/>
      <c r="W2168" s="42"/>
    </row>
    <row r="2169">
      <c r="A2169" s="9"/>
      <c r="B2169" s="9"/>
      <c r="C2169" s="9"/>
      <c r="D2169" s="42"/>
      <c r="E2169" s="103"/>
      <c r="F2169" s="42"/>
      <c r="G2169" s="9"/>
      <c r="H2169" s="9"/>
      <c r="I2169" s="9"/>
      <c r="J2169" s="9"/>
      <c r="K2169" s="42"/>
      <c r="L2169" s="42"/>
      <c r="M2169" s="42"/>
      <c r="N2169" s="42"/>
      <c r="O2169" s="42"/>
      <c r="P2169" s="9"/>
      <c r="Q2169" s="9"/>
      <c r="R2169" s="42"/>
      <c r="S2169" s="42"/>
      <c r="T2169" s="42"/>
      <c r="U2169" s="42"/>
      <c r="V2169" s="42"/>
      <c r="W2169" s="42"/>
    </row>
    <row r="2170">
      <c r="A2170" s="9"/>
      <c r="B2170" s="9"/>
      <c r="C2170" s="9"/>
      <c r="D2170" s="42"/>
      <c r="E2170" s="103"/>
      <c r="F2170" s="42"/>
      <c r="G2170" s="9"/>
      <c r="H2170" s="9"/>
      <c r="I2170" s="9"/>
      <c r="J2170" s="9"/>
      <c r="K2170" s="42"/>
      <c r="L2170" s="42"/>
      <c r="M2170" s="42"/>
      <c r="N2170" s="42"/>
      <c r="O2170" s="42"/>
      <c r="P2170" s="9"/>
      <c r="Q2170" s="9"/>
      <c r="R2170" s="42"/>
      <c r="S2170" s="42"/>
      <c r="T2170" s="42"/>
      <c r="U2170" s="42"/>
      <c r="V2170" s="42"/>
      <c r="W2170" s="42"/>
    </row>
    <row r="2171">
      <c r="A2171" s="9"/>
      <c r="B2171" s="9"/>
      <c r="C2171" s="9"/>
      <c r="D2171" s="42"/>
      <c r="E2171" s="103"/>
      <c r="F2171" s="42"/>
      <c r="G2171" s="9"/>
      <c r="H2171" s="9"/>
      <c r="I2171" s="9"/>
      <c r="J2171" s="9"/>
      <c r="K2171" s="42"/>
      <c r="L2171" s="42"/>
      <c r="M2171" s="42"/>
      <c r="N2171" s="42"/>
      <c r="O2171" s="42"/>
      <c r="P2171" s="9"/>
      <c r="Q2171" s="9"/>
      <c r="R2171" s="42"/>
      <c r="S2171" s="42"/>
      <c r="T2171" s="42"/>
      <c r="U2171" s="42"/>
      <c r="V2171" s="42"/>
      <c r="W2171" s="42"/>
    </row>
    <row r="2172">
      <c r="A2172" s="9"/>
      <c r="B2172" s="9"/>
      <c r="C2172" s="9"/>
      <c r="D2172" s="42"/>
      <c r="E2172" s="103"/>
      <c r="F2172" s="42"/>
      <c r="G2172" s="9"/>
      <c r="H2172" s="9"/>
      <c r="I2172" s="9"/>
      <c r="J2172" s="9"/>
      <c r="K2172" s="42"/>
      <c r="L2172" s="42"/>
      <c r="M2172" s="42"/>
      <c r="N2172" s="42"/>
      <c r="O2172" s="42"/>
      <c r="P2172" s="9"/>
      <c r="Q2172" s="9"/>
      <c r="R2172" s="42"/>
      <c r="S2172" s="42"/>
      <c r="T2172" s="42"/>
      <c r="U2172" s="42"/>
      <c r="V2172" s="42"/>
      <c r="W2172" s="42"/>
    </row>
    <row r="2173">
      <c r="A2173" s="9"/>
      <c r="B2173" s="9"/>
      <c r="C2173" s="9"/>
      <c r="D2173" s="42"/>
      <c r="E2173" s="103"/>
      <c r="F2173" s="42"/>
      <c r="G2173" s="9"/>
      <c r="H2173" s="9"/>
      <c r="I2173" s="9"/>
      <c r="J2173" s="9"/>
      <c r="K2173" s="42"/>
      <c r="L2173" s="42"/>
      <c r="M2173" s="42"/>
      <c r="N2173" s="42"/>
      <c r="O2173" s="42"/>
      <c r="P2173" s="9"/>
      <c r="Q2173" s="9"/>
      <c r="R2173" s="42"/>
      <c r="S2173" s="42"/>
      <c r="T2173" s="42"/>
      <c r="U2173" s="42"/>
      <c r="V2173" s="42"/>
      <c r="W2173" s="42"/>
    </row>
    <row r="2174">
      <c r="A2174" s="9"/>
      <c r="B2174" s="9"/>
      <c r="C2174" s="9"/>
      <c r="D2174" s="42"/>
      <c r="E2174" s="103"/>
      <c r="F2174" s="42"/>
      <c r="G2174" s="9"/>
      <c r="H2174" s="9"/>
      <c r="I2174" s="9"/>
      <c r="J2174" s="9"/>
      <c r="K2174" s="42"/>
      <c r="L2174" s="42"/>
      <c r="M2174" s="42"/>
      <c r="N2174" s="42"/>
      <c r="O2174" s="42"/>
      <c r="P2174" s="9"/>
      <c r="Q2174" s="9"/>
      <c r="R2174" s="42"/>
      <c r="S2174" s="42"/>
      <c r="T2174" s="42"/>
      <c r="U2174" s="42"/>
      <c r="V2174" s="42"/>
      <c r="W2174" s="42"/>
    </row>
    <row r="2175">
      <c r="A2175" s="9"/>
      <c r="B2175" s="9"/>
      <c r="C2175" s="9"/>
      <c r="D2175" s="42"/>
      <c r="E2175" s="103"/>
      <c r="F2175" s="42"/>
      <c r="G2175" s="9"/>
      <c r="H2175" s="9"/>
      <c r="I2175" s="9"/>
      <c r="J2175" s="9"/>
      <c r="K2175" s="42"/>
      <c r="L2175" s="42"/>
      <c r="M2175" s="42"/>
      <c r="N2175" s="42"/>
      <c r="O2175" s="42"/>
      <c r="P2175" s="9"/>
      <c r="Q2175" s="9"/>
      <c r="R2175" s="42"/>
      <c r="S2175" s="42"/>
      <c r="T2175" s="42"/>
      <c r="U2175" s="42"/>
      <c r="V2175" s="42"/>
      <c r="W2175" s="42"/>
    </row>
    <row r="2176">
      <c r="A2176" s="9"/>
      <c r="B2176" s="9"/>
      <c r="C2176" s="9"/>
      <c r="D2176" s="42"/>
      <c r="E2176" s="103"/>
      <c r="F2176" s="42"/>
      <c r="G2176" s="9"/>
      <c r="H2176" s="9"/>
      <c r="I2176" s="9"/>
      <c r="J2176" s="9"/>
      <c r="K2176" s="42"/>
      <c r="L2176" s="42"/>
      <c r="M2176" s="42"/>
      <c r="N2176" s="42"/>
      <c r="O2176" s="42"/>
      <c r="P2176" s="9"/>
      <c r="Q2176" s="9"/>
      <c r="R2176" s="42"/>
      <c r="S2176" s="42"/>
      <c r="T2176" s="42"/>
      <c r="U2176" s="42"/>
      <c r="V2176" s="42"/>
      <c r="W2176" s="42"/>
    </row>
    <row r="2177">
      <c r="A2177" s="9"/>
      <c r="B2177" s="9"/>
      <c r="C2177" s="9"/>
      <c r="D2177" s="42"/>
      <c r="E2177" s="103"/>
      <c r="F2177" s="42"/>
      <c r="G2177" s="9"/>
      <c r="H2177" s="9"/>
      <c r="I2177" s="9"/>
      <c r="J2177" s="9"/>
      <c r="K2177" s="42"/>
      <c r="L2177" s="42"/>
      <c r="M2177" s="42"/>
      <c r="N2177" s="42"/>
      <c r="O2177" s="42"/>
      <c r="P2177" s="9"/>
      <c r="Q2177" s="9"/>
      <c r="R2177" s="42"/>
      <c r="S2177" s="42"/>
      <c r="T2177" s="42"/>
      <c r="U2177" s="42"/>
      <c r="V2177" s="42"/>
      <c r="W2177" s="42"/>
    </row>
    <row r="2178">
      <c r="A2178" s="9"/>
      <c r="B2178" s="9"/>
      <c r="C2178" s="9"/>
      <c r="D2178" s="42"/>
      <c r="E2178" s="103"/>
      <c r="F2178" s="42"/>
      <c r="G2178" s="9"/>
      <c r="H2178" s="9"/>
      <c r="I2178" s="9"/>
      <c r="J2178" s="9"/>
      <c r="K2178" s="42"/>
      <c r="L2178" s="42"/>
      <c r="M2178" s="42"/>
      <c r="N2178" s="42"/>
      <c r="O2178" s="42"/>
      <c r="P2178" s="9"/>
      <c r="Q2178" s="9"/>
      <c r="R2178" s="42"/>
      <c r="S2178" s="42"/>
      <c r="T2178" s="42"/>
      <c r="U2178" s="42"/>
      <c r="V2178" s="42"/>
      <c r="W2178" s="42"/>
    </row>
    <row r="2179">
      <c r="A2179" s="9"/>
      <c r="B2179" s="9"/>
      <c r="C2179" s="9"/>
      <c r="D2179" s="42"/>
      <c r="E2179" s="103"/>
      <c r="F2179" s="42"/>
      <c r="G2179" s="9"/>
      <c r="H2179" s="9"/>
      <c r="I2179" s="9"/>
      <c r="J2179" s="9"/>
      <c r="K2179" s="42"/>
      <c r="L2179" s="42"/>
      <c r="M2179" s="42"/>
      <c r="N2179" s="42"/>
      <c r="O2179" s="42"/>
      <c r="P2179" s="9"/>
      <c r="Q2179" s="9"/>
      <c r="R2179" s="42"/>
      <c r="S2179" s="42"/>
      <c r="T2179" s="42"/>
      <c r="U2179" s="42"/>
      <c r="V2179" s="42"/>
      <c r="W2179" s="42"/>
    </row>
    <row r="2180">
      <c r="A2180" s="9"/>
      <c r="B2180" s="9"/>
      <c r="C2180" s="9"/>
      <c r="D2180" s="42"/>
      <c r="E2180" s="103"/>
      <c r="F2180" s="42"/>
      <c r="G2180" s="9"/>
      <c r="H2180" s="9"/>
      <c r="I2180" s="9"/>
      <c r="J2180" s="9"/>
      <c r="K2180" s="42"/>
      <c r="L2180" s="42"/>
      <c r="M2180" s="42"/>
      <c r="N2180" s="42"/>
      <c r="O2180" s="42"/>
      <c r="P2180" s="9"/>
      <c r="Q2180" s="9"/>
      <c r="R2180" s="42"/>
      <c r="S2180" s="42"/>
      <c r="T2180" s="42"/>
      <c r="U2180" s="42"/>
      <c r="V2180" s="42"/>
      <c r="W2180" s="42"/>
    </row>
    <row r="2181">
      <c r="A2181" s="9"/>
      <c r="B2181" s="9"/>
      <c r="C2181" s="9"/>
      <c r="D2181" s="42"/>
      <c r="E2181" s="103"/>
      <c r="F2181" s="42"/>
      <c r="G2181" s="9"/>
      <c r="H2181" s="9"/>
      <c r="I2181" s="9"/>
      <c r="J2181" s="9"/>
      <c r="K2181" s="42"/>
      <c r="L2181" s="42"/>
      <c r="M2181" s="42"/>
      <c r="N2181" s="42"/>
      <c r="O2181" s="42"/>
      <c r="P2181" s="9"/>
      <c r="Q2181" s="9"/>
      <c r="R2181" s="42"/>
      <c r="S2181" s="42"/>
      <c r="T2181" s="42"/>
      <c r="U2181" s="42"/>
      <c r="V2181" s="42"/>
      <c r="W2181" s="42"/>
    </row>
    <row r="2182">
      <c r="A2182" s="9"/>
      <c r="B2182" s="9"/>
      <c r="C2182" s="9"/>
      <c r="D2182" s="42"/>
      <c r="E2182" s="103"/>
      <c r="F2182" s="42"/>
      <c r="G2182" s="9"/>
      <c r="H2182" s="9"/>
      <c r="I2182" s="9"/>
      <c r="J2182" s="9"/>
      <c r="K2182" s="42"/>
      <c r="L2182" s="42"/>
      <c r="M2182" s="42"/>
      <c r="N2182" s="42"/>
      <c r="O2182" s="42"/>
      <c r="P2182" s="9"/>
      <c r="Q2182" s="9"/>
      <c r="R2182" s="42"/>
      <c r="S2182" s="42"/>
      <c r="T2182" s="42"/>
      <c r="U2182" s="42"/>
      <c r="V2182" s="42"/>
      <c r="W2182" s="42"/>
    </row>
    <row r="2183">
      <c r="A2183" s="9"/>
      <c r="B2183" s="9"/>
      <c r="C2183" s="9"/>
      <c r="D2183" s="42"/>
      <c r="E2183" s="103"/>
      <c r="F2183" s="42"/>
      <c r="G2183" s="9"/>
      <c r="H2183" s="9"/>
      <c r="I2183" s="9"/>
      <c r="J2183" s="9"/>
      <c r="K2183" s="42"/>
      <c r="L2183" s="42"/>
      <c r="M2183" s="42"/>
      <c r="N2183" s="42"/>
      <c r="O2183" s="42"/>
      <c r="P2183" s="9"/>
      <c r="Q2183" s="9"/>
      <c r="R2183" s="42"/>
      <c r="S2183" s="42"/>
      <c r="T2183" s="42"/>
      <c r="U2183" s="42"/>
      <c r="V2183" s="42"/>
      <c r="W2183" s="42"/>
    </row>
    <row r="2184">
      <c r="A2184" s="9"/>
      <c r="B2184" s="9"/>
      <c r="C2184" s="9"/>
      <c r="D2184" s="42"/>
      <c r="E2184" s="103"/>
      <c r="F2184" s="42"/>
      <c r="G2184" s="9"/>
      <c r="H2184" s="9"/>
      <c r="I2184" s="9"/>
      <c r="J2184" s="9"/>
      <c r="K2184" s="42"/>
      <c r="L2184" s="42"/>
      <c r="M2184" s="42"/>
      <c r="N2184" s="42"/>
      <c r="O2184" s="42"/>
      <c r="P2184" s="9"/>
      <c r="Q2184" s="9"/>
      <c r="R2184" s="42"/>
      <c r="S2184" s="42"/>
      <c r="T2184" s="42"/>
      <c r="U2184" s="42"/>
      <c r="V2184" s="42"/>
      <c r="W2184" s="42"/>
    </row>
    <row r="2185">
      <c r="A2185" s="9"/>
      <c r="B2185" s="9"/>
      <c r="C2185" s="9"/>
      <c r="D2185" s="42"/>
      <c r="E2185" s="103"/>
      <c r="F2185" s="42"/>
      <c r="G2185" s="9"/>
      <c r="H2185" s="9"/>
      <c r="I2185" s="9"/>
      <c r="J2185" s="9"/>
      <c r="K2185" s="42"/>
      <c r="L2185" s="42"/>
      <c r="M2185" s="42"/>
      <c r="N2185" s="42"/>
      <c r="O2185" s="42"/>
      <c r="P2185" s="9"/>
      <c r="Q2185" s="9"/>
      <c r="R2185" s="42"/>
      <c r="S2185" s="42"/>
      <c r="T2185" s="42"/>
      <c r="U2185" s="42"/>
      <c r="V2185" s="42"/>
      <c r="W2185" s="42"/>
    </row>
    <row r="2186">
      <c r="A2186" s="9"/>
      <c r="B2186" s="9"/>
      <c r="C2186" s="9"/>
      <c r="D2186" s="42"/>
      <c r="E2186" s="103"/>
      <c r="F2186" s="42"/>
      <c r="G2186" s="9"/>
      <c r="H2186" s="9"/>
      <c r="I2186" s="9"/>
      <c r="J2186" s="9"/>
      <c r="K2186" s="42"/>
      <c r="L2186" s="42"/>
      <c r="M2186" s="42"/>
      <c r="N2186" s="42"/>
      <c r="O2186" s="42"/>
      <c r="P2186" s="9"/>
      <c r="Q2186" s="9"/>
      <c r="R2186" s="42"/>
      <c r="S2186" s="42"/>
      <c r="T2186" s="42"/>
      <c r="U2186" s="42"/>
      <c r="V2186" s="42"/>
      <c r="W2186" s="42"/>
    </row>
    <row r="2187">
      <c r="A2187" s="9"/>
      <c r="B2187" s="9"/>
      <c r="C2187" s="9"/>
      <c r="D2187" s="42"/>
      <c r="E2187" s="103"/>
      <c r="F2187" s="42"/>
      <c r="G2187" s="9"/>
      <c r="H2187" s="9"/>
      <c r="I2187" s="9"/>
      <c r="J2187" s="9"/>
      <c r="K2187" s="42"/>
      <c r="L2187" s="42"/>
      <c r="M2187" s="42"/>
      <c r="N2187" s="42"/>
      <c r="O2187" s="42"/>
      <c r="P2187" s="9"/>
      <c r="Q2187" s="9"/>
      <c r="R2187" s="42"/>
      <c r="S2187" s="42"/>
      <c r="T2187" s="42"/>
      <c r="U2187" s="42"/>
      <c r="V2187" s="42"/>
      <c r="W2187" s="42"/>
    </row>
    <row r="2188">
      <c r="A2188" s="9"/>
      <c r="B2188" s="9"/>
      <c r="C2188" s="9"/>
      <c r="D2188" s="42"/>
      <c r="E2188" s="103"/>
      <c r="F2188" s="42"/>
      <c r="G2188" s="9"/>
      <c r="H2188" s="9"/>
      <c r="I2188" s="9"/>
      <c r="J2188" s="9"/>
      <c r="K2188" s="42"/>
      <c r="L2188" s="42"/>
      <c r="M2188" s="42"/>
      <c r="N2188" s="42"/>
      <c r="O2188" s="42"/>
      <c r="P2188" s="9"/>
      <c r="Q2188" s="9"/>
      <c r="R2188" s="42"/>
      <c r="S2188" s="42"/>
      <c r="T2188" s="42"/>
      <c r="U2188" s="42"/>
      <c r="V2188" s="42"/>
      <c r="W2188" s="42"/>
    </row>
    <row r="2189">
      <c r="A2189" s="9"/>
      <c r="B2189" s="9"/>
      <c r="C2189" s="9"/>
      <c r="D2189" s="42"/>
      <c r="E2189" s="103"/>
      <c r="F2189" s="42"/>
      <c r="G2189" s="9"/>
      <c r="H2189" s="9"/>
      <c r="I2189" s="9"/>
      <c r="J2189" s="9"/>
      <c r="K2189" s="42"/>
      <c r="L2189" s="42"/>
      <c r="M2189" s="42"/>
      <c r="N2189" s="42"/>
      <c r="O2189" s="42"/>
      <c r="P2189" s="9"/>
      <c r="Q2189" s="9"/>
      <c r="R2189" s="42"/>
      <c r="S2189" s="42"/>
      <c r="T2189" s="42"/>
      <c r="U2189" s="42"/>
      <c r="V2189" s="42"/>
      <c r="W2189" s="42"/>
    </row>
    <row r="2190">
      <c r="A2190" s="9"/>
      <c r="B2190" s="9"/>
      <c r="C2190" s="9"/>
      <c r="D2190" s="42"/>
      <c r="E2190" s="103"/>
      <c r="F2190" s="42"/>
      <c r="G2190" s="9"/>
      <c r="H2190" s="9"/>
      <c r="I2190" s="9"/>
      <c r="J2190" s="9"/>
      <c r="K2190" s="42"/>
      <c r="L2190" s="42"/>
      <c r="M2190" s="42"/>
      <c r="N2190" s="42"/>
      <c r="O2190" s="42"/>
      <c r="P2190" s="9"/>
      <c r="Q2190" s="9"/>
      <c r="R2190" s="42"/>
      <c r="S2190" s="42"/>
      <c r="T2190" s="42"/>
      <c r="U2190" s="42"/>
      <c r="V2190" s="42"/>
      <c r="W2190" s="42"/>
    </row>
    <row r="2191">
      <c r="A2191" s="9"/>
      <c r="B2191" s="9"/>
      <c r="C2191" s="9"/>
      <c r="D2191" s="42"/>
      <c r="E2191" s="103"/>
      <c r="F2191" s="42"/>
      <c r="G2191" s="9"/>
      <c r="H2191" s="9"/>
      <c r="I2191" s="9"/>
      <c r="J2191" s="9"/>
      <c r="K2191" s="42"/>
      <c r="L2191" s="42"/>
      <c r="M2191" s="42"/>
      <c r="N2191" s="42"/>
      <c r="O2191" s="42"/>
      <c r="P2191" s="9"/>
      <c r="Q2191" s="9"/>
      <c r="R2191" s="42"/>
      <c r="S2191" s="42"/>
      <c r="T2191" s="42"/>
      <c r="U2191" s="42"/>
      <c r="V2191" s="42"/>
      <c r="W2191" s="42"/>
    </row>
    <row r="2192">
      <c r="A2192" s="9"/>
      <c r="B2192" s="9"/>
      <c r="C2192" s="9"/>
      <c r="D2192" s="42"/>
      <c r="E2192" s="103"/>
      <c r="F2192" s="42"/>
      <c r="G2192" s="9"/>
      <c r="H2192" s="9"/>
      <c r="I2192" s="9"/>
      <c r="J2192" s="9"/>
      <c r="K2192" s="42"/>
      <c r="L2192" s="42"/>
      <c r="M2192" s="42"/>
      <c r="N2192" s="42"/>
      <c r="O2192" s="42"/>
      <c r="P2192" s="9"/>
      <c r="Q2192" s="9"/>
      <c r="R2192" s="42"/>
      <c r="S2192" s="42"/>
      <c r="T2192" s="42"/>
      <c r="U2192" s="42"/>
      <c r="V2192" s="42"/>
      <c r="W2192" s="42"/>
    </row>
    <row r="2193">
      <c r="A2193" s="9"/>
      <c r="B2193" s="9"/>
      <c r="C2193" s="9"/>
      <c r="D2193" s="42"/>
      <c r="E2193" s="103"/>
      <c r="F2193" s="42"/>
      <c r="G2193" s="9"/>
      <c r="H2193" s="9"/>
      <c r="I2193" s="9"/>
      <c r="J2193" s="9"/>
      <c r="K2193" s="42"/>
      <c r="L2193" s="42"/>
      <c r="M2193" s="42"/>
      <c r="N2193" s="42"/>
      <c r="O2193" s="42"/>
      <c r="P2193" s="9"/>
      <c r="Q2193" s="9"/>
      <c r="R2193" s="42"/>
      <c r="S2193" s="42"/>
      <c r="T2193" s="42"/>
      <c r="U2193" s="42"/>
      <c r="V2193" s="42"/>
      <c r="W2193" s="42"/>
    </row>
    <row r="2194">
      <c r="A2194" s="9"/>
      <c r="B2194" s="9"/>
      <c r="C2194" s="9"/>
      <c r="D2194" s="42"/>
      <c r="E2194" s="103"/>
      <c r="F2194" s="42"/>
      <c r="G2194" s="9"/>
      <c r="H2194" s="9"/>
      <c r="I2194" s="9"/>
      <c r="J2194" s="9"/>
      <c r="K2194" s="42"/>
      <c r="L2194" s="42"/>
      <c r="M2194" s="42"/>
      <c r="N2194" s="42"/>
      <c r="O2194" s="42"/>
      <c r="P2194" s="9"/>
      <c r="Q2194" s="9"/>
      <c r="R2194" s="42"/>
      <c r="S2194" s="42"/>
      <c r="T2194" s="42"/>
      <c r="U2194" s="42"/>
      <c r="V2194" s="42"/>
      <c r="W2194" s="42"/>
    </row>
    <row r="2195">
      <c r="A2195" s="9"/>
      <c r="B2195" s="9"/>
      <c r="C2195" s="9"/>
      <c r="D2195" s="42"/>
      <c r="E2195" s="103"/>
      <c r="F2195" s="42"/>
      <c r="G2195" s="9"/>
      <c r="H2195" s="9"/>
      <c r="I2195" s="9"/>
      <c r="J2195" s="9"/>
      <c r="K2195" s="42"/>
      <c r="L2195" s="42"/>
      <c r="M2195" s="42"/>
      <c r="N2195" s="42"/>
      <c r="O2195" s="42"/>
      <c r="P2195" s="9"/>
      <c r="Q2195" s="9"/>
      <c r="R2195" s="42"/>
      <c r="S2195" s="42"/>
      <c r="T2195" s="42"/>
      <c r="U2195" s="42"/>
      <c r="V2195" s="42"/>
      <c r="W2195" s="42"/>
    </row>
    <row r="2196">
      <c r="A2196" s="9"/>
      <c r="B2196" s="9"/>
      <c r="C2196" s="9"/>
      <c r="D2196" s="42"/>
      <c r="E2196" s="103"/>
      <c r="F2196" s="42"/>
      <c r="G2196" s="9"/>
      <c r="H2196" s="9"/>
      <c r="I2196" s="9"/>
      <c r="J2196" s="9"/>
      <c r="K2196" s="42"/>
      <c r="L2196" s="42"/>
      <c r="M2196" s="42"/>
      <c r="N2196" s="42"/>
      <c r="O2196" s="42"/>
      <c r="P2196" s="9"/>
      <c r="Q2196" s="9"/>
      <c r="R2196" s="42"/>
      <c r="S2196" s="42"/>
      <c r="T2196" s="42"/>
      <c r="U2196" s="42"/>
      <c r="V2196" s="42"/>
      <c r="W2196" s="42"/>
    </row>
    <row r="2197">
      <c r="A2197" s="9"/>
      <c r="B2197" s="9"/>
      <c r="C2197" s="9"/>
      <c r="D2197" s="42"/>
      <c r="E2197" s="103"/>
      <c r="F2197" s="42"/>
      <c r="G2197" s="9"/>
      <c r="H2197" s="9"/>
      <c r="I2197" s="9"/>
      <c r="J2197" s="9"/>
      <c r="K2197" s="42"/>
      <c r="L2197" s="42"/>
      <c r="M2197" s="42"/>
      <c r="N2197" s="42"/>
      <c r="O2197" s="42"/>
      <c r="P2197" s="9"/>
      <c r="Q2197" s="9"/>
      <c r="R2197" s="42"/>
      <c r="S2197" s="42"/>
      <c r="T2197" s="42"/>
      <c r="U2197" s="42"/>
      <c r="V2197" s="42"/>
      <c r="W2197" s="42"/>
    </row>
    <row r="2198">
      <c r="A2198" s="9"/>
      <c r="B2198" s="9"/>
      <c r="C2198" s="9"/>
      <c r="D2198" s="42"/>
      <c r="E2198" s="103"/>
      <c r="F2198" s="42"/>
      <c r="G2198" s="9"/>
      <c r="H2198" s="9"/>
      <c r="I2198" s="9"/>
      <c r="J2198" s="9"/>
      <c r="K2198" s="42"/>
      <c r="L2198" s="42"/>
      <c r="M2198" s="42"/>
      <c r="N2198" s="42"/>
      <c r="O2198" s="42"/>
      <c r="P2198" s="9"/>
      <c r="Q2198" s="9"/>
      <c r="R2198" s="42"/>
      <c r="S2198" s="42"/>
      <c r="T2198" s="42"/>
      <c r="U2198" s="42"/>
      <c r="V2198" s="42"/>
      <c r="W2198" s="42"/>
    </row>
    <row r="2199">
      <c r="A2199" s="9"/>
      <c r="B2199" s="9"/>
      <c r="C2199" s="9"/>
      <c r="D2199" s="42"/>
      <c r="E2199" s="103"/>
      <c r="F2199" s="42"/>
      <c r="G2199" s="9"/>
      <c r="H2199" s="9"/>
      <c r="I2199" s="9"/>
      <c r="J2199" s="9"/>
      <c r="K2199" s="42"/>
      <c r="L2199" s="42"/>
      <c r="M2199" s="42"/>
      <c r="N2199" s="42"/>
      <c r="O2199" s="42"/>
      <c r="P2199" s="9"/>
      <c r="Q2199" s="9"/>
      <c r="R2199" s="42"/>
      <c r="S2199" s="42"/>
      <c r="T2199" s="42"/>
      <c r="U2199" s="42"/>
      <c r="V2199" s="42"/>
      <c r="W2199" s="42"/>
    </row>
    <row r="2200">
      <c r="A2200" s="9"/>
      <c r="B2200" s="9"/>
      <c r="C2200" s="9"/>
      <c r="D2200" s="42"/>
      <c r="E2200" s="103"/>
      <c r="F2200" s="42"/>
      <c r="G2200" s="9"/>
      <c r="H2200" s="9"/>
      <c r="I2200" s="9"/>
      <c r="J2200" s="9"/>
      <c r="K2200" s="42"/>
      <c r="L2200" s="42"/>
      <c r="M2200" s="42"/>
      <c r="N2200" s="42"/>
      <c r="O2200" s="42"/>
      <c r="P2200" s="9"/>
      <c r="Q2200" s="9"/>
      <c r="R2200" s="42"/>
      <c r="S2200" s="42"/>
      <c r="T2200" s="42"/>
      <c r="U2200" s="42"/>
      <c r="V2200" s="42"/>
      <c r="W2200" s="42"/>
    </row>
    <row r="2201">
      <c r="A2201" s="9"/>
      <c r="B2201" s="9"/>
      <c r="C2201" s="9"/>
      <c r="D2201" s="42"/>
      <c r="E2201" s="103"/>
      <c r="F2201" s="42"/>
      <c r="G2201" s="9"/>
      <c r="H2201" s="9"/>
      <c r="I2201" s="9"/>
      <c r="J2201" s="9"/>
      <c r="K2201" s="42"/>
      <c r="L2201" s="42"/>
      <c r="M2201" s="42"/>
      <c r="N2201" s="42"/>
      <c r="O2201" s="42"/>
      <c r="P2201" s="9"/>
      <c r="Q2201" s="9"/>
      <c r="R2201" s="42"/>
      <c r="S2201" s="42"/>
      <c r="T2201" s="42"/>
      <c r="U2201" s="42"/>
      <c r="V2201" s="42"/>
      <c r="W2201" s="42"/>
    </row>
    <row r="2202">
      <c r="A2202" s="9"/>
      <c r="B2202" s="9"/>
      <c r="C2202" s="9"/>
      <c r="D2202" s="42"/>
      <c r="E2202" s="103"/>
      <c r="F2202" s="42"/>
      <c r="G2202" s="9"/>
      <c r="H2202" s="9"/>
      <c r="I2202" s="9"/>
      <c r="J2202" s="9"/>
      <c r="K2202" s="42"/>
      <c r="L2202" s="42"/>
      <c r="M2202" s="42"/>
      <c r="N2202" s="42"/>
      <c r="O2202" s="42"/>
      <c r="P2202" s="9"/>
      <c r="Q2202" s="9"/>
      <c r="R2202" s="42"/>
      <c r="S2202" s="42"/>
      <c r="T2202" s="42"/>
      <c r="U2202" s="42"/>
      <c r="V2202" s="42"/>
      <c r="W2202" s="42"/>
    </row>
    <row r="2203">
      <c r="A2203" s="9"/>
      <c r="B2203" s="9"/>
      <c r="C2203" s="9"/>
      <c r="D2203" s="42"/>
      <c r="E2203" s="103"/>
      <c r="F2203" s="42"/>
      <c r="G2203" s="9"/>
      <c r="H2203" s="9"/>
      <c r="I2203" s="9"/>
      <c r="J2203" s="9"/>
      <c r="K2203" s="42"/>
      <c r="L2203" s="42"/>
      <c r="M2203" s="42"/>
      <c r="N2203" s="42"/>
      <c r="O2203" s="42"/>
      <c r="P2203" s="9"/>
      <c r="Q2203" s="9"/>
      <c r="R2203" s="42"/>
      <c r="S2203" s="42"/>
      <c r="T2203" s="42"/>
      <c r="U2203" s="42"/>
      <c r="V2203" s="42"/>
      <c r="W2203" s="42"/>
    </row>
    <row r="2204">
      <c r="A2204" s="9"/>
      <c r="B2204" s="9"/>
      <c r="C2204" s="9"/>
      <c r="D2204" s="42"/>
      <c r="E2204" s="103"/>
      <c r="F2204" s="42"/>
      <c r="G2204" s="9"/>
      <c r="H2204" s="9"/>
      <c r="I2204" s="9"/>
      <c r="J2204" s="9"/>
      <c r="K2204" s="42"/>
      <c r="L2204" s="42"/>
      <c r="M2204" s="42"/>
      <c r="N2204" s="42"/>
      <c r="O2204" s="42"/>
      <c r="P2204" s="9"/>
      <c r="Q2204" s="9"/>
      <c r="R2204" s="42"/>
      <c r="S2204" s="42"/>
      <c r="T2204" s="42"/>
      <c r="U2204" s="42"/>
      <c r="V2204" s="42"/>
      <c r="W2204" s="42"/>
    </row>
    <row r="2205">
      <c r="A2205" s="9"/>
      <c r="B2205" s="9"/>
      <c r="C2205" s="9"/>
      <c r="D2205" s="42"/>
      <c r="E2205" s="103"/>
      <c r="F2205" s="42"/>
      <c r="G2205" s="9"/>
      <c r="H2205" s="9"/>
      <c r="I2205" s="9"/>
      <c r="J2205" s="9"/>
      <c r="K2205" s="42"/>
      <c r="L2205" s="42"/>
      <c r="M2205" s="42"/>
      <c r="N2205" s="42"/>
      <c r="O2205" s="42"/>
      <c r="P2205" s="9"/>
      <c r="Q2205" s="9"/>
      <c r="R2205" s="42"/>
      <c r="S2205" s="42"/>
      <c r="T2205" s="42"/>
      <c r="U2205" s="42"/>
      <c r="V2205" s="42"/>
      <c r="W2205" s="42"/>
    </row>
    <row r="2206">
      <c r="A2206" s="9"/>
      <c r="B2206" s="9"/>
      <c r="C2206" s="9"/>
      <c r="D2206" s="42"/>
      <c r="E2206" s="103"/>
      <c r="F2206" s="42"/>
      <c r="G2206" s="9"/>
      <c r="H2206" s="9"/>
      <c r="I2206" s="9"/>
      <c r="J2206" s="9"/>
      <c r="K2206" s="42"/>
      <c r="L2206" s="42"/>
      <c r="M2206" s="42"/>
      <c r="N2206" s="42"/>
      <c r="O2206" s="42"/>
      <c r="P2206" s="9"/>
      <c r="Q2206" s="9"/>
      <c r="R2206" s="42"/>
      <c r="S2206" s="42"/>
      <c r="T2206" s="42"/>
      <c r="U2206" s="42"/>
      <c r="V2206" s="42"/>
      <c r="W2206" s="42"/>
    </row>
    <row r="2207">
      <c r="A2207" s="9"/>
      <c r="B2207" s="9"/>
      <c r="C2207" s="9"/>
      <c r="D2207" s="42"/>
      <c r="E2207" s="103"/>
      <c r="F2207" s="42"/>
      <c r="G2207" s="9"/>
      <c r="H2207" s="9"/>
      <c r="I2207" s="9"/>
      <c r="J2207" s="9"/>
      <c r="K2207" s="42"/>
      <c r="L2207" s="42"/>
      <c r="M2207" s="42"/>
      <c r="N2207" s="42"/>
      <c r="O2207" s="42"/>
      <c r="P2207" s="9"/>
      <c r="Q2207" s="9"/>
      <c r="R2207" s="42"/>
      <c r="S2207" s="42"/>
      <c r="T2207" s="42"/>
      <c r="U2207" s="42"/>
      <c r="V2207" s="42"/>
      <c r="W2207" s="42"/>
    </row>
    <row r="2208">
      <c r="A2208" s="9"/>
      <c r="B2208" s="9"/>
      <c r="C2208" s="9"/>
      <c r="D2208" s="42"/>
      <c r="E2208" s="103"/>
      <c r="F2208" s="42"/>
      <c r="G2208" s="9"/>
      <c r="H2208" s="9"/>
      <c r="I2208" s="9"/>
      <c r="J2208" s="9"/>
      <c r="K2208" s="42"/>
      <c r="L2208" s="42"/>
      <c r="M2208" s="42"/>
      <c r="N2208" s="42"/>
      <c r="O2208" s="42"/>
      <c r="P2208" s="9"/>
      <c r="Q2208" s="9"/>
      <c r="R2208" s="42"/>
      <c r="S2208" s="42"/>
      <c r="T2208" s="42"/>
      <c r="U2208" s="42"/>
      <c r="V2208" s="42"/>
      <c r="W2208" s="42"/>
    </row>
    <row r="2209">
      <c r="A2209" s="9"/>
      <c r="B2209" s="9"/>
      <c r="C2209" s="9"/>
      <c r="D2209" s="42"/>
      <c r="E2209" s="103"/>
      <c r="F2209" s="42"/>
      <c r="G2209" s="9"/>
      <c r="H2209" s="9"/>
      <c r="I2209" s="9"/>
      <c r="J2209" s="9"/>
      <c r="K2209" s="42"/>
      <c r="L2209" s="42"/>
      <c r="M2209" s="42"/>
      <c r="N2209" s="42"/>
      <c r="O2209" s="42"/>
      <c r="P2209" s="9"/>
      <c r="Q2209" s="9"/>
      <c r="R2209" s="42"/>
      <c r="S2209" s="42"/>
      <c r="T2209" s="42"/>
      <c r="U2209" s="42"/>
      <c r="V2209" s="42"/>
      <c r="W2209" s="42"/>
    </row>
    <row r="2210">
      <c r="A2210" s="9"/>
      <c r="B2210" s="9"/>
      <c r="C2210" s="9"/>
      <c r="D2210" s="42"/>
      <c r="E2210" s="103"/>
      <c r="F2210" s="42"/>
      <c r="G2210" s="9"/>
      <c r="H2210" s="9"/>
      <c r="I2210" s="9"/>
      <c r="J2210" s="9"/>
      <c r="K2210" s="42"/>
      <c r="L2210" s="42"/>
      <c r="M2210" s="42"/>
      <c r="N2210" s="42"/>
      <c r="O2210" s="42"/>
      <c r="P2210" s="9"/>
      <c r="Q2210" s="9"/>
      <c r="R2210" s="42"/>
      <c r="S2210" s="42"/>
      <c r="T2210" s="42"/>
      <c r="U2210" s="42"/>
      <c r="V2210" s="42"/>
      <c r="W2210" s="42"/>
    </row>
    <row r="2211">
      <c r="A2211" s="9"/>
      <c r="B2211" s="9"/>
      <c r="C2211" s="9"/>
      <c r="D2211" s="42"/>
      <c r="E2211" s="103"/>
      <c r="F2211" s="42"/>
      <c r="G2211" s="9"/>
      <c r="H2211" s="9"/>
      <c r="I2211" s="9"/>
      <c r="J2211" s="9"/>
      <c r="K2211" s="42"/>
      <c r="L2211" s="42"/>
      <c r="M2211" s="42"/>
      <c r="N2211" s="42"/>
      <c r="O2211" s="42"/>
      <c r="P2211" s="9"/>
      <c r="Q2211" s="9"/>
      <c r="R2211" s="42"/>
      <c r="S2211" s="42"/>
      <c r="T2211" s="42"/>
      <c r="U2211" s="42"/>
      <c r="V2211" s="42"/>
      <c r="W2211" s="42"/>
    </row>
    <row r="2212">
      <c r="A2212" s="9"/>
      <c r="B2212" s="9"/>
      <c r="C2212" s="9"/>
      <c r="D2212" s="42"/>
      <c r="E2212" s="103"/>
      <c r="F2212" s="42"/>
      <c r="G2212" s="9"/>
      <c r="H2212" s="9"/>
      <c r="I2212" s="9"/>
      <c r="J2212" s="9"/>
      <c r="K2212" s="42"/>
      <c r="L2212" s="42"/>
      <c r="M2212" s="42"/>
      <c r="N2212" s="42"/>
      <c r="O2212" s="42"/>
      <c r="P2212" s="9"/>
      <c r="Q2212" s="9"/>
      <c r="R2212" s="42"/>
      <c r="S2212" s="42"/>
      <c r="T2212" s="42"/>
      <c r="U2212" s="42"/>
      <c r="V2212" s="42"/>
      <c r="W2212" s="42"/>
    </row>
    <row r="2213">
      <c r="A2213" s="9"/>
      <c r="B2213" s="9"/>
      <c r="C2213" s="9"/>
      <c r="D2213" s="42"/>
      <c r="E2213" s="103"/>
      <c r="F2213" s="42"/>
      <c r="G2213" s="9"/>
      <c r="H2213" s="9"/>
      <c r="I2213" s="9"/>
      <c r="J2213" s="9"/>
      <c r="K2213" s="42"/>
      <c r="L2213" s="42"/>
      <c r="M2213" s="42"/>
      <c r="N2213" s="42"/>
      <c r="O2213" s="42"/>
      <c r="P2213" s="9"/>
      <c r="Q2213" s="9"/>
      <c r="R2213" s="42"/>
      <c r="S2213" s="42"/>
      <c r="T2213" s="42"/>
      <c r="U2213" s="42"/>
      <c r="V2213" s="42"/>
      <c r="W2213" s="42"/>
    </row>
    <row r="2214">
      <c r="A2214" s="9"/>
      <c r="B2214" s="9"/>
      <c r="C2214" s="9"/>
      <c r="D2214" s="42"/>
      <c r="E2214" s="103"/>
      <c r="F2214" s="42"/>
      <c r="G2214" s="9"/>
      <c r="H2214" s="9"/>
      <c r="I2214" s="9"/>
      <c r="J2214" s="9"/>
      <c r="K2214" s="42"/>
      <c r="L2214" s="42"/>
      <c r="M2214" s="42"/>
      <c r="N2214" s="42"/>
      <c r="O2214" s="42"/>
      <c r="P2214" s="9"/>
      <c r="Q2214" s="9"/>
      <c r="R2214" s="42"/>
      <c r="S2214" s="42"/>
      <c r="T2214" s="42"/>
      <c r="U2214" s="42"/>
      <c r="V2214" s="42"/>
      <c r="W2214" s="42"/>
    </row>
    <row r="2215">
      <c r="A2215" s="9"/>
      <c r="B2215" s="9"/>
      <c r="C2215" s="9"/>
      <c r="D2215" s="42"/>
      <c r="E2215" s="103"/>
      <c r="F2215" s="42"/>
      <c r="G2215" s="9"/>
      <c r="H2215" s="9"/>
      <c r="I2215" s="9"/>
      <c r="J2215" s="9"/>
      <c r="K2215" s="42"/>
      <c r="L2215" s="42"/>
      <c r="M2215" s="42"/>
      <c r="N2215" s="42"/>
      <c r="O2215" s="42"/>
      <c r="P2215" s="9"/>
      <c r="Q2215" s="9"/>
      <c r="R2215" s="42"/>
      <c r="S2215" s="42"/>
      <c r="T2215" s="42"/>
      <c r="U2215" s="42"/>
      <c r="V2215" s="42"/>
      <c r="W2215" s="42"/>
    </row>
    <row r="2216">
      <c r="A2216" s="9"/>
      <c r="B2216" s="9"/>
      <c r="C2216" s="9"/>
      <c r="D2216" s="42"/>
      <c r="E2216" s="103"/>
      <c r="F2216" s="42"/>
      <c r="G2216" s="9"/>
      <c r="H2216" s="9"/>
      <c r="I2216" s="9"/>
      <c r="J2216" s="9"/>
      <c r="K2216" s="42"/>
      <c r="L2216" s="42"/>
      <c r="M2216" s="42"/>
      <c r="N2216" s="42"/>
      <c r="O2216" s="42"/>
      <c r="P2216" s="9"/>
      <c r="Q2216" s="9"/>
      <c r="R2216" s="42"/>
      <c r="S2216" s="42"/>
      <c r="T2216" s="42"/>
      <c r="U2216" s="42"/>
      <c r="V2216" s="42"/>
      <c r="W2216" s="42"/>
    </row>
    <row r="2217">
      <c r="A2217" s="9"/>
      <c r="B2217" s="9"/>
      <c r="C2217" s="9"/>
      <c r="D2217" s="42"/>
      <c r="E2217" s="103"/>
      <c r="F2217" s="42"/>
      <c r="G2217" s="9"/>
      <c r="H2217" s="9"/>
      <c r="I2217" s="9"/>
      <c r="J2217" s="9"/>
      <c r="K2217" s="42"/>
      <c r="L2217" s="42"/>
      <c r="M2217" s="42"/>
      <c r="N2217" s="42"/>
      <c r="O2217" s="42"/>
      <c r="P2217" s="9"/>
      <c r="Q2217" s="9"/>
      <c r="R2217" s="42"/>
      <c r="S2217" s="42"/>
      <c r="T2217" s="42"/>
      <c r="U2217" s="42"/>
      <c r="V2217" s="42"/>
      <c r="W2217" s="42"/>
    </row>
    <row r="2218">
      <c r="A2218" s="9"/>
      <c r="B2218" s="9"/>
      <c r="C2218" s="9"/>
      <c r="D2218" s="42"/>
      <c r="E2218" s="103"/>
      <c r="F2218" s="42"/>
      <c r="G2218" s="9"/>
      <c r="H2218" s="9"/>
      <c r="I2218" s="9"/>
      <c r="J2218" s="9"/>
      <c r="K2218" s="42"/>
      <c r="L2218" s="42"/>
      <c r="M2218" s="42"/>
      <c r="N2218" s="42"/>
      <c r="O2218" s="42"/>
      <c r="P2218" s="9"/>
      <c r="Q2218" s="9"/>
      <c r="R2218" s="42"/>
      <c r="S2218" s="42"/>
      <c r="T2218" s="42"/>
      <c r="U2218" s="42"/>
      <c r="V2218" s="42"/>
      <c r="W2218" s="42"/>
    </row>
    <row r="2219">
      <c r="A2219" s="9"/>
      <c r="B2219" s="9"/>
      <c r="C2219" s="9"/>
      <c r="D2219" s="42"/>
      <c r="E2219" s="103"/>
      <c r="F2219" s="42"/>
      <c r="G2219" s="9"/>
      <c r="H2219" s="9"/>
      <c r="I2219" s="9"/>
      <c r="J2219" s="9"/>
      <c r="K2219" s="42"/>
      <c r="L2219" s="42"/>
      <c r="M2219" s="42"/>
      <c r="N2219" s="42"/>
      <c r="O2219" s="42"/>
      <c r="P2219" s="9"/>
      <c r="Q2219" s="9"/>
      <c r="R2219" s="42"/>
      <c r="S2219" s="42"/>
      <c r="T2219" s="42"/>
      <c r="U2219" s="42"/>
      <c r="V2219" s="42"/>
      <c r="W2219" s="42"/>
    </row>
    <row r="2220">
      <c r="A2220" s="9"/>
      <c r="B2220" s="9"/>
      <c r="C2220" s="9"/>
      <c r="D2220" s="42"/>
      <c r="E2220" s="103"/>
      <c r="F2220" s="42"/>
      <c r="G2220" s="9"/>
      <c r="H2220" s="9"/>
      <c r="I2220" s="9"/>
      <c r="J2220" s="9"/>
      <c r="K2220" s="42"/>
      <c r="L2220" s="42"/>
      <c r="M2220" s="42"/>
      <c r="N2220" s="42"/>
      <c r="O2220" s="42"/>
      <c r="P2220" s="9"/>
      <c r="Q2220" s="9"/>
      <c r="R2220" s="42"/>
      <c r="S2220" s="42"/>
      <c r="T2220" s="42"/>
      <c r="U2220" s="42"/>
      <c r="V2220" s="42"/>
      <c r="W2220" s="42"/>
    </row>
    <row r="2221">
      <c r="A2221" s="9"/>
      <c r="B2221" s="9"/>
      <c r="C2221" s="9"/>
      <c r="D2221" s="42"/>
      <c r="E2221" s="103"/>
      <c r="F2221" s="42"/>
      <c r="G2221" s="9"/>
      <c r="H2221" s="9"/>
      <c r="I2221" s="9"/>
      <c r="J2221" s="9"/>
      <c r="K2221" s="42"/>
      <c r="L2221" s="42"/>
      <c r="M2221" s="42"/>
      <c r="N2221" s="42"/>
      <c r="O2221" s="42"/>
      <c r="P2221" s="9"/>
      <c r="Q2221" s="9"/>
      <c r="R2221" s="42"/>
      <c r="S2221" s="42"/>
      <c r="T2221" s="42"/>
      <c r="U2221" s="42"/>
      <c r="V2221" s="42"/>
      <c r="W2221" s="42"/>
    </row>
    <row r="2222">
      <c r="A2222" s="9"/>
      <c r="B2222" s="9"/>
      <c r="C2222" s="9"/>
      <c r="D2222" s="42"/>
      <c r="E2222" s="103"/>
      <c r="F2222" s="42"/>
      <c r="G2222" s="9"/>
      <c r="H2222" s="9"/>
      <c r="I2222" s="9"/>
      <c r="J2222" s="9"/>
      <c r="K2222" s="42"/>
      <c r="L2222" s="42"/>
      <c r="M2222" s="42"/>
      <c r="N2222" s="42"/>
      <c r="O2222" s="42"/>
      <c r="P2222" s="9"/>
      <c r="Q2222" s="9"/>
      <c r="R2222" s="42"/>
      <c r="S2222" s="42"/>
      <c r="T2222" s="42"/>
      <c r="U2222" s="42"/>
      <c r="V2222" s="42"/>
      <c r="W2222" s="42"/>
    </row>
    <row r="2223">
      <c r="A2223" s="9"/>
      <c r="B2223" s="9"/>
      <c r="C2223" s="9"/>
      <c r="D2223" s="42"/>
      <c r="E2223" s="103"/>
      <c r="F2223" s="42"/>
      <c r="G2223" s="9"/>
      <c r="H2223" s="9"/>
      <c r="I2223" s="9"/>
      <c r="J2223" s="9"/>
      <c r="K2223" s="42"/>
      <c r="L2223" s="42"/>
      <c r="M2223" s="42"/>
      <c r="N2223" s="42"/>
      <c r="O2223" s="42"/>
      <c r="P2223" s="9"/>
      <c r="Q2223" s="9"/>
      <c r="R2223" s="42"/>
      <c r="S2223" s="42"/>
      <c r="T2223" s="42"/>
      <c r="U2223" s="42"/>
      <c r="V2223" s="42"/>
      <c r="W2223" s="42"/>
    </row>
    <row r="2224">
      <c r="A2224" s="9"/>
      <c r="B2224" s="9"/>
      <c r="C2224" s="9"/>
      <c r="D2224" s="42"/>
      <c r="E2224" s="103"/>
      <c r="F2224" s="42"/>
      <c r="G2224" s="9"/>
      <c r="H2224" s="9"/>
      <c r="I2224" s="9"/>
      <c r="J2224" s="9"/>
      <c r="K2224" s="42"/>
      <c r="L2224" s="42"/>
      <c r="M2224" s="42"/>
      <c r="N2224" s="42"/>
      <c r="O2224" s="42"/>
      <c r="P2224" s="9"/>
      <c r="Q2224" s="9"/>
      <c r="R2224" s="42"/>
      <c r="S2224" s="42"/>
      <c r="T2224" s="42"/>
      <c r="U2224" s="42"/>
      <c r="V2224" s="42"/>
      <c r="W2224" s="42"/>
    </row>
    <row r="2225">
      <c r="A2225" s="9"/>
      <c r="B2225" s="9"/>
      <c r="C2225" s="9"/>
      <c r="D2225" s="42"/>
      <c r="E2225" s="103"/>
      <c r="F2225" s="42"/>
      <c r="G2225" s="9"/>
      <c r="H2225" s="9"/>
      <c r="I2225" s="9"/>
      <c r="J2225" s="9"/>
      <c r="K2225" s="42"/>
      <c r="L2225" s="42"/>
      <c r="M2225" s="42"/>
      <c r="N2225" s="42"/>
      <c r="O2225" s="42"/>
      <c r="P2225" s="9"/>
      <c r="Q2225" s="9"/>
      <c r="R2225" s="42"/>
      <c r="S2225" s="42"/>
      <c r="T2225" s="42"/>
      <c r="U2225" s="42"/>
      <c r="V2225" s="42"/>
      <c r="W2225" s="42"/>
    </row>
    <row r="2226">
      <c r="A2226" s="9"/>
      <c r="B2226" s="9"/>
      <c r="C2226" s="9"/>
      <c r="D2226" s="42"/>
      <c r="E2226" s="103"/>
      <c r="F2226" s="42"/>
      <c r="G2226" s="9"/>
      <c r="H2226" s="9"/>
      <c r="I2226" s="9"/>
      <c r="J2226" s="9"/>
      <c r="K2226" s="42"/>
      <c r="L2226" s="42"/>
      <c r="M2226" s="42"/>
      <c r="N2226" s="42"/>
      <c r="O2226" s="42"/>
      <c r="P2226" s="9"/>
      <c r="Q2226" s="9"/>
      <c r="R2226" s="42"/>
      <c r="S2226" s="42"/>
      <c r="T2226" s="42"/>
      <c r="U2226" s="42"/>
      <c r="V2226" s="42"/>
      <c r="W2226" s="42"/>
    </row>
    <row r="2227">
      <c r="A2227" s="9"/>
      <c r="B2227" s="9"/>
      <c r="C2227" s="9"/>
      <c r="D2227" s="42"/>
      <c r="E2227" s="103"/>
      <c r="F2227" s="42"/>
      <c r="G2227" s="9"/>
      <c r="H2227" s="9"/>
      <c r="I2227" s="9"/>
      <c r="J2227" s="9"/>
      <c r="K2227" s="42"/>
      <c r="L2227" s="42"/>
      <c r="M2227" s="42"/>
      <c r="N2227" s="42"/>
      <c r="O2227" s="42"/>
      <c r="P2227" s="9"/>
      <c r="Q2227" s="9"/>
      <c r="R2227" s="42"/>
      <c r="S2227" s="42"/>
      <c r="T2227" s="42"/>
      <c r="U2227" s="42"/>
      <c r="V2227" s="42"/>
      <c r="W2227" s="42"/>
    </row>
    <row r="2228">
      <c r="A2228" s="9"/>
      <c r="B2228" s="9"/>
      <c r="C2228" s="9"/>
      <c r="D2228" s="42"/>
      <c r="E2228" s="103"/>
      <c r="F2228" s="42"/>
      <c r="G2228" s="9"/>
      <c r="H2228" s="9"/>
      <c r="I2228" s="9"/>
      <c r="J2228" s="9"/>
      <c r="K2228" s="42"/>
      <c r="L2228" s="42"/>
      <c r="M2228" s="42"/>
      <c r="N2228" s="42"/>
      <c r="O2228" s="42"/>
      <c r="P2228" s="9"/>
      <c r="Q2228" s="9"/>
      <c r="R2228" s="42"/>
      <c r="S2228" s="42"/>
      <c r="T2228" s="42"/>
      <c r="U2228" s="42"/>
      <c r="V2228" s="42"/>
      <c r="W2228" s="42"/>
    </row>
    <row r="2229">
      <c r="A2229" s="9"/>
      <c r="B2229" s="9"/>
      <c r="C2229" s="9"/>
      <c r="D2229" s="42"/>
      <c r="E2229" s="103"/>
      <c r="F2229" s="42"/>
      <c r="G2229" s="9"/>
      <c r="H2229" s="9"/>
      <c r="I2229" s="9"/>
      <c r="J2229" s="9"/>
      <c r="K2229" s="42"/>
      <c r="L2229" s="42"/>
      <c r="M2229" s="42"/>
      <c r="N2229" s="42"/>
      <c r="O2229" s="42"/>
      <c r="P2229" s="9"/>
      <c r="Q2229" s="9"/>
      <c r="R2229" s="42"/>
      <c r="S2229" s="42"/>
      <c r="T2229" s="42"/>
      <c r="U2229" s="42"/>
      <c r="V2229" s="42"/>
      <c r="W2229" s="42"/>
    </row>
    <row r="2230">
      <c r="A2230" s="9"/>
      <c r="B2230" s="9"/>
      <c r="C2230" s="9"/>
      <c r="D2230" s="42"/>
      <c r="E2230" s="103"/>
      <c r="F2230" s="42"/>
      <c r="G2230" s="9"/>
      <c r="H2230" s="9"/>
      <c r="I2230" s="9"/>
      <c r="J2230" s="9"/>
      <c r="K2230" s="42"/>
      <c r="L2230" s="42"/>
      <c r="M2230" s="42"/>
      <c r="N2230" s="42"/>
      <c r="O2230" s="42"/>
      <c r="P2230" s="9"/>
      <c r="Q2230" s="9"/>
      <c r="R2230" s="42"/>
      <c r="S2230" s="42"/>
      <c r="T2230" s="42"/>
      <c r="U2230" s="42"/>
      <c r="V2230" s="42"/>
      <c r="W2230" s="42"/>
    </row>
    <row r="2231">
      <c r="A2231" s="9"/>
      <c r="B2231" s="9"/>
      <c r="C2231" s="9"/>
      <c r="D2231" s="42"/>
      <c r="E2231" s="103"/>
      <c r="F2231" s="42"/>
      <c r="G2231" s="9"/>
      <c r="H2231" s="9"/>
      <c r="I2231" s="9"/>
      <c r="J2231" s="9"/>
      <c r="K2231" s="42"/>
      <c r="L2231" s="42"/>
      <c r="M2231" s="42"/>
      <c r="N2231" s="42"/>
      <c r="O2231" s="42"/>
      <c r="P2231" s="9"/>
      <c r="Q2231" s="9"/>
      <c r="R2231" s="42"/>
      <c r="S2231" s="42"/>
      <c r="T2231" s="42"/>
      <c r="U2231" s="42"/>
      <c r="V2231" s="42"/>
      <c r="W2231" s="42"/>
    </row>
    <row r="2232">
      <c r="A2232" s="9"/>
      <c r="B2232" s="9"/>
      <c r="C2232" s="9"/>
      <c r="D2232" s="42"/>
      <c r="E2232" s="103"/>
      <c r="F2232" s="42"/>
      <c r="G2232" s="9"/>
      <c r="H2232" s="9"/>
      <c r="I2232" s="9"/>
      <c r="J2232" s="9"/>
      <c r="K2232" s="42"/>
      <c r="L2232" s="42"/>
      <c r="M2232" s="42"/>
      <c r="N2232" s="42"/>
      <c r="O2232" s="42"/>
      <c r="P2232" s="9"/>
      <c r="Q2232" s="9"/>
      <c r="R2232" s="42"/>
      <c r="S2232" s="42"/>
      <c r="T2232" s="42"/>
      <c r="U2232" s="42"/>
      <c r="V2232" s="42"/>
      <c r="W2232" s="42"/>
    </row>
    <row r="2233">
      <c r="A2233" s="9"/>
      <c r="B2233" s="9"/>
      <c r="C2233" s="9"/>
      <c r="D2233" s="42"/>
      <c r="E2233" s="103"/>
      <c r="F2233" s="42"/>
      <c r="G2233" s="9"/>
      <c r="H2233" s="9"/>
      <c r="I2233" s="9"/>
      <c r="J2233" s="9"/>
      <c r="K2233" s="42"/>
      <c r="L2233" s="42"/>
      <c r="M2233" s="42"/>
      <c r="N2233" s="42"/>
      <c r="O2233" s="42"/>
      <c r="P2233" s="9"/>
      <c r="Q2233" s="9"/>
      <c r="R2233" s="42"/>
      <c r="S2233" s="42"/>
      <c r="T2233" s="42"/>
      <c r="U2233" s="42"/>
      <c r="V2233" s="42"/>
      <c r="W2233" s="42"/>
    </row>
    <row r="2234">
      <c r="A2234" s="9"/>
      <c r="B2234" s="9"/>
      <c r="C2234" s="9"/>
      <c r="D2234" s="42"/>
      <c r="E2234" s="103"/>
      <c r="F2234" s="42"/>
      <c r="G2234" s="9"/>
      <c r="H2234" s="9"/>
      <c r="I2234" s="9"/>
      <c r="J2234" s="9"/>
      <c r="K2234" s="42"/>
      <c r="L2234" s="42"/>
      <c r="M2234" s="42"/>
      <c r="N2234" s="42"/>
      <c r="O2234" s="42"/>
      <c r="P2234" s="9"/>
      <c r="Q2234" s="9"/>
      <c r="R2234" s="42"/>
      <c r="S2234" s="42"/>
      <c r="T2234" s="42"/>
      <c r="U2234" s="42"/>
      <c r="V2234" s="42"/>
      <c r="W2234" s="42"/>
    </row>
    <row r="2235">
      <c r="A2235" s="9"/>
      <c r="B2235" s="9"/>
      <c r="C2235" s="9"/>
      <c r="D2235" s="42"/>
      <c r="E2235" s="103"/>
      <c r="F2235" s="42"/>
      <c r="G2235" s="9"/>
      <c r="H2235" s="9"/>
      <c r="I2235" s="9"/>
      <c r="J2235" s="9"/>
      <c r="K2235" s="42"/>
      <c r="L2235" s="42"/>
      <c r="M2235" s="42"/>
      <c r="N2235" s="42"/>
      <c r="O2235" s="42"/>
      <c r="P2235" s="9"/>
      <c r="Q2235" s="9"/>
      <c r="R2235" s="42"/>
      <c r="S2235" s="42"/>
      <c r="T2235" s="42"/>
      <c r="U2235" s="42"/>
      <c r="V2235" s="42"/>
      <c r="W2235" s="42"/>
    </row>
    <row r="2236">
      <c r="A2236" s="9"/>
      <c r="B2236" s="9"/>
      <c r="C2236" s="9"/>
      <c r="D2236" s="42"/>
      <c r="E2236" s="103"/>
      <c r="F2236" s="42"/>
      <c r="G2236" s="9"/>
      <c r="H2236" s="9"/>
      <c r="I2236" s="9"/>
      <c r="J2236" s="9"/>
      <c r="K2236" s="42"/>
      <c r="L2236" s="42"/>
      <c r="M2236" s="42"/>
      <c r="N2236" s="42"/>
      <c r="O2236" s="42"/>
      <c r="P2236" s="9"/>
      <c r="Q2236" s="9"/>
      <c r="R2236" s="42"/>
      <c r="S2236" s="42"/>
      <c r="T2236" s="42"/>
      <c r="U2236" s="42"/>
      <c r="V2236" s="42"/>
      <c r="W2236" s="42"/>
    </row>
    <row r="2237">
      <c r="A2237" s="9"/>
      <c r="B2237" s="9"/>
      <c r="C2237" s="9"/>
      <c r="D2237" s="42"/>
      <c r="E2237" s="103"/>
      <c r="F2237" s="42"/>
      <c r="G2237" s="9"/>
      <c r="H2237" s="9"/>
      <c r="I2237" s="9"/>
      <c r="J2237" s="9"/>
      <c r="K2237" s="42"/>
      <c r="L2237" s="42"/>
      <c r="M2237" s="42"/>
      <c r="N2237" s="42"/>
      <c r="O2237" s="42"/>
      <c r="P2237" s="9"/>
      <c r="Q2237" s="9"/>
      <c r="R2237" s="42"/>
      <c r="S2237" s="42"/>
      <c r="T2237" s="42"/>
      <c r="U2237" s="42"/>
      <c r="V2237" s="42"/>
      <c r="W2237" s="42"/>
    </row>
    <row r="2238">
      <c r="A2238" s="9"/>
      <c r="B2238" s="9"/>
      <c r="C2238" s="9"/>
      <c r="D2238" s="42"/>
      <c r="E2238" s="103"/>
      <c r="F2238" s="42"/>
      <c r="G2238" s="9"/>
      <c r="H2238" s="9"/>
      <c r="I2238" s="9"/>
      <c r="J2238" s="9"/>
      <c r="K2238" s="42"/>
      <c r="L2238" s="42"/>
      <c r="M2238" s="42"/>
      <c r="N2238" s="42"/>
      <c r="O2238" s="42"/>
      <c r="P2238" s="9"/>
      <c r="Q2238" s="9"/>
      <c r="R2238" s="42"/>
      <c r="S2238" s="42"/>
      <c r="T2238" s="42"/>
      <c r="U2238" s="42"/>
      <c r="V2238" s="42"/>
      <c r="W2238" s="42"/>
    </row>
    <row r="2239">
      <c r="A2239" s="9"/>
      <c r="B2239" s="9"/>
      <c r="C2239" s="9"/>
      <c r="D2239" s="42"/>
      <c r="E2239" s="103"/>
      <c r="F2239" s="42"/>
      <c r="G2239" s="9"/>
      <c r="H2239" s="9"/>
      <c r="I2239" s="9"/>
      <c r="J2239" s="9"/>
      <c r="K2239" s="42"/>
      <c r="L2239" s="42"/>
      <c r="M2239" s="42"/>
      <c r="N2239" s="42"/>
      <c r="O2239" s="42"/>
      <c r="P2239" s="9"/>
      <c r="Q2239" s="9"/>
      <c r="R2239" s="42"/>
      <c r="S2239" s="42"/>
      <c r="T2239" s="42"/>
      <c r="U2239" s="42"/>
      <c r="V2239" s="42"/>
      <c r="W2239" s="42"/>
    </row>
    <row r="2240">
      <c r="A2240" s="9"/>
      <c r="B2240" s="9"/>
      <c r="C2240" s="9"/>
      <c r="D2240" s="42"/>
      <c r="E2240" s="103"/>
      <c r="F2240" s="42"/>
      <c r="G2240" s="9"/>
      <c r="H2240" s="9"/>
      <c r="I2240" s="9"/>
      <c r="J2240" s="9"/>
      <c r="K2240" s="42"/>
      <c r="L2240" s="42"/>
      <c r="M2240" s="42"/>
      <c r="N2240" s="42"/>
      <c r="O2240" s="42"/>
      <c r="P2240" s="9"/>
      <c r="Q2240" s="9"/>
      <c r="R2240" s="42"/>
      <c r="S2240" s="42"/>
      <c r="T2240" s="42"/>
      <c r="U2240" s="42"/>
      <c r="V2240" s="42"/>
      <c r="W2240" s="42"/>
    </row>
    <row r="2241">
      <c r="A2241" s="9"/>
      <c r="B2241" s="9"/>
      <c r="C2241" s="9"/>
      <c r="D2241" s="42"/>
      <c r="E2241" s="103"/>
      <c r="F2241" s="42"/>
      <c r="G2241" s="9"/>
      <c r="H2241" s="9"/>
      <c r="I2241" s="9"/>
      <c r="J2241" s="9"/>
      <c r="K2241" s="42"/>
      <c r="L2241" s="42"/>
      <c r="M2241" s="42"/>
      <c r="N2241" s="42"/>
      <c r="O2241" s="42"/>
      <c r="P2241" s="9"/>
      <c r="Q2241" s="9"/>
      <c r="R2241" s="42"/>
      <c r="S2241" s="42"/>
      <c r="T2241" s="42"/>
      <c r="U2241" s="42"/>
      <c r="V2241" s="42"/>
      <c r="W2241" s="42"/>
    </row>
    <row r="2242">
      <c r="A2242" s="9"/>
      <c r="B2242" s="9"/>
      <c r="C2242" s="9"/>
      <c r="D2242" s="42"/>
      <c r="E2242" s="103"/>
      <c r="F2242" s="42"/>
      <c r="G2242" s="9"/>
      <c r="H2242" s="9"/>
      <c r="I2242" s="9"/>
      <c r="J2242" s="9"/>
      <c r="K2242" s="42"/>
      <c r="L2242" s="42"/>
      <c r="M2242" s="42"/>
      <c r="N2242" s="42"/>
      <c r="O2242" s="42"/>
      <c r="P2242" s="9"/>
      <c r="Q2242" s="9"/>
      <c r="R2242" s="42"/>
      <c r="S2242" s="42"/>
      <c r="T2242" s="42"/>
      <c r="U2242" s="42"/>
      <c r="V2242" s="42"/>
      <c r="W2242" s="42"/>
    </row>
    <row r="2243">
      <c r="A2243" s="9"/>
      <c r="B2243" s="9"/>
      <c r="C2243" s="9"/>
      <c r="D2243" s="42"/>
      <c r="E2243" s="103"/>
      <c r="F2243" s="42"/>
      <c r="G2243" s="9"/>
      <c r="H2243" s="9"/>
      <c r="I2243" s="9"/>
      <c r="J2243" s="9"/>
      <c r="K2243" s="42"/>
      <c r="L2243" s="42"/>
      <c r="M2243" s="42"/>
      <c r="N2243" s="42"/>
      <c r="O2243" s="42"/>
      <c r="P2243" s="9"/>
      <c r="Q2243" s="9"/>
      <c r="R2243" s="42"/>
      <c r="S2243" s="42"/>
      <c r="T2243" s="42"/>
      <c r="U2243" s="42"/>
      <c r="V2243" s="42"/>
      <c r="W2243" s="42"/>
    </row>
    <row r="2244">
      <c r="A2244" s="9"/>
      <c r="B2244" s="9"/>
      <c r="C2244" s="9"/>
      <c r="D2244" s="42"/>
      <c r="E2244" s="103"/>
      <c r="F2244" s="42"/>
      <c r="G2244" s="9"/>
      <c r="H2244" s="9"/>
      <c r="I2244" s="9"/>
      <c r="J2244" s="9"/>
      <c r="K2244" s="42"/>
      <c r="L2244" s="42"/>
      <c r="M2244" s="42"/>
      <c r="N2244" s="42"/>
      <c r="O2244" s="42"/>
      <c r="P2244" s="9"/>
      <c r="Q2244" s="9"/>
      <c r="R2244" s="42"/>
      <c r="S2244" s="42"/>
      <c r="T2244" s="42"/>
      <c r="U2244" s="42"/>
      <c r="V2244" s="42"/>
      <c r="W2244" s="42"/>
    </row>
    <row r="2245">
      <c r="A2245" s="9"/>
      <c r="B2245" s="9"/>
      <c r="C2245" s="9"/>
      <c r="D2245" s="42"/>
      <c r="E2245" s="103"/>
      <c r="F2245" s="42"/>
      <c r="G2245" s="9"/>
      <c r="H2245" s="9"/>
      <c r="I2245" s="9"/>
      <c r="J2245" s="9"/>
      <c r="K2245" s="42"/>
      <c r="L2245" s="42"/>
      <c r="M2245" s="42"/>
      <c r="N2245" s="42"/>
      <c r="O2245" s="42"/>
      <c r="P2245" s="9"/>
      <c r="Q2245" s="9"/>
      <c r="R2245" s="42"/>
      <c r="S2245" s="42"/>
      <c r="T2245" s="42"/>
      <c r="U2245" s="42"/>
      <c r="V2245" s="42"/>
      <c r="W2245" s="42"/>
    </row>
    <row r="2246">
      <c r="A2246" s="9"/>
      <c r="B2246" s="9"/>
      <c r="C2246" s="9"/>
      <c r="D2246" s="42"/>
      <c r="E2246" s="103"/>
      <c r="F2246" s="42"/>
      <c r="G2246" s="9"/>
      <c r="H2246" s="9"/>
      <c r="I2246" s="9"/>
      <c r="J2246" s="9"/>
      <c r="K2246" s="42"/>
      <c r="L2246" s="42"/>
      <c r="M2246" s="42"/>
      <c r="N2246" s="42"/>
      <c r="O2246" s="42"/>
      <c r="P2246" s="9"/>
      <c r="Q2246" s="9"/>
      <c r="R2246" s="42"/>
      <c r="S2246" s="42"/>
      <c r="T2246" s="42"/>
      <c r="U2246" s="42"/>
      <c r="V2246" s="42"/>
      <c r="W2246" s="42"/>
    </row>
    <row r="2247">
      <c r="A2247" s="9"/>
      <c r="B2247" s="9"/>
      <c r="C2247" s="9"/>
      <c r="D2247" s="42"/>
      <c r="E2247" s="103"/>
      <c r="F2247" s="42"/>
      <c r="G2247" s="9"/>
      <c r="H2247" s="9"/>
      <c r="I2247" s="9"/>
      <c r="J2247" s="9"/>
      <c r="K2247" s="42"/>
      <c r="L2247" s="42"/>
      <c r="M2247" s="42"/>
      <c r="N2247" s="42"/>
      <c r="O2247" s="42"/>
      <c r="P2247" s="9"/>
      <c r="Q2247" s="9"/>
      <c r="R2247" s="42"/>
      <c r="S2247" s="42"/>
      <c r="T2247" s="42"/>
      <c r="U2247" s="42"/>
      <c r="V2247" s="42"/>
      <c r="W2247" s="42"/>
    </row>
    <row r="2248">
      <c r="A2248" s="9"/>
      <c r="B2248" s="9"/>
      <c r="C2248" s="9"/>
      <c r="D2248" s="42"/>
      <c r="E2248" s="103"/>
      <c r="F2248" s="42"/>
      <c r="G2248" s="9"/>
      <c r="H2248" s="9"/>
      <c r="I2248" s="9"/>
      <c r="J2248" s="9"/>
      <c r="K2248" s="42"/>
      <c r="L2248" s="42"/>
      <c r="M2248" s="42"/>
      <c r="N2248" s="42"/>
      <c r="O2248" s="42"/>
      <c r="P2248" s="9"/>
      <c r="Q2248" s="9"/>
      <c r="R2248" s="42"/>
      <c r="S2248" s="42"/>
      <c r="T2248" s="42"/>
      <c r="U2248" s="42"/>
      <c r="V2248" s="42"/>
      <c r="W2248" s="42"/>
    </row>
    <row r="2249">
      <c r="A2249" s="9"/>
      <c r="B2249" s="9"/>
      <c r="C2249" s="9"/>
      <c r="D2249" s="42"/>
      <c r="E2249" s="103"/>
      <c r="F2249" s="42"/>
      <c r="G2249" s="9"/>
      <c r="H2249" s="9"/>
      <c r="I2249" s="9"/>
      <c r="J2249" s="9"/>
      <c r="K2249" s="42"/>
      <c r="L2249" s="42"/>
      <c r="M2249" s="42"/>
      <c r="N2249" s="42"/>
      <c r="O2249" s="42"/>
      <c r="P2249" s="9"/>
      <c r="Q2249" s="9"/>
      <c r="R2249" s="42"/>
      <c r="S2249" s="42"/>
      <c r="T2249" s="42"/>
      <c r="U2249" s="42"/>
      <c r="V2249" s="42"/>
      <c r="W2249" s="42"/>
    </row>
    <row r="2250">
      <c r="A2250" s="9"/>
      <c r="B2250" s="9"/>
      <c r="C2250" s="9"/>
      <c r="D2250" s="42"/>
      <c r="E2250" s="103"/>
      <c r="F2250" s="42"/>
      <c r="G2250" s="9"/>
      <c r="H2250" s="9"/>
      <c r="I2250" s="9"/>
      <c r="J2250" s="9"/>
      <c r="K2250" s="42"/>
      <c r="L2250" s="42"/>
      <c r="M2250" s="42"/>
      <c r="N2250" s="42"/>
      <c r="O2250" s="42"/>
      <c r="P2250" s="9"/>
      <c r="Q2250" s="9"/>
      <c r="R2250" s="42"/>
      <c r="S2250" s="42"/>
      <c r="T2250" s="42"/>
      <c r="U2250" s="42"/>
      <c r="V2250" s="42"/>
      <c r="W2250" s="42"/>
    </row>
    <row r="2251">
      <c r="A2251" s="9"/>
      <c r="B2251" s="9"/>
      <c r="C2251" s="9"/>
      <c r="D2251" s="42"/>
      <c r="E2251" s="103"/>
      <c r="F2251" s="42"/>
      <c r="G2251" s="9"/>
      <c r="H2251" s="9"/>
      <c r="I2251" s="9"/>
      <c r="J2251" s="9"/>
      <c r="K2251" s="42"/>
      <c r="L2251" s="42"/>
      <c r="M2251" s="42"/>
      <c r="N2251" s="42"/>
      <c r="O2251" s="42"/>
      <c r="P2251" s="9"/>
      <c r="Q2251" s="9"/>
      <c r="R2251" s="42"/>
      <c r="S2251" s="42"/>
      <c r="T2251" s="42"/>
      <c r="U2251" s="42"/>
      <c r="V2251" s="42"/>
      <c r="W2251" s="42"/>
    </row>
    <row r="2252">
      <c r="A2252" s="9"/>
      <c r="B2252" s="9"/>
      <c r="C2252" s="9"/>
      <c r="D2252" s="42"/>
      <c r="E2252" s="103"/>
      <c r="F2252" s="42"/>
      <c r="G2252" s="9"/>
      <c r="H2252" s="9"/>
      <c r="I2252" s="9"/>
      <c r="J2252" s="9"/>
      <c r="K2252" s="42"/>
      <c r="L2252" s="42"/>
      <c r="M2252" s="42"/>
      <c r="N2252" s="42"/>
      <c r="O2252" s="42"/>
      <c r="P2252" s="9"/>
      <c r="Q2252" s="9"/>
      <c r="R2252" s="42"/>
      <c r="S2252" s="42"/>
      <c r="T2252" s="42"/>
      <c r="U2252" s="42"/>
      <c r="V2252" s="42"/>
      <c r="W2252" s="42"/>
    </row>
    <row r="2253">
      <c r="A2253" s="9"/>
      <c r="B2253" s="9"/>
      <c r="C2253" s="9"/>
      <c r="D2253" s="42"/>
      <c r="E2253" s="103"/>
      <c r="F2253" s="42"/>
      <c r="G2253" s="9"/>
      <c r="H2253" s="9"/>
      <c r="I2253" s="9"/>
      <c r="J2253" s="9"/>
      <c r="K2253" s="42"/>
      <c r="L2253" s="42"/>
      <c r="M2253" s="42"/>
      <c r="N2253" s="42"/>
      <c r="O2253" s="42"/>
      <c r="P2253" s="9"/>
      <c r="Q2253" s="9"/>
      <c r="R2253" s="42"/>
      <c r="S2253" s="42"/>
      <c r="T2253" s="42"/>
      <c r="U2253" s="42"/>
      <c r="V2253" s="42"/>
      <c r="W2253" s="42"/>
    </row>
    <row r="2254">
      <c r="A2254" s="9"/>
      <c r="B2254" s="9"/>
      <c r="C2254" s="9"/>
      <c r="D2254" s="42"/>
      <c r="E2254" s="103"/>
      <c r="F2254" s="42"/>
      <c r="G2254" s="9"/>
      <c r="H2254" s="9"/>
      <c r="I2254" s="9"/>
      <c r="J2254" s="9"/>
      <c r="K2254" s="42"/>
      <c r="L2254" s="42"/>
      <c r="M2254" s="42"/>
      <c r="N2254" s="42"/>
      <c r="O2254" s="42"/>
      <c r="P2254" s="9"/>
      <c r="Q2254" s="9"/>
      <c r="R2254" s="42"/>
      <c r="S2254" s="42"/>
      <c r="T2254" s="42"/>
      <c r="U2254" s="42"/>
      <c r="V2254" s="42"/>
      <c r="W2254" s="42"/>
    </row>
    <row r="2255">
      <c r="A2255" s="9"/>
      <c r="B2255" s="9"/>
      <c r="C2255" s="9"/>
      <c r="D2255" s="42"/>
      <c r="E2255" s="103"/>
      <c r="F2255" s="42"/>
      <c r="G2255" s="9"/>
      <c r="H2255" s="9"/>
      <c r="I2255" s="9"/>
      <c r="J2255" s="9"/>
      <c r="K2255" s="42"/>
      <c r="L2255" s="42"/>
      <c r="M2255" s="42"/>
      <c r="N2255" s="42"/>
      <c r="O2255" s="42"/>
      <c r="P2255" s="9"/>
      <c r="Q2255" s="9"/>
      <c r="R2255" s="42"/>
      <c r="S2255" s="42"/>
      <c r="T2255" s="42"/>
      <c r="U2255" s="42"/>
      <c r="V2255" s="42"/>
      <c r="W2255" s="42"/>
    </row>
    <row r="2256">
      <c r="A2256" s="9"/>
      <c r="B2256" s="9"/>
      <c r="C2256" s="9"/>
      <c r="D2256" s="42"/>
      <c r="E2256" s="103"/>
      <c r="F2256" s="42"/>
      <c r="G2256" s="9"/>
      <c r="H2256" s="9"/>
      <c r="I2256" s="9"/>
      <c r="J2256" s="9"/>
      <c r="K2256" s="42"/>
      <c r="L2256" s="42"/>
      <c r="M2256" s="42"/>
      <c r="N2256" s="42"/>
      <c r="O2256" s="42"/>
      <c r="P2256" s="9"/>
      <c r="Q2256" s="9"/>
      <c r="R2256" s="42"/>
      <c r="S2256" s="42"/>
      <c r="T2256" s="42"/>
      <c r="U2256" s="42"/>
      <c r="V2256" s="42"/>
      <c r="W2256" s="42"/>
    </row>
    <row r="2257">
      <c r="A2257" s="9"/>
      <c r="B2257" s="9"/>
      <c r="C2257" s="9"/>
      <c r="D2257" s="42"/>
      <c r="E2257" s="103"/>
      <c r="F2257" s="42"/>
      <c r="G2257" s="9"/>
      <c r="H2257" s="9"/>
      <c r="I2257" s="9"/>
      <c r="J2257" s="9"/>
      <c r="K2257" s="42"/>
      <c r="L2257" s="42"/>
      <c r="M2257" s="42"/>
      <c r="N2257" s="42"/>
      <c r="O2257" s="42"/>
      <c r="P2257" s="9"/>
      <c r="Q2257" s="9"/>
      <c r="R2257" s="42"/>
      <c r="S2257" s="42"/>
      <c r="T2257" s="42"/>
      <c r="U2257" s="42"/>
      <c r="V2257" s="42"/>
      <c r="W2257" s="42"/>
    </row>
    <row r="2258">
      <c r="A2258" s="9"/>
      <c r="B2258" s="9"/>
      <c r="C2258" s="9"/>
      <c r="D2258" s="42"/>
      <c r="E2258" s="103"/>
      <c r="F2258" s="42"/>
      <c r="G2258" s="9"/>
      <c r="H2258" s="9"/>
      <c r="I2258" s="9"/>
      <c r="J2258" s="9"/>
      <c r="K2258" s="42"/>
      <c r="L2258" s="42"/>
      <c r="M2258" s="42"/>
      <c r="N2258" s="42"/>
      <c r="O2258" s="42"/>
      <c r="P2258" s="9"/>
      <c r="Q2258" s="9"/>
      <c r="R2258" s="42"/>
      <c r="S2258" s="42"/>
      <c r="T2258" s="42"/>
      <c r="U2258" s="42"/>
      <c r="V2258" s="42"/>
      <c r="W2258" s="42"/>
    </row>
    <row r="2259">
      <c r="A2259" s="9"/>
      <c r="B2259" s="9"/>
      <c r="C2259" s="9"/>
      <c r="D2259" s="42"/>
      <c r="E2259" s="103"/>
      <c r="F2259" s="42"/>
      <c r="G2259" s="9"/>
      <c r="H2259" s="9"/>
      <c r="I2259" s="9"/>
      <c r="J2259" s="9"/>
      <c r="K2259" s="42"/>
      <c r="L2259" s="42"/>
      <c r="M2259" s="42"/>
      <c r="N2259" s="42"/>
      <c r="O2259" s="42"/>
      <c r="P2259" s="9"/>
      <c r="Q2259" s="9"/>
      <c r="R2259" s="42"/>
      <c r="S2259" s="42"/>
      <c r="T2259" s="42"/>
      <c r="U2259" s="42"/>
      <c r="V2259" s="42"/>
      <c r="W2259" s="42"/>
    </row>
    <row r="2260">
      <c r="A2260" s="9"/>
      <c r="B2260" s="9"/>
      <c r="C2260" s="9"/>
      <c r="D2260" s="42"/>
      <c r="E2260" s="103"/>
      <c r="F2260" s="42"/>
      <c r="G2260" s="9"/>
      <c r="H2260" s="9"/>
      <c r="I2260" s="9"/>
      <c r="J2260" s="9"/>
      <c r="K2260" s="42"/>
      <c r="L2260" s="42"/>
      <c r="M2260" s="42"/>
      <c r="N2260" s="42"/>
      <c r="O2260" s="42"/>
      <c r="P2260" s="9"/>
      <c r="Q2260" s="9"/>
      <c r="R2260" s="42"/>
      <c r="S2260" s="42"/>
      <c r="T2260" s="42"/>
      <c r="U2260" s="42"/>
      <c r="V2260" s="42"/>
      <c r="W2260" s="42"/>
    </row>
    <row r="2261">
      <c r="A2261" s="9"/>
      <c r="B2261" s="9"/>
      <c r="C2261" s="9"/>
      <c r="D2261" s="42"/>
      <c r="E2261" s="103"/>
      <c r="F2261" s="42"/>
      <c r="G2261" s="9"/>
      <c r="H2261" s="9"/>
      <c r="I2261" s="9"/>
      <c r="J2261" s="9"/>
      <c r="K2261" s="42"/>
      <c r="L2261" s="42"/>
      <c r="M2261" s="42"/>
      <c r="N2261" s="42"/>
      <c r="O2261" s="42"/>
      <c r="P2261" s="9"/>
      <c r="Q2261" s="9"/>
      <c r="R2261" s="42"/>
      <c r="S2261" s="42"/>
      <c r="T2261" s="42"/>
      <c r="U2261" s="42"/>
      <c r="V2261" s="42"/>
      <c r="W2261" s="42"/>
    </row>
    <row r="2262">
      <c r="A2262" s="9"/>
      <c r="B2262" s="9"/>
      <c r="C2262" s="9"/>
      <c r="D2262" s="42"/>
      <c r="E2262" s="103"/>
      <c r="F2262" s="42"/>
      <c r="G2262" s="9"/>
      <c r="H2262" s="9"/>
      <c r="I2262" s="9"/>
      <c r="J2262" s="9"/>
      <c r="K2262" s="42"/>
      <c r="L2262" s="42"/>
      <c r="M2262" s="42"/>
      <c r="N2262" s="42"/>
      <c r="O2262" s="42"/>
      <c r="P2262" s="9"/>
      <c r="Q2262" s="9"/>
      <c r="R2262" s="42"/>
      <c r="S2262" s="42"/>
      <c r="T2262" s="42"/>
      <c r="U2262" s="42"/>
      <c r="V2262" s="42"/>
      <c r="W2262" s="42"/>
    </row>
    <row r="2263">
      <c r="A2263" s="9"/>
      <c r="B2263" s="9"/>
      <c r="C2263" s="9"/>
      <c r="D2263" s="42"/>
      <c r="E2263" s="103"/>
      <c r="F2263" s="42"/>
      <c r="G2263" s="9"/>
      <c r="H2263" s="9"/>
      <c r="I2263" s="9"/>
      <c r="J2263" s="9"/>
      <c r="K2263" s="42"/>
      <c r="L2263" s="42"/>
      <c r="M2263" s="42"/>
      <c r="N2263" s="42"/>
      <c r="O2263" s="42"/>
      <c r="P2263" s="9"/>
      <c r="Q2263" s="9"/>
      <c r="R2263" s="42"/>
      <c r="S2263" s="42"/>
      <c r="T2263" s="42"/>
      <c r="U2263" s="42"/>
      <c r="V2263" s="42"/>
      <c r="W2263" s="42"/>
    </row>
    <row r="2264">
      <c r="A2264" s="9"/>
      <c r="B2264" s="9"/>
      <c r="C2264" s="9"/>
      <c r="D2264" s="42"/>
      <c r="E2264" s="103"/>
      <c r="F2264" s="42"/>
      <c r="G2264" s="9"/>
      <c r="H2264" s="9"/>
      <c r="I2264" s="9"/>
      <c r="J2264" s="9"/>
      <c r="K2264" s="42"/>
      <c r="L2264" s="42"/>
      <c r="M2264" s="42"/>
      <c r="N2264" s="42"/>
      <c r="O2264" s="42"/>
      <c r="P2264" s="9"/>
      <c r="Q2264" s="9"/>
      <c r="R2264" s="42"/>
      <c r="S2264" s="42"/>
      <c r="T2264" s="42"/>
      <c r="U2264" s="42"/>
      <c r="V2264" s="42"/>
      <c r="W2264" s="42"/>
    </row>
    <row r="2265">
      <c r="A2265" s="9"/>
      <c r="B2265" s="9"/>
      <c r="C2265" s="9"/>
      <c r="D2265" s="42"/>
      <c r="E2265" s="103"/>
      <c r="F2265" s="42"/>
      <c r="G2265" s="9"/>
      <c r="H2265" s="9"/>
      <c r="I2265" s="9"/>
      <c r="J2265" s="9"/>
      <c r="K2265" s="42"/>
      <c r="L2265" s="42"/>
      <c r="M2265" s="42"/>
      <c r="N2265" s="42"/>
      <c r="O2265" s="42"/>
      <c r="P2265" s="9"/>
      <c r="Q2265" s="9"/>
      <c r="R2265" s="42"/>
      <c r="S2265" s="42"/>
      <c r="T2265" s="42"/>
      <c r="U2265" s="42"/>
      <c r="V2265" s="42"/>
      <c r="W2265" s="42"/>
    </row>
    <row r="2266">
      <c r="A2266" s="9"/>
      <c r="B2266" s="9"/>
      <c r="C2266" s="9"/>
      <c r="D2266" s="42"/>
      <c r="E2266" s="103"/>
      <c r="F2266" s="42"/>
      <c r="G2266" s="9"/>
      <c r="H2266" s="9"/>
      <c r="I2266" s="9"/>
      <c r="J2266" s="9"/>
      <c r="K2266" s="42"/>
      <c r="L2266" s="42"/>
      <c r="M2266" s="42"/>
      <c r="N2266" s="42"/>
      <c r="O2266" s="42"/>
      <c r="P2266" s="9"/>
      <c r="Q2266" s="9"/>
      <c r="R2266" s="42"/>
      <c r="S2266" s="42"/>
      <c r="T2266" s="42"/>
      <c r="U2266" s="42"/>
      <c r="V2266" s="42"/>
      <c r="W2266" s="42"/>
    </row>
    <row r="2267">
      <c r="A2267" s="9"/>
      <c r="B2267" s="9"/>
      <c r="C2267" s="9"/>
      <c r="D2267" s="42"/>
      <c r="E2267" s="103"/>
      <c r="F2267" s="42"/>
      <c r="G2267" s="9"/>
      <c r="H2267" s="9"/>
      <c r="I2267" s="9"/>
      <c r="J2267" s="9"/>
      <c r="K2267" s="42"/>
      <c r="L2267" s="42"/>
      <c r="M2267" s="42"/>
      <c r="N2267" s="42"/>
      <c r="O2267" s="42"/>
      <c r="P2267" s="9"/>
      <c r="Q2267" s="9"/>
      <c r="R2267" s="42"/>
      <c r="S2267" s="42"/>
      <c r="T2267" s="42"/>
      <c r="U2267" s="42"/>
      <c r="V2267" s="42"/>
      <c r="W2267" s="42"/>
    </row>
    <row r="2268">
      <c r="A2268" s="9"/>
      <c r="B2268" s="9"/>
      <c r="C2268" s="9"/>
      <c r="D2268" s="42"/>
      <c r="E2268" s="103"/>
      <c r="F2268" s="42"/>
      <c r="G2268" s="9"/>
      <c r="H2268" s="9"/>
      <c r="I2268" s="9"/>
      <c r="J2268" s="9"/>
      <c r="K2268" s="42"/>
      <c r="L2268" s="42"/>
      <c r="M2268" s="42"/>
      <c r="N2268" s="42"/>
      <c r="O2268" s="42"/>
      <c r="P2268" s="9"/>
      <c r="Q2268" s="9"/>
      <c r="R2268" s="42"/>
      <c r="S2268" s="42"/>
      <c r="T2268" s="42"/>
      <c r="U2268" s="42"/>
      <c r="V2268" s="42"/>
      <c r="W2268" s="42"/>
    </row>
    <row r="2269">
      <c r="A2269" s="9"/>
      <c r="B2269" s="9"/>
      <c r="C2269" s="9"/>
      <c r="D2269" s="42"/>
      <c r="E2269" s="103"/>
      <c r="F2269" s="42"/>
      <c r="G2269" s="9"/>
      <c r="H2269" s="9"/>
      <c r="I2269" s="9"/>
      <c r="J2269" s="9"/>
      <c r="K2269" s="42"/>
      <c r="L2269" s="42"/>
      <c r="M2269" s="42"/>
      <c r="N2269" s="42"/>
      <c r="O2269" s="42"/>
      <c r="P2269" s="9"/>
      <c r="Q2269" s="9"/>
      <c r="R2269" s="42"/>
      <c r="S2269" s="42"/>
      <c r="T2269" s="42"/>
      <c r="U2269" s="42"/>
      <c r="V2269" s="42"/>
      <c r="W2269" s="42"/>
    </row>
    <row r="2270">
      <c r="A2270" s="9"/>
      <c r="B2270" s="9"/>
      <c r="C2270" s="9"/>
      <c r="D2270" s="42"/>
      <c r="E2270" s="103"/>
      <c r="F2270" s="42"/>
      <c r="G2270" s="9"/>
      <c r="H2270" s="9"/>
      <c r="I2270" s="9"/>
      <c r="J2270" s="9"/>
      <c r="K2270" s="42"/>
      <c r="L2270" s="42"/>
      <c r="M2270" s="42"/>
      <c r="N2270" s="42"/>
      <c r="O2270" s="42"/>
      <c r="P2270" s="9"/>
      <c r="Q2270" s="9"/>
      <c r="R2270" s="42"/>
      <c r="S2270" s="42"/>
      <c r="T2270" s="42"/>
      <c r="U2270" s="42"/>
      <c r="V2270" s="42"/>
      <c r="W2270" s="42"/>
    </row>
    <row r="2271">
      <c r="A2271" s="9"/>
      <c r="B2271" s="9"/>
      <c r="C2271" s="9"/>
      <c r="D2271" s="42"/>
      <c r="E2271" s="103"/>
      <c r="F2271" s="42"/>
      <c r="G2271" s="9"/>
      <c r="H2271" s="9"/>
      <c r="I2271" s="9"/>
      <c r="J2271" s="9"/>
      <c r="K2271" s="42"/>
      <c r="L2271" s="42"/>
      <c r="M2271" s="42"/>
      <c r="N2271" s="42"/>
      <c r="O2271" s="42"/>
      <c r="P2271" s="9"/>
      <c r="Q2271" s="9"/>
      <c r="R2271" s="42"/>
      <c r="S2271" s="42"/>
      <c r="T2271" s="42"/>
      <c r="U2271" s="42"/>
      <c r="V2271" s="42"/>
      <c r="W2271" s="42"/>
    </row>
    <row r="2272">
      <c r="A2272" s="9"/>
      <c r="B2272" s="9"/>
      <c r="C2272" s="9"/>
      <c r="D2272" s="42"/>
      <c r="E2272" s="103"/>
      <c r="F2272" s="42"/>
      <c r="G2272" s="9"/>
      <c r="H2272" s="9"/>
      <c r="I2272" s="9"/>
      <c r="J2272" s="9"/>
      <c r="K2272" s="42"/>
      <c r="L2272" s="42"/>
      <c r="M2272" s="42"/>
      <c r="N2272" s="42"/>
      <c r="O2272" s="42"/>
      <c r="P2272" s="9"/>
      <c r="Q2272" s="9"/>
      <c r="R2272" s="42"/>
      <c r="S2272" s="42"/>
      <c r="T2272" s="42"/>
      <c r="U2272" s="42"/>
      <c r="V2272" s="42"/>
      <c r="W2272" s="42"/>
    </row>
    <row r="2273">
      <c r="A2273" s="9"/>
      <c r="B2273" s="9"/>
      <c r="C2273" s="9"/>
      <c r="D2273" s="42"/>
      <c r="E2273" s="103"/>
      <c r="F2273" s="42"/>
      <c r="G2273" s="9"/>
      <c r="H2273" s="9"/>
      <c r="I2273" s="9"/>
      <c r="J2273" s="9"/>
      <c r="K2273" s="42"/>
      <c r="L2273" s="42"/>
      <c r="M2273" s="42"/>
      <c r="N2273" s="42"/>
      <c r="O2273" s="42"/>
      <c r="P2273" s="9"/>
      <c r="Q2273" s="9"/>
      <c r="R2273" s="42"/>
      <c r="S2273" s="42"/>
      <c r="T2273" s="42"/>
      <c r="U2273" s="42"/>
      <c r="V2273" s="42"/>
      <c r="W2273" s="42"/>
    </row>
    <row r="2274">
      <c r="A2274" s="9"/>
      <c r="B2274" s="9"/>
      <c r="C2274" s="9"/>
      <c r="D2274" s="42"/>
      <c r="E2274" s="103"/>
      <c r="F2274" s="42"/>
      <c r="G2274" s="9"/>
      <c r="H2274" s="9"/>
      <c r="I2274" s="9"/>
      <c r="J2274" s="9"/>
      <c r="K2274" s="42"/>
      <c r="L2274" s="42"/>
      <c r="M2274" s="42"/>
      <c r="N2274" s="42"/>
      <c r="O2274" s="42"/>
      <c r="P2274" s="9"/>
      <c r="Q2274" s="9"/>
      <c r="R2274" s="42"/>
      <c r="S2274" s="42"/>
      <c r="T2274" s="42"/>
      <c r="U2274" s="42"/>
      <c r="V2274" s="42"/>
      <c r="W2274" s="42"/>
    </row>
    <row r="2275">
      <c r="A2275" s="9"/>
      <c r="B2275" s="9"/>
      <c r="C2275" s="9"/>
      <c r="D2275" s="42"/>
      <c r="E2275" s="103"/>
      <c r="F2275" s="42"/>
      <c r="G2275" s="9"/>
      <c r="H2275" s="9"/>
      <c r="I2275" s="9"/>
      <c r="J2275" s="9"/>
      <c r="K2275" s="42"/>
      <c r="L2275" s="42"/>
      <c r="M2275" s="42"/>
      <c r="N2275" s="42"/>
      <c r="O2275" s="42"/>
      <c r="P2275" s="9"/>
      <c r="Q2275" s="9"/>
      <c r="R2275" s="42"/>
      <c r="S2275" s="42"/>
      <c r="T2275" s="42"/>
      <c r="U2275" s="42"/>
      <c r="V2275" s="42"/>
      <c r="W2275" s="42"/>
    </row>
    <row r="2276">
      <c r="A2276" s="9"/>
      <c r="B2276" s="9"/>
      <c r="C2276" s="9"/>
      <c r="D2276" s="42"/>
      <c r="E2276" s="103"/>
      <c r="F2276" s="42"/>
      <c r="G2276" s="9"/>
      <c r="H2276" s="9"/>
      <c r="I2276" s="9"/>
      <c r="J2276" s="9"/>
      <c r="K2276" s="42"/>
      <c r="L2276" s="42"/>
      <c r="M2276" s="42"/>
      <c r="N2276" s="42"/>
      <c r="O2276" s="42"/>
      <c r="P2276" s="9"/>
      <c r="Q2276" s="9"/>
      <c r="R2276" s="42"/>
      <c r="S2276" s="42"/>
      <c r="T2276" s="42"/>
      <c r="U2276" s="42"/>
      <c r="V2276" s="42"/>
      <c r="W2276" s="42"/>
    </row>
    <row r="2277">
      <c r="A2277" s="9"/>
      <c r="B2277" s="9"/>
      <c r="C2277" s="9"/>
      <c r="D2277" s="42"/>
      <c r="E2277" s="103"/>
      <c r="F2277" s="42"/>
      <c r="G2277" s="9"/>
      <c r="H2277" s="9"/>
      <c r="I2277" s="9"/>
      <c r="J2277" s="9"/>
      <c r="K2277" s="42"/>
      <c r="L2277" s="42"/>
      <c r="M2277" s="42"/>
      <c r="N2277" s="42"/>
      <c r="O2277" s="42"/>
      <c r="P2277" s="9"/>
      <c r="Q2277" s="9"/>
      <c r="R2277" s="42"/>
      <c r="S2277" s="42"/>
      <c r="T2277" s="42"/>
      <c r="U2277" s="42"/>
      <c r="V2277" s="42"/>
      <c r="W2277" s="42"/>
    </row>
    <row r="2278">
      <c r="A2278" s="9"/>
      <c r="B2278" s="9"/>
      <c r="C2278" s="9"/>
      <c r="D2278" s="42"/>
      <c r="E2278" s="103"/>
      <c r="F2278" s="42"/>
      <c r="G2278" s="9"/>
      <c r="H2278" s="9"/>
      <c r="I2278" s="9"/>
      <c r="J2278" s="9"/>
      <c r="K2278" s="42"/>
      <c r="L2278" s="42"/>
      <c r="M2278" s="42"/>
      <c r="N2278" s="42"/>
      <c r="O2278" s="42"/>
      <c r="P2278" s="9"/>
      <c r="Q2278" s="9"/>
      <c r="R2278" s="42"/>
      <c r="S2278" s="42"/>
      <c r="T2278" s="42"/>
      <c r="U2278" s="42"/>
      <c r="V2278" s="42"/>
      <c r="W2278" s="42"/>
    </row>
    <row r="2279">
      <c r="A2279" s="9"/>
      <c r="B2279" s="9"/>
      <c r="C2279" s="9"/>
      <c r="D2279" s="42"/>
      <c r="E2279" s="103"/>
      <c r="F2279" s="42"/>
      <c r="G2279" s="9"/>
      <c r="H2279" s="9"/>
      <c r="I2279" s="9"/>
      <c r="J2279" s="9"/>
      <c r="K2279" s="42"/>
      <c r="L2279" s="42"/>
      <c r="M2279" s="42"/>
      <c r="N2279" s="42"/>
      <c r="O2279" s="42"/>
      <c r="P2279" s="9"/>
      <c r="Q2279" s="9"/>
      <c r="R2279" s="42"/>
      <c r="S2279" s="42"/>
      <c r="T2279" s="42"/>
      <c r="U2279" s="42"/>
      <c r="V2279" s="42"/>
      <c r="W2279" s="42"/>
    </row>
    <row r="2280">
      <c r="A2280" s="9"/>
      <c r="B2280" s="9"/>
      <c r="C2280" s="9"/>
      <c r="D2280" s="42"/>
      <c r="E2280" s="103"/>
      <c r="F2280" s="42"/>
      <c r="G2280" s="9"/>
      <c r="H2280" s="9"/>
      <c r="I2280" s="9"/>
      <c r="J2280" s="9"/>
      <c r="K2280" s="42"/>
      <c r="L2280" s="42"/>
      <c r="M2280" s="42"/>
      <c r="N2280" s="42"/>
      <c r="O2280" s="42"/>
      <c r="P2280" s="9"/>
      <c r="Q2280" s="9"/>
      <c r="R2280" s="42"/>
      <c r="S2280" s="42"/>
      <c r="T2280" s="42"/>
      <c r="U2280" s="42"/>
      <c r="V2280" s="42"/>
      <c r="W2280" s="42"/>
    </row>
    <row r="2281">
      <c r="A2281" s="9"/>
      <c r="B2281" s="9"/>
      <c r="C2281" s="9"/>
      <c r="D2281" s="42"/>
      <c r="E2281" s="103"/>
      <c r="F2281" s="42"/>
      <c r="G2281" s="9"/>
      <c r="H2281" s="9"/>
      <c r="I2281" s="9"/>
      <c r="J2281" s="9"/>
      <c r="K2281" s="42"/>
      <c r="L2281" s="42"/>
      <c r="M2281" s="42"/>
      <c r="N2281" s="42"/>
      <c r="O2281" s="42"/>
      <c r="P2281" s="9"/>
      <c r="Q2281" s="9"/>
      <c r="R2281" s="42"/>
      <c r="S2281" s="42"/>
      <c r="T2281" s="42"/>
      <c r="U2281" s="42"/>
      <c r="V2281" s="42"/>
      <c r="W2281" s="42"/>
    </row>
    <row r="2282">
      <c r="A2282" s="9"/>
      <c r="B2282" s="9"/>
      <c r="C2282" s="9"/>
      <c r="D2282" s="42"/>
      <c r="E2282" s="103"/>
      <c r="F2282" s="42"/>
      <c r="G2282" s="9"/>
      <c r="H2282" s="9"/>
      <c r="I2282" s="9"/>
      <c r="J2282" s="9"/>
      <c r="K2282" s="42"/>
      <c r="L2282" s="42"/>
      <c r="M2282" s="42"/>
      <c r="N2282" s="42"/>
      <c r="O2282" s="42"/>
      <c r="P2282" s="9"/>
      <c r="Q2282" s="9"/>
      <c r="R2282" s="42"/>
      <c r="S2282" s="42"/>
      <c r="T2282" s="42"/>
      <c r="U2282" s="42"/>
      <c r="V2282" s="42"/>
      <c r="W2282" s="42"/>
    </row>
    <row r="2283">
      <c r="A2283" s="9"/>
      <c r="B2283" s="9"/>
      <c r="C2283" s="9"/>
      <c r="D2283" s="42"/>
      <c r="E2283" s="103"/>
      <c r="F2283" s="42"/>
      <c r="G2283" s="9"/>
      <c r="H2283" s="9"/>
      <c r="I2283" s="9"/>
      <c r="J2283" s="9"/>
      <c r="K2283" s="42"/>
      <c r="L2283" s="42"/>
      <c r="M2283" s="42"/>
      <c r="N2283" s="42"/>
      <c r="O2283" s="42"/>
      <c r="P2283" s="9"/>
      <c r="Q2283" s="9"/>
      <c r="R2283" s="42"/>
      <c r="S2283" s="42"/>
      <c r="T2283" s="42"/>
      <c r="U2283" s="42"/>
      <c r="V2283" s="42"/>
      <c r="W2283" s="42"/>
    </row>
    <row r="2284">
      <c r="A2284" s="9"/>
      <c r="B2284" s="9"/>
      <c r="C2284" s="9"/>
      <c r="D2284" s="42"/>
      <c r="E2284" s="103"/>
      <c r="F2284" s="42"/>
      <c r="G2284" s="9"/>
      <c r="H2284" s="9"/>
      <c r="I2284" s="9"/>
      <c r="J2284" s="9"/>
      <c r="K2284" s="42"/>
      <c r="L2284" s="42"/>
      <c r="M2284" s="42"/>
      <c r="N2284" s="42"/>
      <c r="O2284" s="42"/>
      <c r="P2284" s="9"/>
      <c r="Q2284" s="9"/>
      <c r="R2284" s="42"/>
      <c r="S2284" s="42"/>
      <c r="T2284" s="42"/>
      <c r="U2284" s="42"/>
      <c r="V2284" s="42"/>
      <c r="W2284" s="42"/>
    </row>
    <row r="2285">
      <c r="A2285" s="9"/>
      <c r="B2285" s="9"/>
      <c r="C2285" s="9"/>
      <c r="D2285" s="42"/>
      <c r="E2285" s="103"/>
      <c r="F2285" s="42"/>
      <c r="G2285" s="9"/>
      <c r="H2285" s="9"/>
      <c r="I2285" s="9"/>
      <c r="J2285" s="9"/>
      <c r="K2285" s="42"/>
      <c r="L2285" s="42"/>
      <c r="M2285" s="42"/>
      <c r="N2285" s="42"/>
      <c r="O2285" s="42"/>
      <c r="P2285" s="9"/>
      <c r="Q2285" s="9"/>
      <c r="R2285" s="42"/>
      <c r="S2285" s="42"/>
      <c r="T2285" s="42"/>
      <c r="U2285" s="42"/>
      <c r="V2285" s="42"/>
      <c r="W2285" s="42"/>
    </row>
    <row r="2286">
      <c r="A2286" s="9"/>
      <c r="B2286" s="9"/>
      <c r="C2286" s="9"/>
      <c r="D2286" s="42"/>
      <c r="E2286" s="103"/>
      <c r="F2286" s="42"/>
      <c r="G2286" s="9"/>
      <c r="H2286" s="9"/>
      <c r="I2286" s="9"/>
      <c r="J2286" s="9"/>
      <c r="K2286" s="42"/>
      <c r="L2286" s="42"/>
      <c r="M2286" s="42"/>
      <c r="N2286" s="42"/>
      <c r="O2286" s="42"/>
      <c r="P2286" s="9"/>
      <c r="Q2286" s="9"/>
      <c r="R2286" s="42"/>
      <c r="S2286" s="42"/>
      <c r="T2286" s="42"/>
      <c r="U2286" s="42"/>
      <c r="V2286" s="42"/>
      <c r="W2286" s="42"/>
    </row>
    <row r="2287">
      <c r="A2287" s="9"/>
      <c r="B2287" s="9"/>
      <c r="C2287" s="9"/>
      <c r="D2287" s="42"/>
      <c r="E2287" s="103"/>
      <c r="F2287" s="42"/>
      <c r="G2287" s="9"/>
      <c r="H2287" s="9"/>
      <c r="I2287" s="9"/>
      <c r="J2287" s="9"/>
      <c r="K2287" s="42"/>
      <c r="L2287" s="42"/>
      <c r="M2287" s="42"/>
      <c r="N2287" s="42"/>
      <c r="O2287" s="42"/>
      <c r="P2287" s="9"/>
      <c r="Q2287" s="9"/>
      <c r="R2287" s="42"/>
      <c r="S2287" s="42"/>
      <c r="T2287" s="42"/>
      <c r="U2287" s="42"/>
      <c r="V2287" s="42"/>
      <c r="W2287" s="42"/>
    </row>
    <row r="2288">
      <c r="A2288" s="9"/>
      <c r="B2288" s="9"/>
      <c r="C2288" s="9"/>
      <c r="D2288" s="42"/>
      <c r="E2288" s="103"/>
      <c r="F2288" s="42"/>
      <c r="G2288" s="9"/>
      <c r="H2288" s="9"/>
      <c r="I2288" s="9"/>
      <c r="J2288" s="9"/>
      <c r="K2288" s="42"/>
      <c r="L2288" s="42"/>
      <c r="M2288" s="42"/>
      <c r="N2288" s="42"/>
      <c r="O2288" s="42"/>
      <c r="P2288" s="9"/>
      <c r="Q2288" s="9"/>
      <c r="R2288" s="42"/>
      <c r="S2288" s="42"/>
      <c r="T2288" s="42"/>
      <c r="U2288" s="42"/>
      <c r="V2288" s="42"/>
      <c r="W2288" s="42"/>
    </row>
    <row r="2289">
      <c r="A2289" s="9"/>
      <c r="B2289" s="9"/>
      <c r="C2289" s="9"/>
      <c r="D2289" s="42"/>
      <c r="E2289" s="103"/>
      <c r="F2289" s="42"/>
      <c r="G2289" s="9"/>
      <c r="H2289" s="9"/>
      <c r="I2289" s="9"/>
      <c r="J2289" s="9"/>
      <c r="K2289" s="42"/>
      <c r="L2289" s="42"/>
      <c r="M2289" s="42"/>
      <c r="N2289" s="42"/>
      <c r="O2289" s="42"/>
      <c r="P2289" s="9"/>
      <c r="Q2289" s="9"/>
      <c r="R2289" s="42"/>
      <c r="S2289" s="42"/>
      <c r="T2289" s="42"/>
      <c r="U2289" s="42"/>
      <c r="V2289" s="42"/>
      <c r="W2289" s="42"/>
    </row>
    <row r="2290">
      <c r="A2290" s="9"/>
      <c r="B2290" s="9"/>
      <c r="C2290" s="9"/>
      <c r="D2290" s="42"/>
      <c r="E2290" s="103"/>
      <c r="F2290" s="42"/>
      <c r="G2290" s="9"/>
      <c r="H2290" s="9"/>
      <c r="I2290" s="9"/>
      <c r="J2290" s="9"/>
      <c r="K2290" s="42"/>
      <c r="L2290" s="42"/>
      <c r="M2290" s="42"/>
      <c r="N2290" s="42"/>
      <c r="O2290" s="42"/>
      <c r="P2290" s="9"/>
      <c r="Q2290" s="9"/>
      <c r="R2290" s="42"/>
      <c r="S2290" s="42"/>
      <c r="T2290" s="42"/>
      <c r="U2290" s="42"/>
      <c r="V2290" s="42"/>
      <c r="W2290" s="42"/>
    </row>
    <row r="2291">
      <c r="A2291" s="9"/>
      <c r="B2291" s="9"/>
      <c r="C2291" s="9"/>
      <c r="D2291" s="42"/>
      <c r="E2291" s="103"/>
      <c r="F2291" s="42"/>
      <c r="G2291" s="9"/>
      <c r="H2291" s="9"/>
      <c r="I2291" s="9"/>
      <c r="J2291" s="9"/>
      <c r="K2291" s="42"/>
      <c r="L2291" s="42"/>
      <c r="M2291" s="42"/>
      <c r="N2291" s="42"/>
      <c r="O2291" s="42"/>
      <c r="P2291" s="9"/>
      <c r="Q2291" s="9"/>
      <c r="R2291" s="42"/>
      <c r="S2291" s="42"/>
      <c r="T2291" s="42"/>
      <c r="U2291" s="42"/>
      <c r="V2291" s="42"/>
      <c r="W2291" s="42"/>
    </row>
    <row r="2292">
      <c r="A2292" s="9"/>
      <c r="B2292" s="9"/>
      <c r="C2292" s="9"/>
      <c r="D2292" s="42"/>
      <c r="E2292" s="103"/>
      <c r="F2292" s="42"/>
      <c r="G2292" s="9"/>
      <c r="H2292" s="9"/>
      <c r="I2292" s="9"/>
      <c r="J2292" s="9"/>
      <c r="K2292" s="42"/>
      <c r="L2292" s="42"/>
      <c r="M2292" s="42"/>
      <c r="N2292" s="42"/>
      <c r="O2292" s="42"/>
      <c r="P2292" s="9"/>
      <c r="Q2292" s="9"/>
      <c r="R2292" s="42"/>
      <c r="S2292" s="42"/>
      <c r="T2292" s="42"/>
      <c r="U2292" s="42"/>
      <c r="V2292" s="42"/>
      <c r="W2292" s="42"/>
    </row>
    <row r="2293">
      <c r="A2293" s="9"/>
      <c r="B2293" s="9"/>
      <c r="C2293" s="9"/>
      <c r="D2293" s="42"/>
      <c r="E2293" s="103"/>
      <c r="F2293" s="42"/>
      <c r="G2293" s="9"/>
      <c r="H2293" s="9"/>
      <c r="I2293" s="9"/>
      <c r="J2293" s="9"/>
      <c r="K2293" s="42"/>
      <c r="L2293" s="42"/>
      <c r="M2293" s="42"/>
      <c r="N2293" s="42"/>
      <c r="O2293" s="42"/>
      <c r="P2293" s="9"/>
      <c r="Q2293" s="9"/>
      <c r="R2293" s="42"/>
      <c r="S2293" s="42"/>
      <c r="T2293" s="42"/>
      <c r="U2293" s="42"/>
      <c r="V2293" s="42"/>
      <c r="W2293" s="42"/>
    </row>
    <row r="2294">
      <c r="A2294" s="9"/>
      <c r="B2294" s="9"/>
      <c r="C2294" s="9"/>
      <c r="D2294" s="42"/>
      <c r="E2294" s="103"/>
      <c r="F2294" s="42"/>
      <c r="G2294" s="9"/>
      <c r="H2294" s="9"/>
      <c r="I2294" s="9"/>
      <c r="J2294" s="9"/>
      <c r="K2294" s="42"/>
      <c r="L2294" s="42"/>
      <c r="M2294" s="42"/>
      <c r="N2294" s="42"/>
      <c r="O2294" s="42"/>
      <c r="P2294" s="9"/>
      <c r="Q2294" s="9"/>
      <c r="R2294" s="42"/>
      <c r="S2294" s="42"/>
      <c r="T2294" s="42"/>
      <c r="U2294" s="42"/>
      <c r="V2294" s="42"/>
      <c r="W2294" s="42"/>
    </row>
    <row r="2295">
      <c r="A2295" s="9"/>
      <c r="B2295" s="9"/>
      <c r="C2295" s="9"/>
      <c r="D2295" s="42"/>
      <c r="E2295" s="103"/>
      <c r="F2295" s="42"/>
      <c r="G2295" s="9"/>
      <c r="H2295" s="9"/>
      <c r="I2295" s="9"/>
      <c r="J2295" s="9"/>
      <c r="K2295" s="42"/>
      <c r="L2295" s="42"/>
      <c r="M2295" s="42"/>
      <c r="N2295" s="42"/>
      <c r="O2295" s="42"/>
      <c r="P2295" s="9"/>
      <c r="Q2295" s="9"/>
      <c r="R2295" s="42"/>
      <c r="S2295" s="42"/>
      <c r="T2295" s="42"/>
      <c r="U2295" s="42"/>
      <c r="V2295" s="42"/>
      <c r="W2295" s="42"/>
    </row>
    <row r="2296">
      <c r="A2296" s="9"/>
      <c r="B2296" s="9"/>
      <c r="C2296" s="9"/>
      <c r="D2296" s="42"/>
      <c r="E2296" s="103"/>
      <c r="F2296" s="42"/>
      <c r="G2296" s="9"/>
      <c r="H2296" s="9"/>
      <c r="I2296" s="9"/>
      <c r="J2296" s="9"/>
      <c r="K2296" s="42"/>
      <c r="L2296" s="42"/>
      <c r="M2296" s="42"/>
      <c r="N2296" s="42"/>
      <c r="O2296" s="42"/>
      <c r="P2296" s="9"/>
      <c r="Q2296" s="9"/>
      <c r="R2296" s="42"/>
      <c r="S2296" s="42"/>
      <c r="T2296" s="42"/>
      <c r="U2296" s="42"/>
      <c r="V2296" s="42"/>
      <c r="W2296" s="42"/>
    </row>
    <row r="2297">
      <c r="A2297" s="9"/>
      <c r="B2297" s="9"/>
      <c r="C2297" s="9"/>
      <c r="D2297" s="42"/>
      <c r="E2297" s="103"/>
      <c r="F2297" s="42"/>
      <c r="G2297" s="9"/>
      <c r="H2297" s="9"/>
      <c r="I2297" s="9"/>
      <c r="J2297" s="9"/>
      <c r="K2297" s="42"/>
      <c r="L2297" s="42"/>
      <c r="M2297" s="42"/>
      <c r="N2297" s="42"/>
      <c r="O2297" s="42"/>
      <c r="P2297" s="9"/>
      <c r="Q2297" s="9"/>
      <c r="R2297" s="42"/>
      <c r="S2297" s="42"/>
      <c r="T2297" s="42"/>
      <c r="U2297" s="42"/>
      <c r="V2297" s="42"/>
      <c r="W2297" s="42"/>
    </row>
    <row r="2298">
      <c r="A2298" s="9"/>
      <c r="B2298" s="9"/>
      <c r="C2298" s="9"/>
      <c r="D2298" s="42"/>
      <c r="E2298" s="103"/>
      <c r="F2298" s="42"/>
      <c r="G2298" s="9"/>
      <c r="H2298" s="9"/>
      <c r="I2298" s="9"/>
      <c r="J2298" s="9"/>
      <c r="K2298" s="42"/>
      <c r="L2298" s="42"/>
      <c r="M2298" s="42"/>
      <c r="N2298" s="42"/>
      <c r="O2298" s="42"/>
      <c r="P2298" s="9"/>
      <c r="Q2298" s="9"/>
      <c r="R2298" s="42"/>
      <c r="S2298" s="42"/>
      <c r="T2298" s="42"/>
      <c r="U2298" s="42"/>
      <c r="V2298" s="42"/>
      <c r="W2298" s="42"/>
    </row>
    <row r="2299">
      <c r="A2299" s="9"/>
      <c r="B2299" s="9"/>
      <c r="C2299" s="9"/>
      <c r="D2299" s="42"/>
      <c r="E2299" s="103"/>
      <c r="F2299" s="42"/>
      <c r="G2299" s="9"/>
      <c r="H2299" s="9"/>
      <c r="I2299" s="9"/>
      <c r="J2299" s="9"/>
      <c r="K2299" s="42"/>
      <c r="L2299" s="42"/>
      <c r="M2299" s="42"/>
      <c r="N2299" s="42"/>
      <c r="O2299" s="42"/>
      <c r="P2299" s="9"/>
      <c r="Q2299" s="9"/>
      <c r="R2299" s="42"/>
      <c r="S2299" s="42"/>
      <c r="T2299" s="42"/>
      <c r="U2299" s="42"/>
      <c r="V2299" s="42"/>
      <c r="W2299" s="42"/>
    </row>
    <row r="2300">
      <c r="A2300" s="9"/>
      <c r="B2300" s="9"/>
      <c r="C2300" s="9"/>
      <c r="D2300" s="42"/>
      <c r="E2300" s="103"/>
      <c r="F2300" s="42"/>
      <c r="G2300" s="9"/>
      <c r="H2300" s="9"/>
      <c r="I2300" s="9"/>
      <c r="J2300" s="9"/>
      <c r="K2300" s="42"/>
      <c r="L2300" s="42"/>
      <c r="M2300" s="42"/>
      <c r="N2300" s="42"/>
      <c r="O2300" s="42"/>
      <c r="P2300" s="9"/>
      <c r="Q2300" s="9"/>
      <c r="R2300" s="42"/>
      <c r="S2300" s="42"/>
      <c r="T2300" s="42"/>
      <c r="U2300" s="42"/>
      <c r="V2300" s="42"/>
      <c r="W2300" s="42"/>
    </row>
    <row r="2301">
      <c r="A2301" s="9"/>
      <c r="B2301" s="9"/>
      <c r="C2301" s="9"/>
      <c r="D2301" s="42"/>
      <c r="E2301" s="103"/>
      <c r="F2301" s="42"/>
      <c r="G2301" s="9"/>
      <c r="H2301" s="9"/>
      <c r="I2301" s="9"/>
      <c r="J2301" s="9"/>
      <c r="K2301" s="42"/>
      <c r="L2301" s="42"/>
      <c r="M2301" s="42"/>
      <c r="N2301" s="42"/>
      <c r="O2301" s="42"/>
      <c r="P2301" s="9"/>
      <c r="Q2301" s="9"/>
      <c r="R2301" s="42"/>
      <c r="S2301" s="42"/>
      <c r="T2301" s="42"/>
      <c r="U2301" s="42"/>
      <c r="V2301" s="42"/>
      <c r="W2301" s="42"/>
    </row>
    <row r="2302">
      <c r="A2302" s="9"/>
      <c r="B2302" s="9"/>
      <c r="C2302" s="9"/>
      <c r="D2302" s="42"/>
      <c r="E2302" s="103"/>
      <c r="F2302" s="42"/>
      <c r="G2302" s="9"/>
      <c r="H2302" s="9"/>
      <c r="I2302" s="9"/>
      <c r="J2302" s="9"/>
      <c r="K2302" s="42"/>
      <c r="L2302" s="42"/>
      <c r="M2302" s="42"/>
      <c r="N2302" s="42"/>
      <c r="O2302" s="42"/>
      <c r="P2302" s="9"/>
      <c r="Q2302" s="9"/>
      <c r="R2302" s="42"/>
      <c r="S2302" s="42"/>
      <c r="T2302" s="42"/>
      <c r="U2302" s="42"/>
      <c r="V2302" s="42"/>
      <c r="W2302" s="42"/>
    </row>
    <row r="2303">
      <c r="A2303" s="9"/>
      <c r="B2303" s="9"/>
      <c r="C2303" s="9"/>
      <c r="D2303" s="42"/>
      <c r="E2303" s="103"/>
      <c r="F2303" s="42"/>
      <c r="G2303" s="9"/>
      <c r="H2303" s="9"/>
      <c r="I2303" s="9"/>
      <c r="J2303" s="9"/>
      <c r="K2303" s="42"/>
      <c r="L2303" s="42"/>
      <c r="M2303" s="42"/>
      <c r="N2303" s="42"/>
      <c r="O2303" s="42"/>
      <c r="P2303" s="9"/>
      <c r="Q2303" s="9"/>
      <c r="R2303" s="42"/>
      <c r="S2303" s="42"/>
      <c r="T2303" s="42"/>
      <c r="U2303" s="42"/>
      <c r="V2303" s="42"/>
      <c r="W2303" s="42"/>
    </row>
    <row r="2304">
      <c r="A2304" s="9"/>
      <c r="B2304" s="9"/>
      <c r="C2304" s="9"/>
      <c r="D2304" s="42"/>
      <c r="E2304" s="103"/>
      <c r="F2304" s="42"/>
      <c r="G2304" s="9"/>
      <c r="H2304" s="9"/>
      <c r="I2304" s="9"/>
      <c r="J2304" s="9"/>
      <c r="K2304" s="42"/>
      <c r="L2304" s="42"/>
      <c r="M2304" s="42"/>
      <c r="N2304" s="42"/>
      <c r="O2304" s="42"/>
      <c r="P2304" s="9"/>
      <c r="Q2304" s="9"/>
      <c r="R2304" s="42"/>
      <c r="S2304" s="42"/>
      <c r="T2304" s="42"/>
      <c r="U2304" s="42"/>
      <c r="V2304" s="42"/>
      <c r="W2304" s="42"/>
    </row>
    <row r="2305">
      <c r="A2305" s="9"/>
      <c r="B2305" s="9"/>
      <c r="C2305" s="9"/>
      <c r="D2305" s="42"/>
      <c r="E2305" s="103"/>
      <c r="F2305" s="42"/>
      <c r="G2305" s="9"/>
      <c r="H2305" s="9"/>
      <c r="I2305" s="9"/>
      <c r="J2305" s="9"/>
      <c r="K2305" s="42"/>
      <c r="L2305" s="42"/>
      <c r="M2305" s="42"/>
      <c r="N2305" s="42"/>
      <c r="O2305" s="42"/>
      <c r="P2305" s="9"/>
      <c r="Q2305" s="9"/>
      <c r="R2305" s="42"/>
      <c r="S2305" s="42"/>
      <c r="T2305" s="42"/>
      <c r="U2305" s="42"/>
      <c r="V2305" s="42"/>
      <c r="W2305" s="42"/>
    </row>
    <row r="2306">
      <c r="A2306" s="9"/>
      <c r="B2306" s="9"/>
      <c r="C2306" s="9"/>
      <c r="D2306" s="42"/>
      <c r="E2306" s="103"/>
      <c r="F2306" s="42"/>
      <c r="G2306" s="9"/>
      <c r="H2306" s="9"/>
      <c r="I2306" s="9"/>
      <c r="J2306" s="9"/>
      <c r="K2306" s="42"/>
      <c r="L2306" s="42"/>
      <c r="M2306" s="42"/>
      <c r="N2306" s="42"/>
      <c r="O2306" s="42"/>
      <c r="P2306" s="9"/>
      <c r="Q2306" s="9"/>
      <c r="R2306" s="42"/>
      <c r="S2306" s="42"/>
      <c r="T2306" s="42"/>
      <c r="U2306" s="42"/>
      <c r="V2306" s="42"/>
      <c r="W2306" s="42"/>
    </row>
    <row r="2307">
      <c r="A2307" s="9"/>
      <c r="B2307" s="9"/>
      <c r="C2307" s="9"/>
      <c r="D2307" s="42"/>
      <c r="E2307" s="103"/>
      <c r="F2307" s="42"/>
      <c r="G2307" s="9"/>
      <c r="H2307" s="9"/>
      <c r="I2307" s="9"/>
      <c r="J2307" s="9"/>
      <c r="K2307" s="42"/>
      <c r="L2307" s="42"/>
      <c r="M2307" s="42"/>
      <c r="N2307" s="42"/>
      <c r="O2307" s="42"/>
      <c r="P2307" s="9"/>
      <c r="Q2307" s="9"/>
      <c r="R2307" s="42"/>
      <c r="S2307" s="42"/>
      <c r="T2307" s="42"/>
      <c r="U2307" s="42"/>
      <c r="V2307" s="42"/>
      <c r="W2307" s="42"/>
    </row>
    <row r="2308">
      <c r="A2308" s="9"/>
      <c r="B2308" s="9"/>
      <c r="C2308" s="9"/>
      <c r="D2308" s="42"/>
      <c r="E2308" s="103"/>
      <c r="F2308" s="42"/>
      <c r="G2308" s="9"/>
      <c r="H2308" s="9"/>
      <c r="I2308" s="9"/>
      <c r="J2308" s="9"/>
      <c r="K2308" s="42"/>
      <c r="L2308" s="42"/>
      <c r="M2308" s="42"/>
      <c r="N2308" s="42"/>
      <c r="O2308" s="42"/>
      <c r="P2308" s="9"/>
      <c r="Q2308" s="9"/>
      <c r="R2308" s="42"/>
      <c r="S2308" s="42"/>
      <c r="T2308" s="42"/>
      <c r="U2308" s="42"/>
      <c r="V2308" s="42"/>
      <c r="W2308" s="42"/>
    </row>
    <row r="2309">
      <c r="A2309" s="9"/>
      <c r="B2309" s="9"/>
      <c r="C2309" s="9"/>
      <c r="D2309" s="42"/>
      <c r="E2309" s="103"/>
      <c r="F2309" s="42"/>
      <c r="G2309" s="9"/>
      <c r="H2309" s="9"/>
      <c r="I2309" s="9"/>
      <c r="J2309" s="9"/>
      <c r="K2309" s="42"/>
      <c r="L2309" s="42"/>
      <c r="M2309" s="42"/>
      <c r="N2309" s="42"/>
      <c r="O2309" s="42"/>
      <c r="P2309" s="9"/>
      <c r="Q2309" s="9"/>
      <c r="R2309" s="42"/>
      <c r="S2309" s="42"/>
      <c r="T2309" s="42"/>
      <c r="U2309" s="42"/>
      <c r="V2309" s="42"/>
      <c r="W2309" s="42"/>
    </row>
    <row r="2310">
      <c r="A2310" s="9"/>
      <c r="B2310" s="9"/>
      <c r="C2310" s="9"/>
      <c r="D2310" s="42"/>
      <c r="E2310" s="103"/>
      <c r="F2310" s="42"/>
      <c r="G2310" s="9"/>
      <c r="H2310" s="9"/>
      <c r="I2310" s="9"/>
      <c r="J2310" s="9"/>
      <c r="K2310" s="42"/>
      <c r="L2310" s="42"/>
      <c r="M2310" s="42"/>
      <c r="N2310" s="42"/>
      <c r="O2310" s="42"/>
      <c r="P2310" s="9"/>
      <c r="Q2310" s="9"/>
      <c r="R2310" s="42"/>
      <c r="S2310" s="42"/>
      <c r="T2310" s="42"/>
      <c r="U2310" s="42"/>
      <c r="V2310" s="42"/>
      <c r="W2310" s="42"/>
    </row>
    <row r="2311">
      <c r="A2311" s="9"/>
      <c r="B2311" s="9"/>
      <c r="C2311" s="9"/>
      <c r="D2311" s="42"/>
      <c r="E2311" s="103"/>
      <c r="F2311" s="42"/>
      <c r="G2311" s="9"/>
      <c r="H2311" s="9"/>
      <c r="I2311" s="9"/>
      <c r="J2311" s="9"/>
      <c r="K2311" s="42"/>
      <c r="L2311" s="42"/>
      <c r="M2311" s="42"/>
      <c r="N2311" s="42"/>
      <c r="O2311" s="42"/>
      <c r="P2311" s="9"/>
      <c r="Q2311" s="9"/>
      <c r="R2311" s="42"/>
      <c r="S2311" s="42"/>
      <c r="T2311" s="42"/>
      <c r="U2311" s="42"/>
      <c r="V2311" s="42"/>
      <c r="W2311" s="42"/>
    </row>
    <row r="2312">
      <c r="A2312" s="9"/>
      <c r="B2312" s="9"/>
      <c r="C2312" s="9"/>
      <c r="D2312" s="42"/>
      <c r="E2312" s="103"/>
      <c r="F2312" s="42"/>
      <c r="G2312" s="9"/>
      <c r="H2312" s="9"/>
      <c r="I2312" s="9"/>
      <c r="J2312" s="9"/>
      <c r="K2312" s="42"/>
      <c r="L2312" s="42"/>
      <c r="M2312" s="42"/>
      <c r="N2312" s="42"/>
      <c r="O2312" s="42"/>
      <c r="P2312" s="9"/>
      <c r="Q2312" s="9"/>
      <c r="R2312" s="42"/>
      <c r="S2312" s="42"/>
      <c r="T2312" s="42"/>
      <c r="U2312" s="42"/>
      <c r="V2312" s="42"/>
      <c r="W2312" s="42"/>
    </row>
    <row r="2313">
      <c r="A2313" s="9"/>
      <c r="B2313" s="9"/>
      <c r="C2313" s="9"/>
      <c r="D2313" s="42"/>
      <c r="E2313" s="103"/>
      <c r="F2313" s="42"/>
      <c r="G2313" s="9"/>
      <c r="H2313" s="9"/>
      <c r="I2313" s="9"/>
      <c r="J2313" s="9"/>
      <c r="K2313" s="42"/>
      <c r="L2313" s="42"/>
      <c r="M2313" s="42"/>
      <c r="N2313" s="42"/>
      <c r="O2313" s="42"/>
      <c r="P2313" s="9"/>
      <c r="Q2313" s="9"/>
      <c r="R2313" s="42"/>
      <c r="S2313" s="42"/>
      <c r="T2313" s="42"/>
      <c r="U2313" s="42"/>
      <c r="V2313" s="42"/>
      <c r="W2313" s="42"/>
    </row>
    <row r="2314">
      <c r="A2314" s="9"/>
      <c r="B2314" s="9"/>
      <c r="C2314" s="9"/>
      <c r="D2314" s="42"/>
      <c r="E2314" s="103"/>
      <c r="F2314" s="42"/>
      <c r="G2314" s="9"/>
      <c r="H2314" s="9"/>
      <c r="I2314" s="9"/>
      <c r="J2314" s="9"/>
      <c r="K2314" s="42"/>
      <c r="L2314" s="42"/>
      <c r="M2314" s="42"/>
      <c r="N2314" s="42"/>
      <c r="O2314" s="42"/>
      <c r="P2314" s="9"/>
      <c r="Q2314" s="9"/>
      <c r="R2314" s="42"/>
      <c r="S2314" s="42"/>
      <c r="T2314" s="42"/>
      <c r="U2314" s="42"/>
      <c r="V2314" s="42"/>
      <c r="W2314" s="42"/>
    </row>
    <row r="2315">
      <c r="A2315" s="9"/>
      <c r="B2315" s="9"/>
      <c r="C2315" s="9"/>
      <c r="D2315" s="42"/>
      <c r="E2315" s="103"/>
      <c r="F2315" s="42"/>
      <c r="G2315" s="9"/>
      <c r="H2315" s="9"/>
      <c r="I2315" s="9"/>
      <c r="J2315" s="9"/>
      <c r="K2315" s="42"/>
      <c r="L2315" s="42"/>
      <c r="M2315" s="42"/>
      <c r="N2315" s="42"/>
      <c r="O2315" s="42"/>
      <c r="P2315" s="9"/>
      <c r="Q2315" s="9"/>
      <c r="R2315" s="42"/>
      <c r="S2315" s="42"/>
      <c r="T2315" s="42"/>
      <c r="U2315" s="42"/>
      <c r="V2315" s="42"/>
      <c r="W2315" s="42"/>
    </row>
    <row r="2316">
      <c r="A2316" s="9"/>
      <c r="B2316" s="9"/>
      <c r="C2316" s="9"/>
      <c r="D2316" s="42"/>
      <c r="E2316" s="103"/>
      <c r="F2316" s="42"/>
      <c r="G2316" s="9"/>
      <c r="H2316" s="9"/>
      <c r="I2316" s="9"/>
      <c r="J2316" s="9"/>
      <c r="K2316" s="42"/>
      <c r="L2316" s="42"/>
      <c r="M2316" s="42"/>
      <c r="N2316" s="42"/>
      <c r="O2316" s="42"/>
      <c r="P2316" s="9"/>
      <c r="Q2316" s="9"/>
      <c r="R2316" s="42"/>
      <c r="S2316" s="42"/>
      <c r="T2316" s="42"/>
      <c r="U2316" s="42"/>
      <c r="V2316" s="42"/>
      <c r="W2316" s="42"/>
    </row>
    <row r="2317">
      <c r="A2317" s="9"/>
      <c r="B2317" s="9"/>
      <c r="C2317" s="9"/>
      <c r="D2317" s="42"/>
      <c r="E2317" s="103"/>
      <c r="F2317" s="42"/>
      <c r="G2317" s="9"/>
      <c r="H2317" s="9"/>
      <c r="I2317" s="9"/>
      <c r="J2317" s="9"/>
      <c r="K2317" s="42"/>
      <c r="L2317" s="42"/>
      <c r="M2317" s="42"/>
      <c r="N2317" s="42"/>
      <c r="O2317" s="42"/>
      <c r="P2317" s="9"/>
      <c r="Q2317" s="9"/>
      <c r="R2317" s="42"/>
      <c r="S2317" s="42"/>
      <c r="T2317" s="42"/>
      <c r="U2317" s="42"/>
      <c r="V2317" s="42"/>
      <c r="W2317" s="42"/>
    </row>
    <row r="2318">
      <c r="A2318" s="9"/>
      <c r="B2318" s="9"/>
      <c r="C2318" s="9"/>
      <c r="D2318" s="42"/>
      <c r="E2318" s="103"/>
      <c r="F2318" s="42"/>
      <c r="G2318" s="9"/>
      <c r="H2318" s="9"/>
      <c r="I2318" s="9"/>
      <c r="J2318" s="9"/>
      <c r="K2318" s="42"/>
      <c r="L2318" s="42"/>
      <c r="M2318" s="42"/>
      <c r="N2318" s="42"/>
      <c r="O2318" s="42"/>
      <c r="P2318" s="9"/>
      <c r="Q2318" s="9"/>
      <c r="R2318" s="42"/>
      <c r="S2318" s="42"/>
      <c r="T2318" s="42"/>
      <c r="U2318" s="42"/>
      <c r="V2318" s="42"/>
      <c r="W2318" s="42"/>
    </row>
    <row r="2319">
      <c r="A2319" s="9"/>
      <c r="B2319" s="9"/>
      <c r="C2319" s="9"/>
      <c r="D2319" s="42"/>
      <c r="E2319" s="103"/>
      <c r="F2319" s="42"/>
      <c r="G2319" s="9"/>
      <c r="H2319" s="9"/>
      <c r="I2319" s="9"/>
      <c r="J2319" s="9"/>
      <c r="K2319" s="42"/>
      <c r="L2319" s="42"/>
      <c r="M2319" s="42"/>
      <c r="N2319" s="42"/>
      <c r="O2319" s="42"/>
      <c r="P2319" s="9"/>
      <c r="Q2319" s="9"/>
      <c r="R2319" s="42"/>
      <c r="S2319" s="42"/>
      <c r="T2319" s="42"/>
      <c r="U2319" s="42"/>
      <c r="V2319" s="42"/>
      <c r="W2319" s="42"/>
    </row>
    <row r="2320">
      <c r="A2320" s="9"/>
      <c r="B2320" s="9"/>
      <c r="C2320" s="9"/>
      <c r="D2320" s="42"/>
      <c r="E2320" s="103"/>
      <c r="F2320" s="42"/>
      <c r="G2320" s="9"/>
      <c r="H2320" s="9"/>
      <c r="I2320" s="9"/>
      <c r="J2320" s="9"/>
      <c r="K2320" s="42"/>
      <c r="L2320" s="42"/>
      <c r="M2320" s="42"/>
      <c r="N2320" s="42"/>
      <c r="O2320" s="42"/>
      <c r="P2320" s="9"/>
      <c r="Q2320" s="9"/>
      <c r="R2320" s="42"/>
      <c r="S2320" s="42"/>
      <c r="T2320" s="42"/>
      <c r="U2320" s="42"/>
      <c r="V2320" s="42"/>
      <c r="W2320" s="42"/>
    </row>
    <row r="2321">
      <c r="A2321" s="9"/>
      <c r="B2321" s="9"/>
      <c r="C2321" s="9"/>
      <c r="D2321" s="42"/>
      <c r="E2321" s="103"/>
      <c r="F2321" s="42"/>
      <c r="G2321" s="9"/>
      <c r="H2321" s="9"/>
      <c r="I2321" s="9"/>
      <c r="J2321" s="9"/>
      <c r="K2321" s="42"/>
      <c r="L2321" s="42"/>
      <c r="M2321" s="42"/>
      <c r="N2321" s="42"/>
      <c r="O2321" s="42"/>
      <c r="P2321" s="9"/>
      <c r="Q2321" s="9"/>
      <c r="R2321" s="42"/>
      <c r="S2321" s="42"/>
      <c r="T2321" s="42"/>
      <c r="U2321" s="42"/>
      <c r="V2321" s="42"/>
      <c r="W2321" s="42"/>
    </row>
    <row r="2322">
      <c r="A2322" s="9"/>
      <c r="B2322" s="9"/>
      <c r="C2322" s="9"/>
      <c r="D2322" s="42"/>
      <c r="E2322" s="103"/>
      <c r="F2322" s="42"/>
      <c r="G2322" s="9"/>
      <c r="H2322" s="9"/>
      <c r="I2322" s="9"/>
      <c r="J2322" s="9"/>
      <c r="K2322" s="42"/>
      <c r="L2322" s="42"/>
      <c r="M2322" s="42"/>
      <c r="N2322" s="42"/>
      <c r="O2322" s="42"/>
      <c r="P2322" s="9"/>
      <c r="Q2322" s="9"/>
      <c r="R2322" s="42"/>
      <c r="S2322" s="42"/>
      <c r="T2322" s="42"/>
      <c r="U2322" s="42"/>
      <c r="V2322" s="42"/>
      <c r="W2322" s="42"/>
    </row>
    <row r="2323">
      <c r="A2323" s="9"/>
      <c r="B2323" s="9"/>
      <c r="C2323" s="9"/>
      <c r="D2323" s="42"/>
      <c r="E2323" s="103"/>
      <c r="F2323" s="42"/>
      <c r="G2323" s="9"/>
      <c r="H2323" s="9"/>
      <c r="I2323" s="9"/>
      <c r="J2323" s="9"/>
      <c r="K2323" s="42"/>
      <c r="L2323" s="42"/>
      <c r="M2323" s="42"/>
      <c r="N2323" s="42"/>
      <c r="O2323" s="42"/>
      <c r="P2323" s="9"/>
      <c r="Q2323" s="9"/>
      <c r="R2323" s="42"/>
      <c r="S2323" s="42"/>
      <c r="T2323" s="42"/>
      <c r="U2323" s="42"/>
      <c r="V2323" s="42"/>
      <c r="W2323" s="42"/>
    </row>
    <row r="2324">
      <c r="A2324" s="9"/>
      <c r="B2324" s="9"/>
      <c r="C2324" s="9"/>
      <c r="D2324" s="42"/>
      <c r="E2324" s="103"/>
      <c r="F2324" s="42"/>
      <c r="G2324" s="9"/>
      <c r="H2324" s="9"/>
      <c r="I2324" s="9"/>
      <c r="J2324" s="9"/>
      <c r="K2324" s="42"/>
      <c r="L2324" s="42"/>
      <c r="M2324" s="42"/>
      <c r="N2324" s="42"/>
      <c r="O2324" s="42"/>
      <c r="P2324" s="9"/>
      <c r="Q2324" s="9"/>
      <c r="R2324" s="42"/>
      <c r="S2324" s="42"/>
      <c r="T2324" s="42"/>
      <c r="U2324" s="42"/>
      <c r="V2324" s="42"/>
      <c r="W2324" s="42"/>
    </row>
    <row r="2325">
      <c r="A2325" s="9"/>
      <c r="B2325" s="9"/>
      <c r="C2325" s="9"/>
      <c r="D2325" s="42"/>
      <c r="E2325" s="103"/>
      <c r="F2325" s="42"/>
      <c r="G2325" s="9"/>
      <c r="H2325" s="9"/>
      <c r="I2325" s="9"/>
      <c r="J2325" s="9"/>
      <c r="K2325" s="42"/>
      <c r="L2325" s="42"/>
      <c r="M2325" s="42"/>
      <c r="N2325" s="42"/>
      <c r="O2325" s="42"/>
      <c r="P2325" s="9"/>
      <c r="Q2325" s="9"/>
      <c r="R2325" s="42"/>
      <c r="S2325" s="42"/>
      <c r="T2325" s="42"/>
      <c r="U2325" s="42"/>
      <c r="V2325" s="42"/>
      <c r="W2325" s="42"/>
    </row>
    <row r="2326">
      <c r="A2326" s="9"/>
      <c r="B2326" s="9"/>
      <c r="C2326" s="9"/>
      <c r="D2326" s="42"/>
      <c r="E2326" s="103"/>
      <c r="F2326" s="42"/>
      <c r="G2326" s="9"/>
      <c r="H2326" s="9"/>
      <c r="I2326" s="9"/>
      <c r="J2326" s="9"/>
      <c r="K2326" s="42"/>
      <c r="L2326" s="42"/>
      <c r="M2326" s="42"/>
      <c r="N2326" s="42"/>
      <c r="O2326" s="42"/>
      <c r="P2326" s="9"/>
      <c r="Q2326" s="9"/>
      <c r="R2326" s="42"/>
      <c r="S2326" s="42"/>
      <c r="T2326" s="42"/>
      <c r="U2326" s="42"/>
      <c r="V2326" s="42"/>
      <c r="W2326" s="42"/>
    </row>
    <row r="2327">
      <c r="A2327" s="9"/>
      <c r="B2327" s="9"/>
      <c r="C2327" s="9"/>
      <c r="D2327" s="42"/>
      <c r="E2327" s="103"/>
      <c r="F2327" s="42"/>
      <c r="G2327" s="9"/>
      <c r="H2327" s="9"/>
      <c r="I2327" s="9"/>
      <c r="J2327" s="9"/>
      <c r="K2327" s="42"/>
      <c r="L2327" s="42"/>
      <c r="M2327" s="42"/>
      <c r="N2327" s="42"/>
      <c r="O2327" s="42"/>
      <c r="P2327" s="9"/>
      <c r="Q2327" s="9"/>
      <c r="R2327" s="42"/>
      <c r="S2327" s="42"/>
      <c r="T2327" s="42"/>
      <c r="U2327" s="42"/>
      <c r="V2327" s="42"/>
      <c r="W2327" s="42"/>
    </row>
    <row r="2328">
      <c r="A2328" s="9"/>
      <c r="B2328" s="9"/>
      <c r="C2328" s="9"/>
      <c r="D2328" s="42"/>
      <c r="E2328" s="103"/>
      <c r="F2328" s="42"/>
      <c r="G2328" s="9"/>
      <c r="H2328" s="9"/>
      <c r="I2328" s="9"/>
      <c r="J2328" s="9"/>
      <c r="K2328" s="42"/>
      <c r="L2328" s="42"/>
      <c r="M2328" s="42"/>
      <c r="N2328" s="42"/>
      <c r="O2328" s="42"/>
      <c r="P2328" s="9"/>
      <c r="Q2328" s="9"/>
      <c r="R2328" s="42"/>
      <c r="S2328" s="42"/>
      <c r="T2328" s="42"/>
      <c r="U2328" s="42"/>
      <c r="V2328" s="42"/>
      <c r="W2328" s="42"/>
    </row>
    <row r="2329">
      <c r="A2329" s="9"/>
      <c r="B2329" s="9"/>
      <c r="C2329" s="9"/>
      <c r="D2329" s="42"/>
      <c r="E2329" s="103"/>
      <c r="F2329" s="42"/>
      <c r="G2329" s="9"/>
      <c r="H2329" s="9"/>
      <c r="I2329" s="9"/>
      <c r="J2329" s="9"/>
      <c r="K2329" s="42"/>
      <c r="L2329" s="42"/>
      <c r="M2329" s="42"/>
      <c r="N2329" s="42"/>
      <c r="O2329" s="42"/>
      <c r="P2329" s="9"/>
      <c r="Q2329" s="9"/>
      <c r="R2329" s="42"/>
      <c r="S2329" s="42"/>
      <c r="T2329" s="42"/>
      <c r="U2329" s="42"/>
      <c r="V2329" s="42"/>
      <c r="W2329" s="42"/>
    </row>
    <row r="2330">
      <c r="A2330" s="9"/>
      <c r="B2330" s="9"/>
      <c r="C2330" s="9"/>
      <c r="D2330" s="42"/>
      <c r="E2330" s="103"/>
      <c r="F2330" s="42"/>
      <c r="G2330" s="9"/>
      <c r="H2330" s="9"/>
      <c r="I2330" s="9"/>
      <c r="J2330" s="9"/>
      <c r="K2330" s="42"/>
      <c r="L2330" s="42"/>
      <c r="M2330" s="42"/>
      <c r="N2330" s="42"/>
      <c r="O2330" s="42"/>
      <c r="P2330" s="9"/>
      <c r="Q2330" s="9"/>
      <c r="R2330" s="42"/>
      <c r="S2330" s="42"/>
      <c r="T2330" s="42"/>
      <c r="U2330" s="42"/>
      <c r="V2330" s="42"/>
      <c r="W2330" s="42"/>
    </row>
    <row r="2331">
      <c r="A2331" s="9"/>
      <c r="B2331" s="9"/>
      <c r="C2331" s="9"/>
      <c r="D2331" s="42"/>
      <c r="E2331" s="103"/>
      <c r="F2331" s="42"/>
      <c r="G2331" s="9"/>
      <c r="H2331" s="9"/>
      <c r="I2331" s="9"/>
      <c r="J2331" s="9"/>
      <c r="K2331" s="42"/>
      <c r="L2331" s="42"/>
      <c r="M2331" s="42"/>
      <c r="N2331" s="42"/>
      <c r="O2331" s="42"/>
      <c r="P2331" s="9"/>
      <c r="Q2331" s="9"/>
      <c r="R2331" s="42"/>
      <c r="S2331" s="42"/>
      <c r="T2331" s="42"/>
      <c r="U2331" s="42"/>
      <c r="V2331" s="42"/>
      <c r="W2331" s="42"/>
    </row>
    <row r="2332">
      <c r="A2332" s="9"/>
      <c r="B2332" s="9"/>
      <c r="C2332" s="9"/>
      <c r="D2332" s="42"/>
      <c r="E2332" s="103"/>
      <c r="F2332" s="42"/>
      <c r="G2332" s="9"/>
      <c r="H2332" s="9"/>
      <c r="I2332" s="9"/>
      <c r="J2332" s="9"/>
      <c r="K2332" s="42"/>
      <c r="L2332" s="42"/>
      <c r="M2332" s="42"/>
      <c r="N2332" s="42"/>
      <c r="O2332" s="42"/>
      <c r="P2332" s="9"/>
      <c r="Q2332" s="9"/>
      <c r="R2332" s="42"/>
      <c r="S2332" s="42"/>
      <c r="T2332" s="42"/>
      <c r="U2332" s="42"/>
      <c r="V2332" s="42"/>
      <c r="W2332" s="42"/>
    </row>
    <row r="2333">
      <c r="A2333" s="9"/>
      <c r="B2333" s="9"/>
      <c r="C2333" s="9"/>
      <c r="D2333" s="42"/>
      <c r="E2333" s="103"/>
      <c r="F2333" s="42"/>
      <c r="G2333" s="9"/>
      <c r="H2333" s="9"/>
      <c r="I2333" s="9"/>
      <c r="J2333" s="9"/>
      <c r="K2333" s="42"/>
      <c r="L2333" s="42"/>
      <c r="M2333" s="42"/>
      <c r="N2333" s="42"/>
      <c r="O2333" s="42"/>
      <c r="P2333" s="9"/>
      <c r="Q2333" s="9"/>
      <c r="R2333" s="42"/>
      <c r="S2333" s="42"/>
      <c r="T2333" s="42"/>
      <c r="U2333" s="42"/>
      <c r="V2333" s="42"/>
      <c r="W2333" s="42"/>
    </row>
    <row r="2334">
      <c r="A2334" s="9"/>
      <c r="B2334" s="9"/>
      <c r="C2334" s="9"/>
      <c r="D2334" s="42"/>
      <c r="E2334" s="103"/>
      <c r="F2334" s="42"/>
      <c r="G2334" s="9"/>
      <c r="H2334" s="9"/>
      <c r="I2334" s="9"/>
      <c r="J2334" s="9"/>
      <c r="K2334" s="42"/>
      <c r="L2334" s="42"/>
      <c r="M2334" s="42"/>
      <c r="N2334" s="42"/>
      <c r="O2334" s="42"/>
      <c r="P2334" s="9"/>
      <c r="Q2334" s="9"/>
      <c r="R2334" s="42"/>
      <c r="S2334" s="42"/>
      <c r="T2334" s="42"/>
      <c r="U2334" s="42"/>
      <c r="V2334" s="42"/>
      <c r="W2334" s="42"/>
    </row>
    <row r="2335">
      <c r="A2335" s="9"/>
      <c r="B2335" s="9"/>
      <c r="C2335" s="9"/>
      <c r="D2335" s="42"/>
      <c r="E2335" s="103"/>
      <c r="F2335" s="42"/>
      <c r="G2335" s="9"/>
      <c r="H2335" s="9"/>
      <c r="I2335" s="9"/>
      <c r="J2335" s="9"/>
      <c r="K2335" s="42"/>
      <c r="L2335" s="42"/>
      <c r="M2335" s="42"/>
      <c r="N2335" s="42"/>
      <c r="O2335" s="42"/>
      <c r="P2335" s="9"/>
      <c r="Q2335" s="9"/>
      <c r="R2335" s="42"/>
      <c r="S2335" s="42"/>
      <c r="T2335" s="42"/>
      <c r="U2335" s="42"/>
      <c r="V2335" s="42"/>
      <c r="W2335" s="42"/>
    </row>
    <row r="2336">
      <c r="A2336" s="9"/>
      <c r="B2336" s="9"/>
      <c r="C2336" s="9"/>
      <c r="D2336" s="42"/>
      <c r="E2336" s="103"/>
      <c r="F2336" s="42"/>
      <c r="G2336" s="9"/>
      <c r="H2336" s="9"/>
      <c r="I2336" s="9"/>
      <c r="J2336" s="9"/>
      <c r="K2336" s="42"/>
      <c r="L2336" s="42"/>
      <c r="M2336" s="42"/>
      <c r="N2336" s="42"/>
      <c r="O2336" s="42"/>
      <c r="P2336" s="9"/>
      <c r="Q2336" s="9"/>
      <c r="R2336" s="42"/>
      <c r="S2336" s="42"/>
      <c r="T2336" s="42"/>
      <c r="U2336" s="42"/>
      <c r="V2336" s="42"/>
      <c r="W2336" s="42"/>
    </row>
    <row r="2337">
      <c r="A2337" s="9"/>
      <c r="B2337" s="9"/>
      <c r="C2337" s="9"/>
      <c r="D2337" s="42"/>
      <c r="E2337" s="103"/>
      <c r="F2337" s="42"/>
      <c r="G2337" s="9"/>
      <c r="H2337" s="9"/>
      <c r="I2337" s="9"/>
      <c r="J2337" s="9"/>
      <c r="K2337" s="42"/>
      <c r="L2337" s="42"/>
      <c r="M2337" s="42"/>
      <c r="N2337" s="42"/>
      <c r="O2337" s="42"/>
      <c r="P2337" s="9"/>
      <c r="Q2337" s="9"/>
      <c r="R2337" s="42"/>
      <c r="S2337" s="42"/>
      <c r="T2337" s="42"/>
      <c r="U2337" s="42"/>
      <c r="V2337" s="42"/>
      <c r="W2337" s="42"/>
    </row>
    <row r="2338">
      <c r="A2338" s="9"/>
      <c r="B2338" s="9"/>
      <c r="C2338" s="9"/>
      <c r="D2338" s="42"/>
      <c r="E2338" s="103"/>
      <c r="F2338" s="42"/>
      <c r="G2338" s="9"/>
      <c r="H2338" s="9"/>
      <c r="I2338" s="9"/>
      <c r="J2338" s="9"/>
      <c r="K2338" s="42"/>
      <c r="L2338" s="42"/>
      <c r="M2338" s="42"/>
      <c r="N2338" s="42"/>
      <c r="O2338" s="42"/>
      <c r="P2338" s="9"/>
      <c r="Q2338" s="9"/>
      <c r="R2338" s="42"/>
      <c r="S2338" s="42"/>
      <c r="T2338" s="42"/>
      <c r="U2338" s="42"/>
      <c r="V2338" s="42"/>
      <c r="W2338" s="42"/>
    </row>
    <row r="2339">
      <c r="A2339" s="9"/>
      <c r="B2339" s="9"/>
      <c r="C2339" s="9"/>
      <c r="D2339" s="42"/>
      <c r="E2339" s="103"/>
      <c r="F2339" s="42"/>
      <c r="G2339" s="9"/>
      <c r="H2339" s="9"/>
      <c r="I2339" s="9"/>
      <c r="J2339" s="9"/>
      <c r="K2339" s="42"/>
      <c r="L2339" s="42"/>
      <c r="M2339" s="42"/>
      <c r="N2339" s="42"/>
      <c r="O2339" s="42"/>
      <c r="P2339" s="9"/>
      <c r="Q2339" s="9"/>
      <c r="R2339" s="42"/>
      <c r="S2339" s="42"/>
      <c r="T2339" s="42"/>
      <c r="U2339" s="42"/>
      <c r="V2339" s="42"/>
      <c r="W2339" s="42"/>
    </row>
    <row r="2340">
      <c r="A2340" s="9"/>
      <c r="B2340" s="9"/>
      <c r="C2340" s="9"/>
      <c r="D2340" s="42"/>
      <c r="E2340" s="103"/>
      <c r="F2340" s="42"/>
      <c r="G2340" s="9"/>
      <c r="H2340" s="9"/>
      <c r="I2340" s="9"/>
      <c r="J2340" s="9"/>
      <c r="K2340" s="42"/>
      <c r="L2340" s="42"/>
      <c r="M2340" s="42"/>
      <c r="N2340" s="42"/>
      <c r="O2340" s="42"/>
      <c r="P2340" s="9"/>
      <c r="Q2340" s="9"/>
      <c r="R2340" s="42"/>
      <c r="S2340" s="42"/>
      <c r="T2340" s="42"/>
      <c r="U2340" s="42"/>
      <c r="V2340" s="42"/>
      <c r="W2340" s="42"/>
    </row>
    <row r="2341">
      <c r="A2341" s="9"/>
      <c r="B2341" s="9"/>
      <c r="C2341" s="9"/>
      <c r="D2341" s="42"/>
      <c r="E2341" s="103"/>
      <c r="F2341" s="42"/>
      <c r="G2341" s="9"/>
      <c r="H2341" s="9"/>
      <c r="I2341" s="9"/>
      <c r="J2341" s="9"/>
      <c r="K2341" s="42"/>
      <c r="L2341" s="42"/>
      <c r="M2341" s="42"/>
      <c r="N2341" s="42"/>
      <c r="O2341" s="42"/>
      <c r="P2341" s="9"/>
      <c r="Q2341" s="9"/>
      <c r="R2341" s="42"/>
      <c r="S2341" s="42"/>
      <c r="T2341" s="42"/>
      <c r="U2341" s="42"/>
      <c r="V2341" s="42"/>
      <c r="W2341" s="42"/>
    </row>
    <row r="2342">
      <c r="A2342" s="9"/>
      <c r="B2342" s="9"/>
      <c r="C2342" s="9"/>
      <c r="D2342" s="42"/>
      <c r="E2342" s="103"/>
      <c r="F2342" s="42"/>
      <c r="G2342" s="9"/>
      <c r="H2342" s="9"/>
      <c r="I2342" s="9"/>
      <c r="J2342" s="9"/>
      <c r="K2342" s="42"/>
      <c r="L2342" s="42"/>
      <c r="M2342" s="42"/>
      <c r="N2342" s="42"/>
      <c r="O2342" s="42"/>
      <c r="P2342" s="9"/>
      <c r="Q2342" s="9"/>
      <c r="R2342" s="42"/>
      <c r="S2342" s="42"/>
      <c r="T2342" s="42"/>
      <c r="U2342" s="42"/>
      <c r="V2342" s="42"/>
      <c r="W2342" s="42"/>
    </row>
    <row r="2343">
      <c r="A2343" s="9"/>
      <c r="B2343" s="9"/>
      <c r="C2343" s="9"/>
      <c r="D2343" s="42"/>
      <c r="E2343" s="103"/>
      <c r="F2343" s="42"/>
      <c r="G2343" s="9"/>
      <c r="H2343" s="9"/>
      <c r="I2343" s="9"/>
      <c r="J2343" s="9"/>
      <c r="K2343" s="42"/>
      <c r="L2343" s="42"/>
      <c r="M2343" s="42"/>
      <c r="N2343" s="42"/>
      <c r="O2343" s="42"/>
      <c r="P2343" s="9"/>
      <c r="Q2343" s="9"/>
      <c r="R2343" s="42"/>
      <c r="S2343" s="42"/>
      <c r="T2343" s="42"/>
      <c r="U2343" s="42"/>
      <c r="V2343" s="42"/>
      <c r="W2343" s="42"/>
    </row>
    <row r="2344">
      <c r="A2344" s="9"/>
      <c r="B2344" s="9"/>
      <c r="C2344" s="9"/>
      <c r="D2344" s="42"/>
      <c r="E2344" s="103"/>
      <c r="F2344" s="42"/>
      <c r="G2344" s="9"/>
      <c r="H2344" s="9"/>
      <c r="I2344" s="9"/>
      <c r="J2344" s="9"/>
      <c r="K2344" s="42"/>
      <c r="L2344" s="42"/>
      <c r="M2344" s="42"/>
      <c r="N2344" s="42"/>
      <c r="O2344" s="42"/>
      <c r="P2344" s="9"/>
      <c r="Q2344" s="9"/>
      <c r="R2344" s="42"/>
      <c r="S2344" s="42"/>
      <c r="T2344" s="42"/>
      <c r="U2344" s="42"/>
      <c r="V2344" s="42"/>
      <c r="W2344" s="42"/>
    </row>
    <row r="2345">
      <c r="A2345" s="9"/>
      <c r="B2345" s="9"/>
      <c r="C2345" s="9"/>
      <c r="D2345" s="42"/>
      <c r="E2345" s="103"/>
      <c r="F2345" s="42"/>
      <c r="G2345" s="9"/>
      <c r="H2345" s="9"/>
      <c r="I2345" s="9"/>
      <c r="J2345" s="9"/>
      <c r="K2345" s="42"/>
      <c r="L2345" s="42"/>
      <c r="M2345" s="42"/>
      <c r="N2345" s="42"/>
      <c r="O2345" s="42"/>
      <c r="P2345" s="9"/>
      <c r="Q2345" s="9"/>
      <c r="R2345" s="42"/>
      <c r="S2345" s="42"/>
      <c r="T2345" s="42"/>
      <c r="U2345" s="42"/>
      <c r="V2345" s="42"/>
      <c r="W2345" s="42"/>
    </row>
    <row r="2346">
      <c r="A2346" s="9"/>
      <c r="B2346" s="9"/>
      <c r="C2346" s="9"/>
      <c r="D2346" s="42"/>
      <c r="E2346" s="103"/>
      <c r="F2346" s="42"/>
      <c r="G2346" s="9"/>
      <c r="H2346" s="9"/>
      <c r="I2346" s="9"/>
      <c r="J2346" s="9"/>
      <c r="K2346" s="42"/>
      <c r="L2346" s="42"/>
      <c r="M2346" s="42"/>
      <c r="N2346" s="42"/>
      <c r="O2346" s="42"/>
      <c r="P2346" s="9"/>
      <c r="Q2346" s="9"/>
      <c r="R2346" s="42"/>
      <c r="S2346" s="42"/>
      <c r="T2346" s="42"/>
      <c r="U2346" s="42"/>
      <c r="V2346" s="42"/>
      <c r="W2346" s="42"/>
    </row>
    <row r="2347">
      <c r="A2347" s="9"/>
      <c r="B2347" s="9"/>
      <c r="C2347" s="9"/>
      <c r="D2347" s="42"/>
      <c r="E2347" s="103"/>
      <c r="F2347" s="42"/>
      <c r="G2347" s="9"/>
      <c r="H2347" s="9"/>
      <c r="I2347" s="9"/>
      <c r="J2347" s="9"/>
      <c r="K2347" s="42"/>
      <c r="L2347" s="42"/>
      <c r="M2347" s="42"/>
      <c r="N2347" s="42"/>
      <c r="O2347" s="42"/>
      <c r="P2347" s="9"/>
      <c r="Q2347" s="9"/>
      <c r="R2347" s="42"/>
      <c r="S2347" s="42"/>
      <c r="T2347" s="42"/>
      <c r="U2347" s="42"/>
      <c r="V2347" s="42"/>
      <c r="W2347" s="42"/>
    </row>
    <row r="2348">
      <c r="A2348" s="9"/>
      <c r="B2348" s="9"/>
      <c r="C2348" s="9"/>
      <c r="D2348" s="42"/>
      <c r="E2348" s="103"/>
      <c r="F2348" s="42"/>
      <c r="G2348" s="9"/>
      <c r="H2348" s="9"/>
      <c r="I2348" s="9"/>
      <c r="J2348" s="9"/>
      <c r="K2348" s="42"/>
      <c r="L2348" s="42"/>
      <c r="M2348" s="42"/>
      <c r="N2348" s="42"/>
      <c r="O2348" s="42"/>
      <c r="P2348" s="9"/>
      <c r="Q2348" s="9"/>
      <c r="R2348" s="42"/>
      <c r="S2348" s="42"/>
      <c r="T2348" s="42"/>
      <c r="U2348" s="42"/>
      <c r="V2348" s="42"/>
      <c r="W2348" s="42"/>
    </row>
    <row r="2349">
      <c r="A2349" s="9"/>
      <c r="B2349" s="9"/>
      <c r="C2349" s="9"/>
      <c r="D2349" s="42"/>
      <c r="E2349" s="103"/>
      <c r="F2349" s="42"/>
      <c r="G2349" s="9"/>
      <c r="H2349" s="9"/>
      <c r="I2349" s="9"/>
      <c r="J2349" s="9"/>
      <c r="K2349" s="42"/>
      <c r="L2349" s="42"/>
      <c r="M2349" s="42"/>
      <c r="N2349" s="42"/>
      <c r="O2349" s="42"/>
      <c r="P2349" s="9"/>
      <c r="Q2349" s="9"/>
      <c r="R2349" s="42"/>
      <c r="S2349" s="42"/>
      <c r="T2349" s="42"/>
      <c r="U2349" s="42"/>
      <c r="V2349" s="42"/>
      <c r="W2349" s="42"/>
    </row>
    <row r="2350">
      <c r="A2350" s="9"/>
      <c r="B2350" s="9"/>
      <c r="C2350" s="9"/>
      <c r="D2350" s="42"/>
      <c r="E2350" s="103"/>
      <c r="F2350" s="42"/>
      <c r="G2350" s="9"/>
      <c r="H2350" s="9"/>
      <c r="I2350" s="9"/>
      <c r="J2350" s="9"/>
      <c r="K2350" s="42"/>
      <c r="L2350" s="42"/>
      <c r="M2350" s="42"/>
      <c r="N2350" s="42"/>
      <c r="O2350" s="42"/>
      <c r="P2350" s="9"/>
      <c r="Q2350" s="9"/>
      <c r="R2350" s="42"/>
      <c r="S2350" s="42"/>
      <c r="T2350" s="42"/>
      <c r="U2350" s="42"/>
      <c r="V2350" s="42"/>
      <c r="W2350" s="42"/>
    </row>
    <row r="2351">
      <c r="A2351" s="9"/>
      <c r="B2351" s="9"/>
      <c r="C2351" s="9"/>
      <c r="D2351" s="42"/>
      <c r="E2351" s="103"/>
      <c r="F2351" s="42"/>
      <c r="G2351" s="9"/>
      <c r="H2351" s="9"/>
      <c r="I2351" s="9"/>
      <c r="J2351" s="9"/>
      <c r="K2351" s="42"/>
      <c r="L2351" s="42"/>
      <c r="M2351" s="42"/>
      <c r="N2351" s="42"/>
      <c r="O2351" s="42"/>
      <c r="P2351" s="9"/>
      <c r="Q2351" s="9"/>
      <c r="R2351" s="42"/>
      <c r="S2351" s="42"/>
      <c r="T2351" s="42"/>
      <c r="U2351" s="42"/>
      <c r="V2351" s="42"/>
      <c r="W2351" s="42"/>
    </row>
    <row r="2352">
      <c r="A2352" s="9"/>
      <c r="B2352" s="9"/>
      <c r="C2352" s="9"/>
      <c r="D2352" s="42"/>
      <c r="E2352" s="103"/>
      <c r="F2352" s="42"/>
      <c r="G2352" s="9"/>
      <c r="H2352" s="9"/>
      <c r="I2352" s="9"/>
      <c r="J2352" s="9"/>
      <c r="K2352" s="42"/>
      <c r="L2352" s="42"/>
      <c r="M2352" s="42"/>
      <c r="N2352" s="42"/>
      <c r="O2352" s="42"/>
      <c r="P2352" s="9"/>
      <c r="Q2352" s="9"/>
      <c r="R2352" s="42"/>
      <c r="S2352" s="42"/>
      <c r="T2352" s="42"/>
      <c r="U2352" s="42"/>
      <c r="V2352" s="42"/>
      <c r="W2352" s="42"/>
    </row>
    <row r="2353">
      <c r="A2353" s="9"/>
      <c r="B2353" s="9"/>
      <c r="C2353" s="9"/>
      <c r="D2353" s="42"/>
      <c r="E2353" s="103"/>
      <c r="F2353" s="42"/>
      <c r="G2353" s="9"/>
      <c r="H2353" s="9"/>
      <c r="I2353" s="9"/>
      <c r="J2353" s="9"/>
      <c r="K2353" s="42"/>
      <c r="L2353" s="42"/>
      <c r="M2353" s="42"/>
      <c r="N2353" s="42"/>
      <c r="O2353" s="42"/>
      <c r="P2353" s="9"/>
      <c r="Q2353" s="9"/>
      <c r="R2353" s="42"/>
      <c r="S2353" s="42"/>
      <c r="T2353" s="42"/>
      <c r="U2353" s="42"/>
      <c r="V2353" s="42"/>
      <c r="W2353" s="42"/>
    </row>
    <row r="2354">
      <c r="A2354" s="9"/>
      <c r="B2354" s="9"/>
      <c r="C2354" s="9"/>
      <c r="D2354" s="42"/>
      <c r="E2354" s="103"/>
      <c r="F2354" s="42"/>
      <c r="G2354" s="9"/>
      <c r="H2354" s="9"/>
      <c r="I2354" s="9"/>
      <c r="J2354" s="9"/>
      <c r="K2354" s="42"/>
      <c r="L2354" s="42"/>
      <c r="M2354" s="42"/>
      <c r="N2354" s="42"/>
      <c r="O2354" s="42"/>
      <c r="P2354" s="9"/>
      <c r="Q2354" s="9"/>
      <c r="R2354" s="42"/>
      <c r="S2354" s="42"/>
      <c r="T2354" s="42"/>
      <c r="U2354" s="42"/>
      <c r="V2354" s="42"/>
      <c r="W2354" s="42"/>
    </row>
    <row r="2355">
      <c r="A2355" s="9"/>
      <c r="B2355" s="9"/>
      <c r="C2355" s="9"/>
      <c r="D2355" s="42"/>
      <c r="E2355" s="103"/>
      <c r="F2355" s="42"/>
      <c r="G2355" s="9"/>
      <c r="H2355" s="9"/>
      <c r="I2355" s="9"/>
      <c r="J2355" s="9"/>
      <c r="K2355" s="42"/>
      <c r="L2355" s="42"/>
      <c r="M2355" s="42"/>
      <c r="N2355" s="42"/>
      <c r="O2355" s="42"/>
      <c r="P2355" s="9"/>
      <c r="Q2355" s="9"/>
      <c r="R2355" s="42"/>
      <c r="S2355" s="42"/>
      <c r="T2355" s="42"/>
      <c r="U2355" s="42"/>
      <c r="V2355" s="42"/>
      <c r="W2355" s="42"/>
    </row>
    <row r="2356">
      <c r="A2356" s="9"/>
      <c r="B2356" s="9"/>
      <c r="C2356" s="9"/>
      <c r="D2356" s="42"/>
      <c r="E2356" s="103"/>
      <c r="F2356" s="42"/>
      <c r="G2356" s="9"/>
      <c r="H2356" s="9"/>
      <c r="I2356" s="9"/>
      <c r="J2356" s="9"/>
      <c r="K2356" s="42"/>
      <c r="L2356" s="42"/>
      <c r="M2356" s="42"/>
      <c r="N2356" s="42"/>
      <c r="O2356" s="42"/>
      <c r="P2356" s="9"/>
      <c r="Q2356" s="9"/>
      <c r="R2356" s="42"/>
      <c r="S2356" s="42"/>
      <c r="T2356" s="42"/>
      <c r="U2356" s="42"/>
      <c r="V2356" s="42"/>
      <c r="W2356" s="42"/>
    </row>
    <row r="2357">
      <c r="A2357" s="9"/>
      <c r="B2357" s="9"/>
      <c r="C2357" s="9"/>
      <c r="D2357" s="42"/>
      <c r="E2357" s="103"/>
      <c r="F2357" s="42"/>
      <c r="G2357" s="9"/>
      <c r="H2357" s="9"/>
      <c r="I2357" s="9"/>
      <c r="J2357" s="9"/>
      <c r="K2357" s="42"/>
      <c r="L2357" s="42"/>
      <c r="M2357" s="42"/>
      <c r="N2357" s="42"/>
      <c r="O2357" s="42"/>
      <c r="P2357" s="9"/>
      <c r="Q2357" s="9"/>
      <c r="R2357" s="42"/>
      <c r="S2357" s="42"/>
      <c r="T2357" s="42"/>
      <c r="U2357" s="42"/>
      <c r="V2357" s="42"/>
      <c r="W2357" s="42"/>
    </row>
    <row r="2358">
      <c r="A2358" s="9"/>
      <c r="B2358" s="9"/>
      <c r="C2358" s="9"/>
      <c r="D2358" s="42"/>
      <c r="E2358" s="103"/>
      <c r="F2358" s="42"/>
      <c r="G2358" s="9"/>
      <c r="H2358" s="9"/>
      <c r="I2358" s="9"/>
      <c r="J2358" s="9"/>
      <c r="K2358" s="42"/>
      <c r="L2358" s="42"/>
      <c r="M2358" s="42"/>
      <c r="N2358" s="42"/>
      <c r="O2358" s="42"/>
      <c r="P2358" s="9"/>
      <c r="Q2358" s="9"/>
      <c r="R2358" s="42"/>
      <c r="S2358" s="42"/>
      <c r="T2358" s="42"/>
      <c r="U2358" s="42"/>
      <c r="V2358" s="42"/>
      <c r="W2358" s="42"/>
    </row>
    <row r="2359">
      <c r="A2359" s="9"/>
      <c r="B2359" s="9"/>
      <c r="C2359" s="9"/>
      <c r="D2359" s="42"/>
      <c r="E2359" s="103"/>
      <c r="F2359" s="42"/>
      <c r="G2359" s="9"/>
      <c r="H2359" s="9"/>
      <c r="I2359" s="9"/>
      <c r="J2359" s="9"/>
      <c r="K2359" s="42"/>
      <c r="L2359" s="42"/>
      <c r="M2359" s="42"/>
      <c r="N2359" s="42"/>
      <c r="O2359" s="42"/>
      <c r="P2359" s="9"/>
      <c r="Q2359" s="9"/>
      <c r="R2359" s="42"/>
      <c r="S2359" s="42"/>
      <c r="T2359" s="42"/>
      <c r="U2359" s="42"/>
      <c r="V2359" s="42"/>
      <c r="W2359" s="42"/>
    </row>
    <row r="2360">
      <c r="A2360" s="9"/>
      <c r="B2360" s="9"/>
      <c r="C2360" s="9"/>
      <c r="D2360" s="42"/>
      <c r="E2360" s="103"/>
      <c r="F2360" s="42"/>
      <c r="G2360" s="9"/>
      <c r="H2360" s="9"/>
      <c r="I2360" s="9"/>
      <c r="J2360" s="9"/>
      <c r="K2360" s="42"/>
      <c r="L2360" s="42"/>
      <c r="M2360" s="42"/>
      <c r="N2360" s="42"/>
      <c r="O2360" s="42"/>
      <c r="P2360" s="9"/>
      <c r="Q2360" s="9"/>
      <c r="R2360" s="42"/>
      <c r="S2360" s="42"/>
      <c r="T2360" s="42"/>
      <c r="U2360" s="42"/>
      <c r="V2360" s="42"/>
      <c r="W2360" s="42"/>
    </row>
    <row r="2361">
      <c r="A2361" s="9"/>
      <c r="B2361" s="9"/>
      <c r="C2361" s="9"/>
      <c r="D2361" s="42"/>
      <c r="E2361" s="103"/>
      <c r="F2361" s="42"/>
      <c r="G2361" s="9"/>
      <c r="H2361" s="9"/>
      <c r="I2361" s="9"/>
      <c r="J2361" s="9"/>
      <c r="K2361" s="42"/>
      <c r="L2361" s="42"/>
      <c r="M2361" s="42"/>
      <c r="N2361" s="42"/>
      <c r="O2361" s="42"/>
      <c r="P2361" s="9"/>
      <c r="Q2361" s="9"/>
      <c r="R2361" s="42"/>
      <c r="S2361" s="42"/>
      <c r="T2361" s="42"/>
      <c r="U2361" s="42"/>
      <c r="V2361" s="42"/>
      <c r="W2361" s="42"/>
    </row>
    <row r="2362">
      <c r="A2362" s="9"/>
      <c r="B2362" s="9"/>
      <c r="C2362" s="9"/>
      <c r="D2362" s="42"/>
      <c r="E2362" s="103"/>
      <c r="F2362" s="42"/>
      <c r="G2362" s="9"/>
      <c r="H2362" s="9"/>
      <c r="I2362" s="9"/>
      <c r="J2362" s="9"/>
      <c r="K2362" s="42"/>
      <c r="L2362" s="42"/>
      <c r="M2362" s="42"/>
      <c r="N2362" s="42"/>
      <c r="O2362" s="42"/>
      <c r="P2362" s="9"/>
      <c r="Q2362" s="9"/>
      <c r="R2362" s="42"/>
      <c r="S2362" s="42"/>
      <c r="T2362" s="42"/>
      <c r="U2362" s="42"/>
      <c r="V2362" s="42"/>
      <c r="W2362" s="42"/>
    </row>
    <row r="2363">
      <c r="A2363" s="9"/>
      <c r="B2363" s="9"/>
      <c r="C2363" s="9"/>
      <c r="D2363" s="42"/>
      <c r="E2363" s="103"/>
      <c r="F2363" s="42"/>
      <c r="G2363" s="9"/>
      <c r="H2363" s="9"/>
      <c r="I2363" s="9"/>
      <c r="J2363" s="9"/>
      <c r="K2363" s="42"/>
      <c r="L2363" s="42"/>
      <c r="M2363" s="42"/>
      <c r="N2363" s="42"/>
      <c r="O2363" s="42"/>
      <c r="P2363" s="9"/>
      <c r="Q2363" s="9"/>
      <c r="R2363" s="42"/>
      <c r="S2363" s="42"/>
      <c r="T2363" s="42"/>
      <c r="U2363" s="42"/>
      <c r="V2363" s="42"/>
      <c r="W2363" s="42"/>
    </row>
    <row r="2364">
      <c r="A2364" s="9"/>
      <c r="B2364" s="9"/>
      <c r="C2364" s="9"/>
      <c r="D2364" s="42"/>
      <c r="E2364" s="103"/>
      <c r="F2364" s="42"/>
      <c r="G2364" s="9"/>
      <c r="H2364" s="9"/>
      <c r="I2364" s="9"/>
      <c r="J2364" s="9"/>
      <c r="K2364" s="42"/>
      <c r="L2364" s="42"/>
      <c r="M2364" s="42"/>
      <c r="N2364" s="42"/>
      <c r="O2364" s="42"/>
      <c r="P2364" s="9"/>
      <c r="Q2364" s="9"/>
      <c r="R2364" s="42"/>
      <c r="S2364" s="42"/>
      <c r="T2364" s="42"/>
      <c r="U2364" s="42"/>
      <c r="V2364" s="42"/>
      <c r="W2364" s="42"/>
    </row>
    <row r="2365">
      <c r="A2365" s="9"/>
      <c r="B2365" s="9"/>
      <c r="C2365" s="9"/>
      <c r="D2365" s="42"/>
      <c r="E2365" s="103"/>
      <c r="F2365" s="42"/>
      <c r="G2365" s="9"/>
      <c r="H2365" s="9"/>
      <c r="I2365" s="9"/>
      <c r="J2365" s="9"/>
      <c r="K2365" s="42"/>
      <c r="L2365" s="42"/>
      <c r="M2365" s="42"/>
      <c r="N2365" s="42"/>
      <c r="O2365" s="42"/>
      <c r="P2365" s="9"/>
      <c r="Q2365" s="9"/>
      <c r="R2365" s="42"/>
      <c r="S2365" s="42"/>
      <c r="T2365" s="42"/>
      <c r="U2365" s="42"/>
      <c r="V2365" s="42"/>
      <c r="W2365" s="42"/>
    </row>
    <row r="2366">
      <c r="A2366" s="9"/>
      <c r="B2366" s="9"/>
      <c r="C2366" s="9"/>
      <c r="D2366" s="42"/>
      <c r="E2366" s="103"/>
      <c r="F2366" s="42"/>
      <c r="G2366" s="9"/>
      <c r="H2366" s="9"/>
      <c r="I2366" s="9"/>
      <c r="J2366" s="9"/>
      <c r="K2366" s="42"/>
      <c r="L2366" s="42"/>
      <c r="M2366" s="42"/>
      <c r="N2366" s="42"/>
      <c r="O2366" s="42"/>
      <c r="P2366" s="9"/>
      <c r="Q2366" s="9"/>
      <c r="R2366" s="42"/>
      <c r="S2366" s="42"/>
      <c r="T2366" s="42"/>
      <c r="U2366" s="42"/>
      <c r="V2366" s="42"/>
      <c r="W2366" s="42"/>
    </row>
    <row r="2367">
      <c r="A2367" s="9"/>
      <c r="B2367" s="9"/>
      <c r="C2367" s="9"/>
      <c r="D2367" s="42"/>
      <c r="E2367" s="103"/>
      <c r="F2367" s="42"/>
      <c r="G2367" s="9"/>
      <c r="H2367" s="9"/>
      <c r="I2367" s="9"/>
      <c r="J2367" s="9"/>
      <c r="K2367" s="42"/>
      <c r="L2367" s="42"/>
      <c r="M2367" s="42"/>
      <c r="N2367" s="42"/>
      <c r="O2367" s="42"/>
      <c r="P2367" s="9"/>
      <c r="Q2367" s="9"/>
      <c r="R2367" s="42"/>
      <c r="S2367" s="42"/>
      <c r="T2367" s="42"/>
      <c r="U2367" s="42"/>
      <c r="V2367" s="42"/>
      <c r="W2367" s="42"/>
    </row>
    <row r="2368">
      <c r="A2368" s="9"/>
      <c r="B2368" s="9"/>
      <c r="C2368" s="9"/>
      <c r="D2368" s="42"/>
      <c r="E2368" s="103"/>
      <c r="F2368" s="42"/>
      <c r="G2368" s="9"/>
      <c r="H2368" s="9"/>
      <c r="I2368" s="9"/>
      <c r="J2368" s="9"/>
      <c r="K2368" s="42"/>
      <c r="L2368" s="42"/>
      <c r="M2368" s="42"/>
      <c r="N2368" s="42"/>
      <c r="O2368" s="42"/>
      <c r="P2368" s="9"/>
      <c r="Q2368" s="9"/>
      <c r="R2368" s="42"/>
      <c r="S2368" s="42"/>
      <c r="T2368" s="42"/>
      <c r="U2368" s="42"/>
      <c r="V2368" s="42"/>
      <c r="W2368" s="42"/>
    </row>
    <row r="2369">
      <c r="A2369" s="9"/>
      <c r="B2369" s="9"/>
      <c r="C2369" s="9"/>
      <c r="D2369" s="42"/>
      <c r="E2369" s="103"/>
      <c r="F2369" s="42"/>
      <c r="G2369" s="9"/>
      <c r="H2369" s="9"/>
      <c r="I2369" s="9"/>
      <c r="J2369" s="9"/>
      <c r="K2369" s="42"/>
      <c r="L2369" s="42"/>
      <c r="M2369" s="42"/>
      <c r="N2369" s="42"/>
      <c r="O2369" s="42"/>
      <c r="P2369" s="9"/>
      <c r="Q2369" s="9"/>
      <c r="R2369" s="42"/>
      <c r="S2369" s="42"/>
      <c r="T2369" s="42"/>
      <c r="U2369" s="42"/>
      <c r="V2369" s="42"/>
      <c r="W2369" s="42"/>
    </row>
    <row r="2370">
      <c r="A2370" s="9"/>
      <c r="B2370" s="9"/>
      <c r="C2370" s="9"/>
      <c r="D2370" s="42"/>
      <c r="E2370" s="103"/>
      <c r="F2370" s="42"/>
      <c r="G2370" s="9"/>
      <c r="H2370" s="9"/>
      <c r="I2370" s="9"/>
      <c r="J2370" s="9"/>
      <c r="K2370" s="42"/>
      <c r="L2370" s="42"/>
      <c r="M2370" s="42"/>
      <c r="N2370" s="42"/>
      <c r="O2370" s="42"/>
      <c r="P2370" s="9"/>
      <c r="Q2370" s="9"/>
      <c r="R2370" s="42"/>
      <c r="S2370" s="42"/>
      <c r="T2370" s="42"/>
      <c r="U2370" s="42"/>
      <c r="V2370" s="42"/>
      <c r="W2370" s="42"/>
    </row>
    <row r="2371">
      <c r="A2371" s="9"/>
      <c r="B2371" s="9"/>
      <c r="C2371" s="9"/>
      <c r="D2371" s="42"/>
      <c r="E2371" s="103"/>
      <c r="F2371" s="42"/>
      <c r="G2371" s="9"/>
      <c r="H2371" s="9"/>
      <c r="I2371" s="9"/>
      <c r="J2371" s="9"/>
      <c r="K2371" s="42"/>
      <c r="L2371" s="42"/>
      <c r="M2371" s="42"/>
      <c r="N2371" s="42"/>
      <c r="O2371" s="42"/>
      <c r="P2371" s="9"/>
      <c r="Q2371" s="9"/>
      <c r="R2371" s="42"/>
      <c r="S2371" s="42"/>
      <c r="T2371" s="42"/>
      <c r="U2371" s="42"/>
      <c r="V2371" s="42"/>
      <c r="W2371" s="42"/>
    </row>
    <row r="2372">
      <c r="A2372" s="9"/>
      <c r="B2372" s="9"/>
      <c r="C2372" s="9"/>
      <c r="D2372" s="42"/>
      <c r="E2372" s="103"/>
      <c r="F2372" s="42"/>
      <c r="G2372" s="9"/>
      <c r="H2372" s="9"/>
      <c r="I2372" s="9"/>
      <c r="J2372" s="9"/>
      <c r="K2372" s="42"/>
      <c r="L2372" s="42"/>
      <c r="M2372" s="42"/>
      <c r="N2372" s="42"/>
      <c r="O2372" s="42"/>
      <c r="P2372" s="9"/>
      <c r="Q2372" s="9"/>
      <c r="R2372" s="42"/>
      <c r="S2372" s="42"/>
      <c r="T2372" s="42"/>
      <c r="U2372" s="42"/>
      <c r="V2372" s="42"/>
      <c r="W2372" s="42"/>
    </row>
    <row r="2373">
      <c r="A2373" s="9"/>
      <c r="B2373" s="9"/>
      <c r="C2373" s="9"/>
      <c r="D2373" s="42"/>
      <c r="E2373" s="103"/>
      <c r="F2373" s="42"/>
      <c r="G2373" s="9"/>
      <c r="H2373" s="9"/>
      <c r="I2373" s="9"/>
      <c r="J2373" s="9"/>
      <c r="K2373" s="42"/>
      <c r="L2373" s="42"/>
      <c r="M2373" s="42"/>
      <c r="N2373" s="42"/>
      <c r="O2373" s="42"/>
      <c r="P2373" s="9"/>
      <c r="Q2373" s="9"/>
      <c r="R2373" s="42"/>
      <c r="S2373" s="42"/>
      <c r="T2373" s="42"/>
      <c r="U2373" s="42"/>
      <c r="V2373" s="42"/>
      <c r="W2373" s="42"/>
    </row>
    <row r="2374">
      <c r="A2374" s="9"/>
      <c r="B2374" s="9"/>
      <c r="C2374" s="9"/>
      <c r="D2374" s="42"/>
      <c r="E2374" s="103"/>
      <c r="F2374" s="42"/>
      <c r="G2374" s="9"/>
      <c r="H2374" s="9"/>
      <c r="I2374" s="9"/>
      <c r="J2374" s="9"/>
      <c r="K2374" s="42"/>
      <c r="L2374" s="42"/>
      <c r="M2374" s="42"/>
      <c r="N2374" s="42"/>
      <c r="O2374" s="42"/>
      <c r="P2374" s="9"/>
      <c r="Q2374" s="9"/>
      <c r="R2374" s="42"/>
      <c r="S2374" s="42"/>
      <c r="T2374" s="42"/>
      <c r="U2374" s="42"/>
      <c r="V2374" s="42"/>
      <c r="W2374" s="42"/>
    </row>
    <row r="2375">
      <c r="A2375" s="9"/>
      <c r="B2375" s="9"/>
      <c r="C2375" s="9"/>
      <c r="D2375" s="42"/>
      <c r="E2375" s="103"/>
      <c r="F2375" s="42"/>
      <c r="G2375" s="9"/>
      <c r="H2375" s="9"/>
      <c r="I2375" s="9"/>
      <c r="J2375" s="9"/>
      <c r="K2375" s="42"/>
      <c r="L2375" s="42"/>
      <c r="M2375" s="42"/>
      <c r="N2375" s="42"/>
      <c r="O2375" s="42"/>
      <c r="P2375" s="9"/>
      <c r="Q2375" s="9"/>
      <c r="R2375" s="42"/>
      <c r="S2375" s="42"/>
      <c r="T2375" s="42"/>
      <c r="U2375" s="42"/>
      <c r="V2375" s="42"/>
      <c r="W2375" s="42"/>
    </row>
    <row r="2376">
      <c r="A2376" s="9"/>
      <c r="B2376" s="9"/>
      <c r="C2376" s="9"/>
      <c r="D2376" s="42"/>
      <c r="E2376" s="103"/>
      <c r="F2376" s="42"/>
      <c r="G2376" s="9"/>
      <c r="H2376" s="9"/>
      <c r="I2376" s="9"/>
      <c r="J2376" s="9"/>
      <c r="K2376" s="42"/>
      <c r="L2376" s="42"/>
      <c r="M2376" s="42"/>
      <c r="N2376" s="42"/>
      <c r="O2376" s="42"/>
      <c r="P2376" s="9"/>
      <c r="Q2376" s="9"/>
      <c r="R2376" s="42"/>
      <c r="S2376" s="42"/>
      <c r="T2376" s="42"/>
      <c r="U2376" s="42"/>
      <c r="V2376" s="42"/>
      <c r="W2376" s="42"/>
    </row>
    <row r="2377">
      <c r="A2377" s="9"/>
      <c r="B2377" s="9"/>
      <c r="C2377" s="9"/>
      <c r="D2377" s="42"/>
      <c r="E2377" s="103"/>
      <c r="F2377" s="42"/>
      <c r="G2377" s="9"/>
      <c r="H2377" s="9"/>
      <c r="I2377" s="9"/>
      <c r="J2377" s="9"/>
      <c r="K2377" s="42"/>
      <c r="L2377" s="42"/>
      <c r="M2377" s="42"/>
      <c r="N2377" s="42"/>
      <c r="O2377" s="42"/>
      <c r="P2377" s="9"/>
      <c r="Q2377" s="9"/>
      <c r="R2377" s="42"/>
      <c r="S2377" s="42"/>
      <c r="T2377" s="42"/>
      <c r="U2377" s="42"/>
      <c r="V2377" s="42"/>
      <c r="W2377" s="42"/>
    </row>
    <row r="2378">
      <c r="A2378" s="9"/>
      <c r="B2378" s="9"/>
      <c r="C2378" s="9"/>
      <c r="D2378" s="42"/>
      <c r="E2378" s="103"/>
      <c r="F2378" s="42"/>
      <c r="G2378" s="9"/>
      <c r="H2378" s="9"/>
      <c r="I2378" s="9"/>
      <c r="J2378" s="9"/>
      <c r="K2378" s="42"/>
      <c r="L2378" s="42"/>
      <c r="M2378" s="42"/>
      <c r="N2378" s="42"/>
      <c r="O2378" s="42"/>
      <c r="P2378" s="9"/>
      <c r="Q2378" s="9"/>
      <c r="R2378" s="42"/>
      <c r="S2378" s="42"/>
      <c r="T2378" s="42"/>
      <c r="U2378" s="42"/>
      <c r="V2378" s="42"/>
      <c r="W2378" s="42"/>
    </row>
    <row r="2379">
      <c r="A2379" s="9"/>
      <c r="B2379" s="9"/>
      <c r="C2379" s="9"/>
      <c r="D2379" s="42"/>
      <c r="E2379" s="103"/>
      <c r="F2379" s="42"/>
      <c r="G2379" s="9"/>
      <c r="H2379" s="9"/>
      <c r="I2379" s="9"/>
      <c r="J2379" s="9"/>
      <c r="K2379" s="42"/>
      <c r="L2379" s="42"/>
      <c r="M2379" s="42"/>
      <c r="N2379" s="42"/>
      <c r="O2379" s="42"/>
      <c r="P2379" s="9"/>
      <c r="Q2379" s="9"/>
      <c r="R2379" s="42"/>
      <c r="S2379" s="42"/>
      <c r="T2379" s="42"/>
      <c r="U2379" s="42"/>
      <c r="V2379" s="42"/>
      <c r="W2379" s="42"/>
    </row>
    <row r="2380">
      <c r="A2380" s="9"/>
      <c r="B2380" s="9"/>
      <c r="C2380" s="9"/>
      <c r="D2380" s="42"/>
      <c r="E2380" s="103"/>
      <c r="F2380" s="42"/>
      <c r="G2380" s="9"/>
      <c r="H2380" s="9"/>
      <c r="I2380" s="9"/>
      <c r="J2380" s="9"/>
      <c r="K2380" s="42"/>
      <c r="L2380" s="42"/>
      <c r="M2380" s="42"/>
      <c r="N2380" s="42"/>
      <c r="O2380" s="42"/>
      <c r="P2380" s="9"/>
      <c r="Q2380" s="9"/>
      <c r="R2380" s="42"/>
      <c r="S2380" s="42"/>
      <c r="T2380" s="42"/>
      <c r="U2380" s="42"/>
      <c r="V2380" s="42"/>
      <c r="W2380" s="42"/>
    </row>
    <row r="2381">
      <c r="A2381" s="9"/>
      <c r="B2381" s="9"/>
      <c r="C2381" s="9"/>
      <c r="D2381" s="42"/>
      <c r="E2381" s="103"/>
      <c r="F2381" s="42"/>
      <c r="G2381" s="9"/>
      <c r="H2381" s="9"/>
      <c r="I2381" s="9"/>
      <c r="J2381" s="9"/>
      <c r="K2381" s="42"/>
      <c r="L2381" s="42"/>
      <c r="M2381" s="42"/>
      <c r="N2381" s="42"/>
      <c r="O2381" s="42"/>
      <c r="P2381" s="9"/>
      <c r="Q2381" s="9"/>
      <c r="R2381" s="42"/>
      <c r="S2381" s="42"/>
      <c r="T2381" s="42"/>
      <c r="U2381" s="42"/>
      <c r="V2381" s="42"/>
      <c r="W2381" s="42"/>
    </row>
    <row r="2382">
      <c r="A2382" s="9"/>
      <c r="B2382" s="9"/>
      <c r="C2382" s="9"/>
      <c r="D2382" s="42"/>
      <c r="E2382" s="103"/>
      <c r="F2382" s="42"/>
      <c r="G2382" s="9"/>
      <c r="H2382" s="9"/>
      <c r="I2382" s="9"/>
      <c r="J2382" s="9"/>
      <c r="K2382" s="42"/>
      <c r="L2382" s="42"/>
      <c r="M2382" s="42"/>
      <c r="N2382" s="42"/>
      <c r="O2382" s="42"/>
      <c r="P2382" s="9"/>
      <c r="Q2382" s="9"/>
      <c r="R2382" s="42"/>
      <c r="S2382" s="42"/>
      <c r="T2382" s="42"/>
      <c r="U2382" s="42"/>
      <c r="V2382" s="42"/>
      <c r="W2382" s="42"/>
    </row>
    <row r="2383">
      <c r="A2383" s="9"/>
      <c r="B2383" s="9"/>
      <c r="C2383" s="9"/>
      <c r="D2383" s="42"/>
      <c r="E2383" s="103"/>
      <c r="F2383" s="42"/>
      <c r="G2383" s="9"/>
      <c r="H2383" s="9"/>
      <c r="I2383" s="9"/>
      <c r="J2383" s="9"/>
      <c r="K2383" s="42"/>
      <c r="L2383" s="42"/>
      <c r="M2383" s="42"/>
      <c r="N2383" s="42"/>
      <c r="O2383" s="42"/>
      <c r="P2383" s="9"/>
      <c r="Q2383" s="9"/>
      <c r="R2383" s="42"/>
      <c r="S2383" s="42"/>
      <c r="T2383" s="42"/>
      <c r="U2383" s="42"/>
      <c r="V2383" s="42"/>
      <c r="W2383" s="42"/>
    </row>
    <row r="2384">
      <c r="A2384" s="9"/>
      <c r="B2384" s="9"/>
      <c r="C2384" s="9"/>
      <c r="D2384" s="42"/>
      <c r="E2384" s="103"/>
      <c r="F2384" s="42"/>
      <c r="G2384" s="9"/>
      <c r="H2384" s="9"/>
      <c r="I2384" s="9"/>
      <c r="J2384" s="9"/>
      <c r="K2384" s="42"/>
      <c r="L2384" s="42"/>
      <c r="M2384" s="42"/>
      <c r="N2384" s="42"/>
      <c r="O2384" s="42"/>
      <c r="P2384" s="9"/>
      <c r="Q2384" s="9"/>
      <c r="R2384" s="42"/>
      <c r="S2384" s="42"/>
      <c r="T2384" s="42"/>
      <c r="U2384" s="42"/>
      <c r="V2384" s="42"/>
      <c r="W2384" s="42"/>
    </row>
    <row r="2385">
      <c r="A2385" s="9"/>
      <c r="B2385" s="9"/>
      <c r="C2385" s="9"/>
      <c r="D2385" s="42"/>
      <c r="E2385" s="103"/>
      <c r="F2385" s="42"/>
      <c r="G2385" s="9"/>
      <c r="H2385" s="9"/>
      <c r="I2385" s="9"/>
      <c r="J2385" s="9"/>
      <c r="K2385" s="42"/>
      <c r="L2385" s="42"/>
      <c r="M2385" s="42"/>
      <c r="N2385" s="42"/>
      <c r="O2385" s="42"/>
      <c r="P2385" s="9"/>
      <c r="Q2385" s="9"/>
      <c r="R2385" s="42"/>
      <c r="S2385" s="42"/>
      <c r="T2385" s="42"/>
      <c r="U2385" s="42"/>
      <c r="V2385" s="42"/>
      <c r="W2385" s="42"/>
    </row>
    <row r="2386">
      <c r="A2386" s="9"/>
      <c r="B2386" s="9"/>
      <c r="C2386" s="9"/>
      <c r="D2386" s="42"/>
      <c r="E2386" s="103"/>
      <c r="F2386" s="42"/>
      <c r="G2386" s="9"/>
      <c r="H2386" s="9"/>
      <c r="I2386" s="9"/>
      <c r="J2386" s="9"/>
      <c r="K2386" s="42"/>
      <c r="L2386" s="42"/>
      <c r="M2386" s="42"/>
      <c r="N2386" s="42"/>
      <c r="O2386" s="42"/>
      <c r="P2386" s="9"/>
      <c r="Q2386" s="9"/>
      <c r="R2386" s="42"/>
      <c r="S2386" s="42"/>
      <c r="T2386" s="42"/>
      <c r="U2386" s="42"/>
      <c r="V2386" s="42"/>
      <c r="W2386" s="42"/>
    </row>
    <row r="2387">
      <c r="A2387" s="9"/>
      <c r="B2387" s="9"/>
      <c r="C2387" s="9"/>
      <c r="D2387" s="42"/>
      <c r="E2387" s="103"/>
      <c r="F2387" s="42"/>
      <c r="G2387" s="9"/>
      <c r="H2387" s="9"/>
      <c r="I2387" s="9"/>
      <c r="J2387" s="9"/>
      <c r="K2387" s="42"/>
      <c r="L2387" s="42"/>
      <c r="M2387" s="42"/>
      <c r="N2387" s="42"/>
      <c r="O2387" s="42"/>
      <c r="P2387" s="9"/>
      <c r="Q2387" s="9"/>
      <c r="R2387" s="42"/>
      <c r="S2387" s="42"/>
      <c r="T2387" s="42"/>
      <c r="U2387" s="42"/>
      <c r="V2387" s="42"/>
      <c r="W2387" s="42"/>
    </row>
    <row r="2388">
      <c r="A2388" s="9"/>
      <c r="B2388" s="9"/>
      <c r="C2388" s="9"/>
      <c r="D2388" s="42"/>
      <c r="E2388" s="103"/>
      <c r="F2388" s="42"/>
      <c r="G2388" s="9"/>
      <c r="H2388" s="9"/>
      <c r="I2388" s="9"/>
      <c r="J2388" s="9"/>
      <c r="K2388" s="42"/>
      <c r="L2388" s="42"/>
      <c r="M2388" s="42"/>
      <c r="N2388" s="42"/>
      <c r="O2388" s="42"/>
      <c r="P2388" s="9"/>
      <c r="Q2388" s="9"/>
      <c r="R2388" s="42"/>
      <c r="S2388" s="42"/>
      <c r="T2388" s="42"/>
      <c r="U2388" s="42"/>
      <c r="V2388" s="42"/>
      <c r="W2388" s="42"/>
    </row>
    <row r="2389">
      <c r="A2389" s="9"/>
      <c r="B2389" s="9"/>
      <c r="C2389" s="9"/>
      <c r="D2389" s="42"/>
      <c r="E2389" s="103"/>
      <c r="F2389" s="42"/>
      <c r="G2389" s="9"/>
      <c r="H2389" s="9"/>
      <c r="I2389" s="9"/>
      <c r="J2389" s="9"/>
      <c r="K2389" s="42"/>
      <c r="L2389" s="42"/>
      <c r="M2389" s="42"/>
      <c r="N2389" s="42"/>
      <c r="O2389" s="42"/>
      <c r="P2389" s="9"/>
      <c r="Q2389" s="9"/>
      <c r="R2389" s="42"/>
      <c r="S2389" s="42"/>
      <c r="T2389" s="42"/>
      <c r="U2389" s="42"/>
      <c r="V2389" s="42"/>
      <c r="W2389" s="42"/>
    </row>
    <row r="2390">
      <c r="A2390" s="9"/>
      <c r="B2390" s="9"/>
      <c r="C2390" s="9"/>
      <c r="D2390" s="42"/>
      <c r="E2390" s="103"/>
      <c r="F2390" s="42"/>
      <c r="G2390" s="9"/>
      <c r="H2390" s="9"/>
      <c r="I2390" s="9"/>
      <c r="J2390" s="9"/>
      <c r="K2390" s="42"/>
      <c r="L2390" s="42"/>
      <c r="M2390" s="42"/>
      <c r="N2390" s="42"/>
      <c r="O2390" s="42"/>
      <c r="P2390" s="9"/>
      <c r="Q2390" s="9"/>
      <c r="R2390" s="42"/>
      <c r="S2390" s="42"/>
      <c r="T2390" s="42"/>
      <c r="U2390" s="42"/>
      <c r="V2390" s="42"/>
      <c r="W2390" s="42"/>
    </row>
    <row r="2391">
      <c r="A2391" s="9"/>
      <c r="B2391" s="9"/>
      <c r="C2391" s="9"/>
      <c r="D2391" s="42"/>
      <c r="E2391" s="103"/>
      <c r="F2391" s="42"/>
      <c r="G2391" s="9"/>
      <c r="H2391" s="9"/>
      <c r="I2391" s="9"/>
      <c r="J2391" s="9"/>
      <c r="K2391" s="42"/>
      <c r="L2391" s="42"/>
      <c r="M2391" s="42"/>
      <c r="N2391" s="42"/>
      <c r="O2391" s="42"/>
      <c r="P2391" s="9"/>
      <c r="Q2391" s="9"/>
      <c r="R2391" s="42"/>
      <c r="S2391" s="42"/>
      <c r="T2391" s="42"/>
      <c r="U2391" s="42"/>
      <c r="V2391" s="42"/>
      <c r="W2391" s="42"/>
    </row>
    <row r="2392">
      <c r="A2392" s="9"/>
      <c r="B2392" s="9"/>
      <c r="C2392" s="9"/>
      <c r="D2392" s="42"/>
      <c r="E2392" s="103"/>
      <c r="F2392" s="42"/>
      <c r="G2392" s="9"/>
      <c r="H2392" s="9"/>
      <c r="I2392" s="9"/>
      <c r="J2392" s="9"/>
      <c r="K2392" s="42"/>
      <c r="L2392" s="42"/>
      <c r="M2392" s="42"/>
      <c r="N2392" s="42"/>
      <c r="O2392" s="42"/>
      <c r="P2392" s="9"/>
      <c r="Q2392" s="9"/>
      <c r="R2392" s="42"/>
      <c r="S2392" s="42"/>
      <c r="T2392" s="42"/>
      <c r="U2392" s="42"/>
      <c r="V2392" s="42"/>
      <c r="W2392" s="42"/>
    </row>
    <row r="2393">
      <c r="A2393" s="9"/>
      <c r="B2393" s="9"/>
      <c r="C2393" s="9"/>
      <c r="D2393" s="42"/>
      <c r="E2393" s="103"/>
      <c r="F2393" s="42"/>
      <c r="G2393" s="9"/>
      <c r="H2393" s="9"/>
      <c r="I2393" s="9"/>
      <c r="J2393" s="9"/>
      <c r="K2393" s="42"/>
      <c r="L2393" s="42"/>
      <c r="M2393" s="42"/>
      <c r="N2393" s="42"/>
      <c r="O2393" s="42"/>
      <c r="P2393" s="9"/>
      <c r="Q2393" s="9"/>
      <c r="R2393" s="42"/>
      <c r="S2393" s="42"/>
      <c r="T2393" s="42"/>
      <c r="U2393" s="42"/>
      <c r="V2393" s="42"/>
      <c r="W2393" s="42"/>
    </row>
    <row r="2394">
      <c r="A2394" s="9"/>
      <c r="B2394" s="9"/>
      <c r="C2394" s="9"/>
      <c r="D2394" s="42"/>
      <c r="E2394" s="103"/>
      <c r="F2394" s="42"/>
      <c r="G2394" s="9"/>
      <c r="H2394" s="9"/>
      <c r="I2394" s="9"/>
      <c r="J2394" s="9"/>
      <c r="K2394" s="42"/>
      <c r="L2394" s="42"/>
      <c r="M2394" s="42"/>
      <c r="N2394" s="42"/>
      <c r="O2394" s="42"/>
      <c r="P2394" s="9"/>
      <c r="Q2394" s="9"/>
      <c r="R2394" s="42"/>
      <c r="S2394" s="42"/>
      <c r="T2394" s="42"/>
      <c r="U2394" s="42"/>
      <c r="V2394" s="42"/>
      <c r="W2394" s="42"/>
    </row>
    <row r="2395">
      <c r="A2395" s="9"/>
      <c r="B2395" s="9"/>
      <c r="C2395" s="9"/>
      <c r="D2395" s="42"/>
      <c r="E2395" s="103"/>
      <c r="F2395" s="42"/>
      <c r="G2395" s="9"/>
      <c r="H2395" s="9"/>
      <c r="I2395" s="9"/>
      <c r="J2395" s="9"/>
      <c r="K2395" s="42"/>
      <c r="L2395" s="42"/>
      <c r="M2395" s="42"/>
      <c r="N2395" s="42"/>
      <c r="O2395" s="42"/>
      <c r="P2395" s="9"/>
      <c r="Q2395" s="9"/>
      <c r="R2395" s="42"/>
      <c r="S2395" s="42"/>
      <c r="T2395" s="42"/>
      <c r="U2395" s="42"/>
      <c r="V2395" s="42"/>
      <c r="W2395" s="42"/>
    </row>
    <row r="2396">
      <c r="A2396" s="9"/>
      <c r="B2396" s="9"/>
      <c r="C2396" s="9"/>
      <c r="D2396" s="42"/>
      <c r="E2396" s="103"/>
      <c r="F2396" s="42"/>
      <c r="G2396" s="9"/>
      <c r="H2396" s="9"/>
      <c r="I2396" s="9"/>
      <c r="J2396" s="9"/>
      <c r="K2396" s="42"/>
      <c r="L2396" s="42"/>
      <c r="M2396" s="42"/>
      <c r="N2396" s="42"/>
      <c r="O2396" s="42"/>
      <c r="P2396" s="9"/>
      <c r="Q2396" s="9"/>
      <c r="R2396" s="42"/>
      <c r="S2396" s="42"/>
      <c r="T2396" s="42"/>
      <c r="U2396" s="42"/>
      <c r="V2396" s="42"/>
      <c r="W2396" s="42"/>
    </row>
    <row r="2397">
      <c r="A2397" s="9"/>
      <c r="B2397" s="9"/>
      <c r="C2397" s="9"/>
      <c r="D2397" s="42"/>
      <c r="E2397" s="103"/>
      <c r="F2397" s="42"/>
      <c r="G2397" s="9"/>
      <c r="H2397" s="9"/>
      <c r="I2397" s="9"/>
      <c r="J2397" s="9"/>
      <c r="K2397" s="42"/>
      <c r="L2397" s="42"/>
      <c r="M2397" s="42"/>
      <c r="N2397" s="42"/>
      <c r="O2397" s="42"/>
      <c r="P2397" s="9"/>
      <c r="Q2397" s="9"/>
      <c r="R2397" s="42"/>
      <c r="S2397" s="42"/>
      <c r="T2397" s="42"/>
      <c r="U2397" s="42"/>
      <c r="V2397" s="42"/>
      <c r="W2397" s="42"/>
    </row>
    <row r="2398">
      <c r="A2398" s="9"/>
      <c r="B2398" s="9"/>
      <c r="C2398" s="9"/>
      <c r="D2398" s="42"/>
      <c r="E2398" s="103"/>
      <c r="F2398" s="42"/>
      <c r="G2398" s="9"/>
      <c r="H2398" s="9"/>
      <c r="I2398" s="9"/>
      <c r="J2398" s="9"/>
      <c r="K2398" s="42"/>
      <c r="L2398" s="42"/>
      <c r="M2398" s="42"/>
      <c r="N2398" s="42"/>
      <c r="O2398" s="42"/>
      <c r="P2398" s="9"/>
      <c r="Q2398" s="9"/>
      <c r="R2398" s="42"/>
      <c r="S2398" s="42"/>
      <c r="T2398" s="42"/>
      <c r="U2398" s="42"/>
      <c r="V2398" s="42"/>
      <c r="W2398" s="42"/>
    </row>
    <row r="2399">
      <c r="A2399" s="9"/>
      <c r="B2399" s="9"/>
      <c r="C2399" s="9"/>
      <c r="D2399" s="42"/>
      <c r="E2399" s="103"/>
      <c r="F2399" s="42"/>
      <c r="G2399" s="9"/>
      <c r="H2399" s="9"/>
      <c r="I2399" s="9"/>
      <c r="J2399" s="9"/>
      <c r="K2399" s="42"/>
      <c r="L2399" s="42"/>
      <c r="M2399" s="42"/>
      <c r="N2399" s="42"/>
      <c r="O2399" s="42"/>
      <c r="P2399" s="9"/>
      <c r="Q2399" s="9"/>
      <c r="R2399" s="42"/>
      <c r="S2399" s="42"/>
      <c r="T2399" s="42"/>
      <c r="U2399" s="42"/>
      <c r="V2399" s="42"/>
      <c r="W2399" s="42"/>
    </row>
    <row r="2400">
      <c r="A2400" s="9"/>
      <c r="B2400" s="9"/>
      <c r="C2400" s="9"/>
      <c r="D2400" s="42"/>
      <c r="E2400" s="103"/>
      <c r="F2400" s="42"/>
      <c r="G2400" s="9"/>
      <c r="H2400" s="9"/>
      <c r="I2400" s="9"/>
      <c r="J2400" s="9"/>
      <c r="K2400" s="42"/>
      <c r="L2400" s="42"/>
      <c r="M2400" s="42"/>
      <c r="N2400" s="42"/>
      <c r="O2400" s="42"/>
      <c r="P2400" s="9"/>
      <c r="Q2400" s="9"/>
      <c r="R2400" s="42"/>
      <c r="S2400" s="42"/>
      <c r="T2400" s="42"/>
      <c r="U2400" s="42"/>
      <c r="V2400" s="42"/>
      <c r="W2400" s="42"/>
    </row>
    <row r="2401">
      <c r="A2401" s="9"/>
      <c r="B2401" s="9"/>
      <c r="C2401" s="9"/>
      <c r="D2401" s="42"/>
      <c r="E2401" s="103"/>
      <c r="F2401" s="42"/>
      <c r="G2401" s="9"/>
      <c r="H2401" s="9"/>
      <c r="I2401" s="9"/>
      <c r="J2401" s="9"/>
      <c r="K2401" s="42"/>
      <c r="L2401" s="42"/>
      <c r="M2401" s="42"/>
      <c r="N2401" s="42"/>
      <c r="O2401" s="42"/>
      <c r="P2401" s="9"/>
      <c r="Q2401" s="9"/>
      <c r="R2401" s="42"/>
      <c r="S2401" s="42"/>
      <c r="T2401" s="42"/>
      <c r="U2401" s="42"/>
      <c r="V2401" s="42"/>
      <c r="W2401" s="42"/>
    </row>
    <row r="2402">
      <c r="A2402" s="9"/>
      <c r="B2402" s="9"/>
      <c r="C2402" s="9"/>
      <c r="D2402" s="42"/>
      <c r="E2402" s="103"/>
      <c r="F2402" s="42"/>
      <c r="G2402" s="9"/>
      <c r="H2402" s="9"/>
      <c r="I2402" s="9"/>
      <c r="J2402" s="9"/>
      <c r="K2402" s="42"/>
      <c r="L2402" s="42"/>
      <c r="M2402" s="42"/>
      <c r="N2402" s="42"/>
      <c r="O2402" s="42"/>
      <c r="P2402" s="9"/>
      <c r="Q2402" s="9"/>
      <c r="R2402" s="42"/>
      <c r="S2402" s="42"/>
      <c r="T2402" s="42"/>
      <c r="U2402" s="42"/>
      <c r="V2402" s="42"/>
      <c r="W2402" s="42"/>
    </row>
    <row r="2403">
      <c r="A2403" s="9"/>
      <c r="B2403" s="9"/>
      <c r="C2403" s="9"/>
      <c r="D2403" s="42"/>
      <c r="E2403" s="103"/>
      <c r="F2403" s="42"/>
      <c r="G2403" s="9"/>
      <c r="H2403" s="9"/>
      <c r="I2403" s="9"/>
      <c r="J2403" s="9"/>
      <c r="K2403" s="42"/>
      <c r="L2403" s="42"/>
      <c r="M2403" s="42"/>
      <c r="N2403" s="42"/>
      <c r="O2403" s="42"/>
      <c r="P2403" s="9"/>
      <c r="Q2403" s="9"/>
      <c r="R2403" s="42"/>
      <c r="S2403" s="42"/>
      <c r="T2403" s="42"/>
      <c r="U2403" s="42"/>
      <c r="V2403" s="42"/>
      <c r="W2403" s="42"/>
    </row>
    <row r="2404">
      <c r="A2404" s="9"/>
      <c r="B2404" s="9"/>
      <c r="C2404" s="9"/>
      <c r="D2404" s="42"/>
      <c r="E2404" s="103"/>
      <c r="F2404" s="42"/>
      <c r="G2404" s="9"/>
      <c r="H2404" s="9"/>
      <c r="I2404" s="9"/>
      <c r="J2404" s="9"/>
      <c r="K2404" s="42"/>
      <c r="L2404" s="42"/>
      <c r="M2404" s="42"/>
      <c r="N2404" s="42"/>
      <c r="O2404" s="42"/>
      <c r="P2404" s="9"/>
      <c r="Q2404" s="9"/>
      <c r="R2404" s="42"/>
      <c r="S2404" s="42"/>
      <c r="T2404" s="42"/>
      <c r="U2404" s="42"/>
      <c r="V2404" s="42"/>
      <c r="W2404" s="42"/>
    </row>
    <row r="2405">
      <c r="A2405" s="9"/>
      <c r="B2405" s="9"/>
      <c r="C2405" s="9"/>
      <c r="D2405" s="42"/>
      <c r="E2405" s="103"/>
      <c r="F2405" s="42"/>
      <c r="G2405" s="9"/>
      <c r="H2405" s="9"/>
      <c r="I2405" s="9"/>
      <c r="J2405" s="9"/>
      <c r="K2405" s="42"/>
      <c r="L2405" s="42"/>
      <c r="M2405" s="42"/>
      <c r="N2405" s="42"/>
      <c r="O2405" s="42"/>
      <c r="P2405" s="9"/>
      <c r="Q2405" s="9"/>
      <c r="R2405" s="42"/>
      <c r="S2405" s="42"/>
      <c r="T2405" s="42"/>
      <c r="U2405" s="42"/>
      <c r="V2405" s="42"/>
      <c r="W2405" s="42"/>
    </row>
    <row r="2406">
      <c r="A2406" s="9"/>
      <c r="B2406" s="9"/>
      <c r="C2406" s="9"/>
      <c r="D2406" s="42"/>
      <c r="E2406" s="103"/>
      <c r="F2406" s="42"/>
      <c r="G2406" s="9"/>
      <c r="H2406" s="9"/>
      <c r="I2406" s="9"/>
      <c r="J2406" s="9"/>
      <c r="K2406" s="42"/>
      <c r="L2406" s="42"/>
      <c r="M2406" s="42"/>
      <c r="N2406" s="42"/>
      <c r="O2406" s="42"/>
      <c r="P2406" s="9"/>
      <c r="Q2406" s="9"/>
      <c r="R2406" s="42"/>
      <c r="S2406" s="42"/>
      <c r="T2406" s="42"/>
      <c r="U2406" s="42"/>
      <c r="V2406" s="42"/>
      <c r="W2406" s="42"/>
    </row>
    <row r="2407">
      <c r="A2407" s="9"/>
      <c r="B2407" s="9"/>
      <c r="C2407" s="9"/>
      <c r="D2407" s="42"/>
      <c r="E2407" s="103"/>
      <c r="F2407" s="42"/>
      <c r="G2407" s="9"/>
      <c r="H2407" s="9"/>
      <c r="I2407" s="9"/>
      <c r="J2407" s="9"/>
      <c r="K2407" s="42"/>
      <c r="L2407" s="42"/>
      <c r="M2407" s="42"/>
      <c r="N2407" s="42"/>
      <c r="O2407" s="42"/>
      <c r="P2407" s="9"/>
      <c r="Q2407" s="9"/>
      <c r="R2407" s="42"/>
      <c r="S2407" s="42"/>
      <c r="T2407" s="42"/>
      <c r="U2407" s="42"/>
      <c r="V2407" s="42"/>
      <c r="W2407" s="42"/>
    </row>
    <row r="2408">
      <c r="A2408" s="9"/>
      <c r="B2408" s="9"/>
      <c r="C2408" s="9"/>
      <c r="D2408" s="42"/>
      <c r="E2408" s="103"/>
      <c r="F2408" s="42"/>
      <c r="G2408" s="9"/>
      <c r="H2408" s="9"/>
      <c r="I2408" s="9"/>
      <c r="J2408" s="9"/>
      <c r="K2408" s="42"/>
      <c r="L2408" s="42"/>
      <c r="M2408" s="42"/>
      <c r="N2408" s="42"/>
      <c r="O2408" s="42"/>
      <c r="P2408" s="9"/>
      <c r="Q2408" s="9"/>
      <c r="R2408" s="42"/>
      <c r="S2408" s="42"/>
      <c r="T2408" s="42"/>
      <c r="U2408" s="42"/>
      <c r="V2408" s="42"/>
      <c r="W2408" s="42"/>
    </row>
    <row r="2409">
      <c r="A2409" s="9"/>
      <c r="B2409" s="9"/>
      <c r="C2409" s="9"/>
      <c r="D2409" s="42"/>
      <c r="E2409" s="103"/>
      <c r="F2409" s="42"/>
      <c r="G2409" s="9"/>
      <c r="H2409" s="9"/>
      <c r="I2409" s="9"/>
      <c r="J2409" s="9"/>
      <c r="K2409" s="42"/>
      <c r="L2409" s="42"/>
      <c r="M2409" s="42"/>
      <c r="N2409" s="42"/>
      <c r="O2409" s="42"/>
      <c r="P2409" s="9"/>
      <c r="Q2409" s="9"/>
      <c r="R2409" s="42"/>
      <c r="S2409" s="42"/>
      <c r="T2409" s="42"/>
      <c r="U2409" s="42"/>
      <c r="V2409" s="42"/>
      <c r="W2409" s="42"/>
    </row>
    <row r="2410">
      <c r="A2410" s="9"/>
      <c r="B2410" s="9"/>
      <c r="C2410" s="9"/>
      <c r="D2410" s="42"/>
      <c r="E2410" s="103"/>
      <c r="F2410" s="42"/>
      <c r="G2410" s="9"/>
      <c r="H2410" s="9"/>
      <c r="I2410" s="9"/>
      <c r="J2410" s="9"/>
      <c r="K2410" s="42"/>
      <c r="L2410" s="42"/>
      <c r="M2410" s="42"/>
      <c r="N2410" s="42"/>
      <c r="O2410" s="42"/>
      <c r="P2410" s="9"/>
      <c r="Q2410" s="9"/>
      <c r="R2410" s="42"/>
      <c r="S2410" s="42"/>
      <c r="T2410" s="42"/>
      <c r="U2410" s="42"/>
      <c r="V2410" s="42"/>
      <c r="W2410" s="42"/>
    </row>
    <row r="2411">
      <c r="A2411" s="9"/>
      <c r="B2411" s="9"/>
      <c r="C2411" s="9"/>
      <c r="D2411" s="42"/>
      <c r="E2411" s="103"/>
      <c r="F2411" s="42"/>
      <c r="G2411" s="9"/>
      <c r="H2411" s="9"/>
      <c r="I2411" s="9"/>
      <c r="J2411" s="9"/>
      <c r="K2411" s="42"/>
      <c r="L2411" s="42"/>
      <c r="M2411" s="42"/>
      <c r="N2411" s="42"/>
      <c r="O2411" s="42"/>
      <c r="P2411" s="9"/>
      <c r="Q2411" s="9"/>
      <c r="R2411" s="42"/>
      <c r="S2411" s="42"/>
      <c r="T2411" s="42"/>
      <c r="U2411" s="42"/>
      <c r="V2411" s="42"/>
      <c r="W2411" s="42"/>
    </row>
    <row r="2412">
      <c r="A2412" s="9"/>
      <c r="B2412" s="9"/>
      <c r="C2412" s="9"/>
      <c r="D2412" s="42"/>
      <c r="E2412" s="103"/>
      <c r="F2412" s="42"/>
      <c r="G2412" s="9"/>
      <c r="H2412" s="9"/>
      <c r="I2412" s="9"/>
      <c r="J2412" s="9"/>
      <c r="K2412" s="42"/>
      <c r="L2412" s="42"/>
      <c r="M2412" s="42"/>
      <c r="N2412" s="42"/>
      <c r="O2412" s="42"/>
      <c r="P2412" s="9"/>
      <c r="Q2412" s="9"/>
      <c r="R2412" s="42"/>
      <c r="S2412" s="42"/>
      <c r="T2412" s="42"/>
      <c r="U2412" s="42"/>
      <c r="V2412" s="42"/>
      <c r="W2412" s="42"/>
    </row>
    <row r="2413">
      <c r="A2413" s="9"/>
      <c r="B2413" s="9"/>
      <c r="C2413" s="9"/>
      <c r="D2413" s="42"/>
      <c r="E2413" s="103"/>
      <c r="F2413" s="42"/>
      <c r="G2413" s="9"/>
      <c r="H2413" s="9"/>
      <c r="I2413" s="9"/>
      <c r="J2413" s="9"/>
      <c r="K2413" s="42"/>
      <c r="L2413" s="42"/>
      <c r="M2413" s="42"/>
      <c r="N2413" s="42"/>
      <c r="O2413" s="42"/>
      <c r="P2413" s="9"/>
      <c r="Q2413" s="9"/>
      <c r="R2413" s="42"/>
      <c r="S2413" s="42"/>
      <c r="T2413" s="42"/>
      <c r="U2413" s="42"/>
      <c r="V2413" s="42"/>
      <c r="W2413" s="42"/>
    </row>
    <row r="2414">
      <c r="A2414" s="9"/>
      <c r="B2414" s="9"/>
      <c r="C2414" s="9"/>
      <c r="D2414" s="42"/>
      <c r="E2414" s="103"/>
      <c r="F2414" s="42"/>
      <c r="G2414" s="9"/>
      <c r="H2414" s="9"/>
      <c r="I2414" s="9"/>
      <c r="J2414" s="9"/>
      <c r="K2414" s="42"/>
      <c r="L2414" s="42"/>
      <c r="M2414" s="42"/>
      <c r="N2414" s="42"/>
      <c r="O2414" s="42"/>
      <c r="P2414" s="9"/>
      <c r="Q2414" s="9"/>
      <c r="R2414" s="42"/>
      <c r="S2414" s="42"/>
      <c r="T2414" s="42"/>
      <c r="U2414" s="42"/>
      <c r="V2414" s="42"/>
      <c r="W2414" s="42"/>
    </row>
    <row r="2415">
      <c r="A2415" s="9"/>
      <c r="B2415" s="9"/>
      <c r="C2415" s="9"/>
      <c r="D2415" s="42"/>
      <c r="E2415" s="103"/>
      <c r="F2415" s="42"/>
      <c r="G2415" s="9"/>
      <c r="H2415" s="9"/>
      <c r="I2415" s="9"/>
      <c r="J2415" s="9"/>
      <c r="K2415" s="42"/>
      <c r="L2415" s="42"/>
      <c r="M2415" s="42"/>
      <c r="N2415" s="42"/>
      <c r="O2415" s="42"/>
      <c r="P2415" s="9"/>
      <c r="Q2415" s="9"/>
      <c r="R2415" s="42"/>
      <c r="S2415" s="42"/>
      <c r="T2415" s="42"/>
      <c r="U2415" s="42"/>
      <c r="V2415" s="42"/>
      <c r="W2415" s="42"/>
    </row>
    <row r="2416">
      <c r="A2416" s="9"/>
      <c r="B2416" s="9"/>
      <c r="C2416" s="9"/>
      <c r="D2416" s="42"/>
      <c r="E2416" s="103"/>
      <c r="F2416" s="42"/>
      <c r="G2416" s="9"/>
      <c r="H2416" s="9"/>
      <c r="I2416" s="9"/>
      <c r="J2416" s="9"/>
      <c r="K2416" s="42"/>
      <c r="L2416" s="42"/>
      <c r="M2416" s="42"/>
      <c r="N2416" s="42"/>
      <c r="O2416" s="42"/>
      <c r="P2416" s="9"/>
      <c r="Q2416" s="9"/>
      <c r="R2416" s="42"/>
      <c r="S2416" s="42"/>
      <c r="T2416" s="42"/>
      <c r="U2416" s="42"/>
      <c r="V2416" s="42"/>
      <c r="W2416" s="42"/>
    </row>
    <row r="2417">
      <c r="A2417" s="9"/>
      <c r="B2417" s="9"/>
      <c r="C2417" s="9"/>
      <c r="D2417" s="42"/>
      <c r="E2417" s="103"/>
      <c r="F2417" s="42"/>
      <c r="G2417" s="9"/>
      <c r="H2417" s="9"/>
      <c r="I2417" s="9"/>
      <c r="J2417" s="9"/>
      <c r="K2417" s="42"/>
      <c r="L2417" s="42"/>
      <c r="M2417" s="42"/>
      <c r="N2417" s="42"/>
      <c r="O2417" s="42"/>
      <c r="P2417" s="9"/>
      <c r="Q2417" s="9"/>
      <c r="R2417" s="42"/>
      <c r="S2417" s="42"/>
      <c r="T2417" s="42"/>
      <c r="U2417" s="42"/>
      <c r="V2417" s="42"/>
      <c r="W2417" s="42"/>
    </row>
    <row r="2418">
      <c r="A2418" s="9"/>
      <c r="B2418" s="9"/>
      <c r="C2418" s="9"/>
      <c r="D2418" s="42"/>
      <c r="E2418" s="103"/>
      <c r="F2418" s="42"/>
      <c r="G2418" s="9"/>
      <c r="H2418" s="9"/>
      <c r="I2418" s="9"/>
      <c r="J2418" s="9"/>
      <c r="K2418" s="42"/>
      <c r="L2418" s="42"/>
      <c r="M2418" s="42"/>
      <c r="N2418" s="42"/>
      <c r="O2418" s="42"/>
      <c r="P2418" s="9"/>
      <c r="Q2418" s="9"/>
      <c r="R2418" s="42"/>
      <c r="S2418" s="42"/>
      <c r="T2418" s="42"/>
      <c r="U2418" s="42"/>
      <c r="V2418" s="42"/>
      <c r="W2418" s="42"/>
    </row>
    <row r="2419">
      <c r="A2419" s="9"/>
      <c r="B2419" s="9"/>
      <c r="C2419" s="9"/>
      <c r="D2419" s="42"/>
      <c r="E2419" s="103"/>
      <c r="F2419" s="42"/>
      <c r="G2419" s="9"/>
      <c r="H2419" s="9"/>
      <c r="I2419" s="9"/>
      <c r="J2419" s="9"/>
      <c r="K2419" s="42"/>
      <c r="L2419" s="42"/>
      <c r="M2419" s="42"/>
      <c r="N2419" s="42"/>
      <c r="O2419" s="42"/>
      <c r="P2419" s="9"/>
      <c r="Q2419" s="9"/>
      <c r="R2419" s="42"/>
      <c r="S2419" s="42"/>
      <c r="T2419" s="42"/>
      <c r="U2419" s="42"/>
      <c r="V2419" s="42"/>
      <c r="W2419" s="42"/>
    </row>
    <row r="2420">
      <c r="A2420" s="9"/>
      <c r="B2420" s="9"/>
      <c r="C2420" s="9"/>
      <c r="D2420" s="42"/>
      <c r="E2420" s="103"/>
      <c r="F2420" s="42"/>
      <c r="G2420" s="9"/>
      <c r="H2420" s="9"/>
      <c r="I2420" s="9"/>
      <c r="J2420" s="9"/>
      <c r="K2420" s="42"/>
      <c r="L2420" s="42"/>
      <c r="M2420" s="42"/>
      <c r="N2420" s="42"/>
      <c r="O2420" s="42"/>
      <c r="P2420" s="9"/>
      <c r="Q2420" s="9"/>
      <c r="R2420" s="42"/>
      <c r="S2420" s="42"/>
      <c r="T2420" s="42"/>
      <c r="U2420" s="42"/>
      <c r="V2420" s="42"/>
      <c r="W2420" s="42"/>
    </row>
    <row r="2421">
      <c r="A2421" s="9"/>
      <c r="B2421" s="9"/>
      <c r="C2421" s="9"/>
      <c r="D2421" s="42"/>
      <c r="E2421" s="103"/>
      <c r="F2421" s="42"/>
      <c r="G2421" s="9"/>
      <c r="H2421" s="9"/>
      <c r="I2421" s="9"/>
      <c r="J2421" s="9"/>
      <c r="K2421" s="42"/>
      <c r="L2421" s="42"/>
      <c r="M2421" s="42"/>
      <c r="N2421" s="42"/>
      <c r="O2421" s="42"/>
      <c r="P2421" s="9"/>
      <c r="Q2421" s="9"/>
      <c r="R2421" s="42"/>
      <c r="S2421" s="42"/>
      <c r="T2421" s="42"/>
      <c r="U2421" s="42"/>
      <c r="V2421" s="42"/>
      <c r="W2421" s="42"/>
    </row>
    <row r="2422">
      <c r="A2422" s="9"/>
      <c r="B2422" s="9"/>
      <c r="C2422" s="9"/>
      <c r="D2422" s="42"/>
      <c r="E2422" s="103"/>
      <c r="F2422" s="42"/>
      <c r="G2422" s="9"/>
      <c r="H2422" s="9"/>
      <c r="I2422" s="9"/>
      <c r="J2422" s="9"/>
      <c r="K2422" s="42"/>
      <c r="L2422" s="42"/>
      <c r="M2422" s="42"/>
      <c r="N2422" s="42"/>
      <c r="O2422" s="42"/>
      <c r="P2422" s="9"/>
      <c r="Q2422" s="9"/>
      <c r="R2422" s="42"/>
      <c r="S2422" s="42"/>
      <c r="T2422" s="42"/>
      <c r="U2422" s="42"/>
      <c r="V2422" s="42"/>
      <c r="W2422" s="42"/>
    </row>
    <row r="2423">
      <c r="A2423" s="9"/>
      <c r="B2423" s="9"/>
      <c r="C2423" s="9"/>
      <c r="D2423" s="42"/>
      <c r="E2423" s="103"/>
      <c r="F2423" s="42"/>
      <c r="G2423" s="9"/>
      <c r="H2423" s="9"/>
      <c r="I2423" s="9"/>
      <c r="J2423" s="9"/>
      <c r="K2423" s="42"/>
      <c r="L2423" s="42"/>
      <c r="M2423" s="42"/>
      <c r="N2423" s="42"/>
      <c r="O2423" s="42"/>
      <c r="P2423" s="9"/>
      <c r="Q2423" s="9"/>
      <c r="R2423" s="42"/>
      <c r="S2423" s="42"/>
      <c r="T2423" s="42"/>
      <c r="U2423" s="42"/>
      <c r="V2423" s="42"/>
      <c r="W2423" s="42"/>
    </row>
    <row r="2424">
      <c r="A2424" s="9"/>
      <c r="B2424" s="9"/>
      <c r="C2424" s="9"/>
      <c r="D2424" s="42"/>
      <c r="E2424" s="103"/>
      <c r="F2424" s="42"/>
      <c r="G2424" s="9"/>
      <c r="H2424" s="9"/>
      <c r="I2424" s="9"/>
      <c r="J2424" s="9"/>
      <c r="K2424" s="42"/>
      <c r="L2424" s="42"/>
      <c r="M2424" s="42"/>
      <c r="N2424" s="42"/>
      <c r="O2424" s="42"/>
      <c r="P2424" s="9"/>
      <c r="Q2424" s="9"/>
      <c r="R2424" s="42"/>
      <c r="S2424" s="42"/>
      <c r="T2424" s="42"/>
      <c r="U2424" s="42"/>
      <c r="V2424" s="42"/>
      <c r="W2424" s="42"/>
    </row>
    <row r="2425">
      <c r="A2425" s="9"/>
      <c r="B2425" s="9"/>
      <c r="C2425" s="9"/>
      <c r="D2425" s="42"/>
      <c r="E2425" s="103"/>
      <c r="F2425" s="42"/>
      <c r="G2425" s="9"/>
      <c r="H2425" s="9"/>
      <c r="I2425" s="9"/>
      <c r="J2425" s="9"/>
      <c r="K2425" s="42"/>
      <c r="L2425" s="42"/>
      <c r="M2425" s="42"/>
      <c r="N2425" s="42"/>
      <c r="O2425" s="42"/>
      <c r="P2425" s="9"/>
      <c r="Q2425" s="9"/>
      <c r="R2425" s="42"/>
      <c r="S2425" s="42"/>
      <c r="T2425" s="42"/>
      <c r="U2425" s="42"/>
      <c r="V2425" s="42"/>
      <c r="W2425" s="42"/>
    </row>
    <row r="2426">
      <c r="A2426" s="9"/>
      <c r="B2426" s="9"/>
      <c r="C2426" s="9"/>
      <c r="D2426" s="42"/>
      <c r="E2426" s="103"/>
      <c r="F2426" s="42"/>
      <c r="G2426" s="9"/>
      <c r="H2426" s="9"/>
      <c r="I2426" s="9"/>
      <c r="J2426" s="9"/>
      <c r="K2426" s="42"/>
      <c r="L2426" s="42"/>
      <c r="M2426" s="42"/>
      <c r="N2426" s="42"/>
      <c r="O2426" s="42"/>
      <c r="P2426" s="9"/>
      <c r="Q2426" s="9"/>
      <c r="R2426" s="42"/>
      <c r="S2426" s="42"/>
      <c r="T2426" s="42"/>
      <c r="U2426" s="42"/>
      <c r="V2426" s="42"/>
      <c r="W2426" s="42"/>
    </row>
    <row r="2427">
      <c r="A2427" s="9"/>
      <c r="B2427" s="9"/>
      <c r="C2427" s="9"/>
      <c r="D2427" s="42"/>
      <c r="E2427" s="103"/>
      <c r="F2427" s="42"/>
      <c r="G2427" s="9"/>
      <c r="H2427" s="9"/>
      <c r="I2427" s="9"/>
      <c r="J2427" s="9"/>
      <c r="K2427" s="42"/>
      <c r="L2427" s="42"/>
      <c r="M2427" s="42"/>
      <c r="N2427" s="42"/>
      <c r="O2427" s="42"/>
      <c r="P2427" s="9"/>
      <c r="Q2427" s="9"/>
      <c r="R2427" s="42"/>
      <c r="S2427" s="42"/>
      <c r="T2427" s="42"/>
      <c r="U2427" s="42"/>
      <c r="V2427" s="42"/>
      <c r="W2427" s="42"/>
    </row>
    <row r="2428">
      <c r="A2428" s="9"/>
      <c r="B2428" s="9"/>
      <c r="C2428" s="9"/>
      <c r="D2428" s="42"/>
      <c r="E2428" s="103"/>
      <c r="F2428" s="42"/>
      <c r="G2428" s="9"/>
      <c r="H2428" s="9"/>
      <c r="I2428" s="9"/>
      <c r="J2428" s="9"/>
      <c r="K2428" s="42"/>
      <c r="L2428" s="42"/>
      <c r="M2428" s="42"/>
      <c r="N2428" s="42"/>
      <c r="O2428" s="42"/>
      <c r="P2428" s="9"/>
      <c r="Q2428" s="9"/>
      <c r="R2428" s="42"/>
      <c r="S2428" s="42"/>
      <c r="T2428" s="42"/>
      <c r="U2428" s="42"/>
      <c r="V2428" s="42"/>
      <c r="W2428" s="42"/>
    </row>
    <row r="2429">
      <c r="A2429" s="9"/>
      <c r="B2429" s="9"/>
      <c r="C2429" s="9"/>
      <c r="D2429" s="42"/>
      <c r="E2429" s="103"/>
      <c r="F2429" s="42"/>
      <c r="G2429" s="9"/>
      <c r="H2429" s="9"/>
      <c r="I2429" s="9"/>
      <c r="J2429" s="9"/>
      <c r="K2429" s="42"/>
      <c r="L2429" s="42"/>
      <c r="M2429" s="42"/>
      <c r="N2429" s="42"/>
      <c r="O2429" s="42"/>
      <c r="P2429" s="9"/>
      <c r="Q2429" s="9"/>
      <c r="R2429" s="42"/>
      <c r="S2429" s="42"/>
      <c r="T2429" s="42"/>
      <c r="U2429" s="42"/>
      <c r="V2429" s="42"/>
      <c r="W2429" s="42"/>
    </row>
    <row r="2430">
      <c r="A2430" s="9"/>
      <c r="B2430" s="9"/>
      <c r="C2430" s="9"/>
      <c r="D2430" s="42"/>
      <c r="E2430" s="103"/>
      <c r="F2430" s="42"/>
      <c r="G2430" s="9"/>
      <c r="H2430" s="9"/>
      <c r="I2430" s="9"/>
      <c r="J2430" s="9"/>
      <c r="K2430" s="42"/>
      <c r="L2430" s="42"/>
      <c r="M2430" s="42"/>
      <c r="N2430" s="42"/>
      <c r="O2430" s="42"/>
      <c r="P2430" s="9"/>
      <c r="Q2430" s="9"/>
      <c r="R2430" s="42"/>
      <c r="S2430" s="42"/>
      <c r="T2430" s="42"/>
      <c r="U2430" s="42"/>
      <c r="V2430" s="42"/>
      <c r="W2430" s="42"/>
    </row>
    <row r="2431">
      <c r="A2431" s="9"/>
      <c r="B2431" s="9"/>
      <c r="C2431" s="9"/>
      <c r="D2431" s="42"/>
      <c r="E2431" s="103"/>
      <c r="F2431" s="42"/>
      <c r="G2431" s="9"/>
      <c r="H2431" s="9"/>
      <c r="I2431" s="9"/>
      <c r="J2431" s="9"/>
      <c r="K2431" s="42"/>
      <c r="L2431" s="42"/>
      <c r="M2431" s="42"/>
      <c r="N2431" s="42"/>
      <c r="O2431" s="42"/>
      <c r="P2431" s="9"/>
      <c r="Q2431" s="9"/>
      <c r="R2431" s="42"/>
      <c r="S2431" s="42"/>
      <c r="T2431" s="42"/>
      <c r="U2431" s="42"/>
      <c r="V2431" s="42"/>
      <c r="W2431" s="42"/>
    </row>
    <row r="2432">
      <c r="A2432" s="9"/>
      <c r="B2432" s="9"/>
      <c r="C2432" s="9"/>
      <c r="D2432" s="42"/>
      <c r="E2432" s="103"/>
      <c r="F2432" s="42"/>
      <c r="G2432" s="9"/>
      <c r="H2432" s="9"/>
      <c r="I2432" s="9"/>
      <c r="J2432" s="9"/>
      <c r="K2432" s="42"/>
      <c r="L2432" s="42"/>
      <c r="M2432" s="42"/>
      <c r="N2432" s="42"/>
      <c r="O2432" s="42"/>
      <c r="P2432" s="9"/>
      <c r="Q2432" s="9"/>
      <c r="R2432" s="42"/>
      <c r="S2432" s="42"/>
      <c r="T2432" s="42"/>
      <c r="U2432" s="42"/>
      <c r="V2432" s="42"/>
      <c r="W2432" s="42"/>
    </row>
    <row r="2433">
      <c r="A2433" s="9"/>
      <c r="B2433" s="9"/>
      <c r="C2433" s="9"/>
      <c r="D2433" s="42"/>
      <c r="E2433" s="103"/>
      <c r="F2433" s="42"/>
      <c r="G2433" s="9"/>
      <c r="H2433" s="9"/>
      <c r="I2433" s="9"/>
      <c r="J2433" s="9"/>
      <c r="K2433" s="42"/>
      <c r="L2433" s="42"/>
      <c r="M2433" s="42"/>
      <c r="N2433" s="42"/>
      <c r="O2433" s="42"/>
      <c r="P2433" s="9"/>
      <c r="Q2433" s="9"/>
      <c r="R2433" s="42"/>
      <c r="S2433" s="42"/>
      <c r="T2433" s="42"/>
      <c r="U2433" s="42"/>
      <c r="V2433" s="42"/>
      <c r="W2433" s="42"/>
    </row>
    <row r="2434">
      <c r="A2434" s="9"/>
      <c r="B2434" s="9"/>
      <c r="C2434" s="9"/>
      <c r="D2434" s="42"/>
      <c r="E2434" s="103"/>
      <c r="F2434" s="42"/>
      <c r="G2434" s="9"/>
      <c r="H2434" s="9"/>
      <c r="I2434" s="9"/>
      <c r="J2434" s="9"/>
      <c r="K2434" s="42"/>
      <c r="L2434" s="42"/>
      <c r="M2434" s="42"/>
      <c r="N2434" s="42"/>
      <c r="O2434" s="42"/>
      <c r="P2434" s="9"/>
      <c r="Q2434" s="9"/>
      <c r="R2434" s="42"/>
      <c r="S2434" s="42"/>
      <c r="T2434" s="42"/>
      <c r="U2434" s="42"/>
      <c r="V2434" s="42"/>
      <c r="W2434" s="42"/>
    </row>
    <row r="2435">
      <c r="A2435" s="9"/>
      <c r="B2435" s="9"/>
      <c r="C2435" s="9"/>
      <c r="D2435" s="42"/>
      <c r="E2435" s="103"/>
      <c r="F2435" s="42"/>
      <c r="G2435" s="9"/>
      <c r="H2435" s="9"/>
      <c r="I2435" s="9"/>
      <c r="J2435" s="9"/>
      <c r="K2435" s="42"/>
      <c r="L2435" s="42"/>
      <c r="M2435" s="42"/>
      <c r="N2435" s="42"/>
      <c r="O2435" s="42"/>
      <c r="P2435" s="9"/>
      <c r="Q2435" s="9"/>
      <c r="R2435" s="42"/>
      <c r="S2435" s="42"/>
      <c r="T2435" s="42"/>
      <c r="U2435" s="42"/>
      <c r="V2435" s="42"/>
      <c r="W2435" s="42"/>
    </row>
    <row r="2436">
      <c r="A2436" s="9"/>
      <c r="B2436" s="9"/>
      <c r="C2436" s="9"/>
      <c r="D2436" s="42"/>
      <c r="E2436" s="103"/>
      <c r="F2436" s="42"/>
      <c r="G2436" s="9"/>
      <c r="H2436" s="9"/>
      <c r="I2436" s="9"/>
      <c r="J2436" s="9"/>
      <c r="K2436" s="42"/>
      <c r="L2436" s="42"/>
      <c r="M2436" s="42"/>
      <c r="N2436" s="42"/>
      <c r="O2436" s="42"/>
      <c r="P2436" s="9"/>
      <c r="Q2436" s="9"/>
      <c r="R2436" s="42"/>
      <c r="S2436" s="42"/>
      <c r="T2436" s="42"/>
      <c r="U2436" s="42"/>
      <c r="V2436" s="42"/>
      <c r="W2436" s="42"/>
    </row>
    <row r="2437">
      <c r="A2437" s="9"/>
      <c r="B2437" s="9"/>
      <c r="C2437" s="9"/>
      <c r="D2437" s="42"/>
      <c r="E2437" s="103"/>
      <c r="F2437" s="42"/>
      <c r="G2437" s="9"/>
      <c r="H2437" s="9"/>
      <c r="I2437" s="9"/>
      <c r="J2437" s="9"/>
      <c r="K2437" s="42"/>
      <c r="L2437" s="42"/>
      <c r="M2437" s="42"/>
      <c r="N2437" s="42"/>
      <c r="O2437" s="42"/>
      <c r="P2437" s="9"/>
      <c r="Q2437" s="9"/>
      <c r="R2437" s="42"/>
      <c r="S2437" s="42"/>
      <c r="T2437" s="42"/>
      <c r="U2437" s="42"/>
      <c r="V2437" s="42"/>
      <c r="W2437" s="42"/>
    </row>
    <row r="2438">
      <c r="A2438" s="9"/>
      <c r="B2438" s="9"/>
      <c r="C2438" s="9"/>
      <c r="D2438" s="42"/>
      <c r="E2438" s="103"/>
      <c r="F2438" s="42"/>
      <c r="G2438" s="9"/>
      <c r="H2438" s="9"/>
      <c r="I2438" s="9"/>
      <c r="J2438" s="9"/>
      <c r="K2438" s="42"/>
      <c r="L2438" s="42"/>
      <c r="M2438" s="42"/>
      <c r="N2438" s="42"/>
      <c r="O2438" s="42"/>
      <c r="P2438" s="9"/>
      <c r="Q2438" s="9"/>
      <c r="R2438" s="42"/>
      <c r="S2438" s="42"/>
      <c r="T2438" s="42"/>
      <c r="U2438" s="42"/>
      <c r="V2438" s="42"/>
      <c r="W2438" s="42"/>
    </row>
    <row r="2439">
      <c r="A2439" s="9"/>
      <c r="B2439" s="9"/>
      <c r="C2439" s="9"/>
      <c r="D2439" s="42"/>
      <c r="E2439" s="103"/>
      <c r="F2439" s="42"/>
      <c r="G2439" s="9"/>
      <c r="H2439" s="9"/>
      <c r="I2439" s="9"/>
      <c r="J2439" s="9"/>
      <c r="K2439" s="42"/>
      <c r="L2439" s="42"/>
      <c r="M2439" s="42"/>
      <c r="N2439" s="42"/>
      <c r="O2439" s="42"/>
      <c r="P2439" s="9"/>
      <c r="Q2439" s="9"/>
      <c r="R2439" s="42"/>
      <c r="S2439" s="42"/>
      <c r="T2439" s="42"/>
      <c r="U2439" s="42"/>
      <c r="V2439" s="42"/>
      <c r="W2439" s="42"/>
    </row>
    <row r="2440">
      <c r="A2440" s="9"/>
      <c r="B2440" s="9"/>
      <c r="C2440" s="9"/>
      <c r="D2440" s="42"/>
      <c r="E2440" s="103"/>
      <c r="F2440" s="42"/>
      <c r="G2440" s="9"/>
      <c r="H2440" s="9"/>
      <c r="I2440" s="9"/>
      <c r="J2440" s="9"/>
      <c r="K2440" s="42"/>
      <c r="L2440" s="42"/>
      <c r="M2440" s="42"/>
      <c r="N2440" s="42"/>
      <c r="O2440" s="42"/>
      <c r="P2440" s="9"/>
      <c r="Q2440" s="9"/>
      <c r="R2440" s="42"/>
      <c r="S2440" s="42"/>
      <c r="T2440" s="42"/>
      <c r="U2440" s="42"/>
      <c r="V2440" s="42"/>
      <c r="W2440" s="42"/>
    </row>
    <row r="2441">
      <c r="A2441" s="9"/>
      <c r="B2441" s="9"/>
      <c r="C2441" s="9"/>
      <c r="D2441" s="42"/>
      <c r="E2441" s="103"/>
      <c r="F2441" s="42"/>
      <c r="G2441" s="9"/>
      <c r="H2441" s="9"/>
      <c r="I2441" s="9"/>
      <c r="J2441" s="9"/>
      <c r="K2441" s="42"/>
      <c r="L2441" s="42"/>
      <c r="M2441" s="42"/>
      <c r="N2441" s="42"/>
      <c r="O2441" s="42"/>
      <c r="P2441" s="9"/>
      <c r="Q2441" s="9"/>
      <c r="R2441" s="42"/>
      <c r="S2441" s="42"/>
      <c r="T2441" s="42"/>
      <c r="U2441" s="42"/>
      <c r="V2441" s="42"/>
      <c r="W2441" s="42"/>
    </row>
    <row r="2442">
      <c r="A2442" s="9"/>
      <c r="B2442" s="9"/>
      <c r="C2442" s="9"/>
      <c r="D2442" s="42"/>
      <c r="E2442" s="103"/>
      <c r="F2442" s="42"/>
      <c r="G2442" s="9"/>
      <c r="H2442" s="9"/>
      <c r="I2442" s="9"/>
      <c r="J2442" s="9"/>
      <c r="K2442" s="42"/>
      <c r="L2442" s="42"/>
      <c r="M2442" s="42"/>
      <c r="N2442" s="42"/>
      <c r="O2442" s="42"/>
      <c r="P2442" s="9"/>
      <c r="Q2442" s="9"/>
      <c r="R2442" s="42"/>
      <c r="S2442" s="42"/>
      <c r="T2442" s="42"/>
      <c r="U2442" s="42"/>
      <c r="V2442" s="42"/>
      <c r="W2442" s="42"/>
    </row>
    <row r="2443">
      <c r="A2443" s="9"/>
      <c r="B2443" s="9"/>
      <c r="C2443" s="9"/>
      <c r="D2443" s="42"/>
      <c r="E2443" s="103"/>
      <c r="F2443" s="42"/>
      <c r="G2443" s="9"/>
      <c r="H2443" s="9"/>
      <c r="I2443" s="9"/>
      <c r="J2443" s="9"/>
      <c r="K2443" s="42"/>
      <c r="L2443" s="42"/>
      <c r="M2443" s="42"/>
      <c r="N2443" s="42"/>
      <c r="O2443" s="42"/>
      <c r="P2443" s="9"/>
      <c r="Q2443" s="9"/>
      <c r="R2443" s="42"/>
      <c r="S2443" s="42"/>
      <c r="T2443" s="42"/>
      <c r="U2443" s="42"/>
      <c r="V2443" s="42"/>
      <c r="W2443" s="42"/>
    </row>
    <row r="2444">
      <c r="A2444" s="9"/>
      <c r="B2444" s="9"/>
      <c r="C2444" s="9"/>
      <c r="D2444" s="42"/>
      <c r="E2444" s="103"/>
      <c r="F2444" s="42"/>
      <c r="G2444" s="9"/>
      <c r="H2444" s="9"/>
      <c r="I2444" s="9"/>
      <c r="J2444" s="9"/>
      <c r="K2444" s="42"/>
      <c r="L2444" s="42"/>
      <c r="M2444" s="42"/>
      <c r="N2444" s="42"/>
      <c r="O2444" s="42"/>
      <c r="P2444" s="9"/>
      <c r="Q2444" s="9"/>
      <c r="R2444" s="42"/>
      <c r="S2444" s="42"/>
      <c r="T2444" s="42"/>
      <c r="U2444" s="42"/>
      <c r="V2444" s="42"/>
      <c r="W2444" s="42"/>
    </row>
    <row r="2445">
      <c r="A2445" s="9"/>
      <c r="B2445" s="9"/>
      <c r="C2445" s="9"/>
      <c r="D2445" s="42"/>
      <c r="E2445" s="103"/>
      <c r="F2445" s="42"/>
      <c r="G2445" s="9"/>
      <c r="H2445" s="9"/>
      <c r="I2445" s="9"/>
      <c r="J2445" s="9"/>
      <c r="K2445" s="42"/>
      <c r="L2445" s="42"/>
      <c r="M2445" s="42"/>
      <c r="N2445" s="42"/>
      <c r="O2445" s="42"/>
      <c r="P2445" s="9"/>
      <c r="Q2445" s="9"/>
      <c r="R2445" s="42"/>
      <c r="S2445" s="42"/>
      <c r="T2445" s="42"/>
      <c r="U2445" s="42"/>
      <c r="V2445" s="42"/>
      <c r="W2445" s="42"/>
    </row>
    <row r="2446">
      <c r="A2446" s="9"/>
      <c r="B2446" s="9"/>
      <c r="C2446" s="9"/>
      <c r="D2446" s="42"/>
      <c r="E2446" s="103"/>
      <c r="F2446" s="42"/>
      <c r="G2446" s="9"/>
      <c r="H2446" s="9"/>
      <c r="I2446" s="9"/>
      <c r="J2446" s="9"/>
      <c r="K2446" s="42"/>
      <c r="L2446" s="42"/>
      <c r="M2446" s="42"/>
      <c r="N2446" s="42"/>
      <c r="O2446" s="42"/>
      <c r="P2446" s="9"/>
      <c r="Q2446" s="9"/>
      <c r="R2446" s="42"/>
      <c r="S2446" s="42"/>
      <c r="T2446" s="42"/>
      <c r="U2446" s="42"/>
      <c r="V2446" s="42"/>
      <c r="W2446" s="42"/>
    </row>
    <row r="2447">
      <c r="A2447" s="9"/>
      <c r="B2447" s="9"/>
      <c r="C2447" s="9"/>
      <c r="D2447" s="42"/>
      <c r="E2447" s="103"/>
      <c r="F2447" s="42"/>
      <c r="G2447" s="9"/>
      <c r="H2447" s="9"/>
      <c r="I2447" s="9"/>
      <c r="J2447" s="9"/>
      <c r="K2447" s="42"/>
      <c r="L2447" s="42"/>
      <c r="M2447" s="42"/>
      <c r="N2447" s="42"/>
      <c r="O2447" s="42"/>
      <c r="P2447" s="9"/>
      <c r="Q2447" s="9"/>
      <c r="R2447" s="42"/>
      <c r="S2447" s="42"/>
      <c r="T2447" s="42"/>
      <c r="U2447" s="42"/>
      <c r="V2447" s="42"/>
      <c r="W2447" s="42"/>
    </row>
    <row r="2448">
      <c r="A2448" s="9"/>
      <c r="B2448" s="9"/>
      <c r="C2448" s="9"/>
      <c r="D2448" s="42"/>
      <c r="E2448" s="103"/>
      <c r="F2448" s="42"/>
      <c r="G2448" s="9"/>
      <c r="H2448" s="9"/>
      <c r="I2448" s="9"/>
      <c r="J2448" s="9"/>
      <c r="K2448" s="42"/>
      <c r="L2448" s="42"/>
      <c r="M2448" s="42"/>
      <c r="N2448" s="42"/>
      <c r="O2448" s="42"/>
      <c r="P2448" s="9"/>
      <c r="Q2448" s="9"/>
      <c r="R2448" s="42"/>
      <c r="S2448" s="42"/>
      <c r="T2448" s="42"/>
      <c r="U2448" s="42"/>
      <c r="V2448" s="42"/>
      <c r="W2448" s="42"/>
    </row>
    <row r="2449">
      <c r="A2449" s="9"/>
      <c r="B2449" s="9"/>
      <c r="C2449" s="9"/>
      <c r="D2449" s="42"/>
      <c r="E2449" s="103"/>
      <c r="F2449" s="42"/>
      <c r="G2449" s="9"/>
      <c r="H2449" s="9"/>
      <c r="I2449" s="9"/>
      <c r="J2449" s="9"/>
      <c r="K2449" s="42"/>
      <c r="L2449" s="42"/>
      <c r="M2449" s="42"/>
      <c r="N2449" s="42"/>
      <c r="O2449" s="42"/>
      <c r="P2449" s="9"/>
      <c r="Q2449" s="9"/>
      <c r="R2449" s="42"/>
      <c r="S2449" s="42"/>
      <c r="T2449" s="42"/>
      <c r="U2449" s="42"/>
      <c r="V2449" s="42"/>
      <c r="W2449" s="42"/>
    </row>
    <row r="2450">
      <c r="A2450" s="9"/>
      <c r="B2450" s="9"/>
      <c r="C2450" s="9"/>
      <c r="D2450" s="42"/>
      <c r="E2450" s="103"/>
      <c r="F2450" s="42"/>
      <c r="G2450" s="9"/>
      <c r="H2450" s="9"/>
      <c r="I2450" s="9"/>
      <c r="J2450" s="9"/>
      <c r="K2450" s="42"/>
      <c r="L2450" s="42"/>
      <c r="M2450" s="42"/>
      <c r="N2450" s="42"/>
      <c r="O2450" s="42"/>
      <c r="P2450" s="9"/>
      <c r="Q2450" s="9"/>
      <c r="R2450" s="42"/>
      <c r="S2450" s="42"/>
      <c r="T2450" s="42"/>
      <c r="U2450" s="42"/>
      <c r="V2450" s="42"/>
      <c r="W2450" s="42"/>
    </row>
    <row r="2451">
      <c r="A2451" s="9"/>
      <c r="B2451" s="9"/>
      <c r="C2451" s="9"/>
      <c r="D2451" s="42"/>
      <c r="E2451" s="103"/>
      <c r="F2451" s="42"/>
      <c r="G2451" s="9"/>
      <c r="H2451" s="9"/>
      <c r="I2451" s="9"/>
      <c r="J2451" s="9"/>
      <c r="K2451" s="42"/>
      <c r="L2451" s="42"/>
      <c r="M2451" s="42"/>
      <c r="N2451" s="42"/>
      <c r="O2451" s="42"/>
      <c r="P2451" s="9"/>
      <c r="Q2451" s="9"/>
      <c r="R2451" s="42"/>
      <c r="S2451" s="42"/>
      <c r="T2451" s="42"/>
      <c r="U2451" s="42"/>
      <c r="V2451" s="42"/>
      <c r="W2451" s="42"/>
    </row>
    <row r="2452">
      <c r="A2452" s="9"/>
      <c r="B2452" s="9"/>
      <c r="C2452" s="9"/>
      <c r="D2452" s="42"/>
      <c r="E2452" s="103"/>
      <c r="F2452" s="42"/>
      <c r="G2452" s="9"/>
      <c r="H2452" s="9"/>
      <c r="I2452" s="9"/>
      <c r="J2452" s="9"/>
      <c r="K2452" s="42"/>
      <c r="L2452" s="42"/>
      <c r="M2452" s="42"/>
      <c r="N2452" s="42"/>
      <c r="O2452" s="42"/>
      <c r="P2452" s="9"/>
      <c r="Q2452" s="9"/>
      <c r="R2452" s="42"/>
      <c r="S2452" s="42"/>
      <c r="T2452" s="42"/>
      <c r="U2452" s="42"/>
      <c r="V2452" s="42"/>
      <c r="W2452" s="42"/>
    </row>
    <row r="2453">
      <c r="A2453" s="9"/>
      <c r="B2453" s="9"/>
      <c r="C2453" s="9"/>
      <c r="D2453" s="42"/>
      <c r="E2453" s="103"/>
      <c r="F2453" s="42"/>
      <c r="G2453" s="9"/>
      <c r="H2453" s="9"/>
      <c r="I2453" s="9"/>
      <c r="J2453" s="9"/>
      <c r="K2453" s="42"/>
      <c r="L2453" s="42"/>
      <c r="M2453" s="42"/>
      <c r="N2453" s="42"/>
      <c r="O2453" s="42"/>
      <c r="P2453" s="9"/>
      <c r="Q2453" s="9"/>
      <c r="R2453" s="42"/>
      <c r="S2453" s="42"/>
      <c r="T2453" s="42"/>
      <c r="U2453" s="42"/>
      <c r="V2453" s="42"/>
      <c r="W2453" s="42"/>
    </row>
    <row r="2454">
      <c r="A2454" s="9"/>
      <c r="B2454" s="9"/>
      <c r="C2454" s="9"/>
      <c r="D2454" s="42"/>
      <c r="E2454" s="103"/>
      <c r="F2454" s="42"/>
      <c r="G2454" s="9"/>
      <c r="H2454" s="9"/>
      <c r="I2454" s="9"/>
      <c r="J2454" s="9"/>
      <c r="K2454" s="42"/>
      <c r="L2454" s="42"/>
      <c r="M2454" s="42"/>
      <c r="N2454" s="42"/>
      <c r="O2454" s="42"/>
      <c r="P2454" s="9"/>
      <c r="Q2454" s="9"/>
      <c r="R2454" s="42"/>
      <c r="S2454" s="42"/>
      <c r="T2454" s="42"/>
      <c r="U2454" s="42"/>
      <c r="V2454" s="42"/>
      <c r="W2454" s="42"/>
    </row>
    <row r="2455">
      <c r="A2455" s="9"/>
      <c r="B2455" s="9"/>
      <c r="C2455" s="9"/>
      <c r="D2455" s="42"/>
      <c r="E2455" s="103"/>
      <c r="F2455" s="42"/>
      <c r="G2455" s="9"/>
      <c r="H2455" s="9"/>
      <c r="I2455" s="9"/>
      <c r="J2455" s="9"/>
      <c r="K2455" s="42"/>
      <c r="L2455" s="42"/>
      <c r="M2455" s="42"/>
      <c r="N2455" s="42"/>
      <c r="O2455" s="42"/>
      <c r="P2455" s="9"/>
      <c r="Q2455" s="9"/>
      <c r="R2455" s="42"/>
      <c r="S2455" s="42"/>
      <c r="T2455" s="42"/>
      <c r="U2455" s="42"/>
      <c r="V2455" s="42"/>
      <c r="W2455" s="42"/>
    </row>
    <row r="2456">
      <c r="A2456" s="9"/>
      <c r="B2456" s="9"/>
      <c r="C2456" s="9"/>
      <c r="D2456" s="42"/>
      <c r="E2456" s="103"/>
      <c r="F2456" s="42"/>
      <c r="G2456" s="9"/>
      <c r="H2456" s="9"/>
      <c r="I2456" s="9"/>
      <c r="J2456" s="9"/>
      <c r="K2456" s="42"/>
      <c r="L2456" s="42"/>
      <c r="M2456" s="42"/>
      <c r="N2456" s="42"/>
      <c r="O2456" s="42"/>
      <c r="P2456" s="9"/>
      <c r="Q2456" s="9"/>
      <c r="R2456" s="42"/>
      <c r="S2456" s="42"/>
      <c r="T2456" s="42"/>
      <c r="U2456" s="42"/>
      <c r="V2456" s="42"/>
      <c r="W2456" s="42"/>
    </row>
    <row r="2457">
      <c r="A2457" s="9"/>
      <c r="B2457" s="9"/>
      <c r="C2457" s="9"/>
      <c r="D2457" s="42"/>
      <c r="E2457" s="103"/>
      <c r="F2457" s="42"/>
      <c r="G2457" s="9"/>
      <c r="H2457" s="9"/>
      <c r="I2457" s="9"/>
      <c r="J2457" s="9"/>
      <c r="K2457" s="42"/>
      <c r="L2457" s="42"/>
      <c r="M2457" s="42"/>
      <c r="N2457" s="42"/>
      <c r="O2457" s="42"/>
      <c r="P2457" s="9"/>
      <c r="Q2457" s="9"/>
      <c r="R2457" s="42"/>
      <c r="S2457" s="42"/>
      <c r="T2457" s="42"/>
      <c r="U2457" s="42"/>
      <c r="V2457" s="42"/>
      <c r="W2457" s="42"/>
    </row>
    <row r="2458">
      <c r="A2458" s="9"/>
      <c r="B2458" s="9"/>
      <c r="C2458" s="9"/>
      <c r="D2458" s="42"/>
      <c r="E2458" s="103"/>
      <c r="F2458" s="42"/>
      <c r="G2458" s="9"/>
      <c r="H2458" s="9"/>
      <c r="I2458" s="9"/>
      <c r="J2458" s="9"/>
      <c r="K2458" s="42"/>
      <c r="L2458" s="42"/>
      <c r="M2458" s="42"/>
      <c r="N2458" s="42"/>
      <c r="O2458" s="42"/>
      <c r="P2458" s="9"/>
      <c r="Q2458" s="9"/>
      <c r="R2458" s="42"/>
      <c r="S2458" s="42"/>
      <c r="T2458" s="42"/>
      <c r="U2458" s="42"/>
      <c r="V2458" s="42"/>
      <c r="W2458" s="42"/>
    </row>
    <row r="2459">
      <c r="A2459" s="9"/>
      <c r="B2459" s="9"/>
      <c r="C2459" s="9"/>
      <c r="D2459" s="42"/>
      <c r="E2459" s="103"/>
      <c r="F2459" s="42"/>
      <c r="G2459" s="9"/>
      <c r="H2459" s="9"/>
      <c r="I2459" s="9"/>
      <c r="J2459" s="9"/>
      <c r="K2459" s="42"/>
      <c r="L2459" s="42"/>
      <c r="M2459" s="42"/>
      <c r="N2459" s="42"/>
      <c r="O2459" s="42"/>
      <c r="P2459" s="9"/>
      <c r="Q2459" s="9"/>
      <c r="R2459" s="42"/>
      <c r="S2459" s="42"/>
      <c r="T2459" s="42"/>
      <c r="U2459" s="42"/>
      <c r="V2459" s="42"/>
      <c r="W2459" s="42"/>
    </row>
    <row r="2460">
      <c r="A2460" s="9"/>
      <c r="B2460" s="9"/>
      <c r="C2460" s="9"/>
      <c r="D2460" s="42"/>
      <c r="E2460" s="103"/>
      <c r="F2460" s="42"/>
      <c r="G2460" s="9"/>
      <c r="H2460" s="9"/>
      <c r="I2460" s="9"/>
      <c r="J2460" s="9"/>
      <c r="K2460" s="42"/>
      <c r="L2460" s="42"/>
      <c r="M2460" s="42"/>
      <c r="N2460" s="42"/>
      <c r="O2460" s="42"/>
      <c r="P2460" s="9"/>
      <c r="Q2460" s="9"/>
      <c r="R2460" s="42"/>
      <c r="S2460" s="42"/>
      <c r="T2460" s="42"/>
      <c r="U2460" s="42"/>
      <c r="V2460" s="42"/>
      <c r="W2460" s="42"/>
    </row>
    <row r="2461">
      <c r="A2461" s="9"/>
      <c r="B2461" s="9"/>
      <c r="C2461" s="9"/>
      <c r="D2461" s="42"/>
      <c r="E2461" s="103"/>
      <c r="F2461" s="42"/>
      <c r="G2461" s="9"/>
      <c r="H2461" s="9"/>
      <c r="I2461" s="9"/>
      <c r="J2461" s="9"/>
      <c r="K2461" s="42"/>
      <c r="L2461" s="42"/>
      <c r="M2461" s="42"/>
      <c r="N2461" s="42"/>
      <c r="O2461" s="42"/>
      <c r="P2461" s="9"/>
      <c r="Q2461" s="9"/>
      <c r="R2461" s="42"/>
      <c r="S2461" s="42"/>
      <c r="T2461" s="42"/>
      <c r="U2461" s="42"/>
      <c r="V2461" s="42"/>
      <c r="W2461" s="42"/>
    </row>
    <row r="2462">
      <c r="A2462" s="9"/>
      <c r="B2462" s="9"/>
      <c r="C2462" s="9"/>
      <c r="D2462" s="42"/>
      <c r="E2462" s="103"/>
      <c r="F2462" s="42"/>
      <c r="G2462" s="9"/>
      <c r="H2462" s="9"/>
      <c r="I2462" s="9"/>
      <c r="J2462" s="9"/>
      <c r="K2462" s="42"/>
      <c r="L2462" s="42"/>
      <c r="M2462" s="42"/>
      <c r="N2462" s="42"/>
      <c r="O2462" s="42"/>
      <c r="P2462" s="9"/>
      <c r="Q2462" s="9"/>
      <c r="R2462" s="42"/>
      <c r="S2462" s="42"/>
      <c r="T2462" s="42"/>
      <c r="U2462" s="42"/>
      <c r="V2462" s="42"/>
      <c r="W2462" s="42"/>
    </row>
    <row r="2463">
      <c r="A2463" s="9"/>
      <c r="B2463" s="9"/>
      <c r="C2463" s="9"/>
      <c r="D2463" s="42"/>
      <c r="E2463" s="103"/>
      <c r="F2463" s="42"/>
      <c r="G2463" s="9"/>
      <c r="H2463" s="9"/>
      <c r="I2463" s="9"/>
      <c r="J2463" s="9"/>
      <c r="K2463" s="42"/>
      <c r="L2463" s="42"/>
      <c r="M2463" s="42"/>
      <c r="N2463" s="42"/>
      <c r="O2463" s="42"/>
      <c r="P2463" s="9"/>
      <c r="Q2463" s="9"/>
      <c r="R2463" s="42"/>
      <c r="S2463" s="42"/>
      <c r="T2463" s="42"/>
      <c r="U2463" s="42"/>
      <c r="V2463" s="42"/>
      <c r="W2463" s="42"/>
    </row>
    <row r="2464">
      <c r="A2464" s="9"/>
      <c r="B2464" s="9"/>
      <c r="C2464" s="9"/>
      <c r="D2464" s="42"/>
      <c r="E2464" s="103"/>
      <c r="F2464" s="42"/>
      <c r="G2464" s="9"/>
      <c r="H2464" s="9"/>
      <c r="I2464" s="9"/>
      <c r="J2464" s="9"/>
      <c r="K2464" s="42"/>
      <c r="L2464" s="42"/>
      <c r="M2464" s="42"/>
      <c r="N2464" s="42"/>
      <c r="O2464" s="42"/>
      <c r="P2464" s="9"/>
      <c r="Q2464" s="9"/>
      <c r="R2464" s="42"/>
      <c r="S2464" s="42"/>
      <c r="T2464" s="42"/>
      <c r="U2464" s="42"/>
      <c r="V2464" s="42"/>
      <c r="W2464" s="42"/>
    </row>
    <row r="2465">
      <c r="A2465" s="9"/>
      <c r="B2465" s="9"/>
      <c r="C2465" s="9"/>
      <c r="D2465" s="42"/>
      <c r="E2465" s="103"/>
      <c r="F2465" s="42"/>
      <c r="G2465" s="9"/>
      <c r="H2465" s="9"/>
      <c r="I2465" s="9"/>
      <c r="J2465" s="9"/>
      <c r="K2465" s="42"/>
      <c r="L2465" s="42"/>
      <c r="M2465" s="42"/>
      <c r="N2465" s="42"/>
      <c r="O2465" s="42"/>
      <c r="P2465" s="9"/>
      <c r="Q2465" s="9"/>
      <c r="R2465" s="42"/>
      <c r="S2465" s="42"/>
      <c r="T2465" s="42"/>
      <c r="U2465" s="42"/>
      <c r="V2465" s="42"/>
      <c r="W2465" s="42"/>
    </row>
    <row r="2466">
      <c r="A2466" s="9"/>
      <c r="B2466" s="9"/>
      <c r="C2466" s="9"/>
      <c r="D2466" s="42"/>
      <c r="E2466" s="103"/>
      <c r="F2466" s="42"/>
      <c r="G2466" s="9"/>
      <c r="H2466" s="9"/>
      <c r="I2466" s="9"/>
      <c r="J2466" s="9"/>
      <c r="K2466" s="42"/>
      <c r="L2466" s="42"/>
      <c r="M2466" s="42"/>
      <c r="N2466" s="42"/>
      <c r="O2466" s="42"/>
      <c r="P2466" s="9"/>
      <c r="Q2466" s="9"/>
      <c r="R2466" s="42"/>
      <c r="S2466" s="42"/>
      <c r="T2466" s="42"/>
      <c r="U2466" s="42"/>
      <c r="V2466" s="42"/>
      <c r="W2466" s="42"/>
    </row>
    <row r="2467">
      <c r="A2467" s="9"/>
      <c r="B2467" s="9"/>
      <c r="C2467" s="9"/>
      <c r="D2467" s="42"/>
      <c r="E2467" s="103"/>
      <c r="F2467" s="42"/>
      <c r="G2467" s="9"/>
      <c r="H2467" s="9"/>
      <c r="I2467" s="9"/>
      <c r="J2467" s="9"/>
      <c r="K2467" s="42"/>
      <c r="L2467" s="42"/>
      <c r="M2467" s="42"/>
      <c r="N2467" s="42"/>
      <c r="O2467" s="42"/>
      <c r="P2467" s="9"/>
      <c r="Q2467" s="9"/>
      <c r="R2467" s="42"/>
      <c r="S2467" s="42"/>
      <c r="T2467" s="42"/>
      <c r="U2467" s="42"/>
      <c r="V2467" s="42"/>
      <c r="W2467" s="42"/>
    </row>
    <row r="2468">
      <c r="A2468" s="9"/>
      <c r="B2468" s="9"/>
      <c r="C2468" s="9"/>
      <c r="D2468" s="42"/>
      <c r="E2468" s="103"/>
      <c r="F2468" s="42"/>
      <c r="G2468" s="9"/>
      <c r="H2468" s="9"/>
      <c r="I2468" s="9"/>
      <c r="J2468" s="9"/>
      <c r="K2468" s="42"/>
      <c r="L2468" s="42"/>
      <c r="M2468" s="42"/>
      <c r="N2468" s="42"/>
      <c r="O2468" s="42"/>
      <c r="P2468" s="9"/>
      <c r="Q2468" s="9"/>
      <c r="R2468" s="42"/>
      <c r="S2468" s="42"/>
      <c r="T2468" s="42"/>
      <c r="U2468" s="42"/>
      <c r="V2468" s="42"/>
      <c r="W2468" s="42"/>
    </row>
    <row r="2469">
      <c r="A2469" s="9"/>
      <c r="B2469" s="9"/>
      <c r="C2469" s="9"/>
      <c r="D2469" s="42"/>
      <c r="E2469" s="103"/>
      <c r="F2469" s="42"/>
      <c r="G2469" s="9"/>
      <c r="H2469" s="9"/>
      <c r="I2469" s="9"/>
      <c r="J2469" s="9"/>
      <c r="K2469" s="42"/>
      <c r="L2469" s="42"/>
      <c r="M2469" s="42"/>
      <c r="N2469" s="42"/>
      <c r="O2469" s="42"/>
      <c r="P2469" s="9"/>
      <c r="Q2469" s="9"/>
      <c r="R2469" s="42"/>
      <c r="S2469" s="42"/>
      <c r="T2469" s="42"/>
      <c r="U2469" s="42"/>
      <c r="V2469" s="42"/>
      <c r="W2469" s="42"/>
    </row>
    <row r="2470">
      <c r="A2470" s="9"/>
      <c r="B2470" s="9"/>
      <c r="C2470" s="9"/>
      <c r="D2470" s="42"/>
      <c r="E2470" s="103"/>
      <c r="F2470" s="42"/>
      <c r="G2470" s="9"/>
      <c r="H2470" s="9"/>
      <c r="I2470" s="9"/>
      <c r="J2470" s="9"/>
      <c r="K2470" s="42"/>
      <c r="L2470" s="42"/>
      <c r="M2470" s="42"/>
      <c r="N2470" s="42"/>
      <c r="O2470" s="42"/>
      <c r="P2470" s="9"/>
      <c r="Q2470" s="9"/>
      <c r="R2470" s="42"/>
      <c r="S2470" s="42"/>
      <c r="T2470" s="42"/>
      <c r="U2470" s="42"/>
      <c r="V2470" s="42"/>
      <c r="W2470" s="42"/>
    </row>
    <row r="2471">
      <c r="A2471" s="9"/>
      <c r="B2471" s="9"/>
      <c r="C2471" s="9"/>
      <c r="D2471" s="42"/>
      <c r="E2471" s="103"/>
      <c r="F2471" s="42"/>
      <c r="G2471" s="9"/>
      <c r="H2471" s="9"/>
      <c r="I2471" s="9"/>
      <c r="J2471" s="9"/>
      <c r="K2471" s="42"/>
      <c r="L2471" s="42"/>
      <c r="M2471" s="42"/>
      <c r="N2471" s="42"/>
      <c r="O2471" s="42"/>
      <c r="P2471" s="9"/>
      <c r="Q2471" s="9"/>
      <c r="R2471" s="42"/>
      <c r="S2471" s="42"/>
      <c r="T2471" s="42"/>
      <c r="U2471" s="42"/>
      <c r="V2471" s="42"/>
      <c r="W2471" s="42"/>
    </row>
    <row r="2472">
      <c r="A2472" s="9"/>
      <c r="B2472" s="9"/>
      <c r="C2472" s="9"/>
      <c r="D2472" s="42"/>
      <c r="E2472" s="103"/>
      <c r="F2472" s="42"/>
      <c r="G2472" s="9"/>
      <c r="H2472" s="9"/>
      <c r="I2472" s="9"/>
      <c r="J2472" s="9"/>
      <c r="K2472" s="42"/>
      <c r="L2472" s="42"/>
      <c r="M2472" s="42"/>
      <c r="N2472" s="42"/>
      <c r="O2472" s="42"/>
      <c r="P2472" s="9"/>
      <c r="Q2472" s="9"/>
      <c r="R2472" s="42"/>
      <c r="S2472" s="42"/>
      <c r="T2472" s="42"/>
      <c r="U2472" s="42"/>
      <c r="V2472" s="42"/>
      <c r="W2472" s="42"/>
    </row>
    <row r="2473">
      <c r="A2473" s="9"/>
      <c r="B2473" s="9"/>
      <c r="C2473" s="9"/>
      <c r="D2473" s="42"/>
      <c r="E2473" s="103"/>
      <c r="F2473" s="42"/>
      <c r="G2473" s="9"/>
      <c r="H2473" s="9"/>
      <c r="I2473" s="9"/>
      <c r="J2473" s="9"/>
      <c r="K2473" s="42"/>
      <c r="L2473" s="42"/>
      <c r="M2473" s="42"/>
      <c r="N2473" s="42"/>
      <c r="O2473" s="42"/>
      <c r="P2473" s="9"/>
      <c r="Q2473" s="9"/>
      <c r="R2473" s="42"/>
      <c r="S2473" s="42"/>
      <c r="T2473" s="42"/>
      <c r="U2473" s="42"/>
      <c r="V2473" s="42"/>
      <c r="W2473" s="42"/>
    </row>
    <row r="2474">
      <c r="A2474" s="9"/>
      <c r="B2474" s="9"/>
      <c r="C2474" s="9"/>
      <c r="D2474" s="42"/>
      <c r="E2474" s="103"/>
      <c r="F2474" s="42"/>
      <c r="G2474" s="9"/>
      <c r="H2474" s="9"/>
      <c r="I2474" s="9"/>
      <c r="J2474" s="9"/>
      <c r="K2474" s="42"/>
      <c r="L2474" s="42"/>
      <c r="M2474" s="42"/>
      <c r="N2474" s="42"/>
      <c r="O2474" s="42"/>
      <c r="P2474" s="9"/>
      <c r="Q2474" s="9"/>
      <c r="R2474" s="42"/>
      <c r="S2474" s="42"/>
      <c r="T2474" s="42"/>
      <c r="U2474" s="42"/>
      <c r="V2474" s="42"/>
      <c r="W2474" s="42"/>
    </row>
    <row r="2475">
      <c r="A2475" s="9"/>
      <c r="B2475" s="9"/>
      <c r="C2475" s="9"/>
      <c r="D2475" s="42"/>
      <c r="E2475" s="103"/>
      <c r="F2475" s="42"/>
      <c r="G2475" s="9"/>
      <c r="H2475" s="9"/>
      <c r="I2475" s="9"/>
      <c r="J2475" s="9"/>
      <c r="K2475" s="42"/>
      <c r="L2475" s="42"/>
      <c r="M2475" s="42"/>
      <c r="N2475" s="42"/>
      <c r="O2475" s="42"/>
      <c r="P2475" s="9"/>
      <c r="Q2475" s="9"/>
      <c r="R2475" s="42"/>
      <c r="S2475" s="42"/>
      <c r="T2475" s="42"/>
      <c r="U2475" s="42"/>
      <c r="V2475" s="42"/>
      <c r="W2475" s="42"/>
    </row>
    <row r="2476">
      <c r="A2476" s="9"/>
      <c r="B2476" s="9"/>
      <c r="C2476" s="9"/>
      <c r="D2476" s="42"/>
      <c r="E2476" s="103"/>
      <c r="F2476" s="42"/>
      <c r="G2476" s="9"/>
      <c r="H2476" s="9"/>
      <c r="I2476" s="9"/>
      <c r="J2476" s="9"/>
      <c r="K2476" s="42"/>
      <c r="L2476" s="42"/>
      <c r="M2476" s="42"/>
      <c r="N2476" s="42"/>
      <c r="O2476" s="42"/>
      <c r="P2476" s="9"/>
      <c r="Q2476" s="9"/>
      <c r="R2476" s="42"/>
      <c r="S2476" s="42"/>
      <c r="T2476" s="42"/>
      <c r="U2476" s="42"/>
      <c r="V2476" s="42"/>
      <c r="W2476" s="42"/>
    </row>
    <row r="2477">
      <c r="A2477" s="9"/>
      <c r="B2477" s="9"/>
      <c r="C2477" s="9"/>
      <c r="D2477" s="42"/>
      <c r="E2477" s="103"/>
      <c r="F2477" s="42"/>
      <c r="G2477" s="9"/>
      <c r="H2477" s="9"/>
      <c r="I2477" s="9"/>
      <c r="J2477" s="9"/>
      <c r="K2477" s="42"/>
      <c r="L2477" s="42"/>
      <c r="M2477" s="42"/>
      <c r="N2477" s="42"/>
      <c r="O2477" s="42"/>
      <c r="P2477" s="9"/>
      <c r="Q2477" s="9"/>
      <c r="R2477" s="42"/>
      <c r="S2477" s="42"/>
      <c r="T2477" s="42"/>
      <c r="U2477" s="42"/>
      <c r="V2477" s="42"/>
      <c r="W2477" s="42"/>
    </row>
    <row r="2478">
      <c r="A2478" s="9"/>
      <c r="B2478" s="9"/>
      <c r="C2478" s="9"/>
      <c r="D2478" s="42"/>
      <c r="E2478" s="103"/>
      <c r="F2478" s="42"/>
      <c r="G2478" s="9"/>
      <c r="H2478" s="9"/>
      <c r="I2478" s="9"/>
      <c r="J2478" s="9"/>
      <c r="K2478" s="42"/>
      <c r="L2478" s="42"/>
      <c r="M2478" s="42"/>
      <c r="N2478" s="42"/>
      <c r="O2478" s="42"/>
      <c r="P2478" s="9"/>
      <c r="Q2478" s="9"/>
      <c r="R2478" s="42"/>
      <c r="S2478" s="42"/>
      <c r="T2478" s="42"/>
      <c r="U2478" s="42"/>
      <c r="V2478" s="42"/>
      <c r="W2478" s="42"/>
    </row>
    <row r="2479">
      <c r="A2479" s="9"/>
      <c r="B2479" s="9"/>
      <c r="C2479" s="9"/>
      <c r="D2479" s="42"/>
      <c r="E2479" s="103"/>
      <c r="F2479" s="42"/>
      <c r="G2479" s="9"/>
      <c r="H2479" s="9"/>
      <c r="I2479" s="9"/>
      <c r="J2479" s="9"/>
      <c r="K2479" s="42"/>
      <c r="L2479" s="42"/>
      <c r="M2479" s="42"/>
      <c r="N2479" s="42"/>
      <c r="O2479" s="42"/>
      <c r="P2479" s="9"/>
      <c r="Q2479" s="9"/>
      <c r="R2479" s="42"/>
      <c r="S2479" s="42"/>
      <c r="T2479" s="42"/>
      <c r="U2479" s="42"/>
      <c r="V2479" s="42"/>
      <c r="W2479" s="42"/>
    </row>
    <row r="2480">
      <c r="A2480" s="9"/>
      <c r="B2480" s="9"/>
      <c r="C2480" s="9"/>
      <c r="D2480" s="42"/>
      <c r="E2480" s="103"/>
      <c r="F2480" s="42"/>
      <c r="G2480" s="9"/>
      <c r="H2480" s="9"/>
      <c r="I2480" s="9"/>
      <c r="J2480" s="9"/>
      <c r="K2480" s="42"/>
      <c r="L2480" s="42"/>
      <c r="M2480" s="42"/>
      <c r="N2480" s="42"/>
      <c r="O2480" s="42"/>
      <c r="P2480" s="9"/>
      <c r="Q2480" s="9"/>
      <c r="R2480" s="42"/>
      <c r="S2480" s="42"/>
      <c r="T2480" s="42"/>
      <c r="U2480" s="42"/>
      <c r="V2480" s="42"/>
      <c r="W2480" s="42"/>
    </row>
    <row r="2481">
      <c r="A2481" s="9"/>
      <c r="B2481" s="9"/>
      <c r="C2481" s="9"/>
      <c r="D2481" s="42"/>
      <c r="E2481" s="103"/>
      <c r="F2481" s="42"/>
      <c r="G2481" s="9"/>
      <c r="H2481" s="9"/>
      <c r="I2481" s="9"/>
      <c r="J2481" s="9"/>
      <c r="K2481" s="42"/>
      <c r="L2481" s="42"/>
      <c r="M2481" s="42"/>
      <c r="N2481" s="42"/>
      <c r="O2481" s="42"/>
      <c r="P2481" s="9"/>
      <c r="Q2481" s="9"/>
      <c r="R2481" s="42"/>
      <c r="S2481" s="42"/>
      <c r="T2481" s="42"/>
      <c r="U2481" s="42"/>
      <c r="V2481" s="42"/>
      <c r="W2481" s="42"/>
    </row>
    <row r="2482">
      <c r="A2482" s="9"/>
      <c r="B2482" s="9"/>
      <c r="C2482" s="9"/>
      <c r="D2482" s="42"/>
      <c r="E2482" s="103"/>
      <c r="F2482" s="42"/>
      <c r="G2482" s="9"/>
      <c r="H2482" s="9"/>
      <c r="I2482" s="9"/>
      <c r="J2482" s="9"/>
      <c r="K2482" s="42"/>
      <c r="L2482" s="42"/>
      <c r="M2482" s="42"/>
      <c r="N2482" s="42"/>
      <c r="O2482" s="42"/>
      <c r="P2482" s="9"/>
      <c r="Q2482" s="9"/>
      <c r="R2482" s="42"/>
      <c r="S2482" s="42"/>
      <c r="T2482" s="42"/>
      <c r="U2482" s="42"/>
      <c r="V2482" s="42"/>
      <c r="W2482" s="42"/>
    </row>
    <row r="2483">
      <c r="A2483" s="9"/>
      <c r="B2483" s="9"/>
      <c r="C2483" s="9"/>
      <c r="D2483" s="42"/>
      <c r="E2483" s="103"/>
      <c r="F2483" s="42"/>
      <c r="G2483" s="9"/>
      <c r="H2483" s="9"/>
      <c r="I2483" s="9"/>
      <c r="J2483" s="9"/>
      <c r="K2483" s="42"/>
      <c r="L2483" s="42"/>
      <c r="M2483" s="42"/>
      <c r="N2483" s="42"/>
      <c r="O2483" s="42"/>
      <c r="P2483" s="9"/>
      <c r="Q2483" s="9"/>
      <c r="R2483" s="42"/>
      <c r="S2483" s="42"/>
      <c r="T2483" s="42"/>
      <c r="U2483" s="42"/>
      <c r="V2483" s="42"/>
      <c r="W2483" s="42"/>
    </row>
    <row r="2484">
      <c r="A2484" s="9"/>
      <c r="B2484" s="9"/>
      <c r="C2484" s="9"/>
      <c r="D2484" s="42"/>
      <c r="E2484" s="103"/>
      <c r="F2484" s="42"/>
      <c r="G2484" s="9"/>
      <c r="H2484" s="9"/>
      <c r="I2484" s="9"/>
      <c r="J2484" s="9"/>
      <c r="K2484" s="42"/>
      <c r="L2484" s="42"/>
      <c r="M2484" s="42"/>
      <c r="N2484" s="42"/>
      <c r="O2484" s="42"/>
      <c r="P2484" s="9"/>
      <c r="Q2484" s="9"/>
      <c r="R2484" s="42"/>
      <c r="S2484" s="42"/>
      <c r="T2484" s="42"/>
      <c r="U2484" s="42"/>
      <c r="V2484" s="42"/>
      <c r="W2484" s="42"/>
    </row>
    <row r="2485">
      <c r="A2485" s="9"/>
      <c r="B2485" s="9"/>
      <c r="C2485" s="9"/>
      <c r="D2485" s="42"/>
      <c r="E2485" s="103"/>
      <c r="F2485" s="42"/>
      <c r="G2485" s="9"/>
      <c r="H2485" s="9"/>
      <c r="I2485" s="9"/>
      <c r="J2485" s="9"/>
      <c r="K2485" s="42"/>
      <c r="L2485" s="42"/>
      <c r="M2485" s="42"/>
      <c r="N2485" s="42"/>
      <c r="O2485" s="42"/>
      <c r="P2485" s="9"/>
      <c r="Q2485" s="9"/>
      <c r="R2485" s="42"/>
      <c r="S2485" s="42"/>
      <c r="T2485" s="42"/>
      <c r="U2485" s="42"/>
      <c r="V2485" s="42"/>
      <c r="W2485" s="42"/>
    </row>
    <row r="2486">
      <c r="A2486" s="9"/>
      <c r="B2486" s="9"/>
      <c r="C2486" s="9"/>
      <c r="D2486" s="42"/>
      <c r="E2486" s="103"/>
      <c r="F2486" s="42"/>
      <c r="G2486" s="9"/>
      <c r="H2486" s="9"/>
      <c r="I2486" s="9"/>
      <c r="J2486" s="9"/>
      <c r="K2486" s="42"/>
      <c r="L2486" s="42"/>
      <c r="M2486" s="42"/>
      <c r="N2486" s="42"/>
      <c r="O2486" s="42"/>
      <c r="P2486" s="9"/>
      <c r="Q2486" s="9"/>
      <c r="R2486" s="42"/>
      <c r="S2486" s="42"/>
      <c r="T2486" s="42"/>
      <c r="U2486" s="42"/>
      <c r="V2486" s="42"/>
      <c r="W2486" s="42"/>
    </row>
    <row r="2487">
      <c r="A2487" s="9"/>
      <c r="B2487" s="9"/>
      <c r="C2487" s="9"/>
      <c r="D2487" s="42"/>
      <c r="E2487" s="103"/>
      <c r="F2487" s="42"/>
      <c r="G2487" s="9"/>
      <c r="H2487" s="9"/>
      <c r="I2487" s="9"/>
      <c r="J2487" s="9"/>
      <c r="K2487" s="42"/>
      <c r="L2487" s="42"/>
      <c r="M2487" s="42"/>
      <c r="N2487" s="42"/>
      <c r="O2487" s="42"/>
      <c r="P2487" s="9"/>
      <c r="Q2487" s="9"/>
      <c r="R2487" s="42"/>
      <c r="S2487" s="42"/>
      <c r="T2487" s="42"/>
      <c r="U2487" s="42"/>
      <c r="V2487" s="42"/>
      <c r="W2487" s="42"/>
    </row>
    <row r="2488">
      <c r="A2488" s="9"/>
      <c r="B2488" s="9"/>
      <c r="C2488" s="9"/>
      <c r="D2488" s="42"/>
      <c r="E2488" s="103"/>
      <c r="F2488" s="42"/>
      <c r="G2488" s="9"/>
      <c r="H2488" s="9"/>
      <c r="I2488" s="9"/>
      <c r="J2488" s="9"/>
      <c r="K2488" s="42"/>
      <c r="L2488" s="42"/>
      <c r="M2488" s="42"/>
      <c r="N2488" s="42"/>
      <c r="O2488" s="42"/>
      <c r="P2488" s="9"/>
      <c r="Q2488" s="9"/>
      <c r="R2488" s="42"/>
      <c r="S2488" s="42"/>
      <c r="T2488" s="42"/>
      <c r="U2488" s="42"/>
      <c r="V2488" s="42"/>
      <c r="W2488" s="42"/>
    </row>
    <row r="2489">
      <c r="A2489" s="9"/>
      <c r="B2489" s="9"/>
      <c r="C2489" s="9"/>
      <c r="D2489" s="42"/>
      <c r="E2489" s="103"/>
      <c r="F2489" s="42"/>
      <c r="G2489" s="9"/>
      <c r="H2489" s="9"/>
      <c r="I2489" s="9"/>
      <c r="J2489" s="9"/>
      <c r="K2489" s="42"/>
      <c r="L2489" s="42"/>
      <c r="M2489" s="42"/>
      <c r="N2489" s="42"/>
      <c r="O2489" s="42"/>
      <c r="P2489" s="9"/>
      <c r="Q2489" s="9"/>
      <c r="R2489" s="42"/>
      <c r="S2489" s="42"/>
      <c r="T2489" s="42"/>
      <c r="U2489" s="42"/>
      <c r="V2489" s="42"/>
      <c r="W2489" s="42"/>
    </row>
    <row r="2490">
      <c r="A2490" s="9"/>
      <c r="B2490" s="9"/>
      <c r="C2490" s="9"/>
      <c r="D2490" s="42"/>
      <c r="E2490" s="103"/>
      <c r="F2490" s="42"/>
      <c r="G2490" s="9"/>
      <c r="H2490" s="9"/>
      <c r="I2490" s="9"/>
      <c r="J2490" s="9"/>
      <c r="K2490" s="42"/>
      <c r="L2490" s="42"/>
      <c r="M2490" s="42"/>
      <c r="N2490" s="42"/>
      <c r="O2490" s="42"/>
      <c r="P2490" s="9"/>
      <c r="Q2490" s="9"/>
      <c r="R2490" s="42"/>
      <c r="S2490" s="42"/>
      <c r="T2490" s="42"/>
      <c r="U2490" s="42"/>
      <c r="V2490" s="42"/>
      <c r="W2490" s="42"/>
    </row>
    <row r="2491">
      <c r="A2491" s="9"/>
      <c r="B2491" s="9"/>
      <c r="C2491" s="9"/>
      <c r="D2491" s="42"/>
      <c r="E2491" s="103"/>
      <c r="F2491" s="42"/>
      <c r="G2491" s="9"/>
      <c r="H2491" s="9"/>
      <c r="I2491" s="9"/>
      <c r="J2491" s="9"/>
      <c r="K2491" s="42"/>
      <c r="L2491" s="42"/>
      <c r="M2491" s="42"/>
      <c r="N2491" s="42"/>
      <c r="O2491" s="42"/>
      <c r="P2491" s="9"/>
      <c r="Q2491" s="9"/>
      <c r="R2491" s="42"/>
      <c r="S2491" s="42"/>
      <c r="T2491" s="42"/>
      <c r="U2491" s="42"/>
      <c r="V2491" s="42"/>
      <c r="W2491" s="42"/>
    </row>
    <row r="2492">
      <c r="A2492" s="9"/>
      <c r="B2492" s="9"/>
      <c r="C2492" s="9"/>
      <c r="D2492" s="42"/>
      <c r="E2492" s="103"/>
      <c r="F2492" s="42"/>
      <c r="G2492" s="9"/>
      <c r="H2492" s="9"/>
      <c r="I2492" s="9"/>
      <c r="J2492" s="9"/>
      <c r="K2492" s="42"/>
      <c r="L2492" s="42"/>
      <c r="M2492" s="42"/>
      <c r="N2492" s="42"/>
      <c r="O2492" s="42"/>
      <c r="P2492" s="9"/>
      <c r="Q2492" s="9"/>
      <c r="R2492" s="42"/>
      <c r="S2492" s="42"/>
      <c r="T2492" s="42"/>
      <c r="U2492" s="42"/>
      <c r="V2492" s="42"/>
      <c r="W2492" s="42"/>
    </row>
    <row r="2493">
      <c r="A2493" s="9"/>
      <c r="B2493" s="9"/>
      <c r="C2493" s="9"/>
      <c r="D2493" s="42"/>
      <c r="E2493" s="103"/>
      <c r="F2493" s="42"/>
      <c r="G2493" s="9"/>
      <c r="H2493" s="9"/>
      <c r="I2493" s="9"/>
      <c r="J2493" s="9"/>
      <c r="K2493" s="42"/>
      <c r="L2493" s="42"/>
      <c r="M2493" s="42"/>
      <c r="N2493" s="42"/>
      <c r="O2493" s="42"/>
      <c r="P2493" s="9"/>
      <c r="Q2493" s="9"/>
      <c r="R2493" s="42"/>
      <c r="S2493" s="42"/>
      <c r="T2493" s="42"/>
      <c r="U2493" s="42"/>
      <c r="V2493" s="42"/>
      <c r="W2493" s="42"/>
    </row>
    <row r="2494">
      <c r="A2494" s="9"/>
      <c r="B2494" s="9"/>
      <c r="C2494" s="9"/>
      <c r="D2494" s="42"/>
      <c r="E2494" s="103"/>
      <c r="F2494" s="42"/>
      <c r="G2494" s="9"/>
      <c r="H2494" s="9"/>
      <c r="I2494" s="9"/>
      <c r="J2494" s="9"/>
      <c r="K2494" s="42"/>
      <c r="L2494" s="42"/>
      <c r="M2494" s="42"/>
      <c r="N2494" s="42"/>
      <c r="O2494" s="42"/>
      <c r="P2494" s="9"/>
      <c r="Q2494" s="9"/>
      <c r="R2494" s="42"/>
      <c r="S2494" s="42"/>
      <c r="T2494" s="42"/>
      <c r="U2494" s="42"/>
      <c r="V2494" s="42"/>
      <c r="W2494" s="42"/>
    </row>
    <row r="2495">
      <c r="A2495" s="9"/>
      <c r="B2495" s="9"/>
      <c r="C2495" s="9"/>
      <c r="D2495" s="42"/>
      <c r="E2495" s="103"/>
      <c r="F2495" s="42"/>
      <c r="G2495" s="9"/>
      <c r="H2495" s="9"/>
      <c r="I2495" s="9"/>
      <c r="J2495" s="9"/>
      <c r="K2495" s="42"/>
      <c r="L2495" s="42"/>
      <c r="M2495" s="42"/>
      <c r="N2495" s="42"/>
      <c r="O2495" s="42"/>
      <c r="P2495" s="9"/>
      <c r="Q2495" s="9"/>
      <c r="R2495" s="42"/>
      <c r="S2495" s="42"/>
      <c r="T2495" s="42"/>
      <c r="U2495" s="42"/>
      <c r="V2495" s="42"/>
      <c r="W2495" s="42"/>
    </row>
    <row r="2496">
      <c r="A2496" s="9"/>
      <c r="B2496" s="9"/>
      <c r="C2496" s="9"/>
      <c r="D2496" s="42"/>
      <c r="E2496" s="103"/>
      <c r="F2496" s="42"/>
      <c r="G2496" s="9"/>
      <c r="H2496" s="9"/>
      <c r="I2496" s="9"/>
      <c r="J2496" s="9"/>
      <c r="K2496" s="42"/>
      <c r="L2496" s="42"/>
      <c r="M2496" s="42"/>
      <c r="N2496" s="42"/>
      <c r="O2496" s="42"/>
      <c r="P2496" s="9"/>
      <c r="Q2496" s="9"/>
      <c r="R2496" s="42"/>
      <c r="S2496" s="42"/>
      <c r="T2496" s="42"/>
      <c r="U2496" s="42"/>
      <c r="V2496" s="42"/>
      <c r="W2496" s="42"/>
    </row>
    <row r="2497">
      <c r="A2497" s="9"/>
      <c r="B2497" s="9"/>
      <c r="C2497" s="9"/>
      <c r="D2497" s="42"/>
      <c r="E2497" s="103"/>
      <c r="F2497" s="42"/>
      <c r="G2497" s="9"/>
      <c r="H2497" s="9"/>
      <c r="I2497" s="9"/>
      <c r="J2497" s="9"/>
      <c r="K2497" s="42"/>
      <c r="L2497" s="42"/>
      <c r="M2497" s="42"/>
      <c r="N2497" s="42"/>
      <c r="O2497" s="42"/>
      <c r="P2497" s="9"/>
      <c r="Q2497" s="9"/>
      <c r="R2497" s="42"/>
      <c r="S2497" s="42"/>
      <c r="T2497" s="42"/>
      <c r="U2497" s="42"/>
      <c r="V2497" s="42"/>
      <c r="W2497" s="42"/>
    </row>
    <row r="2498">
      <c r="A2498" s="9"/>
      <c r="B2498" s="9"/>
      <c r="C2498" s="9"/>
      <c r="D2498" s="42"/>
      <c r="E2498" s="103"/>
      <c r="F2498" s="42"/>
      <c r="G2498" s="9"/>
      <c r="H2498" s="9"/>
      <c r="I2498" s="9"/>
      <c r="J2498" s="9"/>
      <c r="K2498" s="42"/>
      <c r="L2498" s="42"/>
      <c r="M2498" s="42"/>
      <c r="N2498" s="42"/>
      <c r="O2498" s="42"/>
      <c r="P2498" s="9"/>
      <c r="Q2498" s="9"/>
      <c r="R2498" s="42"/>
      <c r="S2498" s="42"/>
      <c r="T2498" s="42"/>
      <c r="U2498" s="42"/>
      <c r="V2498" s="42"/>
      <c r="W2498" s="42"/>
    </row>
    <row r="2499">
      <c r="A2499" s="9"/>
      <c r="B2499" s="9"/>
      <c r="C2499" s="9"/>
      <c r="D2499" s="42"/>
      <c r="E2499" s="103"/>
      <c r="F2499" s="42"/>
      <c r="G2499" s="9"/>
      <c r="H2499" s="9"/>
      <c r="I2499" s="9"/>
      <c r="J2499" s="9"/>
      <c r="K2499" s="42"/>
      <c r="L2499" s="42"/>
      <c r="M2499" s="42"/>
      <c r="N2499" s="42"/>
      <c r="O2499" s="42"/>
      <c r="P2499" s="9"/>
      <c r="Q2499" s="9"/>
      <c r="R2499" s="42"/>
      <c r="S2499" s="42"/>
      <c r="T2499" s="42"/>
      <c r="U2499" s="42"/>
      <c r="V2499" s="42"/>
      <c r="W2499" s="42"/>
    </row>
    <row r="2500">
      <c r="A2500" s="9"/>
      <c r="B2500" s="9"/>
      <c r="C2500" s="9"/>
      <c r="D2500" s="42"/>
      <c r="E2500" s="103"/>
      <c r="F2500" s="42"/>
      <c r="G2500" s="9"/>
      <c r="H2500" s="9"/>
      <c r="I2500" s="9"/>
      <c r="J2500" s="9"/>
      <c r="K2500" s="42"/>
      <c r="L2500" s="42"/>
      <c r="M2500" s="42"/>
      <c r="N2500" s="42"/>
      <c r="O2500" s="42"/>
      <c r="P2500" s="9"/>
      <c r="Q2500" s="9"/>
      <c r="R2500" s="42"/>
      <c r="S2500" s="42"/>
      <c r="T2500" s="42"/>
      <c r="U2500" s="42"/>
      <c r="V2500" s="42"/>
      <c r="W2500" s="42"/>
    </row>
    <row r="2501">
      <c r="A2501" s="9"/>
      <c r="B2501" s="9"/>
      <c r="C2501" s="9"/>
      <c r="D2501" s="42"/>
      <c r="E2501" s="103"/>
      <c r="F2501" s="42"/>
      <c r="G2501" s="9"/>
      <c r="H2501" s="9"/>
      <c r="I2501" s="9"/>
      <c r="J2501" s="9"/>
      <c r="K2501" s="42"/>
      <c r="L2501" s="42"/>
      <c r="M2501" s="42"/>
      <c r="N2501" s="42"/>
      <c r="O2501" s="42"/>
      <c r="P2501" s="9"/>
      <c r="Q2501" s="9"/>
      <c r="R2501" s="42"/>
      <c r="S2501" s="42"/>
      <c r="T2501" s="42"/>
      <c r="U2501" s="42"/>
      <c r="V2501" s="42"/>
      <c r="W2501" s="42"/>
    </row>
    <row r="2502">
      <c r="A2502" s="9"/>
      <c r="B2502" s="9"/>
      <c r="C2502" s="9"/>
      <c r="D2502" s="42"/>
      <c r="E2502" s="103"/>
      <c r="F2502" s="42"/>
      <c r="G2502" s="9"/>
      <c r="H2502" s="9"/>
      <c r="I2502" s="9"/>
      <c r="J2502" s="9"/>
      <c r="K2502" s="42"/>
      <c r="L2502" s="42"/>
      <c r="M2502" s="42"/>
      <c r="N2502" s="42"/>
      <c r="O2502" s="42"/>
      <c r="P2502" s="9"/>
      <c r="Q2502" s="9"/>
      <c r="R2502" s="42"/>
      <c r="S2502" s="42"/>
      <c r="T2502" s="42"/>
      <c r="U2502" s="42"/>
      <c r="V2502" s="42"/>
      <c r="W2502" s="42"/>
    </row>
    <row r="2503">
      <c r="A2503" s="9"/>
      <c r="B2503" s="9"/>
      <c r="C2503" s="9"/>
      <c r="D2503" s="42"/>
      <c r="E2503" s="103"/>
      <c r="F2503" s="42"/>
      <c r="G2503" s="9"/>
      <c r="H2503" s="9"/>
      <c r="I2503" s="9"/>
      <c r="J2503" s="9"/>
      <c r="K2503" s="42"/>
      <c r="L2503" s="42"/>
      <c r="M2503" s="42"/>
      <c r="N2503" s="42"/>
      <c r="O2503" s="42"/>
      <c r="P2503" s="9"/>
      <c r="Q2503" s="9"/>
      <c r="R2503" s="42"/>
      <c r="S2503" s="42"/>
      <c r="T2503" s="42"/>
      <c r="U2503" s="42"/>
      <c r="V2503" s="42"/>
      <c r="W2503" s="42"/>
    </row>
    <row r="2504">
      <c r="A2504" s="9"/>
      <c r="B2504" s="9"/>
      <c r="C2504" s="9"/>
      <c r="D2504" s="42"/>
      <c r="E2504" s="103"/>
      <c r="F2504" s="42"/>
      <c r="G2504" s="9"/>
      <c r="H2504" s="9"/>
      <c r="I2504" s="9"/>
      <c r="J2504" s="9"/>
      <c r="K2504" s="42"/>
      <c r="L2504" s="42"/>
      <c r="M2504" s="42"/>
      <c r="N2504" s="42"/>
      <c r="O2504" s="42"/>
      <c r="P2504" s="9"/>
      <c r="Q2504" s="9"/>
      <c r="R2504" s="42"/>
      <c r="S2504" s="42"/>
      <c r="T2504" s="42"/>
      <c r="U2504" s="42"/>
      <c r="V2504" s="42"/>
      <c r="W2504" s="42"/>
    </row>
    <row r="2505">
      <c r="A2505" s="9"/>
      <c r="B2505" s="9"/>
      <c r="C2505" s="9"/>
      <c r="D2505" s="42"/>
      <c r="E2505" s="103"/>
      <c r="F2505" s="42"/>
      <c r="G2505" s="9"/>
      <c r="H2505" s="9"/>
      <c r="I2505" s="9"/>
      <c r="J2505" s="9"/>
      <c r="K2505" s="42"/>
      <c r="L2505" s="42"/>
      <c r="M2505" s="42"/>
      <c r="N2505" s="42"/>
      <c r="O2505" s="42"/>
      <c r="P2505" s="9"/>
      <c r="Q2505" s="9"/>
      <c r="R2505" s="42"/>
      <c r="S2505" s="42"/>
      <c r="T2505" s="42"/>
      <c r="U2505" s="42"/>
      <c r="V2505" s="42"/>
      <c r="W2505" s="42"/>
    </row>
    <row r="2506">
      <c r="A2506" s="9"/>
      <c r="B2506" s="9"/>
      <c r="C2506" s="9"/>
      <c r="D2506" s="42"/>
      <c r="E2506" s="103"/>
      <c r="F2506" s="42"/>
      <c r="G2506" s="9"/>
      <c r="H2506" s="9"/>
      <c r="I2506" s="9"/>
      <c r="J2506" s="9"/>
      <c r="K2506" s="42"/>
      <c r="L2506" s="42"/>
      <c r="M2506" s="42"/>
      <c r="N2506" s="42"/>
      <c r="O2506" s="42"/>
      <c r="P2506" s="9"/>
      <c r="Q2506" s="9"/>
      <c r="R2506" s="42"/>
      <c r="S2506" s="42"/>
      <c r="T2506" s="42"/>
      <c r="U2506" s="42"/>
      <c r="V2506" s="42"/>
      <c r="W2506" s="42"/>
    </row>
    <row r="2507">
      <c r="A2507" s="9"/>
      <c r="B2507" s="9"/>
      <c r="C2507" s="9"/>
      <c r="D2507" s="42"/>
      <c r="E2507" s="103"/>
      <c r="F2507" s="42"/>
      <c r="G2507" s="9"/>
      <c r="H2507" s="9"/>
      <c r="I2507" s="9"/>
      <c r="J2507" s="9"/>
      <c r="K2507" s="42"/>
      <c r="L2507" s="42"/>
      <c r="M2507" s="42"/>
      <c r="N2507" s="42"/>
      <c r="O2507" s="42"/>
      <c r="P2507" s="9"/>
      <c r="Q2507" s="9"/>
      <c r="R2507" s="42"/>
      <c r="S2507" s="42"/>
      <c r="T2507" s="42"/>
      <c r="U2507" s="42"/>
      <c r="V2507" s="42"/>
      <c r="W2507" s="42"/>
    </row>
    <row r="2508">
      <c r="A2508" s="9"/>
      <c r="B2508" s="9"/>
      <c r="C2508" s="9"/>
      <c r="D2508" s="42"/>
      <c r="E2508" s="103"/>
      <c r="F2508" s="42"/>
      <c r="G2508" s="9"/>
      <c r="H2508" s="9"/>
      <c r="I2508" s="9"/>
      <c r="J2508" s="9"/>
      <c r="K2508" s="42"/>
      <c r="L2508" s="42"/>
      <c r="M2508" s="42"/>
      <c r="N2508" s="42"/>
      <c r="O2508" s="42"/>
      <c r="P2508" s="9"/>
      <c r="Q2508" s="9"/>
      <c r="R2508" s="42"/>
      <c r="S2508" s="42"/>
      <c r="T2508" s="42"/>
      <c r="U2508" s="42"/>
      <c r="V2508" s="42"/>
      <c r="W2508" s="42"/>
    </row>
    <row r="2509">
      <c r="A2509" s="9"/>
      <c r="B2509" s="9"/>
      <c r="C2509" s="9"/>
      <c r="D2509" s="42"/>
      <c r="E2509" s="103"/>
      <c r="F2509" s="42"/>
      <c r="G2509" s="9"/>
      <c r="H2509" s="9"/>
      <c r="I2509" s="9"/>
      <c r="J2509" s="9"/>
      <c r="K2509" s="42"/>
      <c r="L2509" s="42"/>
      <c r="M2509" s="42"/>
      <c r="N2509" s="42"/>
      <c r="O2509" s="42"/>
      <c r="P2509" s="9"/>
      <c r="Q2509" s="9"/>
      <c r="R2509" s="42"/>
      <c r="S2509" s="42"/>
      <c r="T2509" s="42"/>
      <c r="U2509" s="42"/>
      <c r="V2509" s="42"/>
      <c r="W2509" s="42"/>
    </row>
    <row r="2510">
      <c r="A2510" s="9"/>
      <c r="B2510" s="9"/>
      <c r="C2510" s="9"/>
      <c r="D2510" s="42"/>
      <c r="E2510" s="103"/>
      <c r="F2510" s="42"/>
      <c r="G2510" s="9"/>
      <c r="H2510" s="9"/>
      <c r="I2510" s="9"/>
      <c r="J2510" s="9"/>
      <c r="K2510" s="42"/>
      <c r="L2510" s="42"/>
      <c r="M2510" s="42"/>
      <c r="N2510" s="42"/>
      <c r="O2510" s="42"/>
      <c r="P2510" s="9"/>
      <c r="Q2510" s="9"/>
      <c r="R2510" s="42"/>
      <c r="S2510" s="42"/>
      <c r="T2510" s="42"/>
      <c r="U2510" s="42"/>
      <c r="V2510" s="42"/>
      <c r="W2510" s="42"/>
    </row>
    <row r="2511">
      <c r="A2511" s="9"/>
      <c r="B2511" s="9"/>
      <c r="C2511" s="9"/>
      <c r="D2511" s="42"/>
      <c r="E2511" s="103"/>
      <c r="F2511" s="42"/>
      <c r="G2511" s="9"/>
      <c r="H2511" s="9"/>
      <c r="I2511" s="9"/>
      <c r="J2511" s="9"/>
      <c r="K2511" s="42"/>
      <c r="L2511" s="42"/>
      <c r="M2511" s="42"/>
      <c r="N2511" s="42"/>
      <c r="O2511" s="42"/>
      <c r="P2511" s="9"/>
      <c r="Q2511" s="9"/>
      <c r="R2511" s="42"/>
      <c r="S2511" s="42"/>
      <c r="T2511" s="42"/>
      <c r="U2511" s="42"/>
      <c r="V2511" s="42"/>
      <c r="W2511" s="42"/>
    </row>
    <row r="2512">
      <c r="A2512" s="9"/>
      <c r="B2512" s="9"/>
      <c r="C2512" s="9"/>
      <c r="D2512" s="42"/>
      <c r="E2512" s="103"/>
      <c r="F2512" s="42"/>
      <c r="G2512" s="9"/>
      <c r="H2512" s="9"/>
      <c r="I2512" s="9"/>
      <c r="J2512" s="9"/>
      <c r="K2512" s="42"/>
      <c r="L2512" s="42"/>
      <c r="M2512" s="42"/>
      <c r="N2512" s="42"/>
      <c r="O2512" s="42"/>
      <c r="P2512" s="9"/>
      <c r="Q2512" s="9"/>
      <c r="R2512" s="42"/>
      <c r="S2512" s="42"/>
      <c r="T2512" s="42"/>
      <c r="U2512" s="42"/>
      <c r="V2512" s="42"/>
      <c r="W2512" s="42"/>
    </row>
    <row r="2513">
      <c r="A2513" s="9"/>
      <c r="B2513" s="9"/>
      <c r="C2513" s="9"/>
      <c r="D2513" s="42"/>
      <c r="E2513" s="103"/>
      <c r="F2513" s="42"/>
      <c r="G2513" s="9"/>
      <c r="H2513" s="9"/>
      <c r="I2513" s="9"/>
      <c r="J2513" s="9"/>
      <c r="K2513" s="42"/>
      <c r="L2513" s="42"/>
      <c r="M2513" s="42"/>
      <c r="N2513" s="42"/>
      <c r="O2513" s="42"/>
      <c r="P2513" s="9"/>
      <c r="Q2513" s="9"/>
      <c r="R2513" s="42"/>
      <c r="S2513" s="42"/>
      <c r="T2513" s="42"/>
      <c r="U2513" s="42"/>
      <c r="V2513" s="42"/>
      <c r="W2513" s="42"/>
    </row>
    <row r="2514">
      <c r="A2514" s="9"/>
      <c r="B2514" s="9"/>
      <c r="C2514" s="9"/>
      <c r="D2514" s="42"/>
      <c r="E2514" s="103"/>
      <c r="F2514" s="42"/>
      <c r="G2514" s="9"/>
      <c r="H2514" s="9"/>
      <c r="I2514" s="9"/>
      <c r="J2514" s="9"/>
      <c r="K2514" s="42"/>
      <c r="L2514" s="42"/>
      <c r="M2514" s="42"/>
      <c r="N2514" s="42"/>
      <c r="O2514" s="42"/>
      <c r="P2514" s="9"/>
      <c r="Q2514" s="9"/>
      <c r="R2514" s="42"/>
      <c r="S2514" s="42"/>
      <c r="T2514" s="42"/>
      <c r="U2514" s="42"/>
      <c r="V2514" s="42"/>
      <c r="W2514" s="42"/>
    </row>
    <row r="2515">
      <c r="A2515" s="9"/>
      <c r="B2515" s="9"/>
      <c r="C2515" s="9"/>
      <c r="D2515" s="42"/>
      <c r="E2515" s="103"/>
      <c r="F2515" s="42"/>
      <c r="G2515" s="9"/>
      <c r="H2515" s="9"/>
      <c r="I2515" s="9"/>
      <c r="J2515" s="9"/>
      <c r="K2515" s="42"/>
      <c r="L2515" s="42"/>
      <c r="M2515" s="42"/>
      <c r="N2515" s="42"/>
      <c r="O2515" s="42"/>
      <c r="P2515" s="9"/>
      <c r="Q2515" s="9"/>
      <c r="R2515" s="42"/>
      <c r="S2515" s="42"/>
      <c r="T2515" s="42"/>
      <c r="U2515" s="42"/>
      <c r="V2515" s="42"/>
      <c r="W2515" s="42"/>
    </row>
    <row r="2516">
      <c r="A2516" s="9"/>
      <c r="B2516" s="9"/>
      <c r="C2516" s="9"/>
      <c r="D2516" s="42"/>
      <c r="E2516" s="103"/>
      <c r="F2516" s="42"/>
      <c r="G2516" s="9"/>
      <c r="H2516" s="9"/>
      <c r="I2516" s="9"/>
      <c r="J2516" s="9"/>
      <c r="K2516" s="42"/>
      <c r="L2516" s="42"/>
      <c r="M2516" s="42"/>
      <c r="N2516" s="42"/>
      <c r="O2516" s="42"/>
      <c r="P2516" s="9"/>
      <c r="Q2516" s="9"/>
      <c r="R2516" s="42"/>
      <c r="S2516" s="42"/>
      <c r="T2516" s="42"/>
      <c r="U2516" s="42"/>
      <c r="V2516" s="42"/>
      <c r="W2516" s="42"/>
    </row>
    <row r="2517">
      <c r="A2517" s="9"/>
      <c r="B2517" s="9"/>
      <c r="C2517" s="9"/>
      <c r="D2517" s="42"/>
      <c r="E2517" s="103"/>
      <c r="F2517" s="42"/>
      <c r="G2517" s="9"/>
      <c r="H2517" s="9"/>
      <c r="I2517" s="9"/>
      <c r="J2517" s="9"/>
      <c r="K2517" s="42"/>
      <c r="L2517" s="42"/>
      <c r="M2517" s="42"/>
      <c r="N2517" s="42"/>
      <c r="O2517" s="42"/>
      <c r="P2517" s="9"/>
      <c r="Q2517" s="9"/>
      <c r="R2517" s="42"/>
      <c r="S2517" s="42"/>
      <c r="T2517" s="42"/>
      <c r="U2517" s="42"/>
      <c r="V2517" s="42"/>
      <c r="W2517" s="42"/>
    </row>
    <row r="2518">
      <c r="A2518" s="9"/>
      <c r="B2518" s="9"/>
      <c r="C2518" s="9"/>
      <c r="D2518" s="42"/>
      <c r="E2518" s="103"/>
      <c r="F2518" s="42"/>
      <c r="G2518" s="9"/>
      <c r="H2518" s="9"/>
      <c r="I2518" s="9"/>
      <c r="J2518" s="9"/>
      <c r="K2518" s="42"/>
      <c r="L2518" s="42"/>
      <c r="M2518" s="42"/>
      <c r="N2518" s="42"/>
      <c r="O2518" s="42"/>
      <c r="P2518" s="9"/>
      <c r="Q2518" s="9"/>
      <c r="R2518" s="42"/>
      <c r="S2518" s="42"/>
      <c r="T2518" s="42"/>
      <c r="U2518" s="42"/>
      <c r="V2518" s="42"/>
      <c r="W2518" s="42"/>
    </row>
    <row r="2519">
      <c r="A2519" s="9"/>
      <c r="B2519" s="9"/>
      <c r="C2519" s="9"/>
      <c r="D2519" s="42"/>
      <c r="E2519" s="103"/>
      <c r="F2519" s="42"/>
      <c r="G2519" s="9"/>
      <c r="H2519" s="9"/>
      <c r="I2519" s="9"/>
      <c r="J2519" s="9"/>
      <c r="K2519" s="42"/>
      <c r="L2519" s="42"/>
      <c r="M2519" s="42"/>
      <c r="N2519" s="42"/>
      <c r="O2519" s="42"/>
      <c r="P2519" s="9"/>
      <c r="Q2519" s="9"/>
      <c r="R2519" s="42"/>
      <c r="S2519" s="42"/>
      <c r="T2519" s="42"/>
      <c r="U2519" s="42"/>
      <c r="V2519" s="42"/>
      <c r="W2519" s="42"/>
    </row>
    <row r="2520">
      <c r="A2520" s="9"/>
      <c r="B2520" s="9"/>
      <c r="C2520" s="9"/>
      <c r="D2520" s="42"/>
      <c r="E2520" s="103"/>
      <c r="F2520" s="42"/>
      <c r="G2520" s="9"/>
      <c r="H2520" s="9"/>
      <c r="I2520" s="9"/>
      <c r="J2520" s="9"/>
      <c r="K2520" s="42"/>
      <c r="L2520" s="42"/>
      <c r="M2520" s="42"/>
      <c r="N2520" s="42"/>
      <c r="O2520" s="42"/>
      <c r="P2520" s="9"/>
      <c r="Q2520" s="9"/>
      <c r="R2520" s="42"/>
      <c r="S2520" s="42"/>
      <c r="T2520" s="42"/>
      <c r="U2520" s="42"/>
      <c r="V2520" s="42"/>
      <c r="W2520" s="42"/>
    </row>
    <row r="2521">
      <c r="A2521" s="9"/>
      <c r="B2521" s="9"/>
      <c r="C2521" s="9"/>
      <c r="D2521" s="42"/>
      <c r="E2521" s="103"/>
      <c r="F2521" s="42"/>
      <c r="G2521" s="9"/>
      <c r="H2521" s="9"/>
      <c r="I2521" s="9"/>
      <c r="J2521" s="9"/>
      <c r="K2521" s="42"/>
      <c r="L2521" s="42"/>
      <c r="M2521" s="42"/>
      <c r="N2521" s="42"/>
      <c r="O2521" s="42"/>
      <c r="P2521" s="9"/>
      <c r="Q2521" s="9"/>
      <c r="R2521" s="42"/>
      <c r="S2521" s="42"/>
      <c r="T2521" s="42"/>
      <c r="U2521" s="42"/>
      <c r="V2521" s="42"/>
      <c r="W2521" s="42"/>
    </row>
    <row r="2522">
      <c r="A2522" s="9"/>
      <c r="B2522" s="9"/>
      <c r="C2522" s="9"/>
      <c r="D2522" s="42"/>
      <c r="E2522" s="103"/>
      <c r="F2522" s="42"/>
      <c r="G2522" s="9"/>
      <c r="H2522" s="9"/>
      <c r="I2522" s="9"/>
      <c r="J2522" s="9"/>
      <c r="K2522" s="42"/>
      <c r="L2522" s="42"/>
      <c r="M2522" s="42"/>
      <c r="N2522" s="42"/>
      <c r="O2522" s="42"/>
      <c r="P2522" s="9"/>
      <c r="Q2522" s="9"/>
      <c r="R2522" s="42"/>
      <c r="S2522" s="42"/>
      <c r="T2522" s="42"/>
      <c r="U2522" s="42"/>
      <c r="V2522" s="42"/>
      <c r="W2522" s="42"/>
    </row>
    <row r="2523">
      <c r="A2523" s="9"/>
      <c r="B2523" s="9"/>
      <c r="C2523" s="9"/>
      <c r="D2523" s="42"/>
      <c r="E2523" s="103"/>
      <c r="F2523" s="42"/>
      <c r="G2523" s="9"/>
      <c r="H2523" s="9"/>
      <c r="I2523" s="9"/>
      <c r="J2523" s="9"/>
      <c r="K2523" s="42"/>
      <c r="L2523" s="42"/>
      <c r="M2523" s="42"/>
      <c r="N2523" s="42"/>
      <c r="O2523" s="42"/>
      <c r="P2523" s="9"/>
      <c r="Q2523" s="9"/>
      <c r="R2523" s="42"/>
      <c r="S2523" s="42"/>
      <c r="T2523" s="42"/>
      <c r="U2523" s="42"/>
      <c r="V2523" s="42"/>
      <c r="W2523" s="42"/>
    </row>
    <row r="2524">
      <c r="A2524" s="9"/>
      <c r="B2524" s="9"/>
      <c r="C2524" s="9"/>
      <c r="D2524" s="42"/>
      <c r="E2524" s="103"/>
      <c r="F2524" s="42"/>
      <c r="G2524" s="9"/>
      <c r="H2524" s="9"/>
      <c r="I2524" s="9"/>
      <c r="J2524" s="9"/>
      <c r="K2524" s="42"/>
      <c r="L2524" s="42"/>
      <c r="M2524" s="42"/>
      <c r="N2524" s="42"/>
      <c r="O2524" s="42"/>
      <c r="P2524" s="9"/>
      <c r="Q2524" s="9"/>
      <c r="R2524" s="42"/>
      <c r="S2524" s="42"/>
      <c r="T2524" s="42"/>
      <c r="U2524" s="42"/>
      <c r="V2524" s="42"/>
      <c r="W2524" s="42"/>
    </row>
    <row r="2525">
      <c r="A2525" s="9"/>
      <c r="B2525" s="9"/>
      <c r="C2525" s="9"/>
      <c r="D2525" s="42"/>
      <c r="E2525" s="103"/>
      <c r="F2525" s="42"/>
      <c r="G2525" s="9"/>
      <c r="H2525" s="9"/>
      <c r="I2525" s="9"/>
      <c r="J2525" s="9"/>
      <c r="K2525" s="42"/>
      <c r="L2525" s="42"/>
      <c r="M2525" s="42"/>
      <c r="N2525" s="42"/>
      <c r="O2525" s="42"/>
      <c r="P2525" s="9"/>
      <c r="Q2525" s="9"/>
      <c r="R2525" s="42"/>
      <c r="S2525" s="42"/>
      <c r="T2525" s="42"/>
      <c r="U2525" s="42"/>
      <c r="V2525" s="42"/>
      <c r="W2525" s="42"/>
    </row>
    <row r="2526">
      <c r="A2526" s="9"/>
      <c r="B2526" s="9"/>
      <c r="C2526" s="9"/>
      <c r="D2526" s="42"/>
      <c r="E2526" s="103"/>
      <c r="F2526" s="42"/>
      <c r="G2526" s="9"/>
      <c r="H2526" s="9"/>
      <c r="I2526" s="9"/>
      <c r="J2526" s="9"/>
      <c r="K2526" s="42"/>
      <c r="L2526" s="42"/>
      <c r="M2526" s="42"/>
      <c r="N2526" s="42"/>
      <c r="O2526" s="42"/>
      <c r="P2526" s="9"/>
      <c r="Q2526" s="9"/>
      <c r="R2526" s="42"/>
      <c r="S2526" s="42"/>
      <c r="T2526" s="42"/>
      <c r="U2526" s="42"/>
      <c r="V2526" s="42"/>
      <c r="W2526" s="42"/>
    </row>
    <row r="2527">
      <c r="A2527" s="9"/>
      <c r="B2527" s="9"/>
      <c r="C2527" s="9"/>
      <c r="D2527" s="42"/>
      <c r="E2527" s="103"/>
      <c r="F2527" s="42"/>
      <c r="G2527" s="9"/>
      <c r="H2527" s="9"/>
      <c r="I2527" s="9"/>
      <c r="J2527" s="9"/>
      <c r="K2527" s="42"/>
      <c r="L2527" s="42"/>
      <c r="M2527" s="42"/>
      <c r="N2527" s="42"/>
      <c r="O2527" s="42"/>
      <c r="P2527" s="9"/>
      <c r="Q2527" s="9"/>
      <c r="R2527" s="42"/>
      <c r="S2527" s="42"/>
      <c r="T2527" s="42"/>
      <c r="U2527" s="42"/>
      <c r="V2527" s="42"/>
      <c r="W2527" s="42"/>
    </row>
    <row r="2528">
      <c r="A2528" s="9"/>
      <c r="B2528" s="9"/>
      <c r="C2528" s="9"/>
      <c r="D2528" s="42"/>
      <c r="E2528" s="103"/>
      <c r="F2528" s="42"/>
      <c r="G2528" s="9"/>
      <c r="H2528" s="9"/>
      <c r="I2528" s="9"/>
      <c r="J2528" s="9"/>
      <c r="K2528" s="42"/>
      <c r="L2528" s="42"/>
      <c r="M2528" s="42"/>
      <c r="N2528" s="42"/>
      <c r="O2528" s="42"/>
      <c r="P2528" s="9"/>
      <c r="Q2528" s="9"/>
      <c r="R2528" s="42"/>
      <c r="S2528" s="42"/>
      <c r="T2528" s="42"/>
      <c r="U2528" s="42"/>
      <c r="V2528" s="42"/>
      <c r="W2528" s="42"/>
    </row>
    <row r="2529">
      <c r="A2529" s="9"/>
      <c r="B2529" s="9"/>
      <c r="C2529" s="9"/>
      <c r="D2529" s="42"/>
      <c r="E2529" s="103"/>
      <c r="F2529" s="42"/>
      <c r="G2529" s="9"/>
      <c r="H2529" s="9"/>
      <c r="I2529" s="9"/>
      <c r="J2529" s="9"/>
      <c r="K2529" s="42"/>
      <c r="L2529" s="42"/>
      <c r="M2529" s="42"/>
      <c r="N2529" s="42"/>
      <c r="O2529" s="42"/>
      <c r="P2529" s="9"/>
      <c r="Q2529" s="9"/>
      <c r="R2529" s="42"/>
      <c r="S2529" s="42"/>
      <c r="T2529" s="42"/>
      <c r="U2529" s="42"/>
      <c r="V2529" s="42"/>
      <c r="W2529" s="42"/>
    </row>
    <row r="2530">
      <c r="A2530" s="9"/>
      <c r="B2530" s="9"/>
      <c r="C2530" s="9"/>
      <c r="D2530" s="42"/>
      <c r="E2530" s="103"/>
      <c r="F2530" s="42"/>
      <c r="G2530" s="9"/>
      <c r="H2530" s="9"/>
      <c r="I2530" s="9"/>
      <c r="J2530" s="9"/>
      <c r="K2530" s="42"/>
      <c r="L2530" s="42"/>
      <c r="M2530" s="42"/>
      <c r="N2530" s="42"/>
      <c r="O2530" s="42"/>
      <c r="P2530" s="9"/>
      <c r="Q2530" s="9"/>
      <c r="R2530" s="42"/>
      <c r="S2530" s="42"/>
      <c r="T2530" s="42"/>
      <c r="U2530" s="42"/>
      <c r="V2530" s="42"/>
      <c r="W2530" s="42"/>
    </row>
    <row r="2531">
      <c r="A2531" s="9"/>
      <c r="B2531" s="9"/>
      <c r="C2531" s="9"/>
      <c r="D2531" s="42"/>
      <c r="E2531" s="103"/>
      <c r="F2531" s="42"/>
      <c r="G2531" s="9"/>
      <c r="H2531" s="9"/>
      <c r="I2531" s="9"/>
      <c r="J2531" s="9"/>
      <c r="K2531" s="42"/>
      <c r="L2531" s="42"/>
      <c r="M2531" s="42"/>
      <c r="N2531" s="42"/>
      <c r="O2531" s="42"/>
      <c r="P2531" s="9"/>
      <c r="Q2531" s="9"/>
      <c r="R2531" s="42"/>
      <c r="S2531" s="42"/>
      <c r="T2531" s="42"/>
      <c r="U2531" s="42"/>
      <c r="V2531" s="42"/>
      <c r="W2531" s="42"/>
    </row>
    <row r="2532">
      <c r="A2532" s="9"/>
      <c r="B2532" s="9"/>
      <c r="C2532" s="9"/>
      <c r="D2532" s="42"/>
      <c r="E2532" s="103"/>
      <c r="F2532" s="42"/>
      <c r="G2532" s="9"/>
      <c r="H2532" s="9"/>
      <c r="I2532" s="9"/>
      <c r="J2532" s="9"/>
      <c r="K2532" s="42"/>
      <c r="L2532" s="42"/>
      <c r="M2532" s="42"/>
      <c r="N2532" s="42"/>
      <c r="O2532" s="42"/>
      <c r="P2532" s="9"/>
      <c r="Q2532" s="9"/>
      <c r="R2532" s="42"/>
      <c r="S2532" s="42"/>
      <c r="T2532" s="42"/>
      <c r="U2532" s="42"/>
      <c r="V2532" s="42"/>
      <c r="W2532" s="42"/>
    </row>
    <row r="2533">
      <c r="A2533" s="9"/>
      <c r="B2533" s="9"/>
      <c r="C2533" s="9"/>
      <c r="D2533" s="42"/>
      <c r="E2533" s="103"/>
      <c r="F2533" s="42"/>
      <c r="G2533" s="9"/>
      <c r="H2533" s="9"/>
      <c r="I2533" s="9"/>
      <c r="J2533" s="9"/>
      <c r="K2533" s="42"/>
      <c r="L2533" s="42"/>
      <c r="M2533" s="42"/>
      <c r="N2533" s="42"/>
      <c r="O2533" s="42"/>
      <c r="P2533" s="9"/>
      <c r="Q2533" s="9"/>
      <c r="R2533" s="42"/>
      <c r="S2533" s="42"/>
      <c r="T2533" s="42"/>
      <c r="U2533" s="42"/>
      <c r="V2533" s="42"/>
      <c r="W2533" s="42"/>
    </row>
    <row r="2534">
      <c r="A2534" s="9"/>
      <c r="B2534" s="9"/>
      <c r="C2534" s="9"/>
      <c r="D2534" s="42"/>
      <c r="E2534" s="103"/>
      <c r="F2534" s="42"/>
      <c r="G2534" s="9"/>
      <c r="H2534" s="9"/>
      <c r="I2534" s="9"/>
      <c r="J2534" s="9"/>
      <c r="K2534" s="42"/>
      <c r="L2534" s="42"/>
      <c r="M2534" s="42"/>
      <c r="N2534" s="42"/>
      <c r="O2534" s="42"/>
      <c r="P2534" s="9"/>
      <c r="Q2534" s="9"/>
      <c r="R2534" s="42"/>
      <c r="S2534" s="42"/>
      <c r="T2534" s="42"/>
      <c r="U2534" s="42"/>
      <c r="V2534" s="42"/>
      <c r="W2534" s="42"/>
    </row>
    <row r="2535">
      <c r="A2535" s="9"/>
      <c r="B2535" s="9"/>
      <c r="C2535" s="9"/>
      <c r="D2535" s="42"/>
      <c r="E2535" s="103"/>
      <c r="F2535" s="42"/>
      <c r="G2535" s="9"/>
      <c r="H2535" s="9"/>
      <c r="I2535" s="9"/>
      <c r="J2535" s="9"/>
      <c r="K2535" s="42"/>
      <c r="L2535" s="42"/>
      <c r="M2535" s="42"/>
      <c r="N2535" s="42"/>
      <c r="O2535" s="42"/>
      <c r="P2535" s="9"/>
      <c r="Q2535" s="9"/>
      <c r="R2535" s="42"/>
      <c r="S2535" s="42"/>
      <c r="T2535" s="42"/>
      <c r="U2535" s="42"/>
      <c r="V2535" s="42"/>
      <c r="W2535" s="42"/>
    </row>
    <row r="2536">
      <c r="A2536" s="9"/>
      <c r="B2536" s="9"/>
      <c r="C2536" s="9"/>
      <c r="D2536" s="42"/>
      <c r="E2536" s="103"/>
      <c r="F2536" s="42"/>
      <c r="G2536" s="9"/>
      <c r="H2536" s="9"/>
      <c r="I2536" s="9"/>
      <c r="J2536" s="9"/>
      <c r="K2536" s="42"/>
      <c r="L2536" s="42"/>
      <c r="M2536" s="42"/>
      <c r="N2536" s="42"/>
      <c r="O2536" s="42"/>
      <c r="P2536" s="9"/>
      <c r="Q2536" s="9"/>
      <c r="R2536" s="42"/>
      <c r="S2536" s="42"/>
      <c r="T2536" s="42"/>
      <c r="U2536" s="42"/>
      <c r="V2536" s="42"/>
      <c r="W2536" s="42"/>
    </row>
    <row r="2537">
      <c r="A2537" s="9"/>
      <c r="B2537" s="9"/>
      <c r="C2537" s="9"/>
      <c r="D2537" s="42"/>
      <c r="E2537" s="103"/>
      <c r="F2537" s="42"/>
      <c r="G2537" s="9"/>
      <c r="H2537" s="9"/>
      <c r="I2537" s="9"/>
      <c r="J2537" s="9"/>
      <c r="K2537" s="42"/>
      <c r="L2537" s="42"/>
      <c r="M2537" s="42"/>
      <c r="N2537" s="42"/>
      <c r="O2537" s="42"/>
      <c r="P2537" s="9"/>
      <c r="Q2537" s="9"/>
      <c r="R2537" s="42"/>
      <c r="S2537" s="42"/>
      <c r="T2537" s="42"/>
      <c r="U2537" s="42"/>
      <c r="V2537" s="42"/>
      <c r="W2537" s="42"/>
    </row>
    <row r="2538">
      <c r="A2538" s="9"/>
      <c r="B2538" s="9"/>
      <c r="C2538" s="9"/>
      <c r="D2538" s="42"/>
      <c r="E2538" s="103"/>
      <c r="F2538" s="42"/>
      <c r="G2538" s="9"/>
      <c r="H2538" s="9"/>
      <c r="I2538" s="9"/>
      <c r="J2538" s="9"/>
      <c r="K2538" s="42"/>
      <c r="L2538" s="42"/>
      <c r="M2538" s="42"/>
      <c r="N2538" s="42"/>
      <c r="O2538" s="42"/>
      <c r="P2538" s="9"/>
      <c r="Q2538" s="9"/>
      <c r="R2538" s="42"/>
      <c r="S2538" s="42"/>
      <c r="T2538" s="42"/>
      <c r="U2538" s="42"/>
      <c r="V2538" s="42"/>
      <c r="W2538" s="42"/>
    </row>
    <row r="2539">
      <c r="A2539" s="9"/>
      <c r="B2539" s="9"/>
      <c r="C2539" s="9"/>
      <c r="D2539" s="42"/>
      <c r="E2539" s="103"/>
      <c r="F2539" s="42"/>
      <c r="G2539" s="9"/>
      <c r="H2539" s="9"/>
      <c r="I2539" s="9"/>
      <c r="J2539" s="9"/>
      <c r="K2539" s="42"/>
      <c r="L2539" s="42"/>
      <c r="M2539" s="42"/>
      <c r="N2539" s="42"/>
      <c r="O2539" s="42"/>
      <c r="P2539" s="9"/>
      <c r="Q2539" s="9"/>
      <c r="R2539" s="42"/>
      <c r="S2539" s="42"/>
      <c r="T2539" s="42"/>
      <c r="U2539" s="42"/>
      <c r="V2539" s="42"/>
      <c r="W2539" s="42"/>
    </row>
    <row r="2540">
      <c r="A2540" s="9"/>
      <c r="B2540" s="9"/>
      <c r="C2540" s="9"/>
      <c r="D2540" s="42"/>
      <c r="E2540" s="103"/>
      <c r="F2540" s="42"/>
      <c r="G2540" s="9"/>
      <c r="H2540" s="9"/>
      <c r="I2540" s="9"/>
      <c r="J2540" s="9"/>
      <c r="K2540" s="42"/>
      <c r="L2540" s="42"/>
      <c r="M2540" s="42"/>
      <c r="N2540" s="42"/>
      <c r="O2540" s="42"/>
      <c r="P2540" s="9"/>
      <c r="Q2540" s="9"/>
      <c r="R2540" s="42"/>
      <c r="S2540" s="42"/>
      <c r="T2540" s="42"/>
      <c r="U2540" s="42"/>
      <c r="V2540" s="42"/>
      <c r="W2540" s="42"/>
    </row>
    <row r="2541">
      <c r="A2541" s="9"/>
      <c r="B2541" s="9"/>
      <c r="C2541" s="9"/>
      <c r="D2541" s="42"/>
      <c r="E2541" s="103"/>
      <c r="F2541" s="42"/>
      <c r="G2541" s="9"/>
      <c r="H2541" s="9"/>
      <c r="I2541" s="9"/>
      <c r="J2541" s="9"/>
      <c r="K2541" s="42"/>
      <c r="L2541" s="42"/>
      <c r="M2541" s="42"/>
      <c r="N2541" s="42"/>
      <c r="O2541" s="42"/>
      <c r="P2541" s="9"/>
      <c r="Q2541" s="9"/>
      <c r="R2541" s="42"/>
      <c r="S2541" s="42"/>
      <c r="T2541" s="42"/>
      <c r="U2541" s="42"/>
      <c r="V2541" s="42"/>
      <c r="W2541" s="42"/>
    </row>
    <row r="2542">
      <c r="A2542" s="9"/>
      <c r="B2542" s="9"/>
      <c r="C2542" s="9"/>
      <c r="D2542" s="42"/>
      <c r="E2542" s="103"/>
      <c r="F2542" s="42"/>
      <c r="G2542" s="9"/>
      <c r="H2542" s="9"/>
      <c r="I2542" s="9"/>
      <c r="J2542" s="9"/>
      <c r="K2542" s="42"/>
      <c r="L2542" s="42"/>
      <c r="M2542" s="42"/>
      <c r="N2542" s="42"/>
      <c r="O2542" s="42"/>
      <c r="P2542" s="9"/>
      <c r="Q2542" s="9"/>
      <c r="R2542" s="42"/>
      <c r="S2542" s="42"/>
      <c r="T2542" s="42"/>
      <c r="U2542" s="42"/>
      <c r="V2542" s="42"/>
      <c r="W2542" s="42"/>
    </row>
    <row r="2543">
      <c r="A2543" s="9"/>
      <c r="B2543" s="9"/>
      <c r="C2543" s="9"/>
      <c r="D2543" s="42"/>
      <c r="E2543" s="103"/>
      <c r="F2543" s="42"/>
      <c r="G2543" s="9"/>
      <c r="H2543" s="9"/>
      <c r="I2543" s="9"/>
      <c r="J2543" s="9"/>
      <c r="K2543" s="42"/>
      <c r="L2543" s="42"/>
      <c r="M2543" s="42"/>
      <c r="N2543" s="42"/>
      <c r="O2543" s="42"/>
      <c r="P2543" s="9"/>
      <c r="Q2543" s="9"/>
      <c r="R2543" s="42"/>
      <c r="S2543" s="42"/>
      <c r="T2543" s="42"/>
      <c r="U2543" s="42"/>
      <c r="V2543" s="42"/>
      <c r="W2543" s="42"/>
    </row>
    <row r="2544">
      <c r="A2544" s="9"/>
      <c r="B2544" s="9"/>
      <c r="C2544" s="9"/>
      <c r="D2544" s="42"/>
      <c r="E2544" s="103"/>
      <c r="F2544" s="42"/>
      <c r="G2544" s="9"/>
      <c r="H2544" s="9"/>
      <c r="I2544" s="9"/>
      <c r="J2544" s="9"/>
      <c r="K2544" s="42"/>
      <c r="L2544" s="42"/>
      <c r="M2544" s="42"/>
      <c r="N2544" s="42"/>
      <c r="O2544" s="42"/>
      <c r="P2544" s="9"/>
      <c r="Q2544" s="9"/>
      <c r="R2544" s="42"/>
      <c r="S2544" s="42"/>
      <c r="T2544" s="42"/>
      <c r="U2544" s="42"/>
      <c r="V2544" s="42"/>
      <c r="W2544" s="42"/>
    </row>
    <row r="2545">
      <c r="A2545" s="9"/>
      <c r="B2545" s="9"/>
      <c r="C2545" s="9"/>
      <c r="D2545" s="42"/>
      <c r="E2545" s="103"/>
      <c r="F2545" s="42"/>
      <c r="G2545" s="9"/>
      <c r="H2545" s="9"/>
      <c r="I2545" s="9"/>
      <c r="J2545" s="9"/>
      <c r="K2545" s="42"/>
      <c r="L2545" s="42"/>
      <c r="M2545" s="42"/>
      <c r="N2545" s="42"/>
      <c r="O2545" s="42"/>
      <c r="P2545" s="9"/>
      <c r="Q2545" s="9"/>
      <c r="R2545" s="42"/>
      <c r="S2545" s="42"/>
      <c r="T2545" s="42"/>
      <c r="U2545" s="42"/>
      <c r="V2545" s="42"/>
      <c r="W2545" s="42"/>
    </row>
    <row r="2546">
      <c r="A2546" s="9"/>
      <c r="B2546" s="9"/>
      <c r="C2546" s="9"/>
      <c r="D2546" s="42"/>
      <c r="E2546" s="103"/>
      <c r="F2546" s="42"/>
      <c r="G2546" s="9"/>
      <c r="H2546" s="9"/>
      <c r="I2546" s="9"/>
      <c r="J2546" s="9"/>
      <c r="K2546" s="42"/>
      <c r="L2546" s="42"/>
      <c r="M2546" s="42"/>
      <c r="N2546" s="42"/>
      <c r="O2546" s="42"/>
      <c r="P2546" s="9"/>
      <c r="Q2546" s="9"/>
      <c r="R2546" s="42"/>
      <c r="S2546" s="42"/>
      <c r="T2546" s="42"/>
      <c r="U2546" s="42"/>
      <c r="V2546" s="42"/>
      <c r="W2546" s="42"/>
    </row>
    <row r="2547">
      <c r="A2547" s="9"/>
      <c r="B2547" s="9"/>
      <c r="C2547" s="9"/>
      <c r="D2547" s="42"/>
      <c r="E2547" s="103"/>
      <c r="F2547" s="42"/>
      <c r="G2547" s="9"/>
      <c r="H2547" s="9"/>
      <c r="I2547" s="9"/>
      <c r="J2547" s="9"/>
      <c r="K2547" s="42"/>
      <c r="L2547" s="42"/>
      <c r="M2547" s="42"/>
      <c r="N2547" s="42"/>
      <c r="O2547" s="42"/>
      <c r="P2547" s="9"/>
      <c r="Q2547" s="9"/>
      <c r="R2547" s="42"/>
      <c r="S2547" s="42"/>
      <c r="T2547" s="42"/>
      <c r="U2547" s="42"/>
      <c r="V2547" s="42"/>
      <c r="W2547" s="42"/>
    </row>
    <row r="2548">
      <c r="A2548" s="9"/>
      <c r="B2548" s="9"/>
      <c r="C2548" s="9"/>
      <c r="D2548" s="42"/>
      <c r="E2548" s="103"/>
      <c r="F2548" s="42"/>
      <c r="G2548" s="9"/>
      <c r="H2548" s="9"/>
      <c r="I2548" s="9"/>
      <c r="J2548" s="9"/>
      <c r="K2548" s="42"/>
      <c r="L2548" s="42"/>
      <c r="M2548" s="42"/>
      <c r="N2548" s="42"/>
      <c r="O2548" s="42"/>
      <c r="P2548" s="9"/>
      <c r="Q2548" s="9"/>
      <c r="R2548" s="42"/>
      <c r="S2548" s="42"/>
      <c r="T2548" s="42"/>
      <c r="U2548" s="42"/>
      <c r="V2548" s="42"/>
      <c r="W2548" s="42"/>
    </row>
    <row r="2549">
      <c r="A2549" s="9"/>
      <c r="B2549" s="9"/>
      <c r="C2549" s="9"/>
      <c r="D2549" s="42"/>
      <c r="E2549" s="103"/>
      <c r="F2549" s="42"/>
      <c r="G2549" s="9"/>
      <c r="H2549" s="9"/>
      <c r="I2549" s="9"/>
      <c r="J2549" s="9"/>
      <c r="K2549" s="42"/>
      <c r="L2549" s="42"/>
      <c r="M2549" s="42"/>
      <c r="N2549" s="42"/>
      <c r="O2549" s="42"/>
      <c r="P2549" s="9"/>
      <c r="Q2549" s="9"/>
      <c r="R2549" s="42"/>
      <c r="S2549" s="42"/>
      <c r="T2549" s="42"/>
      <c r="U2549" s="42"/>
      <c r="V2549" s="42"/>
      <c r="W2549" s="42"/>
    </row>
    <row r="2550">
      <c r="A2550" s="9"/>
      <c r="B2550" s="9"/>
      <c r="C2550" s="9"/>
      <c r="D2550" s="42"/>
      <c r="E2550" s="103"/>
      <c r="F2550" s="42"/>
      <c r="G2550" s="9"/>
      <c r="H2550" s="9"/>
      <c r="I2550" s="9"/>
      <c r="J2550" s="9"/>
      <c r="K2550" s="42"/>
      <c r="L2550" s="42"/>
      <c r="M2550" s="42"/>
      <c r="N2550" s="42"/>
      <c r="O2550" s="42"/>
      <c r="P2550" s="9"/>
      <c r="Q2550" s="9"/>
      <c r="R2550" s="42"/>
      <c r="S2550" s="42"/>
      <c r="T2550" s="42"/>
      <c r="U2550" s="42"/>
      <c r="V2550" s="42"/>
      <c r="W2550" s="42"/>
    </row>
    <row r="2551">
      <c r="A2551" s="9"/>
      <c r="B2551" s="9"/>
      <c r="C2551" s="9"/>
      <c r="D2551" s="42"/>
      <c r="E2551" s="103"/>
      <c r="F2551" s="42"/>
      <c r="G2551" s="9"/>
      <c r="H2551" s="9"/>
      <c r="I2551" s="9"/>
      <c r="J2551" s="9"/>
      <c r="K2551" s="42"/>
      <c r="L2551" s="42"/>
      <c r="M2551" s="42"/>
      <c r="N2551" s="42"/>
      <c r="O2551" s="42"/>
      <c r="P2551" s="9"/>
      <c r="Q2551" s="9"/>
      <c r="R2551" s="42"/>
      <c r="S2551" s="42"/>
      <c r="T2551" s="42"/>
      <c r="U2551" s="42"/>
      <c r="V2551" s="42"/>
      <c r="W2551" s="42"/>
    </row>
    <row r="2552">
      <c r="A2552" s="9"/>
      <c r="B2552" s="9"/>
      <c r="C2552" s="9"/>
      <c r="D2552" s="42"/>
      <c r="E2552" s="103"/>
      <c r="F2552" s="42"/>
      <c r="G2552" s="9"/>
      <c r="H2552" s="9"/>
      <c r="I2552" s="9"/>
      <c r="J2552" s="9"/>
      <c r="K2552" s="42"/>
      <c r="L2552" s="42"/>
      <c r="M2552" s="42"/>
      <c r="N2552" s="42"/>
      <c r="O2552" s="42"/>
      <c r="P2552" s="9"/>
      <c r="Q2552" s="9"/>
      <c r="R2552" s="42"/>
      <c r="S2552" s="42"/>
      <c r="T2552" s="42"/>
      <c r="U2552" s="42"/>
      <c r="V2552" s="42"/>
      <c r="W2552" s="42"/>
    </row>
    <row r="2553">
      <c r="A2553" s="9"/>
      <c r="B2553" s="9"/>
      <c r="C2553" s="9"/>
      <c r="D2553" s="42"/>
      <c r="E2553" s="103"/>
      <c r="F2553" s="42"/>
      <c r="G2553" s="9"/>
      <c r="H2553" s="9"/>
      <c r="I2553" s="9"/>
      <c r="J2553" s="9"/>
      <c r="K2553" s="42"/>
      <c r="L2553" s="42"/>
      <c r="M2553" s="42"/>
      <c r="N2553" s="42"/>
      <c r="O2553" s="42"/>
      <c r="P2553" s="9"/>
      <c r="Q2553" s="9"/>
      <c r="R2553" s="42"/>
      <c r="S2553" s="42"/>
      <c r="T2553" s="42"/>
      <c r="U2553" s="42"/>
      <c r="V2553" s="42"/>
      <c r="W2553" s="42"/>
    </row>
    <row r="2554">
      <c r="A2554" s="9"/>
      <c r="B2554" s="9"/>
      <c r="C2554" s="9"/>
      <c r="D2554" s="42"/>
      <c r="E2554" s="103"/>
      <c r="F2554" s="42"/>
      <c r="G2554" s="9"/>
      <c r="H2554" s="9"/>
      <c r="I2554" s="9"/>
      <c r="J2554" s="9"/>
      <c r="K2554" s="42"/>
      <c r="L2554" s="42"/>
      <c r="M2554" s="42"/>
      <c r="N2554" s="42"/>
      <c r="O2554" s="42"/>
      <c r="P2554" s="9"/>
      <c r="Q2554" s="9"/>
      <c r="R2554" s="42"/>
      <c r="S2554" s="42"/>
      <c r="T2554" s="42"/>
      <c r="U2554" s="42"/>
      <c r="V2554" s="42"/>
      <c r="W2554" s="42"/>
    </row>
    <row r="2555">
      <c r="A2555" s="9"/>
      <c r="B2555" s="9"/>
      <c r="C2555" s="9"/>
      <c r="D2555" s="42"/>
      <c r="E2555" s="103"/>
      <c r="F2555" s="42"/>
      <c r="G2555" s="9"/>
      <c r="H2555" s="9"/>
      <c r="I2555" s="9"/>
      <c r="J2555" s="9"/>
      <c r="K2555" s="42"/>
      <c r="L2555" s="42"/>
      <c r="M2555" s="42"/>
      <c r="N2555" s="42"/>
      <c r="O2555" s="42"/>
      <c r="P2555" s="9"/>
      <c r="Q2555" s="9"/>
      <c r="R2555" s="42"/>
      <c r="S2555" s="42"/>
      <c r="T2555" s="42"/>
      <c r="U2555" s="42"/>
      <c r="V2555" s="42"/>
      <c r="W2555" s="42"/>
    </row>
    <row r="2556">
      <c r="A2556" s="9"/>
      <c r="B2556" s="9"/>
      <c r="C2556" s="9"/>
      <c r="D2556" s="42"/>
      <c r="E2556" s="103"/>
      <c r="F2556" s="42"/>
      <c r="G2556" s="9"/>
      <c r="H2556" s="9"/>
      <c r="I2556" s="9"/>
      <c r="J2556" s="9"/>
      <c r="K2556" s="42"/>
      <c r="L2556" s="42"/>
      <c r="M2556" s="42"/>
      <c r="N2556" s="42"/>
      <c r="O2556" s="42"/>
      <c r="P2556" s="9"/>
      <c r="Q2556" s="9"/>
      <c r="R2556" s="42"/>
      <c r="S2556" s="42"/>
      <c r="T2556" s="42"/>
      <c r="U2556" s="42"/>
      <c r="V2556" s="42"/>
      <c r="W2556" s="42"/>
    </row>
    <row r="2557">
      <c r="A2557" s="9"/>
      <c r="B2557" s="9"/>
      <c r="C2557" s="9"/>
      <c r="D2557" s="42"/>
      <c r="E2557" s="103"/>
      <c r="F2557" s="42"/>
      <c r="G2557" s="9"/>
      <c r="H2557" s="9"/>
      <c r="I2557" s="9"/>
      <c r="J2557" s="9"/>
      <c r="K2557" s="42"/>
      <c r="L2557" s="42"/>
      <c r="M2557" s="42"/>
      <c r="N2557" s="42"/>
      <c r="O2557" s="42"/>
      <c r="P2557" s="9"/>
      <c r="Q2557" s="9"/>
      <c r="R2557" s="42"/>
      <c r="S2557" s="42"/>
      <c r="T2557" s="42"/>
      <c r="U2557" s="42"/>
      <c r="V2557" s="42"/>
      <c r="W2557" s="42"/>
    </row>
    <row r="2558">
      <c r="A2558" s="9"/>
      <c r="B2558" s="9"/>
      <c r="C2558" s="9"/>
      <c r="D2558" s="42"/>
      <c r="E2558" s="103"/>
      <c r="F2558" s="42"/>
      <c r="G2558" s="9"/>
      <c r="H2558" s="9"/>
      <c r="I2558" s="9"/>
      <c r="J2558" s="9"/>
      <c r="K2558" s="42"/>
      <c r="L2558" s="42"/>
      <c r="M2558" s="42"/>
      <c r="N2558" s="42"/>
      <c r="O2558" s="42"/>
      <c r="P2558" s="9"/>
      <c r="Q2558" s="9"/>
      <c r="R2558" s="42"/>
      <c r="S2558" s="42"/>
      <c r="T2558" s="42"/>
      <c r="U2558" s="42"/>
      <c r="V2558" s="42"/>
      <c r="W2558" s="42"/>
    </row>
    <row r="2559">
      <c r="A2559" s="9"/>
      <c r="B2559" s="9"/>
      <c r="C2559" s="9"/>
      <c r="D2559" s="42"/>
      <c r="E2559" s="103"/>
      <c r="F2559" s="42"/>
      <c r="G2559" s="9"/>
      <c r="H2559" s="9"/>
      <c r="I2559" s="9"/>
      <c r="J2559" s="9"/>
      <c r="K2559" s="42"/>
      <c r="L2559" s="42"/>
      <c r="M2559" s="42"/>
      <c r="N2559" s="42"/>
      <c r="O2559" s="42"/>
      <c r="P2559" s="9"/>
      <c r="Q2559" s="9"/>
      <c r="R2559" s="42"/>
      <c r="S2559" s="42"/>
      <c r="T2559" s="42"/>
      <c r="U2559" s="42"/>
      <c r="V2559" s="42"/>
      <c r="W2559" s="42"/>
    </row>
    <row r="2560">
      <c r="A2560" s="9"/>
      <c r="B2560" s="9"/>
      <c r="C2560" s="9"/>
      <c r="D2560" s="42"/>
      <c r="E2560" s="103"/>
      <c r="F2560" s="42"/>
      <c r="G2560" s="9"/>
      <c r="H2560" s="9"/>
      <c r="I2560" s="9"/>
      <c r="J2560" s="9"/>
      <c r="K2560" s="42"/>
      <c r="L2560" s="42"/>
      <c r="M2560" s="42"/>
      <c r="N2560" s="42"/>
      <c r="O2560" s="42"/>
      <c r="P2560" s="9"/>
      <c r="Q2560" s="9"/>
      <c r="R2560" s="42"/>
      <c r="S2560" s="42"/>
      <c r="T2560" s="42"/>
      <c r="U2560" s="42"/>
      <c r="V2560" s="42"/>
      <c r="W2560" s="42"/>
    </row>
    <row r="2561">
      <c r="A2561" s="9"/>
      <c r="B2561" s="9"/>
      <c r="C2561" s="9"/>
      <c r="D2561" s="42"/>
      <c r="E2561" s="103"/>
      <c r="F2561" s="42"/>
      <c r="G2561" s="9"/>
      <c r="H2561" s="9"/>
      <c r="I2561" s="9"/>
      <c r="J2561" s="9"/>
      <c r="K2561" s="42"/>
      <c r="L2561" s="42"/>
      <c r="M2561" s="42"/>
      <c r="N2561" s="42"/>
      <c r="O2561" s="42"/>
      <c r="P2561" s="9"/>
      <c r="Q2561" s="9"/>
      <c r="R2561" s="42"/>
      <c r="S2561" s="42"/>
      <c r="T2561" s="42"/>
      <c r="U2561" s="42"/>
      <c r="V2561" s="42"/>
      <c r="W2561" s="42"/>
    </row>
    <row r="2562">
      <c r="A2562" s="9"/>
      <c r="B2562" s="9"/>
      <c r="C2562" s="9"/>
      <c r="D2562" s="42"/>
      <c r="E2562" s="103"/>
      <c r="F2562" s="42"/>
      <c r="G2562" s="9"/>
      <c r="H2562" s="9"/>
      <c r="I2562" s="9"/>
      <c r="J2562" s="9"/>
      <c r="K2562" s="42"/>
      <c r="L2562" s="42"/>
      <c r="M2562" s="42"/>
      <c r="N2562" s="42"/>
      <c r="O2562" s="42"/>
      <c r="P2562" s="9"/>
      <c r="Q2562" s="9"/>
      <c r="R2562" s="42"/>
      <c r="S2562" s="42"/>
      <c r="T2562" s="42"/>
      <c r="U2562" s="42"/>
      <c r="V2562" s="42"/>
      <c r="W2562" s="42"/>
    </row>
    <row r="2563">
      <c r="A2563" s="9"/>
      <c r="B2563" s="9"/>
      <c r="C2563" s="9"/>
      <c r="D2563" s="42"/>
      <c r="E2563" s="103"/>
      <c r="F2563" s="42"/>
      <c r="G2563" s="9"/>
      <c r="H2563" s="9"/>
      <c r="I2563" s="9"/>
      <c r="J2563" s="9"/>
      <c r="K2563" s="42"/>
      <c r="L2563" s="42"/>
      <c r="M2563" s="42"/>
      <c r="N2563" s="42"/>
      <c r="O2563" s="42"/>
      <c r="P2563" s="9"/>
      <c r="Q2563" s="9"/>
      <c r="R2563" s="42"/>
      <c r="S2563" s="42"/>
      <c r="T2563" s="42"/>
      <c r="U2563" s="42"/>
      <c r="V2563" s="42"/>
      <c r="W2563" s="42"/>
    </row>
    <row r="2564">
      <c r="A2564" s="9"/>
      <c r="B2564" s="9"/>
      <c r="C2564" s="9"/>
      <c r="D2564" s="42"/>
      <c r="E2564" s="103"/>
      <c r="F2564" s="42"/>
      <c r="G2564" s="9"/>
      <c r="H2564" s="9"/>
      <c r="I2564" s="9"/>
      <c r="J2564" s="9"/>
      <c r="K2564" s="42"/>
      <c r="L2564" s="42"/>
      <c r="M2564" s="42"/>
      <c r="N2564" s="42"/>
      <c r="O2564" s="42"/>
      <c r="P2564" s="9"/>
      <c r="Q2564" s="9"/>
      <c r="R2564" s="42"/>
      <c r="S2564" s="42"/>
      <c r="T2564" s="42"/>
      <c r="U2564" s="42"/>
      <c r="V2564" s="42"/>
      <c r="W2564" s="42"/>
    </row>
    <row r="2565">
      <c r="A2565" s="9"/>
      <c r="B2565" s="9"/>
      <c r="C2565" s="9"/>
      <c r="D2565" s="42"/>
      <c r="E2565" s="103"/>
      <c r="F2565" s="42"/>
      <c r="G2565" s="9"/>
      <c r="H2565" s="9"/>
      <c r="I2565" s="9"/>
      <c r="J2565" s="9"/>
      <c r="K2565" s="42"/>
      <c r="L2565" s="42"/>
      <c r="M2565" s="42"/>
      <c r="N2565" s="42"/>
      <c r="O2565" s="42"/>
      <c r="P2565" s="9"/>
      <c r="Q2565" s="9"/>
      <c r="R2565" s="42"/>
      <c r="S2565" s="42"/>
      <c r="T2565" s="42"/>
      <c r="U2565" s="42"/>
      <c r="V2565" s="42"/>
      <c r="W2565" s="42"/>
    </row>
    <row r="2566">
      <c r="A2566" s="9"/>
      <c r="B2566" s="9"/>
      <c r="C2566" s="9"/>
      <c r="D2566" s="42"/>
      <c r="E2566" s="103"/>
      <c r="F2566" s="42"/>
      <c r="G2566" s="9"/>
      <c r="H2566" s="9"/>
      <c r="I2566" s="9"/>
      <c r="J2566" s="9"/>
      <c r="K2566" s="42"/>
      <c r="L2566" s="42"/>
      <c r="M2566" s="42"/>
      <c r="N2566" s="42"/>
      <c r="O2566" s="42"/>
      <c r="P2566" s="9"/>
      <c r="Q2566" s="9"/>
      <c r="R2566" s="42"/>
      <c r="S2566" s="42"/>
      <c r="T2566" s="42"/>
      <c r="U2566" s="42"/>
      <c r="V2566" s="42"/>
      <c r="W2566" s="42"/>
    </row>
    <row r="2567">
      <c r="A2567" s="9"/>
      <c r="B2567" s="9"/>
      <c r="C2567" s="9"/>
      <c r="D2567" s="42"/>
      <c r="E2567" s="103"/>
      <c r="F2567" s="42"/>
      <c r="G2567" s="9"/>
      <c r="H2567" s="9"/>
      <c r="I2567" s="9"/>
      <c r="J2567" s="9"/>
      <c r="K2567" s="42"/>
      <c r="L2567" s="42"/>
      <c r="M2567" s="42"/>
      <c r="N2567" s="42"/>
      <c r="O2567" s="42"/>
      <c r="P2567" s="9"/>
      <c r="Q2567" s="9"/>
      <c r="R2567" s="42"/>
      <c r="S2567" s="42"/>
      <c r="T2567" s="42"/>
      <c r="U2567" s="42"/>
      <c r="V2567" s="42"/>
      <c r="W2567" s="42"/>
    </row>
    <row r="2568">
      <c r="A2568" s="9"/>
      <c r="B2568" s="9"/>
      <c r="C2568" s="9"/>
      <c r="D2568" s="42"/>
      <c r="E2568" s="103"/>
      <c r="F2568" s="42"/>
      <c r="G2568" s="9"/>
      <c r="H2568" s="9"/>
      <c r="I2568" s="9"/>
      <c r="J2568" s="9"/>
      <c r="K2568" s="42"/>
      <c r="L2568" s="42"/>
      <c r="M2568" s="42"/>
      <c r="N2568" s="42"/>
      <c r="O2568" s="42"/>
      <c r="P2568" s="9"/>
      <c r="Q2568" s="9"/>
      <c r="R2568" s="42"/>
      <c r="S2568" s="42"/>
      <c r="T2568" s="42"/>
      <c r="U2568" s="42"/>
      <c r="V2568" s="42"/>
      <c r="W2568" s="42"/>
    </row>
    <row r="2569">
      <c r="A2569" s="9"/>
      <c r="B2569" s="9"/>
      <c r="C2569" s="9"/>
      <c r="D2569" s="42"/>
      <c r="E2569" s="103"/>
      <c r="F2569" s="42"/>
      <c r="G2569" s="9"/>
      <c r="H2569" s="9"/>
      <c r="I2569" s="9"/>
      <c r="J2569" s="9"/>
      <c r="K2569" s="42"/>
      <c r="L2569" s="42"/>
      <c r="M2569" s="42"/>
      <c r="N2569" s="42"/>
      <c r="O2569" s="42"/>
      <c r="P2569" s="9"/>
      <c r="Q2569" s="9"/>
      <c r="R2569" s="42"/>
      <c r="S2569" s="42"/>
      <c r="T2569" s="42"/>
      <c r="U2569" s="42"/>
      <c r="V2569" s="42"/>
      <c r="W2569" s="42"/>
    </row>
    <row r="2570">
      <c r="A2570" s="9"/>
      <c r="B2570" s="9"/>
      <c r="C2570" s="9"/>
      <c r="D2570" s="42"/>
      <c r="E2570" s="103"/>
      <c r="F2570" s="42"/>
      <c r="G2570" s="9"/>
      <c r="H2570" s="9"/>
      <c r="I2570" s="9"/>
      <c r="J2570" s="9"/>
      <c r="K2570" s="42"/>
      <c r="L2570" s="42"/>
      <c r="M2570" s="42"/>
      <c r="N2570" s="42"/>
      <c r="O2570" s="42"/>
      <c r="P2570" s="9"/>
      <c r="Q2570" s="9"/>
      <c r="R2570" s="42"/>
      <c r="S2570" s="42"/>
      <c r="T2570" s="42"/>
      <c r="U2570" s="42"/>
      <c r="V2570" s="42"/>
      <c r="W2570" s="42"/>
    </row>
    <row r="2571">
      <c r="A2571" s="9"/>
      <c r="B2571" s="9"/>
      <c r="C2571" s="9"/>
      <c r="D2571" s="42"/>
      <c r="E2571" s="103"/>
      <c r="F2571" s="42"/>
      <c r="G2571" s="9"/>
      <c r="H2571" s="9"/>
      <c r="I2571" s="9"/>
      <c r="J2571" s="9"/>
      <c r="K2571" s="42"/>
      <c r="L2571" s="42"/>
      <c r="M2571" s="42"/>
      <c r="N2571" s="42"/>
      <c r="O2571" s="42"/>
      <c r="P2571" s="9"/>
      <c r="Q2571" s="9"/>
      <c r="R2571" s="42"/>
      <c r="S2571" s="42"/>
      <c r="T2571" s="42"/>
      <c r="U2571" s="42"/>
      <c r="V2571" s="42"/>
      <c r="W2571" s="42"/>
    </row>
    <row r="2572">
      <c r="A2572" s="9"/>
      <c r="B2572" s="9"/>
      <c r="C2572" s="9"/>
      <c r="D2572" s="42"/>
      <c r="E2572" s="103"/>
      <c r="F2572" s="42"/>
      <c r="G2572" s="9"/>
      <c r="H2572" s="9"/>
      <c r="I2572" s="9"/>
      <c r="J2572" s="9"/>
      <c r="K2572" s="42"/>
      <c r="L2572" s="42"/>
      <c r="M2572" s="42"/>
      <c r="N2572" s="42"/>
      <c r="O2572" s="42"/>
      <c r="P2572" s="9"/>
      <c r="Q2572" s="9"/>
      <c r="R2572" s="42"/>
      <c r="S2572" s="42"/>
      <c r="T2572" s="42"/>
      <c r="U2572" s="42"/>
      <c r="V2572" s="42"/>
      <c r="W2572" s="42"/>
    </row>
    <row r="2573">
      <c r="A2573" s="9"/>
      <c r="B2573" s="9"/>
      <c r="C2573" s="9"/>
      <c r="D2573" s="42"/>
      <c r="E2573" s="103"/>
      <c r="F2573" s="42"/>
      <c r="G2573" s="9"/>
      <c r="H2573" s="9"/>
      <c r="I2573" s="9"/>
      <c r="J2573" s="9"/>
      <c r="K2573" s="42"/>
      <c r="L2573" s="42"/>
      <c r="M2573" s="42"/>
      <c r="N2573" s="42"/>
      <c r="O2573" s="42"/>
      <c r="P2573" s="9"/>
      <c r="Q2573" s="9"/>
      <c r="R2573" s="42"/>
      <c r="S2573" s="42"/>
      <c r="T2573" s="42"/>
      <c r="U2573" s="42"/>
      <c r="V2573" s="42"/>
      <c r="W2573" s="42"/>
    </row>
    <row r="2574">
      <c r="A2574" s="9"/>
      <c r="B2574" s="9"/>
      <c r="C2574" s="9"/>
      <c r="D2574" s="42"/>
      <c r="E2574" s="103"/>
      <c r="F2574" s="42"/>
      <c r="G2574" s="9"/>
      <c r="H2574" s="9"/>
      <c r="I2574" s="9"/>
      <c r="J2574" s="9"/>
      <c r="K2574" s="42"/>
      <c r="L2574" s="42"/>
      <c r="M2574" s="42"/>
      <c r="N2574" s="42"/>
      <c r="O2574" s="42"/>
      <c r="P2574" s="9"/>
      <c r="Q2574" s="9"/>
      <c r="R2574" s="42"/>
      <c r="S2574" s="42"/>
      <c r="T2574" s="42"/>
      <c r="U2574" s="42"/>
      <c r="V2574" s="42"/>
      <c r="W2574" s="42"/>
    </row>
    <row r="2575">
      <c r="A2575" s="9"/>
      <c r="B2575" s="9"/>
      <c r="C2575" s="9"/>
      <c r="D2575" s="42"/>
      <c r="E2575" s="103"/>
      <c r="F2575" s="42"/>
      <c r="G2575" s="9"/>
      <c r="H2575" s="9"/>
      <c r="I2575" s="9"/>
      <c r="J2575" s="9"/>
      <c r="K2575" s="42"/>
      <c r="L2575" s="42"/>
      <c r="M2575" s="42"/>
      <c r="N2575" s="42"/>
      <c r="O2575" s="42"/>
      <c r="P2575" s="9"/>
      <c r="Q2575" s="9"/>
      <c r="R2575" s="42"/>
      <c r="S2575" s="42"/>
      <c r="T2575" s="42"/>
      <c r="U2575" s="42"/>
      <c r="V2575" s="42"/>
      <c r="W2575" s="42"/>
    </row>
    <row r="2576">
      <c r="A2576" s="9"/>
      <c r="B2576" s="9"/>
      <c r="C2576" s="9"/>
      <c r="D2576" s="42"/>
      <c r="E2576" s="103"/>
      <c r="F2576" s="42"/>
      <c r="G2576" s="9"/>
      <c r="H2576" s="9"/>
      <c r="I2576" s="9"/>
      <c r="J2576" s="9"/>
      <c r="K2576" s="42"/>
      <c r="L2576" s="42"/>
      <c r="M2576" s="42"/>
      <c r="N2576" s="42"/>
      <c r="O2576" s="42"/>
      <c r="P2576" s="9"/>
      <c r="Q2576" s="9"/>
      <c r="R2576" s="42"/>
      <c r="S2576" s="42"/>
      <c r="T2576" s="42"/>
      <c r="U2576" s="42"/>
      <c r="V2576" s="42"/>
      <c r="W2576" s="42"/>
    </row>
    <row r="2577">
      <c r="A2577" s="9"/>
      <c r="B2577" s="9"/>
      <c r="C2577" s="9"/>
      <c r="D2577" s="42"/>
      <c r="E2577" s="103"/>
      <c r="F2577" s="42"/>
      <c r="G2577" s="9"/>
      <c r="H2577" s="9"/>
      <c r="I2577" s="9"/>
      <c r="J2577" s="9"/>
      <c r="K2577" s="42"/>
      <c r="L2577" s="42"/>
      <c r="M2577" s="42"/>
      <c r="N2577" s="42"/>
      <c r="O2577" s="42"/>
      <c r="P2577" s="9"/>
      <c r="Q2577" s="9"/>
      <c r="R2577" s="42"/>
      <c r="S2577" s="42"/>
      <c r="T2577" s="42"/>
      <c r="U2577" s="42"/>
      <c r="V2577" s="42"/>
      <c r="W2577" s="42"/>
    </row>
    <row r="2578">
      <c r="A2578" s="9"/>
      <c r="B2578" s="9"/>
      <c r="C2578" s="9"/>
      <c r="D2578" s="42"/>
      <c r="E2578" s="103"/>
      <c r="F2578" s="42"/>
      <c r="G2578" s="9"/>
      <c r="H2578" s="9"/>
      <c r="I2578" s="9"/>
      <c r="J2578" s="9"/>
      <c r="K2578" s="42"/>
      <c r="L2578" s="42"/>
      <c r="M2578" s="42"/>
      <c r="N2578" s="42"/>
      <c r="O2578" s="42"/>
      <c r="P2578" s="9"/>
      <c r="Q2578" s="9"/>
      <c r="R2578" s="42"/>
      <c r="S2578" s="42"/>
      <c r="T2578" s="42"/>
      <c r="U2578" s="42"/>
      <c r="V2578" s="42"/>
      <c r="W2578" s="42"/>
    </row>
    <row r="2579">
      <c r="A2579" s="9"/>
      <c r="B2579" s="9"/>
      <c r="C2579" s="9"/>
      <c r="D2579" s="42"/>
      <c r="E2579" s="103"/>
      <c r="F2579" s="42"/>
      <c r="G2579" s="9"/>
      <c r="H2579" s="9"/>
      <c r="I2579" s="9"/>
      <c r="J2579" s="9"/>
      <c r="K2579" s="42"/>
      <c r="L2579" s="42"/>
      <c r="M2579" s="42"/>
      <c r="N2579" s="42"/>
      <c r="O2579" s="42"/>
      <c r="P2579" s="9"/>
      <c r="Q2579" s="9"/>
      <c r="R2579" s="42"/>
      <c r="S2579" s="42"/>
      <c r="T2579" s="42"/>
      <c r="U2579" s="42"/>
      <c r="V2579" s="42"/>
      <c r="W2579" s="42"/>
    </row>
    <row r="2580">
      <c r="A2580" s="9"/>
      <c r="B2580" s="9"/>
      <c r="C2580" s="9"/>
      <c r="D2580" s="42"/>
      <c r="E2580" s="103"/>
      <c r="F2580" s="42"/>
      <c r="G2580" s="9"/>
      <c r="H2580" s="9"/>
      <c r="I2580" s="9"/>
      <c r="J2580" s="9"/>
      <c r="K2580" s="42"/>
      <c r="L2580" s="42"/>
      <c r="M2580" s="42"/>
      <c r="N2580" s="42"/>
      <c r="O2580" s="42"/>
      <c r="P2580" s="9"/>
      <c r="Q2580" s="9"/>
      <c r="R2580" s="42"/>
      <c r="S2580" s="42"/>
      <c r="T2580" s="42"/>
      <c r="U2580" s="42"/>
      <c r="V2580" s="42"/>
      <c r="W2580" s="42"/>
    </row>
    <row r="2581">
      <c r="A2581" s="9"/>
      <c r="B2581" s="9"/>
      <c r="C2581" s="9"/>
      <c r="D2581" s="42"/>
      <c r="E2581" s="103"/>
      <c r="F2581" s="42"/>
      <c r="G2581" s="9"/>
      <c r="H2581" s="9"/>
      <c r="I2581" s="9"/>
      <c r="J2581" s="9"/>
      <c r="K2581" s="42"/>
      <c r="L2581" s="42"/>
      <c r="M2581" s="42"/>
      <c r="N2581" s="42"/>
      <c r="O2581" s="42"/>
      <c r="P2581" s="9"/>
      <c r="Q2581" s="9"/>
      <c r="R2581" s="42"/>
      <c r="S2581" s="42"/>
      <c r="T2581" s="42"/>
      <c r="U2581" s="42"/>
      <c r="V2581" s="42"/>
      <c r="W2581" s="42"/>
    </row>
    <row r="2582">
      <c r="A2582" s="9"/>
      <c r="B2582" s="9"/>
      <c r="C2582" s="9"/>
      <c r="D2582" s="42"/>
      <c r="E2582" s="103"/>
      <c r="F2582" s="42"/>
      <c r="G2582" s="9"/>
      <c r="H2582" s="9"/>
      <c r="I2582" s="9"/>
      <c r="J2582" s="9"/>
      <c r="K2582" s="42"/>
      <c r="L2582" s="42"/>
      <c r="M2582" s="42"/>
      <c r="N2582" s="42"/>
      <c r="O2582" s="42"/>
      <c r="P2582" s="9"/>
      <c r="Q2582" s="9"/>
      <c r="R2582" s="42"/>
      <c r="S2582" s="42"/>
      <c r="T2582" s="42"/>
      <c r="U2582" s="42"/>
      <c r="V2582" s="42"/>
      <c r="W2582" s="42"/>
    </row>
    <row r="2583">
      <c r="A2583" s="9"/>
      <c r="B2583" s="9"/>
      <c r="C2583" s="9"/>
      <c r="D2583" s="42"/>
      <c r="E2583" s="103"/>
      <c r="F2583" s="42"/>
      <c r="G2583" s="9"/>
      <c r="H2583" s="9"/>
      <c r="I2583" s="9"/>
      <c r="J2583" s="9"/>
      <c r="K2583" s="42"/>
      <c r="L2583" s="42"/>
      <c r="M2583" s="42"/>
      <c r="N2583" s="42"/>
      <c r="O2583" s="42"/>
      <c r="P2583" s="9"/>
      <c r="Q2583" s="9"/>
      <c r="R2583" s="42"/>
      <c r="S2583" s="42"/>
      <c r="T2583" s="42"/>
      <c r="U2583" s="42"/>
      <c r="V2583" s="42"/>
      <c r="W2583" s="42"/>
    </row>
    <row r="2584">
      <c r="A2584" s="9"/>
      <c r="B2584" s="9"/>
      <c r="C2584" s="9"/>
      <c r="D2584" s="42"/>
      <c r="E2584" s="103"/>
      <c r="F2584" s="42"/>
      <c r="G2584" s="9"/>
      <c r="H2584" s="9"/>
      <c r="I2584" s="9"/>
      <c r="J2584" s="9"/>
      <c r="K2584" s="42"/>
      <c r="L2584" s="42"/>
      <c r="M2584" s="42"/>
      <c r="N2584" s="42"/>
      <c r="O2584" s="42"/>
      <c r="P2584" s="9"/>
      <c r="Q2584" s="9"/>
      <c r="R2584" s="42"/>
      <c r="S2584" s="42"/>
      <c r="T2584" s="42"/>
      <c r="U2584" s="42"/>
      <c r="V2584" s="42"/>
      <c r="W2584" s="42"/>
    </row>
    <row r="2585">
      <c r="A2585" s="9"/>
      <c r="B2585" s="9"/>
      <c r="C2585" s="9"/>
      <c r="D2585" s="42"/>
      <c r="E2585" s="103"/>
      <c r="F2585" s="42"/>
      <c r="G2585" s="9"/>
      <c r="H2585" s="9"/>
      <c r="I2585" s="9"/>
      <c r="J2585" s="9"/>
      <c r="K2585" s="42"/>
      <c r="L2585" s="42"/>
      <c r="M2585" s="42"/>
      <c r="N2585" s="42"/>
      <c r="O2585" s="42"/>
      <c r="P2585" s="9"/>
      <c r="Q2585" s="9"/>
      <c r="R2585" s="42"/>
      <c r="S2585" s="42"/>
      <c r="T2585" s="42"/>
      <c r="U2585" s="42"/>
      <c r="V2585" s="42"/>
      <c r="W2585" s="42"/>
    </row>
    <row r="2586">
      <c r="A2586" s="9"/>
      <c r="B2586" s="9"/>
      <c r="C2586" s="9"/>
      <c r="D2586" s="42"/>
      <c r="E2586" s="103"/>
      <c r="F2586" s="42"/>
      <c r="G2586" s="9"/>
      <c r="H2586" s="9"/>
      <c r="I2586" s="9"/>
      <c r="J2586" s="9"/>
      <c r="K2586" s="42"/>
      <c r="L2586" s="42"/>
      <c r="M2586" s="42"/>
      <c r="N2586" s="42"/>
      <c r="O2586" s="42"/>
      <c r="P2586" s="9"/>
      <c r="Q2586" s="9"/>
      <c r="R2586" s="42"/>
      <c r="S2586" s="42"/>
      <c r="T2586" s="42"/>
      <c r="U2586" s="42"/>
      <c r="V2586" s="42"/>
      <c r="W2586" s="42"/>
    </row>
    <row r="2587">
      <c r="A2587" s="9"/>
      <c r="B2587" s="9"/>
      <c r="C2587" s="9"/>
      <c r="D2587" s="42"/>
      <c r="E2587" s="103"/>
      <c r="F2587" s="42"/>
      <c r="G2587" s="9"/>
      <c r="H2587" s="9"/>
      <c r="I2587" s="9"/>
      <c r="J2587" s="9"/>
      <c r="K2587" s="42"/>
      <c r="L2587" s="42"/>
      <c r="M2587" s="42"/>
      <c r="N2587" s="42"/>
      <c r="O2587" s="42"/>
      <c r="P2587" s="9"/>
      <c r="Q2587" s="9"/>
      <c r="R2587" s="42"/>
      <c r="S2587" s="42"/>
      <c r="T2587" s="42"/>
      <c r="U2587" s="42"/>
      <c r="V2587" s="42"/>
      <c r="W2587" s="42"/>
    </row>
    <row r="2588">
      <c r="A2588" s="9"/>
      <c r="B2588" s="9"/>
      <c r="C2588" s="9"/>
      <c r="D2588" s="42"/>
      <c r="E2588" s="103"/>
      <c r="F2588" s="42"/>
      <c r="G2588" s="9"/>
      <c r="H2588" s="9"/>
      <c r="I2588" s="9"/>
      <c r="J2588" s="9"/>
      <c r="K2588" s="42"/>
      <c r="L2588" s="42"/>
      <c r="M2588" s="42"/>
      <c r="N2588" s="42"/>
      <c r="O2588" s="42"/>
      <c r="P2588" s="9"/>
      <c r="Q2588" s="9"/>
      <c r="R2588" s="42"/>
      <c r="S2588" s="42"/>
      <c r="T2588" s="42"/>
      <c r="U2588" s="42"/>
      <c r="V2588" s="42"/>
      <c r="W2588" s="42"/>
    </row>
    <row r="2589">
      <c r="A2589" s="9"/>
      <c r="B2589" s="9"/>
      <c r="C2589" s="9"/>
      <c r="D2589" s="42"/>
      <c r="E2589" s="103"/>
      <c r="F2589" s="42"/>
      <c r="G2589" s="9"/>
      <c r="H2589" s="9"/>
      <c r="I2589" s="9"/>
      <c r="J2589" s="9"/>
      <c r="K2589" s="42"/>
      <c r="L2589" s="42"/>
      <c r="M2589" s="42"/>
      <c r="N2589" s="42"/>
      <c r="O2589" s="42"/>
      <c r="P2589" s="9"/>
      <c r="Q2589" s="9"/>
      <c r="R2589" s="42"/>
      <c r="S2589" s="42"/>
      <c r="T2589" s="42"/>
      <c r="U2589" s="42"/>
      <c r="V2589" s="42"/>
      <c r="W2589" s="42"/>
    </row>
    <row r="2590">
      <c r="A2590" s="9"/>
      <c r="B2590" s="9"/>
      <c r="C2590" s="9"/>
      <c r="D2590" s="42"/>
      <c r="E2590" s="103"/>
      <c r="F2590" s="42"/>
      <c r="G2590" s="9"/>
      <c r="H2590" s="9"/>
      <c r="I2590" s="9"/>
      <c r="J2590" s="9"/>
      <c r="K2590" s="42"/>
      <c r="L2590" s="42"/>
      <c r="M2590" s="42"/>
      <c r="N2590" s="42"/>
      <c r="O2590" s="42"/>
      <c r="P2590" s="9"/>
      <c r="Q2590" s="9"/>
      <c r="R2590" s="42"/>
      <c r="S2590" s="42"/>
      <c r="T2590" s="42"/>
      <c r="U2590" s="42"/>
      <c r="V2590" s="42"/>
      <c r="W2590" s="42"/>
    </row>
    <row r="2591">
      <c r="A2591" s="9"/>
      <c r="B2591" s="9"/>
      <c r="C2591" s="9"/>
      <c r="D2591" s="42"/>
      <c r="E2591" s="103"/>
      <c r="F2591" s="42"/>
      <c r="G2591" s="9"/>
      <c r="H2591" s="9"/>
      <c r="I2591" s="9"/>
      <c r="J2591" s="9"/>
      <c r="K2591" s="42"/>
      <c r="L2591" s="42"/>
      <c r="M2591" s="42"/>
      <c r="N2591" s="42"/>
      <c r="O2591" s="42"/>
      <c r="P2591" s="9"/>
      <c r="Q2591" s="9"/>
      <c r="R2591" s="42"/>
      <c r="S2591" s="42"/>
      <c r="T2591" s="42"/>
      <c r="U2591" s="42"/>
      <c r="V2591" s="42"/>
      <c r="W2591" s="42"/>
    </row>
    <row r="2592">
      <c r="A2592" s="9"/>
      <c r="B2592" s="9"/>
      <c r="C2592" s="9"/>
      <c r="D2592" s="42"/>
      <c r="E2592" s="103"/>
      <c r="F2592" s="42"/>
      <c r="G2592" s="9"/>
      <c r="H2592" s="9"/>
      <c r="I2592" s="9"/>
      <c r="J2592" s="9"/>
      <c r="K2592" s="42"/>
      <c r="L2592" s="42"/>
      <c r="M2592" s="42"/>
      <c r="N2592" s="42"/>
      <c r="O2592" s="42"/>
      <c r="P2592" s="9"/>
      <c r="Q2592" s="9"/>
      <c r="R2592" s="42"/>
      <c r="S2592" s="42"/>
      <c r="T2592" s="42"/>
      <c r="U2592" s="42"/>
      <c r="V2592" s="42"/>
      <c r="W2592" s="42"/>
    </row>
    <row r="2593">
      <c r="A2593" s="9"/>
      <c r="B2593" s="9"/>
      <c r="C2593" s="9"/>
      <c r="D2593" s="42"/>
      <c r="E2593" s="103"/>
      <c r="F2593" s="42"/>
      <c r="G2593" s="9"/>
      <c r="H2593" s="9"/>
      <c r="I2593" s="9"/>
      <c r="J2593" s="9"/>
      <c r="K2593" s="42"/>
      <c r="L2593" s="42"/>
      <c r="M2593" s="42"/>
      <c r="N2593" s="42"/>
      <c r="O2593" s="42"/>
      <c r="P2593" s="9"/>
      <c r="Q2593" s="9"/>
      <c r="R2593" s="42"/>
      <c r="S2593" s="42"/>
      <c r="T2593" s="42"/>
      <c r="U2593" s="42"/>
      <c r="V2593" s="42"/>
      <c r="W2593" s="42"/>
    </row>
    <row r="2594">
      <c r="A2594" s="9"/>
      <c r="B2594" s="9"/>
      <c r="C2594" s="9"/>
      <c r="D2594" s="42"/>
      <c r="E2594" s="103"/>
      <c r="F2594" s="42"/>
      <c r="G2594" s="9"/>
      <c r="H2594" s="9"/>
      <c r="I2594" s="9"/>
      <c r="J2594" s="9"/>
      <c r="K2594" s="42"/>
      <c r="L2594" s="42"/>
      <c r="M2594" s="42"/>
      <c r="N2594" s="42"/>
      <c r="O2594" s="42"/>
      <c r="P2594" s="9"/>
      <c r="Q2594" s="9"/>
      <c r="R2594" s="42"/>
      <c r="S2594" s="42"/>
      <c r="T2594" s="42"/>
      <c r="U2594" s="42"/>
      <c r="V2594" s="42"/>
      <c r="W2594" s="42"/>
    </row>
    <row r="2595">
      <c r="A2595" s="9"/>
      <c r="B2595" s="9"/>
      <c r="C2595" s="9"/>
      <c r="D2595" s="42"/>
      <c r="E2595" s="103"/>
      <c r="F2595" s="42"/>
      <c r="G2595" s="9"/>
      <c r="H2595" s="9"/>
      <c r="I2595" s="9"/>
      <c r="J2595" s="9"/>
      <c r="K2595" s="42"/>
      <c r="L2595" s="42"/>
      <c r="M2595" s="42"/>
      <c r="N2595" s="42"/>
      <c r="O2595" s="42"/>
      <c r="P2595" s="9"/>
      <c r="Q2595" s="9"/>
      <c r="R2595" s="42"/>
      <c r="S2595" s="42"/>
      <c r="T2595" s="42"/>
      <c r="U2595" s="42"/>
      <c r="V2595" s="42"/>
      <c r="W2595" s="42"/>
    </row>
    <row r="2596">
      <c r="A2596" s="9"/>
      <c r="B2596" s="9"/>
      <c r="C2596" s="9"/>
      <c r="D2596" s="42"/>
      <c r="E2596" s="103"/>
      <c r="F2596" s="42"/>
      <c r="G2596" s="9"/>
      <c r="H2596" s="9"/>
      <c r="I2596" s="9"/>
      <c r="J2596" s="9"/>
      <c r="K2596" s="42"/>
      <c r="L2596" s="42"/>
      <c r="M2596" s="42"/>
      <c r="N2596" s="42"/>
      <c r="O2596" s="42"/>
      <c r="P2596" s="9"/>
      <c r="Q2596" s="9"/>
      <c r="R2596" s="42"/>
      <c r="S2596" s="42"/>
      <c r="T2596" s="42"/>
      <c r="U2596" s="42"/>
      <c r="V2596" s="42"/>
      <c r="W2596" s="42"/>
    </row>
    <row r="2597">
      <c r="A2597" s="9"/>
      <c r="B2597" s="9"/>
      <c r="C2597" s="9"/>
      <c r="D2597" s="42"/>
      <c r="E2597" s="103"/>
      <c r="F2597" s="42"/>
      <c r="G2597" s="9"/>
      <c r="H2597" s="9"/>
      <c r="I2597" s="9"/>
      <c r="J2597" s="9"/>
      <c r="K2597" s="42"/>
      <c r="L2597" s="42"/>
      <c r="M2597" s="42"/>
      <c r="N2597" s="42"/>
      <c r="O2597" s="42"/>
      <c r="P2597" s="9"/>
      <c r="Q2597" s="9"/>
      <c r="R2597" s="42"/>
      <c r="S2597" s="42"/>
      <c r="T2597" s="42"/>
      <c r="U2597" s="42"/>
      <c r="V2597" s="42"/>
      <c r="W2597" s="42"/>
    </row>
    <row r="2598">
      <c r="A2598" s="9"/>
      <c r="B2598" s="9"/>
      <c r="C2598" s="9"/>
      <c r="D2598" s="42"/>
      <c r="E2598" s="103"/>
      <c r="F2598" s="42"/>
      <c r="G2598" s="9"/>
      <c r="H2598" s="9"/>
      <c r="I2598" s="9"/>
      <c r="J2598" s="9"/>
      <c r="K2598" s="42"/>
      <c r="L2598" s="42"/>
      <c r="M2598" s="42"/>
      <c r="N2598" s="42"/>
      <c r="O2598" s="42"/>
      <c r="P2598" s="9"/>
      <c r="Q2598" s="9"/>
      <c r="R2598" s="42"/>
      <c r="S2598" s="42"/>
      <c r="T2598" s="42"/>
      <c r="U2598" s="42"/>
      <c r="V2598" s="42"/>
      <c r="W2598" s="42"/>
    </row>
    <row r="2599">
      <c r="A2599" s="9"/>
      <c r="B2599" s="9"/>
      <c r="C2599" s="9"/>
      <c r="D2599" s="42"/>
      <c r="E2599" s="103"/>
      <c r="F2599" s="42"/>
      <c r="G2599" s="9"/>
      <c r="H2599" s="9"/>
      <c r="I2599" s="9"/>
      <c r="J2599" s="9"/>
      <c r="K2599" s="42"/>
      <c r="L2599" s="42"/>
      <c r="M2599" s="42"/>
      <c r="N2599" s="42"/>
      <c r="O2599" s="42"/>
      <c r="P2599" s="9"/>
      <c r="Q2599" s="9"/>
      <c r="R2599" s="42"/>
      <c r="S2599" s="42"/>
      <c r="T2599" s="42"/>
      <c r="U2599" s="42"/>
      <c r="V2599" s="42"/>
      <c r="W2599" s="42"/>
    </row>
    <row r="2600">
      <c r="A2600" s="9"/>
      <c r="B2600" s="9"/>
      <c r="C2600" s="9"/>
      <c r="D2600" s="42"/>
      <c r="E2600" s="103"/>
      <c r="F2600" s="42"/>
      <c r="G2600" s="9"/>
      <c r="H2600" s="9"/>
      <c r="I2600" s="9"/>
      <c r="J2600" s="9"/>
      <c r="K2600" s="42"/>
      <c r="L2600" s="42"/>
      <c r="M2600" s="42"/>
      <c r="N2600" s="42"/>
      <c r="O2600" s="42"/>
      <c r="P2600" s="9"/>
      <c r="Q2600" s="9"/>
      <c r="R2600" s="42"/>
      <c r="S2600" s="42"/>
      <c r="T2600" s="42"/>
      <c r="U2600" s="42"/>
      <c r="V2600" s="42"/>
      <c r="W2600" s="42"/>
    </row>
    <row r="2601">
      <c r="A2601" s="9"/>
      <c r="B2601" s="9"/>
      <c r="C2601" s="9"/>
      <c r="D2601" s="42"/>
      <c r="E2601" s="103"/>
      <c r="F2601" s="42"/>
      <c r="G2601" s="9"/>
      <c r="H2601" s="9"/>
      <c r="I2601" s="9"/>
      <c r="J2601" s="9"/>
      <c r="K2601" s="42"/>
      <c r="L2601" s="42"/>
      <c r="M2601" s="42"/>
      <c r="N2601" s="42"/>
      <c r="O2601" s="42"/>
      <c r="P2601" s="9"/>
      <c r="Q2601" s="9"/>
      <c r="R2601" s="42"/>
      <c r="S2601" s="42"/>
      <c r="T2601" s="42"/>
      <c r="U2601" s="42"/>
      <c r="V2601" s="42"/>
      <c r="W2601" s="42"/>
    </row>
    <row r="2602">
      <c r="A2602" s="9"/>
      <c r="B2602" s="9"/>
      <c r="C2602" s="9"/>
      <c r="D2602" s="42"/>
      <c r="E2602" s="103"/>
      <c r="F2602" s="42"/>
      <c r="G2602" s="9"/>
      <c r="H2602" s="9"/>
      <c r="I2602" s="9"/>
      <c r="J2602" s="9"/>
      <c r="K2602" s="42"/>
      <c r="L2602" s="42"/>
      <c r="M2602" s="42"/>
      <c r="N2602" s="42"/>
      <c r="O2602" s="42"/>
      <c r="P2602" s="9"/>
      <c r="Q2602" s="9"/>
      <c r="R2602" s="42"/>
      <c r="S2602" s="42"/>
      <c r="T2602" s="42"/>
      <c r="U2602" s="42"/>
      <c r="V2602" s="42"/>
      <c r="W2602" s="42"/>
    </row>
    <row r="2603">
      <c r="A2603" s="9"/>
      <c r="B2603" s="9"/>
      <c r="C2603" s="9"/>
      <c r="D2603" s="42"/>
      <c r="E2603" s="103"/>
      <c r="F2603" s="42"/>
      <c r="G2603" s="9"/>
      <c r="H2603" s="9"/>
      <c r="I2603" s="9"/>
      <c r="J2603" s="9"/>
      <c r="K2603" s="42"/>
      <c r="L2603" s="42"/>
      <c r="M2603" s="42"/>
      <c r="N2603" s="42"/>
      <c r="O2603" s="42"/>
      <c r="P2603" s="9"/>
      <c r="Q2603" s="9"/>
      <c r="R2603" s="42"/>
      <c r="S2603" s="42"/>
      <c r="T2603" s="42"/>
      <c r="U2603" s="42"/>
      <c r="V2603" s="42"/>
      <c r="W2603" s="42"/>
    </row>
    <row r="2604">
      <c r="A2604" s="9"/>
      <c r="B2604" s="9"/>
      <c r="C2604" s="9"/>
      <c r="D2604" s="42"/>
      <c r="E2604" s="103"/>
      <c r="F2604" s="42"/>
      <c r="G2604" s="9"/>
      <c r="H2604" s="9"/>
      <c r="I2604" s="9"/>
      <c r="J2604" s="9"/>
      <c r="K2604" s="42"/>
      <c r="L2604" s="42"/>
      <c r="M2604" s="42"/>
      <c r="N2604" s="42"/>
      <c r="O2604" s="42"/>
      <c r="P2604" s="9"/>
      <c r="Q2604" s="9"/>
      <c r="R2604" s="42"/>
      <c r="S2604" s="42"/>
      <c r="T2604" s="42"/>
      <c r="U2604" s="42"/>
      <c r="V2604" s="42"/>
      <c r="W2604" s="42"/>
    </row>
    <row r="2605">
      <c r="A2605" s="9"/>
      <c r="B2605" s="9"/>
      <c r="C2605" s="9"/>
      <c r="D2605" s="42"/>
      <c r="E2605" s="103"/>
      <c r="F2605" s="42"/>
      <c r="G2605" s="9"/>
      <c r="H2605" s="9"/>
      <c r="I2605" s="9"/>
      <c r="J2605" s="9"/>
      <c r="K2605" s="42"/>
      <c r="L2605" s="42"/>
      <c r="M2605" s="42"/>
      <c r="N2605" s="42"/>
      <c r="O2605" s="42"/>
      <c r="P2605" s="9"/>
      <c r="Q2605" s="9"/>
      <c r="R2605" s="42"/>
      <c r="S2605" s="42"/>
      <c r="T2605" s="42"/>
      <c r="U2605" s="42"/>
      <c r="V2605" s="42"/>
      <c r="W2605" s="42"/>
    </row>
    <row r="2606">
      <c r="A2606" s="9"/>
      <c r="B2606" s="9"/>
      <c r="C2606" s="9"/>
      <c r="D2606" s="42"/>
      <c r="E2606" s="103"/>
      <c r="F2606" s="42"/>
      <c r="G2606" s="9"/>
      <c r="H2606" s="9"/>
      <c r="I2606" s="9"/>
      <c r="J2606" s="9"/>
      <c r="K2606" s="42"/>
      <c r="L2606" s="42"/>
      <c r="M2606" s="42"/>
      <c r="N2606" s="42"/>
      <c r="O2606" s="42"/>
      <c r="P2606" s="9"/>
      <c r="Q2606" s="9"/>
      <c r="R2606" s="42"/>
      <c r="S2606" s="42"/>
      <c r="T2606" s="42"/>
      <c r="U2606" s="42"/>
      <c r="V2606" s="42"/>
      <c r="W2606" s="42"/>
    </row>
    <row r="2607">
      <c r="A2607" s="9"/>
      <c r="B2607" s="9"/>
      <c r="C2607" s="9"/>
      <c r="D2607" s="42"/>
      <c r="E2607" s="103"/>
      <c r="F2607" s="42"/>
      <c r="G2607" s="9"/>
      <c r="H2607" s="9"/>
      <c r="I2607" s="9"/>
      <c r="J2607" s="9"/>
      <c r="K2607" s="42"/>
      <c r="L2607" s="42"/>
      <c r="M2607" s="42"/>
      <c r="N2607" s="42"/>
      <c r="O2607" s="42"/>
      <c r="P2607" s="9"/>
      <c r="Q2607" s="9"/>
      <c r="R2607" s="42"/>
      <c r="S2607" s="42"/>
      <c r="T2607" s="42"/>
      <c r="U2607" s="42"/>
      <c r="V2607" s="42"/>
      <c r="W2607" s="42"/>
    </row>
    <row r="2608">
      <c r="A2608" s="9"/>
      <c r="B2608" s="9"/>
      <c r="C2608" s="9"/>
      <c r="D2608" s="42"/>
      <c r="E2608" s="103"/>
      <c r="F2608" s="42"/>
      <c r="G2608" s="9"/>
      <c r="H2608" s="9"/>
      <c r="I2608" s="9"/>
      <c r="J2608" s="9"/>
      <c r="K2608" s="42"/>
      <c r="L2608" s="42"/>
      <c r="M2608" s="42"/>
      <c r="N2608" s="42"/>
      <c r="O2608" s="42"/>
      <c r="P2608" s="9"/>
      <c r="Q2608" s="9"/>
      <c r="R2608" s="42"/>
      <c r="S2608" s="42"/>
      <c r="T2608" s="42"/>
      <c r="U2608" s="42"/>
      <c r="V2608" s="42"/>
      <c r="W2608" s="42"/>
    </row>
    <row r="2609">
      <c r="A2609" s="9"/>
      <c r="B2609" s="9"/>
      <c r="C2609" s="9"/>
      <c r="D2609" s="42"/>
      <c r="E2609" s="103"/>
      <c r="F2609" s="42"/>
      <c r="G2609" s="9"/>
      <c r="H2609" s="9"/>
      <c r="I2609" s="9"/>
      <c r="J2609" s="9"/>
      <c r="K2609" s="42"/>
      <c r="L2609" s="42"/>
      <c r="M2609" s="42"/>
      <c r="N2609" s="42"/>
      <c r="O2609" s="42"/>
      <c r="P2609" s="9"/>
      <c r="Q2609" s="9"/>
      <c r="R2609" s="42"/>
      <c r="S2609" s="42"/>
      <c r="T2609" s="42"/>
      <c r="U2609" s="42"/>
      <c r="V2609" s="42"/>
      <c r="W2609" s="42"/>
    </row>
    <row r="2610">
      <c r="A2610" s="9"/>
      <c r="B2610" s="9"/>
      <c r="C2610" s="9"/>
      <c r="D2610" s="42"/>
      <c r="E2610" s="103"/>
      <c r="F2610" s="42"/>
      <c r="G2610" s="9"/>
      <c r="H2610" s="9"/>
      <c r="I2610" s="9"/>
      <c r="J2610" s="9"/>
      <c r="K2610" s="42"/>
      <c r="L2610" s="42"/>
      <c r="M2610" s="42"/>
      <c r="N2610" s="42"/>
      <c r="O2610" s="42"/>
      <c r="P2610" s="9"/>
      <c r="Q2610" s="9"/>
      <c r="R2610" s="42"/>
      <c r="S2610" s="42"/>
      <c r="T2610" s="42"/>
      <c r="U2610" s="42"/>
      <c r="V2610" s="42"/>
      <c r="W2610" s="42"/>
    </row>
    <row r="2611">
      <c r="A2611" s="9"/>
      <c r="B2611" s="9"/>
      <c r="C2611" s="9"/>
      <c r="D2611" s="42"/>
      <c r="E2611" s="103"/>
      <c r="F2611" s="42"/>
      <c r="G2611" s="9"/>
      <c r="H2611" s="9"/>
      <c r="I2611" s="9"/>
      <c r="J2611" s="9"/>
      <c r="K2611" s="42"/>
      <c r="L2611" s="42"/>
      <c r="M2611" s="42"/>
      <c r="N2611" s="42"/>
      <c r="O2611" s="42"/>
      <c r="P2611" s="9"/>
      <c r="Q2611" s="9"/>
      <c r="R2611" s="42"/>
      <c r="S2611" s="42"/>
      <c r="T2611" s="42"/>
      <c r="U2611" s="42"/>
      <c r="V2611" s="42"/>
      <c r="W2611" s="42"/>
    </row>
    <row r="2612">
      <c r="A2612" s="9"/>
      <c r="B2612" s="9"/>
      <c r="C2612" s="9"/>
      <c r="D2612" s="42"/>
      <c r="E2612" s="103"/>
      <c r="F2612" s="42"/>
      <c r="G2612" s="9"/>
      <c r="H2612" s="9"/>
      <c r="I2612" s="9"/>
      <c r="J2612" s="9"/>
      <c r="K2612" s="42"/>
      <c r="L2612" s="42"/>
      <c r="M2612" s="42"/>
      <c r="N2612" s="42"/>
      <c r="O2612" s="42"/>
      <c r="P2612" s="9"/>
      <c r="Q2612" s="9"/>
      <c r="R2612" s="42"/>
      <c r="S2612" s="42"/>
      <c r="T2612" s="42"/>
      <c r="U2612" s="42"/>
      <c r="V2612" s="42"/>
      <c r="W2612" s="42"/>
    </row>
    <row r="2613">
      <c r="A2613" s="9"/>
      <c r="B2613" s="9"/>
      <c r="C2613" s="9"/>
      <c r="D2613" s="42"/>
      <c r="E2613" s="103"/>
      <c r="F2613" s="42"/>
      <c r="G2613" s="9"/>
      <c r="H2613" s="9"/>
      <c r="I2613" s="9"/>
      <c r="J2613" s="9"/>
      <c r="K2613" s="42"/>
      <c r="L2613" s="42"/>
      <c r="M2613" s="42"/>
      <c r="N2613" s="42"/>
      <c r="O2613" s="42"/>
      <c r="P2613" s="9"/>
      <c r="Q2613" s="9"/>
      <c r="R2613" s="42"/>
      <c r="S2613" s="42"/>
      <c r="T2613" s="42"/>
      <c r="U2613" s="42"/>
      <c r="V2613" s="42"/>
      <c r="W2613" s="42"/>
    </row>
    <row r="2614">
      <c r="A2614" s="9"/>
      <c r="B2614" s="9"/>
      <c r="C2614" s="9"/>
      <c r="D2614" s="42"/>
      <c r="E2614" s="103"/>
      <c r="F2614" s="42"/>
      <c r="G2614" s="9"/>
      <c r="H2614" s="9"/>
      <c r="I2614" s="9"/>
      <c r="J2614" s="9"/>
      <c r="K2614" s="42"/>
      <c r="L2614" s="42"/>
      <c r="M2614" s="42"/>
      <c r="N2614" s="42"/>
      <c r="O2614" s="42"/>
      <c r="P2614" s="9"/>
      <c r="Q2614" s="9"/>
      <c r="R2614" s="42"/>
      <c r="S2614" s="42"/>
      <c r="T2614" s="42"/>
      <c r="U2614" s="42"/>
      <c r="V2614" s="42"/>
      <c r="W2614" s="42"/>
    </row>
    <row r="2615">
      <c r="A2615" s="9"/>
      <c r="B2615" s="9"/>
      <c r="C2615" s="9"/>
      <c r="D2615" s="42"/>
      <c r="E2615" s="103"/>
      <c r="F2615" s="42"/>
      <c r="G2615" s="9"/>
      <c r="H2615" s="9"/>
      <c r="I2615" s="9"/>
      <c r="J2615" s="9"/>
      <c r="K2615" s="42"/>
      <c r="L2615" s="42"/>
      <c r="M2615" s="42"/>
      <c r="N2615" s="42"/>
      <c r="O2615" s="42"/>
      <c r="P2615" s="9"/>
      <c r="Q2615" s="9"/>
      <c r="R2615" s="42"/>
      <c r="S2615" s="42"/>
      <c r="T2615" s="42"/>
      <c r="U2615" s="42"/>
      <c r="V2615" s="42"/>
      <c r="W2615" s="42"/>
    </row>
    <row r="2616">
      <c r="A2616" s="9"/>
      <c r="B2616" s="9"/>
      <c r="C2616" s="9"/>
      <c r="D2616" s="42"/>
      <c r="E2616" s="103"/>
      <c r="F2616" s="42"/>
      <c r="G2616" s="9"/>
      <c r="H2616" s="9"/>
      <c r="I2616" s="9"/>
      <c r="J2616" s="9"/>
      <c r="K2616" s="42"/>
      <c r="L2616" s="42"/>
      <c r="M2616" s="42"/>
      <c r="N2616" s="42"/>
      <c r="O2616" s="42"/>
      <c r="P2616" s="9"/>
      <c r="Q2616" s="9"/>
      <c r="R2616" s="42"/>
      <c r="S2616" s="42"/>
      <c r="T2616" s="42"/>
      <c r="U2616" s="42"/>
      <c r="V2616" s="42"/>
      <c r="W2616" s="42"/>
    </row>
    <row r="2617">
      <c r="A2617" s="9"/>
      <c r="B2617" s="9"/>
      <c r="C2617" s="9"/>
      <c r="D2617" s="42"/>
      <c r="E2617" s="103"/>
      <c r="F2617" s="42"/>
      <c r="G2617" s="9"/>
      <c r="H2617" s="9"/>
      <c r="I2617" s="9"/>
      <c r="J2617" s="9"/>
      <c r="K2617" s="42"/>
      <c r="L2617" s="42"/>
      <c r="M2617" s="42"/>
      <c r="N2617" s="42"/>
      <c r="O2617" s="42"/>
      <c r="P2617" s="9"/>
      <c r="Q2617" s="9"/>
      <c r="R2617" s="42"/>
      <c r="S2617" s="42"/>
      <c r="T2617" s="42"/>
      <c r="U2617" s="42"/>
      <c r="V2617" s="42"/>
      <c r="W2617" s="42"/>
    </row>
    <row r="2618">
      <c r="A2618" s="9"/>
      <c r="B2618" s="9"/>
      <c r="C2618" s="9"/>
      <c r="D2618" s="42"/>
      <c r="E2618" s="103"/>
      <c r="F2618" s="42"/>
      <c r="G2618" s="9"/>
      <c r="H2618" s="9"/>
      <c r="I2618" s="9"/>
      <c r="J2618" s="9"/>
      <c r="K2618" s="42"/>
      <c r="L2618" s="42"/>
      <c r="M2618" s="42"/>
      <c r="N2618" s="42"/>
      <c r="O2618" s="42"/>
      <c r="P2618" s="9"/>
      <c r="Q2618" s="9"/>
      <c r="R2618" s="42"/>
      <c r="S2618" s="42"/>
      <c r="T2618" s="42"/>
      <c r="U2618" s="42"/>
      <c r="V2618" s="42"/>
      <c r="W2618" s="42"/>
    </row>
    <row r="2619">
      <c r="A2619" s="9"/>
      <c r="B2619" s="9"/>
      <c r="C2619" s="9"/>
      <c r="D2619" s="42"/>
      <c r="E2619" s="103"/>
      <c r="F2619" s="42"/>
      <c r="G2619" s="9"/>
      <c r="H2619" s="9"/>
      <c r="I2619" s="9"/>
      <c r="J2619" s="9"/>
      <c r="K2619" s="42"/>
      <c r="L2619" s="42"/>
      <c r="M2619" s="42"/>
      <c r="N2619" s="42"/>
      <c r="O2619" s="42"/>
      <c r="P2619" s="9"/>
      <c r="Q2619" s="9"/>
      <c r="R2619" s="42"/>
      <c r="S2619" s="42"/>
      <c r="T2619" s="42"/>
      <c r="U2619" s="42"/>
      <c r="V2619" s="42"/>
      <c r="W2619" s="42"/>
    </row>
    <row r="2620">
      <c r="A2620" s="9"/>
      <c r="B2620" s="9"/>
      <c r="C2620" s="9"/>
      <c r="D2620" s="42"/>
      <c r="E2620" s="103"/>
      <c r="F2620" s="42"/>
      <c r="G2620" s="9"/>
      <c r="H2620" s="9"/>
      <c r="I2620" s="9"/>
      <c r="J2620" s="9"/>
      <c r="K2620" s="42"/>
      <c r="L2620" s="42"/>
      <c r="M2620" s="42"/>
      <c r="N2620" s="42"/>
      <c r="O2620" s="42"/>
      <c r="P2620" s="9"/>
      <c r="Q2620" s="9"/>
      <c r="R2620" s="42"/>
      <c r="S2620" s="42"/>
      <c r="T2620" s="42"/>
      <c r="U2620" s="42"/>
      <c r="V2620" s="42"/>
      <c r="W2620" s="42"/>
    </row>
    <row r="2621">
      <c r="A2621" s="9"/>
      <c r="B2621" s="9"/>
      <c r="C2621" s="9"/>
      <c r="D2621" s="42"/>
      <c r="E2621" s="103"/>
      <c r="F2621" s="42"/>
      <c r="G2621" s="9"/>
      <c r="H2621" s="9"/>
      <c r="I2621" s="9"/>
      <c r="J2621" s="9"/>
      <c r="K2621" s="42"/>
      <c r="L2621" s="42"/>
      <c r="M2621" s="42"/>
      <c r="N2621" s="42"/>
      <c r="O2621" s="42"/>
      <c r="P2621" s="9"/>
      <c r="Q2621" s="9"/>
      <c r="R2621" s="42"/>
      <c r="S2621" s="42"/>
      <c r="T2621" s="42"/>
      <c r="U2621" s="42"/>
      <c r="V2621" s="42"/>
      <c r="W2621" s="42"/>
    </row>
    <row r="2622">
      <c r="A2622" s="9"/>
      <c r="B2622" s="9"/>
      <c r="C2622" s="9"/>
      <c r="D2622" s="42"/>
      <c r="E2622" s="103"/>
      <c r="F2622" s="42"/>
      <c r="G2622" s="9"/>
      <c r="H2622" s="9"/>
      <c r="I2622" s="9"/>
      <c r="J2622" s="9"/>
      <c r="K2622" s="42"/>
      <c r="L2622" s="42"/>
      <c r="M2622" s="42"/>
      <c r="N2622" s="42"/>
      <c r="O2622" s="42"/>
      <c r="P2622" s="9"/>
      <c r="Q2622" s="9"/>
      <c r="R2622" s="42"/>
      <c r="S2622" s="42"/>
      <c r="T2622" s="42"/>
      <c r="U2622" s="42"/>
      <c r="V2622" s="42"/>
      <c r="W2622" s="42"/>
    </row>
    <row r="2623">
      <c r="A2623" s="9"/>
      <c r="B2623" s="9"/>
      <c r="C2623" s="9"/>
      <c r="D2623" s="42"/>
      <c r="E2623" s="103"/>
      <c r="F2623" s="42"/>
      <c r="G2623" s="9"/>
      <c r="H2623" s="9"/>
      <c r="I2623" s="9"/>
      <c r="J2623" s="9"/>
      <c r="K2623" s="42"/>
      <c r="L2623" s="42"/>
      <c r="M2623" s="42"/>
      <c r="N2623" s="42"/>
      <c r="O2623" s="42"/>
      <c r="P2623" s="9"/>
      <c r="Q2623" s="9"/>
      <c r="R2623" s="42"/>
      <c r="S2623" s="42"/>
      <c r="T2623" s="42"/>
      <c r="U2623" s="42"/>
      <c r="V2623" s="42"/>
      <c r="W2623" s="42"/>
    </row>
    <row r="2624">
      <c r="A2624" s="9"/>
      <c r="B2624" s="9"/>
      <c r="C2624" s="9"/>
      <c r="D2624" s="42"/>
      <c r="E2624" s="103"/>
      <c r="F2624" s="42"/>
      <c r="G2624" s="9"/>
      <c r="H2624" s="9"/>
      <c r="I2624" s="9"/>
      <c r="J2624" s="9"/>
      <c r="K2624" s="42"/>
      <c r="L2624" s="42"/>
      <c r="M2624" s="42"/>
      <c r="N2624" s="42"/>
      <c r="O2624" s="42"/>
      <c r="P2624" s="9"/>
      <c r="Q2624" s="9"/>
      <c r="R2624" s="42"/>
      <c r="S2624" s="42"/>
      <c r="T2624" s="42"/>
      <c r="U2624" s="42"/>
      <c r="V2624" s="42"/>
      <c r="W2624" s="42"/>
    </row>
    <row r="2625">
      <c r="A2625" s="9"/>
      <c r="B2625" s="9"/>
      <c r="C2625" s="9"/>
      <c r="D2625" s="42"/>
      <c r="E2625" s="103"/>
      <c r="F2625" s="42"/>
      <c r="G2625" s="9"/>
      <c r="H2625" s="9"/>
      <c r="I2625" s="9"/>
      <c r="J2625" s="9"/>
      <c r="K2625" s="42"/>
      <c r="L2625" s="42"/>
      <c r="M2625" s="42"/>
      <c r="N2625" s="42"/>
      <c r="O2625" s="42"/>
      <c r="P2625" s="9"/>
      <c r="Q2625" s="9"/>
      <c r="R2625" s="42"/>
      <c r="S2625" s="42"/>
      <c r="T2625" s="42"/>
      <c r="U2625" s="42"/>
      <c r="V2625" s="42"/>
      <c r="W2625" s="42"/>
    </row>
    <row r="2626">
      <c r="A2626" s="9"/>
      <c r="B2626" s="9"/>
      <c r="C2626" s="9"/>
      <c r="D2626" s="42"/>
      <c r="E2626" s="103"/>
      <c r="F2626" s="42"/>
      <c r="G2626" s="9"/>
      <c r="H2626" s="9"/>
      <c r="I2626" s="9"/>
      <c r="J2626" s="9"/>
      <c r="K2626" s="42"/>
      <c r="L2626" s="42"/>
      <c r="M2626" s="42"/>
      <c r="N2626" s="42"/>
      <c r="O2626" s="42"/>
      <c r="P2626" s="9"/>
      <c r="Q2626" s="9"/>
      <c r="R2626" s="42"/>
      <c r="S2626" s="42"/>
      <c r="T2626" s="42"/>
      <c r="U2626" s="42"/>
      <c r="V2626" s="42"/>
      <c r="W2626" s="42"/>
    </row>
    <row r="2627">
      <c r="A2627" s="9"/>
      <c r="B2627" s="9"/>
      <c r="C2627" s="9"/>
      <c r="D2627" s="42"/>
      <c r="E2627" s="103"/>
      <c r="F2627" s="42"/>
      <c r="G2627" s="9"/>
      <c r="H2627" s="9"/>
      <c r="I2627" s="9"/>
      <c r="J2627" s="9"/>
      <c r="K2627" s="42"/>
      <c r="L2627" s="42"/>
      <c r="M2627" s="42"/>
      <c r="N2627" s="42"/>
      <c r="O2627" s="42"/>
      <c r="P2627" s="9"/>
      <c r="Q2627" s="9"/>
      <c r="R2627" s="42"/>
      <c r="S2627" s="42"/>
      <c r="T2627" s="42"/>
      <c r="U2627" s="42"/>
      <c r="V2627" s="42"/>
      <c r="W2627" s="42"/>
    </row>
    <row r="2628">
      <c r="A2628" s="9"/>
      <c r="B2628" s="9"/>
      <c r="C2628" s="9"/>
      <c r="D2628" s="42"/>
      <c r="E2628" s="103"/>
      <c r="F2628" s="42"/>
      <c r="G2628" s="9"/>
      <c r="H2628" s="9"/>
      <c r="I2628" s="9"/>
      <c r="J2628" s="9"/>
      <c r="K2628" s="42"/>
      <c r="L2628" s="42"/>
      <c r="M2628" s="42"/>
      <c r="N2628" s="42"/>
      <c r="O2628" s="42"/>
      <c r="P2628" s="9"/>
      <c r="Q2628" s="9"/>
      <c r="R2628" s="42"/>
      <c r="S2628" s="42"/>
      <c r="T2628" s="42"/>
      <c r="U2628" s="42"/>
      <c r="V2628" s="42"/>
      <c r="W2628" s="42"/>
    </row>
    <row r="2629">
      <c r="A2629" s="9"/>
      <c r="B2629" s="9"/>
      <c r="C2629" s="9"/>
      <c r="D2629" s="42"/>
      <c r="E2629" s="103"/>
      <c r="F2629" s="42"/>
      <c r="G2629" s="9"/>
      <c r="H2629" s="9"/>
      <c r="I2629" s="9"/>
      <c r="J2629" s="9"/>
      <c r="K2629" s="42"/>
      <c r="L2629" s="42"/>
      <c r="M2629" s="42"/>
      <c r="N2629" s="42"/>
      <c r="O2629" s="42"/>
      <c r="P2629" s="9"/>
      <c r="Q2629" s="9"/>
      <c r="R2629" s="42"/>
      <c r="S2629" s="42"/>
      <c r="T2629" s="42"/>
      <c r="U2629" s="42"/>
      <c r="V2629" s="42"/>
      <c r="W2629" s="42"/>
    </row>
    <row r="2630">
      <c r="A2630" s="9"/>
      <c r="B2630" s="9"/>
      <c r="C2630" s="9"/>
      <c r="D2630" s="42"/>
      <c r="E2630" s="103"/>
      <c r="F2630" s="42"/>
      <c r="G2630" s="9"/>
      <c r="H2630" s="9"/>
      <c r="I2630" s="9"/>
      <c r="J2630" s="9"/>
      <c r="K2630" s="42"/>
      <c r="L2630" s="42"/>
      <c r="M2630" s="42"/>
      <c r="N2630" s="42"/>
      <c r="O2630" s="42"/>
      <c r="P2630" s="9"/>
      <c r="Q2630" s="9"/>
      <c r="R2630" s="42"/>
      <c r="S2630" s="42"/>
      <c r="T2630" s="42"/>
      <c r="U2630" s="42"/>
      <c r="V2630" s="42"/>
      <c r="W2630" s="42"/>
    </row>
    <row r="2631">
      <c r="A2631" s="9"/>
      <c r="B2631" s="9"/>
      <c r="C2631" s="9"/>
      <c r="D2631" s="42"/>
      <c r="E2631" s="103"/>
      <c r="F2631" s="42"/>
      <c r="G2631" s="9"/>
      <c r="H2631" s="9"/>
      <c r="I2631" s="9"/>
      <c r="J2631" s="9"/>
      <c r="K2631" s="42"/>
      <c r="L2631" s="42"/>
      <c r="M2631" s="42"/>
      <c r="N2631" s="42"/>
      <c r="O2631" s="42"/>
      <c r="P2631" s="9"/>
      <c r="Q2631" s="9"/>
      <c r="R2631" s="42"/>
      <c r="S2631" s="42"/>
      <c r="T2631" s="42"/>
      <c r="U2631" s="42"/>
      <c r="V2631" s="42"/>
      <c r="W2631" s="42"/>
    </row>
    <row r="2632">
      <c r="A2632" s="9"/>
      <c r="B2632" s="9"/>
      <c r="C2632" s="9"/>
      <c r="D2632" s="42"/>
      <c r="E2632" s="103"/>
      <c r="F2632" s="42"/>
      <c r="G2632" s="9"/>
      <c r="H2632" s="9"/>
      <c r="I2632" s="9"/>
      <c r="J2632" s="9"/>
      <c r="K2632" s="42"/>
      <c r="L2632" s="42"/>
      <c r="M2632" s="42"/>
      <c r="N2632" s="42"/>
      <c r="O2632" s="42"/>
      <c r="P2632" s="9"/>
      <c r="Q2632" s="9"/>
      <c r="R2632" s="42"/>
      <c r="S2632" s="42"/>
      <c r="T2632" s="42"/>
      <c r="U2632" s="42"/>
      <c r="V2632" s="42"/>
      <c r="W2632" s="42"/>
    </row>
    <row r="2633">
      <c r="A2633" s="9"/>
      <c r="B2633" s="9"/>
      <c r="C2633" s="9"/>
      <c r="D2633" s="42"/>
      <c r="E2633" s="103"/>
      <c r="F2633" s="42"/>
      <c r="G2633" s="9"/>
      <c r="H2633" s="9"/>
      <c r="I2633" s="9"/>
      <c r="J2633" s="9"/>
      <c r="K2633" s="42"/>
      <c r="L2633" s="42"/>
      <c r="M2633" s="42"/>
      <c r="N2633" s="42"/>
      <c r="O2633" s="42"/>
      <c r="P2633" s="9"/>
      <c r="Q2633" s="9"/>
      <c r="R2633" s="42"/>
      <c r="S2633" s="42"/>
      <c r="T2633" s="42"/>
      <c r="U2633" s="42"/>
      <c r="V2633" s="42"/>
      <c r="W2633" s="42"/>
    </row>
    <row r="2634">
      <c r="A2634" s="9"/>
      <c r="B2634" s="9"/>
      <c r="C2634" s="9"/>
      <c r="D2634" s="42"/>
      <c r="E2634" s="103"/>
      <c r="F2634" s="42"/>
      <c r="G2634" s="9"/>
      <c r="H2634" s="9"/>
      <c r="I2634" s="9"/>
      <c r="J2634" s="9"/>
      <c r="K2634" s="42"/>
      <c r="L2634" s="42"/>
      <c r="M2634" s="42"/>
      <c r="N2634" s="42"/>
      <c r="O2634" s="42"/>
      <c r="P2634" s="9"/>
      <c r="Q2634" s="9"/>
      <c r="R2634" s="42"/>
      <c r="S2634" s="42"/>
      <c r="T2634" s="42"/>
      <c r="U2634" s="42"/>
      <c r="V2634" s="42"/>
      <c r="W2634" s="42"/>
    </row>
    <row r="2635">
      <c r="A2635" s="9"/>
      <c r="B2635" s="9"/>
      <c r="C2635" s="9"/>
      <c r="D2635" s="42"/>
      <c r="E2635" s="103"/>
      <c r="F2635" s="42"/>
      <c r="G2635" s="9"/>
      <c r="H2635" s="9"/>
      <c r="I2635" s="9"/>
      <c r="J2635" s="9"/>
      <c r="K2635" s="42"/>
      <c r="L2635" s="42"/>
      <c r="M2635" s="42"/>
      <c r="N2635" s="42"/>
      <c r="O2635" s="42"/>
      <c r="P2635" s="9"/>
      <c r="Q2635" s="9"/>
      <c r="R2635" s="42"/>
      <c r="S2635" s="42"/>
      <c r="T2635" s="42"/>
      <c r="U2635" s="42"/>
      <c r="V2635" s="42"/>
      <c r="W2635" s="42"/>
    </row>
    <row r="2636">
      <c r="A2636" s="9"/>
      <c r="B2636" s="9"/>
      <c r="C2636" s="9"/>
      <c r="D2636" s="42"/>
      <c r="E2636" s="103"/>
      <c r="F2636" s="42"/>
      <c r="G2636" s="9"/>
      <c r="H2636" s="9"/>
      <c r="I2636" s="9"/>
      <c r="J2636" s="9"/>
      <c r="K2636" s="42"/>
      <c r="L2636" s="42"/>
      <c r="M2636" s="42"/>
      <c r="N2636" s="42"/>
      <c r="O2636" s="42"/>
      <c r="P2636" s="9"/>
      <c r="Q2636" s="9"/>
      <c r="R2636" s="42"/>
      <c r="S2636" s="42"/>
      <c r="T2636" s="42"/>
      <c r="U2636" s="42"/>
      <c r="V2636" s="42"/>
      <c r="W2636" s="42"/>
    </row>
    <row r="2637">
      <c r="A2637" s="9"/>
      <c r="B2637" s="9"/>
      <c r="C2637" s="9"/>
      <c r="D2637" s="42"/>
      <c r="E2637" s="103"/>
      <c r="F2637" s="42"/>
      <c r="G2637" s="9"/>
      <c r="H2637" s="9"/>
      <c r="I2637" s="9"/>
      <c r="J2637" s="9"/>
      <c r="K2637" s="42"/>
      <c r="L2637" s="42"/>
      <c r="M2637" s="42"/>
      <c r="N2637" s="42"/>
      <c r="O2637" s="42"/>
      <c r="P2637" s="9"/>
      <c r="Q2637" s="9"/>
      <c r="R2637" s="42"/>
      <c r="S2637" s="42"/>
      <c r="T2637" s="42"/>
      <c r="U2637" s="42"/>
      <c r="V2637" s="42"/>
      <c r="W2637" s="42"/>
    </row>
    <row r="2638">
      <c r="A2638" s="9"/>
      <c r="B2638" s="9"/>
      <c r="C2638" s="9"/>
      <c r="D2638" s="42"/>
      <c r="E2638" s="103"/>
      <c r="F2638" s="42"/>
      <c r="G2638" s="9"/>
      <c r="H2638" s="9"/>
      <c r="I2638" s="9"/>
      <c r="J2638" s="9"/>
      <c r="K2638" s="42"/>
      <c r="L2638" s="42"/>
      <c r="M2638" s="42"/>
      <c r="N2638" s="42"/>
      <c r="O2638" s="42"/>
      <c r="P2638" s="9"/>
      <c r="Q2638" s="9"/>
      <c r="R2638" s="42"/>
      <c r="S2638" s="42"/>
      <c r="T2638" s="42"/>
      <c r="U2638" s="42"/>
      <c r="V2638" s="42"/>
      <c r="W2638" s="42"/>
    </row>
    <row r="2639">
      <c r="A2639" s="9"/>
      <c r="B2639" s="9"/>
      <c r="C2639" s="9"/>
      <c r="D2639" s="42"/>
      <c r="E2639" s="103"/>
      <c r="F2639" s="42"/>
      <c r="G2639" s="9"/>
      <c r="H2639" s="9"/>
      <c r="I2639" s="9"/>
      <c r="J2639" s="9"/>
      <c r="K2639" s="42"/>
      <c r="L2639" s="42"/>
      <c r="M2639" s="42"/>
      <c r="N2639" s="42"/>
      <c r="O2639" s="42"/>
      <c r="P2639" s="9"/>
      <c r="Q2639" s="9"/>
      <c r="R2639" s="42"/>
      <c r="S2639" s="42"/>
      <c r="T2639" s="42"/>
      <c r="U2639" s="42"/>
      <c r="V2639" s="42"/>
      <c r="W2639" s="42"/>
    </row>
    <row r="2640">
      <c r="A2640" s="9"/>
      <c r="B2640" s="9"/>
      <c r="C2640" s="9"/>
      <c r="D2640" s="42"/>
      <c r="E2640" s="103"/>
      <c r="F2640" s="42"/>
      <c r="G2640" s="9"/>
      <c r="H2640" s="9"/>
      <c r="I2640" s="9"/>
      <c r="J2640" s="9"/>
      <c r="K2640" s="42"/>
      <c r="L2640" s="42"/>
      <c r="M2640" s="42"/>
      <c r="N2640" s="42"/>
      <c r="O2640" s="42"/>
      <c r="P2640" s="9"/>
      <c r="Q2640" s="9"/>
      <c r="R2640" s="42"/>
      <c r="S2640" s="42"/>
      <c r="T2640" s="42"/>
      <c r="U2640" s="42"/>
      <c r="V2640" s="42"/>
      <c r="W2640" s="42"/>
    </row>
    <row r="2641">
      <c r="A2641" s="9"/>
      <c r="B2641" s="9"/>
      <c r="C2641" s="9"/>
      <c r="D2641" s="42"/>
      <c r="E2641" s="103"/>
      <c r="F2641" s="42"/>
      <c r="G2641" s="9"/>
      <c r="H2641" s="9"/>
      <c r="I2641" s="9"/>
      <c r="J2641" s="9"/>
      <c r="K2641" s="42"/>
      <c r="L2641" s="42"/>
      <c r="M2641" s="42"/>
      <c r="N2641" s="42"/>
      <c r="O2641" s="42"/>
      <c r="P2641" s="9"/>
      <c r="Q2641" s="9"/>
      <c r="R2641" s="42"/>
      <c r="S2641" s="42"/>
      <c r="T2641" s="42"/>
      <c r="U2641" s="42"/>
      <c r="V2641" s="42"/>
      <c r="W2641" s="42"/>
    </row>
    <row r="2642">
      <c r="A2642" s="9"/>
      <c r="B2642" s="9"/>
      <c r="C2642" s="9"/>
      <c r="D2642" s="42"/>
      <c r="E2642" s="103"/>
      <c r="F2642" s="42"/>
      <c r="G2642" s="9"/>
      <c r="H2642" s="9"/>
      <c r="I2642" s="9"/>
      <c r="J2642" s="9"/>
      <c r="K2642" s="42"/>
      <c r="L2642" s="42"/>
      <c r="M2642" s="42"/>
      <c r="N2642" s="42"/>
      <c r="O2642" s="42"/>
      <c r="P2642" s="9"/>
      <c r="Q2642" s="9"/>
      <c r="R2642" s="42"/>
      <c r="S2642" s="42"/>
      <c r="T2642" s="42"/>
      <c r="U2642" s="42"/>
      <c r="V2642" s="42"/>
      <c r="W2642" s="42"/>
    </row>
    <row r="2643">
      <c r="A2643" s="9"/>
      <c r="B2643" s="9"/>
      <c r="C2643" s="9"/>
      <c r="D2643" s="42"/>
      <c r="E2643" s="103"/>
      <c r="F2643" s="42"/>
      <c r="G2643" s="9"/>
      <c r="H2643" s="9"/>
      <c r="I2643" s="9"/>
      <c r="J2643" s="9"/>
      <c r="K2643" s="42"/>
      <c r="L2643" s="42"/>
      <c r="M2643" s="42"/>
      <c r="N2643" s="42"/>
      <c r="O2643" s="42"/>
      <c r="P2643" s="9"/>
      <c r="Q2643" s="9"/>
      <c r="R2643" s="42"/>
      <c r="S2643" s="42"/>
      <c r="T2643" s="42"/>
      <c r="U2643" s="42"/>
      <c r="V2643" s="42"/>
      <c r="W2643" s="42"/>
    </row>
    <row r="2644">
      <c r="A2644" s="9"/>
      <c r="B2644" s="9"/>
      <c r="C2644" s="9"/>
      <c r="D2644" s="42"/>
      <c r="E2644" s="103"/>
      <c r="F2644" s="42"/>
      <c r="G2644" s="9"/>
      <c r="H2644" s="9"/>
      <c r="I2644" s="9"/>
      <c r="J2644" s="9"/>
      <c r="K2644" s="42"/>
      <c r="L2644" s="42"/>
      <c r="M2644" s="42"/>
      <c r="N2644" s="42"/>
      <c r="O2644" s="42"/>
      <c r="P2644" s="9"/>
      <c r="Q2644" s="9"/>
      <c r="R2644" s="42"/>
      <c r="S2644" s="42"/>
      <c r="T2644" s="42"/>
      <c r="U2644" s="42"/>
      <c r="V2644" s="42"/>
      <c r="W2644" s="42"/>
    </row>
    <row r="2645">
      <c r="A2645" s="9"/>
      <c r="B2645" s="9"/>
      <c r="C2645" s="9"/>
      <c r="D2645" s="42"/>
      <c r="E2645" s="103"/>
      <c r="F2645" s="42"/>
      <c r="G2645" s="9"/>
      <c r="H2645" s="9"/>
      <c r="I2645" s="9"/>
      <c r="J2645" s="9"/>
      <c r="K2645" s="42"/>
      <c r="L2645" s="42"/>
      <c r="M2645" s="42"/>
      <c r="N2645" s="42"/>
      <c r="O2645" s="42"/>
      <c r="P2645" s="9"/>
      <c r="Q2645" s="9"/>
      <c r="R2645" s="42"/>
      <c r="S2645" s="42"/>
      <c r="T2645" s="42"/>
      <c r="U2645" s="42"/>
      <c r="V2645" s="42"/>
      <c r="W2645" s="42"/>
    </row>
    <row r="2646">
      <c r="A2646" s="9"/>
      <c r="B2646" s="9"/>
      <c r="C2646" s="9"/>
      <c r="D2646" s="42"/>
      <c r="E2646" s="103"/>
      <c r="F2646" s="42"/>
      <c r="G2646" s="9"/>
      <c r="H2646" s="9"/>
      <c r="I2646" s="9"/>
      <c r="J2646" s="9"/>
      <c r="K2646" s="42"/>
      <c r="L2646" s="42"/>
      <c r="M2646" s="42"/>
      <c r="N2646" s="42"/>
      <c r="O2646" s="42"/>
      <c r="P2646" s="9"/>
      <c r="Q2646" s="9"/>
      <c r="R2646" s="42"/>
      <c r="S2646" s="42"/>
      <c r="T2646" s="42"/>
      <c r="U2646" s="42"/>
      <c r="V2646" s="42"/>
      <c r="W2646" s="42"/>
    </row>
    <row r="2647">
      <c r="A2647" s="9"/>
      <c r="B2647" s="9"/>
      <c r="C2647" s="9"/>
      <c r="D2647" s="42"/>
      <c r="E2647" s="103"/>
      <c r="F2647" s="42"/>
      <c r="G2647" s="9"/>
      <c r="H2647" s="9"/>
      <c r="I2647" s="9"/>
      <c r="J2647" s="9"/>
      <c r="K2647" s="42"/>
      <c r="L2647" s="42"/>
      <c r="M2647" s="42"/>
      <c r="N2647" s="42"/>
      <c r="O2647" s="42"/>
      <c r="P2647" s="9"/>
      <c r="Q2647" s="9"/>
      <c r="R2647" s="42"/>
      <c r="S2647" s="42"/>
      <c r="T2647" s="42"/>
      <c r="U2647" s="42"/>
      <c r="V2647" s="42"/>
      <c r="W2647" s="42"/>
    </row>
    <row r="2648">
      <c r="A2648" s="9"/>
      <c r="B2648" s="9"/>
      <c r="C2648" s="9"/>
      <c r="D2648" s="42"/>
      <c r="E2648" s="103"/>
      <c r="F2648" s="42"/>
      <c r="G2648" s="9"/>
      <c r="H2648" s="9"/>
      <c r="I2648" s="9"/>
      <c r="J2648" s="9"/>
      <c r="K2648" s="42"/>
      <c r="L2648" s="42"/>
      <c r="M2648" s="42"/>
      <c r="N2648" s="42"/>
      <c r="O2648" s="42"/>
      <c r="P2648" s="9"/>
      <c r="Q2648" s="9"/>
      <c r="R2648" s="42"/>
      <c r="S2648" s="42"/>
      <c r="T2648" s="42"/>
      <c r="U2648" s="42"/>
      <c r="V2648" s="42"/>
      <c r="W2648" s="42"/>
    </row>
    <row r="2649">
      <c r="A2649" s="9"/>
      <c r="B2649" s="9"/>
      <c r="C2649" s="9"/>
      <c r="D2649" s="42"/>
      <c r="E2649" s="103"/>
      <c r="F2649" s="42"/>
      <c r="G2649" s="9"/>
      <c r="H2649" s="9"/>
      <c r="I2649" s="9"/>
      <c r="J2649" s="9"/>
      <c r="K2649" s="42"/>
      <c r="L2649" s="42"/>
      <c r="M2649" s="42"/>
      <c r="N2649" s="42"/>
      <c r="O2649" s="42"/>
      <c r="P2649" s="9"/>
      <c r="Q2649" s="9"/>
      <c r="R2649" s="42"/>
      <c r="S2649" s="42"/>
      <c r="T2649" s="42"/>
      <c r="U2649" s="42"/>
      <c r="V2649" s="42"/>
      <c r="W2649" s="42"/>
    </row>
    <row r="2650">
      <c r="A2650" s="9"/>
      <c r="B2650" s="9"/>
      <c r="C2650" s="9"/>
      <c r="D2650" s="42"/>
      <c r="E2650" s="103"/>
      <c r="F2650" s="42"/>
      <c r="G2650" s="9"/>
      <c r="H2650" s="9"/>
      <c r="I2650" s="9"/>
      <c r="J2650" s="9"/>
      <c r="K2650" s="42"/>
      <c r="L2650" s="42"/>
      <c r="M2650" s="42"/>
      <c r="N2650" s="42"/>
      <c r="O2650" s="42"/>
      <c r="P2650" s="9"/>
      <c r="Q2650" s="9"/>
      <c r="R2650" s="42"/>
      <c r="S2650" s="42"/>
      <c r="T2650" s="42"/>
      <c r="U2650" s="42"/>
      <c r="V2650" s="42"/>
      <c r="W2650" s="42"/>
    </row>
    <row r="2651">
      <c r="A2651" s="9"/>
      <c r="B2651" s="9"/>
      <c r="C2651" s="9"/>
      <c r="D2651" s="42"/>
      <c r="E2651" s="103"/>
      <c r="F2651" s="42"/>
      <c r="G2651" s="9"/>
      <c r="H2651" s="9"/>
      <c r="I2651" s="9"/>
      <c r="J2651" s="9"/>
      <c r="K2651" s="42"/>
      <c r="L2651" s="42"/>
      <c r="M2651" s="42"/>
      <c r="N2651" s="42"/>
      <c r="O2651" s="42"/>
      <c r="P2651" s="9"/>
      <c r="Q2651" s="9"/>
      <c r="R2651" s="42"/>
      <c r="S2651" s="42"/>
      <c r="T2651" s="42"/>
      <c r="U2651" s="42"/>
      <c r="V2651" s="42"/>
      <c r="W2651" s="42"/>
    </row>
    <row r="2652">
      <c r="A2652" s="9"/>
      <c r="B2652" s="9"/>
      <c r="C2652" s="9"/>
      <c r="D2652" s="42"/>
      <c r="E2652" s="103"/>
      <c r="F2652" s="42"/>
      <c r="G2652" s="9"/>
      <c r="H2652" s="9"/>
      <c r="I2652" s="9"/>
      <c r="J2652" s="9"/>
      <c r="K2652" s="42"/>
      <c r="L2652" s="42"/>
      <c r="M2652" s="42"/>
      <c r="N2652" s="42"/>
      <c r="O2652" s="42"/>
      <c r="P2652" s="9"/>
      <c r="Q2652" s="9"/>
      <c r="R2652" s="42"/>
      <c r="S2652" s="42"/>
      <c r="T2652" s="42"/>
      <c r="U2652" s="42"/>
      <c r="V2652" s="42"/>
      <c r="W2652" s="42"/>
    </row>
    <row r="2653">
      <c r="A2653" s="9"/>
      <c r="B2653" s="9"/>
      <c r="C2653" s="9"/>
      <c r="D2653" s="42"/>
      <c r="E2653" s="103"/>
      <c r="F2653" s="42"/>
      <c r="G2653" s="9"/>
      <c r="H2653" s="9"/>
      <c r="I2653" s="9"/>
      <c r="J2653" s="9"/>
      <c r="K2653" s="42"/>
      <c r="L2653" s="42"/>
      <c r="M2653" s="42"/>
      <c r="N2653" s="42"/>
      <c r="O2653" s="42"/>
      <c r="P2653" s="9"/>
      <c r="Q2653" s="9"/>
      <c r="R2653" s="42"/>
      <c r="S2653" s="42"/>
      <c r="T2653" s="42"/>
      <c r="U2653" s="42"/>
      <c r="V2653" s="42"/>
      <c r="W2653" s="42"/>
    </row>
    <row r="2654">
      <c r="A2654" s="9"/>
      <c r="B2654" s="9"/>
      <c r="C2654" s="9"/>
      <c r="D2654" s="42"/>
      <c r="E2654" s="103"/>
      <c r="F2654" s="42"/>
      <c r="G2654" s="9"/>
      <c r="H2654" s="9"/>
      <c r="I2654" s="9"/>
      <c r="J2654" s="9"/>
      <c r="K2654" s="42"/>
      <c r="L2654" s="42"/>
      <c r="M2654" s="42"/>
      <c r="N2654" s="42"/>
      <c r="O2654" s="42"/>
      <c r="P2654" s="9"/>
      <c r="Q2654" s="9"/>
      <c r="R2654" s="42"/>
      <c r="S2654" s="42"/>
      <c r="T2654" s="42"/>
      <c r="U2654" s="42"/>
      <c r="V2654" s="42"/>
      <c r="W2654" s="42"/>
    </row>
    <row r="2655">
      <c r="A2655" s="9"/>
      <c r="B2655" s="9"/>
      <c r="C2655" s="9"/>
      <c r="D2655" s="42"/>
      <c r="E2655" s="103"/>
      <c r="F2655" s="42"/>
      <c r="G2655" s="9"/>
      <c r="H2655" s="9"/>
      <c r="I2655" s="9"/>
      <c r="J2655" s="9"/>
      <c r="K2655" s="42"/>
      <c r="L2655" s="42"/>
      <c r="M2655" s="42"/>
      <c r="N2655" s="42"/>
      <c r="O2655" s="42"/>
      <c r="P2655" s="9"/>
      <c r="Q2655" s="9"/>
      <c r="R2655" s="42"/>
      <c r="S2655" s="42"/>
      <c r="T2655" s="42"/>
      <c r="U2655" s="42"/>
      <c r="V2655" s="42"/>
      <c r="W2655" s="42"/>
    </row>
    <row r="2656">
      <c r="A2656" s="9"/>
      <c r="B2656" s="9"/>
      <c r="C2656" s="9"/>
      <c r="D2656" s="42"/>
      <c r="E2656" s="103"/>
      <c r="F2656" s="42"/>
      <c r="G2656" s="9"/>
      <c r="H2656" s="9"/>
      <c r="I2656" s="9"/>
      <c r="J2656" s="9"/>
      <c r="K2656" s="42"/>
      <c r="L2656" s="42"/>
      <c r="M2656" s="42"/>
      <c r="N2656" s="42"/>
      <c r="O2656" s="42"/>
      <c r="P2656" s="9"/>
      <c r="Q2656" s="9"/>
      <c r="R2656" s="42"/>
      <c r="S2656" s="42"/>
      <c r="T2656" s="42"/>
      <c r="U2656" s="42"/>
      <c r="V2656" s="42"/>
      <c r="W2656" s="42"/>
    </row>
    <row r="2657">
      <c r="A2657" s="9"/>
      <c r="B2657" s="9"/>
      <c r="C2657" s="9"/>
      <c r="D2657" s="42"/>
      <c r="E2657" s="103"/>
      <c r="F2657" s="42"/>
      <c r="G2657" s="9"/>
      <c r="H2657" s="9"/>
      <c r="I2657" s="9"/>
      <c r="J2657" s="9"/>
      <c r="K2657" s="42"/>
      <c r="L2657" s="42"/>
      <c r="M2657" s="42"/>
      <c r="N2657" s="42"/>
      <c r="O2657" s="42"/>
      <c r="P2657" s="9"/>
      <c r="Q2657" s="9"/>
      <c r="R2657" s="42"/>
      <c r="S2657" s="42"/>
      <c r="T2657" s="42"/>
      <c r="U2657" s="42"/>
      <c r="V2657" s="42"/>
      <c r="W2657" s="42"/>
    </row>
    <row r="2658">
      <c r="A2658" s="9"/>
      <c r="B2658" s="9"/>
      <c r="C2658" s="9"/>
      <c r="D2658" s="42"/>
      <c r="E2658" s="103"/>
      <c r="F2658" s="42"/>
      <c r="G2658" s="9"/>
      <c r="H2658" s="9"/>
      <c r="I2658" s="9"/>
      <c r="J2658" s="9"/>
      <c r="K2658" s="42"/>
      <c r="L2658" s="42"/>
      <c r="M2658" s="42"/>
      <c r="N2658" s="42"/>
      <c r="O2658" s="42"/>
      <c r="P2658" s="9"/>
      <c r="Q2658" s="9"/>
      <c r="R2658" s="42"/>
      <c r="S2658" s="42"/>
      <c r="T2658" s="42"/>
      <c r="U2658" s="42"/>
      <c r="V2658" s="42"/>
      <c r="W2658" s="42"/>
    </row>
    <row r="2659">
      <c r="A2659" s="9"/>
      <c r="B2659" s="9"/>
      <c r="C2659" s="9"/>
      <c r="D2659" s="42"/>
      <c r="E2659" s="103"/>
      <c r="F2659" s="42"/>
      <c r="G2659" s="9"/>
      <c r="H2659" s="9"/>
      <c r="I2659" s="9"/>
      <c r="J2659" s="9"/>
      <c r="K2659" s="42"/>
      <c r="L2659" s="42"/>
      <c r="M2659" s="42"/>
      <c r="N2659" s="42"/>
      <c r="O2659" s="42"/>
      <c r="P2659" s="9"/>
      <c r="Q2659" s="9"/>
      <c r="R2659" s="42"/>
      <c r="S2659" s="42"/>
      <c r="T2659" s="42"/>
      <c r="U2659" s="42"/>
      <c r="V2659" s="42"/>
      <c r="W2659" s="42"/>
    </row>
    <row r="2660">
      <c r="A2660" s="9"/>
      <c r="B2660" s="9"/>
      <c r="C2660" s="9"/>
      <c r="D2660" s="42"/>
      <c r="E2660" s="103"/>
      <c r="F2660" s="42"/>
      <c r="G2660" s="9"/>
      <c r="H2660" s="9"/>
      <c r="I2660" s="9"/>
      <c r="J2660" s="9"/>
      <c r="K2660" s="42"/>
      <c r="L2660" s="42"/>
      <c r="M2660" s="42"/>
      <c r="N2660" s="42"/>
      <c r="O2660" s="42"/>
      <c r="P2660" s="9"/>
      <c r="Q2660" s="9"/>
      <c r="R2660" s="42"/>
      <c r="S2660" s="42"/>
      <c r="T2660" s="42"/>
      <c r="U2660" s="42"/>
      <c r="V2660" s="42"/>
      <c r="W2660" s="42"/>
    </row>
    <row r="2661">
      <c r="A2661" s="9"/>
      <c r="B2661" s="9"/>
      <c r="C2661" s="9"/>
      <c r="D2661" s="42"/>
      <c r="E2661" s="103"/>
      <c r="F2661" s="42"/>
      <c r="G2661" s="9"/>
      <c r="H2661" s="9"/>
      <c r="I2661" s="9"/>
      <c r="J2661" s="9"/>
      <c r="K2661" s="42"/>
      <c r="L2661" s="42"/>
      <c r="M2661" s="42"/>
      <c r="N2661" s="42"/>
      <c r="O2661" s="42"/>
      <c r="P2661" s="9"/>
      <c r="Q2661" s="9"/>
      <c r="R2661" s="42"/>
      <c r="S2661" s="42"/>
      <c r="T2661" s="42"/>
      <c r="U2661" s="42"/>
      <c r="V2661" s="42"/>
      <c r="W2661" s="42"/>
    </row>
    <row r="2662">
      <c r="A2662" s="9"/>
      <c r="B2662" s="9"/>
      <c r="C2662" s="9"/>
      <c r="D2662" s="42"/>
      <c r="E2662" s="103"/>
      <c r="F2662" s="42"/>
      <c r="G2662" s="9"/>
      <c r="H2662" s="9"/>
      <c r="I2662" s="9"/>
      <c r="J2662" s="9"/>
      <c r="K2662" s="42"/>
      <c r="L2662" s="42"/>
      <c r="M2662" s="42"/>
      <c r="N2662" s="42"/>
      <c r="O2662" s="42"/>
      <c r="P2662" s="9"/>
      <c r="Q2662" s="9"/>
      <c r="R2662" s="42"/>
      <c r="S2662" s="42"/>
      <c r="T2662" s="42"/>
      <c r="U2662" s="42"/>
      <c r="V2662" s="42"/>
      <c r="W2662" s="42"/>
    </row>
    <row r="2663">
      <c r="A2663" s="9"/>
      <c r="B2663" s="9"/>
      <c r="C2663" s="9"/>
      <c r="D2663" s="42"/>
      <c r="E2663" s="103"/>
      <c r="F2663" s="42"/>
      <c r="G2663" s="9"/>
      <c r="H2663" s="9"/>
      <c r="I2663" s="9"/>
      <c r="J2663" s="9"/>
      <c r="K2663" s="42"/>
      <c r="L2663" s="42"/>
      <c r="M2663" s="42"/>
      <c r="N2663" s="42"/>
      <c r="O2663" s="42"/>
      <c r="P2663" s="9"/>
      <c r="Q2663" s="9"/>
      <c r="R2663" s="42"/>
      <c r="S2663" s="42"/>
      <c r="T2663" s="42"/>
      <c r="U2663" s="42"/>
      <c r="V2663" s="42"/>
      <c r="W2663" s="42"/>
    </row>
    <row r="2664">
      <c r="A2664" s="9"/>
      <c r="B2664" s="9"/>
      <c r="C2664" s="9"/>
      <c r="D2664" s="42"/>
      <c r="E2664" s="103"/>
      <c r="F2664" s="42"/>
      <c r="G2664" s="9"/>
      <c r="H2664" s="9"/>
      <c r="I2664" s="9"/>
      <c r="J2664" s="9"/>
      <c r="K2664" s="42"/>
      <c r="L2664" s="42"/>
      <c r="M2664" s="42"/>
      <c r="N2664" s="42"/>
      <c r="O2664" s="42"/>
      <c r="P2664" s="9"/>
      <c r="Q2664" s="9"/>
      <c r="R2664" s="42"/>
      <c r="S2664" s="42"/>
      <c r="T2664" s="42"/>
      <c r="U2664" s="42"/>
      <c r="V2664" s="42"/>
      <c r="W2664" s="42"/>
    </row>
    <row r="2665">
      <c r="A2665" s="9"/>
      <c r="B2665" s="9"/>
      <c r="C2665" s="9"/>
      <c r="D2665" s="42"/>
      <c r="E2665" s="103"/>
      <c r="F2665" s="42"/>
      <c r="G2665" s="9"/>
      <c r="H2665" s="9"/>
      <c r="I2665" s="9"/>
      <c r="J2665" s="9"/>
      <c r="K2665" s="42"/>
      <c r="L2665" s="42"/>
      <c r="M2665" s="42"/>
      <c r="N2665" s="42"/>
      <c r="O2665" s="42"/>
      <c r="P2665" s="9"/>
      <c r="Q2665" s="9"/>
      <c r="R2665" s="42"/>
      <c r="S2665" s="42"/>
      <c r="T2665" s="42"/>
      <c r="U2665" s="42"/>
      <c r="V2665" s="42"/>
      <c r="W2665" s="42"/>
    </row>
    <row r="2666">
      <c r="A2666" s="9"/>
      <c r="B2666" s="9"/>
      <c r="C2666" s="9"/>
      <c r="D2666" s="42"/>
      <c r="E2666" s="103"/>
      <c r="F2666" s="42"/>
      <c r="G2666" s="9"/>
      <c r="H2666" s="9"/>
      <c r="I2666" s="9"/>
      <c r="J2666" s="9"/>
      <c r="K2666" s="42"/>
      <c r="L2666" s="42"/>
      <c r="M2666" s="42"/>
      <c r="N2666" s="42"/>
      <c r="O2666" s="42"/>
      <c r="P2666" s="9"/>
      <c r="Q2666" s="9"/>
      <c r="R2666" s="42"/>
      <c r="S2666" s="42"/>
      <c r="T2666" s="42"/>
      <c r="U2666" s="42"/>
      <c r="V2666" s="42"/>
      <c r="W2666" s="42"/>
    </row>
    <row r="2667">
      <c r="A2667" s="9"/>
      <c r="B2667" s="9"/>
      <c r="C2667" s="9"/>
      <c r="D2667" s="42"/>
      <c r="E2667" s="103"/>
      <c r="F2667" s="42"/>
      <c r="G2667" s="9"/>
      <c r="H2667" s="9"/>
      <c r="I2667" s="9"/>
      <c r="J2667" s="9"/>
      <c r="K2667" s="42"/>
      <c r="L2667" s="42"/>
      <c r="M2667" s="42"/>
      <c r="N2667" s="42"/>
      <c r="O2667" s="42"/>
      <c r="P2667" s="9"/>
      <c r="Q2667" s="9"/>
      <c r="R2667" s="42"/>
      <c r="S2667" s="42"/>
      <c r="T2667" s="42"/>
      <c r="U2667" s="42"/>
      <c r="V2667" s="42"/>
      <c r="W2667" s="42"/>
    </row>
    <row r="2668">
      <c r="A2668" s="9"/>
      <c r="B2668" s="9"/>
      <c r="C2668" s="9"/>
      <c r="D2668" s="42"/>
      <c r="E2668" s="103"/>
      <c r="F2668" s="42"/>
      <c r="G2668" s="9"/>
      <c r="H2668" s="9"/>
      <c r="I2668" s="9"/>
      <c r="J2668" s="9"/>
      <c r="K2668" s="42"/>
      <c r="L2668" s="42"/>
      <c r="M2668" s="42"/>
      <c r="N2668" s="42"/>
      <c r="O2668" s="42"/>
      <c r="P2668" s="9"/>
      <c r="Q2668" s="9"/>
      <c r="R2668" s="42"/>
      <c r="S2668" s="42"/>
      <c r="T2668" s="42"/>
      <c r="U2668" s="42"/>
      <c r="V2668" s="42"/>
      <c r="W2668" s="42"/>
    </row>
    <row r="2669">
      <c r="A2669" s="9"/>
      <c r="B2669" s="9"/>
      <c r="C2669" s="9"/>
      <c r="D2669" s="42"/>
      <c r="E2669" s="103"/>
      <c r="F2669" s="42"/>
      <c r="G2669" s="9"/>
      <c r="H2669" s="9"/>
      <c r="I2669" s="9"/>
      <c r="J2669" s="9"/>
      <c r="K2669" s="42"/>
      <c r="L2669" s="42"/>
      <c r="M2669" s="42"/>
      <c r="N2669" s="42"/>
      <c r="O2669" s="42"/>
      <c r="P2669" s="9"/>
      <c r="Q2669" s="9"/>
      <c r="R2669" s="42"/>
      <c r="S2669" s="42"/>
      <c r="T2669" s="42"/>
      <c r="U2669" s="42"/>
      <c r="V2669" s="42"/>
      <c r="W2669" s="42"/>
    </row>
    <row r="2670">
      <c r="A2670" s="9"/>
      <c r="B2670" s="9"/>
      <c r="C2670" s="9"/>
      <c r="D2670" s="42"/>
      <c r="E2670" s="103"/>
      <c r="F2670" s="42"/>
      <c r="G2670" s="9"/>
      <c r="H2670" s="9"/>
      <c r="I2670" s="9"/>
      <c r="J2670" s="9"/>
      <c r="K2670" s="42"/>
      <c r="L2670" s="42"/>
      <c r="M2670" s="42"/>
      <c r="N2670" s="42"/>
      <c r="O2670" s="42"/>
      <c r="P2670" s="9"/>
      <c r="Q2670" s="9"/>
      <c r="R2670" s="42"/>
      <c r="S2670" s="42"/>
      <c r="T2670" s="42"/>
      <c r="U2670" s="42"/>
      <c r="V2670" s="42"/>
      <c r="W2670" s="42"/>
    </row>
    <row r="2671">
      <c r="A2671" s="9"/>
      <c r="B2671" s="9"/>
      <c r="C2671" s="9"/>
      <c r="D2671" s="42"/>
      <c r="E2671" s="103"/>
      <c r="F2671" s="42"/>
      <c r="G2671" s="9"/>
      <c r="H2671" s="9"/>
      <c r="I2671" s="9"/>
      <c r="J2671" s="9"/>
      <c r="K2671" s="42"/>
      <c r="L2671" s="42"/>
      <c r="M2671" s="42"/>
      <c r="N2671" s="42"/>
      <c r="O2671" s="42"/>
      <c r="P2671" s="9"/>
      <c r="Q2671" s="9"/>
      <c r="R2671" s="42"/>
      <c r="S2671" s="42"/>
      <c r="T2671" s="42"/>
      <c r="U2671" s="42"/>
      <c r="V2671" s="42"/>
      <c r="W2671" s="42"/>
    </row>
    <row r="2672">
      <c r="A2672" s="9"/>
      <c r="B2672" s="9"/>
      <c r="C2672" s="9"/>
      <c r="D2672" s="42"/>
      <c r="E2672" s="103"/>
      <c r="F2672" s="42"/>
      <c r="G2672" s="9"/>
      <c r="H2672" s="9"/>
      <c r="I2672" s="9"/>
      <c r="J2672" s="9"/>
      <c r="K2672" s="42"/>
      <c r="L2672" s="42"/>
      <c r="M2672" s="42"/>
      <c r="N2672" s="42"/>
      <c r="O2672" s="42"/>
      <c r="P2672" s="9"/>
      <c r="Q2672" s="9"/>
      <c r="R2672" s="42"/>
      <c r="S2672" s="42"/>
      <c r="T2672" s="42"/>
      <c r="U2672" s="42"/>
      <c r="V2672" s="42"/>
      <c r="W2672" s="42"/>
    </row>
    <row r="2673">
      <c r="A2673" s="9"/>
      <c r="B2673" s="9"/>
      <c r="C2673" s="9"/>
      <c r="D2673" s="42"/>
      <c r="E2673" s="103"/>
      <c r="F2673" s="42"/>
      <c r="G2673" s="9"/>
      <c r="H2673" s="9"/>
      <c r="I2673" s="9"/>
      <c r="J2673" s="9"/>
      <c r="K2673" s="42"/>
      <c r="L2673" s="42"/>
      <c r="M2673" s="42"/>
      <c r="N2673" s="42"/>
      <c r="O2673" s="42"/>
      <c r="P2673" s="9"/>
      <c r="Q2673" s="9"/>
      <c r="R2673" s="42"/>
      <c r="S2673" s="42"/>
      <c r="T2673" s="42"/>
      <c r="U2673" s="42"/>
      <c r="V2673" s="42"/>
      <c r="W2673" s="42"/>
    </row>
    <row r="2674">
      <c r="A2674" s="9"/>
      <c r="B2674" s="9"/>
      <c r="C2674" s="9"/>
      <c r="D2674" s="42"/>
      <c r="E2674" s="103"/>
      <c r="F2674" s="42"/>
      <c r="G2674" s="9"/>
      <c r="H2674" s="9"/>
      <c r="I2674" s="9"/>
      <c r="J2674" s="9"/>
      <c r="K2674" s="42"/>
      <c r="L2674" s="42"/>
      <c r="M2674" s="42"/>
      <c r="N2674" s="42"/>
      <c r="O2674" s="42"/>
      <c r="P2674" s="9"/>
      <c r="Q2674" s="9"/>
      <c r="R2674" s="42"/>
      <c r="S2674" s="42"/>
      <c r="T2674" s="42"/>
      <c r="U2674" s="42"/>
      <c r="V2674" s="42"/>
      <c r="W2674" s="42"/>
    </row>
    <row r="2675">
      <c r="A2675" s="9"/>
      <c r="B2675" s="9"/>
      <c r="C2675" s="9"/>
      <c r="D2675" s="42"/>
      <c r="E2675" s="103"/>
      <c r="F2675" s="42"/>
      <c r="G2675" s="9"/>
      <c r="H2675" s="9"/>
      <c r="I2675" s="9"/>
      <c r="J2675" s="9"/>
      <c r="K2675" s="42"/>
      <c r="L2675" s="42"/>
      <c r="M2675" s="42"/>
      <c r="N2675" s="42"/>
      <c r="O2675" s="42"/>
      <c r="P2675" s="9"/>
      <c r="Q2675" s="9"/>
      <c r="R2675" s="42"/>
      <c r="S2675" s="42"/>
      <c r="T2675" s="42"/>
      <c r="U2675" s="42"/>
      <c r="V2675" s="42"/>
      <c r="W2675" s="42"/>
    </row>
    <row r="2676">
      <c r="A2676" s="9"/>
      <c r="B2676" s="9"/>
      <c r="C2676" s="9"/>
      <c r="D2676" s="42"/>
      <c r="E2676" s="103"/>
      <c r="F2676" s="42"/>
      <c r="G2676" s="9"/>
      <c r="H2676" s="9"/>
      <c r="I2676" s="9"/>
      <c r="J2676" s="9"/>
      <c r="K2676" s="42"/>
      <c r="L2676" s="42"/>
      <c r="M2676" s="42"/>
      <c r="N2676" s="42"/>
      <c r="O2676" s="42"/>
      <c r="P2676" s="9"/>
      <c r="Q2676" s="9"/>
      <c r="R2676" s="42"/>
      <c r="S2676" s="42"/>
      <c r="T2676" s="42"/>
      <c r="U2676" s="42"/>
      <c r="V2676" s="42"/>
      <c r="W2676" s="42"/>
    </row>
    <row r="2677">
      <c r="A2677" s="9"/>
      <c r="B2677" s="9"/>
      <c r="C2677" s="9"/>
      <c r="D2677" s="42"/>
      <c r="E2677" s="103"/>
      <c r="F2677" s="42"/>
      <c r="G2677" s="9"/>
      <c r="H2677" s="9"/>
      <c r="I2677" s="9"/>
      <c r="J2677" s="9"/>
      <c r="K2677" s="42"/>
      <c r="L2677" s="42"/>
      <c r="M2677" s="42"/>
      <c r="N2677" s="42"/>
      <c r="O2677" s="42"/>
      <c r="P2677" s="9"/>
      <c r="Q2677" s="9"/>
      <c r="R2677" s="42"/>
      <c r="S2677" s="42"/>
      <c r="T2677" s="42"/>
      <c r="U2677" s="42"/>
      <c r="V2677" s="42"/>
      <c r="W2677" s="42"/>
    </row>
    <row r="2678">
      <c r="A2678" s="9"/>
      <c r="B2678" s="9"/>
      <c r="C2678" s="9"/>
      <c r="D2678" s="42"/>
      <c r="E2678" s="103"/>
      <c r="F2678" s="42"/>
      <c r="G2678" s="9"/>
      <c r="H2678" s="9"/>
      <c r="I2678" s="9"/>
      <c r="J2678" s="9"/>
      <c r="K2678" s="42"/>
      <c r="L2678" s="42"/>
      <c r="M2678" s="42"/>
      <c r="N2678" s="42"/>
      <c r="O2678" s="42"/>
      <c r="P2678" s="9"/>
      <c r="Q2678" s="9"/>
      <c r="R2678" s="42"/>
      <c r="S2678" s="42"/>
      <c r="T2678" s="42"/>
      <c r="U2678" s="42"/>
      <c r="V2678" s="42"/>
      <c r="W2678" s="42"/>
    </row>
    <row r="2679">
      <c r="A2679" s="9"/>
      <c r="B2679" s="9"/>
      <c r="C2679" s="9"/>
      <c r="D2679" s="42"/>
      <c r="E2679" s="103"/>
      <c r="F2679" s="42"/>
      <c r="G2679" s="9"/>
      <c r="H2679" s="9"/>
      <c r="I2679" s="9"/>
      <c r="J2679" s="9"/>
      <c r="K2679" s="42"/>
      <c r="L2679" s="42"/>
      <c r="M2679" s="42"/>
      <c r="N2679" s="42"/>
      <c r="O2679" s="42"/>
      <c r="P2679" s="9"/>
      <c r="Q2679" s="9"/>
      <c r="R2679" s="42"/>
      <c r="S2679" s="42"/>
      <c r="T2679" s="42"/>
      <c r="U2679" s="42"/>
      <c r="V2679" s="42"/>
      <c r="W2679" s="42"/>
    </row>
    <row r="2680">
      <c r="A2680" s="9"/>
      <c r="B2680" s="9"/>
      <c r="C2680" s="9"/>
      <c r="D2680" s="42"/>
      <c r="E2680" s="103"/>
      <c r="F2680" s="42"/>
      <c r="G2680" s="9"/>
      <c r="H2680" s="9"/>
      <c r="I2680" s="9"/>
      <c r="J2680" s="9"/>
      <c r="K2680" s="42"/>
      <c r="L2680" s="42"/>
      <c r="M2680" s="42"/>
      <c r="N2680" s="42"/>
      <c r="O2680" s="42"/>
      <c r="P2680" s="9"/>
      <c r="Q2680" s="9"/>
      <c r="R2680" s="42"/>
      <c r="S2680" s="42"/>
      <c r="T2680" s="42"/>
      <c r="U2680" s="42"/>
      <c r="V2680" s="42"/>
      <c r="W2680" s="42"/>
    </row>
    <row r="2681">
      <c r="A2681" s="9"/>
      <c r="B2681" s="9"/>
      <c r="C2681" s="9"/>
      <c r="D2681" s="42"/>
      <c r="E2681" s="103"/>
      <c r="F2681" s="42"/>
      <c r="G2681" s="9"/>
      <c r="H2681" s="9"/>
      <c r="I2681" s="9"/>
      <c r="J2681" s="9"/>
      <c r="K2681" s="42"/>
      <c r="L2681" s="42"/>
      <c r="M2681" s="42"/>
      <c r="N2681" s="42"/>
      <c r="O2681" s="42"/>
      <c r="P2681" s="9"/>
      <c r="Q2681" s="9"/>
      <c r="R2681" s="42"/>
      <c r="S2681" s="42"/>
      <c r="T2681" s="42"/>
      <c r="U2681" s="42"/>
      <c r="V2681" s="42"/>
      <c r="W2681" s="42"/>
    </row>
    <row r="2682">
      <c r="A2682" s="9"/>
      <c r="B2682" s="9"/>
      <c r="C2682" s="9"/>
      <c r="D2682" s="42"/>
      <c r="E2682" s="103"/>
      <c r="F2682" s="42"/>
      <c r="G2682" s="9"/>
      <c r="H2682" s="9"/>
      <c r="I2682" s="9"/>
      <c r="J2682" s="9"/>
      <c r="K2682" s="42"/>
      <c r="L2682" s="42"/>
      <c r="M2682" s="42"/>
      <c r="N2682" s="42"/>
      <c r="O2682" s="42"/>
      <c r="P2682" s="9"/>
      <c r="Q2682" s="9"/>
      <c r="R2682" s="42"/>
      <c r="S2682" s="42"/>
      <c r="T2682" s="42"/>
      <c r="U2682" s="42"/>
      <c r="V2682" s="42"/>
      <c r="W2682" s="42"/>
    </row>
    <row r="2683">
      <c r="A2683" s="9"/>
      <c r="B2683" s="9"/>
      <c r="C2683" s="9"/>
      <c r="D2683" s="42"/>
      <c r="E2683" s="103"/>
      <c r="F2683" s="42"/>
      <c r="G2683" s="9"/>
      <c r="H2683" s="9"/>
      <c r="I2683" s="9"/>
      <c r="J2683" s="9"/>
      <c r="K2683" s="42"/>
      <c r="L2683" s="42"/>
      <c r="M2683" s="42"/>
      <c r="N2683" s="42"/>
      <c r="O2683" s="42"/>
      <c r="P2683" s="9"/>
      <c r="Q2683" s="9"/>
      <c r="R2683" s="42"/>
      <c r="S2683" s="42"/>
      <c r="T2683" s="42"/>
      <c r="U2683" s="42"/>
      <c r="V2683" s="42"/>
      <c r="W2683" s="42"/>
    </row>
    <row r="2684">
      <c r="A2684" s="9"/>
      <c r="B2684" s="9"/>
      <c r="C2684" s="9"/>
      <c r="D2684" s="42"/>
      <c r="E2684" s="103"/>
      <c r="F2684" s="42"/>
      <c r="G2684" s="9"/>
      <c r="H2684" s="9"/>
      <c r="I2684" s="9"/>
      <c r="J2684" s="9"/>
      <c r="K2684" s="42"/>
      <c r="L2684" s="42"/>
      <c r="M2684" s="42"/>
      <c r="N2684" s="42"/>
      <c r="O2684" s="42"/>
      <c r="P2684" s="9"/>
      <c r="Q2684" s="9"/>
      <c r="R2684" s="42"/>
      <c r="S2684" s="42"/>
      <c r="T2684" s="42"/>
      <c r="U2684" s="42"/>
      <c r="V2684" s="42"/>
      <c r="W2684" s="42"/>
    </row>
    <row r="2685">
      <c r="A2685" s="9"/>
      <c r="B2685" s="9"/>
      <c r="C2685" s="9"/>
      <c r="D2685" s="42"/>
      <c r="E2685" s="103"/>
      <c r="F2685" s="42"/>
      <c r="G2685" s="9"/>
      <c r="H2685" s="9"/>
      <c r="I2685" s="9"/>
      <c r="J2685" s="9"/>
      <c r="K2685" s="42"/>
      <c r="L2685" s="42"/>
      <c r="M2685" s="42"/>
      <c r="N2685" s="42"/>
      <c r="O2685" s="42"/>
      <c r="P2685" s="9"/>
      <c r="Q2685" s="9"/>
      <c r="R2685" s="42"/>
      <c r="S2685" s="42"/>
      <c r="T2685" s="42"/>
      <c r="U2685" s="42"/>
      <c r="V2685" s="42"/>
      <c r="W2685" s="42"/>
    </row>
    <row r="2686">
      <c r="A2686" s="9"/>
      <c r="B2686" s="9"/>
      <c r="C2686" s="9"/>
      <c r="D2686" s="42"/>
      <c r="E2686" s="103"/>
      <c r="F2686" s="42"/>
      <c r="G2686" s="9"/>
      <c r="H2686" s="9"/>
      <c r="I2686" s="9"/>
      <c r="J2686" s="9"/>
      <c r="K2686" s="42"/>
      <c r="L2686" s="42"/>
      <c r="M2686" s="42"/>
      <c r="N2686" s="42"/>
      <c r="O2686" s="42"/>
      <c r="P2686" s="9"/>
      <c r="Q2686" s="9"/>
      <c r="R2686" s="42"/>
      <c r="S2686" s="42"/>
      <c r="T2686" s="42"/>
      <c r="U2686" s="42"/>
      <c r="V2686" s="42"/>
      <c r="W2686" s="42"/>
    </row>
    <row r="2687">
      <c r="A2687" s="9"/>
      <c r="B2687" s="9"/>
      <c r="C2687" s="9"/>
      <c r="D2687" s="42"/>
      <c r="E2687" s="103"/>
      <c r="F2687" s="42"/>
      <c r="G2687" s="9"/>
      <c r="H2687" s="9"/>
      <c r="I2687" s="9"/>
      <c r="J2687" s="9"/>
      <c r="K2687" s="42"/>
      <c r="L2687" s="42"/>
      <c r="M2687" s="42"/>
      <c r="N2687" s="42"/>
      <c r="O2687" s="42"/>
      <c r="P2687" s="9"/>
      <c r="Q2687" s="9"/>
      <c r="R2687" s="42"/>
      <c r="S2687" s="42"/>
      <c r="T2687" s="42"/>
      <c r="U2687" s="42"/>
      <c r="V2687" s="42"/>
      <c r="W2687" s="42"/>
    </row>
    <row r="2688">
      <c r="A2688" s="9"/>
      <c r="B2688" s="9"/>
      <c r="C2688" s="9"/>
      <c r="D2688" s="42"/>
      <c r="E2688" s="103"/>
      <c r="F2688" s="42"/>
      <c r="G2688" s="9"/>
      <c r="H2688" s="9"/>
      <c r="I2688" s="9"/>
      <c r="J2688" s="9"/>
      <c r="K2688" s="42"/>
      <c r="L2688" s="42"/>
      <c r="M2688" s="42"/>
      <c r="N2688" s="42"/>
      <c r="O2688" s="42"/>
      <c r="P2688" s="9"/>
      <c r="Q2688" s="9"/>
      <c r="R2688" s="42"/>
      <c r="S2688" s="42"/>
      <c r="T2688" s="42"/>
      <c r="U2688" s="42"/>
      <c r="V2688" s="42"/>
      <c r="W2688" s="42"/>
    </row>
    <row r="2689">
      <c r="A2689" s="9"/>
      <c r="B2689" s="9"/>
      <c r="C2689" s="9"/>
      <c r="D2689" s="42"/>
      <c r="E2689" s="103"/>
      <c r="F2689" s="42"/>
      <c r="G2689" s="9"/>
      <c r="H2689" s="9"/>
      <c r="I2689" s="9"/>
      <c r="J2689" s="9"/>
      <c r="K2689" s="42"/>
      <c r="L2689" s="42"/>
      <c r="M2689" s="42"/>
      <c r="N2689" s="42"/>
      <c r="O2689" s="42"/>
      <c r="P2689" s="9"/>
      <c r="Q2689" s="9"/>
      <c r="R2689" s="42"/>
      <c r="S2689" s="42"/>
      <c r="T2689" s="42"/>
      <c r="U2689" s="42"/>
      <c r="V2689" s="42"/>
      <c r="W2689" s="42"/>
    </row>
    <row r="2690">
      <c r="A2690" s="9"/>
      <c r="B2690" s="9"/>
      <c r="C2690" s="9"/>
      <c r="D2690" s="42"/>
      <c r="E2690" s="103"/>
      <c r="F2690" s="42"/>
      <c r="G2690" s="9"/>
      <c r="H2690" s="9"/>
      <c r="I2690" s="9"/>
      <c r="J2690" s="9"/>
      <c r="K2690" s="42"/>
      <c r="L2690" s="42"/>
      <c r="M2690" s="42"/>
      <c r="N2690" s="42"/>
      <c r="O2690" s="42"/>
      <c r="P2690" s="9"/>
      <c r="Q2690" s="9"/>
      <c r="R2690" s="42"/>
      <c r="S2690" s="42"/>
      <c r="T2690" s="42"/>
      <c r="U2690" s="42"/>
      <c r="V2690" s="42"/>
      <c r="W2690" s="42"/>
    </row>
    <row r="2691">
      <c r="A2691" s="9"/>
      <c r="B2691" s="9"/>
      <c r="C2691" s="9"/>
      <c r="D2691" s="42"/>
      <c r="E2691" s="103"/>
      <c r="F2691" s="42"/>
      <c r="G2691" s="9"/>
      <c r="H2691" s="9"/>
      <c r="I2691" s="9"/>
      <c r="J2691" s="9"/>
      <c r="K2691" s="42"/>
      <c r="L2691" s="42"/>
      <c r="M2691" s="42"/>
      <c r="N2691" s="42"/>
      <c r="O2691" s="42"/>
      <c r="P2691" s="9"/>
      <c r="Q2691" s="9"/>
      <c r="R2691" s="42"/>
      <c r="S2691" s="42"/>
      <c r="T2691" s="42"/>
      <c r="U2691" s="42"/>
      <c r="V2691" s="42"/>
      <c r="W2691" s="42"/>
    </row>
    <row r="2692">
      <c r="A2692" s="9"/>
      <c r="B2692" s="9"/>
      <c r="C2692" s="9"/>
      <c r="D2692" s="42"/>
      <c r="E2692" s="103"/>
      <c r="F2692" s="42"/>
      <c r="G2692" s="9"/>
      <c r="H2692" s="9"/>
      <c r="I2692" s="9"/>
      <c r="J2692" s="9"/>
      <c r="K2692" s="42"/>
      <c r="L2692" s="42"/>
      <c r="M2692" s="42"/>
      <c r="N2692" s="42"/>
      <c r="O2692" s="42"/>
      <c r="P2692" s="9"/>
      <c r="Q2692" s="9"/>
      <c r="R2692" s="42"/>
      <c r="S2692" s="42"/>
      <c r="T2692" s="42"/>
      <c r="U2692" s="42"/>
      <c r="V2692" s="42"/>
      <c r="W2692" s="42"/>
    </row>
    <row r="2693">
      <c r="A2693" s="9"/>
      <c r="B2693" s="9"/>
      <c r="C2693" s="9"/>
      <c r="D2693" s="42"/>
      <c r="E2693" s="103"/>
      <c r="F2693" s="42"/>
      <c r="G2693" s="9"/>
      <c r="H2693" s="9"/>
      <c r="I2693" s="9"/>
      <c r="J2693" s="9"/>
      <c r="K2693" s="42"/>
      <c r="L2693" s="42"/>
      <c r="M2693" s="42"/>
      <c r="N2693" s="42"/>
      <c r="O2693" s="42"/>
      <c r="P2693" s="9"/>
      <c r="Q2693" s="9"/>
      <c r="R2693" s="42"/>
      <c r="S2693" s="42"/>
      <c r="T2693" s="42"/>
      <c r="U2693" s="42"/>
      <c r="V2693" s="42"/>
      <c r="W2693" s="42"/>
    </row>
    <row r="2694">
      <c r="A2694" s="9"/>
      <c r="B2694" s="9"/>
      <c r="C2694" s="9"/>
      <c r="D2694" s="42"/>
      <c r="E2694" s="103"/>
      <c r="F2694" s="42"/>
      <c r="G2694" s="9"/>
      <c r="H2694" s="9"/>
      <c r="I2694" s="9"/>
      <c r="J2694" s="9"/>
      <c r="K2694" s="42"/>
      <c r="L2694" s="42"/>
      <c r="M2694" s="42"/>
      <c r="N2694" s="42"/>
      <c r="O2694" s="42"/>
      <c r="P2694" s="9"/>
      <c r="Q2694" s="9"/>
      <c r="R2694" s="42"/>
      <c r="S2694" s="42"/>
      <c r="T2694" s="42"/>
      <c r="U2694" s="42"/>
      <c r="V2694" s="42"/>
      <c r="W2694" s="42"/>
    </row>
    <row r="2695">
      <c r="A2695" s="9"/>
      <c r="B2695" s="9"/>
      <c r="C2695" s="9"/>
      <c r="D2695" s="42"/>
      <c r="E2695" s="103"/>
      <c r="F2695" s="42"/>
      <c r="G2695" s="9"/>
      <c r="H2695" s="9"/>
      <c r="I2695" s="9"/>
      <c r="J2695" s="9"/>
      <c r="K2695" s="42"/>
      <c r="L2695" s="42"/>
      <c r="M2695" s="42"/>
      <c r="N2695" s="42"/>
      <c r="O2695" s="42"/>
      <c r="P2695" s="9"/>
      <c r="Q2695" s="9"/>
      <c r="R2695" s="42"/>
      <c r="S2695" s="42"/>
      <c r="T2695" s="42"/>
      <c r="U2695" s="42"/>
      <c r="V2695" s="42"/>
      <c r="W2695" s="42"/>
    </row>
    <row r="2696">
      <c r="A2696" s="9"/>
      <c r="B2696" s="9"/>
      <c r="C2696" s="9"/>
      <c r="D2696" s="42"/>
      <c r="E2696" s="103"/>
      <c r="F2696" s="42"/>
      <c r="G2696" s="9"/>
      <c r="H2696" s="9"/>
      <c r="I2696" s="9"/>
      <c r="J2696" s="9"/>
      <c r="K2696" s="42"/>
      <c r="L2696" s="42"/>
      <c r="M2696" s="42"/>
      <c r="N2696" s="42"/>
      <c r="O2696" s="42"/>
      <c r="P2696" s="9"/>
      <c r="Q2696" s="9"/>
      <c r="R2696" s="42"/>
      <c r="S2696" s="42"/>
      <c r="T2696" s="42"/>
      <c r="U2696" s="42"/>
      <c r="V2696" s="42"/>
      <c r="W2696" s="42"/>
    </row>
    <row r="2697">
      <c r="A2697" s="9"/>
      <c r="B2697" s="9"/>
      <c r="C2697" s="9"/>
      <c r="D2697" s="42"/>
      <c r="E2697" s="103"/>
      <c r="F2697" s="42"/>
      <c r="G2697" s="9"/>
      <c r="H2697" s="9"/>
      <c r="I2697" s="9"/>
      <c r="J2697" s="9"/>
      <c r="K2697" s="42"/>
      <c r="L2697" s="42"/>
      <c r="M2697" s="42"/>
      <c r="N2697" s="42"/>
      <c r="O2697" s="42"/>
      <c r="P2697" s="9"/>
      <c r="Q2697" s="9"/>
      <c r="R2697" s="42"/>
      <c r="S2697" s="42"/>
      <c r="T2697" s="42"/>
      <c r="U2697" s="42"/>
      <c r="V2697" s="42"/>
      <c r="W2697" s="42"/>
    </row>
    <row r="2698">
      <c r="A2698" s="9"/>
      <c r="B2698" s="9"/>
      <c r="C2698" s="9"/>
      <c r="D2698" s="42"/>
      <c r="E2698" s="103"/>
      <c r="F2698" s="42"/>
      <c r="G2698" s="9"/>
      <c r="H2698" s="9"/>
      <c r="I2698" s="9"/>
      <c r="J2698" s="9"/>
      <c r="K2698" s="42"/>
      <c r="L2698" s="42"/>
      <c r="M2698" s="42"/>
      <c r="N2698" s="42"/>
      <c r="O2698" s="42"/>
      <c r="P2698" s="9"/>
      <c r="Q2698" s="9"/>
      <c r="R2698" s="42"/>
      <c r="S2698" s="42"/>
      <c r="T2698" s="42"/>
      <c r="U2698" s="42"/>
      <c r="V2698" s="42"/>
      <c r="W2698" s="42"/>
    </row>
    <row r="2699">
      <c r="A2699" s="9"/>
      <c r="B2699" s="9"/>
      <c r="C2699" s="9"/>
      <c r="D2699" s="42"/>
      <c r="E2699" s="103"/>
      <c r="F2699" s="42"/>
      <c r="G2699" s="9"/>
      <c r="H2699" s="9"/>
      <c r="I2699" s="9"/>
      <c r="J2699" s="9"/>
      <c r="K2699" s="42"/>
      <c r="L2699" s="42"/>
      <c r="M2699" s="42"/>
      <c r="N2699" s="42"/>
      <c r="O2699" s="42"/>
      <c r="P2699" s="9"/>
      <c r="Q2699" s="9"/>
      <c r="R2699" s="42"/>
      <c r="S2699" s="42"/>
      <c r="T2699" s="42"/>
      <c r="U2699" s="42"/>
      <c r="V2699" s="42"/>
      <c r="W2699" s="42"/>
    </row>
    <row r="2700">
      <c r="A2700" s="9"/>
      <c r="B2700" s="9"/>
      <c r="C2700" s="9"/>
      <c r="D2700" s="42"/>
      <c r="E2700" s="103"/>
      <c r="F2700" s="42"/>
      <c r="G2700" s="9"/>
      <c r="H2700" s="9"/>
      <c r="I2700" s="9"/>
      <c r="J2700" s="9"/>
      <c r="K2700" s="42"/>
      <c r="L2700" s="42"/>
      <c r="M2700" s="42"/>
      <c r="N2700" s="42"/>
      <c r="O2700" s="42"/>
      <c r="P2700" s="9"/>
      <c r="Q2700" s="9"/>
      <c r="R2700" s="42"/>
      <c r="S2700" s="42"/>
      <c r="T2700" s="42"/>
      <c r="U2700" s="42"/>
      <c r="V2700" s="42"/>
      <c r="W2700" s="42"/>
    </row>
    <row r="2701">
      <c r="A2701" s="9"/>
      <c r="B2701" s="9"/>
      <c r="C2701" s="9"/>
      <c r="D2701" s="42"/>
      <c r="E2701" s="103"/>
      <c r="F2701" s="42"/>
      <c r="G2701" s="9"/>
      <c r="H2701" s="9"/>
      <c r="I2701" s="9"/>
      <c r="J2701" s="9"/>
      <c r="K2701" s="42"/>
      <c r="L2701" s="42"/>
      <c r="M2701" s="42"/>
      <c r="N2701" s="42"/>
      <c r="O2701" s="42"/>
      <c r="P2701" s="9"/>
      <c r="Q2701" s="9"/>
      <c r="R2701" s="42"/>
      <c r="S2701" s="42"/>
      <c r="T2701" s="42"/>
      <c r="U2701" s="42"/>
      <c r="V2701" s="42"/>
      <c r="W2701" s="42"/>
    </row>
    <row r="2702">
      <c r="A2702" s="9"/>
      <c r="B2702" s="9"/>
      <c r="C2702" s="9"/>
      <c r="D2702" s="42"/>
      <c r="E2702" s="103"/>
      <c r="F2702" s="42"/>
      <c r="G2702" s="9"/>
      <c r="H2702" s="9"/>
      <c r="I2702" s="9"/>
      <c r="J2702" s="9"/>
      <c r="K2702" s="42"/>
      <c r="L2702" s="42"/>
      <c r="M2702" s="42"/>
      <c r="N2702" s="42"/>
      <c r="O2702" s="42"/>
      <c r="P2702" s="9"/>
      <c r="Q2702" s="9"/>
      <c r="R2702" s="42"/>
      <c r="S2702" s="42"/>
      <c r="T2702" s="42"/>
      <c r="U2702" s="42"/>
      <c r="V2702" s="42"/>
      <c r="W2702" s="42"/>
    </row>
    <row r="2703">
      <c r="A2703" s="9"/>
      <c r="B2703" s="9"/>
      <c r="C2703" s="9"/>
      <c r="D2703" s="42"/>
      <c r="E2703" s="103"/>
      <c r="F2703" s="42"/>
      <c r="G2703" s="9"/>
      <c r="H2703" s="9"/>
      <c r="I2703" s="9"/>
      <c r="J2703" s="9"/>
      <c r="K2703" s="42"/>
      <c r="L2703" s="42"/>
      <c r="M2703" s="42"/>
      <c r="N2703" s="42"/>
      <c r="O2703" s="42"/>
      <c r="P2703" s="9"/>
      <c r="Q2703" s="9"/>
      <c r="R2703" s="42"/>
      <c r="S2703" s="42"/>
      <c r="T2703" s="42"/>
      <c r="U2703" s="42"/>
      <c r="V2703" s="42"/>
      <c r="W2703" s="42"/>
    </row>
    <row r="2704">
      <c r="A2704" s="9"/>
      <c r="B2704" s="9"/>
      <c r="C2704" s="9"/>
      <c r="D2704" s="42"/>
      <c r="E2704" s="103"/>
      <c r="F2704" s="42"/>
      <c r="G2704" s="9"/>
      <c r="H2704" s="9"/>
      <c r="I2704" s="9"/>
      <c r="J2704" s="9"/>
      <c r="K2704" s="42"/>
      <c r="L2704" s="42"/>
      <c r="M2704" s="42"/>
      <c r="N2704" s="42"/>
      <c r="O2704" s="42"/>
      <c r="P2704" s="9"/>
      <c r="Q2704" s="9"/>
      <c r="R2704" s="42"/>
      <c r="S2704" s="42"/>
      <c r="T2704" s="42"/>
      <c r="U2704" s="42"/>
      <c r="V2704" s="42"/>
      <c r="W2704" s="42"/>
    </row>
    <row r="2705">
      <c r="A2705" s="9"/>
      <c r="B2705" s="9"/>
      <c r="C2705" s="9"/>
      <c r="D2705" s="42"/>
      <c r="E2705" s="103"/>
      <c r="F2705" s="42"/>
      <c r="G2705" s="9"/>
      <c r="H2705" s="9"/>
      <c r="I2705" s="9"/>
      <c r="J2705" s="9"/>
      <c r="K2705" s="42"/>
      <c r="L2705" s="42"/>
      <c r="M2705" s="42"/>
      <c r="N2705" s="42"/>
      <c r="O2705" s="42"/>
      <c r="P2705" s="9"/>
      <c r="Q2705" s="9"/>
      <c r="R2705" s="42"/>
      <c r="S2705" s="42"/>
      <c r="T2705" s="42"/>
      <c r="U2705" s="42"/>
      <c r="V2705" s="42"/>
      <c r="W2705" s="42"/>
    </row>
    <row r="2706">
      <c r="A2706" s="9"/>
      <c r="B2706" s="9"/>
      <c r="C2706" s="9"/>
      <c r="D2706" s="42"/>
      <c r="E2706" s="103"/>
      <c r="F2706" s="42"/>
      <c r="G2706" s="9"/>
      <c r="H2706" s="9"/>
      <c r="I2706" s="9"/>
      <c r="J2706" s="9"/>
      <c r="K2706" s="42"/>
      <c r="L2706" s="42"/>
      <c r="M2706" s="42"/>
      <c r="N2706" s="42"/>
      <c r="O2706" s="42"/>
      <c r="P2706" s="9"/>
      <c r="Q2706" s="9"/>
      <c r="R2706" s="42"/>
      <c r="S2706" s="42"/>
      <c r="T2706" s="42"/>
      <c r="U2706" s="42"/>
      <c r="V2706" s="42"/>
      <c r="W2706" s="42"/>
    </row>
    <row r="2707">
      <c r="A2707" s="9"/>
      <c r="B2707" s="9"/>
      <c r="C2707" s="9"/>
      <c r="D2707" s="42"/>
      <c r="E2707" s="103"/>
      <c r="F2707" s="42"/>
      <c r="G2707" s="9"/>
      <c r="H2707" s="9"/>
      <c r="I2707" s="9"/>
      <c r="J2707" s="9"/>
      <c r="K2707" s="42"/>
      <c r="L2707" s="42"/>
      <c r="M2707" s="42"/>
      <c r="N2707" s="42"/>
      <c r="O2707" s="42"/>
      <c r="P2707" s="9"/>
      <c r="Q2707" s="9"/>
      <c r="R2707" s="42"/>
      <c r="S2707" s="42"/>
      <c r="T2707" s="42"/>
      <c r="U2707" s="42"/>
      <c r="V2707" s="42"/>
      <c r="W2707" s="42"/>
    </row>
    <row r="2708">
      <c r="A2708" s="9"/>
      <c r="B2708" s="9"/>
      <c r="C2708" s="9"/>
      <c r="D2708" s="42"/>
      <c r="E2708" s="103"/>
      <c r="F2708" s="42"/>
      <c r="G2708" s="9"/>
      <c r="H2708" s="9"/>
      <c r="I2708" s="9"/>
      <c r="J2708" s="9"/>
      <c r="K2708" s="42"/>
      <c r="L2708" s="42"/>
      <c r="M2708" s="42"/>
      <c r="N2708" s="42"/>
      <c r="O2708" s="42"/>
      <c r="P2708" s="9"/>
      <c r="Q2708" s="9"/>
      <c r="R2708" s="42"/>
      <c r="S2708" s="42"/>
      <c r="T2708" s="42"/>
      <c r="U2708" s="42"/>
      <c r="V2708" s="42"/>
      <c r="W2708" s="42"/>
    </row>
    <row r="2709">
      <c r="A2709" s="9"/>
      <c r="B2709" s="9"/>
      <c r="C2709" s="9"/>
      <c r="D2709" s="42"/>
      <c r="E2709" s="103"/>
      <c r="F2709" s="42"/>
      <c r="G2709" s="9"/>
      <c r="H2709" s="9"/>
      <c r="I2709" s="9"/>
      <c r="J2709" s="9"/>
      <c r="K2709" s="42"/>
      <c r="L2709" s="42"/>
      <c r="M2709" s="42"/>
      <c r="N2709" s="42"/>
      <c r="O2709" s="42"/>
      <c r="P2709" s="9"/>
      <c r="Q2709" s="9"/>
      <c r="R2709" s="42"/>
      <c r="S2709" s="42"/>
      <c r="T2709" s="42"/>
      <c r="U2709" s="42"/>
      <c r="V2709" s="42"/>
      <c r="W2709" s="42"/>
    </row>
    <row r="2710">
      <c r="A2710" s="9"/>
      <c r="B2710" s="9"/>
      <c r="C2710" s="9"/>
      <c r="D2710" s="42"/>
      <c r="E2710" s="103"/>
      <c r="F2710" s="42"/>
      <c r="G2710" s="9"/>
      <c r="H2710" s="9"/>
      <c r="I2710" s="9"/>
      <c r="J2710" s="9"/>
      <c r="K2710" s="42"/>
      <c r="L2710" s="42"/>
      <c r="M2710" s="42"/>
      <c r="N2710" s="42"/>
      <c r="O2710" s="42"/>
      <c r="P2710" s="9"/>
      <c r="Q2710" s="9"/>
      <c r="R2710" s="42"/>
      <c r="S2710" s="42"/>
      <c r="T2710" s="42"/>
      <c r="U2710" s="42"/>
      <c r="V2710" s="42"/>
      <c r="W2710" s="42"/>
    </row>
    <row r="2711">
      <c r="A2711" s="9"/>
      <c r="B2711" s="9"/>
      <c r="C2711" s="9"/>
      <c r="D2711" s="42"/>
      <c r="E2711" s="103"/>
      <c r="F2711" s="42"/>
      <c r="G2711" s="9"/>
      <c r="H2711" s="9"/>
      <c r="I2711" s="9"/>
      <c r="J2711" s="9"/>
      <c r="K2711" s="42"/>
      <c r="L2711" s="42"/>
      <c r="M2711" s="42"/>
      <c r="N2711" s="42"/>
      <c r="O2711" s="42"/>
      <c r="P2711" s="9"/>
      <c r="Q2711" s="9"/>
      <c r="R2711" s="42"/>
      <c r="S2711" s="42"/>
      <c r="T2711" s="42"/>
      <c r="U2711" s="42"/>
      <c r="V2711" s="42"/>
      <c r="W2711" s="42"/>
    </row>
    <row r="2712">
      <c r="A2712" s="9"/>
      <c r="B2712" s="9"/>
      <c r="C2712" s="9"/>
      <c r="D2712" s="42"/>
      <c r="E2712" s="103"/>
      <c r="F2712" s="42"/>
      <c r="G2712" s="9"/>
      <c r="H2712" s="9"/>
      <c r="I2712" s="9"/>
      <c r="J2712" s="9"/>
      <c r="K2712" s="42"/>
      <c r="L2712" s="42"/>
      <c r="M2712" s="42"/>
      <c r="N2712" s="42"/>
      <c r="O2712" s="42"/>
      <c r="P2712" s="9"/>
      <c r="Q2712" s="9"/>
      <c r="R2712" s="42"/>
      <c r="S2712" s="42"/>
      <c r="T2712" s="42"/>
      <c r="U2712" s="42"/>
      <c r="V2712" s="42"/>
      <c r="W2712" s="42"/>
    </row>
    <row r="2713">
      <c r="A2713" s="9"/>
      <c r="B2713" s="9"/>
      <c r="C2713" s="9"/>
      <c r="D2713" s="42"/>
      <c r="E2713" s="103"/>
      <c r="F2713" s="42"/>
      <c r="G2713" s="9"/>
      <c r="H2713" s="9"/>
      <c r="I2713" s="9"/>
      <c r="J2713" s="9"/>
      <c r="K2713" s="42"/>
      <c r="L2713" s="42"/>
      <c r="M2713" s="42"/>
      <c r="N2713" s="42"/>
      <c r="O2713" s="42"/>
      <c r="P2713" s="9"/>
      <c r="Q2713" s="9"/>
      <c r="R2713" s="42"/>
      <c r="S2713" s="42"/>
      <c r="T2713" s="42"/>
      <c r="U2713" s="42"/>
      <c r="V2713" s="42"/>
      <c r="W2713" s="42"/>
    </row>
    <row r="2714">
      <c r="A2714" s="9"/>
      <c r="B2714" s="9"/>
      <c r="C2714" s="9"/>
      <c r="D2714" s="42"/>
      <c r="E2714" s="103"/>
      <c r="F2714" s="42"/>
      <c r="G2714" s="9"/>
      <c r="H2714" s="9"/>
      <c r="I2714" s="9"/>
      <c r="J2714" s="9"/>
      <c r="K2714" s="42"/>
      <c r="L2714" s="42"/>
      <c r="M2714" s="42"/>
      <c r="N2714" s="42"/>
      <c r="O2714" s="42"/>
      <c r="P2714" s="9"/>
      <c r="Q2714" s="9"/>
      <c r="R2714" s="42"/>
      <c r="S2714" s="42"/>
      <c r="T2714" s="42"/>
      <c r="U2714" s="42"/>
      <c r="V2714" s="42"/>
      <c r="W2714" s="42"/>
    </row>
    <row r="2715">
      <c r="A2715" s="9"/>
      <c r="B2715" s="9"/>
      <c r="C2715" s="9"/>
      <c r="D2715" s="42"/>
      <c r="E2715" s="103"/>
      <c r="F2715" s="42"/>
      <c r="G2715" s="9"/>
      <c r="H2715" s="9"/>
      <c r="I2715" s="9"/>
      <c r="J2715" s="9"/>
      <c r="K2715" s="42"/>
      <c r="L2715" s="42"/>
      <c r="M2715" s="42"/>
      <c r="N2715" s="42"/>
      <c r="O2715" s="42"/>
      <c r="P2715" s="9"/>
      <c r="Q2715" s="9"/>
      <c r="R2715" s="42"/>
      <c r="S2715" s="42"/>
      <c r="T2715" s="42"/>
      <c r="U2715" s="42"/>
      <c r="V2715" s="42"/>
      <c r="W2715" s="42"/>
    </row>
    <row r="2716">
      <c r="A2716" s="9"/>
      <c r="B2716" s="9"/>
      <c r="C2716" s="9"/>
      <c r="D2716" s="42"/>
      <c r="E2716" s="103"/>
      <c r="F2716" s="42"/>
      <c r="G2716" s="9"/>
      <c r="H2716" s="9"/>
      <c r="I2716" s="9"/>
      <c r="J2716" s="9"/>
      <c r="K2716" s="42"/>
      <c r="L2716" s="42"/>
      <c r="M2716" s="42"/>
      <c r="N2716" s="42"/>
      <c r="O2716" s="42"/>
      <c r="P2716" s="9"/>
      <c r="Q2716" s="9"/>
      <c r="R2716" s="42"/>
      <c r="S2716" s="42"/>
      <c r="T2716" s="42"/>
      <c r="U2716" s="42"/>
      <c r="V2716" s="42"/>
      <c r="W2716" s="42"/>
    </row>
    <row r="2717">
      <c r="A2717" s="9"/>
      <c r="B2717" s="9"/>
      <c r="C2717" s="9"/>
      <c r="D2717" s="42"/>
      <c r="E2717" s="103"/>
      <c r="F2717" s="42"/>
      <c r="G2717" s="9"/>
      <c r="H2717" s="9"/>
      <c r="I2717" s="9"/>
      <c r="J2717" s="9"/>
      <c r="K2717" s="42"/>
      <c r="L2717" s="42"/>
      <c r="M2717" s="42"/>
      <c r="N2717" s="42"/>
      <c r="O2717" s="42"/>
      <c r="P2717" s="9"/>
      <c r="Q2717" s="9"/>
      <c r="R2717" s="42"/>
      <c r="S2717" s="42"/>
      <c r="T2717" s="42"/>
      <c r="U2717" s="42"/>
      <c r="V2717" s="42"/>
      <c r="W2717" s="42"/>
    </row>
    <row r="2718">
      <c r="A2718" s="9"/>
      <c r="B2718" s="9"/>
      <c r="C2718" s="9"/>
      <c r="D2718" s="42"/>
      <c r="E2718" s="103"/>
      <c r="F2718" s="42"/>
      <c r="G2718" s="9"/>
      <c r="H2718" s="9"/>
      <c r="I2718" s="9"/>
      <c r="J2718" s="9"/>
      <c r="K2718" s="42"/>
      <c r="L2718" s="42"/>
      <c r="M2718" s="42"/>
      <c r="N2718" s="42"/>
      <c r="O2718" s="42"/>
      <c r="P2718" s="9"/>
      <c r="Q2718" s="9"/>
      <c r="R2718" s="42"/>
      <c r="S2718" s="42"/>
      <c r="T2718" s="42"/>
      <c r="U2718" s="42"/>
      <c r="V2718" s="42"/>
      <c r="W2718" s="42"/>
    </row>
    <row r="2719">
      <c r="A2719" s="9"/>
      <c r="B2719" s="9"/>
      <c r="C2719" s="9"/>
      <c r="D2719" s="42"/>
      <c r="E2719" s="103"/>
      <c r="F2719" s="42"/>
      <c r="G2719" s="9"/>
      <c r="H2719" s="9"/>
      <c r="I2719" s="9"/>
      <c r="J2719" s="9"/>
      <c r="K2719" s="42"/>
      <c r="L2719" s="42"/>
      <c r="M2719" s="42"/>
      <c r="N2719" s="42"/>
      <c r="O2719" s="42"/>
      <c r="P2719" s="9"/>
      <c r="Q2719" s="9"/>
      <c r="R2719" s="42"/>
      <c r="S2719" s="42"/>
      <c r="T2719" s="42"/>
      <c r="U2719" s="42"/>
      <c r="V2719" s="42"/>
      <c r="W2719" s="42"/>
    </row>
    <row r="2720">
      <c r="A2720" s="9"/>
      <c r="B2720" s="9"/>
      <c r="C2720" s="9"/>
      <c r="D2720" s="42"/>
      <c r="E2720" s="103"/>
      <c r="F2720" s="42"/>
      <c r="G2720" s="9"/>
      <c r="H2720" s="9"/>
      <c r="I2720" s="9"/>
      <c r="J2720" s="9"/>
      <c r="K2720" s="42"/>
      <c r="L2720" s="42"/>
      <c r="M2720" s="42"/>
      <c r="N2720" s="42"/>
      <c r="O2720" s="42"/>
      <c r="P2720" s="9"/>
      <c r="Q2720" s="9"/>
      <c r="R2720" s="42"/>
      <c r="S2720" s="42"/>
      <c r="T2720" s="42"/>
      <c r="U2720" s="42"/>
      <c r="V2720" s="42"/>
      <c r="W2720" s="42"/>
    </row>
    <row r="2721">
      <c r="A2721" s="9"/>
      <c r="B2721" s="9"/>
      <c r="C2721" s="9"/>
      <c r="D2721" s="42"/>
      <c r="E2721" s="103"/>
      <c r="F2721" s="42"/>
      <c r="G2721" s="9"/>
      <c r="H2721" s="9"/>
      <c r="I2721" s="9"/>
      <c r="J2721" s="9"/>
      <c r="K2721" s="42"/>
      <c r="L2721" s="42"/>
      <c r="M2721" s="42"/>
      <c r="N2721" s="42"/>
      <c r="O2721" s="42"/>
      <c r="P2721" s="9"/>
      <c r="Q2721" s="9"/>
      <c r="R2721" s="42"/>
      <c r="S2721" s="42"/>
      <c r="T2721" s="42"/>
      <c r="U2721" s="42"/>
      <c r="V2721" s="42"/>
      <c r="W2721" s="42"/>
    </row>
    <row r="2722">
      <c r="A2722" s="9"/>
      <c r="B2722" s="9"/>
      <c r="C2722" s="9"/>
      <c r="D2722" s="42"/>
      <c r="E2722" s="103"/>
      <c r="F2722" s="42"/>
      <c r="G2722" s="9"/>
      <c r="H2722" s="9"/>
      <c r="I2722" s="9"/>
      <c r="J2722" s="9"/>
      <c r="K2722" s="42"/>
      <c r="L2722" s="42"/>
      <c r="M2722" s="42"/>
      <c r="N2722" s="42"/>
      <c r="O2722" s="42"/>
      <c r="P2722" s="9"/>
      <c r="Q2722" s="9"/>
      <c r="R2722" s="42"/>
      <c r="S2722" s="42"/>
      <c r="T2722" s="42"/>
      <c r="U2722" s="42"/>
      <c r="V2722" s="42"/>
      <c r="W2722" s="42"/>
    </row>
    <row r="2723">
      <c r="A2723" s="9"/>
      <c r="B2723" s="9"/>
      <c r="C2723" s="9"/>
      <c r="D2723" s="42"/>
      <c r="E2723" s="103"/>
      <c r="F2723" s="42"/>
      <c r="G2723" s="9"/>
      <c r="H2723" s="9"/>
      <c r="I2723" s="9"/>
      <c r="J2723" s="9"/>
      <c r="K2723" s="42"/>
      <c r="L2723" s="42"/>
      <c r="M2723" s="42"/>
      <c r="N2723" s="42"/>
      <c r="O2723" s="42"/>
      <c r="P2723" s="9"/>
      <c r="Q2723" s="9"/>
      <c r="R2723" s="42"/>
      <c r="S2723" s="42"/>
      <c r="T2723" s="42"/>
      <c r="U2723" s="42"/>
      <c r="V2723" s="42"/>
      <c r="W2723" s="42"/>
    </row>
    <row r="2724">
      <c r="A2724" s="9"/>
      <c r="B2724" s="9"/>
      <c r="C2724" s="9"/>
      <c r="D2724" s="42"/>
      <c r="E2724" s="103"/>
      <c r="F2724" s="42"/>
      <c r="G2724" s="9"/>
      <c r="H2724" s="9"/>
      <c r="I2724" s="9"/>
      <c r="J2724" s="9"/>
      <c r="K2724" s="42"/>
      <c r="L2724" s="42"/>
      <c r="M2724" s="42"/>
      <c r="N2724" s="42"/>
      <c r="O2724" s="42"/>
      <c r="P2724" s="9"/>
      <c r="Q2724" s="9"/>
      <c r="R2724" s="42"/>
      <c r="S2724" s="42"/>
      <c r="T2724" s="42"/>
      <c r="U2724" s="42"/>
      <c r="V2724" s="42"/>
      <c r="W2724" s="42"/>
    </row>
    <row r="2725">
      <c r="A2725" s="9"/>
      <c r="B2725" s="9"/>
      <c r="C2725" s="9"/>
      <c r="D2725" s="42"/>
      <c r="E2725" s="103"/>
      <c r="F2725" s="42"/>
      <c r="G2725" s="9"/>
      <c r="H2725" s="9"/>
      <c r="I2725" s="9"/>
      <c r="J2725" s="9"/>
      <c r="K2725" s="42"/>
      <c r="L2725" s="42"/>
      <c r="M2725" s="42"/>
      <c r="N2725" s="42"/>
      <c r="O2725" s="42"/>
      <c r="P2725" s="9"/>
      <c r="Q2725" s="9"/>
      <c r="R2725" s="42"/>
      <c r="S2725" s="42"/>
      <c r="T2725" s="42"/>
      <c r="U2725" s="42"/>
      <c r="V2725" s="42"/>
      <c r="W2725" s="42"/>
    </row>
    <row r="2726">
      <c r="A2726" s="9"/>
      <c r="B2726" s="9"/>
      <c r="C2726" s="9"/>
      <c r="D2726" s="42"/>
      <c r="E2726" s="103"/>
      <c r="F2726" s="42"/>
      <c r="G2726" s="9"/>
      <c r="H2726" s="9"/>
      <c r="I2726" s="9"/>
      <c r="J2726" s="9"/>
      <c r="K2726" s="42"/>
      <c r="L2726" s="42"/>
      <c r="M2726" s="42"/>
      <c r="N2726" s="42"/>
      <c r="O2726" s="42"/>
      <c r="P2726" s="9"/>
      <c r="Q2726" s="9"/>
      <c r="R2726" s="42"/>
      <c r="S2726" s="42"/>
      <c r="T2726" s="42"/>
      <c r="U2726" s="42"/>
      <c r="V2726" s="42"/>
      <c r="W2726" s="42"/>
    </row>
    <row r="2727">
      <c r="A2727" s="9"/>
      <c r="B2727" s="9"/>
      <c r="C2727" s="9"/>
      <c r="D2727" s="42"/>
      <c r="E2727" s="103"/>
      <c r="F2727" s="42"/>
      <c r="G2727" s="9"/>
      <c r="H2727" s="9"/>
      <c r="I2727" s="9"/>
      <c r="J2727" s="9"/>
      <c r="K2727" s="42"/>
      <c r="L2727" s="42"/>
      <c r="M2727" s="42"/>
      <c r="N2727" s="42"/>
      <c r="O2727" s="42"/>
      <c r="P2727" s="9"/>
      <c r="Q2727" s="9"/>
      <c r="R2727" s="42"/>
      <c r="S2727" s="42"/>
      <c r="T2727" s="42"/>
      <c r="U2727" s="42"/>
      <c r="V2727" s="42"/>
      <c r="W2727" s="42"/>
    </row>
    <row r="2728">
      <c r="A2728" s="9"/>
      <c r="B2728" s="9"/>
      <c r="C2728" s="9"/>
      <c r="D2728" s="42"/>
      <c r="E2728" s="103"/>
      <c r="F2728" s="42"/>
      <c r="G2728" s="9"/>
      <c r="H2728" s="9"/>
      <c r="I2728" s="9"/>
      <c r="J2728" s="9"/>
      <c r="K2728" s="42"/>
      <c r="L2728" s="42"/>
      <c r="M2728" s="42"/>
      <c r="N2728" s="42"/>
      <c r="O2728" s="42"/>
      <c r="P2728" s="9"/>
      <c r="Q2728" s="9"/>
      <c r="R2728" s="42"/>
      <c r="S2728" s="42"/>
      <c r="T2728" s="42"/>
      <c r="U2728" s="42"/>
      <c r="V2728" s="42"/>
      <c r="W2728" s="42"/>
    </row>
    <row r="2729">
      <c r="A2729" s="9"/>
      <c r="B2729" s="9"/>
      <c r="C2729" s="9"/>
      <c r="D2729" s="42"/>
      <c r="E2729" s="103"/>
      <c r="F2729" s="42"/>
      <c r="G2729" s="9"/>
      <c r="H2729" s="9"/>
      <c r="I2729" s="9"/>
      <c r="J2729" s="9"/>
      <c r="K2729" s="42"/>
      <c r="L2729" s="42"/>
      <c r="M2729" s="42"/>
      <c r="N2729" s="42"/>
      <c r="O2729" s="42"/>
      <c r="P2729" s="9"/>
      <c r="Q2729" s="9"/>
      <c r="R2729" s="42"/>
      <c r="S2729" s="42"/>
      <c r="T2729" s="42"/>
      <c r="U2729" s="42"/>
      <c r="V2729" s="42"/>
      <c r="W2729" s="42"/>
    </row>
    <row r="2730">
      <c r="A2730" s="9"/>
      <c r="B2730" s="9"/>
      <c r="C2730" s="9"/>
      <c r="D2730" s="42"/>
      <c r="E2730" s="103"/>
      <c r="F2730" s="42"/>
      <c r="G2730" s="9"/>
      <c r="H2730" s="9"/>
      <c r="I2730" s="9"/>
      <c r="J2730" s="9"/>
      <c r="K2730" s="42"/>
      <c r="L2730" s="42"/>
      <c r="M2730" s="42"/>
      <c r="N2730" s="42"/>
      <c r="O2730" s="42"/>
      <c r="P2730" s="9"/>
      <c r="Q2730" s="9"/>
      <c r="R2730" s="42"/>
      <c r="S2730" s="42"/>
      <c r="T2730" s="42"/>
      <c r="U2730" s="42"/>
      <c r="V2730" s="42"/>
      <c r="W2730" s="42"/>
    </row>
    <row r="2731">
      <c r="A2731" s="9"/>
      <c r="B2731" s="9"/>
      <c r="C2731" s="9"/>
      <c r="D2731" s="42"/>
      <c r="E2731" s="103"/>
      <c r="F2731" s="42"/>
      <c r="G2731" s="9"/>
      <c r="H2731" s="9"/>
      <c r="I2731" s="9"/>
      <c r="J2731" s="9"/>
      <c r="K2731" s="42"/>
      <c r="L2731" s="42"/>
      <c r="M2731" s="42"/>
      <c r="N2731" s="42"/>
      <c r="O2731" s="42"/>
      <c r="P2731" s="9"/>
      <c r="Q2731" s="9"/>
      <c r="R2731" s="42"/>
      <c r="S2731" s="42"/>
      <c r="T2731" s="42"/>
      <c r="U2731" s="42"/>
      <c r="V2731" s="42"/>
      <c r="W2731" s="42"/>
    </row>
    <row r="2732">
      <c r="A2732" s="9"/>
      <c r="B2732" s="9"/>
      <c r="C2732" s="9"/>
      <c r="D2732" s="42"/>
      <c r="E2732" s="103"/>
      <c r="F2732" s="42"/>
      <c r="G2732" s="9"/>
      <c r="H2732" s="9"/>
      <c r="I2732" s="9"/>
      <c r="J2732" s="9"/>
      <c r="K2732" s="42"/>
      <c r="L2732" s="42"/>
      <c r="M2732" s="42"/>
      <c r="N2732" s="42"/>
      <c r="O2732" s="42"/>
      <c r="P2732" s="9"/>
      <c r="Q2732" s="9"/>
      <c r="R2732" s="42"/>
      <c r="S2732" s="42"/>
      <c r="T2732" s="42"/>
      <c r="U2732" s="42"/>
      <c r="V2732" s="42"/>
      <c r="W2732" s="42"/>
    </row>
    <row r="2733">
      <c r="A2733" s="9"/>
      <c r="B2733" s="9"/>
      <c r="C2733" s="9"/>
      <c r="D2733" s="42"/>
      <c r="E2733" s="103"/>
      <c r="F2733" s="42"/>
      <c r="G2733" s="9"/>
      <c r="H2733" s="9"/>
      <c r="I2733" s="9"/>
      <c r="J2733" s="9"/>
      <c r="K2733" s="42"/>
      <c r="L2733" s="42"/>
      <c r="M2733" s="42"/>
      <c r="N2733" s="42"/>
      <c r="O2733" s="42"/>
      <c r="P2733" s="9"/>
      <c r="Q2733" s="9"/>
      <c r="R2733" s="42"/>
      <c r="S2733" s="42"/>
      <c r="T2733" s="42"/>
      <c r="U2733" s="42"/>
      <c r="V2733" s="42"/>
      <c r="W2733" s="42"/>
    </row>
    <row r="2734">
      <c r="A2734" s="9"/>
      <c r="B2734" s="9"/>
      <c r="C2734" s="9"/>
      <c r="D2734" s="42"/>
      <c r="E2734" s="103"/>
      <c r="F2734" s="42"/>
      <c r="G2734" s="9"/>
      <c r="H2734" s="9"/>
      <c r="I2734" s="9"/>
      <c r="J2734" s="9"/>
      <c r="K2734" s="42"/>
      <c r="L2734" s="42"/>
      <c r="M2734" s="42"/>
      <c r="N2734" s="42"/>
      <c r="O2734" s="42"/>
      <c r="P2734" s="9"/>
      <c r="Q2734" s="9"/>
      <c r="R2734" s="42"/>
      <c r="S2734" s="42"/>
      <c r="T2734" s="42"/>
      <c r="U2734" s="42"/>
      <c r="V2734" s="42"/>
      <c r="W2734" s="42"/>
    </row>
    <row r="2735">
      <c r="A2735" s="9"/>
      <c r="B2735" s="9"/>
      <c r="C2735" s="9"/>
      <c r="D2735" s="42"/>
      <c r="E2735" s="103"/>
      <c r="F2735" s="42"/>
      <c r="G2735" s="9"/>
      <c r="H2735" s="9"/>
      <c r="I2735" s="9"/>
      <c r="J2735" s="9"/>
      <c r="K2735" s="42"/>
      <c r="L2735" s="42"/>
      <c r="M2735" s="42"/>
      <c r="N2735" s="42"/>
      <c r="O2735" s="42"/>
      <c r="P2735" s="9"/>
      <c r="Q2735" s="9"/>
      <c r="R2735" s="42"/>
      <c r="S2735" s="42"/>
      <c r="T2735" s="42"/>
      <c r="U2735" s="42"/>
      <c r="V2735" s="42"/>
      <c r="W2735" s="42"/>
    </row>
    <row r="2736">
      <c r="A2736" s="9"/>
      <c r="B2736" s="9"/>
      <c r="C2736" s="9"/>
      <c r="D2736" s="42"/>
      <c r="E2736" s="103"/>
      <c r="F2736" s="42"/>
      <c r="G2736" s="9"/>
      <c r="H2736" s="9"/>
      <c r="I2736" s="9"/>
      <c r="J2736" s="9"/>
      <c r="K2736" s="42"/>
      <c r="L2736" s="42"/>
      <c r="M2736" s="42"/>
      <c r="N2736" s="42"/>
      <c r="O2736" s="42"/>
      <c r="P2736" s="9"/>
      <c r="Q2736" s="9"/>
      <c r="R2736" s="42"/>
      <c r="S2736" s="42"/>
      <c r="T2736" s="42"/>
      <c r="U2736" s="42"/>
      <c r="V2736" s="42"/>
      <c r="W2736" s="42"/>
    </row>
    <row r="2737">
      <c r="A2737" s="9"/>
      <c r="B2737" s="9"/>
      <c r="C2737" s="9"/>
      <c r="D2737" s="42"/>
      <c r="E2737" s="103"/>
      <c r="F2737" s="42"/>
      <c r="G2737" s="9"/>
      <c r="H2737" s="9"/>
      <c r="I2737" s="9"/>
      <c r="J2737" s="9"/>
      <c r="K2737" s="42"/>
      <c r="L2737" s="42"/>
      <c r="M2737" s="42"/>
      <c r="N2737" s="42"/>
      <c r="O2737" s="42"/>
      <c r="P2737" s="9"/>
      <c r="Q2737" s="9"/>
      <c r="R2737" s="42"/>
      <c r="S2737" s="42"/>
      <c r="T2737" s="42"/>
      <c r="U2737" s="42"/>
      <c r="V2737" s="42"/>
      <c r="W2737" s="42"/>
    </row>
    <row r="2738">
      <c r="A2738" s="9"/>
      <c r="B2738" s="9"/>
      <c r="C2738" s="9"/>
      <c r="D2738" s="42"/>
      <c r="E2738" s="103"/>
      <c r="F2738" s="42"/>
      <c r="G2738" s="9"/>
      <c r="H2738" s="9"/>
      <c r="I2738" s="9"/>
      <c r="J2738" s="9"/>
      <c r="K2738" s="42"/>
      <c r="L2738" s="42"/>
      <c r="M2738" s="42"/>
      <c r="N2738" s="42"/>
      <c r="O2738" s="42"/>
      <c r="P2738" s="9"/>
      <c r="Q2738" s="9"/>
      <c r="R2738" s="42"/>
      <c r="S2738" s="42"/>
      <c r="T2738" s="42"/>
      <c r="U2738" s="42"/>
      <c r="V2738" s="42"/>
      <c r="W2738" s="42"/>
    </row>
    <row r="2739">
      <c r="A2739" s="9"/>
      <c r="B2739" s="9"/>
      <c r="C2739" s="9"/>
      <c r="D2739" s="42"/>
      <c r="E2739" s="103"/>
      <c r="F2739" s="42"/>
      <c r="G2739" s="9"/>
      <c r="H2739" s="9"/>
      <c r="I2739" s="9"/>
      <c r="J2739" s="9"/>
      <c r="K2739" s="42"/>
      <c r="L2739" s="42"/>
      <c r="M2739" s="42"/>
      <c r="N2739" s="42"/>
      <c r="O2739" s="42"/>
      <c r="P2739" s="9"/>
      <c r="Q2739" s="9"/>
      <c r="R2739" s="42"/>
      <c r="S2739" s="42"/>
      <c r="T2739" s="42"/>
      <c r="U2739" s="42"/>
      <c r="V2739" s="42"/>
      <c r="W2739" s="42"/>
    </row>
    <row r="2740">
      <c r="A2740" s="9"/>
      <c r="B2740" s="9"/>
      <c r="C2740" s="9"/>
      <c r="D2740" s="42"/>
      <c r="E2740" s="103"/>
      <c r="F2740" s="42"/>
      <c r="G2740" s="9"/>
      <c r="H2740" s="9"/>
      <c r="I2740" s="9"/>
      <c r="J2740" s="9"/>
      <c r="K2740" s="42"/>
      <c r="L2740" s="42"/>
      <c r="M2740" s="42"/>
      <c r="N2740" s="42"/>
      <c r="O2740" s="42"/>
      <c r="P2740" s="9"/>
      <c r="Q2740" s="9"/>
      <c r="R2740" s="42"/>
      <c r="S2740" s="42"/>
      <c r="T2740" s="42"/>
      <c r="U2740" s="42"/>
      <c r="V2740" s="42"/>
      <c r="W2740" s="42"/>
    </row>
    <row r="2741">
      <c r="A2741" s="9"/>
      <c r="B2741" s="9"/>
      <c r="C2741" s="9"/>
      <c r="D2741" s="42"/>
      <c r="E2741" s="103"/>
      <c r="F2741" s="42"/>
      <c r="G2741" s="9"/>
      <c r="H2741" s="9"/>
      <c r="I2741" s="9"/>
      <c r="J2741" s="9"/>
      <c r="K2741" s="42"/>
      <c r="L2741" s="42"/>
      <c r="M2741" s="42"/>
      <c r="N2741" s="42"/>
      <c r="O2741" s="42"/>
      <c r="P2741" s="9"/>
      <c r="Q2741" s="9"/>
      <c r="R2741" s="42"/>
      <c r="S2741" s="42"/>
      <c r="T2741" s="42"/>
      <c r="U2741" s="42"/>
      <c r="V2741" s="42"/>
      <c r="W2741" s="42"/>
    </row>
    <row r="2742">
      <c r="A2742" s="9"/>
      <c r="B2742" s="9"/>
      <c r="C2742" s="9"/>
      <c r="D2742" s="42"/>
      <c r="E2742" s="103"/>
      <c r="F2742" s="42"/>
      <c r="G2742" s="9"/>
      <c r="H2742" s="9"/>
      <c r="I2742" s="9"/>
      <c r="J2742" s="9"/>
      <c r="K2742" s="42"/>
      <c r="L2742" s="42"/>
      <c r="M2742" s="42"/>
      <c r="N2742" s="42"/>
      <c r="O2742" s="42"/>
      <c r="P2742" s="9"/>
      <c r="Q2742" s="9"/>
      <c r="R2742" s="42"/>
      <c r="S2742" s="42"/>
      <c r="T2742" s="42"/>
      <c r="U2742" s="42"/>
      <c r="V2742" s="42"/>
      <c r="W2742" s="42"/>
    </row>
    <row r="2743">
      <c r="A2743" s="9"/>
      <c r="B2743" s="9"/>
      <c r="C2743" s="9"/>
      <c r="D2743" s="42"/>
      <c r="E2743" s="103"/>
      <c r="F2743" s="42"/>
      <c r="G2743" s="9"/>
      <c r="H2743" s="9"/>
      <c r="I2743" s="9"/>
      <c r="J2743" s="9"/>
      <c r="K2743" s="42"/>
      <c r="L2743" s="42"/>
      <c r="M2743" s="42"/>
      <c r="N2743" s="42"/>
      <c r="O2743" s="42"/>
      <c r="P2743" s="9"/>
      <c r="Q2743" s="9"/>
      <c r="R2743" s="42"/>
      <c r="S2743" s="42"/>
      <c r="T2743" s="42"/>
      <c r="U2743" s="42"/>
      <c r="V2743" s="42"/>
      <c r="W2743" s="42"/>
    </row>
    <row r="2744">
      <c r="A2744" s="9"/>
      <c r="B2744" s="9"/>
      <c r="C2744" s="9"/>
      <c r="D2744" s="42"/>
      <c r="E2744" s="103"/>
      <c r="F2744" s="42"/>
      <c r="G2744" s="9"/>
      <c r="H2744" s="9"/>
      <c r="I2744" s="9"/>
      <c r="J2744" s="9"/>
      <c r="K2744" s="42"/>
      <c r="L2744" s="42"/>
      <c r="M2744" s="42"/>
      <c r="N2744" s="42"/>
      <c r="O2744" s="42"/>
      <c r="P2744" s="9"/>
      <c r="Q2744" s="9"/>
      <c r="R2744" s="42"/>
      <c r="S2744" s="42"/>
      <c r="T2744" s="42"/>
      <c r="U2744" s="42"/>
      <c r="V2744" s="42"/>
      <c r="W2744" s="42"/>
    </row>
    <row r="2745">
      <c r="A2745" s="9"/>
      <c r="B2745" s="9"/>
      <c r="C2745" s="9"/>
      <c r="D2745" s="42"/>
      <c r="E2745" s="103"/>
      <c r="F2745" s="42"/>
      <c r="G2745" s="9"/>
      <c r="H2745" s="9"/>
      <c r="I2745" s="9"/>
      <c r="J2745" s="9"/>
      <c r="K2745" s="42"/>
      <c r="L2745" s="42"/>
      <c r="M2745" s="42"/>
      <c r="N2745" s="42"/>
      <c r="O2745" s="42"/>
      <c r="P2745" s="9"/>
      <c r="Q2745" s="9"/>
      <c r="R2745" s="42"/>
      <c r="S2745" s="42"/>
      <c r="T2745" s="42"/>
      <c r="U2745" s="42"/>
      <c r="V2745" s="42"/>
      <c r="W2745" s="42"/>
    </row>
    <row r="2746">
      <c r="A2746" s="9"/>
      <c r="B2746" s="9"/>
      <c r="C2746" s="9"/>
      <c r="D2746" s="42"/>
      <c r="E2746" s="103"/>
      <c r="F2746" s="42"/>
      <c r="G2746" s="9"/>
      <c r="H2746" s="9"/>
      <c r="I2746" s="9"/>
      <c r="J2746" s="9"/>
      <c r="K2746" s="42"/>
      <c r="L2746" s="42"/>
      <c r="M2746" s="42"/>
      <c r="N2746" s="42"/>
      <c r="O2746" s="42"/>
      <c r="P2746" s="9"/>
      <c r="Q2746" s="9"/>
      <c r="R2746" s="42"/>
      <c r="S2746" s="42"/>
      <c r="T2746" s="42"/>
      <c r="U2746" s="42"/>
      <c r="V2746" s="42"/>
      <c r="W2746" s="42"/>
    </row>
    <row r="2747">
      <c r="A2747" s="9"/>
      <c r="B2747" s="9"/>
      <c r="C2747" s="9"/>
      <c r="D2747" s="42"/>
      <c r="E2747" s="103"/>
      <c r="F2747" s="42"/>
      <c r="G2747" s="9"/>
      <c r="H2747" s="9"/>
      <c r="I2747" s="9"/>
      <c r="J2747" s="9"/>
      <c r="K2747" s="42"/>
      <c r="L2747" s="42"/>
      <c r="M2747" s="42"/>
      <c r="N2747" s="42"/>
      <c r="O2747" s="42"/>
      <c r="P2747" s="9"/>
      <c r="Q2747" s="9"/>
      <c r="R2747" s="42"/>
      <c r="S2747" s="42"/>
      <c r="T2747" s="42"/>
      <c r="U2747" s="42"/>
      <c r="V2747" s="42"/>
      <c r="W2747" s="42"/>
    </row>
    <row r="2748">
      <c r="A2748" s="9"/>
      <c r="B2748" s="9"/>
      <c r="C2748" s="9"/>
      <c r="D2748" s="42"/>
      <c r="E2748" s="103"/>
      <c r="F2748" s="42"/>
      <c r="G2748" s="9"/>
      <c r="H2748" s="9"/>
      <c r="I2748" s="9"/>
      <c r="J2748" s="9"/>
      <c r="K2748" s="42"/>
      <c r="L2748" s="42"/>
      <c r="M2748" s="42"/>
      <c r="N2748" s="42"/>
      <c r="O2748" s="42"/>
      <c r="P2748" s="9"/>
      <c r="Q2748" s="9"/>
      <c r="R2748" s="42"/>
      <c r="S2748" s="42"/>
      <c r="T2748" s="42"/>
      <c r="U2748" s="42"/>
      <c r="V2748" s="42"/>
      <c r="W2748" s="42"/>
    </row>
    <row r="2749">
      <c r="A2749" s="9"/>
      <c r="B2749" s="9"/>
      <c r="C2749" s="9"/>
      <c r="D2749" s="42"/>
      <c r="E2749" s="103"/>
      <c r="F2749" s="42"/>
      <c r="G2749" s="9"/>
      <c r="H2749" s="9"/>
      <c r="I2749" s="9"/>
      <c r="J2749" s="9"/>
      <c r="K2749" s="42"/>
      <c r="L2749" s="42"/>
      <c r="M2749" s="42"/>
      <c r="N2749" s="42"/>
      <c r="O2749" s="42"/>
      <c r="P2749" s="9"/>
      <c r="Q2749" s="9"/>
      <c r="R2749" s="42"/>
      <c r="S2749" s="42"/>
      <c r="T2749" s="42"/>
      <c r="U2749" s="42"/>
      <c r="V2749" s="42"/>
      <c r="W2749" s="42"/>
    </row>
    <row r="2750">
      <c r="A2750" s="9"/>
      <c r="B2750" s="9"/>
      <c r="C2750" s="9"/>
      <c r="D2750" s="42"/>
      <c r="E2750" s="103"/>
      <c r="F2750" s="42"/>
      <c r="G2750" s="9"/>
      <c r="H2750" s="9"/>
      <c r="I2750" s="9"/>
      <c r="J2750" s="9"/>
      <c r="K2750" s="42"/>
      <c r="L2750" s="42"/>
      <c r="M2750" s="42"/>
      <c r="N2750" s="42"/>
      <c r="O2750" s="42"/>
      <c r="P2750" s="9"/>
      <c r="Q2750" s="9"/>
      <c r="R2750" s="42"/>
      <c r="S2750" s="42"/>
      <c r="T2750" s="42"/>
      <c r="U2750" s="42"/>
      <c r="V2750" s="42"/>
      <c r="W2750" s="42"/>
    </row>
    <row r="2751">
      <c r="A2751" s="9"/>
      <c r="B2751" s="9"/>
      <c r="C2751" s="9"/>
      <c r="D2751" s="42"/>
      <c r="E2751" s="103"/>
      <c r="F2751" s="42"/>
      <c r="G2751" s="9"/>
      <c r="H2751" s="9"/>
      <c r="I2751" s="9"/>
      <c r="J2751" s="9"/>
      <c r="K2751" s="42"/>
      <c r="L2751" s="42"/>
      <c r="M2751" s="42"/>
      <c r="N2751" s="42"/>
      <c r="O2751" s="42"/>
      <c r="P2751" s="9"/>
      <c r="Q2751" s="9"/>
      <c r="R2751" s="42"/>
      <c r="S2751" s="42"/>
      <c r="T2751" s="42"/>
      <c r="U2751" s="42"/>
      <c r="V2751" s="42"/>
      <c r="W2751" s="42"/>
    </row>
    <row r="2752">
      <c r="A2752" s="9"/>
      <c r="B2752" s="9"/>
      <c r="C2752" s="9"/>
      <c r="D2752" s="42"/>
      <c r="E2752" s="103"/>
      <c r="F2752" s="42"/>
      <c r="G2752" s="9"/>
      <c r="H2752" s="9"/>
      <c r="I2752" s="9"/>
      <c r="J2752" s="9"/>
      <c r="K2752" s="42"/>
      <c r="L2752" s="42"/>
      <c r="M2752" s="42"/>
      <c r="N2752" s="42"/>
      <c r="O2752" s="42"/>
      <c r="P2752" s="9"/>
      <c r="Q2752" s="9"/>
      <c r="R2752" s="42"/>
      <c r="S2752" s="42"/>
      <c r="T2752" s="42"/>
      <c r="U2752" s="42"/>
      <c r="V2752" s="42"/>
      <c r="W2752" s="42"/>
    </row>
    <row r="2753">
      <c r="A2753" s="9"/>
      <c r="B2753" s="9"/>
      <c r="C2753" s="9"/>
      <c r="D2753" s="42"/>
      <c r="E2753" s="103"/>
      <c r="F2753" s="42"/>
      <c r="G2753" s="9"/>
      <c r="H2753" s="9"/>
      <c r="I2753" s="9"/>
      <c r="J2753" s="9"/>
      <c r="K2753" s="42"/>
      <c r="L2753" s="42"/>
      <c r="M2753" s="42"/>
      <c r="N2753" s="42"/>
      <c r="O2753" s="42"/>
      <c r="P2753" s="9"/>
      <c r="Q2753" s="9"/>
      <c r="R2753" s="42"/>
      <c r="S2753" s="42"/>
      <c r="T2753" s="42"/>
      <c r="U2753" s="42"/>
      <c r="V2753" s="42"/>
      <c r="W2753" s="42"/>
    </row>
    <row r="2754">
      <c r="A2754" s="9"/>
      <c r="B2754" s="9"/>
      <c r="C2754" s="9"/>
      <c r="D2754" s="42"/>
      <c r="E2754" s="103"/>
      <c r="F2754" s="42"/>
      <c r="G2754" s="9"/>
      <c r="H2754" s="9"/>
      <c r="I2754" s="9"/>
      <c r="J2754" s="9"/>
      <c r="K2754" s="42"/>
      <c r="L2754" s="42"/>
      <c r="M2754" s="42"/>
      <c r="N2754" s="42"/>
      <c r="O2754" s="42"/>
      <c r="P2754" s="9"/>
      <c r="Q2754" s="9"/>
      <c r="R2754" s="42"/>
      <c r="S2754" s="42"/>
      <c r="T2754" s="42"/>
      <c r="U2754" s="42"/>
      <c r="V2754" s="42"/>
      <c r="W2754" s="42"/>
    </row>
    <row r="2755">
      <c r="A2755" s="9"/>
      <c r="B2755" s="9"/>
      <c r="C2755" s="9"/>
      <c r="D2755" s="42"/>
      <c r="E2755" s="103"/>
      <c r="F2755" s="42"/>
      <c r="G2755" s="9"/>
      <c r="H2755" s="9"/>
      <c r="I2755" s="9"/>
      <c r="J2755" s="9"/>
      <c r="K2755" s="42"/>
      <c r="L2755" s="42"/>
      <c r="M2755" s="42"/>
      <c r="N2755" s="42"/>
      <c r="O2755" s="42"/>
      <c r="P2755" s="9"/>
      <c r="Q2755" s="9"/>
      <c r="R2755" s="42"/>
      <c r="S2755" s="42"/>
      <c r="T2755" s="42"/>
      <c r="U2755" s="42"/>
      <c r="V2755" s="42"/>
      <c r="W2755" s="42"/>
    </row>
    <row r="2756">
      <c r="A2756" s="9"/>
      <c r="B2756" s="9"/>
      <c r="C2756" s="9"/>
      <c r="D2756" s="42"/>
      <c r="E2756" s="103"/>
      <c r="F2756" s="42"/>
      <c r="G2756" s="9"/>
      <c r="H2756" s="9"/>
      <c r="I2756" s="9"/>
      <c r="J2756" s="9"/>
      <c r="K2756" s="42"/>
      <c r="L2756" s="42"/>
      <c r="M2756" s="42"/>
      <c r="N2756" s="42"/>
      <c r="O2756" s="42"/>
      <c r="P2756" s="9"/>
      <c r="Q2756" s="9"/>
      <c r="R2756" s="42"/>
      <c r="S2756" s="42"/>
      <c r="T2756" s="42"/>
      <c r="U2756" s="42"/>
      <c r="V2756" s="42"/>
      <c r="W2756" s="42"/>
    </row>
    <row r="2757">
      <c r="A2757" s="9"/>
      <c r="B2757" s="9"/>
      <c r="C2757" s="9"/>
      <c r="D2757" s="42"/>
      <c r="E2757" s="103"/>
      <c r="F2757" s="42"/>
      <c r="G2757" s="9"/>
      <c r="H2757" s="9"/>
      <c r="I2757" s="9"/>
      <c r="J2757" s="9"/>
      <c r="K2757" s="42"/>
      <c r="L2757" s="42"/>
      <c r="M2757" s="42"/>
      <c r="N2757" s="42"/>
      <c r="O2757" s="42"/>
      <c r="P2757" s="9"/>
      <c r="Q2757" s="9"/>
      <c r="R2757" s="42"/>
      <c r="S2757" s="42"/>
      <c r="T2757" s="42"/>
      <c r="U2757" s="42"/>
      <c r="V2757" s="42"/>
      <c r="W2757" s="42"/>
    </row>
    <row r="2758">
      <c r="A2758" s="9"/>
      <c r="B2758" s="9"/>
      <c r="C2758" s="9"/>
      <c r="D2758" s="42"/>
      <c r="E2758" s="103"/>
      <c r="F2758" s="42"/>
      <c r="G2758" s="9"/>
      <c r="H2758" s="9"/>
      <c r="I2758" s="9"/>
      <c r="J2758" s="9"/>
      <c r="K2758" s="42"/>
      <c r="L2758" s="42"/>
      <c r="M2758" s="42"/>
      <c r="N2758" s="42"/>
      <c r="O2758" s="42"/>
      <c r="P2758" s="9"/>
      <c r="Q2758" s="9"/>
      <c r="R2758" s="42"/>
      <c r="S2758" s="42"/>
      <c r="T2758" s="42"/>
      <c r="U2758" s="42"/>
      <c r="V2758" s="42"/>
      <c r="W2758" s="42"/>
    </row>
    <row r="2759">
      <c r="A2759" s="9"/>
      <c r="B2759" s="9"/>
      <c r="C2759" s="9"/>
      <c r="D2759" s="42"/>
      <c r="E2759" s="103"/>
      <c r="F2759" s="42"/>
      <c r="G2759" s="9"/>
      <c r="H2759" s="9"/>
      <c r="I2759" s="9"/>
      <c r="J2759" s="9"/>
      <c r="K2759" s="42"/>
      <c r="L2759" s="42"/>
      <c r="M2759" s="42"/>
      <c r="N2759" s="42"/>
      <c r="O2759" s="42"/>
      <c r="P2759" s="9"/>
      <c r="Q2759" s="9"/>
      <c r="R2759" s="42"/>
      <c r="S2759" s="42"/>
      <c r="T2759" s="42"/>
      <c r="U2759" s="42"/>
      <c r="V2759" s="42"/>
      <c r="W2759" s="42"/>
    </row>
    <row r="2760">
      <c r="A2760" s="9"/>
      <c r="B2760" s="9"/>
      <c r="C2760" s="9"/>
      <c r="D2760" s="42"/>
      <c r="E2760" s="103"/>
      <c r="F2760" s="42"/>
      <c r="G2760" s="9"/>
      <c r="H2760" s="9"/>
      <c r="I2760" s="9"/>
      <c r="J2760" s="9"/>
      <c r="K2760" s="42"/>
      <c r="L2760" s="42"/>
      <c r="M2760" s="42"/>
      <c r="N2760" s="42"/>
      <c r="O2760" s="42"/>
      <c r="P2760" s="9"/>
      <c r="Q2760" s="9"/>
      <c r="R2760" s="42"/>
      <c r="S2760" s="42"/>
      <c r="T2760" s="42"/>
      <c r="U2760" s="42"/>
      <c r="V2760" s="42"/>
      <c r="W2760" s="42"/>
    </row>
    <row r="2761">
      <c r="A2761" s="9"/>
      <c r="B2761" s="9"/>
      <c r="C2761" s="9"/>
      <c r="D2761" s="42"/>
      <c r="E2761" s="103"/>
      <c r="F2761" s="42"/>
      <c r="G2761" s="9"/>
      <c r="H2761" s="9"/>
      <c r="I2761" s="9"/>
      <c r="J2761" s="9"/>
      <c r="K2761" s="42"/>
      <c r="L2761" s="42"/>
      <c r="M2761" s="42"/>
      <c r="N2761" s="42"/>
      <c r="O2761" s="42"/>
      <c r="P2761" s="9"/>
      <c r="Q2761" s="9"/>
      <c r="R2761" s="42"/>
      <c r="S2761" s="42"/>
      <c r="T2761" s="42"/>
      <c r="U2761" s="42"/>
      <c r="V2761" s="42"/>
      <c r="W2761" s="42"/>
    </row>
    <row r="2762">
      <c r="A2762" s="9"/>
      <c r="B2762" s="9"/>
      <c r="C2762" s="9"/>
      <c r="D2762" s="42"/>
      <c r="E2762" s="103"/>
      <c r="F2762" s="42"/>
      <c r="G2762" s="9"/>
      <c r="H2762" s="9"/>
      <c r="I2762" s="9"/>
      <c r="J2762" s="9"/>
      <c r="K2762" s="42"/>
      <c r="L2762" s="42"/>
      <c r="M2762" s="42"/>
      <c r="N2762" s="42"/>
      <c r="O2762" s="42"/>
      <c r="P2762" s="9"/>
      <c r="Q2762" s="9"/>
      <c r="R2762" s="42"/>
      <c r="S2762" s="42"/>
      <c r="T2762" s="42"/>
      <c r="U2762" s="42"/>
      <c r="V2762" s="42"/>
      <c r="W2762" s="42"/>
    </row>
    <row r="2763">
      <c r="A2763" s="9"/>
      <c r="B2763" s="9"/>
      <c r="C2763" s="9"/>
      <c r="D2763" s="42"/>
      <c r="E2763" s="103"/>
      <c r="F2763" s="42"/>
      <c r="G2763" s="9"/>
      <c r="H2763" s="9"/>
      <c r="I2763" s="9"/>
      <c r="J2763" s="9"/>
      <c r="K2763" s="42"/>
      <c r="L2763" s="42"/>
      <c r="M2763" s="42"/>
      <c r="N2763" s="42"/>
      <c r="O2763" s="42"/>
      <c r="P2763" s="9"/>
      <c r="Q2763" s="9"/>
      <c r="R2763" s="42"/>
      <c r="S2763" s="42"/>
      <c r="T2763" s="42"/>
      <c r="U2763" s="42"/>
      <c r="V2763" s="42"/>
      <c r="W2763" s="42"/>
    </row>
    <row r="2764">
      <c r="A2764" s="9"/>
      <c r="B2764" s="9"/>
      <c r="C2764" s="9"/>
      <c r="D2764" s="42"/>
      <c r="E2764" s="103"/>
      <c r="F2764" s="42"/>
      <c r="G2764" s="9"/>
      <c r="H2764" s="9"/>
      <c r="I2764" s="9"/>
      <c r="J2764" s="9"/>
      <c r="K2764" s="42"/>
      <c r="L2764" s="42"/>
      <c r="M2764" s="42"/>
      <c r="N2764" s="42"/>
      <c r="O2764" s="42"/>
      <c r="P2764" s="9"/>
      <c r="Q2764" s="9"/>
      <c r="R2764" s="42"/>
      <c r="S2764" s="42"/>
      <c r="T2764" s="42"/>
      <c r="U2764" s="42"/>
      <c r="V2764" s="42"/>
      <c r="W2764" s="42"/>
    </row>
    <row r="2765">
      <c r="A2765" s="9"/>
      <c r="B2765" s="9"/>
      <c r="C2765" s="9"/>
      <c r="D2765" s="42"/>
      <c r="E2765" s="103"/>
      <c r="F2765" s="42"/>
      <c r="G2765" s="9"/>
      <c r="H2765" s="9"/>
      <c r="I2765" s="9"/>
      <c r="J2765" s="9"/>
      <c r="K2765" s="42"/>
      <c r="L2765" s="42"/>
      <c r="M2765" s="42"/>
      <c r="N2765" s="42"/>
      <c r="O2765" s="42"/>
      <c r="P2765" s="9"/>
      <c r="Q2765" s="9"/>
      <c r="R2765" s="42"/>
      <c r="S2765" s="42"/>
      <c r="T2765" s="42"/>
      <c r="U2765" s="42"/>
      <c r="V2765" s="42"/>
      <c r="W2765" s="42"/>
    </row>
    <row r="2766">
      <c r="A2766" s="9"/>
      <c r="B2766" s="9"/>
      <c r="C2766" s="9"/>
      <c r="D2766" s="42"/>
      <c r="E2766" s="103"/>
      <c r="F2766" s="42"/>
      <c r="G2766" s="9"/>
      <c r="H2766" s="9"/>
      <c r="I2766" s="9"/>
      <c r="J2766" s="9"/>
      <c r="K2766" s="42"/>
      <c r="L2766" s="42"/>
      <c r="M2766" s="42"/>
      <c r="N2766" s="42"/>
      <c r="O2766" s="42"/>
      <c r="P2766" s="9"/>
      <c r="Q2766" s="9"/>
      <c r="R2766" s="42"/>
      <c r="S2766" s="42"/>
      <c r="T2766" s="42"/>
      <c r="U2766" s="42"/>
      <c r="V2766" s="42"/>
      <c r="W2766" s="42"/>
    </row>
    <row r="2767">
      <c r="A2767" s="9"/>
      <c r="B2767" s="9"/>
      <c r="C2767" s="9"/>
      <c r="D2767" s="42"/>
      <c r="E2767" s="103"/>
      <c r="F2767" s="42"/>
      <c r="G2767" s="9"/>
      <c r="H2767" s="9"/>
      <c r="I2767" s="9"/>
      <c r="J2767" s="9"/>
      <c r="K2767" s="42"/>
      <c r="L2767" s="42"/>
      <c r="M2767" s="42"/>
      <c r="N2767" s="42"/>
      <c r="O2767" s="42"/>
      <c r="P2767" s="9"/>
      <c r="Q2767" s="9"/>
      <c r="R2767" s="42"/>
      <c r="S2767" s="42"/>
      <c r="T2767" s="42"/>
      <c r="U2767" s="42"/>
      <c r="V2767" s="42"/>
      <c r="W2767" s="42"/>
    </row>
    <row r="2768">
      <c r="A2768" s="9"/>
      <c r="B2768" s="9"/>
      <c r="C2768" s="9"/>
      <c r="D2768" s="42"/>
      <c r="E2768" s="103"/>
      <c r="F2768" s="42"/>
      <c r="G2768" s="9"/>
      <c r="H2768" s="9"/>
      <c r="I2768" s="9"/>
      <c r="J2768" s="9"/>
      <c r="K2768" s="42"/>
      <c r="L2768" s="42"/>
      <c r="M2768" s="42"/>
      <c r="N2768" s="42"/>
      <c r="O2768" s="42"/>
      <c r="P2768" s="9"/>
      <c r="Q2768" s="9"/>
      <c r="R2768" s="42"/>
      <c r="S2768" s="42"/>
      <c r="T2768" s="42"/>
      <c r="U2768" s="42"/>
      <c r="V2768" s="42"/>
      <c r="W2768" s="42"/>
    </row>
    <row r="2769">
      <c r="A2769" s="9"/>
      <c r="B2769" s="9"/>
      <c r="C2769" s="9"/>
      <c r="D2769" s="42"/>
      <c r="E2769" s="103"/>
      <c r="F2769" s="42"/>
      <c r="G2769" s="9"/>
      <c r="H2769" s="9"/>
      <c r="I2769" s="9"/>
      <c r="J2769" s="9"/>
      <c r="K2769" s="42"/>
      <c r="L2769" s="42"/>
      <c r="M2769" s="42"/>
      <c r="N2769" s="42"/>
      <c r="O2769" s="42"/>
      <c r="P2769" s="9"/>
      <c r="Q2769" s="9"/>
      <c r="R2769" s="42"/>
      <c r="S2769" s="42"/>
      <c r="T2769" s="42"/>
      <c r="U2769" s="42"/>
      <c r="V2769" s="42"/>
      <c r="W2769" s="42"/>
    </row>
    <row r="2770">
      <c r="A2770" s="9"/>
      <c r="B2770" s="9"/>
      <c r="C2770" s="9"/>
      <c r="D2770" s="42"/>
      <c r="E2770" s="103"/>
      <c r="F2770" s="42"/>
      <c r="G2770" s="9"/>
      <c r="H2770" s="9"/>
      <c r="I2770" s="9"/>
      <c r="J2770" s="9"/>
      <c r="K2770" s="42"/>
      <c r="L2770" s="42"/>
      <c r="M2770" s="42"/>
      <c r="N2770" s="42"/>
      <c r="O2770" s="42"/>
      <c r="P2770" s="9"/>
      <c r="Q2770" s="9"/>
      <c r="R2770" s="42"/>
      <c r="S2770" s="42"/>
      <c r="T2770" s="42"/>
      <c r="U2770" s="42"/>
      <c r="V2770" s="42"/>
      <c r="W2770" s="42"/>
    </row>
    <row r="2771">
      <c r="A2771" s="9"/>
      <c r="B2771" s="9"/>
      <c r="C2771" s="9"/>
      <c r="D2771" s="42"/>
      <c r="E2771" s="103"/>
      <c r="F2771" s="42"/>
      <c r="G2771" s="9"/>
      <c r="H2771" s="9"/>
      <c r="I2771" s="9"/>
      <c r="J2771" s="9"/>
      <c r="K2771" s="42"/>
      <c r="L2771" s="42"/>
      <c r="M2771" s="42"/>
      <c r="N2771" s="42"/>
      <c r="O2771" s="42"/>
      <c r="P2771" s="9"/>
      <c r="Q2771" s="9"/>
      <c r="R2771" s="42"/>
      <c r="S2771" s="42"/>
      <c r="T2771" s="42"/>
      <c r="U2771" s="42"/>
      <c r="V2771" s="42"/>
      <c r="W2771" s="42"/>
    </row>
    <row r="2772">
      <c r="A2772" s="9"/>
      <c r="B2772" s="9"/>
      <c r="C2772" s="9"/>
      <c r="D2772" s="42"/>
      <c r="E2772" s="103"/>
      <c r="F2772" s="42"/>
      <c r="G2772" s="9"/>
      <c r="H2772" s="9"/>
      <c r="I2772" s="9"/>
      <c r="J2772" s="9"/>
      <c r="K2772" s="42"/>
      <c r="L2772" s="42"/>
      <c r="M2772" s="42"/>
      <c r="N2772" s="42"/>
      <c r="O2772" s="42"/>
      <c r="P2772" s="9"/>
      <c r="Q2772" s="9"/>
      <c r="R2772" s="42"/>
      <c r="S2772" s="42"/>
      <c r="T2772" s="42"/>
      <c r="U2772" s="42"/>
      <c r="V2772" s="42"/>
      <c r="W2772" s="42"/>
    </row>
    <row r="2773">
      <c r="A2773" s="9"/>
      <c r="B2773" s="9"/>
      <c r="C2773" s="9"/>
      <c r="D2773" s="42"/>
      <c r="E2773" s="103"/>
      <c r="F2773" s="42"/>
      <c r="G2773" s="9"/>
      <c r="H2773" s="9"/>
      <c r="I2773" s="9"/>
      <c r="J2773" s="9"/>
      <c r="K2773" s="42"/>
      <c r="L2773" s="42"/>
      <c r="M2773" s="42"/>
      <c r="N2773" s="42"/>
      <c r="O2773" s="42"/>
      <c r="P2773" s="9"/>
      <c r="Q2773" s="9"/>
      <c r="R2773" s="42"/>
      <c r="S2773" s="42"/>
      <c r="T2773" s="42"/>
      <c r="U2773" s="42"/>
      <c r="V2773" s="42"/>
      <c r="W2773" s="42"/>
    </row>
    <row r="2774">
      <c r="A2774" s="9"/>
      <c r="B2774" s="9"/>
      <c r="C2774" s="9"/>
      <c r="D2774" s="42"/>
      <c r="E2774" s="103"/>
      <c r="F2774" s="42"/>
      <c r="G2774" s="9"/>
      <c r="H2774" s="9"/>
      <c r="I2774" s="9"/>
      <c r="J2774" s="9"/>
      <c r="K2774" s="42"/>
      <c r="L2774" s="42"/>
      <c r="M2774" s="42"/>
      <c r="N2774" s="42"/>
      <c r="O2774" s="42"/>
      <c r="P2774" s="9"/>
      <c r="Q2774" s="9"/>
      <c r="R2774" s="42"/>
      <c r="S2774" s="42"/>
      <c r="T2774" s="42"/>
      <c r="U2774" s="42"/>
      <c r="V2774" s="42"/>
      <c r="W2774" s="42"/>
    </row>
    <row r="2775">
      <c r="A2775" s="9"/>
      <c r="B2775" s="9"/>
      <c r="C2775" s="9"/>
      <c r="D2775" s="42"/>
      <c r="E2775" s="103"/>
      <c r="F2775" s="42"/>
      <c r="G2775" s="9"/>
      <c r="H2775" s="9"/>
      <c r="I2775" s="9"/>
      <c r="J2775" s="9"/>
      <c r="K2775" s="42"/>
      <c r="L2775" s="42"/>
      <c r="M2775" s="42"/>
      <c r="N2775" s="42"/>
      <c r="O2775" s="42"/>
      <c r="P2775" s="9"/>
      <c r="Q2775" s="9"/>
      <c r="R2775" s="42"/>
      <c r="S2775" s="42"/>
      <c r="T2775" s="42"/>
      <c r="U2775" s="42"/>
      <c r="V2775" s="42"/>
      <c r="W2775" s="42"/>
    </row>
    <row r="2776">
      <c r="A2776" s="9"/>
      <c r="B2776" s="9"/>
      <c r="C2776" s="9"/>
      <c r="D2776" s="42"/>
      <c r="E2776" s="103"/>
      <c r="F2776" s="42"/>
      <c r="G2776" s="9"/>
      <c r="H2776" s="9"/>
      <c r="I2776" s="9"/>
      <c r="J2776" s="9"/>
      <c r="K2776" s="42"/>
      <c r="L2776" s="42"/>
      <c r="M2776" s="42"/>
      <c r="N2776" s="42"/>
      <c r="O2776" s="42"/>
      <c r="P2776" s="9"/>
      <c r="Q2776" s="9"/>
      <c r="R2776" s="42"/>
      <c r="S2776" s="42"/>
      <c r="T2776" s="42"/>
      <c r="U2776" s="42"/>
      <c r="V2776" s="42"/>
      <c r="W2776" s="42"/>
    </row>
    <row r="2777">
      <c r="A2777" s="9"/>
      <c r="B2777" s="9"/>
      <c r="C2777" s="9"/>
      <c r="D2777" s="42"/>
      <c r="E2777" s="103"/>
      <c r="F2777" s="42"/>
      <c r="G2777" s="9"/>
      <c r="H2777" s="9"/>
      <c r="I2777" s="9"/>
      <c r="J2777" s="9"/>
      <c r="K2777" s="42"/>
      <c r="L2777" s="42"/>
      <c r="M2777" s="42"/>
      <c r="N2777" s="42"/>
      <c r="O2777" s="42"/>
      <c r="P2777" s="9"/>
      <c r="Q2777" s="9"/>
      <c r="R2777" s="42"/>
      <c r="S2777" s="42"/>
      <c r="T2777" s="42"/>
      <c r="U2777" s="42"/>
      <c r="V2777" s="42"/>
      <c r="W2777" s="42"/>
    </row>
    <row r="2778">
      <c r="A2778" s="9"/>
      <c r="B2778" s="9"/>
      <c r="C2778" s="9"/>
      <c r="D2778" s="42"/>
      <c r="E2778" s="103"/>
      <c r="F2778" s="42"/>
      <c r="G2778" s="9"/>
      <c r="H2778" s="9"/>
      <c r="I2778" s="9"/>
      <c r="J2778" s="9"/>
      <c r="K2778" s="42"/>
      <c r="L2778" s="42"/>
      <c r="M2778" s="42"/>
      <c r="N2778" s="42"/>
      <c r="O2778" s="42"/>
      <c r="P2778" s="9"/>
      <c r="Q2778" s="9"/>
      <c r="R2778" s="42"/>
      <c r="S2778" s="42"/>
      <c r="T2778" s="42"/>
      <c r="U2778" s="42"/>
      <c r="V2778" s="42"/>
      <c r="W2778" s="42"/>
    </row>
    <row r="2779">
      <c r="A2779" s="9"/>
      <c r="B2779" s="9"/>
      <c r="C2779" s="9"/>
      <c r="D2779" s="42"/>
      <c r="E2779" s="103"/>
      <c r="F2779" s="42"/>
      <c r="G2779" s="9"/>
      <c r="H2779" s="9"/>
      <c r="I2779" s="9"/>
      <c r="J2779" s="9"/>
      <c r="K2779" s="42"/>
      <c r="L2779" s="42"/>
      <c r="M2779" s="42"/>
      <c r="N2779" s="42"/>
      <c r="O2779" s="42"/>
      <c r="P2779" s="9"/>
      <c r="Q2779" s="9"/>
      <c r="R2779" s="42"/>
      <c r="S2779" s="42"/>
      <c r="T2779" s="42"/>
      <c r="U2779" s="42"/>
      <c r="V2779" s="42"/>
      <c r="W2779" s="42"/>
    </row>
    <row r="2780">
      <c r="A2780" s="9"/>
      <c r="B2780" s="9"/>
      <c r="C2780" s="9"/>
      <c r="D2780" s="42"/>
      <c r="E2780" s="103"/>
      <c r="F2780" s="42"/>
      <c r="G2780" s="9"/>
      <c r="H2780" s="9"/>
      <c r="I2780" s="9"/>
      <c r="J2780" s="9"/>
      <c r="K2780" s="42"/>
      <c r="L2780" s="42"/>
      <c r="M2780" s="42"/>
      <c r="N2780" s="42"/>
      <c r="O2780" s="42"/>
      <c r="P2780" s="9"/>
      <c r="Q2780" s="9"/>
      <c r="R2780" s="42"/>
      <c r="S2780" s="42"/>
      <c r="T2780" s="42"/>
      <c r="U2780" s="42"/>
      <c r="V2780" s="42"/>
      <c r="W2780" s="42"/>
    </row>
    <row r="2781">
      <c r="A2781" s="9"/>
      <c r="B2781" s="9"/>
      <c r="C2781" s="9"/>
      <c r="D2781" s="42"/>
      <c r="E2781" s="103"/>
      <c r="F2781" s="42"/>
      <c r="G2781" s="9"/>
      <c r="H2781" s="9"/>
      <c r="I2781" s="9"/>
      <c r="J2781" s="9"/>
      <c r="K2781" s="42"/>
      <c r="L2781" s="42"/>
      <c r="M2781" s="42"/>
      <c r="N2781" s="42"/>
      <c r="O2781" s="42"/>
      <c r="P2781" s="9"/>
      <c r="Q2781" s="9"/>
      <c r="R2781" s="42"/>
      <c r="S2781" s="42"/>
      <c r="T2781" s="42"/>
      <c r="U2781" s="42"/>
      <c r="V2781" s="42"/>
      <c r="W2781" s="42"/>
    </row>
    <row r="2782">
      <c r="A2782" s="9"/>
      <c r="B2782" s="9"/>
      <c r="C2782" s="9"/>
      <c r="D2782" s="42"/>
      <c r="E2782" s="103"/>
      <c r="F2782" s="42"/>
      <c r="G2782" s="9"/>
      <c r="H2782" s="9"/>
      <c r="I2782" s="9"/>
      <c r="J2782" s="9"/>
      <c r="K2782" s="42"/>
      <c r="L2782" s="42"/>
      <c r="M2782" s="42"/>
      <c r="N2782" s="42"/>
      <c r="O2782" s="42"/>
      <c r="P2782" s="9"/>
      <c r="Q2782" s="9"/>
      <c r="R2782" s="42"/>
      <c r="S2782" s="42"/>
      <c r="T2782" s="42"/>
      <c r="U2782" s="42"/>
      <c r="V2782" s="42"/>
      <c r="W2782" s="42"/>
    </row>
    <row r="2783">
      <c r="A2783" s="9"/>
      <c r="B2783" s="9"/>
      <c r="C2783" s="9"/>
      <c r="D2783" s="42"/>
      <c r="E2783" s="103"/>
      <c r="F2783" s="42"/>
      <c r="G2783" s="9"/>
      <c r="H2783" s="9"/>
      <c r="I2783" s="9"/>
      <c r="J2783" s="9"/>
      <c r="K2783" s="42"/>
      <c r="L2783" s="42"/>
      <c r="M2783" s="42"/>
      <c r="N2783" s="42"/>
      <c r="O2783" s="42"/>
      <c r="P2783" s="9"/>
      <c r="Q2783" s="9"/>
      <c r="R2783" s="42"/>
      <c r="S2783" s="42"/>
      <c r="T2783" s="42"/>
      <c r="U2783" s="42"/>
      <c r="V2783" s="42"/>
      <c r="W2783" s="42"/>
    </row>
    <row r="2784">
      <c r="A2784" s="9"/>
      <c r="B2784" s="9"/>
      <c r="C2784" s="9"/>
      <c r="D2784" s="42"/>
      <c r="E2784" s="103"/>
      <c r="F2784" s="42"/>
      <c r="G2784" s="9"/>
      <c r="H2784" s="9"/>
      <c r="I2784" s="9"/>
      <c r="J2784" s="9"/>
      <c r="K2784" s="42"/>
      <c r="L2784" s="42"/>
      <c r="M2784" s="42"/>
      <c r="N2784" s="42"/>
      <c r="O2784" s="42"/>
      <c r="P2784" s="9"/>
      <c r="Q2784" s="9"/>
      <c r="R2784" s="42"/>
      <c r="S2784" s="42"/>
      <c r="T2784" s="42"/>
      <c r="U2784" s="42"/>
      <c r="V2784" s="42"/>
      <c r="W2784" s="42"/>
    </row>
    <row r="2785">
      <c r="A2785" s="9"/>
      <c r="B2785" s="9"/>
      <c r="C2785" s="9"/>
      <c r="D2785" s="42"/>
      <c r="E2785" s="103"/>
      <c r="F2785" s="42"/>
      <c r="G2785" s="9"/>
      <c r="H2785" s="9"/>
      <c r="I2785" s="9"/>
      <c r="J2785" s="9"/>
      <c r="K2785" s="42"/>
      <c r="L2785" s="42"/>
      <c r="M2785" s="42"/>
      <c r="N2785" s="42"/>
      <c r="O2785" s="42"/>
      <c r="P2785" s="9"/>
      <c r="Q2785" s="9"/>
      <c r="R2785" s="42"/>
      <c r="S2785" s="42"/>
      <c r="T2785" s="42"/>
      <c r="U2785" s="42"/>
      <c r="V2785" s="42"/>
      <c r="W2785" s="42"/>
    </row>
    <row r="2786">
      <c r="A2786" s="9"/>
      <c r="B2786" s="9"/>
      <c r="C2786" s="9"/>
      <c r="D2786" s="42"/>
      <c r="E2786" s="103"/>
      <c r="F2786" s="42"/>
      <c r="G2786" s="9"/>
      <c r="H2786" s="9"/>
      <c r="I2786" s="9"/>
      <c r="J2786" s="9"/>
      <c r="K2786" s="42"/>
      <c r="L2786" s="42"/>
      <c r="M2786" s="42"/>
      <c r="N2786" s="42"/>
      <c r="O2786" s="42"/>
      <c r="P2786" s="9"/>
      <c r="Q2786" s="9"/>
      <c r="R2786" s="42"/>
      <c r="S2786" s="42"/>
      <c r="T2786" s="42"/>
      <c r="U2786" s="42"/>
      <c r="V2786" s="42"/>
      <c r="W2786" s="42"/>
    </row>
    <row r="2787">
      <c r="A2787" s="9"/>
      <c r="B2787" s="9"/>
      <c r="C2787" s="9"/>
      <c r="D2787" s="42"/>
      <c r="E2787" s="103"/>
      <c r="F2787" s="42"/>
      <c r="G2787" s="9"/>
      <c r="H2787" s="9"/>
      <c r="I2787" s="9"/>
      <c r="J2787" s="9"/>
      <c r="K2787" s="42"/>
      <c r="L2787" s="42"/>
      <c r="M2787" s="42"/>
      <c r="N2787" s="42"/>
      <c r="O2787" s="42"/>
      <c r="P2787" s="9"/>
      <c r="Q2787" s="9"/>
      <c r="R2787" s="42"/>
      <c r="S2787" s="42"/>
      <c r="T2787" s="42"/>
      <c r="U2787" s="42"/>
      <c r="V2787" s="42"/>
      <c r="W2787" s="42"/>
    </row>
    <row r="2788">
      <c r="A2788" s="9"/>
      <c r="B2788" s="9"/>
      <c r="C2788" s="9"/>
      <c r="D2788" s="42"/>
      <c r="E2788" s="103"/>
      <c r="F2788" s="42"/>
      <c r="G2788" s="9"/>
      <c r="H2788" s="9"/>
      <c r="I2788" s="9"/>
      <c r="J2788" s="9"/>
      <c r="K2788" s="42"/>
      <c r="L2788" s="42"/>
      <c r="M2788" s="42"/>
      <c r="N2788" s="42"/>
      <c r="O2788" s="42"/>
      <c r="P2788" s="9"/>
      <c r="Q2788" s="9"/>
      <c r="R2788" s="42"/>
      <c r="S2788" s="42"/>
      <c r="T2788" s="42"/>
      <c r="U2788" s="42"/>
      <c r="V2788" s="42"/>
      <c r="W2788" s="42"/>
    </row>
    <row r="2789">
      <c r="A2789" s="9"/>
      <c r="B2789" s="9"/>
      <c r="C2789" s="9"/>
      <c r="D2789" s="42"/>
      <c r="E2789" s="103"/>
      <c r="F2789" s="42"/>
      <c r="G2789" s="9"/>
      <c r="H2789" s="9"/>
      <c r="I2789" s="9"/>
      <c r="J2789" s="9"/>
      <c r="K2789" s="42"/>
      <c r="L2789" s="42"/>
      <c r="M2789" s="42"/>
      <c r="N2789" s="42"/>
      <c r="O2789" s="42"/>
      <c r="P2789" s="9"/>
      <c r="Q2789" s="9"/>
      <c r="R2789" s="42"/>
      <c r="S2789" s="42"/>
      <c r="T2789" s="42"/>
      <c r="U2789" s="42"/>
      <c r="V2789" s="42"/>
      <c r="W2789" s="42"/>
    </row>
    <row r="2790">
      <c r="A2790" s="9"/>
      <c r="B2790" s="9"/>
      <c r="C2790" s="9"/>
      <c r="D2790" s="42"/>
      <c r="E2790" s="103"/>
      <c r="F2790" s="42"/>
      <c r="G2790" s="9"/>
      <c r="H2790" s="9"/>
      <c r="I2790" s="9"/>
      <c r="J2790" s="9"/>
      <c r="K2790" s="42"/>
      <c r="L2790" s="42"/>
      <c r="M2790" s="42"/>
      <c r="N2790" s="42"/>
      <c r="O2790" s="42"/>
      <c r="P2790" s="9"/>
      <c r="Q2790" s="9"/>
      <c r="R2790" s="42"/>
      <c r="S2790" s="42"/>
      <c r="T2790" s="42"/>
      <c r="U2790" s="42"/>
      <c r="V2790" s="42"/>
      <c r="W2790" s="42"/>
    </row>
    <row r="2791">
      <c r="A2791" s="9"/>
      <c r="B2791" s="9"/>
      <c r="C2791" s="9"/>
      <c r="D2791" s="42"/>
      <c r="E2791" s="103"/>
      <c r="F2791" s="42"/>
      <c r="G2791" s="9"/>
      <c r="H2791" s="9"/>
      <c r="I2791" s="9"/>
      <c r="J2791" s="9"/>
      <c r="K2791" s="42"/>
      <c r="L2791" s="42"/>
      <c r="M2791" s="42"/>
      <c r="N2791" s="42"/>
      <c r="O2791" s="42"/>
      <c r="P2791" s="9"/>
      <c r="Q2791" s="9"/>
      <c r="R2791" s="42"/>
      <c r="S2791" s="42"/>
      <c r="T2791" s="42"/>
      <c r="U2791" s="42"/>
      <c r="V2791" s="42"/>
      <c r="W2791" s="42"/>
    </row>
    <row r="2792">
      <c r="A2792" s="9"/>
      <c r="B2792" s="9"/>
      <c r="C2792" s="9"/>
      <c r="D2792" s="42"/>
      <c r="E2792" s="103"/>
      <c r="F2792" s="42"/>
      <c r="G2792" s="9"/>
      <c r="H2792" s="9"/>
      <c r="I2792" s="9"/>
      <c r="J2792" s="9"/>
      <c r="K2792" s="42"/>
      <c r="L2792" s="42"/>
      <c r="M2792" s="42"/>
      <c r="N2792" s="42"/>
      <c r="O2792" s="42"/>
      <c r="P2792" s="9"/>
      <c r="Q2792" s="9"/>
      <c r="R2792" s="42"/>
      <c r="S2792" s="42"/>
      <c r="T2792" s="42"/>
      <c r="U2792" s="42"/>
      <c r="V2792" s="42"/>
      <c r="W2792" s="42"/>
    </row>
    <row r="2793">
      <c r="A2793" s="9"/>
      <c r="B2793" s="9"/>
      <c r="C2793" s="9"/>
      <c r="D2793" s="42"/>
      <c r="E2793" s="103"/>
      <c r="F2793" s="42"/>
      <c r="G2793" s="9"/>
      <c r="H2793" s="9"/>
      <c r="I2793" s="9"/>
      <c r="J2793" s="9"/>
      <c r="K2793" s="42"/>
      <c r="L2793" s="42"/>
      <c r="M2793" s="42"/>
      <c r="N2793" s="42"/>
      <c r="O2793" s="42"/>
      <c r="P2793" s="9"/>
      <c r="Q2793" s="9"/>
      <c r="R2793" s="42"/>
      <c r="S2793" s="42"/>
      <c r="T2793" s="42"/>
      <c r="U2793" s="42"/>
      <c r="V2793" s="42"/>
      <c r="W2793" s="42"/>
    </row>
    <row r="2794">
      <c r="A2794" s="9"/>
      <c r="B2794" s="9"/>
      <c r="C2794" s="9"/>
      <c r="D2794" s="42"/>
      <c r="E2794" s="103"/>
      <c r="F2794" s="42"/>
      <c r="G2794" s="9"/>
      <c r="H2794" s="9"/>
      <c r="I2794" s="9"/>
      <c r="J2794" s="9"/>
      <c r="K2794" s="42"/>
      <c r="L2794" s="42"/>
      <c r="M2794" s="42"/>
      <c r="N2794" s="42"/>
      <c r="O2794" s="42"/>
      <c r="P2794" s="9"/>
      <c r="Q2794" s="9"/>
      <c r="R2794" s="42"/>
      <c r="S2794" s="42"/>
      <c r="T2794" s="42"/>
      <c r="U2794" s="42"/>
      <c r="V2794" s="42"/>
      <c r="W2794" s="42"/>
    </row>
    <row r="2795">
      <c r="A2795" s="9"/>
      <c r="B2795" s="9"/>
      <c r="C2795" s="9"/>
      <c r="D2795" s="42"/>
      <c r="E2795" s="103"/>
      <c r="F2795" s="42"/>
      <c r="G2795" s="9"/>
      <c r="H2795" s="9"/>
      <c r="I2795" s="9"/>
      <c r="J2795" s="9"/>
      <c r="K2795" s="42"/>
      <c r="L2795" s="42"/>
      <c r="M2795" s="42"/>
      <c r="N2795" s="42"/>
      <c r="O2795" s="42"/>
      <c r="P2795" s="9"/>
      <c r="Q2795" s="9"/>
      <c r="R2795" s="42"/>
      <c r="S2795" s="42"/>
      <c r="T2795" s="42"/>
      <c r="U2795" s="42"/>
      <c r="V2795" s="42"/>
      <c r="W2795" s="42"/>
    </row>
    <row r="2796">
      <c r="A2796" s="9"/>
      <c r="B2796" s="9"/>
      <c r="C2796" s="9"/>
      <c r="D2796" s="42"/>
      <c r="E2796" s="103"/>
      <c r="F2796" s="42"/>
      <c r="G2796" s="9"/>
      <c r="H2796" s="9"/>
      <c r="I2796" s="9"/>
      <c r="J2796" s="9"/>
      <c r="K2796" s="42"/>
      <c r="L2796" s="42"/>
      <c r="M2796" s="42"/>
      <c r="N2796" s="42"/>
      <c r="O2796" s="42"/>
      <c r="P2796" s="9"/>
      <c r="Q2796" s="9"/>
      <c r="R2796" s="42"/>
      <c r="S2796" s="42"/>
      <c r="T2796" s="42"/>
      <c r="U2796" s="42"/>
      <c r="V2796" s="42"/>
      <c r="W2796" s="42"/>
    </row>
    <row r="2797">
      <c r="A2797" s="9"/>
      <c r="B2797" s="9"/>
      <c r="C2797" s="9"/>
      <c r="D2797" s="42"/>
      <c r="E2797" s="103"/>
      <c r="F2797" s="42"/>
      <c r="G2797" s="9"/>
      <c r="H2797" s="9"/>
      <c r="I2797" s="9"/>
      <c r="J2797" s="9"/>
      <c r="K2797" s="42"/>
      <c r="L2797" s="42"/>
      <c r="M2797" s="42"/>
      <c r="N2797" s="42"/>
      <c r="O2797" s="42"/>
      <c r="P2797" s="9"/>
      <c r="Q2797" s="9"/>
      <c r="R2797" s="42"/>
      <c r="S2797" s="42"/>
      <c r="T2797" s="42"/>
      <c r="U2797" s="42"/>
      <c r="V2797" s="42"/>
      <c r="W2797" s="42"/>
    </row>
    <row r="2798">
      <c r="A2798" s="9"/>
      <c r="B2798" s="9"/>
      <c r="C2798" s="9"/>
      <c r="D2798" s="42"/>
      <c r="E2798" s="103"/>
      <c r="F2798" s="42"/>
      <c r="G2798" s="9"/>
      <c r="H2798" s="9"/>
      <c r="I2798" s="9"/>
      <c r="J2798" s="9"/>
      <c r="K2798" s="42"/>
      <c r="L2798" s="42"/>
      <c r="M2798" s="42"/>
      <c r="N2798" s="42"/>
      <c r="O2798" s="42"/>
      <c r="P2798" s="9"/>
      <c r="Q2798" s="9"/>
      <c r="R2798" s="42"/>
      <c r="S2798" s="42"/>
      <c r="T2798" s="42"/>
      <c r="U2798" s="42"/>
      <c r="V2798" s="42"/>
      <c r="W2798" s="42"/>
    </row>
    <row r="2799">
      <c r="A2799" s="9"/>
      <c r="B2799" s="9"/>
      <c r="C2799" s="9"/>
      <c r="D2799" s="42"/>
      <c r="E2799" s="103"/>
      <c r="F2799" s="42"/>
      <c r="G2799" s="9"/>
      <c r="H2799" s="9"/>
      <c r="I2799" s="9"/>
      <c r="J2799" s="9"/>
      <c r="K2799" s="42"/>
      <c r="L2799" s="42"/>
      <c r="M2799" s="42"/>
      <c r="N2799" s="42"/>
      <c r="O2799" s="42"/>
      <c r="P2799" s="9"/>
      <c r="Q2799" s="9"/>
      <c r="R2799" s="42"/>
      <c r="S2799" s="42"/>
      <c r="T2799" s="42"/>
      <c r="U2799" s="42"/>
      <c r="V2799" s="42"/>
      <c r="W2799" s="42"/>
    </row>
    <row r="2800">
      <c r="A2800" s="9"/>
      <c r="B2800" s="9"/>
      <c r="C2800" s="9"/>
      <c r="D2800" s="42"/>
      <c r="E2800" s="103"/>
      <c r="F2800" s="42"/>
      <c r="G2800" s="9"/>
      <c r="H2800" s="9"/>
      <c r="I2800" s="9"/>
      <c r="J2800" s="9"/>
      <c r="K2800" s="42"/>
      <c r="L2800" s="42"/>
      <c r="M2800" s="42"/>
      <c r="N2800" s="42"/>
      <c r="O2800" s="42"/>
      <c r="P2800" s="9"/>
      <c r="Q2800" s="9"/>
      <c r="R2800" s="42"/>
      <c r="S2800" s="42"/>
      <c r="T2800" s="42"/>
      <c r="U2800" s="42"/>
      <c r="V2800" s="42"/>
      <c r="W2800" s="42"/>
    </row>
    <row r="2801">
      <c r="A2801" s="9"/>
      <c r="B2801" s="9"/>
      <c r="C2801" s="9"/>
      <c r="D2801" s="42"/>
      <c r="E2801" s="103"/>
      <c r="F2801" s="42"/>
      <c r="G2801" s="9"/>
      <c r="H2801" s="9"/>
      <c r="I2801" s="9"/>
      <c r="J2801" s="9"/>
      <c r="K2801" s="42"/>
      <c r="L2801" s="42"/>
      <c r="M2801" s="42"/>
      <c r="N2801" s="42"/>
      <c r="O2801" s="42"/>
      <c r="P2801" s="9"/>
      <c r="Q2801" s="9"/>
      <c r="R2801" s="42"/>
      <c r="S2801" s="42"/>
      <c r="T2801" s="42"/>
      <c r="U2801" s="42"/>
      <c r="V2801" s="42"/>
      <c r="W2801" s="42"/>
    </row>
    <row r="2802">
      <c r="A2802" s="9"/>
      <c r="B2802" s="9"/>
      <c r="C2802" s="9"/>
      <c r="D2802" s="42"/>
      <c r="E2802" s="103"/>
      <c r="F2802" s="42"/>
      <c r="G2802" s="9"/>
      <c r="H2802" s="9"/>
      <c r="I2802" s="9"/>
      <c r="J2802" s="9"/>
      <c r="K2802" s="42"/>
      <c r="L2802" s="42"/>
      <c r="M2802" s="42"/>
      <c r="N2802" s="42"/>
      <c r="O2802" s="42"/>
      <c r="P2802" s="9"/>
      <c r="Q2802" s="9"/>
      <c r="R2802" s="42"/>
      <c r="S2802" s="42"/>
      <c r="T2802" s="42"/>
      <c r="U2802" s="42"/>
      <c r="V2802" s="42"/>
      <c r="W2802" s="42"/>
    </row>
    <row r="2803">
      <c r="A2803" s="9"/>
      <c r="B2803" s="9"/>
      <c r="C2803" s="9"/>
      <c r="D2803" s="42"/>
      <c r="E2803" s="103"/>
      <c r="F2803" s="42"/>
      <c r="G2803" s="9"/>
      <c r="H2803" s="9"/>
      <c r="I2803" s="9"/>
      <c r="J2803" s="9"/>
      <c r="K2803" s="42"/>
      <c r="L2803" s="42"/>
      <c r="M2803" s="42"/>
      <c r="N2803" s="42"/>
      <c r="O2803" s="42"/>
      <c r="P2803" s="9"/>
      <c r="Q2803" s="9"/>
      <c r="R2803" s="42"/>
      <c r="S2803" s="42"/>
      <c r="T2803" s="42"/>
      <c r="U2803" s="42"/>
      <c r="V2803" s="42"/>
      <c r="W2803" s="42"/>
    </row>
    <row r="2804">
      <c r="A2804" s="9"/>
      <c r="B2804" s="9"/>
      <c r="C2804" s="9"/>
      <c r="D2804" s="42"/>
      <c r="E2804" s="103"/>
      <c r="F2804" s="42"/>
      <c r="G2804" s="9"/>
      <c r="H2804" s="9"/>
      <c r="I2804" s="9"/>
      <c r="J2804" s="9"/>
      <c r="K2804" s="42"/>
      <c r="L2804" s="42"/>
      <c r="M2804" s="42"/>
      <c r="N2804" s="42"/>
      <c r="O2804" s="42"/>
      <c r="P2804" s="9"/>
      <c r="Q2804" s="9"/>
      <c r="R2804" s="42"/>
      <c r="S2804" s="42"/>
      <c r="T2804" s="42"/>
      <c r="U2804" s="42"/>
      <c r="V2804" s="42"/>
      <c r="W2804" s="42"/>
    </row>
    <row r="2805">
      <c r="A2805" s="9"/>
      <c r="B2805" s="9"/>
      <c r="C2805" s="9"/>
      <c r="D2805" s="42"/>
      <c r="E2805" s="103"/>
      <c r="F2805" s="42"/>
      <c r="G2805" s="9"/>
      <c r="H2805" s="9"/>
      <c r="I2805" s="9"/>
      <c r="J2805" s="9"/>
      <c r="K2805" s="42"/>
      <c r="L2805" s="42"/>
      <c r="M2805" s="42"/>
      <c r="N2805" s="42"/>
      <c r="O2805" s="42"/>
      <c r="P2805" s="9"/>
      <c r="Q2805" s="9"/>
      <c r="R2805" s="42"/>
      <c r="S2805" s="42"/>
      <c r="T2805" s="42"/>
      <c r="U2805" s="42"/>
      <c r="V2805" s="42"/>
      <c r="W2805" s="42"/>
    </row>
    <row r="2806">
      <c r="A2806" s="9"/>
      <c r="B2806" s="9"/>
      <c r="C2806" s="9"/>
      <c r="D2806" s="42"/>
      <c r="E2806" s="103"/>
      <c r="F2806" s="42"/>
      <c r="G2806" s="9"/>
      <c r="H2806" s="9"/>
      <c r="I2806" s="9"/>
      <c r="J2806" s="9"/>
      <c r="K2806" s="42"/>
      <c r="L2806" s="42"/>
      <c r="M2806" s="42"/>
      <c r="N2806" s="42"/>
      <c r="O2806" s="42"/>
      <c r="P2806" s="9"/>
      <c r="Q2806" s="9"/>
      <c r="R2806" s="42"/>
      <c r="S2806" s="42"/>
      <c r="T2806" s="42"/>
      <c r="U2806" s="42"/>
      <c r="V2806" s="42"/>
      <c r="W2806" s="42"/>
    </row>
    <row r="2807">
      <c r="A2807" s="9"/>
      <c r="B2807" s="9"/>
      <c r="C2807" s="9"/>
      <c r="D2807" s="42"/>
      <c r="E2807" s="103"/>
      <c r="F2807" s="42"/>
      <c r="G2807" s="9"/>
      <c r="H2807" s="9"/>
      <c r="I2807" s="9"/>
      <c r="J2807" s="9"/>
      <c r="K2807" s="42"/>
      <c r="L2807" s="42"/>
      <c r="M2807" s="42"/>
      <c r="N2807" s="42"/>
      <c r="O2807" s="42"/>
      <c r="P2807" s="9"/>
      <c r="Q2807" s="9"/>
      <c r="R2807" s="42"/>
      <c r="S2807" s="42"/>
      <c r="T2807" s="42"/>
      <c r="U2807" s="42"/>
      <c r="V2807" s="42"/>
      <c r="W2807" s="42"/>
    </row>
    <row r="2808">
      <c r="A2808" s="9"/>
      <c r="B2808" s="9"/>
      <c r="C2808" s="9"/>
      <c r="D2808" s="42"/>
      <c r="E2808" s="103"/>
      <c r="F2808" s="42"/>
      <c r="G2808" s="9"/>
      <c r="H2808" s="9"/>
      <c r="I2808" s="9"/>
      <c r="J2808" s="9"/>
      <c r="K2808" s="42"/>
      <c r="L2808" s="42"/>
      <c r="M2808" s="42"/>
      <c r="N2808" s="42"/>
      <c r="O2808" s="42"/>
      <c r="P2808" s="9"/>
      <c r="Q2808" s="9"/>
      <c r="R2808" s="42"/>
      <c r="S2808" s="42"/>
      <c r="T2808" s="42"/>
      <c r="U2808" s="42"/>
      <c r="V2808" s="42"/>
      <c r="W2808" s="42"/>
    </row>
    <row r="2809">
      <c r="A2809" s="9"/>
      <c r="B2809" s="9"/>
      <c r="C2809" s="9"/>
      <c r="D2809" s="42"/>
      <c r="E2809" s="103"/>
      <c r="F2809" s="42"/>
      <c r="G2809" s="9"/>
      <c r="H2809" s="9"/>
      <c r="I2809" s="9"/>
      <c r="J2809" s="9"/>
      <c r="K2809" s="42"/>
      <c r="L2809" s="42"/>
      <c r="M2809" s="42"/>
      <c r="N2809" s="42"/>
      <c r="O2809" s="42"/>
      <c r="P2809" s="9"/>
      <c r="Q2809" s="9"/>
      <c r="R2809" s="42"/>
      <c r="S2809" s="42"/>
      <c r="T2809" s="42"/>
      <c r="U2809" s="42"/>
      <c r="V2809" s="42"/>
      <c r="W2809" s="42"/>
    </row>
    <row r="2810">
      <c r="A2810" s="9"/>
      <c r="B2810" s="9"/>
      <c r="C2810" s="9"/>
      <c r="D2810" s="42"/>
      <c r="E2810" s="103"/>
      <c r="F2810" s="42"/>
      <c r="G2810" s="9"/>
      <c r="H2810" s="9"/>
      <c r="I2810" s="9"/>
      <c r="J2810" s="9"/>
      <c r="K2810" s="42"/>
      <c r="L2810" s="42"/>
      <c r="M2810" s="42"/>
      <c r="N2810" s="42"/>
      <c r="O2810" s="42"/>
      <c r="P2810" s="9"/>
      <c r="Q2810" s="9"/>
      <c r="R2810" s="42"/>
      <c r="S2810" s="42"/>
      <c r="T2810" s="42"/>
      <c r="U2810" s="42"/>
      <c r="V2810" s="42"/>
      <c r="W2810" s="42"/>
    </row>
    <row r="2811">
      <c r="A2811" s="9"/>
      <c r="B2811" s="9"/>
      <c r="C2811" s="9"/>
      <c r="D2811" s="42"/>
      <c r="E2811" s="103"/>
      <c r="F2811" s="42"/>
      <c r="G2811" s="9"/>
      <c r="H2811" s="9"/>
      <c r="I2811" s="9"/>
      <c r="J2811" s="9"/>
      <c r="K2811" s="42"/>
      <c r="L2811" s="42"/>
      <c r="M2811" s="42"/>
      <c r="N2811" s="42"/>
      <c r="O2811" s="42"/>
      <c r="P2811" s="9"/>
      <c r="Q2811" s="9"/>
      <c r="R2811" s="42"/>
      <c r="S2811" s="42"/>
      <c r="T2811" s="42"/>
      <c r="U2811" s="42"/>
      <c r="V2811" s="42"/>
      <c r="W2811" s="42"/>
    </row>
    <row r="2812">
      <c r="A2812" s="9"/>
      <c r="B2812" s="9"/>
      <c r="C2812" s="9"/>
      <c r="D2812" s="42"/>
      <c r="E2812" s="103"/>
      <c r="F2812" s="42"/>
      <c r="G2812" s="9"/>
      <c r="H2812" s="9"/>
      <c r="I2812" s="9"/>
      <c r="J2812" s="9"/>
      <c r="K2812" s="42"/>
      <c r="L2812" s="42"/>
      <c r="M2812" s="42"/>
      <c r="N2812" s="42"/>
      <c r="O2812" s="42"/>
      <c r="P2812" s="9"/>
      <c r="Q2812" s="9"/>
      <c r="R2812" s="42"/>
      <c r="S2812" s="42"/>
      <c r="T2812" s="42"/>
      <c r="U2812" s="42"/>
      <c r="V2812" s="42"/>
      <c r="W2812" s="42"/>
    </row>
    <row r="2813">
      <c r="A2813" s="9"/>
      <c r="B2813" s="9"/>
      <c r="C2813" s="9"/>
      <c r="D2813" s="42"/>
      <c r="E2813" s="103"/>
      <c r="F2813" s="42"/>
      <c r="G2813" s="9"/>
      <c r="H2813" s="9"/>
      <c r="I2813" s="9"/>
      <c r="J2813" s="9"/>
      <c r="K2813" s="42"/>
      <c r="L2813" s="42"/>
      <c r="M2813" s="42"/>
      <c r="N2813" s="42"/>
      <c r="O2813" s="42"/>
      <c r="P2813" s="9"/>
      <c r="Q2813" s="9"/>
      <c r="R2813" s="42"/>
      <c r="S2813" s="42"/>
      <c r="T2813" s="42"/>
      <c r="U2813" s="42"/>
      <c r="V2813" s="42"/>
      <c r="W2813" s="42"/>
    </row>
    <row r="2814">
      <c r="A2814" s="9"/>
      <c r="B2814" s="9"/>
      <c r="C2814" s="9"/>
      <c r="D2814" s="42"/>
      <c r="E2814" s="103"/>
      <c r="F2814" s="42"/>
      <c r="G2814" s="9"/>
      <c r="H2814" s="9"/>
      <c r="I2814" s="9"/>
      <c r="J2814" s="9"/>
      <c r="K2814" s="42"/>
      <c r="L2814" s="42"/>
      <c r="M2814" s="42"/>
      <c r="N2814" s="42"/>
      <c r="O2814" s="42"/>
      <c r="P2814" s="9"/>
      <c r="Q2814" s="9"/>
      <c r="R2814" s="42"/>
      <c r="S2814" s="42"/>
      <c r="T2814" s="42"/>
      <c r="U2814" s="42"/>
      <c r="V2814" s="42"/>
      <c r="W2814" s="42"/>
    </row>
    <row r="2815">
      <c r="A2815" s="9"/>
      <c r="B2815" s="9"/>
      <c r="C2815" s="9"/>
      <c r="D2815" s="42"/>
      <c r="E2815" s="103"/>
      <c r="F2815" s="42"/>
      <c r="G2815" s="9"/>
      <c r="H2815" s="9"/>
      <c r="I2815" s="9"/>
      <c r="J2815" s="9"/>
      <c r="K2815" s="42"/>
      <c r="L2815" s="42"/>
      <c r="M2815" s="42"/>
      <c r="N2815" s="42"/>
      <c r="O2815" s="42"/>
      <c r="P2815" s="9"/>
      <c r="Q2815" s="9"/>
      <c r="R2815" s="42"/>
      <c r="S2815" s="42"/>
      <c r="T2815" s="42"/>
      <c r="U2815" s="42"/>
      <c r="V2815" s="42"/>
      <c r="W2815" s="42"/>
    </row>
    <row r="2816">
      <c r="A2816" s="9"/>
      <c r="B2816" s="9"/>
      <c r="C2816" s="9"/>
      <c r="D2816" s="42"/>
      <c r="E2816" s="103"/>
      <c r="F2816" s="42"/>
      <c r="G2816" s="9"/>
      <c r="H2816" s="9"/>
      <c r="I2816" s="9"/>
      <c r="J2816" s="9"/>
      <c r="K2816" s="42"/>
      <c r="L2816" s="42"/>
      <c r="M2816" s="42"/>
      <c r="N2816" s="42"/>
      <c r="O2816" s="42"/>
      <c r="P2816" s="9"/>
      <c r="Q2816" s="9"/>
      <c r="R2816" s="42"/>
      <c r="S2816" s="42"/>
      <c r="T2816" s="42"/>
      <c r="U2816" s="42"/>
      <c r="V2816" s="42"/>
      <c r="W2816" s="42"/>
    </row>
    <row r="2817">
      <c r="A2817" s="9"/>
      <c r="B2817" s="9"/>
      <c r="C2817" s="9"/>
      <c r="D2817" s="42"/>
      <c r="E2817" s="103"/>
      <c r="F2817" s="42"/>
      <c r="G2817" s="9"/>
      <c r="H2817" s="9"/>
      <c r="I2817" s="9"/>
      <c r="J2817" s="9"/>
      <c r="K2817" s="42"/>
      <c r="L2817" s="42"/>
      <c r="M2817" s="42"/>
      <c r="N2817" s="42"/>
      <c r="O2817" s="42"/>
      <c r="P2817" s="9"/>
      <c r="Q2817" s="9"/>
      <c r="R2817" s="42"/>
      <c r="S2817" s="42"/>
      <c r="T2817" s="42"/>
      <c r="U2817" s="42"/>
      <c r="V2817" s="42"/>
      <c r="W2817" s="42"/>
    </row>
    <row r="2818">
      <c r="A2818" s="9"/>
      <c r="B2818" s="9"/>
      <c r="C2818" s="9"/>
      <c r="D2818" s="42"/>
      <c r="E2818" s="103"/>
      <c r="F2818" s="42"/>
      <c r="G2818" s="9"/>
      <c r="H2818" s="9"/>
      <c r="I2818" s="9"/>
      <c r="J2818" s="9"/>
      <c r="K2818" s="42"/>
      <c r="L2818" s="42"/>
      <c r="M2818" s="42"/>
      <c r="N2818" s="42"/>
      <c r="O2818" s="42"/>
      <c r="P2818" s="9"/>
      <c r="Q2818" s="9"/>
      <c r="R2818" s="42"/>
      <c r="S2818" s="42"/>
      <c r="T2818" s="42"/>
      <c r="U2818" s="42"/>
      <c r="V2818" s="42"/>
      <c r="W2818" s="42"/>
    </row>
    <row r="2819">
      <c r="A2819" s="9"/>
      <c r="B2819" s="9"/>
      <c r="C2819" s="9"/>
      <c r="D2819" s="42"/>
      <c r="E2819" s="103"/>
      <c r="F2819" s="42"/>
      <c r="G2819" s="9"/>
      <c r="H2819" s="9"/>
      <c r="I2819" s="9"/>
      <c r="J2819" s="9"/>
      <c r="K2819" s="42"/>
      <c r="L2819" s="42"/>
      <c r="M2819" s="42"/>
      <c r="N2819" s="42"/>
      <c r="O2819" s="42"/>
      <c r="P2819" s="9"/>
      <c r="Q2819" s="9"/>
      <c r="R2819" s="42"/>
      <c r="S2819" s="42"/>
      <c r="T2819" s="42"/>
      <c r="U2819" s="42"/>
      <c r="V2819" s="42"/>
      <c r="W2819" s="42"/>
    </row>
    <row r="2820">
      <c r="A2820" s="9"/>
      <c r="B2820" s="9"/>
      <c r="C2820" s="9"/>
      <c r="D2820" s="42"/>
      <c r="E2820" s="103"/>
      <c r="F2820" s="42"/>
      <c r="G2820" s="9"/>
      <c r="H2820" s="9"/>
      <c r="I2820" s="9"/>
      <c r="J2820" s="9"/>
      <c r="K2820" s="42"/>
      <c r="L2820" s="42"/>
      <c r="M2820" s="42"/>
      <c r="N2820" s="42"/>
      <c r="O2820" s="42"/>
      <c r="P2820" s="9"/>
      <c r="Q2820" s="9"/>
      <c r="R2820" s="42"/>
      <c r="S2820" s="42"/>
      <c r="T2820" s="42"/>
      <c r="U2820" s="42"/>
      <c r="V2820" s="42"/>
      <c r="W2820" s="42"/>
    </row>
    <row r="2821">
      <c r="A2821" s="9"/>
      <c r="B2821" s="9"/>
      <c r="C2821" s="9"/>
      <c r="D2821" s="42"/>
      <c r="E2821" s="103"/>
      <c r="F2821" s="42"/>
      <c r="G2821" s="9"/>
      <c r="H2821" s="9"/>
      <c r="I2821" s="9"/>
      <c r="J2821" s="9"/>
      <c r="K2821" s="42"/>
      <c r="L2821" s="42"/>
      <c r="M2821" s="42"/>
      <c r="N2821" s="42"/>
      <c r="O2821" s="42"/>
      <c r="P2821" s="9"/>
      <c r="Q2821" s="9"/>
      <c r="R2821" s="42"/>
      <c r="S2821" s="42"/>
      <c r="T2821" s="42"/>
      <c r="U2821" s="42"/>
      <c r="V2821" s="42"/>
      <c r="W2821" s="42"/>
    </row>
    <row r="2822">
      <c r="A2822" s="9"/>
      <c r="B2822" s="9"/>
      <c r="C2822" s="9"/>
      <c r="D2822" s="42"/>
      <c r="E2822" s="103"/>
      <c r="F2822" s="42"/>
      <c r="G2822" s="9"/>
      <c r="H2822" s="9"/>
      <c r="I2822" s="9"/>
      <c r="J2822" s="9"/>
      <c r="K2822" s="42"/>
      <c r="L2822" s="42"/>
      <c r="M2822" s="42"/>
      <c r="N2822" s="42"/>
      <c r="O2822" s="42"/>
      <c r="P2822" s="9"/>
      <c r="Q2822" s="9"/>
      <c r="R2822" s="42"/>
      <c r="S2822" s="42"/>
      <c r="T2822" s="42"/>
      <c r="U2822" s="42"/>
      <c r="V2822" s="42"/>
      <c r="W2822" s="42"/>
    </row>
    <row r="2823">
      <c r="A2823" s="9"/>
      <c r="B2823" s="9"/>
      <c r="C2823" s="9"/>
      <c r="D2823" s="42"/>
      <c r="E2823" s="103"/>
      <c r="F2823" s="42"/>
      <c r="G2823" s="9"/>
      <c r="H2823" s="9"/>
      <c r="I2823" s="9"/>
      <c r="J2823" s="9"/>
      <c r="K2823" s="42"/>
      <c r="L2823" s="42"/>
      <c r="M2823" s="42"/>
      <c r="N2823" s="42"/>
      <c r="O2823" s="42"/>
      <c r="P2823" s="9"/>
      <c r="Q2823" s="9"/>
      <c r="R2823" s="42"/>
      <c r="S2823" s="42"/>
      <c r="T2823" s="42"/>
      <c r="U2823" s="42"/>
      <c r="V2823" s="42"/>
      <c r="W2823" s="42"/>
    </row>
    <row r="2824">
      <c r="A2824" s="9"/>
      <c r="B2824" s="9"/>
      <c r="C2824" s="9"/>
      <c r="D2824" s="42"/>
      <c r="E2824" s="103"/>
      <c r="F2824" s="42"/>
      <c r="G2824" s="9"/>
      <c r="H2824" s="9"/>
      <c r="I2824" s="9"/>
      <c r="J2824" s="9"/>
      <c r="K2824" s="42"/>
      <c r="L2824" s="42"/>
      <c r="M2824" s="42"/>
      <c r="N2824" s="42"/>
      <c r="O2824" s="42"/>
      <c r="P2824" s="9"/>
      <c r="Q2824" s="9"/>
      <c r="R2824" s="42"/>
      <c r="S2824" s="42"/>
      <c r="T2824" s="42"/>
      <c r="U2824" s="42"/>
      <c r="V2824" s="42"/>
      <c r="W2824" s="42"/>
    </row>
    <row r="2825">
      <c r="A2825" s="9"/>
      <c r="B2825" s="9"/>
      <c r="C2825" s="9"/>
      <c r="D2825" s="42"/>
      <c r="E2825" s="103"/>
      <c r="F2825" s="42"/>
      <c r="G2825" s="9"/>
      <c r="H2825" s="9"/>
      <c r="I2825" s="9"/>
      <c r="J2825" s="9"/>
      <c r="K2825" s="42"/>
      <c r="L2825" s="42"/>
      <c r="M2825" s="42"/>
      <c r="N2825" s="42"/>
      <c r="O2825" s="42"/>
      <c r="P2825" s="9"/>
      <c r="Q2825" s="9"/>
      <c r="R2825" s="42"/>
      <c r="S2825" s="42"/>
      <c r="T2825" s="42"/>
      <c r="U2825" s="42"/>
      <c r="V2825" s="42"/>
      <c r="W2825" s="42"/>
    </row>
    <row r="2826">
      <c r="A2826" s="9"/>
      <c r="B2826" s="9"/>
      <c r="C2826" s="9"/>
      <c r="D2826" s="42"/>
      <c r="E2826" s="103"/>
      <c r="F2826" s="42"/>
      <c r="G2826" s="9"/>
      <c r="H2826" s="9"/>
      <c r="I2826" s="9"/>
      <c r="J2826" s="9"/>
      <c r="K2826" s="42"/>
      <c r="L2826" s="42"/>
      <c r="M2826" s="42"/>
      <c r="N2826" s="42"/>
      <c r="O2826" s="42"/>
      <c r="P2826" s="9"/>
      <c r="Q2826" s="9"/>
      <c r="R2826" s="42"/>
      <c r="S2826" s="42"/>
      <c r="T2826" s="42"/>
      <c r="U2826" s="42"/>
      <c r="V2826" s="42"/>
      <c r="W2826" s="42"/>
    </row>
    <row r="2827">
      <c r="A2827" s="9"/>
      <c r="B2827" s="9"/>
      <c r="C2827" s="9"/>
      <c r="D2827" s="42"/>
      <c r="E2827" s="103"/>
      <c r="F2827" s="42"/>
      <c r="G2827" s="9"/>
      <c r="H2827" s="9"/>
      <c r="I2827" s="9"/>
      <c r="J2827" s="9"/>
      <c r="K2827" s="42"/>
      <c r="L2827" s="42"/>
      <c r="M2827" s="42"/>
      <c r="N2827" s="42"/>
      <c r="O2827" s="42"/>
      <c r="P2827" s="9"/>
      <c r="Q2827" s="9"/>
      <c r="R2827" s="42"/>
      <c r="S2827" s="42"/>
      <c r="T2827" s="42"/>
      <c r="U2827" s="42"/>
      <c r="V2827" s="42"/>
      <c r="W2827" s="42"/>
    </row>
    <row r="2828">
      <c r="A2828" s="9"/>
      <c r="B2828" s="9"/>
      <c r="C2828" s="9"/>
      <c r="D2828" s="42"/>
      <c r="E2828" s="103"/>
      <c r="F2828" s="42"/>
      <c r="G2828" s="9"/>
      <c r="H2828" s="9"/>
      <c r="I2828" s="9"/>
      <c r="J2828" s="9"/>
      <c r="K2828" s="42"/>
      <c r="L2828" s="42"/>
      <c r="M2828" s="42"/>
      <c r="N2828" s="42"/>
      <c r="O2828" s="42"/>
      <c r="P2828" s="9"/>
      <c r="Q2828" s="9"/>
      <c r="R2828" s="42"/>
      <c r="S2828" s="42"/>
      <c r="T2828" s="42"/>
      <c r="U2828" s="42"/>
      <c r="V2828" s="42"/>
      <c r="W2828" s="42"/>
    </row>
    <row r="2829">
      <c r="A2829" s="9"/>
      <c r="B2829" s="9"/>
      <c r="C2829" s="9"/>
      <c r="D2829" s="42"/>
      <c r="E2829" s="103"/>
      <c r="F2829" s="42"/>
      <c r="G2829" s="9"/>
      <c r="H2829" s="9"/>
      <c r="I2829" s="9"/>
      <c r="J2829" s="9"/>
      <c r="K2829" s="42"/>
      <c r="L2829" s="42"/>
      <c r="M2829" s="42"/>
      <c r="N2829" s="42"/>
      <c r="O2829" s="42"/>
      <c r="P2829" s="9"/>
      <c r="Q2829" s="9"/>
      <c r="R2829" s="42"/>
      <c r="S2829" s="42"/>
      <c r="T2829" s="42"/>
      <c r="U2829" s="42"/>
      <c r="V2829" s="42"/>
      <c r="W2829" s="42"/>
    </row>
    <row r="2830">
      <c r="A2830" s="9"/>
      <c r="B2830" s="9"/>
      <c r="C2830" s="9"/>
      <c r="D2830" s="42"/>
      <c r="E2830" s="103"/>
      <c r="F2830" s="42"/>
      <c r="G2830" s="9"/>
      <c r="H2830" s="9"/>
      <c r="I2830" s="9"/>
      <c r="J2830" s="9"/>
      <c r="K2830" s="42"/>
      <c r="L2830" s="42"/>
      <c r="M2830" s="42"/>
      <c r="N2830" s="42"/>
      <c r="O2830" s="42"/>
      <c r="P2830" s="9"/>
      <c r="Q2830" s="9"/>
      <c r="R2830" s="42"/>
      <c r="S2830" s="42"/>
      <c r="T2830" s="42"/>
      <c r="U2830" s="42"/>
      <c r="V2830" s="42"/>
      <c r="W2830" s="42"/>
    </row>
    <row r="2831">
      <c r="A2831" s="9"/>
      <c r="B2831" s="9"/>
      <c r="C2831" s="9"/>
      <c r="D2831" s="42"/>
      <c r="E2831" s="103"/>
      <c r="F2831" s="42"/>
      <c r="G2831" s="9"/>
      <c r="H2831" s="9"/>
      <c r="I2831" s="9"/>
      <c r="J2831" s="9"/>
      <c r="K2831" s="42"/>
      <c r="L2831" s="42"/>
      <c r="M2831" s="42"/>
      <c r="N2831" s="42"/>
      <c r="O2831" s="42"/>
      <c r="P2831" s="9"/>
      <c r="Q2831" s="9"/>
      <c r="R2831" s="42"/>
      <c r="S2831" s="42"/>
      <c r="T2831" s="42"/>
      <c r="U2831" s="42"/>
      <c r="V2831" s="42"/>
      <c r="W2831" s="42"/>
    </row>
    <row r="2832">
      <c r="A2832" s="9"/>
      <c r="B2832" s="9"/>
      <c r="C2832" s="9"/>
      <c r="D2832" s="42"/>
      <c r="E2832" s="103"/>
      <c r="F2832" s="42"/>
      <c r="G2832" s="9"/>
      <c r="H2832" s="9"/>
      <c r="I2832" s="9"/>
      <c r="J2832" s="9"/>
      <c r="K2832" s="42"/>
      <c r="L2832" s="42"/>
      <c r="M2832" s="42"/>
      <c r="N2832" s="42"/>
      <c r="O2832" s="42"/>
      <c r="P2832" s="9"/>
      <c r="Q2832" s="9"/>
      <c r="R2832" s="42"/>
      <c r="S2832" s="42"/>
      <c r="T2832" s="42"/>
      <c r="U2832" s="42"/>
      <c r="V2832" s="42"/>
      <c r="W2832" s="42"/>
    </row>
    <row r="2833">
      <c r="A2833" s="9"/>
      <c r="B2833" s="9"/>
      <c r="C2833" s="9"/>
      <c r="D2833" s="42"/>
      <c r="E2833" s="103"/>
      <c r="F2833" s="42"/>
      <c r="G2833" s="9"/>
      <c r="H2833" s="9"/>
      <c r="I2833" s="9"/>
      <c r="J2833" s="9"/>
      <c r="K2833" s="42"/>
      <c r="L2833" s="42"/>
      <c r="M2833" s="42"/>
      <c r="N2833" s="42"/>
      <c r="O2833" s="42"/>
      <c r="P2833" s="9"/>
      <c r="Q2833" s="9"/>
      <c r="R2833" s="42"/>
      <c r="S2833" s="42"/>
      <c r="T2833" s="42"/>
      <c r="U2833" s="42"/>
      <c r="V2833" s="42"/>
      <c r="W2833" s="42"/>
    </row>
    <row r="2834">
      <c r="A2834" s="9"/>
      <c r="B2834" s="9"/>
      <c r="C2834" s="9"/>
      <c r="D2834" s="42"/>
      <c r="E2834" s="103"/>
      <c r="F2834" s="42"/>
      <c r="G2834" s="9"/>
      <c r="H2834" s="9"/>
      <c r="I2834" s="9"/>
      <c r="J2834" s="9"/>
      <c r="K2834" s="42"/>
      <c r="L2834" s="42"/>
      <c r="M2834" s="42"/>
      <c r="N2834" s="42"/>
      <c r="O2834" s="42"/>
      <c r="P2834" s="9"/>
      <c r="Q2834" s="9"/>
      <c r="R2834" s="42"/>
      <c r="S2834" s="42"/>
      <c r="T2834" s="42"/>
      <c r="U2834" s="42"/>
      <c r="V2834" s="42"/>
      <c r="W2834" s="42"/>
    </row>
    <row r="2835">
      <c r="A2835" s="9"/>
      <c r="B2835" s="9"/>
      <c r="C2835" s="9"/>
      <c r="D2835" s="42"/>
      <c r="E2835" s="103"/>
      <c r="F2835" s="42"/>
      <c r="G2835" s="9"/>
      <c r="H2835" s="9"/>
      <c r="I2835" s="9"/>
      <c r="J2835" s="9"/>
      <c r="K2835" s="42"/>
      <c r="L2835" s="42"/>
      <c r="M2835" s="42"/>
      <c r="N2835" s="42"/>
      <c r="O2835" s="42"/>
      <c r="P2835" s="9"/>
      <c r="Q2835" s="9"/>
      <c r="R2835" s="42"/>
      <c r="S2835" s="42"/>
      <c r="T2835" s="42"/>
      <c r="U2835" s="42"/>
      <c r="V2835" s="42"/>
      <c r="W2835" s="42"/>
    </row>
    <row r="2836">
      <c r="A2836" s="9"/>
      <c r="B2836" s="9"/>
      <c r="C2836" s="9"/>
      <c r="D2836" s="42"/>
      <c r="E2836" s="103"/>
      <c r="F2836" s="42"/>
      <c r="G2836" s="9"/>
      <c r="H2836" s="9"/>
      <c r="I2836" s="9"/>
      <c r="J2836" s="9"/>
      <c r="K2836" s="42"/>
      <c r="L2836" s="42"/>
      <c r="M2836" s="42"/>
      <c r="N2836" s="42"/>
      <c r="O2836" s="42"/>
      <c r="P2836" s="9"/>
      <c r="Q2836" s="9"/>
      <c r="R2836" s="42"/>
      <c r="S2836" s="42"/>
      <c r="T2836" s="42"/>
      <c r="U2836" s="42"/>
      <c r="V2836" s="42"/>
      <c r="W2836" s="42"/>
    </row>
    <row r="2837">
      <c r="A2837" s="9"/>
      <c r="B2837" s="9"/>
      <c r="C2837" s="9"/>
      <c r="D2837" s="42"/>
      <c r="E2837" s="103"/>
      <c r="F2837" s="42"/>
      <c r="G2837" s="9"/>
      <c r="H2837" s="9"/>
      <c r="I2837" s="9"/>
      <c r="J2837" s="9"/>
      <c r="K2837" s="42"/>
      <c r="L2837" s="42"/>
      <c r="M2837" s="42"/>
      <c r="N2837" s="42"/>
      <c r="O2837" s="42"/>
      <c r="P2837" s="9"/>
      <c r="Q2837" s="9"/>
      <c r="R2837" s="42"/>
      <c r="S2837" s="42"/>
      <c r="T2837" s="42"/>
      <c r="U2837" s="42"/>
      <c r="V2837" s="42"/>
      <c r="W2837" s="42"/>
    </row>
    <row r="2838">
      <c r="A2838" s="9"/>
      <c r="B2838" s="9"/>
      <c r="C2838" s="9"/>
      <c r="D2838" s="42"/>
      <c r="E2838" s="103"/>
      <c r="F2838" s="42"/>
      <c r="G2838" s="9"/>
      <c r="H2838" s="9"/>
      <c r="I2838" s="9"/>
      <c r="J2838" s="9"/>
      <c r="K2838" s="42"/>
      <c r="L2838" s="42"/>
      <c r="M2838" s="42"/>
      <c r="N2838" s="42"/>
      <c r="O2838" s="42"/>
      <c r="P2838" s="9"/>
      <c r="Q2838" s="9"/>
      <c r="R2838" s="42"/>
      <c r="S2838" s="42"/>
      <c r="T2838" s="42"/>
      <c r="U2838" s="42"/>
      <c r="V2838" s="42"/>
      <c r="W2838" s="42"/>
    </row>
    <row r="2839">
      <c r="A2839" s="9"/>
      <c r="B2839" s="9"/>
      <c r="C2839" s="9"/>
      <c r="D2839" s="42"/>
      <c r="E2839" s="103"/>
      <c r="F2839" s="42"/>
      <c r="G2839" s="9"/>
      <c r="H2839" s="9"/>
      <c r="I2839" s="9"/>
      <c r="J2839" s="9"/>
      <c r="K2839" s="42"/>
      <c r="L2839" s="42"/>
      <c r="M2839" s="42"/>
      <c r="N2839" s="42"/>
      <c r="O2839" s="42"/>
      <c r="P2839" s="9"/>
      <c r="Q2839" s="9"/>
      <c r="R2839" s="42"/>
      <c r="S2839" s="42"/>
      <c r="T2839" s="42"/>
      <c r="U2839" s="42"/>
      <c r="V2839" s="42"/>
      <c r="W2839" s="42"/>
    </row>
    <row r="2840">
      <c r="A2840" s="9"/>
      <c r="B2840" s="9"/>
      <c r="C2840" s="9"/>
      <c r="D2840" s="42"/>
      <c r="E2840" s="103"/>
      <c r="F2840" s="42"/>
      <c r="G2840" s="9"/>
      <c r="H2840" s="9"/>
      <c r="I2840" s="9"/>
      <c r="J2840" s="9"/>
      <c r="K2840" s="42"/>
      <c r="L2840" s="42"/>
      <c r="M2840" s="42"/>
      <c r="N2840" s="42"/>
      <c r="O2840" s="42"/>
      <c r="P2840" s="9"/>
      <c r="Q2840" s="9"/>
      <c r="R2840" s="42"/>
      <c r="S2840" s="42"/>
      <c r="T2840" s="42"/>
      <c r="U2840" s="42"/>
      <c r="V2840" s="42"/>
      <c r="W2840" s="42"/>
    </row>
    <row r="2841">
      <c r="A2841" s="9"/>
      <c r="B2841" s="9"/>
      <c r="C2841" s="9"/>
      <c r="D2841" s="42"/>
      <c r="E2841" s="103"/>
      <c r="F2841" s="42"/>
      <c r="G2841" s="9"/>
      <c r="H2841" s="9"/>
      <c r="I2841" s="9"/>
      <c r="J2841" s="9"/>
      <c r="K2841" s="42"/>
      <c r="L2841" s="42"/>
      <c r="M2841" s="42"/>
      <c r="N2841" s="42"/>
      <c r="O2841" s="42"/>
      <c r="P2841" s="9"/>
      <c r="Q2841" s="9"/>
      <c r="R2841" s="42"/>
      <c r="S2841" s="42"/>
      <c r="T2841" s="42"/>
      <c r="U2841" s="42"/>
      <c r="V2841" s="42"/>
      <c r="W2841" s="42"/>
    </row>
    <row r="2842">
      <c r="A2842" s="9"/>
      <c r="B2842" s="9"/>
      <c r="C2842" s="9"/>
      <c r="D2842" s="42"/>
      <c r="E2842" s="103"/>
      <c r="F2842" s="42"/>
      <c r="G2842" s="9"/>
      <c r="H2842" s="9"/>
      <c r="I2842" s="9"/>
      <c r="J2842" s="9"/>
      <c r="K2842" s="42"/>
      <c r="L2842" s="42"/>
      <c r="M2842" s="42"/>
      <c r="N2842" s="42"/>
      <c r="O2842" s="42"/>
      <c r="P2842" s="9"/>
      <c r="Q2842" s="9"/>
      <c r="R2842" s="42"/>
      <c r="S2842" s="42"/>
      <c r="T2842" s="42"/>
      <c r="U2842" s="42"/>
      <c r="V2842" s="42"/>
      <c r="W2842" s="42"/>
    </row>
    <row r="2843">
      <c r="A2843" s="9"/>
      <c r="B2843" s="9"/>
      <c r="C2843" s="9"/>
      <c r="D2843" s="42"/>
      <c r="E2843" s="103"/>
      <c r="F2843" s="42"/>
      <c r="G2843" s="9"/>
      <c r="H2843" s="9"/>
      <c r="I2843" s="9"/>
      <c r="J2843" s="9"/>
      <c r="K2843" s="42"/>
      <c r="L2843" s="42"/>
      <c r="M2843" s="42"/>
      <c r="N2843" s="42"/>
      <c r="O2843" s="42"/>
      <c r="P2843" s="9"/>
      <c r="Q2843" s="9"/>
      <c r="R2843" s="42"/>
      <c r="S2843" s="42"/>
      <c r="T2843" s="42"/>
      <c r="U2843" s="42"/>
      <c r="V2843" s="42"/>
      <c r="W2843" s="42"/>
    </row>
    <row r="2844">
      <c r="A2844" s="9"/>
      <c r="B2844" s="9"/>
      <c r="C2844" s="9"/>
      <c r="D2844" s="42"/>
      <c r="E2844" s="103"/>
      <c r="F2844" s="42"/>
      <c r="G2844" s="9"/>
      <c r="H2844" s="9"/>
      <c r="I2844" s="9"/>
      <c r="J2844" s="9"/>
      <c r="K2844" s="42"/>
      <c r="L2844" s="42"/>
      <c r="M2844" s="42"/>
      <c r="N2844" s="42"/>
      <c r="O2844" s="42"/>
      <c r="P2844" s="9"/>
      <c r="Q2844" s="9"/>
      <c r="R2844" s="42"/>
      <c r="S2844" s="42"/>
      <c r="T2844" s="42"/>
      <c r="U2844" s="42"/>
      <c r="V2844" s="42"/>
      <c r="W2844" s="42"/>
    </row>
    <row r="2845">
      <c r="A2845" s="9"/>
      <c r="B2845" s="9"/>
      <c r="C2845" s="9"/>
      <c r="D2845" s="42"/>
      <c r="E2845" s="103"/>
      <c r="F2845" s="42"/>
      <c r="G2845" s="9"/>
      <c r="H2845" s="9"/>
      <c r="I2845" s="9"/>
      <c r="J2845" s="9"/>
      <c r="K2845" s="42"/>
      <c r="L2845" s="42"/>
      <c r="M2845" s="42"/>
      <c r="N2845" s="42"/>
      <c r="O2845" s="42"/>
      <c r="P2845" s="9"/>
      <c r="Q2845" s="9"/>
      <c r="R2845" s="42"/>
      <c r="S2845" s="42"/>
      <c r="T2845" s="42"/>
      <c r="U2845" s="42"/>
      <c r="V2845" s="42"/>
      <c r="W2845" s="42"/>
    </row>
    <row r="2846">
      <c r="A2846" s="9"/>
      <c r="B2846" s="9"/>
      <c r="C2846" s="9"/>
      <c r="D2846" s="42"/>
      <c r="E2846" s="103"/>
      <c r="F2846" s="42"/>
      <c r="G2846" s="9"/>
      <c r="H2846" s="9"/>
      <c r="I2846" s="9"/>
      <c r="J2846" s="9"/>
      <c r="K2846" s="42"/>
      <c r="L2846" s="42"/>
      <c r="M2846" s="42"/>
      <c r="N2846" s="42"/>
      <c r="O2846" s="42"/>
      <c r="P2846" s="9"/>
      <c r="Q2846" s="9"/>
      <c r="R2846" s="42"/>
      <c r="S2846" s="42"/>
      <c r="T2846" s="42"/>
      <c r="U2846" s="42"/>
      <c r="V2846" s="42"/>
      <c r="W2846" s="42"/>
    </row>
    <row r="2847">
      <c r="A2847" s="9"/>
      <c r="B2847" s="9"/>
      <c r="C2847" s="9"/>
      <c r="D2847" s="42"/>
      <c r="E2847" s="103"/>
      <c r="F2847" s="42"/>
      <c r="G2847" s="9"/>
      <c r="H2847" s="9"/>
      <c r="I2847" s="9"/>
      <c r="J2847" s="9"/>
      <c r="K2847" s="42"/>
      <c r="L2847" s="42"/>
      <c r="M2847" s="42"/>
      <c r="N2847" s="42"/>
      <c r="O2847" s="42"/>
      <c r="P2847" s="9"/>
      <c r="Q2847" s="9"/>
      <c r="R2847" s="42"/>
      <c r="S2847" s="42"/>
      <c r="T2847" s="42"/>
      <c r="U2847" s="42"/>
      <c r="V2847" s="42"/>
      <c r="W2847" s="42"/>
    </row>
    <row r="2848">
      <c r="A2848" s="9"/>
      <c r="B2848" s="9"/>
      <c r="C2848" s="9"/>
      <c r="D2848" s="42"/>
      <c r="E2848" s="103"/>
      <c r="F2848" s="42"/>
      <c r="G2848" s="9"/>
      <c r="H2848" s="9"/>
      <c r="I2848" s="9"/>
      <c r="J2848" s="9"/>
      <c r="K2848" s="42"/>
      <c r="L2848" s="42"/>
      <c r="M2848" s="42"/>
      <c r="N2848" s="42"/>
      <c r="O2848" s="42"/>
      <c r="P2848" s="9"/>
      <c r="Q2848" s="9"/>
      <c r="R2848" s="42"/>
      <c r="S2848" s="42"/>
      <c r="T2848" s="42"/>
      <c r="U2848" s="42"/>
      <c r="V2848" s="42"/>
      <c r="W2848" s="42"/>
    </row>
    <row r="2849">
      <c r="A2849" s="9"/>
      <c r="B2849" s="9"/>
      <c r="C2849" s="9"/>
      <c r="D2849" s="42"/>
      <c r="E2849" s="103"/>
      <c r="F2849" s="42"/>
      <c r="G2849" s="9"/>
      <c r="H2849" s="9"/>
      <c r="I2849" s="9"/>
      <c r="J2849" s="9"/>
      <c r="K2849" s="42"/>
      <c r="L2849" s="42"/>
      <c r="M2849" s="42"/>
      <c r="N2849" s="42"/>
      <c r="O2849" s="42"/>
      <c r="P2849" s="9"/>
      <c r="Q2849" s="9"/>
      <c r="R2849" s="42"/>
      <c r="S2849" s="42"/>
      <c r="T2849" s="42"/>
      <c r="U2849" s="42"/>
      <c r="V2849" s="42"/>
      <c r="W2849" s="42"/>
    </row>
    <row r="2850">
      <c r="A2850" s="9"/>
      <c r="B2850" s="9"/>
      <c r="C2850" s="9"/>
      <c r="D2850" s="42"/>
      <c r="E2850" s="103"/>
      <c r="F2850" s="42"/>
      <c r="G2850" s="9"/>
      <c r="H2850" s="9"/>
      <c r="I2850" s="9"/>
      <c r="J2850" s="9"/>
      <c r="K2850" s="42"/>
      <c r="L2850" s="42"/>
      <c r="M2850" s="42"/>
      <c r="N2850" s="42"/>
      <c r="O2850" s="42"/>
      <c r="P2850" s="9"/>
      <c r="Q2850" s="9"/>
      <c r="R2850" s="42"/>
      <c r="S2850" s="42"/>
      <c r="T2850" s="42"/>
      <c r="U2850" s="42"/>
      <c r="V2850" s="42"/>
      <c r="W2850" s="42"/>
    </row>
    <row r="2851">
      <c r="A2851" s="9"/>
      <c r="B2851" s="9"/>
      <c r="C2851" s="9"/>
      <c r="D2851" s="42"/>
      <c r="E2851" s="103"/>
      <c r="F2851" s="42"/>
      <c r="G2851" s="9"/>
      <c r="H2851" s="9"/>
      <c r="I2851" s="9"/>
      <c r="J2851" s="9"/>
      <c r="K2851" s="42"/>
      <c r="L2851" s="42"/>
      <c r="M2851" s="42"/>
      <c r="N2851" s="42"/>
      <c r="O2851" s="42"/>
      <c r="P2851" s="9"/>
      <c r="Q2851" s="9"/>
      <c r="R2851" s="42"/>
      <c r="S2851" s="42"/>
      <c r="T2851" s="42"/>
      <c r="U2851" s="42"/>
      <c r="V2851" s="42"/>
      <c r="W2851" s="42"/>
    </row>
    <row r="2852">
      <c r="A2852" s="9"/>
      <c r="B2852" s="9"/>
      <c r="C2852" s="9"/>
      <c r="D2852" s="42"/>
      <c r="E2852" s="103"/>
      <c r="F2852" s="42"/>
      <c r="G2852" s="9"/>
      <c r="H2852" s="9"/>
      <c r="I2852" s="9"/>
      <c r="J2852" s="9"/>
      <c r="K2852" s="42"/>
      <c r="L2852" s="42"/>
      <c r="M2852" s="42"/>
      <c r="N2852" s="42"/>
      <c r="O2852" s="42"/>
      <c r="P2852" s="9"/>
      <c r="Q2852" s="9"/>
      <c r="R2852" s="42"/>
      <c r="S2852" s="42"/>
      <c r="T2852" s="42"/>
      <c r="U2852" s="42"/>
      <c r="V2852" s="42"/>
      <c r="W2852" s="42"/>
    </row>
    <row r="2853">
      <c r="A2853" s="9"/>
      <c r="B2853" s="9"/>
      <c r="C2853" s="9"/>
      <c r="D2853" s="42"/>
      <c r="E2853" s="103"/>
      <c r="F2853" s="42"/>
      <c r="G2853" s="9"/>
      <c r="H2853" s="9"/>
      <c r="I2853" s="9"/>
      <c r="J2853" s="9"/>
      <c r="K2853" s="42"/>
      <c r="L2853" s="42"/>
      <c r="M2853" s="42"/>
      <c r="N2853" s="42"/>
      <c r="O2853" s="42"/>
      <c r="P2853" s="9"/>
      <c r="Q2853" s="9"/>
      <c r="R2853" s="42"/>
      <c r="S2853" s="42"/>
      <c r="T2853" s="42"/>
      <c r="U2853" s="42"/>
      <c r="V2853" s="42"/>
      <c r="W2853" s="42"/>
    </row>
    <row r="2854">
      <c r="A2854" s="9"/>
      <c r="B2854" s="9"/>
      <c r="C2854" s="9"/>
      <c r="D2854" s="42"/>
      <c r="E2854" s="103"/>
      <c r="F2854" s="42"/>
      <c r="G2854" s="9"/>
      <c r="H2854" s="9"/>
      <c r="I2854" s="9"/>
      <c r="J2854" s="9"/>
      <c r="K2854" s="42"/>
      <c r="L2854" s="42"/>
      <c r="M2854" s="42"/>
      <c r="N2854" s="42"/>
      <c r="O2854" s="42"/>
      <c r="P2854" s="9"/>
      <c r="Q2854" s="9"/>
      <c r="R2854" s="42"/>
      <c r="S2854" s="42"/>
      <c r="T2854" s="42"/>
      <c r="U2854" s="42"/>
      <c r="V2854" s="42"/>
      <c r="W2854" s="42"/>
    </row>
    <row r="2855">
      <c r="A2855" s="9"/>
      <c r="B2855" s="9"/>
      <c r="C2855" s="9"/>
      <c r="D2855" s="42"/>
      <c r="E2855" s="103"/>
      <c r="F2855" s="42"/>
      <c r="G2855" s="9"/>
      <c r="H2855" s="9"/>
      <c r="I2855" s="9"/>
      <c r="J2855" s="9"/>
      <c r="K2855" s="42"/>
      <c r="L2855" s="42"/>
      <c r="M2855" s="42"/>
      <c r="N2855" s="42"/>
      <c r="O2855" s="42"/>
      <c r="P2855" s="9"/>
      <c r="Q2855" s="9"/>
      <c r="R2855" s="42"/>
      <c r="S2855" s="42"/>
      <c r="T2855" s="42"/>
      <c r="U2855" s="42"/>
      <c r="V2855" s="42"/>
      <c r="W2855" s="42"/>
    </row>
    <row r="2856">
      <c r="A2856" s="9"/>
      <c r="B2856" s="9"/>
      <c r="C2856" s="9"/>
      <c r="D2856" s="42"/>
      <c r="E2856" s="103"/>
      <c r="F2856" s="42"/>
      <c r="G2856" s="9"/>
      <c r="H2856" s="9"/>
      <c r="I2856" s="9"/>
      <c r="J2856" s="9"/>
      <c r="K2856" s="42"/>
      <c r="L2856" s="42"/>
      <c r="M2856" s="42"/>
      <c r="N2856" s="42"/>
      <c r="O2856" s="42"/>
      <c r="P2856" s="9"/>
      <c r="Q2856" s="9"/>
      <c r="R2856" s="42"/>
      <c r="S2856" s="42"/>
      <c r="T2856" s="42"/>
      <c r="U2856" s="42"/>
      <c r="V2856" s="42"/>
      <c r="W2856" s="42"/>
    </row>
    <row r="2857">
      <c r="A2857" s="9"/>
      <c r="B2857" s="9"/>
      <c r="C2857" s="9"/>
      <c r="D2857" s="42"/>
      <c r="E2857" s="103"/>
      <c r="F2857" s="42"/>
      <c r="G2857" s="9"/>
      <c r="H2857" s="9"/>
      <c r="I2857" s="9"/>
      <c r="J2857" s="9"/>
      <c r="K2857" s="42"/>
      <c r="L2857" s="42"/>
      <c r="M2857" s="42"/>
      <c r="N2857" s="42"/>
      <c r="O2857" s="42"/>
      <c r="P2857" s="9"/>
      <c r="Q2857" s="9"/>
      <c r="R2857" s="42"/>
      <c r="S2857" s="42"/>
      <c r="T2857" s="42"/>
      <c r="U2857" s="42"/>
      <c r="V2857" s="42"/>
      <c r="W2857" s="42"/>
    </row>
    <row r="2858">
      <c r="A2858" s="9"/>
      <c r="B2858" s="9"/>
      <c r="C2858" s="9"/>
      <c r="D2858" s="42"/>
      <c r="E2858" s="103"/>
      <c r="F2858" s="42"/>
      <c r="G2858" s="9"/>
      <c r="H2858" s="9"/>
      <c r="I2858" s="9"/>
      <c r="J2858" s="9"/>
      <c r="K2858" s="42"/>
      <c r="L2858" s="42"/>
      <c r="M2858" s="42"/>
      <c r="N2858" s="42"/>
      <c r="O2858" s="42"/>
      <c r="P2858" s="9"/>
      <c r="Q2858" s="9"/>
      <c r="R2858" s="42"/>
      <c r="S2858" s="42"/>
      <c r="T2858" s="42"/>
      <c r="U2858" s="42"/>
      <c r="V2858" s="42"/>
      <c r="W2858" s="42"/>
    </row>
    <row r="2859">
      <c r="A2859" s="9"/>
      <c r="B2859" s="9"/>
      <c r="C2859" s="9"/>
      <c r="D2859" s="42"/>
      <c r="E2859" s="103"/>
      <c r="F2859" s="42"/>
      <c r="G2859" s="9"/>
      <c r="H2859" s="9"/>
      <c r="I2859" s="9"/>
      <c r="J2859" s="9"/>
      <c r="K2859" s="42"/>
      <c r="L2859" s="42"/>
      <c r="M2859" s="42"/>
      <c r="N2859" s="42"/>
      <c r="O2859" s="42"/>
      <c r="P2859" s="9"/>
      <c r="Q2859" s="9"/>
      <c r="R2859" s="42"/>
      <c r="S2859" s="42"/>
      <c r="T2859" s="42"/>
      <c r="U2859" s="42"/>
      <c r="V2859" s="42"/>
      <c r="W2859" s="42"/>
    </row>
    <row r="2860">
      <c r="A2860" s="9"/>
      <c r="B2860" s="9"/>
      <c r="C2860" s="9"/>
      <c r="D2860" s="42"/>
      <c r="E2860" s="103"/>
      <c r="F2860" s="42"/>
      <c r="G2860" s="9"/>
      <c r="H2860" s="9"/>
      <c r="I2860" s="9"/>
      <c r="J2860" s="9"/>
      <c r="K2860" s="42"/>
      <c r="L2860" s="42"/>
      <c r="M2860" s="42"/>
      <c r="N2860" s="42"/>
      <c r="O2860" s="42"/>
      <c r="P2860" s="9"/>
      <c r="Q2860" s="9"/>
      <c r="R2860" s="42"/>
      <c r="S2860" s="42"/>
      <c r="T2860" s="42"/>
      <c r="U2860" s="42"/>
      <c r="V2860" s="42"/>
      <c r="W2860" s="42"/>
    </row>
    <row r="2861">
      <c r="A2861" s="9"/>
      <c r="B2861" s="9"/>
      <c r="C2861" s="9"/>
      <c r="D2861" s="42"/>
      <c r="E2861" s="103"/>
      <c r="F2861" s="42"/>
      <c r="G2861" s="9"/>
      <c r="H2861" s="9"/>
      <c r="I2861" s="9"/>
      <c r="J2861" s="9"/>
      <c r="K2861" s="42"/>
      <c r="L2861" s="42"/>
      <c r="M2861" s="42"/>
      <c r="N2861" s="42"/>
      <c r="O2861" s="42"/>
      <c r="P2861" s="9"/>
      <c r="Q2861" s="9"/>
      <c r="R2861" s="42"/>
      <c r="S2861" s="42"/>
      <c r="T2861" s="42"/>
      <c r="U2861" s="42"/>
      <c r="V2861" s="42"/>
      <c r="W2861" s="42"/>
    </row>
    <row r="2862">
      <c r="A2862" s="9"/>
      <c r="B2862" s="9"/>
      <c r="C2862" s="9"/>
      <c r="D2862" s="42"/>
      <c r="E2862" s="103"/>
      <c r="F2862" s="42"/>
      <c r="G2862" s="9"/>
      <c r="H2862" s="9"/>
      <c r="I2862" s="9"/>
      <c r="J2862" s="9"/>
      <c r="K2862" s="42"/>
      <c r="L2862" s="42"/>
      <c r="M2862" s="42"/>
      <c r="N2862" s="42"/>
      <c r="O2862" s="42"/>
      <c r="P2862" s="9"/>
      <c r="Q2862" s="9"/>
      <c r="R2862" s="42"/>
      <c r="S2862" s="42"/>
      <c r="T2862" s="42"/>
      <c r="U2862" s="42"/>
      <c r="V2862" s="42"/>
      <c r="W2862" s="42"/>
    </row>
    <row r="2863">
      <c r="A2863" s="9"/>
      <c r="B2863" s="9"/>
      <c r="C2863" s="9"/>
      <c r="D2863" s="42"/>
      <c r="E2863" s="103"/>
      <c r="F2863" s="42"/>
      <c r="G2863" s="9"/>
      <c r="H2863" s="9"/>
      <c r="I2863" s="9"/>
      <c r="J2863" s="9"/>
      <c r="K2863" s="42"/>
      <c r="L2863" s="42"/>
      <c r="M2863" s="42"/>
      <c r="N2863" s="42"/>
      <c r="O2863" s="42"/>
      <c r="P2863" s="9"/>
      <c r="Q2863" s="9"/>
      <c r="R2863" s="42"/>
      <c r="S2863" s="42"/>
      <c r="T2863" s="42"/>
      <c r="U2863" s="42"/>
      <c r="V2863" s="42"/>
      <c r="W2863" s="42"/>
    </row>
    <row r="2864">
      <c r="A2864" s="9"/>
      <c r="B2864" s="9"/>
      <c r="C2864" s="9"/>
      <c r="D2864" s="42"/>
      <c r="E2864" s="103"/>
      <c r="F2864" s="42"/>
      <c r="G2864" s="9"/>
      <c r="H2864" s="9"/>
      <c r="I2864" s="9"/>
      <c r="J2864" s="9"/>
      <c r="K2864" s="42"/>
      <c r="L2864" s="42"/>
      <c r="M2864" s="42"/>
      <c r="N2864" s="42"/>
      <c r="O2864" s="42"/>
      <c r="P2864" s="9"/>
      <c r="Q2864" s="9"/>
      <c r="R2864" s="42"/>
      <c r="S2864" s="42"/>
      <c r="T2864" s="42"/>
      <c r="U2864" s="42"/>
      <c r="V2864" s="42"/>
      <c r="W2864" s="42"/>
    </row>
    <row r="2865">
      <c r="A2865" s="9"/>
      <c r="B2865" s="9"/>
      <c r="C2865" s="9"/>
      <c r="D2865" s="42"/>
      <c r="E2865" s="103"/>
      <c r="F2865" s="42"/>
      <c r="G2865" s="9"/>
      <c r="H2865" s="9"/>
      <c r="I2865" s="9"/>
      <c r="J2865" s="9"/>
      <c r="K2865" s="42"/>
      <c r="L2865" s="42"/>
      <c r="M2865" s="42"/>
      <c r="N2865" s="42"/>
      <c r="O2865" s="42"/>
      <c r="P2865" s="9"/>
      <c r="Q2865" s="9"/>
      <c r="R2865" s="42"/>
      <c r="S2865" s="42"/>
      <c r="T2865" s="42"/>
      <c r="U2865" s="42"/>
      <c r="V2865" s="42"/>
      <c r="W2865" s="42"/>
    </row>
    <row r="2866">
      <c r="A2866" s="9"/>
      <c r="B2866" s="9"/>
      <c r="C2866" s="9"/>
      <c r="D2866" s="42"/>
      <c r="E2866" s="103"/>
      <c r="F2866" s="42"/>
      <c r="G2866" s="9"/>
      <c r="H2866" s="9"/>
      <c r="I2866" s="9"/>
      <c r="J2866" s="9"/>
      <c r="K2866" s="42"/>
      <c r="L2866" s="42"/>
      <c r="M2866" s="42"/>
      <c r="N2866" s="42"/>
      <c r="O2866" s="42"/>
      <c r="P2866" s="9"/>
      <c r="Q2866" s="9"/>
      <c r="R2866" s="42"/>
      <c r="S2866" s="42"/>
      <c r="T2866" s="42"/>
      <c r="U2866" s="42"/>
      <c r="V2866" s="42"/>
      <c r="W2866" s="42"/>
    </row>
    <row r="2867">
      <c r="A2867" s="9"/>
      <c r="B2867" s="9"/>
      <c r="C2867" s="9"/>
      <c r="D2867" s="42"/>
      <c r="E2867" s="103"/>
      <c r="F2867" s="42"/>
      <c r="G2867" s="9"/>
      <c r="H2867" s="9"/>
      <c r="I2867" s="9"/>
      <c r="J2867" s="9"/>
      <c r="K2867" s="42"/>
      <c r="L2867" s="42"/>
      <c r="M2867" s="42"/>
      <c r="N2867" s="42"/>
      <c r="O2867" s="42"/>
      <c r="P2867" s="9"/>
      <c r="Q2867" s="9"/>
      <c r="R2867" s="42"/>
      <c r="S2867" s="42"/>
      <c r="T2867" s="42"/>
      <c r="U2867" s="42"/>
      <c r="V2867" s="42"/>
      <c r="W2867" s="42"/>
    </row>
    <row r="2868">
      <c r="A2868" s="9"/>
      <c r="B2868" s="9"/>
      <c r="C2868" s="9"/>
      <c r="D2868" s="42"/>
      <c r="E2868" s="103"/>
      <c r="F2868" s="42"/>
      <c r="G2868" s="9"/>
      <c r="H2868" s="9"/>
      <c r="I2868" s="9"/>
      <c r="J2868" s="9"/>
      <c r="K2868" s="42"/>
      <c r="L2868" s="42"/>
      <c r="M2868" s="42"/>
      <c r="N2868" s="42"/>
      <c r="O2868" s="42"/>
      <c r="P2868" s="9"/>
      <c r="Q2868" s="9"/>
      <c r="R2868" s="42"/>
      <c r="S2868" s="42"/>
      <c r="T2868" s="42"/>
      <c r="U2868" s="42"/>
      <c r="V2868" s="42"/>
      <c r="W2868" s="42"/>
    </row>
    <row r="2869">
      <c r="A2869" s="9"/>
      <c r="B2869" s="9"/>
      <c r="C2869" s="9"/>
      <c r="D2869" s="42"/>
      <c r="E2869" s="103"/>
      <c r="F2869" s="42"/>
      <c r="G2869" s="9"/>
      <c r="H2869" s="9"/>
      <c r="I2869" s="9"/>
      <c r="J2869" s="9"/>
      <c r="K2869" s="42"/>
      <c r="L2869" s="42"/>
      <c r="M2869" s="42"/>
      <c r="N2869" s="42"/>
      <c r="O2869" s="42"/>
      <c r="P2869" s="9"/>
      <c r="Q2869" s="9"/>
      <c r="R2869" s="42"/>
      <c r="S2869" s="42"/>
      <c r="T2869" s="42"/>
      <c r="U2869" s="42"/>
      <c r="V2869" s="42"/>
      <c r="W2869" s="42"/>
    </row>
    <row r="2870">
      <c r="A2870" s="9"/>
      <c r="B2870" s="9"/>
      <c r="C2870" s="9"/>
      <c r="D2870" s="42"/>
      <c r="E2870" s="103"/>
      <c r="F2870" s="42"/>
      <c r="G2870" s="9"/>
      <c r="H2870" s="9"/>
      <c r="I2870" s="9"/>
      <c r="J2870" s="9"/>
      <c r="K2870" s="42"/>
      <c r="L2870" s="42"/>
      <c r="M2870" s="42"/>
      <c r="N2870" s="42"/>
      <c r="O2870" s="42"/>
      <c r="P2870" s="9"/>
      <c r="Q2870" s="9"/>
      <c r="R2870" s="42"/>
      <c r="S2870" s="42"/>
      <c r="T2870" s="42"/>
      <c r="U2870" s="42"/>
      <c r="V2870" s="42"/>
      <c r="W2870" s="42"/>
    </row>
    <row r="2871">
      <c r="A2871" s="9"/>
      <c r="B2871" s="9"/>
      <c r="C2871" s="9"/>
      <c r="D2871" s="42"/>
      <c r="E2871" s="103"/>
      <c r="F2871" s="42"/>
      <c r="G2871" s="9"/>
      <c r="H2871" s="9"/>
      <c r="I2871" s="9"/>
      <c r="J2871" s="9"/>
      <c r="K2871" s="42"/>
      <c r="L2871" s="42"/>
      <c r="M2871" s="42"/>
      <c r="N2871" s="42"/>
      <c r="O2871" s="42"/>
      <c r="P2871" s="9"/>
      <c r="Q2871" s="9"/>
      <c r="R2871" s="42"/>
      <c r="S2871" s="42"/>
      <c r="T2871" s="42"/>
      <c r="U2871" s="42"/>
      <c r="V2871" s="42"/>
      <c r="W2871" s="42"/>
    </row>
    <row r="2872">
      <c r="A2872" s="9"/>
      <c r="B2872" s="9"/>
      <c r="C2872" s="9"/>
      <c r="D2872" s="42"/>
      <c r="E2872" s="103"/>
      <c r="F2872" s="42"/>
      <c r="G2872" s="9"/>
      <c r="H2872" s="9"/>
      <c r="I2872" s="9"/>
      <c r="J2872" s="9"/>
      <c r="K2872" s="42"/>
      <c r="L2872" s="42"/>
      <c r="M2872" s="42"/>
      <c r="N2872" s="42"/>
      <c r="O2872" s="42"/>
      <c r="P2872" s="9"/>
      <c r="Q2872" s="9"/>
      <c r="R2872" s="42"/>
      <c r="S2872" s="42"/>
      <c r="T2872" s="42"/>
      <c r="U2872" s="42"/>
      <c r="V2872" s="42"/>
      <c r="W2872" s="42"/>
    </row>
    <row r="2873">
      <c r="A2873" s="9"/>
      <c r="B2873" s="9"/>
      <c r="C2873" s="9"/>
      <c r="D2873" s="42"/>
      <c r="E2873" s="103"/>
      <c r="F2873" s="42"/>
      <c r="G2873" s="9"/>
      <c r="H2873" s="9"/>
      <c r="I2873" s="9"/>
      <c r="J2873" s="9"/>
      <c r="K2873" s="42"/>
      <c r="L2873" s="42"/>
      <c r="M2873" s="42"/>
      <c r="N2873" s="42"/>
      <c r="O2873" s="42"/>
      <c r="P2873" s="9"/>
      <c r="Q2873" s="9"/>
      <c r="R2873" s="42"/>
      <c r="S2873" s="42"/>
      <c r="T2873" s="42"/>
      <c r="U2873" s="42"/>
      <c r="V2873" s="42"/>
      <c r="W2873" s="42"/>
    </row>
    <row r="2874">
      <c r="A2874" s="9"/>
      <c r="B2874" s="9"/>
      <c r="C2874" s="9"/>
      <c r="D2874" s="42"/>
      <c r="E2874" s="103"/>
      <c r="F2874" s="42"/>
      <c r="G2874" s="9"/>
      <c r="H2874" s="9"/>
      <c r="I2874" s="9"/>
      <c r="J2874" s="9"/>
      <c r="K2874" s="42"/>
      <c r="L2874" s="42"/>
      <c r="M2874" s="42"/>
      <c r="N2874" s="42"/>
      <c r="O2874" s="42"/>
      <c r="P2874" s="9"/>
      <c r="Q2874" s="9"/>
      <c r="R2874" s="42"/>
      <c r="S2874" s="42"/>
      <c r="T2874" s="42"/>
      <c r="U2874" s="42"/>
      <c r="V2874" s="42"/>
      <c r="W2874" s="42"/>
    </row>
    <row r="2875">
      <c r="A2875" s="9"/>
      <c r="B2875" s="9"/>
      <c r="C2875" s="9"/>
      <c r="D2875" s="42"/>
      <c r="E2875" s="103"/>
      <c r="F2875" s="42"/>
      <c r="G2875" s="9"/>
      <c r="H2875" s="9"/>
      <c r="I2875" s="9"/>
      <c r="J2875" s="9"/>
      <c r="K2875" s="42"/>
      <c r="L2875" s="42"/>
      <c r="M2875" s="42"/>
      <c r="N2875" s="42"/>
      <c r="O2875" s="42"/>
      <c r="P2875" s="9"/>
      <c r="Q2875" s="9"/>
      <c r="R2875" s="42"/>
      <c r="S2875" s="42"/>
      <c r="T2875" s="42"/>
      <c r="U2875" s="42"/>
      <c r="V2875" s="42"/>
      <c r="W2875" s="42"/>
    </row>
    <row r="2876">
      <c r="A2876" s="9"/>
      <c r="B2876" s="9"/>
      <c r="C2876" s="9"/>
      <c r="D2876" s="42"/>
      <c r="E2876" s="103"/>
      <c r="F2876" s="42"/>
      <c r="G2876" s="9"/>
      <c r="H2876" s="9"/>
      <c r="I2876" s="9"/>
      <c r="J2876" s="9"/>
      <c r="K2876" s="42"/>
      <c r="L2876" s="42"/>
      <c r="M2876" s="42"/>
      <c r="N2876" s="42"/>
      <c r="O2876" s="42"/>
      <c r="P2876" s="9"/>
      <c r="Q2876" s="9"/>
      <c r="R2876" s="42"/>
      <c r="S2876" s="42"/>
      <c r="T2876" s="42"/>
      <c r="U2876" s="42"/>
      <c r="V2876" s="42"/>
      <c r="W2876" s="42"/>
    </row>
    <row r="2877">
      <c r="A2877" s="9"/>
      <c r="B2877" s="9"/>
      <c r="C2877" s="9"/>
      <c r="D2877" s="42"/>
      <c r="E2877" s="103"/>
      <c r="F2877" s="42"/>
      <c r="G2877" s="9"/>
      <c r="H2877" s="9"/>
      <c r="I2877" s="9"/>
      <c r="J2877" s="9"/>
      <c r="K2877" s="42"/>
      <c r="L2877" s="42"/>
      <c r="M2877" s="42"/>
      <c r="N2877" s="42"/>
      <c r="O2877" s="42"/>
      <c r="P2877" s="9"/>
      <c r="Q2877" s="9"/>
      <c r="R2877" s="42"/>
      <c r="S2877" s="42"/>
      <c r="T2877" s="42"/>
      <c r="U2877" s="42"/>
      <c r="V2877" s="42"/>
      <c r="W2877" s="42"/>
    </row>
    <row r="2878">
      <c r="A2878" s="9"/>
      <c r="B2878" s="9"/>
      <c r="C2878" s="9"/>
      <c r="D2878" s="42"/>
      <c r="E2878" s="103"/>
      <c r="F2878" s="42"/>
      <c r="G2878" s="9"/>
      <c r="H2878" s="9"/>
      <c r="I2878" s="9"/>
      <c r="J2878" s="9"/>
      <c r="K2878" s="42"/>
      <c r="L2878" s="42"/>
      <c r="M2878" s="42"/>
      <c r="N2878" s="42"/>
      <c r="O2878" s="42"/>
      <c r="P2878" s="9"/>
      <c r="Q2878" s="9"/>
      <c r="R2878" s="42"/>
      <c r="S2878" s="42"/>
      <c r="T2878" s="42"/>
      <c r="U2878" s="42"/>
      <c r="V2878" s="42"/>
      <c r="W2878" s="42"/>
    </row>
    <row r="2879">
      <c r="A2879" s="9"/>
      <c r="B2879" s="9"/>
      <c r="C2879" s="9"/>
      <c r="D2879" s="42"/>
      <c r="E2879" s="103"/>
      <c r="F2879" s="42"/>
      <c r="G2879" s="9"/>
      <c r="H2879" s="9"/>
      <c r="I2879" s="9"/>
      <c r="J2879" s="9"/>
      <c r="K2879" s="42"/>
      <c r="L2879" s="42"/>
      <c r="M2879" s="42"/>
      <c r="N2879" s="42"/>
      <c r="O2879" s="42"/>
      <c r="P2879" s="9"/>
      <c r="Q2879" s="9"/>
      <c r="R2879" s="42"/>
      <c r="S2879" s="42"/>
      <c r="T2879" s="42"/>
      <c r="U2879" s="42"/>
      <c r="V2879" s="42"/>
      <c r="W2879" s="42"/>
    </row>
    <row r="2880">
      <c r="A2880" s="9"/>
      <c r="B2880" s="9"/>
      <c r="C2880" s="9"/>
      <c r="D2880" s="42"/>
      <c r="E2880" s="103"/>
      <c r="F2880" s="42"/>
      <c r="G2880" s="9"/>
      <c r="H2880" s="9"/>
      <c r="I2880" s="9"/>
      <c r="J2880" s="9"/>
      <c r="K2880" s="42"/>
      <c r="L2880" s="42"/>
      <c r="M2880" s="42"/>
      <c r="N2880" s="42"/>
      <c r="O2880" s="42"/>
      <c r="P2880" s="9"/>
      <c r="Q2880" s="9"/>
      <c r="R2880" s="42"/>
      <c r="S2880" s="42"/>
      <c r="T2880" s="42"/>
      <c r="U2880" s="42"/>
      <c r="V2880" s="42"/>
      <c r="W2880" s="42"/>
    </row>
    <row r="2881">
      <c r="A2881" s="9"/>
      <c r="B2881" s="9"/>
      <c r="C2881" s="9"/>
      <c r="D2881" s="42"/>
      <c r="E2881" s="103"/>
      <c r="F2881" s="42"/>
      <c r="G2881" s="9"/>
      <c r="H2881" s="9"/>
      <c r="I2881" s="9"/>
      <c r="J2881" s="9"/>
      <c r="K2881" s="42"/>
      <c r="L2881" s="42"/>
      <c r="M2881" s="42"/>
      <c r="N2881" s="42"/>
      <c r="O2881" s="42"/>
      <c r="P2881" s="9"/>
      <c r="Q2881" s="9"/>
      <c r="R2881" s="42"/>
      <c r="S2881" s="42"/>
      <c r="T2881" s="42"/>
      <c r="U2881" s="42"/>
      <c r="V2881" s="42"/>
      <c r="W2881" s="42"/>
    </row>
    <row r="2882">
      <c r="A2882" s="9"/>
      <c r="B2882" s="9"/>
      <c r="C2882" s="9"/>
      <c r="D2882" s="42"/>
      <c r="E2882" s="103"/>
      <c r="F2882" s="42"/>
      <c r="G2882" s="9"/>
      <c r="H2882" s="9"/>
      <c r="I2882" s="9"/>
      <c r="J2882" s="9"/>
      <c r="K2882" s="42"/>
      <c r="L2882" s="42"/>
      <c r="M2882" s="42"/>
      <c r="N2882" s="42"/>
      <c r="O2882" s="42"/>
      <c r="P2882" s="9"/>
      <c r="Q2882" s="9"/>
      <c r="R2882" s="42"/>
      <c r="S2882" s="42"/>
      <c r="T2882" s="42"/>
      <c r="U2882" s="42"/>
      <c r="V2882" s="42"/>
      <c r="W2882" s="42"/>
    </row>
    <row r="2883">
      <c r="A2883" s="9"/>
      <c r="B2883" s="9"/>
      <c r="C2883" s="9"/>
      <c r="D2883" s="42"/>
      <c r="E2883" s="103"/>
      <c r="F2883" s="42"/>
      <c r="G2883" s="9"/>
      <c r="H2883" s="9"/>
      <c r="I2883" s="9"/>
      <c r="J2883" s="9"/>
      <c r="K2883" s="42"/>
      <c r="L2883" s="42"/>
      <c r="M2883" s="42"/>
      <c r="N2883" s="42"/>
      <c r="O2883" s="42"/>
      <c r="P2883" s="9"/>
      <c r="Q2883" s="9"/>
      <c r="R2883" s="42"/>
      <c r="S2883" s="42"/>
      <c r="T2883" s="42"/>
      <c r="U2883" s="42"/>
      <c r="V2883" s="42"/>
      <c r="W2883" s="42"/>
    </row>
    <row r="2884">
      <c r="A2884" s="9"/>
      <c r="B2884" s="9"/>
      <c r="C2884" s="9"/>
      <c r="D2884" s="42"/>
      <c r="E2884" s="103"/>
      <c r="F2884" s="42"/>
      <c r="G2884" s="9"/>
      <c r="H2884" s="9"/>
      <c r="I2884" s="9"/>
      <c r="J2884" s="9"/>
      <c r="K2884" s="42"/>
      <c r="L2884" s="42"/>
      <c r="M2884" s="42"/>
      <c r="N2884" s="42"/>
      <c r="O2884" s="42"/>
      <c r="P2884" s="9"/>
      <c r="Q2884" s="9"/>
      <c r="R2884" s="42"/>
      <c r="S2884" s="42"/>
      <c r="T2884" s="42"/>
      <c r="U2884" s="42"/>
      <c r="V2884" s="42"/>
      <c r="W2884" s="42"/>
    </row>
    <row r="2885">
      <c r="A2885" s="9"/>
      <c r="B2885" s="9"/>
      <c r="C2885" s="9"/>
      <c r="D2885" s="42"/>
      <c r="E2885" s="103"/>
      <c r="F2885" s="42"/>
      <c r="G2885" s="9"/>
      <c r="H2885" s="9"/>
      <c r="I2885" s="9"/>
      <c r="J2885" s="9"/>
      <c r="K2885" s="42"/>
      <c r="L2885" s="42"/>
      <c r="M2885" s="42"/>
      <c r="N2885" s="42"/>
      <c r="O2885" s="42"/>
      <c r="P2885" s="9"/>
      <c r="Q2885" s="9"/>
      <c r="R2885" s="42"/>
      <c r="S2885" s="42"/>
      <c r="T2885" s="42"/>
      <c r="U2885" s="42"/>
      <c r="V2885" s="42"/>
      <c r="W2885" s="42"/>
    </row>
    <row r="2886">
      <c r="A2886" s="9"/>
      <c r="B2886" s="9"/>
      <c r="C2886" s="9"/>
      <c r="D2886" s="42"/>
      <c r="E2886" s="103"/>
      <c r="F2886" s="42"/>
      <c r="G2886" s="9"/>
      <c r="H2886" s="9"/>
      <c r="I2886" s="9"/>
      <c r="J2886" s="9"/>
      <c r="K2886" s="42"/>
      <c r="L2886" s="42"/>
      <c r="M2886" s="42"/>
      <c r="N2886" s="42"/>
      <c r="O2886" s="42"/>
      <c r="P2886" s="9"/>
      <c r="Q2886" s="9"/>
      <c r="R2886" s="42"/>
      <c r="S2886" s="42"/>
      <c r="T2886" s="42"/>
      <c r="U2886" s="42"/>
      <c r="V2886" s="42"/>
      <c r="W2886" s="42"/>
    </row>
    <row r="2887">
      <c r="A2887" s="9"/>
      <c r="B2887" s="9"/>
      <c r="C2887" s="9"/>
      <c r="D2887" s="42"/>
      <c r="E2887" s="103"/>
      <c r="F2887" s="42"/>
      <c r="G2887" s="9"/>
      <c r="H2887" s="9"/>
      <c r="I2887" s="9"/>
      <c r="J2887" s="9"/>
      <c r="K2887" s="42"/>
      <c r="L2887" s="42"/>
      <c r="M2887" s="42"/>
      <c r="N2887" s="42"/>
      <c r="O2887" s="42"/>
      <c r="P2887" s="9"/>
      <c r="Q2887" s="9"/>
      <c r="R2887" s="42"/>
      <c r="S2887" s="42"/>
      <c r="T2887" s="42"/>
      <c r="U2887" s="42"/>
      <c r="V2887" s="42"/>
      <c r="W2887" s="42"/>
    </row>
    <row r="2888">
      <c r="A2888" s="9"/>
      <c r="B2888" s="9"/>
      <c r="C2888" s="9"/>
      <c r="D2888" s="42"/>
      <c r="E2888" s="103"/>
      <c r="F2888" s="42"/>
      <c r="G2888" s="9"/>
      <c r="H2888" s="9"/>
      <c r="I2888" s="9"/>
      <c r="J2888" s="9"/>
      <c r="K2888" s="42"/>
      <c r="L2888" s="42"/>
      <c r="M2888" s="42"/>
      <c r="N2888" s="42"/>
      <c r="O2888" s="42"/>
      <c r="P2888" s="9"/>
      <c r="Q2888" s="9"/>
      <c r="R2888" s="42"/>
      <c r="S2888" s="42"/>
      <c r="T2888" s="42"/>
      <c r="U2888" s="42"/>
      <c r="V2888" s="42"/>
      <c r="W2888" s="42"/>
    </row>
    <row r="2889">
      <c r="A2889" s="9"/>
      <c r="B2889" s="9"/>
      <c r="C2889" s="9"/>
      <c r="D2889" s="42"/>
      <c r="E2889" s="103"/>
      <c r="F2889" s="42"/>
      <c r="G2889" s="9"/>
      <c r="H2889" s="9"/>
      <c r="I2889" s="9"/>
      <c r="J2889" s="9"/>
      <c r="K2889" s="42"/>
      <c r="L2889" s="42"/>
      <c r="M2889" s="42"/>
      <c r="N2889" s="42"/>
      <c r="O2889" s="42"/>
      <c r="P2889" s="9"/>
      <c r="Q2889" s="9"/>
      <c r="R2889" s="42"/>
      <c r="S2889" s="42"/>
      <c r="T2889" s="42"/>
      <c r="U2889" s="42"/>
      <c r="V2889" s="42"/>
      <c r="W2889" s="42"/>
    </row>
    <row r="2890">
      <c r="A2890" s="9"/>
      <c r="B2890" s="9"/>
      <c r="C2890" s="9"/>
      <c r="D2890" s="42"/>
      <c r="E2890" s="103"/>
      <c r="F2890" s="42"/>
      <c r="G2890" s="9"/>
      <c r="H2890" s="9"/>
      <c r="I2890" s="9"/>
      <c r="J2890" s="9"/>
      <c r="K2890" s="42"/>
      <c r="L2890" s="42"/>
      <c r="M2890" s="42"/>
      <c r="N2890" s="42"/>
      <c r="O2890" s="42"/>
      <c r="P2890" s="9"/>
      <c r="Q2890" s="9"/>
      <c r="R2890" s="42"/>
      <c r="S2890" s="42"/>
      <c r="T2890" s="42"/>
      <c r="U2890" s="42"/>
      <c r="V2890" s="42"/>
      <c r="W2890" s="42"/>
    </row>
    <row r="2891">
      <c r="A2891" s="9"/>
      <c r="B2891" s="9"/>
      <c r="C2891" s="9"/>
      <c r="D2891" s="42"/>
      <c r="E2891" s="103"/>
      <c r="F2891" s="42"/>
      <c r="G2891" s="9"/>
      <c r="H2891" s="9"/>
      <c r="I2891" s="9"/>
      <c r="J2891" s="9"/>
      <c r="K2891" s="42"/>
      <c r="L2891" s="42"/>
      <c r="M2891" s="42"/>
      <c r="N2891" s="42"/>
      <c r="O2891" s="42"/>
      <c r="P2891" s="9"/>
      <c r="Q2891" s="9"/>
      <c r="R2891" s="42"/>
      <c r="S2891" s="42"/>
      <c r="T2891" s="42"/>
      <c r="U2891" s="42"/>
      <c r="V2891" s="42"/>
      <c r="W2891" s="42"/>
    </row>
    <row r="2892">
      <c r="A2892" s="9"/>
      <c r="B2892" s="9"/>
      <c r="C2892" s="9"/>
      <c r="D2892" s="42"/>
      <c r="E2892" s="103"/>
      <c r="F2892" s="42"/>
      <c r="G2892" s="9"/>
      <c r="H2892" s="9"/>
      <c r="I2892" s="9"/>
      <c r="J2892" s="9"/>
      <c r="K2892" s="42"/>
      <c r="L2892" s="42"/>
      <c r="M2892" s="42"/>
      <c r="N2892" s="42"/>
      <c r="O2892" s="42"/>
      <c r="P2892" s="9"/>
      <c r="Q2892" s="9"/>
      <c r="R2892" s="42"/>
      <c r="S2892" s="42"/>
      <c r="T2892" s="42"/>
      <c r="U2892" s="42"/>
      <c r="V2892" s="42"/>
      <c r="W2892" s="42"/>
    </row>
    <row r="2893">
      <c r="A2893" s="9"/>
      <c r="B2893" s="9"/>
      <c r="C2893" s="9"/>
      <c r="D2893" s="42"/>
      <c r="E2893" s="103"/>
      <c r="F2893" s="42"/>
      <c r="G2893" s="9"/>
      <c r="H2893" s="9"/>
      <c r="I2893" s="9"/>
      <c r="J2893" s="9"/>
      <c r="K2893" s="42"/>
      <c r="L2893" s="42"/>
      <c r="M2893" s="42"/>
      <c r="N2893" s="42"/>
      <c r="O2893" s="42"/>
      <c r="P2893" s="9"/>
      <c r="Q2893" s="9"/>
      <c r="R2893" s="42"/>
      <c r="S2893" s="42"/>
      <c r="T2893" s="42"/>
      <c r="U2893" s="42"/>
      <c r="V2893" s="42"/>
      <c r="W2893" s="42"/>
    </row>
    <row r="2894">
      <c r="A2894" s="9"/>
      <c r="B2894" s="9"/>
      <c r="C2894" s="9"/>
      <c r="D2894" s="42"/>
      <c r="E2894" s="103"/>
      <c r="F2894" s="42"/>
      <c r="G2894" s="9"/>
      <c r="H2894" s="9"/>
      <c r="I2894" s="9"/>
      <c r="J2894" s="9"/>
      <c r="K2894" s="42"/>
      <c r="L2894" s="42"/>
      <c r="M2894" s="42"/>
      <c r="N2894" s="42"/>
      <c r="O2894" s="42"/>
      <c r="P2894" s="9"/>
      <c r="Q2894" s="9"/>
      <c r="R2894" s="42"/>
      <c r="S2894" s="42"/>
      <c r="T2894" s="42"/>
      <c r="U2894" s="42"/>
      <c r="V2894" s="42"/>
      <c r="W2894" s="42"/>
    </row>
    <row r="2895">
      <c r="A2895" s="9"/>
      <c r="B2895" s="9"/>
      <c r="C2895" s="9"/>
      <c r="D2895" s="42"/>
      <c r="E2895" s="103"/>
      <c r="F2895" s="42"/>
      <c r="G2895" s="9"/>
      <c r="H2895" s="9"/>
      <c r="I2895" s="9"/>
      <c r="J2895" s="9"/>
      <c r="K2895" s="42"/>
      <c r="L2895" s="42"/>
      <c r="M2895" s="42"/>
      <c r="N2895" s="42"/>
      <c r="O2895" s="42"/>
      <c r="P2895" s="9"/>
      <c r="Q2895" s="9"/>
      <c r="R2895" s="42"/>
      <c r="S2895" s="42"/>
      <c r="T2895" s="42"/>
      <c r="U2895" s="42"/>
      <c r="V2895" s="42"/>
      <c r="W2895" s="42"/>
    </row>
    <row r="2896">
      <c r="A2896" s="9"/>
      <c r="B2896" s="9"/>
      <c r="C2896" s="9"/>
      <c r="D2896" s="42"/>
      <c r="E2896" s="103"/>
      <c r="F2896" s="42"/>
      <c r="G2896" s="9"/>
      <c r="H2896" s="9"/>
      <c r="I2896" s="9"/>
      <c r="J2896" s="9"/>
      <c r="K2896" s="42"/>
      <c r="L2896" s="42"/>
      <c r="M2896" s="42"/>
      <c r="N2896" s="42"/>
      <c r="O2896" s="42"/>
      <c r="P2896" s="9"/>
      <c r="Q2896" s="9"/>
      <c r="R2896" s="42"/>
      <c r="S2896" s="42"/>
      <c r="T2896" s="42"/>
      <c r="U2896" s="42"/>
      <c r="V2896" s="42"/>
      <c r="W2896" s="42"/>
    </row>
    <row r="2897">
      <c r="A2897" s="9"/>
      <c r="B2897" s="9"/>
      <c r="C2897" s="9"/>
      <c r="D2897" s="42"/>
      <c r="E2897" s="103"/>
      <c r="F2897" s="42"/>
      <c r="G2897" s="9"/>
      <c r="H2897" s="9"/>
      <c r="I2897" s="9"/>
      <c r="J2897" s="9"/>
      <c r="K2897" s="42"/>
      <c r="L2897" s="42"/>
      <c r="M2897" s="42"/>
      <c r="N2897" s="42"/>
      <c r="O2897" s="42"/>
      <c r="P2897" s="9"/>
      <c r="Q2897" s="9"/>
      <c r="R2897" s="42"/>
      <c r="S2897" s="42"/>
      <c r="T2897" s="42"/>
      <c r="U2897" s="42"/>
      <c r="V2897" s="42"/>
      <c r="W2897" s="42"/>
    </row>
    <row r="2898">
      <c r="A2898" s="9"/>
      <c r="B2898" s="9"/>
      <c r="C2898" s="9"/>
      <c r="D2898" s="42"/>
      <c r="E2898" s="103"/>
      <c r="F2898" s="42"/>
      <c r="G2898" s="9"/>
      <c r="H2898" s="9"/>
      <c r="I2898" s="9"/>
      <c r="J2898" s="9"/>
      <c r="K2898" s="42"/>
      <c r="L2898" s="42"/>
      <c r="M2898" s="42"/>
      <c r="N2898" s="42"/>
      <c r="O2898" s="42"/>
      <c r="P2898" s="9"/>
      <c r="Q2898" s="9"/>
      <c r="R2898" s="42"/>
      <c r="S2898" s="42"/>
      <c r="T2898" s="42"/>
      <c r="U2898" s="42"/>
      <c r="V2898" s="42"/>
      <c r="W2898" s="42"/>
    </row>
    <row r="2899">
      <c r="A2899" s="9"/>
      <c r="B2899" s="9"/>
      <c r="C2899" s="9"/>
      <c r="D2899" s="42"/>
      <c r="E2899" s="103"/>
      <c r="F2899" s="42"/>
      <c r="G2899" s="9"/>
      <c r="H2899" s="9"/>
      <c r="I2899" s="9"/>
      <c r="J2899" s="9"/>
      <c r="K2899" s="42"/>
      <c r="L2899" s="42"/>
      <c r="M2899" s="42"/>
      <c r="N2899" s="42"/>
      <c r="O2899" s="42"/>
      <c r="P2899" s="9"/>
      <c r="Q2899" s="9"/>
      <c r="R2899" s="42"/>
      <c r="S2899" s="42"/>
      <c r="T2899" s="42"/>
      <c r="U2899" s="42"/>
      <c r="V2899" s="42"/>
      <c r="W2899" s="42"/>
    </row>
    <row r="2900">
      <c r="A2900" s="9"/>
      <c r="B2900" s="9"/>
      <c r="C2900" s="9"/>
      <c r="D2900" s="42"/>
      <c r="E2900" s="103"/>
      <c r="F2900" s="42"/>
      <c r="G2900" s="9"/>
      <c r="H2900" s="9"/>
      <c r="I2900" s="9"/>
      <c r="J2900" s="9"/>
      <c r="K2900" s="42"/>
      <c r="L2900" s="42"/>
      <c r="M2900" s="42"/>
      <c r="N2900" s="42"/>
      <c r="O2900" s="42"/>
      <c r="P2900" s="9"/>
      <c r="Q2900" s="9"/>
      <c r="R2900" s="42"/>
      <c r="S2900" s="42"/>
      <c r="T2900" s="42"/>
      <c r="U2900" s="42"/>
      <c r="V2900" s="42"/>
      <c r="W2900" s="42"/>
    </row>
    <row r="2901">
      <c r="A2901" s="9"/>
      <c r="B2901" s="9"/>
      <c r="C2901" s="9"/>
      <c r="D2901" s="42"/>
      <c r="E2901" s="103"/>
      <c r="F2901" s="42"/>
      <c r="G2901" s="9"/>
      <c r="H2901" s="9"/>
      <c r="I2901" s="9"/>
      <c r="J2901" s="9"/>
      <c r="K2901" s="42"/>
      <c r="L2901" s="42"/>
      <c r="M2901" s="42"/>
      <c r="N2901" s="42"/>
      <c r="O2901" s="42"/>
      <c r="P2901" s="9"/>
      <c r="Q2901" s="9"/>
      <c r="R2901" s="42"/>
      <c r="S2901" s="42"/>
      <c r="T2901" s="42"/>
      <c r="U2901" s="42"/>
      <c r="V2901" s="42"/>
      <c r="W2901" s="42"/>
    </row>
    <row r="2902">
      <c r="A2902" s="9"/>
      <c r="B2902" s="9"/>
      <c r="C2902" s="9"/>
      <c r="D2902" s="42"/>
      <c r="E2902" s="103"/>
      <c r="F2902" s="42"/>
      <c r="G2902" s="9"/>
      <c r="H2902" s="9"/>
      <c r="I2902" s="9"/>
      <c r="J2902" s="9"/>
      <c r="K2902" s="42"/>
      <c r="L2902" s="42"/>
      <c r="M2902" s="42"/>
      <c r="N2902" s="42"/>
      <c r="O2902" s="42"/>
      <c r="P2902" s="9"/>
      <c r="Q2902" s="9"/>
      <c r="R2902" s="42"/>
      <c r="S2902" s="42"/>
      <c r="T2902" s="42"/>
      <c r="U2902" s="42"/>
      <c r="V2902" s="42"/>
      <c r="W2902" s="42"/>
    </row>
    <row r="2903">
      <c r="A2903" s="9"/>
      <c r="B2903" s="9"/>
      <c r="C2903" s="9"/>
      <c r="D2903" s="42"/>
      <c r="E2903" s="103"/>
      <c r="F2903" s="42"/>
      <c r="G2903" s="9"/>
      <c r="H2903" s="9"/>
      <c r="I2903" s="9"/>
      <c r="J2903" s="9"/>
      <c r="K2903" s="42"/>
      <c r="L2903" s="42"/>
      <c r="M2903" s="42"/>
      <c r="N2903" s="42"/>
      <c r="O2903" s="42"/>
      <c r="P2903" s="9"/>
      <c r="Q2903" s="9"/>
      <c r="R2903" s="42"/>
      <c r="S2903" s="42"/>
      <c r="T2903" s="42"/>
      <c r="U2903" s="42"/>
      <c r="V2903" s="42"/>
      <c r="W2903" s="42"/>
    </row>
    <row r="2904">
      <c r="A2904" s="9"/>
      <c r="B2904" s="9"/>
      <c r="C2904" s="9"/>
      <c r="D2904" s="42"/>
      <c r="E2904" s="103"/>
      <c r="F2904" s="42"/>
      <c r="G2904" s="9"/>
      <c r="H2904" s="9"/>
      <c r="I2904" s="9"/>
      <c r="J2904" s="9"/>
      <c r="K2904" s="42"/>
      <c r="L2904" s="42"/>
      <c r="M2904" s="42"/>
      <c r="N2904" s="42"/>
      <c r="O2904" s="42"/>
      <c r="P2904" s="9"/>
      <c r="Q2904" s="9"/>
      <c r="R2904" s="42"/>
      <c r="S2904" s="42"/>
      <c r="T2904" s="42"/>
      <c r="U2904" s="42"/>
      <c r="V2904" s="42"/>
      <c r="W2904" s="42"/>
    </row>
    <row r="2905">
      <c r="A2905" s="9"/>
      <c r="B2905" s="9"/>
      <c r="C2905" s="9"/>
      <c r="D2905" s="42"/>
      <c r="E2905" s="103"/>
      <c r="F2905" s="42"/>
      <c r="G2905" s="9"/>
      <c r="H2905" s="9"/>
      <c r="I2905" s="9"/>
      <c r="J2905" s="9"/>
      <c r="K2905" s="42"/>
      <c r="L2905" s="42"/>
      <c r="M2905" s="42"/>
      <c r="N2905" s="42"/>
      <c r="O2905" s="42"/>
      <c r="P2905" s="9"/>
      <c r="Q2905" s="9"/>
      <c r="R2905" s="42"/>
      <c r="S2905" s="42"/>
      <c r="T2905" s="42"/>
      <c r="U2905" s="42"/>
      <c r="V2905" s="42"/>
      <c r="W2905" s="42"/>
    </row>
    <row r="2906">
      <c r="A2906" s="9"/>
      <c r="B2906" s="9"/>
      <c r="C2906" s="9"/>
      <c r="D2906" s="42"/>
      <c r="E2906" s="103"/>
      <c r="F2906" s="42"/>
      <c r="G2906" s="9"/>
      <c r="H2906" s="9"/>
      <c r="I2906" s="9"/>
      <c r="J2906" s="9"/>
      <c r="K2906" s="42"/>
      <c r="L2906" s="42"/>
      <c r="M2906" s="42"/>
      <c r="N2906" s="42"/>
      <c r="O2906" s="42"/>
      <c r="P2906" s="9"/>
      <c r="Q2906" s="9"/>
      <c r="R2906" s="42"/>
      <c r="S2906" s="42"/>
      <c r="T2906" s="42"/>
      <c r="U2906" s="42"/>
      <c r="V2906" s="42"/>
      <c r="W2906" s="42"/>
    </row>
    <row r="2907">
      <c r="A2907" s="9"/>
      <c r="B2907" s="9"/>
      <c r="C2907" s="9"/>
      <c r="D2907" s="42"/>
      <c r="E2907" s="103"/>
      <c r="F2907" s="42"/>
      <c r="G2907" s="9"/>
      <c r="H2907" s="9"/>
      <c r="I2907" s="9"/>
      <c r="J2907" s="9"/>
      <c r="K2907" s="42"/>
      <c r="L2907" s="42"/>
      <c r="M2907" s="42"/>
      <c r="N2907" s="42"/>
      <c r="O2907" s="42"/>
      <c r="P2907" s="9"/>
      <c r="Q2907" s="9"/>
      <c r="R2907" s="42"/>
      <c r="S2907" s="42"/>
      <c r="T2907" s="42"/>
      <c r="U2907" s="42"/>
      <c r="V2907" s="42"/>
      <c r="W2907" s="42"/>
    </row>
    <row r="2908">
      <c r="A2908" s="9"/>
      <c r="B2908" s="9"/>
      <c r="C2908" s="9"/>
      <c r="D2908" s="42"/>
      <c r="E2908" s="103"/>
      <c r="F2908" s="42"/>
      <c r="G2908" s="9"/>
      <c r="H2908" s="9"/>
      <c r="I2908" s="9"/>
      <c r="J2908" s="9"/>
      <c r="K2908" s="42"/>
      <c r="L2908" s="42"/>
      <c r="M2908" s="42"/>
      <c r="N2908" s="42"/>
      <c r="O2908" s="42"/>
      <c r="P2908" s="9"/>
      <c r="Q2908" s="9"/>
      <c r="R2908" s="42"/>
      <c r="S2908" s="42"/>
      <c r="T2908" s="42"/>
      <c r="U2908" s="42"/>
      <c r="V2908" s="42"/>
      <c r="W2908" s="42"/>
    </row>
    <row r="2909">
      <c r="A2909" s="9"/>
      <c r="B2909" s="9"/>
      <c r="C2909" s="9"/>
      <c r="D2909" s="42"/>
      <c r="E2909" s="103"/>
      <c r="F2909" s="42"/>
      <c r="G2909" s="9"/>
      <c r="H2909" s="9"/>
      <c r="I2909" s="9"/>
      <c r="J2909" s="9"/>
      <c r="K2909" s="42"/>
      <c r="L2909" s="42"/>
      <c r="M2909" s="42"/>
      <c r="N2909" s="42"/>
      <c r="O2909" s="42"/>
      <c r="P2909" s="9"/>
      <c r="Q2909" s="9"/>
      <c r="R2909" s="42"/>
      <c r="S2909" s="42"/>
      <c r="T2909" s="42"/>
      <c r="U2909" s="42"/>
      <c r="V2909" s="42"/>
      <c r="W2909" s="42"/>
    </row>
    <row r="2910">
      <c r="A2910" s="9"/>
      <c r="B2910" s="9"/>
      <c r="C2910" s="9"/>
      <c r="D2910" s="42"/>
      <c r="E2910" s="103"/>
      <c r="F2910" s="42"/>
      <c r="G2910" s="9"/>
      <c r="H2910" s="9"/>
      <c r="I2910" s="9"/>
      <c r="J2910" s="9"/>
      <c r="K2910" s="42"/>
      <c r="L2910" s="42"/>
      <c r="M2910" s="42"/>
      <c r="N2910" s="42"/>
      <c r="O2910" s="42"/>
      <c r="P2910" s="9"/>
      <c r="Q2910" s="9"/>
      <c r="R2910" s="42"/>
      <c r="S2910" s="42"/>
      <c r="T2910" s="42"/>
      <c r="U2910" s="42"/>
      <c r="V2910" s="42"/>
      <c r="W2910" s="42"/>
    </row>
    <row r="2911">
      <c r="A2911" s="9"/>
      <c r="B2911" s="9"/>
      <c r="C2911" s="9"/>
      <c r="D2911" s="42"/>
      <c r="E2911" s="103"/>
      <c r="F2911" s="42"/>
      <c r="G2911" s="9"/>
      <c r="H2911" s="9"/>
      <c r="I2911" s="9"/>
      <c r="J2911" s="9"/>
      <c r="K2911" s="42"/>
      <c r="L2911" s="42"/>
      <c r="M2911" s="42"/>
      <c r="N2911" s="42"/>
      <c r="O2911" s="42"/>
      <c r="P2911" s="9"/>
      <c r="Q2911" s="9"/>
      <c r="R2911" s="42"/>
      <c r="S2911" s="42"/>
      <c r="T2911" s="42"/>
      <c r="U2911" s="42"/>
      <c r="V2911" s="42"/>
      <c r="W2911" s="42"/>
    </row>
    <row r="2912">
      <c r="A2912" s="9"/>
      <c r="B2912" s="9"/>
      <c r="C2912" s="9"/>
      <c r="D2912" s="42"/>
      <c r="E2912" s="103"/>
      <c r="F2912" s="42"/>
      <c r="G2912" s="9"/>
      <c r="H2912" s="9"/>
      <c r="I2912" s="9"/>
      <c r="J2912" s="9"/>
      <c r="K2912" s="42"/>
      <c r="L2912" s="42"/>
      <c r="M2912" s="42"/>
      <c r="N2912" s="42"/>
      <c r="O2912" s="42"/>
      <c r="P2912" s="9"/>
      <c r="Q2912" s="9"/>
      <c r="R2912" s="42"/>
      <c r="S2912" s="42"/>
      <c r="T2912" s="42"/>
      <c r="U2912" s="42"/>
      <c r="V2912" s="42"/>
      <c r="W2912" s="42"/>
    </row>
    <row r="2913">
      <c r="A2913" s="9"/>
      <c r="B2913" s="9"/>
      <c r="C2913" s="9"/>
      <c r="D2913" s="42"/>
      <c r="E2913" s="103"/>
      <c r="F2913" s="42"/>
      <c r="G2913" s="9"/>
      <c r="H2913" s="9"/>
      <c r="I2913" s="9"/>
      <c r="J2913" s="9"/>
      <c r="K2913" s="42"/>
      <c r="L2913" s="42"/>
      <c r="M2913" s="42"/>
      <c r="N2913" s="42"/>
      <c r="O2913" s="42"/>
      <c r="P2913" s="9"/>
      <c r="Q2913" s="9"/>
      <c r="R2913" s="42"/>
      <c r="S2913" s="42"/>
      <c r="T2913" s="42"/>
      <c r="U2913" s="42"/>
      <c r="V2913" s="42"/>
      <c r="W2913" s="42"/>
    </row>
    <row r="2914">
      <c r="A2914" s="9"/>
      <c r="B2914" s="9"/>
      <c r="C2914" s="9"/>
      <c r="D2914" s="42"/>
      <c r="E2914" s="103"/>
      <c r="F2914" s="42"/>
      <c r="G2914" s="9"/>
      <c r="H2914" s="9"/>
      <c r="I2914" s="9"/>
      <c r="J2914" s="9"/>
      <c r="K2914" s="42"/>
      <c r="L2914" s="42"/>
      <c r="M2914" s="42"/>
      <c r="N2914" s="42"/>
      <c r="O2914" s="42"/>
      <c r="P2914" s="9"/>
      <c r="Q2914" s="9"/>
      <c r="R2914" s="42"/>
      <c r="S2914" s="42"/>
      <c r="T2914" s="42"/>
      <c r="U2914" s="42"/>
      <c r="V2914" s="42"/>
      <c r="W2914" s="42"/>
    </row>
    <row r="2915">
      <c r="A2915" s="9"/>
      <c r="B2915" s="9"/>
      <c r="C2915" s="9"/>
      <c r="D2915" s="42"/>
      <c r="E2915" s="103"/>
      <c r="F2915" s="42"/>
      <c r="G2915" s="9"/>
      <c r="H2915" s="9"/>
      <c r="I2915" s="9"/>
      <c r="J2915" s="9"/>
      <c r="K2915" s="42"/>
      <c r="L2915" s="42"/>
      <c r="M2915" s="42"/>
      <c r="N2915" s="42"/>
      <c r="O2915" s="42"/>
      <c r="P2915" s="9"/>
      <c r="Q2915" s="9"/>
      <c r="R2915" s="42"/>
      <c r="S2915" s="42"/>
      <c r="T2915" s="42"/>
      <c r="U2915" s="42"/>
      <c r="V2915" s="42"/>
      <c r="W2915" s="42"/>
    </row>
    <row r="2916">
      <c r="A2916" s="9"/>
      <c r="B2916" s="9"/>
      <c r="C2916" s="9"/>
      <c r="D2916" s="42"/>
      <c r="E2916" s="103"/>
      <c r="F2916" s="42"/>
      <c r="G2916" s="9"/>
      <c r="H2916" s="9"/>
      <c r="I2916" s="9"/>
      <c r="J2916" s="9"/>
      <c r="K2916" s="42"/>
      <c r="L2916" s="42"/>
      <c r="M2916" s="42"/>
      <c r="N2916" s="42"/>
      <c r="O2916" s="42"/>
      <c r="P2916" s="9"/>
      <c r="Q2916" s="9"/>
      <c r="R2916" s="42"/>
      <c r="S2916" s="42"/>
      <c r="T2916" s="42"/>
      <c r="U2916" s="42"/>
      <c r="V2916" s="42"/>
      <c r="W2916" s="42"/>
    </row>
    <row r="2917">
      <c r="A2917" s="9"/>
      <c r="B2917" s="9"/>
      <c r="C2917" s="9"/>
      <c r="D2917" s="42"/>
      <c r="E2917" s="103"/>
      <c r="F2917" s="42"/>
      <c r="G2917" s="9"/>
      <c r="H2917" s="9"/>
      <c r="I2917" s="9"/>
      <c r="J2917" s="9"/>
      <c r="K2917" s="42"/>
      <c r="L2917" s="42"/>
      <c r="M2917" s="42"/>
      <c r="N2917" s="42"/>
      <c r="O2917" s="42"/>
      <c r="P2917" s="9"/>
      <c r="Q2917" s="9"/>
      <c r="R2917" s="42"/>
      <c r="S2917" s="42"/>
      <c r="T2917" s="42"/>
      <c r="U2917" s="42"/>
      <c r="V2917" s="42"/>
      <c r="W2917" s="42"/>
    </row>
    <row r="2918">
      <c r="A2918" s="9"/>
      <c r="B2918" s="9"/>
      <c r="C2918" s="9"/>
      <c r="D2918" s="42"/>
      <c r="E2918" s="103"/>
      <c r="F2918" s="42"/>
      <c r="G2918" s="9"/>
      <c r="H2918" s="9"/>
      <c r="I2918" s="9"/>
      <c r="J2918" s="9"/>
      <c r="K2918" s="42"/>
      <c r="L2918" s="42"/>
      <c r="M2918" s="42"/>
      <c r="N2918" s="42"/>
      <c r="O2918" s="42"/>
      <c r="P2918" s="9"/>
      <c r="Q2918" s="9"/>
      <c r="R2918" s="42"/>
      <c r="S2918" s="42"/>
      <c r="T2918" s="42"/>
      <c r="U2918" s="42"/>
      <c r="V2918" s="42"/>
      <c r="W2918" s="42"/>
    </row>
    <row r="2919">
      <c r="A2919" s="9"/>
      <c r="B2919" s="9"/>
      <c r="C2919" s="9"/>
      <c r="D2919" s="42"/>
      <c r="E2919" s="103"/>
      <c r="F2919" s="42"/>
      <c r="G2919" s="9"/>
      <c r="H2919" s="9"/>
      <c r="I2919" s="9"/>
      <c r="J2919" s="9"/>
      <c r="K2919" s="42"/>
      <c r="L2919" s="42"/>
      <c r="M2919" s="42"/>
      <c r="N2919" s="42"/>
      <c r="O2919" s="42"/>
      <c r="P2919" s="9"/>
      <c r="Q2919" s="9"/>
      <c r="R2919" s="42"/>
      <c r="S2919" s="42"/>
      <c r="T2919" s="42"/>
      <c r="U2919" s="42"/>
      <c r="V2919" s="42"/>
      <c r="W2919" s="42"/>
    </row>
    <row r="2920">
      <c r="A2920" s="9"/>
      <c r="B2920" s="9"/>
      <c r="C2920" s="9"/>
      <c r="D2920" s="42"/>
      <c r="E2920" s="103"/>
      <c r="F2920" s="42"/>
      <c r="G2920" s="9"/>
      <c r="H2920" s="9"/>
      <c r="I2920" s="9"/>
      <c r="J2920" s="9"/>
      <c r="K2920" s="42"/>
      <c r="L2920" s="42"/>
      <c r="M2920" s="42"/>
      <c r="N2920" s="42"/>
      <c r="O2920" s="42"/>
      <c r="P2920" s="9"/>
      <c r="Q2920" s="9"/>
      <c r="R2920" s="42"/>
      <c r="S2920" s="42"/>
      <c r="T2920" s="42"/>
      <c r="U2920" s="42"/>
      <c r="V2920" s="42"/>
      <c r="W2920" s="42"/>
    </row>
    <row r="2921">
      <c r="A2921" s="9"/>
      <c r="B2921" s="9"/>
      <c r="C2921" s="9"/>
      <c r="D2921" s="42"/>
      <c r="E2921" s="103"/>
      <c r="F2921" s="42"/>
      <c r="G2921" s="9"/>
      <c r="H2921" s="9"/>
      <c r="I2921" s="9"/>
      <c r="J2921" s="9"/>
      <c r="K2921" s="42"/>
      <c r="L2921" s="42"/>
      <c r="M2921" s="42"/>
      <c r="N2921" s="42"/>
      <c r="O2921" s="42"/>
      <c r="P2921" s="9"/>
      <c r="Q2921" s="9"/>
      <c r="R2921" s="42"/>
      <c r="S2921" s="42"/>
      <c r="T2921" s="42"/>
      <c r="U2921" s="42"/>
      <c r="V2921" s="42"/>
      <c r="W2921" s="42"/>
    </row>
    <row r="2922">
      <c r="A2922" s="9"/>
      <c r="B2922" s="9"/>
      <c r="C2922" s="9"/>
      <c r="D2922" s="42"/>
      <c r="E2922" s="103"/>
      <c r="F2922" s="42"/>
      <c r="G2922" s="9"/>
      <c r="H2922" s="9"/>
      <c r="I2922" s="9"/>
      <c r="J2922" s="9"/>
      <c r="K2922" s="42"/>
      <c r="L2922" s="42"/>
      <c r="M2922" s="42"/>
      <c r="N2922" s="42"/>
      <c r="O2922" s="42"/>
      <c r="P2922" s="9"/>
      <c r="Q2922" s="9"/>
      <c r="R2922" s="42"/>
      <c r="S2922" s="42"/>
      <c r="T2922" s="42"/>
      <c r="U2922" s="42"/>
      <c r="V2922" s="42"/>
      <c r="W2922" s="42"/>
    </row>
    <row r="2923">
      <c r="A2923" s="9"/>
      <c r="B2923" s="9"/>
      <c r="C2923" s="9"/>
      <c r="D2923" s="42"/>
      <c r="E2923" s="103"/>
      <c r="F2923" s="42"/>
      <c r="G2923" s="9"/>
      <c r="H2923" s="9"/>
      <c r="I2923" s="9"/>
      <c r="J2923" s="9"/>
      <c r="K2923" s="42"/>
      <c r="L2923" s="42"/>
      <c r="M2923" s="42"/>
      <c r="N2923" s="42"/>
      <c r="O2923" s="42"/>
      <c r="P2923" s="9"/>
      <c r="Q2923" s="9"/>
      <c r="R2923" s="42"/>
      <c r="S2923" s="42"/>
      <c r="T2923" s="42"/>
      <c r="U2923" s="42"/>
      <c r="V2923" s="42"/>
      <c r="W2923" s="42"/>
    </row>
    <row r="2924">
      <c r="A2924" s="9"/>
      <c r="B2924" s="9"/>
      <c r="C2924" s="9"/>
      <c r="D2924" s="42"/>
      <c r="E2924" s="103"/>
      <c r="F2924" s="42"/>
      <c r="G2924" s="9"/>
      <c r="H2924" s="9"/>
      <c r="I2924" s="9"/>
      <c r="J2924" s="9"/>
      <c r="K2924" s="42"/>
      <c r="L2924" s="42"/>
      <c r="M2924" s="42"/>
      <c r="N2924" s="42"/>
      <c r="O2924" s="42"/>
      <c r="P2924" s="9"/>
      <c r="Q2924" s="9"/>
      <c r="R2924" s="42"/>
      <c r="S2924" s="42"/>
      <c r="T2924" s="42"/>
      <c r="U2924" s="42"/>
      <c r="V2924" s="42"/>
      <c r="W2924" s="42"/>
    </row>
    <row r="2925">
      <c r="A2925" s="9"/>
      <c r="B2925" s="9"/>
      <c r="C2925" s="9"/>
      <c r="D2925" s="42"/>
      <c r="E2925" s="103"/>
      <c r="F2925" s="42"/>
      <c r="G2925" s="9"/>
      <c r="H2925" s="9"/>
      <c r="I2925" s="9"/>
      <c r="J2925" s="9"/>
      <c r="K2925" s="42"/>
      <c r="L2925" s="42"/>
      <c r="M2925" s="42"/>
      <c r="N2925" s="42"/>
      <c r="O2925" s="42"/>
      <c r="P2925" s="9"/>
      <c r="Q2925" s="9"/>
      <c r="R2925" s="42"/>
      <c r="S2925" s="42"/>
      <c r="T2925" s="42"/>
      <c r="U2925" s="42"/>
      <c r="V2925" s="42"/>
      <c r="W2925" s="42"/>
    </row>
    <row r="2926">
      <c r="A2926" s="9"/>
      <c r="B2926" s="9"/>
      <c r="C2926" s="9"/>
      <c r="D2926" s="42"/>
      <c r="E2926" s="103"/>
      <c r="F2926" s="42"/>
      <c r="G2926" s="9"/>
      <c r="H2926" s="9"/>
      <c r="I2926" s="9"/>
      <c r="J2926" s="9"/>
      <c r="K2926" s="42"/>
      <c r="L2926" s="42"/>
      <c r="M2926" s="42"/>
      <c r="N2926" s="42"/>
      <c r="O2926" s="42"/>
      <c r="P2926" s="9"/>
      <c r="Q2926" s="9"/>
      <c r="R2926" s="42"/>
      <c r="S2926" s="42"/>
      <c r="T2926" s="42"/>
      <c r="U2926" s="42"/>
      <c r="V2926" s="42"/>
      <c r="W2926" s="42"/>
    </row>
    <row r="2927">
      <c r="A2927" s="9"/>
      <c r="B2927" s="9"/>
      <c r="C2927" s="9"/>
      <c r="D2927" s="42"/>
      <c r="E2927" s="103"/>
      <c r="F2927" s="42"/>
      <c r="G2927" s="9"/>
      <c r="H2927" s="9"/>
      <c r="I2927" s="9"/>
      <c r="J2927" s="9"/>
      <c r="K2927" s="42"/>
      <c r="L2927" s="42"/>
      <c r="M2927" s="42"/>
      <c r="N2927" s="42"/>
      <c r="O2927" s="42"/>
      <c r="P2927" s="9"/>
      <c r="Q2927" s="9"/>
      <c r="R2927" s="42"/>
      <c r="S2927" s="42"/>
      <c r="T2927" s="42"/>
      <c r="U2927" s="42"/>
      <c r="V2927" s="42"/>
      <c r="W2927" s="42"/>
    </row>
    <row r="2928">
      <c r="A2928" s="9"/>
      <c r="B2928" s="9"/>
      <c r="C2928" s="9"/>
      <c r="D2928" s="42"/>
      <c r="E2928" s="103"/>
      <c r="F2928" s="42"/>
      <c r="G2928" s="9"/>
      <c r="H2928" s="9"/>
      <c r="I2928" s="9"/>
      <c r="J2928" s="9"/>
      <c r="K2928" s="42"/>
      <c r="L2928" s="42"/>
      <c r="M2928" s="42"/>
      <c r="N2928" s="42"/>
      <c r="O2928" s="42"/>
      <c r="P2928" s="9"/>
      <c r="Q2928" s="9"/>
      <c r="R2928" s="42"/>
      <c r="S2928" s="42"/>
      <c r="T2928" s="42"/>
      <c r="U2928" s="42"/>
      <c r="V2928" s="42"/>
      <c r="W2928" s="42"/>
    </row>
    <row r="2929">
      <c r="A2929" s="9"/>
      <c r="B2929" s="9"/>
      <c r="C2929" s="9"/>
      <c r="D2929" s="42"/>
      <c r="E2929" s="103"/>
      <c r="F2929" s="42"/>
      <c r="G2929" s="9"/>
      <c r="H2929" s="9"/>
      <c r="I2929" s="9"/>
      <c r="J2929" s="9"/>
      <c r="K2929" s="42"/>
      <c r="L2929" s="42"/>
      <c r="M2929" s="42"/>
      <c r="N2929" s="42"/>
      <c r="O2929" s="42"/>
      <c r="P2929" s="9"/>
      <c r="Q2929" s="9"/>
      <c r="R2929" s="42"/>
      <c r="S2929" s="42"/>
      <c r="T2929" s="42"/>
      <c r="U2929" s="42"/>
      <c r="V2929" s="42"/>
      <c r="W2929" s="42"/>
    </row>
    <row r="2930">
      <c r="A2930" s="9"/>
      <c r="B2930" s="9"/>
      <c r="C2930" s="9"/>
      <c r="D2930" s="42"/>
      <c r="E2930" s="103"/>
      <c r="F2930" s="42"/>
      <c r="G2930" s="9"/>
      <c r="H2930" s="9"/>
      <c r="I2930" s="9"/>
      <c r="J2930" s="9"/>
      <c r="K2930" s="42"/>
      <c r="L2930" s="42"/>
      <c r="M2930" s="42"/>
      <c r="N2930" s="42"/>
      <c r="O2930" s="42"/>
      <c r="P2930" s="9"/>
      <c r="Q2930" s="9"/>
      <c r="R2930" s="42"/>
      <c r="S2930" s="42"/>
      <c r="T2930" s="42"/>
      <c r="U2930" s="42"/>
      <c r="V2930" s="42"/>
      <c r="W2930" s="42"/>
    </row>
    <row r="2931">
      <c r="A2931" s="9"/>
      <c r="B2931" s="9"/>
      <c r="C2931" s="9"/>
      <c r="D2931" s="42"/>
      <c r="E2931" s="103"/>
      <c r="F2931" s="42"/>
      <c r="G2931" s="9"/>
      <c r="H2931" s="9"/>
      <c r="I2931" s="9"/>
      <c r="J2931" s="9"/>
      <c r="K2931" s="42"/>
      <c r="L2931" s="42"/>
      <c r="M2931" s="42"/>
      <c r="N2931" s="42"/>
      <c r="O2931" s="42"/>
      <c r="P2931" s="9"/>
      <c r="Q2931" s="9"/>
      <c r="R2931" s="42"/>
      <c r="S2931" s="42"/>
      <c r="T2931" s="42"/>
      <c r="U2931" s="42"/>
      <c r="V2931" s="42"/>
      <c r="W2931" s="42"/>
    </row>
    <row r="2932">
      <c r="A2932" s="9"/>
      <c r="B2932" s="9"/>
      <c r="C2932" s="9"/>
      <c r="D2932" s="42"/>
      <c r="E2932" s="103"/>
      <c r="F2932" s="42"/>
      <c r="G2932" s="9"/>
      <c r="H2932" s="9"/>
      <c r="I2932" s="9"/>
      <c r="J2932" s="9"/>
      <c r="K2932" s="42"/>
      <c r="L2932" s="42"/>
      <c r="M2932" s="42"/>
      <c r="N2932" s="42"/>
      <c r="O2932" s="42"/>
      <c r="P2932" s="9"/>
      <c r="Q2932" s="9"/>
      <c r="R2932" s="42"/>
      <c r="S2932" s="42"/>
      <c r="T2932" s="42"/>
      <c r="U2932" s="42"/>
      <c r="V2932" s="42"/>
      <c r="W2932" s="42"/>
    </row>
    <row r="2933">
      <c r="A2933" s="9"/>
      <c r="B2933" s="9"/>
      <c r="C2933" s="9"/>
      <c r="D2933" s="42"/>
      <c r="E2933" s="103"/>
      <c r="F2933" s="42"/>
      <c r="G2933" s="9"/>
      <c r="H2933" s="9"/>
      <c r="I2933" s="9"/>
      <c r="J2933" s="9"/>
      <c r="K2933" s="42"/>
      <c r="L2933" s="42"/>
      <c r="M2933" s="42"/>
      <c r="N2933" s="42"/>
      <c r="O2933" s="42"/>
      <c r="P2933" s="9"/>
      <c r="Q2933" s="9"/>
      <c r="R2933" s="42"/>
      <c r="S2933" s="42"/>
      <c r="T2933" s="42"/>
      <c r="U2933" s="42"/>
      <c r="V2933" s="42"/>
      <c r="W2933" s="42"/>
    </row>
    <row r="2934">
      <c r="A2934" s="9"/>
      <c r="B2934" s="9"/>
      <c r="C2934" s="9"/>
      <c r="D2934" s="42"/>
      <c r="E2934" s="103"/>
      <c r="F2934" s="42"/>
      <c r="G2934" s="9"/>
      <c r="H2934" s="9"/>
      <c r="I2934" s="9"/>
      <c r="J2934" s="9"/>
      <c r="K2934" s="42"/>
      <c r="L2934" s="42"/>
      <c r="M2934" s="42"/>
      <c r="N2934" s="42"/>
      <c r="O2934" s="42"/>
      <c r="P2934" s="9"/>
      <c r="Q2934" s="9"/>
      <c r="R2934" s="42"/>
      <c r="S2934" s="42"/>
      <c r="T2934" s="42"/>
      <c r="U2934" s="42"/>
      <c r="V2934" s="42"/>
      <c r="W2934" s="42"/>
    </row>
    <row r="2935">
      <c r="A2935" s="9"/>
      <c r="B2935" s="9"/>
      <c r="C2935" s="9"/>
      <c r="D2935" s="42"/>
      <c r="E2935" s="103"/>
      <c r="F2935" s="42"/>
      <c r="G2935" s="9"/>
      <c r="H2935" s="9"/>
      <c r="I2935" s="9"/>
      <c r="J2935" s="9"/>
      <c r="K2935" s="42"/>
      <c r="L2935" s="42"/>
      <c r="M2935" s="42"/>
      <c r="N2935" s="42"/>
      <c r="O2935" s="42"/>
      <c r="P2935" s="9"/>
      <c r="Q2935" s="9"/>
      <c r="R2935" s="42"/>
      <c r="S2935" s="42"/>
      <c r="T2935" s="42"/>
      <c r="U2935" s="42"/>
      <c r="V2935" s="42"/>
      <c r="W2935" s="42"/>
    </row>
    <row r="2936">
      <c r="A2936" s="9"/>
      <c r="B2936" s="9"/>
      <c r="C2936" s="9"/>
      <c r="D2936" s="42"/>
      <c r="E2936" s="103"/>
      <c r="F2936" s="42"/>
      <c r="G2936" s="9"/>
      <c r="H2936" s="9"/>
      <c r="I2936" s="9"/>
      <c r="J2936" s="9"/>
      <c r="K2936" s="42"/>
      <c r="L2936" s="42"/>
      <c r="M2936" s="42"/>
      <c r="N2936" s="42"/>
      <c r="O2936" s="42"/>
      <c r="P2936" s="9"/>
      <c r="Q2936" s="9"/>
      <c r="R2936" s="42"/>
      <c r="S2936" s="42"/>
      <c r="T2936" s="42"/>
      <c r="U2936" s="42"/>
      <c r="V2936" s="42"/>
      <c r="W2936" s="42"/>
    </row>
    <row r="2937">
      <c r="A2937" s="9"/>
      <c r="B2937" s="9"/>
      <c r="C2937" s="9"/>
      <c r="D2937" s="42"/>
      <c r="E2937" s="103"/>
      <c r="F2937" s="42"/>
      <c r="G2937" s="9"/>
      <c r="H2937" s="9"/>
      <c r="I2937" s="9"/>
      <c r="J2937" s="9"/>
      <c r="K2937" s="42"/>
      <c r="L2937" s="42"/>
      <c r="M2937" s="42"/>
      <c r="N2937" s="42"/>
      <c r="O2937" s="42"/>
      <c r="P2937" s="9"/>
      <c r="Q2937" s="9"/>
      <c r="R2937" s="42"/>
      <c r="S2937" s="42"/>
      <c r="T2937" s="42"/>
      <c r="U2937" s="42"/>
      <c r="V2937" s="42"/>
      <c r="W2937" s="42"/>
    </row>
    <row r="2938">
      <c r="A2938" s="9"/>
      <c r="B2938" s="9"/>
      <c r="C2938" s="9"/>
      <c r="D2938" s="42"/>
      <c r="E2938" s="103"/>
      <c r="F2938" s="42"/>
      <c r="G2938" s="9"/>
      <c r="H2938" s="9"/>
      <c r="I2938" s="9"/>
      <c r="J2938" s="9"/>
      <c r="K2938" s="42"/>
      <c r="L2938" s="42"/>
      <c r="M2938" s="42"/>
      <c r="N2938" s="42"/>
      <c r="O2938" s="42"/>
      <c r="P2938" s="9"/>
      <c r="Q2938" s="9"/>
      <c r="R2938" s="42"/>
      <c r="S2938" s="42"/>
      <c r="T2938" s="42"/>
      <c r="U2938" s="42"/>
      <c r="V2938" s="42"/>
      <c r="W2938" s="42"/>
    </row>
    <row r="2939">
      <c r="A2939" s="9"/>
      <c r="B2939" s="9"/>
      <c r="C2939" s="9"/>
      <c r="D2939" s="42"/>
      <c r="E2939" s="103"/>
      <c r="F2939" s="42"/>
      <c r="G2939" s="9"/>
      <c r="H2939" s="9"/>
      <c r="I2939" s="9"/>
      <c r="J2939" s="9"/>
      <c r="K2939" s="42"/>
      <c r="L2939" s="42"/>
      <c r="M2939" s="42"/>
      <c r="N2939" s="42"/>
      <c r="O2939" s="42"/>
      <c r="P2939" s="9"/>
      <c r="Q2939" s="9"/>
      <c r="R2939" s="42"/>
      <c r="S2939" s="42"/>
      <c r="T2939" s="42"/>
      <c r="U2939" s="42"/>
      <c r="V2939" s="42"/>
      <c r="W2939" s="42"/>
    </row>
    <row r="2940">
      <c r="A2940" s="9"/>
      <c r="B2940" s="9"/>
      <c r="C2940" s="9"/>
      <c r="D2940" s="42"/>
      <c r="E2940" s="103"/>
      <c r="F2940" s="42"/>
      <c r="G2940" s="9"/>
      <c r="H2940" s="9"/>
      <c r="I2940" s="9"/>
      <c r="J2940" s="9"/>
      <c r="K2940" s="42"/>
      <c r="L2940" s="42"/>
      <c r="M2940" s="42"/>
      <c r="N2940" s="42"/>
      <c r="O2940" s="42"/>
      <c r="P2940" s="9"/>
      <c r="Q2940" s="9"/>
      <c r="R2940" s="42"/>
      <c r="S2940" s="42"/>
      <c r="T2940" s="42"/>
      <c r="U2940" s="42"/>
      <c r="V2940" s="42"/>
      <c r="W2940" s="42"/>
    </row>
    <row r="2941">
      <c r="A2941" s="9"/>
      <c r="B2941" s="9"/>
      <c r="C2941" s="9"/>
      <c r="D2941" s="42"/>
      <c r="E2941" s="103"/>
      <c r="F2941" s="42"/>
      <c r="G2941" s="9"/>
      <c r="H2941" s="9"/>
      <c r="I2941" s="9"/>
      <c r="J2941" s="9"/>
      <c r="K2941" s="42"/>
      <c r="L2941" s="42"/>
      <c r="M2941" s="42"/>
      <c r="N2941" s="42"/>
      <c r="O2941" s="42"/>
      <c r="P2941" s="9"/>
      <c r="Q2941" s="9"/>
      <c r="R2941" s="42"/>
      <c r="S2941" s="42"/>
      <c r="T2941" s="42"/>
      <c r="U2941" s="42"/>
      <c r="V2941" s="42"/>
      <c r="W2941" s="42"/>
    </row>
    <row r="2942">
      <c r="A2942" s="9"/>
      <c r="B2942" s="9"/>
      <c r="C2942" s="9"/>
      <c r="D2942" s="42"/>
      <c r="E2942" s="103"/>
      <c r="F2942" s="42"/>
      <c r="G2942" s="9"/>
      <c r="H2942" s="9"/>
      <c r="I2942" s="9"/>
      <c r="J2942" s="9"/>
      <c r="K2942" s="42"/>
      <c r="L2942" s="42"/>
      <c r="M2942" s="42"/>
      <c r="N2942" s="42"/>
      <c r="O2942" s="42"/>
      <c r="P2942" s="9"/>
      <c r="Q2942" s="9"/>
      <c r="R2942" s="42"/>
      <c r="S2942" s="42"/>
      <c r="T2942" s="42"/>
      <c r="U2942" s="42"/>
      <c r="V2942" s="42"/>
      <c r="W2942" s="42"/>
    </row>
    <row r="2943">
      <c r="A2943" s="9"/>
      <c r="B2943" s="9"/>
      <c r="C2943" s="9"/>
      <c r="D2943" s="42"/>
      <c r="E2943" s="103"/>
      <c r="F2943" s="42"/>
      <c r="G2943" s="9"/>
      <c r="H2943" s="9"/>
      <c r="I2943" s="9"/>
      <c r="J2943" s="9"/>
      <c r="K2943" s="42"/>
      <c r="L2943" s="42"/>
      <c r="M2943" s="42"/>
      <c r="N2943" s="42"/>
      <c r="O2943" s="42"/>
      <c r="P2943" s="9"/>
      <c r="Q2943" s="9"/>
      <c r="R2943" s="42"/>
      <c r="S2943" s="42"/>
      <c r="T2943" s="42"/>
      <c r="U2943" s="42"/>
      <c r="V2943" s="42"/>
      <c r="W2943" s="42"/>
    </row>
    <row r="2944">
      <c r="A2944" s="9"/>
      <c r="B2944" s="9"/>
      <c r="C2944" s="9"/>
      <c r="D2944" s="42"/>
      <c r="E2944" s="103"/>
      <c r="F2944" s="42"/>
      <c r="G2944" s="9"/>
      <c r="H2944" s="9"/>
      <c r="I2944" s="9"/>
      <c r="J2944" s="9"/>
      <c r="K2944" s="42"/>
      <c r="L2944" s="42"/>
      <c r="M2944" s="42"/>
      <c r="N2944" s="42"/>
      <c r="O2944" s="42"/>
      <c r="P2944" s="9"/>
      <c r="Q2944" s="9"/>
      <c r="R2944" s="42"/>
      <c r="S2944" s="42"/>
      <c r="T2944" s="42"/>
      <c r="U2944" s="42"/>
      <c r="V2944" s="42"/>
      <c r="W2944" s="42"/>
    </row>
    <row r="2945">
      <c r="A2945" s="9"/>
      <c r="B2945" s="9"/>
      <c r="C2945" s="9"/>
      <c r="D2945" s="42"/>
      <c r="E2945" s="103"/>
      <c r="F2945" s="42"/>
      <c r="G2945" s="9"/>
      <c r="H2945" s="9"/>
      <c r="I2945" s="9"/>
      <c r="J2945" s="9"/>
      <c r="K2945" s="42"/>
      <c r="L2945" s="42"/>
      <c r="M2945" s="42"/>
      <c r="N2945" s="42"/>
      <c r="O2945" s="42"/>
      <c r="P2945" s="9"/>
      <c r="Q2945" s="9"/>
      <c r="R2945" s="42"/>
      <c r="S2945" s="42"/>
      <c r="T2945" s="42"/>
      <c r="U2945" s="42"/>
      <c r="V2945" s="42"/>
      <c r="W2945" s="42"/>
    </row>
    <row r="2946">
      <c r="A2946" s="9"/>
      <c r="B2946" s="9"/>
      <c r="C2946" s="9"/>
      <c r="D2946" s="42"/>
      <c r="E2946" s="103"/>
      <c r="F2946" s="42"/>
      <c r="G2946" s="9"/>
      <c r="H2946" s="9"/>
      <c r="I2946" s="9"/>
      <c r="J2946" s="9"/>
      <c r="K2946" s="42"/>
      <c r="L2946" s="42"/>
      <c r="M2946" s="42"/>
      <c r="N2946" s="42"/>
      <c r="O2946" s="42"/>
      <c r="P2946" s="9"/>
      <c r="Q2946" s="9"/>
      <c r="R2946" s="42"/>
      <c r="S2946" s="42"/>
      <c r="T2946" s="42"/>
      <c r="U2946" s="42"/>
      <c r="V2946" s="42"/>
      <c r="W2946" s="42"/>
    </row>
    <row r="2947">
      <c r="A2947" s="9"/>
      <c r="B2947" s="9"/>
      <c r="C2947" s="9"/>
      <c r="D2947" s="42"/>
      <c r="E2947" s="103"/>
      <c r="F2947" s="42"/>
      <c r="G2947" s="9"/>
      <c r="H2947" s="9"/>
      <c r="I2947" s="9"/>
      <c r="J2947" s="9"/>
      <c r="K2947" s="42"/>
      <c r="L2947" s="42"/>
      <c r="M2947" s="42"/>
      <c r="N2947" s="42"/>
      <c r="O2947" s="42"/>
      <c r="P2947" s="9"/>
      <c r="Q2947" s="9"/>
      <c r="R2947" s="42"/>
      <c r="S2947" s="42"/>
      <c r="T2947" s="42"/>
      <c r="U2947" s="42"/>
      <c r="V2947" s="42"/>
      <c r="W2947" s="42"/>
    </row>
    <row r="2948">
      <c r="A2948" s="9"/>
      <c r="B2948" s="9"/>
      <c r="C2948" s="9"/>
      <c r="D2948" s="42"/>
      <c r="E2948" s="103"/>
      <c r="F2948" s="42"/>
      <c r="G2948" s="9"/>
      <c r="H2948" s="9"/>
      <c r="I2948" s="9"/>
      <c r="J2948" s="9"/>
      <c r="K2948" s="42"/>
      <c r="L2948" s="42"/>
      <c r="M2948" s="42"/>
      <c r="N2948" s="42"/>
      <c r="O2948" s="42"/>
      <c r="P2948" s="9"/>
      <c r="Q2948" s="9"/>
      <c r="R2948" s="42"/>
      <c r="S2948" s="42"/>
      <c r="T2948" s="42"/>
      <c r="U2948" s="42"/>
      <c r="V2948" s="42"/>
      <c r="W2948" s="42"/>
    </row>
    <row r="2949">
      <c r="A2949" s="9"/>
      <c r="B2949" s="9"/>
      <c r="C2949" s="9"/>
      <c r="D2949" s="42"/>
      <c r="E2949" s="103"/>
      <c r="F2949" s="42"/>
      <c r="G2949" s="9"/>
      <c r="H2949" s="9"/>
      <c r="I2949" s="9"/>
      <c r="J2949" s="9"/>
      <c r="K2949" s="42"/>
      <c r="L2949" s="42"/>
      <c r="M2949" s="42"/>
      <c r="N2949" s="42"/>
      <c r="O2949" s="42"/>
      <c r="P2949" s="9"/>
      <c r="Q2949" s="9"/>
      <c r="R2949" s="42"/>
      <c r="S2949" s="42"/>
      <c r="T2949" s="42"/>
      <c r="U2949" s="42"/>
      <c r="V2949" s="42"/>
      <c r="W2949" s="42"/>
    </row>
    <row r="2950">
      <c r="A2950" s="9"/>
      <c r="B2950" s="9"/>
      <c r="C2950" s="9"/>
      <c r="D2950" s="42"/>
      <c r="E2950" s="103"/>
      <c r="F2950" s="42"/>
      <c r="G2950" s="9"/>
      <c r="H2950" s="9"/>
      <c r="I2950" s="9"/>
      <c r="J2950" s="9"/>
      <c r="K2950" s="42"/>
      <c r="L2950" s="42"/>
      <c r="M2950" s="42"/>
      <c r="N2950" s="42"/>
      <c r="O2950" s="42"/>
      <c r="P2950" s="9"/>
      <c r="Q2950" s="9"/>
      <c r="R2950" s="42"/>
      <c r="S2950" s="42"/>
      <c r="T2950" s="42"/>
      <c r="U2950" s="42"/>
      <c r="V2950" s="42"/>
      <c r="W2950" s="42"/>
    </row>
    <row r="2951">
      <c r="A2951" s="9"/>
      <c r="B2951" s="9"/>
      <c r="C2951" s="9"/>
      <c r="D2951" s="42"/>
      <c r="E2951" s="103"/>
      <c r="F2951" s="42"/>
      <c r="G2951" s="9"/>
      <c r="H2951" s="9"/>
      <c r="I2951" s="9"/>
      <c r="J2951" s="9"/>
      <c r="K2951" s="42"/>
      <c r="L2951" s="42"/>
      <c r="M2951" s="42"/>
      <c r="N2951" s="42"/>
      <c r="O2951" s="42"/>
      <c r="P2951" s="9"/>
      <c r="Q2951" s="9"/>
      <c r="R2951" s="42"/>
      <c r="S2951" s="42"/>
      <c r="T2951" s="42"/>
      <c r="U2951" s="42"/>
      <c r="V2951" s="42"/>
      <c r="W2951" s="42"/>
    </row>
    <row r="2952">
      <c r="A2952" s="9"/>
      <c r="B2952" s="9"/>
      <c r="C2952" s="9"/>
      <c r="D2952" s="42"/>
      <c r="E2952" s="103"/>
      <c r="F2952" s="42"/>
      <c r="G2952" s="9"/>
      <c r="H2952" s="9"/>
      <c r="I2952" s="9"/>
      <c r="J2952" s="9"/>
      <c r="K2952" s="42"/>
      <c r="L2952" s="42"/>
      <c r="M2952" s="42"/>
      <c r="N2952" s="42"/>
      <c r="O2952" s="42"/>
      <c r="P2952" s="9"/>
      <c r="Q2952" s="9"/>
      <c r="R2952" s="42"/>
      <c r="S2952" s="42"/>
      <c r="T2952" s="42"/>
      <c r="U2952" s="42"/>
      <c r="V2952" s="42"/>
      <c r="W2952" s="42"/>
    </row>
    <row r="2953">
      <c r="A2953" s="9"/>
      <c r="B2953" s="9"/>
      <c r="C2953" s="9"/>
      <c r="D2953" s="42"/>
      <c r="E2953" s="103"/>
      <c r="F2953" s="42"/>
      <c r="G2953" s="9"/>
      <c r="H2953" s="9"/>
      <c r="I2953" s="9"/>
      <c r="J2953" s="9"/>
      <c r="K2953" s="42"/>
      <c r="L2953" s="42"/>
      <c r="M2953" s="42"/>
      <c r="N2953" s="42"/>
      <c r="O2953" s="42"/>
      <c r="P2953" s="9"/>
      <c r="Q2953" s="9"/>
      <c r="R2953" s="42"/>
      <c r="S2953" s="42"/>
      <c r="T2953" s="42"/>
      <c r="U2953" s="42"/>
      <c r="V2953" s="42"/>
      <c r="W2953" s="42"/>
    </row>
    <row r="2954">
      <c r="A2954" s="9"/>
      <c r="B2954" s="9"/>
      <c r="C2954" s="9"/>
      <c r="D2954" s="42"/>
      <c r="E2954" s="103"/>
      <c r="F2954" s="42"/>
      <c r="G2954" s="9"/>
      <c r="H2954" s="9"/>
      <c r="I2954" s="9"/>
      <c r="J2954" s="9"/>
      <c r="K2954" s="42"/>
      <c r="L2954" s="42"/>
      <c r="M2954" s="42"/>
      <c r="N2954" s="42"/>
      <c r="O2954" s="42"/>
      <c r="P2954" s="9"/>
      <c r="Q2954" s="9"/>
      <c r="R2954" s="42"/>
      <c r="S2954" s="42"/>
      <c r="T2954" s="42"/>
      <c r="U2954" s="42"/>
      <c r="V2954" s="42"/>
      <c r="W2954" s="42"/>
    </row>
    <row r="2955">
      <c r="A2955" s="9"/>
      <c r="B2955" s="9"/>
      <c r="C2955" s="9"/>
      <c r="D2955" s="42"/>
      <c r="E2955" s="103"/>
      <c r="F2955" s="42"/>
      <c r="G2955" s="9"/>
      <c r="H2955" s="9"/>
      <c r="I2955" s="9"/>
      <c r="J2955" s="9"/>
      <c r="K2955" s="42"/>
      <c r="L2955" s="42"/>
      <c r="M2955" s="42"/>
      <c r="N2955" s="42"/>
      <c r="O2955" s="42"/>
      <c r="P2955" s="9"/>
      <c r="Q2955" s="9"/>
      <c r="R2955" s="42"/>
      <c r="S2955" s="42"/>
      <c r="T2955" s="42"/>
      <c r="U2955" s="42"/>
      <c r="V2955" s="42"/>
      <c r="W2955" s="42"/>
    </row>
    <row r="2956">
      <c r="A2956" s="9"/>
      <c r="B2956" s="9"/>
      <c r="C2956" s="9"/>
      <c r="D2956" s="42"/>
      <c r="E2956" s="103"/>
      <c r="F2956" s="42"/>
      <c r="G2956" s="9"/>
      <c r="H2956" s="9"/>
      <c r="I2956" s="9"/>
      <c r="J2956" s="9"/>
      <c r="K2956" s="42"/>
      <c r="L2956" s="42"/>
      <c r="M2956" s="42"/>
      <c r="N2956" s="42"/>
      <c r="O2956" s="42"/>
      <c r="P2956" s="9"/>
      <c r="Q2956" s="9"/>
      <c r="R2956" s="42"/>
      <c r="S2956" s="42"/>
      <c r="T2956" s="42"/>
      <c r="U2956" s="42"/>
      <c r="V2956" s="42"/>
      <c r="W2956" s="42"/>
    </row>
    <row r="2957">
      <c r="A2957" s="9"/>
      <c r="B2957" s="9"/>
      <c r="C2957" s="9"/>
      <c r="D2957" s="42"/>
      <c r="E2957" s="103"/>
      <c r="F2957" s="42"/>
      <c r="G2957" s="9"/>
      <c r="H2957" s="9"/>
      <c r="I2957" s="9"/>
      <c r="J2957" s="9"/>
      <c r="K2957" s="42"/>
      <c r="L2957" s="42"/>
      <c r="M2957" s="42"/>
      <c r="N2957" s="42"/>
      <c r="O2957" s="42"/>
      <c r="P2957" s="9"/>
      <c r="Q2957" s="9"/>
      <c r="R2957" s="42"/>
      <c r="S2957" s="42"/>
      <c r="T2957" s="42"/>
      <c r="U2957" s="42"/>
      <c r="V2957" s="42"/>
      <c r="W2957" s="42"/>
    </row>
    <row r="2958">
      <c r="A2958" s="9"/>
      <c r="B2958" s="9"/>
      <c r="C2958" s="9"/>
      <c r="D2958" s="42"/>
      <c r="E2958" s="103"/>
      <c r="F2958" s="42"/>
      <c r="G2958" s="9"/>
      <c r="H2958" s="9"/>
      <c r="I2958" s="9"/>
      <c r="J2958" s="9"/>
      <c r="K2958" s="42"/>
      <c r="L2958" s="42"/>
      <c r="M2958" s="42"/>
      <c r="N2958" s="42"/>
      <c r="O2958" s="42"/>
      <c r="P2958" s="9"/>
      <c r="Q2958" s="9"/>
      <c r="R2958" s="42"/>
      <c r="S2958" s="42"/>
      <c r="T2958" s="42"/>
      <c r="U2958" s="42"/>
      <c r="V2958" s="42"/>
      <c r="W2958" s="42"/>
    </row>
    <row r="2959">
      <c r="A2959" s="9"/>
      <c r="B2959" s="9"/>
      <c r="C2959" s="9"/>
      <c r="D2959" s="42"/>
      <c r="E2959" s="103"/>
      <c r="F2959" s="42"/>
      <c r="G2959" s="9"/>
      <c r="H2959" s="9"/>
      <c r="I2959" s="9"/>
      <c r="J2959" s="9"/>
      <c r="K2959" s="42"/>
      <c r="L2959" s="42"/>
      <c r="M2959" s="42"/>
      <c r="N2959" s="42"/>
      <c r="O2959" s="42"/>
      <c r="P2959" s="9"/>
      <c r="Q2959" s="9"/>
      <c r="R2959" s="42"/>
      <c r="S2959" s="42"/>
      <c r="T2959" s="42"/>
      <c r="U2959" s="42"/>
      <c r="V2959" s="42"/>
      <c r="W2959" s="42"/>
    </row>
    <row r="2960">
      <c r="A2960" s="9"/>
      <c r="B2960" s="9"/>
      <c r="C2960" s="9"/>
      <c r="D2960" s="42"/>
      <c r="E2960" s="103"/>
      <c r="F2960" s="42"/>
      <c r="G2960" s="9"/>
      <c r="H2960" s="9"/>
      <c r="I2960" s="9"/>
      <c r="J2960" s="9"/>
      <c r="K2960" s="42"/>
      <c r="L2960" s="42"/>
      <c r="M2960" s="42"/>
      <c r="N2960" s="42"/>
      <c r="O2960" s="42"/>
      <c r="P2960" s="9"/>
      <c r="Q2960" s="9"/>
      <c r="R2960" s="42"/>
      <c r="S2960" s="42"/>
      <c r="T2960" s="42"/>
      <c r="U2960" s="42"/>
      <c r="V2960" s="42"/>
      <c r="W2960" s="42"/>
    </row>
    <row r="2961">
      <c r="A2961" s="9"/>
      <c r="B2961" s="9"/>
      <c r="C2961" s="9"/>
      <c r="D2961" s="42"/>
      <c r="E2961" s="103"/>
      <c r="F2961" s="42"/>
      <c r="G2961" s="9"/>
      <c r="H2961" s="9"/>
      <c r="I2961" s="9"/>
      <c r="J2961" s="9"/>
      <c r="K2961" s="42"/>
      <c r="L2961" s="42"/>
      <c r="M2961" s="42"/>
      <c r="N2961" s="42"/>
      <c r="O2961" s="42"/>
      <c r="P2961" s="9"/>
      <c r="Q2961" s="9"/>
      <c r="R2961" s="42"/>
      <c r="S2961" s="42"/>
      <c r="T2961" s="42"/>
      <c r="U2961" s="42"/>
      <c r="V2961" s="42"/>
      <c r="W2961" s="42"/>
    </row>
    <row r="2962">
      <c r="A2962" s="9"/>
      <c r="B2962" s="9"/>
      <c r="C2962" s="9"/>
      <c r="D2962" s="42"/>
      <c r="E2962" s="103"/>
      <c r="F2962" s="42"/>
      <c r="G2962" s="9"/>
      <c r="H2962" s="9"/>
      <c r="I2962" s="9"/>
      <c r="J2962" s="9"/>
      <c r="K2962" s="42"/>
      <c r="L2962" s="42"/>
      <c r="M2962" s="42"/>
      <c r="N2962" s="42"/>
      <c r="O2962" s="42"/>
      <c r="P2962" s="9"/>
      <c r="Q2962" s="9"/>
      <c r="R2962" s="42"/>
      <c r="S2962" s="42"/>
      <c r="T2962" s="42"/>
      <c r="U2962" s="42"/>
      <c r="V2962" s="42"/>
      <c r="W2962" s="42"/>
    </row>
    <row r="2963">
      <c r="A2963" s="9"/>
      <c r="B2963" s="9"/>
      <c r="C2963" s="9"/>
      <c r="D2963" s="42"/>
      <c r="E2963" s="103"/>
      <c r="F2963" s="42"/>
      <c r="G2963" s="9"/>
      <c r="H2963" s="9"/>
      <c r="I2963" s="9"/>
      <c r="J2963" s="9"/>
      <c r="K2963" s="42"/>
      <c r="L2963" s="42"/>
      <c r="M2963" s="42"/>
      <c r="N2963" s="42"/>
      <c r="O2963" s="42"/>
      <c r="P2963" s="9"/>
      <c r="Q2963" s="9"/>
      <c r="R2963" s="42"/>
      <c r="S2963" s="42"/>
      <c r="T2963" s="42"/>
      <c r="U2963" s="42"/>
      <c r="V2963" s="42"/>
      <c r="W2963" s="42"/>
    </row>
    <row r="2964">
      <c r="A2964" s="9"/>
      <c r="B2964" s="9"/>
      <c r="C2964" s="9"/>
      <c r="D2964" s="42"/>
      <c r="E2964" s="103"/>
      <c r="F2964" s="42"/>
      <c r="G2964" s="9"/>
      <c r="H2964" s="9"/>
      <c r="I2964" s="9"/>
      <c r="J2964" s="9"/>
      <c r="K2964" s="42"/>
      <c r="L2964" s="42"/>
      <c r="M2964" s="42"/>
      <c r="N2964" s="42"/>
      <c r="O2964" s="42"/>
      <c r="P2964" s="9"/>
      <c r="Q2964" s="9"/>
      <c r="R2964" s="42"/>
      <c r="S2964" s="42"/>
      <c r="T2964" s="42"/>
      <c r="U2964" s="42"/>
      <c r="V2964" s="42"/>
      <c r="W2964" s="42"/>
    </row>
    <row r="2965">
      <c r="A2965" s="9"/>
      <c r="B2965" s="9"/>
      <c r="C2965" s="9"/>
      <c r="D2965" s="42"/>
      <c r="E2965" s="103"/>
      <c r="F2965" s="42"/>
      <c r="G2965" s="9"/>
      <c r="H2965" s="9"/>
      <c r="I2965" s="9"/>
      <c r="J2965" s="9"/>
      <c r="K2965" s="42"/>
      <c r="L2965" s="42"/>
      <c r="M2965" s="42"/>
      <c r="N2965" s="42"/>
      <c r="O2965" s="42"/>
      <c r="P2965" s="9"/>
      <c r="Q2965" s="9"/>
      <c r="R2965" s="42"/>
      <c r="S2965" s="42"/>
      <c r="T2965" s="42"/>
      <c r="U2965" s="42"/>
      <c r="V2965" s="42"/>
      <c r="W2965" s="42"/>
    </row>
    <row r="2966">
      <c r="A2966" s="9"/>
      <c r="B2966" s="9"/>
      <c r="C2966" s="9"/>
      <c r="D2966" s="42"/>
      <c r="E2966" s="103"/>
      <c r="F2966" s="42"/>
      <c r="G2966" s="9"/>
      <c r="H2966" s="9"/>
      <c r="I2966" s="9"/>
      <c r="J2966" s="9"/>
      <c r="K2966" s="42"/>
      <c r="L2966" s="42"/>
      <c r="M2966" s="42"/>
      <c r="N2966" s="42"/>
      <c r="O2966" s="42"/>
      <c r="P2966" s="9"/>
      <c r="Q2966" s="9"/>
      <c r="R2966" s="42"/>
      <c r="S2966" s="42"/>
      <c r="T2966" s="42"/>
      <c r="U2966" s="42"/>
      <c r="V2966" s="42"/>
      <c r="W2966" s="42"/>
    </row>
    <row r="2967">
      <c r="A2967" s="9"/>
      <c r="B2967" s="9"/>
      <c r="C2967" s="9"/>
      <c r="D2967" s="42"/>
      <c r="E2967" s="103"/>
      <c r="F2967" s="42"/>
      <c r="G2967" s="9"/>
      <c r="H2967" s="9"/>
      <c r="I2967" s="9"/>
      <c r="J2967" s="9"/>
      <c r="K2967" s="42"/>
      <c r="L2967" s="42"/>
      <c r="M2967" s="42"/>
      <c r="N2967" s="42"/>
      <c r="O2967" s="42"/>
      <c r="P2967" s="9"/>
      <c r="Q2967" s="9"/>
      <c r="R2967" s="42"/>
      <c r="S2967" s="42"/>
      <c r="T2967" s="42"/>
      <c r="U2967" s="42"/>
      <c r="V2967" s="42"/>
      <c r="W2967" s="42"/>
    </row>
    <row r="2968">
      <c r="A2968" s="9"/>
      <c r="B2968" s="9"/>
      <c r="C2968" s="9"/>
      <c r="D2968" s="42"/>
      <c r="E2968" s="103"/>
      <c r="F2968" s="42"/>
      <c r="G2968" s="9"/>
      <c r="H2968" s="9"/>
      <c r="I2968" s="9"/>
      <c r="J2968" s="9"/>
      <c r="K2968" s="42"/>
      <c r="L2968" s="42"/>
      <c r="M2968" s="42"/>
      <c r="N2968" s="42"/>
      <c r="O2968" s="42"/>
      <c r="P2968" s="9"/>
      <c r="Q2968" s="9"/>
      <c r="R2968" s="42"/>
      <c r="S2968" s="42"/>
      <c r="T2968" s="42"/>
      <c r="U2968" s="42"/>
      <c r="V2968" s="42"/>
      <c r="W2968" s="42"/>
    </row>
    <row r="2969">
      <c r="A2969" s="9"/>
      <c r="B2969" s="9"/>
      <c r="C2969" s="9"/>
      <c r="D2969" s="42"/>
      <c r="E2969" s="103"/>
      <c r="F2969" s="42"/>
      <c r="G2969" s="9"/>
      <c r="H2969" s="9"/>
      <c r="I2969" s="9"/>
      <c r="J2969" s="9"/>
      <c r="K2969" s="42"/>
      <c r="L2969" s="42"/>
      <c r="M2969" s="42"/>
      <c r="N2969" s="42"/>
      <c r="O2969" s="42"/>
      <c r="P2969" s="9"/>
      <c r="Q2969" s="9"/>
      <c r="R2969" s="42"/>
      <c r="S2969" s="42"/>
      <c r="T2969" s="42"/>
      <c r="U2969" s="42"/>
      <c r="V2969" s="42"/>
      <c r="W2969" s="42"/>
    </row>
    <row r="2970">
      <c r="A2970" s="9"/>
      <c r="B2970" s="9"/>
      <c r="C2970" s="9"/>
      <c r="D2970" s="42"/>
      <c r="E2970" s="103"/>
      <c r="F2970" s="42"/>
      <c r="G2970" s="9"/>
      <c r="H2970" s="9"/>
      <c r="I2970" s="9"/>
      <c r="J2970" s="9"/>
      <c r="K2970" s="42"/>
      <c r="L2970" s="42"/>
      <c r="M2970" s="42"/>
      <c r="N2970" s="42"/>
      <c r="O2970" s="42"/>
      <c r="P2970" s="9"/>
      <c r="Q2970" s="9"/>
      <c r="R2970" s="42"/>
      <c r="S2970" s="42"/>
      <c r="T2970" s="42"/>
      <c r="U2970" s="42"/>
      <c r="V2970" s="42"/>
      <c r="W2970" s="42"/>
    </row>
    <row r="2971">
      <c r="A2971" s="9"/>
      <c r="B2971" s="9"/>
      <c r="C2971" s="9"/>
      <c r="D2971" s="42"/>
      <c r="E2971" s="103"/>
      <c r="F2971" s="42"/>
      <c r="G2971" s="9"/>
      <c r="H2971" s="9"/>
      <c r="I2971" s="9"/>
      <c r="J2971" s="9"/>
      <c r="K2971" s="42"/>
      <c r="L2971" s="42"/>
      <c r="M2971" s="42"/>
      <c r="N2971" s="42"/>
      <c r="O2971" s="42"/>
      <c r="P2971" s="9"/>
      <c r="Q2971" s="9"/>
      <c r="R2971" s="42"/>
      <c r="S2971" s="42"/>
      <c r="T2971" s="42"/>
      <c r="U2971" s="42"/>
      <c r="V2971" s="42"/>
      <c r="W2971" s="42"/>
    </row>
    <row r="2972">
      <c r="A2972" s="9"/>
      <c r="B2972" s="9"/>
      <c r="C2972" s="9"/>
      <c r="D2972" s="42"/>
      <c r="E2972" s="103"/>
      <c r="F2972" s="42"/>
      <c r="G2972" s="9"/>
      <c r="H2972" s="9"/>
      <c r="I2972" s="9"/>
      <c r="J2972" s="9"/>
      <c r="K2972" s="42"/>
      <c r="L2972" s="42"/>
      <c r="M2972" s="42"/>
      <c r="N2972" s="42"/>
      <c r="O2972" s="42"/>
      <c r="P2972" s="9"/>
      <c r="Q2972" s="9"/>
      <c r="R2972" s="42"/>
      <c r="S2972" s="42"/>
      <c r="T2972" s="42"/>
      <c r="U2972" s="42"/>
      <c r="V2972" s="42"/>
      <c r="W2972" s="42"/>
    </row>
    <row r="2973">
      <c r="A2973" s="9"/>
      <c r="B2973" s="9"/>
      <c r="C2973" s="9"/>
      <c r="D2973" s="42"/>
      <c r="E2973" s="103"/>
      <c r="F2973" s="42"/>
      <c r="G2973" s="9"/>
      <c r="H2973" s="9"/>
      <c r="I2973" s="9"/>
      <c r="J2973" s="9"/>
      <c r="K2973" s="42"/>
      <c r="L2973" s="42"/>
      <c r="M2973" s="42"/>
      <c r="N2973" s="42"/>
      <c r="O2973" s="42"/>
      <c r="P2973" s="9"/>
      <c r="Q2973" s="9"/>
      <c r="R2973" s="42"/>
      <c r="S2973" s="42"/>
      <c r="T2973" s="42"/>
      <c r="U2973" s="42"/>
      <c r="V2973" s="42"/>
      <c r="W2973" s="42"/>
    </row>
    <row r="2974">
      <c r="A2974" s="9"/>
      <c r="B2974" s="9"/>
      <c r="C2974" s="9"/>
      <c r="D2974" s="42"/>
      <c r="E2974" s="103"/>
      <c r="F2974" s="42"/>
      <c r="G2974" s="9"/>
      <c r="H2974" s="9"/>
      <c r="I2974" s="9"/>
      <c r="J2974" s="9"/>
      <c r="K2974" s="42"/>
      <c r="L2974" s="42"/>
      <c r="M2974" s="42"/>
      <c r="N2974" s="42"/>
      <c r="O2974" s="42"/>
      <c r="P2974" s="9"/>
      <c r="Q2974" s="9"/>
      <c r="R2974" s="42"/>
      <c r="S2974" s="42"/>
      <c r="T2974" s="42"/>
      <c r="U2974" s="42"/>
      <c r="V2974" s="42"/>
      <c r="W2974" s="42"/>
    </row>
    <row r="2975">
      <c r="A2975" s="9"/>
      <c r="B2975" s="9"/>
      <c r="C2975" s="9"/>
      <c r="D2975" s="42"/>
      <c r="E2975" s="103"/>
      <c r="F2975" s="42"/>
      <c r="G2975" s="9"/>
      <c r="H2975" s="9"/>
      <c r="I2975" s="9"/>
      <c r="J2975" s="9"/>
      <c r="K2975" s="42"/>
      <c r="L2975" s="42"/>
      <c r="M2975" s="42"/>
      <c r="N2975" s="42"/>
      <c r="O2975" s="42"/>
      <c r="P2975" s="9"/>
      <c r="Q2975" s="9"/>
      <c r="R2975" s="42"/>
      <c r="S2975" s="42"/>
      <c r="T2975" s="42"/>
      <c r="U2975" s="42"/>
      <c r="V2975" s="42"/>
      <c r="W2975" s="42"/>
    </row>
    <row r="2976">
      <c r="A2976" s="9"/>
      <c r="B2976" s="9"/>
      <c r="C2976" s="9"/>
      <c r="D2976" s="42"/>
      <c r="E2976" s="103"/>
      <c r="F2976" s="42"/>
      <c r="G2976" s="9"/>
      <c r="H2976" s="9"/>
      <c r="I2976" s="9"/>
      <c r="J2976" s="9"/>
      <c r="K2976" s="42"/>
      <c r="L2976" s="42"/>
      <c r="M2976" s="42"/>
      <c r="N2976" s="42"/>
      <c r="O2976" s="42"/>
      <c r="P2976" s="9"/>
      <c r="Q2976" s="9"/>
      <c r="R2976" s="42"/>
      <c r="S2976" s="42"/>
      <c r="T2976" s="42"/>
      <c r="U2976" s="42"/>
      <c r="V2976" s="42"/>
      <c r="W2976" s="42"/>
    </row>
    <row r="2977">
      <c r="A2977" s="9"/>
      <c r="B2977" s="9"/>
      <c r="C2977" s="9"/>
      <c r="D2977" s="42"/>
      <c r="E2977" s="103"/>
      <c r="F2977" s="42"/>
      <c r="G2977" s="9"/>
      <c r="H2977" s="9"/>
      <c r="I2977" s="9"/>
      <c r="J2977" s="9"/>
      <c r="K2977" s="42"/>
      <c r="L2977" s="42"/>
      <c r="M2977" s="42"/>
      <c r="N2977" s="42"/>
      <c r="O2977" s="42"/>
      <c r="P2977" s="9"/>
      <c r="Q2977" s="9"/>
      <c r="R2977" s="42"/>
      <c r="S2977" s="42"/>
      <c r="T2977" s="42"/>
      <c r="U2977" s="42"/>
      <c r="V2977" s="42"/>
      <c r="W2977" s="42"/>
    </row>
    <row r="2978">
      <c r="A2978" s="9"/>
      <c r="B2978" s="9"/>
      <c r="C2978" s="9"/>
      <c r="D2978" s="42"/>
      <c r="E2978" s="103"/>
      <c r="F2978" s="42"/>
      <c r="G2978" s="9"/>
      <c r="H2978" s="9"/>
      <c r="I2978" s="9"/>
      <c r="J2978" s="9"/>
      <c r="K2978" s="42"/>
      <c r="L2978" s="42"/>
      <c r="M2978" s="42"/>
      <c r="N2978" s="42"/>
      <c r="O2978" s="42"/>
      <c r="P2978" s="9"/>
      <c r="Q2978" s="9"/>
      <c r="R2978" s="42"/>
      <c r="S2978" s="42"/>
      <c r="T2978" s="42"/>
      <c r="U2978" s="42"/>
      <c r="V2978" s="42"/>
      <c r="W2978" s="42"/>
    </row>
    <row r="2979">
      <c r="A2979" s="9"/>
      <c r="B2979" s="9"/>
      <c r="C2979" s="9"/>
      <c r="D2979" s="42"/>
      <c r="E2979" s="103"/>
      <c r="F2979" s="42"/>
      <c r="G2979" s="9"/>
      <c r="H2979" s="9"/>
      <c r="I2979" s="9"/>
      <c r="J2979" s="9"/>
      <c r="K2979" s="42"/>
      <c r="L2979" s="42"/>
      <c r="M2979" s="42"/>
      <c r="N2979" s="42"/>
      <c r="O2979" s="42"/>
      <c r="P2979" s="9"/>
      <c r="Q2979" s="9"/>
      <c r="R2979" s="42"/>
      <c r="S2979" s="42"/>
      <c r="T2979" s="42"/>
      <c r="U2979" s="42"/>
      <c r="V2979" s="42"/>
      <c r="W2979" s="42"/>
    </row>
    <row r="2980">
      <c r="A2980" s="9"/>
      <c r="B2980" s="9"/>
      <c r="C2980" s="9"/>
      <c r="D2980" s="42"/>
      <c r="E2980" s="103"/>
      <c r="F2980" s="42"/>
      <c r="G2980" s="9"/>
      <c r="H2980" s="9"/>
      <c r="I2980" s="9"/>
      <c r="J2980" s="9"/>
      <c r="K2980" s="42"/>
      <c r="L2980" s="42"/>
      <c r="M2980" s="42"/>
      <c r="N2980" s="42"/>
      <c r="O2980" s="42"/>
      <c r="P2980" s="9"/>
      <c r="Q2980" s="9"/>
      <c r="R2980" s="42"/>
      <c r="S2980" s="42"/>
      <c r="T2980" s="42"/>
      <c r="U2980" s="42"/>
      <c r="V2980" s="42"/>
      <c r="W2980" s="42"/>
    </row>
    <row r="2981">
      <c r="A2981" s="9"/>
      <c r="B2981" s="9"/>
      <c r="C2981" s="9"/>
      <c r="D2981" s="42"/>
      <c r="E2981" s="103"/>
      <c r="F2981" s="42"/>
      <c r="G2981" s="9"/>
      <c r="H2981" s="9"/>
      <c r="I2981" s="9"/>
      <c r="J2981" s="9"/>
      <c r="K2981" s="42"/>
      <c r="L2981" s="42"/>
      <c r="M2981" s="42"/>
      <c r="N2981" s="42"/>
      <c r="O2981" s="42"/>
      <c r="P2981" s="9"/>
      <c r="Q2981" s="9"/>
      <c r="R2981" s="42"/>
      <c r="S2981" s="42"/>
      <c r="T2981" s="42"/>
      <c r="U2981" s="42"/>
      <c r="V2981" s="42"/>
      <c r="W2981" s="42"/>
    </row>
    <row r="2982">
      <c r="A2982" s="9"/>
      <c r="B2982" s="9"/>
      <c r="C2982" s="9"/>
      <c r="D2982" s="42"/>
      <c r="E2982" s="103"/>
      <c r="F2982" s="42"/>
      <c r="G2982" s="9"/>
      <c r="H2982" s="9"/>
      <c r="I2982" s="9"/>
      <c r="J2982" s="9"/>
      <c r="K2982" s="42"/>
      <c r="L2982" s="42"/>
      <c r="M2982" s="42"/>
      <c r="N2982" s="42"/>
      <c r="O2982" s="42"/>
      <c r="P2982" s="9"/>
      <c r="Q2982" s="9"/>
      <c r="R2982" s="42"/>
      <c r="S2982" s="42"/>
      <c r="T2982" s="42"/>
      <c r="U2982" s="42"/>
      <c r="V2982" s="42"/>
      <c r="W2982" s="42"/>
    </row>
    <row r="2983">
      <c r="A2983" s="9"/>
      <c r="B2983" s="9"/>
      <c r="C2983" s="9"/>
      <c r="D2983" s="42"/>
      <c r="E2983" s="103"/>
      <c r="F2983" s="42"/>
      <c r="G2983" s="9"/>
      <c r="H2983" s="9"/>
      <c r="I2983" s="9"/>
      <c r="J2983" s="9"/>
      <c r="K2983" s="42"/>
      <c r="L2983" s="42"/>
      <c r="M2983" s="42"/>
      <c r="N2983" s="42"/>
      <c r="O2983" s="42"/>
      <c r="P2983" s="9"/>
      <c r="Q2983" s="9"/>
      <c r="R2983" s="42"/>
      <c r="S2983" s="42"/>
      <c r="T2983" s="42"/>
      <c r="U2983" s="42"/>
      <c r="V2983" s="42"/>
      <c r="W2983" s="42"/>
    </row>
    <row r="2984">
      <c r="A2984" s="9"/>
      <c r="B2984" s="9"/>
      <c r="C2984" s="9"/>
      <c r="D2984" s="42"/>
      <c r="E2984" s="103"/>
      <c r="F2984" s="42"/>
      <c r="G2984" s="9"/>
      <c r="H2984" s="9"/>
      <c r="I2984" s="9"/>
      <c r="J2984" s="9"/>
      <c r="K2984" s="42"/>
      <c r="L2984" s="42"/>
      <c r="M2984" s="42"/>
      <c r="N2984" s="42"/>
      <c r="O2984" s="42"/>
      <c r="P2984" s="9"/>
      <c r="Q2984" s="9"/>
      <c r="R2984" s="42"/>
      <c r="S2984" s="42"/>
      <c r="T2984" s="42"/>
      <c r="U2984" s="42"/>
      <c r="V2984" s="42"/>
      <c r="W2984" s="42"/>
    </row>
    <row r="2985">
      <c r="A2985" s="9"/>
      <c r="B2985" s="9"/>
      <c r="C2985" s="9"/>
      <c r="D2985" s="42"/>
      <c r="E2985" s="103"/>
      <c r="F2985" s="42"/>
      <c r="G2985" s="9"/>
      <c r="H2985" s="9"/>
      <c r="I2985" s="9"/>
      <c r="J2985" s="9"/>
      <c r="K2985" s="42"/>
      <c r="L2985" s="42"/>
      <c r="M2985" s="42"/>
      <c r="N2985" s="42"/>
      <c r="O2985" s="42"/>
      <c r="P2985" s="9"/>
      <c r="Q2985" s="9"/>
      <c r="R2985" s="42"/>
      <c r="S2985" s="42"/>
      <c r="T2985" s="42"/>
      <c r="U2985" s="42"/>
      <c r="V2985" s="42"/>
      <c r="W2985" s="42"/>
    </row>
    <row r="2986">
      <c r="A2986" s="9"/>
      <c r="B2986" s="9"/>
      <c r="C2986" s="9"/>
      <c r="D2986" s="42"/>
      <c r="E2986" s="103"/>
      <c r="F2986" s="42"/>
      <c r="G2986" s="9"/>
      <c r="H2986" s="9"/>
      <c r="I2986" s="9"/>
      <c r="J2986" s="9"/>
      <c r="K2986" s="42"/>
      <c r="L2986" s="42"/>
      <c r="M2986" s="42"/>
      <c r="N2986" s="42"/>
      <c r="O2986" s="42"/>
      <c r="P2986" s="9"/>
      <c r="Q2986" s="9"/>
      <c r="R2986" s="42"/>
      <c r="S2986" s="42"/>
      <c r="T2986" s="42"/>
      <c r="U2986" s="42"/>
      <c r="V2986" s="42"/>
      <c r="W2986" s="42"/>
    </row>
    <row r="2987">
      <c r="A2987" s="9"/>
      <c r="B2987" s="9"/>
      <c r="C2987" s="9"/>
      <c r="D2987" s="42"/>
      <c r="E2987" s="103"/>
      <c r="F2987" s="42"/>
      <c r="G2987" s="9"/>
      <c r="H2987" s="9"/>
      <c r="I2987" s="9"/>
      <c r="J2987" s="9"/>
      <c r="K2987" s="42"/>
      <c r="L2987" s="42"/>
      <c r="M2987" s="42"/>
      <c r="N2987" s="42"/>
      <c r="O2987" s="42"/>
      <c r="P2987" s="9"/>
      <c r="Q2987" s="9"/>
      <c r="R2987" s="42"/>
      <c r="S2987" s="42"/>
      <c r="T2987" s="42"/>
      <c r="U2987" s="42"/>
      <c r="V2987" s="42"/>
      <c r="W2987" s="42"/>
    </row>
    <row r="2988">
      <c r="A2988" s="9"/>
      <c r="B2988" s="9"/>
      <c r="C2988" s="9"/>
      <c r="D2988" s="42"/>
      <c r="E2988" s="103"/>
      <c r="F2988" s="42"/>
      <c r="G2988" s="9"/>
      <c r="H2988" s="9"/>
      <c r="I2988" s="9"/>
      <c r="J2988" s="9"/>
      <c r="K2988" s="42"/>
      <c r="L2988" s="42"/>
      <c r="M2988" s="42"/>
      <c r="N2988" s="42"/>
      <c r="O2988" s="42"/>
      <c r="P2988" s="9"/>
      <c r="Q2988" s="9"/>
      <c r="R2988" s="42"/>
      <c r="S2988" s="42"/>
      <c r="T2988" s="42"/>
      <c r="U2988" s="42"/>
      <c r="V2988" s="42"/>
      <c r="W2988" s="42"/>
    </row>
    <row r="2989">
      <c r="A2989" s="9"/>
      <c r="B2989" s="9"/>
      <c r="C2989" s="9"/>
      <c r="D2989" s="42"/>
      <c r="E2989" s="103"/>
      <c r="F2989" s="42"/>
      <c r="G2989" s="9"/>
      <c r="H2989" s="9"/>
      <c r="I2989" s="9"/>
      <c r="J2989" s="9"/>
      <c r="K2989" s="42"/>
      <c r="L2989" s="42"/>
      <c r="M2989" s="42"/>
      <c r="N2989" s="42"/>
      <c r="O2989" s="42"/>
      <c r="P2989" s="9"/>
      <c r="Q2989" s="9"/>
      <c r="R2989" s="42"/>
      <c r="S2989" s="42"/>
      <c r="T2989" s="42"/>
      <c r="U2989" s="42"/>
      <c r="V2989" s="42"/>
      <c r="W2989" s="42"/>
    </row>
    <row r="2990">
      <c r="A2990" s="9"/>
      <c r="B2990" s="9"/>
      <c r="C2990" s="9"/>
      <c r="D2990" s="42"/>
      <c r="E2990" s="103"/>
      <c r="F2990" s="42"/>
      <c r="G2990" s="9"/>
      <c r="H2990" s="9"/>
      <c r="I2990" s="9"/>
      <c r="J2990" s="9"/>
      <c r="K2990" s="42"/>
      <c r="L2990" s="42"/>
      <c r="M2990" s="42"/>
      <c r="N2990" s="42"/>
      <c r="O2990" s="42"/>
      <c r="P2990" s="9"/>
      <c r="Q2990" s="9"/>
      <c r="R2990" s="42"/>
      <c r="S2990" s="42"/>
      <c r="T2990" s="42"/>
      <c r="U2990" s="42"/>
      <c r="V2990" s="42"/>
      <c r="W2990" s="42"/>
    </row>
    <row r="2991">
      <c r="A2991" s="9"/>
      <c r="B2991" s="9"/>
      <c r="C2991" s="9"/>
      <c r="D2991" s="42"/>
      <c r="E2991" s="103"/>
      <c r="F2991" s="42"/>
      <c r="G2991" s="9"/>
      <c r="H2991" s="9"/>
      <c r="I2991" s="9"/>
      <c r="J2991" s="9"/>
      <c r="K2991" s="42"/>
      <c r="L2991" s="42"/>
      <c r="M2991" s="42"/>
      <c r="N2991" s="42"/>
      <c r="O2991" s="42"/>
      <c r="P2991" s="9"/>
      <c r="Q2991" s="9"/>
      <c r="R2991" s="42"/>
      <c r="S2991" s="42"/>
      <c r="T2991" s="42"/>
      <c r="U2991" s="42"/>
      <c r="V2991" s="42"/>
      <c r="W2991" s="42"/>
    </row>
    <row r="2992">
      <c r="A2992" s="9"/>
      <c r="B2992" s="9"/>
      <c r="C2992" s="9"/>
      <c r="D2992" s="42"/>
      <c r="E2992" s="103"/>
      <c r="F2992" s="42"/>
      <c r="G2992" s="9"/>
      <c r="H2992" s="9"/>
      <c r="I2992" s="9"/>
      <c r="J2992" s="9"/>
      <c r="K2992" s="42"/>
      <c r="L2992" s="42"/>
      <c r="M2992" s="42"/>
      <c r="N2992" s="42"/>
      <c r="O2992" s="42"/>
      <c r="P2992" s="9"/>
      <c r="Q2992" s="9"/>
      <c r="R2992" s="42"/>
      <c r="S2992" s="42"/>
      <c r="T2992" s="42"/>
      <c r="U2992" s="42"/>
      <c r="V2992" s="42"/>
      <c r="W2992" s="42"/>
    </row>
    <row r="2993">
      <c r="A2993" s="9"/>
      <c r="B2993" s="9"/>
      <c r="C2993" s="9"/>
      <c r="D2993" s="42"/>
      <c r="E2993" s="103"/>
      <c r="F2993" s="42"/>
      <c r="G2993" s="9"/>
      <c r="H2993" s="9"/>
      <c r="I2993" s="9"/>
      <c r="J2993" s="9"/>
      <c r="K2993" s="42"/>
      <c r="L2993" s="42"/>
      <c r="M2993" s="42"/>
      <c r="N2993" s="42"/>
      <c r="O2993" s="42"/>
      <c r="P2993" s="9"/>
      <c r="Q2993" s="9"/>
      <c r="R2993" s="42"/>
      <c r="S2993" s="42"/>
      <c r="T2993" s="42"/>
      <c r="U2993" s="42"/>
      <c r="V2993" s="42"/>
      <c r="W2993" s="42"/>
    </row>
    <row r="2994">
      <c r="A2994" s="9"/>
      <c r="B2994" s="9"/>
      <c r="C2994" s="9"/>
      <c r="D2994" s="42"/>
      <c r="E2994" s="103"/>
      <c r="F2994" s="42"/>
      <c r="G2994" s="9"/>
      <c r="H2994" s="9"/>
      <c r="I2994" s="9"/>
      <c r="J2994" s="9"/>
      <c r="K2994" s="42"/>
      <c r="L2994" s="42"/>
      <c r="M2994" s="42"/>
      <c r="N2994" s="42"/>
      <c r="O2994" s="42"/>
      <c r="P2994" s="9"/>
      <c r="Q2994" s="9"/>
      <c r="R2994" s="42"/>
      <c r="S2994" s="42"/>
      <c r="T2994" s="42"/>
      <c r="U2994" s="42"/>
      <c r="V2994" s="42"/>
      <c r="W2994" s="42"/>
    </row>
    <row r="2995">
      <c r="A2995" s="9"/>
      <c r="B2995" s="9"/>
      <c r="C2995" s="9"/>
      <c r="D2995" s="42"/>
      <c r="E2995" s="103"/>
      <c r="F2995" s="42"/>
      <c r="G2995" s="9"/>
      <c r="H2995" s="9"/>
      <c r="I2995" s="9"/>
      <c r="J2995" s="9"/>
      <c r="K2995" s="42"/>
      <c r="L2995" s="42"/>
      <c r="M2995" s="42"/>
      <c r="N2995" s="42"/>
      <c r="O2995" s="42"/>
      <c r="P2995" s="9"/>
      <c r="Q2995" s="9"/>
      <c r="R2995" s="42"/>
      <c r="S2995" s="42"/>
      <c r="T2995" s="42"/>
      <c r="U2995" s="42"/>
      <c r="V2995" s="42"/>
      <c r="W2995" s="42"/>
    </row>
    <row r="2996">
      <c r="A2996" s="9"/>
      <c r="B2996" s="9"/>
      <c r="C2996" s="9"/>
      <c r="D2996" s="42"/>
      <c r="E2996" s="103"/>
      <c r="F2996" s="42"/>
      <c r="G2996" s="9"/>
      <c r="H2996" s="9"/>
      <c r="I2996" s="9"/>
      <c r="J2996" s="9"/>
      <c r="K2996" s="42"/>
      <c r="L2996" s="42"/>
      <c r="M2996" s="42"/>
      <c r="N2996" s="42"/>
      <c r="O2996" s="42"/>
      <c r="P2996" s="9"/>
      <c r="Q2996" s="9"/>
      <c r="R2996" s="42"/>
      <c r="S2996" s="42"/>
      <c r="T2996" s="42"/>
      <c r="U2996" s="42"/>
      <c r="V2996" s="42"/>
      <c r="W2996" s="42"/>
    </row>
    <row r="2997">
      <c r="A2997" s="9"/>
      <c r="B2997" s="9"/>
      <c r="C2997" s="9"/>
      <c r="D2997" s="42"/>
      <c r="E2997" s="103"/>
      <c r="F2997" s="42"/>
      <c r="G2997" s="9"/>
      <c r="H2997" s="9"/>
      <c r="I2997" s="9"/>
      <c r="J2997" s="9"/>
      <c r="K2997" s="42"/>
      <c r="L2997" s="42"/>
      <c r="M2997" s="42"/>
      <c r="N2997" s="42"/>
      <c r="O2997" s="42"/>
      <c r="P2997" s="9"/>
      <c r="Q2997" s="9"/>
      <c r="R2997" s="42"/>
      <c r="S2997" s="42"/>
      <c r="T2997" s="42"/>
      <c r="U2997" s="42"/>
      <c r="V2997" s="42"/>
      <c r="W2997" s="42"/>
    </row>
    <row r="2998">
      <c r="A2998" s="9"/>
      <c r="B2998" s="9"/>
      <c r="C2998" s="9"/>
      <c r="D2998" s="42"/>
      <c r="E2998" s="103"/>
      <c r="F2998" s="42"/>
      <c r="G2998" s="9"/>
      <c r="H2998" s="9"/>
      <c r="I2998" s="9"/>
      <c r="J2998" s="9"/>
      <c r="K2998" s="42"/>
      <c r="L2998" s="42"/>
      <c r="M2998" s="42"/>
      <c r="N2998" s="42"/>
      <c r="O2998" s="42"/>
      <c r="P2998" s="9"/>
      <c r="Q2998" s="9"/>
      <c r="R2998" s="42"/>
      <c r="S2998" s="42"/>
      <c r="T2998" s="42"/>
      <c r="U2998" s="42"/>
      <c r="V2998" s="42"/>
      <c r="W2998" s="42"/>
    </row>
    <row r="2999">
      <c r="A2999" s="9"/>
      <c r="B2999" s="9"/>
      <c r="C2999" s="9"/>
      <c r="D2999" s="42"/>
      <c r="E2999" s="103"/>
      <c r="F2999" s="42"/>
      <c r="G2999" s="9"/>
      <c r="H2999" s="9"/>
      <c r="I2999" s="9"/>
      <c r="J2999" s="9"/>
      <c r="K2999" s="42"/>
      <c r="L2999" s="42"/>
      <c r="M2999" s="42"/>
      <c r="N2999" s="42"/>
      <c r="O2999" s="42"/>
      <c r="P2999" s="9"/>
      <c r="Q2999" s="9"/>
      <c r="R2999" s="42"/>
      <c r="S2999" s="42"/>
      <c r="T2999" s="42"/>
      <c r="U2999" s="42"/>
      <c r="V2999" s="42"/>
      <c r="W2999" s="42"/>
    </row>
    <row r="3000">
      <c r="A3000" s="9"/>
      <c r="B3000" s="9"/>
      <c r="C3000" s="9"/>
      <c r="D3000" s="42"/>
      <c r="E3000" s="103"/>
      <c r="F3000" s="42"/>
      <c r="G3000" s="9"/>
      <c r="H3000" s="9"/>
      <c r="I3000" s="9"/>
      <c r="J3000" s="9"/>
      <c r="K3000" s="42"/>
      <c r="L3000" s="42"/>
      <c r="M3000" s="42"/>
      <c r="N3000" s="42"/>
      <c r="O3000" s="42"/>
      <c r="P3000" s="9"/>
      <c r="Q3000" s="9"/>
      <c r="R3000" s="42"/>
      <c r="S3000" s="42"/>
      <c r="T3000" s="42"/>
      <c r="U3000" s="42"/>
      <c r="V3000" s="42"/>
      <c r="W3000" s="42"/>
    </row>
    <row r="3001">
      <c r="A3001" s="9"/>
      <c r="B3001" s="9"/>
      <c r="C3001" s="9"/>
      <c r="D3001" s="42"/>
      <c r="E3001" s="103"/>
      <c r="F3001" s="42"/>
      <c r="G3001" s="9"/>
      <c r="H3001" s="9"/>
      <c r="I3001" s="9"/>
      <c r="J3001" s="9"/>
      <c r="K3001" s="42"/>
      <c r="L3001" s="42"/>
      <c r="M3001" s="42"/>
      <c r="N3001" s="42"/>
      <c r="O3001" s="42"/>
      <c r="P3001" s="9"/>
      <c r="Q3001" s="9"/>
      <c r="R3001" s="42"/>
      <c r="S3001" s="42"/>
      <c r="T3001" s="42"/>
      <c r="U3001" s="42"/>
      <c r="V3001" s="42"/>
      <c r="W3001" s="42"/>
    </row>
    <row r="3002">
      <c r="A3002" s="9"/>
      <c r="B3002" s="9"/>
      <c r="C3002" s="9"/>
      <c r="D3002" s="42"/>
      <c r="E3002" s="103"/>
      <c r="F3002" s="42"/>
      <c r="G3002" s="9"/>
      <c r="H3002" s="9"/>
      <c r="I3002" s="9"/>
      <c r="J3002" s="9"/>
      <c r="K3002" s="42"/>
      <c r="L3002" s="42"/>
      <c r="M3002" s="42"/>
      <c r="N3002" s="42"/>
      <c r="O3002" s="42"/>
      <c r="P3002" s="9"/>
      <c r="Q3002" s="9"/>
      <c r="R3002" s="42"/>
      <c r="S3002" s="42"/>
      <c r="T3002" s="42"/>
      <c r="U3002" s="42"/>
      <c r="V3002" s="42"/>
      <c r="W3002" s="42"/>
    </row>
    <row r="3003">
      <c r="A3003" s="9"/>
      <c r="B3003" s="9"/>
      <c r="C3003" s="9"/>
      <c r="D3003" s="42"/>
      <c r="E3003" s="103"/>
      <c r="F3003" s="42"/>
      <c r="G3003" s="9"/>
      <c r="H3003" s="9"/>
      <c r="I3003" s="9"/>
      <c r="J3003" s="9"/>
      <c r="K3003" s="42"/>
      <c r="L3003" s="42"/>
      <c r="M3003" s="42"/>
      <c r="N3003" s="42"/>
      <c r="O3003" s="42"/>
      <c r="P3003" s="9"/>
      <c r="Q3003" s="9"/>
      <c r="R3003" s="42"/>
      <c r="S3003" s="42"/>
      <c r="T3003" s="42"/>
      <c r="U3003" s="42"/>
      <c r="V3003" s="42"/>
      <c r="W3003" s="42"/>
    </row>
    <row r="3004">
      <c r="A3004" s="9"/>
      <c r="B3004" s="9"/>
      <c r="C3004" s="9"/>
      <c r="D3004" s="42"/>
      <c r="E3004" s="103"/>
      <c r="F3004" s="42"/>
      <c r="G3004" s="9"/>
      <c r="H3004" s="9"/>
      <c r="I3004" s="9"/>
      <c r="J3004" s="9"/>
      <c r="K3004" s="42"/>
      <c r="L3004" s="42"/>
      <c r="M3004" s="42"/>
      <c r="N3004" s="42"/>
      <c r="O3004" s="42"/>
      <c r="P3004" s="9"/>
      <c r="Q3004" s="9"/>
      <c r="R3004" s="42"/>
      <c r="S3004" s="42"/>
      <c r="T3004" s="42"/>
      <c r="U3004" s="42"/>
      <c r="V3004" s="42"/>
      <c r="W3004" s="42"/>
    </row>
    <row r="3005">
      <c r="A3005" s="9"/>
      <c r="B3005" s="9"/>
      <c r="C3005" s="9"/>
      <c r="D3005" s="42"/>
      <c r="E3005" s="103"/>
      <c r="F3005" s="42"/>
      <c r="G3005" s="9"/>
      <c r="H3005" s="9"/>
      <c r="I3005" s="9"/>
      <c r="J3005" s="9"/>
      <c r="K3005" s="42"/>
      <c r="L3005" s="42"/>
      <c r="M3005" s="42"/>
      <c r="N3005" s="42"/>
      <c r="O3005" s="42"/>
      <c r="P3005" s="9"/>
      <c r="Q3005" s="9"/>
      <c r="R3005" s="42"/>
      <c r="S3005" s="42"/>
      <c r="T3005" s="42"/>
      <c r="U3005" s="42"/>
      <c r="V3005" s="42"/>
      <c r="W3005" s="42"/>
    </row>
    <row r="3006">
      <c r="A3006" s="9"/>
      <c r="B3006" s="9"/>
      <c r="C3006" s="9"/>
      <c r="D3006" s="42"/>
      <c r="E3006" s="103"/>
      <c r="F3006" s="42"/>
      <c r="G3006" s="9"/>
      <c r="H3006" s="9"/>
      <c r="I3006" s="9"/>
      <c r="J3006" s="9"/>
      <c r="K3006" s="42"/>
      <c r="L3006" s="42"/>
      <c r="M3006" s="42"/>
      <c r="N3006" s="42"/>
      <c r="O3006" s="42"/>
      <c r="P3006" s="9"/>
      <c r="Q3006" s="9"/>
      <c r="R3006" s="42"/>
      <c r="S3006" s="42"/>
      <c r="T3006" s="42"/>
      <c r="U3006" s="42"/>
      <c r="V3006" s="42"/>
      <c r="W3006" s="42"/>
    </row>
    <row r="3007">
      <c r="A3007" s="9"/>
      <c r="B3007" s="9"/>
      <c r="C3007" s="9"/>
      <c r="D3007" s="42"/>
      <c r="E3007" s="103"/>
      <c r="F3007" s="42"/>
      <c r="G3007" s="9"/>
      <c r="H3007" s="9"/>
      <c r="I3007" s="9"/>
      <c r="J3007" s="9"/>
      <c r="K3007" s="42"/>
      <c r="L3007" s="42"/>
      <c r="M3007" s="42"/>
      <c r="N3007" s="42"/>
      <c r="O3007" s="42"/>
      <c r="P3007" s="9"/>
      <c r="Q3007" s="9"/>
      <c r="R3007" s="42"/>
      <c r="S3007" s="42"/>
      <c r="T3007" s="42"/>
      <c r="U3007" s="42"/>
      <c r="V3007" s="42"/>
      <c r="W3007" s="42"/>
    </row>
    <row r="3008">
      <c r="A3008" s="9"/>
      <c r="B3008" s="9"/>
      <c r="C3008" s="9"/>
      <c r="D3008" s="42"/>
      <c r="E3008" s="103"/>
      <c r="F3008" s="42"/>
      <c r="G3008" s="9"/>
      <c r="H3008" s="9"/>
      <c r="I3008" s="9"/>
      <c r="J3008" s="9"/>
      <c r="K3008" s="42"/>
      <c r="L3008" s="42"/>
      <c r="M3008" s="42"/>
      <c r="N3008" s="42"/>
      <c r="O3008" s="42"/>
      <c r="P3008" s="9"/>
      <c r="Q3008" s="9"/>
      <c r="R3008" s="42"/>
      <c r="S3008" s="42"/>
      <c r="T3008" s="42"/>
      <c r="U3008" s="42"/>
      <c r="V3008" s="42"/>
      <c r="W3008" s="42"/>
    </row>
    <row r="3009">
      <c r="A3009" s="9"/>
      <c r="B3009" s="9"/>
      <c r="C3009" s="9"/>
      <c r="D3009" s="42"/>
      <c r="E3009" s="103"/>
      <c r="F3009" s="42"/>
      <c r="G3009" s="9"/>
      <c r="H3009" s="9"/>
      <c r="I3009" s="9"/>
      <c r="J3009" s="9"/>
      <c r="K3009" s="42"/>
      <c r="L3009" s="42"/>
      <c r="M3009" s="42"/>
      <c r="N3009" s="42"/>
      <c r="O3009" s="42"/>
      <c r="P3009" s="9"/>
      <c r="Q3009" s="9"/>
      <c r="R3009" s="42"/>
      <c r="S3009" s="42"/>
      <c r="T3009" s="42"/>
      <c r="U3009" s="42"/>
      <c r="V3009" s="42"/>
      <c r="W3009" s="42"/>
    </row>
    <row r="3010">
      <c r="A3010" s="9"/>
      <c r="B3010" s="9"/>
      <c r="C3010" s="9"/>
      <c r="D3010" s="42"/>
      <c r="E3010" s="103"/>
      <c r="F3010" s="42"/>
      <c r="G3010" s="9"/>
      <c r="H3010" s="9"/>
      <c r="I3010" s="9"/>
      <c r="J3010" s="9"/>
      <c r="K3010" s="42"/>
      <c r="L3010" s="42"/>
      <c r="M3010" s="42"/>
      <c r="N3010" s="42"/>
      <c r="O3010" s="42"/>
      <c r="P3010" s="9"/>
      <c r="Q3010" s="9"/>
      <c r="R3010" s="42"/>
      <c r="S3010" s="42"/>
      <c r="T3010" s="42"/>
      <c r="U3010" s="42"/>
      <c r="V3010" s="42"/>
      <c r="W3010" s="42"/>
    </row>
    <row r="3011">
      <c r="A3011" s="9"/>
      <c r="B3011" s="9"/>
      <c r="C3011" s="9"/>
      <c r="D3011" s="42"/>
      <c r="E3011" s="103"/>
      <c r="F3011" s="42"/>
      <c r="G3011" s="9"/>
      <c r="H3011" s="9"/>
      <c r="I3011" s="9"/>
      <c r="J3011" s="9"/>
      <c r="K3011" s="42"/>
      <c r="L3011" s="42"/>
      <c r="M3011" s="42"/>
      <c r="N3011" s="42"/>
      <c r="O3011" s="42"/>
      <c r="P3011" s="9"/>
      <c r="Q3011" s="9"/>
      <c r="R3011" s="42"/>
      <c r="S3011" s="42"/>
      <c r="T3011" s="42"/>
      <c r="U3011" s="42"/>
      <c r="V3011" s="42"/>
      <c r="W3011" s="42"/>
    </row>
    <row r="3012">
      <c r="A3012" s="9"/>
      <c r="B3012" s="9"/>
      <c r="C3012" s="9"/>
      <c r="D3012" s="42"/>
      <c r="E3012" s="103"/>
      <c r="F3012" s="42"/>
      <c r="G3012" s="9"/>
      <c r="H3012" s="9"/>
      <c r="I3012" s="9"/>
      <c r="J3012" s="9"/>
      <c r="K3012" s="42"/>
      <c r="L3012" s="42"/>
      <c r="M3012" s="42"/>
      <c r="N3012" s="42"/>
      <c r="O3012" s="42"/>
      <c r="P3012" s="9"/>
      <c r="Q3012" s="9"/>
      <c r="R3012" s="42"/>
      <c r="S3012" s="42"/>
      <c r="T3012" s="42"/>
      <c r="U3012" s="42"/>
      <c r="V3012" s="42"/>
      <c r="W3012" s="42"/>
    </row>
    <row r="3013">
      <c r="A3013" s="9"/>
      <c r="B3013" s="9"/>
      <c r="C3013" s="9"/>
      <c r="D3013" s="42"/>
      <c r="E3013" s="103"/>
      <c r="F3013" s="42"/>
      <c r="G3013" s="9"/>
      <c r="H3013" s="9"/>
      <c r="I3013" s="9"/>
      <c r="J3013" s="9"/>
      <c r="K3013" s="42"/>
      <c r="L3013" s="42"/>
      <c r="M3013" s="42"/>
      <c r="N3013" s="42"/>
      <c r="O3013" s="42"/>
      <c r="P3013" s="9"/>
      <c r="Q3013" s="9"/>
      <c r="R3013" s="42"/>
      <c r="S3013" s="42"/>
      <c r="T3013" s="42"/>
      <c r="U3013" s="42"/>
      <c r="V3013" s="42"/>
      <c r="W3013" s="42"/>
    </row>
    <row r="3014">
      <c r="A3014" s="9"/>
      <c r="B3014" s="9"/>
      <c r="C3014" s="9"/>
      <c r="D3014" s="42"/>
      <c r="E3014" s="103"/>
      <c r="F3014" s="42"/>
      <c r="G3014" s="9"/>
      <c r="H3014" s="9"/>
      <c r="I3014" s="9"/>
      <c r="J3014" s="9"/>
      <c r="K3014" s="42"/>
      <c r="L3014" s="42"/>
      <c r="M3014" s="42"/>
      <c r="N3014" s="42"/>
      <c r="O3014" s="42"/>
      <c r="P3014" s="9"/>
      <c r="Q3014" s="9"/>
      <c r="R3014" s="42"/>
      <c r="S3014" s="42"/>
      <c r="T3014" s="42"/>
      <c r="U3014" s="42"/>
      <c r="V3014" s="42"/>
      <c r="W3014" s="42"/>
    </row>
    <row r="3015">
      <c r="A3015" s="9"/>
      <c r="B3015" s="9"/>
      <c r="C3015" s="9"/>
      <c r="D3015" s="42"/>
      <c r="E3015" s="103"/>
      <c r="F3015" s="42"/>
      <c r="G3015" s="9"/>
      <c r="H3015" s="9"/>
      <c r="I3015" s="9"/>
      <c r="J3015" s="9"/>
      <c r="K3015" s="42"/>
      <c r="L3015" s="42"/>
      <c r="M3015" s="42"/>
      <c r="N3015" s="42"/>
      <c r="O3015" s="42"/>
      <c r="P3015" s="9"/>
      <c r="Q3015" s="9"/>
      <c r="R3015" s="42"/>
      <c r="S3015" s="42"/>
      <c r="T3015" s="42"/>
      <c r="U3015" s="42"/>
      <c r="V3015" s="42"/>
      <c r="W3015" s="42"/>
    </row>
    <row r="3016">
      <c r="A3016" s="9"/>
      <c r="B3016" s="9"/>
      <c r="C3016" s="9"/>
      <c r="D3016" s="42"/>
      <c r="E3016" s="103"/>
      <c r="F3016" s="42"/>
      <c r="G3016" s="9"/>
      <c r="H3016" s="9"/>
      <c r="I3016" s="9"/>
      <c r="J3016" s="9"/>
      <c r="K3016" s="42"/>
      <c r="L3016" s="42"/>
      <c r="M3016" s="42"/>
      <c r="N3016" s="42"/>
      <c r="O3016" s="42"/>
      <c r="P3016" s="9"/>
      <c r="Q3016" s="9"/>
      <c r="R3016" s="42"/>
      <c r="S3016" s="42"/>
      <c r="T3016" s="42"/>
      <c r="U3016" s="42"/>
      <c r="V3016" s="42"/>
      <c r="W3016" s="42"/>
    </row>
    <row r="3017">
      <c r="A3017" s="9"/>
      <c r="B3017" s="9"/>
      <c r="C3017" s="9"/>
      <c r="D3017" s="42"/>
      <c r="E3017" s="103"/>
      <c r="F3017" s="42"/>
      <c r="G3017" s="9"/>
      <c r="H3017" s="9"/>
      <c r="I3017" s="9"/>
      <c r="J3017" s="9"/>
      <c r="K3017" s="42"/>
      <c r="L3017" s="42"/>
      <c r="M3017" s="42"/>
      <c r="N3017" s="42"/>
      <c r="O3017" s="42"/>
      <c r="P3017" s="9"/>
      <c r="Q3017" s="9"/>
      <c r="R3017" s="42"/>
      <c r="S3017" s="42"/>
      <c r="T3017" s="42"/>
      <c r="U3017" s="42"/>
      <c r="V3017" s="42"/>
      <c r="W3017" s="42"/>
    </row>
    <row r="3018">
      <c r="A3018" s="9"/>
      <c r="B3018" s="9"/>
      <c r="C3018" s="9"/>
      <c r="D3018" s="42"/>
      <c r="E3018" s="103"/>
      <c r="F3018" s="42"/>
      <c r="G3018" s="9"/>
      <c r="H3018" s="9"/>
      <c r="I3018" s="9"/>
      <c r="J3018" s="9"/>
      <c r="K3018" s="42"/>
      <c r="L3018" s="42"/>
      <c r="M3018" s="42"/>
      <c r="N3018" s="42"/>
      <c r="O3018" s="42"/>
      <c r="P3018" s="9"/>
      <c r="Q3018" s="9"/>
      <c r="R3018" s="42"/>
      <c r="S3018" s="42"/>
      <c r="T3018" s="42"/>
      <c r="U3018" s="42"/>
      <c r="V3018" s="42"/>
      <c r="W3018" s="42"/>
    </row>
    <row r="3019">
      <c r="A3019" s="9"/>
      <c r="B3019" s="9"/>
      <c r="C3019" s="9"/>
      <c r="D3019" s="42"/>
      <c r="E3019" s="103"/>
      <c r="F3019" s="42"/>
      <c r="G3019" s="9"/>
      <c r="H3019" s="9"/>
      <c r="I3019" s="9"/>
      <c r="J3019" s="9"/>
      <c r="K3019" s="42"/>
      <c r="L3019" s="42"/>
      <c r="M3019" s="42"/>
      <c r="N3019" s="42"/>
      <c r="O3019" s="42"/>
      <c r="P3019" s="9"/>
      <c r="Q3019" s="9"/>
      <c r="R3019" s="42"/>
      <c r="S3019" s="42"/>
      <c r="T3019" s="42"/>
      <c r="U3019" s="42"/>
      <c r="V3019" s="42"/>
      <c r="W3019" s="42"/>
    </row>
    <row r="3020">
      <c r="A3020" s="9"/>
      <c r="B3020" s="9"/>
      <c r="C3020" s="9"/>
      <c r="D3020" s="42"/>
      <c r="E3020" s="103"/>
      <c r="F3020" s="42"/>
      <c r="G3020" s="9"/>
      <c r="H3020" s="9"/>
      <c r="I3020" s="9"/>
      <c r="J3020" s="9"/>
      <c r="K3020" s="42"/>
      <c r="L3020" s="42"/>
      <c r="M3020" s="42"/>
      <c r="N3020" s="42"/>
      <c r="O3020" s="42"/>
      <c r="P3020" s="9"/>
      <c r="Q3020" s="9"/>
      <c r="R3020" s="42"/>
      <c r="S3020" s="42"/>
      <c r="T3020" s="42"/>
      <c r="U3020" s="42"/>
      <c r="V3020" s="42"/>
      <c r="W3020" s="42"/>
    </row>
    <row r="3021">
      <c r="A3021" s="9"/>
      <c r="B3021" s="9"/>
      <c r="C3021" s="9"/>
      <c r="D3021" s="42"/>
      <c r="E3021" s="103"/>
      <c r="F3021" s="42"/>
      <c r="G3021" s="9"/>
      <c r="H3021" s="9"/>
      <c r="I3021" s="9"/>
      <c r="J3021" s="9"/>
      <c r="K3021" s="42"/>
      <c r="L3021" s="42"/>
      <c r="M3021" s="42"/>
      <c r="N3021" s="42"/>
      <c r="O3021" s="42"/>
      <c r="P3021" s="9"/>
      <c r="Q3021" s="9"/>
      <c r="R3021" s="42"/>
      <c r="S3021" s="42"/>
      <c r="T3021" s="42"/>
      <c r="U3021" s="42"/>
      <c r="V3021" s="42"/>
      <c r="W3021" s="42"/>
    </row>
    <row r="3022">
      <c r="A3022" s="9"/>
      <c r="B3022" s="9"/>
      <c r="C3022" s="9"/>
      <c r="D3022" s="42"/>
      <c r="E3022" s="103"/>
      <c r="F3022" s="42"/>
      <c r="G3022" s="9"/>
      <c r="H3022" s="9"/>
      <c r="I3022" s="9"/>
      <c r="J3022" s="9"/>
      <c r="K3022" s="42"/>
      <c r="L3022" s="42"/>
      <c r="M3022" s="42"/>
      <c r="N3022" s="42"/>
      <c r="O3022" s="42"/>
      <c r="P3022" s="9"/>
      <c r="Q3022" s="9"/>
      <c r="R3022" s="42"/>
      <c r="S3022" s="42"/>
      <c r="T3022" s="42"/>
      <c r="U3022" s="42"/>
      <c r="V3022" s="42"/>
      <c r="W3022" s="42"/>
    </row>
    <row r="3023">
      <c r="A3023" s="9"/>
      <c r="B3023" s="9"/>
      <c r="C3023" s="9"/>
      <c r="D3023" s="42"/>
      <c r="E3023" s="103"/>
      <c r="F3023" s="42"/>
      <c r="G3023" s="9"/>
      <c r="H3023" s="9"/>
      <c r="I3023" s="9"/>
      <c r="J3023" s="9"/>
      <c r="K3023" s="42"/>
      <c r="L3023" s="42"/>
      <c r="M3023" s="42"/>
      <c r="N3023" s="42"/>
      <c r="O3023" s="42"/>
      <c r="P3023" s="9"/>
      <c r="Q3023" s="9"/>
      <c r="R3023" s="42"/>
      <c r="S3023" s="42"/>
      <c r="T3023" s="42"/>
      <c r="U3023" s="42"/>
      <c r="V3023" s="42"/>
      <c r="W3023" s="42"/>
    </row>
    <row r="3024">
      <c r="A3024" s="9"/>
      <c r="B3024" s="9"/>
      <c r="C3024" s="9"/>
      <c r="D3024" s="42"/>
      <c r="E3024" s="103"/>
      <c r="F3024" s="42"/>
      <c r="G3024" s="9"/>
      <c r="H3024" s="9"/>
      <c r="I3024" s="9"/>
      <c r="J3024" s="9"/>
      <c r="K3024" s="42"/>
      <c r="L3024" s="42"/>
      <c r="M3024" s="42"/>
      <c r="N3024" s="42"/>
      <c r="O3024" s="42"/>
      <c r="P3024" s="9"/>
      <c r="Q3024" s="9"/>
      <c r="R3024" s="42"/>
      <c r="S3024" s="42"/>
      <c r="T3024" s="42"/>
      <c r="U3024" s="42"/>
      <c r="V3024" s="42"/>
      <c r="W3024" s="42"/>
    </row>
    <row r="3025">
      <c r="A3025" s="9"/>
      <c r="B3025" s="9"/>
      <c r="C3025" s="9"/>
      <c r="D3025" s="42"/>
      <c r="E3025" s="103"/>
      <c r="F3025" s="42"/>
      <c r="G3025" s="9"/>
      <c r="H3025" s="9"/>
      <c r="I3025" s="9"/>
      <c r="J3025" s="9"/>
      <c r="K3025" s="42"/>
      <c r="L3025" s="42"/>
      <c r="M3025" s="42"/>
      <c r="N3025" s="42"/>
      <c r="O3025" s="42"/>
      <c r="P3025" s="9"/>
      <c r="Q3025" s="9"/>
      <c r="R3025" s="42"/>
      <c r="S3025" s="42"/>
      <c r="T3025" s="42"/>
      <c r="U3025" s="42"/>
      <c r="V3025" s="42"/>
      <c r="W3025" s="42"/>
    </row>
    <row r="3026">
      <c r="A3026" s="9"/>
      <c r="B3026" s="9"/>
      <c r="C3026" s="9"/>
      <c r="D3026" s="42"/>
      <c r="E3026" s="103"/>
      <c r="F3026" s="42"/>
      <c r="G3026" s="9"/>
      <c r="H3026" s="9"/>
      <c r="I3026" s="9"/>
      <c r="J3026" s="9"/>
      <c r="K3026" s="42"/>
      <c r="L3026" s="42"/>
      <c r="M3026" s="42"/>
      <c r="N3026" s="42"/>
      <c r="O3026" s="42"/>
      <c r="P3026" s="9"/>
      <c r="Q3026" s="9"/>
      <c r="R3026" s="42"/>
      <c r="S3026" s="42"/>
      <c r="T3026" s="42"/>
      <c r="U3026" s="42"/>
      <c r="V3026" s="42"/>
      <c r="W3026" s="42"/>
    </row>
    <row r="3027">
      <c r="A3027" s="9"/>
      <c r="B3027" s="9"/>
      <c r="C3027" s="9"/>
      <c r="D3027" s="42"/>
      <c r="E3027" s="103"/>
      <c r="F3027" s="42"/>
      <c r="G3027" s="9"/>
      <c r="H3027" s="9"/>
      <c r="I3027" s="9"/>
      <c r="J3027" s="9"/>
      <c r="K3027" s="42"/>
      <c r="L3027" s="42"/>
      <c r="M3027" s="42"/>
      <c r="N3027" s="42"/>
      <c r="O3027" s="42"/>
      <c r="P3027" s="9"/>
      <c r="Q3027" s="9"/>
      <c r="R3027" s="42"/>
      <c r="S3027" s="42"/>
      <c r="T3027" s="42"/>
      <c r="U3027" s="42"/>
      <c r="V3027" s="42"/>
      <c r="W3027" s="42"/>
    </row>
    <row r="3028">
      <c r="A3028" s="9"/>
      <c r="B3028" s="9"/>
      <c r="C3028" s="9"/>
      <c r="D3028" s="42"/>
      <c r="E3028" s="103"/>
      <c r="F3028" s="42"/>
      <c r="G3028" s="9"/>
      <c r="H3028" s="9"/>
      <c r="I3028" s="9"/>
      <c r="J3028" s="9"/>
      <c r="K3028" s="42"/>
      <c r="L3028" s="42"/>
      <c r="M3028" s="42"/>
      <c r="N3028" s="42"/>
      <c r="O3028" s="42"/>
      <c r="P3028" s="9"/>
      <c r="Q3028" s="9"/>
      <c r="R3028" s="42"/>
      <c r="S3028" s="42"/>
      <c r="T3028" s="42"/>
      <c r="U3028" s="42"/>
      <c r="V3028" s="42"/>
      <c r="W3028" s="42"/>
    </row>
    <row r="3029">
      <c r="A3029" s="9"/>
      <c r="B3029" s="9"/>
      <c r="C3029" s="9"/>
      <c r="D3029" s="42"/>
      <c r="E3029" s="103"/>
      <c r="F3029" s="42"/>
      <c r="G3029" s="9"/>
      <c r="H3029" s="9"/>
      <c r="I3029" s="9"/>
      <c r="J3029" s="9"/>
      <c r="K3029" s="42"/>
      <c r="L3029" s="42"/>
      <c r="M3029" s="42"/>
      <c r="N3029" s="42"/>
      <c r="O3029" s="42"/>
      <c r="P3029" s="9"/>
      <c r="Q3029" s="9"/>
      <c r="R3029" s="42"/>
      <c r="S3029" s="42"/>
      <c r="T3029" s="42"/>
      <c r="U3029" s="42"/>
      <c r="V3029" s="42"/>
      <c r="W3029" s="42"/>
    </row>
    <row r="3030">
      <c r="A3030" s="9"/>
      <c r="B3030" s="9"/>
      <c r="C3030" s="9"/>
      <c r="D3030" s="42"/>
      <c r="E3030" s="103"/>
      <c r="F3030" s="42"/>
      <c r="G3030" s="9"/>
      <c r="H3030" s="9"/>
      <c r="I3030" s="9"/>
      <c r="J3030" s="9"/>
      <c r="K3030" s="42"/>
      <c r="L3030" s="42"/>
      <c r="M3030" s="42"/>
      <c r="N3030" s="42"/>
      <c r="O3030" s="42"/>
      <c r="P3030" s="9"/>
      <c r="Q3030" s="9"/>
      <c r="R3030" s="42"/>
      <c r="S3030" s="42"/>
      <c r="T3030" s="42"/>
      <c r="U3030" s="42"/>
      <c r="V3030" s="42"/>
      <c r="W3030" s="42"/>
    </row>
    <row r="3031">
      <c r="A3031" s="9"/>
      <c r="B3031" s="9"/>
      <c r="C3031" s="9"/>
      <c r="D3031" s="42"/>
      <c r="E3031" s="103"/>
      <c r="F3031" s="42"/>
      <c r="G3031" s="9"/>
      <c r="H3031" s="9"/>
      <c r="I3031" s="9"/>
      <c r="J3031" s="9"/>
      <c r="K3031" s="42"/>
      <c r="L3031" s="42"/>
      <c r="M3031" s="42"/>
      <c r="N3031" s="42"/>
      <c r="O3031" s="42"/>
      <c r="P3031" s="9"/>
      <c r="Q3031" s="9"/>
      <c r="R3031" s="42"/>
      <c r="S3031" s="42"/>
      <c r="T3031" s="42"/>
      <c r="U3031" s="42"/>
      <c r="V3031" s="42"/>
      <c r="W3031" s="42"/>
    </row>
    <row r="3032">
      <c r="A3032" s="9"/>
      <c r="B3032" s="9"/>
      <c r="C3032" s="9"/>
      <c r="D3032" s="42"/>
      <c r="E3032" s="103"/>
      <c r="F3032" s="42"/>
      <c r="G3032" s="9"/>
      <c r="H3032" s="9"/>
      <c r="I3032" s="9"/>
      <c r="J3032" s="9"/>
      <c r="K3032" s="42"/>
      <c r="L3032" s="42"/>
      <c r="M3032" s="42"/>
      <c r="N3032" s="42"/>
      <c r="O3032" s="42"/>
      <c r="P3032" s="9"/>
      <c r="Q3032" s="9"/>
      <c r="R3032" s="42"/>
      <c r="S3032" s="42"/>
      <c r="T3032" s="42"/>
      <c r="U3032" s="42"/>
      <c r="V3032" s="42"/>
      <c r="W3032" s="42"/>
    </row>
    <row r="3033">
      <c r="A3033" s="9"/>
      <c r="B3033" s="9"/>
      <c r="C3033" s="9"/>
      <c r="D3033" s="42"/>
      <c r="E3033" s="103"/>
      <c r="F3033" s="42"/>
      <c r="G3033" s="9"/>
      <c r="H3033" s="9"/>
      <c r="I3033" s="9"/>
      <c r="J3033" s="9"/>
      <c r="K3033" s="42"/>
      <c r="L3033" s="42"/>
      <c r="M3033" s="42"/>
      <c r="N3033" s="42"/>
      <c r="O3033" s="42"/>
      <c r="P3033" s="9"/>
      <c r="Q3033" s="9"/>
      <c r="R3033" s="42"/>
      <c r="S3033" s="42"/>
      <c r="T3033" s="42"/>
      <c r="U3033" s="42"/>
      <c r="V3033" s="42"/>
      <c r="W3033" s="42"/>
    </row>
    <row r="3034">
      <c r="A3034" s="9"/>
      <c r="B3034" s="9"/>
      <c r="C3034" s="9"/>
      <c r="D3034" s="42"/>
      <c r="E3034" s="103"/>
      <c r="F3034" s="42"/>
      <c r="G3034" s="9"/>
      <c r="H3034" s="9"/>
      <c r="I3034" s="9"/>
      <c r="J3034" s="9"/>
      <c r="K3034" s="42"/>
      <c r="L3034" s="42"/>
      <c r="M3034" s="42"/>
      <c r="N3034" s="42"/>
      <c r="O3034" s="42"/>
      <c r="P3034" s="9"/>
      <c r="Q3034" s="9"/>
      <c r="R3034" s="42"/>
      <c r="S3034" s="42"/>
      <c r="T3034" s="42"/>
      <c r="U3034" s="42"/>
      <c r="V3034" s="42"/>
      <c r="W3034" s="42"/>
    </row>
    <row r="3035">
      <c r="A3035" s="9"/>
      <c r="B3035" s="9"/>
      <c r="C3035" s="9"/>
      <c r="D3035" s="42"/>
      <c r="E3035" s="103"/>
      <c r="F3035" s="42"/>
      <c r="G3035" s="9"/>
      <c r="H3035" s="9"/>
      <c r="I3035" s="9"/>
      <c r="J3035" s="9"/>
      <c r="K3035" s="42"/>
      <c r="L3035" s="42"/>
      <c r="M3035" s="42"/>
      <c r="N3035" s="42"/>
      <c r="O3035" s="42"/>
      <c r="P3035" s="9"/>
      <c r="Q3035" s="9"/>
      <c r="R3035" s="42"/>
      <c r="S3035" s="42"/>
      <c r="T3035" s="42"/>
      <c r="U3035" s="42"/>
      <c r="V3035" s="42"/>
      <c r="W3035" s="42"/>
    </row>
    <row r="3036">
      <c r="A3036" s="9"/>
      <c r="B3036" s="9"/>
      <c r="C3036" s="9"/>
      <c r="D3036" s="42"/>
      <c r="E3036" s="103"/>
      <c r="F3036" s="42"/>
      <c r="G3036" s="9"/>
      <c r="H3036" s="9"/>
      <c r="I3036" s="9"/>
      <c r="J3036" s="9"/>
      <c r="K3036" s="42"/>
      <c r="L3036" s="42"/>
      <c r="M3036" s="42"/>
      <c r="N3036" s="42"/>
      <c r="O3036" s="42"/>
      <c r="P3036" s="9"/>
      <c r="Q3036" s="9"/>
      <c r="R3036" s="42"/>
      <c r="S3036" s="42"/>
      <c r="T3036" s="42"/>
      <c r="U3036" s="42"/>
      <c r="V3036" s="42"/>
      <c r="W3036" s="42"/>
    </row>
    <row r="3037">
      <c r="A3037" s="9"/>
      <c r="B3037" s="9"/>
      <c r="C3037" s="9"/>
      <c r="D3037" s="42"/>
      <c r="E3037" s="103"/>
      <c r="F3037" s="42"/>
      <c r="G3037" s="9"/>
      <c r="H3037" s="9"/>
      <c r="I3037" s="9"/>
      <c r="J3037" s="9"/>
      <c r="K3037" s="42"/>
      <c r="L3037" s="42"/>
      <c r="M3037" s="42"/>
      <c r="N3037" s="42"/>
      <c r="O3037" s="42"/>
      <c r="P3037" s="9"/>
      <c r="Q3037" s="9"/>
      <c r="R3037" s="42"/>
      <c r="S3037" s="42"/>
      <c r="T3037" s="42"/>
      <c r="U3037" s="42"/>
      <c r="V3037" s="42"/>
      <c r="W3037" s="42"/>
    </row>
    <row r="3038">
      <c r="A3038" s="9"/>
      <c r="B3038" s="9"/>
      <c r="C3038" s="9"/>
      <c r="D3038" s="42"/>
      <c r="E3038" s="103"/>
      <c r="F3038" s="42"/>
      <c r="G3038" s="9"/>
      <c r="H3038" s="9"/>
      <c r="I3038" s="9"/>
      <c r="J3038" s="9"/>
      <c r="K3038" s="42"/>
      <c r="L3038" s="42"/>
      <c r="M3038" s="42"/>
      <c r="N3038" s="42"/>
      <c r="O3038" s="42"/>
      <c r="P3038" s="9"/>
      <c r="Q3038" s="9"/>
      <c r="R3038" s="42"/>
      <c r="S3038" s="42"/>
      <c r="T3038" s="42"/>
      <c r="U3038" s="42"/>
      <c r="V3038" s="42"/>
      <c r="W3038" s="42"/>
    </row>
    <row r="3039">
      <c r="A3039" s="9"/>
      <c r="B3039" s="9"/>
      <c r="C3039" s="9"/>
      <c r="D3039" s="42"/>
      <c r="E3039" s="103"/>
      <c r="F3039" s="42"/>
      <c r="G3039" s="9"/>
      <c r="H3039" s="9"/>
      <c r="I3039" s="9"/>
      <c r="J3039" s="9"/>
      <c r="K3039" s="42"/>
      <c r="L3039" s="42"/>
      <c r="M3039" s="42"/>
      <c r="N3039" s="42"/>
      <c r="O3039" s="42"/>
      <c r="P3039" s="9"/>
      <c r="Q3039" s="9"/>
      <c r="R3039" s="42"/>
      <c r="S3039" s="42"/>
      <c r="T3039" s="42"/>
      <c r="U3039" s="42"/>
      <c r="V3039" s="42"/>
      <c r="W3039" s="42"/>
    </row>
    <row r="3040">
      <c r="A3040" s="9"/>
      <c r="B3040" s="9"/>
      <c r="C3040" s="9"/>
      <c r="D3040" s="42"/>
      <c r="E3040" s="103"/>
      <c r="F3040" s="42"/>
      <c r="G3040" s="9"/>
      <c r="H3040" s="9"/>
      <c r="I3040" s="9"/>
      <c r="J3040" s="9"/>
      <c r="K3040" s="42"/>
      <c r="L3040" s="42"/>
      <c r="M3040" s="42"/>
      <c r="N3040" s="42"/>
      <c r="O3040" s="42"/>
      <c r="P3040" s="9"/>
      <c r="Q3040" s="9"/>
      <c r="R3040" s="42"/>
      <c r="S3040" s="42"/>
      <c r="T3040" s="42"/>
      <c r="U3040" s="42"/>
      <c r="V3040" s="42"/>
      <c r="W3040" s="42"/>
    </row>
    <row r="3041">
      <c r="A3041" s="9"/>
      <c r="B3041" s="9"/>
      <c r="C3041" s="9"/>
      <c r="D3041" s="42"/>
      <c r="E3041" s="103"/>
      <c r="F3041" s="42"/>
      <c r="G3041" s="9"/>
      <c r="H3041" s="9"/>
      <c r="I3041" s="9"/>
      <c r="J3041" s="9"/>
      <c r="K3041" s="42"/>
      <c r="L3041" s="42"/>
      <c r="M3041" s="42"/>
      <c r="N3041" s="42"/>
      <c r="O3041" s="42"/>
      <c r="P3041" s="9"/>
      <c r="Q3041" s="9"/>
      <c r="R3041" s="42"/>
      <c r="S3041" s="42"/>
      <c r="T3041" s="42"/>
      <c r="U3041" s="42"/>
      <c r="V3041" s="42"/>
      <c r="W3041" s="42"/>
    </row>
    <row r="3042">
      <c r="A3042" s="9"/>
      <c r="B3042" s="9"/>
      <c r="C3042" s="9"/>
      <c r="D3042" s="42"/>
      <c r="E3042" s="103"/>
      <c r="F3042" s="42"/>
      <c r="G3042" s="9"/>
      <c r="H3042" s="9"/>
      <c r="I3042" s="9"/>
      <c r="J3042" s="9"/>
      <c r="K3042" s="42"/>
      <c r="L3042" s="42"/>
      <c r="M3042" s="42"/>
      <c r="N3042" s="42"/>
      <c r="O3042" s="42"/>
      <c r="P3042" s="9"/>
      <c r="Q3042" s="9"/>
      <c r="R3042" s="42"/>
      <c r="S3042" s="42"/>
      <c r="T3042" s="42"/>
      <c r="U3042" s="42"/>
      <c r="V3042" s="42"/>
      <c r="W3042" s="42"/>
    </row>
    <row r="3043">
      <c r="A3043" s="9"/>
      <c r="B3043" s="9"/>
      <c r="C3043" s="9"/>
      <c r="D3043" s="42"/>
      <c r="E3043" s="103"/>
      <c r="F3043" s="42"/>
      <c r="G3043" s="9"/>
      <c r="H3043" s="9"/>
      <c r="I3043" s="9"/>
      <c r="J3043" s="9"/>
      <c r="K3043" s="42"/>
      <c r="L3043" s="42"/>
      <c r="M3043" s="42"/>
      <c r="N3043" s="42"/>
      <c r="O3043" s="42"/>
      <c r="P3043" s="9"/>
      <c r="Q3043" s="9"/>
      <c r="R3043" s="42"/>
      <c r="S3043" s="42"/>
      <c r="T3043" s="42"/>
      <c r="U3043" s="42"/>
      <c r="V3043" s="42"/>
      <c r="W3043" s="42"/>
    </row>
    <row r="3044">
      <c r="A3044" s="9"/>
      <c r="B3044" s="9"/>
      <c r="C3044" s="9"/>
      <c r="D3044" s="42"/>
      <c r="E3044" s="103"/>
      <c r="F3044" s="42"/>
      <c r="G3044" s="9"/>
      <c r="H3044" s="9"/>
      <c r="I3044" s="9"/>
      <c r="J3044" s="9"/>
      <c r="K3044" s="42"/>
      <c r="L3044" s="42"/>
      <c r="M3044" s="42"/>
      <c r="N3044" s="42"/>
      <c r="O3044" s="42"/>
      <c r="P3044" s="9"/>
      <c r="Q3044" s="9"/>
      <c r="R3044" s="42"/>
      <c r="S3044" s="42"/>
      <c r="T3044" s="42"/>
      <c r="U3044" s="42"/>
      <c r="V3044" s="42"/>
      <c r="W3044" s="42"/>
    </row>
    <row r="3045">
      <c r="A3045" s="9"/>
      <c r="B3045" s="9"/>
      <c r="C3045" s="9"/>
      <c r="D3045" s="42"/>
      <c r="E3045" s="103"/>
      <c r="F3045" s="42"/>
      <c r="G3045" s="9"/>
      <c r="H3045" s="9"/>
      <c r="I3045" s="9"/>
      <c r="J3045" s="9"/>
      <c r="K3045" s="42"/>
      <c r="L3045" s="42"/>
      <c r="M3045" s="42"/>
      <c r="N3045" s="42"/>
      <c r="O3045" s="42"/>
      <c r="P3045" s="9"/>
      <c r="Q3045" s="9"/>
      <c r="R3045" s="42"/>
      <c r="S3045" s="42"/>
      <c r="T3045" s="42"/>
      <c r="U3045" s="42"/>
      <c r="V3045" s="42"/>
      <c r="W3045" s="42"/>
    </row>
    <row r="3046">
      <c r="A3046" s="9"/>
      <c r="B3046" s="9"/>
      <c r="C3046" s="9"/>
      <c r="D3046" s="42"/>
      <c r="E3046" s="103"/>
      <c r="F3046" s="42"/>
      <c r="G3046" s="9"/>
      <c r="H3046" s="9"/>
      <c r="I3046" s="9"/>
      <c r="J3046" s="9"/>
      <c r="K3046" s="42"/>
      <c r="L3046" s="42"/>
      <c r="M3046" s="42"/>
      <c r="N3046" s="42"/>
      <c r="O3046" s="42"/>
      <c r="P3046" s="9"/>
      <c r="Q3046" s="9"/>
      <c r="R3046" s="42"/>
      <c r="S3046" s="42"/>
      <c r="T3046" s="42"/>
      <c r="U3046" s="42"/>
      <c r="V3046" s="42"/>
      <c r="W3046" s="42"/>
    </row>
    <row r="3047">
      <c r="A3047" s="9"/>
      <c r="B3047" s="9"/>
      <c r="C3047" s="9"/>
      <c r="D3047" s="42"/>
      <c r="E3047" s="103"/>
      <c r="F3047" s="42"/>
      <c r="G3047" s="9"/>
      <c r="H3047" s="9"/>
      <c r="I3047" s="9"/>
      <c r="J3047" s="9"/>
      <c r="K3047" s="42"/>
      <c r="L3047" s="42"/>
      <c r="M3047" s="42"/>
      <c r="N3047" s="42"/>
      <c r="O3047" s="42"/>
      <c r="P3047" s="9"/>
      <c r="Q3047" s="9"/>
      <c r="R3047" s="42"/>
      <c r="S3047" s="42"/>
      <c r="T3047" s="42"/>
      <c r="U3047" s="42"/>
      <c r="V3047" s="42"/>
      <c r="W3047" s="42"/>
    </row>
    <row r="3048">
      <c r="A3048" s="9"/>
      <c r="B3048" s="9"/>
      <c r="C3048" s="9"/>
      <c r="D3048" s="42"/>
      <c r="E3048" s="103"/>
      <c r="F3048" s="42"/>
      <c r="G3048" s="9"/>
      <c r="H3048" s="9"/>
      <c r="I3048" s="9"/>
      <c r="J3048" s="9"/>
      <c r="K3048" s="42"/>
      <c r="L3048" s="42"/>
      <c r="M3048" s="42"/>
      <c r="N3048" s="42"/>
      <c r="O3048" s="42"/>
      <c r="P3048" s="9"/>
      <c r="Q3048" s="9"/>
      <c r="R3048" s="42"/>
      <c r="S3048" s="42"/>
      <c r="T3048" s="42"/>
      <c r="U3048" s="42"/>
      <c r="V3048" s="42"/>
      <c r="W3048" s="42"/>
    </row>
    <row r="3049">
      <c r="A3049" s="9"/>
      <c r="B3049" s="9"/>
      <c r="C3049" s="9"/>
      <c r="D3049" s="42"/>
      <c r="E3049" s="103"/>
      <c r="F3049" s="42"/>
      <c r="G3049" s="9"/>
      <c r="H3049" s="9"/>
      <c r="I3049" s="9"/>
      <c r="J3049" s="9"/>
      <c r="K3049" s="42"/>
      <c r="L3049" s="42"/>
      <c r="M3049" s="42"/>
      <c r="N3049" s="42"/>
      <c r="O3049" s="42"/>
      <c r="P3049" s="9"/>
      <c r="Q3049" s="9"/>
      <c r="R3049" s="42"/>
      <c r="S3049" s="42"/>
      <c r="T3049" s="42"/>
      <c r="U3049" s="42"/>
      <c r="V3049" s="42"/>
      <c r="W3049" s="42"/>
    </row>
    <row r="3050">
      <c r="A3050" s="9"/>
      <c r="B3050" s="9"/>
      <c r="C3050" s="9"/>
      <c r="D3050" s="42"/>
      <c r="E3050" s="103"/>
      <c r="F3050" s="42"/>
      <c r="G3050" s="9"/>
      <c r="H3050" s="9"/>
      <c r="I3050" s="9"/>
      <c r="J3050" s="9"/>
      <c r="K3050" s="42"/>
      <c r="L3050" s="42"/>
      <c r="M3050" s="42"/>
      <c r="N3050" s="42"/>
      <c r="O3050" s="42"/>
      <c r="P3050" s="9"/>
      <c r="Q3050" s="9"/>
      <c r="R3050" s="42"/>
      <c r="S3050" s="42"/>
      <c r="T3050" s="42"/>
      <c r="U3050" s="42"/>
      <c r="V3050" s="42"/>
      <c r="W3050" s="42"/>
    </row>
    <row r="3051">
      <c r="A3051" s="9"/>
      <c r="B3051" s="9"/>
      <c r="C3051" s="9"/>
      <c r="D3051" s="42"/>
      <c r="E3051" s="103"/>
      <c r="F3051" s="42"/>
      <c r="G3051" s="9"/>
      <c r="H3051" s="9"/>
      <c r="I3051" s="9"/>
      <c r="J3051" s="9"/>
      <c r="K3051" s="42"/>
      <c r="L3051" s="42"/>
      <c r="M3051" s="42"/>
      <c r="N3051" s="42"/>
      <c r="O3051" s="42"/>
      <c r="P3051" s="9"/>
      <c r="Q3051" s="9"/>
      <c r="R3051" s="42"/>
      <c r="S3051" s="42"/>
      <c r="T3051" s="42"/>
      <c r="U3051" s="42"/>
      <c r="V3051" s="42"/>
      <c r="W3051" s="42"/>
    </row>
    <row r="3052">
      <c r="A3052" s="9"/>
      <c r="B3052" s="9"/>
      <c r="C3052" s="9"/>
      <c r="D3052" s="42"/>
      <c r="E3052" s="103"/>
      <c r="F3052" s="42"/>
      <c r="G3052" s="9"/>
      <c r="H3052" s="9"/>
      <c r="I3052" s="9"/>
      <c r="J3052" s="9"/>
      <c r="K3052" s="42"/>
      <c r="L3052" s="42"/>
      <c r="M3052" s="42"/>
      <c r="N3052" s="42"/>
      <c r="O3052" s="42"/>
      <c r="P3052" s="9"/>
      <c r="Q3052" s="9"/>
      <c r="R3052" s="42"/>
      <c r="S3052" s="42"/>
      <c r="T3052" s="42"/>
      <c r="U3052" s="42"/>
      <c r="V3052" s="42"/>
      <c r="W3052" s="42"/>
    </row>
    <row r="3053">
      <c r="A3053" s="9"/>
      <c r="B3053" s="9"/>
      <c r="C3053" s="9"/>
      <c r="D3053" s="42"/>
      <c r="E3053" s="103"/>
      <c r="F3053" s="42"/>
      <c r="G3053" s="9"/>
      <c r="H3053" s="9"/>
      <c r="I3053" s="9"/>
      <c r="J3053" s="9"/>
      <c r="K3053" s="42"/>
      <c r="L3053" s="42"/>
      <c r="M3053" s="42"/>
      <c r="N3053" s="42"/>
      <c r="O3053" s="42"/>
      <c r="P3053" s="9"/>
      <c r="Q3053" s="9"/>
      <c r="R3053" s="42"/>
      <c r="S3053" s="42"/>
      <c r="T3053" s="42"/>
      <c r="U3053" s="42"/>
      <c r="V3053" s="42"/>
      <c r="W3053" s="42"/>
    </row>
    <row r="3054">
      <c r="A3054" s="9"/>
      <c r="B3054" s="9"/>
      <c r="C3054" s="9"/>
      <c r="D3054" s="42"/>
      <c r="E3054" s="103"/>
      <c r="F3054" s="42"/>
      <c r="G3054" s="9"/>
      <c r="H3054" s="9"/>
      <c r="I3054" s="9"/>
      <c r="J3054" s="9"/>
      <c r="K3054" s="42"/>
      <c r="L3054" s="42"/>
      <c r="M3054" s="42"/>
      <c r="N3054" s="42"/>
      <c r="O3054" s="42"/>
      <c r="P3054" s="9"/>
      <c r="Q3054" s="9"/>
      <c r="R3054" s="42"/>
      <c r="S3054" s="42"/>
      <c r="T3054" s="42"/>
      <c r="U3054" s="42"/>
      <c r="V3054" s="42"/>
      <c r="W3054" s="42"/>
    </row>
    <row r="3055">
      <c r="A3055" s="9"/>
      <c r="B3055" s="9"/>
      <c r="C3055" s="9"/>
      <c r="D3055" s="42"/>
      <c r="E3055" s="103"/>
      <c r="F3055" s="42"/>
      <c r="G3055" s="9"/>
      <c r="H3055" s="9"/>
      <c r="I3055" s="9"/>
      <c r="J3055" s="9"/>
      <c r="K3055" s="42"/>
      <c r="L3055" s="42"/>
      <c r="M3055" s="42"/>
      <c r="N3055" s="42"/>
      <c r="O3055" s="42"/>
      <c r="P3055" s="9"/>
      <c r="Q3055" s="9"/>
      <c r="R3055" s="42"/>
      <c r="S3055" s="42"/>
      <c r="T3055" s="42"/>
      <c r="U3055" s="42"/>
      <c r="V3055" s="42"/>
      <c r="W3055" s="42"/>
    </row>
    <row r="3056">
      <c r="A3056" s="9"/>
      <c r="B3056" s="9"/>
      <c r="C3056" s="9"/>
      <c r="D3056" s="42"/>
      <c r="E3056" s="103"/>
      <c r="F3056" s="42"/>
      <c r="G3056" s="9"/>
      <c r="H3056" s="9"/>
      <c r="I3056" s="9"/>
      <c r="J3056" s="9"/>
      <c r="K3056" s="42"/>
      <c r="L3056" s="42"/>
      <c r="M3056" s="42"/>
      <c r="N3056" s="42"/>
      <c r="O3056" s="42"/>
      <c r="P3056" s="9"/>
      <c r="Q3056" s="9"/>
      <c r="R3056" s="42"/>
      <c r="S3056" s="42"/>
      <c r="T3056" s="42"/>
      <c r="U3056" s="42"/>
      <c r="V3056" s="42"/>
      <c r="W3056" s="42"/>
    </row>
    <row r="3057">
      <c r="A3057" s="9"/>
      <c r="B3057" s="9"/>
      <c r="C3057" s="9"/>
      <c r="D3057" s="42"/>
      <c r="E3057" s="103"/>
      <c r="F3057" s="42"/>
      <c r="G3057" s="9"/>
      <c r="H3057" s="9"/>
      <c r="I3057" s="9"/>
      <c r="J3057" s="9"/>
      <c r="K3057" s="42"/>
      <c r="L3057" s="42"/>
      <c r="M3057" s="42"/>
      <c r="N3057" s="42"/>
      <c r="O3057" s="42"/>
      <c r="P3057" s="9"/>
      <c r="Q3057" s="9"/>
      <c r="R3057" s="42"/>
      <c r="S3057" s="42"/>
      <c r="T3057" s="42"/>
      <c r="U3057" s="42"/>
      <c r="V3057" s="42"/>
      <c r="W3057" s="42"/>
    </row>
    <row r="3058">
      <c r="A3058" s="9"/>
      <c r="B3058" s="9"/>
      <c r="C3058" s="9"/>
      <c r="D3058" s="42"/>
      <c r="E3058" s="103"/>
      <c r="F3058" s="42"/>
      <c r="G3058" s="9"/>
      <c r="H3058" s="9"/>
      <c r="I3058" s="9"/>
      <c r="J3058" s="9"/>
      <c r="K3058" s="42"/>
      <c r="L3058" s="42"/>
      <c r="M3058" s="42"/>
      <c r="N3058" s="42"/>
      <c r="O3058" s="42"/>
      <c r="P3058" s="9"/>
      <c r="Q3058" s="9"/>
      <c r="R3058" s="42"/>
      <c r="S3058" s="42"/>
      <c r="T3058" s="42"/>
      <c r="U3058" s="42"/>
      <c r="V3058" s="42"/>
      <c r="W3058" s="42"/>
    </row>
    <row r="3059">
      <c r="A3059" s="9"/>
      <c r="B3059" s="9"/>
      <c r="C3059" s="9"/>
      <c r="D3059" s="42"/>
      <c r="E3059" s="103"/>
      <c r="F3059" s="42"/>
      <c r="G3059" s="9"/>
      <c r="H3059" s="9"/>
      <c r="I3059" s="9"/>
      <c r="J3059" s="9"/>
      <c r="K3059" s="42"/>
      <c r="L3059" s="42"/>
      <c r="M3059" s="42"/>
      <c r="N3059" s="42"/>
      <c r="O3059" s="42"/>
      <c r="P3059" s="9"/>
      <c r="Q3059" s="9"/>
      <c r="R3059" s="42"/>
      <c r="S3059" s="42"/>
      <c r="T3059" s="42"/>
      <c r="U3059" s="42"/>
      <c r="V3059" s="42"/>
      <c r="W3059" s="42"/>
    </row>
    <row r="3060">
      <c r="A3060" s="9"/>
      <c r="B3060" s="9"/>
      <c r="C3060" s="9"/>
      <c r="D3060" s="42"/>
      <c r="E3060" s="103"/>
      <c r="F3060" s="42"/>
      <c r="G3060" s="9"/>
      <c r="H3060" s="9"/>
      <c r="I3060" s="9"/>
      <c r="J3060" s="9"/>
      <c r="K3060" s="42"/>
      <c r="L3060" s="42"/>
      <c r="M3060" s="42"/>
      <c r="N3060" s="42"/>
      <c r="O3060" s="42"/>
      <c r="P3060" s="9"/>
      <c r="Q3060" s="9"/>
      <c r="R3060" s="42"/>
      <c r="S3060" s="42"/>
      <c r="T3060" s="42"/>
      <c r="U3060" s="42"/>
      <c r="V3060" s="42"/>
      <c r="W3060" s="42"/>
    </row>
    <row r="3061">
      <c r="A3061" s="9"/>
      <c r="B3061" s="9"/>
      <c r="C3061" s="9"/>
      <c r="D3061" s="42"/>
      <c r="E3061" s="103"/>
      <c r="F3061" s="42"/>
      <c r="G3061" s="9"/>
      <c r="H3061" s="9"/>
      <c r="I3061" s="9"/>
      <c r="J3061" s="9"/>
      <c r="K3061" s="42"/>
      <c r="L3061" s="42"/>
      <c r="M3061" s="42"/>
      <c r="N3061" s="42"/>
      <c r="O3061" s="42"/>
      <c r="P3061" s="9"/>
      <c r="Q3061" s="9"/>
      <c r="R3061" s="42"/>
      <c r="S3061" s="42"/>
      <c r="T3061" s="42"/>
      <c r="U3061" s="42"/>
      <c r="V3061" s="42"/>
      <c r="W3061" s="42"/>
    </row>
    <row r="3062">
      <c r="A3062" s="9"/>
      <c r="B3062" s="9"/>
      <c r="C3062" s="9"/>
      <c r="D3062" s="42"/>
      <c r="E3062" s="103"/>
      <c r="F3062" s="42"/>
      <c r="G3062" s="9"/>
      <c r="H3062" s="9"/>
      <c r="I3062" s="9"/>
      <c r="J3062" s="9"/>
      <c r="K3062" s="42"/>
      <c r="L3062" s="42"/>
      <c r="M3062" s="42"/>
      <c r="N3062" s="42"/>
      <c r="O3062" s="42"/>
      <c r="P3062" s="9"/>
      <c r="Q3062" s="9"/>
      <c r="R3062" s="42"/>
      <c r="S3062" s="42"/>
      <c r="T3062" s="42"/>
      <c r="U3062" s="42"/>
      <c r="V3062" s="42"/>
      <c r="W3062" s="42"/>
    </row>
    <row r="3063">
      <c r="A3063" s="9"/>
      <c r="B3063" s="9"/>
      <c r="C3063" s="9"/>
      <c r="D3063" s="42"/>
      <c r="E3063" s="103"/>
      <c r="F3063" s="42"/>
      <c r="G3063" s="9"/>
      <c r="H3063" s="9"/>
      <c r="I3063" s="9"/>
      <c r="J3063" s="9"/>
      <c r="K3063" s="42"/>
      <c r="L3063" s="42"/>
      <c r="M3063" s="42"/>
      <c r="N3063" s="42"/>
      <c r="O3063" s="42"/>
      <c r="P3063" s="9"/>
      <c r="Q3063" s="9"/>
      <c r="R3063" s="42"/>
      <c r="S3063" s="42"/>
      <c r="T3063" s="42"/>
      <c r="U3063" s="42"/>
      <c r="V3063" s="42"/>
      <c r="W3063" s="42"/>
    </row>
    <row r="3064">
      <c r="A3064" s="9"/>
      <c r="B3064" s="9"/>
      <c r="C3064" s="9"/>
      <c r="D3064" s="42"/>
      <c r="E3064" s="103"/>
      <c r="F3064" s="42"/>
      <c r="G3064" s="9"/>
      <c r="H3064" s="9"/>
      <c r="I3064" s="9"/>
      <c r="J3064" s="9"/>
      <c r="K3064" s="42"/>
      <c r="L3064" s="42"/>
      <c r="M3064" s="42"/>
      <c r="N3064" s="42"/>
      <c r="O3064" s="42"/>
      <c r="P3064" s="9"/>
      <c r="Q3064" s="9"/>
      <c r="R3064" s="42"/>
      <c r="S3064" s="42"/>
      <c r="T3064" s="42"/>
      <c r="U3064" s="42"/>
      <c r="V3064" s="42"/>
      <c r="W3064" s="42"/>
    </row>
    <row r="3065">
      <c r="A3065" s="9"/>
      <c r="B3065" s="9"/>
      <c r="C3065" s="9"/>
      <c r="D3065" s="42"/>
      <c r="E3065" s="103"/>
      <c r="F3065" s="42"/>
      <c r="G3065" s="9"/>
      <c r="H3065" s="9"/>
      <c r="I3065" s="9"/>
      <c r="J3065" s="9"/>
      <c r="K3065" s="42"/>
      <c r="L3065" s="42"/>
      <c r="M3065" s="42"/>
      <c r="N3065" s="42"/>
      <c r="O3065" s="42"/>
      <c r="P3065" s="9"/>
      <c r="Q3065" s="9"/>
      <c r="R3065" s="42"/>
      <c r="S3065" s="42"/>
      <c r="T3065" s="42"/>
      <c r="U3065" s="42"/>
      <c r="V3065" s="42"/>
      <c r="W3065" s="42"/>
    </row>
    <row r="3066">
      <c r="A3066" s="9"/>
      <c r="B3066" s="9"/>
      <c r="C3066" s="9"/>
      <c r="D3066" s="42"/>
      <c r="E3066" s="103"/>
      <c r="F3066" s="42"/>
      <c r="G3066" s="9"/>
      <c r="H3066" s="9"/>
      <c r="I3066" s="9"/>
      <c r="J3066" s="9"/>
      <c r="K3066" s="42"/>
      <c r="L3066" s="42"/>
      <c r="M3066" s="42"/>
      <c r="N3066" s="42"/>
      <c r="O3066" s="42"/>
      <c r="P3066" s="9"/>
      <c r="Q3066" s="9"/>
      <c r="R3066" s="42"/>
      <c r="S3066" s="42"/>
      <c r="T3066" s="42"/>
      <c r="U3066" s="42"/>
      <c r="V3066" s="42"/>
      <c r="W3066" s="42"/>
    </row>
    <row r="3067">
      <c r="A3067" s="9"/>
      <c r="B3067" s="9"/>
      <c r="C3067" s="9"/>
      <c r="D3067" s="42"/>
      <c r="E3067" s="103"/>
      <c r="F3067" s="42"/>
      <c r="G3067" s="9"/>
      <c r="H3067" s="9"/>
      <c r="I3067" s="9"/>
      <c r="J3067" s="9"/>
      <c r="K3067" s="42"/>
      <c r="L3067" s="42"/>
      <c r="M3067" s="42"/>
      <c r="N3067" s="42"/>
      <c r="O3067" s="42"/>
      <c r="P3067" s="9"/>
      <c r="Q3067" s="9"/>
      <c r="R3067" s="42"/>
      <c r="S3067" s="42"/>
      <c r="T3067" s="42"/>
      <c r="U3067" s="42"/>
      <c r="V3067" s="42"/>
      <c r="W3067" s="42"/>
    </row>
    <row r="3068">
      <c r="A3068" s="9"/>
      <c r="B3068" s="9"/>
      <c r="C3068" s="9"/>
      <c r="D3068" s="42"/>
      <c r="E3068" s="103"/>
      <c r="F3068" s="42"/>
      <c r="G3068" s="9"/>
      <c r="H3068" s="9"/>
      <c r="I3068" s="9"/>
      <c r="J3068" s="9"/>
      <c r="K3068" s="42"/>
      <c r="L3068" s="42"/>
      <c r="M3068" s="42"/>
      <c r="N3068" s="42"/>
      <c r="O3068" s="42"/>
      <c r="P3068" s="9"/>
      <c r="Q3068" s="9"/>
      <c r="R3068" s="42"/>
      <c r="S3068" s="42"/>
      <c r="T3068" s="42"/>
      <c r="U3068" s="42"/>
      <c r="V3068" s="42"/>
      <c r="W3068" s="42"/>
    </row>
    <row r="3069">
      <c r="A3069" s="9"/>
      <c r="B3069" s="9"/>
      <c r="C3069" s="9"/>
      <c r="D3069" s="42"/>
      <c r="E3069" s="103"/>
      <c r="F3069" s="42"/>
      <c r="G3069" s="9"/>
      <c r="H3069" s="9"/>
      <c r="I3069" s="9"/>
      <c r="J3069" s="9"/>
      <c r="K3069" s="42"/>
      <c r="L3069" s="42"/>
      <c r="M3069" s="42"/>
      <c r="N3069" s="42"/>
      <c r="O3069" s="42"/>
      <c r="P3069" s="9"/>
      <c r="Q3069" s="9"/>
      <c r="R3069" s="42"/>
      <c r="S3069" s="42"/>
      <c r="T3069" s="42"/>
      <c r="U3069" s="42"/>
      <c r="V3069" s="42"/>
      <c r="W3069" s="42"/>
    </row>
    <row r="3070">
      <c r="A3070" s="9"/>
      <c r="B3070" s="9"/>
      <c r="C3070" s="9"/>
      <c r="D3070" s="42"/>
      <c r="E3070" s="103"/>
      <c r="F3070" s="42"/>
      <c r="G3070" s="9"/>
      <c r="H3070" s="9"/>
      <c r="I3070" s="9"/>
      <c r="J3070" s="9"/>
      <c r="K3070" s="42"/>
      <c r="L3070" s="42"/>
      <c r="M3070" s="42"/>
      <c r="N3070" s="42"/>
      <c r="O3070" s="42"/>
      <c r="P3070" s="9"/>
      <c r="Q3070" s="9"/>
      <c r="R3070" s="42"/>
      <c r="S3070" s="42"/>
      <c r="T3070" s="42"/>
      <c r="U3070" s="42"/>
      <c r="V3070" s="42"/>
      <c r="W3070" s="42"/>
    </row>
    <row r="3071">
      <c r="A3071" s="9"/>
      <c r="B3071" s="9"/>
      <c r="C3071" s="9"/>
      <c r="D3071" s="42"/>
      <c r="E3071" s="103"/>
      <c r="F3071" s="42"/>
      <c r="G3071" s="9"/>
      <c r="H3071" s="9"/>
      <c r="I3071" s="9"/>
      <c r="J3071" s="9"/>
      <c r="K3071" s="42"/>
      <c r="L3071" s="42"/>
      <c r="M3071" s="42"/>
      <c r="N3071" s="42"/>
      <c r="O3071" s="42"/>
      <c r="P3071" s="9"/>
      <c r="Q3071" s="9"/>
      <c r="R3071" s="42"/>
      <c r="S3071" s="42"/>
      <c r="T3071" s="42"/>
      <c r="U3071" s="42"/>
      <c r="V3071" s="42"/>
      <c r="W3071" s="42"/>
    </row>
    <row r="3072">
      <c r="A3072" s="9"/>
      <c r="B3072" s="9"/>
      <c r="C3072" s="9"/>
      <c r="D3072" s="42"/>
      <c r="E3072" s="103"/>
      <c r="F3072" s="42"/>
      <c r="G3072" s="9"/>
      <c r="H3072" s="9"/>
      <c r="I3072" s="9"/>
      <c r="J3072" s="9"/>
      <c r="K3072" s="42"/>
      <c r="L3072" s="42"/>
      <c r="M3072" s="42"/>
      <c r="N3072" s="42"/>
      <c r="O3072" s="42"/>
      <c r="P3072" s="9"/>
      <c r="Q3072" s="9"/>
      <c r="R3072" s="42"/>
      <c r="S3072" s="42"/>
      <c r="T3072" s="42"/>
      <c r="U3072" s="42"/>
      <c r="V3072" s="42"/>
      <c r="W3072" s="42"/>
    </row>
    <row r="3073">
      <c r="A3073" s="9"/>
      <c r="B3073" s="9"/>
      <c r="C3073" s="9"/>
      <c r="D3073" s="42"/>
      <c r="E3073" s="103"/>
      <c r="F3073" s="42"/>
      <c r="G3073" s="9"/>
      <c r="H3073" s="9"/>
      <c r="I3073" s="9"/>
      <c r="J3073" s="9"/>
      <c r="K3073" s="42"/>
      <c r="L3073" s="42"/>
      <c r="M3073" s="42"/>
      <c r="N3073" s="42"/>
      <c r="O3073" s="42"/>
      <c r="P3073" s="9"/>
      <c r="Q3073" s="9"/>
      <c r="R3073" s="42"/>
      <c r="S3073" s="42"/>
      <c r="T3073" s="42"/>
      <c r="U3073" s="42"/>
      <c r="V3073" s="42"/>
      <c r="W3073" s="42"/>
    </row>
    <row r="3074">
      <c r="A3074" s="9"/>
      <c r="B3074" s="9"/>
      <c r="C3074" s="9"/>
      <c r="D3074" s="42"/>
      <c r="E3074" s="103"/>
      <c r="F3074" s="42"/>
      <c r="G3074" s="9"/>
      <c r="H3074" s="9"/>
      <c r="I3074" s="9"/>
      <c r="J3074" s="9"/>
      <c r="K3074" s="42"/>
      <c r="L3074" s="42"/>
      <c r="M3074" s="42"/>
      <c r="N3074" s="42"/>
      <c r="O3074" s="42"/>
      <c r="P3074" s="9"/>
      <c r="Q3074" s="9"/>
      <c r="R3074" s="42"/>
      <c r="S3074" s="42"/>
      <c r="T3074" s="42"/>
      <c r="U3074" s="42"/>
      <c r="V3074" s="42"/>
      <c r="W3074" s="42"/>
    </row>
    <row r="3075">
      <c r="A3075" s="9"/>
      <c r="B3075" s="9"/>
      <c r="C3075" s="9"/>
      <c r="D3075" s="42"/>
      <c r="E3075" s="103"/>
      <c r="F3075" s="42"/>
      <c r="G3075" s="9"/>
      <c r="H3075" s="9"/>
      <c r="I3075" s="9"/>
      <c r="J3075" s="9"/>
      <c r="K3075" s="42"/>
      <c r="L3075" s="42"/>
      <c r="M3075" s="42"/>
      <c r="N3075" s="42"/>
      <c r="O3075" s="42"/>
      <c r="P3075" s="9"/>
      <c r="Q3075" s="9"/>
      <c r="R3075" s="42"/>
      <c r="S3075" s="42"/>
      <c r="T3075" s="42"/>
      <c r="U3075" s="42"/>
      <c r="V3075" s="42"/>
      <c r="W3075" s="42"/>
    </row>
    <row r="3076">
      <c r="A3076" s="9"/>
      <c r="B3076" s="9"/>
      <c r="C3076" s="9"/>
      <c r="D3076" s="42"/>
      <c r="E3076" s="103"/>
      <c r="F3076" s="42"/>
      <c r="G3076" s="9"/>
      <c r="H3076" s="9"/>
      <c r="I3076" s="9"/>
      <c r="J3076" s="9"/>
      <c r="K3076" s="42"/>
      <c r="L3076" s="42"/>
      <c r="M3076" s="42"/>
      <c r="N3076" s="42"/>
      <c r="O3076" s="42"/>
      <c r="P3076" s="9"/>
      <c r="Q3076" s="9"/>
      <c r="R3076" s="42"/>
      <c r="S3076" s="42"/>
      <c r="T3076" s="42"/>
      <c r="U3076" s="42"/>
      <c r="V3076" s="42"/>
      <c r="W3076" s="42"/>
    </row>
    <row r="3077">
      <c r="A3077" s="9"/>
      <c r="B3077" s="9"/>
      <c r="C3077" s="9"/>
      <c r="D3077" s="42"/>
      <c r="E3077" s="103"/>
      <c r="F3077" s="42"/>
      <c r="G3077" s="9"/>
      <c r="H3077" s="9"/>
      <c r="I3077" s="9"/>
      <c r="J3077" s="9"/>
      <c r="K3077" s="42"/>
      <c r="L3077" s="42"/>
      <c r="M3077" s="42"/>
      <c r="N3077" s="42"/>
      <c r="O3077" s="42"/>
      <c r="P3077" s="9"/>
      <c r="Q3077" s="9"/>
      <c r="R3077" s="42"/>
      <c r="S3077" s="42"/>
      <c r="T3077" s="42"/>
      <c r="U3077" s="42"/>
      <c r="V3077" s="42"/>
      <c r="W3077" s="42"/>
    </row>
    <row r="3078">
      <c r="A3078" s="9"/>
      <c r="B3078" s="9"/>
      <c r="C3078" s="9"/>
      <c r="D3078" s="42"/>
      <c r="E3078" s="103"/>
      <c r="F3078" s="42"/>
      <c r="G3078" s="9"/>
      <c r="H3078" s="9"/>
      <c r="I3078" s="9"/>
      <c r="J3078" s="9"/>
      <c r="K3078" s="42"/>
      <c r="L3078" s="42"/>
      <c r="M3078" s="42"/>
      <c r="N3078" s="42"/>
      <c r="O3078" s="42"/>
      <c r="P3078" s="9"/>
      <c r="Q3078" s="9"/>
      <c r="R3078" s="42"/>
      <c r="S3078" s="42"/>
      <c r="T3078" s="42"/>
      <c r="U3078" s="42"/>
      <c r="V3078" s="42"/>
      <c r="W3078" s="42"/>
    </row>
    <row r="3079">
      <c r="A3079" s="9"/>
      <c r="B3079" s="9"/>
      <c r="C3079" s="9"/>
      <c r="D3079" s="42"/>
      <c r="E3079" s="103"/>
      <c r="F3079" s="42"/>
      <c r="G3079" s="9"/>
      <c r="H3079" s="9"/>
      <c r="I3079" s="9"/>
      <c r="J3079" s="9"/>
      <c r="K3079" s="42"/>
      <c r="L3079" s="42"/>
      <c r="M3079" s="42"/>
      <c r="N3079" s="42"/>
      <c r="O3079" s="42"/>
      <c r="P3079" s="9"/>
      <c r="Q3079" s="9"/>
      <c r="R3079" s="42"/>
      <c r="S3079" s="42"/>
      <c r="T3079" s="42"/>
      <c r="U3079" s="42"/>
      <c r="V3079" s="42"/>
      <c r="W3079" s="42"/>
    </row>
    <row r="3080">
      <c r="A3080" s="9"/>
      <c r="B3080" s="9"/>
      <c r="C3080" s="9"/>
      <c r="D3080" s="42"/>
      <c r="E3080" s="103"/>
      <c r="F3080" s="42"/>
      <c r="G3080" s="9"/>
      <c r="H3080" s="9"/>
      <c r="I3080" s="9"/>
      <c r="J3080" s="9"/>
      <c r="K3080" s="42"/>
      <c r="L3080" s="42"/>
      <c r="M3080" s="42"/>
      <c r="N3080" s="42"/>
      <c r="O3080" s="42"/>
      <c r="P3080" s="9"/>
      <c r="Q3080" s="9"/>
      <c r="R3080" s="42"/>
      <c r="S3080" s="42"/>
      <c r="T3080" s="42"/>
      <c r="U3080" s="42"/>
      <c r="V3080" s="42"/>
      <c r="W3080" s="42"/>
    </row>
    <row r="3081">
      <c r="A3081" s="9"/>
      <c r="B3081" s="9"/>
      <c r="C3081" s="9"/>
      <c r="D3081" s="42"/>
      <c r="E3081" s="103"/>
      <c r="F3081" s="42"/>
      <c r="G3081" s="9"/>
      <c r="H3081" s="9"/>
      <c r="I3081" s="9"/>
      <c r="J3081" s="9"/>
      <c r="K3081" s="42"/>
      <c r="L3081" s="42"/>
      <c r="M3081" s="42"/>
      <c r="N3081" s="42"/>
      <c r="O3081" s="42"/>
      <c r="P3081" s="9"/>
      <c r="Q3081" s="9"/>
      <c r="R3081" s="42"/>
      <c r="S3081" s="42"/>
      <c r="T3081" s="42"/>
      <c r="U3081" s="42"/>
      <c r="V3081" s="42"/>
      <c r="W3081" s="42"/>
    </row>
    <row r="3082">
      <c r="A3082" s="9"/>
      <c r="B3082" s="9"/>
      <c r="C3082" s="9"/>
      <c r="D3082" s="42"/>
      <c r="E3082" s="103"/>
      <c r="F3082" s="42"/>
      <c r="G3082" s="9"/>
      <c r="H3082" s="9"/>
      <c r="I3082" s="9"/>
      <c r="J3082" s="9"/>
      <c r="K3082" s="42"/>
      <c r="L3082" s="42"/>
      <c r="M3082" s="42"/>
      <c r="N3082" s="42"/>
      <c r="O3082" s="42"/>
      <c r="P3082" s="9"/>
      <c r="Q3082" s="9"/>
      <c r="R3082" s="42"/>
      <c r="S3082" s="42"/>
      <c r="T3082" s="42"/>
      <c r="U3082" s="42"/>
      <c r="V3082" s="42"/>
      <c r="W3082" s="42"/>
    </row>
    <row r="3083">
      <c r="A3083" s="9"/>
      <c r="B3083" s="9"/>
      <c r="C3083" s="9"/>
      <c r="D3083" s="42"/>
      <c r="E3083" s="103"/>
      <c r="F3083" s="42"/>
      <c r="G3083" s="9"/>
      <c r="H3083" s="9"/>
      <c r="I3083" s="9"/>
      <c r="J3083" s="9"/>
      <c r="K3083" s="42"/>
      <c r="L3083" s="42"/>
      <c r="M3083" s="42"/>
      <c r="N3083" s="42"/>
      <c r="O3083" s="42"/>
      <c r="P3083" s="9"/>
      <c r="Q3083" s="9"/>
      <c r="R3083" s="42"/>
      <c r="S3083" s="42"/>
      <c r="T3083" s="42"/>
      <c r="U3083" s="42"/>
      <c r="V3083" s="42"/>
      <c r="W3083" s="42"/>
    </row>
    <row r="3084">
      <c r="A3084" s="9"/>
      <c r="B3084" s="9"/>
      <c r="C3084" s="9"/>
      <c r="D3084" s="42"/>
      <c r="E3084" s="103"/>
      <c r="F3084" s="42"/>
      <c r="G3084" s="9"/>
      <c r="H3084" s="9"/>
      <c r="I3084" s="9"/>
      <c r="J3084" s="9"/>
      <c r="K3084" s="42"/>
      <c r="L3084" s="42"/>
      <c r="M3084" s="42"/>
      <c r="N3084" s="42"/>
      <c r="O3084" s="42"/>
      <c r="P3084" s="9"/>
      <c r="Q3084" s="9"/>
      <c r="R3084" s="42"/>
      <c r="S3084" s="42"/>
      <c r="T3084" s="42"/>
      <c r="U3084" s="42"/>
      <c r="V3084" s="42"/>
      <c r="W3084" s="42"/>
    </row>
    <row r="3085">
      <c r="A3085" s="9"/>
      <c r="B3085" s="9"/>
      <c r="C3085" s="9"/>
      <c r="D3085" s="42"/>
      <c r="E3085" s="103"/>
      <c r="F3085" s="42"/>
      <c r="G3085" s="9"/>
      <c r="H3085" s="9"/>
      <c r="I3085" s="9"/>
      <c r="J3085" s="9"/>
      <c r="K3085" s="42"/>
      <c r="L3085" s="42"/>
      <c r="M3085" s="42"/>
      <c r="N3085" s="42"/>
      <c r="O3085" s="42"/>
      <c r="P3085" s="9"/>
      <c r="Q3085" s="9"/>
      <c r="R3085" s="42"/>
      <c r="S3085" s="42"/>
      <c r="T3085" s="42"/>
      <c r="U3085" s="42"/>
      <c r="V3085" s="42"/>
      <c r="W3085" s="42"/>
    </row>
    <row r="3086">
      <c r="A3086" s="9"/>
      <c r="B3086" s="9"/>
      <c r="C3086" s="9"/>
      <c r="D3086" s="42"/>
      <c r="E3086" s="103"/>
      <c r="F3086" s="42"/>
      <c r="G3086" s="9"/>
      <c r="H3086" s="9"/>
      <c r="I3086" s="9"/>
      <c r="J3086" s="9"/>
      <c r="K3086" s="42"/>
      <c r="L3086" s="42"/>
      <c r="M3086" s="42"/>
      <c r="N3086" s="42"/>
      <c r="O3086" s="42"/>
      <c r="P3086" s="9"/>
      <c r="Q3086" s="9"/>
      <c r="R3086" s="42"/>
      <c r="S3086" s="42"/>
      <c r="T3086" s="42"/>
      <c r="U3086" s="42"/>
      <c r="V3086" s="42"/>
      <c r="W3086" s="42"/>
    </row>
    <row r="3087">
      <c r="A3087" s="9"/>
      <c r="B3087" s="9"/>
      <c r="C3087" s="9"/>
      <c r="D3087" s="42"/>
      <c r="E3087" s="103"/>
      <c r="F3087" s="42"/>
      <c r="G3087" s="9"/>
      <c r="H3087" s="9"/>
      <c r="I3087" s="9"/>
      <c r="J3087" s="9"/>
      <c r="K3087" s="42"/>
      <c r="L3087" s="42"/>
      <c r="M3087" s="42"/>
      <c r="N3087" s="42"/>
      <c r="O3087" s="42"/>
      <c r="P3087" s="9"/>
      <c r="Q3087" s="9"/>
      <c r="R3087" s="42"/>
      <c r="S3087" s="42"/>
      <c r="T3087" s="42"/>
      <c r="U3087" s="42"/>
      <c r="V3087" s="42"/>
      <c r="W3087" s="42"/>
    </row>
    <row r="3088">
      <c r="A3088" s="9"/>
      <c r="B3088" s="9"/>
      <c r="C3088" s="9"/>
      <c r="D3088" s="42"/>
      <c r="E3088" s="103"/>
      <c r="F3088" s="42"/>
      <c r="G3088" s="9"/>
      <c r="H3088" s="9"/>
      <c r="I3088" s="9"/>
      <c r="J3088" s="9"/>
      <c r="K3088" s="42"/>
      <c r="L3088" s="42"/>
      <c r="M3088" s="42"/>
      <c r="N3088" s="42"/>
      <c r="O3088" s="42"/>
      <c r="P3088" s="9"/>
      <c r="Q3088" s="9"/>
      <c r="R3088" s="42"/>
      <c r="S3088" s="42"/>
      <c r="T3088" s="42"/>
      <c r="U3088" s="42"/>
      <c r="V3088" s="42"/>
      <c r="W3088" s="42"/>
    </row>
    <row r="3089">
      <c r="A3089" s="9"/>
      <c r="B3089" s="9"/>
      <c r="C3089" s="9"/>
      <c r="D3089" s="42"/>
      <c r="E3089" s="103"/>
      <c r="F3089" s="42"/>
      <c r="G3089" s="9"/>
      <c r="H3089" s="9"/>
      <c r="I3089" s="9"/>
      <c r="J3089" s="9"/>
      <c r="K3089" s="42"/>
      <c r="L3089" s="42"/>
      <c r="M3089" s="42"/>
      <c r="N3089" s="42"/>
      <c r="O3089" s="42"/>
      <c r="P3089" s="9"/>
      <c r="Q3089" s="9"/>
      <c r="R3089" s="42"/>
      <c r="S3089" s="42"/>
      <c r="T3089" s="42"/>
      <c r="U3089" s="42"/>
      <c r="V3089" s="42"/>
      <c r="W3089" s="42"/>
    </row>
    <row r="3090">
      <c r="A3090" s="9"/>
      <c r="B3090" s="9"/>
      <c r="C3090" s="9"/>
      <c r="D3090" s="42"/>
      <c r="E3090" s="103"/>
      <c r="F3090" s="42"/>
      <c r="G3090" s="9"/>
      <c r="H3090" s="9"/>
      <c r="I3090" s="9"/>
      <c r="J3090" s="9"/>
      <c r="K3090" s="42"/>
      <c r="L3090" s="42"/>
      <c r="M3090" s="42"/>
      <c r="N3090" s="42"/>
      <c r="O3090" s="42"/>
      <c r="P3090" s="9"/>
      <c r="Q3090" s="9"/>
      <c r="R3090" s="42"/>
      <c r="S3090" s="42"/>
      <c r="T3090" s="42"/>
      <c r="U3090" s="42"/>
      <c r="V3090" s="42"/>
      <c r="W3090" s="42"/>
    </row>
    <row r="3091">
      <c r="A3091" s="9"/>
      <c r="B3091" s="9"/>
      <c r="C3091" s="9"/>
      <c r="D3091" s="42"/>
      <c r="E3091" s="103"/>
      <c r="F3091" s="42"/>
      <c r="G3091" s="9"/>
      <c r="H3091" s="9"/>
      <c r="I3091" s="9"/>
      <c r="J3091" s="9"/>
      <c r="K3091" s="42"/>
      <c r="L3091" s="42"/>
      <c r="M3091" s="42"/>
      <c r="N3091" s="42"/>
      <c r="O3091" s="42"/>
      <c r="P3091" s="9"/>
      <c r="Q3091" s="9"/>
      <c r="R3091" s="42"/>
      <c r="S3091" s="42"/>
      <c r="T3091" s="42"/>
      <c r="U3091" s="42"/>
      <c r="V3091" s="42"/>
      <c r="W3091" s="42"/>
    </row>
    <row r="3092">
      <c r="A3092" s="9"/>
      <c r="B3092" s="9"/>
      <c r="C3092" s="9"/>
      <c r="D3092" s="42"/>
      <c r="E3092" s="103"/>
      <c r="F3092" s="42"/>
      <c r="G3092" s="9"/>
      <c r="H3092" s="9"/>
      <c r="I3092" s="9"/>
      <c r="J3092" s="9"/>
      <c r="K3092" s="42"/>
      <c r="L3092" s="42"/>
      <c r="M3092" s="42"/>
      <c r="N3092" s="42"/>
      <c r="O3092" s="42"/>
      <c r="P3092" s="9"/>
      <c r="Q3092" s="9"/>
      <c r="R3092" s="42"/>
      <c r="S3092" s="42"/>
      <c r="T3092" s="42"/>
      <c r="U3092" s="42"/>
      <c r="V3092" s="42"/>
      <c r="W3092" s="42"/>
    </row>
    <row r="3093">
      <c r="A3093" s="9"/>
      <c r="B3093" s="9"/>
      <c r="C3093" s="9"/>
      <c r="D3093" s="42"/>
      <c r="E3093" s="103"/>
      <c r="F3093" s="42"/>
      <c r="G3093" s="9"/>
      <c r="H3093" s="9"/>
      <c r="I3093" s="9"/>
      <c r="J3093" s="9"/>
      <c r="K3093" s="42"/>
      <c r="L3093" s="42"/>
      <c r="M3093" s="42"/>
      <c r="N3093" s="42"/>
      <c r="O3093" s="42"/>
      <c r="P3093" s="9"/>
      <c r="Q3093" s="9"/>
      <c r="R3093" s="42"/>
      <c r="S3093" s="42"/>
      <c r="T3093" s="42"/>
      <c r="U3093" s="42"/>
      <c r="V3093" s="42"/>
      <c r="W3093" s="42"/>
    </row>
    <row r="3094">
      <c r="A3094" s="9"/>
      <c r="B3094" s="9"/>
      <c r="C3094" s="9"/>
      <c r="D3094" s="42"/>
      <c r="E3094" s="103"/>
      <c r="F3094" s="42"/>
      <c r="G3094" s="9"/>
      <c r="H3094" s="9"/>
      <c r="I3094" s="9"/>
      <c r="J3094" s="9"/>
      <c r="K3094" s="42"/>
      <c r="L3094" s="42"/>
      <c r="M3094" s="42"/>
      <c r="N3094" s="42"/>
      <c r="O3094" s="42"/>
      <c r="P3094" s="9"/>
      <c r="Q3094" s="9"/>
      <c r="R3094" s="42"/>
      <c r="S3094" s="42"/>
      <c r="T3094" s="42"/>
      <c r="U3094" s="42"/>
      <c r="V3094" s="42"/>
      <c r="W3094" s="42"/>
    </row>
    <row r="3095">
      <c r="A3095" s="9"/>
      <c r="B3095" s="9"/>
      <c r="C3095" s="9"/>
      <c r="D3095" s="42"/>
      <c r="E3095" s="103"/>
      <c r="F3095" s="42"/>
      <c r="G3095" s="9"/>
      <c r="H3095" s="9"/>
      <c r="I3095" s="9"/>
      <c r="J3095" s="9"/>
      <c r="K3095" s="42"/>
      <c r="L3095" s="42"/>
      <c r="M3095" s="42"/>
      <c r="N3095" s="42"/>
      <c r="O3095" s="42"/>
      <c r="P3095" s="9"/>
      <c r="Q3095" s="9"/>
      <c r="R3095" s="42"/>
      <c r="S3095" s="42"/>
      <c r="T3095" s="42"/>
      <c r="U3095" s="42"/>
      <c r="V3095" s="42"/>
      <c r="W3095" s="42"/>
    </row>
    <row r="3096">
      <c r="A3096" s="9"/>
      <c r="B3096" s="9"/>
      <c r="C3096" s="9"/>
      <c r="D3096" s="42"/>
      <c r="E3096" s="103"/>
      <c r="F3096" s="42"/>
      <c r="G3096" s="9"/>
      <c r="H3096" s="9"/>
      <c r="I3096" s="9"/>
      <c r="J3096" s="9"/>
      <c r="K3096" s="42"/>
      <c r="L3096" s="42"/>
      <c r="M3096" s="42"/>
      <c r="N3096" s="42"/>
      <c r="O3096" s="42"/>
      <c r="P3096" s="9"/>
      <c r="Q3096" s="9"/>
      <c r="R3096" s="42"/>
      <c r="S3096" s="42"/>
      <c r="T3096" s="42"/>
      <c r="U3096" s="42"/>
      <c r="V3096" s="42"/>
      <c r="W3096" s="42"/>
    </row>
    <row r="3097">
      <c r="A3097" s="9"/>
      <c r="B3097" s="9"/>
      <c r="C3097" s="9"/>
      <c r="D3097" s="42"/>
      <c r="E3097" s="103"/>
      <c r="F3097" s="42"/>
      <c r="G3097" s="9"/>
      <c r="H3097" s="9"/>
      <c r="I3097" s="9"/>
      <c r="J3097" s="9"/>
      <c r="K3097" s="42"/>
      <c r="L3097" s="42"/>
      <c r="M3097" s="42"/>
      <c r="N3097" s="42"/>
      <c r="O3097" s="42"/>
      <c r="P3097" s="9"/>
      <c r="Q3097" s="9"/>
      <c r="R3097" s="42"/>
      <c r="S3097" s="42"/>
      <c r="T3097" s="42"/>
      <c r="U3097" s="42"/>
      <c r="V3097" s="42"/>
      <c r="W3097" s="42"/>
    </row>
    <row r="3098">
      <c r="A3098" s="9"/>
      <c r="B3098" s="9"/>
      <c r="C3098" s="9"/>
      <c r="D3098" s="42"/>
      <c r="E3098" s="103"/>
      <c r="F3098" s="42"/>
      <c r="G3098" s="9"/>
      <c r="H3098" s="9"/>
      <c r="I3098" s="9"/>
      <c r="J3098" s="9"/>
      <c r="K3098" s="42"/>
      <c r="L3098" s="42"/>
      <c r="M3098" s="42"/>
      <c r="N3098" s="42"/>
      <c r="O3098" s="42"/>
      <c r="P3098" s="9"/>
      <c r="Q3098" s="9"/>
      <c r="R3098" s="42"/>
      <c r="S3098" s="42"/>
      <c r="T3098" s="42"/>
      <c r="U3098" s="42"/>
      <c r="V3098" s="42"/>
      <c r="W3098" s="42"/>
    </row>
    <row r="3099">
      <c r="A3099" s="9"/>
      <c r="B3099" s="9"/>
      <c r="C3099" s="9"/>
      <c r="D3099" s="42"/>
      <c r="E3099" s="103"/>
      <c r="F3099" s="42"/>
      <c r="G3099" s="9"/>
      <c r="H3099" s="9"/>
      <c r="I3099" s="9"/>
      <c r="J3099" s="9"/>
      <c r="K3099" s="42"/>
      <c r="L3099" s="42"/>
      <c r="M3099" s="42"/>
      <c r="N3099" s="42"/>
      <c r="O3099" s="42"/>
      <c r="P3099" s="9"/>
      <c r="Q3099" s="9"/>
      <c r="R3099" s="42"/>
      <c r="S3099" s="42"/>
      <c r="T3099" s="42"/>
      <c r="U3099" s="42"/>
      <c r="V3099" s="42"/>
      <c r="W3099" s="42"/>
    </row>
    <row r="3100">
      <c r="A3100" s="9"/>
      <c r="B3100" s="9"/>
      <c r="C3100" s="9"/>
      <c r="D3100" s="42"/>
      <c r="E3100" s="103"/>
      <c r="F3100" s="42"/>
      <c r="G3100" s="9"/>
      <c r="H3100" s="9"/>
      <c r="I3100" s="9"/>
      <c r="J3100" s="9"/>
      <c r="K3100" s="42"/>
      <c r="L3100" s="42"/>
      <c r="M3100" s="42"/>
      <c r="N3100" s="42"/>
      <c r="O3100" s="42"/>
      <c r="P3100" s="9"/>
      <c r="Q3100" s="9"/>
      <c r="R3100" s="42"/>
      <c r="S3100" s="42"/>
      <c r="T3100" s="42"/>
      <c r="U3100" s="42"/>
      <c r="V3100" s="42"/>
      <c r="W3100" s="42"/>
    </row>
    <row r="3101">
      <c r="A3101" s="9"/>
      <c r="B3101" s="9"/>
      <c r="C3101" s="9"/>
      <c r="D3101" s="42"/>
      <c r="E3101" s="103"/>
      <c r="F3101" s="42"/>
      <c r="G3101" s="9"/>
      <c r="H3101" s="9"/>
      <c r="I3101" s="9"/>
      <c r="J3101" s="9"/>
      <c r="K3101" s="42"/>
      <c r="L3101" s="42"/>
      <c r="M3101" s="42"/>
      <c r="N3101" s="42"/>
      <c r="O3101" s="42"/>
      <c r="P3101" s="9"/>
      <c r="Q3101" s="9"/>
      <c r="R3101" s="42"/>
      <c r="S3101" s="42"/>
      <c r="T3101" s="42"/>
      <c r="U3101" s="42"/>
      <c r="V3101" s="42"/>
      <c r="W3101" s="42"/>
    </row>
    <row r="3102">
      <c r="A3102" s="9"/>
      <c r="B3102" s="9"/>
      <c r="C3102" s="9"/>
      <c r="D3102" s="42"/>
      <c r="E3102" s="103"/>
      <c r="F3102" s="42"/>
      <c r="G3102" s="9"/>
      <c r="H3102" s="9"/>
      <c r="I3102" s="9"/>
      <c r="J3102" s="9"/>
      <c r="K3102" s="42"/>
      <c r="L3102" s="42"/>
      <c r="M3102" s="42"/>
      <c r="N3102" s="42"/>
      <c r="O3102" s="42"/>
      <c r="P3102" s="9"/>
      <c r="Q3102" s="9"/>
      <c r="R3102" s="42"/>
      <c r="S3102" s="42"/>
      <c r="T3102" s="42"/>
      <c r="U3102" s="42"/>
      <c r="V3102" s="42"/>
      <c r="W3102" s="42"/>
    </row>
    <row r="3103">
      <c r="A3103" s="9"/>
      <c r="B3103" s="9"/>
      <c r="C3103" s="9"/>
      <c r="D3103" s="42"/>
      <c r="E3103" s="103"/>
      <c r="F3103" s="42"/>
      <c r="G3103" s="9"/>
      <c r="H3103" s="9"/>
      <c r="I3103" s="9"/>
      <c r="J3103" s="9"/>
      <c r="K3103" s="42"/>
      <c r="L3103" s="42"/>
      <c r="M3103" s="42"/>
      <c r="N3103" s="42"/>
      <c r="O3103" s="42"/>
      <c r="P3103" s="9"/>
      <c r="Q3103" s="9"/>
      <c r="R3103" s="42"/>
      <c r="S3103" s="42"/>
      <c r="T3103" s="42"/>
      <c r="U3103" s="42"/>
      <c r="V3103" s="42"/>
      <c r="W3103" s="42"/>
    </row>
    <row r="3104">
      <c r="A3104" s="9"/>
      <c r="B3104" s="9"/>
      <c r="C3104" s="9"/>
      <c r="D3104" s="42"/>
      <c r="E3104" s="103"/>
      <c r="F3104" s="42"/>
      <c r="G3104" s="9"/>
      <c r="H3104" s="9"/>
      <c r="I3104" s="9"/>
      <c r="J3104" s="9"/>
      <c r="K3104" s="42"/>
      <c r="L3104" s="42"/>
      <c r="M3104" s="42"/>
      <c r="N3104" s="42"/>
      <c r="O3104" s="42"/>
      <c r="P3104" s="9"/>
      <c r="Q3104" s="9"/>
      <c r="R3104" s="42"/>
      <c r="S3104" s="42"/>
      <c r="T3104" s="42"/>
      <c r="U3104" s="42"/>
      <c r="V3104" s="42"/>
      <c r="W3104" s="42"/>
    </row>
    <row r="3105">
      <c r="A3105" s="9"/>
      <c r="B3105" s="9"/>
      <c r="C3105" s="9"/>
      <c r="D3105" s="42"/>
      <c r="E3105" s="103"/>
      <c r="F3105" s="42"/>
      <c r="G3105" s="9"/>
      <c r="H3105" s="9"/>
      <c r="I3105" s="9"/>
      <c r="J3105" s="9"/>
      <c r="K3105" s="42"/>
      <c r="L3105" s="42"/>
      <c r="M3105" s="42"/>
      <c r="N3105" s="42"/>
      <c r="O3105" s="42"/>
      <c r="P3105" s="9"/>
      <c r="Q3105" s="9"/>
      <c r="R3105" s="42"/>
      <c r="S3105" s="42"/>
      <c r="T3105" s="42"/>
      <c r="U3105" s="42"/>
      <c r="V3105" s="42"/>
      <c r="W3105" s="42"/>
    </row>
    <row r="3106">
      <c r="A3106" s="9"/>
      <c r="B3106" s="9"/>
      <c r="C3106" s="9"/>
      <c r="D3106" s="42"/>
      <c r="E3106" s="103"/>
      <c r="F3106" s="42"/>
      <c r="G3106" s="9"/>
      <c r="H3106" s="9"/>
      <c r="I3106" s="9"/>
      <c r="J3106" s="9"/>
      <c r="K3106" s="42"/>
      <c r="L3106" s="42"/>
      <c r="M3106" s="42"/>
      <c r="N3106" s="42"/>
      <c r="O3106" s="42"/>
      <c r="P3106" s="9"/>
      <c r="Q3106" s="9"/>
      <c r="R3106" s="42"/>
      <c r="S3106" s="42"/>
      <c r="T3106" s="42"/>
      <c r="U3106" s="42"/>
      <c r="V3106" s="42"/>
      <c r="W3106" s="42"/>
    </row>
    <row r="3107">
      <c r="A3107" s="9"/>
      <c r="B3107" s="9"/>
      <c r="C3107" s="9"/>
      <c r="D3107" s="42"/>
      <c r="E3107" s="103"/>
      <c r="F3107" s="42"/>
      <c r="G3107" s="9"/>
      <c r="H3107" s="9"/>
      <c r="I3107" s="9"/>
      <c r="J3107" s="9"/>
      <c r="K3107" s="42"/>
      <c r="L3107" s="42"/>
      <c r="M3107" s="42"/>
      <c r="N3107" s="42"/>
      <c r="O3107" s="42"/>
      <c r="P3107" s="9"/>
      <c r="Q3107" s="9"/>
      <c r="R3107" s="42"/>
      <c r="S3107" s="42"/>
      <c r="T3107" s="42"/>
      <c r="U3107" s="42"/>
      <c r="V3107" s="42"/>
      <c r="W3107" s="42"/>
    </row>
    <row r="3108">
      <c r="A3108" s="9"/>
      <c r="B3108" s="9"/>
      <c r="C3108" s="9"/>
      <c r="D3108" s="42"/>
      <c r="E3108" s="103"/>
      <c r="F3108" s="42"/>
      <c r="G3108" s="9"/>
      <c r="H3108" s="9"/>
      <c r="I3108" s="9"/>
      <c r="J3108" s="9"/>
      <c r="K3108" s="42"/>
      <c r="L3108" s="42"/>
      <c r="M3108" s="42"/>
      <c r="N3108" s="42"/>
      <c r="O3108" s="42"/>
      <c r="P3108" s="9"/>
      <c r="Q3108" s="9"/>
      <c r="R3108" s="42"/>
      <c r="S3108" s="42"/>
      <c r="T3108" s="42"/>
      <c r="U3108" s="42"/>
      <c r="V3108" s="42"/>
      <c r="W3108" s="42"/>
    </row>
    <row r="3109">
      <c r="A3109" s="9"/>
      <c r="B3109" s="9"/>
      <c r="C3109" s="9"/>
      <c r="D3109" s="42"/>
      <c r="E3109" s="103"/>
      <c r="F3109" s="42"/>
      <c r="G3109" s="9"/>
      <c r="H3109" s="9"/>
      <c r="I3109" s="9"/>
      <c r="J3109" s="9"/>
      <c r="K3109" s="42"/>
      <c r="L3109" s="42"/>
      <c r="M3109" s="42"/>
      <c r="N3109" s="42"/>
      <c r="O3109" s="42"/>
      <c r="P3109" s="9"/>
      <c r="Q3109" s="9"/>
      <c r="R3109" s="42"/>
      <c r="S3109" s="42"/>
      <c r="T3109" s="42"/>
      <c r="U3109" s="42"/>
      <c r="V3109" s="42"/>
      <c r="W3109" s="42"/>
    </row>
    <row r="3110">
      <c r="A3110" s="9"/>
      <c r="B3110" s="9"/>
      <c r="C3110" s="9"/>
      <c r="D3110" s="42"/>
      <c r="E3110" s="103"/>
      <c r="F3110" s="42"/>
      <c r="G3110" s="9"/>
      <c r="H3110" s="9"/>
      <c r="I3110" s="9"/>
      <c r="J3110" s="9"/>
      <c r="K3110" s="42"/>
      <c r="L3110" s="42"/>
      <c r="M3110" s="42"/>
      <c r="N3110" s="42"/>
      <c r="O3110" s="42"/>
      <c r="P3110" s="9"/>
      <c r="Q3110" s="9"/>
      <c r="R3110" s="42"/>
      <c r="S3110" s="42"/>
      <c r="T3110" s="42"/>
      <c r="U3110" s="42"/>
      <c r="V3110" s="42"/>
      <c r="W3110" s="42"/>
    </row>
    <row r="3111">
      <c r="A3111" s="9"/>
      <c r="B3111" s="9"/>
      <c r="C3111" s="9"/>
      <c r="D3111" s="42"/>
      <c r="E3111" s="103"/>
      <c r="F3111" s="42"/>
      <c r="G3111" s="9"/>
      <c r="H3111" s="9"/>
      <c r="I3111" s="9"/>
      <c r="J3111" s="9"/>
      <c r="K3111" s="42"/>
      <c r="L3111" s="42"/>
      <c r="M3111" s="42"/>
      <c r="N3111" s="42"/>
      <c r="O3111" s="42"/>
      <c r="P3111" s="9"/>
      <c r="Q3111" s="9"/>
      <c r="R3111" s="42"/>
      <c r="S3111" s="42"/>
      <c r="T3111" s="42"/>
      <c r="U3111" s="42"/>
      <c r="V3111" s="42"/>
      <c r="W3111" s="42"/>
    </row>
    <row r="3112">
      <c r="A3112" s="9"/>
      <c r="B3112" s="9"/>
      <c r="C3112" s="9"/>
      <c r="D3112" s="42"/>
      <c r="E3112" s="103"/>
      <c r="F3112" s="42"/>
      <c r="G3112" s="9"/>
      <c r="H3112" s="9"/>
      <c r="I3112" s="9"/>
      <c r="J3112" s="9"/>
      <c r="K3112" s="42"/>
      <c r="L3112" s="42"/>
      <c r="M3112" s="42"/>
      <c r="N3112" s="42"/>
      <c r="O3112" s="42"/>
      <c r="P3112" s="9"/>
      <c r="Q3112" s="9"/>
      <c r="R3112" s="42"/>
      <c r="S3112" s="42"/>
      <c r="T3112" s="42"/>
      <c r="U3112" s="42"/>
      <c r="V3112" s="42"/>
      <c r="W3112" s="42"/>
    </row>
    <row r="3113">
      <c r="A3113" s="9"/>
      <c r="B3113" s="9"/>
      <c r="C3113" s="9"/>
      <c r="D3113" s="42"/>
      <c r="E3113" s="103"/>
      <c r="F3113" s="42"/>
      <c r="G3113" s="9"/>
      <c r="H3113" s="9"/>
      <c r="I3113" s="9"/>
      <c r="J3113" s="9"/>
      <c r="K3113" s="42"/>
      <c r="L3113" s="42"/>
      <c r="M3113" s="42"/>
      <c r="N3113" s="42"/>
      <c r="O3113" s="42"/>
      <c r="P3113" s="9"/>
      <c r="Q3113" s="9"/>
      <c r="R3113" s="42"/>
      <c r="S3113" s="42"/>
      <c r="T3113" s="42"/>
      <c r="U3113" s="42"/>
      <c r="V3113" s="42"/>
      <c r="W3113" s="42"/>
    </row>
    <row r="3114">
      <c r="A3114" s="9"/>
      <c r="B3114" s="9"/>
      <c r="C3114" s="9"/>
      <c r="D3114" s="42"/>
      <c r="E3114" s="103"/>
      <c r="F3114" s="42"/>
      <c r="G3114" s="9"/>
      <c r="H3114" s="9"/>
      <c r="I3114" s="9"/>
      <c r="J3114" s="9"/>
      <c r="K3114" s="42"/>
      <c r="L3114" s="42"/>
      <c r="M3114" s="42"/>
      <c r="N3114" s="42"/>
      <c r="O3114" s="42"/>
      <c r="P3114" s="9"/>
      <c r="Q3114" s="9"/>
      <c r="R3114" s="42"/>
      <c r="S3114" s="42"/>
      <c r="T3114" s="42"/>
      <c r="U3114" s="42"/>
      <c r="V3114" s="42"/>
      <c r="W3114" s="42"/>
    </row>
    <row r="3115">
      <c r="A3115" s="9"/>
      <c r="B3115" s="9"/>
      <c r="C3115" s="9"/>
      <c r="D3115" s="42"/>
      <c r="E3115" s="103"/>
      <c r="F3115" s="42"/>
      <c r="G3115" s="9"/>
      <c r="H3115" s="9"/>
      <c r="I3115" s="9"/>
      <c r="J3115" s="9"/>
      <c r="K3115" s="42"/>
      <c r="L3115" s="42"/>
      <c r="M3115" s="42"/>
      <c r="N3115" s="42"/>
      <c r="O3115" s="42"/>
      <c r="P3115" s="9"/>
      <c r="Q3115" s="9"/>
      <c r="R3115" s="42"/>
      <c r="S3115" s="42"/>
      <c r="T3115" s="42"/>
      <c r="U3115" s="42"/>
      <c r="V3115" s="42"/>
      <c r="W3115" s="42"/>
    </row>
    <row r="3116">
      <c r="A3116" s="9"/>
      <c r="B3116" s="9"/>
      <c r="C3116" s="9"/>
      <c r="D3116" s="42"/>
      <c r="E3116" s="103"/>
      <c r="F3116" s="42"/>
      <c r="G3116" s="9"/>
      <c r="H3116" s="9"/>
      <c r="I3116" s="9"/>
      <c r="J3116" s="9"/>
      <c r="K3116" s="42"/>
      <c r="L3116" s="42"/>
      <c r="M3116" s="42"/>
      <c r="N3116" s="42"/>
      <c r="O3116" s="42"/>
      <c r="P3116" s="9"/>
      <c r="Q3116" s="9"/>
      <c r="R3116" s="42"/>
      <c r="S3116" s="42"/>
      <c r="T3116" s="42"/>
      <c r="U3116" s="42"/>
      <c r="V3116" s="42"/>
      <c r="W3116" s="42"/>
    </row>
    <row r="3117">
      <c r="A3117" s="9"/>
      <c r="B3117" s="9"/>
      <c r="C3117" s="9"/>
      <c r="D3117" s="42"/>
      <c r="E3117" s="103"/>
      <c r="F3117" s="42"/>
      <c r="G3117" s="9"/>
      <c r="H3117" s="9"/>
      <c r="I3117" s="9"/>
      <c r="J3117" s="9"/>
      <c r="K3117" s="42"/>
      <c r="L3117" s="42"/>
      <c r="M3117" s="42"/>
      <c r="N3117" s="42"/>
      <c r="O3117" s="42"/>
      <c r="P3117" s="9"/>
      <c r="Q3117" s="9"/>
      <c r="R3117" s="42"/>
      <c r="S3117" s="42"/>
      <c r="T3117" s="42"/>
      <c r="U3117" s="42"/>
      <c r="V3117" s="42"/>
      <c r="W3117" s="42"/>
    </row>
    <row r="3118">
      <c r="A3118" s="9"/>
      <c r="B3118" s="9"/>
      <c r="C3118" s="9"/>
      <c r="D3118" s="42"/>
      <c r="E3118" s="103"/>
      <c r="F3118" s="42"/>
      <c r="G3118" s="9"/>
      <c r="H3118" s="9"/>
      <c r="I3118" s="9"/>
      <c r="J3118" s="9"/>
      <c r="K3118" s="42"/>
      <c r="L3118" s="42"/>
      <c r="M3118" s="42"/>
      <c r="N3118" s="42"/>
      <c r="O3118" s="42"/>
      <c r="P3118" s="9"/>
      <c r="Q3118" s="9"/>
      <c r="R3118" s="42"/>
      <c r="S3118" s="42"/>
      <c r="T3118" s="42"/>
      <c r="U3118" s="42"/>
      <c r="V3118" s="42"/>
      <c r="W3118" s="42"/>
    </row>
    <row r="3119">
      <c r="A3119" s="9"/>
      <c r="B3119" s="9"/>
      <c r="C3119" s="9"/>
      <c r="D3119" s="42"/>
      <c r="E3119" s="103"/>
      <c r="F3119" s="42"/>
      <c r="G3119" s="9"/>
      <c r="H3119" s="9"/>
      <c r="I3119" s="9"/>
      <c r="J3119" s="9"/>
      <c r="K3119" s="42"/>
      <c r="L3119" s="42"/>
      <c r="M3119" s="42"/>
      <c r="N3119" s="42"/>
      <c r="O3119" s="42"/>
      <c r="P3119" s="9"/>
      <c r="Q3119" s="9"/>
      <c r="R3119" s="42"/>
      <c r="S3119" s="42"/>
      <c r="T3119" s="42"/>
      <c r="U3119" s="42"/>
      <c r="V3119" s="42"/>
      <c r="W3119" s="42"/>
    </row>
    <row r="3120">
      <c r="A3120" s="9"/>
      <c r="B3120" s="9"/>
      <c r="C3120" s="9"/>
      <c r="D3120" s="42"/>
      <c r="E3120" s="103"/>
      <c r="F3120" s="42"/>
      <c r="G3120" s="9"/>
      <c r="H3120" s="9"/>
      <c r="I3120" s="9"/>
      <c r="J3120" s="9"/>
      <c r="K3120" s="42"/>
      <c r="L3120" s="42"/>
      <c r="M3120" s="42"/>
      <c r="N3120" s="42"/>
      <c r="O3120" s="42"/>
      <c r="P3120" s="9"/>
      <c r="Q3120" s="9"/>
      <c r="R3120" s="42"/>
      <c r="S3120" s="42"/>
      <c r="T3120" s="42"/>
      <c r="U3120" s="42"/>
      <c r="V3120" s="42"/>
      <c r="W3120" s="42"/>
    </row>
    <row r="3121">
      <c r="A3121" s="9"/>
      <c r="B3121" s="9"/>
      <c r="C3121" s="9"/>
      <c r="D3121" s="42"/>
      <c r="E3121" s="103"/>
      <c r="F3121" s="42"/>
      <c r="G3121" s="9"/>
      <c r="H3121" s="9"/>
      <c r="I3121" s="9"/>
      <c r="J3121" s="9"/>
      <c r="K3121" s="42"/>
      <c r="L3121" s="42"/>
      <c r="M3121" s="42"/>
      <c r="N3121" s="42"/>
      <c r="O3121" s="42"/>
      <c r="P3121" s="9"/>
      <c r="Q3121" s="9"/>
      <c r="R3121" s="42"/>
      <c r="S3121" s="42"/>
      <c r="T3121" s="42"/>
      <c r="U3121" s="42"/>
      <c r="V3121" s="42"/>
      <c r="W3121" s="42"/>
    </row>
    <row r="3122">
      <c r="A3122" s="9"/>
      <c r="B3122" s="9"/>
      <c r="C3122" s="9"/>
      <c r="D3122" s="42"/>
      <c r="E3122" s="103"/>
      <c r="F3122" s="42"/>
      <c r="G3122" s="9"/>
      <c r="H3122" s="9"/>
      <c r="I3122" s="9"/>
      <c r="J3122" s="9"/>
      <c r="K3122" s="42"/>
      <c r="L3122" s="42"/>
      <c r="M3122" s="42"/>
      <c r="N3122" s="42"/>
      <c r="O3122" s="42"/>
      <c r="P3122" s="9"/>
      <c r="Q3122" s="9"/>
      <c r="R3122" s="42"/>
      <c r="S3122" s="42"/>
      <c r="T3122" s="42"/>
      <c r="U3122" s="42"/>
      <c r="V3122" s="42"/>
      <c r="W3122" s="42"/>
    </row>
    <row r="3123">
      <c r="A3123" s="9"/>
      <c r="B3123" s="9"/>
      <c r="C3123" s="9"/>
      <c r="D3123" s="42"/>
      <c r="E3123" s="103"/>
      <c r="F3123" s="42"/>
      <c r="G3123" s="9"/>
      <c r="H3123" s="9"/>
      <c r="I3123" s="9"/>
      <c r="J3123" s="9"/>
      <c r="K3123" s="42"/>
      <c r="L3123" s="42"/>
      <c r="M3123" s="42"/>
      <c r="N3123" s="42"/>
      <c r="O3123" s="42"/>
      <c r="P3123" s="9"/>
      <c r="Q3123" s="9"/>
      <c r="R3123" s="42"/>
      <c r="S3123" s="42"/>
      <c r="T3123" s="42"/>
      <c r="U3123" s="42"/>
      <c r="V3123" s="42"/>
      <c r="W3123" s="42"/>
    </row>
    <row r="3124">
      <c r="A3124" s="9"/>
      <c r="B3124" s="9"/>
      <c r="C3124" s="9"/>
      <c r="D3124" s="42"/>
      <c r="E3124" s="103"/>
      <c r="F3124" s="42"/>
      <c r="G3124" s="9"/>
      <c r="H3124" s="9"/>
      <c r="I3124" s="9"/>
      <c r="J3124" s="9"/>
      <c r="K3124" s="42"/>
      <c r="L3124" s="42"/>
      <c r="M3124" s="42"/>
      <c r="N3124" s="42"/>
      <c r="O3124" s="42"/>
      <c r="P3124" s="9"/>
      <c r="Q3124" s="9"/>
      <c r="R3124" s="42"/>
      <c r="S3124" s="42"/>
      <c r="T3124" s="42"/>
      <c r="U3124" s="42"/>
      <c r="V3124" s="42"/>
      <c r="W3124" s="42"/>
    </row>
    <row r="3125">
      <c r="A3125" s="9"/>
      <c r="B3125" s="9"/>
      <c r="C3125" s="9"/>
      <c r="D3125" s="42"/>
      <c r="E3125" s="103"/>
      <c r="F3125" s="42"/>
      <c r="G3125" s="9"/>
      <c r="H3125" s="9"/>
      <c r="I3125" s="9"/>
      <c r="J3125" s="9"/>
      <c r="K3125" s="42"/>
      <c r="L3125" s="42"/>
      <c r="M3125" s="42"/>
      <c r="N3125" s="42"/>
      <c r="O3125" s="42"/>
      <c r="P3125" s="9"/>
      <c r="Q3125" s="9"/>
      <c r="R3125" s="42"/>
      <c r="S3125" s="42"/>
      <c r="T3125" s="42"/>
      <c r="U3125" s="42"/>
      <c r="V3125" s="42"/>
      <c r="W3125" s="42"/>
    </row>
    <row r="3126">
      <c r="A3126" s="9"/>
      <c r="B3126" s="9"/>
      <c r="C3126" s="9"/>
      <c r="D3126" s="42"/>
      <c r="E3126" s="103"/>
      <c r="F3126" s="42"/>
      <c r="G3126" s="9"/>
      <c r="H3126" s="9"/>
      <c r="I3126" s="9"/>
      <c r="J3126" s="9"/>
      <c r="K3126" s="42"/>
      <c r="L3126" s="42"/>
      <c r="M3126" s="42"/>
      <c r="N3126" s="42"/>
      <c r="O3126" s="42"/>
      <c r="P3126" s="9"/>
      <c r="Q3126" s="9"/>
      <c r="R3126" s="42"/>
      <c r="S3126" s="42"/>
      <c r="T3126" s="42"/>
      <c r="U3126" s="42"/>
      <c r="V3126" s="42"/>
      <c r="W3126" s="42"/>
    </row>
    <row r="3127">
      <c r="A3127" s="9"/>
      <c r="B3127" s="9"/>
      <c r="C3127" s="9"/>
      <c r="D3127" s="42"/>
      <c r="E3127" s="103"/>
      <c r="F3127" s="42"/>
      <c r="G3127" s="9"/>
      <c r="H3127" s="9"/>
      <c r="I3127" s="9"/>
      <c r="J3127" s="9"/>
      <c r="K3127" s="42"/>
      <c r="L3127" s="42"/>
      <c r="M3127" s="42"/>
      <c r="N3127" s="42"/>
      <c r="O3127" s="42"/>
      <c r="P3127" s="9"/>
      <c r="Q3127" s="9"/>
      <c r="R3127" s="42"/>
      <c r="S3127" s="42"/>
      <c r="T3127" s="42"/>
      <c r="U3127" s="42"/>
      <c r="V3127" s="42"/>
      <c r="W3127" s="42"/>
    </row>
    <row r="3128">
      <c r="A3128" s="9"/>
      <c r="B3128" s="9"/>
      <c r="C3128" s="9"/>
      <c r="D3128" s="42"/>
      <c r="E3128" s="103"/>
      <c r="F3128" s="42"/>
      <c r="G3128" s="9"/>
      <c r="H3128" s="9"/>
      <c r="I3128" s="9"/>
      <c r="J3128" s="9"/>
      <c r="K3128" s="42"/>
      <c r="L3128" s="42"/>
      <c r="M3128" s="42"/>
      <c r="N3128" s="42"/>
      <c r="O3128" s="42"/>
      <c r="P3128" s="9"/>
      <c r="Q3128" s="9"/>
      <c r="R3128" s="42"/>
      <c r="S3128" s="42"/>
      <c r="T3128" s="42"/>
      <c r="U3128" s="42"/>
      <c r="V3128" s="42"/>
      <c r="W3128" s="42"/>
    </row>
    <row r="3129">
      <c r="A3129" s="9"/>
      <c r="B3129" s="9"/>
      <c r="C3129" s="9"/>
      <c r="D3129" s="42"/>
      <c r="E3129" s="103"/>
      <c r="F3129" s="42"/>
      <c r="G3129" s="9"/>
      <c r="H3129" s="9"/>
      <c r="I3129" s="9"/>
      <c r="J3129" s="9"/>
      <c r="K3129" s="42"/>
      <c r="L3129" s="42"/>
      <c r="M3129" s="42"/>
      <c r="N3129" s="42"/>
      <c r="O3129" s="42"/>
      <c r="P3129" s="9"/>
      <c r="Q3129" s="9"/>
      <c r="R3129" s="42"/>
      <c r="S3129" s="42"/>
      <c r="T3129" s="42"/>
      <c r="U3129" s="42"/>
      <c r="V3129" s="42"/>
      <c r="W3129" s="42"/>
    </row>
    <row r="3130">
      <c r="A3130" s="9"/>
      <c r="B3130" s="9"/>
      <c r="C3130" s="9"/>
      <c r="D3130" s="42"/>
      <c r="E3130" s="103"/>
      <c r="F3130" s="42"/>
      <c r="G3130" s="9"/>
      <c r="H3130" s="9"/>
      <c r="I3130" s="9"/>
      <c r="J3130" s="9"/>
      <c r="K3130" s="42"/>
      <c r="L3130" s="42"/>
      <c r="M3130" s="42"/>
      <c r="N3130" s="42"/>
      <c r="O3130" s="42"/>
      <c r="P3130" s="9"/>
      <c r="Q3130" s="9"/>
      <c r="R3130" s="42"/>
      <c r="S3130" s="42"/>
      <c r="T3130" s="42"/>
      <c r="U3130" s="42"/>
      <c r="V3130" s="42"/>
      <c r="W3130" s="42"/>
    </row>
    <row r="3131">
      <c r="A3131" s="9"/>
      <c r="B3131" s="9"/>
      <c r="C3131" s="9"/>
      <c r="D3131" s="42"/>
      <c r="E3131" s="103"/>
      <c r="F3131" s="42"/>
      <c r="G3131" s="9"/>
      <c r="H3131" s="9"/>
      <c r="I3131" s="9"/>
      <c r="J3131" s="9"/>
      <c r="K3131" s="42"/>
      <c r="L3131" s="42"/>
      <c r="M3131" s="42"/>
      <c r="N3131" s="42"/>
      <c r="O3131" s="42"/>
      <c r="P3131" s="9"/>
      <c r="Q3131" s="9"/>
      <c r="R3131" s="42"/>
      <c r="S3131" s="42"/>
      <c r="T3131" s="42"/>
      <c r="U3131" s="42"/>
      <c r="V3131" s="42"/>
      <c r="W3131" s="42"/>
    </row>
    <row r="3132">
      <c r="A3132" s="9"/>
      <c r="B3132" s="9"/>
      <c r="C3132" s="9"/>
      <c r="D3132" s="42"/>
      <c r="E3132" s="103"/>
      <c r="F3132" s="42"/>
      <c r="G3132" s="9"/>
      <c r="H3132" s="9"/>
      <c r="I3132" s="9"/>
      <c r="J3132" s="9"/>
      <c r="K3132" s="42"/>
      <c r="L3132" s="42"/>
      <c r="M3132" s="42"/>
      <c r="N3132" s="42"/>
      <c r="O3132" s="42"/>
      <c r="P3132" s="9"/>
      <c r="Q3132" s="9"/>
      <c r="R3132" s="42"/>
      <c r="S3132" s="42"/>
      <c r="T3132" s="42"/>
      <c r="U3132" s="42"/>
      <c r="V3132" s="42"/>
      <c r="W3132" s="42"/>
    </row>
    <row r="3133">
      <c r="A3133" s="9"/>
      <c r="B3133" s="9"/>
      <c r="C3133" s="9"/>
      <c r="D3133" s="42"/>
      <c r="E3133" s="103"/>
      <c r="F3133" s="42"/>
      <c r="G3133" s="9"/>
      <c r="H3133" s="9"/>
      <c r="I3133" s="9"/>
      <c r="J3133" s="9"/>
      <c r="K3133" s="42"/>
      <c r="L3133" s="42"/>
      <c r="M3133" s="42"/>
      <c r="N3133" s="42"/>
      <c r="O3133" s="42"/>
      <c r="P3133" s="9"/>
      <c r="Q3133" s="9"/>
      <c r="R3133" s="42"/>
      <c r="S3133" s="42"/>
      <c r="T3133" s="42"/>
      <c r="U3133" s="42"/>
      <c r="V3133" s="42"/>
      <c r="W3133" s="42"/>
    </row>
    <row r="3134">
      <c r="A3134" s="9"/>
      <c r="B3134" s="9"/>
      <c r="C3134" s="9"/>
      <c r="D3134" s="42"/>
      <c r="E3134" s="103"/>
      <c r="F3134" s="42"/>
      <c r="G3134" s="9"/>
      <c r="H3134" s="9"/>
      <c r="I3134" s="9"/>
      <c r="J3134" s="9"/>
      <c r="K3134" s="42"/>
      <c r="L3134" s="42"/>
      <c r="M3134" s="42"/>
      <c r="N3134" s="42"/>
      <c r="O3134" s="42"/>
      <c r="P3134" s="9"/>
      <c r="Q3134" s="9"/>
      <c r="R3134" s="42"/>
      <c r="S3134" s="42"/>
      <c r="T3134" s="42"/>
      <c r="U3134" s="42"/>
      <c r="V3134" s="42"/>
      <c r="W3134" s="42"/>
    </row>
    <row r="3135">
      <c r="A3135" s="9"/>
      <c r="B3135" s="9"/>
      <c r="C3135" s="9"/>
      <c r="D3135" s="42"/>
      <c r="E3135" s="103"/>
      <c r="F3135" s="42"/>
      <c r="G3135" s="9"/>
      <c r="H3135" s="9"/>
      <c r="I3135" s="9"/>
      <c r="J3135" s="9"/>
      <c r="K3135" s="42"/>
      <c r="L3135" s="42"/>
      <c r="M3135" s="42"/>
      <c r="N3135" s="42"/>
      <c r="O3135" s="42"/>
      <c r="P3135" s="9"/>
      <c r="Q3135" s="9"/>
      <c r="R3135" s="42"/>
      <c r="S3135" s="42"/>
      <c r="T3135" s="42"/>
      <c r="U3135" s="42"/>
      <c r="V3135" s="42"/>
      <c r="W3135" s="42"/>
    </row>
    <row r="3136">
      <c r="A3136" s="9"/>
      <c r="B3136" s="9"/>
      <c r="C3136" s="9"/>
      <c r="D3136" s="42"/>
      <c r="E3136" s="103"/>
      <c r="F3136" s="42"/>
      <c r="G3136" s="9"/>
      <c r="H3136" s="9"/>
      <c r="I3136" s="9"/>
      <c r="J3136" s="9"/>
      <c r="K3136" s="42"/>
      <c r="L3136" s="42"/>
      <c r="M3136" s="42"/>
      <c r="N3136" s="42"/>
      <c r="O3136" s="42"/>
      <c r="P3136" s="9"/>
      <c r="Q3136" s="9"/>
      <c r="R3136" s="42"/>
      <c r="S3136" s="42"/>
      <c r="T3136" s="42"/>
      <c r="U3136" s="42"/>
      <c r="V3136" s="42"/>
      <c r="W3136" s="42"/>
    </row>
    <row r="3137">
      <c r="A3137" s="9"/>
      <c r="B3137" s="9"/>
      <c r="C3137" s="9"/>
      <c r="D3137" s="42"/>
      <c r="E3137" s="103"/>
      <c r="F3137" s="42"/>
      <c r="G3137" s="9"/>
      <c r="H3137" s="9"/>
      <c r="I3137" s="9"/>
      <c r="J3137" s="9"/>
      <c r="K3137" s="42"/>
      <c r="L3137" s="42"/>
      <c r="M3137" s="42"/>
      <c r="N3137" s="42"/>
      <c r="O3137" s="42"/>
      <c r="P3137" s="9"/>
      <c r="Q3137" s="9"/>
      <c r="R3137" s="42"/>
      <c r="S3137" s="42"/>
      <c r="T3137" s="42"/>
      <c r="U3137" s="42"/>
      <c r="V3137" s="42"/>
      <c r="W3137" s="42"/>
    </row>
    <row r="3138">
      <c r="A3138" s="9"/>
      <c r="B3138" s="9"/>
      <c r="C3138" s="9"/>
      <c r="D3138" s="42"/>
      <c r="E3138" s="103"/>
      <c r="F3138" s="42"/>
      <c r="G3138" s="9"/>
      <c r="H3138" s="9"/>
      <c r="I3138" s="9"/>
      <c r="J3138" s="9"/>
      <c r="K3138" s="42"/>
      <c r="L3138" s="42"/>
      <c r="M3138" s="42"/>
      <c r="N3138" s="42"/>
      <c r="O3138" s="42"/>
      <c r="P3138" s="9"/>
      <c r="Q3138" s="9"/>
      <c r="R3138" s="42"/>
      <c r="S3138" s="42"/>
      <c r="T3138" s="42"/>
      <c r="U3138" s="42"/>
      <c r="V3138" s="42"/>
      <c r="W3138" s="42"/>
    </row>
    <row r="3139">
      <c r="A3139" s="9"/>
      <c r="B3139" s="9"/>
      <c r="C3139" s="9"/>
      <c r="D3139" s="42"/>
      <c r="E3139" s="103"/>
      <c r="F3139" s="42"/>
      <c r="G3139" s="9"/>
      <c r="H3139" s="9"/>
      <c r="I3139" s="9"/>
      <c r="J3139" s="9"/>
      <c r="K3139" s="42"/>
      <c r="L3139" s="42"/>
      <c r="M3139" s="42"/>
      <c r="N3139" s="42"/>
      <c r="O3139" s="42"/>
      <c r="P3139" s="9"/>
      <c r="Q3139" s="9"/>
      <c r="R3139" s="42"/>
      <c r="S3139" s="42"/>
      <c r="T3139" s="42"/>
      <c r="U3139" s="42"/>
      <c r="V3139" s="42"/>
      <c r="W3139" s="42"/>
    </row>
    <row r="3140">
      <c r="A3140" s="9"/>
      <c r="B3140" s="9"/>
      <c r="C3140" s="9"/>
      <c r="D3140" s="42"/>
      <c r="E3140" s="103"/>
      <c r="F3140" s="42"/>
      <c r="G3140" s="9"/>
      <c r="H3140" s="9"/>
      <c r="I3140" s="9"/>
      <c r="J3140" s="9"/>
      <c r="K3140" s="42"/>
      <c r="L3140" s="42"/>
      <c r="M3140" s="42"/>
      <c r="N3140" s="42"/>
      <c r="O3140" s="42"/>
      <c r="P3140" s="9"/>
      <c r="Q3140" s="9"/>
      <c r="R3140" s="42"/>
      <c r="S3140" s="42"/>
      <c r="T3140" s="42"/>
      <c r="U3140" s="42"/>
      <c r="V3140" s="42"/>
      <c r="W3140" s="42"/>
    </row>
    <row r="3141">
      <c r="A3141" s="9"/>
      <c r="B3141" s="9"/>
      <c r="C3141" s="9"/>
      <c r="D3141" s="42"/>
      <c r="E3141" s="103"/>
      <c r="F3141" s="42"/>
      <c r="G3141" s="9"/>
      <c r="H3141" s="9"/>
      <c r="I3141" s="9"/>
      <c r="J3141" s="9"/>
      <c r="K3141" s="42"/>
      <c r="L3141" s="42"/>
      <c r="M3141" s="42"/>
      <c r="N3141" s="42"/>
      <c r="O3141" s="42"/>
      <c r="P3141" s="9"/>
      <c r="Q3141" s="9"/>
      <c r="R3141" s="42"/>
      <c r="S3141" s="42"/>
      <c r="T3141" s="42"/>
      <c r="U3141" s="42"/>
      <c r="V3141" s="42"/>
      <c r="W3141" s="42"/>
    </row>
    <row r="3142">
      <c r="A3142" s="9"/>
      <c r="B3142" s="9"/>
      <c r="C3142" s="9"/>
      <c r="D3142" s="42"/>
      <c r="E3142" s="103"/>
      <c r="F3142" s="42"/>
      <c r="G3142" s="9"/>
      <c r="H3142" s="9"/>
      <c r="I3142" s="9"/>
      <c r="J3142" s="9"/>
      <c r="K3142" s="42"/>
      <c r="L3142" s="42"/>
      <c r="M3142" s="42"/>
      <c r="N3142" s="42"/>
      <c r="O3142" s="42"/>
      <c r="P3142" s="9"/>
      <c r="Q3142" s="9"/>
      <c r="R3142" s="42"/>
      <c r="S3142" s="42"/>
      <c r="T3142" s="42"/>
      <c r="U3142" s="42"/>
      <c r="V3142" s="42"/>
      <c r="W3142" s="42"/>
    </row>
    <row r="3143">
      <c r="A3143" s="9"/>
      <c r="B3143" s="9"/>
      <c r="C3143" s="9"/>
      <c r="D3143" s="42"/>
      <c r="E3143" s="103"/>
      <c r="F3143" s="42"/>
      <c r="G3143" s="9"/>
      <c r="H3143" s="9"/>
      <c r="I3143" s="9"/>
      <c r="J3143" s="9"/>
      <c r="K3143" s="42"/>
      <c r="L3143" s="42"/>
      <c r="M3143" s="42"/>
      <c r="N3143" s="42"/>
      <c r="O3143" s="42"/>
      <c r="P3143" s="9"/>
      <c r="Q3143" s="9"/>
      <c r="R3143" s="42"/>
      <c r="S3143" s="42"/>
      <c r="T3143" s="42"/>
      <c r="U3143" s="42"/>
      <c r="V3143" s="42"/>
      <c r="W3143" s="42"/>
    </row>
    <row r="3144">
      <c r="A3144" s="9"/>
      <c r="B3144" s="9"/>
      <c r="C3144" s="9"/>
      <c r="D3144" s="42"/>
      <c r="E3144" s="103"/>
      <c r="F3144" s="42"/>
      <c r="G3144" s="9"/>
      <c r="H3144" s="9"/>
      <c r="I3144" s="9"/>
      <c r="J3144" s="9"/>
      <c r="K3144" s="42"/>
      <c r="L3144" s="42"/>
      <c r="M3144" s="42"/>
      <c r="N3144" s="42"/>
      <c r="O3144" s="42"/>
      <c r="P3144" s="9"/>
      <c r="Q3144" s="9"/>
      <c r="R3144" s="42"/>
      <c r="S3144" s="42"/>
      <c r="T3144" s="42"/>
      <c r="U3144" s="42"/>
      <c r="V3144" s="42"/>
      <c r="W3144" s="42"/>
    </row>
    <row r="3145">
      <c r="A3145" s="9"/>
      <c r="B3145" s="9"/>
      <c r="C3145" s="9"/>
      <c r="D3145" s="42"/>
      <c r="E3145" s="103"/>
      <c r="F3145" s="42"/>
      <c r="G3145" s="9"/>
      <c r="H3145" s="9"/>
      <c r="I3145" s="9"/>
      <c r="J3145" s="9"/>
      <c r="K3145" s="42"/>
      <c r="L3145" s="42"/>
      <c r="M3145" s="42"/>
      <c r="N3145" s="42"/>
      <c r="O3145" s="42"/>
      <c r="P3145" s="9"/>
      <c r="Q3145" s="9"/>
      <c r="R3145" s="42"/>
      <c r="S3145" s="42"/>
      <c r="T3145" s="42"/>
      <c r="U3145" s="42"/>
      <c r="V3145" s="42"/>
      <c r="W3145" s="42"/>
    </row>
    <row r="3146">
      <c r="A3146" s="9"/>
      <c r="B3146" s="9"/>
      <c r="C3146" s="9"/>
      <c r="D3146" s="42"/>
      <c r="E3146" s="103"/>
      <c r="F3146" s="42"/>
      <c r="G3146" s="9"/>
      <c r="H3146" s="9"/>
      <c r="I3146" s="9"/>
      <c r="J3146" s="9"/>
      <c r="K3146" s="42"/>
      <c r="L3146" s="42"/>
      <c r="M3146" s="42"/>
      <c r="N3146" s="42"/>
      <c r="O3146" s="42"/>
      <c r="P3146" s="9"/>
      <c r="Q3146" s="9"/>
      <c r="R3146" s="42"/>
      <c r="S3146" s="42"/>
      <c r="T3146" s="42"/>
      <c r="U3146" s="42"/>
      <c r="V3146" s="42"/>
      <c r="W3146" s="42"/>
    </row>
    <row r="3147">
      <c r="A3147" s="9"/>
      <c r="B3147" s="9"/>
      <c r="C3147" s="9"/>
      <c r="D3147" s="42"/>
      <c r="E3147" s="103"/>
      <c r="F3147" s="42"/>
      <c r="G3147" s="9"/>
      <c r="H3147" s="9"/>
      <c r="I3147" s="9"/>
      <c r="J3147" s="9"/>
      <c r="K3147" s="42"/>
      <c r="L3147" s="42"/>
      <c r="M3147" s="42"/>
      <c r="N3147" s="42"/>
      <c r="O3147" s="42"/>
      <c r="P3147" s="9"/>
      <c r="Q3147" s="9"/>
      <c r="R3147" s="42"/>
      <c r="S3147" s="42"/>
      <c r="T3147" s="42"/>
      <c r="U3147" s="42"/>
      <c r="V3147" s="42"/>
      <c r="W3147" s="42"/>
    </row>
    <row r="3148">
      <c r="A3148" s="9"/>
      <c r="B3148" s="9"/>
      <c r="C3148" s="9"/>
      <c r="D3148" s="42"/>
      <c r="E3148" s="103"/>
      <c r="F3148" s="42"/>
      <c r="G3148" s="9"/>
      <c r="H3148" s="9"/>
      <c r="I3148" s="9"/>
      <c r="J3148" s="9"/>
      <c r="K3148" s="42"/>
      <c r="L3148" s="42"/>
      <c r="M3148" s="42"/>
      <c r="N3148" s="42"/>
      <c r="O3148" s="42"/>
      <c r="P3148" s="9"/>
      <c r="Q3148" s="9"/>
      <c r="R3148" s="42"/>
      <c r="S3148" s="42"/>
      <c r="T3148" s="42"/>
      <c r="U3148" s="42"/>
      <c r="V3148" s="42"/>
      <c r="W3148" s="42"/>
    </row>
    <row r="3149">
      <c r="A3149" s="9"/>
      <c r="B3149" s="9"/>
      <c r="C3149" s="9"/>
      <c r="D3149" s="42"/>
      <c r="E3149" s="103"/>
      <c r="F3149" s="42"/>
      <c r="G3149" s="9"/>
      <c r="H3149" s="9"/>
      <c r="I3149" s="9"/>
      <c r="J3149" s="9"/>
      <c r="K3149" s="42"/>
      <c r="L3149" s="42"/>
      <c r="M3149" s="42"/>
      <c r="N3149" s="42"/>
      <c r="O3149" s="42"/>
      <c r="P3149" s="9"/>
      <c r="Q3149" s="9"/>
      <c r="R3149" s="42"/>
      <c r="S3149" s="42"/>
      <c r="T3149" s="42"/>
      <c r="U3149" s="42"/>
      <c r="V3149" s="42"/>
      <c r="W3149" s="42"/>
    </row>
    <row r="3150">
      <c r="A3150" s="9"/>
      <c r="B3150" s="9"/>
      <c r="C3150" s="9"/>
      <c r="D3150" s="42"/>
      <c r="E3150" s="103"/>
      <c r="F3150" s="42"/>
      <c r="G3150" s="9"/>
      <c r="H3150" s="9"/>
      <c r="I3150" s="9"/>
      <c r="J3150" s="9"/>
      <c r="K3150" s="42"/>
      <c r="L3150" s="42"/>
      <c r="M3150" s="42"/>
      <c r="N3150" s="42"/>
      <c r="O3150" s="42"/>
      <c r="P3150" s="9"/>
      <c r="Q3150" s="9"/>
      <c r="R3150" s="42"/>
      <c r="S3150" s="42"/>
      <c r="T3150" s="42"/>
      <c r="U3150" s="42"/>
      <c r="V3150" s="42"/>
      <c r="W3150" s="42"/>
    </row>
    <row r="3151">
      <c r="A3151" s="9"/>
      <c r="B3151" s="9"/>
      <c r="C3151" s="9"/>
      <c r="D3151" s="42"/>
      <c r="E3151" s="103"/>
      <c r="F3151" s="42"/>
      <c r="G3151" s="9"/>
      <c r="H3151" s="9"/>
      <c r="I3151" s="9"/>
      <c r="J3151" s="9"/>
      <c r="K3151" s="42"/>
      <c r="L3151" s="42"/>
      <c r="M3151" s="42"/>
      <c r="N3151" s="42"/>
      <c r="O3151" s="42"/>
      <c r="P3151" s="9"/>
      <c r="Q3151" s="9"/>
      <c r="R3151" s="42"/>
      <c r="S3151" s="42"/>
      <c r="T3151" s="42"/>
      <c r="U3151" s="42"/>
      <c r="V3151" s="42"/>
      <c r="W3151" s="42"/>
    </row>
    <row r="3152">
      <c r="A3152" s="9"/>
      <c r="B3152" s="9"/>
      <c r="C3152" s="9"/>
      <c r="D3152" s="42"/>
      <c r="E3152" s="103"/>
      <c r="F3152" s="42"/>
      <c r="G3152" s="9"/>
      <c r="H3152" s="9"/>
      <c r="I3152" s="9"/>
      <c r="J3152" s="9"/>
      <c r="K3152" s="42"/>
      <c r="L3152" s="42"/>
      <c r="M3152" s="42"/>
      <c r="N3152" s="42"/>
      <c r="O3152" s="42"/>
      <c r="P3152" s="9"/>
      <c r="Q3152" s="9"/>
      <c r="R3152" s="42"/>
      <c r="S3152" s="42"/>
      <c r="T3152" s="42"/>
      <c r="U3152" s="42"/>
      <c r="V3152" s="42"/>
      <c r="W3152" s="42"/>
    </row>
    <row r="3153">
      <c r="A3153" s="9"/>
      <c r="B3153" s="9"/>
      <c r="C3153" s="9"/>
      <c r="D3153" s="42"/>
      <c r="E3153" s="103"/>
      <c r="F3153" s="42"/>
      <c r="G3153" s="9"/>
      <c r="H3153" s="9"/>
      <c r="I3153" s="9"/>
      <c r="J3153" s="9"/>
      <c r="K3153" s="42"/>
      <c r="L3153" s="42"/>
      <c r="M3153" s="42"/>
      <c r="N3153" s="42"/>
      <c r="O3153" s="42"/>
      <c r="P3153" s="9"/>
      <c r="Q3153" s="9"/>
      <c r="R3153" s="42"/>
      <c r="S3153" s="42"/>
      <c r="T3153" s="42"/>
      <c r="U3153" s="42"/>
      <c r="V3153" s="42"/>
      <c r="W3153" s="42"/>
    </row>
    <row r="3154">
      <c r="A3154" s="9"/>
      <c r="B3154" s="9"/>
      <c r="C3154" s="9"/>
      <c r="D3154" s="42"/>
      <c r="E3154" s="103"/>
      <c r="F3154" s="42"/>
      <c r="G3154" s="9"/>
      <c r="H3154" s="9"/>
      <c r="I3154" s="9"/>
      <c r="J3154" s="9"/>
      <c r="K3154" s="42"/>
      <c r="L3154" s="42"/>
      <c r="M3154" s="42"/>
      <c r="N3154" s="42"/>
      <c r="O3154" s="42"/>
      <c r="P3154" s="9"/>
      <c r="Q3154" s="9"/>
      <c r="R3154" s="42"/>
      <c r="S3154" s="42"/>
      <c r="T3154" s="42"/>
      <c r="U3154" s="42"/>
      <c r="V3154" s="42"/>
      <c r="W3154" s="42"/>
    </row>
    <row r="3155">
      <c r="A3155" s="9"/>
      <c r="B3155" s="9"/>
      <c r="C3155" s="9"/>
      <c r="D3155" s="42"/>
      <c r="E3155" s="103"/>
      <c r="F3155" s="42"/>
      <c r="G3155" s="9"/>
      <c r="H3155" s="9"/>
      <c r="I3155" s="9"/>
      <c r="J3155" s="9"/>
      <c r="K3155" s="42"/>
      <c r="L3155" s="42"/>
      <c r="M3155" s="42"/>
      <c r="N3155" s="42"/>
      <c r="O3155" s="42"/>
      <c r="P3155" s="9"/>
      <c r="Q3155" s="9"/>
      <c r="R3155" s="42"/>
      <c r="S3155" s="42"/>
      <c r="T3155" s="42"/>
      <c r="U3155" s="42"/>
      <c r="V3155" s="42"/>
      <c r="W3155" s="42"/>
    </row>
    <row r="3156">
      <c r="A3156" s="9"/>
      <c r="B3156" s="9"/>
      <c r="C3156" s="9"/>
      <c r="D3156" s="42"/>
      <c r="E3156" s="103"/>
      <c r="F3156" s="42"/>
      <c r="G3156" s="9"/>
      <c r="H3156" s="9"/>
      <c r="I3156" s="9"/>
      <c r="J3156" s="9"/>
      <c r="K3156" s="42"/>
      <c r="L3156" s="42"/>
      <c r="M3156" s="42"/>
      <c r="N3156" s="42"/>
      <c r="O3156" s="42"/>
      <c r="P3156" s="9"/>
      <c r="Q3156" s="9"/>
      <c r="R3156" s="42"/>
      <c r="S3156" s="42"/>
      <c r="T3156" s="42"/>
      <c r="U3156" s="42"/>
      <c r="V3156" s="42"/>
      <c r="W3156" s="42"/>
    </row>
    <row r="3157">
      <c r="A3157" s="9"/>
      <c r="B3157" s="9"/>
      <c r="C3157" s="9"/>
      <c r="D3157" s="42"/>
      <c r="E3157" s="103"/>
      <c r="F3157" s="42"/>
      <c r="G3157" s="9"/>
      <c r="H3157" s="9"/>
      <c r="I3157" s="9"/>
      <c r="J3157" s="9"/>
      <c r="K3157" s="42"/>
      <c r="L3157" s="42"/>
      <c r="M3157" s="42"/>
      <c r="N3157" s="42"/>
      <c r="O3157" s="42"/>
      <c r="P3157" s="9"/>
      <c r="Q3157" s="9"/>
      <c r="R3157" s="42"/>
      <c r="S3157" s="42"/>
      <c r="T3157" s="42"/>
      <c r="U3157" s="42"/>
      <c r="V3157" s="42"/>
      <c r="W3157" s="42"/>
    </row>
    <row r="3158">
      <c r="A3158" s="9"/>
      <c r="B3158" s="9"/>
      <c r="C3158" s="9"/>
      <c r="D3158" s="42"/>
      <c r="E3158" s="103"/>
      <c r="F3158" s="42"/>
      <c r="G3158" s="9"/>
      <c r="H3158" s="9"/>
      <c r="I3158" s="9"/>
      <c r="J3158" s="9"/>
      <c r="K3158" s="42"/>
      <c r="L3158" s="42"/>
      <c r="M3158" s="42"/>
      <c r="N3158" s="42"/>
      <c r="O3158" s="42"/>
      <c r="P3158" s="9"/>
      <c r="Q3158" s="9"/>
      <c r="R3158" s="42"/>
      <c r="S3158" s="42"/>
      <c r="T3158" s="42"/>
      <c r="U3158" s="42"/>
      <c r="V3158" s="42"/>
      <c r="W3158" s="42"/>
    </row>
    <row r="3159">
      <c r="A3159" s="9"/>
      <c r="B3159" s="9"/>
      <c r="C3159" s="9"/>
      <c r="D3159" s="42"/>
      <c r="E3159" s="103"/>
      <c r="F3159" s="42"/>
      <c r="G3159" s="9"/>
      <c r="H3159" s="9"/>
      <c r="I3159" s="9"/>
      <c r="J3159" s="9"/>
      <c r="K3159" s="42"/>
      <c r="L3159" s="42"/>
      <c r="M3159" s="42"/>
      <c r="N3159" s="42"/>
      <c r="O3159" s="42"/>
      <c r="P3159" s="9"/>
      <c r="Q3159" s="9"/>
      <c r="R3159" s="42"/>
      <c r="S3159" s="42"/>
      <c r="T3159" s="42"/>
      <c r="U3159" s="42"/>
      <c r="V3159" s="42"/>
      <c r="W3159" s="42"/>
    </row>
    <row r="3160">
      <c r="A3160" s="9"/>
      <c r="B3160" s="9"/>
      <c r="C3160" s="9"/>
      <c r="D3160" s="42"/>
      <c r="E3160" s="103"/>
      <c r="F3160" s="42"/>
      <c r="G3160" s="9"/>
      <c r="H3160" s="9"/>
      <c r="I3160" s="9"/>
      <c r="J3160" s="9"/>
      <c r="K3160" s="42"/>
      <c r="L3160" s="42"/>
      <c r="M3160" s="42"/>
      <c r="N3160" s="42"/>
      <c r="O3160" s="42"/>
      <c r="P3160" s="9"/>
      <c r="Q3160" s="9"/>
      <c r="R3160" s="42"/>
      <c r="S3160" s="42"/>
      <c r="T3160" s="42"/>
      <c r="U3160" s="42"/>
      <c r="V3160" s="42"/>
      <c r="W3160" s="42"/>
    </row>
    <row r="3161">
      <c r="A3161" s="9"/>
      <c r="B3161" s="9"/>
      <c r="C3161" s="9"/>
      <c r="D3161" s="42"/>
      <c r="E3161" s="103"/>
      <c r="F3161" s="42"/>
      <c r="G3161" s="9"/>
      <c r="H3161" s="9"/>
      <c r="I3161" s="9"/>
      <c r="J3161" s="9"/>
      <c r="K3161" s="42"/>
      <c r="L3161" s="42"/>
      <c r="M3161" s="42"/>
      <c r="N3161" s="42"/>
      <c r="O3161" s="42"/>
      <c r="P3161" s="9"/>
      <c r="Q3161" s="9"/>
      <c r="R3161" s="42"/>
      <c r="S3161" s="42"/>
      <c r="T3161" s="42"/>
      <c r="U3161" s="42"/>
      <c r="V3161" s="42"/>
      <c r="W3161" s="42"/>
    </row>
    <row r="3162">
      <c r="A3162" s="9"/>
      <c r="B3162" s="9"/>
      <c r="C3162" s="9"/>
      <c r="D3162" s="42"/>
      <c r="E3162" s="103"/>
      <c r="F3162" s="42"/>
      <c r="G3162" s="9"/>
      <c r="H3162" s="9"/>
      <c r="I3162" s="9"/>
      <c r="J3162" s="9"/>
      <c r="K3162" s="42"/>
      <c r="L3162" s="42"/>
      <c r="M3162" s="42"/>
      <c r="N3162" s="42"/>
      <c r="O3162" s="42"/>
      <c r="P3162" s="9"/>
      <c r="Q3162" s="9"/>
      <c r="R3162" s="42"/>
      <c r="S3162" s="42"/>
      <c r="T3162" s="42"/>
      <c r="U3162" s="42"/>
      <c r="V3162" s="42"/>
      <c r="W3162" s="42"/>
    </row>
    <row r="3163">
      <c r="A3163" s="9"/>
      <c r="B3163" s="9"/>
      <c r="C3163" s="9"/>
      <c r="D3163" s="42"/>
      <c r="E3163" s="103"/>
      <c r="F3163" s="42"/>
      <c r="G3163" s="9"/>
      <c r="H3163" s="9"/>
      <c r="I3163" s="9"/>
      <c r="J3163" s="9"/>
      <c r="K3163" s="42"/>
      <c r="L3163" s="42"/>
      <c r="M3163" s="42"/>
      <c r="N3163" s="42"/>
      <c r="O3163" s="42"/>
      <c r="P3163" s="9"/>
      <c r="Q3163" s="9"/>
      <c r="R3163" s="42"/>
      <c r="S3163" s="42"/>
      <c r="T3163" s="42"/>
      <c r="U3163" s="42"/>
      <c r="V3163" s="42"/>
      <c r="W3163" s="42"/>
    </row>
    <row r="3164">
      <c r="A3164" s="9"/>
      <c r="B3164" s="9"/>
      <c r="C3164" s="9"/>
      <c r="D3164" s="42"/>
      <c r="E3164" s="103"/>
      <c r="F3164" s="42"/>
      <c r="G3164" s="9"/>
      <c r="H3164" s="9"/>
      <c r="I3164" s="9"/>
      <c r="J3164" s="9"/>
      <c r="K3164" s="42"/>
      <c r="L3164" s="42"/>
      <c r="M3164" s="42"/>
      <c r="N3164" s="42"/>
      <c r="O3164" s="42"/>
      <c r="P3164" s="9"/>
      <c r="Q3164" s="9"/>
      <c r="R3164" s="42"/>
      <c r="S3164" s="42"/>
      <c r="T3164" s="42"/>
      <c r="U3164" s="42"/>
      <c r="V3164" s="42"/>
      <c r="W3164" s="42"/>
    </row>
    <row r="3165">
      <c r="A3165" s="9"/>
      <c r="B3165" s="9"/>
      <c r="C3165" s="9"/>
      <c r="D3165" s="42"/>
      <c r="E3165" s="103"/>
      <c r="F3165" s="42"/>
      <c r="G3165" s="9"/>
      <c r="H3165" s="9"/>
      <c r="I3165" s="9"/>
      <c r="J3165" s="9"/>
      <c r="K3165" s="42"/>
      <c r="L3165" s="42"/>
      <c r="M3165" s="42"/>
      <c r="N3165" s="42"/>
      <c r="O3165" s="42"/>
      <c r="P3165" s="9"/>
      <c r="Q3165" s="9"/>
      <c r="R3165" s="42"/>
      <c r="S3165" s="42"/>
      <c r="T3165" s="42"/>
      <c r="U3165" s="42"/>
      <c r="V3165" s="42"/>
      <c r="W3165" s="42"/>
    </row>
    <row r="3166">
      <c r="A3166" s="9"/>
      <c r="B3166" s="9"/>
      <c r="C3166" s="9"/>
      <c r="D3166" s="42"/>
      <c r="E3166" s="103"/>
      <c r="F3166" s="42"/>
      <c r="G3166" s="9"/>
      <c r="H3166" s="9"/>
      <c r="I3166" s="9"/>
      <c r="J3166" s="9"/>
      <c r="K3166" s="42"/>
      <c r="L3166" s="42"/>
      <c r="M3166" s="42"/>
      <c r="N3166" s="42"/>
      <c r="O3166" s="42"/>
      <c r="P3166" s="9"/>
      <c r="Q3166" s="9"/>
      <c r="R3166" s="42"/>
      <c r="S3166" s="42"/>
      <c r="T3166" s="42"/>
      <c r="U3166" s="42"/>
      <c r="V3166" s="42"/>
      <c r="W3166" s="42"/>
    </row>
    <row r="3167">
      <c r="A3167" s="9"/>
      <c r="B3167" s="9"/>
      <c r="C3167" s="9"/>
      <c r="D3167" s="42"/>
      <c r="E3167" s="103"/>
      <c r="F3167" s="42"/>
      <c r="G3167" s="9"/>
      <c r="H3167" s="9"/>
      <c r="I3167" s="9"/>
      <c r="J3167" s="9"/>
      <c r="K3167" s="42"/>
      <c r="L3167" s="42"/>
      <c r="M3167" s="42"/>
      <c r="N3167" s="42"/>
      <c r="O3167" s="42"/>
      <c r="P3167" s="9"/>
      <c r="Q3167" s="9"/>
      <c r="R3167" s="42"/>
      <c r="S3167" s="42"/>
      <c r="T3167" s="42"/>
      <c r="U3167" s="42"/>
      <c r="V3167" s="42"/>
      <c r="W3167" s="42"/>
    </row>
    <row r="3168">
      <c r="A3168" s="9"/>
      <c r="B3168" s="9"/>
      <c r="C3168" s="9"/>
      <c r="D3168" s="42"/>
      <c r="E3168" s="103"/>
      <c r="F3168" s="42"/>
      <c r="G3168" s="9"/>
      <c r="H3168" s="9"/>
      <c r="I3168" s="9"/>
      <c r="J3168" s="9"/>
      <c r="K3168" s="42"/>
      <c r="L3168" s="42"/>
      <c r="M3168" s="42"/>
      <c r="N3168" s="42"/>
      <c r="O3168" s="42"/>
      <c r="P3168" s="9"/>
      <c r="Q3168" s="9"/>
      <c r="R3168" s="42"/>
      <c r="S3168" s="42"/>
      <c r="T3168" s="42"/>
      <c r="U3168" s="42"/>
      <c r="V3168" s="42"/>
      <c r="W3168" s="42"/>
    </row>
    <row r="3169">
      <c r="A3169" s="9"/>
      <c r="B3169" s="9"/>
      <c r="C3169" s="9"/>
      <c r="D3169" s="42"/>
      <c r="E3169" s="103"/>
      <c r="F3169" s="42"/>
      <c r="G3169" s="9"/>
      <c r="H3169" s="9"/>
      <c r="I3169" s="9"/>
      <c r="J3169" s="9"/>
      <c r="K3169" s="42"/>
      <c r="L3169" s="42"/>
      <c r="M3169" s="42"/>
      <c r="N3169" s="42"/>
      <c r="O3169" s="42"/>
      <c r="P3169" s="9"/>
      <c r="Q3169" s="9"/>
      <c r="R3169" s="42"/>
      <c r="S3169" s="42"/>
      <c r="T3169" s="42"/>
      <c r="U3169" s="42"/>
      <c r="V3169" s="42"/>
      <c r="W3169" s="42"/>
    </row>
    <row r="3170">
      <c r="A3170" s="9"/>
      <c r="B3170" s="9"/>
      <c r="C3170" s="9"/>
      <c r="D3170" s="42"/>
      <c r="E3170" s="103"/>
      <c r="F3170" s="42"/>
      <c r="G3170" s="9"/>
      <c r="H3170" s="9"/>
      <c r="I3170" s="9"/>
      <c r="J3170" s="9"/>
      <c r="K3170" s="42"/>
      <c r="L3170" s="42"/>
      <c r="M3170" s="42"/>
      <c r="N3170" s="42"/>
      <c r="O3170" s="42"/>
      <c r="P3170" s="9"/>
      <c r="Q3170" s="9"/>
      <c r="R3170" s="42"/>
      <c r="S3170" s="42"/>
      <c r="T3170" s="42"/>
      <c r="U3170" s="42"/>
      <c r="V3170" s="42"/>
      <c r="W3170" s="42"/>
    </row>
    <row r="3171">
      <c r="A3171" s="9"/>
      <c r="B3171" s="9"/>
      <c r="C3171" s="9"/>
      <c r="D3171" s="42"/>
      <c r="E3171" s="103"/>
      <c r="F3171" s="42"/>
      <c r="G3171" s="9"/>
      <c r="H3171" s="9"/>
      <c r="I3171" s="9"/>
      <c r="J3171" s="9"/>
      <c r="K3171" s="42"/>
      <c r="L3171" s="42"/>
      <c r="M3171" s="42"/>
      <c r="N3171" s="42"/>
      <c r="O3171" s="42"/>
      <c r="P3171" s="9"/>
      <c r="Q3171" s="9"/>
      <c r="R3171" s="42"/>
      <c r="S3171" s="42"/>
      <c r="T3171" s="42"/>
      <c r="U3171" s="42"/>
      <c r="V3171" s="42"/>
      <c r="W3171" s="42"/>
    </row>
    <row r="3172">
      <c r="A3172" s="9"/>
      <c r="B3172" s="9"/>
      <c r="C3172" s="9"/>
      <c r="D3172" s="42"/>
      <c r="E3172" s="103"/>
      <c r="F3172" s="42"/>
      <c r="G3172" s="9"/>
      <c r="H3172" s="9"/>
      <c r="I3172" s="9"/>
      <c r="J3172" s="9"/>
      <c r="K3172" s="42"/>
      <c r="L3172" s="42"/>
      <c r="M3172" s="42"/>
      <c r="N3172" s="42"/>
      <c r="O3172" s="42"/>
      <c r="P3172" s="9"/>
      <c r="Q3172" s="9"/>
      <c r="R3172" s="42"/>
      <c r="S3172" s="42"/>
      <c r="T3172" s="42"/>
      <c r="U3172" s="42"/>
      <c r="V3172" s="42"/>
      <c r="W3172" s="42"/>
    </row>
    <row r="3173">
      <c r="A3173" s="9"/>
      <c r="B3173" s="9"/>
      <c r="C3173" s="9"/>
      <c r="D3173" s="42"/>
      <c r="E3173" s="103"/>
      <c r="F3173" s="42"/>
      <c r="G3173" s="9"/>
      <c r="H3173" s="9"/>
      <c r="I3173" s="9"/>
      <c r="J3173" s="9"/>
      <c r="K3173" s="42"/>
      <c r="L3173" s="42"/>
      <c r="M3173" s="42"/>
      <c r="N3173" s="42"/>
      <c r="O3173" s="42"/>
      <c r="P3173" s="9"/>
      <c r="Q3173" s="9"/>
      <c r="R3173" s="42"/>
      <c r="S3173" s="42"/>
      <c r="T3173" s="42"/>
      <c r="U3173" s="42"/>
      <c r="V3173" s="42"/>
      <c r="W3173" s="42"/>
    </row>
    <row r="3174">
      <c r="A3174" s="9"/>
      <c r="B3174" s="9"/>
      <c r="C3174" s="9"/>
      <c r="D3174" s="42"/>
      <c r="E3174" s="103"/>
      <c r="F3174" s="42"/>
      <c r="G3174" s="9"/>
      <c r="H3174" s="9"/>
      <c r="I3174" s="9"/>
      <c r="J3174" s="9"/>
      <c r="K3174" s="42"/>
      <c r="L3174" s="42"/>
      <c r="M3174" s="42"/>
      <c r="N3174" s="42"/>
      <c r="O3174" s="42"/>
      <c r="P3174" s="9"/>
      <c r="Q3174" s="9"/>
      <c r="R3174" s="42"/>
      <c r="S3174" s="42"/>
      <c r="T3174" s="42"/>
      <c r="U3174" s="42"/>
      <c r="V3174" s="42"/>
      <c r="W3174" s="42"/>
    </row>
    <row r="3175">
      <c r="A3175" s="9"/>
      <c r="B3175" s="9"/>
      <c r="C3175" s="9"/>
      <c r="D3175" s="42"/>
      <c r="E3175" s="103"/>
      <c r="F3175" s="42"/>
      <c r="G3175" s="9"/>
      <c r="H3175" s="9"/>
      <c r="I3175" s="9"/>
      <c r="J3175" s="9"/>
      <c r="K3175" s="42"/>
      <c r="L3175" s="42"/>
      <c r="M3175" s="42"/>
      <c r="N3175" s="42"/>
      <c r="O3175" s="42"/>
      <c r="P3175" s="9"/>
      <c r="Q3175" s="9"/>
      <c r="R3175" s="42"/>
      <c r="S3175" s="42"/>
      <c r="T3175" s="42"/>
      <c r="U3175" s="42"/>
      <c r="V3175" s="42"/>
      <c r="W3175" s="42"/>
    </row>
    <row r="3176">
      <c r="A3176" s="9"/>
      <c r="B3176" s="9"/>
      <c r="C3176" s="9"/>
      <c r="D3176" s="42"/>
      <c r="E3176" s="103"/>
      <c r="F3176" s="42"/>
      <c r="G3176" s="9"/>
      <c r="H3176" s="9"/>
      <c r="I3176" s="9"/>
      <c r="J3176" s="9"/>
      <c r="K3176" s="42"/>
      <c r="L3176" s="42"/>
      <c r="M3176" s="42"/>
      <c r="N3176" s="42"/>
      <c r="O3176" s="42"/>
      <c r="P3176" s="9"/>
      <c r="Q3176" s="9"/>
      <c r="R3176" s="42"/>
      <c r="S3176" s="42"/>
      <c r="T3176" s="42"/>
      <c r="U3176" s="42"/>
      <c r="V3176" s="42"/>
      <c r="W3176" s="42"/>
    </row>
    <row r="3177">
      <c r="A3177" s="9"/>
      <c r="B3177" s="9"/>
      <c r="C3177" s="9"/>
      <c r="D3177" s="42"/>
      <c r="E3177" s="103"/>
      <c r="F3177" s="42"/>
      <c r="G3177" s="9"/>
      <c r="H3177" s="9"/>
      <c r="I3177" s="9"/>
      <c r="J3177" s="9"/>
      <c r="K3177" s="42"/>
      <c r="L3177" s="42"/>
      <c r="M3177" s="42"/>
      <c r="N3177" s="42"/>
      <c r="O3177" s="42"/>
      <c r="P3177" s="9"/>
      <c r="Q3177" s="9"/>
      <c r="R3177" s="42"/>
      <c r="S3177" s="42"/>
      <c r="T3177" s="42"/>
      <c r="U3177" s="42"/>
      <c r="V3177" s="42"/>
      <c r="W3177" s="42"/>
    </row>
    <row r="3178">
      <c r="A3178" s="9"/>
      <c r="B3178" s="9"/>
      <c r="C3178" s="9"/>
      <c r="D3178" s="42"/>
      <c r="E3178" s="103"/>
      <c r="F3178" s="42"/>
      <c r="G3178" s="9"/>
      <c r="H3178" s="9"/>
      <c r="I3178" s="9"/>
      <c r="J3178" s="9"/>
      <c r="K3178" s="42"/>
      <c r="L3178" s="42"/>
      <c r="M3178" s="42"/>
      <c r="N3178" s="42"/>
      <c r="O3178" s="42"/>
      <c r="P3178" s="9"/>
      <c r="Q3178" s="9"/>
      <c r="R3178" s="42"/>
      <c r="S3178" s="42"/>
      <c r="T3178" s="42"/>
      <c r="U3178" s="42"/>
      <c r="V3178" s="42"/>
      <c r="W3178" s="42"/>
    </row>
    <row r="3179">
      <c r="A3179" s="9"/>
      <c r="B3179" s="9"/>
      <c r="C3179" s="9"/>
      <c r="D3179" s="42"/>
      <c r="E3179" s="103"/>
      <c r="F3179" s="42"/>
      <c r="G3179" s="9"/>
      <c r="H3179" s="9"/>
      <c r="I3179" s="9"/>
      <c r="J3179" s="9"/>
      <c r="K3179" s="42"/>
      <c r="L3179" s="42"/>
      <c r="M3179" s="42"/>
      <c r="N3179" s="42"/>
      <c r="O3179" s="42"/>
      <c r="P3179" s="9"/>
      <c r="Q3179" s="9"/>
      <c r="R3179" s="42"/>
      <c r="S3179" s="42"/>
      <c r="T3179" s="42"/>
      <c r="U3179" s="42"/>
      <c r="V3179" s="42"/>
      <c r="W3179" s="42"/>
    </row>
    <row r="3180">
      <c r="A3180" s="9"/>
      <c r="B3180" s="9"/>
      <c r="C3180" s="9"/>
      <c r="D3180" s="42"/>
      <c r="E3180" s="103"/>
      <c r="F3180" s="42"/>
      <c r="G3180" s="9"/>
      <c r="H3180" s="9"/>
      <c r="I3180" s="9"/>
      <c r="J3180" s="9"/>
      <c r="K3180" s="42"/>
      <c r="L3180" s="42"/>
      <c r="M3180" s="42"/>
      <c r="N3180" s="42"/>
      <c r="O3180" s="42"/>
      <c r="P3180" s="9"/>
      <c r="Q3180" s="9"/>
      <c r="R3180" s="42"/>
      <c r="S3180" s="42"/>
      <c r="T3180" s="42"/>
      <c r="U3180" s="42"/>
      <c r="V3180" s="42"/>
      <c r="W3180" s="42"/>
    </row>
    <row r="3181">
      <c r="A3181" s="9"/>
      <c r="B3181" s="9"/>
      <c r="C3181" s="9"/>
      <c r="D3181" s="42"/>
      <c r="E3181" s="103"/>
      <c r="F3181" s="42"/>
      <c r="G3181" s="9"/>
      <c r="H3181" s="9"/>
      <c r="I3181" s="9"/>
      <c r="J3181" s="9"/>
      <c r="K3181" s="42"/>
      <c r="L3181" s="42"/>
      <c r="M3181" s="42"/>
      <c r="N3181" s="42"/>
      <c r="O3181" s="42"/>
      <c r="P3181" s="9"/>
      <c r="Q3181" s="9"/>
      <c r="R3181" s="42"/>
      <c r="S3181" s="42"/>
      <c r="T3181" s="42"/>
      <c r="U3181" s="42"/>
      <c r="V3181" s="42"/>
      <c r="W3181" s="42"/>
    </row>
    <row r="3182">
      <c r="A3182" s="9"/>
      <c r="B3182" s="9"/>
      <c r="C3182" s="9"/>
      <c r="D3182" s="42"/>
      <c r="E3182" s="103"/>
      <c r="F3182" s="42"/>
      <c r="G3182" s="9"/>
      <c r="H3182" s="9"/>
      <c r="I3182" s="9"/>
      <c r="J3182" s="9"/>
      <c r="K3182" s="42"/>
      <c r="L3182" s="42"/>
      <c r="M3182" s="42"/>
      <c r="N3182" s="42"/>
      <c r="O3182" s="42"/>
      <c r="P3182" s="9"/>
      <c r="Q3182" s="9"/>
      <c r="R3182" s="42"/>
      <c r="S3182" s="42"/>
      <c r="T3182" s="42"/>
      <c r="U3182" s="42"/>
      <c r="V3182" s="42"/>
      <c r="W3182" s="42"/>
    </row>
    <row r="3183">
      <c r="A3183" s="9"/>
      <c r="B3183" s="9"/>
      <c r="C3183" s="9"/>
      <c r="D3183" s="42"/>
      <c r="E3183" s="103"/>
      <c r="F3183" s="42"/>
      <c r="G3183" s="9"/>
      <c r="H3183" s="9"/>
      <c r="I3183" s="9"/>
      <c r="J3183" s="9"/>
      <c r="K3183" s="42"/>
      <c r="L3183" s="42"/>
      <c r="M3183" s="42"/>
      <c r="N3183" s="42"/>
      <c r="O3183" s="42"/>
      <c r="P3183" s="9"/>
      <c r="Q3183" s="9"/>
      <c r="R3183" s="42"/>
      <c r="S3183" s="42"/>
      <c r="T3183" s="42"/>
      <c r="U3183" s="42"/>
      <c r="V3183" s="42"/>
      <c r="W3183" s="42"/>
    </row>
    <row r="3184">
      <c r="A3184" s="9"/>
      <c r="B3184" s="9"/>
      <c r="C3184" s="9"/>
      <c r="D3184" s="42"/>
      <c r="E3184" s="103"/>
      <c r="F3184" s="42"/>
      <c r="G3184" s="9"/>
      <c r="H3184" s="9"/>
      <c r="I3184" s="9"/>
      <c r="J3184" s="9"/>
      <c r="K3184" s="42"/>
      <c r="L3184" s="42"/>
      <c r="M3184" s="42"/>
      <c r="N3184" s="42"/>
      <c r="O3184" s="42"/>
      <c r="P3184" s="9"/>
      <c r="Q3184" s="9"/>
      <c r="R3184" s="42"/>
      <c r="S3184" s="42"/>
      <c r="T3184" s="42"/>
      <c r="U3184" s="42"/>
      <c r="V3184" s="42"/>
      <c r="W3184" s="42"/>
    </row>
    <row r="3185">
      <c r="A3185" s="9"/>
      <c r="B3185" s="9"/>
      <c r="C3185" s="9"/>
      <c r="D3185" s="42"/>
      <c r="E3185" s="103"/>
      <c r="F3185" s="42"/>
      <c r="G3185" s="9"/>
      <c r="H3185" s="9"/>
      <c r="I3185" s="9"/>
      <c r="J3185" s="9"/>
      <c r="K3185" s="42"/>
      <c r="L3185" s="42"/>
      <c r="M3185" s="42"/>
      <c r="N3185" s="42"/>
      <c r="O3185" s="42"/>
      <c r="P3185" s="9"/>
      <c r="Q3185" s="9"/>
      <c r="R3185" s="42"/>
      <c r="S3185" s="42"/>
      <c r="T3185" s="42"/>
      <c r="U3185" s="42"/>
      <c r="V3185" s="42"/>
      <c r="W3185" s="42"/>
    </row>
    <row r="3186">
      <c r="A3186" s="9"/>
      <c r="B3186" s="9"/>
      <c r="C3186" s="9"/>
      <c r="D3186" s="42"/>
      <c r="E3186" s="103"/>
      <c r="F3186" s="42"/>
      <c r="G3186" s="9"/>
      <c r="H3186" s="9"/>
      <c r="I3186" s="9"/>
      <c r="J3186" s="9"/>
      <c r="K3186" s="42"/>
      <c r="L3186" s="42"/>
      <c r="M3186" s="42"/>
      <c r="N3186" s="42"/>
      <c r="O3186" s="42"/>
      <c r="P3186" s="9"/>
      <c r="Q3186" s="9"/>
      <c r="R3186" s="42"/>
      <c r="S3186" s="42"/>
      <c r="T3186" s="42"/>
      <c r="U3186" s="42"/>
      <c r="V3186" s="42"/>
      <c r="W3186" s="42"/>
    </row>
    <row r="3187">
      <c r="A3187" s="9"/>
      <c r="B3187" s="9"/>
      <c r="C3187" s="9"/>
      <c r="D3187" s="42"/>
      <c r="E3187" s="103"/>
      <c r="F3187" s="42"/>
      <c r="G3187" s="9"/>
      <c r="H3187" s="9"/>
      <c r="I3187" s="9"/>
      <c r="J3187" s="9"/>
      <c r="K3187" s="42"/>
      <c r="L3187" s="42"/>
      <c r="M3187" s="42"/>
      <c r="N3187" s="42"/>
      <c r="O3187" s="42"/>
      <c r="P3187" s="9"/>
      <c r="Q3187" s="9"/>
      <c r="R3187" s="42"/>
      <c r="S3187" s="42"/>
      <c r="T3187" s="42"/>
      <c r="U3187" s="42"/>
      <c r="V3187" s="42"/>
      <c r="W3187" s="42"/>
    </row>
    <row r="3188">
      <c r="A3188" s="9"/>
      <c r="B3188" s="9"/>
      <c r="C3188" s="9"/>
      <c r="D3188" s="42"/>
      <c r="E3188" s="103"/>
      <c r="F3188" s="42"/>
      <c r="G3188" s="9"/>
      <c r="H3188" s="9"/>
      <c r="I3188" s="9"/>
      <c r="J3188" s="9"/>
      <c r="K3188" s="42"/>
      <c r="L3188" s="42"/>
      <c r="M3188" s="42"/>
      <c r="N3188" s="42"/>
      <c r="O3188" s="42"/>
      <c r="P3188" s="9"/>
      <c r="Q3188" s="9"/>
      <c r="R3188" s="42"/>
      <c r="S3188" s="42"/>
      <c r="T3188" s="42"/>
      <c r="U3188" s="42"/>
      <c r="V3188" s="42"/>
      <c r="W3188" s="42"/>
    </row>
    <row r="3189">
      <c r="A3189" s="9"/>
      <c r="B3189" s="9"/>
      <c r="C3189" s="9"/>
      <c r="D3189" s="42"/>
      <c r="E3189" s="103"/>
      <c r="F3189" s="42"/>
      <c r="G3189" s="9"/>
      <c r="H3189" s="9"/>
      <c r="I3189" s="9"/>
      <c r="J3189" s="9"/>
      <c r="K3189" s="42"/>
      <c r="L3189" s="42"/>
      <c r="M3189" s="42"/>
      <c r="N3189" s="42"/>
      <c r="O3189" s="42"/>
      <c r="P3189" s="9"/>
      <c r="Q3189" s="9"/>
      <c r="R3189" s="42"/>
      <c r="S3189" s="42"/>
      <c r="T3189" s="42"/>
      <c r="U3189" s="42"/>
      <c r="V3189" s="42"/>
      <c r="W3189" s="42"/>
    </row>
    <row r="3190">
      <c r="A3190" s="9"/>
      <c r="B3190" s="9"/>
      <c r="C3190" s="9"/>
      <c r="D3190" s="42"/>
      <c r="E3190" s="103"/>
      <c r="F3190" s="42"/>
      <c r="G3190" s="9"/>
      <c r="H3190" s="9"/>
      <c r="I3190" s="9"/>
      <c r="J3190" s="9"/>
      <c r="K3190" s="42"/>
      <c r="L3190" s="42"/>
      <c r="M3190" s="42"/>
      <c r="N3190" s="42"/>
      <c r="O3190" s="42"/>
      <c r="P3190" s="9"/>
      <c r="Q3190" s="9"/>
      <c r="R3190" s="42"/>
      <c r="S3190" s="42"/>
      <c r="T3190" s="42"/>
      <c r="U3190" s="42"/>
      <c r="V3190" s="42"/>
      <c r="W3190" s="42"/>
    </row>
    <row r="3191">
      <c r="A3191" s="9"/>
      <c r="B3191" s="9"/>
      <c r="C3191" s="9"/>
      <c r="D3191" s="42"/>
      <c r="E3191" s="103"/>
      <c r="F3191" s="42"/>
      <c r="G3191" s="9"/>
      <c r="H3191" s="9"/>
      <c r="I3191" s="9"/>
      <c r="J3191" s="9"/>
      <c r="K3191" s="42"/>
      <c r="L3191" s="42"/>
      <c r="M3191" s="42"/>
      <c r="N3191" s="42"/>
      <c r="O3191" s="42"/>
      <c r="P3191" s="9"/>
      <c r="Q3191" s="9"/>
      <c r="R3191" s="42"/>
      <c r="S3191" s="42"/>
      <c r="T3191" s="42"/>
      <c r="U3191" s="42"/>
      <c r="V3191" s="42"/>
      <c r="W3191" s="42"/>
    </row>
    <row r="3192">
      <c r="A3192" s="9"/>
      <c r="B3192" s="9"/>
      <c r="C3192" s="9"/>
      <c r="D3192" s="42"/>
      <c r="E3192" s="103"/>
      <c r="F3192" s="42"/>
      <c r="G3192" s="9"/>
      <c r="H3192" s="9"/>
      <c r="I3192" s="9"/>
      <c r="J3192" s="9"/>
      <c r="K3192" s="42"/>
      <c r="L3192" s="42"/>
      <c r="M3192" s="42"/>
      <c r="N3192" s="42"/>
      <c r="O3192" s="42"/>
      <c r="P3192" s="9"/>
      <c r="Q3192" s="9"/>
      <c r="R3192" s="42"/>
      <c r="S3192" s="42"/>
      <c r="T3192" s="42"/>
      <c r="U3192" s="42"/>
      <c r="V3192" s="42"/>
      <c r="W3192" s="42"/>
    </row>
    <row r="3193">
      <c r="A3193" s="9"/>
      <c r="B3193" s="9"/>
      <c r="C3193" s="9"/>
      <c r="D3193" s="42"/>
      <c r="E3193" s="103"/>
      <c r="F3193" s="42"/>
      <c r="G3193" s="9"/>
      <c r="H3193" s="9"/>
      <c r="I3193" s="9"/>
      <c r="J3193" s="9"/>
      <c r="K3193" s="42"/>
      <c r="L3193" s="42"/>
      <c r="M3193" s="42"/>
      <c r="N3193" s="42"/>
      <c r="O3193" s="42"/>
      <c r="P3193" s="9"/>
      <c r="Q3193" s="9"/>
      <c r="R3193" s="42"/>
      <c r="S3193" s="42"/>
      <c r="T3193" s="42"/>
      <c r="U3193" s="42"/>
      <c r="V3193" s="42"/>
      <c r="W3193" s="42"/>
    </row>
    <row r="3194">
      <c r="A3194" s="9"/>
      <c r="B3194" s="9"/>
      <c r="C3194" s="9"/>
      <c r="D3194" s="42"/>
      <c r="E3194" s="103"/>
      <c r="F3194" s="42"/>
      <c r="G3194" s="9"/>
      <c r="H3194" s="9"/>
      <c r="I3194" s="9"/>
      <c r="J3194" s="9"/>
      <c r="K3194" s="42"/>
      <c r="L3194" s="42"/>
      <c r="M3194" s="42"/>
      <c r="N3194" s="42"/>
      <c r="O3194" s="42"/>
      <c r="P3194" s="9"/>
      <c r="Q3194" s="9"/>
      <c r="R3194" s="42"/>
      <c r="S3194" s="42"/>
      <c r="T3194" s="42"/>
      <c r="U3194" s="42"/>
      <c r="V3194" s="42"/>
      <c r="W3194" s="42"/>
    </row>
    <row r="3195">
      <c r="A3195" s="9"/>
      <c r="B3195" s="9"/>
      <c r="C3195" s="9"/>
      <c r="D3195" s="42"/>
      <c r="E3195" s="103"/>
      <c r="F3195" s="42"/>
      <c r="G3195" s="9"/>
      <c r="H3195" s="9"/>
      <c r="I3195" s="9"/>
      <c r="J3195" s="9"/>
      <c r="K3195" s="42"/>
      <c r="L3195" s="42"/>
      <c r="M3195" s="42"/>
      <c r="N3195" s="42"/>
      <c r="O3195" s="42"/>
      <c r="P3195" s="9"/>
      <c r="Q3195" s="9"/>
      <c r="R3195" s="42"/>
      <c r="S3195" s="42"/>
      <c r="T3195" s="42"/>
      <c r="U3195" s="42"/>
      <c r="V3195" s="42"/>
      <c r="W3195" s="42"/>
    </row>
    <row r="3196">
      <c r="A3196" s="9"/>
      <c r="B3196" s="9"/>
      <c r="C3196" s="9"/>
      <c r="D3196" s="42"/>
      <c r="E3196" s="103"/>
      <c r="F3196" s="42"/>
      <c r="G3196" s="9"/>
      <c r="H3196" s="9"/>
      <c r="I3196" s="9"/>
      <c r="J3196" s="9"/>
      <c r="K3196" s="42"/>
      <c r="L3196" s="42"/>
      <c r="M3196" s="42"/>
      <c r="N3196" s="42"/>
      <c r="O3196" s="42"/>
      <c r="P3196" s="9"/>
      <c r="Q3196" s="9"/>
      <c r="R3196" s="42"/>
      <c r="S3196" s="42"/>
      <c r="T3196" s="42"/>
      <c r="U3196" s="42"/>
      <c r="V3196" s="42"/>
      <c r="W3196" s="42"/>
    </row>
    <row r="3197">
      <c r="A3197" s="9"/>
      <c r="B3197" s="9"/>
      <c r="C3197" s="9"/>
      <c r="D3197" s="42"/>
      <c r="E3197" s="103"/>
      <c r="F3197" s="42"/>
      <c r="G3197" s="9"/>
      <c r="H3197" s="9"/>
      <c r="I3197" s="9"/>
      <c r="J3197" s="9"/>
      <c r="K3197" s="42"/>
      <c r="L3197" s="42"/>
      <c r="M3197" s="42"/>
      <c r="N3197" s="42"/>
      <c r="O3197" s="42"/>
      <c r="P3197" s="9"/>
      <c r="Q3197" s="9"/>
      <c r="R3197" s="42"/>
      <c r="S3197" s="42"/>
      <c r="T3197" s="42"/>
      <c r="U3197" s="42"/>
      <c r="V3197" s="42"/>
      <c r="W3197" s="42"/>
    </row>
    <row r="3198">
      <c r="A3198" s="9"/>
      <c r="B3198" s="9"/>
      <c r="C3198" s="9"/>
      <c r="D3198" s="42"/>
      <c r="E3198" s="103"/>
      <c r="F3198" s="42"/>
      <c r="G3198" s="9"/>
      <c r="H3198" s="9"/>
      <c r="I3198" s="9"/>
      <c r="J3198" s="9"/>
      <c r="K3198" s="42"/>
      <c r="L3198" s="42"/>
      <c r="M3198" s="42"/>
      <c r="N3198" s="42"/>
      <c r="O3198" s="42"/>
      <c r="P3198" s="9"/>
      <c r="Q3198" s="9"/>
      <c r="R3198" s="42"/>
      <c r="S3198" s="42"/>
      <c r="T3198" s="42"/>
      <c r="U3198" s="42"/>
      <c r="V3198" s="42"/>
      <c r="W3198" s="42"/>
    </row>
    <row r="3199">
      <c r="A3199" s="9"/>
      <c r="B3199" s="9"/>
      <c r="C3199" s="9"/>
      <c r="D3199" s="42"/>
      <c r="E3199" s="103"/>
      <c r="F3199" s="42"/>
      <c r="G3199" s="9"/>
      <c r="H3199" s="9"/>
      <c r="I3199" s="9"/>
      <c r="J3199" s="9"/>
      <c r="K3199" s="42"/>
      <c r="L3199" s="42"/>
      <c r="M3199" s="42"/>
      <c r="N3199" s="42"/>
      <c r="O3199" s="42"/>
      <c r="P3199" s="9"/>
      <c r="Q3199" s="9"/>
      <c r="R3199" s="42"/>
      <c r="S3199" s="42"/>
      <c r="T3199" s="42"/>
      <c r="U3199" s="42"/>
      <c r="V3199" s="42"/>
      <c r="W3199" s="42"/>
    </row>
    <row r="3200">
      <c r="A3200" s="9"/>
      <c r="B3200" s="9"/>
      <c r="C3200" s="9"/>
      <c r="D3200" s="42"/>
      <c r="E3200" s="103"/>
      <c r="F3200" s="42"/>
      <c r="G3200" s="9"/>
      <c r="H3200" s="9"/>
      <c r="I3200" s="9"/>
      <c r="J3200" s="9"/>
      <c r="K3200" s="42"/>
      <c r="L3200" s="42"/>
      <c r="M3200" s="42"/>
      <c r="N3200" s="42"/>
      <c r="O3200" s="42"/>
      <c r="P3200" s="9"/>
      <c r="Q3200" s="9"/>
      <c r="R3200" s="42"/>
      <c r="S3200" s="42"/>
      <c r="T3200" s="42"/>
      <c r="U3200" s="42"/>
      <c r="V3200" s="42"/>
      <c r="W3200" s="42"/>
    </row>
    <row r="3201">
      <c r="A3201" s="9"/>
      <c r="B3201" s="9"/>
      <c r="C3201" s="9"/>
      <c r="D3201" s="42"/>
      <c r="E3201" s="103"/>
      <c r="F3201" s="42"/>
      <c r="G3201" s="9"/>
      <c r="H3201" s="9"/>
      <c r="I3201" s="9"/>
      <c r="J3201" s="9"/>
      <c r="K3201" s="42"/>
      <c r="L3201" s="42"/>
      <c r="M3201" s="42"/>
      <c r="N3201" s="42"/>
      <c r="O3201" s="42"/>
      <c r="P3201" s="9"/>
      <c r="Q3201" s="9"/>
      <c r="R3201" s="42"/>
      <c r="S3201" s="42"/>
      <c r="T3201" s="42"/>
      <c r="U3201" s="42"/>
      <c r="V3201" s="42"/>
      <c r="W3201" s="42"/>
    </row>
    <row r="3202">
      <c r="A3202" s="9"/>
      <c r="B3202" s="9"/>
      <c r="C3202" s="9"/>
      <c r="D3202" s="42"/>
      <c r="E3202" s="103"/>
      <c r="F3202" s="42"/>
      <c r="G3202" s="9"/>
      <c r="H3202" s="9"/>
      <c r="I3202" s="9"/>
      <c r="J3202" s="9"/>
      <c r="K3202" s="42"/>
      <c r="L3202" s="42"/>
      <c r="M3202" s="42"/>
      <c r="N3202" s="42"/>
      <c r="O3202" s="42"/>
      <c r="P3202" s="9"/>
      <c r="Q3202" s="9"/>
      <c r="R3202" s="42"/>
      <c r="S3202" s="42"/>
      <c r="T3202" s="42"/>
      <c r="U3202" s="42"/>
      <c r="V3202" s="42"/>
      <c r="W3202" s="42"/>
    </row>
    <row r="3203">
      <c r="A3203" s="9"/>
      <c r="B3203" s="9"/>
      <c r="C3203" s="9"/>
      <c r="D3203" s="42"/>
      <c r="E3203" s="103"/>
      <c r="F3203" s="42"/>
      <c r="G3203" s="9"/>
      <c r="H3203" s="9"/>
      <c r="I3203" s="9"/>
      <c r="J3203" s="9"/>
      <c r="K3203" s="42"/>
      <c r="L3203" s="42"/>
      <c r="M3203" s="42"/>
      <c r="N3203" s="42"/>
      <c r="O3203" s="42"/>
      <c r="P3203" s="9"/>
      <c r="Q3203" s="9"/>
      <c r="R3203" s="42"/>
      <c r="S3203" s="42"/>
      <c r="T3203" s="42"/>
      <c r="U3203" s="42"/>
      <c r="V3203" s="42"/>
      <c r="W3203" s="42"/>
    </row>
    <row r="3204">
      <c r="A3204" s="9"/>
      <c r="B3204" s="9"/>
      <c r="C3204" s="9"/>
      <c r="D3204" s="42"/>
      <c r="E3204" s="103"/>
      <c r="F3204" s="42"/>
      <c r="G3204" s="9"/>
      <c r="H3204" s="9"/>
      <c r="I3204" s="9"/>
      <c r="J3204" s="9"/>
      <c r="K3204" s="42"/>
      <c r="L3204" s="42"/>
      <c r="M3204" s="42"/>
      <c r="N3204" s="42"/>
      <c r="O3204" s="42"/>
      <c r="P3204" s="9"/>
      <c r="Q3204" s="9"/>
      <c r="R3204" s="42"/>
      <c r="S3204" s="42"/>
      <c r="T3204" s="42"/>
      <c r="U3204" s="42"/>
      <c r="V3204" s="42"/>
      <c r="W3204" s="42"/>
    </row>
    <row r="3205">
      <c r="A3205" s="9"/>
      <c r="B3205" s="9"/>
      <c r="C3205" s="9"/>
      <c r="D3205" s="42"/>
      <c r="E3205" s="103"/>
      <c r="F3205" s="42"/>
      <c r="G3205" s="9"/>
      <c r="H3205" s="9"/>
      <c r="I3205" s="9"/>
      <c r="J3205" s="9"/>
      <c r="K3205" s="42"/>
      <c r="L3205" s="42"/>
      <c r="M3205" s="42"/>
      <c r="N3205" s="42"/>
      <c r="O3205" s="42"/>
      <c r="P3205" s="9"/>
      <c r="Q3205" s="9"/>
      <c r="R3205" s="42"/>
      <c r="S3205" s="42"/>
      <c r="T3205" s="42"/>
      <c r="U3205" s="42"/>
      <c r="V3205" s="42"/>
      <c r="W3205" s="42"/>
    </row>
    <row r="3206">
      <c r="A3206" s="9"/>
      <c r="B3206" s="9"/>
      <c r="C3206" s="9"/>
      <c r="D3206" s="42"/>
      <c r="E3206" s="103"/>
      <c r="F3206" s="42"/>
      <c r="G3206" s="9"/>
      <c r="H3206" s="9"/>
      <c r="I3206" s="9"/>
      <c r="J3206" s="9"/>
      <c r="K3206" s="42"/>
      <c r="L3206" s="42"/>
      <c r="M3206" s="42"/>
      <c r="N3206" s="42"/>
      <c r="O3206" s="42"/>
      <c r="P3206" s="9"/>
      <c r="Q3206" s="9"/>
      <c r="R3206" s="42"/>
      <c r="S3206" s="42"/>
      <c r="T3206" s="42"/>
      <c r="U3206" s="42"/>
      <c r="V3206" s="42"/>
      <c r="W3206" s="42"/>
    </row>
    <row r="3207">
      <c r="A3207" s="9"/>
      <c r="B3207" s="9"/>
      <c r="C3207" s="9"/>
      <c r="D3207" s="42"/>
      <c r="E3207" s="103"/>
      <c r="F3207" s="42"/>
      <c r="G3207" s="9"/>
      <c r="H3207" s="9"/>
      <c r="I3207" s="9"/>
      <c r="J3207" s="9"/>
      <c r="K3207" s="42"/>
      <c r="L3207" s="42"/>
      <c r="M3207" s="42"/>
      <c r="N3207" s="42"/>
      <c r="O3207" s="42"/>
      <c r="P3207" s="9"/>
      <c r="Q3207" s="9"/>
      <c r="R3207" s="42"/>
      <c r="S3207" s="42"/>
      <c r="T3207" s="42"/>
      <c r="U3207" s="42"/>
      <c r="V3207" s="42"/>
      <c r="W3207" s="42"/>
    </row>
    <row r="3208">
      <c r="A3208" s="9"/>
      <c r="B3208" s="9"/>
      <c r="C3208" s="9"/>
      <c r="D3208" s="42"/>
      <c r="E3208" s="103"/>
      <c r="F3208" s="42"/>
      <c r="G3208" s="9"/>
      <c r="H3208" s="9"/>
      <c r="I3208" s="9"/>
      <c r="J3208" s="9"/>
      <c r="K3208" s="42"/>
      <c r="L3208" s="42"/>
      <c r="M3208" s="42"/>
      <c r="N3208" s="42"/>
      <c r="O3208" s="42"/>
      <c r="P3208" s="9"/>
      <c r="Q3208" s="9"/>
      <c r="R3208" s="42"/>
      <c r="S3208" s="42"/>
      <c r="T3208" s="42"/>
      <c r="U3208" s="42"/>
      <c r="V3208" s="42"/>
      <c r="W3208" s="42"/>
    </row>
    <row r="3209">
      <c r="A3209" s="9"/>
      <c r="B3209" s="9"/>
      <c r="C3209" s="9"/>
      <c r="D3209" s="42"/>
      <c r="E3209" s="103"/>
      <c r="F3209" s="42"/>
      <c r="G3209" s="9"/>
      <c r="H3209" s="9"/>
      <c r="I3209" s="9"/>
      <c r="J3209" s="9"/>
      <c r="K3209" s="42"/>
      <c r="L3209" s="42"/>
      <c r="M3209" s="42"/>
      <c r="N3209" s="42"/>
      <c r="O3209" s="42"/>
      <c r="P3209" s="9"/>
      <c r="Q3209" s="9"/>
      <c r="R3209" s="42"/>
      <c r="S3209" s="42"/>
      <c r="T3209" s="42"/>
      <c r="U3209" s="42"/>
      <c r="V3209" s="42"/>
      <c r="W3209" s="42"/>
    </row>
    <row r="3210">
      <c r="A3210" s="9"/>
      <c r="B3210" s="9"/>
      <c r="C3210" s="9"/>
      <c r="D3210" s="42"/>
      <c r="E3210" s="103"/>
      <c r="F3210" s="42"/>
      <c r="G3210" s="9"/>
      <c r="H3210" s="9"/>
      <c r="I3210" s="9"/>
      <c r="J3210" s="9"/>
      <c r="K3210" s="42"/>
      <c r="L3210" s="42"/>
      <c r="M3210" s="42"/>
      <c r="N3210" s="42"/>
      <c r="O3210" s="42"/>
      <c r="P3210" s="9"/>
      <c r="Q3210" s="9"/>
      <c r="R3210" s="42"/>
      <c r="S3210" s="42"/>
      <c r="T3210" s="42"/>
      <c r="U3210" s="42"/>
      <c r="V3210" s="42"/>
      <c r="W3210" s="42"/>
    </row>
    <row r="3211">
      <c r="A3211" s="9"/>
      <c r="B3211" s="9"/>
      <c r="C3211" s="9"/>
      <c r="D3211" s="42"/>
      <c r="E3211" s="103"/>
      <c r="F3211" s="42"/>
      <c r="G3211" s="9"/>
      <c r="H3211" s="9"/>
      <c r="I3211" s="9"/>
      <c r="J3211" s="9"/>
      <c r="K3211" s="42"/>
      <c r="L3211" s="42"/>
      <c r="M3211" s="42"/>
      <c r="N3211" s="42"/>
      <c r="O3211" s="42"/>
      <c r="P3211" s="9"/>
      <c r="Q3211" s="9"/>
      <c r="R3211" s="42"/>
      <c r="S3211" s="42"/>
      <c r="T3211" s="42"/>
      <c r="U3211" s="42"/>
      <c r="V3211" s="42"/>
      <c r="W3211" s="42"/>
    </row>
    <row r="3212">
      <c r="A3212" s="9"/>
      <c r="B3212" s="9"/>
      <c r="C3212" s="9"/>
      <c r="D3212" s="42"/>
      <c r="E3212" s="103"/>
      <c r="F3212" s="42"/>
      <c r="G3212" s="9"/>
      <c r="H3212" s="9"/>
      <c r="I3212" s="9"/>
      <c r="J3212" s="9"/>
      <c r="K3212" s="42"/>
      <c r="L3212" s="42"/>
      <c r="M3212" s="42"/>
      <c r="N3212" s="42"/>
      <c r="O3212" s="42"/>
      <c r="P3212" s="9"/>
      <c r="Q3212" s="9"/>
      <c r="R3212" s="42"/>
      <c r="S3212" s="42"/>
      <c r="T3212" s="42"/>
      <c r="U3212" s="42"/>
      <c r="V3212" s="42"/>
      <c r="W3212" s="42"/>
    </row>
    <row r="3213">
      <c r="A3213" s="9"/>
      <c r="B3213" s="9"/>
      <c r="C3213" s="9"/>
      <c r="D3213" s="42"/>
      <c r="E3213" s="103"/>
      <c r="F3213" s="42"/>
      <c r="G3213" s="9"/>
      <c r="H3213" s="9"/>
      <c r="I3213" s="9"/>
      <c r="J3213" s="9"/>
      <c r="K3213" s="42"/>
      <c r="L3213" s="42"/>
      <c r="M3213" s="42"/>
      <c r="N3213" s="42"/>
      <c r="O3213" s="42"/>
      <c r="P3213" s="9"/>
      <c r="Q3213" s="9"/>
      <c r="R3213" s="42"/>
      <c r="S3213" s="42"/>
      <c r="T3213" s="42"/>
      <c r="U3213" s="42"/>
      <c r="V3213" s="42"/>
      <c r="W3213" s="42"/>
    </row>
    <row r="3214">
      <c r="A3214" s="9"/>
      <c r="B3214" s="9"/>
      <c r="C3214" s="9"/>
      <c r="D3214" s="42"/>
      <c r="E3214" s="103"/>
      <c r="F3214" s="42"/>
      <c r="G3214" s="9"/>
      <c r="H3214" s="9"/>
      <c r="I3214" s="9"/>
      <c r="J3214" s="9"/>
      <c r="K3214" s="42"/>
      <c r="L3214" s="42"/>
      <c r="M3214" s="42"/>
      <c r="N3214" s="42"/>
      <c r="O3214" s="42"/>
      <c r="P3214" s="9"/>
      <c r="Q3214" s="9"/>
      <c r="R3214" s="42"/>
      <c r="S3214" s="42"/>
      <c r="T3214" s="42"/>
      <c r="U3214" s="42"/>
      <c r="V3214" s="42"/>
      <c r="W3214" s="42"/>
    </row>
    <row r="3215">
      <c r="A3215" s="9"/>
      <c r="B3215" s="9"/>
      <c r="C3215" s="9"/>
      <c r="D3215" s="42"/>
      <c r="E3215" s="103"/>
      <c r="F3215" s="42"/>
      <c r="G3215" s="9"/>
      <c r="H3215" s="9"/>
      <c r="I3215" s="9"/>
      <c r="J3215" s="9"/>
      <c r="K3215" s="42"/>
      <c r="L3215" s="42"/>
      <c r="M3215" s="42"/>
      <c r="N3215" s="42"/>
      <c r="O3215" s="42"/>
      <c r="P3215" s="9"/>
      <c r="Q3215" s="9"/>
      <c r="R3215" s="42"/>
      <c r="S3215" s="42"/>
      <c r="T3215" s="42"/>
      <c r="U3215" s="42"/>
      <c r="V3215" s="42"/>
      <c r="W3215" s="42"/>
    </row>
    <row r="3216">
      <c r="A3216" s="9"/>
      <c r="B3216" s="9"/>
      <c r="C3216" s="9"/>
      <c r="D3216" s="42"/>
      <c r="E3216" s="103"/>
      <c r="F3216" s="42"/>
      <c r="G3216" s="9"/>
      <c r="H3216" s="9"/>
      <c r="I3216" s="9"/>
      <c r="J3216" s="9"/>
      <c r="K3216" s="42"/>
      <c r="L3216" s="42"/>
      <c r="M3216" s="42"/>
      <c r="N3216" s="42"/>
      <c r="O3216" s="42"/>
      <c r="P3216" s="9"/>
      <c r="Q3216" s="9"/>
      <c r="R3216" s="42"/>
      <c r="S3216" s="42"/>
      <c r="T3216" s="42"/>
      <c r="U3216" s="42"/>
      <c r="V3216" s="42"/>
      <c r="W3216" s="42"/>
    </row>
    <row r="3217">
      <c r="A3217" s="9"/>
      <c r="B3217" s="9"/>
      <c r="C3217" s="9"/>
      <c r="D3217" s="42"/>
      <c r="E3217" s="103"/>
      <c r="F3217" s="42"/>
      <c r="G3217" s="9"/>
      <c r="H3217" s="9"/>
      <c r="I3217" s="9"/>
      <c r="J3217" s="9"/>
      <c r="K3217" s="42"/>
      <c r="L3217" s="42"/>
      <c r="M3217" s="42"/>
      <c r="N3217" s="42"/>
      <c r="O3217" s="42"/>
      <c r="P3217" s="9"/>
      <c r="Q3217" s="9"/>
      <c r="R3217" s="42"/>
      <c r="S3217" s="42"/>
      <c r="T3217" s="42"/>
      <c r="U3217" s="42"/>
      <c r="V3217" s="42"/>
      <c r="W3217" s="42"/>
    </row>
    <row r="3218">
      <c r="A3218" s="9"/>
      <c r="B3218" s="9"/>
      <c r="C3218" s="9"/>
      <c r="D3218" s="42"/>
      <c r="E3218" s="103"/>
      <c r="F3218" s="42"/>
      <c r="G3218" s="9"/>
      <c r="H3218" s="9"/>
      <c r="I3218" s="9"/>
      <c r="J3218" s="9"/>
      <c r="K3218" s="42"/>
      <c r="L3218" s="42"/>
      <c r="M3218" s="42"/>
      <c r="N3218" s="42"/>
      <c r="O3218" s="42"/>
      <c r="P3218" s="9"/>
      <c r="Q3218" s="9"/>
      <c r="R3218" s="42"/>
      <c r="S3218" s="42"/>
      <c r="T3218" s="42"/>
      <c r="U3218" s="42"/>
      <c r="V3218" s="42"/>
      <c r="W3218" s="42"/>
    </row>
    <row r="3219">
      <c r="A3219" s="9"/>
      <c r="B3219" s="9"/>
      <c r="C3219" s="9"/>
      <c r="D3219" s="42"/>
      <c r="E3219" s="103"/>
      <c r="F3219" s="42"/>
      <c r="G3219" s="9"/>
      <c r="H3219" s="9"/>
      <c r="I3219" s="9"/>
      <c r="J3219" s="9"/>
      <c r="K3219" s="42"/>
      <c r="L3219" s="42"/>
      <c r="M3219" s="42"/>
      <c r="N3219" s="42"/>
      <c r="O3219" s="42"/>
      <c r="P3219" s="9"/>
      <c r="Q3219" s="9"/>
      <c r="R3219" s="42"/>
      <c r="S3219" s="42"/>
      <c r="T3219" s="42"/>
      <c r="U3219" s="42"/>
      <c r="V3219" s="42"/>
      <c r="W3219" s="42"/>
    </row>
    <row r="3220">
      <c r="A3220" s="9"/>
      <c r="B3220" s="9"/>
      <c r="C3220" s="9"/>
      <c r="D3220" s="42"/>
      <c r="E3220" s="103"/>
      <c r="F3220" s="42"/>
      <c r="G3220" s="9"/>
      <c r="H3220" s="9"/>
      <c r="I3220" s="9"/>
      <c r="J3220" s="9"/>
      <c r="K3220" s="42"/>
      <c r="L3220" s="42"/>
      <c r="M3220" s="42"/>
      <c r="N3220" s="42"/>
      <c r="O3220" s="42"/>
      <c r="P3220" s="9"/>
      <c r="Q3220" s="9"/>
      <c r="R3220" s="42"/>
      <c r="S3220" s="42"/>
      <c r="T3220" s="42"/>
      <c r="U3220" s="42"/>
      <c r="V3220" s="42"/>
      <c r="W3220" s="42"/>
    </row>
    <row r="3221">
      <c r="A3221" s="9"/>
      <c r="B3221" s="9"/>
      <c r="C3221" s="9"/>
      <c r="D3221" s="42"/>
      <c r="E3221" s="103"/>
      <c r="F3221" s="42"/>
      <c r="G3221" s="9"/>
      <c r="H3221" s="9"/>
      <c r="I3221" s="9"/>
      <c r="J3221" s="9"/>
      <c r="K3221" s="42"/>
      <c r="L3221" s="42"/>
      <c r="M3221" s="42"/>
      <c r="N3221" s="42"/>
      <c r="O3221" s="42"/>
      <c r="P3221" s="9"/>
      <c r="Q3221" s="9"/>
      <c r="R3221" s="42"/>
      <c r="S3221" s="42"/>
      <c r="T3221" s="42"/>
      <c r="U3221" s="42"/>
      <c r="V3221" s="42"/>
      <c r="W3221" s="42"/>
    </row>
    <row r="3222">
      <c r="A3222" s="9"/>
      <c r="B3222" s="9"/>
      <c r="C3222" s="9"/>
      <c r="D3222" s="42"/>
      <c r="E3222" s="103"/>
      <c r="F3222" s="42"/>
      <c r="G3222" s="9"/>
      <c r="H3222" s="9"/>
      <c r="I3222" s="9"/>
      <c r="J3222" s="9"/>
      <c r="K3222" s="42"/>
      <c r="L3222" s="42"/>
      <c r="M3222" s="42"/>
      <c r="N3222" s="42"/>
      <c r="O3222" s="42"/>
      <c r="P3222" s="9"/>
      <c r="Q3222" s="9"/>
      <c r="R3222" s="42"/>
      <c r="S3222" s="42"/>
      <c r="T3222" s="42"/>
      <c r="U3222" s="42"/>
      <c r="V3222" s="42"/>
      <c r="W3222" s="42"/>
    </row>
    <row r="3223">
      <c r="A3223" s="9"/>
      <c r="B3223" s="9"/>
      <c r="C3223" s="9"/>
      <c r="D3223" s="42"/>
      <c r="E3223" s="103"/>
      <c r="F3223" s="42"/>
      <c r="G3223" s="9"/>
      <c r="H3223" s="9"/>
      <c r="I3223" s="9"/>
      <c r="J3223" s="9"/>
      <c r="K3223" s="42"/>
      <c r="L3223" s="42"/>
      <c r="M3223" s="42"/>
      <c r="N3223" s="42"/>
      <c r="O3223" s="42"/>
      <c r="P3223" s="9"/>
      <c r="Q3223" s="9"/>
      <c r="R3223" s="42"/>
      <c r="S3223" s="42"/>
      <c r="T3223" s="42"/>
      <c r="U3223" s="42"/>
      <c r="V3223" s="42"/>
      <c r="W3223" s="42"/>
    </row>
    <row r="3224">
      <c r="A3224" s="9"/>
      <c r="B3224" s="9"/>
      <c r="C3224" s="9"/>
      <c r="D3224" s="42"/>
      <c r="E3224" s="103"/>
      <c r="F3224" s="42"/>
      <c r="G3224" s="9"/>
      <c r="H3224" s="9"/>
      <c r="I3224" s="9"/>
      <c r="J3224" s="9"/>
      <c r="K3224" s="42"/>
      <c r="L3224" s="42"/>
      <c r="M3224" s="42"/>
      <c r="N3224" s="42"/>
      <c r="O3224" s="42"/>
      <c r="P3224" s="9"/>
      <c r="Q3224" s="9"/>
      <c r="R3224" s="42"/>
      <c r="S3224" s="42"/>
      <c r="T3224" s="42"/>
      <c r="U3224" s="42"/>
      <c r="V3224" s="42"/>
      <c r="W3224" s="42"/>
    </row>
    <row r="3225">
      <c r="A3225" s="9"/>
      <c r="B3225" s="9"/>
      <c r="C3225" s="9"/>
      <c r="D3225" s="42"/>
      <c r="E3225" s="103"/>
      <c r="F3225" s="42"/>
      <c r="G3225" s="9"/>
      <c r="H3225" s="9"/>
      <c r="I3225" s="9"/>
      <c r="J3225" s="9"/>
      <c r="K3225" s="42"/>
      <c r="L3225" s="42"/>
      <c r="M3225" s="42"/>
      <c r="N3225" s="42"/>
      <c r="O3225" s="42"/>
      <c r="P3225" s="9"/>
      <c r="Q3225" s="9"/>
      <c r="R3225" s="42"/>
      <c r="S3225" s="42"/>
      <c r="T3225" s="42"/>
      <c r="U3225" s="42"/>
      <c r="V3225" s="42"/>
      <c r="W3225" s="42"/>
    </row>
    <row r="3226">
      <c r="A3226" s="9"/>
      <c r="B3226" s="9"/>
      <c r="C3226" s="9"/>
      <c r="D3226" s="42"/>
      <c r="E3226" s="103"/>
      <c r="F3226" s="42"/>
      <c r="G3226" s="9"/>
      <c r="H3226" s="9"/>
      <c r="I3226" s="9"/>
      <c r="J3226" s="9"/>
      <c r="K3226" s="42"/>
      <c r="L3226" s="42"/>
      <c r="M3226" s="42"/>
      <c r="N3226" s="42"/>
      <c r="O3226" s="42"/>
      <c r="P3226" s="9"/>
      <c r="Q3226" s="9"/>
      <c r="R3226" s="42"/>
      <c r="S3226" s="42"/>
      <c r="T3226" s="42"/>
      <c r="U3226" s="42"/>
      <c r="V3226" s="42"/>
      <c r="W3226" s="42"/>
    </row>
    <row r="3227">
      <c r="A3227" s="9"/>
      <c r="B3227" s="9"/>
      <c r="C3227" s="9"/>
      <c r="D3227" s="42"/>
      <c r="E3227" s="103"/>
      <c r="F3227" s="42"/>
      <c r="G3227" s="9"/>
      <c r="H3227" s="9"/>
      <c r="I3227" s="9"/>
      <c r="J3227" s="9"/>
      <c r="K3227" s="42"/>
      <c r="L3227" s="42"/>
      <c r="M3227" s="42"/>
      <c r="N3227" s="42"/>
      <c r="O3227" s="42"/>
      <c r="P3227" s="9"/>
      <c r="Q3227" s="9"/>
      <c r="R3227" s="42"/>
      <c r="S3227" s="42"/>
      <c r="T3227" s="42"/>
      <c r="U3227" s="42"/>
      <c r="V3227" s="42"/>
      <c r="W3227" s="42"/>
    </row>
    <row r="3228">
      <c r="A3228" s="9"/>
      <c r="B3228" s="9"/>
      <c r="C3228" s="9"/>
      <c r="D3228" s="42"/>
      <c r="E3228" s="103"/>
      <c r="F3228" s="42"/>
      <c r="G3228" s="9"/>
      <c r="H3228" s="9"/>
      <c r="I3228" s="9"/>
      <c r="J3228" s="9"/>
      <c r="K3228" s="42"/>
      <c r="L3228" s="42"/>
      <c r="M3228" s="42"/>
      <c r="N3228" s="42"/>
      <c r="O3228" s="42"/>
      <c r="P3228" s="9"/>
      <c r="Q3228" s="9"/>
      <c r="R3228" s="42"/>
      <c r="S3228" s="42"/>
      <c r="T3228" s="42"/>
      <c r="U3228" s="42"/>
      <c r="V3228" s="42"/>
      <c r="W3228" s="42"/>
    </row>
    <row r="3229">
      <c r="A3229" s="9"/>
      <c r="B3229" s="9"/>
      <c r="C3229" s="9"/>
      <c r="D3229" s="42"/>
      <c r="E3229" s="103"/>
      <c r="F3229" s="42"/>
      <c r="G3229" s="9"/>
      <c r="H3229" s="9"/>
      <c r="I3229" s="9"/>
      <c r="J3229" s="9"/>
      <c r="K3229" s="42"/>
      <c r="L3229" s="42"/>
      <c r="M3229" s="42"/>
      <c r="N3229" s="42"/>
      <c r="O3229" s="42"/>
      <c r="P3229" s="9"/>
      <c r="Q3229" s="9"/>
      <c r="R3229" s="42"/>
      <c r="S3229" s="42"/>
      <c r="T3229" s="42"/>
      <c r="U3229" s="42"/>
      <c r="V3229" s="42"/>
      <c r="W3229" s="42"/>
    </row>
    <row r="3230">
      <c r="A3230" s="9"/>
      <c r="B3230" s="9"/>
      <c r="C3230" s="9"/>
      <c r="D3230" s="42"/>
      <c r="E3230" s="103"/>
      <c r="F3230" s="42"/>
      <c r="G3230" s="9"/>
      <c r="H3230" s="9"/>
      <c r="I3230" s="9"/>
      <c r="J3230" s="9"/>
      <c r="K3230" s="42"/>
      <c r="L3230" s="42"/>
      <c r="M3230" s="42"/>
      <c r="N3230" s="42"/>
      <c r="O3230" s="42"/>
      <c r="P3230" s="9"/>
      <c r="Q3230" s="9"/>
      <c r="R3230" s="42"/>
      <c r="S3230" s="42"/>
      <c r="T3230" s="42"/>
      <c r="U3230" s="42"/>
      <c r="V3230" s="42"/>
      <c r="W3230" s="42"/>
    </row>
    <row r="3231">
      <c r="A3231" s="9"/>
      <c r="B3231" s="9"/>
      <c r="C3231" s="9"/>
      <c r="D3231" s="42"/>
      <c r="E3231" s="103"/>
      <c r="F3231" s="42"/>
      <c r="G3231" s="9"/>
      <c r="H3231" s="9"/>
      <c r="I3231" s="9"/>
      <c r="J3231" s="9"/>
      <c r="K3231" s="42"/>
      <c r="L3231" s="42"/>
      <c r="M3231" s="42"/>
      <c r="N3231" s="42"/>
      <c r="O3231" s="42"/>
      <c r="P3231" s="9"/>
      <c r="Q3231" s="9"/>
      <c r="R3231" s="42"/>
      <c r="S3231" s="42"/>
      <c r="T3231" s="42"/>
      <c r="U3231" s="42"/>
      <c r="V3231" s="42"/>
      <c r="W3231" s="42"/>
    </row>
    <row r="3232">
      <c r="A3232" s="9"/>
      <c r="B3232" s="9"/>
      <c r="C3232" s="9"/>
      <c r="D3232" s="42"/>
      <c r="E3232" s="103"/>
      <c r="F3232" s="42"/>
      <c r="G3232" s="9"/>
      <c r="H3232" s="9"/>
      <c r="I3232" s="9"/>
      <c r="J3232" s="9"/>
      <c r="K3232" s="42"/>
      <c r="L3232" s="42"/>
      <c r="M3232" s="42"/>
      <c r="N3232" s="42"/>
      <c r="O3232" s="42"/>
      <c r="P3232" s="9"/>
      <c r="Q3232" s="9"/>
      <c r="R3232" s="42"/>
      <c r="S3232" s="42"/>
      <c r="T3232" s="42"/>
      <c r="U3232" s="42"/>
      <c r="V3232" s="42"/>
      <c r="W3232" s="42"/>
    </row>
    <row r="3233">
      <c r="A3233" s="9"/>
      <c r="B3233" s="9"/>
      <c r="C3233" s="9"/>
      <c r="D3233" s="42"/>
      <c r="E3233" s="103"/>
      <c r="F3233" s="42"/>
      <c r="G3233" s="9"/>
      <c r="H3233" s="9"/>
      <c r="I3233" s="9"/>
      <c r="J3233" s="9"/>
      <c r="K3233" s="42"/>
      <c r="L3233" s="42"/>
      <c r="M3233" s="42"/>
      <c r="N3233" s="42"/>
      <c r="O3233" s="42"/>
      <c r="P3233" s="9"/>
      <c r="Q3233" s="9"/>
      <c r="R3233" s="42"/>
      <c r="S3233" s="42"/>
      <c r="T3233" s="42"/>
      <c r="U3233" s="42"/>
      <c r="V3233" s="42"/>
      <c r="W3233" s="42"/>
    </row>
    <row r="3234">
      <c r="A3234" s="9"/>
      <c r="B3234" s="9"/>
      <c r="C3234" s="9"/>
      <c r="D3234" s="42"/>
      <c r="E3234" s="103"/>
      <c r="F3234" s="42"/>
      <c r="G3234" s="9"/>
      <c r="H3234" s="9"/>
      <c r="I3234" s="9"/>
      <c r="J3234" s="9"/>
      <c r="K3234" s="42"/>
      <c r="L3234" s="42"/>
      <c r="M3234" s="42"/>
      <c r="N3234" s="42"/>
      <c r="O3234" s="42"/>
      <c r="P3234" s="9"/>
      <c r="Q3234" s="9"/>
      <c r="R3234" s="42"/>
      <c r="S3234" s="42"/>
      <c r="T3234" s="42"/>
      <c r="U3234" s="42"/>
      <c r="V3234" s="42"/>
      <c r="W3234" s="42"/>
    </row>
    <row r="3235">
      <c r="A3235" s="9"/>
      <c r="B3235" s="9"/>
      <c r="C3235" s="9"/>
      <c r="D3235" s="42"/>
      <c r="E3235" s="103"/>
      <c r="F3235" s="42"/>
      <c r="G3235" s="9"/>
      <c r="H3235" s="9"/>
      <c r="I3235" s="9"/>
      <c r="J3235" s="9"/>
      <c r="K3235" s="42"/>
      <c r="L3235" s="42"/>
      <c r="M3235" s="42"/>
      <c r="N3235" s="42"/>
      <c r="O3235" s="42"/>
      <c r="P3235" s="9"/>
      <c r="Q3235" s="9"/>
      <c r="R3235" s="42"/>
      <c r="S3235" s="42"/>
      <c r="T3235" s="42"/>
      <c r="U3235" s="42"/>
      <c r="V3235" s="42"/>
      <c r="W3235" s="42"/>
    </row>
    <row r="3236">
      <c r="A3236" s="9"/>
      <c r="B3236" s="9"/>
      <c r="C3236" s="9"/>
      <c r="D3236" s="42"/>
      <c r="E3236" s="103"/>
      <c r="F3236" s="42"/>
      <c r="G3236" s="9"/>
      <c r="H3236" s="9"/>
      <c r="I3236" s="9"/>
      <c r="J3236" s="9"/>
      <c r="K3236" s="42"/>
      <c r="L3236" s="42"/>
      <c r="M3236" s="42"/>
      <c r="N3236" s="42"/>
      <c r="O3236" s="42"/>
      <c r="P3236" s="9"/>
      <c r="Q3236" s="9"/>
      <c r="R3236" s="42"/>
      <c r="S3236" s="42"/>
      <c r="T3236" s="42"/>
      <c r="U3236" s="42"/>
      <c r="V3236" s="42"/>
      <c r="W3236" s="42"/>
    </row>
    <row r="3237">
      <c r="A3237" s="9"/>
      <c r="B3237" s="9"/>
      <c r="C3237" s="9"/>
      <c r="D3237" s="42"/>
      <c r="E3237" s="103"/>
      <c r="F3237" s="42"/>
      <c r="G3237" s="9"/>
      <c r="H3237" s="9"/>
      <c r="I3237" s="9"/>
      <c r="J3237" s="9"/>
      <c r="K3237" s="42"/>
      <c r="L3237" s="42"/>
      <c r="M3237" s="42"/>
      <c r="N3237" s="42"/>
      <c r="O3237" s="42"/>
      <c r="P3237" s="9"/>
      <c r="Q3237" s="9"/>
      <c r="R3237" s="42"/>
      <c r="S3237" s="42"/>
      <c r="T3237" s="42"/>
      <c r="U3237" s="42"/>
      <c r="V3237" s="42"/>
      <c r="W3237" s="42"/>
    </row>
    <row r="3238">
      <c r="A3238" s="9"/>
      <c r="B3238" s="9"/>
      <c r="C3238" s="9"/>
      <c r="D3238" s="42"/>
      <c r="E3238" s="103"/>
      <c r="F3238" s="42"/>
      <c r="G3238" s="9"/>
      <c r="H3238" s="9"/>
      <c r="I3238" s="9"/>
      <c r="J3238" s="9"/>
      <c r="K3238" s="42"/>
      <c r="L3238" s="42"/>
      <c r="M3238" s="42"/>
      <c r="N3238" s="42"/>
      <c r="O3238" s="42"/>
      <c r="P3238" s="9"/>
      <c r="Q3238" s="9"/>
      <c r="R3238" s="42"/>
      <c r="S3238" s="42"/>
      <c r="T3238" s="42"/>
      <c r="U3238" s="42"/>
      <c r="V3238" s="42"/>
      <c r="W3238" s="42"/>
    </row>
    <row r="3239">
      <c r="A3239" s="9"/>
      <c r="B3239" s="9"/>
      <c r="C3239" s="9"/>
      <c r="D3239" s="42"/>
      <c r="E3239" s="103"/>
      <c r="F3239" s="42"/>
      <c r="G3239" s="9"/>
      <c r="H3239" s="9"/>
      <c r="I3239" s="9"/>
      <c r="J3239" s="9"/>
      <c r="K3239" s="42"/>
      <c r="L3239" s="42"/>
      <c r="M3239" s="42"/>
      <c r="N3239" s="42"/>
      <c r="O3239" s="42"/>
      <c r="P3239" s="9"/>
      <c r="Q3239" s="9"/>
      <c r="R3239" s="42"/>
      <c r="S3239" s="42"/>
      <c r="T3239" s="42"/>
      <c r="U3239" s="42"/>
      <c r="V3239" s="42"/>
      <c r="W3239" s="42"/>
    </row>
    <row r="3240">
      <c r="A3240" s="9"/>
      <c r="B3240" s="9"/>
      <c r="C3240" s="9"/>
      <c r="D3240" s="42"/>
      <c r="E3240" s="103"/>
      <c r="F3240" s="42"/>
      <c r="G3240" s="9"/>
      <c r="H3240" s="9"/>
      <c r="I3240" s="9"/>
      <c r="J3240" s="9"/>
      <c r="K3240" s="42"/>
      <c r="L3240" s="42"/>
      <c r="M3240" s="42"/>
      <c r="N3240" s="42"/>
      <c r="O3240" s="42"/>
      <c r="P3240" s="9"/>
      <c r="Q3240" s="9"/>
      <c r="R3240" s="42"/>
      <c r="S3240" s="42"/>
      <c r="T3240" s="42"/>
      <c r="U3240" s="42"/>
      <c r="V3240" s="42"/>
      <c r="W3240" s="42"/>
    </row>
    <row r="3241">
      <c r="A3241" s="9"/>
      <c r="B3241" s="9"/>
      <c r="C3241" s="9"/>
      <c r="D3241" s="42"/>
      <c r="E3241" s="103"/>
      <c r="F3241" s="42"/>
      <c r="G3241" s="9"/>
      <c r="H3241" s="9"/>
      <c r="I3241" s="9"/>
      <c r="J3241" s="9"/>
      <c r="K3241" s="42"/>
      <c r="L3241" s="42"/>
      <c r="M3241" s="42"/>
      <c r="N3241" s="42"/>
      <c r="O3241" s="42"/>
      <c r="P3241" s="9"/>
      <c r="Q3241" s="9"/>
      <c r="R3241" s="42"/>
      <c r="S3241" s="42"/>
      <c r="T3241" s="42"/>
      <c r="U3241" s="42"/>
      <c r="V3241" s="42"/>
      <c r="W3241" s="42"/>
    </row>
    <row r="3242">
      <c r="A3242" s="9"/>
      <c r="B3242" s="9"/>
      <c r="C3242" s="9"/>
      <c r="D3242" s="42"/>
      <c r="E3242" s="103"/>
      <c r="F3242" s="42"/>
      <c r="G3242" s="9"/>
      <c r="H3242" s="9"/>
      <c r="I3242" s="9"/>
      <c r="J3242" s="9"/>
      <c r="K3242" s="42"/>
      <c r="L3242" s="42"/>
      <c r="M3242" s="42"/>
      <c r="N3242" s="42"/>
      <c r="O3242" s="42"/>
      <c r="P3242" s="9"/>
      <c r="Q3242" s="9"/>
      <c r="R3242" s="42"/>
      <c r="S3242" s="42"/>
      <c r="T3242" s="42"/>
      <c r="U3242" s="42"/>
      <c r="V3242" s="42"/>
      <c r="W3242" s="42"/>
    </row>
    <row r="3243">
      <c r="A3243" s="9"/>
      <c r="B3243" s="9"/>
      <c r="C3243" s="9"/>
      <c r="D3243" s="42"/>
      <c r="E3243" s="103"/>
      <c r="F3243" s="42"/>
      <c r="G3243" s="9"/>
      <c r="H3243" s="9"/>
      <c r="I3243" s="9"/>
      <c r="J3243" s="9"/>
      <c r="K3243" s="42"/>
      <c r="L3243" s="42"/>
      <c r="M3243" s="42"/>
      <c r="N3243" s="42"/>
      <c r="O3243" s="42"/>
      <c r="P3243" s="9"/>
      <c r="Q3243" s="9"/>
      <c r="R3243" s="42"/>
      <c r="S3243" s="42"/>
      <c r="T3243" s="42"/>
      <c r="U3243" s="42"/>
      <c r="V3243" s="42"/>
      <c r="W3243" s="42"/>
    </row>
    <row r="3244">
      <c r="A3244" s="9"/>
      <c r="B3244" s="9"/>
      <c r="C3244" s="9"/>
      <c r="D3244" s="42"/>
      <c r="E3244" s="103"/>
      <c r="F3244" s="42"/>
      <c r="G3244" s="9"/>
      <c r="H3244" s="9"/>
      <c r="I3244" s="9"/>
      <c r="J3244" s="9"/>
      <c r="K3244" s="42"/>
      <c r="L3244" s="42"/>
      <c r="M3244" s="42"/>
      <c r="N3244" s="42"/>
      <c r="O3244" s="42"/>
      <c r="P3244" s="9"/>
      <c r="Q3244" s="9"/>
      <c r="R3244" s="42"/>
      <c r="S3244" s="42"/>
      <c r="T3244" s="42"/>
      <c r="U3244" s="42"/>
      <c r="V3244" s="42"/>
      <c r="W3244" s="42"/>
    </row>
    <row r="3245">
      <c r="A3245" s="9"/>
      <c r="B3245" s="9"/>
      <c r="C3245" s="9"/>
      <c r="D3245" s="42"/>
      <c r="E3245" s="103"/>
      <c r="F3245" s="42"/>
      <c r="G3245" s="9"/>
      <c r="H3245" s="9"/>
      <c r="I3245" s="9"/>
      <c r="J3245" s="9"/>
      <c r="K3245" s="42"/>
      <c r="L3245" s="42"/>
      <c r="M3245" s="42"/>
      <c r="N3245" s="42"/>
      <c r="O3245" s="42"/>
      <c r="P3245" s="9"/>
      <c r="Q3245" s="9"/>
      <c r="R3245" s="42"/>
      <c r="S3245" s="42"/>
      <c r="T3245" s="42"/>
      <c r="U3245" s="42"/>
      <c r="V3245" s="42"/>
      <c r="W3245" s="42"/>
    </row>
    <row r="3246">
      <c r="A3246" s="9"/>
      <c r="B3246" s="9"/>
      <c r="C3246" s="9"/>
      <c r="D3246" s="42"/>
      <c r="E3246" s="103"/>
      <c r="F3246" s="42"/>
      <c r="G3246" s="9"/>
      <c r="H3246" s="9"/>
      <c r="I3246" s="9"/>
      <c r="J3246" s="9"/>
      <c r="K3246" s="42"/>
      <c r="L3246" s="42"/>
      <c r="M3246" s="42"/>
      <c r="N3246" s="42"/>
      <c r="O3246" s="42"/>
      <c r="P3246" s="9"/>
      <c r="Q3246" s="9"/>
      <c r="R3246" s="42"/>
      <c r="S3246" s="42"/>
      <c r="T3246" s="42"/>
      <c r="U3246" s="42"/>
      <c r="V3246" s="42"/>
      <c r="W3246" s="42"/>
    </row>
    <row r="3247">
      <c r="A3247" s="9"/>
      <c r="B3247" s="9"/>
      <c r="C3247" s="9"/>
      <c r="D3247" s="42"/>
      <c r="E3247" s="103"/>
      <c r="F3247" s="42"/>
      <c r="G3247" s="9"/>
      <c r="H3247" s="9"/>
      <c r="I3247" s="9"/>
      <c r="J3247" s="9"/>
      <c r="K3247" s="42"/>
      <c r="L3247" s="42"/>
      <c r="M3247" s="42"/>
      <c r="N3247" s="42"/>
      <c r="O3247" s="42"/>
      <c r="P3247" s="9"/>
      <c r="Q3247" s="9"/>
      <c r="R3247" s="42"/>
      <c r="S3247" s="42"/>
      <c r="T3247" s="42"/>
      <c r="U3247" s="42"/>
      <c r="V3247" s="42"/>
      <c r="W3247" s="42"/>
    </row>
    <row r="3248">
      <c r="A3248" s="9"/>
      <c r="B3248" s="9"/>
      <c r="C3248" s="9"/>
      <c r="D3248" s="42"/>
      <c r="E3248" s="103"/>
      <c r="F3248" s="42"/>
      <c r="G3248" s="9"/>
      <c r="H3248" s="9"/>
      <c r="I3248" s="9"/>
      <c r="J3248" s="9"/>
      <c r="K3248" s="42"/>
      <c r="L3248" s="42"/>
      <c r="M3248" s="42"/>
      <c r="N3248" s="42"/>
      <c r="O3248" s="42"/>
      <c r="P3248" s="9"/>
      <c r="Q3248" s="9"/>
      <c r="R3248" s="42"/>
      <c r="S3248" s="42"/>
      <c r="T3248" s="42"/>
      <c r="U3248" s="42"/>
      <c r="V3248" s="42"/>
      <c r="W3248" s="42"/>
    </row>
    <row r="3249">
      <c r="A3249" s="9"/>
      <c r="B3249" s="9"/>
      <c r="C3249" s="9"/>
      <c r="D3249" s="42"/>
      <c r="E3249" s="103"/>
      <c r="F3249" s="42"/>
      <c r="G3249" s="9"/>
      <c r="H3249" s="9"/>
      <c r="I3249" s="9"/>
      <c r="J3249" s="9"/>
      <c r="K3249" s="42"/>
      <c r="L3249" s="42"/>
      <c r="M3249" s="42"/>
      <c r="N3249" s="42"/>
      <c r="O3249" s="42"/>
      <c r="P3249" s="9"/>
      <c r="Q3249" s="9"/>
      <c r="R3249" s="42"/>
      <c r="S3249" s="42"/>
      <c r="T3249" s="42"/>
      <c r="U3249" s="42"/>
      <c r="V3249" s="42"/>
      <c r="W3249" s="42"/>
    </row>
    <row r="3250">
      <c r="A3250" s="9"/>
      <c r="B3250" s="9"/>
      <c r="C3250" s="9"/>
      <c r="D3250" s="42"/>
      <c r="E3250" s="103"/>
      <c r="F3250" s="42"/>
      <c r="G3250" s="9"/>
      <c r="H3250" s="9"/>
      <c r="I3250" s="9"/>
      <c r="J3250" s="9"/>
      <c r="K3250" s="42"/>
      <c r="L3250" s="42"/>
      <c r="M3250" s="42"/>
      <c r="N3250" s="42"/>
      <c r="O3250" s="42"/>
      <c r="P3250" s="9"/>
      <c r="Q3250" s="9"/>
      <c r="R3250" s="42"/>
      <c r="S3250" s="42"/>
      <c r="T3250" s="42"/>
      <c r="U3250" s="42"/>
      <c r="V3250" s="42"/>
      <c r="W3250" s="42"/>
    </row>
    <row r="3251">
      <c r="A3251" s="9"/>
      <c r="B3251" s="9"/>
      <c r="C3251" s="9"/>
      <c r="D3251" s="42"/>
      <c r="E3251" s="103"/>
      <c r="F3251" s="42"/>
      <c r="G3251" s="9"/>
      <c r="H3251" s="9"/>
      <c r="I3251" s="9"/>
      <c r="J3251" s="9"/>
      <c r="K3251" s="42"/>
      <c r="L3251" s="42"/>
      <c r="M3251" s="42"/>
      <c r="N3251" s="42"/>
      <c r="O3251" s="42"/>
      <c r="P3251" s="9"/>
      <c r="Q3251" s="9"/>
      <c r="R3251" s="42"/>
      <c r="S3251" s="42"/>
      <c r="T3251" s="42"/>
      <c r="U3251" s="42"/>
      <c r="V3251" s="42"/>
      <c r="W3251" s="42"/>
    </row>
    <row r="3252">
      <c r="A3252" s="9"/>
      <c r="B3252" s="9"/>
      <c r="C3252" s="9"/>
      <c r="D3252" s="42"/>
      <c r="E3252" s="103"/>
      <c r="F3252" s="42"/>
      <c r="G3252" s="9"/>
      <c r="H3252" s="9"/>
      <c r="I3252" s="9"/>
      <c r="J3252" s="9"/>
      <c r="K3252" s="42"/>
      <c r="L3252" s="42"/>
      <c r="M3252" s="42"/>
      <c r="N3252" s="42"/>
      <c r="O3252" s="42"/>
      <c r="P3252" s="9"/>
      <c r="Q3252" s="9"/>
      <c r="R3252" s="42"/>
      <c r="S3252" s="42"/>
      <c r="T3252" s="42"/>
      <c r="U3252" s="42"/>
      <c r="V3252" s="42"/>
      <c r="W3252" s="42"/>
    </row>
    <row r="3253">
      <c r="A3253" s="9"/>
      <c r="B3253" s="9"/>
      <c r="C3253" s="9"/>
      <c r="D3253" s="42"/>
      <c r="E3253" s="103"/>
      <c r="F3253" s="42"/>
      <c r="G3253" s="9"/>
      <c r="H3253" s="9"/>
      <c r="I3253" s="9"/>
      <c r="J3253" s="9"/>
      <c r="K3253" s="42"/>
      <c r="L3253" s="42"/>
      <c r="M3253" s="42"/>
      <c r="N3253" s="42"/>
      <c r="O3253" s="42"/>
      <c r="P3253" s="9"/>
      <c r="Q3253" s="9"/>
      <c r="R3253" s="42"/>
      <c r="S3253" s="42"/>
      <c r="T3253" s="42"/>
      <c r="U3253" s="42"/>
      <c r="V3253" s="42"/>
      <c r="W3253" s="42"/>
    </row>
    <row r="3254">
      <c r="A3254" s="9"/>
      <c r="B3254" s="9"/>
      <c r="C3254" s="9"/>
      <c r="D3254" s="42"/>
      <c r="E3254" s="103"/>
      <c r="F3254" s="42"/>
      <c r="G3254" s="9"/>
      <c r="H3254" s="9"/>
      <c r="I3254" s="9"/>
      <c r="J3254" s="9"/>
      <c r="K3254" s="42"/>
      <c r="L3254" s="42"/>
      <c r="M3254" s="42"/>
      <c r="N3254" s="42"/>
      <c r="O3254" s="42"/>
      <c r="P3254" s="9"/>
      <c r="Q3254" s="9"/>
      <c r="R3254" s="42"/>
      <c r="S3254" s="42"/>
      <c r="T3254" s="42"/>
      <c r="U3254" s="42"/>
      <c r="V3254" s="42"/>
      <c r="W3254" s="42"/>
    </row>
    <row r="3255">
      <c r="A3255" s="9"/>
      <c r="B3255" s="9"/>
      <c r="C3255" s="9"/>
      <c r="D3255" s="42"/>
      <c r="E3255" s="103"/>
      <c r="F3255" s="42"/>
      <c r="G3255" s="9"/>
      <c r="H3255" s="9"/>
      <c r="I3255" s="9"/>
      <c r="J3255" s="9"/>
      <c r="K3255" s="42"/>
      <c r="L3255" s="42"/>
      <c r="M3255" s="42"/>
      <c r="N3255" s="42"/>
      <c r="O3255" s="42"/>
      <c r="P3255" s="9"/>
      <c r="Q3255" s="9"/>
      <c r="R3255" s="42"/>
      <c r="S3255" s="42"/>
      <c r="T3255" s="42"/>
      <c r="U3255" s="42"/>
      <c r="V3255" s="42"/>
      <c r="W3255" s="42"/>
    </row>
    <row r="3256">
      <c r="A3256" s="9"/>
      <c r="B3256" s="9"/>
      <c r="C3256" s="9"/>
      <c r="D3256" s="42"/>
      <c r="E3256" s="103"/>
      <c r="F3256" s="42"/>
      <c r="G3256" s="9"/>
      <c r="H3256" s="9"/>
      <c r="I3256" s="9"/>
      <c r="J3256" s="9"/>
      <c r="K3256" s="42"/>
      <c r="L3256" s="42"/>
      <c r="M3256" s="42"/>
      <c r="N3256" s="42"/>
      <c r="O3256" s="42"/>
      <c r="P3256" s="9"/>
      <c r="Q3256" s="9"/>
      <c r="R3256" s="42"/>
      <c r="S3256" s="42"/>
      <c r="T3256" s="42"/>
      <c r="U3256" s="42"/>
      <c r="V3256" s="42"/>
      <c r="W3256" s="42"/>
    </row>
    <row r="3257">
      <c r="A3257" s="9"/>
      <c r="B3257" s="9"/>
      <c r="C3257" s="9"/>
      <c r="D3257" s="42"/>
      <c r="E3257" s="103"/>
      <c r="F3257" s="42"/>
      <c r="G3257" s="9"/>
      <c r="H3257" s="9"/>
      <c r="I3257" s="9"/>
      <c r="J3257" s="9"/>
      <c r="K3257" s="42"/>
      <c r="L3257" s="42"/>
      <c r="M3257" s="42"/>
      <c r="N3257" s="42"/>
      <c r="O3257" s="42"/>
      <c r="P3257" s="9"/>
      <c r="Q3257" s="9"/>
      <c r="R3257" s="42"/>
      <c r="S3257" s="42"/>
      <c r="T3257" s="42"/>
      <c r="U3257" s="42"/>
      <c r="V3257" s="42"/>
      <c r="W3257" s="42"/>
    </row>
    <row r="3258">
      <c r="A3258" s="9"/>
      <c r="B3258" s="9"/>
      <c r="C3258" s="9"/>
      <c r="D3258" s="42"/>
      <c r="E3258" s="103"/>
      <c r="F3258" s="42"/>
      <c r="G3258" s="9"/>
      <c r="H3258" s="9"/>
      <c r="I3258" s="9"/>
      <c r="J3258" s="9"/>
      <c r="K3258" s="42"/>
      <c r="L3258" s="42"/>
      <c r="M3258" s="42"/>
      <c r="N3258" s="42"/>
      <c r="O3258" s="42"/>
      <c r="P3258" s="9"/>
      <c r="Q3258" s="9"/>
      <c r="R3258" s="42"/>
      <c r="S3258" s="42"/>
      <c r="T3258" s="42"/>
      <c r="U3258" s="42"/>
      <c r="V3258" s="42"/>
      <c r="W3258" s="42"/>
    </row>
    <row r="3259">
      <c r="A3259" s="9"/>
      <c r="B3259" s="9"/>
      <c r="C3259" s="9"/>
      <c r="D3259" s="42"/>
      <c r="E3259" s="103"/>
      <c r="F3259" s="42"/>
      <c r="G3259" s="9"/>
      <c r="H3259" s="9"/>
      <c r="I3259" s="9"/>
      <c r="J3259" s="9"/>
      <c r="K3259" s="42"/>
      <c r="L3259" s="42"/>
      <c r="M3259" s="42"/>
      <c r="N3259" s="42"/>
      <c r="O3259" s="42"/>
      <c r="P3259" s="9"/>
      <c r="Q3259" s="9"/>
      <c r="R3259" s="42"/>
      <c r="S3259" s="42"/>
      <c r="T3259" s="42"/>
      <c r="U3259" s="42"/>
      <c r="V3259" s="42"/>
      <c r="W3259" s="42"/>
    </row>
    <row r="3260">
      <c r="A3260" s="9"/>
      <c r="B3260" s="9"/>
      <c r="C3260" s="9"/>
      <c r="D3260" s="42"/>
      <c r="E3260" s="103"/>
      <c r="F3260" s="42"/>
      <c r="G3260" s="9"/>
      <c r="H3260" s="9"/>
      <c r="I3260" s="9"/>
      <c r="J3260" s="9"/>
      <c r="K3260" s="42"/>
      <c r="L3260" s="42"/>
      <c r="M3260" s="42"/>
      <c r="N3260" s="42"/>
      <c r="O3260" s="42"/>
      <c r="P3260" s="9"/>
      <c r="Q3260" s="9"/>
      <c r="R3260" s="42"/>
      <c r="S3260" s="42"/>
      <c r="T3260" s="42"/>
      <c r="U3260" s="42"/>
      <c r="V3260" s="42"/>
      <c r="W3260" s="42"/>
    </row>
    <row r="3261">
      <c r="A3261" s="9"/>
      <c r="B3261" s="9"/>
      <c r="C3261" s="9"/>
      <c r="D3261" s="42"/>
      <c r="E3261" s="103"/>
      <c r="F3261" s="42"/>
      <c r="G3261" s="9"/>
      <c r="H3261" s="9"/>
      <c r="I3261" s="9"/>
      <c r="J3261" s="9"/>
      <c r="K3261" s="42"/>
      <c r="L3261" s="42"/>
      <c r="M3261" s="42"/>
      <c r="N3261" s="42"/>
      <c r="O3261" s="42"/>
      <c r="P3261" s="9"/>
      <c r="Q3261" s="9"/>
      <c r="R3261" s="42"/>
      <c r="S3261" s="42"/>
      <c r="T3261" s="42"/>
      <c r="U3261" s="42"/>
      <c r="V3261" s="42"/>
      <c r="W3261" s="42"/>
    </row>
    <row r="3262">
      <c r="A3262" s="9"/>
      <c r="B3262" s="9"/>
      <c r="C3262" s="9"/>
      <c r="D3262" s="42"/>
      <c r="E3262" s="103"/>
      <c r="F3262" s="42"/>
      <c r="G3262" s="9"/>
      <c r="H3262" s="9"/>
      <c r="I3262" s="9"/>
      <c r="J3262" s="9"/>
      <c r="K3262" s="42"/>
      <c r="L3262" s="42"/>
      <c r="M3262" s="42"/>
      <c r="N3262" s="42"/>
      <c r="O3262" s="42"/>
      <c r="P3262" s="9"/>
      <c r="Q3262" s="9"/>
      <c r="R3262" s="42"/>
      <c r="S3262" s="42"/>
      <c r="T3262" s="42"/>
      <c r="U3262" s="42"/>
      <c r="V3262" s="42"/>
      <c r="W3262" s="42"/>
    </row>
    <row r="3263">
      <c r="A3263" s="9"/>
      <c r="B3263" s="9"/>
      <c r="C3263" s="9"/>
      <c r="D3263" s="42"/>
      <c r="E3263" s="103"/>
      <c r="F3263" s="42"/>
      <c r="G3263" s="9"/>
      <c r="H3263" s="9"/>
      <c r="I3263" s="9"/>
      <c r="J3263" s="9"/>
      <c r="K3263" s="42"/>
      <c r="L3263" s="42"/>
      <c r="M3263" s="42"/>
      <c r="N3263" s="42"/>
      <c r="O3263" s="42"/>
      <c r="P3263" s="9"/>
      <c r="Q3263" s="9"/>
      <c r="R3263" s="42"/>
      <c r="S3263" s="42"/>
      <c r="T3263" s="42"/>
      <c r="U3263" s="42"/>
      <c r="V3263" s="42"/>
      <c r="W3263" s="42"/>
    </row>
    <row r="3264">
      <c r="A3264" s="9"/>
      <c r="B3264" s="9"/>
      <c r="C3264" s="9"/>
      <c r="D3264" s="42"/>
      <c r="E3264" s="103"/>
      <c r="F3264" s="42"/>
      <c r="G3264" s="9"/>
      <c r="H3264" s="9"/>
      <c r="I3264" s="9"/>
      <c r="J3264" s="9"/>
      <c r="K3264" s="42"/>
      <c r="L3264" s="42"/>
      <c r="M3264" s="42"/>
      <c r="N3264" s="42"/>
      <c r="O3264" s="42"/>
      <c r="P3264" s="9"/>
      <c r="Q3264" s="9"/>
      <c r="R3264" s="42"/>
      <c r="S3264" s="42"/>
      <c r="T3264" s="42"/>
      <c r="U3264" s="42"/>
      <c r="V3264" s="42"/>
      <c r="W3264" s="42"/>
    </row>
    <row r="3265">
      <c r="A3265" s="9"/>
      <c r="B3265" s="9"/>
      <c r="C3265" s="9"/>
      <c r="D3265" s="42"/>
      <c r="E3265" s="103"/>
      <c r="F3265" s="42"/>
      <c r="G3265" s="9"/>
      <c r="H3265" s="9"/>
      <c r="I3265" s="9"/>
      <c r="J3265" s="9"/>
      <c r="K3265" s="42"/>
      <c r="L3265" s="42"/>
      <c r="M3265" s="42"/>
      <c r="N3265" s="42"/>
      <c r="O3265" s="42"/>
      <c r="P3265" s="9"/>
      <c r="Q3265" s="9"/>
      <c r="R3265" s="42"/>
      <c r="S3265" s="42"/>
      <c r="T3265" s="42"/>
      <c r="U3265" s="42"/>
      <c r="V3265" s="42"/>
      <c r="W3265" s="42"/>
    </row>
    <row r="3266">
      <c r="A3266" s="9"/>
      <c r="B3266" s="9"/>
      <c r="C3266" s="9"/>
      <c r="D3266" s="42"/>
      <c r="E3266" s="103"/>
      <c r="F3266" s="42"/>
      <c r="G3266" s="9"/>
      <c r="H3266" s="9"/>
      <c r="I3266" s="9"/>
      <c r="J3266" s="9"/>
      <c r="K3266" s="42"/>
      <c r="L3266" s="42"/>
      <c r="M3266" s="42"/>
      <c r="N3266" s="42"/>
      <c r="O3266" s="42"/>
      <c r="P3266" s="9"/>
      <c r="Q3266" s="9"/>
      <c r="R3266" s="42"/>
      <c r="S3266" s="42"/>
      <c r="T3266" s="42"/>
      <c r="U3266" s="42"/>
      <c r="V3266" s="42"/>
      <c r="W3266" s="42"/>
    </row>
    <row r="3267">
      <c r="A3267" s="9"/>
      <c r="B3267" s="9"/>
      <c r="C3267" s="9"/>
      <c r="D3267" s="42"/>
      <c r="E3267" s="103"/>
      <c r="F3267" s="42"/>
      <c r="G3267" s="9"/>
      <c r="H3267" s="9"/>
      <c r="I3267" s="9"/>
      <c r="J3267" s="9"/>
      <c r="K3267" s="42"/>
      <c r="L3267" s="42"/>
      <c r="M3267" s="42"/>
      <c r="N3267" s="42"/>
      <c r="O3267" s="42"/>
      <c r="P3267" s="9"/>
      <c r="Q3267" s="9"/>
      <c r="R3267" s="42"/>
      <c r="S3267" s="42"/>
      <c r="T3267" s="42"/>
      <c r="U3267" s="42"/>
      <c r="V3267" s="42"/>
      <c r="W3267" s="42"/>
    </row>
    <row r="3268">
      <c r="A3268" s="9"/>
      <c r="B3268" s="9"/>
      <c r="C3268" s="9"/>
      <c r="D3268" s="42"/>
      <c r="E3268" s="103"/>
      <c r="F3268" s="42"/>
      <c r="G3268" s="9"/>
      <c r="H3268" s="9"/>
      <c r="I3268" s="9"/>
      <c r="J3268" s="9"/>
      <c r="K3268" s="42"/>
      <c r="L3268" s="42"/>
      <c r="M3268" s="42"/>
      <c r="N3268" s="42"/>
      <c r="O3268" s="42"/>
      <c r="P3268" s="9"/>
      <c r="Q3268" s="9"/>
      <c r="R3268" s="42"/>
      <c r="S3268" s="42"/>
      <c r="T3268" s="42"/>
      <c r="U3268" s="42"/>
      <c r="V3268" s="42"/>
      <c r="W3268" s="42"/>
    </row>
    <row r="3269">
      <c r="A3269" s="9"/>
      <c r="B3269" s="9"/>
      <c r="C3269" s="9"/>
      <c r="D3269" s="42"/>
      <c r="E3269" s="103"/>
      <c r="F3269" s="42"/>
      <c r="G3269" s="9"/>
      <c r="H3269" s="9"/>
      <c r="I3269" s="9"/>
      <c r="J3269" s="9"/>
      <c r="K3269" s="42"/>
      <c r="L3269" s="42"/>
      <c r="M3269" s="42"/>
      <c r="N3269" s="42"/>
      <c r="O3269" s="42"/>
      <c r="P3269" s="9"/>
      <c r="Q3269" s="9"/>
      <c r="R3269" s="42"/>
      <c r="S3269" s="42"/>
      <c r="T3269" s="42"/>
      <c r="U3269" s="42"/>
      <c r="V3269" s="42"/>
      <c r="W3269" s="42"/>
    </row>
    <row r="3270">
      <c r="A3270" s="9"/>
      <c r="B3270" s="9"/>
      <c r="C3270" s="9"/>
      <c r="D3270" s="42"/>
      <c r="E3270" s="103"/>
      <c r="F3270" s="42"/>
      <c r="G3270" s="9"/>
      <c r="H3270" s="9"/>
      <c r="I3270" s="9"/>
      <c r="J3270" s="9"/>
      <c r="K3270" s="42"/>
      <c r="L3270" s="42"/>
      <c r="M3270" s="42"/>
      <c r="N3270" s="42"/>
      <c r="O3270" s="42"/>
      <c r="P3270" s="9"/>
      <c r="Q3270" s="9"/>
      <c r="R3270" s="42"/>
      <c r="S3270" s="42"/>
      <c r="T3270" s="42"/>
      <c r="U3270" s="42"/>
      <c r="V3270" s="42"/>
      <c r="W3270" s="42"/>
    </row>
    <row r="3271">
      <c r="A3271" s="9"/>
      <c r="B3271" s="9"/>
      <c r="C3271" s="9"/>
      <c r="D3271" s="42"/>
      <c r="E3271" s="103"/>
      <c r="F3271" s="42"/>
      <c r="G3271" s="9"/>
      <c r="H3271" s="9"/>
      <c r="I3271" s="9"/>
      <c r="J3271" s="9"/>
      <c r="K3271" s="42"/>
      <c r="L3271" s="42"/>
      <c r="M3271" s="42"/>
      <c r="N3271" s="42"/>
      <c r="O3271" s="42"/>
      <c r="P3271" s="9"/>
      <c r="Q3271" s="9"/>
      <c r="R3271" s="42"/>
      <c r="S3271" s="42"/>
      <c r="T3271" s="42"/>
      <c r="U3271" s="42"/>
      <c r="V3271" s="42"/>
      <c r="W3271" s="42"/>
    </row>
    <row r="3272">
      <c r="A3272" s="9"/>
      <c r="B3272" s="9"/>
      <c r="C3272" s="9"/>
      <c r="D3272" s="42"/>
      <c r="E3272" s="103"/>
      <c r="F3272" s="42"/>
      <c r="G3272" s="9"/>
      <c r="H3272" s="9"/>
      <c r="I3272" s="9"/>
      <c r="J3272" s="9"/>
      <c r="K3272" s="42"/>
      <c r="L3272" s="42"/>
      <c r="M3272" s="42"/>
      <c r="N3272" s="42"/>
      <c r="O3272" s="42"/>
      <c r="P3272" s="9"/>
      <c r="Q3272" s="9"/>
      <c r="R3272" s="42"/>
      <c r="S3272" s="42"/>
      <c r="T3272" s="42"/>
      <c r="U3272" s="42"/>
      <c r="V3272" s="42"/>
      <c r="W3272" s="42"/>
    </row>
    <row r="3273">
      <c r="A3273" s="9"/>
      <c r="B3273" s="9"/>
      <c r="C3273" s="9"/>
      <c r="D3273" s="42"/>
      <c r="E3273" s="103"/>
      <c r="F3273" s="42"/>
      <c r="G3273" s="9"/>
      <c r="H3273" s="9"/>
      <c r="I3273" s="9"/>
      <c r="J3273" s="9"/>
      <c r="K3273" s="42"/>
      <c r="L3273" s="42"/>
      <c r="M3273" s="42"/>
      <c r="N3273" s="42"/>
      <c r="O3273" s="42"/>
      <c r="P3273" s="9"/>
      <c r="Q3273" s="9"/>
      <c r="R3273" s="42"/>
      <c r="S3273" s="42"/>
      <c r="T3273" s="42"/>
      <c r="U3273" s="42"/>
      <c r="V3273" s="42"/>
      <c r="W3273" s="42"/>
    </row>
    <row r="3274">
      <c r="A3274" s="9"/>
      <c r="B3274" s="9"/>
      <c r="C3274" s="9"/>
      <c r="D3274" s="42"/>
      <c r="E3274" s="103"/>
      <c r="F3274" s="42"/>
      <c r="G3274" s="9"/>
      <c r="H3274" s="9"/>
      <c r="I3274" s="9"/>
      <c r="J3274" s="9"/>
      <c r="K3274" s="42"/>
      <c r="L3274" s="42"/>
      <c r="M3274" s="42"/>
      <c r="N3274" s="42"/>
      <c r="O3274" s="42"/>
      <c r="P3274" s="9"/>
      <c r="Q3274" s="9"/>
      <c r="R3274" s="42"/>
      <c r="S3274" s="42"/>
      <c r="T3274" s="42"/>
      <c r="U3274" s="42"/>
      <c r="V3274" s="42"/>
      <c r="W3274" s="42"/>
    </row>
    <row r="3275">
      <c r="A3275" s="9"/>
      <c r="B3275" s="9"/>
      <c r="C3275" s="9"/>
      <c r="D3275" s="42"/>
      <c r="E3275" s="103"/>
      <c r="F3275" s="42"/>
      <c r="G3275" s="9"/>
      <c r="H3275" s="9"/>
      <c r="I3275" s="9"/>
      <c r="J3275" s="9"/>
      <c r="K3275" s="42"/>
      <c r="L3275" s="42"/>
      <c r="M3275" s="42"/>
      <c r="N3275" s="42"/>
      <c r="O3275" s="42"/>
      <c r="P3275" s="9"/>
      <c r="Q3275" s="9"/>
      <c r="R3275" s="42"/>
      <c r="S3275" s="42"/>
      <c r="T3275" s="42"/>
      <c r="U3275" s="42"/>
      <c r="V3275" s="42"/>
      <c r="W3275" s="42"/>
    </row>
    <row r="3276">
      <c r="A3276" s="9"/>
      <c r="B3276" s="9"/>
      <c r="C3276" s="9"/>
      <c r="D3276" s="42"/>
      <c r="E3276" s="103"/>
      <c r="F3276" s="42"/>
      <c r="G3276" s="9"/>
      <c r="H3276" s="9"/>
      <c r="I3276" s="9"/>
      <c r="J3276" s="9"/>
      <c r="K3276" s="42"/>
      <c r="L3276" s="42"/>
      <c r="M3276" s="42"/>
      <c r="N3276" s="42"/>
      <c r="O3276" s="42"/>
      <c r="P3276" s="9"/>
      <c r="Q3276" s="9"/>
      <c r="R3276" s="42"/>
      <c r="S3276" s="42"/>
      <c r="T3276" s="42"/>
      <c r="U3276" s="42"/>
      <c r="V3276" s="42"/>
      <c r="W3276" s="42"/>
    </row>
    <row r="3277">
      <c r="A3277" s="9"/>
      <c r="B3277" s="9"/>
      <c r="C3277" s="9"/>
      <c r="D3277" s="42"/>
      <c r="E3277" s="103"/>
      <c r="F3277" s="42"/>
      <c r="G3277" s="9"/>
      <c r="H3277" s="9"/>
      <c r="I3277" s="9"/>
      <c r="J3277" s="9"/>
      <c r="K3277" s="42"/>
      <c r="L3277" s="42"/>
      <c r="M3277" s="42"/>
      <c r="N3277" s="42"/>
      <c r="O3277" s="42"/>
      <c r="P3277" s="9"/>
      <c r="Q3277" s="9"/>
      <c r="R3277" s="42"/>
      <c r="S3277" s="42"/>
      <c r="T3277" s="42"/>
      <c r="U3277" s="42"/>
      <c r="V3277" s="42"/>
      <c r="W3277" s="42"/>
    </row>
    <row r="3278">
      <c r="A3278" s="9"/>
      <c r="B3278" s="9"/>
      <c r="C3278" s="9"/>
      <c r="D3278" s="42"/>
      <c r="E3278" s="103"/>
      <c r="F3278" s="42"/>
      <c r="G3278" s="9"/>
      <c r="H3278" s="9"/>
      <c r="I3278" s="9"/>
      <c r="J3278" s="9"/>
      <c r="K3278" s="42"/>
      <c r="L3278" s="42"/>
      <c r="M3278" s="42"/>
      <c r="N3278" s="42"/>
      <c r="O3278" s="42"/>
      <c r="P3278" s="9"/>
      <c r="Q3278" s="9"/>
      <c r="R3278" s="42"/>
      <c r="S3278" s="42"/>
      <c r="T3278" s="42"/>
      <c r="U3278" s="42"/>
      <c r="V3278" s="42"/>
      <c r="W3278" s="42"/>
    </row>
    <row r="3279">
      <c r="A3279" s="9"/>
      <c r="B3279" s="9"/>
      <c r="C3279" s="9"/>
      <c r="D3279" s="42"/>
      <c r="E3279" s="103"/>
      <c r="F3279" s="42"/>
      <c r="G3279" s="9"/>
      <c r="H3279" s="9"/>
      <c r="I3279" s="9"/>
      <c r="J3279" s="9"/>
      <c r="K3279" s="42"/>
      <c r="L3279" s="42"/>
      <c r="M3279" s="42"/>
      <c r="N3279" s="42"/>
      <c r="O3279" s="42"/>
      <c r="P3279" s="9"/>
      <c r="Q3279" s="9"/>
      <c r="R3279" s="42"/>
      <c r="S3279" s="42"/>
      <c r="T3279" s="42"/>
      <c r="U3279" s="42"/>
      <c r="V3279" s="42"/>
      <c r="W3279" s="42"/>
    </row>
    <row r="3280">
      <c r="A3280" s="9"/>
      <c r="B3280" s="9"/>
      <c r="C3280" s="9"/>
      <c r="D3280" s="42"/>
      <c r="E3280" s="103"/>
      <c r="F3280" s="42"/>
      <c r="G3280" s="9"/>
      <c r="H3280" s="9"/>
      <c r="I3280" s="9"/>
      <c r="J3280" s="9"/>
      <c r="K3280" s="42"/>
      <c r="L3280" s="42"/>
      <c r="M3280" s="42"/>
      <c r="N3280" s="42"/>
      <c r="O3280" s="42"/>
      <c r="P3280" s="9"/>
      <c r="Q3280" s="9"/>
      <c r="R3280" s="42"/>
      <c r="S3280" s="42"/>
      <c r="T3280" s="42"/>
      <c r="U3280" s="42"/>
      <c r="V3280" s="42"/>
      <c r="W3280" s="42"/>
    </row>
    <row r="3281">
      <c r="A3281" s="9"/>
      <c r="B3281" s="9"/>
      <c r="C3281" s="9"/>
      <c r="D3281" s="42"/>
      <c r="E3281" s="103"/>
      <c r="F3281" s="42"/>
      <c r="G3281" s="9"/>
      <c r="H3281" s="9"/>
      <c r="I3281" s="9"/>
      <c r="J3281" s="9"/>
      <c r="K3281" s="42"/>
      <c r="L3281" s="42"/>
      <c r="M3281" s="42"/>
      <c r="N3281" s="42"/>
      <c r="O3281" s="42"/>
      <c r="P3281" s="9"/>
      <c r="Q3281" s="9"/>
      <c r="R3281" s="42"/>
      <c r="S3281" s="42"/>
      <c r="T3281" s="42"/>
      <c r="U3281" s="42"/>
      <c r="V3281" s="42"/>
      <c r="W3281" s="42"/>
    </row>
    <row r="3282">
      <c r="A3282" s="9"/>
      <c r="B3282" s="9"/>
      <c r="C3282" s="9"/>
      <c r="D3282" s="42"/>
      <c r="E3282" s="103"/>
      <c r="F3282" s="42"/>
      <c r="G3282" s="9"/>
      <c r="H3282" s="9"/>
      <c r="I3282" s="9"/>
      <c r="J3282" s="9"/>
      <c r="K3282" s="42"/>
      <c r="L3282" s="42"/>
      <c r="M3282" s="42"/>
      <c r="N3282" s="42"/>
      <c r="O3282" s="42"/>
      <c r="P3282" s="9"/>
      <c r="Q3282" s="9"/>
      <c r="R3282" s="42"/>
      <c r="S3282" s="42"/>
      <c r="T3282" s="42"/>
      <c r="U3282" s="42"/>
      <c r="V3282" s="42"/>
      <c r="W3282" s="42"/>
    </row>
    <row r="3283">
      <c r="A3283" s="9"/>
      <c r="B3283" s="9"/>
      <c r="C3283" s="9"/>
      <c r="D3283" s="42"/>
      <c r="E3283" s="103"/>
      <c r="F3283" s="42"/>
      <c r="G3283" s="9"/>
      <c r="H3283" s="9"/>
      <c r="I3283" s="9"/>
      <c r="J3283" s="9"/>
      <c r="K3283" s="42"/>
      <c r="L3283" s="42"/>
      <c r="M3283" s="42"/>
      <c r="N3283" s="42"/>
      <c r="O3283" s="42"/>
      <c r="P3283" s="9"/>
      <c r="Q3283" s="9"/>
      <c r="R3283" s="42"/>
      <c r="S3283" s="42"/>
      <c r="T3283" s="42"/>
      <c r="U3283" s="42"/>
      <c r="V3283" s="42"/>
      <c r="W3283" s="42"/>
    </row>
    <row r="3284">
      <c r="A3284" s="9"/>
      <c r="B3284" s="9"/>
      <c r="C3284" s="9"/>
      <c r="D3284" s="42"/>
      <c r="E3284" s="103"/>
      <c r="F3284" s="42"/>
      <c r="G3284" s="9"/>
      <c r="H3284" s="9"/>
      <c r="I3284" s="9"/>
      <c r="J3284" s="9"/>
      <c r="K3284" s="42"/>
      <c r="L3284" s="42"/>
      <c r="M3284" s="42"/>
      <c r="N3284" s="42"/>
      <c r="O3284" s="42"/>
      <c r="P3284" s="9"/>
      <c r="Q3284" s="9"/>
      <c r="R3284" s="42"/>
      <c r="S3284" s="42"/>
      <c r="T3284" s="42"/>
      <c r="U3284" s="42"/>
      <c r="V3284" s="42"/>
      <c r="W3284" s="42"/>
    </row>
    <row r="3285">
      <c r="A3285" s="9"/>
      <c r="B3285" s="9"/>
      <c r="C3285" s="9"/>
      <c r="D3285" s="42"/>
      <c r="E3285" s="103"/>
      <c r="F3285" s="42"/>
      <c r="G3285" s="9"/>
      <c r="H3285" s="9"/>
      <c r="I3285" s="9"/>
      <c r="J3285" s="9"/>
      <c r="K3285" s="42"/>
      <c r="L3285" s="42"/>
      <c r="M3285" s="42"/>
      <c r="N3285" s="42"/>
      <c r="O3285" s="42"/>
      <c r="P3285" s="9"/>
      <c r="Q3285" s="9"/>
      <c r="R3285" s="42"/>
      <c r="S3285" s="42"/>
      <c r="T3285" s="42"/>
      <c r="U3285" s="42"/>
      <c r="V3285" s="42"/>
      <c r="W3285" s="42"/>
    </row>
    <row r="3286">
      <c r="A3286" s="9"/>
      <c r="B3286" s="9"/>
      <c r="C3286" s="9"/>
      <c r="D3286" s="42"/>
      <c r="E3286" s="103"/>
      <c r="F3286" s="42"/>
      <c r="G3286" s="9"/>
      <c r="H3286" s="9"/>
      <c r="I3286" s="9"/>
      <c r="J3286" s="9"/>
      <c r="K3286" s="42"/>
      <c r="L3286" s="42"/>
      <c r="M3286" s="42"/>
      <c r="N3286" s="42"/>
      <c r="O3286" s="42"/>
      <c r="P3286" s="9"/>
      <c r="Q3286" s="9"/>
      <c r="R3286" s="42"/>
      <c r="S3286" s="42"/>
      <c r="T3286" s="42"/>
      <c r="U3286" s="42"/>
      <c r="V3286" s="42"/>
      <c r="W3286" s="42"/>
    </row>
    <row r="3287">
      <c r="A3287" s="9"/>
      <c r="B3287" s="9"/>
      <c r="C3287" s="9"/>
      <c r="D3287" s="42"/>
      <c r="E3287" s="103"/>
      <c r="F3287" s="42"/>
      <c r="G3287" s="9"/>
      <c r="H3287" s="9"/>
      <c r="I3287" s="9"/>
      <c r="J3287" s="9"/>
      <c r="K3287" s="42"/>
      <c r="L3287" s="42"/>
      <c r="M3287" s="42"/>
      <c r="N3287" s="42"/>
      <c r="O3287" s="42"/>
      <c r="P3287" s="9"/>
      <c r="Q3287" s="9"/>
      <c r="R3287" s="42"/>
      <c r="S3287" s="42"/>
      <c r="T3287" s="42"/>
      <c r="U3287" s="42"/>
      <c r="V3287" s="42"/>
      <c r="W3287" s="42"/>
    </row>
    <row r="3288">
      <c r="A3288" s="9"/>
      <c r="B3288" s="9"/>
      <c r="C3288" s="9"/>
      <c r="D3288" s="42"/>
      <c r="E3288" s="103"/>
      <c r="F3288" s="42"/>
      <c r="G3288" s="9"/>
      <c r="H3288" s="9"/>
      <c r="I3288" s="9"/>
      <c r="J3288" s="9"/>
      <c r="K3288" s="42"/>
      <c r="L3288" s="42"/>
      <c r="M3288" s="42"/>
      <c r="N3288" s="42"/>
      <c r="O3288" s="42"/>
      <c r="P3288" s="9"/>
      <c r="Q3288" s="9"/>
      <c r="R3288" s="42"/>
      <c r="S3288" s="42"/>
      <c r="T3288" s="42"/>
      <c r="U3288" s="42"/>
      <c r="V3288" s="42"/>
      <c r="W3288" s="42"/>
    </row>
    <row r="3289">
      <c r="A3289" s="9"/>
      <c r="B3289" s="9"/>
      <c r="C3289" s="9"/>
      <c r="D3289" s="42"/>
      <c r="E3289" s="103"/>
      <c r="F3289" s="42"/>
      <c r="G3289" s="9"/>
      <c r="H3289" s="9"/>
      <c r="I3289" s="9"/>
      <c r="J3289" s="9"/>
      <c r="K3289" s="42"/>
      <c r="L3289" s="42"/>
      <c r="M3289" s="42"/>
      <c r="N3289" s="42"/>
      <c r="O3289" s="42"/>
      <c r="P3289" s="9"/>
      <c r="Q3289" s="9"/>
      <c r="R3289" s="42"/>
      <c r="S3289" s="42"/>
      <c r="T3289" s="42"/>
      <c r="U3289" s="42"/>
      <c r="V3289" s="42"/>
      <c r="W3289" s="42"/>
    </row>
    <row r="3290">
      <c r="A3290" s="9"/>
      <c r="B3290" s="9"/>
      <c r="C3290" s="9"/>
      <c r="D3290" s="42"/>
      <c r="E3290" s="103"/>
      <c r="F3290" s="42"/>
      <c r="G3290" s="9"/>
      <c r="H3290" s="9"/>
      <c r="I3290" s="9"/>
      <c r="J3290" s="9"/>
      <c r="K3290" s="42"/>
      <c r="L3290" s="42"/>
      <c r="M3290" s="42"/>
      <c r="N3290" s="42"/>
      <c r="O3290" s="42"/>
      <c r="P3290" s="9"/>
      <c r="Q3290" s="9"/>
      <c r="R3290" s="42"/>
      <c r="S3290" s="42"/>
      <c r="T3290" s="42"/>
      <c r="U3290" s="42"/>
      <c r="V3290" s="42"/>
      <c r="W3290" s="42"/>
    </row>
    <row r="3291">
      <c r="A3291" s="9"/>
      <c r="B3291" s="9"/>
      <c r="C3291" s="9"/>
      <c r="D3291" s="42"/>
      <c r="E3291" s="103"/>
      <c r="F3291" s="42"/>
      <c r="G3291" s="9"/>
      <c r="H3291" s="9"/>
      <c r="I3291" s="9"/>
      <c r="J3291" s="9"/>
      <c r="K3291" s="42"/>
      <c r="L3291" s="42"/>
      <c r="M3291" s="42"/>
      <c r="N3291" s="42"/>
      <c r="O3291" s="42"/>
      <c r="P3291" s="9"/>
      <c r="Q3291" s="9"/>
      <c r="R3291" s="42"/>
      <c r="S3291" s="42"/>
      <c r="T3291" s="42"/>
      <c r="U3291" s="42"/>
      <c r="V3291" s="42"/>
      <c r="W3291" s="42"/>
    </row>
    <row r="3292">
      <c r="A3292" s="9"/>
      <c r="B3292" s="9"/>
      <c r="C3292" s="9"/>
      <c r="D3292" s="42"/>
      <c r="E3292" s="103"/>
      <c r="F3292" s="42"/>
      <c r="G3292" s="9"/>
      <c r="H3292" s="9"/>
      <c r="I3292" s="9"/>
      <c r="J3292" s="9"/>
      <c r="K3292" s="42"/>
      <c r="L3292" s="42"/>
      <c r="M3292" s="42"/>
      <c r="N3292" s="42"/>
      <c r="O3292" s="42"/>
      <c r="P3292" s="9"/>
      <c r="Q3292" s="9"/>
      <c r="R3292" s="42"/>
      <c r="S3292" s="42"/>
      <c r="T3292" s="42"/>
      <c r="U3292" s="42"/>
      <c r="V3292" s="42"/>
      <c r="W3292" s="42"/>
    </row>
    <row r="3293">
      <c r="A3293" s="9"/>
      <c r="B3293" s="9"/>
      <c r="C3293" s="9"/>
      <c r="D3293" s="42"/>
      <c r="E3293" s="103"/>
      <c r="F3293" s="42"/>
      <c r="G3293" s="9"/>
      <c r="H3293" s="9"/>
      <c r="I3293" s="9"/>
      <c r="J3293" s="9"/>
      <c r="K3293" s="42"/>
      <c r="L3293" s="42"/>
      <c r="M3293" s="42"/>
      <c r="N3293" s="42"/>
      <c r="O3293" s="42"/>
      <c r="P3293" s="9"/>
      <c r="Q3293" s="9"/>
      <c r="R3293" s="42"/>
      <c r="S3293" s="42"/>
      <c r="T3293" s="42"/>
      <c r="U3293" s="42"/>
      <c r="V3293" s="42"/>
      <c r="W3293" s="42"/>
    </row>
    <row r="3294">
      <c r="A3294" s="9"/>
      <c r="B3294" s="9"/>
      <c r="C3294" s="9"/>
      <c r="D3294" s="42"/>
      <c r="E3294" s="103"/>
      <c r="F3294" s="42"/>
      <c r="G3294" s="9"/>
      <c r="H3294" s="9"/>
      <c r="I3294" s="9"/>
      <c r="J3294" s="9"/>
      <c r="K3294" s="42"/>
      <c r="L3294" s="42"/>
      <c r="M3294" s="42"/>
      <c r="N3294" s="42"/>
      <c r="O3294" s="42"/>
      <c r="P3294" s="9"/>
      <c r="Q3294" s="9"/>
      <c r="R3294" s="42"/>
      <c r="S3294" s="42"/>
      <c r="T3294" s="42"/>
      <c r="U3294" s="42"/>
      <c r="V3294" s="42"/>
      <c r="W3294" s="42"/>
    </row>
    <row r="3295">
      <c r="A3295" s="9"/>
      <c r="B3295" s="9"/>
      <c r="C3295" s="9"/>
      <c r="D3295" s="42"/>
      <c r="E3295" s="103"/>
      <c r="F3295" s="42"/>
      <c r="G3295" s="9"/>
      <c r="H3295" s="9"/>
      <c r="I3295" s="9"/>
      <c r="J3295" s="9"/>
      <c r="K3295" s="42"/>
      <c r="L3295" s="42"/>
      <c r="M3295" s="42"/>
      <c r="N3295" s="42"/>
      <c r="O3295" s="42"/>
      <c r="P3295" s="9"/>
      <c r="Q3295" s="9"/>
      <c r="R3295" s="42"/>
      <c r="S3295" s="42"/>
      <c r="T3295" s="42"/>
      <c r="U3295" s="42"/>
      <c r="V3295" s="42"/>
      <c r="W3295" s="42"/>
    </row>
    <row r="3296">
      <c r="A3296" s="9"/>
      <c r="B3296" s="9"/>
      <c r="C3296" s="9"/>
      <c r="D3296" s="42"/>
      <c r="E3296" s="103"/>
      <c r="F3296" s="42"/>
      <c r="G3296" s="9"/>
      <c r="H3296" s="9"/>
      <c r="I3296" s="9"/>
      <c r="J3296" s="9"/>
      <c r="K3296" s="42"/>
      <c r="L3296" s="42"/>
      <c r="M3296" s="42"/>
      <c r="N3296" s="42"/>
      <c r="O3296" s="42"/>
      <c r="P3296" s="9"/>
      <c r="Q3296" s="9"/>
      <c r="R3296" s="42"/>
      <c r="S3296" s="42"/>
      <c r="T3296" s="42"/>
      <c r="U3296" s="42"/>
      <c r="V3296" s="42"/>
      <c r="W3296" s="42"/>
    </row>
    <row r="3297">
      <c r="A3297" s="9"/>
      <c r="B3297" s="9"/>
      <c r="C3297" s="9"/>
      <c r="D3297" s="42"/>
      <c r="E3297" s="103"/>
      <c r="F3297" s="42"/>
      <c r="G3297" s="9"/>
      <c r="H3297" s="9"/>
      <c r="I3297" s="9"/>
      <c r="J3297" s="9"/>
      <c r="K3297" s="42"/>
      <c r="L3297" s="42"/>
      <c r="M3297" s="42"/>
      <c r="N3297" s="42"/>
      <c r="O3297" s="42"/>
      <c r="P3297" s="9"/>
      <c r="Q3297" s="9"/>
      <c r="R3297" s="42"/>
      <c r="S3297" s="42"/>
      <c r="T3297" s="42"/>
      <c r="U3297" s="42"/>
      <c r="V3297" s="42"/>
      <c r="W3297" s="42"/>
    </row>
    <row r="3298">
      <c r="A3298" s="9"/>
      <c r="B3298" s="9"/>
      <c r="C3298" s="9"/>
      <c r="D3298" s="42"/>
      <c r="E3298" s="103"/>
      <c r="F3298" s="42"/>
      <c r="G3298" s="9"/>
      <c r="H3298" s="9"/>
      <c r="I3298" s="9"/>
      <c r="J3298" s="9"/>
      <c r="K3298" s="42"/>
      <c r="L3298" s="42"/>
      <c r="M3298" s="42"/>
      <c r="N3298" s="42"/>
      <c r="O3298" s="42"/>
      <c r="P3298" s="9"/>
      <c r="Q3298" s="9"/>
      <c r="R3298" s="42"/>
      <c r="S3298" s="42"/>
      <c r="T3298" s="42"/>
      <c r="U3298" s="42"/>
      <c r="V3298" s="42"/>
      <c r="W3298" s="42"/>
    </row>
    <row r="3299">
      <c r="A3299" s="9"/>
      <c r="B3299" s="9"/>
      <c r="C3299" s="9"/>
      <c r="D3299" s="42"/>
      <c r="E3299" s="103"/>
      <c r="F3299" s="42"/>
      <c r="G3299" s="9"/>
      <c r="H3299" s="9"/>
      <c r="I3299" s="9"/>
      <c r="J3299" s="9"/>
      <c r="K3299" s="42"/>
      <c r="L3299" s="42"/>
      <c r="M3299" s="42"/>
      <c r="N3299" s="42"/>
      <c r="O3299" s="42"/>
      <c r="P3299" s="9"/>
      <c r="Q3299" s="9"/>
      <c r="R3299" s="42"/>
      <c r="S3299" s="42"/>
      <c r="T3299" s="42"/>
      <c r="U3299" s="42"/>
      <c r="V3299" s="42"/>
      <c r="W3299" s="42"/>
    </row>
    <row r="3300">
      <c r="A3300" s="9"/>
      <c r="B3300" s="9"/>
      <c r="C3300" s="9"/>
      <c r="D3300" s="42"/>
      <c r="E3300" s="103"/>
      <c r="F3300" s="42"/>
      <c r="G3300" s="9"/>
      <c r="H3300" s="9"/>
      <c r="I3300" s="9"/>
      <c r="J3300" s="9"/>
      <c r="K3300" s="42"/>
      <c r="L3300" s="42"/>
      <c r="M3300" s="42"/>
      <c r="N3300" s="42"/>
      <c r="O3300" s="42"/>
      <c r="P3300" s="9"/>
      <c r="Q3300" s="9"/>
      <c r="R3300" s="42"/>
      <c r="S3300" s="42"/>
      <c r="T3300" s="42"/>
      <c r="U3300" s="42"/>
      <c r="V3300" s="42"/>
      <c r="W3300" s="42"/>
    </row>
    <row r="3301">
      <c r="A3301" s="9"/>
      <c r="B3301" s="9"/>
      <c r="C3301" s="9"/>
      <c r="D3301" s="42"/>
      <c r="E3301" s="103"/>
      <c r="F3301" s="42"/>
      <c r="G3301" s="9"/>
      <c r="H3301" s="9"/>
      <c r="I3301" s="9"/>
      <c r="J3301" s="9"/>
      <c r="K3301" s="42"/>
      <c r="L3301" s="42"/>
      <c r="M3301" s="42"/>
      <c r="N3301" s="42"/>
      <c r="O3301" s="42"/>
      <c r="P3301" s="9"/>
      <c r="Q3301" s="9"/>
      <c r="R3301" s="42"/>
      <c r="S3301" s="42"/>
      <c r="T3301" s="42"/>
      <c r="U3301" s="42"/>
      <c r="V3301" s="42"/>
      <c r="W3301" s="42"/>
    </row>
    <row r="3302">
      <c r="A3302" s="9"/>
      <c r="B3302" s="9"/>
      <c r="C3302" s="9"/>
      <c r="D3302" s="42"/>
      <c r="E3302" s="103"/>
      <c r="F3302" s="42"/>
      <c r="G3302" s="9"/>
      <c r="H3302" s="9"/>
      <c r="I3302" s="9"/>
      <c r="J3302" s="9"/>
      <c r="K3302" s="42"/>
      <c r="L3302" s="42"/>
      <c r="M3302" s="42"/>
      <c r="N3302" s="42"/>
      <c r="O3302" s="42"/>
      <c r="P3302" s="9"/>
      <c r="Q3302" s="9"/>
      <c r="R3302" s="42"/>
      <c r="S3302" s="42"/>
      <c r="T3302" s="42"/>
      <c r="U3302" s="42"/>
      <c r="V3302" s="42"/>
      <c r="W3302" s="42"/>
    </row>
    <row r="3303">
      <c r="A3303" s="9"/>
      <c r="B3303" s="9"/>
      <c r="C3303" s="9"/>
      <c r="D3303" s="42"/>
      <c r="E3303" s="103"/>
      <c r="F3303" s="42"/>
      <c r="G3303" s="9"/>
      <c r="H3303" s="9"/>
      <c r="I3303" s="9"/>
      <c r="J3303" s="9"/>
      <c r="K3303" s="42"/>
      <c r="L3303" s="42"/>
      <c r="M3303" s="42"/>
      <c r="N3303" s="42"/>
      <c r="O3303" s="42"/>
      <c r="P3303" s="9"/>
      <c r="Q3303" s="9"/>
      <c r="R3303" s="42"/>
      <c r="S3303" s="42"/>
      <c r="T3303" s="42"/>
      <c r="U3303" s="42"/>
      <c r="V3303" s="42"/>
      <c r="W3303" s="42"/>
    </row>
    <row r="3304">
      <c r="A3304" s="9"/>
      <c r="B3304" s="9"/>
      <c r="C3304" s="9"/>
      <c r="D3304" s="42"/>
      <c r="E3304" s="103"/>
      <c r="F3304" s="42"/>
      <c r="G3304" s="9"/>
      <c r="H3304" s="9"/>
      <c r="I3304" s="9"/>
      <c r="J3304" s="9"/>
      <c r="K3304" s="42"/>
      <c r="L3304" s="42"/>
      <c r="M3304" s="42"/>
      <c r="N3304" s="42"/>
      <c r="O3304" s="42"/>
      <c r="P3304" s="9"/>
      <c r="Q3304" s="9"/>
      <c r="R3304" s="42"/>
      <c r="S3304" s="42"/>
      <c r="T3304" s="42"/>
      <c r="U3304" s="42"/>
      <c r="V3304" s="42"/>
      <c r="W3304" s="42"/>
    </row>
    <row r="3305">
      <c r="A3305" s="9"/>
      <c r="B3305" s="9"/>
      <c r="C3305" s="9"/>
      <c r="D3305" s="42"/>
      <c r="E3305" s="103"/>
      <c r="F3305" s="42"/>
      <c r="G3305" s="9"/>
      <c r="H3305" s="9"/>
      <c r="I3305" s="9"/>
      <c r="J3305" s="9"/>
      <c r="K3305" s="42"/>
      <c r="L3305" s="42"/>
      <c r="M3305" s="42"/>
      <c r="N3305" s="42"/>
      <c r="O3305" s="42"/>
      <c r="P3305" s="9"/>
      <c r="Q3305" s="9"/>
      <c r="R3305" s="42"/>
      <c r="S3305" s="42"/>
      <c r="T3305" s="42"/>
      <c r="U3305" s="42"/>
      <c r="V3305" s="42"/>
      <c r="W3305" s="42"/>
    </row>
    <row r="3306">
      <c r="A3306" s="9"/>
      <c r="B3306" s="9"/>
      <c r="C3306" s="9"/>
      <c r="D3306" s="42"/>
      <c r="E3306" s="103"/>
      <c r="F3306" s="42"/>
      <c r="G3306" s="9"/>
      <c r="H3306" s="9"/>
      <c r="I3306" s="9"/>
      <c r="J3306" s="9"/>
      <c r="K3306" s="42"/>
      <c r="L3306" s="42"/>
      <c r="M3306" s="42"/>
      <c r="N3306" s="42"/>
      <c r="O3306" s="42"/>
      <c r="P3306" s="9"/>
      <c r="Q3306" s="9"/>
      <c r="R3306" s="42"/>
      <c r="S3306" s="42"/>
      <c r="T3306" s="42"/>
      <c r="U3306" s="42"/>
      <c r="V3306" s="42"/>
      <c r="W3306" s="42"/>
    </row>
    <row r="3307">
      <c r="A3307" s="9"/>
      <c r="B3307" s="9"/>
      <c r="C3307" s="9"/>
      <c r="D3307" s="42"/>
      <c r="E3307" s="103"/>
      <c r="F3307" s="42"/>
      <c r="G3307" s="9"/>
      <c r="H3307" s="9"/>
      <c r="I3307" s="9"/>
      <c r="J3307" s="9"/>
      <c r="K3307" s="42"/>
      <c r="L3307" s="42"/>
      <c r="M3307" s="42"/>
      <c r="N3307" s="42"/>
      <c r="O3307" s="42"/>
      <c r="P3307" s="9"/>
      <c r="Q3307" s="9"/>
      <c r="R3307" s="42"/>
      <c r="S3307" s="42"/>
      <c r="T3307" s="42"/>
      <c r="U3307" s="42"/>
      <c r="V3307" s="42"/>
      <c r="W3307" s="42"/>
    </row>
    <row r="3308">
      <c r="A3308" s="9"/>
      <c r="B3308" s="9"/>
      <c r="C3308" s="9"/>
      <c r="D3308" s="42"/>
      <c r="E3308" s="103"/>
      <c r="F3308" s="42"/>
      <c r="G3308" s="9"/>
      <c r="H3308" s="9"/>
      <c r="I3308" s="9"/>
      <c r="J3308" s="9"/>
      <c r="K3308" s="42"/>
      <c r="L3308" s="42"/>
      <c r="M3308" s="42"/>
      <c r="N3308" s="42"/>
      <c r="O3308" s="42"/>
      <c r="P3308" s="9"/>
      <c r="Q3308" s="9"/>
      <c r="R3308" s="42"/>
      <c r="S3308" s="42"/>
      <c r="T3308" s="42"/>
      <c r="U3308" s="42"/>
      <c r="V3308" s="42"/>
      <c r="W3308" s="42"/>
    </row>
    <row r="3309">
      <c r="A3309" s="9"/>
      <c r="B3309" s="9"/>
      <c r="C3309" s="9"/>
      <c r="D3309" s="42"/>
      <c r="E3309" s="103"/>
      <c r="F3309" s="42"/>
      <c r="G3309" s="9"/>
      <c r="H3309" s="9"/>
      <c r="I3309" s="9"/>
      <c r="J3309" s="9"/>
      <c r="K3309" s="42"/>
      <c r="L3309" s="42"/>
      <c r="M3309" s="42"/>
      <c r="N3309" s="42"/>
      <c r="O3309" s="42"/>
      <c r="P3309" s="9"/>
      <c r="Q3309" s="9"/>
      <c r="R3309" s="42"/>
      <c r="S3309" s="42"/>
      <c r="T3309" s="42"/>
      <c r="U3309" s="42"/>
      <c r="V3309" s="42"/>
      <c r="W3309" s="42"/>
    </row>
    <row r="3310">
      <c r="A3310" s="9"/>
      <c r="B3310" s="9"/>
      <c r="C3310" s="9"/>
      <c r="D3310" s="42"/>
      <c r="E3310" s="103"/>
      <c r="F3310" s="42"/>
      <c r="G3310" s="9"/>
      <c r="H3310" s="9"/>
      <c r="I3310" s="9"/>
      <c r="J3310" s="9"/>
      <c r="K3310" s="42"/>
      <c r="L3310" s="42"/>
      <c r="M3310" s="42"/>
      <c r="N3310" s="42"/>
      <c r="O3310" s="42"/>
      <c r="P3310" s="9"/>
      <c r="Q3310" s="9"/>
      <c r="R3310" s="42"/>
      <c r="S3310" s="42"/>
      <c r="T3310" s="42"/>
      <c r="U3310" s="42"/>
      <c r="V3310" s="42"/>
      <c r="W3310" s="42"/>
    </row>
    <row r="3311">
      <c r="A3311" s="9"/>
      <c r="B3311" s="9"/>
      <c r="C3311" s="9"/>
      <c r="D3311" s="42"/>
      <c r="E3311" s="103"/>
      <c r="F3311" s="42"/>
      <c r="G3311" s="9"/>
      <c r="H3311" s="9"/>
      <c r="I3311" s="9"/>
      <c r="J3311" s="9"/>
      <c r="K3311" s="42"/>
      <c r="L3311" s="42"/>
      <c r="M3311" s="42"/>
      <c r="N3311" s="42"/>
      <c r="O3311" s="42"/>
      <c r="P3311" s="9"/>
      <c r="Q3311" s="9"/>
      <c r="R3311" s="42"/>
      <c r="S3311" s="42"/>
      <c r="T3311" s="42"/>
      <c r="U3311" s="42"/>
      <c r="V3311" s="42"/>
      <c r="W3311" s="42"/>
    </row>
    <row r="3312">
      <c r="A3312" s="9"/>
      <c r="B3312" s="9"/>
      <c r="C3312" s="9"/>
      <c r="D3312" s="42"/>
      <c r="E3312" s="103"/>
      <c r="F3312" s="42"/>
      <c r="G3312" s="9"/>
      <c r="H3312" s="9"/>
      <c r="I3312" s="9"/>
      <c r="J3312" s="9"/>
      <c r="K3312" s="42"/>
      <c r="L3312" s="42"/>
      <c r="M3312" s="42"/>
      <c r="N3312" s="42"/>
      <c r="O3312" s="42"/>
      <c r="P3312" s="9"/>
      <c r="Q3312" s="9"/>
      <c r="R3312" s="42"/>
      <c r="S3312" s="42"/>
      <c r="T3312" s="42"/>
      <c r="U3312" s="42"/>
      <c r="V3312" s="42"/>
      <c r="W3312" s="42"/>
    </row>
    <row r="3313">
      <c r="A3313" s="9"/>
      <c r="B3313" s="9"/>
      <c r="C3313" s="9"/>
      <c r="D3313" s="42"/>
      <c r="E3313" s="103"/>
      <c r="F3313" s="42"/>
      <c r="G3313" s="9"/>
      <c r="H3313" s="9"/>
      <c r="I3313" s="9"/>
      <c r="J3313" s="9"/>
      <c r="K3313" s="42"/>
      <c r="L3313" s="42"/>
      <c r="M3313" s="42"/>
      <c r="N3313" s="42"/>
      <c r="O3313" s="42"/>
      <c r="P3313" s="9"/>
      <c r="Q3313" s="9"/>
      <c r="R3313" s="42"/>
      <c r="S3313" s="42"/>
      <c r="T3313" s="42"/>
      <c r="U3313" s="42"/>
      <c r="V3313" s="42"/>
      <c r="W3313" s="42"/>
    </row>
    <row r="3314">
      <c r="A3314" s="9"/>
      <c r="B3314" s="9"/>
      <c r="C3314" s="9"/>
      <c r="D3314" s="42"/>
      <c r="E3314" s="103"/>
      <c r="F3314" s="42"/>
      <c r="G3314" s="9"/>
      <c r="H3314" s="9"/>
      <c r="I3314" s="9"/>
      <c r="J3314" s="9"/>
      <c r="K3314" s="42"/>
      <c r="L3314" s="42"/>
      <c r="M3314" s="42"/>
      <c r="N3314" s="42"/>
      <c r="O3314" s="42"/>
      <c r="P3314" s="9"/>
      <c r="Q3314" s="9"/>
      <c r="R3314" s="42"/>
      <c r="S3314" s="42"/>
      <c r="T3314" s="42"/>
      <c r="U3314" s="42"/>
      <c r="V3314" s="42"/>
      <c r="W3314" s="42"/>
    </row>
    <row r="3315">
      <c r="A3315" s="9"/>
      <c r="B3315" s="9"/>
      <c r="C3315" s="9"/>
      <c r="D3315" s="42"/>
      <c r="E3315" s="103"/>
      <c r="F3315" s="42"/>
      <c r="G3315" s="9"/>
      <c r="H3315" s="9"/>
      <c r="I3315" s="9"/>
      <c r="J3315" s="9"/>
      <c r="K3315" s="42"/>
      <c r="L3315" s="42"/>
      <c r="M3315" s="42"/>
      <c r="N3315" s="42"/>
      <c r="O3315" s="42"/>
      <c r="P3315" s="9"/>
      <c r="Q3315" s="9"/>
      <c r="R3315" s="42"/>
      <c r="S3315" s="42"/>
      <c r="T3315" s="42"/>
      <c r="U3315" s="42"/>
      <c r="V3315" s="42"/>
      <c r="W3315" s="42"/>
    </row>
    <row r="3316">
      <c r="A3316" s="9"/>
      <c r="B3316" s="9"/>
      <c r="C3316" s="9"/>
      <c r="D3316" s="42"/>
      <c r="E3316" s="103"/>
      <c r="F3316" s="42"/>
      <c r="G3316" s="9"/>
      <c r="H3316" s="9"/>
      <c r="I3316" s="9"/>
      <c r="J3316" s="9"/>
      <c r="K3316" s="42"/>
      <c r="L3316" s="42"/>
      <c r="M3316" s="42"/>
      <c r="N3316" s="42"/>
      <c r="O3316" s="42"/>
      <c r="P3316" s="9"/>
      <c r="Q3316" s="9"/>
      <c r="R3316" s="42"/>
      <c r="S3316" s="42"/>
      <c r="T3316" s="42"/>
      <c r="U3316" s="42"/>
      <c r="V3316" s="42"/>
      <c r="W3316" s="42"/>
    </row>
    <row r="3317">
      <c r="A3317" s="9"/>
      <c r="B3317" s="9"/>
      <c r="C3317" s="9"/>
      <c r="D3317" s="42"/>
      <c r="E3317" s="103"/>
      <c r="F3317" s="42"/>
      <c r="G3317" s="9"/>
      <c r="H3317" s="9"/>
      <c r="I3317" s="9"/>
      <c r="J3317" s="9"/>
      <c r="K3317" s="42"/>
      <c r="L3317" s="42"/>
      <c r="M3317" s="42"/>
      <c r="N3317" s="42"/>
      <c r="O3317" s="42"/>
      <c r="P3317" s="9"/>
      <c r="Q3317" s="9"/>
      <c r="R3317" s="42"/>
      <c r="S3317" s="42"/>
      <c r="T3317" s="42"/>
      <c r="U3317" s="42"/>
      <c r="V3317" s="42"/>
      <c r="W3317" s="42"/>
    </row>
    <row r="3318">
      <c r="A3318" s="9"/>
      <c r="B3318" s="9"/>
      <c r="C3318" s="9"/>
      <c r="D3318" s="42"/>
      <c r="E3318" s="103"/>
      <c r="F3318" s="42"/>
      <c r="G3318" s="9"/>
      <c r="H3318" s="9"/>
      <c r="I3318" s="9"/>
      <c r="J3318" s="9"/>
      <c r="K3318" s="42"/>
      <c r="L3318" s="42"/>
      <c r="M3318" s="42"/>
      <c r="N3318" s="42"/>
      <c r="O3318" s="42"/>
      <c r="P3318" s="9"/>
      <c r="Q3318" s="9"/>
      <c r="R3318" s="42"/>
      <c r="S3318" s="42"/>
      <c r="T3318" s="42"/>
      <c r="U3318" s="42"/>
      <c r="V3318" s="42"/>
      <c r="W3318" s="42"/>
    </row>
    <row r="3319">
      <c r="A3319" s="9"/>
      <c r="B3319" s="9"/>
      <c r="C3319" s="9"/>
      <c r="D3319" s="42"/>
      <c r="E3319" s="103"/>
      <c r="F3319" s="42"/>
      <c r="G3319" s="9"/>
      <c r="H3319" s="9"/>
      <c r="I3319" s="9"/>
      <c r="J3319" s="9"/>
      <c r="K3319" s="42"/>
      <c r="L3319" s="42"/>
      <c r="M3319" s="42"/>
      <c r="N3319" s="42"/>
      <c r="O3319" s="42"/>
      <c r="P3319" s="9"/>
      <c r="Q3319" s="9"/>
      <c r="R3319" s="42"/>
      <c r="S3319" s="42"/>
      <c r="T3319" s="42"/>
      <c r="U3319" s="42"/>
      <c r="V3319" s="42"/>
      <c r="W3319" s="42"/>
    </row>
    <row r="3320">
      <c r="A3320" s="9"/>
      <c r="B3320" s="9"/>
      <c r="C3320" s="9"/>
      <c r="D3320" s="42"/>
      <c r="E3320" s="103"/>
      <c r="F3320" s="42"/>
      <c r="G3320" s="9"/>
      <c r="H3320" s="9"/>
      <c r="I3320" s="9"/>
      <c r="J3320" s="9"/>
      <c r="K3320" s="42"/>
      <c r="L3320" s="42"/>
      <c r="M3320" s="42"/>
      <c r="N3320" s="42"/>
      <c r="O3320" s="42"/>
      <c r="P3320" s="9"/>
      <c r="Q3320" s="9"/>
      <c r="R3320" s="42"/>
      <c r="S3320" s="42"/>
      <c r="T3320" s="42"/>
      <c r="U3320" s="42"/>
      <c r="V3320" s="42"/>
      <c r="W3320" s="42"/>
    </row>
    <row r="3321">
      <c r="A3321" s="9"/>
      <c r="B3321" s="9"/>
      <c r="C3321" s="9"/>
      <c r="D3321" s="42"/>
      <c r="E3321" s="103"/>
      <c r="F3321" s="42"/>
      <c r="G3321" s="9"/>
      <c r="H3321" s="9"/>
      <c r="I3321" s="9"/>
      <c r="J3321" s="9"/>
      <c r="K3321" s="42"/>
      <c r="L3321" s="42"/>
      <c r="M3321" s="42"/>
      <c r="N3321" s="42"/>
      <c r="O3321" s="42"/>
      <c r="P3321" s="9"/>
      <c r="Q3321" s="9"/>
      <c r="R3321" s="42"/>
      <c r="S3321" s="42"/>
      <c r="T3321" s="42"/>
      <c r="U3321" s="42"/>
      <c r="V3321" s="42"/>
      <c r="W3321" s="42"/>
    </row>
    <row r="3322">
      <c r="A3322" s="9"/>
      <c r="B3322" s="9"/>
      <c r="C3322" s="9"/>
      <c r="D3322" s="42"/>
      <c r="E3322" s="103"/>
      <c r="F3322" s="42"/>
      <c r="G3322" s="9"/>
      <c r="H3322" s="9"/>
      <c r="I3322" s="9"/>
      <c r="J3322" s="9"/>
      <c r="K3322" s="42"/>
      <c r="L3322" s="42"/>
      <c r="M3322" s="42"/>
      <c r="N3322" s="42"/>
      <c r="O3322" s="42"/>
      <c r="P3322" s="9"/>
      <c r="Q3322" s="9"/>
      <c r="R3322" s="42"/>
      <c r="S3322" s="42"/>
      <c r="T3322" s="42"/>
      <c r="U3322" s="42"/>
      <c r="V3322" s="42"/>
      <c r="W3322" s="42"/>
    </row>
    <row r="3323">
      <c r="A3323" s="9"/>
      <c r="B3323" s="9"/>
      <c r="C3323" s="9"/>
      <c r="D3323" s="42"/>
      <c r="E3323" s="103"/>
      <c r="F3323" s="42"/>
      <c r="G3323" s="9"/>
      <c r="H3323" s="9"/>
      <c r="I3323" s="9"/>
      <c r="J3323" s="9"/>
      <c r="K3323" s="42"/>
      <c r="L3323" s="42"/>
      <c r="M3323" s="42"/>
      <c r="N3323" s="42"/>
      <c r="O3323" s="42"/>
      <c r="P3323" s="9"/>
      <c r="Q3323" s="9"/>
      <c r="R3323" s="42"/>
      <c r="S3323" s="42"/>
      <c r="T3323" s="42"/>
      <c r="U3323" s="42"/>
      <c r="V3323" s="42"/>
      <c r="W3323" s="42"/>
    </row>
    <row r="3324">
      <c r="A3324" s="9"/>
      <c r="B3324" s="9"/>
      <c r="C3324" s="9"/>
      <c r="D3324" s="42"/>
      <c r="E3324" s="103"/>
      <c r="F3324" s="42"/>
      <c r="G3324" s="9"/>
      <c r="H3324" s="9"/>
      <c r="I3324" s="9"/>
      <c r="J3324" s="9"/>
      <c r="K3324" s="42"/>
      <c r="L3324" s="42"/>
      <c r="M3324" s="42"/>
      <c r="N3324" s="42"/>
      <c r="O3324" s="42"/>
      <c r="P3324" s="9"/>
      <c r="Q3324" s="9"/>
      <c r="R3324" s="42"/>
      <c r="S3324" s="42"/>
      <c r="T3324" s="42"/>
      <c r="U3324" s="42"/>
      <c r="V3324" s="42"/>
      <c r="W3324" s="42"/>
    </row>
    <row r="3325">
      <c r="A3325" s="9"/>
      <c r="B3325" s="9"/>
      <c r="C3325" s="9"/>
      <c r="D3325" s="42"/>
      <c r="E3325" s="103"/>
      <c r="F3325" s="42"/>
      <c r="G3325" s="9"/>
      <c r="H3325" s="9"/>
      <c r="I3325" s="9"/>
      <c r="J3325" s="9"/>
      <c r="K3325" s="42"/>
      <c r="L3325" s="42"/>
      <c r="M3325" s="42"/>
      <c r="N3325" s="42"/>
      <c r="O3325" s="42"/>
      <c r="P3325" s="9"/>
      <c r="Q3325" s="9"/>
      <c r="R3325" s="42"/>
      <c r="S3325" s="42"/>
      <c r="T3325" s="42"/>
      <c r="U3325" s="42"/>
      <c r="V3325" s="42"/>
      <c r="W3325" s="42"/>
    </row>
    <row r="3326">
      <c r="A3326" s="9"/>
      <c r="B3326" s="9"/>
      <c r="C3326" s="9"/>
      <c r="D3326" s="42"/>
      <c r="E3326" s="103"/>
      <c r="F3326" s="42"/>
      <c r="G3326" s="9"/>
      <c r="H3326" s="9"/>
      <c r="I3326" s="9"/>
      <c r="J3326" s="9"/>
      <c r="K3326" s="42"/>
      <c r="L3326" s="42"/>
      <c r="M3326" s="42"/>
      <c r="N3326" s="42"/>
      <c r="O3326" s="42"/>
      <c r="P3326" s="9"/>
      <c r="Q3326" s="9"/>
      <c r="R3326" s="42"/>
      <c r="S3326" s="42"/>
      <c r="T3326" s="42"/>
      <c r="U3326" s="42"/>
      <c r="V3326" s="42"/>
      <c r="W3326" s="42"/>
    </row>
    <row r="3327">
      <c r="A3327" s="9"/>
      <c r="B3327" s="9"/>
      <c r="C3327" s="9"/>
      <c r="D3327" s="42"/>
      <c r="E3327" s="103"/>
      <c r="F3327" s="42"/>
      <c r="G3327" s="9"/>
      <c r="H3327" s="9"/>
      <c r="I3327" s="9"/>
      <c r="J3327" s="9"/>
      <c r="K3327" s="42"/>
      <c r="L3327" s="42"/>
      <c r="M3327" s="42"/>
      <c r="N3327" s="42"/>
      <c r="O3327" s="42"/>
      <c r="P3327" s="9"/>
      <c r="Q3327" s="9"/>
      <c r="R3327" s="42"/>
      <c r="S3327" s="42"/>
      <c r="T3327" s="42"/>
      <c r="U3327" s="42"/>
      <c r="V3327" s="42"/>
      <c r="W3327" s="42"/>
    </row>
    <row r="3328">
      <c r="A3328" s="9"/>
      <c r="B3328" s="9"/>
      <c r="C3328" s="9"/>
      <c r="D3328" s="42"/>
      <c r="E3328" s="103"/>
      <c r="F3328" s="42"/>
      <c r="G3328" s="9"/>
      <c r="H3328" s="9"/>
      <c r="I3328" s="9"/>
      <c r="J3328" s="9"/>
      <c r="K3328" s="42"/>
      <c r="L3328" s="42"/>
      <c r="M3328" s="42"/>
      <c r="N3328" s="42"/>
      <c r="O3328" s="42"/>
      <c r="P3328" s="9"/>
      <c r="Q3328" s="9"/>
      <c r="R3328" s="42"/>
      <c r="S3328" s="42"/>
      <c r="T3328" s="42"/>
      <c r="U3328" s="42"/>
      <c r="V3328" s="42"/>
      <c r="W3328" s="42"/>
    </row>
    <row r="3329">
      <c r="A3329" s="9"/>
      <c r="B3329" s="9"/>
      <c r="C3329" s="9"/>
      <c r="D3329" s="42"/>
      <c r="E3329" s="103"/>
      <c r="F3329" s="42"/>
      <c r="G3329" s="9"/>
      <c r="H3329" s="9"/>
      <c r="I3329" s="9"/>
      <c r="J3329" s="9"/>
      <c r="K3329" s="42"/>
      <c r="L3329" s="42"/>
      <c r="M3329" s="42"/>
      <c r="N3329" s="42"/>
      <c r="O3329" s="42"/>
      <c r="P3329" s="9"/>
      <c r="Q3329" s="9"/>
      <c r="R3329" s="42"/>
      <c r="S3329" s="42"/>
      <c r="T3329" s="42"/>
      <c r="U3329" s="42"/>
      <c r="V3329" s="42"/>
      <c r="W3329" s="42"/>
    </row>
    <row r="3330">
      <c r="A3330" s="9"/>
      <c r="B3330" s="9"/>
      <c r="C3330" s="9"/>
      <c r="D3330" s="42"/>
      <c r="E3330" s="103"/>
      <c r="F3330" s="42"/>
      <c r="G3330" s="9"/>
      <c r="H3330" s="9"/>
      <c r="I3330" s="9"/>
      <c r="J3330" s="9"/>
      <c r="K3330" s="42"/>
      <c r="L3330" s="42"/>
      <c r="M3330" s="42"/>
      <c r="N3330" s="42"/>
      <c r="O3330" s="42"/>
      <c r="P3330" s="9"/>
      <c r="Q3330" s="9"/>
      <c r="R3330" s="42"/>
      <c r="S3330" s="42"/>
      <c r="T3330" s="42"/>
      <c r="U3330" s="42"/>
      <c r="V3330" s="42"/>
      <c r="W3330" s="42"/>
    </row>
    <row r="3331">
      <c r="A3331" s="9"/>
      <c r="B3331" s="9"/>
      <c r="C3331" s="9"/>
      <c r="D3331" s="42"/>
      <c r="E3331" s="103"/>
      <c r="F3331" s="42"/>
      <c r="G3331" s="9"/>
      <c r="H3331" s="9"/>
      <c r="I3331" s="9"/>
      <c r="J3331" s="9"/>
      <c r="K3331" s="42"/>
      <c r="L3331" s="42"/>
      <c r="M3331" s="42"/>
      <c r="N3331" s="42"/>
      <c r="O3331" s="42"/>
      <c r="P3331" s="9"/>
      <c r="Q3331" s="9"/>
      <c r="R3331" s="42"/>
      <c r="S3331" s="42"/>
      <c r="T3331" s="42"/>
      <c r="U3331" s="42"/>
      <c r="V3331" s="42"/>
      <c r="W3331" s="42"/>
    </row>
    <row r="3332">
      <c r="A3332" s="9"/>
      <c r="B3332" s="9"/>
      <c r="C3332" s="9"/>
      <c r="D3332" s="42"/>
      <c r="E3332" s="103"/>
      <c r="F3332" s="42"/>
      <c r="G3332" s="9"/>
      <c r="H3332" s="9"/>
      <c r="I3332" s="9"/>
      <c r="J3332" s="9"/>
      <c r="K3332" s="42"/>
      <c r="L3332" s="42"/>
      <c r="M3332" s="42"/>
      <c r="N3332" s="42"/>
      <c r="O3332" s="42"/>
      <c r="P3332" s="9"/>
      <c r="Q3332" s="9"/>
      <c r="R3332" s="42"/>
      <c r="S3332" s="42"/>
      <c r="T3332" s="42"/>
      <c r="U3332" s="42"/>
      <c r="V3332" s="42"/>
      <c r="W3332" s="42"/>
    </row>
    <row r="3333">
      <c r="A3333" s="9"/>
      <c r="B3333" s="9"/>
      <c r="C3333" s="9"/>
      <c r="D3333" s="42"/>
      <c r="E3333" s="103"/>
      <c r="F3333" s="42"/>
      <c r="G3333" s="9"/>
      <c r="H3333" s="9"/>
      <c r="I3333" s="9"/>
      <c r="J3333" s="9"/>
      <c r="K3333" s="42"/>
      <c r="L3333" s="42"/>
      <c r="M3333" s="42"/>
      <c r="N3333" s="42"/>
      <c r="O3333" s="42"/>
      <c r="P3333" s="9"/>
      <c r="Q3333" s="9"/>
      <c r="R3333" s="42"/>
      <c r="S3333" s="42"/>
      <c r="T3333" s="42"/>
      <c r="U3333" s="42"/>
      <c r="V3333" s="42"/>
      <c r="W3333" s="42"/>
    </row>
    <row r="3334">
      <c r="A3334" s="9"/>
      <c r="B3334" s="9"/>
      <c r="C3334" s="9"/>
      <c r="D3334" s="42"/>
      <c r="E3334" s="103"/>
      <c r="F3334" s="42"/>
      <c r="G3334" s="9"/>
      <c r="H3334" s="9"/>
      <c r="I3334" s="9"/>
      <c r="J3334" s="9"/>
      <c r="K3334" s="42"/>
      <c r="L3334" s="42"/>
      <c r="M3334" s="42"/>
      <c r="N3334" s="42"/>
      <c r="O3334" s="42"/>
      <c r="P3334" s="9"/>
      <c r="Q3334" s="9"/>
      <c r="R3334" s="42"/>
      <c r="S3334" s="42"/>
      <c r="T3334" s="42"/>
      <c r="U3334" s="42"/>
      <c r="V3334" s="42"/>
      <c r="W3334" s="42"/>
    </row>
    <row r="3335">
      <c r="A3335" s="9"/>
      <c r="B3335" s="9"/>
      <c r="C3335" s="9"/>
      <c r="D3335" s="42"/>
      <c r="E3335" s="103"/>
      <c r="F3335" s="42"/>
      <c r="G3335" s="9"/>
      <c r="H3335" s="9"/>
      <c r="I3335" s="9"/>
      <c r="J3335" s="9"/>
      <c r="K3335" s="42"/>
      <c r="L3335" s="42"/>
      <c r="M3335" s="42"/>
      <c r="N3335" s="42"/>
      <c r="O3335" s="42"/>
      <c r="P3335" s="9"/>
      <c r="Q3335" s="9"/>
      <c r="R3335" s="42"/>
      <c r="S3335" s="42"/>
      <c r="T3335" s="42"/>
      <c r="U3335" s="42"/>
      <c r="V3335" s="42"/>
      <c r="W3335" s="42"/>
    </row>
    <row r="3336">
      <c r="A3336" s="9"/>
      <c r="B3336" s="9"/>
      <c r="C3336" s="9"/>
      <c r="D3336" s="42"/>
      <c r="E3336" s="103"/>
      <c r="F3336" s="42"/>
      <c r="G3336" s="9"/>
      <c r="H3336" s="9"/>
      <c r="I3336" s="9"/>
      <c r="J3336" s="9"/>
      <c r="K3336" s="42"/>
      <c r="L3336" s="42"/>
      <c r="M3336" s="42"/>
      <c r="N3336" s="42"/>
      <c r="O3336" s="42"/>
      <c r="P3336" s="9"/>
      <c r="Q3336" s="9"/>
      <c r="R3336" s="42"/>
      <c r="S3336" s="42"/>
      <c r="T3336" s="42"/>
      <c r="U3336" s="42"/>
      <c r="V3336" s="42"/>
      <c r="W3336" s="42"/>
    </row>
    <row r="3337">
      <c r="A3337" s="9"/>
      <c r="B3337" s="9"/>
      <c r="C3337" s="9"/>
      <c r="D3337" s="42"/>
      <c r="E3337" s="103"/>
      <c r="F3337" s="42"/>
      <c r="G3337" s="9"/>
      <c r="H3337" s="9"/>
      <c r="I3337" s="9"/>
      <c r="J3337" s="9"/>
      <c r="K3337" s="42"/>
      <c r="L3337" s="42"/>
      <c r="M3337" s="42"/>
      <c r="N3337" s="42"/>
      <c r="O3337" s="42"/>
      <c r="P3337" s="9"/>
      <c r="Q3337" s="9"/>
      <c r="R3337" s="42"/>
      <c r="S3337" s="42"/>
      <c r="T3337" s="42"/>
      <c r="U3337" s="42"/>
      <c r="V3337" s="42"/>
      <c r="W3337" s="42"/>
    </row>
    <row r="3338">
      <c r="A3338" s="9"/>
      <c r="B3338" s="9"/>
      <c r="C3338" s="9"/>
      <c r="D3338" s="42"/>
      <c r="E3338" s="103"/>
      <c r="F3338" s="42"/>
      <c r="G3338" s="9"/>
      <c r="H3338" s="9"/>
      <c r="I3338" s="9"/>
      <c r="J3338" s="9"/>
      <c r="K3338" s="42"/>
      <c r="L3338" s="42"/>
      <c r="M3338" s="42"/>
      <c r="N3338" s="42"/>
      <c r="O3338" s="42"/>
      <c r="P3338" s="9"/>
      <c r="Q3338" s="9"/>
      <c r="R3338" s="42"/>
      <c r="S3338" s="42"/>
      <c r="T3338" s="42"/>
      <c r="U3338" s="42"/>
      <c r="V3338" s="42"/>
      <c r="W3338" s="42"/>
    </row>
    <row r="3339">
      <c r="A3339" s="9"/>
      <c r="B3339" s="9"/>
      <c r="C3339" s="9"/>
      <c r="D3339" s="42"/>
      <c r="E3339" s="103"/>
      <c r="F3339" s="42"/>
      <c r="G3339" s="9"/>
      <c r="H3339" s="9"/>
      <c r="I3339" s="9"/>
      <c r="J3339" s="9"/>
      <c r="K3339" s="42"/>
      <c r="L3339" s="42"/>
      <c r="M3339" s="42"/>
      <c r="N3339" s="42"/>
      <c r="O3339" s="42"/>
      <c r="P3339" s="9"/>
      <c r="Q3339" s="9"/>
      <c r="R3339" s="42"/>
      <c r="S3339" s="42"/>
      <c r="T3339" s="42"/>
      <c r="U3339" s="42"/>
      <c r="V3339" s="42"/>
      <c r="W3339" s="42"/>
    </row>
    <row r="3340">
      <c r="A3340" s="9"/>
      <c r="B3340" s="9"/>
      <c r="C3340" s="9"/>
      <c r="D3340" s="42"/>
      <c r="E3340" s="103"/>
      <c r="F3340" s="42"/>
      <c r="G3340" s="9"/>
      <c r="H3340" s="9"/>
      <c r="I3340" s="9"/>
      <c r="J3340" s="9"/>
      <c r="K3340" s="42"/>
      <c r="L3340" s="42"/>
      <c r="M3340" s="42"/>
      <c r="N3340" s="42"/>
      <c r="O3340" s="42"/>
      <c r="P3340" s="9"/>
      <c r="Q3340" s="9"/>
      <c r="R3340" s="42"/>
      <c r="S3340" s="42"/>
      <c r="T3340" s="42"/>
      <c r="U3340" s="42"/>
      <c r="V3340" s="42"/>
      <c r="W3340" s="42"/>
    </row>
    <row r="3341">
      <c r="A3341" s="9"/>
      <c r="B3341" s="9"/>
      <c r="C3341" s="9"/>
      <c r="D3341" s="42"/>
      <c r="E3341" s="103"/>
      <c r="F3341" s="42"/>
      <c r="G3341" s="9"/>
      <c r="H3341" s="9"/>
      <c r="I3341" s="9"/>
      <c r="J3341" s="9"/>
      <c r="K3341" s="42"/>
      <c r="L3341" s="42"/>
      <c r="M3341" s="42"/>
      <c r="N3341" s="42"/>
      <c r="O3341" s="42"/>
      <c r="P3341" s="9"/>
      <c r="Q3341" s="9"/>
      <c r="R3341" s="42"/>
      <c r="S3341" s="42"/>
      <c r="T3341" s="42"/>
      <c r="U3341" s="42"/>
      <c r="V3341" s="42"/>
      <c r="W3341" s="42"/>
    </row>
    <row r="3342">
      <c r="A3342" s="9"/>
      <c r="B3342" s="9"/>
      <c r="C3342" s="9"/>
      <c r="D3342" s="42"/>
      <c r="E3342" s="103"/>
      <c r="F3342" s="42"/>
      <c r="G3342" s="9"/>
      <c r="H3342" s="9"/>
      <c r="I3342" s="9"/>
      <c r="J3342" s="9"/>
      <c r="K3342" s="42"/>
      <c r="L3342" s="42"/>
      <c r="M3342" s="42"/>
      <c r="N3342" s="42"/>
      <c r="O3342" s="42"/>
      <c r="P3342" s="9"/>
      <c r="Q3342" s="9"/>
      <c r="R3342" s="42"/>
      <c r="S3342" s="42"/>
      <c r="T3342" s="42"/>
      <c r="U3342" s="42"/>
      <c r="V3342" s="42"/>
      <c r="W3342" s="42"/>
    </row>
    <row r="3343">
      <c r="A3343" s="9"/>
      <c r="B3343" s="9"/>
      <c r="C3343" s="9"/>
      <c r="D3343" s="42"/>
      <c r="E3343" s="103"/>
      <c r="F3343" s="42"/>
      <c r="G3343" s="9"/>
      <c r="H3343" s="9"/>
      <c r="I3343" s="9"/>
      <c r="J3343" s="9"/>
      <c r="K3343" s="42"/>
      <c r="L3343" s="42"/>
      <c r="M3343" s="42"/>
      <c r="N3343" s="42"/>
      <c r="O3343" s="42"/>
      <c r="P3343" s="9"/>
      <c r="Q3343" s="9"/>
      <c r="R3343" s="42"/>
      <c r="S3343" s="42"/>
      <c r="T3343" s="42"/>
      <c r="U3343" s="42"/>
      <c r="V3343" s="42"/>
      <c r="W3343" s="42"/>
    </row>
    <row r="3344">
      <c r="A3344" s="9"/>
      <c r="B3344" s="9"/>
      <c r="C3344" s="9"/>
      <c r="D3344" s="42"/>
      <c r="E3344" s="103"/>
      <c r="F3344" s="42"/>
      <c r="G3344" s="9"/>
      <c r="H3344" s="9"/>
      <c r="I3344" s="9"/>
      <c r="J3344" s="9"/>
      <c r="K3344" s="42"/>
      <c r="L3344" s="42"/>
      <c r="M3344" s="42"/>
      <c r="N3344" s="42"/>
      <c r="O3344" s="42"/>
      <c r="P3344" s="9"/>
      <c r="Q3344" s="9"/>
      <c r="R3344" s="42"/>
      <c r="S3344" s="42"/>
      <c r="T3344" s="42"/>
      <c r="U3344" s="42"/>
      <c r="V3344" s="42"/>
      <c r="W3344" s="42"/>
    </row>
    <row r="3345">
      <c r="A3345" s="9"/>
      <c r="B3345" s="9"/>
      <c r="C3345" s="9"/>
      <c r="D3345" s="42"/>
      <c r="E3345" s="103"/>
      <c r="F3345" s="42"/>
      <c r="G3345" s="9"/>
      <c r="H3345" s="9"/>
      <c r="I3345" s="9"/>
      <c r="J3345" s="9"/>
      <c r="K3345" s="42"/>
      <c r="L3345" s="42"/>
      <c r="M3345" s="42"/>
      <c r="N3345" s="42"/>
      <c r="O3345" s="42"/>
      <c r="P3345" s="9"/>
      <c r="Q3345" s="9"/>
      <c r="R3345" s="42"/>
      <c r="S3345" s="42"/>
      <c r="T3345" s="42"/>
      <c r="U3345" s="42"/>
      <c r="V3345" s="42"/>
      <c r="W3345" s="42"/>
    </row>
    <row r="3346">
      <c r="A3346" s="9"/>
      <c r="B3346" s="9"/>
      <c r="C3346" s="9"/>
      <c r="D3346" s="42"/>
      <c r="E3346" s="103"/>
      <c r="F3346" s="42"/>
      <c r="G3346" s="9"/>
      <c r="H3346" s="9"/>
      <c r="I3346" s="9"/>
      <c r="J3346" s="9"/>
      <c r="K3346" s="42"/>
      <c r="L3346" s="42"/>
      <c r="M3346" s="42"/>
      <c r="N3346" s="42"/>
      <c r="O3346" s="42"/>
      <c r="P3346" s="9"/>
      <c r="Q3346" s="9"/>
      <c r="R3346" s="42"/>
      <c r="S3346" s="42"/>
      <c r="T3346" s="42"/>
      <c r="U3346" s="42"/>
      <c r="V3346" s="42"/>
      <c r="W3346" s="42"/>
    </row>
    <row r="3347">
      <c r="A3347" s="9"/>
      <c r="B3347" s="9"/>
      <c r="C3347" s="9"/>
      <c r="D3347" s="42"/>
      <c r="E3347" s="103"/>
      <c r="F3347" s="42"/>
      <c r="G3347" s="9"/>
      <c r="H3347" s="9"/>
      <c r="I3347" s="9"/>
      <c r="J3347" s="9"/>
      <c r="K3347" s="42"/>
      <c r="L3347" s="42"/>
      <c r="M3347" s="42"/>
      <c r="N3347" s="42"/>
      <c r="O3347" s="42"/>
      <c r="P3347" s="9"/>
      <c r="Q3347" s="9"/>
      <c r="R3347" s="42"/>
      <c r="S3347" s="42"/>
      <c r="T3347" s="42"/>
      <c r="U3347" s="42"/>
      <c r="V3347" s="42"/>
      <c r="W3347" s="42"/>
    </row>
    <row r="3348">
      <c r="A3348" s="9"/>
      <c r="B3348" s="9"/>
      <c r="C3348" s="9"/>
      <c r="D3348" s="42"/>
      <c r="E3348" s="103"/>
      <c r="F3348" s="42"/>
      <c r="G3348" s="9"/>
      <c r="H3348" s="9"/>
      <c r="I3348" s="9"/>
      <c r="J3348" s="9"/>
      <c r="K3348" s="42"/>
      <c r="L3348" s="42"/>
      <c r="M3348" s="42"/>
      <c r="N3348" s="42"/>
      <c r="O3348" s="42"/>
      <c r="P3348" s="9"/>
      <c r="Q3348" s="9"/>
      <c r="R3348" s="42"/>
      <c r="S3348" s="42"/>
      <c r="T3348" s="42"/>
      <c r="U3348" s="42"/>
      <c r="V3348" s="42"/>
      <c r="W3348" s="42"/>
    </row>
    <row r="3349">
      <c r="A3349" s="9"/>
      <c r="B3349" s="9"/>
      <c r="C3349" s="9"/>
      <c r="D3349" s="42"/>
      <c r="E3349" s="103"/>
      <c r="F3349" s="42"/>
      <c r="G3349" s="9"/>
      <c r="H3349" s="9"/>
      <c r="I3349" s="9"/>
      <c r="J3349" s="9"/>
      <c r="K3349" s="42"/>
      <c r="L3349" s="42"/>
      <c r="M3349" s="42"/>
      <c r="N3349" s="42"/>
      <c r="O3349" s="42"/>
      <c r="P3349" s="9"/>
      <c r="Q3349" s="9"/>
      <c r="R3349" s="42"/>
      <c r="S3349" s="42"/>
      <c r="T3349" s="42"/>
      <c r="U3349" s="42"/>
      <c r="V3349" s="42"/>
      <c r="W3349" s="42"/>
    </row>
    <row r="3350">
      <c r="A3350" s="9"/>
      <c r="B3350" s="9"/>
      <c r="C3350" s="9"/>
      <c r="D3350" s="42"/>
      <c r="E3350" s="103"/>
      <c r="F3350" s="42"/>
      <c r="G3350" s="9"/>
      <c r="H3350" s="9"/>
      <c r="I3350" s="9"/>
      <c r="J3350" s="9"/>
      <c r="K3350" s="42"/>
      <c r="L3350" s="42"/>
      <c r="M3350" s="42"/>
      <c r="N3350" s="42"/>
      <c r="O3350" s="42"/>
      <c r="P3350" s="9"/>
      <c r="Q3350" s="9"/>
      <c r="R3350" s="42"/>
      <c r="S3350" s="42"/>
      <c r="T3350" s="42"/>
      <c r="U3350" s="42"/>
      <c r="V3350" s="42"/>
      <c r="W3350" s="42"/>
    </row>
    <row r="3351">
      <c r="A3351" s="9"/>
      <c r="B3351" s="9"/>
      <c r="C3351" s="9"/>
      <c r="D3351" s="42"/>
      <c r="E3351" s="103"/>
      <c r="F3351" s="42"/>
      <c r="G3351" s="9"/>
      <c r="H3351" s="9"/>
      <c r="I3351" s="9"/>
      <c r="J3351" s="9"/>
      <c r="K3351" s="42"/>
      <c r="L3351" s="42"/>
      <c r="M3351" s="42"/>
      <c r="N3351" s="42"/>
      <c r="O3351" s="42"/>
      <c r="P3351" s="9"/>
      <c r="Q3351" s="9"/>
      <c r="R3351" s="42"/>
      <c r="S3351" s="42"/>
      <c r="T3351" s="42"/>
      <c r="U3351" s="42"/>
      <c r="V3351" s="42"/>
      <c r="W3351" s="42"/>
    </row>
    <row r="3352">
      <c r="A3352" s="9"/>
      <c r="B3352" s="9"/>
      <c r="C3352" s="9"/>
      <c r="D3352" s="42"/>
      <c r="E3352" s="103"/>
      <c r="F3352" s="42"/>
      <c r="G3352" s="9"/>
      <c r="H3352" s="9"/>
      <c r="I3352" s="9"/>
      <c r="J3352" s="9"/>
      <c r="K3352" s="42"/>
      <c r="L3352" s="42"/>
      <c r="M3352" s="42"/>
      <c r="N3352" s="42"/>
      <c r="O3352" s="42"/>
      <c r="P3352" s="9"/>
      <c r="Q3352" s="9"/>
      <c r="R3352" s="42"/>
      <c r="S3352" s="42"/>
      <c r="T3352" s="42"/>
      <c r="U3352" s="42"/>
      <c r="V3352" s="42"/>
      <c r="W3352" s="42"/>
    </row>
    <row r="3353">
      <c r="A3353" s="9"/>
      <c r="B3353" s="9"/>
      <c r="C3353" s="9"/>
      <c r="D3353" s="42"/>
      <c r="E3353" s="103"/>
      <c r="F3353" s="42"/>
      <c r="G3353" s="9"/>
      <c r="H3353" s="9"/>
      <c r="I3353" s="9"/>
      <c r="J3353" s="9"/>
      <c r="K3353" s="42"/>
      <c r="L3353" s="42"/>
      <c r="M3353" s="42"/>
      <c r="N3353" s="42"/>
      <c r="O3353" s="42"/>
      <c r="P3353" s="9"/>
      <c r="Q3353" s="9"/>
      <c r="R3353" s="42"/>
      <c r="S3353" s="42"/>
      <c r="T3353" s="42"/>
      <c r="U3353" s="42"/>
      <c r="V3353" s="42"/>
      <c r="W3353" s="42"/>
    </row>
    <row r="3354">
      <c r="A3354" s="9"/>
      <c r="B3354" s="9"/>
      <c r="C3354" s="9"/>
      <c r="D3354" s="42"/>
      <c r="E3354" s="103"/>
      <c r="F3354" s="42"/>
      <c r="G3354" s="9"/>
      <c r="H3354" s="9"/>
      <c r="I3354" s="9"/>
      <c r="J3354" s="9"/>
      <c r="K3354" s="42"/>
      <c r="L3354" s="42"/>
      <c r="M3354" s="42"/>
      <c r="N3354" s="42"/>
      <c r="O3354" s="42"/>
      <c r="P3354" s="9"/>
      <c r="Q3354" s="9"/>
      <c r="R3354" s="42"/>
      <c r="S3354" s="42"/>
      <c r="T3354" s="42"/>
      <c r="U3354" s="42"/>
      <c r="V3354" s="42"/>
      <c r="W3354" s="42"/>
    </row>
    <row r="3355">
      <c r="A3355" s="9"/>
      <c r="B3355" s="9"/>
      <c r="C3355" s="9"/>
      <c r="D3355" s="42"/>
      <c r="E3355" s="103"/>
      <c r="F3355" s="42"/>
      <c r="G3355" s="9"/>
      <c r="H3355" s="9"/>
      <c r="I3355" s="9"/>
      <c r="J3355" s="9"/>
      <c r="K3355" s="42"/>
      <c r="L3355" s="42"/>
      <c r="M3355" s="42"/>
      <c r="N3355" s="42"/>
      <c r="O3355" s="42"/>
      <c r="P3355" s="9"/>
      <c r="Q3355" s="9"/>
      <c r="R3355" s="42"/>
      <c r="S3355" s="42"/>
      <c r="T3355" s="42"/>
      <c r="U3355" s="42"/>
      <c r="V3355" s="42"/>
      <c r="W3355" s="42"/>
    </row>
    <row r="3356">
      <c r="A3356" s="9"/>
      <c r="B3356" s="9"/>
      <c r="C3356" s="9"/>
      <c r="D3356" s="42"/>
      <c r="E3356" s="103"/>
      <c r="F3356" s="42"/>
      <c r="G3356" s="9"/>
      <c r="H3356" s="9"/>
      <c r="I3356" s="9"/>
      <c r="J3356" s="9"/>
      <c r="K3356" s="42"/>
      <c r="L3356" s="42"/>
      <c r="M3356" s="42"/>
      <c r="N3356" s="42"/>
      <c r="O3356" s="42"/>
      <c r="P3356" s="9"/>
      <c r="Q3356" s="9"/>
      <c r="R3356" s="42"/>
      <c r="S3356" s="42"/>
      <c r="T3356" s="42"/>
      <c r="U3356" s="42"/>
      <c r="V3356" s="42"/>
      <c r="W3356" s="42"/>
    </row>
    <row r="3357">
      <c r="A3357" s="9"/>
      <c r="B3357" s="9"/>
      <c r="C3357" s="9"/>
      <c r="D3357" s="42"/>
      <c r="E3357" s="103"/>
      <c r="F3357" s="42"/>
      <c r="G3357" s="9"/>
      <c r="H3357" s="9"/>
      <c r="I3357" s="9"/>
      <c r="J3357" s="9"/>
      <c r="K3357" s="42"/>
      <c r="L3357" s="42"/>
      <c r="M3357" s="42"/>
      <c r="N3357" s="42"/>
      <c r="O3357" s="42"/>
      <c r="P3357" s="9"/>
      <c r="Q3357" s="9"/>
      <c r="R3357" s="42"/>
      <c r="S3357" s="42"/>
      <c r="T3357" s="42"/>
      <c r="U3357" s="42"/>
      <c r="V3357" s="42"/>
      <c r="W3357" s="42"/>
    </row>
    <row r="3358">
      <c r="A3358" s="9"/>
      <c r="B3358" s="9"/>
      <c r="C3358" s="9"/>
      <c r="D3358" s="42"/>
      <c r="E3358" s="103"/>
      <c r="F3358" s="42"/>
      <c r="G3358" s="9"/>
      <c r="H3358" s="9"/>
      <c r="I3358" s="9"/>
      <c r="J3358" s="9"/>
      <c r="K3358" s="42"/>
      <c r="L3358" s="42"/>
      <c r="M3358" s="42"/>
      <c r="N3358" s="42"/>
      <c r="O3358" s="42"/>
      <c r="P3358" s="9"/>
      <c r="Q3358" s="9"/>
      <c r="R3358" s="42"/>
      <c r="S3358" s="42"/>
      <c r="T3358" s="42"/>
      <c r="U3358" s="42"/>
      <c r="V3358" s="42"/>
      <c r="W3358" s="42"/>
    </row>
    <row r="3359">
      <c r="A3359" s="9"/>
      <c r="B3359" s="9"/>
      <c r="C3359" s="9"/>
      <c r="D3359" s="42"/>
      <c r="E3359" s="103"/>
      <c r="F3359" s="42"/>
      <c r="G3359" s="9"/>
      <c r="H3359" s="9"/>
      <c r="I3359" s="9"/>
      <c r="J3359" s="9"/>
      <c r="K3359" s="42"/>
      <c r="L3359" s="42"/>
      <c r="M3359" s="42"/>
      <c r="N3359" s="42"/>
      <c r="O3359" s="42"/>
      <c r="P3359" s="9"/>
      <c r="Q3359" s="9"/>
      <c r="R3359" s="42"/>
      <c r="S3359" s="42"/>
      <c r="T3359" s="42"/>
      <c r="U3359" s="42"/>
      <c r="V3359" s="42"/>
      <c r="W3359" s="42"/>
    </row>
    <row r="3360">
      <c r="A3360" s="9"/>
      <c r="B3360" s="9"/>
      <c r="C3360" s="9"/>
      <c r="D3360" s="42"/>
      <c r="E3360" s="103"/>
      <c r="F3360" s="42"/>
      <c r="G3360" s="9"/>
      <c r="H3360" s="9"/>
      <c r="I3360" s="9"/>
      <c r="J3360" s="9"/>
      <c r="K3360" s="42"/>
      <c r="L3360" s="42"/>
      <c r="M3360" s="42"/>
      <c r="N3360" s="42"/>
      <c r="O3360" s="42"/>
      <c r="P3360" s="9"/>
      <c r="Q3360" s="9"/>
      <c r="R3360" s="42"/>
      <c r="S3360" s="42"/>
      <c r="T3360" s="42"/>
      <c r="U3360" s="42"/>
      <c r="V3360" s="42"/>
      <c r="W3360" s="42"/>
    </row>
    <row r="3361">
      <c r="A3361" s="9"/>
      <c r="B3361" s="9"/>
      <c r="C3361" s="9"/>
      <c r="D3361" s="42"/>
      <c r="E3361" s="103"/>
      <c r="F3361" s="42"/>
      <c r="G3361" s="9"/>
      <c r="H3361" s="9"/>
      <c r="I3361" s="9"/>
      <c r="J3361" s="9"/>
      <c r="K3361" s="42"/>
      <c r="L3361" s="42"/>
      <c r="M3361" s="42"/>
      <c r="N3361" s="42"/>
      <c r="O3361" s="42"/>
      <c r="P3361" s="9"/>
      <c r="Q3361" s="9"/>
      <c r="R3361" s="42"/>
      <c r="S3361" s="42"/>
      <c r="T3361" s="42"/>
      <c r="U3361" s="42"/>
      <c r="V3361" s="42"/>
      <c r="W3361" s="42"/>
    </row>
    <row r="3362">
      <c r="A3362" s="9"/>
      <c r="B3362" s="9"/>
      <c r="C3362" s="9"/>
      <c r="D3362" s="42"/>
      <c r="E3362" s="103"/>
      <c r="F3362" s="42"/>
      <c r="G3362" s="9"/>
      <c r="H3362" s="9"/>
      <c r="I3362" s="9"/>
      <c r="J3362" s="9"/>
      <c r="K3362" s="42"/>
      <c r="L3362" s="42"/>
      <c r="M3362" s="42"/>
      <c r="N3362" s="42"/>
      <c r="O3362" s="42"/>
      <c r="P3362" s="9"/>
      <c r="Q3362" s="9"/>
      <c r="R3362" s="42"/>
      <c r="S3362" s="42"/>
      <c r="T3362" s="42"/>
      <c r="U3362" s="42"/>
      <c r="V3362" s="42"/>
      <c r="W3362" s="42"/>
    </row>
    <row r="3363">
      <c r="A3363" s="9"/>
      <c r="B3363" s="9"/>
      <c r="C3363" s="9"/>
      <c r="D3363" s="42"/>
      <c r="E3363" s="103"/>
      <c r="F3363" s="42"/>
      <c r="G3363" s="9"/>
      <c r="H3363" s="9"/>
      <c r="I3363" s="9"/>
      <c r="J3363" s="9"/>
      <c r="K3363" s="42"/>
      <c r="L3363" s="42"/>
      <c r="M3363" s="42"/>
      <c r="N3363" s="42"/>
      <c r="O3363" s="42"/>
      <c r="P3363" s="9"/>
      <c r="Q3363" s="9"/>
      <c r="R3363" s="42"/>
      <c r="S3363" s="42"/>
      <c r="T3363" s="42"/>
      <c r="U3363" s="42"/>
      <c r="V3363" s="42"/>
      <c r="W3363" s="42"/>
    </row>
    <row r="3364">
      <c r="A3364" s="9"/>
      <c r="B3364" s="9"/>
      <c r="C3364" s="9"/>
      <c r="D3364" s="42"/>
      <c r="E3364" s="103"/>
      <c r="F3364" s="42"/>
      <c r="G3364" s="9"/>
      <c r="H3364" s="9"/>
      <c r="I3364" s="9"/>
      <c r="J3364" s="9"/>
      <c r="K3364" s="42"/>
      <c r="L3364" s="42"/>
      <c r="M3364" s="42"/>
      <c r="N3364" s="42"/>
      <c r="O3364" s="42"/>
      <c r="P3364" s="9"/>
      <c r="Q3364" s="9"/>
      <c r="R3364" s="42"/>
      <c r="S3364" s="42"/>
      <c r="T3364" s="42"/>
      <c r="U3364" s="42"/>
      <c r="V3364" s="42"/>
      <c r="W3364" s="42"/>
    </row>
    <row r="3365">
      <c r="A3365" s="9"/>
      <c r="B3365" s="9"/>
      <c r="C3365" s="9"/>
      <c r="D3365" s="42"/>
      <c r="E3365" s="103"/>
      <c r="F3365" s="42"/>
      <c r="G3365" s="9"/>
      <c r="H3365" s="9"/>
      <c r="I3365" s="9"/>
      <c r="J3365" s="9"/>
      <c r="K3365" s="42"/>
      <c r="L3365" s="42"/>
      <c r="M3365" s="42"/>
      <c r="N3365" s="42"/>
      <c r="O3365" s="42"/>
      <c r="P3365" s="9"/>
      <c r="Q3365" s="9"/>
      <c r="R3365" s="42"/>
      <c r="S3365" s="42"/>
      <c r="T3365" s="42"/>
      <c r="U3365" s="42"/>
      <c r="V3365" s="42"/>
      <c r="W3365" s="42"/>
    </row>
    <row r="3366">
      <c r="A3366" s="9"/>
      <c r="B3366" s="9"/>
      <c r="C3366" s="9"/>
      <c r="D3366" s="42"/>
      <c r="E3366" s="103"/>
      <c r="F3366" s="42"/>
      <c r="G3366" s="9"/>
      <c r="H3366" s="9"/>
      <c r="I3366" s="9"/>
      <c r="J3366" s="9"/>
      <c r="K3366" s="42"/>
      <c r="L3366" s="42"/>
      <c r="M3366" s="42"/>
      <c r="N3366" s="42"/>
      <c r="O3366" s="42"/>
      <c r="P3366" s="9"/>
      <c r="Q3366" s="9"/>
      <c r="R3366" s="42"/>
      <c r="S3366" s="42"/>
      <c r="T3366" s="42"/>
      <c r="U3366" s="42"/>
      <c r="V3366" s="42"/>
      <c r="W3366" s="42"/>
    </row>
    <row r="3367">
      <c r="A3367" s="9"/>
      <c r="B3367" s="9"/>
      <c r="C3367" s="9"/>
      <c r="D3367" s="42"/>
      <c r="E3367" s="103"/>
      <c r="F3367" s="42"/>
      <c r="G3367" s="9"/>
      <c r="H3367" s="9"/>
      <c r="I3367" s="9"/>
      <c r="J3367" s="9"/>
      <c r="K3367" s="42"/>
      <c r="L3367" s="42"/>
      <c r="M3367" s="42"/>
      <c r="N3367" s="42"/>
      <c r="O3367" s="42"/>
      <c r="P3367" s="9"/>
      <c r="Q3367" s="9"/>
      <c r="R3367" s="42"/>
      <c r="S3367" s="42"/>
      <c r="T3367" s="42"/>
      <c r="U3367" s="42"/>
      <c r="V3367" s="42"/>
      <c r="W3367" s="42"/>
    </row>
    <row r="3368">
      <c r="A3368" s="9"/>
      <c r="B3368" s="9"/>
      <c r="C3368" s="9"/>
      <c r="D3368" s="42"/>
      <c r="E3368" s="103"/>
      <c r="F3368" s="42"/>
      <c r="G3368" s="9"/>
      <c r="H3368" s="9"/>
      <c r="I3368" s="9"/>
      <c r="J3368" s="9"/>
      <c r="K3368" s="42"/>
      <c r="L3368" s="42"/>
      <c r="M3368" s="42"/>
      <c r="N3368" s="42"/>
      <c r="O3368" s="42"/>
      <c r="P3368" s="9"/>
      <c r="Q3368" s="9"/>
      <c r="R3368" s="42"/>
      <c r="S3368" s="42"/>
      <c r="T3368" s="42"/>
      <c r="U3368" s="42"/>
      <c r="V3368" s="42"/>
      <c r="W3368" s="42"/>
    </row>
    <row r="3369">
      <c r="A3369" s="9"/>
      <c r="B3369" s="9"/>
      <c r="C3369" s="9"/>
      <c r="D3369" s="42"/>
      <c r="E3369" s="103"/>
      <c r="F3369" s="42"/>
      <c r="G3369" s="9"/>
      <c r="H3369" s="9"/>
      <c r="I3369" s="9"/>
      <c r="J3369" s="9"/>
      <c r="K3369" s="42"/>
      <c r="L3369" s="42"/>
      <c r="M3369" s="42"/>
      <c r="N3369" s="42"/>
      <c r="O3369" s="42"/>
      <c r="P3369" s="9"/>
      <c r="Q3369" s="9"/>
      <c r="R3369" s="42"/>
      <c r="S3369" s="42"/>
      <c r="T3369" s="42"/>
      <c r="U3369" s="42"/>
      <c r="V3369" s="42"/>
      <c r="W3369" s="42"/>
    </row>
    <row r="3370">
      <c r="A3370" s="9"/>
      <c r="B3370" s="9"/>
      <c r="C3370" s="9"/>
      <c r="D3370" s="42"/>
      <c r="E3370" s="103"/>
      <c r="F3370" s="42"/>
      <c r="G3370" s="9"/>
      <c r="H3370" s="9"/>
      <c r="I3370" s="9"/>
      <c r="J3370" s="9"/>
      <c r="K3370" s="42"/>
      <c r="L3370" s="42"/>
      <c r="M3370" s="42"/>
      <c r="N3370" s="42"/>
      <c r="O3370" s="42"/>
      <c r="P3370" s="9"/>
      <c r="Q3370" s="9"/>
      <c r="R3370" s="42"/>
      <c r="S3370" s="42"/>
      <c r="T3370" s="42"/>
      <c r="U3370" s="42"/>
      <c r="V3370" s="42"/>
      <c r="W3370" s="42"/>
    </row>
    <row r="3371">
      <c r="A3371" s="9"/>
      <c r="B3371" s="9"/>
      <c r="C3371" s="9"/>
      <c r="D3371" s="42"/>
      <c r="E3371" s="103"/>
      <c r="F3371" s="42"/>
      <c r="G3371" s="9"/>
      <c r="H3371" s="9"/>
      <c r="I3371" s="9"/>
      <c r="J3371" s="9"/>
      <c r="K3371" s="42"/>
      <c r="L3371" s="42"/>
      <c r="M3371" s="42"/>
      <c r="N3371" s="42"/>
      <c r="O3371" s="42"/>
      <c r="P3371" s="9"/>
      <c r="Q3371" s="9"/>
      <c r="R3371" s="42"/>
      <c r="S3371" s="42"/>
      <c r="T3371" s="42"/>
      <c r="U3371" s="42"/>
      <c r="V3371" s="42"/>
      <c r="W3371" s="42"/>
    </row>
    <row r="3372">
      <c r="A3372" s="9"/>
      <c r="B3372" s="9"/>
      <c r="C3372" s="9"/>
      <c r="D3372" s="42"/>
      <c r="E3372" s="103"/>
      <c r="F3372" s="42"/>
      <c r="G3372" s="9"/>
      <c r="H3372" s="9"/>
      <c r="I3372" s="9"/>
      <c r="J3372" s="9"/>
      <c r="K3372" s="42"/>
      <c r="L3372" s="42"/>
      <c r="M3372" s="42"/>
      <c r="N3372" s="42"/>
      <c r="O3372" s="42"/>
      <c r="P3372" s="9"/>
      <c r="Q3372" s="9"/>
      <c r="R3372" s="42"/>
      <c r="S3372" s="42"/>
      <c r="T3372" s="42"/>
      <c r="U3372" s="42"/>
      <c r="V3372" s="42"/>
      <c r="W3372" s="42"/>
    </row>
    <row r="3373">
      <c r="A3373" s="9"/>
      <c r="B3373" s="9"/>
      <c r="C3373" s="9"/>
      <c r="D3373" s="42"/>
      <c r="E3373" s="103"/>
      <c r="F3373" s="42"/>
      <c r="G3373" s="9"/>
      <c r="H3373" s="9"/>
      <c r="I3373" s="9"/>
      <c r="J3373" s="9"/>
      <c r="K3373" s="42"/>
      <c r="L3373" s="42"/>
      <c r="M3373" s="42"/>
      <c r="N3373" s="42"/>
      <c r="O3373" s="42"/>
      <c r="P3373" s="9"/>
      <c r="Q3373" s="9"/>
      <c r="R3373" s="42"/>
      <c r="S3373" s="42"/>
      <c r="T3373" s="42"/>
      <c r="U3373" s="42"/>
      <c r="V3373" s="42"/>
      <c r="W3373" s="42"/>
    </row>
    <row r="3374">
      <c r="A3374" s="9"/>
      <c r="B3374" s="9"/>
      <c r="C3374" s="9"/>
      <c r="D3374" s="42"/>
      <c r="E3374" s="103"/>
      <c r="F3374" s="42"/>
      <c r="G3374" s="9"/>
      <c r="H3374" s="9"/>
      <c r="I3374" s="9"/>
      <c r="J3374" s="9"/>
      <c r="K3374" s="42"/>
      <c r="L3374" s="42"/>
      <c r="M3374" s="42"/>
      <c r="N3374" s="42"/>
      <c r="O3374" s="42"/>
      <c r="P3374" s="9"/>
      <c r="Q3374" s="9"/>
      <c r="R3374" s="42"/>
      <c r="S3374" s="42"/>
      <c r="T3374" s="42"/>
      <c r="U3374" s="42"/>
      <c r="V3374" s="42"/>
      <c r="W3374" s="42"/>
    </row>
    <row r="3375">
      <c r="A3375" s="9"/>
      <c r="B3375" s="9"/>
      <c r="C3375" s="9"/>
      <c r="D3375" s="42"/>
      <c r="E3375" s="103"/>
      <c r="F3375" s="42"/>
      <c r="G3375" s="9"/>
      <c r="H3375" s="9"/>
      <c r="I3375" s="9"/>
      <c r="J3375" s="9"/>
      <c r="K3375" s="42"/>
      <c r="L3375" s="42"/>
      <c r="M3375" s="42"/>
      <c r="N3375" s="42"/>
      <c r="O3375" s="42"/>
      <c r="P3375" s="9"/>
      <c r="Q3375" s="9"/>
      <c r="R3375" s="42"/>
      <c r="S3375" s="42"/>
      <c r="T3375" s="42"/>
      <c r="U3375" s="42"/>
      <c r="V3375" s="42"/>
      <c r="W3375" s="42"/>
    </row>
    <row r="3376">
      <c r="A3376" s="9"/>
      <c r="B3376" s="9"/>
      <c r="C3376" s="9"/>
      <c r="D3376" s="42"/>
      <c r="E3376" s="103"/>
      <c r="F3376" s="42"/>
      <c r="G3376" s="9"/>
      <c r="H3376" s="9"/>
      <c r="I3376" s="9"/>
      <c r="J3376" s="9"/>
      <c r="K3376" s="42"/>
      <c r="L3376" s="42"/>
      <c r="M3376" s="42"/>
      <c r="N3376" s="42"/>
      <c r="O3376" s="42"/>
      <c r="P3376" s="9"/>
      <c r="Q3376" s="9"/>
      <c r="R3376" s="42"/>
      <c r="S3376" s="42"/>
      <c r="T3376" s="42"/>
      <c r="U3376" s="42"/>
      <c r="V3376" s="42"/>
      <c r="W3376" s="42"/>
    </row>
    <row r="3377">
      <c r="A3377" s="9"/>
      <c r="B3377" s="9"/>
      <c r="C3377" s="9"/>
      <c r="D3377" s="42"/>
      <c r="E3377" s="103"/>
      <c r="F3377" s="42"/>
      <c r="G3377" s="9"/>
      <c r="H3377" s="9"/>
      <c r="I3377" s="9"/>
      <c r="J3377" s="9"/>
      <c r="K3377" s="42"/>
      <c r="L3377" s="42"/>
      <c r="M3377" s="42"/>
      <c r="N3377" s="42"/>
      <c r="O3377" s="42"/>
      <c r="P3377" s="9"/>
      <c r="Q3377" s="9"/>
      <c r="R3377" s="42"/>
      <c r="S3377" s="42"/>
      <c r="T3377" s="42"/>
      <c r="U3377" s="42"/>
      <c r="V3377" s="42"/>
      <c r="W3377" s="42"/>
    </row>
    <row r="3378">
      <c r="A3378" s="9"/>
      <c r="B3378" s="9"/>
      <c r="C3378" s="9"/>
      <c r="D3378" s="42"/>
      <c r="E3378" s="103"/>
      <c r="F3378" s="42"/>
      <c r="G3378" s="9"/>
      <c r="H3378" s="9"/>
      <c r="I3378" s="9"/>
      <c r="J3378" s="9"/>
      <c r="K3378" s="42"/>
      <c r="L3378" s="42"/>
      <c r="M3378" s="42"/>
      <c r="N3378" s="42"/>
      <c r="O3378" s="42"/>
      <c r="P3378" s="9"/>
      <c r="Q3378" s="9"/>
      <c r="R3378" s="42"/>
      <c r="S3378" s="42"/>
      <c r="T3378" s="42"/>
      <c r="U3378" s="42"/>
      <c r="V3378" s="42"/>
      <c r="W3378" s="42"/>
    </row>
    <row r="3379">
      <c r="A3379" s="9"/>
      <c r="B3379" s="9"/>
      <c r="C3379" s="9"/>
      <c r="D3379" s="42"/>
      <c r="E3379" s="103"/>
      <c r="F3379" s="42"/>
      <c r="G3379" s="9"/>
      <c r="H3379" s="9"/>
      <c r="I3379" s="9"/>
      <c r="J3379" s="9"/>
      <c r="K3379" s="42"/>
      <c r="L3379" s="42"/>
      <c r="M3379" s="42"/>
      <c r="N3379" s="42"/>
      <c r="O3379" s="42"/>
      <c r="P3379" s="9"/>
      <c r="Q3379" s="9"/>
      <c r="R3379" s="42"/>
      <c r="S3379" s="42"/>
      <c r="T3379" s="42"/>
      <c r="U3379" s="42"/>
      <c r="V3379" s="42"/>
      <c r="W3379" s="42"/>
    </row>
    <row r="3380">
      <c r="A3380" s="9"/>
      <c r="B3380" s="9"/>
      <c r="C3380" s="9"/>
      <c r="D3380" s="42"/>
      <c r="E3380" s="103"/>
      <c r="F3380" s="42"/>
      <c r="G3380" s="9"/>
      <c r="H3380" s="9"/>
      <c r="I3380" s="9"/>
      <c r="J3380" s="9"/>
      <c r="K3380" s="42"/>
      <c r="L3380" s="42"/>
      <c r="M3380" s="42"/>
      <c r="N3380" s="42"/>
      <c r="O3380" s="42"/>
      <c r="P3380" s="9"/>
      <c r="Q3380" s="9"/>
      <c r="R3380" s="42"/>
      <c r="S3380" s="42"/>
      <c r="T3380" s="42"/>
      <c r="U3380" s="42"/>
      <c r="V3380" s="42"/>
      <c r="W3380" s="42"/>
    </row>
    <row r="3381">
      <c r="A3381" s="9"/>
      <c r="B3381" s="9"/>
      <c r="C3381" s="9"/>
      <c r="D3381" s="42"/>
      <c r="E3381" s="103"/>
      <c r="F3381" s="42"/>
      <c r="G3381" s="9"/>
      <c r="H3381" s="9"/>
      <c r="I3381" s="9"/>
      <c r="J3381" s="9"/>
      <c r="K3381" s="42"/>
      <c r="L3381" s="42"/>
      <c r="M3381" s="42"/>
      <c r="N3381" s="42"/>
      <c r="O3381" s="42"/>
      <c r="P3381" s="9"/>
      <c r="Q3381" s="9"/>
      <c r="R3381" s="42"/>
      <c r="S3381" s="42"/>
      <c r="T3381" s="42"/>
      <c r="U3381" s="42"/>
      <c r="V3381" s="42"/>
      <c r="W3381" s="42"/>
    </row>
    <row r="3382">
      <c r="A3382" s="9"/>
      <c r="B3382" s="9"/>
      <c r="C3382" s="9"/>
      <c r="D3382" s="42"/>
      <c r="E3382" s="103"/>
      <c r="F3382" s="42"/>
      <c r="G3382" s="9"/>
      <c r="H3382" s="9"/>
      <c r="I3382" s="9"/>
      <c r="J3382" s="9"/>
      <c r="K3382" s="42"/>
      <c r="L3382" s="42"/>
      <c r="M3382" s="42"/>
      <c r="N3382" s="42"/>
      <c r="O3382" s="42"/>
      <c r="P3382" s="9"/>
      <c r="Q3382" s="9"/>
      <c r="R3382" s="42"/>
      <c r="S3382" s="42"/>
      <c r="T3382" s="42"/>
      <c r="U3382" s="42"/>
      <c r="V3382" s="42"/>
      <c r="W3382" s="42"/>
    </row>
    <row r="3383">
      <c r="A3383" s="9"/>
      <c r="B3383" s="9"/>
      <c r="C3383" s="9"/>
      <c r="D3383" s="42"/>
      <c r="E3383" s="103"/>
      <c r="F3383" s="42"/>
      <c r="G3383" s="9"/>
      <c r="H3383" s="9"/>
      <c r="I3383" s="9"/>
      <c r="J3383" s="9"/>
      <c r="K3383" s="42"/>
      <c r="L3383" s="42"/>
      <c r="M3383" s="42"/>
      <c r="N3383" s="42"/>
      <c r="O3383" s="42"/>
      <c r="P3383" s="9"/>
      <c r="Q3383" s="9"/>
      <c r="R3383" s="42"/>
      <c r="S3383" s="42"/>
      <c r="T3383" s="42"/>
      <c r="U3383" s="42"/>
      <c r="V3383" s="42"/>
      <c r="W3383" s="42"/>
    </row>
    <row r="3384">
      <c r="A3384" s="9"/>
      <c r="B3384" s="9"/>
      <c r="C3384" s="9"/>
      <c r="D3384" s="42"/>
      <c r="E3384" s="103"/>
      <c r="F3384" s="42"/>
      <c r="G3384" s="9"/>
      <c r="H3384" s="9"/>
      <c r="I3384" s="9"/>
      <c r="J3384" s="9"/>
      <c r="K3384" s="42"/>
      <c r="L3384" s="42"/>
      <c r="M3384" s="42"/>
      <c r="N3384" s="42"/>
      <c r="O3384" s="42"/>
      <c r="P3384" s="9"/>
      <c r="Q3384" s="9"/>
      <c r="R3384" s="42"/>
      <c r="S3384" s="42"/>
      <c r="T3384" s="42"/>
      <c r="U3384" s="42"/>
      <c r="V3384" s="42"/>
      <c r="W3384" s="42"/>
    </row>
    <row r="3385">
      <c r="A3385" s="9"/>
      <c r="B3385" s="9"/>
      <c r="C3385" s="9"/>
      <c r="D3385" s="42"/>
      <c r="E3385" s="103"/>
      <c r="F3385" s="42"/>
      <c r="G3385" s="9"/>
      <c r="H3385" s="9"/>
      <c r="I3385" s="9"/>
      <c r="J3385" s="9"/>
      <c r="K3385" s="42"/>
      <c r="L3385" s="42"/>
      <c r="M3385" s="42"/>
      <c r="N3385" s="42"/>
      <c r="O3385" s="42"/>
      <c r="P3385" s="9"/>
      <c r="Q3385" s="9"/>
      <c r="R3385" s="42"/>
      <c r="S3385" s="42"/>
      <c r="T3385" s="42"/>
      <c r="U3385" s="42"/>
      <c r="V3385" s="42"/>
      <c r="W3385" s="42"/>
    </row>
    <row r="3386">
      <c r="A3386" s="9"/>
      <c r="B3386" s="9"/>
      <c r="C3386" s="9"/>
      <c r="D3386" s="42"/>
      <c r="E3386" s="103"/>
      <c r="F3386" s="42"/>
      <c r="G3386" s="9"/>
      <c r="H3386" s="9"/>
      <c r="I3386" s="9"/>
      <c r="J3386" s="9"/>
      <c r="K3386" s="42"/>
      <c r="L3386" s="42"/>
      <c r="M3386" s="42"/>
      <c r="N3386" s="42"/>
      <c r="O3386" s="42"/>
      <c r="P3386" s="9"/>
      <c r="Q3386" s="9"/>
      <c r="R3386" s="42"/>
      <c r="S3386" s="42"/>
      <c r="T3386" s="42"/>
      <c r="U3386" s="42"/>
      <c r="V3386" s="42"/>
      <c r="W3386" s="42"/>
    </row>
    <row r="3387">
      <c r="A3387" s="9"/>
      <c r="B3387" s="9"/>
      <c r="C3387" s="9"/>
      <c r="D3387" s="42"/>
      <c r="E3387" s="103"/>
      <c r="F3387" s="42"/>
      <c r="G3387" s="9"/>
      <c r="H3387" s="9"/>
      <c r="I3387" s="9"/>
      <c r="J3387" s="9"/>
      <c r="K3387" s="42"/>
      <c r="L3387" s="42"/>
      <c r="M3387" s="42"/>
      <c r="N3387" s="42"/>
      <c r="O3387" s="42"/>
      <c r="P3387" s="9"/>
      <c r="Q3387" s="9"/>
      <c r="R3387" s="42"/>
      <c r="S3387" s="42"/>
      <c r="T3387" s="42"/>
      <c r="U3387" s="42"/>
      <c r="V3387" s="42"/>
      <c r="W3387" s="42"/>
    </row>
    <row r="3388">
      <c r="A3388" s="9"/>
      <c r="B3388" s="9"/>
      <c r="C3388" s="9"/>
      <c r="D3388" s="42"/>
      <c r="E3388" s="103"/>
      <c r="F3388" s="42"/>
      <c r="G3388" s="9"/>
      <c r="H3388" s="9"/>
      <c r="I3388" s="9"/>
      <c r="J3388" s="9"/>
      <c r="K3388" s="42"/>
      <c r="L3388" s="42"/>
      <c r="M3388" s="42"/>
      <c r="N3388" s="42"/>
      <c r="O3388" s="42"/>
      <c r="P3388" s="9"/>
      <c r="Q3388" s="9"/>
      <c r="R3388" s="42"/>
      <c r="S3388" s="42"/>
      <c r="T3388" s="42"/>
      <c r="U3388" s="42"/>
      <c r="V3388" s="42"/>
      <c r="W3388" s="42"/>
    </row>
    <row r="3389">
      <c r="A3389" s="9"/>
      <c r="B3389" s="9"/>
      <c r="C3389" s="9"/>
      <c r="D3389" s="42"/>
      <c r="E3389" s="103"/>
      <c r="F3389" s="42"/>
      <c r="G3389" s="9"/>
      <c r="H3389" s="9"/>
      <c r="I3389" s="9"/>
      <c r="J3389" s="9"/>
      <c r="K3389" s="42"/>
      <c r="L3389" s="42"/>
      <c r="M3389" s="42"/>
      <c r="N3389" s="42"/>
      <c r="O3389" s="42"/>
      <c r="P3389" s="9"/>
      <c r="Q3389" s="9"/>
      <c r="R3389" s="42"/>
      <c r="S3389" s="42"/>
      <c r="T3389" s="42"/>
      <c r="U3389" s="42"/>
      <c r="V3389" s="42"/>
      <c r="W3389" s="42"/>
    </row>
    <row r="3390">
      <c r="A3390" s="9"/>
      <c r="B3390" s="9"/>
      <c r="C3390" s="9"/>
      <c r="D3390" s="42"/>
      <c r="E3390" s="103"/>
      <c r="F3390" s="42"/>
      <c r="G3390" s="9"/>
      <c r="H3390" s="9"/>
      <c r="I3390" s="9"/>
      <c r="J3390" s="9"/>
      <c r="K3390" s="42"/>
      <c r="L3390" s="42"/>
      <c r="M3390" s="42"/>
      <c r="N3390" s="42"/>
      <c r="O3390" s="42"/>
      <c r="P3390" s="9"/>
      <c r="Q3390" s="9"/>
      <c r="R3390" s="42"/>
      <c r="S3390" s="42"/>
      <c r="T3390" s="42"/>
      <c r="U3390" s="42"/>
      <c r="V3390" s="42"/>
      <c r="W3390" s="42"/>
    </row>
    <row r="3391">
      <c r="A3391" s="9"/>
      <c r="B3391" s="9"/>
      <c r="C3391" s="9"/>
      <c r="D3391" s="42"/>
      <c r="E3391" s="103"/>
      <c r="F3391" s="42"/>
      <c r="G3391" s="9"/>
      <c r="H3391" s="9"/>
      <c r="I3391" s="9"/>
      <c r="J3391" s="9"/>
      <c r="K3391" s="42"/>
      <c r="L3391" s="42"/>
      <c r="M3391" s="42"/>
      <c r="N3391" s="42"/>
      <c r="O3391" s="42"/>
      <c r="P3391" s="9"/>
      <c r="Q3391" s="9"/>
      <c r="R3391" s="42"/>
      <c r="S3391" s="42"/>
      <c r="T3391" s="42"/>
      <c r="U3391" s="42"/>
      <c r="V3391" s="42"/>
      <c r="W3391" s="42"/>
    </row>
    <row r="3392">
      <c r="A3392" s="9"/>
      <c r="B3392" s="9"/>
      <c r="C3392" s="9"/>
      <c r="D3392" s="42"/>
      <c r="E3392" s="103"/>
      <c r="F3392" s="42"/>
      <c r="G3392" s="9"/>
      <c r="H3392" s="9"/>
      <c r="I3392" s="9"/>
      <c r="J3392" s="9"/>
      <c r="K3392" s="42"/>
      <c r="L3392" s="42"/>
      <c r="M3392" s="42"/>
      <c r="N3392" s="42"/>
      <c r="O3392" s="42"/>
      <c r="P3392" s="9"/>
      <c r="Q3392" s="9"/>
      <c r="R3392" s="42"/>
      <c r="S3392" s="42"/>
      <c r="T3392" s="42"/>
      <c r="U3392" s="42"/>
      <c r="V3392" s="42"/>
      <c r="W3392" s="42"/>
    </row>
    <row r="3393">
      <c r="A3393" s="9"/>
      <c r="B3393" s="9"/>
      <c r="C3393" s="9"/>
      <c r="D3393" s="42"/>
      <c r="E3393" s="103"/>
      <c r="F3393" s="42"/>
      <c r="G3393" s="9"/>
      <c r="H3393" s="9"/>
      <c r="I3393" s="9"/>
      <c r="J3393" s="9"/>
      <c r="K3393" s="42"/>
      <c r="L3393" s="42"/>
      <c r="M3393" s="42"/>
      <c r="N3393" s="42"/>
      <c r="O3393" s="42"/>
      <c r="P3393" s="9"/>
      <c r="Q3393" s="9"/>
      <c r="R3393" s="42"/>
      <c r="S3393" s="42"/>
      <c r="T3393" s="42"/>
      <c r="U3393" s="42"/>
      <c r="V3393" s="42"/>
      <c r="W3393" s="42"/>
    </row>
    <row r="3394">
      <c r="A3394" s="9"/>
      <c r="B3394" s="9"/>
      <c r="C3394" s="9"/>
      <c r="D3394" s="42"/>
      <c r="E3394" s="103"/>
      <c r="F3394" s="42"/>
      <c r="G3394" s="9"/>
      <c r="H3394" s="9"/>
      <c r="I3394" s="9"/>
      <c r="J3394" s="9"/>
      <c r="K3394" s="42"/>
      <c r="L3394" s="42"/>
      <c r="M3394" s="42"/>
      <c r="N3394" s="42"/>
      <c r="O3394" s="42"/>
      <c r="P3394" s="9"/>
      <c r="Q3394" s="9"/>
      <c r="R3394" s="42"/>
      <c r="S3394" s="42"/>
      <c r="T3394" s="42"/>
      <c r="U3394" s="42"/>
      <c r="V3394" s="42"/>
      <c r="W3394" s="42"/>
    </row>
    <row r="3395">
      <c r="A3395" s="9"/>
      <c r="B3395" s="9"/>
      <c r="C3395" s="9"/>
      <c r="D3395" s="42"/>
      <c r="E3395" s="103"/>
      <c r="F3395" s="42"/>
      <c r="G3395" s="9"/>
      <c r="H3395" s="9"/>
      <c r="I3395" s="9"/>
      <c r="J3395" s="9"/>
      <c r="K3395" s="42"/>
      <c r="L3395" s="42"/>
      <c r="M3395" s="42"/>
      <c r="N3395" s="42"/>
      <c r="O3395" s="42"/>
      <c r="P3395" s="9"/>
      <c r="Q3395" s="9"/>
      <c r="R3395" s="42"/>
      <c r="S3395" s="42"/>
      <c r="T3395" s="42"/>
      <c r="U3395" s="42"/>
      <c r="V3395" s="42"/>
      <c r="W3395" s="42"/>
    </row>
    <row r="3396">
      <c r="A3396" s="9"/>
      <c r="B3396" s="9"/>
      <c r="C3396" s="9"/>
      <c r="D3396" s="42"/>
      <c r="E3396" s="103"/>
      <c r="F3396" s="42"/>
      <c r="G3396" s="9"/>
      <c r="H3396" s="9"/>
      <c r="I3396" s="9"/>
      <c r="J3396" s="9"/>
      <c r="K3396" s="42"/>
      <c r="L3396" s="42"/>
      <c r="M3396" s="42"/>
      <c r="N3396" s="42"/>
      <c r="O3396" s="42"/>
      <c r="P3396" s="9"/>
      <c r="Q3396" s="9"/>
      <c r="R3396" s="42"/>
      <c r="S3396" s="42"/>
      <c r="T3396" s="42"/>
      <c r="U3396" s="42"/>
      <c r="V3396" s="42"/>
      <c r="W3396" s="42"/>
    </row>
    <row r="3397">
      <c r="A3397" s="9"/>
      <c r="B3397" s="9"/>
      <c r="C3397" s="9"/>
      <c r="D3397" s="42"/>
      <c r="E3397" s="103"/>
      <c r="F3397" s="42"/>
      <c r="G3397" s="9"/>
      <c r="H3397" s="9"/>
      <c r="I3397" s="9"/>
      <c r="J3397" s="9"/>
      <c r="K3397" s="42"/>
      <c r="L3397" s="42"/>
      <c r="M3397" s="42"/>
      <c r="N3397" s="42"/>
      <c r="O3397" s="42"/>
      <c r="P3397" s="9"/>
      <c r="Q3397" s="9"/>
      <c r="R3397" s="42"/>
      <c r="S3397" s="42"/>
      <c r="T3397" s="42"/>
      <c r="U3397" s="42"/>
      <c r="V3397" s="42"/>
      <c r="W3397" s="42"/>
    </row>
    <row r="3398">
      <c r="A3398" s="9"/>
      <c r="B3398" s="9"/>
      <c r="C3398" s="9"/>
      <c r="D3398" s="42"/>
      <c r="E3398" s="103"/>
      <c r="F3398" s="42"/>
      <c r="G3398" s="9"/>
      <c r="H3398" s="9"/>
      <c r="I3398" s="9"/>
      <c r="J3398" s="9"/>
      <c r="K3398" s="42"/>
      <c r="L3398" s="42"/>
      <c r="M3398" s="42"/>
      <c r="N3398" s="42"/>
      <c r="O3398" s="42"/>
      <c r="P3398" s="9"/>
      <c r="Q3398" s="9"/>
      <c r="R3398" s="42"/>
      <c r="S3398" s="42"/>
      <c r="T3398" s="42"/>
      <c r="U3398" s="42"/>
      <c r="V3398" s="42"/>
      <c r="W3398" s="42"/>
    </row>
    <row r="3399">
      <c r="A3399" s="9"/>
      <c r="B3399" s="9"/>
      <c r="C3399" s="9"/>
      <c r="D3399" s="42"/>
      <c r="E3399" s="103"/>
      <c r="F3399" s="42"/>
      <c r="G3399" s="9"/>
      <c r="H3399" s="9"/>
      <c r="I3399" s="9"/>
      <c r="J3399" s="9"/>
      <c r="K3399" s="42"/>
      <c r="L3399" s="42"/>
      <c r="M3399" s="42"/>
      <c r="N3399" s="42"/>
      <c r="O3399" s="42"/>
      <c r="P3399" s="9"/>
      <c r="Q3399" s="9"/>
      <c r="R3399" s="42"/>
      <c r="S3399" s="42"/>
      <c r="T3399" s="42"/>
      <c r="U3399" s="42"/>
      <c r="V3399" s="42"/>
      <c r="W3399" s="42"/>
    </row>
    <row r="3400">
      <c r="A3400" s="9"/>
      <c r="B3400" s="9"/>
      <c r="C3400" s="9"/>
      <c r="D3400" s="42"/>
      <c r="E3400" s="103"/>
      <c r="F3400" s="42"/>
      <c r="G3400" s="9"/>
      <c r="H3400" s="9"/>
      <c r="I3400" s="9"/>
      <c r="J3400" s="9"/>
      <c r="K3400" s="42"/>
      <c r="L3400" s="42"/>
      <c r="M3400" s="42"/>
      <c r="N3400" s="42"/>
      <c r="O3400" s="42"/>
      <c r="P3400" s="9"/>
      <c r="Q3400" s="9"/>
      <c r="R3400" s="42"/>
      <c r="S3400" s="42"/>
      <c r="T3400" s="42"/>
      <c r="U3400" s="42"/>
      <c r="V3400" s="42"/>
      <c r="W3400" s="42"/>
    </row>
    <row r="3401">
      <c r="A3401" s="9"/>
      <c r="B3401" s="9"/>
      <c r="C3401" s="9"/>
      <c r="D3401" s="42"/>
      <c r="E3401" s="103"/>
      <c r="F3401" s="42"/>
      <c r="G3401" s="9"/>
      <c r="H3401" s="9"/>
      <c r="I3401" s="9"/>
      <c r="J3401" s="9"/>
      <c r="K3401" s="42"/>
      <c r="L3401" s="42"/>
      <c r="M3401" s="42"/>
      <c r="N3401" s="42"/>
      <c r="O3401" s="42"/>
      <c r="P3401" s="9"/>
      <c r="Q3401" s="9"/>
      <c r="R3401" s="42"/>
      <c r="S3401" s="42"/>
      <c r="T3401" s="42"/>
      <c r="U3401" s="42"/>
      <c r="V3401" s="42"/>
      <c r="W3401" s="42"/>
    </row>
    <row r="3402">
      <c r="A3402" s="9"/>
      <c r="B3402" s="9"/>
      <c r="C3402" s="9"/>
      <c r="D3402" s="42"/>
      <c r="E3402" s="103"/>
      <c r="F3402" s="42"/>
      <c r="G3402" s="9"/>
      <c r="H3402" s="9"/>
      <c r="I3402" s="9"/>
      <c r="J3402" s="9"/>
      <c r="K3402" s="42"/>
      <c r="L3402" s="42"/>
      <c r="M3402" s="42"/>
      <c r="N3402" s="42"/>
      <c r="O3402" s="42"/>
      <c r="P3402" s="9"/>
      <c r="Q3402" s="9"/>
      <c r="R3402" s="42"/>
      <c r="S3402" s="42"/>
      <c r="T3402" s="42"/>
      <c r="U3402" s="42"/>
      <c r="V3402" s="42"/>
      <c r="W3402" s="42"/>
    </row>
    <row r="3403">
      <c r="A3403" s="9"/>
      <c r="B3403" s="9"/>
      <c r="C3403" s="9"/>
      <c r="D3403" s="42"/>
      <c r="E3403" s="103"/>
      <c r="F3403" s="42"/>
      <c r="G3403" s="9"/>
      <c r="H3403" s="9"/>
      <c r="I3403" s="9"/>
      <c r="J3403" s="9"/>
      <c r="K3403" s="42"/>
      <c r="L3403" s="42"/>
      <c r="M3403" s="42"/>
      <c r="N3403" s="42"/>
      <c r="O3403" s="42"/>
      <c r="P3403" s="9"/>
      <c r="Q3403" s="9"/>
      <c r="R3403" s="42"/>
      <c r="S3403" s="42"/>
      <c r="T3403" s="42"/>
      <c r="U3403" s="42"/>
      <c r="V3403" s="42"/>
      <c r="W3403" s="42"/>
    </row>
    <row r="3404">
      <c r="A3404" s="9"/>
      <c r="B3404" s="9"/>
      <c r="C3404" s="9"/>
      <c r="D3404" s="42"/>
      <c r="E3404" s="103"/>
      <c r="F3404" s="42"/>
      <c r="G3404" s="9"/>
      <c r="H3404" s="9"/>
      <c r="I3404" s="9"/>
      <c r="J3404" s="9"/>
      <c r="K3404" s="42"/>
      <c r="L3404" s="42"/>
      <c r="M3404" s="42"/>
      <c r="N3404" s="42"/>
      <c r="O3404" s="42"/>
      <c r="P3404" s="9"/>
      <c r="Q3404" s="9"/>
      <c r="R3404" s="42"/>
      <c r="S3404" s="42"/>
      <c r="T3404" s="42"/>
      <c r="U3404" s="42"/>
      <c r="V3404" s="42"/>
      <c r="W3404" s="42"/>
    </row>
    <row r="3405">
      <c r="A3405" s="9"/>
      <c r="B3405" s="9"/>
      <c r="C3405" s="9"/>
      <c r="D3405" s="42"/>
      <c r="E3405" s="103"/>
      <c r="F3405" s="42"/>
      <c r="G3405" s="9"/>
      <c r="H3405" s="9"/>
      <c r="I3405" s="9"/>
      <c r="J3405" s="9"/>
      <c r="K3405" s="42"/>
      <c r="L3405" s="42"/>
      <c r="M3405" s="42"/>
      <c r="N3405" s="42"/>
      <c r="O3405" s="42"/>
      <c r="P3405" s="9"/>
      <c r="Q3405" s="9"/>
      <c r="R3405" s="42"/>
      <c r="S3405" s="42"/>
      <c r="T3405" s="42"/>
      <c r="U3405" s="42"/>
      <c r="V3405" s="42"/>
      <c r="W3405" s="42"/>
    </row>
    <row r="3406">
      <c r="A3406" s="9"/>
      <c r="B3406" s="9"/>
      <c r="C3406" s="9"/>
      <c r="D3406" s="42"/>
      <c r="E3406" s="103"/>
      <c r="F3406" s="42"/>
      <c r="G3406" s="9"/>
      <c r="H3406" s="9"/>
      <c r="I3406" s="9"/>
      <c r="J3406" s="9"/>
      <c r="K3406" s="42"/>
      <c r="L3406" s="42"/>
      <c r="M3406" s="42"/>
      <c r="N3406" s="42"/>
      <c r="O3406" s="42"/>
      <c r="P3406" s="9"/>
      <c r="Q3406" s="9"/>
      <c r="R3406" s="42"/>
      <c r="S3406" s="42"/>
      <c r="T3406" s="42"/>
      <c r="U3406" s="42"/>
      <c r="V3406" s="42"/>
      <c r="W3406" s="42"/>
    </row>
    <row r="3407">
      <c r="A3407" s="9"/>
      <c r="B3407" s="9"/>
      <c r="C3407" s="9"/>
      <c r="D3407" s="42"/>
      <c r="E3407" s="103"/>
      <c r="F3407" s="42"/>
      <c r="G3407" s="9"/>
      <c r="H3407" s="9"/>
      <c r="I3407" s="9"/>
      <c r="J3407" s="9"/>
      <c r="K3407" s="42"/>
      <c r="L3407" s="42"/>
      <c r="M3407" s="42"/>
      <c r="N3407" s="42"/>
      <c r="O3407" s="42"/>
      <c r="P3407" s="9"/>
      <c r="Q3407" s="9"/>
      <c r="R3407" s="42"/>
      <c r="S3407" s="42"/>
      <c r="T3407" s="42"/>
      <c r="U3407" s="42"/>
      <c r="V3407" s="42"/>
      <c r="W3407" s="42"/>
    </row>
    <row r="3408">
      <c r="A3408" s="9"/>
      <c r="B3408" s="9"/>
      <c r="C3408" s="9"/>
      <c r="D3408" s="42"/>
      <c r="E3408" s="103"/>
      <c r="F3408" s="42"/>
      <c r="G3408" s="9"/>
      <c r="H3408" s="9"/>
      <c r="I3408" s="9"/>
      <c r="J3408" s="9"/>
      <c r="K3408" s="42"/>
      <c r="L3408" s="42"/>
      <c r="M3408" s="42"/>
      <c r="N3408" s="42"/>
      <c r="O3408" s="42"/>
      <c r="P3408" s="9"/>
      <c r="Q3408" s="9"/>
      <c r="R3408" s="42"/>
      <c r="S3408" s="42"/>
      <c r="T3408" s="42"/>
      <c r="U3408" s="42"/>
      <c r="V3408" s="42"/>
      <c r="W3408" s="42"/>
    </row>
    <row r="3409">
      <c r="A3409" s="9"/>
      <c r="B3409" s="9"/>
      <c r="C3409" s="9"/>
      <c r="D3409" s="42"/>
      <c r="E3409" s="103"/>
      <c r="F3409" s="42"/>
      <c r="G3409" s="9"/>
      <c r="H3409" s="9"/>
      <c r="I3409" s="9"/>
      <c r="J3409" s="9"/>
      <c r="K3409" s="42"/>
      <c r="L3409" s="42"/>
      <c r="M3409" s="42"/>
      <c r="N3409" s="42"/>
      <c r="O3409" s="42"/>
      <c r="P3409" s="9"/>
      <c r="Q3409" s="9"/>
      <c r="R3409" s="42"/>
      <c r="S3409" s="42"/>
      <c r="T3409" s="42"/>
      <c r="U3409" s="42"/>
      <c r="V3409" s="42"/>
      <c r="W3409" s="42"/>
    </row>
    <row r="3410">
      <c r="A3410" s="9"/>
      <c r="B3410" s="9"/>
      <c r="C3410" s="9"/>
      <c r="D3410" s="42"/>
      <c r="E3410" s="103"/>
      <c r="F3410" s="42"/>
      <c r="G3410" s="9"/>
      <c r="H3410" s="9"/>
      <c r="I3410" s="9"/>
      <c r="J3410" s="9"/>
      <c r="K3410" s="42"/>
      <c r="L3410" s="42"/>
      <c r="M3410" s="42"/>
      <c r="N3410" s="42"/>
      <c r="O3410" s="42"/>
      <c r="P3410" s="9"/>
      <c r="Q3410" s="9"/>
      <c r="R3410" s="42"/>
      <c r="S3410" s="42"/>
      <c r="T3410" s="42"/>
      <c r="U3410" s="42"/>
      <c r="V3410" s="42"/>
      <c r="W3410" s="42"/>
    </row>
    <row r="3411">
      <c r="A3411" s="9"/>
      <c r="B3411" s="9"/>
      <c r="C3411" s="9"/>
      <c r="D3411" s="42"/>
      <c r="E3411" s="103"/>
      <c r="F3411" s="42"/>
      <c r="G3411" s="9"/>
      <c r="H3411" s="9"/>
      <c r="I3411" s="9"/>
      <c r="J3411" s="9"/>
      <c r="K3411" s="42"/>
      <c r="L3411" s="42"/>
      <c r="M3411" s="42"/>
      <c r="N3411" s="42"/>
      <c r="O3411" s="42"/>
      <c r="P3411" s="9"/>
      <c r="Q3411" s="9"/>
      <c r="R3411" s="42"/>
      <c r="S3411" s="42"/>
      <c r="T3411" s="42"/>
      <c r="U3411" s="42"/>
      <c r="V3411" s="42"/>
      <c r="W3411" s="42"/>
    </row>
    <row r="3412">
      <c r="A3412" s="9"/>
      <c r="B3412" s="9"/>
      <c r="C3412" s="9"/>
      <c r="D3412" s="42"/>
      <c r="E3412" s="103"/>
      <c r="F3412" s="42"/>
      <c r="G3412" s="9"/>
      <c r="H3412" s="9"/>
      <c r="I3412" s="9"/>
      <c r="J3412" s="9"/>
      <c r="K3412" s="42"/>
      <c r="L3412" s="42"/>
      <c r="M3412" s="42"/>
      <c r="N3412" s="42"/>
      <c r="O3412" s="42"/>
      <c r="P3412" s="9"/>
      <c r="Q3412" s="9"/>
      <c r="R3412" s="42"/>
      <c r="S3412" s="42"/>
      <c r="T3412" s="42"/>
      <c r="U3412" s="42"/>
      <c r="V3412" s="42"/>
      <c r="W3412" s="42"/>
    </row>
    <row r="3413">
      <c r="A3413" s="9"/>
      <c r="B3413" s="9"/>
      <c r="C3413" s="9"/>
      <c r="D3413" s="42"/>
      <c r="E3413" s="103"/>
      <c r="F3413" s="42"/>
      <c r="G3413" s="9"/>
      <c r="H3413" s="9"/>
      <c r="I3413" s="9"/>
      <c r="J3413" s="9"/>
      <c r="K3413" s="42"/>
      <c r="L3413" s="42"/>
      <c r="M3413" s="42"/>
      <c r="N3413" s="42"/>
      <c r="O3413" s="42"/>
      <c r="P3413" s="9"/>
      <c r="Q3413" s="9"/>
      <c r="R3413" s="42"/>
      <c r="S3413" s="42"/>
      <c r="T3413" s="42"/>
      <c r="U3413" s="42"/>
      <c r="V3413" s="42"/>
      <c r="W3413" s="42"/>
    </row>
    <row r="3414">
      <c r="A3414" s="9"/>
      <c r="B3414" s="9"/>
      <c r="C3414" s="9"/>
      <c r="D3414" s="42"/>
      <c r="E3414" s="103"/>
      <c r="F3414" s="42"/>
      <c r="G3414" s="9"/>
      <c r="H3414" s="9"/>
      <c r="I3414" s="9"/>
      <c r="J3414" s="9"/>
      <c r="K3414" s="42"/>
      <c r="L3414" s="42"/>
      <c r="M3414" s="42"/>
      <c r="N3414" s="42"/>
      <c r="O3414" s="42"/>
      <c r="P3414" s="9"/>
      <c r="Q3414" s="9"/>
      <c r="R3414" s="42"/>
      <c r="S3414" s="42"/>
      <c r="T3414" s="42"/>
      <c r="U3414" s="42"/>
      <c r="V3414" s="42"/>
      <c r="W3414" s="42"/>
    </row>
    <row r="3415">
      <c r="A3415" s="9"/>
      <c r="B3415" s="9"/>
      <c r="C3415" s="9"/>
      <c r="D3415" s="42"/>
      <c r="E3415" s="103"/>
      <c r="F3415" s="42"/>
      <c r="G3415" s="9"/>
      <c r="H3415" s="9"/>
      <c r="I3415" s="9"/>
      <c r="J3415" s="9"/>
      <c r="K3415" s="42"/>
      <c r="L3415" s="42"/>
      <c r="M3415" s="42"/>
      <c r="N3415" s="42"/>
      <c r="O3415" s="42"/>
      <c r="P3415" s="9"/>
      <c r="Q3415" s="9"/>
      <c r="R3415" s="42"/>
      <c r="S3415" s="42"/>
      <c r="T3415" s="42"/>
      <c r="U3415" s="42"/>
      <c r="V3415" s="42"/>
      <c r="W3415" s="42"/>
    </row>
    <row r="3416">
      <c r="A3416" s="9"/>
      <c r="B3416" s="9"/>
      <c r="C3416" s="9"/>
      <c r="D3416" s="42"/>
      <c r="E3416" s="103"/>
      <c r="F3416" s="42"/>
      <c r="G3416" s="9"/>
      <c r="H3416" s="9"/>
      <c r="I3416" s="9"/>
      <c r="J3416" s="9"/>
      <c r="K3416" s="42"/>
      <c r="L3416" s="42"/>
      <c r="M3416" s="42"/>
      <c r="N3416" s="42"/>
      <c r="O3416" s="42"/>
      <c r="P3416" s="9"/>
      <c r="Q3416" s="9"/>
      <c r="R3416" s="42"/>
      <c r="S3416" s="42"/>
      <c r="T3416" s="42"/>
      <c r="U3416" s="42"/>
      <c r="V3416" s="42"/>
      <c r="W3416" s="42"/>
    </row>
    <row r="3417">
      <c r="A3417" s="9"/>
      <c r="B3417" s="9"/>
      <c r="C3417" s="9"/>
      <c r="D3417" s="42"/>
      <c r="E3417" s="103"/>
      <c r="F3417" s="42"/>
      <c r="G3417" s="9"/>
      <c r="H3417" s="9"/>
      <c r="I3417" s="9"/>
      <c r="J3417" s="9"/>
      <c r="K3417" s="42"/>
      <c r="L3417" s="42"/>
      <c r="M3417" s="42"/>
      <c r="N3417" s="42"/>
      <c r="O3417" s="42"/>
      <c r="P3417" s="9"/>
      <c r="Q3417" s="9"/>
      <c r="R3417" s="42"/>
      <c r="S3417" s="42"/>
      <c r="T3417" s="42"/>
      <c r="U3417" s="42"/>
      <c r="V3417" s="42"/>
      <c r="W3417" s="42"/>
    </row>
    <row r="3418">
      <c r="A3418" s="9"/>
      <c r="B3418" s="9"/>
      <c r="C3418" s="9"/>
      <c r="D3418" s="42"/>
      <c r="E3418" s="103"/>
      <c r="F3418" s="42"/>
      <c r="G3418" s="9"/>
      <c r="H3418" s="9"/>
      <c r="I3418" s="9"/>
      <c r="J3418" s="9"/>
      <c r="K3418" s="42"/>
      <c r="L3418" s="42"/>
      <c r="M3418" s="42"/>
      <c r="N3418" s="42"/>
      <c r="O3418" s="42"/>
      <c r="P3418" s="9"/>
      <c r="Q3418" s="9"/>
      <c r="R3418" s="42"/>
      <c r="S3418" s="42"/>
      <c r="T3418" s="42"/>
      <c r="U3418" s="42"/>
      <c r="V3418" s="42"/>
      <c r="W3418" s="42"/>
    </row>
    <row r="3419">
      <c r="A3419" s="9"/>
      <c r="B3419" s="9"/>
      <c r="C3419" s="9"/>
      <c r="D3419" s="42"/>
      <c r="E3419" s="103"/>
      <c r="F3419" s="42"/>
      <c r="G3419" s="9"/>
      <c r="H3419" s="9"/>
      <c r="I3419" s="9"/>
      <c r="J3419" s="9"/>
      <c r="K3419" s="42"/>
      <c r="L3419" s="42"/>
      <c r="M3419" s="42"/>
      <c r="N3419" s="42"/>
      <c r="O3419" s="42"/>
      <c r="P3419" s="9"/>
      <c r="Q3419" s="9"/>
      <c r="R3419" s="42"/>
      <c r="S3419" s="42"/>
      <c r="T3419" s="42"/>
      <c r="U3419" s="42"/>
      <c r="V3419" s="42"/>
      <c r="W3419" s="42"/>
    </row>
    <row r="3420">
      <c r="A3420" s="9"/>
      <c r="B3420" s="9"/>
      <c r="C3420" s="9"/>
      <c r="D3420" s="42"/>
      <c r="E3420" s="103"/>
      <c r="F3420" s="42"/>
      <c r="G3420" s="9"/>
      <c r="H3420" s="9"/>
      <c r="I3420" s="9"/>
      <c r="J3420" s="9"/>
      <c r="K3420" s="42"/>
      <c r="L3420" s="42"/>
      <c r="M3420" s="42"/>
      <c r="N3420" s="42"/>
      <c r="O3420" s="42"/>
      <c r="P3420" s="9"/>
      <c r="Q3420" s="9"/>
      <c r="R3420" s="42"/>
      <c r="S3420" s="42"/>
      <c r="T3420" s="42"/>
      <c r="U3420" s="42"/>
      <c r="V3420" s="42"/>
      <c r="W3420" s="42"/>
    </row>
    <row r="3421">
      <c r="A3421" s="9"/>
      <c r="B3421" s="9"/>
      <c r="C3421" s="9"/>
      <c r="D3421" s="42"/>
      <c r="E3421" s="103"/>
      <c r="F3421" s="42"/>
      <c r="G3421" s="9"/>
      <c r="H3421" s="9"/>
      <c r="I3421" s="9"/>
      <c r="J3421" s="9"/>
      <c r="K3421" s="42"/>
      <c r="L3421" s="42"/>
      <c r="M3421" s="42"/>
      <c r="N3421" s="42"/>
      <c r="O3421" s="42"/>
      <c r="P3421" s="9"/>
      <c r="Q3421" s="9"/>
      <c r="R3421" s="42"/>
      <c r="S3421" s="42"/>
      <c r="T3421" s="42"/>
      <c r="U3421" s="42"/>
      <c r="V3421" s="42"/>
      <c r="W3421" s="42"/>
    </row>
    <row r="3422">
      <c r="A3422" s="9"/>
      <c r="B3422" s="9"/>
      <c r="C3422" s="9"/>
      <c r="D3422" s="42"/>
      <c r="E3422" s="103"/>
      <c r="F3422" s="42"/>
      <c r="G3422" s="9"/>
      <c r="H3422" s="9"/>
      <c r="I3422" s="9"/>
      <c r="J3422" s="9"/>
      <c r="K3422" s="42"/>
      <c r="L3422" s="42"/>
      <c r="M3422" s="42"/>
      <c r="N3422" s="42"/>
      <c r="O3422" s="42"/>
      <c r="P3422" s="9"/>
      <c r="Q3422" s="9"/>
      <c r="R3422" s="42"/>
      <c r="S3422" s="42"/>
      <c r="T3422" s="42"/>
      <c r="U3422" s="42"/>
      <c r="V3422" s="42"/>
      <c r="W3422" s="42"/>
    </row>
    <row r="3423">
      <c r="A3423" s="9"/>
      <c r="B3423" s="9"/>
      <c r="C3423" s="9"/>
      <c r="D3423" s="42"/>
      <c r="E3423" s="103"/>
      <c r="F3423" s="42"/>
      <c r="G3423" s="9"/>
      <c r="H3423" s="9"/>
      <c r="I3423" s="9"/>
      <c r="J3423" s="9"/>
      <c r="K3423" s="42"/>
      <c r="L3423" s="42"/>
      <c r="M3423" s="42"/>
      <c r="N3423" s="42"/>
      <c r="O3423" s="42"/>
      <c r="P3423" s="9"/>
      <c r="Q3423" s="9"/>
      <c r="R3423" s="42"/>
      <c r="S3423" s="42"/>
      <c r="T3423" s="42"/>
      <c r="U3423" s="42"/>
      <c r="V3423" s="42"/>
      <c r="W3423" s="42"/>
    </row>
    <row r="3424">
      <c r="A3424" s="9"/>
      <c r="B3424" s="9"/>
      <c r="C3424" s="9"/>
      <c r="D3424" s="42"/>
      <c r="E3424" s="103"/>
      <c r="F3424" s="42"/>
      <c r="G3424" s="9"/>
      <c r="H3424" s="9"/>
      <c r="I3424" s="9"/>
      <c r="J3424" s="9"/>
      <c r="K3424" s="42"/>
      <c r="L3424" s="42"/>
      <c r="M3424" s="42"/>
      <c r="N3424" s="42"/>
      <c r="O3424" s="42"/>
      <c r="P3424" s="9"/>
      <c r="Q3424" s="9"/>
      <c r="R3424" s="42"/>
      <c r="S3424" s="42"/>
      <c r="T3424" s="42"/>
      <c r="U3424" s="42"/>
      <c r="V3424" s="42"/>
      <c r="W3424" s="42"/>
    </row>
    <row r="3425">
      <c r="A3425" s="9"/>
      <c r="B3425" s="9"/>
      <c r="C3425" s="9"/>
      <c r="D3425" s="42"/>
      <c r="E3425" s="103"/>
      <c r="F3425" s="42"/>
      <c r="G3425" s="9"/>
      <c r="H3425" s="9"/>
      <c r="I3425" s="9"/>
      <c r="J3425" s="9"/>
      <c r="K3425" s="42"/>
      <c r="L3425" s="42"/>
      <c r="M3425" s="42"/>
      <c r="N3425" s="42"/>
      <c r="O3425" s="42"/>
      <c r="P3425" s="9"/>
      <c r="Q3425" s="9"/>
      <c r="R3425" s="42"/>
      <c r="S3425" s="42"/>
      <c r="T3425" s="42"/>
      <c r="U3425" s="42"/>
      <c r="V3425" s="42"/>
      <c r="W3425" s="42"/>
    </row>
    <row r="3426">
      <c r="A3426" s="9"/>
      <c r="B3426" s="9"/>
      <c r="C3426" s="9"/>
      <c r="D3426" s="42"/>
      <c r="E3426" s="103"/>
      <c r="F3426" s="42"/>
      <c r="G3426" s="9"/>
      <c r="H3426" s="9"/>
      <c r="I3426" s="9"/>
      <c r="J3426" s="9"/>
      <c r="K3426" s="42"/>
      <c r="L3426" s="42"/>
      <c r="M3426" s="42"/>
      <c r="N3426" s="42"/>
      <c r="O3426" s="42"/>
      <c r="P3426" s="9"/>
      <c r="Q3426" s="9"/>
      <c r="R3426" s="42"/>
      <c r="S3426" s="42"/>
      <c r="T3426" s="42"/>
      <c r="U3426" s="42"/>
      <c r="V3426" s="42"/>
      <c r="W3426" s="42"/>
    </row>
    <row r="3427">
      <c r="A3427" s="9"/>
      <c r="B3427" s="9"/>
      <c r="C3427" s="9"/>
      <c r="D3427" s="42"/>
      <c r="E3427" s="103"/>
      <c r="F3427" s="42"/>
      <c r="G3427" s="9"/>
      <c r="H3427" s="9"/>
      <c r="I3427" s="9"/>
      <c r="J3427" s="9"/>
      <c r="K3427" s="42"/>
      <c r="L3427" s="42"/>
      <c r="M3427" s="42"/>
      <c r="N3427" s="42"/>
      <c r="O3427" s="42"/>
      <c r="P3427" s="9"/>
      <c r="Q3427" s="9"/>
      <c r="R3427" s="42"/>
      <c r="S3427" s="42"/>
      <c r="T3427" s="42"/>
      <c r="U3427" s="42"/>
      <c r="V3427" s="42"/>
      <c r="W3427" s="42"/>
    </row>
    <row r="3428">
      <c r="A3428" s="9"/>
      <c r="B3428" s="9"/>
      <c r="C3428" s="9"/>
      <c r="D3428" s="42"/>
      <c r="E3428" s="103"/>
      <c r="F3428" s="42"/>
      <c r="G3428" s="9"/>
      <c r="H3428" s="9"/>
      <c r="I3428" s="9"/>
      <c r="J3428" s="9"/>
      <c r="K3428" s="42"/>
      <c r="L3428" s="42"/>
      <c r="M3428" s="42"/>
      <c r="N3428" s="42"/>
      <c r="O3428" s="42"/>
      <c r="P3428" s="9"/>
      <c r="Q3428" s="9"/>
      <c r="R3428" s="42"/>
      <c r="S3428" s="42"/>
      <c r="T3428" s="42"/>
      <c r="U3428" s="42"/>
      <c r="V3428" s="42"/>
      <c r="W3428" s="42"/>
    </row>
    <row r="3429">
      <c r="A3429" s="9"/>
      <c r="B3429" s="9"/>
      <c r="C3429" s="9"/>
      <c r="D3429" s="42"/>
      <c r="E3429" s="103"/>
      <c r="F3429" s="42"/>
      <c r="G3429" s="9"/>
      <c r="H3429" s="9"/>
      <c r="I3429" s="9"/>
      <c r="J3429" s="9"/>
      <c r="K3429" s="42"/>
      <c r="L3429" s="42"/>
      <c r="M3429" s="42"/>
      <c r="N3429" s="42"/>
      <c r="O3429" s="42"/>
      <c r="P3429" s="9"/>
      <c r="Q3429" s="9"/>
      <c r="R3429" s="42"/>
      <c r="S3429" s="42"/>
      <c r="T3429" s="42"/>
      <c r="U3429" s="42"/>
      <c r="V3429" s="42"/>
      <c r="W3429" s="42"/>
    </row>
    <row r="3430">
      <c r="A3430" s="9"/>
      <c r="B3430" s="9"/>
      <c r="C3430" s="9"/>
      <c r="D3430" s="42"/>
      <c r="E3430" s="103"/>
      <c r="F3430" s="42"/>
      <c r="G3430" s="9"/>
      <c r="H3430" s="9"/>
      <c r="I3430" s="9"/>
      <c r="J3430" s="9"/>
      <c r="K3430" s="42"/>
      <c r="L3430" s="42"/>
      <c r="M3430" s="42"/>
      <c r="N3430" s="42"/>
      <c r="O3430" s="42"/>
      <c r="P3430" s="9"/>
      <c r="Q3430" s="9"/>
      <c r="R3430" s="42"/>
      <c r="S3430" s="42"/>
      <c r="T3430" s="42"/>
      <c r="U3430" s="42"/>
      <c r="V3430" s="42"/>
      <c r="W3430" s="42"/>
    </row>
    <row r="3431">
      <c r="A3431" s="9"/>
      <c r="B3431" s="9"/>
      <c r="C3431" s="9"/>
      <c r="D3431" s="42"/>
      <c r="E3431" s="103"/>
      <c r="F3431" s="42"/>
      <c r="G3431" s="9"/>
      <c r="H3431" s="9"/>
      <c r="I3431" s="9"/>
      <c r="J3431" s="9"/>
      <c r="K3431" s="42"/>
      <c r="L3431" s="42"/>
      <c r="M3431" s="42"/>
      <c r="N3431" s="42"/>
      <c r="O3431" s="42"/>
      <c r="P3431" s="9"/>
      <c r="Q3431" s="9"/>
      <c r="R3431" s="42"/>
      <c r="S3431" s="42"/>
      <c r="T3431" s="42"/>
      <c r="U3431" s="42"/>
      <c r="V3431" s="42"/>
      <c r="W3431" s="42"/>
    </row>
    <row r="3432">
      <c r="A3432" s="9"/>
      <c r="B3432" s="9"/>
      <c r="C3432" s="9"/>
      <c r="D3432" s="42"/>
      <c r="E3432" s="103"/>
      <c r="F3432" s="42"/>
      <c r="G3432" s="9"/>
      <c r="H3432" s="9"/>
      <c r="I3432" s="9"/>
      <c r="J3432" s="9"/>
      <c r="K3432" s="42"/>
      <c r="L3432" s="42"/>
      <c r="M3432" s="42"/>
      <c r="N3432" s="42"/>
      <c r="O3432" s="42"/>
      <c r="P3432" s="9"/>
      <c r="Q3432" s="9"/>
      <c r="R3432" s="42"/>
      <c r="S3432" s="42"/>
      <c r="T3432" s="42"/>
      <c r="U3432" s="42"/>
      <c r="V3432" s="42"/>
      <c r="W3432" s="42"/>
    </row>
    <row r="3433">
      <c r="A3433" s="9"/>
      <c r="B3433" s="9"/>
      <c r="C3433" s="9"/>
      <c r="D3433" s="42"/>
      <c r="E3433" s="103"/>
      <c r="F3433" s="42"/>
      <c r="G3433" s="9"/>
      <c r="H3433" s="9"/>
      <c r="I3433" s="9"/>
      <c r="J3433" s="9"/>
      <c r="K3433" s="42"/>
      <c r="L3433" s="42"/>
      <c r="M3433" s="42"/>
      <c r="N3433" s="42"/>
      <c r="O3433" s="42"/>
      <c r="P3433" s="9"/>
      <c r="Q3433" s="9"/>
      <c r="R3433" s="42"/>
      <c r="S3433" s="42"/>
      <c r="T3433" s="42"/>
      <c r="U3433" s="42"/>
      <c r="V3433" s="42"/>
      <c r="W3433" s="42"/>
    </row>
    <row r="3434">
      <c r="A3434" s="9"/>
      <c r="B3434" s="9"/>
      <c r="C3434" s="9"/>
      <c r="D3434" s="42"/>
      <c r="E3434" s="103"/>
      <c r="F3434" s="42"/>
      <c r="G3434" s="9"/>
      <c r="H3434" s="9"/>
      <c r="I3434" s="9"/>
      <c r="J3434" s="9"/>
      <c r="K3434" s="42"/>
      <c r="L3434" s="42"/>
      <c r="M3434" s="42"/>
      <c r="N3434" s="42"/>
      <c r="O3434" s="42"/>
      <c r="P3434" s="9"/>
      <c r="Q3434" s="9"/>
      <c r="R3434" s="42"/>
      <c r="S3434" s="42"/>
      <c r="T3434" s="42"/>
      <c r="U3434" s="42"/>
      <c r="V3434" s="42"/>
      <c r="W3434" s="42"/>
    </row>
    <row r="3435">
      <c r="A3435" s="9"/>
      <c r="B3435" s="9"/>
      <c r="C3435" s="9"/>
      <c r="D3435" s="42"/>
      <c r="E3435" s="103"/>
      <c r="F3435" s="42"/>
      <c r="G3435" s="9"/>
      <c r="H3435" s="9"/>
      <c r="I3435" s="9"/>
      <c r="J3435" s="9"/>
      <c r="K3435" s="42"/>
      <c r="L3435" s="42"/>
      <c r="M3435" s="42"/>
      <c r="N3435" s="42"/>
      <c r="O3435" s="42"/>
      <c r="P3435" s="9"/>
      <c r="Q3435" s="9"/>
      <c r="R3435" s="42"/>
      <c r="S3435" s="42"/>
      <c r="T3435" s="42"/>
      <c r="U3435" s="42"/>
      <c r="V3435" s="42"/>
      <c r="W3435" s="42"/>
    </row>
    <row r="3436">
      <c r="A3436" s="9"/>
      <c r="B3436" s="9"/>
      <c r="C3436" s="9"/>
      <c r="D3436" s="42"/>
      <c r="E3436" s="103"/>
      <c r="F3436" s="42"/>
      <c r="G3436" s="9"/>
      <c r="H3436" s="9"/>
      <c r="I3436" s="9"/>
      <c r="J3436" s="9"/>
      <c r="K3436" s="42"/>
      <c r="L3436" s="42"/>
      <c r="M3436" s="42"/>
      <c r="N3436" s="42"/>
      <c r="O3436" s="42"/>
      <c r="P3436" s="9"/>
      <c r="Q3436" s="9"/>
      <c r="R3436" s="42"/>
      <c r="S3436" s="42"/>
      <c r="T3436" s="42"/>
      <c r="U3436" s="42"/>
      <c r="V3436" s="42"/>
      <c r="W3436" s="42"/>
    </row>
    <row r="3437">
      <c r="A3437" s="9"/>
      <c r="B3437" s="9"/>
      <c r="C3437" s="9"/>
      <c r="D3437" s="42"/>
      <c r="E3437" s="103"/>
      <c r="F3437" s="42"/>
      <c r="G3437" s="9"/>
      <c r="H3437" s="9"/>
      <c r="I3437" s="9"/>
      <c r="J3437" s="9"/>
      <c r="K3437" s="42"/>
      <c r="L3437" s="42"/>
      <c r="M3437" s="42"/>
      <c r="N3437" s="42"/>
      <c r="O3437" s="42"/>
      <c r="P3437" s="9"/>
      <c r="Q3437" s="9"/>
      <c r="R3437" s="42"/>
      <c r="S3437" s="42"/>
      <c r="T3437" s="42"/>
      <c r="U3437" s="42"/>
      <c r="V3437" s="42"/>
      <c r="W3437" s="42"/>
    </row>
    <row r="3438">
      <c r="A3438" s="9"/>
      <c r="B3438" s="9"/>
      <c r="C3438" s="9"/>
      <c r="D3438" s="42"/>
      <c r="E3438" s="103"/>
      <c r="F3438" s="42"/>
      <c r="G3438" s="9"/>
      <c r="H3438" s="9"/>
      <c r="I3438" s="9"/>
      <c r="J3438" s="9"/>
      <c r="K3438" s="42"/>
      <c r="L3438" s="42"/>
      <c r="M3438" s="42"/>
      <c r="N3438" s="42"/>
      <c r="O3438" s="42"/>
      <c r="P3438" s="9"/>
      <c r="Q3438" s="9"/>
      <c r="R3438" s="42"/>
      <c r="S3438" s="42"/>
      <c r="T3438" s="42"/>
      <c r="U3438" s="42"/>
      <c r="V3438" s="42"/>
      <c r="W3438" s="42"/>
    </row>
    <row r="3439">
      <c r="A3439" s="9"/>
      <c r="B3439" s="9"/>
      <c r="C3439" s="9"/>
      <c r="D3439" s="42"/>
      <c r="E3439" s="103"/>
      <c r="F3439" s="42"/>
      <c r="G3439" s="9"/>
      <c r="H3439" s="9"/>
      <c r="I3439" s="9"/>
      <c r="J3439" s="9"/>
      <c r="K3439" s="42"/>
      <c r="L3439" s="42"/>
      <c r="M3439" s="42"/>
      <c r="N3439" s="42"/>
      <c r="O3439" s="42"/>
      <c r="P3439" s="9"/>
      <c r="Q3439" s="9"/>
      <c r="R3439" s="42"/>
      <c r="S3439" s="42"/>
      <c r="T3439" s="42"/>
      <c r="U3439" s="42"/>
      <c r="V3439" s="42"/>
      <c r="W3439" s="42"/>
    </row>
    <row r="3440">
      <c r="A3440" s="9"/>
      <c r="B3440" s="9"/>
      <c r="C3440" s="9"/>
      <c r="D3440" s="42"/>
      <c r="E3440" s="103"/>
      <c r="F3440" s="42"/>
      <c r="G3440" s="9"/>
      <c r="H3440" s="9"/>
      <c r="I3440" s="9"/>
      <c r="J3440" s="9"/>
      <c r="K3440" s="42"/>
      <c r="L3440" s="42"/>
      <c r="M3440" s="42"/>
      <c r="N3440" s="42"/>
      <c r="O3440" s="42"/>
      <c r="P3440" s="9"/>
      <c r="Q3440" s="9"/>
      <c r="R3440" s="42"/>
      <c r="S3440" s="42"/>
      <c r="T3440" s="42"/>
      <c r="U3440" s="42"/>
      <c r="V3440" s="42"/>
      <c r="W3440" s="42"/>
    </row>
    <row r="3441">
      <c r="A3441" s="9"/>
      <c r="B3441" s="9"/>
      <c r="C3441" s="9"/>
      <c r="D3441" s="42"/>
      <c r="E3441" s="103"/>
      <c r="F3441" s="42"/>
      <c r="G3441" s="9"/>
      <c r="H3441" s="9"/>
      <c r="I3441" s="9"/>
      <c r="J3441" s="9"/>
      <c r="K3441" s="42"/>
      <c r="L3441" s="42"/>
      <c r="M3441" s="42"/>
      <c r="N3441" s="42"/>
      <c r="O3441" s="42"/>
      <c r="P3441" s="9"/>
      <c r="Q3441" s="9"/>
      <c r="R3441" s="42"/>
      <c r="S3441" s="42"/>
      <c r="T3441" s="42"/>
      <c r="U3441" s="42"/>
      <c r="V3441" s="42"/>
      <c r="W3441" s="42"/>
    </row>
    <row r="3442">
      <c r="A3442" s="9"/>
      <c r="B3442" s="9"/>
      <c r="C3442" s="9"/>
      <c r="D3442" s="42"/>
      <c r="E3442" s="103"/>
      <c r="F3442" s="42"/>
      <c r="G3442" s="9"/>
      <c r="H3442" s="9"/>
      <c r="I3442" s="9"/>
      <c r="J3442" s="9"/>
      <c r="K3442" s="42"/>
      <c r="L3442" s="42"/>
      <c r="M3442" s="42"/>
      <c r="N3442" s="42"/>
      <c r="O3442" s="42"/>
      <c r="P3442" s="9"/>
      <c r="Q3442" s="9"/>
      <c r="R3442" s="42"/>
      <c r="S3442" s="42"/>
      <c r="T3442" s="42"/>
      <c r="U3442" s="42"/>
      <c r="V3442" s="42"/>
      <c r="W3442" s="42"/>
    </row>
    <row r="3443">
      <c r="A3443" s="9"/>
      <c r="B3443" s="9"/>
      <c r="C3443" s="9"/>
      <c r="D3443" s="42"/>
      <c r="E3443" s="103"/>
      <c r="F3443" s="42"/>
      <c r="G3443" s="9"/>
      <c r="H3443" s="9"/>
      <c r="I3443" s="9"/>
      <c r="J3443" s="9"/>
      <c r="K3443" s="42"/>
      <c r="L3443" s="42"/>
      <c r="M3443" s="42"/>
      <c r="N3443" s="42"/>
      <c r="O3443" s="42"/>
      <c r="P3443" s="9"/>
      <c r="Q3443" s="9"/>
      <c r="R3443" s="42"/>
      <c r="S3443" s="42"/>
      <c r="T3443" s="42"/>
      <c r="U3443" s="42"/>
      <c r="V3443" s="42"/>
      <c r="W3443" s="42"/>
    </row>
    <row r="3444">
      <c r="A3444" s="9"/>
      <c r="B3444" s="9"/>
      <c r="C3444" s="9"/>
      <c r="D3444" s="42"/>
      <c r="E3444" s="103"/>
      <c r="F3444" s="42"/>
      <c r="G3444" s="9"/>
      <c r="H3444" s="9"/>
      <c r="I3444" s="9"/>
      <c r="J3444" s="9"/>
      <c r="K3444" s="42"/>
      <c r="L3444" s="42"/>
      <c r="M3444" s="42"/>
      <c r="N3444" s="42"/>
      <c r="O3444" s="42"/>
      <c r="P3444" s="9"/>
      <c r="Q3444" s="9"/>
      <c r="R3444" s="42"/>
      <c r="S3444" s="42"/>
      <c r="T3444" s="42"/>
      <c r="U3444" s="42"/>
      <c r="V3444" s="42"/>
      <c r="W3444" s="42"/>
    </row>
    <row r="3445">
      <c r="A3445" s="9"/>
      <c r="B3445" s="9"/>
      <c r="C3445" s="9"/>
      <c r="D3445" s="42"/>
      <c r="E3445" s="103"/>
      <c r="F3445" s="42"/>
      <c r="G3445" s="9"/>
      <c r="H3445" s="9"/>
      <c r="I3445" s="9"/>
      <c r="J3445" s="9"/>
      <c r="K3445" s="42"/>
      <c r="L3445" s="42"/>
      <c r="M3445" s="42"/>
      <c r="N3445" s="42"/>
      <c r="O3445" s="42"/>
      <c r="P3445" s="9"/>
      <c r="Q3445" s="9"/>
      <c r="R3445" s="42"/>
      <c r="S3445" s="42"/>
      <c r="T3445" s="42"/>
      <c r="U3445" s="42"/>
      <c r="V3445" s="42"/>
      <c r="W3445" s="42"/>
    </row>
    <row r="3446">
      <c r="A3446" s="9"/>
      <c r="B3446" s="9"/>
      <c r="C3446" s="9"/>
      <c r="D3446" s="42"/>
      <c r="E3446" s="103"/>
      <c r="F3446" s="42"/>
      <c r="G3446" s="9"/>
      <c r="H3446" s="9"/>
      <c r="I3446" s="9"/>
      <c r="J3446" s="9"/>
      <c r="K3446" s="42"/>
      <c r="L3446" s="42"/>
      <c r="M3446" s="42"/>
      <c r="N3446" s="42"/>
      <c r="O3446" s="42"/>
      <c r="P3446" s="9"/>
      <c r="Q3446" s="9"/>
      <c r="R3446" s="42"/>
      <c r="S3446" s="42"/>
      <c r="T3446" s="42"/>
      <c r="U3446" s="42"/>
      <c r="V3446" s="42"/>
      <c r="W3446" s="42"/>
    </row>
    <row r="3447">
      <c r="A3447" s="9"/>
      <c r="B3447" s="9"/>
      <c r="C3447" s="9"/>
      <c r="D3447" s="42"/>
      <c r="E3447" s="103"/>
      <c r="F3447" s="42"/>
      <c r="G3447" s="9"/>
      <c r="H3447" s="9"/>
      <c r="I3447" s="9"/>
      <c r="J3447" s="9"/>
      <c r="K3447" s="42"/>
      <c r="L3447" s="42"/>
      <c r="M3447" s="42"/>
      <c r="N3447" s="42"/>
      <c r="O3447" s="42"/>
      <c r="P3447" s="9"/>
      <c r="Q3447" s="9"/>
      <c r="R3447" s="42"/>
      <c r="S3447" s="42"/>
      <c r="T3447" s="42"/>
      <c r="U3447" s="42"/>
      <c r="V3447" s="42"/>
      <c r="W3447" s="42"/>
    </row>
    <row r="3448">
      <c r="A3448" s="9"/>
      <c r="B3448" s="9"/>
      <c r="C3448" s="9"/>
      <c r="D3448" s="42"/>
      <c r="E3448" s="103"/>
      <c r="F3448" s="42"/>
      <c r="G3448" s="9"/>
      <c r="H3448" s="9"/>
      <c r="I3448" s="9"/>
      <c r="J3448" s="9"/>
      <c r="K3448" s="42"/>
      <c r="L3448" s="42"/>
      <c r="M3448" s="42"/>
      <c r="N3448" s="42"/>
      <c r="O3448" s="42"/>
      <c r="P3448" s="9"/>
      <c r="Q3448" s="9"/>
      <c r="R3448" s="42"/>
      <c r="S3448" s="42"/>
      <c r="T3448" s="42"/>
      <c r="U3448" s="42"/>
      <c r="V3448" s="42"/>
      <c r="W3448" s="42"/>
    </row>
    <row r="3449">
      <c r="A3449" s="9"/>
      <c r="B3449" s="9"/>
      <c r="C3449" s="9"/>
      <c r="D3449" s="42"/>
      <c r="E3449" s="103"/>
      <c r="F3449" s="42"/>
      <c r="G3449" s="9"/>
      <c r="H3449" s="9"/>
      <c r="I3449" s="9"/>
      <c r="J3449" s="9"/>
      <c r="K3449" s="42"/>
      <c r="L3449" s="42"/>
      <c r="M3449" s="42"/>
      <c r="N3449" s="42"/>
      <c r="O3449" s="42"/>
      <c r="P3449" s="9"/>
      <c r="Q3449" s="9"/>
      <c r="R3449" s="42"/>
      <c r="S3449" s="42"/>
      <c r="T3449" s="42"/>
      <c r="U3449" s="42"/>
      <c r="V3449" s="42"/>
      <c r="W3449" s="42"/>
    </row>
    <row r="3450">
      <c r="A3450" s="9"/>
      <c r="B3450" s="9"/>
      <c r="C3450" s="9"/>
      <c r="D3450" s="42"/>
      <c r="E3450" s="103"/>
      <c r="F3450" s="42"/>
      <c r="G3450" s="9"/>
      <c r="H3450" s="9"/>
      <c r="I3450" s="9"/>
      <c r="J3450" s="9"/>
      <c r="K3450" s="42"/>
      <c r="L3450" s="42"/>
      <c r="M3450" s="42"/>
      <c r="N3450" s="42"/>
      <c r="O3450" s="42"/>
      <c r="P3450" s="9"/>
      <c r="Q3450" s="9"/>
      <c r="R3450" s="42"/>
      <c r="S3450" s="42"/>
      <c r="T3450" s="42"/>
      <c r="U3450" s="42"/>
      <c r="V3450" s="42"/>
      <c r="W3450" s="42"/>
    </row>
    <row r="3451">
      <c r="A3451" s="9"/>
      <c r="B3451" s="9"/>
      <c r="C3451" s="9"/>
      <c r="D3451" s="42"/>
      <c r="E3451" s="103"/>
      <c r="F3451" s="42"/>
      <c r="G3451" s="9"/>
      <c r="H3451" s="9"/>
      <c r="I3451" s="9"/>
      <c r="J3451" s="9"/>
      <c r="K3451" s="42"/>
      <c r="L3451" s="42"/>
      <c r="M3451" s="42"/>
      <c r="N3451" s="42"/>
      <c r="O3451" s="42"/>
      <c r="P3451" s="9"/>
      <c r="Q3451" s="9"/>
      <c r="R3451" s="42"/>
      <c r="S3451" s="42"/>
      <c r="T3451" s="42"/>
      <c r="U3451" s="42"/>
      <c r="V3451" s="42"/>
      <c r="W3451" s="42"/>
    </row>
    <row r="3452">
      <c r="A3452" s="9"/>
      <c r="B3452" s="9"/>
      <c r="C3452" s="9"/>
      <c r="D3452" s="42"/>
      <c r="E3452" s="103"/>
      <c r="F3452" s="42"/>
      <c r="G3452" s="9"/>
      <c r="H3452" s="9"/>
      <c r="I3452" s="9"/>
      <c r="J3452" s="9"/>
      <c r="K3452" s="42"/>
      <c r="L3452" s="42"/>
      <c r="M3452" s="42"/>
      <c r="N3452" s="42"/>
      <c r="O3452" s="42"/>
      <c r="P3452" s="9"/>
      <c r="Q3452" s="9"/>
      <c r="R3452" s="42"/>
      <c r="S3452" s="42"/>
      <c r="T3452" s="42"/>
      <c r="U3452" s="42"/>
      <c r="V3452" s="42"/>
      <c r="W3452" s="42"/>
    </row>
    <row r="3453">
      <c r="A3453" s="9"/>
      <c r="B3453" s="9"/>
      <c r="C3453" s="9"/>
      <c r="D3453" s="42"/>
      <c r="E3453" s="103"/>
      <c r="F3453" s="42"/>
      <c r="G3453" s="9"/>
      <c r="H3453" s="9"/>
      <c r="I3453" s="9"/>
      <c r="J3453" s="9"/>
      <c r="K3453" s="42"/>
      <c r="L3453" s="42"/>
      <c r="M3453" s="42"/>
      <c r="N3453" s="42"/>
      <c r="O3453" s="42"/>
      <c r="P3453" s="9"/>
      <c r="Q3453" s="9"/>
      <c r="R3453" s="42"/>
      <c r="S3453" s="42"/>
      <c r="T3453" s="42"/>
      <c r="U3453" s="42"/>
      <c r="V3453" s="42"/>
      <c r="W3453" s="42"/>
    </row>
    <row r="3454">
      <c r="A3454" s="9"/>
      <c r="B3454" s="9"/>
      <c r="C3454" s="9"/>
      <c r="D3454" s="42"/>
      <c r="E3454" s="103"/>
      <c r="F3454" s="42"/>
      <c r="G3454" s="9"/>
      <c r="H3454" s="9"/>
      <c r="I3454" s="9"/>
      <c r="J3454" s="9"/>
      <c r="K3454" s="42"/>
      <c r="L3454" s="42"/>
      <c r="M3454" s="42"/>
      <c r="N3454" s="42"/>
      <c r="O3454" s="42"/>
      <c r="P3454" s="9"/>
      <c r="Q3454" s="9"/>
      <c r="R3454" s="42"/>
      <c r="S3454" s="42"/>
      <c r="T3454" s="42"/>
      <c r="U3454" s="42"/>
      <c r="V3454" s="42"/>
      <c r="W3454" s="42"/>
    </row>
    <row r="3455">
      <c r="A3455" s="9"/>
      <c r="B3455" s="9"/>
      <c r="C3455" s="9"/>
      <c r="D3455" s="42"/>
      <c r="E3455" s="103"/>
      <c r="F3455" s="42"/>
      <c r="G3455" s="9"/>
      <c r="H3455" s="9"/>
      <c r="I3455" s="9"/>
      <c r="J3455" s="9"/>
      <c r="K3455" s="42"/>
      <c r="L3455" s="42"/>
      <c r="M3455" s="42"/>
      <c r="N3455" s="42"/>
      <c r="O3455" s="42"/>
      <c r="P3455" s="9"/>
      <c r="Q3455" s="9"/>
      <c r="R3455" s="42"/>
      <c r="S3455" s="42"/>
      <c r="T3455" s="42"/>
      <c r="U3455" s="42"/>
      <c r="V3455" s="42"/>
      <c r="W3455" s="42"/>
    </row>
    <row r="3456">
      <c r="A3456" s="9"/>
      <c r="B3456" s="9"/>
      <c r="C3456" s="9"/>
      <c r="D3456" s="42"/>
      <c r="E3456" s="103"/>
      <c r="F3456" s="42"/>
      <c r="G3456" s="9"/>
      <c r="H3456" s="9"/>
      <c r="I3456" s="9"/>
      <c r="J3456" s="9"/>
      <c r="K3456" s="42"/>
      <c r="L3456" s="42"/>
      <c r="M3456" s="42"/>
      <c r="N3456" s="42"/>
      <c r="O3456" s="42"/>
      <c r="P3456" s="9"/>
      <c r="Q3456" s="9"/>
      <c r="R3456" s="42"/>
      <c r="S3456" s="42"/>
      <c r="T3456" s="42"/>
      <c r="U3456" s="42"/>
      <c r="V3456" s="42"/>
      <c r="W3456" s="42"/>
    </row>
    <row r="3457">
      <c r="A3457" s="9"/>
      <c r="B3457" s="9"/>
      <c r="C3457" s="9"/>
      <c r="D3457" s="42"/>
      <c r="E3457" s="103"/>
      <c r="F3457" s="42"/>
      <c r="G3457" s="9"/>
      <c r="H3457" s="9"/>
      <c r="I3457" s="9"/>
      <c r="J3457" s="9"/>
      <c r="K3457" s="42"/>
      <c r="L3457" s="42"/>
      <c r="M3457" s="42"/>
      <c r="N3457" s="42"/>
      <c r="O3457" s="42"/>
      <c r="P3457" s="9"/>
      <c r="Q3457" s="9"/>
      <c r="R3457" s="42"/>
      <c r="S3457" s="42"/>
      <c r="T3457" s="42"/>
      <c r="U3457" s="42"/>
      <c r="V3457" s="42"/>
      <c r="W3457" s="42"/>
    </row>
    <row r="3458">
      <c r="A3458" s="9"/>
      <c r="B3458" s="9"/>
      <c r="C3458" s="9"/>
      <c r="D3458" s="42"/>
      <c r="E3458" s="103"/>
      <c r="F3458" s="42"/>
      <c r="G3458" s="9"/>
      <c r="H3458" s="9"/>
      <c r="I3458" s="9"/>
      <c r="J3458" s="9"/>
      <c r="K3458" s="42"/>
      <c r="L3458" s="42"/>
      <c r="M3458" s="42"/>
      <c r="N3458" s="42"/>
      <c r="O3458" s="42"/>
      <c r="P3458" s="9"/>
      <c r="Q3458" s="9"/>
      <c r="R3458" s="42"/>
      <c r="S3458" s="42"/>
      <c r="T3458" s="42"/>
      <c r="U3458" s="42"/>
      <c r="V3458" s="42"/>
      <c r="W3458" s="42"/>
    </row>
    <row r="3459">
      <c r="A3459" s="9"/>
      <c r="B3459" s="9"/>
      <c r="C3459" s="9"/>
      <c r="D3459" s="42"/>
      <c r="E3459" s="103"/>
      <c r="F3459" s="42"/>
      <c r="G3459" s="9"/>
      <c r="H3459" s="9"/>
      <c r="I3459" s="9"/>
      <c r="J3459" s="9"/>
      <c r="K3459" s="42"/>
      <c r="L3459" s="42"/>
      <c r="M3459" s="42"/>
      <c r="N3459" s="42"/>
      <c r="O3459" s="42"/>
      <c r="P3459" s="9"/>
      <c r="Q3459" s="9"/>
      <c r="R3459" s="42"/>
      <c r="S3459" s="42"/>
      <c r="T3459" s="42"/>
      <c r="U3459" s="42"/>
      <c r="V3459" s="42"/>
      <c r="W3459" s="42"/>
    </row>
    <row r="3460">
      <c r="A3460" s="9"/>
      <c r="B3460" s="9"/>
      <c r="C3460" s="9"/>
      <c r="D3460" s="42"/>
      <c r="E3460" s="103"/>
      <c r="F3460" s="42"/>
      <c r="G3460" s="9"/>
      <c r="H3460" s="9"/>
      <c r="I3460" s="9"/>
      <c r="J3460" s="9"/>
      <c r="K3460" s="42"/>
      <c r="L3460" s="42"/>
      <c r="M3460" s="42"/>
      <c r="N3460" s="42"/>
      <c r="O3460" s="42"/>
      <c r="P3460" s="9"/>
      <c r="Q3460" s="9"/>
      <c r="R3460" s="42"/>
      <c r="S3460" s="42"/>
      <c r="T3460" s="42"/>
      <c r="U3460" s="42"/>
      <c r="V3460" s="42"/>
      <c r="W3460" s="42"/>
    </row>
    <row r="3461">
      <c r="A3461" s="9"/>
      <c r="B3461" s="9"/>
      <c r="C3461" s="9"/>
      <c r="D3461" s="42"/>
      <c r="E3461" s="103"/>
      <c r="F3461" s="42"/>
      <c r="G3461" s="9"/>
      <c r="H3461" s="9"/>
      <c r="I3461" s="9"/>
      <c r="J3461" s="9"/>
      <c r="K3461" s="42"/>
      <c r="L3461" s="42"/>
      <c r="M3461" s="42"/>
      <c r="N3461" s="42"/>
      <c r="O3461" s="42"/>
      <c r="P3461" s="9"/>
      <c r="Q3461" s="9"/>
      <c r="R3461" s="42"/>
      <c r="S3461" s="42"/>
      <c r="T3461" s="42"/>
      <c r="U3461" s="42"/>
      <c r="V3461" s="42"/>
      <c r="W3461" s="42"/>
    </row>
    <row r="3462">
      <c r="A3462" s="9"/>
      <c r="B3462" s="9"/>
      <c r="C3462" s="9"/>
      <c r="D3462" s="42"/>
      <c r="E3462" s="103"/>
      <c r="F3462" s="42"/>
      <c r="G3462" s="9"/>
      <c r="H3462" s="9"/>
      <c r="I3462" s="9"/>
      <c r="J3462" s="9"/>
      <c r="K3462" s="42"/>
      <c r="L3462" s="42"/>
      <c r="M3462" s="42"/>
      <c r="N3462" s="42"/>
      <c r="O3462" s="42"/>
      <c r="P3462" s="9"/>
      <c r="Q3462" s="9"/>
      <c r="R3462" s="42"/>
      <c r="S3462" s="42"/>
      <c r="T3462" s="42"/>
      <c r="U3462" s="42"/>
      <c r="V3462" s="42"/>
      <c r="W3462" s="42"/>
    </row>
    <row r="3463">
      <c r="A3463" s="9"/>
      <c r="B3463" s="9"/>
      <c r="C3463" s="9"/>
      <c r="D3463" s="42"/>
      <c r="E3463" s="103"/>
      <c r="F3463" s="42"/>
      <c r="G3463" s="9"/>
      <c r="H3463" s="9"/>
      <c r="I3463" s="9"/>
      <c r="J3463" s="9"/>
      <c r="K3463" s="42"/>
      <c r="L3463" s="42"/>
      <c r="M3463" s="42"/>
      <c r="N3463" s="42"/>
      <c r="O3463" s="42"/>
      <c r="P3463" s="9"/>
      <c r="Q3463" s="9"/>
      <c r="R3463" s="42"/>
      <c r="S3463" s="42"/>
      <c r="T3463" s="42"/>
      <c r="U3463" s="42"/>
      <c r="V3463" s="42"/>
      <c r="W3463" s="42"/>
    </row>
    <row r="3464">
      <c r="A3464" s="9"/>
      <c r="B3464" s="9"/>
      <c r="C3464" s="9"/>
      <c r="D3464" s="42"/>
      <c r="E3464" s="103"/>
      <c r="F3464" s="42"/>
      <c r="G3464" s="9"/>
      <c r="H3464" s="9"/>
      <c r="I3464" s="9"/>
      <c r="J3464" s="9"/>
      <c r="K3464" s="42"/>
      <c r="L3464" s="42"/>
      <c r="M3464" s="42"/>
      <c r="N3464" s="42"/>
      <c r="O3464" s="42"/>
      <c r="P3464" s="9"/>
      <c r="Q3464" s="9"/>
      <c r="R3464" s="42"/>
      <c r="S3464" s="42"/>
      <c r="T3464" s="42"/>
      <c r="U3464" s="42"/>
      <c r="V3464" s="42"/>
      <c r="W3464" s="42"/>
    </row>
    <row r="3465">
      <c r="A3465" s="9"/>
      <c r="B3465" s="9"/>
      <c r="C3465" s="9"/>
      <c r="D3465" s="42"/>
      <c r="E3465" s="103"/>
      <c r="F3465" s="42"/>
      <c r="G3465" s="9"/>
      <c r="H3465" s="9"/>
      <c r="I3465" s="9"/>
      <c r="J3465" s="9"/>
      <c r="K3465" s="42"/>
      <c r="L3465" s="42"/>
      <c r="M3465" s="42"/>
      <c r="N3465" s="42"/>
      <c r="O3465" s="42"/>
      <c r="P3465" s="9"/>
      <c r="Q3465" s="9"/>
      <c r="R3465" s="42"/>
      <c r="S3465" s="42"/>
      <c r="T3465" s="42"/>
      <c r="U3465" s="42"/>
      <c r="V3465" s="42"/>
      <c r="W3465" s="42"/>
    </row>
    <row r="3466">
      <c r="A3466" s="9"/>
      <c r="B3466" s="9"/>
      <c r="C3466" s="9"/>
      <c r="D3466" s="42"/>
      <c r="E3466" s="103"/>
      <c r="F3466" s="42"/>
      <c r="G3466" s="9"/>
      <c r="H3466" s="9"/>
      <c r="I3466" s="9"/>
      <c r="J3466" s="9"/>
      <c r="K3466" s="42"/>
      <c r="L3466" s="42"/>
      <c r="M3466" s="42"/>
      <c r="N3466" s="42"/>
      <c r="O3466" s="42"/>
      <c r="P3466" s="9"/>
      <c r="Q3466" s="9"/>
      <c r="R3466" s="42"/>
      <c r="S3466" s="42"/>
      <c r="T3466" s="42"/>
      <c r="U3466" s="42"/>
      <c r="V3466" s="42"/>
      <c r="W3466" s="42"/>
    </row>
    <row r="3467">
      <c r="A3467" s="9"/>
      <c r="B3467" s="9"/>
      <c r="C3467" s="9"/>
      <c r="D3467" s="42"/>
      <c r="E3467" s="103"/>
      <c r="F3467" s="42"/>
      <c r="G3467" s="9"/>
      <c r="H3467" s="9"/>
      <c r="I3467" s="9"/>
      <c r="J3467" s="9"/>
      <c r="K3467" s="42"/>
      <c r="L3467" s="42"/>
      <c r="M3467" s="42"/>
      <c r="N3467" s="42"/>
      <c r="O3467" s="42"/>
      <c r="P3467" s="9"/>
      <c r="Q3467" s="9"/>
      <c r="R3467" s="42"/>
      <c r="S3467" s="42"/>
      <c r="T3467" s="42"/>
      <c r="U3467" s="42"/>
      <c r="V3467" s="42"/>
      <c r="W3467" s="42"/>
    </row>
    <row r="3468">
      <c r="A3468" s="9"/>
      <c r="B3468" s="9"/>
      <c r="C3468" s="9"/>
      <c r="D3468" s="42"/>
      <c r="E3468" s="103"/>
      <c r="F3468" s="42"/>
      <c r="G3468" s="9"/>
      <c r="H3468" s="9"/>
      <c r="I3468" s="9"/>
      <c r="J3468" s="9"/>
      <c r="K3468" s="42"/>
      <c r="L3468" s="42"/>
      <c r="M3468" s="42"/>
      <c r="N3468" s="42"/>
      <c r="O3468" s="42"/>
      <c r="P3468" s="9"/>
      <c r="Q3468" s="9"/>
      <c r="R3468" s="42"/>
      <c r="S3468" s="42"/>
      <c r="T3468" s="42"/>
      <c r="U3468" s="42"/>
      <c r="V3468" s="42"/>
      <c r="W3468" s="42"/>
    </row>
    <row r="3469">
      <c r="A3469" s="9"/>
      <c r="B3469" s="9"/>
      <c r="C3469" s="9"/>
      <c r="D3469" s="42"/>
      <c r="E3469" s="103"/>
      <c r="F3469" s="42"/>
      <c r="G3469" s="9"/>
      <c r="H3469" s="9"/>
      <c r="I3469" s="9"/>
      <c r="J3469" s="9"/>
      <c r="K3469" s="42"/>
      <c r="L3469" s="42"/>
      <c r="M3469" s="42"/>
      <c r="N3469" s="42"/>
      <c r="O3469" s="42"/>
      <c r="P3469" s="9"/>
      <c r="Q3469" s="9"/>
      <c r="R3469" s="42"/>
      <c r="S3469" s="42"/>
      <c r="T3469" s="42"/>
      <c r="U3469" s="42"/>
      <c r="V3469" s="42"/>
      <c r="W3469" s="42"/>
    </row>
    <row r="3470">
      <c r="A3470" s="9"/>
      <c r="B3470" s="9"/>
      <c r="C3470" s="9"/>
      <c r="D3470" s="42"/>
      <c r="E3470" s="103"/>
      <c r="F3470" s="42"/>
      <c r="G3470" s="9"/>
      <c r="H3470" s="9"/>
      <c r="I3470" s="9"/>
      <c r="J3470" s="9"/>
      <c r="K3470" s="42"/>
      <c r="L3470" s="42"/>
      <c r="M3470" s="42"/>
      <c r="N3470" s="42"/>
      <c r="O3470" s="42"/>
      <c r="P3470" s="9"/>
      <c r="Q3470" s="9"/>
      <c r="R3470" s="42"/>
      <c r="S3470" s="42"/>
      <c r="T3470" s="42"/>
      <c r="U3470" s="42"/>
      <c r="V3470" s="42"/>
      <c r="W3470" s="42"/>
    </row>
    <row r="3471">
      <c r="A3471" s="9"/>
      <c r="B3471" s="9"/>
      <c r="C3471" s="9"/>
      <c r="D3471" s="42"/>
      <c r="E3471" s="103"/>
      <c r="F3471" s="42"/>
      <c r="G3471" s="9"/>
      <c r="H3471" s="9"/>
      <c r="I3471" s="9"/>
      <c r="J3471" s="9"/>
      <c r="K3471" s="42"/>
      <c r="L3471" s="42"/>
      <c r="M3471" s="42"/>
      <c r="N3471" s="42"/>
      <c r="O3471" s="42"/>
      <c r="P3471" s="9"/>
      <c r="Q3471" s="9"/>
      <c r="R3471" s="42"/>
      <c r="S3471" s="42"/>
      <c r="T3471" s="42"/>
      <c r="U3471" s="42"/>
      <c r="V3471" s="42"/>
      <c r="W3471" s="42"/>
    </row>
    <row r="3472">
      <c r="A3472" s="9"/>
      <c r="B3472" s="9"/>
      <c r="C3472" s="9"/>
      <c r="D3472" s="42"/>
      <c r="E3472" s="103"/>
      <c r="F3472" s="42"/>
      <c r="G3472" s="9"/>
      <c r="H3472" s="9"/>
      <c r="I3472" s="9"/>
      <c r="J3472" s="9"/>
      <c r="K3472" s="42"/>
      <c r="L3472" s="42"/>
      <c r="M3472" s="42"/>
      <c r="N3472" s="42"/>
      <c r="O3472" s="42"/>
      <c r="P3472" s="9"/>
      <c r="Q3472" s="9"/>
      <c r="R3472" s="42"/>
      <c r="S3472" s="42"/>
      <c r="T3472" s="42"/>
      <c r="U3472" s="42"/>
      <c r="V3472" s="42"/>
      <c r="W3472" s="42"/>
    </row>
    <row r="3473">
      <c r="A3473" s="9"/>
      <c r="B3473" s="9"/>
      <c r="C3473" s="9"/>
      <c r="D3473" s="42"/>
      <c r="E3473" s="103"/>
      <c r="F3473" s="42"/>
      <c r="G3473" s="9"/>
      <c r="H3473" s="9"/>
      <c r="I3473" s="9"/>
      <c r="J3473" s="9"/>
      <c r="K3473" s="42"/>
      <c r="L3473" s="42"/>
      <c r="M3473" s="42"/>
      <c r="N3473" s="42"/>
      <c r="O3473" s="42"/>
      <c r="P3473" s="9"/>
      <c r="Q3473" s="9"/>
      <c r="R3473" s="42"/>
      <c r="S3473" s="42"/>
      <c r="T3473" s="42"/>
      <c r="U3473" s="42"/>
      <c r="V3473" s="42"/>
      <c r="W3473" s="42"/>
    </row>
    <row r="3474">
      <c r="A3474" s="9"/>
      <c r="B3474" s="9"/>
      <c r="C3474" s="9"/>
      <c r="D3474" s="42"/>
      <c r="E3474" s="103"/>
      <c r="F3474" s="42"/>
      <c r="G3474" s="9"/>
      <c r="H3474" s="9"/>
      <c r="I3474" s="9"/>
      <c r="J3474" s="9"/>
      <c r="K3474" s="42"/>
      <c r="L3474" s="42"/>
      <c r="M3474" s="42"/>
      <c r="N3474" s="42"/>
      <c r="O3474" s="42"/>
      <c r="P3474" s="9"/>
      <c r="Q3474" s="9"/>
      <c r="R3474" s="42"/>
      <c r="S3474" s="42"/>
      <c r="T3474" s="42"/>
      <c r="U3474" s="42"/>
      <c r="V3474" s="42"/>
      <c r="W3474" s="42"/>
    </row>
    <row r="3475">
      <c r="A3475" s="9"/>
      <c r="B3475" s="9"/>
      <c r="C3475" s="9"/>
      <c r="D3475" s="42"/>
      <c r="E3475" s="103"/>
      <c r="F3475" s="42"/>
      <c r="G3475" s="9"/>
      <c r="H3475" s="9"/>
      <c r="I3475" s="9"/>
      <c r="J3475" s="9"/>
      <c r="K3475" s="42"/>
      <c r="L3475" s="42"/>
      <c r="M3475" s="42"/>
      <c r="N3475" s="42"/>
      <c r="O3475" s="42"/>
      <c r="P3475" s="9"/>
      <c r="Q3475" s="9"/>
      <c r="R3475" s="42"/>
      <c r="S3475" s="42"/>
      <c r="T3475" s="42"/>
      <c r="U3475" s="42"/>
      <c r="V3475" s="42"/>
      <c r="W3475" s="42"/>
    </row>
    <row r="3476">
      <c r="A3476" s="9"/>
      <c r="B3476" s="9"/>
      <c r="C3476" s="9"/>
      <c r="D3476" s="42"/>
      <c r="E3476" s="103"/>
      <c r="F3476" s="42"/>
      <c r="G3476" s="9"/>
      <c r="H3476" s="9"/>
      <c r="I3476" s="9"/>
      <c r="J3476" s="9"/>
      <c r="K3476" s="42"/>
      <c r="L3476" s="42"/>
      <c r="M3476" s="42"/>
      <c r="N3476" s="42"/>
      <c r="O3476" s="42"/>
      <c r="P3476" s="9"/>
      <c r="Q3476" s="9"/>
      <c r="R3476" s="42"/>
      <c r="S3476" s="42"/>
      <c r="T3476" s="42"/>
      <c r="U3476" s="42"/>
      <c r="V3476" s="42"/>
      <c r="W3476" s="42"/>
    </row>
    <row r="3477">
      <c r="A3477" s="9"/>
      <c r="B3477" s="9"/>
      <c r="C3477" s="9"/>
      <c r="D3477" s="42"/>
      <c r="E3477" s="103"/>
      <c r="F3477" s="42"/>
      <c r="G3477" s="9"/>
      <c r="H3477" s="9"/>
      <c r="I3477" s="9"/>
      <c r="J3477" s="9"/>
      <c r="K3477" s="42"/>
      <c r="L3477" s="42"/>
      <c r="M3477" s="42"/>
      <c r="N3477" s="42"/>
      <c r="O3477" s="42"/>
      <c r="P3477" s="9"/>
      <c r="Q3477" s="9"/>
      <c r="R3477" s="42"/>
      <c r="S3477" s="42"/>
      <c r="T3477" s="42"/>
      <c r="U3477" s="42"/>
      <c r="V3477" s="42"/>
      <c r="W3477" s="42"/>
    </row>
    <row r="3478">
      <c r="A3478" s="9"/>
      <c r="B3478" s="9"/>
      <c r="C3478" s="9"/>
      <c r="D3478" s="42"/>
      <c r="E3478" s="103"/>
      <c r="F3478" s="42"/>
      <c r="G3478" s="9"/>
      <c r="H3478" s="9"/>
      <c r="I3478" s="9"/>
      <c r="J3478" s="9"/>
      <c r="K3478" s="42"/>
      <c r="L3478" s="42"/>
      <c r="M3478" s="42"/>
      <c r="N3478" s="42"/>
      <c r="O3478" s="42"/>
      <c r="P3478" s="9"/>
      <c r="Q3478" s="9"/>
      <c r="R3478" s="42"/>
      <c r="S3478" s="42"/>
      <c r="T3478" s="42"/>
      <c r="U3478" s="42"/>
      <c r="V3478" s="42"/>
      <c r="W3478" s="42"/>
    </row>
    <row r="3479">
      <c r="A3479" s="9"/>
      <c r="B3479" s="9"/>
      <c r="C3479" s="9"/>
      <c r="D3479" s="42"/>
      <c r="E3479" s="103"/>
      <c r="F3479" s="42"/>
      <c r="G3479" s="9"/>
      <c r="H3479" s="9"/>
      <c r="I3479" s="9"/>
      <c r="J3479" s="9"/>
      <c r="K3479" s="42"/>
      <c r="L3479" s="42"/>
      <c r="M3479" s="42"/>
      <c r="N3479" s="42"/>
      <c r="O3479" s="42"/>
      <c r="P3479" s="9"/>
      <c r="Q3479" s="9"/>
      <c r="R3479" s="42"/>
      <c r="S3479" s="42"/>
      <c r="T3479" s="42"/>
      <c r="U3479" s="42"/>
      <c r="V3479" s="42"/>
      <c r="W3479" s="42"/>
    </row>
    <row r="3480">
      <c r="A3480" s="9"/>
      <c r="B3480" s="9"/>
      <c r="C3480" s="9"/>
      <c r="D3480" s="42"/>
      <c r="E3480" s="103"/>
      <c r="F3480" s="42"/>
      <c r="G3480" s="9"/>
      <c r="H3480" s="9"/>
      <c r="I3480" s="9"/>
      <c r="J3480" s="9"/>
      <c r="K3480" s="42"/>
      <c r="L3480" s="42"/>
      <c r="M3480" s="42"/>
      <c r="N3480" s="42"/>
      <c r="O3480" s="42"/>
      <c r="P3480" s="9"/>
      <c r="Q3480" s="9"/>
      <c r="R3480" s="42"/>
      <c r="S3480" s="42"/>
      <c r="T3480" s="42"/>
      <c r="U3480" s="42"/>
      <c r="V3480" s="42"/>
      <c r="W3480" s="42"/>
    </row>
    <row r="3481">
      <c r="A3481" s="9"/>
      <c r="B3481" s="9"/>
      <c r="C3481" s="9"/>
      <c r="D3481" s="42"/>
      <c r="E3481" s="103"/>
      <c r="F3481" s="42"/>
      <c r="G3481" s="9"/>
      <c r="H3481" s="9"/>
      <c r="I3481" s="9"/>
      <c r="J3481" s="9"/>
      <c r="K3481" s="42"/>
      <c r="L3481" s="42"/>
      <c r="M3481" s="42"/>
      <c r="N3481" s="42"/>
      <c r="O3481" s="42"/>
      <c r="P3481" s="9"/>
      <c r="Q3481" s="9"/>
      <c r="R3481" s="42"/>
      <c r="S3481" s="42"/>
      <c r="T3481" s="42"/>
      <c r="U3481" s="42"/>
      <c r="V3481" s="42"/>
      <c r="W3481" s="42"/>
    </row>
    <row r="3482">
      <c r="A3482" s="9"/>
      <c r="B3482" s="9"/>
      <c r="C3482" s="9"/>
      <c r="D3482" s="42"/>
      <c r="E3482" s="103"/>
      <c r="F3482" s="42"/>
      <c r="G3482" s="9"/>
      <c r="H3482" s="9"/>
      <c r="I3482" s="9"/>
      <c r="J3482" s="9"/>
      <c r="K3482" s="42"/>
      <c r="L3482" s="42"/>
      <c r="M3482" s="42"/>
      <c r="N3482" s="42"/>
      <c r="O3482" s="42"/>
      <c r="P3482" s="9"/>
      <c r="Q3482" s="9"/>
      <c r="R3482" s="42"/>
      <c r="S3482" s="42"/>
      <c r="T3482" s="42"/>
      <c r="U3482" s="42"/>
      <c r="V3482" s="42"/>
      <c r="W3482" s="42"/>
    </row>
    <row r="3483">
      <c r="A3483" s="9"/>
      <c r="B3483" s="9"/>
      <c r="C3483" s="9"/>
      <c r="D3483" s="42"/>
      <c r="E3483" s="103"/>
      <c r="F3483" s="42"/>
      <c r="G3483" s="9"/>
      <c r="H3483" s="9"/>
      <c r="I3483" s="9"/>
      <c r="J3483" s="9"/>
      <c r="K3483" s="42"/>
      <c r="L3483" s="42"/>
      <c r="M3483" s="42"/>
      <c r="N3483" s="42"/>
      <c r="O3483" s="42"/>
      <c r="P3483" s="9"/>
      <c r="Q3483" s="9"/>
      <c r="R3483" s="42"/>
      <c r="S3483" s="42"/>
      <c r="T3483" s="42"/>
      <c r="U3483" s="42"/>
      <c r="V3483" s="42"/>
      <c r="W3483" s="42"/>
    </row>
    <row r="3484">
      <c r="A3484" s="9"/>
      <c r="B3484" s="9"/>
      <c r="C3484" s="9"/>
      <c r="D3484" s="42"/>
      <c r="E3484" s="103"/>
      <c r="F3484" s="42"/>
      <c r="G3484" s="9"/>
      <c r="H3484" s="9"/>
      <c r="I3484" s="9"/>
      <c r="J3484" s="9"/>
      <c r="K3484" s="42"/>
      <c r="L3484" s="42"/>
      <c r="M3484" s="42"/>
      <c r="N3484" s="42"/>
      <c r="O3484" s="42"/>
      <c r="P3484" s="9"/>
      <c r="Q3484" s="9"/>
      <c r="R3484" s="42"/>
      <c r="S3484" s="42"/>
      <c r="T3484" s="42"/>
      <c r="U3484" s="42"/>
      <c r="V3484" s="42"/>
      <c r="W3484" s="42"/>
    </row>
    <row r="3485">
      <c r="A3485" s="9"/>
      <c r="B3485" s="9"/>
      <c r="C3485" s="9"/>
      <c r="D3485" s="42"/>
      <c r="E3485" s="103"/>
      <c r="F3485" s="42"/>
      <c r="G3485" s="9"/>
      <c r="H3485" s="9"/>
      <c r="I3485" s="9"/>
      <c r="J3485" s="9"/>
      <c r="K3485" s="42"/>
      <c r="L3485" s="42"/>
      <c r="M3485" s="42"/>
      <c r="N3485" s="42"/>
      <c r="O3485" s="42"/>
      <c r="P3485" s="9"/>
      <c r="Q3485" s="9"/>
      <c r="R3485" s="42"/>
      <c r="S3485" s="42"/>
      <c r="T3485" s="42"/>
      <c r="U3485" s="42"/>
      <c r="V3485" s="42"/>
      <c r="W3485" s="42"/>
    </row>
    <row r="3486">
      <c r="A3486" s="9"/>
      <c r="B3486" s="9"/>
      <c r="C3486" s="9"/>
      <c r="D3486" s="42"/>
      <c r="E3486" s="103"/>
      <c r="F3486" s="42"/>
      <c r="G3486" s="9"/>
      <c r="H3486" s="9"/>
      <c r="I3486" s="9"/>
      <c r="J3486" s="9"/>
      <c r="K3486" s="42"/>
      <c r="L3486" s="42"/>
      <c r="M3486" s="42"/>
      <c r="N3486" s="42"/>
      <c r="O3486" s="42"/>
      <c r="P3486" s="9"/>
      <c r="Q3486" s="9"/>
      <c r="R3486" s="42"/>
      <c r="S3486" s="42"/>
      <c r="T3486" s="42"/>
      <c r="U3486" s="42"/>
      <c r="V3486" s="42"/>
      <c r="W3486" s="42"/>
    </row>
    <row r="3487">
      <c r="A3487" s="9"/>
      <c r="B3487" s="9"/>
      <c r="C3487" s="9"/>
      <c r="D3487" s="42"/>
      <c r="E3487" s="103"/>
      <c r="F3487" s="42"/>
      <c r="G3487" s="9"/>
      <c r="H3487" s="9"/>
      <c r="I3487" s="9"/>
      <c r="J3487" s="9"/>
      <c r="K3487" s="42"/>
      <c r="L3487" s="42"/>
      <c r="M3487" s="42"/>
      <c r="N3487" s="42"/>
      <c r="O3487" s="42"/>
      <c r="P3487" s="9"/>
      <c r="Q3487" s="9"/>
      <c r="R3487" s="42"/>
      <c r="S3487" s="42"/>
      <c r="T3487" s="42"/>
      <c r="U3487" s="42"/>
      <c r="V3487" s="42"/>
      <c r="W3487" s="42"/>
    </row>
    <row r="3488">
      <c r="A3488" s="9"/>
      <c r="B3488" s="9"/>
      <c r="C3488" s="9"/>
      <c r="D3488" s="42"/>
      <c r="E3488" s="103"/>
      <c r="F3488" s="42"/>
      <c r="G3488" s="9"/>
      <c r="H3488" s="9"/>
      <c r="I3488" s="9"/>
      <c r="J3488" s="9"/>
      <c r="K3488" s="42"/>
      <c r="L3488" s="42"/>
      <c r="M3488" s="42"/>
      <c r="N3488" s="42"/>
      <c r="O3488" s="42"/>
      <c r="P3488" s="9"/>
      <c r="Q3488" s="9"/>
      <c r="R3488" s="42"/>
      <c r="S3488" s="42"/>
      <c r="T3488" s="42"/>
      <c r="U3488" s="42"/>
      <c r="V3488" s="42"/>
      <c r="W3488" s="42"/>
    </row>
    <row r="3489">
      <c r="A3489" s="9"/>
      <c r="B3489" s="9"/>
      <c r="C3489" s="9"/>
      <c r="D3489" s="42"/>
      <c r="E3489" s="103"/>
      <c r="F3489" s="42"/>
      <c r="G3489" s="9"/>
      <c r="H3489" s="9"/>
      <c r="I3489" s="9"/>
      <c r="J3489" s="9"/>
      <c r="K3489" s="42"/>
      <c r="L3489" s="42"/>
      <c r="M3489" s="42"/>
      <c r="N3489" s="42"/>
      <c r="O3489" s="42"/>
      <c r="P3489" s="9"/>
      <c r="Q3489" s="9"/>
      <c r="R3489" s="42"/>
      <c r="S3489" s="42"/>
      <c r="T3489" s="42"/>
      <c r="U3489" s="42"/>
      <c r="V3489" s="42"/>
      <c r="W3489" s="42"/>
    </row>
    <row r="3490">
      <c r="A3490" s="9"/>
      <c r="B3490" s="9"/>
      <c r="C3490" s="9"/>
      <c r="D3490" s="42"/>
      <c r="E3490" s="103"/>
      <c r="F3490" s="42"/>
      <c r="G3490" s="9"/>
      <c r="H3490" s="9"/>
      <c r="I3490" s="9"/>
      <c r="J3490" s="9"/>
      <c r="K3490" s="42"/>
      <c r="L3490" s="42"/>
      <c r="M3490" s="42"/>
      <c r="N3490" s="42"/>
      <c r="O3490" s="42"/>
      <c r="P3490" s="9"/>
      <c r="Q3490" s="9"/>
      <c r="R3490" s="42"/>
      <c r="S3490" s="42"/>
      <c r="T3490" s="42"/>
      <c r="U3490" s="42"/>
      <c r="V3490" s="42"/>
      <c r="W3490" s="42"/>
    </row>
    <row r="3491">
      <c r="A3491" s="9"/>
      <c r="B3491" s="9"/>
      <c r="C3491" s="9"/>
      <c r="D3491" s="42"/>
      <c r="E3491" s="103"/>
      <c r="F3491" s="42"/>
      <c r="G3491" s="9"/>
      <c r="H3491" s="9"/>
      <c r="I3491" s="9"/>
      <c r="J3491" s="9"/>
      <c r="K3491" s="42"/>
      <c r="L3491" s="42"/>
      <c r="M3491" s="42"/>
      <c r="N3491" s="42"/>
      <c r="O3491" s="42"/>
      <c r="P3491" s="9"/>
      <c r="Q3491" s="9"/>
      <c r="R3491" s="42"/>
      <c r="S3491" s="42"/>
      <c r="T3491" s="42"/>
      <c r="U3491" s="42"/>
      <c r="V3491" s="42"/>
      <c r="W3491" s="42"/>
    </row>
    <row r="3492">
      <c r="A3492" s="9"/>
      <c r="B3492" s="9"/>
      <c r="C3492" s="9"/>
      <c r="D3492" s="42"/>
      <c r="E3492" s="103"/>
      <c r="F3492" s="42"/>
      <c r="G3492" s="9"/>
      <c r="H3492" s="9"/>
      <c r="I3492" s="9"/>
      <c r="J3492" s="9"/>
      <c r="K3492" s="42"/>
      <c r="L3492" s="42"/>
      <c r="M3492" s="42"/>
      <c r="N3492" s="42"/>
      <c r="O3492" s="42"/>
      <c r="P3492" s="9"/>
      <c r="Q3492" s="9"/>
      <c r="R3492" s="42"/>
      <c r="S3492" s="42"/>
      <c r="T3492" s="42"/>
      <c r="U3492" s="42"/>
      <c r="V3492" s="42"/>
      <c r="W3492" s="42"/>
    </row>
    <row r="3493">
      <c r="A3493" s="9"/>
      <c r="B3493" s="9"/>
      <c r="C3493" s="9"/>
      <c r="D3493" s="42"/>
      <c r="E3493" s="103"/>
      <c r="F3493" s="42"/>
      <c r="G3493" s="9"/>
      <c r="H3493" s="9"/>
      <c r="I3493" s="9"/>
      <c r="J3493" s="9"/>
      <c r="K3493" s="42"/>
      <c r="L3493" s="42"/>
      <c r="M3493" s="42"/>
      <c r="N3493" s="42"/>
      <c r="O3493" s="42"/>
      <c r="P3493" s="9"/>
      <c r="Q3493" s="9"/>
      <c r="R3493" s="42"/>
      <c r="S3493" s="42"/>
      <c r="T3493" s="42"/>
      <c r="U3493" s="42"/>
      <c r="V3493" s="42"/>
      <c r="W3493" s="42"/>
    </row>
    <row r="3494">
      <c r="A3494" s="9"/>
      <c r="B3494" s="9"/>
      <c r="C3494" s="9"/>
      <c r="D3494" s="42"/>
      <c r="E3494" s="103"/>
      <c r="F3494" s="42"/>
      <c r="G3494" s="9"/>
      <c r="H3494" s="9"/>
      <c r="I3494" s="9"/>
      <c r="J3494" s="9"/>
      <c r="K3494" s="42"/>
      <c r="L3494" s="42"/>
      <c r="M3494" s="42"/>
      <c r="N3494" s="42"/>
      <c r="O3494" s="42"/>
      <c r="P3494" s="9"/>
      <c r="Q3494" s="9"/>
      <c r="R3494" s="42"/>
      <c r="S3494" s="42"/>
      <c r="T3494" s="42"/>
      <c r="U3494" s="42"/>
      <c r="V3494" s="42"/>
      <c r="W3494" s="42"/>
    </row>
    <row r="3495">
      <c r="A3495" s="9"/>
      <c r="B3495" s="9"/>
      <c r="C3495" s="9"/>
      <c r="D3495" s="42"/>
      <c r="E3495" s="103"/>
      <c r="F3495" s="42"/>
      <c r="G3495" s="9"/>
      <c r="H3495" s="9"/>
      <c r="I3495" s="9"/>
      <c r="J3495" s="9"/>
      <c r="K3495" s="42"/>
      <c r="L3495" s="42"/>
      <c r="M3495" s="42"/>
      <c r="N3495" s="42"/>
      <c r="O3495" s="42"/>
      <c r="P3495" s="9"/>
      <c r="Q3495" s="9"/>
      <c r="R3495" s="42"/>
      <c r="S3495" s="42"/>
      <c r="T3495" s="42"/>
      <c r="U3495" s="42"/>
      <c r="V3495" s="42"/>
      <c r="W3495" s="42"/>
    </row>
    <row r="3496">
      <c r="A3496" s="9"/>
      <c r="B3496" s="9"/>
      <c r="C3496" s="9"/>
      <c r="D3496" s="42"/>
      <c r="E3496" s="103"/>
      <c r="F3496" s="42"/>
      <c r="G3496" s="9"/>
      <c r="H3496" s="9"/>
      <c r="I3496" s="9"/>
      <c r="J3496" s="9"/>
      <c r="K3496" s="42"/>
      <c r="L3496" s="42"/>
      <c r="M3496" s="42"/>
      <c r="N3496" s="42"/>
      <c r="O3496" s="42"/>
      <c r="P3496" s="9"/>
      <c r="Q3496" s="9"/>
      <c r="R3496" s="42"/>
      <c r="S3496" s="42"/>
      <c r="T3496" s="42"/>
      <c r="U3496" s="42"/>
      <c r="V3496" s="42"/>
      <c r="W3496" s="42"/>
    </row>
    <row r="3497">
      <c r="A3497" s="9"/>
      <c r="B3497" s="9"/>
      <c r="C3497" s="9"/>
      <c r="D3497" s="42"/>
      <c r="E3497" s="103"/>
      <c r="F3497" s="42"/>
      <c r="G3497" s="9"/>
      <c r="H3497" s="9"/>
      <c r="I3497" s="9"/>
      <c r="J3497" s="9"/>
      <c r="K3497" s="42"/>
      <c r="L3497" s="42"/>
      <c r="M3497" s="42"/>
      <c r="N3497" s="42"/>
      <c r="O3497" s="42"/>
      <c r="P3497" s="9"/>
      <c r="Q3497" s="9"/>
      <c r="R3497" s="42"/>
      <c r="S3497" s="42"/>
      <c r="T3497" s="42"/>
      <c r="U3497" s="42"/>
      <c r="V3497" s="42"/>
      <c r="W3497" s="42"/>
    </row>
    <row r="3498">
      <c r="A3498" s="9"/>
      <c r="B3498" s="9"/>
      <c r="C3498" s="9"/>
      <c r="D3498" s="42"/>
      <c r="E3498" s="103"/>
      <c r="F3498" s="42"/>
      <c r="G3498" s="9"/>
      <c r="H3498" s="9"/>
      <c r="I3498" s="9"/>
      <c r="J3498" s="9"/>
      <c r="K3498" s="42"/>
      <c r="L3498" s="42"/>
      <c r="M3498" s="42"/>
      <c r="N3498" s="42"/>
      <c r="O3498" s="42"/>
      <c r="P3498" s="9"/>
      <c r="Q3498" s="9"/>
      <c r="R3498" s="42"/>
      <c r="S3498" s="42"/>
      <c r="T3498" s="42"/>
      <c r="U3498" s="42"/>
      <c r="V3498" s="42"/>
      <c r="W3498" s="42"/>
    </row>
    <row r="3499">
      <c r="A3499" s="9"/>
      <c r="B3499" s="9"/>
      <c r="C3499" s="9"/>
      <c r="D3499" s="42"/>
      <c r="E3499" s="103"/>
      <c r="F3499" s="42"/>
      <c r="G3499" s="9"/>
      <c r="H3499" s="9"/>
      <c r="I3499" s="9"/>
      <c r="J3499" s="9"/>
      <c r="K3499" s="42"/>
      <c r="L3499" s="42"/>
      <c r="M3499" s="42"/>
      <c r="N3499" s="42"/>
      <c r="O3499" s="42"/>
      <c r="P3499" s="9"/>
      <c r="Q3499" s="9"/>
      <c r="R3499" s="42"/>
      <c r="S3499" s="42"/>
      <c r="T3499" s="42"/>
      <c r="U3499" s="42"/>
      <c r="V3499" s="42"/>
      <c r="W3499" s="42"/>
    </row>
    <row r="3500">
      <c r="A3500" s="9"/>
      <c r="B3500" s="9"/>
      <c r="C3500" s="9"/>
      <c r="D3500" s="42"/>
      <c r="E3500" s="103"/>
      <c r="F3500" s="42"/>
      <c r="G3500" s="9"/>
      <c r="H3500" s="9"/>
      <c r="I3500" s="9"/>
      <c r="J3500" s="9"/>
      <c r="K3500" s="42"/>
      <c r="L3500" s="42"/>
      <c r="M3500" s="42"/>
      <c r="N3500" s="42"/>
      <c r="O3500" s="42"/>
      <c r="P3500" s="9"/>
      <c r="Q3500" s="9"/>
      <c r="R3500" s="42"/>
      <c r="S3500" s="42"/>
      <c r="T3500" s="42"/>
      <c r="U3500" s="42"/>
      <c r="V3500" s="42"/>
      <c r="W3500" s="42"/>
    </row>
    <row r="3501">
      <c r="A3501" s="9"/>
      <c r="B3501" s="9"/>
      <c r="C3501" s="9"/>
      <c r="D3501" s="42"/>
      <c r="E3501" s="103"/>
      <c r="F3501" s="42"/>
      <c r="G3501" s="9"/>
      <c r="H3501" s="9"/>
      <c r="I3501" s="9"/>
      <c r="J3501" s="9"/>
      <c r="K3501" s="42"/>
      <c r="L3501" s="42"/>
      <c r="M3501" s="42"/>
      <c r="N3501" s="42"/>
      <c r="O3501" s="42"/>
      <c r="P3501" s="9"/>
      <c r="Q3501" s="9"/>
      <c r="R3501" s="42"/>
      <c r="S3501" s="42"/>
      <c r="T3501" s="42"/>
      <c r="U3501" s="42"/>
      <c r="V3501" s="42"/>
      <c r="W3501" s="42"/>
    </row>
    <row r="3502">
      <c r="A3502" s="9"/>
      <c r="B3502" s="9"/>
      <c r="C3502" s="9"/>
      <c r="D3502" s="42"/>
      <c r="E3502" s="103"/>
      <c r="F3502" s="42"/>
      <c r="G3502" s="9"/>
      <c r="H3502" s="9"/>
      <c r="I3502" s="9"/>
      <c r="J3502" s="9"/>
      <c r="K3502" s="42"/>
      <c r="L3502" s="42"/>
      <c r="M3502" s="42"/>
      <c r="N3502" s="42"/>
      <c r="O3502" s="42"/>
      <c r="P3502" s="9"/>
      <c r="Q3502" s="9"/>
      <c r="R3502" s="42"/>
      <c r="S3502" s="42"/>
      <c r="T3502" s="42"/>
      <c r="U3502" s="42"/>
      <c r="V3502" s="42"/>
      <c r="W3502" s="42"/>
    </row>
    <row r="3503">
      <c r="A3503" s="9"/>
      <c r="B3503" s="9"/>
      <c r="C3503" s="9"/>
      <c r="D3503" s="42"/>
      <c r="E3503" s="103"/>
      <c r="F3503" s="42"/>
      <c r="G3503" s="9"/>
      <c r="H3503" s="9"/>
      <c r="I3503" s="9"/>
      <c r="J3503" s="9"/>
      <c r="K3503" s="42"/>
      <c r="L3503" s="42"/>
      <c r="M3503" s="42"/>
      <c r="N3503" s="42"/>
      <c r="O3503" s="42"/>
      <c r="P3503" s="9"/>
      <c r="Q3503" s="9"/>
      <c r="R3503" s="42"/>
      <c r="S3503" s="42"/>
      <c r="T3503" s="42"/>
      <c r="U3503" s="42"/>
      <c r="V3503" s="42"/>
      <c r="W3503" s="42"/>
    </row>
    <row r="3504">
      <c r="A3504" s="9"/>
      <c r="B3504" s="9"/>
      <c r="C3504" s="9"/>
      <c r="D3504" s="42"/>
      <c r="E3504" s="103"/>
      <c r="F3504" s="42"/>
      <c r="G3504" s="9"/>
      <c r="H3504" s="9"/>
      <c r="I3504" s="9"/>
      <c r="J3504" s="9"/>
      <c r="K3504" s="42"/>
      <c r="L3504" s="42"/>
      <c r="M3504" s="42"/>
      <c r="N3504" s="42"/>
      <c r="O3504" s="42"/>
      <c r="P3504" s="9"/>
      <c r="Q3504" s="9"/>
      <c r="R3504" s="42"/>
      <c r="S3504" s="42"/>
      <c r="T3504" s="42"/>
      <c r="U3504" s="42"/>
      <c r="V3504" s="42"/>
      <c r="W3504" s="42"/>
    </row>
    <row r="3505">
      <c r="A3505" s="9"/>
      <c r="B3505" s="9"/>
      <c r="C3505" s="9"/>
      <c r="D3505" s="42"/>
      <c r="E3505" s="103"/>
      <c r="F3505" s="42"/>
      <c r="G3505" s="9"/>
      <c r="H3505" s="9"/>
      <c r="I3505" s="9"/>
      <c r="J3505" s="9"/>
      <c r="K3505" s="42"/>
      <c r="L3505" s="42"/>
      <c r="M3505" s="42"/>
      <c r="N3505" s="42"/>
      <c r="O3505" s="42"/>
      <c r="P3505" s="9"/>
      <c r="Q3505" s="9"/>
      <c r="R3505" s="42"/>
      <c r="S3505" s="42"/>
      <c r="T3505" s="42"/>
      <c r="U3505" s="42"/>
      <c r="V3505" s="42"/>
      <c r="W3505" s="42"/>
    </row>
    <row r="3506">
      <c r="A3506" s="9"/>
      <c r="B3506" s="9"/>
      <c r="C3506" s="9"/>
      <c r="D3506" s="42"/>
      <c r="E3506" s="103"/>
      <c r="F3506" s="42"/>
      <c r="G3506" s="9"/>
      <c r="H3506" s="9"/>
      <c r="I3506" s="9"/>
      <c r="J3506" s="9"/>
      <c r="K3506" s="42"/>
      <c r="L3506" s="42"/>
      <c r="M3506" s="42"/>
      <c r="N3506" s="42"/>
      <c r="O3506" s="42"/>
      <c r="P3506" s="9"/>
      <c r="Q3506" s="9"/>
      <c r="R3506" s="42"/>
      <c r="S3506" s="42"/>
      <c r="T3506" s="42"/>
      <c r="U3506" s="42"/>
      <c r="V3506" s="42"/>
      <c r="W3506" s="42"/>
    </row>
    <row r="3507">
      <c r="A3507" s="9"/>
      <c r="B3507" s="9"/>
      <c r="C3507" s="9"/>
      <c r="D3507" s="42"/>
      <c r="E3507" s="103"/>
      <c r="F3507" s="42"/>
      <c r="G3507" s="9"/>
      <c r="H3507" s="9"/>
      <c r="I3507" s="9"/>
      <c r="J3507" s="9"/>
      <c r="K3507" s="42"/>
      <c r="L3507" s="42"/>
      <c r="M3507" s="42"/>
      <c r="N3507" s="42"/>
      <c r="O3507" s="42"/>
      <c r="P3507" s="9"/>
      <c r="Q3507" s="9"/>
      <c r="R3507" s="42"/>
      <c r="S3507" s="42"/>
      <c r="T3507" s="42"/>
      <c r="U3507" s="42"/>
      <c r="V3507" s="42"/>
      <c r="W3507" s="42"/>
    </row>
    <row r="3508">
      <c r="A3508" s="9"/>
      <c r="B3508" s="9"/>
      <c r="C3508" s="9"/>
      <c r="D3508" s="42"/>
      <c r="E3508" s="103"/>
      <c r="F3508" s="42"/>
      <c r="G3508" s="9"/>
      <c r="H3508" s="9"/>
      <c r="I3508" s="9"/>
      <c r="J3508" s="9"/>
      <c r="K3508" s="42"/>
      <c r="L3508" s="42"/>
      <c r="M3508" s="42"/>
      <c r="N3508" s="42"/>
      <c r="O3508" s="42"/>
      <c r="P3508" s="9"/>
      <c r="Q3508" s="9"/>
      <c r="R3508" s="42"/>
      <c r="S3508" s="42"/>
      <c r="T3508" s="42"/>
      <c r="U3508" s="42"/>
      <c r="V3508" s="42"/>
      <c r="W3508" s="42"/>
    </row>
    <row r="3509">
      <c r="A3509" s="9"/>
      <c r="B3509" s="9"/>
      <c r="C3509" s="9"/>
      <c r="D3509" s="42"/>
      <c r="E3509" s="103"/>
      <c r="F3509" s="42"/>
      <c r="G3509" s="9"/>
      <c r="H3509" s="9"/>
      <c r="I3509" s="9"/>
      <c r="J3509" s="9"/>
      <c r="K3509" s="42"/>
      <c r="L3509" s="42"/>
      <c r="M3509" s="42"/>
      <c r="N3509" s="42"/>
      <c r="O3509" s="42"/>
      <c r="P3509" s="9"/>
      <c r="Q3509" s="9"/>
      <c r="R3509" s="42"/>
      <c r="S3509" s="42"/>
      <c r="T3509" s="42"/>
      <c r="U3509" s="42"/>
      <c r="V3509" s="42"/>
      <c r="W3509" s="42"/>
    </row>
    <row r="3510">
      <c r="A3510" s="9"/>
      <c r="B3510" s="9"/>
      <c r="C3510" s="9"/>
      <c r="D3510" s="42"/>
      <c r="E3510" s="103"/>
      <c r="F3510" s="42"/>
      <c r="G3510" s="9"/>
      <c r="H3510" s="9"/>
      <c r="I3510" s="9"/>
      <c r="J3510" s="9"/>
      <c r="K3510" s="42"/>
      <c r="L3510" s="42"/>
      <c r="M3510" s="42"/>
      <c r="N3510" s="42"/>
      <c r="O3510" s="42"/>
      <c r="P3510" s="9"/>
      <c r="Q3510" s="9"/>
      <c r="R3510" s="42"/>
      <c r="S3510" s="42"/>
      <c r="T3510" s="42"/>
      <c r="U3510" s="42"/>
      <c r="V3510" s="42"/>
      <c r="W3510" s="42"/>
    </row>
    <row r="3511">
      <c r="A3511" s="9"/>
      <c r="B3511" s="9"/>
      <c r="C3511" s="9"/>
      <c r="D3511" s="42"/>
      <c r="E3511" s="103"/>
      <c r="F3511" s="42"/>
      <c r="G3511" s="9"/>
      <c r="H3511" s="9"/>
      <c r="I3511" s="9"/>
      <c r="J3511" s="9"/>
      <c r="K3511" s="42"/>
      <c r="L3511" s="42"/>
      <c r="M3511" s="42"/>
      <c r="N3511" s="42"/>
      <c r="O3511" s="42"/>
      <c r="P3511" s="9"/>
      <c r="Q3511" s="9"/>
      <c r="R3511" s="42"/>
      <c r="S3511" s="42"/>
      <c r="T3511" s="42"/>
      <c r="U3511" s="42"/>
      <c r="V3511" s="42"/>
      <c r="W3511" s="42"/>
    </row>
    <row r="3512">
      <c r="A3512" s="9"/>
      <c r="B3512" s="9"/>
      <c r="C3512" s="9"/>
      <c r="D3512" s="42"/>
      <c r="E3512" s="103"/>
      <c r="F3512" s="42"/>
      <c r="G3512" s="9"/>
      <c r="H3512" s="9"/>
      <c r="I3512" s="9"/>
      <c r="J3512" s="9"/>
      <c r="K3512" s="42"/>
      <c r="L3512" s="42"/>
      <c r="M3512" s="42"/>
      <c r="N3512" s="42"/>
      <c r="O3512" s="42"/>
      <c r="P3512" s="9"/>
      <c r="Q3512" s="9"/>
      <c r="R3512" s="42"/>
      <c r="S3512" s="42"/>
      <c r="T3512" s="42"/>
      <c r="U3512" s="42"/>
      <c r="V3512" s="42"/>
      <c r="W3512" s="42"/>
    </row>
    <row r="3513">
      <c r="A3513" s="9"/>
      <c r="B3513" s="9"/>
      <c r="C3513" s="9"/>
      <c r="D3513" s="42"/>
      <c r="E3513" s="103"/>
      <c r="F3513" s="42"/>
      <c r="G3513" s="9"/>
      <c r="H3513" s="9"/>
      <c r="I3513" s="9"/>
      <c r="J3513" s="9"/>
      <c r="K3513" s="42"/>
      <c r="L3513" s="42"/>
      <c r="M3513" s="42"/>
      <c r="N3513" s="42"/>
      <c r="O3513" s="42"/>
      <c r="P3513" s="9"/>
      <c r="Q3513" s="9"/>
      <c r="R3513" s="42"/>
      <c r="S3513" s="42"/>
      <c r="T3513" s="42"/>
      <c r="U3513" s="42"/>
      <c r="V3513" s="42"/>
      <c r="W3513" s="42"/>
    </row>
    <row r="3514">
      <c r="A3514" s="9"/>
      <c r="B3514" s="9"/>
      <c r="C3514" s="9"/>
      <c r="D3514" s="42"/>
      <c r="E3514" s="103"/>
      <c r="F3514" s="42"/>
      <c r="G3514" s="9"/>
      <c r="H3514" s="9"/>
      <c r="I3514" s="9"/>
      <c r="J3514" s="9"/>
      <c r="K3514" s="42"/>
      <c r="L3514" s="42"/>
      <c r="M3514" s="42"/>
      <c r="N3514" s="42"/>
      <c r="O3514" s="42"/>
      <c r="P3514" s="9"/>
      <c r="Q3514" s="9"/>
      <c r="R3514" s="42"/>
      <c r="S3514" s="42"/>
      <c r="T3514" s="42"/>
      <c r="U3514" s="42"/>
      <c r="V3514" s="42"/>
      <c r="W3514" s="42"/>
    </row>
    <row r="3515">
      <c r="A3515" s="9"/>
      <c r="B3515" s="9"/>
      <c r="C3515" s="9"/>
      <c r="D3515" s="42"/>
      <c r="E3515" s="103"/>
      <c r="F3515" s="42"/>
      <c r="G3515" s="9"/>
      <c r="H3515" s="9"/>
      <c r="I3515" s="9"/>
      <c r="J3515" s="9"/>
      <c r="K3515" s="42"/>
      <c r="L3515" s="42"/>
      <c r="M3515" s="42"/>
      <c r="N3515" s="42"/>
      <c r="O3515" s="42"/>
      <c r="P3515" s="9"/>
      <c r="Q3515" s="9"/>
      <c r="R3515" s="42"/>
      <c r="S3515" s="42"/>
      <c r="T3515" s="42"/>
      <c r="U3515" s="42"/>
      <c r="V3515" s="42"/>
      <c r="W3515" s="42"/>
    </row>
    <row r="3516">
      <c r="A3516" s="9"/>
      <c r="B3516" s="9"/>
      <c r="C3516" s="9"/>
      <c r="D3516" s="42"/>
      <c r="E3516" s="103"/>
      <c r="F3516" s="42"/>
      <c r="G3516" s="9"/>
      <c r="H3516" s="9"/>
      <c r="I3516" s="9"/>
      <c r="J3516" s="9"/>
      <c r="K3516" s="42"/>
      <c r="L3516" s="42"/>
      <c r="M3516" s="42"/>
      <c r="N3516" s="42"/>
      <c r="O3516" s="42"/>
      <c r="P3516" s="9"/>
      <c r="Q3516" s="9"/>
      <c r="R3516" s="42"/>
      <c r="S3516" s="42"/>
      <c r="T3516" s="42"/>
      <c r="U3516" s="42"/>
      <c r="V3516" s="42"/>
      <c r="W3516" s="42"/>
    </row>
    <row r="3517">
      <c r="A3517" s="9"/>
      <c r="B3517" s="9"/>
      <c r="C3517" s="9"/>
      <c r="D3517" s="42"/>
      <c r="E3517" s="103"/>
      <c r="F3517" s="42"/>
      <c r="G3517" s="9"/>
      <c r="H3517" s="9"/>
      <c r="I3517" s="9"/>
      <c r="J3517" s="9"/>
      <c r="K3517" s="42"/>
      <c r="L3517" s="42"/>
      <c r="M3517" s="42"/>
      <c r="N3517" s="42"/>
      <c r="O3517" s="42"/>
      <c r="P3517" s="9"/>
      <c r="Q3517" s="9"/>
      <c r="R3517" s="42"/>
      <c r="S3517" s="42"/>
      <c r="T3517" s="42"/>
      <c r="U3517" s="42"/>
      <c r="V3517" s="42"/>
      <c r="W3517" s="42"/>
    </row>
    <row r="3518">
      <c r="A3518" s="9"/>
      <c r="B3518" s="9"/>
      <c r="C3518" s="9"/>
      <c r="D3518" s="42"/>
      <c r="E3518" s="103"/>
      <c r="F3518" s="42"/>
      <c r="G3518" s="9"/>
      <c r="H3518" s="9"/>
      <c r="I3518" s="9"/>
      <c r="J3518" s="9"/>
      <c r="K3518" s="42"/>
      <c r="L3518" s="42"/>
      <c r="M3518" s="42"/>
      <c r="N3518" s="42"/>
      <c r="O3518" s="42"/>
      <c r="P3518" s="9"/>
      <c r="Q3518" s="9"/>
      <c r="R3518" s="42"/>
      <c r="S3518" s="42"/>
      <c r="T3518" s="42"/>
      <c r="U3518" s="42"/>
      <c r="V3518" s="42"/>
      <c r="W3518" s="42"/>
    </row>
    <row r="3519">
      <c r="A3519" s="9"/>
      <c r="B3519" s="9"/>
      <c r="C3519" s="9"/>
      <c r="D3519" s="42"/>
      <c r="E3519" s="103"/>
      <c r="F3519" s="42"/>
      <c r="G3519" s="9"/>
      <c r="H3519" s="9"/>
      <c r="I3519" s="9"/>
      <c r="J3519" s="9"/>
      <c r="K3519" s="42"/>
      <c r="L3519" s="42"/>
      <c r="M3519" s="42"/>
      <c r="N3519" s="42"/>
      <c r="O3519" s="42"/>
      <c r="P3519" s="9"/>
      <c r="Q3519" s="9"/>
      <c r="R3519" s="42"/>
      <c r="S3519" s="42"/>
      <c r="T3519" s="42"/>
      <c r="U3519" s="42"/>
      <c r="V3519" s="42"/>
      <c r="W3519" s="42"/>
    </row>
    <row r="3520">
      <c r="A3520" s="9"/>
      <c r="B3520" s="9"/>
      <c r="C3520" s="9"/>
      <c r="D3520" s="42"/>
      <c r="E3520" s="103"/>
      <c r="F3520" s="42"/>
      <c r="G3520" s="9"/>
      <c r="H3520" s="9"/>
      <c r="I3520" s="9"/>
      <c r="J3520" s="9"/>
      <c r="K3520" s="42"/>
      <c r="L3520" s="42"/>
      <c r="M3520" s="42"/>
      <c r="N3520" s="42"/>
      <c r="O3520" s="42"/>
      <c r="P3520" s="9"/>
      <c r="Q3520" s="9"/>
      <c r="R3520" s="42"/>
      <c r="S3520" s="42"/>
      <c r="T3520" s="42"/>
      <c r="U3520" s="42"/>
      <c r="V3520" s="42"/>
      <c r="W3520" s="42"/>
    </row>
    <row r="3521">
      <c r="A3521" s="9"/>
      <c r="B3521" s="9"/>
      <c r="C3521" s="9"/>
      <c r="D3521" s="42"/>
      <c r="E3521" s="103"/>
      <c r="F3521" s="42"/>
      <c r="G3521" s="9"/>
      <c r="H3521" s="9"/>
      <c r="I3521" s="9"/>
      <c r="J3521" s="9"/>
      <c r="K3521" s="42"/>
      <c r="L3521" s="42"/>
      <c r="M3521" s="42"/>
      <c r="N3521" s="42"/>
      <c r="O3521" s="42"/>
      <c r="P3521" s="9"/>
      <c r="Q3521" s="9"/>
      <c r="R3521" s="42"/>
      <c r="S3521" s="42"/>
      <c r="T3521" s="42"/>
      <c r="U3521" s="42"/>
      <c r="V3521" s="42"/>
      <c r="W3521" s="42"/>
    </row>
    <row r="3522">
      <c r="A3522" s="9"/>
      <c r="B3522" s="9"/>
      <c r="C3522" s="9"/>
      <c r="D3522" s="42"/>
      <c r="E3522" s="103"/>
      <c r="F3522" s="42"/>
      <c r="G3522" s="9"/>
      <c r="H3522" s="9"/>
      <c r="I3522" s="9"/>
      <c r="J3522" s="9"/>
      <c r="K3522" s="42"/>
      <c r="L3522" s="42"/>
      <c r="M3522" s="42"/>
      <c r="N3522" s="42"/>
      <c r="O3522" s="42"/>
      <c r="P3522" s="9"/>
      <c r="Q3522" s="9"/>
      <c r="R3522" s="42"/>
      <c r="S3522" s="42"/>
      <c r="T3522" s="42"/>
      <c r="U3522" s="42"/>
      <c r="V3522" s="42"/>
      <c r="W3522" s="42"/>
    </row>
    <row r="3523">
      <c r="A3523" s="9"/>
      <c r="B3523" s="9"/>
      <c r="C3523" s="9"/>
      <c r="D3523" s="42"/>
      <c r="E3523" s="103"/>
      <c r="F3523" s="42"/>
      <c r="G3523" s="9"/>
      <c r="H3523" s="9"/>
      <c r="I3523" s="9"/>
      <c r="J3523" s="9"/>
      <c r="K3523" s="42"/>
      <c r="L3523" s="42"/>
      <c r="M3523" s="42"/>
      <c r="N3523" s="42"/>
      <c r="O3523" s="42"/>
      <c r="P3523" s="9"/>
      <c r="Q3523" s="9"/>
      <c r="R3523" s="42"/>
      <c r="S3523" s="42"/>
      <c r="T3523" s="42"/>
      <c r="U3523" s="42"/>
      <c r="V3523" s="42"/>
      <c r="W3523" s="42"/>
    </row>
    <row r="3524">
      <c r="A3524" s="9"/>
      <c r="B3524" s="9"/>
      <c r="C3524" s="9"/>
      <c r="D3524" s="42"/>
      <c r="E3524" s="103"/>
      <c r="F3524" s="42"/>
      <c r="G3524" s="9"/>
      <c r="H3524" s="9"/>
      <c r="I3524" s="9"/>
      <c r="J3524" s="9"/>
      <c r="K3524" s="42"/>
      <c r="L3524" s="42"/>
      <c r="M3524" s="42"/>
      <c r="N3524" s="42"/>
      <c r="O3524" s="42"/>
      <c r="P3524" s="9"/>
      <c r="Q3524" s="9"/>
      <c r="R3524" s="42"/>
      <c r="S3524" s="42"/>
      <c r="T3524" s="42"/>
      <c r="U3524" s="42"/>
      <c r="V3524" s="42"/>
      <c r="W3524" s="42"/>
    </row>
    <row r="3525">
      <c r="A3525" s="9"/>
      <c r="B3525" s="9"/>
      <c r="C3525" s="9"/>
      <c r="D3525" s="42"/>
      <c r="E3525" s="103"/>
      <c r="F3525" s="42"/>
      <c r="G3525" s="9"/>
      <c r="H3525" s="9"/>
      <c r="I3525" s="9"/>
      <c r="J3525" s="9"/>
      <c r="K3525" s="42"/>
      <c r="L3525" s="42"/>
      <c r="M3525" s="42"/>
      <c r="N3525" s="42"/>
      <c r="O3525" s="42"/>
      <c r="P3525" s="9"/>
      <c r="Q3525" s="9"/>
      <c r="R3525" s="42"/>
      <c r="S3525" s="42"/>
      <c r="T3525" s="42"/>
      <c r="U3525" s="42"/>
      <c r="V3525" s="42"/>
      <c r="W3525" s="42"/>
    </row>
    <row r="3526">
      <c r="A3526" s="9"/>
      <c r="B3526" s="9"/>
      <c r="C3526" s="9"/>
      <c r="D3526" s="42"/>
      <c r="E3526" s="103"/>
      <c r="F3526" s="42"/>
      <c r="G3526" s="9"/>
      <c r="H3526" s="9"/>
      <c r="I3526" s="9"/>
      <c r="J3526" s="9"/>
      <c r="K3526" s="42"/>
      <c r="L3526" s="42"/>
      <c r="M3526" s="42"/>
      <c r="N3526" s="42"/>
      <c r="O3526" s="42"/>
      <c r="P3526" s="9"/>
      <c r="Q3526" s="9"/>
      <c r="R3526" s="42"/>
      <c r="S3526" s="42"/>
      <c r="T3526" s="42"/>
      <c r="U3526" s="42"/>
      <c r="V3526" s="42"/>
      <c r="W3526" s="42"/>
    </row>
    <row r="3527">
      <c r="A3527" s="9"/>
      <c r="B3527" s="9"/>
      <c r="C3527" s="9"/>
      <c r="D3527" s="42"/>
      <c r="E3527" s="103"/>
      <c r="F3527" s="42"/>
      <c r="G3527" s="9"/>
      <c r="H3527" s="9"/>
      <c r="I3527" s="9"/>
      <c r="J3527" s="9"/>
      <c r="K3527" s="42"/>
      <c r="L3527" s="42"/>
      <c r="M3527" s="42"/>
      <c r="N3527" s="42"/>
      <c r="O3527" s="42"/>
      <c r="P3527" s="9"/>
      <c r="Q3527" s="9"/>
      <c r="R3527" s="42"/>
      <c r="S3527" s="42"/>
      <c r="T3527" s="42"/>
      <c r="U3527" s="42"/>
      <c r="V3527" s="42"/>
      <c r="W3527" s="42"/>
    </row>
    <row r="3528">
      <c r="A3528" s="9"/>
      <c r="B3528" s="9"/>
      <c r="C3528" s="9"/>
      <c r="D3528" s="42"/>
      <c r="E3528" s="103"/>
      <c r="F3528" s="42"/>
      <c r="G3528" s="9"/>
      <c r="H3528" s="9"/>
      <c r="I3528" s="9"/>
      <c r="J3528" s="9"/>
      <c r="K3528" s="42"/>
      <c r="L3528" s="42"/>
      <c r="M3528" s="42"/>
      <c r="N3528" s="42"/>
      <c r="O3528" s="42"/>
      <c r="P3528" s="9"/>
      <c r="Q3528" s="9"/>
      <c r="R3528" s="42"/>
      <c r="S3528" s="42"/>
      <c r="T3528" s="42"/>
      <c r="U3528" s="42"/>
      <c r="V3528" s="42"/>
      <c r="W3528" s="42"/>
    </row>
    <row r="3529">
      <c r="A3529" s="9"/>
      <c r="B3529" s="9"/>
      <c r="C3529" s="9"/>
      <c r="D3529" s="42"/>
      <c r="E3529" s="103"/>
      <c r="F3529" s="42"/>
      <c r="G3529" s="9"/>
      <c r="H3529" s="9"/>
      <c r="I3529" s="9"/>
      <c r="J3529" s="9"/>
      <c r="K3529" s="42"/>
      <c r="L3529" s="42"/>
      <c r="M3529" s="42"/>
      <c r="N3529" s="42"/>
      <c r="O3529" s="42"/>
      <c r="P3529" s="9"/>
      <c r="Q3529" s="9"/>
      <c r="R3529" s="42"/>
      <c r="S3529" s="42"/>
      <c r="T3529" s="42"/>
      <c r="U3529" s="42"/>
      <c r="V3529" s="42"/>
      <c r="W3529" s="42"/>
    </row>
    <row r="3530">
      <c r="A3530" s="9"/>
      <c r="B3530" s="9"/>
      <c r="C3530" s="9"/>
      <c r="D3530" s="42"/>
      <c r="E3530" s="103"/>
      <c r="F3530" s="42"/>
      <c r="G3530" s="9"/>
      <c r="H3530" s="9"/>
      <c r="I3530" s="9"/>
      <c r="J3530" s="9"/>
      <c r="K3530" s="42"/>
      <c r="L3530" s="42"/>
      <c r="M3530" s="42"/>
      <c r="N3530" s="42"/>
      <c r="O3530" s="42"/>
      <c r="P3530" s="9"/>
      <c r="Q3530" s="9"/>
      <c r="R3530" s="42"/>
      <c r="S3530" s="42"/>
      <c r="T3530" s="42"/>
      <c r="U3530" s="42"/>
      <c r="V3530" s="42"/>
      <c r="W3530" s="42"/>
    </row>
    <row r="3531">
      <c r="A3531" s="9"/>
      <c r="B3531" s="9"/>
      <c r="C3531" s="9"/>
      <c r="D3531" s="42"/>
      <c r="E3531" s="103"/>
      <c r="F3531" s="42"/>
      <c r="G3531" s="9"/>
      <c r="H3531" s="9"/>
      <c r="I3531" s="9"/>
      <c r="J3531" s="9"/>
      <c r="K3531" s="42"/>
      <c r="L3531" s="42"/>
      <c r="M3531" s="42"/>
      <c r="N3531" s="42"/>
      <c r="O3531" s="42"/>
      <c r="P3531" s="9"/>
      <c r="Q3531" s="9"/>
      <c r="R3531" s="42"/>
      <c r="S3531" s="42"/>
      <c r="T3531" s="42"/>
      <c r="U3531" s="42"/>
      <c r="V3531" s="42"/>
      <c r="W3531" s="42"/>
    </row>
    <row r="3532">
      <c r="A3532" s="9"/>
      <c r="B3532" s="9"/>
      <c r="C3532" s="9"/>
      <c r="D3532" s="42"/>
      <c r="E3532" s="103"/>
      <c r="F3532" s="42"/>
      <c r="G3532" s="9"/>
      <c r="H3532" s="9"/>
      <c r="I3532" s="9"/>
      <c r="J3532" s="9"/>
      <c r="K3532" s="42"/>
      <c r="L3532" s="42"/>
      <c r="M3532" s="42"/>
      <c r="N3532" s="42"/>
      <c r="O3532" s="42"/>
      <c r="P3532" s="9"/>
      <c r="Q3532" s="9"/>
      <c r="R3532" s="42"/>
      <c r="S3532" s="42"/>
      <c r="T3532" s="42"/>
      <c r="U3532" s="42"/>
      <c r="V3532" s="42"/>
      <c r="W3532" s="42"/>
    </row>
    <row r="3533">
      <c r="A3533" s="9"/>
      <c r="B3533" s="9"/>
      <c r="C3533" s="9"/>
      <c r="D3533" s="42"/>
      <c r="E3533" s="103"/>
      <c r="F3533" s="42"/>
      <c r="G3533" s="9"/>
      <c r="H3533" s="9"/>
      <c r="I3533" s="9"/>
      <c r="J3533" s="9"/>
      <c r="K3533" s="42"/>
      <c r="L3533" s="42"/>
      <c r="M3533" s="42"/>
      <c r="N3533" s="42"/>
      <c r="O3533" s="42"/>
      <c r="P3533" s="9"/>
      <c r="Q3533" s="9"/>
      <c r="R3533" s="42"/>
      <c r="S3533" s="42"/>
      <c r="T3533" s="42"/>
      <c r="U3533" s="42"/>
      <c r="V3533" s="42"/>
      <c r="W3533" s="42"/>
    </row>
    <row r="3534">
      <c r="A3534" s="9"/>
      <c r="B3534" s="9"/>
      <c r="C3534" s="9"/>
      <c r="D3534" s="42"/>
      <c r="E3534" s="103"/>
      <c r="F3534" s="42"/>
      <c r="G3534" s="9"/>
      <c r="H3534" s="9"/>
      <c r="I3534" s="9"/>
      <c r="J3534" s="9"/>
      <c r="K3534" s="42"/>
      <c r="L3534" s="42"/>
      <c r="M3534" s="42"/>
      <c r="N3534" s="42"/>
      <c r="O3534" s="42"/>
      <c r="P3534" s="9"/>
      <c r="Q3534" s="9"/>
      <c r="R3534" s="42"/>
      <c r="S3534" s="42"/>
      <c r="T3534" s="42"/>
      <c r="U3534" s="42"/>
      <c r="V3534" s="42"/>
      <c r="W3534" s="42"/>
    </row>
    <row r="3535">
      <c r="A3535" s="9"/>
      <c r="B3535" s="9"/>
      <c r="C3535" s="9"/>
      <c r="D3535" s="42"/>
      <c r="E3535" s="103"/>
      <c r="F3535" s="42"/>
      <c r="G3535" s="9"/>
      <c r="H3535" s="9"/>
      <c r="I3535" s="9"/>
      <c r="J3535" s="9"/>
      <c r="K3535" s="42"/>
      <c r="L3535" s="42"/>
      <c r="M3535" s="42"/>
      <c r="N3535" s="42"/>
      <c r="O3535" s="42"/>
      <c r="P3535" s="9"/>
      <c r="Q3535" s="9"/>
      <c r="R3535" s="42"/>
      <c r="S3535" s="42"/>
      <c r="T3535" s="42"/>
      <c r="U3535" s="42"/>
      <c r="V3535" s="42"/>
      <c r="W3535" s="42"/>
    </row>
    <row r="3536">
      <c r="A3536" s="9"/>
      <c r="B3536" s="9"/>
      <c r="C3536" s="9"/>
      <c r="D3536" s="42"/>
      <c r="E3536" s="103"/>
      <c r="F3536" s="42"/>
      <c r="G3536" s="9"/>
      <c r="H3536" s="9"/>
      <c r="I3536" s="9"/>
      <c r="J3536" s="9"/>
      <c r="K3536" s="42"/>
      <c r="L3536" s="42"/>
      <c r="M3536" s="42"/>
      <c r="N3536" s="42"/>
      <c r="O3536" s="42"/>
      <c r="P3536" s="9"/>
      <c r="Q3536" s="9"/>
      <c r="R3536" s="42"/>
      <c r="S3536" s="42"/>
      <c r="T3536" s="42"/>
      <c r="U3536" s="42"/>
      <c r="V3536" s="42"/>
      <c r="W3536" s="42"/>
    </row>
    <row r="3537">
      <c r="A3537" s="9"/>
      <c r="B3537" s="9"/>
      <c r="C3537" s="9"/>
      <c r="D3537" s="42"/>
      <c r="E3537" s="103"/>
      <c r="F3537" s="42"/>
      <c r="G3537" s="9"/>
      <c r="H3537" s="9"/>
      <c r="I3537" s="9"/>
      <c r="J3537" s="9"/>
      <c r="K3537" s="42"/>
      <c r="L3537" s="42"/>
      <c r="M3537" s="42"/>
      <c r="N3537" s="42"/>
      <c r="O3537" s="42"/>
      <c r="P3537" s="9"/>
      <c r="Q3537" s="9"/>
      <c r="R3537" s="42"/>
      <c r="S3537" s="42"/>
      <c r="T3537" s="42"/>
      <c r="U3537" s="42"/>
      <c r="V3537" s="42"/>
      <c r="W3537" s="42"/>
    </row>
    <row r="3538">
      <c r="A3538" s="9"/>
      <c r="B3538" s="9"/>
      <c r="C3538" s="9"/>
      <c r="D3538" s="42"/>
      <c r="E3538" s="103"/>
      <c r="F3538" s="42"/>
      <c r="G3538" s="9"/>
      <c r="H3538" s="9"/>
      <c r="I3538" s="9"/>
      <c r="J3538" s="9"/>
      <c r="K3538" s="42"/>
      <c r="L3538" s="42"/>
      <c r="M3538" s="42"/>
      <c r="N3538" s="42"/>
      <c r="O3538" s="42"/>
      <c r="P3538" s="9"/>
      <c r="Q3538" s="9"/>
      <c r="R3538" s="42"/>
      <c r="S3538" s="42"/>
      <c r="T3538" s="42"/>
      <c r="U3538" s="42"/>
      <c r="V3538" s="42"/>
      <c r="W3538" s="42"/>
    </row>
    <row r="3539">
      <c r="A3539" s="9"/>
      <c r="B3539" s="9"/>
      <c r="C3539" s="9"/>
      <c r="D3539" s="42"/>
      <c r="E3539" s="103"/>
      <c r="F3539" s="42"/>
      <c r="G3539" s="9"/>
      <c r="H3539" s="9"/>
      <c r="I3539" s="9"/>
      <c r="J3539" s="9"/>
      <c r="K3539" s="42"/>
      <c r="L3539" s="42"/>
      <c r="M3539" s="42"/>
      <c r="N3539" s="42"/>
      <c r="O3539" s="42"/>
      <c r="P3539" s="9"/>
      <c r="Q3539" s="9"/>
      <c r="R3539" s="42"/>
      <c r="S3539" s="42"/>
      <c r="T3539" s="42"/>
      <c r="U3539" s="42"/>
      <c r="V3539" s="42"/>
      <c r="W3539" s="42"/>
    </row>
    <row r="3540">
      <c r="A3540" s="9"/>
      <c r="B3540" s="9"/>
      <c r="C3540" s="9"/>
      <c r="D3540" s="42"/>
      <c r="E3540" s="103"/>
      <c r="F3540" s="42"/>
      <c r="G3540" s="9"/>
      <c r="H3540" s="9"/>
      <c r="I3540" s="9"/>
      <c r="J3540" s="9"/>
      <c r="K3540" s="42"/>
      <c r="L3540" s="42"/>
      <c r="M3540" s="42"/>
      <c r="N3540" s="42"/>
      <c r="O3540" s="42"/>
      <c r="P3540" s="9"/>
      <c r="Q3540" s="9"/>
      <c r="R3540" s="42"/>
      <c r="S3540" s="42"/>
      <c r="T3540" s="42"/>
      <c r="U3540" s="42"/>
      <c r="V3540" s="42"/>
      <c r="W3540" s="42"/>
    </row>
    <row r="3541">
      <c r="A3541" s="9"/>
      <c r="B3541" s="9"/>
      <c r="C3541" s="9"/>
      <c r="D3541" s="42"/>
      <c r="E3541" s="103"/>
      <c r="F3541" s="42"/>
      <c r="G3541" s="9"/>
      <c r="H3541" s="9"/>
      <c r="I3541" s="9"/>
      <c r="J3541" s="9"/>
      <c r="K3541" s="42"/>
      <c r="L3541" s="42"/>
      <c r="M3541" s="42"/>
      <c r="N3541" s="42"/>
      <c r="O3541" s="42"/>
      <c r="P3541" s="9"/>
      <c r="Q3541" s="9"/>
      <c r="R3541" s="42"/>
      <c r="S3541" s="42"/>
      <c r="T3541" s="42"/>
      <c r="U3541" s="42"/>
      <c r="V3541" s="42"/>
      <c r="W3541" s="42"/>
    </row>
    <row r="3542">
      <c r="A3542" s="9"/>
      <c r="B3542" s="9"/>
      <c r="C3542" s="9"/>
      <c r="D3542" s="42"/>
      <c r="E3542" s="103"/>
      <c r="F3542" s="42"/>
      <c r="G3542" s="9"/>
      <c r="H3542" s="9"/>
      <c r="I3542" s="9"/>
      <c r="J3542" s="9"/>
      <c r="K3542" s="42"/>
      <c r="L3542" s="42"/>
      <c r="M3542" s="42"/>
      <c r="N3542" s="42"/>
      <c r="O3542" s="42"/>
      <c r="P3542" s="9"/>
      <c r="Q3542" s="9"/>
      <c r="R3542" s="42"/>
      <c r="S3542" s="42"/>
      <c r="T3542" s="42"/>
      <c r="U3542" s="42"/>
      <c r="V3542" s="42"/>
      <c r="W3542" s="42"/>
    </row>
    <row r="3543">
      <c r="A3543" s="9"/>
      <c r="B3543" s="9"/>
      <c r="C3543" s="9"/>
      <c r="D3543" s="42"/>
      <c r="E3543" s="103"/>
      <c r="F3543" s="42"/>
      <c r="G3543" s="9"/>
      <c r="H3543" s="9"/>
      <c r="I3543" s="9"/>
      <c r="J3543" s="9"/>
      <c r="K3543" s="42"/>
      <c r="L3543" s="42"/>
      <c r="M3543" s="42"/>
      <c r="N3543" s="42"/>
      <c r="O3543" s="42"/>
      <c r="P3543" s="9"/>
      <c r="Q3543" s="9"/>
      <c r="R3543" s="42"/>
      <c r="S3543" s="42"/>
      <c r="T3543" s="42"/>
      <c r="U3543" s="42"/>
      <c r="V3543" s="42"/>
      <c r="W3543" s="42"/>
    </row>
    <row r="3544">
      <c r="A3544" s="9"/>
      <c r="B3544" s="9"/>
      <c r="C3544" s="9"/>
      <c r="D3544" s="42"/>
      <c r="E3544" s="103"/>
      <c r="F3544" s="42"/>
      <c r="G3544" s="9"/>
      <c r="H3544" s="9"/>
      <c r="I3544" s="9"/>
      <c r="J3544" s="9"/>
      <c r="K3544" s="42"/>
      <c r="L3544" s="42"/>
      <c r="M3544" s="42"/>
      <c r="N3544" s="42"/>
      <c r="O3544" s="42"/>
      <c r="P3544" s="9"/>
      <c r="Q3544" s="9"/>
      <c r="R3544" s="42"/>
      <c r="S3544" s="42"/>
      <c r="T3544" s="42"/>
      <c r="U3544" s="42"/>
      <c r="V3544" s="42"/>
      <c r="W3544" s="42"/>
    </row>
    <row r="3545">
      <c r="A3545" s="9"/>
      <c r="B3545" s="9"/>
      <c r="C3545" s="9"/>
      <c r="D3545" s="42"/>
      <c r="E3545" s="103"/>
      <c r="F3545" s="42"/>
      <c r="G3545" s="9"/>
      <c r="H3545" s="9"/>
      <c r="I3545" s="9"/>
      <c r="J3545" s="9"/>
      <c r="K3545" s="42"/>
      <c r="L3545" s="42"/>
      <c r="M3545" s="42"/>
      <c r="N3545" s="42"/>
      <c r="O3545" s="42"/>
      <c r="P3545" s="9"/>
      <c r="Q3545" s="9"/>
      <c r="R3545" s="42"/>
      <c r="S3545" s="42"/>
      <c r="T3545" s="42"/>
      <c r="U3545" s="42"/>
      <c r="V3545" s="42"/>
      <c r="W3545" s="42"/>
    </row>
    <row r="3546">
      <c r="A3546" s="9"/>
      <c r="B3546" s="9"/>
      <c r="C3546" s="9"/>
      <c r="D3546" s="42"/>
      <c r="E3546" s="103"/>
      <c r="F3546" s="42"/>
      <c r="G3546" s="9"/>
      <c r="H3546" s="9"/>
      <c r="I3546" s="9"/>
      <c r="J3546" s="9"/>
      <c r="K3546" s="42"/>
      <c r="L3546" s="42"/>
      <c r="M3546" s="42"/>
      <c r="N3546" s="42"/>
      <c r="O3546" s="42"/>
      <c r="P3546" s="9"/>
      <c r="Q3546" s="9"/>
      <c r="R3546" s="42"/>
      <c r="S3546" s="42"/>
      <c r="T3546" s="42"/>
      <c r="U3546" s="42"/>
      <c r="V3546" s="42"/>
      <c r="W3546" s="42"/>
    </row>
    <row r="3547">
      <c r="A3547" s="9"/>
      <c r="B3547" s="9"/>
      <c r="C3547" s="9"/>
      <c r="D3547" s="42"/>
      <c r="E3547" s="103"/>
      <c r="F3547" s="42"/>
      <c r="G3547" s="9"/>
      <c r="H3547" s="9"/>
      <c r="I3547" s="9"/>
      <c r="J3547" s="9"/>
      <c r="K3547" s="42"/>
      <c r="L3547" s="42"/>
      <c r="M3547" s="42"/>
      <c r="N3547" s="42"/>
      <c r="O3547" s="42"/>
      <c r="P3547" s="9"/>
      <c r="Q3547" s="9"/>
      <c r="R3547" s="42"/>
      <c r="S3547" s="42"/>
      <c r="T3547" s="42"/>
      <c r="U3547" s="42"/>
      <c r="V3547" s="42"/>
      <c r="W3547" s="42"/>
    </row>
    <row r="3548">
      <c r="A3548" s="9"/>
      <c r="B3548" s="9"/>
      <c r="C3548" s="9"/>
      <c r="D3548" s="42"/>
      <c r="E3548" s="103"/>
      <c r="F3548" s="42"/>
      <c r="G3548" s="9"/>
      <c r="H3548" s="9"/>
      <c r="I3548" s="9"/>
      <c r="J3548" s="9"/>
      <c r="K3548" s="42"/>
      <c r="L3548" s="42"/>
      <c r="M3548" s="42"/>
      <c r="N3548" s="42"/>
      <c r="O3548" s="42"/>
      <c r="P3548" s="9"/>
      <c r="Q3548" s="9"/>
      <c r="R3548" s="42"/>
      <c r="S3548" s="42"/>
      <c r="T3548" s="42"/>
      <c r="U3548" s="42"/>
      <c r="V3548" s="42"/>
      <c r="W3548" s="42"/>
    </row>
    <row r="3549">
      <c r="A3549" s="9"/>
      <c r="B3549" s="9"/>
      <c r="C3549" s="9"/>
      <c r="D3549" s="42"/>
      <c r="E3549" s="103"/>
      <c r="F3549" s="42"/>
      <c r="G3549" s="9"/>
      <c r="H3549" s="9"/>
      <c r="I3549" s="9"/>
      <c r="J3549" s="9"/>
      <c r="K3549" s="42"/>
      <c r="L3549" s="42"/>
      <c r="M3549" s="42"/>
      <c r="N3549" s="42"/>
      <c r="O3549" s="42"/>
      <c r="P3549" s="9"/>
      <c r="Q3549" s="9"/>
      <c r="R3549" s="42"/>
      <c r="S3549" s="42"/>
      <c r="T3549" s="42"/>
      <c r="U3549" s="42"/>
      <c r="V3549" s="42"/>
      <c r="W3549" s="42"/>
    </row>
    <row r="3550">
      <c r="A3550" s="9"/>
      <c r="B3550" s="9"/>
      <c r="C3550" s="9"/>
      <c r="D3550" s="42"/>
      <c r="E3550" s="103"/>
      <c r="F3550" s="42"/>
      <c r="G3550" s="9"/>
      <c r="H3550" s="9"/>
      <c r="I3550" s="9"/>
      <c r="J3550" s="9"/>
      <c r="K3550" s="42"/>
      <c r="L3550" s="42"/>
      <c r="M3550" s="42"/>
      <c r="N3550" s="42"/>
      <c r="O3550" s="42"/>
      <c r="P3550" s="9"/>
      <c r="Q3550" s="9"/>
      <c r="R3550" s="42"/>
      <c r="S3550" s="42"/>
      <c r="T3550" s="42"/>
      <c r="U3550" s="42"/>
      <c r="V3550" s="42"/>
      <c r="W3550" s="42"/>
    </row>
    <row r="3551">
      <c r="A3551" s="9"/>
      <c r="B3551" s="9"/>
      <c r="C3551" s="9"/>
      <c r="D3551" s="42"/>
      <c r="E3551" s="103"/>
      <c r="F3551" s="42"/>
      <c r="G3551" s="9"/>
      <c r="H3551" s="9"/>
      <c r="I3551" s="9"/>
      <c r="J3551" s="9"/>
      <c r="K3551" s="42"/>
      <c r="L3551" s="42"/>
      <c r="M3551" s="42"/>
      <c r="N3551" s="42"/>
      <c r="O3551" s="42"/>
      <c r="P3551" s="9"/>
      <c r="Q3551" s="9"/>
      <c r="R3551" s="42"/>
      <c r="S3551" s="42"/>
      <c r="T3551" s="42"/>
      <c r="U3551" s="42"/>
      <c r="V3551" s="42"/>
      <c r="W3551" s="42"/>
    </row>
    <row r="3552">
      <c r="A3552" s="9"/>
      <c r="B3552" s="9"/>
      <c r="C3552" s="9"/>
      <c r="D3552" s="42"/>
      <c r="E3552" s="103"/>
      <c r="F3552" s="42"/>
      <c r="G3552" s="9"/>
      <c r="H3552" s="9"/>
      <c r="I3552" s="9"/>
      <c r="J3552" s="9"/>
      <c r="K3552" s="42"/>
      <c r="L3552" s="42"/>
      <c r="M3552" s="42"/>
      <c r="N3552" s="42"/>
      <c r="O3552" s="42"/>
      <c r="P3552" s="9"/>
      <c r="Q3552" s="9"/>
      <c r="R3552" s="42"/>
      <c r="S3552" s="42"/>
      <c r="T3552" s="42"/>
      <c r="U3552" s="42"/>
      <c r="V3552" s="42"/>
      <c r="W3552" s="42"/>
    </row>
    <row r="3553">
      <c r="A3553" s="9"/>
      <c r="B3553" s="9"/>
      <c r="C3553" s="9"/>
      <c r="D3553" s="42"/>
      <c r="E3553" s="103"/>
      <c r="F3553" s="42"/>
      <c r="G3553" s="9"/>
      <c r="H3553" s="9"/>
      <c r="I3553" s="9"/>
      <c r="J3553" s="9"/>
      <c r="K3553" s="42"/>
      <c r="L3553" s="42"/>
      <c r="M3553" s="42"/>
      <c r="N3553" s="42"/>
      <c r="O3553" s="42"/>
      <c r="P3553" s="9"/>
      <c r="Q3553" s="9"/>
      <c r="R3553" s="42"/>
      <c r="S3553" s="42"/>
      <c r="T3553" s="42"/>
      <c r="U3553" s="42"/>
      <c r="V3553" s="42"/>
      <c r="W3553" s="42"/>
    </row>
    <row r="3554">
      <c r="A3554" s="9"/>
      <c r="B3554" s="9"/>
      <c r="C3554" s="9"/>
      <c r="D3554" s="42"/>
      <c r="E3554" s="103"/>
      <c r="F3554" s="42"/>
      <c r="G3554" s="9"/>
      <c r="H3554" s="9"/>
      <c r="I3554" s="9"/>
      <c r="J3554" s="9"/>
      <c r="K3554" s="42"/>
      <c r="L3554" s="42"/>
      <c r="M3554" s="42"/>
      <c r="N3554" s="42"/>
      <c r="O3554" s="42"/>
      <c r="P3554" s="9"/>
      <c r="Q3554" s="9"/>
      <c r="R3554" s="42"/>
      <c r="S3554" s="42"/>
      <c r="T3554" s="42"/>
      <c r="U3554" s="42"/>
      <c r="V3554" s="42"/>
      <c r="W3554" s="42"/>
    </row>
    <row r="3555">
      <c r="A3555" s="9"/>
      <c r="B3555" s="9"/>
      <c r="C3555" s="9"/>
      <c r="D3555" s="42"/>
      <c r="E3555" s="103"/>
      <c r="F3555" s="42"/>
      <c r="G3555" s="9"/>
      <c r="H3555" s="9"/>
      <c r="I3555" s="9"/>
      <c r="J3555" s="9"/>
      <c r="K3555" s="42"/>
      <c r="L3555" s="42"/>
      <c r="M3555" s="42"/>
      <c r="N3555" s="42"/>
      <c r="O3555" s="42"/>
      <c r="P3555" s="9"/>
      <c r="Q3555" s="9"/>
      <c r="R3555" s="42"/>
      <c r="S3555" s="42"/>
      <c r="T3555" s="42"/>
      <c r="U3555" s="42"/>
      <c r="V3555" s="42"/>
      <c r="W3555" s="42"/>
    </row>
    <row r="3556">
      <c r="A3556" s="9"/>
      <c r="B3556" s="9"/>
      <c r="C3556" s="9"/>
      <c r="D3556" s="42"/>
      <c r="E3556" s="103"/>
      <c r="F3556" s="42"/>
      <c r="G3556" s="9"/>
      <c r="H3556" s="9"/>
      <c r="I3556" s="9"/>
      <c r="J3556" s="9"/>
      <c r="K3556" s="42"/>
      <c r="L3556" s="42"/>
      <c r="M3556" s="42"/>
      <c r="N3556" s="42"/>
      <c r="O3556" s="42"/>
      <c r="P3556" s="9"/>
      <c r="Q3556" s="9"/>
      <c r="R3556" s="42"/>
      <c r="S3556" s="42"/>
      <c r="T3556" s="42"/>
      <c r="U3556" s="42"/>
      <c r="V3556" s="42"/>
      <c r="W3556" s="42"/>
    </row>
    <row r="3557">
      <c r="A3557" s="9"/>
      <c r="B3557" s="9"/>
      <c r="C3557" s="9"/>
      <c r="D3557" s="42"/>
      <c r="E3557" s="103"/>
      <c r="F3557" s="42"/>
      <c r="G3557" s="9"/>
      <c r="H3557" s="9"/>
      <c r="I3557" s="9"/>
      <c r="J3557" s="9"/>
      <c r="K3557" s="42"/>
      <c r="L3557" s="42"/>
      <c r="M3557" s="42"/>
      <c r="N3557" s="42"/>
      <c r="O3557" s="42"/>
      <c r="P3557" s="9"/>
      <c r="Q3557" s="9"/>
      <c r="R3557" s="42"/>
      <c r="S3557" s="42"/>
      <c r="T3557" s="42"/>
      <c r="U3557" s="42"/>
      <c r="V3557" s="42"/>
      <c r="W3557" s="42"/>
    </row>
    <row r="3558">
      <c r="A3558" s="9"/>
      <c r="B3558" s="9"/>
      <c r="C3558" s="9"/>
      <c r="D3558" s="42"/>
      <c r="E3558" s="103"/>
      <c r="F3558" s="42"/>
      <c r="G3558" s="9"/>
      <c r="H3558" s="9"/>
      <c r="I3558" s="9"/>
      <c r="J3558" s="9"/>
      <c r="K3558" s="42"/>
      <c r="L3558" s="42"/>
      <c r="M3558" s="42"/>
      <c r="N3558" s="42"/>
      <c r="O3558" s="42"/>
      <c r="P3558" s="9"/>
      <c r="Q3558" s="9"/>
      <c r="R3558" s="42"/>
      <c r="S3558" s="42"/>
      <c r="T3558" s="42"/>
      <c r="U3558" s="42"/>
      <c r="V3558" s="42"/>
      <c r="W3558" s="42"/>
    </row>
    <row r="3559">
      <c r="A3559" s="9"/>
      <c r="B3559" s="9"/>
      <c r="C3559" s="9"/>
      <c r="D3559" s="42"/>
      <c r="E3559" s="103"/>
      <c r="F3559" s="42"/>
      <c r="G3559" s="9"/>
      <c r="H3559" s="9"/>
      <c r="I3559" s="9"/>
      <c r="J3559" s="9"/>
      <c r="K3559" s="42"/>
      <c r="L3559" s="42"/>
      <c r="M3559" s="42"/>
      <c r="N3559" s="42"/>
      <c r="O3559" s="42"/>
      <c r="P3559" s="9"/>
      <c r="Q3559" s="9"/>
      <c r="R3559" s="42"/>
      <c r="S3559" s="42"/>
      <c r="T3559" s="42"/>
      <c r="U3559" s="42"/>
      <c r="V3559" s="42"/>
      <c r="W3559" s="42"/>
    </row>
    <row r="3560">
      <c r="A3560" s="9"/>
      <c r="B3560" s="9"/>
      <c r="C3560" s="9"/>
      <c r="D3560" s="42"/>
      <c r="E3560" s="103"/>
      <c r="F3560" s="42"/>
      <c r="G3560" s="9"/>
      <c r="H3560" s="9"/>
      <c r="I3560" s="9"/>
      <c r="J3560" s="9"/>
      <c r="K3560" s="42"/>
      <c r="L3560" s="42"/>
      <c r="M3560" s="42"/>
      <c r="N3560" s="42"/>
      <c r="O3560" s="42"/>
      <c r="P3560" s="9"/>
      <c r="Q3560" s="9"/>
      <c r="R3560" s="42"/>
      <c r="S3560" s="42"/>
      <c r="T3560" s="42"/>
      <c r="U3560" s="42"/>
      <c r="V3560" s="42"/>
      <c r="W3560" s="42"/>
    </row>
    <row r="3561">
      <c r="A3561" s="9"/>
      <c r="B3561" s="9"/>
      <c r="C3561" s="9"/>
      <c r="D3561" s="42"/>
      <c r="E3561" s="103"/>
      <c r="F3561" s="42"/>
      <c r="G3561" s="9"/>
      <c r="H3561" s="9"/>
      <c r="I3561" s="9"/>
      <c r="J3561" s="9"/>
      <c r="K3561" s="42"/>
      <c r="L3561" s="42"/>
      <c r="M3561" s="42"/>
      <c r="N3561" s="42"/>
      <c r="O3561" s="42"/>
      <c r="P3561" s="9"/>
      <c r="Q3561" s="9"/>
      <c r="R3561" s="42"/>
      <c r="S3561" s="42"/>
      <c r="T3561" s="42"/>
      <c r="U3561" s="42"/>
      <c r="V3561" s="42"/>
      <c r="W3561" s="42"/>
    </row>
    <row r="3562">
      <c r="A3562" s="9"/>
      <c r="B3562" s="9"/>
      <c r="C3562" s="9"/>
      <c r="D3562" s="42"/>
      <c r="E3562" s="103"/>
      <c r="F3562" s="42"/>
      <c r="G3562" s="9"/>
      <c r="H3562" s="9"/>
      <c r="I3562" s="9"/>
      <c r="J3562" s="9"/>
      <c r="K3562" s="42"/>
      <c r="L3562" s="42"/>
      <c r="M3562" s="42"/>
      <c r="N3562" s="42"/>
      <c r="O3562" s="42"/>
      <c r="P3562" s="9"/>
      <c r="Q3562" s="9"/>
      <c r="R3562" s="42"/>
      <c r="S3562" s="42"/>
      <c r="T3562" s="42"/>
      <c r="U3562" s="42"/>
      <c r="V3562" s="42"/>
      <c r="W3562" s="42"/>
    </row>
    <row r="3563">
      <c r="A3563" s="9"/>
      <c r="B3563" s="9"/>
      <c r="C3563" s="9"/>
      <c r="D3563" s="42"/>
      <c r="E3563" s="103"/>
      <c r="F3563" s="42"/>
      <c r="G3563" s="9"/>
      <c r="H3563" s="9"/>
      <c r="I3563" s="9"/>
      <c r="J3563" s="9"/>
      <c r="K3563" s="42"/>
      <c r="L3563" s="42"/>
      <c r="M3563" s="42"/>
      <c r="N3563" s="42"/>
      <c r="O3563" s="42"/>
      <c r="P3563" s="9"/>
      <c r="Q3563" s="9"/>
      <c r="R3563" s="42"/>
      <c r="S3563" s="42"/>
      <c r="T3563" s="42"/>
      <c r="U3563" s="42"/>
      <c r="V3563" s="42"/>
      <c r="W3563" s="42"/>
    </row>
    <row r="3564">
      <c r="A3564" s="9"/>
      <c r="B3564" s="9"/>
      <c r="C3564" s="9"/>
      <c r="D3564" s="42"/>
      <c r="E3564" s="103"/>
      <c r="F3564" s="42"/>
      <c r="G3564" s="9"/>
      <c r="H3564" s="9"/>
      <c r="I3564" s="9"/>
      <c r="J3564" s="9"/>
      <c r="K3564" s="42"/>
      <c r="L3564" s="42"/>
      <c r="M3564" s="42"/>
      <c r="N3564" s="42"/>
      <c r="O3564" s="42"/>
      <c r="P3564" s="9"/>
      <c r="Q3564" s="9"/>
      <c r="R3564" s="42"/>
      <c r="S3564" s="42"/>
      <c r="T3564" s="42"/>
      <c r="U3564" s="42"/>
      <c r="V3564" s="42"/>
      <c r="W3564" s="42"/>
    </row>
    <row r="3565">
      <c r="A3565" s="9"/>
      <c r="B3565" s="9"/>
      <c r="C3565" s="9"/>
      <c r="D3565" s="42"/>
      <c r="E3565" s="103"/>
      <c r="F3565" s="42"/>
      <c r="G3565" s="9"/>
      <c r="H3565" s="9"/>
      <c r="I3565" s="9"/>
      <c r="J3565" s="9"/>
      <c r="K3565" s="42"/>
      <c r="L3565" s="42"/>
      <c r="M3565" s="42"/>
      <c r="N3565" s="42"/>
      <c r="O3565" s="42"/>
      <c r="P3565" s="9"/>
      <c r="Q3565" s="9"/>
      <c r="R3565" s="42"/>
      <c r="S3565" s="42"/>
      <c r="T3565" s="42"/>
      <c r="U3565" s="42"/>
      <c r="V3565" s="42"/>
      <c r="W3565" s="42"/>
    </row>
    <row r="3566">
      <c r="A3566" s="9"/>
      <c r="B3566" s="9"/>
      <c r="C3566" s="9"/>
      <c r="D3566" s="42"/>
      <c r="E3566" s="103"/>
      <c r="F3566" s="42"/>
      <c r="G3566" s="9"/>
      <c r="H3566" s="9"/>
      <c r="I3566" s="9"/>
      <c r="J3566" s="9"/>
      <c r="K3566" s="42"/>
      <c r="L3566" s="42"/>
      <c r="M3566" s="42"/>
      <c r="N3566" s="42"/>
      <c r="O3566" s="42"/>
      <c r="P3566" s="9"/>
      <c r="Q3566" s="9"/>
      <c r="R3566" s="42"/>
      <c r="S3566" s="42"/>
      <c r="T3566" s="42"/>
      <c r="U3566" s="42"/>
      <c r="V3566" s="42"/>
      <c r="W3566" s="42"/>
    </row>
    <row r="3567">
      <c r="A3567" s="9"/>
      <c r="B3567" s="9"/>
      <c r="C3567" s="9"/>
      <c r="D3567" s="42"/>
      <c r="E3567" s="103"/>
      <c r="F3567" s="42"/>
      <c r="G3567" s="9"/>
      <c r="H3567" s="9"/>
      <c r="I3567" s="9"/>
      <c r="J3567" s="9"/>
      <c r="K3567" s="42"/>
      <c r="L3567" s="42"/>
      <c r="M3567" s="42"/>
      <c r="N3567" s="42"/>
      <c r="O3567" s="42"/>
      <c r="P3567" s="9"/>
      <c r="Q3567" s="9"/>
      <c r="R3567" s="42"/>
      <c r="S3567" s="42"/>
      <c r="T3567" s="42"/>
      <c r="U3567" s="42"/>
      <c r="V3567" s="42"/>
      <c r="W3567" s="42"/>
    </row>
    <row r="3568">
      <c r="A3568" s="9"/>
      <c r="B3568" s="9"/>
      <c r="C3568" s="9"/>
      <c r="D3568" s="42"/>
      <c r="E3568" s="103"/>
      <c r="F3568" s="42"/>
      <c r="G3568" s="9"/>
      <c r="H3568" s="9"/>
      <c r="I3568" s="9"/>
      <c r="J3568" s="9"/>
      <c r="K3568" s="42"/>
      <c r="L3568" s="42"/>
      <c r="M3568" s="42"/>
      <c r="N3568" s="42"/>
      <c r="O3568" s="42"/>
      <c r="P3568" s="9"/>
      <c r="Q3568" s="9"/>
      <c r="R3568" s="42"/>
      <c r="S3568" s="42"/>
      <c r="T3568" s="42"/>
      <c r="U3568" s="42"/>
      <c r="V3568" s="42"/>
      <c r="W3568" s="42"/>
    </row>
    <row r="3569">
      <c r="A3569" s="9"/>
      <c r="B3569" s="9"/>
      <c r="C3569" s="9"/>
      <c r="D3569" s="42"/>
      <c r="E3569" s="103"/>
      <c r="F3569" s="42"/>
      <c r="G3569" s="9"/>
      <c r="H3569" s="9"/>
      <c r="I3569" s="9"/>
      <c r="J3569" s="9"/>
      <c r="K3569" s="42"/>
      <c r="L3569" s="42"/>
      <c r="M3569" s="42"/>
      <c r="N3569" s="42"/>
      <c r="O3569" s="42"/>
      <c r="P3569" s="9"/>
      <c r="Q3569" s="9"/>
      <c r="R3569" s="42"/>
      <c r="S3569" s="42"/>
      <c r="T3569" s="42"/>
      <c r="U3569" s="42"/>
      <c r="V3569" s="42"/>
      <c r="W3569" s="42"/>
    </row>
    <row r="3570">
      <c r="A3570" s="9"/>
      <c r="B3570" s="9"/>
      <c r="C3570" s="9"/>
      <c r="D3570" s="42"/>
      <c r="E3570" s="103"/>
      <c r="F3570" s="42"/>
      <c r="G3570" s="9"/>
      <c r="H3570" s="9"/>
      <c r="I3570" s="9"/>
      <c r="J3570" s="9"/>
      <c r="K3570" s="42"/>
      <c r="L3570" s="42"/>
      <c r="M3570" s="42"/>
      <c r="N3570" s="42"/>
      <c r="O3570" s="42"/>
      <c r="P3570" s="9"/>
      <c r="Q3570" s="9"/>
      <c r="R3570" s="42"/>
      <c r="S3570" s="42"/>
      <c r="T3570" s="42"/>
      <c r="U3570" s="42"/>
      <c r="V3570" s="42"/>
      <c r="W3570" s="42"/>
    </row>
    <row r="3571">
      <c r="A3571" s="9"/>
      <c r="B3571" s="9"/>
      <c r="C3571" s="9"/>
      <c r="D3571" s="42"/>
      <c r="E3571" s="103"/>
      <c r="F3571" s="42"/>
      <c r="G3571" s="9"/>
      <c r="H3571" s="9"/>
      <c r="I3571" s="9"/>
      <c r="J3571" s="9"/>
      <c r="K3571" s="42"/>
      <c r="L3571" s="42"/>
      <c r="M3571" s="42"/>
      <c r="N3571" s="42"/>
      <c r="O3571" s="42"/>
      <c r="P3571" s="9"/>
      <c r="Q3571" s="9"/>
      <c r="R3571" s="42"/>
      <c r="S3571" s="42"/>
      <c r="T3571" s="42"/>
      <c r="U3571" s="42"/>
      <c r="V3571" s="42"/>
      <c r="W3571" s="42"/>
    </row>
    <row r="3572">
      <c r="A3572" s="9"/>
      <c r="B3572" s="9"/>
      <c r="C3572" s="9"/>
      <c r="D3572" s="42"/>
      <c r="E3572" s="103"/>
      <c r="F3572" s="42"/>
      <c r="G3572" s="9"/>
      <c r="H3572" s="9"/>
      <c r="I3572" s="9"/>
      <c r="J3572" s="9"/>
      <c r="K3572" s="42"/>
      <c r="L3572" s="42"/>
      <c r="M3572" s="42"/>
      <c r="N3572" s="42"/>
      <c r="O3572" s="42"/>
      <c r="P3572" s="9"/>
      <c r="Q3572" s="9"/>
      <c r="R3572" s="42"/>
      <c r="S3572" s="42"/>
      <c r="T3572" s="42"/>
      <c r="U3572" s="42"/>
      <c r="V3572" s="42"/>
      <c r="W3572" s="42"/>
    </row>
    <row r="3573">
      <c r="A3573" s="9"/>
      <c r="B3573" s="9"/>
      <c r="C3573" s="9"/>
      <c r="D3573" s="42"/>
      <c r="E3573" s="103"/>
      <c r="F3573" s="42"/>
      <c r="G3573" s="9"/>
      <c r="H3573" s="9"/>
      <c r="I3573" s="9"/>
      <c r="J3573" s="9"/>
      <c r="K3573" s="42"/>
      <c r="L3573" s="42"/>
      <c r="M3573" s="42"/>
      <c r="N3573" s="42"/>
      <c r="O3573" s="42"/>
      <c r="P3573" s="9"/>
      <c r="Q3573" s="9"/>
      <c r="R3573" s="42"/>
      <c r="S3573" s="42"/>
      <c r="T3573" s="42"/>
      <c r="U3573" s="42"/>
      <c r="V3573" s="42"/>
      <c r="W3573" s="42"/>
    </row>
    <row r="3574">
      <c r="A3574" s="9"/>
      <c r="B3574" s="9"/>
      <c r="C3574" s="9"/>
      <c r="D3574" s="42"/>
      <c r="E3574" s="103"/>
      <c r="F3574" s="42"/>
      <c r="G3574" s="9"/>
      <c r="H3574" s="9"/>
      <c r="I3574" s="9"/>
      <c r="J3574" s="9"/>
      <c r="K3574" s="42"/>
      <c r="L3574" s="42"/>
      <c r="M3574" s="42"/>
      <c r="N3574" s="42"/>
      <c r="O3574" s="42"/>
      <c r="P3574" s="9"/>
      <c r="Q3574" s="9"/>
      <c r="R3574" s="42"/>
      <c r="S3574" s="42"/>
      <c r="T3574" s="42"/>
      <c r="U3574" s="42"/>
      <c r="V3574" s="42"/>
      <c r="W3574" s="42"/>
    </row>
    <row r="3575">
      <c r="A3575" s="9"/>
      <c r="B3575" s="9"/>
      <c r="C3575" s="9"/>
      <c r="D3575" s="42"/>
      <c r="E3575" s="103"/>
      <c r="F3575" s="42"/>
      <c r="G3575" s="9"/>
      <c r="H3575" s="9"/>
      <c r="I3575" s="9"/>
      <c r="J3575" s="9"/>
      <c r="K3575" s="42"/>
      <c r="L3575" s="42"/>
      <c r="M3575" s="42"/>
      <c r="N3575" s="42"/>
      <c r="O3575" s="42"/>
      <c r="P3575" s="9"/>
      <c r="Q3575" s="9"/>
      <c r="R3575" s="42"/>
      <c r="S3575" s="42"/>
      <c r="T3575" s="42"/>
      <c r="U3575" s="42"/>
      <c r="V3575" s="42"/>
      <c r="W3575" s="42"/>
    </row>
    <row r="3576">
      <c r="A3576" s="9"/>
      <c r="B3576" s="9"/>
      <c r="C3576" s="9"/>
      <c r="D3576" s="42"/>
      <c r="E3576" s="103"/>
      <c r="F3576" s="42"/>
      <c r="G3576" s="9"/>
      <c r="H3576" s="9"/>
      <c r="I3576" s="9"/>
      <c r="J3576" s="9"/>
      <c r="K3576" s="42"/>
      <c r="L3576" s="42"/>
      <c r="M3576" s="42"/>
      <c r="N3576" s="42"/>
      <c r="O3576" s="42"/>
      <c r="P3576" s="9"/>
      <c r="Q3576" s="9"/>
      <c r="R3576" s="42"/>
      <c r="S3576" s="42"/>
      <c r="T3576" s="42"/>
      <c r="U3576" s="42"/>
      <c r="V3576" s="42"/>
      <c r="W3576" s="42"/>
    </row>
    <row r="3577">
      <c r="A3577" s="9"/>
      <c r="B3577" s="9"/>
      <c r="C3577" s="9"/>
      <c r="D3577" s="42"/>
      <c r="E3577" s="103"/>
      <c r="F3577" s="42"/>
      <c r="G3577" s="9"/>
      <c r="H3577" s="9"/>
      <c r="I3577" s="9"/>
      <c r="J3577" s="9"/>
      <c r="K3577" s="42"/>
      <c r="L3577" s="42"/>
      <c r="M3577" s="42"/>
      <c r="N3577" s="42"/>
      <c r="O3577" s="42"/>
      <c r="P3577" s="9"/>
      <c r="Q3577" s="9"/>
      <c r="R3577" s="42"/>
      <c r="S3577" s="42"/>
      <c r="T3577" s="42"/>
      <c r="U3577" s="42"/>
      <c r="V3577" s="42"/>
      <c r="W3577" s="42"/>
    </row>
    <row r="3578">
      <c r="A3578" s="9"/>
      <c r="B3578" s="9"/>
      <c r="C3578" s="9"/>
      <c r="D3578" s="42"/>
      <c r="E3578" s="103"/>
      <c r="F3578" s="42"/>
      <c r="G3578" s="9"/>
      <c r="H3578" s="9"/>
      <c r="I3578" s="9"/>
      <c r="J3578" s="9"/>
      <c r="K3578" s="42"/>
      <c r="L3578" s="42"/>
      <c r="M3578" s="42"/>
      <c r="N3578" s="42"/>
      <c r="O3578" s="42"/>
      <c r="P3578" s="9"/>
      <c r="Q3578" s="9"/>
      <c r="R3578" s="42"/>
      <c r="S3578" s="42"/>
      <c r="T3578" s="42"/>
      <c r="U3578" s="42"/>
      <c r="V3578" s="42"/>
      <c r="W3578" s="42"/>
    </row>
    <row r="3579">
      <c r="A3579" s="9"/>
      <c r="B3579" s="9"/>
      <c r="C3579" s="9"/>
      <c r="D3579" s="42"/>
      <c r="E3579" s="103"/>
      <c r="F3579" s="42"/>
      <c r="G3579" s="9"/>
      <c r="H3579" s="9"/>
      <c r="I3579" s="9"/>
      <c r="J3579" s="9"/>
      <c r="K3579" s="42"/>
      <c r="L3579" s="42"/>
      <c r="M3579" s="42"/>
      <c r="N3579" s="42"/>
      <c r="O3579" s="42"/>
      <c r="P3579" s="9"/>
      <c r="Q3579" s="9"/>
      <c r="R3579" s="42"/>
      <c r="S3579" s="42"/>
      <c r="T3579" s="42"/>
      <c r="U3579" s="42"/>
      <c r="V3579" s="42"/>
      <c r="W3579" s="42"/>
    </row>
    <row r="3580">
      <c r="A3580" s="9"/>
      <c r="B3580" s="9"/>
      <c r="C3580" s="9"/>
      <c r="D3580" s="42"/>
      <c r="E3580" s="103"/>
      <c r="F3580" s="42"/>
      <c r="G3580" s="9"/>
      <c r="H3580" s="9"/>
      <c r="I3580" s="9"/>
      <c r="J3580" s="9"/>
      <c r="K3580" s="42"/>
      <c r="L3580" s="42"/>
      <c r="M3580" s="42"/>
      <c r="N3580" s="42"/>
      <c r="O3580" s="42"/>
      <c r="P3580" s="9"/>
      <c r="Q3580" s="9"/>
      <c r="R3580" s="42"/>
      <c r="S3580" s="42"/>
      <c r="T3580" s="42"/>
      <c r="U3580" s="42"/>
      <c r="V3580" s="42"/>
      <c r="W3580" s="42"/>
    </row>
    <row r="3581">
      <c r="A3581" s="9"/>
      <c r="B3581" s="9"/>
      <c r="C3581" s="9"/>
      <c r="D3581" s="42"/>
      <c r="E3581" s="103"/>
      <c r="F3581" s="42"/>
      <c r="G3581" s="9"/>
      <c r="H3581" s="9"/>
      <c r="I3581" s="9"/>
      <c r="J3581" s="9"/>
      <c r="K3581" s="42"/>
      <c r="L3581" s="42"/>
      <c r="M3581" s="42"/>
      <c r="N3581" s="42"/>
      <c r="O3581" s="42"/>
      <c r="P3581" s="9"/>
      <c r="Q3581" s="9"/>
      <c r="R3581" s="42"/>
      <c r="S3581" s="42"/>
      <c r="T3581" s="42"/>
      <c r="U3581" s="42"/>
      <c r="V3581" s="42"/>
      <c r="W3581" s="42"/>
    </row>
    <row r="3582">
      <c r="A3582" s="9"/>
      <c r="B3582" s="9"/>
      <c r="C3582" s="9"/>
      <c r="D3582" s="42"/>
      <c r="E3582" s="103"/>
      <c r="F3582" s="42"/>
      <c r="G3582" s="9"/>
      <c r="H3582" s="9"/>
      <c r="I3582" s="9"/>
      <c r="J3582" s="9"/>
      <c r="K3582" s="42"/>
      <c r="L3582" s="42"/>
      <c r="M3582" s="42"/>
      <c r="N3582" s="42"/>
      <c r="O3582" s="42"/>
      <c r="P3582" s="9"/>
      <c r="Q3582" s="9"/>
      <c r="R3582" s="42"/>
      <c r="S3582" s="42"/>
      <c r="T3582" s="42"/>
      <c r="U3582" s="42"/>
      <c r="V3582" s="42"/>
      <c r="W3582" s="42"/>
    </row>
    <row r="3583">
      <c r="A3583" s="9"/>
      <c r="B3583" s="9"/>
      <c r="C3583" s="9"/>
      <c r="D3583" s="42"/>
      <c r="E3583" s="103"/>
      <c r="F3583" s="42"/>
      <c r="G3583" s="9"/>
      <c r="H3583" s="9"/>
      <c r="I3583" s="9"/>
      <c r="J3583" s="9"/>
      <c r="K3583" s="42"/>
      <c r="L3583" s="42"/>
      <c r="M3583" s="42"/>
      <c r="N3583" s="42"/>
      <c r="O3583" s="42"/>
      <c r="P3583" s="9"/>
      <c r="Q3583" s="9"/>
      <c r="R3583" s="42"/>
      <c r="S3583" s="42"/>
      <c r="T3583" s="42"/>
      <c r="U3583" s="42"/>
      <c r="V3583" s="42"/>
      <c r="W3583" s="42"/>
    </row>
    <row r="3584">
      <c r="A3584" s="9"/>
      <c r="B3584" s="9"/>
      <c r="C3584" s="9"/>
      <c r="D3584" s="42"/>
      <c r="E3584" s="103"/>
      <c r="F3584" s="42"/>
      <c r="G3584" s="9"/>
      <c r="H3584" s="9"/>
      <c r="I3584" s="9"/>
      <c r="J3584" s="9"/>
      <c r="K3584" s="42"/>
      <c r="L3584" s="42"/>
      <c r="M3584" s="42"/>
      <c r="N3584" s="42"/>
      <c r="O3584" s="42"/>
      <c r="P3584" s="9"/>
      <c r="Q3584" s="9"/>
      <c r="R3584" s="42"/>
      <c r="S3584" s="42"/>
      <c r="T3584" s="42"/>
      <c r="U3584" s="42"/>
      <c r="V3584" s="42"/>
      <c r="W3584" s="42"/>
    </row>
    <row r="3585">
      <c r="A3585" s="9"/>
      <c r="B3585" s="9"/>
      <c r="C3585" s="9"/>
      <c r="D3585" s="42"/>
      <c r="E3585" s="103"/>
      <c r="F3585" s="42"/>
      <c r="G3585" s="9"/>
      <c r="H3585" s="9"/>
      <c r="I3585" s="9"/>
      <c r="J3585" s="9"/>
      <c r="K3585" s="42"/>
      <c r="L3585" s="42"/>
      <c r="M3585" s="42"/>
      <c r="N3585" s="42"/>
      <c r="O3585" s="42"/>
      <c r="P3585" s="9"/>
      <c r="Q3585" s="9"/>
      <c r="R3585" s="42"/>
      <c r="S3585" s="42"/>
      <c r="T3585" s="42"/>
      <c r="U3585" s="42"/>
      <c r="V3585" s="42"/>
      <c r="W3585" s="42"/>
    </row>
    <row r="3586">
      <c r="A3586" s="9"/>
      <c r="B3586" s="9"/>
      <c r="C3586" s="9"/>
      <c r="D3586" s="42"/>
      <c r="E3586" s="103"/>
      <c r="F3586" s="42"/>
      <c r="G3586" s="9"/>
      <c r="H3586" s="9"/>
      <c r="I3586" s="9"/>
      <c r="J3586" s="9"/>
      <c r="K3586" s="42"/>
      <c r="L3586" s="42"/>
      <c r="M3586" s="42"/>
      <c r="N3586" s="42"/>
      <c r="O3586" s="42"/>
      <c r="P3586" s="9"/>
      <c r="Q3586" s="9"/>
      <c r="R3586" s="42"/>
      <c r="S3586" s="42"/>
      <c r="T3586" s="42"/>
      <c r="U3586" s="42"/>
      <c r="V3586" s="42"/>
      <c r="W3586" s="42"/>
    </row>
    <row r="3587">
      <c r="A3587" s="9"/>
      <c r="B3587" s="9"/>
      <c r="C3587" s="9"/>
      <c r="D3587" s="42"/>
      <c r="E3587" s="103"/>
      <c r="F3587" s="42"/>
      <c r="G3587" s="9"/>
      <c r="H3587" s="9"/>
      <c r="I3587" s="9"/>
      <c r="J3587" s="9"/>
      <c r="K3587" s="42"/>
      <c r="L3587" s="42"/>
      <c r="M3587" s="42"/>
      <c r="N3587" s="42"/>
      <c r="O3587" s="42"/>
      <c r="P3587" s="9"/>
      <c r="Q3587" s="9"/>
      <c r="R3587" s="42"/>
      <c r="S3587" s="42"/>
      <c r="T3587" s="42"/>
      <c r="U3587" s="42"/>
      <c r="V3587" s="42"/>
      <c r="W3587" s="42"/>
    </row>
    <row r="3588">
      <c r="A3588" s="9"/>
      <c r="B3588" s="9"/>
      <c r="C3588" s="9"/>
      <c r="D3588" s="42"/>
      <c r="E3588" s="103"/>
      <c r="F3588" s="42"/>
      <c r="G3588" s="9"/>
      <c r="H3588" s="9"/>
      <c r="I3588" s="9"/>
      <c r="J3588" s="9"/>
      <c r="K3588" s="42"/>
      <c r="L3588" s="42"/>
      <c r="M3588" s="42"/>
      <c r="N3588" s="42"/>
      <c r="O3588" s="42"/>
      <c r="P3588" s="9"/>
      <c r="Q3588" s="9"/>
      <c r="R3588" s="42"/>
      <c r="S3588" s="42"/>
      <c r="T3588" s="42"/>
      <c r="U3588" s="42"/>
      <c r="V3588" s="42"/>
      <c r="W3588" s="42"/>
    </row>
    <row r="3589">
      <c r="A3589" s="9"/>
      <c r="B3589" s="9"/>
      <c r="C3589" s="9"/>
      <c r="D3589" s="42"/>
      <c r="E3589" s="103"/>
      <c r="F3589" s="42"/>
      <c r="G3589" s="9"/>
      <c r="H3589" s="9"/>
      <c r="I3589" s="9"/>
      <c r="J3589" s="9"/>
      <c r="K3589" s="42"/>
      <c r="L3589" s="42"/>
      <c r="M3589" s="42"/>
      <c r="N3589" s="42"/>
      <c r="O3589" s="42"/>
      <c r="P3589" s="9"/>
      <c r="Q3589" s="9"/>
      <c r="R3589" s="42"/>
      <c r="S3589" s="42"/>
      <c r="T3589" s="42"/>
      <c r="U3589" s="42"/>
      <c r="V3589" s="42"/>
      <c r="W3589" s="42"/>
    </row>
    <row r="3590">
      <c r="A3590" s="9"/>
      <c r="B3590" s="9"/>
      <c r="C3590" s="9"/>
      <c r="D3590" s="42"/>
      <c r="E3590" s="103"/>
      <c r="F3590" s="42"/>
      <c r="G3590" s="9"/>
      <c r="H3590" s="9"/>
      <c r="I3590" s="9"/>
      <c r="J3590" s="9"/>
      <c r="K3590" s="42"/>
      <c r="L3590" s="42"/>
      <c r="M3590" s="42"/>
      <c r="N3590" s="42"/>
      <c r="O3590" s="42"/>
      <c r="P3590" s="9"/>
      <c r="Q3590" s="9"/>
      <c r="R3590" s="42"/>
      <c r="S3590" s="42"/>
      <c r="T3590" s="42"/>
      <c r="U3590" s="42"/>
      <c r="V3590" s="42"/>
      <c r="W3590" s="42"/>
    </row>
    <row r="3591">
      <c r="A3591" s="9"/>
      <c r="B3591" s="9"/>
      <c r="C3591" s="9"/>
      <c r="D3591" s="42"/>
      <c r="E3591" s="103"/>
      <c r="F3591" s="42"/>
      <c r="G3591" s="9"/>
      <c r="H3591" s="9"/>
      <c r="I3591" s="9"/>
      <c r="J3591" s="9"/>
      <c r="K3591" s="42"/>
      <c r="L3591" s="42"/>
      <c r="M3591" s="42"/>
      <c r="N3591" s="42"/>
      <c r="O3591" s="42"/>
      <c r="P3591" s="9"/>
      <c r="Q3591" s="9"/>
      <c r="R3591" s="42"/>
      <c r="S3591" s="42"/>
      <c r="T3591" s="42"/>
      <c r="U3591" s="42"/>
      <c r="V3591" s="42"/>
      <c r="W3591" s="42"/>
    </row>
    <row r="3592">
      <c r="A3592" s="9"/>
      <c r="B3592" s="9"/>
      <c r="C3592" s="9"/>
      <c r="D3592" s="42"/>
      <c r="E3592" s="103"/>
      <c r="F3592" s="42"/>
      <c r="G3592" s="9"/>
      <c r="H3592" s="9"/>
      <c r="I3592" s="9"/>
      <c r="J3592" s="9"/>
      <c r="K3592" s="42"/>
      <c r="L3592" s="42"/>
      <c r="M3592" s="42"/>
      <c r="N3592" s="42"/>
      <c r="O3592" s="42"/>
      <c r="P3592" s="9"/>
      <c r="Q3592" s="9"/>
      <c r="R3592" s="42"/>
      <c r="S3592" s="42"/>
      <c r="T3592" s="42"/>
      <c r="U3592" s="42"/>
      <c r="V3592" s="42"/>
      <c r="W3592" s="42"/>
    </row>
    <row r="3593">
      <c r="A3593" s="9"/>
      <c r="B3593" s="9"/>
      <c r="C3593" s="9"/>
      <c r="D3593" s="42"/>
      <c r="E3593" s="103"/>
      <c r="F3593" s="42"/>
      <c r="G3593" s="9"/>
      <c r="H3593" s="9"/>
      <c r="I3593" s="9"/>
      <c r="J3593" s="9"/>
      <c r="K3593" s="42"/>
      <c r="L3593" s="42"/>
      <c r="M3593" s="42"/>
      <c r="N3593" s="42"/>
      <c r="O3593" s="42"/>
      <c r="P3593" s="9"/>
      <c r="Q3593" s="9"/>
      <c r="R3593" s="42"/>
      <c r="S3593" s="42"/>
      <c r="T3593" s="42"/>
      <c r="U3593" s="42"/>
      <c r="V3593" s="42"/>
      <c r="W3593" s="42"/>
    </row>
    <row r="3594">
      <c r="A3594" s="9"/>
      <c r="B3594" s="9"/>
      <c r="C3594" s="9"/>
      <c r="D3594" s="42"/>
      <c r="E3594" s="103"/>
      <c r="F3594" s="42"/>
      <c r="G3594" s="9"/>
      <c r="H3594" s="9"/>
      <c r="I3594" s="9"/>
      <c r="J3594" s="9"/>
      <c r="K3594" s="42"/>
      <c r="L3594" s="42"/>
      <c r="M3594" s="42"/>
      <c r="N3594" s="42"/>
      <c r="O3594" s="42"/>
      <c r="P3594" s="9"/>
      <c r="Q3594" s="9"/>
      <c r="R3594" s="42"/>
      <c r="S3594" s="42"/>
      <c r="T3594" s="42"/>
      <c r="U3594" s="42"/>
      <c r="V3594" s="42"/>
      <c r="W3594" s="42"/>
    </row>
    <row r="3595">
      <c r="A3595" s="9"/>
      <c r="B3595" s="9"/>
      <c r="C3595" s="9"/>
      <c r="D3595" s="42"/>
      <c r="E3595" s="103"/>
      <c r="F3595" s="42"/>
      <c r="G3595" s="9"/>
      <c r="H3595" s="9"/>
      <c r="I3595" s="9"/>
      <c r="J3595" s="9"/>
      <c r="K3595" s="42"/>
      <c r="L3595" s="42"/>
      <c r="M3595" s="42"/>
      <c r="N3595" s="42"/>
      <c r="O3595" s="42"/>
      <c r="P3595" s="9"/>
      <c r="Q3595" s="9"/>
      <c r="R3595" s="42"/>
      <c r="S3595" s="42"/>
      <c r="T3595" s="42"/>
      <c r="U3595" s="42"/>
      <c r="V3595" s="42"/>
      <c r="W3595" s="42"/>
    </row>
    <row r="3596">
      <c r="A3596" s="9"/>
      <c r="B3596" s="9"/>
      <c r="C3596" s="9"/>
      <c r="D3596" s="42"/>
      <c r="E3596" s="103"/>
      <c r="F3596" s="42"/>
      <c r="G3596" s="9"/>
      <c r="H3596" s="9"/>
      <c r="I3596" s="9"/>
      <c r="J3596" s="9"/>
      <c r="K3596" s="42"/>
      <c r="L3596" s="42"/>
      <c r="M3596" s="42"/>
      <c r="N3596" s="42"/>
      <c r="O3596" s="42"/>
      <c r="P3596" s="9"/>
      <c r="Q3596" s="9"/>
      <c r="R3596" s="42"/>
      <c r="S3596" s="42"/>
      <c r="T3596" s="42"/>
      <c r="U3596" s="42"/>
      <c r="V3596" s="42"/>
      <c r="W3596" s="42"/>
    </row>
    <row r="3597">
      <c r="A3597" s="9"/>
      <c r="B3597" s="9"/>
      <c r="C3597" s="9"/>
      <c r="D3597" s="42"/>
      <c r="E3597" s="103"/>
      <c r="F3597" s="42"/>
      <c r="G3597" s="9"/>
      <c r="H3597" s="9"/>
      <c r="I3597" s="9"/>
      <c r="J3597" s="9"/>
      <c r="K3597" s="42"/>
      <c r="L3597" s="42"/>
      <c r="M3597" s="42"/>
      <c r="N3597" s="42"/>
      <c r="O3597" s="42"/>
      <c r="P3597" s="9"/>
      <c r="Q3597" s="9"/>
      <c r="R3597" s="42"/>
      <c r="S3597" s="42"/>
      <c r="T3597" s="42"/>
      <c r="U3597" s="42"/>
      <c r="V3597" s="42"/>
      <c r="W3597" s="42"/>
    </row>
    <row r="3598">
      <c r="A3598" s="9"/>
      <c r="B3598" s="9"/>
      <c r="C3598" s="9"/>
      <c r="D3598" s="42"/>
      <c r="E3598" s="103"/>
      <c r="F3598" s="42"/>
      <c r="G3598" s="9"/>
      <c r="H3598" s="9"/>
      <c r="I3598" s="9"/>
      <c r="J3598" s="9"/>
      <c r="K3598" s="42"/>
      <c r="L3598" s="42"/>
      <c r="M3598" s="42"/>
      <c r="N3598" s="42"/>
      <c r="O3598" s="42"/>
      <c r="P3598" s="9"/>
      <c r="Q3598" s="9"/>
      <c r="R3598" s="42"/>
      <c r="S3598" s="42"/>
      <c r="T3598" s="42"/>
      <c r="U3598" s="42"/>
      <c r="V3598" s="42"/>
      <c r="W3598" s="42"/>
    </row>
    <row r="3599">
      <c r="A3599" s="9"/>
      <c r="B3599" s="9"/>
      <c r="C3599" s="9"/>
      <c r="D3599" s="42"/>
      <c r="E3599" s="103"/>
      <c r="F3599" s="42"/>
      <c r="G3599" s="9"/>
      <c r="H3599" s="9"/>
      <c r="I3599" s="9"/>
      <c r="J3599" s="9"/>
      <c r="K3599" s="42"/>
      <c r="L3599" s="42"/>
      <c r="M3599" s="42"/>
      <c r="N3599" s="42"/>
      <c r="O3599" s="42"/>
      <c r="P3599" s="9"/>
      <c r="Q3599" s="9"/>
      <c r="R3599" s="42"/>
      <c r="S3599" s="42"/>
      <c r="T3599" s="42"/>
      <c r="U3599" s="42"/>
      <c r="V3599" s="42"/>
      <c r="W3599" s="42"/>
    </row>
    <row r="3600">
      <c r="A3600" s="9"/>
      <c r="B3600" s="9"/>
      <c r="C3600" s="9"/>
      <c r="D3600" s="42"/>
      <c r="E3600" s="103"/>
      <c r="F3600" s="42"/>
      <c r="G3600" s="9"/>
      <c r="H3600" s="9"/>
      <c r="I3600" s="9"/>
      <c r="J3600" s="9"/>
      <c r="K3600" s="42"/>
      <c r="L3600" s="42"/>
      <c r="M3600" s="42"/>
      <c r="N3600" s="42"/>
      <c r="O3600" s="42"/>
      <c r="P3600" s="9"/>
      <c r="Q3600" s="9"/>
      <c r="R3600" s="42"/>
      <c r="S3600" s="42"/>
      <c r="T3600" s="42"/>
      <c r="U3600" s="42"/>
      <c r="V3600" s="42"/>
      <c r="W3600" s="42"/>
    </row>
    <row r="3601">
      <c r="A3601" s="9"/>
      <c r="B3601" s="9"/>
      <c r="C3601" s="9"/>
      <c r="D3601" s="42"/>
      <c r="E3601" s="103"/>
      <c r="F3601" s="42"/>
      <c r="G3601" s="9"/>
      <c r="H3601" s="9"/>
      <c r="I3601" s="9"/>
      <c r="J3601" s="9"/>
      <c r="K3601" s="42"/>
      <c r="L3601" s="42"/>
      <c r="M3601" s="42"/>
      <c r="N3601" s="42"/>
      <c r="O3601" s="42"/>
      <c r="P3601" s="9"/>
      <c r="Q3601" s="9"/>
      <c r="R3601" s="42"/>
      <c r="S3601" s="42"/>
      <c r="T3601" s="42"/>
      <c r="U3601" s="42"/>
      <c r="V3601" s="42"/>
      <c r="W3601" s="42"/>
    </row>
    <row r="3602">
      <c r="A3602" s="9"/>
      <c r="B3602" s="9"/>
      <c r="C3602" s="9"/>
      <c r="D3602" s="42"/>
      <c r="E3602" s="103"/>
      <c r="F3602" s="42"/>
      <c r="G3602" s="9"/>
      <c r="H3602" s="9"/>
      <c r="I3602" s="9"/>
      <c r="J3602" s="9"/>
      <c r="K3602" s="42"/>
      <c r="L3602" s="42"/>
      <c r="M3602" s="42"/>
      <c r="N3602" s="42"/>
      <c r="O3602" s="42"/>
      <c r="P3602" s="9"/>
      <c r="Q3602" s="9"/>
      <c r="R3602" s="42"/>
      <c r="S3602" s="42"/>
      <c r="T3602" s="42"/>
      <c r="U3602" s="42"/>
      <c r="V3602" s="42"/>
      <c r="W3602" s="42"/>
    </row>
    <row r="3603">
      <c r="A3603" s="9"/>
      <c r="B3603" s="9"/>
      <c r="C3603" s="9"/>
      <c r="D3603" s="42"/>
      <c r="E3603" s="103"/>
      <c r="F3603" s="42"/>
      <c r="G3603" s="9"/>
      <c r="H3603" s="9"/>
      <c r="I3603" s="9"/>
      <c r="J3603" s="9"/>
      <c r="K3603" s="42"/>
      <c r="L3603" s="42"/>
      <c r="M3603" s="42"/>
      <c r="N3603" s="42"/>
      <c r="O3603" s="42"/>
      <c r="P3603" s="9"/>
      <c r="Q3603" s="9"/>
      <c r="R3603" s="42"/>
      <c r="S3603" s="42"/>
      <c r="T3603" s="42"/>
      <c r="U3603" s="42"/>
      <c r="V3603" s="42"/>
      <c r="W3603" s="42"/>
    </row>
    <row r="3604">
      <c r="A3604" s="9"/>
      <c r="B3604" s="9"/>
      <c r="C3604" s="9"/>
      <c r="D3604" s="42"/>
      <c r="E3604" s="103"/>
      <c r="F3604" s="42"/>
      <c r="G3604" s="9"/>
      <c r="H3604" s="9"/>
      <c r="I3604" s="9"/>
      <c r="J3604" s="9"/>
      <c r="K3604" s="42"/>
      <c r="L3604" s="42"/>
      <c r="M3604" s="42"/>
      <c r="N3604" s="42"/>
      <c r="O3604" s="42"/>
      <c r="P3604" s="9"/>
      <c r="Q3604" s="9"/>
      <c r="R3604" s="42"/>
      <c r="S3604" s="42"/>
      <c r="T3604" s="42"/>
      <c r="U3604" s="42"/>
      <c r="V3604" s="42"/>
      <c r="W3604" s="42"/>
    </row>
    <row r="3605">
      <c r="A3605" s="9"/>
      <c r="B3605" s="9"/>
      <c r="C3605" s="9"/>
      <c r="D3605" s="42"/>
      <c r="E3605" s="103"/>
      <c r="F3605" s="42"/>
      <c r="G3605" s="9"/>
      <c r="H3605" s="9"/>
      <c r="I3605" s="9"/>
      <c r="J3605" s="9"/>
      <c r="K3605" s="42"/>
      <c r="L3605" s="42"/>
      <c r="M3605" s="42"/>
      <c r="N3605" s="42"/>
      <c r="O3605" s="42"/>
      <c r="P3605" s="9"/>
      <c r="Q3605" s="9"/>
      <c r="R3605" s="42"/>
      <c r="S3605" s="42"/>
      <c r="T3605" s="42"/>
      <c r="U3605" s="42"/>
      <c r="V3605" s="42"/>
      <c r="W3605" s="42"/>
    </row>
    <row r="3606">
      <c r="A3606" s="9"/>
      <c r="B3606" s="9"/>
      <c r="C3606" s="9"/>
      <c r="D3606" s="42"/>
      <c r="E3606" s="103"/>
      <c r="F3606" s="42"/>
      <c r="G3606" s="9"/>
      <c r="H3606" s="9"/>
      <c r="I3606" s="9"/>
      <c r="J3606" s="9"/>
      <c r="K3606" s="42"/>
      <c r="L3606" s="42"/>
      <c r="M3606" s="42"/>
      <c r="N3606" s="42"/>
      <c r="O3606" s="42"/>
      <c r="P3606" s="9"/>
      <c r="Q3606" s="9"/>
      <c r="R3606" s="42"/>
      <c r="S3606" s="42"/>
      <c r="T3606" s="42"/>
      <c r="U3606" s="42"/>
      <c r="V3606" s="42"/>
      <c r="W3606" s="42"/>
    </row>
    <row r="3607">
      <c r="A3607" s="9"/>
      <c r="B3607" s="9"/>
      <c r="C3607" s="9"/>
      <c r="D3607" s="42"/>
      <c r="E3607" s="103"/>
      <c r="F3607" s="42"/>
      <c r="G3607" s="9"/>
      <c r="H3607" s="9"/>
      <c r="I3607" s="9"/>
      <c r="J3607" s="9"/>
      <c r="K3607" s="42"/>
      <c r="L3607" s="42"/>
      <c r="M3607" s="42"/>
      <c r="N3607" s="42"/>
      <c r="O3607" s="42"/>
      <c r="P3607" s="9"/>
      <c r="Q3607" s="9"/>
      <c r="R3607" s="42"/>
      <c r="S3607" s="42"/>
      <c r="T3607" s="42"/>
      <c r="U3607" s="42"/>
      <c r="V3607" s="42"/>
      <c r="W3607" s="42"/>
    </row>
    <row r="3608">
      <c r="A3608" s="9"/>
      <c r="B3608" s="9"/>
      <c r="C3608" s="9"/>
      <c r="D3608" s="42"/>
      <c r="E3608" s="103"/>
      <c r="F3608" s="42"/>
      <c r="G3608" s="9"/>
      <c r="H3608" s="9"/>
      <c r="I3608" s="9"/>
      <c r="J3608" s="9"/>
      <c r="K3608" s="42"/>
      <c r="L3608" s="42"/>
      <c r="M3608" s="42"/>
      <c r="N3608" s="42"/>
      <c r="O3608" s="42"/>
      <c r="P3608" s="9"/>
      <c r="Q3608" s="9"/>
      <c r="R3608" s="42"/>
      <c r="S3608" s="42"/>
      <c r="T3608" s="42"/>
      <c r="U3608" s="42"/>
      <c r="V3608" s="42"/>
      <c r="W3608" s="42"/>
    </row>
    <row r="3609">
      <c r="A3609" s="9"/>
      <c r="B3609" s="9"/>
      <c r="C3609" s="9"/>
      <c r="D3609" s="42"/>
      <c r="E3609" s="103"/>
      <c r="F3609" s="42"/>
      <c r="G3609" s="9"/>
      <c r="H3609" s="9"/>
      <c r="I3609" s="9"/>
      <c r="J3609" s="9"/>
      <c r="K3609" s="42"/>
      <c r="L3609" s="42"/>
      <c r="M3609" s="42"/>
      <c r="N3609" s="42"/>
      <c r="O3609" s="42"/>
      <c r="P3609" s="9"/>
      <c r="Q3609" s="9"/>
      <c r="R3609" s="42"/>
      <c r="S3609" s="42"/>
      <c r="T3609" s="42"/>
      <c r="U3609" s="42"/>
      <c r="V3609" s="42"/>
      <c r="W3609" s="42"/>
    </row>
    <row r="3610">
      <c r="A3610" s="9"/>
      <c r="B3610" s="9"/>
      <c r="C3610" s="9"/>
      <c r="D3610" s="42"/>
      <c r="E3610" s="103"/>
      <c r="F3610" s="42"/>
      <c r="G3610" s="9"/>
      <c r="H3610" s="9"/>
      <c r="I3610" s="9"/>
      <c r="J3610" s="9"/>
      <c r="K3610" s="42"/>
      <c r="L3610" s="42"/>
      <c r="M3610" s="42"/>
      <c r="N3610" s="42"/>
      <c r="O3610" s="42"/>
      <c r="P3610" s="9"/>
      <c r="Q3610" s="9"/>
      <c r="R3610" s="42"/>
      <c r="S3610" s="42"/>
      <c r="T3610" s="42"/>
      <c r="U3610" s="42"/>
      <c r="V3610" s="42"/>
      <c r="W3610" s="42"/>
    </row>
    <row r="3611">
      <c r="A3611" s="9"/>
      <c r="B3611" s="9"/>
      <c r="C3611" s="9"/>
      <c r="D3611" s="42"/>
      <c r="E3611" s="103"/>
      <c r="F3611" s="42"/>
      <c r="G3611" s="9"/>
      <c r="H3611" s="9"/>
      <c r="I3611" s="9"/>
      <c r="J3611" s="9"/>
      <c r="K3611" s="42"/>
      <c r="L3611" s="42"/>
      <c r="M3611" s="42"/>
      <c r="N3611" s="42"/>
      <c r="O3611" s="42"/>
      <c r="P3611" s="9"/>
      <c r="Q3611" s="9"/>
      <c r="R3611" s="42"/>
      <c r="S3611" s="42"/>
      <c r="T3611" s="42"/>
      <c r="U3611" s="42"/>
      <c r="V3611" s="42"/>
      <c r="W3611" s="42"/>
    </row>
    <row r="3612">
      <c r="A3612" s="9"/>
      <c r="B3612" s="9"/>
      <c r="C3612" s="9"/>
      <c r="D3612" s="42"/>
      <c r="E3612" s="103"/>
      <c r="F3612" s="42"/>
      <c r="G3612" s="9"/>
      <c r="H3612" s="9"/>
      <c r="I3612" s="9"/>
      <c r="J3612" s="9"/>
      <c r="K3612" s="42"/>
      <c r="L3612" s="42"/>
      <c r="M3612" s="42"/>
      <c r="N3612" s="42"/>
      <c r="O3612" s="42"/>
      <c r="P3612" s="9"/>
      <c r="Q3612" s="9"/>
      <c r="R3612" s="42"/>
      <c r="S3612" s="42"/>
      <c r="T3612" s="42"/>
      <c r="U3612" s="42"/>
      <c r="V3612" s="42"/>
      <c r="W3612" s="42"/>
    </row>
    <row r="3613">
      <c r="A3613" s="9"/>
      <c r="B3613" s="9"/>
      <c r="C3613" s="9"/>
      <c r="D3613" s="42"/>
      <c r="E3613" s="103"/>
      <c r="F3613" s="42"/>
      <c r="G3613" s="9"/>
      <c r="H3613" s="9"/>
      <c r="I3613" s="9"/>
      <c r="J3613" s="9"/>
      <c r="K3613" s="42"/>
      <c r="L3613" s="42"/>
      <c r="M3613" s="42"/>
      <c r="N3613" s="42"/>
      <c r="O3613" s="42"/>
      <c r="P3613" s="9"/>
      <c r="Q3613" s="9"/>
      <c r="R3613" s="42"/>
      <c r="S3613" s="42"/>
      <c r="T3613" s="42"/>
      <c r="U3613" s="42"/>
      <c r="V3613" s="42"/>
      <c r="W3613" s="42"/>
    </row>
    <row r="3614">
      <c r="A3614" s="9"/>
      <c r="B3614" s="9"/>
      <c r="C3614" s="9"/>
      <c r="D3614" s="42"/>
      <c r="E3614" s="103"/>
      <c r="F3614" s="42"/>
      <c r="G3614" s="9"/>
      <c r="H3614" s="9"/>
      <c r="I3614" s="9"/>
      <c r="J3614" s="9"/>
      <c r="K3614" s="42"/>
      <c r="L3614" s="42"/>
      <c r="M3614" s="42"/>
      <c r="N3614" s="42"/>
      <c r="O3614" s="42"/>
      <c r="P3614" s="9"/>
      <c r="Q3614" s="9"/>
      <c r="R3614" s="42"/>
      <c r="S3614" s="42"/>
      <c r="T3614" s="42"/>
      <c r="U3614" s="42"/>
      <c r="V3614" s="42"/>
      <c r="W3614" s="42"/>
    </row>
    <row r="3615">
      <c r="A3615" s="9"/>
      <c r="B3615" s="9"/>
      <c r="C3615" s="9"/>
      <c r="D3615" s="42"/>
      <c r="E3615" s="103"/>
      <c r="F3615" s="42"/>
      <c r="G3615" s="9"/>
      <c r="H3615" s="9"/>
      <c r="I3615" s="9"/>
      <c r="J3615" s="9"/>
      <c r="K3615" s="42"/>
      <c r="L3615" s="42"/>
      <c r="M3615" s="42"/>
      <c r="N3615" s="42"/>
      <c r="O3615" s="42"/>
      <c r="P3615" s="9"/>
      <c r="Q3615" s="9"/>
      <c r="R3615" s="42"/>
      <c r="S3615" s="42"/>
      <c r="T3615" s="42"/>
      <c r="U3615" s="42"/>
      <c r="V3615" s="42"/>
      <c r="W3615" s="42"/>
    </row>
    <row r="3616">
      <c r="A3616" s="9"/>
      <c r="B3616" s="9"/>
      <c r="C3616" s="9"/>
      <c r="D3616" s="42"/>
      <c r="E3616" s="103"/>
      <c r="F3616" s="42"/>
      <c r="G3616" s="9"/>
      <c r="H3616" s="9"/>
      <c r="I3616" s="9"/>
      <c r="J3616" s="9"/>
      <c r="K3616" s="42"/>
      <c r="L3616" s="42"/>
      <c r="M3616" s="42"/>
      <c r="N3616" s="42"/>
      <c r="O3616" s="42"/>
      <c r="P3616" s="9"/>
      <c r="Q3616" s="9"/>
      <c r="R3616" s="42"/>
      <c r="S3616" s="42"/>
      <c r="T3616" s="42"/>
      <c r="U3616" s="42"/>
      <c r="V3616" s="42"/>
      <c r="W3616" s="42"/>
    </row>
    <row r="3617">
      <c r="A3617" s="9"/>
      <c r="B3617" s="9"/>
      <c r="C3617" s="9"/>
      <c r="D3617" s="42"/>
      <c r="E3617" s="103"/>
      <c r="F3617" s="42"/>
      <c r="G3617" s="9"/>
      <c r="H3617" s="9"/>
      <c r="I3617" s="9"/>
      <c r="J3617" s="9"/>
      <c r="K3617" s="42"/>
      <c r="L3617" s="42"/>
      <c r="M3617" s="42"/>
      <c r="N3617" s="42"/>
      <c r="O3617" s="42"/>
      <c r="P3617" s="9"/>
      <c r="Q3617" s="9"/>
      <c r="R3617" s="42"/>
      <c r="S3617" s="42"/>
      <c r="T3617" s="42"/>
      <c r="U3617" s="42"/>
      <c r="V3617" s="42"/>
      <c r="W3617" s="42"/>
    </row>
    <row r="3618">
      <c r="A3618" s="9"/>
      <c r="B3618" s="9"/>
      <c r="C3618" s="9"/>
      <c r="D3618" s="42"/>
      <c r="E3618" s="103"/>
      <c r="F3618" s="42"/>
      <c r="G3618" s="9"/>
      <c r="H3618" s="9"/>
      <c r="I3618" s="9"/>
      <c r="J3618" s="9"/>
      <c r="K3618" s="42"/>
      <c r="L3618" s="42"/>
      <c r="M3618" s="42"/>
      <c r="N3618" s="42"/>
      <c r="O3618" s="42"/>
      <c r="P3618" s="9"/>
      <c r="Q3618" s="9"/>
      <c r="R3618" s="42"/>
      <c r="S3618" s="42"/>
      <c r="T3618" s="42"/>
      <c r="U3618" s="42"/>
      <c r="V3618" s="42"/>
      <c r="W3618" s="42"/>
    </row>
    <row r="3619">
      <c r="A3619" s="9"/>
      <c r="B3619" s="9"/>
      <c r="C3619" s="9"/>
      <c r="D3619" s="42"/>
      <c r="E3619" s="103"/>
      <c r="F3619" s="42"/>
      <c r="G3619" s="9"/>
      <c r="H3619" s="9"/>
      <c r="I3619" s="9"/>
      <c r="J3619" s="9"/>
      <c r="K3619" s="42"/>
      <c r="L3619" s="42"/>
      <c r="M3619" s="42"/>
      <c r="N3619" s="42"/>
      <c r="O3619" s="42"/>
      <c r="P3619" s="9"/>
      <c r="Q3619" s="9"/>
      <c r="R3619" s="42"/>
      <c r="S3619" s="42"/>
      <c r="T3619" s="42"/>
      <c r="U3619" s="42"/>
      <c r="V3619" s="42"/>
      <c r="W3619" s="42"/>
    </row>
    <row r="3620">
      <c r="A3620" s="9"/>
      <c r="B3620" s="9"/>
      <c r="C3620" s="9"/>
      <c r="D3620" s="42"/>
      <c r="E3620" s="103"/>
      <c r="F3620" s="42"/>
      <c r="G3620" s="9"/>
      <c r="H3620" s="9"/>
      <c r="I3620" s="9"/>
      <c r="J3620" s="9"/>
      <c r="K3620" s="42"/>
      <c r="L3620" s="42"/>
      <c r="M3620" s="42"/>
      <c r="N3620" s="42"/>
      <c r="O3620" s="42"/>
      <c r="P3620" s="9"/>
      <c r="Q3620" s="9"/>
      <c r="R3620" s="42"/>
      <c r="S3620" s="42"/>
      <c r="T3620" s="42"/>
      <c r="U3620" s="42"/>
      <c r="V3620" s="42"/>
      <c r="W3620" s="42"/>
    </row>
    <row r="3621">
      <c r="A3621" s="9"/>
      <c r="B3621" s="9"/>
      <c r="C3621" s="9"/>
      <c r="D3621" s="42"/>
      <c r="E3621" s="103"/>
      <c r="F3621" s="42"/>
      <c r="G3621" s="9"/>
      <c r="H3621" s="9"/>
      <c r="I3621" s="9"/>
      <c r="J3621" s="9"/>
      <c r="K3621" s="42"/>
      <c r="L3621" s="42"/>
      <c r="M3621" s="42"/>
      <c r="N3621" s="42"/>
      <c r="O3621" s="42"/>
      <c r="P3621" s="9"/>
      <c r="Q3621" s="9"/>
      <c r="R3621" s="42"/>
      <c r="S3621" s="42"/>
      <c r="T3621" s="42"/>
      <c r="U3621" s="42"/>
      <c r="V3621" s="42"/>
      <c r="W3621" s="42"/>
    </row>
    <row r="3622">
      <c r="A3622" s="9"/>
      <c r="B3622" s="9"/>
      <c r="C3622" s="9"/>
      <c r="D3622" s="42"/>
      <c r="E3622" s="103"/>
      <c r="F3622" s="42"/>
      <c r="G3622" s="9"/>
      <c r="H3622" s="9"/>
      <c r="I3622" s="9"/>
      <c r="J3622" s="9"/>
      <c r="K3622" s="42"/>
      <c r="L3622" s="42"/>
      <c r="M3622" s="42"/>
      <c r="N3622" s="42"/>
      <c r="O3622" s="42"/>
      <c r="P3622" s="9"/>
      <c r="Q3622" s="9"/>
      <c r="R3622" s="42"/>
      <c r="S3622" s="42"/>
      <c r="T3622" s="42"/>
      <c r="U3622" s="42"/>
      <c r="V3622" s="42"/>
      <c r="W3622" s="42"/>
    </row>
    <row r="3623">
      <c r="A3623" s="9"/>
      <c r="B3623" s="9"/>
      <c r="C3623" s="9"/>
      <c r="D3623" s="42"/>
      <c r="E3623" s="103"/>
      <c r="F3623" s="42"/>
      <c r="G3623" s="9"/>
      <c r="H3623" s="9"/>
      <c r="I3623" s="9"/>
      <c r="J3623" s="9"/>
      <c r="K3623" s="42"/>
      <c r="L3623" s="42"/>
      <c r="M3623" s="42"/>
      <c r="N3623" s="42"/>
      <c r="O3623" s="42"/>
      <c r="P3623" s="9"/>
      <c r="Q3623" s="9"/>
      <c r="R3623" s="42"/>
      <c r="S3623" s="42"/>
      <c r="T3623" s="42"/>
      <c r="U3623" s="42"/>
      <c r="V3623" s="42"/>
      <c r="W3623" s="42"/>
    </row>
    <row r="3624">
      <c r="A3624" s="9"/>
      <c r="B3624" s="9"/>
      <c r="C3624" s="9"/>
      <c r="D3624" s="42"/>
      <c r="E3624" s="103"/>
      <c r="F3624" s="42"/>
      <c r="G3624" s="9"/>
      <c r="H3624" s="9"/>
      <c r="I3624" s="9"/>
      <c r="J3624" s="9"/>
      <c r="K3624" s="42"/>
      <c r="L3624" s="42"/>
      <c r="M3624" s="42"/>
      <c r="N3624" s="42"/>
      <c r="O3624" s="42"/>
      <c r="P3624" s="9"/>
      <c r="Q3624" s="9"/>
      <c r="R3624" s="42"/>
      <c r="S3624" s="42"/>
      <c r="T3624" s="42"/>
      <c r="U3624" s="42"/>
      <c r="V3624" s="42"/>
      <c r="W3624" s="42"/>
    </row>
    <row r="3625">
      <c r="A3625" s="9"/>
      <c r="B3625" s="9"/>
      <c r="C3625" s="9"/>
      <c r="D3625" s="42"/>
      <c r="E3625" s="103"/>
      <c r="F3625" s="42"/>
      <c r="G3625" s="9"/>
      <c r="H3625" s="9"/>
      <c r="I3625" s="9"/>
      <c r="J3625" s="9"/>
      <c r="K3625" s="42"/>
      <c r="L3625" s="42"/>
      <c r="M3625" s="42"/>
      <c r="N3625" s="42"/>
      <c r="O3625" s="42"/>
      <c r="P3625" s="9"/>
      <c r="Q3625" s="9"/>
      <c r="R3625" s="42"/>
      <c r="S3625" s="42"/>
      <c r="T3625" s="42"/>
      <c r="U3625" s="42"/>
      <c r="V3625" s="42"/>
      <c r="W3625" s="42"/>
    </row>
    <row r="3626">
      <c r="A3626" s="9"/>
      <c r="B3626" s="9"/>
      <c r="C3626" s="9"/>
      <c r="D3626" s="42"/>
      <c r="E3626" s="103"/>
      <c r="F3626" s="42"/>
      <c r="G3626" s="9"/>
      <c r="H3626" s="9"/>
      <c r="I3626" s="9"/>
      <c r="J3626" s="9"/>
      <c r="K3626" s="42"/>
      <c r="L3626" s="42"/>
      <c r="M3626" s="42"/>
      <c r="N3626" s="42"/>
      <c r="O3626" s="42"/>
      <c r="P3626" s="9"/>
      <c r="Q3626" s="9"/>
      <c r="R3626" s="42"/>
      <c r="S3626" s="42"/>
      <c r="T3626" s="42"/>
      <c r="U3626" s="42"/>
      <c r="V3626" s="42"/>
      <c r="W3626" s="42"/>
    </row>
    <row r="3627">
      <c r="A3627" s="9"/>
      <c r="B3627" s="9"/>
      <c r="C3627" s="9"/>
      <c r="D3627" s="42"/>
      <c r="E3627" s="103"/>
      <c r="F3627" s="42"/>
      <c r="G3627" s="9"/>
      <c r="H3627" s="9"/>
      <c r="I3627" s="9"/>
      <c r="J3627" s="9"/>
      <c r="K3627" s="42"/>
      <c r="L3627" s="42"/>
      <c r="M3627" s="42"/>
      <c r="N3627" s="42"/>
      <c r="O3627" s="42"/>
      <c r="P3627" s="9"/>
      <c r="Q3627" s="9"/>
      <c r="R3627" s="42"/>
      <c r="S3627" s="42"/>
      <c r="T3627" s="42"/>
      <c r="U3627" s="42"/>
      <c r="V3627" s="42"/>
      <c r="W3627" s="42"/>
    </row>
    <row r="3628">
      <c r="A3628" s="9"/>
      <c r="B3628" s="9"/>
      <c r="C3628" s="9"/>
      <c r="D3628" s="42"/>
      <c r="E3628" s="103"/>
      <c r="F3628" s="42"/>
      <c r="G3628" s="9"/>
      <c r="H3628" s="9"/>
      <c r="I3628" s="9"/>
      <c r="J3628" s="9"/>
      <c r="K3628" s="42"/>
      <c r="L3628" s="42"/>
      <c r="M3628" s="42"/>
      <c r="N3628" s="42"/>
      <c r="O3628" s="42"/>
      <c r="P3628" s="9"/>
      <c r="Q3628" s="9"/>
      <c r="R3628" s="42"/>
      <c r="S3628" s="42"/>
      <c r="T3628" s="42"/>
      <c r="U3628" s="42"/>
      <c r="V3628" s="42"/>
      <c r="W3628" s="42"/>
    </row>
    <row r="3629">
      <c r="A3629" s="9"/>
      <c r="B3629" s="9"/>
      <c r="C3629" s="9"/>
      <c r="D3629" s="42"/>
      <c r="E3629" s="103"/>
      <c r="F3629" s="42"/>
      <c r="G3629" s="9"/>
      <c r="H3629" s="9"/>
      <c r="I3629" s="9"/>
      <c r="J3629" s="9"/>
      <c r="K3629" s="42"/>
      <c r="L3629" s="42"/>
      <c r="M3629" s="42"/>
      <c r="N3629" s="42"/>
      <c r="O3629" s="42"/>
      <c r="P3629" s="9"/>
      <c r="Q3629" s="9"/>
      <c r="R3629" s="42"/>
      <c r="S3629" s="42"/>
      <c r="T3629" s="42"/>
      <c r="U3629" s="42"/>
      <c r="V3629" s="42"/>
      <c r="W3629" s="42"/>
    </row>
    <row r="3630">
      <c r="A3630" s="9"/>
      <c r="B3630" s="9"/>
      <c r="C3630" s="9"/>
      <c r="D3630" s="42"/>
      <c r="E3630" s="103"/>
      <c r="F3630" s="42"/>
      <c r="G3630" s="9"/>
      <c r="H3630" s="9"/>
      <c r="I3630" s="9"/>
      <c r="J3630" s="9"/>
      <c r="K3630" s="42"/>
      <c r="L3630" s="42"/>
      <c r="M3630" s="42"/>
      <c r="N3630" s="42"/>
      <c r="O3630" s="42"/>
      <c r="P3630" s="9"/>
      <c r="Q3630" s="9"/>
      <c r="R3630" s="42"/>
      <c r="S3630" s="42"/>
      <c r="T3630" s="42"/>
      <c r="U3630" s="42"/>
      <c r="V3630" s="42"/>
      <c r="W3630" s="42"/>
    </row>
    <row r="3631">
      <c r="A3631" s="9"/>
      <c r="B3631" s="9"/>
      <c r="C3631" s="9"/>
      <c r="D3631" s="42"/>
      <c r="E3631" s="103"/>
      <c r="F3631" s="42"/>
      <c r="G3631" s="9"/>
      <c r="H3631" s="9"/>
      <c r="I3631" s="9"/>
      <c r="J3631" s="9"/>
      <c r="K3631" s="42"/>
      <c r="L3631" s="42"/>
      <c r="M3631" s="42"/>
      <c r="N3631" s="42"/>
      <c r="O3631" s="42"/>
      <c r="P3631" s="9"/>
      <c r="Q3631" s="9"/>
      <c r="R3631" s="42"/>
      <c r="S3631" s="42"/>
      <c r="T3631" s="42"/>
      <c r="U3631" s="42"/>
      <c r="V3631" s="42"/>
      <c r="W3631" s="42"/>
    </row>
    <row r="3632">
      <c r="A3632" s="9"/>
      <c r="B3632" s="9"/>
      <c r="C3632" s="9"/>
      <c r="D3632" s="42"/>
      <c r="E3632" s="103"/>
      <c r="F3632" s="42"/>
      <c r="G3632" s="9"/>
      <c r="H3632" s="9"/>
      <c r="I3632" s="9"/>
      <c r="J3632" s="9"/>
      <c r="K3632" s="42"/>
      <c r="L3632" s="42"/>
      <c r="M3632" s="42"/>
      <c r="N3632" s="42"/>
      <c r="O3632" s="42"/>
      <c r="P3632" s="9"/>
      <c r="Q3632" s="9"/>
      <c r="R3632" s="42"/>
      <c r="S3632" s="42"/>
      <c r="T3632" s="42"/>
      <c r="U3632" s="42"/>
      <c r="V3632" s="42"/>
      <c r="W3632" s="42"/>
    </row>
    <row r="3633">
      <c r="A3633" s="9"/>
      <c r="B3633" s="9"/>
      <c r="C3633" s="9"/>
      <c r="D3633" s="42"/>
      <c r="E3633" s="103"/>
      <c r="F3633" s="42"/>
      <c r="G3633" s="9"/>
      <c r="H3633" s="9"/>
      <c r="I3633" s="9"/>
      <c r="J3633" s="9"/>
      <c r="K3633" s="42"/>
      <c r="L3633" s="42"/>
      <c r="M3633" s="42"/>
      <c r="N3633" s="42"/>
      <c r="O3633" s="42"/>
      <c r="P3633" s="9"/>
      <c r="Q3633" s="9"/>
      <c r="R3633" s="42"/>
      <c r="S3633" s="42"/>
      <c r="T3633" s="42"/>
      <c r="U3633" s="42"/>
      <c r="V3633" s="42"/>
      <c r="W3633" s="42"/>
    </row>
    <row r="3634">
      <c r="A3634" s="9"/>
      <c r="B3634" s="9"/>
      <c r="C3634" s="9"/>
      <c r="D3634" s="42"/>
      <c r="E3634" s="103"/>
      <c r="F3634" s="42"/>
      <c r="G3634" s="9"/>
      <c r="H3634" s="9"/>
      <c r="I3634" s="9"/>
      <c r="J3634" s="9"/>
      <c r="K3634" s="42"/>
      <c r="L3634" s="42"/>
      <c r="M3634" s="42"/>
      <c r="N3634" s="42"/>
      <c r="O3634" s="42"/>
      <c r="P3634" s="9"/>
      <c r="Q3634" s="9"/>
      <c r="R3634" s="42"/>
      <c r="S3634" s="42"/>
      <c r="T3634" s="42"/>
      <c r="U3634" s="42"/>
      <c r="V3634" s="42"/>
      <c r="W3634" s="42"/>
    </row>
    <row r="3635">
      <c r="A3635" s="9"/>
      <c r="B3635" s="9"/>
      <c r="C3635" s="9"/>
      <c r="D3635" s="42"/>
      <c r="E3635" s="103"/>
      <c r="F3635" s="42"/>
      <c r="G3635" s="9"/>
      <c r="H3635" s="9"/>
      <c r="I3635" s="9"/>
      <c r="J3635" s="9"/>
      <c r="K3635" s="42"/>
      <c r="L3635" s="42"/>
      <c r="M3635" s="42"/>
      <c r="N3635" s="42"/>
      <c r="O3635" s="42"/>
      <c r="P3635" s="9"/>
      <c r="Q3635" s="9"/>
      <c r="R3635" s="42"/>
      <c r="S3635" s="42"/>
      <c r="T3635" s="42"/>
      <c r="U3635" s="42"/>
      <c r="V3635" s="42"/>
      <c r="W3635" s="42"/>
    </row>
    <row r="3636">
      <c r="A3636" s="9"/>
      <c r="B3636" s="9"/>
      <c r="C3636" s="9"/>
      <c r="D3636" s="42"/>
      <c r="E3636" s="103"/>
      <c r="F3636" s="42"/>
      <c r="G3636" s="9"/>
      <c r="H3636" s="9"/>
      <c r="I3636" s="9"/>
      <c r="J3636" s="9"/>
      <c r="K3636" s="42"/>
      <c r="L3636" s="42"/>
      <c r="M3636" s="42"/>
      <c r="N3636" s="42"/>
      <c r="O3636" s="42"/>
      <c r="P3636" s="9"/>
      <c r="Q3636" s="9"/>
      <c r="R3636" s="42"/>
      <c r="S3636" s="42"/>
      <c r="T3636" s="42"/>
      <c r="U3636" s="42"/>
      <c r="V3636" s="42"/>
      <c r="W3636" s="42"/>
    </row>
    <row r="3637">
      <c r="A3637" s="9"/>
      <c r="B3637" s="9"/>
      <c r="C3637" s="9"/>
      <c r="D3637" s="42"/>
      <c r="E3637" s="103"/>
      <c r="F3637" s="42"/>
      <c r="G3637" s="9"/>
      <c r="H3637" s="9"/>
      <c r="I3637" s="9"/>
      <c r="J3637" s="9"/>
      <c r="K3637" s="42"/>
      <c r="L3637" s="42"/>
      <c r="M3637" s="42"/>
      <c r="N3637" s="42"/>
      <c r="O3637" s="42"/>
      <c r="P3637" s="9"/>
      <c r="Q3637" s="9"/>
      <c r="R3637" s="42"/>
      <c r="S3637" s="42"/>
      <c r="T3637" s="42"/>
      <c r="U3637" s="42"/>
      <c r="V3637" s="42"/>
      <c r="W3637" s="42"/>
    </row>
    <row r="3638">
      <c r="A3638" s="9"/>
      <c r="B3638" s="9"/>
      <c r="C3638" s="9"/>
      <c r="D3638" s="42"/>
      <c r="E3638" s="103"/>
      <c r="F3638" s="42"/>
      <c r="G3638" s="9"/>
      <c r="H3638" s="9"/>
      <c r="I3638" s="9"/>
      <c r="J3638" s="9"/>
      <c r="K3638" s="42"/>
      <c r="L3638" s="42"/>
      <c r="M3638" s="42"/>
      <c r="N3638" s="42"/>
      <c r="O3638" s="42"/>
      <c r="P3638" s="9"/>
      <c r="Q3638" s="9"/>
      <c r="R3638" s="42"/>
      <c r="S3638" s="42"/>
      <c r="T3638" s="42"/>
      <c r="U3638" s="42"/>
      <c r="V3638" s="42"/>
      <c r="W3638" s="42"/>
    </row>
    <row r="3639">
      <c r="A3639" s="9"/>
      <c r="B3639" s="9"/>
      <c r="C3639" s="9"/>
      <c r="D3639" s="42"/>
      <c r="E3639" s="103"/>
      <c r="F3639" s="42"/>
      <c r="G3639" s="9"/>
      <c r="H3639" s="9"/>
      <c r="I3639" s="9"/>
      <c r="J3639" s="9"/>
      <c r="K3639" s="42"/>
      <c r="L3639" s="42"/>
      <c r="M3639" s="42"/>
      <c r="N3639" s="42"/>
      <c r="O3639" s="42"/>
      <c r="P3639" s="9"/>
      <c r="Q3639" s="9"/>
      <c r="R3639" s="42"/>
      <c r="S3639" s="42"/>
      <c r="T3639" s="42"/>
      <c r="U3639" s="42"/>
      <c r="V3639" s="42"/>
      <c r="W3639" s="42"/>
    </row>
    <row r="3640">
      <c r="A3640" s="9"/>
      <c r="B3640" s="9"/>
      <c r="C3640" s="9"/>
      <c r="D3640" s="42"/>
      <c r="E3640" s="103"/>
      <c r="F3640" s="42"/>
      <c r="G3640" s="9"/>
      <c r="H3640" s="9"/>
      <c r="I3640" s="9"/>
      <c r="J3640" s="9"/>
      <c r="K3640" s="42"/>
      <c r="L3640" s="42"/>
      <c r="M3640" s="42"/>
      <c r="N3640" s="42"/>
      <c r="O3640" s="42"/>
      <c r="P3640" s="9"/>
      <c r="Q3640" s="9"/>
      <c r="R3640" s="42"/>
      <c r="S3640" s="42"/>
      <c r="T3640" s="42"/>
      <c r="U3640" s="42"/>
      <c r="V3640" s="42"/>
      <c r="W3640" s="42"/>
    </row>
    <row r="3641">
      <c r="A3641" s="9"/>
      <c r="B3641" s="9"/>
      <c r="C3641" s="9"/>
      <c r="D3641" s="42"/>
      <c r="E3641" s="103"/>
      <c r="F3641" s="42"/>
      <c r="G3641" s="9"/>
      <c r="H3641" s="9"/>
      <c r="I3641" s="9"/>
      <c r="J3641" s="9"/>
      <c r="K3641" s="42"/>
      <c r="L3641" s="42"/>
      <c r="M3641" s="42"/>
      <c r="N3641" s="42"/>
      <c r="O3641" s="42"/>
      <c r="P3641" s="9"/>
      <c r="Q3641" s="9"/>
      <c r="R3641" s="42"/>
      <c r="S3641" s="42"/>
      <c r="T3641" s="42"/>
      <c r="U3641" s="42"/>
      <c r="V3641" s="42"/>
      <c r="W3641" s="42"/>
    </row>
    <row r="3642">
      <c r="A3642" s="9"/>
      <c r="B3642" s="9"/>
      <c r="C3642" s="9"/>
      <c r="D3642" s="42"/>
      <c r="E3642" s="103"/>
      <c r="F3642" s="42"/>
      <c r="G3642" s="9"/>
      <c r="H3642" s="9"/>
      <c r="I3642" s="9"/>
      <c r="J3642" s="9"/>
      <c r="K3642" s="42"/>
      <c r="L3642" s="42"/>
      <c r="M3642" s="42"/>
      <c r="N3642" s="42"/>
      <c r="O3642" s="42"/>
      <c r="P3642" s="9"/>
      <c r="Q3642" s="9"/>
      <c r="R3642" s="42"/>
      <c r="S3642" s="42"/>
      <c r="T3642" s="42"/>
      <c r="U3642" s="42"/>
      <c r="V3642" s="42"/>
      <c r="W3642" s="42"/>
    </row>
    <row r="3643">
      <c r="A3643" s="9"/>
      <c r="B3643" s="9"/>
      <c r="C3643" s="9"/>
      <c r="D3643" s="42"/>
      <c r="E3643" s="103"/>
      <c r="F3643" s="42"/>
      <c r="G3643" s="9"/>
      <c r="H3643" s="9"/>
      <c r="I3643" s="9"/>
      <c r="J3643" s="9"/>
      <c r="K3643" s="42"/>
      <c r="L3643" s="42"/>
      <c r="M3643" s="42"/>
      <c r="N3643" s="42"/>
      <c r="O3643" s="42"/>
      <c r="P3643" s="9"/>
      <c r="Q3643" s="9"/>
      <c r="R3643" s="42"/>
      <c r="S3643" s="42"/>
      <c r="T3643" s="42"/>
      <c r="U3643" s="42"/>
      <c r="V3643" s="42"/>
      <c r="W3643" s="42"/>
    </row>
    <row r="3644">
      <c r="A3644" s="9"/>
      <c r="B3644" s="9"/>
      <c r="C3644" s="9"/>
      <c r="D3644" s="42"/>
      <c r="E3644" s="103"/>
      <c r="F3644" s="42"/>
      <c r="G3644" s="9"/>
      <c r="H3644" s="9"/>
      <c r="I3644" s="9"/>
      <c r="J3644" s="9"/>
      <c r="K3644" s="42"/>
      <c r="L3644" s="42"/>
      <c r="M3644" s="42"/>
      <c r="N3644" s="42"/>
      <c r="O3644" s="42"/>
      <c r="P3644" s="9"/>
      <c r="Q3644" s="9"/>
      <c r="R3644" s="42"/>
      <c r="S3644" s="42"/>
      <c r="T3644" s="42"/>
      <c r="U3644" s="42"/>
      <c r="V3644" s="42"/>
      <c r="W3644" s="42"/>
    </row>
    <row r="3645">
      <c r="A3645" s="9"/>
      <c r="B3645" s="9"/>
      <c r="C3645" s="9"/>
      <c r="D3645" s="42"/>
      <c r="E3645" s="103"/>
      <c r="F3645" s="42"/>
      <c r="G3645" s="9"/>
      <c r="H3645" s="9"/>
      <c r="I3645" s="9"/>
      <c r="J3645" s="9"/>
      <c r="K3645" s="42"/>
      <c r="L3645" s="42"/>
      <c r="M3645" s="42"/>
      <c r="N3645" s="42"/>
      <c r="O3645" s="42"/>
      <c r="P3645" s="9"/>
      <c r="Q3645" s="9"/>
      <c r="R3645" s="42"/>
      <c r="S3645" s="42"/>
      <c r="T3645" s="42"/>
      <c r="U3645" s="42"/>
      <c r="V3645" s="42"/>
      <c r="W3645" s="42"/>
    </row>
    <row r="3646">
      <c r="A3646" s="9"/>
      <c r="B3646" s="9"/>
      <c r="C3646" s="9"/>
      <c r="D3646" s="42"/>
      <c r="E3646" s="103"/>
      <c r="F3646" s="42"/>
      <c r="G3646" s="9"/>
      <c r="H3646" s="9"/>
      <c r="I3646" s="9"/>
      <c r="J3646" s="9"/>
      <c r="K3646" s="42"/>
      <c r="L3646" s="42"/>
      <c r="M3646" s="42"/>
      <c r="N3646" s="42"/>
      <c r="O3646" s="42"/>
      <c r="P3646" s="9"/>
      <c r="Q3646" s="9"/>
      <c r="R3646" s="42"/>
      <c r="S3646" s="42"/>
      <c r="T3646" s="42"/>
      <c r="U3646" s="42"/>
      <c r="V3646" s="42"/>
      <c r="W3646" s="42"/>
    </row>
    <row r="3647">
      <c r="A3647" s="9"/>
      <c r="B3647" s="9"/>
      <c r="C3647" s="9"/>
      <c r="D3647" s="42"/>
      <c r="E3647" s="103"/>
      <c r="F3647" s="42"/>
      <c r="G3647" s="9"/>
      <c r="H3647" s="9"/>
      <c r="I3647" s="9"/>
      <c r="J3647" s="9"/>
      <c r="K3647" s="42"/>
      <c r="L3647" s="42"/>
      <c r="M3647" s="42"/>
      <c r="N3647" s="42"/>
      <c r="O3647" s="42"/>
      <c r="P3647" s="9"/>
      <c r="Q3647" s="9"/>
      <c r="R3647" s="42"/>
      <c r="S3647" s="42"/>
      <c r="T3647" s="42"/>
      <c r="U3647" s="42"/>
      <c r="V3647" s="42"/>
      <c r="W3647" s="42"/>
    </row>
    <row r="3648">
      <c r="A3648" s="9"/>
      <c r="B3648" s="9"/>
      <c r="C3648" s="9"/>
      <c r="D3648" s="42"/>
      <c r="E3648" s="103"/>
      <c r="F3648" s="42"/>
      <c r="G3648" s="9"/>
      <c r="H3648" s="9"/>
      <c r="I3648" s="9"/>
      <c r="J3648" s="9"/>
      <c r="K3648" s="42"/>
      <c r="L3648" s="42"/>
      <c r="M3648" s="42"/>
      <c r="N3648" s="42"/>
      <c r="O3648" s="42"/>
      <c r="P3648" s="9"/>
      <c r="Q3648" s="9"/>
      <c r="R3648" s="42"/>
      <c r="S3648" s="42"/>
      <c r="T3648" s="42"/>
      <c r="U3648" s="42"/>
      <c r="V3648" s="42"/>
      <c r="W3648" s="42"/>
    </row>
    <row r="3649">
      <c r="A3649" s="9"/>
      <c r="B3649" s="9"/>
      <c r="C3649" s="9"/>
      <c r="D3649" s="42"/>
      <c r="E3649" s="103"/>
      <c r="F3649" s="42"/>
      <c r="G3649" s="9"/>
      <c r="H3649" s="9"/>
      <c r="I3649" s="9"/>
      <c r="J3649" s="9"/>
      <c r="K3649" s="42"/>
      <c r="L3649" s="42"/>
      <c r="M3649" s="42"/>
      <c r="N3649" s="42"/>
      <c r="O3649" s="42"/>
      <c r="P3649" s="9"/>
      <c r="Q3649" s="9"/>
      <c r="R3649" s="42"/>
      <c r="S3649" s="42"/>
      <c r="T3649" s="42"/>
      <c r="U3649" s="42"/>
      <c r="V3649" s="42"/>
      <c r="W3649" s="42"/>
    </row>
    <row r="3650">
      <c r="A3650" s="9"/>
      <c r="B3650" s="9"/>
      <c r="C3650" s="9"/>
      <c r="D3650" s="42"/>
      <c r="E3650" s="103"/>
      <c r="F3650" s="42"/>
      <c r="G3650" s="9"/>
      <c r="H3650" s="9"/>
      <c r="I3650" s="9"/>
      <c r="J3650" s="9"/>
      <c r="K3650" s="42"/>
      <c r="L3650" s="42"/>
      <c r="M3650" s="42"/>
      <c r="N3650" s="42"/>
      <c r="O3650" s="42"/>
      <c r="P3650" s="9"/>
      <c r="Q3650" s="9"/>
      <c r="R3650" s="42"/>
      <c r="S3650" s="42"/>
      <c r="T3650" s="42"/>
      <c r="U3650" s="42"/>
      <c r="V3650" s="42"/>
      <c r="W3650" s="42"/>
    </row>
    <row r="3651">
      <c r="A3651" s="9"/>
      <c r="B3651" s="9"/>
      <c r="C3651" s="9"/>
      <c r="D3651" s="42"/>
      <c r="E3651" s="103"/>
      <c r="F3651" s="42"/>
      <c r="G3651" s="9"/>
      <c r="H3651" s="9"/>
      <c r="I3651" s="9"/>
      <c r="J3651" s="9"/>
      <c r="K3651" s="42"/>
      <c r="L3651" s="42"/>
      <c r="M3651" s="42"/>
      <c r="N3651" s="42"/>
      <c r="O3651" s="42"/>
      <c r="P3651" s="9"/>
      <c r="Q3651" s="9"/>
      <c r="R3651" s="42"/>
      <c r="S3651" s="42"/>
      <c r="T3651" s="42"/>
      <c r="U3651" s="42"/>
      <c r="V3651" s="42"/>
      <c r="W3651" s="42"/>
    </row>
    <row r="3652">
      <c r="A3652" s="9"/>
      <c r="B3652" s="9"/>
      <c r="C3652" s="9"/>
      <c r="D3652" s="42"/>
      <c r="E3652" s="103"/>
      <c r="F3652" s="42"/>
      <c r="G3652" s="9"/>
      <c r="H3652" s="9"/>
      <c r="I3652" s="9"/>
      <c r="J3652" s="9"/>
      <c r="K3652" s="42"/>
      <c r="L3652" s="42"/>
      <c r="M3652" s="42"/>
      <c r="N3652" s="42"/>
      <c r="O3652" s="42"/>
      <c r="P3652" s="9"/>
      <c r="Q3652" s="9"/>
      <c r="R3652" s="42"/>
      <c r="S3652" s="42"/>
      <c r="T3652" s="42"/>
      <c r="U3652" s="42"/>
      <c r="V3652" s="42"/>
      <c r="W3652" s="42"/>
    </row>
    <row r="3653">
      <c r="A3653" s="9"/>
      <c r="B3653" s="9"/>
      <c r="C3653" s="9"/>
      <c r="D3653" s="42"/>
      <c r="E3653" s="103"/>
      <c r="F3653" s="42"/>
      <c r="G3653" s="9"/>
      <c r="H3653" s="9"/>
      <c r="I3653" s="9"/>
      <c r="J3653" s="9"/>
      <c r="K3653" s="42"/>
      <c r="L3653" s="42"/>
      <c r="M3653" s="42"/>
      <c r="N3653" s="42"/>
      <c r="O3653" s="42"/>
      <c r="P3653" s="9"/>
      <c r="Q3653" s="9"/>
      <c r="R3653" s="42"/>
      <c r="S3653" s="42"/>
      <c r="T3653" s="42"/>
      <c r="U3653" s="42"/>
      <c r="V3653" s="42"/>
      <c r="W3653" s="42"/>
    </row>
    <row r="3654">
      <c r="A3654" s="9"/>
      <c r="B3654" s="9"/>
      <c r="C3654" s="9"/>
      <c r="D3654" s="42"/>
      <c r="E3654" s="103"/>
      <c r="F3654" s="42"/>
      <c r="G3654" s="9"/>
      <c r="H3654" s="9"/>
      <c r="I3654" s="9"/>
      <c r="J3654" s="9"/>
      <c r="K3654" s="42"/>
      <c r="L3654" s="42"/>
      <c r="M3654" s="42"/>
      <c r="N3654" s="42"/>
      <c r="O3654" s="42"/>
      <c r="P3654" s="9"/>
      <c r="Q3654" s="9"/>
      <c r="R3654" s="42"/>
      <c r="S3654" s="42"/>
      <c r="T3654" s="42"/>
      <c r="U3654" s="42"/>
      <c r="V3654" s="42"/>
      <c r="W3654" s="42"/>
    </row>
    <row r="3655">
      <c r="A3655" s="9"/>
      <c r="B3655" s="9"/>
      <c r="C3655" s="9"/>
      <c r="D3655" s="42"/>
      <c r="E3655" s="103"/>
      <c r="F3655" s="42"/>
      <c r="G3655" s="9"/>
      <c r="H3655" s="9"/>
      <c r="I3655" s="9"/>
      <c r="J3655" s="9"/>
      <c r="K3655" s="42"/>
      <c r="L3655" s="42"/>
      <c r="M3655" s="42"/>
      <c r="N3655" s="42"/>
      <c r="O3655" s="42"/>
      <c r="P3655" s="9"/>
      <c r="Q3655" s="9"/>
      <c r="R3655" s="42"/>
      <c r="S3655" s="42"/>
      <c r="T3655" s="42"/>
      <c r="U3655" s="42"/>
      <c r="V3655" s="42"/>
      <c r="W3655" s="42"/>
    </row>
    <row r="3656">
      <c r="A3656" s="9"/>
      <c r="B3656" s="9"/>
      <c r="C3656" s="9"/>
      <c r="D3656" s="42"/>
      <c r="E3656" s="103"/>
      <c r="F3656" s="42"/>
      <c r="G3656" s="9"/>
      <c r="H3656" s="9"/>
      <c r="I3656" s="9"/>
      <c r="J3656" s="9"/>
      <c r="K3656" s="42"/>
      <c r="L3656" s="42"/>
      <c r="M3656" s="42"/>
      <c r="N3656" s="42"/>
      <c r="O3656" s="42"/>
      <c r="P3656" s="9"/>
      <c r="Q3656" s="9"/>
      <c r="R3656" s="42"/>
      <c r="S3656" s="42"/>
      <c r="T3656" s="42"/>
      <c r="U3656" s="42"/>
      <c r="V3656" s="42"/>
      <c r="W3656" s="42"/>
    </row>
    <row r="3657">
      <c r="A3657" s="9"/>
      <c r="B3657" s="9"/>
      <c r="C3657" s="9"/>
      <c r="D3657" s="42"/>
      <c r="E3657" s="103"/>
      <c r="F3657" s="42"/>
      <c r="G3657" s="9"/>
      <c r="H3657" s="9"/>
      <c r="I3657" s="9"/>
      <c r="J3657" s="9"/>
      <c r="K3657" s="42"/>
      <c r="L3657" s="42"/>
      <c r="M3657" s="42"/>
      <c r="N3657" s="42"/>
      <c r="O3657" s="42"/>
      <c r="P3657" s="9"/>
      <c r="Q3657" s="9"/>
      <c r="R3657" s="42"/>
      <c r="S3657" s="42"/>
      <c r="T3657" s="42"/>
      <c r="U3657" s="42"/>
      <c r="V3657" s="42"/>
      <c r="W3657" s="42"/>
    </row>
    <row r="3658">
      <c r="A3658" s="9"/>
      <c r="B3658" s="9"/>
      <c r="C3658" s="9"/>
      <c r="D3658" s="42"/>
      <c r="E3658" s="103"/>
      <c r="F3658" s="42"/>
      <c r="G3658" s="9"/>
      <c r="H3658" s="9"/>
      <c r="I3658" s="9"/>
      <c r="J3658" s="9"/>
      <c r="K3658" s="42"/>
      <c r="L3658" s="42"/>
      <c r="M3658" s="42"/>
      <c r="N3658" s="42"/>
      <c r="O3658" s="42"/>
      <c r="P3658" s="9"/>
      <c r="Q3658" s="9"/>
      <c r="R3658" s="42"/>
      <c r="S3658" s="42"/>
      <c r="T3658" s="42"/>
      <c r="U3658" s="42"/>
      <c r="V3658" s="42"/>
      <c r="W3658" s="42"/>
    </row>
    <row r="3659">
      <c r="A3659" s="9"/>
      <c r="B3659" s="9"/>
      <c r="C3659" s="9"/>
      <c r="D3659" s="42"/>
      <c r="E3659" s="103"/>
      <c r="F3659" s="42"/>
      <c r="G3659" s="9"/>
      <c r="H3659" s="9"/>
      <c r="I3659" s="9"/>
      <c r="J3659" s="9"/>
      <c r="K3659" s="42"/>
      <c r="L3659" s="42"/>
      <c r="M3659" s="42"/>
      <c r="N3659" s="42"/>
      <c r="O3659" s="42"/>
      <c r="P3659" s="9"/>
      <c r="Q3659" s="9"/>
      <c r="R3659" s="42"/>
      <c r="S3659" s="42"/>
      <c r="T3659" s="42"/>
      <c r="U3659" s="42"/>
      <c r="V3659" s="42"/>
      <c r="W3659" s="42"/>
    </row>
    <row r="3660">
      <c r="A3660" s="9"/>
      <c r="B3660" s="9"/>
      <c r="C3660" s="9"/>
      <c r="D3660" s="42"/>
      <c r="E3660" s="103"/>
      <c r="F3660" s="42"/>
      <c r="G3660" s="9"/>
      <c r="H3660" s="9"/>
      <c r="I3660" s="9"/>
      <c r="J3660" s="9"/>
      <c r="K3660" s="42"/>
      <c r="L3660" s="42"/>
      <c r="M3660" s="42"/>
      <c r="N3660" s="42"/>
      <c r="O3660" s="42"/>
      <c r="P3660" s="9"/>
      <c r="Q3660" s="9"/>
      <c r="R3660" s="42"/>
      <c r="S3660" s="42"/>
      <c r="T3660" s="42"/>
      <c r="U3660" s="42"/>
      <c r="V3660" s="42"/>
      <c r="W3660" s="42"/>
    </row>
    <row r="3661">
      <c r="A3661" s="9"/>
      <c r="B3661" s="9"/>
      <c r="C3661" s="9"/>
      <c r="D3661" s="42"/>
      <c r="E3661" s="103"/>
      <c r="F3661" s="42"/>
      <c r="G3661" s="9"/>
      <c r="H3661" s="9"/>
      <c r="I3661" s="9"/>
      <c r="J3661" s="9"/>
      <c r="K3661" s="42"/>
      <c r="L3661" s="42"/>
      <c r="M3661" s="42"/>
      <c r="N3661" s="42"/>
      <c r="O3661" s="42"/>
      <c r="P3661" s="9"/>
      <c r="Q3661" s="9"/>
      <c r="R3661" s="42"/>
      <c r="S3661" s="42"/>
      <c r="T3661" s="42"/>
      <c r="U3661" s="42"/>
      <c r="V3661" s="42"/>
      <c r="W3661" s="42"/>
    </row>
    <row r="3662">
      <c r="A3662" s="9"/>
      <c r="B3662" s="9"/>
      <c r="C3662" s="9"/>
      <c r="D3662" s="42"/>
      <c r="E3662" s="103"/>
      <c r="F3662" s="42"/>
      <c r="G3662" s="9"/>
      <c r="H3662" s="9"/>
      <c r="I3662" s="9"/>
      <c r="J3662" s="9"/>
      <c r="K3662" s="42"/>
      <c r="L3662" s="42"/>
      <c r="M3662" s="42"/>
      <c r="N3662" s="42"/>
      <c r="O3662" s="42"/>
      <c r="P3662" s="9"/>
      <c r="Q3662" s="9"/>
      <c r="R3662" s="42"/>
      <c r="S3662" s="42"/>
      <c r="T3662" s="42"/>
      <c r="U3662" s="42"/>
      <c r="V3662" s="42"/>
      <c r="W3662" s="42"/>
    </row>
    <row r="3663">
      <c r="A3663" s="9"/>
      <c r="B3663" s="9"/>
      <c r="C3663" s="9"/>
      <c r="D3663" s="42"/>
      <c r="E3663" s="103"/>
      <c r="F3663" s="42"/>
      <c r="G3663" s="9"/>
      <c r="H3663" s="9"/>
      <c r="I3663" s="9"/>
      <c r="J3663" s="9"/>
      <c r="K3663" s="42"/>
      <c r="L3663" s="42"/>
      <c r="M3663" s="42"/>
      <c r="N3663" s="42"/>
      <c r="O3663" s="42"/>
      <c r="P3663" s="9"/>
      <c r="Q3663" s="9"/>
      <c r="R3663" s="42"/>
      <c r="S3663" s="42"/>
      <c r="T3663" s="42"/>
      <c r="U3663" s="42"/>
      <c r="V3663" s="42"/>
      <c r="W3663" s="42"/>
    </row>
    <row r="3664">
      <c r="A3664" s="9"/>
      <c r="B3664" s="9"/>
      <c r="C3664" s="9"/>
      <c r="D3664" s="42"/>
      <c r="E3664" s="103"/>
      <c r="F3664" s="42"/>
      <c r="G3664" s="9"/>
      <c r="H3664" s="9"/>
      <c r="I3664" s="9"/>
      <c r="J3664" s="9"/>
      <c r="K3664" s="42"/>
      <c r="L3664" s="42"/>
      <c r="M3664" s="42"/>
      <c r="N3664" s="42"/>
      <c r="O3664" s="42"/>
      <c r="P3664" s="9"/>
      <c r="Q3664" s="9"/>
      <c r="R3664" s="42"/>
      <c r="S3664" s="42"/>
      <c r="T3664" s="42"/>
      <c r="U3664" s="42"/>
      <c r="V3664" s="42"/>
      <c r="W3664" s="42"/>
    </row>
    <row r="3665">
      <c r="A3665" s="9"/>
      <c r="B3665" s="9"/>
      <c r="C3665" s="9"/>
      <c r="D3665" s="42"/>
      <c r="E3665" s="103"/>
      <c r="F3665" s="42"/>
      <c r="G3665" s="9"/>
      <c r="H3665" s="9"/>
      <c r="I3665" s="9"/>
      <c r="J3665" s="9"/>
      <c r="K3665" s="42"/>
      <c r="L3665" s="42"/>
      <c r="M3665" s="42"/>
      <c r="N3665" s="42"/>
      <c r="O3665" s="42"/>
      <c r="P3665" s="9"/>
      <c r="Q3665" s="9"/>
      <c r="R3665" s="42"/>
      <c r="S3665" s="42"/>
      <c r="T3665" s="42"/>
      <c r="U3665" s="42"/>
      <c r="V3665" s="42"/>
      <c r="W3665" s="42"/>
    </row>
    <row r="3666">
      <c r="A3666" s="9"/>
      <c r="B3666" s="9"/>
      <c r="C3666" s="9"/>
      <c r="D3666" s="42"/>
      <c r="E3666" s="103"/>
      <c r="F3666" s="42"/>
      <c r="G3666" s="9"/>
      <c r="H3666" s="9"/>
      <c r="I3666" s="9"/>
      <c r="J3666" s="9"/>
      <c r="K3666" s="42"/>
      <c r="L3666" s="42"/>
      <c r="M3666" s="42"/>
      <c r="N3666" s="42"/>
      <c r="O3666" s="42"/>
      <c r="P3666" s="9"/>
      <c r="Q3666" s="9"/>
      <c r="R3666" s="42"/>
      <c r="S3666" s="42"/>
      <c r="T3666" s="42"/>
      <c r="U3666" s="42"/>
      <c r="V3666" s="42"/>
      <c r="W3666" s="42"/>
    </row>
    <row r="3667">
      <c r="A3667" s="9"/>
      <c r="B3667" s="9"/>
      <c r="C3667" s="9"/>
      <c r="D3667" s="42"/>
      <c r="E3667" s="103"/>
      <c r="F3667" s="42"/>
      <c r="G3667" s="9"/>
      <c r="H3667" s="9"/>
      <c r="I3667" s="9"/>
      <c r="J3667" s="9"/>
      <c r="K3667" s="42"/>
      <c r="L3667" s="42"/>
      <c r="M3667" s="42"/>
      <c r="N3667" s="42"/>
      <c r="O3667" s="42"/>
      <c r="P3667" s="9"/>
      <c r="Q3667" s="9"/>
      <c r="R3667" s="42"/>
      <c r="S3667" s="42"/>
      <c r="T3667" s="42"/>
      <c r="U3667" s="42"/>
      <c r="V3667" s="42"/>
      <c r="W3667" s="42"/>
    </row>
    <row r="3668">
      <c r="A3668" s="9"/>
      <c r="B3668" s="9"/>
      <c r="C3668" s="9"/>
      <c r="D3668" s="42"/>
      <c r="E3668" s="103"/>
      <c r="F3668" s="42"/>
      <c r="G3668" s="9"/>
      <c r="H3668" s="9"/>
      <c r="I3668" s="9"/>
      <c r="J3668" s="9"/>
      <c r="K3668" s="42"/>
      <c r="L3668" s="42"/>
      <c r="M3668" s="42"/>
      <c r="N3668" s="42"/>
      <c r="O3668" s="42"/>
      <c r="P3668" s="9"/>
      <c r="Q3668" s="9"/>
      <c r="R3668" s="42"/>
      <c r="S3668" s="42"/>
      <c r="T3668" s="42"/>
      <c r="U3668" s="42"/>
      <c r="V3668" s="42"/>
      <c r="W3668" s="42"/>
    </row>
    <row r="3669">
      <c r="A3669" s="9"/>
      <c r="B3669" s="9"/>
      <c r="C3669" s="9"/>
      <c r="D3669" s="42"/>
      <c r="E3669" s="103"/>
      <c r="F3669" s="42"/>
      <c r="G3669" s="9"/>
      <c r="H3669" s="9"/>
      <c r="I3669" s="9"/>
      <c r="J3669" s="9"/>
      <c r="K3669" s="42"/>
      <c r="L3669" s="42"/>
      <c r="M3669" s="42"/>
      <c r="N3669" s="42"/>
      <c r="O3669" s="42"/>
      <c r="P3669" s="9"/>
      <c r="Q3669" s="9"/>
      <c r="R3669" s="42"/>
      <c r="S3669" s="42"/>
      <c r="T3669" s="42"/>
      <c r="U3669" s="42"/>
      <c r="V3669" s="42"/>
      <c r="W3669" s="42"/>
    </row>
    <row r="3670">
      <c r="A3670" s="9"/>
      <c r="B3670" s="9"/>
      <c r="C3670" s="9"/>
      <c r="D3670" s="42"/>
      <c r="E3670" s="103"/>
      <c r="F3670" s="42"/>
      <c r="G3670" s="9"/>
      <c r="H3670" s="9"/>
      <c r="I3670" s="9"/>
      <c r="J3670" s="9"/>
      <c r="K3670" s="42"/>
      <c r="L3670" s="42"/>
      <c r="M3670" s="42"/>
      <c r="N3670" s="42"/>
      <c r="O3670" s="42"/>
      <c r="P3670" s="9"/>
      <c r="Q3670" s="9"/>
      <c r="R3670" s="42"/>
      <c r="S3670" s="42"/>
      <c r="T3670" s="42"/>
      <c r="U3670" s="42"/>
      <c r="V3670" s="42"/>
      <c r="W3670" s="42"/>
    </row>
    <row r="3671">
      <c r="A3671" s="9"/>
      <c r="B3671" s="9"/>
      <c r="C3671" s="9"/>
      <c r="D3671" s="42"/>
      <c r="E3671" s="103"/>
      <c r="F3671" s="42"/>
      <c r="G3671" s="9"/>
      <c r="H3671" s="9"/>
      <c r="I3671" s="9"/>
      <c r="J3671" s="9"/>
      <c r="K3671" s="42"/>
      <c r="L3671" s="42"/>
      <c r="M3671" s="42"/>
      <c r="N3671" s="42"/>
      <c r="O3671" s="42"/>
      <c r="P3671" s="9"/>
      <c r="Q3671" s="9"/>
      <c r="R3671" s="42"/>
      <c r="S3671" s="42"/>
      <c r="T3671" s="42"/>
      <c r="U3671" s="42"/>
      <c r="V3671" s="42"/>
      <c r="W3671" s="42"/>
    </row>
    <row r="3672">
      <c r="A3672" s="9"/>
      <c r="B3672" s="9"/>
      <c r="C3672" s="9"/>
      <c r="D3672" s="42"/>
      <c r="E3672" s="103"/>
      <c r="F3672" s="42"/>
      <c r="G3672" s="9"/>
      <c r="H3672" s="9"/>
      <c r="I3672" s="9"/>
      <c r="J3672" s="9"/>
      <c r="K3672" s="42"/>
      <c r="L3672" s="42"/>
      <c r="M3672" s="42"/>
      <c r="N3672" s="42"/>
      <c r="O3672" s="42"/>
      <c r="P3672" s="9"/>
      <c r="Q3672" s="9"/>
      <c r="R3672" s="42"/>
      <c r="S3672" s="42"/>
      <c r="T3672" s="42"/>
      <c r="U3672" s="42"/>
      <c r="V3672" s="42"/>
      <c r="W3672" s="42"/>
    </row>
    <row r="3673">
      <c r="A3673" s="9"/>
      <c r="B3673" s="9"/>
      <c r="C3673" s="9"/>
      <c r="D3673" s="42"/>
      <c r="E3673" s="103"/>
      <c r="F3673" s="42"/>
      <c r="G3673" s="9"/>
      <c r="H3673" s="9"/>
      <c r="I3673" s="9"/>
      <c r="J3673" s="9"/>
      <c r="K3673" s="42"/>
      <c r="L3673" s="42"/>
      <c r="M3673" s="42"/>
      <c r="N3673" s="42"/>
      <c r="O3673" s="42"/>
      <c r="P3673" s="9"/>
      <c r="Q3673" s="9"/>
      <c r="R3673" s="42"/>
      <c r="S3673" s="42"/>
      <c r="T3673" s="42"/>
      <c r="U3673" s="42"/>
      <c r="V3673" s="42"/>
      <c r="W3673" s="42"/>
    </row>
    <row r="3674">
      <c r="A3674" s="9"/>
      <c r="B3674" s="9"/>
      <c r="C3674" s="9"/>
      <c r="D3674" s="42"/>
      <c r="E3674" s="103"/>
      <c r="F3674" s="42"/>
      <c r="G3674" s="9"/>
      <c r="H3674" s="9"/>
      <c r="I3674" s="9"/>
      <c r="J3674" s="9"/>
      <c r="K3674" s="42"/>
      <c r="L3674" s="42"/>
      <c r="M3674" s="42"/>
      <c r="N3674" s="42"/>
      <c r="O3674" s="42"/>
      <c r="P3674" s="9"/>
      <c r="Q3674" s="9"/>
      <c r="R3674" s="42"/>
      <c r="S3674" s="42"/>
      <c r="T3674" s="42"/>
      <c r="U3674" s="42"/>
      <c r="V3674" s="42"/>
      <c r="W3674" s="42"/>
    </row>
    <row r="3675">
      <c r="A3675" s="9"/>
      <c r="B3675" s="9"/>
      <c r="C3675" s="9"/>
      <c r="D3675" s="42"/>
      <c r="E3675" s="103"/>
      <c r="F3675" s="42"/>
      <c r="G3675" s="9"/>
      <c r="H3675" s="9"/>
      <c r="I3675" s="9"/>
      <c r="J3675" s="9"/>
      <c r="K3675" s="42"/>
      <c r="L3675" s="42"/>
      <c r="M3675" s="42"/>
      <c r="N3675" s="42"/>
      <c r="O3675" s="42"/>
      <c r="P3675" s="9"/>
      <c r="Q3675" s="9"/>
      <c r="R3675" s="42"/>
      <c r="S3675" s="42"/>
      <c r="T3675" s="42"/>
      <c r="U3675" s="42"/>
      <c r="V3675" s="42"/>
      <c r="W3675" s="42"/>
    </row>
    <row r="3676">
      <c r="A3676" s="9"/>
      <c r="B3676" s="9"/>
      <c r="C3676" s="9"/>
      <c r="D3676" s="42"/>
      <c r="E3676" s="103"/>
      <c r="F3676" s="42"/>
      <c r="G3676" s="9"/>
      <c r="H3676" s="9"/>
      <c r="I3676" s="9"/>
      <c r="J3676" s="9"/>
      <c r="K3676" s="42"/>
      <c r="L3676" s="42"/>
      <c r="M3676" s="42"/>
      <c r="N3676" s="42"/>
      <c r="O3676" s="42"/>
      <c r="P3676" s="9"/>
      <c r="Q3676" s="9"/>
      <c r="R3676" s="42"/>
      <c r="S3676" s="42"/>
      <c r="T3676" s="42"/>
      <c r="U3676" s="42"/>
      <c r="V3676" s="42"/>
      <c r="W3676" s="42"/>
    </row>
    <row r="3677">
      <c r="A3677" s="9"/>
      <c r="B3677" s="9"/>
      <c r="C3677" s="9"/>
      <c r="D3677" s="42"/>
      <c r="E3677" s="103"/>
      <c r="F3677" s="42"/>
      <c r="G3677" s="9"/>
      <c r="H3677" s="9"/>
      <c r="I3677" s="9"/>
      <c r="J3677" s="9"/>
      <c r="K3677" s="42"/>
      <c r="L3677" s="42"/>
      <c r="M3677" s="42"/>
      <c r="N3677" s="42"/>
      <c r="O3677" s="42"/>
      <c r="P3677" s="9"/>
      <c r="Q3677" s="9"/>
      <c r="R3677" s="42"/>
      <c r="S3677" s="42"/>
      <c r="T3677" s="42"/>
      <c r="U3677" s="42"/>
      <c r="V3677" s="42"/>
      <c r="W3677" s="42"/>
    </row>
    <row r="3678">
      <c r="A3678" s="9"/>
      <c r="B3678" s="9"/>
      <c r="C3678" s="9"/>
      <c r="D3678" s="42"/>
      <c r="E3678" s="103"/>
      <c r="F3678" s="42"/>
      <c r="G3678" s="9"/>
      <c r="H3678" s="9"/>
      <c r="I3678" s="9"/>
      <c r="J3678" s="9"/>
      <c r="K3678" s="42"/>
      <c r="L3678" s="42"/>
      <c r="M3678" s="42"/>
      <c r="N3678" s="42"/>
      <c r="O3678" s="42"/>
      <c r="P3678" s="9"/>
      <c r="Q3678" s="9"/>
      <c r="R3678" s="42"/>
      <c r="S3678" s="42"/>
      <c r="T3678" s="42"/>
      <c r="U3678" s="42"/>
      <c r="V3678" s="42"/>
      <c r="W3678" s="42"/>
    </row>
    <row r="3679">
      <c r="A3679" s="9"/>
      <c r="B3679" s="9"/>
      <c r="C3679" s="9"/>
      <c r="D3679" s="42"/>
      <c r="E3679" s="103"/>
      <c r="F3679" s="42"/>
      <c r="G3679" s="9"/>
      <c r="H3679" s="9"/>
      <c r="I3679" s="9"/>
      <c r="J3679" s="9"/>
      <c r="K3679" s="42"/>
      <c r="L3679" s="42"/>
      <c r="M3679" s="42"/>
      <c r="N3679" s="42"/>
      <c r="O3679" s="42"/>
      <c r="P3679" s="9"/>
      <c r="Q3679" s="9"/>
      <c r="R3679" s="42"/>
      <c r="S3679" s="42"/>
      <c r="T3679" s="42"/>
      <c r="U3679" s="42"/>
      <c r="V3679" s="42"/>
      <c r="W3679" s="42"/>
    </row>
    <row r="3680">
      <c r="A3680" s="9"/>
      <c r="B3680" s="9"/>
      <c r="C3680" s="9"/>
      <c r="D3680" s="42"/>
      <c r="E3680" s="103"/>
      <c r="F3680" s="42"/>
      <c r="G3680" s="9"/>
      <c r="H3680" s="9"/>
      <c r="I3680" s="9"/>
      <c r="J3680" s="9"/>
      <c r="K3680" s="42"/>
      <c r="L3680" s="42"/>
      <c r="M3680" s="42"/>
      <c r="N3680" s="42"/>
      <c r="O3680" s="42"/>
      <c r="P3680" s="9"/>
      <c r="Q3680" s="9"/>
      <c r="R3680" s="42"/>
      <c r="S3680" s="42"/>
      <c r="T3680" s="42"/>
      <c r="U3680" s="42"/>
      <c r="V3680" s="42"/>
      <c r="W3680" s="42"/>
    </row>
    <row r="3681">
      <c r="A3681" s="9"/>
      <c r="B3681" s="9"/>
      <c r="C3681" s="9"/>
      <c r="D3681" s="42"/>
      <c r="E3681" s="103"/>
      <c r="F3681" s="42"/>
      <c r="G3681" s="9"/>
      <c r="H3681" s="9"/>
      <c r="I3681" s="9"/>
      <c r="J3681" s="9"/>
      <c r="K3681" s="42"/>
      <c r="L3681" s="42"/>
      <c r="M3681" s="42"/>
      <c r="N3681" s="42"/>
      <c r="O3681" s="42"/>
      <c r="P3681" s="9"/>
      <c r="Q3681" s="9"/>
      <c r="R3681" s="42"/>
      <c r="S3681" s="42"/>
      <c r="T3681" s="42"/>
      <c r="U3681" s="42"/>
      <c r="V3681" s="42"/>
      <c r="W3681" s="42"/>
    </row>
    <row r="3682">
      <c r="A3682" s="9"/>
      <c r="B3682" s="9"/>
      <c r="C3682" s="9"/>
      <c r="D3682" s="42"/>
      <c r="E3682" s="103"/>
      <c r="F3682" s="42"/>
      <c r="G3682" s="9"/>
      <c r="H3682" s="9"/>
      <c r="I3682" s="9"/>
      <c r="J3682" s="9"/>
      <c r="K3682" s="42"/>
      <c r="L3682" s="42"/>
      <c r="M3682" s="42"/>
      <c r="N3682" s="42"/>
      <c r="O3682" s="42"/>
      <c r="P3682" s="9"/>
      <c r="Q3682" s="9"/>
      <c r="R3682" s="42"/>
      <c r="S3682" s="42"/>
      <c r="T3682" s="42"/>
      <c r="U3682" s="42"/>
      <c r="V3682" s="42"/>
      <c r="W3682" s="42"/>
    </row>
    <row r="3683">
      <c r="A3683" s="9"/>
      <c r="B3683" s="9"/>
      <c r="C3683" s="9"/>
      <c r="D3683" s="42"/>
      <c r="E3683" s="103"/>
      <c r="F3683" s="42"/>
      <c r="G3683" s="9"/>
      <c r="H3683" s="9"/>
      <c r="I3683" s="9"/>
      <c r="J3683" s="9"/>
      <c r="K3683" s="42"/>
      <c r="L3683" s="42"/>
      <c r="M3683" s="42"/>
      <c r="N3683" s="42"/>
      <c r="O3683" s="42"/>
      <c r="P3683" s="9"/>
      <c r="Q3683" s="9"/>
      <c r="R3683" s="42"/>
      <c r="S3683" s="42"/>
      <c r="T3683" s="42"/>
      <c r="U3683" s="42"/>
      <c r="V3683" s="42"/>
      <c r="W3683" s="42"/>
    </row>
    <row r="3684">
      <c r="A3684" s="9"/>
      <c r="B3684" s="9"/>
      <c r="C3684" s="9"/>
      <c r="D3684" s="42"/>
      <c r="E3684" s="103"/>
      <c r="F3684" s="42"/>
      <c r="G3684" s="9"/>
      <c r="H3684" s="9"/>
      <c r="I3684" s="9"/>
      <c r="J3684" s="9"/>
      <c r="K3684" s="42"/>
      <c r="L3684" s="42"/>
      <c r="M3684" s="42"/>
      <c r="N3684" s="42"/>
      <c r="O3684" s="42"/>
      <c r="P3684" s="9"/>
      <c r="Q3684" s="9"/>
      <c r="R3684" s="42"/>
      <c r="S3684" s="42"/>
      <c r="T3684" s="42"/>
      <c r="U3684" s="42"/>
      <c r="V3684" s="42"/>
      <c r="W3684" s="42"/>
    </row>
    <row r="3685">
      <c r="A3685" s="9"/>
      <c r="B3685" s="9"/>
      <c r="C3685" s="9"/>
      <c r="D3685" s="42"/>
      <c r="E3685" s="103"/>
      <c r="F3685" s="42"/>
      <c r="G3685" s="9"/>
      <c r="H3685" s="9"/>
      <c r="I3685" s="9"/>
      <c r="J3685" s="9"/>
      <c r="K3685" s="42"/>
      <c r="L3685" s="42"/>
      <c r="M3685" s="42"/>
      <c r="N3685" s="42"/>
      <c r="O3685" s="42"/>
      <c r="P3685" s="9"/>
      <c r="Q3685" s="9"/>
      <c r="R3685" s="42"/>
      <c r="S3685" s="42"/>
      <c r="T3685" s="42"/>
      <c r="U3685" s="42"/>
      <c r="V3685" s="42"/>
      <c r="W3685" s="42"/>
    </row>
    <row r="3686">
      <c r="A3686" s="9"/>
      <c r="B3686" s="9"/>
      <c r="C3686" s="9"/>
      <c r="D3686" s="42"/>
      <c r="E3686" s="103"/>
      <c r="F3686" s="42"/>
      <c r="G3686" s="9"/>
      <c r="H3686" s="9"/>
      <c r="I3686" s="9"/>
      <c r="J3686" s="9"/>
      <c r="K3686" s="42"/>
      <c r="L3686" s="42"/>
      <c r="M3686" s="42"/>
      <c r="N3686" s="42"/>
      <c r="O3686" s="42"/>
      <c r="P3686" s="9"/>
      <c r="Q3686" s="9"/>
      <c r="R3686" s="42"/>
      <c r="S3686" s="42"/>
      <c r="T3686" s="42"/>
      <c r="U3686" s="42"/>
      <c r="V3686" s="42"/>
      <c r="W3686" s="42"/>
    </row>
    <row r="3687">
      <c r="A3687" s="9"/>
      <c r="B3687" s="9"/>
      <c r="C3687" s="9"/>
      <c r="D3687" s="42"/>
      <c r="E3687" s="103"/>
      <c r="F3687" s="42"/>
      <c r="G3687" s="9"/>
      <c r="H3687" s="9"/>
      <c r="I3687" s="9"/>
      <c r="J3687" s="9"/>
      <c r="K3687" s="42"/>
      <c r="L3687" s="42"/>
      <c r="M3687" s="42"/>
      <c r="N3687" s="42"/>
      <c r="O3687" s="42"/>
      <c r="P3687" s="9"/>
      <c r="Q3687" s="9"/>
      <c r="R3687" s="42"/>
      <c r="S3687" s="42"/>
      <c r="T3687" s="42"/>
      <c r="U3687" s="42"/>
      <c r="V3687" s="42"/>
      <c r="W3687" s="42"/>
    </row>
    <row r="3688">
      <c r="A3688" s="9"/>
      <c r="B3688" s="9"/>
      <c r="C3688" s="9"/>
      <c r="D3688" s="42"/>
      <c r="E3688" s="103"/>
      <c r="F3688" s="42"/>
      <c r="G3688" s="9"/>
      <c r="H3688" s="9"/>
      <c r="I3688" s="9"/>
      <c r="J3688" s="9"/>
      <c r="K3688" s="42"/>
      <c r="L3688" s="42"/>
      <c r="M3688" s="42"/>
      <c r="N3688" s="42"/>
      <c r="O3688" s="42"/>
      <c r="P3688" s="9"/>
      <c r="Q3688" s="9"/>
      <c r="R3688" s="42"/>
      <c r="S3688" s="42"/>
      <c r="T3688" s="42"/>
      <c r="U3688" s="42"/>
      <c r="V3688" s="42"/>
      <c r="W3688" s="42"/>
    </row>
    <row r="3689">
      <c r="A3689" s="9"/>
      <c r="B3689" s="9"/>
      <c r="C3689" s="9"/>
      <c r="D3689" s="42"/>
      <c r="E3689" s="103"/>
      <c r="F3689" s="42"/>
      <c r="G3689" s="9"/>
      <c r="H3689" s="9"/>
      <c r="I3689" s="9"/>
      <c r="J3689" s="9"/>
      <c r="K3689" s="42"/>
      <c r="L3689" s="42"/>
      <c r="M3689" s="42"/>
      <c r="N3689" s="42"/>
      <c r="O3689" s="42"/>
      <c r="P3689" s="9"/>
      <c r="Q3689" s="9"/>
      <c r="R3689" s="42"/>
      <c r="S3689" s="42"/>
      <c r="T3689" s="42"/>
      <c r="U3689" s="42"/>
      <c r="V3689" s="42"/>
      <c r="W3689" s="42"/>
    </row>
    <row r="3690">
      <c r="A3690" s="9"/>
      <c r="B3690" s="9"/>
      <c r="C3690" s="9"/>
      <c r="D3690" s="42"/>
      <c r="E3690" s="103"/>
      <c r="F3690" s="42"/>
      <c r="G3690" s="9"/>
      <c r="H3690" s="9"/>
      <c r="I3690" s="9"/>
      <c r="J3690" s="9"/>
      <c r="K3690" s="42"/>
      <c r="L3690" s="42"/>
      <c r="M3690" s="42"/>
      <c r="N3690" s="42"/>
      <c r="O3690" s="42"/>
      <c r="P3690" s="9"/>
      <c r="Q3690" s="9"/>
      <c r="R3690" s="42"/>
      <c r="S3690" s="42"/>
      <c r="T3690" s="42"/>
      <c r="U3690" s="42"/>
      <c r="V3690" s="42"/>
      <c r="W3690" s="42"/>
    </row>
    <row r="3691">
      <c r="A3691" s="9"/>
      <c r="B3691" s="9"/>
      <c r="C3691" s="9"/>
      <c r="D3691" s="42"/>
      <c r="E3691" s="103"/>
      <c r="F3691" s="42"/>
      <c r="G3691" s="9"/>
      <c r="H3691" s="9"/>
      <c r="I3691" s="9"/>
      <c r="J3691" s="9"/>
      <c r="K3691" s="42"/>
      <c r="L3691" s="42"/>
      <c r="M3691" s="42"/>
      <c r="N3691" s="42"/>
      <c r="O3691" s="42"/>
      <c r="P3691" s="9"/>
      <c r="Q3691" s="9"/>
      <c r="R3691" s="42"/>
      <c r="S3691" s="42"/>
      <c r="T3691" s="42"/>
      <c r="U3691" s="42"/>
      <c r="V3691" s="42"/>
      <c r="W3691" s="42"/>
    </row>
    <row r="3692">
      <c r="A3692" s="9"/>
      <c r="B3692" s="9"/>
      <c r="C3692" s="9"/>
      <c r="D3692" s="42"/>
      <c r="E3692" s="103"/>
      <c r="F3692" s="42"/>
      <c r="G3692" s="9"/>
      <c r="H3692" s="9"/>
      <c r="I3692" s="9"/>
      <c r="J3692" s="9"/>
      <c r="K3692" s="42"/>
      <c r="L3692" s="42"/>
      <c r="M3692" s="42"/>
      <c r="N3692" s="42"/>
      <c r="O3692" s="42"/>
      <c r="P3692" s="9"/>
      <c r="Q3692" s="9"/>
      <c r="R3692" s="42"/>
      <c r="S3692" s="42"/>
      <c r="T3692" s="42"/>
      <c r="U3692" s="42"/>
      <c r="V3692" s="42"/>
      <c r="W3692" s="42"/>
    </row>
    <row r="3693">
      <c r="A3693" s="9"/>
      <c r="B3693" s="9"/>
      <c r="C3693" s="9"/>
      <c r="D3693" s="42"/>
      <c r="E3693" s="103"/>
      <c r="F3693" s="42"/>
      <c r="G3693" s="9"/>
      <c r="H3693" s="9"/>
      <c r="I3693" s="9"/>
      <c r="J3693" s="9"/>
      <c r="K3693" s="42"/>
      <c r="L3693" s="42"/>
      <c r="M3693" s="42"/>
      <c r="N3693" s="42"/>
      <c r="O3693" s="42"/>
      <c r="P3693" s="9"/>
      <c r="Q3693" s="9"/>
      <c r="R3693" s="42"/>
      <c r="S3693" s="42"/>
      <c r="T3693" s="42"/>
      <c r="U3693" s="42"/>
      <c r="V3693" s="42"/>
      <c r="W3693" s="42"/>
    </row>
    <row r="3694">
      <c r="A3694" s="9"/>
      <c r="B3694" s="9"/>
      <c r="C3694" s="9"/>
      <c r="D3694" s="42"/>
      <c r="E3694" s="103"/>
      <c r="F3694" s="42"/>
      <c r="G3694" s="9"/>
      <c r="H3694" s="9"/>
      <c r="I3694" s="9"/>
      <c r="J3694" s="9"/>
      <c r="K3694" s="42"/>
      <c r="L3694" s="42"/>
      <c r="M3694" s="42"/>
      <c r="N3694" s="42"/>
      <c r="O3694" s="42"/>
      <c r="P3694" s="9"/>
      <c r="Q3694" s="9"/>
      <c r="R3694" s="42"/>
      <c r="S3694" s="42"/>
      <c r="T3694" s="42"/>
      <c r="U3694" s="42"/>
      <c r="V3694" s="42"/>
      <c r="W3694" s="42"/>
    </row>
    <row r="3695">
      <c r="A3695" s="9"/>
      <c r="B3695" s="9"/>
      <c r="C3695" s="9"/>
      <c r="D3695" s="42"/>
      <c r="E3695" s="103"/>
      <c r="F3695" s="42"/>
      <c r="G3695" s="9"/>
      <c r="H3695" s="9"/>
      <c r="I3695" s="9"/>
      <c r="J3695" s="9"/>
      <c r="K3695" s="42"/>
      <c r="L3695" s="42"/>
      <c r="M3695" s="42"/>
      <c r="N3695" s="42"/>
      <c r="O3695" s="42"/>
      <c r="P3695" s="9"/>
      <c r="Q3695" s="9"/>
      <c r="R3695" s="42"/>
      <c r="S3695" s="42"/>
      <c r="T3695" s="42"/>
      <c r="U3695" s="42"/>
      <c r="V3695" s="42"/>
      <c r="W3695" s="42"/>
    </row>
    <row r="3696">
      <c r="A3696" s="9"/>
      <c r="B3696" s="9"/>
      <c r="C3696" s="9"/>
      <c r="D3696" s="42"/>
      <c r="E3696" s="103"/>
      <c r="F3696" s="42"/>
      <c r="G3696" s="9"/>
      <c r="H3696" s="9"/>
      <c r="I3696" s="9"/>
      <c r="J3696" s="9"/>
      <c r="K3696" s="42"/>
      <c r="L3696" s="42"/>
      <c r="M3696" s="42"/>
      <c r="N3696" s="42"/>
      <c r="O3696" s="42"/>
      <c r="P3696" s="9"/>
      <c r="Q3696" s="9"/>
      <c r="R3696" s="42"/>
      <c r="S3696" s="42"/>
      <c r="T3696" s="42"/>
      <c r="U3696" s="42"/>
      <c r="V3696" s="42"/>
      <c r="W3696" s="42"/>
    </row>
    <row r="3697">
      <c r="A3697" s="9"/>
      <c r="B3697" s="9"/>
      <c r="C3697" s="9"/>
      <c r="D3697" s="42"/>
      <c r="E3697" s="103"/>
      <c r="F3697" s="42"/>
      <c r="G3697" s="9"/>
      <c r="H3697" s="9"/>
      <c r="I3697" s="9"/>
      <c r="J3697" s="9"/>
      <c r="K3697" s="42"/>
      <c r="L3697" s="42"/>
      <c r="M3697" s="42"/>
      <c r="N3697" s="42"/>
      <c r="O3697" s="42"/>
      <c r="P3697" s="9"/>
      <c r="Q3697" s="9"/>
      <c r="R3697" s="42"/>
      <c r="S3697" s="42"/>
      <c r="T3697" s="42"/>
      <c r="U3697" s="42"/>
      <c r="V3697" s="42"/>
      <c r="W3697" s="42"/>
    </row>
    <row r="3698">
      <c r="A3698" s="9"/>
      <c r="B3698" s="9"/>
      <c r="C3698" s="9"/>
      <c r="D3698" s="42"/>
      <c r="E3698" s="103"/>
      <c r="F3698" s="42"/>
      <c r="G3698" s="9"/>
      <c r="H3698" s="9"/>
      <c r="I3698" s="9"/>
      <c r="J3698" s="9"/>
      <c r="K3698" s="42"/>
      <c r="L3698" s="42"/>
      <c r="M3698" s="42"/>
      <c r="N3698" s="42"/>
      <c r="O3698" s="42"/>
      <c r="P3698" s="9"/>
      <c r="Q3698" s="9"/>
      <c r="R3698" s="42"/>
      <c r="S3698" s="42"/>
      <c r="T3698" s="42"/>
      <c r="U3698" s="42"/>
      <c r="V3698" s="42"/>
      <c r="W3698" s="42"/>
    </row>
    <row r="3699">
      <c r="A3699" s="9"/>
      <c r="B3699" s="9"/>
      <c r="C3699" s="9"/>
      <c r="D3699" s="42"/>
      <c r="E3699" s="103"/>
      <c r="F3699" s="42"/>
      <c r="G3699" s="9"/>
      <c r="H3699" s="9"/>
      <c r="I3699" s="9"/>
      <c r="J3699" s="9"/>
      <c r="K3699" s="42"/>
      <c r="L3699" s="42"/>
      <c r="M3699" s="42"/>
      <c r="N3699" s="42"/>
      <c r="O3699" s="42"/>
      <c r="P3699" s="9"/>
      <c r="Q3699" s="9"/>
      <c r="R3699" s="42"/>
      <c r="S3699" s="42"/>
      <c r="T3699" s="42"/>
      <c r="U3699" s="42"/>
      <c r="V3699" s="42"/>
      <c r="W3699" s="42"/>
    </row>
    <row r="3700">
      <c r="A3700" s="9"/>
      <c r="B3700" s="9"/>
      <c r="C3700" s="9"/>
      <c r="D3700" s="42"/>
      <c r="E3700" s="103"/>
      <c r="F3700" s="42"/>
      <c r="G3700" s="9"/>
      <c r="H3700" s="9"/>
      <c r="I3700" s="9"/>
      <c r="J3700" s="9"/>
      <c r="K3700" s="42"/>
      <c r="L3700" s="42"/>
      <c r="M3700" s="42"/>
      <c r="N3700" s="42"/>
      <c r="O3700" s="42"/>
      <c r="P3700" s="9"/>
      <c r="Q3700" s="9"/>
      <c r="R3700" s="42"/>
      <c r="S3700" s="42"/>
      <c r="T3700" s="42"/>
      <c r="U3700" s="42"/>
      <c r="V3700" s="42"/>
      <c r="W3700" s="42"/>
    </row>
    <row r="3701">
      <c r="A3701" s="9"/>
      <c r="B3701" s="9"/>
      <c r="C3701" s="9"/>
      <c r="D3701" s="42"/>
      <c r="E3701" s="103"/>
      <c r="F3701" s="42"/>
      <c r="G3701" s="9"/>
      <c r="H3701" s="9"/>
      <c r="I3701" s="9"/>
      <c r="J3701" s="9"/>
      <c r="K3701" s="42"/>
      <c r="L3701" s="42"/>
      <c r="M3701" s="42"/>
      <c r="N3701" s="42"/>
      <c r="O3701" s="42"/>
      <c r="P3701" s="9"/>
      <c r="Q3701" s="9"/>
      <c r="R3701" s="42"/>
      <c r="S3701" s="42"/>
      <c r="T3701" s="42"/>
      <c r="U3701" s="42"/>
      <c r="V3701" s="42"/>
      <c r="W3701" s="42"/>
    </row>
    <row r="3702">
      <c r="A3702" s="9"/>
      <c r="B3702" s="9"/>
      <c r="C3702" s="9"/>
      <c r="D3702" s="42"/>
      <c r="E3702" s="103"/>
      <c r="F3702" s="42"/>
      <c r="G3702" s="9"/>
      <c r="H3702" s="9"/>
      <c r="I3702" s="9"/>
      <c r="J3702" s="9"/>
      <c r="K3702" s="42"/>
      <c r="L3702" s="42"/>
      <c r="M3702" s="42"/>
      <c r="N3702" s="42"/>
      <c r="O3702" s="42"/>
      <c r="P3702" s="9"/>
      <c r="Q3702" s="9"/>
      <c r="R3702" s="42"/>
      <c r="S3702" s="42"/>
      <c r="T3702" s="42"/>
      <c r="U3702" s="42"/>
      <c r="V3702" s="42"/>
      <c r="W3702" s="42"/>
    </row>
    <row r="3703">
      <c r="A3703" s="9"/>
      <c r="B3703" s="9"/>
      <c r="C3703" s="9"/>
      <c r="D3703" s="42"/>
      <c r="E3703" s="103"/>
      <c r="F3703" s="42"/>
      <c r="G3703" s="9"/>
      <c r="H3703" s="9"/>
      <c r="I3703" s="9"/>
      <c r="J3703" s="9"/>
      <c r="K3703" s="42"/>
      <c r="L3703" s="42"/>
      <c r="M3703" s="42"/>
      <c r="N3703" s="42"/>
      <c r="O3703" s="42"/>
      <c r="P3703" s="9"/>
      <c r="Q3703" s="9"/>
      <c r="R3703" s="42"/>
      <c r="S3703" s="42"/>
      <c r="T3703" s="42"/>
      <c r="U3703" s="42"/>
      <c r="V3703" s="42"/>
      <c r="W3703" s="42"/>
    </row>
    <row r="3704">
      <c r="A3704" s="9"/>
      <c r="B3704" s="9"/>
      <c r="C3704" s="9"/>
      <c r="D3704" s="42"/>
      <c r="E3704" s="103"/>
      <c r="F3704" s="42"/>
      <c r="G3704" s="9"/>
      <c r="H3704" s="9"/>
      <c r="I3704" s="9"/>
      <c r="J3704" s="9"/>
      <c r="K3704" s="42"/>
      <c r="L3704" s="42"/>
      <c r="M3704" s="42"/>
      <c r="N3704" s="42"/>
      <c r="O3704" s="42"/>
      <c r="P3704" s="9"/>
      <c r="Q3704" s="9"/>
      <c r="R3704" s="42"/>
      <c r="S3704" s="42"/>
      <c r="T3704" s="42"/>
      <c r="U3704" s="42"/>
      <c r="V3704" s="42"/>
      <c r="W3704" s="42"/>
    </row>
    <row r="3705">
      <c r="A3705" s="9"/>
      <c r="B3705" s="9"/>
      <c r="C3705" s="9"/>
      <c r="D3705" s="42"/>
      <c r="E3705" s="103"/>
      <c r="F3705" s="42"/>
      <c r="G3705" s="9"/>
      <c r="H3705" s="9"/>
      <c r="I3705" s="9"/>
      <c r="J3705" s="9"/>
      <c r="K3705" s="42"/>
      <c r="L3705" s="42"/>
      <c r="M3705" s="42"/>
      <c r="N3705" s="42"/>
      <c r="O3705" s="42"/>
      <c r="P3705" s="9"/>
      <c r="Q3705" s="9"/>
      <c r="R3705" s="42"/>
      <c r="S3705" s="42"/>
      <c r="T3705" s="42"/>
      <c r="U3705" s="42"/>
      <c r="V3705" s="42"/>
      <c r="W3705" s="42"/>
    </row>
    <row r="3706">
      <c r="A3706" s="9"/>
      <c r="B3706" s="9"/>
      <c r="C3706" s="9"/>
      <c r="D3706" s="42"/>
      <c r="E3706" s="103"/>
      <c r="F3706" s="42"/>
      <c r="G3706" s="9"/>
      <c r="H3706" s="9"/>
      <c r="I3706" s="9"/>
      <c r="J3706" s="9"/>
      <c r="K3706" s="42"/>
      <c r="L3706" s="42"/>
      <c r="M3706" s="42"/>
      <c r="N3706" s="42"/>
      <c r="O3706" s="42"/>
      <c r="P3706" s="9"/>
      <c r="Q3706" s="9"/>
      <c r="R3706" s="42"/>
      <c r="S3706" s="42"/>
      <c r="T3706" s="42"/>
      <c r="U3706" s="42"/>
      <c r="V3706" s="42"/>
      <c r="W3706" s="42"/>
    </row>
    <row r="3707">
      <c r="A3707" s="9"/>
      <c r="B3707" s="9"/>
      <c r="C3707" s="9"/>
      <c r="D3707" s="42"/>
      <c r="E3707" s="103"/>
      <c r="F3707" s="42"/>
      <c r="G3707" s="9"/>
      <c r="H3707" s="9"/>
      <c r="I3707" s="9"/>
      <c r="J3707" s="9"/>
      <c r="K3707" s="42"/>
      <c r="L3707" s="42"/>
      <c r="M3707" s="42"/>
      <c r="N3707" s="42"/>
      <c r="O3707" s="42"/>
      <c r="P3707" s="9"/>
      <c r="Q3707" s="9"/>
      <c r="R3707" s="42"/>
      <c r="S3707" s="42"/>
      <c r="T3707" s="42"/>
      <c r="U3707" s="42"/>
      <c r="V3707" s="42"/>
      <c r="W3707" s="42"/>
    </row>
    <row r="3708">
      <c r="A3708" s="9"/>
      <c r="B3708" s="9"/>
      <c r="C3708" s="9"/>
      <c r="D3708" s="42"/>
      <c r="E3708" s="103"/>
      <c r="F3708" s="42"/>
      <c r="G3708" s="9"/>
      <c r="H3708" s="9"/>
      <c r="I3708" s="9"/>
      <c r="J3708" s="9"/>
      <c r="K3708" s="42"/>
      <c r="L3708" s="42"/>
      <c r="M3708" s="42"/>
      <c r="N3708" s="42"/>
      <c r="O3708" s="42"/>
      <c r="P3708" s="9"/>
      <c r="Q3708" s="9"/>
      <c r="R3708" s="42"/>
      <c r="S3708" s="42"/>
      <c r="T3708" s="42"/>
      <c r="U3708" s="42"/>
      <c r="V3708" s="42"/>
      <c r="W3708" s="42"/>
    </row>
    <row r="3709">
      <c r="A3709" s="9"/>
      <c r="B3709" s="9"/>
      <c r="C3709" s="9"/>
      <c r="D3709" s="42"/>
      <c r="E3709" s="103"/>
      <c r="F3709" s="42"/>
      <c r="G3709" s="9"/>
      <c r="H3709" s="9"/>
      <c r="I3709" s="9"/>
      <c r="J3709" s="9"/>
      <c r="K3709" s="42"/>
      <c r="L3709" s="42"/>
      <c r="M3709" s="42"/>
      <c r="N3709" s="42"/>
      <c r="O3709" s="42"/>
      <c r="P3709" s="9"/>
      <c r="Q3709" s="9"/>
      <c r="R3709" s="42"/>
      <c r="S3709" s="42"/>
      <c r="T3709" s="42"/>
      <c r="U3709" s="42"/>
      <c r="V3709" s="42"/>
      <c r="W3709" s="42"/>
    </row>
    <row r="3710">
      <c r="A3710" s="9"/>
      <c r="B3710" s="9"/>
      <c r="C3710" s="9"/>
      <c r="D3710" s="42"/>
      <c r="E3710" s="103"/>
      <c r="F3710" s="42"/>
      <c r="G3710" s="9"/>
      <c r="H3710" s="9"/>
      <c r="I3710" s="9"/>
      <c r="J3710" s="9"/>
      <c r="K3710" s="42"/>
      <c r="L3710" s="42"/>
      <c r="M3710" s="42"/>
      <c r="N3710" s="42"/>
      <c r="O3710" s="42"/>
      <c r="P3710" s="9"/>
      <c r="Q3710" s="9"/>
      <c r="R3710" s="42"/>
      <c r="S3710" s="42"/>
      <c r="T3710" s="42"/>
      <c r="U3710" s="42"/>
      <c r="V3710" s="42"/>
      <c r="W3710" s="42"/>
    </row>
    <row r="3711">
      <c r="A3711" s="9"/>
      <c r="B3711" s="9"/>
      <c r="C3711" s="9"/>
      <c r="D3711" s="42"/>
      <c r="E3711" s="103"/>
      <c r="F3711" s="42"/>
      <c r="G3711" s="9"/>
      <c r="H3711" s="9"/>
      <c r="I3711" s="9"/>
      <c r="J3711" s="9"/>
      <c r="K3711" s="42"/>
      <c r="L3711" s="42"/>
      <c r="M3711" s="42"/>
      <c r="N3711" s="42"/>
      <c r="O3711" s="42"/>
      <c r="P3711" s="9"/>
      <c r="Q3711" s="9"/>
      <c r="R3711" s="42"/>
      <c r="S3711" s="42"/>
      <c r="T3711" s="42"/>
      <c r="U3711" s="42"/>
      <c r="V3711" s="42"/>
      <c r="W3711" s="42"/>
    </row>
    <row r="3712">
      <c r="A3712" s="9"/>
      <c r="B3712" s="9"/>
      <c r="C3712" s="9"/>
      <c r="D3712" s="42"/>
      <c r="E3712" s="103"/>
      <c r="F3712" s="42"/>
      <c r="G3712" s="9"/>
      <c r="H3712" s="9"/>
      <c r="I3712" s="9"/>
      <c r="J3712" s="9"/>
      <c r="K3712" s="42"/>
      <c r="L3712" s="42"/>
      <c r="M3712" s="42"/>
      <c r="N3712" s="42"/>
      <c r="O3712" s="42"/>
      <c r="P3712" s="9"/>
      <c r="Q3712" s="9"/>
      <c r="R3712" s="42"/>
      <c r="S3712" s="42"/>
      <c r="T3712" s="42"/>
      <c r="U3712" s="42"/>
      <c r="V3712" s="42"/>
      <c r="W3712" s="42"/>
    </row>
    <row r="3713">
      <c r="A3713" s="9"/>
      <c r="B3713" s="9"/>
      <c r="C3713" s="9"/>
      <c r="D3713" s="42"/>
      <c r="E3713" s="103"/>
      <c r="F3713" s="42"/>
      <c r="G3713" s="9"/>
      <c r="H3713" s="9"/>
      <c r="I3713" s="9"/>
      <c r="J3713" s="9"/>
      <c r="K3713" s="42"/>
      <c r="L3713" s="42"/>
      <c r="M3713" s="42"/>
      <c r="N3713" s="42"/>
      <c r="O3713" s="42"/>
      <c r="P3713" s="9"/>
      <c r="Q3713" s="9"/>
      <c r="R3713" s="42"/>
      <c r="S3713" s="42"/>
      <c r="T3713" s="42"/>
      <c r="U3713" s="42"/>
      <c r="V3713" s="42"/>
      <c r="W3713" s="42"/>
    </row>
    <row r="3714">
      <c r="A3714" s="9"/>
      <c r="B3714" s="9"/>
      <c r="C3714" s="9"/>
      <c r="D3714" s="42"/>
      <c r="E3714" s="103"/>
      <c r="F3714" s="42"/>
      <c r="G3714" s="9"/>
      <c r="H3714" s="9"/>
      <c r="I3714" s="9"/>
      <c r="J3714" s="9"/>
      <c r="K3714" s="42"/>
      <c r="L3714" s="42"/>
      <c r="M3714" s="42"/>
      <c r="N3714" s="42"/>
      <c r="O3714" s="42"/>
      <c r="P3714" s="9"/>
      <c r="Q3714" s="9"/>
      <c r="R3714" s="42"/>
      <c r="S3714" s="42"/>
      <c r="T3714" s="42"/>
      <c r="U3714" s="42"/>
      <c r="V3714" s="42"/>
      <c r="W3714" s="42"/>
    </row>
    <row r="3715">
      <c r="A3715" s="9"/>
      <c r="B3715" s="9"/>
      <c r="C3715" s="9"/>
      <c r="D3715" s="42"/>
      <c r="E3715" s="103"/>
      <c r="F3715" s="42"/>
      <c r="G3715" s="9"/>
      <c r="H3715" s="9"/>
      <c r="I3715" s="9"/>
      <c r="J3715" s="9"/>
      <c r="K3715" s="42"/>
      <c r="L3715" s="42"/>
      <c r="M3715" s="42"/>
      <c r="N3715" s="42"/>
      <c r="O3715" s="42"/>
      <c r="P3715" s="9"/>
      <c r="Q3715" s="9"/>
      <c r="R3715" s="42"/>
      <c r="S3715" s="42"/>
      <c r="T3715" s="42"/>
      <c r="U3715" s="42"/>
      <c r="V3715" s="42"/>
      <c r="W3715" s="42"/>
    </row>
    <row r="3716">
      <c r="A3716" s="9"/>
      <c r="B3716" s="9"/>
      <c r="C3716" s="9"/>
      <c r="D3716" s="42"/>
      <c r="E3716" s="103"/>
      <c r="F3716" s="42"/>
      <c r="G3716" s="9"/>
      <c r="H3716" s="9"/>
      <c r="I3716" s="9"/>
      <c r="J3716" s="9"/>
      <c r="K3716" s="42"/>
      <c r="L3716" s="42"/>
      <c r="M3716" s="42"/>
      <c r="N3716" s="42"/>
      <c r="O3716" s="42"/>
      <c r="P3716" s="9"/>
      <c r="Q3716" s="9"/>
      <c r="R3716" s="42"/>
      <c r="S3716" s="42"/>
      <c r="T3716" s="42"/>
      <c r="U3716" s="42"/>
      <c r="V3716" s="42"/>
      <c r="W3716" s="42"/>
    </row>
    <row r="3717">
      <c r="A3717" s="9"/>
      <c r="B3717" s="9"/>
      <c r="C3717" s="9"/>
      <c r="D3717" s="42"/>
      <c r="E3717" s="103"/>
      <c r="F3717" s="42"/>
      <c r="G3717" s="9"/>
      <c r="H3717" s="9"/>
      <c r="I3717" s="9"/>
      <c r="J3717" s="9"/>
      <c r="K3717" s="42"/>
      <c r="L3717" s="42"/>
      <c r="M3717" s="42"/>
      <c r="N3717" s="42"/>
      <c r="O3717" s="42"/>
      <c r="P3717" s="9"/>
      <c r="Q3717" s="9"/>
      <c r="R3717" s="42"/>
      <c r="S3717" s="42"/>
      <c r="T3717" s="42"/>
      <c r="U3717" s="42"/>
      <c r="V3717" s="42"/>
      <c r="W3717" s="42"/>
    </row>
    <row r="3718">
      <c r="A3718" s="9"/>
      <c r="B3718" s="9"/>
      <c r="C3718" s="9"/>
      <c r="D3718" s="42"/>
      <c r="E3718" s="103"/>
      <c r="F3718" s="42"/>
      <c r="G3718" s="9"/>
      <c r="H3718" s="9"/>
      <c r="I3718" s="9"/>
      <c r="J3718" s="9"/>
      <c r="K3718" s="42"/>
      <c r="L3718" s="42"/>
      <c r="M3718" s="42"/>
      <c r="N3718" s="42"/>
      <c r="O3718" s="42"/>
      <c r="P3718" s="9"/>
      <c r="Q3718" s="9"/>
      <c r="R3718" s="42"/>
      <c r="S3718" s="42"/>
      <c r="T3718" s="42"/>
      <c r="U3718" s="42"/>
      <c r="V3718" s="42"/>
      <c r="W3718" s="42"/>
    </row>
    <row r="3719">
      <c r="A3719" s="9"/>
      <c r="B3719" s="9"/>
      <c r="C3719" s="9"/>
      <c r="D3719" s="42"/>
      <c r="E3719" s="103"/>
      <c r="F3719" s="42"/>
      <c r="G3719" s="9"/>
      <c r="H3719" s="9"/>
      <c r="I3719" s="9"/>
      <c r="J3719" s="9"/>
      <c r="K3719" s="42"/>
      <c r="L3719" s="42"/>
      <c r="M3719" s="42"/>
      <c r="N3719" s="42"/>
      <c r="O3719" s="42"/>
      <c r="P3719" s="9"/>
      <c r="Q3719" s="9"/>
      <c r="R3719" s="42"/>
      <c r="S3719" s="42"/>
      <c r="T3719" s="42"/>
      <c r="U3719" s="42"/>
      <c r="V3719" s="42"/>
      <c r="W3719" s="42"/>
    </row>
    <row r="3720">
      <c r="A3720" s="9"/>
      <c r="B3720" s="9"/>
      <c r="C3720" s="9"/>
      <c r="D3720" s="42"/>
      <c r="E3720" s="103"/>
      <c r="F3720" s="42"/>
      <c r="G3720" s="9"/>
      <c r="H3720" s="9"/>
      <c r="I3720" s="9"/>
      <c r="J3720" s="9"/>
      <c r="K3720" s="42"/>
      <c r="L3720" s="42"/>
      <c r="M3720" s="42"/>
      <c r="N3720" s="42"/>
      <c r="O3720" s="42"/>
      <c r="P3720" s="9"/>
      <c r="Q3720" s="9"/>
      <c r="R3720" s="42"/>
      <c r="S3720" s="42"/>
      <c r="T3720" s="42"/>
      <c r="U3720" s="42"/>
      <c r="V3720" s="42"/>
      <c r="W3720" s="42"/>
    </row>
    <row r="3721">
      <c r="A3721" s="9"/>
      <c r="B3721" s="9"/>
      <c r="C3721" s="9"/>
      <c r="D3721" s="42"/>
      <c r="E3721" s="103"/>
      <c r="F3721" s="42"/>
      <c r="G3721" s="9"/>
      <c r="H3721" s="9"/>
      <c r="I3721" s="9"/>
      <c r="J3721" s="9"/>
      <c r="K3721" s="42"/>
      <c r="L3721" s="42"/>
      <c r="M3721" s="42"/>
      <c r="N3721" s="42"/>
      <c r="O3721" s="42"/>
      <c r="P3721" s="9"/>
      <c r="Q3721" s="9"/>
      <c r="R3721" s="42"/>
      <c r="S3721" s="42"/>
      <c r="T3721" s="42"/>
      <c r="U3721" s="42"/>
      <c r="V3721" s="42"/>
      <c r="W3721" s="42"/>
    </row>
    <row r="3722">
      <c r="A3722" s="9"/>
      <c r="B3722" s="9"/>
      <c r="C3722" s="9"/>
      <c r="D3722" s="42"/>
      <c r="E3722" s="103"/>
      <c r="F3722" s="42"/>
      <c r="G3722" s="9"/>
      <c r="H3722" s="9"/>
      <c r="I3722" s="9"/>
      <c r="J3722" s="9"/>
      <c r="K3722" s="42"/>
      <c r="L3722" s="42"/>
      <c r="M3722" s="42"/>
      <c r="N3722" s="42"/>
      <c r="O3722" s="42"/>
      <c r="P3722" s="9"/>
      <c r="Q3722" s="9"/>
      <c r="R3722" s="42"/>
      <c r="S3722" s="42"/>
      <c r="T3722" s="42"/>
      <c r="U3722" s="42"/>
      <c r="V3722" s="42"/>
      <c r="W3722" s="42"/>
    </row>
    <row r="3723">
      <c r="A3723" s="9"/>
      <c r="B3723" s="9"/>
      <c r="C3723" s="9"/>
      <c r="D3723" s="42"/>
      <c r="E3723" s="103"/>
      <c r="F3723" s="42"/>
      <c r="G3723" s="9"/>
      <c r="H3723" s="9"/>
      <c r="I3723" s="9"/>
      <c r="J3723" s="9"/>
      <c r="K3723" s="42"/>
      <c r="L3723" s="42"/>
      <c r="M3723" s="42"/>
      <c r="N3723" s="42"/>
      <c r="O3723" s="42"/>
      <c r="P3723" s="9"/>
      <c r="Q3723" s="9"/>
      <c r="R3723" s="42"/>
      <c r="S3723" s="42"/>
      <c r="T3723" s="42"/>
      <c r="U3723" s="42"/>
      <c r="V3723" s="42"/>
      <c r="W3723" s="42"/>
    </row>
    <row r="3724">
      <c r="A3724" s="9"/>
      <c r="B3724" s="9"/>
      <c r="C3724" s="9"/>
      <c r="D3724" s="42"/>
      <c r="E3724" s="103"/>
      <c r="F3724" s="42"/>
      <c r="G3724" s="9"/>
      <c r="H3724" s="9"/>
      <c r="I3724" s="9"/>
      <c r="J3724" s="9"/>
      <c r="K3724" s="42"/>
      <c r="L3724" s="42"/>
      <c r="M3724" s="42"/>
      <c r="N3724" s="42"/>
      <c r="O3724" s="42"/>
      <c r="P3724" s="9"/>
      <c r="Q3724" s="9"/>
      <c r="R3724" s="42"/>
      <c r="S3724" s="42"/>
      <c r="T3724" s="42"/>
      <c r="U3724" s="42"/>
      <c r="V3724" s="42"/>
      <c r="W3724" s="42"/>
    </row>
    <row r="3725">
      <c r="A3725" s="9"/>
      <c r="B3725" s="9"/>
      <c r="C3725" s="9"/>
      <c r="D3725" s="42"/>
      <c r="E3725" s="103"/>
      <c r="F3725" s="42"/>
      <c r="G3725" s="9"/>
      <c r="H3725" s="9"/>
      <c r="I3725" s="9"/>
      <c r="J3725" s="9"/>
      <c r="K3725" s="42"/>
      <c r="L3725" s="42"/>
      <c r="M3725" s="42"/>
      <c r="N3725" s="42"/>
      <c r="O3725" s="42"/>
      <c r="P3725" s="9"/>
      <c r="Q3725" s="9"/>
      <c r="R3725" s="42"/>
      <c r="S3725" s="42"/>
      <c r="T3725" s="42"/>
      <c r="U3725" s="42"/>
      <c r="V3725" s="42"/>
      <c r="W3725" s="42"/>
    </row>
    <row r="3726">
      <c r="A3726" s="9"/>
      <c r="B3726" s="9"/>
      <c r="C3726" s="9"/>
      <c r="D3726" s="42"/>
      <c r="E3726" s="103"/>
      <c r="F3726" s="42"/>
      <c r="G3726" s="9"/>
      <c r="H3726" s="9"/>
      <c r="I3726" s="9"/>
      <c r="J3726" s="9"/>
      <c r="K3726" s="42"/>
      <c r="L3726" s="42"/>
      <c r="M3726" s="42"/>
      <c r="N3726" s="42"/>
      <c r="O3726" s="42"/>
      <c r="P3726" s="9"/>
      <c r="Q3726" s="9"/>
      <c r="R3726" s="42"/>
      <c r="S3726" s="42"/>
      <c r="T3726" s="42"/>
      <c r="U3726" s="42"/>
      <c r="V3726" s="42"/>
      <c r="W3726" s="42"/>
    </row>
    <row r="3727">
      <c r="A3727" s="9"/>
      <c r="B3727" s="9"/>
      <c r="C3727" s="9"/>
      <c r="D3727" s="42"/>
      <c r="E3727" s="103"/>
      <c r="F3727" s="42"/>
      <c r="G3727" s="9"/>
      <c r="H3727" s="9"/>
      <c r="I3727" s="9"/>
      <c r="J3727" s="9"/>
      <c r="K3727" s="42"/>
      <c r="L3727" s="42"/>
      <c r="M3727" s="42"/>
      <c r="N3727" s="42"/>
      <c r="O3727" s="42"/>
      <c r="P3727" s="9"/>
      <c r="Q3727" s="9"/>
      <c r="R3727" s="42"/>
      <c r="S3727" s="42"/>
      <c r="T3727" s="42"/>
      <c r="U3727" s="42"/>
      <c r="V3727" s="42"/>
      <c r="W3727" s="42"/>
    </row>
    <row r="3728">
      <c r="A3728" s="9"/>
      <c r="B3728" s="9"/>
      <c r="C3728" s="9"/>
      <c r="D3728" s="42"/>
      <c r="E3728" s="103"/>
      <c r="F3728" s="42"/>
      <c r="G3728" s="9"/>
      <c r="H3728" s="9"/>
      <c r="I3728" s="9"/>
      <c r="J3728" s="9"/>
      <c r="K3728" s="42"/>
      <c r="L3728" s="42"/>
      <c r="M3728" s="42"/>
      <c r="N3728" s="42"/>
      <c r="O3728" s="42"/>
      <c r="P3728" s="9"/>
      <c r="Q3728" s="9"/>
      <c r="R3728" s="42"/>
      <c r="S3728" s="42"/>
      <c r="T3728" s="42"/>
      <c r="U3728" s="42"/>
      <c r="V3728" s="42"/>
      <c r="W3728" s="42"/>
    </row>
    <row r="3729">
      <c r="A3729" s="9"/>
      <c r="B3729" s="9"/>
      <c r="C3729" s="9"/>
      <c r="D3729" s="42"/>
      <c r="E3729" s="103"/>
      <c r="F3729" s="42"/>
      <c r="G3729" s="9"/>
      <c r="H3729" s="9"/>
      <c r="I3729" s="9"/>
      <c r="J3729" s="9"/>
      <c r="K3729" s="42"/>
      <c r="L3729" s="42"/>
      <c r="M3729" s="42"/>
      <c r="N3729" s="42"/>
      <c r="O3729" s="42"/>
      <c r="P3729" s="9"/>
      <c r="Q3729" s="9"/>
      <c r="R3729" s="42"/>
      <c r="S3729" s="42"/>
      <c r="T3729" s="42"/>
      <c r="U3729" s="42"/>
      <c r="V3729" s="42"/>
      <c r="W3729" s="42"/>
    </row>
    <row r="3730">
      <c r="A3730" s="9"/>
      <c r="B3730" s="9"/>
      <c r="C3730" s="9"/>
      <c r="D3730" s="42"/>
      <c r="E3730" s="103"/>
      <c r="F3730" s="42"/>
      <c r="G3730" s="9"/>
      <c r="H3730" s="9"/>
      <c r="I3730" s="9"/>
      <c r="J3730" s="9"/>
      <c r="K3730" s="42"/>
      <c r="L3730" s="42"/>
      <c r="M3730" s="42"/>
      <c r="N3730" s="42"/>
      <c r="O3730" s="42"/>
      <c r="P3730" s="9"/>
      <c r="Q3730" s="9"/>
      <c r="R3730" s="42"/>
      <c r="S3730" s="42"/>
      <c r="T3730" s="42"/>
      <c r="U3730" s="42"/>
      <c r="V3730" s="42"/>
      <c r="W3730" s="42"/>
    </row>
    <row r="3731">
      <c r="A3731" s="9"/>
      <c r="B3731" s="9"/>
      <c r="C3731" s="9"/>
      <c r="D3731" s="42"/>
      <c r="E3731" s="103"/>
      <c r="F3731" s="42"/>
      <c r="G3731" s="9"/>
      <c r="H3731" s="9"/>
      <c r="I3731" s="9"/>
      <c r="J3731" s="9"/>
      <c r="K3731" s="42"/>
      <c r="L3731" s="42"/>
      <c r="M3731" s="42"/>
      <c r="N3731" s="42"/>
      <c r="O3731" s="42"/>
      <c r="P3731" s="9"/>
      <c r="Q3731" s="9"/>
      <c r="R3731" s="42"/>
      <c r="S3731" s="42"/>
      <c r="T3731" s="42"/>
      <c r="U3731" s="42"/>
      <c r="V3731" s="42"/>
      <c r="W3731" s="42"/>
    </row>
    <row r="3732">
      <c r="A3732" s="9"/>
      <c r="B3732" s="9"/>
      <c r="C3732" s="9"/>
      <c r="D3732" s="42"/>
      <c r="E3732" s="103"/>
      <c r="F3732" s="42"/>
      <c r="G3732" s="9"/>
      <c r="H3732" s="9"/>
      <c r="I3732" s="9"/>
      <c r="J3732" s="9"/>
      <c r="K3732" s="42"/>
      <c r="L3732" s="42"/>
      <c r="M3732" s="42"/>
      <c r="N3732" s="42"/>
      <c r="O3732" s="42"/>
      <c r="P3732" s="9"/>
      <c r="Q3732" s="9"/>
      <c r="R3732" s="42"/>
      <c r="S3732" s="42"/>
      <c r="T3732" s="42"/>
      <c r="U3732" s="42"/>
      <c r="V3732" s="42"/>
      <c r="W3732" s="42"/>
    </row>
    <row r="3733">
      <c r="A3733" s="9"/>
      <c r="B3733" s="9"/>
      <c r="C3733" s="9"/>
      <c r="D3733" s="42"/>
      <c r="E3733" s="103"/>
      <c r="F3733" s="42"/>
      <c r="G3733" s="9"/>
      <c r="H3733" s="9"/>
      <c r="I3733" s="9"/>
      <c r="J3733" s="9"/>
      <c r="K3733" s="42"/>
      <c r="L3733" s="42"/>
      <c r="M3733" s="42"/>
      <c r="N3733" s="42"/>
      <c r="O3733" s="42"/>
      <c r="P3733" s="9"/>
      <c r="Q3733" s="9"/>
      <c r="R3733" s="42"/>
      <c r="S3733" s="42"/>
      <c r="T3733" s="42"/>
      <c r="U3733" s="42"/>
      <c r="V3733" s="42"/>
      <c r="W3733" s="42"/>
    </row>
    <row r="3734">
      <c r="A3734" s="9"/>
      <c r="B3734" s="9"/>
      <c r="C3734" s="9"/>
      <c r="D3734" s="42"/>
      <c r="E3734" s="103"/>
      <c r="F3734" s="42"/>
      <c r="G3734" s="9"/>
      <c r="H3734" s="9"/>
      <c r="I3734" s="9"/>
      <c r="J3734" s="9"/>
      <c r="K3734" s="42"/>
      <c r="L3734" s="42"/>
      <c r="M3734" s="42"/>
      <c r="N3734" s="42"/>
      <c r="O3734" s="42"/>
      <c r="P3734" s="9"/>
      <c r="Q3734" s="9"/>
      <c r="R3734" s="42"/>
      <c r="S3734" s="42"/>
      <c r="T3734" s="42"/>
      <c r="U3734" s="42"/>
      <c r="V3734" s="42"/>
      <c r="W3734" s="42"/>
    </row>
    <row r="3735">
      <c r="A3735" s="9"/>
      <c r="B3735" s="9"/>
      <c r="C3735" s="9"/>
      <c r="D3735" s="42"/>
      <c r="E3735" s="103"/>
      <c r="F3735" s="42"/>
      <c r="G3735" s="9"/>
      <c r="H3735" s="9"/>
      <c r="I3735" s="9"/>
      <c r="J3735" s="9"/>
      <c r="K3735" s="42"/>
      <c r="L3735" s="42"/>
      <c r="M3735" s="42"/>
      <c r="N3735" s="42"/>
      <c r="O3735" s="42"/>
      <c r="P3735" s="9"/>
      <c r="Q3735" s="9"/>
      <c r="R3735" s="42"/>
      <c r="S3735" s="42"/>
      <c r="T3735" s="42"/>
      <c r="U3735" s="42"/>
      <c r="V3735" s="42"/>
      <c r="W3735" s="42"/>
    </row>
    <row r="3736">
      <c r="A3736" s="9"/>
      <c r="B3736" s="9"/>
      <c r="C3736" s="9"/>
      <c r="D3736" s="42"/>
      <c r="E3736" s="103"/>
      <c r="F3736" s="42"/>
      <c r="G3736" s="9"/>
      <c r="H3736" s="9"/>
      <c r="I3736" s="9"/>
      <c r="J3736" s="9"/>
      <c r="K3736" s="42"/>
      <c r="L3736" s="42"/>
      <c r="M3736" s="42"/>
      <c r="N3736" s="42"/>
      <c r="O3736" s="42"/>
      <c r="P3736" s="9"/>
      <c r="Q3736" s="9"/>
      <c r="R3736" s="42"/>
      <c r="S3736" s="42"/>
      <c r="T3736" s="42"/>
      <c r="U3736" s="42"/>
      <c r="V3736" s="42"/>
      <c r="W3736" s="42"/>
    </row>
    <row r="3737">
      <c r="A3737" s="9"/>
      <c r="B3737" s="9"/>
      <c r="C3737" s="9"/>
      <c r="D3737" s="42"/>
      <c r="E3737" s="103"/>
      <c r="F3737" s="42"/>
      <c r="G3737" s="9"/>
      <c r="H3737" s="9"/>
      <c r="I3737" s="9"/>
      <c r="J3737" s="9"/>
      <c r="K3737" s="42"/>
      <c r="L3737" s="42"/>
      <c r="M3737" s="42"/>
      <c r="N3737" s="42"/>
      <c r="O3737" s="42"/>
      <c r="P3737" s="9"/>
      <c r="Q3737" s="9"/>
      <c r="R3737" s="42"/>
      <c r="S3737" s="42"/>
      <c r="T3737" s="42"/>
      <c r="U3737" s="42"/>
      <c r="V3737" s="42"/>
      <c r="W3737" s="42"/>
    </row>
    <row r="3738">
      <c r="A3738" s="9"/>
      <c r="B3738" s="9"/>
      <c r="C3738" s="9"/>
      <c r="D3738" s="42"/>
      <c r="E3738" s="103"/>
      <c r="F3738" s="42"/>
      <c r="G3738" s="9"/>
      <c r="H3738" s="9"/>
      <c r="I3738" s="9"/>
      <c r="J3738" s="9"/>
      <c r="K3738" s="42"/>
      <c r="L3738" s="42"/>
      <c r="M3738" s="42"/>
      <c r="N3738" s="42"/>
      <c r="O3738" s="42"/>
      <c r="P3738" s="9"/>
      <c r="Q3738" s="9"/>
      <c r="R3738" s="42"/>
      <c r="S3738" s="42"/>
      <c r="T3738" s="42"/>
      <c r="U3738" s="42"/>
      <c r="V3738" s="42"/>
      <c r="W3738" s="42"/>
    </row>
    <row r="3739">
      <c r="A3739" s="9"/>
      <c r="B3739" s="9"/>
      <c r="C3739" s="9"/>
      <c r="D3739" s="42"/>
      <c r="E3739" s="103"/>
      <c r="F3739" s="42"/>
      <c r="G3739" s="9"/>
      <c r="H3739" s="9"/>
      <c r="I3739" s="9"/>
      <c r="J3739" s="9"/>
      <c r="K3739" s="42"/>
      <c r="L3739" s="42"/>
      <c r="M3739" s="42"/>
      <c r="N3739" s="42"/>
      <c r="O3739" s="42"/>
      <c r="P3739" s="9"/>
      <c r="Q3739" s="9"/>
      <c r="R3739" s="42"/>
      <c r="S3739" s="42"/>
      <c r="T3739" s="42"/>
      <c r="U3739" s="42"/>
      <c r="V3739" s="42"/>
      <c r="W3739" s="42"/>
    </row>
    <row r="3740">
      <c r="A3740" s="9"/>
      <c r="B3740" s="9"/>
      <c r="C3740" s="9"/>
      <c r="D3740" s="42"/>
      <c r="E3740" s="103"/>
      <c r="F3740" s="42"/>
      <c r="G3740" s="9"/>
      <c r="H3740" s="9"/>
      <c r="I3740" s="9"/>
      <c r="J3740" s="9"/>
      <c r="K3740" s="42"/>
      <c r="L3740" s="42"/>
      <c r="M3740" s="42"/>
      <c r="N3740" s="42"/>
      <c r="O3740" s="42"/>
      <c r="P3740" s="9"/>
      <c r="Q3740" s="9"/>
      <c r="R3740" s="42"/>
      <c r="S3740" s="42"/>
      <c r="T3740" s="42"/>
      <c r="U3740" s="42"/>
      <c r="V3740" s="42"/>
      <c r="W3740" s="42"/>
    </row>
    <row r="3741">
      <c r="A3741" s="9"/>
      <c r="B3741" s="9"/>
      <c r="C3741" s="9"/>
      <c r="D3741" s="42"/>
      <c r="E3741" s="103"/>
      <c r="F3741" s="42"/>
      <c r="G3741" s="9"/>
      <c r="H3741" s="9"/>
      <c r="I3741" s="9"/>
      <c r="J3741" s="9"/>
      <c r="K3741" s="42"/>
      <c r="L3741" s="42"/>
      <c r="M3741" s="42"/>
      <c r="N3741" s="42"/>
      <c r="O3741" s="42"/>
      <c r="P3741" s="9"/>
      <c r="Q3741" s="9"/>
      <c r="R3741" s="42"/>
      <c r="S3741" s="42"/>
      <c r="T3741" s="42"/>
      <c r="U3741" s="42"/>
      <c r="V3741" s="42"/>
      <c r="W3741" s="42"/>
    </row>
    <row r="3742">
      <c r="A3742" s="9"/>
      <c r="B3742" s="9"/>
      <c r="C3742" s="9"/>
      <c r="D3742" s="42"/>
      <c r="E3742" s="103"/>
      <c r="F3742" s="42"/>
      <c r="G3742" s="9"/>
      <c r="H3742" s="9"/>
      <c r="I3742" s="9"/>
      <c r="J3742" s="9"/>
      <c r="K3742" s="42"/>
      <c r="L3742" s="42"/>
      <c r="M3742" s="42"/>
      <c r="N3742" s="42"/>
      <c r="O3742" s="42"/>
      <c r="P3742" s="9"/>
      <c r="Q3742" s="9"/>
      <c r="R3742" s="42"/>
      <c r="S3742" s="42"/>
      <c r="T3742" s="42"/>
      <c r="U3742" s="42"/>
      <c r="V3742" s="42"/>
      <c r="W3742" s="42"/>
    </row>
    <row r="3743">
      <c r="A3743" s="9"/>
      <c r="B3743" s="9"/>
      <c r="C3743" s="9"/>
      <c r="D3743" s="42"/>
      <c r="E3743" s="103"/>
      <c r="F3743" s="42"/>
      <c r="G3743" s="9"/>
      <c r="H3743" s="9"/>
      <c r="I3743" s="9"/>
      <c r="J3743" s="9"/>
      <c r="K3743" s="42"/>
      <c r="L3743" s="42"/>
      <c r="M3743" s="42"/>
      <c r="N3743" s="42"/>
      <c r="O3743" s="42"/>
      <c r="P3743" s="9"/>
      <c r="Q3743" s="9"/>
      <c r="R3743" s="42"/>
      <c r="S3743" s="42"/>
      <c r="T3743" s="42"/>
      <c r="U3743" s="42"/>
      <c r="V3743" s="42"/>
      <c r="W3743" s="42"/>
    </row>
    <row r="3744">
      <c r="A3744" s="9"/>
      <c r="B3744" s="9"/>
      <c r="C3744" s="9"/>
      <c r="D3744" s="42"/>
      <c r="E3744" s="103"/>
      <c r="F3744" s="42"/>
      <c r="G3744" s="9"/>
      <c r="H3744" s="9"/>
      <c r="I3744" s="9"/>
      <c r="J3744" s="9"/>
      <c r="K3744" s="42"/>
      <c r="L3744" s="42"/>
      <c r="M3744" s="42"/>
      <c r="N3744" s="42"/>
      <c r="O3744" s="42"/>
      <c r="P3744" s="9"/>
      <c r="Q3744" s="9"/>
      <c r="R3744" s="42"/>
      <c r="S3744" s="42"/>
      <c r="T3744" s="42"/>
      <c r="U3744" s="42"/>
      <c r="V3744" s="42"/>
      <c r="W3744" s="42"/>
    </row>
    <row r="3745">
      <c r="A3745" s="9"/>
      <c r="B3745" s="9"/>
      <c r="C3745" s="9"/>
      <c r="D3745" s="42"/>
      <c r="E3745" s="103"/>
      <c r="F3745" s="42"/>
      <c r="G3745" s="9"/>
      <c r="H3745" s="9"/>
      <c r="I3745" s="9"/>
      <c r="J3745" s="9"/>
      <c r="K3745" s="42"/>
      <c r="L3745" s="42"/>
      <c r="M3745" s="42"/>
      <c r="N3745" s="42"/>
      <c r="O3745" s="42"/>
      <c r="P3745" s="9"/>
      <c r="Q3745" s="9"/>
      <c r="R3745" s="42"/>
      <c r="S3745" s="42"/>
      <c r="T3745" s="42"/>
      <c r="U3745" s="42"/>
      <c r="V3745" s="42"/>
      <c r="W3745" s="42"/>
    </row>
    <row r="3746">
      <c r="A3746" s="9"/>
      <c r="B3746" s="9"/>
      <c r="C3746" s="9"/>
      <c r="D3746" s="42"/>
      <c r="E3746" s="103"/>
      <c r="F3746" s="42"/>
      <c r="G3746" s="9"/>
      <c r="H3746" s="9"/>
      <c r="I3746" s="9"/>
      <c r="J3746" s="9"/>
      <c r="K3746" s="42"/>
      <c r="L3746" s="42"/>
      <c r="M3746" s="42"/>
      <c r="N3746" s="42"/>
      <c r="O3746" s="42"/>
      <c r="P3746" s="9"/>
      <c r="Q3746" s="9"/>
      <c r="R3746" s="42"/>
      <c r="S3746" s="42"/>
      <c r="T3746" s="42"/>
      <c r="U3746" s="42"/>
      <c r="V3746" s="42"/>
      <c r="W3746" s="42"/>
    </row>
    <row r="3747">
      <c r="A3747" s="9"/>
      <c r="B3747" s="9"/>
      <c r="C3747" s="9"/>
      <c r="D3747" s="42"/>
      <c r="E3747" s="103"/>
      <c r="F3747" s="42"/>
      <c r="G3747" s="9"/>
      <c r="H3747" s="9"/>
      <c r="I3747" s="9"/>
      <c r="J3747" s="9"/>
      <c r="K3747" s="42"/>
      <c r="L3747" s="42"/>
      <c r="M3747" s="42"/>
      <c r="N3747" s="42"/>
      <c r="O3747" s="42"/>
      <c r="P3747" s="9"/>
      <c r="Q3747" s="9"/>
      <c r="R3747" s="42"/>
      <c r="S3747" s="42"/>
      <c r="T3747" s="42"/>
      <c r="U3747" s="42"/>
      <c r="V3747" s="42"/>
      <c r="W3747" s="42"/>
    </row>
    <row r="3748">
      <c r="A3748" s="9"/>
      <c r="B3748" s="9"/>
      <c r="C3748" s="9"/>
      <c r="D3748" s="42"/>
      <c r="E3748" s="103"/>
      <c r="F3748" s="42"/>
      <c r="G3748" s="9"/>
      <c r="H3748" s="9"/>
      <c r="I3748" s="9"/>
      <c r="J3748" s="9"/>
      <c r="K3748" s="42"/>
      <c r="L3748" s="42"/>
      <c r="M3748" s="42"/>
      <c r="N3748" s="42"/>
      <c r="O3748" s="42"/>
      <c r="P3748" s="9"/>
      <c r="Q3748" s="9"/>
      <c r="R3748" s="42"/>
      <c r="S3748" s="42"/>
      <c r="T3748" s="42"/>
      <c r="U3748" s="42"/>
      <c r="V3748" s="42"/>
      <c r="W3748" s="42"/>
    </row>
    <row r="3749">
      <c r="A3749" s="9"/>
      <c r="B3749" s="9"/>
      <c r="C3749" s="9"/>
      <c r="D3749" s="42"/>
      <c r="E3749" s="103"/>
      <c r="F3749" s="42"/>
      <c r="G3749" s="9"/>
      <c r="H3749" s="9"/>
      <c r="I3749" s="9"/>
      <c r="J3749" s="9"/>
      <c r="K3749" s="42"/>
      <c r="L3749" s="42"/>
      <c r="M3749" s="42"/>
      <c r="N3749" s="42"/>
      <c r="O3749" s="42"/>
      <c r="P3749" s="9"/>
      <c r="Q3749" s="9"/>
      <c r="R3749" s="42"/>
      <c r="S3749" s="42"/>
      <c r="T3749" s="42"/>
      <c r="U3749" s="42"/>
      <c r="V3749" s="42"/>
      <c r="W3749" s="42"/>
    </row>
    <row r="3750">
      <c r="A3750" s="9"/>
      <c r="B3750" s="9"/>
      <c r="C3750" s="9"/>
      <c r="D3750" s="42"/>
      <c r="E3750" s="103"/>
      <c r="F3750" s="42"/>
      <c r="G3750" s="9"/>
      <c r="H3750" s="9"/>
      <c r="I3750" s="9"/>
      <c r="J3750" s="9"/>
      <c r="K3750" s="42"/>
      <c r="L3750" s="42"/>
      <c r="M3750" s="42"/>
      <c r="N3750" s="42"/>
      <c r="O3750" s="42"/>
      <c r="P3750" s="9"/>
      <c r="Q3750" s="9"/>
      <c r="R3750" s="42"/>
      <c r="S3750" s="42"/>
      <c r="T3750" s="42"/>
      <c r="U3750" s="42"/>
      <c r="V3750" s="42"/>
      <c r="W3750" s="42"/>
    </row>
    <row r="3751">
      <c r="A3751" s="9"/>
      <c r="B3751" s="9"/>
      <c r="C3751" s="9"/>
      <c r="D3751" s="42"/>
      <c r="E3751" s="103"/>
      <c r="F3751" s="42"/>
      <c r="G3751" s="9"/>
      <c r="H3751" s="9"/>
      <c r="I3751" s="9"/>
      <c r="J3751" s="9"/>
      <c r="K3751" s="42"/>
      <c r="L3751" s="42"/>
      <c r="M3751" s="42"/>
      <c r="N3751" s="42"/>
      <c r="O3751" s="42"/>
      <c r="P3751" s="9"/>
      <c r="Q3751" s="9"/>
      <c r="R3751" s="42"/>
      <c r="S3751" s="42"/>
      <c r="T3751" s="42"/>
      <c r="U3751" s="42"/>
      <c r="V3751" s="42"/>
      <c r="W3751" s="42"/>
    </row>
    <row r="3752">
      <c r="A3752" s="9"/>
      <c r="B3752" s="9"/>
      <c r="C3752" s="9"/>
      <c r="D3752" s="42"/>
      <c r="E3752" s="103"/>
      <c r="F3752" s="42"/>
      <c r="G3752" s="9"/>
      <c r="H3752" s="9"/>
      <c r="I3752" s="9"/>
      <c r="J3752" s="9"/>
      <c r="K3752" s="42"/>
      <c r="L3752" s="42"/>
      <c r="M3752" s="42"/>
      <c r="N3752" s="42"/>
      <c r="O3752" s="42"/>
      <c r="P3752" s="9"/>
      <c r="Q3752" s="9"/>
      <c r="R3752" s="42"/>
      <c r="S3752" s="42"/>
      <c r="T3752" s="42"/>
      <c r="U3752" s="42"/>
      <c r="V3752" s="42"/>
      <c r="W3752" s="42"/>
    </row>
    <row r="3753">
      <c r="A3753" s="9"/>
      <c r="B3753" s="9"/>
      <c r="C3753" s="9"/>
      <c r="D3753" s="42"/>
      <c r="E3753" s="103"/>
      <c r="F3753" s="42"/>
      <c r="G3753" s="9"/>
      <c r="H3753" s="9"/>
      <c r="I3753" s="9"/>
      <c r="J3753" s="9"/>
      <c r="K3753" s="42"/>
      <c r="L3753" s="42"/>
      <c r="M3753" s="42"/>
      <c r="N3753" s="42"/>
      <c r="O3753" s="42"/>
      <c r="P3753" s="9"/>
      <c r="Q3753" s="9"/>
      <c r="R3753" s="42"/>
      <c r="S3753" s="42"/>
      <c r="T3753" s="42"/>
      <c r="U3753" s="42"/>
      <c r="V3753" s="42"/>
      <c r="W3753" s="42"/>
    </row>
    <row r="3754">
      <c r="A3754" s="9"/>
      <c r="B3754" s="9"/>
      <c r="C3754" s="9"/>
      <c r="D3754" s="42"/>
      <c r="E3754" s="103"/>
      <c r="F3754" s="42"/>
      <c r="G3754" s="9"/>
      <c r="H3754" s="9"/>
      <c r="I3754" s="9"/>
      <c r="J3754" s="9"/>
      <c r="K3754" s="42"/>
      <c r="L3754" s="42"/>
      <c r="M3754" s="42"/>
      <c r="N3754" s="42"/>
      <c r="O3754" s="42"/>
      <c r="P3754" s="9"/>
      <c r="Q3754" s="9"/>
      <c r="R3754" s="42"/>
      <c r="S3754" s="42"/>
      <c r="T3754" s="42"/>
      <c r="U3754" s="42"/>
      <c r="V3754" s="42"/>
      <c r="W3754" s="42"/>
    </row>
    <row r="3755">
      <c r="A3755" s="9"/>
      <c r="B3755" s="9"/>
      <c r="C3755" s="9"/>
      <c r="D3755" s="42"/>
      <c r="E3755" s="103"/>
      <c r="F3755" s="42"/>
      <c r="G3755" s="9"/>
      <c r="H3755" s="9"/>
      <c r="I3755" s="9"/>
      <c r="J3755" s="9"/>
      <c r="K3755" s="42"/>
      <c r="L3755" s="42"/>
      <c r="M3755" s="42"/>
      <c r="N3755" s="42"/>
      <c r="O3755" s="42"/>
      <c r="P3755" s="9"/>
      <c r="Q3755" s="9"/>
      <c r="R3755" s="42"/>
      <c r="S3755" s="42"/>
      <c r="T3755" s="42"/>
      <c r="U3755" s="42"/>
      <c r="V3755" s="42"/>
      <c r="W3755" s="42"/>
    </row>
    <row r="3756">
      <c r="A3756" s="9"/>
      <c r="B3756" s="9"/>
      <c r="C3756" s="9"/>
      <c r="D3756" s="42"/>
      <c r="E3756" s="103"/>
      <c r="F3756" s="42"/>
      <c r="G3756" s="9"/>
      <c r="H3756" s="9"/>
      <c r="I3756" s="9"/>
      <c r="J3756" s="9"/>
      <c r="K3756" s="42"/>
      <c r="L3756" s="42"/>
      <c r="M3756" s="42"/>
      <c r="N3756" s="42"/>
      <c r="O3756" s="42"/>
      <c r="P3756" s="9"/>
      <c r="Q3756" s="9"/>
      <c r="R3756" s="42"/>
      <c r="S3756" s="42"/>
      <c r="T3756" s="42"/>
      <c r="U3756" s="42"/>
      <c r="V3756" s="42"/>
      <c r="W3756" s="42"/>
    </row>
    <row r="3757">
      <c r="A3757" s="9"/>
      <c r="B3757" s="9"/>
      <c r="C3757" s="9"/>
      <c r="D3757" s="42"/>
      <c r="E3757" s="103"/>
      <c r="F3757" s="42"/>
      <c r="G3757" s="9"/>
      <c r="H3757" s="9"/>
      <c r="I3757" s="9"/>
      <c r="J3757" s="9"/>
      <c r="K3757" s="42"/>
      <c r="L3757" s="42"/>
      <c r="M3757" s="42"/>
      <c r="N3757" s="42"/>
      <c r="O3757" s="42"/>
      <c r="P3757" s="9"/>
      <c r="Q3757" s="9"/>
      <c r="R3757" s="42"/>
      <c r="S3757" s="42"/>
      <c r="T3757" s="42"/>
      <c r="U3757" s="42"/>
      <c r="V3757" s="42"/>
      <c r="W3757" s="42"/>
    </row>
    <row r="3758">
      <c r="A3758" s="9"/>
      <c r="B3758" s="9"/>
      <c r="C3758" s="9"/>
      <c r="D3758" s="42"/>
      <c r="E3758" s="103"/>
      <c r="F3758" s="42"/>
      <c r="G3758" s="9"/>
      <c r="H3758" s="9"/>
      <c r="I3758" s="9"/>
      <c r="J3758" s="9"/>
      <c r="K3758" s="42"/>
      <c r="L3758" s="42"/>
      <c r="M3758" s="42"/>
      <c r="N3758" s="42"/>
      <c r="O3758" s="42"/>
      <c r="P3758" s="9"/>
      <c r="Q3758" s="9"/>
      <c r="R3758" s="42"/>
      <c r="S3758" s="42"/>
      <c r="T3758" s="42"/>
      <c r="U3758" s="42"/>
      <c r="V3758" s="42"/>
      <c r="W3758" s="42"/>
    </row>
    <row r="3759">
      <c r="A3759" s="9"/>
      <c r="B3759" s="9"/>
      <c r="C3759" s="9"/>
      <c r="D3759" s="42"/>
      <c r="E3759" s="103"/>
      <c r="F3759" s="42"/>
      <c r="G3759" s="9"/>
      <c r="H3759" s="9"/>
      <c r="I3759" s="9"/>
      <c r="J3759" s="9"/>
      <c r="K3759" s="42"/>
      <c r="L3759" s="42"/>
      <c r="M3759" s="42"/>
      <c r="N3759" s="42"/>
      <c r="O3759" s="42"/>
      <c r="P3759" s="9"/>
      <c r="Q3759" s="9"/>
      <c r="R3759" s="42"/>
      <c r="S3759" s="42"/>
      <c r="T3759" s="42"/>
      <c r="U3759" s="42"/>
      <c r="V3759" s="42"/>
      <c r="W3759" s="42"/>
    </row>
    <row r="3760">
      <c r="A3760" s="9"/>
      <c r="B3760" s="9"/>
      <c r="C3760" s="9"/>
      <c r="D3760" s="42"/>
      <c r="E3760" s="103"/>
      <c r="F3760" s="42"/>
      <c r="G3760" s="9"/>
      <c r="H3760" s="9"/>
      <c r="I3760" s="9"/>
      <c r="J3760" s="9"/>
      <c r="K3760" s="42"/>
      <c r="L3760" s="42"/>
      <c r="M3760" s="42"/>
      <c r="N3760" s="42"/>
      <c r="O3760" s="42"/>
      <c r="P3760" s="9"/>
      <c r="Q3760" s="9"/>
      <c r="R3760" s="42"/>
      <c r="S3760" s="42"/>
      <c r="T3760" s="42"/>
      <c r="U3760" s="42"/>
      <c r="V3760" s="42"/>
      <c r="W3760" s="42"/>
    </row>
    <row r="3761">
      <c r="A3761" s="9"/>
      <c r="B3761" s="9"/>
      <c r="C3761" s="9"/>
      <c r="D3761" s="42"/>
      <c r="E3761" s="103"/>
      <c r="F3761" s="42"/>
      <c r="G3761" s="9"/>
      <c r="H3761" s="9"/>
      <c r="I3761" s="9"/>
      <c r="J3761" s="9"/>
      <c r="K3761" s="42"/>
      <c r="L3761" s="42"/>
      <c r="M3761" s="42"/>
      <c r="N3761" s="42"/>
      <c r="O3761" s="42"/>
      <c r="P3761" s="9"/>
      <c r="Q3761" s="9"/>
      <c r="R3761" s="42"/>
      <c r="S3761" s="42"/>
      <c r="T3761" s="42"/>
      <c r="U3761" s="42"/>
      <c r="V3761" s="42"/>
      <c r="W3761" s="42"/>
    </row>
    <row r="3762">
      <c r="A3762" s="9"/>
      <c r="B3762" s="9"/>
      <c r="C3762" s="9"/>
      <c r="D3762" s="42"/>
      <c r="E3762" s="103"/>
      <c r="F3762" s="42"/>
      <c r="G3762" s="9"/>
      <c r="H3762" s="9"/>
      <c r="I3762" s="9"/>
      <c r="J3762" s="9"/>
      <c r="K3762" s="42"/>
      <c r="L3762" s="42"/>
      <c r="M3762" s="42"/>
      <c r="N3762" s="42"/>
      <c r="O3762" s="42"/>
      <c r="P3762" s="9"/>
      <c r="Q3762" s="9"/>
      <c r="R3762" s="42"/>
      <c r="S3762" s="42"/>
      <c r="T3762" s="42"/>
      <c r="U3762" s="42"/>
      <c r="V3762" s="42"/>
      <c r="W3762" s="42"/>
    </row>
    <row r="3763">
      <c r="A3763" s="9"/>
      <c r="B3763" s="9"/>
      <c r="C3763" s="9"/>
      <c r="D3763" s="42"/>
      <c r="E3763" s="103"/>
      <c r="F3763" s="42"/>
      <c r="G3763" s="9"/>
      <c r="H3763" s="9"/>
      <c r="I3763" s="9"/>
      <c r="J3763" s="9"/>
      <c r="K3763" s="42"/>
      <c r="L3763" s="42"/>
      <c r="M3763" s="42"/>
      <c r="N3763" s="42"/>
      <c r="O3763" s="42"/>
      <c r="P3763" s="9"/>
      <c r="Q3763" s="9"/>
      <c r="R3763" s="42"/>
      <c r="S3763" s="42"/>
      <c r="T3763" s="42"/>
      <c r="U3763" s="42"/>
      <c r="V3763" s="42"/>
      <c r="W3763" s="42"/>
    </row>
    <row r="3764">
      <c r="A3764" s="9"/>
      <c r="B3764" s="9"/>
      <c r="C3764" s="9"/>
      <c r="D3764" s="42"/>
      <c r="E3764" s="103"/>
      <c r="F3764" s="42"/>
      <c r="G3764" s="9"/>
      <c r="H3764" s="9"/>
      <c r="I3764" s="9"/>
      <c r="J3764" s="9"/>
      <c r="K3764" s="42"/>
      <c r="L3764" s="42"/>
      <c r="M3764" s="42"/>
      <c r="N3764" s="42"/>
      <c r="O3764" s="42"/>
      <c r="P3764" s="9"/>
      <c r="Q3764" s="9"/>
      <c r="R3764" s="42"/>
      <c r="S3764" s="42"/>
      <c r="T3764" s="42"/>
      <c r="U3764" s="42"/>
      <c r="V3764" s="42"/>
      <c r="W3764" s="42"/>
    </row>
    <row r="3765">
      <c r="A3765" s="9"/>
      <c r="B3765" s="9"/>
      <c r="C3765" s="9"/>
      <c r="D3765" s="42"/>
      <c r="E3765" s="103"/>
      <c r="F3765" s="42"/>
      <c r="G3765" s="9"/>
      <c r="H3765" s="9"/>
      <c r="I3765" s="9"/>
      <c r="J3765" s="9"/>
      <c r="K3765" s="42"/>
      <c r="L3765" s="42"/>
      <c r="M3765" s="42"/>
      <c r="N3765" s="42"/>
      <c r="O3765" s="42"/>
      <c r="P3765" s="9"/>
      <c r="Q3765" s="9"/>
      <c r="R3765" s="42"/>
      <c r="S3765" s="42"/>
      <c r="T3765" s="42"/>
      <c r="U3765" s="42"/>
      <c r="V3765" s="42"/>
      <c r="W3765" s="42"/>
    </row>
    <row r="3766">
      <c r="A3766" s="9"/>
      <c r="B3766" s="9"/>
      <c r="C3766" s="9"/>
      <c r="D3766" s="42"/>
      <c r="E3766" s="103"/>
      <c r="F3766" s="42"/>
      <c r="G3766" s="9"/>
      <c r="H3766" s="9"/>
      <c r="I3766" s="9"/>
      <c r="J3766" s="9"/>
      <c r="K3766" s="42"/>
      <c r="L3766" s="42"/>
      <c r="M3766" s="42"/>
      <c r="N3766" s="42"/>
      <c r="O3766" s="42"/>
      <c r="P3766" s="9"/>
      <c r="Q3766" s="9"/>
      <c r="R3766" s="42"/>
      <c r="S3766" s="42"/>
      <c r="T3766" s="42"/>
      <c r="U3766" s="42"/>
      <c r="V3766" s="42"/>
      <c r="W3766" s="42"/>
    </row>
    <row r="3767">
      <c r="A3767" s="9"/>
      <c r="B3767" s="9"/>
      <c r="C3767" s="9"/>
      <c r="D3767" s="42"/>
      <c r="E3767" s="103"/>
      <c r="F3767" s="42"/>
      <c r="G3767" s="9"/>
      <c r="H3767" s="9"/>
      <c r="I3767" s="9"/>
      <c r="J3767" s="9"/>
      <c r="K3767" s="42"/>
      <c r="L3767" s="42"/>
      <c r="M3767" s="42"/>
      <c r="N3767" s="42"/>
      <c r="O3767" s="42"/>
      <c r="P3767" s="9"/>
      <c r="Q3767" s="9"/>
      <c r="R3767" s="42"/>
      <c r="S3767" s="42"/>
      <c r="T3767" s="42"/>
      <c r="U3767" s="42"/>
      <c r="V3767" s="42"/>
      <c r="W3767" s="42"/>
    </row>
    <row r="3768">
      <c r="A3768" s="9"/>
      <c r="B3768" s="9"/>
      <c r="C3768" s="9"/>
      <c r="D3768" s="42"/>
      <c r="E3768" s="103"/>
      <c r="F3768" s="42"/>
      <c r="G3768" s="9"/>
      <c r="H3768" s="9"/>
      <c r="I3768" s="9"/>
      <c r="J3768" s="9"/>
      <c r="K3768" s="42"/>
      <c r="L3768" s="42"/>
      <c r="M3768" s="42"/>
      <c r="N3768" s="42"/>
      <c r="O3768" s="42"/>
      <c r="P3768" s="9"/>
      <c r="Q3768" s="9"/>
      <c r="R3768" s="42"/>
      <c r="S3768" s="42"/>
      <c r="T3768" s="42"/>
      <c r="U3768" s="42"/>
      <c r="V3768" s="42"/>
      <c r="W3768" s="42"/>
    </row>
    <row r="3769">
      <c r="A3769" s="9"/>
      <c r="B3769" s="9"/>
      <c r="C3769" s="9"/>
      <c r="D3769" s="42"/>
      <c r="E3769" s="103"/>
      <c r="F3769" s="42"/>
      <c r="G3769" s="9"/>
      <c r="H3769" s="9"/>
      <c r="I3769" s="9"/>
      <c r="J3769" s="9"/>
      <c r="K3769" s="42"/>
      <c r="L3769" s="42"/>
      <c r="M3769" s="42"/>
      <c r="N3769" s="42"/>
      <c r="O3769" s="42"/>
      <c r="P3769" s="9"/>
      <c r="Q3769" s="9"/>
      <c r="R3769" s="42"/>
      <c r="S3769" s="42"/>
      <c r="T3769" s="42"/>
      <c r="U3769" s="42"/>
      <c r="V3769" s="42"/>
      <c r="W3769" s="42"/>
    </row>
    <row r="3770">
      <c r="A3770" s="9"/>
      <c r="B3770" s="9"/>
      <c r="C3770" s="9"/>
      <c r="D3770" s="42"/>
      <c r="E3770" s="103"/>
      <c r="F3770" s="42"/>
      <c r="G3770" s="9"/>
      <c r="H3770" s="9"/>
      <c r="I3770" s="9"/>
      <c r="J3770" s="9"/>
      <c r="K3770" s="42"/>
      <c r="L3770" s="42"/>
      <c r="M3770" s="42"/>
      <c r="N3770" s="42"/>
      <c r="O3770" s="42"/>
      <c r="P3770" s="9"/>
      <c r="Q3770" s="9"/>
      <c r="R3770" s="42"/>
      <c r="S3770" s="42"/>
      <c r="T3770" s="42"/>
      <c r="U3770" s="42"/>
      <c r="V3770" s="42"/>
      <c r="W3770" s="42"/>
    </row>
    <row r="3771">
      <c r="A3771" s="9"/>
      <c r="B3771" s="9"/>
      <c r="C3771" s="9"/>
      <c r="D3771" s="42"/>
      <c r="E3771" s="103"/>
      <c r="F3771" s="42"/>
      <c r="G3771" s="9"/>
      <c r="H3771" s="9"/>
      <c r="I3771" s="9"/>
      <c r="J3771" s="9"/>
      <c r="K3771" s="42"/>
      <c r="L3771" s="42"/>
      <c r="M3771" s="42"/>
      <c r="N3771" s="42"/>
      <c r="O3771" s="42"/>
      <c r="P3771" s="9"/>
      <c r="Q3771" s="9"/>
      <c r="R3771" s="42"/>
      <c r="S3771" s="42"/>
      <c r="T3771" s="42"/>
      <c r="U3771" s="42"/>
      <c r="V3771" s="42"/>
      <c r="W3771" s="42"/>
    </row>
    <row r="3772">
      <c r="A3772" s="9"/>
      <c r="B3772" s="9"/>
      <c r="C3772" s="9"/>
      <c r="D3772" s="42"/>
      <c r="E3772" s="103"/>
      <c r="F3772" s="42"/>
      <c r="G3772" s="9"/>
      <c r="H3772" s="9"/>
      <c r="I3772" s="9"/>
      <c r="J3772" s="9"/>
      <c r="K3772" s="42"/>
      <c r="L3772" s="42"/>
      <c r="M3772" s="42"/>
      <c r="N3772" s="42"/>
      <c r="O3772" s="42"/>
      <c r="P3772" s="9"/>
      <c r="Q3772" s="9"/>
      <c r="R3772" s="42"/>
      <c r="S3772" s="42"/>
      <c r="T3772" s="42"/>
      <c r="U3772" s="42"/>
      <c r="V3772" s="42"/>
      <c r="W3772" s="42"/>
    </row>
    <row r="3773">
      <c r="A3773" s="9"/>
      <c r="B3773" s="9"/>
      <c r="C3773" s="9"/>
      <c r="D3773" s="42"/>
      <c r="E3773" s="103"/>
      <c r="F3773" s="42"/>
      <c r="G3773" s="9"/>
      <c r="H3773" s="9"/>
      <c r="I3773" s="9"/>
      <c r="J3773" s="9"/>
      <c r="K3773" s="42"/>
      <c r="L3773" s="42"/>
      <c r="M3773" s="42"/>
      <c r="N3773" s="42"/>
      <c r="O3773" s="42"/>
      <c r="P3773" s="9"/>
      <c r="Q3773" s="9"/>
      <c r="R3773" s="42"/>
      <c r="S3773" s="42"/>
      <c r="T3773" s="42"/>
      <c r="U3773" s="42"/>
      <c r="V3773" s="42"/>
      <c r="W3773" s="42"/>
    </row>
    <row r="3774">
      <c r="A3774" s="9"/>
      <c r="B3774" s="9"/>
      <c r="C3774" s="9"/>
      <c r="D3774" s="42"/>
      <c r="E3774" s="103"/>
      <c r="F3774" s="42"/>
      <c r="G3774" s="9"/>
      <c r="H3774" s="9"/>
      <c r="I3774" s="9"/>
      <c r="J3774" s="9"/>
      <c r="K3774" s="42"/>
      <c r="L3774" s="42"/>
      <c r="M3774" s="42"/>
      <c r="N3774" s="42"/>
      <c r="O3774" s="42"/>
      <c r="P3774" s="9"/>
      <c r="Q3774" s="9"/>
      <c r="R3774" s="42"/>
      <c r="S3774" s="42"/>
      <c r="T3774" s="42"/>
      <c r="U3774" s="42"/>
      <c r="V3774" s="42"/>
      <c r="W3774" s="42"/>
    </row>
    <row r="3775">
      <c r="A3775" s="9"/>
      <c r="B3775" s="9"/>
      <c r="C3775" s="9"/>
      <c r="D3775" s="42"/>
      <c r="E3775" s="103"/>
      <c r="F3775" s="42"/>
      <c r="G3775" s="9"/>
      <c r="H3775" s="9"/>
      <c r="I3775" s="9"/>
      <c r="J3775" s="9"/>
      <c r="K3775" s="42"/>
      <c r="L3775" s="42"/>
      <c r="M3775" s="42"/>
      <c r="N3775" s="42"/>
      <c r="O3775" s="42"/>
      <c r="P3775" s="9"/>
      <c r="Q3775" s="9"/>
      <c r="R3775" s="42"/>
      <c r="S3775" s="42"/>
      <c r="T3775" s="42"/>
      <c r="U3775" s="42"/>
      <c r="V3775" s="42"/>
      <c r="W3775" s="42"/>
    </row>
    <row r="3776">
      <c r="A3776" s="9"/>
      <c r="B3776" s="9"/>
      <c r="C3776" s="9"/>
      <c r="D3776" s="42"/>
      <c r="E3776" s="103"/>
      <c r="F3776" s="42"/>
      <c r="G3776" s="9"/>
      <c r="H3776" s="9"/>
      <c r="I3776" s="9"/>
      <c r="J3776" s="9"/>
      <c r="K3776" s="42"/>
      <c r="L3776" s="42"/>
      <c r="M3776" s="42"/>
      <c r="N3776" s="42"/>
      <c r="O3776" s="42"/>
      <c r="P3776" s="9"/>
      <c r="Q3776" s="9"/>
      <c r="R3776" s="42"/>
      <c r="S3776" s="42"/>
      <c r="T3776" s="42"/>
      <c r="U3776" s="42"/>
      <c r="V3776" s="42"/>
      <c r="W3776" s="42"/>
    </row>
    <row r="3777">
      <c r="A3777" s="9"/>
      <c r="B3777" s="9"/>
      <c r="C3777" s="9"/>
      <c r="D3777" s="42"/>
      <c r="E3777" s="103"/>
      <c r="F3777" s="42"/>
      <c r="G3777" s="9"/>
      <c r="H3777" s="9"/>
      <c r="I3777" s="9"/>
      <c r="J3777" s="9"/>
      <c r="K3777" s="42"/>
      <c r="L3777" s="42"/>
      <c r="M3777" s="42"/>
      <c r="N3777" s="42"/>
      <c r="O3777" s="42"/>
      <c r="P3777" s="9"/>
      <c r="Q3777" s="9"/>
      <c r="R3777" s="42"/>
      <c r="S3777" s="42"/>
      <c r="T3777" s="42"/>
      <c r="U3777" s="42"/>
      <c r="V3777" s="42"/>
      <c r="W3777" s="42"/>
    </row>
    <row r="3778">
      <c r="A3778" s="9"/>
      <c r="B3778" s="9"/>
      <c r="C3778" s="9"/>
      <c r="D3778" s="42"/>
      <c r="E3778" s="103"/>
      <c r="F3778" s="42"/>
      <c r="G3778" s="9"/>
      <c r="H3778" s="9"/>
      <c r="I3778" s="9"/>
      <c r="J3778" s="9"/>
      <c r="K3778" s="42"/>
      <c r="L3778" s="42"/>
      <c r="M3778" s="42"/>
      <c r="N3778" s="42"/>
      <c r="O3778" s="42"/>
      <c r="P3778" s="9"/>
      <c r="Q3778" s="9"/>
      <c r="R3778" s="42"/>
      <c r="S3778" s="42"/>
      <c r="T3778" s="42"/>
      <c r="U3778" s="42"/>
      <c r="V3778" s="42"/>
      <c r="W3778" s="42"/>
    </row>
    <row r="3779">
      <c r="A3779" s="9"/>
      <c r="B3779" s="9"/>
      <c r="C3779" s="9"/>
      <c r="D3779" s="42"/>
      <c r="E3779" s="103"/>
      <c r="F3779" s="42"/>
      <c r="G3779" s="9"/>
      <c r="H3779" s="9"/>
      <c r="I3779" s="9"/>
      <c r="J3779" s="9"/>
      <c r="K3779" s="42"/>
      <c r="L3779" s="42"/>
      <c r="M3779" s="42"/>
      <c r="N3779" s="42"/>
      <c r="O3779" s="42"/>
      <c r="P3779" s="9"/>
      <c r="Q3779" s="9"/>
      <c r="R3779" s="42"/>
      <c r="S3779" s="42"/>
      <c r="T3779" s="42"/>
      <c r="U3779" s="42"/>
      <c r="V3779" s="42"/>
      <c r="W3779" s="42"/>
    </row>
    <row r="3780">
      <c r="A3780" s="9"/>
      <c r="B3780" s="9"/>
      <c r="C3780" s="9"/>
      <c r="D3780" s="42"/>
      <c r="E3780" s="103"/>
      <c r="F3780" s="42"/>
      <c r="G3780" s="9"/>
      <c r="H3780" s="9"/>
      <c r="I3780" s="9"/>
      <c r="J3780" s="9"/>
      <c r="K3780" s="42"/>
      <c r="L3780" s="42"/>
      <c r="M3780" s="42"/>
      <c r="N3780" s="42"/>
      <c r="O3780" s="42"/>
      <c r="P3780" s="9"/>
      <c r="Q3780" s="9"/>
      <c r="R3780" s="42"/>
      <c r="S3780" s="42"/>
      <c r="T3780" s="42"/>
      <c r="U3780" s="42"/>
      <c r="V3780" s="42"/>
      <c r="W3780" s="42"/>
    </row>
    <row r="3781">
      <c r="A3781" s="9"/>
      <c r="B3781" s="9"/>
      <c r="C3781" s="9"/>
      <c r="D3781" s="42"/>
      <c r="E3781" s="103"/>
      <c r="F3781" s="42"/>
      <c r="G3781" s="9"/>
      <c r="H3781" s="9"/>
      <c r="I3781" s="9"/>
      <c r="J3781" s="9"/>
      <c r="K3781" s="42"/>
      <c r="L3781" s="42"/>
      <c r="M3781" s="42"/>
      <c r="N3781" s="42"/>
      <c r="O3781" s="42"/>
      <c r="P3781" s="9"/>
      <c r="Q3781" s="9"/>
      <c r="R3781" s="42"/>
      <c r="S3781" s="42"/>
      <c r="T3781" s="42"/>
      <c r="U3781" s="42"/>
      <c r="V3781" s="42"/>
      <c r="W3781" s="42"/>
    </row>
    <row r="3782">
      <c r="A3782" s="9"/>
      <c r="B3782" s="9"/>
      <c r="C3782" s="9"/>
      <c r="D3782" s="42"/>
      <c r="E3782" s="103"/>
      <c r="F3782" s="42"/>
      <c r="G3782" s="9"/>
      <c r="H3782" s="9"/>
      <c r="I3782" s="9"/>
      <c r="J3782" s="9"/>
      <c r="K3782" s="42"/>
      <c r="L3782" s="42"/>
      <c r="M3782" s="42"/>
      <c r="N3782" s="42"/>
      <c r="O3782" s="42"/>
      <c r="P3782" s="9"/>
      <c r="Q3782" s="9"/>
      <c r="R3782" s="42"/>
      <c r="S3782" s="42"/>
      <c r="T3782" s="42"/>
      <c r="U3782" s="42"/>
      <c r="V3782" s="42"/>
      <c r="W3782" s="42"/>
    </row>
    <row r="3783">
      <c r="A3783" s="9"/>
      <c r="B3783" s="9"/>
      <c r="C3783" s="9"/>
      <c r="D3783" s="42"/>
      <c r="E3783" s="103"/>
      <c r="F3783" s="42"/>
      <c r="G3783" s="9"/>
      <c r="H3783" s="9"/>
      <c r="I3783" s="9"/>
      <c r="J3783" s="9"/>
      <c r="K3783" s="42"/>
      <c r="L3783" s="42"/>
      <c r="M3783" s="42"/>
      <c r="N3783" s="42"/>
      <c r="O3783" s="42"/>
      <c r="P3783" s="9"/>
      <c r="Q3783" s="9"/>
      <c r="R3783" s="42"/>
      <c r="S3783" s="42"/>
      <c r="T3783" s="42"/>
      <c r="U3783" s="42"/>
      <c r="V3783" s="42"/>
      <c r="W3783" s="42"/>
    </row>
    <row r="3784">
      <c r="A3784" s="9"/>
      <c r="B3784" s="9"/>
      <c r="C3784" s="9"/>
      <c r="D3784" s="42"/>
      <c r="E3784" s="103"/>
      <c r="F3784" s="42"/>
      <c r="G3784" s="9"/>
      <c r="H3784" s="9"/>
      <c r="I3784" s="9"/>
      <c r="J3784" s="9"/>
      <c r="K3784" s="42"/>
      <c r="L3784" s="42"/>
      <c r="M3784" s="42"/>
      <c r="N3784" s="42"/>
      <c r="O3784" s="42"/>
      <c r="P3784" s="9"/>
      <c r="Q3784" s="9"/>
      <c r="R3784" s="42"/>
      <c r="S3784" s="42"/>
      <c r="T3784" s="42"/>
      <c r="U3784" s="42"/>
      <c r="V3784" s="42"/>
      <c r="W3784" s="42"/>
    </row>
    <row r="3785">
      <c r="A3785" s="9"/>
      <c r="B3785" s="9"/>
      <c r="C3785" s="9"/>
      <c r="D3785" s="42"/>
      <c r="E3785" s="103"/>
      <c r="F3785" s="42"/>
      <c r="G3785" s="9"/>
      <c r="H3785" s="9"/>
      <c r="I3785" s="9"/>
      <c r="J3785" s="9"/>
      <c r="K3785" s="42"/>
      <c r="L3785" s="42"/>
      <c r="M3785" s="42"/>
      <c r="N3785" s="42"/>
      <c r="O3785" s="42"/>
      <c r="P3785" s="9"/>
      <c r="Q3785" s="9"/>
      <c r="R3785" s="42"/>
      <c r="S3785" s="42"/>
      <c r="T3785" s="42"/>
      <c r="U3785" s="42"/>
      <c r="V3785" s="42"/>
      <c r="W3785" s="42"/>
    </row>
    <row r="3786">
      <c r="A3786" s="9"/>
      <c r="B3786" s="9"/>
      <c r="C3786" s="9"/>
      <c r="D3786" s="42"/>
      <c r="E3786" s="103"/>
      <c r="F3786" s="42"/>
      <c r="G3786" s="9"/>
      <c r="H3786" s="9"/>
      <c r="I3786" s="9"/>
      <c r="J3786" s="9"/>
      <c r="K3786" s="42"/>
      <c r="L3786" s="42"/>
      <c r="M3786" s="42"/>
      <c r="N3786" s="42"/>
      <c r="O3786" s="42"/>
      <c r="P3786" s="9"/>
      <c r="Q3786" s="9"/>
      <c r="R3786" s="42"/>
      <c r="S3786" s="42"/>
      <c r="T3786" s="42"/>
      <c r="U3786" s="42"/>
      <c r="V3786" s="42"/>
      <c r="W3786" s="42"/>
    </row>
    <row r="3787">
      <c r="A3787" s="9"/>
      <c r="B3787" s="9"/>
      <c r="C3787" s="9"/>
      <c r="D3787" s="42"/>
      <c r="E3787" s="103"/>
      <c r="F3787" s="42"/>
      <c r="G3787" s="9"/>
      <c r="H3787" s="9"/>
      <c r="I3787" s="9"/>
      <c r="J3787" s="9"/>
      <c r="K3787" s="42"/>
      <c r="L3787" s="42"/>
      <c r="M3787" s="42"/>
      <c r="N3787" s="42"/>
      <c r="O3787" s="42"/>
      <c r="P3787" s="9"/>
      <c r="Q3787" s="9"/>
      <c r="R3787" s="42"/>
      <c r="S3787" s="42"/>
      <c r="T3787" s="42"/>
      <c r="U3787" s="42"/>
      <c r="V3787" s="42"/>
      <c r="W3787" s="42"/>
    </row>
    <row r="3788">
      <c r="A3788" s="9"/>
      <c r="B3788" s="9"/>
      <c r="C3788" s="9"/>
      <c r="D3788" s="42"/>
      <c r="E3788" s="103"/>
      <c r="F3788" s="42"/>
      <c r="G3788" s="9"/>
      <c r="H3788" s="9"/>
      <c r="I3788" s="9"/>
      <c r="J3788" s="9"/>
      <c r="K3788" s="42"/>
      <c r="L3788" s="42"/>
      <c r="M3788" s="42"/>
      <c r="N3788" s="42"/>
      <c r="O3788" s="42"/>
      <c r="P3788" s="9"/>
      <c r="Q3788" s="9"/>
      <c r="R3788" s="42"/>
      <c r="S3788" s="42"/>
      <c r="T3788" s="42"/>
      <c r="U3788" s="42"/>
      <c r="V3788" s="42"/>
      <c r="W3788" s="42"/>
    </row>
    <row r="3789">
      <c r="A3789" s="9"/>
      <c r="B3789" s="9"/>
      <c r="C3789" s="9"/>
      <c r="D3789" s="42"/>
      <c r="E3789" s="103"/>
      <c r="F3789" s="42"/>
      <c r="G3789" s="9"/>
      <c r="H3789" s="9"/>
      <c r="I3789" s="9"/>
      <c r="J3789" s="9"/>
      <c r="K3789" s="42"/>
      <c r="L3789" s="42"/>
      <c r="M3789" s="42"/>
      <c r="N3789" s="42"/>
      <c r="O3789" s="42"/>
      <c r="P3789" s="9"/>
      <c r="Q3789" s="9"/>
      <c r="R3789" s="42"/>
      <c r="S3789" s="42"/>
      <c r="T3789" s="42"/>
      <c r="U3789" s="42"/>
      <c r="V3789" s="42"/>
      <c r="W3789" s="42"/>
    </row>
    <row r="3790">
      <c r="A3790" s="9"/>
      <c r="B3790" s="9"/>
      <c r="C3790" s="9"/>
      <c r="D3790" s="42"/>
      <c r="E3790" s="103"/>
      <c r="F3790" s="42"/>
      <c r="G3790" s="9"/>
      <c r="H3790" s="9"/>
      <c r="I3790" s="9"/>
      <c r="J3790" s="9"/>
      <c r="K3790" s="42"/>
      <c r="L3790" s="42"/>
      <c r="M3790" s="42"/>
      <c r="N3790" s="42"/>
      <c r="O3790" s="42"/>
      <c r="P3790" s="9"/>
      <c r="Q3790" s="9"/>
      <c r="R3790" s="42"/>
      <c r="S3790" s="42"/>
      <c r="T3790" s="42"/>
      <c r="U3790" s="42"/>
      <c r="V3790" s="42"/>
      <c r="W3790" s="42"/>
    </row>
    <row r="3791">
      <c r="A3791" s="9"/>
      <c r="B3791" s="9"/>
      <c r="C3791" s="9"/>
      <c r="D3791" s="42"/>
      <c r="E3791" s="103"/>
      <c r="F3791" s="42"/>
      <c r="G3791" s="9"/>
      <c r="H3791" s="9"/>
      <c r="I3791" s="9"/>
      <c r="J3791" s="9"/>
      <c r="K3791" s="42"/>
      <c r="L3791" s="42"/>
      <c r="M3791" s="42"/>
      <c r="N3791" s="42"/>
      <c r="O3791" s="42"/>
      <c r="P3791" s="9"/>
      <c r="Q3791" s="9"/>
      <c r="R3791" s="42"/>
      <c r="S3791" s="42"/>
      <c r="T3791" s="42"/>
      <c r="U3791" s="42"/>
      <c r="V3791" s="42"/>
      <c r="W3791" s="42"/>
    </row>
    <row r="3792">
      <c r="A3792" s="9"/>
      <c r="B3792" s="9"/>
      <c r="C3792" s="9"/>
      <c r="D3792" s="42"/>
      <c r="E3792" s="103"/>
      <c r="F3792" s="42"/>
      <c r="G3792" s="9"/>
      <c r="H3792" s="9"/>
      <c r="I3792" s="9"/>
      <c r="J3792" s="9"/>
      <c r="K3792" s="42"/>
      <c r="L3792" s="42"/>
      <c r="M3792" s="42"/>
      <c r="N3792" s="42"/>
      <c r="O3792" s="42"/>
      <c r="P3792" s="9"/>
      <c r="Q3792" s="9"/>
      <c r="R3792" s="42"/>
      <c r="S3792" s="42"/>
      <c r="T3792" s="42"/>
      <c r="U3792" s="42"/>
      <c r="V3792" s="42"/>
      <c r="W3792" s="42"/>
    </row>
    <row r="3793">
      <c r="A3793" s="9"/>
      <c r="B3793" s="9"/>
      <c r="C3793" s="9"/>
      <c r="D3793" s="42"/>
      <c r="E3793" s="103"/>
      <c r="F3793" s="42"/>
      <c r="G3793" s="9"/>
      <c r="H3793" s="9"/>
      <c r="I3793" s="9"/>
      <c r="J3793" s="9"/>
      <c r="K3793" s="42"/>
      <c r="L3793" s="42"/>
      <c r="M3793" s="42"/>
      <c r="N3793" s="42"/>
      <c r="O3793" s="42"/>
      <c r="P3793" s="9"/>
      <c r="Q3793" s="9"/>
      <c r="R3793" s="42"/>
      <c r="S3793" s="42"/>
      <c r="T3793" s="42"/>
      <c r="U3793" s="42"/>
      <c r="V3793" s="42"/>
      <c r="W3793" s="42"/>
    </row>
    <row r="3794">
      <c r="A3794" s="9"/>
      <c r="B3794" s="9"/>
      <c r="C3794" s="9"/>
      <c r="D3794" s="42"/>
      <c r="E3794" s="103"/>
      <c r="F3794" s="42"/>
      <c r="G3794" s="9"/>
      <c r="H3794" s="9"/>
      <c r="I3794" s="9"/>
      <c r="J3794" s="9"/>
      <c r="K3794" s="42"/>
      <c r="L3794" s="42"/>
      <c r="M3794" s="42"/>
      <c r="N3794" s="42"/>
      <c r="O3794" s="42"/>
      <c r="P3794" s="9"/>
      <c r="Q3794" s="9"/>
      <c r="R3794" s="42"/>
      <c r="S3794" s="42"/>
      <c r="T3794" s="42"/>
      <c r="U3794" s="42"/>
      <c r="V3794" s="42"/>
      <c r="W3794" s="42"/>
    </row>
    <row r="3795">
      <c r="A3795" s="9"/>
      <c r="B3795" s="9"/>
      <c r="C3795" s="9"/>
      <c r="D3795" s="42"/>
      <c r="E3795" s="103"/>
      <c r="F3795" s="42"/>
      <c r="G3795" s="9"/>
      <c r="H3795" s="9"/>
      <c r="I3795" s="9"/>
      <c r="J3795" s="9"/>
      <c r="K3795" s="42"/>
      <c r="L3795" s="42"/>
      <c r="M3795" s="42"/>
      <c r="N3795" s="42"/>
      <c r="O3795" s="42"/>
      <c r="P3795" s="9"/>
      <c r="Q3795" s="9"/>
      <c r="R3795" s="42"/>
      <c r="S3795" s="42"/>
      <c r="T3795" s="42"/>
      <c r="U3795" s="42"/>
      <c r="V3795" s="42"/>
      <c r="W3795" s="42"/>
    </row>
    <row r="3796">
      <c r="A3796" s="9"/>
      <c r="B3796" s="9"/>
      <c r="C3796" s="9"/>
      <c r="D3796" s="42"/>
      <c r="E3796" s="103"/>
      <c r="F3796" s="42"/>
      <c r="G3796" s="9"/>
      <c r="H3796" s="9"/>
      <c r="I3796" s="9"/>
      <c r="J3796" s="9"/>
      <c r="K3796" s="42"/>
      <c r="L3796" s="42"/>
      <c r="M3796" s="42"/>
      <c r="N3796" s="42"/>
      <c r="O3796" s="42"/>
      <c r="P3796" s="9"/>
      <c r="Q3796" s="9"/>
      <c r="R3796" s="42"/>
      <c r="S3796" s="42"/>
      <c r="T3796" s="42"/>
      <c r="U3796" s="42"/>
      <c r="V3796" s="42"/>
      <c r="W3796" s="42"/>
    </row>
    <row r="3797">
      <c r="A3797" s="9"/>
      <c r="B3797" s="9"/>
      <c r="C3797" s="9"/>
      <c r="D3797" s="42"/>
      <c r="E3797" s="103"/>
      <c r="F3797" s="42"/>
      <c r="G3797" s="9"/>
      <c r="H3797" s="9"/>
      <c r="I3797" s="9"/>
      <c r="J3797" s="9"/>
      <c r="K3797" s="42"/>
      <c r="L3797" s="42"/>
      <c r="M3797" s="42"/>
      <c r="N3797" s="42"/>
      <c r="O3797" s="42"/>
      <c r="P3797" s="9"/>
      <c r="Q3797" s="9"/>
      <c r="R3797" s="42"/>
      <c r="S3797" s="42"/>
      <c r="T3797" s="42"/>
      <c r="U3797" s="42"/>
      <c r="V3797" s="42"/>
      <c r="W3797" s="42"/>
    </row>
    <row r="3798">
      <c r="A3798" s="9"/>
      <c r="B3798" s="9"/>
      <c r="C3798" s="9"/>
      <c r="D3798" s="42"/>
      <c r="E3798" s="103"/>
      <c r="F3798" s="42"/>
      <c r="G3798" s="9"/>
      <c r="H3798" s="9"/>
      <c r="I3798" s="9"/>
      <c r="J3798" s="9"/>
      <c r="K3798" s="42"/>
      <c r="L3798" s="42"/>
      <c r="M3798" s="42"/>
      <c r="N3798" s="42"/>
      <c r="O3798" s="42"/>
      <c r="P3798" s="9"/>
      <c r="Q3798" s="9"/>
      <c r="R3798" s="42"/>
      <c r="S3798" s="42"/>
      <c r="T3798" s="42"/>
      <c r="U3798" s="42"/>
      <c r="V3798" s="42"/>
      <c r="W3798" s="42"/>
    </row>
    <row r="3799">
      <c r="A3799" s="9"/>
      <c r="B3799" s="9"/>
      <c r="C3799" s="9"/>
      <c r="D3799" s="42"/>
      <c r="E3799" s="103"/>
      <c r="F3799" s="42"/>
      <c r="G3799" s="9"/>
      <c r="H3799" s="9"/>
      <c r="I3799" s="9"/>
      <c r="J3799" s="9"/>
      <c r="K3799" s="42"/>
      <c r="L3799" s="42"/>
      <c r="M3799" s="42"/>
      <c r="N3799" s="42"/>
      <c r="O3799" s="42"/>
      <c r="P3799" s="9"/>
      <c r="Q3799" s="9"/>
      <c r="R3799" s="42"/>
      <c r="S3799" s="42"/>
      <c r="T3799" s="42"/>
      <c r="U3799" s="42"/>
      <c r="V3799" s="42"/>
      <c r="W3799" s="42"/>
    </row>
    <row r="3800">
      <c r="A3800" s="9"/>
      <c r="B3800" s="9"/>
      <c r="C3800" s="9"/>
      <c r="D3800" s="42"/>
      <c r="E3800" s="103"/>
      <c r="F3800" s="42"/>
      <c r="G3800" s="9"/>
      <c r="H3800" s="9"/>
      <c r="I3800" s="9"/>
      <c r="J3800" s="9"/>
      <c r="K3800" s="42"/>
      <c r="L3800" s="42"/>
      <c r="M3800" s="42"/>
      <c r="N3800" s="42"/>
      <c r="O3800" s="42"/>
      <c r="P3800" s="9"/>
      <c r="Q3800" s="9"/>
      <c r="R3800" s="42"/>
      <c r="S3800" s="42"/>
      <c r="T3800" s="42"/>
      <c r="U3800" s="42"/>
      <c r="V3800" s="42"/>
      <c r="W3800" s="42"/>
    </row>
    <row r="3801">
      <c r="A3801" s="9"/>
      <c r="B3801" s="9"/>
      <c r="C3801" s="9"/>
      <c r="D3801" s="42"/>
      <c r="E3801" s="103"/>
      <c r="F3801" s="42"/>
      <c r="G3801" s="9"/>
      <c r="H3801" s="9"/>
      <c r="I3801" s="9"/>
      <c r="J3801" s="9"/>
      <c r="K3801" s="42"/>
      <c r="L3801" s="42"/>
      <c r="M3801" s="42"/>
      <c r="N3801" s="42"/>
      <c r="O3801" s="42"/>
      <c r="P3801" s="9"/>
      <c r="Q3801" s="9"/>
      <c r="R3801" s="42"/>
      <c r="S3801" s="42"/>
      <c r="T3801" s="42"/>
      <c r="U3801" s="42"/>
      <c r="V3801" s="42"/>
      <c r="W3801" s="42"/>
    </row>
    <row r="3802">
      <c r="A3802" s="9"/>
      <c r="B3802" s="9"/>
      <c r="C3802" s="9"/>
      <c r="D3802" s="42"/>
      <c r="E3802" s="103"/>
      <c r="F3802" s="42"/>
      <c r="G3802" s="9"/>
      <c r="H3802" s="9"/>
      <c r="I3802" s="9"/>
      <c r="J3802" s="9"/>
      <c r="K3802" s="42"/>
      <c r="L3802" s="42"/>
      <c r="M3802" s="42"/>
      <c r="N3802" s="42"/>
      <c r="O3802" s="42"/>
      <c r="P3802" s="9"/>
      <c r="Q3802" s="9"/>
      <c r="R3802" s="42"/>
      <c r="S3802" s="42"/>
      <c r="T3802" s="42"/>
      <c r="U3802" s="42"/>
      <c r="V3802" s="42"/>
      <c r="W3802" s="42"/>
    </row>
    <row r="3803">
      <c r="A3803" s="9"/>
      <c r="B3803" s="9"/>
      <c r="C3803" s="9"/>
      <c r="D3803" s="42"/>
      <c r="E3803" s="103"/>
      <c r="F3803" s="42"/>
      <c r="G3803" s="9"/>
      <c r="H3803" s="9"/>
      <c r="I3803" s="9"/>
      <c r="J3803" s="9"/>
      <c r="K3803" s="42"/>
      <c r="L3803" s="42"/>
      <c r="M3803" s="42"/>
      <c r="N3803" s="42"/>
      <c r="O3803" s="42"/>
      <c r="P3803" s="9"/>
      <c r="Q3803" s="9"/>
      <c r="R3803" s="42"/>
      <c r="S3803" s="42"/>
      <c r="T3803" s="42"/>
      <c r="U3803" s="42"/>
      <c r="V3803" s="42"/>
      <c r="W3803" s="42"/>
    </row>
    <row r="3804">
      <c r="A3804" s="9"/>
      <c r="B3804" s="9"/>
      <c r="C3804" s="9"/>
      <c r="D3804" s="42"/>
      <c r="E3804" s="103"/>
      <c r="F3804" s="42"/>
      <c r="G3804" s="9"/>
      <c r="H3804" s="9"/>
      <c r="I3804" s="9"/>
      <c r="J3804" s="9"/>
      <c r="K3804" s="42"/>
      <c r="L3804" s="42"/>
      <c r="M3804" s="42"/>
      <c r="N3804" s="42"/>
      <c r="O3804" s="42"/>
      <c r="P3804" s="9"/>
      <c r="Q3804" s="9"/>
      <c r="R3804" s="42"/>
      <c r="S3804" s="42"/>
      <c r="T3804" s="42"/>
      <c r="U3804" s="42"/>
      <c r="V3804" s="42"/>
      <c r="W3804" s="42"/>
    </row>
    <row r="3805">
      <c r="A3805" s="9"/>
      <c r="B3805" s="9"/>
      <c r="C3805" s="9"/>
      <c r="D3805" s="42"/>
      <c r="E3805" s="103"/>
      <c r="F3805" s="42"/>
      <c r="G3805" s="9"/>
      <c r="H3805" s="9"/>
      <c r="I3805" s="9"/>
      <c r="J3805" s="9"/>
      <c r="K3805" s="42"/>
      <c r="L3805" s="42"/>
      <c r="M3805" s="42"/>
      <c r="N3805" s="42"/>
      <c r="O3805" s="42"/>
      <c r="P3805" s="9"/>
      <c r="Q3805" s="9"/>
      <c r="R3805" s="42"/>
      <c r="S3805" s="42"/>
      <c r="T3805" s="42"/>
      <c r="U3805" s="42"/>
      <c r="V3805" s="42"/>
      <c r="W3805" s="42"/>
    </row>
    <row r="3806">
      <c r="A3806" s="9"/>
      <c r="B3806" s="9"/>
      <c r="C3806" s="9"/>
      <c r="D3806" s="42"/>
      <c r="E3806" s="103"/>
      <c r="F3806" s="42"/>
      <c r="G3806" s="9"/>
      <c r="H3806" s="9"/>
      <c r="I3806" s="9"/>
      <c r="J3806" s="9"/>
      <c r="K3806" s="42"/>
      <c r="L3806" s="42"/>
      <c r="M3806" s="42"/>
      <c r="N3806" s="42"/>
      <c r="O3806" s="42"/>
      <c r="P3806" s="9"/>
      <c r="Q3806" s="9"/>
      <c r="R3806" s="42"/>
      <c r="S3806" s="42"/>
      <c r="T3806" s="42"/>
      <c r="U3806" s="42"/>
      <c r="V3806" s="42"/>
      <c r="W3806" s="42"/>
    </row>
    <row r="3807">
      <c r="A3807" s="9"/>
      <c r="B3807" s="9"/>
      <c r="C3807" s="9"/>
      <c r="D3807" s="42"/>
      <c r="E3807" s="103"/>
      <c r="F3807" s="42"/>
      <c r="G3807" s="9"/>
      <c r="H3807" s="9"/>
      <c r="I3807" s="9"/>
      <c r="J3807" s="9"/>
      <c r="K3807" s="42"/>
      <c r="L3807" s="42"/>
      <c r="M3807" s="42"/>
      <c r="N3807" s="42"/>
      <c r="O3807" s="42"/>
      <c r="P3807" s="9"/>
      <c r="Q3807" s="9"/>
      <c r="R3807" s="42"/>
      <c r="S3807" s="42"/>
      <c r="T3807" s="42"/>
      <c r="U3807" s="42"/>
      <c r="V3807" s="42"/>
      <c r="W3807" s="42"/>
    </row>
    <row r="3808">
      <c r="A3808" s="9"/>
      <c r="B3808" s="9"/>
      <c r="C3808" s="9"/>
      <c r="D3808" s="42"/>
      <c r="E3808" s="103"/>
      <c r="F3808" s="42"/>
      <c r="G3808" s="9"/>
      <c r="H3808" s="9"/>
      <c r="I3808" s="9"/>
      <c r="J3808" s="9"/>
      <c r="K3808" s="42"/>
      <c r="L3808" s="42"/>
      <c r="M3808" s="42"/>
      <c r="N3808" s="42"/>
      <c r="O3808" s="42"/>
      <c r="P3808" s="9"/>
      <c r="Q3808" s="9"/>
      <c r="R3808" s="42"/>
      <c r="S3808" s="42"/>
      <c r="T3808" s="42"/>
      <c r="U3808" s="42"/>
      <c r="V3808" s="42"/>
      <c r="W3808" s="42"/>
    </row>
    <row r="3809">
      <c r="A3809" s="9"/>
      <c r="B3809" s="9"/>
      <c r="C3809" s="9"/>
      <c r="D3809" s="42"/>
      <c r="E3809" s="103"/>
      <c r="F3809" s="42"/>
      <c r="G3809" s="9"/>
      <c r="H3809" s="9"/>
      <c r="I3809" s="9"/>
      <c r="J3809" s="9"/>
      <c r="K3809" s="42"/>
      <c r="L3809" s="42"/>
      <c r="M3809" s="42"/>
      <c r="N3809" s="42"/>
      <c r="O3809" s="42"/>
      <c r="P3809" s="9"/>
      <c r="Q3809" s="9"/>
      <c r="R3809" s="42"/>
      <c r="S3809" s="42"/>
      <c r="T3809" s="42"/>
      <c r="U3809" s="42"/>
      <c r="V3809" s="42"/>
      <c r="W3809" s="42"/>
    </row>
    <row r="3810">
      <c r="A3810" s="9"/>
      <c r="B3810" s="9"/>
      <c r="C3810" s="9"/>
      <c r="D3810" s="42"/>
      <c r="E3810" s="103"/>
      <c r="F3810" s="42"/>
      <c r="G3810" s="9"/>
      <c r="H3810" s="9"/>
      <c r="I3810" s="9"/>
      <c r="J3810" s="9"/>
      <c r="K3810" s="42"/>
      <c r="L3810" s="42"/>
      <c r="M3810" s="42"/>
      <c r="N3810" s="42"/>
      <c r="O3810" s="42"/>
      <c r="P3810" s="9"/>
      <c r="Q3810" s="9"/>
      <c r="R3810" s="42"/>
      <c r="S3810" s="42"/>
      <c r="T3810" s="42"/>
      <c r="U3810" s="42"/>
      <c r="V3810" s="42"/>
      <c r="W3810" s="42"/>
    </row>
    <row r="3811">
      <c r="A3811" s="9"/>
      <c r="B3811" s="9"/>
      <c r="C3811" s="9"/>
      <c r="D3811" s="42"/>
      <c r="E3811" s="103"/>
      <c r="F3811" s="42"/>
      <c r="G3811" s="9"/>
      <c r="H3811" s="9"/>
      <c r="I3811" s="9"/>
      <c r="J3811" s="9"/>
      <c r="K3811" s="42"/>
      <c r="L3811" s="42"/>
      <c r="M3811" s="42"/>
      <c r="N3811" s="42"/>
      <c r="O3811" s="42"/>
      <c r="P3811" s="9"/>
      <c r="Q3811" s="9"/>
      <c r="R3811" s="42"/>
      <c r="S3811" s="42"/>
      <c r="T3811" s="42"/>
      <c r="U3811" s="42"/>
      <c r="V3811" s="42"/>
      <c r="W3811" s="42"/>
    </row>
    <row r="3812">
      <c r="A3812" s="9"/>
      <c r="B3812" s="9"/>
      <c r="C3812" s="9"/>
      <c r="D3812" s="42"/>
      <c r="E3812" s="103"/>
      <c r="F3812" s="42"/>
      <c r="G3812" s="9"/>
      <c r="H3812" s="9"/>
      <c r="I3812" s="9"/>
      <c r="J3812" s="9"/>
      <c r="K3812" s="42"/>
      <c r="L3812" s="42"/>
      <c r="M3812" s="42"/>
      <c r="N3812" s="42"/>
      <c r="O3812" s="42"/>
      <c r="P3812" s="9"/>
      <c r="Q3812" s="9"/>
      <c r="R3812" s="42"/>
      <c r="S3812" s="42"/>
      <c r="T3812" s="42"/>
      <c r="U3812" s="42"/>
      <c r="V3812" s="42"/>
      <c r="W3812" s="42"/>
    </row>
    <row r="3813">
      <c r="A3813" s="9"/>
      <c r="B3813" s="9"/>
      <c r="C3813" s="9"/>
      <c r="D3813" s="42"/>
      <c r="E3813" s="103"/>
      <c r="F3813" s="42"/>
      <c r="G3813" s="9"/>
      <c r="H3813" s="9"/>
      <c r="I3813" s="9"/>
      <c r="J3813" s="9"/>
      <c r="K3813" s="42"/>
      <c r="L3813" s="42"/>
      <c r="M3813" s="42"/>
      <c r="N3813" s="42"/>
      <c r="O3813" s="42"/>
      <c r="P3813" s="9"/>
      <c r="Q3813" s="9"/>
      <c r="R3813" s="42"/>
      <c r="S3813" s="42"/>
      <c r="T3813" s="42"/>
      <c r="U3813" s="42"/>
      <c r="V3813" s="42"/>
      <c r="W3813" s="42"/>
    </row>
    <row r="3814">
      <c r="A3814" s="9"/>
      <c r="B3814" s="9"/>
      <c r="C3814" s="9"/>
      <c r="D3814" s="42"/>
      <c r="E3814" s="103"/>
      <c r="F3814" s="42"/>
      <c r="G3814" s="9"/>
      <c r="H3814" s="9"/>
      <c r="I3814" s="9"/>
      <c r="J3814" s="9"/>
      <c r="K3814" s="42"/>
      <c r="L3814" s="42"/>
      <c r="M3814" s="42"/>
      <c r="N3814" s="42"/>
      <c r="O3814" s="42"/>
      <c r="P3814" s="9"/>
      <c r="Q3814" s="9"/>
      <c r="R3814" s="42"/>
      <c r="S3814" s="42"/>
      <c r="T3814" s="42"/>
      <c r="U3814" s="42"/>
      <c r="V3814" s="42"/>
      <c r="W3814" s="42"/>
    </row>
    <row r="3815">
      <c r="A3815" s="9"/>
      <c r="B3815" s="9"/>
      <c r="C3815" s="9"/>
      <c r="D3815" s="42"/>
      <c r="E3815" s="103"/>
      <c r="F3815" s="42"/>
      <c r="G3815" s="9"/>
      <c r="H3815" s="9"/>
      <c r="I3815" s="9"/>
      <c r="J3815" s="9"/>
      <c r="K3815" s="42"/>
      <c r="L3815" s="42"/>
      <c r="M3815" s="42"/>
      <c r="N3815" s="42"/>
      <c r="O3815" s="42"/>
      <c r="P3815" s="9"/>
      <c r="Q3815" s="9"/>
      <c r="R3815" s="42"/>
      <c r="S3815" s="42"/>
      <c r="T3815" s="42"/>
      <c r="U3815" s="42"/>
      <c r="V3815" s="42"/>
      <c r="W3815" s="42"/>
    </row>
    <row r="3816">
      <c r="A3816" s="9"/>
      <c r="B3816" s="9"/>
      <c r="C3816" s="9"/>
      <c r="D3816" s="42"/>
      <c r="E3816" s="103"/>
      <c r="F3816" s="42"/>
      <c r="G3816" s="9"/>
      <c r="H3816" s="9"/>
      <c r="I3816" s="9"/>
      <c r="J3816" s="9"/>
      <c r="K3816" s="42"/>
      <c r="L3816" s="42"/>
      <c r="M3816" s="42"/>
      <c r="N3816" s="42"/>
      <c r="O3816" s="42"/>
      <c r="P3816" s="9"/>
      <c r="Q3816" s="9"/>
      <c r="R3816" s="42"/>
      <c r="S3816" s="42"/>
      <c r="T3816" s="42"/>
      <c r="U3816" s="42"/>
      <c r="V3816" s="42"/>
      <c r="W3816" s="42"/>
    </row>
    <row r="3817">
      <c r="A3817" s="9"/>
      <c r="B3817" s="9"/>
      <c r="C3817" s="9"/>
      <c r="D3817" s="42"/>
      <c r="E3817" s="103"/>
      <c r="F3817" s="42"/>
      <c r="G3817" s="9"/>
      <c r="H3817" s="9"/>
      <c r="I3817" s="9"/>
      <c r="J3817" s="9"/>
      <c r="K3817" s="42"/>
      <c r="L3817" s="42"/>
      <c r="M3817" s="42"/>
      <c r="N3817" s="42"/>
      <c r="O3817" s="42"/>
      <c r="P3817" s="9"/>
      <c r="Q3817" s="9"/>
      <c r="R3817" s="42"/>
      <c r="S3817" s="42"/>
      <c r="T3817" s="42"/>
      <c r="U3817" s="42"/>
      <c r="V3817" s="42"/>
      <c r="W3817" s="42"/>
    </row>
    <row r="3818">
      <c r="A3818" s="9"/>
      <c r="B3818" s="9"/>
      <c r="C3818" s="9"/>
      <c r="D3818" s="42"/>
      <c r="E3818" s="103"/>
      <c r="F3818" s="42"/>
      <c r="G3818" s="9"/>
      <c r="H3818" s="9"/>
      <c r="I3818" s="9"/>
      <c r="J3818" s="9"/>
      <c r="K3818" s="42"/>
      <c r="L3818" s="42"/>
      <c r="M3818" s="42"/>
      <c r="N3818" s="42"/>
      <c r="O3818" s="42"/>
      <c r="P3818" s="9"/>
      <c r="Q3818" s="9"/>
      <c r="R3818" s="42"/>
      <c r="S3818" s="42"/>
      <c r="T3818" s="42"/>
      <c r="U3818" s="42"/>
      <c r="V3818" s="42"/>
      <c r="W3818" s="42"/>
    </row>
    <row r="3819">
      <c r="A3819" s="9"/>
      <c r="B3819" s="9"/>
      <c r="C3819" s="9"/>
      <c r="D3819" s="42"/>
      <c r="E3819" s="103"/>
      <c r="F3819" s="42"/>
      <c r="G3819" s="9"/>
      <c r="H3819" s="9"/>
      <c r="I3819" s="9"/>
      <c r="J3819" s="9"/>
      <c r="K3819" s="42"/>
      <c r="L3819" s="42"/>
      <c r="M3819" s="42"/>
      <c r="N3819" s="42"/>
      <c r="O3819" s="42"/>
      <c r="P3819" s="9"/>
      <c r="Q3819" s="9"/>
      <c r="R3819" s="42"/>
      <c r="S3819" s="42"/>
      <c r="T3819" s="42"/>
      <c r="U3819" s="42"/>
      <c r="V3819" s="42"/>
      <c r="W3819" s="42"/>
    </row>
    <row r="3820">
      <c r="A3820" s="9"/>
      <c r="B3820" s="9"/>
      <c r="C3820" s="9"/>
      <c r="D3820" s="42"/>
      <c r="E3820" s="103"/>
      <c r="F3820" s="42"/>
      <c r="G3820" s="9"/>
      <c r="H3820" s="9"/>
      <c r="I3820" s="9"/>
      <c r="J3820" s="9"/>
      <c r="K3820" s="42"/>
      <c r="L3820" s="42"/>
      <c r="M3820" s="42"/>
      <c r="N3820" s="42"/>
      <c r="O3820" s="42"/>
      <c r="P3820" s="9"/>
      <c r="Q3820" s="9"/>
      <c r="R3820" s="42"/>
      <c r="S3820" s="42"/>
      <c r="T3820" s="42"/>
      <c r="U3820" s="42"/>
      <c r="V3820" s="42"/>
      <c r="W3820" s="42"/>
    </row>
    <row r="3821">
      <c r="A3821" s="9"/>
      <c r="B3821" s="9"/>
      <c r="C3821" s="9"/>
      <c r="D3821" s="42"/>
      <c r="E3821" s="103"/>
      <c r="F3821" s="42"/>
      <c r="G3821" s="9"/>
      <c r="H3821" s="9"/>
      <c r="I3821" s="9"/>
      <c r="J3821" s="9"/>
      <c r="K3821" s="42"/>
      <c r="L3821" s="42"/>
      <c r="M3821" s="42"/>
      <c r="N3821" s="42"/>
      <c r="O3821" s="42"/>
      <c r="P3821" s="9"/>
      <c r="Q3821" s="9"/>
      <c r="R3821" s="42"/>
      <c r="S3821" s="42"/>
      <c r="T3821" s="42"/>
      <c r="U3821" s="42"/>
      <c r="V3821" s="42"/>
      <c r="W3821" s="42"/>
    </row>
    <row r="3822">
      <c r="A3822" s="9"/>
      <c r="B3822" s="9"/>
      <c r="C3822" s="9"/>
      <c r="D3822" s="42"/>
      <c r="E3822" s="103"/>
      <c r="F3822" s="42"/>
      <c r="G3822" s="9"/>
      <c r="H3822" s="9"/>
      <c r="I3822" s="9"/>
      <c r="J3822" s="9"/>
      <c r="K3822" s="42"/>
      <c r="L3822" s="42"/>
      <c r="M3822" s="42"/>
      <c r="N3822" s="42"/>
      <c r="O3822" s="42"/>
      <c r="P3822" s="9"/>
      <c r="Q3822" s="9"/>
      <c r="R3822" s="42"/>
      <c r="S3822" s="42"/>
      <c r="T3822" s="42"/>
      <c r="U3822" s="42"/>
      <c r="V3822" s="42"/>
      <c r="W3822" s="42"/>
    </row>
    <row r="3823">
      <c r="A3823" s="9"/>
      <c r="B3823" s="9"/>
      <c r="C3823" s="9"/>
      <c r="D3823" s="42"/>
      <c r="E3823" s="103"/>
      <c r="F3823" s="42"/>
      <c r="G3823" s="9"/>
      <c r="H3823" s="9"/>
      <c r="I3823" s="9"/>
      <c r="J3823" s="9"/>
      <c r="K3823" s="42"/>
      <c r="L3823" s="42"/>
      <c r="M3823" s="42"/>
      <c r="N3823" s="42"/>
      <c r="O3823" s="42"/>
      <c r="P3823" s="9"/>
      <c r="Q3823" s="9"/>
      <c r="R3823" s="42"/>
      <c r="S3823" s="42"/>
      <c r="T3823" s="42"/>
      <c r="U3823" s="42"/>
      <c r="V3823" s="42"/>
      <c r="W3823" s="42"/>
    </row>
    <row r="3824">
      <c r="A3824" s="9"/>
      <c r="B3824" s="9"/>
      <c r="C3824" s="9"/>
      <c r="D3824" s="42"/>
      <c r="E3824" s="103"/>
      <c r="F3824" s="42"/>
      <c r="G3824" s="9"/>
      <c r="H3824" s="9"/>
      <c r="I3824" s="9"/>
      <c r="J3824" s="9"/>
      <c r="K3824" s="42"/>
      <c r="L3824" s="42"/>
      <c r="M3824" s="42"/>
      <c r="N3824" s="42"/>
      <c r="O3824" s="42"/>
      <c r="P3824" s="9"/>
      <c r="Q3824" s="9"/>
      <c r="R3824" s="42"/>
      <c r="S3824" s="42"/>
      <c r="T3824" s="42"/>
      <c r="U3824" s="42"/>
      <c r="V3824" s="42"/>
      <c r="W3824" s="42"/>
    </row>
    <row r="3825">
      <c r="A3825" s="9"/>
      <c r="B3825" s="9"/>
      <c r="C3825" s="9"/>
      <c r="D3825" s="42"/>
      <c r="E3825" s="103"/>
      <c r="F3825" s="42"/>
      <c r="G3825" s="9"/>
      <c r="H3825" s="9"/>
      <c r="I3825" s="9"/>
      <c r="J3825" s="9"/>
      <c r="K3825" s="42"/>
      <c r="L3825" s="42"/>
      <c r="M3825" s="42"/>
      <c r="N3825" s="42"/>
      <c r="O3825" s="42"/>
      <c r="P3825" s="9"/>
      <c r="Q3825" s="9"/>
      <c r="R3825" s="42"/>
      <c r="S3825" s="42"/>
      <c r="T3825" s="42"/>
      <c r="U3825" s="42"/>
      <c r="V3825" s="42"/>
      <c r="W3825" s="42"/>
    </row>
    <row r="3826">
      <c r="A3826" s="9"/>
      <c r="B3826" s="9"/>
      <c r="C3826" s="9"/>
      <c r="D3826" s="42"/>
      <c r="E3826" s="103"/>
      <c r="F3826" s="42"/>
      <c r="G3826" s="9"/>
      <c r="H3826" s="9"/>
      <c r="I3826" s="9"/>
      <c r="J3826" s="9"/>
      <c r="K3826" s="42"/>
      <c r="L3826" s="42"/>
      <c r="M3826" s="42"/>
      <c r="N3826" s="42"/>
      <c r="O3826" s="42"/>
      <c r="P3826" s="9"/>
      <c r="Q3826" s="9"/>
      <c r="R3826" s="42"/>
      <c r="S3826" s="42"/>
      <c r="T3826" s="42"/>
      <c r="U3826" s="42"/>
      <c r="V3826" s="42"/>
      <c r="W3826" s="42"/>
    </row>
    <row r="3827">
      <c r="A3827" s="9"/>
      <c r="B3827" s="9"/>
      <c r="C3827" s="9"/>
      <c r="D3827" s="42"/>
      <c r="E3827" s="103"/>
      <c r="F3827" s="42"/>
      <c r="G3827" s="9"/>
      <c r="H3827" s="9"/>
      <c r="I3827" s="9"/>
      <c r="J3827" s="9"/>
      <c r="K3827" s="42"/>
      <c r="L3827" s="42"/>
      <c r="M3827" s="42"/>
      <c r="N3827" s="42"/>
      <c r="O3827" s="42"/>
      <c r="P3827" s="9"/>
      <c r="Q3827" s="9"/>
      <c r="R3827" s="42"/>
      <c r="S3827" s="42"/>
      <c r="T3827" s="42"/>
      <c r="U3827" s="42"/>
      <c r="V3827" s="42"/>
      <c r="W3827" s="42"/>
    </row>
    <row r="3828">
      <c r="A3828" s="9"/>
      <c r="B3828" s="9"/>
      <c r="C3828" s="9"/>
      <c r="D3828" s="42"/>
      <c r="E3828" s="103"/>
      <c r="F3828" s="42"/>
      <c r="G3828" s="9"/>
      <c r="H3828" s="9"/>
      <c r="I3828" s="9"/>
      <c r="J3828" s="9"/>
      <c r="K3828" s="42"/>
      <c r="L3828" s="42"/>
      <c r="M3828" s="42"/>
      <c r="N3828" s="42"/>
      <c r="O3828" s="42"/>
      <c r="P3828" s="9"/>
      <c r="Q3828" s="9"/>
      <c r="R3828" s="42"/>
      <c r="S3828" s="42"/>
      <c r="T3828" s="42"/>
      <c r="U3828" s="42"/>
      <c r="V3828" s="42"/>
      <c r="W3828" s="42"/>
    </row>
    <row r="3829">
      <c r="A3829" s="9"/>
      <c r="B3829" s="9"/>
      <c r="C3829" s="9"/>
      <c r="D3829" s="42"/>
      <c r="E3829" s="103"/>
      <c r="F3829" s="42"/>
      <c r="G3829" s="9"/>
      <c r="H3829" s="9"/>
      <c r="I3829" s="9"/>
      <c r="J3829" s="9"/>
      <c r="K3829" s="42"/>
      <c r="L3829" s="42"/>
      <c r="M3829" s="42"/>
      <c r="N3829" s="42"/>
      <c r="O3829" s="42"/>
      <c r="P3829" s="9"/>
      <c r="Q3829" s="9"/>
      <c r="R3829" s="42"/>
      <c r="S3829" s="42"/>
      <c r="T3829" s="42"/>
      <c r="U3829" s="42"/>
      <c r="V3829" s="42"/>
      <c r="W3829" s="42"/>
    </row>
    <row r="3830">
      <c r="A3830" s="9"/>
      <c r="B3830" s="9"/>
      <c r="C3830" s="9"/>
      <c r="D3830" s="42"/>
      <c r="E3830" s="103"/>
      <c r="F3830" s="42"/>
      <c r="G3830" s="9"/>
      <c r="H3830" s="9"/>
      <c r="I3830" s="9"/>
      <c r="J3830" s="9"/>
      <c r="K3830" s="42"/>
      <c r="L3830" s="42"/>
      <c r="M3830" s="42"/>
      <c r="N3830" s="42"/>
      <c r="O3830" s="42"/>
      <c r="P3830" s="9"/>
      <c r="Q3830" s="9"/>
      <c r="R3830" s="42"/>
      <c r="S3830" s="42"/>
      <c r="T3830" s="42"/>
      <c r="U3830" s="42"/>
      <c r="V3830" s="42"/>
      <c r="W3830" s="42"/>
    </row>
    <row r="3831">
      <c r="A3831" s="9"/>
      <c r="B3831" s="9"/>
      <c r="C3831" s="9"/>
      <c r="D3831" s="42"/>
      <c r="E3831" s="103"/>
      <c r="F3831" s="42"/>
      <c r="G3831" s="9"/>
      <c r="H3831" s="9"/>
      <c r="I3831" s="9"/>
      <c r="J3831" s="9"/>
      <c r="K3831" s="42"/>
      <c r="L3831" s="42"/>
      <c r="M3831" s="42"/>
      <c r="N3831" s="42"/>
      <c r="O3831" s="42"/>
      <c r="P3831" s="9"/>
      <c r="Q3831" s="9"/>
      <c r="R3831" s="42"/>
      <c r="S3831" s="42"/>
      <c r="T3831" s="42"/>
      <c r="U3831" s="42"/>
      <c r="V3831" s="42"/>
      <c r="W3831" s="42"/>
    </row>
    <row r="3832">
      <c r="A3832" s="9"/>
      <c r="B3832" s="9"/>
      <c r="C3832" s="9"/>
      <c r="D3832" s="42"/>
      <c r="E3832" s="103"/>
      <c r="F3832" s="42"/>
      <c r="G3832" s="9"/>
      <c r="H3832" s="9"/>
      <c r="I3832" s="9"/>
      <c r="J3832" s="9"/>
      <c r="K3832" s="42"/>
      <c r="L3832" s="42"/>
      <c r="M3832" s="42"/>
      <c r="N3832" s="42"/>
      <c r="O3832" s="42"/>
      <c r="P3832" s="9"/>
      <c r="Q3832" s="9"/>
      <c r="R3832" s="42"/>
      <c r="S3832" s="42"/>
      <c r="T3832" s="42"/>
      <c r="U3832" s="42"/>
      <c r="V3832" s="42"/>
      <c r="W3832" s="42"/>
    </row>
    <row r="3833">
      <c r="A3833" s="9"/>
      <c r="B3833" s="9"/>
      <c r="C3833" s="9"/>
      <c r="D3833" s="42"/>
      <c r="E3833" s="103"/>
      <c r="F3833" s="42"/>
      <c r="G3833" s="9"/>
      <c r="H3833" s="9"/>
      <c r="I3833" s="9"/>
      <c r="J3833" s="9"/>
      <c r="K3833" s="42"/>
      <c r="L3833" s="42"/>
      <c r="M3833" s="42"/>
      <c r="N3833" s="42"/>
      <c r="O3833" s="42"/>
      <c r="P3833" s="9"/>
      <c r="Q3833" s="9"/>
      <c r="R3833" s="42"/>
      <c r="S3833" s="42"/>
      <c r="T3833" s="42"/>
      <c r="U3833" s="42"/>
      <c r="V3833" s="42"/>
      <c r="W3833" s="42"/>
    </row>
    <row r="3834">
      <c r="A3834" s="9"/>
      <c r="B3834" s="9"/>
      <c r="C3834" s="9"/>
      <c r="D3834" s="42"/>
      <c r="E3834" s="103"/>
      <c r="F3834" s="42"/>
      <c r="G3834" s="9"/>
      <c r="H3834" s="9"/>
      <c r="I3834" s="9"/>
      <c r="J3834" s="9"/>
      <c r="K3834" s="42"/>
      <c r="L3834" s="42"/>
      <c r="M3834" s="42"/>
      <c r="N3834" s="42"/>
      <c r="O3834" s="42"/>
      <c r="P3834" s="9"/>
      <c r="Q3834" s="9"/>
      <c r="R3834" s="42"/>
      <c r="S3834" s="42"/>
      <c r="T3834" s="42"/>
      <c r="U3834" s="42"/>
      <c r="V3834" s="42"/>
      <c r="W3834" s="42"/>
    </row>
    <row r="3835">
      <c r="A3835" s="9"/>
      <c r="B3835" s="9"/>
      <c r="C3835" s="9"/>
      <c r="D3835" s="42"/>
      <c r="E3835" s="103"/>
      <c r="F3835" s="42"/>
      <c r="G3835" s="9"/>
      <c r="H3835" s="9"/>
      <c r="I3835" s="9"/>
      <c r="J3835" s="9"/>
      <c r="K3835" s="42"/>
      <c r="L3835" s="42"/>
      <c r="M3835" s="42"/>
      <c r="N3835" s="42"/>
      <c r="O3835" s="42"/>
      <c r="P3835" s="9"/>
      <c r="Q3835" s="9"/>
      <c r="R3835" s="42"/>
      <c r="S3835" s="42"/>
      <c r="T3835" s="42"/>
      <c r="U3835" s="42"/>
      <c r="V3835" s="42"/>
      <c r="W3835" s="42"/>
    </row>
    <row r="3836">
      <c r="A3836" s="9"/>
      <c r="B3836" s="9"/>
      <c r="C3836" s="9"/>
      <c r="D3836" s="42"/>
      <c r="E3836" s="103"/>
      <c r="F3836" s="42"/>
      <c r="G3836" s="9"/>
      <c r="H3836" s="9"/>
      <c r="I3836" s="9"/>
      <c r="J3836" s="9"/>
      <c r="K3836" s="42"/>
      <c r="L3836" s="42"/>
      <c r="M3836" s="42"/>
      <c r="N3836" s="42"/>
      <c r="O3836" s="42"/>
      <c r="P3836" s="9"/>
      <c r="Q3836" s="9"/>
      <c r="R3836" s="42"/>
      <c r="S3836" s="42"/>
      <c r="T3836" s="42"/>
      <c r="U3836" s="42"/>
      <c r="V3836" s="42"/>
      <c r="W3836" s="42"/>
    </row>
    <row r="3837">
      <c r="A3837" s="9"/>
      <c r="B3837" s="9"/>
      <c r="C3837" s="9"/>
      <c r="D3837" s="42"/>
      <c r="E3837" s="103"/>
      <c r="F3837" s="42"/>
      <c r="G3837" s="9"/>
      <c r="H3837" s="9"/>
      <c r="I3837" s="9"/>
      <c r="J3837" s="9"/>
      <c r="K3837" s="42"/>
      <c r="L3837" s="42"/>
      <c r="M3837" s="42"/>
      <c r="N3837" s="42"/>
      <c r="O3837" s="42"/>
      <c r="P3837" s="9"/>
      <c r="Q3837" s="9"/>
      <c r="R3837" s="42"/>
      <c r="S3837" s="42"/>
      <c r="T3837" s="42"/>
      <c r="U3837" s="42"/>
      <c r="V3837" s="42"/>
      <c r="W3837" s="42"/>
    </row>
    <row r="3838">
      <c r="A3838" s="9"/>
      <c r="B3838" s="9"/>
      <c r="C3838" s="9"/>
      <c r="D3838" s="42"/>
      <c r="E3838" s="103"/>
      <c r="F3838" s="42"/>
      <c r="G3838" s="9"/>
      <c r="H3838" s="9"/>
      <c r="I3838" s="9"/>
      <c r="J3838" s="9"/>
      <c r="K3838" s="42"/>
      <c r="L3838" s="42"/>
      <c r="M3838" s="42"/>
      <c r="N3838" s="42"/>
      <c r="O3838" s="42"/>
      <c r="P3838" s="9"/>
      <c r="Q3838" s="9"/>
      <c r="R3838" s="42"/>
      <c r="S3838" s="42"/>
      <c r="T3838" s="42"/>
      <c r="U3838" s="42"/>
      <c r="V3838" s="42"/>
      <c r="W3838" s="42"/>
    </row>
    <row r="3839">
      <c r="A3839" s="9"/>
      <c r="B3839" s="9"/>
      <c r="C3839" s="9"/>
      <c r="D3839" s="42"/>
      <c r="E3839" s="103"/>
      <c r="F3839" s="42"/>
      <c r="G3839" s="9"/>
      <c r="H3839" s="9"/>
      <c r="I3839" s="9"/>
      <c r="J3839" s="9"/>
      <c r="K3839" s="42"/>
      <c r="L3839" s="42"/>
      <c r="M3839" s="42"/>
      <c r="N3839" s="42"/>
      <c r="O3839" s="42"/>
      <c r="P3839" s="9"/>
      <c r="Q3839" s="9"/>
      <c r="R3839" s="42"/>
      <c r="S3839" s="42"/>
      <c r="T3839" s="42"/>
      <c r="U3839" s="42"/>
      <c r="V3839" s="42"/>
      <c r="W3839" s="42"/>
    </row>
    <row r="3840">
      <c r="A3840" s="9"/>
      <c r="B3840" s="9"/>
      <c r="C3840" s="9"/>
      <c r="D3840" s="42"/>
      <c r="E3840" s="103"/>
      <c r="F3840" s="42"/>
      <c r="G3840" s="9"/>
      <c r="H3840" s="9"/>
      <c r="I3840" s="9"/>
      <c r="J3840" s="9"/>
      <c r="K3840" s="42"/>
      <c r="L3840" s="42"/>
      <c r="M3840" s="42"/>
      <c r="N3840" s="42"/>
      <c r="O3840" s="42"/>
      <c r="P3840" s="9"/>
      <c r="Q3840" s="9"/>
      <c r="R3840" s="42"/>
      <c r="S3840" s="42"/>
      <c r="T3840" s="42"/>
      <c r="U3840" s="42"/>
      <c r="V3840" s="42"/>
      <c r="W3840" s="42"/>
    </row>
    <row r="3841">
      <c r="A3841" s="9"/>
      <c r="B3841" s="9"/>
      <c r="C3841" s="9"/>
      <c r="D3841" s="42"/>
      <c r="E3841" s="103"/>
      <c r="F3841" s="42"/>
      <c r="G3841" s="9"/>
      <c r="H3841" s="9"/>
      <c r="I3841" s="9"/>
      <c r="J3841" s="9"/>
      <c r="K3841" s="42"/>
      <c r="L3841" s="42"/>
      <c r="M3841" s="42"/>
      <c r="N3841" s="42"/>
      <c r="O3841" s="42"/>
      <c r="P3841" s="9"/>
      <c r="Q3841" s="9"/>
      <c r="R3841" s="42"/>
      <c r="S3841" s="42"/>
      <c r="T3841" s="42"/>
      <c r="U3841" s="42"/>
      <c r="V3841" s="42"/>
      <c r="W3841" s="42"/>
    </row>
    <row r="3842">
      <c r="A3842" s="9"/>
      <c r="B3842" s="9"/>
      <c r="C3842" s="9"/>
      <c r="D3842" s="42"/>
      <c r="E3842" s="103"/>
      <c r="F3842" s="42"/>
      <c r="G3842" s="9"/>
      <c r="H3842" s="9"/>
      <c r="I3842" s="9"/>
      <c r="J3842" s="9"/>
      <c r="K3842" s="42"/>
      <c r="L3842" s="42"/>
      <c r="M3842" s="42"/>
      <c r="N3842" s="42"/>
      <c r="O3842" s="42"/>
      <c r="P3842" s="9"/>
      <c r="Q3842" s="9"/>
      <c r="R3842" s="42"/>
      <c r="S3842" s="42"/>
      <c r="T3842" s="42"/>
      <c r="U3842" s="42"/>
      <c r="V3842" s="42"/>
      <c r="W3842" s="42"/>
    </row>
    <row r="3843">
      <c r="A3843" s="9"/>
      <c r="B3843" s="9"/>
      <c r="C3843" s="9"/>
      <c r="D3843" s="42"/>
      <c r="E3843" s="103"/>
      <c r="F3843" s="42"/>
      <c r="G3843" s="9"/>
      <c r="H3843" s="9"/>
      <c r="I3843" s="9"/>
      <c r="J3843" s="9"/>
      <c r="K3843" s="42"/>
      <c r="L3843" s="42"/>
      <c r="M3843" s="42"/>
      <c r="N3843" s="42"/>
      <c r="O3843" s="42"/>
      <c r="P3843" s="9"/>
      <c r="Q3843" s="9"/>
      <c r="R3843" s="42"/>
      <c r="S3843" s="42"/>
      <c r="T3843" s="42"/>
      <c r="U3843" s="42"/>
      <c r="V3843" s="42"/>
      <c r="W3843" s="42"/>
    </row>
    <row r="3844">
      <c r="A3844" s="9"/>
      <c r="B3844" s="9"/>
      <c r="C3844" s="9"/>
      <c r="D3844" s="42"/>
      <c r="E3844" s="103"/>
      <c r="F3844" s="42"/>
      <c r="G3844" s="9"/>
      <c r="H3844" s="9"/>
      <c r="I3844" s="9"/>
      <c r="J3844" s="9"/>
      <c r="K3844" s="42"/>
      <c r="L3844" s="42"/>
      <c r="M3844" s="42"/>
      <c r="N3844" s="42"/>
      <c r="O3844" s="42"/>
      <c r="P3844" s="9"/>
      <c r="Q3844" s="9"/>
      <c r="R3844" s="42"/>
      <c r="S3844" s="42"/>
      <c r="T3844" s="42"/>
      <c r="U3844" s="42"/>
      <c r="V3844" s="42"/>
      <c r="W3844" s="42"/>
    </row>
    <row r="3845">
      <c r="A3845" s="9"/>
      <c r="B3845" s="9"/>
      <c r="C3845" s="9"/>
      <c r="D3845" s="42"/>
      <c r="E3845" s="103"/>
      <c r="F3845" s="42"/>
      <c r="G3845" s="9"/>
      <c r="H3845" s="9"/>
      <c r="I3845" s="9"/>
      <c r="J3845" s="9"/>
      <c r="K3845" s="42"/>
      <c r="L3845" s="42"/>
      <c r="M3845" s="42"/>
      <c r="N3845" s="42"/>
      <c r="O3845" s="42"/>
      <c r="P3845" s="9"/>
      <c r="Q3845" s="9"/>
      <c r="R3845" s="42"/>
      <c r="S3845" s="42"/>
      <c r="T3845" s="42"/>
      <c r="U3845" s="42"/>
      <c r="V3845" s="42"/>
      <c r="W3845" s="42"/>
    </row>
    <row r="3846">
      <c r="A3846" s="9"/>
      <c r="B3846" s="9"/>
      <c r="C3846" s="9"/>
      <c r="D3846" s="42"/>
      <c r="E3846" s="103"/>
      <c r="F3846" s="42"/>
      <c r="G3846" s="9"/>
      <c r="H3846" s="9"/>
      <c r="I3846" s="9"/>
      <c r="J3846" s="9"/>
      <c r="K3846" s="42"/>
      <c r="L3846" s="42"/>
      <c r="M3846" s="42"/>
      <c r="N3846" s="42"/>
      <c r="O3846" s="42"/>
      <c r="P3846" s="9"/>
      <c r="Q3846" s="9"/>
      <c r="R3846" s="42"/>
      <c r="S3846" s="42"/>
      <c r="T3846" s="42"/>
      <c r="U3846" s="42"/>
      <c r="V3846" s="42"/>
      <c r="W3846" s="42"/>
    </row>
    <row r="3847">
      <c r="A3847" s="9"/>
      <c r="B3847" s="9"/>
      <c r="C3847" s="9"/>
      <c r="D3847" s="42"/>
      <c r="E3847" s="103"/>
      <c r="F3847" s="42"/>
      <c r="G3847" s="9"/>
      <c r="H3847" s="9"/>
      <c r="I3847" s="9"/>
      <c r="J3847" s="9"/>
      <c r="K3847" s="42"/>
      <c r="L3847" s="42"/>
      <c r="M3847" s="42"/>
      <c r="N3847" s="42"/>
      <c r="O3847" s="42"/>
      <c r="P3847" s="9"/>
      <c r="Q3847" s="9"/>
      <c r="R3847" s="42"/>
      <c r="S3847" s="42"/>
      <c r="T3847" s="42"/>
      <c r="U3847" s="42"/>
      <c r="V3847" s="42"/>
      <c r="W3847" s="42"/>
    </row>
    <row r="3848">
      <c r="A3848" s="9"/>
      <c r="B3848" s="9"/>
      <c r="C3848" s="9"/>
      <c r="D3848" s="42"/>
      <c r="E3848" s="103"/>
      <c r="F3848" s="42"/>
      <c r="G3848" s="9"/>
      <c r="H3848" s="9"/>
      <c r="I3848" s="9"/>
      <c r="J3848" s="9"/>
      <c r="K3848" s="42"/>
      <c r="L3848" s="42"/>
      <c r="M3848" s="42"/>
      <c r="N3848" s="42"/>
      <c r="O3848" s="42"/>
      <c r="P3848" s="9"/>
      <c r="Q3848" s="9"/>
      <c r="R3848" s="42"/>
      <c r="S3848" s="42"/>
      <c r="T3848" s="42"/>
      <c r="U3848" s="42"/>
      <c r="V3848" s="42"/>
      <c r="W3848" s="42"/>
    </row>
    <row r="3849">
      <c r="A3849" s="9"/>
      <c r="B3849" s="9"/>
      <c r="C3849" s="9"/>
      <c r="D3849" s="42"/>
      <c r="E3849" s="103"/>
      <c r="F3849" s="42"/>
      <c r="G3849" s="9"/>
      <c r="H3849" s="9"/>
      <c r="I3849" s="9"/>
      <c r="J3849" s="9"/>
      <c r="K3849" s="42"/>
      <c r="L3849" s="42"/>
      <c r="M3849" s="42"/>
      <c r="N3849" s="42"/>
      <c r="O3849" s="42"/>
      <c r="P3849" s="9"/>
      <c r="Q3849" s="9"/>
      <c r="R3849" s="42"/>
      <c r="S3849" s="42"/>
      <c r="T3849" s="42"/>
      <c r="U3849" s="42"/>
      <c r="V3849" s="42"/>
      <c r="W3849" s="42"/>
    </row>
    <row r="3850">
      <c r="A3850" s="9"/>
      <c r="B3850" s="9"/>
      <c r="C3850" s="9"/>
      <c r="D3850" s="42"/>
      <c r="E3850" s="103"/>
      <c r="F3850" s="42"/>
      <c r="G3850" s="9"/>
      <c r="H3850" s="9"/>
      <c r="I3850" s="9"/>
      <c r="J3850" s="9"/>
      <c r="K3850" s="42"/>
      <c r="L3850" s="42"/>
      <c r="M3850" s="42"/>
      <c r="N3850" s="42"/>
      <c r="O3850" s="42"/>
      <c r="P3850" s="9"/>
      <c r="Q3850" s="9"/>
      <c r="R3850" s="42"/>
      <c r="S3850" s="42"/>
      <c r="T3850" s="42"/>
      <c r="U3850" s="42"/>
      <c r="V3850" s="42"/>
      <c r="W3850" s="42"/>
    </row>
    <row r="3851">
      <c r="A3851" s="9"/>
      <c r="B3851" s="9"/>
      <c r="C3851" s="9"/>
      <c r="D3851" s="42"/>
      <c r="E3851" s="103"/>
      <c r="F3851" s="42"/>
      <c r="G3851" s="9"/>
      <c r="H3851" s="9"/>
      <c r="I3851" s="9"/>
      <c r="J3851" s="9"/>
      <c r="K3851" s="42"/>
      <c r="L3851" s="42"/>
      <c r="M3851" s="42"/>
      <c r="N3851" s="42"/>
      <c r="O3851" s="42"/>
      <c r="P3851" s="9"/>
      <c r="Q3851" s="9"/>
      <c r="R3851" s="42"/>
      <c r="S3851" s="42"/>
      <c r="T3851" s="42"/>
      <c r="U3851" s="42"/>
      <c r="V3851" s="42"/>
      <c r="W3851" s="42"/>
    </row>
    <row r="3852">
      <c r="A3852" s="9"/>
      <c r="B3852" s="9"/>
      <c r="C3852" s="9"/>
      <c r="D3852" s="42"/>
      <c r="E3852" s="103"/>
      <c r="F3852" s="42"/>
      <c r="G3852" s="9"/>
      <c r="H3852" s="9"/>
      <c r="I3852" s="9"/>
      <c r="J3852" s="9"/>
      <c r="K3852" s="42"/>
      <c r="L3852" s="42"/>
      <c r="M3852" s="42"/>
      <c r="N3852" s="42"/>
      <c r="O3852" s="42"/>
      <c r="P3852" s="9"/>
      <c r="Q3852" s="9"/>
      <c r="R3852" s="42"/>
      <c r="S3852" s="42"/>
      <c r="T3852" s="42"/>
      <c r="U3852" s="42"/>
      <c r="V3852" s="42"/>
      <c r="W3852" s="42"/>
    </row>
    <row r="3853">
      <c r="A3853" s="9"/>
      <c r="B3853" s="9"/>
      <c r="C3853" s="9"/>
      <c r="D3853" s="42"/>
      <c r="E3853" s="103"/>
      <c r="F3853" s="42"/>
      <c r="G3853" s="9"/>
      <c r="H3853" s="9"/>
      <c r="I3853" s="9"/>
      <c r="J3853" s="9"/>
      <c r="K3853" s="42"/>
      <c r="L3853" s="42"/>
      <c r="M3853" s="42"/>
      <c r="N3853" s="42"/>
      <c r="O3853" s="42"/>
      <c r="P3853" s="9"/>
      <c r="Q3853" s="9"/>
      <c r="R3853" s="42"/>
      <c r="S3853" s="42"/>
      <c r="T3853" s="42"/>
      <c r="U3853" s="42"/>
      <c r="V3853" s="42"/>
      <c r="W3853" s="42"/>
    </row>
    <row r="3854">
      <c r="A3854" s="9"/>
      <c r="B3854" s="9"/>
      <c r="C3854" s="9"/>
      <c r="D3854" s="42"/>
      <c r="E3854" s="103"/>
      <c r="F3854" s="42"/>
      <c r="G3854" s="9"/>
      <c r="H3854" s="9"/>
      <c r="I3854" s="9"/>
      <c r="J3854" s="9"/>
      <c r="K3854" s="42"/>
      <c r="L3854" s="42"/>
      <c r="M3854" s="42"/>
      <c r="N3854" s="42"/>
      <c r="O3854" s="42"/>
      <c r="P3854" s="9"/>
      <c r="Q3854" s="9"/>
      <c r="R3854" s="42"/>
      <c r="S3854" s="42"/>
      <c r="T3854" s="42"/>
      <c r="U3854" s="42"/>
      <c r="V3854" s="42"/>
      <c r="W3854" s="42"/>
    </row>
    <row r="3855">
      <c r="A3855" s="9"/>
      <c r="B3855" s="9"/>
      <c r="C3855" s="9"/>
      <c r="D3855" s="42"/>
      <c r="E3855" s="103"/>
      <c r="F3855" s="42"/>
      <c r="G3855" s="9"/>
      <c r="H3855" s="9"/>
      <c r="I3855" s="9"/>
      <c r="J3855" s="9"/>
      <c r="K3855" s="42"/>
      <c r="L3855" s="42"/>
      <c r="M3855" s="42"/>
      <c r="N3855" s="42"/>
      <c r="O3855" s="42"/>
      <c r="P3855" s="9"/>
      <c r="Q3855" s="9"/>
      <c r="R3855" s="42"/>
      <c r="S3855" s="42"/>
      <c r="T3855" s="42"/>
      <c r="U3855" s="42"/>
      <c r="V3855" s="42"/>
      <c r="W3855" s="42"/>
    </row>
    <row r="3856">
      <c r="A3856" s="9"/>
      <c r="B3856" s="9"/>
      <c r="C3856" s="9"/>
      <c r="D3856" s="42"/>
      <c r="E3856" s="103"/>
      <c r="F3856" s="42"/>
      <c r="G3856" s="9"/>
      <c r="H3856" s="9"/>
      <c r="I3856" s="9"/>
      <c r="J3856" s="9"/>
      <c r="K3856" s="42"/>
      <c r="L3856" s="42"/>
      <c r="M3856" s="42"/>
      <c r="N3856" s="42"/>
      <c r="O3856" s="42"/>
      <c r="P3856" s="9"/>
      <c r="Q3856" s="9"/>
      <c r="R3856" s="42"/>
      <c r="S3856" s="42"/>
      <c r="T3856" s="42"/>
      <c r="U3856" s="42"/>
      <c r="V3856" s="42"/>
      <c r="W3856" s="42"/>
    </row>
    <row r="3857">
      <c r="A3857" s="9"/>
      <c r="B3857" s="9"/>
      <c r="C3857" s="9"/>
      <c r="D3857" s="42"/>
      <c r="E3857" s="103"/>
      <c r="F3857" s="42"/>
      <c r="G3857" s="9"/>
      <c r="H3857" s="9"/>
      <c r="I3857" s="9"/>
      <c r="J3857" s="9"/>
      <c r="K3857" s="42"/>
      <c r="L3857" s="42"/>
      <c r="M3857" s="42"/>
      <c r="N3857" s="42"/>
      <c r="O3857" s="42"/>
      <c r="P3857" s="9"/>
      <c r="Q3857" s="9"/>
      <c r="R3857" s="42"/>
      <c r="S3857" s="42"/>
      <c r="T3857" s="42"/>
      <c r="U3857" s="42"/>
      <c r="V3857" s="42"/>
      <c r="W3857" s="42"/>
    </row>
    <row r="3858">
      <c r="A3858" s="9"/>
      <c r="B3858" s="9"/>
      <c r="C3858" s="9"/>
      <c r="D3858" s="42"/>
      <c r="E3858" s="103"/>
      <c r="F3858" s="42"/>
      <c r="G3858" s="9"/>
      <c r="H3858" s="9"/>
      <c r="I3858" s="9"/>
      <c r="J3858" s="9"/>
      <c r="K3858" s="42"/>
      <c r="L3858" s="42"/>
      <c r="M3858" s="42"/>
      <c r="N3858" s="42"/>
      <c r="O3858" s="42"/>
      <c r="P3858" s="9"/>
      <c r="Q3858" s="9"/>
      <c r="R3858" s="42"/>
      <c r="S3858" s="42"/>
      <c r="T3858" s="42"/>
      <c r="U3858" s="42"/>
      <c r="V3858" s="42"/>
      <c r="W3858" s="42"/>
    </row>
    <row r="3859">
      <c r="A3859" s="9"/>
      <c r="B3859" s="9"/>
      <c r="C3859" s="9"/>
      <c r="D3859" s="42"/>
      <c r="E3859" s="103"/>
      <c r="F3859" s="42"/>
      <c r="G3859" s="9"/>
      <c r="H3859" s="9"/>
      <c r="I3859" s="9"/>
      <c r="J3859" s="9"/>
      <c r="K3859" s="42"/>
      <c r="L3859" s="42"/>
      <c r="M3859" s="42"/>
      <c r="N3859" s="42"/>
      <c r="O3859" s="42"/>
      <c r="P3859" s="9"/>
      <c r="Q3859" s="9"/>
      <c r="R3859" s="42"/>
      <c r="S3859" s="42"/>
      <c r="T3859" s="42"/>
      <c r="U3859" s="42"/>
      <c r="V3859" s="42"/>
      <c r="W3859" s="42"/>
    </row>
    <row r="3860">
      <c r="A3860" s="9"/>
      <c r="B3860" s="9"/>
      <c r="C3860" s="9"/>
      <c r="D3860" s="42"/>
      <c r="E3860" s="103"/>
      <c r="F3860" s="42"/>
      <c r="G3860" s="9"/>
      <c r="H3860" s="9"/>
      <c r="I3860" s="9"/>
      <c r="J3860" s="9"/>
      <c r="K3860" s="42"/>
      <c r="L3860" s="42"/>
      <c r="M3860" s="42"/>
      <c r="N3860" s="42"/>
      <c r="O3860" s="42"/>
      <c r="P3860" s="9"/>
      <c r="Q3860" s="9"/>
      <c r="R3860" s="42"/>
      <c r="S3860" s="42"/>
      <c r="T3860" s="42"/>
      <c r="U3860" s="42"/>
      <c r="V3860" s="42"/>
      <c r="W3860" s="42"/>
    </row>
    <row r="3861">
      <c r="A3861" s="9"/>
      <c r="B3861" s="9"/>
      <c r="C3861" s="9"/>
      <c r="D3861" s="42"/>
      <c r="E3861" s="103"/>
      <c r="F3861" s="42"/>
      <c r="G3861" s="9"/>
      <c r="H3861" s="9"/>
      <c r="I3861" s="9"/>
      <c r="J3861" s="9"/>
      <c r="K3861" s="42"/>
      <c r="L3861" s="42"/>
      <c r="M3861" s="42"/>
      <c r="N3861" s="42"/>
      <c r="O3861" s="42"/>
      <c r="P3861" s="9"/>
      <c r="Q3861" s="9"/>
      <c r="R3861" s="42"/>
      <c r="S3861" s="42"/>
      <c r="T3861" s="42"/>
      <c r="U3861" s="42"/>
      <c r="V3861" s="42"/>
      <c r="W3861" s="42"/>
    </row>
    <row r="3862">
      <c r="A3862" s="9"/>
      <c r="B3862" s="9"/>
      <c r="C3862" s="9"/>
      <c r="D3862" s="42"/>
      <c r="E3862" s="103"/>
      <c r="F3862" s="42"/>
      <c r="G3862" s="9"/>
      <c r="H3862" s="9"/>
      <c r="I3862" s="9"/>
      <c r="J3862" s="9"/>
      <c r="K3862" s="42"/>
      <c r="L3862" s="42"/>
      <c r="M3862" s="42"/>
      <c r="N3862" s="42"/>
      <c r="O3862" s="42"/>
      <c r="P3862" s="9"/>
      <c r="Q3862" s="9"/>
      <c r="R3862" s="42"/>
      <c r="S3862" s="42"/>
      <c r="T3862" s="42"/>
      <c r="U3862" s="42"/>
      <c r="V3862" s="42"/>
      <c r="W3862" s="42"/>
    </row>
    <row r="3863">
      <c r="A3863" s="9"/>
      <c r="B3863" s="9"/>
      <c r="C3863" s="9"/>
      <c r="D3863" s="42"/>
      <c r="E3863" s="103"/>
      <c r="F3863" s="42"/>
      <c r="G3863" s="9"/>
      <c r="H3863" s="9"/>
      <c r="I3863" s="9"/>
      <c r="J3863" s="9"/>
      <c r="K3863" s="42"/>
      <c r="L3863" s="42"/>
      <c r="M3863" s="42"/>
      <c r="N3863" s="42"/>
      <c r="O3863" s="42"/>
      <c r="P3863" s="9"/>
      <c r="Q3863" s="9"/>
      <c r="R3863" s="42"/>
      <c r="S3863" s="42"/>
      <c r="T3863" s="42"/>
      <c r="U3863" s="42"/>
      <c r="V3863" s="42"/>
      <c r="W3863" s="42"/>
    </row>
    <row r="3864">
      <c r="A3864" s="9"/>
      <c r="B3864" s="9"/>
      <c r="C3864" s="9"/>
      <c r="D3864" s="42"/>
      <c r="E3864" s="103"/>
      <c r="F3864" s="42"/>
      <c r="G3864" s="9"/>
      <c r="H3864" s="9"/>
      <c r="I3864" s="9"/>
      <c r="J3864" s="9"/>
      <c r="K3864" s="42"/>
      <c r="L3864" s="42"/>
      <c r="M3864" s="42"/>
      <c r="N3864" s="42"/>
      <c r="O3864" s="42"/>
      <c r="P3864" s="9"/>
      <c r="Q3864" s="9"/>
      <c r="R3864" s="42"/>
      <c r="S3864" s="42"/>
      <c r="T3864" s="42"/>
      <c r="U3864" s="42"/>
      <c r="V3864" s="42"/>
      <c r="W3864" s="42"/>
    </row>
    <row r="3865">
      <c r="A3865" s="9"/>
      <c r="B3865" s="9"/>
      <c r="C3865" s="9"/>
      <c r="D3865" s="42"/>
      <c r="E3865" s="103"/>
      <c r="F3865" s="42"/>
      <c r="G3865" s="9"/>
      <c r="H3865" s="9"/>
      <c r="I3865" s="9"/>
      <c r="J3865" s="9"/>
      <c r="K3865" s="42"/>
      <c r="L3865" s="42"/>
      <c r="M3865" s="42"/>
      <c r="N3865" s="42"/>
      <c r="O3865" s="42"/>
      <c r="P3865" s="9"/>
      <c r="Q3865" s="9"/>
      <c r="R3865" s="42"/>
      <c r="S3865" s="42"/>
      <c r="T3865" s="42"/>
      <c r="U3865" s="42"/>
      <c r="V3865" s="42"/>
      <c r="W3865" s="42"/>
    </row>
    <row r="3866">
      <c r="A3866" s="9"/>
      <c r="B3866" s="9"/>
      <c r="C3866" s="9"/>
      <c r="D3866" s="42"/>
      <c r="E3866" s="103"/>
      <c r="F3866" s="42"/>
      <c r="G3866" s="9"/>
      <c r="H3866" s="9"/>
      <c r="I3866" s="9"/>
      <c r="J3866" s="9"/>
      <c r="K3866" s="42"/>
      <c r="L3866" s="42"/>
      <c r="M3866" s="42"/>
      <c r="N3866" s="42"/>
      <c r="O3866" s="42"/>
      <c r="P3866" s="9"/>
      <c r="Q3866" s="9"/>
      <c r="R3866" s="42"/>
      <c r="S3866" s="42"/>
      <c r="T3866" s="42"/>
      <c r="U3866" s="42"/>
      <c r="V3866" s="42"/>
      <c r="W3866" s="42"/>
    </row>
    <row r="3867">
      <c r="A3867" s="9"/>
      <c r="B3867" s="9"/>
      <c r="C3867" s="9"/>
      <c r="D3867" s="42"/>
      <c r="E3867" s="103"/>
      <c r="F3867" s="42"/>
      <c r="G3867" s="9"/>
      <c r="H3867" s="9"/>
      <c r="I3867" s="9"/>
      <c r="J3867" s="9"/>
      <c r="K3867" s="42"/>
      <c r="L3867" s="42"/>
      <c r="M3867" s="42"/>
      <c r="N3867" s="42"/>
      <c r="O3867" s="42"/>
      <c r="P3867" s="9"/>
      <c r="Q3867" s="9"/>
      <c r="R3867" s="42"/>
      <c r="S3867" s="42"/>
      <c r="T3867" s="42"/>
      <c r="U3867" s="42"/>
      <c r="V3867" s="42"/>
      <c r="W3867" s="42"/>
    </row>
    <row r="3868">
      <c r="A3868" s="9"/>
      <c r="B3868" s="9"/>
      <c r="C3868" s="9"/>
      <c r="D3868" s="42"/>
      <c r="E3868" s="103"/>
      <c r="F3868" s="42"/>
      <c r="G3868" s="9"/>
      <c r="H3868" s="9"/>
      <c r="I3868" s="9"/>
      <c r="J3868" s="9"/>
      <c r="K3868" s="42"/>
      <c r="L3868" s="42"/>
      <c r="M3868" s="42"/>
      <c r="N3868" s="42"/>
      <c r="O3868" s="42"/>
      <c r="P3868" s="9"/>
      <c r="Q3868" s="9"/>
      <c r="R3868" s="42"/>
      <c r="S3868" s="42"/>
      <c r="T3868" s="42"/>
      <c r="U3868" s="42"/>
      <c r="V3868" s="42"/>
      <c r="W3868" s="42"/>
    </row>
    <row r="3869">
      <c r="A3869" s="9"/>
      <c r="B3869" s="9"/>
      <c r="C3869" s="9"/>
      <c r="D3869" s="42"/>
      <c r="E3869" s="103"/>
      <c r="F3869" s="42"/>
      <c r="G3869" s="9"/>
      <c r="H3869" s="9"/>
      <c r="I3869" s="9"/>
      <c r="J3869" s="9"/>
      <c r="K3869" s="42"/>
      <c r="L3869" s="42"/>
      <c r="M3869" s="42"/>
      <c r="N3869" s="42"/>
      <c r="O3869" s="42"/>
      <c r="P3869" s="9"/>
      <c r="Q3869" s="9"/>
      <c r="R3869" s="42"/>
      <c r="S3869" s="42"/>
      <c r="T3869" s="42"/>
      <c r="U3869" s="42"/>
      <c r="V3869" s="42"/>
      <c r="W3869" s="42"/>
    </row>
    <row r="3870">
      <c r="A3870" s="9"/>
      <c r="B3870" s="9"/>
      <c r="C3870" s="9"/>
      <c r="D3870" s="42"/>
      <c r="E3870" s="103"/>
      <c r="F3870" s="42"/>
      <c r="G3870" s="9"/>
      <c r="H3870" s="9"/>
      <c r="I3870" s="9"/>
      <c r="J3870" s="9"/>
      <c r="K3870" s="42"/>
      <c r="L3870" s="42"/>
      <c r="M3870" s="42"/>
      <c r="N3870" s="42"/>
      <c r="O3870" s="42"/>
      <c r="P3870" s="9"/>
      <c r="Q3870" s="9"/>
      <c r="R3870" s="42"/>
      <c r="S3870" s="42"/>
      <c r="T3870" s="42"/>
      <c r="U3870" s="42"/>
      <c r="V3870" s="42"/>
      <c r="W3870" s="42"/>
    </row>
    <row r="3871">
      <c r="A3871" s="9"/>
      <c r="B3871" s="9"/>
      <c r="C3871" s="9"/>
      <c r="D3871" s="42"/>
      <c r="E3871" s="103"/>
      <c r="F3871" s="42"/>
      <c r="G3871" s="9"/>
      <c r="H3871" s="9"/>
      <c r="I3871" s="9"/>
      <c r="J3871" s="9"/>
      <c r="K3871" s="42"/>
      <c r="L3871" s="42"/>
      <c r="M3871" s="42"/>
      <c r="N3871" s="42"/>
      <c r="O3871" s="42"/>
      <c r="P3871" s="9"/>
      <c r="Q3871" s="9"/>
      <c r="R3871" s="42"/>
      <c r="S3871" s="42"/>
      <c r="T3871" s="42"/>
      <c r="U3871" s="42"/>
      <c r="V3871" s="42"/>
      <c r="W3871" s="42"/>
    </row>
    <row r="3872">
      <c r="A3872" s="9"/>
      <c r="B3872" s="9"/>
      <c r="C3872" s="9"/>
      <c r="D3872" s="42"/>
      <c r="E3872" s="103"/>
      <c r="F3872" s="42"/>
      <c r="G3872" s="9"/>
      <c r="H3872" s="9"/>
      <c r="I3872" s="9"/>
      <c r="J3872" s="9"/>
      <c r="K3872" s="42"/>
      <c r="L3872" s="42"/>
      <c r="M3872" s="42"/>
      <c r="N3872" s="42"/>
      <c r="O3872" s="42"/>
      <c r="P3872" s="9"/>
      <c r="Q3872" s="9"/>
      <c r="R3872" s="42"/>
      <c r="S3872" s="42"/>
      <c r="T3872" s="42"/>
      <c r="U3872" s="42"/>
      <c r="V3872" s="42"/>
      <c r="W3872" s="42"/>
    </row>
    <row r="3873">
      <c r="A3873" s="9"/>
      <c r="B3873" s="9"/>
      <c r="C3873" s="9"/>
      <c r="D3873" s="42"/>
      <c r="E3873" s="103"/>
      <c r="F3873" s="42"/>
      <c r="G3873" s="9"/>
      <c r="H3873" s="9"/>
      <c r="I3873" s="9"/>
      <c r="J3873" s="9"/>
      <c r="K3873" s="42"/>
      <c r="L3873" s="42"/>
      <c r="M3873" s="42"/>
      <c r="N3873" s="42"/>
      <c r="O3873" s="42"/>
      <c r="P3873" s="9"/>
      <c r="Q3873" s="9"/>
      <c r="R3873" s="42"/>
      <c r="S3873" s="42"/>
      <c r="T3873" s="42"/>
      <c r="U3873" s="42"/>
      <c r="V3873" s="42"/>
      <c r="W3873" s="42"/>
    </row>
    <row r="3874">
      <c r="A3874" s="9"/>
      <c r="B3874" s="9"/>
      <c r="C3874" s="9"/>
      <c r="D3874" s="42"/>
      <c r="E3874" s="103"/>
      <c r="F3874" s="42"/>
      <c r="G3874" s="9"/>
      <c r="H3874" s="9"/>
      <c r="I3874" s="9"/>
      <c r="J3874" s="9"/>
      <c r="K3874" s="42"/>
      <c r="L3874" s="42"/>
      <c r="M3874" s="42"/>
      <c r="N3874" s="42"/>
      <c r="O3874" s="42"/>
      <c r="P3874" s="9"/>
      <c r="Q3874" s="9"/>
      <c r="R3874" s="42"/>
      <c r="S3874" s="42"/>
      <c r="T3874" s="42"/>
      <c r="U3874" s="42"/>
      <c r="V3874" s="42"/>
      <c r="W3874" s="42"/>
    </row>
    <row r="3875">
      <c r="A3875" s="9"/>
      <c r="B3875" s="9"/>
      <c r="C3875" s="9"/>
      <c r="D3875" s="42"/>
      <c r="E3875" s="103"/>
      <c r="F3875" s="42"/>
      <c r="G3875" s="9"/>
      <c r="H3875" s="9"/>
      <c r="I3875" s="9"/>
      <c r="J3875" s="9"/>
      <c r="K3875" s="42"/>
      <c r="L3875" s="42"/>
      <c r="M3875" s="42"/>
      <c r="N3875" s="42"/>
      <c r="O3875" s="42"/>
      <c r="P3875" s="9"/>
      <c r="Q3875" s="9"/>
      <c r="R3875" s="42"/>
      <c r="S3875" s="42"/>
      <c r="T3875" s="42"/>
      <c r="U3875" s="42"/>
      <c r="V3875" s="42"/>
      <c r="W3875" s="42"/>
    </row>
    <row r="3876">
      <c r="A3876" s="9"/>
      <c r="B3876" s="9"/>
      <c r="C3876" s="9"/>
      <c r="D3876" s="42"/>
      <c r="E3876" s="103"/>
      <c r="F3876" s="42"/>
      <c r="G3876" s="9"/>
      <c r="H3876" s="9"/>
      <c r="I3876" s="9"/>
      <c r="J3876" s="9"/>
      <c r="K3876" s="42"/>
      <c r="L3876" s="42"/>
      <c r="M3876" s="42"/>
      <c r="N3876" s="42"/>
      <c r="O3876" s="42"/>
      <c r="P3876" s="9"/>
      <c r="Q3876" s="9"/>
      <c r="R3876" s="42"/>
      <c r="S3876" s="42"/>
      <c r="T3876" s="42"/>
      <c r="U3876" s="42"/>
      <c r="V3876" s="42"/>
      <c r="W3876" s="42"/>
    </row>
    <row r="3877">
      <c r="A3877" s="9"/>
      <c r="B3877" s="9"/>
      <c r="C3877" s="9"/>
      <c r="D3877" s="42"/>
      <c r="E3877" s="103"/>
      <c r="F3877" s="42"/>
      <c r="G3877" s="9"/>
      <c r="H3877" s="9"/>
      <c r="I3877" s="9"/>
      <c r="J3877" s="9"/>
      <c r="K3877" s="42"/>
      <c r="L3877" s="42"/>
      <c r="M3877" s="42"/>
      <c r="N3877" s="42"/>
      <c r="O3877" s="42"/>
      <c r="P3877" s="9"/>
      <c r="Q3877" s="9"/>
      <c r="R3877" s="42"/>
      <c r="S3877" s="42"/>
      <c r="T3877" s="42"/>
      <c r="U3877" s="42"/>
      <c r="V3877" s="42"/>
      <c r="W3877" s="42"/>
    </row>
    <row r="3878">
      <c r="A3878" s="9"/>
      <c r="B3878" s="9"/>
      <c r="C3878" s="9"/>
      <c r="D3878" s="42"/>
      <c r="E3878" s="103"/>
      <c r="F3878" s="42"/>
      <c r="G3878" s="9"/>
      <c r="H3878" s="9"/>
      <c r="I3878" s="9"/>
      <c r="J3878" s="9"/>
      <c r="K3878" s="42"/>
      <c r="L3878" s="42"/>
      <c r="M3878" s="42"/>
      <c r="N3878" s="42"/>
      <c r="O3878" s="42"/>
      <c r="P3878" s="9"/>
      <c r="Q3878" s="9"/>
      <c r="R3878" s="42"/>
      <c r="S3878" s="42"/>
      <c r="T3878" s="42"/>
      <c r="U3878" s="42"/>
      <c r="V3878" s="42"/>
      <c r="W3878" s="42"/>
    </row>
    <row r="3879">
      <c r="A3879" s="9"/>
      <c r="B3879" s="9"/>
      <c r="C3879" s="9"/>
      <c r="D3879" s="42"/>
      <c r="E3879" s="103"/>
      <c r="F3879" s="42"/>
      <c r="G3879" s="9"/>
      <c r="H3879" s="9"/>
      <c r="I3879" s="9"/>
      <c r="J3879" s="9"/>
      <c r="K3879" s="42"/>
      <c r="L3879" s="42"/>
      <c r="M3879" s="42"/>
      <c r="N3879" s="42"/>
      <c r="O3879" s="42"/>
      <c r="P3879" s="9"/>
      <c r="Q3879" s="9"/>
      <c r="R3879" s="42"/>
      <c r="S3879" s="42"/>
      <c r="T3879" s="42"/>
      <c r="U3879" s="42"/>
      <c r="V3879" s="42"/>
      <c r="W3879" s="42"/>
    </row>
    <row r="3880">
      <c r="A3880" s="9"/>
      <c r="B3880" s="9"/>
      <c r="C3880" s="9"/>
      <c r="D3880" s="42"/>
      <c r="E3880" s="103"/>
      <c r="F3880" s="42"/>
      <c r="G3880" s="9"/>
      <c r="H3880" s="9"/>
      <c r="I3880" s="9"/>
      <c r="J3880" s="9"/>
      <c r="K3880" s="42"/>
      <c r="L3880" s="42"/>
      <c r="M3880" s="42"/>
      <c r="N3880" s="42"/>
      <c r="O3880" s="42"/>
      <c r="P3880" s="9"/>
      <c r="Q3880" s="9"/>
      <c r="R3880" s="42"/>
      <c r="S3880" s="42"/>
      <c r="T3880" s="42"/>
      <c r="U3880" s="42"/>
      <c r="V3880" s="42"/>
      <c r="W3880" s="42"/>
    </row>
    <row r="3881">
      <c r="A3881" s="9"/>
      <c r="B3881" s="9"/>
      <c r="C3881" s="9"/>
      <c r="D3881" s="42"/>
      <c r="E3881" s="103"/>
      <c r="F3881" s="42"/>
      <c r="G3881" s="9"/>
      <c r="H3881" s="9"/>
      <c r="I3881" s="9"/>
      <c r="J3881" s="9"/>
      <c r="K3881" s="42"/>
      <c r="L3881" s="42"/>
      <c r="M3881" s="42"/>
      <c r="N3881" s="42"/>
      <c r="O3881" s="42"/>
      <c r="P3881" s="9"/>
      <c r="Q3881" s="9"/>
      <c r="R3881" s="42"/>
      <c r="S3881" s="42"/>
      <c r="T3881" s="42"/>
      <c r="U3881" s="42"/>
      <c r="V3881" s="42"/>
      <c r="W3881" s="42"/>
    </row>
    <row r="3882">
      <c r="A3882" s="9"/>
      <c r="B3882" s="9"/>
      <c r="C3882" s="9"/>
      <c r="D3882" s="42"/>
      <c r="E3882" s="103"/>
      <c r="F3882" s="42"/>
      <c r="G3882" s="9"/>
      <c r="H3882" s="9"/>
      <c r="I3882" s="9"/>
      <c r="J3882" s="9"/>
      <c r="K3882" s="42"/>
      <c r="L3882" s="42"/>
      <c r="M3882" s="42"/>
      <c r="N3882" s="42"/>
      <c r="O3882" s="42"/>
      <c r="P3882" s="9"/>
      <c r="Q3882" s="9"/>
      <c r="R3882" s="42"/>
      <c r="S3882" s="42"/>
      <c r="T3882" s="42"/>
      <c r="U3882" s="42"/>
      <c r="V3882" s="42"/>
      <c r="W3882" s="42"/>
    </row>
    <row r="3883">
      <c r="A3883" s="9"/>
      <c r="B3883" s="9"/>
      <c r="C3883" s="9"/>
      <c r="D3883" s="42"/>
      <c r="E3883" s="103"/>
      <c r="F3883" s="42"/>
      <c r="G3883" s="9"/>
      <c r="H3883" s="9"/>
      <c r="I3883" s="9"/>
      <c r="J3883" s="9"/>
      <c r="K3883" s="42"/>
      <c r="L3883" s="42"/>
      <c r="M3883" s="42"/>
      <c r="N3883" s="42"/>
      <c r="O3883" s="42"/>
      <c r="P3883" s="9"/>
      <c r="Q3883" s="9"/>
      <c r="R3883" s="42"/>
      <c r="S3883" s="42"/>
      <c r="T3883" s="42"/>
      <c r="U3883" s="42"/>
      <c r="V3883" s="42"/>
      <c r="W3883" s="42"/>
    </row>
    <row r="3884">
      <c r="A3884" s="9"/>
      <c r="B3884" s="9"/>
      <c r="C3884" s="9"/>
      <c r="D3884" s="42"/>
      <c r="E3884" s="103"/>
      <c r="F3884" s="42"/>
      <c r="G3884" s="9"/>
      <c r="H3884" s="9"/>
      <c r="I3884" s="9"/>
      <c r="J3884" s="9"/>
      <c r="K3884" s="42"/>
      <c r="L3884" s="42"/>
      <c r="M3884" s="42"/>
      <c r="N3884" s="42"/>
      <c r="O3884" s="42"/>
      <c r="P3884" s="9"/>
      <c r="Q3884" s="9"/>
      <c r="R3884" s="42"/>
      <c r="S3884" s="42"/>
      <c r="T3884" s="42"/>
      <c r="U3884" s="42"/>
      <c r="V3884" s="42"/>
      <c r="W3884" s="42"/>
    </row>
    <row r="3885">
      <c r="A3885" s="9"/>
      <c r="B3885" s="9"/>
      <c r="C3885" s="9"/>
      <c r="D3885" s="42"/>
      <c r="E3885" s="103"/>
      <c r="F3885" s="42"/>
      <c r="G3885" s="9"/>
      <c r="H3885" s="9"/>
      <c r="I3885" s="9"/>
      <c r="J3885" s="9"/>
      <c r="K3885" s="42"/>
      <c r="L3885" s="42"/>
      <c r="M3885" s="42"/>
      <c r="N3885" s="42"/>
      <c r="O3885" s="42"/>
      <c r="P3885" s="9"/>
      <c r="Q3885" s="9"/>
      <c r="R3885" s="42"/>
      <c r="S3885" s="42"/>
      <c r="T3885" s="42"/>
      <c r="U3885" s="42"/>
      <c r="V3885" s="42"/>
      <c r="W3885" s="42"/>
    </row>
    <row r="3886">
      <c r="A3886" s="9"/>
      <c r="B3886" s="9"/>
      <c r="C3886" s="9"/>
      <c r="D3886" s="42"/>
      <c r="E3886" s="103"/>
      <c r="F3886" s="42"/>
      <c r="G3886" s="9"/>
      <c r="H3886" s="9"/>
      <c r="I3886" s="9"/>
      <c r="J3886" s="9"/>
      <c r="K3886" s="42"/>
      <c r="L3886" s="42"/>
      <c r="M3886" s="42"/>
      <c r="N3886" s="42"/>
      <c r="O3886" s="42"/>
      <c r="P3886" s="9"/>
      <c r="Q3886" s="9"/>
      <c r="R3886" s="42"/>
      <c r="S3886" s="42"/>
      <c r="T3886" s="42"/>
      <c r="U3886" s="42"/>
      <c r="V3886" s="42"/>
      <c r="W3886" s="42"/>
    </row>
    <row r="3887">
      <c r="A3887" s="9"/>
      <c r="B3887" s="9"/>
      <c r="C3887" s="9"/>
      <c r="D3887" s="42"/>
      <c r="E3887" s="103"/>
      <c r="F3887" s="42"/>
      <c r="G3887" s="9"/>
      <c r="H3887" s="9"/>
      <c r="I3887" s="9"/>
      <c r="J3887" s="9"/>
      <c r="K3887" s="42"/>
      <c r="L3887" s="42"/>
      <c r="M3887" s="42"/>
      <c r="N3887" s="42"/>
      <c r="O3887" s="42"/>
      <c r="P3887" s="9"/>
      <c r="Q3887" s="9"/>
      <c r="R3887" s="42"/>
      <c r="S3887" s="42"/>
      <c r="T3887" s="42"/>
      <c r="U3887" s="42"/>
      <c r="V3887" s="42"/>
      <c r="W3887" s="42"/>
    </row>
    <row r="3888">
      <c r="A3888" s="9"/>
      <c r="B3888" s="9"/>
      <c r="C3888" s="9"/>
      <c r="D3888" s="42"/>
      <c r="E3888" s="103"/>
      <c r="F3888" s="42"/>
      <c r="G3888" s="9"/>
      <c r="H3888" s="9"/>
      <c r="I3888" s="9"/>
      <c r="J3888" s="9"/>
      <c r="K3888" s="42"/>
      <c r="L3888" s="42"/>
      <c r="M3888" s="42"/>
      <c r="N3888" s="42"/>
      <c r="O3888" s="42"/>
      <c r="P3888" s="9"/>
      <c r="Q3888" s="9"/>
      <c r="R3888" s="42"/>
      <c r="S3888" s="42"/>
      <c r="T3888" s="42"/>
      <c r="U3888" s="42"/>
      <c r="V3888" s="42"/>
      <c r="W3888" s="42"/>
    </row>
    <row r="3889">
      <c r="A3889" s="9"/>
      <c r="B3889" s="9"/>
      <c r="C3889" s="9"/>
      <c r="D3889" s="42"/>
      <c r="E3889" s="103"/>
      <c r="F3889" s="42"/>
      <c r="G3889" s="9"/>
      <c r="H3889" s="9"/>
      <c r="I3889" s="9"/>
      <c r="J3889" s="9"/>
      <c r="K3889" s="42"/>
      <c r="L3889" s="42"/>
      <c r="M3889" s="42"/>
      <c r="N3889" s="42"/>
      <c r="O3889" s="42"/>
      <c r="P3889" s="9"/>
      <c r="Q3889" s="9"/>
      <c r="R3889" s="42"/>
      <c r="S3889" s="42"/>
      <c r="T3889" s="42"/>
      <c r="U3889" s="42"/>
      <c r="V3889" s="42"/>
      <c r="W3889" s="42"/>
    </row>
    <row r="3890">
      <c r="A3890" s="9"/>
      <c r="B3890" s="9"/>
      <c r="C3890" s="9"/>
      <c r="D3890" s="42"/>
      <c r="E3890" s="103"/>
      <c r="F3890" s="42"/>
      <c r="G3890" s="9"/>
      <c r="H3890" s="9"/>
      <c r="I3890" s="9"/>
      <c r="J3890" s="9"/>
      <c r="K3890" s="42"/>
      <c r="L3890" s="42"/>
      <c r="M3890" s="42"/>
      <c r="N3890" s="42"/>
      <c r="O3890" s="42"/>
      <c r="P3890" s="9"/>
      <c r="Q3890" s="9"/>
      <c r="R3890" s="42"/>
      <c r="S3890" s="42"/>
      <c r="T3890" s="42"/>
      <c r="U3890" s="42"/>
      <c r="V3890" s="42"/>
      <c r="W3890" s="42"/>
    </row>
    <row r="3891">
      <c r="A3891" s="9"/>
      <c r="B3891" s="9"/>
      <c r="C3891" s="9"/>
      <c r="D3891" s="42"/>
      <c r="E3891" s="103"/>
      <c r="F3891" s="42"/>
      <c r="G3891" s="9"/>
      <c r="H3891" s="9"/>
      <c r="I3891" s="9"/>
      <c r="J3891" s="9"/>
      <c r="K3891" s="42"/>
      <c r="L3891" s="42"/>
      <c r="M3891" s="42"/>
      <c r="N3891" s="42"/>
      <c r="O3891" s="42"/>
      <c r="P3891" s="9"/>
      <c r="Q3891" s="9"/>
      <c r="R3891" s="42"/>
      <c r="S3891" s="42"/>
      <c r="T3891" s="42"/>
      <c r="U3891" s="42"/>
      <c r="V3891" s="42"/>
      <c r="W3891" s="42"/>
    </row>
    <row r="3892">
      <c r="A3892" s="9"/>
      <c r="B3892" s="9"/>
      <c r="C3892" s="9"/>
      <c r="D3892" s="42"/>
      <c r="E3892" s="103"/>
      <c r="F3892" s="42"/>
      <c r="G3892" s="9"/>
      <c r="H3892" s="9"/>
      <c r="I3892" s="9"/>
      <c r="J3892" s="9"/>
      <c r="K3892" s="42"/>
      <c r="L3892" s="42"/>
      <c r="M3892" s="42"/>
      <c r="N3892" s="42"/>
      <c r="O3892" s="42"/>
      <c r="P3892" s="9"/>
      <c r="Q3892" s="9"/>
      <c r="R3892" s="42"/>
      <c r="S3892" s="42"/>
      <c r="T3892" s="42"/>
      <c r="U3892" s="42"/>
      <c r="V3892" s="42"/>
      <c r="W3892" s="42"/>
    </row>
    <row r="3893">
      <c r="A3893" s="9"/>
      <c r="B3893" s="9"/>
      <c r="C3893" s="9"/>
      <c r="D3893" s="42"/>
      <c r="E3893" s="103"/>
      <c r="F3893" s="42"/>
      <c r="G3893" s="9"/>
      <c r="H3893" s="9"/>
      <c r="I3893" s="9"/>
      <c r="J3893" s="9"/>
      <c r="K3893" s="42"/>
      <c r="L3893" s="42"/>
      <c r="M3893" s="42"/>
      <c r="N3893" s="42"/>
      <c r="O3893" s="42"/>
      <c r="P3893" s="9"/>
      <c r="Q3893" s="9"/>
      <c r="R3893" s="42"/>
      <c r="S3893" s="42"/>
      <c r="T3893" s="42"/>
      <c r="U3893" s="42"/>
      <c r="V3893" s="42"/>
      <c r="W3893" s="42"/>
    </row>
    <row r="3894">
      <c r="A3894" s="9"/>
      <c r="B3894" s="9"/>
      <c r="C3894" s="9"/>
      <c r="D3894" s="42"/>
      <c r="E3894" s="103"/>
      <c r="F3894" s="42"/>
      <c r="G3894" s="9"/>
      <c r="H3894" s="9"/>
      <c r="I3894" s="9"/>
      <c r="J3894" s="9"/>
      <c r="K3894" s="42"/>
      <c r="L3894" s="42"/>
      <c r="M3894" s="42"/>
      <c r="N3894" s="42"/>
      <c r="O3894" s="42"/>
      <c r="P3894" s="9"/>
      <c r="Q3894" s="9"/>
      <c r="R3894" s="42"/>
      <c r="S3894" s="42"/>
      <c r="T3894" s="42"/>
      <c r="U3894" s="42"/>
      <c r="V3894" s="42"/>
      <c r="W3894" s="42"/>
    </row>
    <row r="3895">
      <c r="A3895" s="9"/>
      <c r="B3895" s="9"/>
      <c r="C3895" s="9"/>
      <c r="D3895" s="42"/>
      <c r="E3895" s="103"/>
      <c r="F3895" s="42"/>
      <c r="G3895" s="9"/>
      <c r="H3895" s="9"/>
      <c r="I3895" s="9"/>
      <c r="J3895" s="9"/>
      <c r="K3895" s="42"/>
      <c r="L3895" s="42"/>
      <c r="M3895" s="42"/>
      <c r="N3895" s="42"/>
      <c r="O3895" s="42"/>
      <c r="P3895" s="9"/>
      <c r="Q3895" s="9"/>
      <c r="R3895" s="42"/>
      <c r="S3895" s="42"/>
      <c r="T3895" s="42"/>
      <c r="U3895" s="42"/>
      <c r="V3895" s="42"/>
      <c r="W3895" s="42"/>
    </row>
    <row r="3896">
      <c r="A3896" s="9"/>
      <c r="B3896" s="9"/>
      <c r="C3896" s="9"/>
      <c r="D3896" s="42"/>
      <c r="E3896" s="103"/>
      <c r="F3896" s="42"/>
      <c r="G3896" s="9"/>
      <c r="H3896" s="9"/>
      <c r="I3896" s="9"/>
      <c r="J3896" s="9"/>
      <c r="K3896" s="42"/>
      <c r="L3896" s="42"/>
      <c r="M3896" s="42"/>
      <c r="N3896" s="42"/>
      <c r="O3896" s="42"/>
      <c r="P3896" s="9"/>
      <c r="Q3896" s="9"/>
      <c r="R3896" s="42"/>
      <c r="S3896" s="42"/>
      <c r="T3896" s="42"/>
      <c r="U3896" s="42"/>
      <c r="V3896" s="42"/>
      <c r="W3896" s="42"/>
    </row>
    <row r="3897">
      <c r="A3897" s="9"/>
      <c r="B3897" s="9"/>
      <c r="C3897" s="9"/>
      <c r="D3897" s="42"/>
      <c r="E3897" s="103"/>
      <c r="F3897" s="42"/>
      <c r="G3897" s="9"/>
      <c r="H3897" s="9"/>
      <c r="I3897" s="9"/>
      <c r="J3897" s="9"/>
      <c r="K3897" s="42"/>
      <c r="L3897" s="42"/>
      <c r="M3897" s="42"/>
      <c r="N3897" s="42"/>
      <c r="O3897" s="42"/>
      <c r="P3897" s="9"/>
      <c r="Q3897" s="9"/>
      <c r="R3897" s="42"/>
      <c r="S3897" s="42"/>
      <c r="T3897" s="42"/>
      <c r="U3897" s="42"/>
      <c r="V3897" s="42"/>
      <c r="W3897" s="42"/>
    </row>
    <row r="3898">
      <c r="A3898" s="9"/>
      <c r="B3898" s="9"/>
      <c r="C3898" s="9"/>
      <c r="D3898" s="42"/>
      <c r="E3898" s="103"/>
      <c r="F3898" s="42"/>
      <c r="G3898" s="9"/>
      <c r="H3898" s="9"/>
      <c r="I3898" s="9"/>
      <c r="J3898" s="9"/>
      <c r="K3898" s="42"/>
      <c r="L3898" s="42"/>
      <c r="M3898" s="42"/>
      <c r="N3898" s="42"/>
      <c r="O3898" s="42"/>
      <c r="P3898" s="9"/>
      <c r="Q3898" s="9"/>
      <c r="R3898" s="42"/>
      <c r="S3898" s="42"/>
      <c r="T3898" s="42"/>
      <c r="U3898" s="42"/>
      <c r="V3898" s="42"/>
      <c r="W3898" s="42"/>
    </row>
    <row r="3899">
      <c r="A3899" s="9"/>
      <c r="B3899" s="9"/>
      <c r="C3899" s="9"/>
      <c r="D3899" s="42"/>
      <c r="E3899" s="103"/>
      <c r="F3899" s="42"/>
      <c r="G3899" s="9"/>
      <c r="H3899" s="9"/>
      <c r="I3899" s="9"/>
      <c r="J3899" s="9"/>
      <c r="K3899" s="42"/>
      <c r="L3899" s="42"/>
      <c r="M3899" s="42"/>
      <c r="N3899" s="42"/>
      <c r="O3899" s="42"/>
      <c r="P3899" s="9"/>
      <c r="Q3899" s="9"/>
      <c r="R3899" s="42"/>
      <c r="S3899" s="42"/>
      <c r="T3899" s="42"/>
      <c r="U3899" s="42"/>
      <c r="V3899" s="42"/>
      <c r="W3899" s="42"/>
    </row>
    <row r="3900">
      <c r="A3900" s="9"/>
      <c r="B3900" s="9"/>
      <c r="C3900" s="9"/>
      <c r="D3900" s="42"/>
      <c r="E3900" s="103"/>
      <c r="F3900" s="42"/>
      <c r="G3900" s="9"/>
      <c r="H3900" s="9"/>
      <c r="I3900" s="9"/>
      <c r="J3900" s="9"/>
      <c r="K3900" s="42"/>
      <c r="L3900" s="42"/>
      <c r="M3900" s="42"/>
      <c r="N3900" s="42"/>
      <c r="O3900" s="42"/>
      <c r="P3900" s="9"/>
      <c r="Q3900" s="9"/>
      <c r="R3900" s="42"/>
      <c r="S3900" s="42"/>
      <c r="T3900" s="42"/>
      <c r="U3900" s="42"/>
      <c r="V3900" s="42"/>
      <c r="W3900" s="42"/>
    </row>
    <row r="3901">
      <c r="A3901" s="9"/>
      <c r="B3901" s="9"/>
      <c r="C3901" s="9"/>
      <c r="D3901" s="42"/>
      <c r="E3901" s="103"/>
      <c r="F3901" s="42"/>
      <c r="G3901" s="9"/>
      <c r="H3901" s="9"/>
      <c r="I3901" s="9"/>
      <c r="J3901" s="9"/>
      <c r="K3901" s="42"/>
      <c r="L3901" s="42"/>
      <c r="M3901" s="42"/>
      <c r="N3901" s="42"/>
      <c r="O3901" s="42"/>
      <c r="P3901" s="9"/>
      <c r="Q3901" s="9"/>
      <c r="R3901" s="42"/>
      <c r="S3901" s="42"/>
      <c r="T3901" s="42"/>
      <c r="U3901" s="42"/>
      <c r="V3901" s="42"/>
      <c r="W3901" s="42"/>
    </row>
    <row r="3902">
      <c r="A3902" s="9"/>
      <c r="B3902" s="9"/>
      <c r="C3902" s="9"/>
      <c r="D3902" s="42"/>
      <c r="E3902" s="103"/>
      <c r="F3902" s="42"/>
      <c r="G3902" s="9"/>
      <c r="H3902" s="9"/>
      <c r="I3902" s="9"/>
      <c r="J3902" s="9"/>
      <c r="K3902" s="42"/>
      <c r="L3902" s="42"/>
      <c r="M3902" s="42"/>
      <c r="N3902" s="42"/>
      <c r="O3902" s="42"/>
      <c r="P3902" s="9"/>
      <c r="Q3902" s="9"/>
      <c r="R3902" s="42"/>
      <c r="S3902" s="42"/>
      <c r="T3902" s="42"/>
      <c r="U3902" s="42"/>
      <c r="V3902" s="42"/>
      <c r="W3902" s="42"/>
    </row>
    <row r="3903">
      <c r="A3903" s="9"/>
      <c r="B3903" s="9"/>
      <c r="C3903" s="9"/>
      <c r="D3903" s="42"/>
      <c r="E3903" s="103"/>
      <c r="F3903" s="42"/>
      <c r="G3903" s="9"/>
      <c r="H3903" s="9"/>
      <c r="I3903" s="9"/>
      <c r="J3903" s="9"/>
      <c r="K3903" s="42"/>
      <c r="L3903" s="42"/>
      <c r="M3903" s="42"/>
      <c r="N3903" s="42"/>
      <c r="O3903" s="42"/>
      <c r="P3903" s="9"/>
      <c r="Q3903" s="9"/>
      <c r="R3903" s="42"/>
      <c r="S3903" s="42"/>
      <c r="T3903" s="42"/>
      <c r="U3903" s="42"/>
      <c r="V3903" s="42"/>
      <c r="W3903" s="42"/>
    </row>
    <row r="3904">
      <c r="A3904" s="9"/>
      <c r="B3904" s="9"/>
      <c r="C3904" s="9"/>
      <c r="D3904" s="42"/>
      <c r="E3904" s="103"/>
      <c r="F3904" s="42"/>
      <c r="G3904" s="9"/>
      <c r="H3904" s="9"/>
      <c r="I3904" s="9"/>
      <c r="J3904" s="9"/>
      <c r="K3904" s="42"/>
      <c r="L3904" s="42"/>
      <c r="M3904" s="42"/>
      <c r="N3904" s="42"/>
      <c r="O3904" s="42"/>
      <c r="P3904" s="9"/>
      <c r="Q3904" s="9"/>
      <c r="R3904" s="42"/>
      <c r="S3904" s="42"/>
      <c r="T3904" s="42"/>
      <c r="U3904" s="42"/>
      <c r="V3904" s="42"/>
      <c r="W3904" s="42"/>
    </row>
    <row r="3905">
      <c r="A3905" s="9"/>
      <c r="B3905" s="9"/>
      <c r="C3905" s="9"/>
      <c r="D3905" s="42"/>
      <c r="E3905" s="103"/>
      <c r="F3905" s="42"/>
      <c r="G3905" s="9"/>
      <c r="H3905" s="9"/>
      <c r="I3905" s="9"/>
      <c r="J3905" s="9"/>
      <c r="K3905" s="42"/>
      <c r="L3905" s="42"/>
      <c r="M3905" s="42"/>
      <c r="N3905" s="42"/>
      <c r="O3905" s="42"/>
      <c r="P3905" s="9"/>
      <c r="Q3905" s="9"/>
      <c r="R3905" s="42"/>
      <c r="S3905" s="42"/>
      <c r="T3905" s="42"/>
      <c r="U3905" s="42"/>
      <c r="V3905" s="42"/>
      <c r="W3905" s="42"/>
    </row>
    <row r="3906">
      <c r="A3906" s="9"/>
      <c r="B3906" s="9"/>
      <c r="C3906" s="9"/>
      <c r="D3906" s="42"/>
      <c r="E3906" s="103"/>
      <c r="F3906" s="42"/>
      <c r="G3906" s="9"/>
      <c r="H3906" s="9"/>
      <c r="I3906" s="9"/>
      <c r="J3906" s="9"/>
      <c r="K3906" s="42"/>
      <c r="L3906" s="42"/>
      <c r="M3906" s="42"/>
      <c r="N3906" s="42"/>
      <c r="O3906" s="42"/>
      <c r="P3906" s="9"/>
      <c r="Q3906" s="9"/>
      <c r="R3906" s="42"/>
      <c r="S3906" s="42"/>
      <c r="T3906" s="42"/>
      <c r="U3906" s="42"/>
      <c r="V3906" s="42"/>
      <c r="W3906" s="42"/>
    </row>
    <row r="3907">
      <c r="A3907" s="9"/>
      <c r="B3907" s="9"/>
      <c r="C3907" s="9"/>
      <c r="D3907" s="42"/>
      <c r="E3907" s="103"/>
      <c r="F3907" s="42"/>
      <c r="G3907" s="9"/>
      <c r="H3907" s="9"/>
      <c r="I3907" s="9"/>
      <c r="J3907" s="9"/>
      <c r="K3907" s="42"/>
      <c r="L3907" s="42"/>
      <c r="M3907" s="42"/>
      <c r="N3907" s="42"/>
      <c r="O3907" s="42"/>
      <c r="P3907" s="9"/>
      <c r="Q3907" s="9"/>
      <c r="R3907" s="42"/>
      <c r="S3907" s="42"/>
      <c r="T3907" s="42"/>
      <c r="U3907" s="42"/>
      <c r="V3907" s="42"/>
      <c r="W3907" s="42"/>
    </row>
    <row r="3908">
      <c r="A3908" s="9"/>
      <c r="B3908" s="9"/>
      <c r="C3908" s="9"/>
      <c r="D3908" s="42"/>
      <c r="E3908" s="103"/>
      <c r="F3908" s="42"/>
      <c r="G3908" s="9"/>
      <c r="H3908" s="9"/>
      <c r="I3908" s="9"/>
      <c r="J3908" s="9"/>
      <c r="K3908" s="42"/>
      <c r="L3908" s="42"/>
      <c r="M3908" s="42"/>
      <c r="N3908" s="42"/>
      <c r="O3908" s="42"/>
      <c r="P3908" s="9"/>
      <c r="Q3908" s="9"/>
      <c r="R3908" s="42"/>
      <c r="S3908" s="42"/>
      <c r="T3908" s="42"/>
      <c r="U3908" s="42"/>
      <c r="V3908" s="42"/>
      <c r="W3908" s="42"/>
    </row>
    <row r="3909">
      <c r="A3909" s="9"/>
      <c r="B3909" s="9"/>
      <c r="C3909" s="9"/>
      <c r="D3909" s="42"/>
      <c r="E3909" s="103"/>
      <c r="F3909" s="42"/>
      <c r="G3909" s="9"/>
      <c r="H3909" s="9"/>
      <c r="I3909" s="9"/>
      <c r="J3909" s="9"/>
      <c r="K3909" s="42"/>
      <c r="L3909" s="42"/>
      <c r="M3909" s="42"/>
      <c r="N3909" s="42"/>
      <c r="O3909" s="42"/>
      <c r="P3909" s="9"/>
      <c r="Q3909" s="9"/>
      <c r="R3909" s="42"/>
      <c r="S3909" s="42"/>
      <c r="T3909" s="42"/>
      <c r="U3909" s="42"/>
      <c r="V3909" s="42"/>
      <c r="W3909" s="42"/>
    </row>
    <row r="3910">
      <c r="A3910" s="9"/>
      <c r="B3910" s="9"/>
      <c r="C3910" s="9"/>
      <c r="D3910" s="42"/>
      <c r="E3910" s="103"/>
      <c r="F3910" s="42"/>
      <c r="G3910" s="9"/>
      <c r="H3910" s="9"/>
      <c r="I3910" s="9"/>
      <c r="J3910" s="9"/>
      <c r="K3910" s="42"/>
      <c r="L3910" s="42"/>
      <c r="M3910" s="42"/>
      <c r="N3910" s="42"/>
      <c r="O3910" s="42"/>
      <c r="P3910" s="9"/>
      <c r="Q3910" s="9"/>
      <c r="R3910" s="42"/>
      <c r="S3910" s="42"/>
      <c r="T3910" s="42"/>
      <c r="U3910" s="42"/>
      <c r="V3910" s="42"/>
      <c r="W3910" s="42"/>
    </row>
    <row r="3911">
      <c r="A3911" s="9"/>
      <c r="B3911" s="9"/>
      <c r="C3911" s="9"/>
      <c r="D3911" s="42"/>
      <c r="E3911" s="103"/>
      <c r="F3911" s="42"/>
      <c r="G3911" s="9"/>
      <c r="H3911" s="9"/>
      <c r="I3911" s="9"/>
      <c r="J3911" s="9"/>
      <c r="K3911" s="42"/>
      <c r="L3911" s="42"/>
      <c r="M3911" s="42"/>
      <c r="N3911" s="42"/>
      <c r="O3911" s="42"/>
      <c r="P3911" s="9"/>
      <c r="Q3911" s="9"/>
      <c r="R3911" s="42"/>
      <c r="S3911" s="42"/>
      <c r="T3911" s="42"/>
      <c r="U3911" s="42"/>
      <c r="V3911" s="42"/>
      <c r="W3911" s="42"/>
    </row>
    <row r="3912">
      <c r="A3912" s="9"/>
      <c r="B3912" s="9"/>
      <c r="C3912" s="9"/>
      <c r="D3912" s="42"/>
      <c r="E3912" s="103"/>
      <c r="F3912" s="42"/>
      <c r="G3912" s="9"/>
      <c r="H3912" s="9"/>
      <c r="I3912" s="9"/>
      <c r="J3912" s="9"/>
      <c r="K3912" s="42"/>
      <c r="L3912" s="42"/>
      <c r="M3912" s="42"/>
      <c r="N3912" s="42"/>
      <c r="O3912" s="42"/>
      <c r="P3912" s="9"/>
      <c r="Q3912" s="9"/>
      <c r="R3912" s="42"/>
      <c r="S3912" s="42"/>
      <c r="T3912" s="42"/>
      <c r="U3912" s="42"/>
      <c r="V3912" s="42"/>
      <c r="W3912" s="42"/>
    </row>
    <row r="3913">
      <c r="A3913" s="9"/>
      <c r="B3913" s="9"/>
      <c r="C3913" s="9"/>
      <c r="D3913" s="42"/>
      <c r="E3913" s="103"/>
      <c r="F3913" s="42"/>
      <c r="G3913" s="9"/>
      <c r="H3913" s="9"/>
      <c r="I3913" s="9"/>
      <c r="J3913" s="9"/>
      <c r="K3913" s="42"/>
      <c r="L3913" s="42"/>
      <c r="M3913" s="42"/>
      <c r="N3913" s="42"/>
      <c r="O3913" s="42"/>
      <c r="P3913" s="9"/>
      <c r="Q3913" s="9"/>
      <c r="R3913" s="42"/>
      <c r="S3913" s="42"/>
      <c r="T3913" s="42"/>
      <c r="U3913" s="42"/>
      <c r="V3913" s="42"/>
      <c r="W3913" s="42"/>
    </row>
    <row r="3914">
      <c r="A3914" s="9"/>
      <c r="B3914" s="9"/>
      <c r="C3914" s="9"/>
      <c r="D3914" s="42"/>
      <c r="E3914" s="103"/>
      <c r="F3914" s="42"/>
      <c r="G3914" s="9"/>
      <c r="H3914" s="9"/>
      <c r="I3914" s="9"/>
      <c r="J3914" s="9"/>
      <c r="K3914" s="42"/>
      <c r="L3914" s="42"/>
      <c r="M3914" s="42"/>
      <c r="N3914" s="42"/>
      <c r="O3914" s="42"/>
      <c r="P3914" s="9"/>
      <c r="Q3914" s="9"/>
      <c r="R3914" s="42"/>
      <c r="S3914" s="42"/>
      <c r="T3914" s="42"/>
      <c r="U3914" s="42"/>
      <c r="V3914" s="42"/>
      <c r="W3914" s="42"/>
    </row>
    <row r="3915">
      <c r="A3915" s="9"/>
      <c r="B3915" s="9"/>
      <c r="C3915" s="9"/>
      <c r="D3915" s="42"/>
      <c r="E3915" s="103"/>
      <c r="F3915" s="42"/>
      <c r="G3915" s="9"/>
      <c r="H3915" s="9"/>
      <c r="I3915" s="9"/>
      <c r="J3915" s="9"/>
      <c r="K3915" s="42"/>
      <c r="L3915" s="42"/>
      <c r="M3915" s="42"/>
      <c r="N3915" s="42"/>
      <c r="O3915" s="42"/>
      <c r="P3915" s="9"/>
      <c r="Q3915" s="9"/>
      <c r="R3915" s="42"/>
      <c r="S3915" s="42"/>
      <c r="T3915" s="42"/>
      <c r="U3915" s="42"/>
      <c r="V3915" s="42"/>
      <c r="W3915" s="42"/>
    </row>
    <row r="3916">
      <c r="A3916" s="9"/>
      <c r="B3916" s="9"/>
      <c r="C3916" s="9"/>
      <c r="D3916" s="42"/>
      <c r="E3916" s="103"/>
      <c r="F3916" s="42"/>
      <c r="G3916" s="9"/>
      <c r="H3916" s="9"/>
      <c r="I3916" s="9"/>
      <c r="J3916" s="9"/>
      <c r="K3916" s="42"/>
      <c r="L3916" s="42"/>
      <c r="M3916" s="42"/>
      <c r="N3916" s="42"/>
      <c r="O3916" s="42"/>
      <c r="P3916" s="9"/>
      <c r="Q3916" s="9"/>
      <c r="R3916" s="42"/>
      <c r="S3916" s="42"/>
      <c r="T3916" s="42"/>
      <c r="U3916" s="42"/>
      <c r="V3916" s="42"/>
      <c r="W3916" s="42"/>
    </row>
    <row r="3917">
      <c r="A3917" s="9"/>
      <c r="B3917" s="9"/>
      <c r="C3917" s="9"/>
      <c r="D3917" s="42"/>
      <c r="E3917" s="103"/>
      <c r="F3917" s="42"/>
      <c r="G3917" s="9"/>
      <c r="H3917" s="9"/>
      <c r="I3917" s="9"/>
      <c r="J3917" s="9"/>
      <c r="K3917" s="42"/>
      <c r="L3917" s="42"/>
      <c r="M3917" s="42"/>
      <c r="N3917" s="42"/>
      <c r="O3917" s="42"/>
      <c r="P3917" s="9"/>
      <c r="Q3917" s="9"/>
      <c r="R3917" s="42"/>
      <c r="S3917" s="42"/>
      <c r="T3917" s="42"/>
      <c r="U3917" s="42"/>
      <c r="V3917" s="42"/>
      <c r="W3917" s="42"/>
    </row>
    <row r="3918">
      <c r="A3918" s="9"/>
      <c r="B3918" s="9"/>
      <c r="C3918" s="9"/>
      <c r="D3918" s="42"/>
      <c r="E3918" s="103"/>
      <c r="F3918" s="42"/>
      <c r="G3918" s="9"/>
      <c r="H3918" s="9"/>
      <c r="I3918" s="9"/>
      <c r="J3918" s="9"/>
      <c r="K3918" s="42"/>
      <c r="L3918" s="42"/>
      <c r="M3918" s="42"/>
      <c r="N3918" s="42"/>
      <c r="O3918" s="42"/>
      <c r="P3918" s="9"/>
      <c r="Q3918" s="9"/>
      <c r="R3918" s="42"/>
      <c r="S3918" s="42"/>
      <c r="T3918" s="42"/>
      <c r="U3918" s="42"/>
      <c r="V3918" s="42"/>
      <c r="W3918" s="42"/>
    </row>
    <row r="3919">
      <c r="A3919" s="9"/>
      <c r="B3919" s="9"/>
      <c r="C3919" s="9"/>
      <c r="D3919" s="42"/>
      <c r="E3919" s="103"/>
      <c r="F3919" s="42"/>
      <c r="G3919" s="9"/>
      <c r="H3919" s="9"/>
      <c r="I3919" s="9"/>
      <c r="J3919" s="9"/>
      <c r="K3919" s="42"/>
      <c r="L3919" s="42"/>
      <c r="M3919" s="42"/>
      <c r="N3919" s="42"/>
      <c r="O3919" s="42"/>
      <c r="P3919" s="9"/>
      <c r="Q3919" s="9"/>
      <c r="R3919" s="42"/>
      <c r="S3919" s="42"/>
      <c r="T3919" s="42"/>
      <c r="U3919" s="42"/>
      <c r="V3919" s="42"/>
      <c r="W3919" s="42"/>
    </row>
    <row r="3920">
      <c r="A3920" s="9"/>
      <c r="B3920" s="9"/>
      <c r="C3920" s="9"/>
      <c r="D3920" s="42"/>
      <c r="E3920" s="103"/>
      <c r="F3920" s="42"/>
      <c r="G3920" s="9"/>
      <c r="H3920" s="9"/>
      <c r="I3920" s="9"/>
      <c r="J3920" s="9"/>
      <c r="K3920" s="42"/>
      <c r="L3920" s="42"/>
      <c r="M3920" s="42"/>
      <c r="N3920" s="42"/>
      <c r="O3920" s="42"/>
      <c r="P3920" s="9"/>
      <c r="Q3920" s="9"/>
      <c r="R3920" s="42"/>
      <c r="S3920" s="42"/>
      <c r="T3920" s="42"/>
      <c r="U3920" s="42"/>
      <c r="V3920" s="42"/>
      <c r="W3920" s="42"/>
    </row>
    <row r="3921">
      <c r="A3921" s="9"/>
      <c r="B3921" s="9"/>
      <c r="C3921" s="9"/>
      <c r="D3921" s="42"/>
      <c r="E3921" s="103"/>
      <c r="F3921" s="42"/>
      <c r="G3921" s="9"/>
      <c r="H3921" s="9"/>
      <c r="I3921" s="9"/>
      <c r="J3921" s="9"/>
      <c r="K3921" s="42"/>
      <c r="L3921" s="42"/>
      <c r="M3921" s="42"/>
      <c r="N3921" s="42"/>
      <c r="O3921" s="42"/>
      <c r="P3921" s="9"/>
      <c r="Q3921" s="9"/>
      <c r="R3921" s="42"/>
      <c r="S3921" s="42"/>
      <c r="T3921" s="42"/>
      <c r="U3921" s="42"/>
      <c r="V3921" s="42"/>
      <c r="W3921" s="42"/>
    </row>
    <row r="3922">
      <c r="A3922" s="9"/>
      <c r="B3922" s="9"/>
      <c r="C3922" s="9"/>
      <c r="D3922" s="42"/>
      <c r="E3922" s="103"/>
      <c r="F3922" s="42"/>
      <c r="G3922" s="9"/>
      <c r="H3922" s="9"/>
      <c r="I3922" s="9"/>
      <c r="J3922" s="9"/>
      <c r="K3922" s="42"/>
      <c r="L3922" s="42"/>
      <c r="M3922" s="42"/>
      <c r="N3922" s="42"/>
      <c r="O3922" s="42"/>
      <c r="P3922" s="9"/>
      <c r="Q3922" s="9"/>
      <c r="R3922" s="42"/>
      <c r="S3922" s="42"/>
      <c r="T3922" s="42"/>
      <c r="U3922" s="42"/>
      <c r="V3922" s="42"/>
      <c r="W3922" s="42"/>
    </row>
    <row r="3923">
      <c r="A3923" s="9"/>
      <c r="B3923" s="9"/>
      <c r="C3923" s="9"/>
      <c r="D3923" s="42"/>
      <c r="E3923" s="103"/>
      <c r="F3923" s="42"/>
      <c r="G3923" s="9"/>
      <c r="H3923" s="9"/>
      <c r="I3923" s="9"/>
      <c r="J3923" s="9"/>
      <c r="K3923" s="42"/>
      <c r="L3923" s="42"/>
      <c r="M3923" s="42"/>
      <c r="N3923" s="42"/>
      <c r="O3923" s="42"/>
      <c r="P3923" s="9"/>
      <c r="Q3923" s="9"/>
      <c r="R3923" s="42"/>
      <c r="S3923" s="42"/>
      <c r="T3923" s="42"/>
      <c r="U3923" s="42"/>
      <c r="V3923" s="42"/>
      <c r="W3923" s="42"/>
    </row>
    <row r="3924">
      <c r="A3924" s="9"/>
      <c r="B3924" s="9"/>
      <c r="C3924" s="9"/>
      <c r="D3924" s="42"/>
      <c r="E3924" s="103"/>
      <c r="F3924" s="42"/>
      <c r="G3924" s="9"/>
      <c r="H3924" s="9"/>
      <c r="I3924" s="9"/>
      <c r="J3924" s="9"/>
      <c r="K3924" s="42"/>
      <c r="L3924" s="42"/>
      <c r="M3924" s="42"/>
      <c r="N3924" s="42"/>
      <c r="O3924" s="42"/>
      <c r="P3924" s="9"/>
      <c r="Q3924" s="9"/>
      <c r="R3924" s="42"/>
      <c r="S3924" s="42"/>
      <c r="T3924" s="42"/>
      <c r="U3924" s="42"/>
      <c r="V3924" s="42"/>
      <c r="W3924" s="42"/>
    </row>
    <row r="3925">
      <c r="A3925" s="9"/>
      <c r="B3925" s="9"/>
      <c r="C3925" s="9"/>
      <c r="D3925" s="42"/>
      <c r="E3925" s="103"/>
      <c r="F3925" s="42"/>
      <c r="G3925" s="9"/>
      <c r="H3925" s="9"/>
      <c r="I3925" s="9"/>
      <c r="J3925" s="9"/>
      <c r="K3925" s="42"/>
      <c r="L3925" s="42"/>
      <c r="M3925" s="42"/>
      <c r="N3925" s="42"/>
      <c r="O3925" s="42"/>
      <c r="P3925" s="9"/>
      <c r="Q3925" s="9"/>
      <c r="R3925" s="42"/>
      <c r="S3925" s="42"/>
      <c r="T3925" s="42"/>
      <c r="U3925" s="42"/>
      <c r="V3925" s="42"/>
      <c r="W3925" s="42"/>
    </row>
    <row r="3926">
      <c r="A3926" s="9"/>
      <c r="B3926" s="9"/>
      <c r="C3926" s="9"/>
      <c r="D3926" s="42"/>
      <c r="E3926" s="103"/>
      <c r="F3926" s="42"/>
      <c r="G3926" s="9"/>
      <c r="H3926" s="9"/>
      <c r="I3926" s="9"/>
      <c r="J3926" s="9"/>
      <c r="K3926" s="42"/>
      <c r="L3926" s="42"/>
      <c r="M3926" s="42"/>
      <c r="N3926" s="42"/>
      <c r="O3926" s="42"/>
      <c r="P3926" s="9"/>
      <c r="Q3926" s="9"/>
      <c r="R3926" s="42"/>
      <c r="S3926" s="42"/>
      <c r="T3926" s="42"/>
      <c r="U3926" s="42"/>
      <c r="V3926" s="42"/>
      <c r="W3926" s="42"/>
    </row>
    <row r="3927">
      <c r="A3927" s="9"/>
      <c r="B3927" s="9"/>
      <c r="C3927" s="9"/>
      <c r="D3927" s="42"/>
      <c r="E3927" s="103"/>
      <c r="F3927" s="42"/>
      <c r="G3927" s="9"/>
      <c r="H3927" s="9"/>
      <c r="I3927" s="9"/>
      <c r="J3927" s="9"/>
      <c r="K3927" s="42"/>
      <c r="L3927" s="42"/>
      <c r="M3927" s="42"/>
      <c r="N3927" s="42"/>
      <c r="O3927" s="42"/>
      <c r="P3927" s="9"/>
      <c r="Q3927" s="9"/>
      <c r="R3927" s="42"/>
      <c r="S3927" s="42"/>
      <c r="T3927" s="42"/>
      <c r="U3927" s="42"/>
      <c r="V3927" s="42"/>
      <c r="W3927" s="42"/>
    </row>
    <row r="3928">
      <c r="A3928" s="9"/>
      <c r="B3928" s="9"/>
      <c r="C3928" s="9"/>
      <c r="D3928" s="42"/>
      <c r="E3928" s="103"/>
      <c r="F3928" s="42"/>
      <c r="G3928" s="9"/>
      <c r="H3928" s="9"/>
      <c r="I3928" s="9"/>
      <c r="J3928" s="9"/>
      <c r="K3928" s="42"/>
      <c r="L3928" s="42"/>
      <c r="M3928" s="42"/>
      <c r="N3928" s="42"/>
      <c r="O3928" s="42"/>
      <c r="P3928" s="9"/>
      <c r="Q3928" s="9"/>
      <c r="R3928" s="42"/>
      <c r="S3928" s="42"/>
      <c r="T3928" s="42"/>
      <c r="U3928" s="42"/>
      <c r="V3928" s="42"/>
      <c r="W3928" s="42"/>
    </row>
    <row r="3929">
      <c r="A3929" s="9"/>
      <c r="B3929" s="9"/>
      <c r="C3929" s="9"/>
      <c r="D3929" s="42"/>
      <c r="E3929" s="103"/>
      <c r="F3929" s="42"/>
      <c r="G3929" s="9"/>
      <c r="H3929" s="9"/>
      <c r="I3929" s="9"/>
      <c r="J3929" s="9"/>
      <c r="K3929" s="42"/>
      <c r="L3929" s="42"/>
      <c r="M3929" s="42"/>
      <c r="N3929" s="42"/>
      <c r="O3929" s="42"/>
      <c r="P3929" s="9"/>
      <c r="Q3929" s="9"/>
      <c r="R3929" s="42"/>
      <c r="S3929" s="42"/>
      <c r="T3929" s="42"/>
      <c r="U3929" s="42"/>
      <c r="V3929" s="42"/>
      <c r="W3929" s="42"/>
    </row>
    <row r="3930">
      <c r="A3930" s="9"/>
      <c r="B3930" s="9"/>
      <c r="C3930" s="9"/>
      <c r="D3930" s="42"/>
      <c r="E3930" s="103"/>
      <c r="F3930" s="42"/>
      <c r="G3930" s="9"/>
      <c r="H3930" s="9"/>
      <c r="I3930" s="9"/>
      <c r="J3930" s="9"/>
      <c r="K3930" s="42"/>
      <c r="L3930" s="42"/>
      <c r="M3930" s="42"/>
      <c r="N3930" s="42"/>
      <c r="O3930" s="42"/>
      <c r="P3930" s="9"/>
      <c r="Q3930" s="9"/>
      <c r="R3930" s="42"/>
      <c r="S3930" s="42"/>
      <c r="T3930" s="42"/>
      <c r="U3930" s="42"/>
      <c r="V3930" s="42"/>
      <c r="W3930" s="42"/>
    </row>
    <row r="3931">
      <c r="A3931" s="9"/>
      <c r="B3931" s="9"/>
      <c r="C3931" s="9"/>
      <c r="D3931" s="42"/>
      <c r="E3931" s="103"/>
      <c r="F3931" s="42"/>
      <c r="G3931" s="9"/>
      <c r="H3931" s="9"/>
      <c r="I3931" s="9"/>
      <c r="J3931" s="9"/>
      <c r="K3931" s="42"/>
      <c r="L3931" s="42"/>
      <c r="M3931" s="42"/>
      <c r="N3931" s="42"/>
      <c r="O3931" s="42"/>
      <c r="P3931" s="9"/>
      <c r="Q3931" s="9"/>
      <c r="R3931" s="42"/>
      <c r="S3931" s="42"/>
      <c r="T3931" s="42"/>
      <c r="U3931" s="42"/>
      <c r="V3931" s="42"/>
      <c r="W3931" s="42"/>
    </row>
    <row r="3932">
      <c r="A3932" s="9"/>
      <c r="B3932" s="9"/>
      <c r="C3932" s="9"/>
      <c r="D3932" s="42"/>
      <c r="E3932" s="103"/>
      <c r="F3932" s="42"/>
      <c r="G3932" s="9"/>
      <c r="H3932" s="9"/>
      <c r="I3932" s="9"/>
      <c r="J3932" s="9"/>
      <c r="K3932" s="42"/>
      <c r="L3932" s="42"/>
      <c r="M3932" s="42"/>
      <c r="N3932" s="42"/>
      <c r="O3932" s="42"/>
      <c r="P3932" s="9"/>
      <c r="Q3932" s="9"/>
      <c r="R3932" s="42"/>
      <c r="S3932" s="42"/>
      <c r="T3932" s="42"/>
      <c r="U3932" s="42"/>
      <c r="V3932" s="42"/>
      <c r="W3932" s="42"/>
    </row>
    <row r="3933">
      <c r="A3933" s="9"/>
      <c r="B3933" s="9"/>
      <c r="C3933" s="9"/>
      <c r="D3933" s="42"/>
      <c r="E3933" s="103"/>
      <c r="F3933" s="42"/>
      <c r="G3933" s="9"/>
      <c r="H3933" s="9"/>
      <c r="I3933" s="9"/>
      <c r="J3933" s="9"/>
      <c r="K3933" s="42"/>
      <c r="L3933" s="42"/>
      <c r="M3933" s="42"/>
      <c r="N3933" s="42"/>
      <c r="O3933" s="42"/>
      <c r="P3933" s="9"/>
      <c r="Q3933" s="9"/>
      <c r="R3933" s="42"/>
      <c r="S3933" s="42"/>
      <c r="T3933" s="42"/>
      <c r="U3933" s="42"/>
      <c r="V3933" s="42"/>
      <c r="W3933" s="42"/>
    </row>
    <row r="3934">
      <c r="A3934" s="9"/>
      <c r="B3934" s="9"/>
      <c r="C3934" s="9"/>
      <c r="D3934" s="42"/>
      <c r="E3934" s="103"/>
      <c r="F3934" s="42"/>
      <c r="G3934" s="9"/>
      <c r="H3934" s="9"/>
      <c r="I3934" s="9"/>
      <c r="J3934" s="9"/>
      <c r="K3934" s="42"/>
      <c r="L3934" s="42"/>
      <c r="M3934" s="42"/>
      <c r="N3934" s="42"/>
      <c r="O3934" s="42"/>
      <c r="P3934" s="9"/>
      <c r="Q3934" s="9"/>
      <c r="R3934" s="42"/>
      <c r="S3934" s="42"/>
      <c r="T3934" s="42"/>
      <c r="U3934" s="42"/>
      <c r="V3934" s="42"/>
      <c r="W3934" s="42"/>
    </row>
    <row r="3935">
      <c r="A3935" s="9"/>
      <c r="B3935" s="9"/>
      <c r="C3935" s="9"/>
      <c r="D3935" s="42"/>
      <c r="E3935" s="103"/>
      <c r="F3935" s="42"/>
      <c r="G3935" s="9"/>
      <c r="H3935" s="9"/>
      <c r="I3935" s="9"/>
      <c r="J3935" s="9"/>
      <c r="K3935" s="42"/>
      <c r="L3935" s="42"/>
      <c r="M3935" s="42"/>
      <c r="N3935" s="42"/>
      <c r="O3935" s="42"/>
      <c r="P3935" s="9"/>
      <c r="Q3935" s="9"/>
      <c r="R3935" s="42"/>
      <c r="S3935" s="42"/>
      <c r="T3935" s="42"/>
      <c r="U3935" s="42"/>
      <c r="V3935" s="42"/>
      <c r="W3935" s="42"/>
    </row>
    <row r="3936">
      <c r="A3936" s="9"/>
      <c r="B3936" s="9"/>
      <c r="C3936" s="9"/>
      <c r="D3936" s="42"/>
      <c r="E3936" s="103"/>
      <c r="F3936" s="42"/>
      <c r="G3936" s="9"/>
      <c r="H3936" s="9"/>
      <c r="I3936" s="9"/>
      <c r="J3936" s="9"/>
      <c r="K3936" s="42"/>
      <c r="L3936" s="42"/>
      <c r="M3936" s="42"/>
      <c r="N3936" s="42"/>
      <c r="O3936" s="42"/>
      <c r="P3936" s="9"/>
      <c r="Q3936" s="9"/>
      <c r="R3936" s="42"/>
      <c r="S3936" s="42"/>
      <c r="T3936" s="42"/>
      <c r="U3936" s="42"/>
      <c r="V3936" s="42"/>
      <c r="W3936" s="42"/>
    </row>
    <row r="3937">
      <c r="A3937" s="9"/>
      <c r="B3937" s="9"/>
      <c r="C3937" s="9"/>
      <c r="D3937" s="42"/>
      <c r="E3937" s="103"/>
      <c r="F3937" s="42"/>
      <c r="G3937" s="9"/>
      <c r="H3937" s="9"/>
      <c r="I3937" s="9"/>
      <c r="J3937" s="9"/>
      <c r="K3937" s="42"/>
      <c r="L3937" s="42"/>
      <c r="M3937" s="42"/>
      <c r="N3937" s="42"/>
      <c r="O3937" s="42"/>
      <c r="P3937" s="9"/>
      <c r="Q3937" s="9"/>
      <c r="R3937" s="42"/>
      <c r="S3937" s="42"/>
      <c r="T3937" s="42"/>
      <c r="U3937" s="42"/>
      <c r="V3937" s="42"/>
      <c r="W3937" s="42"/>
    </row>
    <row r="3938">
      <c r="A3938" s="9"/>
      <c r="B3938" s="9"/>
      <c r="C3938" s="9"/>
      <c r="D3938" s="42"/>
      <c r="E3938" s="103"/>
      <c r="F3938" s="42"/>
      <c r="G3938" s="9"/>
      <c r="H3938" s="9"/>
      <c r="I3938" s="9"/>
      <c r="J3938" s="9"/>
      <c r="K3938" s="42"/>
      <c r="L3938" s="42"/>
      <c r="M3938" s="42"/>
      <c r="N3938" s="42"/>
      <c r="O3938" s="42"/>
      <c r="P3938" s="9"/>
      <c r="Q3938" s="9"/>
      <c r="R3938" s="42"/>
      <c r="S3938" s="42"/>
      <c r="T3938" s="42"/>
      <c r="U3938" s="42"/>
      <c r="V3938" s="42"/>
      <c r="W3938" s="42"/>
    </row>
    <row r="3939">
      <c r="A3939" s="9"/>
      <c r="B3939" s="9"/>
      <c r="C3939" s="9"/>
      <c r="D3939" s="42"/>
      <c r="E3939" s="103"/>
      <c r="F3939" s="42"/>
      <c r="G3939" s="9"/>
      <c r="H3939" s="9"/>
      <c r="I3939" s="9"/>
      <c r="J3939" s="9"/>
      <c r="K3939" s="42"/>
      <c r="L3939" s="42"/>
      <c r="M3939" s="42"/>
      <c r="N3939" s="42"/>
      <c r="O3939" s="42"/>
      <c r="P3939" s="9"/>
      <c r="Q3939" s="9"/>
      <c r="R3939" s="42"/>
      <c r="S3939" s="42"/>
      <c r="T3939" s="42"/>
      <c r="U3939" s="42"/>
      <c r="V3939" s="42"/>
      <c r="W3939" s="42"/>
    </row>
    <row r="3940">
      <c r="A3940" s="9"/>
      <c r="B3940" s="9"/>
      <c r="C3940" s="9"/>
      <c r="D3940" s="42"/>
      <c r="E3940" s="103"/>
      <c r="F3940" s="42"/>
      <c r="G3940" s="9"/>
      <c r="H3940" s="9"/>
      <c r="I3940" s="9"/>
      <c r="J3940" s="9"/>
      <c r="K3940" s="42"/>
      <c r="L3940" s="42"/>
      <c r="M3940" s="42"/>
      <c r="N3940" s="42"/>
      <c r="O3940" s="42"/>
      <c r="P3940" s="9"/>
      <c r="Q3940" s="9"/>
      <c r="R3940" s="42"/>
      <c r="S3940" s="42"/>
      <c r="T3940" s="42"/>
      <c r="U3940" s="42"/>
      <c r="V3940" s="42"/>
      <c r="W3940" s="42"/>
    </row>
    <row r="3941">
      <c r="A3941" s="9"/>
      <c r="B3941" s="9"/>
      <c r="C3941" s="9"/>
      <c r="D3941" s="42"/>
      <c r="E3941" s="103"/>
      <c r="F3941" s="42"/>
      <c r="G3941" s="9"/>
      <c r="H3941" s="9"/>
      <c r="I3941" s="9"/>
      <c r="J3941" s="9"/>
      <c r="K3941" s="42"/>
      <c r="L3941" s="42"/>
      <c r="M3941" s="42"/>
      <c r="N3941" s="42"/>
      <c r="O3941" s="42"/>
      <c r="P3941" s="9"/>
      <c r="Q3941" s="9"/>
      <c r="R3941" s="42"/>
      <c r="S3941" s="42"/>
      <c r="T3941" s="42"/>
      <c r="U3941" s="42"/>
      <c r="V3941" s="42"/>
      <c r="W3941" s="42"/>
    </row>
    <row r="3942">
      <c r="A3942" s="9"/>
      <c r="B3942" s="9"/>
      <c r="C3942" s="9"/>
      <c r="D3942" s="42"/>
      <c r="E3942" s="103"/>
      <c r="F3942" s="42"/>
      <c r="G3942" s="9"/>
      <c r="H3942" s="9"/>
      <c r="I3942" s="9"/>
      <c r="J3942" s="9"/>
      <c r="K3942" s="42"/>
      <c r="L3942" s="42"/>
      <c r="M3942" s="42"/>
      <c r="N3942" s="42"/>
      <c r="O3942" s="42"/>
      <c r="P3942" s="9"/>
      <c r="Q3942" s="9"/>
      <c r="R3942" s="42"/>
      <c r="S3942" s="42"/>
      <c r="T3942" s="42"/>
      <c r="U3942" s="42"/>
      <c r="V3942" s="42"/>
      <c r="W3942" s="42"/>
    </row>
    <row r="3943">
      <c r="A3943" s="9"/>
      <c r="B3943" s="9"/>
      <c r="C3943" s="9"/>
      <c r="D3943" s="42"/>
      <c r="E3943" s="103"/>
      <c r="F3943" s="42"/>
      <c r="G3943" s="9"/>
      <c r="H3943" s="9"/>
      <c r="I3943" s="9"/>
      <c r="J3943" s="9"/>
      <c r="K3943" s="42"/>
      <c r="L3943" s="42"/>
      <c r="M3943" s="42"/>
      <c r="N3943" s="42"/>
      <c r="O3943" s="42"/>
      <c r="P3943" s="9"/>
      <c r="Q3943" s="9"/>
      <c r="R3943" s="42"/>
      <c r="S3943" s="42"/>
      <c r="T3943" s="42"/>
      <c r="U3943" s="42"/>
      <c r="V3943" s="42"/>
      <c r="W3943" s="42"/>
    </row>
    <row r="3944">
      <c r="A3944" s="9"/>
      <c r="B3944" s="9"/>
      <c r="C3944" s="9"/>
      <c r="D3944" s="42"/>
      <c r="E3944" s="103"/>
      <c r="F3944" s="42"/>
      <c r="G3944" s="9"/>
      <c r="H3944" s="9"/>
      <c r="I3944" s="9"/>
      <c r="J3944" s="9"/>
      <c r="K3944" s="42"/>
      <c r="L3944" s="42"/>
      <c r="M3944" s="42"/>
      <c r="N3944" s="42"/>
      <c r="O3944" s="42"/>
      <c r="P3944" s="9"/>
      <c r="Q3944" s="9"/>
      <c r="R3944" s="42"/>
      <c r="S3944" s="42"/>
      <c r="T3944" s="42"/>
      <c r="U3944" s="42"/>
      <c r="V3944" s="42"/>
      <c r="W3944" s="42"/>
    </row>
    <row r="3945">
      <c r="A3945" s="9"/>
      <c r="B3945" s="9"/>
      <c r="C3945" s="9"/>
      <c r="D3945" s="42"/>
      <c r="E3945" s="103"/>
      <c r="F3945" s="42"/>
      <c r="G3945" s="9"/>
      <c r="H3945" s="9"/>
      <c r="I3945" s="9"/>
      <c r="J3945" s="9"/>
      <c r="K3945" s="42"/>
      <c r="L3945" s="42"/>
      <c r="M3945" s="42"/>
      <c r="N3945" s="42"/>
      <c r="O3945" s="42"/>
      <c r="P3945" s="9"/>
      <c r="Q3945" s="9"/>
      <c r="R3945" s="42"/>
      <c r="S3945" s="42"/>
      <c r="T3945" s="42"/>
      <c r="U3945" s="42"/>
      <c r="V3945" s="42"/>
      <c r="W3945" s="42"/>
    </row>
    <row r="3946">
      <c r="A3946" s="9"/>
      <c r="B3946" s="9"/>
      <c r="C3946" s="9"/>
      <c r="D3946" s="42"/>
      <c r="E3946" s="103"/>
      <c r="F3946" s="42"/>
      <c r="G3946" s="9"/>
      <c r="H3946" s="9"/>
      <c r="I3946" s="9"/>
      <c r="J3946" s="9"/>
      <c r="K3946" s="42"/>
      <c r="L3946" s="42"/>
      <c r="M3946" s="42"/>
      <c r="N3946" s="42"/>
      <c r="O3946" s="42"/>
      <c r="P3946" s="9"/>
      <c r="Q3946" s="9"/>
      <c r="R3946" s="42"/>
      <c r="S3946" s="42"/>
      <c r="T3946" s="42"/>
      <c r="U3946" s="42"/>
      <c r="V3946" s="42"/>
      <c r="W3946" s="42"/>
    </row>
    <row r="3947">
      <c r="A3947" s="9"/>
      <c r="B3947" s="9"/>
      <c r="C3947" s="9"/>
      <c r="D3947" s="42"/>
      <c r="E3947" s="103"/>
      <c r="F3947" s="42"/>
      <c r="G3947" s="9"/>
      <c r="H3947" s="9"/>
      <c r="I3947" s="9"/>
      <c r="J3947" s="9"/>
      <c r="K3947" s="42"/>
      <c r="L3947" s="42"/>
      <c r="M3947" s="42"/>
      <c r="N3947" s="42"/>
      <c r="O3947" s="42"/>
      <c r="P3947" s="9"/>
      <c r="Q3947" s="9"/>
      <c r="R3947" s="42"/>
      <c r="S3947" s="42"/>
      <c r="T3947" s="42"/>
      <c r="U3947" s="42"/>
      <c r="V3947" s="42"/>
      <c r="W3947" s="42"/>
    </row>
    <row r="3948">
      <c r="A3948" s="9"/>
      <c r="B3948" s="9"/>
      <c r="C3948" s="9"/>
      <c r="D3948" s="42"/>
      <c r="E3948" s="103"/>
      <c r="F3948" s="42"/>
      <c r="G3948" s="9"/>
      <c r="H3948" s="9"/>
      <c r="I3948" s="9"/>
      <c r="J3948" s="9"/>
      <c r="K3948" s="42"/>
      <c r="L3948" s="42"/>
      <c r="M3948" s="42"/>
      <c r="N3948" s="42"/>
      <c r="O3948" s="42"/>
      <c r="P3948" s="9"/>
      <c r="Q3948" s="9"/>
      <c r="R3948" s="42"/>
      <c r="S3948" s="42"/>
      <c r="T3948" s="42"/>
      <c r="U3948" s="42"/>
      <c r="V3948" s="42"/>
      <c r="W3948" s="42"/>
    </row>
    <row r="3949">
      <c r="A3949" s="9"/>
      <c r="B3949" s="9"/>
      <c r="C3949" s="9"/>
      <c r="D3949" s="42"/>
      <c r="E3949" s="103"/>
      <c r="F3949" s="42"/>
      <c r="G3949" s="9"/>
      <c r="H3949" s="9"/>
      <c r="I3949" s="9"/>
      <c r="J3949" s="9"/>
      <c r="K3949" s="42"/>
      <c r="L3949" s="42"/>
      <c r="M3949" s="42"/>
      <c r="N3949" s="42"/>
      <c r="O3949" s="42"/>
      <c r="P3949" s="9"/>
      <c r="Q3949" s="9"/>
      <c r="R3949" s="42"/>
      <c r="S3949" s="42"/>
      <c r="T3949" s="42"/>
      <c r="U3949" s="42"/>
      <c r="V3949" s="42"/>
      <c r="W3949" s="42"/>
    </row>
    <row r="3950">
      <c r="A3950" s="9"/>
      <c r="B3950" s="9"/>
      <c r="C3950" s="9"/>
      <c r="D3950" s="42"/>
      <c r="E3950" s="103"/>
      <c r="F3950" s="42"/>
      <c r="G3950" s="9"/>
      <c r="H3950" s="9"/>
      <c r="I3950" s="9"/>
      <c r="J3950" s="9"/>
      <c r="K3950" s="42"/>
      <c r="L3950" s="42"/>
      <c r="M3950" s="42"/>
      <c r="N3950" s="42"/>
      <c r="O3950" s="42"/>
      <c r="P3950" s="9"/>
      <c r="Q3950" s="9"/>
      <c r="R3950" s="42"/>
      <c r="S3950" s="42"/>
      <c r="T3950" s="42"/>
      <c r="U3950" s="42"/>
      <c r="V3950" s="42"/>
      <c r="W3950" s="42"/>
    </row>
    <row r="3951">
      <c r="A3951" s="9"/>
      <c r="B3951" s="9"/>
      <c r="C3951" s="9"/>
      <c r="D3951" s="42"/>
      <c r="E3951" s="103"/>
      <c r="F3951" s="42"/>
      <c r="G3951" s="9"/>
      <c r="H3951" s="9"/>
      <c r="I3951" s="9"/>
      <c r="J3951" s="9"/>
      <c r="K3951" s="42"/>
      <c r="L3951" s="42"/>
      <c r="M3951" s="42"/>
      <c r="N3951" s="42"/>
      <c r="O3951" s="42"/>
      <c r="P3951" s="9"/>
      <c r="Q3951" s="9"/>
      <c r="R3951" s="42"/>
      <c r="S3951" s="42"/>
      <c r="T3951" s="42"/>
      <c r="U3951" s="42"/>
      <c r="V3951" s="42"/>
      <c r="W3951" s="42"/>
    </row>
    <row r="3952">
      <c r="A3952" s="9"/>
      <c r="B3952" s="9"/>
      <c r="C3952" s="9"/>
      <c r="D3952" s="42"/>
      <c r="E3952" s="103"/>
      <c r="F3952" s="42"/>
      <c r="G3952" s="9"/>
      <c r="H3952" s="9"/>
      <c r="I3952" s="9"/>
      <c r="J3952" s="9"/>
      <c r="K3952" s="42"/>
      <c r="L3952" s="42"/>
      <c r="M3952" s="42"/>
      <c r="N3952" s="42"/>
      <c r="O3952" s="42"/>
      <c r="P3952" s="9"/>
      <c r="Q3952" s="9"/>
      <c r="R3952" s="42"/>
      <c r="S3952" s="42"/>
      <c r="T3952" s="42"/>
      <c r="U3952" s="42"/>
      <c r="V3952" s="42"/>
      <c r="W3952" s="42"/>
    </row>
    <row r="3953">
      <c r="A3953" s="9"/>
      <c r="B3953" s="9"/>
      <c r="C3953" s="9"/>
      <c r="D3953" s="42"/>
      <c r="E3953" s="103"/>
      <c r="F3953" s="42"/>
      <c r="G3953" s="9"/>
      <c r="H3953" s="9"/>
      <c r="I3953" s="9"/>
      <c r="J3953" s="9"/>
      <c r="K3953" s="42"/>
      <c r="L3953" s="42"/>
      <c r="M3953" s="42"/>
      <c r="N3953" s="42"/>
      <c r="O3953" s="42"/>
      <c r="P3953" s="9"/>
      <c r="Q3953" s="9"/>
      <c r="R3953" s="42"/>
      <c r="S3953" s="42"/>
      <c r="T3953" s="42"/>
      <c r="U3953" s="42"/>
      <c r="V3953" s="42"/>
      <c r="W3953" s="42"/>
    </row>
    <row r="3954">
      <c r="A3954" s="9"/>
      <c r="B3954" s="9"/>
      <c r="C3954" s="9"/>
      <c r="D3954" s="42"/>
      <c r="E3954" s="103"/>
      <c r="F3954" s="42"/>
      <c r="G3954" s="9"/>
      <c r="H3954" s="9"/>
      <c r="I3954" s="9"/>
      <c r="J3954" s="9"/>
      <c r="K3954" s="42"/>
      <c r="L3954" s="42"/>
      <c r="M3954" s="42"/>
      <c r="N3954" s="42"/>
      <c r="O3954" s="42"/>
      <c r="P3954" s="9"/>
      <c r="Q3954" s="9"/>
      <c r="R3954" s="42"/>
      <c r="S3954" s="42"/>
      <c r="T3954" s="42"/>
      <c r="U3954" s="42"/>
      <c r="V3954" s="42"/>
      <c r="W3954" s="42"/>
    </row>
    <row r="3955">
      <c r="A3955" s="9"/>
      <c r="B3955" s="9"/>
      <c r="C3955" s="9"/>
      <c r="D3955" s="42"/>
      <c r="E3955" s="103"/>
      <c r="F3955" s="42"/>
      <c r="G3955" s="9"/>
      <c r="H3955" s="9"/>
      <c r="I3955" s="9"/>
      <c r="J3955" s="9"/>
      <c r="K3955" s="42"/>
      <c r="L3955" s="42"/>
      <c r="M3955" s="42"/>
      <c r="N3955" s="42"/>
      <c r="O3955" s="42"/>
      <c r="P3955" s="9"/>
      <c r="Q3955" s="9"/>
      <c r="R3955" s="42"/>
      <c r="S3955" s="42"/>
      <c r="T3955" s="42"/>
      <c r="U3955" s="42"/>
      <c r="V3955" s="42"/>
      <c r="W3955" s="42"/>
    </row>
    <row r="3956">
      <c r="A3956" s="9"/>
      <c r="B3956" s="9"/>
      <c r="C3956" s="9"/>
      <c r="D3956" s="42"/>
      <c r="E3956" s="103"/>
      <c r="F3956" s="42"/>
      <c r="G3956" s="9"/>
      <c r="H3956" s="9"/>
      <c r="I3956" s="9"/>
      <c r="J3956" s="9"/>
      <c r="K3956" s="42"/>
      <c r="L3956" s="42"/>
      <c r="M3956" s="42"/>
      <c r="N3956" s="42"/>
      <c r="O3956" s="42"/>
      <c r="P3956" s="9"/>
      <c r="Q3956" s="9"/>
      <c r="R3956" s="42"/>
      <c r="S3956" s="42"/>
      <c r="T3956" s="42"/>
      <c r="U3956" s="42"/>
      <c r="V3956" s="42"/>
      <c r="W3956" s="42"/>
    </row>
    <row r="3957">
      <c r="A3957" s="9"/>
      <c r="B3957" s="9"/>
      <c r="C3957" s="9"/>
      <c r="D3957" s="42"/>
      <c r="E3957" s="103"/>
      <c r="F3957" s="42"/>
      <c r="G3957" s="9"/>
      <c r="H3957" s="9"/>
      <c r="I3957" s="9"/>
      <c r="J3957" s="9"/>
      <c r="K3957" s="42"/>
      <c r="L3957" s="42"/>
      <c r="M3957" s="42"/>
      <c r="N3957" s="42"/>
      <c r="O3957" s="42"/>
      <c r="P3957" s="9"/>
      <c r="Q3957" s="9"/>
      <c r="R3957" s="42"/>
      <c r="S3957" s="42"/>
      <c r="T3957" s="42"/>
      <c r="U3957" s="42"/>
      <c r="V3957" s="42"/>
      <c r="W3957" s="42"/>
    </row>
    <row r="3958">
      <c r="A3958" s="9"/>
      <c r="B3958" s="9"/>
      <c r="C3958" s="9"/>
      <c r="D3958" s="42"/>
      <c r="E3958" s="103"/>
      <c r="F3958" s="42"/>
      <c r="G3958" s="9"/>
      <c r="H3958" s="9"/>
      <c r="I3958" s="9"/>
      <c r="J3958" s="9"/>
      <c r="K3958" s="42"/>
      <c r="L3958" s="42"/>
      <c r="M3958" s="42"/>
      <c r="N3958" s="42"/>
      <c r="O3958" s="42"/>
      <c r="P3958" s="9"/>
      <c r="Q3958" s="9"/>
      <c r="R3958" s="42"/>
      <c r="S3958" s="42"/>
      <c r="T3958" s="42"/>
      <c r="U3958" s="42"/>
      <c r="V3958" s="42"/>
      <c r="W3958" s="42"/>
    </row>
    <row r="3959">
      <c r="A3959" s="9"/>
      <c r="B3959" s="9"/>
      <c r="C3959" s="9"/>
      <c r="D3959" s="42"/>
      <c r="E3959" s="103"/>
      <c r="F3959" s="42"/>
      <c r="G3959" s="9"/>
      <c r="H3959" s="9"/>
      <c r="I3959" s="9"/>
      <c r="J3959" s="9"/>
      <c r="K3959" s="42"/>
      <c r="L3959" s="42"/>
      <c r="M3959" s="42"/>
      <c r="N3959" s="42"/>
      <c r="O3959" s="42"/>
      <c r="P3959" s="9"/>
      <c r="Q3959" s="9"/>
      <c r="R3959" s="42"/>
      <c r="S3959" s="42"/>
      <c r="T3959" s="42"/>
      <c r="U3959" s="42"/>
      <c r="V3959" s="42"/>
      <c r="W3959" s="42"/>
    </row>
    <row r="3960">
      <c r="A3960" s="9"/>
      <c r="B3960" s="9"/>
      <c r="C3960" s="9"/>
      <c r="D3960" s="42"/>
      <c r="E3960" s="103"/>
      <c r="F3960" s="42"/>
      <c r="G3960" s="9"/>
      <c r="H3960" s="9"/>
      <c r="I3960" s="9"/>
      <c r="J3960" s="9"/>
      <c r="K3960" s="42"/>
      <c r="L3960" s="42"/>
      <c r="M3960" s="42"/>
      <c r="N3960" s="42"/>
      <c r="O3960" s="42"/>
      <c r="P3960" s="9"/>
      <c r="Q3960" s="9"/>
      <c r="R3960" s="42"/>
      <c r="S3960" s="42"/>
      <c r="T3960" s="42"/>
      <c r="U3960" s="42"/>
      <c r="V3960" s="42"/>
      <c r="W3960" s="42"/>
    </row>
    <row r="3961">
      <c r="A3961" s="9"/>
      <c r="B3961" s="9"/>
      <c r="C3961" s="9"/>
      <c r="D3961" s="42"/>
      <c r="E3961" s="103"/>
      <c r="F3961" s="42"/>
      <c r="G3961" s="9"/>
      <c r="H3961" s="9"/>
      <c r="I3961" s="9"/>
      <c r="J3961" s="9"/>
      <c r="K3961" s="42"/>
      <c r="L3961" s="42"/>
      <c r="M3961" s="42"/>
      <c r="N3961" s="42"/>
      <c r="O3961" s="42"/>
      <c r="P3961" s="9"/>
      <c r="Q3961" s="9"/>
      <c r="R3961" s="42"/>
      <c r="S3961" s="42"/>
      <c r="T3961" s="42"/>
      <c r="U3961" s="42"/>
      <c r="V3961" s="42"/>
      <c r="W3961" s="42"/>
    </row>
    <row r="3962">
      <c r="A3962" s="9"/>
      <c r="B3962" s="9"/>
      <c r="C3962" s="9"/>
      <c r="D3962" s="42"/>
      <c r="E3962" s="103"/>
      <c r="F3962" s="42"/>
      <c r="G3962" s="9"/>
      <c r="H3962" s="9"/>
      <c r="I3962" s="9"/>
      <c r="J3962" s="9"/>
      <c r="K3962" s="42"/>
      <c r="L3962" s="42"/>
      <c r="M3962" s="42"/>
      <c r="N3962" s="42"/>
      <c r="O3962" s="42"/>
      <c r="P3962" s="9"/>
      <c r="Q3962" s="9"/>
      <c r="R3962" s="42"/>
      <c r="S3962" s="42"/>
      <c r="T3962" s="42"/>
      <c r="U3962" s="42"/>
      <c r="V3962" s="42"/>
      <c r="W3962" s="42"/>
    </row>
    <row r="3963">
      <c r="A3963" s="9"/>
      <c r="B3963" s="9"/>
      <c r="C3963" s="9"/>
      <c r="D3963" s="42"/>
      <c r="E3963" s="103"/>
      <c r="F3963" s="42"/>
      <c r="G3963" s="9"/>
      <c r="H3963" s="9"/>
      <c r="I3963" s="9"/>
      <c r="J3963" s="9"/>
      <c r="K3963" s="42"/>
      <c r="L3963" s="42"/>
      <c r="M3963" s="42"/>
      <c r="N3963" s="42"/>
      <c r="O3963" s="42"/>
      <c r="P3963" s="9"/>
      <c r="Q3963" s="9"/>
      <c r="R3963" s="42"/>
      <c r="S3963" s="42"/>
      <c r="T3963" s="42"/>
      <c r="U3963" s="42"/>
      <c r="V3963" s="42"/>
      <c r="W3963" s="42"/>
    </row>
    <row r="3964">
      <c r="A3964" s="9"/>
      <c r="B3964" s="9"/>
      <c r="C3964" s="9"/>
      <c r="D3964" s="42"/>
      <c r="E3964" s="103"/>
      <c r="F3964" s="42"/>
      <c r="G3964" s="9"/>
      <c r="H3964" s="9"/>
      <c r="I3964" s="9"/>
      <c r="J3964" s="9"/>
      <c r="K3964" s="42"/>
      <c r="L3964" s="42"/>
      <c r="M3964" s="42"/>
      <c r="N3964" s="42"/>
      <c r="O3964" s="42"/>
      <c r="P3964" s="9"/>
      <c r="Q3964" s="9"/>
      <c r="R3964" s="42"/>
      <c r="S3964" s="42"/>
      <c r="T3964" s="42"/>
      <c r="U3964" s="42"/>
      <c r="V3964" s="42"/>
      <c r="W3964" s="42"/>
    </row>
    <row r="3965">
      <c r="A3965" s="9"/>
      <c r="B3965" s="9"/>
      <c r="C3965" s="9"/>
      <c r="D3965" s="42"/>
      <c r="E3965" s="103"/>
      <c r="F3965" s="42"/>
      <c r="G3965" s="9"/>
      <c r="H3965" s="9"/>
      <c r="I3965" s="9"/>
      <c r="J3965" s="9"/>
      <c r="K3965" s="42"/>
      <c r="L3965" s="42"/>
      <c r="M3965" s="42"/>
      <c r="N3965" s="42"/>
      <c r="O3965" s="42"/>
      <c r="P3965" s="9"/>
      <c r="Q3965" s="9"/>
      <c r="R3965" s="42"/>
      <c r="S3965" s="42"/>
      <c r="T3965" s="42"/>
      <c r="U3965" s="42"/>
      <c r="V3965" s="42"/>
      <c r="W3965" s="42"/>
    </row>
    <row r="3966">
      <c r="A3966" s="9"/>
      <c r="B3966" s="9"/>
      <c r="C3966" s="9"/>
      <c r="D3966" s="42"/>
      <c r="E3966" s="103"/>
      <c r="F3966" s="42"/>
      <c r="G3966" s="9"/>
      <c r="H3966" s="9"/>
      <c r="I3966" s="9"/>
      <c r="J3966" s="9"/>
      <c r="K3966" s="42"/>
      <c r="L3966" s="42"/>
      <c r="M3966" s="42"/>
      <c r="N3966" s="42"/>
      <c r="O3966" s="42"/>
      <c r="P3966" s="9"/>
      <c r="Q3966" s="9"/>
      <c r="R3966" s="42"/>
      <c r="S3966" s="42"/>
      <c r="T3966" s="42"/>
      <c r="U3966" s="42"/>
      <c r="V3966" s="42"/>
      <c r="W3966" s="42"/>
    </row>
    <row r="3967">
      <c r="A3967" s="9"/>
      <c r="B3967" s="9"/>
      <c r="C3967" s="9"/>
      <c r="D3967" s="42"/>
      <c r="E3967" s="103"/>
      <c r="F3967" s="42"/>
      <c r="G3967" s="9"/>
      <c r="H3967" s="9"/>
      <c r="I3967" s="9"/>
      <c r="J3967" s="9"/>
      <c r="K3967" s="42"/>
      <c r="L3967" s="42"/>
      <c r="M3967" s="42"/>
      <c r="N3967" s="42"/>
      <c r="O3967" s="42"/>
      <c r="P3967" s="9"/>
      <c r="Q3967" s="9"/>
      <c r="R3967" s="42"/>
      <c r="S3967" s="42"/>
      <c r="T3967" s="42"/>
      <c r="U3967" s="42"/>
      <c r="V3967" s="42"/>
      <c r="W3967" s="42"/>
    </row>
    <row r="3968">
      <c r="A3968" s="9"/>
      <c r="B3968" s="9"/>
      <c r="C3968" s="9"/>
      <c r="D3968" s="42"/>
      <c r="E3968" s="103"/>
      <c r="F3968" s="42"/>
      <c r="G3968" s="9"/>
      <c r="H3968" s="9"/>
      <c r="I3968" s="9"/>
      <c r="J3968" s="9"/>
      <c r="K3968" s="42"/>
      <c r="L3968" s="42"/>
      <c r="M3968" s="42"/>
      <c r="N3968" s="42"/>
      <c r="O3968" s="42"/>
      <c r="P3968" s="9"/>
      <c r="Q3968" s="9"/>
      <c r="R3968" s="42"/>
      <c r="S3968" s="42"/>
      <c r="T3968" s="42"/>
      <c r="U3968" s="42"/>
      <c r="V3968" s="42"/>
      <c r="W3968" s="42"/>
    </row>
    <row r="3969">
      <c r="A3969" s="9"/>
      <c r="B3969" s="9"/>
      <c r="C3969" s="9"/>
      <c r="D3969" s="42"/>
      <c r="E3969" s="103"/>
      <c r="F3969" s="42"/>
      <c r="G3969" s="9"/>
      <c r="H3969" s="9"/>
      <c r="I3969" s="9"/>
      <c r="J3969" s="9"/>
      <c r="K3969" s="42"/>
      <c r="L3969" s="42"/>
      <c r="M3969" s="42"/>
      <c r="N3969" s="42"/>
      <c r="O3969" s="42"/>
      <c r="P3969" s="9"/>
      <c r="Q3969" s="9"/>
      <c r="R3969" s="42"/>
      <c r="S3969" s="42"/>
      <c r="T3969" s="42"/>
      <c r="U3969" s="42"/>
      <c r="V3969" s="42"/>
      <c r="W3969" s="42"/>
    </row>
    <row r="3970">
      <c r="A3970" s="9"/>
      <c r="B3970" s="9"/>
      <c r="C3970" s="9"/>
      <c r="D3970" s="42"/>
      <c r="E3970" s="103"/>
      <c r="F3970" s="42"/>
      <c r="G3970" s="9"/>
      <c r="H3970" s="9"/>
      <c r="I3970" s="9"/>
      <c r="J3970" s="9"/>
      <c r="K3970" s="42"/>
      <c r="L3970" s="42"/>
      <c r="M3970" s="42"/>
      <c r="N3970" s="42"/>
      <c r="O3970" s="42"/>
      <c r="P3970" s="9"/>
      <c r="Q3970" s="9"/>
      <c r="R3970" s="42"/>
      <c r="S3970" s="42"/>
      <c r="T3970" s="42"/>
      <c r="U3970" s="42"/>
      <c r="V3970" s="42"/>
      <c r="W3970" s="42"/>
    </row>
    <row r="3971">
      <c r="A3971" s="9"/>
      <c r="B3971" s="9"/>
      <c r="C3971" s="9"/>
      <c r="D3971" s="42"/>
      <c r="E3971" s="103"/>
      <c r="F3971" s="42"/>
      <c r="G3971" s="9"/>
      <c r="H3971" s="9"/>
      <c r="I3971" s="9"/>
      <c r="J3971" s="9"/>
      <c r="K3971" s="42"/>
      <c r="L3971" s="42"/>
      <c r="M3971" s="42"/>
      <c r="N3971" s="42"/>
      <c r="O3971" s="42"/>
      <c r="P3971" s="9"/>
      <c r="Q3971" s="9"/>
      <c r="R3971" s="42"/>
      <c r="S3971" s="42"/>
      <c r="T3971" s="42"/>
      <c r="U3971" s="42"/>
      <c r="V3971" s="42"/>
      <c r="W3971" s="42"/>
    </row>
    <row r="3972">
      <c r="A3972" s="9"/>
      <c r="B3972" s="9"/>
      <c r="C3972" s="9"/>
      <c r="D3972" s="42"/>
      <c r="E3972" s="103"/>
      <c r="F3972" s="42"/>
      <c r="G3972" s="9"/>
      <c r="H3972" s="9"/>
      <c r="I3972" s="9"/>
      <c r="J3972" s="9"/>
      <c r="K3972" s="42"/>
      <c r="L3972" s="42"/>
      <c r="M3972" s="42"/>
      <c r="N3972" s="42"/>
      <c r="O3972" s="42"/>
      <c r="P3972" s="9"/>
      <c r="Q3972" s="9"/>
      <c r="R3972" s="42"/>
      <c r="S3972" s="42"/>
      <c r="T3972" s="42"/>
      <c r="U3972" s="42"/>
      <c r="V3972" s="42"/>
      <c r="W3972" s="42"/>
    </row>
    <row r="3973">
      <c r="A3973" s="9"/>
      <c r="B3973" s="9"/>
      <c r="C3973" s="9"/>
      <c r="D3973" s="42"/>
      <c r="E3973" s="103"/>
      <c r="F3973" s="42"/>
      <c r="G3973" s="9"/>
      <c r="H3973" s="9"/>
      <c r="I3973" s="9"/>
      <c r="J3973" s="9"/>
      <c r="K3973" s="42"/>
      <c r="L3973" s="42"/>
      <c r="M3973" s="42"/>
      <c r="N3973" s="42"/>
      <c r="O3973" s="42"/>
      <c r="P3973" s="9"/>
      <c r="Q3973" s="9"/>
      <c r="R3973" s="42"/>
      <c r="S3973" s="42"/>
      <c r="T3973" s="42"/>
      <c r="U3973" s="42"/>
      <c r="V3973" s="42"/>
      <c r="W3973" s="42"/>
    </row>
    <row r="3974">
      <c r="A3974" s="9"/>
      <c r="B3974" s="9"/>
      <c r="C3974" s="9"/>
      <c r="D3974" s="42"/>
      <c r="E3974" s="103"/>
      <c r="F3974" s="42"/>
      <c r="G3974" s="9"/>
      <c r="H3974" s="9"/>
      <c r="I3974" s="9"/>
      <c r="J3974" s="9"/>
      <c r="K3974" s="42"/>
      <c r="L3974" s="42"/>
      <c r="M3974" s="42"/>
      <c r="N3974" s="42"/>
      <c r="O3974" s="42"/>
      <c r="P3974" s="9"/>
      <c r="Q3974" s="9"/>
      <c r="R3974" s="42"/>
      <c r="S3974" s="42"/>
      <c r="T3974" s="42"/>
      <c r="U3974" s="42"/>
      <c r="V3974" s="42"/>
      <c r="W3974" s="42"/>
    </row>
    <row r="3975">
      <c r="A3975" s="9"/>
      <c r="B3975" s="9"/>
      <c r="C3975" s="9"/>
      <c r="D3975" s="42"/>
      <c r="E3975" s="103"/>
      <c r="F3975" s="42"/>
      <c r="G3975" s="9"/>
      <c r="H3975" s="9"/>
      <c r="I3975" s="9"/>
      <c r="J3975" s="9"/>
      <c r="K3975" s="42"/>
      <c r="L3975" s="42"/>
      <c r="M3975" s="42"/>
      <c r="N3975" s="42"/>
      <c r="O3975" s="42"/>
      <c r="P3975" s="9"/>
      <c r="Q3975" s="9"/>
      <c r="R3975" s="42"/>
      <c r="S3975" s="42"/>
      <c r="T3975" s="42"/>
      <c r="U3975" s="42"/>
      <c r="V3975" s="42"/>
      <c r="W3975" s="42"/>
    </row>
    <row r="3976">
      <c r="A3976" s="9"/>
      <c r="B3976" s="9"/>
      <c r="C3976" s="9"/>
      <c r="D3976" s="42"/>
      <c r="E3976" s="103"/>
      <c r="F3976" s="42"/>
      <c r="G3976" s="9"/>
      <c r="H3976" s="9"/>
      <c r="I3976" s="9"/>
      <c r="J3976" s="9"/>
      <c r="K3976" s="42"/>
      <c r="L3976" s="42"/>
      <c r="M3976" s="42"/>
      <c r="N3976" s="42"/>
      <c r="O3976" s="42"/>
      <c r="P3976" s="9"/>
      <c r="Q3976" s="9"/>
      <c r="R3976" s="42"/>
      <c r="S3976" s="42"/>
      <c r="T3976" s="42"/>
      <c r="U3976" s="42"/>
      <c r="V3976" s="42"/>
      <c r="W3976" s="42"/>
    </row>
    <row r="3977">
      <c r="A3977" s="9"/>
      <c r="B3977" s="9"/>
      <c r="C3977" s="9"/>
      <c r="D3977" s="42"/>
      <c r="E3977" s="103"/>
      <c r="F3977" s="42"/>
      <c r="G3977" s="9"/>
      <c r="H3977" s="9"/>
      <c r="I3977" s="9"/>
      <c r="J3977" s="9"/>
      <c r="K3977" s="42"/>
      <c r="L3977" s="42"/>
      <c r="M3977" s="42"/>
      <c r="N3977" s="42"/>
      <c r="O3977" s="42"/>
      <c r="P3977" s="9"/>
      <c r="Q3977" s="9"/>
      <c r="R3977" s="42"/>
      <c r="S3977" s="42"/>
      <c r="T3977" s="42"/>
      <c r="U3977" s="42"/>
      <c r="V3977" s="42"/>
      <c r="W3977" s="42"/>
    </row>
    <row r="3978">
      <c r="A3978" s="9"/>
      <c r="B3978" s="9"/>
      <c r="C3978" s="9"/>
      <c r="D3978" s="42"/>
      <c r="E3978" s="103"/>
      <c r="F3978" s="42"/>
      <c r="G3978" s="9"/>
      <c r="H3978" s="9"/>
      <c r="I3978" s="9"/>
      <c r="J3978" s="9"/>
      <c r="K3978" s="42"/>
      <c r="L3978" s="42"/>
      <c r="M3978" s="42"/>
      <c r="N3978" s="42"/>
      <c r="O3978" s="42"/>
      <c r="P3978" s="9"/>
      <c r="Q3978" s="9"/>
      <c r="R3978" s="42"/>
      <c r="S3978" s="42"/>
      <c r="T3978" s="42"/>
      <c r="U3978" s="42"/>
      <c r="V3978" s="42"/>
      <c r="W3978" s="42"/>
    </row>
    <row r="3979">
      <c r="A3979" s="9"/>
      <c r="B3979" s="9"/>
      <c r="C3979" s="9"/>
      <c r="D3979" s="42"/>
      <c r="E3979" s="103"/>
      <c r="F3979" s="42"/>
      <c r="G3979" s="9"/>
      <c r="H3979" s="9"/>
      <c r="I3979" s="9"/>
      <c r="J3979" s="9"/>
      <c r="K3979" s="42"/>
      <c r="L3979" s="42"/>
      <c r="M3979" s="42"/>
      <c r="N3979" s="42"/>
      <c r="O3979" s="42"/>
      <c r="P3979" s="9"/>
      <c r="Q3979" s="9"/>
      <c r="R3979" s="42"/>
      <c r="S3979" s="42"/>
      <c r="T3979" s="42"/>
      <c r="U3979" s="42"/>
      <c r="V3979" s="42"/>
      <c r="W3979" s="42"/>
    </row>
    <row r="3980">
      <c r="A3980" s="9"/>
      <c r="B3980" s="9"/>
      <c r="C3980" s="9"/>
      <c r="D3980" s="42"/>
      <c r="E3980" s="103"/>
      <c r="F3980" s="42"/>
      <c r="G3980" s="9"/>
      <c r="H3980" s="9"/>
      <c r="I3980" s="9"/>
      <c r="J3980" s="9"/>
      <c r="K3980" s="42"/>
      <c r="L3980" s="42"/>
      <c r="M3980" s="42"/>
      <c r="N3980" s="42"/>
      <c r="O3980" s="42"/>
      <c r="P3980" s="9"/>
      <c r="Q3980" s="9"/>
      <c r="R3980" s="42"/>
      <c r="S3980" s="42"/>
      <c r="T3980" s="42"/>
      <c r="U3980" s="42"/>
      <c r="V3980" s="42"/>
      <c r="W3980" s="42"/>
    </row>
    <row r="3981">
      <c r="A3981" s="9"/>
      <c r="B3981" s="9"/>
      <c r="C3981" s="9"/>
      <c r="D3981" s="42"/>
      <c r="E3981" s="103"/>
      <c r="F3981" s="42"/>
      <c r="G3981" s="9"/>
      <c r="H3981" s="9"/>
      <c r="I3981" s="9"/>
      <c r="J3981" s="9"/>
      <c r="K3981" s="42"/>
      <c r="L3981" s="42"/>
      <c r="M3981" s="42"/>
      <c r="N3981" s="42"/>
      <c r="O3981" s="42"/>
      <c r="P3981" s="9"/>
      <c r="Q3981" s="9"/>
      <c r="R3981" s="42"/>
      <c r="S3981" s="42"/>
      <c r="T3981" s="42"/>
      <c r="U3981" s="42"/>
      <c r="V3981" s="42"/>
      <c r="W3981" s="42"/>
    </row>
    <row r="3982">
      <c r="A3982" s="9"/>
      <c r="B3982" s="9"/>
      <c r="C3982" s="9"/>
      <c r="D3982" s="42"/>
      <c r="E3982" s="103"/>
      <c r="F3982" s="42"/>
      <c r="G3982" s="9"/>
      <c r="H3982" s="9"/>
      <c r="I3982" s="9"/>
      <c r="J3982" s="9"/>
      <c r="K3982" s="42"/>
      <c r="L3982" s="42"/>
      <c r="M3982" s="42"/>
      <c r="N3982" s="42"/>
      <c r="O3982" s="42"/>
      <c r="P3982" s="9"/>
      <c r="Q3982" s="9"/>
      <c r="R3982" s="42"/>
      <c r="S3982" s="42"/>
      <c r="T3982" s="42"/>
      <c r="U3982" s="42"/>
      <c r="V3982" s="42"/>
      <c r="W3982" s="42"/>
    </row>
    <row r="3983">
      <c r="A3983" s="9"/>
      <c r="B3983" s="9"/>
      <c r="C3983" s="9"/>
      <c r="D3983" s="42"/>
      <c r="E3983" s="103"/>
      <c r="F3983" s="42"/>
      <c r="G3983" s="9"/>
      <c r="H3983" s="9"/>
      <c r="I3983" s="9"/>
      <c r="J3983" s="9"/>
      <c r="K3983" s="42"/>
      <c r="L3983" s="42"/>
      <c r="M3983" s="42"/>
      <c r="N3983" s="42"/>
      <c r="O3983" s="42"/>
      <c r="P3983" s="9"/>
      <c r="Q3983" s="9"/>
      <c r="R3983" s="42"/>
      <c r="S3983" s="42"/>
      <c r="T3983" s="42"/>
      <c r="U3983" s="42"/>
      <c r="V3983" s="42"/>
      <c r="W3983" s="42"/>
    </row>
    <row r="3984">
      <c r="A3984" s="9"/>
      <c r="B3984" s="9"/>
      <c r="C3984" s="9"/>
      <c r="D3984" s="42"/>
      <c r="E3984" s="103"/>
      <c r="F3984" s="42"/>
      <c r="G3984" s="9"/>
      <c r="H3984" s="9"/>
      <c r="I3984" s="9"/>
      <c r="J3984" s="9"/>
      <c r="K3984" s="42"/>
      <c r="L3984" s="42"/>
      <c r="M3984" s="42"/>
      <c r="N3984" s="42"/>
      <c r="O3984" s="42"/>
      <c r="P3984" s="9"/>
      <c r="Q3984" s="9"/>
      <c r="R3984" s="42"/>
      <c r="S3984" s="42"/>
      <c r="T3984" s="42"/>
      <c r="U3984" s="42"/>
      <c r="V3984" s="42"/>
      <c r="W3984" s="42"/>
    </row>
    <row r="3985">
      <c r="A3985" s="9"/>
      <c r="B3985" s="9"/>
      <c r="C3985" s="9"/>
      <c r="D3985" s="42"/>
      <c r="E3985" s="103"/>
      <c r="F3985" s="42"/>
      <c r="G3985" s="9"/>
      <c r="H3985" s="9"/>
      <c r="I3985" s="9"/>
      <c r="J3985" s="9"/>
      <c r="K3985" s="42"/>
      <c r="L3985" s="42"/>
      <c r="M3985" s="42"/>
      <c r="N3985" s="42"/>
      <c r="O3985" s="42"/>
      <c r="P3985" s="9"/>
      <c r="Q3985" s="9"/>
      <c r="R3985" s="42"/>
      <c r="S3985" s="42"/>
      <c r="T3985" s="42"/>
      <c r="U3985" s="42"/>
      <c r="V3985" s="42"/>
      <c r="W3985" s="42"/>
    </row>
    <row r="3986">
      <c r="A3986" s="9"/>
      <c r="B3986" s="9"/>
      <c r="C3986" s="9"/>
      <c r="D3986" s="42"/>
      <c r="E3986" s="103"/>
      <c r="F3986" s="42"/>
      <c r="G3986" s="9"/>
      <c r="H3986" s="9"/>
      <c r="I3986" s="9"/>
      <c r="J3986" s="9"/>
      <c r="K3986" s="42"/>
      <c r="L3986" s="42"/>
      <c r="M3986" s="42"/>
      <c r="N3986" s="42"/>
      <c r="O3986" s="42"/>
      <c r="P3986" s="9"/>
      <c r="Q3986" s="9"/>
      <c r="R3986" s="42"/>
      <c r="S3986" s="42"/>
      <c r="T3986" s="42"/>
      <c r="U3986" s="42"/>
      <c r="V3986" s="42"/>
      <c r="W3986" s="42"/>
    </row>
    <row r="3987">
      <c r="A3987" s="9"/>
      <c r="B3987" s="9"/>
      <c r="C3987" s="9"/>
      <c r="D3987" s="42"/>
      <c r="E3987" s="103"/>
      <c r="F3987" s="42"/>
      <c r="G3987" s="9"/>
      <c r="H3987" s="9"/>
      <c r="I3987" s="9"/>
      <c r="J3987" s="9"/>
      <c r="K3987" s="42"/>
      <c r="L3987" s="42"/>
      <c r="M3987" s="42"/>
      <c r="N3987" s="42"/>
      <c r="O3987" s="42"/>
      <c r="P3987" s="9"/>
      <c r="Q3987" s="9"/>
      <c r="R3987" s="42"/>
      <c r="S3987" s="42"/>
      <c r="T3987" s="42"/>
      <c r="U3987" s="42"/>
      <c r="V3987" s="42"/>
      <c r="W3987" s="42"/>
    </row>
    <row r="3988">
      <c r="A3988" s="9"/>
      <c r="B3988" s="9"/>
      <c r="C3988" s="9"/>
      <c r="D3988" s="42"/>
      <c r="E3988" s="103"/>
      <c r="F3988" s="42"/>
      <c r="G3988" s="9"/>
      <c r="H3988" s="9"/>
      <c r="I3988" s="9"/>
      <c r="J3988" s="9"/>
      <c r="K3988" s="42"/>
      <c r="L3988" s="42"/>
      <c r="M3988" s="42"/>
      <c r="N3988" s="42"/>
      <c r="O3988" s="42"/>
      <c r="P3988" s="9"/>
      <c r="Q3988" s="9"/>
      <c r="R3988" s="42"/>
      <c r="S3988" s="42"/>
      <c r="T3988" s="42"/>
      <c r="U3988" s="42"/>
      <c r="V3988" s="42"/>
      <c r="W3988" s="42"/>
    </row>
    <row r="3989">
      <c r="A3989" s="9"/>
      <c r="B3989" s="9"/>
      <c r="C3989" s="9"/>
      <c r="D3989" s="42"/>
      <c r="E3989" s="103"/>
      <c r="F3989" s="42"/>
      <c r="G3989" s="9"/>
      <c r="H3989" s="9"/>
      <c r="I3989" s="9"/>
      <c r="J3989" s="9"/>
      <c r="K3989" s="42"/>
      <c r="L3989" s="42"/>
      <c r="M3989" s="42"/>
      <c r="N3989" s="42"/>
      <c r="O3989" s="42"/>
      <c r="P3989" s="9"/>
      <c r="Q3989" s="9"/>
      <c r="R3989" s="42"/>
      <c r="S3989" s="42"/>
      <c r="T3989" s="42"/>
      <c r="U3989" s="42"/>
      <c r="V3989" s="42"/>
      <c r="W3989" s="42"/>
    </row>
    <row r="3990">
      <c r="A3990" s="9"/>
      <c r="B3990" s="9"/>
      <c r="C3990" s="9"/>
      <c r="D3990" s="42"/>
      <c r="E3990" s="103"/>
      <c r="F3990" s="42"/>
      <c r="G3990" s="9"/>
      <c r="H3990" s="9"/>
      <c r="I3990" s="9"/>
      <c r="J3990" s="9"/>
      <c r="K3990" s="42"/>
      <c r="L3990" s="42"/>
      <c r="M3990" s="42"/>
      <c r="N3990" s="42"/>
      <c r="O3990" s="42"/>
      <c r="P3990" s="9"/>
      <c r="Q3990" s="9"/>
      <c r="R3990" s="42"/>
      <c r="S3990" s="42"/>
      <c r="T3990" s="42"/>
      <c r="U3990" s="42"/>
      <c r="V3990" s="42"/>
      <c r="W3990" s="42"/>
    </row>
    <row r="3991">
      <c r="A3991" s="9"/>
      <c r="B3991" s="9"/>
      <c r="C3991" s="9"/>
      <c r="D3991" s="42"/>
      <c r="E3991" s="103"/>
      <c r="F3991" s="42"/>
      <c r="G3991" s="9"/>
      <c r="H3991" s="9"/>
      <c r="I3991" s="9"/>
      <c r="J3991" s="9"/>
      <c r="K3991" s="42"/>
      <c r="L3991" s="42"/>
      <c r="M3991" s="42"/>
      <c r="N3991" s="42"/>
      <c r="O3991" s="42"/>
      <c r="P3991" s="9"/>
      <c r="Q3991" s="9"/>
      <c r="R3991" s="42"/>
      <c r="S3991" s="42"/>
      <c r="T3991" s="42"/>
      <c r="U3991" s="42"/>
      <c r="V3991" s="42"/>
      <c r="W3991" s="42"/>
    </row>
    <row r="3992">
      <c r="A3992" s="9"/>
      <c r="B3992" s="9"/>
      <c r="C3992" s="9"/>
      <c r="D3992" s="42"/>
      <c r="E3992" s="103"/>
      <c r="F3992" s="42"/>
      <c r="G3992" s="9"/>
      <c r="H3992" s="9"/>
      <c r="I3992" s="9"/>
      <c r="J3992" s="9"/>
      <c r="K3992" s="42"/>
      <c r="L3992" s="42"/>
      <c r="M3992" s="42"/>
      <c r="N3992" s="42"/>
      <c r="O3992" s="42"/>
      <c r="P3992" s="9"/>
      <c r="Q3992" s="9"/>
      <c r="R3992" s="42"/>
      <c r="S3992" s="42"/>
      <c r="T3992" s="42"/>
      <c r="U3992" s="42"/>
      <c r="V3992" s="42"/>
      <c r="W3992" s="42"/>
    </row>
    <row r="3993">
      <c r="A3993" s="9"/>
      <c r="B3993" s="9"/>
      <c r="C3993" s="9"/>
      <c r="D3993" s="42"/>
      <c r="E3993" s="103"/>
      <c r="F3993" s="42"/>
      <c r="G3993" s="9"/>
      <c r="H3993" s="9"/>
      <c r="I3993" s="9"/>
      <c r="J3993" s="9"/>
      <c r="K3993" s="42"/>
      <c r="L3993" s="42"/>
      <c r="M3993" s="42"/>
      <c r="N3993" s="42"/>
      <c r="O3993" s="42"/>
      <c r="P3993" s="9"/>
      <c r="Q3993" s="9"/>
      <c r="R3993" s="42"/>
      <c r="S3993" s="42"/>
      <c r="T3993" s="42"/>
      <c r="U3993" s="42"/>
      <c r="V3993" s="42"/>
      <c r="W3993" s="42"/>
    </row>
    <row r="3994">
      <c r="A3994" s="9"/>
      <c r="B3994" s="9"/>
      <c r="C3994" s="9"/>
      <c r="D3994" s="42"/>
      <c r="E3994" s="103"/>
      <c r="F3994" s="42"/>
      <c r="G3994" s="9"/>
      <c r="H3994" s="9"/>
      <c r="I3994" s="9"/>
      <c r="J3994" s="9"/>
      <c r="K3994" s="42"/>
      <c r="L3994" s="42"/>
      <c r="M3994" s="42"/>
      <c r="N3994" s="42"/>
      <c r="O3994" s="42"/>
      <c r="P3994" s="9"/>
      <c r="Q3994" s="9"/>
      <c r="R3994" s="42"/>
      <c r="S3994" s="42"/>
      <c r="T3994" s="42"/>
      <c r="U3994" s="42"/>
      <c r="V3994" s="42"/>
      <c r="W3994" s="42"/>
    </row>
    <row r="3995">
      <c r="A3995" s="9"/>
      <c r="B3995" s="9"/>
      <c r="C3995" s="9"/>
      <c r="D3995" s="42"/>
      <c r="E3995" s="103"/>
      <c r="F3995" s="42"/>
      <c r="G3995" s="9"/>
      <c r="H3995" s="9"/>
      <c r="I3995" s="9"/>
      <c r="J3995" s="9"/>
      <c r="K3995" s="42"/>
      <c r="L3995" s="42"/>
      <c r="M3995" s="42"/>
      <c r="N3995" s="42"/>
      <c r="O3995" s="42"/>
      <c r="P3995" s="9"/>
      <c r="Q3995" s="9"/>
      <c r="R3995" s="42"/>
      <c r="S3995" s="42"/>
      <c r="T3995" s="42"/>
      <c r="U3995" s="42"/>
      <c r="V3995" s="42"/>
      <c r="W3995" s="42"/>
    </row>
    <row r="3996">
      <c r="A3996" s="9"/>
      <c r="B3996" s="9"/>
      <c r="C3996" s="9"/>
      <c r="D3996" s="42"/>
      <c r="E3996" s="103"/>
      <c r="F3996" s="42"/>
      <c r="G3996" s="9"/>
      <c r="H3996" s="9"/>
      <c r="I3996" s="9"/>
      <c r="J3996" s="9"/>
      <c r="K3996" s="42"/>
      <c r="L3996" s="42"/>
      <c r="M3996" s="42"/>
      <c r="N3996" s="42"/>
      <c r="O3996" s="42"/>
      <c r="P3996" s="9"/>
      <c r="Q3996" s="9"/>
      <c r="R3996" s="42"/>
      <c r="S3996" s="42"/>
      <c r="T3996" s="42"/>
      <c r="U3996" s="42"/>
      <c r="V3996" s="42"/>
      <c r="W3996" s="42"/>
    </row>
    <row r="3997">
      <c r="A3997" s="9"/>
      <c r="B3997" s="9"/>
      <c r="C3997" s="9"/>
      <c r="D3997" s="42"/>
      <c r="E3997" s="103"/>
      <c r="F3997" s="42"/>
      <c r="G3997" s="9"/>
      <c r="H3997" s="9"/>
      <c r="I3997" s="9"/>
      <c r="J3997" s="9"/>
      <c r="K3997" s="42"/>
      <c r="L3997" s="42"/>
      <c r="M3997" s="42"/>
      <c r="N3997" s="42"/>
      <c r="O3997" s="42"/>
      <c r="P3997" s="9"/>
      <c r="Q3997" s="9"/>
      <c r="R3997" s="42"/>
      <c r="S3997" s="42"/>
      <c r="T3997" s="42"/>
      <c r="U3997" s="42"/>
      <c r="V3997" s="42"/>
      <c r="W3997" s="42"/>
    </row>
    <row r="3998">
      <c r="A3998" s="9"/>
      <c r="B3998" s="9"/>
      <c r="C3998" s="9"/>
      <c r="D3998" s="42"/>
      <c r="E3998" s="103"/>
      <c r="F3998" s="42"/>
      <c r="G3998" s="9"/>
      <c r="H3998" s="9"/>
      <c r="I3998" s="9"/>
      <c r="J3998" s="9"/>
      <c r="K3998" s="42"/>
      <c r="L3998" s="42"/>
      <c r="M3998" s="42"/>
      <c r="N3998" s="42"/>
      <c r="O3998" s="42"/>
      <c r="P3998" s="9"/>
      <c r="Q3998" s="9"/>
      <c r="R3998" s="42"/>
      <c r="S3998" s="42"/>
      <c r="T3998" s="42"/>
      <c r="U3998" s="42"/>
      <c r="V3998" s="42"/>
      <c r="W3998" s="42"/>
    </row>
    <row r="3999">
      <c r="A3999" s="9"/>
      <c r="B3999" s="9"/>
      <c r="C3999" s="9"/>
      <c r="D3999" s="42"/>
      <c r="E3999" s="103"/>
      <c r="F3999" s="42"/>
      <c r="G3999" s="9"/>
      <c r="H3999" s="9"/>
      <c r="I3999" s="9"/>
      <c r="J3999" s="9"/>
      <c r="K3999" s="42"/>
      <c r="L3999" s="42"/>
      <c r="M3999" s="42"/>
      <c r="N3999" s="42"/>
      <c r="O3999" s="42"/>
      <c r="P3999" s="9"/>
      <c r="Q3999" s="9"/>
      <c r="R3999" s="42"/>
      <c r="S3999" s="42"/>
      <c r="T3999" s="42"/>
      <c r="U3999" s="42"/>
      <c r="V3999" s="42"/>
      <c r="W3999" s="42"/>
    </row>
    <row r="4000">
      <c r="A4000" s="9"/>
      <c r="B4000" s="9"/>
      <c r="C4000" s="9"/>
      <c r="D4000" s="42"/>
      <c r="E4000" s="103"/>
      <c r="F4000" s="42"/>
      <c r="G4000" s="9"/>
      <c r="H4000" s="9"/>
      <c r="I4000" s="9"/>
      <c r="J4000" s="9"/>
      <c r="K4000" s="42"/>
      <c r="L4000" s="42"/>
      <c r="M4000" s="42"/>
      <c r="N4000" s="42"/>
      <c r="O4000" s="42"/>
      <c r="P4000" s="9"/>
      <c r="Q4000" s="9"/>
      <c r="R4000" s="42"/>
      <c r="S4000" s="42"/>
      <c r="T4000" s="42"/>
      <c r="U4000" s="42"/>
      <c r="V4000" s="42"/>
      <c r="W4000" s="42"/>
    </row>
    <row r="4001">
      <c r="A4001" s="9"/>
      <c r="B4001" s="9"/>
      <c r="C4001" s="9"/>
      <c r="D4001" s="42"/>
      <c r="E4001" s="103"/>
      <c r="F4001" s="42"/>
      <c r="G4001" s="9"/>
      <c r="H4001" s="9"/>
      <c r="I4001" s="9"/>
      <c r="J4001" s="9"/>
      <c r="K4001" s="42"/>
      <c r="L4001" s="42"/>
      <c r="M4001" s="42"/>
      <c r="N4001" s="42"/>
      <c r="O4001" s="42"/>
      <c r="P4001" s="9"/>
      <c r="Q4001" s="9"/>
      <c r="R4001" s="42"/>
      <c r="S4001" s="42"/>
      <c r="T4001" s="42"/>
      <c r="U4001" s="42"/>
      <c r="V4001" s="42"/>
      <c r="W4001" s="42"/>
    </row>
    <row r="4002">
      <c r="A4002" s="9"/>
      <c r="B4002" s="9"/>
      <c r="C4002" s="9"/>
      <c r="D4002" s="42"/>
      <c r="E4002" s="103"/>
      <c r="F4002" s="42"/>
      <c r="G4002" s="9"/>
      <c r="H4002" s="9"/>
      <c r="I4002" s="9"/>
      <c r="J4002" s="9"/>
      <c r="K4002" s="42"/>
      <c r="L4002" s="42"/>
      <c r="M4002" s="42"/>
      <c r="N4002" s="42"/>
      <c r="O4002" s="42"/>
      <c r="P4002" s="9"/>
      <c r="Q4002" s="9"/>
      <c r="R4002" s="42"/>
      <c r="S4002" s="42"/>
      <c r="T4002" s="42"/>
      <c r="U4002" s="42"/>
      <c r="V4002" s="42"/>
      <c r="W4002" s="42"/>
    </row>
    <row r="4003">
      <c r="A4003" s="9"/>
      <c r="B4003" s="9"/>
      <c r="C4003" s="9"/>
      <c r="D4003" s="42"/>
      <c r="E4003" s="103"/>
      <c r="F4003" s="42"/>
      <c r="G4003" s="9"/>
      <c r="H4003" s="9"/>
      <c r="I4003" s="9"/>
      <c r="J4003" s="9"/>
      <c r="K4003" s="42"/>
      <c r="L4003" s="42"/>
      <c r="M4003" s="42"/>
      <c r="N4003" s="42"/>
      <c r="O4003" s="42"/>
      <c r="P4003" s="9"/>
      <c r="Q4003" s="9"/>
      <c r="R4003" s="42"/>
      <c r="S4003" s="42"/>
      <c r="T4003" s="42"/>
      <c r="U4003" s="42"/>
      <c r="V4003" s="42"/>
      <c r="W4003" s="42"/>
    </row>
    <row r="4004">
      <c r="A4004" s="9"/>
      <c r="B4004" s="9"/>
      <c r="C4004" s="9"/>
      <c r="D4004" s="42"/>
      <c r="E4004" s="103"/>
      <c r="F4004" s="42"/>
      <c r="G4004" s="9"/>
      <c r="H4004" s="9"/>
      <c r="I4004" s="9"/>
      <c r="J4004" s="9"/>
      <c r="K4004" s="42"/>
      <c r="L4004" s="42"/>
      <c r="M4004" s="42"/>
      <c r="N4004" s="42"/>
      <c r="O4004" s="42"/>
      <c r="P4004" s="9"/>
      <c r="Q4004" s="9"/>
      <c r="R4004" s="42"/>
      <c r="S4004" s="42"/>
      <c r="T4004" s="42"/>
      <c r="U4004" s="42"/>
      <c r="V4004" s="42"/>
      <c r="W4004" s="42"/>
    </row>
    <row r="4005">
      <c r="A4005" s="9"/>
      <c r="B4005" s="9"/>
      <c r="C4005" s="9"/>
      <c r="D4005" s="42"/>
      <c r="E4005" s="103"/>
      <c r="F4005" s="42"/>
      <c r="G4005" s="9"/>
      <c r="H4005" s="9"/>
      <c r="I4005" s="9"/>
      <c r="J4005" s="9"/>
      <c r="K4005" s="42"/>
      <c r="L4005" s="42"/>
      <c r="M4005" s="42"/>
      <c r="N4005" s="42"/>
      <c r="O4005" s="42"/>
      <c r="P4005" s="9"/>
      <c r="Q4005" s="9"/>
      <c r="R4005" s="42"/>
      <c r="S4005" s="42"/>
      <c r="T4005" s="42"/>
      <c r="U4005" s="42"/>
      <c r="V4005" s="42"/>
      <c r="W4005" s="42"/>
    </row>
    <row r="4006">
      <c r="A4006" s="9"/>
      <c r="B4006" s="9"/>
      <c r="C4006" s="9"/>
      <c r="D4006" s="42"/>
      <c r="E4006" s="103"/>
      <c r="F4006" s="42"/>
      <c r="G4006" s="9"/>
      <c r="H4006" s="9"/>
      <c r="I4006" s="9"/>
      <c r="J4006" s="9"/>
      <c r="K4006" s="42"/>
      <c r="L4006" s="42"/>
      <c r="M4006" s="42"/>
      <c r="N4006" s="42"/>
      <c r="O4006" s="42"/>
      <c r="P4006" s="9"/>
      <c r="Q4006" s="9"/>
      <c r="R4006" s="42"/>
      <c r="S4006" s="42"/>
      <c r="T4006" s="42"/>
      <c r="U4006" s="42"/>
      <c r="V4006" s="42"/>
      <c r="W4006" s="42"/>
    </row>
    <row r="4007">
      <c r="A4007" s="9"/>
      <c r="B4007" s="9"/>
      <c r="C4007" s="9"/>
      <c r="D4007" s="42"/>
      <c r="E4007" s="103"/>
      <c r="F4007" s="42"/>
      <c r="G4007" s="9"/>
      <c r="H4007" s="9"/>
      <c r="I4007" s="9"/>
      <c r="J4007" s="9"/>
      <c r="K4007" s="42"/>
      <c r="L4007" s="42"/>
      <c r="M4007" s="42"/>
      <c r="N4007" s="42"/>
      <c r="O4007" s="42"/>
      <c r="P4007" s="9"/>
      <c r="Q4007" s="9"/>
      <c r="R4007" s="42"/>
      <c r="S4007" s="42"/>
      <c r="T4007" s="42"/>
      <c r="U4007" s="42"/>
      <c r="V4007" s="42"/>
      <c r="W4007" s="42"/>
    </row>
    <row r="4008">
      <c r="A4008" s="9"/>
      <c r="B4008" s="9"/>
      <c r="C4008" s="9"/>
      <c r="D4008" s="42"/>
      <c r="E4008" s="103"/>
      <c r="F4008" s="42"/>
      <c r="G4008" s="9"/>
      <c r="H4008" s="9"/>
      <c r="I4008" s="9"/>
      <c r="J4008" s="9"/>
      <c r="K4008" s="42"/>
      <c r="L4008" s="42"/>
      <c r="M4008" s="42"/>
      <c r="N4008" s="42"/>
      <c r="O4008" s="42"/>
      <c r="P4008" s="9"/>
      <c r="Q4008" s="9"/>
      <c r="R4008" s="42"/>
      <c r="S4008" s="42"/>
      <c r="T4008" s="42"/>
      <c r="U4008" s="42"/>
      <c r="V4008" s="42"/>
      <c r="W4008" s="42"/>
    </row>
    <row r="4009">
      <c r="A4009" s="9"/>
      <c r="B4009" s="9"/>
      <c r="C4009" s="9"/>
      <c r="D4009" s="42"/>
      <c r="E4009" s="103"/>
      <c r="F4009" s="42"/>
      <c r="G4009" s="9"/>
      <c r="H4009" s="9"/>
      <c r="I4009" s="9"/>
      <c r="J4009" s="9"/>
      <c r="K4009" s="42"/>
      <c r="L4009" s="42"/>
      <c r="M4009" s="42"/>
      <c r="N4009" s="42"/>
      <c r="O4009" s="42"/>
      <c r="P4009" s="9"/>
      <c r="Q4009" s="9"/>
      <c r="R4009" s="42"/>
      <c r="S4009" s="42"/>
      <c r="T4009" s="42"/>
      <c r="U4009" s="42"/>
      <c r="V4009" s="42"/>
      <c r="W4009" s="42"/>
    </row>
    <row r="4010">
      <c r="A4010" s="9"/>
      <c r="B4010" s="9"/>
      <c r="C4010" s="9"/>
      <c r="D4010" s="42"/>
      <c r="E4010" s="103"/>
      <c r="F4010" s="42"/>
      <c r="G4010" s="9"/>
      <c r="H4010" s="9"/>
      <c r="I4010" s="9"/>
      <c r="J4010" s="9"/>
      <c r="K4010" s="42"/>
      <c r="L4010" s="42"/>
      <c r="M4010" s="42"/>
      <c r="N4010" s="42"/>
      <c r="O4010" s="42"/>
      <c r="P4010" s="9"/>
      <c r="Q4010" s="9"/>
      <c r="R4010" s="42"/>
      <c r="S4010" s="42"/>
      <c r="T4010" s="42"/>
      <c r="U4010" s="42"/>
      <c r="V4010" s="42"/>
      <c r="W4010" s="42"/>
    </row>
    <row r="4011">
      <c r="A4011" s="9"/>
      <c r="B4011" s="9"/>
      <c r="C4011" s="9"/>
      <c r="D4011" s="42"/>
      <c r="E4011" s="103"/>
      <c r="F4011" s="42"/>
      <c r="G4011" s="9"/>
      <c r="H4011" s="9"/>
      <c r="I4011" s="9"/>
      <c r="J4011" s="9"/>
      <c r="K4011" s="42"/>
      <c r="L4011" s="42"/>
      <c r="M4011" s="42"/>
      <c r="N4011" s="42"/>
      <c r="O4011" s="42"/>
      <c r="P4011" s="9"/>
      <c r="Q4011" s="9"/>
      <c r="R4011" s="42"/>
      <c r="S4011" s="42"/>
      <c r="T4011" s="42"/>
      <c r="U4011" s="42"/>
      <c r="V4011" s="42"/>
      <c r="W4011" s="42"/>
    </row>
    <row r="4012">
      <c r="A4012" s="9"/>
      <c r="B4012" s="9"/>
      <c r="C4012" s="9"/>
      <c r="D4012" s="42"/>
      <c r="E4012" s="103"/>
      <c r="F4012" s="42"/>
      <c r="G4012" s="9"/>
      <c r="H4012" s="9"/>
      <c r="I4012" s="9"/>
      <c r="J4012" s="9"/>
      <c r="K4012" s="42"/>
      <c r="L4012" s="42"/>
      <c r="M4012" s="42"/>
      <c r="N4012" s="42"/>
      <c r="O4012" s="42"/>
      <c r="P4012" s="9"/>
      <c r="Q4012" s="9"/>
      <c r="R4012" s="42"/>
      <c r="S4012" s="42"/>
      <c r="T4012" s="42"/>
      <c r="U4012" s="42"/>
      <c r="V4012" s="42"/>
      <c r="W4012" s="42"/>
    </row>
    <row r="4013">
      <c r="A4013" s="9"/>
      <c r="B4013" s="9"/>
      <c r="C4013" s="9"/>
      <c r="D4013" s="42"/>
      <c r="E4013" s="103"/>
      <c r="F4013" s="42"/>
      <c r="G4013" s="9"/>
      <c r="H4013" s="9"/>
      <c r="I4013" s="9"/>
      <c r="J4013" s="9"/>
      <c r="K4013" s="42"/>
      <c r="L4013" s="42"/>
      <c r="M4013" s="42"/>
      <c r="N4013" s="42"/>
      <c r="O4013" s="42"/>
      <c r="P4013" s="9"/>
      <c r="Q4013" s="9"/>
      <c r="R4013" s="42"/>
      <c r="S4013" s="42"/>
      <c r="T4013" s="42"/>
      <c r="U4013" s="42"/>
      <c r="V4013" s="42"/>
      <c r="W4013" s="42"/>
    </row>
    <row r="4014">
      <c r="A4014" s="9"/>
      <c r="B4014" s="9"/>
      <c r="C4014" s="9"/>
      <c r="D4014" s="42"/>
      <c r="E4014" s="103"/>
      <c r="F4014" s="42"/>
      <c r="G4014" s="9"/>
      <c r="H4014" s="9"/>
      <c r="I4014" s="9"/>
      <c r="J4014" s="9"/>
      <c r="K4014" s="42"/>
      <c r="L4014" s="42"/>
      <c r="M4014" s="42"/>
      <c r="N4014" s="42"/>
      <c r="O4014" s="42"/>
      <c r="P4014" s="9"/>
      <c r="Q4014" s="9"/>
      <c r="R4014" s="42"/>
      <c r="S4014" s="42"/>
      <c r="T4014" s="42"/>
      <c r="U4014" s="42"/>
      <c r="V4014" s="42"/>
      <c r="W4014" s="42"/>
    </row>
    <row r="4015">
      <c r="A4015" s="9"/>
      <c r="B4015" s="9"/>
      <c r="C4015" s="9"/>
      <c r="D4015" s="42"/>
      <c r="E4015" s="103"/>
      <c r="F4015" s="42"/>
      <c r="G4015" s="9"/>
      <c r="H4015" s="9"/>
      <c r="I4015" s="9"/>
      <c r="J4015" s="9"/>
      <c r="K4015" s="42"/>
      <c r="L4015" s="42"/>
      <c r="M4015" s="42"/>
      <c r="N4015" s="42"/>
      <c r="O4015" s="42"/>
      <c r="P4015" s="9"/>
      <c r="Q4015" s="9"/>
      <c r="R4015" s="42"/>
      <c r="S4015" s="42"/>
      <c r="T4015" s="42"/>
      <c r="U4015" s="42"/>
      <c r="V4015" s="42"/>
      <c r="W4015" s="42"/>
    </row>
    <row r="4016">
      <c r="A4016" s="9"/>
      <c r="B4016" s="9"/>
      <c r="C4016" s="9"/>
      <c r="D4016" s="42"/>
      <c r="E4016" s="103"/>
      <c r="F4016" s="42"/>
      <c r="G4016" s="9"/>
      <c r="H4016" s="9"/>
      <c r="I4016" s="9"/>
      <c r="J4016" s="9"/>
      <c r="K4016" s="42"/>
      <c r="L4016" s="42"/>
      <c r="M4016" s="42"/>
      <c r="N4016" s="42"/>
      <c r="O4016" s="42"/>
      <c r="P4016" s="9"/>
      <c r="Q4016" s="9"/>
      <c r="R4016" s="42"/>
      <c r="S4016" s="42"/>
      <c r="T4016" s="42"/>
      <c r="U4016" s="42"/>
      <c r="V4016" s="42"/>
      <c r="W4016" s="42"/>
    </row>
    <row r="4017">
      <c r="A4017" s="9"/>
      <c r="B4017" s="9"/>
      <c r="C4017" s="9"/>
      <c r="D4017" s="42"/>
      <c r="E4017" s="103"/>
      <c r="F4017" s="42"/>
      <c r="G4017" s="9"/>
      <c r="H4017" s="9"/>
      <c r="I4017" s="9"/>
      <c r="J4017" s="9"/>
      <c r="K4017" s="42"/>
      <c r="L4017" s="42"/>
      <c r="M4017" s="42"/>
      <c r="N4017" s="42"/>
      <c r="O4017" s="42"/>
      <c r="P4017" s="9"/>
      <c r="Q4017" s="9"/>
      <c r="R4017" s="42"/>
      <c r="S4017" s="42"/>
      <c r="T4017" s="42"/>
      <c r="U4017" s="42"/>
      <c r="V4017" s="42"/>
      <c r="W4017" s="42"/>
    </row>
    <row r="4018">
      <c r="A4018" s="9"/>
      <c r="B4018" s="9"/>
      <c r="C4018" s="9"/>
      <c r="D4018" s="42"/>
      <c r="E4018" s="103"/>
      <c r="F4018" s="42"/>
      <c r="G4018" s="9"/>
      <c r="H4018" s="9"/>
      <c r="I4018" s="9"/>
      <c r="J4018" s="9"/>
      <c r="K4018" s="42"/>
      <c r="L4018" s="42"/>
      <c r="M4018" s="42"/>
      <c r="N4018" s="42"/>
      <c r="O4018" s="42"/>
      <c r="P4018" s="9"/>
      <c r="Q4018" s="9"/>
      <c r="R4018" s="42"/>
      <c r="S4018" s="42"/>
      <c r="T4018" s="42"/>
      <c r="U4018" s="42"/>
      <c r="V4018" s="42"/>
      <c r="W4018" s="42"/>
    </row>
    <row r="4019">
      <c r="A4019" s="9"/>
      <c r="B4019" s="9"/>
      <c r="C4019" s="9"/>
      <c r="D4019" s="42"/>
      <c r="E4019" s="103"/>
      <c r="F4019" s="42"/>
      <c r="G4019" s="9"/>
      <c r="H4019" s="9"/>
      <c r="I4019" s="9"/>
      <c r="J4019" s="9"/>
      <c r="K4019" s="42"/>
      <c r="L4019" s="42"/>
      <c r="M4019" s="42"/>
      <c r="N4019" s="42"/>
      <c r="O4019" s="42"/>
      <c r="P4019" s="9"/>
      <c r="Q4019" s="9"/>
      <c r="R4019" s="42"/>
      <c r="S4019" s="42"/>
      <c r="T4019" s="42"/>
      <c r="U4019" s="42"/>
      <c r="V4019" s="42"/>
      <c r="W4019" s="42"/>
    </row>
    <row r="4020">
      <c r="A4020" s="9"/>
      <c r="B4020" s="9"/>
      <c r="C4020" s="9"/>
      <c r="D4020" s="42"/>
      <c r="E4020" s="103"/>
      <c r="F4020" s="42"/>
      <c r="G4020" s="9"/>
      <c r="H4020" s="9"/>
      <c r="I4020" s="9"/>
      <c r="J4020" s="9"/>
      <c r="K4020" s="42"/>
      <c r="L4020" s="42"/>
      <c r="M4020" s="42"/>
      <c r="N4020" s="42"/>
      <c r="O4020" s="42"/>
      <c r="P4020" s="9"/>
      <c r="Q4020" s="9"/>
      <c r="R4020" s="42"/>
      <c r="S4020" s="42"/>
      <c r="T4020" s="42"/>
      <c r="U4020" s="42"/>
      <c r="V4020" s="42"/>
      <c r="W4020" s="42"/>
    </row>
    <row r="4021">
      <c r="A4021" s="9"/>
      <c r="B4021" s="9"/>
      <c r="C4021" s="9"/>
      <c r="D4021" s="42"/>
      <c r="E4021" s="103"/>
      <c r="F4021" s="42"/>
      <c r="G4021" s="9"/>
      <c r="H4021" s="9"/>
      <c r="I4021" s="9"/>
      <c r="J4021" s="9"/>
      <c r="K4021" s="42"/>
      <c r="L4021" s="42"/>
      <c r="M4021" s="42"/>
      <c r="N4021" s="42"/>
      <c r="O4021" s="42"/>
      <c r="P4021" s="9"/>
      <c r="Q4021" s="9"/>
      <c r="R4021" s="42"/>
      <c r="S4021" s="42"/>
      <c r="T4021" s="42"/>
      <c r="U4021" s="42"/>
      <c r="V4021" s="42"/>
      <c r="W4021" s="42"/>
    </row>
    <row r="4022">
      <c r="A4022" s="9"/>
      <c r="B4022" s="9"/>
      <c r="C4022" s="9"/>
      <c r="D4022" s="42"/>
      <c r="E4022" s="103"/>
      <c r="F4022" s="42"/>
      <c r="G4022" s="9"/>
      <c r="H4022" s="9"/>
      <c r="I4022" s="9"/>
      <c r="J4022" s="9"/>
      <c r="K4022" s="42"/>
      <c r="L4022" s="42"/>
      <c r="M4022" s="42"/>
      <c r="N4022" s="42"/>
      <c r="O4022" s="42"/>
      <c r="P4022" s="9"/>
      <c r="Q4022" s="9"/>
      <c r="R4022" s="42"/>
      <c r="S4022" s="42"/>
      <c r="T4022" s="42"/>
      <c r="U4022" s="42"/>
      <c r="V4022" s="42"/>
      <c r="W4022" s="42"/>
    </row>
    <row r="4023">
      <c r="A4023" s="9"/>
      <c r="B4023" s="9"/>
      <c r="C4023" s="9"/>
      <c r="D4023" s="42"/>
      <c r="E4023" s="103"/>
      <c r="F4023" s="42"/>
      <c r="G4023" s="9"/>
      <c r="H4023" s="9"/>
      <c r="I4023" s="9"/>
      <c r="J4023" s="9"/>
      <c r="K4023" s="42"/>
      <c r="L4023" s="42"/>
      <c r="M4023" s="42"/>
      <c r="N4023" s="42"/>
      <c r="O4023" s="42"/>
      <c r="P4023" s="9"/>
      <c r="Q4023" s="9"/>
      <c r="R4023" s="42"/>
      <c r="S4023" s="42"/>
      <c r="T4023" s="42"/>
      <c r="U4023" s="42"/>
      <c r="V4023" s="42"/>
      <c r="W4023" s="42"/>
    </row>
    <row r="4024">
      <c r="A4024" s="9"/>
      <c r="B4024" s="9"/>
      <c r="C4024" s="9"/>
      <c r="D4024" s="42"/>
      <c r="E4024" s="103"/>
      <c r="F4024" s="42"/>
      <c r="G4024" s="9"/>
      <c r="H4024" s="9"/>
      <c r="I4024" s="9"/>
      <c r="J4024" s="9"/>
      <c r="K4024" s="42"/>
      <c r="L4024" s="42"/>
      <c r="M4024" s="42"/>
      <c r="N4024" s="42"/>
      <c r="O4024" s="42"/>
      <c r="P4024" s="9"/>
      <c r="Q4024" s="9"/>
      <c r="R4024" s="42"/>
      <c r="S4024" s="42"/>
      <c r="T4024" s="42"/>
      <c r="U4024" s="42"/>
      <c r="V4024" s="42"/>
      <c r="W4024" s="42"/>
    </row>
    <row r="4025">
      <c r="A4025" s="9"/>
      <c r="B4025" s="9"/>
      <c r="C4025" s="9"/>
      <c r="D4025" s="42"/>
      <c r="E4025" s="103"/>
      <c r="F4025" s="42"/>
      <c r="G4025" s="9"/>
      <c r="H4025" s="9"/>
      <c r="I4025" s="9"/>
      <c r="J4025" s="9"/>
      <c r="K4025" s="42"/>
      <c r="L4025" s="42"/>
      <c r="M4025" s="42"/>
      <c r="N4025" s="42"/>
      <c r="O4025" s="42"/>
      <c r="P4025" s="9"/>
      <c r="Q4025" s="9"/>
      <c r="R4025" s="42"/>
      <c r="S4025" s="42"/>
      <c r="T4025" s="42"/>
      <c r="U4025" s="42"/>
      <c r="V4025" s="42"/>
      <c r="W4025" s="42"/>
    </row>
    <row r="4026">
      <c r="A4026" s="9"/>
      <c r="B4026" s="9"/>
      <c r="C4026" s="9"/>
      <c r="D4026" s="42"/>
      <c r="E4026" s="103"/>
      <c r="F4026" s="42"/>
      <c r="G4026" s="9"/>
      <c r="H4026" s="9"/>
      <c r="I4026" s="9"/>
      <c r="J4026" s="9"/>
      <c r="K4026" s="42"/>
      <c r="L4026" s="42"/>
      <c r="M4026" s="42"/>
      <c r="N4026" s="42"/>
      <c r="O4026" s="42"/>
      <c r="P4026" s="9"/>
      <c r="Q4026" s="9"/>
      <c r="R4026" s="42"/>
      <c r="S4026" s="42"/>
      <c r="T4026" s="42"/>
      <c r="U4026" s="42"/>
      <c r="V4026" s="42"/>
      <c r="W4026" s="42"/>
    </row>
    <row r="4027">
      <c r="A4027" s="9"/>
      <c r="B4027" s="9"/>
      <c r="C4027" s="9"/>
      <c r="D4027" s="42"/>
      <c r="E4027" s="103"/>
      <c r="F4027" s="42"/>
      <c r="G4027" s="9"/>
      <c r="H4027" s="9"/>
      <c r="I4027" s="9"/>
      <c r="J4027" s="9"/>
      <c r="K4027" s="42"/>
      <c r="L4027" s="42"/>
      <c r="M4027" s="42"/>
      <c r="N4027" s="42"/>
      <c r="O4027" s="42"/>
      <c r="P4027" s="9"/>
      <c r="Q4027" s="9"/>
      <c r="R4027" s="42"/>
      <c r="S4027" s="42"/>
      <c r="T4027" s="42"/>
      <c r="U4027" s="42"/>
      <c r="V4027" s="42"/>
      <c r="W4027" s="42"/>
    </row>
    <row r="4028">
      <c r="A4028" s="9"/>
      <c r="B4028" s="9"/>
      <c r="C4028" s="9"/>
      <c r="D4028" s="42"/>
      <c r="E4028" s="103"/>
      <c r="F4028" s="42"/>
      <c r="G4028" s="9"/>
      <c r="H4028" s="9"/>
      <c r="I4028" s="9"/>
      <c r="J4028" s="9"/>
      <c r="K4028" s="42"/>
      <c r="L4028" s="42"/>
      <c r="M4028" s="42"/>
      <c r="N4028" s="42"/>
      <c r="O4028" s="42"/>
      <c r="P4028" s="9"/>
      <c r="Q4028" s="9"/>
      <c r="R4028" s="42"/>
      <c r="S4028" s="42"/>
      <c r="T4028" s="42"/>
      <c r="U4028" s="42"/>
      <c r="V4028" s="42"/>
      <c r="W4028" s="42"/>
    </row>
    <row r="4029">
      <c r="A4029" s="9"/>
      <c r="B4029" s="9"/>
      <c r="C4029" s="9"/>
      <c r="D4029" s="42"/>
      <c r="E4029" s="103"/>
      <c r="F4029" s="42"/>
      <c r="G4029" s="9"/>
      <c r="H4029" s="9"/>
      <c r="I4029" s="9"/>
      <c r="J4029" s="9"/>
      <c r="K4029" s="42"/>
      <c r="L4029" s="42"/>
      <c r="M4029" s="42"/>
      <c r="N4029" s="42"/>
      <c r="O4029" s="42"/>
      <c r="P4029" s="9"/>
      <c r="Q4029" s="9"/>
      <c r="R4029" s="42"/>
      <c r="S4029" s="42"/>
      <c r="T4029" s="42"/>
      <c r="U4029" s="42"/>
      <c r="V4029" s="42"/>
      <c r="W4029" s="42"/>
    </row>
    <row r="4030">
      <c r="A4030" s="9"/>
      <c r="B4030" s="9"/>
      <c r="C4030" s="9"/>
      <c r="D4030" s="42"/>
      <c r="E4030" s="103"/>
      <c r="F4030" s="42"/>
      <c r="G4030" s="9"/>
      <c r="H4030" s="9"/>
      <c r="I4030" s="9"/>
      <c r="J4030" s="9"/>
      <c r="K4030" s="42"/>
      <c r="L4030" s="42"/>
      <c r="M4030" s="42"/>
      <c r="N4030" s="42"/>
      <c r="O4030" s="42"/>
      <c r="P4030" s="9"/>
      <c r="Q4030" s="9"/>
      <c r="R4030" s="42"/>
      <c r="S4030" s="42"/>
      <c r="T4030" s="42"/>
      <c r="U4030" s="42"/>
      <c r="V4030" s="42"/>
      <c r="W4030" s="42"/>
    </row>
    <row r="4031">
      <c r="A4031" s="9"/>
      <c r="B4031" s="9"/>
      <c r="C4031" s="9"/>
      <c r="D4031" s="42"/>
      <c r="E4031" s="103"/>
      <c r="F4031" s="42"/>
      <c r="G4031" s="9"/>
      <c r="H4031" s="9"/>
      <c r="I4031" s="9"/>
      <c r="J4031" s="9"/>
      <c r="K4031" s="42"/>
      <c r="L4031" s="42"/>
      <c r="M4031" s="42"/>
      <c r="N4031" s="42"/>
      <c r="O4031" s="42"/>
      <c r="P4031" s="9"/>
      <c r="Q4031" s="9"/>
      <c r="R4031" s="42"/>
      <c r="S4031" s="42"/>
      <c r="T4031" s="42"/>
      <c r="U4031" s="42"/>
      <c r="V4031" s="42"/>
      <c r="W4031" s="42"/>
    </row>
    <row r="4032">
      <c r="A4032" s="9"/>
      <c r="B4032" s="9"/>
      <c r="C4032" s="9"/>
      <c r="D4032" s="42"/>
      <c r="E4032" s="103"/>
      <c r="F4032" s="42"/>
      <c r="G4032" s="9"/>
      <c r="H4032" s="9"/>
      <c r="I4032" s="9"/>
      <c r="J4032" s="9"/>
      <c r="K4032" s="42"/>
      <c r="L4032" s="42"/>
      <c r="M4032" s="42"/>
      <c r="N4032" s="42"/>
      <c r="O4032" s="42"/>
      <c r="P4032" s="9"/>
      <c r="Q4032" s="9"/>
      <c r="R4032" s="42"/>
      <c r="S4032" s="42"/>
      <c r="T4032" s="42"/>
      <c r="U4032" s="42"/>
      <c r="V4032" s="42"/>
      <c r="W4032" s="42"/>
    </row>
    <row r="4033">
      <c r="A4033" s="9"/>
      <c r="B4033" s="9"/>
      <c r="C4033" s="9"/>
      <c r="D4033" s="42"/>
      <c r="E4033" s="103"/>
      <c r="F4033" s="42"/>
      <c r="G4033" s="9"/>
      <c r="H4033" s="9"/>
      <c r="I4033" s="9"/>
      <c r="J4033" s="9"/>
      <c r="K4033" s="42"/>
      <c r="L4033" s="42"/>
      <c r="M4033" s="42"/>
      <c r="N4033" s="42"/>
      <c r="O4033" s="42"/>
      <c r="P4033" s="9"/>
      <c r="Q4033" s="9"/>
      <c r="R4033" s="42"/>
      <c r="S4033" s="42"/>
      <c r="T4033" s="42"/>
      <c r="U4033" s="42"/>
      <c r="V4033" s="42"/>
      <c r="W4033" s="42"/>
    </row>
    <row r="4034">
      <c r="A4034" s="9"/>
      <c r="B4034" s="9"/>
      <c r="C4034" s="9"/>
      <c r="D4034" s="42"/>
      <c r="E4034" s="103"/>
      <c r="F4034" s="42"/>
      <c r="G4034" s="9"/>
      <c r="H4034" s="9"/>
      <c r="I4034" s="9"/>
      <c r="J4034" s="9"/>
      <c r="K4034" s="42"/>
      <c r="L4034" s="42"/>
      <c r="M4034" s="42"/>
      <c r="N4034" s="42"/>
      <c r="O4034" s="42"/>
      <c r="P4034" s="9"/>
      <c r="Q4034" s="9"/>
      <c r="R4034" s="42"/>
      <c r="S4034" s="42"/>
      <c r="T4034" s="42"/>
      <c r="U4034" s="42"/>
      <c r="V4034" s="42"/>
      <c r="W4034" s="42"/>
    </row>
    <row r="4035">
      <c r="A4035" s="9"/>
      <c r="B4035" s="9"/>
      <c r="C4035" s="9"/>
      <c r="D4035" s="42"/>
      <c r="E4035" s="103"/>
      <c r="F4035" s="42"/>
      <c r="G4035" s="9"/>
      <c r="H4035" s="9"/>
      <c r="I4035" s="9"/>
      <c r="J4035" s="9"/>
      <c r="K4035" s="42"/>
      <c r="L4035" s="42"/>
      <c r="M4035" s="42"/>
      <c r="N4035" s="42"/>
      <c r="O4035" s="42"/>
      <c r="P4035" s="9"/>
      <c r="Q4035" s="9"/>
      <c r="R4035" s="42"/>
      <c r="S4035" s="42"/>
      <c r="T4035" s="42"/>
      <c r="U4035" s="42"/>
      <c r="V4035" s="42"/>
      <c r="W4035" s="42"/>
    </row>
    <row r="4036">
      <c r="A4036" s="9"/>
      <c r="B4036" s="9"/>
      <c r="C4036" s="9"/>
      <c r="D4036" s="42"/>
      <c r="E4036" s="103"/>
      <c r="F4036" s="42"/>
      <c r="G4036" s="9"/>
      <c r="H4036" s="9"/>
      <c r="I4036" s="9"/>
      <c r="J4036" s="9"/>
      <c r="K4036" s="42"/>
      <c r="L4036" s="42"/>
      <c r="M4036" s="42"/>
      <c r="N4036" s="42"/>
      <c r="O4036" s="42"/>
      <c r="P4036" s="9"/>
      <c r="Q4036" s="9"/>
      <c r="R4036" s="42"/>
      <c r="S4036" s="42"/>
      <c r="T4036" s="42"/>
      <c r="U4036" s="42"/>
      <c r="V4036" s="42"/>
      <c r="W4036" s="42"/>
    </row>
    <row r="4037">
      <c r="A4037" s="9"/>
      <c r="B4037" s="9"/>
      <c r="C4037" s="9"/>
      <c r="D4037" s="42"/>
      <c r="E4037" s="103"/>
      <c r="F4037" s="42"/>
      <c r="G4037" s="9"/>
      <c r="H4037" s="9"/>
      <c r="I4037" s="9"/>
      <c r="J4037" s="9"/>
      <c r="K4037" s="42"/>
      <c r="L4037" s="42"/>
      <c r="M4037" s="42"/>
      <c r="N4037" s="42"/>
      <c r="O4037" s="42"/>
      <c r="P4037" s="9"/>
      <c r="Q4037" s="9"/>
      <c r="R4037" s="42"/>
      <c r="S4037" s="42"/>
      <c r="T4037" s="42"/>
      <c r="U4037" s="42"/>
      <c r="V4037" s="42"/>
      <c r="W4037" s="42"/>
    </row>
    <row r="4038">
      <c r="A4038" s="9"/>
      <c r="B4038" s="9"/>
      <c r="C4038" s="9"/>
      <c r="D4038" s="42"/>
      <c r="E4038" s="103"/>
      <c r="F4038" s="42"/>
      <c r="G4038" s="9"/>
      <c r="H4038" s="9"/>
      <c r="I4038" s="9"/>
      <c r="J4038" s="9"/>
      <c r="K4038" s="42"/>
      <c r="L4038" s="42"/>
      <c r="M4038" s="42"/>
      <c r="N4038" s="42"/>
      <c r="O4038" s="42"/>
      <c r="P4038" s="9"/>
      <c r="Q4038" s="9"/>
      <c r="R4038" s="42"/>
      <c r="S4038" s="42"/>
      <c r="T4038" s="42"/>
      <c r="U4038" s="42"/>
      <c r="V4038" s="42"/>
      <c r="W4038" s="42"/>
    </row>
    <row r="4039">
      <c r="A4039" s="9"/>
      <c r="B4039" s="9"/>
      <c r="C4039" s="9"/>
      <c r="D4039" s="42"/>
      <c r="E4039" s="103"/>
      <c r="F4039" s="42"/>
      <c r="G4039" s="9"/>
      <c r="H4039" s="9"/>
      <c r="I4039" s="9"/>
      <c r="J4039" s="9"/>
      <c r="K4039" s="42"/>
      <c r="L4039" s="42"/>
      <c r="M4039" s="42"/>
      <c r="N4039" s="42"/>
      <c r="O4039" s="42"/>
      <c r="P4039" s="9"/>
      <c r="Q4039" s="9"/>
      <c r="R4039" s="42"/>
      <c r="S4039" s="42"/>
      <c r="T4039" s="42"/>
      <c r="U4039" s="42"/>
      <c r="V4039" s="42"/>
      <c r="W4039" s="42"/>
    </row>
    <row r="4040">
      <c r="A4040" s="9"/>
      <c r="B4040" s="9"/>
      <c r="C4040" s="9"/>
      <c r="D4040" s="42"/>
      <c r="E4040" s="103"/>
      <c r="F4040" s="42"/>
      <c r="G4040" s="9"/>
      <c r="H4040" s="9"/>
      <c r="I4040" s="9"/>
      <c r="J4040" s="9"/>
      <c r="K4040" s="42"/>
      <c r="L4040" s="42"/>
      <c r="M4040" s="42"/>
      <c r="N4040" s="42"/>
      <c r="O4040" s="42"/>
      <c r="P4040" s="9"/>
      <c r="Q4040" s="9"/>
      <c r="R4040" s="42"/>
      <c r="S4040" s="42"/>
      <c r="T4040" s="42"/>
      <c r="U4040" s="42"/>
      <c r="V4040" s="42"/>
      <c r="W4040" s="42"/>
    </row>
    <row r="4041">
      <c r="A4041" s="9"/>
      <c r="B4041" s="9"/>
      <c r="C4041" s="9"/>
      <c r="D4041" s="42"/>
      <c r="E4041" s="103"/>
      <c r="F4041" s="42"/>
      <c r="G4041" s="9"/>
      <c r="H4041" s="9"/>
      <c r="I4041" s="9"/>
      <c r="J4041" s="9"/>
      <c r="K4041" s="42"/>
      <c r="L4041" s="42"/>
      <c r="M4041" s="42"/>
      <c r="N4041" s="42"/>
      <c r="O4041" s="42"/>
      <c r="P4041" s="9"/>
      <c r="Q4041" s="9"/>
      <c r="R4041" s="42"/>
      <c r="S4041" s="42"/>
      <c r="T4041" s="42"/>
      <c r="U4041" s="42"/>
      <c r="V4041" s="42"/>
      <c r="W4041" s="42"/>
    </row>
    <row r="4042">
      <c r="A4042" s="9"/>
      <c r="B4042" s="9"/>
      <c r="C4042" s="9"/>
      <c r="D4042" s="42"/>
      <c r="E4042" s="103"/>
      <c r="F4042" s="42"/>
      <c r="G4042" s="9"/>
      <c r="H4042" s="9"/>
      <c r="I4042" s="9"/>
      <c r="J4042" s="9"/>
      <c r="K4042" s="42"/>
      <c r="L4042" s="42"/>
      <c r="M4042" s="42"/>
      <c r="N4042" s="42"/>
      <c r="O4042" s="42"/>
      <c r="P4042" s="9"/>
      <c r="Q4042" s="9"/>
      <c r="R4042" s="42"/>
      <c r="S4042" s="42"/>
      <c r="T4042" s="42"/>
      <c r="U4042" s="42"/>
      <c r="V4042" s="42"/>
      <c r="W4042" s="42"/>
    </row>
    <row r="4043">
      <c r="A4043" s="9"/>
      <c r="B4043" s="9"/>
      <c r="C4043" s="9"/>
      <c r="D4043" s="42"/>
      <c r="E4043" s="103"/>
      <c r="F4043" s="42"/>
      <c r="G4043" s="9"/>
      <c r="H4043" s="9"/>
      <c r="I4043" s="9"/>
      <c r="J4043" s="9"/>
      <c r="K4043" s="42"/>
      <c r="L4043" s="42"/>
      <c r="M4043" s="42"/>
      <c r="N4043" s="42"/>
      <c r="O4043" s="42"/>
      <c r="P4043" s="9"/>
      <c r="Q4043" s="9"/>
      <c r="R4043" s="42"/>
      <c r="S4043" s="42"/>
      <c r="T4043" s="42"/>
      <c r="U4043" s="42"/>
      <c r="V4043" s="42"/>
      <c r="W4043" s="42"/>
    </row>
    <row r="4044">
      <c r="A4044" s="9"/>
      <c r="B4044" s="9"/>
      <c r="C4044" s="9"/>
      <c r="D4044" s="42"/>
      <c r="E4044" s="103"/>
      <c r="F4044" s="42"/>
      <c r="G4044" s="9"/>
      <c r="H4044" s="9"/>
      <c r="I4044" s="9"/>
      <c r="J4044" s="9"/>
      <c r="K4044" s="42"/>
      <c r="L4044" s="42"/>
      <c r="M4044" s="42"/>
      <c r="N4044" s="42"/>
      <c r="O4044" s="42"/>
      <c r="P4044" s="9"/>
      <c r="Q4044" s="9"/>
      <c r="R4044" s="42"/>
      <c r="S4044" s="42"/>
      <c r="T4044" s="42"/>
      <c r="U4044" s="42"/>
      <c r="V4044" s="42"/>
      <c r="W4044" s="42"/>
    </row>
    <row r="4045">
      <c r="A4045" s="9"/>
      <c r="B4045" s="9"/>
      <c r="C4045" s="9"/>
      <c r="D4045" s="42"/>
      <c r="E4045" s="103"/>
      <c r="F4045" s="42"/>
      <c r="G4045" s="9"/>
      <c r="H4045" s="9"/>
      <c r="I4045" s="9"/>
      <c r="J4045" s="9"/>
      <c r="K4045" s="42"/>
      <c r="L4045" s="42"/>
      <c r="M4045" s="42"/>
      <c r="N4045" s="42"/>
      <c r="O4045" s="42"/>
      <c r="P4045" s="9"/>
      <c r="Q4045" s="9"/>
      <c r="R4045" s="42"/>
      <c r="S4045" s="42"/>
      <c r="T4045" s="42"/>
      <c r="U4045" s="42"/>
      <c r="V4045" s="42"/>
      <c r="W4045" s="42"/>
    </row>
    <row r="4046">
      <c r="A4046" s="9"/>
      <c r="B4046" s="9"/>
      <c r="C4046" s="9"/>
      <c r="D4046" s="42"/>
      <c r="E4046" s="103"/>
      <c r="F4046" s="42"/>
      <c r="G4046" s="9"/>
      <c r="H4046" s="9"/>
      <c r="I4046" s="9"/>
      <c r="J4046" s="9"/>
      <c r="K4046" s="42"/>
      <c r="L4046" s="42"/>
      <c r="M4046" s="42"/>
      <c r="N4046" s="42"/>
      <c r="O4046" s="42"/>
      <c r="P4046" s="9"/>
      <c r="Q4046" s="9"/>
      <c r="R4046" s="42"/>
      <c r="S4046" s="42"/>
      <c r="T4046" s="42"/>
      <c r="U4046" s="42"/>
      <c r="V4046" s="42"/>
      <c r="W4046" s="42"/>
    </row>
    <row r="4047">
      <c r="A4047" s="9"/>
      <c r="B4047" s="9"/>
      <c r="C4047" s="9"/>
      <c r="D4047" s="42"/>
      <c r="E4047" s="103"/>
      <c r="F4047" s="42"/>
      <c r="G4047" s="9"/>
      <c r="H4047" s="9"/>
      <c r="I4047" s="9"/>
      <c r="J4047" s="9"/>
      <c r="K4047" s="42"/>
      <c r="L4047" s="42"/>
      <c r="M4047" s="42"/>
      <c r="N4047" s="42"/>
      <c r="O4047" s="42"/>
      <c r="P4047" s="9"/>
      <c r="Q4047" s="9"/>
      <c r="R4047" s="42"/>
      <c r="S4047" s="42"/>
      <c r="T4047" s="42"/>
      <c r="U4047" s="42"/>
      <c r="V4047" s="42"/>
      <c r="W4047" s="42"/>
    </row>
    <row r="4048">
      <c r="A4048" s="9"/>
      <c r="B4048" s="9"/>
      <c r="C4048" s="9"/>
      <c r="D4048" s="42"/>
      <c r="E4048" s="103"/>
      <c r="F4048" s="42"/>
      <c r="G4048" s="9"/>
      <c r="H4048" s="9"/>
      <c r="I4048" s="9"/>
      <c r="J4048" s="9"/>
      <c r="K4048" s="42"/>
      <c r="L4048" s="42"/>
      <c r="M4048" s="42"/>
      <c r="N4048" s="42"/>
      <c r="O4048" s="42"/>
      <c r="P4048" s="9"/>
      <c r="Q4048" s="9"/>
      <c r="R4048" s="42"/>
      <c r="S4048" s="42"/>
      <c r="T4048" s="42"/>
      <c r="U4048" s="42"/>
      <c r="V4048" s="42"/>
      <c r="W4048" s="42"/>
    </row>
    <row r="4049">
      <c r="A4049" s="9"/>
      <c r="B4049" s="9"/>
      <c r="C4049" s="9"/>
      <c r="D4049" s="42"/>
      <c r="E4049" s="103"/>
      <c r="F4049" s="42"/>
      <c r="G4049" s="9"/>
      <c r="H4049" s="9"/>
      <c r="I4049" s="9"/>
      <c r="J4049" s="9"/>
      <c r="K4049" s="42"/>
      <c r="L4049" s="42"/>
      <c r="M4049" s="42"/>
      <c r="N4049" s="42"/>
      <c r="O4049" s="42"/>
      <c r="P4049" s="9"/>
      <c r="Q4049" s="9"/>
      <c r="R4049" s="42"/>
      <c r="S4049" s="42"/>
      <c r="T4049" s="42"/>
      <c r="U4049" s="42"/>
      <c r="V4049" s="42"/>
      <c r="W4049" s="42"/>
    </row>
    <row r="4050">
      <c r="A4050" s="9"/>
      <c r="B4050" s="9"/>
      <c r="C4050" s="9"/>
      <c r="D4050" s="42"/>
      <c r="E4050" s="103"/>
      <c r="F4050" s="42"/>
      <c r="G4050" s="9"/>
      <c r="H4050" s="9"/>
      <c r="I4050" s="9"/>
      <c r="J4050" s="9"/>
      <c r="K4050" s="42"/>
      <c r="L4050" s="42"/>
      <c r="M4050" s="42"/>
      <c r="N4050" s="42"/>
      <c r="O4050" s="42"/>
      <c r="P4050" s="9"/>
      <c r="Q4050" s="9"/>
      <c r="R4050" s="42"/>
      <c r="S4050" s="42"/>
      <c r="T4050" s="42"/>
      <c r="U4050" s="42"/>
      <c r="V4050" s="42"/>
      <c r="W4050" s="42"/>
    </row>
    <row r="4051">
      <c r="A4051" s="9"/>
      <c r="B4051" s="9"/>
      <c r="C4051" s="9"/>
      <c r="D4051" s="42"/>
      <c r="E4051" s="103"/>
      <c r="F4051" s="42"/>
      <c r="G4051" s="9"/>
      <c r="H4051" s="9"/>
      <c r="I4051" s="9"/>
      <c r="J4051" s="9"/>
      <c r="K4051" s="42"/>
      <c r="L4051" s="42"/>
      <c r="M4051" s="42"/>
      <c r="N4051" s="42"/>
      <c r="O4051" s="42"/>
      <c r="P4051" s="9"/>
      <c r="Q4051" s="9"/>
      <c r="R4051" s="42"/>
      <c r="S4051" s="42"/>
      <c r="T4051" s="42"/>
      <c r="U4051" s="42"/>
      <c r="V4051" s="42"/>
      <c r="W4051" s="42"/>
    </row>
    <row r="4052">
      <c r="A4052" s="9"/>
      <c r="B4052" s="9"/>
      <c r="C4052" s="9"/>
      <c r="D4052" s="42"/>
      <c r="E4052" s="103"/>
      <c r="F4052" s="42"/>
      <c r="G4052" s="9"/>
      <c r="H4052" s="9"/>
      <c r="I4052" s="9"/>
      <c r="J4052" s="9"/>
      <c r="K4052" s="42"/>
      <c r="L4052" s="42"/>
      <c r="M4052" s="42"/>
      <c r="N4052" s="42"/>
      <c r="O4052" s="42"/>
      <c r="P4052" s="9"/>
      <c r="Q4052" s="9"/>
      <c r="R4052" s="42"/>
      <c r="S4052" s="42"/>
      <c r="T4052" s="42"/>
      <c r="U4052" s="42"/>
      <c r="V4052" s="42"/>
      <c r="W4052" s="42"/>
    </row>
    <row r="4053">
      <c r="A4053" s="9"/>
      <c r="B4053" s="9"/>
      <c r="C4053" s="9"/>
      <c r="D4053" s="42"/>
      <c r="E4053" s="103"/>
      <c r="F4053" s="42"/>
      <c r="G4053" s="9"/>
      <c r="H4053" s="9"/>
      <c r="I4053" s="9"/>
      <c r="J4053" s="9"/>
      <c r="K4053" s="42"/>
      <c r="L4053" s="42"/>
      <c r="M4053" s="42"/>
      <c r="N4053" s="42"/>
      <c r="O4053" s="42"/>
      <c r="P4053" s="9"/>
      <c r="Q4053" s="9"/>
      <c r="R4053" s="42"/>
      <c r="S4053" s="42"/>
      <c r="T4053" s="42"/>
      <c r="U4053" s="42"/>
      <c r="V4053" s="42"/>
      <c r="W4053" s="42"/>
    </row>
    <row r="4054">
      <c r="A4054" s="9"/>
      <c r="B4054" s="9"/>
      <c r="C4054" s="9"/>
      <c r="D4054" s="42"/>
      <c r="E4054" s="103"/>
      <c r="F4054" s="42"/>
      <c r="G4054" s="9"/>
      <c r="H4054" s="9"/>
      <c r="I4054" s="9"/>
      <c r="J4054" s="9"/>
      <c r="K4054" s="42"/>
      <c r="L4054" s="42"/>
      <c r="M4054" s="42"/>
      <c r="N4054" s="42"/>
      <c r="O4054" s="42"/>
      <c r="P4054" s="9"/>
      <c r="Q4054" s="9"/>
      <c r="R4054" s="42"/>
      <c r="S4054" s="42"/>
      <c r="T4054" s="42"/>
      <c r="U4054" s="42"/>
      <c r="V4054" s="42"/>
      <c r="W4054" s="42"/>
    </row>
    <row r="4055">
      <c r="A4055" s="9"/>
      <c r="B4055" s="9"/>
      <c r="C4055" s="9"/>
      <c r="D4055" s="42"/>
      <c r="E4055" s="103"/>
      <c r="F4055" s="42"/>
      <c r="G4055" s="9"/>
      <c r="H4055" s="9"/>
      <c r="I4055" s="9"/>
      <c r="J4055" s="9"/>
      <c r="K4055" s="42"/>
      <c r="L4055" s="42"/>
      <c r="M4055" s="42"/>
      <c r="N4055" s="42"/>
      <c r="O4055" s="42"/>
      <c r="P4055" s="9"/>
      <c r="Q4055" s="9"/>
      <c r="R4055" s="42"/>
      <c r="S4055" s="42"/>
      <c r="T4055" s="42"/>
      <c r="U4055" s="42"/>
      <c r="V4055" s="42"/>
      <c r="W4055" s="42"/>
    </row>
    <row r="4056">
      <c r="A4056" s="9"/>
      <c r="B4056" s="9"/>
      <c r="C4056" s="9"/>
      <c r="D4056" s="42"/>
      <c r="E4056" s="103"/>
      <c r="F4056" s="42"/>
      <c r="G4056" s="9"/>
      <c r="H4056" s="9"/>
      <c r="I4056" s="9"/>
      <c r="J4056" s="9"/>
      <c r="K4056" s="42"/>
      <c r="L4056" s="42"/>
      <c r="M4056" s="42"/>
      <c r="N4056" s="42"/>
      <c r="O4056" s="42"/>
      <c r="P4056" s="9"/>
      <c r="Q4056" s="9"/>
      <c r="R4056" s="42"/>
      <c r="S4056" s="42"/>
      <c r="T4056" s="42"/>
      <c r="U4056" s="42"/>
      <c r="V4056" s="42"/>
      <c r="W4056" s="42"/>
    </row>
    <row r="4057">
      <c r="A4057" s="9"/>
      <c r="B4057" s="9"/>
      <c r="C4057" s="9"/>
      <c r="D4057" s="42"/>
      <c r="E4057" s="103"/>
      <c r="F4057" s="42"/>
      <c r="G4057" s="9"/>
      <c r="H4057" s="9"/>
      <c r="I4057" s="9"/>
      <c r="J4057" s="9"/>
      <c r="K4057" s="42"/>
      <c r="L4057" s="42"/>
      <c r="M4057" s="42"/>
      <c r="N4057" s="42"/>
      <c r="O4057" s="42"/>
      <c r="P4057" s="9"/>
      <c r="Q4057" s="9"/>
      <c r="R4057" s="42"/>
      <c r="S4057" s="42"/>
      <c r="T4057" s="42"/>
      <c r="U4057" s="42"/>
      <c r="V4057" s="42"/>
      <c r="W4057" s="42"/>
    </row>
    <row r="4058">
      <c r="A4058" s="9"/>
      <c r="B4058" s="9"/>
      <c r="C4058" s="9"/>
      <c r="D4058" s="42"/>
      <c r="E4058" s="103"/>
      <c r="F4058" s="42"/>
      <c r="G4058" s="9"/>
      <c r="H4058" s="9"/>
      <c r="I4058" s="9"/>
      <c r="J4058" s="9"/>
      <c r="K4058" s="42"/>
      <c r="L4058" s="42"/>
      <c r="M4058" s="42"/>
      <c r="N4058" s="42"/>
      <c r="O4058" s="42"/>
      <c r="P4058" s="9"/>
      <c r="Q4058" s="9"/>
      <c r="R4058" s="42"/>
      <c r="S4058" s="42"/>
      <c r="T4058" s="42"/>
      <c r="U4058" s="42"/>
      <c r="V4058" s="42"/>
      <c r="W4058" s="42"/>
    </row>
    <row r="4059">
      <c r="A4059" s="9"/>
      <c r="B4059" s="9"/>
      <c r="C4059" s="9"/>
      <c r="D4059" s="42"/>
      <c r="E4059" s="103"/>
      <c r="F4059" s="42"/>
      <c r="G4059" s="9"/>
      <c r="H4059" s="9"/>
      <c r="I4059" s="9"/>
      <c r="J4059" s="9"/>
      <c r="K4059" s="42"/>
      <c r="L4059" s="42"/>
      <c r="M4059" s="42"/>
      <c r="N4059" s="42"/>
      <c r="O4059" s="42"/>
      <c r="P4059" s="9"/>
      <c r="Q4059" s="9"/>
      <c r="R4059" s="42"/>
      <c r="S4059" s="42"/>
      <c r="T4059" s="42"/>
      <c r="U4059" s="42"/>
      <c r="V4059" s="42"/>
      <c r="W4059" s="42"/>
    </row>
    <row r="4060">
      <c r="A4060" s="9"/>
      <c r="B4060" s="9"/>
      <c r="C4060" s="9"/>
      <c r="D4060" s="42"/>
      <c r="E4060" s="103"/>
      <c r="F4060" s="42"/>
      <c r="G4060" s="9"/>
      <c r="H4060" s="9"/>
      <c r="I4060" s="9"/>
      <c r="J4060" s="9"/>
      <c r="K4060" s="42"/>
      <c r="L4060" s="42"/>
      <c r="M4060" s="42"/>
      <c r="N4060" s="42"/>
      <c r="O4060" s="42"/>
      <c r="P4060" s="9"/>
      <c r="Q4060" s="9"/>
      <c r="R4060" s="42"/>
      <c r="S4060" s="42"/>
      <c r="T4060" s="42"/>
      <c r="U4060" s="42"/>
      <c r="V4060" s="42"/>
      <c r="W4060" s="42"/>
    </row>
    <row r="4061">
      <c r="A4061" s="9"/>
      <c r="B4061" s="9"/>
      <c r="C4061" s="9"/>
      <c r="D4061" s="42"/>
      <c r="E4061" s="103"/>
      <c r="F4061" s="42"/>
      <c r="G4061" s="9"/>
      <c r="H4061" s="9"/>
      <c r="I4061" s="9"/>
      <c r="J4061" s="9"/>
      <c r="K4061" s="42"/>
      <c r="L4061" s="42"/>
      <c r="M4061" s="42"/>
      <c r="N4061" s="42"/>
      <c r="O4061" s="42"/>
      <c r="P4061" s="9"/>
      <c r="Q4061" s="9"/>
      <c r="R4061" s="42"/>
      <c r="S4061" s="42"/>
      <c r="T4061" s="42"/>
      <c r="U4061" s="42"/>
      <c r="V4061" s="42"/>
      <c r="W4061" s="42"/>
    </row>
    <row r="4062">
      <c r="A4062" s="9"/>
      <c r="B4062" s="9"/>
      <c r="C4062" s="9"/>
      <c r="D4062" s="42"/>
      <c r="E4062" s="103"/>
      <c r="F4062" s="42"/>
      <c r="G4062" s="9"/>
      <c r="H4062" s="9"/>
      <c r="I4062" s="9"/>
      <c r="J4062" s="9"/>
      <c r="K4062" s="42"/>
      <c r="L4062" s="42"/>
      <c r="M4062" s="42"/>
      <c r="N4062" s="42"/>
      <c r="O4062" s="42"/>
      <c r="P4062" s="9"/>
      <c r="Q4062" s="9"/>
      <c r="R4062" s="42"/>
      <c r="S4062" s="42"/>
      <c r="T4062" s="42"/>
      <c r="U4062" s="42"/>
      <c r="V4062" s="42"/>
      <c r="W4062" s="42"/>
    </row>
    <row r="4063">
      <c r="A4063" s="9"/>
      <c r="B4063" s="9"/>
      <c r="C4063" s="9"/>
      <c r="D4063" s="42"/>
      <c r="E4063" s="103"/>
      <c r="F4063" s="42"/>
      <c r="G4063" s="9"/>
      <c r="H4063" s="9"/>
      <c r="I4063" s="9"/>
      <c r="J4063" s="9"/>
      <c r="K4063" s="42"/>
      <c r="L4063" s="42"/>
      <c r="M4063" s="42"/>
      <c r="N4063" s="42"/>
      <c r="O4063" s="42"/>
      <c r="P4063" s="9"/>
      <c r="Q4063" s="9"/>
      <c r="R4063" s="42"/>
      <c r="S4063" s="42"/>
      <c r="T4063" s="42"/>
      <c r="U4063" s="42"/>
      <c r="V4063" s="42"/>
      <c r="W4063" s="42"/>
    </row>
    <row r="4064">
      <c r="A4064" s="9"/>
      <c r="B4064" s="9"/>
      <c r="C4064" s="9"/>
      <c r="D4064" s="42"/>
      <c r="E4064" s="103"/>
      <c r="F4064" s="42"/>
      <c r="G4064" s="9"/>
      <c r="H4064" s="9"/>
      <c r="I4064" s="9"/>
      <c r="J4064" s="9"/>
      <c r="K4064" s="42"/>
      <c r="L4064" s="42"/>
      <c r="M4064" s="42"/>
      <c r="N4064" s="42"/>
      <c r="O4064" s="42"/>
      <c r="P4064" s="9"/>
      <c r="Q4064" s="9"/>
      <c r="R4064" s="42"/>
      <c r="S4064" s="42"/>
      <c r="T4064" s="42"/>
      <c r="U4064" s="42"/>
      <c r="V4064" s="42"/>
      <c r="W4064" s="42"/>
    </row>
    <row r="4065">
      <c r="A4065" s="9"/>
      <c r="B4065" s="9"/>
      <c r="C4065" s="9"/>
      <c r="D4065" s="42"/>
      <c r="E4065" s="103"/>
      <c r="F4065" s="42"/>
      <c r="G4065" s="9"/>
      <c r="H4065" s="9"/>
      <c r="I4065" s="9"/>
      <c r="J4065" s="9"/>
      <c r="K4065" s="42"/>
      <c r="L4065" s="42"/>
      <c r="M4065" s="42"/>
      <c r="N4065" s="42"/>
      <c r="O4065" s="42"/>
      <c r="P4065" s="9"/>
      <c r="Q4065" s="9"/>
      <c r="R4065" s="42"/>
      <c r="S4065" s="42"/>
      <c r="T4065" s="42"/>
      <c r="U4065" s="42"/>
      <c r="V4065" s="42"/>
      <c r="W4065" s="42"/>
    </row>
    <row r="4066">
      <c r="A4066" s="9"/>
      <c r="B4066" s="9"/>
      <c r="C4066" s="9"/>
      <c r="D4066" s="42"/>
      <c r="E4066" s="103"/>
      <c r="F4066" s="42"/>
      <c r="G4066" s="9"/>
      <c r="H4066" s="9"/>
      <c r="I4066" s="9"/>
      <c r="J4066" s="9"/>
      <c r="K4066" s="42"/>
      <c r="L4066" s="42"/>
      <c r="M4066" s="42"/>
      <c r="N4066" s="42"/>
      <c r="O4066" s="42"/>
      <c r="P4066" s="9"/>
      <c r="Q4066" s="9"/>
      <c r="R4066" s="42"/>
      <c r="S4066" s="42"/>
      <c r="T4066" s="42"/>
      <c r="U4066" s="42"/>
      <c r="V4066" s="42"/>
      <c r="W4066" s="42"/>
    </row>
    <row r="4067">
      <c r="A4067" s="9"/>
      <c r="B4067" s="9"/>
      <c r="C4067" s="9"/>
      <c r="D4067" s="42"/>
      <c r="E4067" s="103"/>
      <c r="F4067" s="42"/>
      <c r="G4067" s="9"/>
      <c r="H4067" s="9"/>
      <c r="I4067" s="9"/>
      <c r="J4067" s="9"/>
      <c r="K4067" s="42"/>
      <c r="L4067" s="42"/>
      <c r="M4067" s="42"/>
      <c r="N4067" s="42"/>
      <c r="O4067" s="42"/>
      <c r="P4067" s="9"/>
      <c r="Q4067" s="9"/>
      <c r="R4067" s="42"/>
      <c r="S4067" s="42"/>
      <c r="T4067" s="42"/>
      <c r="U4067" s="42"/>
      <c r="V4067" s="42"/>
      <c r="W4067" s="42"/>
    </row>
    <row r="4068">
      <c r="A4068" s="9"/>
      <c r="B4068" s="9"/>
      <c r="C4068" s="9"/>
      <c r="D4068" s="42"/>
      <c r="E4068" s="103"/>
      <c r="F4068" s="42"/>
      <c r="G4068" s="9"/>
      <c r="H4068" s="9"/>
      <c r="I4068" s="9"/>
      <c r="J4068" s="9"/>
      <c r="K4068" s="42"/>
      <c r="L4068" s="42"/>
      <c r="M4068" s="42"/>
      <c r="N4068" s="42"/>
      <c r="O4068" s="42"/>
      <c r="P4068" s="9"/>
      <c r="Q4068" s="9"/>
      <c r="R4068" s="42"/>
      <c r="S4068" s="42"/>
      <c r="T4068" s="42"/>
      <c r="U4068" s="42"/>
      <c r="V4068" s="42"/>
      <c r="W4068" s="42"/>
    </row>
    <row r="4069">
      <c r="A4069" s="9"/>
      <c r="B4069" s="9"/>
      <c r="C4069" s="9"/>
      <c r="D4069" s="42"/>
      <c r="E4069" s="103"/>
      <c r="F4069" s="42"/>
      <c r="G4069" s="9"/>
      <c r="H4069" s="9"/>
      <c r="I4069" s="9"/>
      <c r="J4069" s="9"/>
      <c r="K4069" s="42"/>
      <c r="L4069" s="42"/>
      <c r="M4069" s="42"/>
      <c r="N4069" s="42"/>
      <c r="O4069" s="42"/>
      <c r="P4069" s="9"/>
      <c r="Q4069" s="9"/>
      <c r="R4069" s="42"/>
      <c r="S4069" s="42"/>
      <c r="T4069" s="42"/>
      <c r="U4069" s="42"/>
      <c r="V4069" s="42"/>
      <c r="W4069" s="42"/>
    </row>
    <row r="4070">
      <c r="A4070" s="9"/>
      <c r="B4070" s="9"/>
      <c r="C4070" s="9"/>
      <c r="D4070" s="42"/>
      <c r="E4070" s="103"/>
      <c r="F4070" s="42"/>
      <c r="G4070" s="9"/>
      <c r="H4070" s="9"/>
      <c r="I4070" s="9"/>
      <c r="J4070" s="9"/>
      <c r="K4070" s="42"/>
      <c r="L4070" s="42"/>
      <c r="M4070" s="42"/>
      <c r="N4070" s="42"/>
      <c r="O4070" s="42"/>
      <c r="P4070" s="9"/>
      <c r="Q4070" s="9"/>
      <c r="R4070" s="42"/>
      <c r="S4070" s="42"/>
      <c r="T4070" s="42"/>
      <c r="U4070" s="42"/>
      <c r="V4070" s="42"/>
      <c r="W4070" s="42"/>
    </row>
    <row r="4071">
      <c r="A4071" s="9"/>
      <c r="B4071" s="9"/>
      <c r="C4071" s="9"/>
      <c r="D4071" s="42"/>
      <c r="E4071" s="103"/>
      <c r="F4071" s="42"/>
      <c r="G4071" s="9"/>
      <c r="H4071" s="9"/>
      <c r="I4071" s="9"/>
      <c r="J4071" s="9"/>
      <c r="K4071" s="42"/>
      <c r="L4071" s="42"/>
      <c r="M4071" s="42"/>
      <c r="N4071" s="42"/>
      <c r="O4071" s="42"/>
      <c r="P4071" s="9"/>
      <c r="Q4071" s="9"/>
      <c r="R4071" s="42"/>
      <c r="S4071" s="42"/>
      <c r="T4071" s="42"/>
      <c r="U4071" s="42"/>
      <c r="V4071" s="42"/>
      <c r="W4071" s="42"/>
    </row>
    <row r="4072">
      <c r="A4072" s="9"/>
      <c r="B4072" s="9"/>
      <c r="C4072" s="9"/>
      <c r="D4072" s="42"/>
      <c r="E4072" s="103"/>
      <c r="F4072" s="42"/>
      <c r="G4072" s="9"/>
      <c r="H4072" s="9"/>
      <c r="I4072" s="9"/>
      <c r="J4072" s="9"/>
      <c r="K4072" s="42"/>
      <c r="L4072" s="42"/>
      <c r="M4072" s="42"/>
      <c r="N4072" s="42"/>
      <c r="O4072" s="42"/>
      <c r="P4072" s="9"/>
      <c r="Q4072" s="9"/>
      <c r="R4072" s="42"/>
      <c r="S4072" s="42"/>
      <c r="T4072" s="42"/>
      <c r="U4072" s="42"/>
      <c r="V4072" s="42"/>
      <c r="W4072" s="42"/>
    </row>
    <row r="4073">
      <c r="A4073" s="9"/>
      <c r="B4073" s="9"/>
      <c r="C4073" s="9"/>
      <c r="D4073" s="42"/>
      <c r="E4073" s="103"/>
      <c r="F4073" s="42"/>
      <c r="G4073" s="9"/>
      <c r="H4073" s="9"/>
      <c r="I4073" s="9"/>
      <c r="J4073" s="9"/>
      <c r="K4073" s="42"/>
      <c r="L4073" s="42"/>
      <c r="M4073" s="42"/>
      <c r="N4073" s="42"/>
      <c r="O4073" s="42"/>
      <c r="P4073" s="9"/>
      <c r="Q4073" s="9"/>
      <c r="R4073" s="42"/>
      <c r="S4073" s="42"/>
      <c r="T4073" s="42"/>
      <c r="U4073" s="42"/>
      <c r="V4073" s="42"/>
      <c r="W4073" s="42"/>
    </row>
    <row r="4074">
      <c r="A4074" s="9"/>
      <c r="B4074" s="9"/>
      <c r="C4074" s="9"/>
      <c r="D4074" s="42"/>
      <c r="E4074" s="103"/>
      <c r="F4074" s="42"/>
      <c r="G4074" s="9"/>
      <c r="H4074" s="9"/>
      <c r="I4074" s="9"/>
      <c r="J4074" s="9"/>
      <c r="K4074" s="42"/>
      <c r="L4074" s="42"/>
      <c r="M4074" s="42"/>
      <c r="N4074" s="42"/>
      <c r="O4074" s="42"/>
      <c r="P4074" s="9"/>
      <c r="Q4074" s="9"/>
      <c r="R4074" s="42"/>
      <c r="S4074" s="42"/>
      <c r="T4074" s="42"/>
      <c r="U4074" s="42"/>
      <c r="V4074" s="42"/>
      <c r="W4074" s="42"/>
    </row>
    <row r="4075">
      <c r="A4075" s="9"/>
      <c r="B4075" s="9"/>
      <c r="C4075" s="9"/>
      <c r="D4075" s="42"/>
      <c r="E4075" s="103"/>
      <c r="F4075" s="42"/>
      <c r="G4075" s="9"/>
      <c r="H4075" s="9"/>
      <c r="I4075" s="9"/>
      <c r="J4075" s="9"/>
      <c r="K4075" s="42"/>
      <c r="L4075" s="42"/>
      <c r="M4075" s="42"/>
      <c r="N4075" s="42"/>
      <c r="O4075" s="42"/>
      <c r="P4075" s="9"/>
      <c r="Q4075" s="9"/>
      <c r="R4075" s="42"/>
      <c r="S4075" s="42"/>
      <c r="T4075" s="42"/>
      <c r="U4075" s="42"/>
      <c r="V4075" s="42"/>
      <c r="W4075" s="42"/>
    </row>
    <row r="4076">
      <c r="A4076" s="9"/>
      <c r="B4076" s="9"/>
      <c r="C4076" s="9"/>
      <c r="D4076" s="42"/>
      <c r="E4076" s="103"/>
      <c r="F4076" s="42"/>
      <c r="G4076" s="9"/>
      <c r="H4076" s="9"/>
      <c r="I4076" s="9"/>
      <c r="J4076" s="9"/>
      <c r="K4076" s="42"/>
      <c r="L4076" s="42"/>
      <c r="M4076" s="42"/>
      <c r="N4076" s="42"/>
      <c r="O4076" s="42"/>
      <c r="P4076" s="9"/>
      <c r="Q4076" s="9"/>
      <c r="R4076" s="42"/>
      <c r="S4076" s="42"/>
      <c r="T4076" s="42"/>
      <c r="U4076" s="42"/>
      <c r="V4076" s="42"/>
      <c r="W4076" s="42"/>
    </row>
    <row r="4077">
      <c r="A4077" s="9"/>
      <c r="B4077" s="9"/>
      <c r="C4077" s="9"/>
      <c r="D4077" s="42"/>
      <c r="E4077" s="103"/>
      <c r="F4077" s="42"/>
      <c r="G4077" s="9"/>
      <c r="H4077" s="9"/>
      <c r="I4077" s="9"/>
      <c r="J4077" s="9"/>
      <c r="K4077" s="42"/>
      <c r="L4077" s="42"/>
      <c r="M4077" s="42"/>
      <c r="N4077" s="42"/>
      <c r="O4077" s="42"/>
      <c r="P4077" s="9"/>
      <c r="Q4077" s="9"/>
      <c r="R4077" s="42"/>
      <c r="S4077" s="42"/>
      <c r="T4077" s="42"/>
      <c r="U4077" s="42"/>
      <c r="V4077" s="42"/>
      <c r="W4077" s="42"/>
    </row>
    <row r="4078">
      <c r="A4078" s="9"/>
      <c r="B4078" s="9"/>
      <c r="C4078" s="9"/>
      <c r="D4078" s="42"/>
      <c r="E4078" s="103"/>
      <c r="F4078" s="42"/>
      <c r="G4078" s="9"/>
      <c r="H4078" s="9"/>
      <c r="I4078" s="9"/>
      <c r="J4078" s="9"/>
      <c r="K4078" s="42"/>
      <c r="L4078" s="42"/>
      <c r="M4078" s="42"/>
      <c r="N4078" s="42"/>
      <c r="O4078" s="42"/>
      <c r="P4078" s="9"/>
      <c r="Q4078" s="9"/>
      <c r="R4078" s="42"/>
      <c r="S4078" s="42"/>
      <c r="T4078" s="42"/>
      <c r="U4078" s="42"/>
      <c r="V4078" s="42"/>
      <c r="W4078" s="42"/>
    </row>
    <row r="4079">
      <c r="A4079" s="9"/>
      <c r="B4079" s="9"/>
      <c r="C4079" s="9"/>
      <c r="D4079" s="42"/>
      <c r="E4079" s="103"/>
      <c r="F4079" s="42"/>
      <c r="G4079" s="9"/>
      <c r="H4079" s="9"/>
      <c r="I4079" s="9"/>
      <c r="J4079" s="9"/>
      <c r="K4079" s="42"/>
      <c r="L4079" s="42"/>
      <c r="M4079" s="42"/>
      <c r="N4079" s="42"/>
      <c r="O4079" s="42"/>
      <c r="P4079" s="9"/>
      <c r="Q4079" s="9"/>
      <c r="R4079" s="42"/>
      <c r="S4079" s="42"/>
      <c r="T4079" s="42"/>
      <c r="U4079" s="42"/>
      <c r="V4079" s="42"/>
      <c r="W4079" s="42"/>
    </row>
    <row r="4080">
      <c r="A4080" s="9"/>
      <c r="B4080" s="9"/>
      <c r="C4080" s="9"/>
      <c r="D4080" s="42"/>
      <c r="E4080" s="103"/>
      <c r="F4080" s="42"/>
      <c r="G4080" s="9"/>
      <c r="H4080" s="9"/>
      <c r="I4080" s="9"/>
      <c r="J4080" s="9"/>
      <c r="K4080" s="42"/>
      <c r="L4080" s="42"/>
      <c r="M4080" s="42"/>
      <c r="N4080" s="42"/>
      <c r="O4080" s="42"/>
      <c r="P4080" s="9"/>
      <c r="Q4080" s="9"/>
      <c r="R4080" s="42"/>
      <c r="S4080" s="42"/>
      <c r="T4080" s="42"/>
      <c r="U4080" s="42"/>
      <c r="V4080" s="42"/>
      <c r="W4080" s="42"/>
    </row>
    <row r="4081">
      <c r="A4081" s="9"/>
      <c r="B4081" s="9"/>
      <c r="C4081" s="9"/>
      <c r="D4081" s="42"/>
      <c r="E4081" s="103"/>
      <c r="F4081" s="42"/>
      <c r="G4081" s="9"/>
      <c r="H4081" s="9"/>
      <c r="I4081" s="9"/>
      <c r="J4081" s="9"/>
      <c r="K4081" s="42"/>
      <c r="L4081" s="42"/>
      <c r="M4081" s="42"/>
      <c r="N4081" s="42"/>
      <c r="O4081" s="42"/>
      <c r="P4081" s="9"/>
      <c r="Q4081" s="9"/>
      <c r="R4081" s="42"/>
      <c r="S4081" s="42"/>
      <c r="T4081" s="42"/>
      <c r="U4081" s="42"/>
      <c r="V4081" s="42"/>
      <c r="W4081" s="42"/>
    </row>
    <row r="4082">
      <c r="A4082" s="9"/>
      <c r="B4082" s="9"/>
      <c r="C4082" s="9"/>
      <c r="D4082" s="42"/>
      <c r="E4082" s="103"/>
      <c r="F4082" s="42"/>
      <c r="G4082" s="9"/>
      <c r="H4082" s="9"/>
      <c r="I4082" s="9"/>
      <c r="J4082" s="9"/>
      <c r="K4082" s="42"/>
      <c r="L4082" s="42"/>
      <c r="M4082" s="42"/>
      <c r="N4082" s="42"/>
      <c r="O4082" s="42"/>
      <c r="P4082" s="9"/>
      <c r="Q4082" s="9"/>
      <c r="R4082" s="42"/>
      <c r="S4082" s="42"/>
      <c r="T4082" s="42"/>
      <c r="U4082" s="42"/>
      <c r="V4082" s="42"/>
      <c r="W4082" s="42"/>
    </row>
    <row r="4083">
      <c r="A4083" s="9"/>
      <c r="B4083" s="9"/>
      <c r="C4083" s="9"/>
      <c r="D4083" s="42"/>
      <c r="E4083" s="103"/>
      <c r="F4083" s="42"/>
      <c r="G4083" s="9"/>
      <c r="H4083" s="9"/>
      <c r="I4083" s="9"/>
      <c r="J4083" s="9"/>
      <c r="K4083" s="42"/>
      <c r="L4083" s="42"/>
      <c r="M4083" s="42"/>
      <c r="N4083" s="42"/>
      <c r="O4083" s="42"/>
      <c r="P4083" s="9"/>
      <c r="Q4083" s="9"/>
      <c r="R4083" s="42"/>
      <c r="S4083" s="42"/>
      <c r="T4083" s="42"/>
      <c r="U4083" s="42"/>
      <c r="V4083" s="42"/>
      <c r="W4083" s="42"/>
    </row>
    <row r="4084">
      <c r="A4084" s="9"/>
      <c r="B4084" s="9"/>
      <c r="C4084" s="9"/>
      <c r="D4084" s="42"/>
      <c r="E4084" s="103"/>
      <c r="F4084" s="42"/>
      <c r="G4084" s="9"/>
      <c r="H4084" s="9"/>
      <c r="I4084" s="9"/>
      <c r="J4084" s="9"/>
      <c r="K4084" s="42"/>
      <c r="L4084" s="42"/>
      <c r="M4084" s="42"/>
      <c r="N4084" s="42"/>
      <c r="O4084" s="42"/>
      <c r="P4084" s="9"/>
      <c r="Q4084" s="9"/>
      <c r="R4084" s="42"/>
      <c r="S4084" s="42"/>
      <c r="T4084" s="42"/>
      <c r="U4084" s="42"/>
      <c r="V4084" s="42"/>
      <c r="W4084" s="42"/>
    </row>
    <row r="4085">
      <c r="A4085" s="9"/>
      <c r="B4085" s="9"/>
      <c r="C4085" s="9"/>
      <c r="D4085" s="42"/>
      <c r="E4085" s="103"/>
      <c r="F4085" s="42"/>
      <c r="G4085" s="9"/>
      <c r="H4085" s="9"/>
      <c r="I4085" s="9"/>
      <c r="J4085" s="9"/>
      <c r="K4085" s="42"/>
      <c r="L4085" s="42"/>
      <c r="M4085" s="42"/>
      <c r="N4085" s="42"/>
      <c r="O4085" s="42"/>
      <c r="P4085" s="9"/>
      <c r="Q4085" s="9"/>
      <c r="R4085" s="42"/>
      <c r="S4085" s="42"/>
      <c r="T4085" s="42"/>
      <c r="U4085" s="42"/>
      <c r="V4085" s="42"/>
      <c r="W4085" s="42"/>
    </row>
    <row r="4086">
      <c r="A4086" s="9"/>
      <c r="B4086" s="9"/>
      <c r="C4086" s="9"/>
      <c r="D4086" s="42"/>
      <c r="E4086" s="103"/>
      <c r="F4086" s="42"/>
      <c r="G4086" s="9"/>
      <c r="H4086" s="9"/>
      <c r="I4086" s="9"/>
      <c r="J4086" s="9"/>
      <c r="K4086" s="42"/>
      <c r="L4086" s="42"/>
      <c r="M4086" s="42"/>
      <c r="N4086" s="42"/>
      <c r="O4086" s="42"/>
      <c r="P4086" s="9"/>
      <c r="Q4086" s="9"/>
      <c r="R4086" s="42"/>
      <c r="S4086" s="42"/>
      <c r="T4086" s="42"/>
      <c r="U4086" s="42"/>
      <c r="V4086" s="42"/>
      <c r="W4086" s="42"/>
    </row>
    <row r="4087">
      <c r="A4087" s="9"/>
      <c r="B4087" s="9"/>
      <c r="C4087" s="9"/>
      <c r="D4087" s="42"/>
      <c r="E4087" s="103"/>
      <c r="F4087" s="42"/>
      <c r="G4087" s="9"/>
      <c r="H4087" s="9"/>
      <c r="I4087" s="9"/>
      <c r="J4087" s="9"/>
      <c r="K4087" s="42"/>
      <c r="L4087" s="42"/>
      <c r="M4087" s="42"/>
      <c r="N4087" s="42"/>
      <c r="O4087" s="42"/>
      <c r="P4087" s="9"/>
      <c r="Q4087" s="9"/>
      <c r="R4087" s="42"/>
      <c r="S4087" s="42"/>
      <c r="T4087" s="42"/>
      <c r="U4087" s="42"/>
      <c r="V4087" s="42"/>
      <c r="W4087" s="42"/>
    </row>
    <row r="4088">
      <c r="A4088" s="9"/>
      <c r="B4088" s="9"/>
      <c r="C4088" s="9"/>
      <c r="D4088" s="42"/>
      <c r="E4088" s="103"/>
      <c r="F4088" s="42"/>
      <c r="G4088" s="9"/>
      <c r="H4088" s="9"/>
      <c r="I4088" s="9"/>
      <c r="J4088" s="9"/>
      <c r="K4088" s="42"/>
      <c r="L4088" s="42"/>
      <c r="M4088" s="42"/>
      <c r="N4088" s="42"/>
      <c r="O4088" s="42"/>
      <c r="P4088" s="9"/>
      <c r="Q4088" s="9"/>
      <c r="R4088" s="42"/>
      <c r="S4088" s="42"/>
      <c r="T4088" s="42"/>
      <c r="U4088" s="42"/>
      <c r="V4088" s="42"/>
      <c r="W4088" s="42"/>
    </row>
    <row r="4089">
      <c r="A4089" s="9"/>
      <c r="B4089" s="9"/>
      <c r="C4089" s="9"/>
      <c r="D4089" s="42"/>
      <c r="E4089" s="103"/>
      <c r="F4089" s="42"/>
      <c r="G4089" s="9"/>
      <c r="H4089" s="9"/>
      <c r="I4089" s="9"/>
      <c r="J4089" s="9"/>
      <c r="K4089" s="42"/>
      <c r="L4089" s="42"/>
      <c r="M4089" s="42"/>
      <c r="N4089" s="42"/>
      <c r="O4089" s="42"/>
      <c r="P4089" s="9"/>
      <c r="Q4089" s="9"/>
      <c r="R4089" s="42"/>
      <c r="S4089" s="42"/>
      <c r="T4089" s="42"/>
      <c r="U4089" s="42"/>
      <c r="V4089" s="42"/>
      <c r="W4089" s="42"/>
    </row>
    <row r="4090">
      <c r="A4090" s="9"/>
      <c r="B4090" s="9"/>
      <c r="C4090" s="9"/>
      <c r="D4090" s="42"/>
      <c r="E4090" s="103"/>
      <c r="F4090" s="42"/>
      <c r="G4090" s="9"/>
      <c r="H4090" s="9"/>
      <c r="I4090" s="9"/>
      <c r="J4090" s="9"/>
      <c r="K4090" s="42"/>
      <c r="L4090" s="42"/>
      <c r="M4090" s="42"/>
      <c r="N4090" s="42"/>
      <c r="O4090" s="42"/>
      <c r="P4090" s="9"/>
      <c r="Q4090" s="9"/>
      <c r="R4090" s="42"/>
      <c r="S4090" s="42"/>
      <c r="T4090" s="42"/>
      <c r="U4090" s="42"/>
      <c r="V4090" s="42"/>
      <c r="W4090" s="42"/>
    </row>
    <row r="4091">
      <c r="A4091" s="9"/>
      <c r="B4091" s="9"/>
      <c r="C4091" s="9"/>
      <c r="D4091" s="42"/>
      <c r="E4091" s="103"/>
      <c r="F4091" s="42"/>
      <c r="G4091" s="9"/>
      <c r="H4091" s="9"/>
      <c r="I4091" s="9"/>
      <c r="J4091" s="9"/>
      <c r="K4091" s="42"/>
      <c r="L4091" s="42"/>
      <c r="M4091" s="42"/>
      <c r="N4091" s="42"/>
      <c r="O4091" s="42"/>
      <c r="P4091" s="9"/>
      <c r="Q4091" s="9"/>
      <c r="R4091" s="42"/>
      <c r="S4091" s="42"/>
      <c r="T4091" s="42"/>
      <c r="U4091" s="42"/>
      <c r="V4091" s="42"/>
      <c r="W4091" s="42"/>
    </row>
    <row r="4092">
      <c r="A4092" s="9"/>
      <c r="B4092" s="9"/>
      <c r="C4092" s="9"/>
      <c r="D4092" s="42"/>
      <c r="E4092" s="103"/>
      <c r="F4092" s="42"/>
      <c r="G4092" s="9"/>
      <c r="H4092" s="9"/>
      <c r="I4092" s="9"/>
      <c r="J4092" s="9"/>
      <c r="K4092" s="42"/>
      <c r="L4092" s="42"/>
      <c r="M4092" s="42"/>
      <c r="N4092" s="42"/>
      <c r="O4092" s="42"/>
      <c r="P4092" s="9"/>
      <c r="Q4092" s="9"/>
      <c r="R4092" s="42"/>
      <c r="S4092" s="42"/>
      <c r="T4092" s="42"/>
      <c r="U4092" s="42"/>
      <c r="V4092" s="42"/>
      <c r="W4092" s="42"/>
    </row>
    <row r="4093">
      <c r="A4093" s="9"/>
      <c r="B4093" s="9"/>
      <c r="C4093" s="9"/>
      <c r="D4093" s="42"/>
      <c r="E4093" s="103"/>
      <c r="F4093" s="42"/>
      <c r="G4093" s="9"/>
      <c r="H4093" s="9"/>
      <c r="I4093" s="9"/>
      <c r="J4093" s="9"/>
      <c r="K4093" s="42"/>
      <c r="L4093" s="42"/>
      <c r="M4093" s="42"/>
      <c r="N4093" s="42"/>
      <c r="O4093" s="42"/>
      <c r="P4093" s="9"/>
      <c r="Q4093" s="9"/>
      <c r="R4093" s="42"/>
      <c r="S4093" s="42"/>
      <c r="T4093" s="42"/>
      <c r="U4093" s="42"/>
      <c r="V4093" s="42"/>
      <c r="W4093" s="42"/>
    </row>
    <row r="4094">
      <c r="A4094" s="9"/>
      <c r="B4094" s="9"/>
      <c r="C4094" s="9"/>
      <c r="D4094" s="42"/>
      <c r="E4094" s="103"/>
      <c r="F4094" s="42"/>
      <c r="G4094" s="9"/>
      <c r="H4094" s="9"/>
      <c r="I4094" s="9"/>
      <c r="J4094" s="9"/>
      <c r="K4094" s="42"/>
      <c r="L4094" s="42"/>
      <c r="M4094" s="42"/>
      <c r="N4094" s="42"/>
      <c r="O4094" s="42"/>
      <c r="P4094" s="9"/>
      <c r="Q4094" s="9"/>
      <c r="R4094" s="42"/>
      <c r="S4094" s="42"/>
      <c r="T4094" s="42"/>
      <c r="U4094" s="42"/>
      <c r="V4094" s="42"/>
      <c r="W4094" s="42"/>
    </row>
    <row r="4095">
      <c r="A4095" s="9"/>
      <c r="B4095" s="9"/>
      <c r="C4095" s="9"/>
      <c r="D4095" s="42"/>
      <c r="E4095" s="103"/>
      <c r="F4095" s="42"/>
      <c r="G4095" s="9"/>
      <c r="H4095" s="9"/>
      <c r="I4095" s="9"/>
      <c r="J4095" s="9"/>
      <c r="K4095" s="42"/>
      <c r="L4095" s="42"/>
      <c r="M4095" s="42"/>
      <c r="N4095" s="42"/>
      <c r="O4095" s="42"/>
      <c r="P4095" s="9"/>
      <c r="Q4095" s="9"/>
      <c r="R4095" s="42"/>
      <c r="S4095" s="42"/>
      <c r="T4095" s="42"/>
      <c r="U4095" s="42"/>
      <c r="V4095" s="42"/>
      <c r="W4095" s="42"/>
    </row>
    <row r="4096">
      <c r="A4096" s="9"/>
      <c r="B4096" s="9"/>
      <c r="C4096" s="9"/>
      <c r="D4096" s="42"/>
      <c r="E4096" s="103"/>
      <c r="F4096" s="42"/>
      <c r="G4096" s="9"/>
      <c r="H4096" s="9"/>
      <c r="I4096" s="9"/>
      <c r="J4096" s="9"/>
      <c r="K4096" s="42"/>
      <c r="L4096" s="42"/>
      <c r="M4096" s="42"/>
      <c r="N4096" s="42"/>
      <c r="O4096" s="42"/>
      <c r="P4096" s="9"/>
      <c r="Q4096" s="9"/>
      <c r="R4096" s="42"/>
      <c r="S4096" s="42"/>
      <c r="T4096" s="42"/>
      <c r="U4096" s="42"/>
      <c r="V4096" s="42"/>
      <c r="W4096" s="42"/>
    </row>
    <row r="4097">
      <c r="A4097" s="9"/>
      <c r="B4097" s="9"/>
      <c r="C4097" s="9"/>
      <c r="D4097" s="42"/>
      <c r="E4097" s="103"/>
      <c r="F4097" s="42"/>
      <c r="G4097" s="9"/>
      <c r="H4097" s="9"/>
      <c r="I4097" s="9"/>
      <c r="J4097" s="9"/>
      <c r="K4097" s="42"/>
      <c r="L4097" s="42"/>
      <c r="M4097" s="42"/>
      <c r="N4097" s="42"/>
      <c r="O4097" s="42"/>
      <c r="P4097" s="9"/>
      <c r="Q4097" s="9"/>
      <c r="R4097" s="42"/>
      <c r="S4097" s="42"/>
      <c r="T4097" s="42"/>
      <c r="U4097" s="42"/>
      <c r="V4097" s="42"/>
      <c r="W4097" s="42"/>
    </row>
    <row r="4098">
      <c r="A4098" s="9"/>
      <c r="B4098" s="9"/>
      <c r="C4098" s="9"/>
      <c r="D4098" s="42"/>
      <c r="E4098" s="103"/>
      <c r="F4098" s="42"/>
      <c r="G4098" s="9"/>
      <c r="H4098" s="9"/>
      <c r="I4098" s="9"/>
      <c r="J4098" s="9"/>
      <c r="K4098" s="42"/>
      <c r="L4098" s="42"/>
      <c r="M4098" s="42"/>
      <c r="N4098" s="42"/>
      <c r="O4098" s="42"/>
      <c r="P4098" s="9"/>
      <c r="Q4098" s="9"/>
      <c r="R4098" s="42"/>
      <c r="S4098" s="42"/>
      <c r="T4098" s="42"/>
      <c r="U4098" s="42"/>
      <c r="V4098" s="42"/>
      <c r="W4098" s="42"/>
    </row>
    <row r="4099">
      <c r="A4099" s="9"/>
      <c r="B4099" s="9"/>
      <c r="C4099" s="9"/>
      <c r="D4099" s="42"/>
      <c r="E4099" s="103"/>
      <c r="F4099" s="42"/>
      <c r="G4099" s="9"/>
      <c r="H4099" s="9"/>
      <c r="I4099" s="9"/>
      <c r="J4099" s="9"/>
      <c r="K4099" s="42"/>
      <c r="L4099" s="42"/>
      <c r="M4099" s="42"/>
      <c r="N4099" s="42"/>
      <c r="O4099" s="42"/>
      <c r="P4099" s="9"/>
      <c r="Q4099" s="9"/>
      <c r="R4099" s="42"/>
      <c r="S4099" s="42"/>
      <c r="T4099" s="42"/>
      <c r="U4099" s="42"/>
      <c r="V4099" s="42"/>
      <c r="W4099" s="42"/>
    </row>
    <row r="4100">
      <c r="A4100" s="9"/>
      <c r="B4100" s="9"/>
      <c r="C4100" s="9"/>
      <c r="D4100" s="42"/>
      <c r="E4100" s="103"/>
      <c r="F4100" s="42"/>
      <c r="G4100" s="9"/>
      <c r="H4100" s="9"/>
      <c r="I4100" s="9"/>
      <c r="J4100" s="9"/>
      <c r="K4100" s="42"/>
      <c r="L4100" s="42"/>
      <c r="M4100" s="42"/>
      <c r="N4100" s="42"/>
      <c r="O4100" s="42"/>
      <c r="P4100" s="9"/>
      <c r="Q4100" s="9"/>
      <c r="R4100" s="42"/>
      <c r="S4100" s="42"/>
      <c r="T4100" s="42"/>
      <c r="U4100" s="42"/>
      <c r="V4100" s="42"/>
      <c r="W4100" s="42"/>
    </row>
    <row r="4101">
      <c r="A4101" s="9"/>
      <c r="B4101" s="9"/>
      <c r="C4101" s="9"/>
      <c r="D4101" s="42"/>
      <c r="E4101" s="103"/>
      <c r="F4101" s="42"/>
      <c r="G4101" s="9"/>
      <c r="H4101" s="9"/>
      <c r="I4101" s="9"/>
      <c r="J4101" s="9"/>
      <c r="K4101" s="42"/>
      <c r="L4101" s="42"/>
      <c r="M4101" s="42"/>
      <c r="N4101" s="42"/>
      <c r="O4101" s="42"/>
      <c r="P4101" s="9"/>
      <c r="Q4101" s="9"/>
      <c r="R4101" s="42"/>
      <c r="S4101" s="42"/>
      <c r="T4101" s="42"/>
      <c r="U4101" s="42"/>
      <c r="V4101" s="42"/>
      <c r="W4101" s="42"/>
    </row>
    <row r="4102">
      <c r="A4102" s="9"/>
      <c r="B4102" s="9"/>
      <c r="C4102" s="9"/>
      <c r="D4102" s="42"/>
      <c r="E4102" s="103"/>
      <c r="F4102" s="42"/>
      <c r="G4102" s="9"/>
      <c r="H4102" s="9"/>
      <c r="I4102" s="9"/>
      <c r="J4102" s="9"/>
      <c r="K4102" s="42"/>
      <c r="L4102" s="42"/>
      <c r="M4102" s="42"/>
      <c r="N4102" s="42"/>
      <c r="O4102" s="42"/>
      <c r="P4102" s="9"/>
      <c r="Q4102" s="9"/>
      <c r="R4102" s="42"/>
      <c r="S4102" s="42"/>
      <c r="T4102" s="42"/>
      <c r="U4102" s="42"/>
      <c r="V4102" s="42"/>
      <c r="W4102" s="42"/>
    </row>
    <row r="4103">
      <c r="A4103" s="9"/>
      <c r="B4103" s="9"/>
      <c r="C4103" s="9"/>
      <c r="D4103" s="42"/>
      <c r="E4103" s="103"/>
      <c r="F4103" s="42"/>
      <c r="G4103" s="9"/>
      <c r="H4103" s="9"/>
      <c r="I4103" s="9"/>
      <c r="J4103" s="9"/>
      <c r="K4103" s="42"/>
      <c r="L4103" s="42"/>
      <c r="M4103" s="42"/>
      <c r="N4103" s="42"/>
      <c r="O4103" s="42"/>
      <c r="P4103" s="9"/>
      <c r="Q4103" s="9"/>
      <c r="R4103" s="42"/>
      <c r="S4103" s="42"/>
      <c r="T4103" s="42"/>
      <c r="U4103" s="42"/>
      <c r="V4103" s="42"/>
      <c r="W4103" s="42"/>
    </row>
    <row r="4104">
      <c r="A4104" s="9"/>
      <c r="B4104" s="9"/>
      <c r="C4104" s="9"/>
      <c r="D4104" s="42"/>
      <c r="E4104" s="103"/>
      <c r="F4104" s="42"/>
      <c r="G4104" s="9"/>
      <c r="H4104" s="9"/>
      <c r="I4104" s="9"/>
      <c r="J4104" s="9"/>
      <c r="K4104" s="42"/>
      <c r="L4104" s="42"/>
      <c r="M4104" s="42"/>
      <c r="N4104" s="42"/>
      <c r="O4104" s="42"/>
      <c r="P4104" s="9"/>
      <c r="Q4104" s="9"/>
      <c r="R4104" s="42"/>
      <c r="S4104" s="42"/>
      <c r="T4104" s="42"/>
      <c r="U4104" s="42"/>
      <c r="V4104" s="42"/>
      <c r="W4104" s="42"/>
    </row>
    <row r="4105">
      <c r="A4105" s="9"/>
      <c r="B4105" s="9"/>
      <c r="C4105" s="9"/>
      <c r="D4105" s="42"/>
      <c r="E4105" s="103"/>
      <c r="F4105" s="42"/>
      <c r="G4105" s="9"/>
      <c r="H4105" s="9"/>
      <c r="I4105" s="9"/>
      <c r="J4105" s="9"/>
      <c r="K4105" s="42"/>
      <c r="L4105" s="42"/>
      <c r="M4105" s="42"/>
      <c r="N4105" s="42"/>
      <c r="O4105" s="42"/>
      <c r="P4105" s="9"/>
      <c r="Q4105" s="9"/>
      <c r="R4105" s="42"/>
      <c r="S4105" s="42"/>
      <c r="T4105" s="42"/>
      <c r="U4105" s="42"/>
      <c r="V4105" s="42"/>
      <c r="W4105" s="42"/>
    </row>
    <row r="4106">
      <c r="A4106" s="9"/>
      <c r="B4106" s="9"/>
      <c r="C4106" s="9"/>
      <c r="D4106" s="42"/>
      <c r="E4106" s="103"/>
      <c r="F4106" s="42"/>
      <c r="G4106" s="9"/>
      <c r="H4106" s="9"/>
      <c r="I4106" s="9"/>
      <c r="J4106" s="9"/>
      <c r="K4106" s="42"/>
      <c r="L4106" s="42"/>
      <c r="M4106" s="42"/>
      <c r="N4106" s="42"/>
      <c r="O4106" s="42"/>
      <c r="P4106" s="9"/>
      <c r="Q4106" s="9"/>
      <c r="R4106" s="42"/>
      <c r="S4106" s="42"/>
      <c r="T4106" s="42"/>
      <c r="U4106" s="42"/>
      <c r="V4106" s="42"/>
      <c r="W4106" s="42"/>
    </row>
  </sheetData>
  <autoFilter ref="$A$1:$I$4106"/>
  <customSheetViews>
    <customSheetView guid="{8C64D917-F7D5-475E-AB1B-63DA77F03899}" filter="1" showAutoFilter="1">
      <autoFilter ref="$A$1:$W$210"/>
    </customSheetView>
  </customSheetViews>
  <dataValidations>
    <dataValidation type="list" allowBlank="1" sqref="F2:F30">
      <formula1>AdminOnly!$E$1:$E$14</formula1>
    </dataValidation>
    <dataValidation type="list" allowBlank="1" sqref="R2:S29">
      <formula1>AdminOnly!$AD:$AD</formula1>
    </dataValidation>
  </dataValidations>
  <hyperlinks>
    <hyperlink r:id="rId1" ref="B31"/>
    <hyperlink r:id="rId2" ref="C31"/>
    <hyperlink r:id="rId3" ref="D31"/>
    <hyperlink r:id="rId4" ref="B32"/>
    <hyperlink r:id="rId5" ref="C32"/>
    <hyperlink r:id="rId6" ref="B33"/>
    <hyperlink r:id="rId7" ref="C33"/>
    <hyperlink r:id="rId8" ref="B34"/>
    <hyperlink r:id="rId9" ref="C34"/>
    <hyperlink r:id="rId10" ref="K34"/>
    <hyperlink r:id="rId11" ref="B35"/>
    <hyperlink r:id="rId12" ref="C35"/>
    <hyperlink r:id="rId13" ref="B36"/>
    <hyperlink r:id="rId14" ref="C36"/>
    <hyperlink r:id="rId15" ref="B37"/>
    <hyperlink r:id="rId16" ref="C37"/>
    <hyperlink r:id="rId17" ref="B38"/>
    <hyperlink r:id="rId18" ref="C38"/>
    <hyperlink r:id="rId19" ref="D38"/>
    <hyperlink r:id="rId20" ref="B39"/>
    <hyperlink r:id="rId21" ref="C39"/>
    <hyperlink r:id="rId22" ref="B40"/>
    <hyperlink r:id="rId23" ref="C40"/>
    <hyperlink r:id="rId24" ref="B41"/>
    <hyperlink r:id="rId25" ref="C41"/>
    <hyperlink r:id="rId26" ref="D41"/>
    <hyperlink r:id="rId27" ref="B42"/>
    <hyperlink r:id="rId28" ref="C42"/>
    <hyperlink r:id="rId29" ref="K42"/>
    <hyperlink r:id="rId30" ref="B43"/>
    <hyperlink r:id="rId31" ref="C43"/>
    <hyperlink r:id="rId32" ref="B44"/>
    <hyperlink r:id="rId33" ref="C44"/>
    <hyperlink r:id="rId34" ref="B45"/>
    <hyperlink r:id="rId35" ref="C45"/>
    <hyperlink r:id="rId36" ref="B46"/>
    <hyperlink r:id="rId37" ref="C46"/>
    <hyperlink r:id="rId38" ref="B47"/>
    <hyperlink r:id="rId39" ref="C47"/>
    <hyperlink r:id="rId40" ref="B48"/>
    <hyperlink r:id="rId41" ref="C48"/>
    <hyperlink r:id="rId42" ref="B49"/>
    <hyperlink r:id="rId43" ref="C49"/>
    <hyperlink r:id="rId44" ref="B50"/>
    <hyperlink r:id="rId45" ref="C50"/>
    <hyperlink r:id="rId46" ref="B51"/>
    <hyperlink r:id="rId47" ref="C51"/>
    <hyperlink r:id="rId48" ref="B52"/>
    <hyperlink r:id="rId49" ref="C52"/>
    <hyperlink r:id="rId50" ref="K52"/>
    <hyperlink r:id="rId51" ref="B53"/>
    <hyperlink r:id="rId52" ref="C53"/>
    <hyperlink r:id="rId53" ref="B54"/>
    <hyperlink r:id="rId54" ref="C54"/>
    <hyperlink r:id="rId55" ref="B55"/>
    <hyperlink r:id="rId56" ref="C55"/>
    <hyperlink r:id="rId57" ref="B56"/>
    <hyperlink r:id="rId58" ref="C56"/>
    <hyperlink r:id="rId59" ref="B57"/>
    <hyperlink r:id="rId60" ref="C57"/>
    <hyperlink r:id="rId61" ref="B58"/>
    <hyperlink r:id="rId62" ref="C58"/>
    <hyperlink r:id="rId63" ref="B59"/>
    <hyperlink r:id="rId64" ref="C59"/>
    <hyperlink r:id="rId65" ref="B60"/>
    <hyperlink r:id="rId66" ref="C60"/>
    <hyperlink r:id="rId67" ref="B61"/>
    <hyperlink r:id="rId68" ref="C61"/>
    <hyperlink r:id="rId69" ref="B62"/>
    <hyperlink r:id="rId70" ref="C62"/>
    <hyperlink r:id="rId71" ref="B63"/>
    <hyperlink r:id="rId72" ref="C63"/>
    <hyperlink r:id="rId73" ref="B64"/>
    <hyperlink r:id="rId74" ref="C64"/>
    <hyperlink r:id="rId75" ref="B65"/>
    <hyperlink r:id="rId76" ref="C65"/>
    <hyperlink r:id="rId77" ref="B66"/>
    <hyperlink r:id="rId78" ref="C66"/>
    <hyperlink r:id="rId79" ref="B67"/>
    <hyperlink r:id="rId80" ref="C67"/>
    <hyperlink r:id="rId81" ref="B68"/>
    <hyperlink r:id="rId82" ref="C68"/>
    <hyperlink r:id="rId83" ref="B69"/>
    <hyperlink r:id="rId84" ref="C69"/>
    <hyperlink r:id="rId85" ref="B70"/>
    <hyperlink r:id="rId86" ref="C70"/>
    <hyperlink r:id="rId87" ref="B71"/>
    <hyperlink r:id="rId88" ref="C71"/>
    <hyperlink r:id="rId89" ref="B72"/>
    <hyperlink r:id="rId90" ref="C72"/>
    <hyperlink r:id="rId91" ref="B73"/>
    <hyperlink r:id="rId92" ref="C73"/>
    <hyperlink r:id="rId93" ref="B74"/>
    <hyperlink r:id="rId94" ref="C74"/>
    <hyperlink r:id="rId95" ref="B75"/>
    <hyperlink r:id="rId96" ref="C75"/>
    <hyperlink r:id="rId97" ref="K75"/>
    <hyperlink r:id="rId98" ref="B76"/>
    <hyperlink r:id="rId99" ref="C76"/>
    <hyperlink r:id="rId100" ref="B77"/>
    <hyperlink r:id="rId101" ref="C77"/>
    <hyperlink r:id="rId102" ref="B78"/>
    <hyperlink r:id="rId103" ref="C78"/>
    <hyperlink r:id="rId104" ref="B79"/>
    <hyperlink r:id="rId105" ref="C79"/>
    <hyperlink r:id="rId106" ref="B80"/>
    <hyperlink r:id="rId107" ref="C80"/>
    <hyperlink r:id="rId108" ref="B81"/>
    <hyperlink r:id="rId109" ref="C81"/>
    <hyperlink r:id="rId110" ref="B82"/>
    <hyperlink r:id="rId111" ref="C82"/>
    <hyperlink r:id="rId112" location="page=1" ref="B83"/>
    <hyperlink r:id="rId113" location="page=1" ref="K83"/>
    <hyperlink r:id="rId114" ref="B84"/>
    <hyperlink r:id="rId115" ref="C84"/>
    <hyperlink r:id="rId116" ref="B85"/>
    <hyperlink r:id="rId117" ref="C85"/>
    <hyperlink r:id="rId118" ref="B86"/>
    <hyperlink r:id="rId119" ref="C86"/>
    <hyperlink r:id="rId120" ref="B87"/>
    <hyperlink r:id="rId121" ref="C87"/>
    <hyperlink r:id="rId122" ref="B88"/>
    <hyperlink r:id="rId123" ref="C88"/>
    <hyperlink r:id="rId124" location="page=1" ref="B89"/>
    <hyperlink r:id="rId125" ref="B90"/>
    <hyperlink r:id="rId126" ref="C90"/>
    <hyperlink r:id="rId127" ref="B91"/>
    <hyperlink r:id="rId128" ref="C91"/>
    <hyperlink r:id="rId129" ref="B92"/>
    <hyperlink r:id="rId130" ref="K92"/>
    <hyperlink r:id="rId131" ref="B93"/>
    <hyperlink r:id="rId132" ref="C93"/>
    <hyperlink r:id="rId133" ref="B94"/>
    <hyperlink r:id="rId134" ref="C94"/>
    <hyperlink r:id="rId135" ref="B95"/>
    <hyperlink r:id="rId136" ref="C95"/>
    <hyperlink r:id="rId137" ref="B96"/>
    <hyperlink r:id="rId138" ref="C96"/>
    <hyperlink r:id="rId139" ref="B97"/>
    <hyperlink r:id="rId140" ref="C97"/>
    <hyperlink r:id="rId141" ref="B98"/>
    <hyperlink r:id="rId142" ref="C98"/>
    <hyperlink r:id="rId143" ref="B99"/>
    <hyperlink r:id="rId144" ref="C99"/>
    <hyperlink r:id="rId145" ref="K99"/>
    <hyperlink r:id="rId146" ref="B100"/>
    <hyperlink r:id="rId147" ref="C100"/>
    <hyperlink r:id="rId148" ref="B101"/>
    <hyperlink r:id="rId149" ref="C101"/>
    <hyperlink r:id="rId150" ref="B102"/>
    <hyperlink r:id="rId151" ref="C102"/>
    <hyperlink r:id="rId152" ref="B103"/>
    <hyperlink r:id="rId153" ref="C103"/>
    <hyperlink r:id="rId154" ref="B104"/>
    <hyperlink r:id="rId155" ref="C104"/>
    <hyperlink r:id="rId156" ref="B105"/>
    <hyperlink r:id="rId157" ref="C105"/>
    <hyperlink r:id="rId158" ref="B106"/>
    <hyperlink r:id="rId159" ref="C106"/>
    <hyperlink r:id="rId160" ref="B107"/>
    <hyperlink r:id="rId161" ref="C107"/>
    <hyperlink r:id="rId162" ref="B108"/>
    <hyperlink r:id="rId163" ref="C108"/>
    <hyperlink r:id="rId164" ref="B109"/>
    <hyperlink r:id="rId165" ref="C109"/>
    <hyperlink r:id="rId166" ref="B110"/>
    <hyperlink r:id="rId167" ref="C110"/>
    <hyperlink r:id="rId168" ref="K110"/>
    <hyperlink r:id="rId169" ref="B111"/>
    <hyperlink r:id="rId170" ref="C111"/>
    <hyperlink r:id="rId171" ref="K111"/>
    <hyperlink r:id="rId172" ref="B112"/>
    <hyperlink r:id="rId173" ref="C112"/>
    <hyperlink r:id="rId174" ref="B113"/>
    <hyperlink r:id="rId175" ref="C113"/>
    <hyperlink r:id="rId176" ref="B114"/>
    <hyperlink r:id="rId177" ref="C114"/>
    <hyperlink r:id="rId178" ref="B115"/>
    <hyperlink r:id="rId179" ref="C115"/>
    <hyperlink r:id="rId180" ref="B116"/>
    <hyperlink r:id="rId181" ref="C116"/>
    <hyperlink r:id="rId182" ref="B117"/>
    <hyperlink r:id="rId183" ref="C117"/>
    <hyperlink r:id="rId184" ref="K117"/>
    <hyperlink r:id="rId185" ref="B118"/>
    <hyperlink r:id="rId186" ref="C118"/>
    <hyperlink r:id="rId187" ref="B119"/>
    <hyperlink r:id="rId188" ref="C119"/>
    <hyperlink r:id="rId189" ref="B120"/>
    <hyperlink r:id="rId190" ref="C120"/>
    <hyperlink r:id="rId191" ref="B121"/>
    <hyperlink r:id="rId192" ref="C121"/>
    <hyperlink r:id="rId193" ref="B122"/>
    <hyperlink r:id="rId194" ref="C122"/>
    <hyperlink r:id="rId195" ref="B123"/>
    <hyperlink r:id="rId196" ref="C123"/>
    <hyperlink r:id="rId197" ref="K123"/>
    <hyperlink r:id="rId198" ref="B124"/>
    <hyperlink r:id="rId199" ref="K124"/>
    <hyperlink r:id="rId200" ref="B125"/>
    <hyperlink r:id="rId201" ref="C125"/>
    <hyperlink r:id="rId202" ref="B126"/>
    <hyperlink r:id="rId203" ref="C126"/>
    <hyperlink r:id="rId204" ref="B127"/>
    <hyperlink r:id="rId205" ref="C127"/>
    <hyperlink r:id="rId206" ref="B128"/>
    <hyperlink r:id="rId207" ref="C128"/>
    <hyperlink r:id="rId208" ref="B129"/>
    <hyperlink r:id="rId209" ref="C129"/>
    <hyperlink r:id="rId210" ref="B130"/>
    <hyperlink r:id="rId211" ref="C130"/>
    <hyperlink r:id="rId212" ref="B131"/>
    <hyperlink r:id="rId213" ref="C131"/>
    <hyperlink r:id="rId214" ref="B132"/>
    <hyperlink r:id="rId215" ref="C132"/>
    <hyperlink r:id="rId216" ref="B133"/>
    <hyperlink r:id="rId217" ref="C133"/>
    <hyperlink r:id="rId218" ref="B134"/>
    <hyperlink r:id="rId219" ref="C134"/>
    <hyperlink r:id="rId220" ref="B135"/>
    <hyperlink r:id="rId221" ref="C135"/>
    <hyperlink r:id="rId222" ref="B136"/>
    <hyperlink r:id="rId223" ref="C136"/>
    <hyperlink r:id="rId224" ref="B137"/>
    <hyperlink r:id="rId225" ref="C137"/>
    <hyperlink r:id="rId226" ref="B138"/>
    <hyperlink r:id="rId227" ref="K138"/>
    <hyperlink r:id="rId228" ref="B139"/>
    <hyperlink r:id="rId229" ref="C139"/>
    <hyperlink r:id="rId230" ref="B140"/>
    <hyperlink r:id="rId231" ref="C140"/>
    <hyperlink r:id="rId232" ref="B141"/>
    <hyperlink r:id="rId233" ref="C141"/>
    <hyperlink r:id="rId234" ref="B142"/>
    <hyperlink r:id="rId235" ref="C142"/>
    <hyperlink r:id="rId236" ref="B143"/>
    <hyperlink r:id="rId237" ref="C143"/>
    <hyperlink r:id="rId238" ref="K143"/>
    <hyperlink r:id="rId239" ref="B144"/>
    <hyperlink r:id="rId240" ref="C144"/>
    <hyperlink r:id="rId241" ref="B145"/>
    <hyperlink r:id="rId242" ref="C145"/>
    <hyperlink r:id="rId243" ref="B146"/>
    <hyperlink r:id="rId244" ref="C146"/>
    <hyperlink r:id="rId245" ref="B147"/>
    <hyperlink r:id="rId246" ref="C147"/>
    <hyperlink r:id="rId247" ref="B148"/>
    <hyperlink r:id="rId248" ref="C148"/>
    <hyperlink r:id="rId249" ref="B149"/>
    <hyperlink r:id="rId250" ref="C149"/>
    <hyperlink r:id="rId251" ref="B150"/>
    <hyperlink r:id="rId252" ref="C150"/>
    <hyperlink r:id="rId253" ref="B151"/>
    <hyperlink r:id="rId254" ref="C151"/>
    <hyperlink r:id="rId255" ref="D151"/>
    <hyperlink r:id="rId256" ref="K151"/>
    <hyperlink r:id="rId257" ref="B152"/>
    <hyperlink r:id="rId258" ref="C152"/>
    <hyperlink r:id="rId259" ref="B153"/>
    <hyperlink r:id="rId260" ref="C153"/>
    <hyperlink r:id="rId261" ref="B154"/>
    <hyperlink r:id="rId262" ref="C154"/>
    <hyperlink r:id="rId263" ref="B155"/>
    <hyperlink r:id="rId264" ref="C155"/>
    <hyperlink r:id="rId265" ref="K155"/>
    <hyperlink r:id="rId266" ref="B156"/>
    <hyperlink r:id="rId267" ref="C156"/>
    <hyperlink r:id="rId268" ref="B157"/>
    <hyperlink r:id="rId269" ref="C157"/>
    <hyperlink r:id="rId270" ref="B158"/>
    <hyperlink r:id="rId271" ref="C158"/>
    <hyperlink r:id="rId272" ref="B159"/>
    <hyperlink r:id="rId273" ref="C159"/>
    <hyperlink r:id="rId274" ref="B160"/>
    <hyperlink r:id="rId275" ref="C160"/>
    <hyperlink r:id="rId276" ref="B161"/>
    <hyperlink r:id="rId277" ref="C161"/>
    <hyperlink r:id="rId278" ref="B162"/>
    <hyperlink r:id="rId279" ref="C162"/>
    <hyperlink r:id="rId280" ref="B163"/>
    <hyperlink r:id="rId281" ref="C163"/>
    <hyperlink r:id="rId282" ref="B164"/>
    <hyperlink r:id="rId283" ref="C164"/>
    <hyperlink r:id="rId284" ref="B165"/>
    <hyperlink r:id="rId285" ref="C165"/>
    <hyperlink r:id="rId286" ref="K165"/>
    <hyperlink r:id="rId287" ref="B166"/>
    <hyperlink r:id="rId288" ref="C166"/>
    <hyperlink r:id="rId289" ref="B167"/>
    <hyperlink r:id="rId290" ref="C167"/>
    <hyperlink r:id="rId291" ref="B168"/>
    <hyperlink r:id="rId292" ref="C168"/>
    <hyperlink r:id="rId293" ref="B169"/>
    <hyperlink r:id="rId294" ref="C169"/>
    <hyperlink r:id="rId295" ref="B170"/>
    <hyperlink r:id="rId296" ref="C170"/>
    <hyperlink r:id="rId297" ref="B171"/>
    <hyperlink r:id="rId298" ref="C171"/>
    <hyperlink r:id="rId299" ref="B172"/>
    <hyperlink r:id="rId300" ref="C172"/>
    <hyperlink r:id="rId301" ref="B173"/>
    <hyperlink r:id="rId302" ref="C173"/>
    <hyperlink r:id="rId303" ref="B174"/>
    <hyperlink r:id="rId304" ref="C174"/>
    <hyperlink r:id="rId305" ref="B175"/>
    <hyperlink r:id="rId306" ref="C175"/>
    <hyperlink r:id="rId307" ref="B176"/>
    <hyperlink r:id="rId308" ref="C176"/>
    <hyperlink r:id="rId309" ref="B177"/>
    <hyperlink r:id="rId310" ref="C177"/>
    <hyperlink r:id="rId311" ref="B178"/>
    <hyperlink r:id="rId312" ref="C178"/>
    <hyperlink r:id="rId313" ref="K178"/>
    <hyperlink r:id="rId314" ref="B179"/>
    <hyperlink r:id="rId315" ref="C179"/>
    <hyperlink r:id="rId316" ref="B180"/>
    <hyperlink r:id="rId317" ref="C180"/>
    <hyperlink r:id="rId318" ref="B181"/>
    <hyperlink r:id="rId319" ref="C181"/>
    <hyperlink r:id="rId320" ref="B182"/>
    <hyperlink r:id="rId321" ref="C182"/>
    <hyperlink r:id="rId322" ref="B183"/>
    <hyperlink r:id="rId323" ref="C183"/>
    <hyperlink r:id="rId324" ref="B184"/>
    <hyperlink r:id="rId325" ref="C184"/>
    <hyperlink r:id="rId326" ref="B185"/>
    <hyperlink r:id="rId327" ref="C185"/>
    <hyperlink r:id="rId328" ref="B186"/>
    <hyperlink r:id="rId329" ref="K186"/>
  </hyperlinks>
  <drawing r:id="rId33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63"/>
    <col customWidth="1" min="3" max="3" width="26.63"/>
    <col customWidth="1" min="4" max="4" width="13.88"/>
    <col customWidth="1" hidden="1" min="5" max="5" width="10.13"/>
    <col customWidth="1" hidden="1" min="6" max="18" width="9.25"/>
    <col customWidth="1" min="19" max="19" width="17.63"/>
    <col customWidth="1" min="21" max="21" width="10.38"/>
    <col customWidth="1" min="22" max="24" width="8.38"/>
    <col customWidth="1" min="25" max="25" width="24.13"/>
    <col customWidth="1" min="26" max="26" width="18.13"/>
    <col customWidth="1" min="27" max="27" width="15.0"/>
    <col customWidth="1" min="33" max="33" width="32.63"/>
  </cols>
  <sheetData>
    <row r="1">
      <c r="A1" s="6" t="str">
        <f>IFERROR(__xludf.DUMMYFUNCTION("IMPORTRANGE(Settings!$A$2,""wbCircuits!A1:AM1"")"),"Circuit ID")</f>
        <v>Circuit ID</v>
      </c>
      <c r="B1" s="7" t="str">
        <f>IFERROR(__xludf.DUMMYFUNCTION("""COMPUTED_VALUE"""),"Source of ID")</f>
        <v>Source of ID</v>
      </c>
      <c r="C1" s="7" t="str">
        <f>IFERROR(__xludf.DUMMYFUNCTION("""COMPUTED_VALUE"""),"Names")</f>
        <v>Names</v>
      </c>
      <c r="D1" s="7" t="str">
        <f>IFERROR(__xludf.DUMMYFUNCTION("""COMPUTED_VALUE"""),"DHBA: graph_order")</f>
        <v>DHBA: graph_order</v>
      </c>
      <c r="E1" s="14" t="str">
        <f>IFERROR(__xludf.DUMMYFUNCTION("""COMPUTED_VALUE"""),"DHBA: name")</f>
        <v>DHBA: name</v>
      </c>
      <c r="F1" s="14" t="str">
        <f>IFERROR(__xludf.DUMMYFUNCTION("""COMPUTED_VALUE"""),"DHBA: Lv.2")</f>
        <v>DHBA: Lv.2</v>
      </c>
      <c r="G1" s="14" t="str">
        <f>IFERROR(__xludf.DUMMYFUNCTION("""COMPUTED_VALUE"""),"DHBA: Lv.3")</f>
        <v>DHBA: Lv.3</v>
      </c>
      <c r="H1" s="14" t="str">
        <f>IFERROR(__xludf.DUMMYFUNCTION("""COMPUTED_VALUE"""),"DHBA: Lv.4")</f>
        <v>DHBA: Lv.4</v>
      </c>
      <c r="I1" s="14" t="str">
        <f>IFERROR(__xludf.DUMMYFUNCTION("""COMPUTED_VALUE"""),"DHBA: Lv.5")</f>
        <v>DHBA: Lv.5</v>
      </c>
      <c r="J1" s="14" t="str">
        <f>IFERROR(__xludf.DUMMYFUNCTION("""COMPUTED_VALUE"""),"DHBA: Lv.6")</f>
        <v>DHBA: Lv.6</v>
      </c>
      <c r="K1" s="14" t="str">
        <f>IFERROR(__xludf.DUMMYFUNCTION("""COMPUTED_VALUE"""),"DHBA: Lv.7")</f>
        <v>DHBA: Lv.7</v>
      </c>
      <c r="L1" s="14" t="str">
        <f>IFERROR(__xludf.DUMMYFUNCTION("""COMPUTED_VALUE"""),"DHBA: Lv.8")</f>
        <v>DHBA: Lv.8</v>
      </c>
      <c r="M1" s="14" t="str">
        <f>IFERROR(__xludf.DUMMYFUNCTION("""COMPUTED_VALUE"""),"DHBA: Lv.9")</f>
        <v>DHBA: Lv.9</v>
      </c>
      <c r="N1" s="14" t="str">
        <f>IFERROR(__xludf.DUMMYFUNCTION("""COMPUTED_VALUE"""),"DHBA: Lv.10")</f>
        <v>DHBA: Lv.10</v>
      </c>
      <c r="O1" s="14" t="str">
        <f>IFERROR(__xludf.DUMMYFUNCTION("""COMPUTED_VALUE"""),"DHBA: Lv.11")</f>
        <v>DHBA: Lv.11</v>
      </c>
      <c r="P1" s="14" t="str">
        <f>IFERROR(__xludf.DUMMYFUNCTION("""COMPUTED_VALUE"""),"DHBA: Lv.12")</f>
        <v>DHBA: Lv.12</v>
      </c>
      <c r="Q1" s="14" t="str">
        <f>IFERROR(__xludf.DUMMYFUNCTION("""COMPUTED_VALUE"""),"DHBA: Lv.13")</f>
        <v>DHBA: Lv.13</v>
      </c>
      <c r="R1" s="14" t="str">
        <f>IFERROR(__xludf.DUMMYFUNCTION("""COMPUTED_VALUE"""),"DHBA: Lv.14")</f>
        <v>DHBA: Lv.14</v>
      </c>
      <c r="S1" s="12" t="str">
        <f>IFERROR(__xludf.DUMMYFUNCTION("""COMPUTED_VALUE"""),"Sub-Circuits")</f>
        <v>Sub-Circuits</v>
      </c>
      <c r="T1" s="12" t="str">
        <f>IFERROR(__xludf.DUMMYFUNCTION("""COMPUTED_VALUE"""),"Super Class ")</f>
        <v>Super Class </v>
      </c>
      <c r="U1" s="7" t="str">
        <f>IFERROR(__xludf.DUMMYFUNCTION("""COMPUTED_VALUE"""),"Uniform")</f>
        <v>Uniform</v>
      </c>
      <c r="V1" s="12" t="str">
        <f>IFERROR(__xludf.DUMMYFUNCTION("""COMPUTED_VALUE"""),"Transmitter")</f>
        <v>Transmitter</v>
      </c>
      <c r="W1" s="12" t="str">
        <f>IFERROR(__xludf.DUMMYFUNCTION("""COMPUTED_VALUE"""),"Modulation Type")</f>
        <v>Modulation Type</v>
      </c>
      <c r="X1" s="12" t="str">
        <f>IFERROR(__xludf.DUMMYFUNCTION("""COMPUTED_VALUE"""),"Size")</f>
        <v>Size</v>
      </c>
      <c r="Y1" s="29" t="str">
        <f>IFERROR(__xludf.DUMMYFUNCTION("""COMPUTED_VALUE"""),"Output Semantics (0)")</f>
        <v>Output Semantics (0)</v>
      </c>
      <c r="Z1" s="12" t="str">
        <f>IFERROR(__xludf.DUMMYFUNCTION("""COMPUTED_VALUE"""),"Physiological Data")</f>
        <v>Physiological Data</v>
      </c>
      <c r="AA1" s="29" t="str">
        <f>IFERROR(__xludf.DUMMYFUNCTION("""COMPUTED_VALUE"""),"Comments")</f>
        <v>Comments</v>
      </c>
      <c r="AB1" s="7" t="str">
        <f>IFERROR(__xludf.DUMMYFUNCTION("""COMPUTED_VALUE"""),"Contributor")</f>
        <v>Contributor</v>
      </c>
      <c r="AC1" s="7" t="str">
        <f>IFERROR(__xludf.DUMMYFUNCTION("""COMPUTED_VALUE"""),"Project ID")</f>
        <v>Project ID</v>
      </c>
      <c r="AD1" s="21" t="str">
        <f>IFERROR(__xludf.DUMMYFUNCTION("""COMPUTED_VALUE"""),"Contributor Response to Reviewers")</f>
        <v>Contributor Response to Reviewers</v>
      </c>
      <c r="AE1" s="21" t="str">
        <f>IFERROR(__xludf.DUMMYFUNCTION("""COMPUTED_VALUE"""),"Status")</f>
        <v>Status</v>
      </c>
      <c r="AF1" s="14" t="str">
        <f>IFERROR(__xludf.DUMMYFUNCTION("""COMPUTED_VALUE"""),"Review results")</f>
        <v>Review results</v>
      </c>
      <c r="AG1" s="23" t="str">
        <f>IFERROR(__xludf.DUMMYFUNCTION("""COMPUTED_VALUE"""),"Auto Error Codes")</f>
        <v>Auto Error Codes</v>
      </c>
      <c r="AH1" s="24" t="str">
        <f>IFERROR(__xludf.DUMMYFUNCTION("""COMPUTED_VALUE"""),"Error Code-1")</f>
        <v>Error Code-1</v>
      </c>
      <c r="AI1" s="24" t="str">
        <f>IFERROR(__xludf.DUMMYFUNCTION("""COMPUTED_VALUE"""),"Error Code-2")</f>
        <v>Error Code-2</v>
      </c>
      <c r="AJ1" s="24" t="str">
        <f>IFERROR(__xludf.DUMMYFUNCTION("""COMPUTED_VALUE"""),"Other Error Codes")</f>
        <v>Other Error Codes</v>
      </c>
      <c r="AK1" s="24" t="str">
        <f>IFERROR(__xludf.DUMMYFUNCTION("""COMPUTED_VALUE"""),"Review comments")</f>
        <v>Review comments</v>
      </c>
      <c r="AL1" s="24" t="str">
        <f>IFERROR(__xludf.DUMMYFUNCTION("""COMPUTED_VALUE"""),"Reviewer")</f>
        <v>Reviewer</v>
      </c>
      <c r="AM1" s="24" t="str">
        <f>IFERROR(__xludf.DUMMYFUNCTION("""COMPUTED_VALUE"""),"Reviewed date")</f>
        <v>Reviewed date</v>
      </c>
      <c r="AN1" s="24"/>
      <c r="AO1" s="33" t="s">
        <v>13</v>
      </c>
      <c r="AP1" s="34"/>
    </row>
    <row r="2">
      <c r="A2" s="38" t="s">
        <v>14</v>
      </c>
      <c r="B2" s="38"/>
      <c r="C2" s="38"/>
      <c r="D2" s="38"/>
      <c r="E2" s="39"/>
      <c r="F2" s="9"/>
      <c r="G2" s="9"/>
      <c r="H2" s="9"/>
      <c r="I2" s="9"/>
      <c r="J2" s="9"/>
      <c r="K2" s="9"/>
      <c r="L2" s="9"/>
      <c r="M2" s="9"/>
      <c r="N2" s="9"/>
      <c r="O2" s="9"/>
      <c r="P2" s="9"/>
      <c r="Q2" s="9"/>
      <c r="R2" s="9"/>
      <c r="S2" s="38"/>
      <c r="T2" s="42"/>
      <c r="U2" s="44"/>
      <c r="V2" s="42"/>
      <c r="W2" s="42"/>
      <c r="X2" s="42"/>
      <c r="Y2" s="42"/>
      <c r="Z2" s="42"/>
      <c r="AA2" s="38"/>
      <c r="AB2" s="50"/>
      <c r="AC2" s="38"/>
      <c r="AD2" s="42"/>
      <c r="AE2" s="42"/>
      <c r="AF2" s="46"/>
      <c r="AG2" s="46"/>
      <c r="AH2" s="38"/>
      <c r="AI2" s="38"/>
      <c r="AJ2" s="38"/>
      <c r="AK2" s="38"/>
      <c r="AL2" s="38"/>
      <c r="AM2" s="61"/>
      <c r="AN2" s="61"/>
      <c r="AO2" s="63" t="str">
        <f>IFERROR(__xludf.DUMMYFUNCTION("IF(ISBLANK(A2),,IF(ISBLANK(S2), A2&amp;"";"", TEXTJOIN(CHAR(10), TRUE, A2&amp;"";"", ARRAYFORMULA(VLOOKUP(SPLIT(S2, "";"" &amp; CHAR(10)), $A:$AO, 41, FALSE)))))"),"ROI_;")</f>
        <v>ROI_;</v>
      </c>
      <c r="AP2" s="68"/>
    </row>
    <row r="3">
      <c r="A3" s="38"/>
      <c r="B3" s="38"/>
      <c r="C3" s="38"/>
      <c r="D3" s="38"/>
      <c r="E3" s="39"/>
      <c r="F3" s="9"/>
      <c r="G3" s="9"/>
      <c r="H3" s="9"/>
      <c r="I3" s="9"/>
      <c r="J3" s="9"/>
      <c r="K3" s="9"/>
      <c r="L3" s="9"/>
      <c r="M3" s="9"/>
      <c r="N3" s="9"/>
      <c r="O3" s="9"/>
      <c r="P3" s="9"/>
      <c r="Q3" s="9"/>
      <c r="R3" s="9"/>
      <c r="S3" s="38"/>
      <c r="T3" s="38"/>
      <c r="U3" s="44"/>
      <c r="V3" s="42"/>
      <c r="W3" s="42"/>
      <c r="X3" s="42"/>
      <c r="Y3" s="42"/>
      <c r="Z3" s="42"/>
      <c r="AA3" s="38"/>
      <c r="AB3" s="50"/>
      <c r="AC3" s="38"/>
      <c r="AD3" s="42"/>
      <c r="AE3" s="42"/>
      <c r="AF3" s="80"/>
      <c r="AG3" s="46"/>
      <c r="AH3" s="42"/>
      <c r="AI3" s="42"/>
      <c r="AJ3" s="42"/>
      <c r="AK3" s="42"/>
      <c r="AL3" s="38"/>
      <c r="AM3" s="61"/>
      <c r="AN3" s="61"/>
      <c r="AO3" s="63" t="str">
        <f>IFERROR(__xludf.DUMMYFUNCTION("IF(ISBLANK(A3),,IF(ISBLANK(S3), A3&amp;"";"", TEXTJOIN(CHAR(10), TRUE, A3&amp;"";"", ARRAYFORMULA(VLOOKUP(SPLIT(S3, "";"" &amp; CHAR(10)), $A:$AO, 41, FALSE)))))"),"")</f>
        <v/>
      </c>
      <c r="AP3" s="89"/>
    </row>
    <row r="4">
      <c r="A4" s="38"/>
      <c r="B4" s="38"/>
      <c r="C4" s="38"/>
      <c r="D4" s="38"/>
      <c r="E4" s="39"/>
      <c r="F4" s="9"/>
      <c r="G4" s="9"/>
      <c r="H4" s="9"/>
      <c r="I4" s="9"/>
      <c r="J4" s="9"/>
      <c r="K4" s="9"/>
      <c r="L4" s="9"/>
      <c r="M4" s="9"/>
      <c r="N4" s="9"/>
      <c r="O4" s="9"/>
      <c r="P4" s="9"/>
      <c r="Q4" s="9"/>
      <c r="R4" s="9"/>
      <c r="S4" s="38"/>
      <c r="T4" s="42"/>
      <c r="U4" s="44"/>
      <c r="V4" s="38"/>
      <c r="W4" s="38"/>
      <c r="X4" s="42"/>
      <c r="Y4" s="42"/>
      <c r="Z4" s="42"/>
      <c r="AA4" s="38"/>
      <c r="AB4" s="50"/>
      <c r="AC4" s="38"/>
      <c r="AD4" s="42"/>
      <c r="AE4" s="42"/>
      <c r="AF4" s="80"/>
      <c r="AG4" s="46"/>
      <c r="AH4" s="42"/>
      <c r="AI4" s="42"/>
      <c r="AJ4" s="42"/>
      <c r="AK4" s="42"/>
      <c r="AL4" s="38"/>
      <c r="AM4" s="61"/>
      <c r="AN4" s="61"/>
      <c r="AO4" s="63" t="str">
        <f>IFERROR(__xludf.DUMMYFUNCTION("IF(ISBLANK(A4),,IF(ISBLANK(S4), A4&amp;"";"", TEXTJOIN(CHAR(10), TRUE, A4&amp;"";"", ARRAYFORMULA(VLOOKUP(SPLIT(S4, "";"" &amp; CHAR(10)), $A:$AO, 41, FALSE)))))"),"")</f>
        <v/>
      </c>
      <c r="AP4" s="89"/>
    </row>
    <row r="5">
      <c r="A5" s="38"/>
      <c r="B5" s="38"/>
      <c r="C5" s="38"/>
      <c r="D5" s="38"/>
      <c r="E5" s="39"/>
      <c r="F5" s="9"/>
      <c r="G5" s="9"/>
      <c r="H5" s="9"/>
      <c r="I5" s="9"/>
      <c r="J5" s="9"/>
      <c r="K5" s="9"/>
      <c r="L5" s="9"/>
      <c r="M5" s="9"/>
      <c r="N5" s="9"/>
      <c r="O5" s="9"/>
      <c r="P5" s="9"/>
      <c r="Q5" s="9"/>
      <c r="R5" s="9"/>
      <c r="S5" s="38"/>
      <c r="T5" s="42"/>
      <c r="U5" s="38"/>
      <c r="V5" s="38"/>
      <c r="W5" s="38"/>
      <c r="X5" s="42"/>
      <c r="Y5" s="42"/>
      <c r="Z5" s="42"/>
      <c r="AA5" s="38"/>
      <c r="AB5" s="50"/>
      <c r="AC5" s="38"/>
      <c r="AD5" s="42"/>
      <c r="AE5" s="42"/>
      <c r="AF5" s="80"/>
      <c r="AG5" s="46"/>
      <c r="AH5" s="42"/>
      <c r="AI5" s="42"/>
      <c r="AJ5" s="42"/>
      <c r="AK5" s="42"/>
      <c r="AL5" s="38"/>
      <c r="AM5" s="61"/>
      <c r="AN5" s="61"/>
      <c r="AO5" s="63" t="str">
        <f>IFERROR(__xludf.DUMMYFUNCTION("IF(ISBLANK(A5),,IF(ISBLANK(S5), A5&amp;"";"", TEXTJOIN(CHAR(10), TRUE, A5&amp;"";"", ARRAYFORMULA(VLOOKUP(SPLIT(S5, "";"" &amp; CHAR(10)), $A:$AO, 41, FALSE)))))"),"")</f>
        <v/>
      </c>
      <c r="AP5" s="89"/>
    </row>
    <row r="6">
      <c r="A6" s="38"/>
      <c r="B6" s="38"/>
      <c r="C6" s="38"/>
      <c r="D6" s="38"/>
      <c r="E6" s="39"/>
      <c r="F6" s="9"/>
      <c r="G6" s="9"/>
      <c r="H6" s="9"/>
      <c r="I6" s="9"/>
      <c r="J6" s="9"/>
      <c r="K6" s="9"/>
      <c r="L6" s="9"/>
      <c r="M6" s="9"/>
      <c r="N6" s="9"/>
      <c r="O6" s="9"/>
      <c r="P6" s="9"/>
      <c r="Q6" s="9"/>
      <c r="R6" s="9"/>
      <c r="S6" s="38"/>
      <c r="T6" s="42"/>
      <c r="U6" s="44"/>
      <c r="V6" s="42"/>
      <c r="W6" s="42"/>
      <c r="X6" s="42"/>
      <c r="Y6" s="42"/>
      <c r="Z6" s="42"/>
      <c r="AA6" s="38"/>
      <c r="AB6" s="50"/>
      <c r="AC6" s="38"/>
      <c r="AD6" s="42"/>
      <c r="AE6" s="42"/>
      <c r="AF6" s="80"/>
      <c r="AG6" s="46"/>
      <c r="AH6" s="42"/>
      <c r="AI6" s="42"/>
      <c r="AJ6" s="42"/>
      <c r="AK6" s="42"/>
      <c r="AL6" s="38"/>
      <c r="AM6" s="109"/>
      <c r="AN6" s="109"/>
      <c r="AO6" s="63" t="str">
        <f>IFERROR(__xludf.DUMMYFUNCTION("IF(ISBLANK(A6),,IF(ISBLANK(S6), A6&amp;"";"", TEXTJOIN(CHAR(10), TRUE, A6&amp;"";"", ARRAYFORMULA(VLOOKUP(SPLIT(S6, "";"" &amp; CHAR(10)), $A:$AO, 41, FALSE)))))"),"")</f>
        <v/>
      </c>
      <c r="AP6" s="89"/>
    </row>
    <row r="7">
      <c r="A7" s="38"/>
      <c r="B7" s="38"/>
      <c r="C7" s="38"/>
      <c r="D7" s="38"/>
      <c r="E7" s="39"/>
      <c r="F7" s="9"/>
      <c r="G7" s="9"/>
      <c r="H7" s="9"/>
      <c r="I7" s="9"/>
      <c r="J7" s="9"/>
      <c r="K7" s="9"/>
      <c r="L7" s="9"/>
      <c r="M7" s="9"/>
      <c r="N7" s="9"/>
      <c r="O7" s="9"/>
      <c r="P7" s="9"/>
      <c r="Q7" s="9"/>
      <c r="R7" s="9"/>
      <c r="S7" s="42"/>
      <c r="T7" s="42"/>
      <c r="U7" s="44"/>
      <c r="V7" s="42"/>
      <c r="W7" s="42"/>
      <c r="X7" s="42"/>
      <c r="Y7" s="42"/>
      <c r="Z7" s="42"/>
      <c r="AA7" s="38"/>
      <c r="AB7" s="50"/>
      <c r="AC7" s="38"/>
      <c r="AD7" s="42"/>
      <c r="AE7" s="42"/>
      <c r="AF7" s="80"/>
      <c r="AG7" s="46"/>
      <c r="AH7" s="42"/>
      <c r="AI7" s="42"/>
      <c r="AJ7" s="42"/>
      <c r="AK7" s="42"/>
      <c r="AL7" s="38"/>
      <c r="AM7" s="61"/>
      <c r="AN7" s="61"/>
      <c r="AO7" s="63" t="str">
        <f>IFERROR(__xludf.DUMMYFUNCTION("IF(ISBLANK(A7),,IF(ISBLANK(S7), A7&amp;"";"", TEXTJOIN(CHAR(10), TRUE, A7&amp;"";"", ARRAYFORMULA(VLOOKUP(SPLIT(S7, "";"" &amp; CHAR(10)), $A:$AO, 41, FALSE)))))"),"")</f>
        <v/>
      </c>
      <c r="AP7" s="89"/>
    </row>
    <row r="8">
      <c r="A8" s="38"/>
      <c r="B8" s="38"/>
      <c r="C8" s="38"/>
      <c r="D8" s="38"/>
      <c r="E8" s="39"/>
      <c r="F8" s="9"/>
      <c r="G8" s="9"/>
      <c r="H8" s="9"/>
      <c r="I8" s="9"/>
      <c r="J8" s="9"/>
      <c r="K8" s="9"/>
      <c r="L8" s="9"/>
      <c r="M8" s="9"/>
      <c r="N8" s="9"/>
      <c r="O8" s="9"/>
      <c r="P8" s="9"/>
      <c r="Q8" s="9"/>
      <c r="R8" s="9"/>
      <c r="S8" s="38"/>
      <c r="T8" s="42"/>
      <c r="U8" s="44"/>
      <c r="V8" s="42"/>
      <c r="W8" s="42"/>
      <c r="X8" s="42"/>
      <c r="Y8" s="42"/>
      <c r="Z8" s="42"/>
      <c r="AA8" s="38"/>
      <c r="AB8" s="50"/>
      <c r="AC8" s="38"/>
      <c r="AD8" s="42"/>
      <c r="AE8" s="42"/>
      <c r="AF8" s="80"/>
      <c r="AG8" s="46"/>
      <c r="AH8" s="42"/>
      <c r="AI8" s="42"/>
      <c r="AJ8" s="42"/>
      <c r="AK8" s="42"/>
      <c r="AL8" s="38"/>
      <c r="AM8" s="61"/>
      <c r="AN8" s="61"/>
      <c r="AO8" s="63" t="str">
        <f>IFERROR(__xludf.DUMMYFUNCTION("IF(ISBLANK(A8),,IF(ISBLANK(S8), A8&amp;"";"", TEXTJOIN(CHAR(10), TRUE, A8&amp;"";"", ARRAYFORMULA(VLOOKUP(SPLIT(S8, "";"" &amp; CHAR(10)), $A:$AO, 41, FALSE)))))"),"")</f>
        <v/>
      </c>
      <c r="AP8" s="89"/>
    </row>
    <row r="9">
      <c r="A9" s="38"/>
      <c r="B9" s="38"/>
      <c r="C9" s="38"/>
      <c r="D9" s="38"/>
      <c r="E9" s="39"/>
      <c r="F9" s="9"/>
      <c r="G9" s="9"/>
      <c r="H9" s="9"/>
      <c r="I9" s="9"/>
      <c r="J9" s="9"/>
      <c r="K9" s="9"/>
      <c r="L9" s="9"/>
      <c r="M9" s="9"/>
      <c r="N9" s="9"/>
      <c r="O9" s="9"/>
      <c r="P9" s="9"/>
      <c r="Q9" s="9"/>
      <c r="R9" s="9"/>
      <c r="S9" s="38"/>
      <c r="T9" s="42"/>
      <c r="U9" s="44"/>
      <c r="V9" s="42"/>
      <c r="W9" s="38"/>
      <c r="X9" s="42"/>
      <c r="Y9" s="42"/>
      <c r="Z9" s="42"/>
      <c r="AA9" s="38"/>
      <c r="AB9" s="50"/>
      <c r="AC9" s="38"/>
      <c r="AD9" s="42"/>
      <c r="AE9" s="42"/>
      <c r="AF9" s="80"/>
      <c r="AG9" s="46"/>
      <c r="AH9" s="42"/>
      <c r="AI9" s="42"/>
      <c r="AJ9" s="42"/>
      <c r="AK9" s="42"/>
      <c r="AL9" s="38"/>
      <c r="AM9" s="61"/>
      <c r="AN9" s="61"/>
      <c r="AO9" s="63" t="str">
        <f>IFERROR(__xludf.DUMMYFUNCTION("IF(ISBLANK(A9),,IF(ISBLANK(S9), A9&amp;"";"", TEXTJOIN(CHAR(10), TRUE, A9&amp;"";"", ARRAYFORMULA(VLOOKUP(SPLIT(S9, "";"" &amp; CHAR(10)), $A:$AO, 41, FALSE)))))"),"")</f>
        <v/>
      </c>
      <c r="AP9" s="89"/>
    </row>
    <row r="10">
      <c r="A10" s="38"/>
      <c r="B10" s="38"/>
      <c r="C10" s="38"/>
      <c r="D10" s="38"/>
      <c r="E10" s="39"/>
      <c r="F10" s="9"/>
      <c r="G10" s="9"/>
      <c r="H10" s="9"/>
      <c r="I10" s="9"/>
      <c r="J10" s="9"/>
      <c r="K10" s="9"/>
      <c r="L10" s="9"/>
      <c r="M10" s="9"/>
      <c r="N10" s="9"/>
      <c r="O10" s="9"/>
      <c r="P10" s="9"/>
      <c r="Q10" s="9"/>
      <c r="R10" s="9"/>
      <c r="S10" s="38"/>
      <c r="T10" s="42"/>
      <c r="U10" s="44"/>
      <c r="V10" s="42"/>
      <c r="W10" s="38"/>
      <c r="X10" s="42"/>
      <c r="Y10" s="42"/>
      <c r="Z10" s="42"/>
      <c r="AA10" s="38"/>
      <c r="AB10" s="50"/>
      <c r="AC10" s="38"/>
      <c r="AD10" s="42"/>
      <c r="AE10" s="42"/>
      <c r="AF10" s="80"/>
      <c r="AG10" s="46"/>
      <c r="AH10" s="42"/>
      <c r="AI10" s="42"/>
      <c r="AJ10" s="42"/>
      <c r="AK10" s="42"/>
      <c r="AL10" s="38"/>
      <c r="AM10" s="61"/>
      <c r="AN10" s="61"/>
      <c r="AO10" s="63" t="str">
        <f>IFERROR(__xludf.DUMMYFUNCTION("IF(ISBLANK(A10),,IF(ISBLANK(S10), A10&amp;"";"", TEXTJOIN(CHAR(10), TRUE, A10&amp;"";"", ARRAYFORMULA(VLOOKUP(SPLIT(S10, "";"" &amp; CHAR(10)), $A:$AO, 41, FALSE)))))"),"")</f>
        <v/>
      </c>
      <c r="AP10" s="89"/>
    </row>
    <row r="11">
      <c r="A11" s="38"/>
      <c r="B11" s="38"/>
      <c r="C11" s="38"/>
      <c r="D11" s="38"/>
      <c r="E11" s="39"/>
      <c r="F11" s="9"/>
      <c r="G11" s="9"/>
      <c r="H11" s="9"/>
      <c r="I11" s="9"/>
      <c r="J11" s="9"/>
      <c r="K11" s="9"/>
      <c r="L11" s="9"/>
      <c r="M11" s="9"/>
      <c r="N11" s="9"/>
      <c r="O11" s="9"/>
      <c r="P11" s="9"/>
      <c r="Q11" s="9"/>
      <c r="R11" s="9"/>
      <c r="S11" s="42"/>
      <c r="T11" s="42"/>
      <c r="U11" s="44"/>
      <c r="V11" s="42"/>
      <c r="W11" s="38"/>
      <c r="X11" s="42"/>
      <c r="Y11" s="42"/>
      <c r="Z11" s="42"/>
      <c r="AA11" s="38"/>
      <c r="AB11" s="50"/>
      <c r="AC11" s="38"/>
      <c r="AD11" s="42"/>
      <c r="AE11" s="42"/>
      <c r="AF11" s="80"/>
      <c r="AG11" s="46"/>
      <c r="AH11" s="42"/>
      <c r="AI11" s="42"/>
      <c r="AJ11" s="42"/>
      <c r="AK11" s="42"/>
      <c r="AL11" s="38"/>
      <c r="AM11" s="61"/>
      <c r="AN11" s="61"/>
      <c r="AO11" s="63" t="str">
        <f>IFERROR(__xludf.DUMMYFUNCTION("IF(ISBLANK(A11),,IF(ISBLANK(S11), A11&amp;"";"", TEXTJOIN(CHAR(10), TRUE, A11&amp;"";"", ARRAYFORMULA(VLOOKUP(SPLIT(S11, "";"" &amp; CHAR(10)), $A:$AO, 41, FALSE)))))"),"")</f>
        <v/>
      </c>
      <c r="AP11" s="89"/>
    </row>
    <row r="12">
      <c r="A12" s="38"/>
      <c r="B12" s="38"/>
      <c r="C12" s="38"/>
      <c r="D12" s="38"/>
      <c r="E12" s="39"/>
      <c r="F12" s="9"/>
      <c r="G12" s="9"/>
      <c r="H12" s="9"/>
      <c r="I12" s="9"/>
      <c r="J12" s="9"/>
      <c r="K12" s="9"/>
      <c r="L12" s="9"/>
      <c r="M12" s="9"/>
      <c r="N12" s="9"/>
      <c r="O12" s="9"/>
      <c r="P12" s="9"/>
      <c r="Q12" s="9"/>
      <c r="R12" s="9"/>
      <c r="S12" s="42"/>
      <c r="T12" s="42"/>
      <c r="U12" s="44"/>
      <c r="V12" s="42"/>
      <c r="W12" s="38"/>
      <c r="X12" s="42"/>
      <c r="Y12" s="42"/>
      <c r="Z12" s="42"/>
      <c r="AA12" s="38"/>
      <c r="AB12" s="50"/>
      <c r="AC12" s="38"/>
      <c r="AD12" s="42"/>
      <c r="AE12" s="42"/>
      <c r="AF12" s="80"/>
      <c r="AG12" s="46"/>
      <c r="AH12" s="42"/>
      <c r="AI12" s="42"/>
      <c r="AJ12" s="42"/>
      <c r="AK12" s="42"/>
      <c r="AL12" s="38"/>
      <c r="AM12" s="61"/>
      <c r="AN12" s="61"/>
      <c r="AO12" s="63" t="str">
        <f>IFERROR(__xludf.DUMMYFUNCTION("IF(ISBLANK(A12),,IF(ISBLANK(S12), A12&amp;"";"", TEXTJOIN(CHAR(10), TRUE, A12&amp;"";"", ARRAYFORMULA(VLOOKUP(SPLIT(S12, "";"" &amp; CHAR(10)), $A:$AO, 41, FALSE)))))"),"")</f>
        <v/>
      </c>
      <c r="AP12" s="89"/>
    </row>
    <row r="13">
      <c r="A13" s="38"/>
      <c r="B13" s="38"/>
      <c r="C13" s="38"/>
      <c r="D13" s="38"/>
      <c r="E13" s="39"/>
      <c r="F13" s="9"/>
      <c r="G13" s="9"/>
      <c r="H13" s="9"/>
      <c r="I13" s="9"/>
      <c r="J13" s="9"/>
      <c r="K13" s="9"/>
      <c r="L13" s="9"/>
      <c r="M13" s="9"/>
      <c r="N13" s="9"/>
      <c r="O13" s="9"/>
      <c r="P13" s="9"/>
      <c r="Q13" s="9"/>
      <c r="R13" s="9"/>
      <c r="S13" s="42"/>
      <c r="T13" s="42"/>
      <c r="U13" s="44"/>
      <c r="V13" s="38"/>
      <c r="W13" s="38"/>
      <c r="X13" s="42"/>
      <c r="Y13" s="42"/>
      <c r="Z13" s="42"/>
      <c r="AA13" s="38"/>
      <c r="AB13" s="50"/>
      <c r="AC13" s="38"/>
      <c r="AD13" s="42"/>
      <c r="AE13" s="42"/>
      <c r="AF13" s="80"/>
      <c r="AG13" s="46"/>
      <c r="AH13" s="42"/>
      <c r="AI13" s="42"/>
      <c r="AJ13" s="42"/>
      <c r="AK13" s="42"/>
      <c r="AL13" s="38"/>
      <c r="AM13" s="61"/>
      <c r="AN13" s="61"/>
      <c r="AO13" s="63" t="str">
        <f>IFERROR(__xludf.DUMMYFUNCTION("IF(ISBLANK(A13),,IF(ISBLANK(S13), A13&amp;"";"", TEXTJOIN(CHAR(10), TRUE, A13&amp;"";"", ARRAYFORMULA(VLOOKUP(SPLIT(S13, "";"" &amp; CHAR(10)), $A:$AO, 41, FALSE)))))"),"")</f>
        <v/>
      </c>
      <c r="AP13" s="89"/>
    </row>
    <row r="14">
      <c r="A14" s="38"/>
      <c r="B14" s="38"/>
      <c r="C14" s="38"/>
      <c r="D14" s="38"/>
      <c r="E14" s="39"/>
      <c r="F14" s="9"/>
      <c r="G14" s="9"/>
      <c r="H14" s="9"/>
      <c r="I14" s="9"/>
      <c r="J14" s="9"/>
      <c r="K14" s="9"/>
      <c r="L14" s="9"/>
      <c r="M14" s="9"/>
      <c r="N14" s="9"/>
      <c r="O14" s="9"/>
      <c r="P14" s="9"/>
      <c r="Q14" s="9"/>
      <c r="R14" s="9"/>
      <c r="S14" s="42"/>
      <c r="T14" s="42"/>
      <c r="U14" s="44"/>
      <c r="V14" s="38"/>
      <c r="W14" s="38"/>
      <c r="X14" s="42"/>
      <c r="Y14" s="42"/>
      <c r="Z14" s="42"/>
      <c r="AA14" s="38"/>
      <c r="AB14" s="50"/>
      <c r="AC14" s="38"/>
      <c r="AD14" s="42"/>
      <c r="AE14" s="42"/>
      <c r="AF14" s="80"/>
      <c r="AG14" s="46"/>
      <c r="AH14" s="42"/>
      <c r="AI14" s="42"/>
      <c r="AJ14" s="42"/>
      <c r="AK14" s="42"/>
      <c r="AL14" s="38"/>
      <c r="AM14" s="61"/>
      <c r="AN14" s="61"/>
      <c r="AO14" s="63" t="str">
        <f>IFERROR(__xludf.DUMMYFUNCTION("IF(ISBLANK(A14),,IF(ISBLANK(S14), A14&amp;"";"", TEXTJOIN(CHAR(10), TRUE, A14&amp;"";"", ARRAYFORMULA(VLOOKUP(SPLIT(S14, "";"" &amp; CHAR(10)), $A:$AO, 41, FALSE)))))"),"")</f>
        <v/>
      </c>
      <c r="AP14" s="89"/>
    </row>
    <row r="15">
      <c r="A15" s="38"/>
      <c r="B15" s="38"/>
      <c r="C15" s="38"/>
      <c r="D15" s="38"/>
      <c r="E15" s="39"/>
      <c r="F15" s="9"/>
      <c r="G15" s="9"/>
      <c r="H15" s="9"/>
      <c r="I15" s="9"/>
      <c r="J15" s="9"/>
      <c r="K15" s="9"/>
      <c r="L15" s="9"/>
      <c r="M15" s="9"/>
      <c r="N15" s="9"/>
      <c r="O15" s="9"/>
      <c r="P15" s="9"/>
      <c r="Q15" s="9"/>
      <c r="R15" s="9"/>
      <c r="S15" s="42"/>
      <c r="T15" s="42"/>
      <c r="U15" s="44"/>
      <c r="V15" s="38"/>
      <c r="W15" s="38"/>
      <c r="X15" s="42"/>
      <c r="Y15" s="42"/>
      <c r="Z15" s="42"/>
      <c r="AA15" s="38"/>
      <c r="AB15" s="50"/>
      <c r="AC15" s="38"/>
      <c r="AD15" s="42"/>
      <c r="AE15" s="42"/>
      <c r="AF15" s="80"/>
      <c r="AG15" s="46"/>
      <c r="AH15" s="42"/>
      <c r="AI15" s="42"/>
      <c r="AJ15" s="42"/>
      <c r="AK15" s="42"/>
      <c r="AL15" s="38"/>
      <c r="AM15" s="61"/>
      <c r="AN15" s="61"/>
      <c r="AO15" s="63" t="str">
        <f>IFERROR(__xludf.DUMMYFUNCTION("IF(ISBLANK(A15),,IF(ISBLANK(S15), A15&amp;"";"", TEXTJOIN(CHAR(10), TRUE, A15&amp;"";"", ARRAYFORMULA(VLOOKUP(SPLIT(S15, "";"" &amp; CHAR(10)), $A:$AO, 41, FALSE)))))"),"")</f>
        <v/>
      </c>
      <c r="AP15" s="89"/>
    </row>
    <row r="16">
      <c r="A16" s="38"/>
      <c r="B16" s="38"/>
      <c r="C16" s="38"/>
      <c r="D16" s="38"/>
      <c r="E16" s="39"/>
      <c r="F16" s="9"/>
      <c r="G16" s="9"/>
      <c r="H16" s="9"/>
      <c r="I16" s="9"/>
      <c r="J16" s="9"/>
      <c r="K16" s="9"/>
      <c r="L16" s="9"/>
      <c r="M16" s="9"/>
      <c r="N16" s="9"/>
      <c r="O16" s="9"/>
      <c r="P16" s="9"/>
      <c r="Q16" s="9"/>
      <c r="R16" s="9"/>
      <c r="S16" s="42"/>
      <c r="T16" s="42"/>
      <c r="U16" s="38"/>
      <c r="V16" s="38"/>
      <c r="W16" s="38"/>
      <c r="X16" s="42"/>
      <c r="Y16" s="42"/>
      <c r="Z16" s="42"/>
      <c r="AA16" s="38"/>
      <c r="AB16" s="50"/>
      <c r="AC16" s="38"/>
      <c r="AD16" s="42"/>
      <c r="AE16" s="42"/>
      <c r="AF16" s="80"/>
      <c r="AG16" s="46"/>
      <c r="AH16" s="42"/>
      <c r="AI16" s="42"/>
      <c r="AJ16" s="42"/>
      <c r="AK16" s="42"/>
      <c r="AL16" s="38"/>
      <c r="AM16" s="61"/>
      <c r="AN16" s="61"/>
      <c r="AO16" s="63" t="str">
        <f>IFERROR(__xludf.DUMMYFUNCTION("IF(ISBLANK(A16),,IF(ISBLANK(S16), A16&amp;"";"", TEXTJOIN(CHAR(10), TRUE, A16&amp;"";"", ARRAYFORMULA(VLOOKUP(SPLIT(S16, "";"" &amp; CHAR(10)), $A:$AO, 41, FALSE)))))"),"")</f>
        <v/>
      </c>
      <c r="AP16" s="89"/>
    </row>
    <row r="17">
      <c r="A17" s="42"/>
      <c r="B17" s="38"/>
      <c r="C17" s="42"/>
      <c r="D17" s="38"/>
      <c r="E17" s="39"/>
      <c r="F17" s="9"/>
      <c r="G17" s="9"/>
      <c r="H17" s="9"/>
      <c r="I17" s="9"/>
      <c r="J17" s="9"/>
      <c r="K17" s="9"/>
      <c r="L17" s="9"/>
      <c r="M17" s="9"/>
      <c r="N17" s="9"/>
      <c r="O17" s="9"/>
      <c r="P17" s="9"/>
      <c r="Q17" s="9"/>
      <c r="R17" s="9"/>
      <c r="S17" s="42"/>
      <c r="T17" s="42"/>
      <c r="U17" s="38"/>
      <c r="V17" s="38"/>
      <c r="W17" s="38"/>
      <c r="X17" s="42"/>
      <c r="Y17" s="42"/>
      <c r="Z17" s="42"/>
      <c r="AA17" s="42"/>
      <c r="AB17" s="50"/>
      <c r="AC17" s="38"/>
      <c r="AD17" s="42"/>
      <c r="AE17" s="42"/>
      <c r="AF17" s="80"/>
      <c r="AG17" s="46"/>
      <c r="AH17" s="42"/>
      <c r="AI17" s="42"/>
      <c r="AJ17" s="42"/>
      <c r="AK17" s="42"/>
      <c r="AL17" s="38"/>
      <c r="AM17" s="61"/>
      <c r="AN17" s="61"/>
      <c r="AO17" s="63" t="str">
        <f>IFERROR(__xludf.DUMMYFUNCTION("IF(ISBLANK(A17),,IF(ISBLANK(S17), A17&amp;"";"", TEXTJOIN(CHAR(10), TRUE, A17&amp;"";"", ARRAYFORMULA(VLOOKUP(SPLIT(S17, "";"" &amp; CHAR(10)), $A:$AO, 41, FALSE)))))"),"")</f>
        <v/>
      </c>
      <c r="AP17" s="89"/>
    </row>
    <row r="18">
      <c r="A18" s="42"/>
      <c r="B18" s="38"/>
      <c r="C18" s="42"/>
      <c r="D18" s="38"/>
      <c r="E18" s="39"/>
      <c r="F18" s="9"/>
      <c r="G18" s="9"/>
      <c r="H18" s="9"/>
      <c r="I18" s="9"/>
      <c r="J18" s="9"/>
      <c r="K18" s="9"/>
      <c r="L18" s="9"/>
      <c r="M18" s="9"/>
      <c r="N18" s="9"/>
      <c r="O18" s="9"/>
      <c r="P18" s="9"/>
      <c r="Q18" s="9"/>
      <c r="R18" s="9"/>
      <c r="S18" s="42"/>
      <c r="T18" s="42"/>
      <c r="U18" s="38"/>
      <c r="V18" s="38"/>
      <c r="W18" s="38"/>
      <c r="X18" s="42"/>
      <c r="Y18" s="42"/>
      <c r="Z18" s="42"/>
      <c r="AA18" s="42"/>
      <c r="AB18" s="50"/>
      <c r="AC18" s="38"/>
      <c r="AD18" s="42"/>
      <c r="AE18" s="42"/>
      <c r="AF18" s="80"/>
      <c r="AG18" s="46"/>
      <c r="AH18" s="42"/>
      <c r="AI18" s="42"/>
      <c r="AJ18" s="42"/>
      <c r="AK18" s="42"/>
      <c r="AL18" s="38"/>
      <c r="AM18" s="61"/>
      <c r="AN18" s="61"/>
      <c r="AO18" s="63" t="str">
        <f>IFERROR(__xludf.DUMMYFUNCTION("IF(ISBLANK(A18),,IF(ISBLANK(S18), A18&amp;"";"", TEXTJOIN(CHAR(10), TRUE, A18&amp;"";"", ARRAYFORMULA(VLOOKUP(SPLIT(S18, "";"" &amp; CHAR(10)), $A:$AO, 41, FALSE)))))"),"")</f>
        <v/>
      </c>
      <c r="AP18" s="89"/>
    </row>
    <row r="19">
      <c r="A19" s="42"/>
      <c r="B19" s="38"/>
      <c r="C19" s="42"/>
      <c r="D19" s="38"/>
      <c r="E19" s="39"/>
      <c r="F19" s="9"/>
      <c r="G19" s="9"/>
      <c r="H19" s="9"/>
      <c r="I19" s="9"/>
      <c r="J19" s="9"/>
      <c r="K19" s="9"/>
      <c r="L19" s="9"/>
      <c r="M19" s="9"/>
      <c r="N19" s="9"/>
      <c r="O19" s="9"/>
      <c r="P19" s="9"/>
      <c r="Q19" s="9"/>
      <c r="R19" s="9"/>
      <c r="S19" s="42"/>
      <c r="T19" s="42"/>
      <c r="U19" s="38"/>
      <c r="V19" s="38"/>
      <c r="W19" s="38"/>
      <c r="X19" s="42"/>
      <c r="Y19" s="42"/>
      <c r="Z19" s="42"/>
      <c r="AA19" s="42"/>
      <c r="AB19" s="50"/>
      <c r="AC19" s="38"/>
      <c r="AD19" s="42"/>
      <c r="AE19" s="42"/>
      <c r="AF19" s="80"/>
      <c r="AG19" s="46"/>
      <c r="AH19" s="42"/>
      <c r="AI19" s="42"/>
      <c r="AJ19" s="42"/>
      <c r="AK19" s="42"/>
      <c r="AL19" s="38"/>
      <c r="AM19" s="61"/>
      <c r="AN19" s="61"/>
      <c r="AO19" s="63" t="str">
        <f>IFERROR(__xludf.DUMMYFUNCTION("IF(ISBLANK(A19),,IF(ISBLANK(S19), A19&amp;"";"", TEXTJOIN(CHAR(10), TRUE, A19&amp;"";"", ARRAYFORMULA(VLOOKUP(SPLIT(S19, "";"" &amp; CHAR(10)), $A:$AO, 41, FALSE)))))"),"")</f>
        <v/>
      </c>
      <c r="AP19" s="89"/>
    </row>
    <row r="20">
      <c r="A20" s="38"/>
      <c r="B20" s="38"/>
      <c r="C20" s="38"/>
      <c r="D20" s="42"/>
      <c r="E20" s="39"/>
      <c r="F20" s="9"/>
      <c r="G20" s="9"/>
      <c r="H20" s="9"/>
      <c r="I20" s="9"/>
      <c r="J20" s="9"/>
      <c r="K20" s="9"/>
      <c r="L20" s="9"/>
      <c r="M20" s="9"/>
      <c r="N20" s="9"/>
      <c r="O20" s="9"/>
      <c r="P20" s="9"/>
      <c r="Q20" s="9"/>
      <c r="R20" s="9"/>
      <c r="S20" s="42"/>
      <c r="T20" s="42"/>
      <c r="U20" s="38"/>
      <c r="V20" s="42"/>
      <c r="W20" s="42"/>
      <c r="X20" s="42"/>
      <c r="Y20" s="42"/>
      <c r="Z20" s="42"/>
      <c r="AA20" s="42"/>
      <c r="AB20" s="50"/>
      <c r="AC20" s="38"/>
      <c r="AD20" s="42"/>
      <c r="AE20" s="42"/>
      <c r="AF20" s="80"/>
      <c r="AG20" s="46"/>
      <c r="AH20" s="42"/>
      <c r="AI20" s="42"/>
      <c r="AJ20" s="42"/>
      <c r="AK20" s="42"/>
      <c r="AL20" s="38"/>
      <c r="AM20" s="61"/>
      <c r="AN20" s="61"/>
      <c r="AO20" s="63" t="str">
        <f>IFERROR(__xludf.DUMMYFUNCTION("IF(ISBLANK(A20),,IF(ISBLANK(S20), A20&amp;"";"", TEXTJOIN(CHAR(10), TRUE, A20&amp;"";"", ARRAYFORMULA(VLOOKUP(SPLIT(S20, "";"" &amp; CHAR(10)), $A:$AO, 41, FALSE)))))"),"")</f>
        <v/>
      </c>
      <c r="AP20" s="89"/>
    </row>
    <row r="21">
      <c r="A21" s="42"/>
      <c r="B21" s="38"/>
      <c r="C21" s="42"/>
      <c r="D21" s="38"/>
      <c r="E21" s="39"/>
      <c r="F21" s="9"/>
      <c r="G21" s="9"/>
      <c r="H21" s="9"/>
      <c r="I21" s="9"/>
      <c r="J21" s="9"/>
      <c r="K21" s="9"/>
      <c r="L21" s="9"/>
      <c r="M21" s="9"/>
      <c r="N21" s="9"/>
      <c r="O21" s="9"/>
      <c r="P21" s="9"/>
      <c r="Q21" s="9"/>
      <c r="R21" s="9"/>
      <c r="S21" s="38"/>
      <c r="T21" s="38"/>
      <c r="U21" s="38"/>
      <c r="V21" s="38"/>
      <c r="W21" s="38"/>
      <c r="X21" s="42"/>
      <c r="Y21" s="42"/>
      <c r="Z21" s="42"/>
      <c r="AA21" s="42"/>
      <c r="AB21" s="50"/>
      <c r="AC21" s="38"/>
      <c r="AD21" s="42"/>
      <c r="AE21" s="42"/>
      <c r="AF21" s="80"/>
      <c r="AG21" s="46"/>
      <c r="AH21" s="42"/>
      <c r="AI21" s="42"/>
      <c r="AJ21" s="42"/>
      <c r="AK21" s="42"/>
      <c r="AL21" s="38"/>
      <c r="AM21" s="61"/>
      <c r="AN21" s="61"/>
      <c r="AO21" s="63" t="str">
        <f>IFERROR(__xludf.DUMMYFUNCTION("IF(ISBLANK(A21),,IF(ISBLANK(S21), A21&amp;"";"", TEXTJOIN(CHAR(10), TRUE, A21&amp;"";"", ARRAYFORMULA(VLOOKUP(SPLIT(S21, "";"" &amp; CHAR(10)), $A:$AO, 41, FALSE)))))"),"")</f>
        <v/>
      </c>
      <c r="AP21" s="89"/>
    </row>
    <row r="22">
      <c r="A22" s="42"/>
      <c r="B22" s="42"/>
      <c r="C22" s="42"/>
      <c r="D22" s="42"/>
      <c r="E22" s="39"/>
      <c r="F22" s="9"/>
      <c r="G22" s="9"/>
      <c r="H22" s="9"/>
      <c r="I22" s="9"/>
      <c r="J22" s="9"/>
      <c r="K22" s="9"/>
      <c r="L22" s="9"/>
      <c r="M22" s="9"/>
      <c r="N22" s="9"/>
      <c r="O22" s="9"/>
      <c r="P22" s="9"/>
      <c r="Q22" s="9"/>
      <c r="R22" s="9"/>
      <c r="S22" s="42"/>
      <c r="T22" s="42"/>
      <c r="U22" s="42"/>
      <c r="V22" s="42"/>
      <c r="W22" s="42"/>
      <c r="X22" s="42"/>
      <c r="Y22" s="42"/>
      <c r="Z22" s="42"/>
      <c r="AA22" s="42"/>
      <c r="AB22" s="50"/>
      <c r="AC22" s="38"/>
      <c r="AD22" s="42"/>
      <c r="AE22" s="42"/>
      <c r="AF22" s="9"/>
      <c r="AG22" s="9"/>
      <c r="AH22" s="42"/>
      <c r="AI22" s="42"/>
      <c r="AJ22" s="42"/>
      <c r="AK22" s="42"/>
      <c r="AL22" s="42"/>
      <c r="AM22" s="42"/>
      <c r="AN22" s="42"/>
      <c r="AO22" s="63" t="str">
        <f>IFERROR(__xludf.DUMMYFUNCTION("IF(ISBLANK(A22),,IF(ISBLANK(S22), A22&amp;"";"", TEXTJOIN(CHAR(10), TRUE, A22&amp;"";"", ARRAYFORMULA(VLOOKUP(SPLIT(S22, "";"" &amp; CHAR(10)), $A:$AO, 41, FALSE)))))"),"")</f>
        <v/>
      </c>
      <c r="AP22" s="89"/>
    </row>
    <row r="23">
      <c r="A23" s="42"/>
      <c r="B23" s="42"/>
      <c r="C23" s="42"/>
      <c r="D23" s="42"/>
      <c r="E23" s="39"/>
      <c r="F23" s="9"/>
      <c r="G23" s="9"/>
      <c r="H23" s="9"/>
      <c r="I23" s="9"/>
      <c r="J23" s="9"/>
      <c r="K23" s="9"/>
      <c r="L23" s="9"/>
      <c r="M23" s="9"/>
      <c r="N23" s="9"/>
      <c r="O23" s="9"/>
      <c r="P23" s="9"/>
      <c r="Q23" s="9"/>
      <c r="R23" s="9"/>
      <c r="S23" s="42"/>
      <c r="T23" s="42"/>
      <c r="U23" s="42"/>
      <c r="V23" s="42"/>
      <c r="W23" s="42"/>
      <c r="X23" s="42"/>
      <c r="Y23" s="42"/>
      <c r="Z23" s="42"/>
      <c r="AA23" s="42"/>
      <c r="AB23" s="50"/>
      <c r="AC23" s="38"/>
      <c r="AD23" s="42"/>
      <c r="AE23" s="42"/>
      <c r="AF23" s="9"/>
      <c r="AG23" s="9"/>
      <c r="AH23" s="42"/>
      <c r="AI23" s="42"/>
      <c r="AJ23" s="42"/>
      <c r="AK23" s="42"/>
      <c r="AL23" s="42"/>
      <c r="AM23" s="42"/>
      <c r="AN23" s="42"/>
      <c r="AO23" s="63" t="str">
        <f>IFERROR(__xludf.DUMMYFUNCTION("IF(ISBLANK(A23),,IF(ISBLANK(S23), A23&amp;"";"", TEXTJOIN(CHAR(10), TRUE, A23&amp;"";"", ARRAYFORMULA(VLOOKUP(SPLIT(S23, "";"" &amp; CHAR(10)), $A:$AO, 41, FALSE)))))"),"")</f>
        <v/>
      </c>
      <c r="AP23" s="89"/>
    </row>
    <row r="24">
      <c r="A24" s="42"/>
      <c r="B24" s="42"/>
      <c r="C24" s="42"/>
      <c r="D24" s="42"/>
      <c r="E24" s="39"/>
      <c r="F24" s="9"/>
      <c r="G24" s="9"/>
      <c r="H24" s="9"/>
      <c r="I24" s="9"/>
      <c r="J24" s="9"/>
      <c r="K24" s="9"/>
      <c r="L24" s="9"/>
      <c r="M24" s="9"/>
      <c r="N24" s="9"/>
      <c r="O24" s="9"/>
      <c r="P24" s="9"/>
      <c r="Q24" s="9"/>
      <c r="R24" s="9"/>
      <c r="S24" s="42"/>
      <c r="T24" s="42"/>
      <c r="U24" s="42"/>
      <c r="V24" s="42"/>
      <c r="W24" s="42"/>
      <c r="X24" s="42"/>
      <c r="Y24" s="42"/>
      <c r="Z24" s="42"/>
      <c r="AA24" s="42"/>
      <c r="AB24" s="50"/>
      <c r="AC24" s="38"/>
      <c r="AD24" s="42"/>
      <c r="AE24" s="42"/>
      <c r="AF24" s="9"/>
      <c r="AG24" s="9"/>
      <c r="AH24" s="42"/>
      <c r="AI24" s="42"/>
      <c r="AJ24" s="42"/>
      <c r="AK24" s="42"/>
      <c r="AL24" s="42"/>
      <c r="AM24" s="42"/>
      <c r="AN24" s="42"/>
      <c r="AO24" s="63" t="str">
        <f>IFERROR(__xludf.DUMMYFUNCTION("IF(ISBLANK(A24),,IF(ISBLANK(S24), A24&amp;"";"", TEXTJOIN(CHAR(10), TRUE, A24&amp;"";"", ARRAYFORMULA(VLOOKUP(SPLIT(S24, "";"" &amp; CHAR(10)), $A:$AO, 41, FALSE)))))"),"")</f>
        <v/>
      </c>
      <c r="AP24" s="89"/>
    </row>
    <row r="25">
      <c r="A25" s="42"/>
      <c r="B25" s="42"/>
      <c r="C25" s="42"/>
      <c r="D25" s="42"/>
      <c r="E25" s="39"/>
      <c r="F25" s="9"/>
      <c r="G25" s="9"/>
      <c r="H25" s="9"/>
      <c r="I25" s="9"/>
      <c r="J25" s="9"/>
      <c r="K25" s="9"/>
      <c r="L25" s="9"/>
      <c r="M25" s="9"/>
      <c r="N25" s="9"/>
      <c r="O25" s="9"/>
      <c r="P25" s="9"/>
      <c r="Q25" s="9"/>
      <c r="R25" s="9"/>
      <c r="S25" s="42"/>
      <c r="T25" s="42"/>
      <c r="U25" s="42"/>
      <c r="V25" s="42"/>
      <c r="W25" s="42"/>
      <c r="X25" s="42"/>
      <c r="Y25" s="42"/>
      <c r="Z25" s="42"/>
      <c r="AA25" s="42"/>
      <c r="AB25" s="50"/>
      <c r="AC25" s="38"/>
      <c r="AD25" s="42"/>
      <c r="AE25" s="42"/>
      <c r="AF25" s="9"/>
      <c r="AG25" s="9"/>
      <c r="AH25" s="42"/>
      <c r="AI25" s="42"/>
      <c r="AJ25" s="42"/>
      <c r="AK25" s="42"/>
      <c r="AL25" s="42"/>
      <c r="AM25" s="42"/>
      <c r="AN25" s="42"/>
      <c r="AO25" s="63" t="str">
        <f>IFERROR(__xludf.DUMMYFUNCTION("IF(ISBLANK(A25),,IF(ISBLANK(S25), A25&amp;"";"", TEXTJOIN(CHAR(10), TRUE, A25&amp;"";"", ARRAYFORMULA(VLOOKUP(SPLIT(S25, "";"" &amp; CHAR(10)), $A:$AO, 41, FALSE)))))"),"")</f>
        <v/>
      </c>
      <c r="AP25" s="89"/>
    </row>
    <row r="26">
      <c r="A26" s="42"/>
      <c r="B26" s="42"/>
      <c r="C26" s="42"/>
      <c r="D26" s="42"/>
      <c r="E26" s="39"/>
      <c r="F26" s="9"/>
      <c r="G26" s="9"/>
      <c r="H26" s="9"/>
      <c r="I26" s="9"/>
      <c r="J26" s="9"/>
      <c r="K26" s="9"/>
      <c r="L26" s="9"/>
      <c r="M26" s="9"/>
      <c r="N26" s="9"/>
      <c r="O26" s="9"/>
      <c r="P26" s="9"/>
      <c r="Q26" s="9"/>
      <c r="R26" s="9"/>
      <c r="S26" s="42"/>
      <c r="T26" s="42"/>
      <c r="U26" s="42"/>
      <c r="V26" s="42"/>
      <c r="W26" s="42"/>
      <c r="X26" s="42"/>
      <c r="Y26" s="42"/>
      <c r="Z26" s="42"/>
      <c r="AA26" s="42"/>
      <c r="AB26" s="50"/>
      <c r="AC26" s="38"/>
      <c r="AD26" s="42"/>
      <c r="AE26" s="42"/>
      <c r="AF26" s="9"/>
      <c r="AG26" s="9"/>
      <c r="AH26" s="42"/>
      <c r="AI26" s="42"/>
      <c r="AJ26" s="42"/>
      <c r="AK26" s="42"/>
      <c r="AL26" s="42"/>
      <c r="AM26" s="42"/>
      <c r="AN26" s="42"/>
      <c r="AO26" s="63" t="str">
        <f>IFERROR(__xludf.DUMMYFUNCTION("IF(ISBLANK(A26),,IF(ISBLANK(S26), A26&amp;"";"", TEXTJOIN(CHAR(10), TRUE, A26&amp;"";"", ARRAYFORMULA(VLOOKUP(SPLIT(S26, "";"" &amp; CHAR(10)), $A:$AO, 41, FALSE)))))"),"")</f>
        <v/>
      </c>
      <c r="AP26" s="89"/>
    </row>
    <row r="27">
      <c r="A27" s="42"/>
      <c r="B27" s="42"/>
      <c r="C27" s="42"/>
      <c r="D27" s="42"/>
      <c r="E27" s="39"/>
      <c r="F27" s="9"/>
      <c r="G27" s="9"/>
      <c r="H27" s="9"/>
      <c r="I27" s="9"/>
      <c r="J27" s="9"/>
      <c r="K27" s="9"/>
      <c r="L27" s="9"/>
      <c r="M27" s="9"/>
      <c r="N27" s="9"/>
      <c r="O27" s="9"/>
      <c r="P27" s="9"/>
      <c r="Q27" s="9"/>
      <c r="R27" s="9"/>
      <c r="S27" s="42"/>
      <c r="T27" s="42"/>
      <c r="U27" s="42"/>
      <c r="V27" s="42"/>
      <c r="W27" s="42"/>
      <c r="X27" s="42"/>
      <c r="Y27" s="42"/>
      <c r="Z27" s="42"/>
      <c r="AA27" s="42"/>
      <c r="AB27" s="50"/>
      <c r="AC27" s="38"/>
      <c r="AD27" s="42"/>
      <c r="AE27" s="42"/>
      <c r="AF27" s="9"/>
      <c r="AG27" s="9"/>
      <c r="AH27" s="42"/>
      <c r="AI27" s="42"/>
      <c r="AJ27" s="42"/>
      <c r="AK27" s="42"/>
      <c r="AL27" s="42"/>
      <c r="AM27" s="42"/>
      <c r="AN27" s="42"/>
      <c r="AO27" s="63" t="str">
        <f>IFERROR(__xludf.DUMMYFUNCTION("IF(ISBLANK(A27),,IF(ISBLANK(S27), A27&amp;"";"", TEXTJOIN(CHAR(10), TRUE, A27&amp;"";"", ARRAYFORMULA(VLOOKUP(SPLIT(S27, "";"" &amp; CHAR(10)), $A:$AO, 41, FALSE)))))"),"")</f>
        <v/>
      </c>
      <c r="AP27" s="89"/>
    </row>
    <row r="28">
      <c r="A28" s="42"/>
      <c r="B28" s="42"/>
      <c r="C28" s="42"/>
      <c r="D28" s="42"/>
      <c r="E28" s="39"/>
      <c r="F28" s="9"/>
      <c r="G28" s="9"/>
      <c r="H28" s="9"/>
      <c r="I28" s="9"/>
      <c r="J28" s="9"/>
      <c r="K28" s="9"/>
      <c r="L28" s="9"/>
      <c r="M28" s="9"/>
      <c r="N28" s="9"/>
      <c r="O28" s="9"/>
      <c r="P28" s="9"/>
      <c r="Q28" s="9"/>
      <c r="R28" s="9"/>
      <c r="S28" s="42"/>
      <c r="T28" s="42"/>
      <c r="U28" s="42"/>
      <c r="V28" s="42"/>
      <c r="W28" s="42"/>
      <c r="X28" s="42"/>
      <c r="Y28" s="42"/>
      <c r="Z28" s="42"/>
      <c r="AA28" s="42"/>
      <c r="AB28" s="50"/>
      <c r="AC28" s="38"/>
      <c r="AD28" s="42"/>
      <c r="AE28" s="42"/>
      <c r="AF28" s="9"/>
      <c r="AG28" s="9"/>
      <c r="AH28" s="42"/>
      <c r="AI28" s="42"/>
      <c r="AJ28" s="42"/>
      <c r="AK28" s="42"/>
      <c r="AL28" s="42"/>
      <c r="AM28" s="42"/>
      <c r="AN28" s="42"/>
      <c r="AO28" s="63" t="str">
        <f>IFERROR(__xludf.DUMMYFUNCTION("IF(ISBLANK(A28),,IF(ISBLANK(S28), A28&amp;"";"", TEXTJOIN(CHAR(10), TRUE, A28&amp;"";"", ARRAYFORMULA(VLOOKUP(SPLIT(S28, "";"" &amp; CHAR(10)), $A:$AO, 41, FALSE)))))"),"")</f>
        <v/>
      </c>
      <c r="AP28" s="89"/>
    </row>
    <row r="29">
      <c r="A29" s="42"/>
      <c r="B29" s="42"/>
      <c r="C29" s="42"/>
      <c r="D29" s="42"/>
      <c r="E29" s="39"/>
      <c r="F29" s="9"/>
      <c r="G29" s="9"/>
      <c r="H29" s="9"/>
      <c r="I29" s="9"/>
      <c r="J29" s="9"/>
      <c r="K29" s="9"/>
      <c r="L29" s="9"/>
      <c r="M29" s="9"/>
      <c r="N29" s="9"/>
      <c r="O29" s="9"/>
      <c r="P29" s="9"/>
      <c r="Q29" s="9"/>
      <c r="R29" s="9"/>
      <c r="S29" s="42"/>
      <c r="T29" s="42"/>
      <c r="U29" s="42"/>
      <c r="V29" s="42"/>
      <c r="W29" s="42"/>
      <c r="X29" s="42"/>
      <c r="Y29" s="42"/>
      <c r="Z29" s="42"/>
      <c r="AA29" s="42"/>
      <c r="AB29" s="50"/>
      <c r="AC29" s="38"/>
      <c r="AD29" s="42"/>
      <c r="AE29" s="42"/>
      <c r="AF29" s="9"/>
      <c r="AG29" s="9"/>
      <c r="AH29" s="42"/>
      <c r="AI29" s="42"/>
      <c r="AJ29" s="42"/>
      <c r="AK29" s="42"/>
      <c r="AL29" s="42"/>
      <c r="AM29" s="42"/>
      <c r="AN29" s="42"/>
      <c r="AO29" s="63" t="str">
        <f>IFERROR(__xludf.DUMMYFUNCTION("IF(ISBLANK(A29),,IF(ISBLANK(S29), A29&amp;"";"", TEXTJOIN(CHAR(10), TRUE, A29&amp;"";"", ARRAYFORMULA(VLOOKUP(SPLIT(S29, "";"" &amp; CHAR(10)), $A:$AO, 41, FALSE)))))"),"")</f>
        <v/>
      </c>
      <c r="AP29" s="89"/>
    </row>
    <row r="30">
      <c r="A30" s="42"/>
      <c r="B30" s="42"/>
      <c r="C30" s="42"/>
      <c r="D30" s="42"/>
      <c r="E30" s="39"/>
      <c r="F30" s="9"/>
      <c r="G30" s="9"/>
      <c r="H30" s="9"/>
      <c r="I30" s="9"/>
      <c r="J30" s="9"/>
      <c r="K30" s="9"/>
      <c r="L30" s="9"/>
      <c r="M30" s="9"/>
      <c r="N30" s="9"/>
      <c r="O30" s="9"/>
      <c r="P30" s="9"/>
      <c r="Q30" s="9"/>
      <c r="R30" s="9"/>
      <c r="S30" s="42"/>
      <c r="T30" s="42"/>
      <c r="U30" s="42"/>
      <c r="V30" s="42"/>
      <c r="W30" s="42"/>
      <c r="X30" s="42"/>
      <c r="Y30" s="42"/>
      <c r="Z30" s="42"/>
      <c r="AA30" s="42"/>
      <c r="AB30" s="50"/>
      <c r="AC30" s="38"/>
      <c r="AD30" s="42"/>
      <c r="AE30" s="42"/>
      <c r="AF30" s="9"/>
      <c r="AG30" s="9"/>
      <c r="AH30" s="42"/>
      <c r="AI30" s="42"/>
      <c r="AJ30" s="42"/>
      <c r="AK30" s="42"/>
      <c r="AL30" s="42"/>
      <c r="AM30" s="42"/>
      <c r="AN30" s="42"/>
      <c r="AO30" s="63" t="str">
        <f>IFERROR(__xludf.DUMMYFUNCTION("IF(ISBLANK(A30),,IF(ISBLANK(S30), A30&amp;"";"", TEXTJOIN(CHAR(10), TRUE, A30&amp;"";"", ARRAYFORMULA(VLOOKUP(SPLIT(S30, "";"" &amp; CHAR(10)), $A:$AO, 41, FALSE)))))"),"")</f>
        <v/>
      </c>
      <c r="AP30" s="89"/>
    </row>
    <row r="31">
      <c r="A31" s="42"/>
      <c r="B31" s="42"/>
      <c r="C31" s="42"/>
      <c r="D31" s="42"/>
      <c r="E31" s="39"/>
      <c r="F31" s="9"/>
      <c r="G31" s="9"/>
      <c r="H31" s="9"/>
      <c r="I31" s="9"/>
      <c r="J31" s="9"/>
      <c r="K31" s="9"/>
      <c r="L31" s="9"/>
      <c r="M31" s="9"/>
      <c r="N31" s="9"/>
      <c r="O31" s="9"/>
      <c r="P31" s="9"/>
      <c r="Q31" s="9"/>
      <c r="R31" s="9"/>
      <c r="S31" s="42"/>
      <c r="T31" s="42"/>
      <c r="U31" s="42"/>
      <c r="V31" s="42"/>
      <c r="W31" s="42"/>
      <c r="X31" s="42"/>
      <c r="Y31" s="42"/>
      <c r="Z31" s="42"/>
      <c r="AA31" s="42"/>
      <c r="AB31" s="50"/>
      <c r="AC31" s="38"/>
      <c r="AD31" s="42"/>
      <c r="AE31" s="42"/>
      <c r="AF31" s="9"/>
      <c r="AG31" s="9"/>
      <c r="AH31" s="42"/>
      <c r="AI31" s="42"/>
      <c r="AJ31" s="42"/>
      <c r="AK31" s="42"/>
      <c r="AL31" s="42"/>
      <c r="AM31" s="42"/>
      <c r="AN31" s="42"/>
      <c r="AO31" s="63" t="str">
        <f>IFERROR(__xludf.DUMMYFUNCTION("IF(ISBLANK(A31),,IF(ISBLANK(S31), A31&amp;"";"", TEXTJOIN(CHAR(10), TRUE, A31&amp;"";"", ARRAYFORMULA(VLOOKUP(SPLIT(S31, "";"" &amp; CHAR(10)), $A:$AO, 41, FALSE)))))"),"")</f>
        <v/>
      </c>
      <c r="AP31" s="89"/>
    </row>
    <row r="32">
      <c r="A32" s="120"/>
      <c r="B32" s="120"/>
      <c r="C32" s="120"/>
      <c r="D32" s="120"/>
      <c r="E32" s="147"/>
      <c r="F32" s="120"/>
      <c r="G32" s="120"/>
      <c r="H32" s="120"/>
      <c r="I32" s="120"/>
      <c r="J32" s="120"/>
      <c r="K32" s="120"/>
      <c r="L32" s="120"/>
      <c r="M32" s="120"/>
      <c r="N32" s="120"/>
      <c r="O32" s="120"/>
      <c r="P32" s="120"/>
      <c r="Q32" s="120"/>
      <c r="R32" s="120"/>
      <c r="S32" s="120"/>
      <c r="T32" s="120"/>
      <c r="U32" s="120"/>
      <c r="V32" s="120"/>
      <c r="W32" s="120"/>
      <c r="X32" s="120"/>
      <c r="Y32" s="120"/>
      <c r="Z32" s="120"/>
      <c r="AA32" s="148"/>
      <c r="AB32" s="149"/>
      <c r="AC32" s="120"/>
      <c r="AD32" s="120"/>
      <c r="AE32" s="120"/>
      <c r="AF32" s="120"/>
      <c r="AG32" s="120"/>
      <c r="AH32" s="120"/>
      <c r="AI32" s="120"/>
      <c r="AJ32" s="120"/>
      <c r="AK32" s="120"/>
      <c r="AL32" s="120"/>
      <c r="AM32" s="120"/>
      <c r="AN32" s="120"/>
      <c r="AO32" s="63" t="str">
        <f>IFERROR(__xludf.DUMMYFUNCTION("IF(ISBLANK(A32),,IF(ISBLANK(S32), A32&amp;"";"", TEXTJOIN(CHAR(10), TRUE, A32&amp;"";"", ARRAYFORMULA(VLOOKUP(SPLIT(S32, "";"" &amp; CHAR(10)), $A:$AO, 41, FALSE)))))"),"")</f>
        <v/>
      </c>
      <c r="AP32" s="89"/>
    </row>
    <row r="33">
      <c r="A33" s="150" t="str">
        <f>IFERROR(__xludf.DUMMYFUNCTION("IMPORTRANGE(Settings!$A$2,""wbCircuits!A2:AM4000"")"),"Br")</f>
        <v>Br</v>
      </c>
      <c r="B33" s="42" t="str">
        <f>IFERROR(__xludf.DUMMYFUNCTION("""COMPUTED_VALUE"""),"DHBA")</f>
        <v>DHBA</v>
      </c>
      <c r="C33" s="42" t="str">
        <f>IFERROR(__xludf.DUMMYFUNCTION("""COMPUTED_VALUE"""),"brain")</f>
        <v>brain</v>
      </c>
      <c r="D33" s="42">
        <f>IFERROR(__xludf.DUMMYFUNCTION("""COMPUTED_VALUE"""),2.0)</f>
        <v>2</v>
      </c>
      <c r="E33" s="39" t="str">
        <f>IFERROR(__xludf.DUMMYFUNCTION("""COMPUTED_VALUE"""),"brain")</f>
        <v>brain</v>
      </c>
      <c r="F33" s="9" t="str">
        <f>IFERROR(__xludf.DUMMYFUNCTION("""COMPUTED_VALUE"""),"Br")</f>
        <v>Br</v>
      </c>
      <c r="G33" s="9"/>
      <c r="H33" s="9"/>
      <c r="I33" s="9"/>
      <c r="J33" s="9"/>
      <c r="K33" s="9"/>
      <c r="L33" s="9"/>
      <c r="M33" s="9"/>
      <c r="N33" s="9"/>
      <c r="O33" s="9"/>
      <c r="P33" s="9"/>
      <c r="Q33" s="9"/>
      <c r="R33" s="9"/>
      <c r="S33" s="42" t="str">
        <f>IFERROR(__xludf.DUMMYFUNCTION("""COMPUTED_VALUE"""),"F;
M;
H")</f>
        <v>F;
M;
H</v>
      </c>
      <c r="T33" s="42"/>
      <c r="U33" s="42" t="b">
        <f>IFERROR(__xludf.DUMMYFUNCTION("""COMPUTED_VALUE"""),FALSE)</f>
        <v>0</v>
      </c>
      <c r="V33" s="42"/>
      <c r="W33" s="42"/>
      <c r="X33" s="42"/>
      <c r="Y33" s="42"/>
      <c r="Z33" s="42"/>
      <c r="AA33" s="42"/>
      <c r="AB33" s="42" t="str">
        <f>IFERROR(__xludf.DUMMYFUNCTION("""COMPUTED_VALUE"""),"allen institute")</f>
        <v>allen institute</v>
      </c>
      <c r="AC33" s="42" t="str">
        <f>IFERROR(__xludf.DUMMYFUNCTION("""COMPUTED_VALUE"""),"DHBA")</f>
        <v>DHBA</v>
      </c>
      <c r="AD33" s="42"/>
      <c r="AE33" s="42"/>
      <c r="AF33" s="9"/>
      <c r="AG33" s="9"/>
      <c r="AH33" s="42"/>
      <c r="AI33" s="42"/>
      <c r="AJ33" s="42"/>
      <c r="AK33" s="42"/>
      <c r="AL33" s="42"/>
      <c r="AM33" s="42"/>
      <c r="AN33" s="42"/>
      <c r="AO33" s="63" t="str">
        <f>IFERROR(__xludf.DUMMYFUNCTION("IF(ISBLANK(A33),,IF(ISBLANK(S33), A33&amp;"";"", TEXTJOIN(CHAR(10), TRUE, A33&amp;"";"", ARRAYFORMULA(VLOOKUP(SPLIT(S33, "";"" &amp; CHAR(10)), $A:$AO, 41, FALSE)))))"),"#REF!")</f>
        <v>#REF!</v>
      </c>
      <c r="AP33" s="89"/>
    </row>
    <row r="34">
      <c r="A34" s="151" t="str">
        <f>IFERROR(__xludf.DUMMYFUNCTION("""COMPUTED_VALUE"""),"N")</f>
        <v>N</v>
      </c>
      <c r="B34" s="42" t="str">
        <f>IFERROR(__xludf.DUMMYFUNCTION("""COMPUTED_VALUE"""),"collection")</f>
        <v>collection</v>
      </c>
      <c r="C34" s="42" t="str">
        <f>IFERROR(__xludf.DUMMYFUNCTION("""COMPUTED_VALUE"""),"Oculomotor nuclei (ROI2)")</f>
        <v>Oculomotor nuclei (ROI2)</v>
      </c>
      <c r="D34" s="42">
        <f>IFERROR(__xludf.DUMMYFUNCTION("""COMPUTED_VALUE"""),2.1)</f>
        <v>2.1</v>
      </c>
      <c r="E34" s="39" t="str">
        <f>IFERROR(__xludf.DUMMYFUNCTION("""COMPUTED_VALUE"""),"")</f>
        <v/>
      </c>
      <c r="F34" s="9" t="str">
        <f>IFERROR(__xludf.DUMMYFUNCTION("""COMPUTED_VALUE"""),"")</f>
        <v/>
      </c>
      <c r="G34" s="9" t="str">
        <f>IFERROR(__xludf.DUMMYFUNCTION("""COMPUTED_VALUE"""),"")</f>
        <v/>
      </c>
      <c r="H34" s="9" t="str">
        <f>IFERROR(__xludf.DUMMYFUNCTION("""COMPUTED_VALUE"""),"")</f>
        <v/>
      </c>
      <c r="I34" s="9" t="str">
        <f>IFERROR(__xludf.DUMMYFUNCTION("""COMPUTED_VALUE"""),"")</f>
        <v/>
      </c>
      <c r="J34" s="9" t="str">
        <f>IFERROR(__xludf.DUMMYFUNCTION("""COMPUTED_VALUE"""),"")</f>
        <v/>
      </c>
      <c r="K34" s="9" t="str">
        <f>IFERROR(__xludf.DUMMYFUNCTION("""COMPUTED_VALUE"""),"")</f>
        <v/>
      </c>
      <c r="L34" s="9" t="str">
        <f>IFERROR(__xludf.DUMMYFUNCTION("""COMPUTED_VALUE"""),"")</f>
        <v/>
      </c>
      <c r="M34" s="9" t="str">
        <f>IFERROR(__xludf.DUMMYFUNCTION("""COMPUTED_VALUE"""),"")</f>
        <v/>
      </c>
      <c r="N34" s="9" t="str">
        <f>IFERROR(__xludf.DUMMYFUNCTION("""COMPUTED_VALUE"""),"")</f>
        <v/>
      </c>
      <c r="O34" s="9" t="str">
        <f>IFERROR(__xludf.DUMMYFUNCTION("""COMPUTED_VALUE"""),"")</f>
        <v/>
      </c>
      <c r="P34" s="9" t="str">
        <f>IFERROR(__xludf.DUMMYFUNCTION("""COMPUTED_VALUE"""),"")</f>
        <v/>
      </c>
      <c r="Q34" s="9" t="str">
        <f>IFERROR(__xludf.DUMMYFUNCTION("""COMPUTED_VALUE"""),"")</f>
        <v/>
      </c>
      <c r="R34" s="9" t="str">
        <f>IFERROR(__xludf.DUMMYFUNCTION("""COMPUTED_VALUE"""),"")</f>
        <v/>
      </c>
      <c r="S34" s="42" t="str">
        <f>IFERROR(__xludf.DUMMYFUNCTION("""COMPUTED_VALUE"""),"3N;
4N;
6N")</f>
        <v>3N;
4N;
6N</v>
      </c>
      <c r="T34" s="42"/>
      <c r="U34" s="42" t="b">
        <f>IFERROR(__xludf.DUMMYFUNCTION("""COMPUTED_VALUE"""),FALSE)</f>
        <v>0</v>
      </c>
      <c r="V34" s="42"/>
      <c r="W34" s="42" t="str">
        <f>IFERROR(__xludf.DUMMYFUNCTION("""COMPUTED_VALUE"""),"Excitatory")</f>
        <v>Excitatory</v>
      </c>
      <c r="X34" s="42"/>
      <c r="Y34" s="42" t="str">
        <f>IFERROR(__xludf.DUMMYFUNCTION("""COMPUTED_VALUE"""),"imort from Oculomotor.bra")</f>
        <v>imort from Oculomotor.bra</v>
      </c>
      <c r="Z34" s="42"/>
      <c r="AA34" s="42"/>
      <c r="AB34" s="42" t="str">
        <f>IFERROR(__xludf.DUMMYFUNCTION("""COMPUTED_VALUE"""),"Yoshimasa Tawatsuji")</f>
        <v>Yoshimasa Tawatsuji</v>
      </c>
      <c r="AC34" s="42" t="str">
        <f>IFERROR(__xludf.DUMMYFUNCTION("""COMPUTED_VALUE"""),"YT20Oculomotor")</f>
        <v>YT20Oculomotor</v>
      </c>
      <c r="AD34" s="42"/>
      <c r="AE34" s="42"/>
      <c r="AF34" s="9"/>
      <c r="AG34" s="9"/>
      <c r="AH34" s="42"/>
      <c r="AI34" s="42"/>
      <c r="AJ34" s="42"/>
      <c r="AK34" s="42"/>
      <c r="AL34" s="42"/>
      <c r="AM34" s="42"/>
      <c r="AN34" s="42"/>
      <c r="AO34" s="63" t="str">
        <f>IFERROR(__xludf.DUMMYFUNCTION("IF(ISBLANK(A34),,IF(ISBLANK(S34), A34&amp;"";"", TEXTJOIN(CHAR(10), TRUE, A34&amp;"";"", ARRAYFORMULA(VLOOKUP(SPLIT(S34, "";"" &amp; CHAR(10)), $A:$AO, 41, FALSE)))))"),"N;
3N;
3N_IR;
3N_IO;
3N_SR;
3N_MR;
4N;
6N;
AIN;
MNs;")</f>
        <v>N;
3N;
3N_IR;
3N_IO;
3N_SR;
3N_MR;
4N;
6N;
AIN;
MNs;</v>
      </c>
      <c r="AP34" s="89"/>
    </row>
    <row r="35">
      <c r="A35" s="151" t="str">
        <f>IFERROR(__xludf.DUMMYFUNCTION("""COMPUTED_VALUE"""),"BN_out")</f>
        <v>BN_out</v>
      </c>
      <c r="B35" s="42" t="str">
        <f>IFERROR(__xludf.DUMMYFUNCTION("""COMPUTED_VALUE"""),"collection")</f>
        <v>collection</v>
      </c>
      <c r="C35" s="42" t="str">
        <f>IFERROR(__xludf.DUMMYFUNCTION("""COMPUTED_VALUE"""),"output of basal ganglia")</f>
        <v>output of basal ganglia</v>
      </c>
      <c r="D35" s="42">
        <f>IFERROR(__xludf.DUMMYFUNCTION("""COMPUTED_VALUE"""),2.1)</f>
        <v>2.1</v>
      </c>
      <c r="E35" s="39" t="str">
        <f>IFERROR(__xludf.DUMMYFUNCTION("""COMPUTED_VALUE"""),"")</f>
        <v/>
      </c>
      <c r="F35" s="9" t="str">
        <f>IFERROR(__xludf.DUMMYFUNCTION("""COMPUTED_VALUE"""),"")</f>
        <v/>
      </c>
      <c r="G35" s="9" t="str">
        <f>IFERROR(__xludf.DUMMYFUNCTION("""COMPUTED_VALUE"""),"")</f>
        <v/>
      </c>
      <c r="H35" s="9" t="str">
        <f>IFERROR(__xludf.DUMMYFUNCTION("""COMPUTED_VALUE"""),"")</f>
        <v/>
      </c>
      <c r="I35" s="9" t="str">
        <f>IFERROR(__xludf.DUMMYFUNCTION("""COMPUTED_VALUE"""),"")</f>
        <v/>
      </c>
      <c r="J35" s="9" t="str">
        <f>IFERROR(__xludf.DUMMYFUNCTION("""COMPUTED_VALUE"""),"")</f>
        <v/>
      </c>
      <c r="K35" s="9" t="str">
        <f>IFERROR(__xludf.DUMMYFUNCTION("""COMPUTED_VALUE"""),"")</f>
        <v/>
      </c>
      <c r="L35" s="9" t="str">
        <f>IFERROR(__xludf.DUMMYFUNCTION("""COMPUTED_VALUE"""),"")</f>
        <v/>
      </c>
      <c r="M35" s="9" t="str">
        <f>IFERROR(__xludf.DUMMYFUNCTION("""COMPUTED_VALUE"""),"")</f>
        <v/>
      </c>
      <c r="N35" s="9" t="str">
        <f>IFERROR(__xludf.DUMMYFUNCTION("""COMPUTED_VALUE"""),"")</f>
        <v/>
      </c>
      <c r="O35" s="9" t="str">
        <f>IFERROR(__xludf.DUMMYFUNCTION("""COMPUTED_VALUE"""),"")</f>
        <v/>
      </c>
      <c r="P35" s="9" t="str">
        <f>IFERROR(__xludf.DUMMYFUNCTION("""COMPUTED_VALUE"""),"")</f>
        <v/>
      </c>
      <c r="Q35" s="9" t="str">
        <f>IFERROR(__xludf.DUMMYFUNCTION("""COMPUTED_VALUE"""),"")</f>
        <v/>
      </c>
      <c r="R35" s="9" t="str">
        <f>IFERROR(__xludf.DUMMYFUNCTION("""COMPUTED_VALUE"""),"")</f>
        <v/>
      </c>
      <c r="S35" s="42" t="str">
        <f>IFERROR(__xludf.DUMMYFUNCTION("""COMPUTED_VALUE"""),"GPi;
SNR")</f>
        <v>GPi;
SNR</v>
      </c>
      <c r="T35" s="42"/>
      <c r="U35" s="42" t="b">
        <f>IFERROR(__xludf.DUMMYFUNCTION("""COMPUTED_VALUE"""),FALSE)</f>
        <v>0</v>
      </c>
      <c r="V35" s="42"/>
      <c r="W35" s="42"/>
      <c r="X35" s="42"/>
      <c r="Y35" s="42" t="str">
        <f>IFERROR(__xludf.DUMMYFUNCTION("""COMPUTED_VALUE"""),"principal basal ganglia output for control of limb movement.
Given that the BG send inhibitory outputs via the GPm and SNr to the brainstem, particularly the MLR that includes the PPTg (Ce- bria ́ n et al., 2005; Parent and De Bellefeuille, 1982; Roseber"&amp;"ry et al., 2016), we further examined the impact of GPm outputs to PPTg (Figure S9A). Photoactivation of GPm inputs to the brain- stem enhanced rotation behavior (Figure S9B; Movie S4), a phenotype induced by hemispheric activation of locomotion. In addit"&amp;"ion, no significant changes in rigidity or hypokinesia were evident (Figures S9C and S9D Movie S4). These results indicate that the multiple motor abnormalities induced by photostimula- tion of GPm inputs to VL are not due to inhibition of the brainstem n"&amp;"eurons that also receive GPm inputs. [Kim, 2017]
GPm and SNr neurons send descending projections to the thal- amus and brainstem with different spatial patterns. While the SNr sends more inputs to the MLR regions of the brainstem, GPm axons project heavi"&amp;"ly to the VL (Figure S1) (Cebria ́n et al., 2005; Hikosaka et al., 2000; Kreitzer and Malenka, 2008; Parent et al., 2001). The SNr-MLR pathway is reported to exert a strong impact on locomotion through modulating glutamatergic neu- rons in the MLR (Antal "&amp;"et al., 2014; Roseberry et al., 2016; Stefani et al., 2007), which may explain the hypokinetic state observed in BG-related disorders. Here, we have shown that GPm input to the VL thalamus has a stronger impact on motor function than SNr input (Figure S2)"&amp;". Consistent with this finding, an earlier study reported that SNr does not induce rebound excitation with hyperpolarization in a thalamic slice in vitro (Edgerton and Jaeger, 2014). [Kim, 2017]
it is plausible that while the SNr-MRL pathway modulates lo"&amp;"comotion activity, the GPm-VL pathway effectively terminates actions requiring locomotion by inducing excitatory firing in the thalamus. [Kim, 2017]")</f>
        <v>principal basal ganglia output for control of limb movement.
Given that the BG send inhibitory outputs via the GPm and SNr to the brainstem, particularly the MLR that includes the PPTg (Ce- bria ́ n et al., 2005; Parent and De Bellefeuille, 1982; Roseberry et al., 2016), we further examined the impact of GPm outputs to PPTg (Figure S9A). Photoactivation of GPm inputs to the brain- stem enhanced rotation behavior (Figure S9B; Movie S4), a phenotype induced by hemispheric activation of locomotion. In addition, no significant changes in rigidity or hypokinesia were evident (Figures S9C and S9D Movie S4). These results indicate that the multiple motor abnormalities induced by photostimula- tion of GPm inputs to VL are not due to inhibition of the brainstem neurons that also receive GPm inputs. [Kim, 2017]
GPm and SNr neurons send descending projections to the thal- amus and brainstem with different spatial patterns. While the SNr sends more inputs to the MLR regions of the brainstem, GPm axons project heavily to the VL (Figure S1) (Cebria ́n et al., 2005; Hikosaka et al., 2000; Kreitzer and Malenka, 2008; Parent et al., 2001). The SNr-MLR pathway is reported to exert a strong impact on locomotion through modulating glutamatergic neu- rons in the MLR (Antal et al., 2014; Roseberry et al., 2016; Stefani et al., 2007), which may explain the hypokinetic state observed in BG-related disorders. Here, we have shown that GPm input to the VL thalamus has a stronger impact on motor function than SNr input (Figure S2). Consistent with this finding, an earlier study reported that SNr does not induce rebound excitation with hyperpolarization in a thalamic slice in vitro (Edgerton and Jaeger, 2014). [Kim, 2017]
it is plausible that while the SNr-MRL pathway modulates locomotion activity, the GPm-VL pathway effectively terminates actions requiring locomotion by inducing excitatory firing in the thalamus. [Kim, 2017]</v>
      </c>
      <c r="Z35" s="42"/>
      <c r="AA35" s="42"/>
      <c r="AB35" s="42" t="str">
        <f>IFERROR(__xludf.DUMMYFUNCTION("""COMPUTED_VALUE"""),"Yuske Shibata")</f>
        <v>Yuske Shibata</v>
      </c>
      <c r="AC35" s="42" t="str">
        <f>IFERROR(__xludf.DUMMYFUNCTION("""COMPUTED_VALUE"""),"YS21BgLoop")</f>
        <v>YS21BgLoop</v>
      </c>
      <c r="AD35" s="42"/>
      <c r="AE35" s="42"/>
      <c r="AF35" s="9"/>
      <c r="AG35" s="9"/>
      <c r="AH35" s="42"/>
      <c r="AI35" s="42"/>
      <c r="AJ35" s="42"/>
      <c r="AK35" s="42"/>
      <c r="AL35" s="42"/>
      <c r="AM35" s="42"/>
      <c r="AN35" s="42"/>
      <c r="AO35" s="63" t="str">
        <f>IFERROR(__xludf.DUMMYFUNCTION("IF(ISBLANK(A35),,IF(ISBLANK(S35), A35&amp;"";"", TEXTJOIN(CHAR(10), TRUE, A35&amp;"";"", ARRAYFORMULA(VLOOKUP(SPLIT(S35, "";"" &amp; CHAR(10)), $A:$AO, 41, FALSE)))))"),"BN_out;
GPi;
GPic;
GPip;
SNR;")</f>
        <v>BN_out;
GPi;
GPic;
GPip;
SNR;</v>
      </c>
      <c r="AP35" s="89"/>
    </row>
    <row r="36">
      <c r="A36" s="151" t="str">
        <f>IFERROR(__xludf.DUMMYFUNCTION("""COMPUTED_VALUE"""),"brainstem")</f>
        <v>brainstem</v>
      </c>
      <c r="B36" s="42" t="str">
        <f>IFERROR(__xludf.DUMMYFUNCTION("""COMPUTED_VALUE"""),"collection")</f>
        <v>collection</v>
      </c>
      <c r="C36" s="42" t="str">
        <f>IFERROR(__xludf.DUMMYFUNCTION("""COMPUTED_VALUE"""),"brainstem")</f>
        <v>brainstem</v>
      </c>
      <c r="D36" s="42">
        <f>IFERROR(__xludf.DUMMYFUNCTION("""COMPUTED_VALUE"""),2.2)</f>
        <v>2.2</v>
      </c>
      <c r="E36" s="39" t="str">
        <f>IFERROR(__xludf.DUMMYFUNCTION("""COMPUTED_VALUE"""),"")</f>
        <v/>
      </c>
      <c r="F36" s="9" t="str">
        <f>IFERROR(__xludf.DUMMYFUNCTION("""COMPUTED_VALUE"""),"")</f>
        <v/>
      </c>
      <c r="G36" s="9" t="str">
        <f>IFERROR(__xludf.DUMMYFUNCTION("""COMPUTED_VALUE"""),"")</f>
        <v/>
      </c>
      <c r="H36" s="9" t="str">
        <f>IFERROR(__xludf.DUMMYFUNCTION("""COMPUTED_VALUE"""),"")</f>
        <v/>
      </c>
      <c r="I36" s="9" t="str">
        <f>IFERROR(__xludf.DUMMYFUNCTION("""COMPUTED_VALUE"""),"")</f>
        <v/>
      </c>
      <c r="J36" s="9" t="str">
        <f>IFERROR(__xludf.DUMMYFUNCTION("""COMPUTED_VALUE"""),"")</f>
        <v/>
      </c>
      <c r="K36" s="9" t="str">
        <f>IFERROR(__xludf.DUMMYFUNCTION("""COMPUTED_VALUE"""),"")</f>
        <v/>
      </c>
      <c r="L36" s="9" t="str">
        <f>IFERROR(__xludf.DUMMYFUNCTION("""COMPUTED_VALUE"""),"")</f>
        <v/>
      </c>
      <c r="M36" s="9" t="str">
        <f>IFERROR(__xludf.DUMMYFUNCTION("""COMPUTED_VALUE"""),"")</f>
        <v/>
      </c>
      <c r="N36" s="9" t="str">
        <f>IFERROR(__xludf.DUMMYFUNCTION("""COMPUTED_VALUE"""),"")</f>
        <v/>
      </c>
      <c r="O36" s="9" t="str">
        <f>IFERROR(__xludf.DUMMYFUNCTION("""COMPUTED_VALUE"""),"")</f>
        <v/>
      </c>
      <c r="P36" s="9" t="str">
        <f>IFERROR(__xludf.DUMMYFUNCTION("""COMPUTED_VALUE"""),"")</f>
        <v/>
      </c>
      <c r="Q36" s="9" t="str">
        <f>IFERROR(__xludf.DUMMYFUNCTION("""COMPUTED_VALUE"""),"")</f>
        <v/>
      </c>
      <c r="R36" s="9" t="str">
        <f>IFERROR(__xludf.DUMMYFUNCTION("""COMPUTED_VALUE"""),"")</f>
        <v/>
      </c>
      <c r="S36" s="42" t="str">
        <f>IFERROR(__xludf.DUMMYFUNCTION("""COMPUTED_VALUE"""),"M;
Pn;
Mo;
SC")</f>
        <v>M;
Pn;
Mo;
SC</v>
      </c>
      <c r="T36" s="42"/>
      <c r="U36" s="42" t="b">
        <f>IFERROR(__xludf.DUMMYFUNCTION("""COMPUTED_VALUE"""),FALSE)</f>
        <v>0</v>
      </c>
      <c r="V36" s="42"/>
      <c r="W36" s="42"/>
      <c r="X36" s="42"/>
      <c r="Y36" s="42"/>
      <c r="Z36" s="42"/>
      <c r="AA36" s="42"/>
      <c r="AB36" s="42" t="str">
        <f>IFERROR(__xludf.DUMMYFUNCTION("""COMPUTED_VALUE"""),"Hiroshi Yamakawa")</f>
        <v>Hiroshi Yamakawa</v>
      </c>
      <c r="AC36" s="42" t="str">
        <f>IFERROR(__xludf.DUMMYFUNCTION("""COMPUTED_VALUE"""),"HY18NeocorticalInterareaSignals ")</f>
        <v>HY18NeocorticalInterareaSignals </v>
      </c>
      <c r="AD36" s="42"/>
      <c r="AE36" s="42"/>
      <c r="AF36" s="9"/>
      <c r="AG36" s="9"/>
      <c r="AH36" s="42"/>
      <c r="AI36" s="42"/>
      <c r="AJ36" s="42"/>
      <c r="AK36" s="42"/>
      <c r="AL36" s="42"/>
      <c r="AM36" s="42"/>
      <c r="AN36" s="42"/>
      <c r="AO36" s="63" t="str">
        <f>IFERROR(__xludf.DUMMYFUNCTION("IF(ISBLANK(A36),,IF(ISBLANK(S36), A36&amp;"";"", TEXTJOIN(CHAR(10), TRUE, A36&amp;"";"", ARRAYFORMULA(VLOOKUP(SPLIT(S36, "";"" &amp; CHAR(10)), $A:$AO, 41, FALSE)))))"),"#N/A")</f>
        <v>#N/A</v>
      </c>
      <c r="AP36" s="89"/>
    </row>
    <row r="37">
      <c r="A37" s="151" t="str">
        <f>IFERROR(__xludf.DUMMYFUNCTION("""COMPUTED_VALUE"""),"F")</f>
        <v>F</v>
      </c>
      <c r="B37" s="42" t="str">
        <f>IFERROR(__xludf.DUMMYFUNCTION("""COMPUTED_VALUE"""),"DHBA")</f>
        <v>DHBA</v>
      </c>
      <c r="C37" s="42" t="str">
        <f>IFERROR(__xludf.DUMMYFUNCTION("""COMPUTED_VALUE"""),"forebrain (prosencephalon)")</f>
        <v>forebrain (prosencephalon)</v>
      </c>
      <c r="D37" s="42">
        <f>IFERROR(__xludf.DUMMYFUNCTION("""COMPUTED_VALUE"""),3.0)</f>
        <v>3</v>
      </c>
      <c r="E37" s="39" t="str">
        <f>IFERROR(__xludf.DUMMYFUNCTION("""COMPUTED_VALUE"""),"forebrain (prosencephalon)")</f>
        <v>forebrain (prosencephalon)</v>
      </c>
      <c r="F37" s="9" t="str">
        <f>IFERROR(__xludf.DUMMYFUNCTION("""COMPUTED_VALUE"""),"Br")</f>
        <v>Br</v>
      </c>
      <c r="G37" s="9" t="str">
        <f>IFERROR(__xludf.DUMMYFUNCTION("""COMPUTED_VALUE"""),"F")</f>
        <v>F</v>
      </c>
      <c r="H37" s="9"/>
      <c r="I37" s="9"/>
      <c r="J37" s="9"/>
      <c r="K37" s="9"/>
      <c r="L37" s="9"/>
      <c r="M37" s="9"/>
      <c r="N37" s="9"/>
      <c r="O37" s="9"/>
      <c r="P37" s="9"/>
      <c r="Q37" s="9"/>
      <c r="R37" s="9"/>
      <c r="S37" s="42" t="str">
        <f>IFERROR(__xludf.DUMMYFUNCTION("""COMPUTED_VALUE"""),"FGM;
FWM;
FV;
FSS;
fbv")</f>
        <v>FGM;
FWM;
FV;
FSS;
fbv</v>
      </c>
      <c r="T37" s="42"/>
      <c r="U37" s="42" t="b">
        <f>IFERROR(__xludf.DUMMYFUNCTION("""COMPUTED_VALUE"""),FALSE)</f>
        <v>0</v>
      </c>
      <c r="V37" s="42"/>
      <c r="W37" s="42"/>
      <c r="X37" s="42"/>
      <c r="Y37" s="42"/>
      <c r="Z37" s="42"/>
      <c r="AA37" s="42"/>
      <c r="AB37" s="42" t="str">
        <f>IFERROR(__xludf.DUMMYFUNCTION("""COMPUTED_VALUE"""),"allen institute")</f>
        <v>allen institute</v>
      </c>
      <c r="AC37" s="42" t="str">
        <f>IFERROR(__xludf.DUMMYFUNCTION("""COMPUTED_VALUE"""),"DHBA")</f>
        <v>DHBA</v>
      </c>
      <c r="AD37" s="42"/>
      <c r="AE37" s="42"/>
      <c r="AF37" s="9"/>
      <c r="AG37" s="9"/>
      <c r="AH37" s="42"/>
      <c r="AI37" s="42"/>
      <c r="AJ37" s="42"/>
      <c r="AK37" s="42"/>
      <c r="AL37" s="42"/>
      <c r="AM37" s="42"/>
      <c r="AN37" s="42"/>
      <c r="AO37" s="63" t="str">
        <f>IFERROR(__xludf.DUMMYFUNCTION("IF(ISBLANK(A37),,IF(ISBLANK(S37), A37&amp;"";"", TEXTJOIN(CHAR(10), TRUE, A37&amp;"";"", ARRAYFORMULA(VLOOKUP(SPLIT(S37, "";"" &amp; CHAR(10)), $A:$AO, 41, FALSE)))))"),"#REF!")</f>
        <v>#REF!</v>
      </c>
      <c r="AP37" s="89"/>
    </row>
    <row r="38">
      <c r="A38" s="151" t="str">
        <f>IFERROR(__xludf.DUMMYFUNCTION("""COMPUTED_VALUE"""),"FGM")</f>
        <v>FGM</v>
      </c>
      <c r="B38" s="42" t="str">
        <f>IFERROR(__xludf.DUMMYFUNCTION("""COMPUTED_VALUE"""),"DHBA")</f>
        <v>DHBA</v>
      </c>
      <c r="C38" s="42" t="str">
        <f>IFERROR(__xludf.DUMMYFUNCTION("""COMPUTED_VALUE"""),"gray matter of forebrain")</f>
        <v>gray matter of forebrain</v>
      </c>
      <c r="D38" s="42">
        <f>IFERROR(__xludf.DUMMYFUNCTION("""COMPUTED_VALUE"""),4.0)</f>
        <v>4</v>
      </c>
      <c r="E38" s="39" t="str">
        <f>IFERROR(__xludf.DUMMYFUNCTION("""COMPUTED_VALUE"""),"gray matter of forebrain")</f>
        <v>gray matter of forebrain</v>
      </c>
      <c r="F38" s="9" t="str">
        <f>IFERROR(__xludf.DUMMYFUNCTION("""COMPUTED_VALUE"""),"Br")</f>
        <v>Br</v>
      </c>
      <c r="G38" s="9" t="str">
        <f>IFERROR(__xludf.DUMMYFUNCTION("""COMPUTED_VALUE"""),"F")</f>
        <v>F</v>
      </c>
      <c r="H38" s="9" t="str">
        <f>IFERROR(__xludf.DUMMYFUNCTION("""COMPUTED_VALUE"""),"FGM")</f>
        <v>FGM</v>
      </c>
      <c r="I38" s="9"/>
      <c r="J38" s="9"/>
      <c r="K38" s="9"/>
      <c r="L38" s="9"/>
      <c r="M38" s="9"/>
      <c r="N38" s="9"/>
      <c r="O38" s="9"/>
      <c r="P38" s="9"/>
      <c r="Q38" s="9"/>
      <c r="R38" s="9"/>
      <c r="S38" s="42" t="str">
        <f>IFERROR(__xludf.DUMMYFUNCTION("""COMPUTED_VALUE"""),"FTS;
Tel;
Die")</f>
        <v>FTS;
Tel;
Die</v>
      </c>
      <c r="T38" s="42"/>
      <c r="U38" s="42" t="b">
        <f>IFERROR(__xludf.DUMMYFUNCTION("""COMPUTED_VALUE"""),FALSE)</f>
        <v>0</v>
      </c>
      <c r="V38" s="42"/>
      <c r="W38" s="42"/>
      <c r="X38" s="42"/>
      <c r="Y38" s="42"/>
      <c r="Z38" s="42"/>
      <c r="AA38" s="42"/>
      <c r="AB38" s="42" t="str">
        <f>IFERROR(__xludf.DUMMYFUNCTION("""COMPUTED_VALUE"""),"allen institute")</f>
        <v>allen institute</v>
      </c>
      <c r="AC38" s="42" t="str">
        <f>IFERROR(__xludf.DUMMYFUNCTION("""COMPUTED_VALUE"""),"DHBA")</f>
        <v>DHBA</v>
      </c>
      <c r="AD38" s="42"/>
      <c r="AE38" s="42"/>
      <c r="AF38" s="9"/>
      <c r="AG38" s="9"/>
      <c r="AH38" s="42"/>
      <c r="AI38" s="42"/>
      <c r="AJ38" s="42"/>
      <c r="AK38" s="42"/>
      <c r="AL38" s="42"/>
      <c r="AM38" s="42"/>
      <c r="AN38" s="42"/>
      <c r="AO38" s="63" t="str">
        <f>IFERROR(__xludf.DUMMYFUNCTION("IF(ISBLANK(A38),,IF(ISBLANK(S38), A38&amp;"";"", TEXTJOIN(CHAR(10), TRUE, A38&amp;"";"", ARRAYFORMULA(VLOOKUP(SPLIT(S38, "";"" &amp; CHAR(10)), $A:$AO, 41, FALSE)))))"),"#REF!")</f>
        <v>#REF!</v>
      </c>
      <c r="AP38" s="89"/>
    </row>
    <row r="39">
      <c r="A39" s="151" t="str">
        <f>IFERROR(__xludf.DUMMYFUNCTION("""COMPUTED_VALUE"""),"FTS")</f>
        <v>FTS</v>
      </c>
      <c r="B39" s="42" t="str">
        <f>IFERROR(__xludf.DUMMYFUNCTION("""COMPUTED_VALUE"""),"DHBA")</f>
        <v>DHBA</v>
      </c>
      <c r="C39" s="42" t="str">
        <f>IFERROR(__xludf.DUMMYFUNCTION("""COMPUTED_VALUE"""),"transient structures of forebrain")</f>
        <v>transient structures of forebrain</v>
      </c>
      <c r="D39" s="42">
        <f>IFERROR(__xludf.DUMMYFUNCTION("""COMPUTED_VALUE"""),5.0)</f>
        <v>5</v>
      </c>
      <c r="E39" s="39" t="str">
        <f>IFERROR(__xludf.DUMMYFUNCTION("""COMPUTED_VALUE"""),"transient structures of forebrain")</f>
        <v>transient structures of forebrain</v>
      </c>
      <c r="F39" s="9" t="str">
        <f>IFERROR(__xludf.DUMMYFUNCTION("""COMPUTED_VALUE"""),"Br")</f>
        <v>Br</v>
      </c>
      <c r="G39" s="9" t="str">
        <f>IFERROR(__xludf.DUMMYFUNCTION("""COMPUTED_VALUE"""),"F")</f>
        <v>F</v>
      </c>
      <c r="H39" s="9" t="str">
        <f>IFERROR(__xludf.DUMMYFUNCTION("""COMPUTED_VALUE"""),"FGM")</f>
        <v>FGM</v>
      </c>
      <c r="I39" s="9" t="str">
        <f>IFERROR(__xludf.DUMMYFUNCTION("""COMPUTED_VALUE"""),"FTS")</f>
        <v>FTS</v>
      </c>
      <c r="J39" s="9"/>
      <c r="K39" s="9"/>
      <c r="L39" s="9"/>
      <c r="M39" s="9"/>
      <c r="N39" s="9"/>
      <c r="O39" s="9"/>
      <c r="P39" s="9"/>
      <c r="Q39" s="9"/>
      <c r="R39" s="9"/>
      <c r="S39" s="42" t="str">
        <f>IFERROR(__xludf.DUMMYFUNCTION("""COMPUTED_VALUE"""),"SG;
MZ;
CP;
SP;
IZ;
SZ;
VZ;
CalS;
DHTC;
IPTC;
OlfP;
PFG;
PPL;
ScG;
TCete;
TCexc")</f>
        <v>SG;
MZ;
CP;
SP;
IZ;
SZ;
VZ;
CalS;
DHTC;
IPTC;
OlfP;
PFG;
PPL;
ScG;
TCete;
TCexc</v>
      </c>
      <c r="T39" s="42"/>
      <c r="U39" s="42" t="b">
        <f>IFERROR(__xludf.DUMMYFUNCTION("""COMPUTED_VALUE"""),FALSE)</f>
        <v>0</v>
      </c>
      <c r="V39" s="42"/>
      <c r="W39" s="42"/>
      <c r="X39" s="42"/>
      <c r="Y39" s="42"/>
      <c r="Z39" s="42"/>
      <c r="AA39" s="42"/>
      <c r="AB39" s="42" t="str">
        <f>IFERROR(__xludf.DUMMYFUNCTION("""COMPUTED_VALUE"""),"allen institute")</f>
        <v>allen institute</v>
      </c>
      <c r="AC39" s="42" t="str">
        <f>IFERROR(__xludf.DUMMYFUNCTION("""COMPUTED_VALUE"""),"DHBA")</f>
        <v>DHBA</v>
      </c>
      <c r="AD39" s="42"/>
      <c r="AE39" s="42"/>
      <c r="AF39" s="9"/>
      <c r="AG39" s="9"/>
      <c r="AH39" s="42"/>
      <c r="AI39" s="42"/>
      <c r="AJ39" s="42"/>
      <c r="AK39" s="42"/>
      <c r="AL39" s="42"/>
      <c r="AM39" s="42"/>
      <c r="AN39" s="42"/>
      <c r="AO39" s="63" t="str">
        <f>IFERROR(__xludf.DUMMYFUNCTION("IF(ISBLANK(A39),,IF(ISBLANK(S39), A39&amp;"";"", TEXTJOIN(CHAR(10), TRUE, A39&amp;"";"", ARRAYFORMULA(VLOOKUP(SPLIT(S39, "";"" &amp; CHAR(10)), $A:$AO, 41, FALSE)))))"),"#REF!")</f>
        <v>#REF!</v>
      </c>
      <c r="AP39" s="89"/>
    </row>
    <row r="40">
      <c r="A40" s="151" t="str">
        <f>IFERROR(__xludf.DUMMYFUNCTION("""COMPUTED_VALUE"""),"SG")</f>
        <v>SG</v>
      </c>
      <c r="B40" s="42" t="str">
        <f>IFERROR(__xludf.DUMMYFUNCTION("""COMPUTED_VALUE"""),"DHBA")</f>
        <v>DHBA</v>
      </c>
      <c r="C40" s="42" t="str">
        <f>IFERROR(__xludf.DUMMYFUNCTION("""COMPUTED_VALUE"""),"subpial granular zone")</f>
        <v>subpial granular zone</v>
      </c>
      <c r="D40" s="42">
        <f>IFERROR(__xludf.DUMMYFUNCTION("""COMPUTED_VALUE"""),6.0)</f>
        <v>6</v>
      </c>
      <c r="E40" s="39" t="str">
        <f>IFERROR(__xludf.DUMMYFUNCTION("""COMPUTED_VALUE"""),"subpial granular zone")</f>
        <v>subpial granular zone</v>
      </c>
      <c r="F40" s="9" t="str">
        <f>IFERROR(__xludf.DUMMYFUNCTION("""COMPUTED_VALUE"""),"Br")</f>
        <v>Br</v>
      </c>
      <c r="G40" s="9" t="str">
        <f>IFERROR(__xludf.DUMMYFUNCTION("""COMPUTED_VALUE"""),"F")</f>
        <v>F</v>
      </c>
      <c r="H40" s="9" t="str">
        <f>IFERROR(__xludf.DUMMYFUNCTION("""COMPUTED_VALUE"""),"FGM")</f>
        <v>FGM</v>
      </c>
      <c r="I40" s="9" t="str">
        <f>IFERROR(__xludf.DUMMYFUNCTION("""COMPUTED_VALUE"""),"FTS")</f>
        <v>FTS</v>
      </c>
      <c r="J40" s="9" t="str">
        <f>IFERROR(__xludf.DUMMYFUNCTION("""COMPUTED_VALUE"""),"SG")</f>
        <v>SG</v>
      </c>
      <c r="K40" s="9"/>
      <c r="L40" s="9"/>
      <c r="M40" s="9"/>
      <c r="N40" s="9"/>
      <c r="O40" s="9"/>
      <c r="P40" s="9"/>
      <c r="Q40" s="9"/>
      <c r="R40" s="9"/>
      <c r="S40" s="42" t="str">
        <f>IFERROR(__xludf.DUMMYFUNCTION("""COMPUTED_VALUE"""),"fSG;
pSG;
tSG;
oSG;
iSG;
cSG;
peSG;
alSG")</f>
        <v>fSG;
pSG;
tSG;
oSG;
iSG;
cSG;
peSG;
alSG</v>
      </c>
      <c r="T40" s="42"/>
      <c r="U40" s="42" t="b">
        <f>IFERROR(__xludf.DUMMYFUNCTION("""COMPUTED_VALUE"""),FALSE)</f>
        <v>0</v>
      </c>
      <c r="V40" s="42"/>
      <c r="W40" s="42"/>
      <c r="X40" s="42"/>
      <c r="Y40" s="42"/>
      <c r="Z40" s="42"/>
      <c r="AA40" s="42"/>
      <c r="AB40" s="42" t="str">
        <f>IFERROR(__xludf.DUMMYFUNCTION("""COMPUTED_VALUE"""),"allen institute")</f>
        <v>allen institute</v>
      </c>
      <c r="AC40" s="42" t="str">
        <f>IFERROR(__xludf.DUMMYFUNCTION("""COMPUTED_VALUE"""),"DHBA")</f>
        <v>DHBA</v>
      </c>
      <c r="AD40" s="42"/>
      <c r="AE40" s="42"/>
      <c r="AF40" s="9"/>
      <c r="AG40" s="9"/>
      <c r="AH40" s="42"/>
      <c r="AI40" s="42"/>
      <c r="AJ40" s="42"/>
      <c r="AK40" s="42"/>
      <c r="AL40" s="42"/>
      <c r="AM40" s="42"/>
      <c r="AN40" s="42"/>
      <c r="AO40" s="63" t="str">
        <f>IFERROR(__xludf.DUMMYFUNCTION("IF(ISBLANK(A40),,IF(ISBLANK(S40), A40&amp;"";"", TEXTJOIN(CHAR(10), TRUE, A40&amp;"";"", ARRAYFORMULA(VLOOKUP(SPLIT(S40, "";"" &amp; CHAR(10)), $A:$AO, 41, FALSE)))))"),"#REF!")</f>
        <v>#REF!</v>
      </c>
      <c r="AP40" s="89"/>
    </row>
    <row r="41">
      <c r="A41" s="151" t="str">
        <f>IFERROR(__xludf.DUMMYFUNCTION("""COMPUTED_VALUE"""),"fSG")</f>
        <v>fSG</v>
      </c>
      <c r="B41" s="42" t="str">
        <f>IFERROR(__xludf.DUMMYFUNCTION("""COMPUTED_VALUE"""),"DHBA")</f>
        <v>DHBA</v>
      </c>
      <c r="C41" s="42" t="str">
        <f>IFERROR(__xludf.DUMMYFUNCTION("""COMPUTED_VALUE"""),"SG in frontal neocortex")</f>
        <v>SG in frontal neocortex</v>
      </c>
      <c r="D41" s="42">
        <f>IFERROR(__xludf.DUMMYFUNCTION("""COMPUTED_VALUE"""),7.0)</f>
        <v>7</v>
      </c>
      <c r="E41" s="39" t="str">
        <f>IFERROR(__xludf.DUMMYFUNCTION("""COMPUTED_VALUE"""),"SG in frontal neocortex")</f>
        <v>SG in frontal neocortex</v>
      </c>
      <c r="F41" s="9" t="str">
        <f>IFERROR(__xludf.DUMMYFUNCTION("""COMPUTED_VALUE"""),"Br")</f>
        <v>Br</v>
      </c>
      <c r="G41" s="9" t="str">
        <f>IFERROR(__xludf.DUMMYFUNCTION("""COMPUTED_VALUE"""),"F")</f>
        <v>F</v>
      </c>
      <c r="H41" s="9" t="str">
        <f>IFERROR(__xludf.DUMMYFUNCTION("""COMPUTED_VALUE"""),"FGM")</f>
        <v>FGM</v>
      </c>
      <c r="I41" s="9" t="str">
        <f>IFERROR(__xludf.DUMMYFUNCTION("""COMPUTED_VALUE"""),"FTS")</f>
        <v>FTS</v>
      </c>
      <c r="J41" s="9" t="str">
        <f>IFERROR(__xludf.DUMMYFUNCTION("""COMPUTED_VALUE"""),"SG")</f>
        <v>SG</v>
      </c>
      <c r="K41" s="9" t="str">
        <f>IFERROR(__xludf.DUMMYFUNCTION("""COMPUTED_VALUE"""),"fSG")</f>
        <v>fSG</v>
      </c>
      <c r="L41" s="9"/>
      <c r="M41" s="9"/>
      <c r="N41" s="9"/>
      <c r="O41" s="9"/>
      <c r="P41" s="9"/>
      <c r="Q41" s="9"/>
      <c r="R41" s="9"/>
      <c r="S41" s="42" t="str">
        <f>IFERROR(__xludf.DUMMYFUNCTION("""COMPUTED_VALUE"""),"fSGfp;
fSGdm;
fSGdl;
fSGvl;
fSGor;
fSGm1")</f>
        <v>fSGfp;
fSGdm;
fSGdl;
fSGvl;
fSGor;
fSGm1</v>
      </c>
      <c r="T41" s="42"/>
      <c r="U41" s="42" t="b">
        <f>IFERROR(__xludf.DUMMYFUNCTION("""COMPUTED_VALUE"""),FALSE)</f>
        <v>0</v>
      </c>
      <c r="V41" s="42"/>
      <c r="W41" s="42"/>
      <c r="X41" s="42"/>
      <c r="Y41" s="42"/>
      <c r="Z41" s="42"/>
      <c r="AA41" s="42"/>
      <c r="AB41" s="42" t="str">
        <f>IFERROR(__xludf.DUMMYFUNCTION("""COMPUTED_VALUE"""),"allen institute")</f>
        <v>allen institute</v>
      </c>
      <c r="AC41" s="42" t="str">
        <f>IFERROR(__xludf.DUMMYFUNCTION("""COMPUTED_VALUE"""),"DHBA")</f>
        <v>DHBA</v>
      </c>
      <c r="AD41" s="42"/>
      <c r="AE41" s="42"/>
      <c r="AF41" s="9"/>
      <c r="AG41" s="9"/>
      <c r="AH41" s="42"/>
      <c r="AI41" s="42"/>
      <c r="AJ41" s="42"/>
      <c r="AK41" s="42"/>
      <c r="AL41" s="42"/>
      <c r="AM41" s="42"/>
      <c r="AN41" s="42"/>
      <c r="AO41" s="63" t="str">
        <f>IFERROR(__xludf.DUMMYFUNCTION("IF(ISBLANK(A41),,IF(ISBLANK(S41), A41&amp;"";"", TEXTJOIN(CHAR(10), TRUE, A41&amp;"";"", ARRAYFORMULA(VLOOKUP(SPLIT(S41, "";"" &amp; CHAR(10)), $A:$AO, 41, FALSE)))))"),"fSG;
fSGfp;
fSGdm;
fSGdl;
fSGvl;
fSGor;
fSGm1;")</f>
        <v>fSG;
fSGfp;
fSGdm;
fSGdl;
fSGvl;
fSGor;
fSGm1;</v>
      </c>
      <c r="AP41" s="89"/>
    </row>
    <row r="42">
      <c r="A42" s="151" t="str">
        <f>IFERROR(__xludf.DUMMYFUNCTION("""COMPUTED_VALUE"""),"fSGfp")</f>
        <v>fSGfp</v>
      </c>
      <c r="B42" s="42" t="str">
        <f>IFERROR(__xludf.DUMMYFUNCTION("""COMPUTED_VALUE"""),"DHBA")</f>
        <v>DHBA</v>
      </c>
      <c r="C42" s="42" t="str">
        <f>IFERROR(__xludf.DUMMYFUNCTION("""COMPUTED_VALUE"""),"SG in frontal polar cortex")</f>
        <v>SG in frontal polar cortex</v>
      </c>
      <c r="D42" s="42">
        <f>IFERROR(__xludf.DUMMYFUNCTION("""COMPUTED_VALUE"""),8.0)</f>
        <v>8</v>
      </c>
      <c r="E42" s="39" t="str">
        <f>IFERROR(__xludf.DUMMYFUNCTION("""COMPUTED_VALUE"""),"SG in frontal polar cortex")</f>
        <v>SG in frontal polar cortex</v>
      </c>
      <c r="F42" s="9" t="str">
        <f>IFERROR(__xludf.DUMMYFUNCTION("""COMPUTED_VALUE"""),"Br")</f>
        <v>Br</v>
      </c>
      <c r="G42" s="9" t="str">
        <f>IFERROR(__xludf.DUMMYFUNCTION("""COMPUTED_VALUE"""),"F")</f>
        <v>F</v>
      </c>
      <c r="H42" s="9" t="str">
        <f>IFERROR(__xludf.DUMMYFUNCTION("""COMPUTED_VALUE"""),"FGM")</f>
        <v>FGM</v>
      </c>
      <c r="I42" s="9" t="str">
        <f>IFERROR(__xludf.DUMMYFUNCTION("""COMPUTED_VALUE"""),"FTS")</f>
        <v>FTS</v>
      </c>
      <c r="J42" s="9" t="str">
        <f>IFERROR(__xludf.DUMMYFUNCTION("""COMPUTED_VALUE"""),"SG")</f>
        <v>SG</v>
      </c>
      <c r="K42" s="9" t="str">
        <f>IFERROR(__xludf.DUMMYFUNCTION("""COMPUTED_VALUE"""),"fSG")</f>
        <v>fSG</v>
      </c>
      <c r="L42" s="9" t="str">
        <f>IFERROR(__xludf.DUMMYFUNCTION("""COMPUTED_VALUE"""),"2,")</f>
        <v>2,</v>
      </c>
      <c r="M42" s="9"/>
      <c r="N42" s="9"/>
      <c r="O42" s="9"/>
      <c r="P42" s="9"/>
      <c r="Q42" s="9"/>
      <c r="R42" s="9"/>
      <c r="S42" s="42"/>
      <c r="T42" s="42"/>
      <c r="U42" s="42"/>
      <c r="V42" s="42"/>
      <c r="W42" s="42"/>
      <c r="X42" s="42"/>
      <c r="Y42" s="42"/>
      <c r="Z42" s="42"/>
      <c r="AA42" s="42"/>
      <c r="AB42" s="42" t="str">
        <f>IFERROR(__xludf.DUMMYFUNCTION("""COMPUTED_VALUE"""),"allen institute")</f>
        <v>allen institute</v>
      </c>
      <c r="AC42" s="42" t="str">
        <f>IFERROR(__xludf.DUMMYFUNCTION("""COMPUTED_VALUE"""),"DHBA")</f>
        <v>DHBA</v>
      </c>
      <c r="AD42" s="42"/>
      <c r="AE42" s="42"/>
      <c r="AF42" s="9"/>
      <c r="AG42" s="9"/>
      <c r="AH42" s="42"/>
      <c r="AI42" s="42"/>
      <c r="AJ42" s="42"/>
      <c r="AK42" s="42"/>
      <c r="AL42" s="42"/>
      <c r="AM42" s="42"/>
      <c r="AN42" s="42"/>
      <c r="AO42" s="63" t="str">
        <f>IFERROR(__xludf.DUMMYFUNCTION("IF(ISBLANK(A42),,IF(ISBLANK(S42), A42&amp;"";"", TEXTJOIN(CHAR(10), TRUE, A42&amp;"";"", ARRAYFORMULA(VLOOKUP(SPLIT(S42, "";"" &amp; CHAR(10)), $A:$AO, 41, FALSE)))))"),"fSGfp;")</f>
        <v>fSGfp;</v>
      </c>
      <c r="AP42" s="89"/>
    </row>
    <row r="43">
      <c r="A43" s="157" t="str">
        <f>IFERROR(__xludf.DUMMYFUNCTION("""COMPUTED_VALUE"""),"fSGdm")</f>
        <v>fSGdm</v>
      </c>
      <c r="B43" s="42" t="str">
        <f>IFERROR(__xludf.DUMMYFUNCTION("""COMPUTED_VALUE"""),"DHBA")</f>
        <v>DHBA</v>
      </c>
      <c r="C43" s="42" t="str">
        <f>IFERROR(__xludf.DUMMYFUNCTION("""COMPUTED_VALUE"""),"SG in dorsomedial frontal cortex")</f>
        <v>SG in dorsomedial frontal cortex</v>
      </c>
      <c r="D43" s="42">
        <f>IFERROR(__xludf.DUMMYFUNCTION("""COMPUTED_VALUE"""),9.0)</f>
        <v>9</v>
      </c>
      <c r="E43" s="39" t="str">
        <f>IFERROR(__xludf.DUMMYFUNCTION("""COMPUTED_VALUE"""),"SG in dorsomedial frontal cortex")</f>
        <v>SG in dorsomedial frontal cortex</v>
      </c>
      <c r="F43" s="9" t="str">
        <f>IFERROR(__xludf.DUMMYFUNCTION("""COMPUTED_VALUE"""),"Br")</f>
        <v>Br</v>
      </c>
      <c r="G43" s="9" t="str">
        <f>IFERROR(__xludf.DUMMYFUNCTION("""COMPUTED_VALUE"""),"F")</f>
        <v>F</v>
      </c>
      <c r="H43" s="9" t="str">
        <f>IFERROR(__xludf.DUMMYFUNCTION("""COMPUTED_VALUE"""),"FGM")</f>
        <v>FGM</v>
      </c>
      <c r="I43" s="9" t="str">
        <f>IFERROR(__xludf.DUMMYFUNCTION("""COMPUTED_VALUE"""),"FTS")</f>
        <v>FTS</v>
      </c>
      <c r="J43" s="9" t="str">
        <f>IFERROR(__xludf.DUMMYFUNCTION("""COMPUTED_VALUE"""),"SG")</f>
        <v>SG</v>
      </c>
      <c r="K43" s="9" t="str">
        <f>IFERROR(__xludf.DUMMYFUNCTION("""COMPUTED_VALUE"""),"fSG")</f>
        <v>fSG</v>
      </c>
      <c r="L43" s="158" t="str">
        <f>IFERROR(__xludf.DUMMYFUNCTION("""COMPUTED_VALUE"""),"fSGdm")</f>
        <v>fSGdm</v>
      </c>
      <c r="M43" s="9"/>
      <c r="N43" s="9"/>
      <c r="O43" s="9"/>
      <c r="P43" s="9"/>
      <c r="Q43" s="9"/>
      <c r="R43" s="9"/>
      <c r="S43" s="42"/>
      <c r="T43" s="42"/>
      <c r="U43" s="42"/>
      <c r="V43" s="42"/>
      <c r="W43" s="42"/>
      <c r="X43" s="42"/>
      <c r="Y43" s="42"/>
      <c r="Z43" s="42"/>
      <c r="AA43" s="42"/>
      <c r="AB43" s="42" t="str">
        <f>IFERROR(__xludf.DUMMYFUNCTION("""COMPUTED_VALUE"""),"allen institute")</f>
        <v>allen institute</v>
      </c>
      <c r="AC43" s="42" t="str">
        <f>IFERROR(__xludf.DUMMYFUNCTION("""COMPUTED_VALUE"""),"DHBA")</f>
        <v>DHBA</v>
      </c>
      <c r="AD43" s="42"/>
      <c r="AE43" s="42"/>
      <c r="AF43" s="9"/>
      <c r="AG43" s="9"/>
      <c r="AH43" s="42"/>
      <c r="AI43" s="42"/>
      <c r="AJ43" s="42"/>
      <c r="AK43" s="42"/>
      <c r="AL43" s="42"/>
      <c r="AM43" s="42"/>
      <c r="AN43" s="42"/>
      <c r="AO43" s="63" t="str">
        <f>IFERROR(__xludf.DUMMYFUNCTION("IF(ISBLANK(A43),,IF(ISBLANK(S43), A43&amp;"";"", TEXTJOIN(CHAR(10), TRUE, A43&amp;"";"", ARRAYFORMULA(VLOOKUP(SPLIT(S43, "";"" &amp; CHAR(10)), $A:$AO, 41, FALSE)))))"),"fSGdm;")</f>
        <v>fSGdm;</v>
      </c>
      <c r="AP43" s="89"/>
    </row>
    <row r="44">
      <c r="A44" s="151" t="str">
        <f>IFERROR(__xludf.DUMMYFUNCTION("""COMPUTED_VALUE"""),"fSGdl")</f>
        <v>fSGdl</v>
      </c>
      <c r="B44" s="42" t="str">
        <f>IFERROR(__xludf.DUMMYFUNCTION("""COMPUTED_VALUE"""),"DHBA")</f>
        <v>DHBA</v>
      </c>
      <c r="C44" s="42" t="str">
        <f>IFERROR(__xludf.DUMMYFUNCTION("""COMPUTED_VALUE"""),"SG in dorsolateral prefrontal cortex")</f>
        <v>SG in dorsolateral prefrontal cortex</v>
      </c>
      <c r="D44" s="42">
        <f>IFERROR(__xludf.DUMMYFUNCTION("""COMPUTED_VALUE"""),10.0)</f>
        <v>10</v>
      </c>
      <c r="E44" s="39" t="str">
        <f>IFERROR(__xludf.DUMMYFUNCTION("""COMPUTED_VALUE"""),"SG in dorsolateral prefrontal cortex")</f>
        <v>SG in dorsolateral prefrontal cortex</v>
      </c>
      <c r="F44" s="9" t="str">
        <f>IFERROR(__xludf.DUMMYFUNCTION("""COMPUTED_VALUE"""),"Br")</f>
        <v>Br</v>
      </c>
      <c r="G44" s="9" t="str">
        <f>IFERROR(__xludf.DUMMYFUNCTION("""COMPUTED_VALUE"""),"F")</f>
        <v>F</v>
      </c>
      <c r="H44" s="9" t="str">
        <f>IFERROR(__xludf.DUMMYFUNCTION("""COMPUTED_VALUE"""),"FGM")</f>
        <v>FGM</v>
      </c>
      <c r="I44" s="9" t="str">
        <f>IFERROR(__xludf.DUMMYFUNCTION("""COMPUTED_VALUE"""),"FTS")</f>
        <v>FTS</v>
      </c>
      <c r="J44" s="9" t="str">
        <f>IFERROR(__xludf.DUMMYFUNCTION("""COMPUTED_VALUE"""),"SG")</f>
        <v>SG</v>
      </c>
      <c r="K44" s="9" t="str">
        <f>IFERROR(__xludf.DUMMYFUNCTION("""COMPUTED_VALUE"""),"fSG")</f>
        <v>fSG</v>
      </c>
      <c r="L44" s="9" t="str">
        <f>IFERROR(__xludf.DUMMYFUNCTION("""COMPUTED_VALUE"""),"fSGdl")</f>
        <v>fSGdl</v>
      </c>
      <c r="M44" s="9"/>
      <c r="N44" s="9"/>
      <c r="O44" s="9"/>
      <c r="P44" s="9"/>
      <c r="Q44" s="9"/>
      <c r="R44" s="9"/>
      <c r="S44" s="42"/>
      <c r="T44" s="42"/>
      <c r="U44" s="159"/>
      <c r="V44" s="42"/>
      <c r="W44" s="42"/>
      <c r="X44" s="42"/>
      <c r="Y44" s="42"/>
      <c r="Z44" s="42"/>
      <c r="AA44" s="42"/>
      <c r="AB44" s="42" t="str">
        <f>IFERROR(__xludf.DUMMYFUNCTION("""COMPUTED_VALUE"""),"allen institute")</f>
        <v>allen institute</v>
      </c>
      <c r="AC44" s="42" t="str">
        <f>IFERROR(__xludf.DUMMYFUNCTION("""COMPUTED_VALUE"""),"DHBA")</f>
        <v>DHBA</v>
      </c>
      <c r="AD44" s="42"/>
      <c r="AE44" s="42"/>
      <c r="AF44" s="9"/>
      <c r="AG44" s="9"/>
      <c r="AH44" s="42"/>
      <c r="AI44" s="42"/>
      <c r="AJ44" s="42"/>
      <c r="AK44" s="42"/>
      <c r="AL44" s="42"/>
      <c r="AM44" s="42"/>
      <c r="AN44" s="42"/>
      <c r="AO44" s="63" t="str">
        <f>IFERROR(__xludf.DUMMYFUNCTION("IF(ISBLANK(A44),,IF(ISBLANK(S44), A44&amp;"";"", TEXTJOIN(CHAR(10), TRUE, A44&amp;"";"", ARRAYFORMULA(VLOOKUP(SPLIT(S44, "";"" &amp; CHAR(10)), $A:$AO, 41, FALSE)))))"),"fSGdl;")</f>
        <v>fSGdl;</v>
      </c>
      <c r="AP44" s="89"/>
    </row>
    <row r="45">
      <c r="A45" s="151" t="str">
        <f>IFERROR(__xludf.DUMMYFUNCTION("""COMPUTED_VALUE"""),"fSGvl")</f>
        <v>fSGvl</v>
      </c>
      <c r="B45" s="42" t="str">
        <f>IFERROR(__xludf.DUMMYFUNCTION("""COMPUTED_VALUE"""),"DHBA")</f>
        <v>DHBA</v>
      </c>
      <c r="C45" s="42" t="str">
        <f>IFERROR(__xludf.DUMMYFUNCTION("""COMPUTED_VALUE"""),"SG in ventrolateral prefrontal cortex")</f>
        <v>SG in ventrolateral prefrontal cortex</v>
      </c>
      <c r="D45" s="42">
        <f>IFERROR(__xludf.DUMMYFUNCTION("""COMPUTED_VALUE"""),11.0)</f>
        <v>11</v>
      </c>
      <c r="E45" s="39" t="str">
        <f>IFERROR(__xludf.DUMMYFUNCTION("""COMPUTED_VALUE"""),"SG in ventrolateral prefrontal cortex")</f>
        <v>SG in ventrolateral prefrontal cortex</v>
      </c>
      <c r="F45" s="9" t="str">
        <f>IFERROR(__xludf.DUMMYFUNCTION("""COMPUTED_VALUE"""),"Br")</f>
        <v>Br</v>
      </c>
      <c r="G45" s="9" t="str">
        <f>IFERROR(__xludf.DUMMYFUNCTION("""COMPUTED_VALUE"""),"F")</f>
        <v>F</v>
      </c>
      <c r="H45" s="9" t="str">
        <f>IFERROR(__xludf.DUMMYFUNCTION("""COMPUTED_VALUE"""),"FGM")</f>
        <v>FGM</v>
      </c>
      <c r="I45" s="9" t="str">
        <f>IFERROR(__xludf.DUMMYFUNCTION("""COMPUTED_VALUE"""),"FTS")</f>
        <v>FTS</v>
      </c>
      <c r="J45" s="9" t="str">
        <f>IFERROR(__xludf.DUMMYFUNCTION("""COMPUTED_VALUE"""),"SG")</f>
        <v>SG</v>
      </c>
      <c r="K45" s="9" t="str">
        <f>IFERROR(__xludf.DUMMYFUNCTION("""COMPUTED_VALUE"""),"fSG")</f>
        <v>fSG</v>
      </c>
      <c r="L45" s="9" t="str">
        <f>IFERROR(__xludf.DUMMYFUNCTION("""COMPUTED_VALUE"""),"fSGvl")</f>
        <v>fSGvl</v>
      </c>
      <c r="M45" s="9"/>
      <c r="N45" s="9"/>
      <c r="O45" s="9"/>
      <c r="P45" s="9"/>
      <c r="Q45" s="9"/>
      <c r="R45" s="9"/>
      <c r="S45" s="42"/>
      <c r="T45" s="42"/>
      <c r="U45" s="159"/>
      <c r="V45" s="42"/>
      <c r="W45" s="42"/>
      <c r="X45" s="42"/>
      <c r="Y45" s="42"/>
      <c r="Z45" s="42"/>
      <c r="AA45" s="42"/>
      <c r="AB45" s="42" t="str">
        <f>IFERROR(__xludf.DUMMYFUNCTION("""COMPUTED_VALUE"""),"allen institute")</f>
        <v>allen institute</v>
      </c>
      <c r="AC45" s="42" t="str">
        <f>IFERROR(__xludf.DUMMYFUNCTION("""COMPUTED_VALUE"""),"DHBA")</f>
        <v>DHBA</v>
      </c>
      <c r="AD45" s="42"/>
      <c r="AE45" s="42"/>
      <c r="AF45" s="9"/>
      <c r="AG45" s="9"/>
      <c r="AH45" s="42"/>
      <c r="AI45" s="42"/>
      <c r="AJ45" s="42"/>
      <c r="AK45" s="42"/>
      <c r="AL45" s="42"/>
      <c r="AM45" s="42"/>
      <c r="AN45" s="42"/>
      <c r="AO45" s="63" t="str">
        <f>IFERROR(__xludf.DUMMYFUNCTION("IF(ISBLANK(A45),,IF(ISBLANK(S45), A45&amp;"";"", TEXTJOIN(CHAR(10), TRUE, A45&amp;"";"", ARRAYFORMULA(VLOOKUP(SPLIT(S45, "";"" &amp; CHAR(10)), $A:$AO, 41, FALSE)))))"),"fSGvl;")</f>
        <v>fSGvl;</v>
      </c>
      <c r="AP45" s="89"/>
    </row>
    <row r="46">
      <c r="A46" s="151" t="str">
        <f>IFERROR(__xludf.DUMMYFUNCTION("""COMPUTED_VALUE"""),"fSGor")</f>
        <v>fSGor</v>
      </c>
      <c r="B46" s="42" t="str">
        <f>IFERROR(__xludf.DUMMYFUNCTION("""COMPUTED_VALUE"""),"DHBA")</f>
        <v>DHBA</v>
      </c>
      <c r="C46" s="42" t="str">
        <f>IFERROR(__xludf.DUMMYFUNCTION("""COMPUTED_VALUE"""),"SG in orbital frontal cortex")</f>
        <v>SG in orbital frontal cortex</v>
      </c>
      <c r="D46" s="42">
        <f>IFERROR(__xludf.DUMMYFUNCTION("""COMPUTED_VALUE"""),12.0)</f>
        <v>12</v>
      </c>
      <c r="E46" s="39" t="str">
        <f>IFERROR(__xludf.DUMMYFUNCTION("""COMPUTED_VALUE"""),"SG in orbital frontal cortex")</f>
        <v>SG in orbital frontal cortex</v>
      </c>
      <c r="F46" s="9" t="str">
        <f>IFERROR(__xludf.DUMMYFUNCTION("""COMPUTED_VALUE"""),"Br")</f>
        <v>Br</v>
      </c>
      <c r="G46" s="9" t="str">
        <f>IFERROR(__xludf.DUMMYFUNCTION("""COMPUTED_VALUE"""),"F")</f>
        <v>F</v>
      </c>
      <c r="H46" s="9" t="str">
        <f>IFERROR(__xludf.DUMMYFUNCTION("""COMPUTED_VALUE"""),"FGM")</f>
        <v>FGM</v>
      </c>
      <c r="I46" s="9" t="str">
        <f>IFERROR(__xludf.DUMMYFUNCTION("""COMPUTED_VALUE"""),"FTS")</f>
        <v>FTS</v>
      </c>
      <c r="J46" s="9" t="str">
        <f>IFERROR(__xludf.DUMMYFUNCTION("""COMPUTED_VALUE"""),"SG")</f>
        <v>SG</v>
      </c>
      <c r="K46" s="9" t="str">
        <f>IFERROR(__xludf.DUMMYFUNCTION("""COMPUTED_VALUE"""),"fSG")</f>
        <v>fSG</v>
      </c>
      <c r="L46" s="9" t="str">
        <f>IFERROR(__xludf.DUMMYFUNCTION("""COMPUTED_VALUE"""),"fSGor")</f>
        <v>fSGor</v>
      </c>
      <c r="M46" s="9"/>
      <c r="N46" s="9"/>
      <c r="O46" s="9"/>
      <c r="P46" s="9"/>
      <c r="Q46" s="9"/>
      <c r="R46" s="9"/>
      <c r="S46" s="42"/>
      <c r="T46" s="42"/>
      <c r="U46" s="159"/>
      <c r="V46" s="42"/>
      <c r="W46" s="42"/>
      <c r="X46" s="42"/>
      <c r="Y46" s="42"/>
      <c r="Z46" s="42"/>
      <c r="AA46" s="42"/>
      <c r="AB46" s="42" t="str">
        <f>IFERROR(__xludf.DUMMYFUNCTION("""COMPUTED_VALUE"""),"allen institute")</f>
        <v>allen institute</v>
      </c>
      <c r="AC46" s="42" t="str">
        <f>IFERROR(__xludf.DUMMYFUNCTION("""COMPUTED_VALUE"""),"DHBA")</f>
        <v>DHBA</v>
      </c>
      <c r="AD46" s="42"/>
      <c r="AE46" s="42"/>
      <c r="AF46" s="9"/>
      <c r="AG46" s="9"/>
      <c r="AH46" s="42"/>
      <c r="AI46" s="42"/>
      <c r="AJ46" s="42"/>
      <c r="AK46" s="42"/>
      <c r="AL46" s="42"/>
      <c r="AM46" s="42"/>
      <c r="AN46" s="42"/>
      <c r="AO46" s="63" t="str">
        <f>IFERROR(__xludf.DUMMYFUNCTION("IF(ISBLANK(A46),,IF(ISBLANK(S46), A46&amp;"";"", TEXTJOIN(CHAR(10), TRUE, A46&amp;"";"", ARRAYFORMULA(VLOOKUP(SPLIT(S46, "";"" &amp; CHAR(10)), $A:$AO, 41, FALSE)))))"),"fSGor;")</f>
        <v>fSGor;</v>
      </c>
      <c r="AP46" s="89"/>
    </row>
    <row r="47">
      <c r="A47" s="151" t="str">
        <f>IFERROR(__xludf.DUMMYFUNCTION("""COMPUTED_VALUE"""),"fSGm1")</f>
        <v>fSGm1</v>
      </c>
      <c r="B47" s="42" t="str">
        <f>IFERROR(__xludf.DUMMYFUNCTION("""COMPUTED_VALUE"""),"DHBA")</f>
        <v>DHBA</v>
      </c>
      <c r="C47" s="42" t="str">
        <f>IFERROR(__xludf.DUMMYFUNCTION("""COMPUTED_VALUE"""),"SG in posterior frontal cortex (motor cortex)")</f>
        <v>SG in posterior frontal cortex (motor cortex)</v>
      </c>
      <c r="D47" s="42">
        <f>IFERROR(__xludf.DUMMYFUNCTION("""COMPUTED_VALUE"""),13.0)</f>
        <v>13</v>
      </c>
      <c r="E47" s="39" t="str">
        <f>IFERROR(__xludf.DUMMYFUNCTION("""COMPUTED_VALUE"""),"SG in posterior frontal cortex (motor cortex)")</f>
        <v>SG in posterior frontal cortex (motor cortex)</v>
      </c>
      <c r="F47" s="9" t="str">
        <f>IFERROR(__xludf.DUMMYFUNCTION("""COMPUTED_VALUE"""),"Br")</f>
        <v>Br</v>
      </c>
      <c r="G47" s="9" t="str">
        <f>IFERROR(__xludf.DUMMYFUNCTION("""COMPUTED_VALUE"""),"F")</f>
        <v>F</v>
      </c>
      <c r="H47" s="9" t="str">
        <f>IFERROR(__xludf.DUMMYFUNCTION("""COMPUTED_VALUE"""),"FGM")</f>
        <v>FGM</v>
      </c>
      <c r="I47" s="9" t="str">
        <f>IFERROR(__xludf.DUMMYFUNCTION("""COMPUTED_VALUE"""),"FTS")</f>
        <v>FTS</v>
      </c>
      <c r="J47" s="9" t="str">
        <f>IFERROR(__xludf.DUMMYFUNCTION("""COMPUTED_VALUE"""),"SG")</f>
        <v>SG</v>
      </c>
      <c r="K47" s="9" t="str">
        <f>IFERROR(__xludf.DUMMYFUNCTION("""COMPUTED_VALUE"""),"fSG")</f>
        <v>fSG</v>
      </c>
      <c r="L47" s="9" t="str">
        <f>IFERROR(__xludf.DUMMYFUNCTION("""COMPUTED_VALUE"""),"fSGm1")</f>
        <v>fSGm1</v>
      </c>
      <c r="M47" s="9"/>
      <c r="N47" s="9"/>
      <c r="O47" s="9"/>
      <c r="P47" s="9"/>
      <c r="Q47" s="9"/>
      <c r="R47" s="9"/>
      <c r="S47" s="42"/>
      <c r="T47" s="42"/>
      <c r="U47" s="159"/>
      <c r="V47" s="42"/>
      <c r="W47" s="42"/>
      <c r="X47" s="42"/>
      <c r="Y47" s="42"/>
      <c r="Z47" s="42"/>
      <c r="AA47" s="42"/>
      <c r="AB47" s="42" t="str">
        <f>IFERROR(__xludf.DUMMYFUNCTION("""COMPUTED_VALUE"""),"allen institute")</f>
        <v>allen institute</v>
      </c>
      <c r="AC47" s="42" t="str">
        <f>IFERROR(__xludf.DUMMYFUNCTION("""COMPUTED_VALUE"""),"DHBA")</f>
        <v>DHBA</v>
      </c>
      <c r="AD47" s="42"/>
      <c r="AE47" s="42"/>
      <c r="AF47" s="9"/>
      <c r="AG47" s="9"/>
      <c r="AH47" s="42"/>
      <c r="AI47" s="42"/>
      <c r="AJ47" s="42"/>
      <c r="AK47" s="42"/>
      <c r="AL47" s="42"/>
      <c r="AM47" s="42"/>
      <c r="AN47" s="42"/>
      <c r="AO47" s="63" t="str">
        <f>IFERROR(__xludf.DUMMYFUNCTION("IF(ISBLANK(A47),,IF(ISBLANK(S47), A47&amp;"";"", TEXTJOIN(CHAR(10), TRUE, A47&amp;"";"", ARRAYFORMULA(VLOOKUP(SPLIT(S47, "";"" &amp; CHAR(10)), $A:$AO, 41, FALSE)))))"),"fSGm1;")</f>
        <v>fSGm1;</v>
      </c>
      <c r="AP47" s="89"/>
    </row>
    <row r="48">
      <c r="A48" s="151" t="str">
        <f>IFERROR(__xludf.DUMMYFUNCTION("""COMPUTED_VALUE"""),"pSG")</f>
        <v>pSG</v>
      </c>
      <c r="B48" s="42" t="str">
        <f>IFERROR(__xludf.DUMMYFUNCTION("""COMPUTED_VALUE"""),"DHBA")</f>
        <v>DHBA</v>
      </c>
      <c r="C48" s="42" t="str">
        <f>IFERROR(__xludf.DUMMYFUNCTION("""COMPUTED_VALUE"""),"SG in parietal neocortex")</f>
        <v>SG in parietal neocortex</v>
      </c>
      <c r="D48" s="42">
        <f>IFERROR(__xludf.DUMMYFUNCTION("""COMPUTED_VALUE"""),14.0)</f>
        <v>14</v>
      </c>
      <c r="E48" s="39" t="str">
        <f>IFERROR(__xludf.DUMMYFUNCTION("""COMPUTED_VALUE"""),"SG in parietal neocortex")</f>
        <v>SG in parietal neocortex</v>
      </c>
      <c r="F48" s="9" t="str">
        <f>IFERROR(__xludf.DUMMYFUNCTION("""COMPUTED_VALUE"""),"Br")</f>
        <v>Br</v>
      </c>
      <c r="G48" s="9" t="str">
        <f>IFERROR(__xludf.DUMMYFUNCTION("""COMPUTED_VALUE"""),"F")</f>
        <v>F</v>
      </c>
      <c r="H48" s="9" t="str">
        <f>IFERROR(__xludf.DUMMYFUNCTION("""COMPUTED_VALUE"""),"FGM")</f>
        <v>FGM</v>
      </c>
      <c r="I48" s="9" t="str">
        <f>IFERROR(__xludf.DUMMYFUNCTION("""COMPUTED_VALUE"""),"FTS")</f>
        <v>FTS</v>
      </c>
      <c r="J48" s="9" t="str">
        <f>IFERROR(__xludf.DUMMYFUNCTION("""COMPUTED_VALUE"""),"SG")</f>
        <v>SG</v>
      </c>
      <c r="K48" s="9" t="str">
        <f>IFERROR(__xludf.DUMMYFUNCTION("""COMPUTED_VALUE"""),"pSG")</f>
        <v>pSG</v>
      </c>
      <c r="L48" s="9"/>
      <c r="M48" s="9"/>
      <c r="N48" s="9"/>
      <c r="O48" s="9"/>
      <c r="P48" s="9"/>
      <c r="Q48" s="9"/>
      <c r="R48" s="9"/>
      <c r="S48" s="42" t="str">
        <f>IFERROR(__xludf.DUMMYFUNCTION("""COMPUTED_VALUE"""),"pSGs1;
pSGdm;
pSGpd;
pSGpv")</f>
        <v>pSGs1;
pSGdm;
pSGpd;
pSGpv</v>
      </c>
      <c r="T48" s="42"/>
      <c r="U48" s="159" t="b">
        <f>IFERROR(__xludf.DUMMYFUNCTION("""COMPUTED_VALUE"""),FALSE)</f>
        <v>0</v>
      </c>
      <c r="V48" s="42"/>
      <c r="W48" s="42"/>
      <c r="X48" s="42"/>
      <c r="Y48" s="42"/>
      <c r="Z48" s="42"/>
      <c r="AA48" s="42"/>
      <c r="AB48" s="42" t="str">
        <f>IFERROR(__xludf.DUMMYFUNCTION("""COMPUTED_VALUE"""),"allen institute")</f>
        <v>allen institute</v>
      </c>
      <c r="AC48" s="42" t="str">
        <f>IFERROR(__xludf.DUMMYFUNCTION("""COMPUTED_VALUE"""),"DHBA")</f>
        <v>DHBA</v>
      </c>
      <c r="AD48" s="42"/>
      <c r="AE48" s="42"/>
      <c r="AF48" s="9"/>
      <c r="AG48" s="9"/>
      <c r="AH48" s="42"/>
      <c r="AI48" s="42"/>
      <c r="AJ48" s="42"/>
      <c r="AK48" s="42"/>
      <c r="AL48" s="42"/>
      <c r="AM48" s="42"/>
      <c r="AN48" s="42"/>
      <c r="AO48" s="63" t="str">
        <f>IFERROR(__xludf.DUMMYFUNCTION("IF(ISBLANK(A48),,IF(ISBLANK(S48), A48&amp;"";"", TEXTJOIN(CHAR(10), TRUE, A48&amp;"";"", ARRAYFORMULA(VLOOKUP(SPLIT(S48, "";"" &amp; CHAR(10)), $A:$AO, 41, FALSE)))))"),"pSG;
pSGs1;
pSGdm;
pSGpd;
pSGpv;")</f>
        <v>pSG;
pSGs1;
pSGdm;
pSGpd;
pSGpv;</v>
      </c>
      <c r="AP48" s="89"/>
    </row>
    <row r="49">
      <c r="A49" s="151" t="str">
        <f>IFERROR(__xludf.DUMMYFUNCTION("""COMPUTED_VALUE"""),"pSGs1")</f>
        <v>pSGs1</v>
      </c>
      <c r="B49" s="42" t="str">
        <f>IFERROR(__xludf.DUMMYFUNCTION("""COMPUTED_VALUE"""),"DHBA")</f>
        <v>DHBA</v>
      </c>
      <c r="C49" s="42" t="str">
        <f>IFERROR(__xludf.DUMMYFUNCTION("""COMPUTED_VALUE"""),"SG in primary somatosensory cortex")</f>
        <v>SG in primary somatosensory cortex</v>
      </c>
      <c r="D49" s="42">
        <f>IFERROR(__xludf.DUMMYFUNCTION("""COMPUTED_VALUE"""),15.0)</f>
        <v>15</v>
      </c>
      <c r="E49" s="39" t="str">
        <f>IFERROR(__xludf.DUMMYFUNCTION("""COMPUTED_VALUE"""),"SG in primary somatosensory cortex")</f>
        <v>SG in primary somatosensory cortex</v>
      </c>
      <c r="F49" s="9" t="str">
        <f>IFERROR(__xludf.DUMMYFUNCTION("""COMPUTED_VALUE"""),"Br")</f>
        <v>Br</v>
      </c>
      <c r="G49" s="9" t="str">
        <f>IFERROR(__xludf.DUMMYFUNCTION("""COMPUTED_VALUE"""),"F")</f>
        <v>F</v>
      </c>
      <c r="H49" s="9" t="str">
        <f>IFERROR(__xludf.DUMMYFUNCTION("""COMPUTED_VALUE"""),"FGM")</f>
        <v>FGM</v>
      </c>
      <c r="I49" s="9" t="str">
        <f>IFERROR(__xludf.DUMMYFUNCTION("""COMPUTED_VALUE"""),"FTS")</f>
        <v>FTS</v>
      </c>
      <c r="J49" s="9" t="str">
        <f>IFERROR(__xludf.DUMMYFUNCTION("""COMPUTED_VALUE"""),"SG")</f>
        <v>SG</v>
      </c>
      <c r="K49" s="9" t="str">
        <f>IFERROR(__xludf.DUMMYFUNCTION("""COMPUTED_VALUE"""),"pSG")</f>
        <v>pSG</v>
      </c>
      <c r="L49" s="9" t="str">
        <f>IFERROR(__xludf.DUMMYFUNCTION("""COMPUTED_VALUE"""),"pSGs1")</f>
        <v>pSGs1</v>
      </c>
      <c r="M49" s="9"/>
      <c r="N49" s="9"/>
      <c r="O49" s="9"/>
      <c r="P49" s="9"/>
      <c r="Q49" s="9"/>
      <c r="R49" s="9"/>
      <c r="S49" s="42"/>
      <c r="T49" s="42"/>
      <c r="U49" s="159"/>
      <c r="V49" s="42"/>
      <c r="W49" s="42"/>
      <c r="X49" s="42"/>
      <c r="Y49" s="42"/>
      <c r="Z49" s="42"/>
      <c r="AA49" s="42"/>
      <c r="AB49" s="42" t="str">
        <f>IFERROR(__xludf.DUMMYFUNCTION("""COMPUTED_VALUE"""),"allen institute")</f>
        <v>allen institute</v>
      </c>
      <c r="AC49" s="42" t="str">
        <f>IFERROR(__xludf.DUMMYFUNCTION("""COMPUTED_VALUE"""),"DHBA")</f>
        <v>DHBA</v>
      </c>
      <c r="AD49" s="42"/>
      <c r="AE49" s="42"/>
      <c r="AF49" s="9"/>
      <c r="AG49" s="9"/>
      <c r="AH49" s="42"/>
      <c r="AI49" s="42"/>
      <c r="AJ49" s="42"/>
      <c r="AK49" s="42"/>
      <c r="AL49" s="42"/>
      <c r="AM49" s="42"/>
      <c r="AN49" s="42"/>
      <c r="AO49" s="63" t="str">
        <f>IFERROR(__xludf.DUMMYFUNCTION("IF(ISBLANK(A49),,IF(ISBLANK(S49), A49&amp;"";"", TEXTJOIN(CHAR(10), TRUE, A49&amp;"";"", ARRAYFORMULA(VLOOKUP(SPLIT(S49, "";"" &amp; CHAR(10)), $A:$AO, 41, FALSE)))))"),"pSGs1;")</f>
        <v>pSGs1;</v>
      </c>
      <c r="AP49" s="89"/>
    </row>
    <row r="50">
      <c r="A50" s="151" t="str">
        <f>IFERROR(__xludf.DUMMYFUNCTION("""COMPUTED_VALUE"""),"pSGdm")</f>
        <v>pSGdm</v>
      </c>
      <c r="B50" s="42" t="str">
        <f>IFERROR(__xludf.DUMMYFUNCTION("""COMPUTED_VALUE"""),"DHBA")</f>
        <v>DHBA</v>
      </c>
      <c r="C50" s="42" t="str">
        <f>IFERROR(__xludf.DUMMYFUNCTION("""COMPUTED_VALUE"""),"SG in dorsomedial parietal cortex (area 7m)")</f>
        <v>SG in dorsomedial parietal cortex (area 7m)</v>
      </c>
      <c r="D50" s="42">
        <f>IFERROR(__xludf.DUMMYFUNCTION("""COMPUTED_VALUE"""),16.0)</f>
        <v>16</v>
      </c>
      <c r="E50" s="39" t="str">
        <f>IFERROR(__xludf.DUMMYFUNCTION("""COMPUTED_VALUE"""),"SG in dorsomedial parietal cortex (area 7m)")</f>
        <v>SG in dorsomedial parietal cortex (area 7m)</v>
      </c>
      <c r="F50" s="9" t="str">
        <f>IFERROR(__xludf.DUMMYFUNCTION("""COMPUTED_VALUE"""),"Br")</f>
        <v>Br</v>
      </c>
      <c r="G50" s="9" t="str">
        <f>IFERROR(__xludf.DUMMYFUNCTION("""COMPUTED_VALUE"""),"F")</f>
        <v>F</v>
      </c>
      <c r="H50" s="9" t="str">
        <f>IFERROR(__xludf.DUMMYFUNCTION("""COMPUTED_VALUE"""),"FGM")</f>
        <v>FGM</v>
      </c>
      <c r="I50" s="9" t="str">
        <f>IFERROR(__xludf.DUMMYFUNCTION("""COMPUTED_VALUE"""),"FTS")</f>
        <v>FTS</v>
      </c>
      <c r="J50" s="9" t="str">
        <f>IFERROR(__xludf.DUMMYFUNCTION("""COMPUTED_VALUE"""),"SG")</f>
        <v>SG</v>
      </c>
      <c r="K50" s="9" t="str">
        <f>IFERROR(__xludf.DUMMYFUNCTION("""COMPUTED_VALUE"""),"pSG")</f>
        <v>pSG</v>
      </c>
      <c r="L50" s="9" t="str">
        <f>IFERROR(__xludf.DUMMYFUNCTION("""COMPUTED_VALUE"""),"pSGdm")</f>
        <v>pSGdm</v>
      </c>
      <c r="M50" s="9"/>
      <c r="N50" s="9"/>
      <c r="O50" s="9"/>
      <c r="P50" s="9"/>
      <c r="Q50" s="9"/>
      <c r="R50" s="9"/>
      <c r="S50" s="42"/>
      <c r="T50" s="42"/>
      <c r="U50" s="42"/>
      <c r="V50" s="42"/>
      <c r="W50" s="42"/>
      <c r="X50" s="42"/>
      <c r="Y50" s="42"/>
      <c r="Z50" s="42"/>
      <c r="AA50" s="42"/>
      <c r="AB50" s="42" t="str">
        <f>IFERROR(__xludf.DUMMYFUNCTION("""COMPUTED_VALUE"""),"allen institute")</f>
        <v>allen institute</v>
      </c>
      <c r="AC50" s="42" t="str">
        <f>IFERROR(__xludf.DUMMYFUNCTION("""COMPUTED_VALUE"""),"DHBA")</f>
        <v>DHBA</v>
      </c>
      <c r="AD50" s="42"/>
      <c r="AE50" s="42"/>
      <c r="AF50" s="9"/>
      <c r="AG50" s="9"/>
      <c r="AH50" s="42"/>
      <c r="AI50" s="42"/>
      <c r="AJ50" s="42"/>
      <c r="AK50" s="42"/>
      <c r="AL50" s="42"/>
      <c r="AM50" s="42"/>
      <c r="AN50" s="42"/>
      <c r="AO50" s="63" t="str">
        <f>IFERROR(__xludf.DUMMYFUNCTION("IF(ISBLANK(A50),,IF(ISBLANK(S50), A50&amp;"";"", TEXTJOIN(CHAR(10), TRUE, A50&amp;"";"", ARRAYFORMULA(VLOOKUP(SPLIT(S50, "";"" &amp; CHAR(10)), $A:$AO, 41, FALSE)))))"),"pSGdm;")</f>
        <v>pSGdm;</v>
      </c>
      <c r="AP50" s="89"/>
    </row>
    <row r="51">
      <c r="A51" s="151" t="str">
        <f>IFERROR(__xludf.DUMMYFUNCTION("""COMPUTED_VALUE"""),"pSGpd")</f>
        <v>pSGpd</v>
      </c>
      <c r="B51" s="42" t="str">
        <f>IFERROR(__xludf.DUMMYFUNCTION("""COMPUTED_VALUE"""),"DHBA")</f>
        <v>DHBA</v>
      </c>
      <c r="C51" s="42" t="str">
        <f>IFERROR(__xludf.DUMMYFUNCTION("""COMPUTED_VALUE"""),"SG in posterosuperior (dorsal) parietal cortex")</f>
        <v>SG in posterosuperior (dorsal) parietal cortex</v>
      </c>
      <c r="D51" s="42">
        <f>IFERROR(__xludf.DUMMYFUNCTION("""COMPUTED_VALUE"""),17.0)</f>
        <v>17</v>
      </c>
      <c r="E51" s="39" t="str">
        <f>IFERROR(__xludf.DUMMYFUNCTION("""COMPUTED_VALUE"""),"SG in posterosuperior (dorsal) parietal cortex")</f>
        <v>SG in posterosuperior (dorsal) parietal cortex</v>
      </c>
      <c r="F51" s="9" t="str">
        <f>IFERROR(__xludf.DUMMYFUNCTION("""COMPUTED_VALUE"""),"Br")</f>
        <v>Br</v>
      </c>
      <c r="G51" s="9" t="str">
        <f>IFERROR(__xludf.DUMMYFUNCTION("""COMPUTED_VALUE"""),"F")</f>
        <v>F</v>
      </c>
      <c r="H51" s="9" t="str">
        <f>IFERROR(__xludf.DUMMYFUNCTION("""COMPUTED_VALUE"""),"FGM")</f>
        <v>FGM</v>
      </c>
      <c r="I51" s="9" t="str">
        <f>IFERROR(__xludf.DUMMYFUNCTION("""COMPUTED_VALUE"""),"FTS")</f>
        <v>FTS</v>
      </c>
      <c r="J51" s="9" t="str">
        <f>IFERROR(__xludf.DUMMYFUNCTION("""COMPUTED_VALUE"""),"SG")</f>
        <v>SG</v>
      </c>
      <c r="K51" s="9" t="str">
        <f>IFERROR(__xludf.DUMMYFUNCTION("""COMPUTED_VALUE"""),"pSG")</f>
        <v>pSG</v>
      </c>
      <c r="L51" s="9" t="str">
        <f>IFERROR(__xludf.DUMMYFUNCTION("""COMPUTED_VALUE"""),"pSGpd")</f>
        <v>pSGpd</v>
      </c>
      <c r="M51" s="9"/>
      <c r="N51" s="9"/>
      <c r="O51" s="9"/>
      <c r="P51" s="9"/>
      <c r="Q51" s="9"/>
      <c r="R51" s="9"/>
      <c r="S51" s="42"/>
      <c r="T51" s="42"/>
      <c r="U51" s="42"/>
      <c r="V51" s="42"/>
      <c r="W51" s="42"/>
      <c r="X51" s="42"/>
      <c r="Y51" s="42"/>
      <c r="Z51" s="42"/>
      <c r="AA51" s="42"/>
      <c r="AB51" s="42" t="str">
        <f>IFERROR(__xludf.DUMMYFUNCTION("""COMPUTED_VALUE"""),"allen institute")</f>
        <v>allen institute</v>
      </c>
      <c r="AC51" s="42" t="str">
        <f>IFERROR(__xludf.DUMMYFUNCTION("""COMPUTED_VALUE"""),"DHBA")</f>
        <v>DHBA</v>
      </c>
      <c r="AD51" s="42"/>
      <c r="AE51" s="42"/>
      <c r="AF51" s="9"/>
      <c r="AG51" s="9"/>
      <c r="AH51" s="42"/>
      <c r="AI51" s="42"/>
      <c r="AJ51" s="42"/>
      <c r="AK51" s="42"/>
      <c r="AL51" s="42"/>
      <c r="AM51" s="42"/>
      <c r="AN51" s="42"/>
      <c r="AO51" s="63" t="str">
        <f>IFERROR(__xludf.DUMMYFUNCTION("IF(ISBLANK(A51),,IF(ISBLANK(S51), A51&amp;"";"", TEXTJOIN(CHAR(10), TRUE, A51&amp;"";"", ARRAYFORMULA(VLOOKUP(SPLIT(S51, "";"" &amp; CHAR(10)), $A:$AO, 41, FALSE)))))"),"pSGpd;")</f>
        <v>pSGpd;</v>
      </c>
      <c r="AP51" s="89"/>
    </row>
    <row r="52">
      <c r="A52" s="151" t="str">
        <f>IFERROR(__xludf.DUMMYFUNCTION("""COMPUTED_VALUE"""),"pSGpv")</f>
        <v>pSGpv</v>
      </c>
      <c r="B52" s="42" t="str">
        <f>IFERROR(__xludf.DUMMYFUNCTION("""COMPUTED_VALUE"""),"DHBA")</f>
        <v>DHBA</v>
      </c>
      <c r="C52" s="42" t="str">
        <f>IFERROR(__xludf.DUMMYFUNCTION("""COMPUTED_VALUE"""),"SG in posteroinferior (ventral) parietal cortex")</f>
        <v>SG in posteroinferior (ventral) parietal cortex</v>
      </c>
      <c r="D52" s="42">
        <f>IFERROR(__xludf.DUMMYFUNCTION("""COMPUTED_VALUE"""),18.0)</f>
        <v>18</v>
      </c>
      <c r="E52" s="39" t="str">
        <f>IFERROR(__xludf.DUMMYFUNCTION("""COMPUTED_VALUE"""),"SG in posteroinferior (ventral) parietal cortex")</f>
        <v>SG in posteroinferior (ventral) parietal cortex</v>
      </c>
      <c r="F52" s="9" t="str">
        <f>IFERROR(__xludf.DUMMYFUNCTION("""COMPUTED_VALUE"""),"Br")</f>
        <v>Br</v>
      </c>
      <c r="G52" s="9" t="str">
        <f>IFERROR(__xludf.DUMMYFUNCTION("""COMPUTED_VALUE"""),"F")</f>
        <v>F</v>
      </c>
      <c r="H52" s="9" t="str">
        <f>IFERROR(__xludf.DUMMYFUNCTION("""COMPUTED_VALUE"""),"FGM")</f>
        <v>FGM</v>
      </c>
      <c r="I52" s="9" t="str">
        <f>IFERROR(__xludf.DUMMYFUNCTION("""COMPUTED_VALUE"""),"FTS")</f>
        <v>FTS</v>
      </c>
      <c r="J52" s="9" t="str">
        <f>IFERROR(__xludf.DUMMYFUNCTION("""COMPUTED_VALUE"""),"SG")</f>
        <v>SG</v>
      </c>
      <c r="K52" s="9" t="str">
        <f>IFERROR(__xludf.DUMMYFUNCTION("""COMPUTED_VALUE"""),"pSG")</f>
        <v>pSG</v>
      </c>
      <c r="L52" s="9" t="str">
        <f>IFERROR(__xludf.DUMMYFUNCTION("""COMPUTED_VALUE"""),"pSGpv")</f>
        <v>pSGpv</v>
      </c>
      <c r="M52" s="9"/>
      <c r="N52" s="9"/>
      <c r="O52" s="9"/>
      <c r="P52" s="9"/>
      <c r="Q52" s="9"/>
      <c r="R52" s="9"/>
      <c r="S52" s="42"/>
      <c r="T52" s="42"/>
      <c r="U52" s="42"/>
      <c r="V52" s="42"/>
      <c r="W52" s="42"/>
      <c r="X52" s="42"/>
      <c r="Y52" s="42"/>
      <c r="Z52" s="42"/>
      <c r="AA52" s="42"/>
      <c r="AB52" s="42" t="str">
        <f>IFERROR(__xludf.DUMMYFUNCTION("""COMPUTED_VALUE"""),"allen institute")</f>
        <v>allen institute</v>
      </c>
      <c r="AC52" s="42" t="str">
        <f>IFERROR(__xludf.DUMMYFUNCTION("""COMPUTED_VALUE"""),"DHBA")</f>
        <v>DHBA</v>
      </c>
      <c r="AD52" s="42"/>
      <c r="AE52" s="42"/>
      <c r="AF52" s="9"/>
      <c r="AG52" s="9"/>
      <c r="AH52" s="42"/>
      <c r="AI52" s="42"/>
      <c r="AJ52" s="42"/>
      <c r="AK52" s="42"/>
      <c r="AL52" s="42"/>
      <c r="AM52" s="42"/>
      <c r="AN52" s="42"/>
      <c r="AO52" s="63" t="str">
        <f>IFERROR(__xludf.DUMMYFUNCTION("IF(ISBLANK(A52),,IF(ISBLANK(S52), A52&amp;"";"", TEXTJOIN(CHAR(10), TRUE, A52&amp;"";"", ARRAYFORMULA(VLOOKUP(SPLIT(S52, "";"" &amp; CHAR(10)), $A:$AO, 41, FALSE)))))"),"pSGpv;")</f>
        <v>pSGpv;</v>
      </c>
      <c r="AP52" s="89"/>
    </row>
    <row r="53">
      <c r="A53" s="151" t="str">
        <f>IFERROR(__xludf.DUMMYFUNCTION("""COMPUTED_VALUE"""),"tSG")</f>
        <v>tSG</v>
      </c>
      <c r="B53" s="42" t="str">
        <f>IFERROR(__xludf.DUMMYFUNCTION("""COMPUTED_VALUE"""),"DHBA")</f>
        <v>DHBA</v>
      </c>
      <c r="C53" s="42" t="str">
        <f>IFERROR(__xludf.DUMMYFUNCTION("""COMPUTED_VALUE"""),"SG in temporal neocortex")</f>
        <v>SG in temporal neocortex</v>
      </c>
      <c r="D53" s="42">
        <f>IFERROR(__xludf.DUMMYFUNCTION("""COMPUTED_VALUE"""),19.0)</f>
        <v>19</v>
      </c>
      <c r="E53" s="39" t="str">
        <f>IFERROR(__xludf.DUMMYFUNCTION("""COMPUTED_VALUE"""),"SG in temporal neocortex")</f>
        <v>SG in temporal neocortex</v>
      </c>
      <c r="F53" s="9" t="str">
        <f>IFERROR(__xludf.DUMMYFUNCTION("""COMPUTED_VALUE"""),"Br")</f>
        <v>Br</v>
      </c>
      <c r="G53" s="9" t="str">
        <f>IFERROR(__xludf.DUMMYFUNCTION("""COMPUTED_VALUE"""),"F")</f>
        <v>F</v>
      </c>
      <c r="H53" s="9" t="str">
        <f>IFERROR(__xludf.DUMMYFUNCTION("""COMPUTED_VALUE"""),"FGM")</f>
        <v>FGM</v>
      </c>
      <c r="I53" s="9" t="str">
        <f>IFERROR(__xludf.DUMMYFUNCTION("""COMPUTED_VALUE"""),"FTS")</f>
        <v>FTS</v>
      </c>
      <c r="J53" s="9" t="str">
        <f>IFERROR(__xludf.DUMMYFUNCTION("""COMPUTED_VALUE"""),"SG")</f>
        <v>SG</v>
      </c>
      <c r="K53" s="9" t="str">
        <f>IFERROR(__xludf.DUMMYFUNCTION("""COMPUTED_VALUE"""),"tSG")</f>
        <v>tSG</v>
      </c>
      <c r="L53" s="9"/>
      <c r="M53" s="9"/>
      <c r="N53" s="9"/>
      <c r="O53" s="9"/>
      <c r="P53" s="9"/>
      <c r="Q53" s="9"/>
      <c r="R53" s="9"/>
      <c r="S53" s="42" t="str">
        <f>IFERROR(__xludf.DUMMYFUNCTION("""COMPUTED_VALUE"""),"tSGdl;
tSGvl;
tSGph;
tSGmt;
tSGlt;
tSGtp")</f>
        <v>tSGdl;
tSGvl;
tSGph;
tSGmt;
tSGlt;
tSGtp</v>
      </c>
      <c r="T53" s="42"/>
      <c r="U53" s="42" t="b">
        <f>IFERROR(__xludf.DUMMYFUNCTION("""COMPUTED_VALUE"""),FALSE)</f>
        <v>0</v>
      </c>
      <c r="V53" s="42"/>
      <c r="W53" s="42"/>
      <c r="X53" s="42"/>
      <c r="Y53" s="42"/>
      <c r="Z53" s="42"/>
      <c r="AA53" s="42"/>
      <c r="AB53" s="42" t="str">
        <f>IFERROR(__xludf.DUMMYFUNCTION("""COMPUTED_VALUE"""),"allen institute")</f>
        <v>allen institute</v>
      </c>
      <c r="AC53" s="42" t="str">
        <f>IFERROR(__xludf.DUMMYFUNCTION("""COMPUTED_VALUE"""),"DHBA")</f>
        <v>DHBA</v>
      </c>
      <c r="AD53" s="42"/>
      <c r="AE53" s="42"/>
      <c r="AF53" s="9"/>
      <c r="AG53" s="9"/>
      <c r="AH53" s="42"/>
      <c r="AI53" s="42"/>
      <c r="AJ53" s="42"/>
      <c r="AK53" s="42"/>
      <c r="AL53" s="42"/>
      <c r="AM53" s="42"/>
      <c r="AN53" s="42"/>
      <c r="AO53" s="63" t="str">
        <f>IFERROR(__xludf.DUMMYFUNCTION("IF(ISBLANK(A53),,IF(ISBLANK(S53), A53&amp;"";"", TEXTJOIN(CHAR(10), TRUE, A53&amp;"";"", ARRAYFORMULA(VLOOKUP(SPLIT(S53, "";"" &amp; CHAR(10)), $A:$AO, 41, FALSE)))))"),"tSG;
tSGdl;
tSGa1;
tSGsl;
tSGps;
tSGpi;
tSGvl;
tSGml;
tSGil;
tSGmi;
tSG36;
tSGtf;
tSGph;
tSGmt;
tSGlt;
tSGtp;")</f>
        <v>tSG;
tSGdl;
tSGa1;
tSGsl;
tSGps;
tSGpi;
tSGvl;
tSGml;
tSGil;
tSGmi;
tSG36;
tSGtf;
tSGph;
tSGmt;
tSGlt;
tSGtp;</v>
      </c>
      <c r="AP53" s="89"/>
    </row>
    <row r="54">
      <c r="A54" s="151" t="str">
        <f>IFERROR(__xludf.DUMMYFUNCTION("""COMPUTED_VALUE"""),"tSGdl")</f>
        <v>tSGdl</v>
      </c>
      <c r="B54" s="42" t="str">
        <f>IFERROR(__xludf.DUMMYFUNCTION("""COMPUTED_VALUE"""),"DHBA")</f>
        <v>DHBA</v>
      </c>
      <c r="C54" s="42" t="str">
        <f>IFERROR(__xludf.DUMMYFUNCTION("""COMPUTED_VALUE"""),"SG in dorsolateral temporal cortex")</f>
        <v>SG in dorsolateral temporal cortex</v>
      </c>
      <c r="D54" s="42">
        <f>IFERROR(__xludf.DUMMYFUNCTION("""COMPUTED_VALUE"""),20.0)</f>
        <v>20</v>
      </c>
      <c r="E54" s="39" t="str">
        <f>IFERROR(__xludf.DUMMYFUNCTION("""COMPUTED_VALUE"""),"SG in dorsolateral temporal cortex")</f>
        <v>SG in dorsolateral temporal cortex</v>
      </c>
      <c r="F54" s="9" t="str">
        <f>IFERROR(__xludf.DUMMYFUNCTION("""COMPUTED_VALUE"""),"Br")</f>
        <v>Br</v>
      </c>
      <c r="G54" s="9" t="str">
        <f>IFERROR(__xludf.DUMMYFUNCTION("""COMPUTED_VALUE"""),"F")</f>
        <v>F</v>
      </c>
      <c r="H54" s="9" t="str">
        <f>IFERROR(__xludf.DUMMYFUNCTION("""COMPUTED_VALUE"""),"FGM")</f>
        <v>FGM</v>
      </c>
      <c r="I54" s="9" t="str">
        <f>IFERROR(__xludf.DUMMYFUNCTION("""COMPUTED_VALUE"""),"FTS")</f>
        <v>FTS</v>
      </c>
      <c r="J54" s="9" t="str">
        <f>IFERROR(__xludf.DUMMYFUNCTION("""COMPUTED_VALUE"""),"SG")</f>
        <v>SG</v>
      </c>
      <c r="K54" s="9" t="str">
        <f>IFERROR(__xludf.DUMMYFUNCTION("""COMPUTED_VALUE"""),"tSG")</f>
        <v>tSG</v>
      </c>
      <c r="L54" s="9" t="str">
        <f>IFERROR(__xludf.DUMMYFUNCTION("""COMPUTED_VALUE"""),"tSGdl")</f>
        <v>tSGdl</v>
      </c>
      <c r="M54" s="9"/>
      <c r="N54" s="9"/>
      <c r="O54" s="9"/>
      <c r="P54" s="9"/>
      <c r="Q54" s="9"/>
      <c r="R54" s="9"/>
      <c r="S54" s="42" t="str">
        <f>IFERROR(__xludf.DUMMYFUNCTION("""COMPUTED_VALUE"""),"tSGa1;
tSGsl;
tSGps;
tSGpi")</f>
        <v>tSGa1;
tSGsl;
tSGps;
tSGpi</v>
      </c>
      <c r="T54" s="42"/>
      <c r="U54" s="42" t="b">
        <f>IFERROR(__xludf.DUMMYFUNCTION("""COMPUTED_VALUE"""),FALSE)</f>
        <v>0</v>
      </c>
      <c r="V54" s="42"/>
      <c r="W54" s="42"/>
      <c r="X54" s="42"/>
      <c r="Y54" s="42"/>
      <c r="Z54" s="42"/>
      <c r="AA54" s="42"/>
      <c r="AB54" s="42" t="str">
        <f>IFERROR(__xludf.DUMMYFUNCTION("""COMPUTED_VALUE"""),"allen institute")</f>
        <v>allen institute</v>
      </c>
      <c r="AC54" s="42" t="str">
        <f>IFERROR(__xludf.DUMMYFUNCTION("""COMPUTED_VALUE"""),"DHBA")</f>
        <v>DHBA</v>
      </c>
      <c r="AD54" s="42"/>
      <c r="AE54" s="42"/>
      <c r="AF54" s="9"/>
      <c r="AG54" s="9"/>
      <c r="AH54" s="42"/>
      <c r="AI54" s="42"/>
      <c r="AJ54" s="42"/>
      <c r="AK54" s="42"/>
      <c r="AL54" s="42"/>
      <c r="AM54" s="42"/>
      <c r="AN54" s="42"/>
      <c r="AO54" s="63" t="str">
        <f>IFERROR(__xludf.DUMMYFUNCTION("IF(ISBLANK(A54),,IF(ISBLANK(S54), A54&amp;"";"", TEXTJOIN(CHAR(10), TRUE, A54&amp;"";"", ARRAYFORMULA(VLOOKUP(SPLIT(S54, "";"" &amp; CHAR(10)), $A:$AO, 41, FALSE)))))"),"tSGdl;
tSGa1;
tSGsl;
tSGps;
tSGpi;")</f>
        <v>tSGdl;
tSGa1;
tSGsl;
tSGps;
tSGpi;</v>
      </c>
      <c r="AP54" s="89"/>
    </row>
    <row r="55">
      <c r="A55" s="151" t="str">
        <f>IFERROR(__xludf.DUMMYFUNCTION("""COMPUTED_VALUE"""),"tSGa1")</f>
        <v>tSGa1</v>
      </c>
      <c r="B55" s="42" t="str">
        <f>IFERROR(__xludf.DUMMYFUNCTION("""COMPUTED_VALUE"""),"DHBA")</f>
        <v>DHBA</v>
      </c>
      <c r="C55" s="42" t="str">
        <f>IFERROR(__xludf.DUMMYFUNCTION("""COMPUTED_VALUE"""),"SG in primary auditory cortex")</f>
        <v>SG in primary auditory cortex</v>
      </c>
      <c r="D55" s="42">
        <f>IFERROR(__xludf.DUMMYFUNCTION("""COMPUTED_VALUE"""),21.0)</f>
        <v>21</v>
      </c>
      <c r="E55" s="39" t="str">
        <f>IFERROR(__xludf.DUMMYFUNCTION("""COMPUTED_VALUE"""),"SG in primary auditory cortex")</f>
        <v>SG in primary auditory cortex</v>
      </c>
      <c r="F55" s="9" t="str">
        <f>IFERROR(__xludf.DUMMYFUNCTION("""COMPUTED_VALUE"""),"Br")</f>
        <v>Br</v>
      </c>
      <c r="G55" s="9" t="str">
        <f>IFERROR(__xludf.DUMMYFUNCTION("""COMPUTED_VALUE"""),"F")</f>
        <v>F</v>
      </c>
      <c r="H55" s="9" t="str">
        <f>IFERROR(__xludf.DUMMYFUNCTION("""COMPUTED_VALUE"""),"FGM")</f>
        <v>FGM</v>
      </c>
      <c r="I55" s="9" t="str">
        <f>IFERROR(__xludf.DUMMYFUNCTION("""COMPUTED_VALUE"""),"FTS")</f>
        <v>FTS</v>
      </c>
      <c r="J55" s="9" t="str">
        <f>IFERROR(__xludf.DUMMYFUNCTION("""COMPUTED_VALUE"""),"SG")</f>
        <v>SG</v>
      </c>
      <c r="K55" s="9" t="str">
        <f>IFERROR(__xludf.DUMMYFUNCTION("""COMPUTED_VALUE"""),"tSG")</f>
        <v>tSG</v>
      </c>
      <c r="L55" s="9" t="str">
        <f>IFERROR(__xludf.DUMMYFUNCTION("""COMPUTED_VALUE"""),"tSGdl")</f>
        <v>tSGdl</v>
      </c>
      <c r="M55" s="9" t="str">
        <f>IFERROR(__xludf.DUMMYFUNCTION("""COMPUTED_VALUE"""),"tSGa1")</f>
        <v>tSGa1</v>
      </c>
      <c r="N55" s="9"/>
      <c r="O55" s="9"/>
      <c r="P55" s="9"/>
      <c r="Q55" s="9"/>
      <c r="R55" s="9"/>
      <c r="S55" s="42"/>
      <c r="T55" s="42"/>
      <c r="U55" s="42"/>
      <c r="V55" s="42"/>
      <c r="W55" s="42"/>
      <c r="X55" s="42"/>
      <c r="Y55" s="42"/>
      <c r="Z55" s="42"/>
      <c r="AA55" s="42"/>
      <c r="AB55" s="42" t="str">
        <f>IFERROR(__xludf.DUMMYFUNCTION("""COMPUTED_VALUE"""),"allen institute")</f>
        <v>allen institute</v>
      </c>
      <c r="AC55" s="42" t="str">
        <f>IFERROR(__xludf.DUMMYFUNCTION("""COMPUTED_VALUE"""),"DHBA")</f>
        <v>DHBA</v>
      </c>
      <c r="AD55" s="42"/>
      <c r="AE55" s="42"/>
      <c r="AF55" s="9"/>
      <c r="AG55" s="9"/>
      <c r="AH55" s="42"/>
      <c r="AI55" s="42"/>
      <c r="AJ55" s="42"/>
      <c r="AK55" s="42"/>
      <c r="AL55" s="42"/>
      <c r="AM55" s="42"/>
      <c r="AN55" s="42"/>
      <c r="AO55" s="63" t="str">
        <f>IFERROR(__xludf.DUMMYFUNCTION("IF(ISBLANK(A55),,IF(ISBLANK(S55), A55&amp;"";"", TEXTJOIN(CHAR(10), TRUE, A55&amp;"";"", ARRAYFORMULA(VLOOKUP(SPLIT(S55, "";"" &amp; CHAR(10)), $A:$AO, 41, FALSE)))))"),"tSGa1;")</f>
        <v>tSGa1;</v>
      </c>
      <c r="AP55" s="89"/>
    </row>
    <row r="56">
      <c r="A56" s="151" t="str">
        <f>IFERROR(__xludf.DUMMYFUNCTION("""COMPUTED_VALUE"""),"tSGsl")</f>
        <v>tSGsl</v>
      </c>
      <c r="B56" s="42" t="str">
        <f>IFERROR(__xludf.DUMMYFUNCTION("""COMPUTED_VALUE"""),"DHBA")</f>
        <v>DHBA</v>
      </c>
      <c r="C56" s="42" t="str">
        <f>IFERROR(__xludf.DUMMYFUNCTION("""COMPUTED_VALUE"""),"SG in superolateral temporal cortex")</f>
        <v>SG in superolateral temporal cortex</v>
      </c>
      <c r="D56" s="42">
        <f>IFERROR(__xludf.DUMMYFUNCTION("""COMPUTED_VALUE"""),22.0)</f>
        <v>22</v>
      </c>
      <c r="E56" s="39" t="str">
        <f>IFERROR(__xludf.DUMMYFUNCTION("""COMPUTED_VALUE"""),"SG in superolateral temporal cortex")</f>
        <v>SG in superolateral temporal cortex</v>
      </c>
      <c r="F56" s="9" t="str">
        <f>IFERROR(__xludf.DUMMYFUNCTION("""COMPUTED_VALUE"""),"Br")</f>
        <v>Br</v>
      </c>
      <c r="G56" s="9" t="str">
        <f>IFERROR(__xludf.DUMMYFUNCTION("""COMPUTED_VALUE"""),"F")</f>
        <v>F</v>
      </c>
      <c r="H56" s="9" t="str">
        <f>IFERROR(__xludf.DUMMYFUNCTION("""COMPUTED_VALUE"""),"FGM")</f>
        <v>FGM</v>
      </c>
      <c r="I56" s="9" t="str">
        <f>IFERROR(__xludf.DUMMYFUNCTION("""COMPUTED_VALUE"""),"FTS")</f>
        <v>FTS</v>
      </c>
      <c r="J56" s="9" t="str">
        <f>IFERROR(__xludf.DUMMYFUNCTION("""COMPUTED_VALUE"""),"SG")</f>
        <v>SG</v>
      </c>
      <c r="K56" s="9" t="str">
        <f>IFERROR(__xludf.DUMMYFUNCTION("""COMPUTED_VALUE"""),"tSG")</f>
        <v>tSG</v>
      </c>
      <c r="L56" s="9" t="str">
        <f>IFERROR(__xludf.DUMMYFUNCTION("""COMPUTED_VALUE"""),"tSGdl")</f>
        <v>tSGdl</v>
      </c>
      <c r="M56" s="9" t="str">
        <f>IFERROR(__xludf.DUMMYFUNCTION("""COMPUTED_VALUE"""),"tSGsl")</f>
        <v>tSGsl</v>
      </c>
      <c r="N56" s="9"/>
      <c r="O56" s="9"/>
      <c r="P56" s="9"/>
      <c r="Q56" s="9"/>
      <c r="R56" s="9"/>
      <c r="S56" s="42"/>
      <c r="T56" s="42"/>
      <c r="U56" s="42"/>
      <c r="V56" s="42"/>
      <c r="W56" s="42"/>
      <c r="X56" s="42"/>
      <c r="Y56" s="42"/>
      <c r="Z56" s="42"/>
      <c r="AA56" s="42"/>
      <c r="AB56" s="42" t="str">
        <f>IFERROR(__xludf.DUMMYFUNCTION("""COMPUTED_VALUE"""),"allen institute")</f>
        <v>allen institute</v>
      </c>
      <c r="AC56" s="42" t="str">
        <f>IFERROR(__xludf.DUMMYFUNCTION("""COMPUTED_VALUE"""),"DHBA")</f>
        <v>DHBA</v>
      </c>
      <c r="AD56" s="42"/>
      <c r="AE56" s="42"/>
      <c r="AF56" s="9"/>
      <c r="AG56" s="9"/>
      <c r="AH56" s="42"/>
      <c r="AI56" s="42"/>
      <c r="AJ56" s="42"/>
      <c r="AK56" s="42"/>
      <c r="AL56" s="42"/>
      <c r="AM56" s="42"/>
      <c r="AN56" s="42"/>
      <c r="AO56" s="63" t="str">
        <f>IFERROR(__xludf.DUMMYFUNCTION("IF(ISBLANK(A56),,IF(ISBLANK(S56), A56&amp;"";"", TEXTJOIN(CHAR(10), TRUE, A56&amp;"";"", ARRAYFORMULA(VLOOKUP(SPLIT(S56, "";"" &amp; CHAR(10)), $A:$AO, 41, FALSE)))))"),"tSGsl;")</f>
        <v>tSGsl;</v>
      </c>
      <c r="AP56" s="89"/>
    </row>
    <row r="57">
      <c r="A57" s="151" t="str">
        <f>IFERROR(__xludf.DUMMYFUNCTION("""COMPUTED_VALUE"""),"tSGps")</f>
        <v>tSGps</v>
      </c>
      <c r="B57" s="42" t="str">
        <f>IFERROR(__xludf.DUMMYFUNCTION("""COMPUTED_VALUE"""),"DHBA")</f>
        <v>DHBA</v>
      </c>
      <c r="C57" s="42" t="str">
        <f>IFERROR(__xludf.DUMMYFUNCTION("""COMPUTED_VALUE"""),"SG in polysensory temporal cortex")</f>
        <v>SG in polysensory temporal cortex</v>
      </c>
      <c r="D57" s="42">
        <f>IFERROR(__xludf.DUMMYFUNCTION("""COMPUTED_VALUE"""),23.0)</f>
        <v>23</v>
      </c>
      <c r="E57" s="39" t="str">
        <f>IFERROR(__xludf.DUMMYFUNCTION("""COMPUTED_VALUE"""),"SG in polysensory temporal cortex")</f>
        <v>SG in polysensory temporal cortex</v>
      </c>
      <c r="F57" s="9" t="str">
        <f>IFERROR(__xludf.DUMMYFUNCTION("""COMPUTED_VALUE"""),"Br")</f>
        <v>Br</v>
      </c>
      <c r="G57" s="9" t="str">
        <f>IFERROR(__xludf.DUMMYFUNCTION("""COMPUTED_VALUE"""),"F")</f>
        <v>F</v>
      </c>
      <c r="H57" s="9" t="str">
        <f>IFERROR(__xludf.DUMMYFUNCTION("""COMPUTED_VALUE"""),"FGM")</f>
        <v>FGM</v>
      </c>
      <c r="I57" s="9" t="str">
        <f>IFERROR(__xludf.DUMMYFUNCTION("""COMPUTED_VALUE"""),"FTS")</f>
        <v>FTS</v>
      </c>
      <c r="J57" s="9" t="str">
        <f>IFERROR(__xludf.DUMMYFUNCTION("""COMPUTED_VALUE"""),"SG")</f>
        <v>SG</v>
      </c>
      <c r="K57" s="9" t="str">
        <f>IFERROR(__xludf.DUMMYFUNCTION("""COMPUTED_VALUE"""),"tSG")</f>
        <v>tSG</v>
      </c>
      <c r="L57" s="9" t="str">
        <f>IFERROR(__xludf.DUMMYFUNCTION("""COMPUTED_VALUE"""),"tSGdl")</f>
        <v>tSGdl</v>
      </c>
      <c r="M57" s="9" t="str">
        <f>IFERROR(__xludf.DUMMYFUNCTION("""COMPUTED_VALUE"""),"tSGps")</f>
        <v>tSGps</v>
      </c>
      <c r="N57" s="9"/>
      <c r="O57" s="9"/>
      <c r="P57" s="9"/>
      <c r="Q57" s="9"/>
      <c r="R57" s="9"/>
      <c r="S57" s="42"/>
      <c r="T57" s="42"/>
      <c r="U57" s="42"/>
      <c r="V57" s="42"/>
      <c r="W57" s="42"/>
      <c r="X57" s="42"/>
      <c r="Y57" s="42"/>
      <c r="Z57" s="42"/>
      <c r="AA57" s="42"/>
      <c r="AB57" s="42" t="str">
        <f>IFERROR(__xludf.DUMMYFUNCTION("""COMPUTED_VALUE"""),"allen institute")</f>
        <v>allen institute</v>
      </c>
      <c r="AC57" s="42" t="str">
        <f>IFERROR(__xludf.DUMMYFUNCTION("""COMPUTED_VALUE"""),"DHBA")</f>
        <v>DHBA</v>
      </c>
      <c r="AD57" s="42"/>
      <c r="AE57" s="42"/>
      <c r="AF57" s="9"/>
      <c r="AG57" s="9"/>
      <c r="AH57" s="42"/>
      <c r="AI57" s="42"/>
      <c r="AJ57" s="42"/>
      <c r="AK57" s="42"/>
      <c r="AL57" s="42"/>
      <c r="AM57" s="42"/>
      <c r="AN57" s="42"/>
      <c r="AO57" s="63" t="str">
        <f>IFERROR(__xludf.DUMMYFUNCTION("IF(ISBLANK(A57),,IF(ISBLANK(S57), A57&amp;"";"", TEXTJOIN(CHAR(10), TRUE, A57&amp;"";"", ARRAYFORMULA(VLOOKUP(SPLIT(S57, "";"" &amp; CHAR(10)), $A:$AO, 41, FALSE)))))"),"tSGps;")</f>
        <v>tSGps;</v>
      </c>
      <c r="AP57" s="89"/>
    </row>
    <row r="58">
      <c r="A58" s="151" t="str">
        <f>IFERROR(__xludf.DUMMYFUNCTION("""COMPUTED_VALUE"""),"tSGpi")</f>
        <v>tSGpi</v>
      </c>
      <c r="B58" s="42" t="str">
        <f>IFERROR(__xludf.DUMMYFUNCTION("""COMPUTED_VALUE"""),"DHBA")</f>
        <v>DHBA</v>
      </c>
      <c r="C58" s="42" t="str">
        <f>IFERROR(__xludf.DUMMYFUNCTION("""COMPUTED_VALUE"""),"SG in parainsular temporal cortex")</f>
        <v>SG in parainsular temporal cortex</v>
      </c>
      <c r="D58" s="42">
        <f>IFERROR(__xludf.DUMMYFUNCTION("""COMPUTED_VALUE"""),24.0)</f>
        <v>24</v>
      </c>
      <c r="E58" s="39" t="str">
        <f>IFERROR(__xludf.DUMMYFUNCTION("""COMPUTED_VALUE"""),"SG in parainsular temporal cortex")</f>
        <v>SG in parainsular temporal cortex</v>
      </c>
      <c r="F58" s="9" t="str">
        <f>IFERROR(__xludf.DUMMYFUNCTION("""COMPUTED_VALUE"""),"Br")</f>
        <v>Br</v>
      </c>
      <c r="G58" s="9" t="str">
        <f>IFERROR(__xludf.DUMMYFUNCTION("""COMPUTED_VALUE"""),"F")</f>
        <v>F</v>
      </c>
      <c r="H58" s="9" t="str">
        <f>IFERROR(__xludf.DUMMYFUNCTION("""COMPUTED_VALUE"""),"FGM")</f>
        <v>FGM</v>
      </c>
      <c r="I58" s="9" t="str">
        <f>IFERROR(__xludf.DUMMYFUNCTION("""COMPUTED_VALUE"""),"FTS")</f>
        <v>FTS</v>
      </c>
      <c r="J58" s="9" t="str">
        <f>IFERROR(__xludf.DUMMYFUNCTION("""COMPUTED_VALUE"""),"SG")</f>
        <v>SG</v>
      </c>
      <c r="K58" s="9" t="str">
        <f>IFERROR(__xludf.DUMMYFUNCTION("""COMPUTED_VALUE"""),"tSG")</f>
        <v>tSG</v>
      </c>
      <c r="L58" s="9" t="str">
        <f>IFERROR(__xludf.DUMMYFUNCTION("""COMPUTED_VALUE"""),"tSGdl")</f>
        <v>tSGdl</v>
      </c>
      <c r="M58" s="9" t="str">
        <f>IFERROR(__xludf.DUMMYFUNCTION("""COMPUTED_VALUE"""),"tSGpi")</f>
        <v>tSGpi</v>
      </c>
      <c r="N58" s="9"/>
      <c r="O58" s="9"/>
      <c r="P58" s="9"/>
      <c r="Q58" s="9"/>
      <c r="R58" s="9"/>
      <c r="S58" s="42"/>
      <c r="T58" s="42"/>
      <c r="U58" s="42"/>
      <c r="V58" s="42"/>
      <c r="W58" s="42"/>
      <c r="X58" s="42"/>
      <c r="Y58" s="42"/>
      <c r="Z58" s="42"/>
      <c r="AA58" s="42"/>
      <c r="AB58" s="42" t="str">
        <f>IFERROR(__xludf.DUMMYFUNCTION("""COMPUTED_VALUE"""),"allen institute")</f>
        <v>allen institute</v>
      </c>
      <c r="AC58" s="42" t="str">
        <f>IFERROR(__xludf.DUMMYFUNCTION("""COMPUTED_VALUE"""),"DHBA")</f>
        <v>DHBA</v>
      </c>
      <c r="AD58" s="42"/>
      <c r="AE58" s="42"/>
      <c r="AF58" s="9"/>
      <c r="AG58" s="9"/>
      <c r="AH58" s="42"/>
      <c r="AI58" s="42"/>
      <c r="AJ58" s="42"/>
      <c r="AK58" s="42"/>
      <c r="AL58" s="42"/>
      <c r="AM58" s="42"/>
      <c r="AN58" s="42"/>
      <c r="AO58" s="63" t="str">
        <f>IFERROR(__xludf.DUMMYFUNCTION("IF(ISBLANK(A58),,IF(ISBLANK(S58), A58&amp;"";"", TEXTJOIN(CHAR(10), TRUE, A58&amp;"";"", ARRAYFORMULA(VLOOKUP(SPLIT(S58, "";"" &amp; CHAR(10)), $A:$AO, 41, FALSE)))))"),"tSGpi;")</f>
        <v>tSGpi;</v>
      </c>
      <c r="AP58" s="89"/>
    </row>
    <row r="59">
      <c r="A59" s="151" t="str">
        <f>IFERROR(__xludf.DUMMYFUNCTION("""COMPUTED_VALUE"""),"tSGvl")</f>
        <v>tSGvl</v>
      </c>
      <c r="B59" s="42" t="str">
        <f>IFERROR(__xludf.DUMMYFUNCTION("""COMPUTED_VALUE"""),"DHBA")</f>
        <v>DHBA</v>
      </c>
      <c r="C59" s="42" t="str">
        <f>IFERROR(__xludf.DUMMYFUNCTION("""COMPUTED_VALUE"""),"SG in ventrolateral temporal cortex")</f>
        <v>SG in ventrolateral temporal cortex</v>
      </c>
      <c r="D59" s="42">
        <f>IFERROR(__xludf.DUMMYFUNCTION("""COMPUTED_VALUE"""),25.0)</f>
        <v>25</v>
      </c>
      <c r="E59" s="39" t="str">
        <f>IFERROR(__xludf.DUMMYFUNCTION("""COMPUTED_VALUE"""),"SG in ventrolateral temporal cortex")</f>
        <v>SG in ventrolateral temporal cortex</v>
      </c>
      <c r="F59" s="9" t="str">
        <f>IFERROR(__xludf.DUMMYFUNCTION("""COMPUTED_VALUE"""),"Br")</f>
        <v>Br</v>
      </c>
      <c r="G59" s="9" t="str">
        <f>IFERROR(__xludf.DUMMYFUNCTION("""COMPUTED_VALUE"""),"F")</f>
        <v>F</v>
      </c>
      <c r="H59" s="9" t="str">
        <f>IFERROR(__xludf.DUMMYFUNCTION("""COMPUTED_VALUE"""),"FGM")</f>
        <v>FGM</v>
      </c>
      <c r="I59" s="9" t="str">
        <f>IFERROR(__xludf.DUMMYFUNCTION("""COMPUTED_VALUE"""),"FTS")</f>
        <v>FTS</v>
      </c>
      <c r="J59" s="9" t="str">
        <f>IFERROR(__xludf.DUMMYFUNCTION("""COMPUTED_VALUE"""),"SG")</f>
        <v>SG</v>
      </c>
      <c r="K59" s="9" t="str">
        <f>IFERROR(__xludf.DUMMYFUNCTION("""COMPUTED_VALUE"""),"tSG")</f>
        <v>tSG</v>
      </c>
      <c r="L59" s="9" t="str">
        <f>IFERROR(__xludf.DUMMYFUNCTION("""COMPUTED_VALUE"""),"tSGvl")</f>
        <v>tSGvl</v>
      </c>
      <c r="M59" s="9"/>
      <c r="N59" s="9"/>
      <c r="O59" s="9"/>
      <c r="P59" s="9"/>
      <c r="Q59" s="9"/>
      <c r="R59" s="9"/>
      <c r="S59" s="42" t="str">
        <f>IFERROR(__xludf.DUMMYFUNCTION("""COMPUTED_VALUE"""),"tSGml;
tSGil;
tSGmi")</f>
        <v>tSGml;
tSGil;
tSGmi</v>
      </c>
      <c r="T59" s="42"/>
      <c r="U59" s="42" t="b">
        <f>IFERROR(__xludf.DUMMYFUNCTION("""COMPUTED_VALUE"""),FALSE)</f>
        <v>0</v>
      </c>
      <c r="V59" s="42"/>
      <c r="W59" s="42"/>
      <c r="X59" s="42"/>
      <c r="Y59" s="42"/>
      <c r="Z59" s="42"/>
      <c r="AA59" s="42"/>
      <c r="AB59" s="42" t="str">
        <f>IFERROR(__xludf.DUMMYFUNCTION("""COMPUTED_VALUE"""),"allen institute")</f>
        <v>allen institute</v>
      </c>
      <c r="AC59" s="42" t="str">
        <f>IFERROR(__xludf.DUMMYFUNCTION("""COMPUTED_VALUE"""),"DHBA")</f>
        <v>DHBA</v>
      </c>
      <c r="AD59" s="42"/>
      <c r="AE59" s="42"/>
      <c r="AF59" s="9"/>
      <c r="AG59" s="9"/>
      <c r="AH59" s="42"/>
      <c r="AI59" s="42"/>
      <c r="AJ59" s="42"/>
      <c r="AK59" s="42"/>
      <c r="AL59" s="42"/>
      <c r="AM59" s="42"/>
      <c r="AN59" s="42"/>
      <c r="AO59" s="63" t="str">
        <f>IFERROR(__xludf.DUMMYFUNCTION("IF(ISBLANK(A59),,IF(ISBLANK(S59), A59&amp;"";"", TEXTJOIN(CHAR(10), TRUE, A59&amp;"";"", ARRAYFORMULA(VLOOKUP(SPLIT(S59, "";"" &amp; CHAR(10)), $A:$AO, 41, FALSE)))))"),"tSGvl;
tSGml;
tSGil;
tSGmi;
tSG36;
tSGtf;")</f>
        <v>tSGvl;
tSGml;
tSGil;
tSGmi;
tSG36;
tSGtf;</v>
      </c>
      <c r="AP59" s="89"/>
    </row>
    <row r="60">
      <c r="A60" s="151" t="str">
        <f>IFERROR(__xludf.DUMMYFUNCTION("""COMPUTED_VALUE"""),"tSGml")</f>
        <v>tSGml</v>
      </c>
      <c r="B60" s="42" t="str">
        <f>IFERROR(__xludf.DUMMYFUNCTION("""COMPUTED_VALUE"""),"DHBA")</f>
        <v>DHBA</v>
      </c>
      <c r="C60" s="42" t="str">
        <f>IFERROR(__xludf.DUMMYFUNCTION("""COMPUTED_VALUE"""),"SG in midlateral temporal cortex")</f>
        <v>SG in midlateral temporal cortex</v>
      </c>
      <c r="D60" s="42">
        <f>IFERROR(__xludf.DUMMYFUNCTION("""COMPUTED_VALUE"""),26.0)</f>
        <v>26</v>
      </c>
      <c r="E60" s="39" t="str">
        <f>IFERROR(__xludf.DUMMYFUNCTION("""COMPUTED_VALUE"""),"SG in midlateral temporal cortex")</f>
        <v>SG in midlateral temporal cortex</v>
      </c>
      <c r="F60" s="9" t="str">
        <f>IFERROR(__xludf.DUMMYFUNCTION("""COMPUTED_VALUE"""),"Br")</f>
        <v>Br</v>
      </c>
      <c r="G60" s="9" t="str">
        <f>IFERROR(__xludf.DUMMYFUNCTION("""COMPUTED_VALUE"""),"F")</f>
        <v>F</v>
      </c>
      <c r="H60" s="9" t="str">
        <f>IFERROR(__xludf.DUMMYFUNCTION("""COMPUTED_VALUE"""),"FGM")</f>
        <v>FGM</v>
      </c>
      <c r="I60" s="9" t="str">
        <f>IFERROR(__xludf.DUMMYFUNCTION("""COMPUTED_VALUE"""),"FTS")</f>
        <v>FTS</v>
      </c>
      <c r="J60" s="9" t="str">
        <f>IFERROR(__xludf.DUMMYFUNCTION("""COMPUTED_VALUE"""),"SG")</f>
        <v>SG</v>
      </c>
      <c r="K60" s="9" t="str">
        <f>IFERROR(__xludf.DUMMYFUNCTION("""COMPUTED_VALUE"""),"tSG")</f>
        <v>tSG</v>
      </c>
      <c r="L60" s="9" t="str">
        <f>IFERROR(__xludf.DUMMYFUNCTION("""COMPUTED_VALUE"""),"tSGvl")</f>
        <v>tSGvl</v>
      </c>
      <c r="M60" s="9" t="str">
        <f>IFERROR(__xludf.DUMMYFUNCTION("""COMPUTED_VALUE"""),"tSGml")</f>
        <v>tSGml</v>
      </c>
      <c r="N60" s="9"/>
      <c r="O60" s="9"/>
      <c r="P60" s="9"/>
      <c r="Q60" s="9"/>
      <c r="R60" s="9"/>
      <c r="S60" s="42"/>
      <c r="T60" s="42"/>
      <c r="U60" s="42"/>
      <c r="V60" s="42"/>
      <c r="W60" s="42"/>
      <c r="X60" s="42"/>
      <c r="Y60" s="42"/>
      <c r="Z60" s="42"/>
      <c r="AA60" s="42"/>
      <c r="AB60" s="42" t="str">
        <f>IFERROR(__xludf.DUMMYFUNCTION("""COMPUTED_VALUE"""),"allen institute")</f>
        <v>allen institute</v>
      </c>
      <c r="AC60" s="42" t="str">
        <f>IFERROR(__xludf.DUMMYFUNCTION("""COMPUTED_VALUE"""),"DHBA")</f>
        <v>DHBA</v>
      </c>
      <c r="AD60" s="42"/>
      <c r="AE60" s="42"/>
      <c r="AF60" s="9"/>
      <c r="AG60" s="9"/>
      <c r="AH60" s="42"/>
      <c r="AI60" s="42"/>
      <c r="AJ60" s="42"/>
      <c r="AK60" s="42"/>
      <c r="AL60" s="42"/>
      <c r="AM60" s="42"/>
      <c r="AN60" s="42"/>
      <c r="AO60" s="63" t="str">
        <f>IFERROR(__xludf.DUMMYFUNCTION("IF(ISBLANK(A60),,IF(ISBLANK(S60), A60&amp;"";"", TEXTJOIN(CHAR(10), TRUE, A60&amp;"";"", ARRAYFORMULA(VLOOKUP(SPLIT(S60, "";"" &amp; CHAR(10)), $A:$AO, 41, FALSE)))))"),"tSGml;")</f>
        <v>tSGml;</v>
      </c>
      <c r="AP60" s="89"/>
    </row>
    <row r="61">
      <c r="A61" s="151" t="str">
        <f>IFERROR(__xludf.DUMMYFUNCTION("""COMPUTED_VALUE"""),"tSGil")</f>
        <v>tSGil</v>
      </c>
      <c r="B61" s="42" t="str">
        <f>IFERROR(__xludf.DUMMYFUNCTION("""COMPUTED_VALUE"""),"DHBA")</f>
        <v>DHBA</v>
      </c>
      <c r="C61" s="42" t="str">
        <f>IFERROR(__xludf.DUMMYFUNCTION("""COMPUTED_VALUE"""),"SG in inferolateral temporal cortex")</f>
        <v>SG in inferolateral temporal cortex</v>
      </c>
      <c r="D61" s="42">
        <f>IFERROR(__xludf.DUMMYFUNCTION("""COMPUTED_VALUE"""),27.0)</f>
        <v>27</v>
      </c>
      <c r="E61" s="39" t="str">
        <f>IFERROR(__xludf.DUMMYFUNCTION("""COMPUTED_VALUE"""),"SG in inferolateral temporal cortex")</f>
        <v>SG in inferolateral temporal cortex</v>
      </c>
      <c r="F61" s="9" t="str">
        <f>IFERROR(__xludf.DUMMYFUNCTION("""COMPUTED_VALUE"""),"Br")</f>
        <v>Br</v>
      </c>
      <c r="G61" s="9" t="str">
        <f>IFERROR(__xludf.DUMMYFUNCTION("""COMPUTED_VALUE"""),"F")</f>
        <v>F</v>
      </c>
      <c r="H61" s="9" t="str">
        <f>IFERROR(__xludf.DUMMYFUNCTION("""COMPUTED_VALUE"""),"FGM")</f>
        <v>FGM</v>
      </c>
      <c r="I61" s="9" t="str">
        <f>IFERROR(__xludf.DUMMYFUNCTION("""COMPUTED_VALUE"""),"FTS")</f>
        <v>FTS</v>
      </c>
      <c r="J61" s="9" t="str">
        <f>IFERROR(__xludf.DUMMYFUNCTION("""COMPUTED_VALUE"""),"SG")</f>
        <v>SG</v>
      </c>
      <c r="K61" s="9" t="str">
        <f>IFERROR(__xludf.DUMMYFUNCTION("""COMPUTED_VALUE"""),"tSG")</f>
        <v>tSG</v>
      </c>
      <c r="L61" s="9" t="str">
        <f>IFERROR(__xludf.DUMMYFUNCTION("""COMPUTED_VALUE"""),"tSGvl")</f>
        <v>tSGvl</v>
      </c>
      <c r="M61" s="9" t="str">
        <f>IFERROR(__xludf.DUMMYFUNCTION("""COMPUTED_VALUE"""),"tSGil")</f>
        <v>tSGil</v>
      </c>
      <c r="N61" s="9"/>
      <c r="O61" s="9"/>
      <c r="P61" s="9"/>
      <c r="Q61" s="9"/>
      <c r="R61" s="9"/>
      <c r="S61" s="42"/>
      <c r="T61" s="42"/>
      <c r="U61" s="42"/>
      <c r="V61" s="42"/>
      <c r="W61" s="42"/>
      <c r="X61" s="42"/>
      <c r="Y61" s="42"/>
      <c r="Z61" s="42"/>
      <c r="AA61" s="42"/>
      <c r="AB61" s="42" t="str">
        <f>IFERROR(__xludf.DUMMYFUNCTION("""COMPUTED_VALUE"""),"allen institute")</f>
        <v>allen institute</v>
      </c>
      <c r="AC61" s="42" t="str">
        <f>IFERROR(__xludf.DUMMYFUNCTION("""COMPUTED_VALUE"""),"DHBA")</f>
        <v>DHBA</v>
      </c>
      <c r="AD61" s="42"/>
      <c r="AE61" s="42"/>
      <c r="AF61" s="9"/>
      <c r="AG61" s="9"/>
      <c r="AH61" s="42"/>
      <c r="AI61" s="42"/>
      <c r="AJ61" s="42"/>
      <c r="AK61" s="42"/>
      <c r="AL61" s="42"/>
      <c r="AM61" s="42"/>
      <c r="AN61" s="42"/>
      <c r="AO61" s="63" t="str">
        <f>IFERROR(__xludf.DUMMYFUNCTION("IF(ISBLANK(A61),,IF(ISBLANK(S61), A61&amp;"";"", TEXTJOIN(CHAR(10), TRUE, A61&amp;"";"", ARRAYFORMULA(VLOOKUP(SPLIT(S61, "";"" &amp; CHAR(10)), $A:$AO, 41, FALSE)))))"),"tSGil;")</f>
        <v>tSGil;</v>
      </c>
      <c r="AP61" s="89"/>
    </row>
    <row r="62">
      <c r="A62" s="151" t="str">
        <f>IFERROR(__xludf.DUMMYFUNCTION("""COMPUTED_VALUE"""),"tSGmi")</f>
        <v>tSGmi</v>
      </c>
      <c r="B62" s="42" t="str">
        <f>IFERROR(__xludf.DUMMYFUNCTION("""COMPUTED_VALUE"""),"DHBA")</f>
        <v>DHBA</v>
      </c>
      <c r="C62" s="42" t="str">
        <f>IFERROR(__xludf.DUMMYFUNCTION("""COMPUTED_VALUE"""),"SG in midinferior temporal cortex")</f>
        <v>SG in midinferior temporal cortex</v>
      </c>
      <c r="D62" s="42">
        <f>IFERROR(__xludf.DUMMYFUNCTION("""COMPUTED_VALUE"""),28.0)</f>
        <v>28</v>
      </c>
      <c r="E62" s="39" t="str">
        <f>IFERROR(__xludf.DUMMYFUNCTION("""COMPUTED_VALUE"""),"SG in midinferior temporal cortex")</f>
        <v>SG in midinferior temporal cortex</v>
      </c>
      <c r="F62" s="9" t="str">
        <f>IFERROR(__xludf.DUMMYFUNCTION("""COMPUTED_VALUE"""),"Br")</f>
        <v>Br</v>
      </c>
      <c r="G62" s="9" t="str">
        <f>IFERROR(__xludf.DUMMYFUNCTION("""COMPUTED_VALUE"""),"F")</f>
        <v>F</v>
      </c>
      <c r="H62" s="9" t="str">
        <f>IFERROR(__xludf.DUMMYFUNCTION("""COMPUTED_VALUE"""),"FGM")</f>
        <v>FGM</v>
      </c>
      <c r="I62" s="9" t="str">
        <f>IFERROR(__xludf.DUMMYFUNCTION("""COMPUTED_VALUE"""),"FTS")</f>
        <v>FTS</v>
      </c>
      <c r="J62" s="9" t="str">
        <f>IFERROR(__xludf.DUMMYFUNCTION("""COMPUTED_VALUE"""),"SG")</f>
        <v>SG</v>
      </c>
      <c r="K62" s="9" t="str">
        <f>IFERROR(__xludf.DUMMYFUNCTION("""COMPUTED_VALUE"""),"tSG")</f>
        <v>tSG</v>
      </c>
      <c r="L62" s="9" t="str">
        <f>IFERROR(__xludf.DUMMYFUNCTION("""COMPUTED_VALUE"""),"tSGvl")</f>
        <v>tSGvl</v>
      </c>
      <c r="M62" s="9" t="str">
        <f>IFERROR(__xludf.DUMMYFUNCTION("""COMPUTED_VALUE"""),"tSGmi")</f>
        <v>tSGmi</v>
      </c>
      <c r="N62" s="9"/>
      <c r="O62" s="9"/>
      <c r="P62" s="9"/>
      <c r="Q62" s="9"/>
      <c r="R62" s="9"/>
      <c r="S62" s="42" t="str">
        <f>IFERROR(__xludf.DUMMYFUNCTION("""COMPUTED_VALUE"""),"tSG36;
tSGtf")</f>
        <v>tSG36;
tSGtf</v>
      </c>
      <c r="T62" s="42"/>
      <c r="U62" s="42" t="b">
        <f>IFERROR(__xludf.DUMMYFUNCTION("""COMPUTED_VALUE"""),FALSE)</f>
        <v>0</v>
      </c>
      <c r="V62" s="42"/>
      <c r="W62" s="42"/>
      <c r="X62" s="42"/>
      <c r="Y62" s="42"/>
      <c r="Z62" s="42"/>
      <c r="AA62" s="42"/>
      <c r="AB62" s="42" t="str">
        <f>IFERROR(__xludf.DUMMYFUNCTION("""COMPUTED_VALUE"""),"allen institute")</f>
        <v>allen institute</v>
      </c>
      <c r="AC62" s="42" t="str">
        <f>IFERROR(__xludf.DUMMYFUNCTION("""COMPUTED_VALUE"""),"DHBA")</f>
        <v>DHBA</v>
      </c>
      <c r="AD62" s="42"/>
      <c r="AE62" s="42"/>
      <c r="AF62" s="9"/>
      <c r="AG62" s="9"/>
      <c r="AH62" s="42"/>
      <c r="AI62" s="42"/>
      <c r="AJ62" s="42"/>
      <c r="AK62" s="42"/>
      <c r="AL62" s="42"/>
      <c r="AM62" s="42"/>
      <c r="AN62" s="42"/>
      <c r="AO62" s="63" t="str">
        <f>IFERROR(__xludf.DUMMYFUNCTION("IF(ISBLANK(A62),,IF(ISBLANK(S62), A62&amp;"";"", TEXTJOIN(CHAR(10), TRUE, A62&amp;"";"", ARRAYFORMULA(VLOOKUP(SPLIT(S62, "";"" &amp; CHAR(10)), $A:$AO, 41, FALSE)))))"),"tSGmi;
tSG36;
tSGtf;")</f>
        <v>tSGmi;
tSG36;
tSGtf;</v>
      </c>
      <c r="AP62" s="89"/>
    </row>
    <row r="63">
      <c r="A63" s="151" t="str">
        <f>IFERROR(__xludf.DUMMYFUNCTION("""COMPUTED_VALUE"""),"tSG36")</f>
        <v>tSG36</v>
      </c>
      <c r="B63" s="42" t="str">
        <f>IFERROR(__xludf.DUMMYFUNCTION("""COMPUTED_VALUE"""),"DHBA")</f>
        <v>DHBA</v>
      </c>
      <c r="C63" s="42" t="str">
        <f>IFERROR(__xludf.DUMMYFUNCTION("""COMPUTED_VALUE"""),"SG in rostral midinferior temporal cortex (area 36)")</f>
        <v>SG in rostral midinferior temporal cortex (area 36)</v>
      </c>
      <c r="D63" s="42">
        <f>IFERROR(__xludf.DUMMYFUNCTION("""COMPUTED_VALUE"""),29.0)</f>
        <v>29</v>
      </c>
      <c r="E63" s="39" t="str">
        <f>IFERROR(__xludf.DUMMYFUNCTION("""COMPUTED_VALUE"""),"SG in rostral midinferior temporal cortex (area 36)")</f>
        <v>SG in rostral midinferior temporal cortex (area 36)</v>
      </c>
      <c r="F63" s="9" t="str">
        <f>IFERROR(__xludf.DUMMYFUNCTION("""COMPUTED_VALUE"""),"Br")</f>
        <v>Br</v>
      </c>
      <c r="G63" s="9" t="str">
        <f>IFERROR(__xludf.DUMMYFUNCTION("""COMPUTED_VALUE"""),"F")</f>
        <v>F</v>
      </c>
      <c r="H63" s="9" t="str">
        <f>IFERROR(__xludf.DUMMYFUNCTION("""COMPUTED_VALUE"""),"FGM")</f>
        <v>FGM</v>
      </c>
      <c r="I63" s="9" t="str">
        <f>IFERROR(__xludf.DUMMYFUNCTION("""COMPUTED_VALUE"""),"FTS")</f>
        <v>FTS</v>
      </c>
      <c r="J63" s="9" t="str">
        <f>IFERROR(__xludf.DUMMYFUNCTION("""COMPUTED_VALUE"""),"SG")</f>
        <v>SG</v>
      </c>
      <c r="K63" s="9" t="str">
        <f>IFERROR(__xludf.DUMMYFUNCTION("""COMPUTED_VALUE"""),"tSG")</f>
        <v>tSG</v>
      </c>
      <c r="L63" s="9" t="str">
        <f>IFERROR(__xludf.DUMMYFUNCTION("""COMPUTED_VALUE"""),"tSGvl")</f>
        <v>tSGvl</v>
      </c>
      <c r="M63" s="9" t="str">
        <f>IFERROR(__xludf.DUMMYFUNCTION("""COMPUTED_VALUE"""),"tSGmi")</f>
        <v>tSGmi</v>
      </c>
      <c r="N63" s="9" t="str">
        <f>IFERROR(__xludf.DUMMYFUNCTION("""COMPUTED_VALUE"""),"tSG36")</f>
        <v>tSG36</v>
      </c>
      <c r="O63" s="9"/>
      <c r="P63" s="9"/>
      <c r="Q63" s="9"/>
      <c r="R63" s="9"/>
      <c r="S63" s="42"/>
      <c r="T63" s="42"/>
      <c r="U63" s="42"/>
      <c r="V63" s="42"/>
      <c r="W63" s="42"/>
      <c r="X63" s="42"/>
      <c r="Y63" s="42"/>
      <c r="Z63" s="42"/>
      <c r="AA63" s="42"/>
      <c r="AB63" s="42" t="str">
        <f>IFERROR(__xludf.DUMMYFUNCTION("""COMPUTED_VALUE"""),"allen institute")</f>
        <v>allen institute</v>
      </c>
      <c r="AC63" s="42" t="str">
        <f>IFERROR(__xludf.DUMMYFUNCTION("""COMPUTED_VALUE"""),"DHBA")</f>
        <v>DHBA</v>
      </c>
      <c r="AD63" s="42"/>
      <c r="AE63" s="42"/>
      <c r="AF63" s="9"/>
      <c r="AG63" s="9"/>
      <c r="AH63" s="42"/>
      <c r="AI63" s="42"/>
      <c r="AJ63" s="42"/>
      <c r="AK63" s="42"/>
      <c r="AL63" s="42"/>
      <c r="AM63" s="42"/>
      <c r="AN63" s="42"/>
      <c r="AO63" s="63" t="str">
        <f>IFERROR(__xludf.DUMMYFUNCTION("IF(ISBLANK(A63),,IF(ISBLANK(S63), A63&amp;"";"", TEXTJOIN(CHAR(10), TRUE, A63&amp;"";"", ARRAYFORMULA(VLOOKUP(SPLIT(S63, "";"" &amp; CHAR(10)), $A:$AO, 41, FALSE)))))"),"tSG36;")</f>
        <v>tSG36;</v>
      </c>
      <c r="AP63" s="89"/>
    </row>
    <row r="64">
      <c r="A64" s="151" t="str">
        <f>IFERROR(__xludf.DUMMYFUNCTION("""COMPUTED_VALUE"""),"tSGtf")</f>
        <v>tSGtf</v>
      </c>
      <c r="B64" s="42" t="str">
        <f>IFERROR(__xludf.DUMMYFUNCTION("""COMPUTED_VALUE"""),"DHBA")</f>
        <v>DHBA</v>
      </c>
      <c r="C64" s="42" t="str">
        <f>IFERROR(__xludf.DUMMYFUNCTION("""COMPUTED_VALUE"""),"SG in caudal midinferior temporal cortex (area TF)")</f>
        <v>SG in caudal midinferior temporal cortex (area TF)</v>
      </c>
      <c r="D64" s="42">
        <f>IFERROR(__xludf.DUMMYFUNCTION("""COMPUTED_VALUE"""),30.0)</f>
        <v>30</v>
      </c>
      <c r="E64" s="39" t="str">
        <f>IFERROR(__xludf.DUMMYFUNCTION("""COMPUTED_VALUE"""),"SG in caudal midinferior temporal cortex (area TF)")</f>
        <v>SG in caudal midinferior temporal cortex (area TF)</v>
      </c>
      <c r="F64" s="9" t="str">
        <f>IFERROR(__xludf.DUMMYFUNCTION("""COMPUTED_VALUE"""),"Br")</f>
        <v>Br</v>
      </c>
      <c r="G64" s="9" t="str">
        <f>IFERROR(__xludf.DUMMYFUNCTION("""COMPUTED_VALUE"""),"F")</f>
        <v>F</v>
      </c>
      <c r="H64" s="9" t="str">
        <f>IFERROR(__xludf.DUMMYFUNCTION("""COMPUTED_VALUE"""),"FGM")</f>
        <v>FGM</v>
      </c>
      <c r="I64" s="9" t="str">
        <f>IFERROR(__xludf.DUMMYFUNCTION("""COMPUTED_VALUE"""),"FTS")</f>
        <v>FTS</v>
      </c>
      <c r="J64" s="9" t="str">
        <f>IFERROR(__xludf.DUMMYFUNCTION("""COMPUTED_VALUE"""),"SG")</f>
        <v>SG</v>
      </c>
      <c r="K64" s="9" t="str">
        <f>IFERROR(__xludf.DUMMYFUNCTION("""COMPUTED_VALUE"""),"tSG")</f>
        <v>tSG</v>
      </c>
      <c r="L64" s="9" t="str">
        <f>IFERROR(__xludf.DUMMYFUNCTION("""COMPUTED_VALUE"""),"tSGvl")</f>
        <v>tSGvl</v>
      </c>
      <c r="M64" s="9" t="str">
        <f>IFERROR(__xludf.DUMMYFUNCTION("""COMPUTED_VALUE"""),"tSGmi")</f>
        <v>tSGmi</v>
      </c>
      <c r="N64" s="9" t="str">
        <f>IFERROR(__xludf.DUMMYFUNCTION("""COMPUTED_VALUE"""),"tSGtf")</f>
        <v>tSGtf</v>
      </c>
      <c r="O64" s="9"/>
      <c r="P64" s="9"/>
      <c r="Q64" s="9"/>
      <c r="R64" s="9"/>
      <c r="S64" s="42"/>
      <c r="T64" s="42"/>
      <c r="U64" s="42"/>
      <c r="V64" s="42"/>
      <c r="W64" s="42"/>
      <c r="X64" s="42"/>
      <c r="Y64" s="42"/>
      <c r="Z64" s="42"/>
      <c r="AA64" s="42"/>
      <c r="AB64" s="42" t="str">
        <f>IFERROR(__xludf.DUMMYFUNCTION("""COMPUTED_VALUE"""),"allen institute")</f>
        <v>allen institute</v>
      </c>
      <c r="AC64" s="42" t="str">
        <f>IFERROR(__xludf.DUMMYFUNCTION("""COMPUTED_VALUE"""),"DHBA")</f>
        <v>DHBA</v>
      </c>
      <c r="AD64" s="42"/>
      <c r="AE64" s="42"/>
      <c r="AF64" s="9"/>
      <c r="AG64" s="9"/>
      <c r="AH64" s="42"/>
      <c r="AI64" s="42"/>
      <c r="AJ64" s="42"/>
      <c r="AK64" s="42"/>
      <c r="AL64" s="42"/>
      <c r="AM64" s="42"/>
      <c r="AN64" s="42"/>
      <c r="AO64" s="63" t="str">
        <f>IFERROR(__xludf.DUMMYFUNCTION("IF(ISBLANK(A64),,IF(ISBLANK(S64), A64&amp;"";"", TEXTJOIN(CHAR(10), TRUE, A64&amp;"";"", ARRAYFORMULA(VLOOKUP(SPLIT(S64, "";"" &amp; CHAR(10)), $A:$AO, 41, FALSE)))))"),"tSGtf;")</f>
        <v>tSGtf;</v>
      </c>
      <c r="AP64" s="89"/>
    </row>
    <row r="65">
      <c r="A65" s="151" t="str">
        <f>IFERROR(__xludf.DUMMYFUNCTION("""COMPUTED_VALUE"""),"tSGph")</f>
        <v>tSGph</v>
      </c>
      <c r="B65" s="42" t="str">
        <f>IFERROR(__xludf.DUMMYFUNCTION("""COMPUTED_VALUE"""),"DHBA")</f>
        <v>DHBA</v>
      </c>
      <c r="C65" s="42" t="str">
        <f>IFERROR(__xludf.DUMMYFUNCTION("""COMPUTED_VALUE"""),"SG in posterior parahippocampal cortex")</f>
        <v>SG in posterior parahippocampal cortex</v>
      </c>
      <c r="D65" s="42">
        <f>IFERROR(__xludf.DUMMYFUNCTION("""COMPUTED_VALUE"""),31.0)</f>
        <v>31</v>
      </c>
      <c r="E65" s="39" t="str">
        <f>IFERROR(__xludf.DUMMYFUNCTION("""COMPUTED_VALUE"""),"SG in posterior parahippocampal cortex")</f>
        <v>SG in posterior parahippocampal cortex</v>
      </c>
      <c r="F65" s="9" t="str">
        <f>IFERROR(__xludf.DUMMYFUNCTION("""COMPUTED_VALUE"""),"Br")</f>
        <v>Br</v>
      </c>
      <c r="G65" s="9" t="str">
        <f>IFERROR(__xludf.DUMMYFUNCTION("""COMPUTED_VALUE"""),"F")</f>
        <v>F</v>
      </c>
      <c r="H65" s="9" t="str">
        <f>IFERROR(__xludf.DUMMYFUNCTION("""COMPUTED_VALUE"""),"FGM")</f>
        <v>FGM</v>
      </c>
      <c r="I65" s="9" t="str">
        <f>IFERROR(__xludf.DUMMYFUNCTION("""COMPUTED_VALUE"""),"FTS")</f>
        <v>FTS</v>
      </c>
      <c r="J65" s="9" t="str">
        <f>IFERROR(__xludf.DUMMYFUNCTION("""COMPUTED_VALUE"""),"SG")</f>
        <v>SG</v>
      </c>
      <c r="K65" s="9" t="str">
        <f>IFERROR(__xludf.DUMMYFUNCTION("""COMPUTED_VALUE"""),"tSG")</f>
        <v>tSG</v>
      </c>
      <c r="L65" s="9" t="str">
        <f>IFERROR(__xludf.DUMMYFUNCTION("""COMPUTED_VALUE"""),"tSGph")</f>
        <v>tSGph</v>
      </c>
      <c r="M65" s="9"/>
      <c r="N65" s="9"/>
      <c r="O65" s="9"/>
      <c r="P65" s="9"/>
      <c r="Q65" s="9"/>
      <c r="R65" s="9"/>
      <c r="S65" s="42"/>
      <c r="T65" s="42"/>
      <c r="U65" s="42"/>
      <c r="V65" s="42"/>
      <c r="W65" s="42"/>
      <c r="X65" s="42"/>
      <c r="Y65" s="42"/>
      <c r="Z65" s="42"/>
      <c r="AA65" s="42"/>
      <c r="AB65" s="42" t="str">
        <f>IFERROR(__xludf.DUMMYFUNCTION("""COMPUTED_VALUE"""),"allen institute")</f>
        <v>allen institute</v>
      </c>
      <c r="AC65" s="42" t="str">
        <f>IFERROR(__xludf.DUMMYFUNCTION("""COMPUTED_VALUE"""),"DHBA")</f>
        <v>DHBA</v>
      </c>
      <c r="AD65" s="42"/>
      <c r="AE65" s="42"/>
      <c r="AF65" s="9"/>
      <c r="AG65" s="9"/>
      <c r="AH65" s="42"/>
      <c r="AI65" s="42"/>
      <c r="AJ65" s="42"/>
      <c r="AK65" s="42"/>
      <c r="AL65" s="42"/>
      <c r="AM65" s="42"/>
      <c r="AN65" s="42"/>
      <c r="AO65" s="63" t="str">
        <f>IFERROR(__xludf.DUMMYFUNCTION("IF(ISBLANK(A65),,IF(ISBLANK(S65), A65&amp;"";"", TEXTJOIN(CHAR(10), TRUE, A65&amp;"";"", ARRAYFORMULA(VLOOKUP(SPLIT(S65, "";"" &amp; CHAR(10)), $A:$AO, 41, FALSE)))))"),"tSGph;")</f>
        <v>tSGph;</v>
      </c>
      <c r="AP65" s="89"/>
    </row>
    <row r="66">
      <c r="A66" s="151" t="str">
        <f>IFERROR(__xludf.DUMMYFUNCTION("""COMPUTED_VALUE"""),"tSGmt")</f>
        <v>tSGmt</v>
      </c>
      <c r="B66" s="42" t="str">
        <f>IFERROR(__xludf.DUMMYFUNCTION("""COMPUTED_VALUE"""),"DHBA")</f>
        <v>DHBA</v>
      </c>
      <c r="C66" s="42" t="str">
        <f>IFERROR(__xludf.DUMMYFUNCTION("""COMPUTED_VALUE"""),"SG in medial temporal-occipital cortex")</f>
        <v>SG in medial temporal-occipital cortex</v>
      </c>
      <c r="D66" s="42">
        <f>IFERROR(__xludf.DUMMYFUNCTION("""COMPUTED_VALUE"""),32.0)</f>
        <v>32</v>
      </c>
      <c r="E66" s="39" t="str">
        <f>IFERROR(__xludf.DUMMYFUNCTION("""COMPUTED_VALUE"""),"SG in medial temporal-occipital cortex")</f>
        <v>SG in medial temporal-occipital cortex</v>
      </c>
      <c r="F66" s="9" t="str">
        <f>IFERROR(__xludf.DUMMYFUNCTION("""COMPUTED_VALUE"""),"Br")</f>
        <v>Br</v>
      </c>
      <c r="G66" s="9" t="str">
        <f>IFERROR(__xludf.DUMMYFUNCTION("""COMPUTED_VALUE"""),"F")</f>
        <v>F</v>
      </c>
      <c r="H66" s="9" t="str">
        <f>IFERROR(__xludf.DUMMYFUNCTION("""COMPUTED_VALUE"""),"FGM")</f>
        <v>FGM</v>
      </c>
      <c r="I66" s="9" t="str">
        <f>IFERROR(__xludf.DUMMYFUNCTION("""COMPUTED_VALUE"""),"FTS")</f>
        <v>FTS</v>
      </c>
      <c r="J66" s="9" t="str">
        <f>IFERROR(__xludf.DUMMYFUNCTION("""COMPUTED_VALUE"""),"SG")</f>
        <v>SG</v>
      </c>
      <c r="K66" s="9" t="str">
        <f>IFERROR(__xludf.DUMMYFUNCTION("""COMPUTED_VALUE"""),"tSG")</f>
        <v>tSG</v>
      </c>
      <c r="L66" s="9" t="str">
        <f>IFERROR(__xludf.DUMMYFUNCTION("""COMPUTED_VALUE"""),"tSGmt")</f>
        <v>tSGmt</v>
      </c>
      <c r="M66" s="9"/>
      <c r="N66" s="9"/>
      <c r="O66" s="9"/>
      <c r="P66" s="9"/>
      <c r="Q66" s="9"/>
      <c r="R66" s="9"/>
      <c r="S66" s="42"/>
      <c r="T66" s="42"/>
      <c r="U66" s="42"/>
      <c r="V66" s="42"/>
      <c r="W66" s="42"/>
      <c r="X66" s="42"/>
      <c r="Y66" s="42"/>
      <c r="Z66" s="42"/>
      <c r="AA66" s="42"/>
      <c r="AB66" s="42" t="str">
        <f>IFERROR(__xludf.DUMMYFUNCTION("""COMPUTED_VALUE"""),"allen institute")</f>
        <v>allen institute</v>
      </c>
      <c r="AC66" s="42" t="str">
        <f>IFERROR(__xludf.DUMMYFUNCTION("""COMPUTED_VALUE"""),"DHBA")</f>
        <v>DHBA</v>
      </c>
      <c r="AD66" s="42"/>
      <c r="AE66" s="42"/>
      <c r="AF66" s="9"/>
      <c r="AG66" s="9"/>
      <c r="AH66" s="42"/>
      <c r="AI66" s="42"/>
      <c r="AJ66" s="42"/>
      <c r="AK66" s="42"/>
      <c r="AL66" s="42"/>
      <c r="AM66" s="42"/>
      <c r="AN66" s="42"/>
      <c r="AO66" s="63" t="str">
        <f>IFERROR(__xludf.DUMMYFUNCTION("IF(ISBLANK(A66),,IF(ISBLANK(S66), A66&amp;"";"", TEXTJOIN(CHAR(10), TRUE, A66&amp;"";"", ARRAYFORMULA(VLOOKUP(SPLIT(S66, "";"" &amp; CHAR(10)), $A:$AO, 41, FALSE)))))"),"tSGmt;")</f>
        <v>tSGmt;</v>
      </c>
      <c r="AP66" s="89"/>
    </row>
    <row r="67">
      <c r="A67" s="151" t="str">
        <f>IFERROR(__xludf.DUMMYFUNCTION("""COMPUTED_VALUE"""),"tSGlt")</f>
        <v>tSGlt</v>
      </c>
      <c r="B67" s="42" t="str">
        <f>IFERROR(__xludf.DUMMYFUNCTION("""COMPUTED_VALUE"""),"DHBA")</f>
        <v>DHBA</v>
      </c>
      <c r="C67" s="42" t="str">
        <f>IFERROR(__xludf.DUMMYFUNCTION("""COMPUTED_VALUE"""),"SG in lateral temporal-occipital cortex")</f>
        <v>SG in lateral temporal-occipital cortex</v>
      </c>
      <c r="D67" s="42">
        <f>IFERROR(__xludf.DUMMYFUNCTION("""COMPUTED_VALUE"""),33.0)</f>
        <v>33</v>
      </c>
      <c r="E67" s="39" t="str">
        <f>IFERROR(__xludf.DUMMYFUNCTION("""COMPUTED_VALUE"""),"SG in lateral temporal-occipital cortex")</f>
        <v>SG in lateral temporal-occipital cortex</v>
      </c>
      <c r="F67" s="9" t="str">
        <f>IFERROR(__xludf.DUMMYFUNCTION("""COMPUTED_VALUE"""),"Br")</f>
        <v>Br</v>
      </c>
      <c r="G67" s="9" t="str">
        <f>IFERROR(__xludf.DUMMYFUNCTION("""COMPUTED_VALUE"""),"F")</f>
        <v>F</v>
      </c>
      <c r="H67" s="9" t="str">
        <f>IFERROR(__xludf.DUMMYFUNCTION("""COMPUTED_VALUE"""),"FGM")</f>
        <v>FGM</v>
      </c>
      <c r="I67" s="9" t="str">
        <f>IFERROR(__xludf.DUMMYFUNCTION("""COMPUTED_VALUE"""),"FTS")</f>
        <v>FTS</v>
      </c>
      <c r="J67" s="9" t="str">
        <f>IFERROR(__xludf.DUMMYFUNCTION("""COMPUTED_VALUE"""),"SG")</f>
        <v>SG</v>
      </c>
      <c r="K67" s="9" t="str">
        <f>IFERROR(__xludf.DUMMYFUNCTION("""COMPUTED_VALUE"""),"tSG")</f>
        <v>tSG</v>
      </c>
      <c r="L67" s="9" t="str">
        <f>IFERROR(__xludf.DUMMYFUNCTION("""COMPUTED_VALUE"""),"tSGlt")</f>
        <v>tSGlt</v>
      </c>
      <c r="M67" s="9"/>
      <c r="N67" s="9"/>
      <c r="O67" s="9"/>
      <c r="P67" s="9"/>
      <c r="Q67" s="9"/>
      <c r="R67" s="9"/>
      <c r="S67" s="42"/>
      <c r="T67" s="42"/>
      <c r="U67" s="42"/>
      <c r="V67" s="42"/>
      <c r="W67" s="42"/>
      <c r="X67" s="42"/>
      <c r="Y67" s="42"/>
      <c r="Z67" s="42"/>
      <c r="AA67" s="42"/>
      <c r="AB67" s="42" t="str">
        <f>IFERROR(__xludf.DUMMYFUNCTION("""COMPUTED_VALUE"""),"allen institute")</f>
        <v>allen institute</v>
      </c>
      <c r="AC67" s="42" t="str">
        <f>IFERROR(__xludf.DUMMYFUNCTION("""COMPUTED_VALUE"""),"DHBA")</f>
        <v>DHBA</v>
      </c>
      <c r="AD67" s="42"/>
      <c r="AE67" s="42"/>
      <c r="AF67" s="9"/>
      <c r="AG67" s="9"/>
      <c r="AH67" s="42"/>
      <c r="AI67" s="42"/>
      <c r="AJ67" s="42"/>
      <c r="AK67" s="42"/>
      <c r="AL67" s="42"/>
      <c r="AM67" s="42"/>
      <c r="AN67" s="42"/>
      <c r="AO67" s="63" t="str">
        <f>IFERROR(__xludf.DUMMYFUNCTION("IF(ISBLANK(A67),,IF(ISBLANK(S67), A67&amp;"";"", TEXTJOIN(CHAR(10), TRUE, A67&amp;"";"", ARRAYFORMULA(VLOOKUP(SPLIT(S67, "";"" &amp; CHAR(10)), $A:$AO, 41, FALSE)))))"),"tSGlt;")</f>
        <v>tSGlt;</v>
      </c>
      <c r="AP67" s="89"/>
    </row>
    <row r="68">
      <c r="A68" s="151" t="str">
        <f>IFERROR(__xludf.DUMMYFUNCTION("""COMPUTED_VALUE"""),"tSGtp")</f>
        <v>tSGtp</v>
      </c>
      <c r="B68" s="42" t="str">
        <f>IFERROR(__xludf.DUMMYFUNCTION("""COMPUTED_VALUE"""),"DHBA")</f>
        <v>DHBA</v>
      </c>
      <c r="C68" s="42" t="str">
        <f>IFERROR(__xludf.DUMMYFUNCTION("""COMPUTED_VALUE"""),"SG in temporal polar cortex")</f>
        <v>SG in temporal polar cortex</v>
      </c>
      <c r="D68" s="42">
        <f>IFERROR(__xludf.DUMMYFUNCTION("""COMPUTED_VALUE"""),34.0)</f>
        <v>34</v>
      </c>
      <c r="E68" s="39" t="str">
        <f>IFERROR(__xludf.DUMMYFUNCTION("""COMPUTED_VALUE"""),"SG in temporal polar cortex")</f>
        <v>SG in temporal polar cortex</v>
      </c>
      <c r="F68" s="9" t="str">
        <f>IFERROR(__xludf.DUMMYFUNCTION("""COMPUTED_VALUE"""),"Br")</f>
        <v>Br</v>
      </c>
      <c r="G68" s="9" t="str">
        <f>IFERROR(__xludf.DUMMYFUNCTION("""COMPUTED_VALUE"""),"F")</f>
        <v>F</v>
      </c>
      <c r="H68" s="9" t="str">
        <f>IFERROR(__xludf.DUMMYFUNCTION("""COMPUTED_VALUE"""),"FGM")</f>
        <v>FGM</v>
      </c>
      <c r="I68" s="9" t="str">
        <f>IFERROR(__xludf.DUMMYFUNCTION("""COMPUTED_VALUE"""),"FTS")</f>
        <v>FTS</v>
      </c>
      <c r="J68" s="9" t="str">
        <f>IFERROR(__xludf.DUMMYFUNCTION("""COMPUTED_VALUE"""),"SG")</f>
        <v>SG</v>
      </c>
      <c r="K68" s="9" t="str">
        <f>IFERROR(__xludf.DUMMYFUNCTION("""COMPUTED_VALUE"""),"tSG")</f>
        <v>tSG</v>
      </c>
      <c r="L68" s="9" t="str">
        <f>IFERROR(__xludf.DUMMYFUNCTION("""COMPUTED_VALUE"""),"tSGtp")</f>
        <v>tSGtp</v>
      </c>
      <c r="M68" s="9"/>
      <c r="N68" s="9"/>
      <c r="O68" s="9"/>
      <c r="P68" s="9"/>
      <c r="Q68" s="9"/>
      <c r="R68" s="9"/>
      <c r="S68" s="42"/>
      <c r="T68" s="42"/>
      <c r="U68" s="42"/>
      <c r="V68" s="42"/>
      <c r="W68" s="42"/>
      <c r="X68" s="42"/>
      <c r="Y68" s="42"/>
      <c r="Z68" s="42"/>
      <c r="AA68" s="42"/>
      <c r="AB68" s="42" t="str">
        <f>IFERROR(__xludf.DUMMYFUNCTION("""COMPUTED_VALUE"""),"allen institute")</f>
        <v>allen institute</v>
      </c>
      <c r="AC68" s="42" t="str">
        <f>IFERROR(__xludf.DUMMYFUNCTION("""COMPUTED_VALUE"""),"DHBA")</f>
        <v>DHBA</v>
      </c>
      <c r="AD68" s="42"/>
      <c r="AE68" s="42"/>
      <c r="AF68" s="9"/>
      <c r="AG68" s="9"/>
      <c r="AH68" s="42"/>
      <c r="AI68" s="42"/>
      <c r="AJ68" s="42"/>
      <c r="AK68" s="42"/>
      <c r="AL68" s="42"/>
      <c r="AM68" s="42"/>
      <c r="AN68" s="42"/>
      <c r="AO68" s="63" t="str">
        <f>IFERROR(__xludf.DUMMYFUNCTION("IF(ISBLANK(A68),,IF(ISBLANK(S68), A68&amp;"";"", TEXTJOIN(CHAR(10), TRUE, A68&amp;"";"", ARRAYFORMULA(VLOOKUP(SPLIT(S68, "";"" &amp; CHAR(10)), $A:$AO, 41, FALSE)))))"),"tSGtp;")</f>
        <v>tSGtp;</v>
      </c>
      <c r="AP68" s="89"/>
    </row>
    <row r="69">
      <c r="A69" s="151" t="str">
        <f>IFERROR(__xludf.DUMMYFUNCTION("""COMPUTED_VALUE"""),"oSG")</f>
        <v>oSG</v>
      </c>
      <c r="B69" s="42" t="str">
        <f>IFERROR(__xludf.DUMMYFUNCTION("""COMPUTED_VALUE"""),"DHBA")</f>
        <v>DHBA</v>
      </c>
      <c r="C69" s="42" t="str">
        <f>IFERROR(__xludf.DUMMYFUNCTION("""COMPUTED_VALUE"""),"SG in occipital neocortex")</f>
        <v>SG in occipital neocortex</v>
      </c>
      <c r="D69" s="42">
        <f>IFERROR(__xludf.DUMMYFUNCTION("""COMPUTED_VALUE"""),35.0)</f>
        <v>35</v>
      </c>
      <c r="E69" s="39" t="str">
        <f>IFERROR(__xludf.DUMMYFUNCTION("""COMPUTED_VALUE"""),"SG in occipital neocortex")</f>
        <v>SG in occipital neocortex</v>
      </c>
      <c r="F69" s="9" t="str">
        <f>IFERROR(__xludf.DUMMYFUNCTION("""COMPUTED_VALUE"""),"Br")</f>
        <v>Br</v>
      </c>
      <c r="G69" s="9" t="str">
        <f>IFERROR(__xludf.DUMMYFUNCTION("""COMPUTED_VALUE"""),"F")</f>
        <v>F</v>
      </c>
      <c r="H69" s="9" t="str">
        <f>IFERROR(__xludf.DUMMYFUNCTION("""COMPUTED_VALUE"""),"FGM")</f>
        <v>FGM</v>
      </c>
      <c r="I69" s="9" t="str">
        <f>IFERROR(__xludf.DUMMYFUNCTION("""COMPUTED_VALUE"""),"FTS")</f>
        <v>FTS</v>
      </c>
      <c r="J69" s="9" t="str">
        <f>IFERROR(__xludf.DUMMYFUNCTION("""COMPUTED_VALUE"""),"SG")</f>
        <v>SG</v>
      </c>
      <c r="K69" s="9" t="str">
        <f>IFERROR(__xludf.DUMMYFUNCTION("""COMPUTED_VALUE"""),"oSG")</f>
        <v>oSG</v>
      </c>
      <c r="L69" s="9"/>
      <c r="M69" s="9"/>
      <c r="N69" s="9"/>
      <c r="O69" s="9"/>
      <c r="P69" s="9"/>
      <c r="Q69" s="9"/>
      <c r="R69" s="9"/>
      <c r="S69" s="42" t="str">
        <f>IFERROR(__xludf.DUMMYFUNCTION("""COMPUTED_VALUE"""),"oSGpro;
oSGv1;
oSGexs")</f>
        <v>oSGpro;
oSGv1;
oSGexs</v>
      </c>
      <c r="T69" s="42"/>
      <c r="U69" s="159" t="b">
        <f>IFERROR(__xludf.DUMMYFUNCTION("""COMPUTED_VALUE"""),FALSE)</f>
        <v>0</v>
      </c>
      <c r="V69" s="42"/>
      <c r="W69" s="42"/>
      <c r="X69" s="42"/>
      <c r="Y69" s="42"/>
      <c r="Z69" s="42"/>
      <c r="AA69" s="42"/>
      <c r="AB69" s="42" t="str">
        <f>IFERROR(__xludf.DUMMYFUNCTION("""COMPUTED_VALUE"""),"allen institute")</f>
        <v>allen institute</v>
      </c>
      <c r="AC69" s="42" t="str">
        <f>IFERROR(__xludf.DUMMYFUNCTION("""COMPUTED_VALUE"""),"DHBA")</f>
        <v>DHBA</v>
      </c>
      <c r="AD69" s="42"/>
      <c r="AE69" s="42"/>
      <c r="AF69" s="9"/>
      <c r="AG69" s="9"/>
      <c r="AH69" s="42"/>
      <c r="AI69" s="42"/>
      <c r="AJ69" s="42"/>
      <c r="AK69" s="42"/>
      <c r="AL69" s="42"/>
      <c r="AM69" s="42"/>
      <c r="AN69" s="42"/>
      <c r="AO69" s="63" t="str">
        <f>IFERROR(__xludf.DUMMYFUNCTION("IF(ISBLANK(A69),,IF(ISBLANK(S69), A69&amp;"";"", TEXTJOIN(CHAR(10), TRUE, A69&amp;"";"", ARRAYFORMULA(VLOOKUP(SPLIT(S69, "";"" &amp; CHAR(10)), $A:$AO, 41, FALSE)))))"),"oSG;
oSGpro;
oSGv1;
oSGexs;
oSGdm;
oSGvm;
oSGml;")</f>
        <v>oSG;
oSGpro;
oSGv1;
oSGexs;
oSGdm;
oSGvm;
oSGml;</v>
      </c>
      <c r="AP69" s="89"/>
    </row>
    <row r="70">
      <c r="A70" s="151" t="str">
        <f>IFERROR(__xludf.DUMMYFUNCTION("""COMPUTED_VALUE"""),"oSGpro")</f>
        <v>oSGpro</v>
      </c>
      <c r="B70" s="42" t="str">
        <f>IFERROR(__xludf.DUMMYFUNCTION("""COMPUTED_VALUE"""),"DHBA")</f>
        <v>DHBA</v>
      </c>
      <c r="C70" s="42" t="str">
        <f>IFERROR(__xludf.DUMMYFUNCTION("""COMPUTED_VALUE"""),"SG in area prostriata")</f>
        <v>SG in area prostriata</v>
      </c>
      <c r="D70" s="42">
        <f>IFERROR(__xludf.DUMMYFUNCTION("""COMPUTED_VALUE"""),36.0)</f>
        <v>36</v>
      </c>
      <c r="E70" s="39" t="str">
        <f>IFERROR(__xludf.DUMMYFUNCTION("""COMPUTED_VALUE"""),"SG in area prostriata")</f>
        <v>SG in area prostriata</v>
      </c>
      <c r="F70" s="9" t="str">
        <f>IFERROR(__xludf.DUMMYFUNCTION("""COMPUTED_VALUE"""),"Br")</f>
        <v>Br</v>
      </c>
      <c r="G70" s="9" t="str">
        <f>IFERROR(__xludf.DUMMYFUNCTION("""COMPUTED_VALUE"""),"F")</f>
        <v>F</v>
      </c>
      <c r="H70" s="9" t="str">
        <f>IFERROR(__xludf.DUMMYFUNCTION("""COMPUTED_VALUE"""),"FGM")</f>
        <v>FGM</v>
      </c>
      <c r="I70" s="9" t="str">
        <f>IFERROR(__xludf.DUMMYFUNCTION("""COMPUTED_VALUE"""),"FTS")</f>
        <v>FTS</v>
      </c>
      <c r="J70" s="9" t="str">
        <f>IFERROR(__xludf.DUMMYFUNCTION("""COMPUTED_VALUE"""),"SG")</f>
        <v>SG</v>
      </c>
      <c r="K70" s="9" t="str">
        <f>IFERROR(__xludf.DUMMYFUNCTION("""COMPUTED_VALUE"""),"oSG")</f>
        <v>oSG</v>
      </c>
      <c r="L70" s="9" t="str">
        <f>IFERROR(__xludf.DUMMYFUNCTION("""COMPUTED_VALUE"""),"oSGpro")</f>
        <v>oSGpro</v>
      </c>
      <c r="M70" s="9"/>
      <c r="N70" s="9"/>
      <c r="O70" s="9"/>
      <c r="P70" s="9"/>
      <c r="Q70" s="9"/>
      <c r="R70" s="9"/>
      <c r="S70" s="42"/>
      <c r="T70" s="42"/>
      <c r="U70" s="159"/>
      <c r="V70" s="42"/>
      <c r="W70" s="42"/>
      <c r="X70" s="42"/>
      <c r="Y70" s="42"/>
      <c r="Z70" s="42"/>
      <c r="AA70" s="42"/>
      <c r="AB70" s="42" t="str">
        <f>IFERROR(__xludf.DUMMYFUNCTION("""COMPUTED_VALUE"""),"allen institute")</f>
        <v>allen institute</v>
      </c>
      <c r="AC70" s="42" t="str">
        <f>IFERROR(__xludf.DUMMYFUNCTION("""COMPUTED_VALUE"""),"DHBA")</f>
        <v>DHBA</v>
      </c>
      <c r="AD70" s="42"/>
      <c r="AE70" s="42"/>
      <c r="AF70" s="9"/>
      <c r="AG70" s="9"/>
      <c r="AH70" s="42"/>
      <c r="AI70" s="42"/>
      <c r="AJ70" s="42"/>
      <c r="AK70" s="42"/>
      <c r="AL70" s="42"/>
      <c r="AM70" s="42"/>
      <c r="AN70" s="42"/>
      <c r="AO70" s="63" t="str">
        <f>IFERROR(__xludf.DUMMYFUNCTION("IF(ISBLANK(A70),,IF(ISBLANK(S70), A70&amp;"";"", TEXTJOIN(CHAR(10), TRUE, A70&amp;"";"", ARRAYFORMULA(VLOOKUP(SPLIT(S70, "";"" &amp; CHAR(10)), $A:$AO, 41, FALSE)))))"),"oSGpro;")</f>
        <v>oSGpro;</v>
      </c>
      <c r="AP70" s="89"/>
    </row>
    <row r="71">
      <c r="A71" s="151" t="str">
        <f>IFERROR(__xludf.DUMMYFUNCTION("""COMPUTED_VALUE"""),"oSGv1")</f>
        <v>oSGv1</v>
      </c>
      <c r="B71" s="42" t="str">
        <f>IFERROR(__xludf.DUMMYFUNCTION("""COMPUTED_VALUE"""),"DHBA")</f>
        <v>DHBA</v>
      </c>
      <c r="C71" s="42" t="str">
        <f>IFERROR(__xludf.DUMMYFUNCTION("""COMPUTED_VALUE"""),"SG in primary visual cortex")</f>
        <v>SG in primary visual cortex</v>
      </c>
      <c r="D71" s="42">
        <f>IFERROR(__xludf.DUMMYFUNCTION("""COMPUTED_VALUE"""),37.0)</f>
        <v>37</v>
      </c>
      <c r="E71" s="39" t="str">
        <f>IFERROR(__xludf.DUMMYFUNCTION("""COMPUTED_VALUE"""),"SG in primary visual cortex")</f>
        <v>SG in primary visual cortex</v>
      </c>
      <c r="F71" s="9" t="str">
        <f>IFERROR(__xludf.DUMMYFUNCTION("""COMPUTED_VALUE"""),"Br")</f>
        <v>Br</v>
      </c>
      <c r="G71" s="9" t="str">
        <f>IFERROR(__xludf.DUMMYFUNCTION("""COMPUTED_VALUE"""),"F")</f>
        <v>F</v>
      </c>
      <c r="H71" s="9" t="str">
        <f>IFERROR(__xludf.DUMMYFUNCTION("""COMPUTED_VALUE"""),"FGM")</f>
        <v>FGM</v>
      </c>
      <c r="I71" s="9" t="str">
        <f>IFERROR(__xludf.DUMMYFUNCTION("""COMPUTED_VALUE"""),"FTS")</f>
        <v>FTS</v>
      </c>
      <c r="J71" s="9" t="str">
        <f>IFERROR(__xludf.DUMMYFUNCTION("""COMPUTED_VALUE"""),"SG")</f>
        <v>SG</v>
      </c>
      <c r="K71" s="9" t="str">
        <f>IFERROR(__xludf.DUMMYFUNCTION("""COMPUTED_VALUE"""),"oSG")</f>
        <v>oSG</v>
      </c>
      <c r="L71" s="9" t="str">
        <f>IFERROR(__xludf.DUMMYFUNCTION("""COMPUTED_VALUE"""),"oSGv1")</f>
        <v>oSGv1</v>
      </c>
      <c r="M71" s="9"/>
      <c r="N71" s="9"/>
      <c r="O71" s="9"/>
      <c r="P71" s="9"/>
      <c r="Q71" s="9"/>
      <c r="R71" s="9"/>
      <c r="S71" s="42"/>
      <c r="T71" s="42"/>
      <c r="U71" s="159"/>
      <c r="V71" s="42"/>
      <c r="W71" s="42"/>
      <c r="X71" s="42"/>
      <c r="Y71" s="42"/>
      <c r="Z71" s="42"/>
      <c r="AA71" s="42"/>
      <c r="AB71" s="42" t="str">
        <f>IFERROR(__xludf.DUMMYFUNCTION("""COMPUTED_VALUE"""),"allen institute")</f>
        <v>allen institute</v>
      </c>
      <c r="AC71" s="42" t="str">
        <f>IFERROR(__xludf.DUMMYFUNCTION("""COMPUTED_VALUE"""),"DHBA")</f>
        <v>DHBA</v>
      </c>
      <c r="AD71" s="42"/>
      <c r="AE71" s="42"/>
      <c r="AF71" s="9"/>
      <c r="AG71" s="9"/>
      <c r="AH71" s="42"/>
      <c r="AI71" s="42"/>
      <c r="AJ71" s="42"/>
      <c r="AK71" s="42"/>
      <c r="AL71" s="42"/>
      <c r="AM71" s="42"/>
      <c r="AN71" s="42"/>
      <c r="AO71" s="63" t="str">
        <f>IFERROR(__xludf.DUMMYFUNCTION("IF(ISBLANK(A71),,IF(ISBLANK(S71), A71&amp;"";"", TEXTJOIN(CHAR(10), TRUE, A71&amp;"";"", ARRAYFORMULA(VLOOKUP(SPLIT(S71, "";"" &amp; CHAR(10)), $A:$AO, 41, FALSE)))))"),"oSGv1;")</f>
        <v>oSGv1;</v>
      </c>
      <c r="AP71" s="89"/>
    </row>
    <row r="72">
      <c r="A72" s="151" t="str">
        <f>IFERROR(__xludf.DUMMYFUNCTION("""COMPUTED_VALUE"""),"oSGexs")</f>
        <v>oSGexs</v>
      </c>
      <c r="B72" s="42" t="str">
        <f>IFERROR(__xludf.DUMMYFUNCTION("""COMPUTED_VALUE"""),"DHBA")</f>
        <v>DHBA</v>
      </c>
      <c r="C72" s="42" t="str">
        <f>IFERROR(__xludf.DUMMYFUNCTION("""COMPUTED_VALUE"""),"SG in extrastriate cortex")</f>
        <v>SG in extrastriate cortex</v>
      </c>
      <c r="D72" s="42">
        <f>IFERROR(__xludf.DUMMYFUNCTION("""COMPUTED_VALUE"""),38.0)</f>
        <v>38</v>
      </c>
      <c r="E72" s="39" t="str">
        <f>IFERROR(__xludf.DUMMYFUNCTION("""COMPUTED_VALUE"""),"SG in extrastriate cortex")</f>
        <v>SG in extrastriate cortex</v>
      </c>
      <c r="F72" s="9" t="str">
        <f>IFERROR(__xludf.DUMMYFUNCTION("""COMPUTED_VALUE"""),"Br")</f>
        <v>Br</v>
      </c>
      <c r="G72" s="9" t="str">
        <f>IFERROR(__xludf.DUMMYFUNCTION("""COMPUTED_VALUE"""),"F")</f>
        <v>F</v>
      </c>
      <c r="H72" s="9" t="str">
        <f>IFERROR(__xludf.DUMMYFUNCTION("""COMPUTED_VALUE"""),"FGM")</f>
        <v>FGM</v>
      </c>
      <c r="I72" s="9" t="str">
        <f>IFERROR(__xludf.DUMMYFUNCTION("""COMPUTED_VALUE"""),"FTS")</f>
        <v>FTS</v>
      </c>
      <c r="J72" s="9" t="str">
        <f>IFERROR(__xludf.DUMMYFUNCTION("""COMPUTED_VALUE"""),"SG")</f>
        <v>SG</v>
      </c>
      <c r="K72" s="9" t="str">
        <f>IFERROR(__xludf.DUMMYFUNCTION("""COMPUTED_VALUE"""),"oSG")</f>
        <v>oSG</v>
      </c>
      <c r="L72" s="9" t="str">
        <f>IFERROR(__xludf.DUMMYFUNCTION("""COMPUTED_VALUE"""),"oSGexs")</f>
        <v>oSGexs</v>
      </c>
      <c r="M72" s="9"/>
      <c r="N72" s="9"/>
      <c r="O72" s="9"/>
      <c r="P72" s="9"/>
      <c r="Q72" s="9"/>
      <c r="R72" s="9"/>
      <c r="S72" s="42" t="str">
        <f>IFERROR(__xludf.DUMMYFUNCTION("""COMPUTED_VALUE"""),"oSGdm;
oSGvm;
oSGml")</f>
        <v>oSGdm;
oSGvm;
oSGml</v>
      </c>
      <c r="T72" s="42"/>
      <c r="U72" s="159" t="b">
        <f>IFERROR(__xludf.DUMMYFUNCTION("""COMPUTED_VALUE"""),FALSE)</f>
        <v>0</v>
      </c>
      <c r="V72" s="42"/>
      <c r="W72" s="42"/>
      <c r="X72" s="42"/>
      <c r="Y72" s="42"/>
      <c r="Z72" s="42"/>
      <c r="AA72" s="42"/>
      <c r="AB72" s="42" t="str">
        <f>IFERROR(__xludf.DUMMYFUNCTION("""COMPUTED_VALUE"""),"allen institute")</f>
        <v>allen institute</v>
      </c>
      <c r="AC72" s="42" t="str">
        <f>IFERROR(__xludf.DUMMYFUNCTION("""COMPUTED_VALUE"""),"DHBA")</f>
        <v>DHBA</v>
      </c>
      <c r="AD72" s="42"/>
      <c r="AE72" s="42"/>
      <c r="AF72" s="9"/>
      <c r="AG72" s="9"/>
      <c r="AH72" s="42"/>
      <c r="AI72" s="42"/>
      <c r="AJ72" s="42"/>
      <c r="AK72" s="42"/>
      <c r="AL72" s="42"/>
      <c r="AM72" s="42"/>
      <c r="AN72" s="42"/>
      <c r="AO72" s="63" t="str">
        <f>IFERROR(__xludf.DUMMYFUNCTION("IF(ISBLANK(A72),,IF(ISBLANK(S72), A72&amp;"";"", TEXTJOIN(CHAR(10), TRUE, A72&amp;"";"", ARRAYFORMULA(VLOOKUP(SPLIT(S72, "";"" &amp; CHAR(10)), $A:$AO, 41, FALSE)))))"),"oSGexs;
oSGdm;
oSGvm;
oSGml;")</f>
        <v>oSGexs;
oSGdm;
oSGvm;
oSGml;</v>
      </c>
      <c r="AP72" s="89"/>
    </row>
    <row r="73">
      <c r="A73" s="151" t="str">
        <f>IFERROR(__xludf.DUMMYFUNCTION("""COMPUTED_VALUE"""),"oSGdm")</f>
        <v>oSGdm</v>
      </c>
      <c r="B73" s="42" t="str">
        <f>IFERROR(__xludf.DUMMYFUNCTION("""COMPUTED_VALUE"""),"DHBA")</f>
        <v>DHBA</v>
      </c>
      <c r="C73" s="42" t="str">
        <f>IFERROR(__xludf.DUMMYFUNCTION("""COMPUTED_VALUE"""),"SG in dorsomedial extrastriate cortex (V2)")</f>
        <v>SG in dorsomedial extrastriate cortex (V2)</v>
      </c>
      <c r="D73" s="42">
        <f>IFERROR(__xludf.DUMMYFUNCTION("""COMPUTED_VALUE"""),39.0)</f>
        <v>39</v>
      </c>
      <c r="E73" s="39" t="str">
        <f>IFERROR(__xludf.DUMMYFUNCTION("""COMPUTED_VALUE"""),"SG in dorsomedial extrastriate cortex (V2)")</f>
        <v>SG in dorsomedial extrastriate cortex (V2)</v>
      </c>
      <c r="F73" s="9" t="str">
        <f>IFERROR(__xludf.DUMMYFUNCTION("""COMPUTED_VALUE"""),"Br")</f>
        <v>Br</v>
      </c>
      <c r="G73" s="9" t="str">
        <f>IFERROR(__xludf.DUMMYFUNCTION("""COMPUTED_VALUE"""),"F")</f>
        <v>F</v>
      </c>
      <c r="H73" s="9" t="str">
        <f>IFERROR(__xludf.DUMMYFUNCTION("""COMPUTED_VALUE"""),"FGM")</f>
        <v>FGM</v>
      </c>
      <c r="I73" s="9" t="str">
        <f>IFERROR(__xludf.DUMMYFUNCTION("""COMPUTED_VALUE"""),"FTS")</f>
        <v>FTS</v>
      </c>
      <c r="J73" s="9" t="str">
        <f>IFERROR(__xludf.DUMMYFUNCTION("""COMPUTED_VALUE"""),"SG")</f>
        <v>SG</v>
      </c>
      <c r="K73" s="9" t="str">
        <f>IFERROR(__xludf.DUMMYFUNCTION("""COMPUTED_VALUE"""),"oSG")</f>
        <v>oSG</v>
      </c>
      <c r="L73" s="9" t="str">
        <f>IFERROR(__xludf.DUMMYFUNCTION("""COMPUTED_VALUE"""),"oSGexs")</f>
        <v>oSGexs</v>
      </c>
      <c r="M73" s="9" t="str">
        <f>IFERROR(__xludf.DUMMYFUNCTION("""COMPUTED_VALUE"""),"oSGdm")</f>
        <v>oSGdm</v>
      </c>
      <c r="N73" s="9"/>
      <c r="O73" s="9"/>
      <c r="P73" s="9"/>
      <c r="Q73" s="9"/>
      <c r="R73" s="9"/>
      <c r="S73" s="42"/>
      <c r="T73" s="42"/>
      <c r="U73" s="159"/>
      <c r="V73" s="42"/>
      <c r="W73" s="42"/>
      <c r="X73" s="42"/>
      <c r="Y73" s="42"/>
      <c r="Z73" s="42"/>
      <c r="AA73" s="42"/>
      <c r="AB73" s="42" t="str">
        <f>IFERROR(__xludf.DUMMYFUNCTION("""COMPUTED_VALUE"""),"allen institute")</f>
        <v>allen institute</v>
      </c>
      <c r="AC73" s="42" t="str">
        <f>IFERROR(__xludf.DUMMYFUNCTION("""COMPUTED_VALUE"""),"DHBA")</f>
        <v>DHBA</v>
      </c>
      <c r="AD73" s="42"/>
      <c r="AE73" s="42"/>
      <c r="AF73" s="9"/>
      <c r="AG73" s="9"/>
      <c r="AH73" s="42"/>
      <c r="AI73" s="42"/>
      <c r="AJ73" s="42"/>
      <c r="AK73" s="42"/>
      <c r="AL73" s="42"/>
      <c r="AM73" s="42"/>
      <c r="AN73" s="42"/>
      <c r="AO73" s="63" t="str">
        <f>IFERROR(__xludf.DUMMYFUNCTION("IF(ISBLANK(A73),,IF(ISBLANK(S73), A73&amp;"";"", TEXTJOIN(CHAR(10), TRUE, A73&amp;"";"", ARRAYFORMULA(VLOOKUP(SPLIT(S73, "";"" &amp; CHAR(10)), $A:$AO, 41, FALSE)))))"),"oSGdm;")</f>
        <v>oSGdm;</v>
      </c>
      <c r="AP73" s="89"/>
    </row>
    <row r="74">
      <c r="A74" s="151" t="str">
        <f>IFERROR(__xludf.DUMMYFUNCTION("""COMPUTED_VALUE"""),"oSGvm")</f>
        <v>oSGvm</v>
      </c>
      <c r="B74" s="42" t="str">
        <f>IFERROR(__xludf.DUMMYFUNCTION("""COMPUTED_VALUE"""),"DHBA")</f>
        <v>DHBA</v>
      </c>
      <c r="C74" s="42" t="str">
        <f>IFERROR(__xludf.DUMMYFUNCTION("""COMPUTED_VALUE"""),"SG in ventromedial extrastriate cortex (VP)")</f>
        <v>SG in ventromedial extrastriate cortex (VP)</v>
      </c>
      <c r="D74" s="42">
        <f>IFERROR(__xludf.DUMMYFUNCTION("""COMPUTED_VALUE"""),40.0)</f>
        <v>40</v>
      </c>
      <c r="E74" s="39" t="str">
        <f>IFERROR(__xludf.DUMMYFUNCTION("""COMPUTED_VALUE"""),"SG in ventromedial extrastriate cortex (VP)")</f>
        <v>SG in ventromedial extrastriate cortex (VP)</v>
      </c>
      <c r="F74" s="9" t="str">
        <f>IFERROR(__xludf.DUMMYFUNCTION("""COMPUTED_VALUE"""),"Br")</f>
        <v>Br</v>
      </c>
      <c r="G74" s="9" t="str">
        <f>IFERROR(__xludf.DUMMYFUNCTION("""COMPUTED_VALUE"""),"F")</f>
        <v>F</v>
      </c>
      <c r="H74" s="9" t="str">
        <f>IFERROR(__xludf.DUMMYFUNCTION("""COMPUTED_VALUE"""),"FGM")</f>
        <v>FGM</v>
      </c>
      <c r="I74" s="9" t="str">
        <f>IFERROR(__xludf.DUMMYFUNCTION("""COMPUTED_VALUE"""),"FTS")</f>
        <v>FTS</v>
      </c>
      <c r="J74" s="9" t="str">
        <f>IFERROR(__xludf.DUMMYFUNCTION("""COMPUTED_VALUE"""),"SG")</f>
        <v>SG</v>
      </c>
      <c r="K74" s="9" t="str">
        <f>IFERROR(__xludf.DUMMYFUNCTION("""COMPUTED_VALUE"""),"oSG")</f>
        <v>oSG</v>
      </c>
      <c r="L74" s="9" t="str">
        <f>IFERROR(__xludf.DUMMYFUNCTION("""COMPUTED_VALUE"""),"oSGexs")</f>
        <v>oSGexs</v>
      </c>
      <c r="M74" s="9" t="str">
        <f>IFERROR(__xludf.DUMMYFUNCTION("""COMPUTED_VALUE"""),"oSGvm")</f>
        <v>oSGvm</v>
      </c>
      <c r="N74" s="9"/>
      <c r="O74" s="9"/>
      <c r="P74" s="9"/>
      <c r="Q74" s="9"/>
      <c r="R74" s="9"/>
      <c r="S74" s="42"/>
      <c r="T74" s="42"/>
      <c r="U74" s="159"/>
      <c r="V74" s="42"/>
      <c r="W74" s="42"/>
      <c r="X74" s="42"/>
      <c r="Y74" s="42"/>
      <c r="Z74" s="42"/>
      <c r="AA74" s="42"/>
      <c r="AB74" s="42" t="str">
        <f>IFERROR(__xludf.DUMMYFUNCTION("""COMPUTED_VALUE"""),"allen institute")</f>
        <v>allen institute</v>
      </c>
      <c r="AC74" s="42" t="str">
        <f>IFERROR(__xludf.DUMMYFUNCTION("""COMPUTED_VALUE"""),"DHBA")</f>
        <v>DHBA</v>
      </c>
      <c r="AD74" s="42"/>
      <c r="AE74" s="42"/>
      <c r="AF74" s="9"/>
      <c r="AG74" s="9"/>
      <c r="AH74" s="42"/>
      <c r="AI74" s="42"/>
      <c r="AJ74" s="42"/>
      <c r="AK74" s="42"/>
      <c r="AL74" s="42"/>
      <c r="AM74" s="42"/>
      <c r="AN74" s="42"/>
      <c r="AO74" s="63" t="str">
        <f>IFERROR(__xludf.DUMMYFUNCTION("IF(ISBLANK(A74),,IF(ISBLANK(S74), A74&amp;"";"", TEXTJOIN(CHAR(10), TRUE, A74&amp;"";"", ARRAYFORMULA(VLOOKUP(SPLIT(S74, "";"" &amp; CHAR(10)), $A:$AO, 41, FALSE)))))"),"oSGvm;")</f>
        <v>oSGvm;</v>
      </c>
      <c r="AP74" s="89"/>
    </row>
    <row r="75">
      <c r="A75" s="151" t="str">
        <f>IFERROR(__xludf.DUMMYFUNCTION("""COMPUTED_VALUE"""),"oSGml")</f>
        <v>oSGml</v>
      </c>
      <c r="B75" s="42" t="str">
        <f>IFERROR(__xludf.DUMMYFUNCTION("""COMPUTED_VALUE"""),"DHBA")</f>
        <v>DHBA</v>
      </c>
      <c r="C75" s="42" t="str">
        <f>IFERROR(__xludf.DUMMYFUNCTION("""COMPUTED_VALUE"""),"SG in midlateral extrastriate cortex (area 19)")</f>
        <v>SG in midlateral extrastriate cortex (area 19)</v>
      </c>
      <c r="D75" s="42">
        <f>IFERROR(__xludf.DUMMYFUNCTION("""COMPUTED_VALUE"""),41.0)</f>
        <v>41</v>
      </c>
      <c r="E75" s="39" t="str">
        <f>IFERROR(__xludf.DUMMYFUNCTION("""COMPUTED_VALUE"""),"SG in midlateral extrastriate cortex (area 19)")</f>
        <v>SG in midlateral extrastriate cortex (area 19)</v>
      </c>
      <c r="F75" s="9" t="str">
        <f>IFERROR(__xludf.DUMMYFUNCTION("""COMPUTED_VALUE"""),"Br")</f>
        <v>Br</v>
      </c>
      <c r="G75" s="9" t="str">
        <f>IFERROR(__xludf.DUMMYFUNCTION("""COMPUTED_VALUE"""),"F")</f>
        <v>F</v>
      </c>
      <c r="H75" s="9" t="str">
        <f>IFERROR(__xludf.DUMMYFUNCTION("""COMPUTED_VALUE"""),"FGM")</f>
        <v>FGM</v>
      </c>
      <c r="I75" s="9" t="str">
        <f>IFERROR(__xludf.DUMMYFUNCTION("""COMPUTED_VALUE"""),"FTS")</f>
        <v>FTS</v>
      </c>
      <c r="J75" s="9" t="str">
        <f>IFERROR(__xludf.DUMMYFUNCTION("""COMPUTED_VALUE"""),"SG")</f>
        <v>SG</v>
      </c>
      <c r="K75" s="9" t="str">
        <f>IFERROR(__xludf.DUMMYFUNCTION("""COMPUTED_VALUE"""),"oSG")</f>
        <v>oSG</v>
      </c>
      <c r="L75" s="9" t="str">
        <f>IFERROR(__xludf.DUMMYFUNCTION("""COMPUTED_VALUE"""),"oSGexs")</f>
        <v>oSGexs</v>
      </c>
      <c r="M75" s="9" t="str">
        <f>IFERROR(__xludf.DUMMYFUNCTION("""COMPUTED_VALUE"""),"oSGml")</f>
        <v>oSGml</v>
      </c>
      <c r="N75" s="9"/>
      <c r="O75" s="9"/>
      <c r="P75" s="9"/>
      <c r="Q75" s="9"/>
      <c r="R75" s="9"/>
      <c r="S75" s="42"/>
      <c r="T75" s="42"/>
      <c r="U75" s="159"/>
      <c r="V75" s="42"/>
      <c r="W75" s="42"/>
      <c r="X75" s="42"/>
      <c r="Y75" s="42"/>
      <c r="Z75" s="42"/>
      <c r="AA75" s="42"/>
      <c r="AB75" s="42" t="str">
        <f>IFERROR(__xludf.DUMMYFUNCTION("""COMPUTED_VALUE"""),"allen institute")</f>
        <v>allen institute</v>
      </c>
      <c r="AC75" s="42" t="str">
        <f>IFERROR(__xludf.DUMMYFUNCTION("""COMPUTED_VALUE"""),"DHBA")</f>
        <v>DHBA</v>
      </c>
      <c r="AD75" s="42"/>
      <c r="AE75" s="42"/>
      <c r="AF75" s="9"/>
      <c r="AG75" s="9"/>
      <c r="AH75" s="42"/>
      <c r="AI75" s="42"/>
      <c r="AJ75" s="42"/>
      <c r="AK75" s="42"/>
      <c r="AL75" s="42"/>
      <c r="AM75" s="42"/>
      <c r="AN75" s="42"/>
      <c r="AO75" s="63" t="str">
        <f>IFERROR(__xludf.DUMMYFUNCTION("IF(ISBLANK(A75),,IF(ISBLANK(S75), A75&amp;"";"", TEXTJOIN(CHAR(10), TRUE, A75&amp;"";"", ARRAYFORMULA(VLOOKUP(SPLIT(S75, "";"" &amp; CHAR(10)), $A:$AO, 41, FALSE)))))"),"oSGml;")</f>
        <v>oSGml;</v>
      </c>
      <c r="AP75" s="89"/>
    </row>
    <row r="76">
      <c r="A76" s="151" t="str">
        <f>IFERROR(__xludf.DUMMYFUNCTION("""COMPUTED_VALUE"""),"iSG")</f>
        <v>iSG</v>
      </c>
      <c r="B76" s="42" t="str">
        <f>IFERROR(__xludf.DUMMYFUNCTION("""COMPUTED_VALUE"""),"DHBA")</f>
        <v>DHBA</v>
      </c>
      <c r="C76" s="42" t="str">
        <f>IFERROR(__xludf.DUMMYFUNCTION("""COMPUTED_VALUE"""),"SG in insular neocortex")</f>
        <v>SG in insular neocortex</v>
      </c>
      <c r="D76" s="42">
        <f>IFERROR(__xludf.DUMMYFUNCTION("""COMPUTED_VALUE"""),42.0)</f>
        <v>42</v>
      </c>
      <c r="E76" s="39" t="str">
        <f>IFERROR(__xludf.DUMMYFUNCTION("""COMPUTED_VALUE"""),"SG in insular neocortex")</f>
        <v>SG in insular neocortex</v>
      </c>
      <c r="F76" s="9" t="str">
        <f>IFERROR(__xludf.DUMMYFUNCTION("""COMPUTED_VALUE"""),"Br")</f>
        <v>Br</v>
      </c>
      <c r="G76" s="9" t="str">
        <f>IFERROR(__xludf.DUMMYFUNCTION("""COMPUTED_VALUE"""),"F")</f>
        <v>F</v>
      </c>
      <c r="H76" s="9" t="str">
        <f>IFERROR(__xludf.DUMMYFUNCTION("""COMPUTED_VALUE"""),"FGM")</f>
        <v>FGM</v>
      </c>
      <c r="I76" s="9" t="str">
        <f>IFERROR(__xludf.DUMMYFUNCTION("""COMPUTED_VALUE"""),"FTS")</f>
        <v>FTS</v>
      </c>
      <c r="J76" s="9" t="str">
        <f>IFERROR(__xludf.DUMMYFUNCTION("""COMPUTED_VALUE"""),"SG")</f>
        <v>SG</v>
      </c>
      <c r="K76" s="9" t="str">
        <f>IFERROR(__xludf.DUMMYFUNCTION("""COMPUTED_VALUE"""),"iSG")</f>
        <v>iSG</v>
      </c>
      <c r="L76" s="9"/>
      <c r="M76" s="9"/>
      <c r="N76" s="9"/>
      <c r="O76" s="9"/>
      <c r="P76" s="9"/>
      <c r="Q76" s="9"/>
      <c r="R76" s="9"/>
      <c r="S76" s="42" t="str">
        <f>IFERROR(__xludf.DUMMYFUNCTION("""COMPUTED_VALUE"""),"iSGdg;
iSGg")</f>
        <v>iSGdg;
iSGg</v>
      </c>
      <c r="T76" s="42"/>
      <c r="U76" s="159" t="b">
        <f>IFERROR(__xludf.DUMMYFUNCTION("""COMPUTED_VALUE"""),FALSE)</f>
        <v>0</v>
      </c>
      <c r="V76" s="42"/>
      <c r="W76" s="42"/>
      <c r="X76" s="42"/>
      <c r="Y76" s="42"/>
      <c r="Z76" s="42"/>
      <c r="AA76" s="42"/>
      <c r="AB76" s="42" t="str">
        <f>IFERROR(__xludf.DUMMYFUNCTION("""COMPUTED_VALUE"""),"allen institute")</f>
        <v>allen institute</v>
      </c>
      <c r="AC76" s="42" t="str">
        <f>IFERROR(__xludf.DUMMYFUNCTION("""COMPUTED_VALUE"""),"DHBA")</f>
        <v>DHBA</v>
      </c>
      <c r="AD76" s="42"/>
      <c r="AE76" s="42"/>
      <c r="AF76" s="9"/>
      <c r="AG76" s="9"/>
      <c r="AH76" s="42"/>
      <c r="AI76" s="42"/>
      <c r="AJ76" s="42"/>
      <c r="AK76" s="42"/>
      <c r="AL76" s="42"/>
      <c r="AM76" s="42"/>
      <c r="AN76" s="42"/>
      <c r="AO76" s="63" t="str">
        <f>IFERROR(__xludf.DUMMYFUNCTION("IF(ISBLANK(A76),,IF(ISBLANK(S76), A76&amp;"";"", TEXTJOIN(CHAR(10), TRUE, A76&amp;"";"", ARRAYFORMULA(VLOOKUP(SPLIT(S76, "";"" &amp; CHAR(10)), $A:$AO, 41, FALSE)))))"),"iSG;
iSGdg;
iSGg;")</f>
        <v>iSG;
iSGdg;
iSGg;</v>
      </c>
      <c r="AP76" s="89"/>
    </row>
    <row r="77">
      <c r="A77" s="151" t="str">
        <f>IFERROR(__xludf.DUMMYFUNCTION("""COMPUTED_VALUE"""),"iSGdg")</f>
        <v>iSGdg</v>
      </c>
      <c r="B77" s="42" t="str">
        <f>IFERROR(__xludf.DUMMYFUNCTION("""COMPUTED_VALUE"""),"DHBA")</f>
        <v>DHBA</v>
      </c>
      <c r="C77" s="42" t="str">
        <f>IFERROR(__xludf.DUMMYFUNCTION("""COMPUTED_VALUE"""),"SG in dysgranular insular cortex")</f>
        <v>SG in dysgranular insular cortex</v>
      </c>
      <c r="D77" s="42">
        <f>IFERROR(__xludf.DUMMYFUNCTION("""COMPUTED_VALUE"""),43.0)</f>
        <v>43</v>
      </c>
      <c r="E77" s="39" t="str">
        <f>IFERROR(__xludf.DUMMYFUNCTION("""COMPUTED_VALUE"""),"SG in dysgranular insular cortex")</f>
        <v>SG in dysgranular insular cortex</v>
      </c>
      <c r="F77" s="9" t="str">
        <f>IFERROR(__xludf.DUMMYFUNCTION("""COMPUTED_VALUE"""),"Br")</f>
        <v>Br</v>
      </c>
      <c r="G77" s="9" t="str">
        <f>IFERROR(__xludf.DUMMYFUNCTION("""COMPUTED_VALUE"""),"F")</f>
        <v>F</v>
      </c>
      <c r="H77" s="9" t="str">
        <f>IFERROR(__xludf.DUMMYFUNCTION("""COMPUTED_VALUE"""),"FGM")</f>
        <v>FGM</v>
      </c>
      <c r="I77" s="9" t="str">
        <f>IFERROR(__xludf.DUMMYFUNCTION("""COMPUTED_VALUE"""),"FTS")</f>
        <v>FTS</v>
      </c>
      <c r="J77" s="9" t="str">
        <f>IFERROR(__xludf.DUMMYFUNCTION("""COMPUTED_VALUE"""),"SG")</f>
        <v>SG</v>
      </c>
      <c r="K77" s="9" t="str">
        <f>IFERROR(__xludf.DUMMYFUNCTION("""COMPUTED_VALUE"""),"iSG")</f>
        <v>iSG</v>
      </c>
      <c r="L77" s="9" t="str">
        <f>IFERROR(__xludf.DUMMYFUNCTION("""COMPUTED_VALUE"""),"iSGdg")</f>
        <v>iSGdg</v>
      </c>
      <c r="M77" s="9"/>
      <c r="N77" s="9"/>
      <c r="O77" s="9"/>
      <c r="P77" s="9"/>
      <c r="Q77" s="9"/>
      <c r="R77" s="9"/>
      <c r="S77" s="42"/>
      <c r="T77" s="42"/>
      <c r="U77" s="159"/>
      <c r="V77" s="42"/>
      <c r="W77" s="42"/>
      <c r="X77" s="42"/>
      <c r="Y77" s="42"/>
      <c r="Z77" s="42"/>
      <c r="AA77" s="42"/>
      <c r="AB77" s="42" t="str">
        <f>IFERROR(__xludf.DUMMYFUNCTION("""COMPUTED_VALUE"""),"allen institute")</f>
        <v>allen institute</v>
      </c>
      <c r="AC77" s="42" t="str">
        <f>IFERROR(__xludf.DUMMYFUNCTION("""COMPUTED_VALUE"""),"DHBA")</f>
        <v>DHBA</v>
      </c>
      <c r="AD77" s="42"/>
      <c r="AE77" s="42"/>
      <c r="AF77" s="9"/>
      <c r="AG77" s="9"/>
      <c r="AH77" s="42"/>
      <c r="AI77" s="42"/>
      <c r="AJ77" s="42"/>
      <c r="AK77" s="42"/>
      <c r="AL77" s="42"/>
      <c r="AM77" s="42"/>
      <c r="AN77" s="42"/>
      <c r="AO77" s="63" t="str">
        <f>IFERROR(__xludf.DUMMYFUNCTION("IF(ISBLANK(A77),,IF(ISBLANK(S77), A77&amp;"";"", TEXTJOIN(CHAR(10), TRUE, A77&amp;"";"", ARRAYFORMULA(VLOOKUP(SPLIT(S77, "";"" &amp; CHAR(10)), $A:$AO, 41, FALSE)))))"),"iSGdg;")</f>
        <v>iSGdg;</v>
      </c>
      <c r="AP77" s="89"/>
    </row>
    <row r="78">
      <c r="A78" s="151" t="str">
        <f>IFERROR(__xludf.DUMMYFUNCTION("""COMPUTED_VALUE"""),"iSGg")</f>
        <v>iSGg</v>
      </c>
      <c r="B78" s="42" t="str">
        <f>IFERROR(__xludf.DUMMYFUNCTION("""COMPUTED_VALUE"""),"DHBA")</f>
        <v>DHBA</v>
      </c>
      <c r="C78" s="42" t="str">
        <f>IFERROR(__xludf.DUMMYFUNCTION("""COMPUTED_VALUE"""),"SG in granular insular cortex")</f>
        <v>SG in granular insular cortex</v>
      </c>
      <c r="D78" s="42">
        <f>IFERROR(__xludf.DUMMYFUNCTION("""COMPUTED_VALUE"""),44.0)</f>
        <v>44</v>
      </c>
      <c r="E78" s="39" t="str">
        <f>IFERROR(__xludf.DUMMYFUNCTION("""COMPUTED_VALUE"""),"SG in granular insular cortex")</f>
        <v>SG in granular insular cortex</v>
      </c>
      <c r="F78" s="9" t="str">
        <f>IFERROR(__xludf.DUMMYFUNCTION("""COMPUTED_VALUE"""),"Br")</f>
        <v>Br</v>
      </c>
      <c r="G78" s="9" t="str">
        <f>IFERROR(__xludf.DUMMYFUNCTION("""COMPUTED_VALUE"""),"F")</f>
        <v>F</v>
      </c>
      <c r="H78" s="9" t="str">
        <f>IFERROR(__xludf.DUMMYFUNCTION("""COMPUTED_VALUE"""),"FGM")</f>
        <v>FGM</v>
      </c>
      <c r="I78" s="9" t="str">
        <f>IFERROR(__xludf.DUMMYFUNCTION("""COMPUTED_VALUE"""),"FTS")</f>
        <v>FTS</v>
      </c>
      <c r="J78" s="9" t="str">
        <f>IFERROR(__xludf.DUMMYFUNCTION("""COMPUTED_VALUE"""),"SG")</f>
        <v>SG</v>
      </c>
      <c r="K78" s="9" t="str">
        <f>IFERROR(__xludf.DUMMYFUNCTION("""COMPUTED_VALUE"""),"iSG")</f>
        <v>iSG</v>
      </c>
      <c r="L78" s="9" t="str">
        <f>IFERROR(__xludf.DUMMYFUNCTION("""COMPUTED_VALUE"""),"iSGg")</f>
        <v>iSGg</v>
      </c>
      <c r="M78" s="9"/>
      <c r="N78" s="9"/>
      <c r="O78" s="9"/>
      <c r="P78" s="9"/>
      <c r="Q78" s="9"/>
      <c r="R78" s="9"/>
      <c r="S78" s="42"/>
      <c r="T78" s="42"/>
      <c r="U78" s="42"/>
      <c r="V78" s="42"/>
      <c r="W78" s="42"/>
      <c r="X78" s="42"/>
      <c r="Y78" s="42"/>
      <c r="Z78" s="42"/>
      <c r="AA78" s="42"/>
      <c r="AB78" s="42" t="str">
        <f>IFERROR(__xludf.DUMMYFUNCTION("""COMPUTED_VALUE"""),"allen institute")</f>
        <v>allen institute</v>
      </c>
      <c r="AC78" s="42" t="str">
        <f>IFERROR(__xludf.DUMMYFUNCTION("""COMPUTED_VALUE"""),"DHBA")</f>
        <v>DHBA</v>
      </c>
      <c r="AD78" s="42"/>
      <c r="AE78" s="42"/>
      <c r="AF78" s="9"/>
      <c r="AG78" s="9"/>
      <c r="AH78" s="42"/>
      <c r="AI78" s="42"/>
      <c r="AJ78" s="42"/>
      <c r="AK78" s="42"/>
      <c r="AL78" s="42"/>
      <c r="AM78" s="42"/>
      <c r="AN78" s="42"/>
      <c r="AO78" s="63" t="str">
        <f>IFERROR(__xludf.DUMMYFUNCTION("IF(ISBLANK(A78),,IF(ISBLANK(S78), A78&amp;"";"", TEXTJOIN(CHAR(10), TRUE, A78&amp;"";"", ARRAYFORMULA(VLOOKUP(SPLIT(S78, "";"" &amp; CHAR(10)), $A:$AO, 41, FALSE)))))"),"iSGg;")</f>
        <v>iSGg;</v>
      </c>
      <c r="AP78" s="89"/>
    </row>
    <row r="79">
      <c r="A79" s="151" t="str">
        <f>IFERROR(__xludf.DUMMYFUNCTION("""COMPUTED_VALUE"""),"cSG")</f>
        <v>cSG</v>
      </c>
      <c r="B79" s="42" t="str">
        <f>IFERROR(__xludf.DUMMYFUNCTION("""COMPUTED_VALUE"""),"DHBA")</f>
        <v>DHBA</v>
      </c>
      <c r="C79" s="42" t="str">
        <f>IFERROR(__xludf.DUMMYFUNCTION("""COMPUTED_VALUE"""),"SG in cingulate neocortex")</f>
        <v>SG in cingulate neocortex</v>
      </c>
      <c r="D79" s="42">
        <f>IFERROR(__xludf.DUMMYFUNCTION("""COMPUTED_VALUE"""),45.0)</f>
        <v>45</v>
      </c>
      <c r="E79" s="39" t="str">
        <f>IFERROR(__xludf.DUMMYFUNCTION("""COMPUTED_VALUE"""),"SG in cingulate neocortex")</f>
        <v>SG in cingulate neocortex</v>
      </c>
      <c r="F79" s="9" t="str">
        <f>IFERROR(__xludf.DUMMYFUNCTION("""COMPUTED_VALUE"""),"Br")</f>
        <v>Br</v>
      </c>
      <c r="G79" s="9" t="str">
        <f>IFERROR(__xludf.DUMMYFUNCTION("""COMPUTED_VALUE"""),"F")</f>
        <v>F</v>
      </c>
      <c r="H79" s="9" t="str">
        <f>IFERROR(__xludf.DUMMYFUNCTION("""COMPUTED_VALUE"""),"FGM")</f>
        <v>FGM</v>
      </c>
      <c r="I79" s="9" t="str">
        <f>IFERROR(__xludf.DUMMYFUNCTION("""COMPUTED_VALUE"""),"FTS")</f>
        <v>FTS</v>
      </c>
      <c r="J79" s="9" t="str">
        <f>IFERROR(__xludf.DUMMYFUNCTION("""COMPUTED_VALUE"""),"SG")</f>
        <v>SG</v>
      </c>
      <c r="K79" s="9" t="str">
        <f>IFERROR(__xludf.DUMMYFUNCTION("""COMPUTED_VALUE"""),"cSG")</f>
        <v>cSG</v>
      </c>
      <c r="L79" s="9"/>
      <c r="M79" s="9"/>
      <c r="N79" s="9"/>
      <c r="O79" s="9"/>
      <c r="P79" s="9"/>
      <c r="Q79" s="9"/>
      <c r="R79" s="9"/>
      <c r="S79" s="42" t="str">
        <f>IFERROR(__xludf.DUMMYFUNCTION("""COMPUTED_VALUE"""),"cSGr;
cSGmi;
cSGc;
cSGsg")</f>
        <v>cSGr;
cSGmi;
cSGc;
cSGsg</v>
      </c>
      <c r="T79" s="42"/>
      <c r="U79" s="42" t="b">
        <f>IFERROR(__xludf.DUMMYFUNCTION("""COMPUTED_VALUE"""),FALSE)</f>
        <v>0</v>
      </c>
      <c r="V79" s="42"/>
      <c r="W79" s="42"/>
      <c r="X79" s="42"/>
      <c r="Y79" s="42"/>
      <c r="Z79" s="42"/>
      <c r="AA79" s="42"/>
      <c r="AB79" s="42" t="str">
        <f>IFERROR(__xludf.DUMMYFUNCTION("""COMPUTED_VALUE"""),"allen institute")</f>
        <v>allen institute</v>
      </c>
      <c r="AC79" s="42" t="str">
        <f>IFERROR(__xludf.DUMMYFUNCTION("""COMPUTED_VALUE"""),"DHBA")</f>
        <v>DHBA</v>
      </c>
      <c r="AD79" s="42"/>
      <c r="AE79" s="42"/>
      <c r="AF79" s="9"/>
      <c r="AG79" s="9"/>
      <c r="AH79" s="42"/>
      <c r="AI79" s="42"/>
      <c r="AJ79" s="42"/>
      <c r="AK79" s="42"/>
      <c r="AL79" s="42"/>
      <c r="AM79" s="42"/>
      <c r="AN79" s="42"/>
      <c r="AO79" s="63" t="str">
        <f>IFERROR(__xludf.DUMMYFUNCTION("IF(ISBLANK(A79),,IF(ISBLANK(S79), A79&amp;"";"", TEXTJOIN(CHAR(10), TRUE, A79&amp;"";"", ARRAYFORMULA(VLOOKUP(SPLIT(S79, "";"" &amp; CHAR(10)), $A:$AO, 41, FALSE)))))"),"cSG;
cSGr;
cSGmi;
cSGc;
cSGsg;")</f>
        <v>cSG;
cSGr;
cSGmi;
cSGc;
cSGsg;</v>
      </c>
      <c r="AP79" s="89"/>
    </row>
    <row r="80">
      <c r="A80" s="151" t="str">
        <f>IFERROR(__xludf.DUMMYFUNCTION("""COMPUTED_VALUE"""),"cSGr")</f>
        <v>cSGr</v>
      </c>
      <c r="B80" s="42" t="str">
        <f>IFERROR(__xludf.DUMMYFUNCTION("""COMPUTED_VALUE"""),"DHBA")</f>
        <v>DHBA</v>
      </c>
      <c r="C80" s="42" t="str">
        <f>IFERROR(__xludf.DUMMYFUNCTION("""COMPUTED_VALUE"""),"SG in rostral cingulate cortex")</f>
        <v>SG in rostral cingulate cortex</v>
      </c>
      <c r="D80" s="42">
        <f>IFERROR(__xludf.DUMMYFUNCTION("""COMPUTED_VALUE"""),46.0)</f>
        <v>46</v>
      </c>
      <c r="E80" s="39" t="str">
        <f>IFERROR(__xludf.DUMMYFUNCTION("""COMPUTED_VALUE"""),"SG in rostral cingulate cortex")</f>
        <v>SG in rostral cingulate cortex</v>
      </c>
      <c r="F80" s="9" t="str">
        <f>IFERROR(__xludf.DUMMYFUNCTION("""COMPUTED_VALUE"""),"Br")</f>
        <v>Br</v>
      </c>
      <c r="G80" s="9" t="str">
        <f>IFERROR(__xludf.DUMMYFUNCTION("""COMPUTED_VALUE"""),"F")</f>
        <v>F</v>
      </c>
      <c r="H80" s="9" t="str">
        <f>IFERROR(__xludf.DUMMYFUNCTION("""COMPUTED_VALUE"""),"FGM")</f>
        <v>FGM</v>
      </c>
      <c r="I80" s="9" t="str">
        <f>IFERROR(__xludf.DUMMYFUNCTION("""COMPUTED_VALUE"""),"FTS")</f>
        <v>FTS</v>
      </c>
      <c r="J80" s="9" t="str">
        <f>IFERROR(__xludf.DUMMYFUNCTION("""COMPUTED_VALUE"""),"SG")</f>
        <v>SG</v>
      </c>
      <c r="K80" s="9" t="str">
        <f>IFERROR(__xludf.DUMMYFUNCTION("""COMPUTED_VALUE"""),"cSG")</f>
        <v>cSG</v>
      </c>
      <c r="L80" s="9" t="str">
        <f>IFERROR(__xludf.DUMMYFUNCTION("""COMPUTED_VALUE"""),"cSGr")</f>
        <v>cSGr</v>
      </c>
      <c r="M80" s="9"/>
      <c r="N80" s="9"/>
      <c r="O80" s="9"/>
      <c r="P80" s="9"/>
      <c r="Q80" s="9"/>
      <c r="R80" s="9"/>
      <c r="S80" s="42"/>
      <c r="T80" s="42"/>
      <c r="U80" s="159"/>
      <c r="V80" s="42"/>
      <c r="W80" s="42"/>
      <c r="X80" s="42"/>
      <c r="Y80" s="42"/>
      <c r="Z80" s="42"/>
      <c r="AA80" s="42"/>
      <c r="AB80" s="42" t="str">
        <f>IFERROR(__xludf.DUMMYFUNCTION("""COMPUTED_VALUE"""),"allen institute")</f>
        <v>allen institute</v>
      </c>
      <c r="AC80" s="42" t="str">
        <f>IFERROR(__xludf.DUMMYFUNCTION("""COMPUTED_VALUE"""),"DHBA")</f>
        <v>DHBA</v>
      </c>
      <c r="AD80" s="42"/>
      <c r="AE80" s="42"/>
      <c r="AF80" s="9"/>
      <c r="AG80" s="9"/>
      <c r="AH80" s="42"/>
      <c r="AI80" s="42"/>
      <c r="AJ80" s="42"/>
      <c r="AK80" s="42"/>
      <c r="AL80" s="42"/>
      <c r="AM80" s="42"/>
      <c r="AN80" s="42"/>
      <c r="AO80" s="63" t="str">
        <f>IFERROR(__xludf.DUMMYFUNCTION("IF(ISBLANK(A80),,IF(ISBLANK(S80), A80&amp;"";"", TEXTJOIN(CHAR(10), TRUE, A80&amp;"";"", ARRAYFORMULA(VLOOKUP(SPLIT(S80, "";"" &amp; CHAR(10)), $A:$AO, 41, FALSE)))))"),"cSGr;")</f>
        <v>cSGr;</v>
      </c>
      <c r="AP80" s="89"/>
    </row>
    <row r="81">
      <c r="A81" s="151" t="str">
        <f>IFERROR(__xludf.DUMMYFUNCTION("""COMPUTED_VALUE"""),"cSGmi")</f>
        <v>cSGmi</v>
      </c>
      <c r="B81" s="42" t="str">
        <f>IFERROR(__xludf.DUMMYFUNCTION("""COMPUTED_VALUE"""),"DHBA")</f>
        <v>DHBA</v>
      </c>
      <c r="C81" s="42" t="str">
        <f>IFERROR(__xludf.DUMMYFUNCTION("""COMPUTED_VALUE"""),"SG in midcingulate cortex")</f>
        <v>SG in midcingulate cortex</v>
      </c>
      <c r="D81" s="42">
        <f>IFERROR(__xludf.DUMMYFUNCTION("""COMPUTED_VALUE"""),47.0)</f>
        <v>47</v>
      </c>
      <c r="E81" s="39" t="str">
        <f>IFERROR(__xludf.DUMMYFUNCTION("""COMPUTED_VALUE"""),"SG in midcingulate cortex")</f>
        <v>SG in midcingulate cortex</v>
      </c>
      <c r="F81" s="9" t="str">
        <f>IFERROR(__xludf.DUMMYFUNCTION("""COMPUTED_VALUE"""),"Br")</f>
        <v>Br</v>
      </c>
      <c r="G81" s="9" t="str">
        <f>IFERROR(__xludf.DUMMYFUNCTION("""COMPUTED_VALUE"""),"F")</f>
        <v>F</v>
      </c>
      <c r="H81" s="9" t="str">
        <f>IFERROR(__xludf.DUMMYFUNCTION("""COMPUTED_VALUE"""),"FGM")</f>
        <v>FGM</v>
      </c>
      <c r="I81" s="9" t="str">
        <f>IFERROR(__xludf.DUMMYFUNCTION("""COMPUTED_VALUE"""),"FTS")</f>
        <v>FTS</v>
      </c>
      <c r="J81" s="9" t="str">
        <f>IFERROR(__xludf.DUMMYFUNCTION("""COMPUTED_VALUE"""),"SG")</f>
        <v>SG</v>
      </c>
      <c r="K81" s="9" t="str">
        <f>IFERROR(__xludf.DUMMYFUNCTION("""COMPUTED_VALUE"""),"cSG")</f>
        <v>cSG</v>
      </c>
      <c r="L81" s="9" t="str">
        <f>IFERROR(__xludf.DUMMYFUNCTION("""COMPUTED_VALUE"""),"cSGmi")</f>
        <v>cSGmi</v>
      </c>
      <c r="M81" s="9"/>
      <c r="N81" s="9"/>
      <c r="O81" s="9"/>
      <c r="P81" s="9"/>
      <c r="Q81" s="9"/>
      <c r="R81" s="9"/>
      <c r="S81" s="42"/>
      <c r="T81" s="42"/>
      <c r="U81" s="42"/>
      <c r="V81" s="42"/>
      <c r="W81" s="42"/>
      <c r="X81" s="42"/>
      <c r="Y81" s="42"/>
      <c r="Z81" s="42"/>
      <c r="AA81" s="42"/>
      <c r="AB81" s="42" t="str">
        <f>IFERROR(__xludf.DUMMYFUNCTION("""COMPUTED_VALUE"""),"allen institute")</f>
        <v>allen institute</v>
      </c>
      <c r="AC81" s="42" t="str">
        <f>IFERROR(__xludf.DUMMYFUNCTION("""COMPUTED_VALUE"""),"DHBA")</f>
        <v>DHBA</v>
      </c>
      <c r="AD81" s="42"/>
      <c r="AE81" s="42"/>
      <c r="AF81" s="9"/>
      <c r="AG81" s="9"/>
      <c r="AH81" s="42"/>
      <c r="AI81" s="42"/>
      <c r="AJ81" s="42"/>
      <c r="AK81" s="42"/>
      <c r="AL81" s="42"/>
      <c r="AM81" s="42"/>
      <c r="AN81" s="42"/>
      <c r="AO81" s="63" t="str">
        <f>IFERROR(__xludf.DUMMYFUNCTION("IF(ISBLANK(A81),,IF(ISBLANK(S81), A81&amp;"";"", TEXTJOIN(CHAR(10), TRUE, A81&amp;"";"", ARRAYFORMULA(VLOOKUP(SPLIT(S81, "";"" &amp; CHAR(10)), $A:$AO, 41, FALSE)))))"),"cSGmi;")</f>
        <v>cSGmi;</v>
      </c>
      <c r="AP81" s="89"/>
    </row>
    <row r="82">
      <c r="A82" s="151" t="str">
        <f>IFERROR(__xludf.DUMMYFUNCTION("""COMPUTED_VALUE"""),"cSGc")</f>
        <v>cSGc</v>
      </c>
      <c r="B82" s="42" t="str">
        <f>IFERROR(__xludf.DUMMYFUNCTION("""COMPUTED_VALUE"""),"DHBA")</f>
        <v>DHBA</v>
      </c>
      <c r="C82" s="42" t="str">
        <f>IFERROR(__xludf.DUMMYFUNCTION("""COMPUTED_VALUE"""),"SG in caudal cingulate cortex")</f>
        <v>SG in caudal cingulate cortex</v>
      </c>
      <c r="D82" s="42">
        <f>IFERROR(__xludf.DUMMYFUNCTION("""COMPUTED_VALUE"""),48.0)</f>
        <v>48</v>
      </c>
      <c r="E82" s="39" t="str">
        <f>IFERROR(__xludf.DUMMYFUNCTION("""COMPUTED_VALUE"""),"SG in caudal cingulate cortex")</f>
        <v>SG in caudal cingulate cortex</v>
      </c>
      <c r="F82" s="9" t="str">
        <f>IFERROR(__xludf.DUMMYFUNCTION("""COMPUTED_VALUE"""),"Br")</f>
        <v>Br</v>
      </c>
      <c r="G82" s="9" t="str">
        <f>IFERROR(__xludf.DUMMYFUNCTION("""COMPUTED_VALUE"""),"F")</f>
        <v>F</v>
      </c>
      <c r="H82" s="9" t="str">
        <f>IFERROR(__xludf.DUMMYFUNCTION("""COMPUTED_VALUE"""),"FGM")</f>
        <v>FGM</v>
      </c>
      <c r="I82" s="9" t="str">
        <f>IFERROR(__xludf.DUMMYFUNCTION("""COMPUTED_VALUE"""),"FTS")</f>
        <v>FTS</v>
      </c>
      <c r="J82" s="9" t="str">
        <f>IFERROR(__xludf.DUMMYFUNCTION("""COMPUTED_VALUE"""),"SG")</f>
        <v>SG</v>
      </c>
      <c r="K82" s="9" t="str">
        <f>IFERROR(__xludf.DUMMYFUNCTION("""COMPUTED_VALUE"""),"cSG")</f>
        <v>cSG</v>
      </c>
      <c r="L82" s="9" t="str">
        <f>IFERROR(__xludf.DUMMYFUNCTION("""COMPUTED_VALUE"""),"cSGc")</f>
        <v>cSGc</v>
      </c>
      <c r="M82" s="9"/>
      <c r="N82" s="9"/>
      <c r="O82" s="9"/>
      <c r="P82" s="9"/>
      <c r="Q82" s="9"/>
      <c r="R82" s="9"/>
      <c r="S82" s="42"/>
      <c r="T82" s="42"/>
      <c r="U82" s="42"/>
      <c r="V82" s="42"/>
      <c r="W82" s="42"/>
      <c r="X82" s="42"/>
      <c r="Y82" s="42"/>
      <c r="Z82" s="42"/>
      <c r="AA82" s="42"/>
      <c r="AB82" s="42" t="str">
        <f>IFERROR(__xludf.DUMMYFUNCTION("""COMPUTED_VALUE"""),"allen institute")</f>
        <v>allen institute</v>
      </c>
      <c r="AC82" s="42" t="str">
        <f>IFERROR(__xludf.DUMMYFUNCTION("""COMPUTED_VALUE"""),"DHBA")</f>
        <v>DHBA</v>
      </c>
      <c r="AD82" s="42"/>
      <c r="AE82" s="42"/>
      <c r="AF82" s="9"/>
      <c r="AG82" s="9"/>
      <c r="AH82" s="42"/>
      <c r="AI82" s="42"/>
      <c r="AJ82" s="42"/>
      <c r="AK82" s="42"/>
      <c r="AL82" s="42"/>
      <c r="AM82" s="42"/>
      <c r="AN82" s="42"/>
      <c r="AO82" s="63" t="str">
        <f>IFERROR(__xludf.DUMMYFUNCTION("IF(ISBLANK(A82),,IF(ISBLANK(S82), A82&amp;"";"", TEXTJOIN(CHAR(10), TRUE, A82&amp;"";"", ARRAYFORMULA(VLOOKUP(SPLIT(S82, "";"" &amp; CHAR(10)), $A:$AO, 41, FALSE)))))"),"cSGc;")</f>
        <v>cSGc;</v>
      </c>
      <c r="AP82" s="89"/>
    </row>
    <row r="83">
      <c r="A83" s="151" t="str">
        <f>IFERROR(__xludf.DUMMYFUNCTION("""COMPUTED_VALUE"""),"cSGsg")</f>
        <v>cSGsg</v>
      </c>
      <c r="B83" s="42" t="str">
        <f>IFERROR(__xludf.DUMMYFUNCTION("""COMPUTED_VALUE"""),"DHBA")</f>
        <v>DHBA</v>
      </c>
      <c r="C83" s="42" t="str">
        <f>IFERROR(__xludf.DUMMYFUNCTION("""COMPUTED_VALUE"""),"SG in subgenual (subcallosal) cingulate cortex")</f>
        <v>SG in subgenual (subcallosal) cingulate cortex</v>
      </c>
      <c r="D83" s="42">
        <f>IFERROR(__xludf.DUMMYFUNCTION("""COMPUTED_VALUE"""),49.0)</f>
        <v>49</v>
      </c>
      <c r="E83" s="39" t="str">
        <f>IFERROR(__xludf.DUMMYFUNCTION("""COMPUTED_VALUE"""),"SG in subgenual (subcallosal) cingulate cortex")</f>
        <v>SG in subgenual (subcallosal) cingulate cortex</v>
      </c>
      <c r="F83" s="9" t="str">
        <f>IFERROR(__xludf.DUMMYFUNCTION("""COMPUTED_VALUE"""),"Br")</f>
        <v>Br</v>
      </c>
      <c r="G83" s="9" t="str">
        <f>IFERROR(__xludf.DUMMYFUNCTION("""COMPUTED_VALUE"""),"F")</f>
        <v>F</v>
      </c>
      <c r="H83" s="9" t="str">
        <f>IFERROR(__xludf.DUMMYFUNCTION("""COMPUTED_VALUE"""),"FGM")</f>
        <v>FGM</v>
      </c>
      <c r="I83" s="9" t="str">
        <f>IFERROR(__xludf.DUMMYFUNCTION("""COMPUTED_VALUE"""),"FTS")</f>
        <v>FTS</v>
      </c>
      <c r="J83" s="9" t="str">
        <f>IFERROR(__xludf.DUMMYFUNCTION("""COMPUTED_VALUE"""),"SG")</f>
        <v>SG</v>
      </c>
      <c r="K83" s="9" t="str">
        <f>IFERROR(__xludf.DUMMYFUNCTION("""COMPUTED_VALUE"""),"cSG")</f>
        <v>cSG</v>
      </c>
      <c r="L83" s="9" t="str">
        <f>IFERROR(__xludf.DUMMYFUNCTION("""COMPUTED_VALUE"""),"cSGsg")</f>
        <v>cSGsg</v>
      </c>
      <c r="M83" s="9"/>
      <c r="N83" s="9"/>
      <c r="O83" s="9"/>
      <c r="P83" s="9"/>
      <c r="Q83" s="9"/>
      <c r="R83" s="9"/>
      <c r="S83" s="42"/>
      <c r="T83" s="42"/>
      <c r="U83" s="42"/>
      <c r="V83" s="42"/>
      <c r="W83" s="42"/>
      <c r="X83" s="42"/>
      <c r="Y83" s="42"/>
      <c r="Z83" s="42"/>
      <c r="AA83" s="42"/>
      <c r="AB83" s="42" t="str">
        <f>IFERROR(__xludf.DUMMYFUNCTION("""COMPUTED_VALUE"""),"allen institute")</f>
        <v>allen institute</v>
      </c>
      <c r="AC83" s="42" t="str">
        <f>IFERROR(__xludf.DUMMYFUNCTION("""COMPUTED_VALUE"""),"DHBA")</f>
        <v>DHBA</v>
      </c>
      <c r="AD83" s="42"/>
      <c r="AE83" s="42"/>
      <c r="AF83" s="9"/>
      <c r="AG83" s="9"/>
      <c r="AH83" s="42"/>
      <c r="AI83" s="42"/>
      <c r="AJ83" s="42"/>
      <c r="AK83" s="42"/>
      <c r="AL83" s="42"/>
      <c r="AM83" s="42"/>
      <c r="AN83" s="42"/>
      <c r="AO83" s="63" t="str">
        <f>IFERROR(__xludf.DUMMYFUNCTION("IF(ISBLANK(A83),,IF(ISBLANK(S83), A83&amp;"";"", TEXTJOIN(CHAR(10), TRUE, A83&amp;"";"", ARRAYFORMULA(VLOOKUP(SPLIT(S83, "";"" &amp; CHAR(10)), $A:$AO, 41, FALSE)))))"),"cSGsg;")</f>
        <v>cSGsg;</v>
      </c>
      <c r="AP83" s="89"/>
    </row>
    <row r="84">
      <c r="A84" s="151" t="str">
        <f>IFERROR(__xludf.DUMMYFUNCTION("""COMPUTED_VALUE"""),"peSG")</f>
        <v>peSG</v>
      </c>
      <c r="B84" s="42" t="str">
        <f>IFERROR(__xludf.DUMMYFUNCTION("""COMPUTED_VALUE"""),"DHBA")</f>
        <v>DHBA</v>
      </c>
      <c r="C84" s="42" t="str">
        <f>IFERROR(__xludf.DUMMYFUNCTION("""COMPUTED_VALUE"""),"SG in periallocortex")</f>
        <v>SG in periallocortex</v>
      </c>
      <c r="D84" s="42">
        <f>IFERROR(__xludf.DUMMYFUNCTION("""COMPUTED_VALUE"""),50.0)</f>
        <v>50</v>
      </c>
      <c r="E84" s="39" t="str">
        <f>IFERROR(__xludf.DUMMYFUNCTION("""COMPUTED_VALUE"""),"SG in periallocortex")</f>
        <v>SG in periallocortex</v>
      </c>
      <c r="F84" s="9" t="str">
        <f>IFERROR(__xludf.DUMMYFUNCTION("""COMPUTED_VALUE"""),"Br")</f>
        <v>Br</v>
      </c>
      <c r="G84" s="9" t="str">
        <f>IFERROR(__xludf.DUMMYFUNCTION("""COMPUTED_VALUE"""),"F")</f>
        <v>F</v>
      </c>
      <c r="H84" s="9" t="str">
        <f>IFERROR(__xludf.DUMMYFUNCTION("""COMPUTED_VALUE"""),"FGM")</f>
        <v>FGM</v>
      </c>
      <c r="I84" s="9" t="str">
        <f>IFERROR(__xludf.DUMMYFUNCTION("""COMPUTED_VALUE"""),"FTS")</f>
        <v>FTS</v>
      </c>
      <c r="J84" s="9" t="str">
        <f>IFERROR(__xludf.DUMMYFUNCTION("""COMPUTED_VALUE"""),"SG")</f>
        <v>SG</v>
      </c>
      <c r="K84" s="9" t="str">
        <f>IFERROR(__xludf.DUMMYFUNCTION("""COMPUTED_VALUE"""),"peSG")</f>
        <v>peSG</v>
      </c>
      <c r="L84" s="9"/>
      <c r="M84" s="9"/>
      <c r="N84" s="9"/>
      <c r="O84" s="9"/>
      <c r="P84" s="9"/>
      <c r="Q84" s="9"/>
      <c r="R84" s="9"/>
      <c r="S84" s="42" t="str">
        <f>IFERROR(__xludf.DUMMYFUNCTION("""COMPUTED_VALUE"""),"SGPC;
SGpas;
SGec;
SGprs;
SGrs;
SGIag")</f>
        <v>SGPC;
SGpas;
SGec;
SGprs;
SGrs;
SGIag</v>
      </c>
      <c r="T84" s="42"/>
      <c r="U84" s="42" t="b">
        <f>IFERROR(__xludf.DUMMYFUNCTION("""COMPUTED_VALUE"""),FALSE)</f>
        <v>0</v>
      </c>
      <c r="V84" s="42"/>
      <c r="W84" s="42"/>
      <c r="X84" s="42"/>
      <c r="Y84" s="42"/>
      <c r="Z84" s="42"/>
      <c r="AA84" s="42"/>
      <c r="AB84" s="42" t="str">
        <f>IFERROR(__xludf.DUMMYFUNCTION("""COMPUTED_VALUE"""),"allen institute")</f>
        <v>allen institute</v>
      </c>
      <c r="AC84" s="42" t="str">
        <f>IFERROR(__xludf.DUMMYFUNCTION("""COMPUTED_VALUE"""),"DHBA")</f>
        <v>DHBA</v>
      </c>
      <c r="AD84" s="42"/>
      <c r="AE84" s="42"/>
      <c r="AF84" s="9"/>
      <c r="AG84" s="9"/>
      <c r="AH84" s="42"/>
      <c r="AI84" s="42"/>
      <c r="AJ84" s="42"/>
      <c r="AK84" s="42"/>
      <c r="AL84" s="42"/>
      <c r="AM84" s="42"/>
      <c r="AN84" s="42"/>
      <c r="AO84" s="63" t="str">
        <f>IFERROR(__xludf.DUMMYFUNCTION("IF(ISBLANK(A84),,IF(ISBLANK(S84), A84&amp;"";"", TEXTJOIN(CHAR(10), TRUE, A84&amp;"";"", ARRAYFORMULA(VLOOKUP(SPLIT(S84, "";"" &amp; CHAR(10)), $A:$AO, 41, FALSE)))))"),"#REF!")</f>
        <v>#REF!</v>
      </c>
      <c r="AP84" s="89"/>
    </row>
    <row r="85">
      <c r="A85" s="151" t="str">
        <f>IFERROR(__xludf.DUMMYFUNCTION("""COMPUTED_VALUE"""),"SGPC")</f>
        <v>SGPC</v>
      </c>
      <c r="B85" s="42" t="str">
        <f>IFERROR(__xludf.DUMMYFUNCTION("""COMPUTED_VALUE"""),"DHBA")</f>
        <v>DHBA</v>
      </c>
      <c r="C85" s="42" t="str">
        <f>IFERROR(__xludf.DUMMYFUNCTION("""COMPUTED_VALUE"""),"SG in perirhinal cortex")</f>
        <v>SG in perirhinal cortex</v>
      </c>
      <c r="D85" s="42">
        <f>IFERROR(__xludf.DUMMYFUNCTION("""COMPUTED_VALUE"""),51.0)</f>
        <v>51</v>
      </c>
      <c r="E85" s="39" t="str">
        <f>IFERROR(__xludf.DUMMYFUNCTION("""COMPUTED_VALUE"""),"SG in perirhinal cortex")</f>
        <v>SG in perirhinal cortex</v>
      </c>
      <c r="F85" s="9" t="str">
        <f>IFERROR(__xludf.DUMMYFUNCTION("""COMPUTED_VALUE"""),"Br")</f>
        <v>Br</v>
      </c>
      <c r="G85" s="9" t="str">
        <f>IFERROR(__xludf.DUMMYFUNCTION("""COMPUTED_VALUE"""),"F")</f>
        <v>F</v>
      </c>
      <c r="H85" s="9" t="str">
        <f>IFERROR(__xludf.DUMMYFUNCTION("""COMPUTED_VALUE"""),"FGM")</f>
        <v>FGM</v>
      </c>
      <c r="I85" s="9" t="str">
        <f>IFERROR(__xludf.DUMMYFUNCTION("""COMPUTED_VALUE"""),"FTS")</f>
        <v>FTS</v>
      </c>
      <c r="J85" s="9" t="str">
        <f>IFERROR(__xludf.DUMMYFUNCTION("""COMPUTED_VALUE"""),"SG")</f>
        <v>SG</v>
      </c>
      <c r="K85" s="9" t="str">
        <f>IFERROR(__xludf.DUMMYFUNCTION("""COMPUTED_VALUE"""),"peSG")</f>
        <v>peSG</v>
      </c>
      <c r="L85" s="9" t="str">
        <f>IFERROR(__xludf.DUMMYFUNCTION("""COMPUTED_VALUE"""),"SGPC")</f>
        <v>SGPC</v>
      </c>
      <c r="M85" s="9"/>
      <c r="N85" s="9"/>
      <c r="O85" s="9"/>
      <c r="P85" s="9"/>
      <c r="Q85" s="9"/>
      <c r="R85" s="9"/>
      <c r="S85" s="42" t="str">
        <f>IFERROR(__xludf.DUMMYFUNCTION("""COMPUTED_VALUE"""),"SGpcr;
SGpcc")</f>
        <v>SGpcr;
SGpcc</v>
      </c>
      <c r="T85" s="42"/>
      <c r="U85" s="159" t="b">
        <f>IFERROR(__xludf.DUMMYFUNCTION("""COMPUTED_VALUE"""),FALSE)</f>
        <v>0</v>
      </c>
      <c r="V85" s="42"/>
      <c r="W85" s="42"/>
      <c r="X85" s="42"/>
      <c r="Y85" s="42"/>
      <c r="Z85" s="42"/>
      <c r="AA85" s="42"/>
      <c r="AB85" s="42" t="str">
        <f>IFERROR(__xludf.DUMMYFUNCTION("""COMPUTED_VALUE"""),"allen institute")</f>
        <v>allen institute</v>
      </c>
      <c r="AC85" s="42" t="str">
        <f>IFERROR(__xludf.DUMMYFUNCTION("""COMPUTED_VALUE"""),"DHBA")</f>
        <v>DHBA</v>
      </c>
      <c r="AD85" s="42"/>
      <c r="AE85" s="42"/>
      <c r="AF85" s="9"/>
      <c r="AG85" s="9"/>
      <c r="AH85" s="42"/>
      <c r="AI85" s="42"/>
      <c r="AJ85" s="42"/>
      <c r="AK85" s="42"/>
      <c r="AL85" s="42"/>
      <c r="AM85" s="42"/>
      <c r="AN85" s="42"/>
      <c r="AO85" s="63" t="str">
        <f>IFERROR(__xludf.DUMMYFUNCTION("IF(ISBLANK(A85),,IF(ISBLANK(S85), A85&amp;"";"", TEXTJOIN(CHAR(10), TRUE, A85&amp;"";"", ARRAYFORMULA(VLOOKUP(SPLIT(S85, "";"" &amp; CHAR(10)), $A:$AO, 41, FALSE)))))"),"SGPC;
SGpcr;
SGpcc;")</f>
        <v>SGPC;
SGpcr;
SGpcc;</v>
      </c>
      <c r="AP85" s="89"/>
    </row>
    <row r="86">
      <c r="A86" s="151" t="str">
        <f>IFERROR(__xludf.DUMMYFUNCTION("""COMPUTED_VALUE"""),"SGpcr")</f>
        <v>SGpcr</v>
      </c>
      <c r="B86" s="42" t="str">
        <f>IFERROR(__xludf.DUMMYFUNCTION("""COMPUTED_VALUE"""),"DHBA")</f>
        <v>DHBA</v>
      </c>
      <c r="C86" s="42" t="str">
        <f>IFERROR(__xludf.DUMMYFUNCTION("""COMPUTED_VALUE"""),"SG in rostral perirhinal cortex")</f>
        <v>SG in rostral perirhinal cortex</v>
      </c>
      <c r="D86" s="42">
        <f>IFERROR(__xludf.DUMMYFUNCTION("""COMPUTED_VALUE"""),52.0)</f>
        <v>52</v>
      </c>
      <c r="E86" s="39" t="str">
        <f>IFERROR(__xludf.DUMMYFUNCTION("""COMPUTED_VALUE"""),"SG in rostral perirhinal cortex")</f>
        <v>SG in rostral perirhinal cortex</v>
      </c>
      <c r="F86" s="9" t="str">
        <f>IFERROR(__xludf.DUMMYFUNCTION("""COMPUTED_VALUE"""),"Br")</f>
        <v>Br</v>
      </c>
      <c r="G86" s="9" t="str">
        <f>IFERROR(__xludf.DUMMYFUNCTION("""COMPUTED_VALUE"""),"F")</f>
        <v>F</v>
      </c>
      <c r="H86" s="9" t="str">
        <f>IFERROR(__xludf.DUMMYFUNCTION("""COMPUTED_VALUE"""),"FGM")</f>
        <v>FGM</v>
      </c>
      <c r="I86" s="9" t="str">
        <f>IFERROR(__xludf.DUMMYFUNCTION("""COMPUTED_VALUE"""),"FTS")</f>
        <v>FTS</v>
      </c>
      <c r="J86" s="9" t="str">
        <f>IFERROR(__xludf.DUMMYFUNCTION("""COMPUTED_VALUE"""),"SG")</f>
        <v>SG</v>
      </c>
      <c r="K86" s="9" t="str">
        <f>IFERROR(__xludf.DUMMYFUNCTION("""COMPUTED_VALUE"""),"peSG")</f>
        <v>peSG</v>
      </c>
      <c r="L86" s="9" t="str">
        <f>IFERROR(__xludf.DUMMYFUNCTION("""COMPUTED_VALUE"""),"SGPC")</f>
        <v>SGPC</v>
      </c>
      <c r="M86" s="9" t="str">
        <f>IFERROR(__xludf.DUMMYFUNCTION("""COMPUTED_VALUE"""),"SGpcr")</f>
        <v>SGpcr</v>
      </c>
      <c r="N86" s="9"/>
      <c r="O86" s="9"/>
      <c r="P86" s="9"/>
      <c r="Q86" s="9"/>
      <c r="R86" s="9"/>
      <c r="S86" s="42"/>
      <c r="T86" s="42"/>
      <c r="U86" s="42"/>
      <c r="V86" s="42"/>
      <c r="W86" s="42"/>
      <c r="X86" s="42"/>
      <c r="Y86" s="42"/>
      <c r="Z86" s="42"/>
      <c r="AA86" s="42"/>
      <c r="AB86" s="42" t="str">
        <f>IFERROR(__xludf.DUMMYFUNCTION("""COMPUTED_VALUE"""),"allen institute")</f>
        <v>allen institute</v>
      </c>
      <c r="AC86" s="42" t="str">
        <f>IFERROR(__xludf.DUMMYFUNCTION("""COMPUTED_VALUE"""),"DHBA")</f>
        <v>DHBA</v>
      </c>
      <c r="AD86" s="42"/>
      <c r="AE86" s="42"/>
      <c r="AF86" s="9"/>
      <c r="AG86" s="9"/>
      <c r="AH86" s="42"/>
      <c r="AI86" s="42"/>
      <c r="AJ86" s="42"/>
      <c r="AK86" s="42"/>
      <c r="AL86" s="42"/>
      <c r="AM86" s="42"/>
      <c r="AN86" s="42"/>
      <c r="AO86" s="63" t="str">
        <f>IFERROR(__xludf.DUMMYFUNCTION("IF(ISBLANK(A86),,IF(ISBLANK(S86), A86&amp;"";"", TEXTJOIN(CHAR(10), TRUE, A86&amp;"";"", ARRAYFORMULA(VLOOKUP(SPLIT(S86, "";"" &amp; CHAR(10)), $A:$AO, 41, FALSE)))))"),"SGpcr;")</f>
        <v>SGpcr;</v>
      </c>
      <c r="AP86" s="89"/>
    </row>
    <row r="87">
      <c r="A87" s="151" t="str">
        <f>IFERROR(__xludf.DUMMYFUNCTION("""COMPUTED_VALUE"""),"SGpcc")</f>
        <v>SGpcc</v>
      </c>
      <c r="B87" s="42" t="str">
        <f>IFERROR(__xludf.DUMMYFUNCTION("""COMPUTED_VALUE"""),"DHBA")</f>
        <v>DHBA</v>
      </c>
      <c r="C87" s="42" t="str">
        <f>IFERROR(__xludf.DUMMYFUNCTION("""COMPUTED_VALUE"""),"SG in caudal perirhinal cortex")</f>
        <v>SG in caudal perirhinal cortex</v>
      </c>
      <c r="D87" s="42">
        <f>IFERROR(__xludf.DUMMYFUNCTION("""COMPUTED_VALUE"""),53.0)</f>
        <v>53</v>
      </c>
      <c r="E87" s="39" t="str">
        <f>IFERROR(__xludf.DUMMYFUNCTION("""COMPUTED_VALUE"""),"SG in caudal perirhinal cortex")</f>
        <v>SG in caudal perirhinal cortex</v>
      </c>
      <c r="F87" s="9" t="str">
        <f>IFERROR(__xludf.DUMMYFUNCTION("""COMPUTED_VALUE"""),"Br")</f>
        <v>Br</v>
      </c>
      <c r="G87" s="9" t="str">
        <f>IFERROR(__xludf.DUMMYFUNCTION("""COMPUTED_VALUE"""),"F")</f>
        <v>F</v>
      </c>
      <c r="H87" s="9" t="str">
        <f>IFERROR(__xludf.DUMMYFUNCTION("""COMPUTED_VALUE"""),"FGM")</f>
        <v>FGM</v>
      </c>
      <c r="I87" s="9" t="str">
        <f>IFERROR(__xludf.DUMMYFUNCTION("""COMPUTED_VALUE"""),"FTS")</f>
        <v>FTS</v>
      </c>
      <c r="J87" s="9" t="str">
        <f>IFERROR(__xludf.DUMMYFUNCTION("""COMPUTED_VALUE"""),"SG")</f>
        <v>SG</v>
      </c>
      <c r="K87" s="9" t="str">
        <f>IFERROR(__xludf.DUMMYFUNCTION("""COMPUTED_VALUE"""),"peSG")</f>
        <v>peSG</v>
      </c>
      <c r="L87" s="9" t="str">
        <f>IFERROR(__xludf.DUMMYFUNCTION("""COMPUTED_VALUE"""),"SGPC")</f>
        <v>SGPC</v>
      </c>
      <c r="M87" s="9" t="str">
        <f>IFERROR(__xludf.DUMMYFUNCTION("""COMPUTED_VALUE"""),"SGpcc")</f>
        <v>SGpcc</v>
      </c>
      <c r="N87" s="9"/>
      <c r="O87" s="9"/>
      <c r="P87" s="9"/>
      <c r="Q87" s="9"/>
      <c r="R87" s="9"/>
      <c r="S87" s="42"/>
      <c r="T87" s="42"/>
      <c r="U87" s="42"/>
      <c r="V87" s="42"/>
      <c r="W87" s="42"/>
      <c r="X87" s="42"/>
      <c r="Y87" s="42"/>
      <c r="Z87" s="42"/>
      <c r="AA87" s="42"/>
      <c r="AB87" s="42" t="str">
        <f>IFERROR(__xludf.DUMMYFUNCTION("""COMPUTED_VALUE"""),"allen institute")</f>
        <v>allen institute</v>
      </c>
      <c r="AC87" s="42" t="str">
        <f>IFERROR(__xludf.DUMMYFUNCTION("""COMPUTED_VALUE"""),"DHBA")</f>
        <v>DHBA</v>
      </c>
      <c r="AD87" s="42"/>
      <c r="AE87" s="42"/>
      <c r="AF87" s="9"/>
      <c r="AG87" s="9"/>
      <c r="AH87" s="42"/>
      <c r="AI87" s="42"/>
      <c r="AJ87" s="42"/>
      <c r="AK87" s="42"/>
      <c r="AL87" s="42"/>
      <c r="AM87" s="42"/>
      <c r="AN87" s="42"/>
      <c r="AO87" s="63" t="str">
        <f>IFERROR(__xludf.DUMMYFUNCTION("IF(ISBLANK(A87),,IF(ISBLANK(S87), A87&amp;"";"", TEXTJOIN(CHAR(10), TRUE, A87&amp;"";"", ARRAYFORMULA(VLOOKUP(SPLIT(S87, "";"" &amp; CHAR(10)), $A:$AO, 41, FALSE)))))"),"SGpcc;")</f>
        <v>SGpcc;</v>
      </c>
      <c r="AP87" s="89"/>
    </row>
    <row r="88">
      <c r="A88" s="151" t="str">
        <f>IFERROR(__xludf.DUMMYFUNCTION("""COMPUTED_VALUE"""),"SGpas")</f>
        <v>SGpas</v>
      </c>
      <c r="B88" s="42" t="str">
        <f>IFERROR(__xludf.DUMMYFUNCTION("""COMPUTED_VALUE"""),"DHBA")</f>
        <v>DHBA</v>
      </c>
      <c r="C88" s="42" t="str">
        <f>IFERROR(__xludf.DUMMYFUNCTION("""COMPUTED_VALUE"""),"SG in parasubicular cortex")</f>
        <v>SG in parasubicular cortex</v>
      </c>
      <c r="D88" s="42">
        <f>IFERROR(__xludf.DUMMYFUNCTION("""COMPUTED_VALUE"""),54.0)</f>
        <v>54</v>
      </c>
      <c r="E88" s="39" t="str">
        <f>IFERROR(__xludf.DUMMYFUNCTION("""COMPUTED_VALUE"""),"SG in parasubicular cortex")</f>
        <v>SG in parasubicular cortex</v>
      </c>
      <c r="F88" s="9" t="str">
        <f>IFERROR(__xludf.DUMMYFUNCTION("""COMPUTED_VALUE"""),"Br")</f>
        <v>Br</v>
      </c>
      <c r="G88" s="9" t="str">
        <f>IFERROR(__xludf.DUMMYFUNCTION("""COMPUTED_VALUE"""),"F")</f>
        <v>F</v>
      </c>
      <c r="H88" s="9" t="str">
        <f>IFERROR(__xludf.DUMMYFUNCTION("""COMPUTED_VALUE"""),"FGM")</f>
        <v>FGM</v>
      </c>
      <c r="I88" s="9" t="str">
        <f>IFERROR(__xludf.DUMMYFUNCTION("""COMPUTED_VALUE"""),"FTS")</f>
        <v>FTS</v>
      </c>
      <c r="J88" s="9" t="str">
        <f>IFERROR(__xludf.DUMMYFUNCTION("""COMPUTED_VALUE"""),"SG")</f>
        <v>SG</v>
      </c>
      <c r="K88" s="9" t="str">
        <f>IFERROR(__xludf.DUMMYFUNCTION("""COMPUTED_VALUE"""),"peSG")</f>
        <v>peSG</v>
      </c>
      <c r="L88" s="9" t="str">
        <f>IFERROR(__xludf.DUMMYFUNCTION("""COMPUTED_VALUE"""),"SGpas")</f>
        <v>SGpas</v>
      </c>
      <c r="M88" s="9"/>
      <c r="N88" s="9"/>
      <c r="O88" s="9"/>
      <c r="P88" s="9"/>
      <c r="Q88" s="9"/>
      <c r="R88" s="9"/>
      <c r="S88" s="42"/>
      <c r="T88" s="42"/>
      <c r="U88" s="42"/>
      <c r="V88" s="42"/>
      <c r="W88" s="42"/>
      <c r="X88" s="42"/>
      <c r="Y88" s="42"/>
      <c r="Z88" s="42"/>
      <c r="AA88" s="42"/>
      <c r="AB88" s="42" t="str">
        <f>IFERROR(__xludf.DUMMYFUNCTION("""COMPUTED_VALUE"""),"allen institute")</f>
        <v>allen institute</v>
      </c>
      <c r="AC88" s="42" t="str">
        <f>IFERROR(__xludf.DUMMYFUNCTION("""COMPUTED_VALUE"""),"DHBA")</f>
        <v>DHBA</v>
      </c>
      <c r="AD88" s="42"/>
      <c r="AE88" s="42"/>
      <c r="AF88" s="9"/>
      <c r="AG88" s="9"/>
      <c r="AH88" s="42"/>
      <c r="AI88" s="42"/>
      <c r="AJ88" s="42"/>
      <c r="AK88" s="42"/>
      <c r="AL88" s="42"/>
      <c r="AM88" s="42"/>
      <c r="AN88" s="42"/>
      <c r="AO88" s="63" t="str">
        <f>IFERROR(__xludf.DUMMYFUNCTION("IF(ISBLANK(A88),,IF(ISBLANK(S88), A88&amp;"";"", TEXTJOIN(CHAR(10), TRUE, A88&amp;"";"", ARRAYFORMULA(VLOOKUP(SPLIT(S88, "";"" &amp; CHAR(10)), $A:$AO, 41, FALSE)))))"),"SGpas;")</f>
        <v>SGpas;</v>
      </c>
      <c r="AP88" s="89"/>
    </row>
    <row r="89">
      <c r="A89" s="151" t="str">
        <f>IFERROR(__xludf.DUMMYFUNCTION("""COMPUTED_VALUE"""),"SGec")</f>
        <v>SGec</v>
      </c>
      <c r="B89" s="42" t="str">
        <f>IFERROR(__xludf.DUMMYFUNCTION("""COMPUTED_VALUE"""),"DHBA")</f>
        <v>DHBA</v>
      </c>
      <c r="C89" s="42" t="str">
        <f>IFERROR(__xludf.DUMMYFUNCTION("""COMPUTED_VALUE"""),"SG in entorhinal cortex")</f>
        <v>SG in entorhinal cortex</v>
      </c>
      <c r="D89" s="42">
        <f>IFERROR(__xludf.DUMMYFUNCTION("""COMPUTED_VALUE"""),55.0)</f>
        <v>55</v>
      </c>
      <c r="E89" s="39" t="str">
        <f>IFERROR(__xludf.DUMMYFUNCTION("""COMPUTED_VALUE"""),"SG in entorhinal cortex")</f>
        <v>SG in entorhinal cortex</v>
      </c>
      <c r="F89" s="9" t="str">
        <f>IFERROR(__xludf.DUMMYFUNCTION("""COMPUTED_VALUE"""),"Br")</f>
        <v>Br</v>
      </c>
      <c r="G89" s="9" t="str">
        <f>IFERROR(__xludf.DUMMYFUNCTION("""COMPUTED_VALUE"""),"F")</f>
        <v>F</v>
      </c>
      <c r="H89" s="9" t="str">
        <f>IFERROR(__xludf.DUMMYFUNCTION("""COMPUTED_VALUE"""),"FGM")</f>
        <v>FGM</v>
      </c>
      <c r="I89" s="9" t="str">
        <f>IFERROR(__xludf.DUMMYFUNCTION("""COMPUTED_VALUE"""),"FTS")</f>
        <v>FTS</v>
      </c>
      <c r="J89" s="9" t="str">
        <f>IFERROR(__xludf.DUMMYFUNCTION("""COMPUTED_VALUE"""),"SG")</f>
        <v>SG</v>
      </c>
      <c r="K89" s="9" t="str">
        <f>IFERROR(__xludf.DUMMYFUNCTION("""COMPUTED_VALUE"""),"peSG")</f>
        <v>peSG</v>
      </c>
      <c r="L89" s="9" t="str">
        <f>IFERROR(__xludf.DUMMYFUNCTION("""COMPUTED_VALUE"""),"SGec")</f>
        <v>SGec</v>
      </c>
      <c r="M89" s="9"/>
      <c r="N89" s="9"/>
      <c r="O89" s="9"/>
      <c r="P89" s="9"/>
      <c r="Q89" s="9"/>
      <c r="R89" s="9"/>
      <c r="S89" s="42" t="str">
        <f>IFERROR(__xludf.DUMMYFUNCTION("""COMPUTED_VALUE"""),"SGecl;
SGecm")</f>
        <v>SGecl;
SGecm</v>
      </c>
      <c r="T89" s="42"/>
      <c r="U89" s="42" t="b">
        <f>IFERROR(__xludf.DUMMYFUNCTION("""COMPUTED_VALUE"""),FALSE)</f>
        <v>0</v>
      </c>
      <c r="V89" s="42"/>
      <c r="W89" s="42"/>
      <c r="X89" s="42"/>
      <c r="Y89" s="42"/>
      <c r="Z89" s="42"/>
      <c r="AA89" s="42"/>
      <c r="AB89" s="42" t="str">
        <f>IFERROR(__xludf.DUMMYFUNCTION("""COMPUTED_VALUE"""),"allen institute")</f>
        <v>allen institute</v>
      </c>
      <c r="AC89" s="42" t="str">
        <f>IFERROR(__xludf.DUMMYFUNCTION("""COMPUTED_VALUE"""),"DHBA")</f>
        <v>DHBA</v>
      </c>
      <c r="AD89" s="42"/>
      <c r="AE89" s="42"/>
      <c r="AF89" s="9"/>
      <c r="AG89" s="9"/>
      <c r="AH89" s="42"/>
      <c r="AI89" s="42"/>
      <c r="AJ89" s="42"/>
      <c r="AK89" s="42"/>
      <c r="AL89" s="42"/>
      <c r="AM89" s="42"/>
      <c r="AN89" s="42"/>
      <c r="AO89" s="63" t="str">
        <f>IFERROR(__xludf.DUMMYFUNCTION("IF(ISBLANK(A89),,IF(ISBLANK(S89), A89&amp;"";"", TEXTJOIN(CHAR(10), TRUE, A89&amp;"";"", ARRAYFORMULA(VLOOKUP(SPLIT(S89, "";"" &amp; CHAR(10)), $A:$AO, 41, FALSE)))))"),"#REF!")</f>
        <v>#REF!</v>
      </c>
      <c r="AP89" s="89"/>
    </row>
    <row r="90">
      <c r="A90" s="151" t="str">
        <f>IFERROR(__xludf.DUMMYFUNCTION("""COMPUTED_VALUE"""),"SGecl")</f>
        <v>SGecl</v>
      </c>
      <c r="B90" s="42" t="str">
        <f>IFERROR(__xludf.DUMMYFUNCTION("""COMPUTED_VALUE"""),"DHBA")</f>
        <v>DHBA</v>
      </c>
      <c r="C90" s="42" t="str">
        <f>IFERROR(__xludf.DUMMYFUNCTION("""COMPUTED_VALUE"""),"SG in lateral (anterior) entorhinal cortex")</f>
        <v>SG in lateral (anterior) entorhinal cortex</v>
      </c>
      <c r="D90" s="42">
        <f>IFERROR(__xludf.DUMMYFUNCTION("""COMPUTED_VALUE"""),56.0)</f>
        <v>56</v>
      </c>
      <c r="E90" s="39" t="str">
        <f>IFERROR(__xludf.DUMMYFUNCTION("""COMPUTED_VALUE"""),"SG in lateral (anterior) entorhinal cortex")</f>
        <v>SG in lateral (anterior) entorhinal cortex</v>
      </c>
      <c r="F90" s="9" t="str">
        <f>IFERROR(__xludf.DUMMYFUNCTION("""COMPUTED_VALUE"""),"Br")</f>
        <v>Br</v>
      </c>
      <c r="G90" s="9" t="str">
        <f>IFERROR(__xludf.DUMMYFUNCTION("""COMPUTED_VALUE"""),"F")</f>
        <v>F</v>
      </c>
      <c r="H90" s="9" t="str">
        <f>IFERROR(__xludf.DUMMYFUNCTION("""COMPUTED_VALUE"""),"FGM")</f>
        <v>FGM</v>
      </c>
      <c r="I90" s="9" t="str">
        <f>IFERROR(__xludf.DUMMYFUNCTION("""COMPUTED_VALUE"""),"FTS")</f>
        <v>FTS</v>
      </c>
      <c r="J90" s="9" t="str">
        <f>IFERROR(__xludf.DUMMYFUNCTION("""COMPUTED_VALUE"""),"SG")</f>
        <v>SG</v>
      </c>
      <c r="K90" s="9" t="str">
        <f>IFERROR(__xludf.DUMMYFUNCTION("""COMPUTED_VALUE"""),"peSG")</f>
        <v>peSG</v>
      </c>
      <c r="L90" s="9" t="str">
        <f>IFERROR(__xludf.DUMMYFUNCTION("""COMPUTED_VALUE"""),"SGec")</f>
        <v>SGec</v>
      </c>
      <c r="M90" s="9" t="str">
        <f>IFERROR(__xludf.DUMMYFUNCTION("""COMPUTED_VALUE"""),"SGecl")</f>
        <v>SGecl</v>
      </c>
      <c r="N90" s="9"/>
      <c r="O90" s="9"/>
      <c r="P90" s="9"/>
      <c r="Q90" s="9"/>
      <c r="R90" s="9"/>
      <c r="S90" s="42" t="str">
        <f>IFERROR(__xludf.DUMMYFUNCTION("""COMPUTED_VALUE"""),"SGEo;
SGEr")</f>
        <v>SGEo;
SGEr</v>
      </c>
      <c r="T90" s="42"/>
      <c r="U90" s="42" t="b">
        <f>IFERROR(__xludf.DUMMYFUNCTION("""COMPUTED_VALUE"""),FALSE)</f>
        <v>0</v>
      </c>
      <c r="V90" s="42"/>
      <c r="W90" s="42"/>
      <c r="X90" s="42"/>
      <c r="Y90" s="42"/>
      <c r="Z90" s="42"/>
      <c r="AA90" s="42"/>
      <c r="AB90" s="42" t="str">
        <f>IFERROR(__xludf.DUMMYFUNCTION("""COMPUTED_VALUE"""),"allen institute")</f>
        <v>allen institute</v>
      </c>
      <c r="AC90" s="42" t="str">
        <f>IFERROR(__xludf.DUMMYFUNCTION("""COMPUTED_VALUE"""),"DHBA")</f>
        <v>DHBA</v>
      </c>
      <c r="AD90" s="42"/>
      <c r="AE90" s="42"/>
      <c r="AF90" s="9"/>
      <c r="AG90" s="9"/>
      <c r="AH90" s="42"/>
      <c r="AI90" s="42"/>
      <c r="AJ90" s="42"/>
      <c r="AK90" s="42"/>
      <c r="AL90" s="42"/>
      <c r="AM90" s="42"/>
      <c r="AN90" s="42"/>
      <c r="AO90" s="63" t="str">
        <f>IFERROR(__xludf.DUMMYFUNCTION("IF(ISBLANK(A90),,IF(ISBLANK(S90), A90&amp;"";"", TEXTJOIN(CHAR(10), TRUE, A90&amp;"";"", ARRAYFORMULA(VLOOKUP(SPLIT(S90, "";"" &amp; CHAR(10)), $A:$AO, 41, FALSE)))))"),"SGecl;
SGEo;
SGEr;")</f>
        <v>SGecl;
SGEo;
SGEr;</v>
      </c>
      <c r="AP90" s="89"/>
    </row>
    <row r="91">
      <c r="A91" s="151" t="str">
        <f>IFERROR(__xludf.DUMMYFUNCTION("""COMPUTED_VALUE"""),"SGEo")</f>
        <v>SGEo</v>
      </c>
      <c r="B91" s="42" t="str">
        <f>IFERROR(__xludf.DUMMYFUNCTION("""COMPUTED_VALUE"""),"DHBA")</f>
        <v>DHBA</v>
      </c>
      <c r="C91" s="42" t="str">
        <f>IFERROR(__xludf.DUMMYFUNCTION("""COMPUTED_VALUE"""),"SG in olfactory entorhinal cortex")</f>
        <v>SG in olfactory entorhinal cortex</v>
      </c>
      <c r="D91" s="42">
        <f>IFERROR(__xludf.DUMMYFUNCTION("""COMPUTED_VALUE"""),57.0)</f>
        <v>57</v>
      </c>
      <c r="E91" s="39" t="str">
        <f>IFERROR(__xludf.DUMMYFUNCTION("""COMPUTED_VALUE"""),"SG in olfactory entorhinal cortex")</f>
        <v>SG in olfactory entorhinal cortex</v>
      </c>
      <c r="F91" s="9" t="str">
        <f>IFERROR(__xludf.DUMMYFUNCTION("""COMPUTED_VALUE"""),"Br")</f>
        <v>Br</v>
      </c>
      <c r="G91" s="9" t="str">
        <f>IFERROR(__xludf.DUMMYFUNCTION("""COMPUTED_VALUE"""),"F")</f>
        <v>F</v>
      </c>
      <c r="H91" s="9" t="str">
        <f>IFERROR(__xludf.DUMMYFUNCTION("""COMPUTED_VALUE"""),"FGM")</f>
        <v>FGM</v>
      </c>
      <c r="I91" s="9" t="str">
        <f>IFERROR(__xludf.DUMMYFUNCTION("""COMPUTED_VALUE"""),"FTS")</f>
        <v>FTS</v>
      </c>
      <c r="J91" s="9" t="str">
        <f>IFERROR(__xludf.DUMMYFUNCTION("""COMPUTED_VALUE"""),"SG")</f>
        <v>SG</v>
      </c>
      <c r="K91" s="9" t="str">
        <f>IFERROR(__xludf.DUMMYFUNCTION("""COMPUTED_VALUE"""),"peSG")</f>
        <v>peSG</v>
      </c>
      <c r="L91" s="9" t="str">
        <f>IFERROR(__xludf.DUMMYFUNCTION("""COMPUTED_VALUE"""),"SGec")</f>
        <v>SGec</v>
      </c>
      <c r="M91" s="9" t="str">
        <f>IFERROR(__xludf.DUMMYFUNCTION("""COMPUTED_VALUE"""),"SGecl")</f>
        <v>SGecl</v>
      </c>
      <c r="N91" s="9" t="str">
        <f>IFERROR(__xludf.DUMMYFUNCTION("""COMPUTED_VALUE"""),"SGEo")</f>
        <v>SGEo</v>
      </c>
      <c r="O91" s="9"/>
      <c r="P91" s="9"/>
      <c r="Q91" s="9"/>
      <c r="R91" s="9"/>
      <c r="S91" s="42"/>
      <c r="T91" s="42"/>
      <c r="U91" s="42"/>
      <c r="V91" s="42"/>
      <c r="W91" s="42"/>
      <c r="X91" s="42"/>
      <c r="Y91" s="42"/>
      <c r="Z91" s="42"/>
      <c r="AA91" s="42"/>
      <c r="AB91" s="42" t="str">
        <f>IFERROR(__xludf.DUMMYFUNCTION("""COMPUTED_VALUE"""),"allen institute")</f>
        <v>allen institute</v>
      </c>
      <c r="AC91" s="42" t="str">
        <f>IFERROR(__xludf.DUMMYFUNCTION("""COMPUTED_VALUE"""),"DHBA")</f>
        <v>DHBA</v>
      </c>
      <c r="AD91" s="42"/>
      <c r="AE91" s="42"/>
      <c r="AF91" s="9"/>
      <c r="AG91" s="9"/>
      <c r="AH91" s="42"/>
      <c r="AI91" s="42"/>
      <c r="AJ91" s="42"/>
      <c r="AK91" s="42"/>
      <c r="AL91" s="42"/>
      <c r="AM91" s="42"/>
      <c r="AN91" s="42"/>
      <c r="AO91" s="63" t="str">
        <f>IFERROR(__xludf.DUMMYFUNCTION("IF(ISBLANK(A91),,IF(ISBLANK(S91), A91&amp;"";"", TEXTJOIN(CHAR(10), TRUE, A91&amp;"";"", ARRAYFORMULA(VLOOKUP(SPLIT(S91, "";"" &amp; CHAR(10)), $A:$AO, 41, FALSE)))))"),"SGEo;")</f>
        <v>SGEo;</v>
      </c>
      <c r="AP91" s="89"/>
    </row>
    <row r="92">
      <c r="A92" s="151" t="str">
        <f>IFERROR(__xludf.DUMMYFUNCTION("""COMPUTED_VALUE"""),"SGEr")</f>
        <v>SGEr</v>
      </c>
      <c r="B92" s="42" t="str">
        <f>IFERROR(__xludf.DUMMYFUNCTION("""COMPUTED_VALUE"""),"DHBA")</f>
        <v>DHBA</v>
      </c>
      <c r="C92" s="42" t="str">
        <f>IFERROR(__xludf.DUMMYFUNCTION("""COMPUTED_VALUE"""),"SG in rostral entorhinal cortex")</f>
        <v>SG in rostral entorhinal cortex</v>
      </c>
      <c r="D92" s="42">
        <f>IFERROR(__xludf.DUMMYFUNCTION("""COMPUTED_VALUE"""),58.0)</f>
        <v>58</v>
      </c>
      <c r="E92" s="39" t="str">
        <f>IFERROR(__xludf.DUMMYFUNCTION("""COMPUTED_VALUE"""),"SG in rostral entorhinal cortex")</f>
        <v>SG in rostral entorhinal cortex</v>
      </c>
      <c r="F92" s="9" t="str">
        <f>IFERROR(__xludf.DUMMYFUNCTION("""COMPUTED_VALUE"""),"Br")</f>
        <v>Br</v>
      </c>
      <c r="G92" s="9" t="str">
        <f>IFERROR(__xludf.DUMMYFUNCTION("""COMPUTED_VALUE"""),"F")</f>
        <v>F</v>
      </c>
      <c r="H92" s="9" t="str">
        <f>IFERROR(__xludf.DUMMYFUNCTION("""COMPUTED_VALUE"""),"FGM")</f>
        <v>FGM</v>
      </c>
      <c r="I92" s="9" t="str">
        <f>IFERROR(__xludf.DUMMYFUNCTION("""COMPUTED_VALUE"""),"FTS")</f>
        <v>FTS</v>
      </c>
      <c r="J92" s="9" t="str">
        <f>IFERROR(__xludf.DUMMYFUNCTION("""COMPUTED_VALUE"""),"SG")</f>
        <v>SG</v>
      </c>
      <c r="K92" s="9" t="str">
        <f>IFERROR(__xludf.DUMMYFUNCTION("""COMPUTED_VALUE"""),"peSG")</f>
        <v>peSG</v>
      </c>
      <c r="L92" s="9" t="str">
        <f>IFERROR(__xludf.DUMMYFUNCTION("""COMPUTED_VALUE"""),"SGec")</f>
        <v>SGec</v>
      </c>
      <c r="M92" s="9" t="str">
        <f>IFERROR(__xludf.DUMMYFUNCTION("""COMPUTED_VALUE"""),"SGecl")</f>
        <v>SGecl</v>
      </c>
      <c r="N92" s="9" t="str">
        <f>IFERROR(__xludf.DUMMYFUNCTION("""COMPUTED_VALUE"""),"SGEr")</f>
        <v>SGEr</v>
      </c>
      <c r="O92" s="9"/>
      <c r="P92" s="9"/>
      <c r="Q92" s="9"/>
      <c r="R92" s="9"/>
      <c r="S92" s="42"/>
      <c r="T92" s="42"/>
      <c r="U92" s="42"/>
      <c r="V92" s="42"/>
      <c r="W92" s="42"/>
      <c r="X92" s="42"/>
      <c r="Y92" s="42"/>
      <c r="Z92" s="42"/>
      <c r="AA92" s="42"/>
      <c r="AB92" s="42" t="str">
        <f>IFERROR(__xludf.DUMMYFUNCTION("""COMPUTED_VALUE"""),"allen institute")</f>
        <v>allen institute</v>
      </c>
      <c r="AC92" s="42" t="str">
        <f>IFERROR(__xludf.DUMMYFUNCTION("""COMPUTED_VALUE"""),"DHBA")</f>
        <v>DHBA</v>
      </c>
      <c r="AD92" s="42"/>
      <c r="AE92" s="42"/>
      <c r="AF92" s="9"/>
      <c r="AG92" s="9"/>
      <c r="AH92" s="42"/>
      <c r="AI92" s="42"/>
      <c r="AJ92" s="42"/>
      <c r="AK92" s="42"/>
      <c r="AL92" s="42"/>
      <c r="AM92" s="42"/>
      <c r="AN92" s="42"/>
      <c r="AO92" s="63" t="str">
        <f>IFERROR(__xludf.DUMMYFUNCTION("IF(ISBLANK(A92),,IF(ISBLANK(S92), A92&amp;"";"", TEXTJOIN(CHAR(10), TRUE, A92&amp;"";"", ARRAYFORMULA(VLOOKUP(SPLIT(S92, "";"" &amp; CHAR(10)), $A:$AO, 41, FALSE)))))"),"SGEr;")</f>
        <v>SGEr;</v>
      </c>
      <c r="AP92" s="89"/>
    </row>
    <row r="93">
      <c r="A93" s="151" t="str">
        <f>IFERROR(__xludf.DUMMYFUNCTION("""COMPUTED_VALUE"""),"SGecm")</f>
        <v>SGecm</v>
      </c>
      <c r="B93" s="42" t="str">
        <f>IFERROR(__xludf.DUMMYFUNCTION("""COMPUTED_VALUE"""),"DHBA")</f>
        <v>DHBA</v>
      </c>
      <c r="C93" s="42" t="str">
        <f>IFERROR(__xludf.DUMMYFUNCTION("""COMPUTED_VALUE"""),"SG in medial (posterior) entorhinal cortex")</f>
        <v>SG in medial (posterior) entorhinal cortex</v>
      </c>
      <c r="D93" s="42">
        <f>IFERROR(__xludf.DUMMYFUNCTION("""COMPUTED_VALUE"""),59.0)</f>
        <v>59</v>
      </c>
      <c r="E93" s="39" t="str">
        <f>IFERROR(__xludf.DUMMYFUNCTION("""COMPUTED_VALUE"""),"SG in medial (posterior) entorhinal cortex")</f>
        <v>SG in medial (posterior) entorhinal cortex</v>
      </c>
      <c r="F93" s="9" t="str">
        <f>IFERROR(__xludf.DUMMYFUNCTION("""COMPUTED_VALUE"""),"Br")</f>
        <v>Br</v>
      </c>
      <c r="G93" s="9" t="str">
        <f>IFERROR(__xludf.DUMMYFUNCTION("""COMPUTED_VALUE"""),"F")</f>
        <v>F</v>
      </c>
      <c r="H93" s="9" t="str">
        <f>IFERROR(__xludf.DUMMYFUNCTION("""COMPUTED_VALUE"""),"FGM")</f>
        <v>FGM</v>
      </c>
      <c r="I93" s="9" t="str">
        <f>IFERROR(__xludf.DUMMYFUNCTION("""COMPUTED_VALUE"""),"FTS")</f>
        <v>FTS</v>
      </c>
      <c r="J93" s="9" t="str">
        <f>IFERROR(__xludf.DUMMYFUNCTION("""COMPUTED_VALUE"""),"SG")</f>
        <v>SG</v>
      </c>
      <c r="K93" s="9" t="str">
        <f>IFERROR(__xludf.DUMMYFUNCTION("""COMPUTED_VALUE"""),"peSG")</f>
        <v>peSG</v>
      </c>
      <c r="L93" s="9" t="str">
        <f>IFERROR(__xludf.DUMMYFUNCTION("""COMPUTED_VALUE"""),"SGec")</f>
        <v>SGec</v>
      </c>
      <c r="M93" s="9" t="str">
        <f>IFERROR(__xludf.DUMMYFUNCTION("""COMPUTED_VALUE"""),"SGecm")</f>
        <v>SGecm</v>
      </c>
      <c r="N93" s="9"/>
      <c r="O93" s="9"/>
      <c r="P93" s="9"/>
      <c r="Q93" s="9"/>
      <c r="R93" s="9"/>
      <c r="S93" s="42" t="str">
        <f>IFERROR(__xludf.DUMMYFUNCTION("""COMPUTED_VALUE"""),"SGEc")</f>
        <v>SGEc</v>
      </c>
      <c r="T93" s="42"/>
      <c r="U93" s="159" t="b">
        <f>IFERROR(__xludf.DUMMYFUNCTION("""COMPUTED_VALUE"""),FALSE)</f>
        <v>0</v>
      </c>
      <c r="V93" s="42"/>
      <c r="W93" s="42"/>
      <c r="X93" s="42"/>
      <c r="Y93" s="42"/>
      <c r="Z93" s="42"/>
      <c r="AA93" s="42"/>
      <c r="AB93" s="42" t="str">
        <f>IFERROR(__xludf.DUMMYFUNCTION("""COMPUTED_VALUE"""),"allen institute")</f>
        <v>allen institute</v>
      </c>
      <c r="AC93" s="42" t="str">
        <f>IFERROR(__xludf.DUMMYFUNCTION("""COMPUTED_VALUE"""),"DHBA")</f>
        <v>DHBA</v>
      </c>
      <c r="AD93" s="42"/>
      <c r="AE93" s="42"/>
      <c r="AF93" s="9"/>
      <c r="AG93" s="9"/>
      <c r="AH93" s="42"/>
      <c r="AI93" s="42"/>
      <c r="AJ93" s="42"/>
      <c r="AK93" s="42"/>
      <c r="AL93" s="42"/>
      <c r="AM93" s="42"/>
      <c r="AN93" s="42"/>
      <c r="AO93" s="63" t="str">
        <f>IFERROR(__xludf.DUMMYFUNCTION("IF(ISBLANK(A93),,IF(ISBLANK(S93), A93&amp;"";"", TEXTJOIN(CHAR(10), TRUE, A93&amp;"";"", ARRAYFORMULA(VLOOKUP(SPLIT(S93, "";"" &amp; CHAR(10)), $A:$AO, 41, FALSE)))))"),"#REF!")</f>
        <v>#REF!</v>
      </c>
      <c r="AP93" s="89"/>
    </row>
    <row r="94">
      <c r="A94" s="151" t="str">
        <f>IFERROR(__xludf.DUMMYFUNCTION("""COMPUTED_VALUE"""),"SGEc")</f>
        <v>SGEc</v>
      </c>
      <c r="B94" s="42" t="str">
        <f>IFERROR(__xludf.DUMMYFUNCTION("""COMPUTED_VALUE"""),"DHBA")</f>
        <v>DHBA</v>
      </c>
      <c r="C94" s="42" t="str">
        <f>IFERROR(__xludf.DUMMYFUNCTION("""COMPUTED_VALUE"""),"SG in caudal entorhinal cortex")</f>
        <v>SG in caudal entorhinal cortex</v>
      </c>
      <c r="D94" s="42">
        <f>IFERROR(__xludf.DUMMYFUNCTION("""COMPUTED_VALUE"""),60.0)</f>
        <v>60</v>
      </c>
      <c r="E94" s="39" t="str">
        <f>IFERROR(__xludf.DUMMYFUNCTION("""COMPUTED_VALUE"""),"SG in caudal entorhinal cortex")</f>
        <v>SG in caudal entorhinal cortex</v>
      </c>
      <c r="F94" s="9" t="str">
        <f>IFERROR(__xludf.DUMMYFUNCTION("""COMPUTED_VALUE"""),"Br")</f>
        <v>Br</v>
      </c>
      <c r="G94" s="9" t="str">
        <f>IFERROR(__xludf.DUMMYFUNCTION("""COMPUTED_VALUE"""),"F")</f>
        <v>F</v>
      </c>
      <c r="H94" s="9" t="str">
        <f>IFERROR(__xludf.DUMMYFUNCTION("""COMPUTED_VALUE"""),"FGM")</f>
        <v>FGM</v>
      </c>
      <c r="I94" s="9" t="str">
        <f>IFERROR(__xludf.DUMMYFUNCTION("""COMPUTED_VALUE"""),"FTS")</f>
        <v>FTS</v>
      </c>
      <c r="J94" s="9" t="str">
        <f>IFERROR(__xludf.DUMMYFUNCTION("""COMPUTED_VALUE"""),"SG")</f>
        <v>SG</v>
      </c>
      <c r="K94" s="9" t="str">
        <f>IFERROR(__xludf.DUMMYFUNCTION("""COMPUTED_VALUE"""),"peSG")</f>
        <v>peSG</v>
      </c>
      <c r="L94" s="9" t="str">
        <f>IFERROR(__xludf.DUMMYFUNCTION("""COMPUTED_VALUE"""),"SGec")</f>
        <v>SGec</v>
      </c>
      <c r="M94" s="9" t="str">
        <f>IFERROR(__xludf.DUMMYFUNCTION("""COMPUTED_VALUE"""),"SGecm")</f>
        <v>SGecm</v>
      </c>
      <c r="N94" s="9" t="str">
        <f>IFERROR(__xludf.DUMMYFUNCTION("""COMPUTED_VALUE"""),"SGEc")</f>
        <v>SGEc</v>
      </c>
      <c r="O94" s="9"/>
      <c r="P94" s="9"/>
      <c r="Q94" s="9"/>
      <c r="R94" s="9"/>
      <c r="S94" s="42"/>
      <c r="T94" s="42"/>
      <c r="U94" s="159"/>
      <c r="V94" s="42"/>
      <c r="W94" s="42"/>
      <c r="X94" s="42"/>
      <c r="Y94" s="42"/>
      <c r="Z94" s="42"/>
      <c r="AA94" s="42"/>
      <c r="AB94" s="42" t="str">
        <f>IFERROR(__xludf.DUMMYFUNCTION("""COMPUTED_VALUE"""),"allen institute")</f>
        <v>allen institute</v>
      </c>
      <c r="AC94" s="42" t="str">
        <f>IFERROR(__xludf.DUMMYFUNCTION("""COMPUTED_VALUE"""),"DHBA")</f>
        <v>DHBA</v>
      </c>
      <c r="AD94" s="42"/>
      <c r="AE94" s="42"/>
      <c r="AF94" s="9"/>
      <c r="AG94" s="9"/>
      <c r="AH94" s="42"/>
      <c r="AI94" s="42"/>
      <c r="AJ94" s="42"/>
      <c r="AK94" s="42"/>
      <c r="AL94" s="42"/>
      <c r="AM94" s="42"/>
      <c r="AN94" s="42"/>
      <c r="AO94" s="63" t="str">
        <f>IFERROR(__xludf.DUMMYFUNCTION("IF(ISBLANK(A94),,IF(ISBLANK(S94), A94&amp;"";"", TEXTJOIN(CHAR(10), TRUE, A94&amp;"";"", ARRAYFORMULA(VLOOKUP(SPLIT(S94, "";"" &amp; CHAR(10)), $A:$AO, 41, FALSE)))))"),"SGEc;")</f>
        <v>SGEc;</v>
      </c>
      <c r="AP94" s="89"/>
    </row>
    <row r="95">
      <c r="A95" s="151" t="str">
        <f>IFERROR(__xludf.DUMMYFUNCTION("""COMPUTED_VALUE"""),"SGprs")</f>
        <v>SGprs</v>
      </c>
      <c r="B95" s="42" t="str">
        <f>IFERROR(__xludf.DUMMYFUNCTION("""COMPUTED_VALUE"""),"DHBA")</f>
        <v>DHBA</v>
      </c>
      <c r="C95" s="42" t="str">
        <f>IFERROR(__xludf.DUMMYFUNCTION("""COMPUTED_VALUE"""),"SG in presubicular cortex")</f>
        <v>SG in presubicular cortex</v>
      </c>
      <c r="D95" s="42">
        <f>IFERROR(__xludf.DUMMYFUNCTION("""COMPUTED_VALUE"""),61.0)</f>
        <v>61</v>
      </c>
      <c r="E95" s="39" t="str">
        <f>IFERROR(__xludf.DUMMYFUNCTION("""COMPUTED_VALUE"""),"SG in presubicular cortex")</f>
        <v>SG in presubicular cortex</v>
      </c>
      <c r="F95" s="9" t="str">
        <f>IFERROR(__xludf.DUMMYFUNCTION("""COMPUTED_VALUE"""),"Br")</f>
        <v>Br</v>
      </c>
      <c r="G95" s="9" t="str">
        <f>IFERROR(__xludf.DUMMYFUNCTION("""COMPUTED_VALUE"""),"F")</f>
        <v>F</v>
      </c>
      <c r="H95" s="9" t="str">
        <f>IFERROR(__xludf.DUMMYFUNCTION("""COMPUTED_VALUE"""),"FGM")</f>
        <v>FGM</v>
      </c>
      <c r="I95" s="9" t="str">
        <f>IFERROR(__xludf.DUMMYFUNCTION("""COMPUTED_VALUE"""),"FTS")</f>
        <v>FTS</v>
      </c>
      <c r="J95" s="9" t="str">
        <f>IFERROR(__xludf.DUMMYFUNCTION("""COMPUTED_VALUE"""),"SG")</f>
        <v>SG</v>
      </c>
      <c r="K95" s="9" t="str">
        <f>IFERROR(__xludf.DUMMYFUNCTION("""COMPUTED_VALUE"""),"peSG")</f>
        <v>peSG</v>
      </c>
      <c r="L95" s="9" t="str">
        <f>IFERROR(__xludf.DUMMYFUNCTION("""COMPUTED_VALUE"""),"SGprs")</f>
        <v>SGprs</v>
      </c>
      <c r="M95" s="9"/>
      <c r="N95" s="9"/>
      <c r="O95" s="9"/>
      <c r="P95" s="9"/>
      <c r="Q95" s="9"/>
      <c r="R95" s="9"/>
      <c r="S95" s="42" t="str">
        <f>IFERROR(__xludf.DUMMYFUNCTION("""COMPUTED_VALUE"""),"SGprsr;
SGprsc")</f>
        <v>SGprsr;
SGprsc</v>
      </c>
      <c r="T95" s="42"/>
      <c r="U95" s="42" t="b">
        <f>IFERROR(__xludf.DUMMYFUNCTION("""COMPUTED_VALUE"""),FALSE)</f>
        <v>0</v>
      </c>
      <c r="V95" s="42"/>
      <c r="W95" s="42"/>
      <c r="X95" s="42"/>
      <c r="Y95" s="42"/>
      <c r="Z95" s="42"/>
      <c r="AA95" s="42"/>
      <c r="AB95" s="42" t="str">
        <f>IFERROR(__xludf.DUMMYFUNCTION("""COMPUTED_VALUE"""),"allen institute")</f>
        <v>allen institute</v>
      </c>
      <c r="AC95" s="42" t="str">
        <f>IFERROR(__xludf.DUMMYFUNCTION("""COMPUTED_VALUE"""),"DHBA")</f>
        <v>DHBA</v>
      </c>
      <c r="AD95" s="42"/>
      <c r="AE95" s="42"/>
      <c r="AF95" s="9"/>
      <c r="AG95" s="9"/>
      <c r="AH95" s="42"/>
      <c r="AI95" s="42"/>
      <c r="AJ95" s="42"/>
      <c r="AK95" s="42"/>
      <c r="AL95" s="42"/>
      <c r="AM95" s="42"/>
      <c r="AN95" s="42"/>
      <c r="AO95" s="63" t="str">
        <f>IFERROR(__xludf.DUMMYFUNCTION("IF(ISBLANK(A95),,IF(ISBLANK(S95), A95&amp;"";"", TEXTJOIN(CHAR(10), TRUE, A95&amp;"";"", ARRAYFORMULA(VLOOKUP(SPLIT(S95, "";"" &amp; CHAR(10)), $A:$AO, 41, FALSE)))))"),"SGprs;
SGprsr;
SGprsc;")</f>
        <v>SGprs;
SGprsr;
SGprsc;</v>
      </c>
      <c r="AP95" s="89"/>
    </row>
    <row r="96">
      <c r="A96" s="151" t="str">
        <f>IFERROR(__xludf.DUMMYFUNCTION("""COMPUTED_VALUE"""),"SGprsr")</f>
        <v>SGprsr</v>
      </c>
      <c r="B96" s="42" t="str">
        <f>IFERROR(__xludf.DUMMYFUNCTION("""COMPUTED_VALUE"""),"DHBA")</f>
        <v>DHBA</v>
      </c>
      <c r="C96" s="42" t="str">
        <f>IFERROR(__xludf.DUMMYFUNCTION("""COMPUTED_VALUE"""),"SG in rostral presubicular cortex")</f>
        <v>SG in rostral presubicular cortex</v>
      </c>
      <c r="D96" s="42">
        <f>IFERROR(__xludf.DUMMYFUNCTION("""COMPUTED_VALUE"""),62.0)</f>
        <v>62</v>
      </c>
      <c r="E96" s="39" t="str">
        <f>IFERROR(__xludf.DUMMYFUNCTION("""COMPUTED_VALUE"""),"SG in rostral presubicular cortex")</f>
        <v>SG in rostral presubicular cortex</v>
      </c>
      <c r="F96" s="9" t="str">
        <f>IFERROR(__xludf.DUMMYFUNCTION("""COMPUTED_VALUE"""),"Br")</f>
        <v>Br</v>
      </c>
      <c r="G96" s="9" t="str">
        <f>IFERROR(__xludf.DUMMYFUNCTION("""COMPUTED_VALUE"""),"F")</f>
        <v>F</v>
      </c>
      <c r="H96" s="9" t="str">
        <f>IFERROR(__xludf.DUMMYFUNCTION("""COMPUTED_VALUE"""),"FGM")</f>
        <v>FGM</v>
      </c>
      <c r="I96" s="9" t="str">
        <f>IFERROR(__xludf.DUMMYFUNCTION("""COMPUTED_VALUE"""),"FTS")</f>
        <v>FTS</v>
      </c>
      <c r="J96" s="9" t="str">
        <f>IFERROR(__xludf.DUMMYFUNCTION("""COMPUTED_VALUE"""),"SG")</f>
        <v>SG</v>
      </c>
      <c r="K96" s="9" t="str">
        <f>IFERROR(__xludf.DUMMYFUNCTION("""COMPUTED_VALUE"""),"peSG")</f>
        <v>peSG</v>
      </c>
      <c r="L96" s="9" t="str">
        <f>IFERROR(__xludf.DUMMYFUNCTION("""COMPUTED_VALUE"""),"SGprs")</f>
        <v>SGprs</v>
      </c>
      <c r="M96" s="9" t="str">
        <f>IFERROR(__xludf.DUMMYFUNCTION("""COMPUTED_VALUE"""),"SGprsr")</f>
        <v>SGprsr</v>
      </c>
      <c r="N96" s="9"/>
      <c r="O96" s="9"/>
      <c r="P96" s="9"/>
      <c r="Q96" s="9"/>
      <c r="R96" s="9"/>
      <c r="S96" s="42"/>
      <c r="T96" s="42"/>
      <c r="U96" s="42"/>
      <c r="V96" s="42"/>
      <c r="W96" s="42"/>
      <c r="X96" s="42"/>
      <c r="Y96" s="42"/>
      <c r="Z96" s="42"/>
      <c r="AA96" s="42"/>
      <c r="AB96" s="42" t="str">
        <f>IFERROR(__xludf.DUMMYFUNCTION("""COMPUTED_VALUE"""),"allen institute")</f>
        <v>allen institute</v>
      </c>
      <c r="AC96" s="42" t="str">
        <f>IFERROR(__xludf.DUMMYFUNCTION("""COMPUTED_VALUE"""),"DHBA")</f>
        <v>DHBA</v>
      </c>
      <c r="AD96" s="42"/>
      <c r="AE96" s="42"/>
      <c r="AF96" s="9"/>
      <c r="AG96" s="9"/>
      <c r="AH96" s="42"/>
      <c r="AI96" s="42"/>
      <c r="AJ96" s="42"/>
      <c r="AK96" s="42"/>
      <c r="AL96" s="42"/>
      <c r="AM96" s="42"/>
      <c r="AN96" s="42"/>
      <c r="AO96" s="63" t="str">
        <f>IFERROR(__xludf.DUMMYFUNCTION("IF(ISBLANK(A96),,IF(ISBLANK(S96), A96&amp;"";"", TEXTJOIN(CHAR(10), TRUE, A96&amp;"";"", ARRAYFORMULA(VLOOKUP(SPLIT(S96, "";"" &amp; CHAR(10)), $A:$AO, 41, FALSE)))))"),"SGprsr;")</f>
        <v>SGprsr;</v>
      </c>
      <c r="AP96" s="89"/>
    </row>
    <row r="97">
      <c r="A97" s="151" t="str">
        <f>IFERROR(__xludf.DUMMYFUNCTION("""COMPUTED_VALUE"""),"SGprsc")</f>
        <v>SGprsc</v>
      </c>
      <c r="B97" s="42" t="str">
        <f>IFERROR(__xludf.DUMMYFUNCTION("""COMPUTED_VALUE"""),"DHBA")</f>
        <v>DHBA</v>
      </c>
      <c r="C97" s="42" t="str">
        <f>IFERROR(__xludf.DUMMYFUNCTION("""COMPUTED_VALUE"""),"SG in caudal presubicular cortex")</f>
        <v>SG in caudal presubicular cortex</v>
      </c>
      <c r="D97" s="42">
        <f>IFERROR(__xludf.DUMMYFUNCTION("""COMPUTED_VALUE"""),63.0)</f>
        <v>63</v>
      </c>
      <c r="E97" s="39" t="str">
        <f>IFERROR(__xludf.DUMMYFUNCTION("""COMPUTED_VALUE"""),"SG in caudal presubicular cortex")</f>
        <v>SG in caudal presubicular cortex</v>
      </c>
      <c r="F97" s="9" t="str">
        <f>IFERROR(__xludf.DUMMYFUNCTION("""COMPUTED_VALUE"""),"Br")</f>
        <v>Br</v>
      </c>
      <c r="G97" s="9" t="str">
        <f>IFERROR(__xludf.DUMMYFUNCTION("""COMPUTED_VALUE"""),"F")</f>
        <v>F</v>
      </c>
      <c r="H97" s="9" t="str">
        <f>IFERROR(__xludf.DUMMYFUNCTION("""COMPUTED_VALUE"""),"FGM")</f>
        <v>FGM</v>
      </c>
      <c r="I97" s="9" t="str">
        <f>IFERROR(__xludf.DUMMYFUNCTION("""COMPUTED_VALUE"""),"FTS")</f>
        <v>FTS</v>
      </c>
      <c r="J97" s="9" t="str">
        <f>IFERROR(__xludf.DUMMYFUNCTION("""COMPUTED_VALUE"""),"SG")</f>
        <v>SG</v>
      </c>
      <c r="K97" s="9" t="str">
        <f>IFERROR(__xludf.DUMMYFUNCTION("""COMPUTED_VALUE"""),"peSG")</f>
        <v>peSG</v>
      </c>
      <c r="L97" s="9" t="str">
        <f>IFERROR(__xludf.DUMMYFUNCTION("""COMPUTED_VALUE"""),"SGprs")</f>
        <v>SGprs</v>
      </c>
      <c r="M97" s="9" t="str">
        <f>IFERROR(__xludf.DUMMYFUNCTION("""COMPUTED_VALUE"""),"SGprsc")</f>
        <v>SGprsc</v>
      </c>
      <c r="N97" s="9"/>
      <c r="O97" s="9"/>
      <c r="P97" s="9"/>
      <c r="Q97" s="9"/>
      <c r="R97" s="9"/>
      <c r="S97" s="42"/>
      <c r="T97" s="42"/>
      <c r="U97" s="159"/>
      <c r="V97" s="42"/>
      <c r="W97" s="42"/>
      <c r="X97" s="42"/>
      <c r="Y97" s="42"/>
      <c r="Z97" s="42"/>
      <c r="AA97" s="42"/>
      <c r="AB97" s="42" t="str">
        <f>IFERROR(__xludf.DUMMYFUNCTION("""COMPUTED_VALUE"""),"allen institute")</f>
        <v>allen institute</v>
      </c>
      <c r="AC97" s="42" t="str">
        <f>IFERROR(__xludf.DUMMYFUNCTION("""COMPUTED_VALUE"""),"DHBA")</f>
        <v>DHBA</v>
      </c>
      <c r="AD97" s="42"/>
      <c r="AE97" s="42"/>
      <c r="AF97" s="9"/>
      <c r="AG97" s="9"/>
      <c r="AH97" s="42"/>
      <c r="AI97" s="42"/>
      <c r="AJ97" s="42"/>
      <c r="AK97" s="42"/>
      <c r="AL97" s="42"/>
      <c r="AM97" s="42"/>
      <c r="AN97" s="42"/>
      <c r="AO97" s="63" t="str">
        <f>IFERROR(__xludf.DUMMYFUNCTION("IF(ISBLANK(A97),,IF(ISBLANK(S97), A97&amp;"";"", TEXTJOIN(CHAR(10), TRUE, A97&amp;"";"", ARRAYFORMULA(VLOOKUP(SPLIT(S97, "";"" &amp; CHAR(10)), $A:$AO, 41, FALSE)))))"),"SGprsc;")</f>
        <v>SGprsc;</v>
      </c>
      <c r="AP97" s="89"/>
    </row>
    <row r="98">
      <c r="A98" s="151" t="str">
        <f>IFERROR(__xludf.DUMMYFUNCTION("""COMPUTED_VALUE"""),"SGrs")</f>
        <v>SGrs</v>
      </c>
      <c r="B98" s="42" t="str">
        <f>IFERROR(__xludf.DUMMYFUNCTION("""COMPUTED_VALUE"""),"DHBA")</f>
        <v>DHBA</v>
      </c>
      <c r="C98" s="42" t="str">
        <f>IFERROR(__xludf.DUMMYFUNCTION("""COMPUTED_VALUE"""),"SG in retrosplenial cortex")</f>
        <v>SG in retrosplenial cortex</v>
      </c>
      <c r="D98" s="42">
        <f>IFERROR(__xludf.DUMMYFUNCTION("""COMPUTED_VALUE"""),64.0)</f>
        <v>64</v>
      </c>
      <c r="E98" s="39" t="str">
        <f>IFERROR(__xludf.DUMMYFUNCTION("""COMPUTED_VALUE"""),"SG in retrosplenial cortex")</f>
        <v>SG in retrosplenial cortex</v>
      </c>
      <c r="F98" s="9" t="str">
        <f>IFERROR(__xludf.DUMMYFUNCTION("""COMPUTED_VALUE"""),"Br")</f>
        <v>Br</v>
      </c>
      <c r="G98" s="9" t="str">
        <f>IFERROR(__xludf.DUMMYFUNCTION("""COMPUTED_VALUE"""),"F")</f>
        <v>F</v>
      </c>
      <c r="H98" s="9" t="str">
        <f>IFERROR(__xludf.DUMMYFUNCTION("""COMPUTED_VALUE"""),"FGM")</f>
        <v>FGM</v>
      </c>
      <c r="I98" s="9" t="str">
        <f>IFERROR(__xludf.DUMMYFUNCTION("""COMPUTED_VALUE"""),"FTS")</f>
        <v>FTS</v>
      </c>
      <c r="J98" s="9" t="str">
        <f>IFERROR(__xludf.DUMMYFUNCTION("""COMPUTED_VALUE"""),"SG")</f>
        <v>SG</v>
      </c>
      <c r="K98" s="9" t="str">
        <f>IFERROR(__xludf.DUMMYFUNCTION("""COMPUTED_VALUE"""),"peSG")</f>
        <v>peSG</v>
      </c>
      <c r="L98" s="9" t="str">
        <f>IFERROR(__xludf.DUMMYFUNCTION("""COMPUTED_VALUE"""),"SGrs")</f>
        <v>SGrs</v>
      </c>
      <c r="M98" s="9"/>
      <c r="N98" s="9"/>
      <c r="O98" s="9"/>
      <c r="P98" s="9"/>
      <c r="Q98" s="9"/>
      <c r="R98" s="9"/>
      <c r="S98" s="42"/>
      <c r="T98" s="42"/>
      <c r="U98" s="42"/>
      <c r="V98" s="42"/>
      <c r="W98" s="42"/>
      <c r="X98" s="42"/>
      <c r="Y98" s="42"/>
      <c r="Z98" s="42"/>
      <c r="AA98" s="42"/>
      <c r="AB98" s="42" t="str">
        <f>IFERROR(__xludf.DUMMYFUNCTION("""COMPUTED_VALUE"""),"allen institute")</f>
        <v>allen institute</v>
      </c>
      <c r="AC98" s="42" t="str">
        <f>IFERROR(__xludf.DUMMYFUNCTION("""COMPUTED_VALUE"""),"DHBA")</f>
        <v>DHBA</v>
      </c>
      <c r="AD98" s="42"/>
      <c r="AE98" s="42"/>
      <c r="AF98" s="9"/>
      <c r="AG98" s="9"/>
      <c r="AH98" s="42"/>
      <c r="AI98" s="42"/>
      <c r="AJ98" s="42"/>
      <c r="AK98" s="42"/>
      <c r="AL98" s="42"/>
      <c r="AM98" s="42"/>
      <c r="AN98" s="42"/>
      <c r="AO98" s="63" t="str">
        <f>IFERROR(__xludf.DUMMYFUNCTION("IF(ISBLANK(A98),,IF(ISBLANK(S98), A98&amp;"";"", TEXTJOIN(CHAR(10), TRUE, A98&amp;"";"", ARRAYFORMULA(VLOOKUP(SPLIT(S98, "";"" &amp; CHAR(10)), $A:$AO, 41, FALSE)))))"),"SGrs;")</f>
        <v>SGrs;</v>
      </c>
      <c r="AP98" s="89"/>
    </row>
    <row r="99">
      <c r="A99" s="151" t="str">
        <f>IFERROR(__xludf.DUMMYFUNCTION("""COMPUTED_VALUE"""),"SGIag")</f>
        <v>SGIag</v>
      </c>
      <c r="B99" s="42" t="str">
        <f>IFERROR(__xludf.DUMMYFUNCTION("""COMPUTED_VALUE"""),"DHBA")</f>
        <v>DHBA</v>
      </c>
      <c r="C99" s="42" t="str">
        <f>IFERROR(__xludf.DUMMYFUNCTION("""COMPUTED_VALUE"""),"SG in agranular insular cortex")</f>
        <v>SG in agranular insular cortex</v>
      </c>
      <c r="D99" s="42">
        <f>IFERROR(__xludf.DUMMYFUNCTION("""COMPUTED_VALUE"""),65.0)</f>
        <v>65</v>
      </c>
      <c r="E99" s="39" t="str">
        <f>IFERROR(__xludf.DUMMYFUNCTION("""COMPUTED_VALUE"""),"SG in agranular insular cortex")</f>
        <v>SG in agranular insular cortex</v>
      </c>
      <c r="F99" s="9" t="str">
        <f>IFERROR(__xludf.DUMMYFUNCTION("""COMPUTED_VALUE"""),"Br")</f>
        <v>Br</v>
      </c>
      <c r="G99" s="9" t="str">
        <f>IFERROR(__xludf.DUMMYFUNCTION("""COMPUTED_VALUE"""),"F")</f>
        <v>F</v>
      </c>
      <c r="H99" s="9" t="str">
        <f>IFERROR(__xludf.DUMMYFUNCTION("""COMPUTED_VALUE"""),"FGM")</f>
        <v>FGM</v>
      </c>
      <c r="I99" s="9" t="str">
        <f>IFERROR(__xludf.DUMMYFUNCTION("""COMPUTED_VALUE"""),"FTS")</f>
        <v>FTS</v>
      </c>
      <c r="J99" s="9" t="str">
        <f>IFERROR(__xludf.DUMMYFUNCTION("""COMPUTED_VALUE"""),"SG")</f>
        <v>SG</v>
      </c>
      <c r="K99" s="9" t="str">
        <f>IFERROR(__xludf.DUMMYFUNCTION("""COMPUTED_VALUE"""),"peSG")</f>
        <v>peSG</v>
      </c>
      <c r="L99" s="9" t="str">
        <f>IFERROR(__xludf.DUMMYFUNCTION("""COMPUTED_VALUE"""),"SGIag")</f>
        <v>SGIag</v>
      </c>
      <c r="M99" s="9"/>
      <c r="N99" s="9"/>
      <c r="O99" s="9"/>
      <c r="P99" s="9"/>
      <c r="Q99" s="9"/>
      <c r="R99" s="9"/>
      <c r="S99" s="42"/>
      <c r="T99" s="42"/>
      <c r="U99" s="42"/>
      <c r="V99" s="42"/>
      <c r="W99" s="42"/>
      <c r="X99" s="42"/>
      <c r="Y99" s="42"/>
      <c r="Z99" s="42"/>
      <c r="AA99" s="42"/>
      <c r="AB99" s="42" t="str">
        <f>IFERROR(__xludf.DUMMYFUNCTION("""COMPUTED_VALUE"""),"allen institute")</f>
        <v>allen institute</v>
      </c>
      <c r="AC99" s="42" t="str">
        <f>IFERROR(__xludf.DUMMYFUNCTION("""COMPUTED_VALUE"""),"DHBA")</f>
        <v>DHBA</v>
      </c>
      <c r="AD99" s="42"/>
      <c r="AE99" s="42"/>
      <c r="AF99" s="9"/>
      <c r="AG99" s="9"/>
      <c r="AH99" s="42"/>
      <c r="AI99" s="42"/>
      <c r="AJ99" s="42"/>
      <c r="AK99" s="42"/>
      <c r="AL99" s="42"/>
      <c r="AM99" s="42"/>
      <c r="AN99" s="42"/>
      <c r="AO99" s="63" t="str">
        <f>IFERROR(__xludf.DUMMYFUNCTION("IF(ISBLANK(A99),,IF(ISBLANK(S99), A99&amp;"";"", TEXTJOIN(CHAR(10), TRUE, A99&amp;"";"", ARRAYFORMULA(VLOOKUP(SPLIT(S99, "";"" &amp; CHAR(10)), $A:$AO, 41, FALSE)))))"),"SGIag;")</f>
        <v>SGIag;</v>
      </c>
      <c r="AP99" s="89"/>
    </row>
    <row r="100">
      <c r="A100" s="151" t="str">
        <f>IFERROR(__xludf.DUMMYFUNCTION("""COMPUTED_VALUE"""),"alSG")</f>
        <v>alSG</v>
      </c>
      <c r="B100" s="42" t="str">
        <f>IFERROR(__xludf.DUMMYFUNCTION("""COMPUTED_VALUE"""),"DHBA")</f>
        <v>DHBA</v>
      </c>
      <c r="C100" s="42" t="str">
        <f>IFERROR(__xludf.DUMMYFUNCTION("""COMPUTED_VALUE"""),"SG in allocortex")</f>
        <v>SG in allocortex</v>
      </c>
      <c r="D100" s="42">
        <f>IFERROR(__xludf.DUMMYFUNCTION("""COMPUTED_VALUE"""),66.0)</f>
        <v>66</v>
      </c>
      <c r="E100" s="39" t="str">
        <f>IFERROR(__xludf.DUMMYFUNCTION("""COMPUTED_VALUE"""),"SG in allocortex")</f>
        <v>SG in allocortex</v>
      </c>
      <c r="F100" s="9" t="str">
        <f>IFERROR(__xludf.DUMMYFUNCTION("""COMPUTED_VALUE"""),"Br")</f>
        <v>Br</v>
      </c>
      <c r="G100" s="9" t="str">
        <f>IFERROR(__xludf.DUMMYFUNCTION("""COMPUTED_VALUE"""),"F")</f>
        <v>F</v>
      </c>
      <c r="H100" s="9" t="str">
        <f>IFERROR(__xludf.DUMMYFUNCTION("""COMPUTED_VALUE"""),"FGM")</f>
        <v>FGM</v>
      </c>
      <c r="I100" s="9" t="str">
        <f>IFERROR(__xludf.DUMMYFUNCTION("""COMPUTED_VALUE"""),"FTS")</f>
        <v>FTS</v>
      </c>
      <c r="J100" s="9" t="str">
        <f>IFERROR(__xludf.DUMMYFUNCTION("""COMPUTED_VALUE"""),"SG")</f>
        <v>SG</v>
      </c>
      <c r="K100" s="9" t="str">
        <f>IFERROR(__xludf.DUMMYFUNCTION("""COMPUTED_VALUE"""),"alSG")</f>
        <v>alSG</v>
      </c>
      <c r="L100" s="9"/>
      <c r="M100" s="9"/>
      <c r="N100" s="9"/>
      <c r="O100" s="9"/>
      <c r="P100" s="9"/>
      <c r="Q100" s="9"/>
      <c r="R100" s="9"/>
      <c r="S100" s="42" t="str">
        <f>IFERROR(__xludf.DUMMYFUNCTION("""COMPUTED_VALUE"""),"SGhip;
SGsub;
SGpir;
SGiag")</f>
        <v>SGhip;
SGsub;
SGpir;
SGiag</v>
      </c>
      <c r="T100" s="42"/>
      <c r="U100" s="42" t="b">
        <f>IFERROR(__xludf.DUMMYFUNCTION("""COMPUTED_VALUE"""),FALSE)</f>
        <v>0</v>
      </c>
      <c r="V100" s="42"/>
      <c r="W100" s="42"/>
      <c r="X100" s="42"/>
      <c r="Y100" s="42"/>
      <c r="Z100" s="42"/>
      <c r="AA100" s="42"/>
      <c r="AB100" s="42" t="str">
        <f>IFERROR(__xludf.DUMMYFUNCTION("""COMPUTED_VALUE"""),"allen institute")</f>
        <v>allen institute</v>
      </c>
      <c r="AC100" s="42" t="str">
        <f>IFERROR(__xludf.DUMMYFUNCTION("""COMPUTED_VALUE"""),"DHBA")</f>
        <v>DHBA</v>
      </c>
      <c r="AD100" s="42"/>
      <c r="AE100" s="42"/>
      <c r="AF100" s="9"/>
      <c r="AG100" s="9"/>
      <c r="AH100" s="42"/>
      <c r="AI100" s="42"/>
      <c r="AJ100" s="42"/>
      <c r="AK100" s="42"/>
      <c r="AL100" s="42"/>
      <c r="AM100" s="42"/>
      <c r="AN100" s="42"/>
      <c r="AO100" s="63" t="str">
        <f>IFERROR(__xludf.DUMMYFUNCTION("IF(ISBLANK(A100),,IF(ISBLANK(S100), A100&amp;"";"", TEXTJOIN(CHAR(10), TRUE, A100&amp;"";"", ARRAYFORMULA(VLOOKUP(SPLIT(S100, "";"" &amp; CHAR(10)), $A:$AO, 41, FALSE)))))"),"alSG;
SGhip;
SGsub;
SGpir;
SGIag;")</f>
        <v>alSG;
SGhip;
SGsub;
SGpir;
SGIag;</v>
      </c>
      <c r="AP100" s="89"/>
    </row>
    <row r="101">
      <c r="A101" s="151" t="str">
        <f>IFERROR(__xludf.DUMMYFUNCTION("""COMPUTED_VALUE"""),"SGhip")</f>
        <v>SGhip</v>
      </c>
      <c r="B101" s="42" t="str">
        <f>IFERROR(__xludf.DUMMYFUNCTION("""COMPUTED_VALUE"""),"DHBA")</f>
        <v>DHBA</v>
      </c>
      <c r="C101" s="42" t="str">
        <f>IFERROR(__xludf.DUMMYFUNCTION("""COMPUTED_VALUE"""),"SG in hippocampal proper")</f>
        <v>SG in hippocampal proper</v>
      </c>
      <c r="D101" s="42">
        <f>IFERROR(__xludf.DUMMYFUNCTION("""COMPUTED_VALUE"""),67.0)</f>
        <v>67</v>
      </c>
      <c r="E101" s="39" t="str">
        <f>IFERROR(__xludf.DUMMYFUNCTION("""COMPUTED_VALUE"""),"SG in hippocampal proper")</f>
        <v>SG in hippocampal proper</v>
      </c>
      <c r="F101" s="9" t="str">
        <f>IFERROR(__xludf.DUMMYFUNCTION("""COMPUTED_VALUE"""),"Br")</f>
        <v>Br</v>
      </c>
      <c r="G101" s="9" t="str">
        <f>IFERROR(__xludf.DUMMYFUNCTION("""COMPUTED_VALUE"""),"F")</f>
        <v>F</v>
      </c>
      <c r="H101" s="9" t="str">
        <f>IFERROR(__xludf.DUMMYFUNCTION("""COMPUTED_VALUE"""),"FGM")</f>
        <v>FGM</v>
      </c>
      <c r="I101" s="9" t="str">
        <f>IFERROR(__xludf.DUMMYFUNCTION("""COMPUTED_VALUE"""),"FTS")</f>
        <v>FTS</v>
      </c>
      <c r="J101" s="9" t="str">
        <f>IFERROR(__xludf.DUMMYFUNCTION("""COMPUTED_VALUE"""),"SG")</f>
        <v>SG</v>
      </c>
      <c r="K101" s="9" t="str">
        <f>IFERROR(__xludf.DUMMYFUNCTION("""COMPUTED_VALUE"""),"alSG")</f>
        <v>alSG</v>
      </c>
      <c r="L101" s="9" t="str">
        <f>IFERROR(__xludf.DUMMYFUNCTION("""COMPUTED_VALUE"""),"SGhip")</f>
        <v>SGhip</v>
      </c>
      <c r="M101" s="9"/>
      <c r="N101" s="9"/>
      <c r="O101" s="9"/>
      <c r="P101" s="9"/>
      <c r="Q101" s="9"/>
      <c r="R101" s="9"/>
      <c r="S101" s="42"/>
      <c r="T101" s="42"/>
      <c r="U101" s="42"/>
      <c r="V101" s="42"/>
      <c r="W101" s="42"/>
      <c r="X101" s="42"/>
      <c r="Y101" s="42"/>
      <c r="Z101" s="42"/>
      <c r="AA101" s="42"/>
      <c r="AB101" s="42" t="str">
        <f>IFERROR(__xludf.DUMMYFUNCTION("""COMPUTED_VALUE"""),"allen institute")</f>
        <v>allen institute</v>
      </c>
      <c r="AC101" s="42" t="str">
        <f>IFERROR(__xludf.DUMMYFUNCTION("""COMPUTED_VALUE"""),"DHBA")</f>
        <v>DHBA</v>
      </c>
      <c r="AD101" s="42"/>
      <c r="AE101" s="42"/>
      <c r="AF101" s="9"/>
      <c r="AG101" s="9"/>
      <c r="AH101" s="42"/>
      <c r="AI101" s="42"/>
      <c r="AJ101" s="42"/>
      <c r="AK101" s="42"/>
      <c r="AL101" s="42"/>
      <c r="AM101" s="42"/>
      <c r="AN101" s="42"/>
      <c r="AO101" s="63" t="str">
        <f>IFERROR(__xludf.DUMMYFUNCTION("IF(ISBLANK(A101),,IF(ISBLANK(S101), A101&amp;"";"", TEXTJOIN(CHAR(10), TRUE, A101&amp;"";"", ARRAYFORMULA(VLOOKUP(SPLIT(S101, "";"" &amp; CHAR(10)), $A:$AO, 41, FALSE)))))"),"SGhip;")</f>
        <v>SGhip;</v>
      </c>
      <c r="AP101" s="89"/>
    </row>
    <row r="102">
      <c r="A102" s="151" t="str">
        <f>IFERROR(__xludf.DUMMYFUNCTION("""COMPUTED_VALUE"""),"SGsub")</f>
        <v>SGsub</v>
      </c>
      <c r="B102" s="42" t="str">
        <f>IFERROR(__xludf.DUMMYFUNCTION("""COMPUTED_VALUE"""),"DHBA")</f>
        <v>DHBA</v>
      </c>
      <c r="C102" s="42" t="str">
        <f>IFERROR(__xludf.DUMMYFUNCTION("""COMPUTED_VALUE"""),"SG in subicular cortex")</f>
        <v>SG in subicular cortex</v>
      </c>
      <c r="D102" s="42">
        <f>IFERROR(__xludf.DUMMYFUNCTION("""COMPUTED_VALUE"""),68.0)</f>
        <v>68</v>
      </c>
      <c r="E102" s="39" t="str">
        <f>IFERROR(__xludf.DUMMYFUNCTION("""COMPUTED_VALUE"""),"SG in subicular cortex")</f>
        <v>SG in subicular cortex</v>
      </c>
      <c r="F102" s="9" t="str">
        <f>IFERROR(__xludf.DUMMYFUNCTION("""COMPUTED_VALUE"""),"Br")</f>
        <v>Br</v>
      </c>
      <c r="G102" s="9" t="str">
        <f>IFERROR(__xludf.DUMMYFUNCTION("""COMPUTED_VALUE"""),"F")</f>
        <v>F</v>
      </c>
      <c r="H102" s="9" t="str">
        <f>IFERROR(__xludf.DUMMYFUNCTION("""COMPUTED_VALUE"""),"FGM")</f>
        <v>FGM</v>
      </c>
      <c r="I102" s="9" t="str">
        <f>IFERROR(__xludf.DUMMYFUNCTION("""COMPUTED_VALUE"""),"FTS")</f>
        <v>FTS</v>
      </c>
      <c r="J102" s="9" t="str">
        <f>IFERROR(__xludf.DUMMYFUNCTION("""COMPUTED_VALUE"""),"SG")</f>
        <v>SG</v>
      </c>
      <c r="K102" s="9" t="str">
        <f>IFERROR(__xludf.DUMMYFUNCTION("""COMPUTED_VALUE"""),"alSG")</f>
        <v>alSG</v>
      </c>
      <c r="L102" s="9" t="str">
        <f>IFERROR(__xludf.DUMMYFUNCTION("""COMPUTED_VALUE"""),"SGsub")</f>
        <v>SGsub</v>
      </c>
      <c r="M102" s="9"/>
      <c r="N102" s="9"/>
      <c r="O102" s="9"/>
      <c r="P102" s="9"/>
      <c r="Q102" s="9"/>
      <c r="R102" s="9"/>
      <c r="S102" s="42"/>
      <c r="T102" s="42"/>
      <c r="U102" s="42"/>
      <c r="V102" s="42"/>
      <c r="W102" s="42"/>
      <c r="X102" s="42"/>
      <c r="Y102" s="42"/>
      <c r="Z102" s="42"/>
      <c r="AA102" s="42"/>
      <c r="AB102" s="42" t="str">
        <f>IFERROR(__xludf.DUMMYFUNCTION("""COMPUTED_VALUE"""),"allen institute")</f>
        <v>allen institute</v>
      </c>
      <c r="AC102" s="42" t="str">
        <f>IFERROR(__xludf.DUMMYFUNCTION("""COMPUTED_VALUE"""),"DHBA")</f>
        <v>DHBA</v>
      </c>
      <c r="AD102" s="42"/>
      <c r="AE102" s="42"/>
      <c r="AF102" s="9"/>
      <c r="AG102" s="9"/>
      <c r="AH102" s="42"/>
      <c r="AI102" s="42"/>
      <c r="AJ102" s="42"/>
      <c r="AK102" s="42"/>
      <c r="AL102" s="42"/>
      <c r="AM102" s="42"/>
      <c r="AN102" s="42"/>
      <c r="AO102" s="63" t="str">
        <f>IFERROR(__xludf.DUMMYFUNCTION("IF(ISBLANK(A102),,IF(ISBLANK(S102), A102&amp;"";"", TEXTJOIN(CHAR(10), TRUE, A102&amp;"";"", ARRAYFORMULA(VLOOKUP(SPLIT(S102, "";"" &amp; CHAR(10)), $A:$AO, 41, FALSE)))))"),"SGsub;")</f>
        <v>SGsub;</v>
      </c>
      <c r="AP102" s="89"/>
    </row>
    <row r="103">
      <c r="A103" s="151" t="str">
        <f>IFERROR(__xludf.DUMMYFUNCTION("""COMPUTED_VALUE"""),"SGpir")</f>
        <v>SGpir</v>
      </c>
      <c r="B103" s="42" t="str">
        <f>IFERROR(__xludf.DUMMYFUNCTION("""COMPUTED_VALUE"""),"DHBA")</f>
        <v>DHBA</v>
      </c>
      <c r="C103" s="42" t="str">
        <f>IFERROR(__xludf.DUMMYFUNCTION("""COMPUTED_VALUE"""),"SG in piriform cortex")</f>
        <v>SG in piriform cortex</v>
      </c>
      <c r="D103" s="42">
        <f>IFERROR(__xludf.DUMMYFUNCTION("""COMPUTED_VALUE"""),69.0)</f>
        <v>69</v>
      </c>
      <c r="E103" s="39" t="str">
        <f>IFERROR(__xludf.DUMMYFUNCTION("""COMPUTED_VALUE"""),"SG in piriform cortex")</f>
        <v>SG in piriform cortex</v>
      </c>
      <c r="F103" s="9" t="str">
        <f>IFERROR(__xludf.DUMMYFUNCTION("""COMPUTED_VALUE"""),"Br")</f>
        <v>Br</v>
      </c>
      <c r="G103" s="9" t="str">
        <f>IFERROR(__xludf.DUMMYFUNCTION("""COMPUTED_VALUE"""),"F")</f>
        <v>F</v>
      </c>
      <c r="H103" s="9" t="str">
        <f>IFERROR(__xludf.DUMMYFUNCTION("""COMPUTED_VALUE"""),"FGM")</f>
        <v>FGM</v>
      </c>
      <c r="I103" s="9" t="str">
        <f>IFERROR(__xludf.DUMMYFUNCTION("""COMPUTED_VALUE"""),"FTS")</f>
        <v>FTS</v>
      </c>
      <c r="J103" s="9" t="str">
        <f>IFERROR(__xludf.DUMMYFUNCTION("""COMPUTED_VALUE"""),"SG")</f>
        <v>SG</v>
      </c>
      <c r="K103" s="9" t="str">
        <f>IFERROR(__xludf.DUMMYFUNCTION("""COMPUTED_VALUE"""),"alSG")</f>
        <v>alSG</v>
      </c>
      <c r="L103" s="9" t="str">
        <f>IFERROR(__xludf.DUMMYFUNCTION("""COMPUTED_VALUE"""),"SGpir")</f>
        <v>SGpir</v>
      </c>
      <c r="M103" s="9"/>
      <c r="N103" s="9"/>
      <c r="O103" s="9"/>
      <c r="P103" s="9"/>
      <c r="Q103" s="9"/>
      <c r="R103" s="9"/>
      <c r="S103" s="42"/>
      <c r="T103" s="42"/>
      <c r="U103" s="42"/>
      <c r="V103" s="42"/>
      <c r="W103" s="42"/>
      <c r="X103" s="42"/>
      <c r="Y103" s="42"/>
      <c r="Z103" s="42"/>
      <c r="AA103" s="42"/>
      <c r="AB103" s="42" t="str">
        <f>IFERROR(__xludf.DUMMYFUNCTION("""COMPUTED_VALUE"""),"allen institute")</f>
        <v>allen institute</v>
      </c>
      <c r="AC103" s="42" t="str">
        <f>IFERROR(__xludf.DUMMYFUNCTION("""COMPUTED_VALUE"""),"DHBA")</f>
        <v>DHBA</v>
      </c>
      <c r="AD103" s="42"/>
      <c r="AE103" s="42"/>
      <c r="AF103" s="9"/>
      <c r="AG103" s="9"/>
      <c r="AH103" s="42"/>
      <c r="AI103" s="42"/>
      <c r="AJ103" s="42"/>
      <c r="AK103" s="42"/>
      <c r="AL103" s="42"/>
      <c r="AM103" s="42"/>
      <c r="AN103" s="42"/>
      <c r="AO103" s="63" t="str">
        <f>IFERROR(__xludf.DUMMYFUNCTION("IF(ISBLANK(A103),,IF(ISBLANK(S103), A103&amp;"";"", TEXTJOIN(CHAR(10), TRUE, A103&amp;"";"", ARRAYFORMULA(VLOOKUP(SPLIT(S103, "";"" &amp; CHAR(10)), $A:$AO, 41, FALSE)))))"),"SGpir;")</f>
        <v>SGpir;</v>
      </c>
      <c r="AP103" s="89"/>
    </row>
    <row r="104">
      <c r="A104" s="151" t="str">
        <f>IFERROR(__xludf.DUMMYFUNCTION("""COMPUTED_VALUE"""),"SGiag")</f>
        <v>SGiag</v>
      </c>
      <c r="B104" s="42" t="str">
        <f>IFERROR(__xludf.DUMMYFUNCTION("""COMPUTED_VALUE"""),"DHBA")</f>
        <v>DHBA</v>
      </c>
      <c r="C104" s="42" t="str">
        <f>IFERROR(__xludf.DUMMYFUNCTION("""COMPUTED_VALUE"""),"SG in agranular insular cortex")</f>
        <v>SG in agranular insular cortex</v>
      </c>
      <c r="D104" s="42">
        <f>IFERROR(__xludf.DUMMYFUNCTION("""COMPUTED_VALUE"""),70.0)</f>
        <v>70</v>
      </c>
      <c r="E104" s="39" t="str">
        <f>IFERROR(__xludf.DUMMYFUNCTION("""COMPUTED_VALUE"""),"SG in agranular insular cortex")</f>
        <v>SG in agranular insular cortex</v>
      </c>
      <c r="F104" s="9" t="str">
        <f>IFERROR(__xludf.DUMMYFUNCTION("""COMPUTED_VALUE"""),"Br")</f>
        <v>Br</v>
      </c>
      <c r="G104" s="9" t="str">
        <f>IFERROR(__xludf.DUMMYFUNCTION("""COMPUTED_VALUE"""),"F")</f>
        <v>F</v>
      </c>
      <c r="H104" s="9" t="str">
        <f>IFERROR(__xludf.DUMMYFUNCTION("""COMPUTED_VALUE"""),"FGM")</f>
        <v>FGM</v>
      </c>
      <c r="I104" s="9" t="str">
        <f>IFERROR(__xludf.DUMMYFUNCTION("""COMPUTED_VALUE"""),"FTS")</f>
        <v>FTS</v>
      </c>
      <c r="J104" s="9" t="str">
        <f>IFERROR(__xludf.DUMMYFUNCTION("""COMPUTED_VALUE"""),"SG")</f>
        <v>SG</v>
      </c>
      <c r="K104" s="9" t="str">
        <f>IFERROR(__xludf.DUMMYFUNCTION("""COMPUTED_VALUE"""),"alSG")</f>
        <v>alSG</v>
      </c>
      <c r="L104" s="9" t="str">
        <f>IFERROR(__xludf.DUMMYFUNCTION("""COMPUTED_VALUE"""),"SGiag")</f>
        <v>SGiag</v>
      </c>
      <c r="M104" s="9"/>
      <c r="N104" s="9"/>
      <c r="O104" s="9"/>
      <c r="P104" s="9"/>
      <c r="Q104" s="9"/>
      <c r="R104" s="9"/>
      <c r="S104" s="42"/>
      <c r="T104" s="42"/>
      <c r="U104" s="42"/>
      <c r="V104" s="42"/>
      <c r="W104" s="42"/>
      <c r="X104" s="42"/>
      <c r="Y104" s="42"/>
      <c r="Z104" s="42"/>
      <c r="AA104" s="42"/>
      <c r="AB104" s="42" t="str">
        <f>IFERROR(__xludf.DUMMYFUNCTION("""COMPUTED_VALUE"""),"allen institute")</f>
        <v>allen institute</v>
      </c>
      <c r="AC104" s="42" t="str">
        <f>IFERROR(__xludf.DUMMYFUNCTION("""COMPUTED_VALUE"""),"DHBA")</f>
        <v>DHBA</v>
      </c>
      <c r="AD104" s="42"/>
      <c r="AE104" s="42"/>
      <c r="AF104" s="9"/>
      <c r="AG104" s="9"/>
      <c r="AH104" s="42"/>
      <c r="AI104" s="42"/>
      <c r="AJ104" s="42"/>
      <c r="AK104" s="42"/>
      <c r="AL104" s="42"/>
      <c r="AM104" s="42"/>
      <c r="AN104" s="42"/>
      <c r="AO104" s="63" t="str">
        <f>IFERROR(__xludf.DUMMYFUNCTION("IF(ISBLANK(A104),,IF(ISBLANK(S104), A104&amp;"";"", TEXTJOIN(CHAR(10), TRUE, A104&amp;"";"", ARRAYFORMULA(VLOOKUP(SPLIT(S104, "";"" &amp; CHAR(10)), $A:$AO, 41, FALSE)))))"),"SGiag;")</f>
        <v>SGiag;</v>
      </c>
      <c r="AP104" s="89"/>
    </row>
    <row r="105">
      <c r="A105" s="151" t="str">
        <f>IFERROR(__xludf.DUMMYFUNCTION("""COMPUTED_VALUE"""),"MZ")</f>
        <v>MZ</v>
      </c>
      <c r="B105" s="42" t="str">
        <f>IFERROR(__xludf.DUMMYFUNCTION("""COMPUTED_VALUE"""),"DHBA")</f>
        <v>DHBA</v>
      </c>
      <c r="C105" s="42" t="str">
        <f>IFERROR(__xludf.DUMMYFUNCTION("""COMPUTED_VALUE"""),"marginal zone")</f>
        <v>marginal zone</v>
      </c>
      <c r="D105" s="42">
        <f>IFERROR(__xludf.DUMMYFUNCTION("""COMPUTED_VALUE"""),71.0)</f>
        <v>71</v>
      </c>
      <c r="E105" s="39" t="str">
        <f>IFERROR(__xludf.DUMMYFUNCTION("""COMPUTED_VALUE"""),"marginal zone")</f>
        <v>marginal zone</v>
      </c>
      <c r="F105" s="9" t="str">
        <f>IFERROR(__xludf.DUMMYFUNCTION("""COMPUTED_VALUE"""),"Br")</f>
        <v>Br</v>
      </c>
      <c r="G105" s="9" t="str">
        <f>IFERROR(__xludf.DUMMYFUNCTION("""COMPUTED_VALUE"""),"F")</f>
        <v>F</v>
      </c>
      <c r="H105" s="9" t="str">
        <f>IFERROR(__xludf.DUMMYFUNCTION("""COMPUTED_VALUE"""),"FGM")</f>
        <v>FGM</v>
      </c>
      <c r="I105" s="9" t="str">
        <f>IFERROR(__xludf.DUMMYFUNCTION("""COMPUTED_VALUE"""),"FTS")</f>
        <v>FTS</v>
      </c>
      <c r="J105" s="9" t="str">
        <f>IFERROR(__xludf.DUMMYFUNCTION("""COMPUTED_VALUE"""),"MZ")</f>
        <v>MZ</v>
      </c>
      <c r="K105" s="9"/>
      <c r="L105" s="9"/>
      <c r="M105" s="9"/>
      <c r="N105" s="9"/>
      <c r="O105" s="9"/>
      <c r="P105" s="9"/>
      <c r="Q105" s="9"/>
      <c r="R105" s="9"/>
      <c r="S105" s="42" t="str">
        <f>IFERROR(__xludf.DUMMYFUNCTION("""COMPUTED_VALUE"""),"fMZ;
pMZ;
tMZ;
oMZ;
iMZ;
cMZ;
peMZ;
alMZ")</f>
        <v>fMZ;
pMZ;
tMZ;
oMZ;
iMZ;
cMZ;
peMZ;
alMZ</v>
      </c>
      <c r="T105" s="42"/>
      <c r="U105" s="42" t="b">
        <f>IFERROR(__xludf.DUMMYFUNCTION("""COMPUTED_VALUE"""),FALSE)</f>
        <v>0</v>
      </c>
      <c r="V105" s="42"/>
      <c r="W105" s="42"/>
      <c r="X105" s="42"/>
      <c r="Y105" s="42"/>
      <c r="Z105" s="42"/>
      <c r="AA105" s="42"/>
      <c r="AB105" s="42" t="str">
        <f>IFERROR(__xludf.DUMMYFUNCTION("""COMPUTED_VALUE"""),"allen institute")</f>
        <v>allen institute</v>
      </c>
      <c r="AC105" s="42" t="str">
        <f>IFERROR(__xludf.DUMMYFUNCTION("""COMPUTED_VALUE"""),"DHBA")</f>
        <v>DHBA</v>
      </c>
      <c r="AD105" s="42"/>
      <c r="AE105" s="42"/>
      <c r="AF105" s="9"/>
      <c r="AG105" s="9"/>
      <c r="AH105" s="42"/>
      <c r="AI105" s="42"/>
      <c r="AJ105" s="42"/>
      <c r="AK105" s="42"/>
      <c r="AL105" s="42"/>
      <c r="AM105" s="42"/>
      <c r="AN105" s="42"/>
      <c r="AO105" s="63" t="str">
        <f>IFERROR(__xludf.DUMMYFUNCTION("IF(ISBLANK(A105),,IF(ISBLANK(S105), A105&amp;"";"", TEXTJOIN(CHAR(10), TRUE, A105&amp;"";"", ARRAYFORMULA(VLOOKUP(SPLIT(S105, "";"" &amp; CHAR(10)), $A:$AO, 41, FALSE)))))"),"#REF!")</f>
        <v>#REF!</v>
      </c>
      <c r="AP105" s="89"/>
    </row>
    <row r="106">
      <c r="A106" s="151" t="str">
        <f>IFERROR(__xludf.DUMMYFUNCTION("""COMPUTED_VALUE"""),"fMZ")</f>
        <v>fMZ</v>
      </c>
      <c r="B106" s="42" t="str">
        <f>IFERROR(__xludf.DUMMYFUNCTION("""COMPUTED_VALUE"""),"DHBA")</f>
        <v>DHBA</v>
      </c>
      <c r="C106" s="42" t="str">
        <f>IFERROR(__xludf.DUMMYFUNCTION("""COMPUTED_VALUE"""),"MZ in frontal neocortex")</f>
        <v>MZ in frontal neocortex</v>
      </c>
      <c r="D106" s="42">
        <f>IFERROR(__xludf.DUMMYFUNCTION("""COMPUTED_VALUE"""),72.0)</f>
        <v>72</v>
      </c>
      <c r="E106" s="39" t="str">
        <f>IFERROR(__xludf.DUMMYFUNCTION("""COMPUTED_VALUE"""),"MZ in frontal neocortex")</f>
        <v>MZ in frontal neocortex</v>
      </c>
      <c r="F106" s="9" t="str">
        <f>IFERROR(__xludf.DUMMYFUNCTION("""COMPUTED_VALUE"""),"Br")</f>
        <v>Br</v>
      </c>
      <c r="G106" s="9" t="str">
        <f>IFERROR(__xludf.DUMMYFUNCTION("""COMPUTED_VALUE"""),"F")</f>
        <v>F</v>
      </c>
      <c r="H106" s="9" t="str">
        <f>IFERROR(__xludf.DUMMYFUNCTION("""COMPUTED_VALUE"""),"FGM")</f>
        <v>FGM</v>
      </c>
      <c r="I106" s="9" t="str">
        <f>IFERROR(__xludf.DUMMYFUNCTION("""COMPUTED_VALUE"""),"FTS")</f>
        <v>FTS</v>
      </c>
      <c r="J106" s="9" t="str">
        <f>IFERROR(__xludf.DUMMYFUNCTION("""COMPUTED_VALUE"""),"MZ")</f>
        <v>MZ</v>
      </c>
      <c r="K106" s="9" t="str">
        <f>IFERROR(__xludf.DUMMYFUNCTION("""COMPUTED_VALUE"""),"fMZ")</f>
        <v>fMZ</v>
      </c>
      <c r="L106" s="9"/>
      <c r="M106" s="9"/>
      <c r="N106" s="9"/>
      <c r="O106" s="9"/>
      <c r="P106" s="9"/>
      <c r="Q106" s="9"/>
      <c r="R106" s="9"/>
      <c r="S106" s="42" t="str">
        <f>IFERROR(__xludf.DUMMYFUNCTION("""COMPUTED_VALUE"""),"fMZfp;
fMZdm;
fMZdl;
fMZvl;
fMZor;
fMZm1")</f>
        <v>fMZfp;
fMZdm;
fMZdl;
fMZvl;
fMZor;
fMZm1</v>
      </c>
      <c r="T106" s="42"/>
      <c r="U106" s="42" t="b">
        <f>IFERROR(__xludf.DUMMYFUNCTION("""COMPUTED_VALUE"""),FALSE)</f>
        <v>0</v>
      </c>
      <c r="V106" s="42"/>
      <c r="W106" s="42"/>
      <c r="X106" s="42"/>
      <c r="Y106" s="42"/>
      <c r="Z106" s="42"/>
      <c r="AA106" s="42"/>
      <c r="AB106" s="42" t="str">
        <f>IFERROR(__xludf.DUMMYFUNCTION("""COMPUTED_VALUE"""),"allen institute")</f>
        <v>allen institute</v>
      </c>
      <c r="AC106" s="42" t="str">
        <f>IFERROR(__xludf.DUMMYFUNCTION("""COMPUTED_VALUE"""),"DHBA")</f>
        <v>DHBA</v>
      </c>
      <c r="AD106" s="42"/>
      <c r="AE106" s="42"/>
      <c r="AF106" s="9"/>
      <c r="AG106" s="9"/>
      <c r="AH106" s="42"/>
      <c r="AI106" s="42"/>
      <c r="AJ106" s="42"/>
      <c r="AK106" s="42"/>
      <c r="AL106" s="42"/>
      <c r="AM106" s="42"/>
      <c r="AN106" s="42"/>
      <c r="AO106" s="63" t="str">
        <f>IFERROR(__xludf.DUMMYFUNCTION("IF(ISBLANK(A106),,IF(ISBLANK(S106), A106&amp;"";"", TEXTJOIN(CHAR(10), TRUE, A106&amp;"";"", ARRAYFORMULA(VLOOKUP(SPLIT(S106, "";"" &amp; CHAR(10)), $A:$AO, 41, FALSE)))))"),"fMZ;
fMZfp;
fMZdm;
fMZdl;
fMZvl;
fMZor;
fMZm1;")</f>
        <v>fMZ;
fMZfp;
fMZdm;
fMZdl;
fMZvl;
fMZor;
fMZm1;</v>
      </c>
      <c r="AP106" s="89"/>
    </row>
    <row r="107">
      <c r="A107" s="151" t="str">
        <f>IFERROR(__xludf.DUMMYFUNCTION("""COMPUTED_VALUE"""),"fMZfp")</f>
        <v>fMZfp</v>
      </c>
      <c r="B107" s="42" t="str">
        <f>IFERROR(__xludf.DUMMYFUNCTION("""COMPUTED_VALUE"""),"DHBA")</f>
        <v>DHBA</v>
      </c>
      <c r="C107" s="42" t="str">
        <f>IFERROR(__xludf.DUMMYFUNCTION("""COMPUTED_VALUE"""),"MZ in frontal polar cortex")</f>
        <v>MZ in frontal polar cortex</v>
      </c>
      <c r="D107" s="42">
        <f>IFERROR(__xludf.DUMMYFUNCTION("""COMPUTED_VALUE"""),73.0)</f>
        <v>73</v>
      </c>
      <c r="E107" s="39" t="str">
        <f>IFERROR(__xludf.DUMMYFUNCTION("""COMPUTED_VALUE"""),"MZ in frontal polar cortex")</f>
        <v>MZ in frontal polar cortex</v>
      </c>
      <c r="F107" s="9" t="str">
        <f>IFERROR(__xludf.DUMMYFUNCTION("""COMPUTED_VALUE"""),"Br")</f>
        <v>Br</v>
      </c>
      <c r="G107" s="9" t="str">
        <f>IFERROR(__xludf.DUMMYFUNCTION("""COMPUTED_VALUE"""),"F")</f>
        <v>F</v>
      </c>
      <c r="H107" s="9" t="str">
        <f>IFERROR(__xludf.DUMMYFUNCTION("""COMPUTED_VALUE"""),"FGM")</f>
        <v>FGM</v>
      </c>
      <c r="I107" s="9" t="str">
        <f>IFERROR(__xludf.DUMMYFUNCTION("""COMPUTED_VALUE"""),"FTS")</f>
        <v>FTS</v>
      </c>
      <c r="J107" s="9" t="str">
        <f>IFERROR(__xludf.DUMMYFUNCTION("""COMPUTED_VALUE"""),"MZ")</f>
        <v>MZ</v>
      </c>
      <c r="K107" s="9" t="str">
        <f>IFERROR(__xludf.DUMMYFUNCTION("""COMPUTED_VALUE"""),"fMZ")</f>
        <v>fMZ</v>
      </c>
      <c r="L107" s="9" t="str">
        <f>IFERROR(__xludf.DUMMYFUNCTION("""COMPUTED_VALUE"""),"fMZfp")</f>
        <v>fMZfp</v>
      </c>
      <c r="M107" s="9"/>
      <c r="N107" s="9"/>
      <c r="O107" s="9"/>
      <c r="P107" s="9"/>
      <c r="Q107" s="9"/>
      <c r="R107" s="9"/>
      <c r="S107" s="42"/>
      <c r="T107" s="42"/>
      <c r="U107" s="42"/>
      <c r="V107" s="42"/>
      <c r="W107" s="42"/>
      <c r="X107" s="42"/>
      <c r="Y107" s="42"/>
      <c r="Z107" s="42"/>
      <c r="AA107" s="42"/>
      <c r="AB107" s="42" t="str">
        <f>IFERROR(__xludf.DUMMYFUNCTION("""COMPUTED_VALUE"""),"allen institute")</f>
        <v>allen institute</v>
      </c>
      <c r="AC107" s="42" t="str">
        <f>IFERROR(__xludf.DUMMYFUNCTION("""COMPUTED_VALUE"""),"DHBA")</f>
        <v>DHBA</v>
      </c>
      <c r="AD107" s="42"/>
      <c r="AE107" s="42"/>
      <c r="AF107" s="9"/>
      <c r="AG107" s="9"/>
      <c r="AH107" s="42"/>
      <c r="AI107" s="42"/>
      <c r="AJ107" s="42"/>
      <c r="AK107" s="42"/>
      <c r="AL107" s="42"/>
      <c r="AM107" s="42"/>
      <c r="AN107" s="42"/>
      <c r="AO107" s="63" t="str">
        <f>IFERROR(__xludf.DUMMYFUNCTION("IF(ISBLANK(A107),,IF(ISBLANK(S107), A107&amp;"";"", TEXTJOIN(CHAR(10), TRUE, A107&amp;"";"", ARRAYFORMULA(VLOOKUP(SPLIT(S107, "";"" &amp; CHAR(10)), $A:$AO, 41, FALSE)))))"),"fMZfp;")</f>
        <v>fMZfp;</v>
      </c>
      <c r="AP107" s="89"/>
    </row>
    <row r="108">
      <c r="A108" s="151" t="str">
        <f>IFERROR(__xludf.DUMMYFUNCTION("""COMPUTED_VALUE"""),"fMZdm")</f>
        <v>fMZdm</v>
      </c>
      <c r="B108" s="42" t="str">
        <f>IFERROR(__xludf.DUMMYFUNCTION("""COMPUTED_VALUE"""),"DHBA")</f>
        <v>DHBA</v>
      </c>
      <c r="C108" s="42" t="str">
        <f>IFERROR(__xludf.DUMMYFUNCTION("""COMPUTED_VALUE"""),"MZ in dorsomedial frontal cortex")</f>
        <v>MZ in dorsomedial frontal cortex</v>
      </c>
      <c r="D108" s="42">
        <f>IFERROR(__xludf.DUMMYFUNCTION("""COMPUTED_VALUE"""),74.0)</f>
        <v>74</v>
      </c>
      <c r="E108" s="39" t="str">
        <f>IFERROR(__xludf.DUMMYFUNCTION("""COMPUTED_VALUE"""),"MZ in dorsomedial frontal cortex")</f>
        <v>MZ in dorsomedial frontal cortex</v>
      </c>
      <c r="F108" s="9" t="str">
        <f>IFERROR(__xludf.DUMMYFUNCTION("""COMPUTED_VALUE"""),"Br")</f>
        <v>Br</v>
      </c>
      <c r="G108" s="9" t="str">
        <f>IFERROR(__xludf.DUMMYFUNCTION("""COMPUTED_VALUE"""),"F")</f>
        <v>F</v>
      </c>
      <c r="H108" s="9" t="str">
        <f>IFERROR(__xludf.DUMMYFUNCTION("""COMPUTED_VALUE"""),"FGM")</f>
        <v>FGM</v>
      </c>
      <c r="I108" s="9" t="str">
        <f>IFERROR(__xludf.DUMMYFUNCTION("""COMPUTED_VALUE"""),"FTS")</f>
        <v>FTS</v>
      </c>
      <c r="J108" s="9" t="str">
        <f>IFERROR(__xludf.DUMMYFUNCTION("""COMPUTED_VALUE"""),"MZ")</f>
        <v>MZ</v>
      </c>
      <c r="K108" s="9" t="str">
        <f>IFERROR(__xludf.DUMMYFUNCTION("""COMPUTED_VALUE"""),"fMZ")</f>
        <v>fMZ</v>
      </c>
      <c r="L108" s="9" t="str">
        <f>IFERROR(__xludf.DUMMYFUNCTION("""COMPUTED_VALUE"""),"fMZdm")</f>
        <v>fMZdm</v>
      </c>
      <c r="M108" s="9"/>
      <c r="N108" s="9"/>
      <c r="O108" s="9"/>
      <c r="P108" s="9"/>
      <c r="Q108" s="9"/>
      <c r="R108" s="9"/>
      <c r="S108" s="42"/>
      <c r="T108" s="42"/>
      <c r="U108" s="42"/>
      <c r="V108" s="42"/>
      <c r="W108" s="42"/>
      <c r="X108" s="42"/>
      <c r="Y108" s="42"/>
      <c r="Z108" s="42"/>
      <c r="AA108" s="42"/>
      <c r="AB108" s="42" t="str">
        <f>IFERROR(__xludf.DUMMYFUNCTION("""COMPUTED_VALUE"""),"allen institute")</f>
        <v>allen institute</v>
      </c>
      <c r="AC108" s="42" t="str">
        <f>IFERROR(__xludf.DUMMYFUNCTION("""COMPUTED_VALUE"""),"DHBA")</f>
        <v>DHBA</v>
      </c>
      <c r="AD108" s="42"/>
      <c r="AE108" s="42"/>
      <c r="AF108" s="9"/>
      <c r="AG108" s="9"/>
      <c r="AH108" s="42"/>
      <c r="AI108" s="42"/>
      <c r="AJ108" s="42"/>
      <c r="AK108" s="42"/>
      <c r="AL108" s="42"/>
      <c r="AM108" s="42"/>
      <c r="AN108" s="42"/>
      <c r="AO108" s="63" t="str">
        <f>IFERROR(__xludf.DUMMYFUNCTION("IF(ISBLANK(A108),,IF(ISBLANK(S108), A108&amp;"";"", TEXTJOIN(CHAR(10), TRUE, A108&amp;"";"", ARRAYFORMULA(VLOOKUP(SPLIT(S108, "";"" &amp; CHAR(10)), $A:$AO, 41, FALSE)))))"),"fMZdm;")</f>
        <v>fMZdm;</v>
      </c>
      <c r="AP108" s="89"/>
    </row>
    <row r="109">
      <c r="A109" s="151" t="str">
        <f>IFERROR(__xludf.DUMMYFUNCTION("""COMPUTED_VALUE"""),"fMZdl")</f>
        <v>fMZdl</v>
      </c>
      <c r="B109" s="42" t="str">
        <f>IFERROR(__xludf.DUMMYFUNCTION("""COMPUTED_VALUE"""),"DHBA")</f>
        <v>DHBA</v>
      </c>
      <c r="C109" s="42" t="str">
        <f>IFERROR(__xludf.DUMMYFUNCTION("""COMPUTED_VALUE"""),"MZ in dorsolateral prefrontal cortex")</f>
        <v>MZ in dorsolateral prefrontal cortex</v>
      </c>
      <c r="D109" s="42">
        <f>IFERROR(__xludf.DUMMYFUNCTION("""COMPUTED_VALUE"""),75.0)</f>
        <v>75</v>
      </c>
      <c r="E109" s="39" t="str">
        <f>IFERROR(__xludf.DUMMYFUNCTION("""COMPUTED_VALUE"""),"MZ in dorsolateral prefrontal cortex")</f>
        <v>MZ in dorsolateral prefrontal cortex</v>
      </c>
      <c r="F109" s="9" t="str">
        <f>IFERROR(__xludf.DUMMYFUNCTION("""COMPUTED_VALUE"""),"Br")</f>
        <v>Br</v>
      </c>
      <c r="G109" s="9" t="str">
        <f>IFERROR(__xludf.DUMMYFUNCTION("""COMPUTED_VALUE"""),"F")</f>
        <v>F</v>
      </c>
      <c r="H109" s="9" t="str">
        <f>IFERROR(__xludf.DUMMYFUNCTION("""COMPUTED_VALUE"""),"FGM")</f>
        <v>FGM</v>
      </c>
      <c r="I109" s="9" t="str">
        <f>IFERROR(__xludf.DUMMYFUNCTION("""COMPUTED_VALUE"""),"FTS")</f>
        <v>FTS</v>
      </c>
      <c r="J109" s="9" t="str">
        <f>IFERROR(__xludf.DUMMYFUNCTION("""COMPUTED_VALUE"""),"MZ")</f>
        <v>MZ</v>
      </c>
      <c r="K109" s="9" t="str">
        <f>IFERROR(__xludf.DUMMYFUNCTION("""COMPUTED_VALUE"""),"fMZ")</f>
        <v>fMZ</v>
      </c>
      <c r="L109" s="9" t="str">
        <f>IFERROR(__xludf.DUMMYFUNCTION("""COMPUTED_VALUE"""),"fMZdl")</f>
        <v>fMZdl</v>
      </c>
      <c r="M109" s="9"/>
      <c r="N109" s="9"/>
      <c r="O109" s="9"/>
      <c r="P109" s="9"/>
      <c r="Q109" s="9"/>
      <c r="R109" s="9"/>
      <c r="S109" s="42"/>
      <c r="T109" s="42"/>
      <c r="U109" s="42"/>
      <c r="V109" s="42"/>
      <c r="W109" s="42"/>
      <c r="X109" s="42"/>
      <c r="Y109" s="42"/>
      <c r="Z109" s="42"/>
      <c r="AA109" s="42"/>
      <c r="AB109" s="42" t="str">
        <f>IFERROR(__xludf.DUMMYFUNCTION("""COMPUTED_VALUE"""),"allen institute")</f>
        <v>allen institute</v>
      </c>
      <c r="AC109" s="42" t="str">
        <f>IFERROR(__xludf.DUMMYFUNCTION("""COMPUTED_VALUE"""),"DHBA")</f>
        <v>DHBA</v>
      </c>
      <c r="AD109" s="42"/>
      <c r="AE109" s="42"/>
      <c r="AF109" s="9"/>
      <c r="AG109" s="9"/>
      <c r="AH109" s="42"/>
      <c r="AI109" s="42"/>
      <c r="AJ109" s="42"/>
      <c r="AK109" s="42"/>
      <c r="AL109" s="42"/>
      <c r="AM109" s="42"/>
      <c r="AN109" s="42"/>
      <c r="AO109" s="63" t="str">
        <f>IFERROR(__xludf.DUMMYFUNCTION("IF(ISBLANK(A109),,IF(ISBLANK(S109), A109&amp;"";"", TEXTJOIN(CHAR(10), TRUE, A109&amp;"";"", ARRAYFORMULA(VLOOKUP(SPLIT(S109, "";"" &amp; CHAR(10)), $A:$AO, 41, FALSE)))))"),"fMZdl;")</f>
        <v>fMZdl;</v>
      </c>
      <c r="AP109" s="89"/>
    </row>
    <row r="110">
      <c r="A110" s="151" t="str">
        <f>IFERROR(__xludf.DUMMYFUNCTION("""COMPUTED_VALUE"""),"fMZvl")</f>
        <v>fMZvl</v>
      </c>
      <c r="B110" s="42" t="str">
        <f>IFERROR(__xludf.DUMMYFUNCTION("""COMPUTED_VALUE"""),"DHBA")</f>
        <v>DHBA</v>
      </c>
      <c r="C110" s="42" t="str">
        <f>IFERROR(__xludf.DUMMYFUNCTION("""COMPUTED_VALUE"""),"MZ in ventrolateral prefrontal cortex")</f>
        <v>MZ in ventrolateral prefrontal cortex</v>
      </c>
      <c r="D110" s="42">
        <f>IFERROR(__xludf.DUMMYFUNCTION("""COMPUTED_VALUE"""),76.0)</f>
        <v>76</v>
      </c>
      <c r="E110" s="39" t="str">
        <f>IFERROR(__xludf.DUMMYFUNCTION("""COMPUTED_VALUE"""),"MZ in ventrolateral prefrontal cortex")</f>
        <v>MZ in ventrolateral prefrontal cortex</v>
      </c>
      <c r="F110" s="9" t="str">
        <f>IFERROR(__xludf.DUMMYFUNCTION("""COMPUTED_VALUE"""),"Br")</f>
        <v>Br</v>
      </c>
      <c r="G110" s="9" t="str">
        <f>IFERROR(__xludf.DUMMYFUNCTION("""COMPUTED_VALUE"""),"F")</f>
        <v>F</v>
      </c>
      <c r="H110" s="9" t="str">
        <f>IFERROR(__xludf.DUMMYFUNCTION("""COMPUTED_VALUE"""),"FGM")</f>
        <v>FGM</v>
      </c>
      <c r="I110" s="9" t="str">
        <f>IFERROR(__xludf.DUMMYFUNCTION("""COMPUTED_VALUE"""),"FTS")</f>
        <v>FTS</v>
      </c>
      <c r="J110" s="9" t="str">
        <f>IFERROR(__xludf.DUMMYFUNCTION("""COMPUTED_VALUE"""),"MZ")</f>
        <v>MZ</v>
      </c>
      <c r="K110" s="9" t="str">
        <f>IFERROR(__xludf.DUMMYFUNCTION("""COMPUTED_VALUE"""),"fMZ")</f>
        <v>fMZ</v>
      </c>
      <c r="L110" s="9" t="str">
        <f>IFERROR(__xludf.DUMMYFUNCTION("""COMPUTED_VALUE"""),"fMZvl")</f>
        <v>fMZvl</v>
      </c>
      <c r="M110" s="9"/>
      <c r="N110" s="9"/>
      <c r="O110" s="9"/>
      <c r="P110" s="9"/>
      <c r="Q110" s="9"/>
      <c r="R110" s="9"/>
      <c r="S110" s="42"/>
      <c r="T110" s="42"/>
      <c r="U110" s="42"/>
      <c r="V110" s="42"/>
      <c r="W110" s="42"/>
      <c r="X110" s="42"/>
      <c r="Y110" s="42"/>
      <c r="Z110" s="42"/>
      <c r="AA110" s="42"/>
      <c r="AB110" s="42" t="str">
        <f>IFERROR(__xludf.DUMMYFUNCTION("""COMPUTED_VALUE"""),"allen institute")</f>
        <v>allen institute</v>
      </c>
      <c r="AC110" s="42" t="str">
        <f>IFERROR(__xludf.DUMMYFUNCTION("""COMPUTED_VALUE"""),"DHBA")</f>
        <v>DHBA</v>
      </c>
      <c r="AD110" s="42"/>
      <c r="AE110" s="42"/>
      <c r="AF110" s="9"/>
      <c r="AG110" s="9"/>
      <c r="AH110" s="42"/>
      <c r="AI110" s="42"/>
      <c r="AJ110" s="42"/>
      <c r="AK110" s="42"/>
      <c r="AL110" s="42"/>
      <c r="AM110" s="42"/>
      <c r="AN110" s="42"/>
      <c r="AO110" s="63" t="str">
        <f>IFERROR(__xludf.DUMMYFUNCTION("IF(ISBLANK(A110),,IF(ISBLANK(S110), A110&amp;"";"", TEXTJOIN(CHAR(10), TRUE, A110&amp;"";"", ARRAYFORMULA(VLOOKUP(SPLIT(S110, "";"" &amp; CHAR(10)), $A:$AO, 41, FALSE)))))"),"fMZvl;")</f>
        <v>fMZvl;</v>
      </c>
      <c r="AP110" s="89"/>
    </row>
    <row r="111">
      <c r="A111" s="151" t="str">
        <f>IFERROR(__xludf.DUMMYFUNCTION("""COMPUTED_VALUE"""),"fMZor")</f>
        <v>fMZor</v>
      </c>
      <c r="B111" s="42" t="str">
        <f>IFERROR(__xludf.DUMMYFUNCTION("""COMPUTED_VALUE"""),"DHBA")</f>
        <v>DHBA</v>
      </c>
      <c r="C111" s="42" t="str">
        <f>IFERROR(__xludf.DUMMYFUNCTION("""COMPUTED_VALUE"""),"MZ in orbital frontal cortex")</f>
        <v>MZ in orbital frontal cortex</v>
      </c>
      <c r="D111" s="42">
        <f>IFERROR(__xludf.DUMMYFUNCTION("""COMPUTED_VALUE"""),77.0)</f>
        <v>77</v>
      </c>
      <c r="E111" s="39" t="str">
        <f>IFERROR(__xludf.DUMMYFUNCTION("""COMPUTED_VALUE"""),"MZ in orbital frontal cortex")</f>
        <v>MZ in orbital frontal cortex</v>
      </c>
      <c r="F111" s="9" t="str">
        <f>IFERROR(__xludf.DUMMYFUNCTION("""COMPUTED_VALUE"""),"Br")</f>
        <v>Br</v>
      </c>
      <c r="G111" s="9" t="str">
        <f>IFERROR(__xludf.DUMMYFUNCTION("""COMPUTED_VALUE"""),"F")</f>
        <v>F</v>
      </c>
      <c r="H111" s="9" t="str">
        <f>IFERROR(__xludf.DUMMYFUNCTION("""COMPUTED_VALUE"""),"FGM")</f>
        <v>FGM</v>
      </c>
      <c r="I111" s="9" t="str">
        <f>IFERROR(__xludf.DUMMYFUNCTION("""COMPUTED_VALUE"""),"FTS")</f>
        <v>FTS</v>
      </c>
      <c r="J111" s="9" t="str">
        <f>IFERROR(__xludf.DUMMYFUNCTION("""COMPUTED_VALUE"""),"MZ")</f>
        <v>MZ</v>
      </c>
      <c r="K111" s="9" t="str">
        <f>IFERROR(__xludf.DUMMYFUNCTION("""COMPUTED_VALUE"""),"fMZ")</f>
        <v>fMZ</v>
      </c>
      <c r="L111" s="9" t="str">
        <f>IFERROR(__xludf.DUMMYFUNCTION("""COMPUTED_VALUE"""),"fMZor")</f>
        <v>fMZor</v>
      </c>
      <c r="M111" s="9"/>
      <c r="N111" s="9"/>
      <c r="O111" s="9"/>
      <c r="P111" s="9"/>
      <c r="Q111" s="9"/>
      <c r="R111" s="9"/>
      <c r="S111" s="42"/>
      <c r="T111" s="42"/>
      <c r="U111" s="42"/>
      <c r="V111" s="42"/>
      <c r="W111" s="42"/>
      <c r="X111" s="42"/>
      <c r="Y111" s="42"/>
      <c r="Z111" s="42"/>
      <c r="AA111" s="42"/>
      <c r="AB111" s="42" t="str">
        <f>IFERROR(__xludf.DUMMYFUNCTION("""COMPUTED_VALUE"""),"allen institute")</f>
        <v>allen institute</v>
      </c>
      <c r="AC111" s="42" t="str">
        <f>IFERROR(__xludf.DUMMYFUNCTION("""COMPUTED_VALUE"""),"DHBA")</f>
        <v>DHBA</v>
      </c>
      <c r="AD111" s="42"/>
      <c r="AE111" s="42"/>
      <c r="AF111" s="9"/>
      <c r="AG111" s="9"/>
      <c r="AH111" s="42"/>
      <c r="AI111" s="42"/>
      <c r="AJ111" s="42"/>
      <c r="AK111" s="42"/>
      <c r="AL111" s="42"/>
      <c r="AM111" s="42"/>
      <c r="AN111" s="42"/>
      <c r="AO111" s="63" t="str">
        <f>IFERROR(__xludf.DUMMYFUNCTION("IF(ISBLANK(A111),,IF(ISBLANK(S111), A111&amp;"";"", TEXTJOIN(CHAR(10), TRUE, A111&amp;"";"", ARRAYFORMULA(VLOOKUP(SPLIT(S111, "";"" &amp; CHAR(10)), $A:$AO, 41, FALSE)))))"),"fMZor;")</f>
        <v>fMZor;</v>
      </c>
      <c r="AP111" s="89"/>
    </row>
    <row r="112">
      <c r="A112" s="151" t="str">
        <f>IFERROR(__xludf.DUMMYFUNCTION("""COMPUTED_VALUE"""),"fMZm1")</f>
        <v>fMZm1</v>
      </c>
      <c r="B112" s="42" t="str">
        <f>IFERROR(__xludf.DUMMYFUNCTION("""COMPUTED_VALUE"""),"DHBA")</f>
        <v>DHBA</v>
      </c>
      <c r="C112" s="42" t="str">
        <f>IFERROR(__xludf.DUMMYFUNCTION("""COMPUTED_VALUE"""),"MZ in posteror frontal cortex (motor cortex)")</f>
        <v>MZ in posteror frontal cortex (motor cortex)</v>
      </c>
      <c r="D112" s="42">
        <f>IFERROR(__xludf.DUMMYFUNCTION("""COMPUTED_VALUE"""),78.0)</f>
        <v>78</v>
      </c>
      <c r="E112" s="39" t="str">
        <f>IFERROR(__xludf.DUMMYFUNCTION("""COMPUTED_VALUE"""),"MZ in posteror frontal cortex (motor cortex)")</f>
        <v>MZ in posteror frontal cortex (motor cortex)</v>
      </c>
      <c r="F112" s="9" t="str">
        <f>IFERROR(__xludf.DUMMYFUNCTION("""COMPUTED_VALUE"""),"Br")</f>
        <v>Br</v>
      </c>
      <c r="G112" s="9" t="str">
        <f>IFERROR(__xludf.DUMMYFUNCTION("""COMPUTED_VALUE"""),"F")</f>
        <v>F</v>
      </c>
      <c r="H112" s="9" t="str">
        <f>IFERROR(__xludf.DUMMYFUNCTION("""COMPUTED_VALUE"""),"FGM")</f>
        <v>FGM</v>
      </c>
      <c r="I112" s="9" t="str">
        <f>IFERROR(__xludf.DUMMYFUNCTION("""COMPUTED_VALUE"""),"FTS")</f>
        <v>FTS</v>
      </c>
      <c r="J112" s="9" t="str">
        <f>IFERROR(__xludf.DUMMYFUNCTION("""COMPUTED_VALUE"""),"MZ")</f>
        <v>MZ</v>
      </c>
      <c r="K112" s="9" t="str">
        <f>IFERROR(__xludf.DUMMYFUNCTION("""COMPUTED_VALUE"""),"fMZ")</f>
        <v>fMZ</v>
      </c>
      <c r="L112" s="9" t="str">
        <f>IFERROR(__xludf.DUMMYFUNCTION("""COMPUTED_VALUE"""),"fMZm1")</f>
        <v>fMZm1</v>
      </c>
      <c r="M112" s="9"/>
      <c r="N112" s="9"/>
      <c r="O112" s="9"/>
      <c r="P112" s="9"/>
      <c r="Q112" s="9"/>
      <c r="R112" s="9"/>
      <c r="S112" s="42"/>
      <c r="T112" s="42"/>
      <c r="U112" s="42"/>
      <c r="V112" s="42"/>
      <c r="W112" s="42"/>
      <c r="X112" s="42"/>
      <c r="Y112" s="42"/>
      <c r="Z112" s="42"/>
      <c r="AA112" s="42"/>
      <c r="AB112" s="42" t="str">
        <f>IFERROR(__xludf.DUMMYFUNCTION("""COMPUTED_VALUE"""),"allen institute")</f>
        <v>allen institute</v>
      </c>
      <c r="AC112" s="42" t="str">
        <f>IFERROR(__xludf.DUMMYFUNCTION("""COMPUTED_VALUE"""),"DHBA")</f>
        <v>DHBA</v>
      </c>
      <c r="AD112" s="42"/>
      <c r="AE112" s="42"/>
      <c r="AF112" s="9"/>
      <c r="AG112" s="9"/>
      <c r="AH112" s="42"/>
      <c r="AI112" s="42"/>
      <c r="AJ112" s="42"/>
      <c r="AK112" s="42"/>
      <c r="AL112" s="42"/>
      <c r="AM112" s="42"/>
      <c r="AN112" s="42"/>
      <c r="AO112" s="63" t="str">
        <f>IFERROR(__xludf.DUMMYFUNCTION("IF(ISBLANK(A112),,IF(ISBLANK(S112), A112&amp;"";"", TEXTJOIN(CHAR(10), TRUE, A112&amp;"";"", ARRAYFORMULA(VLOOKUP(SPLIT(S112, "";"" &amp; CHAR(10)), $A:$AO, 41, FALSE)))))"),"fMZm1;")</f>
        <v>fMZm1;</v>
      </c>
      <c r="AP112" s="89"/>
    </row>
    <row r="113">
      <c r="A113" s="151" t="str">
        <f>IFERROR(__xludf.DUMMYFUNCTION("""COMPUTED_VALUE"""),"pMZ")</f>
        <v>pMZ</v>
      </c>
      <c r="B113" s="42" t="str">
        <f>IFERROR(__xludf.DUMMYFUNCTION("""COMPUTED_VALUE"""),"DHBA")</f>
        <v>DHBA</v>
      </c>
      <c r="C113" s="42" t="str">
        <f>IFERROR(__xludf.DUMMYFUNCTION("""COMPUTED_VALUE"""),"MZ in parietal neocortex")</f>
        <v>MZ in parietal neocortex</v>
      </c>
      <c r="D113" s="42">
        <f>IFERROR(__xludf.DUMMYFUNCTION("""COMPUTED_VALUE"""),79.0)</f>
        <v>79</v>
      </c>
      <c r="E113" s="39" t="str">
        <f>IFERROR(__xludf.DUMMYFUNCTION("""COMPUTED_VALUE"""),"MZ in parietal neocortex")</f>
        <v>MZ in parietal neocortex</v>
      </c>
      <c r="F113" s="9" t="str">
        <f>IFERROR(__xludf.DUMMYFUNCTION("""COMPUTED_VALUE"""),"Br")</f>
        <v>Br</v>
      </c>
      <c r="G113" s="9" t="str">
        <f>IFERROR(__xludf.DUMMYFUNCTION("""COMPUTED_VALUE"""),"F")</f>
        <v>F</v>
      </c>
      <c r="H113" s="9" t="str">
        <f>IFERROR(__xludf.DUMMYFUNCTION("""COMPUTED_VALUE"""),"FGM")</f>
        <v>FGM</v>
      </c>
      <c r="I113" s="9" t="str">
        <f>IFERROR(__xludf.DUMMYFUNCTION("""COMPUTED_VALUE"""),"FTS")</f>
        <v>FTS</v>
      </c>
      <c r="J113" s="9" t="str">
        <f>IFERROR(__xludf.DUMMYFUNCTION("""COMPUTED_VALUE"""),"MZ")</f>
        <v>MZ</v>
      </c>
      <c r="K113" s="9" t="str">
        <f>IFERROR(__xludf.DUMMYFUNCTION("""COMPUTED_VALUE"""),"pMZ")</f>
        <v>pMZ</v>
      </c>
      <c r="L113" s="9"/>
      <c r="M113" s="9"/>
      <c r="N113" s="9"/>
      <c r="O113" s="9"/>
      <c r="P113" s="9"/>
      <c r="Q113" s="9"/>
      <c r="R113" s="9"/>
      <c r="S113" s="42" t="str">
        <f>IFERROR(__xludf.DUMMYFUNCTION("""COMPUTED_VALUE"""),"pMZs1;
pMZdm;
pMZpd;
pMZpv")</f>
        <v>pMZs1;
pMZdm;
pMZpd;
pMZpv</v>
      </c>
      <c r="T113" s="42"/>
      <c r="U113" s="42" t="b">
        <f>IFERROR(__xludf.DUMMYFUNCTION("""COMPUTED_VALUE"""),FALSE)</f>
        <v>0</v>
      </c>
      <c r="V113" s="42"/>
      <c r="W113" s="42"/>
      <c r="X113" s="42"/>
      <c r="Y113" s="42"/>
      <c r="Z113" s="42"/>
      <c r="AA113" s="42"/>
      <c r="AB113" s="42" t="str">
        <f>IFERROR(__xludf.DUMMYFUNCTION("""COMPUTED_VALUE"""),"allen institute")</f>
        <v>allen institute</v>
      </c>
      <c r="AC113" s="42" t="str">
        <f>IFERROR(__xludf.DUMMYFUNCTION("""COMPUTED_VALUE"""),"DHBA")</f>
        <v>DHBA</v>
      </c>
      <c r="AD113" s="42"/>
      <c r="AE113" s="42"/>
      <c r="AF113" s="9"/>
      <c r="AG113" s="9"/>
      <c r="AH113" s="42"/>
      <c r="AI113" s="42"/>
      <c r="AJ113" s="42"/>
      <c r="AK113" s="42"/>
      <c r="AL113" s="42"/>
      <c r="AM113" s="42"/>
      <c r="AN113" s="42"/>
      <c r="AO113" s="63" t="str">
        <f>IFERROR(__xludf.DUMMYFUNCTION("IF(ISBLANK(A113),,IF(ISBLANK(S113), A113&amp;"";"", TEXTJOIN(CHAR(10), TRUE, A113&amp;"";"", ARRAYFORMULA(VLOOKUP(SPLIT(S113, "";"" &amp; CHAR(10)), $A:$AO, 41, FALSE)))))"),"pMZ;
pMZs1;
pMZdm;
pMZpd;
pMZpv;")</f>
        <v>pMZ;
pMZs1;
pMZdm;
pMZpd;
pMZpv;</v>
      </c>
      <c r="AP113" s="89"/>
    </row>
    <row r="114">
      <c r="A114" s="151" t="str">
        <f>IFERROR(__xludf.DUMMYFUNCTION("""COMPUTED_VALUE"""),"pMZs1")</f>
        <v>pMZs1</v>
      </c>
      <c r="B114" s="42" t="str">
        <f>IFERROR(__xludf.DUMMYFUNCTION("""COMPUTED_VALUE"""),"DHBA")</f>
        <v>DHBA</v>
      </c>
      <c r="C114" s="42" t="str">
        <f>IFERROR(__xludf.DUMMYFUNCTION("""COMPUTED_VALUE"""),"MZ in primary somatosensory cortex")</f>
        <v>MZ in primary somatosensory cortex</v>
      </c>
      <c r="D114" s="42">
        <f>IFERROR(__xludf.DUMMYFUNCTION("""COMPUTED_VALUE"""),80.0)</f>
        <v>80</v>
      </c>
      <c r="E114" s="39" t="str">
        <f>IFERROR(__xludf.DUMMYFUNCTION("""COMPUTED_VALUE"""),"MZ in primary somatosensory cortex")</f>
        <v>MZ in primary somatosensory cortex</v>
      </c>
      <c r="F114" s="9" t="str">
        <f>IFERROR(__xludf.DUMMYFUNCTION("""COMPUTED_VALUE"""),"Br")</f>
        <v>Br</v>
      </c>
      <c r="G114" s="9" t="str">
        <f>IFERROR(__xludf.DUMMYFUNCTION("""COMPUTED_VALUE"""),"F")</f>
        <v>F</v>
      </c>
      <c r="H114" s="9" t="str">
        <f>IFERROR(__xludf.DUMMYFUNCTION("""COMPUTED_VALUE"""),"FGM")</f>
        <v>FGM</v>
      </c>
      <c r="I114" s="9" t="str">
        <f>IFERROR(__xludf.DUMMYFUNCTION("""COMPUTED_VALUE"""),"FTS")</f>
        <v>FTS</v>
      </c>
      <c r="J114" s="9" t="str">
        <f>IFERROR(__xludf.DUMMYFUNCTION("""COMPUTED_VALUE"""),"MZ")</f>
        <v>MZ</v>
      </c>
      <c r="K114" s="9" t="str">
        <f>IFERROR(__xludf.DUMMYFUNCTION("""COMPUTED_VALUE"""),"pMZ")</f>
        <v>pMZ</v>
      </c>
      <c r="L114" s="9" t="str">
        <f>IFERROR(__xludf.DUMMYFUNCTION("""COMPUTED_VALUE"""),"pMZs1")</f>
        <v>pMZs1</v>
      </c>
      <c r="M114" s="9"/>
      <c r="N114" s="9"/>
      <c r="O114" s="9"/>
      <c r="P114" s="9"/>
      <c r="Q114" s="9"/>
      <c r="R114" s="9"/>
      <c r="S114" s="42"/>
      <c r="T114" s="42"/>
      <c r="U114" s="42"/>
      <c r="V114" s="42"/>
      <c r="W114" s="42"/>
      <c r="X114" s="42"/>
      <c r="Y114" s="42"/>
      <c r="Z114" s="42"/>
      <c r="AA114" s="42"/>
      <c r="AB114" s="42" t="str">
        <f>IFERROR(__xludf.DUMMYFUNCTION("""COMPUTED_VALUE"""),"allen institute")</f>
        <v>allen institute</v>
      </c>
      <c r="AC114" s="42" t="str">
        <f>IFERROR(__xludf.DUMMYFUNCTION("""COMPUTED_VALUE"""),"DHBA")</f>
        <v>DHBA</v>
      </c>
      <c r="AD114" s="42"/>
      <c r="AE114" s="42"/>
      <c r="AF114" s="9"/>
      <c r="AG114" s="9"/>
      <c r="AH114" s="42"/>
      <c r="AI114" s="42"/>
      <c r="AJ114" s="42"/>
      <c r="AK114" s="42"/>
      <c r="AL114" s="42"/>
      <c r="AM114" s="42"/>
      <c r="AN114" s="42"/>
      <c r="AO114" s="63" t="str">
        <f>IFERROR(__xludf.DUMMYFUNCTION("IF(ISBLANK(A114),,IF(ISBLANK(S114), A114&amp;"";"", TEXTJOIN(CHAR(10), TRUE, A114&amp;"";"", ARRAYFORMULA(VLOOKUP(SPLIT(S114, "";"" &amp; CHAR(10)), $A:$AO, 41, FALSE)))))"),"pMZs1;")</f>
        <v>pMZs1;</v>
      </c>
      <c r="AP114" s="89"/>
    </row>
    <row r="115">
      <c r="A115" s="151" t="str">
        <f>IFERROR(__xludf.DUMMYFUNCTION("""COMPUTED_VALUE"""),"pMZdm")</f>
        <v>pMZdm</v>
      </c>
      <c r="B115" s="42" t="str">
        <f>IFERROR(__xludf.DUMMYFUNCTION("""COMPUTED_VALUE"""),"DHBA")</f>
        <v>DHBA</v>
      </c>
      <c r="C115" s="42" t="str">
        <f>IFERROR(__xludf.DUMMYFUNCTION("""COMPUTED_VALUE"""),"MZ in dorsomedial parietal cortex")</f>
        <v>MZ in dorsomedial parietal cortex</v>
      </c>
      <c r="D115" s="42">
        <f>IFERROR(__xludf.DUMMYFUNCTION("""COMPUTED_VALUE"""),81.0)</f>
        <v>81</v>
      </c>
      <c r="E115" s="39" t="str">
        <f>IFERROR(__xludf.DUMMYFUNCTION("""COMPUTED_VALUE"""),"MZ in dorsomedial parietal cortex")</f>
        <v>MZ in dorsomedial parietal cortex</v>
      </c>
      <c r="F115" s="9" t="str">
        <f>IFERROR(__xludf.DUMMYFUNCTION("""COMPUTED_VALUE"""),"Br")</f>
        <v>Br</v>
      </c>
      <c r="G115" s="9" t="str">
        <f>IFERROR(__xludf.DUMMYFUNCTION("""COMPUTED_VALUE"""),"F")</f>
        <v>F</v>
      </c>
      <c r="H115" s="9" t="str">
        <f>IFERROR(__xludf.DUMMYFUNCTION("""COMPUTED_VALUE"""),"FGM")</f>
        <v>FGM</v>
      </c>
      <c r="I115" s="9" t="str">
        <f>IFERROR(__xludf.DUMMYFUNCTION("""COMPUTED_VALUE"""),"FTS")</f>
        <v>FTS</v>
      </c>
      <c r="J115" s="9" t="str">
        <f>IFERROR(__xludf.DUMMYFUNCTION("""COMPUTED_VALUE"""),"MZ")</f>
        <v>MZ</v>
      </c>
      <c r="K115" s="9" t="str">
        <f>IFERROR(__xludf.DUMMYFUNCTION("""COMPUTED_VALUE"""),"pMZ")</f>
        <v>pMZ</v>
      </c>
      <c r="L115" s="9" t="str">
        <f>IFERROR(__xludf.DUMMYFUNCTION("""COMPUTED_VALUE"""),"pMZdm")</f>
        <v>pMZdm</v>
      </c>
      <c r="M115" s="9"/>
      <c r="N115" s="9"/>
      <c r="O115" s="9"/>
      <c r="P115" s="9"/>
      <c r="Q115" s="9"/>
      <c r="R115" s="9"/>
      <c r="S115" s="42"/>
      <c r="T115" s="42"/>
      <c r="U115" s="42"/>
      <c r="V115" s="42"/>
      <c r="W115" s="42"/>
      <c r="X115" s="42"/>
      <c r="Y115" s="42"/>
      <c r="Z115" s="42"/>
      <c r="AA115" s="42"/>
      <c r="AB115" s="42" t="str">
        <f>IFERROR(__xludf.DUMMYFUNCTION("""COMPUTED_VALUE"""),"allen institute")</f>
        <v>allen institute</v>
      </c>
      <c r="AC115" s="42" t="str">
        <f>IFERROR(__xludf.DUMMYFUNCTION("""COMPUTED_VALUE"""),"DHBA")</f>
        <v>DHBA</v>
      </c>
      <c r="AD115" s="42"/>
      <c r="AE115" s="42"/>
      <c r="AF115" s="9"/>
      <c r="AG115" s="9"/>
      <c r="AH115" s="42"/>
      <c r="AI115" s="42"/>
      <c r="AJ115" s="42"/>
      <c r="AK115" s="42"/>
      <c r="AL115" s="42"/>
      <c r="AM115" s="42"/>
      <c r="AN115" s="42"/>
      <c r="AO115" s="63" t="str">
        <f>IFERROR(__xludf.DUMMYFUNCTION("IF(ISBLANK(A115),,IF(ISBLANK(S115), A115&amp;"";"", TEXTJOIN(CHAR(10), TRUE, A115&amp;"";"", ARRAYFORMULA(VLOOKUP(SPLIT(S115, "";"" &amp; CHAR(10)), $A:$AO, 41, FALSE)))))"),"pMZdm;")</f>
        <v>pMZdm;</v>
      </c>
      <c r="AP115" s="89"/>
    </row>
    <row r="116">
      <c r="A116" s="151" t="str">
        <f>IFERROR(__xludf.DUMMYFUNCTION("""COMPUTED_VALUE"""),"pMZpd")</f>
        <v>pMZpd</v>
      </c>
      <c r="B116" s="42" t="str">
        <f>IFERROR(__xludf.DUMMYFUNCTION("""COMPUTED_VALUE"""),"DHBA")</f>
        <v>DHBA</v>
      </c>
      <c r="C116" s="42" t="str">
        <f>IFERROR(__xludf.DUMMYFUNCTION("""COMPUTED_VALUE"""),"MZ in posterodorsal (superior) parietal cortex")</f>
        <v>MZ in posterodorsal (superior) parietal cortex</v>
      </c>
      <c r="D116" s="42">
        <f>IFERROR(__xludf.DUMMYFUNCTION("""COMPUTED_VALUE"""),82.0)</f>
        <v>82</v>
      </c>
      <c r="E116" s="39" t="str">
        <f>IFERROR(__xludf.DUMMYFUNCTION("""COMPUTED_VALUE"""),"MZ in posterodorsal (superior) parietal cortex")</f>
        <v>MZ in posterodorsal (superior) parietal cortex</v>
      </c>
      <c r="F116" s="9" t="str">
        <f>IFERROR(__xludf.DUMMYFUNCTION("""COMPUTED_VALUE"""),"Br")</f>
        <v>Br</v>
      </c>
      <c r="G116" s="9" t="str">
        <f>IFERROR(__xludf.DUMMYFUNCTION("""COMPUTED_VALUE"""),"F")</f>
        <v>F</v>
      </c>
      <c r="H116" s="9" t="str">
        <f>IFERROR(__xludf.DUMMYFUNCTION("""COMPUTED_VALUE"""),"FGM")</f>
        <v>FGM</v>
      </c>
      <c r="I116" s="9" t="str">
        <f>IFERROR(__xludf.DUMMYFUNCTION("""COMPUTED_VALUE"""),"FTS")</f>
        <v>FTS</v>
      </c>
      <c r="J116" s="9" t="str">
        <f>IFERROR(__xludf.DUMMYFUNCTION("""COMPUTED_VALUE"""),"MZ")</f>
        <v>MZ</v>
      </c>
      <c r="K116" s="9" t="str">
        <f>IFERROR(__xludf.DUMMYFUNCTION("""COMPUTED_VALUE"""),"pMZ")</f>
        <v>pMZ</v>
      </c>
      <c r="L116" s="9" t="str">
        <f>IFERROR(__xludf.DUMMYFUNCTION("""COMPUTED_VALUE"""),"pMZpd")</f>
        <v>pMZpd</v>
      </c>
      <c r="M116" s="9"/>
      <c r="N116" s="9"/>
      <c r="O116" s="9"/>
      <c r="P116" s="9"/>
      <c r="Q116" s="9"/>
      <c r="R116" s="9"/>
      <c r="S116" s="42"/>
      <c r="T116" s="42"/>
      <c r="U116" s="42"/>
      <c r="V116" s="42"/>
      <c r="W116" s="42"/>
      <c r="X116" s="42"/>
      <c r="Y116" s="42"/>
      <c r="Z116" s="42"/>
      <c r="AA116" s="42"/>
      <c r="AB116" s="42" t="str">
        <f>IFERROR(__xludf.DUMMYFUNCTION("""COMPUTED_VALUE"""),"allen institute")</f>
        <v>allen institute</v>
      </c>
      <c r="AC116" s="42" t="str">
        <f>IFERROR(__xludf.DUMMYFUNCTION("""COMPUTED_VALUE"""),"DHBA")</f>
        <v>DHBA</v>
      </c>
      <c r="AD116" s="42"/>
      <c r="AE116" s="42"/>
      <c r="AF116" s="9"/>
      <c r="AG116" s="9"/>
      <c r="AH116" s="42"/>
      <c r="AI116" s="42"/>
      <c r="AJ116" s="42"/>
      <c r="AK116" s="42"/>
      <c r="AL116" s="42"/>
      <c r="AM116" s="42"/>
      <c r="AN116" s="42"/>
      <c r="AO116" s="63" t="str">
        <f>IFERROR(__xludf.DUMMYFUNCTION("IF(ISBLANK(A116),,IF(ISBLANK(S116), A116&amp;"";"", TEXTJOIN(CHAR(10), TRUE, A116&amp;"";"", ARRAYFORMULA(VLOOKUP(SPLIT(S116, "";"" &amp; CHAR(10)), $A:$AO, 41, FALSE)))))"),"pMZpd;")</f>
        <v>pMZpd;</v>
      </c>
      <c r="AP116" s="89"/>
    </row>
    <row r="117">
      <c r="A117" s="151" t="str">
        <f>IFERROR(__xludf.DUMMYFUNCTION("""COMPUTED_VALUE"""),"pMZpv")</f>
        <v>pMZpv</v>
      </c>
      <c r="B117" s="42" t="str">
        <f>IFERROR(__xludf.DUMMYFUNCTION("""COMPUTED_VALUE"""),"DHBA")</f>
        <v>DHBA</v>
      </c>
      <c r="C117" s="42" t="str">
        <f>IFERROR(__xludf.DUMMYFUNCTION("""COMPUTED_VALUE"""),"MZ in posteroventral (inferior) parietal cortex")</f>
        <v>MZ in posteroventral (inferior) parietal cortex</v>
      </c>
      <c r="D117" s="42">
        <f>IFERROR(__xludf.DUMMYFUNCTION("""COMPUTED_VALUE"""),83.0)</f>
        <v>83</v>
      </c>
      <c r="E117" s="39" t="str">
        <f>IFERROR(__xludf.DUMMYFUNCTION("""COMPUTED_VALUE"""),"MZ in posteroventral (inferior) parietal cortex")</f>
        <v>MZ in posteroventral (inferior) parietal cortex</v>
      </c>
      <c r="F117" s="9" t="str">
        <f>IFERROR(__xludf.DUMMYFUNCTION("""COMPUTED_VALUE"""),"Br")</f>
        <v>Br</v>
      </c>
      <c r="G117" s="9" t="str">
        <f>IFERROR(__xludf.DUMMYFUNCTION("""COMPUTED_VALUE"""),"F")</f>
        <v>F</v>
      </c>
      <c r="H117" s="9" t="str">
        <f>IFERROR(__xludf.DUMMYFUNCTION("""COMPUTED_VALUE"""),"FGM")</f>
        <v>FGM</v>
      </c>
      <c r="I117" s="9" t="str">
        <f>IFERROR(__xludf.DUMMYFUNCTION("""COMPUTED_VALUE"""),"FTS")</f>
        <v>FTS</v>
      </c>
      <c r="J117" s="9" t="str">
        <f>IFERROR(__xludf.DUMMYFUNCTION("""COMPUTED_VALUE"""),"MZ")</f>
        <v>MZ</v>
      </c>
      <c r="K117" s="9" t="str">
        <f>IFERROR(__xludf.DUMMYFUNCTION("""COMPUTED_VALUE"""),"pMZ")</f>
        <v>pMZ</v>
      </c>
      <c r="L117" s="9" t="str">
        <f>IFERROR(__xludf.DUMMYFUNCTION("""COMPUTED_VALUE"""),"pMZpv")</f>
        <v>pMZpv</v>
      </c>
      <c r="M117" s="9"/>
      <c r="N117" s="9"/>
      <c r="O117" s="9"/>
      <c r="P117" s="9"/>
      <c r="Q117" s="9"/>
      <c r="R117" s="9"/>
      <c r="S117" s="42"/>
      <c r="T117" s="42"/>
      <c r="U117" s="42"/>
      <c r="V117" s="42"/>
      <c r="W117" s="42"/>
      <c r="X117" s="42"/>
      <c r="Y117" s="42"/>
      <c r="Z117" s="42"/>
      <c r="AA117" s="42"/>
      <c r="AB117" s="42" t="str">
        <f>IFERROR(__xludf.DUMMYFUNCTION("""COMPUTED_VALUE"""),"allen institute")</f>
        <v>allen institute</v>
      </c>
      <c r="AC117" s="42" t="str">
        <f>IFERROR(__xludf.DUMMYFUNCTION("""COMPUTED_VALUE"""),"DHBA")</f>
        <v>DHBA</v>
      </c>
      <c r="AD117" s="42"/>
      <c r="AE117" s="42"/>
      <c r="AF117" s="9"/>
      <c r="AG117" s="9"/>
      <c r="AH117" s="42"/>
      <c r="AI117" s="42"/>
      <c r="AJ117" s="42"/>
      <c r="AK117" s="42"/>
      <c r="AL117" s="42"/>
      <c r="AM117" s="42"/>
      <c r="AN117" s="42"/>
      <c r="AO117" s="63" t="str">
        <f>IFERROR(__xludf.DUMMYFUNCTION("IF(ISBLANK(A117),,IF(ISBLANK(S117), A117&amp;"";"", TEXTJOIN(CHAR(10), TRUE, A117&amp;"";"", ARRAYFORMULA(VLOOKUP(SPLIT(S117, "";"" &amp; CHAR(10)), $A:$AO, 41, FALSE)))))"),"pMZpv;")</f>
        <v>pMZpv;</v>
      </c>
      <c r="AP117" s="89"/>
    </row>
    <row r="118">
      <c r="A118" s="151" t="str">
        <f>IFERROR(__xludf.DUMMYFUNCTION("""COMPUTED_VALUE"""),"tMZ")</f>
        <v>tMZ</v>
      </c>
      <c r="B118" s="42" t="str">
        <f>IFERROR(__xludf.DUMMYFUNCTION("""COMPUTED_VALUE"""),"DHBA")</f>
        <v>DHBA</v>
      </c>
      <c r="C118" s="42" t="str">
        <f>IFERROR(__xludf.DUMMYFUNCTION("""COMPUTED_VALUE"""),"MZ in temporal neocortex")</f>
        <v>MZ in temporal neocortex</v>
      </c>
      <c r="D118" s="42">
        <f>IFERROR(__xludf.DUMMYFUNCTION("""COMPUTED_VALUE"""),84.0)</f>
        <v>84</v>
      </c>
      <c r="E118" s="39" t="str">
        <f>IFERROR(__xludf.DUMMYFUNCTION("""COMPUTED_VALUE"""),"MZ in temporal neocortex")</f>
        <v>MZ in temporal neocortex</v>
      </c>
      <c r="F118" s="9" t="str">
        <f>IFERROR(__xludf.DUMMYFUNCTION("""COMPUTED_VALUE"""),"Br")</f>
        <v>Br</v>
      </c>
      <c r="G118" s="9" t="str">
        <f>IFERROR(__xludf.DUMMYFUNCTION("""COMPUTED_VALUE"""),"F")</f>
        <v>F</v>
      </c>
      <c r="H118" s="9" t="str">
        <f>IFERROR(__xludf.DUMMYFUNCTION("""COMPUTED_VALUE"""),"FGM")</f>
        <v>FGM</v>
      </c>
      <c r="I118" s="9" t="str">
        <f>IFERROR(__xludf.DUMMYFUNCTION("""COMPUTED_VALUE"""),"FTS")</f>
        <v>FTS</v>
      </c>
      <c r="J118" s="9" t="str">
        <f>IFERROR(__xludf.DUMMYFUNCTION("""COMPUTED_VALUE"""),"MZ")</f>
        <v>MZ</v>
      </c>
      <c r="K118" s="9" t="str">
        <f>IFERROR(__xludf.DUMMYFUNCTION("""COMPUTED_VALUE"""),"tMZ")</f>
        <v>tMZ</v>
      </c>
      <c r="L118" s="9"/>
      <c r="M118" s="9"/>
      <c r="N118" s="9"/>
      <c r="O118" s="9"/>
      <c r="P118" s="9"/>
      <c r="Q118" s="9"/>
      <c r="R118" s="9"/>
      <c r="S118" s="42" t="str">
        <f>IFERROR(__xludf.DUMMYFUNCTION("""COMPUTED_VALUE"""),"tMZdl;
tMZvl;
tMZph;
tMZmt;
tMZlt;
tMZtp")</f>
        <v>tMZdl;
tMZvl;
tMZph;
tMZmt;
tMZlt;
tMZtp</v>
      </c>
      <c r="T118" s="42"/>
      <c r="U118" s="42" t="b">
        <f>IFERROR(__xludf.DUMMYFUNCTION("""COMPUTED_VALUE"""),FALSE)</f>
        <v>0</v>
      </c>
      <c r="V118" s="42"/>
      <c r="W118" s="42"/>
      <c r="X118" s="42"/>
      <c r="Y118" s="42"/>
      <c r="Z118" s="42"/>
      <c r="AA118" s="42"/>
      <c r="AB118" s="42" t="str">
        <f>IFERROR(__xludf.DUMMYFUNCTION("""COMPUTED_VALUE"""),"allen institute")</f>
        <v>allen institute</v>
      </c>
      <c r="AC118" s="42" t="str">
        <f>IFERROR(__xludf.DUMMYFUNCTION("""COMPUTED_VALUE"""),"DHBA")</f>
        <v>DHBA</v>
      </c>
      <c r="AD118" s="42"/>
      <c r="AE118" s="42"/>
      <c r="AF118" s="9"/>
      <c r="AG118" s="9"/>
      <c r="AH118" s="42"/>
      <c r="AI118" s="42"/>
      <c r="AJ118" s="42"/>
      <c r="AK118" s="42"/>
      <c r="AL118" s="42"/>
      <c r="AM118" s="42"/>
      <c r="AN118" s="42"/>
      <c r="AO118" s="63" t="str">
        <f>IFERROR(__xludf.DUMMYFUNCTION("IF(ISBLANK(A118),,IF(ISBLANK(S118), A118&amp;"";"", TEXTJOIN(CHAR(10), TRUE, A118&amp;"";"", ARRAYFORMULA(VLOOKUP(SPLIT(S118, "";"" &amp; CHAR(10)), $A:$AO, 41, FALSE)))))"),"tMZ;
tMZdl;
tMZa1;
tMZsl;
tMZps;
tMZpi;
tMZvl;
tMZml;
tMZil;
tMZmi;
tMZ36;
tMZtf;
tMZph;
tMZmt;
tMZlt;
tMZtp;")</f>
        <v>tMZ;
tMZdl;
tMZa1;
tMZsl;
tMZps;
tMZpi;
tMZvl;
tMZml;
tMZil;
tMZmi;
tMZ36;
tMZtf;
tMZph;
tMZmt;
tMZlt;
tMZtp;</v>
      </c>
      <c r="AP118" s="89"/>
    </row>
    <row r="119">
      <c r="A119" s="151" t="str">
        <f>IFERROR(__xludf.DUMMYFUNCTION("""COMPUTED_VALUE"""),"tMZdl")</f>
        <v>tMZdl</v>
      </c>
      <c r="B119" s="42" t="str">
        <f>IFERROR(__xludf.DUMMYFUNCTION("""COMPUTED_VALUE"""),"DHBA")</f>
        <v>DHBA</v>
      </c>
      <c r="C119" s="42" t="str">
        <f>IFERROR(__xludf.DUMMYFUNCTION("""COMPUTED_VALUE"""),"MZ in dorsolateral temporal cortex")</f>
        <v>MZ in dorsolateral temporal cortex</v>
      </c>
      <c r="D119" s="42">
        <f>IFERROR(__xludf.DUMMYFUNCTION("""COMPUTED_VALUE"""),85.0)</f>
        <v>85</v>
      </c>
      <c r="E119" s="39" t="str">
        <f>IFERROR(__xludf.DUMMYFUNCTION("""COMPUTED_VALUE"""),"MZ in dorsolateral temporal cortex")</f>
        <v>MZ in dorsolateral temporal cortex</v>
      </c>
      <c r="F119" s="9" t="str">
        <f>IFERROR(__xludf.DUMMYFUNCTION("""COMPUTED_VALUE"""),"Br")</f>
        <v>Br</v>
      </c>
      <c r="G119" s="9" t="str">
        <f>IFERROR(__xludf.DUMMYFUNCTION("""COMPUTED_VALUE"""),"F")</f>
        <v>F</v>
      </c>
      <c r="H119" s="9" t="str">
        <f>IFERROR(__xludf.DUMMYFUNCTION("""COMPUTED_VALUE"""),"FGM")</f>
        <v>FGM</v>
      </c>
      <c r="I119" s="9" t="str">
        <f>IFERROR(__xludf.DUMMYFUNCTION("""COMPUTED_VALUE"""),"FTS")</f>
        <v>FTS</v>
      </c>
      <c r="J119" s="9" t="str">
        <f>IFERROR(__xludf.DUMMYFUNCTION("""COMPUTED_VALUE"""),"MZ")</f>
        <v>MZ</v>
      </c>
      <c r="K119" s="9" t="str">
        <f>IFERROR(__xludf.DUMMYFUNCTION("""COMPUTED_VALUE"""),"tMZ")</f>
        <v>tMZ</v>
      </c>
      <c r="L119" s="9" t="str">
        <f>IFERROR(__xludf.DUMMYFUNCTION("""COMPUTED_VALUE"""),"tMZdl")</f>
        <v>tMZdl</v>
      </c>
      <c r="M119" s="9"/>
      <c r="N119" s="9"/>
      <c r="O119" s="9"/>
      <c r="P119" s="9"/>
      <c r="Q119" s="9"/>
      <c r="R119" s="9"/>
      <c r="S119" s="42" t="str">
        <f>IFERROR(__xludf.DUMMYFUNCTION("""COMPUTED_VALUE"""),"tMZa1;
tMZsl;
tMZps;
tMZpi")</f>
        <v>tMZa1;
tMZsl;
tMZps;
tMZpi</v>
      </c>
      <c r="T119" s="42"/>
      <c r="U119" s="42" t="b">
        <f>IFERROR(__xludf.DUMMYFUNCTION("""COMPUTED_VALUE"""),FALSE)</f>
        <v>0</v>
      </c>
      <c r="V119" s="42"/>
      <c r="W119" s="42"/>
      <c r="X119" s="42"/>
      <c r="Y119" s="42"/>
      <c r="Z119" s="42"/>
      <c r="AA119" s="42"/>
      <c r="AB119" s="42" t="str">
        <f>IFERROR(__xludf.DUMMYFUNCTION("""COMPUTED_VALUE"""),"allen institute")</f>
        <v>allen institute</v>
      </c>
      <c r="AC119" s="42" t="str">
        <f>IFERROR(__xludf.DUMMYFUNCTION("""COMPUTED_VALUE"""),"DHBA")</f>
        <v>DHBA</v>
      </c>
      <c r="AD119" s="42"/>
      <c r="AE119" s="42"/>
      <c r="AF119" s="9"/>
      <c r="AG119" s="9"/>
      <c r="AH119" s="42"/>
      <c r="AI119" s="42"/>
      <c r="AJ119" s="42"/>
      <c r="AK119" s="42"/>
      <c r="AL119" s="42"/>
      <c r="AM119" s="42"/>
      <c r="AN119" s="42"/>
      <c r="AO119" s="63" t="str">
        <f>IFERROR(__xludf.DUMMYFUNCTION("IF(ISBLANK(A119),,IF(ISBLANK(S119), A119&amp;"";"", TEXTJOIN(CHAR(10), TRUE, A119&amp;"";"", ARRAYFORMULA(VLOOKUP(SPLIT(S119, "";"" &amp; CHAR(10)), $A:$AO, 41, FALSE)))))"),"tMZdl;
tMZa1;
tMZsl;
tMZps;
tMZpi;")</f>
        <v>tMZdl;
tMZa1;
tMZsl;
tMZps;
tMZpi;</v>
      </c>
      <c r="AP119" s="89"/>
    </row>
    <row r="120">
      <c r="A120" s="151" t="str">
        <f>IFERROR(__xludf.DUMMYFUNCTION("""COMPUTED_VALUE"""),"tMZa1")</f>
        <v>tMZa1</v>
      </c>
      <c r="B120" s="42" t="str">
        <f>IFERROR(__xludf.DUMMYFUNCTION("""COMPUTED_VALUE"""),"DHBA")</f>
        <v>DHBA</v>
      </c>
      <c r="C120" s="42" t="str">
        <f>IFERROR(__xludf.DUMMYFUNCTION("""COMPUTED_VALUE"""),"MZ in primary auditory cortex")</f>
        <v>MZ in primary auditory cortex</v>
      </c>
      <c r="D120" s="42">
        <f>IFERROR(__xludf.DUMMYFUNCTION("""COMPUTED_VALUE"""),86.0)</f>
        <v>86</v>
      </c>
      <c r="E120" s="39" t="str">
        <f>IFERROR(__xludf.DUMMYFUNCTION("""COMPUTED_VALUE"""),"MZ in primary auditory cortex")</f>
        <v>MZ in primary auditory cortex</v>
      </c>
      <c r="F120" s="9" t="str">
        <f>IFERROR(__xludf.DUMMYFUNCTION("""COMPUTED_VALUE"""),"Br")</f>
        <v>Br</v>
      </c>
      <c r="G120" s="9" t="str">
        <f>IFERROR(__xludf.DUMMYFUNCTION("""COMPUTED_VALUE"""),"F")</f>
        <v>F</v>
      </c>
      <c r="H120" s="9" t="str">
        <f>IFERROR(__xludf.DUMMYFUNCTION("""COMPUTED_VALUE"""),"FGM")</f>
        <v>FGM</v>
      </c>
      <c r="I120" s="9" t="str">
        <f>IFERROR(__xludf.DUMMYFUNCTION("""COMPUTED_VALUE"""),"FTS")</f>
        <v>FTS</v>
      </c>
      <c r="J120" s="9" t="str">
        <f>IFERROR(__xludf.DUMMYFUNCTION("""COMPUTED_VALUE"""),"MZ")</f>
        <v>MZ</v>
      </c>
      <c r="K120" s="9" t="str">
        <f>IFERROR(__xludf.DUMMYFUNCTION("""COMPUTED_VALUE"""),"tMZ")</f>
        <v>tMZ</v>
      </c>
      <c r="L120" s="9" t="str">
        <f>IFERROR(__xludf.DUMMYFUNCTION("""COMPUTED_VALUE"""),"tMZdl")</f>
        <v>tMZdl</v>
      </c>
      <c r="M120" s="9" t="str">
        <f>IFERROR(__xludf.DUMMYFUNCTION("""COMPUTED_VALUE"""),"tMZa1")</f>
        <v>tMZa1</v>
      </c>
      <c r="N120" s="9"/>
      <c r="O120" s="9"/>
      <c r="P120" s="9"/>
      <c r="Q120" s="9"/>
      <c r="R120" s="9"/>
      <c r="S120" s="42"/>
      <c r="T120" s="42"/>
      <c r="U120" s="42"/>
      <c r="V120" s="42"/>
      <c r="W120" s="42"/>
      <c r="X120" s="42"/>
      <c r="Y120" s="42"/>
      <c r="Z120" s="42"/>
      <c r="AA120" s="42"/>
      <c r="AB120" s="42" t="str">
        <f>IFERROR(__xludf.DUMMYFUNCTION("""COMPUTED_VALUE"""),"allen institute")</f>
        <v>allen institute</v>
      </c>
      <c r="AC120" s="42" t="str">
        <f>IFERROR(__xludf.DUMMYFUNCTION("""COMPUTED_VALUE"""),"DHBA")</f>
        <v>DHBA</v>
      </c>
      <c r="AD120" s="42"/>
      <c r="AE120" s="42"/>
      <c r="AF120" s="9"/>
      <c r="AG120" s="9"/>
      <c r="AH120" s="42"/>
      <c r="AI120" s="42"/>
      <c r="AJ120" s="42"/>
      <c r="AK120" s="42"/>
      <c r="AL120" s="42"/>
      <c r="AM120" s="42"/>
      <c r="AN120" s="42"/>
      <c r="AO120" s="63" t="str">
        <f>IFERROR(__xludf.DUMMYFUNCTION("IF(ISBLANK(A120),,IF(ISBLANK(S120), A120&amp;"";"", TEXTJOIN(CHAR(10), TRUE, A120&amp;"";"", ARRAYFORMULA(VLOOKUP(SPLIT(S120, "";"" &amp; CHAR(10)), $A:$AO, 41, FALSE)))))"),"tMZa1;")</f>
        <v>tMZa1;</v>
      </c>
      <c r="AP120" s="89"/>
    </row>
    <row r="121">
      <c r="A121" s="151" t="str">
        <f>IFERROR(__xludf.DUMMYFUNCTION("""COMPUTED_VALUE"""),"tMZsl")</f>
        <v>tMZsl</v>
      </c>
      <c r="B121" s="42" t="str">
        <f>IFERROR(__xludf.DUMMYFUNCTION("""COMPUTED_VALUE"""),"DHBA")</f>
        <v>DHBA</v>
      </c>
      <c r="C121" s="42" t="str">
        <f>IFERROR(__xludf.DUMMYFUNCTION("""COMPUTED_VALUE"""),"MZ in superolateral temporal cortex")</f>
        <v>MZ in superolateral temporal cortex</v>
      </c>
      <c r="D121" s="42">
        <f>IFERROR(__xludf.DUMMYFUNCTION("""COMPUTED_VALUE"""),87.0)</f>
        <v>87</v>
      </c>
      <c r="E121" s="39" t="str">
        <f>IFERROR(__xludf.DUMMYFUNCTION("""COMPUTED_VALUE"""),"MZ in superolateral temporal cortex")</f>
        <v>MZ in superolateral temporal cortex</v>
      </c>
      <c r="F121" s="9" t="str">
        <f>IFERROR(__xludf.DUMMYFUNCTION("""COMPUTED_VALUE"""),"Br")</f>
        <v>Br</v>
      </c>
      <c r="G121" s="9" t="str">
        <f>IFERROR(__xludf.DUMMYFUNCTION("""COMPUTED_VALUE"""),"F")</f>
        <v>F</v>
      </c>
      <c r="H121" s="9" t="str">
        <f>IFERROR(__xludf.DUMMYFUNCTION("""COMPUTED_VALUE"""),"FGM")</f>
        <v>FGM</v>
      </c>
      <c r="I121" s="9" t="str">
        <f>IFERROR(__xludf.DUMMYFUNCTION("""COMPUTED_VALUE"""),"FTS")</f>
        <v>FTS</v>
      </c>
      <c r="J121" s="9" t="str">
        <f>IFERROR(__xludf.DUMMYFUNCTION("""COMPUTED_VALUE"""),"MZ")</f>
        <v>MZ</v>
      </c>
      <c r="K121" s="9" t="str">
        <f>IFERROR(__xludf.DUMMYFUNCTION("""COMPUTED_VALUE"""),"tMZ")</f>
        <v>tMZ</v>
      </c>
      <c r="L121" s="9" t="str">
        <f>IFERROR(__xludf.DUMMYFUNCTION("""COMPUTED_VALUE"""),"tMZdl")</f>
        <v>tMZdl</v>
      </c>
      <c r="M121" s="9" t="str">
        <f>IFERROR(__xludf.DUMMYFUNCTION("""COMPUTED_VALUE"""),"tMZsl")</f>
        <v>tMZsl</v>
      </c>
      <c r="N121" s="9"/>
      <c r="O121" s="9"/>
      <c r="P121" s="9"/>
      <c r="Q121" s="9"/>
      <c r="R121" s="9"/>
      <c r="S121" s="42"/>
      <c r="T121" s="42"/>
      <c r="U121" s="42"/>
      <c r="V121" s="42"/>
      <c r="W121" s="42"/>
      <c r="X121" s="42"/>
      <c r="Y121" s="42"/>
      <c r="Z121" s="42"/>
      <c r="AA121" s="42"/>
      <c r="AB121" s="42" t="str">
        <f>IFERROR(__xludf.DUMMYFUNCTION("""COMPUTED_VALUE"""),"allen institute")</f>
        <v>allen institute</v>
      </c>
      <c r="AC121" s="42" t="str">
        <f>IFERROR(__xludf.DUMMYFUNCTION("""COMPUTED_VALUE"""),"DHBA")</f>
        <v>DHBA</v>
      </c>
      <c r="AD121" s="42"/>
      <c r="AE121" s="42"/>
      <c r="AF121" s="9"/>
      <c r="AG121" s="9"/>
      <c r="AH121" s="42"/>
      <c r="AI121" s="42"/>
      <c r="AJ121" s="42"/>
      <c r="AK121" s="42"/>
      <c r="AL121" s="42"/>
      <c r="AM121" s="42"/>
      <c r="AN121" s="42"/>
      <c r="AO121" s="63" t="str">
        <f>IFERROR(__xludf.DUMMYFUNCTION("IF(ISBLANK(A121),,IF(ISBLANK(S121), A121&amp;"";"", TEXTJOIN(CHAR(10), TRUE, A121&amp;"";"", ARRAYFORMULA(VLOOKUP(SPLIT(S121, "";"" &amp; CHAR(10)), $A:$AO, 41, FALSE)))))"),"tMZsl;")</f>
        <v>tMZsl;</v>
      </c>
      <c r="AP121" s="89"/>
    </row>
    <row r="122">
      <c r="A122" s="151" t="str">
        <f>IFERROR(__xludf.DUMMYFUNCTION("""COMPUTED_VALUE"""),"tMZps")</f>
        <v>tMZps</v>
      </c>
      <c r="B122" s="42" t="str">
        <f>IFERROR(__xludf.DUMMYFUNCTION("""COMPUTED_VALUE"""),"DHBA")</f>
        <v>DHBA</v>
      </c>
      <c r="C122" s="42" t="str">
        <f>IFERROR(__xludf.DUMMYFUNCTION("""COMPUTED_VALUE"""),"MZ in polysensory temporal cortex")</f>
        <v>MZ in polysensory temporal cortex</v>
      </c>
      <c r="D122" s="42">
        <f>IFERROR(__xludf.DUMMYFUNCTION("""COMPUTED_VALUE"""),88.0)</f>
        <v>88</v>
      </c>
      <c r="E122" s="39" t="str">
        <f>IFERROR(__xludf.DUMMYFUNCTION("""COMPUTED_VALUE"""),"MZ in polysensory temporal cortex")</f>
        <v>MZ in polysensory temporal cortex</v>
      </c>
      <c r="F122" s="9" t="str">
        <f>IFERROR(__xludf.DUMMYFUNCTION("""COMPUTED_VALUE"""),"Br")</f>
        <v>Br</v>
      </c>
      <c r="G122" s="9" t="str">
        <f>IFERROR(__xludf.DUMMYFUNCTION("""COMPUTED_VALUE"""),"F")</f>
        <v>F</v>
      </c>
      <c r="H122" s="9" t="str">
        <f>IFERROR(__xludf.DUMMYFUNCTION("""COMPUTED_VALUE"""),"FGM")</f>
        <v>FGM</v>
      </c>
      <c r="I122" s="9" t="str">
        <f>IFERROR(__xludf.DUMMYFUNCTION("""COMPUTED_VALUE"""),"FTS")</f>
        <v>FTS</v>
      </c>
      <c r="J122" s="9" t="str">
        <f>IFERROR(__xludf.DUMMYFUNCTION("""COMPUTED_VALUE"""),"MZ")</f>
        <v>MZ</v>
      </c>
      <c r="K122" s="9" t="str">
        <f>IFERROR(__xludf.DUMMYFUNCTION("""COMPUTED_VALUE"""),"tMZ")</f>
        <v>tMZ</v>
      </c>
      <c r="L122" s="9" t="str">
        <f>IFERROR(__xludf.DUMMYFUNCTION("""COMPUTED_VALUE"""),"tMZdl")</f>
        <v>tMZdl</v>
      </c>
      <c r="M122" s="9" t="str">
        <f>IFERROR(__xludf.DUMMYFUNCTION("""COMPUTED_VALUE"""),"tMZps")</f>
        <v>tMZps</v>
      </c>
      <c r="N122" s="9"/>
      <c r="O122" s="9"/>
      <c r="P122" s="9"/>
      <c r="Q122" s="9"/>
      <c r="R122" s="9"/>
      <c r="S122" s="42"/>
      <c r="T122" s="42"/>
      <c r="U122" s="42"/>
      <c r="V122" s="42"/>
      <c r="W122" s="42"/>
      <c r="X122" s="42"/>
      <c r="Y122" s="42"/>
      <c r="Z122" s="42"/>
      <c r="AA122" s="42"/>
      <c r="AB122" s="42" t="str">
        <f>IFERROR(__xludf.DUMMYFUNCTION("""COMPUTED_VALUE"""),"allen institute")</f>
        <v>allen institute</v>
      </c>
      <c r="AC122" s="42" t="str">
        <f>IFERROR(__xludf.DUMMYFUNCTION("""COMPUTED_VALUE"""),"DHBA")</f>
        <v>DHBA</v>
      </c>
      <c r="AD122" s="42"/>
      <c r="AE122" s="42"/>
      <c r="AF122" s="9"/>
      <c r="AG122" s="9"/>
      <c r="AH122" s="42"/>
      <c r="AI122" s="42"/>
      <c r="AJ122" s="42"/>
      <c r="AK122" s="42"/>
      <c r="AL122" s="42"/>
      <c r="AM122" s="42"/>
      <c r="AN122" s="42"/>
      <c r="AO122" s="63" t="str">
        <f>IFERROR(__xludf.DUMMYFUNCTION("IF(ISBLANK(A122),,IF(ISBLANK(S122), A122&amp;"";"", TEXTJOIN(CHAR(10), TRUE, A122&amp;"";"", ARRAYFORMULA(VLOOKUP(SPLIT(S122, "";"" &amp; CHAR(10)), $A:$AO, 41, FALSE)))))"),"tMZps;")</f>
        <v>tMZps;</v>
      </c>
      <c r="AP122" s="89"/>
    </row>
    <row r="123">
      <c r="A123" s="151" t="str">
        <f>IFERROR(__xludf.DUMMYFUNCTION("""COMPUTED_VALUE"""),"tMZpi")</f>
        <v>tMZpi</v>
      </c>
      <c r="B123" s="42" t="str">
        <f>IFERROR(__xludf.DUMMYFUNCTION("""COMPUTED_VALUE"""),"DHBA")</f>
        <v>DHBA</v>
      </c>
      <c r="C123" s="42" t="str">
        <f>IFERROR(__xludf.DUMMYFUNCTION("""COMPUTED_VALUE"""),"MZ in parainsular temporal cortex")</f>
        <v>MZ in parainsular temporal cortex</v>
      </c>
      <c r="D123" s="42">
        <f>IFERROR(__xludf.DUMMYFUNCTION("""COMPUTED_VALUE"""),89.0)</f>
        <v>89</v>
      </c>
      <c r="E123" s="39" t="str">
        <f>IFERROR(__xludf.DUMMYFUNCTION("""COMPUTED_VALUE"""),"MZ in parainsular temporal cortex")</f>
        <v>MZ in parainsular temporal cortex</v>
      </c>
      <c r="F123" s="9" t="str">
        <f>IFERROR(__xludf.DUMMYFUNCTION("""COMPUTED_VALUE"""),"Br")</f>
        <v>Br</v>
      </c>
      <c r="G123" s="9" t="str">
        <f>IFERROR(__xludf.DUMMYFUNCTION("""COMPUTED_VALUE"""),"F")</f>
        <v>F</v>
      </c>
      <c r="H123" s="9" t="str">
        <f>IFERROR(__xludf.DUMMYFUNCTION("""COMPUTED_VALUE"""),"FGM")</f>
        <v>FGM</v>
      </c>
      <c r="I123" s="9" t="str">
        <f>IFERROR(__xludf.DUMMYFUNCTION("""COMPUTED_VALUE"""),"FTS")</f>
        <v>FTS</v>
      </c>
      <c r="J123" s="9" t="str">
        <f>IFERROR(__xludf.DUMMYFUNCTION("""COMPUTED_VALUE"""),"MZ")</f>
        <v>MZ</v>
      </c>
      <c r="K123" s="9" t="str">
        <f>IFERROR(__xludf.DUMMYFUNCTION("""COMPUTED_VALUE"""),"tMZ")</f>
        <v>tMZ</v>
      </c>
      <c r="L123" s="9" t="str">
        <f>IFERROR(__xludf.DUMMYFUNCTION("""COMPUTED_VALUE"""),"tMZdl")</f>
        <v>tMZdl</v>
      </c>
      <c r="M123" s="9" t="str">
        <f>IFERROR(__xludf.DUMMYFUNCTION("""COMPUTED_VALUE"""),"tMZpi")</f>
        <v>tMZpi</v>
      </c>
      <c r="N123" s="9"/>
      <c r="O123" s="9"/>
      <c r="P123" s="9"/>
      <c r="Q123" s="9"/>
      <c r="R123" s="9"/>
      <c r="S123" s="42"/>
      <c r="T123" s="42"/>
      <c r="U123" s="42"/>
      <c r="V123" s="42"/>
      <c r="W123" s="42"/>
      <c r="X123" s="42"/>
      <c r="Y123" s="42"/>
      <c r="Z123" s="42"/>
      <c r="AA123" s="42"/>
      <c r="AB123" s="42" t="str">
        <f>IFERROR(__xludf.DUMMYFUNCTION("""COMPUTED_VALUE"""),"allen institute")</f>
        <v>allen institute</v>
      </c>
      <c r="AC123" s="42" t="str">
        <f>IFERROR(__xludf.DUMMYFUNCTION("""COMPUTED_VALUE"""),"DHBA")</f>
        <v>DHBA</v>
      </c>
      <c r="AD123" s="42"/>
      <c r="AE123" s="42"/>
      <c r="AF123" s="9"/>
      <c r="AG123" s="9"/>
      <c r="AH123" s="42"/>
      <c r="AI123" s="42"/>
      <c r="AJ123" s="42"/>
      <c r="AK123" s="42"/>
      <c r="AL123" s="42"/>
      <c r="AM123" s="42"/>
      <c r="AN123" s="42"/>
      <c r="AO123" s="63" t="str">
        <f>IFERROR(__xludf.DUMMYFUNCTION("IF(ISBLANK(A123),,IF(ISBLANK(S123), A123&amp;"";"", TEXTJOIN(CHAR(10), TRUE, A123&amp;"";"", ARRAYFORMULA(VLOOKUP(SPLIT(S123, "";"" &amp; CHAR(10)), $A:$AO, 41, FALSE)))))"),"tMZpi;")</f>
        <v>tMZpi;</v>
      </c>
      <c r="AP123" s="89"/>
    </row>
    <row r="124">
      <c r="A124" s="151" t="str">
        <f>IFERROR(__xludf.DUMMYFUNCTION("""COMPUTED_VALUE"""),"tMZvl")</f>
        <v>tMZvl</v>
      </c>
      <c r="B124" s="42" t="str">
        <f>IFERROR(__xludf.DUMMYFUNCTION("""COMPUTED_VALUE"""),"DHBA")</f>
        <v>DHBA</v>
      </c>
      <c r="C124" s="42" t="str">
        <f>IFERROR(__xludf.DUMMYFUNCTION("""COMPUTED_VALUE"""),"MZ in ventrolateral temporal cortex")</f>
        <v>MZ in ventrolateral temporal cortex</v>
      </c>
      <c r="D124" s="42">
        <f>IFERROR(__xludf.DUMMYFUNCTION("""COMPUTED_VALUE"""),90.0)</f>
        <v>90</v>
      </c>
      <c r="E124" s="39" t="str">
        <f>IFERROR(__xludf.DUMMYFUNCTION("""COMPUTED_VALUE"""),"MZ in ventrolateral temporal cortex")</f>
        <v>MZ in ventrolateral temporal cortex</v>
      </c>
      <c r="F124" s="9" t="str">
        <f>IFERROR(__xludf.DUMMYFUNCTION("""COMPUTED_VALUE"""),"Br")</f>
        <v>Br</v>
      </c>
      <c r="G124" s="9" t="str">
        <f>IFERROR(__xludf.DUMMYFUNCTION("""COMPUTED_VALUE"""),"F")</f>
        <v>F</v>
      </c>
      <c r="H124" s="9" t="str">
        <f>IFERROR(__xludf.DUMMYFUNCTION("""COMPUTED_VALUE"""),"FGM")</f>
        <v>FGM</v>
      </c>
      <c r="I124" s="9" t="str">
        <f>IFERROR(__xludf.DUMMYFUNCTION("""COMPUTED_VALUE"""),"FTS")</f>
        <v>FTS</v>
      </c>
      <c r="J124" s="9" t="str">
        <f>IFERROR(__xludf.DUMMYFUNCTION("""COMPUTED_VALUE"""),"MZ")</f>
        <v>MZ</v>
      </c>
      <c r="K124" s="9" t="str">
        <f>IFERROR(__xludf.DUMMYFUNCTION("""COMPUTED_VALUE"""),"tMZ")</f>
        <v>tMZ</v>
      </c>
      <c r="L124" s="9" t="str">
        <f>IFERROR(__xludf.DUMMYFUNCTION("""COMPUTED_VALUE"""),"tMZvl")</f>
        <v>tMZvl</v>
      </c>
      <c r="M124" s="9"/>
      <c r="N124" s="9"/>
      <c r="O124" s="9"/>
      <c r="P124" s="9"/>
      <c r="Q124" s="9"/>
      <c r="R124" s="9"/>
      <c r="S124" s="42" t="str">
        <f>IFERROR(__xludf.DUMMYFUNCTION("""COMPUTED_VALUE"""),"tMZml;
tMZil;
tMZmi")</f>
        <v>tMZml;
tMZil;
tMZmi</v>
      </c>
      <c r="T124" s="42"/>
      <c r="U124" s="42" t="b">
        <f>IFERROR(__xludf.DUMMYFUNCTION("""COMPUTED_VALUE"""),FALSE)</f>
        <v>0</v>
      </c>
      <c r="V124" s="42"/>
      <c r="W124" s="42"/>
      <c r="X124" s="42"/>
      <c r="Y124" s="42"/>
      <c r="Z124" s="42"/>
      <c r="AA124" s="42"/>
      <c r="AB124" s="42" t="str">
        <f>IFERROR(__xludf.DUMMYFUNCTION("""COMPUTED_VALUE"""),"allen institute")</f>
        <v>allen institute</v>
      </c>
      <c r="AC124" s="42" t="str">
        <f>IFERROR(__xludf.DUMMYFUNCTION("""COMPUTED_VALUE"""),"DHBA")</f>
        <v>DHBA</v>
      </c>
      <c r="AD124" s="42"/>
      <c r="AE124" s="42"/>
      <c r="AF124" s="9"/>
      <c r="AG124" s="9"/>
      <c r="AH124" s="42"/>
      <c r="AI124" s="42"/>
      <c r="AJ124" s="42"/>
      <c r="AK124" s="42"/>
      <c r="AL124" s="42"/>
      <c r="AM124" s="42"/>
      <c r="AN124" s="42"/>
      <c r="AO124" s="63" t="str">
        <f>IFERROR(__xludf.DUMMYFUNCTION("IF(ISBLANK(A124),,IF(ISBLANK(S124), A124&amp;"";"", TEXTJOIN(CHAR(10), TRUE, A124&amp;"";"", ARRAYFORMULA(VLOOKUP(SPLIT(S124, "";"" &amp; CHAR(10)), $A:$AO, 41, FALSE)))))"),"tMZvl;
tMZml;
tMZil;
tMZmi;
tMZ36;
tMZtf;")</f>
        <v>tMZvl;
tMZml;
tMZil;
tMZmi;
tMZ36;
tMZtf;</v>
      </c>
      <c r="AP124" s="89"/>
    </row>
    <row r="125">
      <c r="A125" s="151" t="str">
        <f>IFERROR(__xludf.DUMMYFUNCTION("""COMPUTED_VALUE"""),"tMZml")</f>
        <v>tMZml</v>
      </c>
      <c r="B125" s="42" t="str">
        <f>IFERROR(__xludf.DUMMYFUNCTION("""COMPUTED_VALUE"""),"DHBA")</f>
        <v>DHBA</v>
      </c>
      <c r="C125" s="42" t="str">
        <f>IFERROR(__xludf.DUMMYFUNCTION("""COMPUTED_VALUE"""),"MZ in midlateral temporal cortex")</f>
        <v>MZ in midlateral temporal cortex</v>
      </c>
      <c r="D125" s="42">
        <f>IFERROR(__xludf.DUMMYFUNCTION("""COMPUTED_VALUE"""),91.0)</f>
        <v>91</v>
      </c>
      <c r="E125" s="39" t="str">
        <f>IFERROR(__xludf.DUMMYFUNCTION("""COMPUTED_VALUE"""),"MZ in midlateral temporal cortex")</f>
        <v>MZ in midlateral temporal cortex</v>
      </c>
      <c r="F125" s="9" t="str">
        <f>IFERROR(__xludf.DUMMYFUNCTION("""COMPUTED_VALUE"""),"Br")</f>
        <v>Br</v>
      </c>
      <c r="G125" s="9" t="str">
        <f>IFERROR(__xludf.DUMMYFUNCTION("""COMPUTED_VALUE"""),"F")</f>
        <v>F</v>
      </c>
      <c r="H125" s="9" t="str">
        <f>IFERROR(__xludf.DUMMYFUNCTION("""COMPUTED_VALUE"""),"FGM")</f>
        <v>FGM</v>
      </c>
      <c r="I125" s="9" t="str">
        <f>IFERROR(__xludf.DUMMYFUNCTION("""COMPUTED_VALUE"""),"FTS")</f>
        <v>FTS</v>
      </c>
      <c r="J125" s="9" t="str">
        <f>IFERROR(__xludf.DUMMYFUNCTION("""COMPUTED_VALUE"""),"MZ")</f>
        <v>MZ</v>
      </c>
      <c r="K125" s="9" t="str">
        <f>IFERROR(__xludf.DUMMYFUNCTION("""COMPUTED_VALUE"""),"tMZ")</f>
        <v>tMZ</v>
      </c>
      <c r="L125" s="9" t="str">
        <f>IFERROR(__xludf.DUMMYFUNCTION("""COMPUTED_VALUE"""),"tMZvl")</f>
        <v>tMZvl</v>
      </c>
      <c r="M125" s="9" t="str">
        <f>IFERROR(__xludf.DUMMYFUNCTION("""COMPUTED_VALUE"""),"tMZml")</f>
        <v>tMZml</v>
      </c>
      <c r="N125" s="9"/>
      <c r="O125" s="9"/>
      <c r="P125" s="9"/>
      <c r="Q125" s="9"/>
      <c r="R125" s="9"/>
      <c r="S125" s="42"/>
      <c r="T125" s="42"/>
      <c r="U125" s="42"/>
      <c r="V125" s="42"/>
      <c r="W125" s="42"/>
      <c r="X125" s="42"/>
      <c r="Y125" s="42"/>
      <c r="Z125" s="42"/>
      <c r="AA125" s="42"/>
      <c r="AB125" s="42" t="str">
        <f>IFERROR(__xludf.DUMMYFUNCTION("""COMPUTED_VALUE"""),"allen institute")</f>
        <v>allen institute</v>
      </c>
      <c r="AC125" s="42" t="str">
        <f>IFERROR(__xludf.DUMMYFUNCTION("""COMPUTED_VALUE"""),"DHBA")</f>
        <v>DHBA</v>
      </c>
      <c r="AD125" s="42"/>
      <c r="AE125" s="42"/>
      <c r="AF125" s="9"/>
      <c r="AG125" s="9"/>
      <c r="AH125" s="42"/>
      <c r="AI125" s="42"/>
      <c r="AJ125" s="42"/>
      <c r="AK125" s="42"/>
      <c r="AL125" s="42"/>
      <c r="AM125" s="42"/>
      <c r="AN125" s="42"/>
      <c r="AO125" s="63" t="str">
        <f>IFERROR(__xludf.DUMMYFUNCTION("IF(ISBLANK(A125),,IF(ISBLANK(S125), A125&amp;"";"", TEXTJOIN(CHAR(10), TRUE, A125&amp;"";"", ARRAYFORMULA(VLOOKUP(SPLIT(S125, "";"" &amp; CHAR(10)), $A:$AO, 41, FALSE)))))"),"tMZml;")</f>
        <v>tMZml;</v>
      </c>
      <c r="AP125" s="89"/>
    </row>
    <row r="126">
      <c r="A126" s="151" t="str">
        <f>IFERROR(__xludf.DUMMYFUNCTION("""COMPUTED_VALUE"""),"tMZil")</f>
        <v>tMZil</v>
      </c>
      <c r="B126" s="42" t="str">
        <f>IFERROR(__xludf.DUMMYFUNCTION("""COMPUTED_VALUE"""),"DHBA")</f>
        <v>DHBA</v>
      </c>
      <c r="C126" s="42" t="str">
        <f>IFERROR(__xludf.DUMMYFUNCTION("""COMPUTED_VALUE"""),"MZ in inferolateral temporal cortex")</f>
        <v>MZ in inferolateral temporal cortex</v>
      </c>
      <c r="D126" s="42">
        <f>IFERROR(__xludf.DUMMYFUNCTION("""COMPUTED_VALUE"""),92.0)</f>
        <v>92</v>
      </c>
      <c r="E126" s="39" t="str">
        <f>IFERROR(__xludf.DUMMYFUNCTION("""COMPUTED_VALUE"""),"MZ in inferolateral temporal cortex")</f>
        <v>MZ in inferolateral temporal cortex</v>
      </c>
      <c r="F126" s="9" t="str">
        <f>IFERROR(__xludf.DUMMYFUNCTION("""COMPUTED_VALUE"""),"Br")</f>
        <v>Br</v>
      </c>
      <c r="G126" s="9" t="str">
        <f>IFERROR(__xludf.DUMMYFUNCTION("""COMPUTED_VALUE"""),"F")</f>
        <v>F</v>
      </c>
      <c r="H126" s="9" t="str">
        <f>IFERROR(__xludf.DUMMYFUNCTION("""COMPUTED_VALUE"""),"FGM")</f>
        <v>FGM</v>
      </c>
      <c r="I126" s="9" t="str">
        <f>IFERROR(__xludf.DUMMYFUNCTION("""COMPUTED_VALUE"""),"FTS")</f>
        <v>FTS</v>
      </c>
      <c r="J126" s="9" t="str">
        <f>IFERROR(__xludf.DUMMYFUNCTION("""COMPUTED_VALUE"""),"MZ")</f>
        <v>MZ</v>
      </c>
      <c r="K126" s="9" t="str">
        <f>IFERROR(__xludf.DUMMYFUNCTION("""COMPUTED_VALUE"""),"tMZ")</f>
        <v>tMZ</v>
      </c>
      <c r="L126" s="9" t="str">
        <f>IFERROR(__xludf.DUMMYFUNCTION("""COMPUTED_VALUE"""),"tMZvl")</f>
        <v>tMZvl</v>
      </c>
      <c r="M126" s="9" t="str">
        <f>IFERROR(__xludf.DUMMYFUNCTION("""COMPUTED_VALUE"""),"tMZil")</f>
        <v>tMZil</v>
      </c>
      <c r="N126" s="9"/>
      <c r="O126" s="9"/>
      <c r="P126" s="9"/>
      <c r="Q126" s="9"/>
      <c r="R126" s="9"/>
      <c r="S126" s="42"/>
      <c r="T126" s="42"/>
      <c r="U126" s="42"/>
      <c r="V126" s="42"/>
      <c r="W126" s="42"/>
      <c r="X126" s="42"/>
      <c r="Y126" s="42"/>
      <c r="Z126" s="42"/>
      <c r="AA126" s="42"/>
      <c r="AB126" s="42" t="str">
        <f>IFERROR(__xludf.DUMMYFUNCTION("""COMPUTED_VALUE"""),"allen institute")</f>
        <v>allen institute</v>
      </c>
      <c r="AC126" s="42" t="str">
        <f>IFERROR(__xludf.DUMMYFUNCTION("""COMPUTED_VALUE"""),"DHBA")</f>
        <v>DHBA</v>
      </c>
      <c r="AD126" s="42"/>
      <c r="AE126" s="42"/>
      <c r="AF126" s="9"/>
      <c r="AG126" s="9"/>
      <c r="AH126" s="42"/>
      <c r="AI126" s="42"/>
      <c r="AJ126" s="42"/>
      <c r="AK126" s="42"/>
      <c r="AL126" s="42"/>
      <c r="AM126" s="42"/>
      <c r="AN126" s="42"/>
      <c r="AO126" s="63" t="str">
        <f>IFERROR(__xludf.DUMMYFUNCTION("IF(ISBLANK(A126),,IF(ISBLANK(S126), A126&amp;"";"", TEXTJOIN(CHAR(10), TRUE, A126&amp;"";"", ARRAYFORMULA(VLOOKUP(SPLIT(S126, "";"" &amp; CHAR(10)), $A:$AO, 41, FALSE)))))"),"tMZil;")</f>
        <v>tMZil;</v>
      </c>
      <c r="AP126" s="89"/>
    </row>
    <row r="127">
      <c r="A127" s="151" t="str">
        <f>IFERROR(__xludf.DUMMYFUNCTION("""COMPUTED_VALUE"""),"tMZmi")</f>
        <v>tMZmi</v>
      </c>
      <c r="B127" s="42" t="str">
        <f>IFERROR(__xludf.DUMMYFUNCTION("""COMPUTED_VALUE"""),"DHBA")</f>
        <v>DHBA</v>
      </c>
      <c r="C127" s="42" t="str">
        <f>IFERROR(__xludf.DUMMYFUNCTION("""COMPUTED_VALUE"""),"MZ in midinferior temporal cortex")</f>
        <v>MZ in midinferior temporal cortex</v>
      </c>
      <c r="D127" s="42">
        <f>IFERROR(__xludf.DUMMYFUNCTION("""COMPUTED_VALUE"""),93.0)</f>
        <v>93</v>
      </c>
      <c r="E127" s="39" t="str">
        <f>IFERROR(__xludf.DUMMYFUNCTION("""COMPUTED_VALUE"""),"MZ in midinferior temporal cortex")</f>
        <v>MZ in midinferior temporal cortex</v>
      </c>
      <c r="F127" s="9" t="str">
        <f>IFERROR(__xludf.DUMMYFUNCTION("""COMPUTED_VALUE"""),"Br")</f>
        <v>Br</v>
      </c>
      <c r="G127" s="9" t="str">
        <f>IFERROR(__xludf.DUMMYFUNCTION("""COMPUTED_VALUE"""),"F")</f>
        <v>F</v>
      </c>
      <c r="H127" s="9" t="str">
        <f>IFERROR(__xludf.DUMMYFUNCTION("""COMPUTED_VALUE"""),"FGM")</f>
        <v>FGM</v>
      </c>
      <c r="I127" s="9" t="str">
        <f>IFERROR(__xludf.DUMMYFUNCTION("""COMPUTED_VALUE"""),"FTS")</f>
        <v>FTS</v>
      </c>
      <c r="J127" s="9" t="str">
        <f>IFERROR(__xludf.DUMMYFUNCTION("""COMPUTED_VALUE"""),"MZ")</f>
        <v>MZ</v>
      </c>
      <c r="K127" s="9" t="str">
        <f>IFERROR(__xludf.DUMMYFUNCTION("""COMPUTED_VALUE"""),"tMZ")</f>
        <v>tMZ</v>
      </c>
      <c r="L127" s="9" t="str">
        <f>IFERROR(__xludf.DUMMYFUNCTION("""COMPUTED_VALUE"""),"tMZvl")</f>
        <v>tMZvl</v>
      </c>
      <c r="M127" s="9" t="str">
        <f>IFERROR(__xludf.DUMMYFUNCTION("""COMPUTED_VALUE"""),"tMZmi")</f>
        <v>tMZmi</v>
      </c>
      <c r="N127" s="9"/>
      <c r="O127" s="9"/>
      <c r="P127" s="9"/>
      <c r="Q127" s="9"/>
      <c r="R127" s="9"/>
      <c r="S127" s="42" t="str">
        <f>IFERROR(__xludf.DUMMYFUNCTION("""COMPUTED_VALUE"""),"tMZ36;
tMZtf")</f>
        <v>tMZ36;
tMZtf</v>
      </c>
      <c r="T127" s="42"/>
      <c r="U127" s="42" t="b">
        <f>IFERROR(__xludf.DUMMYFUNCTION("""COMPUTED_VALUE"""),FALSE)</f>
        <v>0</v>
      </c>
      <c r="V127" s="42"/>
      <c r="W127" s="42"/>
      <c r="X127" s="42"/>
      <c r="Y127" s="42"/>
      <c r="Z127" s="42"/>
      <c r="AA127" s="42"/>
      <c r="AB127" s="42" t="str">
        <f>IFERROR(__xludf.DUMMYFUNCTION("""COMPUTED_VALUE"""),"allen institute")</f>
        <v>allen institute</v>
      </c>
      <c r="AC127" s="42" t="str">
        <f>IFERROR(__xludf.DUMMYFUNCTION("""COMPUTED_VALUE"""),"DHBA")</f>
        <v>DHBA</v>
      </c>
      <c r="AD127" s="42"/>
      <c r="AE127" s="42"/>
      <c r="AF127" s="9"/>
      <c r="AG127" s="9"/>
      <c r="AH127" s="42"/>
      <c r="AI127" s="42"/>
      <c r="AJ127" s="42"/>
      <c r="AK127" s="42"/>
      <c r="AL127" s="42"/>
      <c r="AM127" s="42"/>
      <c r="AN127" s="42"/>
      <c r="AO127" s="63" t="str">
        <f>IFERROR(__xludf.DUMMYFUNCTION("IF(ISBLANK(A127),,IF(ISBLANK(S127), A127&amp;"";"", TEXTJOIN(CHAR(10), TRUE, A127&amp;"";"", ARRAYFORMULA(VLOOKUP(SPLIT(S127, "";"" &amp; CHAR(10)), $A:$AO, 41, FALSE)))))"),"tMZmi;
tMZ36;
tMZtf;")</f>
        <v>tMZmi;
tMZ36;
tMZtf;</v>
      </c>
      <c r="AP127" s="89"/>
    </row>
    <row r="128">
      <c r="A128" s="151" t="str">
        <f>IFERROR(__xludf.DUMMYFUNCTION("""COMPUTED_VALUE"""),"tMZ36")</f>
        <v>tMZ36</v>
      </c>
      <c r="B128" s="42" t="str">
        <f>IFERROR(__xludf.DUMMYFUNCTION("""COMPUTED_VALUE"""),"DHBA")</f>
        <v>DHBA</v>
      </c>
      <c r="C128" s="42" t="str">
        <f>IFERROR(__xludf.DUMMYFUNCTION("""COMPUTED_VALUE"""),"MZ in rostral midinferior temporal cortex (area 36)")</f>
        <v>MZ in rostral midinferior temporal cortex (area 36)</v>
      </c>
      <c r="D128" s="42">
        <f>IFERROR(__xludf.DUMMYFUNCTION("""COMPUTED_VALUE"""),94.0)</f>
        <v>94</v>
      </c>
      <c r="E128" s="39" t="str">
        <f>IFERROR(__xludf.DUMMYFUNCTION("""COMPUTED_VALUE"""),"MZ in rostral midinferior temporal cortex (area 36)")</f>
        <v>MZ in rostral midinferior temporal cortex (area 36)</v>
      </c>
      <c r="F128" s="9" t="str">
        <f>IFERROR(__xludf.DUMMYFUNCTION("""COMPUTED_VALUE"""),"Br")</f>
        <v>Br</v>
      </c>
      <c r="G128" s="9" t="str">
        <f>IFERROR(__xludf.DUMMYFUNCTION("""COMPUTED_VALUE"""),"F")</f>
        <v>F</v>
      </c>
      <c r="H128" s="9" t="str">
        <f>IFERROR(__xludf.DUMMYFUNCTION("""COMPUTED_VALUE"""),"FGM")</f>
        <v>FGM</v>
      </c>
      <c r="I128" s="9" t="str">
        <f>IFERROR(__xludf.DUMMYFUNCTION("""COMPUTED_VALUE"""),"FTS")</f>
        <v>FTS</v>
      </c>
      <c r="J128" s="9" t="str">
        <f>IFERROR(__xludf.DUMMYFUNCTION("""COMPUTED_VALUE"""),"MZ")</f>
        <v>MZ</v>
      </c>
      <c r="K128" s="9" t="str">
        <f>IFERROR(__xludf.DUMMYFUNCTION("""COMPUTED_VALUE"""),"tMZ")</f>
        <v>tMZ</v>
      </c>
      <c r="L128" s="9" t="str">
        <f>IFERROR(__xludf.DUMMYFUNCTION("""COMPUTED_VALUE"""),"tMZvl")</f>
        <v>tMZvl</v>
      </c>
      <c r="M128" s="9" t="str">
        <f>IFERROR(__xludf.DUMMYFUNCTION("""COMPUTED_VALUE"""),"tMZmi")</f>
        <v>tMZmi</v>
      </c>
      <c r="N128" s="9" t="str">
        <f>IFERROR(__xludf.DUMMYFUNCTION("""COMPUTED_VALUE"""),"tMZ36")</f>
        <v>tMZ36</v>
      </c>
      <c r="O128" s="9"/>
      <c r="P128" s="9"/>
      <c r="Q128" s="9"/>
      <c r="R128" s="9"/>
      <c r="S128" s="42"/>
      <c r="T128" s="42"/>
      <c r="U128" s="42"/>
      <c r="V128" s="42"/>
      <c r="W128" s="42"/>
      <c r="X128" s="42"/>
      <c r="Y128" s="42"/>
      <c r="Z128" s="42"/>
      <c r="AA128" s="42"/>
      <c r="AB128" s="42" t="str">
        <f>IFERROR(__xludf.DUMMYFUNCTION("""COMPUTED_VALUE"""),"allen institute")</f>
        <v>allen institute</v>
      </c>
      <c r="AC128" s="42" t="str">
        <f>IFERROR(__xludf.DUMMYFUNCTION("""COMPUTED_VALUE"""),"DHBA")</f>
        <v>DHBA</v>
      </c>
      <c r="AD128" s="42"/>
      <c r="AE128" s="42"/>
      <c r="AF128" s="9"/>
      <c r="AG128" s="9"/>
      <c r="AH128" s="42"/>
      <c r="AI128" s="42"/>
      <c r="AJ128" s="42"/>
      <c r="AK128" s="42"/>
      <c r="AL128" s="42"/>
      <c r="AM128" s="42"/>
      <c r="AN128" s="42"/>
      <c r="AO128" s="63" t="str">
        <f>IFERROR(__xludf.DUMMYFUNCTION("IF(ISBLANK(A128),,IF(ISBLANK(S128), A128&amp;"";"", TEXTJOIN(CHAR(10), TRUE, A128&amp;"";"", ARRAYFORMULA(VLOOKUP(SPLIT(S128, "";"" &amp; CHAR(10)), $A:$AO, 41, FALSE)))))"),"tMZ36;")</f>
        <v>tMZ36;</v>
      </c>
      <c r="AP128" s="89"/>
    </row>
    <row r="129">
      <c r="A129" s="151" t="str">
        <f>IFERROR(__xludf.DUMMYFUNCTION("""COMPUTED_VALUE"""),"tMZtf")</f>
        <v>tMZtf</v>
      </c>
      <c r="B129" s="42" t="str">
        <f>IFERROR(__xludf.DUMMYFUNCTION("""COMPUTED_VALUE"""),"DHBA")</f>
        <v>DHBA</v>
      </c>
      <c r="C129" s="42" t="str">
        <f>IFERROR(__xludf.DUMMYFUNCTION("""COMPUTED_VALUE"""),"MZ in caudal midinferior temporal cortex (area TF)")</f>
        <v>MZ in caudal midinferior temporal cortex (area TF)</v>
      </c>
      <c r="D129" s="42">
        <f>IFERROR(__xludf.DUMMYFUNCTION("""COMPUTED_VALUE"""),95.0)</f>
        <v>95</v>
      </c>
      <c r="E129" s="39" t="str">
        <f>IFERROR(__xludf.DUMMYFUNCTION("""COMPUTED_VALUE"""),"MZ in caudal midinferior temporal cortex (area TF)")</f>
        <v>MZ in caudal midinferior temporal cortex (area TF)</v>
      </c>
      <c r="F129" s="9" t="str">
        <f>IFERROR(__xludf.DUMMYFUNCTION("""COMPUTED_VALUE"""),"Br")</f>
        <v>Br</v>
      </c>
      <c r="G129" s="9" t="str">
        <f>IFERROR(__xludf.DUMMYFUNCTION("""COMPUTED_VALUE"""),"F")</f>
        <v>F</v>
      </c>
      <c r="H129" s="9" t="str">
        <f>IFERROR(__xludf.DUMMYFUNCTION("""COMPUTED_VALUE"""),"FGM")</f>
        <v>FGM</v>
      </c>
      <c r="I129" s="9" t="str">
        <f>IFERROR(__xludf.DUMMYFUNCTION("""COMPUTED_VALUE"""),"FTS")</f>
        <v>FTS</v>
      </c>
      <c r="J129" s="9" t="str">
        <f>IFERROR(__xludf.DUMMYFUNCTION("""COMPUTED_VALUE"""),"MZ")</f>
        <v>MZ</v>
      </c>
      <c r="K129" s="9" t="str">
        <f>IFERROR(__xludf.DUMMYFUNCTION("""COMPUTED_VALUE"""),"tMZ")</f>
        <v>tMZ</v>
      </c>
      <c r="L129" s="9" t="str">
        <f>IFERROR(__xludf.DUMMYFUNCTION("""COMPUTED_VALUE"""),"tMZvl")</f>
        <v>tMZvl</v>
      </c>
      <c r="M129" s="9" t="str">
        <f>IFERROR(__xludf.DUMMYFUNCTION("""COMPUTED_VALUE"""),"tMZmi")</f>
        <v>tMZmi</v>
      </c>
      <c r="N129" s="9" t="str">
        <f>IFERROR(__xludf.DUMMYFUNCTION("""COMPUTED_VALUE"""),"tMZtf")</f>
        <v>tMZtf</v>
      </c>
      <c r="O129" s="9"/>
      <c r="P129" s="9"/>
      <c r="Q129" s="9"/>
      <c r="R129" s="9"/>
      <c r="S129" s="42"/>
      <c r="T129" s="42"/>
      <c r="U129" s="42"/>
      <c r="V129" s="42"/>
      <c r="W129" s="42"/>
      <c r="X129" s="42"/>
      <c r="Y129" s="42"/>
      <c r="Z129" s="42"/>
      <c r="AA129" s="42"/>
      <c r="AB129" s="42" t="str">
        <f>IFERROR(__xludf.DUMMYFUNCTION("""COMPUTED_VALUE"""),"allen institute")</f>
        <v>allen institute</v>
      </c>
      <c r="AC129" s="42" t="str">
        <f>IFERROR(__xludf.DUMMYFUNCTION("""COMPUTED_VALUE"""),"DHBA")</f>
        <v>DHBA</v>
      </c>
      <c r="AD129" s="42"/>
      <c r="AE129" s="42"/>
      <c r="AF129" s="9"/>
      <c r="AG129" s="9"/>
      <c r="AH129" s="42"/>
      <c r="AI129" s="42"/>
      <c r="AJ129" s="42"/>
      <c r="AK129" s="42"/>
      <c r="AL129" s="42"/>
      <c r="AM129" s="42"/>
      <c r="AN129" s="42"/>
      <c r="AO129" s="63" t="str">
        <f>IFERROR(__xludf.DUMMYFUNCTION("IF(ISBLANK(A129),,IF(ISBLANK(S129), A129&amp;"";"", TEXTJOIN(CHAR(10), TRUE, A129&amp;"";"", ARRAYFORMULA(VLOOKUP(SPLIT(S129, "";"" &amp; CHAR(10)), $A:$AO, 41, FALSE)))))"),"tMZtf;")</f>
        <v>tMZtf;</v>
      </c>
      <c r="AP129" s="89"/>
    </row>
    <row r="130">
      <c r="A130" s="151" t="str">
        <f>IFERROR(__xludf.DUMMYFUNCTION("""COMPUTED_VALUE"""),"tMZph")</f>
        <v>tMZph</v>
      </c>
      <c r="B130" s="42" t="str">
        <f>IFERROR(__xludf.DUMMYFUNCTION("""COMPUTED_VALUE"""),"DHBA")</f>
        <v>DHBA</v>
      </c>
      <c r="C130" s="42" t="str">
        <f>IFERROR(__xludf.DUMMYFUNCTION("""COMPUTED_VALUE"""),"MZ in posterior parahippocampal cortex")</f>
        <v>MZ in posterior parahippocampal cortex</v>
      </c>
      <c r="D130" s="42">
        <f>IFERROR(__xludf.DUMMYFUNCTION("""COMPUTED_VALUE"""),96.0)</f>
        <v>96</v>
      </c>
      <c r="E130" s="39" t="str">
        <f>IFERROR(__xludf.DUMMYFUNCTION("""COMPUTED_VALUE"""),"MZ in posterior parahippocampal cortex")</f>
        <v>MZ in posterior parahippocampal cortex</v>
      </c>
      <c r="F130" s="9" t="str">
        <f>IFERROR(__xludf.DUMMYFUNCTION("""COMPUTED_VALUE"""),"Br")</f>
        <v>Br</v>
      </c>
      <c r="G130" s="9" t="str">
        <f>IFERROR(__xludf.DUMMYFUNCTION("""COMPUTED_VALUE"""),"F")</f>
        <v>F</v>
      </c>
      <c r="H130" s="9" t="str">
        <f>IFERROR(__xludf.DUMMYFUNCTION("""COMPUTED_VALUE"""),"FGM")</f>
        <v>FGM</v>
      </c>
      <c r="I130" s="9" t="str">
        <f>IFERROR(__xludf.DUMMYFUNCTION("""COMPUTED_VALUE"""),"FTS")</f>
        <v>FTS</v>
      </c>
      <c r="J130" s="9" t="str">
        <f>IFERROR(__xludf.DUMMYFUNCTION("""COMPUTED_VALUE"""),"MZ")</f>
        <v>MZ</v>
      </c>
      <c r="K130" s="9" t="str">
        <f>IFERROR(__xludf.DUMMYFUNCTION("""COMPUTED_VALUE"""),"tMZ")</f>
        <v>tMZ</v>
      </c>
      <c r="L130" s="9" t="str">
        <f>IFERROR(__xludf.DUMMYFUNCTION("""COMPUTED_VALUE"""),"tMZph")</f>
        <v>tMZph</v>
      </c>
      <c r="M130" s="9"/>
      <c r="N130" s="9"/>
      <c r="O130" s="9"/>
      <c r="P130" s="9"/>
      <c r="Q130" s="9"/>
      <c r="R130" s="9"/>
      <c r="S130" s="42"/>
      <c r="T130" s="42"/>
      <c r="U130" s="42"/>
      <c r="V130" s="42"/>
      <c r="W130" s="42"/>
      <c r="X130" s="42"/>
      <c r="Y130" s="42"/>
      <c r="Z130" s="42"/>
      <c r="AA130" s="42"/>
      <c r="AB130" s="42" t="str">
        <f>IFERROR(__xludf.DUMMYFUNCTION("""COMPUTED_VALUE"""),"allen institute")</f>
        <v>allen institute</v>
      </c>
      <c r="AC130" s="42" t="str">
        <f>IFERROR(__xludf.DUMMYFUNCTION("""COMPUTED_VALUE"""),"DHBA")</f>
        <v>DHBA</v>
      </c>
      <c r="AD130" s="42"/>
      <c r="AE130" s="42"/>
      <c r="AF130" s="9"/>
      <c r="AG130" s="9"/>
      <c r="AH130" s="42"/>
      <c r="AI130" s="42"/>
      <c r="AJ130" s="42"/>
      <c r="AK130" s="42"/>
      <c r="AL130" s="42"/>
      <c r="AM130" s="42"/>
      <c r="AN130" s="42"/>
      <c r="AO130" s="63" t="str">
        <f>IFERROR(__xludf.DUMMYFUNCTION("IF(ISBLANK(A130),,IF(ISBLANK(S130), A130&amp;"";"", TEXTJOIN(CHAR(10), TRUE, A130&amp;"";"", ARRAYFORMULA(VLOOKUP(SPLIT(S130, "";"" &amp; CHAR(10)), $A:$AO, 41, FALSE)))))"),"tMZph;")</f>
        <v>tMZph;</v>
      </c>
      <c r="AP130" s="89"/>
    </row>
    <row r="131">
      <c r="A131" s="151" t="str">
        <f>IFERROR(__xludf.DUMMYFUNCTION("""COMPUTED_VALUE"""),"tMZmt")</f>
        <v>tMZmt</v>
      </c>
      <c r="B131" s="42" t="str">
        <f>IFERROR(__xludf.DUMMYFUNCTION("""COMPUTED_VALUE"""),"DHBA")</f>
        <v>DHBA</v>
      </c>
      <c r="C131" s="42" t="str">
        <f>IFERROR(__xludf.DUMMYFUNCTION("""COMPUTED_VALUE"""),"MZ in medial temporal-occipital cortex")</f>
        <v>MZ in medial temporal-occipital cortex</v>
      </c>
      <c r="D131" s="42">
        <f>IFERROR(__xludf.DUMMYFUNCTION("""COMPUTED_VALUE"""),97.0)</f>
        <v>97</v>
      </c>
      <c r="E131" s="39" t="str">
        <f>IFERROR(__xludf.DUMMYFUNCTION("""COMPUTED_VALUE"""),"MZ in medial temporal-occipital cortex")</f>
        <v>MZ in medial temporal-occipital cortex</v>
      </c>
      <c r="F131" s="9" t="str">
        <f>IFERROR(__xludf.DUMMYFUNCTION("""COMPUTED_VALUE"""),"Br")</f>
        <v>Br</v>
      </c>
      <c r="G131" s="9" t="str">
        <f>IFERROR(__xludf.DUMMYFUNCTION("""COMPUTED_VALUE"""),"F")</f>
        <v>F</v>
      </c>
      <c r="H131" s="9" t="str">
        <f>IFERROR(__xludf.DUMMYFUNCTION("""COMPUTED_VALUE"""),"FGM")</f>
        <v>FGM</v>
      </c>
      <c r="I131" s="9" t="str">
        <f>IFERROR(__xludf.DUMMYFUNCTION("""COMPUTED_VALUE"""),"FTS")</f>
        <v>FTS</v>
      </c>
      <c r="J131" s="9" t="str">
        <f>IFERROR(__xludf.DUMMYFUNCTION("""COMPUTED_VALUE"""),"MZ")</f>
        <v>MZ</v>
      </c>
      <c r="K131" s="9" t="str">
        <f>IFERROR(__xludf.DUMMYFUNCTION("""COMPUTED_VALUE"""),"tMZ")</f>
        <v>tMZ</v>
      </c>
      <c r="L131" s="9" t="str">
        <f>IFERROR(__xludf.DUMMYFUNCTION("""COMPUTED_VALUE"""),"tMZmt")</f>
        <v>tMZmt</v>
      </c>
      <c r="M131" s="9"/>
      <c r="N131" s="9"/>
      <c r="O131" s="9"/>
      <c r="P131" s="9"/>
      <c r="Q131" s="9"/>
      <c r="R131" s="9"/>
      <c r="S131" s="42"/>
      <c r="T131" s="42"/>
      <c r="U131" s="42"/>
      <c r="V131" s="42"/>
      <c r="W131" s="42"/>
      <c r="X131" s="42"/>
      <c r="Y131" s="42"/>
      <c r="Z131" s="42"/>
      <c r="AA131" s="42"/>
      <c r="AB131" s="42" t="str">
        <f>IFERROR(__xludf.DUMMYFUNCTION("""COMPUTED_VALUE"""),"allen institute")</f>
        <v>allen institute</v>
      </c>
      <c r="AC131" s="42" t="str">
        <f>IFERROR(__xludf.DUMMYFUNCTION("""COMPUTED_VALUE"""),"DHBA")</f>
        <v>DHBA</v>
      </c>
      <c r="AD131" s="42"/>
      <c r="AE131" s="42"/>
      <c r="AF131" s="9"/>
      <c r="AG131" s="9"/>
      <c r="AH131" s="42"/>
      <c r="AI131" s="42"/>
      <c r="AJ131" s="42"/>
      <c r="AK131" s="42"/>
      <c r="AL131" s="42"/>
      <c r="AM131" s="42"/>
      <c r="AN131" s="42"/>
      <c r="AO131" s="63" t="str">
        <f>IFERROR(__xludf.DUMMYFUNCTION("IF(ISBLANK(A131),,IF(ISBLANK(S131), A131&amp;"";"", TEXTJOIN(CHAR(10), TRUE, A131&amp;"";"", ARRAYFORMULA(VLOOKUP(SPLIT(S131, "";"" &amp; CHAR(10)), $A:$AO, 41, FALSE)))))"),"tMZmt;")</f>
        <v>tMZmt;</v>
      </c>
      <c r="AP131" s="89"/>
    </row>
    <row r="132">
      <c r="A132" s="151" t="str">
        <f>IFERROR(__xludf.DUMMYFUNCTION("""COMPUTED_VALUE"""),"tMZlt")</f>
        <v>tMZlt</v>
      </c>
      <c r="B132" s="42" t="str">
        <f>IFERROR(__xludf.DUMMYFUNCTION("""COMPUTED_VALUE"""),"DHBA")</f>
        <v>DHBA</v>
      </c>
      <c r="C132" s="42" t="str">
        <f>IFERROR(__xludf.DUMMYFUNCTION("""COMPUTED_VALUE"""),"MZ in lateral temporal-occipital cortex")</f>
        <v>MZ in lateral temporal-occipital cortex</v>
      </c>
      <c r="D132" s="42">
        <f>IFERROR(__xludf.DUMMYFUNCTION("""COMPUTED_VALUE"""),98.0)</f>
        <v>98</v>
      </c>
      <c r="E132" s="39" t="str">
        <f>IFERROR(__xludf.DUMMYFUNCTION("""COMPUTED_VALUE"""),"MZ in lateral temporal-occipital cortex")</f>
        <v>MZ in lateral temporal-occipital cortex</v>
      </c>
      <c r="F132" s="9" t="str">
        <f>IFERROR(__xludf.DUMMYFUNCTION("""COMPUTED_VALUE"""),"Br")</f>
        <v>Br</v>
      </c>
      <c r="G132" s="9" t="str">
        <f>IFERROR(__xludf.DUMMYFUNCTION("""COMPUTED_VALUE"""),"F")</f>
        <v>F</v>
      </c>
      <c r="H132" s="9" t="str">
        <f>IFERROR(__xludf.DUMMYFUNCTION("""COMPUTED_VALUE"""),"FGM")</f>
        <v>FGM</v>
      </c>
      <c r="I132" s="9" t="str">
        <f>IFERROR(__xludf.DUMMYFUNCTION("""COMPUTED_VALUE"""),"FTS")</f>
        <v>FTS</v>
      </c>
      <c r="J132" s="9" t="str">
        <f>IFERROR(__xludf.DUMMYFUNCTION("""COMPUTED_VALUE"""),"MZ")</f>
        <v>MZ</v>
      </c>
      <c r="K132" s="9" t="str">
        <f>IFERROR(__xludf.DUMMYFUNCTION("""COMPUTED_VALUE"""),"tMZ")</f>
        <v>tMZ</v>
      </c>
      <c r="L132" s="9" t="str">
        <f>IFERROR(__xludf.DUMMYFUNCTION("""COMPUTED_VALUE"""),"tMZlt")</f>
        <v>tMZlt</v>
      </c>
      <c r="M132" s="9"/>
      <c r="N132" s="9"/>
      <c r="O132" s="9"/>
      <c r="P132" s="9"/>
      <c r="Q132" s="9"/>
      <c r="R132" s="9"/>
      <c r="S132" s="42"/>
      <c r="T132" s="42"/>
      <c r="U132" s="42"/>
      <c r="V132" s="42"/>
      <c r="W132" s="42"/>
      <c r="X132" s="42"/>
      <c r="Y132" s="42"/>
      <c r="Z132" s="42"/>
      <c r="AA132" s="42"/>
      <c r="AB132" s="42" t="str">
        <f>IFERROR(__xludf.DUMMYFUNCTION("""COMPUTED_VALUE"""),"allen institute")</f>
        <v>allen institute</v>
      </c>
      <c r="AC132" s="42" t="str">
        <f>IFERROR(__xludf.DUMMYFUNCTION("""COMPUTED_VALUE"""),"DHBA")</f>
        <v>DHBA</v>
      </c>
      <c r="AD132" s="42"/>
      <c r="AE132" s="42"/>
      <c r="AF132" s="9"/>
      <c r="AG132" s="9"/>
      <c r="AH132" s="42"/>
      <c r="AI132" s="42"/>
      <c r="AJ132" s="42"/>
      <c r="AK132" s="42"/>
      <c r="AL132" s="42"/>
      <c r="AM132" s="42"/>
      <c r="AN132" s="42"/>
      <c r="AO132" s="63" t="str">
        <f>IFERROR(__xludf.DUMMYFUNCTION("IF(ISBLANK(A132),,IF(ISBLANK(S132), A132&amp;"";"", TEXTJOIN(CHAR(10), TRUE, A132&amp;"";"", ARRAYFORMULA(VLOOKUP(SPLIT(S132, "";"" &amp; CHAR(10)), $A:$AO, 41, FALSE)))))"),"tMZlt;")</f>
        <v>tMZlt;</v>
      </c>
      <c r="AP132" s="89"/>
    </row>
    <row r="133">
      <c r="A133" s="151" t="str">
        <f>IFERROR(__xludf.DUMMYFUNCTION("""COMPUTED_VALUE"""),"tMZtp")</f>
        <v>tMZtp</v>
      </c>
      <c r="B133" s="42" t="str">
        <f>IFERROR(__xludf.DUMMYFUNCTION("""COMPUTED_VALUE"""),"DHBA")</f>
        <v>DHBA</v>
      </c>
      <c r="C133" s="42" t="str">
        <f>IFERROR(__xludf.DUMMYFUNCTION("""COMPUTED_VALUE"""),"MZ in temporal polar cortex")</f>
        <v>MZ in temporal polar cortex</v>
      </c>
      <c r="D133" s="42">
        <f>IFERROR(__xludf.DUMMYFUNCTION("""COMPUTED_VALUE"""),99.0)</f>
        <v>99</v>
      </c>
      <c r="E133" s="39" t="str">
        <f>IFERROR(__xludf.DUMMYFUNCTION("""COMPUTED_VALUE"""),"MZ in temporal polar cortex")</f>
        <v>MZ in temporal polar cortex</v>
      </c>
      <c r="F133" s="9" t="str">
        <f>IFERROR(__xludf.DUMMYFUNCTION("""COMPUTED_VALUE"""),"Br")</f>
        <v>Br</v>
      </c>
      <c r="G133" s="9" t="str">
        <f>IFERROR(__xludf.DUMMYFUNCTION("""COMPUTED_VALUE"""),"F")</f>
        <v>F</v>
      </c>
      <c r="H133" s="9" t="str">
        <f>IFERROR(__xludf.DUMMYFUNCTION("""COMPUTED_VALUE"""),"FGM")</f>
        <v>FGM</v>
      </c>
      <c r="I133" s="9" t="str">
        <f>IFERROR(__xludf.DUMMYFUNCTION("""COMPUTED_VALUE"""),"FTS")</f>
        <v>FTS</v>
      </c>
      <c r="J133" s="9" t="str">
        <f>IFERROR(__xludf.DUMMYFUNCTION("""COMPUTED_VALUE"""),"MZ")</f>
        <v>MZ</v>
      </c>
      <c r="K133" s="9" t="str">
        <f>IFERROR(__xludf.DUMMYFUNCTION("""COMPUTED_VALUE"""),"tMZ")</f>
        <v>tMZ</v>
      </c>
      <c r="L133" s="9" t="str">
        <f>IFERROR(__xludf.DUMMYFUNCTION("""COMPUTED_VALUE"""),"tMZtp")</f>
        <v>tMZtp</v>
      </c>
      <c r="M133" s="9"/>
      <c r="N133" s="9"/>
      <c r="O133" s="9"/>
      <c r="P133" s="9"/>
      <c r="Q133" s="9"/>
      <c r="R133" s="9"/>
      <c r="S133" s="42"/>
      <c r="T133" s="42"/>
      <c r="U133" s="42"/>
      <c r="V133" s="42"/>
      <c r="W133" s="42"/>
      <c r="X133" s="42"/>
      <c r="Y133" s="42"/>
      <c r="Z133" s="42"/>
      <c r="AA133" s="42"/>
      <c r="AB133" s="42" t="str">
        <f>IFERROR(__xludf.DUMMYFUNCTION("""COMPUTED_VALUE"""),"allen institute")</f>
        <v>allen institute</v>
      </c>
      <c r="AC133" s="42" t="str">
        <f>IFERROR(__xludf.DUMMYFUNCTION("""COMPUTED_VALUE"""),"DHBA")</f>
        <v>DHBA</v>
      </c>
      <c r="AD133" s="42"/>
      <c r="AE133" s="42"/>
      <c r="AF133" s="9"/>
      <c r="AG133" s="9"/>
      <c r="AH133" s="42"/>
      <c r="AI133" s="42"/>
      <c r="AJ133" s="42"/>
      <c r="AK133" s="42"/>
      <c r="AL133" s="42"/>
      <c r="AM133" s="42"/>
      <c r="AN133" s="42"/>
      <c r="AO133" s="63" t="str">
        <f>IFERROR(__xludf.DUMMYFUNCTION("IF(ISBLANK(A133),,IF(ISBLANK(S133), A133&amp;"";"", TEXTJOIN(CHAR(10), TRUE, A133&amp;"";"", ARRAYFORMULA(VLOOKUP(SPLIT(S133, "";"" &amp; CHAR(10)), $A:$AO, 41, FALSE)))))"),"tMZtp;")</f>
        <v>tMZtp;</v>
      </c>
      <c r="AP133" s="89"/>
    </row>
    <row r="134">
      <c r="A134" s="151" t="str">
        <f>IFERROR(__xludf.DUMMYFUNCTION("""COMPUTED_VALUE"""),"oMZ")</f>
        <v>oMZ</v>
      </c>
      <c r="B134" s="42" t="str">
        <f>IFERROR(__xludf.DUMMYFUNCTION("""COMPUTED_VALUE"""),"DHBA")</f>
        <v>DHBA</v>
      </c>
      <c r="C134" s="42" t="str">
        <f>IFERROR(__xludf.DUMMYFUNCTION("""COMPUTED_VALUE"""),"MZ in occipital neocortex")</f>
        <v>MZ in occipital neocortex</v>
      </c>
      <c r="D134" s="42">
        <f>IFERROR(__xludf.DUMMYFUNCTION("""COMPUTED_VALUE"""),100.0)</f>
        <v>100</v>
      </c>
      <c r="E134" s="39" t="str">
        <f>IFERROR(__xludf.DUMMYFUNCTION("""COMPUTED_VALUE"""),"MZ in occipital neocortex")</f>
        <v>MZ in occipital neocortex</v>
      </c>
      <c r="F134" s="9" t="str">
        <f>IFERROR(__xludf.DUMMYFUNCTION("""COMPUTED_VALUE"""),"Br")</f>
        <v>Br</v>
      </c>
      <c r="G134" s="9" t="str">
        <f>IFERROR(__xludf.DUMMYFUNCTION("""COMPUTED_VALUE"""),"F")</f>
        <v>F</v>
      </c>
      <c r="H134" s="9" t="str">
        <f>IFERROR(__xludf.DUMMYFUNCTION("""COMPUTED_VALUE"""),"FGM")</f>
        <v>FGM</v>
      </c>
      <c r="I134" s="9" t="str">
        <f>IFERROR(__xludf.DUMMYFUNCTION("""COMPUTED_VALUE"""),"FTS")</f>
        <v>FTS</v>
      </c>
      <c r="J134" s="9" t="str">
        <f>IFERROR(__xludf.DUMMYFUNCTION("""COMPUTED_VALUE"""),"MZ")</f>
        <v>MZ</v>
      </c>
      <c r="K134" s="9" t="str">
        <f>IFERROR(__xludf.DUMMYFUNCTION("""COMPUTED_VALUE"""),"oMZ")</f>
        <v>oMZ</v>
      </c>
      <c r="L134" s="9"/>
      <c r="M134" s="9"/>
      <c r="N134" s="9"/>
      <c r="O134" s="9"/>
      <c r="P134" s="9"/>
      <c r="Q134" s="9"/>
      <c r="R134" s="9"/>
      <c r="S134" s="42" t="str">
        <f>IFERROR(__xludf.DUMMYFUNCTION("""COMPUTED_VALUE"""),"oMZpro;
oMZv1;
oMZexs")</f>
        <v>oMZpro;
oMZv1;
oMZexs</v>
      </c>
      <c r="T134" s="42"/>
      <c r="U134" s="42" t="b">
        <f>IFERROR(__xludf.DUMMYFUNCTION("""COMPUTED_VALUE"""),FALSE)</f>
        <v>0</v>
      </c>
      <c r="V134" s="42"/>
      <c r="W134" s="42"/>
      <c r="X134" s="42"/>
      <c r="Y134" s="42"/>
      <c r="Z134" s="42"/>
      <c r="AA134" s="42"/>
      <c r="AB134" s="42" t="str">
        <f>IFERROR(__xludf.DUMMYFUNCTION("""COMPUTED_VALUE"""),"allen institute")</f>
        <v>allen institute</v>
      </c>
      <c r="AC134" s="42" t="str">
        <f>IFERROR(__xludf.DUMMYFUNCTION("""COMPUTED_VALUE"""),"DHBA")</f>
        <v>DHBA</v>
      </c>
      <c r="AD134" s="42"/>
      <c r="AE134" s="42"/>
      <c r="AF134" s="9"/>
      <c r="AG134" s="9"/>
      <c r="AH134" s="42"/>
      <c r="AI134" s="42"/>
      <c r="AJ134" s="42"/>
      <c r="AK134" s="42"/>
      <c r="AL134" s="42"/>
      <c r="AM134" s="42"/>
      <c r="AN134" s="42"/>
      <c r="AO134" s="63" t="str">
        <f>IFERROR(__xludf.DUMMYFUNCTION("IF(ISBLANK(A134),,IF(ISBLANK(S134), A134&amp;"";"", TEXTJOIN(CHAR(10), TRUE, A134&amp;"";"", ARRAYFORMULA(VLOOKUP(SPLIT(S134, "";"" &amp; CHAR(10)), $A:$AO, 41, FALSE)))))"),"oMZ;
oMZpro;
oMZv1;
oMZexs;
oMZdm;
oMZvm;
oMZml;")</f>
        <v>oMZ;
oMZpro;
oMZv1;
oMZexs;
oMZdm;
oMZvm;
oMZml;</v>
      </c>
      <c r="AP134" s="89"/>
    </row>
    <row r="135">
      <c r="A135" s="151" t="str">
        <f>IFERROR(__xludf.DUMMYFUNCTION("""COMPUTED_VALUE"""),"oMZpro")</f>
        <v>oMZpro</v>
      </c>
      <c r="B135" s="42" t="str">
        <f>IFERROR(__xludf.DUMMYFUNCTION("""COMPUTED_VALUE"""),"DHBA")</f>
        <v>DHBA</v>
      </c>
      <c r="C135" s="42" t="str">
        <f>IFERROR(__xludf.DUMMYFUNCTION("""COMPUTED_VALUE"""),"MZ in area prostriata")</f>
        <v>MZ in area prostriata</v>
      </c>
      <c r="D135" s="42">
        <f>IFERROR(__xludf.DUMMYFUNCTION("""COMPUTED_VALUE"""),101.0)</f>
        <v>101</v>
      </c>
      <c r="E135" s="39" t="str">
        <f>IFERROR(__xludf.DUMMYFUNCTION("""COMPUTED_VALUE"""),"MZ in area prostriata")</f>
        <v>MZ in area prostriata</v>
      </c>
      <c r="F135" s="9" t="str">
        <f>IFERROR(__xludf.DUMMYFUNCTION("""COMPUTED_VALUE"""),"Br")</f>
        <v>Br</v>
      </c>
      <c r="G135" s="9" t="str">
        <f>IFERROR(__xludf.DUMMYFUNCTION("""COMPUTED_VALUE"""),"F")</f>
        <v>F</v>
      </c>
      <c r="H135" s="9" t="str">
        <f>IFERROR(__xludf.DUMMYFUNCTION("""COMPUTED_VALUE"""),"FGM")</f>
        <v>FGM</v>
      </c>
      <c r="I135" s="9" t="str">
        <f>IFERROR(__xludf.DUMMYFUNCTION("""COMPUTED_VALUE"""),"FTS")</f>
        <v>FTS</v>
      </c>
      <c r="J135" s="9" t="str">
        <f>IFERROR(__xludf.DUMMYFUNCTION("""COMPUTED_VALUE"""),"MZ")</f>
        <v>MZ</v>
      </c>
      <c r="K135" s="9" t="str">
        <f>IFERROR(__xludf.DUMMYFUNCTION("""COMPUTED_VALUE"""),"oMZ")</f>
        <v>oMZ</v>
      </c>
      <c r="L135" s="9" t="str">
        <f>IFERROR(__xludf.DUMMYFUNCTION("""COMPUTED_VALUE"""),"oMZpro")</f>
        <v>oMZpro</v>
      </c>
      <c r="M135" s="9"/>
      <c r="N135" s="9"/>
      <c r="O135" s="9"/>
      <c r="P135" s="9"/>
      <c r="Q135" s="9"/>
      <c r="R135" s="9"/>
      <c r="S135" s="42"/>
      <c r="T135" s="42"/>
      <c r="U135" s="42"/>
      <c r="V135" s="42"/>
      <c r="W135" s="42"/>
      <c r="X135" s="42"/>
      <c r="Y135" s="42"/>
      <c r="Z135" s="42"/>
      <c r="AA135" s="42"/>
      <c r="AB135" s="42" t="str">
        <f>IFERROR(__xludf.DUMMYFUNCTION("""COMPUTED_VALUE"""),"allen institute")</f>
        <v>allen institute</v>
      </c>
      <c r="AC135" s="42" t="str">
        <f>IFERROR(__xludf.DUMMYFUNCTION("""COMPUTED_VALUE"""),"DHBA")</f>
        <v>DHBA</v>
      </c>
      <c r="AD135" s="42"/>
      <c r="AE135" s="42"/>
      <c r="AF135" s="9"/>
      <c r="AG135" s="9"/>
      <c r="AH135" s="42"/>
      <c r="AI135" s="42"/>
      <c r="AJ135" s="42"/>
      <c r="AK135" s="42"/>
      <c r="AL135" s="42"/>
      <c r="AM135" s="42"/>
      <c r="AN135" s="42"/>
      <c r="AO135" s="63" t="str">
        <f>IFERROR(__xludf.DUMMYFUNCTION("IF(ISBLANK(A135),,IF(ISBLANK(S135), A135&amp;"";"", TEXTJOIN(CHAR(10), TRUE, A135&amp;"";"", ARRAYFORMULA(VLOOKUP(SPLIT(S135, "";"" &amp; CHAR(10)), $A:$AO, 41, FALSE)))))"),"oMZpro;")</f>
        <v>oMZpro;</v>
      </c>
      <c r="AP135" s="89"/>
    </row>
    <row r="136">
      <c r="A136" s="151" t="str">
        <f>IFERROR(__xludf.DUMMYFUNCTION("""COMPUTED_VALUE"""),"oMZv1")</f>
        <v>oMZv1</v>
      </c>
      <c r="B136" s="42" t="str">
        <f>IFERROR(__xludf.DUMMYFUNCTION("""COMPUTED_VALUE"""),"DHBA")</f>
        <v>DHBA</v>
      </c>
      <c r="C136" s="42" t="str">
        <f>IFERROR(__xludf.DUMMYFUNCTION("""COMPUTED_VALUE"""),"MZ in primary visual cortex")</f>
        <v>MZ in primary visual cortex</v>
      </c>
      <c r="D136" s="42">
        <f>IFERROR(__xludf.DUMMYFUNCTION("""COMPUTED_VALUE"""),102.0)</f>
        <v>102</v>
      </c>
      <c r="E136" s="39" t="str">
        <f>IFERROR(__xludf.DUMMYFUNCTION("""COMPUTED_VALUE"""),"MZ in primary visual cortex")</f>
        <v>MZ in primary visual cortex</v>
      </c>
      <c r="F136" s="9" t="str">
        <f>IFERROR(__xludf.DUMMYFUNCTION("""COMPUTED_VALUE"""),"Br")</f>
        <v>Br</v>
      </c>
      <c r="G136" s="9" t="str">
        <f>IFERROR(__xludf.DUMMYFUNCTION("""COMPUTED_VALUE"""),"F")</f>
        <v>F</v>
      </c>
      <c r="H136" s="9" t="str">
        <f>IFERROR(__xludf.DUMMYFUNCTION("""COMPUTED_VALUE"""),"FGM")</f>
        <v>FGM</v>
      </c>
      <c r="I136" s="9" t="str">
        <f>IFERROR(__xludf.DUMMYFUNCTION("""COMPUTED_VALUE"""),"FTS")</f>
        <v>FTS</v>
      </c>
      <c r="J136" s="9" t="str">
        <f>IFERROR(__xludf.DUMMYFUNCTION("""COMPUTED_VALUE"""),"MZ")</f>
        <v>MZ</v>
      </c>
      <c r="K136" s="9" t="str">
        <f>IFERROR(__xludf.DUMMYFUNCTION("""COMPUTED_VALUE"""),"oMZ")</f>
        <v>oMZ</v>
      </c>
      <c r="L136" s="9" t="str">
        <f>IFERROR(__xludf.DUMMYFUNCTION("""COMPUTED_VALUE"""),"oMZv1")</f>
        <v>oMZv1</v>
      </c>
      <c r="M136" s="9"/>
      <c r="N136" s="9"/>
      <c r="O136" s="9"/>
      <c r="P136" s="9"/>
      <c r="Q136" s="9"/>
      <c r="R136" s="9"/>
      <c r="S136" s="42"/>
      <c r="T136" s="42"/>
      <c r="U136" s="42"/>
      <c r="V136" s="42"/>
      <c r="W136" s="42"/>
      <c r="X136" s="42"/>
      <c r="Y136" s="42"/>
      <c r="Z136" s="42"/>
      <c r="AA136" s="42"/>
      <c r="AB136" s="42" t="str">
        <f>IFERROR(__xludf.DUMMYFUNCTION("""COMPUTED_VALUE"""),"allen institute")</f>
        <v>allen institute</v>
      </c>
      <c r="AC136" s="42" t="str">
        <f>IFERROR(__xludf.DUMMYFUNCTION("""COMPUTED_VALUE"""),"DHBA")</f>
        <v>DHBA</v>
      </c>
      <c r="AD136" s="42"/>
      <c r="AE136" s="42"/>
      <c r="AF136" s="9"/>
      <c r="AG136" s="9"/>
      <c r="AH136" s="42"/>
      <c r="AI136" s="42"/>
      <c r="AJ136" s="42"/>
      <c r="AK136" s="42"/>
      <c r="AL136" s="42"/>
      <c r="AM136" s="42"/>
      <c r="AN136" s="42"/>
      <c r="AO136" s="63" t="str">
        <f>IFERROR(__xludf.DUMMYFUNCTION("IF(ISBLANK(A136),,IF(ISBLANK(S136), A136&amp;"";"", TEXTJOIN(CHAR(10), TRUE, A136&amp;"";"", ARRAYFORMULA(VLOOKUP(SPLIT(S136, "";"" &amp; CHAR(10)), $A:$AO, 41, FALSE)))))"),"oMZv1;")</f>
        <v>oMZv1;</v>
      </c>
      <c r="AP136" s="89"/>
    </row>
    <row r="137">
      <c r="A137" s="151" t="str">
        <f>IFERROR(__xludf.DUMMYFUNCTION("""COMPUTED_VALUE"""),"oMZexs")</f>
        <v>oMZexs</v>
      </c>
      <c r="B137" s="42" t="str">
        <f>IFERROR(__xludf.DUMMYFUNCTION("""COMPUTED_VALUE"""),"DHBA")</f>
        <v>DHBA</v>
      </c>
      <c r="C137" s="42" t="str">
        <f>IFERROR(__xludf.DUMMYFUNCTION("""COMPUTED_VALUE"""),"MZ in extrastriate cortex")</f>
        <v>MZ in extrastriate cortex</v>
      </c>
      <c r="D137" s="42">
        <f>IFERROR(__xludf.DUMMYFUNCTION("""COMPUTED_VALUE"""),103.0)</f>
        <v>103</v>
      </c>
      <c r="E137" s="39" t="str">
        <f>IFERROR(__xludf.DUMMYFUNCTION("""COMPUTED_VALUE"""),"MZ in extrastriate cortex")</f>
        <v>MZ in extrastriate cortex</v>
      </c>
      <c r="F137" s="9" t="str">
        <f>IFERROR(__xludf.DUMMYFUNCTION("""COMPUTED_VALUE"""),"Br")</f>
        <v>Br</v>
      </c>
      <c r="G137" s="9" t="str">
        <f>IFERROR(__xludf.DUMMYFUNCTION("""COMPUTED_VALUE"""),"F")</f>
        <v>F</v>
      </c>
      <c r="H137" s="9" t="str">
        <f>IFERROR(__xludf.DUMMYFUNCTION("""COMPUTED_VALUE"""),"FGM")</f>
        <v>FGM</v>
      </c>
      <c r="I137" s="9" t="str">
        <f>IFERROR(__xludf.DUMMYFUNCTION("""COMPUTED_VALUE"""),"FTS")</f>
        <v>FTS</v>
      </c>
      <c r="J137" s="9" t="str">
        <f>IFERROR(__xludf.DUMMYFUNCTION("""COMPUTED_VALUE"""),"MZ")</f>
        <v>MZ</v>
      </c>
      <c r="K137" s="9" t="str">
        <f>IFERROR(__xludf.DUMMYFUNCTION("""COMPUTED_VALUE"""),"oMZ")</f>
        <v>oMZ</v>
      </c>
      <c r="L137" s="9" t="str">
        <f>IFERROR(__xludf.DUMMYFUNCTION("""COMPUTED_VALUE"""),"oMZexs")</f>
        <v>oMZexs</v>
      </c>
      <c r="M137" s="9"/>
      <c r="N137" s="9"/>
      <c r="O137" s="9"/>
      <c r="P137" s="9"/>
      <c r="Q137" s="9"/>
      <c r="R137" s="9"/>
      <c r="S137" s="42" t="str">
        <f>IFERROR(__xludf.DUMMYFUNCTION("""COMPUTED_VALUE"""),"oMZdm;
oMZvm;
oMZml")</f>
        <v>oMZdm;
oMZvm;
oMZml</v>
      </c>
      <c r="T137" s="42"/>
      <c r="U137" s="42" t="b">
        <f>IFERROR(__xludf.DUMMYFUNCTION("""COMPUTED_VALUE"""),FALSE)</f>
        <v>0</v>
      </c>
      <c r="V137" s="42"/>
      <c r="W137" s="42"/>
      <c r="X137" s="42"/>
      <c r="Y137" s="42"/>
      <c r="Z137" s="42"/>
      <c r="AA137" s="42"/>
      <c r="AB137" s="42" t="str">
        <f>IFERROR(__xludf.DUMMYFUNCTION("""COMPUTED_VALUE"""),"allen institute")</f>
        <v>allen institute</v>
      </c>
      <c r="AC137" s="42" t="str">
        <f>IFERROR(__xludf.DUMMYFUNCTION("""COMPUTED_VALUE"""),"DHBA")</f>
        <v>DHBA</v>
      </c>
      <c r="AD137" s="42"/>
      <c r="AE137" s="42"/>
      <c r="AF137" s="9"/>
      <c r="AG137" s="9"/>
      <c r="AH137" s="42"/>
      <c r="AI137" s="42"/>
      <c r="AJ137" s="42"/>
      <c r="AK137" s="42"/>
      <c r="AL137" s="42"/>
      <c r="AM137" s="42"/>
      <c r="AN137" s="42"/>
      <c r="AO137" s="63" t="str">
        <f>IFERROR(__xludf.DUMMYFUNCTION("IF(ISBLANK(A137),,IF(ISBLANK(S137), A137&amp;"";"", TEXTJOIN(CHAR(10), TRUE, A137&amp;"";"", ARRAYFORMULA(VLOOKUP(SPLIT(S137, "";"" &amp; CHAR(10)), $A:$AO, 41, FALSE)))))"),"oMZexs;
oMZdm;
oMZvm;
oMZml;")</f>
        <v>oMZexs;
oMZdm;
oMZvm;
oMZml;</v>
      </c>
      <c r="AP137" s="89"/>
    </row>
    <row r="138">
      <c r="A138" s="151" t="str">
        <f>IFERROR(__xludf.DUMMYFUNCTION("""COMPUTED_VALUE"""),"oMZdm")</f>
        <v>oMZdm</v>
      </c>
      <c r="B138" s="42" t="str">
        <f>IFERROR(__xludf.DUMMYFUNCTION("""COMPUTED_VALUE"""),"DHBA")</f>
        <v>DHBA</v>
      </c>
      <c r="C138" s="42" t="str">
        <f>IFERROR(__xludf.DUMMYFUNCTION("""COMPUTED_VALUE"""),"MZ in dorsomedial extrastriate cortex (V2)")</f>
        <v>MZ in dorsomedial extrastriate cortex (V2)</v>
      </c>
      <c r="D138" s="42">
        <f>IFERROR(__xludf.DUMMYFUNCTION("""COMPUTED_VALUE"""),104.0)</f>
        <v>104</v>
      </c>
      <c r="E138" s="39" t="str">
        <f>IFERROR(__xludf.DUMMYFUNCTION("""COMPUTED_VALUE"""),"MZ in dorsomedial extrastriate cortex (V2)")</f>
        <v>MZ in dorsomedial extrastriate cortex (V2)</v>
      </c>
      <c r="F138" s="9" t="str">
        <f>IFERROR(__xludf.DUMMYFUNCTION("""COMPUTED_VALUE"""),"Br")</f>
        <v>Br</v>
      </c>
      <c r="G138" s="9" t="str">
        <f>IFERROR(__xludf.DUMMYFUNCTION("""COMPUTED_VALUE"""),"F")</f>
        <v>F</v>
      </c>
      <c r="H138" s="9" t="str">
        <f>IFERROR(__xludf.DUMMYFUNCTION("""COMPUTED_VALUE"""),"FGM")</f>
        <v>FGM</v>
      </c>
      <c r="I138" s="9" t="str">
        <f>IFERROR(__xludf.DUMMYFUNCTION("""COMPUTED_VALUE"""),"FTS")</f>
        <v>FTS</v>
      </c>
      <c r="J138" s="9" t="str">
        <f>IFERROR(__xludf.DUMMYFUNCTION("""COMPUTED_VALUE"""),"MZ")</f>
        <v>MZ</v>
      </c>
      <c r="K138" s="9" t="str">
        <f>IFERROR(__xludf.DUMMYFUNCTION("""COMPUTED_VALUE"""),"oMZ")</f>
        <v>oMZ</v>
      </c>
      <c r="L138" s="9" t="str">
        <f>IFERROR(__xludf.DUMMYFUNCTION("""COMPUTED_VALUE"""),"oMZexs")</f>
        <v>oMZexs</v>
      </c>
      <c r="M138" s="9" t="str">
        <f>IFERROR(__xludf.DUMMYFUNCTION("""COMPUTED_VALUE"""),"oMZdm")</f>
        <v>oMZdm</v>
      </c>
      <c r="N138" s="9"/>
      <c r="O138" s="9"/>
      <c r="P138" s="9"/>
      <c r="Q138" s="9"/>
      <c r="R138" s="9"/>
      <c r="S138" s="42"/>
      <c r="T138" s="42"/>
      <c r="U138" s="42"/>
      <c r="V138" s="42"/>
      <c r="W138" s="42"/>
      <c r="X138" s="42"/>
      <c r="Y138" s="42"/>
      <c r="Z138" s="42"/>
      <c r="AA138" s="42"/>
      <c r="AB138" s="42" t="str">
        <f>IFERROR(__xludf.DUMMYFUNCTION("""COMPUTED_VALUE"""),"allen institute")</f>
        <v>allen institute</v>
      </c>
      <c r="AC138" s="42" t="str">
        <f>IFERROR(__xludf.DUMMYFUNCTION("""COMPUTED_VALUE"""),"DHBA")</f>
        <v>DHBA</v>
      </c>
      <c r="AD138" s="42"/>
      <c r="AE138" s="42"/>
      <c r="AF138" s="9"/>
      <c r="AG138" s="9"/>
      <c r="AH138" s="42"/>
      <c r="AI138" s="42"/>
      <c r="AJ138" s="42"/>
      <c r="AK138" s="42"/>
      <c r="AL138" s="42"/>
      <c r="AM138" s="42"/>
      <c r="AN138" s="42"/>
      <c r="AO138" s="63" t="str">
        <f>IFERROR(__xludf.DUMMYFUNCTION("IF(ISBLANK(A138),,IF(ISBLANK(S138), A138&amp;"";"", TEXTJOIN(CHAR(10), TRUE, A138&amp;"";"", ARRAYFORMULA(VLOOKUP(SPLIT(S138, "";"" &amp; CHAR(10)), $A:$AO, 41, FALSE)))))"),"oMZdm;")</f>
        <v>oMZdm;</v>
      </c>
      <c r="AP138" s="89"/>
    </row>
    <row r="139">
      <c r="A139" s="151" t="str">
        <f>IFERROR(__xludf.DUMMYFUNCTION("""COMPUTED_VALUE"""),"oMZvm")</f>
        <v>oMZvm</v>
      </c>
      <c r="B139" s="42" t="str">
        <f>IFERROR(__xludf.DUMMYFUNCTION("""COMPUTED_VALUE"""),"DHBA")</f>
        <v>DHBA</v>
      </c>
      <c r="C139" s="42" t="str">
        <f>IFERROR(__xludf.DUMMYFUNCTION("""COMPUTED_VALUE"""),"MZ in ventromedial extrastriate cortex (VP)")</f>
        <v>MZ in ventromedial extrastriate cortex (VP)</v>
      </c>
      <c r="D139" s="42">
        <f>IFERROR(__xludf.DUMMYFUNCTION("""COMPUTED_VALUE"""),105.0)</f>
        <v>105</v>
      </c>
      <c r="E139" s="39" t="str">
        <f>IFERROR(__xludf.DUMMYFUNCTION("""COMPUTED_VALUE"""),"MZ in ventromedial extrastriate cortex (VP)")</f>
        <v>MZ in ventromedial extrastriate cortex (VP)</v>
      </c>
      <c r="F139" s="9" t="str">
        <f>IFERROR(__xludf.DUMMYFUNCTION("""COMPUTED_VALUE"""),"Br")</f>
        <v>Br</v>
      </c>
      <c r="G139" s="9" t="str">
        <f>IFERROR(__xludf.DUMMYFUNCTION("""COMPUTED_VALUE"""),"F")</f>
        <v>F</v>
      </c>
      <c r="H139" s="9" t="str">
        <f>IFERROR(__xludf.DUMMYFUNCTION("""COMPUTED_VALUE"""),"FGM")</f>
        <v>FGM</v>
      </c>
      <c r="I139" s="9" t="str">
        <f>IFERROR(__xludf.DUMMYFUNCTION("""COMPUTED_VALUE"""),"FTS")</f>
        <v>FTS</v>
      </c>
      <c r="J139" s="9" t="str">
        <f>IFERROR(__xludf.DUMMYFUNCTION("""COMPUTED_VALUE"""),"MZ")</f>
        <v>MZ</v>
      </c>
      <c r="K139" s="9" t="str">
        <f>IFERROR(__xludf.DUMMYFUNCTION("""COMPUTED_VALUE"""),"oMZ")</f>
        <v>oMZ</v>
      </c>
      <c r="L139" s="9" t="str">
        <f>IFERROR(__xludf.DUMMYFUNCTION("""COMPUTED_VALUE"""),"oMZexs")</f>
        <v>oMZexs</v>
      </c>
      <c r="M139" s="9" t="str">
        <f>IFERROR(__xludf.DUMMYFUNCTION("""COMPUTED_VALUE"""),"oMZvm")</f>
        <v>oMZvm</v>
      </c>
      <c r="N139" s="9"/>
      <c r="O139" s="9"/>
      <c r="P139" s="9"/>
      <c r="Q139" s="9"/>
      <c r="R139" s="9"/>
      <c r="S139" s="42"/>
      <c r="T139" s="42"/>
      <c r="U139" s="42"/>
      <c r="V139" s="42"/>
      <c r="W139" s="42"/>
      <c r="X139" s="42"/>
      <c r="Y139" s="42"/>
      <c r="Z139" s="42"/>
      <c r="AA139" s="42"/>
      <c r="AB139" s="42" t="str">
        <f>IFERROR(__xludf.DUMMYFUNCTION("""COMPUTED_VALUE"""),"allen institute")</f>
        <v>allen institute</v>
      </c>
      <c r="AC139" s="42" t="str">
        <f>IFERROR(__xludf.DUMMYFUNCTION("""COMPUTED_VALUE"""),"DHBA")</f>
        <v>DHBA</v>
      </c>
      <c r="AD139" s="42"/>
      <c r="AE139" s="42"/>
      <c r="AF139" s="9"/>
      <c r="AG139" s="9"/>
      <c r="AH139" s="42"/>
      <c r="AI139" s="42"/>
      <c r="AJ139" s="42"/>
      <c r="AK139" s="42"/>
      <c r="AL139" s="42"/>
      <c r="AM139" s="42"/>
      <c r="AN139" s="42"/>
      <c r="AO139" s="63" t="str">
        <f>IFERROR(__xludf.DUMMYFUNCTION("IF(ISBLANK(A139),,IF(ISBLANK(S139), A139&amp;"";"", TEXTJOIN(CHAR(10), TRUE, A139&amp;"";"", ARRAYFORMULA(VLOOKUP(SPLIT(S139, "";"" &amp; CHAR(10)), $A:$AO, 41, FALSE)))))"),"oMZvm;")</f>
        <v>oMZvm;</v>
      </c>
      <c r="AP139" s="89"/>
    </row>
    <row r="140">
      <c r="A140" s="151" t="str">
        <f>IFERROR(__xludf.DUMMYFUNCTION("""COMPUTED_VALUE"""),"oMZml")</f>
        <v>oMZml</v>
      </c>
      <c r="B140" s="42" t="str">
        <f>IFERROR(__xludf.DUMMYFUNCTION("""COMPUTED_VALUE"""),"DHBA")</f>
        <v>DHBA</v>
      </c>
      <c r="C140" s="42" t="str">
        <f>IFERROR(__xludf.DUMMYFUNCTION("""COMPUTED_VALUE"""),"MZ in midlateral extrastriate cortex (area 19)")</f>
        <v>MZ in midlateral extrastriate cortex (area 19)</v>
      </c>
      <c r="D140" s="42">
        <f>IFERROR(__xludf.DUMMYFUNCTION("""COMPUTED_VALUE"""),106.0)</f>
        <v>106</v>
      </c>
      <c r="E140" s="39" t="str">
        <f>IFERROR(__xludf.DUMMYFUNCTION("""COMPUTED_VALUE"""),"MZ in midlateral extrastriate cortex (area 19)")</f>
        <v>MZ in midlateral extrastriate cortex (area 19)</v>
      </c>
      <c r="F140" s="9" t="str">
        <f>IFERROR(__xludf.DUMMYFUNCTION("""COMPUTED_VALUE"""),"Br")</f>
        <v>Br</v>
      </c>
      <c r="G140" s="9" t="str">
        <f>IFERROR(__xludf.DUMMYFUNCTION("""COMPUTED_VALUE"""),"F")</f>
        <v>F</v>
      </c>
      <c r="H140" s="9" t="str">
        <f>IFERROR(__xludf.DUMMYFUNCTION("""COMPUTED_VALUE"""),"FGM")</f>
        <v>FGM</v>
      </c>
      <c r="I140" s="9" t="str">
        <f>IFERROR(__xludf.DUMMYFUNCTION("""COMPUTED_VALUE"""),"FTS")</f>
        <v>FTS</v>
      </c>
      <c r="J140" s="9" t="str">
        <f>IFERROR(__xludf.DUMMYFUNCTION("""COMPUTED_VALUE"""),"MZ")</f>
        <v>MZ</v>
      </c>
      <c r="K140" s="9" t="str">
        <f>IFERROR(__xludf.DUMMYFUNCTION("""COMPUTED_VALUE"""),"oMZ")</f>
        <v>oMZ</v>
      </c>
      <c r="L140" s="9" t="str">
        <f>IFERROR(__xludf.DUMMYFUNCTION("""COMPUTED_VALUE"""),"oMZexs")</f>
        <v>oMZexs</v>
      </c>
      <c r="M140" s="9" t="str">
        <f>IFERROR(__xludf.DUMMYFUNCTION("""COMPUTED_VALUE"""),"oMZml")</f>
        <v>oMZml</v>
      </c>
      <c r="N140" s="9"/>
      <c r="O140" s="9"/>
      <c r="P140" s="9"/>
      <c r="Q140" s="9"/>
      <c r="R140" s="9"/>
      <c r="S140" s="42"/>
      <c r="T140" s="42"/>
      <c r="U140" s="42"/>
      <c r="V140" s="42"/>
      <c r="W140" s="42"/>
      <c r="X140" s="42"/>
      <c r="Y140" s="42"/>
      <c r="Z140" s="42"/>
      <c r="AA140" s="42"/>
      <c r="AB140" s="42" t="str">
        <f>IFERROR(__xludf.DUMMYFUNCTION("""COMPUTED_VALUE"""),"allen institute")</f>
        <v>allen institute</v>
      </c>
      <c r="AC140" s="42" t="str">
        <f>IFERROR(__xludf.DUMMYFUNCTION("""COMPUTED_VALUE"""),"DHBA")</f>
        <v>DHBA</v>
      </c>
      <c r="AD140" s="42"/>
      <c r="AE140" s="42"/>
      <c r="AF140" s="9"/>
      <c r="AG140" s="9"/>
      <c r="AH140" s="42"/>
      <c r="AI140" s="42"/>
      <c r="AJ140" s="42"/>
      <c r="AK140" s="42"/>
      <c r="AL140" s="42"/>
      <c r="AM140" s="42"/>
      <c r="AN140" s="42"/>
      <c r="AO140" s="63" t="str">
        <f>IFERROR(__xludf.DUMMYFUNCTION("IF(ISBLANK(A140),,IF(ISBLANK(S140), A140&amp;"";"", TEXTJOIN(CHAR(10), TRUE, A140&amp;"";"", ARRAYFORMULA(VLOOKUP(SPLIT(S140, "";"" &amp; CHAR(10)), $A:$AO, 41, FALSE)))))"),"oMZml;")</f>
        <v>oMZml;</v>
      </c>
      <c r="AP140" s="89"/>
    </row>
    <row r="141">
      <c r="A141" s="151" t="str">
        <f>IFERROR(__xludf.DUMMYFUNCTION("""COMPUTED_VALUE"""),"iMZ")</f>
        <v>iMZ</v>
      </c>
      <c r="B141" s="42" t="str">
        <f>IFERROR(__xludf.DUMMYFUNCTION("""COMPUTED_VALUE"""),"DHBA")</f>
        <v>DHBA</v>
      </c>
      <c r="C141" s="42" t="str">
        <f>IFERROR(__xludf.DUMMYFUNCTION("""COMPUTED_VALUE"""),"MZ in insular neocortex")</f>
        <v>MZ in insular neocortex</v>
      </c>
      <c r="D141" s="42">
        <f>IFERROR(__xludf.DUMMYFUNCTION("""COMPUTED_VALUE"""),107.0)</f>
        <v>107</v>
      </c>
      <c r="E141" s="39" t="str">
        <f>IFERROR(__xludf.DUMMYFUNCTION("""COMPUTED_VALUE"""),"MZ in insular neocortex")</f>
        <v>MZ in insular neocortex</v>
      </c>
      <c r="F141" s="9" t="str">
        <f>IFERROR(__xludf.DUMMYFUNCTION("""COMPUTED_VALUE"""),"Br")</f>
        <v>Br</v>
      </c>
      <c r="G141" s="9" t="str">
        <f>IFERROR(__xludf.DUMMYFUNCTION("""COMPUTED_VALUE"""),"F")</f>
        <v>F</v>
      </c>
      <c r="H141" s="9" t="str">
        <f>IFERROR(__xludf.DUMMYFUNCTION("""COMPUTED_VALUE"""),"FGM")</f>
        <v>FGM</v>
      </c>
      <c r="I141" s="9" t="str">
        <f>IFERROR(__xludf.DUMMYFUNCTION("""COMPUTED_VALUE"""),"FTS")</f>
        <v>FTS</v>
      </c>
      <c r="J141" s="9" t="str">
        <f>IFERROR(__xludf.DUMMYFUNCTION("""COMPUTED_VALUE"""),"MZ")</f>
        <v>MZ</v>
      </c>
      <c r="K141" s="9" t="str">
        <f>IFERROR(__xludf.DUMMYFUNCTION("""COMPUTED_VALUE"""),"iMZ")</f>
        <v>iMZ</v>
      </c>
      <c r="L141" s="9"/>
      <c r="M141" s="9"/>
      <c r="N141" s="9"/>
      <c r="O141" s="9"/>
      <c r="P141" s="9"/>
      <c r="Q141" s="9"/>
      <c r="R141" s="9"/>
      <c r="S141" s="42" t="str">
        <f>IFERROR(__xludf.DUMMYFUNCTION("""COMPUTED_VALUE"""),"iMZdg;
iMZgr")</f>
        <v>iMZdg;
iMZgr</v>
      </c>
      <c r="T141" s="42"/>
      <c r="U141" s="42" t="b">
        <f>IFERROR(__xludf.DUMMYFUNCTION("""COMPUTED_VALUE"""),FALSE)</f>
        <v>0</v>
      </c>
      <c r="V141" s="42"/>
      <c r="W141" s="42"/>
      <c r="X141" s="42"/>
      <c r="Y141" s="42"/>
      <c r="Z141" s="42"/>
      <c r="AA141" s="42"/>
      <c r="AB141" s="42" t="str">
        <f>IFERROR(__xludf.DUMMYFUNCTION("""COMPUTED_VALUE"""),"allen institute")</f>
        <v>allen institute</v>
      </c>
      <c r="AC141" s="42" t="str">
        <f>IFERROR(__xludf.DUMMYFUNCTION("""COMPUTED_VALUE"""),"DHBA")</f>
        <v>DHBA</v>
      </c>
      <c r="AD141" s="42"/>
      <c r="AE141" s="42"/>
      <c r="AF141" s="9"/>
      <c r="AG141" s="9"/>
      <c r="AH141" s="42"/>
      <c r="AI141" s="42"/>
      <c r="AJ141" s="42"/>
      <c r="AK141" s="42"/>
      <c r="AL141" s="42"/>
      <c r="AM141" s="42"/>
      <c r="AN141" s="42"/>
      <c r="AO141" s="63" t="str">
        <f>IFERROR(__xludf.DUMMYFUNCTION("IF(ISBLANK(A141),,IF(ISBLANK(S141), A141&amp;"";"", TEXTJOIN(CHAR(10), TRUE, A141&amp;"";"", ARRAYFORMULA(VLOOKUP(SPLIT(S141, "";"" &amp; CHAR(10)), $A:$AO, 41, FALSE)))))"),"iMZ;
iMZdg;
iMZgr;")</f>
        <v>iMZ;
iMZdg;
iMZgr;</v>
      </c>
      <c r="AP141" s="89"/>
    </row>
    <row r="142">
      <c r="A142" s="151" t="str">
        <f>IFERROR(__xludf.DUMMYFUNCTION("""COMPUTED_VALUE"""),"iMZdg")</f>
        <v>iMZdg</v>
      </c>
      <c r="B142" s="42" t="str">
        <f>IFERROR(__xludf.DUMMYFUNCTION("""COMPUTED_VALUE"""),"DHBA")</f>
        <v>DHBA</v>
      </c>
      <c r="C142" s="42" t="str">
        <f>IFERROR(__xludf.DUMMYFUNCTION("""COMPUTED_VALUE"""),"MZ in dysgranular insular cortex")</f>
        <v>MZ in dysgranular insular cortex</v>
      </c>
      <c r="D142" s="42">
        <f>IFERROR(__xludf.DUMMYFUNCTION("""COMPUTED_VALUE"""),108.0)</f>
        <v>108</v>
      </c>
      <c r="E142" s="39" t="str">
        <f>IFERROR(__xludf.DUMMYFUNCTION("""COMPUTED_VALUE"""),"MZ in dysgranular insular cortex")</f>
        <v>MZ in dysgranular insular cortex</v>
      </c>
      <c r="F142" s="9" t="str">
        <f>IFERROR(__xludf.DUMMYFUNCTION("""COMPUTED_VALUE"""),"Br")</f>
        <v>Br</v>
      </c>
      <c r="G142" s="9" t="str">
        <f>IFERROR(__xludf.DUMMYFUNCTION("""COMPUTED_VALUE"""),"F")</f>
        <v>F</v>
      </c>
      <c r="H142" s="9" t="str">
        <f>IFERROR(__xludf.DUMMYFUNCTION("""COMPUTED_VALUE"""),"FGM")</f>
        <v>FGM</v>
      </c>
      <c r="I142" s="9" t="str">
        <f>IFERROR(__xludf.DUMMYFUNCTION("""COMPUTED_VALUE"""),"FTS")</f>
        <v>FTS</v>
      </c>
      <c r="J142" s="9" t="str">
        <f>IFERROR(__xludf.DUMMYFUNCTION("""COMPUTED_VALUE"""),"MZ")</f>
        <v>MZ</v>
      </c>
      <c r="K142" s="9" t="str">
        <f>IFERROR(__xludf.DUMMYFUNCTION("""COMPUTED_VALUE"""),"iMZ")</f>
        <v>iMZ</v>
      </c>
      <c r="L142" s="9" t="str">
        <f>IFERROR(__xludf.DUMMYFUNCTION("""COMPUTED_VALUE"""),"iMZdg")</f>
        <v>iMZdg</v>
      </c>
      <c r="M142" s="9"/>
      <c r="N142" s="9"/>
      <c r="O142" s="9"/>
      <c r="P142" s="9"/>
      <c r="Q142" s="9"/>
      <c r="R142" s="9"/>
      <c r="S142" s="42"/>
      <c r="T142" s="42"/>
      <c r="U142" s="42"/>
      <c r="V142" s="42"/>
      <c r="W142" s="42"/>
      <c r="X142" s="42"/>
      <c r="Y142" s="42"/>
      <c r="Z142" s="42"/>
      <c r="AA142" s="42"/>
      <c r="AB142" s="42" t="str">
        <f>IFERROR(__xludf.DUMMYFUNCTION("""COMPUTED_VALUE"""),"allen institute")</f>
        <v>allen institute</v>
      </c>
      <c r="AC142" s="42" t="str">
        <f>IFERROR(__xludf.DUMMYFUNCTION("""COMPUTED_VALUE"""),"DHBA")</f>
        <v>DHBA</v>
      </c>
      <c r="AD142" s="42"/>
      <c r="AE142" s="42"/>
      <c r="AF142" s="9"/>
      <c r="AG142" s="9"/>
      <c r="AH142" s="42"/>
      <c r="AI142" s="42"/>
      <c r="AJ142" s="42"/>
      <c r="AK142" s="42"/>
      <c r="AL142" s="42"/>
      <c r="AM142" s="42"/>
      <c r="AN142" s="42"/>
      <c r="AO142" s="63" t="str">
        <f>IFERROR(__xludf.DUMMYFUNCTION("IF(ISBLANK(A142),,IF(ISBLANK(S142), A142&amp;"";"", TEXTJOIN(CHAR(10), TRUE, A142&amp;"";"", ARRAYFORMULA(VLOOKUP(SPLIT(S142, "";"" &amp; CHAR(10)), $A:$AO, 41, FALSE)))))"),"iMZdg;")</f>
        <v>iMZdg;</v>
      </c>
      <c r="AP142" s="89"/>
    </row>
    <row r="143">
      <c r="A143" s="151" t="str">
        <f>IFERROR(__xludf.DUMMYFUNCTION("""COMPUTED_VALUE"""),"iMZgr")</f>
        <v>iMZgr</v>
      </c>
      <c r="B143" s="42" t="str">
        <f>IFERROR(__xludf.DUMMYFUNCTION("""COMPUTED_VALUE"""),"DHBA")</f>
        <v>DHBA</v>
      </c>
      <c r="C143" s="42" t="str">
        <f>IFERROR(__xludf.DUMMYFUNCTION("""COMPUTED_VALUE"""),"MZ in granular insular cortex")</f>
        <v>MZ in granular insular cortex</v>
      </c>
      <c r="D143" s="42">
        <f>IFERROR(__xludf.DUMMYFUNCTION("""COMPUTED_VALUE"""),109.0)</f>
        <v>109</v>
      </c>
      <c r="E143" s="39" t="str">
        <f>IFERROR(__xludf.DUMMYFUNCTION("""COMPUTED_VALUE"""),"MZ in granular insular cortex")</f>
        <v>MZ in granular insular cortex</v>
      </c>
      <c r="F143" s="9" t="str">
        <f>IFERROR(__xludf.DUMMYFUNCTION("""COMPUTED_VALUE"""),"Br")</f>
        <v>Br</v>
      </c>
      <c r="G143" s="9" t="str">
        <f>IFERROR(__xludf.DUMMYFUNCTION("""COMPUTED_VALUE"""),"F")</f>
        <v>F</v>
      </c>
      <c r="H143" s="9" t="str">
        <f>IFERROR(__xludf.DUMMYFUNCTION("""COMPUTED_VALUE"""),"FGM")</f>
        <v>FGM</v>
      </c>
      <c r="I143" s="9" t="str">
        <f>IFERROR(__xludf.DUMMYFUNCTION("""COMPUTED_VALUE"""),"FTS")</f>
        <v>FTS</v>
      </c>
      <c r="J143" s="9" t="str">
        <f>IFERROR(__xludf.DUMMYFUNCTION("""COMPUTED_VALUE"""),"MZ")</f>
        <v>MZ</v>
      </c>
      <c r="K143" s="9" t="str">
        <f>IFERROR(__xludf.DUMMYFUNCTION("""COMPUTED_VALUE"""),"iMZ")</f>
        <v>iMZ</v>
      </c>
      <c r="L143" s="9" t="str">
        <f>IFERROR(__xludf.DUMMYFUNCTION("""COMPUTED_VALUE"""),"iMZgr")</f>
        <v>iMZgr</v>
      </c>
      <c r="M143" s="9"/>
      <c r="N143" s="9"/>
      <c r="O143" s="9"/>
      <c r="P143" s="9"/>
      <c r="Q143" s="9"/>
      <c r="R143" s="9"/>
      <c r="S143" s="42"/>
      <c r="T143" s="42"/>
      <c r="U143" s="42"/>
      <c r="V143" s="42"/>
      <c r="W143" s="42"/>
      <c r="X143" s="42"/>
      <c r="Y143" s="42"/>
      <c r="Z143" s="42"/>
      <c r="AA143" s="42"/>
      <c r="AB143" s="42" t="str">
        <f>IFERROR(__xludf.DUMMYFUNCTION("""COMPUTED_VALUE"""),"allen institute")</f>
        <v>allen institute</v>
      </c>
      <c r="AC143" s="42" t="str">
        <f>IFERROR(__xludf.DUMMYFUNCTION("""COMPUTED_VALUE"""),"DHBA")</f>
        <v>DHBA</v>
      </c>
      <c r="AD143" s="42"/>
      <c r="AE143" s="42"/>
      <c r="AF143" s="9"/>
      <c r="AG143" s="9"/>
      <c r="AH143" s="42"/>
      <c r="AI143" s="42"/>
      <c r="AJ143" s="42"/>
      <c r="AK143" s="42"/>
      <c r="AL143" s="42"/>
      <c r="AM143" s="42"/>
      <c r="AN143" s="42"/>
      <c r="AO143" s="63" t="str">
        <f>IFERROR(__xludf.DUMMYFUNCTION("IF(ISBLANK(A143),,IF(ISBLANK(S143), A143&amp;"";"", TEXTJOIN(CHAR(10), TRUE, A143&amp;"";"", ARRAYFORMULA(VLOOKUP(SPLIT(S143, "";"" &amp; CHAR(10)), $A:$AO, 41, FALSE)))))"),"iMZgr;")</f>
        <v>iMZgr;</v>
      </c>
      <c r="AP143" s="89"/>
    </row>
    <row r="144">
      <c r="A144" s="151" t="str">
        <f>IFERROR(__xludf.DUMMYFUNCTION("""COMPUTED_VALUE"""),"cMZ")</f>
        <v>cMZ</v>
      </c>
      <c r="B144" s="42" t="str">
        <f>IFERROR(__xludf.DUMMYFUNCTION("""COMPUTED_VALUE"""),"DHBA")</f>
        <v>DHBA</v>
      </c>
      <c r="C144" s="42" t="str">
        <f>IFERROR(__xludf.DUMMYFUNCTION("""COMPUTED_VALUE"""),"MZ in cingulate neocortex")</f>
        <v>MZ in cingulate neocortex</v>
      </c>
      <c r="D144" s="42">
        <f>IFERROR(__xludf.DUMMYFUNCTION("""COMPUTED_VALUE"""),110.0)</f>
        <v>110</v>
      </c>
      <c r="E144" s="39" t="str">
        <f>IFERROR(__xludf.DUMMYFUNCTION("""COMPUTED_VALUE"""),"MZ in cingulate neocortex")</f>
        <v>MZ in cingulate neocortex</v>
      </c>
      <c r="F144" s="9" t="str">
        <f>IFERROR(__xludf.DUMMYFUNCTION("""COMPUTED_VALUE"""),"Br")</f>
        <v>Br</v>
      </c>
      <c r="G144" s="9" t="str">
        <f>IFERROR(__xludf.DUMMYFUNCTION("""COMPUTED_VALUE"""),"F")</f>
        <v>F</v>
      </c>
      <c r="H144" s="9" t="str">
        <f>IFERROR(__xludf.DUMMYFUNCTION("""COMPUTED_VALUE"""),"FGM")</f>
        <v>FGM</v>
      </c>
      <c r="I144" s="9" t="str">
        <f>IFERROR(__xludf.DUMMYFUNCTION("""COMPUTED_VALUE"""),"FTS")</f>
        <v>FTS</v>
      </c>
      <c r="J144" s="9" t="str">
        <f>IFERROR(__xludf.DUMMYFUNCTION("""COMPUTED_VALUE"""),"MZ")</f>
        <v>MZ</v>
      </c>
      <c r="K144" s="9" t="str">
        <f>IFERROR(__xludf.DUMMYFUNCTION("""COMPUTED_VALUE"""),"cMZ")</f>
        <v>cMZ</v>
      </c>
      <c r="L144" s="9"/>
      <c r="M144" s="9"/>
      <c r="N144" s="9"/>
      <c r="O144" s="9"/>
      <c r="P144" s="9"/>
      <c r="Q144" s="9"/>
      <c r="R144" s="9"/>
      <c r="S144" s="42" t="str">
        <f>IFERROR(__xludf.DUMMYFUNCTION("""COMPUTED_VALUE"""),"cMZr;
cMZmi;
cMZc;
cMZsg")</f>
        <v>cMZr;
cMZmi;
cMZc;
cMZsg</v>
      </c>
      <c r="T144" s="42"/>
      <c r="U144" s="42" t="b">
        <f>IFERROR(__xludf.DUMMYFUNCTION("""COMPUTED_VALUE"""),FALSE)</f>
        <v>0</v>
      </c>
      <c r="V144" s="42"/>
      <c r="W144" s="42"/>
      <c r="X144" s="42"/>
      <c r="Y144" s="42"/>
      <c r="Z144" s="42"/>
      <c r="AA144" s="42"/>
      <c r="AB144" s="42" t="str">
        <f>IFERROR(__xludf.DUMMYFUNCTION("""COMPUTED_VALUE"""),"allen institute")</f>
        <v>allen institute</v>
      </c>
      <c r="AC144" s="42" t="str">
        <f>IFERROR(__xludf.DUMMYFUNCTION("""COMPUTED_VALUE"""),"DHBA")</f>
        <v>DHBA</v>
      </c>
      <c r="AD144" s="42"/>
      <c r="AE144" s="42"/>
      <c r="AF144" s="9"/>
      <c r="AG144" s="9"/>
      <c r="AH144" s="42"/>
      <c r="AI144" s="42"/>
      <c r="AJ144" s="42"/>
      <c r="AK144" s="42"/>
      <c r="AL144" s="42"/>
      <c r="AM144" s="42"/>
      <c r="AN144" s="42"/>
      <c r="AO144" s="63" t="str">
        <f>IFERROR(__xludf.DUMMYFUNCTION("IF(ISBLANK(A144),,IF(ISBLANK(S144), A144&amp;"";"", TEXTJOIN(CHAR(10), TRUE, A144&amp;"";"", ARRAYFORMULA(VLOOKUP(SPLIT(S144, "";"" &amp; CHAR(10)), $A:$AO, 41, FALSE)))))"),"cMZ;
cMZr;
cMZmi;
cMZc;
cMZsg;")</f>
        <v>cMZ;
cMZr;
cMZmi;
cMZc;
cMZsg;</v>
      </c>
      <c r="AP144" s="89"/>
    </row>
    <row r="145">
      <c r="A145" s="151" t="str">
        <f>IFERROR(__xludf.DUMMYFUNCTION("""COMPUTED_VALUE"""),"cMZr")</f>
        <v>cMZr</v>
      </c>
      <c r="B145" s="42" t="str">
        <f>IFERROR(__xludf.DUMMYFUNCTION("""COMPUTED_VALUE"""),"DHBA")</f>
        <v>DHBA</v>
      </c>
      <c r="C145" s="42" t="str">
        <f>IFERROR(__xludf.DUMMYFUNCTION("""COMPUTED_VALUE"""),"MZ in rostral cingulate cortex")</f>
        <v>MZ in rostral cingulate cortex</v>
      </c>
      <c r="D145" s="42">
        <f>IFERROR(__xludf.DUMMYFUNCTION("""COMPUTED_VALUE"""),111.0)</f>
        <v>111</v>
      </c>
      <c r="E145" s="39" t="str">
        <f>IFERROR(__xludf.DUMMYFUNCTION("""COMPUTED_VALUE"""),"MZ in rostral cingulate cortex")</f>
        <v>MZ in rostral cingulate cortex</v>
      </c>
      <c r="F145" s="9" t="str">
        <f>IFERROR(__xludf.DUMMYFUNCTION("""COMPUTED_VALUE"""),"Br")</f>
        <v>Br</v>
      </c>
      <c r="G145" s="9" t="str">
        <f>IFERROR(__xludf.DUMMYFUNCTION("""COMPUTED_VALUE"""),"F")</f>
        <v>F</v>
      </c>
      <c r="H145" s="9" t="str">
        <f>IFERROR(__xludf.DUMMYFUNCTION("""COMPUTED_VALUE"""),"FGM")</f>
        <v>FGM</v>
      </c>
      <c r="I145" s="9" t="str">
        <f>IFERROR(__xludf.DUMMYFUNCTION("""COMPUTED_VALUE"""),"FTS")</f>
        <v>FTS</v>
      </c>
      <c r="J145" s="9" t="str">
        <f>IFERROR(__xludf.DUMMYFUNCTION("""COMPUTED_VALUE"""),"MZ")</f>
        <v>MZ</v>
      </c>
      <c r="K145" s="9" t="str">
        <f>IFERROR(__xludf.DUMMYFUNCTION("""COMPUTED_VALUE"""),"cMZ")</f>
        <v>cMZ</v>
      </c>
      <c r="L145" s="9" t="str">
        <f>IFERROR(__xludf.DUMMYFUNCTION("""COMPUTED_VALUE"""),"cMZr")</f>
        <v>cMZr</v>
      </c>
      <c r="M145" s="9"/>
      <c r="N145" s="9"/>
      <c r="O145" s="9"/>
      <c r="P145" s="9"/>
      <c r="Q145" s="9"/>
      <c r="R145" s="9"/>
      <c r="S145" s="42"/>
      <c r="T145" s="42"/>
      <c r="U145" s="42"/>
      <c r="V145" s="42"/>
      <c r="W145" s="42"/>
      <c r="X145" s="42"/>
      <c r="Y145" s="42"/>
      <c r="Z145" s="42"/>
      <c r="AA145" s="42"/>
      <c r="AB145" s="42" t="str">
        <f>IFERROR(__xludf.DUMMYFUNCTION("""COMPUTED_VALUE"""),"allen institute")</f>
        <v>allen institute</v>
      </c>
      <c r="AC145" s="42" t="str">
        <f>IFERROR(__xludf.DUMMYFUNCTION("""COMPUTED_VALUE"""),"DHBA")</f>
        <v>DHBA</v>
      </c>
      <c r="AD145" s="42"/>
      <c r="AE145" s="42"/>
      <c r="AF145" s="9"/>
      <c r="AG145" s="9"/>
      <c r="AH145" s="42"/>
      <c r="AI145" s="42"/>
      <c r="AJ145" s="42"/>
      <c r="AK145" s="42"/>
      <c r="AL145" s="42"/>
      <c r="AM145" s="42"/>
      <c r="AN145" s="42"/>
      <c r="AO145" s="63" t="str">
        <f>IFERROR(__xludf.DUMMYFUNCTION("IF(ISBLANK(A145),,IF(ISBLANK(S145), A145&amp;"";"", TEXTJOIN(CHAR(10), TRUE, A145&amp;"";"", ARRAYFORMULA(VLOOKUP(SPLIT(S145, "";"" &amp; CHAR(10)), $A:$AO, 41, FALSE)))))"),"cMZr;")</f>
        <v>cMZr;</v>
      </c>
      <c r="AP145" s="89"/>
    </row>
    <row r="146">
      <c r="A146" s="151" t="str">
        <f>IFERROR(__xludf.DUMMYFUNCTION("""COMPUTED_VALUE"""),"cMZmi")</f>
        <v>cMZmi</v>
      </c>
      <c r="B146" s="42" t="str">
        <f>IFERROR(__xludf.DUMMYFUNCTION("""COMPUTED_VALUE"""),"DHBA")</f>
        <v>DHBA</v>
      </c>
      <c r="C146" s="42" t="str">
        <f>IFERROR(__xludf.DUMMYFUNCTION("""COMPUTED_VALUE"""),"MZ in midcingulate cortex")</f>
        <v>MZ in midcingulate cortex</v>
      </c>
      <c r="D146" s="42">
        <f>IFERROR(__xludf.DUMMYFUNCTION("""COMPUTED_VALUE"""),112.0)</f>
        <v>112</v>
      </c>
      <c r="E146" s="39" t="str">
        <f>IFERROR(__xludf.DUMMYFUNCTION("""COMPUTED_VALUE"""),"MZ in midcingulate cortex")</f>
        <v>MZ in midcingulate cortex</v>
      </c>
      <c r="F146" s="9" t="str">
        <f>IFERROR(__xludf.DUMMYFUNCTION("""COMPUTED_VALUE"""),"Br")</f>
        <v>Br</v>
      </c>
      <c r="G146" s="9" t="str">
        <f>IFERROR(__xludf.DUMMYFUNCTION("""COMPUTED_VALUE"""),"F")</f>
        <v>F</v>
      </c>
      <c r="H146" s="9" t="str">
        <f>IFERROR(__xludf.DUMMYFUNCTION("""COMPUTED_VALUE"""),"FGM")</f>
        <v>FGM</v>
      </c>
      <c r="I146" s="9" t="str">
        <f>IFERROR(__xludf.DUMMYFUNCTION("""COMPUTED_VALUE"""),"FTS")</f>
        <v>FTS</v>
      </c>
      <c r="J146" s="9" t="str">
        <f>IFERROR(__xludf.DUMMYFUNCTION("""COMPUTED_VALUE"""),"MZ")</f>
        <v>MZ</v>
      </c>
      <c r="K146" s="9" t="str">
        <f>IFERROR(__xludf.DUMMYFUNCTION("""COMPUTED_VALUE"""),"cMZ")</f>
        <v>cMZ</v>
      </c>
      <c r="L146" s="9" t="str">
        <f>IFERROR(__xludf.DUMMYFUNCTION("""COMPUTED_VALUE"""),"cMZmi")</f>
        <v>cMZmi</v>
      </c>
      <c r="M146" s="9"/>
      <c r="N146" s="9"/>
      <c r="O146" s="9"/>
      <c r="P146" s="9"/>
      <c r="Q146" s="9"/>
      <c r="R146" s="9"/>
      <c r="S146" s="42"/>
      <c r="T146" s="42"/>
      <c r="U146" s="42"/>
      <c r="V146" s="42"/>
      <c r="W146" s="42"/>
      <c r="X146" s="42"/>
      <c r="Y146" s="42"/>
      <c r="Z146" s="42"/>
      <c r="AA146" s="42"/>
      <c r="AB146" s="42" t="str">
        <f>IFERROR(__xludf.DUMMYFUNCTION("""COMPUTED_VALUE"""),"allen institute")</f>
        <v>allen institute</v>
      </c>
      <c r="AC146" s="42" t="str">
        <f>IFERROR(__xludf.DUMMYFUNCTION("""COMPUTED_VALUE"""),"DHBA")</f>
        <v>DHBA</v>
      </c>
      <c r="AD146" s="42"/>
      <c r="AE146" s="42"/>
      <c r="AF146" s="9"/>
      <c r="AG146" s="9"/>
      <c r="AH146" s="42"/>
      <c r="AI146" s="42"/>
      <c r="AJ146" s="42"/>
      <c r="AK146" s="42"/>
      <c r="AL146" s="42"/>
      <c r="AM146" s="42"/>
      <c r="AN146" s="42"/>
      <c r="AO146" s="63" t="str">
        <f>IFERROR(__xludf.DUMMYFUNCTION("IF(ISBLANK(A146),,IF(ISBLANK(S146), A146&amp;"";"", TEXTJOIN(CHAR(10), TRUE, A146&amp;"";"", ARRAYFORMULA(VLOOKUP(SPLIT(S146, "";"" &amp; CHAR(10)), $A:$AO, 41, FALSE)))))"),"cMZmi;")</f>
        <v>cMZmi;</v>
      </c>
      <c r="AP146" s="89"/>
    </row>
    <row r="147">
      <c r="A147" s="151" t="str">
        <f>IFERROR(__xludf.DUMMYFUNCTION("""COMPUTED_VALUE"""),"cMZc")</f>
        <v>cMZc</v>
      </c>
      <c r="B147" s="42" t="str">
        <f>IFERROR(__xludf.DUMMYFUNCTION("""COMPUTED_VALUE"""),"DHBA")</f>
        <v>DHBA</v>
      </c>
      <c r="C147" s="42" t="str">
        <f>IFERROR(__xludf.DUMMYFUNCTION("""COMPUTED_VALUE"""),"MZ in caudal cingulate cortex")</f>
        <v>MZ in caudal cingulate cortex</v>
      </c>
      <c r="D147" s="42">
        <f>IFERROR(__xludf.DUMMYFUNCTION("""COMPUTED_VALUE"""),113.0)</f>
        <v>113</v>
      </c>
      <c r="E147" s="39" t="str">
        <f>IFERROR(__xludf.DUMMYFUNCTION("""COMPUTED_VALUE"""),"MZ in caudal cingulate cortex")</f>
        <v>MZ in caudal cingulate cortex</v>
      </c>
      <c r="F147" s="9" t="str">
        <f>IFERROR(__xludf.DUMMYFUNCTION("""COMPUTED_VALUE"""),"Br")</f>
        <v>Br</v>
      </c>
      <c r="G147" s="9" t="str">
        <f>IFERROR(__xludf.DUMMYFUNCTION("""COMPUTED_VALUE"""),"F")</f>
        <v>F</v>
      </c>
      <c r="H147" s="9" t="str">
        <f>IFERROR(__xludf.DUMMYFUNCTION("""COMPUTED_VALUE"""),"FGM")</f>
        <v>FGM</v>
      </c>
      <c r="I147" s="9" t="str">
        <f>IFERROR(__xludf.DUMMYFUNCTION("""COMPUTED_VALUE"""),"FTS")</f>
        <v>FTS</v>
      </c>
      <c r="J147" s="9" t="str">
        <f>IFERROR(__xludf.DUMMYFUNCTION("""COMPUTED_VALUE"""),"MZ")</f>
        <v>MZ</v>
      </c>
      <c r="K147" s="9" t="str">
        <f>IFERROR(__xludf.DUMMYFUNCTION("""COMPUTED_VALUE"""),"cMZ")</f>
        <v>cMZ</v>
      </c>
      <c r="L147" s="9" t="str">
        <f>IFERROR(__xludf.DUMMYFUNCTION("""COMPUTED_VALUE"""),"cMZc")</f>
        <v>cMZc</v>
      </c>
      <c r="M147" s="9"/>
      <c r="N147" s="9"/>
      <c r="O147" s="9"/>
      <c r="P147" s="9"/>
      <c r="Q147" s="9"/>
      <c r="R147" s="9"/>
      <c r="S147" s="42"/>
      <c r="T147" s="42"/>
      <c r="U147" s="42"/>
      <c r="V147" s="42"/>
      <c r="W147" s="42"/>
      <c r="X147" s="42"/>
      <c r="Y147" s="42"/>
      <c r="Z147" s="42"/>
      <c r="AA147" s="42"/>
      <c r="AB147" s="42" t="str">
        <f>IFERROR(__xludf.DUMMYFUNCTION("""COMPUTED_VALUE"""),"allen institute")</f>
        <v>allen institute</v>
      </c>
      <c r="AC147" s="42" t="str">
        <f>IFERROR(__xludf.DUMMYFUNCTION("""COMPUTED_VALUE"""),"DHBA")</f>
        <v>DHBA</v>
      </c>
      <c r="AD147" s="42"/>
      <c r="AE147" s="42"/>
      <c r="AF147" s="9"/>
      <c r="AG147" s="9"/>
      <c r="AH147" s="42"/>
      <c r="AI147" s="42"/>
      <c r="AJ147" s="42"/>
      <c r="AK147" s="42"/>
      <c r="AL147" s="42"/>
      <c r="AM147" s="42"/>
      <c r="AN147" s="42"/>
      <c r="AO147" s="63" t="str">
        <f>IFERROR(__xludf.DUMMYFUNCTION("IF(ISBLANK(A147),,IF(ISBLANK(S147), A147&amp;"";"", TEXTJOIN(CHAR(10), TRUE, A147&amp;"";"", ARRAYFORMULA(VLOOKUP(SPLIT(S147, "";"" &amp; CHAR(10)), $A:$AO, 41, FALSE)))))"),"cMZc;")</f>
        <v>cMZc;</v>
      </c>
      <c r="AP147" s="89"/>
    </row>
    <row r="148">
      <c r="A148" s="151" t="str">
        <f>IFERROR(__xludf.DUMMYFUNCTION("""COMPUTED_VALUE"""),"cMZsg")</f>
        <v>cMZsg</v>
      </c>
      <c r="B148" s="42" t="str">
        <f>IFERROR(__xludf.DUMMYFUNCTION("""COMPUTED_VALUE"""),"DHBA")</f>
        <v>DHBA</v>
      </c>
      <c r="C148" s="42" t="str">
        <f>IFERROR(__xludf.DUMMYFUNCTION("""COMPUTED_VALUE"""),"MZ in subgenual (subcallosal) cingulate cortex")</f>
        <v>MZ in subgenual (subcallosal) cingulate cortex</v>
      </c>
      <c r="D148" s="42">
        <f>IFERROR(__xludf.DUMMYFUNCTION("""COMPUTED_VALUE"""),114.0)</f>
        <v>114</v>
      </c>
      <c r="E148" s="39" t="str">
        <f>IFERROR(__xludf.DUMMYFUNCTION("""COMPUTED_VALUE"""),"MZ in subgenual (subcallosal) cingulate cortex")</f>
        <v>MZ in subgenual (subcallosal) cingulate cortex</v>
      </c>
      <c r="F148" s="9" t="str">
        <f>IFERROR(__xludf.DUMMYFUNCTION("""COMPUTED_VALUE"""),"Br")</f>
        <v>Br</v>
      </c>
      <c r="G148" s="9" t="str">
        <f>IFERROR(__xludf.DUMMYFUNCTION("""COMPUTED_VALUE"""),"F")</f>
        <v>F</v>
      </c>
      <c r="H148" s="9" t="str">
        <f>IFERROR(__xludf.DUMMYFUNCTION("""COMPUTED_VALUE"""),"FGM")</f>
        <v>FGM</v>
      </c>
      <c r="I148" s="9" t="str">
        <f>IFERROR(__xludf.DUMMYFUNCTION("""COMPUTED_VALUE"""),"FTS")</f>
        <v>FTS</v>
      </c>
      <c r="J148" s="9" t="str">
        <f>IFERROR(__xludf.DUMMYFUNCTION("""COMPUTED_VALUE"""),"MZ")</f>
        <v>MZ</v>
      </c>
      <c r="K148" s="9" t="str">
        <f>IFERROR(__xludf.DUMMYFUNCTION("""COMPUTED_VALUE"""),"cMZ")</f>
        <v>cMZ</v>
      </c>
      <c r="L148" s="9" t="str">
        <f>IFERROR(__xludf.DUMMYFUNCTION("""COMPUTED_VALUE"""),"cMZsg")</f>
        <v>cMZsg</v>
      </c>
      <c r="M148" s="9"/>
      <c r="N148" s="9"/>
      <c r="O148" s="9"/>
      <c r="P148" s="9"/>
      <c r="Q148" s="9"/>
      <c r="R148" s="9"/>
      <c r="S148" s="42"/>
      <c r="T148" s="42"/>
      <c r="U148" s="42"/>
      <c r="V148" s="42"/>
      <c r="W148" s="42"/>
      <c r="X148" s="42"/>
      <c r="Y148" s="42"/>
      <c r="Z148" s="42"/>
      <c r="AA148" s="42"/>
      <c r="AB148" s="42" t="str">
        <f>IFERROR(__xludf.DUMMYFUNCTION("""COMPUTED_VALUE"""),"allen institute")</f>
        <v>allen institute</v>
      </c>
      <c r="AC148" s="42" t="str">
        <f>IFERROR(__xludf.DUMMYFUNCTION("""COMPUTED_VALUE"""),"DHBA")</f>
        <v>DHBA</v>
      </c>
      <c r="AD148" s="42"/>
      <c r="AE148" s="42"/>
      <c r="AF148" s="9"/>
      <c r="AG148" s="9"/>
      <c r="AH148" s="42"/>
      <c r="AI148" s="42"/>
      <c r="AJ148" s="42"/>
      <c r="AK148" s="42"/>
      <c r="AL148" s="42"/>
      <c r="AM148" s="42"/>
      <c r="AN148" s="42"/>
      <c r="AO148" s="63" t="str">
        <f>IFERROR(__xludf.DUMMYFUNCTION("IF(ISBLANK(A148),,IF(ISBLANK(S148), A148&amp;"";"", TEXTJOIN(CHAR(10), TRUE, A148&amp;"";"", ARRAYFORMULA(VLOOKUP(SPLIT(S148, "";"" &amp; CHAR(10)), $A:$AO, 41, FALSE)))))"),"cMZsg;")</f>
        <v>cMZsg;</v>
      </c>
      <c r="AP148" s="89"/>
    </row>
    <row r="149">
      <c r="A149" s="151" t="str">
        <f>IFERROR(__xludf.DUMMYFUNCTION("""COMPUTED_VALUE"""),"peMZ")</f>
        <v>peMZ</v>
      </c>
      <c r="B149" s="42" t="str">
        <f>IFERROR(__xludf.DUMMYFUNCTION("""COMPUTED_VALUE"""),"DHBA")</f>
        <v>DHBA</v>
      </c>
      <c r="C149" s="42" t="str">
        <f>IFERROR(__xludf.DUMMYFUNCTION("""COMPUTED_VALUE"""),"MZ in periallocortex")</f>
        <v>MZ in periallocortex</v>
      </c>
      <c r="D149" s="42">
        <f>IFERROR(__xludf.DUMMYFUNCTION("""COMPUTED_VALUE"""),115.0)</f>
        <v>115</v>
      </c>
      <c r="E149" s="39" t="str">
        <f>IFERROR(__xludf.DUMMYFUNCTION("""COMPUTED_VALUE"""),"MZ in periallocortex")</f>
        <v>MZ in periallocortex</v>
      </c>
      <c r="F149" s="9" t="str">
        <f>IFERROR(__xludf.DUMMYFUNCTION("""COMPUTED_VALUE"""),"Br")</f>
        <v>Br</v>
      </c>
      <c r="G149" s="9" t="str">
        <f>IFERROR(__xludf.DUMMYFUNCTION("""COMPUTED_VALUE"""),"F")</f>
        <v>F</v>
      </c>
      <c r="H149" s="9" t="str">
        <f>IFERROR(__xludf.DUMMYFUNCTION("""COMPUTED_VALUE"""),"FGM")</f>
        <v>FGM</v>
      </c>
      <c r="I149" s="9" t="str">
        <f>IFERROR(__xludf.DUMMYFUNCTION("""COMPUTED_VALUE"""),"FTS")</f>
        <v>FTS</v>
      </c>
      <c r="J149" s="9" t="str">
        <f>IFERROR(__xludf.DUMMYFUNCTION("""COMPUTED_VALUE"""),"MZ")</f>
        <v>MZ</v>
      </c>
      <c r="K149" s="9" t="str">
        <f>IFERROR(__xludf.DUMMYFUNCTION("""COMPUTED_VALUE"""),"peMZ")</f>
        <v>peMZ</v>
      </c>
      <c r="L149" s="9"/>
      <c r="M149" s="9"/>
      <c r="N149" s="9"/>
      <c r="O149" s="9"/>
      <c r="P149" s="9"/>
      <c r="Q149" s="9"/>
      <c r="R149" s="9"/>
      <c r="S149" s="42" t="str">
        <f>IFERROR(__xludf.DUMMYFUNCTION("""COMPUTED_VALUE"""),"MZpc;
MZpas;
MZEC;
MZprs;
MZrs;
MZIag")</f>
        <v>MZpc;
MZpas;
MZEC;
MZprs;
MZrs;
MZIag</v>
      </c>
      <c r="T149" s="42"/>
      <c r="U149" s="42" t="b">
        <f>IFERROR(__xludf.DUMMYFUNCTION("""COMPUTED_VALUE"""),FALSE)</f>
        <v>0</v>
      </c>
      <c r="V149" s="42"/>
      <c r="W149" s="42"/>
      <c r="X149" s="42"/>
      <c r="Y149" s="42"/>
      <c r="Z149" s="42"/>
      <c r="AA149" s="42"/>
      <c r="AB149" s="42" t="str">
        <f>IFERROR(__xludf.DUMMYFUNCTION("""COMPUTED_VALUE"""),"allen institute")</f>
        <v>allen institute</v>
      </c>
      <c r="AC149" s="42" t="str">
        <f>IFERROR(__xludf.DUMMYFUNCTION("""COMPUTED_VALUE"""),"DHBA")</f>
        <v>DHBA</v>
      </c>
      <c r="AD149" s="42"/>
      <c r="AE149" s="42"/>
      <c r="AF149" s="9"/>
      <c r="AG149" s="9"/>
      <c r="AH149" s="42"/>
      <c r="AI149" s="42"/>
      <c r="AJ149" s="42"/>
      <c r="AK149" s="42"/>
      <c r="AL149" s="42"/>
      <c r="AM149" s="42"/>
      <c r="AN149" s="42"/>
      <c r="AO149" s="63" t="str">
        <f>IFERROR(__xludf.DUMMYFUNCTION("IF(ISBLANK(A149),,IF(ISBLANK(S149), A149&amp;"";"", TEXTJOIN(CHAR(10), TRUE, A149&amp;"";"", ARRAYFORMULA(VLOOKUP(SPLIT(S149, "";"" &amp; CHAR(10)), $A:$AO, 41, FALSE)))))"),"#REF!")</f>
        <v>#REF!</v>
      </c>
      <c r="AP149" s="89"/>
    </row>
    <row r="150">
      <c r="A150" s="151" t="str">
        <f>IFERROR(__xludf.DUMMYFUNCTION("""COMPUTED_VALUE"""),"MZpc")</f>
        <v>MZpc</v>
      </c>
      <c r="B150" s="42" t="str">
        <f>IFERROR(__xludf.DUMMYFUNCTION("""COMPUTED_VALUE"""),"DHBA")</f>
        <v>DHBA</v>
      </c>
      <c r="C150" s="42" t="str">
        <f>IFERROR(__xludf.DUMMYFUNCTION("""COMPUTED_VALUE"""),"MZ in perirhinal cortex")</f>
        <v>MZ in perirhinal cortex</v>
      </c>
      <c r="D150" s="42">
        <f>IFERROR(__xludf.DUMMYFUNCTION("""COMPUTED_VALUE"""),116.0)</f>
        <v>116</v>
      </c>
      <c r="E150" s="39" t="str">
        <f>IFERROR(__xludf.DUMMYFUNCTION("""COMPUTED_VALUE"""),"MZ in perirhinal cortex")</f>
        <v>MZ in perirhinal cortex</v>
      </c>
      <c r="F150" s="9" t="str">
        <f>IFERROR(__xludf.DUMMYFUNCTION("""COMPUTED_VALUE"""),"Br")</f>
        <v>Br</v>
      </c>
      <c r="G150" s="9" t="str">
        <f>IFERROR(__xludf.DUMMYFUNCTION("""COMPUTED_VALUE"""),"F")</f>
        <v>F</v>
      </c>
      <c r="H150" s="9" t="str">
        <f>IFERROR(__xludf.DUMMYFUNCTION("""COMPUTED_VALUE"""),"FGM")</f>
        <v>FGM</v>
      </c>
      <c r="I150" s="9" t="str">
        <f>IFERROR(__xludf.DUMMYFUNCTION("""COMPUTED_VALUE"""),"FTS")</f>
        <v>FTS</v>
      </c>
      <c r="J150" s="9" t="str">
        <f>IFERROR(__xludf.DUMMYFUNCTION("""COMPUTED_VALUE"""),"MZ")</f>
        <v>MZ</v>
      </c>
      <c r="K150" s="9" t="str">
        <f>IFERROR(__xludf.DUMMYFUNCTION("""COMPUTED_VALUE"""),"peMZ")</f>
        <v>peMZ</v>
      </c>
      <c r="L150" s="9" t="str">
        <f>IFERROR(__xludf.DUMMYFUNCTION("""COMPUTED_VALUE"""),"MZpc")</f>
        <v>MZpc</v>
      </c>
      <c r="M150" s="9"/>
      <c r="N150" s="9"/>
      <c r="O150" s="9"/>
      <c r="P150" s="9"/>
      <c r="Q150" s="9"/>
      <c r="R150" s="9"/>
      <c r="S150" s="42" t="str">
        <f>IFERROR(__xludf.DUMMYFUNCTION("""COMPUTED_VALUE"""),"MZpcr;
MZpcc")</f>
        <v>MZpcr;
MZpcc</v>
      </c>
      <c r="T150" s="42"/>
      <c r="U150" s="42" t="b">
        <f>IFERROR(__xludf.DUMMYFUNCTION("""COMPUTED_VALUE"""),FALSE)</f>
        <v>0</v>
      </c>
      <c r="V150" s="42"/>
      <c r="W150" s="42"/>
      <c r="X150" s="42"/>
      <c r="Y150" s="42"/>
      <c r="Z150" s="42"/>
      <c r="AA150" s="42"/>
      <c r="AB150" s="42" t="str">
        <f>IFERROR(__xludf.DUMMYFUNCTION("""COMPUTED_VALUE"""),"allen institute")</f>
        <v>allen institute</v>
      </c>
      <c r="AC150" s="42" t="str">
        <f>IFERROR(__xludf.DUMMYFUNCTION("""COMPUTED_VALUE"""),"DHBA")</f>
        <v>DHBA</v>
      </c>
      <c r="AD150" s="42"/>
      <c r="AE150" s="42"/>
      <c r="AF150" s="9"/>
      <c r="AG150" s="9"/>
      <c r="AH150" s="42"/>
      <c r="AI150" s="42"/>
      <c r="AJ150" s="42"/>
      <c r="AK150" s="42"/>
      <c r="AL150" s="42"/>
      <c r="AM150" s="42"/>
      <c r="AN150" s="42"/>
      <c r="AO150" s="63" t="str">
        <f>IFERROR(__xludf.DUMMYFUNCTION("IF(ISBLANK(A150),,IF(ISBLANK(S150), A150&amp;"";"", TEXTJOIN(CHAR(10), TRUE, A150&amp;"";"", ARRAYFORMULA(VLOOKUP(SPLIT(S150, "";"" &amp; CHAR(10)), $A:$AO, 41, FALSE)))))"),"MZpc;
MZpcr;
MZpcc;")</f>
        <v>MZpc;
MZpcr;
MZpcc;</v>
      </c>
      <c r="AP150" s="89"/>
    </row>
    <row r="151">
      <c r="A151" s="151" t="str">
        <f>IFERROR(__xludf.DUMMYFUNCTION("""COMPUTED_VALUE"""),"MZpcr")</f>
        <v>MZpcr</v>
      </c>
      <c r="B151" s="42" t="str">
        <f>IFERROR(__xludf.DUMMYFUNCTION("""COMPUTED_VALUE"""),"DHBA")</f>
        <v>DHBA</v>
      </c>
      <c r="C151" s="42" t="str">
        <f>IFERROR(__xludf.DUMMYFUNCTION("""COMPUTED_VALUE"""),"MZ in rostral perirhinal cortex")</f>
        <v>MZ in rostral perirhinal cortex</v>
      </c>
      <c r="D151" s="42">
        <f>IFERROR(__xludf.DUMMYFUNCTION("""COMPUTED_VALUE"""),117.0)</f>
        <v>117</v>
      </c>
      <c r="E151" s="39" t="str">
        <f>IFERROR(__xludf.DUMMYFUNCTION("""COMPUTED_VALUE"""),"MZ in rostral perirhinal cortex")</f>
        <v>MZ in rostral perirhinal cortex</v>
      </c>
      <c r="F151" s="9" t="str">
        <f>IFERROR(__xludf.DUMMYFUNCTION("""COMPUTED_VALUE"""),"Br")</f>
        <v>Br</v>
      </c>
      <c r="G151" s="9" t="str">
        <f>IFERROR(__xludf.DUMMYFUNCTION("""COMPUTED_VALUE"""),"F")</f>
        <v>F</v>
      </c>
      <c r="H151" s="9" t="str">
        <f>IFERROR(__xludf.DUMMYFUNCTION("""COMPUTED_VALUE"""),"FGM")</f>
        <v>FGM</v>
      </c>
      <c r="I151" s="9" t="str">
        <f>IFERROR(__xludf.DUMMYFUNCTION("""COMPUTED_VALUE"""),"FTS")</f>
        <v>FTS</v>
      </c>
      <c r="J151" s="9" t="str">
        <f>IFERROR(__xludf.DUMMYFUNCTION("""COMPUTED_VALUE"""),"MZ")</f>
        <v>MZ</v>
      </c>
      <c r="K151" s="9" t="str">
        <f>IFERROR(__xludf.DUMMYFUNCTION("""COMPUTED_VALUE"""),"peMZ")</f>
        <v>peMZ</v>
      </c>
      <c r="L151" s="9" t="str">
        <f>IFERROR(__xludf.DUMMYFUNCTION("""COMPUTED_VALUE"""),"MZpc")</f>
        <v>MZpc</v>
      </c>
      <c r="M151" s="9" t="str">
        <f>IFERROR(__xludf.DUMMYFUNCTION("""COMPUTED_VALUE"""),"MZpcr")</f>
        <v>MZpcr</v>
      </c>
      <c r="N151" s="9"/>
      <c r="O151" s="9"/>
      <c r="P151" s="9"/>
      <c r="Q151" s="9"/>
      <c r="R151" s="9"/>
      <c r="S151" s="42"/>
      <c r="T151" s="42"/>
      <c r="U151" s="42"/>
      <c r="V151" s="42"/>
      <c r="W151" s="42"/>
      <c r="X151" s="42"/>
      <c r="Y151" s="42"/>
      <c r="Z151" s="42"/>
      <c r="AA151" s="42"/>
      <c r="AB151" s="42" t="str">
        <f>IFERROR(__xludf.DUMMYFUNCTION("""COMPUTED_VALUE"""),"allen institute")</f>
        <v>allen institute</v>
      </c>
      <c r="AC151" s="42" t="str">
        <f>IFERROR(__xludf.DUMMYFUNCTION("""COMPUTED_VALUE"""),"DHBA")</f>
        <v>DHBA</v>
      </c>
      <c r="AD151" s="42"/>
      <c r="AE151" s="42"/>
      <c r="AF151" s="9"/>
      <c r="AG151" s="9"/>
      <c r="AH151" s="42"/>
      <c r="AI151" s="42"/>
      <c r="AJ151" s="42"/>
      <c r="AK151" s="42"/>
      <c r="AL151" s="42"/>
      <c r="AM151" s="42"/>
      <c r="AN151" s="42"/>
      <c r="AO151" s="63" t="str">
        <f>IFERROR(__xludf.DUMMYFUNCTION("IF(ISBLANK(A151),,IF(ISBLANK(S151), A151&amp;"";"", TEXTJOIN(CHAR(10), TRUE, A151&amp;"";"", ARRAYFORMULA(VLOOKUP(SPLIT(S151, "";"" &amp; CHAR(10)), $A:$AO, 41, FALSE)))))"),"MZpcr;")</f>
        <v>MZpcr;</v>
      </c>
      <c r="AP151" s="89"/>
    </row>
    <row r="152">
      <c r="A152" s="151" t="str">
        <f>IFERROR(__xludf.DUMMYFUNCTION("""COMPUTED_VALUE"""),"MZpcc")</f>
        <v>MZpcc</v>
      </c>
      <c r="B152" s="42" t="str">
        <f>IFERROR(__xludf.DUMMYFUNCTION("""COMPUTED_VALUE"""),"DHBA")</f>
        <v>DHBA</v>
      </c>
      <c r="C152" s="42" t="str">
        <f>IFERROR(__xludf.DUMMYFUNCTION("""COMPUTED_VALUE"""),"MZ in caudal perirhinal cortex")</f>
        <v>MZ in caudal perirhinal cortex</v>
      </c>
      <c r="D152" s="42">
        <f>IFERROR(__xludf.DUMMYFUNCTION("""COMPUTED_VALUE"""),118.0)</f>
        <v>118</v>
      </c>
      <c r="E152" s="39" t="str">
        <f>IFERROR(__xludf.DUMMYFUNCTION("""COMPUTED_VALUE"""),"MZ in caudal perirhinal cortex")</f>
        <v>MZ in caudal perirhinal cortex</v>
      </c>
      <c r="F152" s="9" t="str">
        <f>IFERROR(__xludf.DUMMYFUNCTION("""COMPUTED_VALUE"""),"Br")</f>
        <v>Br</v>
      </c>
      <c r="G152" s="9" t="str">
        <f>IFERROR(__xludf.DUMMYFUNCTION("""COMPUTED_VALUE"""),"F")</f>
        <v>F</v>
      </c>
      <c r="H152" s="9" t="str">
        <f>IFERROR(__xludf.DUMMYFUNCTION("""COMPUTED_VALUE"""),"FGM")</f>
        <v>FGM</v>
      </c>
      <c r="I152" s="9" t="str">
        <f>IFERROR(__xludf.DUMMYFUNCTION("""COMPUTED_VALUE"""),"FTS")</f>
        <v>FTS</v>
      </c>
      <c r="J152" s="9" t="str">
        <f>IFERROR(__xludf.DUMMYFUNCTION("""COMPUTED_VALUE"""),"MZ")</f>
        <v>MZ</v>
      </c>
      <c r="K152" s="9" t="str">
        <f>IFERROR(__xludf.DUMMYFUNCTION("""COMPUTED_VALUE"""),"peMZ")</f>
        <v>peMZ</v>
      </c>
      <c r="L152" s="9" t="str">
        <f>IFERROR(__xludf.DUMMYFUNCTION("""COMPUTED_VALUE"""),"MZpc")</f>
        <v>MZpc</v>
      </c>
      <c r="M152" s="9" t="str">
        <f>IFERROR(__xludf.DUMMYFUNCTION("""COMPUTED_VALUE"""),"MZpcc")</f>
        <v>MZpcc</v>
      </c>
      <c r="N152" s="9"/>
      <c r="O152" s="9"/>
      <c r="P152" s="9"/>
      <c r="Q152" s="9"/>
      <c r="R152" s="9"/>
      <c r="S152" s="42"/>
      <c r="T152" s="42"/>
      <c r="U152" s="42"/>
      <c r="V152" s="42"/>
      <c r="W152" s="42"/>
      <c r="X152" s="42"/>
      <c r="Y152" s="42"/>
      <c r="Z152" s="42"/>
      <c r="AA152" s="42"/>
      <c r="AB152" s="42" t="str">
        <f>IFERROR(__xludf.DUMMYFUNCTION("""COMPUTED_VALUE"""),"allen institute")</f>
        <v>allen institute</v>
      </c>
      <c r="AC152" s="42" t="str">
        <f>IFERROR(__xludf.DUMMYFUNCTION("""COMPUTED_VALUE"""),"DHBA")</f>
        <v>DHBA</v>
      </c>
      <c r="AD152" s="42"/>
      <c r="AE152" s="42"/>
      <c r="AF152" s="9"/>
      <c r="AG152" s="9"/>
      <c r="AH152" s="42"/>
      <c r="AI152" s="42"/>
      <c r="AJ152" s="42"/>
      <c r="AK152" s="42"/>
      <c r="AL152" s="42"/>
      <c r="AM152" s="42"/>
      <c r="AN152" s="42"/>
      <c r="AO152" s="63" t="str">
        <f>IFERROR(__xludf.DUMMYFUNCTION("IF(ISBLANK(A152),,IF(ISBLANK(S152), A152&amp;"";"", TEXTJOIN(CHAR(10), TRUE, A152&amp;"";"", ARRAYFORMULA(VLOOKUP(SPLIT(S152, "";"" &amp; CHAR(10)), $A:$AO, 41, FALSE)))))"),"MZpcc;")</f>
        <v>MZpcc;</v>
      </c>
      <c r="AP152" s="89"/>
    </row>
    <row r="153">
      <c r="A153" s="151" t="str">
        <f>IFERROR(__xludf.DUMMYFUNCTION("""COMPUTED_VALUE"""),"MZpas")</f>
        <v>MZpas</v>
      </c>
      <c r="B153" s="42" t="str">
        <f>IFERROR(__xludf.DUMMYFUNCTION("""COMPUTED_VALUE"""),"DHBA")</f>
        <v>DHBA</v>
      </c>
      <c r="C153" s="42" t="str">
        <f>IFERROR(__xludf.DUMMYFUNCTION("""COMPUTED_VALUE"""),"MZ in parasubicular cortex")</f>
        <v>MZ in parasubicular cortex</v>
      </c>
      <c r="D153" s="42">
        <f>IFERROR(__xludf.DUMMYFUNCTION("""COMPUTED_VALUE"""),119.0)</f>
        <v>119</v>
      </c>
      <c r="E153" s="39" t="str">
        <f>IFERROR(__xludf.DUMMYFUNCTION("""COMPUTED_VALUE"""),"MZ in parasubicular cortex")</f>
        <v>MZ in parasubicular cortex</v>
      </c>
      <c r="F153" s="9" t="str">
        <f>IFERROR(__xludf.DUMMYFUNCTION("""COMPUTED_VALUE"""),"Br")</f>
        <v>Br</v>
      </c>
      <c r="G153" s="9" t="str">
        <f>IFERROR(__xludf.DUMMYFUNCTION("""COMPUTED_VALUE"""),"F")</f>
        <v>F</v>
      </c>
      <c r="H153" s="9" t="str">
        <f>IFERROR(__xludf.DUMMYFUNCTION("""COMPUTED_VALUE"""),"FGM")</f>
        <v>FGM</v>
      </c>
      <c r="I153" s="9" t="str">
        <f>IFERROR(__xludf.DUMMYFUNCTION("""COMPUTED_VALUE"""),"FTS")</f>
        <v>FTS</v>
      </c>
      <c r="J153" s="9" t="str">
        <f>IFERROR(__xludf.DUMMYFUNCTION("""COMPUTED_VALUE"""),"MZ")</f>
        <v>MZ</v>
      </c>
      <c r="K153" s="9" t="str">
        <f>IFERROR(__xludf.DUMMYFUNCTION("""COMPUTED_VALUE"""),"peMZ")</f>
        <v>peMZ</v>
      </c>
      <c r="L153" s="9" t="str">
        <f>IFERROR(__xludf.DUMMYFUNCTION("""COMPUTED_VALUE"""),"MZpas")</f>
        <v>MZpas</v>
      </c>
      <c r="M153" s="9"/>
      <c r="N153" s="9"/>
      <c r="O153" s="9"/>
      <c r="P153" s="9"/>
      <c r="Q153" s="9"/>
      <c r="R153" s="9"/>
      <c r="S153" s="42"/>
      <c r="T153" s="42"/>
      <c r="U153" s="42"/>
      <c r="V153" s="42"/>
      <c r="W153" s="42"/>
      <c r="X153" s="42"/>
      <c r="Y153" s="42"/>
      <c r="Z153" s="42"/>
      <c r="AA153" s="42"/>
      <c r="AB153" s="42" t="str">
        <f>IFERROR(__xludf.DUMMYFUNCTION("""COMPUTED_VALUE"""),"allen institute")</f>
        <v>allen institute</v>
      </c>
      <c r="AC153" s="42" t="str">
        <f>IFERROR(__xludf.DUMMYFUNCTION("""COMPUTED_VALUE"""),"DHBA")</f>
        <v>DHBA</v>
      </c>
      <c r="AD153" s="42"/>
      <c r="AE153" s="42"/>
      <c r="AF153" s="9"/>
      <c r="AG153" s="9"/>
      <c r="AH153" s="42"/>
      <c r="AI153" s="42"/>
      <c r="AJ153" s="42"/>
      <c r="AK153" s="42"/>
      <c r="AL153" s="42"/>
      <c r="AM153" s="42"/>
      <c r="AN153" s="42"/>
      <c r="AO153" s="63" t="str">
        <f>IFERROR(__xludf.DUMMYFUNCTION("IF(ISBLANK(A153),,IF(ISBLANK(S153), A153&amp;"";"", TEXTJOIN(CHAR(10), TRUE, A153&amp;"";"", ARRAYFORMULA(VLOOKUP(SPLIT(S153, "";"" &amp; CHAR(10)), $A:$AO, 41, FALSE)))))"),"MZpas;")</f>
        <v>MZpas;</v>
      </c>
      <c r="AP153" s="89"/>
    </row>
    <row r="154">
      <c r="A154" s="151" t="str">
        <f>IFERROR(__xludf.DUMMYFUNCTION("""COMPUTED_VALUE"""),"MZEC")</f>
        <v>MZEC</v>
      </c>
      <c r="B154" s="42" t="str">
        <f>IFERROR(__xludf.DUMMYFUNCTION("""COMPUTED_VALUE"""),"DHBA")</f>
        <v>DHBA</v>
      </c>
      <c r="C154" s="42" t="str">
        <f>IFERROR(__xludf.DUMMYFUNCTION("""COMPUTED_VALUE"""),"MZ in entorhinal cortex")</f>
        <v>MZ in entorhinal cortex</v>
      </c>
      <c r="D154" s="42">
        <f>IFERROR(__xludf.DUMMYFUNCTION("""COMPUTED_VALUE"""),120.0)</f>
        <v>120</v>
      </c>
      <c r="E154" s="39" t="str">
        <f>IFERROR(__xludf.DUMMYFUNCTION("""COMPUTED_VALUE"""),"MZ in entorhinal cortex")</f>
        <v>MZ in entorhinal cortex</v>
      </c>
      <c r="F154" s="9" t="str">
        <f>IFERROR(__xludf.DUMMYFUNCTION("""COMPUTED_VALUE"""),"Br")</f>
        <v>Br</v>
      </c>
      <c r="G154" s="9" t="str">
        <f>IFERROR(__xludf.DUMMYFUNCTION("""COMPUTED_VALUE"""),"F")</f>
        <v>F</v>
      </c>
      <c r="H154" s="9" t="str">
        <f>IFERROR(__xludf.DUMMYFUNCTION("""COMPUTED_VALUE"""),"FGM")</f>
        <v>FGM</v>
      </c>
      <c r="I154" s="9" t="str">
        <f>IFERROR(__xludf.DUMMYFUNCTION("""COMPUTED_VALUE"""),"FTS")</f>
        <v>FTS</v>
      </c>
      <c r="J154" s="9" t="str">
        <f>IFERROR(__xludf.DUMMYFUNCTION("""COMPUTED_VALUE"""),"MZ")</f>
        <v>MZ</v>
      </c>
      <c r="K154" s="9" t="str">
        <f>IFERROR(__xludf.DUMMYFUNCTION("""COMPUTED_VALUE"""),"peMZ")</f>
        <v>peMZ</v>
      </c>
      <c r="L154" s="9" t="str">
        <f>IFERROR(__xludf.DUMMYFUNCTION("""COMPUTED_VALUE"""),"MZEC")</f>
        <v>MZEC</v>
      </c>
      <c r="M154" s="9"/>
      <c r="N154" s="9"/>
      <c r="O154" s="9"/>
      <c r="P154" s="9"/>
      <c r="Q154" s="9"/>
      <c r="R154" s="9"/>
      <c r="S154" s="42" t="str">
        <f>IFERROR(__xludf.DUMMYFUNCTION("""COMPUTED_VALUE"""),"MZlec;
MZmec")</f>
        <v>MZlec;
MZmec</v>
      </c>
      <c r="T154" s="42"/>
      <c r="U154" s="42" t="b">
        <f>IFERROR(__xludf.DUMMYFUNCTION("""COMPUTED_VALUE"""),FALSE)</f>
        <v>0</v>
      </c>
      <c r="V154" s="42"/>
      <c r="W154" s="42"/>
      <c r="X154" s="42"/>
      <c r="Y154" s="42"/>
      <c r="Z154" s="42"/>
      <c r="AA154" s="42"/>
      <c r="AB154" s="42" t="str">
        <f>IFERROR(__xludf.DUMMYFUNCTION("""COMPUTED_VALUE"""),"allen institute")</f>
        <v>allen institute</v>
      </c>
      <c r="AC154" s="42" t="str">
        <f>IFERROR(__xludf.DUMMYFUNCTION("""COMPUTED_VALUE"""),"DHBA")</f>
        <v>DHBA</v>
      </c>
      <c r="AD154" s="42"/>
      <c r="AE154" s="42"/>
      <c r="AF154" s="9"/>
      <c r="AG154" s="9"/>
      <c r="AH154" s="42"/>
      <c r="AI154" s="42"/>
      <c r="AJ154" s="42"/>
      <c r="AK154" s="42"/>
      <c r="AL154" s="42"/>
      <c r="AM154" s="42"/>
      <c r="AN154" s="42"/>
      <c r="AO154" s="63" t="str">
        <f>IFERROR(__xludf.DUMMYFUNCTION("IF(ISBLANK(A154),,IF(ISBLANK(S154), A154&amp;"";"", TEXTJOIN(CHAR(10), TRUE, A154&amp;"";"", ARRAYFORMULA(VLOOKUP(SPLIT(S154, "";"" &amp; CHAR(10)), $A:$AO, 41, FALSE)))))"),"#REF!")</f>
        <v>#REF!</v>
      </c>
      <c r="AP154" s="89"/>
    </row>
    <row r="155">
      <c r="A155" s="151" t="str">
        <f>IFERROR(__xludf.DUMMYFUNCTION("""COMPUTED_VALUE"""),"MZlec")</f>
        <v>MZlec</v>
      </c>
      <c r="B155" s="42" t="str">
        <f>IFERROR(__xludf.DUMMYFUNCTION("""COMPUTED_VALUE"""),"DHBA")</f>
        <v>DHBA</v>
      </c>
      <c r="C155" s="42" t="str">
        <f>IFERROR(__xludf.DUMMYFUNCTION("""COMPUTED_VALUE"""),"MZ in lateral (anterior) entorhinal cortex")</f>
        <v>MZ in lateral (anterior) entorhinal cortex</v>
      </c>
      <c r="D155" s="42">
        <f>IFERROR(__xludf.DUMMYFUNCTION("""COMPUTED_VALUE"""),121.0)</f>
        <v>121</v>
      </c>
      <c r="E155" s="39" t="str">
        <f>IFERROR(__xludf.DUMMYFUNCTION("""COMPUTED_VALUE"""),"MZ in lateral (anterior) entorhinal cortex")</f>
        <v>MZ in lateral (anterior) entorhinal cortex</v>
      </c>
      <c r="F155" s="9" t="str">
        <f>IFERROR(__xludf.DUMMYFUNCTION("""COMPUTED_VALUE"""),"Br")</f>
        <v>Br</v>
      </c>
      <c r="G155" s="9" t="str">
        <f>IFERROR(__xludf.DUMMYFUNCTION("""COMPUTED_VALUE"""),"F")</f>
        <v>F</v>
      </c>
      <c r="H155" s="9" t="str">
        <f>IFERROR(__xludf.DUMMYFUNCTION("""COMPUTED_VALUE"""),"FGM")</f>
        <v>FGM</v>
      </c>
      <c r="I155" s="9" t="str">
        <f>IFERROR(__xludf.DUMMYFUNCTION("""COMPUTED_VALUE"""),"FTS")</f>
        <v>FTS</v>
      </c>
      <c r="J155" s="9" t="str">
        <f>IFERROR(__xludf.DUMMYFUNCTION("""COMPUTED_VALUE"""),"MZ")</f>
        <v>MZ</v>
      </c>
      <c r="K155" s="9" t="str">
        <f>IFERROR(__xludf.DUMMYFUNCTION("""COMPUTED_VALUE"""),"peMZ")</f>
        <v>peMZ</v>
      </c>
      <c r="L155" s="9" t="str">
        <f>IFERROR(__xludf.DUMMYFUNCTION("""COMPUTED_VALUE"""),"MZEC")</f>
        <v>MZEC</v>
      </c>
      <c r="M155" s="9" t="str">
        <f>IFERROR(__xludf.DUMMYFUNCTION("""COMPUTED_VALUE"""),"MZlec")</f>
        <v>MZlec</v>
      </c>
      <c r="N155" s="9"/>
      <c r="O155" s="9"/>
      <c r="P155" s="9"/>
      <c r="Q155" s="9"/>
      <c r="R155" s="9"/>
      <c r="S155" s="42" t="str">
        <f>IFERROR(__xludf.DUMMYFUNCTION("""COMPUTED_VALUE"""),"MZeo;
Mzer")</f>
        <v>MZeo;
Mzer</v>
      </c>
      <c r="T155" s="42"/>
      <c r="U155" s="42" t="b">
        <f>IFERROR(__xludf.DUMMYFUNCTION("""COMPUTED_VALUE"""),FALSE)</f>
        <v>0</v>
      </c>
      <c r="V155" s="42"/>
      <c r="W155" s="42"/>
      <c r="X155" s="42"/>
      <c r="Y155" s="42"/>
      <c r="Z155" s="42"/>
      <c r="AA155" s="42"/>
      <c r="AB155" s="42" t="str">
        <f>IFERROR(__xludf.DUMMYFUNCTION("""COMPUTED_VALUE"""),"allen institute")</f>
        <v>allen institute</v>
      </c>
      <c r="AC155" s="42" t="str">
        <f>IFERROR(__xludf.DUMMYFUNCTION("""COMPUTED_VALUE"""),"DHBA")</f>
        <v>DHBA</v>
      </c>
      <c r="AD155" s="42"/>
      <c r="AE155" s="42"/>
      <c r="AF155" s="9"/>
      <c r="AG155" s="9"/>
      <c r="AH155" s="42"/>
      <c r="AI155" s="42"/>
      <c r="AJ155" s="42"/>
      <c r="AK155" s="42"/>
      <c r="AL155" s="42"/>
      <c r="AM155" s="42"/>
      <c r="AN155" s="42"/>
      <c r="AO155" s="63" t="str">
        <f>IFERROR(__xludf.DUMMYFUNCTION("IF(ISBLANK(A155),,IF(ISBLANK(S155), A155&amp;"";"", TEXTJOIN(CHAR(10), TRUE, A155&amp;"";"", ARRAYFORMULA(VLOOKUP(SPLIT(S155, "";"" &amp; CHAR(10)), $A:$AO, 41, FALSE)))))"),"MZlec;
MZeo;
Mzer;")</f>
        <v>MZlec;
MZeo;
Mzer;</v>
      </c>
      <c r="AP155" s="89"/>
    </row>
    <row r="156">
      <c r="A156" s="151" t="str">
        <f>IFERROR(__xludf.DUMMYFUNCTION("""COMPUTED_VALUE"""),"MZeo")</f>
        <v>MZeo</v>
      </c>
      <c r="B156" s="42" t="str">
        <f>IFERROR(__xludf.DUMMYFUNCTION("""COMPUTED_VALUE"""),"DHBA")</f>
        <v>DHBA</v>
      </c>
      <c r="C156" s="42" t="str">
        <f>IFERROR(__xludf.DUMMYFUNCTION("""COMPUTED_VALUE"""),"MZ in olfactory entorhinal cortex")</f>
        <v>MZ in olfactory entorhinal cortex</v>
      </c>
      <c r="D156" s="42">
        <f>IFERROR(__xludf.DUMMYFUNCTION("""COMPUTED_VALUE"""),122.0)</f>
        <v>122</v>
      </c>
      <c r="E156" s="39" t="str">
        <f>IFERROR(__xludf.DUMMYFUNCTION("""COMPUTED_VALUE"""),"MZ in olfactory entorhinal cortex")</f>
        <v>MZ in olfactory entorhinal cortex</v>
      </c>
      <c r="F156" s="9" t="str">
        <f>IFERROR(__xludf.DUMMYFUNCTION("""COMPUTED_VALUE"""),"Br")</f>
        <v>Br</v>
      </c>
      <c r="G156" s="9" t="str">
        <f>IFERROR(__xludf.DUMMYFUNCTION("""COMPUTED_VALUE"""),"F")</f>
        <v>F</v>
      </c>
      <c r="H156" s="9" t="str">
        <f>IFERROR(__xludf.DUMMYFUNCTION("""COMPUTED_VALUE"""),"FGM")</f>
        <v>FGM</v>
      </c>
      <c r="I156" s="9" t="str">
        <f>IFERROR(__xludf.DUMMYFUNCTION("""COMPUTED_VALUE"""),"FTS")</f>
        <v>FTS</v>
      </c>
      <c r="J156" s="9" t="str">
        <f>IFERROR(__xludf.DUMMYFUNCTION("""COMPUTED_VALUE"""),"MZ")</f>
        <v>MZ</v>
      </c>
      <c r="K156" s="9" t="str">
        <f>IFERROR(__xludf.DUMMYFUNCTION("""COMPUTED_VALUE"""),"peMZ")</f>
        <v>peMZ</v>
      </c>
      <c r="L156" s="9" t="str">
        <f>IFERROR(__xludf.DUMMYFUNCTION("""COMPUTED_VALUE"""),"MZEC")</f>
        <v>MZEC</v>
      </c>
      <c r="M156" s="9" t="str">
        <f>IFERROR(__xludf.DUMMYFUNCTION("""COMPUTED_VALUE"""),"MZlec")</f>
        <v>MZlec</v>
      </c>
      <c r="N156" s="9" t="str">
        <f>IFERROR(__xludf.DUMMYFUNCTION("""COMPUTED_VALUE"""),"MZeo")</f>
        <v>MZeo</v>
      </c>
      <c r="O156" s="9"/>
      <c r="P156" s="9"/>
      <c r="Q156" s="9"/>
      <c r="R156" s="9"/>
      <c r="S156" s="42"/>
      <c r="T156" s="42"/>
      <c r="U156" s="42"/>
      <c r="V156" s="42"/>
      <c r="W156" s="42"/>
      <c r="X156" s="42"/>
      <c r="Y156" s="42"/>
      <c r="Z156" s="42"/>
      <c r="AA156" s="42"/>
      <c r="AB156" s="42" t="str">
        <f>IFERROR(__xludf.DUMMYFUNCTION("""COMPUTED_VALUE"""),"allen institute")</f>
        <v>allen institute</v>
      </c>
      <c r="AC156" s="42" t="str">
        <f>IFERROR(__xludf.DUMMYFUNCTION("""COMPUTED_VALUE"""),"DHBA")</f>
        <v>DHBA</v>
      </c>
      <c r="AD156" s="42"/>
      <c r="AE156" s="42"/>
      <c r="AF156" s="9"/>
      <c r="AG156" s="9"/>
      <c r="AH156" s="42"/>
      <c r="AI156" s="42"/>
      <c r="AJ156" s="42"/>
      <c r="AK156" s="42"/>
      <c r="AL156" s="42"/>
      <c r="AM156" s="42"/>
      <c r="AN156" s="42"/>
      <c r="AO156" s="63" t="str">
        <f>IFERROR(__xludf.DUMMYFUNCTION("IF(ISBLANK(A156),,IF(ISBLANK(S156), A156&amp;"";"", TEXTJOIN(CHAR(10), TRUE, A156&amp;"";"", ARRAYFORMULA(VLOOKUP(SPLIT(S156, "";"" &amp; CHAR(10)), $A:$AO, 41, FALSE)))))"),"MZeo;")</f>
        <v>MZeo;</v>
      </c>
      <c r="AP156" s="89"/>
    </row>
    <row r="157">
      <c r="A157" s="151" t="str">
        <f>IFERROR(__xludf.DUMMYFUNCTION("""COMPUTED_VALUE"""),"Mzer")</f>
        <v>Mzer</v>
      </c>
      <c r="B157" s="42" t="str">
        <f>IFERROR(__xludf.DUMMYFUNCTION("""COMPUTED_VALUE"""),"DHBA")</f>
        <v>DHBA</v>
      </c>
      <c r="C157" s="42" t="str">
        <f>IFERROR(__xludf.DUMMYFUNCTION("""COMPUTED_VALUE"""),"MZ in rostral entorhinal cortex")</f>
        <v>MZ in rostral entorhinal cortex</v>
      </c>
      <c r="D157" s="42">
        <f>IFERROR(__xludf.DUMMYFUNCTION("""COMPUTED_VALUE"""),123.0)</f>
        <v>123</v>
      </c>
      <c r="E157" s="39" t="str">
        <f>IFERROR(__xludf.DUMMYFUNCTION("""COMPUTED_VALUE"""),"MZ in rostral entorhinal cortex")</f>
        <v>MZ in rostral entorhinal cortex</v>
      </c>
      <c r="F157" s="9" t="str">
        <f>IFERROR(__xludf.DUMMYFUNCTION("""COMPUTED_VALUE"""),"Br")</f>
        <v>Br</v>
      </c>
      <c r="G157" s="9" t="str">
        <f>IFERROR(__xludf.DUMMYFUNCTION("""COMPUTED_VALUE"""),"F")</f>
        <v>F</v>
      </c>
      <c r="H157" s="9" t="str">
        <f>IFERROR(__xludf.DUMMYFUNCTION("""COMPUTED_VALUE"""),"FGM")</f>
        <v>FGM</v>
      </c>
      <c r="I157" s="9" t="str">
        <f>IFERROR(__xludf.DUMMYFUNCTION("""COMPUTED_VALUE"""),"FTS")</f>
        <v>FTS</v>
      </c>
      <c r="J157" s="9" t="str">
        <f>IFERROR(__xludf.DUMMYFUNCTION("""COMPUTED_VALUE"""),"MZ")</f>
        <v>MZ</v>
      </c>
      <c r="K157" s="9" t="str">
        <f>IFERROR(__xludf.DUMMYFUNCTION("""COMPUTED_VALUE"""),"peMZ")</f>
        <v>peMZ</v>
      </c>
      <c r="L157" s="9" t="str">
        <f>IFERROR(__xludf.DUMMYFUNCTION("""COMPUTED_VALUE"""),"MZEC")</f>
        <v>MZEC</v>
      </c>
      <c r="M157" s="9" t="str">
        <f>IFERROR(__xludf.DUMMYFUNCTION("""COMPUTED_VALUE"""),"MZlec")</f>
        <v>MZlec</v>
      </c>
      <c r="N157" s="9" t="str">
        <f>IFERROR(__xludf.DUMMYFUNCTION("""COMPUTED_VALUE"""),"Mzer")</f>
        <v>Mzer</v>
      </c>
      <c r="O157" s="9"/>
      <c r="P157" s="9"/>
      <c r="Q157" s="9"/>
      <c r="R157" s="9"/>
      <c r="S157" s="42"/>
      <c r="T157" s="42"/>
      <c r="U157" s="42"/>
      <c r="V157" s="42"/>
      <c r="W157" s="42"/>
      <c r="X157" s="42"/>
      <c r="Y157" s="42"/>
      <c r="Z157" s="42"/>
      <c r="AA157" s="42"/>
      <c r="AB157" s="42" t="str">
        <f>IFERROR(__xludf.DUMMYFUNCTION("""COMPUTED_VALUE"""),"allen institute")</f>
        <v>allen institute</v>
      </c>
      <c r="AC157" s="42" t="str">
        <f>IFERROR(__xludf.DUMMYFUNCTION("""COMPUTED_VALUE"""),"DHBA")</f>
        <v>DHBA</v>
      </c>
      <c r="AD157" s="42"/>
      <c r="AE157" s="42"/>
      <c r="AF157" s="9"/>
      <c r="AG157" s="9"/>
      <c r="AH157" s="42"/>
      <c r="AI157" s="42"/>
      <c r="AJ157" s="42"/>
      <c r="AK157" s="42"/>
      <c r="AL157" s="42"/>
      <c r="AM157" s="42"/>
      <c r="AN157" s="42"/>
      <c r="AO157" s="63" t="str">
        <f>IFERROR(__xludf.DUMMYFUNCTION("IF(ISBLANK(A157),,IF(ISBLANK(S157), A157&amp;"";"", TEXTJOIN(CHAR(10), TRUE, A157&amp;"";"", ARRAYFORMULA(VLOOKUP(SPLIT(S157, "";"" &amp; CHAR(10)), $A:$AO, 41, FALSE)))))"),"Mzer;")</f>
        <v>Mzer;</v>
      </c>
      <c r="AP157" s="89"/>
    </row>
    <row r="158">
      <c r="A158" s="151" t="str">
        <f>IFERROR(__xludf.DUMMYFUNCTION("""COMPUTED_VALUE"""),"MZmec")</f>
        <v>MZmec</v>
      </c>
      <c r="B158" s="42" t="str">
        <f>IFERROR(__xludf.DUMMYFUNCTION("""COMPUTED_VALUE"""),"DHBA")</f>
        <v>DHBA</v>
      </c>
      <c r="C158" s="42" t="str">
        <f>IFERROR(__xludf.DUMMYFUNCTION("""COMPUTED_VALUE"""),"MZ in medial (posterior) entorhinal cortex")</f>
        <v>MZ in medial (posterior) entorhinal cortex</v>
      </c>
      <c r="D158" s="42">
        <f>IFERROR(__xludf.DUMMYFUNCTION("""COMPUTED_VALUE"""),124.0)</f>
        <v>124</v>
      </c>
      <c r="E158" s="39" t="str">
        <f>IFERROR(__xludf.DUMMYFUNCTION("""COMPUTED_VALUE"""),"MZ in medial (posterior) entorhinal cortex")</f>
        <v>MZ in medial (posterior) entorhinal cortex</v>
      </c>
      <c r="F158" s="9" t="str">
        <f>IFERROR(__xludf.DUMMYFUNCTION("""COMPUTED_VALUE"""),"Br")</f>
        <v>Br</v>
      </c>
      <c r="G158" s="9" t="str">
        <f>IFERROR(__xludf.DUMMYFUNCTION("""COMPUTED_VALUE"""),"F")</f>
        <v>F</v>
      </c>
      <c r="H158" s="9" t="str">
        <f>IFERROR(__xludf.DUMMYFUNCTION("""COMPUTED_VALUE"""),"FGM")</f>
        <v>FGM</v>
      </c>
      <c r="I158" s="9" t="str">
        <f>IFERROR(__xludf.DUMMYFUNCTION("""COMPUTED_VALUE"""),"FTS")</f>
        <v>FTS</v>
      </c>
      <c r="J158" s="9" t="str">
        <f>IFERROR(__xludf.DUMMYFUNCTION("""COMPUTED_VALUE"""),"MZ")</f>
        <v>MZ</v>
      </c>
      <c r="K158" s="9" t="str">
        <f>IFERROR(__xludf.DUMMYFUNCTION("""COMPUTED_VALUE"""),"peMZ")</f>
        <v>peMZ</v>
      </c>
      <c r="L158" s="9" t="str">
        <f>IFERROR(__xludf.DUMMYFUNCTION("""COMPUTED_VALUE"""),"MZEC")</f>
        <v>MZEC</v>
      </c>
      <c r="M158" s="9" t="str">
        <f>IFERROR(__xludf.DUMMYFUNCTION("""COMPUTED_VALUE"""),"MZmec")</f>
        <v>MZmec</v>
      </c>
      <c r="N158" s="9"/>
      <c r="O158" s="9"/>
      <c r="P158" s="9"/>
      <c r="Q158" s="9"/>
      <c r="R158" s="9"/>
      <c r="S158" s="42" t="str">
        <f>IFERROR(__xludf.DUMMYFUNCTION("""COMPUTED_VALUE"""),"MZec")</f>
        <v>MZec</v>
      </c>
      <c r="T158" s="42"/>
      <c r="U158" s="42" t="b">
        <f>IFERROR(__xludf.DUMMYFUNCTION("""COMPUTED_VALUE"""),FALSE)</f>
        <v>0</v>
      </c>
      <c r="V158" s="42"/>
      <c r="W158" s="42"/>
      <c r="X158" s="42"/>
      <c r="Y158" s="42"/>
      <c r="Z158" s="42"/>
      <c r="AA158" s="42"/>
      <c r="AB158" s="42" t="str">
        <f>IFERROR(__xludf.DUMMYFUNCTION("""COMPUTED_VALUE"""),"allen institute")</f>
        <v>allen institute</v>
      </c>
      <c r="AC158" s="42" t="str">
        <f>IFERROR(__xludf.DUMMYFUNCTION("""COMPUTED_VALUE"""),"DHBA")</f>
        <v>DHBA</v>
      </c>
      <c r="AD158" s="42"/>
      <c r="AE158" s="42"/>
      <c r="AF158" s="9"/>
      <c r="AG158" s="9"/>
      <c r="AH158" s="42"/>
      <c r="AI158" s="42"/>
      <c r="AJ158" s="42"/>
      <c r="AK158" s="42"/>
      <c r="AL158" s="42"/>
      <c r="AM158" s="42"/>
      <c r="AN158" s="42"/>
      <c r="AO158" s="63" t="str">
        <f>IFERROR(__xludf.DUMMYFUNCTION("IF(ISBLANK(A158),,IF(ISBLANK(S158), A158&amp;"";"", TEXTJOIN(CHAR(10), TRUE, A158&amp;"";"", ARRAYFORMULA(VLOOKUP(SPLIT(S158, "";"" &amp; CHAR(10)), $A:$AO, 41, FALSE)))))"),"#REF!")</f>
        <v>#REF!</v>
      </c>
      <c r="AP158" s="89"/>
    </row>
    <row r="159">
      <c r="A159" s="151" t="str">
        <f>IFERROR(__xludf.DUMMYFUNCTION("""COMPUTED_VALUE"""),"MZec")</f>
        <v>MZec</v>
      </c>
      <c r="B159" s="42" t="str">
        <f>IFERROR(__xludf.DUMMYFUNCTION("""COMPUTED_VALUE"""),"DHBA")</f>
        <v>DHBA</v>
      </c>
      <c r="C159" s="42" t="str">
        <f>IFERROR(__xludf.DUMMYFUNCTION("""COMPUTED_VALUE"""),"MZ in caudal entorhinal cortex")</f>
        <v>MZ in caudal entorhinal cortex</v>
      </c>
      <c r="D159" s="42">
        <f>IFERROR(__xludf.DUMMYFUNCTION("""COMPUTED_VALUE"""),125.0)</f>
        <v>125</v>
      </c>
      <c r="E159" s="39" t="str">
        <f>IFERROR(__xludf.DUMMYFUNCTION("""COMPUTED_VALUE"""),"MZ in caudal entorhinal cortex")</f>
        <v>MZ in caudal entorhinal cortex</v>
      </c>
      <c r="F159" s="9" t="str">
        <f>IFERROR(__xludf.DUMMYFUNCTION("""COMPUTED_VALUE"""),"Br")</f>
        <v>Br</v>
      </c>
      <c r="G159" s="9" t="str">
        <f>IFERROR(__xludf.DUMMYFUNCTION("""COMPUTED_VALUE"""),"F")</f>
        <v>F</v>
      </c>
      <c r="H159" s="9" t="str">
        <f>IFERROR(__xludf.DUMMYFUNCTION("""COMPUTED_VALUE"""),"FGM")</f>
        <v>FGM</v>
      </c>
      <c r="I159" s="9" t="str">
        <f>IFERROR(__xludf.DUMMYFUNCTION("""COMPUTED_VALUE"""),"FTS")</f>
        <v>FTS</v>
      </c>
      <c r="J159" s="9" t="str">
        <f>IFERROR(__xludf.DUMMYFUNCTION("""COMPUTED_VALUE"""),"MZ")</f>
        <v>MZ</v>
      </c>
      <c r="K159" s="9" t="str">
        <f>IFERROR(__xludf.DUMMYFUNCTION("""COMPUTED_VALUE"""),"peMZ")</f>
        <v>peMZ</v>
      </c>
      <c r="L159" s="9" t="str">
        <f>IFERROR(__xludf.DUMMYFUNCTION("""COMPUTED_VALUE"""),"MZEC")</f>
        <v>MZEC</v>
      </c>
      <c r="M159" s="9" t="str">
        <f>IFERROR(__xludf.DUMMYFUNCTION("""COMPUTED_VALUE"""),"MZmec")</f>
        <v>MZmec</v>
      </c>
      <c r="N159" s="9" t="str">
        <f>IFERROR(__xludf.DUMMYFUNCTION("""COMPUTED_VALUE"""),"MZec")</f>
        <v>MZec</v>
      </c>
      <c r="O159" s="9"/>
      <c r="P159" s="9"/>
      <c r="Q159" s="9"/>
      <c r="R159" s="9"/>
      <c r="S159" s="42"/>
      <c r="T159" s="42"/>
      <c r="U159" s="42"/>
      <c r="V159" s="42"/>
      <c r="W159" s="42"/>
      <c r="X159" s="42"/>
      <c r="Y159" s="42"/>
      <c r="Z159" s="42"/>
      <c r="AA159" s="42"/>
      <c r="AB159" s="42" t="str">
        <f>IFERROR(__xludf.DUMMYFUNCTION("""COMPUTED_VALUE"""),"allen institute")</f>
        <v>allen institute</v>
      </c>
      <c r="AC159" s="42" t="str">
        <f>IFERROR(__xludf.DUMMYFUNCTION("""COMPUTED_VALUE"""),"DHBA")</f>
        <v>DHBA</v>
      </c>
      <c r="AD159" s="42"/>
      <c r="AE159" s="42"/>
      <c r="AF159" s="9"/>
      <c r="AG159" s="9"/>
      <c r="AH159" s="42"/>
      <c r="AI159" s="42"/>
      <c r="AJ159" s="42"/>
      <c r="AK159" s="42"/>
      <c r="AL159" s="42"/>
      <c r="AM159" s="42"/>
      <c r="AN159" s="42"/>
      <c r="AO159" s="63" t="str">
        <f>IFERROR(__xludf.DUMMYFUNCTION("IF(ISBLANK(A159),,IF(ISBLANK(S159), A159&amp;"";"", TEXTJOIN(CHAR(10), TRUE, A159&amp;"";"", ARRAYFORMULA(VLOOKUP(SPLIT(S159, "";"" &amp; CHAR(10)), $A:$AO, 41, FALSE)))))"),"MZec;")</f>
        <v>MZec;</v>
      </c>
      <c r="AP159" s="89"/>
    </row>
    <row r="160">
      <c r="A160" s="151" t="str">
        <f>IFERROR(__xludf.DUMMYFUNCTION("""COMPUTED_VALUE"""),"MZprs")</f>
        <v>MZprs</v>
      </c>
      <c r="B160" s="42" t="str">
        <f>IFERROR(__xludf.DUMMYFUNCTION("""COMPUTED_VALUE"""),"DHBA")</f>
        <v>DHBA</v>
      </c>
      <c r="C160" s="42" t="str">
        <f>IFERROR(__xludf.DUMMYFUNCTION("""COMPUTED_VALUE"""),"MZ in presubicular cortex")</f>
        <v>MZ in presubicular cortex</v>
      </c>
      <c r="D160" s="42">
        <f>IFERROR(__xludf.DUMMYFUNCTION("""COMPUTED_VALUE"""),126.0)</f>
        <v>126</v>
      </c>
      <c r="E160" s="39" t="str">
        <f>IFERROR(__xludf.DUMMYFUNCTION("""COMPUTED_VALUE"""),"MZ in presubicular cortex")</f>
        <v>MZ in presubicular cortex</v>
      </c>
      <c r="F160" s="9" t="str">
        <f>IFERROR(__xludf.DUMMYFUNCTION("""COMPUTED_VALUE"""),"Br")</f>
        <v>Br</v>
      </c>
      <c r="G160" s="9" t="str">
        <f>IFERROR(__xludf.DUMMYFUNCTION("""COMPUTED_VALUE"""),"F")</f>
        <v>F</v>
      </c>
      <c r="H160" s="9" t="str">
        <f>IFERROR(__xludf.DUMMYFUNCTION("""COMPUTED_VALUE"""),"FGM")</f>
        <v>FGM</v>
      </c>
      <c r="I160" s="9" t="str">
        <f>IFERROR(__xludf.DUMMYFUNCTION("""COMPUTED_VALUE"""),"FTS")</f>
        <v>FTS</v>
      </c>
      <c r="J160" s="9" t="str">
        <f>IFERROR(__xludf.DUMMYFUNCTION("""COMPUTED_VALUE"""),"MZ")</f>
        <v>MZ</v>
      </c>
      <c r="K160" s="9" t="str">
        <f>IFERROR(__xludf.DUMMYFUNCTION("""COMPUTED_VALUE"""),"peMZ")</f>
        <v>peMZ</v>
      </c>
      <c r="L160" s="9" t="str">
        <f>IFERROR(__xludf.DUMMYFUNCTION("""COMPUTED_VALUE"""),"MZprs")</f>
        <v>MZprs</v>
      </c>
      <c r="M160" s="9"/>
      <c r="N160" s="9"/>
      <c r="O160" s="9"/>
      <c r="P160" s="9"/>
      <c r="Q160" s="9"/>
      <c r="R160" s="9"/>
      <c r="S160" s="42" t="str">
        <f>IFERROR(__xludf.DUMMYFUNCTION("""COMPUTED_VALUE"""),"MZprsr;
MZprsc")</f>
        <v>MZprsr;
MZprsc</v>
      </c>
      <c r="T160" s="42"/>
      <c r="U160" s="42" t="b">
        <f>IFERROR(__xludf.DUMMYFUNCTION("""COMPUTED_VALUE"""),FALSE)</f>
        <v>0</v>
      </c>
      <c r="V160" s="42"/>
      <c r="W160" s="42"/>
      <c r="X160" s="42"/>
      <c r="Y160" s="42"/>
      <c r="Z160" s="42"/>
      <c r="AA160" s="42"/>
      <c r="AB160" s="42" t="str">
        <f>IFERROR(__xludf.DUMMYFUNCTION("""COMPUTED_VALUE"""),"allen institute")</f>
        <v>allen institute</v>
      </c>
      <c r="AC160" s="42" t="str">
        <f>IFERROR(__xludf.DUMMYFUNCTION("""COMPUTED_VALUE"""),"DHBA")</f>
        <v>DHBA</v>
      </c>
      <c r="AD160" s="42"/>
      <c r="AE160" s="42"/>
      <c r="AF160" s="9"/>
      <c r="AG160" s="9"/>
      <c r="AH160" s="42"/>
      <c r="AI160" s="42"/>
      <c r="AJ160" s="42"/>
      <c r="AK160" s="42"/>
      <c r="AL160" s="42"/>
      <c r="AM160" s="42"/>
      <c r="AN160" s="42"/>
      <c r="AO160" s="63" t="str">
        <f>IFERROR(__xludf.DUMMYFUNCTION("IF(ISBLANK(A160),,IF(ISBLANK(S160), A160&amp;"";"", TEXTJOIN(CHAR(10), TRUE, A160&amp;"";"", ARRAYFORMULA(VLOOKUP(SPLIT(S160, "";"" &amp; CHAR(10)), $A:$AO, 41, FALSE)))))"),"MZprs;
MZprsr;
MZprsc;")</f>
        <v>MZprs;
MZprsr;
MZprsc;</v>
      </c>
      <c r="AP160" s="89"/>
    </row>
    <row r="161">
      <c r="A161" s="151" t="str">
        <f>IFERROR(__xludf.DUMMYFUNCTION("""COMPUTED_VALUE"""),"MZprsr")</f>
        <v>MZprsr</v>
      </c>
      <c r="B161" s="42" t="str">
        <f>IFERROR(__xludf.DUMMYFUNCTION("""COMPUTED_VALUE"""),"DHBA")</f>
        <v>DHBA</v>
      </c>
      <c r="C161" s="42" t="str">
        <f>IFERROR(__xludf.DUMMYFUNCTION("""COMPUTED_VALUE"""),"MZ in rostral presubicular cortex")</f>
        <v>MZ in rostral presubicular cortex</v>
      </c>
      <c r="D161" s="42">
        <f>IFERROR(__xludf.DUMMYFUNCTION("""COMPUTED_VALUE"""),127.0)</f>
        <v>127</v>
      </c>
      <c r="E161" s="39" t="str">
        <f>IFERROR(__xludf.DUMMYFUNCTION("""COMPUTED_VALUE"""),"MZ in rostral presubicular cortex")</f>
        <v>MZ in rostral presubicular cortex</v>
      </c>
      <c r="F161" s="9" t="str">
        <f>IFERROR(__xludf.DUMMYFUNCTION("""COMPUTED_VALUE"""),"Br")</f>
        <v>Br</v>
      </c>
      <c r="G161" s="9" t="str">
        <f>IFERROR(__xludf.DUMMYFUNCTION("""COMPUTED_VALUE"""),"F")</f>
        <v>F</v>
      </c>
      <c r="H161" s="9" t="str">
        <f>IFERROR(__xludf.DUMMYFUNCTION("""COMPUTED_VALUE"""),"FGM")</f>
        <v>FGM</v>
      </c>
      <c r="I161" s="9" t="str">
        <f>IFERROR(__xludf.DUMMYFUNCTION("""COMPUTED_VALUE"""),"FTS")</f>
        <v>FTS</v>
      </c>
      <c r="J161" s="9" t="str">
        <f>IFERROR(__xludf.DUMMYFUNCTION("""COMPUTED_VALUE"""),"MZ")</f>
        <v>MZ</v>
      </c>
      <c r="K161" s="9" t="str">
        <f>IFERROR(__xludf.DUMMYFUNCTION("""COMPUTED_VALUE"""),"peMZ")</f>
        <v>peMZ</v>
      </c>
      <c r="L161" s="9" t="str">
        <f>IFERROR(__xludf.DUMMYFUNCTION("""COMPUTED_VALUE"""),"MZprs")</f>
        <v>MZprs</v>
      </c>
      <c r="M161" s="9" t="str">
        <f>IFERROR(__xludf.DUMMYFUNCTION("""COMPUTED_VALUE"""),"MZprsr")</f>
        <v>MZprsr</v>
      </c>
      <c r="N161" s="9"/>
      <c r="O161" s="9"/>
      <c r="P161" s="9"/>
      <c r="Q161" s="9"/>
      <c r="R161" s="9"/>
      <c r="S161" s="42"/>
      <c r="T161" s="42"/>
      <c r="U161" s="42"/>
      <c r="V161" s="42"/>
      <c r="W161" s="42"/>
      <c r="X161" s="42"/>
      <c r="Y161" s="42"/>
      <c r="Z161" s="42"/>
      <c r="AA161" s="42"/>
      <c r="AB161" s="42" t="str">
        <f>IFERROR(__xludf.DUMMYFUNCTION("""COMPUTED_VALUE"""),"allen institute")</f>
        <v>allen institute</v>
      </c>
      <c r="AC161" s="42" t="str">
        <f>IFERROR(__xludf.DUMMYFUNCTION("""COMPUTED_VALUE"""),"DHBA")</f>
        <v>DHBA</v>
      </c>
      <c r="AD161" s="42"/>
      <c r="AE161" s="42"/>
      <c r="AF161" s="9"/>
      <c r="AG161" s="9"/>
      <c r="AH161" s="42"/>
      <c r="AI161" s="42"/>
      <c r="AJ161" s="42"/>
      <c r="AK161" s="42"/>
      <c r="AL161" s="42"/>
      <c r="AM161" s="42"/>
      <c r="AN161" s="42"/>
      <c r="AO161" s="63" t="str">
        <f>IFERROR(__xludf.DUMMYFUNCTION("IF(ISBLANK(A161),,IF(ISBLANK(S161), A161&amp;"";"", TEXTJOIN(CHAR(10), TRUE, A161&amp;"";"", ARRAYFORMULA(VLOOKUP(SPLIT(S161, "";"" &amp; CHAR(10)), $A:$AO, 41, FALSE)))))"),"MZprsr;")</f>
        <v>MZprsr;</v>
      </c>
      <c r="AP161" s="89"/>
    </row>
    <row r="162">
      <c r="A162" s="151" t="str">
        <f>IFERROR(__xludf.DUMMYFUNCTION("""COMPUTED_VALUE"""),"MZprsc")</f>
        <v>MZprsc</v>
      </c>
      <c r="B162" s="42" t="str">
        <f>IFERROR(__xludf.DUMMYFUNCTION("""COMPUTED_VALUE"""),"DHBA")</f>
        <v>DHBA</v>
      </c>
      <c r="C162" s="42" t="str">
        <f>IFERROR(__xludf.DUMMYFUNCTION("""COMPUTED_VALUE"""),"MZ in caudal presubicular cortex (postsubiculum)")</f>
        <v>MZ in caudal presubicular cortex (postsubiculum)</v>
      </c>
      <c r="D162" s="42">
        <f>IFERROR(__xludf.DUMMYFUNCTION("""COMPUTED_VALUE"""),128.0)</f>
        <v>128</v>
      </c>
      <c r="E162" s="39" t="str">
        <f>IFERROR(__xludf.DUMMYFUNCTION("""COMPUTED_VALUE"""),"MZ in caudal presubicular cortex (postsubiculum)")</f>
        <v>MZ in caudal presubicular cortex (postsubiculum)</v>
      </c>
      <c r="F162" s="9" t="str">
        <f>IFERROR(__xludf.DUMMYFUNCTION("""COMPUTED_VALUE"""),"Br")</f>
        <v>Br</v>
      </c>
      <c r="G162" s="9" t="str">
        <f>IFERROR(__xludf.DUMMYFUNCTION("""COMPUTED_VALUE"""),"F")</f>
        <v>F</v>
      </c>
      <c r="H162" s="9" t="str">
        <f>IFERROR(__xludf.DUMMYFUNCTION("""COMPUTED_VALUE"""),"FGM")</f>
        <v>FGM</v>
      </c>
      <c r="I162" s="9" t="str">
        <f>IFERROR(__xludf.DUMMYFUNCTION("""COMPUTED_VALUE"""),"FTS")</f>
        <v>FTS</v>
      </c>
      <c r="J162" s="9" t="str">
        <f>IFERROR(__xludf.DUMMYFUNCTION("""COMPUTED_VALUE"""),"MZ")</f>
        <v>MZ</v>
      </c>
      <c r="K162" s="9" t="str">
        <f>IFERROR(__xludf.DUMMYFUNCTION("""COMPUTED_VALUE"""),"peMZ")</f>
        <v>peMZ</v>
      </c>
      <c r="L162" s="9" t="str">
        <f>IFERROR(__xludf.DUMMYFUNCTION("""COMPUTED_VALUE"""),"MZprs")</f>
        <v>MZprs</v>
      </c>
      <c r="M162" s="9" t="str">
        <f>IFERROR(__xludf.DUMMYFUNCTION("""COMPUTED_VALUE"""),"MZprsc")</f>
        <v>MZprsc</v>
      </c>
      <c r="N162" s="9"/>
      <c r="O162" s="9"/>
      <c r="P162" s="9"/>
      <c r="Q162" s="9"/>
      <c r="R162" s="9"/>
      <c r="S162" s="42"/>
      <c r="T162" s="42"/>
      <c r="U162" s="42"/>
      <c r="V162" s="42"/>
      <c r="W162" s="42"/>
      <c r="X162" s="42"/>
      <c r="Y162" s="42"/>
      <c r="Z162" s="42"/>
      <c r="AA162" s="42"/>
      <c r="AB162" s="42" t="str">
        <f>IFERROR(__xludf.DUMMYFUNCTION("""COMPUTED_VALUE"""),"allen institute")</f>
        <v>allen institute</v>
      </c>
      <c r="AC162" s="42" t="str">
        <f>IFERROR(__xludf.DUMMYFUNCTION("""COMPUTED_VALUE"""),"DHBA")</f>
        <v>DHBA</v>
      </c>
      <c r="AD162" s="42"/>
      <c r="AE162" s="42"/>
      <c r="AF162" s="9"/>
      <c r="AG162" s="9"/>
      <c r="AH162" s="42"/>
      <c r="AI162" s="42"/>
      <c r="AJ162" s="42"/>
      <c r="AK162" s="42"/>
      <c r="AL162" s="42"/>
      <c r="AM162" s="42"/>
      <c r="AN162" s="42"/>
      <c r="AO162" s="63" t="str">
        <f>IFERROR(__xludf.DUMMYFUNCTION("IF(ISBLANK(A162),,IF(ISBLANK(S162), A162&amp;"";"", TEXTJOIN(CHAR(10), TRUE, A162&amp;"";"", ARRAYFORMULA(VLOOKUP(SPLIT(S162, "";"" &amp; CHAR(10)), $A:$AO, 41, FALSE)))))"),"MZprsc;")</f>
        <v>MZprsc;</v>
      </c>
      <c r="AP162" s="89"/>
    </row>
    <row r="163">
      <c r="A163" s="151" t="str">
        <f>IFERROR(__xludf.DUMMYFUNCTION("""COMPUTED_VALUE"""),"MZrs")</f>
        <v>MZrs</v>
      </c>
      <c r="B163" s="42" t="str">
        <f>IFERROR(__xludf.DUMMYFUNCTION("""COMPUTED_VALUE"""),"DHBA")</f>
        <v>DHBA</v>
      </c>
      <c r="C163" s="42" t="str">
        <f>IFERROR(__xludf.DUMMYFUNCTION("""COMPUTED_VALUE"""),"MZ in retrosplenial cortex")</f>
        <v>MZ in retrosplenial cortex</v>
      </c>
      <c r="D163" s="42">
        <f>IFERROR(__xludf.DUMMYFUNCTION("""COMPUTED_VALUE"""),129.0)</f>
        <v>129</v>
      </c>
      <c r="E163" s="39" t="str">
        <f>IFERROR(__xludf.DUMMYFUNCTION("""COMPUTED_VALUE"""),"MZ in retrosplenial cortex")</f>
        <v>MZ in retrosplenial cortex</v>
      </c>
      <c r="F163" s="9" t="str">
        <f>IFERROR(__xludf.DUMMYFUNCTION("""COMPUTED_VALUE"""),"Br")</f>
        <v>Br</v>
      </c>
      <c r="G163" s="9" t="str">
        <f>IFERROR(__xludf.DUMMYFUNCTION("""COMPUTED_VALUE"""),"F")</f>
        <v>F</v>
      </c>
      <c r="H163" s="9" t="str">
        <f>IFERROR(__xludf.DUMMYFUNCTION("""COMPUTED_VALUE"""),"FGM")</f>
        <v>FGM</v>
      </c>
      <c r="I163" s="9" t="str">
        <f>IFERROR(__xludf.DUMMYFUNCTION("""COMPUTED_VALUE"""),"FTS")</f>
        <v>FTS</v>
      </c>
      <c r="J163" s="9" t="str">
        <f>IFERROR(__xludf.DUMMYFUNCTION("""COMPUTED_VALUE"""),"MZ")</f>
        <v>MZ</v>
      </c>
      <c r="K163" s="9" t="str">
        <f>IFERROR(__xludf.DUMMYFUNCTION("""COMPUTED_VALUE"""),"peMZ")</f>
        <v>peMZ</v>
      </c>
      <c r="L163" s="9" t="str">
        <f>IFERROR(__xludf.DUMMYFUNCTION("""COMPUTED_VALUE"""),"MZrs")</f>
        <v>MZrs</v>
      </c>
      <c r="M163" s="9"/>
      <c r="N163" s="9"/>
      <c r="O163" s="9"/>
      <c r="P163" s="9"/>
      <c r="Q163" s="9"/>
      <c r="R163" s="9"/>
      <c r="S163" s="42"/>
      <c r="T163" s="42"/>
      <c r="U163" s="42"/>
      <c r="V163" s="42"/>
      <c r="W163" s="42"/>
      <c r="X163" s="42"/>
      <c r="Y163" s="42"/>
      <c r="Z163" s="42"/>
      <c r="AA163" s="42"/>
      <c r="AB163" s="42" t="str">
        <f>IFERROR(__xludf.DUMMYFUNCTION("""COMPUTED_VALUE"""),"allen institute")</f>
        <v>allen institute</v>
      </c>
      <c r="AC163" s="42" t="str">
        <f>IFERROR(__xludf.DUMMYFUNCTION("""COMPUTED_VALUE"""),"DHBA")</f>
        <v>DHBA</v>
      </c>
      <c r="AD163" s="42"/>
      <c r="AE163" s="42"/>
      <c r="AF163" s="9"/>
      <c r="AG163" s="9"/>
      <c r="AH163" s="42"/>
      <c r="AI163" s="42"/>
      <c r="AJ163" s="42"/>
      <c r="AK163" s="42"/>
      <c r="AL163" s="42"/>
      <c r="AM163" s="42"/>
      <c r="AN163" s="42"/>
      <c r="AO163" s="63" t="str">
        <f>IFERROR(__xludf.DUMMYFUNCTION("IF(ISBLANK(A163),,IF(ISBLANK(S163), A163&amp;"";"", TEXTJOIN(CHAR(10), TRUE, A163&amp;"";"", ARRAYFORMULA(VLOOKUP(SPLIT(S163, "";"" &amp; CHAR(10)), $A:$AO, 41, FALSE)))))"),"MZrs;")</f>
        <v>MZrs;</v>
      </c>
      <c r="AP163" s="89"/>
    </row>
    <row r="164">
      <c r="A164" s="151" t="str">
        <f>IFERROR(__xludf.DUMMYFUNCTION("""COMPUTED_VALUE"""),"MZIag")</f>
        <v>MZIag</v>
      </c>
      <c r="B164" s="42" t="str">
        <f>IFERROR(__xludf.DUMMYFUNCTION("""COMPUTED_VALUE"""),"DHBA")</f>
        <v>DHBA</v>
      </c>
      <c r="C164" s="42" t="str">
        <f>IFERROR(__xludf.DUMMYFUNCTION("""COMPUTED_VALUE"""),"MZ in agranular insular cortex")</f>
        <v>MZ in agranular insular cortex</v>
      </c>
      <c r="D164" s="42">
        <f>IFERROR(__xludf.DUMMYFUNCTION("""COMPUTED_VALUE"""),130.0)</f>
        <v>130</v>
      </c>
      <c r="E164" s="39" t="str">
        <f>IFERROR(__xludf.DUMMYFUNCTION("""COMPUTED_VALUE"""),"MZ in agranular insular cortex")</f>
        <v>MZ in agranular insular cortex</v>
      </c>
      <c r="F164" s="9" t="str">
        <f>IFERROR(__xludf.DUMMYFUNCTION("""COMPUTED_VALUE"""),"Br")</f>
        <v>Br</v>
      </c>
      <c r="G164" s="9" t="str">
        <f>IFERROR(__xludf.DUMMYFUNCTION("""COMPUTED_VALUE"""),"F")</f>
        <v>F</v>
      </c>
      <c r="H164" s="9" t="str">
        <f>IFERROR(__xludf.DUMMYFUNCTION("""COMPUTED_VALUE"""),"FGM")</f>
        <v>FGM</v>
      </c>
      <c r="I164" s="9" t="str">
        <f>IFERROR(__xludf.DUMMYFUNCTION("""COMPUTED_VALUE"""),"FTS")</f>
        <v>FTS</v>
      </c>
      <c r="J164" s="9" t="str">
        <f>IFERROR(__xludf.DUMMYFUNCTION("""COMPUTED_VALUE"""),"MZ")</f>
        <v>MZ</v>
      </c>
      <c r="K164" s="9" t="str">
        <f>IFERROR(__xludf.DUMMYFUNCTION("""COMPUTED_VALUE"""),"peMZ")</f>
        <v>peMZ</v>
      </c>
      <c r="L164" s="9" t="str">
        <f>IFERROR(__xludf.DUMMYFUNCTION("""COMPUTED_VALUE"""),"MZIag")</f>
        <v>MZIag</v>
      </c>
      <c r="M164" s="9"/>
      <c r="N164" s="9"/>
      <c r="O164" s="9"/>
      <c r="P164" s="9"/>
      <c r="Q164" s="9"/>
      <c r="R164" s="9"/>
      <c r="S164" s="42"/>
      <c r="T164" s="42"/>
      <c r="U164" s="42"/>
      <c r="V164" s="42"/>
      <c r="W164" s="42"/>
      <c r="X164" s="42"/>
      <c r="Y164" s="42"/>
      <c r="Z164" s="42"/>
      <c r="AA164" s="42"/>
      <c r="AB164" s="42" t="str">
        <f>IFERROR(__xludf.DUMMYFUNCTION("""COMPUTED_VALUE"""),"allen institute")</f>
        <v>allen institute</v>
      </c>
      <c r="AC164" s="42" t="str">
        <f>IFERROR(__xludf.DUMMYFUNCTION("""COMPUTED_VALUE"""),"DHBA")</f>
        <v>DHBA</v>
      </c>
      <c r="AD164" s="42"/>
      <c r="AE164" s="42"/>
      <c r="AF164" s="9"/>
      <c r="AG164" s="9"/>
      <c r="AH164" s="42"/>
      <c r="AI164" s="42"/>
      <c r="AJ164" s="42"/>
      <c r="AK164" s="42"/>
      <c r="AL164" s="42"/>
      <c r="AM164" s="42"/>
      <c r="AN164" s="42"/>
      <c r="AO164" s="63" t="str">
        <f>IFERROR(__xludf.DUMMYFUNCTION("IF(ISBLANK(A164),,IF(ISBLANK(S164), A164&amp;"";"", TEXTJOIN(CHAR(10), TRUE, A164&amp;"";"", ARRAYFORMULA(VLOOKUP(SPLIT(S164, "";"" &amp; CHAR(10)), $A:$AO, 41, FALSE)))))"),"MZIag;")</f>
        <v>MZIag;</v>
      </c>
      <c r="AP164" s="89"/>
    </row>
    <row r="165">
      <c r="A165" s="151" t="str">
        <f>IFERROR(__xludf.DUMMYFUNCTION("""COMPUTED_VALUE"""),"alMZ")</f>
        <v>alMZ</v>
      </c>
      <c r="B165" s="42" t="str">
        <f>IFERROR(__xludf.DUMMYFUNCTION("""COMPUTED_VALUE"""),"DHBA")</f>
        <v>DHBA</v>
      </c>
      <c r="C165" s="42" t="str">
        <f>IFERROR(__xludf.DUMMYFUNCTION("""COMPUTED_VALUE"""),"MZ in allocortex")</f>
        <v>MZ in allocortex</v>
      </c>
      <c r="D165" s="42">
        <f>IFERROR(__xludf.DUMMYFUNCTION("""COMPUTED_VALUE"""),131.0)</f>
        <v>131</v>
      </c>
      <c r="E165" s="39" t="str">
        <f>IFERROR(__xludf.DUMMYFUNCTION("""COMPUTED_VALUE"""),"MZ in allocortex")</f>
        <v>MZ in allocortex</v>
      </c>
      <c r="F165" s="9" t="str">
        <f>IFERROR(__xludf.DUMMYFUNCTION("""COMPUTED_VALUE"""),"Br")</f>
        <v>Br</v>
      </c>
      <c r="G165" s="9" t="str">
        <f>IFERROR(__xludf.DUMMYFUNCTION("""COMPUTED_VALUE"""),"F")</f>
        <v>F</v>
      </c>
      <c r="H165" s="9" t="str">
        <f>IFERROR(__xludf.DUMMYFUNCTION("""COMPUTED_VALUE"""),"FGM")</f>
        <v>FGM</v>
      </c>
      <c r="I165" s="9" t="str">
        <f>IFERROR(__xludf.DUMMYFUNCTION("""COMPUTED_VALUE"""),"FTS")</f>
        <v>FTS</v>
      </c>
      <c r="J165" s="9" t="str">
        <f>IFERROR(__xludf.DUMMYFUNCTION("""COMPUTED_VALUE"""),"MZ")</f>
        <v>MZ</v>
      </c>
      <c r="K165" s="9" t="str">
        <f>IFERROR(__xludf.DUMMYFUNCTION("""COMPUTED_VALUE"""),"alMZ")</f>
        <v>alMZ</v>
      </c>
      <c r="L165" s="9"/>
      <c r="M165" s="9"/>
      <c r="N165" s="9"/>
      <c r="O165" s="9"/>
      <c r="P165" s="9"/>
      <c r="Q165" s="9"/>
      <c r="R165" s="9"/>
      <c r="S165" s="42" t="str">
        <f>IFERROR(__xludf.DUMMYFUNCTION("""COMPUTED_VALUE"""),"MZhip;
MZsub;
MZpir;
MZiag")</f>
        <v>MZhip;
MZsub;
MZpir;
MZiag</v>
      </c>
      <c r="T165" s="42"/>
      <c r="U165" s="42" t="b">
        <f>IFERROR(__xludf.DUMMYFUNCTION("""COMPUTED_VALUE"""),FALSE)</f>
        <v>0</v>
      </c>
      <c r="V165" s="42"/>
      <c r="W165" s="42"/>
      <c r="X165" s="42"/>
      <c r="Y165" s="42"/>
      <c r="Z165" s="42"/>
      <c r="AA165" s="42"/>
      <c r="AB165" s="42" t="str">
        <f>IFERROR(__xludf.DUMMYFUNCTION("""COMPUTED_VALUE"""),"allen institute")</f>
        <v>allen institute</v>
      </c>
      <c r="AC165" s="42" t="str">
        <f>IFERROR(__xludf.DUMMYFUNCTION("""COMPUTED_VALUE"""),"DHBA")</f>
        <v>DHBA</v>
      </c>
      <c r="AD165" s="42"/>
      <c r="AE165" s="42"/>
      <c r="AF165" s="9"/>
      <c r="AG165" s="9"/>
      <c r="AH165" s="42"/>
      <c r="AI165" s="42"/>
      <c r="AJ165" s="42"/>
      <c r="AK165" s="42"/>
      <c r="AL165" s="42"/>
      <c r="AM165" s="42"/>
      <c r="AN165" s="42"/>
      <c r="AO165" s="63" t="str">
        <f>IFERROR(__xludf.DUMMYFUNCTION("IF(ISBLANK(A165),,IF(ISBLANK(S165), A165&amp;"";"", TEXTJOIN(CHAR(10), TRUE, A165&amp;"";"", ARRAYFORMULA(VLOOKUP(SPLIT(S165, "";"" &amp; CHAR(10)), $A:$AO, 41, FALSE)))))"),"alMZ;
MZhip;
MZhipr;
MZhipc;
MZsub;
MZsubr;
MZsubc;
MZpir;
MZIag;")</f>
        <v>alMZ;
MZhip;
MZhipr;
MZhipc;
MZsub;
MZsubr;
MZsubc;
MZpir;
MZIag;</v>
      </c>
      <c r="AP165" s="89"/>
    </row>
    <row r="166">
      <c r="A166" s="151" t="str">
        <f>IFERROR(__xludf.DUMMYFUNCTION("""COMPUTED_VALUE"""),"MZhip")</f>
        <v>MZhip</v>
      </c>
      <c r="B166" s="42" t="str">
        <f>IFERROR(__xludf.DUMMYFUNCTION("""COMPUTED_VALUE"""),"DHBA")</f>
        <v>DHBA</v>
      </c>
      <c r="C166" s="42" t="str">
        <f>IFERROR(__xludf.DUMMYFUNCTION("""COMPUTED_VALUE"""),"MZ in hippocampal proper")</f>
        <v>MZ in hippocampal proper</v>
      </c>
      <c r="D166" s="42">
        <f>IFERROR(__xludf.DUMMYFUNCTION("""COMPUTED_VALUE"""),132.0)</f>
        <v>132</v>
      </c>
      <c r="E166" s="39" t="str">
        <f>IFERROR(__xludf.DUMMYFUNCTION("""COMPUTED_VALUE"""),"MZ in hippocampal proper")</f>
        <v>MZ in hippocampal proper</v>
      </c>
      <c r="F166" s="9" t="str">
        <f>IFERROR(__xludf.DUMMYFUNCTION("""COMPUTED_VALUE"""),"Br")</f>
        <v>Br</v>
      </c>
      <c r="G166" s="9" t="str">
        <f>IFERROR(__xludf.DUMMYFUNCTION("""COMPUTED_VALUE"""),"F")</f>
        <v>F</v>
      </c>
      <c r="H166" s="9" t="str">
        <f>IFERROR(__xludf.DUMMYFUNCTION("""COMPUTED_VALUE"""),"FGM")</f>
        <v>FGM</v>
      </c>
      <c r="I166" s="9" t="str">
        <f>IFERROR(__xludf.DUMMYFUNCTION("""COMPUTED_VALUE"""),"FTS")</f>
        <v>FTS</v>
      </c>
      <c r="J166" s="9" t="str">
        <f>IFERROR(__xludf.DUMMYFUNCTION("""COMPUTED_VALUE"""),"MZ")</f>
        <v>MZ</v>
      </c>
      <c r="K166" s="9" t="str">
        <f>IFERROR(__xludf.DUMMYFUNCTION("""COMPUTED_VALUE"""),"alMZ")</f>
        <v>alMZ</v>
      </c>
      <c r="L166" s="9" t="str">
        <f>IFERROR(__xludf.DUMMYFUNCTION("""COMPUTED_VALUE"""),"MZhip")</f>
        <v>MZhip</v>
      </c>
      <c r="M166" s="9"/>
      <c r="N166" s="9"/>
      <c r="O166" s="9"/>
      <c r="P166" s="9"/>
      <c r="Q166" s="9"/>
      <c r="R166" s="9"/>
      <c r="S166" s="42" t="str">
        <f>IFERROR(__xludf.DUMMYFUNCTION("""COMPUTED_VALUE"""),"MZhipr;
MZhipc")</f>
        <v>MZhipr;
MZhipc</v>
      </c>
      <c r="T166" s="42"/>
      <c r="U166" s="42" t="b">
        <f>IFERROR(__xludf.DUMMYFUNCTION("""COMPUTED_VALUE"""),FALSE)</f>
        <v>0</v>
      </c>
      <c r="V166" s="42"/>
      <c r="W166" s="42"/>
      <c r="X166" s="42"/>
      <c r="Y166" s="42"/>
      <c r="Z166" s="42"/>
      <c r="AA166" s="42"/>
      <c r="AB166" s="42" t="str">
        <f>IFERROR(__xludf.DUMMYFUNCTION("""COMPUTED_VALUE"""),"allen institute")</f>
        <v>allen institute</v>
      </c>
      <c r="AC166" s="42" t="str">
        <f>IFERROR(__xludf.DUMMYFUNCTION("""COMPUTED_VALUE"""),"DHBA")</f>
        <v>DHBA</v>
      </c>
      <c r="AD166" s="42"/>
      <c r="AE166" s="42"/>
      <c r="AF166" s="9"/>
      <c r="AG166" s="9"/>
      <c r="AH166" s="42"/>
      <c r="AI166" s="42"/>
      <c r="AJ166" s="42"/>
      <c r="AK166" s="42"/>
      <c r="AL166" s="42"/>
      <c r="AM166" s="42"/>
      <c r="AN166" s="42"/>
      <c r="AO166" s="63" t="str">
        <f>IFERROR(__xludf.DUMMYFUNCTION("IF(ISBLANK(A166),,IF(ISBLANK(S166), A166&amp;"";"", TEXTJOIN(CHAR(10), TRUE, A166&amp;"";"", ARRAYFORMULA(VLOOKUP(SPLIT(S166, "";"" &amp; CHAR(10)), $A:$AO, 41, FALSE)))))"),"MZhip;
MZhipr;
MZhipc;")</f>
        <v>MZhip;
MZhipr;
MZhipc;</v>
      </c>
      <c r="AP166" s="89"/>
    </row>
    <row r="167">
      <c r="A167" s="151" t="str">
        <f>IFERROR(__xludf.DUMMYFUNCTION("""COMPUTED_VALUE"""),"MZhipr")</f>
        <v>MZhipr</v>
      </c>
      <c r="B167" s="42" t="str">
        <f>IFERROR(__xludf.DUMMYFUNCTION("""COMPUTED_VALUE"""),"DHBA")</f>
        <v>DHBA</v>
      </c>
      <c r="C167" s="42" t="str">
        <f>IFERROR(__xludf.DUMMYFUNCTION("""COMPUTED_VALUE"""),"MZ in rostral hippocampal proper")</f>
        <v>MZ in rostral hippocampal proper</v>
      </c>
      <c r="D167" s="42">
        <f>IFERROR(__xludf.DUMMYFUNCTION("""COMPUTED_VALUE"""),133.0)</f>
        <v>133</v>
      </c>
      <c r="E167" s="39" t="str">
        <f>IFERROR(__xludf.DUMMYFUNCTION("""COMPUTED_VALUE"""),"MZ in rostral hippocampal proper")</f>
        <v>MZ in rostral hippocampal proper</v>
      </c>
      <c r="F167" s="9" t="str">
        <f>IFERROR(__xludf.DUMMYFUNCTION("""COMPUTED_VALUE"""),"Br")</f>
        <v>Br</v>
      </c>
      <c r="G167" s="9" t="str">
        <f>IFERROR(__xludf.DUMMYFUNCTION("""COMPUTED_VALUE"""),"F")</f>
        <v>F</v>
      </c>
      <c r="H167" s="9" t="str">
        <f>IFERROR(__xludf.DUMMYFUNCTION("""COMPUTED_VALUE"""),"FGM")</f>
        <v>FGM</v>
      </c>
      <c r="I167" s="9" t="str">
        <f>IFERROR(__xludf.DUMMYFUNCTION("""COMPUTED_VALUE"""),"FTS")</f>
        <v>FTS</v>
      </c>
      <c r="J167" s="9" t="str">
        <f>IFERROR(__xludf.DUMMYFUNCTION("""COMPUTED_VALUE"""),"MZ")</f>
        <v>MZ</v>
      </c>
      <c r="K167" s="9" t="str">
        <f>IFERROR(__xludf.DUMMYFUNCTION("""COMPUTED_VALUE"""),"alMZ")</f>
        <v>alMZ</v>
      </c>
      <c r="L167" s="9" t="str">
        <f>IFERROR(__xludf.DUMMYFUNCTION("""COMPUTED_VALUE"""),"MZhip")</f>
        <v>MZhip</v>
      </c>
      <c r="M167" s="9" t="str">
        <f>IFERROR(__xludf.DUMMYFUNCTION("""COMPUTED_VALUE"""),"MZhipr")</f>
        <v>MZhipr</v>
      </c>
      <c r="N167" s="9"/>
      <c r="O167" s="9"/>
      <c r="P167" s="9"/>
      <c r="Q167" s="9"/>
      <c r="R167" s="9"/>
      <c r="S167" s="42"/>
      <c r="T167" s="42"/>
      <c r="U167" s="42"/>
      <c r="V167" s="42"/>
      <c r="W167" s="42"/>
      <c r="X167" s="42"/>
      <c r="Y167" s="42"/>
      <c r="Z167" s="42"/>
      <c r="AA167" s="42"/>
      <c r="AB167" s="42" t="str">
        <f>IFERROR(__xludf.DUMMYFUNCTION("""COMPUTED_VALUE"""),"allen institute")</f>
        <v>allen institute</v>
      </c>
      <c r="AC167" s="42" t="str">
        <f>IFERROR(__xludf.DUMMYFUNCTION("""COMPUTED_VALUE"""),"DHBA")</f>
        <v>DHBA</v>
      </c>
      <c r="AD167" s="42"/>
      <c r="AE167" s="42"/>
      <c r="AF167" s="9"/>
      <c r="AG167" s="9"/>
      <c r="AH167" s="42"/>
      <c r="AI167" s="42"/>
      <c r="AJ167" s="42"/>
      <c r="AK167" s="42"/>
      <c r="AL167" s="42"/>
      <c r="AM167" s="42"/>
      <c r="AN167" s="42"/>
      <c r="AO167" s="63" t="str">
        <f>IFERROR(__xludf.DUMMYFUNCTION("IF(ISBLANK(A167),,IF(ISBLANK(S167), A167&amp;"";"", TEXTJOIN(CHAR(10), TRUE, A167&amp;"";"", ARRAYFORMULA(VLOOKUP(SPLIT(S167, "";"" &amp; CHAR(10)), $A:$AO, 41, FALSE)))))"),"MZhipr;")</f>
        <v>MZhipr;</v>
      </c>
      <c r="AP167" s="89"/>
    </row>
    <row r="168">
      <c r="A168" s="151" t="str">
        <f>IFERROR(__xludf.DUMMYFUNCTION("""COMPUTED_VALUE"""),"MZhipc")</f>
        <v>MZhipc</v>
      </c>
      <c r="B168" s="42" t="str">
        <f>IFERROR(__xludf.DUMMYFUNCTION("""COMPUTED_VALUE"""),"DHBA")</f>
        <v>DHBA</v>
      </c>
      <c r="C168" s="42" t="str">
        <f>IFERROR(__xludf.DUMMYFUNCTION("""COMPUTED_VALUE"""),"MZ in caudal hippocampal proper")</f>
        <v>MZ in caudal hippocampal proper</v>
      </c>
      <c r="D168" s="42">
        <f>IFERROR(__xludf.DUMMYFUNCTION("""COMPUTED_VALUE"""),134.0)</f>
        <v>134</v>
      </c>
      <c r="E168" s="39" t="str">
        <f>IFERROR(__xludf.DUMMYFUNCTION("""COMPUTED_VALUE"""),"MZ in caudal hippocampal proper")</f>
        <v>MZ in caudal hippocampal proper</v>
      </c>
      <c r="F168" s="9" t="str">
        <f>IFERROR(__xludf.DUMMYFUNCTION("""COMPUTED_VALUE"""),"Br")</f>
        <v>Br</v>
      </c>
      <c r="G168" s="9" t="str">
        <f>IFERROR(__xludf.DUMMYFUNCTION("""COMPUTED_VALUE"""),"F")</f>
        <v>F</v>
      </c>
      <c r="H168" s="9" t="str">
        <f>IFERROR(__xludf.DUMMYFUNCTION("""COMPUTED_VALUE"""),"FGM")</f>
        <v>FGM</v>
      </c>
      <c r="I168" s="9" t="str">
        <f>IFERROR(__xludf.DUMMYFUNCTION("""COMPUTED_VALUE"""),"FTS")</f>
        <v>FTS</v>
      </c>
      <c r="J168" s="9" t="str">
        <f>IFERROR(__xludf.DUMMYFUNCTION("""COMPUTED_VALUE"""),"MZ")</f>
        <v>MZ</v>
      </c>
      <c r="K168" s="9" t="str">
        <f>IFERROR(__xludf.DUMMYFUNCTION("""COMPUTED_VALUE"""),"alMZ")</f>
        <v>alMZ</v>
      </c>
      <c r="L168" s="9" t="str">
        <f>IFERROR(__xludf.DUMMYFUNCTION("""COMPUTED_VALUE"""),"MZhip")</f>
        <v>MZhip</v>
      </c>
      <c r="M168" s="9" t="str">
        <f>IFERROR(__xludf.DUMMYFUNCTION("""COMPUTED_VALUE"""),"MZhipc")</f>
        <v>MZhipc</v>
      </c>
      <c r="N168" s="9"/>
      <c r="O168" s="9"/>
      <c r="P168" s="9"/>
      <c r="Q168" s="9"/>
      <c r="R168" s="9"/>
      <c r="S168" s="42"/>
      <c r="T168" s="42"/>
      <c r="U168" s="42"/>
      <c r="V168" s="42"/>
      <c r="W168" s="42"/>
      <c r="X168" s="42"/>
      <c r="Y168" s="42"/>
      <c r="Z168" s="42"/>
      <c r="AA168" s="42"/>
      <c r="AB168" s="42" t="str">
        <f>IFERROR(__xludf.DUMMYFUNCTION("""COMPUTED_VALUE"""),"allen institute")</f>
        <v>allen institute</v>
      </c>
      <c r="AC168" s="42" t="str">
        <f>IFERROR(__xludf.DUMMYFUNCTION("""COMPUTED_VALUE"""),"DHBA")</f>
        <v>DHBA</v>
      </c>
      <c r="AD168" s="42"/>
      <c r="AE168" s="42"/>
      <c r="AF168" s="9"/>
      <c r="AG168" s="9"/>
      <c r="AH168" s="42"/>
      <c r="AI168" s="42"/>
      <c r="AJ168" s="42"/>
      <c r="AK168" s="42"/>
      <c r="AL168" s="42"/>
      <c r="AM168" s="42"/>
      <c r="AN168" s="42"/>
      <c r="AO168" s="63" t="str">
        <f>IFERROR(__xludf.DUMMYFUNCTION("IF(ISBLANK(A168),,IF(ISBLANK(S168), A168&amp;"";"", TEXTJOIN(CHAR(10), TRUE, A168&amp;"";"", ARRAYFORMULA(VLOOKUP(SPLIT(S168, "";"" &amp; CHAR(10)), $A:$AO, 41, FALSE)))))"),"MZhipc;")</f>
        <v>MZhipc;</v>
      </c>
      <c r="AP168" s="89"/>
    </row>
    <row r="169">
      <c r="A169" s="151" t="str">
        <f>IFERROR(__xludf.DUMMYFUNCTION("""COMPUTED_VALUE"""),"MZsub")</f>
        <v>MZsub</v>
      </c>
      <c r="B169" s="42" t="str">
        <f>IFERROR(__xludf.DUMMYFUNCTION("""COMPUTED_VALUE"""),"DHBA")</f>
        <v>DHBA</v>
      </c>
      <c r="C169" s="42" t="str">
        <f>IFERROR(__xludf.DUMMYFUNCTION("""COMPUTED_VALUE"""),"MZ in subicular cortex")</f>
        <v>MZ in subicular cortex</v>
      </c>
      <c r="D169" s="42">
        <f>IFERROR(__xludf.DUMMYFUNCTION("""COMPUTED_VALUE"""),135.0)</f>
        <v>135</v>
      </c>
      <c r="E169" s="39" t="str">
        <f>IFERROR(__xludf.DUMMYFUNCTION("""COMPUTED_VALUE"""),"MZ in subicular cortex")</f>
        <v>MZ in subicular cortex</v>
      </c>
      <c r="F169" s="9" t="str">
        <f>IFERROR(__xludf.DUMMYFUNCTION("""COMPUTED_VALUE"""),"Br")</f>
        <v>Br</v>
      </c>
      <c r="G169" s="9" t="str">
        <f>IFERROR(__xludf.DUMMYFUNCTION("""COMPUTED_VALUE"""),"F")</f>
        <v>F</v>
      </c>
      <c r="H169" s="9" t="str">
        <f>IFERROR(__xludf.DUMMYFUNCTION("""COMPUTED_VALUE"""),"FGM")</f>
        <v>FGM</v>
      </c>
      <c r="I169" s="9" t="str">
        <f>IFERROR(__xludf.DUMMYFUNCTION("""COMPUTED_VALUE"""),"FTS")</f>
        <v>FTS</v>
      </c>
      <c r="J169" s="9" t="str">
        <f>IFERROR(__xludf.DUMMYFUNCTION("""COMPUTED_VALUE"""),"MZ")</f>
        <v>MZ</v>
      </c>
      <c r="K169" s="9" t="str">
        <f>IFERROR(__xludf.DUMMYFUNCTION("""COMPUTED_VALUE"""),"alMZ")</f>
        <v>alMZ</v>
      </c>
      <c r="L169" s="9" t="str">
        <f>IFERROR(__xludf.DUMMYFUNCTION("""COMPUTED_VALUE"""),"MZsub")</f>
        <v>MZsub</v>
      </c>
      <c r="M169" s="9"/>
      <c r="N169" s="9"/>
      <c r="O169" s="9"/>
      <c r="P169" s="9"/>
      <c r="Q169" s="9"/>
      <c r="R169" s="9"/>
      <c r="S169" s="42" t="str">
        <f>IFERROR(__xludf.DUMMYFUNCTION("""COMPUTED_VALUE"""),"MZsubr;
MZsubc")</f>
        <v>MZsubr;
MZsubc</v>
      </c>
      <c r="T169" s="42"/>
      <c r="U169" s="42" t="b">
        <f>IFERROR(__xludf.DUMMYFUNCTION("""COMPUTED_VALUE"""),FALSE)</f>
        <v>0</v>
      </c>
      <c r="V169" s="42"/>
      <c r="W169" s="42"/>
      <c r="X169" s="42"/>
      <c r="Y169" s="42"/>
      <c r="Z169" s="42"/>
      <c r="AA169" s="42"/>
      <c r="AB169" s="42" t="str">
        <f>IFERROR(__xludf.DUMMYFUNCTION("""COMPUTED_VALUE"""),"allen institute")</f>
        <v>allen institute</v>
      </c>
      <c r="AC169" s="42" t="str">
        <f>IFERROR(__xludf.DUMMYFUNCTION("""COMPUTED_VALUE"""),"DHBA")</f>
        <v>DHBA</v>
      </c>
      <c r="AD169" s="42"/>
      <c r="AE169" s="42"/>
      <c r="AF169" s="9"/>
      <c r="AG169" s="9"/>
      <c r="AH169" s="42"/>
      <c r="AI169" s="42"/>
      <c r="AJ169" s="42"/>
      <c r="AK169" s="42"/>
      <c r="AL169" s="42"/>
      <c r="AM169" s="42"/>
      <c r="AN169" s="42"/>
      <c r="AO169" s="63" t="str">
        <f>IFERROR(__xludf.DUMMYFUNCTION("IF(ISBLANK(A169),,IF(ISBLANK(S169), A169&amp;"";"", TEXTJOIN(CHAR(10), TRUE, A169&amp;"";"", ARRAYFORMULA(VLOOKUP(SPLIT(S169, "";"" &amp; CHAR(10)), $A:$AO, 41, FALSE)))))"),"MZsub;
MZsubr;
MZsubc;")</f>
        <v>MZsub;
MZsubr;
MZsubc;</v>
      </c>
      <c r="AP169" s="89"/>
    </row>
    <row r="170">
      <c r="A170" s="151" t="str">
        <f>IFERROR(__xludf.DUMMYFUNCTION("""COMPUTED_VALUE"""),"MZsubr")</f>
        <v>MZsubr</v>
      </c>
      <c r="B170" s="42" t="str">
        <f>IFERROR(__xludf.DUMMYFUNCTION("""COMPUTED_VALUE"""),"DHBA")</f>
        <v>DHBA</v>
      </c>
      <c r="C170" s="42" t="str">
        <f>IFERROR(__xludf.DUMMYFUNCTION("""COMPUTED_VALUE"""),"MZ in rostral subicular cortex")</f>
        <v>MZ in rostral subicular cortex</v>
      </c>
      <c r="D170" s="42">
        <f>IFERROR(__xludf.DUMMYFUNCTION("""COMPUTED_VALUE"""),136.0)</f>
        <v>136</v>
      </c>
      <c r="E170" s="39" t="str">
        <f>IFERROR(__xludf.DUMMYFUNCTION("""COMPUTED_VALUE"""),"MZ in rostral subicular cortex")</f>
        <v>MZ in rostral subicular cortex</v>
      </c>
      <c r="F170" s="9" t="str">
        <f>IFERROR(__xludf.DUMMYFUNCTION("""COMPUTED_VALUE"""),"Br")</f>
        <v>Br</v>
      </c>
      <c r="G170" s="9" t="str">
        <f>IFERROR(__xludf.DUMMYFUNCTION("""COMPUTED_VALUE"""),"F")</f>
        <v>F</v>
      </c>
      <c r="H170" s="9" t="str">
        <f>IFERROR(__xludf.DUMMYFUNCTION("""COMPUTED_VALUE"""),"FGM")</f>
        <v>FGM</v>
      </c>
      <c r="I170" s="9" t="str">
        <f>IFERROR(__xludf.DUMMYFUNCTION("""COMPUTED_VALUE"""),"FTS")</f>
        <v>FTS</v>
      </c>
      <c r="J170" s="9" t="str">
        <f>IFERROR(__xludf.DUMMYFUNCTION("""COMPUTED_VALUE"""),"MZ")</f>
        <v>MZ</v>
      </c>
      <c r="K170" s="9" t="str">
        <f>IFERROR(__xludf.DUMMYFUNCTION("""COMPUTED_VALUE"""),"alMZ")</f>
        <v>alMZ</v>
      </c>
      <c r="L170" s="9" t="str">
        <f>IFERROR(__xludf.DUMMYFUNCTION("""COMPUTED_VALUE"""),"MZsub")</f>
        <v>MZsub</v>
      </c>
      <c r="M170" s="9" t="str">
        <f>IFERROR(__xludf.DUMMYFUNCTION("""COMPUTED_VALUE"""),"MZsubr")</f>
        <v>MZsubr</v>
      </c>
      <c r="N170" s="9"/>
      <c r="O170" s="9"/>
      <c r="P170" s="9"/>
      <c r="Q170" s="9"/>
      <c r="R170" s="9"/>
      <c r="S170" s="42"/>
      <c r="T170" s="42"/>
      <c r="U170" s="42"/>
      <c r="V170" s="42"/>
      <c r="W170" s="42"/>
      <c r="X170" s="42"/>
      <c r="Y170" s="42"/>
      <c r="Z170" s="42"/>
      <c r="AA170" s="42"/>
      <c r="AB170" s="42" t="str">
        <f>IFERROR(__xludf.DUMMYFUNCTION("""COMPUTED_VALUE"""),"allen institute")</f>
        <v>allen institute</v>
      </c>
      <c r="AC170" s="42" t="str">
        <f>IFERROR(__xludf.DUMMYFUNCTION("""COMPUTED_VALUE"""),"DHBA")</f>
        <v>DHBA</v>
      </c>
      <c r="AD170" s="42"/>
      <c r="AE170" s="42"/>
      <c r="AF170" s="9"/>
      <c r="AG170" s="9"/>
      <c r="AH170" s="42"/>
      <c r="AI170" s="42"/>
      <c r="AJ170" s="42"/>
      <c r="AK170" s="42"/>
      <c r="AL170" s="42"/>
      <c r="AM170" s="42"/>
      <c r="AN170" s="42"/>
      <c r="AO170" s="63" t="str">
        <f>IFERROR(__xludf.DUMMYFUNCTION("IF(ISBLANK(A170),,IF(ISBLANK(S170), A170&amp;"";"", TEXTJOIN(CHAR(10), TRUE, A170&amp;"";"", ARRAYFORMULA(VLOOKUP(SPLIT(S170, "";"" &amp; CHAR(10)), $A:$AO, 41, FALSE)))))"),"MZsubr;")</f>
        <v>MZsubr;</v>
      </c>
      <c r="AP170" s="89"/>
    </row>
    <row r="171">
      <c r="A171" s="151" t="str">
        <f>IFERROR(__xludf.DUMMYFUNCTION("""COMPUTED_VALUE"""),"MZsubc")</f>
        <v>MZsubc</v>
      </c>
      <c r="B171" s="42" t="str">
        <f>IFERROR(__xludf.DUMMYFUNCTION("""COMPUTED_VALUE"""),"DHBA")</f>
        <v>DHBA</v>
      </c>
      <c r="C171" s="42" t="str">
        <f>IFERROR(__xludf.DUMMYFUNCTION("""COMPUTED_VALUE"""),"MZ in caudal subicular cortex")</f>
        <v>MZ in caudal subicular cortex</v>
      </c>
      <c r="D171" s="42">
        <f>IFERROR(__xludf.DUMMYFUNCTION("""COMPUTED_VALUE"""),137.0)</f>
        <v>137</v>
      </c>
      <c r="E171" s="39" t="str">
        <f>IFERROR(__xludf.DUMMYFUNCTION("""COMPUTED_VALUE"""),"MZ in caudal subicular cortex")</f>
        <v>MZ in caudal subicular cortex</v>
      </c>
      <c r="F171" s="9" t="str">
        <f>IFERROR(__xludf.DUMMYFUNCTION("""COMPUTED_VALUE"""),"Br")</f>
        <v>Br</v>
      </c>
      <c r="G171" s="9" t="str">
        <f>IFERROR(__xludf.DUMMYFUNCTION("""COMPUTED_VALUE"""),"F")</f>
        <v>F</v>
      </c>
      <c r="H171" s="9" t="str">
        <f>IFERROR(__xludf.DUMMYFUNCTION("""COMPUTED_VALUE"""),"FGM")</f>
        <v>FGM</v>
      </c>
      <c r="I171" s="9" t="str">
        <f>IFERROR(__xludf.DUMMYFUNCTION("""COMPUTED_VALUE"""),"FTS")</f>
        <v>FTS</v>
      </c>
      <c r="J171" s="9" t="str">
        <f>IFERROR(__xludf.DUMMYFUNCTION("""COMPUTED_VALUE"""),"MZ")</f>
        <v>MZ</v>
      </c>
      <c r="K171" s="9" t="str">
        <f>IFERROR(__xludf.DUMMYFUNCTION("""COMPUTED_VALUE"""),"alMZ")</f>
        <v>alMZ</v>
      </c>
      <c r="L171" s="9" t="str">
        <f>IFERROR(__xludf.DUMMYFUNCTION("""COMPUTED_VALUE"""),"MZsub")</f>
        <v>MZsub</v>
      </c>
      <c r="M171" s="9" t="str">
        <f>IFERROR(__xludf.DUMMYFUNCTION("""COMPUTED_VALUE"""),"MZsubc")</f>
        <v>MZsubc</v>
      </c>
      <c r="N171" s="9"/>
      <c r="O171" s="9"/>
      <c r="P171" s="9"/>
      <c r="Q171" s="9"/>
      <c r="R171" s="9"/>
      <c r="S171" s="42"/>
      <c r="T171" s="42"/>
      <c r="U171" s="42"/>
      <c r="V171" s="42"/>
      <c r="W171" s="42"/>
      <c r="X171" s="42"/>
      <c r="Y171" s="42"/>
      <c r="Z171" s="42"/>
      <c r="AA171" s="42"/>
      <c r="AB171" s="42" t="str">
        <f>IFERROR(__xludf.DUMMYFUNCTION("""COMPUTED_VALUE"""),"allen institute")</f>
        <v>allen institute</v>
      </c>
      <c r="AC171" s="42" t="str">
        <f>IFERROR(__xludf.DUMMYFUNCTION("""COMPUTED_VALUE"""),"DHBA")</f>
        <v>DHBA</v>
      </c>
      <c r="AD171" s="42"/>
      <c r="AE171" s="42"/>
      <c r="AF171" s="9"/>
      <c r="AG171" s="9"/>
      <c r="AH171" s="42"/>
      <c r="AI171" s="42"/>
      <c r="AJ171" s="42"/>
      <c r="AK171" s="42"/>
      <c r="AL171" s="42"/>
      <c r="AM171" s="42"/>
      <c r="AN171" s="42"/>
      <c r="AO171" s="63" t="str">
        <f>IFERROR(__xludf.DUMMYFUNCTION("IF(ISBLANK(A171),,IF(ISBLANK(S171), A171&amp;"";"", TEXTJOIN(CHAR(10), TRUE, A171&amp;"";"", ARRAYFORMULA(VLOOKUP(SPLIT(S171, "";"" &amp; CHAR(10)), $A:$AO, 41, FALSE)))))"),"MZsubc;")</f>
        <v>MZsubc;</v>
      </c>
      <c r="AP171" s="89"/>
    </row>
    <row r="172">
      <c r="A172" s="151" t="str">
        <f>IFERROR(__xludf.DUMMYFUNCTION("""COMPUTED_VALUE"""),"MZpir")</f>
        <v>MZpir</v>
      </c>
      <c r="B172" s="42" t="str">
        <f>IFERROR(__xludf.DUMMYFUNCTION("""COMPUTED_VALUE"""),"DHBA")</f>
        <v>DHBA</v>
      </c>
      <c r="C172" s="42" t="str">
        <f>IFERROR(__xludf.DUMMYFUNCTION("""COMPUTED_VALUE"""),"MZ in piriform cortex")</f>
        <v>MZ in piriform cortex</v>
      </c>
      <c r="D172" s="42">
        <f>IFERROR(__xludf.DUMMYFUNCTION("""COMPUTED_VALUE"""),138.0)</f>
        <v>138</v>
      </c>
      <c r="E172" s="39" t="str">
        <f>IFERROR(__xludf.DUMMYFUNCTION("""COMPUTED_VALUE"""),"MZ in piriform cortex")</f>
        <v>MZ in piriform cortex</v>
      </c>
      <c r="F172" s="9" t="str">
        <f>IFERROR(__xludf.DUMMYFUNCTION("""COMPUTED_VALUE"""),"Br")</f>
        <v>Br</v>
      </c>
      <c r="G172" s="9" t="str">
        <f>IFERROR(__xludf.DUMMYFUNCTION("""COMPUTED_VALUE"""),"F")</f>
        <v>F</v>
      </c>
      <c r="H172" s="9" t="str">
        <f>IFERROR(__xludf.DUMMYFUNCTION("""COMPUTED_VALUE"""),"FGM")</f>
        <v>FGM</v>
      </c>
      <c r="I172" s="9" t="str">
        <f>IFERROR(__xludf.DUMMYFUNCTION("""COMPUTED_VALUE"""),"FTS")</f>
        <v>FTS</v>
      </c>
      <c r="J172" s="9" t="str">
        <f>IFERROR(__xludf.DUMMYFUNCTION("""COMPUTED_VALUE"""),"MZ")</f>
        <v>MZ</v>
      </c>
      <c r="K172" s="9" t="str">
        <f>IFERROR(__xludf.DUMMYFUNCTION("""COMPUTED_VALUE"""),"alMZ")</f>
        <v>alMZ</v>
      </c>
      <c r="L172" s="9" t="str">
        <f>IFERROR(__xludf.DUMMYFUNCTION("""COMPUTED_VALUE"""),"MZpir")</f>
        <v>MZpir</v>
      </c>
      <c r="M172" s="9"/>
      <c r="N172" s="9"/>
      <c r="O172" s="9"/>
      <c r="P172" s="9"/>
      <c r="Q172" s="9"/>
      <c r="R172" s="9"/>
      <c r="S172" s="42"/>
      <c r="T172" s="42"/>
      <c r="U172" s="42"/>
      <c r="V172" s="42"/>
      <c r="W172" s="42"/>
      <c r="X172" s="42"/>
      <c r="Y172" s="42"/>
      <c r="Z172" s="42"/>
      <c r="AA172" s="42"/>
      <c r="AB172" s="42" t="str">
        <f>IFERROR(__xludf.DUMMYFUNCTION("""COMPUTED_VALUE"""),"allen institute")</f>
        <v>allen institute</v>
      </c>
      <c r="AC172" s="42" t="str">
        <f>IFERROR(__xludf.DUMMYFUNCTION("""COMPUTED_VALUE"""),"DHBA")</f>
        <v>DHBA</v>
      </c>
      <c r="AD172" s="42"/>
      <c r="AE172" s="42"/>
      <c r="AF172" s="9"/>
      <c r="AG172" s="9"/>
      <c r="AH172" s="42"/>
      <c r="AI172" s="42"/>
      <c r="AJ172" s="42"/>
      <c r="AK172" s="42"/>
      <c r="AL172" s="42"/>
      <c r="AM172" s="42"/>
      <c r="AN172" s="42"/>
      <c r="AO172" s="63" t="str">
        <f>IFERROR(__xludf.DUMMYFUNCTION("IF(ISBLANK(A172),,IF(ISBLANK(S172), A172&amp;"";"", TEXTJOIN(CHAR(10), TRUE, A172&amp;"";"", ARRAYFORMULA(VLOOKUP(SPLIT(S172, "";"" &amp; CHAR(10)), $A:$AO, 41, FALSE)))))"),"MZpir;")</f>
        <v>MZpir;</v>
      </c>
      <c r="AP172" s="89"/>
    </row>
    <row r="173">
      <c r="A173" s="151" t="str">
        <f>IFERROR(__xludf.DUMMYFUNCTION("""COMPUTED_VALUE"""),"MZiag")</f>
        <v>MZiag</v>
      </c>
      <c r="B173" s="42" t="str">
        <f>IFERROR(__xludf.DUMMYFUNCTION("""COMPUTED_VALUE"""),"DHBA")</f>
        <v>DHBA</v>
      </c>
      <c r="C173" s="42" t="str">
        <f>IFERROR(__xludf.DUMMYFUNCTION("""COMPUTED_VALUE"""),"MZ in agranular insular cortex")</f>
        <v>MZ in agranular insular cortex</v>
      </c>
      <c r="D173" s="42">
        <f>IFERROR(__xludf.DUMMYFUNCTION("""COMPUTED_VALUE"""),139.0)</f>
        <v>139</v>
      </c>
      <c r="E173" s="39" t="str">
        <f>IFERROR(__xludf.DUMMYFUNCTION("""COMPUTED_VALUE"""),"MZ in agranular insular cortex")</f>
        <v>MZ in agranular insular cortex</v>
      </c>
      <c r="F173" s="9" t="str">
        <f>IFERROR(__xludf.DUMMYFUNCTION("""COMPUTED_VALUE"""),"Br")</f>
        <v>Br</v>
      </c>
      <c r="G173" s="9" t="str">
        <f>IFERROR(__xludf.DUMMYFUNCTION("""COMPUTED_VALUE"""),"F")</f>
        <v>F</v>
      </c>
      <c r="H173" s="9" t="str">
        <f>IFERROR(__xludf.DUMMYFUNCTION("""COMPUTED_VALUE"""),"FGM")</f>
        <v>FGM</v>
      </c>
      <c r="I173" s="9" t="str">
        <f>IFERROR(__xludf.DUMMYFUNCTION("""COMPUTED_VALUE"""),"FTS")</f>
        <v>FTS</v>
      </c>
      <c r="J173" s="9" t="str">
        <f>IFERROR(__xludf.DUMMYFUNCTION("""COMPUTED_VALUE"""),"MZ")</f>
        <v>MZ</v>
      </c>
      <c r="K173" s="9" t="str">
        <f>IFERROR(__xludf.DUMMYFUNCTION("""COMPUTED_VALUE"""),"alMZ")</f>
        <v>alMZ</v>
      </c>
      <c r="L173" s="9" t="str">
        <f>IFERROR(__xludf.DUMMYFUNCTION("""COMPUTED_VALUE"""),"MZiag")</f>
        <v>MZiag</v>
      </c>
      <c r="M173" s="9"/>
      <c r="N173" s="9"/>
      <c r="O173" s="9"/>
      <c r="P173" s="9"/>
      <c r="Q173" s="9"/>
      <c r="R173" s="9"/>
      <c r="S173" s="42"/>
      <c r="T173" s="42"/>
      <c r="U173" s="42"/>
      <c r="V173" s="42"/>
      <c r="W173" s="42"/>
      <c r="X173" s="42"/>
      <c r="Y173" s="42"/>
      <c r="Z173" s="42"/>
      <c r="AA173" s="42"/>
      <c r="AB173" s="42" t="str">
        <f>IFERROR(__xludf.DUMMYFUNCTION("""COMPUTED_VALUE"""),"allen institute")</f>
        <v>allen institute</v>
      </c>
      <c r="AC173" s="42" t="str">
        <f>IFERROR(__xludf.DUMMYFUNCTION("""COMPUTED_VALUE"""),"DHBA")</f>
        <v>DHBA</v>
      </c>
      <c r="AD173" s="42"/>
      <c r="AE173" s="42"/>
      <c r="AF173" s="9"/>
      <c r="AG173" s="9"/>
      <c r="AH173" s="42"/>
      <c r="AI173" s="42"/>
      <c r="AJ173" s="42"/>
      <c r="AK173" s="42"/>
      <c r="AL173" s="42"/>
      <c r="AM173" s="42"/>
      <c r="AN173" s="42"/>
      <c r="AO173" s="63" t="str">
        <f>IFERROR(__xludf.DUMMYFUNCTION("IF(ISBLANK(A173),,IF(ISBLANK(S173), A173&amp;"";"", TEXTJOIN(CHAR(10), TRUE, A173&amp;"";"", ARRAYFORMULA(VLOOKUP(SPLIT(S173, "";"" &amp; CHAR(10)), $A:$AO, 41, FALSE)))))"),"MZiag;")</f>
        <v>MZiag;</v>
      </c>
      <c r="AP173" s="89"/>
    </row>
    <row r="174">
      <c r="A174" s="151" t="str">
        <f>IFERROR(__xludf.DUMMYFUNCTION("""COMPUTED_VALUE"""),"CP")</f>
        <v>CP</v>
      </c>
      <c r="B174" s="42" t="str">
        <f>IFERROR(__xludf.DUMMYFUNCTION("""COMPUTED_VALUE"""),"DHBA")</f>
        <v>DHBA</v>
      </c>
      <c r="C174" s="42" t="str">
        <f>IFERROR(__xludf.DUMMYFUNCTION("""COMPUTED_VALUE"""),"cortical plate")</f>
        <v>cortical plate</v>
      </c>
      <c r="D174" s="42">
        <f>IFERROR(__xludf.DUMMYFUNCTION("""COMPUTED_VALUE"""),140.0)</f>
        <v>140</v>
      </c>
      <c r="E174" s="39" t="str">
        <f>IFERROR(__xludf.DUMMYFUNCTION("""COMPUTED_VALUE"""),"cortical plate")</f>
        <v>cortical plate</v>
      </c>
      <c r="F174" s="9" t="str">
        <f>IFERROR(__xludf.DUMMYFUNCTION("""COMPUTED_VALUE"""),"Br")</f>
        <v>Br</v>
      </c>
      <c r="G174" s="9" t="str">
        <f>IFERROR(__xludf.DUMMYFUNCTION("""COMPUTED_VALUE"""),"F")</f>
        <v>F</v>
      </c>
      <c r="H174" s="9" t="str">
        <f>IFERROR(__xludf.DUMMYFUNCTION("""COMPUTED_VALUE"""),"FGM")</f>
        <v>FGM</v>
      </c>
      <c r="I174" s="9" t="str">
        <f>IFERROR(__xludf.DUMMYFUNCTION("""COMPUTED_VALUE"""),"FTS")</f>
        <v>FTS</v>
      </c>
      <c r="J174" s="9" t="str">
        <f>IFERROR(__xludf.DUMMYFUNCTION("""COMPUTED_VALUE"""),"CP")</f>
        <v>CP</v>
      </c>
      <c r="K174" s="9"/>
      <c r="L174" s="9"/>
      <c r="M174" s="9"/>
      <c r="N174" s="9"/>
      <c r="O174" s="9"/>
      <c r="P174" s="9"/>
      <c r="Q174" s="9"/>
      <c r="R174" s="9"/>
      <c r="S174" s="42" t="str">
        <f>IFERROR(__xludf.DUMMYFUNCTION("""COMPUTED_VALUE"""),"fCP;
pCP;
tCP;
oCP;
iCP;
cCP;
peCP;
alCP")</f>
        <v>fCP;
pCP;
tCP;
oCP;
iCP;
cCP;
peCP;
alCP</v>
      </c>
      <c r="T174" s="42"/>
      <c r="U174" s="42" t="b">
        <f>IFERROR(__xludf.DUMMYFUNCTION("""COMPUTED_VALUE"""),FALSE)</f>
        <v>0</v>
      </c>
      <c r="V174" s="42"/>
      <c r="W174" s="42"/>
      <c r="X174" s="42"/>
      <c r="Y174" s="42"/>
      <c r="Z174" s="42"/>
      <c r="AA174" s="42"/>
      <c r="AB174" s="42" t="str">
        <f>IFERROR(__xludf.DUMMYFUNCTION("""COMPUTED_VALUE"""),"allen institute")</f>
        <v>allen institute</v>
      </c>
      <c r="AC174" s="42" t="str">
        <f>IFERROR(__xludf.DUMMYFUNCTION("""COMPUTED_VALUE"""),"DHBA")</f>
        <v>DHBA</v>
      </c>
      <c r="AD174" s="42"/>
      <c r="AE174" s="42"/>
      <c r="AF174" s="9"/>
      <c r="AG174" s="9"/>
      <c r="AH174" s="42"/>
      <c r="AI174" s="42"/>
      <c r="AJ174" s="42"/>
      <c r="AK174" s="42"/>
      <c r="AL174" s="42"/>
      <c r="AM174" s="42"/>
      <c r="AN174" s="42"/>
      <c r="AO174" s="63" t="str">
        <f>IFERROR(__xludf.DUMMYFUNCTION("IF(ISBLANK(A174),,IF(ISBLANK(S174), A174&amp;"";"", TEXTJOIN(CHAR(10), TRUE, A174&amp;"";"", ARRAYFORMULA(VLOOKUP(SPLIT(S174, "";"" &amp; CHAR(10)), $A:$AO, 41, FALSE)))))"),"#REF!")</f>
        <v>#REF!</v>
      </c>
      <c r="AP174" s="89"/>
    </row>
    <row r="175">
      <c r="A175" s="151" t="str">
        <f>IFERROR(__xludf.DUMMYFUNCTION("""COMPUTED_VALUE"""),"fCP")</f>
        <v>fCP</v>
      </c>
      <c r="B175" s="42" t="str">
        <f>IFERROR(__xludf.DUMMYFUNCTION("""COMPUTED_VALUE"""),"DHBA")</f>
        <v>DHBA</v>
      </c>
      <c r="C175" s="42" t="str">
        <f>IFERROR(__xludf.DUMMYFUNCTION("""COMPUTED_VALUE"""),"CP in frontal neocortex")</f>
        <v>CP in frontal neocortex</v>
      </c>
      <c r="D175" s="42">
        <f>IFERROR(__xludf.DUMMYFUNCTION("""COMPUTED_VALUE"""),141.0)</f>
        <v>141</v>
      </c>
      <c r="E175" s="39" t="str">
        <f>IFERROR(__xludf.DUMMYFUNCTION("""COMPUTED_VALUE"""),"CP in frontal neocortex")</f>
        <v>CP in frontal neocortex</v>
      </c>
      <c r="F175" s="9" t="str">
        <f>IFERROR(__xludf.DUMMYFUNCTION("""COMPUTED_VALUE"""),"Br")</f>
        <v>Br</v>
      </c>
      <c r="G175" s="9" t="str">
        <f>IFERROR(__xludf.DUMMYFUNCTION("""COMPUTED_VALUE"""),"F")</f>
        <v>F</v>
      </c>
      <c r="H175" s="9" t="str">
        <f>IFERROR(__xludf.DUMMYFUNCTION("""COMPUTED_VALUE"""),"FGM")</f>
        <v>FGM</v>
      </c>
      <c r="I175" s="9" t="str">
        <f>IFERROR(__xludf.DUMMYFUNCTION("""COMPUTED_VALUE"""),"FTS")</f>
        <v>FTS</v>
      </c>
      <c r="J175" s="9" t="str">
        <f>IFERROR(__xludf.DUMMYFUNCTION("""COMPUTED_VALUE"""),"CP")</f>
        <v>CP</v>
      </c>
      <c r="K175" s="9" t="str">
        <f>IFERROR(__xludf.DUMMYFUNCTION("""COMPUTED_VALUE"""),"fCP")</f>
        <v>fCP</v>
      </c>
      <c r="L175" s="9"/>
      <c r="M175" s="9"/>
      <c r="N175" s="9"/>
      <c r="O175" s="9"/>
      <c r="P175" s="9"/>
      <c r="Q175" s="9"/>
      <c r="R175" s="9"/>
      <c r="S175" s="42" t="str">
        <f>IFERROR(__xludf.DUMMYFUNCTION("""COMPUTED_VALUE"""),"fCPfp;
fCPdm;
fCPdl;
fCPvl;
fCPor;
fCPm1")</f>
        <v>fCPfp;
fCPdm;
fCPdl;
fCPvl;
fCPor;
fCPm1</v>
      </c>
      <c r="T175" s="42"/>
      <c r="U175" s="42" t="b">
        <f>IFERROR(__xludf.DUMMYFUNCTION("""COMPUTED_VALUE"""),FALSE)</f>
        <v>0</v>
      </c>
      <c r="V175" s="42"/>
      <c r="W175" s="42"/>
      <c r="X175" s="42"/>
      <c r="Y175" s="42"/>
      <c r="Z175" s="42"/>
      <c r="AA175" s="42"/>
      <c r="AB175" s="42" t="str">
        <f>IFERROR(__xludf.DUMMYFUNCTION("""COMPUTED_VALUE"""),"allen institute")</f>
        <v>allen institute</v>
      </c>
      <c r="AC175" s="42" t="str">
        <f>IFERROR(__xludf.DUMMYFUNCTION("""COMPUTED_VALUE"""),"DHBA")</f>
        <v>DHBA</v>
      </c>
      <c r="AD175" s="42"/>
      <c r="AE175" s="42"/>
      <c r="AF175" s="9"/>
      <c r="AG175" s="9"/>
      <c r="AH175" s="42"/>
      <c r="AI175" s="42"/>
      <c r="AJ175" s="42"/>
      <c r="AK175" s="42"/>
      <c r="AL175" s="42"/>
      <c r="AM175" s="42"/>
      <c r="AN175" s="42"/>
      <c r="AO175" s="63" t="str">
        <f>IFERROR(__xludf.DUMMYFUNCTION("IF(ISBLANK(A175),,IF(ISBLANK(S175), A175&amp;"";"", TEXTJOIN(CHAR(10), TRUE, A175&amp;"";"", ARRAYFORMULA(VLOOKUP(SPLIT(S175, "";"" &amp; CHAR(10)), $A:$AO, 41, FALSE)))))"),"fCP;
fCPfp;
fCPfpo;
fCPfpi;
fCPdm;
fCPdmo;
fCPdmi;
fCPdl;
fCPdlo;
fCPdli;
fCPvl;
fCPvlo;
fCPvli;
fCPor;
fCPoro;
fCPori;
fCPm1;
fCPm1o;
fCPm1i;")</f>
        <v>fCP;
fCPfp;
fCPfpo;
fCPfpi;
fCPdm;
fCPdmo;
fCPdmi;
fCPdl;
fCPdlo;
fCPdli;
fCPvl;
fCPvlo;
fCPvli;
fCPor;
fCPoro;
fCPori;
fCPm1;
fCPm1o;
fCPm1i;</v>
      </c>
      <c r="AP175" s="89"/>
    </row>
    <row r="176">
      <c r="A176" s="151" t="str">
        <f>IFERROR(__xludf.DUMMYFUNCTION("""COMPUTED_VALUE"""),"fCPfp")</f>
        <v>fCPfp</v>
      </c>
      <c r="B176" s="42" t="str">
        <f>IFERROR(__xludf.DUMMYFUNCTION("""COMPUTED_VALUE"""),"DHBA")</f>
        <v>DHBA</v>
      </c>
      <c r="C176" s="42" t="str">
        <f>IFERROR(__xludf.DUMMYFUNCTION("""COMPUTED_VALUE"""),"CP in frontal polar cortex")</f>
        <v>CP in frontal polar cortex</v>
      </c>
      <c r="D176" s="42">
        <f>IFERROR(__xludf.DUMMYFUNCTION("""COMPUTED_VALUE"""),142.0)</f>
        <v>142</v>
      </c>
      <c r="E176" s="39" t="str">
        <f>IFERROR(__xludf.DUMMYFUNCTION("""COMPUTED_VALUE"""),"CP in frontal polar cortex")</f>
        <v>CP in frontal polar cortex</v>
      </c>
      <c r="F176" s="9" t="str">
        <f>IFERROR(__xludf.DUMMYFUNCTION("""COMPUTED_VALUE"""),"Br")</f>
        <v>Br</v>
      </c>
      <c r="G176" s="9" t="str">
        <f>IFERROR(__xludf.DUMMYFUNCTION("""COMPUTED_VALUE"""),"F")</f>
        <v>F</v>
      </c>
      <c r="H176" s="9" t="str">
        <f>IFERROR(__xludf.DUMMYFUNCTION("""COMPUTED_VALUE"""),"FGM")</f>
        <v>FGM</v>
      </c>
      <c r="I176" s="9" t="str">
        <f>IFERROR(__xludf.DUMMYFUNCTION("""COMPUTED_VALUE"""),"FTS")</f>
        <v>FTS</v>
      </c>
      <c r="J176" s="9" t="str">
        <f>IFERROR(__xludf.DUMMYFUNCTION("""COMPUTED_VALUE"""),"CP")</f>
        <v>CP</v>
      </c>
      <c r="K176" s="9" t="str">
        <f>IFERROR(__xludf.DUMMYFUNCTION("""COMPUTED_VALUE"""),"fCP")</f>
        <v>fCP</v>
      </c>
      <c r="L176" s="9" t="str">
        <f>IFERROR(__xludf.DUMMYFUNCTION("""COMPUTED_VALUE"""),"fCPfp")</f>
        <v>fCPfp</v>
      </c>
      <c r="M176" s="9"/>
      <c r="N176" s="9"/>
      <c r="O176" s="9"/>
      <c r="P176" s="9"/>
      <c r="Q176" s="9"/>
      <c r="R176" s="9"/>
      <c r="S176" s="42" t="str">
        <f>IFERROR(__xludf.DUMMYFUNCTION("""COMPUTED_VALUE"""),"fCPfpo;
fCPfpi")</f>
        <v>fCPfpo;
fCPfpi</v>
      </c>
      <c r="T176" s="42"/>
      <c r="U176" s="159" t="b">
        <f>IFERROR(__xludf.DUMMYFUNCTION("""COMPUTED_VALUE"""),FALSE)</f>
        <v>0</v>
      </c>
      <c r="V176" s="42"/>
      <c r="W176" s="42"/>
      <c r="X176" s="42"/>
      <c r="Y176" s="42"/>
      <c r="Z176" s="42"/>
      <c r="AA176" s="42"/>
      <c r="AB176" s="42" t="str">
        <f>IFERROR(__xludf.DUMMYFUNCTION("""COMPUTED_VALUE"""),"allen institute")</f>
        <v>allen institute</v>
      </c>
      <c r="AC176" s="42" t="str">
        <f>IFERROR(__xludf.DUMMYFUNCTION("""COMPUTED_VALUE"""),"DHBA")</f>
        <v>DHBA</v>
      </c>
      <c r="AD176" s="42"/>
      <c r="AE176" s="42"/>
      <c r="AF176" s="9"/>
      <c r="AG176" s="9"/>
      <c r="AH176" s="42"/>
      <c r="AI176" s="42"/>
      <c r="AJ176" s="42"/>
      <c r="AK176" s="42"/>
      <c r="AL176" s="42"/>
      <c r="AM176" s="42"/>
      <c r="AN176" s="42"/>
      <c r="AO176" s="63" t="str">
        <f>IFERROR(__xludf.DUMMYFUNCTION("IF(ISBLANK(A176),,IF(ISBLANK(S176), A176&amp;"";"", TEXTJOIN(CHAR(10), TRUE, A176&amp;"";"", ARRAYFORMULA(VLOOKUP(SPLIT(S176, "";"" &amp; CHAR(10)), $A:$AO, 41, FALSE)))))"),"fCPfp;
fCPfpo;
fCPfpi;")</f>
        <v>fCPfp;
fCPfpo;
fCPfpi;</v>
      </c>
      <c r="AP176" s="89"/>
    </row>
    <row r="177">
      <c r="A177" s="151" t="str">
        <f>IFERROR(__xludf.DUMMYFUNCTION("""COMPUTED_VALUE"""),"fCPfpo")</f>
        <v>fCPfpo</v>
      </c>
      <c r="B177" s="42" t="str">
        <f>IFERROR(__xludf.DUMMYFUNCTION("""COMPUTED_VALUE"""),"DHBA")</f>
        <v>DHBA</v>
      </c>
      <c r="C177" s="42" t="str">
        <f>IFERROR(__xludf.DUMMYFUNCTION("""COMPUTED_VALUE"""),"outer CP in frontal polar cortex")</f>
        <v>outer CP in frontal polar cortex</v>
      </c>
      <c r="D177" s="42">
        <f>IFERROR(__xludf.DUMMYFUNCTION("""COMPUTED_VALUE"""),143.0)</f>
        <v>143</v>
      </c>
      <c r="E177" s="39" t="str">
        <f>IFERROR(__xludf.DUMMYFUNCTION("""COMPUTED_VALUE"""),"outer CP in frontal polar cortex")</f>
        <v>outer CP in frontal polar cortex</v>
      </c>
      <c r="F177" s="9" t="str">
        <f>IFERROR(__xludf.DUMMYFUNCTION("""COMPUTED_VALUE"""),"Br")</f>
        <v>Br</v>
      </c>
      <c r="G177" s="9" t="str">
        <f>IFERROR(__xludf.DUMMYFUNCTION("""COMPUTED_VALUE"""),"F")</f>
        <v>F</v>
      </c>
      <c r="H177" s="9" t="str">
        <f>IFERROR(__xludf.DUMMYFUNCTION("""COMPUTED_VALUE"""),"FGM")</f>
        <v>FGM</v>
      </c>
      <c r="I177" s="9" t="str">
        <f>IFERROR(__xludf.DUMMYFUNCTION("""COMPUTED_VALUE"""),"FTS")</f>
        <v>FTS</v>
      </c>
      <c r="J177" s="9" t="str">
        <f>IFERROR(__xludf.DUMMYFUNCTION("""COMPUTED_VALUE"""),"CP")</f>
        <v>CP</v>
      </c>
      <c r="K177" s="9" t="str">
        <f>IFERROR(__xludf.DUMMYFUNCTION("""COMPUTED_VALUE"""),"fCP")</f>
        <v>fCP</v>
      </c>
      <c r="L177" s="9" t="str">
        <f>IFERROR(__xludf.DUMMYFUNCTION("""COMPUTED_VALUE"""),"fCPfp")</f>
        <v>fCPfp</v>
      </c>
      <c r="M177" s="9" t="str">
        <f>IFERROR(__xludf.DUMMYFUNCTION("""COMPUTED_VALUE"""),"fCPfpo")</f>
        <v>fCPfpo</v>
      </c>
      <c r="N177" s="9"/>
      <c r="O177" s="9"/>
      <c r="P177" s="9"/>
      <c r="Q177" s="9"/>
      <c r="R177" s="9"/>
      <c r="S177" s="42"/>
      <c r="T177" s="42"/>
      <c r="U177" s="159"/>
      <c r="V177" s="42"/>
      <c r="W177" s="42"/>
      <c r="X177" s="42"/>
      <c r="Y177" s="42"/>
      <c r="Z177" s="42"/>
      <c r="AA177" s="42"/>
      <c r="AB177" s="42" t="str">
        <f>IFERROR(__xludf.DUMMYFUNCTION("""COMPUTED_VALUE"""),"allen institute")</f>
        <v>allen institute</v>
      </c>
      <c r="AC177" s="42" t="str">
        <f>IFERROR(__xludf.DUMMYFUNCTION("""COMPUTED_VALUE"""),"DHBA")</f>
        <v>DHBA</v>
      </c>
      <c r="AD177" s="42"/>
      <c r="AE177" s="42"/>
      <c r="AF177" s="9"/>
      <c r="AG177" s="9"/>
      <c r="AH177" s="42"/>
      <c r="AI177" s="42"/>
      <c r="AJ177" s="42"/>
      <c r="AK177" s="42"/>
      <c r="AL177" s="42"/>
      <c r="AM177" s="42"/>
      <c r="AN177" s="42"/>
      <c r="AO177" s="63" t="str">
        <f>IFERROR(__xludf.DUMMYFUNCTION("IF(ISBLANK(A177),,IF(ISBLANK(S177), A177&amp;"";"", TEXTJOIN(CHAR(10), TRUE, A177&amp;"";"", ARRAYFORMULA(VLOOKUP(SPLIT(S177, "";"" &amp; CHAR(10)), $A:$AO, 41, FALSE)))))"),"fCPfpo;")</f>
        <v>fCPfpo;</v>
      </c>
      <c r="AP177" s="89"/>
    </row>
    <row r="178">
      <c r="A178" s="151" t="str">
        <f>IFERROR(__xludf.DUMMYFUNCTION("""COMPUTED_VALUE"""),"fCPfpi")</f>
        <v>fCPfpi</v>
      </c>
      <c r="B178" s="42" t="str">
        <f>IFERROR(__xludf.DUMMYFUNCTION("""COMPUTED_VALUE"""),"DHBA")</f>
        <v>DHBA</v>
      </c>
      <c r="C178" s="42" t="str">
        <f>IFERROR(__xludf.DUMMYFUNCTION("""COMPUTED_VALUE"""),"inner CP in frontal polar cortex")</f>
        <v>inner CP in frontal polar cortex</v>
      </c>
      <c r="D178" s="42">
        <f>IFERROR(__xludf.DUMMYFUNCTION("""COMPUTED_VALUE"""),144.0)</f>
        <v>144</v>
      </c>
      <c r="E178" s="39" t="str">
        <f>IFERROR(__xludf.DUMMYFUNCTION("""COMPUTED_VALUE"""),"inner CP in frontal polar cortex")</f>
        <v>inner CP in frontal polar cortex</v>
      </c>
      <c r="F178" s="9" t="str">
        <f>IFERROR(__xludf.DUMMYFUNCTION("""COMPUTED_VALUE"""),"Br")</f>
        <v>Br</v>
      </c>
      <c r="G178" s="9" t="str">
        <f>IFERROR(__xludf.DUMMYFUNCTION("""COMPUTED_VALUE"""),"F")</f>
        <v>F</v>
      </c>
      <c r="H178" s="9" t="str">
        <f>IFERROR(__xludf.DUMMYFUNCTION("""COMPUTED_VALUE"""),"FGM")</f>
        <v>FGM</v>
      </c>
      <c r="I178" s="9" t="str">
        <f>IFERROR(__xludf.DUMMYFUNCTION("""COMPUTED_VALUE"""),"FTS")</f>
        <v>FTS</v>
      </c>
      <c r="J178" s="9" t="str">
        <f>IFERROR(__xludf.DUMMYFUNCTION("""COMPUTED_VALUE"""),"CP")</f>
        <v>CP</v>
      </c>
      <c r="K178" s="9" t="str">
        <f>IFERROR(__xludf.DUMMYFUNCTION("""COMPUTED_VALUE"""),"fCP")</f>
        <v>fCP</v>
      </c>
      <c r="L178" s="9" t="str">
        <f>IFERROR(__xludf.DUMMYFUNCTION("""COMPUTED_VALUE"""),"fCPfp")</f>
        <v>fCPfp</v>
      </c>
      <c r="M178" s="9" t="str">
        <f>IFERROR(__xludf.DUMMYFUNCTION("""COMPUTED_VALUE"""),"fCPfpi")</f>
        <v>fCPfpi</v>
      </c>
      <c r="N178" s="9"/>
      <c r="O178" s="9"/>
      <c r="P178" s="9"/>
      <c r="Q178" s="9"/>
      <c r="R178" s="9"/>
      <c r="S178" s="42"/>
      <c r="T178" s="42"/>
      <c r="U178" s="42"/>
      <c r="V178" s="42"/>
      <c r="W178" s="42"/>
      <c r="X178" s="42"/>
      <c r="Y178" s="42"/>
      <c r="Z178" s="42"/>
      <c r="AA178" s="42"/>
      <c r="AB178" s="42" t="str">
        <f>IFERROR(__xludf.DUMMYFUNCTION("""COMPUTED_VALUE"""),"allen institute")</f>
        <v>allen institute</v>
      </c>
      <c r="AC178" s="42" t="str">
        <f>IFERROR(__xludf.DUMMYFUNCTION("""COMPUTED_VALUE"""),"DHBA")</f>
        <v>DHBA</v>
      </c>
      <c r="AD178" s="42"/>
      <c r="AE178" s="42"/>
      <c r="AF178" s="9"/>
      <c r="AG178" s="9"/>
      <c r="AH178" s="42"/>
      <c r="AI178" s="42"/>
      <c r="AJ178" s="42"/>
      <c r="AK178" s="42"/>
      <c r="AL178" s="42"/>
      <c r="AM178" s="42"/>
      <c r="AN178" s="42"/>
      <c r="AO178" s="63" t="str">
        <f>IFERROR(__xludf.DUMMYFUNCTION("IF(ISBLANK(A178),,IF(ISBLANK(S178), A178&amp;"";"", TEXTJOIN(CHAR(10), TRUE, A178&amp;"";"", ARRAYFORMULA(VLOOKUP(SPLIT(S178, "";"" &amp; CHAR(10)), $A:$AO, 41, FALSE)))))"),"fCPfpi;")</f>
        <v>fCPfpi;</v>
      </c>
      <c r="AP178" s="89"/>
    </row>
    <row r="179">
      <c r="A179" s="151" t="str">
        <f>IFERROR(__xludf.DUMMYFUNCTION("""COMPUTED_VALUE"""),"fCPdm")</f>
        <v>fCPdm</v>
      </c>
      <c r="B179" s="42" t="str">
        <f>IFERROR(__xludf.DUMMYFUNCTION("""COMPUTED_VALUE"""),"DHBA")</f>
        <v>DHBA</v>
      </c>
      <c r="C179" s="42" t="str">
        <f>IFERROR(__xludf.DUMMYFUNCTION("""COMPUTED_VALUE"""),"CP in dorsomedial frontal cortex")</f>
        <v>CP in dorsomedial frontal cortex</v>
      </c>
      <c r="D179" s="42">
        <f>IFERROR(__xludf.DUMMYFUNCTION("""COMPUTED_VALUE"""),145.0)</f>
        <v>145</v>
      </c>
      <c r="E179" s="39" t="str">
        <f>IFERROR(__xludf.DUMMYFUNCTION("""COMPUTED_VALUE"""),"CP in dorsomedial frontal cortex")</f>
        <v>CP in dorsomedial frontal cortex</v>
      </c>
      <c r="F179" s="9" t="str">
        <f>IFERROR(__xludf.DUMMYFUNCTION("""COMPUTED_VALUE"""),"Br")</f>
        <v>Br</v>
      </c>
      <c r="G179" s="9" t="str">
        <f>IFERROR(__xludf.DUMMYFUNCTION("""COMPUTED_VALUE"""),"F")</f>
        <v>F</v>
      </c>
      <c r="H179" s="9" t="str">
        <f>IFERROR(__xludf.DUMMYFUNCTION("""COMPUTED_VALUE"""),"FGM")</f>
        <v>FGM</v>
      </c>
      <c r="I179" s="9" t="str">
        <f>IFERROR(__xludf.DUMMYFUNCTION("""COMPUTED_VALUE"""),"FTS")</f>
        <v>FTS</v>
      </c>
      <c r="J179" s="9" t="str">
        <f>IFERROR(__xludf.DUMMYFUNCTION("""COMPUTED_VALUE"""),"CP")</f>
        <v>CP</v>
      </c>
      <c r="K179" s="9" t="str">
        <f>IFERROR(__xludf.DUMMYFUNCTION("""COMPUTED_VALUE"""),"fCP")</f>
        <v>fCP</v>
      </c>
      <c r="L179" s="9" t="str">
        <f>IFERROR(__xludf.DUMMYFUNCTION("""COMPUTED_VALUE"""),"fCPdm")</f>
        <v>fCPdm</v>
      </c>
      <c r="M179" s="9"/>
      <c r="N179" s="9"/>
      <c r="O179" s="9"/>
      <c r="P179" s="9"/>
      <c r="Q179" s="9"/>
      <c r="R179" s="9"/>
      <c r="S179" s="42" t="str">
        <f>IFERROR(__xludf.DUMMYFUNCTION("""COMPUTED_VALUE"""),"fCPdmo;
fCPdmi")</f>
        <v>fCPdmo;
fCPdmi</v>
      </c>
      <c r="T179" s="42"/>
      <c r="U179" s="42" t="b">
        <f>IFERROR(__xludf.DUMMYFUNCTION("""COMPUTED_VALUE"""),FALSE)</f>
        <v>0</v>
      </c>
      <c r="V179" s="42"/>
      <c r="W179" s="42"/>
      <c r="X179" s="42"/>
      <c r="Y179" s="42"/>
      <c r="Z179" s="42"/>
      <c r="AA179" s="42"/>
      <c r="AB179" s="42" t="str">
        <f>IFERROR(__xludf.DUMMYFUNCTION("""COMPUTED_VALUE"""),"allen institute")</f>
        <v>allen institute</v>
      </c>
      <c r="AC179" s="42" t="str">
        <f>IFERROR(__xludf.DUMMYFUNCTION("""COMPUTED_VALUE"""),"DHBA")</f>
        <v>DHBA</v>
      </c>
      <c r="AD179" s="42"/>
      <c r="AE179" s="42"/>
      <c r="AF179" s="9"/>
      <c r="AG179" s="9"/>
      <c r="AH179" s="42"/>
      <c r="AI179" s="42"/>
      <c r="AJ179" s="42"/>
      <c r="AK179" s="42"/>
      <c r="AL179" s="42"/>
      <c r="AM179" s="42"/>
      <c r="AN179" s="42"/>
      <c r="AO179" s="63" t="str">
        <f>IFERROR(__xludf.DUMMYFUNCTION("IF(ISBLANK(A179),,IF(ISBLANK(S179), A179&amp;"";"", TEXTJOIN(CHAR(10), TRUE, A179&amp;"";"", ARRAYFORMULA(VLOOKUP(SPLIT(S179, "";"" &amp; CHAR(10)), $A:$AO, 41, FALSE)))))"),"fCPdm;
fCPdmo;
fCPdmi;")</f>
        <v>fCPdm;
fCPdmo;
fCPdmi;</v>
      </c>
      <c r="AP179" s="89"/>
    </row>
    <row r="180">
      <c r="A180" s="151" t="str">
        <f>IFERROR(__xludf.DUMMYFUNCTION("""COMPUTED_VALUE"""),"fCPdmo")</f>
        <v>fCPdmo</v>
      </c>
      <c r="B180" s="42" t="str">
        <f>IFERROR(__xludf.DUMMYFUNCTION("""COMPUTED_VALUE"""),"DHBA")</f>
        <v>DHBA</v>
      </c>
      <c r="C180" s="42" t="str">
        <f>IFERROR(__xludf.DUMMYFUNCTION("""COMPUTED_VALUE"""),"outer CP in dorsomedial frontal cortex")</f>
        <v>outer CP in dorsomedial frontal cortex</v>
      </c>
      <c r="D180" s="42">
        <f>IFERROR(__xludf.DUMMYFUNCTION("""COMPUTED_VALUE"""),146.0)</f>
        <v>146</v>
      </c>
      <c r="E180" s="39" t="str">
        <f>IFERROR(__xludf.DUMMYFUNCTION("""COMPUTED_VALUE"""),"outer CP in dorsomedial frontal cortex")</f>
        <v>outer CP in dorsomedial frontal cortex</v>
      </c>
      <c r="F180" s="9" t="str">
        <f>IFERROR(__xludf.DUMMYFUNCTION("""COMPUTED_VALUE"""),"Br")</f>
        <v>Br</v>
      </c>
      <c r="G180" s="9" t="str">
        <f>IFERROR(__xludf.DUMMYFUNCTION("""COMPUTED_VALUE"""),"F")</f>
        <v>F</v>
      </c>
      <c r="H180" s="9" t="str">
        <f>IFERROR(__xludf.DUMMYFUNCTION("""COMPUTED_VALUE"""),"FGM")</f>
        <v>FGM</v>
      </c>
      <c r="I180" s="9" t="str">
        <f>IFERROR(__xludf.DUMMYFUNCTION("""COMPUTED_VALUE"""),"FTS")</f>
        <v>FTS</v>
      </c>
      <c r="J180" s="9" t="str">
        <f>IFERROR(__xludf.DUMMYFUNCTION("""COMPUTED_VALUE"""),"CP")</f>
        <v>CP</v>
      </c>
      <c r="K180" s="9" t="str">
        <f>IFERROR(__xludf.DUMMYFUNCTION("""COMPUTED_VALUE"""),"fCP")</f>
        <v>fCP</v>
      </c>
      <c r="L180" s="9" t="str">
        <f>IFERROR(__xludf.DUMMYFUNCTION("""COMPUTED_VALUE"""),"fCPdm")</f>
        <v>fCPdm</v>
      </c>
      <c r="M180" s="9" t="str">
        <f>IFERROR(__xludf.DUMMYFUNCTION("""COMPUTED_VALUE"""),"fCPdmo")</f>
        <v>fCPdmo</v>
      </c>
      <c r="N180" s="9"/>
      <c r="O180" s="9"/>
      <c r="P180" s="9"/>
      <c r="Q180" s="9"/>
      <c r="R180" s="9"/>
      <c r="S180" s="42"/>
      <c r="T180" s="42"/>
      <c r="U180" s="42"/>
      <c r="V180" s="42"/>
      <c r="W180" s="42"/>
      <c r="X180" s="42"/>
      <c r="Y180" s="42"/>
      <c r="Z180" s="42"/>
      <c r="AA180" s="42"/>
      <c r="AB180" s="42" t="str">
        <f>IFERROR(__xludf.DUMMYFUNCTION("""COMPUTED_VALUE"""),"allen institute")</f>
        <v>allen institute</v>
      </c>
      <c r="AC180" s="42" t="str">
        <f>IFERROR(__xludf.DUMMYFUNCTION("""COMPUTED_VALUE"""),"DHBA")</f>
        <v>DHBA</v>
      </c>
      <c r="AD180" s="42"/>
      <c r="AE180" s="42"/>
      <c r="AF180" s="9"/>
      <c r="AG180" s="9"/>
      <c r="AH180" s="42"/>
      <c r="AI180" s="42"/>
      <c r="AJ180" s="42"/>
      <c r="AK180" s="42"/>
      <c r="AL180" s="42"/>
      <c r="AM180" s="42"/>
      <c r="AN180" s="42"/>
      <c r="AO180" s="63" t="str">
        <f>IFERROR(__xludf.DUMMYFUNCTION("IF(ISBLANK(A180),,IF(ISBLANK(S180), A180&amp;"";"", TEXTJOIN(CHAR(10), TRUE, A180&amp;"";"", ARRAYFORMULA(VLOOKUP(SPLIT(S180, "";"" &amp; CHAR(10)), $A:$AO, 41, FALSE)))))"),"fCPdmo;")</f>
        <v>fCPdmo;</v>
      </c>
      <c r="AP180" s="89"/>
    </row>
    <row r="181">
      <c r="A181" s="151" t="str">
        <f>IFERROR(__xludf.DUMMYFUNCTION("""COMPUTED_VALUE"""),"fCPdmi")</f>
        <v>fCPdmi</v>
      </c>
      <c r="B181" s="42" t="str">
        <f>IFERROR(__xludf.DUMMYFUNCTION("""COMPUTED_VALUE"""),"DHBA")</f>
        <v>DHBA</v>
      </c>
      <c r="C181" s="42" t="str">
        <f>IFERROR(__xludf.DUMMYFUNCTION("""COMPUTED_VALUE"""),"inner CP in dorsomedial frontal cortex")</f>
        <v>inner CP in dorsomedial frontal cortex</v>
      </c>
      <c r="D181" s="42">
        <f>IFERROR(__xludf.DUMMYFUNCTION("""COMPUTED_VALUE"""),147.0)</f>
        <v>147</v>
      </c>
      <c r="E181" s="39" t="str">
        <f>IFERROR(__xludf.DUMMYFUNCTION("""COMPUTED_VALUE"""),"inner CP in dorsomedial frontal cortex")</f>
        <v>inner CP in dorsomedial frontal cortex</v>
      </c>
      <c r="F181" s="9" t="str">
        <f>IFERROR(__xludf.DUMMYFUNCTION("""COMPUTED_VALUE"""),"Br")</f>
        <v>Br</v>
      </c>
      <c r="G181" s="9" t="str">
        <f>IFERROR(__xludf.DUMMYFUNCTION("""COMPUTED_VALUE"""),"F")</f>
        <v>F</v>
      </c>
      <c r="H181" s="9" t="str">
        <f>IFERROR(__xludf.DUMMYFUNCTION("""COMPUTED_VALUE"""),"FGM")</f>
        <v>FGM</v>
      </c>
      <c r="I181" s="9" t="str">
        <f>IFERROR(__xludf.DUMMYFUNCTION("""COMPUTED_VALUE"""),"FTS")</f>
        <v>FTS</v>
      </c>
      <c r="J181" s="9" t="str">
        <f>IFERROR(__xludf.DUMMYFUNCTION("""COMPUTED_VALUE"""),"CP")</f>
        <v>CP</v>
      </c>
      <c r="K181" s="9" t="str">
        <f>IFERROR(__xludf.DUMMYFUNCTION("""COMPUTED_VALUE"""),"fCP")</f>
        <v>fCP</v>
      </c>
      <c r="L181" s="9" t="str">
        <f>IFERROR(__xludf.DUMMYFUNCTION("""COMPUTED_VALUE"""),"fCPdm")</f>
        <v>fCPdm</v>
      </c>
      <c r="M181" s="9" t="str">
        <f>IFERROR(__xludf.DUMMYFUNCTION("""COMPUTED_VALUE"""),"fCPdmi")</f>
        <v>fCPdmi</v>
      </c>
      <c r="N181" s="9"/>
      <c r="O181" s="9"/>
      <c r="P181" s="9"/>
      <c r="Q181" s="9"/>
      <c r="R181" s="9"/>
      <c r="S181" s="42"/>
      <c r="T181" s="42"/>
      <c r="U181" s="42"/>
      <c r="V181" s="42"/>
      <c r="W181" s="42"/>
      <c r="X181" s="42"/>
      <c r="Y181" s="42"/>
      <c r="Z181" s="42"/>
      <c r="AA181" s="42"/>
      <c r="AB181" s="42" t="str">
        <f>IFERROR(__xludf.DUMMYFUNCTION("""COMPUTED_VALUE"""),"allen institute")</f>
        <v>allen institute</v>
      </c>
      <c r="AC181" s="42" t="str">
        <f>IFERROR(__xludf.DUMMYFUNCTION("""COMPUTED_VALUE"""),"DHBA")</f>
        <v>DHBA</v>
      </c>
      <c r="AD181" s="42"/>
      <c r="AE181" s="42"/>
      <c r="AF181" s="9"/>
      <c r="AG181" s="9"/>
      <c r="AH181" s="42"/>
      <c r="AI181" s="42"/>
      <c r="AJ181" s="42"/>
      <c r="AK181" s="42"/>
      <c r="AL181" s="42"/>
      <c r="AM181" s="42"/>
      <c r="AN181" s="42"/>
      <c r="AO181" s="63" t="str">
        <f>IFERROR(__xludf.DUMMYFUNCTION("IF(ISBLANK(A181),,IF(ISBLANK(S181), A181&amp;"";"", TEXTJOIN(CHAR(10), TRUE, A181&amp;"";"", ARRAYFORMULA(VLOOKUP(SPLIT(S181, "";"" &amp; CHAR(10)), $A:$AO, 41, FALSE)))))"),"fCPdmi;")</f>
        <v>fCPdmi;</v>
      </c>
      <c r="AP181" s="89"/>
    </row>
    <row r="182">
      <c r="A182" s="151" t="str">
        <f>IFERROR(__xludf.DUMMYFUNCTION("""COMPUTED_VALUE"""),"fCPdl")</f>
        <v>fCPdl</v>
      </c>
      <c r="B182" s="42" t="str">
        <f>IFERROR(__xludf.DUMMYFUNCTION("""COMPUTED_VALUE"""),"DHBA")</f>
        <v>DHBA</v>
      </c>
      <c r="C182" s="42" t="str">
        <f>IFERROR(__xludf.DUMMYFUNCTION("""COMPUTED_VALUE"""),"CP in dorsolateral prefrontal cortex")</f>
        <v>CP in dorsolateral prefrontal cortex</v>
      </c>
      <c r="D182" s="42">
        <f>IFERROR(__xludf.DUMMYFUNCTION("""COMPUTED_VALUE"""),148.0)</f>
        <v>148</v>
      </c>
      <c r="E182" s="39" t="str">
        <f>IFERROR(__xludf.DUMMYFUNCTION("""COMPUTED_VALUE"""),"CP in dorsolateral prefrontal cortex")</f>
        <v>CP in dorsolateral prefrontal cortex</v>
      </c>
      <c r="F182" s="9" t="str">
        <f>IFERROR(__xludf.DUMMYFUNCTION("""COMPUTED_VALUE"""),"Br")</f>
        <v>Br</v>
      </c>
      <c r="G182" s="9" t="str">
        <f>IFERROR(__xludf.DUMMYFUNCTION("""COMPUTED_VALUE"""),"F")</f>
        <v>F</v>
      </c>
      <c r="H182" s="9" t="str">
        <f>IFERROR(__xludf.DUMMYFUNCTION("""COMPUTED_VALUE"""),"FGM")</f>
        <v>FGM</v>
      </c>
      <c r="I182" s="9" t="str">
        <f>IFERROR(__xludf.DUMMYFUNCTION("""COMPUTED_VALUE"""),"FTS")</f>
        <v>FTS</v>
      </c>
      <c r="J182" s="9" t="str">
        <f>IFERROR(__xludf.DUMMYFUNCTION("""COMPUTED_VALUE"""),"CP")</f>
        <v>CP</v>
      </c>
      <c r="K182" s="9" t="str">
        <f>IFERROR(__xludf.DUMMYFUNCTION("""COMPUTED_VALUE"""),"fCP")</f>
        <v>fCP</v>
      </c>
      <c r="L182" s="9" t="str">
        <f>IFERROR(__xludf.DUMMYFUNCTION("""COMPUTED_VALUE"""),"fCPdl")</f>
        <v>fCPdl</v>
      </c>
      <c r="M182" s="9"/>
      <c r="N182" s="9"/>
      <c r="O182" s="9"/>
      <c r="P182" s="9"/>
      <c r="Q182" s="9"/>
      <c r="R182" s="9"/>
      <c r="S182" s="42" t="str">
        <f>IFERROR(__xludf.DUMMYFUNCTION("""COMPUTED_VALUE"""),"fCPdlo;
fCPdli")</f>
        <v>fCPdlo;
fCPdli</v>
      </c>
      <c r="T182" s="42"/>
      <c r="U182" s="42" t="b">
        <f>IFERROR(__xludf.DUMMYFUNCTION("""COMPUTED_VALUE"""),FALSE)</f>
        <v>0</v>
      </c>
      <c r="V182" s="42"/>
      <c r="W182" s="42"/>
      <c r="X182" s="42"/>
      <c r="Y182" s="42"/>
      <c r="Z182" s="42"/>
      <c r="AA182" s="42"/>
      <c r="AB182" s="42" t="str">
        <f>IFERROR(__xludf.DUMMYFUNCTION("""COMPUTED_VALUE"""),"allen institute")</f>
        <v>allen institute</v>
      </c>
      <c r="AC182" s="42" t="str">
        <f>IFERROR(__xludf.DUMMYFUNCTION("""COMPUTED_VALUE"""),"DHBA")</f>
        <v>DHBA</v>
      </c>
      <c r="AD182" s="42"/>
      <c r="AE182" s="42"/>
      <c r="AF182" s="9"/>
      <c r="AG182" s="9"/>
      <c r="AH182" s="42"/>
      <c r="AI182" s="42"/>
      <c r="AJ182" s="42"/>
      <c r="AK182" s="42"/>
      <c r="AL182" s="42"/>
      <c r="AM182" s="42"/>
      <c r="AN182" s="42"/>
      <c r="AO182" s="63" t="str">
        <f>IFERROR(__xludf.DUMMYFUNCTION("IF(ISBLANK(A182),,IF(ISBLANK(S182), A182&amp;"";"", TEXTJOIN(CHAR(10), TRUE, A182&amp;"";"", ARRAYFORMULA(VLOOKUP(SPLIT(S182, "";"" &amp; CHAR(10)), $A:$AO, 41, FALSE)))))"),"fCPdl;
fCPdlo;
fCPdli;")</f>
        <v>fCPdl;
fCPdlo;
fCPdli;</v>
      </c>
      <c r="AP182" s="89"/>
    </row>
    <row r="183">
      <c r="A183" s="151" t="str">
        <f>IFERROR(__xludf.DUMMYFUNCTION("""COMPUTED_VALUE"""),"fCPdlo")</f>
        <v>fCPdlo</v>
      </c>
      <c r="B183" s="42" t="str">
        <f>IFERROR(__xludf.DUMMYFUNCTION("""COMPUTED_VALUE"""),"DHBA")</f>
        <v>DHBA</v>
      </c>
      <c r="C183" s="42" t="str">
        <f>IFERROR(__xludf.DUMMYFUNCTION("""COMPUTED_VALUE"""),"outer CP in dorsolateral prefrontal cortex")</f>
        <v>outer CP in dorsolateral prefrontal cortex</v>
      </c>
      <c r="D183" s="42">
        <f>IFERROR(__xludf.DUMMYFUNCTION("""COMPUTED_VALUE"""),149.0)</f>
        <v>149</v>
      </c>
      <c r="E183" s="39" t="str">
        <f>IFERROR(__xludf.DUMMYFUNCTION("""COMPUTED_VALUE"""),"outer CP in dorsolateral prefrontal cortex")</f>
        <v>outer CP in dorsolateral prefrontal cortex</v>
      </c>
      <c r="F183" s="9" t="str">
        <f>IFERROR(__xludf.DUMMYFUNCTION("""COMPUTED_VALUE"""),"Br")</f>
        <v>Br</v>
      </c>
      <c r="G183" s="9" t="str">
        <f>IFERROR(__xludf.DUMMYFUNCTION("""COMPUTED_VALUE"""),"F")</f>
        <v>F</v>
      </c>
      <c r="H183" s="9" t="str">
        <f>IFERROR(__xludf.DUMMYFUNCTION("""COMPUTED_VALUE"""),"FGM")</f>
        <v>FGM</v>
      </c>
      <c r="I183" s="9" t="str">
        <f>IFERROR(__xludf.DUMMYFUNCTION("""COMPUTED_VALUE"""),"FTS")</f>
        <v>FTS</v>
      </c>
      <c r="J183" s="9" t="str">
        <f>IFERROR(__xludf.DUMMYFUNCTION("""COMPUTED_VALUE"""),"CP")</f>
        <v>CP</v>
      </c>
      <c r="K183" s="9" t="str">
        <f>IFERROR(__xludf.DUMMYFUNCTION("""COMPUTED_VALUE"""),"fCP")</f>
        <v>fCP</v>
      </c>
      <c r="L183" s="9" t="str">
        <f>IFERROR(__xludf.DUMMYFUNCTION("""COMPUTED_VALUE"""),"fCPdl")</f>
        <v>fCPdl</v>
      </c>
      <c r="M183" s="9" t="str">
        <f>IFERROR(__xludf.DUMMYFUNCTION("""COMPUTED_VALUE"""),"fCPdlo")</f>
        <v>fCPdlo</v>
      </c>
      <c r="N183" s="9"/>
      <c r="O183" s="9"/>
      <c r="P183" s="9"/>
      <c r="Q183" s="9"/>
      <c r="R183" s="9"/>
      <c r="S183" s="42"/>
      <c r="T183" s="42"/>
      <c r="U183" s="42"/>
      <c r="V183" s="42"/>
      <c r="W183" s="42"/>
      <c r="X183" s="42"/>
      <c r="Y183" s="42"/>
      <c r="Z183" s="42"/>
      <c r="AA183" s="42"/>
      <c r="AB183" s="42" t="str">
        <f>IFERROR(__xludf.DUMMYFUNCTION("""COMPUTED_VALUE"""),"allen institute")</f>
        <v>allen institute</v>
      </c>
      <c r="AC183" s="42" t="str">
        <f>IFERROR(__xludf.DUMMYFUNCTION("""COMPUTED_VALUE"""),"DHBA")</f>
        <v>DHBA</v>
      </c>
      <c r="AD183" s="42"/>
      <c r="AE183" s="42"/>
      <c r="AF183" s="9"/>
      <c r="AG183" s="9"/>
      <c r="AH183" s="42"/>
      <c r="AI183" s="42"/>
      <c r="AJ183" s="42"/>
      <c r="AK183" s="42"/>
      <c r="AL183" s="42"/>
      <c r="AM183" s="42"/>
      <c r="AN183" s="42"/>
      <c r="AO183" s="63" t="str">
        <f>IFERROR(__xludf.DUMMYFUNCTION("IF(ISBLANK(A183),,IF(ISBLANK(S183), A183&amp;"";"", TEXTJOIN(CHAR(10), TRUE, A183&amp;"";"", ARRAYFORMULA(VLOOKUP(SPLIT(S183, "";"" &amp; CHAR(10)), $A:$AO, 41, FALSE)))))"),"fCPdlo;")</f>
        <v>fCPdlo;</v>
      </c>
      <c r="AP183" s="89"/>
    </row>
    <row r="184">
      <c r="A184" s="151" t="str">
        <f>IFERROR(__xludf.DUMMYFUNCTION("""COMPUTED_VALUE"""),"fCPdli")</f>
        <v>fCPdli</v>
      </c>
      <c r="B184" s="42" t="str">
        <f>IFERROR(__xludf.DUMMYFUNCTION("""COMPUTED_VALUE"""),"DHBA")</f>
        <v>DHBA</v>
      </c>
      <c r="C184" s="42" t="str">
        <f>IFERROR(__xludf.DUMMYFUNCTION("""COMPUTED_VALUE"""),"inner CP in dorsolateral prefrontal cortex")</f>
        <v>inner CP in dorsolateral prefrontal cortex</v>
      </c>
      <c r="D184" s="42">
        <f>IFERROR(__xludf.DUMMYFUNCTION("""COMPUTED_VALUE"""),150.0)</f>
        <v>150</v>
      </c>
      <c r="E184" s="39" t="str">
        <f>IFERROR(__xludf.DUMMYFUNCTION("""COMPUTED_VALUE"""),"inner CP in dorsolateral prefrontal cortex")</f>
        <v>inner CP in dorsolateral prefrontal cortex</v>
      </c>
      <c r="F184" s="9" t="str">
        <f>IFERROR(__xludf.DUMMYFUNCTION("""COMPUTED_VALUE"""),"Br")</f>
        <v>Br</v>
      </c>
      <c r="G184" s="9" t="str">
        <f>IFERROR(__xludf.DUMMYFUNCTION("""COMPUTED_VALUE"""),"F")</f>
        <v>F</v>
      </c>
      <c r="H184" s="9" t="str">
        <f>IFERROR(__xludf.DUMMYFUNCTION("""COMPUTED_VALUE"""),"FGM")</f>
        <v>FGM</v>
      </c>
      <c r="I184" s="9" t="str">
        <f>IFERROR(__xludf.DUMMYFUNCTION("""COMPUTED_VALUE"""),"FTS")</f>
        <v>FTS</v>
      </c>
      <c r="J184" s="9" t="str">
        <f>IFERROR(__xludf.DUMMYFUNCTION("""COMPUTED_VALUE"""),"CP")</f>
        <v>CP</v>
      </c>
      <c r="K184" s="9" t="str">
        <f>IFERROR(__xludf.DUMMYFUNCTION("""COMPUTED_VALUE"""),"fCP")</f>
        <v>fCP</v>
      </c>
      <c r="L184" s="9" t="str">
        <f>IFERROR(__xludf.DUMMYFUNCTION("""COMPUTED_VALUE"""),"fCPdl")</f>
        <v>fCPdl</v>
      </c>
      <c r="M184" s="9" t="str">
        <f>IFERROR(__xludf.DUMMYFUNCTION("""COMPUTED_VALUE"""),"fCPdli")</f>
        <v>fCPdli</v>
      </c>
      <c r="N184" s="9"/>
      <c r="O184" s="9"/>
      <c r="P184" s="9"/>
      <c r="Q184" s="9"/>
      <c r="R184" s="9"/>
      <c r="S184" s="42"/>
      <c r="T184" s="42"/>
      <c r="U184" s="42"/>
      <c r="V184" s="42"/>
      <c r="W184" s="42"/>
      <c r="X184" s="42"/>
      <c r="Y184" s="42"/>
      <c r="Z184" s="42"/>
      <c r="AA184" s="42"/>
      <c r="AB184" s="42" t="str">
        <f>IFERROR(__xludf.DUMMYFUNCTION("""COMPUTED_VALUE"""),"allen institute")</f>
        <v>allen institute</v>
      </c>
      <c r="AC184" s="42" t="str">
        <f>IFERROR(__xludf.DUMMYFUNCTION("""COMPUTED_VALUE"""),"DHBA")</f>
        <v>DHBA</v>
      </c>
      <c r="AD184" s="42"/>
      <c r="AE184" s="42"/>
      <c r="AF184" s="9"/>
      <c r="AG184" s="9"/>
      <c r="AH184" s="42"/>
      <c r="AI184" s="42"/>
      <c r="AJ184" s="42"/>
      <c r="AK184" s="42"/>
      <c r="AL184" s="42"/>
      <c r="AM184" s="42"/>
      <c r="AN184" s="42"/>
      <c r="AO184" s="63" t="str">
        <f>IFERROR(__xludf.DUMMYFUNCTION("IF(ISBLANK(A184),,IF(ISBLANK(S184), A184&amp;"";"", TEXTJOIN(CHAR(10), TRUE, A184&amp;"";"", ARRAYFORMULA(VLOOKUP(SPLIT(S184, "";"" &amp; CHAR(10)), $A:$AO, 41, FALSE)))))"),"fCPdli;")</f>
        <v>fCPdli;</v>
      </c>
      <c r="AP184" s="89"/>
    </row>
    <row r="185">
      <c r="A185" s="151" t="str">
        <f>IFERROR(__xludf.DUMMYFUNCTION("""COMPUTED_VALUE"""),"fCPvl")</f>
        <v>fCPvl</v>
      </c>
      <c r="B185" s="42" t="str">
        <f>IFERROR(__xludf.DUMMYFUNCTION("""COMPUTED_VALUE"""),"DHBA")</f>
        <v>DHBA</v>
      </c>
      <c r="C185" s="42" t="str">
        <f>IFERROR(__xludf.DUMMYFUNCTION("""COMPUTED_VALUE"""),"CP in ventrolateral prefrontal cortex")</f>
        <v>CP in ventrolateral prefrontal cortex</v>
      </c>
      <c r="D185" s="42">
        <f>IFERROR(__xludf.DUMMYFUNCTION("""COMPUTED_VALUE"""),151.0)</f>
        <v>151</v>
      </c>
      <c r="E185" s="39" t="str">
        <f>IFERROR(__xludf.DUMMYFUNCTION("""COMPUTED_VALUE"""),"CP in ventrolateral prefrontal cortex")</f>
        <v>CP in ventrolateral prefrontal cortex</v>
      </c>
      <c r="F185" s="9" t="str">
        <f>IFERROR(__xludf.DUMMYFUNCTION("""COMPUTED_VALUE"""),"Br")</f>
        <v>Br</v>
      </c>
      <c r="G185" s="9" t="str">
        <f>IFERROR(__xludf.DUMMYFUNCTION("""COMPUTED_VALUE"""),"F")</f>
        <v>F</v>
      </c>
      <c r="H185" s="9" t="str">
        <f>IFERROR(__xludf.DUMMYFUNCTION("""COMPUTED_VALUE"""),"FGM")</f>
        <v>FGM</v>
      </c>
      <c r="I185" s="9" t="str">
        <f>IFERROR(__xludf.DUMMYFUNCTION("""COMPUTED_VALUE"""),"FTS")</f>
        <v>FTS</v>
      </c>
      <c r="J185" s="9" t="str">
        <f>IFERROR(__xludf.DUMMYFUNCTION("""COMPUTED_VALUE"""),"CP")</f>
        <v>CP</v>
      </c>
      <c r="K185" s="9" t="str">
        <f>IFERROR(__xludf.DUMMYFUNCTION("""COMPUTED_VALUE"""),"fCP")</f>
        <v>fCP</v>
      </c>
      <c r="L185" s="9" t="str">
        <f>IFERROR(__xludf.DUMMYFUNCTION("""COMPUTED_VALUE"""),"fCPvl")</f>
        <v>fCPvl</v>
      </c>
      <c r="M185" s="9"/>
      <c r="N185" s="9"/>
      <c r="O185" s="9"/>
      <c r="P185" s="9"/>
      <c r="Q185" s="9"/>
      <c r="R185" s="9"/>
      <c r="S185" s="42" t="str">
        <f>IFERROR(__xludf.DUMMYFUNCTION("""COMPUTED_VALUE"""),"fCPvlo;
fCPvli")</f>
        <v>fCPvlo;
fCPvli</v>
      </c>
      <c r="T185" s="42"/>
      <c r="U185" s="42" t="b">
        <f>IFERROR(__xludf.DUMMYFUNCTION("""COMPUTED_VALUE"""),FALSE)</f>
        <v>0</v>
      </c>
      <c r="V185" s="42"/>
      <c r="W185" s="42"/>
      <c r="X185" s="42"/>
      <c r="Y185" s="42"/>
      <c r="Z185" s="42"/>
      <c r="AA185" s="42"/>
      <c r="AB185" s="42" t="str">
        <f>IFERROR(__xludf.DUMMYFUNCTION("""COMPUTED_VALUE"""),"allen institute")</f>
        <v>allen institute</v>
      </c>
      <c r="AC185" s="42" t="str">
        <f>IFERROR(__xludf.DUMMYFUNCTION("""COMPUTED_VALUE"""),"DHBA")</f>
        <v>DHBA</v>
      </c>
      <c r="AD185" s="42"/>
      <c r="AE185" s="42"/>
      <c r="AF185" s="9"/>
      <c r="AG185" s="9"/>
      <c r="AH185" s="42"/>
      <c r="AI185" s="42"/>
      <c r="AJ185" s="42"/>
      <c r="AK185" s="42"/>
      <c r="AL185" s="42"/>
      <c r="AM185" s="42"/>
      <c r="AN185" s="42"/>
      <c r="AO185" s="63" t="str">
        <f>IFERROR(__xludf.DUMMYFUNCTION("IF(ISBLANK(A185),,IF(ISBLANK(S185), A185&amp;"";"", TEXTJOIN(CHAR(10), TRUE, A185&amp;"";"", ARRAYFORMULA(VLOOKUP(SPLIT(S185, "";"" &amp; CHAR(10)), $A:$AO, 41, FALSE)))))"),"fCPvl;
fCPvlo;
fCPvli;")</f>
        <v>fCPvl;
fCPvlo;
fCPvli;</v>
      </c>
      <c r="AP185" s="89"/>
    </row>
    <row r="186">
      <c r="A186" s="151" t="str">
        <f>IFERROR(__xludf.DUMMYFUNCTION("""COMPUTED_VALUE"""),"fCPvlo")</f>
        <v>fCPvlo</v>
      </c>
      <c r="B186" s="42" t="str">
        <f>IFERROR(__xludf.DUMMYFUNCTION("""COMPUTED_VALUE"""),"DHBA")</f>
        <v>DHBA</v>
      </c>
      <c r="C186" s="42" t="str">
        <f>IFERROR(__xludf.DUMMYFUNCTION("""COMPUTED_VALUE"""),"outer CP in ventrolateral prefrontal cortex")</f>
        <v>outer CP in ventrolateral prefrontal cortex</v>
      </c>
      <c r="D186" s="42">
        <f>IFERROR(__xludf.DUMMYFUNCTION("""COMPUTED_VALUE"""),152.0)</f>
        <v>152</v>
      </c>
      <c r="E186" s="39" t="str">
        <f>IFERROR(__xludf.DUMMYFUNCTION("""COMPUTED_VALUE"""),"outer CP in ventrolateral prefrontal cortex")</f>
        <v>outer CP in ventrolateral prefrontal cortex</v>
      </c>
      <c r="F186" s="9" t="str">
        <f>IFERROR(__xludf.DUMMYFUNCTION("""COMPUTED_VALUE"""),"Br")</f>
        <v>Br</v>
      </c>
      <c r="G186" s="9" t="str">
        <f>IFERROR(__xludf.DUMMYFUNCTION("""COMPUTED_VALUE"""),"F")</f>
        <v>F</v>
      </c>
      <c r="H186" s="9" t="str">
        <f>IFERROR(__xludf.DUMMYFUNCTION("""COMPUTED_VALUE"""),"FGM")</f>
        <v>FGM</v>
      </c>
      <c r="I186" s="9" t="str">
        <f>IFERROR(__xludf.DUMMYFUNCTION("""COMPUTED_VALUE"""),"FTS")</f>
        <v>FTS</v>
      </c>
      <c r="J186" s="9" t="str">
        <f>IFERROR(__xludf.DUMMYFUNCTION("""COMPUTED_VALUE"""),"CP")</f>
        <v>CP</v>
      </c>
      <c r="K186" s="9" t="str">
        <f>IFERROR(__xludf.DUMMYFUNCTION("""COMPUTED_VALUE"""),"fCP")</f>
        <v>fCP</v>
      </c>
      <c r="L186" s="9" t="str">
        <f>IFERROR(__xludf.DUMMYFUNCTION("""COMPUTED_VALUE"""),"fCPvl")</f>
        <v>fCPvl</v>
      </c>
      <c r="M186" s="9" t="str">
        <f>IFERROR(__xludf.DUMMYFUNCTION("""COMPUTED_VALUE"""),"fCPvlo")</f>
        <v>fCPvlo</v>
      </c>
      <c r="N186" s="9"/>
      <c r="O186" s="9"/>
      <c r="P186" s="9"/>
      <c r="Q186" s="9"/>
      <c r="R186" s="9"/>
      <c r="S186" s="42"/>
      <c r="T186" s="42"/>
      <c r="U186" s="42"/>
      <c r="V186" s="42"/>
      <c r="W186" s="42"/>
      <c r="X186" s="42"/>
      <c r="Y186" s="42"/>
      <c r="Z186" s="42"/>
      <c r="AA186" s="42"/>
      <c r="AB186" s="42" t="str">
        <f>IFERROR(__xludf.DUMMYFUNCTION("""COMPUTED_VALUE"""),"allen institute")</f>
        <v>allen institute</v>
      </c>
      <c r="AC186" s="42" t="str">
        <f>IFERROR(__xludf.DUMMYFUNCTION("""COMPUTED_VALUE"""),"DHBA")</f>
        <v>DHBA</v>
      </c>
      <c r="AD186" s="42"/>
      <c r="AE186" s="42"/>
      <c r="AF186" s="9"/>
      <c r="AG186" s="9"/>
      <c r="AH186" s="42"/>
      <c r="AI186" s="42"/>
      <c r="AJ186" s="42"/>
      <c r="AK186" s="42"/>
      <c r="AL186" s="42"/>
      <c r="AM186" s="42"/>
      <c r="AN186" s="42"/>
      <c r="AO186" s="63" t="str">
        <f>IFERROR(__xludf.DUMMYFUNCTION("IF(ISBLANK(A186),,IF(ISBLANK(S186), A186&amp;"";"", TEXTJOIN(CHAR(10), TRUE, A186&amp;"";"", ARRAYFORMULA(VLOOKUP(SPLIT(S186, "";"" &amp; CHAR(10)), $A:$AO, 41, FALSE)))))"),"fCPvlo;")</f>
        <v>fCPvlo;</v>
      </c>
      <c r="AP186" s="89"/>
    </row>
    <row r="187">
      <c r="A187" s="151" t="str">
        <f>IFERROR(__xludf.DUMMYFUNCTION("""COMPUTED_VALUE"""),"fCPvli")</f>
        <v>fCPvli</v>
      </c>
      <c r="B187" s="42" t="str">
        <f>IFERROR(__xludf.DUMMYFUNCTION("""COMPUTED_VALUE"""),"DHBA")</f>
        <v>DHBA</v>
      </c>
      <c r="C187" s="42" t="str">
        <f>IFERROR(__xludf.DUMMYFUNCTION("""COMPUTED_VALUE"""),"inner CP in ventrolateral prefrontal cortex")</f>
        <v>inner CP in ventrolateral prefrontal cortex</v>
      </c>
      <c r="D187" s="42">
        <f>IFERROR(__xludf.DUMMYFUNCTION("""COMPUTED_VALUE"""),153.0)</f>
        <v>153</v>
      </c>
      <c r="E187" s="39" t="str">
        <f>IFERROR(__xludf.DUMMYFUNCTION("""COMPUTED_VALUE"""),"inner CP in ventrolateral prefrontal cortex")</f>
        <v>inner CP in ventrolateral prefrontal cortex</v>
      </c>
      <c r="F187" s="9" t="str">
        <f>IFERROR(__xludf.DUMMYFUNCTION("""COMPUTED_VALUE"""),"Br")</f>
        <v>Br</v>
      </c>
      <c r="G187" s="9" t="str">
        <f>IFERROR(__xludf.DUMMYFUNCTION("""COMPUTED_VALUE"""),"F")</f>
        <v>F</v>
      </c>
      <c r="H187" s="9" t="str">
        <f>IFERROR(__xludf.DUMMYFUNCTION("""COMPUTED_VALUE"""),"FGM")</f>
        <v>FGM</v>
      </c>
      <c r="I187" s="9" t="str">
        <f>IFERROR(__xludf.DUMMYFUNCTION("""COMPUTED_VALUE"""),"FTS")</f>
        <v>FTS</v>
      </c>
      <c r="J187" s="9" t="str">
        <f>IFERROR(__xludf.DUMMYFUNCTION("""COMPUTED_VALUE"""),"CP")</f>
        <v>CP</v>
      </c>
      <c r="K187" s="9" t="str">
        <f>IFERROR(__xludf.DUMMYFUNCTION("""COMPUTED_VALUE"""),"fCP")</f>
        <v>fCP</v>
      </c>
      <c r="L187" s="9" t="str">
        <f>IFERROR(__xludf.DUMMYFUNCTION("""COMPUTED_VALUE"""),"fCPvl")</f>
        <v>fCPvl</v>
      </c>
      <c r="M187" s="9" t="str">
        <f>IFERROR(__xludf.DUMMYFUNCTION("""COMPUTED_VALUE"""),"fCPvli")</f>
        <v>fCPvli</v>
      </c>
      <c r="N187" s="9"/>
      <c r="O187" s="9"/>
      <c r="P187" s="9"/>
      <c r="Q187" s="9"/>
      <c r="R187" s="9"/>
      <c r="S187" s="42"/>
      <c r="T187" s="42"/>
      <c r="U187" s="42"/>
      <c r="V187" s="42"/>
      <c r="W187" s="42"/>
      <c r="X187" s="42"/>
      <c r="Y187" s="42"/>
      <c r="Z187" s="42"/>
      <c r="AA187" s="42"/>
      <c r="AB187" s="42" t="str">
        <f>IFERROR(__xludf.DUMMYFUNCTION("""COMPUTED_VALUE"""),"allen institute")</f>
        <v>allen institute</v>
      </c>
      <c r="AC187" s="42" t="str">
        <f>IFERROR(__xludf.DUMMYFUNCTION("""COMPUTED_VALUE"""),"DHBA")</f>
        <v>DHBA</v>
      </c>
      <c r="AD187" s="42"/>
      <c r="AE187" s="42"/>
      <c r="AF187" s="9"/>
      <c r="AG187" s="9"/>
      <c r="AH187" s="42"/>
      <c r="AI187" s="42"/>
      <c r="AJ187" s="42"/>
      <c r="AK187" s="42"/>
      <c r="AL187" s="42"/>
      <c r="AM187" s="42"/>
      <c r="AN187" s="42"/>
      <c r="AO187" s="63" t="str">
        <f>IFERROR(__xludf.DUMMYFUNCTION("IF(ISBLANK(A187),,IF(ISBLANK(S187), A187&amp;"";"", TEXTJOIN(CHAR(10), TRUE, A187&amp;"";"", ARRAYFORMULA(VLOOKUP(SPLIT(S187, "";"" &amp; CHAR(10)), $A:$AO, 41, FALSE)))))"),"fCPvli;")</f>
        <v>fCPvli;</v>
      </c>
      <c r="AP187" s="89"/>
    </row>
    <row r="188">
      <c r="A188" s="151" t="str">
        <f>IFERROR(__xludf.DUMMYFUNCTION("""COMPUTED_VALUE"""),"fCPor")</f>
        <v>fCPor</v>
      </c>
      <c r="B188" s="42" t="str">
        <f>IFERROR(__xludf.DUMMYFUNCTION("""COMPUTED_VALUE"""),"DHBA")</f>
        <v>DHBA</v>
      </c>
      <c r="C188" s="42" t="str">
        <f>IFERROR(__xludf.DUMMYFUNCTION("""COMPUTED_VALUE"""),"CP in orbital frontal cortex")</f>
        <v>CP in orbital frontal cortex</v>
      </c>
      <c r="D188" s="42">
        <f>IFERROR(__xludf.DUMMYFUNCTION("""COMPUTED_VALUE"""),154.0)</f>
        <v>154</v>
      </c>
      <c r="E188" s="39" t="str">
        <f>IFERROR(__xludf.DUMMYFUNCTION("""COMPUTED_VALUE"""),"CP in orbital frontal cortex")</f>
        <v>CP in orbital frontal cortex</v>
      </c>
      <c r="F188" s="9" t="str">
        <f>IFERROR(__xludf.DUMMYFUNCTION("""COMPUTED_VALUE"""),"Br")</f>
        <v>Br</v>
      </c>
      <c r="G188" s="9" t="str">
        <f>IFERROR(__xludf.DUMMYFUNCTION("""COMPUTED_VALUE"""),"F")</f>
        <v>F</v>
      </c>
      <c r="H188" s="9" t="str">
        <f>IFERROR(__xludf.DUMMYFUNCTION("""COMPUTED_VALUE"""),"FGM")</f>
        <v>FGM</v>
      </c>
      <c r="I188" s="9" t="str">
        <f>IFERROR(__xludf.DUMMYFUNCTION("""COMPUTED_VALUE"""),"FTS")</f>
        <v>FTS</v>
      </c>
      <c r="J188" s="9" t="str">
        <f>IFERROR(__xludf.DUMMYFUNCTION("""COMPUTED_VALUE"""),"CP")</f>
        <v>CP</v>
      </c>
      <c r="K188" s="9" t="str">
        <f>IFERROR(__xludf.DUMMYFUNCTION("""COMPUTED_VALUE"""),"fCP")</f>
        <v>fCP</v>
      </c>
      <c r="L188" s="9" t="str">
        <f>IFERROR(__xludf.DUMMYFUNCTION("""COMPUTED_VALUE"""),"fCPor")</f>
        <v>fCPor</v>
      </c>
      <c r="M188" s="9"/>
      <c r="N188" s="9"/>
      <c r="O188" s="9"/>
      <c r="P188" s="9"/>
      <c r="Q188" s="9"/>
      <c r="R188" s="9"/>
      <c r="S188" s="42" t="str">
        <f>IFERROR(__xludf.DUMMYFUNCTION("""COMPUTED_VALUE"""),"fCPoro;
fCPori")</f>
        <v>fCPoro;
fCPori</v>
      </c>
      <c r="T188" s="42"/>
      <c r="U188" s="42" t="b">
        <f>IFERROR(__xludf.DUMMYFUNCTION("""COMPUTED_VALUE"""),FALSE)</f>
        <v>0</v>
      </c>
      <c r="V188" s="42"/>
      <c r="W188" s="42"/>
      <c r="X188" s="42"/>
      <c r="Y188" s="42"/>
      <c r="Z188" s="42"/>
      <c r="AA188" s="42"/>
      <c r="AB188" s="42" t="str">
        <f>IFERROR(__xludf.DUMMYFUNCTION("""COMPUTED_VALUE"""),"allen institute")</f>
        <v>allen institute</v>
      </c>
      <c r="AC188" s="42" t="str">
        <f>IFERROR(__xludf.DUMMYFUNCTION("""COMPUTED_VALUE"""),"DHBA")</f>
        <v>DHBA</v>
      </c>
      <c r="AD188" s="42"/>
      <c r="AE188" s="42"/>
      <c r="AF188" s="9"/>
      <c r="AG188" s="9"/>
      <c r="AH188" s="42"/>
      <c r="AI188" s="42"/>
      <c r="AJ188" s="42"/>
      <c r="AK188" s="42"/>
      <c r="AL188" s="42"/>
      <c r="AM188" s="42"/>
      <c r="AN188" s="42"/>
      <c r="AO188" s="63" t="str">
        <f>IFERROR(__xludf.DUMMYFUNCTION("IF(ISBLANK(A188),,IF(ISBLANK(S188), A188&amp;"";"", TEXTJOIN(CHAR(10), TRUE, A188&amp;"";"", ARRAYFORMULA(VLOOKUP(SPLIT(S188, "";"" &amp; CHAR(10)), $A:$AO, 41, FALSE)))))"),"fCPor;
fCPoro;
fCPori;")</f>
        <v>fCPor;
fCPoro;
fCPori;</v>
      </c>
      <c r="AP188" s="89"/>
    </row>
    <row r="189">
      <c r="A189" s="151" t="str">
        <f>IFERROR(__xludf.DUMMYFUNCTION("""COMPUTED_VALUE"""),"fCPoro")</f>
        <v>fCPoro</v>
      </c>
      <c r="B189" s="42" t="str">
        <f>IFERROR(__xludf.DUMMYFUNCTION("""COMPUTED_VALUE"""),"DHBA")</f>
        <v>DHBA</v>
      </c>
      <c r="C189" s="42" t="str">
        <f>IFERROR(__xludf.DUMMYFUNCTION("""COMPUTED_VALUE"""),"outer CP in orbital frontal cortex")</f>
        <v>outer CP in orbital frontal cortex</v>
      </c>
      <c r="D189" s="42">
        <f>IFERROR(__xludf.DUMMYFUNCTION("""COMPUTED_VALUE"""),155.0)</f>
        <v>155</v>
      </c>
      <c r="E189" s="39" t="str">
        <f>IFERROR(__xludf.DUMMYFUNCTION("""COMPUTED_VALUE"""),"outer CP in orbital frontal cortex")</f>
        <v>outer CP in orbital frontal cortex</v>
      </c>
      <c r="F189" s="9" t="str">
        <f>IFERROR(__xludf.DUMMYFUNCTION("""COMPUTED_VALUE"""),"Br")</f>
        <v>Br</v>
      </c>
      <c r="G189" s="9" t="str">
        <f>IFERROR(__xludf.DUMMYFUNCTION("""COMPUTED_VALUE"""),"F")</f>
        <v>F</v>
      </c>
      <c r="H189" s="9" t="str">
        <f>IFERROR(__xludf.DUMMYFUNCTION("""COMPUTED_VALUE"""),"FGM")</f>
        <v>FGM</v>
      </c>
      <c r="I189" s="9" t="str">
        <f>IFERROR(__xludf.DUMMYFUNCTION("""COMPUTED_VALUE"""),"FTS")</f>
        <v>FTS</v>
      </c>
      <c r="J189" s="9" t="str">
        <f>IFERROR(__xludf.DUMMYFUNCTION("""COMPUTED_VALUE"""),"CP")</f>
        <v>CP</v>
      </c>
      <c r="K189" s="9" t="str">
        <f>IFERROR(__xludf.DUMMYFUNCTION("""COMPUTED_VALUE"""),"fCP")</f>
        <v>fCP</v>
      </c>
      <c r="L189" s="9" t="str">
        <f>IFERROR(__xludf.DUMMYFUNCTION("""COMPUTED_VALUE"""),"fCPor")</f>
        <v>fCPor</v>
      </c>
      <c r="M189" s="9" t="str">
        <f>IFERROR(__xludf.DUMMYFUNCTION("""COMPUTED_VALUE"""),"fCPoro")</f>
        <v>fCPoro</v>
      </c>
      <c r="N189" s="9"/>
      <c r="O189" s="9"/>
      <c r="P189" s="9"/>
      <c r="Q189" s="9"/>
      <c r="R189" s="9"/>
      <c r="S189" s="42"/>
      <c r="T189" s="42"/>
      <c r="U189" s="42"/>
      <c r="V189" s="42"/>
      <c r="W189" s="42"/>
      <c r="X189" s="42"/>
      <c r="Y189" s="42"/>
      <c r="Z189" s="42"/>
      <c r="AA189" s="42"/>
      <c r="AB189" s="42" t="str">
        <f>IFERROR(__xludf.DUMMYFUNCTION("""COMPUTED_VALUE"""),"allen institute")</f>
        <v>allen institute</v>
      </c>
      <c r="AC189" s="42" t="str">
        <f>IFERROR(__xludf.DUMMYFUNCTION("""COMPUTED_VALUE"""),"DHBA")</f>
        <v>DHBA</v>
      </c>
      <c r="AD189" s="42"/>
      <c r="AE189" s="42"/>
      <c r="AF189" s="9"/>
      <c r="AG189" s="9"/>
      <c r="AH189" s="42"/>
      <c r="AI189" s="42"/>
      <c r="AJ189" s="42"/>
      <c r="AK189" s="42"/>
      <c r="AL189" s="42"/>
      <c r="AM189" s="42"/>
      <c r="AN189" s="42"/>
      <c r="AO189" s="63" t="str">
        <f>IFERROR(__xludf.DUMMYFUNCTION("IF(ISBLANK(A189),,IF(ISBLANK(S189), A189&amp;"";"", TEXTJOIN(CHAR(10), TRUE, A189&amp;"";"", ARRAYFORMULA(VLOOKUP(SPLIT(S189, "";"" &amp; CHAR(10)), $A:$AO, 41, FALSE)))))"),"fCPoro;")</f>
        <v>fCPoro;</v>
      </c>
      <c r="AP189" s="89"/>
    </row>
    <row r="190">
      <c r="A190" s="151" t="str">
        <f>IFERROR(__xludf.DUMMYFUNCTION("""COMPUTED_VALUE"""),"fCPori")</f>
        <v>fCPori</v>
      </c>
      <c r="B190" s="42" t="str">
        <f>IFERROR(__xludf.DUMMYFUNCTION("""COMPUTED_VALUE"""),"DHBA")</f>
        <v>DHBA</v>
      </c>
      <c r="C190" s="42" t="str">
        <f>IFERROR(__xludf.DUMMYFUNCTION("""COMPUTED_VALUE"""),"inner CP in orbital frontal cortex")</f>
        <v>inner CP in orbital frontal cortex</v>
      </c>
      <c r="D190" s="42">
        <f>IFERROR(__xludf.DUMMYFUNCTION("""COMPUTED_VALUE"""),156.0)</f>
        <v>156</v>
      </c>
      <c r="E190" s="39" t="str">
        <f>IFERROR(__xludf.DUMMYFUNCTION("""COMPUTED_VALUE"""),"inner CP in orbital frontal cortex")</f>
        <v>inner CP in orbital frontal cortex</v>
      </c>
      <c r="F190" s="9" t="str">
        <f>IFERROR(__xludf.DUMMYFUNCTION("""COMPUTED_VALUE"""),"Br")</f>
        <v>Br</v>
      </c>
      <c r="G190" s="9" t="str">
        <f>IFERROR(__xludf.DUMMYFUNCTION("""COMPUTED_VALUE"""),"F")</f>
        <v>F</v>
      </c>
      <c r="H190" s="9" t="str">
        <f>IFERROR(__xludf.DUMMYFUNCTION("""COMPUTED_VALUE"""),"FGM")</f>
        <v>FGM</v>
      </c>
      <c r="I190" s="9" t="str">
        <f>IFERROR(__xludf.DUMMYFUNCTION("""COMPUTED_VALUE"""),"FTS")</f>
        <v>FTS</v>
      </c>
      <c r="J190" s="9" t="str">
        <f>IFERROR(__xludf.DUMMYFUNCTION("""COMPUTED_VALUE"""),"CP")</f>
        <v>CP</v>
      </c>
      <c r="K190" s="9" t="str">
        <f>IFERROR(__xludf.DUMMYFUNCTION("""COMPUTED_VALUE"""),"fCP")</f>
        <v>fCP</v>
      </c>
      <c r="L190" s="9" t="str">
        <f>IFERROR(__xludf.DUMMYFUNCTION("""COMPUTED_VALUE"""),"fCPor")</f>
        <v>fCPor</v>
      </c>
      <c r="M190" s="9" t="str">
        <f>IFERROR(__xludf.DUMMYFUNCTION("""COMPUTED_VALUE"""),"fCPori")</f>
        <v>fCPori</v>
      </c>
      <c r="N190" s="9"/>
      <c r="O190" s="9"/>
      <c r="P190" s="9"/>
      <c r="Q190" s="9"/>
      <c r="R190" s="9"/>
      <c r="S190" s="42"/>
      <c r="T190" s="42"/>
      <c r="U190" s="42"/>
      <c r="V190" s="42"/>
      <c r="W190" s="42"/>
      <c r="X190" s="42"/>
      <c r="Y190" s="42"/>
      <c r="Z190" s="42"/>
      <c r="AA190" s="42"/>
      <c r="AB190" s="42" t="str">
        <f>IFERROR(__xludf.DUMMYFUNCTION("""COMPUTED_VALUE"""),"allen institute")</f>
        <v>allen institute</v>
      </c>
      <c r="AC190" s="42" t="str">
        <f>IFERROR(__xludf.DUMMYFUNCTION("""COMPUTED_VALUE"""),"DHBA")</f>
        <v>DHBA</v>
      </c>
      <c r="AD190" s="42"/>
      <c r="AE190" s="42"/>
      <c r="AF190" s="9"/>
      <c r="AG190" s="9"/>
      <c r="AH190" s="42"/>
      <c r="AI190" s="42"/>
      <c r="AJ190" s="42"/>
      <c r="AK190" s="42"/>
      <c r="AL190" s="42"/>
      <c r="AM190" s="42"/>
      <c r="AN190" s="42"/>
      <c r="AO190" s="63" t="str">
        <f>IFERROR(__xludf.DUMMYFUNCTION("IF(ISBLANK(A190),,IF(ISBLANK(S190), A190&amp;"";"", TEXTJOIN(CHAR(10), TRUE, A190&amp;"";"", ARRAYFORMULA(VLOOKUP(SPLIT(S190, "";"" &amp; CHAR(10)), $A:$AO, 41, FALSE)))))"),"fCPori;")</f>
        <v>fCPori;</v>
      </c>
      <c r="AP190" s="89"/>
    </row>
    <row r="191">
      <c r="A191" s="151" t="str">
        <f>IFERROR(__xludf.DUMMYFUNCTION("""COMPUTED_VALUE"""),"fCPm1")</f>
        <v>fCPm1</v>
      </c>
      <c r="B191" s="42" t="str">
        <f>IFERROR(__xludf.DUMMYFUNCTION("""COMPUTED_VALUE"""),"DHBA")</f>
        <v>DHBA</v>
      </c>
      <c r="C191" s="42" t="str">
        <f>IFERROR(__xludf.DUMMYFUNCTION("""COMPUTED_VALUE"""),"CP in posterior frontal cortex (motor cortex)")</f>
        <v>CP in posterior frontal cortex (motor cortex)</v>
      </c>
      <c r="D191" s="42">
        <f>IFERROR(__xludf.DUMMYFUNCTION("""COMPUTED_VALUE"""),157.0)</f>
        <v>157</v>
      </c>
      <c r="E191" s="39" t="str">
        <f>IFERROR(__xludf.DUMMYFUNCTION("""COMPUTED_VALUE"""),"CP in posterior frontal cortex (motor cortex)")</f>
        <v>CP in posterior frontal cortex (motor cortex)</v>
      </c>
      <c r="F191" s="9" t="str">
        <f>IFERROR(__xludf.DUMMYFUNCTION("""COMPUTED_VALUE"""),"Br")</f>
        <v>Br</v>
      </c>
      <c r="G191" s="9" t="str">
        <f>IFERROR(__xludf.DUMMYFUNCTION("""COMPUTED_VALUE"""),"F")</f>
        <v>F</v>
      </c>
      <c r="H191" s="9" t="str">
        <f>IFERROR(__xludf.DUMMYFUNCTION("""COMPUTED_VALUE"""),"FGM")</f>
        <v>FGM</v>
      </c>
      <c r="I191" s="9" t="str">
        <f>IFERROR(__xludf.DUMMYFUNCTION("""COMPUTED_VALUE"""),"FTS")</f>
        <v>FTS</v>
      </c>
      <c r="J191" s="9" t="str">
        <f>IFERROR(__xludf.DUMMYFUNCTION("""COMPUTED_VALUE"""),"CP")</f>
        <v>CP</v>
      </c>
      <c r="K191" s="9" t="str">
        <f>IFERROR(__xludf.DUMMYFUNCTION("""COMPUTED_VALUE"""),"fCP")</f>
        <v>fCP</v>
      </c>
      <c r="L191" s="9" t="str">
        <f>IFERROR(__xludf.DUMMYFUNCTION("""COMPUTED_VALUE"""),"fCPm1")</f>
        <v>fCPm1</v>
      </c>
      <c r="M191" s="9"/>
      <c r="N191" s="9"/>
      <c r="O191" s="9"/>
      <c r="P191" s="9"/>
      <c r="Q191" s="9"/>
      <c r="R191" s="9"/>
      <c r="S191" s="42" t="str">
        <f>IFERROR(__xludf.DUMMYFUNCTION("""COMPUTED_VALUE"""),"fCPm1o;
fCPm1i")</f>
        <v>fCPm1o;
fCPm1i</v>
      </c>
      <c r="T191" s="42"/>
      <c r="U191" s="42" t="b">
        <f>IFERROR(__xludf.DUMMYFUNCTION("""COMPUTED_VALUE"""),FALSE)</f>
        <v>0</v>
      </c>
      <c r="V191" s="42"/>
      <c r="W191" s="42"/>
      <c r="X191" s="42"/>
      <c r="Y191" s="42"/>
      <c r="Z191" s="42"/>
      <c r="AA191" s="42"/>
      <c r="AB191" s="42" t="str">
        <f>IFERROR(__xludf.DUMMYFUNCTION("""COMPUTED_VALUE"""),"allen institute")</f>
        <v>allen institute</v>
      </c>
      <c r="AC191" s="42" t="str">
        <f>IFERROR(__xludf.DUMMYFUNCTION("""COMPUTED_VALUE"""),"DHBA")</f>
        <v>DHBA</v>
      </c>
      <c r="AD191" s="42"/>
      <c r="AE191" s="42"/>
      <c r="AF191" s="9"/>
      <c r="AG191" s="9"/>
      <c r="AH191" s="42"/>
      <c r="AI191" s="42"/>
      <c r="AJ191" s="42"/>
      <c r="AK191" s="42"/>
      <c r="AL191" s="42"/>
      <c r="AM191" s="42"/>
      <c r="AN191" s="42"/>
      <c r="AO191" s="63" t="str">
        <f>IFERROR(__xludf.DUMMYFUNCTION("IF(ISBLANK(A191),,IF(ISBLANK(S191), A191&amp;"";"", TEXTJOIN(CHAR(10), TRUE, A191&amp;"";"", ARRAYFORMULA(VLOOKUP(SPLIT(S191, "";"" &amp; CHAR(10)), $A:$AO, 41, FALSE)))))"),"fCPm1;
fCPm1o;
fCPm1i;")</f>
        <v>fCPm1;
fCPm1o;
fCPm1i;</v>
      </c>
      <c r="AP191" s="89"/>
    </row>
    <row r="192">
      <c r="A192" s="151" t="str">
        <f>IFERROR(__xludf.DUMMYFUNCTION("""COMPUTED_VALUE"""),"fCPm1o")</f>
        <v>fCPm1o</v>
      </c>
      <c r="B192" s="42" t="str">
        <f>IFERROR(__xludf.DUMMYFUNCTION("""COMPUTED_VALUE"""),"DHBA")</f>
        <v>DHBA</v>
      </c>
      <c r="C192" s="42" t="str">
        <f>IFERROR(__xludf.DUMMYFUNCTION("""COMPUTED_VALUE"""),"outer CP in posteror frontal cortex (motor cortex)")</f>
        <v>outer CP in posteror frontal cortex (motor cortex)</v>
      </c>
      <c r="D192" s="42">
        <f>IFERROR(__xludf.DUMMYFUNCTION("""COMPUTED_VALUE"""),158.0)</f>
        <v>158</v>
      </c>
      <c r="E192" s="39" t="str">
        <f>IFERROR(__xludf.DUMMYFUNCTION("""COMPUTED_VALUE"""),"outer CP in posteror frontal cortex (motor cortex)")</f>
        <v>outer CP in posteror frontal cortex (motor cortex)</v>
      </c>
      <c r="F192" s="9" t="str">
        <f>IFERROR(__xludf.DUMMYFUNCTION("""COMPUTED_VALUE"""),"Br")</f>
        <v>Br</v>
      </c>
      <c r="G192" s="9" t="str">
        <f>IFERROR(__xludf.DUMMYFUNCTION("""COMPUTED_VALUE"""),"F")</f>
        <v>F</v>
      </c>
      <c r="H192" s="9" t="str">
        <f>IFERROR(__xludf.DUMMYFUNCTION("""COMPUTED_VALUE"""),"FGM")</f>
        <v>FGM</v>
      </c>
      <c r="I192" s="9" t="str">
        <f>IFERROR(__xludf.DUMMYFUNCTION("""COMPUTED_VALUE"""),"FTS")</f>
        <v>FTS</v>
      </c>
      <c r="J192" s="9" t="str">
        <f>IFERROR(__xludf.DUMMYFUNCTION("""COMPUTED_VALUE"""),"CP")</f>
        <v>CP</v>
      </c>
      <c r="K192" s="9" t="str">
        <f>IFERROR(__xludf.DUMMYFUNCTION("""COMPUTED_VALUE"""),"fCP")</f>
        <v>fCP</v>
      </c>
      <c r="L192" s="9" t="str">
        <f>IFERROR(__xludf.DUMMYFUNCTION("""COMPUTED_VALUE"""),"fCPm1")</f>
        <v>fCPm1</v>
      </c>
      <c r="M192" s="9" t="str">
        <f>IFERROR(__xludf.DUMMYFUNCTION("""COMPUTED_VALUE"""),"fCPm1o")</f>
        <v>fCPm1o</v>
      </c>
      <c r="N192" s="9"/>
      <c r="O192" s="9"/>
      <c r="P192" s="9"/>
      <c r="Q192" s="9"/>
      <c r="R192" s="9"/>
      <c r="S192" s="42"/>
      <c r="T192" s="42"/>
      <c r="U192" s="42"/>
      <c r="V192" s="42"/>
      <c r="W192" s="42"/>
      <c r="X192" s="42"/>
      <c r="Y192" s="42"/>
      <c r="Z192" s="42"/>
      <c r="AA192" s="42"/>
      <c r="AB192" s="42" t="str">
        <f>IFERROR(__xludf.DUMMYFUNCTION("""COMPUTED_VALUE"""),"allen institute")</f>
        <v>allen institute</v>
      </c>
      <c r="AC192" s="42" t="str">
        <f>IFERROR(__xludf.DUMMYFUNCTION("""COMPUTED_VALUE"""),"DHBA")</f>
        <v>DHBA</v>
      </c>
      <c r="AD192" s="42"/>
      <c r="AE192" s="42"/>
      <c r="AF192" s="9"/>
      <c r="AG192" s="9"/>
      <c r="AH192" s="42"/>
      <c r="AI192" s="42"/>
      <c r="AJ192" s="42"/>
      <c r="AK192" s="42"/>
      <c r="AL192" s="42"/>
      <c r="AM192" s="42"/>
      <c r="AN192" s="42"/>
      <c r="AO192" s="63" t="str">
        <f>IFERROR(__xludf.DUMMYFUNCTION("IF(ISBLANK(A192),,IF(ISBLANK(S192), A192&amp;"";"", TEXTJOIN(CHAR(10), TRUE, A192&amp;"";"", ARRAYFORMULA(VLOOKUP(SPLIT(S192, "";"" &amp; CHAR(10)), $A:$AO, 41, FALSE)))))"),"fCPm1o;")</f>
        <v>fCPm1o;</v>
      </c>
      <c r="AP192" s="89"/>
    </row>
    <row r="193">
      <c r="A193" s="151" t="str">
        <f>IFERROR(__xludf.DUMMYFUNCTION("""COMPUTED_VALUE"""),"fCPm1i")</f>
        <v>fCPm1i</v>
      </c>
      <c r="B193" s="42" t="str">
        <f>IFERROR(__xludf.DUMMYFUNCTION("""COMPUTED_VALUE"""),"DHBA")</f>
        <v>DHBA</v>
      </c>
      <c r="C193" s="42" t="str">
        <f>IFERROR(__xludf.DUMMYFUNCTION("""COMPUTED_VALUE"""),"inner CP in posteror frontal cortex (motor cortex)")</f>
        <v>inner CP in posteror frontal cortex (motor cortex)</v>
      </c>
      <c r="D193" s="42">
        <f>IFERROR(__xludf.DUMMYFUNCTION("""COMPUTED_VALUE"""),159.0)</f>
        <v>159</v>
      </c>
      <c r="E193" s="39" t="str">
        <f>IFERROR(__xludf.DUMMYFUNCTION("""COMPUTED_VALUE"""),"inner CP in posteror frontal cortex (motor cortex)")</f>
        <v>inner CP in posteror frontal cortex (motor cortex)</v>
      </c>
      <c r="F193" s="9" t="str">
        <f>IFERROR(__xludf.DUMMYFUNCTION("""COMPUTED_VALUE"""),"Br")</f>
        <v>Br</v>
      </c>
      <c r="G193" s="9" t="str">
        <f>IFERROR(__xludf.DUMMYFUNCTION("""COMPUTED_VALUE"""),"F")</f>
        <v>F</v>
      </c>
      <c r="H193" s="9" t="str">
        <f>IFERROR(__xludf.DUMMYFUNCTION("""COMPUTED_VALUE"""),"FGM")</f>
        <v>FGM</v>
      </c>
      <c r="I193" s="9" t="str">
        <f>IFERROR(__xludf.DUMMYFUNCTION("""COMPUTED_VALUE"""),"FTS")</f>
        <v>FTS</v>
      </c>
      <c r="J193" s="9" t="str">
        <f>IFERROR(__xludf.DUMMYFUNCTION("""COMPUTED_VALUE"""),"CP")</f>
        <v>CP</v>
      </c>
      <c r="K193" s="9" t="str">
        <f>IFERROR(__xludf.DUMMYFUNCTION("""COMPUTED_VALUE"""),"fCP")</f>
        <v>fCP</v>
      </c>
      <c r="L193" s="9" t="str">
        <f>IFERROR(__xludf.DUMMYFUNCTION("""COMPUTED_VALUE"""),"fCPm1")</f>
        <v>fCPm1</v>
      </c>
      <c r="M193" s="9" t="str">
        <f>IFERROR(__xludf.DUMMYFUNCTION("""COMPUTED_VALUE"""),"fCPm1i")</f>
        <v>fCPm1i</v>
      </c>
      <c r="N193" s="9"/>
      <c r="O193" s="9"/>
      <c r="P193" s="9"/>
      <c r="Q193" s="9"/>
      <c r="R193" s="9"/>
      <c r="S193" s="42"/>
      <c r="T193" s="42"/>
      <c r="U193" s="42"/>
      <c r="V193" s="42"/>
      <c r="W193" s="42"/>
      <c r="X193" s="42"/>
      <c r="Y193" s="42"/>
      <c r="Z193" s="42"/>
      <c r="AA193" s="42"/>
      <c r="AB193" s="42" t="str">
        <f>IFERROR(__xludf.DUMMYFUNCTION("""COMPUTED_VALUE"""),"allen institute")</f>
        <v>allen institute</v>
      </c>
      <c r="AC193" s="42" t="str">
        <f>IFERROR(__xludf.DUMMYFUNCTION("""COMPUTED_VALUE"""),"DHBA")</f>
        <v>DHBA</v>
      </c>
      <c r="AD193" s="42"/>
      <c r="AE193" s="42"/>
      <c r="AF193" s="9"/>
      <c r="AG193" s="9"/>
      <c r="AH193" s="42"/>
      <c r="AI193" s="42"/>
      <c r="AJ193" s="42"/>
      <c r="AK193" s="42"/>
      <c r="AL193" s="42"/>
      <c r="AM193" s="42"/>
      <c r="AN193" s="42"/>
      <c r="AO193" s="63" t="str">
        <f>IFERROR(__xludf.DUMMYFUNCTION("IF(ISBLANK(A193),,IF(ISBLANK(S193), A193&amp;"";"", TEXTJOIN(CHAR(10), TRUE, A193&amp;"";"", ARRAYFORMULA(VLOOKUP(SPLIT(S193, "";"" &amp; CHAR(10)), $A:$AO, 41, FALSE)))))"),"fCPm1i;")</f>
        <v>fCPm1i;</v>
      </c>
      <c r="AP193" s="89"/>
    </row>
    <row r="194">
      <c r="A194" s="151" t="str">
        <f>IFERROR(__xludf.DUMMYFUNCTION("""COMPUTED_VALUE"""),"pCP")</f>
        <v>pCP</v>
      </c>
      <c r="B194" s="42" t="str">
        <f>IFERROR(__xludf.DUMMYFUNCTION("""COMPUTED_VALUE"""),"DHBA")</f>
        <v>DHBA</v>
      </c>
      <c r="C194" s="42" t="str">
        <f>IFERROR(__xludf.DUMMYFUNCTION("""COMPUTED_VALUE"""),"CP in parietal neocortex")</f>
        <v>CP in parietal neocortex</v>
      </c>
      <c r="D194" s="42">
        <f>IFERROR(__xludf.DUMMYFUNCTION("""COMPUTED_VALUE"""),160.0)</f>
        <v>160</v>
      </c>
      <c r="E194" s="39" t="str">
        <f>IFERROR(__xludf.DUMMYFUNCTION("""COMPUTED_VALUE"""),"CP in parietal neocortex")</f>
        <v>CP in parietal neocortex</v>
      </c>
      <c r="F194" s="9" t="str">
        <f>IFERROR(__xludf.DUMMYFUNCTION("""COMPUTED_VALUE"""),"Br")</f>
        <v>Br</v>
      </c>
      <c r="G194" s="9" t="str">
        <f>IFERROR(__xludf.DUMMYFUNCTION("""COMPUTED_VALUE"""),"F")</f>
        <v>F</v>
      </c>
      <c r="H194" s="9" t="str">
        <f>IFERROR(__xludf.DUMMYFUNCTION("""COMPUTED_VALUE"""),"FGM")</f>
        <v>FGM</v>
      </c>
      <c r="I194" s="9" t="str">
        <f>IFERROR(__xludf.DUMMYFUNCTION("""COMPUTED_VALUE"""),"FTS")</f>
        <v>FTS</v>
      </c>
      <c r="J194" s="9" t="str">
        <f>IFERROR(__xludf.DUMMYFUNCTION("""COMPUTED_VALUE"""),"CP")</f>
        <v>CP</v>
      </c>
      <c r="K194" s="9" t="str">
        <f>IFERROR(__xludf.DUMMYFUNCTION("""COMPUTED_VALUE"""),"pCP")</f>
        <v>pCP</v>
      </c>
      <c r="L194" s="9"/>
      <c r="M194" s="9"/>
      <c r="N194" s="9"/>
      <c r="O194" s="9"/>
      <c r="P194" s="9"/>
      <c r="Q194" s="9"/>
      <c r="R194" s="9"/>
      <c r="S194" s="42" t="str">
        <f>IFERROR(__xludf.DUMMYFUNCTION("""COMPUTED_VALUE"""),"pCPs1;
pCPdm;
pCPpd;
pCPpv")</f>
        <v>pCPs1;
pCPdm;
pCPpd;
pCPpv</v>
      </c>
      <c r="T194" s="42"/>
      <c r="U194" s="42" t="b">
        <f>IFERROR(__xludf.DUMMYFUNCTION("""COMPUTED_VALUE"""),FALSE)</f>
        <v>0</v>
      </c>
      <c r="V194" s="42"/>
      <c r="W194" s="42"/>
      <c r="X194" s="42"/>
      <c r="Y194" s="42"/>
      <c r="Z194" s="42"/>
      <c r="AA194" s="42"/>
      <c r="AB194" s="42" t="str">
        <f>IFERROR(__xludf.DUMMYFUNCTION("""COMPUTED_VALUE"""),"allen institute")</f>
        <v>allen institute</v>
      </c>
      <c r="AC194" s="42" t="str">
        <f>IFERROR(__xludf.DUMMYFUNCTION("""COMPUTED_VALUE"""),"DHBA")</f>
        <v>DHBA</v>
      </c>
      <c r="AD194" s="42"/>
      <c r="AE194" s="42"/>
      <c r="AF194" s="9"/>
      <c r="AG194" s="9"/>
      <c r="AH194" s="42"/>
      <c r="AI194" s="42"/>
      <c r="AJ194" s="42"/>
      <c r="AK194" s="42"/>
      <c r="AL194" s="42"/>
      <c r="AM194" s="42"/>
      <c r="AN194" s="42"/>
      <c r="AO194" s="63" t="str">
        <f>IFERROR(__xludf.DUMMYFUNCTION("IF(ISBLANK(A194),,IF(ISBLANK(S194), A194&amp;"";"", TEXTJOIN(CHAR(10), TRUE, A194&amp;"";"", ARRAYFORMULA(VLOOKUP(SPLIT(S194, "";"" &amp; CHAR(10)), $A:$AO, 41, FALSE)))))"),"pCP;
pCPs1;
pCPs1o;
pCPs1i;
pCPdm;
pCPdmo;
pCPdmi;
pCPpd;
pCPpdo;
pCPpdi;
pCPpv;
pCPpvo;
pCPpvi;")</f>
        <v>pCP;
pCPs1;
pCPs1o;
pCPs1i;
pCPdm;
pCPdmo;
pCPdmi;
pCPpd;
pCPpdo;
pCPpdi;
pCPpv;
pCPpvo;
pCPpvi;</v>
      </c>
      <c r="AP194" s="89"/>
    </row>
    <row r="195">
      <c r="A195" s="151" t="str">
        <f>IFERROR(__xludf.DUMMYFUNCTION("""COMPUTED_VALUE"""),"pCPs1")</f>
        <v>pCPs1</v>
      </c>
      <c r="B195" s="42" t="str">
        <f>IFERROR(__xludf.DUMMYFUNCTION("""COMPUTED_VALUE"""),"DHBA")</f>
        <v>DHBA</v>
      </c>
      <c r="C195" s="42" t="str">
        <f>IFERROR(__xludf.DUMMYFUNCTION("""COMPUTED_VALUE"""),"CP in primary somatosensory cortex")</f>
        <v>CP in primary somatosensory cortex</v>
      </c>
      <c r="D195" s="42">
        <f>IFERROR(__xludf.DUMMYFUNCTION("""COMPUTED_VALUE"""),161.0)</f>
        <v>161</v>
      </c>
      <c r="E195" s="39" t="str">
        <f>IFERROR(__xludf.DUMMYFUNCTION("""COMPUTED_VALUE"""),"CP in primary somatosensory cortex")</f>
        <v>CP in primary somatosensory cortex</v>
      </c>
      <c r="F195" s="9" t="str">
        <f>IFERROR(__xludf.DUMMYFUNCTION("""COMPUTED_VALUE"""),"Br")</f>
        <v>Br</v>
      </c>
      <c r="G195" s="9" t="str">
        <f>IFERROR(__xludf.DUMMYFUNCTION("""COMPUTED_VALUE"""),"F")</f>
        <v>F</v>
      </c>
      <c r="H195" s="9" t="str">
        <f>IFERROR(__xludf.DUMMYFUNCTION("""COMPUTED_VALUE"""),"FGM")</f>
        <v>FGM</v>
      </c>
      <c r="I195" s="9" t="str">
        <f>IFERROR(__xludf.DUMMYFUNCTION("""COMPUTED_VALUE"""),"FTS")</f>
        <v>FTS</v>
      </c>
      <c r="J195" s="9" t="str">
        <f>IFERROR(__xludf.DUMMYFUNCTION("""COMPUTED_VALUE"""),"CP")</f>
        <v>CP</v>
      </c>
      <c r="K195" s="9" t="str">
        <f>IFERROR(__xludf.DUMMYFUNCTION("""COMPUTED_VALUE"""),"pCP")</f>
        <v>pCP</v>
      </c>
      <c r="L195" s="9" t="str">
        <f>IFERROR(__xludf.DUMMYFUNCTION("""COMPUTED_VALUE"""),"pCPs1")</f>
        <v>pCPs1</v>
      </c>
      <c r="M195" s="9"/>
      <c r="N195" s="9"/>
      <c r="O195" s="9"/>
      <c r="P195" s="9"/>
      <c r="Q195" s="9"/>
      <c r="R195" s="9"/>
      <c r="S195" s="42" t="str">
        <f>IFERROR(__xludf.DUMMYFUNCTION("""COMPUTED_VALUE"""),"pCPs1o;
pCPs1i")</f>
        <v>pCPs1o;
pCPs1i</v>
      </c>
      <c r="T195" s="42"/>
      <c r="U195" s="42" t="b">
        <f>IFERROR(__xludf.DUMMYFUNCTION("""COMPUTED_VALUE"""),FALSE)</f>
        <v>0</v>
      </c>
      <c r="V195" s="42"/>
      <c r="W195" s="42"/>
      <c r="X195" s="42"/>
      <c r="Y195" s="42"/>
      <c r="Z195" s="42"/>
      <c r="AA195" s="42"/>
      <c r="AB195" s="42" t="str">
        <f>IFERROR(__xludf.DUMMYFUNCTION("""COMPUTED_VALUE"""),"allen institute")</f>
        <v>allen institute</v>
      </c>
      <c r="AC195" s="42" t="str">
        <f>IFERROR(__xludf.DUMMYFUNCTION("""COMPUTED_VALUE"""),"DHBA")</f>
        <v>DHBA</v>
      </c>
      <c r="AD195" s="42"/>
      <c r="AE195" s="42"/>
      <c r="AF195" s="9"/>
      <c r="AG195" s="9"/>
      <c r="AH195" s="42"/>
      <c r="AI195" s="42"/>
      <c r="AJ195" s="42"/>
      <c r="AK195" s="42"/>
      <c r="AL195" s="42"/>
      <c r="AM195" s="42"/>
      <c r="AN195" s="42"/>
      <c r="AO195" s="63" t="str">
        <f>IFERROR(__xludf.DUMMYFUNCTION("IF(ISBLANK(A195),,IF(ISBLANK(S195), A195&amp;"";"", TEXTJOIN(CHAR(10), TRUE, A195&amp;"";"", ARRAYFORMULA(VLOOKUP(SPLIT(S195, "";"" &amp; CHAR(10)), $A:$AO, 41, FALSE)))))"),"pCPs1;
pCPs1o;
pCPs1i;")</f>
        <v>pCPs1;
pCPs1o;
pCPs1i;</v>
      </c>
      <c r="AP195" s="89"/>
    </row>
    <row r="196">
      <c r="A196" s="151" t="str">
        <f>IFERROR(__xludf.DUMMYFUNCTION("""COMPUTED_VALUE"""),"pCPs1o")</f>
        <v>pCPs1o</v>
      </c>
      <c r="B196" s="42" t="str">
        <f>IFERROR(__xludf.DUMMYFUNCTION("""COMPUTED_VALUE"""),"DHBA")</f>
        <v>DHBA</v>
      </c>
      <c r="C196" s="42" t="str">
        <f>IFERROR(__xludf.DUMMYFUNCTION("""COMPUTED_VALUE"""),"outer CP in primary somatosensory cortex")</f>
        <v>outer CP in primary somatosensory cortex</v>
      </c>
      <c r="D196" s="42">
        <f>IFERROR(__xludf.DUMMYFUNCTION("""COMPUTED_VALUE"""),162.0)</f>
        <v>162</v>
      </c>
      <c r="E196" s="39" t="str">
        <f>IFERROR(__xludf.DUMMYFUNCTION("""COMPUTED_VALUE"""),"outer CP in primary somatosensory cortex")</f>
        <v>outer CP in primary somatosensory cortex</v>
      </c>
      <c r="F196" s="9" t="str">
        <f>IFERROR(__xludf.DUMMYFUNCTION("""COMPUTED_VALUE"""),"Br")</f>
        <v>Br</v>
      </c>
      <c r="G196" s="9" t="str">
        <f>IFERROR(__xludf.DUMMYFUNCTION("""COMPUTED_VALUE"""),"F")</f>
        <v>F</v>
      </c>
      <c r="H196" s="9" t="str">
        <f>IFERROR(__xludf.DUMMYFUNCTION("""COMPUTED_VALUE"""),"FGM")</f>
        <v>FGM</v>
      </c>
      <c r="I196" s="9" t="str">
        <f>IFERROR(__xludf.DUMMYFUNCTION("""COMPUTED_VALUE"""),"FTS")</f>
        <v>FTS</v>
      </c>
      <c r="J196" s="9" t="str">
        <f>IFERROR(__xludf.DUMMYFUNCTION("""COMPUTED_VALUE"""),"CP")</f>
        <v>CP</v>
      </c>
      <c r="K196" s="9" t="str">
        <f>IFERROR(__xludf.DUMMYFUNCTION("""COMPUTED_VALUE"""),"pCP")</f>
        <v>pCP</v>
      </c>
      <c r="L196" s="9" t="str">
        <f>IFERROR(__xludf.DUMMYFUNCTION("""COMPUTED_VALUE"""),"pCPs1")</f>
        <v>pCPs1</v>
      </c>
      <c r="M196" s="9" t="str">
        <f>IFERROR(__xludf.DUMMYFUNCTION("""COMPUTED_VALUE"""),"pCPs1o")</f>
        <v>pCPs1o</v>
      </c>
      <c r="N196" s="9"/>
      <c r="O196" s="9"/>
      <c r="P196" s="9"/>
      <c r="Q196" s="9"/>
      <c r="R196" s="9"/>
      <c r="S196" s="42"/>
      <c r="T196" s="42"/>
      <c r="U196" s="42"/>
      <c r="V196" s="42"/>
      <c r="W196" s="42"/>
      <c r="X196" s="42"/>
      <c r="Y196" s="42"/>
      <c r="Z196" s="42"/>
      <c r="AA196" s="42"/>
      <c r="AB196" s="42" t="str">
        <f>IFERROR(__xludf.DUMMYFUNCTION("""COMPUTED_VALUE"""),"allen institute")</f>
        <v>allen institute</v>
      </c>
      <c r="AC196" s="42" t="str">
        <f>IFERROR(__xludf.DUMMYFUNCTION("""COMPUTED_VALUE"""),"DHBA")</f>
        <v>DHBA</v>
      </c>
      <c r="AD196" s="42"/>
      <c r="AE196" s="42"/>
      <c r="AF196" s="9"/>
      <c r="AG196" s="9"/>
      <c r="AH196" s="42"/>
      <c r="AI196" s="42"/>
      <c r="AJ196" s="42"/>
      <c r="AK196" s="42"/>
      <c r="AL196" s="42"/>
      <c r="AM196" s="42"/>
      <c r="AN196" s="42"/>
      <c r="AO196" s="63" t="str">
        <f>IFERROR(__xludf.DUMMYFUNCTION("IF(ISBLANK(A196),,IF(ISBLANK(S196), A196&amp;"";"", TEXTJOIN(CHAR(10), TRUE, A196&amp;"";"", ARRAYFORMULA(VLOOKUP(SPLIT(S196, "";"" &amp; CHAR(10)), $A:$AO, 41, FALSE)))))"),"pCPs1o;")</f>
        <v>pCPs1o;</v>
      </c>
      <c r="AP196" s="89"/>
    </row>
    <row r="197">
      <c r="A197" s="151" t="str">
        <f>IFERROR(__xludf.DUMMYFUNCTION("""COMPUTED_VALUE"""),"pCPs1i")</f>
        <v>pCPs1i</v>
      </c>
      <c r="B197" s="42" t="str">
        <f>IFERROR(__xludf.DUMMYFUNCTION("""COMPUTED_VALUE"""),"DHBA")</f>
        <v>DHBA</v>
      </c>
      <c r="C197" s="42" t="str">
        <f>IFERROR(__xludf.DUMMYFUNCTION("""COMPUTED_VALUE"""),"inner CP in primary somatosensory cortex")</f>
        <v>inner CP in primary somatosensory cortex</v>
      </c>
      <c r="D197" s="42">
        <f>IFERROR(__xludf.DUMMYFUNCTION("""COMPUTED_VALUE"""),163.0)</f>
        <v>163</v>
      </c>
      <c r="E197" s="39" t="str">
        <f>IFERROR(__xludf.DUMMYFUNCTION("""COMPUTED_VALUE"""),"inner CP in primary somatosensory cortex")</f>
        <v>inner CP in primary somatosensory cortex</v>
      </c>
      <c r="F197" s="9" t="str">
        <f>IFERROR(__xludf.DUMMYFUNCTION("""COMPUTED_VALUE"""),"Br")</f>
        <v>Br</v>
      </c>
      <c r="G197" s="9" t="str">
        <f>IFERROR(__xludf.DUMMYFUNCTION("""COMPUTED_VALUE"""),"F")</f>
        <v>F</v>
      </c>
      <c r="H197" s="9" t="str">
        <f>IFERROR(__xludf.DUMMYFUNCTION("""COMPUTED_VALUE"""),"FGM")</f>
        <v>FGM</v>
      </c>
      <c r="I197" s="9" t="str">
        <f>IFERROR(__xludf.DUMMYFUNCTION("""COMPUTED_VALUE"""),"FTS")</f>
        <v>FTS</v>
      </c>
      <c r="J197" s="9" t="str">
        <f>IFERROR(__xludf.DUMMYFUNCTION("""COMPUTED_VALUE"""),"CP")</f>
        <v>CP</v>
      </c>
      <c r="K197" s="9" t="str">
        <f>IFERROR(__xludf.DUMMYFUNCTION("""COMPUTED_VALUE"""),"pCP")</f>
        <v>pCP</v>
      </c>
      <c r="L197" s="9" t="str">
        <f>IFERROR(__xludf.DUMMYFUNCTION("""COMPUTED_VALUE"""),"pCPs1")</f>
        <v>pCPs1</v>
      </c>
      <c r="M197" s="9" t="str">
        <f>IFERROR(__xludf.DUMMYFUNCTION("""COMPUTED_VALUE"""),"pCPs1i")</f>
        <v>pCPs1i</v>
      </c>
      <c r="N197" s="9"/>
      <c r="O197" s="9"/>
      <c r="P197" s="9"/>
      <c r="Q197" s="9"/>
      <c r="R197" s="9"/>
      <c r="S197" s="42"/>
      <c r="T197" s="42"/>
      <c r="U197" s="42"/>
      <c r="V197" s="42"/>
      <c r="W197" s="42"/>
      <c r="X197" s="42"/>
      <c r="Y197" s="42"/>
      <c r="Z197" s="42"/>
      <c r="AA197" s="42"/>
      <c r="AB197" s="42" t="str">
        <f>IFERROR(__xludf.DUMMYFUNCTION("""COMPUTED_VALUE"""),"allen institute")</f>
        <v>allen institute</v>
      </c>
      <c r="AC197" s="42" t="str">
        <f>IFERROR(__xludf.DUMMYFUNCTION("""COMPUTED_VALUE"""),"DHBA")</f>
        <v>DHBA</v>
      </c>
      <c r="AD197" s="42"/>
      <c r="AE197" s="42"/>
      <c r="AF197" s="9"/>
      <c r="AG197" s="9"/>
      <c r="AH197" s="42"/>
      <c r="AI197" s="42"/>
      <c r="AJ197" s="42"/>
      <c r="AK197" s="42"/>
      <c r="AL197" s="42"/>
      <c r="AM197" s="42"/>
      <c r="AN197" s="42"/>
      <c r="AO197" s="63" t="str">
        <f>IFERROR(__xludf.DUMMYFUNCTION("IF(ISBLANK(A197),,IF(ISBLANK(S197), A197&amp;"";"", TEXTJOIN(CHAR(10), TRUE, A197&amp;"";"", ARRAYFORMULA(VLOOKUP(SPLIT(S197, "";"" &amp; CHAR(10)), $A:$AO, 41, FALSE)))))"),"pCPs1i;")</f>
        <v>pCPs1i;</v>
      </c>
      <c r="AP197" s="89"/>
    </row>
    <row r="198">
      <c r="A198" s="151" t="str">
        <f>IFERROR(__xludf.DUMMYFUNCTION("""COMPUTED_VALUE"""),"pCPdm")</f>
        <v>pCPdm</v>
      </c>
      <c r="B198" s="42" t="str">
        <f>IFERROR(__xludf.DUMMYFUNCTION("""COMPUTED_VALUE"""),"DHBA")</f>
        <v>DHBA</v>
      </c>
      <c r="C198" s="42" t="str">
        <f>IFERROR(__xludf.DUMMYFUNCTION("""COMPUTED_VALUE"""),"CP in dorsomedial parietal cortex (area 7m)")</f>
        <v>CP in dorsomedial parietal cortex (area 7m)</v>
      </c>
      <c r="D198" s="42">
        <f>IFERROR(__xludf.DUMMYFUNCTION("""COMPUTED_VALUE"""),164.0)</f>
        <v>164</v>
      </c>
      <c r="E198" s="39" t="str">
        <f>IFERROR(__xludf.DUMMYFUNCTION("""COMPUTED_VALUE"""),"CP in dorsomedial parietal cortex (area 7m)")</f>
        <v>CP in dorsomedial parietal cortex (area 7m)</v>
      </c>
      <c r="F198" s="9" t="str">
        <f>IFERROR(__xludf.DUMMYFUNCTION("""COMPUTED_VALUE"""),"Br")</f>
        <v>Br</v>
      </c>
      <c r="G198" s="9" t="str">
        <f>IFERROR(__xludf.DUMMYFUNCTION("""COMPUTED_VALUE"""),"F")</f>
        <v>F</v>
      </c>
      <c r="H198" s="9" t="str">
        <f>IFERROR(__xludf.DUMMYFUNCTION("""COMPUTED_VALUE"""),"FGM")</f>
        <v>FGM</v>
      </c>
      <c r="I198" s="9" t="str">
        <f>IFERROR(__xludf.DUMMYFUNCTION("""COMPUTED_VALUE"""),"FTS")</f>
        <v>FTS</v>
      </c>
      <c r="J198" s="9" t="str">
        <f>IFERROR(__xludf.DUMMYFUNCTION("""COMPUTED_VALUE"""),"CP")</f>
        <v>CP</v>
      </c>
      <c r="K198" s="9" t="str">
        <f>IFERROR(__xludf.DUMMYFUNCTION("""COMPUTED_VALUE"""),"pCP")</f>
        <v>pCP</v>
      </c>
      <c r="L198" s="9" t="str">
        <f>IFERROR(__xludf.DUMMYFUNCTION("""COMPUTED_VALUE"""),"pCPdm")</f>
        <v>pCPdm</v>
      </c>
      <c r="M198" s="9"/>
      <c r="N198" s="9"/>
      <c r="O198" s="9"/>
      <c r="P198" s="9"/>
      <c r="Q198" s="9"/>
      <c r="R198" s="9"/>
      <c r="S198" s="42" t="str">
        <f>IFERROR(__xludf.DUMMYFUNCTION("""COMPUTED_VALUE"""),"pCPdmo;
pCPdmi")</f>
        <v>pCPdmo;
pCPdmi</v>
      </c>
      <c r="T198" s="42"/>
      <c r="U198" s="42" t="b">
        <f>IFERROR(__xludf.DUMMYFUNCTION("""COMPUTED_VALUE"""),FALSE)</f>
        <v>0</v>
      </c>
      <c r="V198" s="42"/>
      <c r="W198" s="42"/>
      <c r="X198" s="42"/>
      <c r="Y198" s="42"/>
      <c r="Z198" s="42"/>
      <c r="AA198" s="42"/>
      <c r="AB198" s="42" t="str">
        <f>IFERROR(__xludf.DUMMYFUNCTION("""COMPUTED_VALUE"""),"allen institute")</f>
        <v>allen institute</v>
      </c>
      <c r="AC198" s="42" t="str">
        <f>IFERROR(__xludf.DUMMYFUNCTION("""COMPUTED_VALUE"""),"DHBA")</f>
        <v>DHBA</v>
      </c>
      <c r="AD198" s="42"/>
      <c r="AE198" s="42"/>
      <c r="AF198" s="9"/>
      <c r="AG198" s="9"/>
      <c r="AH198" s="42"/>
      <c r="AI198" s="42"/>
      <c r="AJ198" s="42"/>
      <c r="AK198" s="42"/>
      <c r="AL198" s="42"/>
      <c r="AM198" s="42"/>
      <c r="AN198" s="42"/>
      <c r="AO198" s="63" t="str">
        <f>IFERROR(__xludf.DUMMYFUNCTION("IF(ISBLANK(A198),,IF(ISBLANK(S198), A198&amp;"";"", TEXTJOIN(CHAR(10), TRUE, A198&amp;"";"", ARRAYFORMULA(VLOOKUP(SPLIT(S198, "";"" &amp; CHAR(10)), $A:$AO, 41, FALSE)))))"),"pCPdm;
pCPdmo;
pCPdmi;")</f>
        <v>pCPdm;
pCPdmo;
pCPdmi;</v>
      </c>
      <c r="AP198" s="89"/>
    </row>
    <row r="199">
      <c r="A199" s="151" t="str">
        <f>IFERROR(__xludf.DUMMYFUNCTION("""COMPUTED_VALUE"""),"pCPdmo")</f>
        <v>pCPdmo</v>
      </c>
      <c r="B199" s="42" t="str">
        <f>IFERROR(__xludf.DUMMYFUNCTION("""COMPUTED_VALUE"""),"DHBA")</f>
        <v>DHBA</v>
      </c>
      <c r="C199" s="42" t="str">
        <f>IFERROR(__xludf.DUMMYFUNCTION("""COMPUTED_VALUE"""),"outer CP in dorsomedial parietal cortex (area 7m)")</f>
        <v>outer CP in dorsomedial parietal cortex (area 7m)</v>
      </c>
      <c r="D199" s="42">
        <f>IFERROR(__xludf.DUMMYFUNCTION("""COMPUTED_VALUE"""),165.0)</f>
        <v>165</v>
      </c>
      <c r="E199" s="39" t="str">
        <f>IFERROR(__xludf.DUMMYFUNCTION("""COMPUTED_VALUE"""),"outer CP in dorsomedial parietal cortex (area 7m)")</f>
        <v>outer CP in dorsomedial parietal cortex (area 7m)</v>
      </c>
      <c r="F199" s="9" t="str">
        <f>IFERROR(__xludf.DUMMYFUNCTION("""COMPUTED_VALUE"""),"Br")</f>
        <v>Br</v>
      </c>
      <c r="G199" s="9" t="str">
        <f>IFERROR(__xludf.DUMMYFUNCTION("""COMPUTED_VALUE"""),"F")</f>
        <v>F</v>
      </c>
      <c r="H199" s="9" t="str">
        <f>IFERROR(__xludf.DUMMYFUNCTION("""COMPUTED_VALUE"""),"FGM")</f>
        <v>FGM</v>
      </c>
      <c r="I199" s="9" t="str">
        <f>IFERROR(__xludf.DUMMYFUNCTION("""COMPUTED_VALUE"""),"FTS")</f>
        <v>FTS</v>
      </c>
      <c r="J199" s="9" t="str">
        <f>IFERROR(__xludf.DUMMYFUNCTION("""COMPUTED_VALUE"""),"CP")</f>
        <v>CP</v>
      </c>
      <c r="K199" s="9" t="str">
        <f>IFERROR(__xludf.DUMMYFUNCTION("""COMPUTED_VALUE"""),"pCP")</f>
        <v>pCP</v>
      </c>
      <c r="L199" s="9" t="str">
        <f>IFERROR(__xludf.DUMMYFUNCTION("""COMPUTED_VALUE"""),"pCPdm")</f>
        <v>pCPdm</v>
      </c>
      <c r="M199" s="9" t="str">
        <f>IFERROR(__xludf.DUMMYFUNCTION("""COMPUTED_VALUE"""),"pCPdmo")</f>
        <v>pCPdmo</v>
      </c>
      <c r="N199" s="9"/>
      <c r="O199" s="9"/>
      <c r="P199" s="9"/>
      <c r="Q199" s="9"/>
      <c r="R199" s="9"/>
      <c r="S199" s="42"/>
      <c r="T199" s="42"/>
      <c r="U199" s="42"/>
      <c r="V199" s="42"/>
      <c r="W199" s="42"/>
      <c r="X199" s="42"/>
      <c r="Y199" s="42"/>
      <c r="Z199" s="42"/>
      <c r="AA199" s="42"/>
      <c r="AB199" s="42" t="str">
        <f>IFERROR(__xludf.DUMMYFUNCTION("""COMPUTED_VALUE"""),"allen institute")</f>
        <v>allen institute</v>
      </c>
      <c r="AC199" s="42" t="str">
        <f>IFERROR(__xludf.DUMMYFUNCTION("""COMPUTED_VALUE"""),"DHBA")</f>
        <v>DHBA</v>
      </c>
      <c r="AD199" s="42"/>
      <c r="AE199" s="42"/>
      <c r="AF199" s="9"/>
      <c r="AG199" s="9"/>
      <c r="AH199" s="42"/>
      <c r="AI199" s="42"/>
      <c r="AJ199" s="42"/>
      <c r="AK199" s="42"/>
      <c r="AL199" s="42"/>
      <c r="AM199" s="42"/>
      <c r="AN199" s="42"/>
      <c r="AO199" s="63" t="str">
        <f>IFERROR(__xludf.DUMMYFUNCTION("IF(ISBLANK(A199),,IF(ISBLANK(S199), A199&amp;"";"", TEXTJOIN(CHAR(10), TRUE, A199&amp;"";"", ARRAYFORMULA(VLOOKUP(SPLIT(S199, "";"" &amp; CHAR(10)), $A:$AO, 41, FALSE)))))"),"pCPdmo;")</f>
        <v>pCPdmo;</v>
      </c>
      <c r="AP199" s="89"/>
    </row>
    <row r="200">
      <c r="A200" s="151" t="str">
        <f>IFERROR(__xludf.DUMMYFUNCTION("""COMPUTED_VALUE"""),"pCPdmi")</f>
        <v>pCPdmi</v>
      </c>
      <c r="B200" s="42" t="str">
        <f>IFERROR(__xludf.DUMMYFUNCTION("""COMPUTED_VALUE"""),"DHBA")</f>
        <v>DHBA</v>
      </c>
      <c r="C200" s="42" t="str">
        <f>IFERROR(__xludf.DUMMYFUNCTION("""COMPUTED_VALUE"""),"inner CP in dorsomedial parietal cortex (area 7m)")</f>
        <v>inner CP in dorsomedial parietal cortex (area 7m)</v>
      </c>
      <c r="D200" s="42">
        <f>IFERROR(__xludf.DUMMYFUNCTION("""COMPUTED_VALUE"""),166.0)</f>
        <v>166</v>
      </c>
      <c r="E200" s="39" t="str">
        <f>IFERROR(__xludf.DUMMYFUNCTION("""COMPUTED_VALUE"""),"inner CP in dorsomedial parietal cortex (area 7m)")</f>
        <v>inner CP in dorsomedial parietal cortex (area 7m)</v>
      </c>
      <c r="F200" s="9" t="str">
        <f>IFERROR(__xludf.DUMMYFUNCTION("""COMPUTED_VALUE"""),"Br")</f>
        <v>Br</v>
      </c>
      <c r="G200" s="9" t="str">
        <f>IFERROR(__xludf.DUMMYFUNCTION("""COMPUTED_VALUE"""),"F")</f>
        <v>F</v>
      </c>
      <c r="H200" s="9" t="str">
        <f>IFERROR(__xludf.DUMMYFUNCTION("""COMPUTED_VALUE"""),"FGM")</f>
        <v>FGM</v>
      </c>
      <c r="I200" s="9" t="str">
        <f>IFERROR(__xludf.DUMMYFUNCTION("""COMPUTED_VALUE"""),"FTS")</f>
        <v>FTS</v>
      </c>
      <c r="J200" s="9" t="str">
        <f>IFERROR(__xludf.DUMMYFUNCTION("""COMPUTED_VALUE"""),"CP")</f>
        <v>CP</v>
      </c>
      <c r="K200" s="9" t="str">
        <f>IFERROR(__xludf.DUMMYFUNCTION("""COMPUTED_VALUE"""),"pCP")</f>
        <v>pCP</v>
      </c>
      <c r="L200" s="9" t="str">
        <f>IFERROR(__xludf.DUMMYFUNCTION("""COMPUTED_VALUE"""),"pCPdm")</f>
        <v>pCPdm</v>
      </c>
      <c r="M200" s="9" t="str">
        <f>IFERROR(__xludf.DUMMYFUNCTION("""COMPUTED_VALUE"""),"pCPdmi")</f>
        <v>pCPdmi</v>
      </c>
      <c r="N200" s="9"/>
      <c r="O200" s="9"/>
      <c r="P200" s="9"/>
      <c r="Q200" s="9"/>
      <c r="R200" s="9"/>
      <c r="S200" s="42"/>
      <c r="T200" s="42"/>
      <c r="U200" s="42"/>
      <c r="V200" s="42"/>
      <c r="W200" s="42"/>
      <c r="X200" s="42"/>
      <c r="Y200" s="42"/>
      <c r="Z200" s="42"/>
      <c r="AA200" s="42"/>
      <c r="AB200" s="42" t="str">
        <f>IFERROR(__xludf.DUMMYFUNCTION("""COMPUTED_VALUE"""),"allen institute")</f>
        <v>allen institute</v>
      </c>
      <c r="AC200" s="42" t="str">
        <f>IFERROR(__xludf.DUMMYFUNCTION("""COMPUTED_VALUE"""),"DHBA")</f>
        <v>DHBA</v>
      </c>
      <c r="AD200" s="42"/>
      <c r="AE200" s="42"/>
      <c r="AF200" s="9"/>
      <c r="AG200" s="9"/>
      <c r="AH200" s="42"/>
      <c r="AI200" s="42"/>
      <c r="AJ200" s="42"/>
      <c r="AK200" s="42"/>
      <c r="AL200" s="42"/>
      <c r="AM200" s="42"/>
      <c r="AN200" s="42"/>
      <c r="AO200" s="63" t="str">
        <f>IFERROR(__xludf.DUMMYFUNCTION("IF(ISBLANK(A200),,IF(ISBLANK(S200), A200&amp;"";"", TEXTJOIN(CHAR(10), TRUE, A200&amp;"";"", ARRAYFORMULA(VLOOKUP(SPLIT(S200, "";"" &amp; CHAR(10)), $A:$AO, 41, FALSE)))))"),"pCPdmi;")</f>
        <v>pCPdmi;</v>
      </c>
      <c r="AP200" s="89"/>
    </row>
    <row r="201">
      <c r="A201" s="151" t="str">
        <f>IFERROR(__xludf.DUMMYFUNCTION("""COMPUTED_VALUE"""),"pCPpd")</f>
        <v>pCPpd</v>
      </c>
      <c r="B201" s="42" t="str">
        <f>IFERROR(__xludf.DUMMYFUNCTION("""COMPUTED_VALUE"""),"DHBA")</f>
        <v>DHBA</v>
      </c>
      <c r="C201" s="42" t="str">
        <f>IFERROR(__xludf.DUMMYFUNCTION("""COMPUTED_VALUE"""),"CP in posterosuperior (dorsal) parietal cortex")</f>
        <v>CP in posterosuperior (dorsal) parietal cortex</v>
      </c>
      <c r="D201" s="42">
        <f>IFERROR(__xludf.DUMMYFUNCTION("""COMPUTED_VALUE"""),167.0)</f>
        <v>167</v>
      </c>
      <c r="E201" s="39" t="str">
        <f>IFERROR(__xludf.DUMMYFUNCTION("""COMPUTED_VALUE"""),"CP in posterosuperior (dorsal) parietal cortex")</f>
        <v>CP in posterosuperior (dorsal) parietal cortex</v>
      </c>
      <c r="F201" s="9" t="str">
        <f>IFERROR(__xludf.DUMMYFUNCTION("""COMPUTED_VALUE"""),"Br")</f>
        <v>Br</v>
      </c>
      <c r="G201" s="9" t="str">
        <f>IFERROR(__xludf.DUMMYFUNCTION("""COMPUTED_VALUE"""),"F")</f>
        <v>F</v>
      </c>
      <c r="H201" s="9" t="str">
        <f>IFERROR(__xludf.DUMMYFUNCTION("""COMPUTED_VALUE"""),"FGM")</f>
        <v>FGM</v>
      </c>
      <c r="I201" s="9" t="str">
        <f>IFERROR(__xludf.DUMMYFUNCTION("""COMPUTED_VALUE"""),"FTS")</f>
        <v>FTS</v>
      </c>
      <c r="J201" s="9" t="str">
        <f>IFERROR(__xludf.DUMMYFUNCTION("""COMPUTED_VALUE"""),"CP")</f>
        <v>CP</v>
      </c>
      <c r="K201" s="9" t="str">
        <f>IFERROR(__xludf.DUMMYFUNCTION("""COMPUTED_VALUE"""),"pCP")</f>
        <v>pCP</v>
      </c>
      <c r="L201" s="9" t="str">
        <f>IFERROR(__xludf.DUMMYFUNCTION("""COMPUTED_VALUE"""),"pCPpd")</f>
        <v>pCPpd</v>
      </c>
      <c r="M201" s="9"/>
      <c r="N201" s="9"/>
      <c r="O201" s="9"/>
      <c r="P201" s="9"/>
      <c r="Q201" s="9"/>
      <c r="R201" s="9"/>
      <c r="S201" s="42" t="str">
        <f>IFERROR(__xludf.DUMMYFUNCTION("""COMPUTED_VALUE"""),"pCPpdo;
pCPpdi")</f>
        <v>pCPpdo;
pCPpdi</v>
      </c>
      <c r="T201" s="42"/>
      <c r="U201" s="42" t="b">
        <f>IFERROR(__xludf.DUMMYFUNCTION("""COMPUTED_VALUE"""),FALSE)</f>
        <v>0</v>
      </c>
      <c r="V201" s="42"/>
      <c r="W201" s="42"/>
      <c r="X201" s="42"/>
      <c r="Y201" s="42"/>
      <c r="Z201" s="42"/>
      <c r="AA201" s="42"/>
      <c r="AB201" s="42" t="str">
        <f>IFERROR(__xludf.DUMMYFUNCTION("""COMPUTED_VALUE"""),"allen institute")</f>
        <v>allen institute</v>
      </c>
      <c r="AC201" s="42" t="str">
        <f>IFERROR(__xludf.DUMMYFUNCTION("""COMPUTED_VALUE"""),"DHBA")</f>
        <v>DHBA</v>
      </c>
      <c r="AD201" s="42"/>
      <c r="AE201" s="42"/>
      <c r="AF201" s="9"/>
      <c r="AG201" s="9"/>
      <c r="AH201" s="42"/>
      <c r="AI201" s="42"/>
      <c r="AJ201" s="42"/>
      <c r="AK201" s="42"/>
      <c r="AL201" s="42"/>
      <c r="AM201" s="42"/>
      <c r="AN201" s="42"/>
      <c r="AO201" s="63" t="str">
        <f>IFERROR(__xludf.DUMMYFUNCTION("IF(ISBLANK(A201),,IF(ISBLANK(S201), A201&amp;"";"", TEXTJOIN(CHAR(10), TRUE, A201&amp;"";"", ARRAYFORMULA(VLOOKUP(SPLIT(S201, "";"" &amp; CHAR(10)), $A:$AO, 41, FALSE)))))"),"pCPpd;
pCPpdo;
pCPpdi;")</f>
        <v>pCPpd;
pCPpdo;
pCPpdi;</v>
      </c>
      <c r="AP201" s="89"/>
    </row>
    <row r="202">
      <c r="A202" s="151" t="str">
        <f>IFERROR(__xludf.DUMMYFUNCTION("""COMPUTED_VALUE"""),"pCPpdo")</f>
        <v>pCPpdo</v>
      </c>
      <c r="B202" s="42" t="str">
        <f>IFERROR(__xludf.DUMMYFUNCTION("""COMPUTED_VALUE"""),"DHBA")</f>
        <v>DHBA</v>
      </c>
      <c r="C202" s="42" t="str">
        <f>IFERROR(__xludf.DUMMYFUNCTION("""COMPUTED_VALUE"""),"outer CP in posterosuperior (dorsal) parietal cortex")</f>
        <v>outer CP in posterosuperior (dorsal) parietal cortex</v>
      </c>
      <c r="D202" s="42">
        <f>IFERROR(__xludf.DUMMYFUNCTION("""COMPUTED_VALUE"""),168.0)</f>
        <v>168</v>
      </c>
      <c r="E202" s="39" t="str">
        <f>IFERROR(__xludf.DUMMYFUNCTION("""COMPUTED_VALUE"""),"outer CP in posterosuperior (dorsal) parietal cortex")</f>
        <v>outer CP in posterosuperior (dorsal) parietal cortex</v>
      </c>
      <c r="F202" s="9" t="str">
        <f>IFERROR(__xludf.DUMMYFUNCTION("""COMPUTED_VALUE"""),"Br")</f>
        <v>Br</v>
      </c>
      <c r="G202" s="9" t="str">
        <f>IFERROR(__xludf.DUMMYFUNCTION("""COMPUTED_VALUE"""),"F")</f>
        <v>F</v>
      </c>
      <c r="H202" s="9" t="str">
        <f>IFERROR(__xludf.DUMMYFUNCTION("""COMPUTED_VALUE"""),"FGM")</f>
        <v>FGM</v>
      </c>
      <c r="I202" s="9" t="str">
        <f>IFERROR(__xludf.DUMMYFUNCTION("""COMPUTED_VALUE"""),"FTS")</f>
        <v>FTS</v>
      </c>
      <c r="J202" s="9" t="str">
        <f>IFERROR(__xludf.DUMMYFUNCTION("""COMPUTED_VALUE"""),"CP")</f>
        <v>CP</v>
      </c>
      <c r="K202" s="9" t="str">
        <f>IFERROR(__xludf.DUMMYFUNCTION("""COMPUTED_VALUE"""),"pCP")</f>
        <v>pCP</v>
      </c>
      <c r="L202" s="9" t="str">
        <f>IFERROR(__xludf.DUMMYFUNCTION("""COMPUTED_VALUE"""),"pCPpd")</f>
        <v>pCPpd</v>
      </c>
      <c r="M202" s="9" t="str">
        <f>IFERROR(__xludf.DUMMYFUNCTION("""COMPUTED_VALUE"""),"pCPpdo")</f>
        <v>pCPpdo</v>
      </c>
      <c r="N202" s="9"/>
      <c r="O202" s="9"/>
      <c r="P202" s="9"/>
      <c r="Q202" s="9"/>
      <c r="R202" s="9"/>
      <c r="S202" s="42"/>
      <c r="T202" s="42"/>
      <c r="U202" s="42"/>
      <c r="V202" s="42"/>
      <c r="W202" s="42"/>
      <c r="X202" s="42"/>
      <c r="Y202" s="42"/>
      <c r="Z202" s="42"/>
      <c r="AA202" s="42"/>
      <c r="AB202" s="42" t="str">
        <f>IFERROR(__xludf.DUMMYFUNCTION("""COMPUTED_VALUE"""),"allen institute")</f>
        <v>allen institute</v>
      </c>
      <c r="AC202" s="42" t="str">
        <f>IFERROR(__xludf.DUMMYFUNCTION("""COMPUTED_VALUE"""),"DHBA")</f>
        <v>DHBA</v>
      </c>
      <c r="AD202" s="42"/>
      <c r="AE202" s="42"/>
      <c r="AF202" s="9"/>
      <c r="AG202" s="9"/>
      <c r="AH202" s="42"/>
      <c r="AI202" s="42"/>
      <c r="AJ202" s="42"/>
      <c r="AK202" s="42"/>
      <c r="AL202" s="42"/>
      <c r="AM202" s="42"/>
      <c r="AN202" s="42"/>
      <c r="AO202" s="63" t="str">
        <f>IFERROR(__xludf.DUMMYFUNCTION("IF(ISBLANK(A202),,IF(ISBLANK(S202), A202&amp;"";"", TEXTJOIN(CHAR(10), TRUE, A202&amp;"";"", ARRAYFORMULA(VLOOKUP(SPLIT(S202, "";"" &amp; CHAR(10)), $A:$AO, 41, FALSE)))))"),"pCPpdo;")</f>
        <v>pCPpdo;</v>
      </c>
      <c r="AP202" s="89"/>
    </row>
    <row r="203">
      <c r="A203" s="151" t="str">
        <f>IFERROR(__xludf.DUMMYFUNCTION("""COMPUTED_VALUE"""),"pCPpdi")</f>
        <v>pCPpdi</v>
      </c>
      <c r="B203" s="42" t="str">
        <f>IFERROR(__xludf.DUMMYFUNCTION("""COMPUTED_VALUE"""),"DHBA")</f>
        <v>DHBA</v>
      </c>
      <c r="C203" s="42" t="str">
        <f>IFERROR(__xludf.DUMMYFUNCTION("""COMPUTED_VALUE"""),"inner CP in posterosuperior (dorsal) parietal cortex")</f>
        <v>inner CP in posterosuperior (dorsal) parietal cortex</v>
      </c>
      <c r="D203" s="42">
        <f>IFERROR(__xludf.DUMMYFUNCTION("""COMPUTED_VALUE"""),169.0)</f>
        <v>169</v>
      </c>
      <c r="E203" s="39" t="str">
        <f>IFERROR(__xludf.DUMMYFUNCTION("""COMPUTED_VALUE"""),"inner CP in posterosuperior (dorsal) parietal cortex")</f>
        <v>inner CP in posterosuperior (dorsal) parietal cortex</v>
      </c>
      <c r="F203" s="9" t="str">
        <f>IFERROR(__xludf.DUMMYFUNCTION("""COMPUTED_VALUE"""),"Br")</f>
        <v>Br</v>
      </c>
      <c r="G203" s="9" t="str">
        <f>IFERROR(__xludf.DUMMYFUNCTION("""COMPUTED_VALUE"""),"F")</f>
        <v>F</v>
      </c>
      <c r="H203" s="9" t="str">
        <f>IFERROR(__xludf.DUMMYFUNCTION("""COMPUTED_VALUE"""),"FGM")</f>
        <v>FGM</v>
      </c>
      <c r="I203" s="9" t="str">
        <f>IFERROR(__xludf.DUMMYFUNCTION("""COMPUTED_VALUE"""),"FTS")</f>
        <v>FTS</v>
      </c>
      <c r="J203" s="9" t="str">
        <f>IFERROR(__xludf.DUMMYFUNCTION("""COMPUTED_VALUE"""),"CP")</f>
        <v>CP</v>
      </c>
      <c r="K203" s="9" t="str">
        <f>IFERROR(__xludf.DUMMYFUNCTION("""COMPUTED_VALUE"""),"pCP")</f>
        <v>pCP</v>
      </c>
      <c r="L203" s="9" t="str">
        <f>IFERROR(__xludf.DUMMYFUNCTION("""COMPUTED_VALUE"""),"pCPpd")</f>
        <v>pCPpd</v>
      </c>
      <c r="M203" s="9" t="str">
        <f>IFERROR(__xludf.DUMMYFUNCTION("""COMPUTED_VALUE"""),"pCPpdi")</f>
        <v>pCPpdi</v>
      </c>
      <c r="N203" s="9"/>
      <c r="O203" s="9"/>
      <c r="P203" s="9"/>
      <c r="Q203" s="9"/>
      <c r="R203" s="9"/>
      <c r="S203" s="42"/>
      <c r="T203" s="42"/>
      <c r="U203" s="42"/>
      <c r="V203" s="42"/>
      <c r="W203" s="42"/>
      <c r="X203" s="42"/>
      <c r="Y203" s="42"/>
      <c r="Z203" s="42"/>
      <c r="AA203" s="42"/>
      <c r="AB203" s="42" t="str">
        <f>IFERROR(__xludf.DUMMYFUNCTION("""COMPUTED_VALUE"""),"allen institute")</f>
        <v>allen institute</v>
      </c>
      <c r="AC203" s="42" t="str">
        <f>IFERROR(__xludf.DUMMYFUNCTION("""COMPUTED_VALUE"""),"DHBA")</f>
        <v>DHBA</v>
      </c>
      <c r="AD203" s="42"/>
      <c r="AE203" s="42"/>
      <c r="AF203" s="9"/>
      <c r="AG203" s="9"/>
      <c r="AH203" s="42"/>
      <c r="AI203" s="42"/>
      <c r="AJ203" s="42"/>
      <c r="AK203" s="42"/>
      <c r="AL203" s="42"/>
      <c r="AM203" s="42"/>
      <c r="AN203" s="42"/>
      <c r="AO203" s="63" t="str">
        <f>IFERROR(__xludf.DUMMYFUNCTION("IF(ISBLANK(A203),,IF(ISBLANK(S203), A203&amp;"";"", TEXTJOIN(CHAR(10), TRUE, A203&amp;"";"", ARRAYFORMULA(VLOOKUP(SPLIT(S203, "";"" &amp; CHAR(10)), $A:$AO, 41, FALSE)))))"),"pCPpdi;")</f>
        <v>pCPpdi;</v>
      </c>
      <c r="AP203" s="89"/>
    </row>
    <row r="204">
      <c r="A204" s="151" t="str">
        <f>IFERROR(__xludf.DUMMYFUNCTION("""COMPUTED_VALUE"""),"pCPpv")</f>
        <v>pCPpv</v>
      </c>
      <c r="B204" s="42" t="str">
        <f>IFERROR(__xludf.DUMMYFUNCTION("""COMPUTED_VALUE"""),"DHBA")</f>
        <v>DHBA</v>
      </c>
      <c r="C204" s="42" t="str">
        <f>IFERROR(__xludf.DUMMYFUNCTION("""COMPUTED_VALUE"""),"CP in posteroinferior (ventral) parietal cortex")</f>
        <v>CP in posteroinferior (ventral) parietal cortex</v>
      </c>
      <c r="D204" s="42">
        <f>IFERROR(__xludf.DUMMYFUNCTION("""COMPUTED_VALUE"""),170.0)</f>
        <v>170</v>
      </c>
      <c r="E204" s="39" t="str">
        <f>IFERROR(__xludf.DUMMYFUNCTION("""COMPUTED_VALUE"""),"CP in posteroinferior (ventral) parietal cortex")</f>
        <v>CP in posteroinferior (ventral) parietal cortex</v>
      </c>
      <c r="F204" s="9" t="str">
        <f>IFERROR(__xludf.DUMMYFUNCTION("""COMPUTED_VALUE"""),"Br")</f>
        <v>Br</v>
      </c>
      <c r="G204" s="9" t="str">
        <f>IFERROR(__xludf.DUMMYFUNCTION("""COMPUTED_VALUE"""),"F")</f>
        <v>F</v>
      </c>
      <c r="H204" s="9" t="str">
        <f>IFERROR(__xludf.DUMMYFUNCTION("""COMPUTED_VALUE"""),"FGM")</f>
        <v>FGM</v>
      </c>
      <c r="I204" s="9" t="str">
        <f>IFERROR(__xludf.DUMMYFUNCTION("""COMPUTED_VALUE"""),"FTS")</f>
        <v>FTS</v>
      </c>
      <c r="J204" s="9" t="str">
        <f>IFERROR(__xludf.DUMMYFUNCTION("""COMPUTED_VALUE"""),"CP")</f>
        <v>CP</v>
      </c>
      <c r="K204" s="9" t="str">
        <f>IFERROR(__xludf.DUMMYFUNCTION("""COMPUTED_VALUE"""),"pCP")</f>
        <v>pCP</v>
      </c>
      <c r="L204" s="9" t="str">
        <f>IFERROR(__xludf.DUMMYFUNCTION("""COMPUTED_VALUE"""),"pCPpv")</f>
        <v>pCPpv</v>
      </c>
      <c r="M204" s="9"/>
      <c r="N204" s="9"/>
      <c r="O204" s="9"/>
      <c r="P204" s="9"/>
      <c r="Q204" s="9"/>
      <c r="R204" s="9"/>
      <c r="S204" s="42" t="str">
        <f>IFERROR(__xludf.DUMMYFUNCTION("""COMPUTED_VALUE"""),"pCPpvo;
pCPpvi")</f>
        <v>pCPpvo;
pCPpvi</v>
      </c>
      <c r="T204" s="42"/>
      <c r="U204" s="42" t="b">
        <f>IFERROR(__xludf.DUMMYFUNCTION("""COMPUTED_VALUE"""),FALSE)</f>
        <v>0</v>
      </c>
      <c r="V204" s="42"/>
      <c r="W204" s="42"/>
      <c r="X204" s="42"/>
      <c r="Y204" s="42"/>
      <c r="Z204" s="42"/>
      <c r="AA204" s="42"/>
      <c r="AB204" s="42" t="str">
        <f>IFERROR(__xludf.DUMMYFUNCTION("""COMPUTED_VALUE"""),"allen institute")</f>
        <v>allen institute</v>
      </c>
      <c r="AC204" s="42" t="str">
        <f>IFERROR(__xludf.DUMMYFUNCTION("""COMPUTED_VALUE"""),"DHBA")</f>
        <v>DHBA</v>
      </c>
      <c r="AD204" s="42"/>
      <c r="AE204" s="42"/>
      <c r="AF204" s="9"/>
      <c r="AG204" s="9"/>
      <c r="AH204" s="42"/>
      <c r="AI204" s="42"/>
      <c r="AJ204" s="42"/>
      <c r="AK204" s="42"/>
      <c r="AL204" s="42"/>
      <c r="AM204" s="42"/>
      <c r="AN204" s="42"/>
      <c r="AO204" s="63" t="str">
        <f>IFERROR(__xludf.DUMMYFUNCTION("IF(ISBLANK(A204),,IF(ISBLANK(S204), A204&amp;"";"", TEXTJOIN(CHAR(10), TRUE, A204&amp;"";"", ARRAYFORMULA(VLOOKUP(SPLIT(S204, "";"" &amp; CHAR(10)), $A:$AO, 41, FALSE)))))"),"pCPpv;
pCPpvo;
pCPpvi;")</f>
        <v>pCPpv;
pCPpvo;
pCPpvi;</v>
      </c>
      <c r="AP204" s="89"/>
    </row>
    <row r="205">
      <c r="A205" s="151" t="str">
        <f>IFERROR(__xludf.DUMMYFUNCTION("""COMPUTED_VALUE"""),"pCPpvo")</f>
        <v>pCPpvo</v>
      </c>
      <c r="B205" s="42" t="str">
        <f>IFERROR(__xludf.DUMMYFUNCTION("""COMPUTED_VALUE"""),"DHBA")</f>
        <v>DHBA</v>
      </c>
      <c r="C205" s="42" t="str">
        <f>IFERROR(__xludf.DUMMYFUNCTION("""COMPUTED_VALUE"""),"outer CP in posteroinferior (ventral) parietal cortex")</f>
        <v>outer CP in posteroinferior (ventral) parietal cortex</v>
      </c>
      <c r="D205" s="42">
        <f>IFERROR(__xludf.DUMMYFUNCTION("""COMPUTED_VALUE"""),171.0)</f>
        <v>171</v>
      </c>
      <c r="E205" s="39" t="str">
        <f>IFERROR(__xludf.DUMMYFUNCTION("""COMPUTED_VALUE"""),"outer CP in posteroinferior (ventral) parietal cortex")</f>
        <v>outer CP in posteroinferior (ventral) parietal cortex</v>
      </c>
      <c r="F205" s="9" t="str">
        <f>IFERROR(__xludf.DUMMYFUNCTION("""COMPUTED_VALUE"""),"Br")</f>
        <v>Br</v>
      </c>
      <c r="G205" s="9" t="str">
        <f>IFERROR(__xludf.DUMMYFUNCTION("""COMPUTED_VALUE"""),"F")</f>
        <v>F</v>
      </c>
      <c r="H205" s="9" t="str">
        <f>IFERROR(__xludf.DUMMYFUNCTION("""COMPUTED_VALUE"""),"FGM")</f>
        <v>FGM</v>
      </c>
      <c r="I205" s="9" t="str">
        <f>IFERROR(__xludf.DUMMYFUNCTION("""COMPUTED_VALUE"""),"FTS")</f>
        <v>FTS</v>
      </c>
      <c r="J205" s="9" t="str">
        <f>IFERROR(__xludf.DUMMYFUNCTION("""COMPUTED_VALUE"""),"CP")</f>
        <v>CP</v>
      </c>
      <c r="K205" s="9" t="str">
        <f>IFERROR(__xludf.DUMMYFUNCTION("""COMPUTED_VALUE"""),"pCP")</f>
        <v>pCP</v>
      </c>
      <c r="L205" s="9" t="str">
        <f>IFERROR(__xludf.DUMMYFUNCTION("""COMPUTED_VALUE"""),"pCPpv")</f>
        <v>pCPpv</v>
      </c>
      <c r="M205" s="9" t="str">
        <f>IFERROR(__xludf.DUMMYFUNCTION("""COMPUTED_VALUE"""),"pCPpvo")</f>
        <v>pCPpvo</v>
      </c>
      <c r="N205" s="9"/>
      <c r="O205" s="9"/>
      <c r="P205" s="9"/>
      <c r="Q205" s="9"/>
      <c r="R205" s="9"/>
      <c r="S205" s="42"/>
      <c r="T205" s="42"/>
      <c r="U205" s="42"/>
      <c r="V205" s="42"/>
      <c r="W205" s="42"/>
      <c r="X205" s="42"/>
      <c r="Y205" s="42"/>
      <c r="Z205" s="42"/>
      <c r="AA205" s="42"/>
      <c r="AB205" s="42" t="str">
        <f>IFERROR(__xludf.DUMMYFUNCTION("""COMPUTED_VALUE"""),"allen institute")</f>
        <v>allen institute</v>
      </c>
      <c r="AC205" s="42" t="str">
        <f>IFERROR(__xludf.DUMMYFUNCTION("""COMPUTED_VALUE"""),"DHBA")</f>
        <v>DHBA</v>
      </c>
      <c r="AD205" s="42"/>
      <c r="AE205" s="42"/>
      <c r="AF205" s="9"/>
      <c r="AG205" s="9"/>
      <c r="AH205" s="42"/>
      <c r="AI205" s="42"/>
      <c r="AJ205" s="42"/>
      <c r="AK205" s="42"/>
      <c r="AL205" s="42"/>
      <c r="AM205" s="42"/>
      <c r="AN205" s="42"/>
      <c r="AO205" s="63" t="str">
        <f>IFERROR(__xludf.DUMMYFUNCTION("IF(ISBLANK(A205),,IF(ISBLANK(S205), A205&amp;"";"", TEXTJOIN(CHAR(10), TRUE, A205&amp;"";"", ARRAYFORMULA(VLOOKUP(SPLIT(S205, "";"" &amp; CHAR(10)), $A:$AO, 41, FALSE)))))"),"pCPpvo;")</f>
        <v>pCPpvo;</v>
      </c>
      <c r="AP205" s="89"/>
    </row>
    <row r="206">
      <c r="A206" s="151" t="str">
        <f>IFERROR(__xludf.DUMMYFUNCTION("""COMPUTED_VALUE"""),"pCPpvi")</f>
        <v>pCPpvi</v>
      </c>
      <c r="B206" s="42" t="str">
        <f>IFERROR(__xludf.DUMMYFUNCTION("""COMPUTED_VALUE"""),"DHBA")</f>
        <v>DHBA</v>
      </c>
      <c r="C206" s="42" t="str">
        <f>IFERROR(__xludf.DUMMYFUNCTION("""COMPUTED_VALUE"""),"inner CP in posteroinferior (ventral) parietal cortex")</f>
        <v>inner CP in posteroinferior (ventral) parietal cortex</v>
      </c>
      <c r="D206" s="42">
        <f>IFERROR(__xludf.DUMMYFUNCTION("""COMPUTED_VALUE"""),172.0)</f>
        <v>172</v>
      </c>
      <c r="E206" s="39" t="str">
        <f>IFERROR(__xludf.DUMMYFUNCTION("""COMPUTED_VALUE"""),"inner CP in posteroinferior (ventral) parietal cortex")</f>
        <v>inner CP in posteroinferior (ventral) parietal cortex</v>
      </c>
      <c r="F206" s="9" t="str">
        <f>IFERROR(__xludf.DUMMYFUNCTION("""COMPUTED_VALUE"""),"Br")</f>
        <v>Br</v>
      </c>
      <c r="G206" s="9" t="str">
        <f>IFERROR(__xludf.DUMMYFUNCTION("""COMPUTED_VALUE"""),"F")</f>
        <v>F</v>
      </c>
      <c r="H206" s="9" t="str">
        <f>IFERROR(__xludf.DUMMYFUNCTION("""COMPUTED_VALUE"""),"FGM")</f>
        <v>FGM</v>
      </c>
      <c r="I206" s="9" t="str">
        <f>IFERROR(__xludf.DUMMYFUNCTION("""COMPUTED_VALUE"""),"FTS")</f>
        <v>FTS</v>
      </c>
      <c r="J206" s="9" t="str">
        <f>IFERROR(__xludf.DUMMYFUNCTION("""COMPUTED_VALUE"""),"CP")</f>
        <v>CP</v>
      </c>
      <c r="K206" s="9" t="str">
        <f>IFERROR(__xludf.DUMMYFUNCTION("""COMPUTED_VALUE"""),"pCP")</f>
        <v>pCP</v>
      </c>
      <c r="L206" s="9" t="str">
        <f>IFERROR(__xludf.DUMMYFUNCTION("""COMPUTED_VALUE"""),"pCPpv")</f>
        <v>pCPpv</v>
      </c>
      <c r="M206" s="9" t="str">
        <f>IFERROR(__xludf.DUMMYFUNCTION("""COMPUTED_VALUE"""),"pCPpvi")</f>
        <v>pCPpvi</v>
      </c>
      <c r="N206" s="9"/>
      <c r="O206" s="9"/>
      <c r="P206" s="9"/>
      <c r="Q206" s="9"/>
      <c r="R206" s="9"/>
      <c r="S206" s="42"/>
      <c r="T206" s="42"/>
      <c r="U206" s="42"/>
      <c r="V206" s="42"/>
      <c r="W206" s="42"/>
      <c r="X206" s="42"/>
      <c r="Y206" s="42"/>
      <c r="Z206" s="42"/>
      <c r="AA206" s="42"/>
      <c r="AB206" s="42" t="str">
        <f>IFERROR(__xludf.DUMMYFUNCTION("""COMPUTED_VALUE"""),"allen institute")</f>
        <v>allen institute</v>
      </c>
      <c r="AC206" s="42" t="str">
        <f>IFERROR(__xludf.DUMMYFUNCTION("""COMPUTED_VALUE"""),"DHBA")</f>
        <v>DHBA</v>
      </c>
      <c r="AD206" s="42"/>
      <c r="AE206" s="42"/>
      <c r="AF206" s="9"/>
      <c r="AG206" s="9"/>
      <c r="AH206" s="42"/>
      <c r="AI206" s="42"/>
      <c r="AJ206" s="42"/>
      <c r="AK206" s="42"/>
      <c r="AL206" s="42"/>
      <c r="AM206" s="42"/>
      <c r="AN206" s="42"/>
      <c r="AO206" s="63" t="str">
        <f>IFERROR(__xludf.DUMMYFUNCTION("IF(ISBLANK(A206),,IF(ISBLANK(S206), A206&amp;"";"", TEXTJOIN(CHAR(10), TRUE, A206&amp;"";"", ARRAYFORMULA(VLOOKUP(SPLIT(S206, "";"" &amp; CHAR(10)), $A:$AO, 41, FALSE)))))"),"pCPpvi;")</f>
        <v>pCPpvi;</v>
      </c>
      <c r="AP206" s="89"/>
    </row>
    <row r="207">
      <c r="A207" s="151" t="str">
        <f>IFERROR(__xludf.DUMMYFUNCTION("""COMPUTED_VALUE"""),"tCP")</f>
        <v>tCP</v>
      </c>
      <c r="B207" s="42" t="str">
        <f>IFERROR(__xludf.DUMMYFUNCTION("""COMPUTED_VALUE"""),"DHBA")</f>
        <v>DHBA</v>
      </c>
      <c r="C207" s="42" t="str">
        <f>IFERROR(__xludf.DUMMYFUNCTION("""COMPUTED_VALUE"""),"CP in temporal neocortex")</f>
        <v>CP in temporal neocortex</v>
      </c>
      <c r="D207" s="42">
        <f>IFERROR(__xludf.DUMMYFUNCTION("""COMPUTED_VALUE"""),173.0)</f>
        <v>173</v>
      </c>
      <c r="E207" s="39" t="str">
        <f>IFERROR(__xludf.DUMMYFUNCTION("""COMPUTED_VALUE"""),"CP in temporal neocortex")</f>
        <v>CP in temporal neocortex</v>
      </c>
      <c r="F207" s="9" t="str">
        <f>IFERROR(__xludf.DUMMYFUNCTION("""COMPUTED_VALUE"""),"Br")</f>
        <v>Br</v>
      </c>
      <c r="G207" s="9" t="str">
        <f>IFERROR(__xludf.DUMMYFUNCTION("""COMPUTED_VALUE"""),"F")</f>
        <v>F</v>
      </c>
      <c r="H207" s="9" t="str">
        <f>IFERROR(__xludf.DUMMYFUNCTION("""COMPUTED_VALUE"""),"FGM")</f>
        <v>FGM</v>
      </c>
      <c r="I207" s="9" t="str">
        <f>IFERROR(__xludf.DUMMYFUNCTION("""COMPUTED_VALUE"""),"FTS")</f>
        <v>FTS</v>
      </c>
      <c r="J207" s="9" t="str">
        <f>IFERROR(__xludf.DUMMYFUNCTION("""COMPUTED_VALUE"""),"CP")</f>
        <v>CP</v>
      </c>
      <c r="K207" s="9" t="str">
        <f>IFERROR(__xludf.DUMMYFUNCTION("""COMPUTED_VALUE"""),"tCP")</f>
        <v>tCP</v>
      </c>
      <c r="L207" s="9"/>
      <c r="M207" s="9"/>
      <c r="N207" s="9"/>
      <c r="O207" s="9"/>
      <c r="P207" s="9"/>
      <c r="Q207" s="9"/>
      <c r="R207" s="9"/>
      <c r="S207" s="42" t="str">
        <f>IFERROR(__xludf.DUMMYFUNCTION("""COMPUTED_VALUE"""),"tCPdl;
tCPvl;
tCPph;
tCPmt;
tCPlt;
tCPtp")</f>
        <v>tCPdl;
tCPvl;
tCPph;
tCPmt;
tCPlt;
tCPtp</v>
      </c>
      <c r="T207" s="42"/>
      <c r="U207" s="42" t="b">
        <f>IFERROR(__xludf.DUMMYFUNCTION("""COMPUTED_VALUE"""),FALSE)</f>
        <v>0</v>
      </c>
      <c r="V207" s="42"/>
      <c r="W207" s="42"/>
      <c r="X207" s="42"/>
      <c r="Y207" s="42"/>
      <c r="Z207" s="42"/>
      <c r="AA207" s="42"/>
      <c r="AB207" s="42" t="str">
        <f>IFERROR(__xludf.DUMMYFUNCTION("""COMPUTED_VALUE"""),"allen institute")</f>
        <v>allen institute</v>
      </c>
      <c r="AC207" s="42" t="str">
        <f>IFERROR(__xludf.DUMMYFUNCTION("""COMPUTED_VALUE"""),"DHBA")</f>
        <v>DHBA</v>
      </c>
      <c r="AD207" s="42"/>
      <c r="AE207" s="42"/>
      <c r="AF207" s="9"/>
      <c r="AG207" s="9"/>
      <c r="AH207" s="42"/>
      <c r="AI207" s="42"/>
      <c r="AJ207" s="42"/>
      <c r="AK207" s="42"/>
      <c r="AL207" s="42"/>
      <c r="AM207" s="42"/>
      <c r="AN207" s="42"/>
      <c r="AO207" s="63" t="str">
        <f>IFERROR(__xludf.DUMMYFUNCTION("IF(ISBLANK(A207),,IF(ISBLANK(S207), A207&amp;"";"", TEXTJOIN(CHAR(10), TRUE, A207&amp;"";"", ARRAYFORMULA(VLOOKUP(SPLIT(S207, "";"" &amp; CHAR(10)), $A:$AO, 41, FALSE)))))"),"tCP;
tCPdl;
tCPa1;
tCPa1o;
tCPa1i;
tCPsl;
tCPslo;
tCPsli;
tCPps;
tCPpi;
tCPvl;
tCPml;
tCPil;
tCPilo;
tCPili;
tCPmi;
tCPmio;
tCPmii;
tCP36;
tCP36o;
tCP36i;
tCPtf;
tCPtfo;
tCPtfi;
tCPph;
tCPpho;
tCPphi;
tCPmt;
tCPmto;
tCPmti;
tCPlt;
tCPlto;
tCPlti;
tCPtp;
t"&amp;"CPtpo;
tCPtpi;")</f>
        <v>tCP;
tCPdl;
tCPa1;
tCPa1o;
tCPa1i;
tCPsl;
tCPslo;
tCPsli;
tCPps;
tCPpi;
tCPvl;
tCPml;
tCPil;
tCPilo;
tCPili;
tCPmi;
tCPmio;
tCPmii;
tCP36;
tCP36o;
tCP36i;
tCPtf;
tCPtfo;
tCPtfi;
tCPph;
tCPpho;
tCPphi;
tCPmt;
tCPmto;
tCPmti;
tCPlt;
tCPlto;
tCPlti;
tCPtp;
tCPtpo;
tCPtpi;</v>
      </c>
      <c r="AP207" s="89"/>
    </row>
    <row r="208">
      <c r="A208" s="151" t="str">
        <f>IFERROR(__xludf.DUMMYFUNCTION("""COMPUTED_VALUE"""),"tCPdl")</f>
        <v>tCPdl</v>
      </c>
      <c r="B208" s="42" t="str">
        <f>IFERROR(__xludf.DUMMYFUNCTION("""COMPUTED_VALUE"""),"DHBA")</f>
        <v>DHBA</v>
      </c>
      <c r="C208" s="42" t="str">
        <f>IFERROR(__xludf.DUMMYFUNCTION("""COMPUTED_VALUE"""),"CP in dorsolateral temporal cortex")</f>
        <v>CP in dorsolateral temporal cortex</v>
      </c>
      <c r="D208" s="42">
        <f>IFERROR(__xludf.DUMMYFUNCTION("""COMPUTED_VALUE"""),174.0)</f>
        <v>174</v>
      </c>
      <c r="E208" s="39" t="str">
        <f>IFERROR(__xludf.DUMMYFUNCTION("""COMPUTED_VALUE"""),"CP in dorsolateral temporal cortex")</f>
        <v>CP in dorsolateral temporal cortex</v>
      </c>
      <c r="F208" s="9" t="str">
        <f>IFERROR(__xludf.DUMMYFUNCTION("""COMPUTED_VALUE"""),"Br")</f>
        <v>Br</v>
      </c>
      <c r="G208" s="9" t="str">
        <f>IFERROR(__xludf.DUMMYFUNCTION("""COMPUTED_VALUE"""),"F")</f>
        <v>F</v>
      </c>
      <c r="H208" s="9" t="str">
        <f>IFERROR(__xludf.DUMMYFUNCTION("""COMPUTED_VALUE"""),"FGM")</f>
        <v>FGM</v>
      </c>
      <c r="I208" s="9" t="str">
        <f>IFERROR(__xludf.DUMMYFUNCTION("""COMPUTED_VALUE"""),"FTS")</f>
        <v>FTS</v>
      </c>
      <c r="J208" s="9" t="str">
        <f>IFERROR(__xludf.DUMMYFUNCTION("""COMPUTED_VALUE"""),"CP")</f>
        <v>CP</v>
      </c>
      <c r="K208" s="9" t="str">
        <f>IFERROR(__xludf.DUMMYFUNCTION("""COMPUTED_VALUE"""),"tCP")</f>
        <v>tCP</v>
      </c>
      <c r="L208" s="9" t="str">
        <f>IFERROR(__xludf.DUMMYFUNCTION("""COMPUTED_VALUE"""),"tCPdl")</f>
        <v>tCPdl</v>
      </c>
      <c r="M208" s="9"/>
      <c r="N208" s="9"/>
      <c r="O208" s="9"/>
      <c r="P208" s="9"/>
      <c r="Q208" s="9"/>
      <c r="R208" s="9"/>
      <c r="S208" s="42" t="str">
        <f>IFERROR(__xludf.DUMMYFUNCTION("""COMPUTED_VALUE"""),"tCPa1;
tCPsl;
tCPps;
tCPpi")</f>
        <v>tCPa1;
tCPsl;
tCPps;
tCPpi</v>
      </c>
      <c r="T208" s="42"/>
      <c r="U208" s="42" t="b">
        <f>IFERROR(__xludf.DUMMYFUNCTION("""COMPUTED_VALUE"""),FALSE)</f>
        <v>0</v>
      </c>
      <c r="V208" s="42"/>
      <c r="W208" s="42"/>
      <c r="X208" s="42"/>
      <c r="Y208" s="42"/>
      <c r="Z208" s="42"/>
      <c r="AA208" s="42"/>
      <c r="AB208" s="42" t="str">
        <f>IFERROR(__xludf.DUMMYFUNCTION("""COMPUTED_VALUE"""),"allen institute")</f>
        <v>allen institute</v>
      </c>
      <c r="AC208" s="42" t="str">
        <f>IFERROR(__xludf.DUMMYFUNCTION("""COMPUTED_VALUE"""),"DHBA")</f>
        <v>DHBA</v>
      </c>
      <c r="AD208" s="42"/>
      <c r="AE208" s="42"/>
      <c r="AF208" s="9"/>
      <c r="AG208" s="9"/>
      <c r="AH208" s="42"/>
      <c r="AI208" s="42"/>
      <c r="AJ208" s="42"/>
      <c r="AK208" s="42"/>
      <c r="AL208" s="42"/>
      <c r="AM208" s="42"/>
      <c r="AN208" s="42"/>
      <c r="AO208" s="63" t="str">
        <f>IFERROR(__xludf.DUMMYFUNCTION("IF(ISBLANK(A208),,IF(ISBLANK(S208), A208&amp;"";"", TEXTJOIN(CHAR(10), TRUE, A208&amp;"";"", ARRAYFORMULA(VLOOKUP(SPLIT(S208, "";"" &amp; CHAR(10)), $A:$AO, 41, FALSE)))))"),"tCPdl;
tCPa1;
tCPa1o;
tCPa1i;
tCPsl;
tCPslo;
tCPsli;
tCPps;
tCPpi;")</f>
        <v>tCPdl;
tCPa1;
tCPa1o;
tCPa1i;
tCPsl;
tCPslo;
tCPsli;
tCPps;
tCPpi;</v>
      </c>
      <c r="AP208" s="89"/>
    </row>
    <row r="209">
      <c r="A209" s="151" t="str">
        <f>IFERROR(__xludf.DUMMYFUNCTION("""COMPUTED_VALUE"""),"tCPa1")</f>
        <v>tCPa1</v>
      </c>
      <c r="B209" s="42" t="str">
        <f>IFERROR(__xludf.DUMMYFUNCTION("""COMPUTED_VALUE"""),"DHBA")</f>
        <v>DHBA</v>
      </c>
      <c r="C209" s="42" t="str">
        <f>IFERROR(__xludf.DUMMYFUNCTION("""COMPUTED_VALUE"""),"CP in primary auditory cortex")</f>
        <v>CP in primary auditory cortex</v>
      </c>
      <c r="D209" s="42">
        <f>IFERROR(__xludf.DUMMYFUNCTION("""COMPUTED_VALUE"""),175.0)</f>
        <v>175</v>
      </c>
      <c r="E209" s="39" t="str">
        <f>IFERROR(__xludf.DUMMYFUNCTION("""COMPUTED_VALUE"""),"CP in primary auditory cortex")</f>
        <v>CP in primary auditory cortex</v>
      </c>
      <c r="F209" s="9" t="str">
        <f>IFERROR(__xludf.DUMMYFUNCTION("""COMPUTED_VALUE"""),"Br")</f>
        <v>Br</v>
      </c>
      <c r="G209" s="9" t="str">
        <f>IFERROR(__xludf.DUMMYFUNCTION("""COMPUTED_VALUE"""),"F")</f>
        <v>F</v>
      </c>
      <c r="H209" s="9" t="str">
        <f>IFERROR(__xludf.DUMMYFUNCTION("""COMPUTED_VALUE"""),"FGM")</f>
        <v>FGM</v>
      </c>
      <c r="I209" s="9" t="str">
        <f>IFERROR(__xludf.DUMMYFUNCTION("""COMPUTED_VALUE"""),"FTS")</f>
        <v>FTS</v>
      </c>
      <c r="J209" s="9" t="str">
        <f>IFERROR(__xludf.DUMMYFUNCTION("""COMPUTED_VALUE"""),"CP")</f>
        <v>CP</v>
      </c>
      <c r="K209" s="9" t="str">
        <f>IFERROR(__xludf.DUMMYFUNCTION("""COMPUTED_VALUE"""),"tCP")</f>
        <v>tCP</v>
      </c>
      <c r="L209" s="9" t="str">
        <f>IFERROR(__xludf.DUMMYFUNCTION("""COMPUTED_VALUE"""),"tCPdl")</f>
        <v>tCPdl</v>
      </c>
      <c r="M209" s="9" t="str">
        <f>IFERROR(__xludf.DUMMYFUNCTION("""COMPUTED_VALUE"""),"tCPa1")</f>
        <v>tCPa1</v>
      </c>
      <c r="N209" s="9"/>
      <c r="O209" s="9"/>
      <c r="P209" s="9"/>
      <c r="Q209" s="9"/>
      <c r="R209" s="9"/>
      <c r="S209" s="42" t="str">
        <f>IFERROR(__xludf.DUMMYFUNCTION("""COMPUTED_VALUE"""),"tCPa1o;
tCPa1i")</f>
        <v>tCPa1o;
tCPa1i</v>
      </c>
      <c r="T209" s="42"/>
      <c r="U209" s="42" t="b">
        <f>IFERROR(__xludf.DUMMYFUNCTION("""COMPUTED_VALUE"""),FALSE)</f>
        <v>0</v>
      </c>
      <c r="V209" s="42"/>
      <c r="W209" s="42"/>
      <c r="X209" s="42"/>
      <c r="Y209" s="42"/>
      <c r="Z209" s="42"/>
      <c r="AA209" s="42"/>
      <c r="AB209" s="42" t="str">
        <f>IFERROR(__xludf.DUMMYFUNCTION("""COMPUTED_VALUE"""),"allen institute")</f>
        <v>allen institute</v>
      </c>
      <c r="AC209" s="42" t="str">
        <f>IFERROR(__xludf.DUMMYFUNCTION("""COMPUTED_VALUE"""),"DHBA")</f>
        <v>DHBA</v>
      </c>
      <c r="AD209" s="42"/>
      <c r="AE209" s="42"/>
      <c r="AF209" s="9"/>
      <c r="AG209" s="9"/>
      <c r="AH209" s="42"/>
      <c r="AI209" s="42"/>
      <c r="AJ209" s="42"/>
      <c r="AK209" s="42"/>
      <c r="AL209" s="42"/>
      <c r="AM209" s="42"/>
      <c r="AN209" s="42"/>
      <c r="AO209" s="63" t="str">
        <f>IFERROR(__xludf.DUMMYFUNCTION("IF(ISBLANK(A209),,IF(ISBLANK(S209), A209&amp;"";"", TEXTJOIN(CHAR(10), TRUE, A209&amp;"";"", ARRAYFORMULA(VLOOKUP(SPLIT(S209, "";"" &amp; CHAR(10)), $A:$AO, 41, FALSE)))))"),"tCPa1;
tCPa1o;
tCPa1i;")</f>
        <v>tCPa1;
tCPa1o;
tCPa1i;</v>
      </c>
      <c r="AP209" s="89"/>
    </row>
    <row r="210">
      <c r="A210" s="151" t="str">
        <f>IFERROR(__xludf.DUMMYFUNCTION("""COMPUTED_VALUE"""),"tCPa1o")</f>
        <v>tCPa1o</v>
      </c>
      <c r="B210" s="42" t="str">
        <f>IFERROR(__xludf.DUMMYFUNCTION("""COMPUTED_VALUE"""),"DHBA")</f>
        <v>DHBA</v>
      </c>
      <c r="C210" s="42" t="str">
        <f>IFERROR(__xludf.DUMMYFUNCTION("""COMPUTED_VALUE"""),"outer CP in primary auditory cortex")</f>
        <v>outer CP in primary auditory cortex</v>
      </c>
      <c r="D210" s="42">
        <f>IFERROR(__xludf.DUMMYFUNCTION("""COMPUTED_VALUE"""),176.0)</f>
        <v>176</v>
      </c>
      <c r="E210" s="39" t="str">
        <f>IFERROR(__xludf.DUMMYFUNCTION("""COMPUTED_VALUE"""),"outer CP in primary auditory cortex")</f>
        <v>outer CP in primary auditory cortex</v>
      </c>
      <c r="F210" s="9" t="str">
        <f>IFERROR(__xludf.DUMMYFUNCTION("""COMPUTED_VALUE"""),"Br")</f>
        <v>Br</v>
      </c>
      <c r="G210" s="9" t="str">
        <f>IFERROR(__xludf.DUMMYFUNCTION("""COMPUTED_VALUE"""),"F")</f>
        <v>F</v>
      </c>
      <c r="H210" s="9" t="str">
        <f>IFERROR(__xludf.DUMMYFUNCTION("""COMPUTED_VALUE"""),"FGM")</f>
        <v>FGM</v>
      </c>
      <c r="I210" s="9" t="str">
        <f>IFERROR(__xludf.DUMMYFUNCTION("""COMPUTED_VALUE"""),"FTS")</f>
        <v>FTS</v>
      </c>
      <c r="J210" s="9" t="str">
        <f>IFERROR(__xludf.DUMMYFUNCTION("""COMPUTED_VALUE"""),"CP")</f>
        <v>CP</v>
      </c>
      <c r="K210" s="9" t="str">
        <f>IFERROR(__xludf.DUMMYFUNCTION("""COMPUTED_VALUE"""),"tCP")</f>
        <v>tCP</v>
      </c>
      <c r="L210" s="9" t="str">
        <f>IFERROR(__xludf.DUMMYFUNCTION("""COMPUTED_VALUE"""),"tCPdl")</f>
        <v>tCPdl</v>
      </c>
      <c r="M210" s="9" t="str">
        <f>IFERROR(__xludf.DUMMYFUNCTION("""COMPUTED_VALUE"""),"tCPa1")</f>
        <v>tCPa1</v>
      </c>
      <c r="N210" s="9" t="str">
        <f>IFERROR(__xludf.DUMMYFUNCTION("""COMPUTED_VALUE"""),"tCPa1o")</f>
        <v>tCPa1o</v>
      </c>
      <c r="O210" s="9"/>
      <c r="P210" s="9"/>
      <c r="Q210" s="9"/>
      <c r="R210" s="9"/>
      <c r="S210" s="42"/>
      <c r="T210" s="42"/>
      <c r="U210" s="42"/>
      <c r="V210" s="42"/>
      <c r="W210" s="42"/>
      <c r="X210" s="42"/>
      <c r="Y210" s="42"/>
      <c r="Z210" s="42"/>
      <c r="AA210" s="42"/>
      <c r="AB210" s="42" t="str">
        <f>IFERROR(__xludf.DUMMYFUNCTION("""COMPUTED_VALUE"""),"allen institute")</f>
        <v>allen institute</v>
      </c>
      <c r="AC210" s="42" t="str">
        <f>IFERROR(__xludf.DUMMYFUNCTION("""COMPUTED_VALUE"""),"DHBA")</f>
        <v>DHBA</v>
      </c>
      <c r="AD210" s="42"/>
      <c r="AE210" s="42"/>
      <c r="AF210" s="9"/>
      <c r="AG210" s="9"/>
      <c r="AH210" s="42"/>
      <c r="AI210" s="42"/>
      <c r="AJ210" s="42"/>
      <c r="AK210" s="42"/>
      <c r="AL210" s="42"/>
      <c r="AM210" s="42"/>
      <c r="AN210" s="42"/>
      <c r="AO210" s="63" t="str">
        <f>IFERROR(__xludf.DUMMYFUNCTION("IF(ISBLANK(A210),,IF(ISBLANK(S210), A210&amp;"";"", TEXTJOIN(CHAR(10), TRUE, A210&amp;"";"", ARRAYFORMULA(VLOOKUP(SPLIT(S210, "";"" &amp; CHAR(10)), $A:$AO, 41, FALSE)))))"),"tCPa1o;")</f>
        <v>tCPa1o;</v>
      </c>
      <c r="AP210" s="89"/>
    </row>
    <row r="211">
      <c r="A211" s="151" t="str">
        <f>IFERROR(__xludf.DUMMYFUNCTION("""COMPUTED_VALUE"""),"tCPa1i")</f>
        <v>tCPa1i</v>
      </c>
      <c r="B211" s="42" t="str">
        <f>IFERROR(__xludf.DUMMYFUNCTION("""COMPUTED_VALUE"""),"DHBA")</f>
        <v>DHBA</v>
      </c>
      <c r="C211" s="42" t="str">
        <f>IFERROR(__xludf.DUMMYFUNCTION("""COMPUTED_VALUE"""),"inner CP in primary auditory cortex")</f>
        <v>inner CP in primary auditory cortex</v>
      </c>
      <c r="D211" s="42">
        <f>IFERROR(__xludf.DUMMYFUNCTION("""COMPUTED_VALUE"""),177.0)</f>
        <v>177</v>
      </c>
      <c r="E211" s="39" t="str">
        <f>IFERROR(__xludf.DUMMYFUNCTION("""COMPUTED_VALUE"""),"inner CP in primary auditory cortex")</f>
        <v>inner CP in primary auditory cortex</v>
      </c>
      <c r="F211" s="9" t="str">
        <f>IFERROR(__xludf.DUMMYFUNCTION("""COMPUTED_VALUE"""),"Br")</f>
        <v>Br</v>
      </c>
      <c r="G211" s="9" t="str">
        <f>IFERROR(__xludf.DUMMYFUNCTION("""COMPUTED_VALUE"""),"F")</f>
        <v>F</v>
      </c>
      <c r="H211" s="9" t="str">
        <f>IFERROR(__xludf.DUMMYFUNCTION("""COMPUTED_VALUE"""),"FGM")</f>
        <v>FGM</v>
      </c>
      <c r="I211" s="9" t="str">
        <f>IFERROR(__xludf.DUMMYFUNCTION("""COMPUTED_VALUE"""),"FTS")</f>
        <v>FTS</v>
      </c>
      <c r="J211" s="9" t="str">
        <f>IFERROR(__xludf.DUMMYFUNCTION("""COMPUTED_VALUE"""),"CP")</f>
        <v>CP</v>
      </c>
      <c r="K211" s="9" t="str">
        <f>IFERROR(__xludf.DUMMYFUNCTION("""COMPUTED_VALUE"""),"tCP")</f>
        <v>tCP</v>
      </c>
      <c r="L211" s="9" t="str">
        <f>IFERROR(__xludf.DUMMYFUNCTION("""COMPUTED_VALUE"""),"tCPdl")</f>
        <v>tCPdl</v>
      </c>
      <c r="M211" s="9" t="str">
        <f>IFERROR(__xludf.DUMMYFUNCTION("""COMPUTED_VALUE"""),"tCPa1")</f>
        <v>tCPa1</v>
      </c>
      <c r="N211" s="9" t="str">
        <f>IFERROR(__xludf.DUMMYFUNCTION("""COMPUTED_VALUE"""),"tCPa1i")</f>
        <v>tCPa1i</v>
      </c>
      <c r="O211" s="9"/>
      <c r="P211" s="9"/>
      <c r="Q211" s="9"/>
      <c r="R211" s="9"/>
      <c r="S211" s="42"/>
      <c r="T211" s="42"/>
      <c r="U211" s="42"/>
      <c r="V211" s="42"/>
      <c r="W211" s="42"/>
      <c r="X211" s="42"/>
      <c r="Y211" s="42"/>
      <c r="Z211" s="42"/>
      <c r="AA211" s="42"/>
      <c r="AB211" s="42" t="str">
        <f>IFERROR(__xludf.DUMMYFUNCTION("""COMPUTED_VALUE"""),"allen institute")</f>
        <v>allen institute</v>
      </c>
      <c r="AC211" s="42" t="str">
        <f>IFERROR(__xludf.DUMMYFUNCTION("""COMPUTED_VALUE"""),"DHBA")</f>
        <v>DHBA</v>
      </c>
      <c r="AD211" s="42"/>
      <c r="AE211" s="42"/>
      <c r="AF211" s="9"/>
      <c r="AG211" s="9"/>
      <c r="AH211" s="42"/>
      <c r="AI211" s="42"/>
      <c r="AJ211" s="42"/>
      <c r="AK211" s="42"/>
      <c r="AL211" s="42"/>
      <c r="AM211" s="42"/>
      <c r="AN211" s="42"/>
      <c r="AO211" s="63" t="str">
        <f>IFERROR(__xludf.DUMMYFUNCTION("IF(ISBLANK(A211),,IF(ISBLANK(S211), A211&amp;"";"", TEXTJOIN(CHAR(10), TRUE, A211&amp;"";"", ARRAYFORMULA(VLOOKUP(SPLIT(S211, "";"" &amp; CHAR(10)), $A:$AO, 41, FALSE)))))"),"tCPa1i;")</f>
        <v>tCPa1i;</v>
      </c>
      <c r="AP211" s="89"/>
    </row>
    <row r="212">
      <c r="A212" s="151" t="str">
        <f>IFERROR(__xludf.DUMMYFUNCTION("""COMPUTED_VALUE"""),"tCPsl")</f>
        <v>tCPsl</v>
      </c>
      <c r="B212" s="42" t="str">
        <f>IFERROR(__xludf.DUMMYFUNCTION("""COMPUTED_VALUE"""),"DHBA")</f>
        <v>DHBA</v>
      </c>
      <c r="C212" s="42" t="str">
        <f>IFERROR(__xludf.DUMMYFUNCTION("""COMPUTED_VALUE"""),"CP in superolateral temporal cortex")</f>
        <v>CP in superolateral temporal cortex</v>
      </c>
      <c r="D212" s="42">
        <f>IFERROR(__xludf.DUMMYFUNCTION("""COMPUTED_VALUE"""),178.0)</f>
        <v>178</v>
      </c>
      <c r="E212" s="39" t="str">
        <f>IFERROR(__xludf.DUMMYFUNCTION("""COMPUTED_VALUE"""),"CP in superolateral temporal cortex")</f>
        <v>CP in superolateral temporal cortex</v>
      </c>
      <c r="F212" s="9" t="str">
        <f>IFERROR(__xludf.DUMMYFUNCTION("""COMPUTED_VALUE"""),"Br")</f>
        <v>Br</v>
      </c>
      <c r="G212" s="9" t="str">
        <f>IFERROR(__xludf.DUMMYFUNCTION("""COMPUTED_VALUE"""),"F")</f>
        <v>F</v>
      </c>
      <c r="H212" s="9" t="str">
        <f>IFERROR(__xludf.DUMMYFUNCTION("""COMPUTED_VALUE"""),"FGM")</f>
        <v>FGM</v>
      </c>
      <c r="I212" s="9" t="str">
        <f>IFERROR(__xludf.DUMMYFUNCTION("""COMPUTED_VALUE"""),"FTS")</f>
        <v>FTS</v>
      </c>
      <c r="J212" s="9" t="str">
        <f>IFERROR(__xludf.DUMMYFUNCTION("""COMPUTED_VALUE"""),"CP")</f>
        <v>CP</v>
      </c>
      <c r="K212" s="9" t="str">
        <f>IFERROR(__xludf.DUMMYFUNCTION("""COMPUTED_VALUE"""),"tCP")</f>
        <v>tCP</v>
      </c>
      <c r="L212" s="9" t="str">
        <f>IFERROR(__xludf.DUMMYFUNCTION("""COMPUTED_VALUE"""),"tCPdl")</f>
        <v>tCPdl</v>
      </c>
      <c r="M212" s="9" t="str">
        <f>IFERROR(__xludf.DUMMYFUNCTION("""COMPUTED_VALUE"""),"tCPsl")</f>
        <v>tCPsl</v>
      </c>
      <c r="N212" s="9"/>
      <c r="O212" s="9"/>
      <c r="P212" s="9"/>
      <c r="Q212" s="9"/>
      <c r="R212" s="9"/>
      <c r="S212" s="42" t="str">
        <f>IFERROR(__xludf.DUMMYFUNCTION("""COMPUTED_VALUE"""),"tCPslo;
tCPsli")</f>
        <v>tCPslo;
tCPsli</v>
      </c>
      <c r="T212" s="42"/>
      <c r="U212" s="42" t="b">
        <f>IFERROR(__xludf.DUMMYFUNCTION("""COMPUTED_VALUE"""),FALSE)</f>
        <v>0</v>
      </c>
      <c r="V212" s="42"/>
      <c r="W212" s="42"/>
      <c r="X212" s="42"/>
      <c r="Y212" s="42"/>
      <c r="Z212" s="42"/>
      <c r="AA212" s="42"/>
      <c r="AB212" s="42" t="str">
        <f>IFERROR(__xludf.DUMMYFUNCTION("""COMPUTED_VALUE"""),"allen institute")</f>
        <v>allen institute</v>
      </c>
      <c r="AC212" s="42" t="str">
        <f>IFERROR(__xludf.DUMMYFUNCTION("""COMPUTED_VALUE"""),"DHBA")</f>
        <v>DHBA</v>
      </c>
      <c r="AD212" s="42"/>
      <c r="AE212" s="42"/>
      <c r="AF212" s="9"/>
      <c r="AG212" s="9"/>
      <c r="AH212" s="42"/>
      <c r="AI212" s="42"/>
      <c r="AJ212" s="42"/>
      <c r="AK212" s="42"/>
      <c r="AL212" s="42"/>
      <c r="AM212" s="42"/>
      <c r="AN212" s="42"/>
      <c r="AO212" s="63" t="str">
        <f>IFERROR(__xludf.DUMMYFUNCTION("IF(ISBLANK(A212),,IF(ISBLANK(S212), A212&amp;"";"", TEXTJOIN(CHAR(10), TRUE, A212&amp;"";"", ARRAYFORMULA(VLOOKUP(SPLIT(S212, "";"" &amp; CHAR(10)), $A:$AO, 41, FALSE)))))"),"tCPsl;
tCPslo;
tCPsli;")</f>
        <v>tCPsl;
tCPslo;
tCPsli;</v>
      </c>
      <c r="AP212" s="89"/>
    </row>
    <row r="213">
      <c r="A213" s="151" t="str">
        <f>IFERROR(__xludf.DUMMYFUNCTION("""COMPUTED_VALUE"""),"tCPslo")</f>
        <v>tCPslo</v>
      </c>
      <c r="B213" s="42" t="str">
        <f>IFERROR(__xludf.DUMMYFUNCTION("""COMPUTED_VALUE"""),"DHBA")</f>
        <v>DHBA</v>
      </c>
      <c r="C213" s="42" t="str">
        <f>IFERROR(__xludf.DUMMYFUNCTION("""COMPUTED_VALUE"""),"outer CP in superolateral temporal cortex")</f>
        <v>outer CP in superolateral temporal cortex</v>
      </c>
      <c r="D213" s="42">
        <f>IFERROR(__xludf.DUMMYFUNCTION("""COMPUTED_VALUE"""),179.0)</f>
        <v>179</v>
      </c>
      <c r="E213" s="39" t="str">
        <f>IFERROR(__xludf.DUMMYFUNCTION("""COMPUTED_VALUE"""),"outer CP in superolateral temporal cortex")</f>
        <v>outer CP in superolateral temporal cortex</v>
      </c>
      <c r="F213" s="9" t="str">
        <f>IFERROR(__xludf.DUMMYFUNCTION("""COMPUTED_VALUE"""),"Br")</f>
        <v>Br</v>
      </c>
      <c r="G213" s="9" t="str">
        <f>IFERROR(__xludf.DUMMYFUNCTION("""COMPUTED_VALUE"""),"F")</f>
        <v>F</v>
      </c>
      <c r="H213" s="9" t="str">
        <f>IFERROR(__xludf.DUMMYFUNCTION("""COMPUTED_VALUE"""),"FGM")</f>
        <v>FGM</v>
      </c>
      <c r="I213" s="9" t="str">
        <f>IFERROR(__xludf.DUMMYFUNCTION("""COMPUTED_VALUE"""),"FTS")</f>
        <v>FTS</v>
      </c>
      <c r="J213" s="9" t="str">
        <f>IFERROR(__xludf.DUMMYFUNCTION("""COMPUTED_VALUE"""),"CP")</f>
        <v>CP</v>
      </c>
      <c r="K213" s="9" t="str">
        <f>IFERROR(__xludf.DUMMYFUNCTION("""COMPUTED_VALUE"""),"tCP")</f>
        <v>tCP</v>
      </c>
      <c r="L213" s="9" t="str">
        <f>IFERROR(__xludf.DUMMYFUNCTION("""COMPUTED_VALUE"""),"tCPdl")</f>
        <v>tCPdl</v>
      </c>
      <c r="M213" s="9" t="str">
        <f>IFERROR(__xludf.DUMMYFUNCTION("""COMPUTED_VALUE"""),"tCPsl")</f>
        <v>tCPsl</v>
      </c>
      <c r="N213" s="9" t="str">
        <f>IFERROR(__xludf.DUMMYFUNCTION("""COMPUTED_VALUE"""),"tCPslo")</f>
        <v>tCPslo</v>
      </c>
      <c r="O213" s="9"/>
      <c r="P213" s="9"/>
      <c r="Q213" s="9"/>
      <c r="R213" s="9"/>
      <c r="S213" s="42"/>
      <c r="T213" s="42"/>
      <c r="U213" s="42"/>
      <c r="V213" s="42"/>
      <c r="W213" s="42"/>
      <c r="X213" s="42"/>
      <c r="Y213" s="42"/>
      <c r="Z213" s="42"/>
      <c r="AA213" s="42"/>
      <c r="AB213" s="42" t="str">
        <f>IFERROR(__xludf.DUMMYFUNCTION("""COMPUTED_VALUE"""),"allen institute")</f>
        <v>allen institute</v>
      </c>
      <c r="AC213" s="42" t="str">
        <f>IFERROR(__xludf.DUMMYFUNCTION("""COMPUTED_VALUE"""),"DHBA")</f>
        <v>DHBA</v>
      </c>
      <c r="AD213" s="42"/>
      <c r="AE213" s="42"/>
      <c r="AF213" s="9"/>
      <c r="AG213" s="9"/>
      <c r="AH213" s="42"/>
      <c r="AI213" s="42"/>
      <c r="AJ213" s="42"/>
      <c r="AK213" s="42"/>
      <c r="AL213" s="42"/>
      <c r="AM213" s="42"/>
      <c r="AN213" s="42"/>
      <c r="AO213" s="63" t="str">
        <f>IFERROR(__xludf.DUMMYFUNCTION("IF(ISBLANK(A213),,IF(ISBLANK(S213), A213&amp;"";"", TEXTJOIN(CHAR(10), TRUE, A213&amp;"";"", ARRAYFORMULA(VLOOKUP(SPLIT(S213, "";"" &amp; CHAR(10)), $A:$AO, 41, FALSE)))))"),"tCPslo;")</f>
        <v>tCPslo;</v>
      </c>
      <c r="AP213" s="89"/>
    </row>
    <row r="214">
      <c r="A214" s="151" t="str">
        <f>IFERROR(__xludf.DUMMYFUNCTION("""COMPUTED_VALUE"""),"tCPsli")</f>
        <v>tCPsli</v>
      </c>
      <c r="B214" s="42" t="str">
        <f>IFERROR(__xludf.DUMMYFUNCTION("""COMPUTED_VALUE"""),"DHBA")</f>
        <v>DHBA</v>
      </c>
      <c r="C214" s="42" t="str">
        <f>IFERROR(__xludf.DUMMYFUNCTION("""COMPUTED_VALUE"""),"inner CP in superolateral temporal cortex")</f>
        <v>inner CP in superolateral temporal cortex</v>
      </c>
      <c r="D214" s="42">
        <f>IFERROR(__xludf.DUMMYFUNCTION("""COMPUTED_VALUE"""),180.0)</f>
        <v>180</v>
      </c>
      <c r="E214" s="39" t="str">
        <f>IFERROR(__xludf.DUMMYFUNCTION("""COMPUTED_VALUE"""),"inner CP in superolateral temporal cortex")</f>
        <v>inner CP in superolateral temporal cortex</v>
      </c>
      <c r="F214" s="9" t="str">
        <f>IFERROR(__xludf.DUMMYFUNCTION("""COMPUTED_VALUE"""),"Br")</f>
        <v>Br</v>
      </c>
      <c r="G214" s="9" t="str">
        <f>IFERROR(__xludf.DUMMYFUNCTION("""COMPUTED_VALUE"""),"F")</f>
        <v>F</v>
      </c>
      <c r="H214" s="9" t="str">
        <f>IFERROR(__xludf.DUMMYFUNCTION("""COMPUTED_VALUE"""),"FGM")</f>
        <v>FGM</v>
      </c>
      <c r="I214" s="9" t="str">
        <f>IFERROR(__xludf.DUMMYFUNCTION("""COMPUTED_VALUE"""),"FTS")</f>
        <v>FTS</v>
      </c>
      <c r="J214" s="9" t="str">
        <f>IFERROR(__xludf.DUMMYFUNCTION("""COMPUTED_VALUE"""),"CP")</f>
        <v>CP</v>
      </c>
      <c r="K214" s="9" t="str">
        <f>IFERROR(__xludf.DUMMYFUNCTION("""COMPUTED_VALUE"""),"tCP")</f>
        <v>tCP</v>
      </c>
      <c r="L214" s="9" t="str">
        <f>IFERROR(__xludf.DUMMYFUNCTION("""COMPUTED_VALUE"""),"tCPdl")</f>
        <v>tCPdl</v>
      </c>
      <c r="M214" s="9" t="str">
        <f>IFERROR(__xludf.DUMMYFUNCTION("""COMPUTED_VALUE"""),"tCPsl")</f>
        <v>tCPsl</v>
      </c>
      <c r="N214" s="9" t="str">
        <f>IFERROR(__xludf.DUMMYFUNCTION("""COMPUTED_VALUE"""),"tCPsli")</f>
        <v>tCPsli</v>
      </c>
      <c r="O214" s="9"/>
      <c r="P214" s="9"/>
      <c r="Q214" s="9"/>
      <c r="R214" s="9"/>
      <c r="S214" s="42"/>
      <c r="T214" s="42"/>
      <c r="U214" s="42"/>
      <c r="V214" s="42"/>
      <c r="W214" s="42"/>
      <c r="X214" s="42"/>
      <c r="Y214" s="42"/>
      <c r="Z214" s="42"/>
      <c r="AA214" s="42"/>
      <c r="AB214" s="42" t="str">
        <f>IFERROR(__xludf.DUMMYFUNCTION("""COMPUTED_VALUE"""),"allen institute")</f>
        <v>allen institute</v>
      </c>
      <c r="AC214" s="42" t="str">
        <f>IFERROR(__xludf.DUMMYFUNCTION("""COMPUTED_VALUE"""),"DHBA")</f>
        <v>DHBA</v>
      </c>
      <c r="AD214" s="42"/>
      <c r="AE214" s="42"/>
      <c r="AF214" s="9"/>
      <c r="AG214" s="9"/>
      <c r="AH214" s="42"/>
      <c r="AI214" s="42"/>
      <c r="AJ214" s="42"/>
      <c r="AK214" s="42"/>
      <c r="AL214" s="42"/>
      <c r="AM214" s="42"/>
      <c r="AN214" s="42"/>
      <c r="AO214" s="63" t="str">
        <f>IFERROR(__xludf.DUMMYFUNCTION("IF(ISBLANK(A214),,IF(ISBLANK(S214), A214&amp;"";"", TEXTJOIN(CHAR(10), TRUE, A214&amp;"";"", ARRAYFORMULA(VLOOKUP(SPLIT(S214, "";"" &amp; CHAR(10)), $A:$AO, 41, FALSE)))))"),"tCPsli;")</f>
        <v>tCPsli;</v>
      </c>
      <c r="AP214" s="89"/>
    </row>
    <row r="215">
      <c r="A215" s="151" t="str">
        <f>IFERROR(__xludf.DUMMYFUNCTION("""COMPUTED_VALUE"""),"tCPps")</f>
        <v>tCPps</v>
      </c>
      <c r="B215" s="42" t="str">
        <f>IFERROR(__xludf.DUMMYFUNCTION("""COMPUTED_VALUE"""),"DHBA")</f>
        <v>DHBA</v>
      </c>
      <c r="C215" s="42" t="str">
        <f>IFERROR(__xludf.DUMMYFUNCTION("""COMPUTED_VALUE"""),"CP in polysensory temporal cortex")</f>
        <v>CP in polysensory temporal cortex</v>
      </c>
      <c r="D215" s="42">
        <f>IFERROR(__xludf.DUMMYFUNCTION("""COMPUTED_VALUE"""),181.0)</f>
        <v>181</v>
      </c>
      <c r="E215" s="39" t="str">
        <f>IFERROR(__xludf.DUMMYFUNCTION("""COMPUTED_VALUE"""),"CP in polysensory temporal cortex")</f>
        <v>CP in polysensory temporal cortex</v>
      </c>
      <c r="F215" s="9" t="str">
        <f>IFERROR(__xludf.DUMMYFUNCTION("""COMPUTED_VALUE"""),"Br")</f>
        <v>Br</v>
      </c>
      <c r="G215" s="9" t="str">
        <f>IFERROR(__xludf.DUMMYFUNCTION("""COMPUTED_VALUE"""),"F")</f>
        <v>F</v>
      </c>
      <c r="H215" s="9" t="str">
        <f>IFERROR(__xludf.DUMMYFUNCTION("""COMPUTED_VALUE"""),"FGM")</f>
        <v>FGM</v>
      </c>
      <c r="I215" s="9" t="str">
        <f>IFERROR(__xludf.DUMMYFUNCTION("""COMPUTED_VALUE"""),"FTS")</f>
        <v>FTS</v>
      </c>
      <c r="J215" s="9" t="str">
        <f>IFERROR(__xludf.DUMMYFUNCTION("""COMPUTED_VALUE"""),"CP")</f>
        <v>CP</v>
      </c>
      <c r="K215" s="9" t="str">
        <f>IFERROR(__xludf.DUMMYFUNCTION("""COMPUTED_VALUE"""),"tCP")</f>
        <v>tCP</v>
      </c>
      <c r="L215" s="9" t="str">
        <f>IFERROR(__xludf.DUMMYFUNCTION("""COMPUTED_VALUE"""),"tCPdl")</f>
        <v>tCPdl</v>
      </c>
      <c r="M215" s="9" t="str">
        <f>IFERROR(__xludf.DUMMYFUNCTION("""COMPUTED_VALUE"""),"tCPps")</f>
        <v>tCPps</v>
      </c>
      <c r="N215" s="9"/>
      <c r="O215" s="9"/>
      <c r="P215" s="9"/>
      <c r="Q215" s="9"/>
      <c r="R215" s="9"/>
      <c r="S215" s="42"/>
      <c r="T215" s="42"/>
      <c r="U215" s="42"/>
      <c r="V215" s="42"/>
      <c r="W215" s="42"/>
      <c r="X215" s="42"/>
      <c r="Y215" s="42"/>
      <c r="Z215" s="42"/>
      <c r="AA215" s="42"/>
      <c r="AB215" s="42" t="str">
        <f>IFERROR(__xludf.DUMMYFUNCTION("""COMPUTED_VALUE"""),"allen institute")</f>
        <v>allen institute</v>
      </c>
      <c r="AC215" s="42" t="str">
        <f>IFERROR(__xludf.DUMMYFUNCTION("""COMPUTED_VALUE"""),"DHBA")</f>
        <v>DHBA</v>
      </c>
      <c r="AD215" s="42"/>
      <c r="AE215" s="42"/>
      <c r="AF215" s="9"/>
      <c r="AG215" s="9"/>
      <c r="AH215" s="42"/>
      <c r="AI215" s="42"/>
      <c r="AJ215" s="42"/>
      <c r="AK215" s="42"/>
      <c r="AL215" s="42"/>
      <c r="AM215" s="42"/>
      <c r="AN215" s="42"/>
      <c r="AO215" s="63" t="str">
        <f>IFERROR(__xludf.DUMMYFUNCTION("IF(ISBLANK(A215),,IF(ISBLANK(S215), A215&amp;"";"", TEXTJOIN(CHAR(10), TRUE, A215&amp;"";"", ARRAYFORMULA(VLOOKUP(SPLIT(S215, "";"" &amp; CHAR(10)), $A:$AO, 41, FALSE)))))"),"tCPps;")</f>
        <v>tCPps;</v>
      </c>
      <c r="AP215" s="89"/>
    </row>
    <row r="216">
      <c r="A216" s="151" t="str">
        <f>IFERROR(__xludf.DUMMYFUNCTION("""COMPUTED_VALUE"""),"tCPpi")</f>
        <v>tCPpi</v>
      </c>
      <c r="B216" s="42" t="str">
        <f>IFERROR(__xludf.DUMMYFUNCTION("""COMPUTED_VALUE"""),"DHBA")</f>
        <v>DHBA</v>
      </c>
      <c r="C216" s="42" t="str">
        <f>IFERROR(__xludf.DUMMYFUNCTION("""COMPUTED_VALUE"""),"CP in parainsualr temporal cortex")</f>
        <v>CP in parainsualr temporal cortex</v>
      </c>
      <c r="D216" s="42">
        <f>IFERROR(__xludf.DUMMYFUNCTION("""COMPUTED_VALUE"""),182.0)</f>
        <v>182</v>
      </c>
      <c r="E216" s="39" t="str">
        <f>IFERROR(__xludf.DUMMYFUNCTION("""COMPUTED_VALUE"""),"CP in parainsualr temporal cortex")</f>
        <v>CP in parainsualr temporal cortex</v>
      </c>
      <c r="F216" s="9" t="str">
        <f>IFERROR(__xludf.DUMMYFUNCTION("""COMPUTED_VALUE"""),"Br")</f>
        <v>Br</v>
      </c>
      <c r="G216" s="9" t="str">
        <f>IFERROR(__xludf.DUMMYFUNCTION("""COMPUTED_VALUE"""),"F")</f>
        <v>F</v>
      </c>
      <c r="H216" s="9" t="str">
        <f>IFERROR(__xludf.DUMMYFUNCTION("""COMPUTED_VALUE"""),"FGM")</f>
        <v>FGM</v>
      </c>
      <c r="I216" s="9" t="str">
        <f>IFERROR(__xludf.DUMMYFUNCTION("""COMPUTED_VALUE"""),"FTS")</f>
        <v>FTS</v>
      </c>
      <c r="J216" s="9" t="str">
        <f>IFERROR(__xludf.DUMMYFUNCTION("""COMPUTED_VALUE"""),"CP")</f>
        <v>CP</v>
      </c>
      <c r="K216" s="9" t="str">
        <f>IFERROR(__xludf.DUMMYFUNCTION("""COMPUTED_VALUE"""),"tCP")</f>
        <v>tCP</v>
      </c>
      <c r="L216" s="9" t="str">
        <f>IFERROR(__xludf.DUMMYFUNCTION("""COMPUTED_VALUE"""),"tCPdl")</f>
        <v>tCPdl</v>
      </c>
      <c r="M216" s="9" t="str">
        <f>IFERROR(__xludf.DUMMYFUNCTION("""COMPUTED_VALUE"""),"tCPpi")</f>
        <v>tCPpi</v>
      </c>
      <c r="N216" s="9"/>
      <c r="O216" s="9"/>
      <c r="P216" s="9"/>
      <c r="Q216" s="9"/>
      <c r="R216" s="9"/>
      <c r="S216" s="42"/>
      <c r="T216" s="42"/>
      <c r="U216" s="42"/>
      <c r="V216" s="42"/>
      <c r="W216" s="42"/>
      <c r="X216" s="42"/>
      <c r="Y216" s="42"/>
      <c r="Z216" s="42"/>
      <c r="AA216" s="42"/>
      <c r="AB216" s="42" t="str">
        <f>IFERROR(__xludf.DUMMYFUNCTION("""COMPUTED_VALUE"""),"allen institute")</f>
        <v>allen institute</v>
      </c>
      <c r="AC216" s="42" t="str">
        <f>IFERROR(__xludf.DUMMYFUNCTION("""COMPUTED_VALUE"""),"DHBA")</f>
        <v>DHBA</v>
      </c>
      <c r="AD216" s="42"/>
      <c r="AE216" s="42"/>
      <c r="AF216" s="9"/>
      <c r="AG216" s="9"/>
      <c r="AH216" s="42"/>
      <c r="AI216" s="42"/>
      <c r="AJ216" s="42"/>
      <c r="AK216" s="42"/>
      <c r="AL216" s="42"/>
      <c r="AM216" s="42"/>
      <c r="AN216" s="42"/>
      <c r="AO216" s="63" t="str">
        <f>IFERROR(__xludf.DUMMYFUNCTION("IF(ISBLANK(A216),,IF(ISBLANK(S216), A216&amp;"";"", TEXTJOIN(CHAR(10), TRUE, A216&amp;"";"", ARRAYFORMULA(VLOOKUP(SPLIT(S216, "";"" &amp; CHAR(10)), $A:$AO, 41, FALSE)))))"),"tCPpi;")</f>
        <v>tCPpi;</v>
      </c>
      <c r="AP216" s="89"/>
    </row>
    <row r="217">
      <c r="A217" s="151" t="str">
        <f>IFERROR(__xludf.DUMMYFUNCTION("""COMPUTED_VALUE"""),"tCPvl")</f>
        <v>tCPvl</v>
      </c>
      <c r="B217" s="42" t="str">
        <f>IFERROR(__xludf.DUMMYFUNCTION("""COMPUTED_VALUE"""),"DHBA")</f>
        <v>DHBA</v>
      </c>
      <c r="C217" s="42" t="str">
        <f>IFERROR(__xludf.DUMMYFUNCTION("""COMPUTED_VALUE"""),"CP in ventrolateral temporal cortex")</f>
        <v>CP in ventrolateral temporal cortex</v>
      </c>
      <c r="D217" s="42">
        <f>IFERROR(__xludf.DUMMYFUNCTION("""COMPUTED_VALUE"""),183.0)</f>
        <v>183</v>
      </c>
      <c r="E217" s="39" t="str">
        <f>IFERROR(__xludf.DUMMYFUNCTION("""COMPUTED_VALUE"""),"CP in ventrolateral temporal cortex")</f>
        <v>CP in ventrolateral temporal cortex</v>
      </c>
      <c r="F217" s="9" t="str">
        <f>IFERROR(__xludf.DUMMYFUNCTION("""COMPUTED_VALUE"""),"Br")</f>
        <v>Br</v>
      </c>
      <c r="G217" s="9" t="str">
        <f>IFERROR(__xludf.DUMMYFUNCTION("""COMPUTED_VALUE"""),"F")</f>
        <v>F</v>
      </c>
      <c r="H217" s="9" t="str">
        <f>IFERROR(__xludf.DUMMYFUNCTION("""COMPUTED_VALUE"""),"FGM")</f>
        <v>FGM</v>
      </c>
      <c r="I217" s="9" t="str">
        <f>IFERROR(__xludf.DUMMYFUNCTION("""COMPUTED_VALUE"""),"FTS")</f>
        <v>FTS</v>
      </c>
      <c r="J217" s="9" t="str">
        <f>IFERROR(__xludf.DUMMYFUNCTION("""COMPUTED_VALUE"""),"CP")</f>
        <v>CP</v>
      </c>
      <c r="K217" s="9" t="str">
        <f>IFERROR(__xludf.DUMMYFUNCTION("""COMPUTED_VALUE"""),"tCP")</f>
        <v>tCP</v>
      </c>
      <c r="L217" s="9" t="str">
        <f>IFERROR(__xludf.DUMMYFUNCTION("""COMPUTED_VALUE"""),"tCPvl")</f>
        <v>tCPvl</v>
      </c>
      <c r="M217" s="9"/>
      <c r="N217" s="9"/>
      <c r="O217" s="9"/>
      <c r="P217" s="9"/>
      <c r="Q217" s="9"/>
      <c r="R217" s="9"/>
      <c r="S217" s="42" t="str">
        <f>IFERROR(__xludf.DUMMYFUNCTION("""COMPUTED_VALUE"""),"tCPml;
tCPil;
tCPmi")</f>
        <v>tCPml;
tCPil;
tCPmi</v>
      </c>
      <c r="T217" s="42"/>
      <c r="U217" s="42" t="b">
        <f>IFERROR(__xludf.DUMMYFUNCTION("""COMPUTED_VALUE"""),FALSE)</f>
        <v>0</v>
      </c>
      <c r="V217" s="42"/>
      <c r="W217" s="42"/>
      <c r="X217" s="42"/>
      <c r="Y217" s="42"/>
      <c r="Z217" s="42"/>
      <c r="AA217" s="42"/>
      <c r="AB217" s="42" t="str">
        <f>IFERROR(__xludf.DUMMYFUNCTION("""COMPUTED_VALUE"""),"allen institute")</f>
        <v>allen institute</v>
      </c>
      <c r="AC217" s="42" t="str">
        <f>IFERROR(__xludf.DUMMYFUNCTION("""COMPUTED_VALUE"""),"DHBA")</f>
        <v>DHBA</v>
      </c>
      <c r="AD217" s="42"/>
      <c r="AE217" s="42"/>
      <c r="AF217" s="9"/>
      <c r="AG217" s="9"/>
      <c r="AH217" s="42"/>
      <c r="AI217" s="42"/>
      <c r="AJ217" s="42"/>
      <c r="AK217" s="42"/>
      <c r="AL217" s="42"/>
      <c r="AM217" s="42"/>
      <c r="AN217" s="42"/>
      <c r="AO217" s="63" t="str">
        <f>IFERROR(__xludf.DUMMYFUNCTION("IF(ISBLANK(A217),,IF(ISBLANK(S217), A217&amp;"";"", TEXTJOIN(CHAR(10), TRUE, A217&amp;"";"", ARRAYFORMULA(VLOOKUP(SPLIT(S217, "";"" &amp; CHAR(10)), $A:$AO, 41, FALSE)))))"),"tCPvl;
tCPml;
tCPil;
tCPilo;
tCPili;
tCPmi;
tCPmio;
tCPmii;
tCP36;
tCP36o;
tCP36i;
tCPtf;
tCPtfo;
tCPtfi;")</f>
        <v>tCPvl;
tCPml;
tCPil;
tCPilo;
tCPili;
tCPmi;
tCPmio;
tCPmii;
tCP36;
tCP36o;
tCP36i;
tCPtf;
tCPtfo;
tCPtfi;</v>
      </c>
      <c r="AP217" s="89"/>
    </row>
    <row r="218">
      <c r="A218" s="151" t="str">
        <f>IFERROR(__xludf.DUMMYFUNCTION("""COMPUTED_VALUE"""),"tCPml")</f>
        <v>tCPml</v>
      </c>
      <c r="B218" s="42" t="str">
        <f>IFERROR(__xludf.DUMMYFUNCTION("""COMPUTED_VALUE"""),"DHBA")</f>
        <v>DHBA</v>
      </c>
      <c r="C218" s="42" t="str">
        <f>IFERROR(__xludf.DUMMYFUNCTION("""COMPUTED_VALUE"""),"CP in midlateral temporal cortex")</f>
        <v>CP in midlateral temporal cortex</v>
      </c>
      <c r="D218" s="42">
        <f>IFERROR(__xludf.DUMMYFUNCTION("""COMPUTED_VALUE"""),184.0)</f>
        <v>184</v>
      </c>
      <c r="E218" s="39" t="str">
        <f>IFERROR(__xludf.DUMMYFUNCTION("""COMPUTED_VALUE"""),"CP in midlateral temporal cortex")</f>
        <v>CP in midlateral temporal cortex</v>
      </c>
      <c r="F218" s="9" t="str">
        <f>IFERROR(__xludf.DUMMYFUNCTION("""COMPUTED_VALUE"""),"Br")</f>
        <v>Br</v>
      </c>
      <c r="G218" s="9" t="str">
        <f>IFERROR(__xludf.DUMMYFUNCTION("""COMPUTED_VALUE"""),"F")</f>
        <v>F</v>
      </c>
      <c r="H218" s="9" t="str">
        <f>IFERROR(__xludf.DUMMYFUNCTION("""COMPUTED_VALUE"""),"FGM")</f>
        <v>FGM</v>
      </c>
      <c r="I218" s="9" t="str">
        <f>IFERROR(__xludf.DUMMYFUNCTION("""COMPUTED_VALUE"""),"FTS")</f>
        <v>FTS</v>
      </c>
      <c r="J218" s="9" t="str">
        <f>IFERROR(__xludf.DUMMYFUNCTION("""COMPUTED_VALUE"""),"CP")</f>
        <v>CP</v>
      </c>
      <c r="K218" s="9" t="str">
        <f>IFERROR(__xludf.DUMMYFUNCTION("""COMPUTED_VALUE"""),"tCP")</f>
        <v>tCP</v>
      </c>
      <c r="L218" s="9" t="str">
        <f>IFERROR(__xludf.DUMMYFUNCTION("""COMPUTED_VALUE"""),"tCPvl")</f>
        <v>tCPvl</v>
      </c>
      <c r="M218" s="9" t="str">
        <f>IFERROR(__xludf.DUMMYFUNCTION("""COMPUTED_VALUE"""),"tCPml")</f>
        <v>tCPml</v>
      </c>
      <c r="N218" s="9"/>
      <c r="O218" s="9"/>
      <c r="P218" s="9"/>
      <c r="Q218" s="9"/>
      <c r="R218" s="9"/>
      <c r="S218" s="42"/>
      <c r="T218" s="42"/>
      <c r="U218" s="42"/>
      <c r="V218" s="42"/>
      <c r="W218" s="42"/>
      <c r="X218" s="42"/>
      <c r="Y218" s="42"/>
      <c r="Z218" s="42"/>
      <c r="AA218" s="42"/>
      <c r="AB218" s="42" t="str">
        <f>IFERROR(__xludf.DUMMYFUNCTION("""COMPUTED_VALUE"""),"allen institute")</f>
        <v>allen institute</v>
      </c>
      <c r="AC218" s="42" t="str">
        <f>IFERROR(__xludf.DUMMYFUNCTION("""COMPUTED_VALUE"""),"DHBA")</f>
        <v>DHBA</v>
      </c>
      <c r="AD218" s="42"/>
      <c r="AE218" s="42"/>
      <c r="AF218" s="9"/>
      <c r="AG218" s="9"/>
      <c r="AH218" s="42"/>
      <c r="AI218" s="42"/>
      <c r="AJ218" s="42"/>
      <c r="AK218" s="42"/>
      <c r="AL218" s="42"/>
      <c r="AM218" s="42"/>
      <c r="AN218" s="42"/>
      <c r="AO218" s="63" t="str">
        <f>IFERROR(__xludf.DUMMYFUNCTION("IF(ISBLANK(A218),,IF(ISBLANK(S218), A218&amp;"";"", TEXTJOIN(CHAR(10), TRUE, A218&amp;"";"", ARRAYFORMULA(VLOOKUP(SPLIT(S218, "";"" &amp; CHAR(10)), $A:$AO, 41, FALSE)))))"),"tCPml;")</f>
        <v>tCPml;</v>
      </c>
      <c r="AP218" s="89"/>
    </row>
    <row r="219">
      <c r="A219" s="151" t="str">
        <f>IFERROR(__xludf.DUMMYFUNCTION("""COMPUTED_VALUE"""),"tCPil")</f>
        <v>tCPil</v>
      </c>
      <c r="B219" s="42" t="str">
        <f>IFERROR(__xludf.DUMMYFUNCTION("""COMPUTED_VALUE"""),"DHBA")</f>
        <v>DHBA</v>
      </c>
      <c r="C219" s="42" t="str">
        <f>IFERROR(__xludf.DUMMYFUNCTION("""COMPUTED_VALUE"""),"CP in inferolateral temporal cortex")</f>
        <v>CP in inferolateral temporal cortex</v>
      </c>
      <c r="D219" s="42">
        <f>IFERROR(__xludf.DUMMYFUNCTION("""COMPUTED_VALUE"""),185.0)</f>
        <v>185</v>
      </c>
      <c r="E219" s="39" t="str">
        <f>IFERROR(__xludf.DUMMYFUNCTION("""COMPUTED_VALUE"""),"CP in inferolateral temporal cortex")</f>
        <v>CP in inferolateral temporal cortex</v>
      </c>
      <c r="F219" s="9" t="str">
        <f>IFERROR(__xludf.DUMMYFUNCTION("""COMPUTED_VALUE"""),"Br")</f>
        <v>Br</v>
      </c>
      <c r="G219" s="9" t="str">
        <f>IFERROR(__xludf.DUMMYFUNCTION("""COMPUTED_VALUE"""),"F")</f>
        <v>F</v>
      </c>
      <c r="H219" s="9" t="str">
        <f>IFERROR(__xludf.DUMMYFUNCTION("""COMPUTED_VALUE"""),"FGM")</f>
        <v>FGM</v>
      </c>
      <c r="I219" s="9" t="str">
        <f>IFERROR(__xludf.DUMMYFUNCTION("""COMPUTED_VALUE"""),"FTS")</f>
        <v>FTS</v>
      </c>
      <c r="J219" s="9" t="str">
        <f>IFERROR(__xludf.DUMMYFUNCTION("""COMPUTED_VALUE"""),"CP")</f>
        <v>CP</v>
      </c>
      <c r="K219" s="9" t="str">
        <f>IFERROR(__xludf.DUMMYFUNCTION("""COMPUTED_VALUE"""),"tCP")</f>
        <v>tCP</v>
      </c>
      <c r="L219" s="9" t="str">
        <f>IFERROR(__xludf.DUMMYFUNCTION("""COMPUTED_VALUE"""),"tCPvl")</f>
        <v>tCPvl</v>
      </c>
      <c r="M219" s="9" t="str">
        <f>IFERROR(__xludf.DUMMYFUNCTION("""COMPUTED_VALUE"""),"tCPil")</f>
        <v>tCPil</v>
      </c>
      <c r="N219" s="9"/>
      <c r="O219" s="9"/>
      <c r="P219" s="9"/>
      <c r="Q219" s="9"/>
      <c r="R219" s="9"/>
      <c r="S219" s="42" t="str">
        <f>IFERROR(__xludf.DUMMYFUNCTION("""COMPUTED_VALUE"""),"tCPilo;
tCPili")</f>
        <v>tCPilo;
tCPili</v>
      </c>
      <c r="T219" s="42"/>
      <c r="U219" s="42" t="b">
        <f>IFERROR(__xludf.DUMMYFUNCTION("""COMPUTED_VALUE"""),FALSE)</f>
        <v>0</v>
      </c>
      <c r="V219" s="42"/>
      <c r="W219" s="42"/>
      <c r="X219" s="42"/>
      <c r="Y219" s="42"/>
      <c r="Z219" s="42"/>
      <c r="AA219" s="42"/>
      <c r="AB219" s="42" t="str">
        <f>IFERROR(__xludf.DUMMYFUNCTION("""COMPUTED_VALUE"""),"allen institute")</f>
        <v>allen institute</v>
      </c>
      <c r="AC219" s="42" t="str">
        <f>IFERROR(__xludf.DUMMYFUNCTION("""COMPUTED_VALUE"""),"DHBA")</f>
        <v>DHBA</v>
      </c>
      <c r="AD219" s="42"/>
      <c r="AE219" s="42"/>
      <c r="AF219" s="9"/>
      <c r="AG219" s="9"/>
      <c r="AH219" s="42"/>
      <c r="AI219" s="42"/>
      <c r="AJ219" s="42"/>
      <c r="AK219" s="42"/>
      <c r="AL219" s="42"/>
      <c r="AM219" s="42"/>
      <c r="AN219" s="42"/>
      <c r="AO219" s="63" t="str">
        <f>IFERROR(__xludf.DUMMYFUNCTION("IF(ISBLANK(A219),,IF(ISBLANK(S219), A219&amp;"";"", TEXTJOIN(CHAR(10), TRUE, A219&amp;"";"", ARRAYFORMULA(VLOOKUP(SPLIT(S219, "";"" &amp; CHAR(10)), $A:$AO, 41, FALSE)))))"),"tCPil;
tCPilo;
tCPili;")</f>
        <v>tCPil;
tCPilo;
tCPili;</v>
      </c>
      <c r="AP219" s="89"/>
    </row>
    <row r="220">
      <c r="A220" s="151" t="str">
        <f>IFERROR(__xludf.DUMMYFUNCTION("""COMPUTED_VALUE"""),"tCPilo")</f>
        <v>tCPilo</v>
      </c>
      <c r="B220" s="42" t="str">
        <f>IFERROR(__xludf.DUMMYFUNCTION("""COMPUTED_VALUE"""),"DHBA")</f>
        <v>DHBA</v>
      </c>
      <c r="C220" s="42" t="str">
        <f>IFERROR(__xludf.DUMMYFUNCTION("""COMPUTED_VALUE"""),"outer CP in inferolateral temporal cortex")</f>
        <v>outer CP in inferolateral temporal cortex</v>
      </c>
      <c r="D220" s="42">
        <f>IFERROR(__xludf.DUMMYFUNCTION("""COMPUTED_VALUE"""),186.0)</f>
        <v>186</v>
      </c>
      <c r="E220" s="39" t="str">
        <f>IFERROR(__xludf.DUMMYFUNCTION("""COMPUTED_VALUE"""),"outer CP in inferolateral temporal cortex")</f>
        <v>outer CP in inferolateral temporal cortex</v>
      </c>
      <c r="F220" s="9" t="str">
        <f>IFERROR(__xludf.DUMMYFUNCTION("""COMPUTED_VALUE"""),"Br")</f>
        <v>Br</v>
      </c>
      <c r="G220" s="9" t="str">
        <f>IFERROR(__xludf.DUMMYFUNCTION("""COMPUTED_VALUE"""),"F")</f>
        <v>F</v>
      </c>
      <c r="H220" s="9" t="str">
        <f>IFERROR(__xludf.DUMMYFUNCTION("""COMPUTED_VALUE"""),"FGM")</f>
        <v>FGM</v>
      </c>
      <c r="I220" s="9" t="str">
        <f>IFERROR(__xludf.DUMMYFUNCTION("""COMPUTED_VALUE"""),"FTS")</f>
        <v>FTS</v>
      </c>
      <c r="J220" s="9" t="str">
        <f>IFERROR(__xludf.DUMMYFUNCTION("""COMPUTED_VALUE"""),"CP")</f>
        <v>CP</v>
      </c>
      <c r="K220" s="9" t="str">
        <f>IFERROR(__xludf.DUMMYFUNCTION("""COMPUTED_VALUE"""),"tCP")</f>
        <v>tCP</v>
      </c>
      <c r="L220" s="9" t="str">
        <f>IFERROR(__xludf.DUMMYFUNCTION("""COMPUTED_VALUE"""),"tCPvl")</f>
        <v>tCPvl</v>
      </c>
      <c r="M220" s="9" t="str">
        <f>IFERROR(__xludf.DUMMYFUNCTION("""COMPUTED_VALUE"""),"tCPil")</f>
        <v>tCPil</v>
      </c>
      <c r="N220" s="9" t="str">
        <f>IFERROR(__xludf.DUMMYFUNCTION("""COMPUTED_VALUE"""),"tCPilo")</f>
        <v>tCPilo</v>
      </c>
      <c r="O220" s="9"/>
      <c r="P220" s="9"/>
      <c r="Q220" s="9"/>
      <c r="R220" s="9"/>
      <c r="S220" s="42"/>
      <c r="T220" s="42"/>
      <c r="U220" s="42"/>
      <c r="V220" s="42"/>
      <c r="W220" s="42"/>
      <c r="X220" s="42"/>
      <c r="Y220" s="42"/>
      <c r="Z220" s="42"/>
      <c r="AA220" s="42"/>
      <c r="AB220" s="42" t="str">
        <f>IFERROR(__xludf.DUMMYFUNCTION("""COMPUTED_VALUE"""),"allen institute")</f>
        <v>allen institute</v>
      </c>
      <c r="AC220" s="42" t="str">
        <f>IFERROR(__xludf.DUMMYFUNCTION("""COMPUTED_VALUE"""),"DHBA")</f>
        <v>DHBA</v>
      </c>
      <c r="AD220" s="42"/>
      <c r="AE220" s="42"/>
      <c r="AF220" s="9"/>
      <c r="AG220" s="9"/>
      <c r="AH220" s="42"/>
      <c r="AI220" s="42"/>
      <c r="AJ220" s="42"/>
      <c r="AK220" s="42"/>
      <c r="AL220" s="42"/>
      <c r="AM220" s="42"/>
      <c r="AN220" s="42"/>
      <c r="AO220" s="63" t="str">
        <f>IFERROR(__xludf.DUMMYFUNCTION("IF(ISBLANK(A220),,IF(ISBLANK(S220), A220&amp;"";"", TEXTJOIN(CHAR(10), TRUE, A220&amp;"";"", ARRAYFORMULA(VLOOKUP(SPLIT(S220, "";"" &amp; CHAR(10)), $A:$AO, 41, FALSE)))))"),"tCPilo;")</f>
        <v>tCPilo;</v>
      </c>
      <c r="AP220" s="89"/>
    </row>
    <row r="221">
      <c r="A221" s="151" t="str">
        <f>IFERROR(__xludf.DUMMYFUNCTION("""COMPUTED_VALUE"""),"tCPili")</f>
        <v>tCPili</v>
      </c>
      <c r="B221" s="42" t="str">
        <f>IFERROR(__xludf.DUMMYFUNCTION("""COMPUTED_VALUE"""),"DHBA")</f>
        <v>DHBA</v>
      </c>
      <c r="C221" s="42" t="str">
        <f>IFERROR(__xludf.DUMMYFUNCTION("""COMPUTED_VALUE"""),"inner CP in inferolateral temporal cortex")</f>
        <v>inner CP in inferolateral temporal cortex</v>
      </c>
      <c r="D221" s="42">
        <f>IFERROR(__xludf.DUMMYFUNCTION("""COMPUTED_VALUE"""),187.0)</f>
        <v>187</v>
      </c>
      <c r="E221" s="39" t="str">
        <f>IFERROR(__xludf.DUMMYFUNCTION("""COMPUTED_VALUE"""),"inner CP in inferolateral temporal cortex")</f>
        <v>inner CP in inferolateral temporal cortex</v>
      </c>
      <c r="F221" s="9" t="str">
        <f>IFERROR(__xludf.DUMMYFUNCTION("""COMPUTED_VALUE"""),"Br")</f>
        <v>Br</v>
      </c>
      <c r="G221" s="9" t="str">
        <f>IFERROR(__xludf.DUMMYFUNCTION("""COMPUTED_VALUE"""),"F")</f>
        <v>F</v>
      </c>
      <c r="H221" s="9" t="str">
        <f>IFERROR(__xludf.DUMMYFUNCTION("""COMPUTED_VALUE"""),"FGM")</f>
        <v>FGM</v>
      </c>
      <c r="I221" s="9" t="str">
        <f>IFERROR(__xludf.DUMMYFUNCTION("""COMPUTED_VALUE"""),"FTS")</f>
        <v>FTS</v>
      </c>
      <c r="J221" s="9" t="str">
        <f>IFERROR(__xludf.DUMMYFUNCTION("""COMPUTED_VALUE"""),"CP")</f>
        <v>CP</v>
      </c>
      <c r="K221" s="9" t="str">
        <f>IFERROR(__xludf.DUMMYFUNCTION("""COMPUTED_VALUE"""),"tCP")</f>
        <v>tCP</v>
      </c>
      <c r="L221" s="9" t="str">
        <f>IFERROR(__xludf.DUMMYFUNCTION("""COMPUTED_VALUE"""),"tCPvl")</f>
        <v>tCPvl</v>
      </c>
      <c r="M221" s="9" t="str">
        <f>IFERROR(__xludf.DUMMYFUNCTION("""COMPUTED_VALUE"""),"tCPil")</f>
        <v>tCPil</v>
      </c>
      <c r="N221" s="9" t="str">
        <f>IFERROR(__xludf.DUMMYFUNCTION("""COMPUTED_VALUE"""),"tCPili")</f>
        <v>tCPili</v>
      </c>
      <c r="O221" s="9"/>
      <c r="P221" s="9"/>
      <c r="Q221" s="9"/>
      <c r="R221" s="9"/>
      <c r="S221" s="42"/>
      <c r="T221" s="42"/>
      <c r="U221" s="42"/>
      <c r="V221" s="42"/>
      <c r="W221" s="42"/>
      <c r="X221" s="42"/>
      <c r="Y221" s="42"/>
      <c r="Z221" s="42"/>
      <c r="AA221" s="42"/>
      <c r="AB221" s="42" t="str">
        <f>IFERROR(__xludf.DUMMYFUNCTION("""COMPUTED_VALUE"""),"allen institute")</f>
        <v>allen institute</v>
      </c>
      <c r="AC221" s="42" t="str">
        <f>IFERROR(__xludf.DUMMYFUNCTION("""COMPUTED_VALUE"""),"DHBA")</f>
        <v>DHBA</v>
      </c>
      <c r="AD221" s="42"/>
      <c r="AE221" s="42"/>
      <c r="AF221" s="9"/>
      <c r="AG221" s="9"/>
      <c r="AH221" s="42"/>
      <c r="AI221" s="42"/>
      <c r="AJ221" s="42"/>
      <c r="AK221" s="42"/>
      <c r="AL221" s="42"/>
      <c r="AM221" s="42"/>
      <c r="AN221" s="42"/>
      <c r="AO221" s="63" t="str">
        <f>IFERROR(__xludf.DUMMYFUNCTION("IF(ISBLANK(A221),,IF(ISBLANK(S221), A221&amp;"";"", TEXTJOIN(CHAR(10), TRUE, A221&amp;"";"", ARRAYFORMULA(VLOOKUP(SPLIT(S221, "";"" &amp; CHAR(10)), $A:$AO, 41, FALSE)))))"),"tCPili;")</f>
        <v>tCPili;</v>
      </c>
      <c r="AP221" s="89"/>
    </row>
    <row r="222">
      <c r="A222" s="151" t="str">
        <f>IFERROR(__xludf.DUMMYFUNCTION("""COMPUTED_VALUE"""),"tCPmi")</f>
        <v>tCPmi</v>
      </c>
      <c r="B222" s="42" t="str">
        <f>IFERROR(__xludf.DUMMYFUNCTION("""COMPUTED_VALUE"""),"DHBA")</f>
        <v>DHBA</v>
      </c>
      <c r="C222" s="42" t="str">
        <f>IFERROR(__xludf.DUMMYFUNCTION("""COMPUTED_VALUE"""),"CP in midinferior temporal cortex")</f>
        <v>CP in midinferior temporal cortex</v>
      </c>
      <c r="D222" s="42">
        <f>IFERROR(__xludf.DUMMYFUNCTION("""COMPUTED_VALUE"""),188.0)</f>
        <v>188</v>
      </c>
      <c r="E222" s="39" t="str">
        <f>IFERROR(__xludf.DUMMYFUNCTION("""COMPUTED_VALUE"""),"CP in midinferior temporal cortex")</f>
        <v>CP in midinferior temporal cortex</v>
      </c>
      <c r="F222" s="9" t="str">
        <f>IFERROR(__xludf.DUMMYFUNCTION("""COMPUTED_VALUE"""),"Br")</f>
        <v>Br</v>
      </c>
      <c r="G222" s="9" t="str">
        <f>IFERROR(__xludf.DUMMYFUNCTION("""COMPUTED_VALUE"""),"F")</f>
        <v>F</v>
      </c>
      <c r="H222" s="9" t="str">
        <f>IFERROR(__xludf.DUMMYFUNCTION("""COMPUTED_VALUE"""),"FGM")</f>
        <v>FGM</v>
      </c>
      <c r="I222" s="9" t="str">
        <f>IFERROR(__xludf.DUMMYFUNCTION("""COMPUTED_VALUE"""),"FTS")</f>
        <v>FTS</v>
      </c>
      <c r="J222" s="9" t="str">
        <f>IFERROR(__xludf.DUMMYFUNCTION("""COMPUTED_VALUE"""),"CP")</f>
        <v>CP</v>
      </c>
      <c r="K222" s="9" t="str">
        <f>IFERROR(__xludf.DUMMYFUNCTION("""COMPUTED_VALUE"""),"tCP")</f>
        <v>tCP</v>
      </c>
      <c r="L222" s="9" t="str">
        <f>IFERROR(__xludf.DUMMYFUNCTION("""COMPUTED_VALUE"""),"tCPvl")</f>
        <v>tCPvl</v>
      </c>
      <c r="M222" s="9" t="str">
        <f>IFERROR(__xludf.DUMMYFUNCTION("""COMPUTED_VALUE"""),"tCPmi")</f>
        <v>tCPmi</v>
      </c>
      <c r="N222" s="9"/>
      <c r="O222" s="9"/>
      <c r="P222" s="9"/>
      <c r="Q222" s="9"/>
      <c r="R222" s="9"/>
      <c r="S222" s="42" t="str">
        <f>IFERROR(__xludf.DUMMYFUNCTION("""COMPUTED_VALUE"""),"tCPmio;
tCPmii;
tCP36;
tCPtf")</f>
        <v>tCPmio;
tCPmii;
tCP36;
tCPtf</v>
      </c>
      <c r="T222" s="42"/>
      <c r="U222" s="42" t="b">
        <f>IFERROR(__xludf.DUMMYFUNCTION("""COMPUTED_VALUE"""),FALSE)</f>
        <v>0</v>
      </c>
      <c r="V222" s="42"/>
      <c r="W222" s="42"/>
      <c r="X222" s="42"/>
      <c r="Y222" s="42"/>
      <c r="Z222" s="42"/>
      <c r="AA222" s="42"/>
      <c r="AB222" s="42" t="str">
        <f>IFERROR(__xludf.DUMMYFUNCTION("""COMPUTED_VALUE"""),"allen institute")</f>
        <v>allen institute</v>
      </c>
      <c r="AC222" s="42" t="str">
        <f>IFERROR(__xludf.DUMMYFUNCTION("""COMPUTED_VALUE"""),"DHBA")</f>
        <v>DHBA</v>
      </c>
      <c r="AD222" s="42"/>
      <c r="AE222" s="42"/>
      <c r="AF222" s="9"/>
      <c r="AG222" s="9"/>
      <c r="AH222" s="42"/>
      <c r="AI222" s="42"/>
      <c r="AJ222" s="42"/>
      <c r="AK222" s="42"/>
      <c r="AL222" s="42"/>
      <c r="AM222" s="42"/>
      <c r="AN222" s="42"/>
      <c r="AO222" s="63" t="str">
        <f>IFERROR(__xludf.DUMMYFUNCTION("IF(ISBLANK(A222),,IF(ISBLANK(S222), A222&amp;"";"", TEXTJOIN(CHAR(10), TRUE, A222&amp;"";"", ARRAYFORMULA(VLOOKUP(SPLIT(S222, "";"" &amp; CHAR(10)), $A:$AO, 41, FALSE)))))"),"tCPmi;
tCPmio;
tCPmii;
tCP36;
tCP36o;
tCP36i;
tCPtf;
tCPtfo;
tCPtfi;")</f>
        <v>tCPmi;
tCPmio;
tCPmii;
tCP36;
tCP36o;
tCP36i;
tCPtf;
tCPtfo;
tCPtfi;</v>
      </c>
      <c r="AP222" s="89"/>
    </row>
    <row r="223">
      <c r="A223" s="151" t="str">
        <f>IFERROR(__xludf.DUMMYFUNCTION("""COMPUTED_VALUE"""),"tCPmio")</f>
        <v>tCPmio</v>
      </c>
      <c r="B223" s="42" t="str">
        <f>IFERROR(__xludf.DUMMYFUNCTION("""COMPUTED_VALUE"""),"DHBA")</f>
        <v>DHBA</v>
      </c>
      <c r="C223" s="42" t="str">
        <f>IFERROR(__xludf.DUMMYFUNCTION("""COMPUTED_VALUE"""),"outer CP in midinferior temporal cortex")</f>
        <v>outer CP in midinferior temporal cortex</v>
      </c>
      <c r="D223" s="42">
        <f>IFERROR(__xludf.DUMMYFUNCTION("""COMPUTED_VALUE"""),189.0)</f>
        <v>189</v>
      </c>
      <c r="E223" s="39" t="str">
        <f>IFERROR(__xludf.DUMMYFUNCTION("""COMPUTED_VALUE"""),"outer CP in midinferior temporal cortex")</f>
        <v>outer CP in midinferior temporal cortex</v>
      </c>
      <c r="F223" s="9" t="str">
        <f>IFERROR(__xludf.DUMMYFUNCTION("""COMPUTED_VALUE"""),"Br")</f>
        <v>Br</v>
      </c>
      <c r="G223" s="9" t="str">
        <f>IFERROR(__xludf.DUMMYFUNCTION("""COMPUTED_VALUE"""),"F")</f>
        <v>F</v>
      </c>
      <c r="H223" s="9" t="str">
        <f>IFERROR(__xludf.DUMMYFUNCTION("""COMPUTED_VALUE"""),"FGM")</f>
        <v>FGM</v>
      </c>
      <c r="I223" s="9" t="str">
        <f>IFERROR(__xludf.DUMMYFUNCTION("""COMPUTED_VALUE"""),"FTS")</f>
        <v>FTS</v>
      </c>
      <c r="J223" s="9" t="str">
        <f>IFERROR(__xludf.DUMMYFUNCTION("""COMPUTED_VALUE"""),"CP")</f>
        <v>CP</v>
      </c>
      <c r="K223" s="9" t="str">
        <f>IFERROR(__xludf.DUMMYFUNCTION("""COMPUTED_VALUE"""),"tCP")</f>
        <v>tCP</v>
      </c>
      <c r="L223" s="9" t="str">
        <f>IFERROR(__xludf.DUMMYFUNCTION("""COMPUTED_VALUE"""),"tCPvl")</f>
        <v>tCPvl</v>
      </c>
      <c r="M223" s="9" t="str">
        <f>IFERROR(__xludf.DUMMYFUNCTION("""COMPUTED_VALUE"""),"tCPmi")</f>
        <v>tCPmi</v>
      </c>
      <c r="N223" s="9" t="str">
        <f>IFERROR(__xludf.DUMMYFUNCTION("""COMPUTED_VALUE"""),"tCPmio")</f>
        <v>tCPmio</v>
      </c>
      <c r="O223" s="9"/>
      <c r="P223" s="9"/>
      <c r="Q223" s="9"/>
      <c r="R223" s="9"/>
      <c r="S223" s="42"/>
      <c r="T223" s="42"/>
      <c r="U223" s="42"/>
      <c r="V223" s="42"/>
      <c r="W223" s="42"/>
      <c r="X223" s="42"/>
      <c r="Y223" s="42"/>
      <c r="Z223" s="42"/>
      <c r="AA223" s="42"/>
      <c r="AB223" s="42" t="str">
        <f>IFERROR(__xludf.DUMMYFUNCTION("""COMPUTED_VALUE"""),"allen institute")</f>
        <v>allen institute</v>
      </c>
      <c r="AC223" s="42" t="str">
        <f>IFERROR(__xludf.DUMMYFUNCTION("""COMPUTED_VALUE"""),"DHBA")</f>
        <v>DHBA</v>
      </c>
      <c r="AD223" s="42"/>
      <c r="AE223" s="42"/>
      <c r="AF223" s="9"/>
      <c r="AG223" s="9"/>
      <c r="AH223" s="42"/>
      <c r="AI223" s="42"/>
      <c r="AJ223" s="42"/>
      <c r="AK223" s="42"/>
      <c r="AL223" s="42"/>
      <c r="AM223" s="42"/>
      <c r="AN223" s="42"/>
      <c r="AO223" s="63" t="str">
        <f>IFERROR(__xludf.DUMMYFUNCTION("IF(ISBLANK(A223),,IF(ISBLANK(S223), A223&amp;"";"", TEXTJOIN(CHAR(10), TRUE, A223&amp;"";"", ARRAYFORMULA(VLOOKUP(SPLIT(S223, "";"" &amp; CHAR(10)), $A:$AO, 41, FALSE)))))"),"tCPmio;")</f>
        <v>tCPmio;</v>
      </c>
      <c r="AP223" s="89"/>
    </row>
    <row r="224">
      <c r="A224" s="151" t="str">
        <f>IFERROR(__xludf.DUMMYFUNCTION("""COMPUTED_VALUE"""),"tCPmii")</f>
        <v>tCPmii</v>
      </c>
      <c r="B224" s="42" t="str">
        <f>IFERROR(__xludf.DUMMYFUNCTION("""COMPUTED_VALUE"""),"DHBA")</f>
        <v>DHBA</v>
      </c>
      <c r="C224" s="42" t="str">
        <f>IFERROR(__xludf.DUMMYFUNCTION("""COMPUTED_VALUE"""),"inner CP in midinferior temporal cortex")</f>
        <v>inner CP in midinferior temporal cortex</v>
      </c>
      <c r="D224" s="42">
        <f>IFERROR(__xludf.DUMMYFUNCTION("""COMPUTED_VALUE"""),190.0)</f>
        <v>190</v>
      </c>
      <c r="E224" s="39" t="str">
        <f>IFERROR(__xludf.DUMMYFUNCTION("""COMPUTED_VALUE"""),"inner CP in midinferior temporal cortex")</f>
        <v>inner CP in midinferior temporal cortex</v>
      </c>
      <c r="F224" s="9" t="str">
        <f>IFERROR(__xludf.DUMMYFUNCTION("""COMPUTED_VALUE"""),"Br")</f>
        <v>Br</v>
      </c>
      <c r="G224" s="9" t="str">
        <f>IFERROR(__xludf.DUMMYFUNCTION("""COMPUTED_VALUE"""),"F")</f>
        <v>F</v>
      </c>
      <c r="H224" s="9" t="str">
        <f>IFERROR(__xludf.DUMMYFUNCTION("""COMPUTED_VALUE"""),"FGM")</f>
        <v>FGM</v>
      </c>
      <c r="I224" s="9" t="str">
        <f>IFERROR(__xludf.DUMMYFUNCTION("""COMPUTED_VALUE"""),"FTS")</f>
        <v>FTS</v>
      </c>
      <c r="J224" s="9" t="str">
        <f>IFERROR(__xludf.DUMMYFUNCTION("""COMPUTED_VALUE"""),"CP")</f>
        <v>CP</v>
      </c>
      <c r="K224" s="9" t="str">
        <f>IFERROR(__xludf.DUMMYFUNCTION("""COMPUTED_VALUE"""),"tCP")</f>
        <v>tCP</v>
      </c>
      <c r="L224" s="9" t="str">
        <f>IFERROR(__xludf.DUMMYFUNCTION("""COMPUTED_VALUE"""),"tCPvl")</f>
        <v>tCPvl</v>
      </c>
      <c r="M224" s="9" t="str">
        <f>IFERROR(__xludf.DUMMYFUNCTION("""COMPUTED_VALUE"""),"tCPmi")</f>
        <v>tCPmi</v>
      </c>
      <c r="N224" s="9" t="str">
        <f>IFERROR(__xludf.DUMMYFUNCTION("""COMPUTED_VALUE"""),"tCPmii")</f>
        <v>tCPmii</v>
      </c>
      <c r="O224" s="9"/>
      <c r="P224" s="9"/>
      <c r="Q224" s="9"/>
      <c r="R224" s="9"/>
      <c r="S224" s="42"/>
      <c r="T224" s="42"/>
      <c r="U224" s="42"/>
      <c r="V224" s="42"/>
      <c r="W224" s="42"/>
      <c r="X224" s="42"/>
      <c r="Y224" s="42"/>
      <c r="Z224" s="42"/>
      <c r="AA224" s="42"/>
      <c r="AB224" s="42" t="str">
        <f>IFERROR(__xludf.DUMMYFUNCTION("""COMPUTED_VALUE"""),"allen institute")</f>
        <v>allen institute</v>
      </c>
      <c r="AC224" s="42" t="str">
        <f>IFERROR(__xludf.DUMMYFUNCTION("""COMPUTED_VALUE"""),"DHBA")</f>
        <v>DHBA</v>
      </c>
      <c r="AD224" s="42"/>
      <c r="AE224" s="42"/>
      <c r="AF224" s="9"/>
      <c r="AG224" s="9"/>
      <c r="AH224" s="42"/>
      <c r="AI224" s="42"/>
      <c r="AJ224" s="42"/>
      <c r="AK224" s="42"/>
      <c r="AL224" s="42"/>
      <c r="AM224" s="42"/>
      <c r="AN224" s="42"/>
      <c r="AO224" s="63" t="str">
        <f>IFERROR(__xludf.DUMMYFUNCTION("IF(ISBLANK(A224),,IF(ISBLANK(S224), A224&amp;"";"", TEXTJOIN(CHAR(10), TRUE, A224&amp;"";"", ARRAYFORMULA(VLOOKUP(SPLIT(S224, "";"" &amp; CHAR(10)), $A:$AO, 41, FALSE)))))"),"tCPmii;")</f>
        <v>tCPmii;</v>
      </c>
      <c r="AP224" s="89"/>
    </row>
    <row r="225">
      <c r="A225" s="151" t="str">
        <f>IFERROR(__xludf.DUMMYFUNCTION("""COMPUTED_VALUE"""),"tCP36")</f>
        <v>tCP36</v>
      </c>
      <c r="B225" s="42" t="str">
        <f>IFERROR(__xludf.DUMMYFUNCTION("""COMPUTED_VALUE"""),"DHBA")</f>
        <v>DHBA</v>
      </c>
      <c r="C225" s="42" t="str">
        <f>IFERROR(__xludf.DUMMYFUNCTION("""COMPUTED_VALUE"""),"CP in rostral midinferior temporal cortex (area 36)")</f>
        <v>CP in rostral midinferior temporal cortex (area 36)</v>
      </c>
      <c r="D225" s="42">
        <f>IFERROR(__xludf.DUMMYFUNCTION("""COMPUTED_VALUE"""),191.0)</f>
        <v>191</v>
      </c>
      <c r="E225" s="39" t="str">
        <f>IFERROR(__xludf.DUMMYFUNCTION("""COMPUTED_VALUE"""),"CP in rostral midinferior temporal cortex (area 36)")</f>
        <v>CP in rostral midinferior temporal cortex (area 36)</v>
      </c>
      <c r="F225" s="9" t="str">
        <f>IFERROR(__xludf.DUMMYFUNCTION("""COMPUTED_VALUE"""),"Br")</f>
        <v>Br</v>
      </c>
      <c r="G225" s="9" t="str">
        <f>IFERROR(__xludf.DUMMYFUNCTION("""COMPUTED_VALUE"""),"F")</f>
        <v>F</v>
      </c>
      <c r="H225" s="9" t="str">
        <f>IFERROR(__xludf.DUMMYFUNCTION("""COMPUTED_VALUE"""),"FGM")</f>
        <v>FGM</v>
      </c>
      <c r="I225" s="9" t="str">
        <f>IFERROR(__xludf.DUMMYFUNCTION("""COMPUTED_VALUE"""),"FTS")</f>
        <v>FTS</v>
      </c>
      <c r="J225" s="9" t="str">
        <f>IFERROR(__xludf.DUMMYFUNCTION("""COMPUTED_VALUE"""),"CP")</f>
        <v>CP</v>
      </c>
      <c r="K225" s="9" t="str">
        <f>IFERROR(__xludf.DUMMYFUNCTION("""COMPUTED_VALUE"""),"tCP")</f>
        <v>tCP</v>
      </c>
      <c r="L225" s="9" t="str">
        <f>IFERROR(__xludf.DUMMYFUNCTION("""COMPUTED_VALUE"""),"tCPvl")</f>
        <v>tCPvl</v>
      </c>
      <c r="M225" s="9" t="str">
        <f>IFERROR(__xludf.DUMMYFUNCTION("""COMPUTED_VALUE"""),"tCPmi")</f>
        <v>tCPmi</v>
      </c>
      <c r="N225" s="9" t="str">
        <f>IFERROR(__xludf.DUMMYFUNCTION("""COMPUTED_VALUE"""),"tCP36")</f>
        <v>tCP36</v>
      </c>
      <c r="O225" s="9"/>
      <c r="P225" s="9"/>
      <c r="Q225" s="9"/>
      <c r="R225" s="9"/>
      <c r="S225" s="42" t="str">
        <f>IFERROR(__xludf.DUMMYFUNCTION("""COMPUTED_VALUE"""),"tCP36o;
tCP36i")</f>
        <v>tCP36o;
tCP36i</v>
      </c>
      <c r="T225" s="42"/>
      <c r="U225" s="42" t="b">
        <f>IFERROR(__xludf.DUMMYFUNCTION("""COMPUTED_VALUE"""),FALSE)</f>
        <v>0</v>
      </c>
      <c r="V225" s="42"/>
      <c r="W225" s="42"/>
      <c r="X225" s="42"/>
      <c r="Y225" s="42"/>
      <c r="Z225" s="42"/>
      <c r="AA225" s="42"/>
      <c r="AB225" s="42" t="str">
        <f>IFERROR(__xludf.DUMMYFUNCTION("""COMPUTED_VALUE"""),"allen institute")</f>
        <v>allen institute</v>
      </c>
      <c r="AC225" s="42" t="str">
        <f>IFERROR(__xludf.DUMMYFUNCTION("""COMPUTED_VALUE"""),"DHBA")</f>
        <v>DHBA</v>
      </c>
      <c r="AD225" s="42"/>
      <c r="AE225" s="42"/>
      <c r="AF225" s="9"/>
      <c r="AG225" s="9"/>
      <c r="AH225" s="42"/>
      <c r="AI225" s="42"/>
      <c r="AJ225" s="42"/>
      <c r="AK225" s="42"/>
      <c r="AL225" s="42"/>
      <c r="AM225" s="42"/>
      <c r="AN225" s="42"/>
      <c r="AO225" s="63" t="str">
        <f>IFERROR(__xludf.DUMMYFUNCTION("IF(ISBLANK(A225),,IF(ISBLANK(S225), A225&amp;"";"", TEXTJOIN(CHAR(10), TRUE, A225&amp;"";"", ARRAYFORMULA(VLOOKUP(SPLIT(S225, "";"" &amp; CHAR(10)), $A:$AO, 41, FALSE)))))"),"tCP36;
tCP36o;
tCP36i;")</f>
        <v>tCP36;
tCP36o;
tCP36i;</v>
      </c>
      <c r="AP225" s="89"/>
    </row>
    <row r="226">
      <c r="A226" s="151" t="str">
        <f>IFERROR(__xludf.DUMMYFUNCTION("""COMPUTED_VALUE"""),"tCP36o")</f>
        <v>tCP36o</v>
      </c>
      <c r="B226" s="42" t="str">
        <f>IFERROR(__xludf.DUMMYFUNCTION("""COMPUTED_VALUE"""),"DHBA")</f>
        <v>DHBA</v>
      </c>
      <c r="C226" s="42" t="str">
        <f>IFERROR(__xludf.DUMMYFUNCTION("""COMPUTED_VALUE"""),"outer CP in (rostral) midinferior temporal cortex (area 36)")</f>
        <v>outer CP in (rostral) midinferior temporal cortex (area 36)</v>
      </c>
      <c r="D226" s="42">
        <f>IFERROR(__xludf.DUMMYFUNCTION("""COMPUTED_VALUE"""),192.0)</f>
        <v>192</v>
      </c>
      <c r="E226" s="39" t="str">
        <f>IFERROR(__xludf.DUMMYFUNCTION("""COMPUTED_VALUE"""),"outer CP in (rostral) midinferior temporal cortex (area 36)")</f>
        <v>outer CP in (rostral) midinferior temporal cortex (area 36)</v>
      </c>
      <c r="F226" s="9" t="str">
        <f>IFERROR(__xludf.DUMMYFUNCTION("""COMPUTED_VALUE"""),"Br")</f>
        <v>Br</v>
      </c>
      <c r="G226" s="9" t="str">
        <f>IFERROR(__xludf.DUMMYFUNCTION("""COMPUTED_VALUE"""),"F")</f>
        <v>F</v>
      </c>
      <c r="H226" s="9" t="str">
        <f>IFERROR(__xludf.DUMMYFUNCTION("""COMPUTED_VALUE"""),"FGM")</f>
        <v>FGM</v>
      </c>
      <c r="I226" s="9" t="str">
        <f>IFERROR(__xludf.DUMMYFUNCTION("""COMPUTED_VALUE"""),"FTS")</f>
        <v>FTS</v>
      </c>
      <c r="J226" s="9" t="str">
        <f>IFERROR(__xludf.DUMMYFUNCTION("""COMPUTED_VALUE"""),"CP")</f>
        <v>CP</v>
      </c>
      <c r="K226" s="9" t="str">
        <f>IFERROR(__xludf.DUMMYFUNCTION("""COMPUTED_VALUE"""),"tCP")</f>
        <v>tCP</v>
      </c>
      <c r="L226" s="9" t="str">
        <f>IFERROR(__xludf.DUMMYFUNCTION("""COMPUTED_VALUE"""),"tCPvl")</f>
        <v>tCPvl</v>
      </c>
      <c r="M226" s="9" t="str">
        <f>IFERROR(__xludf.DUMMYFUNCTION("""COMPUTED_VALUE"""),"tCPmi")</f>
        <v>tCPmi</v>
      </c>
      <c r="N226" s="9" t="str">
        <f>IFERROR(__xludf.DUMMYFUNCTION("""COMPUTED_VALUE"""),"tCP36")</f>
        <v>tCP36</v>
      </c>
      <c r="O226" s="9" t="str">
        <f>IFERROR(__xludf.DUMMYFUNCTION("""COMPUTED_VALUE"""),"tCP36o")</f>
        <v>tCP36o</v>
      </c>
      <c r="P226" s="9"/>
      <c r="Q226" s="9"/>
      <c r="R226" s="9"/>
      <c r="S226" s="42"/>
      <c r="T226" s="42"/>
      <c r="U226" s="42"/>
      <c r="V226" s="42"/>
      <c r="W226" s="42"/>
      <c r="X226" s="42"/>
      <c r="Y226" s="42"/>
      <c r="Z226" s="42"/>
      <c r="AA226" s="42"/>
      <c r="AB226" s="42" t="str">
        <f>IFERROR(__xludf.DUMMYFUNCTION("""COMPUTED_VALUE"""),"allen institute")</f>
        <v>allen institute</v>
      </c>
      <c r="AC226" s="42" t="str">
        <f>IFERROR(__xludf.DUMMYFUNCTION("""COMPUTED_VALUE"""),"DHBA")</f>
        <v>DHBA</v>
      </c>
      <c r="AD226" s="42"/>
      <c r="AE226" s="42"/>
      <c r="AF226" s="9"/>
      <c r="AG226" s="9"/>
      <c r="AH226" s="42"/>
      <c r="AI226" s="42"/>
      <c r="AJ226" s="42"/>
      <c r="AK226" s="42"/>
      <c r="AL226" s="42"/>
      <c r="AM226" s="42"/>
      <c r="AN226" s="42"/>
      <c r="AO226" s="63" t="str">
        <f>IFERROR(__xludf.DUMMYFUNCTION("IF(ISBLANK(A226),,IF(ISBLANK(S226), A226&amp;"";"", TEXTJOIN(CHAR(10), TRUE, A226&amp;"";"", ARRAYFORMULA(VLOOKUP(SPLIT(S226, "";"" &amp; CHAR(10)), $A:$AO, 41, FALSE)))))"),"tCP36o;")</f>
        <v>tCP36o;</v>
      </c>
      <c r="AP226" s="89"/>
    </row>
    <row r="227">
      <c r="A227" s="151" t="str">
        <f>IFERROR(__xludf.DUMMYFUNCTION("""COMPUTED_VALUE"""),"tCP36i")</f>
        <v>tCP36i</v>
      </c>
      <c r="B227" s="42" t="str">
        <f>IFERROR(__xludf.DUMMYFUNCTION("""COMPUTED_VALUE"""),"DHBA")</f>
        <v>DHBA</v>
      </c>
      <c r="C227" s="42" t="str">
        <f>IFERROR(__xludf.DUMMYFUNCTION("""COMPUTED_VALUE"""),"inner CP in (rostral) midinferior temporal cortex (area 36)")</f>
        <v>inner CP in (rostral) midinferior temporal cortex (area 36)</v>
      </c>
      <c r="D227" s="42">
        <f>IFERROR(__xludf.DUMMYFUNCTION("""COMPUTED_VALUE"""),193.0)</f>
        <v>193</v>
      </c>
      <c r="E227" s="39" t="str">
        <f>IFERROR(__xludf.DUMMYFUNCTION("""COMPUTED_VALUE"""),"inner CP in (rostral) midinferior temporal cortex (area 36)")</f>
        <v>inner CP in (rostral) midinferior temporal cortex (area 36)</v>
      </c>
      <c r="F227" s="9" t="str">
        <f>IFERROR(__xludf.DUMMYFUNCTION("""COMPUTED_VALUE"""),"Br")</f>
        <v>Br</v>
      </c>
      <c r="G227" s="9" t="str">
        <f>IFERROR(__xludf.DUMMYFUNCTION("""COMPUTED_VALUE"""),"F")</f>
        <v>F</v>
      </c>
      <c r="H227" s="9" t="str">
        <f>IFERROR(__xludf.DUMMYFUNCTION("""COMPUTED_VALUE"""),"FGM")</f>
        <v>FGM</v>
      </c>
      <c r="I227" s="9" t="str">
        <f>IFERROR(__xludf.DUMMYFUNCTION("""COMPUTED_VALUE"""),"FTS")</f>
        <v>FTS</v>
      </c>
      <c r="J227" s="9" t="str">
        <f>IFERROR(__xludf.DUMMYFUNCTION("""COMPUTED_VALUE"""),"CP")</f>
        <v>CP</v>
      </c>
      <c r="K227" s="9" t="str">
        <f>IFERROR(__xludf.DUMMYFUNCTION("""COMPUTED_VALUE"""),"tCP")</f>
        <v>tCP</v>
      </c>
      <c r="L227" s="9" t="str">
        <f>IFERROR(__xludf.DUMMYFUNCTION("""COMPUTED_VALUE"""),"tCPvl")</f>
        <v>tCPvl</v>
      </c>
      <c r="M227" s="9" t="str">
        <f>IFERROR(__xludf.DUMMYFUNCTION("""COMPUTED_VALUE"""),"tCPmi")</f>
        <v>tCPmi</v>
      </c>
      <c r="N227" s="9" t="str">
        <f>IFERROR(__xludf.DUMMYFUNCTION("""COMPUTED_VALUE"""),"tCP36")</f>
        <v>tCP36</v>
      </c>
      <c r="O227" s="9" t="str">
        <f>IFERROR(__xludf.DUMMYFUNCTION("""COMPUTED_VALUE"""),"tCP36i")</f>
        <v>tCP36i</v>
      </c>
      <c r="P227" s="9"/>
      <c r="Q227" s="9"/>
      <c r="R227" s="9"/>
      <c r="S227" s="42"/>
      <c r="T227" s="42"/>
      <c r="U227" s="42"/>
      <c r="V227" s="42"/>
      <c r="W227" s="42"/>
      <c r="X227" s="42"/>
      <c r="Y227" s="42"/>
      <c r="Z227" s="42"/>
      <c r="AA227" s="42"/>
      <c r="AB227" s="42" t="str">
        <f>IFERROR(__xludf.DUMMYFUNCTION("""COMPUTED_VALUE"""),"allen institute")</f>
        <v>allen institute</v>
      </c>
      <c r="AC227" s="42" t="str">
        <f>IFERROR(__xludf.DUMMYFUNCTION("""COMPUTED_VALUE"""),"DHBA")</f>
        <v>DHBA</v>
      </c>
      <c r="AD227" s="42"/>
      <c r="AE227" s="42"/>
      <c r="AF227" s="9"/>
      <c r="AG227" s="9"/>
      <c r="AH227" s="42"/>
      <c r="AI227" s="42"/>
      <c r="AJ227" s="42"/>
      <c r="AK227" s="42"/>
      <c r="AL227" s="42"/>
      <c r="AM227" s="42"/>
      <c r="AN227" s="42"/>
      <c r="AO227" s="63" t="str">
        <f>IFERROR(__xludf.DUMMYFUNCTION("IF(ISBLANK(A227),,IF(ISBLANK(S227), A227&amp;"";"", TEXTJOIN(CHAR(10), TRUE, A227&amp;"";"", ARRAYFORMULA(VLOOKUP(SPLIT(S227, "";"" &amp; CHAR(10)), $A:$AO, 41, FALSE)))))"),"tCP36i;")</f>
        <v>tCP36i;</v>
      </c>
      <c r="AP227" s="89"/>
    </row>
    <row r="228">
      <c r="A228" s="151" t="str">
        <f>IFERROR(__xludf.DUMMYFUNCTION("""COMPUTED_VALUE"""),"tCPtf")</f>
        <v>tCPtf</v>
      </c>
      <c r="B228" s="42" t="str">
        <f>IFERROR(__xludf.DUMMYFUNCTION("""COMPUTED_VALUE"""),"DHBA")</f>
        <v>DHBA</v>
      </c>
      <c r="C228" s="42" t="str">
        <f>IFERROR(__xludf.DUMMYFUNCTION("""COMPUTED_VALUE"""),"CP in caudal midinferior temporal cortex (area TF)")</f>
        <v>CP in caudal midinferior temporal cortex (area TF)</v>
      </c>
      <c r="D228" s="42">
        <f>IFERROR(__xludf.DUMMYFUNCTION("""COMPUTED_VALUE"""),194.0)</f>
        <v>194</v>
      </c>
      <c r="E228" s="39" t="str">
        <f>IFERROR(__xludf.DUMMYFUNCTION("""COMPUTED_VALUE"""),"CP in caudal midinferior temporal cortex (area TF)")</f>
        <v>CP in caudal midinferior temporal cortex (area TF)</v>
      </c>
      <c r="F228" s="9" t="str">
        <f>IFERROR(__xludf.DUMMYFUNCTION("""COMPUTED_VALUE"""),"Br")</f>
        <v>Br</v>
      </c>
      <c r="G228" s="9" t="str">
        <f>IFERROR(__xludf.DUMMYFUNCTION("""COMPUTED_VALUE"""),"F")</f>
        <v>F</v>
      </c>
      <c r="H228" s="9" t="str">
        <f>IFERROR(__xludf.DUMMYFUNCTION("""COMPUTED_VALUE"""),"FGM")</f>
        <v>FGM</v>
      </c>
      <c r="I228" s="9" t="str">
        <f>IFERROR(__xludf.DUMMYFUNCTION("""COMPUTED_VALUE"""),"FTS")</f>
        <v>FTS</v>
      </c>
      <c r="J228" s="9" t="str">
        <f>IFERROR(__xludf.DUMMYFUNCTION("""COMPUTED_VALUE"""),"CP")</f>
        <v>CP</v>
      </c>
      <c r="K228" s="9" t="str">
        <f>IFERROR(__xludf.DUMMYFUNCTION("""COMPUTED_VALUE"""),"tCP")</f>
        <v>tCP</v>
      </c>
      <c r="L228" s="9" t="str">
        <f>IFERROR(__xludf.DUMMYFUNCTION("""COMPUTED_VALUE"""),"tCPvl")</f>
        <v>tCPvl</v>
      </c>
      <c r="M228" s="9" t="str">
        <f>IFERROR(__xludf.DUMMYFUNCTION("""COMPUTED_VALUE"""),"tCPmi")</f>
        <v>tCPmi</v>
      </c>
      <c r="N228" s="9" t="str">
        <f>IFERROR(__xludf.DUMMYFUNCTION("""COMPUTED_VALUE"""),"tCPtf")</f>
        <v>tCPtf</v>
      </c>
      <c r="O228" s="9"/>
      <c r="P228" s="9"/>
      <c r="Q228" s="9"/>
      <c r="R228" s="9"/>
      <c r="S228" s="42" t="str">
        <f>IFERROR(__xludf.DUMMYFUNCTION("""COMPUTED_VALUE"""),"tCPtfo;
tCPtfi")</f>
        <v>tCPtfo;
tCPtfi</v>
      </c>
      <c r="T228" s="42"/>
      <c r="U228" s="42" t="b">
        <f>IFERROR(__xludf.DUMMYFUNCTION("""COMPUTED_VALUE"""),FALSE)</f>
        <v>0</v>
      </c>
      <c r="V228" s="42"/>
      <c r="W228" s="42"/>
      <c r="X228" s="42"/>
      <c r="Y228" s="42"/>
      <c r="Z228" s="42"/>
      <c r="AA228" s="42"/>
      <c r="AB228" s="42" t="str">
        <f>IFERROR(__xludf.DUMMYFUNCTION("""COMPUTED_VALUE"""),"allen institute")</f>
        <v>allen institute</v>
      </c>
      <c r="AC228" s="42" t="str">
        <f>IFERROR(__xludf.DUMMYFUNCTION("""COMPUTED_VALUE"""),"DHBA")</f>
        <v>DHBA</v>
      </c>
      <c r="AD228" s="42"/>
      <c r="AE228" s="42"/>
      <c r="AF228" s="9"/>
      <c r="AG228" s="9"/>
      <c r="AH228" s="42"/>
      <c r="AI228" s="42"/>
      <c r="AJ228" s="42"/>
      <c r="AK228" s="42"/>
      <c r="AL228" s="42"/>
      <c r="AM228" s="42"/>
      <c r="AN228" s="42"/>
      <c r="AO228" s="63" t="str">
        <f>IFERROR(__xludf.DUMMYFUNCTION("IF(ISBLANK(A228),,IF(ISBLANK(S228), A228&amp;"";"", TEXTJOIN(CHAR(10), TRUE, A228&amp;"";"", ARRAYFORMULA(VLOOKUP(SPLIT(S228, "";"" &amp; CHAR(10)), $A:$AO, 41, FALSE)))))"),"tCPtf;
tCPtfo;
tCPtfi;")</f>
        <v>tCPtf;
tCPtfo;
tCPtfi;</v>
      </c>
      <c r="AP228" s="89"/>
    </row>
    <row r="229">
      <c r="A229" s="151" t="str">
        <f>IFERROR(__xludf.DUMMYFUNCTION("""COMPUTED_VALUE"""),"tCPtfo")</f>
        <v>tCPtfo</v>
      </c>
      <c r="B229" s="42" t="str">
        <f>IFERROR(__xludf.DUMMYFUNCTION("""COMPUTED_VALUE"""),"DHBA")</f>
        <v>DHBA</v>
      </c>
      <c r="C229" s="42" t="str">
        <f>IFERROR(__xludf.DUMMYFUNCTION("""COMPUTED_VALUE"""),"outer CP in caudal midinferior temporal cortex (area TF)")</f>
        <v>outer CP in caudal midinferior temporal cortex (area TF)</v>
      </c>
      <c r="D229" s="42">
        <f>IFERROR(__xludf.DUMMYFUNCTION("""COMPUTED_VALUE"""),195.0)</f>
        <v>195</v>
      </c>
      <c r="E229" s="39" t="str">
        <f>IFERROR(__xludf.DUMMYFUNCTION("""COMPUTED_VALUE"""),"outer CP in caudal midinferior temporal cortex (area TF)")</f>
        <v>outer CP in caudal midinferior temporal cortex (area TF)</v>
      </c>
      <c r="F229" s="9" t="str">
        <f>IFERROR(__xludf.DUMMYFUNCTION("""COMPUTED_VALUE"""),"Br")</f>
        <v>Br</v>
      </c>
      <c r="G229" s="9" t="str">
        <f>IFERROR(__xludf.DUMMYFUNCTION("""COMPUTED_VALUE"""),"F")</f>
        <v>F</v>
      </c>
      <c r="H229" s="9" t="str">
        <f>IFERROR(__xludf.DUMMYFUNCTION("""COMPUTED_VALUE"""),"FGM")</f>
        <v>FGM</v>
      </c>
      <c r="I229" s="9" t="str">
        <f>IFERROR(__xludf.DUMMYFUNCTION("""COMPUTED_VALUE"""),"FTS")</f>
        <v>FTS</v>
      </c>
      <c r="J229" s="9" t="str">
        <f>IFERROR(__xludf.DUMMYFUNCTION("""COMPUTED_VALUE"""),"CP")</f>
        <v>CP</v>
      </c>
      <c r="K229" s="9" t="str">
        <f>IFERROR(__xludf.DUMMYFUNCTION("""COMPUTED_VALUE"""),"tCP")</f>
        <v>tCP</v>
      </c>
      <c r="L229" s="9" t="str">
        <f>IFERROR(__xludf.DUMMYFUNCTION("""COMPUTED_VALUE"""),"tCPvl")</f>
        <v>tCPvl</v>
      </c>
      <c r="M229" s="9" t="str">
        <f>IFERROR(__xludf.DUMMYFUNCTION("""COMPUTED_VALUE"""),"tCPmi")</f>
        <v>tCPmi</v>
      </c>
      <c r="N229" s="9" t="str">
        <f>IFERROR(__xludf.DUMMYFUNCTION("""COMPUTED_VALUE"""),"tCPtf")</f>
        <v>tCPtf</v>
      </c>
      <c r="O229" s="9" t="str">
        <f>IFERROR(__xludf.DUMMYFUNCTION("""COMPUTED_VALUE"""),"tCPtfo")</f>
        <v>tCPtfo</v>
      </c>
      <c r="P229" s="9"/>
      <c r="Q229" s="9"/>
      <c r="R229" s="9"/>
      <c r="S229" s="42"/>
      <c r="T229" s="42"/>
      <c r="U229" s="42"/>
      <c r="V229" s="42"/>
      <c r="W229" s="42"/>
      <c r="X229" s="42"/>
      <c r="Y229" s="42"/>
      <c r="Z229" s="42"/>
      <c r="AA229" s="42"/>
      <c r="AB229" s="42" t="str">
        <f>IFERROR(__xludf.DUMMYFUNCTION("""COMPUTED_VALUE"""),"allen institute")</f>
        <v>allen institute</v>
      </c>
      <c r="AC229" s="42" t="str">
        <f>IFERROR(__xludf.DUMMYFUNCTION("""COMPUTED_VALUE"""),"DHBA")</f>
        <v>DHBA</v>
      </c>
      <c r="AD229" s="42"/>
      <c r="AE229" s="42"/>
      <c r="AF229" s="9"/>
      <c r="AG229" s="9"/>
      <c r="AH229" s="42"/>
      <c r="AI229" s="42"/>
      <c r="AJ229" s="42"/>
      <c r="AK229" s="42"/>
      <c r="AL229" s="42"/>
      <c r="AM229" s="42"/>
      <c r="AN229" s="42"/>
      <c r="AO229" s="63" t="str">
        <f>IFERROR(__xludf.DUMMYFUNCTION("IF(ISBLANK(A229),,IF(ISBLANK(S229), A229&amp;"";"", TEXTJOIN(CHAR(10), TRUE, A229&amp;"";"", ARRAYFORMULA(VLOOKUP(SPLIT(S229, "";"" &amp; CHAR(10)), $A:$AO, 41, FALSE)))))"),"tCPtfo;")</f>
        <v>tCPtfo;</v>
      </c>
      <c r="AP229" s="89"/>
    </row>
    <row r="230">
      <c r="A230" s="151" t="str">
        <f>IFERROR(__xludf.DUMMYFUNCTION("""COMPUTED_VALUE"""),"tCPtfi")</f>
        <v>tCPtfi</v>
      </c>
      <c r="B230" s="42" t="str">
        <f>IFERROR(__xludf.DUMMYFUNCTION("""COMPUTED_VALUE"""),"DHBA")</f>
        <v>DHBA</v>
      </c>
      <c r="C230" s="42" t="str">
        <f>IFERROR(__xludf.DUMMYFUNCTION("""COMPUTED_VALUE"""),"inner CP in caudal midinferior temporal cortex (area TF)")</f>
        <v>inner CP in caudal midinferior temporal cortex (area TF)</v>
      </c>
      <c r="D230" s="42">
        <f>IFERROR(__xludf.DUMMYFUNCTION("""COMPUTED_VALUE"""),196.0)</f>
        <v>196</v>
      </c>
      <c r="E230" s="39" t="str">
        <f>IFERROR(__xludf.DUMMYFUNCTION("""COMPUTED_VALUE"""),"inner CP in caudal midinferior temporal cortex (area TF)")</f>
        <v>inner CP in caudal midinferior temporal cortex (area TF)</v>
      </c>
      <c r="F230" s="9" t="str">
        <f>IFERROR(__xludf.DUMMYFUNCTION("""COMPUTED_VALUE"""),"Br")</f>
        <v>Br</v>
      </c>
      <c r="G230" s="9" t="str">
        <f>IFERROR(__xludf.DUMMYFUNCTION("""COMPUTED_VALUE"""),"F")</f>
        <v>F</v>
      </c>
      <c r="H230" s="9" t="str">
        <f>IFERROR(__xludf.DUMMYFUNCTION("""COMPUTED_VALUE"""),"FGM")</f>
        <v>FGM</v>
      </c>
      <c r="I230" s="9" t="str">
        <f>IFERROR(__xludf.DUMMYFUNCTION("""COMPUTED_VALUE"""),"FTS")</f>
        <v>FTS</v>
      </c>
      <c r="J230" s="9" t="str">
        <f>IFERROR(__xludf.DUMMYFUNCTION("""COMPUTED_VALUE"""),"CP")</f>
        <v>CP</v>
      </c>
      <c r="K230" s="9" t="str">
        <f>IFERROR(__xludf.DUMMYFUNCTION("""COMPUTED_VALUE"""),"tCP")</f>
        <v>tCP</v>
      </c>
      <c r="L230" s="9" t="str">
        <f>IFERROR(__xludf.DUMMYFUNCTION("""COMPUTED_VALUE"""),"tCPvl")</f>
        <v>tCPvl</v>
      </c>
      <c r="M230" s="9" t="str">
        <f>IFERROR(__xludf.DUMMYFUNCTION("""COMPUTED_VALUE"""),"tCPmi")</f>
        <v>tCPmi</v>
      </c>
      <c r="N230" s="9" t="str">
        <f>IFERROR(__xludf.DUMMYFUNCTION("""COMPUTED_VALUE"""),"tCPtf")</f>
        <v>tCPtf</v>
      </c>
      <c r="O230" s="9" t="str">
        <f>IFERROR(__xludf.DUMMYFUNCTION("""COMPUTED_VALUE"""),"tCPtfi")</f>
        <v>tCPtfi</v>
      </c>
      <c r="P230" s="9"/>
      <c r="Q230" s="9"/>
      <c r="R230" s="9"/>
      <c r="S230" s="42"/>
      <c r="T230" s="42"/>
      <c r="U230" s="42"/>
      <c r="V230" s="42"/>
      <c r="W230" s="42"/>
      <c r="X230" s="42"/>
      <c r="Y230" s="42"/>
      <c r="Z230" s="42"/>
      <c r="AA230" s="42"/>
      <c r="AB230" s="42" t="str">
        <f>IFERROR(__xludf.DUMMYFUNCTION("""COMPUTED_VALUE"""),"allen institute")</f>
        <v>allen institute</v>
      </c>
      <c r="AC230" s="42" t="str">
        <f>IFERROR(__xludf.DUMMYFUNCTION("""COMPUTED_VALUE"""),"DHBA")</f>
        <v>DHBA</v>
      </c>
      <c r="AD230" s="42"/>
      <c r="AE230" s="42"/>
      <c r="AF230" s="9"/>
      <c r="AG230" s="9"/>
      <c r="AH230" s="42"/>
      <c r="AI230" s="42"/>
      <c r="AJ230" s="42"/>
      <c r="AK230" s="42"/>
      <c r="AL230" s="42"/>
      <c r="AM230" s="42"/>
      <c r="AN230" s="42"/>
      <c r="AO230" s="63" t="str">
        <f>IFERROR(__xludf.DUMMYFUNCTION("IF(ISBLANK(A230),,IF(ISBLANK(S230), A230&amp;"";"", TEXTJOIN(CHAR(10), TRUE, A230&amp;"";"", ARRAYFORMULA(VLOOKUP(SPLIT(S230, "";"" &amp; CHAR(10)), $A:$AO, 41, FALSE)))))"),"tCPtfi;")</f>
        <v>tCPtfi;</v>
      </c>
      <c r="AP230" s="89"/>
    </row>
    <row r="231">
      <c r="A231" s="151" t="str">
        <f>IFERROR(__xludf.DUMMYFUNCTION("""COMPUTED_VALUE"""),"tCPph")</f>
        <v>tCPph</v>
      </c>
      <c r="B231" s="42" t="str">
        <f>IFERROR(__xludf.DUMMYFUNCTION("""COMPUTED_VALUE"""),"DHBA")</f>
        <v>DHBA</v>
      </c>
      <c r="C231" s="42" t="str">
        <f>IFERROR(__xludf.DUMMYFUNCTION("""COMPUTED_VALUE"""),"CP in posterior parahippocampal cortex")</f>
        <v>CP in posterior parahippocampal cortex</v>
      </c>
      <c r="D231" s="42">
        <f>IFERROR(__xludf.DUMMYFUNCTION("""COMPUTED_VALUE"""),197.0)</f>
        <v>197</v>
      </c>
      <c r="E231" s="39" t="str">
        <f>IFERROR(__xludf.DUMMYFUNCTION("""COMPUTED_VALUE"""),"CP in posterior parahippocampal cortex")</f>
        <v>CP in posterior parahippocampal cortex</v>
      </c>
      <c r="F231" s="9" t="str">
        <f>IFERROR(__xludf.DUMMYFUNCTION("""COMPUTED_VALUE"""),"Br")</f>
        <v>Br</v>
      </c>
      <c r="G231" s="9" t="str">
        <f>IFERROR(__xludf.DUMMYFUNCTION("""COMPUTED_VALUE"""),"F")</f>
        <v>F</v>
      </c>
      <c r="H231" s="9" t="str">
        <f>IFERROR(__xludf.DUMMYFUNCTION("""COMPUTED_VALUE"""),"FGM")</f>
        <v>FGM</v>
      </c>
      <c r="I231" s="9" t="str">
        <f>IFERROR(__xludf.DUMMYFUNCTION("""COMPUTED_VALUE"""),"FTS")</f>
        <v>FTS</v>
      </c>
      <c r="J231" s="9" t="str">
        <f>IFERROR(__xludf.DUMMYFUNCTION("""COMPUTED_VALUE"""),"CP")</f>
        <v>CP</v>
      </c>
      <c r="K231" s="9" t="str">
        <f>IFERROR(__xludf.DUMMYFUNCTION("""COMPUTED_VALUE"""),"tCP")</f>
        <v>tCP</v>
      </c>
      <c r="L231" s="9" t="str">
        <f>IFERROR(__xludf.DUMMYFUNCTION("""COMPUTED_VALUE"""),"tCPph")</f>
        <v>tCPph</v>
      </c>
      <c r="M231" s="9"/>
      <c r="N231" s="9"/>
      <c r="O231" s="9"/>
      <c r="P231" s="9"/>
      <c r="Q231" s="9"/>
      <c r="R231" s="9"/>
      <c r="S231" s="42" t="str">
        <f>IFERROR(__xludf.DUMMYFUNCTION("""COMPUTED_VALUE"""),"tCPpho;
tCPphi")</f>
        <v>tCPpho;
tCPphi</v>
      </c>
      <c r="T231" s="42"/>
      <c r="U231" s="42" t="b">
        <f>IFERROR(__xludf.DUMMYFUNCTION("""COMPUTED_VALUE"""),FALSE)</f>
        <v>0</v>
      </c>
      <c r="V231" s="42"/>
      <c r="W231" s="42"/>
      <c r="X231" s="42"/>
      <c r="Y231" s="42"/>
      <c r="Z231" s="42"/>
      <c r="AA231" s="42"/>
      <c r="AB231" s="42" t="str">
        <f>IFERROR(__xludf.DUMMYFUNCTION("""COMPUTED_VALUE"""),"allen institute")</f>
        <v>allen institute</v>
      </c>
      <c r="AC231" s="42" t="str">
        <f>IFERROR(__xludf.DUMMYFUNCTION("""COMPUTED_VALUE"""),"DHBA")</f>
        <v>DHBA</v>
      </c>
      <c r="AD231" s="42"/>
      <c r="AE231" s="42"/>
      <c r="AF231" s="9"/>
      <c r="AG231" s="9"/>
      <c r="AH231" s="42"/>
      <c r="AI231" s="42"/>
      <c r="AJ231" s="42"/>
      <c r="AK231" s="42"/>
      <c r="AL231" s="42"/>
      <c r="AM231" s="42"/>
      <c r="AN231" s="42"/>
      <c r="AO231" s="63" t="str">
        <f>IFERROR(__xludf.DUMMYFUNCTION("IF(ISBLANK(A231),,IF(ISBLANK(S231), A231&amp;"";"", TEXTJOIN(CHAR(10), TRUE, A231&amp;"";"", ARRAYFORMULA(VLOOKUP(SPLIT(S231, "";"" &amp; CHAR(10)), $A:$AO, 41, FALSE)))))"),"tCPph;
tCPpho;
tCPphi;")</f>
        <v>tCPph;
tCPpho;
tCPphi;</v>
      </c>
      <c r="AP231" s="89"/>
    </row>
    <row r="232">
      <c r="A232" s="151" t="str">
        <f>IFERROR(__xludf.DUMMYFUNCTION("""COMPUTED_VALUE"""),"tCPpho")</f>
        <v>tCPpho</v>
      </c>
      <c r="B232" s="42" t="str">
        <f>IFERROR(__xludf.DUMMYFUNCTION("""COMPUTED_VALUE"""),"DHBA")</f>
        <v>DHBA</v>
      </c>
      <c r="C232" s="42" t="str">
        <f>IFERROR(__xludf.DUMMYFUNCTION("""COMPUTED_VALUE"""),"outer CP in posterior parahippocampal cortex")</f>
        <v>outer CP in posterior parahippocampal cortex</v>
      </c>
      <c r="D232" s="42">
        <f>IFERROR(__xludf.DUMMYFUNCTION("""COMPUTED_VALUE"""),198.0)</f>
        <v>198</v>
      </c>
      <c r="E232" s="39" t="str">
        <f>IFERROR(__xludf.DUMMYFUNCTION("""COMPUTED_VALUE"""),"outer CP in posterior parahippocampal cortex")</f>
        <v>outer CP in posterior parahippocampal cortex</v>
      </c>
      <c r="F232" s="9" t="str">
        <f>IFERROR(__xludf.DUMMYFUNCTION("""COMPUTED_VALUE"""),"Br")</f>
        <v>Br</v>
      </c>
      <c r="G232" s="9" t="str">
        <f>IFERROR(__xludf.DUMMYFUNCTION("""COMPUTED_VALUE"""),"F")</f>
        <v>F</v>
      </c>
      <c r="H232" s="9" t="str">
        <f>IFERROR(__xludf.DUMMYFUNCTION("""COMPUTED_VALUE"""),"FGM")</f>
        <v>FGM</v>
      </c>
      <c r="I232" s="9" t="str">
        <f>IFERROR(__xludf.DUMMYFUNCTION("""COMPUTED_VALUE"""),"FTS")</f>
        <v>FTS</v>
      </c>
      <c r="J232" s="9" t="str">
        <f>IFERROR(__xludf.DUMMYFUNCTION("""COMPUTED_VALUE"""),"CP")</f>
        <v>CP</v>
      </c>
      <c r="K232" s="9" t="str">
        <f>IFERROR(__xludf.DUMMYFUNCTION("""COMPUTED_VALUE"""),"tCP")</f>
        <v>tCP</v>
      </c>
      <c r="L232" s="9" t="str">
        <f>IFERROR(__xludf.DUMMYFUNCTION("""COMPUTED_VALUE"""),"tCPph")</f>
        <v>tCPph</v>
      </c>
      <c r="M232" s="9" t="str">
        <f>IFERROR(__xludf.DUMMYFUNCTION("""COMPUTED_VALUE"""),"tCPpho")</f>
        <v>tCPpho</v>
      </c>
      <c r="N232" s="9"/>
      <c r="O232" s="9"/>
      <c r="P232" s="9"/>
      <c r="Q232" s="9"/>
      <c r="R232" s="9"/>
      <c r="S232" s="42"/>
      <c r="T232" s="42"/>
      <c r="U232" s="42"/>
      <c r="V232" s="42"/>
      <c r="W232" s="42"/>
      <c r="X232" s="42"/>
      <c r="Y232" s="42"/>
      <c r="Z232" s="42"/>
      <c r="AA232" s="42"/>
      <c r="AB232" s="42" t="str">
        <f>IFERROR(__xludf.DUMMYFUNCTION("""COMPUTED_VALUE"""),"allen institute")</f>
        <v>allen institute</v>
      </c>
      <c r="AC232" s="42" t="str">
        <f>IFERROR(__xludf.DUMMYFUNCTION("""COMPUTED_VALUE"""),"DHBA")</f>
        <v>DHBA</v>
      </c>
      <c r="AD232" s="42"/>
      <c r="AE232" s="42"/>
      <c r="AF232" s="9"/>
      <c r="AG232" s="9"/>
      <c r="AH232" s="42"/>
      <c r="AI232" s="42"/>
      <c r="AJ232" s="42"/>
      <c r="AK232" s="42"/>
      <c r="AL232" s="42"/>
      <c r="AM232" s="42"/>
      <c r="AN232" s="42"/>
      <c r="AO232" s="63" t="str">
        <f>IFERROR(__xludf.DUMMYFUNCTION("IF(ISBLANK(A232),,IF(ISBLANK(S232), A232&amp;"";"", TEXTJOIN(CHAR(10), TRUE, A232&amp;"";"", ARRAYFORMULA(VLOOKUP(SPLIT(S232, "";"" &amp; CHAR(10)), $A:$AO, 41, FALSE)))))"),"tCPpho;")</f>
        <v>tCPpho;</v>
      </c>
      <c r="AP232" s="89"/>
    </row>
    <row r="233">
      <c r="A233" s="151" t="str">
        <f>IFERROR(__xludf.DUMMYFUNCTION("""COMPUTED_VALUE"""),"tCPphi")</f>
        <v>tCPphi</v>
      </c>
      <c r="B233" s="42" t="str">
        <f>IFERROR(__xludf.DUMMYFUNCTION("""COMPUTED_VALUE"""),"DHBA")</f>
        <v>DHBA</v>
      </c>
      <c r="C233" s="42" t="str">
        <f>IFERROR(__xludf.DUMMYFUNCTION("""COMPUTED_VALUE"""),"inner CP in posterior parahippocampal cortex")</f>
        <v>inner CP in posterior parahippocampal cortex</v>
      </c>
      <c r="D233" s="42">
        <f>IFERROR(__xludf.DUMMYFUNCTION("""COMPUTED_VALUE"""),199.0)</f>
        <v>199</v>
      </c>
      <c r="E233" s="39" t="str">
        <f>IFERROR(__xludf.DUMMYFUNCTION("""COMPUTED_VALUE"""),"inner CP in posterior parahippocampal cortex")</f>
        <v>inner CP in posterior parahippocampal cortex</v>
      </c>
      <c r="F233" s="9" t="str">
        <f>IFERROR(__xludf.DUMMYFUNCTION("""COMPUTED_VALUE"""),"Br")</f>
        <v>Br</v>
      </c>
      <c r="G233" s="9" t="str">
        <f>IFERROR(__xludf.DUMMYFUNCTION("""COMPUTED_VALUE"""),"F")</f>
        <v>F</v>
      </c>
      <c r="H233" s="9" t="str">
        <f>IFERROR(__xludf.DUMMYFUNCTION("""COMPUTED_VALUE"""),"FGM")</f>
        <v>FGM</v>
      </c>
      <c r="I233" s="9" t="str">
        <f>IFERROR(__xludf.DUMMYFUNCTION("""COMPUTED_VALUE"""),"FTS")</f>
        <v>FTS</v>
      </c>
      <c r="J233" s="9" t="str">
        <f>IFERROR(__xludf.DUMMYFUNCTION("""COMPUTED_VALUE"""),"CP")</f>
        <v>CP</v>
      </c>
      <c r="K233" s="9" t="str">
        <f>IFERROR(__xludf.DUMMYFUNCTION("""COMPUTED_VALUE"""),"tCP")</f>
        <v>tCP</v>
      </c>
      <c r="L233" s="9" t="str">
        <f>IFERROR(__xludf.DUMMYFUNCTION("""COMPUTED_VALUE"""),"tCPph")</f>
        <v>tCPph</v>
      </c>
      <c r="M233" s="9" t="str">
        <f>IFERROR(__xludf.DUMMYFUNCTION("""COMPUTED_VALUE"""),"tCPphi")</f>
        <v>tCPphi</v>
      </c>
      <c r="N233" s="9"/>
      <c r="O233" s="9"/>
      <c r="P233" s="9"/>
      <c r="Q233" s="9"/>
      <c r="R233" s="9"/>
      <c r="S233" s="42"/>
      <c r="T233" s="42"/>
      <c r="U233" s="42"/>
      <c r="V233" s="42"/>
      <c r="W233" s="42"/>
      <c r="X233" s="42"/>
      <c r="Y233" s="42"/>
      <c r="Z233" s="42"/>
      <c r="AA233" s="42"/>
      <c r="AB233" s="42" t="str">
        <f>IFERROR(__xludf.DUMMYFUNCTION("""COMPUTED_VALUE"""),"allen institute")</f>
        <v>allen institute</v>
      </c>
      <c r="AC233" s="42" t="str">
        <f>IFERROR(__xludf.DUMMYFUNCTION("""COMPUTED_VALUE"""),"DHBA")</f>
        <v>DHBA</v>
      </c>
      <c r="AD233" s="42"/>
      <c r="AE233" s="42"/>
      <c r="AF233" s="9"/>
      <c r="AG233" s="9"/>
      <c r="AH233" s="42"/>
      <c r="AI233" s="42"/>
      <c r="AJ233" s="42"/>
      <c r="AK233" s="42"/>
      <c r="AL233" s="42"/>
      <c r="AM233" s="42"/>
      <c r="AN233" s="42"/>
      <c r="AO233" s="63" t="str">
        <f>IFERROR(__xludf.DUMMYFUNCTION("IF(ISBLANK(A233),,IF(ISBLANK(S233), A233&amp;"";"", TEXTJOIN(CHAR(10), TRUE, A233&amp;"";"", ARRAYFORMULA(VLOOKUP(SPLIT(S233, "";"" &amp; CHAR(10)), $A:$AO, 41, FALSE)))))"),"tCPphi;")</f>
        <v>tCPphi;</v>
      </c>
      <c r="AP233" s="89"/>
    </row>
    <row r="234">
      <c r="A234" s="151" t="str">
        <f>IFERROR(__xludf.DUMMYFUNCTION("""COMPUTED_VALUE"""),"tCPmt")</f>
        <v>tCPmt</v>
      </c>
      <c r="B234" s="42" t="str">
        <f>IFERROR(__xludf.DUMMYFUNCTION("""COMPUTED_VALUE"""),"DHBA")</f>
        <v>DHBA</v>
      </c>
      <c r="C234" s="42" t="str">
        <f>IFERROR(__xludf.DUMMYFUNCTION("""COMPUTED_VALUE"""),"CP in medial temporal-occipital cortex")</f>
        <v>CP in medial temporal-occipital cortex</v>
      </c>
      <c r="D234" s="42">
        <f>IFERROR(__xludf.DUMMYFUNCTION("""COMPUTED_VALUE"""),200.0)</f>
        <v>200</v>
      </c>
      <c r="E234" s="39" t="str">
        <f>IFERROR(__xludf.DUMMYFUNCTION("""COMPUTED_VALUE"""),"CP in medial temporal-occipital cortex")</f>
        <v>CP in medial temporal-occipital cortex</v>
      </c>
      <c r="F234" s="9" t="str">
        <f>IFERROR(__xludf.DUMMYFUNCTION("""COMPUTED_VALUE"""),"Br")</f>
        <v>Br</v>
      </c>
      <c r="G234" s="9" t="str">
        <f>IFERROR(__xludf.DUMMYFUNCTION("""COMPUTED_VALUE"""),"F")</f>
        <v>F</v>
      </c>
      <c r="H234" s="9" t="str">
        <f>IFERROR(__xludf.DUMMYFUNCTION("""COMPUTED_VALUE"""),"FGM")</f>
        <v>FGM</v>
      </c>
      <c r="I234" s="9" t="str">
        <f>IFERROR(__xludf.DUMMYFUNCTION("""COMPUTED_VALUE"""),"FTS")</f>
        <v>FTS</v>
      </c>
      <c r="J234" s="9" t="str">
        <f>IFERROR(__xludf.DUMMYFUNCTION("""COMPUTED_VALUE"""),"CP")</f>
        <v>CP</v>
      </c>
      <c r="K234" s="9" t="str">
        <f>IFERROR(__xludf.DUMMYFUNCTION("""COMPUTED_VALUE"""),"tCP")</f>
        <v>tCP</v>
      </c>
      <c r="L234" s="9" t="str">
        <f>IFERROR(__xludf.DUMMYFUNCTION("""COMPUTED_VALUE"""),"tCPmt")</f>
        <v>tCPmt</v>
      </c>
      <c r="M234" s="9"/>
      <c r="N234" s="9"/>
      <c r="O234" s="9"/>
      <c r="P234" s="9"/>
      <c r="Q234" s="9"/>
      <c r="R234" s="9"/>
      <c r="S234" s="42" t="str">
        <f>IFERROR(__xludf.DUMMYFUNCTION("""COMPUTED_VALUE"""),"tCPmto;
tCPmti")</f>
        <v>tCPmto;
tCPmti</v>
      </c>
      <c r="T234" s="42"/>
      <c r="U234" s="42" t="b">
        <f>IFERROR(__xludf.DUMMYFUNCTION("""COMPUTED_VALUE"""),FALSE)</f>
        <v>0</v>
      </c>
      <c r="V234" s="42"/>
      <c r="W234" s="42"/>
      <c r="X234" s="42"/>
      <c r="Y234" s="42"/>
      <c r="Z234" s="42"/>
      <c r="AA234" s="42"/>
      <c r="AB234" s="42" t="str">
        <f>IFERROR(__xludf.DUMMYFUNCTION("""COMPUTED_VALUE"""),"allen institute")</f>
        <v>allen institute</v>
      </c>
      <c r="AC234" s="42" t="str">
        <f>IFERROR(__xludf.DUMMYFUNCTION("""COMPUTED_VALUE"""),"DHBA")</f>
        <v>DHBA</v>
      </c>
      <c r="AD234" s="42"/>
      <c r="AE234" s="42"/>
      <c r="AF234" s="9"/>
      <c r="AG234" s="9"/>
      <c r="AH234" s="42"/>
      <c r="AI234" s="42"/>
      <c r="AJ234" s="42"/>
      <c r="AK234" s="42"/>
      <c r="AL234" s="42"/>
      <c r="AM234" s="42"/>
      <c r="AN234" s="42"/>
      <c r="AO234" s="63" t="str">
        <f>IFERROR(__xludf.DUMMYFUNCTION("IF(ISBLANK(A234),,IF(ISBLANK(S234), A234&amp;"";"", TEXTJOIN(CHAR(10), TRUE, A234&amp;"";"", ARRAYFORMULA(VLOOKUP(SPLIT(S234, "";"" &amp; CHAR(10)), $A:$AO, 41, FALSE)))))"),"tCPmt;
tCPmto;
tCPmti;")</f>
        <v>tCPmt;
tCPmto;
tCPmti;</v>
      </c>
      <c r="AP234" s="89"/>
    </row>
    <row r="235">
      <c r="A235" s="151" t="str">
        <f>IFERROR(__xludf.DUMMYFUNCTION("""COMPUTED_VALUE"""),"tCPmto")</f>
        <v>tCPmto</v>
      </c>
      <c r="B235" s="42" t="str">
        <f>IFERROR(__xludf.DUMMYFUNCTION("""COMPUTED_VALUE"""),"DHBA")</f>
        <v>DHBA</v>
      </c>
      <c r="C235" s="42" t="str">
        <f>IFERROR(__xludf.DUMMYFUNCTION("""COMPUTED_VALUE"""),"outer CP in medial temporal-occipital cortex")</f>
        <v>outer CP in medial temporal-occipital cortex</v>
      </c>
      <c r="D235" s="42">
        <f>IFERROR(__xludf.DUMMYFUNCTION("""COMPUTED_VALUE"""),201.0)</f>
        <v>201</v>
      </c>
      <c r="E235" s="39" t="str">
        <f>IFERROR(__xludf.DUMMYFUNCTION("""COMPUTED_VALUE"""),"outer CP in medial temporal-occipital cortex")</f>
        <v>outer CP in medial temporal-occipital cortex</v>
      </c>
      <c r="F235" s="9" t="str">
        <f>IFERROR(__xludf.DUMMYFUNCTION("""COMPUTED_VALUE"""),"Br")</f>
        <v>Br</v>
      </c>
      <c r="G235" s="9" t="str">
        <f>IFERROR(__xludf.DUMMYFUNCTION("""COMPUTED_VALUE"""),"F")</f>
        <v>F</v>
      </c>
      <c r="H235" s="9" t="str">
        <f>IFERROR(__xludf.DUMMYFUNCTION("""COMPUTED_VALUE"""),"FGM")</f>
        <v>FGM</v>
      </c>
      <c r="I235" s="9" t="str">
        <f>IFERROR(__xludf.DUMMYFUNCTION("""COMPUTED_VALUE"""),"FTS")</f>
        <v>FTS</v>
      </c>
      <c r="J235" s="9" t="str">
        <f>IFERROR(__xludf.DUMMYFUNCTION("""COMPUTED_VALUE"""),"CP")</f>
        <v>CP</v>
      </c>
      <c r="K235" s="9" t="str">
        <f>IFERROR(__xludf.DUMMYFUNCTION("""COMPUTED_VALUE"""),"tCP")</f>
        <v>tCP</v>
      </c>
      <c r="L235" s="9" t="str">
        <f>IFERROR(__xludf.DUMMYFUNCTION("""COMPUTED_VALUE"""),"tCPmt")</f>
        <v>tCPmt</v>
      </c>
      <c r="M235" s="9" t="str">
        <f>IFERROR(__xludf.DUMMYFUNCTION("""COMPUTED_VALUE"""),"tCPmto")</f>
        <v>tCPmto</v>
      </c>
      <c r="N235" s="9"/>
      <c r="O235" s="9"/>
      <c r="P235" s="9"/>
      <c r="Q235" s="9"/>
      <c r="R235" s="9"/>
      <c r="S235" s="42"/>
      <c r="T235" s="42"/>
      <c r="U235" s="42"/>
      <c r="V235" s="42"/>
      <c r="W235" s="42"/>
      <c r="X235" s="42"/>
      <c r="Y235" s="42"/>
      <c r="Z235" s="42"/>
      <c r="AA235" s="42"/>
      <c r="AB235" s="42" t="str">
        <f>IFERROR(__xludf.DUMMYFUNCTION("""COMPUTED_VALUE"""),"allen institute")</f>
        <v>allen institute</v>
      </c>
      <c r="AC235" s="42" t="str">
        <f>IFERROR(__xludf.DUMMYFUNCTION("""COMPUTED_VALUE"""),"DHBA")</f>
        <v>DHBA</v>
      </c>
      <c r="AD235" s="42"/>
      <c r="AE235" s="42"/>
      <c r="AF235" s="9"/>
      <c r="AG235" s="9"/>
      <c r="AH235" s="42"/>
      <c r="AI235" s="42"/>
      <c r="AJ235" s="42"/>
      <c r="AK235" s="42"/>
      <c r="AL235" s="42"/>
      <c r="AM235" s="42"/>
      <c r="AN235" s="42"/>
      <c r="AO235" s="63" t="str">
        <f>IFERROR(__xludf.DUMMYFUNCTION("IF(ISBLANK(A235),,IF(ISBLANK(S235), A235&amp;"";"", TEXTJOIN(CHAR(10), TRUE, A235&amp;"";"", ARRAYFORMULA(VLOOKUP(SPLIT(S235, "";"" &amp; CHAR(10)), $A:$AO, 41, FALSE)))))"),"tCPmto;")</f>
        <v>tCPmto;</v>
      </c>
      <c r="AP235" s="89"/>
    </row>
    <row r="236">
      <c r="A236" s="151" t="str">
        <f>IFERROR(__xludf.DUMMYFUNCTION("""COMPUTED_VALUE"""),"tCPmti")</f>
        <v>tCPmti</v>
      </c>
      <c r="B236" s="42" t="str">
        <f>IFERROR(__xludf.DUMMYFUNCTION("""COMPUTED_VALUE"""),"DHBA")</f>
        <v>DHBA</v>
      </c>
      <c r="C236" s="42" t="str">
        <f>IFERROR(__xludf.DUMMYFUNCTION("""COMPUTED_VALUE"""),"inner CP in medial temporal-occipital cortex")</f>
        <v>inner CP in medial temporal-occipital cortex</v>
      </c>
      <c r="D236" s="42">
        <f>IFERROR(__xludf.DUMMYFUNCTION("""COMPUTED_VALUE"""),202.0)</f>
        <v>202</v>
      </c>
      <c r="E236" s="39" t="str">
        <f>IFERROR(__xludf.DUMMYFUNCTION("""COMPUTED_VALUE"""),"inner CP in medial temporal-occipital cortex")</f>
        <v>inner CP in medial temporal-occipital cortex</v>
      </c>
      <c r="F236" s="9" t="str">
        <f>IFERROR(__xludf.DUMMYFUNCTION("""COMPUTED_VALUE"""),"Br")</f>
        <v>Br</v>
      </c>
      <c r="G236" s="9" t="str">
        <f>IFERROR(__xludf.DUMMYFUNCTION("""COMPUTED_VALUE"""),"F")</f>
        <v>F</v>
      </c>
      <c r="H236" s="9" t="str">
        <f>IFERROR(__xludf.DUMMYFUNCTION("""COMPUTED_VALUE"""),"FGM")</f>
        <v>FGM</v>
      </c>
      <c r="I236" s="9" t="str">
        <f>IFERROR(__xludf.DUMMYFUNCTION("""COMPUTED_VALUE"""),"FTS")</f>
        <v>FTS</v>
      </c>
      <c r="J236" s="9" t="str">
        <f>IFERROR(__xludf.DUMMYFUNCTION("""COMPUTED_VALUE"""),"CP")</f>
        <v>CP</v>
      </c>
      <c r="K236" s="9" t="str">
        <f>IFERROR(__xludf.DUMMYFUNCTION("""COMPUTED_VALUE"""),"tCP")</f>
        <v>tCP</v>
      </c>
      <c r="L236" s="9" t="str">
        <f>IFERROR(__xludf.DUMMYFUNCTION("""COMPUTED_VALUE"""),"tCPmt")</f>
        <v>tCPmt</v>
      </c>
      <c r="M236" s="9" t="str">
        <f>IFERROR(__xludf.DUMMYFUNCTION("""COMPUTED_VALUE"""),"tCPmti")</f>
        <v>tCPmti</v>
      </c>
      <c r="N236" s="9"/>
      <c r="O236" s="9"/>
      <c r="P236" s="9"/>
      <c r="Q236" s="9"/>
      <c r="R236" s="9"/>
      <c r="S236" s="42"/>
      <c r="T236" s="42"/>
      <c r="U236" s="42"/>
      <c r="V236" s="42"/>
      <c r="W236" s="42"/>
      <c r="X236" s="42"/>
      <c r="Y236" s="42"/>
      <c r="Z236" s="42"/>
      <c r="AA236" s="42"/>
      <c r="AB236" s="42" t="str">
        <f>IFERROR(__xludf.DUMMYFUNCTION("""COMPUTED_VALUE"""),"allen institute")</f>
        <v>allen institute</v>
      </c>
      <c r="AC236" s="42" t="str">
        <f>IFERROR(__xludf.DUMMYFUNCTION("""COMPUTED_VALUE"""),"DHBA")</f>
        <v>DHBA</v>
      </c>
      <c r="AD236" s="42"/>
      <c r="AE236" s="42"/>
      <c r="AF236" s="9"/>
      <c r="AG236" s="9"/>
      <c r="AH236" s="42"/>
      <c r="AI236" s="42"/>
      <c r="AJ236" s="42"/>
      <c r="AK236" s="42"/>
      <c r="AL236" s="42"/>
      <c r="AM236" s="42"/>
      <c r="AN236" s="42"/>
      <c r="AO236" s="63" t="str">
        <f>IFERROR(__xludf.DUMMYFUNCTION("IF(ISBLANK(A236),,IF(ISBLANK(S236), A236&amp;"";"", TEXTJOIN(CHAR(10), TRUE, A236&amp;"";"", ARRAYFORMULA(VLOOKUP(SPLIT(S236, "";"" &amp; CHAR(10)), $A:$AO, 41, FALSE)))))"),"tCPmti;")</f>
        <v>tCPmti;</v>
      </c>
      <c r="AP236" s="89"/>
    </row>
    <row r="237">
      <c r="A237" s="151" t="str">
        <f>IFERROR(__xludf.DUMMYFUNCTION("""COMPUTED_VALUE"""),"tCPlt")</f>
        <v>tCPlt</v>
      </c>
      <c r="B237" s="42" t="str">
        <f>IFERROR(__xludf.DUMMYFUNCTION("""COMPUTED_VALUE"""),"DHBA")</f>
        <v>DHBA</v>
      </c>
      <c r="C237" s="42" t="str">
        <f>IFERROR(__xludf.DUMMYFUNCTION("""COMPUTED_VALUE"""),"CP in lateral temporal-occipital cortex")</f>
        <v>CP in lateral temporal-occipital cortex</v>
      </c>
      <c r="D237" s="42">
        <f>IFERROR(__xludf.DUMMYFUNCTION("""COMPUTED_VALUE"""),203.0)</f>
        <v>203</v>
      </c>
      <c r="E237" s="39" t="str">
        <f>IFERROR(__xludf.DUMMYFUNCTION("""COMPUTED_VALUE"""),"CP in lateral temporal-occipital cortex")</f>
        <v>CP in lateral temporal-occipital cortex</v>
      </c>
      <c r="F237" s="9" t="str">
        <f>IFERROR(__xludf.DUMMYFUNCTION("""COMPUTED_VALUE"""),"Br")</f>
        <v>Br</v>
      </c>
      <c r="G237" s="9" t="str">
        <f>IFERROR(__xludf.DUMMYFUNCTION("""COMPUTED_VALUE"""),"F")</f>
        <v>F</v>
      </c>
      <c r="H237" s="9" t="str">
        <f>IFERROR(__xludf.DUMMYFUNCTION("""COMPUTED_VALUE"""),"FGM")</f>
        <v>FGM</v>
      </c>
      <c r="I237" s="9" t="str">
        <f>IFERROR(__xludf.DUMMYFUNCTION("""COMPUTED_VALUE"""),"FTS")</f>
        <v>FTS</v>
      </c>
      <c r="J237" s="9" t="str">
        <f>IFERROR(__xludf.DUMMYFUNCTION("""COMPUTED_VALUE"""),"CP")</f>
        <v>CP</v>
      </c>
      <c r="K237" s="9" t="str">
        <f>IFERROR(__xludf.DUMMYFUNCTION("""COMPUTED_VALUE"""),"tCP")</f>
        <v>tCP</v>
      </c>
      <c r="L237" s="9" t="str">
        <f>IFERROR(__xludf.DUMMYFUNCTION("""COMPUTED_VALUE"""),"tCPlt")</f>
        <v>tCPlt</v>
      </c>
      <c r="M237" s="9"/>
      <c r="N237" s="9"/>
      <c r="O237" s="9"/>
      <c r="P237" s="9"/>
      <c r="Q237" s="9"/>
      <c r="R237" s="9"/>
      <c r="S237" s="42" t="str">
        <f>IFERROR(__xludf.DUMMYFUNCTION("""COMPUTED_VALUE"""),"tCPlto;
tCPlti")</f>
        <v>tCPlto;
tCPlti</v>
      </c>
      <c r="T237" s="42"/>
      <c r="U237" s="42" t="b">
        <f>IFERROR(__xludf.DUMMYFUNCTION("""COMPUTED_VALUE"""),FALSE)</f>
        <v>0</v>
      </c>
      <c r="V237" s="42"/>
      <c r="W237" s="42"/>
      <c r="X237" s="42"/>
      <c r="Y237" s="42"/>
      <c r="Z237" s="42"/>
      <c r="AA237" s="42"/>
      <c r="AB237" s="42" t="str">
        <f>IFERROR(__xludf.DUMMYFUNCTION("""COMPUTED_VALUE"""),"allen institute")</f>
        <v>allen institute</v>
      </c>
      <c r="AC237" s="42" t="str">
        <f>IFERROR(__xludf.DUMMYFUNCTION("""COMPUTED_VALUE"""),"DHBA")</f>
        <v>DHBA</v>
      </c>
      <c r="AD237" s="42"/>
      <c r="AE237" s="42"/>
      <c r="AF237" s="9"/>
      <c r="AG237" s="9"/>
      <c r="AH237" s="42"/>
      <c r="AI237" s="42"/>
      <c r="AJ237" s="42"/>
      <c r="AK237" s="42"/>
      <c r="AL237" s="42"/>
      <c r="AM237" s="42"/>
      <c r="AN237" s="42"/>
      <c r="AO237" s="63" t="str">
        <f>IFERROR(__xludf.DUMMYFUNCTION("IF(ISBLANK(A237),,IF(ISBLANK(S237), A237&amp;"";"", TEXTJOIN(CHAR(10), TRUE, A237&amp;"";"", ARRAYFORMULA(VLOOKUP(SPLIT(S237, "";"" &amp; CHAR(10)), $A:$AO, 41, FALSE)))))"),"tCPlt;
tCPlto;
tCPlti;")</f>
        <v>tCPlt;
tCPlto;
tCPlti;</v>
      </c>
      <c r="AP237" s="89"/>
    </row>
    <row r="238">
      <c r="A238" s="151" t="str">
        <f>IFERROR(__xludf.DUMMYFUNCTION("""COMPUTED_VALUE"""),"tCPlto")</f>
        <v>tCPlto</v>
      </c>
      <c r="B238" s="42" t="str">
        <f>IFERROR(__xludf.DUMMYFUNCTION("""COMPUTED_VALUE"""),"DHBA")</f>
        <v>DHBA</v>
      </c>
      <c r="C238" s="42" t="str">
        <f>IFERROR(__xludf.DUMMYFUNCTION("""COMPUTED_VALUE"""),"outer CP in lateral temporal-occipital cortex")</f>
        <v>outer CP in lateral temporal-occipital cortex</v>
      </c>
      <c r="D238" s="42">
        <f>IFERROR(__xludf.DUMMYFUNCTION("""COMPUTED_VALUE"""),204.0)</f>
        <v>204</v>
      </c>
      <c r="E238" s="39" t="str">
        <f>IFERROR(__xludf.DUMMYFUNCTION("""COMPUTED_VALUE"""),"outer CP in lateral temporal-occipital cortex")</f>
        <v>outer CP in lateral temporal-occipital cortex</v>
      </c>
      <c r="F238" s="9" t="str">
        <f>IFERROR(__xludf.DUMMYFUNCTION("""COMPUTED_VALUE"""),"Br")</f>
        <v>Br</v>
      </c>
      <c r="G238" s="9" t="str">
        <f>IFERROR(__xludf.DUMMYFUNCTION("""COMPUTED_VALUE"""),"F")</f>
        <v>F</v>
      </c>
      <c r="H238" s="9" t="str">
        <f>IFERROR(__xludf.DUMMYFUNCTION("""COMPUTED_VALUE"""),"FGM")</f>
        <v>FGM</v>
      </c>
      <c r="I238" s="9" t="str">
        <f>IFERROR(__xludf.DUMMYFUNCTION("""COMPUTED_VALUE"""),"FTS")</f>
        <v>FTS</v>
      </c>
      <c r="J238" s="9" t="str">
        <f>IFERROR(__xludf.DUMMYFUNCTION("""COMPUTED_VALUE"""),"CP")</f>
        <v>CP</v>
      </c>
      <c r="K238" s="9" t="str">
        <f>IFERROR(__xludf.DUMMYFUNCTION("""COMPUTED_VALUE"""),"tCP")</f>
        <v>tCP</v>
      </c>
      <c r="L238" s="9" t="str">
        <f>IFERROR(__xludf.DUMMYFUNCTION("""COMPUTED_VALUE"""),"tCPlt")</f>
        <v>tCPlt</v>
      </c>
      <c r="M238" s="9" t="str">
        <f>IFERROR(__xludf.DUMMYFUNCTION("""COMPUTED_VALUE"""),"tCPlto")</f>
        <v>tCPlto</v>
      </c>
      <c r="N238" s="9"/>
      <c r="O238" s="9"/>
      <c r="P238" s="9"/>
      <c r="Q238" s="9"/>
      <c r="R238" s="9"/>
      <c r="S238" s="42"/>
      <c r="T238" s="42"/>
      <c r="U238" s="42"/>
      <c r="V238" s="42"/>
      <c r="W238" s="42"/>
      <c r="X238" s="42"/>
      <c r="Y238" s="42"/>
      <c r="Z238" s="42"/>
      <c r="AA238" s="42"/>
      <c r="AB238" s="42" t="str">
        <f>IFERROR(__xludf.DUMMYFUNCTION("""COMPUTED_VALUE"""),"allen institute")</f>
        <v>allen institute</v>
      </c>
      <c r="AC238" s="42" t="str">
        <f>IFERROR(__xludf.DUMMYFUNCTION("""COMPUTED_VALUE"""),"DHBA")</f>
        <v>DHBA</v>
      </c>
      <c r="AD238" s="42"/>
      <c r="AE238" s="42"/>
      <c r="AF238" s="9"/>
      <c r="AG238" s="9"/>
      <c r="AH238" s="42"/>
      <c r="AI238" s="42"/>
      <c r="AJ238" s="42"/>
      <c r="AK238" s="42"/>
      <c r="AL238" s="42"/>
      <c r="AM238" s="42"/>
      <c r="AN238" s="42"/>
      <c r="AO238" s="63" t="str">
        <f>IFERROR(__xludf.DUMMYFUNCTION("IF(ISBLANK(A238),,IF(ISBLANK(S238), A238&amp;"";"", TEXTJOIN(CHAR(10), TRUE, A238&amp;"";"", ARRAYFORMULA(VLOOKUP(SPLIT(S238, "";"" &amp; CHAR(10)), $A:$AO, 41, FALSE)))))"),"tCPlto;")</f>
        <v>tCPlto;</v>
      </c>
      <c r="AP238" s="89"/>
    </row>
    <row r="239">
      <c r="A239" s="151" t="str">
        <f>IFERROR(__xludf.DUMMYFUNCTION("""COMPUTED_VALUE"""),"tCPlti")</f>
        <v>tCPlti</v>
      </c>
      <c r="B239" s="42" t="str">
        <f>IFERROR(__xludf.DUMMYFUNCTION("""COMPUTED_VALUE"""),"DHBA")</f>
        <v>DHBA</v>
      </c>
      <c r="C239" s="42" t="str">
        <f>IFERROR(__xludf.DUMMYFUNCTION("""COMPUTED_VALUE"""),"inner CP in lateral temporal-occipital cortex")</f>
        <v>inner CP in lateral temporal-occipital cortex</v>
      </c>
      <c r="D239" s="42">
        <f>IFERROR(__xludf.DUMMYFUNCTION("""COMPUTED_VALUE"""),205.0)</f>
        <v>205</v>
      </c>
      <c r="E239" s="39" t="str">
        <f>IFERROR(__xludf.DUMMYFUNCTION("""COMPUTED_VALUE"""),"inner CP in lateral temporal-occipital cortex")</f>
        <v>inner CP in lateral temporal-occipital cortex</v>
      </c>
      <c r="F239" s="9" t="str">
        <f>IFERROR(__xludf.DUMMYFUNCTION("""COMPUTED_VALUE"""),"Br")</f>
        <v>Br</v>
      </c>
      <c r="G239" s="9" t="str">
        <f>IFERROR(__xludf.DUMMYFUNCTION("""COMPUTED_VALUE"""),"F")</f>
        <v>F</v>
      </c>
      <c r="H239" s="9" t="str">
        <f>IFERROR(__xludf.DUMMYFUNCTION("""COMPUTED_VALUE"""),"FGM")</f>
        <v>FGM</v>
      </c>
      <c r="I239" s="9" t="str">
        <f>IFERROR(__xludf.DUMMYFUNCTION("""COMPUTED_VALUE"""),"FTS")</f>
        <v>FTS</v>
      </c>
      <c r="J239" s="9" t="str">
        <f>IFERROR(__xludf.DUMMYFUNCTION("""COMPUTED_VALUE"""),"CP")</f>
        <v>CP</v>
      </c>
      <c r="K239" s="9" t="str">
        <f>IFERROR(__xludf.DUMMYFUNCTION("""COMPUTED_VALUE"""),"tCP")</f>
        <v>tCP</v>
      </c>
      <c r="L239" s="9" t="str">
        <f>IFERROR(__xludf.DUMMYFUNCTION("""COMPUTED_VALUE"""),"tCPlt")</f>
        <v>tCPlt</v>
      </c>
      <c r="M239" s="9" t="str">
        <f>IFERROR(__xludf.DUMMYFUNCTION("""COMPUTED_VALUE"""),"tCPlti")</f>
        <v>tCPlti</v>
      </c>
      <c r="N239" s="9"/>
      <c r="O239" s="9"/>
      <c r="P239" s="9"/>
      <c r="Q239" s="9"/>
      <c r="R239" s="9"/>
      <c r="S239" s="42"/>
      <c r="T239" s="42"/>
      <c r="U239" s="42"/>
      <c r="V239" s="42"/>
      <c r="W239" s="42"/>
      <c r="X239" s="42"/>
      <c r="Y239" s="42"/>
      <c r="Z239" s="42"/>
      <c r="AA239" s="42"/>
      <c r="AB239" s="42" t="str">
        <f>IFERROR(__xludf.DUMMYFUNCTION("""COMPUTED_VALUE"""),"allen institute")</f>
        <v>allen institute</v>
      </c>
      <c r="AC239" s="42" t="str">
        <f>IFERROR(__xludf.DUMMYFUNCTION("""COMPUTED_VALUE"""),"DHBA")</f>
        <v>DHBA</v>
      </c>
      <c r="AD239" s="42"/>
      <c r="AE239" s="42"/>
      <c r="AF239" s="9"/>
      <c r="AG239" s="9"/>
      <c r="AH239" s="42"/>
      <c r="AI239" s="42"/>
      <c r="AJ239" s="42"/>
      <c r="AK239" s="42"/>
      <c r="AL239" s="42"/>
      <c r="AM239" s="42"/>
      <c r="AN239" s="42"/>
      <c r="AO239" s="63" t="str">
        <f>IFERROR(__xludf.DUMMYFUNCTION("IF(ISBLANK(A239),,IF(ISBLANK(S239), A239&amp;"";"", TEXTJOIN(CHAR(10), TRUE, A239&amp;"";"", ARRAYFORMULA(VLOOKUP(SPLIT(S239, "";"" &amp; CHAR(10)), $A:$AO, 41, FALSE)))))"),"tCPlti;")</f>
        <v>tCPlti;</v>
      </c>
      <c r="AP239" s="89"/>
    </row>
    <row r="240">
      <c r="A240" s="151" t="str">
        <f>IFERROR(__xludf.DUMMYFUNCTION("""COMPUTED_VALUE"""),"tCPtp")</f>
        <v>tCPtp</v>
      </c>
      <c r="B240" s="42" t="str">
        <f>IFERROR(__xludf.DUMMYFUNCTION("""COMPUTED_VALUE"""),"DHBA")</f>
        <v>DHBA</v>
      </c>
      <c r="C240" s="42" t="str">
        <f>IFERROR(__xludf.DUMMYFUNCTION("""COMPUTED_VALUE"""),"CP in temporal polar cortex")</f>
        <v>CP in temporal polar cortex</v>
      </c>
      <c r="D240" s="42">
        <f>IFERROR(__xludf.DUMMYFUNCTION("""COMPUTED_VALUE"""),206.0)</f>
        <v>206</v>
      </c>
      <c r="E240" s="39" t="str">
        <f>IFERROR(__xludf.DUMMYFUNCTION("""COMPUTED_VALUE"""),"CP in temporal polar cortex")</f>
        <v>CP in temporal polar cortex</v>
      </c>
      <c r="F240" s="9" t="str">
        <f>IFERROR(__xludf.DUMMYFUNCTION("""COMPUTED_VALUE"""),"Br")</f>
        <v>Br</v>
      </c>
      <c r="G240" s="9" t="str">
        <f>IFERROR(__xludf.DUMMYFUNCTION("""COMPUTED_VALUE"""),"F")</f>
        <v>F</v>
      </c>
      <c r="H240" s="9" t="str">
        <f>IFERROR(__xludf.DUMMYFUNCTION("""COMPUTED_VALUE"""),"FGM")</f>
        <v>FGM</v>
      </c>
      <c r="I240" s="9" t="str">
        <f>IFERROR(__xludf.DUMMYFUNCTION("""COMPUTED_VALUE"""),"FTS")</f>
        <v>FTS</v>
      </c>
      <c r="J240" s="9" t="str">
        <f>IFERROR(__xludf.DUMMYFUNCTION("""COMPUTED_VALUE"""),"CP")</f>
        <v>CP</v>
      </c>
      <c r="K240" s="9" t="str">
        <f>IFERROR(__xludf.DUMMYFUNCTION("""COMPUTED_VALUE"""),"tCP")</f>
        <v>tCP</v>
      </c>
      <c r="L240" s="9" t="str">
        <f>IFERROR(__xludf.DUMMYFUNCTION("""COMPUTED_VALUE"""),"tCPtp")</f>
        <v>tCPtp</v>
      </c>
      <c r="M240" s="9"/>
      <c r="N240" s="9"/>
      <c r="O240" s="9"/>
      <c r="P240" s="9"/>
      <c r="Q240" s="9"/>
      <c r="R240" s="9"/>
      <c r="S240" s="42" t="str">
        <f>IFERROR(__xludf.DUMMYFUNCTION("""COMPUTED_VALUE"""),"tCPtpo;
tCPtpi")</f>
        <v>tCPtpo;
tCPtpi</v>
      </c>
      <c r="T240" s="42"/>
      <c r="U240" s="42" t="b">
        <f>IFERROR(__xludf.DUMMYFUNCTION("""COMPUTED_VALUE"""),FALSE)</f>
        <v>0</v>
      </c>
      <c r="V240" s="42"/>
      <c r="W240" s="42"/>
      <c r="X240" s="42"/>
      <c r="Y240" s="42"/>
      <c r="Z240" s="42"/>
      <c r="AA240" s="42"/>
      <c r="AB240" s="42" t="str">
        <f>IFERROR(__xludf.DUMMYFUNCTION("""COMPUTED_VALUE"""),"allen institute")</f>
        <v>allen institute</v>
      </c>
      <c r="AC240" s="42" t="str">
        <f>IFERROR(__xludf.DUMMYFUNCTION("""COMPUTED_VALUE"""),"DHBA")</f>
        <v>DHBA</v>
      </c>
      <c r="AD240" s="42"/>
      <c r="AE240" s="42"/>
      <c r="AF240" s="9"/>
      <c r="AG240" s="9"/>
      <c r="AH240" s="42"/>
      <c r="AI240" s="42"/>
      <c r="AJ240" s="42"/>
      <c r="AK240" s="42"/>
      <c r="AL240" s="42"/>
      <c r="AM240" s="42"/>
      <c r="AN240" s="42"/>
      <c r="AO240" s="63" t="str">
        <f>IFERROR(__xludf.DUMMYFUNCTION("IF(ISBLANK(A240),,IF(ISBLANK(S240), A240&amp;"";"", TEXTJOIN(CHAR(10), TRUE, A240&amp;"";"", ARRAYFORMULA(VLOOKUP(SPLIT(S240, "";"" &amp; CHAR(10)), $A:$AO, 41, FALSE)))))"),"tCPtp;
tCPtpo;
tCPtpi;")</f>
        <v>tCPtp;
tCPtpo;
tCPtpi;</v>
      </c>
      <c r="AP240" s="89"/>
    </row>
    <row r="241">
      <c r="A241" s="151" t="str">
        <f>IFERROR(__xludf.DUMMYFUNCTION("""COMPUTED_VALUE"""),"tCPtpo")</f>
        <v>tCPtpo</v>
      </c>
      <c r="B241" s="42" t="str">
        <f>IFERROR(__xludf.DUMMYFUNCTION("""COMPUTED_VALUE"""),"DHBA")</f>
        <v>DHBA</v>
      </c>
      <c r="C241" s="42" t="str">
        <f>IFERROR(__xludf.DUMMYFUNCTION("""COMPUTED_VALUE"""),"outer CP in temporal polar cortex")</f>
        <v>outer CP in temporal polar cortex</v>
      </c>
      <c r="D241" s="42">
        <f>IFERROR(__xludf.DUMMYFUNCTION("""COMPUTED_VALUE"""),207.0)</f>
        <v>207</v>
      </c>
      <c r="E241" s="39" t="str">
        <f>IFERROR(__xludf.DUMMYFUNCTION("""COMPUTED_VALUE"""),"outer CP in temporal polar cortex")</f>
        <v>outer CP in temporal polar cortex</v>
      </c>
      <c r="F241" s="9" t="str">
        <f>IFERROR(__xludf.DUMMYFUNCTION("""COMPUTED_VALUE"""),"Br")</f>
        <v>Br</v>
      </c>
      <c r="G241" s="9" t="str">
        <f>IFERROR(__xludf.DUMMYFUNCTION("""COMPUTED_VALUE"""),"F")</f>
        <v>F</v>
      </c>
      <c r="H241" s="9" t="str">
        <f>IFERROR(__xludf.DUMMYFUNCTION("""COMPUTED_VALUE"""),"FGM")</f>
        <v>FGM</v>
      </c>
      <c r="I241" s="9" t="str">
        <f>IFERROR(__xludf.DUMMYFUNCTION("""COMPUTED_VALUE"""),"FTS")</f>
        <v>FTS</v>
      </c>
      <c r="J241" s="9" t="str">
        <f>IFERROR(__xludf.DUMMYFUNCTION("""COMPUTED_VALUE"""),"CP")</f>
        <v>CP</v>
      </c>
      <c r="K241" s="9" t="str">
        <f>IFERROR(__xludf.DUMMYFUNCTION("""COMPUTED_VALUE"""),"tCP")</f>
        <v>tCP</v>
      </c>
      <c r="L241" s="9" t="str">
        <f>IFERROR(__xludf.DUMMYFUNCTION("""COMPUTED_VALUE"""),"tCPtp")</f>
        <v>tCPtp</v>
      </c>
      <c r="M241" s="9" t="str">
        <f>IFERROR(__xludf.DUMMYFUNCTION("""COMPUTED_VALUE"""),"tCPtpo")</f>
        <v>tCPtpo</v>
      </c>
      <c r="N241" s="9"/>
      <c r="O241" s="9"/>
      <c r="P241" s="9"/>
      <c r="Q241" s="9"/>
      <c r="R241" s="9"/>
      <c r="S241" s="42"/>
      <c r="T241" s="42"/>
      <c r="U241" s="42"/>
      <c r="V241" s="42"/>
      <c r="W241" s="42"/>
      <c r="X241" s="42"/>
      <c r="Y241" s="42"/>
      <c r="Z241" s="42"/>
      <c r="AA241" s="42"/>
      <c r="AB241" s="42" t="str">
        <f>IFERROR(__xludf.DUMMYFUNCTION("""COMPUTED_VALUE"""),"allen institute")</f>
        <v>allen institute</v>
      </c>
      <c r="AC241" s="42" t="str">
        <f>IFERROR(__xludf.DUMMYFUNCTION("""COMPUTED_VALUE"""),"DHBA")</f>
        <v>DHBA</v>
      </c>
      <c r="AD241" s="42"/>
      <c r="AE241" s="42"/>
      <c r="AF241" s="9"/>
      <c r="AG241" s="9"/>
      <c r="AH241" s="42"/>
      <c r="AI241" s="42"/>
      <c r="AJ241" s="42"/>
      <c r="AK241" s="42"/>
      <c r="AL241" s="42"/>
      <c r="AM241" s="42"/>
      <c r="AN241" s="42"/>
      <c r="AO241" s="63" t="str">
        <f>IFERROR(__xludf.DUMMYFUNCTION("IF(ISBLANK(A241),,IF(ISBLANK(S241), A241&amp;"";"", TEXTJOIN(CHAR(10), TRUE, A241&amp;"";"", ARRAYFORMULA(VLOOKUP(SPLIT(S241, "";"" &amp; CHAR(10)), $A:$AO, 41, FALSE)))))"),"tCPtpo;")</f>
        <v>tCPtpo;</v>
      </c>
      <c r="AP241" s="89"/>
    </row>
    <row r="242">
      <c r="A242" s="151" t="str">
        <f>IFERROR(__xludf.DUMMYFUNCTION("""COMPUTED_VALUE"""),"tCPtpi")</f>
        <v>tCPtpi</v>
      </c>
      <c r="B242" s="42" t="str">
        <f>IFERROR(__xludf.DUMMYFUNCTION("""COMPUTED_VALUE"""),"DHBA")</f>
        <v>DHBA</v>
      </c>
      <c r="C242" s="42" t="str">
        <f>IFERROR(__xludf.DUMMYFUNCTION("""COMPUTED_VALUE"""),"inner CP in temporal polar cortex")</f>
        <v>inner CP in temporal polar cortex</v>
      </c>
      <c r="D242" s="42">
        <f>IFERROR(__xludf.DUMMYFUNCTION("""COMPUTED_VALUE"""),208.0)</f>
        <v>208</v>
      </c>
      <c r="E242" s="39" t="str">
        <f>IFERROR(__xludf.DUMMYFUNCTION("""COMPUTED_VALUE"""),"inner CP in temporal polar cortex")</f>
        <v>inner CP in temporal polar cortex</v>
      </c>
      <c r="F242" s="9" t="str">
        <f>IFERROR(__xludf.DUMMYFUNCTION("""COMPUTED_VALUE"""),"Br")</f>
        <v>Br</v>
      </c>
      <c r="G242" s="9" t="str">
        <f>IFERROR(__xludf.DUMMYFUNCTION("""COMPUTED_VALUE"""),"F")</f>
        <v>F</v>
      </c>
      <c r="H242" s="9" t="str">
        <f>IFERROR(__xludf.DUMMYFUNCTION("""COMPUTED_VALUE"""),"FGM")</f>
        <v>FGM</v>
      </c>
      <c r="I242" s="9" t="str">
        <f>IFERROR(__xludf.DUMMYFUNCTION("""COMPUTED_VALUE"""),"FTS")</f>
        <v>FTS</v>
      </c>
      <c r="J242" s="9" t="str">
        <f>IFERROR(__xludf.DUMMYFUNCTION("""COMPUTED_VALUE"""),"CP")</f>
        <v>CP</v>
      </c>
      <c r="K242" s="9" t="str">
        <f>IFERROR(__xludf.DUMMYFUNCTION("""COMPUTED_VALUE"""),"tCP")</f>
        <v>tCP</v>
      </c>
      <c r="L242" s="9" t="str">
        <f>IFERROR(__xludf.DUMMYFUNCTION("""COMPUTED_VALUE"""),"tCPtp")</f>
        <v>tCPtp</v>
      </c>
      <c r="M242" s="9" t="str">
        <f>IFERROR(__xludf.DUMMYFUNCTION("""COMPUTED_VALUE"""),"tCPtpi")</f>
        <v>tCPtpi</v>
      </c>
      <c r="N242" s="9"/>
      <c r="O242" s="9"/>
      <c r="P242" s="9"/>
      <c r="Q242" s="9"/>
      <c r="R242" s="9"/>
      <c r="S242" s="42"/>
      <c r="T242" s="42"/>
      <c r="U242" s="42"/>
      <c r="V242" s="42"/>
      <c r="W242" s="42"/>
      <c r="X242" s="42"/>
      <c r="Y242" s="42"/>
      <c r="Z242" s="42"/>
      <c r="AA242" s="42"/>
      <c r="AB242" s="42" t="str">
        <f>IFERROR(__xludf.DUMMYFUNCTION("""COMPUTED_VALUE"""),"allen institute")</f>
        <v>allen institute</v>
      </c>
      <c r="AC242" s="42" t="str">
        <f>IFERROR(__xludf.DUMMYFUNCTION("""COMPUTED_VALUE"""),"DHBA")</f>
        <v>DHBA</v>
      </c>
      <c r="AD242" s="42"/>
      <c r="AE242" s="42"/>
      <c r="AF242" s="9"/>
      <c r="AG242" s="9"/>
      <c r="AH242" s="42"/>
      <c r="AI242" s="42"/>
      <c r="AJ242" s="42"/>
      <c r="AK242" s="42"/>
      <c r="AL242" s="42"/>
      <c r="AM242" s="42"/>
      <c r="AN242" s="42"/>
      <c r="AO242" s="63" t="str">
        <f>IFERROR(__xludf.DUMMYFUNCTION("IF(ISBLANK(A242),,IF(ISBLANK(S242), A242&amp;"";"", TEXTJOIN(CHAR(10), TRUE, A242&amp;"";"", ARRAYFORMULA(VLOOKUP(SPLIT(S242, "";"" &amp; CHAR(10)), $A:$AO, 41, FALSE)))))"),"tCPtpi;")</f>
        <v>tCPtpi;</v>
      </c>
      <c r="AP242" s="89"/>
    </row>
    <row r="243">
      <c r="A243" s="151" t="str">
        <f>IFERROR(__xludf.DUMMYFUNCTION("""COMPUTED_VALUE"""),"oCP")</f>
        <v>oCP</v>
      </c>
      <c r="B243" s="42" t="str">
        <f>IFERROR(__xludf.DUMMYFUNCTION("""COMPUTED_VALUE"""),"DHBA")</f>
        <v>DHBA</v>
      </c>
      <c r="C243" s="42" t="str">
        <f>IFERROR(__xludf.DUMMYFUNCTION("""COMPUTED_VALUE"""),"CP in occipital neocortex")</f>
        <v>CP in occipital neocortex</v>
      </c>
      <c r="D243" s="42">
        <f>IFERROR(__xludf.DUMMYFUNCTION("""COMPUTED_VALUE"""),209.0)</f>
        <v>209</v>
      </c>
      <c r="E243" s="39" t="str">
        <f>IFERROR(__xludf.DUMMYFUNCTION("""COMPUTED_VALUE"""),"CP in occipital neocortex")</f>
        <v>CP in occipital neocortex</v>
      </c>
      <c r="F243" s="9" t="str">
        <f>IFERROR(__xludf.DUMMYFUNCTION("""COMPUTED_VALUE"""),"Br")</f>
        <v>Br</v>
      </c>
      <c r="G243" s="9" t="str">
        <f>IFERROR(__xludf.DUMMYFUNCTION("""COMPUTED_VALUE"""),"F")</f>
        <v>F</v>
      </c>
      <c r="H243" s="9" t="str">
        <f>IFERROR(__xludf.DUMMYFUNCTION("""COMPUTED_VALUE"""),"FGM")</f>
        <v>FGM</v>
      </c>
      <c r="I243" s="9" t="str">
        <f>IFERROR(__xludf.DUMMYFUNCTION("""COMPUTED_VALUE"""),"FTS")</f>
        <v>FTS</v>
      </c>
      <c r="J243" s="9" t="str">
        <f>IFERROR(__xludf.DUMMYFUNCTION("""COMPUTED_VALUE"""),"CP")</f>
        <v>CP</v>
      </c>
      <c r="K243" s="9" t="str">
        <f>IFERROR(__xludf.DUMMYFUNCTION("""COMPUTED_VALUE"""),"oCP")</f>
        <v>oCP</v>
      </c>
      <c r="L243" s="9"/>
      <c r="M243" s="9"/>
      <c r="N243" s="9"/>
      <c r="O243" s="9"/>
      <c r="P243" s="9"/>
      <c r="Q243" s="9"/>
      <c r="R243" s="9"/>
      <c r="S243" s="42" t="str">
        <f>IFERROR(__xludf.DUMMYFUNCTION("""COMPUTED_VALUE"""),"oCPpro;
oCPv1;
oCPexs")</f>
        <v>oCPpro;
oCPv1;
oCPexs</v>
      </c>
      <c r="T243" s="42"/>
      <c r="U243" s="42" t="b">
        <f>IFERROR(__xludf.DUMMYFUNCTION("""COMPUTED_VALUE"""),FALSE)</f>
        <v>0</v>
      </c>
      <c r="V243" s="42"/>
      <c r="W243" s="42"/>
      <c r="X243" s="42"/>
      <c r="Y243" s="42"/>
      <c r="Z243" s="42"/>
      <c r="AA243" s="42"/>
      <c r="AB243" s="42" t="str">
        <f>IFERROR(__xludf.DUMMYFUNCTION("""COMPUTED_VALUE"""),"allen institute")</f>
        <v>allen institute</v>
      </c>
      <c r="AC243" s="42" t="str">
        <f>IFERROR(__xludf.DUMMYFUNCTION("""COMPUTED_VALUE"""),"DHBA")</f>
        <v>DHBA</v>
      </c>
      <c r="AD243" s="42"/>
      <c r="AE243" s="42"/>
      <c r="AF243" s="9"/>
      <c r="AG243" s="9"/>
      <c r="AH243" s="42"/>
      <c r="AI243" s="42"/>
      <c r="AJ243" s="42"/>
      <c r="AK243" s="42"/>
      <c r="AL243" s="42"/>
      <c r="AM243" s="42"/>
      <c r="AN243" s="42"/>
      <c r="AO243" s="63" t="str">
        <f>IFERROR(__xludf.DUMMYFUNCTION("IF(ISBLANK(A243),,IF(ISBLANK(S243), A243&amp;"";"", TEXTJOIN(CHAR(10), TRUE, A243&amp;"";"", ARRAYFORMULA(VLOOKUP(SPLIT(S243, "";"" &amp; CHAR(10)), $A:$AO, 41, FALSE)))))"),"oCP;
oCPpro;
oCPv1;
oCPv1o;
oCPv1i;
oCPexs;
oCPdm;
oCPdmo;
oCPdmi;
oCPvm;
oCPvmo;
oCPvmi;
oCPml;
oCPmlo;
oCPmli;")</f>
        <v>oCP;
oCPpro;
oCPv1;
oCPv1o;
oCPv1i;
oCPexs;
oCPdm;
oCPdmo;
oCPdmi;
oCPvm;
oCPvmo;
oCPvmi;
oCPml;
oCPmlo;
oCPmli;</v>
      </c>
      <c r="AP243" s="89"/>
    </row>
    <row r="244">
      <c r="A244" s="151" t="str">
        <f>IFERROR(__xludf.DUMMYFUNCTION("""COMPUTED_VALUE"""),"oCPpro")</f>
        <v>oCPpro</v>
      </c>
      <c r="B244" s="42" t="str">
        <f>IFERROR(__xludf.DUMMYFUNCTION("""COMPUTED_VALUE"""),"DHBA")</f>
        <v>DHBA</v>
      </c>
      <c r="C244" s="42" t="str">
        <f>IFERROR(__xludf.DUMMYFUNCTION("""COMPUTED_VALUE"""),"CP in area prostriata")</f>
        <v>CP in area prostriata</v>
      </c>
      <c r="D244" s="42">
        <f>IFERROR(__xludf.DUMMYFUNCTION("""COMPUTED_VALUE"""),210.0)</f>
        <v>210</v>
      </c>
      <c r="E244" s="39" t="str">
        <f>IFERROR(__xludf.DUMMYFUNCTION("""COMPUTED_VALUE"""),"CP in area prostriata")</f>
        <v>CP in area prostriata</v>
      </c>
      <c r="F244" s="9" t="str">
        <f>IFERROR(__xludf.DUMMYFUNCTION("""COMPUTED_VALUE"""),"Br")</f>
        <v>Br</v>
      </c>
      <c r="G244" s="9" t="str">
        <f>IFERROR(__xludf.DUMMYFUNCTION("""COMPUTED_VALUE"""),"F")</f>
        <v>F</v>
      </c>
      <c r="H244" s="9" t="str">
        <f>IFERROR(__xludf.DUMMYFUNCTION("""COMPUTED_VALUE"""),"FGM")</f>
        <v>FGM</v>
      </c>
      <c r="I244" s="9" t="str">
        <f>IFERROR(__xludf.DUMMYFUNCTION("""COMPUTED_VALUE"""),"FTS")</f>
        <v>FTS</v>
      </c>
      <c r="J244" s="9" t="str">
        <f>IFERROR(__xludf.DUMMYFUNCTION("""COMPUTED_VALUE"""),"CP")</f>
        <v>CP</v>
      </c>
      <c r="K244" s="9" t="str">
        <f>IFERROR(__xludf.DUMMYFUNCTION("""COMPUTED_VALUE"""),"oCP")</f>
        <v>oCP</v>
      </c>
      <c r="L244" s="9" t="str">
        <f>IFERROR(__xludf.DUMMYFUNCTION("""COMPUTED_VALUE"""),"oCPpro")</f>
        <v>oCPpro</v>
      </c>
      <c r="M244" s="9"/>
      <c r="N244" s="9"/>
      <c r="O244" s="9"/>
      <c r="P244" s="9"/>
      <c r="Q244" s="9"/>
      <c r="R244" s="9"/>
      <c r="S244" s="42"/>
      <c r="T244" s="42"/>
      <c r="U244" s="42"/>
      <c r="V244" s="42"/>
      <c r="W244" s="42"/>
      <c r="X244" s="42"/>
      <c r="Y244" s="42"/>
      <c r="Z244" s="42"/>
      <c r="AA244" s="42"/>
      <c r="AB244" s="42" t="str">
        <f>IFERROR(__xludf.DUMMYFUNCTION("""COMPUTED_VALUE"""),"allen institute")</f>
        <v>allen institute</v>
      </c>
      <c r="AC244" s="42" t="str">
        <f>IFERROR(__xludf.DUMMYFUNCTION("""COMPUTED_VALUE"""),"DHBA")</f>
        <v>DHBA</v>
      </c>
      <c r="AD244" s="42"/>
      <c r="AE244" s="42"/>
      <c r="AF244" s="9"/>
      <c r="AG244" s="9"/>
      <c r="AH244" s="42"/>
      <c r="AI244" s="42"/>
      <c r="AJ244" s="42"/>
      <c r="AK244" s="42"/>
      <c r="AL244" s="42"/>
      <c r="AM244" s="42"/>
      <c r="AN244" s="42"/>
      <c r="AO244" s="63" t="str">
        <f>IFERROR(__xludf.DUMMYFUNCTION("IF(ISBLANK(A244),,IF(ISBLANK(S244), A244&amp;"";"", TEXTJOIN(CHAR(10), TRUE, A244&amp;"";"", ARRAYFORMULA(VLOOKUP(SPLIT(S244, "";"" &amp; CHAR(10)), $A:$AO, 41, FALSE)))))"),"oCPpro;")</f>
        <v>oCPpro;</v>
      </c>
      <c r="AP244" s="89"/>
    </row>
    <row r="245">
      <c r="A245" s="151" t="str">
        <f>IFERROR(__xludf.DUMMYFUNCTION("""COMPUTED_VALUE"""),"oCPv1")</f>
        <v>oCPv1</v>
      </c>
      <c r="B245" s="42" t="str">
        <f>IFERROR(__xludf.DUMMYFUNCTION("""COMPUTED_VALUE"""),"DHBA")</f>
        <v>DHBA</v>
      </c>
      <c r="C245" s="42" t="str">
        <f>IFERROR(__xludf.DUMMYFUNCTION("""COMPUTED_VALUE"""),"CP in primary visual cortex")</f>
        <v>CP in primary visual cortex</v>
      </c>
      <c r="D245" s="42">
        <f>IFERROR(__xludf.DUMMYFUNCTION("""COMPUTED_VALUE"""),211.0)</f>
        <v>211</v>
      </c>
      <c r="E245" s="39" t="str">
        <f>IFERROR(__xludf.DUMMYFUNCTION("""COMPUTED_VALUE"""),"CP in primary visual cortex")</f>
        <v>CP in primary visual cortex</v>
      </c>
      <c r="F245" s="9" t="str">
        <f>IFERROR(__xludf.DUMMYFUNCTION("""COMPUTED_VALUE"""),"Br")</f>
        <v>Br</v>
      </c>
      <c r="G245" s="9" t="str">
        <f>IFERROR(__xludf.DUMMYFUNCTION("""COMPUTED_VALUE"""),"F")</f>
        <v>F</v>
      </c>
      <c r="H245" s="9" t="str">
        <f>IFERROR(__xludf.DUMMYFUNCTION("""COMPUTED_VALUE"""),"FGM")</f>
        <v>FGM</v>
      </c>
      <c r="I245" s="9" t="str">
        <f>IFERROR(__xludf.DUMMYFUNCTION("""COMPUTED_VALUE"""),"FTS")</f>
        <v>FTS</v>
      </c>
      <c r="J245" s="9" t="str">
        <f>IFERROR(__xludf.DUMMYFUNCTION("""COMPUTED_VALUE"""),"CP")</f>
        <v>CP</v>
      </c>
      <c r="K245" s="9" t="str">
        <f>IFERROR(__xludf.DUMMYFUNCTION("""COMPUTED_VALUE"""),"oCP")</f>
        <v>oCP</v>
      </c>
      <c r="L245" s="9" t="str">
        <f>IFERROR(__xludf.DUMMYFUNCTION("""COMPUTED_VALUE"""),"oCPv1")</f>
        <v>oCPv1</v>
      </c>
      <c r="M245" s="9"/>
      <c r="N245" s="9"/>
      <c r="O245" s="9"/>
      <c r="P245" s="9"/>
      <c r="Q245" s="9"/>
      <c r="R245" s="9"/>
      <c r="S245" s="42" t="str">
        <f>IFERROR(__xludf.DUMMYFUNCTION("""COMPUTED_VALUE"""),"oCPv1o;
oCPv1i")</f>
        <v>oCPv1o;
oCPv1i</v>
      </c>
      <c r="T245" s="42"/>
      <c r="U245" s="42" t="b">
        <f>IFERROR(__xludf.DUMMYFUNCTION("""COMPUTED_VALUE"""),FALSE)</f>
        <v>0</v>
      </c>
      <c r="V245" s="42"/>
      <c r="W245" s="42"/>
      <c r="X245" s="42"/>
      <c r="Y245" s="42"/>
      <c r="Z245" s="42"/>
      <c r="AA245" s="42"/>
      <c r="AB245" s="42" t="str">
        <f>IFERROR(__xludf.DUMMYFUNCTION("""COMPUTED_VALUE"""),"allen institute")</f>
        <v>allen institute</v>
      </c>
      <c r="AC245" s="42" t="str">
        <f>IFERROR(__xludf.DUMMYFUNCTION("""COMPUTED_VALUE"""),"DHBA")</f>
        <v>DHBA</v>
      </c>
      <c r="AD245" s="42"/>
      <c r="AE245" s="42"/>
      <c r="AF245" s="9"/>
      <c r="AG245" s="9"/>
      <c r="AH245" s="42"/>
      <c r="AI245" s="42"/>
      <c r="AJ245" s="42"/>
      <c r="AK245" s="42"/>
      <c r="AL245" s="42"/>
      <c r="AM245" s="42"/>
      <c r="AN245" s="42"/>
      <c r="AO245" s="63" t="str">
        <f>IFERROR(__xludf.DUMMYFUNCTION("IF(ISBLANK(A245),,IF(ISBLANK(S245), A245&amp;"";"", TEXTJOIN(CHAR(10), TRUE, A245&amp;"";"", ARRAYFORMULA(VLOOKUP(SPLIT(S245, "";"" &amp; CHAR(10)), $A:$AO, 41, FALSE)))))"),"oCPv1;
oCPv1o;
oCPv1i;")</f>
        <v>oCPv1;
oCPv1o;
oCPv1i;</v>
      </c>
      <c r="AP245" s="89"/>
    </row>
    <row r="246">
      <c r="A246" s="151" t="str">
        <f>IFERROR(__xludf.DUMMYFUNCTION("""COMPUTED_VALUE"""),"oCPv1o")</f>
        <v>oCPv1o</v>
      </c>
      <c r="B246" s="42" t="str">
        <f>IFERROR(__xludf.DUMMYFUNCTION("""COMPUTED_VALUE"""),"DHBA")</f>
        <v>DHBA</v>
      </c>
      <c r="C246" s="42" t="str">
        <f>IFERROR(__xludf.DUMMYFUNCTION("""COMPUTED_VALUE"""),"outer CP in primary visual cortex")</f>
        <v>outer CP in primary visual cortex</v>
      </c>
      <c r="D246" s="42">
        <f>IFERROR(__xludf.DUMMYFUNCTION("""COMPUTED_VALUE"""),212.0)</f>
        <v>212</v>
      </c>
      <c r="E246" s="39" t="str">
        <f>IFERROR(__xludf.DUMMYFUNCTION("""COMPUTED_VALUE"""),"outer CP in primary visual cortex")</f>
        <v>outer CP in primary visual cortex</v>
      </c>
      <c r="F246" s="9" t="str">
        <f>IFERROR(__xludf.DUMMYFUNCTION("""COMPUTED_VALUE"""),"Br")</f>
        <v>Br</v>
      </c>
      <c r="G246" s="9" t="str">
        <f>IFERROR(__xludf.DUMMYFUNCTION("""COMPUTED_VALUE"""),"F")</f>
        <v>F</v>
      </c>
      <c r="H246" s="9" t="str">
        <f>IFERROR(__xludf.DUMMYFUNCTION("""COMPUTED_VALUE"""),"FGM")</f>
        <v>FGM</v>
      </c>
      <c r="I246" s="9" t="str">
        <f>IFERROR(__xludf.DUMMYFUNCTION("""COMPUTED_VALUE"""),"FTS")</f>
        <v>FTS</v>
      </c>
      <c r="J246" s="9" t="str">
        <f>IFERROR(__xludf.DUMMYFUNCTION("""COMPUTED_VALUE"""),"CP")</f>
        <v>CP</v>
      </c>
      <c r="K246" s="9" t="str">
        <f>IFERROR(__xludf.DUMMYFUNCTION("""COMPUTED_VALUE"""),"oCP")</f>
        <v>oCP</v>
      </c>
      <c r="L246" s="9" t="str">
        <f>IFERROR(__xludf.DUMMYFUNCTION("""COMPUTED_VALUE"""),"oCPv1")</f>
        <v>oCPv1</v>
      </c>
      <c r="M246" s="9" t="str">
        <f>IFERROR(__xludf.DUMMYFUNCTION("""COMPUTED_VALUE"""),"oCPv1o")</f>
        <v>oCPv1o</v>
      </c>
      <c r="N246" s="9"/>
      <c r="O246" s="9"/>
      <c r="P246" s="9"/>
      <c r="Q246" s="9"/>
      <c r="R246" s="9"/>
      <c r="S246" s="42"/>
      <c r="T246" s="42"/>
      <c r="U246" s="42"/>
      <c r="V246" s="42"/>
      <c r="W246" s="42"/>
      <c r="X246" s="42"/>
      <c r="Y246" s="42"/>
      <c r="Z246" s="42"/>
      <c r="AA246" s="42"/>
      <c r="AB246" s="42" t="str">
        <f>IFERROR(__xludf.DUMMYFUNCTION("""COMPUTED_VALUE"""),"allen institute")</f>
        <v>allen institute</v>
      </c>
      <c r="AC246" s="42" t="str">
        <f>IFERROR(__xludf.DUMMYFUNCTION("""COMPUTED_VALUE"""),"DHBA")</f>
        <v>DHBA</v>
      </c>
      <c r="AD246" s="42"/>
      <c r="AE246" s="42"/>
      <c r="AF246" s="9"/>
      <c r="AG246" s="9"/>
      <c r="AH246" s="42"/>
      <c r="AI246" s="42"/>
      <c r="AJ246" s="42"/>
      <c r="AK246" s="42"/>
      <c r="AL246" s="42"/>
      <c r="AM246" s="42"/>
      <c r="AN246" s="42"/>
      <c r="AO246" s="63" t="str">
        <f>IFERROR(__xludf.DUMMYFUNCTION("IF(ISBLANK(A246),,IF(ISBLANK(S246), A246&amp;"";"", TEXTJOIN(CHAR(10), TRUE, A246&amp;"";"", ARRAYFORMULA(VLOOKUP(SPLIT(S246, "";"" &amp; CHAR(10)), $A:$AO, 41, FALSE)))))"),"oCPv1o;")</f>
        <v>oCPv1o;</v>
      </c>
      <c r="AP246" s="89"/>
    </row>
    <row r="247">
      <c r="A247" s="151" t="str">
        <f>IFERROR(__xludf.DUMMYFUNCTION("""COMPUTED_VALUE"""),"oCPv1i")</f>
        <v>oCPv1i</v>
      </c>
      <c r="B247" s="42" t="str">
        <f>IFERROR(__xludf.DUMMYFUNCTION("""COMPUTED_VALUE"""),"DHBA")</f>
        <v>DHBA</v>
      </c>
      <c r="C247" s="42" t="str">
        <f>IFERROR(__xludf.DUMMYFUNCTION("""COMPUTED_VALUE"""),"inner CP in primary visual cortex")</f>
        <v>inner CP in primary visual cortex</v>
      </c>
      <c r="D247" s="42">
        <f>IFERROR(__xludf.DUMMYFUNCTION("""COMPUTED_VALUE"""),213.0)</f>
        <v>213</v>
      </c>
      <c r="E247" s="39" t="str">
        <f>IFERROR(__xludf.DUMMYFUNCTION("""COMPUTED_VALUE"""),"inner CP in primary visual cortex")</f>
        <v>inner CP in primary visual cortex</v>
      </c>
      <c r="F247" s="9" t="str">
        <f>IFERROR(__xludf.DUMMYFUNCTION("""COMPUTED_VALUE"""),"Br")</f>
        <v>Br</v>
      </c>
      <c r="G247" s="9" t="str">
        <f>IFERROR(__xludf.DUMMYFUNCTION("""COMPUTED_VALUE"""),"F")</f>
        <v>F</v>
      </c>
      <c r="H247" s="9" t="str">
        <f>IFERROR(__xludf.DUMMYFUNCTION("""COMPUTED_VALUE"""),"FGM")</f>
        <v>FGM</v>
      </c>
      <c r="I247" s="9" t="str">
        <f>IFERROR(__xludf.DUMMYFUNCTION("""COMPUTED_VALUE"""),"FTS")</f>
        <v>FTS</v>
      </c>
      <c r="J247" s="9" t="str">
        <f>IFERROR(__xludf.DUMMYFUNCTION("""COMPUTED_VALUE"""),"CP")</f>
        <v>CP</v>
      </c>
      <c r="K247" s="9" t="str">
        <f>IFERROR(__xludf.DUMMYFUNCTION("""COMPUTED_VALUE"""),"oCP")</f>
        <v>oCP</v>
      </c>
      <c r="L247" s="9" t="str">
        <f>IFERROR(__xludf.DUMMYFUNCTION("""COMPUTED_VALUE"""),"oCPv1")</f>
        <v>oCPv1</v>
      </c>
      <c r="M247" s="9" t="str">
        <f>IFERROR(__xludf.DUMMYFUNCTION("""COMPUTED_VALUE"""),"oCPv1i")</f>
        <v>oCPv1i</v>
      </c>
      <c r="N247" s="9"/>
      <c r="O247" s="9"/>
      <c r="P247" s="9"/>
      <c r="Q247" s="9"/>
      <c r="R247" s="9"/>
      <c r="S247" s="42"/>
      <c r="T247" s="42"/>
      <c r="U247" s="42"/>
      <c r="V247" s="42"/>
      <c r="W247" s="42"/>
      <c r="X247" s="42"/>
      <c r="Y247" s="42"/>
      <c r="Z247" s="42"/>
      <c r="AA247" s="42"/>
      <c r="AB247" s="42" t="str">
        <f>IFERROR(__xludf.DUMMYFUNCTION("""COMPUTED_VALUE"""),"allen institute")</f>
        <v>allen institute</v>
      </c>
      <c r="AC247" s="42" t="str">
        <f>IFERROR(__xludf.DUMMYFUNCTION("""COMPUTED_VALUE"""),"DHBA")</f>
        <v>DHBA</v>
      </c>
      <c r="AD247" s="42"/>
      <c r="AE247" s="42"/>
      <c r="AF247" s="9"/>
      <c r="AG247" s="9"/>
      <c r="AH247" s="42"/>
      <c r="AI247" s="42"/>
      <c r="AJ247" s="42"/>
      <c r="AK247" s="42"/>
      <c r="AL247" s="42"/>
      <c r="AM247" s="42"/>
      <c r="AN247" s="42"/>
      <c r="AO247" s="63" t="str">
        <f>IFERROR(__xludf.DUMMYFUNCTION("IF(ISBLANK(A247),,IF(ISBLANK(S247), A247&amp;"";"", TEXTJOIN(CHAR(10), TRUE, A247&amp;"";"", ARRAYFORMULA(VLOOKUP(SPLIT(S247, "";"" &amp; CHAR(10)), $A:$AO, 41, FALSE)))))"),"oCPv1i;")</f>
        <v>oCPv1i;</v>
      </c>
      <c r="AP247" s="89"/>
    </row>
    <row r="248">
      <c r="A248" s="151" t="str">
        <f>IFERROR(__xludf.DUMMYFUNCTION("""COMPUTED_VALUE"""),"oCPexs")</f>
        <v>oCPexs</v>
      </c>
      <c r="B248" s="42" t="str">
        <f>IFERROR(__xludf.DUMMYFUNCTION("""COMPUTED_VALUE"""),"DHBA")</f>
        <v>DHBA</v>
      </c>
      <c r="C248" s="42" t="str">
        <f>IFERROR(__xludf.DUMMYFUNCTION("""COMPUTED_VALUE"""),"CP in extrastriate cortex")</f>
        <v>CP in extrastriate cortex</v>
      </c>
      <c r="D248" s="42">
        <f>IFERROR(__xludf.DUMMYFUNCTION("""COMPUTED_VALUE"""),214.0)</f>
        <v>214</v>
      </c>
      <c r="E248" s="39" t="str">
        <f>IFERROR(__xludf.DUMMYFUNCTION("""COMPUTED_VALUE"""),"CP in extrastriate cortex")</f>
        <v>CP in extrastriate cortex</v>
      </c>
      <c r="F248" s="9" t="str">
        <f>IFERROR(__xludf.DUMMYFUNCTION("""COMPUTED_VALUE"""),"Br")</f>
        <v>Br</v>
      </c>
      <c r="G248" s="9" t="str">
        <f>IFERROR(__xludf.DUMMYFUNCTION("""COMPUTED_VALUE"""),"F")</f>
        <v>F</v>
      </c>
      <c r="H248" s="9" t="str">
        <f>IFERROR(__xludf.DUMMYFUNCTION("""COMPUTED_VALUE"""),"FGM")</f>
        <v>FGM</v>
      </c>
      <c r="I248" s="9" t="str">
        <f>IFERROR(__xludf.DUMMYFUNCTION("""COMPUTED_VALUE"""),"FTS")</f>
        <v>FTS</v>
      </c>
      <c r="J248" s="9" t="str">
        <f>IFERROR(__xludf.DUMMYFUNCTION("""COMPUTED_VALUE"""),"CP")</f>
        <v>CP</v>
      </c>
      <c r="K248" s="9" t="str">
        <f>IFERROR(__xludf.DUMMYFUNCTION("""COMPUTED_VALUE"""),"oCP")</f>
        <v>oCP</v>
      </c>
      <c r="L248" s="9" t="str">
        <f>IFERROR(__xludf.DUMMYFUNCTION("""COMPUTED_VALUE"""),"oCPexs")</f>
        <v>oCPexs</v>
      </c>
      <c r="M248" s="9"/>
      <c r="N248" s="9"/>
      <c r="O248" s="9"/>
      <c r="P248" s="9"/>
      <c r="Q248" s="9"/>
      <c r="R248" s="9"/>
      <c r="S248" s="42" t="str">
        <f>IFERROR(__xludf.DUMMYFUNCTION("""COMPUTED_VALUE"""),"oCPdm;
oCPvm;
oCPml")</f>
        <v>oCPdm;
oCPvm;
oCPml</v>
      </c>
      <c r="T248" s="42"/>
      <c r="U248" s="42" t="b">
        <f>IFERROR(__xludf.DUMMYFUNCTION("""COMPUTED_VALUE"""),FALSE)</f>
        <v>0</v>
      </c>
      <c r="V248" s="42"/>
      <c r="W248" s="42"/>
      <c r="X248" s="42"/>
      <c r="Y248" s="42"/>
      <c r="Z248" s="42"/>
      <c r="AA248" s="42"/>
      <c r="AB248" s="42" t="str">
        <f>IFERROR(__xludf.DUMMYFUNCTION("""COMPUTED_VALUE"""),"allen institute")</f>
        <v>allen institute</v>
      </c>
      <c r="AC248" s="42" t="str">
        <f>IFERROR(__xludf.DUMMYFUNCTION("""COMPUTED_VALUE"""),"DHBA")</f>
        <v>DHBA</v>
      </c>
      <c r="AD248" s="42"/>
      <c r="AE248" s="42"/>
      <c r="AF248" s="9"/>
      <c r="AG248" s="9"/>
      <c r="AH248" s="42"/>
      <c r="AI248" s="42"/>
      <c r="AJ248" s="42"/>
      <c r="AK248" s="42"/>
      <c r="AL248" s="42"/>
      <c r="AM248" s="42"/>
      <c r="AN248" s="42"/>
      <c r="AO248" s="63" t="str">
        <f>IFERROR(__xludf.DUMMYFUNCTION("IF(ISBLANK(A248),,IF(ISBLANK(S248), A248&amp;"";"", TEXTJOIN(CHAR(10), TRUE, A248&amp;"";"", ARRAYFORMULA(VLOOKUP(SPLIT(S248, "";"" &amp; CHAR(10)), $A:$AO, 41, FALSE)))))"),"oCPexs;
oCPdm;
oCPdmo;
oCPdmi;
oCPvm;
oCPvmo;
oCPvmi;
oCPml;
oCPmlo;
oCPmli;")</f>
        <v>oCPexs;
oCPdm;
oCPdmo;
oCPdmi;
oCPvm;
oCPvmo;
oCPvmi;
oCPml;
oCPmlo;
oCPmli;</v>
      </c>
      <c r="AP248" s="89"/>
    </row>
    <row r="249">
      <c r="A249" s="151" t="str">
        <f>IFERROR(__xludf.DUMMYFUNCTION("""COMPUTED_VALUE"""),"oCPdm")</f>
        <v>oCPdm</v>
      </c>
      <c r="B249" s="42" t="str">
        <f>IFERROR(__xludf.DUMMYFUNCTION("""COMPUTED_VALUE"""),"DHBA")</f>
        <v>DHBA</v>
      </c>
      <c r="C249" s="42" t="str">
        <f>IFERROR(__xludf.DUMMYFUNCTION("""COMPUTED_VALUE"""),"CP in dorsomedial extrastriate cortex (V2)")</f>
        <v>CP in dorsomedial extrastriate cortex (V2)</v>
      </c>
      <c r="D249" s="42">
        <f>IFERROR(__xludf.DUMMYFUNCTION("""COMPUTED_VALUE"""),215.0)</f>
        <v>215</v>
      </c>
      <c r="E249" s="39" t="str">
        <f>IFERROR(__xludf.DUMMYFUNCTION("""COMPUTED_VALUE"""),"CP in dorsomedial extrastriate cortex (V2)")</f>
        <v>CP in dorsomedial extrastriate cortex (V2)</v>
      </c>
      <c r="F249" s="9" t="str">
        <f>IFERROR(__xludf.DUMMYFUNCTION("""COMPUTED_VALUE"""),"Br")</f>
        <v>Br</v>
      </c>
      <c r="G249" s="9" t="str">
        <f>IFERROR(__xludf.DUMMYFUNCTION("""COMPUTED_VALUE"""),"F")</f>
        <v>F</v>
      </c>
      <c r="H249" s="9" t="str">
        <f>IFERROR(__xludf.DUMMYFUNCTION("""COMPUTED_VALUE"""),"FGM")</f>
        <v>FGM</v>
      </c>
      <c r="I249" s="9" t="str">
        <f>IFERROR(__xludf.DUMMYFUNCTION("""COMPUTED_VALUE"""),"FTS")</f>
        <v>FTS</v>
      </c>
      <c r="J249" s="9" t="str">
        <f>IFERROR(__xludf.DUMMYFUNCTION("""COMPUTED_VALUE"""),"CP")</f>
        <v>CP</v>
      </c>
      <c r="K249" s="9" t="str">
        <f>IFERROR(__xludf.DUMMYFUNCTION("""COMPUTED_VALUE"""),"oCP")</f>
        <v>oCP</v>
      </c>
      <c r="L249" s="9" t="str">
        <f>IFERROR(__xludf.DUMMYFUNCTION("""COMPUTED_VALUE"""),"oCPexs")</f>
        <v>oCPexs</v>
      </c>
      <c r="M249" s="9" t="str">
        <f>IFERROR(__xludf.DUMMYFUNCTION("""COMPUTED_VALUE"""),"oCPdm")</f>
        <v>oCPdm</v>
      </c>
      <c r="N249" s="9"/>
      <c r="O249" s="9"/>
      <c r="P249" s="9"/>
      <c r="Q249" s="9"/>
      <c r="R249" s="9"/>
      <c r="S249" s="42" t="str">
        <f>IFERROR(__xludf.DUMMYFUNCTION("""COMPUTED_VALUE"""),"oCPdmo;
oCPdmi")</f>
        <v>oCPdmo;
oCPdmi</v>
      </c>
      <c r="T249" s="42"/>
      <c r="U249" s="42" t="b">
        <f>IFERROR(__xludf.DUMMYFUNCTION("""COMPUTED_VALUE"""),FALSE)</f>
        <v>0</v>
      </c>
      <c r="V249" s="42"/>
      <c r="W249" s="42"/>
      <c r="X249" s="42"/>
      <c r="Y249" s="42"/>
      <c r="Z249" s="42"/>
      <c r="AA249" s="42"/>
      <c r="AB249" s="42" t="str">
        <f>IFERROR(__xludf.DUMMYFUNCTION("""COMPUTED_VALUE"""),"allen institute")</f>
        <v>allen institute</v>
      </c>
      <c r="AC249" s="42" t="str">
        <f>IFERROR(__xludf.DUMMYFUNCTION("""COMPUTED_VALUE"""),"DHBA")</f>
        <v>DHBA</v>
      </c>
      <c r="AD249" s="42"/>
      <c r="AE249" s="42"/>
      <c r="AF249" s="9"/>
      <c r="AG249" s="9"/>
      <c r="AH249" s="42"/>
      <c r="AI249" s="42"/>
      <c r="AJ249" s="42"/>
      <c r="AK249" s="42"/>
      <c r="AL249" s="42"/>
      <c r="AM249" s="42"/>
      <c r="AN249" s="42"/>
      <c r="AO249" s="63" t="str">
        <f>IFERROR(__xludf.DUMMYFUNCTION("IF(ISBLANK(A249),,IF(ISBLANK(S249), A249&amp;"";"", TEXTJOIN(CHAR(10), TRUE, A249&amp;"";"", ARRAYFORMULA(VLOOKUP(SPLIT(S249, "";"" &amp; CHAR(10)), $A:$AO, 41, FALSE)))))"),"oCPdm;
oCPdmo;
oCPdmi;")</f>
        <v>oCPdm;
oCPdmo;
oCPdmi;</v>
      </c>
      <c r="AP249" s="89"/>
    </row>
    <row r="250">
      <c r="A250" s="151" t="str">
        <f>IFERROR(__xludf.DUMMYFUNCTION("""COMPUTED_VALUE"""),"oCPdmo")</f>
        <v>oCPdmo</v>
      </c>
      <c r="B250" s="42" t="str">
        <f>IFERROR(__xludf.DUMMYFUNCTION("""COMPUTED_VALUE"""),"DHBA")</f>
        <v>DHBA</v>
      </c>
      <c r="C250" s="42" t="str">
        <f>IFERROR(__xludf.DUMMYFUNCTION("""COMPUTED_VALUE"""),"outer CP in dorsomedial extrastriate cortex")</f>
        <v>outer CP in dorsomedial extrastriate cortex</v>
      </c>
      <c r="D250" s="42">
        <f>IFERROR(__xludf.DUMMYFUNCTION("""COMPUTED_VALUE"""),216.0)</f>
        <v>216</v>
      </c>
      <c r="E250" s="39" t="str">
        <f>IFERROR(__xludf.DUMMYFUNCTION("""COMPUTED_VALUE"""),"outer CP in dorsomedial extrastriate cortex")</f>
        <v>outer CP in dorsomedial extrastriate cortex</v>
      </c>
      <c r="F250" s="9" t="str">
        <f>IFERROR(__xludf.DUMMYFUNCTION("""COMPUTED_VALUE"""),"Br")</f>
        <v>Br</v>
      </c>
      <c r="G250" s="9" t="str">
        <f>IFERROR(__xludf.DUMMYFUNCTION("""COMPUTED_VALUE"""),"F")</f>
        <v>F</v>
      </c>
      <c r="H250" s="9" t="str">
        <f>IFERROR(__xludf.DUMMYFUNCTION("""COMPUTED_VALUE"""),"FGM")</f>
        <v>FGM</v>
      </c>
      <c r="I250" s="9" t="str">
        <f>IFERROR(__xludf.DUMMYFUNCTION("""COMPUTED_VALUE"""),"FTS")</f>
        <v>FTS</v>
      </c>
      <c r="J250" s="9" t="str">
        <f>IFERROR(__xludf.DUMMYFUNCTION("""COMPUTED_VALUE"""),"CP")</f>
        <v>CP</v>
      </c>
      <c r="K250" s="9" t="str">
        <f>IFERROR(__xludf.DUMMYFUNCTION("""COMPUTED_VALUE"""),"oCP")</f>
        <v>oCP</v>
      </c>
      <c r="L250" s="9" t="str">
        <f>IFERROR(__xludf.DUMMYFUNCTION("""COMPUTED_VALUE"""),"oCPexs")</f>
        <v>oCPexs</v>
      </c>
      <c r="M250" s="9" t="str">
        <f>IFERROR(__xludf.DUMMYFUNCTION("""COMPUTED_VALUE"""),"oCPdm")</f>
        <v>oCPdm</v>
      </c>
      <c r="N250" s="9" t="str">
        <f>IFERROR(__xludf.DUMMYFUNCTION("""COMPUTED_VALUE"""),"oCPdmo")</f>
        <v>oCPdmo</v>
      </c>
      <c r="O250" s="9"/>
      <c r="P250" s="9"/>
      <c r="Q250" s="9"/>
      <c r="R250" s="9"/>
      <c r="S250" s="42"/>
      <c r="T250" s="42"/>
      <c r="U250" s="42"/>
      <c r="V250" s="42"/>
      <c r="W250" s="42"/>
      <c r="X250" s="42"/>
      <c r="Y250" s="42"/>
      <c r="Z250" s="42"/>
      <c r="AA250" s="42"/>
      <c r="AB250" s="42" t="str">
        <f>IFERROR(__xludf.DUMMYFUNCTION("""COMPUTED_VALUE"""),"allen institute")</f>
        <v>allen institute</v>
      </c>
      <c r="AC250" s="42" t="str">
        <f>IFERROR(__xludf.DUMMYFUNCTION("""COMPUTED_VALUE"""),"DHBA")</f>
        <v>DHBA</v>
      </c>
      <c r="AD250" s="42"/>
      <c r="AE250" s="42"/>
      <c r="AF250" s="9"/>
      <c r="AG250" s="9"/>
      <c r="AH250" s="42"/>
      <c r="AI250" s="42"/>
      <c r="AJ250" s="42"/>
      <c r="AK250" s="42"/>
      <c r="AL250" s="42"/>
      <c r="AM250" s="42"/>
      <c r="AN250" s="42"/>
      <c r="AO250" s="63" t="str">
        <f>IFERROR(__xludf.DUMMYFUNCTION("IF(ISBLANK(A250),,IF(ISBLANK(S250), A250&amp;"";"", TEXTJOIN(CHAR(10), TRUE, A250&amp;"";"", ARRAYFORMULA(VLOOKUP(SPLIT(S250, "";"" &amp; CHAR(10)), $A:$AO, 41, FALSE)))))"),"oCPdmo;")</f>
        <v>oCPdmo;</v>
      </c>
      <c r="AP250" s="89"/>
    </row>
    <row r="251">
      <c r="A251" s="151" t="str">
        <f>IFERROR(__xludf.DUMMYFUNCTION("""COMPUTED_VALUE"""),"oCPdmi")</f>
        <v>oCPdmi</v>
      </c>
      <c r="B251" s="42" t="str">
        <f>IFERROR(__xludf.DUMMYFUNCTION("""COMPUTED_VALUE"""),"DHBA")</f>
        <v>DHBA</v>
      </c>
      <c r="C251" s="42" t="str">
        <f>IFERROR(__xludf.DUMMYFUNCTION("""COMPUTED_VALUE"""),"inner CP in dorsomedial extrastriate cortex")</f>
        <v>inner CP in dorsomedial extrastriate cortex</v>
      </c>
      <c r="D251" s="42">
        <f>IFERROR(__xludf.DUMMYFUNCTION("""COMPUTED_VALUE"""),217.0)</f>
        <v>217</v>
      </c>
      <c r="E251" s="39" t="str">
        <f>IFERROR(__xludf.DUMMYFUNCTION("""COMPUTED_VALUE"""),"inner CP in dorsomedial extrastriate cortex")</f>
        <v>inner CP in dorsomedial extrastriate cortex</v>
      </c>
      <c r="F251" s="9" t="str">
        <f>IFERROR(__xludf.DUMMYFUNCTION("""COMPUTED_VALUE"""),"Br")</f>
        <v>Br</v>
      </c>
      <c r="G251" s="9" t="str">
        <f>IFERROR(__xludf.DUMMYFUNCTION("""COMPUTED_VALUE"""),"F")</f>
        <v>F</v>
      </c>
      <c r="H251" s="9" t="str">
        <f>IFERROR(__xludf.DUMMYFUNCTION("""COMPUTED_VALUE"""),"FGM")</f>
        <v>FGM</v>
      </c>
      <c r="I251" s="9" t="str">
        <f>IFERROR(__xludf.DUMMYFUNCTION("""COMPUTED_VALUE"""),"FTS")</f>
        <v>FTS</v>
      </c>
      <c r="J251" s="9" t="str">
        <f>IFERROR(__xludf.DUMMYFUNCTION("""COMPUTED_VALUE"""),"CP")</f>
        <v>CP</v>
      </c>
      <c r="K251" s="9" t="str">
        <f>IFERROR(__xludf.DUMMYFUNCTION("""COMPUTED_VALUE"""),"oCP")</f>
        <v>oCP</v>
      </c>
      <c r="L251" s="9" t="str">
        <f>IFERROR(__xludf.DUMMYFUNCTION("""COMPUTED_VALUE"""),"oCPexs")</f>
        <v>oCPexs</v>
      </c>
      <c r="M251" s="9" t="str">
        <f>IFERROR(__xludf.DUMMYFUNCTION("""COMPUTED_VALUE"""),"oCPdm")</f>
        <v>oCPdm</v>
      </c>
      <c r="N251" s="9" t="str">
        <f>IFERROR(__xludf.DUMMYFUNCTION("""COMPUTED_VALUE"""),"oCPdmi")</f>
        <v>oCPdmi</v>
      </c>
      <c r="O251" s="9"/>
      <c r="P251" s="9"/>
      <c r="Q251" s="9"/>
      <c r="R251" s="9"/>
      <c r="S251" s="42"/>
      <c r="T251" s="42"/>
      <c r="U251" s="42"/>
      <c r="V251" s="42"/>
      <c r="W251" s="42"/>
      <c r="X251" s="42"/>
      <c r="Y251" s="42"/>
      <c r="Z251" s="42"/>
      <c r="AA251" s="42"/>
      <c r="AB251" s="42" t="str">
        <f>IFERROR(__xludf.DUMMYFUNCTION("""COMPUTED_VALUE"""),"allen institute")</f>
        <v>allen institute</v>
      </c>
      <c r="AC251" s="42" t="str">
        <f>IFERROR(__xludf.DUMMYFUNCTION("""COMPUTED_VALUE"""),"DHBA")</f>
        <v>DHBA</v>
      </c>
      <c r="AD251" s="42"/>
      <c r="AE251" s="42"/>
      <c r="AF251" s="9"/>
      <c r="AG251" s="9"/>
      <c r="AH251" s="42"/>
      <c r="AI251" s="42"/>
      <c r="AJ251" s="42"/>
      <c r="AK251" s="42"/>
      <c r="AL251" s="42"/>
      <c r="AM251" s="42"/>
      <c r="AN251" s="42"/>
      <c r="AO251" s="63" t="str">
        <f>IFERROR(__xludf.DUMMYFUNCTION("IF(ISBLANK(A251),,IF(ISBLANK(S251), A251&amp;"";"", TEXTJOIN(CHAR(10), TRUE, A251&amp;"";"", ARRAYFORMULA(VLOOKUP(SPLIT(S251, "";"" &amp; CHAR(10)), $A:$AO, 41, FALSE)))))"),"oCPdmi;")</f>
        <v>oCPdmi;</v>
      </c>
      <c r="AP251" s="89"/>
    </row>
    <row r="252">
      <c r="A252" s="151" t="str">
        <f>IFERROR(__xludf.DUMMYFUNCTION("""COMPUTED_VALUE"""),"oCPvm")</f>
        <v>oCPvm</v>
      </c>
      <c r="B252" s="42" t="str">
        <f>IFERROR(__xludf.DUMMYFUNCTION("""COMPUTED_VALUE"""),"DHBA")</f>
        <v>DHBA</v>
      </c>
      <c r="C252" s="42" t="str">
        <f>IFERROR(__xludf.DUMMYFUNCTION("""COMPUTED_VALUE"""),"CP in ventromedial extrastriate cortex (VP)")</f>
        <v>CP in ventromedial extrastriate cortex (VP)</v>
      </c>
      <c r="D252" s="42">
        <f>IFERROR(__xludf.DUMMYFUNCTION("""COMPUTED_VALUE"""),218.0)</f>
        <v>218</v>
      </c>
      <c r="E252" s="39" t="str">
        <f>IFERROR(__xludf.DUMMYFUNCTION("""COMPUTED_VALUE"""),"CP in ventromedial extrastriate cortex (VP)")</f>
        <v>CP in ventromedial extrastriate cortex (VP)</v>
      </c>
      <c r="F252" s="9" t="str">
        <f>IFERROR(__xludf.DUMMYFUNCTION("""COMPUTED_VALUE"""),"Br")</f>
        <v>Br</v>
      </c>
      <c r="G252" s="9" t="str">
        <f>IFERROR(__xludf.DUMMYFUNCTION("""COMPUTED_VALUE"""),"F")</f>
        <v>F</v>
      </c>
      <c r="H252" s="9" t="str">
        <f>IFERROR(__xludf.DUMMYFUNCTION("""COMPUTED_VALUE"""),"FGM")</f>
        <v>FGM</v>
      </c>
      <c r="I252" s="9" t="str">
        <f>IFERROR(__xludf.DUMMYFUNCTION("""COMPUTED_VALUE"""),"FTS")</f>
        <v>FTS</v>
      </c>
      <c r="J252" s="9" t="str">
        <f>IFERROR(__xludf.DUMMYFUNCTION("""COMPUTED_VALUE"""),"CP")</f>
        <v>CP</v>
      </c>
      <c r="K252" s="9" t="str">
        <f>IFERROR(__xludf.DUMMYFUNCTION("""COMPUTED_VALUE"""),"oCP")</f>
        <v>oCP</v>
      </c>
      <c r="L252" s="9" t="str">
        <f>IFERROR(__xludf.DUMMYFUNCTION("""COMPUTED_VALUE"""),"oCPexs")</f>
        <v>oCPexs</v>
      </c>
      <c r="M252" s="9" t="str">
        <f>IFERROR(__xludf.DUMMYFUNCTION("""COMPUTED_VALUE"""),"oCPvm")</f>
        <v>oCPvm</v>
      </c>
      <c r="N252" s="9"/>
      <c r="O252" s="9"/>
      <c r="P252" s="9"/>
      <c r="Q252" s="9"/>
      <c r="R252" s="9"/>
      <c r="S252" s="42" t="str">
        <f>IFERROR(__xludf.DUMMYFUNCTION("""COMPUTED_VALUE"""),"oCPvmo;
oCPvmi")</f>
        <v>oCPvmo;
oCPvmi</v>
      </c>
      <c r="T252" s="42"/>
      <c r="U252" s="42" t="b">
        <f>IFERROR(__xludf.DUMMYFUNCTION("""COMPUTED_VALUE"""),FALSE)</f>
        <v>0</v>
      </c>
      <c r="V252" s="42"/>
      <c r="W252" s="42"/>
      <c r="X252" s="42"/>
      <c r="Y252" s="42"/>
      <c r="Z252" s="42"/>
      <c r="AA252" s="42"/>
      <c r="AB252" s="42" t="str">
        <f>IFERROR(__xludf.DUMMYFUNCTION("""COMPUTED_VALUE"""),"allen institute")</f>
        <v>allen institute</v>
      </c>
      <c r="AC252" s="42" t="str">
        <f>IFERROR(__xludf.DUMMYFUNCTION("""COMPUTED_VALUE"""),"DHBA")</f>
        <v>DHBA</v>
      </c>
      <c r="AD252" s="42"/>
      <c r="AE252" s="42"/>
      <c r="AF252" s="9"/>
      <c r="AG252" s="9"/>
      <c r="AH252" s="42"/>
      <c r="AI252" s="42"/>
      <c r="AJ252" s="42"/>
      <c r="AK252" s="42"/>
      <c r="AL252" s="42"/>
      <c r="AM252" s="42"/>
      <c r="AN252" s="42"/>
      <c r="AO252" s="63" t="str">
        <f>IFERROR(__xludf.DUMMYFUNCTION("IF(ISBLANK(A252),,IF(ISBLANK(S252), A252&amp;"";"", TEXTJOIN(CHAR(10), TRUE, A252&amp;"";"", ARRAYFORMULA(VLOOKUP(SPLIT(S252, "";"" &amp; CHAR(10)), $A:$AO, 41, FALSE)))))"),"oCPvm;
oCPvmo;
oCPvmi;")</f>
        <v>oCPvm;
oCPvmo;
oCPvmi;</v>
      </c>
      <c r="AP252" s="89"/>
    </row>
    <row r="253">
      <c r="A253" s="151" t="str">
        <f>IFERROR(__xludf.DUMMYFUNCTION("""COMPUTED_VALUE"""),"oCPvmo")</f>
        <v>oCPvmo</v>
      </c>
      <c r="B253" s="42" t="str">
        <f>IFERROR(__xludf.DUMMYFUNCTION("""COMPUTED_VALUE"""),"DHBA")</f>
        <v>DHBA</v>
      </c>
      <c r="C253" s="42" t="str">
        <f>IFERROR(__xludf.DUMMYFUNCTION("""COMPUTED_VALUE"""),"outer CP in ventromedial extrastriate cortex")</f>
        <v>outer CP in ventromedial extrastriate cortex</v>
      </c>
      <c r="D253" s="42">
        <f>IFERROR(__xludf.DUMMYFUNCTION("""COMPUTED_VALUE"""),219.0)</f>
        <v>219</v>
      </c>
      <c r="E253" s="39" t="str">
        <f>IFERROR(__xludf.DUMMYFUNCTION("""COMPUTED_VALUE"""),"outer CP in ventromedial extrastriate cortex")</f>
        <v>outer CP in ventromedial extrastriate cortex</v>
      </c>
      <c r="F253" s="9" t="str">
        <f>IFERROR(__xludf.DUMMYFUNCTION("""COMPUTED_VALUE"""),"Br")</f>
        <v>Br</v>
      </c>
      <c r="G253" s="9" t="str">
        <f>IFERROR(__xludf.DUMMYFUNCTION("""COMPUTED_VALUE"""),"F")</f>
        <v>F</v>
      </c>
      <c r="H253" s="9" t="str">
        <f>IFERROR(__xludf.DUMMYFUNCTION("""COMPUTED_VALUE"""),"FGM")</f>
        <v>FGM</v>
      </c>
      <c r="I253" s="9" t="str">
        <f>IFERROR(__xludf.DUMMYFUNCTION("""COMPUTED_VALUE"""),"FTS")</f>
        <v>FTS</v>
      </c>
      <c r="J253" s="9" t="str">
        <f>IFERROR(__xludf.DUMMYFUNCTION("""COMPUTED_VALUE"""),"CP")</f>
        <v>CP</v>
      </c>
      <c r="K253" s="9" t="str">
        <f>IFERROR(__xludf.DUMMYFUNCTION("""COMPUTED_VALUE"""),"oCP")</f>
        <v>oCP</v>
      </c>
      <c r="L253" s="9" t="str">
        <f>IFERROR(__xludf.DUMMYFUNCTION("""COMPUTED_VALUE"""),"oCPexs")</f>
        <v>oCPexs</v>
      </c>
      <c r="M253" s="9" t="str">
        <f>IFERROR(__xludf.DUMMYFUNCTION("""COMPUTED_VALUE"""),"oCPvm")</f>
        <v>oCPvm</v>
      </c>
      <c r="N253" s="9" t="str">
        <f>IFERROR(__xludf.DUMMYFUNCTION("""COMPUTED_VALUE"""),"oCPvmo")</f>
        <v>oCPvmo</v>
      </c>
      <c r="O253" s="9"/>
      <c r="P253" s="9"/>
      <c r="Q253" s="9"/>
      <c r="R253" s="9"/>
      <c r="S253" s="42"/>
      <c r="T253" s="42"/>
      <c r="U253" s="42"/>
      <c r="V253" s="42"/>
      <c r="W253" s="42"/>
      <c r="X253" s="42"/>
      <c r="Y253" s="42"/>
      <c r="Z253" s="42"/>
      <c r="AA253" s="42"/>
      <c r="AB253" s="42" t="str">
        <f>IFERROR(__xludf.DUMMYFUNCTION("""COMPUTED_VALUE"""),"allen institute")</f>
        <v>allen institute</v>
      </c>
      <c r="AC253" s="42" t="str">
        <f>IFERROR(__xludf.DUMMYFUNCTION("""COMPUTED_VALUE"""),"DHBA")</f>
        <v>DHBA</v>
      </c>
      <c r="AD253" s="42"/>
      <c r="AE253" s="42"/>
      <c r="AF253" s="9"/>
      <c r="AG253" s="9"/>
      <c r="AH253" s="42"/>
      <c r="AI253" s="42"/>
      <c r="AJ253" s="42"/>
      <c r="AK253" s="42"/>
      <c r="AL253" s="42"/>
      <c r="AM253" s="42"/>
      <c r="AN253" s="42"/>
      <c r="AO253" s="63" t="str">
        <f>IFERROR(__xludf.DUMMYFUNCTION("IF(ISBLANK(A253),,IF(ISBLANK(S253), A253&amp;"";"", TEXTJOIN(CHAR(10), TRUE, A253&amp;"";"", ARRAYFORMULA(VLOOKUP(SPLIT(S253, "";"" &amp; CHAR(10)), $A:$AO, 41, FALSE)))))"),"oCPvmo;")</f>
        <v>oCPvmo;</v>
      </c>
      <c r="AP253" s="89"/>
    </row>
    <row r="254">
      <c r="A254" s="151" t="str">
        <f>IFERROR(__xludf.DUMMYFUNCTION("""COMPUTED_VALUE"""),"oCPvmi")</f>
        <v>oCPvmi</v>
      </c>
      <c r="B254" s="42" t="str">
        <f>IFERROR(__xludf.DUMMYFUNCTION("""COMPUTED_VALUE"""),"DHBA")</f>
        <v>DHBA</v>
      </c>
      <c r="C254" s="42" t="str">
        <f>IFERROR(__xludf.DUMMYFUNCTION("""COMPUTED_VALUE"""),"inner CP in ventromedial extrastriate cortex")</f>
        <v>inner CP in ventromedial extrastriate cortex</v>
      </c>
      <c r="D254" s="42">
        <f>IFERROR(__xludf.DUMMYFUNCTION("""COMPUTED_VALUE"""),220.0)</f>
        <v>220</v>
      </c>
      <c r="E254" s="39" t="str">
        <f>IFERROR(__xludf.DUMMYFUNCTION("""COMPUTED_VALUE"""),"inner CP in ventromedial extrastriate cortex")</f>
        <v>inner CP in ventromedial extrastriate cortex</v>
      </c>
      <c r="F254" s="9" t="str">
        <f>IFERROR(__xludf.DUMMYFUNCTION("""COMPUTED_VALUE"""),"Br")</f>
        <v>Br</v>
      </c>
      <c r="G254" s="9" t="str">
        <f>IFERROR(__xludf.DUMMYFUNCTION("""COMPUTED_VALUE"""),"F")</f>
        <v>F</v>
      </c>
      <c r="H254" s="9" t="str">
        <f>IFERROR(__xludf.DUMMYFUNCTION("""COMPUTED_VALUE"""),"FGM")</f>
        <v>FGM</v>
      </c>
      <c r="I254" s="9" t="str">
        <f>IFERROR(__xludf.DUMMYFUNCTION("""COMPUTED_VALUE"""),"FTS")</f>
        <v>FTS</v>
      </c>
      <c r="J254" s="9" t="str">
        <f>IFERROR(__xludf.DUMMYFUNCTION("""COMPUTED_VALUE"""),"CP")</f>
        <v>CP</v>
      </c>
      <c r="K254" s="9" t="str">
        <f>IFERROR(__xludf.DUMMYFUNCTION("""COMPUTED_VALUE"""),"oCP")</f>
        <v>oCP</v>
      </c>
      <c r="L254" s="9" t="str">
        <f>IFERROR(__xludf.DUMMYFUNCTION("""COMPUTED_VALUE"""),"oCPexs")</f>
        <v>oCPexs</v>
      </c>
      <c r="M254" s="9" t="str">
        <f>IFERROR(__xludf.DUMMYFUNCTION("""COMPUTED_VALUE"""),"oCPvm")</f>
        <v>oCPvm</v>
      </c>
      <c r="N254" s="9" t="str">
        <f>IFERROR(__xludf.DUMMYFUNCTION("""COMPUTED_VALUE"""),"oCPvmi")</f>
        <v>oCPvmi</v>
      </c>
      <c r="O254" s="9"/>
      <c r="P254" s="9"/>
      <c r="Q254" s="9"/>
      <c r="R254" s="9"/>
      <c r="S254" s="42"/>
      <c r="T254" s="42"/>
      <c r="U254" s="42"/>
      <c r="V254" s="42"/>
      <c r="W254" s="42"/>
      <c r="X254" s="42"/>
      <c r="Y254" s="42"/>
      <c r="Z254" s="42"/>
      <c r="AA254" s="42"/>
      <c r="AB254" s="42" t="str">
        <f>IFERROR(__xludf.DUMMYFUNCTION("""COMPUTED_VALUE"""),"allen institute")</f>
        <v>allen institute</v>
      </c>
      <c r="AC254" s="42" t="str">
        <f>IFERROR(__xludf.DUMMYFUNCTION("""COMPUTED_VALUE"""),"DHBA")</f>
        <v>DHBA</v>
      </c>
      <c r="AD254" s="42"/>
      <c r="AE254" s="42"/>
      <c r="AF254" s="9"/>
      <c r="AG254" s="9"/>
      <c r="AH254" s="42"/>
      <c r="AI254" s="42"/>
      <c r="AJ254" s="42"/>
      <c r="AK254" s="42"/>
      <c r="AL254" s="42"/>
      <c r="AM254" s="42"/>
      <c r="AN254" s="42"/>
      <c r="AO254" s="63" t="str">
        <f>IFERROR(__xludf.DUMMYFUNCTION("IF(ISBLANK(A254),,IF(ISBLANK(S254), A254&amp;"";"", TEXTJOIN(CHAR(10), TRUE, A254&amp;"";"", ARRAYFORMULA(VLOOKUP(SPLIT(S254, "";"" &amp; CHAR(10)), $A:$AO, 41, FALSE)))))"),"oCPvmi;")</f>
        <v>oCPvmi;</v>
      </c>
      <c r="AP254" s="89"/>
    </row>
    <row r="255">
      <c r="A255" s="151" t="str">
        <f>IFERROR(__xludf.DUMMYFUNCTION("""COMPUTED_VALUE"""),"oCPml")</f>
        <v>oCPml</v>
      </c>
      <c r="B255" s="42" t="str">
        <f>IFERROR(__xludf.DUMMYFUNCTION("""COMPUTED_VALUE"""),"DHBA")</f>
        <v>DHBA</v>
      </c>
      <c r="C255" s="42" t="str">
        <f>IFERROR(__xludf.DUMMYFUNCTION("""COMPUTED_VALUE"""),"CP in midlateral extrastriate cortex (area 19)")</f>
        <v>CP in midlateral extrastriate cortex (area 19)</v>
      </c>
      <c r="D255" s="42">
        <f>IFERROR(__xludf.DUMMYFUNCTION("""COMPUTED_VALUE"""),221.0)</f>
        <v>221</v>
      </c>
      <c r="E255" s="39" t="str">
        <f>IFERROR(__xludf.DUMMYFUNCTION("""COMPUTED_VALUE"""),"CP in midlateral extrastriate cortex (area 19)")</f>
        <v>CP in midlateral extrastriate cortex (area 19)</v>
      </c>
      <c r="F255" s="9" t="str">
        <f>IFERROR(__xludf.DUMMYFUNCTION("""COMPUTED_VALUE"""),"Br")</f>
        <v>Br</v>
      </c>
      <c r="G255" s="9" t="str">
        <f>IFERROR(__xludf.DUMMYFUNCTION("""COMPUTED_VALUE"""),"F")</f>
        <v>F</v>
      </c>
      <c r="H255" s="9" t="str">
        <f>IFERROR(__xludf.DUMMYFUNCTION("""COMPUTED_VALUE"""),"FGM")</f>
        <v>FGM</v>
      </c>
      <c r="I255" s="9" t="str">
        <f>IFERROR(__xludf.DUMMYFUNCTION("""COMPUTED_VALUE"""),"FTS")</f>
        <v>FTS</v>
      </c>
      <c r="J255" s="9" t="str">
        <f>IFERROR(__xludf.DUMMYFUNCTION("""COMPUTED_VALUE"""),"CP")</f>
        <v>CP</v>
      </c>
      <c r="K255" s="9" t="str">
        <f>IFERROR(__xludf.DUMMYFUNCTION("""COMPUTED_VALUE"""),"oCP")</f>
        <v>oCP</v>
      </c>
      <c r="L255" s="9" t="str">
        <f>IFERROR(__xludf.DUMMYFUNCTION("""COMPUTED_VALUE"""),"oCPexs")</f>
        <v>oCPexs</v>
      </c>
      <c r="M255" s="9" t="str">
        <f>IFERROR(__xludf.DUMMYFUNCTION("""COMPUTED_VALUE"""),"oCPml")</f>
        <v>oCPml</v>
      </c>
      <c r="N255" s="9"/>
      <c r="O255" s="9"/>
      <c r="P255" s="9"/>
      <c r="Q255" s="9"/>
      <c r="R255" s="9"/>
      <c r="S255" s="42" t="str">
        <f>IFERROR(__xludf.DUMMYFUNCTION("""COMPUTED_VALUE"""),"oCPmlo;
oCPmli")</f>
        <v>oCPmlo;
oCPmli</v>
      </c>
      <c r="T255" s="42"/>
      <c r="U255" s="42" t="b">
        <f>IFERROR(__xludf.DUMMYFUNCTION("""COMPUTED_VALUE"""),FALSE)</f>
        <v>0</v>
      </c>
      <c r="V255" s="42"/>
      <c r="W255" s="42"/>
      <c r="X255" s="42"/>
      <c r="Y255" s="42"/>
      <c r="Z255" s="42"/>
      <c r="AA255" s="42"/>
      <c r="AB255" s="42" t="str">
        <f>IFERROR(__xludf.DUMMYFUNCTION("""COMPUTED_VALUE"""),"allen institute")</f>
        <v>allen institute</v>
      </c>
      <c r="AC255" s="42" t="str">
        <f>IFERROR(__xludf.DUMMYFUNCTION("""COMPUTED_VALUE"""),"DHBA")</f>
        <v>DHBA</v>
      </c>
      <c r="AD255" s="42"/>
      <c r="AE255" s="42"/>
      <c r="AF255" s="9"/>
      <c r="AG255" s="9"/>
      <c r="AH255" s="42"/>
      <c r="AI255" s="42"/>
      <c r="AJ255" s="42"/>
      <c r="AK255" s="42"/>
      <c r="AL255" s="42"/>
      <c r="AM255" s="42"/>
      <c r="AN255" s="42"/>
      <c r="AO255" s="63" t="str">
        <f>IFERROR(__xludf.DUMMYFUNCTION("IF(ISBLANK(A255),,IF(ISBLANK(S255), A255&amp;"";"", TEXTJOIN(CHAR(10), TRUE, A255&amp;"";"", ARRAYFORMULA(VLOOKUP(SPLIT(S255, "";"" &amp; CHAR(10)), $A:$AO, 41, FALSE)))))"),"oCPml;
oCPmlo;
oCPmli;")</f>
        <v>oCPml;
oCPmlo;
oCPmli;</v>
      </c>
      <c r="AP255" s="89"/>
    </row>
    <row r="256">
      <c r="A256" s="151" t="str">
        <f>IFERROR(__xludf.DUMMYFUNCTION("""COMPUTED_VALUE"""),"oCPmlo")</f>
        <v>oCPmlo</v>
      </c>
      <c r="B256" s="42" t="str">
        <f>IFERROR(__xludf.DUMMYFUNCTION("""COMPUTED_VALUE"""),"DHBA")</f>
        <v>DHBA</v>
      </c>
      <c r="C256" s="42" t="str">
        <f>IFERROR(__xludf.DUMMYFUNCTION("""COMPUTED_VALUE"""),"outer CP in midlateral extrastriate cortex")</f>
        <v>outer CP in midlateral extrastriate cortex</v>
      </c>
      <c r="D256" s="42">
        <f>IFERROR(__xludf.DUMMYFUNCTION("""COMPUTED_VALUE"""),222.0)</f>
        <v>222</v>
      </c>
      <c r="E256" s="39" t="str">
        <f>IFERROR(__xludf.DUMMYFUNCTION("""COMPUTED_VALUE"""),"outer CP in midlateral extrastriate cortex")</f>
        <v>outer CP in midlateral extrastriate cortex</v>
      </c>
      <c r="F256" s="9" t="str">
        <f>IFERROR(__xludf.DUMMYFUNCTION("""COMPUTED_VALUE"""),"Br")</f>
        <v>Br</v>
      </c>
      <c r="G256" s="9" t="str">
        <f>IFERROR(__xludf.DUMMYFUNCTION("""COMPUTED_VALUE"""),"F")</f>
        <v>F</v>
      </c>
      <c r="H256" s="9" t="str">
        <f>IFERROR(__xludf.DUMMYFUNCTION("""COMPUTED_VALUE"""),"FGM")</f>
        <v>FGM</v>
      </c>
      <c r="I256" s="9" t="str">
        <f>IFERROR(__xludf.DUMMYFUNCTION("""COMPUTED_VALUE"""),"FTS")</f>
        <v>FTS</v>
      </c>
      <c r="J256" s="9" t="str">
        <f>IFERROR(__xludf.DUMMYFUNCTION("""COMPUTED_VALUE"""),"CP")</f>
        <v>CP</v>
      </c>
      <c r="K256" s="9" t="str">
        <f>IFERROR(__xludf.DUMMYFUNCTION("""COMPUTED_VALUE"""),"oCP")</f>
        <v>oCP</v>
      </c>
      <c r="L256" s="9" t="str">
        <f>IFERROR(__xludf.DUMMYFUNCTION("""COMPUTED_VALUE"""),"oCPexs")</f>
        <v>oCPexs</v>
      </c>
      <c r="M256" s="9" t="str">
        <f>IFERROR(__xludf.DUMMYFUNCTION("""COMPUTED_VALUE"""),"oCPml")</f>
        <v>oCPml</v>
      </c>
      <c r="N256" s="9" t="str">
        <f>IFERROR(__xludf.DUMMYFUNCTION("""COMPUTED_VALUE"""),"oCPmlo")</f>
        <v>oCPmlo</v>
      </c>
      <c r="O256" s="9"/>
      <c r="P256" s="9"/>
      <c r="Q256" s="9"/>
      <c r="R256" s="9"/>
      <c r="S256" s="42"/>
      <c r="T256" s="42"/>
      <c r="U256" s="42"/>
      <c r="V256" s="42"/>
      <c r="W256" s="42"/>
      <c r="X256" s="42"/>
      <c r="Y256" s="42"/>
      <c r="Z256" s="42"/>
      <c r="AA256" s="42"/>
      <c r="AB256" s="42" t="str">
        <f>IFERROR(__xludf.DUMMYFUNCTION("""COMPUTED_VALUE"""),"allen institute")</f>
        <v>allen institute</v>
      </c>
      <c r="AC256" s="42" t="str">
        <f>IFERROR(__xludf.DUMMYFUNCTION("""COMPUTED_VALUE"""),"DHBA")</f>
        <v>DHBA</v>
      </c>
      <c r="AD256" s="42"/>
      <c r="AE256" s="42"/>
      <c r="AF256" s="9"/>
      <c r="AG256" s="9"/>
      <c r="AH256" s="42"/>
      <c r="AI256" s="42"/>
      <c r="AJ256" s="42"/>
      <c r="AK256" s="42"/>
      <c r="AL256" s="42"/>
      <c r="AM256" s="42"/>
      <c r="AN256" s="42"/>
      <c r="AO256" s="63" t="str">
        <f>IFERROR(__xludf.DUMMYFUNCTION("IF(ISBLANK(A256),,IF(ISBLANK(S256), A256&amp;"";"", TEXTJOIN(CHAR(10), TRUE, A256&amp;"";"", ARRAYFORMULA(VLOOKUP(SPLIT(S256, "";"" &amp; CHAR(10)), $A:$AO, 41, FALSE)))))"),"oCPmlo;")</f>
        <v>oCPmlo;</v>
      </c>
      <c r="AP256" s="89"/>
    </row>
    <row r="257">
      <c r="A257" s="151" t="str">
        <f>IFERROR(__xludf.DUMMYFUNCTION("""COMPUTED_VALUE"""),"oCPmli")</f>
        <v>oCPmli</v>
      </c>
      <c r="B257" s="42" t="str">
        <f>IFERROR(__xludf.DUMMYFUNCTION("""COMPUTED_VALUE"""),"DHBA")</f>
        <v>DHBA</v>
      </c>
      <c r="C257" s="42" t="str">
        <f>IFERROR(__xludf.DUMMYFUNCTION("""COMPUTED_VALUE"""),"inner CP in midlateral extrastriate cortex")</f>
        <v>inner CP in midlateral extrastriate cortex</v>
      </c>
      <c r="D257" s="42">
        <f>IFERROR(__xludf.DUMMYFUNCTION("""COMPUTED_VALUE"""),223.0)</f>
        <v>223</v>
      </c>
      <c r="E257" s="39" t="str">
        <f>IFERROR(__xludf.DUMMYFUNCTION("""COMPUTED_VALUE"""),"inner CP in midlateral extrastriate cortex")</f>
        <v>inner CP in midlateral extrastriate cortex</v>
      </c>
      <c r="F257" s="9" t="str">
        <f>IFERROR(__xludf.DUMMYFUNCTION("""COMPUTED_VALUE"""),"Br")</f>
        <v>Br</v>
      </c>
      <c r="G257" s="9" t="str">
        <f>IFERROR(__xludf.DUMMYFUNCTION("""COMPUTED_VALUE"""),"F")</f>
        <v>F</v>
      </c>
      <c r="H257" s="9" t="str">
        <f>IFERROR(__xludf.DUMMYFUNCTION("""COMPUTED_VALUE"""),"FGM")</f>
        <v>FGM</v>
      </c>
      <c r="I257" s="9" t="str">
        <f>IFERROR(__xludf.DUMMYFUNCTION("""COMPUTED_VALUE"""),"FTS")</f>
        <v>FTS</v>
      </c>
      <c r="J257" s="9" t="str">
        <f>IFERROR(__xludf.DUMMYFUNCTION("""COMPUTED_VALUE"""),"CP")</f>
        <v>CP</v>
      </c>
      <c r="K257" s="9" t="str">
        <f>IFERROR(__xludf.DUMMYFUNCTION("""COMPUTED_VALUE"""),"oCP")</f>
        <v>oCP</v>
      </c>
      <c r="L257" s="9" t="str">
        <f>IFERROR(__xludf.DUMMYFUNCTION("""COMPUTED_VALUE"""),"oCPexs")</f>
        <v>oCPexs</v>
      </c>
      <c r="M257" s="9" t="str">
        <f>IFERROR(__xludf.DUMMYFUNCTION("""COMPUTED_VALUE"""),"oCPml")</f>
        <v>oCPml</v>
      </c>
      <c r="N257" s="9" t="str">
        <f>IFERROR(__xludf.DUMMYFUNCTION("""COMPUTED_VALUE"""),"oCPmli")</f>
        <v>oCPmli</v>
      </c>
      <c r="O257" s="9"/>
      <c r="P257" s="9"/>
      <c r="Q257" s="9"/>
      <c r="R257" s="9"/>
      <c r="S257" s="42"/>
      <c r="T257" s="42"/>
      <c r="U257" s="42"/>
      <c r="V257" s="42"/>
      <c r="W257" s="42"/>
      <c r="X257" s="42"/>
      <c r="Y257" s="42"/>
      <c r="Z257" s="42"/>
      <c r="AA257" s="42"/>
      <c r="AB257" s="42" t="str">
        <f>IFERROR(__xludf.DUMMYFUNCTION("""COMPUTED_VALUE"""),"allen institute")</f>
        <v>allen institute</v>
      </c>
      <c r="AC257" s="42" t="str">
        <f>IFERROR(__xludf.DUMMYFUNCTION("""COMPUTED_VALUE"""),"DHBA")</f>
        <v>DHBA</v>
      </c>
      <c r="AD257" s="42"/>
      <c r="AE257" s="42"/>
      <c r="AF257" s="9"/>
      <c r="AG257" s="9"/>
      <c r="AH257" s="42"/>
      <c r="AI257" s="42"/>
      <c r="AJ257" s="42"/>
      <c r="AK257" s="42"/>
      <c r="AL257" s="42"/>
      <c r="AM257" s="42"/>
      <c r="AN257" s="42"/>
      <c r="AO257" s="63" t="str">
        <f>IFERROR(__xludf.DUMMYFUNCTION("IF(ISBLANK(A257),,IF(ISBLANK(S257), A257&amp;"";"", TEXTJOIN(CHAR(10), TRUE, A257&amp;"";"", ARRAYFORMULA(VLOOKUP(SPLIT(S257, "";"" &amp; CHAR(10)), $A:$AO, 41, FALSE)))))"),"oCPmli;")</f>
        <v>oCPmli;</v>
      </c>
      <c r="AP257" s="89"/>
    </row>
    <row r="258">
      <c r="A258" s="151" t="str">
        <f>IFERROR(__xludf.DUMMYFUNCTION("""COMPUTED_VALUE"""),"iCP")</f>
        <v>iCP</v>
      </c>
      <c r="B258" s="42" t="str">
        <f>IFERROR(__xludf.DUMMYFUNCTION("""COMPUTED_VALUE"""),"DHBA")</f>
        <v>DHBA</v>
      </c>
      <c r="C258" s="42" t="str">
        <f>IFERROR(__xludf.DUMMYFUNCTION("""COMPUTED_VALUE"""),"CP in insular neocortex")</f>
        <v>CP in insular neocortex</v>
      </c>
      <c r="D258" s="42">
        <f>IFERROR(__xludf.DUMMYFUNCTION("""COMPUTED_VALUE"""),224.0)</f>
        <v>224</v>
      </c>
      <c r="E258" s="39" t="str">
        <f>IFERROR(__xludf.DUMMYFUNCTION("""COMPUTED_VALUE"""),"CP in insular neocortex")</f>
        <v>CP in insular neocortex</v>
      </c>
      <c r="F258" s="9" t="str">
        <f>IFERROR(__xludf.DUMMYFUNCTION("""COMPUTED_VALUE"""),"Br")</f>
        <v>Br</v>
      </c>
      <c r="G258" s="9" t="str">
        <f>IFERROR(__xludf.DUMMYFUNCTION("""COMPUTED_VALUE"""),"F")</f>
        <v>F</v>
      </c>
      <c r="H258" s="9" t="str">
        <f>IFERROR(__xludf.DUMMYFUNCTION("""COMPUTED_VALUE"""),"FGM")</f>
        <v>FGM</v>
      </c>
      <c r="I258" s="9" t="str">
        <f>IFERROR(__xludf.DUMMYFUNCTION("""COMPUTED_VALUE"""),"FTS")</f>
        <v>FTS</v>
      </c>
      <c r="J258" s="9" t="str">
        <f>IFERROR(__xludf.DUMMYFUNCTION("""COMPUTED_VALUE"""),"CP")</f>
        <v>CP</v>
      </c>
      <c r="K258" s="9" t="str">
        <f>IFERROR(__xludf.DUMMYFUNCTION("""COMPUTED_VALUE"""),"iCP")</f>
        <v>iCP</v>
      </c>
      <c r="L258" s="9"/>
      <c r="M258" s="9"/>
      <c r="N258" s="9"/>
      <c r="O258" s="9"/>
      <c r="P258" s="9"/>
      <c r="Q258" s="9"/>
      <c r="R258" s="9"/>
      <c r="S258" s="42" t="str">
        <f>IFERROR(__xludf.DUMMYFUNCTION("""COMPUTED_VALUE"""),"iCPdg;
iCPgr")</f>
        <v>iCPdg;
iCPgr</v>
      </c>
      <c r="T258" s="42"/>
      <c r="U258" s="42" t="b">
        <f>IFERROR(__xludf.DUMMYFUNCTION("""COMPUTED_VALUE"""),FALSE)</f>
        <v>0</v>
      </c>
      <c r="V258" s="42"/>
      <c r="W258" s="42"/>
      <c r="X258" s="42"/>
      <c r="Y258" s="42"/>
      <c r="Z258" s="42"/>
      <c r="AA258" s="42"/>
      <c r="AB258" s="42" t="str">
        <f>IFERROR(__xludf.DUMMYFUNCTION("""COMPUTED_VALUE"""),"allen institute")</f>
        <v>allen institute</v>
      </c>
      <c r="AC258" s="42" t="str">
        <f>IFERROR(__xludf.DUMMYFUNCTION("""COMPUTED_VALUE"""),"DHBA")</f>
        <v>DHBA</v>
      </c>
      <c r="AD258" s="42"/>
      <c r="AE258" s="42"/>
      <c r="AF258" s="9"/>
      <c r="AG258" s="9"/>
      <c r="AH258" s="42"/>
      <c r="AI258" s="42"/>
      <c r="AJ258" s="42"/>
      <c r="AK258" s="42"/>
      <c r="AL258" s="42"/>
      <c r="AM258" s="42"/>
      <c r="AN258" s="42"/>
      <c r="AO258" s="63" t="str">
        <f>IFERROR(__xludf.DUMMYFUNCTION("IF(ISBLANK(A258),,IF(ISBLANK(S258), A258&amp;"";"", TEXTJOIN(CHAR(10), TRUE, A258&amp;"";"", ARRAYFORMULA(VLOOKUP(SPLIT(S258, "";"" &amp; CHAR(10)), $A:$AO, 41, FALSE)))))"),"iCP;
iCPdg;
iCPdgo;
iCPdgi;
iCPgr;
iCPgro;
iCPgri;")</f>
        <v>iCP;
iCPdg;
iCPdgo;
iCPdgi;
iCPgr;
iCPgro;
iCPgri;</v>
      </c>
      <c r="AP258" s="89"/>
    </row>
    <row r="259">
      <c r="A259" s="151" t="str">
        <f>IFERROR(__xludf.DUMMYFUNCTION("""COMPUTED_VALUE"""),"iCPdg")</f>
        <v>iCPdg</v>
      </c>
      <c r="B259" s="42" t="str">
        <f>IFERROR(__xludf.DUMMYFUNCTION("""COMPUTED_VALUE"""),"DHBA")</f>
        <v>DHBA</v>
      </c>
      <c r="C259" s="42" t="str">
        <f>IFERROR(__xludf.DUMMYFUNCTION("""COMPUTED_VALUE"""),"CP in dysgranular insular cortex")</f>
        <v>CP in dysgranular insular cortex</v>
      </c>
      <c r="D259" s="42">
        <f>IFERROR(__xludf.DUMMYFUNCTION("""COMPUTED_VALUE"""),225.0)</f>
        <v>225</v>
      </c>
      <c r="E259" s="39" t="str">
        <f>IFERROR(__xludf.DUMMYFUNCTION("""COMPUTED_VALUE"""),"CP in dysgranular insular cortex")</f>
        <v>CP in dysgranular insular cortex</v>
      </c>
      <c r="F259" s="9" t="str">
        <f>IFERROR(__xludf.DUMMYFUNCTION("""COMPUTED_VALUE"""),"Br")</f>
        <v>Br</v>
      </c>
      <c r="G259" s="9" t="str">
        <f>IFERROR(__xludf.DUMMYFUNCTION("""COMPUTED_VALUE"""),"F")</f>
        <v>F</v>
      </c>
      <c r="H259" s="9" t="str">
        <f>IFERROR(__xludf.DUMMYFUNCTION("""COMPUTED_VALUE"""),"FGM")</f>
        <v>FGM</v>
      </c>
      <c r="I259" s="9" t="str">
        <f>IFERROR(__xludf.DUMMYFUNCTION("""COMPUTED_VALUE"""),"FTS")</f>
        <v>FTS</v>
      </c>
      <c r="J259" s="9" t="str">
        <f>IFERROR(__xludf.DUMMYFUNCTION("""COMPUTED_VALUE"""),"CP")</f>
        <v>CP</v>
      </c>
      <c r="K259" s="9" t="str">
        <f>IFERROR(__xludf.DUMMYFUNCTION("""COMPUTED_VALUE"""),"iCP")</f>
        <v>iCP</v>
      </c>
      <c r="L259" s="9" t="str">
        <f>IFERROR(__xludf.DUMMYFUNCTION("""COMPUTED_VALUE"""),"iCPdg")</f>
        <v>iCPdg</v>
      </c>
      <c r="M259" s="9"/>
      <c r="N259" s="9"/>
      <c r="O259" s="9"/>
      <c r="P259" s="9"/>
      <c r="Q259" s="9"/>
      <c r="R259" s="9"/>
      <c r="S259" s="42" t="str">
        <f>IFERROR(__xludf.DUMMYFUNCTION("""COMPUTED_VALUE"""),"iCPdgo;
iCPdgi")</f>
        <v>iCPdgo;
iCPdgi</v>
      </c>
      <c r="T259" s="42"/>
      <c r="U259" s="42" t="b">
        <f>IFERROR(__xludf.DUMMYFUNCTION("""COMPUTED_VALUE"""),FALSE)</f>
        <v>0</v>
      </c>
      <c r="V259" s="42"/>
      <c r="W259" s="42"/>
      <c r="X259" s="42"/>
      <c r="Y259" s="42"/>
      <c r="Z259" s="42"/>
      <c r="AA259" s="42"/>
      <c r="AB259" s="42" t="str">
        <f>IFERROR(__xludf.DUMMYFUNCTION("""COMPUTED_VALUE"""),"allen institute")</f>
        <v>allen institute</v>
      </c>
      <c r="AC259" s="42" t="str">
        <f>IFERROR(__xludf.DUMMYFUNCTION("""COMPUTED_VALUE"""),"DHBA")</f>
        <v>DHBA</v>
      </c>
      <c r="AD259" s="42"/>
      <c r="AE259" s="42"/>
      <c r="AF259" s="9"/>
      <c r="AG259" s="9"/>
      <c r="AH259" s="42"/>
      <c r="AI259" s="42"/>
      <c r="AJ259" s="42"/>
      <c r="AK259" s="42"/>
      <c r="AL259" s="42"/>
      <c r="AM259" s="42"/>
      <c r="AN259" s="42"/>
      <c r="AO259" s="63" t="str">
        <f>IFERROR(__xludf.DUMMYFUNCTION("IF(ISBLANK(A259),,IF(ISBLANK(S259), A259&amp;"";"", TEXTJOIN(CHAR(10), TRUE, A259&amp;"";"", ARRAYFORMULA(VLOOKUP(SPLIT(S259, "";"" &amp; CHAR(10)), $A:$AO, 41, FALSE)))))"),"iCPdg;
iCPdgo;
iCPdgi;")</f>
        <v>iCPdg;
iCPdgo;
iCPdgi;</v>
      </c>
      <c r="AP259" s="89"/>
    </row>
    <row r="260">
      <c r="A260" s="151" t="str">
        <f>IFERROR(__xludf.DUMMYFUNCTION("""COMPUTED_VALUE"""),"iCPdgo")</f>
        <v>iCPdgo</v>
      </c>
      <c r="B260" s="42" t="str">
        <f>IFERROR(__xludf.DUMMYFUNCTION("""COMPUTED_VALUE"""),"DHBA")</f>
        <v>DHBA</v>
      </c>
      <c r="C260" s="42" t="str">
        <f>IFERROR(__xludf.DUMMYFUNCTION("""COMPUTED_VALUE"""),"outer CP in dysgranular insular cortex")</f>
        <v>outer CP in dysgranular insular cortex</v>
      </c>
      <c r="D260" s="42">
        <f>IFERROR(__xludf.DUMMYFUNCTION("""COMPUTED_VALUE"""),226.0)</f>
        <v>226</v>
      </c>
      <c r="E260" s="39" t="str">
        <f>IFERROR(__xludf.DUMMYFUNCTION("""COMPUTED_VALUE"""),"outer CP in dysgranular insular cortex")</f>
        <v>outer CP in dysgranular insular cortex</v>
      </c>
      <c r="F260" s="9" t="str">
        <f>IFERROR(__xludf.DUMMYFUNCTION("""COMPUTED_VALUE"""),"Br")</f>
        <v>Br</v>
      </c>
      <c r="G260" s="9" t="str">
        <f>IFERROR(__xludf.DUMMYFUNCTION("""COMPUTED_VALUE"""),"F")</f>
        <v>F</v>
      </c>
      <c r="H260" s="9" t="str">
        <f>IFERROR(__xludf.DUMMYFUNCTION("""COMPUTED_VALUE"""),"FGM")</f>
        <v>FGM</v>
      </c>
      <c r="I260" s="9" t="str">
        <f>IFERROR(__xludf.DUMMYFUNCTION("""COMPUTED_VALUE"""),"FTS")</f>
        <v>FTS</v>
      </c>
      <c r="J260" s="9" t="str">
        <f>IFERROR(__xludf.DUMMYFUNCTION("""COMPUTED_VALUE"""),"CP")</f>
        <v>CP</v>
      </c>
      <c r="K260" s="9" t="str">
        <f>IFERROR(__xludf.DUMMYFUNCTION("""COMPUTED_VALUE"""),"iCP")</f>
        <v>iCP</v>
      </c>
      <c r="L260" s="9" t="str">
        <f>IFERROR(__xludf.DUMMYFUNCTION("""COMPUTED_VALUE"""),"iCPdg")</f>
        <v>iCPdg</v>
      </c>
      <c r="M260" s="9" t="str">
        <f>IFERROR(__xludf.DUMMYFUNCTION("""COMPUTED_VALUE"""),"iCPdgo")</f>
        <v>iCPdgo</v>
      </c>
      <c r="N260" s="9"/>
      <c r="O260" s="9"/>
      <c r="P260" s="9"/>
      <c r="Q260" s="9"/>
      <c r="R260" s="9"/>
      <c r="S260" s="42"/>
      <c r="T260" s="42"/>
      <c r="U260" s="42"/>
      <c r="V260" s="42"/>
      <c r="W260" s="42"/>
      <c r="X260" s="42"/>
      <c r="Y260" s="42"/>
      <c r="Z260" s="42"/>
      <c r="AA260" s="42"/>
      <c r="AB260" s="42" t="str">
        <f>IFERROR(__xludf.DUMMYFUNCTION("""COMPUTED_VALUE"""),"allen institute")</f>
        <v>allen institute</v>
      </c>
      <c r="AC260" s="42" t="str">
        <f>IFERROR(__xludf.DUMMYFUNCTION("""COMPUTED_VALUE"""),"DHBA")</f>
        <v>DHBA</v>
      </c>
      <c r="AD260" s="42"/>
      <c r="AE260" s="42"/>
      <c r="AF260" s="9"/>
      <c r="AG260" s="9"/>
      <c r="AH260" s="42"/>
      <c r="AI260" s="42"/>
      <c r="AJ260" s="42"/>
      <c r="AK260" s="42"/>
      <c r="AL260" s="42"/>
      <c r="AM260" s="42"/>
      <c r="AN260" s="42"/>
      <c r="AO260" s="63" t="str">
        <f>IFERROR(__xludf.DUMMYFUNCTION("IF(ISBLANK(A260),,IF(ISBLANK(S260), A260&amp;"";"", TEXTJOIN(CHAR(10), TRUE, A260&amp;"";"", ARRAYFORMULA(VLOOKUP(SPLIT(S260, "";"" &amp; CHAR(10)), $A:$AO, 41, FALSE)))))"),"iCPdgo;")</f>
        <v>iCPdgo;</v>
      </c>
      <c r="AP260" s="89"/>
    </row>
    <row r="261">
      <c r="A261" s="151" t="str">
        <f>IFERROR(__xludf.DUMMYFUNCTION("""COMPUTED_VALUE"""),"iCPdgi")</f>
        <v>iCPdgi</v>
      </c>
      <c r="B261" s="42" t="str">
        <f>IFERROR(__xludf.DUMMYFUNCTION("""COMPUTED_VALUE"""),"DHBA")</f>
        <v>DHBA</v>
      </c>
      <c r="C261" s="42" t="str">
        <f>IFERROR(__xludf.DUMMYFUNCTION("""COMPUTED_VALUE"""),"inner CP in dysgranular insular cortex")</f>
        <v>inner CP in dysgranular insular cortex</v>
      </c>
      <c r="D261" s="42">
        <f>IFERROR(__xludf.DUMMYFUNCTION("""COMPUTED_VALUE"""),227.0)</f>
        <v>227</v>
      </c>
      <c r="E261" s="39" t="str">
        <f>IFERROR(__xludf.DUMMYFUNCTION("""COMPUTED_VALUE"""),"inner CP in dysgranular insular cortex")</f>
        <v>inner CP in dysgranular insular cortex</v>
      </c>
      <c r="F261" s="9" t="str">
        <f>IFERROR(__xludf.DUMMYFUNCTION("""COMPUTED_VALUE"""),"Br")</f>
        <v>Br</v>
      </c>
      <c r="G261" s="9" t="str">
        <f>IFERROR(__xludf.DUMMYFUNCTION("""COMPUTED_VALUE"""),"F")</f>
        <v>F</v>
      </c>
      <c r="H261" s="9" t="str">
        <f>IFERROR(__xludf.DUMMYFUNCTION("""COMPUTED_VALUE"""),"FGM")</f>
        <v>FGM</v>
      </c>
      <c r="I261" s="9" t="str">
        <f>IFERROR(__xludf.DUMMYFUNCTION("""COMPUTED_VALUE"""),"FTS")</f>
        <v>FTS</v>
      </c>
      <c r="J261" s="9" t="str">
        <f>IFERROR(__xludf.DUMMYFUNCTION("""COMPUTED_VALUE"""),"CP")</f>
        <v>CP</v>
      </c>
      <c r="K261" s="9" t="str">
        <f>IFERROR(__xludf.DUMMYFUNCTION("""COMPUTED_VALUE"""),"iCP")</f>
        <v>iCP</v>
      </c>
      <c r="L261" s="9" t="str">
        <f>IFERROR(__xludf.DUMMYFUNCTION("""COMPUTED_VALUE"""),"iCPdg")</f>
        <v>iCPdg</v>
      </c>
      <c r="M261" s="9" t="str">
        <f>IFERROR(__xludf.DUMMYFUNCTION("""COMPUTED_VALUE"""),"iCPdgi")</f>
        <v>iCPdgi</v>
      </c>
      <c r="N261" s="9"/>
      <c r="O261" s="9"/>
      <c r="P261" s="9"/>
      <c r="Q261" s="9"/>
      <c r="R261" s="9"/>
      <c r="S261" s="42"/>
      <c r="T261" s="42"/>
      <c r="U261" s="42"/>
      <c r="V261" s="42"/>
      <c r="W261" s="42"/>
      <c r="X261" s="42"/>
      <c r="Y261" s="42"/>
      <c r="Z261" s="42"/>
      <c r="AA261" s="42"/>
      <c r="AB261" s="42" t="str">
        <f>IFERROR(__xludf.DUMMYFUNCTION("""COMPUTED_VALUE"""),"allen institute")</f>
        <v>allen institute</v>
      </c>
      <c r="AC261" s="42" t="str">
        <f>IFERROR(__xludf.DUMMYFUNCTION("""COMPUTED_VALUE"""),"DHBA")</f>
        <v>DHBA</v>
      </c>
      <c r="AD261" s="42"/>
      <c r="AE261" s="42"/>
      <c r="AF261" s="9"/>
      <c r="AG261" s="9"/>
      <c r="AH261" s="42"/>
      <c r="AI261" s="42"/>
      <c r="AJ261" s="42"/>
      <c r="AK261" s="42"/>
      <c r="AL261" s="42"/>
      <c r="AM261" s="42"/>
      <c r="AN261" s="42"/>
      <c r="AO261" s="63" t="str">
        <f>IFERROR(__xludf.DUMMYFUNCTION("IF(ISBLANK(A261),,IF(ISBLANK(S261), A261&amp;"";"", TEXTJOIN(CHAR(10), TRUE, A261&amp;"";"", ARRAYFORMULA(VLOOKUP(SPLIT(S261, "";"" &amp; CHAR(10)), $A:$AO, 41, FALSE)))))"),"iCPdgi;")</f>
        <v>iCPdgi;</v>
      </c>
      <c r="AP261" s="89"/>
    </row>
    <row r="262">
      <c r="A262" s="151" t="str">
        <f>IFERROR(__xludf.DUMMYFUNCTION("""COMPUTED_VALUE"""),"iCPgr")</f>
        <v>iCPgr</v>
      </c>
      <c r="B262" s="42" t="str">
        <f>IFERROR(__xludf.DUMMYFUNCTION("""COMPUTED_VALUE"""),"DHBA")</f>
        <v>DHBA</v>
      </c>
      <c r="C262" s="42" t="str">
        <f>IFERROR(__xludf.DUMMYFUNCTION("""COMPUTED_VALUE"""),"CP in granualr insular cortex")</f>
        <v>CP in granualr insular cortex</v>
      </c>
      <c r="D262" s="42">
        <f>IFERROR(__xludf.DUMMYFUNCTION("""COMPUTED_VALUE"""),228.0)</f>
        <v>228</v>
      </c>
      <c r="E262" s="39" t="str">
        <f>IFERROR(__xludf.DUMMYFUNCTION("""COMPUTED_VALUE"""),"CP in granualr insular cortex")</f>
        <v>CP in granualr insular cortex</v>
      </c>
      <c r="F262" s="9" t="str">
        <f>IFERROR(__xludf.DUMMYFUNCTION("""COMPUTED_VALUE"""),"Br")</f>
        <v>Br</v>
      </c>
      <c r="G262" s="9" t="str">
        <f>IFERROR(__xludf.DUMMYFUNCTION("""COMPUTED_VALUE"""),"F")</f>
        <v>F</v>
      </c>
      <c r="H262" s="9" t="str">
        <f>IFERROR(__xludf.DUMMYFUNCTION("""COMPUTED_VALUE"""),"FGM")</f>
        <v>FGM</v>
      </c>
      <c r="I262" s="9" t="str">
        <f>IFERROR(__xludf.DUMMYFUNCTION("""COMPUTED_VALUE"""),"FTS")</f>
        <v>FTS</v>
      </c>
      <c r="J262" s="9" t="str">
        <f>IFERROR(__xludf.DUMMYFUNCTION("""COMPUTED_VALUE"""),"CP")</f>
        <v>CP</v>
      </c>
      <c r="K262" s="9" t="str">
        <f>IFERROR(__xludf.DUMMYFUNCTION("""COMPUTED_VALUE"""),"iCP")</f>
        <v>iCP</v>
      </c>
      <c r="L262" s="9" t="str">
        <f>IFERROR(__xludf.DUMMYFUNCTION("""COMPUTED_VALUE"""),"iCPgr")</f>
        <v>iCPgr</v>
      </c>
      <c r="M262" s="9"/>
      <c r="N262" s="9"/>
      <c r="O262" s="9"/>
      <c r="P262" s="9"/>
      <c r="Q262" s="9"/>
      <c r="R262" s="9"/>
      <c r="S262" s="42" t="str">
        <f>IFERROR(__xludf.DUMMYFUNCTION("""COMPUTED_VALUE"""),"iCPgro;
iCPgri")</f>
        <v>iCPgro;
iCPgri</v>
      </c>
      <c r="T262" s="42"/>
      <c r="U262" s="42" t="b">
        <f>IFERROR(__xludf.DUMMYFUNCTION("""COMPUTED_VALUE"""),FALSE)</f>
        <v>0</v>
      </c>
      <c r="V262" s="42"/>
      <c r="W262" s="42"/>
      <c r="X262" s="42"/>
      <c r="Y262" s="42"/>
      <c r="Z262" s="42"/>
      <c r="AA262" s="42"/>
      <c r="AB262" s="42" t="str">
        <f>IFERROR(__xludf.DUMMYFUNCTION("""COMPUTED_VALUE"""),"allen institute")</f>
        <v>allen institute</v>
      </c>
      <c r="AC262" s="42" t="str">
        <f>IFERROR(__xludf.DUMMYFUNCTION("""COMPUTED_VALUE"""),"DHBA")</f>
        <v>DHBA</v>
      </c>
      <c r="AD262" s="42"/>
      <c r="AE262" s="42"/>
      <c r="AF262" s="9"/>
      <c r="AG262" s="9"/>
      <c r="AH262" s="42"/>
      <c r="AI262" s="42"/>
      <c r="AJ262" s="42"/>
      <c r="AK262" s="42"/>
      <c r="AL262" s="42"/>
      <c r="AM262" s="42"/>
      <c r="AN262" s="42"/>
      <c r="AO262" s="63" t="str">
        <f>IFERROR(__xludf.DUMMYFUNCTION("IF(ISBLANK(A262),,IF(ISBLANK(S262), A262&amp;"";"", TEXTJOIN(CHAR(10), TRUE, A262&amp;"";"", ARRAYFORMULA(VLOOKUP(SPLIT(S262, "";"" &amp; CHAR(10)), $A:$AO, 41, FALSE)))))"),"iCPgr;
iCPgro;
iCPgri;")</f>
        <v>iCPgr;
iCPgro;
iCPgri;</v>
      </c>
      <c r="AP262" s="89"/>
    </row>
    <row r="263">
      <c r="A263" s="151" t="str">
        <f>IFERROR(__xludf.DUMMYFUNCTION("""COMPUTED_VALUE"""),"iCPgro")</f>
        <v>iCPgro</v>
      </c>
      <c r="B263" s="42" t="str">
        <f>IFERROR(__xludf.DUMMYFUNCTION("""COMPUTED_VALUE"""),"DHBA")</f>
        <v>DHBA</v>
      </c>
      <c r="C263" s="42" t="str">
        <f>IFERROR(__xludf.DUMMYFUNCTION("""COMPUTED_VALUE"""),"outer CP in granular insular cortex")</f>
        <v>outer CP in granular insular cortex</v>
      </c>
      <c r="D263" s="42">
        <f>IFERROR(__xludf.DUMMYFUNCTION("""COMPUTED_VALUE"""),229.0)</f>
        <v>229</v>
      </c>
      <c r="E263" s="39" t="str">
        <f>IFERROR(__xludf.DUMMYFUNCTION("""COMPUTED_VALUE"""),"outer CP in granular insular cortex")</f>
        <v>outer CP in granular insular cortex</v>
      </c>
      <c r="F263" s="9" t="str">
        <f>IFERROR(__xludf.DUMMYFUNCTION("""COMPUTED_VALUE"""),"Br")</f>
        <v>Br</v>
      </c>
      <c r="G263" s="9" t="str">
        <f>IFERROR(__xludf.DUMMYFUNCTION("""COMPUTED_VALUE"""),"F")</f>
        <v>F</v>
      </c>
      <c r="H263" s="9" t="str">
        <f>IFERROR(__xludf.DUMMYFUNCTION("""COMPUTED_VALUE"""),"FGM")</f>
        <v>FGM</v>
      </c>
      <c r="I263" s="9" t="str">
        <f>IFERROR(__xludf.DUMMYFUNCTION("""COMPUTED_VALUE"""),"FTS")</f>
        <v>FTS</v>
      </c>
      <c r="J263" s="9" t="str">
        <f>IFERROR(__xludf.DUMMYFUNCTION("""COMPUTED_VALUE"""),"CP")</f>
        <v>CP</v>
      </c>
      <c r="K263" s="9" t="str">
        <f>IFERROR(__xludf.DUMMYFUNCTION("""COMPUTED_VALUE"""),"iCP")</f>
        <v>iCP</v>
      </c>
      <c r="L263" s="9" t="str">
        <f>IFERROR(__xludf.DUMMYFUNCTION("""COMPUTED_VALUE"""),"iCPgr")</f>
        <v>iCPgr</v>
      </c>
      <c r="M263" s="9" t="str">
        <f>IFERROR(__xludf.DUMMYFUNCTION("""COMPUTED_VALUE"""),"iCPgro")</f>
        <v>iCPgro</v>
      </c>
      <c r="N263" s="9"/>
      <c r="O263" s="9"/>
      <c r="P263" s="9"/>
      <c r="Q263" s="9"/>
      <c r="R263" s="9"/>
      <c r="S263" s="42"/>
      <c r="T263" s="42"/>
      <c r="U263" s="42"/>
      <c r="V263" s="42"/>
      <c r="W263" s="42"/>
      <c r="X263" s="42"/>
      <c r="Y263" s="42"/>
      <c r="Z263" s="42"/>
      <c r="AA263" s="42"/>
      <c r="AB263" s="42" t="str">
        <f>IFERROR(__xludf.DUMMYFUNCTION("""COMPUTED_VALUE"""),"allen institute")</f>
        <v>allen institute</v>
      </c>
      <c r="AC263" s="42" t="str">
        <f>IFERROR(__xludf.DUMMYFUNCTION("""COMPUTED_VALUE"""),"DHBA")</f>
        <v>DHBA</v>
      </c>
      <c r="AD263" s="42"/>
      <c r="AE263" s="42"/>
      <c r="AF263" s="9"/>
      <c r="AG263" s="9"/>
      <c r="AH263" s="42"/>
      <c r="AI263" s="42"/>
      <c r="AJ263" s="42"/>
      <c r="AK263" s="42"/>
      <c r="AL263" s="42"/>
      <c r="AM263" s="42"/>
      <c r="AN263" s="42"/>
      <c r="AO263" s="63" t="str">
        <f>IFERROR(__xludf.DUMMYFUNCTION("IF(ISBLANK(A263),,IF(ISBLANK(S263), A263&amp;"";"", TEXTJOIN(CHAR(10), TRUE, A263&amp;"";"", ARRAYFORMULA(VLOOKUP(SPLIT(S263, "";"" &amp; CHAR(10)), $A:$AO, 41, FALSE)))))"),"iCPgro;")</f>
        <v>iCPgro;</v>
      </c>
      <c r="AP263" s="89"/>
    </row>
    <row r="264">
      <c r="A264" s="151" t="str">
        <f>IFERROR(__xludf.DUMMYFUNCTION("""COMPUTED_VALUE"""),"iCPgri")</f>
        <v>iCPgri</v>
      </c>
      <c r="B264" s="42" t="str">
        <f>IFERROR(__xludf.DUMMYFUNCTION("""COMPUTED_VALUE"""),"DHBA")</f>
        <v>DHBA</v>
      </c>
      <c r="C264" s="42" t="str">
        <f>IFERROR(__xludf.DUMMYFUNCTION("""COMPUTED_VALUE"""),"inner CP in granular insular cortex")</f>
        <v>inner CP in granular insular cortex</v>
      </c>
      <c r="D264" s="42">
        <f>IFERROR(__xludf.DUMMYFUNCTION("""COMPUTED_VALUE"""),230.0)</f>
        <v>230</v>
      </c>
      <c r="E264" s="39" t="str">
        <f>IFERROR(__xludf.DUMMYFUNCTION("""COMPUTED_VALUE"""),"inner CP in granular insular cortex")</f>
        <v>inner CP in granular insular cortex</v>
      </c>
      <c r="F264" s="9" t="str">
        <f>IFERROR(__xludf.DUMMYFUNCTION("""COMPUTED_VALUE"""),"Br")</f>
        <v>Br</v>
      </c>
      <c r="G264" s="9" t="str">
        <f>IFERROR(__xludf.DUMMYFUNCTION("""COMPUTED_VALUE"""),"F")</f>
        <v>F</v>
      </c>
      <c r="H264" s="9" t="str">
        <f>IFERROR(__xludf.DUMMYFUNCTION("""COMPUTED_VALUE"""),"FGM")</f>
        <v>FGM</v>
      </c>
      <c r="I264" s="9" t="str">
        <f>IFERROR(__xludf.DUMMYFUNCTION("""COMPUTED_VALUE"""),"FTS")</f>
        <v>FTS</v>
      </c>
      <c r="J264" s="9" t="str">
        <f>IFERROR(__xludf.DUMMYFUNCTION("""COMPUTED_VALUE"""),"CP")</f>
        <v>CP</v>
      </c>
      <c r="K264" s="9" t="str">
        <f>IFERROR(__xludf.DUMMYFUNCTION("""COMPUTED_VALUE"""),"iCP")</f>
        <v>iCP</v>
      </c>
      <c r="L264" s="9" t="str">
        <f>IFERROR(__xludf.DUMMYFUNCTION("""COMPUTED_VALUE"""),"iCPgr")</f>
        <v>iCPgr</v>
      </c>
      <c r="M264" s="9" t="str">
        <f>IFERROR(__xludf.DUMMYFUNCTION("""COMPUTED_VALUE"""),"iCPgri")</f>
        <v>iCPgri</v>
      </c>
      <c r="N264" s="9"/>
      <c r="O264" s="9"/>
      <c r="P264" s="9"/>
      <c r="Q264" s="9"/>
      <c r="R264" s="9"/>
      <c r="S264" s="42"/>
      <c r="T264" s="42"/>
      <c r="U264" s="42"/>
      <c r="V264" s="42"/>
      <c r="W264" s="42"/>
      <c r="X264" s="42"/>
      <c r="Y264" s="42"/>
      <c r="Z264" s="42"/>
      <c r="AA264" s="42"/>
      <c r="AB264" s="42" t="str">
        <f>IFERROR(__xludf.DUMMYFUNCTION("""COMPUTED_VALUE"""),"allen institute")</f>
        <v>allen institute</v>
      </c>
      <c r="AC264" s="42" t="str">
        <f>IFERROR(__xludf.DUMMYFUNCTION("""COMPUTED_VALUE"""),"DHBA")</f>
        <v>DHBA</v>
      </c>
      <c r="AD264" s="42"/>
      <c r="AE264" s="42"/>
      <c r="AF264" s="9"/>
      <c r="AG264" s="9"/>
      <c r="AH264" s="42"/>
      <c r="AI264" s="42"/>
      <c r="AJ264" s="42"/>
      <c r="AK264" s="42"/>
      <c r="AL264" s="42"/>
      <c r="AM264" s="42"/>
      <c r="AN264" s="42"/>
      <c r="AO264" s="63" t="str">
        <f>IFERROR(__xludf.DUMMYFUNCTION("IF(ISBLANK(A264),,IF(ISBLANK(S264), A264&amp;"";"", TEXTJOIN(CHAR(10), TRUE, A264&amp;"";"", ARRAYFORMULA(VLOOKUP(SPLIT(S264, "";"" &amp; CHAR(10)), $A:$AO, 41, FALSE)))))"),"iCPgri;")</f>
        <v>iCPgri;</v>
      </c>
      <c r="AP264" s="89"/>
    </row>
    <row r="265">
      <c r="A265" s="151" t="str">
        <f>IFERROR(__xludf.DUMMYFUNCTION("""COMPUTED_VALUE"""),"cCP")</f>
        <v>cCP</v>
      </c>
      <c r="B265" s="42" t="str">
        <f>IFERROR(__xludf.DUMMYFUNCTION("""COMPUTED_VALUE"""),"DHBA")</f>
        <v>DHBA</v>
      </c>
      <c r="C265" s="42" t="str">
        <f>IFERROR(__xludf.DUMMYFUNCTION("""COMPUTED_VALUE"""),"CP in cingulate neocortex")</f>
        <v>CP in cingulate neocortex</v>
      </c>
      <c r="D265" s="42">
        <f>IFERROR(__xludf.DUMMYFUNCTION("""COMPUTED_VALUE"""),231.0)</f>
        <v>231</v>
      </c>
      <c r="E265" s="39" t="str">
        <f>IFERROR(__xludf.DUMMYFUNCTION("""COMPUTED_VALUE"""),"CP in cingulate neocortex")</f>
        <v>CP in cingulate neocortex</v>
      </c>
      <c r="F265" s="9" t="str">
        <f>IFERROR(__xludf.DUMMYFUNCTION("""COMPUTED_VALUE"""),"Br")</f>
        <v>Br</v>
      </c>
      <c r="G265" s="9" t="str">
        <f>IFERROR(__xludf.DUMMYFUNCTION("""COMPUTED_VALUE"""),"F")</f>
        <v>F</v>
      </c>
      <c r="H265" s="9" t="str">
        <f>IFERROR(__xludf.DUMMYFUNCTION("""COMPUTED_VALUE"""),"FGM")</f>
        <v>FGM</v>
      </c>
      <c r="I265" s="9" t="str">
        <f>IFERROR(__xludf.DUMMYFUNCTION("""COMPUTED_VALUE"""),"FTS")</f>
        <v>FTS</v>
      </c>
      <c r="J265" s="9" t="str">
        <f>IFERROR(__xludf.DUMMYFUNCTION("""COMPUTED_VALUE"""),"CP")</f>
        <v>CP</v>
      </c>
      <c r="K265" s="9" t="str">
        <f>IFERROR(__xludf.DUMMYFUNCTION("""COMPUTED_VALUE"""),"cCP")</f>
        <v>cCP</v>
      </c>
      <c r="L265" s="9"/>
      <c r="M265" s="9"/>
      <c r="N265" s="9"/>
      <c r="O265" s="9"/>
      <c r="P265" s="9"/>
      <c r="Q265" s="9"/>
      <c r="R265" s="9"/>
      <c r="S265" s="42" t="str">
        <f>IFERROR(__xludf.DUMMYFUNCTION("""COMPUTED_VALUE"""),"cCPr;
cCPmi;
cCPc;
cCPsg")</f>
        <v>cCPr;
cCPmi;
cCPc;
cCPsg</v>
      </c>
      <c r="T265" s="42"/>
      <c r="U265" s="42" t="b">
        <f>IFERROR(__xludf.DUMMYFUNCTION("""COMPUTED_VALUE"""),FALSE)</f>
        <v>0</v>
      </c>
      <c r="V265" s="42"/>
      <c r="W265" s="42"/>
      <c r="X265" s="42"/>
      <c r="Y265" s="42"/>
      <c r="Z265" s="42"/>
      <c r="AA265" s="42"/>
      <c r="AB265" s="42" t="str">
        <f>IFERROR(__xludf.DUMMYFUNCTION("""COMPUTED_VALUE"""),"allen institute")</f>
        <v>allen institute</v>
      </c>
      <c r="AC265" s="42" t="str">
        <f>IFERROR(__xludf.DUMMYFUNCTION("""COMPUTED_VALUE"""),"DHBA")</f>
        <v>DHBA</v>
      </c>
      <c r="AD265" s="42"/>
      <c r="AE265" s="42"/>
      <c r="AF265" s="9"/>
      <c r="AG265" s="9"/>
      <c r="AH265" s="42"/>
      <c r="AI265" s="42"/>
      <c r="AJ265" s="42"/>
      <c r="AK265" s="42"/>
      <c r="AL265" s="42"/>
      <c r="AM265" s="42"/>
      <c r="AN265" s="42"/>
      <c r="AO265" s="63" t="str">
        <f>IFERROR(__xludf.DUMMYFUNCTION("IF(ISBLANK(A265),,IF(ISBLANK(S265), A265&amp;"";"", TEXTJOIN(CHAR(10), TRUE, A265&amp;"";"", ARRAYFORMULA(VLOOKUP(SPLIT(S265, "";"" &amp; CHAR(10)), $A:$AO, 41, FALSE)))))"),"cCP;
cCPr;
cCPro;
cCPri;
cCPmi;
cCPmio;
cCPmii;
cCPc;
cCPco;
cCPci;
cCPsg;
cCPsgo;
cCPsgi;")</f>
        <v>cCP;
cCPr;
cCPro;
cCPri;
cCPmi;
cCPmio;
cCPmii;
cCPc;
cCPco;
cCPci;
cCPsg;
cCPsgo;
cCPsgi;</v>
      </c>
      <c r="AP265" s="89"/>
    </row>
    <row r="266">
      <c r="A266" s="151" t="str">
        <f>IFERROR(__xludf.DUMMYFUNCTION("""COMPUTED_VALUE"""),"cCPr")</f>
        <v>cCPr</v>
      </c>
      <c r="B266" s="42" t="str">
        <f>IFERROR(__xludf.DUMMYFUNCTION("""COMPUTED_VALUE"""),"DHBA")</f>
        <v>DHBA</v>
      </c>
      <c r="C266" s="42" t="str">
        <f>IFERROR(__xludf.DUMMYFUNCTION("""COMPUTED_VALUE"""),"CP in rostral cingulate cortex")</f>
        <v>CP in rostral cingulate cortex</v>
      </c>
      <c r="D266" s="42">
        <f>IFERROR(__xludf.DUMMYFUNCTION("""COMPUTED_VALUE"""),232.0)</f>
        <v>232</v>
      </c>
      <c r="E266" s="39" t="str">
        <f>IFERROR(__xludf.DUMMYFUNCTION("""COMPUTED_VALUE"""),"CP in rostral cingulate cortex")</f>
        <v>CP in rostral cingulate cortex</v>
      </c>
      <c r="F266" s="9" t="str">
        <f>IFERROR(__xludf.DUMMYFUNCTION("""COMPUTED_VALUE"""),"Br")</f>
        <v>Br</v>
      </c>
      <c r="G266" s="9" t="str">
        <f>IFERROR(__xludf.DUMMYFUNCTION("""COMPUTED_VALUE"""),"F")</f>
        <v>F</v>
      </c>
      <c r="H266" s="9" t="str">
        <f>IFERROR(__xludf.DUMMYFUNCTION("""COMPUTED_VALUE"""),"FGM")</f>
        <v>FGM</v>
      </c>
      <c r="I266" s="9" t="str">
        <f>IFERROR(__xludf.DUMMYFUNCTION("""COMPUTED_VALUE"""),"FTS")</f>
        <v>FTS</v>
      </c>
      <c r="J266" s="9" t="str">
        <f>IFERROR(__xludf.DUMMYFUNCTION("""COMPUTED_VALUE"""),"CP")</f>
        <v>CP</v>
      </c>
      <c r="K266" s="9" t="str">
        <f>IFERROR(__xludf.DUMMYFUNCTION("""COMPUTED_VALUE"""),"cCP")</f>
        <v>cCP</v>
      </c>
      <c r="L266" s="9" t="str">
        <f>IFERROR(__xludf.DUMMYFUNCTION("""COMPUTED_VALUE"""),"cCPr")</f>
        <v>cCPr</v>
      </c>
      <c r="M266" s="9"/>
      <c r="N266" s="9"/>
      <c r="O266" s="9"/>
      <c r="P266" s="9"/>
      <c r="Q266" s="9"/>
      <c r="R266" s="9"/>
      <c r="S266" s="42" t="str">
        <f>IFERROR(__xludf.DUMMYFUNCTION("""COMPUTED_VALUE"""),"cCPro;
cCPri")</f>
        <v>cCPro;
cCPri</v>
      </c>
      <c r="T266" s="42"/>
      <c r="U266" s="42" t="b">
        <f>IFERROR(__xludf.DUMMYFUNCTION("""COMPUTED_VALUE"""),FALSE)</f>
        <v>0</v>
      </c>
      <c r="V266" s="42"/>
      <c r="W266" s="42"/>
      <c r="X266" s="42"/>
      <c r="Y266" s="42"/>
      <c r="Z266" s="42"/>
      <c r="AA266" s="42"/>
      <c r="AB266" s="42" t="str">
        <f>IFERROR(__xludf.DUMMYFUNCTION("""COMPUTED_VALUE"""),"allen institute")</f>
        <v>allen institute</v>
      </c>
      <c r="AC266" s="42" t="str">
        <f>IFERROR(__xludf.DUMMYFUNCTION("""COMPUTED_VALUE"""),"DHBA")</f>
        <v>DHBA</v>
      </c>
      <c r="AD266" s="42"/>
      <c r="AE266" s="42"/>
      <c r="AF266" s="9"/>
      <c r="AG266" s="9"/>
      <c r="AH266" s="42"/>
      <c r="AI266" s="42"/>
      <c r="AJ266" s="42"/>
      <c r="AK266" s="42"/>
      <c r="AL266" s="42"/>
      <c r="AM266" s="42"/>
      <c r="AN266" s="42"/>
      <c r="AO266" s="63" t="str">
        <f>IFERROR(__xludf.DUMMYFUNCTION("IF(ISBLANK(A266),,IF(ISBLANK(S266), A266&amp;"";"", TEXTJOIN(CHAR(10), TRUE, A266&amp;"";"", ARRAYFORMULA(VLOOKUP(SPLIT(S266, "";"" &amp; CHAR(10)), $A:$AO, 41, FALSE)))))"),"cCPr;
cCPro;
cCPri;")</f>
        <v>cCPr;
cCPro;
cCPri;</v>
      </c>
      <c r="AP266" s="89"/>
    </row>
    <row r="267">
      <c r="A267" s="151" t="str">
        <f>IFERROR(__xludf.DUMMYFUNCTION("""COMPUTED_VALUE"""),"cCPro")</f>
        <v>cCPro</v>
      </c>
      <c r="B267" s="42" t="str">
        <f>IFERROR(__xludf.DUMMYFUNCTION("""COMPUTED_VALUE"""),"DHBA")</f>
        <v>DHBA</v>
      </c>
      <c r="C267" s="42" t="str">
        <f>IFERROR(__xludf.DUMMYFUNCTION("""COMPUTED_VALUE"""),"outer CP in rostral cingulate cortex")</f>
        <v>outer CP in rostral cingulate cortex</v>
      </c>
      <c r="D267" s="42">
        <f>IFERROR(__xludf.DUMMYFUNCTION("""COMPUTED_VALUE"""),233.0)</f>
        <v>233</v>
      </c>
      <c r="E267" s="39" t="str">
        <f>IFERROR(__xludf.DUMMYFUNCTION("""COMPUTED_VALUE"""),"outer CP in rostral cingulate cortex")</f>
        <v>outer CP in rostral cingulate cortex</v>
      </c>
      <c r="F267" s="9" t="str">
        <f>IFERROR(__xludf.DUMMYFUNCTION("""COMPUTED_VALUE"""),"Br")</f>
        <v>Br</v>
      </c>
      <c r="G267" s="9" t="str">
        <f>IFERROR(__xludf.DUMMYFUNCTION("""COMPUTED_VALUE"""),"F")</f>
        <v>F</v>
      </c>
      <c r="H267" s="9" t="str">
        <f>IFERROR(__xludf.DUMMYFUNCTION("""COMPUTED_VALUE"""),"FGM")</f>
        <v>FGM</v>
      </c>
      <c r="I267" s="9" t="str">
        <f>IFERROR(__xludf.DUMMYFUNCTION("""COMPUTED_VALUE"""),"FTS")</f>
        <v>FTS</v>
      </c>
      <c r="J267" s="9" t="str">
        <f>IFERROR(__xludf.DUMMYFUNCTION("""COMPUTED_VALUE"""),"CP")</f>
        <v>CP</v>
      </c>
      <c r="K267" s="9" t="str">
        <f>IFERROR(__xludf.DUMMYFUNCTION("""COMPUTED_VALUE"""),"cCP")</f>
        <v>cCP</v>
      </c>
      <c r="L267" s="9" t="str">
        <f>IFERROR(__xludf.DUMMYFUNCTION("""COMPUTED_VALUE"""),"cCPr")</f>
        <v>cCPr</v>
      </c>
      <c r="M267" s="9" t="str">
        <f>IFERROR(__xludf.DUMMYFUNCTION("""COMPUTED_VALUE"""),"cCPro")</f>
        <v>cCPro</v>
      </c>
      <c r="N267" s="9"/>
      <c r="O267" s="9"/>
      <c r="P267" s="9"/>
      <c r="Q267" s="9"/>
      <c r="R267" s="9"/>
      <c r="S267" s="42"/>
      <c r="T267" s="42"/>
      <c r="U267" s="42"/>
      <c r="V267" s="42"/>
      <c r="W267" s="42"/>
      <c r="X267" s="42"/>
      <c r="Y267" s="42"/>
      <c r="Z267" s="42"/>
      <c r="AA267" s="42"/>
      <c r="AB267" s="42" t="str">
        <f>IFERROR(__xludf.DUMMYFUNCTION("""COMPUTED_VALUE"""),"allen institute")</f>
        <v>allen institute</v>
      </c>
      <c r="AC267" s="42" t="str">
        <f>IFERROR(__xludf.DUMMYFUNCTION("""COMPUTED_VALUE"""),"DHBA")</f>
        <v>DHBA</v>
      </c>
      <c r="AD267" s="42"/>
      <c r="AE267" s="42"/>
      <c r="AF267" s="9"/>
      <c r="AG267" s="9"/>
      <c r="AH267" s="42"/>
      <c r="AI267" s="42"/>
      <c r="AJ267" s="42"/>
      <c r="AK267" s="42"/>
      <c r="AL267" s="42"/>
      <c r="AM267" s="42"/>
      <c r="AN267" s="42"/>
      <c r="AO267" s="63" t="str">
        <f>IFERROR(__xludf.DUMMYFUNCTION("IF(ISBLANK(A267),,IF(ISBLANK(S267), A267&amp;"";"", TEXTJOIN(CHAR(10), TRUE, A267&amp;"";"", ARRAYFORMULA(VLOOKUP(SPLIT(S267, "";"" &amp; CHAR(10)), $A:$AO, 41, FALSE)))))"),"cCPro;")</f>
        <v>cCPro;</v>
      </c>
      <c r="AP267" s="89"/>
    </row>
    <row r="268">
      <c r="A268" s="151" t="str">
        <f>IFERROR(__xludf.DUMMYFUNCTION("""COMPUTED_VALUE"""),"cCPri")</f>
        <v>cCPri</v>
      </c>
      <c r="B268" s="42" t="str">
        <f>IFERROR(__xludf.DUMMYFUNCTION("""COMPUTED_VALUE"""),"DHBA")</f>
        <v>DHBA</v>
      </c>
      <c r="C268" s="42" t="str">
        <f>IFERROR(__xludf.DUMMYFUNCTION("""COMPUTED_VALUE"""),"inner CP in rostral cingulate cortex")</f>
        <v>inner CP in rostral cingulate cortex</v>
      </c>
      <c r="D268" s="42">
        <f>IFERROR(__xludf.DUMMYFUNCTION("""COMPUTED_VALUE"""),234.0)</f>
        <v>234</v>
      </c>
      <c r="E268" s="39" t="str">
        <f>IFERROR(__xludf.DUMMYFUNCTION("""COMPUTED_VALUE"""),"inner CP in rostral cingulate cortex")</f>
        <v>inner CP in rostral cingulate cortex</v>
      </c>
      <c r="F268" s="9" t="str">
        <f>IFERROR(__xludf.DUMMYFUNCTION("""COMPUTED_VALUE"""),"Br")</f>
        <v>Br</v>
      </c>
      <c r="G268" s="9" t="str">
        <f>IFERROR(__xludf.DUMMYFUNCTION("""COMPUTED_VALUE"""),"F")</f>
        <v>F</v>
      </c>
      <c r="H268" s="9" t="str">
        <f>IFERROR(__xludf.DUMMYFUNCTION("""COMPUTED_VALUE"""),"FGM")</f>
        <v>FGM</v>
      </c>
      <c r="I268" s="9" t="str">
        <f>IFERROR(__xludf.DUMMYFUNCTION("""COMPUTED_VALUE"""),"FTS")</f>
        <v>FTS</v>
      </c>
      <c r="J268" s="9" t="str">
        <f>IFERROR(__xludf.DUMMYFUNCTION("""COMPUTED_VALUE"""),"CP")</f>
        <v>CP</v>
      </c>
      <c r="K268" s="9" t="str">
        <f>IFERROR(__xludf.DUMMYFUNCTION("""COMPUTED_VALUE"""),"cCP")</f>
        <v>cCP</v>
      </c>
      <c r="L268" s="9" t="str">
        <f>IFERROR(__xludf.DUMMYFUNCTION("""COMPUTED_VALUE"""),"cCPr")</f>
        <v>cCPr</v>
      </c>
      <c r="M268" s="9" t="str">
        <f>IFERROR(__xludf.DUMMYFUNCTION("""COMPUTED_VALUE"""),"cCPri")</f>
        <v>cCPri</v>
      </c>
      <c r="N268" s="9"/>
      <c r="O268" s="9"/>
      <c r="P268" s="9"/>
      <c r="Q268" s="9"/>
      <c r="R268" s="9"/>
      <c r="S268" s="42"/>
      <c r="T268" s="42"/>
      <c r="U268" s="42"/>
      <c r="V268" s="42"/>
      <c r="W268" s="42"/>
      <c r="X268" s="42"/>
      <c r="Y268" s="42"/>
      <c r="Z268" s="42"/>
      <c r="AA268" s="42"/>
      <c r="AB268" s="42" t="str">
        <f>IFERROR(__xludf.DUMMYFUNCTION("""COMPUTED_VALUE"""),"allen institute")</f>
        <v>allen institute</v>
      </c>
      <c r="AC268" s="42" t="str">
        <f>IFERROR(__xludf.DUMMYFUNCTION("""COMPUTED_VALUE"""),"DHBA")</f>
        <v>DHBA</v>
      </c>
      <c r="AD268" s="42"/>
      <c r="AE268" s="42"/>
      <c r="AF268" s="9"/>
      <c r="AG268" s="9"/>
      <c r="AH268" s="42"/>
      <c r="AI268" s="42"/>
      <c r="AJ268" s="42"/>
      <c r="AK268" s="42"/>
      <c r="AL268" s="42"/>
      <c r="AM268" s="42"/>
      <c r="AN268" s="42"/>
      <c r="AO268" s="63" t="str">
        <f>IFERROR(__xludf.DUMMYFUNCTION("IF(ISBLANK(A268),,IF(ISBLANK(S268), A268&amp;"";"", TEXTJOIN(CHAR(10), TRUE, A268&amp;"";"", ARRAYFORMULA(VLOOKUP(SPLIT(S268, "";"" &amp; CHAR(10)), $A:$AO, 41, FALSE)))))"),"cCPri;")</f>
        <v>cCPri;</v>
      </c>
      <c r="AP268" s="89"/>
    </row>
    <row r="269">
      <c r="A269" s="151" t="str">
        <f>IFERROR(__xludf.DUMMYFUNCTION("""COMPUTED_VALUE"""),"cCPmi")</f>
        <v>cCPmi</v>
      </c>
      <c r="B269" s="42" t="str">
        <f>IFERROR(__xludf.DUMMYFUNCTION("""COMPUTED_VALUE"""),"DHBA")</f>
        <v>DHBA</v>
      </c>
      <c r="C269" s="42" t="str">
        <f>IFERROR(__xludf.DUMMYFUNCTION("""COMPUTED_VALUE"""),"CP in midcingulate cortex")</f>
        <v>CP in midcingulate cortex</v>
      </c>
      <c r="D269" s="42">
        <f>IFERROR(__xludf.DUMMYFUNCTION("""COMPUTED_VALUE"""),235.0)</f>
        <v>235</v>
      </c>
      <c r="E269" s="39" t="str">
        <f>IFERROR(__xludf.DUMMYFUNCTION("""COMPUTED_VALUE"""),"CP in midcingulate cortex")</f>
        <v>CP in midcingulate cortex</v>
      </c>
      <c r="F269" s="9" t="str">
        <f>IFERROR(__xludf.DUMMYFUNCTION("""COMPUTED_VALUE"""),"Br")</f>
        <v>Br</v>
      </c>
      <c r="G269" s="9" t="str">
        <f>IFERROR(__xludf.DUMMYFUNCTION("""COMPUTED_VALUE"""),"F")</f>
        <v>F</v>
      </c>
      <c r="H269" s="9" t="str">
        <f>IFERROR(__xludf.DUMMYFUNCTION("""COMPUTED_VALUE"""),"FGM")</f>
        <v>FGM</v>
      </c>
      <c r="I269" s="9" t="str">
        <f>IFERROR(__xludf.DUMMYFUNCTION("""COMPUTED_VALUE"""),"FTS")</f>
        <v>FTS</v>
      </c>
      <c r="J269" s="9" t="str">
        <f>IFERROR(__xludf.DUMMYFUNCTION("""COMPUTED_VALUE"""),"CP")</f>
        <v>CP</v>
      </c>
      <c r="K269" s="9" t="str">
        <f>IFERROR(__xludf.DUMMYFUNCTION("""COMPUTED_VALUE"""),"cCP")</f>
        <v>cCP</v>
      </c>
      <c r="L269" s="9" t="str">
        <f>IFERROR(__xludf.DUMMYFUNCTION("""COMPUTED_VALUE"""),"cCPmi")</f>
        <v>cCPmi</v>
      </c>
      <c r="M269" s="9"/>
      <c r="N269" s="9"/>
      <c r="O269" s="9"/>
      <c r="P269" s="9"/>
      <c r="Q269" s="9"/>
      <c r="R269" s="9"/>
      <c r="S269" s="42" t="str">
        <f>IFERROR(__xludf.DUMMYFUNCTION("""COMPUTED_VALUE"""),"cCPmio;
cCPmii")</f>
        <v>cCPmio;
cCPmii</v>
      </c>
      <c r="T269" s="42"/>
      <c r="U269" s="42" t="b">
        <f>IFERROR(__xludf.DUMMYFUNCTION("""COMPUTED_VALUE"""),FALSE)</f>
        <v>0</v>
      </c>
      <c r="V269" s="42"/>
      <c r="W269" s="42"/>
      <c r="X269" s="42"/>
      <c r="Y269" s="42"/>
      <c r="Z269" s="42"/>
      <c r="AA269" s="42"/>
      <c r="AB269" s="42" t="str">
        <f>IFERROR(__xludf.DUMMYFUNCTION("""COMPUTED_VALUE"""),"allen institute")</f>
        <v>allen institute</v>
      </c>
      <c r="AC269" s="42" t="str">
        <f>IFERROR(__xludf.DUMMYFUNCTION("""COMPUTED_VALUE"""),"DHBA")</f>
        <v>DHBA</v>
      </c>
      <c r="AD269" s="42"/>
      <c r="AE269" s="42"/>
      <c r="AF269" s="9"/>
      <c r="AG269" s="9"/>
      <c r="AH269" s="42"/>
      <c r="AI269" s="42"/>
      <c r="AJ269" s="42"/>
      <c r="AK269" s="42"/>
      <c r="AL269" s="42"/>
      <c r="AM269" s="42"/>
      <c r="AN269" s="42"/>
      <c r="AO269" s="63" t="str">
        <f>IFERROR(__xludf.DUMMYFUNCTION("IF(ISBLANK(A269),,IF(ISBLANK(S269), A269&amp;"";"", TEXTJOIN(CHAR(10), TRUE, A269&amp;"";"", ARRAYFORMULA(VLOOKUP(SPLIT(S269, "";"" &amp; CHAR(10)), $A:$AO, 41, FALSE)))))"),"cCPmi;
cCPmio;
cCPmii;")</f>
        <v>cCPmi;
cCPmio;
cCPmii;</v>
      </c>
      <c r="AP269" s="89"/>
    </row>
    <row r="270">
      <c r="A270" s="151" t="str">
        <f>IFERROR(__xludf.DUMMYFUNCTION("""COMPUTED_VALUE"""),"cCPmio")</f>
        <v>cCPmio</v>
      </c>
      <c r="B270" s="42" t="str">
        <f>IFERROR(__xludf.DUMMYFUNCTION("""COMPUTED_VALUE"""),"DHBA")</f>
        <v>DHBA</v>
      </c>
      <c r="C270" s="42" t="str">
        <f>IFERROR(__xludf.DUMMYFUNCTION("""COMPUTED_VALUE"""),"outer CP in midcingulate cortex")</f>
        <v>outer CP in midcingulate cortex</v>
      </c>
      <c r="D270" s="42">
        <f>IFERROR(__xludf.DUMMYFUNCTION("""COMPUTED_VALUE"""),236.0)</f>
        <v>236</v>
      </c>
      <c r="E270" s="39" t="str">
        <f>IFERROR(__xludf.DUMMYFUNCTION("""COMPUTED_VALUE"""),"outer CP in midcingulate cortex")</f>
        <v>outer CP in midcingulate cortex</v>
      </c>
      <c r="F270" s="9" t="str">
        <f>IFERROR(__xludf.DUMMYFUNCTION("""COMPUTED_VALUE"""),"Br")</f>
        <v>Br</v>
      </c>
      <c r="G270" s="9" t="str">
        <f>IFERROR(__xludf.DUMMYFUNCTION("""COMPUTED_VALUE"""),"F")</f>
        <v>F</v>
      </c>
      <c r="H270" s="9" t="str">
        <f>IFERROR(__xludf.DUMMYFUNCTION("""COMPUTED_VALUE"""),"FGM")</f>
        <v>FGM</v>
      </c>
      <c r="I270" s="9" t="str">
        <f>IFERROR(__xludf.DUMMYFUNCTION("""COMPUTED_VALUE"""),"FTS")</f>
        <v>FTS</v>
      </c>
      <c r="J270" s="9" t="str">
        <f>IFERROR(__xludf.DUMMYFUNCTION("""COMPUTED_VALUE"""),"CP")</f>
        <v>CP</v>
      </c>
      <c r="K270" s="9" t="str">
        <f>IFERROR(__xludf.DUMMYFUNCTION("""COMPUTED_VALUE"""),"cCP")</f>
        <v>cCP</v>
      </c>
      <c r="L270" s="9" t="str">
        <f>IFERROR(__xludf.DUMMYFUNCTION("""COMPUTED_VALUE"""),"cCPmi")</f>
        <v>cCPmi</v>
      </c>
      <c r="M270" s="9" t="str">
        <f>IFERROR(__xludf.DUMMYFUNCTION("""COMPUTED_VALUE"""),"cCPmio")</f>
        <v>cCPmio</v>
      </c>
      <c r="N270" s="9"/>
      <c r="O270" s="9"/>
      <c r="P270" s="9"/>
      <c r="Q270" s="9"/>
      <c r="R270" s="9"/>
      <c r="S270" s="42"/>
      <c r="T270" s="42"/>
      <c r="U270" s="42"/>
      <c r="V270" s="42"/>
      <c r="W270" s="42"/>
      <c r="X270" s="42"/>
      <c r="Y270" s="42"/>
      <c r="Z270" s="42"/>
      <c r="AA270" s="42"/>
      <c r="AB270" s="42" t="str">
        <f>IFERROR(__xludf.DUMMYFUNCTION("""COMPUTED_VALUE"""),"allen institute")</f>
        <v>allen institute</v>
      </c>
      <c r="AC270" s="42" t="str">
        <f>IFERROR(__xludf.DUMMYFUNCTION("""COMPUTED_VALUE"""),"DHBA")</f>
        <v>DHBA</v>
      </c>
      <c r="AD270" s="42"/>
      <c r="AE270" s="42"/>
      <c r="AF270" s="9"/>
      <c r="AG270" s="9"/>
      <c r="AH270" s="42"/>
      <c r="AI270" s="42"/>
      <c r="AJ270" s="42"/>
      <c r="AK270" s="42"/>
      <c r="AL270" s="42"/>
      <c r="AM270" s="42"/>
      <c r="AN270" s="42"/>
      <c r="AO270" s="63" t="str">
        <f>IFERROR(__xludf.DUMMYFUNCTION("IF(ISBLANK(A270),,IF(ISBLANK(S270), A270&amp;"";"", TEXTJOIN(CHAR(10), TRUE, A270&amp;"";"", ARRAYFORMULA(VLOOKUP(SPLIT(S270, "";"" &amp; CHAR(10)), $A:$AO, 41, FALSE)))))"),"cCPmio;")</f>
        <v>cCPmio;</v>
      </c>
      <c r="AP270" s="89"/>
    </row>
    <row r="271">
      <c r="A271" s="151" t="str">
        <f>IFERROR(__xludf.DUMMYFUNCTION("""COMPUTED_VALUE"""),"cCPmii")</f>
        <v>cCPmii</v>
      </c>
      <c r="B271" s="42" t="str">
        <f>IFERROR(__xludf.DUMMYFUNCTION("""COMPUTED_VALUE"""),"DHBA")</f>
        <v>DHBA</v>
      </c>
      <c r="C271" s="42" t="str">
        <f>IFERROR(__xludf.DUMMYFUNCTION("""COMPUTED_VALUE"""),"inner CP in midcingulate cortex")</f>
        <v>inner CP in midcingulate cortex</v>
      </c>
      <c r="D271" s="42">
        <f>IFERROR(__xludf.DUMMYFUNCTION("""COMPUTED_VALUE"""),237.0)</f>
        <v>237</v>
      </c>
      <c r="E271" s="39" t="str">
        <f>IFERROR(__xludf.DUMMYFUNCTION("""COMPUTED_VALUE"""),"inner CP in midcingulate cortex")</f>
        <v>inner CP in midcingulate cortex</v>
      </c>
      <c r="F271" s="9" t="str">
        <f>IFERROR(__xludf.DUMMYFUNCTION("""COMPUTED_VALUE"""),"Br")</f>
        <v>Br</v>
      </c>
      <c r="G271" s="9" t="str">
        <f>IFERROR(__xludf.DUMMYFUNCTION("""COMPUTED_VALUE"""),"F")</f>
        <v>F</v>
      </c>
      <c r="H271" s="9" t="str">
        <f>IFERROR(__xludf.DUMMYFUNCTION("""COMPUTED_VALUE"""),"FGM")</f>
        <v>FGM</v>
      </c>
      <c r="I271" s="9" t="str">
        <f>IFERROR(__xludf.DUMMYFUNCTION("""COMPUTED_VALUE"""),"FTS")</f>
        <v>FTS</v>
      </c>
      <c r="J271" s="9" t="str">
        <f>IFERROR(__xludf.DUMMYFUNCTION("""COMPUTED_VALUE"""),"CP")</f>
        <v>CP</v>
      </c>
      <c r="K271" s="9" t="str">
        <f>IFERROR(__xludf.DUMMYFUNCTION("""COMPUTED_VALUE"""),"cCP")</f>
        <v>cCP</v>
      </c>
      <c r="L271" s="9" t="str">
        <f>IFERROR(__xludf.DUMMYFUNCTION("""COMPUTED_VALUE"""),"cCPmi")</f>
        <v>cCPmi</v>
      </c>
      <c r="M271" s="9" t="str">
        <f>IFERROR(__xludf.DUMMYFUNCTION("""COMPUTED_VALUE"""),"cCPmii")</f>
        <v>cCPmii</v>
      </c>
      <c r="N271" s="9"/>
      <c r="O271" s="9"/>
      <c r="P271" s="9"/>
      <c r="Q271" s="9"/>
      <c r="R271" s="9"/>
      <c r="S271" s="42"/>
      <c r="T271" s="42"/>
      <c r="U271" s="42"/>
      <c r="V271" s="42"/>
      <c r="W271" s="42"/>
      <c r="X271" s="42"/>
      <c r="Y271" s="42"/>
      <c r="Z271" s="42"/>
      <c r="AA271" s="42"/>
      <c r="AB271" s="42" t="str">
        <f>IFERROR(__xludf.DUMMYFUNCTION("""COMPUTED_VALUE"""),"allen institute")</f>
        <v>allen institute</v>
      </c>
      <c r="AC271" s="42" t="str">
        <f>IFERROR(__xludf.DUMMYFUNCTION("""COMPUTED_VALUE"""),"DHBA")</f>
        <v>DHBA</v>
      </c>
      <c r="AD271" s="42"/>
      <c r="AE271" s="42"/>
      <c r="AF271" s="9"/>
      <c r="AG271" s="9"/>
      <c r="AH271" s="42"/>
      <c r="AI271" s="42"/>
      <c r="AJ271" s="42"/>
      <c r="AK271" s="42"/>
      <c r="AL271" s="42"/>
      <c r="AM271" s="42"/>
      <c r="AN271" s="42"/>
      <c r="AO271" s="63" t="str">
        <f>IFERROR(__xludf.DUMMYFUNCTION("IF(ISBLANK(A271),,IF(ISBLANK(S271), A271&amp;"";"", TEXTJOIN(CHAR(10), TRUE, A271&amp;"";"", ARRAYFORMULA(VLOOKUP(SPLIT(S271, "";"" &amp; CHAR(10)), $A:$AO, 41, FALSE)))))"),"cCPmii;")</f>
        <v>cCPmii;</v>
      </c>
      <c r="AP271" s="89"/>
    </row>
    <row r="272">
      <c r="A272" s="151" t="str">
        <f>IFERROR(__xludf.DUMMYFUNCTION("""COMPUTED_VALUE"""),"cCPc")</f>
        <v>cCPc</v>
      </c>
      <c r="B272" s="42" t="str">
        <f>IFERROR(__xludf.DUMMYFUNCTION("""COMPUTED_VALUE"""),"DHBA")</f>
        <v>DHBA</v>
      </c>
      <c r="C272" s="42" t="str">
        <f>IFERROR(__xludf.DUMMYFUNCTION("""COMPUTED_VALUE"""),"CP in caudal cingulate cortex")</f>
        <v>CP in caudal cingulate cortex</v>
      </c>
      <c r="D272" s="42">
        <f>IFERROR(__xludf.DUMMYFUNCTION("""COMPUTED_VALUE"""),238.0)</f>
        <v>238</v>
      </c>
      <c r="E272" s="39" t="str">
        <f>IFERROR(__xludf.DUMMYFUNCTION("""COMPUTED_VALUE"""),"CP in caudal cingulate cortex")</f>
        <v>CP in caudal cingulate cortex</v>
      </c>
      <c r="F272" s="9" t="str">
        <f>IFERROR(__xludf.DUMMYFUNCTION("""COMPUTED_VALUE"""),"Br")</f>
        <v>Br</v>
      </c>
      <c r="G272" s="9" t="str">
        <f>IFERROR(__xludf.DUMMYFUNCTION("""COMPUTED_VALUE"""),"F")</f>
        <v>F</v>
      </c>
      <c r="H272" s="9" t="str">
        <f>IFERROR(__xludf.DUMMYFUNCTION("""COMPUTED_VALUE"""),"FGM")</f>
        <v>FGM</v>
      </c>
      <c r="I272" s="9" t="str">
        <f>IFERROR(__xludf.DUMMYFUNCTION("""COMPUTED_VALUE"""),"FTS")</f>
        <v>FTS</v>
      </c>
      <c r="J272" s="9" t="str">
        <f>IFERROR(__xludf.DUMMYFUNCTION("""COMPUTED_VALUE"""),"CP")</f>
        <v>CP</v>
      </c>
      <c r="K272" s="9" t="str">
        <f>IFERROR(__xludf.DUMMYFUNCTION("""COMPUTED_VALUE"""),"cCP")</f>
        <v>cCP</v>
      </c>
      <c r="L272" s="9" t="str">
        <f>IFERROR(__xludf.DUMMYFUNCTION("""COMPUTED_VALUE"""),"cCPc")</f>
        <v>cCPc</v>
      </c>
      <c r="M272" s="9"/>
      <c r="N272" s="9"/>
      <c r="O272" s="9"/>
      <c r="P272" s="9"/>
      <c r="Q272" s="9"/>
      <c r="R272" s="9"/>
      <c r="S272" s="42" t="str">
        <f>IFERROR(__xludf.DUMMYFUNCTION("""COMPUTED_VALUE"""),"cCPco;
cCPci")</f>
        <v>cCPco;
cCPci</v>
      </c>
      <c r="T272" s="42"/>
      <c r="U272" s="159" t="b">
        <f>IFERROR(__xludf.DUMMYFUNCTION("""COMPUTED_VALUE"""),FALSE)</f>
        <v>0</v>
      </c>
      <c r="V272" s="42"/>
      <c r="W272" s="42"/>
      <c r="X272" s="42"/>
      <c r="Y272" s="42"/>
      <c r="Z272" s="42"/>
      <c r="AA272" s="42"/>
      <c r="AB272" s="42" t="str">
        <f>IFERROR(__xludf.DUMMYFUNCTION("""COMPUTED_VALUE"""),"allen institute")</f>
        <v>allen institute</v>
      </c>
      <c r="AC272" s="42" t="str">
        <f>IFERROR(__xludf.DUMMYFUNCTION("""COMPUTED_VALUE"""),"DHBA")</f>
        <v>DHBA</v>
      </c>
      <c r="AD272" s="42"/>
      <c r="AE272" s="42"/>
      <c r="AF272" s="9"/>
      <c r="AG272" s="9"/>
      <c r="AH272" s="42"/>
      <c r="AI272" s="42"/>
      <c r="AJ272" s="42"/>
      <c r="AK272" s="42"/>
      <c r="AL272" s="42"/>
      <c r="AM272" s="42"/>
      <c r="AN272" s="42"/>
      <c r="AO272" s="63" t="str">
        <f>IFERROR(__xludf.DUMMYFUNCTION("IF(ISBLANK(A272),,IF(ISBLANK(S272), A272&amp;"";"", TEXTJOIN(CHAR(10), TRUE, A272&amp;"";"", ARRAYFORMULA(VLOOKUP(SPLIT(S272, "";"" &amp; CHAR(10)), $A:$AO, 41, FALSE)))))"),"cCPc;
cCPco;
cCPci;")</f>
        <v>cCPc;
cCPco;
cCPci;</v>
      </c>
      <c r="AP272" s="89"/>
    </row>
    <row r="273">
      <c r="A273" s="151" t="str">
        <f>IFERROR(__xludf.DUMMYFUNCTION("""COMPUTED_VALUE"""),"cCPco")</f>
        <v>cCPco</v>
      </c>
      <c r="B273" s="42" t="str">
        <f>IFERROR(__xludf.DUMMYFUNCTION("""COMPUTED_VALUE"""),"DHBA")</f>
        <v>DHBA</v>
      </c>
      <c r="C273" s="42" t="str">
        <f>IFERROR(__xludf.DUMMYFUNCTION("""COMPUTED_VALUE"""),"outer CP in caudal cingulate cortex")</f>
        <v>outer CP in caudal cingulate cortex</v>
      </c>
      <c r="D273" s="42">
        <f>IFERROR(__xludf.DUMMYFUNCTION("""COMPUTED_VALUE"""),239.0)</f>
        <v>239</v>
      </c>
      <c r="E273" s="39" t="str">
        <f>IFERROR(__xludf.DUMMYFUNCTION("""COMPUTED_VALUE"""),"outer CP in caudal cingulate cortex")</f>
        <v>outer CP in caudal cingulate cortex</v>
      </c>
      <c r="F273" s="9" t="str">
        <f>IFERROR(__xludf.DUMMYFUNCTION("""COMPUTED_VALUE"""),"Br")</f>
        <v>Br</v>
      </c>
      <c r="G273" s="9" t="str">
        <f>IFERROR(__xludf.DUMMYFUNCTION("""COMPUTED_VALUE"""),"F")</f>
        <v>F</v>
      </c>
      <c r="H273" s="9" t="str">
        <f>IFERROR(__xludf.DUMMYFUNCTION("""COMPUTED_VALUE"""),"FGM")</f>
        <v>FGM</v>
      </c>
      <c r="I273" s="9" t="str">
        <f>IFERROR(__xludf.DUMMYFUNCTION("""COMPUTED_VALUE"""),"FTS")</f>
        <v>FTS</v>
      </c>
      <c r="J273" s="9" t="str">
        <f>IFERROR(__xludf.DUMMYFUNCTION("""COMPUTED_VALUE"""),"CP")</f>
        <v>CP</v>
      </c>
      <c r="K273" s="9" t="str">
        <f>IFERROR(__xludf.DUMMYFUNCTION("""COMPUTED_VALUE"""),"cCP")</f>
        <v>cCP</v>
      </c>
      <c r="L273" s="9" t="str">
        <f>IFERROR(__xludf.DUMMYFUNCTION("""COMPUTED_VALUE"""),"cCPc")</f>
        <v>cCPc</v>
      </c>
      <c r="M273" s="9" t="str">
        <f>IFERROR(__xludf.DUMMYFUNCTION("""COMPUTED_VALUE"""),"cCPco")</f>
        <v>cCPco</v>
      </c>
      <c r="N273" s="9"/>
      <c r="O273" s="9"/>
      <c r="P273" s="9"/>
      <c r="Q273" s="9"/>
      <c r="R273" s="9"/>
      <c r="S273" s="42"/>
      <c r="T273" s="42"/>
      <c r="U273" s="42"/>
      <c r="V273" s="42"/>
      <c r="W273" s="42"/>
      <c r="X273" s="42"/>
      <c r="Y273" s="42"/>
      <c r="Z273" s="42"/>
      <c r="AA273" s="42"/>
      <c r="AB273" s="42" t="str">
        <f>IFERROR(__xludf.DUMMYFUNCTION("""COMPUTED_VALUE"""),"allen institute")</f>
        <v>allen institute</v>
      </c>
      <c r="AC273" s="42" t="str">
        <f>IFERROR(__xludf.DUMMYFUNCTION("""COMPUTED_VALUE"""),"DHBA")</f>
        <v>DHBA</v>
      </c>
      <c r="AD273" s="42"/>
      <c r="AE273" s="42"/>
      <c r="AF273" s="9"/>
      <c r="AG273" s="9"/>
      <c r="AH273" s="42"/>
      <c r="AI273" s="42"/>
      <c r="AJ273" s="42"/>
      <c r="AK273" s="42"/>
      <c r="AL273" s="42"/>
      <c r="AM273" s="42"/>
      <c r="AN273" s="42"/>
      <c r="AO273" s="63" t="str">
        <f>IFERROR(__xludf.DUMMYFUNCTION("IF(ISBLANK(A273),,IF(ISBLANK(S273), A273&amp;"";"", TEXTJOIN(CHAR(10), TRUE, A273&amp;"";"", ARRAYFORMULA(VLOOKUP(SPLIT(S273, "";"" &amp; CHAR(10)), $A:$AO, 41, FALSE)))))"),"cCPco;")</f>
        <v>cCPco;</v>
      </c>
      <c r="AP273" s="89"/>
    </row>
    <row r="274">
      <c r="A274" s="151" t="str">
        <f>IFERROR(__xludf.DUMMYFUNCTION("""COMPUTED_VALUE"""),"cCPci")</f>
        <v>cCPci</v>
      </c>
      <c r="B274" s="42" t="str">
        <f>IFERROR(__xludf.DUMMYFUNCTION("""COMPUTED_VALUE"""),"DHBA")</f>
        <v>DHBA</v>
      </c>
      <c r="C274" s="42" t="str">
        <f>IFERROR(__xludf.DUMMYFUNCTION("""COMPUTED_VALUE"""),"inner CP in caudal cingulate cortex")</f>
        <v>inner CP in caudal cingulate cortex</v>
      </c>
      <c r="D274" s="42">
        <f>IFERROR(__xludf.DUMMYFUNCTION("""COMPUTED_VALUE"""),240.0)</f>
        <v>240</v>
      </c>
      <c r="E274" s="39" t="str">
        <f>IFERROR(__xludf.DUMMYFUNCTION("""COMPUTED_VALUE"""),"inner CP in caudal cingulate cortex")</f>
        <v>inner CP in caudal cingulate cortex</v>
      </c>
      <c r="F274" s="9" t="str">
        <f>IFERROR(__xludf.DUMMYFUNCTION("""COMPUTED_VALUE"""),"Br")</f>
        <v>Br</v>
      </c>
      <c r="G274" s="9" t="str">
        <f>IFERROR(__xludf.DUMMYFUNCTION("""COMPUTED_VALUE"""),"F")</f>
        <v>F</v>
      </c>
      <c r="H274" s="9" t="str">
        <f>IFERROR(__xludf.DUMMYFUNCTION("""COMPUTED_VALUE"""),"FGM")</f>
        <v>FGM</v>
      </c>
      <c r="I274" s="9" t="str">
        <f>IFERROR(__xludf.DUMMYFUNCTION("""COMPUTED_VALUE"""),"FTS")</f>
        <v>FTS</v>
      </c>
      <c r="J274" s="9" t="str">
        <f>IFERROR(__xludf.DUMMYFUNCTION("""COMPUTED_VALUE"""),"CP")</f>
        <v>CP</v>
      </c>
      <c r="K274" s="9" t="str">
        <f>IFERROR(__xludf.DUMMYFUNCTION("""COMPUTED_VALUE"""),"cCP")</f>
        <v>cCP</v>
      </c>
      <c r="L274" s="9" t="str">
        <f>IFERROR(__xludf.DUMMYFUNCTION("""COMPUTED_VALUE"""),"cCPc")</f>
        <v>cCPc</v>
      </c>
      <c r="M274" s="9" t="str">
        <f>IFERROR(__xludf.DUMMYFUNCTION("""COMPUTED_VALUE"""),"cCPci")</f>
        <v>cCPci</v>
      </c>
      <c r="N274" s="9"/>
      <c r="O274" s="9"/>
      <c r="P274" s="9"/>
      <c r="Q274" s="9"/>
      <c r="R274" s="9"/>
      <c r="S274" s="42"/>
      <c r="T274" s="42"/>
      <c r="U274" s="42"/>
      <c r="V274" s="42"/>
      <c r="W274" s="42"/>
      <c r="X274" s="42"/>
      <c r="Y274" s="42"/>
      <c r="Z274" s="42"/>
      <c r="AA274" s="42"/>
      <c r="AB274" s="42" t="str">
        <f>IFERROR(__xludf.DUMMYFUNCTION("""COMPUTED_VALUE"""),"allen institute")</f>
        <v>allen institute</v>
      </c>
      <c r="AC274" s="42" t="str">
        <f>IFERROR(__xludf.DUMMYFUNCTION("""COMPUTED_VALUE"""),"DHBA")</f>
        <v>DHBA</v>
      </c>
      <c r="AD274" s="42"/>
      <c r="AE274" s="42"/>
      <c r="AF274" s="9"/>
      <c r="AG274" s="9"/>
      <c r="AH274" s="42"/>
      <c r="AI274" s="42"/>
      <c r="AJ274" s="42"/>
      <c r="AK274" s="42"/>
      <c r="AL274" s="42"/>
      <c r="AM274" s="42"/>
      <c r="AN274" s="42"/>
      <c r="AO274" s="63" t="str">
        <f>IFERROR(__xludf.DUMMYFUNCTION("IF(ISBLANK(A274),,IF(ISBLANK(S274), A274&amp;"";"", TEXTJOIN(CHAR(10), TRUE, A274&amp;"";"", ARRAYFORMULA(VLOOKUP(SPLIT(S274, "";"" &amp; CHAR(10)), $A:$AO, 41, FALSE)))))"),"cCPci;")</f>
        <v>cCPci;</v>
      </c>
      <c r="AP274" s="89"/>
    </row>
    <row r="275">
      <c r="A275" s="151" t="str">
        <f>IFERROR(__xludf.DUMMYFUNCTION("""COMPUTED_VALUE"""),"cCPsg")</f>
        <v>cCPsg</v>
      </c>
      <c r="B275" s="42" t="str">
        <f>IFERROR(__xludf.DUMMYFUNCTION("""COMPUTED_VALUE"""),"DHBA")</f>
        <v>DHBA</v>
      </c>
      <c r="C275" s="42" t="str">
        <f>IFERROR(__xludf.DUMMYFUNCTION("""COMPUTED_VALUE"""),"CP in subgenual (subcallosal) cingulate cortex")</f>
        <v>CP in subgenual (subcallosal) cingulate cortex</v>
      </c>
      <c r="D275" s="42">
        <f>IFERROR(__xludf.DUMMYFUNCTION("""COMPUTED_VALUE"""),241.0)</f>
        <v>241</v>
      </c>
      <c r="E275" s="39" t="str">
        <f>IFERROR(__xludf.DUMMYFUNCTION("""COMPUTED_VALUE"""),"CP in subgenual (subcallosal) cingulate cortex")</f>
        <v>CP in subgenual (subcallosal) cingulate cortex</v>
      </c>
      <c r="F275" s="9" t="str">
        <f>IFERROR(__xludf.DUMMYFUNCTION("""COMPUTED_VALUE"""),"Br")</f>
        <v>Br</v>
      </c>
      <c r="G275" s="9" t="str">
        <f>IFERROR(__xludf.DUMMYFUNCTION("""COMPUTED_VALUE"""),"F")</f>
        <v>F</v>
      </c>
      <c r="H275" s="9" t="str">
        <f>IFERROR(__xludf.DUMMYFUNCTION("""COMPUTED_VALUE"""),"FGM")</f>
        <v>FGM</v>
      </c>
      <c r="I275" s="9" t="str">
        <f>IFERROR(__xludf.DUMMYFUNCTION("""COMPUTED_VALUE"""),"FTS")</f>
        <v>FTS</v>
      </c>
      <c r="J275" s="9" t="str">
        <f>IFERROR(__xludf.DUMMYFUNCTION("""COMPUTED_VALUE"""),"CP")</f>
        <v>CP</v>
      </c>
      <c r="K275" s="9" t="str">
        <f>IFERROR(__xludf.DUMMYFUNCTION("""COMPUTED_VALUE"""),"cCP")</f>
        <v>cCP</v>
      </c>
      <c r="L275" s="9" t="str">
        <f>IFERROR(__xludf.DUMMYFUNCTION("""COMPUTED_VALUE"""),"cCPsg")</f>
        <v>cCPsg</v>
      </c>
      <c r="M275" s="9"/>
      <c r="N275" s="9"/>
      <c r="O275" s="9"/>
      <c r="P275" s="9"/>
      <c r="Q275" s="9"/>
      <c r="R275" s="9"/>
      <c r="S275" s="42" t="str">
        <f>IFERROR(__xludf.DUMMYFUNCTION("""COMPUTED_VALUE"""),"cCPsgo;
cCPsgi")</f>
        <v>cCPsgo;
cCPsgi</v>
      </c>
      <c r="T275" s="42"/>
      <c r="U275" s="42" t="b">
        <f>IFERROR(__xludf.DUMMYFUNCTION("""COMPUTED_VALUE"""),FALSE)</f>
        <v>0</v>
      </c>
      <c r="V275" s="42"/>
      <c r="W275" s="42"/>
      <c r="X275" s="42"/>
      <c r="Y275" s="42"/>
      <c r="Z275" s="42"/>
      <c r="AA275" s="42"/>
      <c r="AB275" s="42" t="str">
        <f>IFERROR(__xludf.DUMMYFUNCTION("""COMPUTED_VALUE"""),"allen institute")</f>
        <v>allen institute</v>
      </c>
      <c r="AC275" s="42" t="str">
        <f>IFERROR(__xludf.DUMMYFUNCTION("""COMPUTED_VALUE"""),"DHBA")</f>
        <v>DHBA</v>
      </c>
      <c r="AD275" s="42"/>
      <c r="AE275" s="42"/>
      <c r="AF275" s="9"/>
      <c r="AG275" s="9"/>
      <c r="AH275" s="42"/>
      <c r="AI275" s="42"/>
      <c r="AJ275" s="42"/>
      <c r="AK275" s="42"/>
      <c r="AL275" s="42"/>
      <c r="AM275" s="42"/>
      <c r="AN275" s="42"/>
      <c r="AO275" s="63" t="str">
        <f>IFERROR(__xludf.DUMMYFUNCTION("IF(ISBLANK(A275),,IF(ISBLANK(S275), A275&amp;"";"", TEXTJOIN(CHAR(10), TRUE, A275&amp;"";"", ARRAYFORMULA(VLOOKUP(SPLIT(S275, "";"" &amp; CHAR(10)), $A:$AO, 41, FALSE)))))"),"cCPsg;
cCPsgo;
cCPsgi;")</f>
        <v>cCPsg;
cCPsgo;
cCPsgi;</v>
      </c>
      <c r="AP275" s="89"/>
    </row>
    <row r="276">
      <c r="A276" s="151" t="str">
        <f>IFERROR(__xludf.DUMMYFUNCTION("""COMPUTED_VALUE"""),"cCPsgo")</f>
        <v>cCPsgo</v>
      </c>
      <c r="B276" s="42" t="str">
        <f>IFERROR(__xludf.DUMMYFUNCTION("""COMPUTED_VALUE"""),"DHBA")</f>
        <v>DHBA</v>
      </c>
      <c r="C276" s="42" t="str">
        <f>IFERROR(__xludf.DUMMYFUNCTION("""COMPUTED_VALUE"""),"outer CP in subgenual (subcallosal) cingulate cortex")</f>
        <v>outer CP in subgenual (subcallosal) cingulate cortex</v>
      </c>
      <c r="D276" s="42">
        <f>IFERROR(__xludf.DUMMYFUNCTION("""COMPUTED_VALUE"""),242.0)</f>
        <v>242</v>
      </c>
      <c r="E276" s="39" t="str">
        <f>IFERROR(__xludf.DUMMYFUNCTION("""COMPUTED_VALUE"""),"outer CP in subgenual (subcallosal) cingulate cortex")</f>
        <v>outer CP in subgenual (subcallosal) cingulate cortex</v>
      </c>
      <c r="F276" s="9" t="str">
        <f>IFERROR(__xludf.DUMMYFUNCTION("""COMPUTED_VALUE"""),"Br")</f>
        <v>Br</v>
      </c>
      <c r="G276" s="9" t="str">
        <f>IFERROR(__xludf.DUMMYFUNCTION("""COMPUTED_VALUE"""),"F")</f>
        <v>F</v>
      </c>
      <c r="H276" s="9" t="str">
        <f>IFERROR(__xludf.DUMMYFUNCTION("""COMPUTED_VALUE"""),"FGM")</f>
        <v>FGM</v>
      </c>
      <c r="I276" s="9" t="str">
        <f>IFERROR(__xludf.DUMMYFUNCTION("""COMPUTED_VALUE"""),"FTS")</f>
        <v>FTS</v>
      </c>
      <c r="J276" s="9" t="str">
        <f>IFERROR(__xludf.DUMMYFUNCTION("""COMPUTED_VALUE"""),"CP")</f>
        <v>CP</v>
      </c>
      <c r="K276" s="9" t="str">
        <f>IFERROR(__xludf.DUMMYFUNCTION("""COMPUTED_VALUE"""),"cCP")</f>
        <v>cCP</v>
      </c>
      <c r="L276" s="9" t="str">
        <f>IFERROR(__xludf.DUMMYFUNCTION("""COMPUTED_VALUE"""),"cCPsg")</f>
        <v>cCPsg</v>
      </c>
      <c r="M276" s="9" t="str">
        <f>IFERROR(__xludf.DUMMYFUNCTION("""COMPUTED_VALUE"""),"cCPsgo")</f>
        <v>cCPsgo</v>
      </c>
      <c r="N276" s="9"/>
      <c r="O276" s="9"/>
      <c r="P276" s="9"/>
      <c r="Q276" s="9"/>
      <c r="R276" s="9"/>
      <c r="S276" s="42"/>
      <c r="T276" s="42"/>
      <c r="U276" s="42"/>
      <c r="V276" s="42"/>
      <c r="W276" s="42"/>
      <c r="X276" s="42"/>
      <c r="Y276" s="42"/>
      <c r="Z276" s="42"/>
      <c r="AA276" s="42"/>
      <c r="AB276" s="42" t="str">
        <f>IFERROR(__xludf.DUMMYFUNCTION("""COMPUTED_VALUE"""),"allen institute")</f>
        <v>allen institute</v>
      </c>
      <c r="AC276" s="42" t="str">
        <f>IFERROR(__xludf.DUMMYFUNCTION("""COMPUTED_VALUE"""),"DHBA")</f>
        <v>DHBA</v>
      </c>
      <c r="AD276" s="42"/>
      <c r="AE276" s="42"/>
      <c r="AF276" s="9"/>
      <c r="AG276" s="9"/>
      <c r="AH276" s="42"/>
      <c r="AI276" s="42"/>
      <c r="AJ276" s="42"/>
      <c r="AK276" s="42"/>
      <c r="AL276" s="42"/>
      <c r="AM276" s="42"/>
      <c r="AN276" s="42"/>
      <c r="AO276" s="63" t="str">
        <f>IFERROR(__xludf.DUMMYFUNCTION("IF(ISBLANK(A276),,IF(ISBLANK(S276), A276&amp;"";"", TEXTJOIN(CHAR(10), TRUE, A276&amp;"";"", ARRAYFORMULA(VLOOKUP(SPLIT(S276, "";"" &amp; CHAR(10)), $A:$AO, 41, FALSE)))))"),"cCPsgo;")</f>
        <v>cCPsgo;</v>
      </c>
      <c r="AP276" s="89"/>
    </row>
    <row r="277">
      <c r="A277" s="151" t="str">
        <f>IFERROR(__xludf.DUMMYFUNCTION("""COMPUTED_VALUE"""),"cCPsgi")</f>
        <v>cCPsgi</v>
      </c>
      <c r="B277" s="42" t="str">
        <f>IFERROR(__xludf.DUMMYFUNCTION("""COMPUTED_VALUE"""),"DHBA")</f>
        <v>DHBA</v>
      </c>
      <c r="C277" s="42" t="str">
        <f>IFERROR(__xludf.DUMMYFUNCTION("""COMPUTED_VALUE"""),"inner CP in subgenual (subcallosal) cingulate cortex")</f>
        <v>inner CP in subgenual (subcallosal) cingulate cortex</v>
      </c>
      <c r="D277" s="42">
        <f>IFERROR(__xludf.DUMMYFUNCTION("""COMPUTED_VALUE"""),243.0)</f>
        <v>243</v>
      </c>
      <c r="E277" s="39" t="str">
        <f>IFERROR(__xludf.DUMMYFUNCTION("""COMPUTED_VALUE"""),"inner CP in subgenual (subcallosal) cingulate cortex")</f>
        <v>inner CP in subgenual (subcallosal) cingulate cortex</v>
      </c>
      <c r="F277" s="9" t="str">
        <f>IFERROR(__xludf.DUMMYFUNCTION("""COMPUTED_VALUE"""),"Br")</f>
        <v>Br</v>
      </c>
      <c r="G277" s="9" t="str">
        <f>IFERROR(__xludf.DUMMYFUNCTION("""COMPUTED_VALUE"""),"F")</f>
        <v>F</v>
      </c>
      <c r="H277" s="9" t="str">
        <f>IFERROR(__xludf.DUMMYFUNCTION("""COMPUTED_VALUE"""),"FGM")</f>
        <v>FGM</v>
      </c>
      <c r="I277" s="9" t="str">
        <f>IFERROR(__xludf.DUMMYFUNCTION("""COMPUTED_VALUE"""),"FTS")</f>
        <v>FTS</v>
      </c>
      <c r="J277" s="9" t="str">
        <f>IFERROR(__xludf.DUMMYFUNCTION("""COMPUTED_VALUE"""),"CP")</f>
        <v>CP</v>
      </c>
      <c r="K277" s="9" t="str">
        <f>IFERROR(__xludf.DUMMYFUNCTION("""COMPUTED_VALUE"""),"cCP")</f>
        <v>cCP</v>
      </c>
      <c r="L277" s="9" t="str">
        <f>IFERROR(__xludf.DUMMYFUNCTION("""COMPUTED_VALUE"""),"cCPsg")</f>
        <v>cCPsg</v>
      </c>
      <c r="M277" s="9" t="str">
        <f>IFERROR(__xludf.DUMMYFUNCTION("""COMPUTED_VALUE"""),"cCPsgi")</f>
        <v>cCPsgi</v>
      </c>
      <c r="N277" s="9"/>
      <c r="O277" s="9"/>
      <c r="P277" s="9"/>
      <c r="Q277" s="9"/>
      <c r="R277" s="9"/>
      <c r="S277" s="42"/>
      <c r="T277" s="42"/>
      <c r="U277" s="42"/>
      <c r="V277" s="42"/>
      <c r="W277" s="42"/>
      <c r="X277" s="42"/>
      <c r="Y277" s="42"/>
      <c r="Z277" s="42"/>
      <c r="AA277" s="42"/>
      <c r="AB277" s="42" t="str">
        <f>IFERROR(__xludf.DUMMYFUNCTION("""COMPUTED_VALUE"""),"allen institute")</f>
        <v>allen institute</v>
      </c>
      <c r="AC277" s="42" t="str">
        <f>IFERROR(__xludf.DUMMYFUNCTION("""COMPUTED_VALUE"""),"DHBA")</f>
        <v>DHBA</v>
      </c>
      <c r="AD277" s="42"/>
      <c r="AE277" s="42"/>
      <c r="AF277" s="9"/>
      <c r="AG277" s="9"/>
      <c r="AH277" s="42"/>
      <c r="AI277" s="42"/>
      <c r="AJ277" s="42"/>
      <c r="AK277" s="42"/>
      <c r="AL277" s="42"/>
      <c r="AM277" s="42"/>
      <c r="AN277" s="42"/>
      <c r="AO277" s="63" t="str">
        <f>IFERROR(__xludf.DUMMYFUNCTION("IF(ISBLANK(A277),,IF(ISBLANK(S277), A277&amp;"";"", TEXTJOIN(CHAR(10), TRUE, A277&amp;"";"", ARRAYFORMULA(VLOOKUP(SPLIT(S277, "";"" &amp; CHAR(10)), $A:$AO, 41, FALSE)))))"),"cCPsgi;")</f>
        <v>cCPsgi;</v>
      </c>
      <c r="AP277" s="89"/>
    </row>
    <row r="278">
      <c r="A278" s="151" t="str">
        <f>IFERROR(__xludf.DUMMYFUNCTION("""COMPUTED_VALUE"""),"peCP")</f>
        <v>peCP</v>
      </c>
      <c r="B278" s="42" t="str">
        <f>IFERROR(__xludf.DUMMYFUNCTION("""COMPUTED_VALUE"""),"DHBA")</f>
        <v>DHBA</v>
      </c>
      <c r="C278" s="42" t="str">
        <f>IFERROR(__xludf.DUMMYFUNCTION("""COMPUTED_VALUE"""),"CP in periallocortex")</f>
        <v>CP in periallocortex</v>
      </c>
      <c r="D278" s="42">
        <f>IFERROR(__xludf.DUMMYFUNCTION("""COMPUTED_VALUE"""),244.0)</f>
        <v>244</v>
      </c>
      <c r="E278" s="39" t="str">
        <f>IFERROR(__xludf.DUMMYFUNCTION("""COMPUTED_VALUE"""),"CP in periallocortex")</f>
        <v>CP in periallocortex</v>
      </c>
      <c r="F278" s="9" t="str">
        <f>IFERROR(__xludf.DUMMYFUNCTION("""COMPUTED_VALUE"""),"Br")</f>
        <v>Br</v>
      </c>
      <c r="G278" s="9" t="str">
        <f>IFERROR(__xludf.DUMMYFUNCTION("""COMPUTED_VALUE"""),"F")</f>
        <v>F</v>
      </c>
      <c r="H278" s="9" t="str">
        <f>IFERROR(__xludf.DUMMYFUNCTION("""COMPUTED_VALUE"""),"FGM")</f>
        <v>FGM</v>
      </c>
      <c r="I278" s="9" t="str">
        <f>IFERROR(__xludf.DUMMYFUNCTION("""COMPUTED_VALUE"""),"FTS")</f>
        <v>FTS</v>
      </c>
      <c r="J278" s="9" t="str">
        <f>IFERROR(__xludf.DUMMYFUNCTION("""COMPUTED_VALUE"""),"CP")</f>
        <v>CP</v>
      </c>
      <c r="K278" s="9" t="str">
        <f>IFERROR(__xludf.DUMMYFUNCTION("""COMPUTED_VALUE"""),"peCP")</f>
        <v>peCP</v>
      </c>
      <c r="L278" s="9"/>
      <c r="M278" s="9"/>
      <c r="N278" s="9"/>
      <c r="O278" s="9"/>
      <c r="P278" s="9"/>
      <c r="Q278" s="9"/>
      <c r="R278" s="9"/>
      <c r="S278" s="42" t="str">
        <f>IFERROR(__xludf.DUMMYFUNCTION("""COMPUTED_VALUE"""),"CPpc;
CPpas;
CPEC;
CPprs;
CPrs;
CPIag")</f>
        <v>CPpc;
CPpas;
CPEC;
CPprs;
CPrs;
CPIag</v>
      </c>
      <c r="T278" s="42"/>
      <c r="U278" s="42" t="b">
        <f>IFERROR(__xludf.DUMMYFUNCTION("""COMPUTED_VALUE"""),FALSE)</f>
        <v>0</v>
      </c>
      <c r="V278" s="42"/>
      <c r="W278" s="42"/>
      <c r="X278" s="42"/>
      <c r="Y278" s="42"/>
      <c r="Z278" s="42"/>
      <c r="AA278" s="42"/>
      <c r="AB278" s="42" t="str">
        <f>IFERROR(__xludf.DUMMYFUNCTION("""COMPUTED_VALUE"""),"allen institute")</f>
        <v>allen institute</v>
      </c>
      <c r="AC278" s="42" t="str">
        <f>IFERROR(__xludf.DUMMYFUNCTION("""COMPUTED_VALUE"""),"DHBA")</f>
        <v>DHBA</v>
      </c>
      <c r="AD278" s="42"/>
      <c r="AE278" s="42"/>
      <c r="AF278" s="9"/>
      <c r="AG278" s="9"/>
      <c r="AH278" s="42"/>
      <c r="AI278" s="42"/>
      <c r="AJ278" s="42"/>
      <c r="AK278" s="42"/>
      <c r="AL278" s="42"/>
      <c r="AM278" s="42"/>
      <c r="AN278" s="42"/>
      <c r="AO278" s="63" t="str">
        <f>IFERROR(__xludf.DUMMYFUNCTION("IF(ISBLANK(A278),,IF(ISBLANK(S278), A278&amp;"";"", TEXTJOIN(CHAR(10), TRUE, A278&amp;"";"", ARRAYFORMULA(VLOOKUP(SPLIT(S278, "";"" &amp; CHAR(10)), $A:$AO, 41, FALSE)))))"),"#REF!")</f>
        <v>#REF!</v>
      </c>
      <c r="AP278" s="89"/>
    </row>
    <row r="279">
      <c r="A279" s="151" t="str">
        <f>IFERROR(__xludf.DUMMYFUNCTION("""COMPUTED_VALUE"""),"CPpc")</f>
        <v>CPpc</v>
      </c>
      <c r="B279" s="42" t="str">
        <f>IFERROR(__xludf.DUMMYFUNCTION("""COMPUTED_VALUE"""),"DHBA")</f>
        <v>DHBA</v>
      </c>
      <c r="C279" s="42" t="str">
        <f>IFERROR(__xludf.DUMMYFUNCTION("""COMPUTED_VALUE"""),"CP in perirhinal cortex")</f>
        <v>CP in perirhinal cortex</v>
      </c>
      <c r="D279" s="42">
        <f>IFERROR(__xludf.DUMMYFUNCTION("""COMPUTED_VALUE"""),245.0)</f>
        <v>245</v>
      </c>
      <c r="E279" s="39" t="str">
        <f>IFERROR(__xludf.DUMMYFUNCTION("""COMPUTED_VALUE"""),"CP in perirhinal cortex")</f>
        <v>CP in perirhinal cortex</v>
      </c>
      <c r="F279" s="9" t="str">
        <f>IFERROR(__xludf.DUMMYFUNCTION("""COMPUTED_VALUE"""),"Br")</f>
        <v>Br</v>
      </c>
      <c r="G279" s="9" t="str">
        <f>IFERROR(__xludf.DUMMYFUNCTION("""COMPUTED_VALUE"""),"F")</f>
        <v>F</v>
      </c>
      <c r="H279" s="9" t="str">
        <f>IFERROR(__xludf.DUMMYFUNCTION("""COMPUTED_VALUE"""),"FGM")</f>
        <v>FGM</v>
      </c>
      <c r="I279" s="9" t="str">
        <f>IFERROR(__xludf.DUMMYFUNCTION("""COMPUTED_VALUE"""),"FTS")</f>
        <v>FTS</v>
      </c>
      <c r="J279" s="9" t="str">
        <f>IFERROR(__xludf.DUMMYFUNCTION("""COMPUTED_VALUE"""),"CP")</f>
        <v>CP</v>
      </c>
      <c r="K279" s="9" t="str">
        <f>IFERROR(__xludf.DUMMYFUNCTION("""COMPUTED_VALUE"""),"peCP")</f>
        <v>peCP</v>
      </c>
      <c r="L279" s="9" t="str">
        <f>IFERROR(__xludf.DUMMYFUNCTION("""COMPUTED_VALUE"""),"CPpc")</f>
        <v>CPpc</v>
      </c>
      <c r="M279" s="9"/>
      <c r="N279" s="9"/>
      <c r="O279" s="9"/>
      <c r="P279" s="9"/>
      <c r="Q279" s="9"/>
      <c r="R279" s="9"/>
      <c r="S279" s="42" t="str">
        <f>IFERROR(__xludf.DUMMYFUNCTION("""COMPUTED_VALUE"""),"CPpcr;
CPpcc")</f>
        <v>CPpcr;
CPpcc</v>
      </c>
      <c r="T279" s="42"/>
      <c r="U279" s="159" t="b">
        <f>IFERROR(__xludf.DUMMYFUNCTION("""COMPUTED_VALUE"""),FALSE)</f>
        <v>0</v>
      </c>
      <c r="V279" s="42"/>
      <c r="W279" s="42"/>
      <c r="X279" s="42"/>
      <c r="Y279" s="42"/>
      <c r="Z279" s="42"/>
      <c r="AA279" s="42"/>
      <c r="AB279" s="42" t="str">
        <f>IFERROR(__xludf.DUMMYFUNCTION("""COMPUTED_VALUE"""),"allen institute")</f>
        <v>allen institute</v>
      </c>
      <c r="AC279" s="42" t="str">
        <f>IFERROR(__xludf.DUMMYFUNCTION("""COMPUTED_VALUE"""),"DHBA")</f>
        <v>DHBA</v>
      </c>
      <c r="AD279" s="42"/>
      <c r="AE279" s="42"/>
      <c r="AF279" s="9"/>
      <c r="AG279" s="9"/>
      <c r="AH279" s="42"/>
      <c r="AI279" s="42"/>
      <c r="AJ279" s="42"/>
      <c r="AK279" s="42"/>
      <c r="AL279" s="42"/>
      <c r="AM279" s="42"/>
      <c r="AN279" s="42"/>
      <c r="AO279" s="63" t="str">
        <f>IFERROR(__xludf.DUMMYFUNCTION("IF(ISBLANK(A279),,IF(ISBLANK(S279), A279&amp;"";"", TEXTJOIN(CHAR(10), TRUE, A279&amp;"";"", ARRAYFORMULA(VLOOKUP(SPLIT(S279, "";"" &amp; CHAR(10)), $A:$AO, 41, FALSE)))))"),"CPpc;
CPpcr;
CPpcro;
CPpcri;
CPpcc;
CPpcco;
CPpcci;")</f>
        <v>CPpc;
CPpcr;
CPpcro;
CPpcri;
CPpcc;
CPpcco;
CPpcci;</v>
      </c>
      <c r="AP279" s="89"/>
    </row>
    <row r="280">
      <c r="A280" s="151" t="str">
        <f>IFERROR(__xludf.DUMMYFUNCTION("""COMPUTED_VALUE"""),"CPpcr")</f>
        <v>CPpcr</v>
      </c>
      <c r="B280" s="42" t="str">
        <f>IFERROR(__xludf.DUMMYFUNCTION("""COMPUTED_VALUE"""),"DHBA")</f>
        <v>DHBA</v>
      </c>
      <c r="C280" s="42" t="str">
        <f>IFERROR(__xludf.DUMMYFUNCTION("""COMPUTED_VALUE"""),"CP in rostral perirhinal cortex")</f>
        <v>CP in rostral perirhinal cortex</v>
      </c>
      <c r="D280" s="42">
        <f>IFERROR(__xludf.DUMMYFUNCTION("""COMPUTED_VALUE"""),246.0)</f>
        <v>246</v>
      </c>
      <c r="E280" s="39" t="str">
        <f>IFERROR(__xludf.DUMMYFUNCTION("""COMPUTED_VALUE"""),"CP in rostral perirhinal cortex")</f>
        <v>CP in rostral perirhinal cortex</v>
      </c>
      <c r="F280" s="9" t="str">
        <f>IFERROR(__xludf.DUMMYFUNCTION("""COMPUTED_VALUE"""),"Br")</f>
        <v>Br</v>
      </c>
      <c r="G280" s="9" t="str">
        <f>IFERROR(__xludf.DUMMYFUNCTION("""COMPUTED_VALUE"""),"F")</f>
        <v>F</v>
      </c>
      <c r="H280" s="9" t="str">
        <f>IFERROR(__xludf.DUMMYFUNCTION("""COMPUTED_VALUE"""),"FGM")</f>
        <v>FGM</v>
      </c>
      <c r="I280" s="9" t="str">
        <f>IFERROR(__xludf.DUMMYFUNCTION("""COMPUTED_VALUE"""),"FTS")</f>
        <v>FTS</v>
      </c>
      <c r="J280" s="9" t="str">
        <f>IFERROR(__xludf.DUMMYFUNCTION("""COMPUTED_VALUE"""),"CP")</f>
        <v>CP</v>
      </c>
      <c r="K280" s="9" t="str">
        <f>IFERROR(__xludf.DUMMYFUNCTION("""COMPUTED_VALUE"""),"peCP")</f>
        <v>peCP</v>
      </c>
      <c r="L280" s="9" t="str">
        <f>IFERROR(__xludf.DUMMYFUNCTION("""COMPUTED_VALUE"""),"CPpc")</f>
        <v>CPpc</v>
      </c>
      <c r="M280" s="9" t="str">
        <f>IFERROR(__xludf.DUMMYFUNCTION("""COMPUTED_VALUE"""),"CPpcr")</f>
        <v>CPpcr</v>
      </c>
      <c r="N280" s="9"/>
      <c r="O280" s="9"/>
      <c r="P280" s="9"/>
      <c r="Q280" s="9"/>
      <c r="R280" s="9"/>
      <c r="S280" s="42" t="str">
        <f>IFERROR(__xludf.DUMMYFUNCTION("""COMPUTED_VALUE"""),"CPpcro;
CPpcri")</f>
        <v>CPpcro;
CPpcri</v>
      </c>
      <c r="T280" s="42"/>
      <c r="U280" s="159" t="b">
        <f>IFERROR(__xludf.DUMMYFUNCTION("""COMPUTED_VALUE"""),FALSE)</f>
        <v>0</v>
      </c>
      <c r="V280" s="42"/>
      <c r="W280" s="42"/>
      <c r="X280" s="42"/>
      <c r="Y280" s="42"/>
      <c r="Z280" s="42"/>
      <c r="AA280" s="42"/>
      <c r="AB280" s="42" t="str">
        <f>IFERROR(__xludf.DUMMYFUNCTION("""COMPUTED_VALUE"""),"allen institute")</f>
        <v>allen institute</v>
      </c>
      <c r="AC280" s="42" t="str">
        <f>IFERROR(__xludf.DUMMYFUNCTION("""COMPUTED_VALUE"""),"DHBA")</f>
        <v>DHBA</v>
      </c>
      <c r="AD280" s="42"/>
      <c r="AE280" s="42"/>
      <c r="AF280" s="9"/>
      <c r="AG280" s="9"/>
      <c r="AH280" s="42"/>
      <c r="AI280" s="42"/>
      <c r="AJ280" s="42"/>
      <c r="AK280" s="42"/>
      <c r="AL280" s="42"/>
      <c r="AM280" s="42"/>
      <c r="AN280" s="42"/>
      <c r="AO280" s="63" t="str">
        <f>IFERROR(__xludf.DUMMYFUNCTION("IF(ISBLANK(A280),,IF(ISBLANK(S280), A280&amp;"";"", TEXTJOIN(CHAR(10), TRUE, A280&amp;"";"", ARRAYFORMULA(VLOOKUP(SPLIT(S280, "";"" &amp; CHAR(10)), $A:$AO, 41, FALSE)))))"),"CPpcr;
CPpcro;
CPpcri;")</f>
        <v>CPpcr;
CPpcro;
CPpcri;</v>
      </c>
      <c r="AP280" s="89"/>
    </row>
    <row r="281">
      <c r="A281" s="151" t="str">
        <f>IFERROR(__xludf.DUMMYFUNCTION("""COMPUTED_VALUE"""),"CPpcro")</f>
        <v>CPpcro</v>
      </c>
      <c r="B281" s="42" t="str">
        <f>IFERROR(__xludf.DUMMYFUNCTION("""COMPUTED_VALUE"""),"DHBA")</f>
        <v>DHBA</v>
      </c>
      <c r="C281" s="42" t="str">
        <f>IFERROR(__xludf.DUMMYFUNCTION("""COMPUTED_VALUE"""),"outer CP in rostral perirhinal cortex")</f>
        <v>outer CP in rostral perirhinal cortex</v>
      </c>
      <c r="D281" s="42">
        <f>IFERROR(__xludf.DUMMYFUNCTION("""COMPUTED_VALUE"""),247.0)</f>
        <v>247</v>
      </c>
      <c r="E281" s="39" t="str">
        <f>IFERROR(__xludf.DUMMYFUNCTION("""COMPUTED_VALUE"""),"outer CP in rostral perirhinal cortex")</f>
        <v>outer CP in rostral perirhinal cortex</v>
      </c>
      <c r="F281" s="9" t="str">
        <f>IFERROR(__xludf.DUMMYFUNCTION("""COMPUTED_VALUE"""),"Br")</f>
        <v>Br</v>
      </c>
      <c r="G281" s="9" t="str">
        <f>IFERROR(__xludf.DUMMYFUNCTION("""COMPUTED_VALUE"""),"F")</f>
        <v>F</v>
      </c>
      <c r="H281" s="9" t="str">
        <f>IFERROR(__xludf.DUMMYFUNCTION("""COMPUTED_VALUE"""),"FGM")</f>
        <v>FGM</v>
      </c>
      <c r="I281" s="9" t="str">
        <f>IFERROR(__xludf.DUMMYFUNCTION("""COMPUTED_VALUE"""),"FTS")</f>
        <v>FTS</v>
      </c>
      <c r="J281" s="9" t="str">
        <f>IFERROR(__xludf.DUMMYFUNCTION("""COMPUTED_VALUE"""),"CP")</f>
        <v>CP</v>
      </c>
      <c r="K281" s="9" t="str">
        <f>IFERROR(__xludf.DUMMYFUNCTION("""COMPUTED_VALUE"""),"peCP")</f>
        <v>peCP</v>
      </c>
      <c r="L281" s="9" t="str">
        <f>IFERROR(__xludf.DUMMYFUNCTION("""COMPUTED_VALUE"""),"CPpc")</f>
        <v>CPpc</v>
      </c>
      <c r="M281" s="9" t="str">
        <f>IFERROR(__xludf.DUMMYFUNCTION("""COMPUTED_VALUE"""),"CPpcr")</f>
        <v>CPpcr</v>
      </c>
      <c r="N281" s="9" t="str">
        <f>IFERROR(__xludf.DUMMYFUNCTION("""COMPUTED_VALUE"""),"CPpcro")</f>
        <v>CPpcro</v>
      </c>
      <c r="O281" s="9"/>
      <c r="P281" s="9"/>
      <c r="Q281" s="9"/>
      <c r="R281" s="9"/>
      <c r="S281" s="42"/>
      <c r="T281" s="42"/>
      <c r="U281" s="159"/>
      <c r="V281" s="42"/>
      <c r="W281" s="42"/>
      <c r="X281" s="42"/>
      <c r="Y281" s="42"/>
      <c r="Z281" s="42"/>
      <c r="AA281" s="42"/>
      <c r="AB281" s="42" t="str">
        <f>IFERROR(__xludf.DUMMYFUNCTION("""COMPUTED_VALUE"""),"allen institute")</f>
        <v>allen institute</v>
      </c>
      <c r="AC281" s="42" t="str">
        <f>IFERROR(__xludf.DUMMYFUNCTION("""COMPUTED_VALUE"""),"DHBA")</f>
        <v>DHBA</v>
      </c>
      <c r="AD281" s="42"/>
      <c r="AE281" s="42"/>
      <c r="AF281" s="9"/>
      <c r="AG281" s="9"/>
      <c r="AH281" s="42"/>
      <c r="AI281" s="42"/>
      <c r="AJ281" s="42"/>
      <c r="AK281" s="42"/>
      <c r="AL281" s="42"/>
      <c r="AM281" s="42"/>
      <c r="AN281" s="42"/>
      <c r="AO281" s="63" t="str">
        <f>IFERROR(__xludf.DUMMYFUNCTION("IF(ISBLANK(A281),,IF(ISBLANK(S281), A281&amp;"";"", TEXTJOIN(CHAR(10), TRUE, A281&amp;"";"", ARRAYFORMULA(VLOOKUP(SPLIT(S281, "";"" &amp; CHAR(10)), $A:$AO, 41, FALSE)))))"),"CPpcro;")</f>
        <v>CPpcro;</v>
      </c>
      <c r="AP281" s="89"/>
    </row>
    <row r="282">
      <c r="A282" s="151" t="str">
        <f>IFERROR(__xludf.DUMMYFUNCTION("""COMPUTED_VALUE"""),"CPpcri")</f>
        <v>CPpcri</v>
      </c>
      <c r="B282" s="42" t="str">
        <f>IFERROR(__xludf.DUMMYFUNCTION("""COMPUTED_VALUE"""),"DHBA")</f>
        <v>DHBA</v>
      </c>
      <c r="C282" s="42" t="str">
        <f>IFERROR(__xludf.DUMMYFUNCTION("""COMPUTED_VALUE"""),"inner CP in rostral perirhinal cortex")</f>
        <v>inner CP in rostral perirhinal cortex</v>
      </c>
      <c r="D282" s="42">
        <f>IFERROR(__xludf.DUMMYFUNCTION("""COMPUTED_VALUE"""),248.0)</f>
        <v>248</v>
      </c>
      <c r="E282" s="39" t="str">
        <f>IFERROR(__xludf.DUMMYFUNCTION("""COMPUTED_VALUE"""),"inner CP in rostral perirhinal cortex")</f>
        <v>inner CP in rostral perirhinal cortex</v>
      </c>
      <c r="F282" s="9" t="str">
        <f>IFERROR(__xludf.DUMMYFUNCTION("""COMPUTED_VALUE"""),"Br")</f>
        <v>Br</v>
      </c>
      <c r="G282" s="9" t="str">
        <f>IFERROR(__xludf.DUMMYFUNCTION("""COMPUTED_VALUE"""),"F")</f>
        <v>F</v>
      </c>
      <c r="H282" s="9" t="str">
        <f>IFERROR(__xludf.DUMMYFUNCTION("""COMPUTED_VALUE"""),"FGM")</f>
        <v>FGM</v>
      </c>
      <c r="I282" s="9" t="str">
        <f>IFERROR(__xludf.DUMMYFUNCTION("""COMPUTED_VALUE"""),"FTS")</f>
        <v>FTS</v>
      </c>
      <c r="J282" s="9" t="str">
        <f>IFERROR(__xludf.DUMMYFUNCTION("""COMPUTED_VALUE"""),"CP")</f>
        <v>CP</v>
      </c>
      <c r="K282" s="9" t="str">
        <f>IFERROR(__xludf.DUMMYFUNCTION("""COMPUTED_VALUE"""),"peCP")</f>
        <v>peCP</v>
      </c>
      <c r="L282" s="9" t="str">
        <f>IFERROR(__xludf.DUMMYFUNCTION("""COMPUTED_VALUE"""),"CPpc")</f>
        <v>CPpc</v>
      </c>
      <c r="M282" s="9" t="str">
        <f>IFERROR(__xludf.DUMMYFUNCTION("""COMPUTED_VALUE"""),"CPpcr")</f>
        <v>CPpcr</v>
      </c>
      <c r="N282" s="9" t="str">
        <f>IFERROR(__xludf.DUMMYFUNCTION("""COMPUTED_VALUE"""),"CPpcri")</f>
        <v>CPpcri</v>
      </c>
      <c r="O282" s="9"/>
      <c r="P282" s="9"/>
      <c r="Q282" s="9"/>
      <c r="R282" s="9"/>
      <c r="S282" s="42"/>
      <c r="T282" s="42"/>
      <c r="U282" s="159"/>
      <c r="V282" s="42"/>
      <c r="W282" s="42"/>
      <c r="X282" s="42"/>
      <c r="Y282" s="42"/>
      <c r="Z282" s="42"/>
      <c r="AA282" s="42"/>
      <c r="AB282" s="42" t="str">
        <f>IFERROR(__xludf.DUMMYFUNCTION("""COMPUTED_VALUE"""),"allen institute")</f>
        <v>allen institute</v>
      </c>
      <c r="AC282" s="42" t="str">
        <f>IFERROR(__xludf.DUMMYFUNCTION("""COMPUTED_VALUE"""),"DHBA")</f>
        <v>DHBA</v>
      </c>
      <c r="AD282" s="42"/>
      <c r="AE282" s="42"/>
      <c r="AF282" s="9"/>
      <c r="AG282" s="9"/>
      <c r="AH282" s="42"/>
      <c r="AI282" s="42"/>
      <c r="AJ282" s="42"/>
      <c r="AK282" s="42"/>
      <c r="AL282" s="42"/>
      <c r="AM282" s="42"/>
      <c r="AN282" s="42"/>
      <c r="AO282" s="63" t="str">
        <f>IFERROR(__xludf.DUMMYFUNCTION("IF(ISBLANK(A282),,IF(ISBLANK(S282), A282&amp;"";"", TEXTJOIN(CHAR(10), TRUE, A282&amp;"";"", ARRAYFORMULA(VLOOKUP(SPLIT(S282, "";"" &amp; CHAR(10)), $A:$AO, 41, FALSE)))))"),"CPpcri;")</f>
        <v>CPpcri;</v>
      </c>
      <c r="AP282" s="89"/>
    </row>
    <row r="283">
      <c r="A283" s="151" t="str">
        <f>IFERROR(__xludf.DUMMYFUNCTION("""COMPUTED_VALUE"""),"CPpcc")</f>
        <v>CPpcc</v>
      </c>
      <c r="B283" s="42" t="str">
        <f>IFERROR(__xludf.DUMMYFUNCTION("""COMPUTED_VALUE"""),"DHBA")</f>
        <v>DHBA</v>
      </c>
      <c r="C283" s="42" t="str">
        <f>IFERROR(__xludf.DUMMYFUNCTION("""COMPUTED_VALUE"""),"CP in caudal perirhinal cortex")</f>
        <v>CP in caudal perirhinal cortex</v>
      </c>
      <c r="D283" s="42">
        <f>IFERROR(__xludf.DUMMYFUNCTION("""COMPUTED_VALUE"""),249.0)</f>
        <v>249</v>
      </c>
      <c r="E283" s="39" t="str">
        <f>IFERROR(__xludf.DUMMYFUNCTION("""COMPUTED_VALUE"""),"CP in caudal perirhinal cortex")</f>
        <v>CP in caudal perirhinal cortex</v>
      </c>
      <c r="F283" s="9" t="str">
        <f>IFERROR(__xludf.DUMMYFUNCTION("""COMPUTED_VALUE"""),"Br")</f>
        <v>Br</v>
      </c>
      <c r="G283" s="9" t="str">
        <f>IFERROR(__xludf.DUMMYFUNCTION("""COMPUTED_VALUE"""),"F")</f>
        <v>F</v>
      </c>
      <c r="H283" s="9" t="str">
        <f>IFERROR(__xludf.DUMMYFUNCTION("""COMPUTED_VALUE"""),"FGM")</f>
        <v>FGM</v>
      </c>
      <c r="I283" s="9" t="str">
        <f>IFERROR(__xludf.DUMMYFUNCTION("""COMPUTED_VALUE"""),"FTS")</f>
        <v>FTS</v>
      </c>
      <c r="J283" s="9" t="str">
        <f>IFERROR(__xludf.DUMMYFUNCTION("""COMPUTED_VALUE"""),"CP")</f>
        <v>CP</v>
      </c>
      <c r="K283" s="9" t="str">
        <f>IFERROR(__xludf.DUMMYFUNCTION("""COMPUTED_VALUE"""),"peCP")</f>
        <v>peCP</v>
      </c>
      <c r="L283" s="9" t="str">
        <f>IFERROR(__xludf.DUMMYFUNCTION("""COMPUTED_VALUE"""),"CPpc")</f>
        <v>CPpc</v>
      </c>
      <c r="M283" s="9" t="str">
        <f>IFERROR(__xludf.DUMMYFUNCTION("""COMPUTED_VALUE"""),"CPpcc")</f>
        <v>CPpcc</v>
      </c>
      <c r="N283" s="9"/>
      <c r="O283" s="9"/>
      <c r="P283" s="9"/>
      <c r="Q283" s="9"/>
      <c r="R283" s="9"/>
      <c r="S283" s="42" t="str">
        <f>IFERROR(__xludf.DUMMYFUNCTION("""COMPUTED_VALUE"""),"CPpcco;
CPpcci")</f>
        <v>CPpcco;
CPpcci</v>
      </c>
      <c r="T283" s="42"/>
      <c r="U283" s="159" t="b">
        <f>IFERROR(__xludf.DUMMYFUNCTION("""COMPUTED_VALUE"""),FALSE)</f>
        <v>0</v>
      </c>
      <c r="V283" s="42"/>
      <c r="W283" s="42"/>
      <c r="X283" s="42"/>
      <c r="Y283" s="42"/>
      <c r="Z283" s="42"/>
      <c r="AA283" s="42"/>
      <c r="AB283" s="42" t="str">
        <f>IFERROR(__xludf.DUMMYFUNCTION("""COMPUTED_VALUE"""),"allen institute")</f>
        <v>allen institute</v>
      </c>
      <c r="AC283" s="42" t="str">
        <f>IFERROR(__xludf.DUMMYFUNCTION("""COMPUTED_VALUE"""),"DHBA")</f>
        <v>DHBA</v>
      </c>
      <c r="AD283" s="42"/>
      <c r="AE283" s="42"/>
      <c r="AF283" s="9"/>
      <c r="AG283" s="9"/>
      <c r="AH283" s="42"/>
      <c r="AI283" s="42"/>
      <c r="AJ283" s="42"/>
      <c r="AK283" s="42"/>
      <c r="AL283" s="42"/>
      <c r="AM283" s="42"/>
      <c r="AN283" s="42"/>
      <c r="AO283" s="63" t="str">
        <f>IFERROR(__xludf.DUMMYFUNCTION("IF(ISBLANK(A283),,IF(ISBLANK(S283), A283&amp;"";"", TEXTJOIN(CHAR(10), TRUE, A283&amp;"";"", ARRAYFORMULA(VLOOKUP(SPLIT(S283, "";"" &amp; CHAR(10)), $A:$AO, 41, FALSE)))))"),"CPpcc;
CPpcco;
CPpcci;")</f>
        <v>CPpcc;
CPpcco;
CPpcci;</v>
      </c>
      <c r="AP283" s="89"/>
    </row>
    <row r="284">
      <c r="A284" s="151" t="str">
        <f>IFERROR(__xludf.DUMMYFUNCTION("""COMPUTED_VALUE"""),"CPpcco")</f>
        <v>CPpcco</v>
      </c>
      <c r="B284" s="42" t="str">
        <f>IFERROR(__xludf.DUMMYFUNCTION("""COMPUTED_VALUE"""),"DHBA")</f>
        <v>DHBA</v>
      </c>
      <c r="C284" s="42" t="str">
        <f>IFERROR(__xludf.DUMMYFUNCTION("""COMPUTED_VALUE"""),"outer CP in caudal perirhinal cortex")</f>
        <v>outer CP in caudal perirhinal cortex</v>
      </c>
      <c r="D284" s="42">
        <f>IFERROR(__xludf.DUMMYFUNCTION("""COMPUTED_VALUE"""),250.0)</f>
        <v>250</v>
      </c>
      <c r="E284" s="39" t="str">
        <f>IFERROR(__xludf.DUMMYFUNCTION("""COMPUTED_VALUE"""),"outer CP in caudal perirhinal cortex")</f>
        <v>outer CP in caudal perirhinal cortex</v>
      </c>
      <c r="F284" s="9" t="str">
        <f>IFERROR(__xludf.DUMMYFUNCTION("""COMPUTED_VALUE"""),"Br")</f>
        <v>Br</v>
      </c>
      <c r="G284" s="9" t="str">
        <f>IFERROR(__xludf.DUMMYFUNCTION("""COMPUTED_VALUE"""),"F")</f>
        <v>F</v>
      </c>
      <c r="H284" s="9" t="str">
        <f>IFERROR(__xludf.DUMMYFUNCTION("""COMPUTED_VALUE"""),"FGM")</f>
        <v>FGM</v>
      </c>
      <c r="I284" s="9" t="str">
        <f>IFERROR(__xludf.DUMMYFUNCTION("""COMPUTED_VALUE"""),"FTS")</f>
        <v>FTS</v>
      </c>
      <c r="J284" s="9" t="str">
        <f>IFERROR(__xludf.DUMMYFUNCTION("""COMPUTED_VALUE"""),"CP")</f>
        <v>CP</v>
      </c>
      <c r="K284" s="9" t="str">
        <f>IFERROR(__xludf.DUMMYFUNCTION("""COMPUTED_VALUE"""),"peCP")</f>
        <v>peCP</v>
      </c>
      <c r="L284" s="9" t="str">
        <f>IFERROR(__xludf.DUMMYFUNCTION("""COMPUTED_VALUE"""),"CPpc")</f>
        <v>CPpc</v>
      </c>
      <c r="M284" s="9" t="str">
        <f>IFERROR(__xludf.DUMMYFUNCTION("""COMPUTED_VALUE"""),"CPpcc")</f>
        <v>CPpcc</v>
      </c>
      <c r="N284" s="9" t="str">
        <f>IFERROR(__xludf.DUMMYFUNCTION("""COMPUTED_VALUE"""),"CPpcco")</f>
        <v>CPpcco</v>
      </c>
      <c r="O284" s="9"/>
      <c r="P284" s="9"/>
      <c r="Q284" s="9"/>
      <c r="R284" s="9"/>
      <c r="S284" s="42"/>
      <c r="T284" s="42"/>
      <c r="U284" s="42"/>
      <c r="V284" s="42"/>
      <c r="W284" s="42"/>
      <c r="X284" s="42"/>
      <c r="Y284" s="42"/>
      <c r="Z284" s="42"/>
      <c r="AA284" s="42"/>
      <c r="AB284" s="42" t="str">
        <f>IFERROR(__xludf.DUMMYFUNCTION("""COMPUTED_VALUE"""),"allen institute")</f>
        <v>allen institute</v>
      </c>
      <c r="AC284" s="42" t="str">
        <f>IFERROR(__xludf.DUMMYFUNCTION("""COMPUTED_VALUE"""),"DHBA")</f>
        <v>DHBA</v>
      </c>
      <c r="AD284" s="42"/>
      <c r="AE284" s="42"/>
      <c r="AF284" s="9"/>
      <c r="AG284" s="9"/>
      <c r="AH284" s="42"/>
      <c r="AI284" s="42"/>
      <c r="AJ284" s="42"/>
      <c r="AK284" s="42"/>
      <c r="AL284" s="42"/>
      <c r="AM284" s="42"/>
      <c r="AN284" s="42"/>
      <c r="AO284" s="63" t="str">
        <f>IFERROR(__xludf.DUMMYFUNCTION("IF(ISBLANK(A284),,IF(ISBLANK(S284), A284&amp;"";"", TEXTJOIN(CHAR(10), TRUE, A284&amp;"";"", ARRAYFORMULA(VLOOKUP(SPLIT(S284, "";"" &amp; CHAR(10)), $A:$AO, 41, FALSE)))))"),"CPpcco;")</f>
        <v>CPpcco;</v>
      </c>
      <c r="AP284" s="89"/>
    </row>
    <row r="285">
      <c r="A285" s="151" t="str">
        <f>IFERROR(__xludf.DUMMYFUNCTION("""COMPUTED_VALUE"""),"CPpcci")</f>
        <v>CPpcci</v>
      </c>
      <c r="B285" s="42" t="str">
        <f>IFERROR(__xludf.DUMMYFUNCTION("""COMPUTED_VALUE"""),"DHBA")</f>
        <v>DHBA</v>
      </c>
      <c r="C285" s="42" t="str">
        <f>IFERROR(__xludf.DUMMYFUNCTION("""COMPUTED_VALUE"""),"inner CP in caudal perirhinal cortex")</f>
        <v>inner CP in caudal perirhinal cortex</v>
      </c>
      <c r="D285" s="42">
        <f>IFERROR(__xludf.DUMMYFUNCTION("""COMPUTED_VALUE"""),251.0)</f>
        <v>251</v>
      </c>
      <c r="E285" s="39" t="str">
        <f>IFERROR(__xludf.DUMMYFUNCTION("""COMPUTED_VALUE"""),"inner CP in caudal perirhinal cortex")</f>
        <v>inner CP in caudal perirhinal cortex</v>
      </c>
      <c r="F285" s="9" t="str">
        <f>IFERROR(__xludf.DUMMYFUNCTION("""COMPUTED_VALUE"""),"Br")</f>
        <v>Br</v>
      </c>
      <c r="G285" s="9" t="str">
        <f>IFERROR(__xludf.DUMMYFUNCTION("""COMPUTED_VALUE"""),"F")</f>
        <v>F</v>
      </c>
      <c r="H285" s="9" t="str">
        <f>IFERROR(__xludf.DUMMYFUNCTION("""COMPUTED_VALUE"""),"FGM")</f>
        <v>FGM</v>
      </c>
      <c r="I285" s="9" t="str">
        <f>IFERROR(__xludf.DUMMYFUNCTION("""COMPUTED_VALUE"""),"FTS")</f>
        <v>FTS</v>
      </c>
      <c r="J285" s="9" t="str">
        <f>IFERROR(__xludf.DUMMYFUNCTION("""COMPUTED_VALUE"""),"CP")</f>
        <v>CP</v>
      </c>
      <c r="K285" s="9" t="str">
        <f>IFERROR(__xludf.DUMMYFUNCTION("""COMPUTED_VALUE"""),"peCP")</f>
        <v>peCP</v>
      </c>
      <c r="L285" s="9" t="str">
        <f>IFERROR(__xludf.DUMMYFUNCTION("""COMPUTED_VALUE"""),"CPpc")</f>
        <v>CPpc</v>
      </c>
      <c r="M285" s="9" t="str">
        <f>IFERROR(__xludf.DUMMYFUNCTION("""COMPUTED_VALUE"""),"CPpcc")</f>
        <v>CPpcc</v>
      </c>
      <c r="N285" s="9" t="str">
        <f>IFERROR(__xludf.DUMMYFUNCTION("""COMPUTED_VALUE"""),"CPpcci")</f>
        <v>CPpcci</v>
      </c>
      <c r="O285" s="9"/>
      <c r="P285" s="9"/>
      <c r="Q285" s="9"/>
      <c r="R285" s="9"/>
      <c r="S285" s="42"/>
      <c r="T285" s="42"/>
      <c r="U285" s="42"/>
      <c r="V285" s="42"/>
      <c r="W285" s="42"/>
      <c r="X285" s="42"/>
      <c r="Y285" s="42"/>
      <c r="Z285" s="42"/>
      <c r="AA285" s="42"/>
      <c r="AB285" s="42" t="str">
        <f>IFERROR(__xludf.DUMMYFUNCTION("""COMPUTED_VALUE"""),"allen institute")</f>
        <v>allen institute</v>
      </c>
      <c r="AC285" s="42" t="str">
        <f>IFERROR(__xludf.DUMMYFUNCTION("""COMPUTED_VALUE"""),"DHBA")</f>
        <v>DHBA</v>
      </c>
      <c r="AD285" s="42"/>
      <c r="AE285" s="42"/>
      <c r="AF285" s="9"/>
      <c r="AG285" s="9"/>
      <c r="AH285" s="42"/>
      <c r="AI285" s="42"/>
      <c r="AJ285" s="42"/>
      <c r="AK285" s="42"/>
      <c r="AL285" s="42"/>
      <c r="AM285" s="42"/>
      <c r="AN285" s="42"/>
      <c r="AO285" s="63" t="str">
        <f>IFERROR(__xludf.DUMMYFUNCTION("IF(ISBLANK(A285),,IF(ISBLANK(S285), A285&amp;"";"", TEXTJOIN(CHAR(10), TRUE, A285&amp;"";"", ARRAYFORMULA(VLOOKUP(SPLIT(S285, "";"" &amp; CHAR(10)), $A:$AO, 41, FALSE)))))"),"CPpcci;")</f>
        <v>CPpcci;</v>
      </c>
      <c r="AP285" s="89"/>
    </row>
    <row r="286">
      <c r="A286" s="151" t="str">
        <f>IFERROR(__xludf.DUMMYFUNCTION("""COMPUTED_VALUE"""),"CPpas")</f>
        <v>CPpas</v>
      </c>
      <c r="B286" s="42" t="str">
        <f>IFERROR(__xludf.DUMMYFUNCTION("""COMPUTED_VALUE"""),"DHBA")</f>
        <v>DHBA</v>
      </c>
      <c r="C286" s="42" t="str">
        <f>IFERROR(__xludf.DUMMYFUNCTION("""COMPUTED_VALUE"""),"CP in parasubicular cortex")</f>
        <v>CP in parasubicular cortex</v>
      </c>
      <c r="D286" s="42">
        <f>IFERROR(__xludf.DUMMYFUNCTION("""COMPUTED_VALUE"""),252.0)</f>
        <v>252</v>
      </c>
      <c r="E286" s="39" t="str">
        <f>IFERROR(__xludf.DUMMYFUNCTION("""COMPUTED_VALUE"""),"CP in parasubicular cortex")</f>
        <v>CP in parasubicular cortex</v>
      </c>
      <c r="F286" s="9" t="str">
        <f>IFERROR(__xludf.DUMMYFUNCTION("""COMPUTED_VALUE"""),"Br")</f>
        <v>Br</v>
      </c>
      <c r="G286" s="9" t="str">
        <f>IFERROR(__xludf.DUMMYFUNCTION("""COMPUTED_VALUE"""),"F")</f>
        <v>F</v>
      </c>
      <c r="H286" s="9" t="str">
        <f>IFERROR(__xludf.DUMMYFUNCTION("""COMPUTED_VALUE"""),"FGM")</f>
        <v>FGM</v>
      </c>
      <c r="I286" s="9" t="str">
        <f>IFERROR(__xludf.DUMMYFUNCTION("""COMPUTED_VALUE"""),"FTS")</f>
        <v>FTS</v>
      </c>
      <c r="J286" s="9" t="str">
        <f>IFERROR(__xludf.DUMMYFUNCTION("""COMPUTED_VALUE"""),"CP")</f>
        <v>CP</v>
      </c>
      <c r="K286" s="9" t="str">
        <f>IFERROR(__xludf.DUMMYFUNCTION("""COMPUTED_VALUE"""),"peCP")</f>
        <v>peCP</v>
      </c>
      <c r="L286" s="9" t="str">
        <f>IFERROR(__xludf.DUMMYFUNCTION("""COMPUTED_VALUE"""),"CPpas")</f>
        <v>CPpas</v>
      </c>
      <c r="M286" s="9"/>
      <c r="N286" s="9"/>
      <c r="O286" s="9"/>
      <c r="P286" s="9"/>
      <c r="Q286" s="9"/>
      <c r="R286" s="9"/>
      <c r="S286" s="42"/>
      <c r="T286" s="42"/>
      <c r="U286" s="42"/>
      <c r="V286" s="42"/>
      <c r="W286" s="42"/>
      <c r="X286" s="42"/>
      <c r="Y286" s="42"/>
      <c r="Z286" s="42"/>
      <c r="AA286" s="42"/>
      <c r="AB286" s="42" t="str">
        <f>IFERROR(__xludf.DUMMYFUNCTION("""COMPUTED_VALUE"""),"allen institute")</f>
        <v>allen institute</v>
      </c>
      <c r="AC286" s="42" t="str">
        <f>IFERROR(__xludf.DUMMYFUNCTION("""COMPUTED_VALUE"""),"DHBA")</f>
        <v>DHBA</v>
      </c>
      <c r="AD286" s="42"/>
      <c r="AE286" s="42"/>
      <c r="AF286" s="9"/>
      <c r="AG286" s="9"/>
      <c r="AH286" s="42"/>
      <c r="AI286" s="42"/>
      <c r="AJ286" s="42"/>
      <c r="AK286" s="42"/>
      <c r="AL286" s="42"/>
      <c r="AM286" s="42"/>
      <c r="AN286" s="42"/>
      <c r="AO286" s="63" t="str">
        <f>IFERROR(__xludf.DUMMYFUNCTION("IF(ISBLANK(A286),,IF(ISBLANK(S286), A286&amp;"";"", TEXTJOIN(CHAR(10), TRUE, A286&amp;"";"", ARRAYFORMULA(VLOOKUP(SPLIT(S286, "";"" &amp; CHAR(10)), $A:$AO, 41, FALSE)))))"),"CPpas;")</f>
        <v>CPpas;</v>
      </c>
      <c r="AP286" s="89"/>
    </row>
    <row r="287">
      <c r="A287" s="151" t="str">
        <f>IFERROR(__xludf.DUMMYFUNCTION("""COMPUTED_VALUE"""),"CPEC")</f>
        <v>CPEC</v>
      </c>
      <c r="B287" s="42" t="str">
        <f>IFERROR(__xludf.DUMMYFUNCTION("""COMPUTED_VALUE"""),"DHBA")</f>
        <v>DHBA</v>
      </c>
      <c r="C287" s="42" t="str">
        <f>IFERROR(__xludf.DUMMYFUNCTION("""COMPUTED_VALUE"""),"CP in entorhinal cortex")</f>
        <v>CP in entorhinal cortex</v>
      </c>
      <c r="D287" s="42">
        <f>IFERROR(__xludf.DUMMYFUNCTION("""COMPUTED_VALUE"""),253.0)</f>
        <v>253</v>
      </c>
      <c r="E287" s="39" t="str">
        <f>IFERROR(__xludf.DUMMYFUNCTION("""COMPUTED_VALUE"""),"CP in entorhinal cortex")</f>
        <v>CP in entorhinal cortex</v>
      </c>
      <c r="F287" s="9" t="str">
        <f>IFERROR(__xludf.DUMMYFUNCTION("""COMPUTED_VALUE"""),"Br")</f>
        <v>Br</v>
      </c>
      <c r="G287" s="9" t="str">
        <f>IFERROR(__xludf.DUMMYFUNCTION("""COMPUTED_VALUE"""),"F")</f>
        <v>F</v>
      </c>
      <c r="H287" s="9" t="str">
        <f>IFERROR(__xludf.DUMMYFUNCTION("""COMPUTED_VALUE"""),"FGM")</f>
        <v>FGM</v>
      </c>
      <c r="I287" s="9" t="str">
        <f>IFERROR(__xludf.DUMMYFUNCTION("""COMPUTED_VALUE"""),"FTS")</f>
        <v>FTS</v>
      </c>
      <c r="J287" s="9" t="str">
        <f>IFERROR(__xludf.DUMMYFUNCTION("""COMPUTED_VALUE"""),"CP")</f>
        <v>CP</v>
      </c>
      <c r="K287" s="9" t="str">
        <f>IFERROR(__xludf.DUMMYFUNCTION("""COMPUTED_VALUE"""),"peCP")</f>
        <v>peCP</v>
      </c>
      <c r="L287" s="9" t="str">
        <f>IFERROR(__xludf.DUMMYFUNCTION("""COMPUTED_VALUE"""),"CPEC")</f>
        <v>CPEC</v>
      </c>
      <c r="M287" s="9"/>
      <c r="N287" s="9"/>
      <c r="O287" s="9"/>
      <c r="P287" s="9"/>
      <c r="Q287" s="9"/>
      <c r="R287" s="9"/>
      <c r="S287" s="42" t="str">
        <f>IFERROR(__xludf.DUMMYFUNCTION("""COMPUTED_VALUE"""),"CPlec;
CPmec")</f>
        <v>CPlec;
CPmec</v>
      </c>
      <c r="T287" s="42"/>
      <c r="U287" s="42" t="b">
        <f>IFERROR(__xludf.DUMMYFUNCTION("""COMPUTED_VALUE"""),FALSE)</f>
        <v>0</v>
      </c>
      <c r="V287" s="42"/>
      <c r="W287" s="42"/>
      <c r="X287" s="42"/>
      <c r="Y287" s="42"/>
      <c r="Z287" s="42"/>
      <c r="AA287" s="42"/>
      <c r="AB287" s="42" t="str">
        <f>IFERROR(__xludf.DUMMYFUNCTION("""COMPUTED_VALUE"""),"allen institute")</f>
        <v>allen institute</v>
      </c>
      <c r="AC287" s="42" t="str">
        <f>IFERROR(__xludf.DUMMYFUNCTION("""COMPUTED_VALUE"""),"DHBA")</f>
        <v>DHBA</v>
      </c>
      <c r="AD287" s="42"/>
      <c r="AE287" s="42"/>
      <c r="AF287" s="9"/>
      <c r="AG287" s="9"/>
      <c r="AH287" s="42"/>
      <c r="AI287" s="42"/>
      <c r="AJ287" s="42"/>
      <c r="AK287" s="42"/>
      <c r="AL287" s="42"/>
      <c r="AM287" s="42"/>
      <c r="AN287" s="42"/>
      <c r="AO287" s="63" t="str">
        <f>IFERROR(__xludf.DUMMYFUNCTION("IF(ISBLANK(A287),,IF(ISBLANK(S287), A287&amp;"";"", TEXTJOIN(CHAR(10), TRUE, A287&amp;"";"", ARRAYFORMULA(VLOOKUP(SPLIT(S287, "";"" &amp; CHAR(10)), $A:$AO, 41, FALSE)))))"),"#REF!")</f>
        <v>#REF!</v>
      </c>
      <c r="AP287" s="89"/>
    </row>
    <row r="288">
      <c r="A288" s="151" t="str">
        <f>IFERROR(__xludf.DUMMYFUNCTION("""COMPUTED_VALUE"""),"CPlec")</f>
        <v>CPlec</v>
      </c>
      <c r="B288" s="42" t="str">
        <f>IFERROR(__xludf.DUMMYFUNCTION("""COMPUTED_VALUE"""),"DHBA")</f>
        <v>DHBA</v>
      </c>
      <c r="C288" s="42" t="str">
        <f>IFERROR(__xludf.DUMMYFUNCTION("""COMPUTED_VALUE"""),"CP in lateral (anterior) entorhinal cortex")</f>
        <v>CP in lateral (anterior) entorhinal cortex</v>
      </c>
      <c r="D288" s="42">
        <f>IFERROR(__xludf.DUMMYFUNCTION("""COMPUTED_VALUE"""),254.0)</f>
        <v>254</v>
      </c>
      <c r="E288" s="39" t="str">
        <f>IFERROR(__xludf.DUMMYFUNCTION("""COMPUTED_VALUE"""),"CP in lateral (anterior) entorhinal cortex")</f>
        <v>CP in lateral (anterior) entorhinal cortex</v>
      </c>
      <c r="F288" s="9" t="str">
        <f>IFERROR(__xludf.DUMMYFUNCTION("""COMPUTED_VALUE"""),"Br")</f>
        <v>Br</v>
      </c>
      <c r="G288" s="9" t="str">
        <f>IFERROR(__xludf.DUMMYFUNCTION("""COMPUTED_VALUE"""),"F")</f>
        <v>F</v>
      </c>
      <c r="H288" s="9" t="str">
        <f>IFERROR(__xludf.DUMMYFUNCTION("""COMPUTED_VALUE"""),"FGM")</f>
        <v>FGM</v>
      </c>
      <c r="I288" s="9" t="str">
        <f>IFERROR(__xludf.DUMMYFUNCTION("""COMPUTED_VALUE"""),"FTS")</f>
        <v>FTS</v>
      </c>
      <c r="J288" s="9" t="str">
        <f>IFERROR(__xludf.DUMMYFUNCTION("""COMPUTED_VALUE"""),"CP")</f>
        <v>CP</v>
      </c>
      <c r="K288" s="9" t="str">
        <f>IFERROR(__xludf.DUMMYFUNCTION("""COMPUTED_VALUE"""),"peCP")</f>
        <v>peCP</v>
      </c>
      <c r="L288" s="9" t="str">
        <f>IFERROR(__xludf.DUMMYFUNCTION("""COMPUTED_VALUE"""),"CPEC")</f>
        <v>CPEC</v>
      </c>
      <c r="M288" s="9" t="str">
        <f>IFERROR(__xludf.DUMMYFUNCTION("""COMPUTED_VALUE"""),"CPlec")</f>
        <v>CPlec</v>
      </c>
      <c r="N288" s="9"/>
      <c r="O288" s="9"/>
      <c r="P288" s="9"/>
      <c r="Q288" s="9"/>
      <c r="R288" s="9"/>
      <c r="S288" s="42" t="str">
        <f>IFERROR(__xludf.DUMMYFUNCTION("""COMPUTED_VALUE"""),"CPeo;
CPer")</f>
        <v>CPeo;
CPer</v>
      </c>
      <c r="T288" s="42"/>
      <c r="U288" s="42" t="b">
        <f>IFERROR(__xludf.DUMMYFUNCTION("""COMPUTED_VALUE"""),FALSE)</f>
        <v>0</v>
      </c>
      <c r="V288" s="42"/>
      <c r="W288" s="42"/>
      <c r="X288" s="42"/>
      <c r="Y288" s="42"/>
      <c r="Z288" s="42"/>
      <c r="AA288" s="42"/>
      <c r="AB288" s="42" t="str">
        <f>IFERROR(__xludf.DUMMYFUNCTION("""COMPUTED_VALUE"""),"allen institute")</f>
        <v>allen institute</v>
      </c>
      <c r="AC288" s="42" t="str">
        <f>IFERROR(__xludf.DUMMYFUNCTION("""COMPUTED_VALUE"""),"DHBA")</f>
        <v>DHBA</v>
      </c>
      <c r="AD288" s="42"/>
      <c r="AE288" s="42"/>
      <c r="AF288" s="9"/>
      <c r="AG288" s="9"/>
      <c r="AH288" s="42"/>
      <c r="AI288" s="42"/>
      <c r="AJ288" s="42"/>
      <c r="AK288" s="42"/>
      <c r="AL288" s="42"/>
      <c r="AM288" s="42"/>
      <c r="AN288" s="42"/>
      <c r="AO288" s="63" t="str">
        <f>IFERROR(__xludf.DUMMYFUNCTION("IF(ISBLANK(A288),,IF(ISBLANK(S288), A288&amp;"";"", TEXTJOIN(CHAR(10), TRUE, A288&amp;"";"", ARRAYFORMULA(VLOOKUP(SPLIT(S288, "";"" &amp; CHAR(10)), $A:$AO, 41, FALSE)))))"),"CPlec;
CPeo;
CPer;")</f>
        <v>CPlec;
CPeo;
CPer;</v>
      </c>
      <c r="AP288" s="89"/>
    </row>
    <row r="289">
      <c r="A289" s="151" t="str">
        <f>IFERROR(__xludf.DUMMYFUNCTION("""COMPUTED_VALUE"""),"CPeo")</f>
        <v>CPeo</v>
      </c>
      <c r="B289" s="42" t="str">
        <f>IFERROR(__xludf.DUMMYFUNCTION("""COMPUTED_VALUE"""),"DHBA")</f>
        <v>DHBA</v>
      </c>
      <c r="C289" s="42" t="str">
        <f>IFERROR(__xludf.DUMMYFUNCTION("""COMPUTED_VALUE"""),"CP in olfactory entorhinal cortex")</f>
        <v>CP in olfactory entorhinal cortex</v>
      </c>
      <c r="D289" s="42">
        <f>IFERROR(__xludf.DUMMYFUNCTION("""COMPUTED_VALUE"""),255.0)</f>
        <v>255</v>
      </c>
      <c r="E289" s="39" t="str">
        <f>IFERROR(__xludf.DUMMYFUNCTION("""COMPUTED_VALUE"""),"CP in olfactory entorhinal cortex")</f>
        <v>CP in olfactory entorhinal cortex</v>
      </c>
      <c r="F289" s="9" t="str">
        <f>IFERROR(__xludf.DUMMYFUNCTION("""COMPUTED_VALUE"""),"Br")</f>
        <v>Br</v>
      </c>
      <c r="G289" s="9" t="str">
        <f>IFERROR(__xludf.DUMMYFUNCTION("""COMPUTED_VALUE"""),"F")</f>
        <v>F</v>
      </c>
      <c r="H289" s="9" t="str">
        <f>IFERROR(__xludf.DUMMYFUNCTION("""COMPUTED_VALUE"""),"FGM")</f>
        <v>FGM</v>
      </c>
      <c r="I289" s="9" t="str">
        <f>IFERROR(__xludf.DUMMYFUNCTION("""COMPUTED_VALUE"""),"FTS")</f>
        <v>FTS</v>
      </c>
      <c r="J289" s="9" t="str">
        <f>IFERROR(__xludf.DUMMYFUNCTION("""COMPUTED_VALUE"""),"CP")</f>
        <v>CP</v>
      </c>
      <c r="K289" s="9" t="str">
        <f>IFERROR(__xludf.DUMMYFUNCTION("""COMPUTED_VALUE"""),"peCP")</f>
        <v>peCP</v>
      </c>
      <c r="L289" s="9" t="str">
        <f>IFERROR(__xludf.DUMMYFUNCTION("""COMPUTED_VALUE"""),"CPEC")</f>
        <v>CPEC</v>
      </c>
      <c r="M289" s="9" t="str">
        <f>IFERROR(__xludf.DUMMYFUNCTION("""COMPUTED_VALUE"""),"CPlec")</f>
        <v>CPlec</v>
      </c>
      <c r="N289" s="9" t="str">
        <f>IFERROR(__xludf.DUMMYFUNCTION("""COMPUTED_VALUE"""),"CPeo")</f>
        <v>CPeo</v>
      </c>
      <c r="O289" s="9"/>
      <c r="P289" s="9"/>
      <c r="Q289" s="9"/>
      <c r="R289" s="9"/>
      <c r="S289" s="42"/>
      <c r="T289" s="42"/>
      <c r="U289" s="42"/>
      <c r="V289" s="42"/>
      <c r="W289" s="42"/>
      <c r="X289" s="42"/>
      <c r="Y289" s="42"/>
      <c r="Z289" s="42"/>
      <c r="AA289" s="42"/>
      <c r="AB289" s="42" t="str">
        <f>IFERROR(__xludf.DUMMYFUNCTION("""COMPUTED_VALUE"""),"allen institute")</f>
        <v>allen institute</v>
      </c>
      <c r="AC289" s="42" t="str">
        <f>IFERROR(__xludf.DUMMYFUNCTION("""COMPUTED_VALUE"""),"DHBA")</f>
        <v>DHBA</v>
      </c>
      <c r="AD289" s="42"/>
      <c r="AE289" s="42"/>
      <c r="AF289" s="9"/>
      <c r="AG289" s="9"/>
      <c r="AH289" s="42"/>
      <c r="AI289" s="42"/>
      <c r="AJ289" s="42"/>
      <c r="AK289" s="42"/>
      <c r="AL289" s="42"/>
      <c r="AM289" s="42"/>
      <c r="AN289" s="42"/>
      <c r="AO289" s="63" t="str">
        <f>IFERROR(__xludf.DUMMYFUNCTION("IF(ISBLANK(A289),,IF(ISBLANK(S289), A289&amp;"";"", TEXTJOIN(CHAR(10), TRUE, A289&amp;"";"", ARRAYFORMULA(VLOOKUP(SPLIT(S289, "";"" &amp; CHAR(10)), $A:$AO, 41, FALSE)))))"),"CPeo;")</f>
        <v>CPeo;</v>
      </c>
      <c r="AP289" s="89"/>
    </row>
    <row r="290">
      <c r="A290" s="151" t="str">
        <f>IFERROR(__xludf.DUMMYFUNCTION("""COMPUTED_VALUE"""),"CPer")</f>
        <v>CPer</v>
      </c>
      <c r="B290" s="42" t="str">
        <f>IFERROR(__xludf.DUMMYFUNCTION("""COMPUTED_VALUE"""),"DHBA")</f>
        <v>DHBA</v>
      </c>
      <c r="C290" s="42" t="str">
        <f>IFERROR(__xludf.DUMMYFUNCTION("""COMPUTED_VALUE"""),"CP in rostral entorhinal cortex")</f>
        <v>CP in rostral entorhinal cortex</v>
      </c>
      <c r="D290" s="42">
        <f>IFERROR(__xludf.DUMMYFUNCTION("""COMPUTED_VALUE"""),256.0)</f>
        <v>256</v>
      </c>
      <c r="E290" s="39" t="str">
        <f>IFERROR(__xludf.DUMMYFUNCTION("""COMPUTED_VALUE"""),"CP in rostral entorhinal cortex")</f>
        <v>CP in rostral entorhinal cortex</v>
      </c>
      <c r="F290" s="9" t="str">
        <f>IFERROR(__xludf.DUMMYFUNCTION("""COMPUTED_VALUE"""),"Br")</f>
        <v>Br</v>
      </c>
      <c r="G290" s="9" t="str">
        <f>IFERROR(__xludf.DUMMYFUNCTION("""COMPUTED_VALUE"""),"F")</f>
        <v>F</v>
      </c>
      <c r="H290" s="9" t="str">
        <f>IFERROR(__xludf.DUMMYFUNCTION("""COMPUTED_VALUE"""),"FGM")</f>
        <v>FGM</v>
      </c>
      <c r="I290" s="9" t="str">
        <f>IFERROR(__xludf.DUMMYFUNCTION("""COMPUTED_VALUE"""),"FTS")</f>
        <v>FTS</v>
      </c>
      <c r="J290" s="9" t="str">
        <f>IFERROR(__xludf.DUMMYFUNCTION("""COMPUTED_VALUE"""),"CP")</f>
        <v>CP</v>
      </c>
      <c r="K290" s="9" t="str">
        <f>IFERROR(__xludf.DUMMYFUNCTION("""COMPUTED_VALUE"""),"peCP")</f>
        <v>peCP</v>
      </c>
      <c r="L290" s="9" t="str">
        <f>IFERROR(__xludf.DUMMYFUNCTION("""COMPUTED_VALUE"""),"CPEC")</f>
        <v>CPEC</v>
      </c>
      <c r="M290" s="9" t="str">
        <f>IFERROR(__xludf.DUMMYFUNCTION("""COMPUTED_VALUE"""),"CPlec")</f>
        <v>CPlec</v>
      </c>
      <c r="N290" s="9" t="str">
        <f>IFERROR(__xludf.DUMMYFUNCTION("""COMPUTED_VALUE"""),"CPer")</f>
        <v>CPer</v>
      </c>
      <c r="O290" s="9"/>
      <c r="P290" s="9"/>
      <c r="Q290" s="9"/>
      <c r="R290" s="9"/>
      <c r="S290" s="42"/>
      <c r="T290" s="42"/>
      <c r="U290" s="159"/>
      <c r="V290" s="42"/>
      <c r="W290" s="42"/>
      <c r="X290" s="42"/>
      <c r="Y290" s="42"/>
      <c r="Z290" s="42"/>
      <c r="AA290" s="42"/>
      <c r="AB290" s="42" t="str">
        <f>IFERROR(__xludf.DUMMYFUNCTION("""COMPUTED_VALUE"""),"allen institute")</f>
        <v>allen institute</v>
      </c>
      <c r="AC290" s="42" t="str">
        <f>IFERROR(__xludf.DUMMYFUNCTION("""COMPUTED_VALUE"""),"DHBA")</f>
        <v>DHBA</v>
      </c>
      <c r="AD290" s="42"/>
      <c r="AE290" s="42"/>
      <c r="AF290" s="9"/>
      <c r="AG290" s="9"/>
      <c r="AH290" s="42"/>
      <c r="AI290" s="42"/>
      <c r="AJ290" s="42"/>
      <c r="AK290" s="42"/>
      <c r="AL290" s="42"/>
      <c r="AM290" s="42"/>
      <c r="AN290" s="42"/>
      <c r="AO290" s="63" t="str">
        <f>IFERROR(__xludf.DUMMYFUNCTION("IF(ISBLANK(A290),,IF(ISBLANK(S290), A290&amp;"";"", TEXTJOIN(CHAR(10), TRUE, A290&amp;"";"", ARRAYFORMULA(VLOOKUP(SPLIT(S290, "";"" &amp; CHAR(10)), $A:$AO, 41, FALSE)))))"),"CPer;")</f>
        <v>CPer;</v>
      </c>
      <c r="AP290" s="89"/>
    </row>
    <row r="291">
      <c r="A291" s="151" t="str">
        <f>IFERROR(__xludf.DUMMYFUNCTION("""COMPUTED_VALUE"""),"CPmec")</f>
        <v>CPmec</v>
      </c>
      <c r="B291" s="42" t="str">
        <f>IFERROR(__xludf.DUMMYFUNCTION("""COMPUTED_VALUE"""),"DHBA")</f>
        <v>DHBA</v>
      </c>
      <c r="C291" s="42" t="str">
        <f>IFERROR(__xludf.DUMMYFUNCTION("""COMPUTED_VALUE"""),"CP in medial (posterior) entorhinal cortex")</f>
        <v>CP in medial (posterior) entorhinal cortex</v>
      </c>
      <c r="D291" s="42">
        <f>IFERROR(__xludf.DUMMYFUNCTION("""COMPUTED_VALUE"""),257.0)</f>
        <v>257</v>
      </c>
      <c r="E291" s="39" t="str">
        <f>IFERROR(__xludf.DUMMYFUNCTION("""COMPUTED_VALUE"""),"CP in medial (posterior) entorhinal cortex")</f>
        <v>CP in medial (posterior) entorhinal cortex</v>
      </c>
      <c r="F291" s="9" t="str">
        <f>IFERROR(__xludf.DUMMYFUNCTION("""COMPUTED_VALUE"""),"Br")</f>
        <v>Br</v>
      </c>
      <c r="G291" s="9" t="str">
        <f>IFERROR(__xludf.DUMMYFUNCTION("""COMPUTED_VALUE"""),"F")</f>
        <v>F</v>
      </c>
      <c r="H291" s="9" t="str">
        <f>IFERROR(__xludf.DUMMYFUNCTION("""COMPUTED_VALUE"""),"FGM")</f>
        <v>FGM</v>
      </c>
      <c r="I291" s="9" t="str">
        <f>IFERROR(__xludf.DUMMYFUNCTION("""COMPUTED_VALUE"""),"FTS")</f>
        <v>FTS</v>
      </c>
      <c r="J291" s="9" t="str">
        <f>IFERROR(__xludf.DUMMYFUNCTION("""COMPUTED_VALUE"""),"CP")</f>
        <v>CP</v>
      </c>
      <c r="K291" s="9" t="str">
        <f>IFERROR(__xludf.DUMMYFUNCTION("""COMPUTED_VALUE"""),"peCP")</f>
        <v>peCP</v>
      </c>
      <c r="L291" s="9" t="str">
        <f>IFERROR(__xludf.DUMMYFUNCTION("""COMPUTED_VALUE"""),"CPEC")</f>
        <v>CPEC</v>
      </c>
      <c r="M291" s="9" t="str">
        <f>IFERROR(__xludf.DUMMYFUNCTION("""COMPUTED_VALUE"""),"CPmec")</f>
        <v>CPmec</v>
      </c>
      <c r="N291" s="9"/>
      <c r="O291" s="9"/>
      <c r="P291" s="9"/>
      <c r="Q291" s="9"/>
      <c r="R291" s="9"/>
      <c r="S291" s="42" t="str">
        <f>IFERROR(__xludf.DUMMYFUNCTION("""COMPUTED_VALUE"""),"CPec")</f>
        <v>CPec</v>
      </c>
      <c r="T291" s="42"/>
      <c r="U291" s="42" t="b">
        <f>IFERROR(__xludf.DUMMYFUNCTION("""COMPUTED_VALUE"""),FALSE)</f>
        <v>0</v>
      </c>
      <c r="V291" s="42"/>
      <c r="W291" s="42"/>
      <c r="X291" s="42"/>
      <c r="Y291" s="42"/>
      <c r="Z291" s="42"/>
      <c r="AA291" s="42"/>
      <c r="AB291" s="42" t="str">
        <f>IFERROR(__xludf.DUMMYFUNCTION("""COMPUTED_VALUE"""),"allen institute")</f>
        <v>allen institute</v>
      </c>
      <c r="AC291" s="42" t="str">
        <f>IFERROR(__xludf.DUMMYFUNCTION("""COMPUTED_VALUE"""),"DHBA")</f>
        <v>DHBA</v>
      </c>
      <c r="AD291" s="42"/>
      <c r="AE291" s="42"/>
      <c r="AF291" s="9"/>
      <c r="AG291" s="9"/>
      <c r="AH291" s="42"/>
      <c r="AI291" s="42"/>
      <c r="AJ291" s="42"/>
      <c r="AK291" s="42"/>
      <c r="AL291" s="42"/>
      <c r="AM291" s="42"/>
      <c r="AN291" s="42"/>
      <c r="AO291" s="63" t="str">
        <f>IFERROR(__xludf.DUMMYFUNCTION("IF(ISBLANK(A291),,IF(ISBLANK(S291), A291&amp;"";"", TEXTJOIN(CHAR(10), TRUE, A291&amp;"";"", ARRAYFORMULA(VLOOKUP(SPLIT(S291, "";"" &amp; CHAR(10)), $A:$AO, 41, FALSE)))))"),"#REF!")</f>
        <v>#REF!</v>
      </c>
      <c r="AP291" s="89"/>
    </row>
    <row r="292">
      <c r="A292" s="151" t="str">
        <f>IFERROR(__xludf.DUMMYFUNCTION("""COMPUTED_VALUE"""),"CPec")</f>
        <v>CPec</v>
      </c>
      <c r="B292" s="42" t="str">
        <f>IFERROR(__xludf.DUMMYFUNCTION("""COMPUTED_VALUE"""),"DHBA")</f>
        <v>DHBA</v>
      </c>
      <c r="C292" s="42" t="str">
        <f>IFERROR(__xludf.DUMMYFUNCTION("""COMPUTED_VALUE"""),"CP in caudal entorhinal cortex")</f>
        <v>CP in caudal entorhinal cortex</v>
      </c>
      <c r="D292" s="42">
        <f>IFERROR(__xludf.DUMMYFUNCTION("""COMPUTED_VALUE"""),258.0)</f>
        <v>258</v>
      </c>
      <c r="E292" s="39" t="str">
        <f>IFERROR(__xludf.DUMMYFUNCTION("""COMPUTED_VALUE"""),"CP in caudal entorhinal cortex")</f>
        <v>CP in caudal entorhinal cortex</v>
      </c>
      <c r="F292" s="9" t="str">
        <f>IFERROR(__xludf.DUMMYFUNCTION("""COMPUTED_VALUE"""),"Br")</f>
        <v>Br</v>
      </c>
      <c r="G292" s="9" t="str">
        <f>IFERROR(__xludf.DUMMYFUNCTION("""COMPUTED_VALUE"""),"F")</f>
        <v>F</v>
      </c>
      <c r="H292" s="9" t="str">
        <f>IFERROR(__xludf.DUMMYFUNCTION("""COMPUTED_VALUE"""),"FGM")</f>
        <v>FGM</v>
      </c>
      <c r="I292" s="9" t="str">
        <f>IFERROR(__xludf.DUMMYFUNCTION("""COMPUTED_VALUE"""),"FTS")</f>
        <v>FTS</v>
      </c>
      <c r="J292" s="9" t="str">
        <f>IFERROR(__xludf.DUMMYFUNCTION("""COMPUTED_VALUE"""),"CP")</f>
        <v>CP</v>
      </c>
      <c r="K292" s="9" t="str">
        <f>IFERROR(__xludf.DUMMYFUNCTION("""COMPUTED_VALUE"""),"peCP")</f>
        <v>peCP</v>
      </c>
      <c r="L292" s="9" t="str">
        <f>IFERROR(__xludf.DUMMYFUNCTION("""COMPUTED_VALUE"""),"CPEC")</f>
        <v>CPEC</v>
      </c>
      <c r="M292" s="9" t="str">
        <f>IFERROR(__xludf.DUMMYFUNCTION("""COMPUTED_VALUE"""),"CPmec")</f>
        <v>CPmec</v>
      </c>
      <c r="N292" s="9" t="str">
        <f>IFERROR(__xludf.DUMMYFUNCTION("""COMPUTED_VALUE"""),"CPec")</f>
        <v>CPec</v>
      </c>
      <c r="O292" s="9"/>
      <c r="P292" s="9"/>
      <c r="Q292" s="9"/>
      <c r="R292" s="9"/>
      <c r="S292" s="42"/>
      <c r="T292" s="42"/>
      <c r="U292" s="42"/>
      <c r="V292" s="42"/>
      <c r="W292" s="42"/>
      <c r="X292" s="42"/>
      <c r="Y292" s="42"/>
      <c r="Z292" s="42"/>
      <c r="AA292" s="42"/>
      <c r="AB292" s="42" t="str">
        <f>IFERROR(__xludf.DUMMYFUNCTION("""COMPUTED_VALUE"""),"allen institute")</f>
        <v>allen institute</v>
      </c>
      <c r="AC292" s="42" t="str">
        <f>IFERROR(__xludf.DUMMYFUNCTION("""COMPUTED_VALUE"""),"DHBA")</f>
        <v>DHBA</v>
      </c>
      <c r="AD292" s="42"/>
      <c r="AE292" s="42"/>
      <c r="AF292" s="9"/>
      <c r="AG292" s="9"/>
      <c r="AH292" s="42"/>
      <c r="AI292" s="42"/>
      <c r="AJ292" s="42"/>
      <c r="AK292" s="42"/>
      <c r="AL292" s="42"/>
      <c r="AM292" s="42"/>
      <c r="AN292" s="42"/>
      <c r="AO292" s="63" t="str">
        <f>IFERROR(__xludf.DUMMYFUNCTION("IF(ISBLANK(A292),,IF(ISBLANK(S292), A292&amp;"";"", TEXTJOIN(CHAR(10), TRUE, A292&amp;"";"", ARRAYFORMULA(VLOOKUP(SPLIT(S292, "";"" &amp; CHAR(10)), $A:$AO, 41, FALSE)))))"),"CPec;")</f>
        <v>CPec;</v>
      </c>
      <c r="AP292" s="89"/>
    </row>
    <row r="293">
      <c r="A293" s="151" t="str">
        <f>IFERROR(__xludf.DUMMYFUNCTION("""COMPUTED_VALUE"""),"CPprs")</f>
        <v>CPprs</v>
      </c>
      <c r="B293" s="42" t="str">
        <f>IFERROR(__xludf.DUMMYFUNCTION("""COMPUTED_VALUE"""),"DHBA")</f>
        <v>DHBA</v>
      </c>
      <c r="C293" s="42" t="str">
        <f>IFERROR(__xludf.DUMMYFUNCTION("""COMPUTED_VALUE"""),"CP in presubicular cortex")</f>
        <v>CP in presubicular cortex</v>
      </c>
      <c r="D293" s="42">
        <f>IFERROR(__xludf.DUMMYFUNCTION("""COMPUTED_VALUE"""),259.0)</f>
        <v>259</v>
      </c>
      <c r="E293" s="39" t="str">
        <f>IFERROR(__xludf.DUMMYFUNCTION("""COMPUTED_VALUE"""),"CP in presubicular cortex")</f>
        <v>CP in presubicular cortex</v>
      </c>
      <c r="F293" s="9" t="str">
        <f>IFERROR(__xludf.DUMMYFUNCTION("""COMPUTED_VALUE"""),"Br")</f>
        <v>Br</v>
      </c>
      <c r="G293" s="9" t="str">
        <f>IFERROR(__xludf.DUMMYFUNCTION("""COMPUTED_VALUE"""),"F")</f>
        <v>F</v>
      </c>
      <c r="H293" s="9" t="str">
        <f>IFERROR(__xludf.DUMMYFUNCTION("""COMPUTED_VALUE"""),"FGM")</f>
        <v>FGM</v>
      </c>
      <c r="I293" s="9" t="str">
        <f>IFERROR(__xludf.DUMMYFUNCTION("""COMPUTED_VALUE"""),"FTS")</f>
        <v>FTS</v>
      </c>
      <c r="J293" s="9" t="str">
        <f>IFERROR(__xludf.DUMMYFUNCTION("""COMPUTED_VALUE"""),"CP")</f>
        <v>CP</v>
      </c>
      <c r="K293" s="9" t="str">
        <f>IFERROR(__xludf.DUMMYFUNCTION("""COMPUTED_VALUE"""),"peCP")</f>
        <v>peCP</v>
      </c>
      <c r="L293" s="9" t="str">
        <f>IFERROR(__xludf.DUMMYFUNCTION("""COMPUTED_VALUE"""),"CPprs")</f>
        <v>CPprs</v>
      </c>
      <c r="M293" s="9"/>
      <c r="N293" s="9"/>
      <c r="O293" s="9"/>
      <c r="P293" s="9"/>
      <c r="Q293" s="9"/>
      <c r="R293" s="9"/>
      <c r="S293" s="42" t="str">
        <f>IFERROR(__xludf.DUMMYFUNCTION("""COMPUTED_VALUE"""),"CPprsr;
CPprsc")</f>
        <v>CPprsr;
CPprsc</v>
      </c>
      <c r="T293" s="42"/>
      <c r="U293" s="42" t="b">
        <f>IFERROR(__xludf.DUMMYFUNCTION("""COMPUTED_VALUE"""),FALSE)</f>
        <v>0</v>
      </c>
      <c r="V293" s="42"/>
      <c r="W293" s="42"/>
      <c r="X293" s="42"/>
      <c r="Y293" s="42"/>
      <c r="Z293" s="42"/>
      <c r="AA293" s="42"/>
      <c r="AB293" s="42" t="str">
        <f>IFERROR(__xludf.DUMMYFUNCTION("""COMPUTED_VALUE"""),"allen institute")</f>
        <v>allen institute</v>
      </c>
      <c r="AC293" s="42" t="str">
        <f>IFERROR(__xludf.DUMMYFUNCTION("""COMPUTED_VALUE"""),"DHBA")</f>
        <v>DHBA</v>
      </c>
      <c r="AD293" s="42"/>
      <c r="AE293" s="42"/>
      <c r="AF293" s="9"/>
      <c r="AG293" s="9"/>
      <c r="AH293" s="42"/>
      <c r="AI293" s="42"/>
      <c r="AJ293" s="42"/>
      <c r="AK293" s="42"/>
      <c r="AL293" s="42"/>
      <c r="AM293" s="42"/>
      <c r="AN293" s="42"/>
      <c r="AO293" s="63" t="str">
        <f>IFERROR(__xludf.DUMMYFUNCTION("IF(ISBLANK(A293),,IF(ISBLANK(S293), A293&amp;"";"", TEXTJOIN(CHAR(10), TRUE, A293&amp;"";"", ARRAYFORMULA(VLOOKUP(SPLIT(S293, "";"" &amp; CHAR(10)), $A:$AO, 41, FALSE)))))"),"CPprs;
CPprsr;
CPprsc;")</f>
        <v>CPprs;
CPprsr;
CPprsc;</v>
      </c>
      <c r="AP293" s="89"/>
    </row>
    <row r="294">
      <c r="A294" s="151" t="str">
        <f>IFERROR(__xludf.DUMMYFUNCTION("""COMPUTED_VALUE"""),"CPprsr")</f>
        <v>CPprsr</v>
      </c>
      <c r="B294" s="42" t="str">
        <f>IFERROR(__xludf.DUMMYFUNCTION("""COMPUTED_VALUE"""),"DHBA")</f>
        <v>DHBA</v>
      </c>
      <c r="C294" s="42" t="str">
        <f>IFERROR(__xludf.DUMMYFUNCTION("""COMPUTED_VALUE"""),"CP in rostral presubicular cortex")</f>
        <v>CP in rostral presubicular cortex</v>
      </c>
      <c r="D294" s="42">
        <f>IFERROR(__xludf.DUMMYFUNCTION("""COMPUTED_VALUE"""),260.0)</f>
        <v>260</v>
      </c>
      <c r="E294" s="39" t="str">
        <f>IFERROR(__xludf.DUMMYFUNCTION("""COMPUTED_VALUE"""),"CP in rostral presubicular cortex")</f>
        <v>CP in rostral presubicular cortex</v>
      </c>
      <c r="F294" s="9" t="str">
        <f>IFERROR(__xludf.DUMMYFUNCTION("""COMPUTED_VALUE"""),"Br")</f>
        <v>Br</v>
      </c>
      <c r="G294" s="9" t="str">
        <f>IFERROR(__xludf.DUMMYFUNCTION("""COMPUTED_VALUE"""),"F")</f>
        <v>F</v>
      </c>
      <c r="H294" s="9" t="str">
        <f>IFERROR(__xludf.DUMMYFUNCTION("""COMPUTED_VALUE"""),"FGM")</f>
        <v>FGM</v>
      </c>
      <c r="I294" s="9" t="str">
        <f>IFERROR(__xludf.DUMMYFUNCTION("""COMPUTED_VALUE"""),"FTS")</f>
        <v>FTS</v>
      </c>
      <c r="J294" s="9" t="str">
        <f>IFERROR(__xludf.DUMMYFUNCTION("""COMPUTED_VALUE"""),"CP")</f>
        <v>CP</v>
      </c>
      <c r="K294" s="9" t="str">
        <f>IFERROR(__xludf.DUMMYFUNCTION("""COMPUTED_VALUE"""),"peCP")</f>
        <v>peCP</v>
      </c>
      <c r="L294" s="9" t="str">
        <f>IFERROR(__xludf.DUMMYFUNCTION("""COMPUTED_VALUE"""),"CPprs")</f>
        <v>CPprs</v>
      </c>
      <c r="M294" s="9" t="str">
        <f>IFERROR(__xludf.DUMMYFUNCTION("""COMPUTED_VALUE"""),"CPprsr")</f>
        <v>CPprsr</v>
      </c>
      <c r="N294" s="9"/>
      <c r="O294" s="9"/>
      <c r="P294" s="9"/>
      <c r="Q294" s="9"/>
      <c r="R294" s="9"/>
      <c r="S294" s="42"/>
      <c r="T294" s="42"/>
      <c r="U294" s="42"/>
      <c r="V294" s="42"/>
      <c r="W294" s="42"/>
      <c r="X294" s="42"/>
      <c r="Y294" s="42"/>
      <c r="Z294" s="42"/>
      <c r="AA294" s="42"/>
      <c r="AB294" s="42" t="str">
        <f>IFERROR(__xludf.DUMMYFUNCTION("""COMPUTED_VALUE"""),"allen institute")</f>
        <v>allen institute</v>
      </c>
      <c r="AC294" s="42" t="str">
        <f>IFERROR(__xludf.DUMMYFUNCTION("""COMPUTED_VALUE"""),"DHBA")</f>
        <v>DHBA</v>
      </c>
      <c r="AD294" s="42"/>
      <c r="AE294" s="42"/>
      <c r="AF294" s="9"/>
      <c r="AG294" s="9"/>
      <c r="AH294" s="42"/>
      <c r="AI294" s="42"/>
      <c r="AJ294" s="42"/>
      <c r="AK294" s="42"/>
      <c r="AL294" s="42"/>
      <c r="AM294" s="42"/>
      <c r="AN294" s="42"/>
      <c r="AO294" s="63" t="str">
        <f>IFERROR(__xludf.DUMMYFUNCTION("IF(ISBLANK(A294),,IF(ISBLANK(S294), A294&amp;"";"", TEXTJOIN(CHAR(10), TRUE, A294&amp;"";"", ARRAYFORMULA(VLOOKUP(SPLIT(S294, "";"" &amp; CHAR(10)), $A:$AO, 41, FALSE)))))"),"CPprsr;")</f>
        <v>CPprsr;</v>
      </c>
      <c r="AP294" s="89"/>
    </row>
    <row r="295">
      <c r="A295" s="151" t="str">
        <f>IFERROR(__xludf.DUMMYFUNCTION("""COMPUTED_VALUE"""),"CPprsc")</f>
        <v>CPprsc</v>
      </c>
      <c r="B295" s="42" t="str">
        <f>IFERROR(__xludf.DUMMYFUNCTION("""COMPUTED_VALUE"""),"DHBA")</f>
        <v>DHBA</v>
      </c>
      <c r="C295" s="42" t="str">
        <f>IFERROR(__xludf.DUMMYFUNCTION("""COMPUTED_VALUE"""),"CP in caudal presubicular cortex (postsubiculum)")</f>
        <v>CP in caudal presubicular cortex (postsubiculum)</v>
      </c>
      <c r="D295" s="42">
        <f>IFERROR(__xludf.DUMMYFUNCTION("""COMPUTED_VALUE"""),261.0)</f>
        <v>261</v>
      </c>
      <c r="E295" s="39" t="str">
        <f>IFERROR(__xludf.DUMMYFUNCTION("""COMPUTED_VALUE"""),"CP in caudal presubicular cortex (postsubiculum)")</f>
        <v>CP in caudal presubicular cortex (postsubiculum)</v>
      </c>
      <c r="F295" s="9" t="str">
        <f>IFERROR(__xludf.DUMMYFUNCTION("""COMPUTED_VALUE"""),"Br")</f>
        <v>Br</v>
      </c>
      <c r="G295" s="9" t="str">
        <f>IFERROR(__xludf.DUMMYFUNCTION("""COMPUTED_VALUE"""),"F")</f>
        <v>F</v>
      </c>
      <c r="H295" s="9" t="str">
        <f>IFERROR(__xludf.DUMMYFUNCTION("""COMPUTED_VALUE"""),"FGM")</f>
        <v>FGM</v>
      </c>
      <c r="I295" s="9" t="str">
        <f>IFERROR(__xludf.DUMMYFUNCTION("""COMPUTED_VALUE"""),"FTS")</f>
        <v>FTS</v>
      </c>
      <c r="J295" s="9" t="str">
        <f>IFERROR(__xludf.DUMMYFUNCTION("""COMPUTED_VALUE"""),"CP")</f>
        <v>CP</v>
      </c>
      <c r="K295" s="9" t="str">
        <f>IFERROR(__xludf.DUMMYFUNCTION("""COMPUTED_VALUE"""),"peCP")</f>
        <v>peCP</v>
      </c>
      <c r="L295" s="9" t="str">
        <f>IFERROR(__xludf.DUMMYFUNCTION("""COMPUTED_VALUE"""),"CPprs")</f>
        <v>CPprs</v>
      </c>
      <c r="M295" s="9" t="str">
        <f>IFERROR(__xludf.DUMMYFUNCTION("""COMPUTED_VALUE"""),"CPprsc")</f>
        <v>CPprsc</v>
      </c>
      <c r="N295" s="9"/>
      <c r="O295" s="9"/>
      <c r="P295" s="9"/>
      <c r="Q295" s="9"/>
      <c r="R295" s="9"/>
      <c r="S295" s="42"/>
      <c r="T295" s="42"/>
      <c r="U295" s="42"/>
      <c r="V295" s="42"/>
      <c r="W295" s="42"/>
      <c r="X295" s="42"/>
      <c r="Y295" s="42"/>
      <c r="Z295" s="42"/>
      <c r="AA295" s="42"/>
      <c r="AB295" s="42" t="str">
        <f>IFERROR(__xludf.DUMMYFUNCTION("""COMPUTED_VALUE"""),"allen institute")</f>
        <v>allen institute</v>
      </c>
      <c r="AC295" s="42" t="str">
        <f>IFERROR(__xludf.DUMMYFUNCTION("""COMPUTED_VALUE"""),"DHBA")</f>
        <v>DHBA</v>
      </c>
      <c r="AD295" s="42"/>
      <c r="AE295" s="42"/>
      <c r="AF295" s="9"/>
      <c r="AG295" s="9"/>
      <c r="AH295" s="42"/>
      <c r="AI295" s="42"/>
      <c r="AJ295" s="42"/>
      <c r="AK295" s="42"/>
      <c r="AL295" s="42"/>
      <c r="AM295" s="42"/>
      <c r="AN295" s="42"/>
      <c r="AO295" s="63" t="str">
        <f>IFERROR(__xludf.DUMMYFUNCTION("IF(ISBLANK(A295),,IF(ISBLANK(S295), A295&amp;"";"", TEXTJOIN(CHAR(10), TRUE, A295&amp;"";"", ARRAYFORMULA(VLOOKUP(SPLIT(S295, "";"" &amp; CHAR(10)), $A:$AO, 41, FALSE)))))"),"CPprsc;")</f>
        <v>CPprsc;</v>
      </c>
      <c r="AP295" s="89"/>
    </row>
    <row r="296">
      <c r="A296" s="151" t="str">
        <f>IFERROR(__xludf.DUMMYFUNCTION("""COMPUTED_VALUE"""),"CPrs")</f>
        <v>CPrs</v>
      </c>
      <c r="B296" s="42" t="str">
        <f>IFERROR(__xludf.DUMMYFUNCTION("""COMPUTED_VALUE"""),"DHBA")</f>
        <v>DHBA</v>
      </c>
      <c r="C296" s="42" t="str">
        <f>IFERROR(__xludf.DUMMYFUNCTION("""COMPUTED_VALUE"""),"CP in retrosplenial cortex")</f>
        <v>CP in retrosplenial cortex</v>
      </c>
      <c r="D296" s="42">
        <f>IFERROR(__xludf.DUMMYFUNCTION("""COMPUTED_VALUE"""),262.0)</f>
        <v>262</v>
      </c>
      <c r="E296" s="39" t="str">
        <f>IFERROR(__xludf.DUMMYFUNCTION("""COMPUTED_VALUE"""),"CP in retrosplenial cortex")</f>
        <v>CP in retrosplenial cortex</v>
      </c>
      <c r="F296" s="9" t="str">
        <f>IFERROR(__xludf.DUMMYFUNCTION("""COMPUTED_VALUE"""),"Br")</f>
        <v>Br</v>
      </c>
      <c r="G296" s="9" t="str">
        <f>IFERROR(__xludf.DUMMYFUNCTION("""COMPUTED_VALUE"""),"F")</f>
        <v>F</v>
      </c>
      <c r="H296" s="9" t="str">
        <f>IFERROR(__xludf.DUMMYFUNCTION("""COMPUTED_VALUE"""),"FGM")</f>
        <v>FGM</v>
      </c>
      <c r="I296" s="9" t="str">
        <f>IFERROR(__xludf.DUMMYFUNCTION("""COMPUTED_VALUE"""),"FTS")</f>
        <v>FTS</v>
      </c>
      <c r="J296" s="9" t="str">
        <f>IFERROR(__xludf.DUMMYFUNCTION("""COMPUTED_VALUE"""),"CP")</f>
        <v>CP</v>
      </c>
      <c r="K296" s="9" t="str">
        <f>IFERROR(__xludf.DUMMYFUNCTION("""COMPUTED_VALUE"""),"peCP")</f>
        <v>peCP</v>
      </c>
      <c r="L296" s="9" t="str">
        <f>IFERROR(__xludf.DUMMYFUNCTION("""COMPUTED_VALUE"""),"CPrs")</f>
        <v>CPrs</v>
      </c>
      <c r="M296" s="9"/>
      <c r="N296" s="9"/>
      <c r="O296" s="9"/>
      <c r="P296" s="9"/>
      <c r="Q296" s="9"/>
      <c r="R296" s="9"/>
      <c r="S296" s="42" t="str">
        <f>IFERROR(__xludf.DUMMYFUNCTION("""COMPUTED_VALUE"""),"CPrso;
CPrsi")</f>
        <v>CPrso;
CPrsi</v>
      </c>
      <c r="T296" s="42"/>
      <c r="U296" s="42" t="b">
        <f>IFERROR(__xludf.DUMMYFUNCTION("""COMPUTED_VALUE"""),FALSE)</f>
        <v>0</v>
      </c>
      <c r="V296" s="42"/>
      <c r="W296" s="42"/>
      <c r="X296" s="42"/>
      <c r="Y296" s="42"/>
      <c r="Z296" s="42"/>
      <c r="AA296" s="42"/>
      <c r="AB296" s="42" t="str">
        <f>IFERROR(__xludf.DUMMYFUNCTION("""COMPUTED_VALUE"""),"allen institute")</f>
        <v>allen institute</v>
      </c>
      <c r="AC296" s="42" t="str">
        <f>IFERROR(__xludf.DUMMYFUNCTION("""COMPUTED_VALUE"""),"DHBA")</f>
        <v>DHBA</v>
      </c>
      <c r="AD296" s="42"/>
      <c r="AE296" s="42"/>
      <c r="AF296" s="9"/>
      <c r="AG296" s="9"/>
      <c r="AH296" s="42"/>
      <c r="AI296" s="42"/>
      <c r="AJ296" s="42"/>
      <c r="AK296" s="42"/>
      <c r="AL296" s="42"/>
      <c r="AM296" s="42"/>
      <c r="AN296" s="42"/>
      <c r="AO296" s="63" t="str">
        <f>IFERROR(__xludf.DUMMYFUNCTION("IF(ISBLANK(A296),,IF(ISBLANK(S296), A296&amp;"";"", TEXTJOIN(CHAR(10), TRUE, A296&amp;"";"", ARRAYFORMULA(VLOOKUP(SPLIT(S296, "";"" &amp; CHAR(10)), $A:$AO, 41, FALSE)))))"),"CPrs;
CPrso;
CPrsi;")</f>
        <v>CPrs;
CPrso;
CPrsi;</v>
      </c>
      <c r="AP296" s="89"/>
    </row>
    <row r="297">
      <c r="A297" s="151" t="str">
        <f>IFERROR(__xludf.DUMMYFUNCTION("""COMPUTED_VALUE"""),"CPrso")</f>
        <v>CPrso</v>
      </c>
      <c r="B297" s="42" t="str">
        <f>IFERROR(__xludf.DUMMYFUNCTION("""COMPUTED_VALUE"""),"DHBA")</f>
        <v>DHBA</v>
      </c>
      <c r="C297" s="42" t="str">
        <f>IFERROR(__xludf.DUMMYFUNCTION("""COMPUTED_VALUE"""),"outer CP in retrosplenial cortex")</f>
        <v>outer CP in retrosplenial cortex</v>
      </c>
      <c r="D297" s="42">
        <f>IFERROR(__xludf.DUMMYFUNCTION("""COMPUTED_VALUE"""),263.0)</f>
        <v>263</v>
      </c>
      <c r="E297" s="39" t="str">
        <f>IFERROR(__xludf.DUMMYFUNCTION("""COMPUTED_VALUE"""),"outer CP in retrosplenial cortex")</f>
        <v>outer CP in retrosplenial cortex</v>
      </c>
      <c r="F297" s="9" t="str">
        <f>IFERROR(__xludf.DUMMYFUNCTION("""COMPUTED_VALUE"""),"Br")</f>
        <v>Br</v>
      </c>
      <c r="G297" s="9" t="str">
        <f>IFERROR(__xludf.DUMMYFUNCTION("""COMPUTED_VALUE"""),"F")</f>
        <v>F</v>
      </c>
      <c r="H297" s="9" t="str">
        <f>IFERROR(__xludf.DUMMYFUNCTION("""COMPUTED_VALUE"""),"FGM")</f>
        <v>FGM</v>
      </c>
      <c r="I297" s="9" t="str">
        <f>IFERROR(__xludf.DUMMYFUNCTION("""COMPUTED_VALUE"""),"FTS")</f>
        <v>FTS</v>
      </c>
      <c r="J297" s="9" t="str">
        <f>IFERROR(__xludf.DUMMYFUNCTION("""COMPUTED_VALUE"""),"CP")</f>
        <v>CP</v>
      </c>
      <c r="K297" s="9" t="str">
        <f>IFERROR(__xludf.DUMMYFUNCTION("""COMPUTED_VALUE"""),"peCP")</f>
        <v>peCP</v>
      </c>
      <c r="L297" s="9" t="str">
        <f>IFERROR(__xludf.DUMMYFUNCTION("""COMPUTED_VALUE"""),"CPrs")</f>
        <v>CPrs</v>
      </c>
      <c r="M297" s="9" t="str">
        <f>IFERROR(__xludf.DUMMYFUNCTION("""COMPUTED_VALUE"""),"CPrso")</f>
        <v>CPrso</v>
      </c>
      <c r="N297" s="9"/>
      <c r="O297" s="9"/>
      <c r="P297" s="9"/>
      <c r="Q297" s="9"/>
      <c r="R297" s="9"/>
      <c r="S297" s="42"/>
      <c r="T297" s="42"/>
      <c r="U297" s="42"/>
      <c r="V297" s="42"/>
      <c r="W297" s="42"/>
      <c r="X297" s="42"/>
      <c r="Y297" s="42"/>
      <c r="Z297" s="42"/>
      <c r="AA297" s="42"/>
      <c r="AB297" s="42" t="str">
        <f>IFERROR(__xludf.DUMMYFUNCTION("""COMPUTED_VALUE"""),"allen institute")</f>
        <v>allen institute</v>
      </c>
      <c r="AC297" s="42" t="str">
        <f>IFERROR(__xludf.DUMMYFUNCTION("""COMPUTED_VALUE"""),"DHBA")</f>
        <v>DHBA</v>
      </c>
      <c r="AD297" s="42"/>
      <c r="AE297" s="42"/>
      <c r="AF297" s="9"/>
      <c r="AG297" s="9"/>
      <c r="AH297" s="42"/>
      <c r="AI297" s="42"/>
      <c r="AJ297" s="42"/>
      <c r="AK297" s="42"/>
      <c r="AL297" s="42"/>
      <c r="AM297" s="42"/>
      <c r="AN297" s="42"/>
      <c r="AO297" s="63" t="str">
        <f>IFERROR(__xludf.DUMMYFUNCTION("IF(ISBLANK(A297),,IF(ISBLANK(S297), A297&amp;"";"", TEXTJOIN(CHAR(10), TRUE, A297&amp;"";"", ARRAYFORMULA(VLOOKUP(SPLIT(S297, "";"" &amp; CHAR(10)), $A:$AO, 41, FALSE)))))"),"CPrso;")</f>
        <v>CPrso;</v>
      </c>
      <c r="AP297" s="89"/>
    </row>
    <row r="298">
      <c r="A298" s="151" t="str">
        <f>IFERROR(__xludf.DUMMYFUNCTION("""COMPUTED_VALUE"""),"CPrsi")</f>
        <v>CPrsi</v>
      </c>
      <c r="B298" s="42" t="str">
        <f>IFERROR(__xludf.DUMMYFUNCTION("""COMPUTED_VALUE"""),"DHBA")</f>
        <v>DHBA</v>
      </c>
      <c r="C298" s="42" t="str">
        <f>IFERROR(__xludf.DUMMYFUNCTION("""COMPUTED_VALUE"""),"inner CP in retrosplenial cortex")</f>
        <v>inner CP in retrosplenial cortex</v>
      </c>
      <c r="D298" s="42">
        <f>IFERROR(__xludf.DUMMYFUNCTION("""COMPUTED_VALUE"""),264.0)</f>
        <v>264</v>
      </c>
      <c r="E298" s="39" t="str">
        <f>IFERROR(__xludf.DUMMYFUNCTION("""COMPUTED_VALUE"""),"inner CP in retrosplenial cortex")</f>
        <v>inner CP in retrosplenial cortex</v>
      </c>
      <c r="F298" s="9" t="str">
        <f>IFERROR(__xludf.DUMMYFUNCTION("""COMPUTED_VALUE"""),"Br")</f>
        <v>Br</v>
      </c>
      <c r="G298" s="9" t="str">
        <f>IFERROR(__xludf.DUMMYFUNCTION("""COMPUTED_VALUE"""),"F")</f>
        <v>F</v>
      </c>
      <c r="H298" s="9" t="str">
        <f>IFERROR(__xludf.DUMMYFUNCTION("""COMPUTED_VALUE"""),"FGM")</f>
        <v>FGM</v>
      </c>
      <c r="I298" s="9" t="str">
        <f>IFERROR(__xludf.DUMMYFUNCTION("""COMPUTED_VALUE"""),"FTS")</f>
        <v>FTS</v>
      </c>
      <c r="J298" s="9" t="str">
        <f>IFERROR(__xludf.DUMMYFUNCTION("""COMPUTED_VALUE"""),"CP")</f>
        <v>CP</v>
      </c>
      <c r="K298" s="9" t="str">
        <f>IFERROR(__xludf.DUMMYFUNCTION("""COMPUTED_VALUE"""),"peCP")</f>
        <v>peCP</v>
      </c>
      <c r="L298" s="9" t="str">
        <f>IFERROR(__xludf.DUMMYFUNCTION("""COMPUTED_VALUE"""),"CPrs")</f>
        <v>CPrs</v>
      </c>
      <c r="M298" s="9" t="str">
        <f>IFERROR(__xludf.DUMMYFUNCTION("""COMPUTED_VALUE"""),"CPrsi")</f>
        <v>CPrsi</v>
      </c>
      <c r="N298" s="9"/>
      <c r="O298" s="9"/>
      <c r="P298" s="9"/>
      <c r="Q298" s="9"/>
      <c r="R298" s="9"/>
      <c r="S298" s="42"/>
      <c r="T298" s="42"/>
      <c r="U298" s="42"/>
      <c r="V298" s="42"/>
      <c r="W298" s="42"/>
      <c r="X298" s="42"/>
      <c r="Y298" s="42"/>
      <c r="Z298" s="42"/>
      <c r="AA298" s="42"/>
      <c r="AB298" s="42" t="str">
        <f>IFERROR(__xludf.DUMMYFUNCTION("""COMPUTED_VALUE"""),"allen institute")</f>
        <v>allen institute</v>
      </c>
      <c r="AC298" s="42" t="str">
        <f>IFERROR(__xludf.DUMMYFUNCTION("""COMPUTED_VALUE"""),"DHBA")</f>
        <v>DHBA</v>
      </c>
      <c r="AD298" s="42"/>
      <c r="AE298" s="42"/>
      <c r="AF298" s="9"/>
      <c r="AG298" s="9"/>
      <c r="AH298" s="42"/>
      <c r="AI298" s="42"/>
      <c r="AJ298" s="42"/>
      <c r="AK298" s="42"/>
      <c r="AL298" s="42"/>
      <c r="AM298" s="42"/>
      <c r="AN298" s="42"/>
      <c r="AO298" s="63" t="str">
        <f>IFERROR(__xludf.DUMMYFUNCTION("IF(ISBLANK(A298),,IF(ISBLANK(S298), A298&amp;"";"", TEXTJOIN(CHAR(10), TRUE, A298&amp;"";"", ARRAYFORMULA(VLOOKUP(SPLIT(S298, "";"" &amp; CHAR(10)), $A:$AO, 41, FALSE)))))"),"CPrsi;")</f>
        <v>CPrsi;</v>
      </c>
      <c r="AP298" s="89"/>
    </row>
    <row r="299">
      <c r="A299" s="151" t="str">
        <f>IFERROR(__xludf.DUMMYFUNCTION("""COMPUTED_VALUE"""),"CPIag")</f>
        <v>CPIag</v>
      </c>
      <c r="B299" s="42" t="str">
        <f>IFERROR(__xludf.DUMMYFUNCTION("""COMPUTED_VALUE"""),"DHBA")</f>
        <v>DHBA</v>
      </c>
      <c r="C299" s="42" t="str">
        <f>IFERROR(__xludf.DUMMYFUNCTION("""COMPUTED_VALUE"""),"CP in agranular insular cortex")</f>
        <v>CP in agranular insular cortex</v>
      </c>
      <c r="D299" s="42">
        <f>IFERROR(__xludf.DUMMYFUNCTION("""COMPUTED_VALUE"""),265.0)</f>
        <v>265</v>
      </c>
      <c r="E299" s="39" t="str">
        <f>IFERROR(__xludf.DUMMYFUNCTION("""COMPUTED_VALUE"""),"CP in agranular insular cortex")</f>
        <v>CP in agranular insular cortex</v>
      </c>
      <c r="F299" s="9" t="str">
        <f>IFERROR(__xludf.DUMMYFUNCTION("""COMPUTED_VALUE"""),"Br")</f>
        <v>Br</v>
      </c>
      <c r="G299" s="9" t="str">
        <f>IFERROR(__xludf.DUMMYFUNCTION("""COMPUTED_VALUE"""),"F")</f>
        <v>F</v>
      </c>
      <c r="H299" s="9" t="str">
        <f>IFERROR(__xludf.DUMMYFUNCTION("""COMPUTED_VALUE"""),"FGM")</f>
        <v>FGM</v>
      </c>
      <c r="I299" s="9" t="str">
        <f>IFERROR(__xludf.DUMMYFUNCTION("""COMPUTED_VALUE"""),"FTS")</f>
        <v>FTS</v>
      </c>
      <c r="J299" s="9" t="str">
        <f>IFERROR(__xludf.DUMMYFUNCTION("""COMPUTED_VALUE"""),"CP")</f>
        <v>CP</v>
      </c>
      <c r="K299" s="9" t="str">
        <f>IFERROR(__xludf.DUMMYFUNCTION("""COMPUTED_VALUE"""),"peCP")</f>
        <v>peCP</v>
      </c>
      <c r="L299" s="9" t="str">
        <f>IFERROR(__xludf.DUMMYFUNCTION("""COMPUTED_VALUE"""),"CPIag")</f>
        <v>CPIag</v>
      </c>
      <c r="M299" s="9"/>
      <c r="N299" s="9"/>
      <c r="O299" s="9"/>
      <c r="P299" s="9"/>
      <c r="Q299" s="9"/>
      <c r="R299" s="9"/>
      <c r="S299" s="42" t="str">
        <f>IFERROR(__xludf.DUMMYFUNCTION("""COMPUTED_VALUE"""),"CPIago;
CPIagi")</f>
        <v>CPIago;
CPIagi</v>
      </c>
      <c r="T299" s="42"/>
      <c r="U299" s="42" t="b">
        <f>IFERROR(__xludf.DUMMYFUNCTION("""COMPUTED_VALUE"""),FALSE)</f>
        <v>0</v>
      </c>
      <c r="V299" s="42"/>
      <c r="W299" s="42"/>
      <c r="X299" s="42"/>
      <c r="Y299" s="42"/>
      <c r="Z299" s="42"/>
      <c r="AA299" s="42"/>
      <c r="AB299" s="42" t="str">
        <f>IFERROR(__xludf.DUMMYFUNCTION("""COMPUTED_VALUE"""),"allen institute")</f>
        <v>allen institute</v>
      </c>
      <c r="AC299" s="42" t="str">
        <f>IFERROR(__xludf.DUMMYFUNCTION("""COMPUTED_VALUE"""),"DHBA")</f>
        <v>DHBA</v>
      </c>
      <c r="AD299" s="42"/>
      <c r="AE299" s="42"/>
      <c r="AF299" s="9"/>
      <c r="AG299" s="9"/>
      <c r="AH299" s="42"/>
      <c r="AI299" s="42"/>
      <c r="AJ299" s="42"/>
      <c r="AK299" s="42"/>
      <c r="AL299" s="42"/>
      <c r="AM299" s="42"/>
      <c r="AN299" s="42"/>
      <c r="AO299" s="63" t="str">
        <f>IFERROR(__xludf.DUMMYFUNCTION("IF(ISBLANK(A299),,IF(ISBLANK(S299), A299&amp;"";"", TEXTJOIN(CHAR(10), TRUE, A299&amp;"";"", ARRAYFORMULA(VLOOKUP(SPLIT(S299, "";"" &amp; CHAR(10)), $A:$AO, 41, FALSE)))))"),"CPIag;
CPIago;
CPIagi;")</f>
        <v>CPIag;
CPIago;
CPIagi;</v>
      </c>
      <c r="AP299" s="89"/>
    </row>
    <row r="300">
      <c r="A300" s="151" t="str">
        <f>IFERROR(__xludf.DUMMYFUNCTION("""COMPUTED_VALUE"""),"CPIago")</f>
        <v>CPIago</v>
      </c>
      <c r="B300" s="42" t="str">
        <f>IFERROR(__xludf.DUMMYFUNCTION("""COMPUTED_VALUE"""),"DHBA")</f>
        <v>DHBA</v>
      </c>
      <c r="C300" s="42" t="str">
        <f>IFERROR(__xludf.DUMMYFUNCTION("""COMPUTED_VALUE"""),"outer CP in agranular insular cortex")</f>
        <v>outer CP in agranular insular cortex</v>
      </c>
      <c r="D300" s="42">
        <f>IFERROR(__xludf.DUMMYFUNCTION("""COMPUTED_VALUE"""),266.0)</f>
        <v>266</v>
      </c>
      <c r="E300" s="39" t="str">
        <f>IFERROR(__xludf.DUMMYFUNCTION("""COMPUTED_VALUE"""),"outer CP in agranular insular cortex")</f>
        <v>outer CP in agranular insular cortex</v>
      </c>
      <c r="F300" s="9" t="str">
        <f>IFERROR(__xludf.DUMMYFUNCTION("""COMPUTED_VALUE"""),"Br")</f>
        <v>Br</v>
      </c>
      <c r="G300" s="9" t="str">
        <f>IFERROR(__xludf.DUMMYFUNCTION("""COMPUTED_VALUE"""),"F")</f>
        <v>F</v>
      </c>
      <c r="H300" s="9" t="str">
        <f>IFERROR(__xludf.DUMMYFUNCTION("""COMPUTED_VALUE"""),"FGM")</f>
        <v>FGM</v>
      </c>
      <c r="I300" s="9" t="str">
        <f>IFERROR(__xludf.DUMMYFUNCTION("""COMPUTED_VALUE"""),"FTS")</f>
        <v>FTS</v>
      </c>
      <c r="J300" s="9" t="str">
        <f>IFERROR(__xludf.DUMMYFUNCTION("""COMPUTED_VALUE"""),"CP")</f>
        <v>CP</v>
      </c>
      <c r="K300" s="9" t="str">
        <f>IFERROR(__xludf.DUMMYFUNCTION("""COMPUTED_VALUE"""),"peCP")</f>
        <v>peCP</v>
      </c>
      <c r="L300" s="9" t="str">
        <f>IFERROR(__xludf.DUMMYFUNCTION("""COMPUTED_VALUE"""),"CPIag")</f>
        <v>CPIag</v>
      </c>
      <c r="M300" s="9" t="str">
        <f>IFERROR(__xludf.DUMMYFUNCTION("""COMPUTED_VALUE"""),"CPIago")</f>
        <v>CPIago</v>
      </c>
      <c r="N300" s="9"/>
      <c r="O300" s="9"/>
      <c r="P300" s="9"/>
      <c r="Q300" s="9"/>
      <c r="R300" s="9"/>
      <c r="S300" s="42"/>
      <c r="T300" s="42"/>
      <c r="U300" s="42"/>
      <c r="V300" s="42"/>
      <c r="W300" s="42"/>
      <c r="X300" s="42"/>
      <c r="Y300" s="42"/>
      <c r="Z300" s="42"/>
      <c r="AA300" s="42"/>
      <c r="AB300" s="42" t="str">
        <f>IFERROR(__xludf.DUMMYFUNCTION("""COMPUTED_VALUE"""),"allen institute")</f>
        <v>allen institute</v>
      </c>
      <c r="AC300" s="42" t="str">
        <f>IFERROR(__xludf.DUMMYFUNCTION("""COMPUTED_VALUE"""),"DHBA")</f>
        <v>DHBA</v>
      </c>
      <c r="AD300" s="42"/>
      <c r="AE300" s="42"/>
      <c r="AF300" s="9"/>
      <c r="AG300" s="9"/>
      <c r="AH300" s="42"/>
      <c r="AI300" s="42"/>
      <c r="AJ300" s="42"/>
      <c r="AK300" s="42"/>
      <c r="AL300" s="42"/>
      <c r="AM300" s="42"/>
      <c r="AN300" s="42"/>
      <c r="AO300" s="63" t="str">
        <f>IFERROR(__xludf.DUMMYFUNCTION("IF(ISBLANK(A300),,IF(ISBLANK(S300), A300&amp;"";"", TEXTJOIN(CHAR(10), TRUE, A300&amp;"";"", ARRAYFORMULA(VLOOKUP(SPLIT(S300, "";"" &amp; CHAR(10)), $A:$AO, 41, FALSE)))))"),"CPIago;")</f>
        <v>CPIago;</v>
      </c>
      <c r="AP300" s="89"/>
    </row>
    <row r="301">
      <c r="A301" s="151" t="str">
        <f>IFERROR(__xludf.DUMMYFUNCTION("""COMPUTED_VALUE"""),"CPIagi")</f>
        <v>CPIagi</v>
      </c>
      <c r="B301" s="42" t="str">
        <f>IFERROR(__xludf.DUMMYFUNCTION("""COMPUTED_VALUE"""),"DHBA")</f>
        <v>DHBA</v>
      </c>
      <c r="C301" s="42" t="str">
        <f>IFERROR(__xludf.DUMMYFUNCTION("""COMPUTED_VALUE"""),"inner CP in agranular insular cortex")</f>
        <v>inner CP in agranular insular cortex</v>
      </c>
      <c r="D301" s="42">
        <f>IFERROR(__xludf.DUMMYFUNCTION("""COMPUTED_VALUE"""),267.0)</f>
        <v>267</v>
      </c>
      <c r="E301" s="39" t="str">
        <f>IFERROR(__xludf.DUMMYFUNCTION("""COMPUTED_VALUE"""),"inner CP in agranular insular cortex")</f>
        <v>inner CP in agranular insular cortex</v>
      </c>
      <c r="F301" s="9" t="str">
        <f>IFERROR(__xludf.DUMMYFUNCTION("""COMPUTED_VALUE"""),"Br")</f>
        <v>Br</v>
      </c>
      <c r="G301" s="9" t="str">
        <f>IFERROR(__xludf.DUMMYFUNCTION("""COMPUTED_VALUE"""),"F")</f>
        <v>F</v>
      </c>
      <c r="H301" s="9" t="str">
        <f>IFERROR(__xludf.DUMMYFUNCTION("""COMPUTED_VALUE"""),"FGM")</f>
        <v>FGM</v>
      </c>
      <c r="I301" s="9" t="str">
        <f>IFERROR(__xludf.DUMMYFUNCTION("""COMPUTED_VALUE"""),"FTS")</f>
        <v>FTS</v>
      </c>
      <c r="J301" s="9" t="str">
        <f>IFERROR(__xludf.DUMMYFUNCTION("""COMPUTED_VALUE"""),"CP")</f>
        <v>CP</v>
      </c>
      <c r="K301" s="9" t="str">
        <f>IFERROR(__xludf.DUMMYFUNCTION("""COMPUTED_VALUE"""),"peCP")</f>
        <v>peCP</v>
      </c>
      <c r="L301" s="9" t="str">
        <f>IFERROR(__xludf.DUMMYFUNCTION("""COMPUTED_VALUE"""),"CPIag")</f>
        <v>CPIag</v>
      </c>
      <c r="M301" s="9" t="str">
        <f>IFERROR(__xludf.DUMMYFUNCTION("""COMPUTED_VALUE"""),"CPIagi")</f>
        <v>CPIagi</v>
      </c>
      <c r="N301" s="9"/>
      <c r="O301" s="9"/>
      <c r="P301" s="9"/>
      <c r="Q301" s="9"/>
      <c r="R301" s="9"/>
      <c r="S301" s="42"/>
      <c r="T301" s="42"/>
      <c r="U301" s="42"/>
      <c r="V301" s="42"/>
      <c r="W301" s="42"/>
      <c r="X301" s="42"/>
      <c r="Y301" s="42"/>
      <c r="Z301" s="42"/>
      <c r="AA301" s="42"/>
      <c r="AB301" s="42" t="str">
        <f>IFERROR(__xludf.DUMMYFUNCTION("""COMPUTED_VALUE"""),"allen institute")</f>
        <v>allen institute</v>
      </c>
      <c r="AC301" s="42" t="str">
        <f>IFERROR(__xludf.DUMMYFUNCTION("""COMPUTED_VALUE"""),"DHBA")</f>
        <v>DHBA</v>
      </c>
      <c r="AD301" s="42"/>
      <c r="AE301" s="42"/>
      <c r="AF301" s="9"/>
      <c r="AG301" s="9"/>
      <c r="AH301" s="42"/>
      <c r="AI301" s="42"/>
      <c r="AJ301" s="42"/>
      <c r="AK301" s="42"/>
      <c r="AL301" s="42"/>
      <c r="AM301" s="42"/>
      <c r="AN301" s="42"/>
      <c r="AO301" s="63" t="str">
        <f>IFERROR(__xludf.DUMMYFUNCTION("IF(ISBLANK(A301),,IF(ISBLANK(S301), A301&amp;"";"", TEXTJOIN(CHAR(10), TRUE, A301&amp;"";"", ARRAYFORMULA(VLOOKUP(SPLIT(S301, "";"" &amp; CHAR(10)), $A:$AO, 41, FALSE)))))"),"CPIagi;")</f>
        <v>CPIagi;</v>
      </c>
      <c r="AP301" s="89"/>
    </row>
    <row r="302">
      <c r="A302" s="151" t="str">
        <f>IFERROR(__xludf.DUMMYFUNCTION("""COMPUTED_VALUE"""),"alCP")</f>
        <v>alCP</v>
      </c>
      <c r="B302" s="42" t="str">
        <f>IFERROR(__xludf.DUMMYFUNCTION("""COMPUTED_VALUE"""),"DHBA")</f>
        <v>DHBA</v>
      </c>
      <c r="C302" s="42" t="str">
        <f>IFERROR(__xludf.DUMMYFUNCTION("""COMPUTED_VALUE"""),"CP in allocortex")</f>
        <v>CP in allocortex</v>
      </c>
      <c r="D302" s="42">
        <f>IFERROR(__xludf.DUMMYFUNCTION("""COMPUTED_VALUE"""),268.0)</f>
        <v>268</v>
      </c>
      <c r="E302" s="39" t="str">
        <f>IFERROR(__xludf.DUMMYFUNCTION("""COMPUTED_VALUE"""),"CP in allocortex")</f>
        <v>CP in allocortex</v>
      </c>
      <c r="F302" s="9" t="str">
        <f>IFERROR(__xludf.DUMMYFUNCTION("""COMPUTED_VALUE"""),"Br")</f>
        <v>Br</v>
      </c>
      <c r="G302" s="9" t="str">
        <f>IFERROR(__xludf.DUMMYFUNCTION("""COMPUTED_VALUE"""),"F")</f>
        <v>F</v>
      </c>
      <c r="H302" s="9" t="str">
        <f>IFERROR(__xludf.DUMMYFUNCTION("""COMPUTED_VALUE"""),"FGM")</f>
        <v>FGM</v>
      </c>
      <c r="I302" s="9" t="str">
        <f>IFERROR(__xludf.DUMMYFUNCTION("""COMPUTED_VALUE"""),"FTS")</f>
        <v>FTS</v>
      </c>
      <c r="J302" s="9" t="str">
        <f>IFERROR(__xludf.DUMMYFUNCTION("""COMPUTED_VALUE"""),"CP")</f>
        <v>CP</v>
      </c>
      <c r="K302" s="9" t="str">
        <f>IFERROR(__xludf.DUMMYFUNCTION("""COMPUTED_VALUE"""),"alCP")</f>
        <v>alCP</v>
      </c>
      <c r="L302" s="9"/>
      <c r="M302" s="9"/>
      <c r="N302" s="9"/>
      <c r="O302" s="9"/>
      <c r="P302" s="9"/>
      <c r="Q302" s="9"/>
      <c r="R302" s="9"/>
      <c r="S302" s="42" t="str">
        <f>IFERROR(__xludf.DUMMYFUNCTION("""COMPUTED_VALUE"""),"CPhip;
CPsub;
CPpir;
CPiag")</f>
        <v>CPhip;
CPsub;
CPpir;
CPiag</v>
      </c>
      <c r="T302" s="42"/>
      <c r="U302" s="42" t="b">
        <f>IFERROR(__xludf.DUMMYFUNCTION("""COMPUTED_VALUE"""),FALSE)</f>
        <v>0</v>
      </c>
      <c r="V302" s="42"/>
      <c r="W302" s="42"/>
      <c r="X302" s="42"/>
      <c r="Y302" s="42"/>
      <c r="Z302" s="42"/>
      <c r="AA302" s="42"/>
      <c r="AB302" s="42" t="str">
        <f>IFERROR(__xludf.DUMMYFUNCTION("""COMPUTED_VALUE"""),"allen institute")</f>
        <v>allen institute</v>
      </c>
      <c r="AC302" s="42" t="str">
        <f>IFERROR(__xludf.DUMMYFUNCTION("""COMPUTED_VALUE"""),"DHBA")</f>
        <v>DHBA</v>
      </c>
      <c r="AD302" s="42"/>
      <c r="AE302" s="42"/>
      <c r="AF302" s="9"/>
      <c r="AG302" s="9"/>
      <c r="AH302" s="42"/>
      <c r="AI302" s="42"/>
      <c r="AJ302" s="42"/>
      <c r="AK302" s="42"/>
      <c r="AL302" s="42"/>
      <c r="AM302" s="42"/>
      <c r="AN302" s="42"/>
      <c r="AO302" s="63" t="str">
        <f>IFERROR(__xludf.DUMMYFUNCTION("IF(ISBLANK(A302),,IF(ISBLANK(S302), A302&amp;"";"", TEXTJOIN(CHAR(10), TRUE, A302&amp;"";"", ARRAYFORMULA(VLOOKUP(SPLIT(S302, "";"" &amp; CHAR(10)), $A:$AO, 41, FALSE)))))"),"alCP;
CPhip;
CPhipr;
CPhipc;
CPsub;
CPsubr;
CPsubc;
CPpir;
CPIag;
CPIago;
CPIagi;")</f>
        <v>alCP;
CPhip;
CPhipr;
CPhipc;
CPsub;
CPsubr;
CPsubc;
CPpir;
CPIag;
CPIago;
CPIagi;</v>
      </c>
      <c r="AP302" s="89"/>
    </row>
    <row r="303">
      <c r="A303" s="151" t="str">
        <f>IFERROR(__xludf.DUMMYFUNCTION("""COMPUTED_VALUE"""),"CPhip")</f>
        <v>CPhip</v>
      </c>
      <c r="B303" s="42" t="str">
        <f>IFERROR(__xludf.DUMMYFUNCTION("""COMPUTED_VALUE"""),"DHBA")</f>
        <v>DHBA</v>
      </c>
      <c r="C303" s="42" t="str">
        <f>IFERROR(__xludf.DUMMYFUNCTION("""COMPUTED_VALUE"""),"CP in hippocampal proper")</f>
        <v>CP in hippocampal proper</v>
      </c>
      <c r="D303" s="42">
        <f>IFERROR(__xludf.DUMMYFUNCTION("""COMPUTED_VALUE"""),269.0)</f>
        <v>269</v>
      </c>
      <c r="E303" s="39" t="str">
        <f>IFERROR(__xludf.DUMMYFUNCTION("""COMPUTED_VALUE"""),"CP in hippocampal proper")</f>
        <v>CP in hippocampal proper</v>
      </c>
      <c r="F303" s="9" t="str">
        <f>IFERROR(__xludf.DUMMYFUNCTION("""COMPUTED_VALUE"""),"Br")</f>
        <v>Br</v>
      </c>
      <c r="G303" s="9" t="str">
        <f>IFERROR(__xludf.DUMMYFUNCTION("""COMPUTED_VALUE"""),"F")</f>
        <v>F</v>
      </c>
      <c r="H303" s="9" t="str">
        <f>IFERROR(__xludf.DUMMYFUNCTION("""COMPUTED_VALUE"""),"FGM")</f>
        <v>FGM</v>
      </c>
      <c r="I303" s="9" t="str">
        <f>IFERROR(__xludf.DUMMYFUNCTION("""COMPUTED_VALUE"""),"FTS")</f>
        <v>FTS</v>
      </c>
      <c r="J303" s="9" t="str">
        <f>IFERROR(__xludf.DUMMYFUNCTION("""COMPUTED_VALUE"""),"CP")</f>
        <v>CP</v>
      </c>
      <c r="K303" s="9" t="str">
        <f>IFERROR(__xludf.DUMMYFUNCTION("""COMPUTED_VALUE"""),"alCP")</f>
        <v>alCP</v>
      </c>
      <c r="L303" s="9" t="str">
        <f>IFERROR(__xludf.DUMMYFUNCTION("""COMPUTED_VALUE"""),"CPhip")</f>
        <v>CPhip</v>
      </c>
      <c r="M303" s="9"/>
      <c r="N303" s="9"/>
      <c r="O303" s="9"/>
      <c r="P303" s="9"/>
      <c r="Q303" s="9"/>
      <c r="R303" s="9"/>
      <c r="S303" s="42" t="str">
        <f>IFERROR(__xludf.DUMMYFUNCTION("""COMPUTED_VALUE"""),"CPhipr;
CPhipc")</f>
        <v>CPhipr;
CPhipc</v>
      </c>
      <c r="T303" s="42"/>
      <c r="U303" s="42" t="b">
        <f>IFERROR(__xludf.DUMMYFUNCTION("""COMPUTED_VALUE"""),FALSE)</f>
        <v>0</v>
      </c>
      <c r="V303" s="42"/>
      <c r="W303" s="42"/>
      <c r="X303" s="42"/>
      <c r="Y303" s="42"/>
      <c r="Z303" s="42"/>
      <c r="AA303" s="42"/>
      <c r="AB303" s="42" t="str">
        <f>IFERROR(__xludf.DUMMYFUNCTION("""COMPUTED_VALUE"""),"allen institute")</f>
        <v>allen institute</v>
      </c>
      <c r="AC303" s="42" t="str">
        <f>IFERROR(__xludf.DUMMYFUNCTION("""COMPUTED_VALUE"""),"DHBA")</f>
        <v>DHBA</v>
      </c>
      <c r="AD303" s="42"/>
      <c r="AE303" s="42"/>
      <c r="AF303" s="9"/>
      <c r="AG303" s="9"/>
      <c r="AH303" s="42"/>
      <c r="AI303" s="42"/>
      <c r="AJ303" s="42"/>
      <c r="AK303" s="42"/>
      <c r="AL303" s="42"/>
      <c r="AM303" s="42"/>
      <c r="AN303" s="42"/>
      <c r="AO303" s="63" t="str">
        <f>IFERROR(__xludf.DUMMYFUNCTION("IF(ISBLANK(A303),,IF(ISBLANK(S303), A303&amp;"";"", TEXTJOIN(CHAR(10), TRUE, A303&amp;"";"", ARRAYFORMULA(VLOOKUP(SPLIT(S303, "";"" &amp; CHAR(10)), $A:$AO, 41, FALSE)))))"),"CPhip;
CPhipr;
CPhipc;")</f>
        <v>CPhip;
CPhipr;
CPhipc;</v>
      </c>
      <c r="AP303" s="89"/>
    </row>
    <row r="304">
      <c r="A304" s="151" t="str">
        <f>IFERROR(__xludf.DUMMYFUNCTION("""COMPUTED_VALUE"""),"CPhipr")</f>
        <v>CPhipr</v>
      </c>
      <c r="B304" s="42" t="str">
        <f>IFERROR(__xludf.DUMMYFUNCTION("""COMPUTED_VALUE"""),"DHBA")</f>
        <v>DHBA</v>
      </c>
      <c r="C304" s="42" t="str">
        <f>IFERROR(__xludf.DUMMYFUNCTION("""COMPUTED_VALUE"""),"CP in rostral hippocampus")</f>
        <v>CP in rostral hippocampus</v>
      </c>
      <c r="D304" s="42">
        <f>IFERROR(__xludf.DUMMYFUNCTION("""COMPUTED_VALUE"""),270.0)</f>
        <v>270</v>
      </c>
      <c r="E304" s="39" t="str">
        <f>IFERROR(__xludf.DUMMYFUNCTION("""COMPUTED_VALUE"""),"CP in rostral hippocampus")</f>
        <v>CP in rostral hippocampus</v>
      </c>
      <c r="F304" s="9" t="str">
        <f>IFERROR(__xludf.DUMMYFUNCTION("""COMPUTED_VALUE"""),"Br")</f>
        <v>Br</v>
      </c>
      <c r="G304" s="9" t="str">
        <f>IFERROR(__xludf.DUMMYFUNCTION("""COMPUTED_VALUE"""),"F")</f>
        <v>F</v>
      </c>
      <c r="H304" s="9" t="str">
        <f>IFERROR(__xludf.DUMMYFUNCTION("""COMPUTED_VALUE"""),"FGM")</f>
        <v>FGM</v>
      </c>
      <c r="I304" s="9" t="str">
        <f>IFERROR(__xludf.DUMMYFUNCTION("""COMPUTED_VALUE"""),"FTS")</f>
        <v>FTS</v>
      </c>
      <c r="J304" s="9" t="str">
        <f>IFERROR(__xludf.DUMMYFUNCTION("""COMPUTED_VALUE"""),"CP")</f>
        <v>CP</v>
      </c>
      <c r="K304" s="9" t="str">
        <f>IFERROR(__xludf.DUMMYFUNCTION("""COMPUTED_VALUE"""),"alCP")</f>
        <v>alCP</v>
      </c>
      <c r="L304" s="9" t="str">
        <f>IFERROR(__xludf.DUMMYFUNCTION("""COMPUTED_VALUE"""),"CPhip")</f>
        <v>CPhip</v>
      </c>
      <c r="M304" s="9" t="str">
        <f>IFERROR(__xludf.DUMMYFUNCTION("""COMPUTED_VALUE"""),"CPhipr")</f>
        <v>CPhipr</v>
      </c>
      <c r="N304" s="9"/>
      <c r="O304" s="9"/>
      <c r="P304" s="9"/>
      <c r="Q304" s="9"/>
      <c r="R304" s="9"/>
      <c r="S304" s="42"/>
      <c r="T304" s="42"/>
      <c r="U304" s="42"/>
      <c r="V304" s="42"/>
      <c r="W304" s="42"/>
      <c r="X304" s="42"/>
      <c r="Y304" s="42"/>
      <c r="Z304" s="42"/>
      <c r="AA304" s="42"/>
      <c r="AB304" s="42" t="str">
        <f>IFERROR(__xludf.DUMMYFUNCTION("""COMPUTED_VALUE"""),"allen institute")</f>
        <v>allen institute</v>
      </c>
      <c r="AC304" s="42" t="str">
        <f>IFERROR(__xludf.DUMMYFUNCTION("""COMPUTED_VALUE"""),"DHBA")</f>
        <v>DHBA</v>
      </c>
      <c r="AD304" s="42"/>
      <c r="AE304" s="42"/>
      <c r="AF304" s="9"/>
      <c r="AG304" s="9"/>
      <c r="AH304" s="42"/>
      <c r="AI304" s="42"/>
      <c r="AJ304" s="42"/>
      <c r="AK304" s="42"/>
      <c r="AL304" s="42"/>
      <c r="AM304" s="42"/>
      <c r="AN304" s="42"/>
      <c r="AO304" s="63" t="str">
        <f>IFERROR(__xludf.DUMMYFUNCTION("IF(ISBLANK(A304),,IF(ISBLANK(S304), A304&amp;"";"", TEXTJOIN(CHAR(10), TRUE, A304&amp;"";"", ARRAYFORMULA(VLOOKUP(SPLIT(S304, "";"" &amp; CHAR(10)), $A:$AO, 41, FALSE)))))"),"CPhipr;")</f>
        <v>CPhipr;</v>
      </c>
      <c r="AP304" s="89"/>
    </row>
    <row r="305">
      <c r="A305" s="151" t="str">
        <f>IFERROR(__xludf.DUMMYFUNCTION("""COMPUTED_VALUE"""),"CPhipc")</f>
        <v>CPhipc</v>
      </c>
      <c r="B305" s="42" t="str">
        <f>IFERROR(__xludf.DUMMYFUNCTION("""COMPUTED_VALUE"""),"DHBA")</f>
        <v>DHBA</v>
      </c>
      <c r="C305" s="42" t="str">
        <f>IFERROR(__xludf.DUMMYFUNCTION("""COMPUTED_VALUE"""),"CP in caudal hippocampus")</f>
        <v>CP in caudal hippocampus</v>
      </c>
      <c r="D305" s="42">
        <f>IFERROR(__xludf.DUMMYFUNCTION("""COMPUTED_VALUE"""),271.0)</f>
        <v>271</v>
      </c>
      <c r="E305" s="39" t="str">
        <f>IFERROR(__xludf.DUMMYFUNCTION("""COMPUTED_VALUE"""),"CP in caudal hippocampus")</f>
        <v>CP in caudal hippocampus</v>
      </c>
      <c r="F305" s="9" t="str">
        <f>IFERROR(__xludf.DUMMYFUNCTION("""COMPUTED_VALUE"""),"Br")</f>
        <v>Br</v>
      </c>
      <c r="G305" s="9" t="str">
        <f>IFERROR(__xludf.DUMMYFUNCTION("""COMPUTED_VALUE"""),"F")</f>
        <v>F</v>
      </c>
      <c r="H305" s="9" t="str">
        <f>IFERROR(__xludf.DUMMYFUNCTION("""COMPUTED_VALUE"""),"FGM")</f>
        <v>FGM</v>
      </c>
      <c r="I305" s="9" t="str">
        <f>IFERROR(__xludf.DUMMYFUNCTION("""COMPUTED_VALUE"""),"FTS")</f>
        <v>FTS</v>
      </c>
      <c r="J305" s="9" t="str">
        <f>IFERROR(__xludf.DUMMYFUNCTION("""COMPUTED_VALUE"""),"CP")</f>
        <v>CP</v>
      </c>
      <c r="K305" s="9" t="str">
        <f>IFERROR(__xludf.DUMMYFUNCTION("""COMPUTED_VALUE"""),"alCP")</f>
        <v>alCP</v>
      </c>
      <c r="L305" s="9" t="str">
        <f>IFERROR(__xludf.DUMMYFUNCTION("""COMPUTED_VALUE"""),"CPhip")</f>
        <v>CPhip</v>
      </c>
      <c r="M305" s="9" t="str">
        <f>IFERROR(__xludf.DUMMYFUNCTION("""COMPUTED_VALUE"""),"CPhipc")</f>
        <v>CPhipc</v>
      </c>
      <c r="N305" s="9"/>
      <c r="O305" s="9"/>
      <c r="P305" s="9"/>
      <c r="Q305" s="9"/>
      <c r="R305" s="9"/>
      <c r="S305" s="42"/>
      <c r="T305" s="42"/>
      <c r="U305" s="42"/>
      <c r="V305" s="42"/>
      <c r="W305" s="42"/>
      <c r="X305" s="42"/>
      <c r="Y305" s="42"/>
      <c r="Z305" s="42"/>
      <c r="AA305" s="42"/>
      <c r="AB305" s="42" t="str">
        <f>IFERROR(__xludf.DUMMYFUNCTION("""COMPUTED_VALUE"""),"allen institute")</f>
        <v>allen institute</v>
      </c>
      <c r="AC305" s="42" t="str">
        <f>IFERROR(__xludf.DUMMYFUNCTION("""COMPUTED_VALUE"""),"DHBA")</f>
        <v>DHBA</v>
      </c>
      <c r="AD305" s="42"/>
      <c r="AE305" s="42"/>
      <c r="AF305" s="9"/>
      <c r="AG305" s="9"/>
      <c r="AH305" s="42"/>
      <c r="AI305" s="42"/>
      <c r="AJ305" s="42"/>
      <c r="AK305" s="42"/>
      <c r="AL305" s="42"/>
      <c r="AM305" s="42"/>
      <c r="AN305" s="42"/>
      <c r="AO305" s="63" t="str">
        <f>IFERROR(__xludf.DUMMYFUNCTION("IF(ISBLANK(A305),,IF(ISBLANK(S305), A305&amp;"";"", TEXTJOIN(CHAR(10), TRUE, A305&amp;"";"", ARRAYFORMULA(VLOOKUP(SPLIT(S305, "";"" &amp; CHAR(10)), $A:$AO, 41, FALSE)))))"),"CPhipc;")</f>
        <v>CPhipc;</v>
      </c>
      <c r="AP305" s="89"/>
    </row>
    <row r="306">
      <c r="A306" s="151" t="str">
        <f>IFERROR(__xludf.DUMMYFUNCTION("""COMPUTED_VALUE"""),"CPsub")</f>
        <v>CPsub</v>
      </c>
      <c r="B306" s="42" t="str">
        <f>IFERROR(__xludf.DUMMYFUNCTION("""COMPUTED_VALUE"""),"DHBA")</f>
        <v>DHBA</v>
      </c>
      <c r="C306" s="42" t="str">
        <f>IFERROR(__xludf.DUMMYFUNCTION("""COMPUTED_VALUE"""),"CP in subicular cortex")</f>
        <v>CP in subicular cortex</v>
      </c>
      <c r="D306" s="42">
        <f>IFERROR(__xludf.DUMMYFUNCTION("""COMPUTED_VALUE"""),272.0)</f>
        <v>272</v>
      </c>
      <c r="E306" s="39" t="str">
        <f>IFERROR(__xludf.DUMMYFUNCTION("""COMPUTED_VALUE"""),"CP in subicular cortex")</f>
        <v>CP in subicular cortex</v>
      </c>
      <c r="F306" s="9" t="str">
        <f>IFERROR(__xludf.DUMMYFUNCTION("""COMPUTED_VALUE"""),"Br")</f>
        <v>Br</v>
      </c>
      <c r="G306" s="9" t="str">
        <f>IFERROR(__xludf.DUMMYFUNCTION("""COMPUTED_VALUE"""),"F")</f>
        <v>F</v>
      </c>
      <c r="H306" s="9" t="str">
        <f>IFERROR(__xludf.DUMMYFUNCTION("""COMPUTED_VALUE"""),"FGM")</f>
        <v>FGM</v>
      </c>
      <c r="I306" s="9" t="str">
        <f>IFERROR(__xludf.DUMMYFUNCTION("""COMPUTED_VALUE"""),"FTS")</f>
        <v>FTS</v>
      </c>
      <c r="J306" s="9" t="str">
        <f>IFERROR(__xludf.DUMMYFUNCTION("""COMPUTED_VALUE"""),"CP")</f>
        <v>CP</v>
      </c>
      <c r="K306" s="9" t="str">
        <f>IFERROR(__xludf.DUMMYFUNCTION("""COMPUTED_VALUE"""),"alCP")</f>
        <v>alCP</v>
      </c>
      <c r="L306" s="9" t="str">
        <f>IFERROR(__xludf.DUMMYFUNCTION("""COMPUTED_VALUE"""),"CPsub")</f>
        <v>CPsub</v>
      </c>
      <c r="M306" s="9"/>
      <c r="N306" s="9"/>
      <c r="O306" s="9"/>
      <c r="P306" s="9"/>
      <c r="Q306" s="9"/>
      <c r="R306" s="9"/>
      <c r="S306" s="42" t="str">
        <f>IFERROR(__xludf.DUMMYFUNCTION("""COMPUTED_VALUE"""),"CPsubr;
CPsubc")</f>
        <v>CPsubr;
CPsubc</v>
      </c>
      <c r="T306" s="42"/>
      <c r="U306" s="42" t="b">
        <f>IFERROR(__xludf.DUMMYFUNCTION("""COMPUTED_VALUE"""),FALSE)</f>
        <v>0</v>
      </c>
      <c r="V306" s="42"/>
      <c r="W306" s="42"/>
      <c r="X306" s="42"/>
      <c r="Y306" s="42"/>
      <c r="Z306" s="42"/>
      <c r="AA306" s="42"/>
      <c r="AB306" s="42" t="str">
        <f>IFERROR(__xludf.DUMMYFUNCTION("""COMPUTED_VALUE"""),"allen institute")</f>
        <v>allen institute</v>
      </c>
      <c r="AC306" s="42" t="str">
        <f>IFERROR(__xludf.DUMMYFUNCTION("""COMPUTED_VALUE"""),"DHBA")</f>
        <v>DHBA</v>
      </c>
      <c r="AD306" s="42"/>
      <c r="AE306" s="42"/>
      <c r="AF306" s="9"/>
      <c r="AG306" s="9"/>
      <c r="AH306" s="42"/>
      <c r="AI306" s="42"/>
      <c r="AJ306" s="42"/>
      <c r="AK306" s="42"/>
      <c r="AL306" s="42"/>
      <c r="AM306" s="42"/>
      <c r="AN306" s="42"/>
      <c r="AO306" s="63" t="str">
        <f>IFERROR(__xludf.DUMMYFUNCTION("IF(ISBLANK(A306),,IF(ISBLANK(S306), A306&amp;"";"", TEXTJOIN(CHAR(10), TRUE, A306&amp;"";"", ARRAYFORMULA(VLOOKUP(SPLIT(S306, "";"" &amp; CHAR(10)), $A:$AO, 41, FALSE)))))"),"CPsub;
CPsubr;
CPsubc;")</f>
        <v>CPsub;
CPsubr;
CPsubc;</v>
      </c>
      <c r="AP306" s="89"/>
    </row>
    <row r="307">
      <c r="A307" s="151" t="str">
        <f>IFERROR(__xludf.DUMMYFUNCTION("""COMPUTED_VALUE"""),"CPsubr")</f>
        <v>CPsubr</v>
      </c>
      <c r="B307" s="42" t="str">
        <f>IFERROR(__xludf.DUMMYFUNCTION("""COMPUTED_VALUE"""),"DHBA")</f>
        <v>DHBA</v>
      </c>
      <c r="C307" s="42" t="str">
        <f>IFERROR(__xludf.DUMMYFUNCTION("""COMPUTED_VALUE"""),"CP in rostral subicular cortex")</f>
        <v>CP in rostral subicular cortex</v>
      </c>
      <c r="D307" s="42">
        <f>IFERROR(__xludf.DUMMYFUNCTION("""COMPUTED_VALUE"""),273.0)</f>
        <v>273</v>
      </c>
      <c r="E307" s="39" t="str">
        <f>IFERROR(__xludf.DUMMYFUNCTION("""COMPUTED_VALUE"""),"CP in rostral subicular cortex")</f>
        <v>CP in rostral subicular cortex</v>
      </c>
      <c r="F307" s="9" t="str">
        <f>IFERROR(__xludf.DUMMYFUNCTION("""COMPUTED_VALUE"""),"Br")</f>
        <v>Br</v>
      </c>
      <c r="G307" s="9" t="str">
        <f>IFERROR(__xludf.DUMMYFUNCTION("""COMPUTED_VALUE"""),"F")</f>
        <v>F</v>
      </c>
      <c r="H307" s="9" t="str">
        <f>IFERROR(__xludf.DUMMYFUNCTION("""COMPUTED_VALUE"""),"FGM")</f>
        <v>FGM</v>
      </c>
      <c r="I307" s="9" t="str">
        <f>IFERROR(__xludf.DUMMYFUNCTION("""COMPUTED_VALUE"""),"FTS")</f>
        <v>FTS</v>
      </c>
      <c r="J307" s="9" t="str">
        <f>IFERROR(__xludf.DUMMYFUNCTION("""COMPUTED_VALUE"""),"CP")</f>
        <v>CP</v>
      </c>
      <c r="K307" s="9" t="str">
        <f>IFERROR(__xludf.DUMMYFUNCTION("""COMPUTED_VALUE"""),"alCP")</f>
        <v>alCP</v>
      </c>
      <c r="L307" s="9" t="str">
        <f>IFERROR(__xludf.DUMMYFUNCTION("""COMPUTED_VALUE"""),"CPsub")</f>
        <v>CPsub</v>
      </c>
      <c r="M307" s="9" t="str">
        <f>IFERROR(__xludf.DUMMYFUNCTION("""COMPUTED_VALUE"""),"CPsubr")</f>
        <v>CPsubr</v>
      </c>
      <c r="N307" s="9"/>
      <c r="O307" s="9"/>
      <c r="P307" s="9"/>
      <c r="Q307" s="9"/>
      <c r="R307" s="9"/>
      <c r="S307" s="42"/>
      <c r="T307" s="42"/>
      <c r="U307" s="42"/>
      <c r="V307" s="42"/>
      <c r="W307" s="42"/>
      <c r="X307" s="42"/>
      <c r="Y307" s="42"/>
      <c r="Z307" s="42"/>
      <c r="AA307" s="42"/>
      <c r="AB307" s="42" t="str">
        <f>IFERROR(__xludf.DUMMYFUNCTION("""COMPUTED_VALUE"""),"allen institute")</f>
        <v>allen institute</v>
      </c>
      <c r="AC307" s="42" t="str">
        <f>IFERROR(__xludf.DUMMYFUNCTION("""COMPUTED_VALUE"""),"DHBA")</f>
        <v>DHBA</v>
      </c>
      <c r="AD307" s="42"/>
      <c r="AE307" s="42"/>
      <c r="AF307" s="9"/>
      <c r="AG307" s="9"/>
      <c r="AH307" s="42"/>
      <c r="AI307" s="42"/>
      <c r="AJ307" s="42"/>
      <c r="AK307" s="42"/>
      <c r="AL307" s="42"/>
      <c r="AM307" s="42"/>
      <c r="AN307" s="42"/>
      <c r="AO307" s="63" t="str">
        <f>IFERROR(__xludf.DUMMYFUNCTION("IF(ISBLANK(A307),,IF(ISBLANK(S307), A307&amp;"";"", TEXTJOIN(CHAR(10), TRUE, A307&amp;"";"", ARRAYFORMULA(VLOOKUP(SPLIT(S307, "";"" &amp; CHAR(10)), $A:$AO, 41, FALSE)))))"),"CPsubr;")</f>
        <v>CPsubr;</v>
      </c>
      <c r="AP307" s="89"/>
    </row>
    <row r="308">
      <c r="A308" s="151" t="str">
        <f>IFERROR(__xludf.DUMMYFUNCTION("""COMPUTED_VALUE"""),"CPsubc")</f>
        <v>CPsubc</v>
      </c>
      <c r="B308" s="42" t="str">
        <f>IFERROR(__xludf.DUMMYFUNCTION("""COMPUTED_VALUE"""),"DHBA")</f>
        <v>DHBA</v>
      </c>
      <c r="C308" s="42" t="str">
        <f>IFERROR(__xludf.DUMMYFUNCTION("""COMPUTED_VALUE"""),"CP in caudal subicular cortex")</f>
        <v>CP in caudal subicular cortex</v>
      </c>
      <c r="D308" s="42">
        <f>IFERROR(__xludf.DUMMYFUNCTION("""COMPUTED_VALUE"""),274.0)</f>
        <v>274</v>
      </c>
      <c r="E308" s="39" t="str">
        <f>IFERROR(__xludf.DUMMYFUNCTION("""COMPUTED_VALUE"""),"CP in caudal subicular cortex")</f>
        <v>CP in caudal subicular cortex</v>
      </c>
      <c r="F308" s="9" t="str">
        <f>IFERROR(__xludf.DUMMYFUNCTION("""COMPUTED_VALUE"""),"Br")</f>
        <v>Br</v>
      </c>
      <c r="G308" s="9" t="str">
        <f>IFERROR(__xludf.DUMMYFUNCTION("""COMPUTED_VALUE"""),"F")</f>
        <v>F</v>
      </c>
      <c r="H308" s="9" t="str">
        <f>IFERROR(__xludf.DUMMYFUNCTION("""COMPUTED_VALUE"""),"FGM")</f>
        <v>FGM</v>
      </c>
      <c r="I308" s="9" t="str">
        <f>IFERROR(__xludf.DUMMYFUNCTION("""COMPUTED_VALUE"""),"FTS")</f>
        <v>FTS</v>
      </c>
      <c r="J308" s="9" t="str">
        <f>IFERROR(__xludf.DUMMYFUNCTION("""COMPUTED_VALUE"""),"CP")</f>
        <v>CP</v>
      </c>
      <c r="K308" s="9" t="str">
        <f>IFERROR(__xludf.DUMMYFUNCTION("""COMPUTED_VALUE"""),"alCP")</f>
        <v>alCP</v>
      </c>
      <c r="L308" s="9" t="str">
        <f>IFERROR(__xludf.DUMMYFUNCTION("""COMPUTED_VALUE"""),"CPsub")</f>
        <v>CPsub</v>
      </c>
      <c r="M308" s="9" t="str">
        <f>IFERROR(__xludf.DUMMYFUNCTION("""COMPUTED_VALUE"""),"CPsubc")</f>
        <v>CPsubc</v>
      </c>
      <c r="N308" s="9"/>
      <c r="O308" s="9"/>
      <c r="P308" s="9"/>
      <c r="Q308" s="9"/>
      <c r="R308" s="9"/>
      <c r="S308" s="42"/>
      <c r="T308" s="42"/>
      <c r="U308" s="42"/>
      <c r="V308" s="42"/>
      <c r="W308" s="42"/>
      <c r="X308" s="42"/>
      <c r="Y308" s="42"/>
      <c r="Z308" s="42"/>
      <c r="AA308" s="42"/>
      <c r="AB308" s="42" t="str">
        <f>IFERROR(__xludf.DUMMYFUNCTION("""COMPUTED_VALUE"""),"allen institute")</f>
        <v>allen institute</v>
      </c>
      <c r="AC308" s="42" t="str">
        <f>IFERROR(__xludf.DUMMYFUNCTION("""COMPUTED_VALUE"""),"DHBA")</f>
        <v>DHBA</v>
      </c>
      <c r="AD308" s="42"/>
      <c r="AE308" s="42"/>
      <c r="AF308" s="9"/>
      <c r="AG308" s="9"/>
      <c r="AH308" s="42"/>
      <c r="AI308" s="42"/>
      <c r="AJ308" s="42"/>
      <c r="AK308" s="42"/>
      <c r="AL308" s="42"/>
      <c r="AM308" s="42"/>
      <c r="AN308" s="42"/>
      <c r="AO308" s="63" t="str">
        <f>IFERROR(__xludf.DUMMYFUNCTION("IF(ISBLANK(A308),,IF(ISBLANK(S308), A308&amp;"";"", TEXTJOIN(CHAR(10), TRUE, A308&amp;"";"", ARRAYFORMULA(VLOOKUP(SPLIT(S308, "";"" &amp; CHAR(10)), $A:$AO, 41, FALSE)))))"),"CPsubc;")</f>
        <v>CPsubc;</v>
      </c>
      <c r="AP308" s="89"/>
    </row>
    <row r="309">
      <c r="A309" s="151" t="str">
        <f>IFERROR(__xludf.DUMMYFUNCTION("""COMPUTED_VALUE"""),"CPpir")</f>
        <v>CPpir</v>
      </c>
      <c r="B309" s="42" t="str">
        <f>IFERROR(__xludf.DUMMYFUNCTION("""COMPUTED_VALUE"""),"DHBA")</f>
        <v>DHBA</v>
      </c>
      <c r="C309" s="42" t="str">
        <f>IFERROR(__xludf.DUMMYFUNCTION("""COMPUTED_VALUE"""),"CP in piriform cortex")</f>
        <v>CP in piriform cortex</v>
      </c>
      <c r="D309" s="42">
        <f>IFERROR(__xludf.DUMMYFUNCTION("""COMPUTED_VALUE"""),275.0)</f>
        <v>275</v>
      </c>
      <c r="E309" s="39" t="str">
        <f>IFERROR(__xludf.DUMMYFUNCTION("""COMPUTED_VALUE"""),"CP in piriform cortex")</f>
        <v>CP in piriform cortex</v>
      </c>
      <c r="F309" s="9" t="str">
        <f>IFERROR(__xludf.DUMMYFUNCTION("""COMPUTED_VALUE"""),"Br")</f>
        <v>Br</v>
      </c>
      <c r="G309" s="9" t="str">
        <f>IFERROR(__xludf.DUMMYFUNCTION("""COMPUTED_VALUE"""),"F")</f>
        <v>F</v>
      </c>
      <c r="H309" s="9" t="str">
        <f>IFERROR(__xludf.DUMMYFUNCTION("""COMPUTED_VALUE"""),"FGM")</f>
        <v>FGM</v>
      </c>
      <c r="I309" s="9" t="str">
        <f>IFERROR(__xludf.DUMMYFUNCTION("""COMPUTED_VALUE"""),"FTS")</f>
        <v>FTS</v>
      </c>
      <c r="J309" s="9" t="str">
        <f>IFERROR(__xludf.DUMMYFUNCTION("""COMPUTED_VALUE"""),"CP")</f>
        <v>CP</v>
      </c>
      <c r="K309" s="9" t="str">
        <f>IFERROR(__xludf.DUMMYFUNCTION("""COMPUTED_VALUE"""),"alCP")</f>
        <v>alCP</v>
      </c>
      <c r="L309" s="9" t="str">
        <f>IFERROR(__xludf.DUMMYFUNCTION("""COMPUTED_VALUE"""),"CPpir")</f>
        <v>CPpir</v>
      </c>
      <c r="M309" s="9"/>
      <c r="N309" s="9"/>
      <c r="O309" s="9"/>
      <c r="P309" s="9"/>
      <c r="Q309" s="9"/>
      <c r="R309" s="9"/>
      <c r="S309" s="42"/>
      <c r="T309" s="42"/>
      <c r="U309" s="42"/>
      <c r="V309" s="42"/>
      <c r="W309" s="42"/>
      <c r="X309" s="42"/>
      <c r="Y309" s="42"/>
      <c r="Z309" s="42"/>
      <c r="AA309" s="42"/>
      <c r="AB309" s="42" t="str">
        <f>IFERROR(__xludf.DUMMYFUNCTION("""COMPUTED_VALUE"""),"allen institute")</f>
        <v>allen institute</v>
      </c>
      <c r="AC309" s="42" t="str">
        <f>IFERROR(__xludf.DUMMYFUNCTION("""COMPUTED_VALUE"""),"DHBA")</f>
        <v>DHBA</v>
      </c>
      <c r="AD309" s="42"/>
      <c r="AE309" s="42"/>
      <c r="AF309" s="9"/>
      <c r="AG309" s="9"/>
      <c r="AH309" s="42"/>
      <c r="AI309" s="42"/>
      <c r="AJ309" s="42"/>
      <c r="AK309" s="42"/>
      <c r="AL309" s="42"/>
      <c r="AM309" s="42"/>
      <c r="AN309" s="42"/>
      <c r="AO309" s="63" t="str">
        <f>IFERROR(__xludf.DUMMYFUNCTION("IF(ISBLANK(A309),,IF(ISBLANK(S309), A309&amp;"";"", TEXTJOIN(CHAR(10), TRUE, A309&amp;"";"", ARRAYFORMULA(VLOOKUP(SPLIT(S309, "";"" &amp; CHAR(10)), $A:$AO, 41, FALSE)))))"),"CPpir;")</f>
        <v>CPpir;</v>
      </c>
      <c r="AP309" s="89"/>
    </row>
    <row r="310">
      <c r="A310" s="151" t="str">
        <f>IFERROR(__xludf.DUMMYFUNCTION("""COMPUTED_VALUE"""),"CPiag")</f>
        <v>CPiag</v>
      </c>
      <c r="B310" s="42" t="str">
        <f>IFERROR(__xludf.DUMMYFUNCTION("""COMPUTED_VALUE"""),"DHBA")</f>
        <v>DHBA</v>
      </c>
      <c r="C310" s="42" t="str">
        <f>IFERROR(__xludf.DUMMYFUNCTION("""COMPUTED_VALUE"""),"CP in agranular insular cortex")</f>
        <v>CP in agranular insular cortex</v>
      </c>
      <c r="D310" s="42">
        <f>IFERROR(__xludf.DUMMYFUNCTION("""COMPUTED_VALUE"""),276.0)</f>
        <v>276</v>
      </c>
      <c r="E310" s="39" t="str">
        <f>IFERROR(__xludf.DUMMYFUNCTION("""COMPUTED_VALUE"""),"CP in agranular insular cortex")</f>
        <v>CP in agranular insular cortex</v>
      </c>
      <c r="F310" s="9" t="str">
        <f>IFERROR(__xludf.DUMMYFUNCTION("""COMPUTED_VALUE"""),"Br")</f>
        <v>Br</v>
      </c>
      <c r="G310" s="9" t="str">
        <f>IFERROR(__xludf.DUMMYFUNCTION("""COMPUTED_VALUE"""),"F")</f>
        <v>F</v>
      </c>
      <c r="H310" s="9" t="str">
        <f>IFERROR(__xludf.DUMMYFUNCTION("""COMPUTED_VALUE"""),"FGM")</f>
        <v>FGM</v>
      </c>
      <c r="I310" s="9" t="str">
        <f>IFERROR(__xludf.DUMMYFUNCTION("""COMPUTED_VALUE"""),"FTS")</f>
        <v>FTS</v>
      </c>
      <c r="J310" s="9" t="str">
        <f>IFERROR(__xludf.DUMMYFUNCTION("""COMPUTED_VALUE"""),"CP")</f>
        <v>CP</v>
      </c>
      <c r="K310" s="9" t="str">
        <f>IFERROR(__xludf.DUMMYFUNCTION("""COMPUTED_VALUE"""),"alCP")</f>
        <v>alCP</v>
      </c>
      <c r="L310" s="9" t="str">
        <f>IFERROR(__xludf.DUMMYFUNCTION("""COMPUTED_VALUE"""),"CPiag")</f>
        <v>CPiag</v>
      </c>
      <c r="M310" s="9"/>
      <c r="N310" s="9"/>
      <c r="O310" s="9"/>
      <c r="P310" s="9"/>
      <c r="Q310" s="9"/>
      <c r="R310" s="9"/>
      <c r="S310" s="42"/>
      <c r="T310" s="42"/>
      <c r="U310" s="42"/>
      <c r="V310" s="42"/>
      <c r="W310" s="42"/>
      <c r="X310" s="42"/>
      <c r="Y310" s="42"/>
      <c r="Z310" s="42"/>
      <c r="AA310" s="42"/>
      <c r="AB310" s="42" t="str">
        <f>IFERROR(__xludf.DUMMYFUNCTION("""COMPUTED_VALUE"""),"allen institute")</f>
        <v>allen institute</v>
      </c>
      <c r="AC310" s="42" t="str">
        <f>IFERROR(__xludf.DUMMYFUNCTION("""COMPUTED_VALUE"""),"DHBA")</f>
        <v>DHBA</v>
      </c>
      <c r="AD310" s="42"/>
      <c r="AE310" s="42"/>
      <c r="AF310" s="9"/>
      <c r="AG310" s="9"/>
      <c r="AH310" s="42"/>
      <c r="AI310" s="42"/>
      <c r="AJ310" s="42"/>
      <c r="AK310" s="42"/>
      <c r="AL310" s="42"/>
      <c r="AM310" s="42"/>
      <c r="AN310" s="42"/>
      <c r="AO310" s="63" t="str">
        <f>IFERROR(__xludf.DUMMYFUNCTION("IF(ISBLANK(A310),,IF(ISBLANK(S310), A310&amp;"";"", TEXTJOIN(CHAR(10), TRUE, A310&amp;"";"", ARRAYFORMULA(VLOOKUP(SPLIT(S310, "";"" &amp; CHAR(10)), $A:$AO, 41, FALSE)))))"),"CPiag;")</f>
        <v>CPiag;</v>
      </c>
      <c r="AP310" s="89"/>
    </row>
    <row r="311">
      <c r="A311" s="151" t="str">
        <f>IFERROR(__xludf.DUMMYFUNCTION("""COMPUTED_VALUE"""),"SP")</f>
        <v>SP</v>
      </c>
      <c r="B311" s="42" t="str">
        <f>IFERROR(__xludf.DUMMYFUNCTION("""COMPUTED_VALUE"""),"DHBA")</f>
        <v>DHBA</v>
      </c>
      <c r="C311" s="42" t="str">
        <f>IFERROR(__xludf.DUMMYFUNCTION("""COMPUTED_VALUE"""),"subplate zone")</f>
        <v>subplate zone</v>
      </c>
      <c r="D311" s="42">
        <f>IFERROR(__xludf.DUMMYFUNCTION("""COMPUTED_VALUE"""),277.0)</f>
        <v>277</v>
      </c>
      <c r="E311" s="39" t="str">
        <f>IFERROR(__xludf.DUMMYFUNCTION("""COMPUTED_VALUE"""),"subplate zone")</f>
        <v>subplate zone</v>
      </c>
      <c r="F311" s="9" t="str">
        <f>IFERROR(__xludf.DUMMYFUNCTION("""COMPUTED_VALUE"""),"Br")</f>
        <v>Br</v>
      </c>
      <c r="G311" s="9" t="str">
        <f>IFERROR(__xludf.DUMMYFUNCTION("""COMPUTED_VALUE"""),"F")</f>
        <v>F</v>
      </c>
      <c r="H311" s="9" t="str">
        <f>IFERROR(__xludf.DUMMYFUNCTION("""COMPUTED_VALUE"""),"FGM")</f>
        <v>FGM</v>
      </c>
      <c r="I311" s="9" t="str">
        <f>IFERROR(__xludf.DUMMYFUNCTION("""COMPUTED_VALUE"""),"FTS")</f>
        <v>FTS</v>
      </c>
      <c r="J311" s="9" t="str">
        <f>IFERROR(__xludf.DUMMYFUNCTION("""COMPUTED_VALUE"""),"SP")</f>
        <v>SP</v>
      </c>
      <c r="K311" s="9"/>
      <c r="L311" s="9"/>
      <c r="M311" s="9"/>
      <c r="N311" s="9"/>
      <c r="O311" s="9"/>
      <c r="P311" s="9"/>
      <c r="Q311" s="9"/>
      <c r="R311" s="9"/>
      <c r="S311" s="42" t="str">
        <f>IFERROR(__xludf.DUMMYFUNCTION("""COMPUTED_VALUE"""),"fSP;
pSP;
tSP;
oSP;
iSP;
cSP;
peSP;
alSP")</f>
        <v>fSP;
pSP;
tSP;
oSP;
iSP;
cSP;
peSP;
alSP</v>
      </c>
      <c r="T311" s="42"/>
      <c r="U311" s="42" t="b">
        <f>IFERROR(__xludf.DUMMYFUNCTION("""COMPUTED_VALUE"""),FALSE)</f>
        <v>0</v>
      </c>
      <c r="V311" s="42"/>
      <c r="W311" s="42"/>
      <c r="X311" s="42"/>
      <c r="Y311" s="42"/>
      <c r="Z311" s="42"/>
      <c r="AA311" s="42"/>
      <c r="AB311" s="42" t="str">
        <f>IFERROR(__xludf.DUMMYFUNCTION("""COMPUTED_VALUE"""),"allen institute")</f>
        <v>allen institute</v>
      </c>
      <c r="AC311" s="42" t="str">
        <f>IFERROR(__xludf.DUMMYFUNCTION("""COMPUTED_VALUE"""),"DHBA")</f>
        <v>DHBA</v>
      </c>
      <c r="AD311" s="42"/>
      <c r="AE311" s="42"/>
      <c r="AF311" s="9"/>
      <c r="AG311" s="9"/>
      <c r="AH311" s="42"/>
      <c r="AI311" s="42"/>
      <c r="AJ311" s="42"/>
      <c r="AK311" s="42"/>
      <c r="AL311" s="42"/>
      <c r="AM311" s="42"/>
      <c r="AN311" s="42"/>
      <c r="AO311" s="63" t="str">
        <f>IFERROR(__xludf.DUMMYFUNCTION("IF(ISBLANK(A311),,IF(ISBLANK(S311), A311&amp;"";"", TEXTJOIN(CHAR(10), TRUE, A311&amp;"";"", ARRAYFORMULA(VLOOKUP(SPLIT(S311, "";"" &amp; CHAR(10)), $A:$AO, 41, FALSE)))))"),"SP;
fSP;
fSPfp;
fSPdm;
fSPdl;
fSPvl;
fSPor;
fSPm1;
pSP;
pSPs1;
pSPdm;
pSPpd;
pSPpv;
tSP;
tSPdl;
tSPa1;
tSPsl;
tSPps;
tSPpi;
tSPvl;
tSPml;
tSPil;
tSPmi;
tSP36;
tSPtf;
tSPph;
tSPmt;
tSPlt;
tSPtp;
oSP;
oSPpro;
oSPv1;
oSPexs;
oSPdm;
oSPvm;
oSPml;
iSP;
iSPdg;
"&amp;"iSPgr;
cSP;
cSPr;
cSPmi;
cSPc;
cSPsg;
peSP;
SPpc;
SPpcr;
SPpcc;
SPpas;
SPec;
SPlec;
SPmec;
SPprs;
SPprsr;
SPprsc;
SPrs;
SPIag;
alSP;
SPhip;
SPhipr;
SPhipc;
SPsub;
SPsubr;
SPsubc;
SPpir;")</f>
        <v>SP;
fSP;
fSPfp;
fSPdm;
fSPdl;
fSPvl;
fSPor;
fSPm1;
pSP;
pSPs1;
pSPdm;
pSPpd;
pSPpv;
tSP;
tSPdl;
tSPa1;
tSPsl;
tSPps;
tSPpi;
tSPvl;
tSPml;
tSPil;
tSPmi;
tSP36;
tSPtf;
tSPph;
tSPmt;
tSPlt;
tSPtp;
oSP;
oSPpro;
oSPv1;
oSPexs;
oSPdm;
oSPvm;
oSPml;
iSP;
iSPdg;
iSPgr;
cSP;
cSPr;
cSPmi;
cSPc;
cSPsg;
peSP;
SPpc;
SPpcr;
SPpcc;
SPpas;
SPec;
SPlec;
SPmec;
SPprs;
SPprsr;
SPprsc;
SPrs;
SPIag;
alSP;
SPhip;
SPhipr;
SPhipc;
SPsub;
SPsubr;
SPsubc;
SPpir;</v>
      </c>
      <c r="AP311" s="89"/>
    </row>
    <row r="312">
      <c r="A312" s="151" t="str">
        <f>IFERROR(__xludf.DUMMYFUNCTION("""COMPUTED_VALUE"""),"fSP")</f>
        <v>fSP</v>
      </c>
      <c r="B312" s="42" t="str">
        <f>IFERROR(__xludf.DUMMYFUNCTION("""COMPUTED_VALUE"""),"DHBA")</f>
        <v>DHBA</v>
      </c>
      <c r="C312" s="42" t="str">
        <f>IFERROR(__xludf.DUMMYFUNCTION("""COMPUTED_VALUE"""),"SP in frontal neocortex")</f>
        <v>SP in frontal neocortex</v>
      </c>
      <c r="D312" s="42">
        <f>IFERROR(__xludf.DUMMYFUNCTION("""COMPUTED_VALUE"""),278.0)</f>
        <v>278</v>
      </c>
      <c r="E312" s="39" t="str">
        <f>IFERROR(__xludf.DUMMYFUNCTION("""COMPUTED_VALUE"""),"SP in frontal neocortex")</f>
        <v>SP in frontal neocortex</v>
      </c>
      <c r="F312" s="9" t="str">
        <f>IFERROR(__xludf.DUMMYFUNCTION("""COMPUTED_VALUE"""),"Br")</f>
        <v>Br</v>
      </c>
      <c r="G312" s="9" t="str">
        <f>IFERROR(__xludf.DUMMYFUNCTION("""COMPUTED_VALUE"""),"F")</f>
        <v>F</v>
      </c>
      <c r="H312" s="9" t="str">
        <f>IFERROR(__xludf.DUMMYFUNCTION("""COMPUTED_VALUE"""),"FGM")</f>
        <v>FGM</v>
      </c>
      <c r="I312" s="9" t="str">
        <f>IFERROR(__xludf.DUMMYFUNCTION("""COMPUTED_VALUE"""),"FTS")</f>
        <v>FTS</v>
      </c>
      <c r="J312" s="9" t="str">
        <f>IFERROR(__xludf.DUMMYFUNCTION("""COMPUTED_VALUE"""),"SP")</f>
        <v>SP</v>
      </c>
      <c r="K312" s="9" t="str">
        <f>IFERROR(__xludf.DUMMYFUNCTION("""COMPUTED_VALUE"""),"fSP")</f>
        <v>fSP</v>
      </c>
      <c r="L312" s="9"/>
      <c r="M312" s="9"/>
      <c r="N312" s="9"/>
      <c r="O312" s="9"/>
      <c r="P312" s="9"/>
      <c r="Q312" s="9"/>
      <c r="R312" s="9"/>
      <c r="S312" s="42" t="str">
        <f>IFERROR(__xludf.DUMMYFUNCTION("""COMPUTED_VALUE"""),"fSPfp;
fSPdm;
fSPdl;
fSPvl;
fSPor;
fSPm1")</f>
        <v>fSPfp;
fSPdm;
fSPdl;
fSPvl;
fSPor;
fSPm1</v>
      </c>
      <c r="T312" s="42"/>
      <c r="U312" s="42" t="b">
        <f>IFERROR(__xludf.DUMMYFUNCTION("""COMPUTED_VALUE"""),FALSE)</f>
        <v>0</v>
      </c>
      <c r="V312" s="42"/>
      <c r="W312" s="42"/>
      <c r="X312" s="42"/>
      <c r="Y312" s="42"/>
      <c r="Z312" s="42"/>
      <c r="AA312" s="42"/>
      <c r="AB312" s="42" t="str">
        <f>IFERROR(__xludf.DUMMYFUNCTION("""COMPUTED_VALUE"""),"allen institute")</f>
        <v>allen institute</v>
      </c>
      <c r="AC312" s="42" t="str">
        <f>IFERROR(__xludf.DUMMYFUNCTION("""COMPUTED_VALUE"""),"DHBA")</f>
        <v>DHBA</v>
      </c>
      <c r="AD312" s="42"/>
      <c r="AE312" s="42"/>
      <c r="AF312" s="9"/>
      <c r="AG312" s="9"/>
      <c r="AH312" s="42"/>
      <c r="AI312" s="42"/>
      <c r="AJ312" s="42"/>
      <c r="AK312" s="42"/>
      <c r="AL312" s="42"/>
      <c r="AM312" s="42"/>
      <c r="AN312" s="42"/>
      <c r="AO312" s="63" t="str">
        <f>IFERROR(__xludf.DUMMYFUNCTION("IF(ISBLANK(A312),,IF(ISBLANK(S312), A312&amp;"";"", TEXTJOIN(CHAR(10), TRUE, A312&amp;"";"", ARRAYFORMULA(VLOOKUP(SPLIT(S312, "";"" &amp; CHAR(10)), $A:$AO, 41, FALSE)))))"),"fSP;
fSPfp;
fSPdm;
fSPdl;
fSPvl;
fSPor;
fSPm1;")</f>
        <v>fSP;
fSPfp;
fSPdm;
fSPdl;
fSPvl;
fSPor;
fSPm1;</v>
      </c>
      <c r="AP312" s="89"/>
    </row>
    <row r="313">
      <c r="A313" s="151" t="str">
        <f>IFERROR(__xludf.DUMMYFUNCTION("""COMPUTED_VALUE"""),"fSPfp")</f>
        <v>fSPfp</v>
      </c>
      <c r="B313" s="42" t="str">
        <f>IFERROR(__xludf.DUMMYFUNCTION("""COMPUTED_VALUE"""),"DHBA")</f>
        <v>DHBA</v>
      </c>
      <c r="C313" s="42" t="str">
        <f>IFERROR(__xludf.DUMMYFUNCTION("""COMPUTED_VALUE"""),"SP in frontal polar cortex")</f>
        <v>SP in frontal polar cortex</v>
      </c>
      <c r="D313" s="42">
        <f>IFERROR(__xludf.DUMMYFUNCTION("""COMPUTED_VALUE"""),279.0)</f>
        <v>279</v>
      </c>
      <c r="E313" s="39" t="str">
        <f>IFERROR(__xludf.DUMMYFUNCTION("""COMPUTED_VALUE"""),"SP in frontal polar cortex")</f>
        <v>SP in frontal polar cortex</v>
      </c>
      <c r="F313" s="9" t="str">
        <f>IFERROR(__xludf.DUMMYFUNCTION("""COMPUTED_VALUE"""),"Br")</f>
        <v>Br</v>
      </c>
      <c r="G313" s="9" t="str">
        <f>IFERROR(__xludf.DUMMYFUNCTION("""COMPUTED_VALUE"""),"F")</f>
        <v>F</v>
      </c>
      <c r="H313" s="9" t="str">
        <f>IFERROR(__xludf.DUMMYFUNCTION("""COMPUTED_VALUE"""),"FGM")</f>
        <v>FGM</v>
      </c>
      <c r="I313" s="9" t="str">
        <f>IFERROR(__xludf.DUMMYFUNCTION("""COMPUTED_VALUE"""),"FTS")</f>
        <v>FTS</v>
      </c>
      <c r="J313" s="9" t="str">
        <f>IFERROR(__xludf.DUMMYFUNCTION("""COMPUTED_VALUE"""),"SP")</f>
        <v>SP</v>
      </c>
      <c r="K313" s="9" t="str">
        <f>IFERROR(__xludf.DUMMYFUNCTION("""COMPUTED_VALUE"""),"fSP")</f>
        <v>fSP</v>
      </c>
      <c r="L313" s="9" t="str">
        <f>IFERROR(__xludf.DUMMYFUNCTION("""COMPUTED_VALUE"""),"fSPfp")</f>
        <v>fSPfp</v>
      </c>
      <c r="M313" s="9"/>
      <c r="N313" s="9"/>
      <c r="O313" s="9"/>
      <c r="P313" s="9"/>
      <c r="Q313" s="9"/>
      <c r="R313" s="9"/>
      <c r="S313" s="42"/>
      <c r="T313" s="42"/>
      <c r="U313" s="42"/>
      <c r="V313" s="42"/>
      <c r="W313" s="42"/>
      <c r="X313" s="42"/>
      <c r="Y313" s="42"/>
      <c r="Z313" s="42"/>
      <c r="AA313" s="42"/>
      <c r="AB313" s="42" t="str">
        <f>IFERROR(__xludf.DUMMYFUNCTION("""COMPUTED_VALUE"""),"allen institute")</f>
        <v>allen institute</v>
      </c>
      <c r="AC313" s="42" t="str">
        <f>IFERROR(__xludf.DUMMYFUNCTION("""COMPUTED_VALUE"""),"DHBA")</f>
        <v>DHBA</v>
      </c>
      <c r="AD313" s="42"/>
      <c r="AE313" s="42"/>
      <c r="AF313" s="9"/>
      <c r="AG313" s="9"/>
      <c r="AH313" s="42"/>
      <c r="AI313" s="42"/>
      <c r="AJ313" s="42"/>
      <c r="AK313" s="42"/>
      <c r="AL313" s="42"/>
      <c r="AM313" s="42"/>
      <c r="AN313" s="42"/>
      <c r="AO313" s="63" t="str">
        <f>IFERROR(__xludf.DUMMYFUNCTION("IF(ISBLANK(A313),,IF(ISBLANK(S313), A313&amp;"";"", TEXTJOIN(CHAR(10), TRUE, A313&amp;"";"", ARRAYFORMULA(VLOOKUP(SPLIT(S313, "";"" &amp; CHAR(10)), $A:$AO, 41, FALSE)))))"),"fSPfp;")</f>
        <v>fSPfp;</v>
      </c>
      <c r="AP313" s="89"/>
    </row>
    <row r="314">
      <c r="A314" s="151" t="str">
        <f>IFERROR(__xludf.DUMMYFUNCTION("""COMPUTED_VALUE"""),"fSPdm")</f>
        <v>fSPdm</v>
      </c>
      <c r="B314" s="42" t="str">
        <f>IFERROR(__xludf.DUMMYFUNCTION("""COMPUTED_VALUE"""),"DHBA")</f>
        <v>DHBA</v>
      </c>
      <c r="C314" s="42" t="str">
        <f>IFERROR(__xludf.DUMMYFUNCTION("""COMPUTED_VALUE"""),"SP in dorsomedial frontal cortex")</f>
        <v>SP in dorsomedial frontal cortex</v>
      </c>
      <c r="D314" s="42">
        <f>IFERROR(__xludf.DUMMYFUNCTION("""COMPUTED_VALUE"""),280.0)</f>
        <v>280</v>
      </c>
      <c r="E314" s="39" t="str">
        <f>IFERROR(__xludf.DUMMYFUNCTION("""COMPUTED_VALUE"""),"SP in dorsomedial frontal cortex")</f>
        <v>SP in dorsomedial frontal cortex</v>
      </c>
      <c r="F314" s="9" t="str">
        <f>IFERROR(__xludf.DUMMYFUNCTION("""COMPUTED_VALUE"""),"Br")</f>
        <v>Br</v>
      </c>
      <c r="G314" s="9" t="str">
        <f>IFERROR(__xludf.DUMMYFUNCTION("""COMPUTED_VALUE"""),"F")</f>
        <v>F</v>
      </c>
      <c r="H314" s="9" t="str">
        <f>IFERROR(__xludf.DUMMYFUNCTION("""COMPUTED_VALUE"""),"FGM")</f>
        <v>FGM</v>
      </c>
      <c r="I314" s="9" t="str">
        <f>IFERROR(__xludf.DUMMYFUNCTION("""COMPUTED_VALUE"""),"FTS")</f>
        <v>FTS</v>
      </c>
      <c r="J314" s="9" t="str">
        <f>IFERROR(__xludf.DUMMYFUNCTION("""COMPUTED_VALUE"""),"SP")</f>
        <v>SP</v>
      </c>
      <c r="K314" s="9" t="str">
        <f>IFERROR(__xludf.DUMMYFUNCTION("""COMPUTED_VALUE"""),"fSP")</f>
        <v>fSP</v>
      </c>
      <c r="L314" s="9" t="str">
        <f>IFERROR(__xludf.DUMMYFUNCTION("""COMPUTED_VALUE"""),"fSPdm")</f>
        <v>fSPdm</v>
      </c>
      <c r="M314" s="9"/>
      <c r="N314" s="9"/>
      <c r="O314" s="9"/>
      <c r="P314" s="9"/>
      <c r="Q314" s="9"/>
      <c r="R314" s="9"/>
      <c r="S314" s="42"/>
      <c r="T314" s="42"/>
      <c r="U314" s="159"/>
      <c r="V314" s="42"/>
      <c r="W314" s="42"/>
      <c r="X314" s="42"/>
      <c r="Y314" s="42"/>
      <c r="Z314" s="42"/>
      <c r="AA314" s="42"/>
      <c r="AB314" s="42" t="str">
        <f>IFERROR(__xludf.DUMMYFUNCTION("""COMPUTED_VALUE"""),"allen institute")</f>
        <v>allen institute</v>
      </c>
      <c r="AC314" s="42" t="str">
        <f>IFERROR(__xludf.DUMMYFUNCTION("""COMPUTED_VALUE"""),"DHBA")</f>
        <v>DHBA</v>
      </c>
      <c r="AD314" s="42"/>
      <c r="AE314" s="42"/>
      <c r="AF314" s="9"/>
      <c r="AG314" s="9"/>
      <c r="AH314" s="42"/>
      <c r="AI314" s="42"/>
      <c r="AJ314" s="42"/>
      <c r="AK314" s="42"/>
      <c r="AL314" s="42"/>
      <c r="AM314" s="42"/>
      <c r="AN314" s="42"/>
      <c r="AO314" s="63" t="str">
        <f>IFERROR(__xludf.DUMMYFUNCTION("IF(ISBLANK(A314),,IF(ISBLANK(S314), A314&amp;"";"", TEXTJOIN(CHAR(10), TRUE, A314&amp;"";"", ARRAYFORMULA(VLOOKUP(SPLIT(S314, "";"" &amp; CHAR(10)), $A:$AO, 41, FALSE)))))"),"fSPdm;")</f>
        <v>fSPdm;</v>
      </c>
      <c r="AP314" s="89"/>
    </row>
    <row r="315">
      <c r="A315" s="151" t="str">
        <f>IFERROR(__xludf.DUMMYFUNCTION("""COMPUTED_VALUE"""),"fSPdl")</f>
        <v>fSPdl</v>
      </c>
      <c r="B315" s="42" t="str">
        <f>IFERROR(__xludf.DUMMYFUNCTION("""COMPUTED_VALUE"""),"DHBA")</f>
        <v>DHBA</v>
      </c>
      <c r="C315" s="42" t="str">
        <f>IFERROR(__xludf.DUMMYFUNCTION("""COMPUTED_VALUE"""),"SP in dorsolateral prefrontal cortex")</f>
        <v>SP in dorsolateral prefrontal cortex</v>
      </c>
      <c r="D315" s="42">
        <f>IFERROR(__xludf.DUMMYFUNCTION("""COMPUTED_VALUE"""),281.0)</f>
        <v>281</v>
      </c>
      <c r="E315" s="39" t="str">
        <f>IFERROR(__xludf.DUMMYFUNCTION("""COMPUTED_VALUE"""),"SP in dorsolateral prefrontal cortex")</f>
        <v>SP in dorsolateral prefrontal cortex</v>
      </c>
      <c r="F315" s="9" t="str">
        <f>IFERROR(__xludf.DUMMYFUNCTION("""COMPUTED_VALUE"""),"Br")</f>
        <v>Br</v>
      </c>
      <c r="G315" s="9" t="str">
        <f>IFERROR(__xludf.DUMMYFUNCTION("""COMPUTED_VALUE"""),"F")</f>
        <v>F</v>
      </c>
      <c r="H315" s="9" t="str">
        <f>IFERROR(__xludf.DUMMYFUNCTION("""COMPUTED_VALUE"""),"FGM")</f>
        <v>FGM</v>
      </c>
      <c r="I315" s="9" t="str">
        <f>IFERROR(__xludf.DUMMYFUNCTION("""COMPUTED_VALUE"""),"FTS")</f>
        <v>FTS</v>
      </c>
      <c r="J315" s="9" t="str">
        <f>IFERROR(__xludf.DUMMYFUNCTION("""COMPUTED_VALUE"""),"SP")</f>
        <v>SP</v>
      </c>
      <c r="K315" s="9" t="str">
        <f>IFERROR(__xludf.DUMMYFUNCTION("""COMPUTED_VALUE"""),"fSP")</f>
        <v>fSP</v>
      </c>
      <c r="L315" s="9" t="str">
        <f>IFERROR(__xludf.DUMMYFUNCTION("""COMPUTED_VALUE"""),"fSPdl")</f>
        <v>fSPdl</v>
      </c>
      <c r="M315" s="9"/>
      <c r="N315" s="9"/>
      <c r="O315" s="9"/>
      <c r="P315" s="9"/>
      <c r="Q315" s="9"/>
      <c r="R315" s="9"/>
      <c r="S315" s="42"/>
      <c r="T315" s="42"/>
      <c r="U315" s="159"/>
      <c r="V315" s="42"/>
      <c r="W315" s="42"/>
      <c r="X315" s="42"/>
      <c r="Y315" s="42"/>
      <c r="Z315" s="42"/>
      <c r="AA315" s="42"/>
      <c r="AB315" s="42" t="str">
        <f>IFERROR(__xludf.DUMMYFUNCTION("""COMPUTED_VALUE"""),"allen institute")</f>
        <v>allen institute</v>
      </c>
      <c r="AC315" s="42" t="str">
        <f>IFERROR(__xludf.DUMMYFUNCTION("""COMPUTED_VALUE"""),"DHBA")</f>
        <v>DHBA</v>
      </c>
      <c r="AD315" s="42"/>
      <c r="AE315" s="42"/>
      <c r="AF315" s="9"/>
      <c r="AG315" s="9"/>
      <c r="AH315" s="42"/>
      <c r="AI315" s="42"/>
      <c r="AJ315" s="42"/>
      <c r="AK315" s="42"/>
      <c r="AL315" s="42"/>
      <c r="AM315" s="42"/>
      <c r="AN315" s="42"/>
      <c r="AO315" s="63" t="str">
        <f>IFERROR(__xludf.DUMMYFUNCTION("IF(ISBLANK(A315),,IF(ISBLANK(S315), A315&amp;"";"", TEXTJOIN(CHAR(10), TRUE, A315&amp;"";"", ARRAYFORMULA(VLOOKUP(SPLIT(S315, "";"" &amp; CHAR(10)), $A:$AO, 41, FALSE)))))"),"fSPdl;")</f>
        <v>fSPdl;</v>
      </c>
      <c r="AP315" s="89"/>
    </row>
    <row r="316">
      <c r="A316" s="151" t="str">
        <f>IFERROR(__xludf.DUMMYFUNCTION("""COMPUTED_VALUE"""),"fSPvl")</f>
        <v>fSPvl</v>
      </c>
      <c r="B316" s="42" t="str">
        <f>IFERROR(__xludf.DUMMYFUNCTION("""COMPUTED_VALUE"""),"DHBA")</f>
        <v>DHBA</v>
      </c>
      <c r="C316" s="42" t="str">
        <f>IFERROR(__xludf.DUMMYFUNCTION("""COMPUTED_VALUE"""),"SP in ventrolateral prefrontal cortex")</f>
        <v>SP in ventrolateral prefrontal cortex</v>
      </c>
      <c r="D316" s="42">
        <f>IFERROR(__xludf.DUMMYFUNCTION("""COMPUTED_VALUE"""),282.0)</f>
        <v>282</v>
      </c>
      <c r="E316" s="39" t="str">
        <f>IFERROR(__xludf.DUMMYFUNCTION("""COMPUTED_VALUE"""),"SP in ventrolateral prefrontal cortex")</f>
        <v>SP in ventrolateral prefrontal cortex</v>
      </c>
      <c r="F316" s="9" t="str">
        <f>IFERROR(__xludf.DUMMYFUNCTION("""COMPUTED_VALUE"""),"Br")</f>
        <v>Br</v>
      </c>
      <c r="G316" s="9" t="str">
        <f>IFERROR(__xludf.DUMMYFUNCTION("""COMPUTED_VALUE"""),"F")</f>
        <v>F</v>
      </c>
      <c r="H316" s="9" t="str">
        <f>IFERROR(__xludf.DUMMYFUNCTION("""COMPUTED_VALUE"""),"FGM")</f>
        <v>FGM</v>
      </c>
      <c r="I316" s="9" t="str">
        <f>IFERROR(__xludf.DUMMYFUNCTION("""COMPUTED_VALUE"""),"FTS")</f>
        <v>FTS</v>
      </c>
      <c r="J316" s="9" t="str">
        <f>IFERROR(__xludf.DUMMYFUNCTION("""COMPUTED_VALUE"""),"SP")</f>
        <v>SP</v>
      </c>
      <c r="K316" s="9" t="str">
        <f>IFERROR(__xludf.DUMMYFUNCTION("""COMPUTED_VALUE"""),"fSP")</f>
        <v>fSP</v>
      </c>
      <c r="L316" s="9" t="str">
        <f>IFERROR(__xludf.DUMMYFUNCTION("""COMPUTED_VALUE"""),"fSPvl")</f>
        <v>fSPvl</v>
      </c>
      <c r="M316" s="9"/>
      <c r="N316" s="9"/>
      <c r="O316" s="9"/>
      <c r="P316" s="9"/>
      <c r="Q316" s="9"/>
      <c r="R316" s="9"/>
      <c r="S316" s="42"/>
      <c r="T316" s="42"/>
      <c r="U316" s="42"/>
      <c r="V316" s="42"/>
      <c r="W316" s="42"/>
      <c r="X316" s="42"/>
      <c r="Y316" s="42"/>
      <c r="Z316" s="42"/>
      <c r="AA316" s="42"/>
      <c r="AB316" s="42" t="str">
        <f>IFERROR(__xludf.DUMMYFUNCTION("""COMPUTED_VALUE"""),"allen institute")</f>
        <v>allen institute</v>
      </c>
      <c r="AC316" s="42" t="str">
        <f>IFERROR(__xludf.DUMMYFUNCTION("""COMPUTED_VALUE"""),"DHBA")</f>
        <v>DHBA</v>
      </c>
      <c r="AD316" s="42"/>
      <c r="AE316" s="42"/>
      <c r="AF316" s="9"/>
      <c r="AG316" s="9"/>
      <c r="AH316" s="42"/>
      <c r="AI316" s="42"/>
      <c r="AJ316" s="42"/>
      <c r="AK316" s="42"/>
      <c r="AL316" s="42"/>
      <c r="AM316" s="42"/>
      <c r="AN316" s="42"/>
      <c r="AO316" s="63" t="str">
        <f>IFERROR(__xludf.DUMMYFUNCTION("IF(ISBLANK(A316),,IF(ISBLANK(S316), A316&amp;"";"", TEXTJOIN(CHAR(10), TRUE, A316&amp;"";"", ARRAYFORMULA(VLOOKUP(SPLIT(S316, "";"" &amp; CHAR(10)), $A:$AO, 41, FALSE)))))"),"fSPvl;")</f>
        <v>fSPvl;</v>
      </c>
      <c r="AP316" s="89"/>
    </row>
    <row r="317">
      <c r="A317" s="151" t="str">
        <f>IFERROR(__xludf.DUMMYFUNCTION("""COMPUTED_VALUE"""),"fSPor")</f>
        <v>fSPor</v>
      </c>
      <c r="B317" s="42" t="str">
        <f>IFERROR(__xludf.DUMMYFUNCTION("""COMPUTED_VALUE"""),"DHBA")</f>
        <v>DHBA</v>
      </c>
      <c r="C317" s="42" t="str">
        <f>IFERROR(__xludf.DUMMYFUNCTION("""COMPUTED_VALUE"""),"SP in orbital frontal cortex")</f>
        <v>SP in orbital frontal cortex</v>
      </c>
      <c r="D317" s="42">
        <f>IFERROR(__xludf.DUMMYFUNCTION("""COMPUTED_VALUE"""),283.0)</f>
        <v>283</v>
      </c>
      <c r="E317" s="39" t="str">
        <f>IFERROR(__xludf.DUMMYFUNCTION("""COMPUTED_VALUE"""),"SP in orbital frontal cortex")</f>
        <v>SP in orbital frontal cortex</v>
      </c>
      <c r="F317" s="9" t="str">
        <f>IFERROR(__xludf.DUMMYFUNCTION("""COMPUTED_VALUE"""),"Br")</f>
        <v>Br</v>
      </c>
      <c r="G317" s="9" t="str">
        <f>IFERROR(__xludf.DUMMYFUNCTION("""COMPUTED_VALUE"""),"F")</f>
        <v>F</v>
      </c>
      <c r="H317" s="9" t="str">
        <f>IFERROR(__xludf.DUMMYFUNCTION("""COMPUTED_VALUE"""),"FGM")</f>
        <v>FGM</v>
      </c>
      <c r="I317" s="9" t="str">
        <f>IFERROR(__xludf.DUMMYFUNCTION("""COMPUTED_VALUE"""),"FTS")</f>
        <v>FTS</v>
      </c>
      <c r="J317" s="9" t="str">
        <f>IFERROR(__xludf.DUMMYFUNCTION("""COMPUTED_VALUE"""),"SP")</f>
        <v>SP</v>
      </c>
      <c r="K317" s="9" t="str">
        <f>IFERROR(__xludf.DUMMYFUNCTION("""COMPUTED_VALUE"""),"fSP")</f>
        <v>fSP</v>
      </c>
      <c r="L317" s="9" t="str">
        <f>IFERROR(__xludf.DUMMYFUNCTION("""COMPUTED_VALUE"""),"fSPor")</f>
        <v>fSPor</v>
      </c>
      <c r="M317" s="9"/>
      <c r="N317" s="9"/>
      <c r="O317" s="9"/>
      <c r="P317" s="9"/>
      <c r="Q317" s="9"/>
      <c r="R317" s="9"/>
      <c r="S317" s="42"/>
      <c r="T317" s="42"/>
      <c r="U317" s="42"/>
      <c r="V317" s="42"/>
      <c r="W317" s="42"/>
      <c r="X317" s="42"/>
      <c r="Y317" s="42"/>
      <c r="Z317" s="42"/>
      <c r="AA317" s="42"/>
      <c r="AB317" s="42" t="str">
        <f>IFERROR(__xludf.DUMMYFUNCTION("""COMPUTED_VALUE"""),"allen institute")</f>
        <v>allen institute</v>
      </c>
      <c r="AC317" s="42" t="str">
        <f>IFERROR(__xludf.DUMMYFUNCTION("""COMPUTED_VALUE"""),"DHBA")</f>
        <v>DHBA</v>
      </c>
      <c r="AD317" s="42"/>
      <c r="AE317" s="42"/>
      <c r="AF317" s="9"/>
      <c r="AG317" s="9"/>
      <c r="AH317" s="42"/>
      <c r="AI317" s="42"/>
      <c r="AJ317" s="42"/>
      <c r="AK317" s="42"/>
      <c r="AL317" s="42"/>
      <c r="AM317" s="42"/>
      <c r="AN317" s="42"/>
      <c r="AO317" s="63" t="str">
        <f>IFERROR(__xludf.DUMMYFUNCTION("IF(ISBLANK(A317),,IF(ISBLANK(S317), A317&amp;"";"", TEXTJOIN(CHAR(10), TRUE, A317&amp;"";"", ARRAYFORMULA(VLOOKUP(SPLIT(S317, "";"" &amp; CHAR(10)), $A:$AO, 41, FALSE)))))"),"fSPor;")</f>
        <v>fSPor;</v>
      </c>
      <c r="AP317" s="89"/>
    </row>
    <row r="318">
      <c r="A318" s="151" t="str">
        <f>IFERROR(__xludf.DUMMYFUNCTION("""COMPUTED_VALUE"""),"fSPm1")</f>
        <v>fSPm1</v>
      </c>
      <c r="B318" s="42" t="str">
        <f>IFERROR(__xludf.DUMMYFUNCTION("""COMPUTED_VALUE"""),"DHBA")</f>
        <v>DHBA</v>
      </c>
      <c r="C318" s="42" t="str">
        <f>IFERROR(__xludf.DUMMYFUNCTION("""COMPUTED_VALUE"""),"SP in posteror frontal cortex (motor cortex)")</f>
        <v>SP in posteror frontal cortex (motor cortex)</v>
      </c>
      <c r="D318" s="42">
        <f>IFERROR(__xludf.DUMMYFUNCTION("""COMPUTED_VALUE"""),284.0)</f>
        <v>284</v>
      </c>
      <c r="E318" s="39" t="str">
        <f>IFERROR(__xludf.DUMMYFUNCTION("""COMPUTED_VALUE"""),"SP in posteror frontal cortex (motor cortex)")</f>
        <v>SP in posteror frontal cortex (motor cortex)</v>
      </c>
      <c r="F318" s="9" t="str">
        <f>IFERROR(__xludf.DUMMYFUNCTION("""COMPUTED_VALUE"""),"Br")</f>
        <v>Br</v>
      </c>
      <c r="G318" s="9" t="str">
        <f>IFERROR(__xludf.DUMMYFUNCTION("""COMPUTED_VALUE"""),"F")</f>
        <v>F</v>
      </c>
      <c r="H318" s="9" t="str">
        <f>IFERROR(__xludf.DUMMYFUNCTION("""COMPUTED_VALUE"""),"FGM")</f>
        <v>FGM</v>
      </c>
      <c r="I318" s="9" t="str">
        <f>IFERROR(__xludf.DUMMYFUNCTION("""COMPUTED_VALUE"""),"FTS")</f>
        <v>FTS</v>
      </c>
      <c r="J318" s="9" t="str">
        <f>IFERROR(__xludf.DUMMYFUNCTION("""COMPUTED_VALUE"""),"SP")</f>
        <v>SP</v>
      </c>
      <c r="K318" s="9" t="str">
        <f>IFERROR(__xludf.DUMMYFUNCTION("""COMPUTED_VALUE"""),"fSP")</f>
        <v>fSP</v>
      </c>
      <c r="L318" s="9" t="str">
        <f>IFERROR(__xludf.DUMMYFUNCTION("""COMPUTED_VALUE"""),"fSPm1")</f>
        <v>fSPm1</v>
      </c>
      <c r="M318" s="9"/>
      <c r="N318" s="9"/>
      <c r="O318" s="9"/>
      <c r="P318" s="9"/>
      <c r="Q318" s="9"/>
      <c r="R318" s="9"/>
      <c r="S318" s="42"/>
      <c r="T318" s="42"/>
      <c r="U318" s="42"/>
      <c r="V318" s="42"/>
      <c r="W318" s="42"/>
      <c r="X318" s="42"/>
      <c r="Y318" s="42"/>
      <c r="Z318" s="42"/>
      <c r="AA318" s="42"/>
      <c r="AB318" s="42" t="str">
        <f>IFERROR(__xludf.DUMMYFUNCTION("""COMPUTED_VALUE"""),"allen institute")</f>
        <v>allen institute</v>
      </c>
      <c r="AC318" s="42" t="str">
        <f>IFERROR(__xludf.DUMMYFUNCTION("""COMPUTED_VALUE"""),"DHBA")</f>
        <v>DHBA</v>
      </c>
      <c r="AD318" s="42"/>
      <c r="AE318" s="42"/>
      <c r="AF318" s="9"/>
      <c r="AG318" s="9"/>
      <c r="AH318" s="42"/>
      <c r="AI318" s="42"/>
      <c r="AJ318" s="42"/>
      <c r="AK318" s="42"/>
      <c r="AL318" s="42"/>
      <c r="AM318" s="42"/>
      <c r="AN318" s="42"/>
      <c r="AO318" s="63" t="str">
        <f>IFERROR(__xludf.DUMMYFUNCTION("IF(ISBLANK(A318),,IF(ISBLANK(S318), A318&amp;"";"", TEXTJOIN(CHAR(10), TRUE, A318&amp;"";"", ARRAYFORMULA(VLOOKUP(SPLIT(S318, "";"" &amp; CHAR(10)), $A:$AO, 41, FALSE)))))"),"fSPm1;")</f>
        <v>fSPm1;</v>
      </c>
      <c r="AP318" s="89"/>
    </row>
    <row r="319">
      <c r="A319" s="151" t="str">
        <f>IFERROR(__xludf.DUMMYFUNCTION("""COMPUTED_VALUE"""),"pSP")</f>
        <v>pSP</v>
      </c>
      <c r="B319" s="42" t="str">
        <f>IFERROR(__xludf.DUMMYFUNCTION("""COMPUTED_VALUE"""),"DHBA")</f>
        <v>DHBA</v>
      </c>
      <c r="C319" s="42" t="str">
        <f>IFERROR(__xludf.DUMMYFUNCTION("""COMPUTED_VALUE"""),"SP in parietal neocortex")</f>
        <v>SP in parietal neocortex</v>
      </c>
      <c r="D319" s="42">
        <f>IFERROR(__xludf.DUMMYFUNCTION("""COMPUTED_VALUE"""),285.0)</f>
        <v>285</v>
      </c>
      <c r="E319" s="39" t="str">
        <f>IFERROR(__xludf.DUMMYFUNCTION("""COMPUTED_VALUE"""),"SP in parietal neocortex")</f>
        <v>SP in parietal neocortex</v>
      </c>
      <c r="F319" s="9" t="str">
        <f>IFERROR(__xludf.DUMMYFUNCTION("""COMPUTED_VALUE"""),"Br")</f>
        <v>Br</v>
      </c>
      <c r="G319" s="9" t="str">
        <f>IFERROR(__xludf.DUMMYFUNCTION("""COMPUTED_VALUE"""),"F")</f>
        <v>F</v>
      </c>
      <c r="H319" s="9" t="str">
        <f>IFERROR(__xludf.DUMMYFUNCTION("""COMPUTED_VALUE"""),"FGM")</f>
        <v>FGM</v>
      </c>
      <c r="I319" s="9" t="str">
        <f>IFERROR(__xludf.DUMMYFUNCTION("""COMPUTED_VALUE"""),"FTS")</f>
        <v>FTS</v>
      </c>
      <c r="J319" s="9" t="str">
        <f>IFERROR(__xludf.DUMMYFUNCTION("""COMPUTED_VALUE"""),"SP")</f>
        <v>SP</v>
      </c>
      <c r="K319" s="9" t="str">
        <f>IFERROR(__xludf.DUMMYFUNCTION("""COMPUTED_VALUE"""),"pSP")</f>
        <v>pSP</v>
      </c>
      <c r="L319" s="9"/>
      <c r="M319" s="9"/>
      <c r="N319" s="9"/>
      <c r="O319" s="9"/>
      <c r="P319" s="9"/>
      <c r="Q319" s="9"/>
      <c r="R319" s="9"/>
      <c r="S319" s="42" t="str">
        <f>IFERROR(__xludf.DUMMYFUNCTION("""COMPUTED_VALUE"""),"pSPs1;
pSPdm;
pSPpd;
pSPpv")</f>
        <v>pSPs1;
pSPdm;
pSPpd;
pSPpv</v>
      </c>
      <c r="T319" s="42"/>
      <c r="U319" s="42" t="b">
        <f>IFERROR(__xludf.DUMMYFUNCTION("""COMPUTED_VALUE"""),FALSE)</f>
        <v>0</v>
      </c>
      <c r="V319" s="42"/>
      <c r="W319" s="42"/>
      <c r="X319" s="42"/>
      <c r="Y319" s="42"/>
      <c r="Z319" s="42"/>
      <c r="AA319" s="42"/>
      <c r="AB319" s="42" t="str">
        <f>IFERROR(__xludf.DUMMYFUNCTION("""COMPUTED_VALUE"""),"allen institute")</f>
        <v>allen institute</v>
      </c>
      <c r="AC319" s="42" t="str">
        <f>IFERROR(__xludf.DUMMYFUNCTION("""COMPUTED_VALUE"""),"DHBA")</f>
        <v>DHBA</v>
      </c>
      <c r="AD319" s="42"/>
      <c r="AE319" s="42"/>
      <c r="AF319" s="9"/>
      <c r="AG319" s="9"/>
      <c r="AH319" s="42"/>
      <c r="AI319" s="42"/>
      <c r="AJ319" s="42"/>
      <c r="AK319" s="42"/>
      <c r="AL319" s="42"/>
      <c r="AM319" s="42"/>
      <c r="AN319" s="42"/>
      <c r="AO319" s="63" t="str">
        <f>IFERROR(__xludf.DUMMYFUNCTION("IF(ISBLANK(A319),,IF(ISBLANK(S319), A319&amp;"";"", TEXTJOIN(CHAR(10), TRUE, A319&amp;"";"", ARRAYFORMULA(VLOOKUP(SPLIT(S319, "";"" &amp; CHAR(10)), $A:$AO, 41, FALSE)))))"),"pSP;
pSPs1;
pSPdm;
pSPpd;
pSPpv;")</f>
        <v>pSP;
pSPs1;
pSPdm;
pSPpd;
pSPpv;</v>
      </c>
      <c r="AP319" s="89"/>
    </row>
    <row r="320">
      <c r="A320" s="151" t="str">
        <f>IFERROR(__xludf.DUMMYFUNCTION("""COMPUTED_VALUE"""),"pSPs1")</f>
        <v>pSPs1</v>
      </c>
      <c r="B320" s="42" t="str">
        <f>IFERROR(__xludf.DUMMYFUNCTION("""COMPUTED_VALUE"""),"DHBA")</f>
        <v>DHBA</v>
      </c>
      <c r="C320" s="42" t="str">
        <f>IFERROR(__xludf.DUMMYFUNCTION("""COMPUTED_VALUE"""),"SP in primary somatosensory cortex")</f>
        <v>SP in primary somatosensory cortex</v>
      </c>
      <c r="D320" s="42">
        <f>IFERROR(__xludf.DUMMYFUNCTION("""COMPUTED_VALUE"""),286.0)</f>
        <v>286</v>
      </c>
      <c r="E320" s="39" t="str">
        <f>IFERROR(__xludf.DUMMYFUNCTION("""COMPUTED_VALUE"""),"SP in primary somatosensory cortex")</f>
        <v>SP in primary somatosensory cortex</v>
      </c>
      <c r="F320" s="9" t="str">
        <f>IFERROR(__xludf.DUMMYFUNCTION("""COMPUTED_VALUE"""),"Br")</f>
        <v>Br</v>
      </c>
      <c r="G320" s="9" t="str">
        <f>IFERROR(__xludf.DUMMYFUNCTION("""COMPUTED_VALUE"""),"F")</f>
        <v>F</v>
      </c>
      <c r="H320" s="9" t="str">
        <f>IFERROR(__xludf.DUMMYFUNCTION("""COMPUTED_VALUE"""),"FGM")</f>
        <v>FGM</v>
      </c>
      <c r="I320" s="9" t="str">
        <f>IFERROR(__xludf.DUMMYFUNCTION("""COMPUTED_VALUE"""),"FTS")</f>
        <v>FTS</v>
      </c>
      <c r="J320" s="9" t="str">
        <f>IFERROR(__xludf.DUMMYFUNCTION("""COMPUTED_VALUE"""),"SP")</f>
        <v>SP</v>
      </c>
      <c r="K320" s="9" t="str">
        <f>IFERROR(__xludf.DUMMYFUNCTION("""COMPUTED_VALUE"""),"pSP")</f>
        <v>pSP</v>
      </c>
      <c r="L320" s="9" t="str">
        <f>IFERROR(__xludf.DUMMYFUNCTION("""COMPUTED_VALUE"""),"pSPs1")</f>
        <v>pSPs1</v>
      </c>
      <c r="M320" s="9"/>
      <c r="N320" s="9"/>
      <c r="O320" s="9"/>
      <c r="P320" s="9"/>
      <c r="Q320" s="9"/>
      <c r="R320" s="9"/>
      <c r="S320" s="42"/>
      <c r="T320" s="42"/>
      <c r="U320" s="42"/>
      <c r="V320" s="42"/>
      <c r="W320" s="42"/>
      <c r="X320" s="42"/>
      <c r="Y320" s="42"/>
      <c r="Z320" s="42"/>
      <c r="AA320" s="42"/>
      <c r="AB320" s="42" t="str">
        <f>IFERROR(__xludf.DUMMYFUNCTION("""COMPUTED_VALUE"""),"allen institute")</f>
        <v>allen institute</v>
      </c>
      <c r="AC320" s="42" t="str">
        <f>IFERROR(__xludf.DUMMYFUNCTION("""COMPUTED_VALUE"""),"DHBA")</f>
        <v>DHBA</v>
      </c>
      <c r="AD320" s="42"/>
      <c r="AE320" s="42"/>
      <c r="AF320" s="9"/>
      <c r="AG320" s="9"/>
      <c r="AH320" s="42"/>
      <c r="AI320" s="42"/>
      <c r="AJ320" s="42"/>
      <c r="AK320" s="42"/>
      <c r="AL320" s="42"/>
      <c r="AM320" s="42"/>
      <c r="AN320" s="42"/>
      <c r="AO320" s="63" t="str">
        <f>IFERROR(__xludf.DUMMYFUNCTION("IF(ISBLANK(A320),,IF(ISBLANK(S320), A320&amp;"";"", TEXTJOIN(CHAR(10), TRUE, A320&amp;"";"", ARRAYFORMULA(VLOOKUP(SPLIT(S320, "";"" &amp; CHAR(10)), $A:$AO, 41, FALSE)))))"),"pSPs1;")</f>
        <v>pSPs1;</v>
      </c>
      <c r="AP320" s="89"/>
    </row>
    <row r="321">
      <c r="A321" s="151" t="str">
        <f>IFERROR(__xludf.DUMMYFUNCTION("""COMPUTED_VALUE"""),"pSPdm")</f>
        <v>pSPdm</v>
      </c>
      <c r="B321" s="42" t="str">
        <f>IFERROR(__xludf.DUMMYFUNCTION("""COMPUTED_VALUE"""),"DHBA")</f>
        <v>DHBA</v>
      </c>
      <c r="C321" s="42" t="str">
        <f>IFERROR(__xludf.DUMMYFUNCTION("""COMPUTED_VALUE"""),"SP in dorsomedial parietal cortex (area 7m)")</f>
        <v>SP in dorsomedial parietal cortex (area 7m)</v>
      </c>
      <c r="D321" s="42">
        <f>IFERROR(__xludf.DUMMYFUNCTION("""COMPUTED_VALUE"""),287.0)</f>
        <v>287</v>
      </c>
      <c r="E321" s="39" t="str">
        <f>IFERROR(__xludf.DUMMYFUNCTION("""COMPUTED_VALUE"""),"SP in dorsomedial parietal cortex (area 7m)")</f>
        <v>SP in dorsomedial parietal cortex (area 7m)</v>
      </c>
      <c r="F321" s="9" t="str">
        <f>IFERROR(__xludf.DUMMYFUNCTION("""COMPUTED_VALUE"""),"Br")</f>
        <v>Br</v>
      </c>
      <c r="G321" s="9" t="str">
        <f>IFERROR(__xludf.DUMMYFUNCTION("""COMPUTED_VALUE"""),"F")</f>
        <v>F</v>
      </c>
      <c r="H321" s="9" t="str">
        <f>IFERROR(__xludf.DUMMYFUNCTION("""COMPUTED_VALUE"""),"FGM")</f>
        <v>FGM</v>
      </c>
      <c r="I321" s="9" t="str">
        <f>IFERROR(__xludf.DUMMYFUNCTION("""COMPUTED_VALUE"""),"FTS")</f>
        <v>FTS</v>
      </c>
      <c r="J321" s="9" t="str">
        <f>IFERROR(__xludf.DUMMYFUNCTION("""COMPUTED_VALUE"""),"SP")</f>
        <v>SP</v>
      </c>
      <c r="K321" s="9" t="str">
        <f>IFERROR(__xludf.DUMMYFUNCTION("""COMPUTED_VALUE"""),"pSP")</f>
        <v>pSP</v>
      </c>
      <c r="L321" s="9" t="str">
        <f>IFERROR(__xludf.DUMMYFUNCTION("""COMPUTED_VALUE"""),"pSPdm")</f>
        <v>pSPdm</v>
      </c>
      <c r="M321" s="9"/>
      <c r="N321" s="9"/>
      <c r="O321" s="9"/>
      <c r="P321" s="9"/>
      <c r="Q321" s="9"/>
      <c r="R321" s="9"/>
      <c r="S321" s="42"/>
      <c r="T321" s="42"/>
      <c r="U321" s="42"/>
      <c r="V321" s="42"/>
      <c r="W321" s="42"/>
      <c r="X321" s="42"/>
      <c r="Y321" s="42"/>
      <c r="Z321" s="42"/>
      <c r="AA321" s="42"/>
      <c r="AB321" s="42" t="str">
        <f>IFERROR(__xludf.DUMMYFUNCTION("""COMPUTED_VALUE"""),"allen institute")</f>
        <v>allen institute</v>
      </c>
      <c r="AC321" s="42" t="str">
        <f>IFERROR(__xludf.DUMMYFUNCTION("""COMPUTED_VALUE"""),"DHBA")</f>
        <v>DHBA</v>
      </c>
      <c r="AD321" s="42"/>
      <c r="AE321" s="42"/>
      <c r="AF321" s="9"/>
      <c r="AG321" s="9"/>
      <c r="AH321" s="42"/>
      <c r="AI321" s="42"/>
      <c r="AJ321" s="42"/>
      <c r="AK321" s="42"/>
      <c r="AL321" s="42"/>
      <c r="AM321" s="42"/>
      <c r="AN321" s="42"/>
      <c r="AO321" s="63" t="str">
        <f>IFERROR(__xludf.DUMMYFUNCTION("IF(ISBLANK(A321),,IF(ISBLANK(S321), A321&amp;"";"", TEXTJOIN(CHAR(10), TRUE, A321&amp;"";"", ARRAYFORMULA(VLOOKUP(SPLIT(S321, "";"" &amp; CHAR(10)), $A:$AO, 41, FALSE)))))"),"pSPdm;")</f>
        <v>pSPdm;</v>
      </c>
      <c r="AP321" s="89"/>
    </row>
    <row r="322">
      <c r="A322" s="151" t="str">
        <f>IFERROR(__xludf.DUMMYFUNCTION("""COMPUTED_VALUE"""),"pSPpd")</f>
        <v>pSPpd</v>
      </c>
      <c r="B322" s="42" t="str">
        <f>IFERROR(__xludf.DUMMYFUNCTION("""COMPUTED_VALUE"""),"DHBA")</f>
        <v>DHBA</v>
      </c>
      <c r="C322" s="42" t="str">
        <f>IFERROR(__xludf.DUMMYFUNCTION("""COMPUTED_VALUE"""),"SP in posterosuperior (dorsal) parietal cortex")</f>
        <v>SP in posterosuperior (dorsal) parietal cortex</v>
      </c>
      <c r="D322" s="42">
        <f>IFERROR(__xludf.DUMMYFUNCTION("""COMPUTED_VALUE"""),288.0)</f>
        <v>288</v>
      </c>
      <c r="E322" s="39" t="str">
        <f>IFERROR(__xludf.DUMMYFUNCTION("""COMPUTED_VALUE"""),"SP in posterosuperior (dorsal) parietal cortex")</f>
        <v>SP in posterosuperior (dorsal) parietal cortex</v>
      </c>
      <c r="F322" s="9" t="str">
        <f>IFERROR(__xludf.DUMMYFUNCTION("""COMPUTED_VALUE"""),"Br")</f>
        <v>Br</v>
      </c>
      <c r="G322" s="9" t="str">
        <f>IFERROR(__xludf.DUMMYFUNCTION("""COMPUTED_VALUE"""),"F")</f>
        <v>F</v>
      </c>
      <c r="H322" s="9" t="str">
        <f>IFERROR(__xludf.DUMMYFUNCTION("""COMPUTED_VALUE"""),"FGM")</f>
        <v>FGM</v>
      </c>
      <c r="I322" s="9" t="str">
        <f>IFERROR(__xludf.DUMMYFUNCTION("""COMPUTED_VALUE"""),"FTS")</f>
        <v>FTS</v>
      </c>
      <c r="J322" s="9" t="str">
        <f>IFERROR(__xludf.DUMMYFUNCTION("""COMPUTED_VALUE"""),"SP")</f>
        <v>SP</v>
      </c>
      <c r="K322" s="9" t="str">
        <f>IFERROR(__xludf.DUMMYFUNCTION("""COMPUTED_VALUE"""),"pSP")</f>
        <v>pSP</v>
      </c>
      <c r="L322" s="9" t="str">
        <f>IFERROR(__xludf.DUMMYFUNCTION("""COMPUTED_VALUE"""),"pSPpd")</f>
        <v>pSPpd</v>
      </c>
      <c r="M322" s="9"/>
      <c r="N322" s="9"/>
      <c r="O322" s="9"/>
      <c r="P322" s="9"/>
      <c r="Q322" s="9"/>
      <c r="R322" s="9"/>
      <c r="S322" s="42"/>
      <c r="T322" s="42"/>
      <c r="U322" s="159"/>
      <c r="V322" s="42"/>
      <c r="W322" s="42"/>
      <c r="X322" s="42"/>
      <c r="Y322" s="42"/>
      <c r="Z322" s="42"/>
      <c r="AA322" s="42"/>
      <c r="AB322" s="42" t="str">
        <f>IFERROR(__xludf.DUMMYFUNCTION("""COMPUTED_VALUE"""),"allen institute")</f>
        <v>allen institute</v>
      </c>
      <c r="AC322" s="42" t="str">
        <f>IFERROR(__xludf.DUMMYFUNCTION("""COMPUTED_VALUE"""),"DHBA")</f>
        <v>DHBA</v>
      </c>
      <c r="AD322" s="42"/>
      <c r="AE322" s="42"/>
      <c r="AF322" s="9"/>
      <c r="AG322" s="9"/>
      <c r="AH322" s="42"/>
      <c r="AI322" s="42"/>
      <c r="AJ322" s="42"/>
      <c r="AK322" s="42"/>
      <c r="AL322" s="42"/>
      <c r="AM322" s="42"/>
      <c r="AN322" s="42"/>
      <c r="AO322" s="63" t="str">
        <f>IFERROR(__xludf.DUMMYFUNCTION("IF(ISBLANK(A322),,IF(ISBLANK(S322), A322&amp;"";"", TEXTJOIN(CHAR(10), TRUE, A322&amp;"";"", ARRAYFORMULA(VLOOKUP(SPLIT(S322, "";"" &amp; CHAR(10)), $A:$AO, 41, FALSE)))))"),"pSPpd;")</f>
        <v>pSPpd;</v>
      </c>
      <c r="AP322" s="89"/>
    </row>
    <row r="323">
      <c r="A323" s="151" t="str">
        <f>IFERROR(__xludf.DUMMYFUNCTION("""COMPUTED_VALUE"""),"pSPpv")</f>
        <v>pSPpv</v>
      </c>
      <c r="B323" s="42" t="str">
        <f>IFERROR(__xludf.DUMMYFUNCTION("""COMPUTED_VALUE"""),"DHBA")</f>
        <v>DHBA</v>
      </c>
      <c r="C323" s="42" t="str">
        <f>IFERROR(__xludf.DUMMYFUNCTION("""COMPUTED_VALUE"""),"SP in posteroinferior (ventral) parietal cortex")</f>
        <v>SP in posteroinferior (ventral) parietal cortex</v>
      </c>
      <c r="D323" s="42">
        <f>IFERROR(__xludf.DUMMYFUNCTION("""COMPUTED_VALUE"""),289.0)</f>
        <v>289</v>
      </c>
      <c r="E323" s="39" t="str">
        <f>IFERROR(__xludf.DUMMYFUNCTION("""COMPUTED_VALUE"""),"SP in posteroinferior (ventral) parietal cortex")</f>
        <v>SP in posteroinferior (ventral) parietal cortex</v>
      </c>
      <c r="F323" s="9" t="str">
        <f>IFERROR(__xludf.DUMMYFUNCTION("""COMPUTED_VALUE"""),"Br")</f>
        <v>Br</v>
      </c>
      <c r="G323" s="9" t="str">
        <f>IFERROR(__xludf.DUMMYFUNCTION("""COMPUTED_VALUE"""),"F")</f>
        <v>F</v>
      </c>
      <c r="H323" s="9" t="str">
        <f>IFERROR(__xludf.DUMMYFUNCTION("""COMPUTED_VALUE"""),"FGM")</f>
        <v>FGM</v>
      </c>
      <c r="I323" s="9" t="str">
        <f>IFERROR(__xludf.DUMMYFUNCTION("""COMPUTED_VALUE"""),"FTS")</f>
        <v>FTS</v>
      </c>
      <c r="J323" s="9" t="str">
        <f>IFERROR(__xludf.DUMMYFUNCTION("""COMPUTED_VALUE"""),"SP")</f>
        <v>SP</v>
      </c>
      <c r="K323" s="9" t="str">
        <f>IFERROR(__xludf.DUMMYFUNCTION("""COMPUTED_VALUE"""),"pSP")</f>
        <v>pSP</v>
      </c>
      <c r="L323" s="9" t="str">
        <f>IFERROR(__xludf.DUMMYFUNCTION("""COMPUTED_VALUE"""),"pSPpv")</f>
        <v>pSPpv</v>
      </c>
      <c r="M323" s="9"/>
      <c r="N323" s="9"/>
      <c r="O323" s="9"/>
      <c r="P323" s="9"/>
      <c r="Q323" s="9"/>
      <c r="R323" s="9"/>
      <c r="S323" s="42"/>
      <c r="T323" s="42"/>
      <c r="U323" s="159"/>
      <c r="V323" s="42"/>
      <c r="W323" s="42"/>
      <c r="X323" s="42"/>
      <c r="Y323" s="42"/>
      <c r="Z323" s="42"/>
      <c r="AA323" s="42"/>
      <c r="AB323" s="42" t="str">
        <f>IFERROR(__xludf.DUMMYFUNCTION("""COMPUTED_VALUE"""),"allen institute")</f>
        <v>allen institute</v>
      </c>
      <c r="AC323" s="42" t="str">
        <f>IFERROR(__xludf.DUMMYFUNCTION("""COMPUTED_VALUE"""),"DHBA")</f>
        <v>DHBA</v>
      </c>
      <c r="AD323" s="42"/>
      <c r="AE323" s="42"/>
      <c r="AF323" s="9"/>
      <c r="AG323" s="9"/>
      <c r="AH323" s="42"/>
      <c r="AI323" s="42"/>
      <c r="AJ323" s="42"/>
      <c r="AK323" s="42"/>
      <c r="AL323" s="42"/>
      <c r="AM323" s="42"/>
      <c r="AN323" s="42"/>
      <c r="AO323" s="63" t="str">
        <f>IFERROR(__xludf.DUMMYFUNCTION("IF(ISBLANK(A323),,IF(ISBLANK(S323), A323&amp;"";"", TEXTJOIN(CHAR(10), TRUE, A323&amp;"";"", ARRAYFORMULA(VLOOKUP(SPLIT(S323, "";"" &amp; CHAR(10)), $A:$AO, 41, FALSE)))))"),"pSPpv;")</f>
        <v>pSPpv;</v>
      </c>
      <c r="AP323" s="89"/>
    </row>
    <row r="324">
      <c r="A324" s="151" t="str">
        <f>IFERROR(__xludf.DUMMYFUNCTION("""COMPUTED_VALUE"""),"tSP")</f>
        <v>tSP</v>
      </c>
      <c r="B324" s="42" t="str">
        <f>IFERROR(__xludf.DUMMYFUNCTION("""COMPUTED_VALUE"""),"DHBA")</f>
        <v>DHBA</v>
      </c>
      <c r="C324" s="42" t="str">
        <f>IFERROR(__xludf.DUMMYFUNCTION("""COMPUTED_VALUE"""),"SP in temporal neocortex")</f>
        <v>SP in temporal neocortex</v>
      </c>
      <c r="D324" s="42">
        <f>IFERROR(__xludf.DUMMYFUNCTION("""COMPUTED_VALUE"""),290.0)</f>
        <v>290</v>
      </c>
      <c r="E324" s="39" t="str">
        <f>IFERROR(__xludf.DUMMYFUNCTION("""COMPUTED_VALUE"""),"SP in temporal neocortex")</f>
        <v>SP in temporal neocortex</v>
      </c>
      <c r="F324" s="9" t="str">
        <f>IFERROR(__xludf.DUMMYFUNCTION("""COMPUTED_VALUE"""),"Br")</f>
        <v>Br</v>
      </c>
      <c r="G324" s="9" t="str">
        <f>IFERROR(__xludf.DUMMYFUNCTION("""COMPUTED_VALUE"""),"F")</f>
        <v>F</v>
      </c>
      <c r="H324" s="9" t="str">
        <f>IFERROR(__xludf.DUMMYFUNCTION("""COMPUTED_VALUE"""),"FGM")</f>
        <v>FGM</v>
      </c>
      <c r="I324" s="9" t="str">
        <f>IFERROR(__xludf.DUMMYFUNCTION("""COMPUTED_VALUE"""),"FTS")</f>
        <v>FTS</v>
      </c>
      <c r="J324" s="9" t="str">
        <f>IFERROR(__xludf.DUMMYFUNCTION("""COMPUTED_VALUE"""),"SP")</f>
        <v>SP</v>
      </c>
      <c r="K324" s="9" t="str">
        <f>IFERROR(__xludf.DUMMYFUNCTION("""COMPUTED_VALUE"""),"tSP")</f>
        <v>tSP</v>
      </c>
      <c r="L324" s="9"/>
      <c r="M324" s="9"/>
      <c r="N324" s="9"/>
      <c r="O324" s="9"/>
      <c r="P324" s="9"/>
      <c r="Q324" s="9"/>
      <c r="R324" s="9"/>
      <c r="S324" s="42" t="str">
        <f>IFERROR(__xludf.DUMMYFUNCTION("""COMPUTED_VALUE"""),"tSPdl;
tSPvl;
tSPph;
tSPmt;
tSPlt;
tSPtp")</f>
        <v>tSPdl;
tSPvl;
tSPph;
tSPmt;
tSPlt;
tSPtp</v>
      </c>
      <c r="T324" s="42"/>
      <c r="U324" s="42" t="b">
        <f>IFERROR(__xludf.DUMMYFUNCTION("""COMPUTED_VALUE"""),FALSE)</f>
        <v>0</v>
      </c>
      <c r="V324" s="42"/>
      <c r="W324" s="42"/>
      <c r="X324" s="42"/>
      <c r="Y324" s="42"/>
      <c r="Z324" s="42"/>
      <c r="AA324" s="42"/>
      <c r="AB324" s="42" t="str">
        <f>IFERROR(__xludf.DUMMYFUNCTION("""COMPUTED_VALUE"""),"allen institute")</f>
        <v>allen institute</v>
      </c>
      <c r="AC324" s="42" t="str">
        <f>IFERROR(__xludf.DUMMYFUNCTION("""COMPUTED_VALUE"""),"DHBA")</f>
        <v>DHBA</v>
      </c>
      <c r="AD324" s="42"/>
      <c r="AE324" s="42"/>
      <c r="AF324" s="9"/>
      <c r="AG324" s="9"/>
      <c r="AH324" s="42"/>
      <c r="AI324" s="42"/>
      <c r="AJ324" s="42"/>
      <c r="AK324" s="42"/>
      <c r="AL324" s="42"/>
      <c r="AM324" s="42"/>
      <c r="AN324" s="42"/>
      <c r="AO324" s="63" t="str">
        <f>IFERROR(__xludf.DUMMYFUNCTION("IF(ISBLANK(A324),,IF(ISBLANK(S324), A324&amp;"";"", TEXTJOIN(CHAR(10), TRUE, A324&amp;"";"", ARRAYFORMULA(VLOOKUP(SPLIT(S324, "";"" &amp; CHAR(10)), $A:$AO, 41, FALSE)))))"),"tSP;
tSPdl;
tSPa1;
tSPsl;
tSPps;
tSPpi;
tSPvl;
tSPml;
tSPil;
tSPmi;
tSP36;
tSPtf;
tSPph;
tSPmt;
tSPlt;
tSPtp;")</f>
        <v>tSP;
tSPdl;
tSPa1;
tSPsl;
tSPps;
tSPpi;
tSPvl;
tSPml;
tSPil;
tSPmi;
tSP36;
tSPtf;
tSPph;
tSPmt;
tSPlt;
tSPtp;</v>
      </c>
      <c r="AP324" s="89"/>
    </row>
    <row r="325">
      <c r="A325" s="151" t="str">
        <f>IFERROR(__xludf.DUMMYFUNCTION("""COMPUTED_VALUE"""),"tSPdl")</f>
        <v>tSPdl</v>
      </c>
      <c r="B325" s="42" t="str">
        <f>IFERROR(__xludf.DUMMYFUNCTION("""COMPUTED_VALUE"""),"DHBA")</f>
        <v>DHBA</v>
      </c>
      <c r="C325" s="42" t="str">
        <f>IFERROR(__xludf.DUMMYFUNCTION("""COMPUTED_VALUE"""),"SP in dorsolateral temporal cortex")</f>
        <v>SP in dorsolateral temporal cortex</v>
      </c>
      <c r="D325" s="42">
        <f>IFERROR(__xludf.DUMMYFUNCTION("""COMPUTED_VALUE"""),291.0)</f>
        <v>291</v>
      </c>
      <c r="E325" s="39" t="str">
        <f>IFERROR(__xludf.DUMMYFUNCTION("""COMPUTED_VALUE"""),"SP in dorsolateral temporal cortex")</f>
        <v>SP in dorsolateral temporal cortex</v>
      </c>
      <c r="F325" s="9" t="str">
        <f>IFERROR(__xludf.DUMMYFUNCTION("""COMPUTED_VALUE"""),"Br")</f>
        <v>Br</v>
      </c>
      <c r="G325" s="9" t="str">
        <f>IFERROR(__xludf.DUMMYFUNCTION("""COMPUTED_VALUE"""),"F")</f>
        <v>F</v>
      </c>
      <c r="H325" s="9" t="str">
        <f>IFERROR(__xludf.DUMMYFUNCTION("""COMPUTED_VALUE"""),"FGM")</f>
        <v>FGM</v>
      </c>
      <c r="I325" s="9" t="str">
        <f>IFERROR(__xludf.DUMMYFUNCTION("""COMPUTED_VALUE"""),"FTS")</f>
        <v>FTS</v>
      </c>
      <c r="J325" s="9" t="str">
        <f>IFERROR(__xludf.DUMMYFUNCTION("""COMPUTED_VALUE"""),"SP")</f>
        <v>SP</v>
      </c>
      <c r="K325" s="9" t="str">
        <f>IFERROR(__xludf.DUMMYFUNCTION("""COMPUTED_VALUE"""),"tSP")</f>
        <v>tSP</v>
      </c>
      <c r="L325" s="9" t="str">
        <f>IFERROR(__xludf.DUMMYFUNCTION("""COMPUTED_VALUE"""),"tSPdl")</f>
        <v>tSPdl</v>
      </c>
      <c r="M325" s="9"/>
      <c r="N325" s="9"/>
      <c r="O325" s="9"/>
      <c r="P325" s="9"/>
      <c r="Q325" s="9"/>
      <c r="R325" s="9"/>
      <c r="S325" s="42" t="str">
        <f>IFERROR(__xludf.DUMMYFUNCTION("""COMPUTED_VALUE"""),"tSPa1;
tSPsl;
tSPps;
tSPpi")</f>
        <v>tSPa1;
tSPsl;
tSPps;
tSPpi</v>
      </c>
      <c r="T325" s="42"/>
      <c r="U325" s="42" t="b">
        <f>IFERROR(__xludf.DUMMYFUNCTION("""COMPUTED_VALUE"""),FALSE)</f>
        <v>0</v>
      </c>
      <c r="V325" s="42"/>
      <c r="W325" s="42"/>
      <c r="X325" s="42"/>
      <c r="Y325" s="42"/>
      <c r="Z325" s="42"/>
      <c r="AA325" s="42"/>
      <c r="AB325" s="42" t="str">
        <f>IFERROR(__xludf.DUMMYFUNCTION("""COMPUTED_VALUE"""),"allen institute")</f>
        <v>allen institute</v>
      </c>
      <c r="AC325" s="42" t="str">
        <f>IFERROR(__xludf.DUMMYFUNCTION("""COMPUTED_VALUE"""),"DHBA")</f>
        <v>DHBA</v>
      </c>
      <c r="AD325" s="42"/>
      <c r="AE325" s="42"/>
      <c r="AF325" s="9"/>
      <c r="AG325" s="9"/>
      <c r="AH325" s="42"/>
      <c r="AI325" s="42"/>
      <c r="AJ325" s="42"/>
      <c r="AK325" s="42"/>
      <c r="AL325" s="42"/>
      <c r="AM325" s="42"/>
      <c r="AN325" s="42"/>
      <c r="AO325" s="63" t="str">
        <f>IFERROR(__xludf.DUMMYFUNCTION("IF(ISBLANK(A325),,IF(ISBLANK(S325), A325&amp;"";"", TEXTJOIN(CHAR(10), TRUE, A325&amp;"";"", ARRAYFORMULA(VLOOKUP(SPLIT(S325, "";"" &amp; CHAR(10)), $A:$AO, 41, FALSE)))))"),"tSPdl;
tSPa1;
tSPsl;
tSPps;
tSPpi;")</f>
        <v>tSPdl;
tSPa1;
tSPsl;
tSPps;
tSPpi;</v>
      </c>
      <c r="AP325" s="89"/>
    </row>
    <row r="326">
      <c r="A326" s="151" t="str">
        <f>IFERROR(__xludf.DUMMYFUNCTION("""COMPUTED_VALUE"""),"tSPa1")</f>
        <v>tSPa1</v>
      </c>
      <c r="B326" s="42" t="str">
        <f>IFERROR(__xludf.DUMMYFUNCTION("""COMPUTED_VALUE"""),"DHBA")</f>
        <v>DHBA</v>
      </c>
      <c r="C326" s="42" t="str">
        <f>IFERROR(__xludf.DUMMYFUNCTION("""COMPUTED_VALUE"""),"SP in primary auditory cortex")</f>
        <v>SP in primary auditory cortex</v>
      </c>
      <c r="D326" s="42">
        <f>IFERROR(__xludf.DUMMYFUNCTION("""COMPUTED_VALUE"""),292.0)</f>
        <v>292</v>
      </c>
      <c r="E326" s="39" t="str">
        <f>IFERROR(__xludf.DUMMYFUNCTION("""COMPUTED_VALUE"""),"SP in primary auditory cortex")</f>
        <v>SP in primary auditory cortex</v>
      </c>
      <c r="F326" s="9" t="str">
        <f>IFERROR(__xludf.DUMMYFUNCTION("""COMPUTED_VALUE"""),"Br")</f>
        <v>Br</v>
      </c>
      <c r="G326" s="9" t="str">
        <f>IFERROR(__xludf.DUMMYFUNCTION("""COMPUTED_VALUE"""),"F")</f>
        <v>F</v>
      </c>
      <c r="H326" s="9" t="str">
        <f>IFERROR(__xludf.DUMMYFUNCTION("""COMPUTED_VALUE"""),"FGM")</f>
        <v>FGM</v>
      </c>
      <c r="I326" s="9" t="str">
        <f>IFERROR(__xludf.DUMMYFUNCTION("""COMPUTED_VALUE"""),"FTS")</f>
        <v>FTS</v>
      </c>
      <c r="J326" s="9" t="str">
        <f>IFERROR(__xludf.DUMMYFUNCTION("""COMPUTED_VALUE"""),"SP")</f>
        <v>SP</v>
      </c>
      <c r="K326" s="9" t="str">
        <f>IFERROR(__xludf.DUMMYFUNCTION("""COMPUTED_VALUE"""),"tSP")</f>
        <v>tSP</v>
      </c>
      <c r="L326" s="9" t="str">
        <f>IFERROR(__xludf.DUMMYFUNCTION("""COMPUTED_VALUE"""),"tSPdl")</f>
        <v>tSPdl</v>
      </c>
      <c r="M326" s="9" t="str">
        <f>IFERROR(__xludf.DUMMYFUNCTION("""COMPUTED_VALUE"""),"tSPa1")</f>
        <v>tSPa1</v>
      </c>
      <c r="N326" s="9"/>
      <c r="O326" s="9"/>
      <c r="P326" s="9"/>
      <c r="Q326" s="9"/>
      <c r="R326" s="9"/>
      <c r="S326" s="42"/>
      <c r="T326" s="42"/>
      <c r="U326" s="42"/>
      <c r="V326" s="42"/>
      <c r="W326" s="42"/>
      <c r="X326" s="42"/>
      <c r="Y326" s="42"/>
      <c r="Z326" s="42"/>
      <c r="AA326" s="42"/>
      <c r="AB326" s="42" t="str">
        <f>IFERROR(__xludf.DUMMYFUNCTION("""COMPUTED_VALUE"""),"allen institute")</f>
        <v>allen institute</v>
      </c>
      <c r="AC326" s="42" t="str">
        <f>IFERROR(__xludf.DUMMYFUNCTION("""COMPUTED_VALUE"""),"DHBA")</f>
        <v>DHBA</v>
      </c>
      <c r="AD326" s="42"/>
      <c r="AE326" s="42"/>
      <c r="AF326" s="9"/>
      <c r="AG326" s="9"/>
      <c r="AH326" s="42"/>
      <c r="AI326" s="42"/>
      <c r="AJ326" s="42"/>
      <c r="AK326" s="42"/>
      <c r="AL326" s="42"/>
      <c r="AM326" s="42"/>
      <c r="AN326" s="42"/>
      <c r="AO326" s="63" t="str">
        <f>IFERROR(__xludf.DUMMYFUNCTION("IF(ISBLANK(A326),,IF(ISBLANK(S326), A326&amp;"";"", TEXTJOIN(CHAR(10), TRUE, A326&amp;"";"", ARRAYFORMULA(VLOOKUP(SPLIT(S326, "";"" &amp; CHAR(10)), $A:$AO, 41, FALSE)))))"),"tSPa1;")</f>
        <v>tSPa1;</v>
      </c>
      <c r="AP326" s="89"/>
    </row>
    <row r="327">
      <c r="A327" s="151" t="str">
        <f>IFERROR(__xludf.DUMMYFUNCTION("""COMPUTED_VALUE"""),"tSPsl")</f>
        <v>tSPsl</v>
      </c>
      <c r="B327" s="42" t="str">
        <f>IFERROR(__xludf.DUMMYFUNCTION("""COMPUTED_VALUE"""),"DHBA")</f>
        <v>DHBA</v>
      </c>
      <c r="C327" s="42" t="str">
        <f>IFERROR(__xludf.DUMMYFUNCTION("""COMPUTED_VALUE"""),"SP in superolateral temporal cortex")</f>
        <v>SP in superolateral temporal cortex</v>
      </c>
      <c r="D327" s="42">
        <f>IFERROR(__xludf.DUMMYFUNCTION("""COMPUTED_VALUE"""),293.0)</f>
        <v>293</v>
      </c>
      <c r="E327" s="39" t="str">
        <f>IFERROR(__xludf.DUMMYFUNCTION("""COMPUTED_VALUE"""),"SP in superolateral temporal cortex")</f>
        <v>SP in superolateral temporal cortex</v>
      </c>
      <c r="F327" s="9" t="str">
        <f>IFERROR(__xludf.DUMMYFUNCTION("""COMPUTED_VALUE"""),"Br")</f>
        <v>Br</v>
      </c>
      <c r="G327" s="9" t="str">
        <f>IFERROR(__xludf.DUMMYFUNCTION("""COMPUTED_VALUE"""),"F")</f>
        <v>F</v>
      </c>
      <c r="H327" s="9" t="str">
        <f>IFERROR(__xludf.DUMMYFUNCTION("""COMPUTED_VALUE"""),"FGM")</f>
        <v>FGM</v>
      </c>
      <c r="I327" s="9" t="str">
        <f>IFERROR(__xludf.DUMMYFUNCTION("""COMPUTED_VALUE"""),"FTS")</f>
        <v>FTS</v>
      </c>
      <c r="J327" s="9" t="str">
        <f>IFERROR(__xludf.DUMMYFUNCTION("""COMPUTED_VALUE"""),"SP")</f>
        <v>SP</v>
      </c>
      <c r="K327" s="9" t="str">
        <f>IFERROR(__xludf.DUMMYFUNCTION("""COMPUTED_VALUE"""),"tSP")</f>
        <v>tSP</v>
      </c>
      <c r="L327" s="9" t="str">
        <f>IFERROR(__xludf.DUMMYFUNCTION("""COMPUTED_VALUE"""),"tSPdl")</f>
        <v>tSPdl</v>
      </c>
      <c r="M327" s="9" t="str">
        <f>IFERROR(__xludf.DUMMYFUNCTION("""COMPUTED_VALUE"""),"tSPsl")</f>
        <v>tSPsl</v>
      </c>
      <c r="N327" s="9"/>
      <c r="O327" s="9"/>
      <c r="P327" s="9"/>
      <c r="Q327" s="9"/>
      <c r="R327" s="9"/>
      <c r="S327" s="42"/>
      <c r="T327" s="42"/>
      <c r="U327" s="42"/>
      <c r="V327" s="42"/>
      <c r="W327" s="42"/>
      <c r="X327" s="42"/>
      <c r="Y327" s="42"/>
      <c r="Z327" s="42"/>
      <c r="AA327" s="42"/>
      <c r="AB327" s="42" t="str">
        <f>IFERROR(__xludf.DUMMYFUNCTION("""COMPUTED_VALUE"""),"allen institute")</f>
        <v>allen institute</v>
      </c>
      <c r="AC327" s="42" t="str">
        <f>IFERROR(__xludf.DUMMYFUNCTION("""COMPUTED_VALUE"""),"DHBA")</f>
        <v>DHBA</v>
      </c>
      <c r="AD327" s="42"/>
      <c r="AE327" s="42"/>
      <c r="AF327" s="9"/>
      <c r="AG327" s="9"/>
      <c r="AH327" s="42"/>
      <c r="AI327" s="42"/>
      <c r="AJ327" s="42"/>
      <c r="AK327" s="42"/>
      <c r="AL327" s="42"/>
      <c r="AM327" s="42"/>
      <c r="AN327" s="42"/>
      <c r="AO327" s="63" t="str">
        <f>IFERROR(__xludf.DUMMYFUNCTION("IF(ISBLANK(A327),,IF(ISBLANK(S327), A327&amp;"";"", TEXTJOIN(CHAR(10), TRUE, A327&amp;"";"", ARRAYFORMULA(VLOOKUP(SPLIT(S327, "";"" &amp; CHAR(10)), $A:$AO, 41, FALSE)))))"),"tSPsl;")</f>
        <v>tSPsl;</v>
      </c>
      <c r="AP327" s="89"/>
    </row>
    <row r="328">
      <c r="A328" s="151" t="str">
        <f>IFERROR(__xludf.DUMMYFUNCTION("""COMPUTED_VALUE"""),"tSPps")</f>
        <v>tSPps</v>
      </c>
      <c r="B328" s="42" t="str">
        <f>IFERROR(__xludf.DUMMYFUNCTION("""COMPUTED_VALUE"""),"DHBA")</f>
        <v>DHBA</v>
      </c>
      <c r="C328" s="42" t="str">
        <f>IFERROR(__xludf.DUMMYFUNCTION("""COMPUTED_VALUE"""),"SP in polysensory temporal cortex")</f>
        <v>SP in polysensory temporal cortex</v>
      </c>
      <c r="D328" s="42">
        <f>IFERROR(__xludf.DUMMYFUNCTION("""COMPUTED_VALUE"""),294.0)</f>
        <v>294</v>
      </c>
      <c r="E328" s="39" t="str">
        <f>IFERROR(__xludf.DUMMYFUNCTION("""COMPUTED_VALUE"""),"SP in polysensory temporal cortex")</f>
        <v>SP in polysensory temporal cortex</v>
      </c>
      <c r="F328" s="9" t="str">
        <f>IFERROR(__xludf.DUMMYFUNCTION("""COMPUTED_VALUE"""),"Br")</f>
        <v>Br</v>
      </c>
      <c r="G328" s="9" t="str">
        <f>IFERROR(__xludf.DUMMYFUNCTION("""COMPUTED_VALUE"""),"F")</f>
        <v>F</v>
      </c>
      <c r="H328" s="9" t="str">
        <f>IFERROR(__xludf.DUMMYFUNCTION("""COMPUTED_VALUE"""),"FGM")</f>
        <v>FGM</v>
      </c>
      <c r="I328" s="9" t="str">
        <f>IFERROR(__xludf.DUMMYFUNCTION("""COMPUTED_VALUE"""),"FTS")</f>
        <v>FTS</v>
      </c>
      <c r="J328" s="9" t="str">
        <f>IFERROR(__xludf.DUMMYFUNCTION("""COMPUTED_VALUE"""),"SP")</f>
        <v>SP</v>
      </c>
      <c r="K328" s="9" t="str">
        <f>IFERROR(__xludf.DUMMYFUNCTION("""COMPUTED_VALUE"""),"tSP")</f>
        <v>tSP</v>
      </c>
      <c r="L328" s="9" t="str">
        <f>IFERROR(__xludf.DUMMYFUNCTION("""COMPUTED_VALUE"""),"tSPdl")</f>
        <v>tSPdl</v>
      </c>
      <c r="M328" s="9" t="str">
        <f>IFERROR(__xludf.DUMMYFUNCTION("""COMPUTED_VALUE"""),"tSPps")</f>
        <v>tSPps</v>
      </c>
      <c r="N328" s="9"/>
      <c r="O328" s="9"/>
      <c r="P328" s="9"/>
      <c r="Q328" s="9"/>
      <c r="R328" s="9"/>
      <c r="S328" s="42"/>
      <c r="T328" s="42"/>
      <c r="U328" s="42"/>
      <c r="V328" s="42"/>
      <c r="W328" s="42"/>
      <c r="X328" s="42"/>
      <c r="Y328" s="42"/>
      <c r="Z328" s="42"/>
      <c r="AA328" s="42"/>
      <c r="AB328" s="42" t="str">
        <f>IFERROR(__xludf.DUMMYFUNCTION("""COMPUTED_VALUE"""),"allen institute")</f>
        <v>allen institute</v>
      </c>
      <c r="AC328" s="42" t="str">
        <f>IFERROR(__xludf.DUMMYFUNCTION("""COMPUTED_VALUE"""),"DHBA")</f>
        <v>DHBA</v>
      </c>
      <c r="AD328" s="42"/>
      <c r="AE328" s="42"/>
      <c r="AF328" s="9"/>
      <c r="AG328" s="9"/>
      <c r="AH328" s="42"/>
      <c r="AI328" s="42"/>
      <c r="AJ328" s="42"/>
      <c r="AK328" s="42"/>
      <c r="AL328" s="42"/>
      <c r="AM328" s="42"/>
      <c r="AN328" s="42"/>
      <c r="AO328" s="63" t="str">
        <f>IFERROR(__xludf.DUMMYFUNCTION("IF(ISBLANK(A328),,IF(ISBLANK(S328), A328&amp;"";"", TEXTJOIN(CHAR(10), TRUE, A328&amp;"";"", ARRAYFORMULA(VLOOKUP(SPLIT(S328, "";"" &amp; CHAR(10)), $A:$AO, 41, FALSE)))))"),"tSPps;")</f>
        <v>tSPps;</v>
      </c>
      <c r="AP328" s="89"/>
    </row>
    <row r="329">
      <c r="A329" s="151" t="str">
        <f>IFERROR(__xludf.DUMMYFUNCTION("""COMPUTED_VALUE"""),"tSPpi")</f>
        <v>tSPpi</v>
      </c>
      <c r="B329" s="42" t="str">
        <f>IFERROR(__xludf.DUMMYFUNCTION("""COMPUTED_VALUE"""),"DHBA")</f>
        <v>DHBA</v>
      </c>
      <c r="C329" s="42" t="str">
        <f>IFERROR(__xludf.DUMMYFUNCTION("""COMPUTED_VALUE"""),"SP in parainsular temporal cortex")</f>
        <v>SP in parainsular temporal cortex</v>
      </c>
      <c r="D329" s="42">
        <f>IFERROR(__xludf.DUMMYFUNCTION("""COMPUTED_VALUE"""),295.0)</f>
        <v>295</v>
      </c>
      <c r="E329" s="39" t="str">
        <f>IFERROR(__xludf.DUMMYFUNCTION("""COMPUTED_VALUE"""),"SP in parainsular temporal cortex")</f>
        <v>SP in parainsular temporal cortex</v>
      </c>
      <c r="F329" s="9" t="str">
        <f>IFERROR(__xludf.DUMMYFUNCTION("""COMPUTED_VALUE"""),"Br")</f>
        <v>Br</v>
      </c>
      <c r="G329" s="9" t="str">
        <f>IFERROR(__xludf.DUMMYFUNCTION("""COMPUTED_VALUE"""),"F")</f>
        <v>F</v>
      </c>
      <c r="H329" s="9" t="str">
        <f>IFERROR(__xludf.DUMMYFUNCTION("""COMPUTED_VALUE"""),"FGM")</f>
        <v>FGM</v>
      </c>
      <c r="I329" s="9" t="str">
        <f>IFERROR(__xludf.DUMMYFUNCTION("""COMPUTED_VALUE"""),"FTS")</f>
        <v>FTS</v>
      </c>
      <c r="J329" s="9" t="str">
        <f>IFERROR(__xludf.DUMMYFUNCTION("""COMPUTED_VALUE"""),"SP")</f>
        <v>SP</v>
      </c>
      <c r="K329" s="9" t="str">
        <f>IFERROR(__xludf.DUMMYFUNCTION("""COMPUTED_VALUE"""),"tSP")</f>
        <v>tSP</v>
      </c>
      <c r="L329" s="9" t="str">
        <f>IFERROR(__xludf.DUMMYFUNCTION("""COMPUTED_VALUE"""),"tSPdl")</f>
        <v>tSPdl</v>
      </c>
      <c r="M329" s="9" t="str">
        <f>IFERROR(__xludf.DUMMYFUNCTION("""COMPUTED_VALUE"""),"tSPpi")</f>
        <v>tSPpi</v>
      </c>
      <c r="N329" s="9"/>
      <c r="O329" s="9"/>
      <c r="P329" s="9"/>
      <c r="Q329" s="9"/>
      <c r="R329" s="9"/>
      <c r="S329" s="42"/>
      <c r="T329" s="42"/>
      <c r="U329" s="42"/>
      <c r="V329" s="42"/>
      <c r="W329" s="42"/>
      <c r="X329" s="42"/>
      <c r="Y329" s="42"/>
      <c r="Z329" s="42"/>
      <c r="AA329" s="42"/>
      <c r="AB329" s="42" t="str">
        <f>IFERROR(__xludf.DUMMYFUNCTION("""COMPUTED_VALUE"""),"allen institute")</f>
        <v>allen institute</v>
      </c>
      <c r="AC329" s="42" t="str">
        <f>IFERROR(__xludf.DUMMYFUNCTION("""COMPUTED_VALUE"""),"DHBA")</f>
        <v>DHBA</v>
      </c>
      <c r="AD329" s="42"/>
      <c r="AE329" s="42"/>
      <c r="AF329" s="9"/>
      <c r="AG329" s="9"/>
      <c r="AH329" s="42"/>
      <c r="AI329" s="42"/>
      <c r="AJ329" s="42"/>
      <c r="AK329" s="42"/>
      <c r="AL329" s="42"/>
      <c r="AM329" s="42"/>
      <c r="AN329" s="42"/>
      <c r="AO329" s="63" t="str">
        <f>IFERROR(__xludf.DUMMYFUNCTION("IF(ISBLANK(A329),,IF(ISBLANK(S329), A329&amp;"";"", TEXTJOIN(CHAR(10), TRUE, A329&amp;"";"", ARRAYFORMULA(VLOOKUP(SPLIT(S329, "";"" &amp; CHAR(10)), $A:$AO, 41, FALSE)))))"),"tSPpi;")</f>
        <v>tSPpi;</v>
      </c>
      <c r="AP329" s="89"/>
    </row>
    <row r="330">
      <c r="A330" s="151" t="str">
        <f>IFERROR(__xludf.DUMMYFUNCTION("""COMPUTED_VALUE"""),"tSPvl")</f>
        <v>tSPvl</v>
      </c>
      <c r="B330" s="42" t="str">
        <f>IFERROR(__xludf.DUMMYFUNCTION("""COMPUTED_VALUE"""),"DHBA")</f>
        <v>DHBA</v>
      </c>
      <c r="C330" s="42" t="str">
        <f>IFERROR(__xludf.DUMMYFUNCTION("""COMPUTED_VALUE"""),"SP in ventrolateral temporal cortex")</f>
        <v>SP in ventrolateral temporal cortex</v>
      </c>
      <c r="D330" s="42">
        <f>IFERROR(__xludf.DUMMYFUNCTION("""COMPUTED_VALUE"""),296.0)</f>
        <v>296</v>
      </c>
      <c r="E330" s="39" t="str">
        <f>IFERROR(__xludf.DUMMYFUNCTION("""COMPUTED_VALUE"""),"SP in ventrolateral temporal cortex")</f>
        <v>SP in ventrolateral temporal cortex</v>
      </c>
      <c r="F330" s="9" t="str">
        <f>IFERROR(__xludf.DUMMYFUNCTION("""COMPUTED_VALUE"""),"Br")</f>
        <v>Br</v>
      </c>
      <c r="G330" s="9" t="str">
        <f>IFERROR(__xludf.DUMMYFUNCTION("""COMPUTED_VALUE"""),"F")</f>
        <v>F</v>
      </c>
      <c r="H330" s="9" t="str">
        <f>IFERROR(__xludf.DUMMYFUNCTION("""COMPUTED_VALUE"""),"FGM")</f>
        <v>FGM</v>
      </c>
      <c r="I330" s="9" t="str">
        <f>IFERROR(__xludf.DUMMYFUNCTION("""COMPUTED_VALUE"""),"FTS")</f>
        <v>FTS</v>
      </c>
      <c r="J330" s="9" t="str">
        <f>IFERROR(__xludf.DUMMYFUNCTION("""COMPUTED_VALUE"""),"SP")</f>
        <v>SP</v>
      </c>
      <c r="K330" s="9" t="str">
        <f>IFERROR(__xludf.DUMMYFUNCTION("""COMPUTED_VALUE"""),"tSP")</f>
        <v>tSP</v>
      </c>
      <c r="L330" s="9" t="str">
        <f>IFERROR(__xludf.DUMMYFUNCTION("""COMPUTED_VALUE"""),"tSPvl")</f>
        <v>tSPvl</v>
      </c>
      <c r="M330" s="9"/>
      <c r="N330" s="9"/>
      <c r="O330" s="9"/>
      <c r="P330" s="9"/>
      <c r="Q330" s="9"/>
      <c r="R330" s="9"/>
      <c r="S330" s="42" t="str">
        <f>IFERROR(__xludf.DUMMYFUNCTION("""COMPUTED_VALUE"""),"tSPml;
tSPil;
tSPmi")</f>
        <v>tSPml;
tSPil;
tSPmi</v>
      </c>
      <c r="T330" s="42"/>
      <c r="U330" s="159" t="b">
        <f>IFERROR(__xludf.DUMMYFUNCTION("""COMPUTED_VALUE"""),FALSE)</f>
        <v>0</v>
      </c>
      <c r="V330" s="42"/>
      <c r="W330" s="42"/>
      <c r="X330" s="42"/>
      <c r="Y330" s="42"/>
      <c r="Z330" s="42"/>
      <c r="AA330" s="42"/>
      <c r="AB330" s="42" t="str">
        <f>IFERROR(__xludf.DUMMYFUNCTION("""COMPUTED_VALUE"""),"allen institute")</f>
        <v>allen institute</v>
      </c>
      <c r="AC330" s="42" t="str">
        <f>IFERROR(__xludf.DUMMYFUNCTION("""COMPUTED_VALUE"""),"DHBA")</f>
        <v>DHBA</v>
      </c>
      <c r="AD330" s="42"/>
      <c r="AE330" s="42"/>
      <c r="AF330" s="9"/>
      <c r="AG330" s="9"/>
      <c r="AH330" s="42"/>
      <c r="AI330" s="42"/>
      <c r="AJ330" s="42"/>
      <c r="AK330" s="42"/>
      <c r="AL330" s="42"/>
      <c r="AM330" s="42"/>
      <c r="AN330" s="42"/>
      <c r="AO330" s="63" t="str">
        <f>IFERROR(__xludf.DUMMYFUNCTION("IF(ISBLANK(A330),,IF(ISBLANK(S330), A330&amp;"";"", TEXTJOIN(CHAR(10), TRUE, A330&amp;"";"", ARRAYFORMULA(VLOOKUP(SPLIT(S330, "";"" &amp; CHAR(10)), $A:$AO, 41, FALSE)))))"),"tSPvl;
tSPml;
tSPil;
tSPmi;
tSP36;
tSPtf;")</f>
        <v>tSPvl;
tSPml;
tSPil;
tSPmi;
tSP36;
tSPtf;</v>
      </c>
      <c r="AP330" s="89"/>
    </row>
    <row r="331">
      <c r="A331" s="151" t="str">
        <f>IFERROR(__xludf.DUMMYFUNCTION("""COMPUTED_VALUE"""),"tSPml")</f>
        <v>tSPml</v>
      </c>
      <c r="B331" s="42" t="str">
        <f>IFERROR(__xludf.DUMMYFUNCTION("""COMPUTED_VALUE"""),"DHBA")</f>
        <v>DHBA</v>
      </c>
      <c r="C331" s="42" t="str">
        <f>IFERROR(__xludf.DUMMYFUNCTION("""COMPUTED_VALUE"""),"SP in midlateral temporal cortex")</f>
        <v>SP in midlateral temporal cortex</v>
      </c>
      <c r="D331" s="42">
        <f>IFERROR(__xludf.DUMMYFUNCTION("""COMPUTED_VALUE"""),297.0)</f>
        <v>297</v>
      </c>
      <c r="E331" s="39" t="str">
        <f>IFERROR(__xludf.DUMMYFUNCTION("""COMPUTED_VALUE"""),"SP in midlateral temporal cortex")</f>
        <v>SP in midlateral temporal cortex</v>
      </c>
      <c r="F331" s="9" t="str">
        <f>IFERROR(__xludf.DUMMYFUNCTION("""COMPUTED_VALUE"""),"Br")</f>
        <v>Br</v>
      </c>
      <c r="G331" s="9" t="str">
        <f>IFERROR(__xludf.DUMMYFUNCTION("""COMPUTED_VALUE"""),"F")</f>
        <v>F</v>
      </c>
      <c r="H331" s="9" t="str">
        <f>IFERROR(__xludf.DUMMYFUNCTION("""COMPUTED_VALUE"""),"FGM")</f>
        <v>FGM</v>
      </c>
      <c r="I331" s="9" t="str">
        <f>IFERROR(__xludf.DUMMYFUNCTION("""COMPUTED_VALUE"""),"FTS")</f>
        <v>FTS</v>
      </c>
      <c r="J331" s="9" t="str">
        <f>IFERROR(__xludf.DUMMYFUNCTION("""COMPUTED_VALUE"""),"SP")</f>
        <v>SP</v>
      </c>
      <c r="K331" s="9" t="str">
        <f>IFERROR(__xludf.DUMMYFUNCTION("""COMPUTED_VALUE"""),"tSP")</f>
        <v>tSP</v>
      </c>
      <c r="L331" s="9" t="str">
        <f>IFERROR(__xludf.DUMMYFUNCTION("""COMPUTED_VALUE"""),"tSPvl")</f>
        <v>tSPvl</v>
      </c>
      <c r="M331" s="9" t="str">
        <f>IFERROR(__xludf.DUMMYFUNCTION("""COMPUTED_VALUE"""),"tSPml")</f>
        <v>tSPml</v>
      </c>
      <c r="N331" s="9"/>
      <c r="O331" s="9"/>
      <c r="P331" s="9"/>
      <c r="Q331" s="9"/>
      <c r="R331" s="9"/>
      <c r="S331" s="42"/>
      <c r="T331" s="42"/>
      <c r="U331" s="159"/>
      <c r="V331" s="42"/>
      <c r="W331" s="42"/>
      <c r="X331" s="42"/>
      <c r="Y331" s="42"/>
      <c r="Z331" s="42"/>
      <c r="AA331" s="42"/>
      <c r="AB331" s="42" t="str">
        <f>IFERROR(__xludf.DUMMYFUNCTION("""COMPUTED_VALUE"""),"allen institute")</f>
        <v>allen institute</v>
      </c>
      <c r="AC331" s="42" t="str">
        <f>IFERROR(__xludf.DUMMYFUNCTION("""COMPUTED_VALUE"""),"DHBA")</f>
        <v>DHBA</v>
      </c>
      <c r="AD331" s="42"/>
      <c r="AE331" s="42"/>
      <c r="AF331" s="9"/>
      <c r="AG331" s="9"/>
      <c r="AH331" s="42"/>
      <c r="AI331" s="42"/>
      <c r="AJ331" s="42"/>
      <c r="AK331" s="42"/>
      <c r="AL331" s="42"/>
      <c r="AM331" s="42"/>
      <c r="AN331" s="42"/>
      <c r="AO331" s="63" t="str">
        <f>IFERROR(__xludf.DUMMYFUNCTION("IF(ISBLANK(A331),,IF(ISBLANK(S331), A331&amp;"";"", TEXTJOIN(CHAR(10), TRUE, A331&amp;"";"", ARRAYFORMULA(VLOOKUP(SPLIT(S331, "";"" &amp; CHAR(10)), $A:$AO, 41, FALSE)))))"),"tSPml;")</f>
        <v>tSPml;</v>
      </c>
      <c r="AP331" s="89"/>
    </row>
    <row r="332">
      <c r="A332" s="151" t="str">
        <f>IFERROR(__xludf.DUMMYFUNCTION("""COMPUTED_VALUE"""),"tSPil")</f>
        <v>tSPil</v>
      </c>
      <c r="B332" s="42" t="str">
        <f>IFERROR(__xludf.DUMMYFUNCTION("""COMPUTED_VALUE"""),"DHBA")</f>
        <v>DHBA</v>
      </c>
      <c r="C332" s="42" t="str">
        <f>IFERROR(__xludf.DUMMYFUNCTION("""COMPUTED_VALUE"""),"SP in inferolateral temporal cortex")</f>
        <v>SP in inferolateral temporal cortex</v>
      </c>
      <c r="D332" s="42">
        <f>IFERROR(__xludf.DUMMYFUNCTION("""COMPUTED_VALUE"""),298.0)</f>
        <v>298</v>
      </c>
      <c r="E332" s="39" t="str">
        <f>IFERROR(__xludf.DUMMYFUNCTION("""COMPUTED_VALUE"""),"SP in inferolateral temporal cortex")</f>
        <v>SP in inferolateral temporal cortex</v>
      </c>
      <c r="F332" s="9" t="str">
        <f>IFERROR(__xludf.DUMMYFUNCTION("""COMPUTED_VALUE"""),"Br")</f>
        <v>Br</v>
      </c>
      <c r="G332" s="9" t="str">
        <f>IFERROR(__xludf.DUMMYFUNCTION("""COMPUTED_VALUE"""),"F")</f>
        <v>F</v>
      </c>
      <c r="H332" s="9" t="str">
        <f>IFERROR(__xludf.DUMMYFUNCTION("""COMPUTED_VALUE"""),"FGM")</f>
        <v>FGM</v>
      </c>
      <c r="I332" s="9" t="str">
        <f>IFERROR(__xludf.DUMMYFUNCTION("""COMPUTED_VALUE"""),"FTS")</f>
        <v>FTS</v>
      </c>
      <c r="J332" s="9" t="str">
        <f>IFERROR(__xludf.DUMMYFUNCTION("""COMPUTED_VALUE"""),"SP")</f>
        <v>SP</v>
      </c>
      <c r="K332" s="9" t="str">
        <f>IFERROR(__xludf.DUMMYFUNCTION("""COMPUTED_VALUE"""),"tSP")</f>
        <v>tSP</v>
      </c>
      <c r="L332" s="9" t="str">
        <f>IFERROR(__xludf.DUMMYFUNCTION("""COMPUTED_VALUE"""),"tSPvl")</f>
        <v>tSPvl</v>
      </c>
      <c r="M332" s="9" t="str">
        <f>IFERROR(__xludf.DUMMYFUNCTION("""COMPUTED_VALUE"""),"tSPil")</f>
        <v>tSPil</v>
      </c>
      <c r="N332" s="9"/>
      <c r="O332" s="9"/>
      <c r="P332" s="9"/>
      <c r="Q332" s="9"/>
      <c r="R332" s="9"/>
      <c r="S332" s="42"/>
      <c r="T332" s="42"/>
      <c r="U332" s="159"/>
      <c r="V332" s="42"/>
      <c r="W332" s="42"/>
      <c r="X332" s="42"/>
      <c r="Y332" s="42"/>
      <c r="Z332" s="42"/>
      <c r="AA332" s="42"/>
      <c r="AB332" s="42" t="str">
        <f>IFERROR(__xludf.DUMMYFUNCTION("""COMPUTED_VALUE"""),"allen institute")</f>
        <v>allen institute</v>
      </c>
      <c r="AC332" s="42" t="str">
        <f>IFERROR(__xludf.DUMMYFUNCTION("""COMPUTED_VALUE"""),"DHBA")</f>
        <v>DHBA</v>
      </c>
      <c r="AD332" s="42"/>
      <c r="AE332" s="42"/>
      <c r="AF332" s="9"/>
      <c r="AG332" s="9"/>
      <c r="AH332" s="42"/>
      <c r="AI332" s="42"/>
      <c r="AJ332" s="42"/>
      <c r="AK332" s="42"/>
      <c r="AL332" s="42"/>
      <c r="AM332" s="42"/>
      <c r="AN332" s="42"/>
      <c r="AO332" s="63" t="str">
        <f>IFERROR(__xludf.DUMMYFUNCTION("IF(ISBLANK(A332),,IF(ISBLANK(S332), A332&amp;"";"", TEXTJOIN(CHAR(10), TRUE, A332&amp;"";"", ARRAYFORMULA(VLOOKUP(SPLIT(S332, "";"" &amp; CHAR(10)), $A:$AO, 41, FALSE)))))"),"tSPil;")</f>
        <v>tSPil;</v>
      </c>
      <c r="AP332" s="89"/>
    </row>
    <row r="333">
      <c r="A333" s="151" t="str">
        <f>IFERROR(__xludf.DUMMYFUNCTION("""COMPUTED_VALUE"""),"tSPmi")</f>
        <v>tSPmi</v>
      </c>
      <c r="B333" s="42" t="str">
        <f>IFERROR(__xludf.DUMMYFUNCTION("""COMPUTED_VALUE"""),"DHBA")</f>
        <v>DHBA</v>
      </c>
      <c r="C333" s="42" t="str">
        <f>IFERROR(__xludf.DUMMYFUNCTION("""COMPUTED_VALUE"""),"SP in midinferior temporal cortex")</f>
        <v>SP in midinferior temporal cortex</v>
      </c>
      <c r="D333" s="42">
        <f>IFERROR(__xludf.DUMMYFUNCTION("""COMPUTED_VALUE"""),299.0)</f>
        <v>299</v>
      </c>
      <c r="E333" s="39" t="str">
        <f>IFERROR(__xludf.DUMMYFUNCTION("""COMPUTED_VALUE"""),"SP in midinferior temporal cortex")</f>
        <v>SP in midinferior temporal cortex</v>
      </c>
      <c r="F333" s="9" t="str">
        <f>IFERROR(__xludf.DUMMYFUNCTION("""COMPUTED_VALUE"""),"Br")</f>
        <v>Br</v>
      </c>
      <c r="G333" s="9" t="str">
        <f>IFERROR(__xludf.DUMMYFUNCTION("""COMPUTED_VALUE"""),"F")</f>
        <v>F</v>
      </c>
      <c r="H333" s="9" t="str">
        <f>IFERROR(__xludf.DUMMYFUNCTION("""COMPUTED_VALUE"""),"FGM")</f>
        <v>FGM</v>
      </c>
      <c r="I333" s="9" t="str">
        <f>IFERROR(__xludf.DUMMYFUNCTION("""COMPUTED_VALUE"""),"FTS")</f>
        <v>FTS</v>
      </c>
      <c r="J333" s="9" t="str">
        <f>IFERROR(__xludf.DUMMYFUNCTION("""COMPUTED_VALUE"""),"SP")</f>
        <v>SP</v>
      </c>
      <c r="K333" s="9" t="str">
        <f>IFERROR(__xludf.DUMMYFUNCTION("""COMPUTED_VALUE"""),"tSP")</f>
        <v>tSP</v>
      </c>
      <c r="L333" s="9" t="str">
        <f>IFERROR(__xludf.DUMMYFUNCTION("""COMPUTED_VALUE"""),"tSPvl")</f>
        <v>tSPvl</v>
      </c>
      <c r="M333" s="9" t="str">
        <f>IFERROR(__xludf.DUMMYFUNCTION("""COMPUTED_VALUE"""),"tSPmi")</f>
        <v>tSPmi</v>
      </c>
      <c r="N333" s="9"/>
      <c r="O333" s="9"/>
      <c r="P333" s="9"/>
      <c r="Q333" s="9"/>
      <c r="R333" s="9"/>
      <c r="S333" s="42" t="str">
        <f>IFERROR(__xludf.DUMMYFUNCTION("""COMPUTED_VALUE"""),"tSP36;
tSPtf")</f>
        <v>tSP36;
tSPtf</v>
      </c>
      <c r="T333" s="42"/>
      <c r="U333" s="159" t="b">
        <f>IFERROR(__xludf.DUMMYFUNCTION("""COMPUTED_VALUE"""),FALSE)</f>
        <v>0</v>
      </c>
      <c r="V333" s="42"/>
      <c r="W333" s="42"/>
      <c r="X333" s="42"/>
      <c r="Y333" s="42"/>
      <c r="Z333" s="42"/>
      <c r="AA333" s="42"/>
      <c r="AB333" s="42" t="str">
        <f>IFERROR(__xludf.DUMMYFUNCTION("""COMPUTED_VALUE"""),"allen institute")</f>
        <v>allen institute</v>
      </c>
      <c r="AC333" s="42" t="str">
        <f>IFERROR(__xludf.DUMMYFUNCTION("""COMPUTED_VALUE"""),"DHBA")</f>
        <v>DHBA</v>
      </c>
      <c r="AD333" s="42"/>
      <c r="AE333" s="42"/>
      <c r="AF333" s="9"/>
      <c r="AG333" s="9"/>
      <c r="AH333" s="42"/>
      <c r="AI333" s="42"/>
      <c r="AJ333" s="42"/>
      <c r="AK333" s="42"/>
      <c r="AL333" s="42"/>
      <c r="AM333" s="42"/>
      <c r="AN333" s="42"/>
      <c r="AO333" s="63" t="str">
        <f>IFERROR(__xludf.DUMMYFUNCTION("IF(ISBLANK(A333),,IF(ISBLANK(S333), A333&amp;"";"", TEXTJOIN(CHAR(10), TRUE, A333&amp;"";"", ARRAYFORMULA(VLOOKUP(SPLIT(S333, "";"" &amp; CHAR(10)), $A:$AO, 41, FALSE)))))"),"tSPmi;
tSP36;
tSPtf;")</f>
        <v>tSPmi;
tSP36;
tSPtf;</v>
      </c>
      <c r="AP333" s="89"/>
    </row>
    <row r="334">
      <c r="A334" s="151" t="str">
        <f>IFERROR(__xludf.DUMMYFUNCTION("""COMPUTED_VALUE"""),"tSP36")</f>
        <v>tSP36</v>
      </c>
      <c r="B334" s="42" t="str">
        <f>IFERROR(__xludf.DUMMYFUNCTION("""COMPUTED_VALUE"""),"DHBA")</f>
        <v>DHBA</v>
      </c>
      <c r="C334" s="42" t="str">
        <f>IFERROR(__xludf.DUMMYFUNCTION("""COMPUTED_VALUE"""),"SP in rostral midinferior temporal cortex (area 36)")</f>
        <v>SP in rostral midinferior temporal cortex (area 36)</v>
      </c>
      <c r="D334" s="42">
        <f>IFERROR(__xludf.DUMMYFUNCTION("""COMPUTED_VALUE"""),300.0)</f>
        <v>300</v>
      </c>
      <c r="E334" s="39" t="str">
        <f>IFERROR(__xludf.DUMMYFUNCTION("""COMPUTED_VALUE"""),"SP in rostral midinferior temporal cortex (area 36)")</f>
        <v>SP in rostral midinferior temporal cortex (area 36)</v>
      </c>
      <c r="F334" s="9" t="str">
        <f>IFERROR(__xludf.DUMMYFUNCTION("""COMPUTED_VALUE"""),"Br")</f>
        <v>Br</v>
      </c>
      <c r="G334" s="9" t="str">
        <f>IFERROR(__xludf.DUMMYFUNCTION("""COMPUTED_VALUE"""),"F")</f>
        <v>F</v>
      </c>
      <c r="H334" s="9" t="str">
        <f>IFERROR(__xludf.DUMMYFUNCTION("""COMPUTED_VALUE"""),"FGM")</f>
        <v>FGM</v>
      </c>
      <c r="I334" s="9" t="str">
        <f>IFERROR(__xludf.DUMMYFUNCTION("""COMPUTED_VALUE"""),"FTS")</f>
        <v>FTS</v>
      </c>
      <c r="J334" s="9" t="str">
        <f>IFERROR(__xludf.DUMMYFUNCTION("""COMPUTED_VALUE"""),"SP")</f>
        <v>SP</v>
      </c>
      <c r="K334" s="9" t="str">
        <f>IFERROR(__xludf.DUMMYFUNCTION("""COMPUTED_VALUE"""),"tSP")</f>
        <v>tSP</v>
      </c>
      <c r="L334" s="9" t="str">
        <f>IFERROR(__xludf.DUMMYFUNCTION("""COMPUTED_VALUE"""),"tSPvl")</f>
        <v>tSPvl</v>
      </c>
      <c r="M334" s="9" t="str">
        <f>IFERROR(__xludf.DUMMYFUNCTION("""COMPUTED_VALUE"""),"tSPmi")</f>
        <v>tSPmi</v>
      </c>
      <c r="N334" s="9" t="str">
        <f>IFERROR(__xludf.DUMMYFUNCTION("""COMPUTED_VALUE"""),"tSP36")</f>
        <v>tSP36</v>
      </c>
      <c r="O334" s="9"/>
      <c r="P334" s="9"/>
      <c r="Q334" s="9"/>
      <c r="R334" s="9"/>
      <c r="S334" s="42"/>
      <c r="T334" s="42"/>
      <c r="U334" s="42"/>
      <c r="V334" s="42"/>
      <c r="W334" s="42"/>
      <c r="X334" s="42"/>
      <c r="Y334" s="42"/>
      <c r="Z334" s="42"/>
      <c r="AA334" s="42"/>
      <c r="AB334" s="42" t="str">
        <f>IFERROR(__xludf.DUMMYFUNCTION("""COMPUTED_VALUE"""),"allen institute")</f>
        <v>allen institute</v>
      </c>
      <c r="AC334" s="42" t="str">
        <f>IFERROR(__xludf.DUMMYFUNCTION("""COMPUTED_VALUE"""),"DHBA")</f>
        <v>DHBA</v>
      </c>
      <c r="AD334" s="42"/>
      <c r="AE334" s="42"/>
      <c r="AF334" s="9"/>
      <c r="AG334" s="9"/>
      <c r="AH334" s="42"/>
      <c r="AI334" s="42"/>
      <c r="AJ334" s="42"/>
      <c r="AK334" s="42"/>
      <c r="AL334" s="42"/>
      <c r="AM334" s="42"/>
      <c r="AN334" s="42"/>
      <c r="AO334" s="63" t="str">
        <f>IFERROR(__xludf.DUMMYFUNCTION("IF(ISBLANK(A334),,IF(ISBLANK(S334), A334&amp;"";"", TEXTJOIN(CHAR(10), TRUE, A334&amp;"";"", ARRAYFORMULA(VLOOKUP(SPLIT(S334, "";"" &amp; CHAR(10)), $A:$AO, 41, FALSE)))))"),"tSP36;")</f>
        <v>tSP36;</v>
      </c>
      <c r="AP334" s="89"/>
    </row>
    <row r="335">
      <c r="A335" s="151" t="str">
        <f>IFERROR(__xludf.DUMMYFUNCTION("""COMPUTED_VALUE"""),"tSPtf")</f>
        <v>tSPtf</v>
      </c>
      <c r="B335" s="42" t="str">
        <f>IFERROR(__xludf.DUMMYFUNCTION("""COMPUTED_VALUE"""),"DHBA")</f>
        <v>DHBA</v>
      </c>
      <c r="C335" s="42" t="str">
        <f>IFERROR(__xludf.DUMMYFUNCTION("""COMPUTED_VALUE"""),"SP in caudal midinferior temporal cortex (area TF)")</f>
        <v>SP in caudal midinferior temporal cortex (area TF)</v>
      </c>
      <c r="D335" s="42">
        <f>IFERROR(__xludf.DUMMYFUNCTION("""COMPUTED_VALUE"""),301.0)</f>
        <v>301</v>
      </c>
      <c r="E335" s="39" t="str">
        <f>IFERROR(__xludf.DUMMYFUNCTION("""COMPUTED_VALUE"""),"SP in caudal midinferior temporal cortex (area TF)")</f>
        <v>SP in caudal midinferior temporal cortex (area TF)</v>
      </c>
      <c r="F335" s="9" t="str">
        <f>IFERROR(__xludf.DUMMYFUNCTION("""COMPUTED_VALUE"""),"Br")</f>
        <v>Br</v>
      </c>
      <c r="G335" s="9" t="str">
        <f>IFERROR(__xludf.DUMMYFUNCTION("""COMPUTED_VALUE"""),"F")</f>
        <v>F</v>
      </c>
      <c r="H335" s="9" t="str">
        <f>IFERROR(__xludf.DUMMYFUNCTION("""COMPUTED_VALUE"""),"FGM")</f>
        <v>FGM</v>
      </c>
      <c r="I335" s="9" t="str">
        <f>IFERROR(__xludf.DUMMYFUNCTION("""COMPUTED_VALUE"""),"FTS")</f>
        <v>FTS</v>
      </c>
      <c r="J335" s="9" t="str">
        <f>IFERROR(__xludf.DUMMYFUNCTION("""COMPUTED_VALUE"""),"SP")</f>
        <v>SP</v>
      </c>
      <c r="K335" s="9" t="str">
        <f>IFERROR(__xludf.DUMMYFUNCTION("""COMPUTED_VALUE"""),"tSP")</f>
        <v>tSP</v>
      </c>
      <c r="L335" s="9" t="str">
        <f>IFERROR(__xludf.DUMMYFUNCTION("""COMPUTED_VALUE"""),"tSPvl")</f>
        <v>tSPvl</v>
      </c>
      <c r="M335" s="9" t="str">
        <f>IFERROR(__xludf.DUMMYFUNCTION("""COMPUTED_VALUE"""),"tSPmi")</f>
        <v>tSPmi</v>
      </c>
      <c r="N335" s="9" t="str">
        <f>IFERROR(__xludf.DUMMYFUNCTION("""COMPUTED_VALUE"""),"tSPtf")</f>
        <v>tSPtf</v>
      </c>
      <c r="O335" s="9"/>
      <c r="P335" s="9"/>
      <c r="Q335" s="9"/>
      <c r="R335" s="9"/>
      <c r="S335" s="42"/>
      <c r="T335" s="42"/>
      <c r="U335" s="42"/>
      <c r="V335" s="42"/>
      <c r="W335" s="42"/>
      <c r="X335" s="42"/>
      <c r="Y335" s="42"/>
      <c r="Z335" s="42"/>
      <c r="AA335" s="42"/>
      <c r="AB335" s="42" t="str">
        <f>IFERROR(__xludf.DUMMYFUNCTION("""COMPUTED_VALUE"""),"allen institute")</f>
        <v>allen institute</v>
      </c>
      <c r="AC335" s="42" t="str">
        <f>IFERROR(__xludf.DUMMYFUNCTION("""COMPUTED_VALUE"""),"DHBA")</f>
        <v>DHBA</v>
      </c>
      <c r="AD335" s="42"/>
      <c r="AE335" s="42"/>
      <c r="AF335" s="9"/>
      <c r="AG335" s="9"/>
      <c r="AH335" s="42"/>
      <c r="AI335" s="42"/>
      <c r="AJ335" s="42"/>
      <c r="AK335" s="42"/>
      <c r="AL335" s="42"/>
      <c r="AM335" s="42"/>
      <c r="AN335" s="42"/>
      <c r="AO335" s="63" t="str">
        <f>IFERROR(__xludf.DUMMYFUNCTION("IF(ISBLANK(A335),,IF(ISBLANK(S335), A335&amp;"";"", TEXTJOIN(CHAR(10), TRUE, A335&amp;"";"", ARRAYFORMULA(VLOOKUP(SPLIT(S335, "";"" &amp; CHAR(10)), $A:$AO, 41, FALSE)))))"),"tSPtf;")</f>
        <v>tSPtf;</v>
      </c>
      <c r="AP335" s="89"/>
    </row>
    <row r="336">
      <c r="A336" s="151" t="str">
        <f>IFERROR(__xludf.DUMMYFUNCTION("""COMPUTED_VALUE"""),"tSPph")</f>
        <v>tSPph</v>
      </c>
      <c r="B336" s="42" t="str">
        <f>IFERROR(__xludf.DUMMYFUNCTION("""COMPUTED_VALUE"""),"DHBA")</f>
        <v>DHBA</v>
      </c>
      <c r="C336" s="42" t="str">
        <f>IFERROR(__xludf.DUMMYFUNCTION("""COMPUTED_VALUE"""),"SP in posterior parahippocampal cortex")</f>
        <v>SP in posterior parahippocampal cortex</v>
      </c>
      <c r="D336" s="42">
        <f>IFERROR(__xludf.DUMMYFUNCTION("""COMPUTED_VALUE"""),302.0)</f>
        <v>302</v>
      </c>
      <c r="E336" s="39" t="str">
        <f>IFERROR(__xludf.DUMMYFUNCTION("""COMPUTED_VALUE"""),"SP in posterior parahippocampal cortex")</f>
        <v>SP in posterior parahippocampal cortex</v>
      </c>
      <c r="F336" s="9" t="str">
        <f>IFERROR(__xludf.DUMMYFUNCTION("""COMPUTED_VALUE"""),"Br")</f>
        <v>Br</v>
      </c>
      <c r="G336" s="9" t="str">
        <f>IFERROR(__xludf.DUMMYFUNCTION("""COMPUTED_VALUE"""),"F")</f>
        <v>F</v>
      </c>
      <c r="H336" s="9" t="str">
        <f>IFERROR(__xludf.DUMMYFUNCTION("""COMPUTED_VALUE"""),"FGM")</f>
        <v>FGM</v>
      </c>
      <c r="I336" s="9" t="str">
        <f>IFERROR(__xludf.DUMMYFUNCTION("""COMPUTED_VALUE"""),"FTS")</f>
        <v>FTS</v>
      </c>
      <c r="J336" s="9" t="str">
        <f>IFERROR(__xludf.DUMMYFUNCTION("""COMPUTED_VALUE"""),"SP")</f>
        <v>SP</v>
      </c>
      <c r="K336" s="9" t="str">
        <f>IFERROR(__xludf.DUMMYFUNCTION("""COMPUTED_VALUE"""),"tSP")</f>
        <v>tSP</v>
      </c>
      <c r="L336" s="9" t="str">
        <f>IFERROR(__xludf.DUMMYFUNCTION("""COMPUTED_VALUE"""),"tSPph")</f>
        <v>tSPph</v>
      </c>
      <c r="M336" s="9"/>
      <c r="N336" s="9"/>
      <c r="O336" s="9"/>
      <c r="P336" s="9"/>
      <c r="Q336" s="9"/>
      <c r="R336" s="9"/>
      <c r="S336" s="42"/>
      <c r="T336" s="42"/>
      <c r="U336" s="42"/>
      <c r="V336" s="42"/>
      <c r="W336" s="42"/>
      <c r="X336" s="42"/>
      <c r="Y336" s="42"/>
      <c r="Z336" s="42"/>
      <c r="AA336" s="42"/>
      <c r="AB336" s="42" t="str">
        <f>IFERROR(__xludf.DUMMYFUNCTION("""COMPUTED_VALUE"""),"allen institute")</f>
        <v>allen institute</v>
      </c>
      <c r="AC336" s="42" t="str">
        <f>IFERROR(__xludf.DUMMYFUNCTION("""COMPUTED_VALUE"""),"DHBA")</f>
        <v>DHBA</v>
      </c>
      <c r="AD336" s="42"/>
      <c r="AE336" s="42"/>
      <c r="AF336" s="9"/>
      <c r="AG336" s="9"/>
      <c r="AH336" s="42"/>
      <c r="AI336" s="42"/>
      <c r="AJ336" s="42"/>
      <c r="AK336" s="42"/>
      <c r="AL336" s="42"/>
      <c r="AM336" s="42"/>
      <c r="AN336" s="42"/>
      <c r="AO336" s="63" t="str">
        <f>IFERROR(__xludf.DUMMYFUNCTION("IF(ISBLANK(A336),,IF(ISBLANK(S336), A336&amp;"";"", TEXTJOIN(CHAR(10), TRUE, A336&amp;"";"", ARRAYFORMULA(VLOOKUP(SPLIT(S336, "";"" &amp; CHAR(10)), $A:$AO, 41, FALSE)))))"),"tSPph;")</f>
        <v>tSPph;</v>
      </c>
      <c r="AP336" s="89"/>
    </row>
    <row r="337">
      <c r="A337" s="151" t="str">
        <f>IFERROR(__xludf.DUMMYFUNCTION("""COMPUTED_VALUE"""),"tSPmt")</f>
        <v>tSPmt</v>
      </c>
      <c r="B337" s="42" t="str">
        <f>IFERROR(__xludf.DUMMYFUNCTION("""COMPUTED_VALUE"""),"DHBA")</f>
        <v>DHBA</v>
      </c>
      <c r="C337" s="42" t="str">
        <f>IFERROR(__xludf.DUMMYFUNCTION("""COMPUTED_VALUE"""),"SP in medial temporal-occipital cortex")</f>
        <v>SP in medial temporal-occipital cortex</v>
      </c>
      <c r="D337" s="42">
        <f>IFERROR(__xludf.DUMMYFUNCTION("""COMPUTED_VALUE"""),303.0)</f>
        <v>303</v>
      </c>
      <c r="E337" s="39" t="str">
        <f>IFERROR(__xludf.DUMMYFUNCTION("""COMPUTED_VALUE"""),"SP in medial temporal-occipital cortex")</f>
        <v>SP in medial temporal-occipital cortex</v>
      </c>
      <c r="F337" s="9" t="str">
        <f>IFERROR(__xludf.DUMMYFUNCTION("""COMPUTED_VALUE"""),"Br")</f>
        <v>Br</v>
      </c>
      <c r="G337" s="9" t="str">
        <f>IFERROR(__xludf.DUMMYFUNCTION("""COMPUTED_VALUE"""),"F")</f>
        <v>F</v>
      </c>
      <c r="H337" s="9" t="str">
        <f>IFERROR(__xludf.DUMMYFUNCTION("""COMPUTED_VALUE"""),"FGM")</f>
        <v>FGM</v>
      </c>
      <c r="I337" s="9" t="str">
        <f>IFERROR(__xludf.DUMMYFUNCTION("""COMPUTED_VALUE"""),"FTS")</f>
        <v>FTS</v>
      </c>
      <c r="J337" s="9" t="str">
        <f>IFERROR(__xludf.DUMMYFUNCTION("""COMPUTED_VALUE"""),"SP")</f>
        <v>SP</v>
      </c>
      <c r="K337" s="9" t="str">
        <f>IFERROR(__xludf.DUMMYFUNCTION("""COMPUTED_VALUE"""),"tSP")</f>
        <v>tSP</v>
      </c>
      <c r="L337" s="9" t="str">
        <f>IFERROR(__xludf.DUMMYFUNCTION("""COMPUTED_VALUE"""),"tSPmt")</f>
        <v>tSPmt</v>
      </c>
      <c r="M337" s="9"/>
      <c r="N337" s="9"/>
      <c r="O337" s="9"/>
      <c r="P337" s="9"/>
      <c r="Q337" s="9"/>
      <c r="R337" s="9"/>
      <c r="S337" s="42"/>
      <c r="T337" s="42"/>
      <c r="U337" s="42"/>
      <c r="V337" s="42"/>
      <c r="W337" s="42"/>
      <c r="X337" s="42"/>
      <c r="Y337" s="42"/>
      <c r="Z337" s="42"/>
      <c r="AA337" s="42"/>
      <c r="AB337" s="42" t="str">
        <f>IFERROR(__xludf.DUMMYFUNCTION("""COMPUTED_VALUE"""),"allen institute")</f>
        <v>allen institute</v>
      </c>
      <c r="AC337" s="42" t="str">
        <f>IFERROR(__xludf.DUMMYFUNCTION("""COMPUTED_VALUE"""),"DHBA")</f>
        <v>DHBA</v>
      </c>
      <c r="AD337" s="42"/>
      <c r="AE337" s="42"/>
      <c r="AF337" s="9"/>
      <c r="AG337" s="9"/>
      <c r="AH337" s="42"/>
      <c r="AI337" s="42"/>
      <c r="AJ337" s="42"/>
      <c r="AK337" s="42"/>
      <c r="AL337" s="42"/>
      <c r="AM337" s="42"/>
      <c r="AN337" s="42"/>
      <c r="AO337" s="63" t="str">
        <f>IFERROR(__xludf.DUMMYFUNCTION("IF(ISBLANK(A337),,IF(ISBLANK(S337), A337&amp;"";"", TEXTJOIN(CHAR(10), TRUE, A337&amp;"";"", ARRAYFORMULA(VLOOKUP(SPLIT(S337, "";"" &amp; CHAR(10)), $A:$AO, 41, FALSE)))))"),"tSPmt;")</f>
        <v>tSPmt;</v>
      </c>
      <c r="AP337" s="89"/>
    </row>
    <row r="338">
      <c r="A338" s="151" t="str">
        <f>IFERROR(__xludf.DUMMYFUNCTION("""COMPUTED_VALUE"""),"tSPlt")</f>
        <v>tSPlt</v>
      </c>
      <c r="B338" s="42" t="str">
        <f>IFERROR(__xludf.DUMMYFUNCTION("""COMPUTED_VALUE"""),"DHBA")</f>
        <v>DHBA</v>
      </c>
      <c r="C338" s="42" t="str">
        <f>IFERROR(__xludf.DUMMYFUNCTION("""COMPUTED_VALUE"""),"SP in lateral temporal-occipital cortex")</f>
        <v>SP in lateral temporal-occipital cortex</v>
      </c>
      <c r="D338" s="42">
        <f>IFERROR(__xludf.DUMMYFUNCTION("""COMPUTED_VALUE"""),304.0)</f>
        <v>304</v>
      </c>
      <c r="E338" s="39" t="str">
        <f>IFERROR(__xludf.DUMMYFUNCTION("""COMPUTED_VALUE"""),"SP in lateral temporal-occipital cortex")</f>
        <v>SP in lateral temporal-occipital cortex</v>
      </c>
      <c r="F338" s="9" t="str">
        <f>IFERROR(__xludf.DUMMYFUNCTION("""COMPUTED_VALUE"""),"Br")</f>
        <v>Br</v>
      </c>
      <c r="G338" s="9" t="str">
        <f>IFERROR(__xludf.DUMMYFUNCTION("""COMPUTED_VALUE"""),"F")</f>
        <v>F</v>
      </c>
      <c r="H338" s="9" t="str">
        <f>IFERROR(__xludf.DUMMYFUNCTION("""COMPUTED_VALUE"""),"FGM")</f>
        <v>FGM</v>
      </c>
      <c r="I338" s="9" t="str">
        <f>IFERROR(__xludf.DUMMYFUNCTION("""COMPUTED_VALUE"""),"FTS")</f>
        <v>FTS</v>
      </c>
      <c r="J338" s="9" t="str">
        <f>IFERROR(__xludf.DUMMYFUNCTION("""COMPUTED_VALUE"""),"SP")</f>
        <v>SP</v>
      </c>
      <c r="K338" s="9" t="str">
        <f>IFERROR(__xludf.DUMMYFUNCTION("""COMPUTED_VALUE"""),"tSP")</f>
        <v>tSP</v>
      </c>
      <c r="L338" s="9" t="str">
        <f>IFERROR(__xludf.DUMMYFUNCTION("""COMPUTED_VALUE"""),"tSPlt")</f>
        <v>tSPlt</v>
      </c>
      <c r="M338" s="9"/>
      <c r="N338" s="9"/>
      <c r="O338" s="9"/>
      <c r="P338" s="9"/>
      <c r="Q338" s="9"/>
      <c r="R338" s="9"/>
      <c r="S338" s="42"/>
      <c r="T338" s="42"/>
      <c r="U338" s="42"/>
      <c r="V338" s="42"/>
      <c r="W338" s="42"/>
      <c r="X338" s="42"/>
      <c r="Y338" s="42"/>
      <c r="Z338" s="42"/>
      <c r="AA338" s="42"/>
      <c r="AB338" s="42" t="str">
        <f>IFERROR(__xludf.DUMMYFUNCTION("""COMPUTED_VALUE"""),"allen institute")</f>
        <v>allen institute</v>
      </c>
      <c r="AC338" s="42" t="str">
        <f>IFERROR(__xludf.DUMMYFUNCTION("""COMPUTED_VALUE"""),"DHBA")</f>
        <v>DHBA</v>
      </c>
      <c r="AD338" s="42"/>
      <c r="AE338" s="42"/>
      <c r="AF338" s="9"/>
      <c r="AG338" s="9"/>
      <c r="AH338" s="42"/>
      <c r="AI338" s="42"/>
      <c r="AJ338" s="42"/>
      <c r="AK338" s="42"/>
      <c r="AL338" s="42"/>
      <c r="AM338" s="42"/>
      <c r="AN338" s="42"/>
      <c r="AO338" s="63" t="str">
        <f>IFERROR(__xludf.DUMMYFUNCTION("IF(ISBLANK(A338),,IF(ISBLANK(S338), A338&amp;"";"", TEXTJOIN(CHAR(10), TRUE, A338&amp;"";"", ARRAYFORMULA(VLOOKUP(SPLIT(S338, "";"" &amp; CHAR(10)), $A:$AO, 41, FALSE)))))"),"tSPlt;")</f>
        <v>tSPlt;</v>
      </c>
      <c r="AP338" s="89"/>
    </row>
    <row r="339">
      <c r="A339" s="151" t="str">
        <f>IFERROR(__xludf.DUMMYFUNCTION("""COMPUTED_VALUE"""),"tSPtp")</f>
        <v>tSPtp</v>
      </c>
      <c r="B339" s="42" t="str">
        <f>IFERROR(__xludf.DUMMYFUNCTION("""COMPUTED_VALUE"""),"DHBA")</f>
        <v>DHBA</v>
      </c>
      <c r="C339" s="42" t="str">
        <f>IFERROR(__xludf.DUMMYFUNCTION("""COMPUTED_VALUE"""),"SP in temporal polar cortex")</f>
        <v>SP in temporal polar cortex</v>
      </c>
      <c r="D339" s="42">
        <f>IFERROR(__xludf.DUMMYFUNCTION("""COMPUTED_VALUE"""),305.0)</f>
        <v>305</v>
      </c>
      <c r="E339" s="39" t="str">
        <f>IFERROR(__xludf.DUMMYFUNCTION("""COMPUTED_VALUE"""),"SP in temporal polar cortex")</f>
        <v>SP in temporal polar cortex</v>
      </c>
      <c r="F339" s="9" t="str">
        <f>IFERROR(__xludf.DUMMYFUNCTION("""COMPUTED_VALUE"""),"Br")</f>
        <v>Br</v>
      </c>
      <c r="G339" s="9" t="str">
        <f>IFERROR(__xludf.DUMMYFUNCTION("""COMPUTED_VALUE"""),"F")</f>
        <v>F</v>
      </c>
      <c r="H339" s="9" t="str">
        <f>IFERROR(__xludf.DUMMYFUNCTION("""COMPUTED_VALUE"""),"FGM")</f>
        <v>FGM</v>
      </c>
      <c r="I339" s="9" t="str">
        <f>IFERROR(__xludf.DUMMYFUNCTION("""COMPUTED_VALUE"""),"FTS")</f>
        <v>FTS</v>
      </c>
      <c r="J339" s="9" t="str">
        <f>IFERROR(__xludf.DUMMYFUNCTION("""COMPUTED_VALUE"""),"SP")</f>
        <v>SP</v>
      </c>
      <c r="K339" s="9" t="str">
        <f>IFERROR(__xludf.DUMMYFUNCTION("""COMPUTED_VALUE"""),"tSP")</f>
        <v>tSP</v>
      </c>
      <c r="L339" s="9" t="str">
        <f>IFERROR(__xludf.DUMMYFUNCTION("""COMPUTED_VALUE"""),"tSPtp")</f>
        <v>tSPtp</v>
      </c>
      <c r="M339" s="9"/>
      <c r="N339" s="9"/>
      <c r="O339" s="9"/>
      <c r="P339" s="9"/>
      <c r="Q339" s="9"/>
      <c r="R339" s="9"/>
      <c r="S339" s="42"/>
      <c r="T339" s="42"/>
      <c r="U339" s="42"/>
      <c r="V339" s="42"/>
      <c r="W339" s="42"/>
      <c r="X339" s="42"/>
      <c r="Y339" s="42"/>
      <c r="Z339" s="42"/>
      <c r="AA339" s="42"/>
      <c r="AB339" s="42" t="str">
        <f>IFERROR(__xludf.DUMMYFUNCTION("""COMPUTED_VALUE"""),"allen institute")</f>
        <v>allen institute</v>
      </c>
      <c r="AC339" s="42" t="str">
        <f>IFERROR(__xludf.DUMMYFUNCTION("""COMPUTED_VALUE"""),"DHBA")</f>
        <v>DHBA</v>
      </c>
      <c r="AD339" s="42"/>
      <c r="AE339" s="42"/>
      <c r="AF339" s="9"/>
      <c r="AG339" s="9"/>
      <c r="AH339" s="42"/>
      <c r="AI339" s="42"/>
      <c r="AJ339" s="42"/>
      <c r="AK339" s="42"/>
      <c r="AL339" s="42"/>
      <c r="AM339" s="42"/>
      <c r="AN339" s="42"/>
      <c r="AO339" s="63" t="str">
        <f>IFERROR(__xludf.DUMMYFUNCTION("IF(ISBLANK(A339),,IF(ISBLANK(S339), A339&amp;"";"", TEXTJOIN(CHAR(10), TRUE, A339&amp;"";"", ARRAYFORMULA(VLOOKUP(SPLIT(S339, "";"" &amp; CHAR(10)), $A:$AO, 41, FALSE)))))"),"tSPtp;")</f>
        <v>tSPtp;</v>
      </c>
      <c r="AP339" s="89"/>
    </row>
    <row r="340">
      <c r="A340" s="151" t="str">
        <f>IFERROR(__xludf.DUMMYFUNCTION("""COMPUTED_VALUE"""),"oSP")</f>
        <v>oSP</v>
      </c>
      <c r="B340" s="42" t="str">
        <f>IFERROR(__xludf.DUMMYFUNCTION("""COMPUTED_VALUE"""),"DHBA")</f>
        <v>DHBA</v>
      </c>
      <c r="C340" s="42" t="str">
        <f>IFERROR(__xludf.DUMMYFUNCTION("""COMPUTED_VALUE"""),"SP in occipital neocortex")</f>
        <v>SP in occipital neocortex</v>
      </c>
      <c r="D340" s="42">
        <f>IFERROR(__xludf.DUMMYFUNCTION("""COMPUTED_VALUE"""),306.0)</f>
        <v>306</v>
      </c>
      <c r="E340" s="39" t="str">
        <f>IFERROR(__xludf.DUMMYFUNCTION("""COMPUTED_VALUE"""),"SP in occipital neocortex")</f>
        <v>SP in occipital neocortex</v>
      </c>
      <c r="F340" s="9" t="str">
        <f>IFERROR(__xludf.DUMMYFUNCTION("""COMPUTED_VALUE"""),"Br")</f>
        <v>Br</v>
      </c>
      <c r="G340" s="9" t="str">
        <f>IFERROR(__xludf.DUMMYFUNCTION("""COMPUTED_VALUE"""),"F")</f>
        <v>F</v>
      </c>
      <c r="H340" s="9" t="str">
        <f>IFERROR(__xludf.DUMMYFUNCTION("""COMPUTED_VALUE"""),"FGM")</f>
        <v>FGM</v>
      </c>
      <c r="I340" s="9" t="str">
        <f>IFERROR(__xludf.DUMMYFUNCTION("""COMPUTED_VALUE"""),"FTS")</f>
        <v>FTS</v>
      </c>
      <c r="J340" s="9" t="str">
        <f>IFERROR(__xludf.DUMMYFUNCTION("""COMPUTED_VALUE"""),"SP")</f>
        <v>SP</v>
      </c>
      <c r="K340" s="9" t="str">
        <f>IFERROR(__xludf.DUMMYFUNCTION("""COMPUTED_VALUE"""),"oSP")</f>
        <v>oSP</v>
      </c>
      <c r="L340" s="9"/>
      <c r="M340" s="9"/>
      <c r="N340" s="9"/>
      <c r="O340" s="9"/>
      <c r="P340" s="9"/>
      <c r="Q340" s="9"/>
      <c r="R340" s="9"/>
      <c r="S340" s="42" t="str">
        <f>IFERROR(__xludf.DUMMYFUNCTION("""COMPUTED_VALUE"""),"oSPpro;
oSPv1;
oSPexs")</f>
        <v>oSPpro;
oSPv1;
oSPexs</v>
      </c>
      <c r="T340" s="42"/>
      <c r="U340" s="42" t="b">
        <f>IFERROR(__xludf.DUMMYFUNCTION("""COMPUTED_VALUE"""),FALSE)</f>
        <v>0</v>
      </c>
      <c r="V340" s="42"/>
      <c r="W340" s="42"/>
      <c r="X340" s="42"/>
      <c r="Y340" s="42"/>
      <c r="Z340" s="42"/>
      <c r="AA340" s="42"/>
      <c r="AB340" s="42" t="str">
        <f>IFERROR(__xludf.DUMMYFUNCTION("""COMPUTED_VALUE"""),"allen institute")</f>
        <v>allen institute</v>
      </c>
      <c r="AC340" s="42" t="str">
        <f>IFERROR(__xludf.DUMMYFUNCTION("""COMPUTED_VALUE"""),"DHBA")</f>
        <v>DHBA</v>
      </c>
      <c r="AD340" s="42"/>
      <c r="AE340" s="42"/>
      <c r="AF340" s="9"/>
      <c r="AG340" s="9"/>
      <c r="AH340" s="42"/>
      <c r="AI340" s="42"/>
      <c r="AJ340" s="42"/>
      <c r="AK340" s="42"/>
      <c r="AL340" s="42"/>
      <c r="AM340" s="42"/>
      <c r="AN340" s="42"/>
      <c r="AO340" s="63" t="str">
        <f>IFERROR(__xludf.DUMMYFUNCTION("IF(ISBLANK(A340),,IF(ISBLANK(S340), A340&amp;"";"", TEXTJOIN(CHAR(10), TRUE, A340&amp;"";"", ARRAYFORMULA(VLOOKUP(SPLIT(S340, "";"" &amp; CHAR(10)), $A:$AO, 41, FALSE)))))"),"oSP;
oSPpro;
oSPv1;
oSPexs;
oSPdm;
oSPvm;
oSPml;")</f>
        <v>oSP;
oSPpro;
oSPv1;
oSPexs;
oSPdm;
oSPvm;
oSPml;</v>
      </c>
      <c r="AP340" s="89"/>
    </row>
    <row r="341">
      <c r="A341" s="151" t="str">
        <f>IFERROR(__xludf.DUMMYFUNCTION("""COMPUTED_VALUE"""),"oSPpro")</f>
        <v>oSPpro</v>
      </c>
      <c r="B341" s="42" t="str">
        <f>IFERROR(__xludf.DUMMYFUNCTION("""COMPUTED_VALUE"""),"DHBA")</f>
        <v>DHBA</v>
      </c>
      <c r="C341" s="42" t="str">
        <f>IFERROR(__xludf.DUMMYFUNCTION("""COMPUTED_VALUE"""),"SP in area prostriata")</f>
        <v>SP in area prostriata</v>
      </c>
      <c r="D341" s="42">
        <f>IFERROR(__xludf.DUMMYFUNCTION("""COMPUTED_VALUE"""),307.0)</f>
        <v>307</v>
      </c>
      <c r="E341" s="39" t="str">
        <f>IFERROR(__xludf.DUMMYFUNCTION("""COMPUTED_VALUE"""),"SP in area prostriata")</f>
        <v>SP in area prostriata</v>
      </c>
      <c r="F341" s="9" t="str">
        <f>IFERROR(__xludf.DUMMYFUNCTION("""COMPUTED_VALUE"""),"Br")</f>
        <v>Br</v>
      </c>
      <c r="G341" s="9" t="str">
        <f>IFERROR(__xludf.DUMMYFUNCTION("""COMPUTED_VALUE"""),"F")</f>
        <v>F</v>
      </c>
      <c r="H341" s="9" t="str">
        <f>IFERROR(__xludf.DUMMYFUNCTION("""COMPUTED_VALUE"""),"FGM")</f>
        <v>FGM</v>
      </c>
      <c r="I341" s="9" t="str">
        <f>IFERROR(__xludf.DUMMYFUNCTION("""COMPUTED_VALUE"""),"FTS")</f>
        <v>FTS</v>
      </c>
      <c r="J341" s="9" t="str">
        <f>IFERROR(__xludf.DUMMYFUNCTION("""COMPUTED_VALUE"""),"SP")</f>
        <v>SP</v>
      </c>
      <c r="K341" s="9" t="str">
        <f>IFERROR(__xludf.DUMMYFUNCTION("""COMPUTED_VALUE"""),"oSP")</f>
        <v>oSP</v>
      </c>
      <c r="L341" s="9" t="str">
        <f>IFERROR(__xludf.DUMMYFUNCTION("""COMPUTED_VALUE"""),"oSPpro")</f>
        <v>oSPpro</v>
      </c>
      <c r="M341" s="9"/>
      <c r="N341" s="9"/>
      <c r="O341" s="9"/>
      <c r="P341" s="9"/>
      <c r="Q341" s="9"/>
      <c r="R341" s="9"/>
      <c r="S341" s="42"/>
      <c r="T341" s="42"/>
      <c r="U341" s="42"/>
      <c r="V341" s="42"/>
      <c r="W341" s="42"/>
      <c r="X341" s="42"/>
      <c r="Y341" s="42"/>
      <c r="Z341" s="42"/>
      <c r="AA341" s="42"/>
      <c r="AB341" s="42" t="str">
        <f>IFERROR(__xludf.DUMMYFUNCTION("""COMPUTED_VALUE"""),"allen institute")</f>
        <v>allen institute</v>
      </c>
      <c r="AC341" s="42" t="str">
        <f>IFERROR(__xludf.DUMMYFUNCTION("""COMPUTED_VALUE"""),"DHBA")</f>
        <v>DHBA</v>
      </c>
      <c r="AD341" s="42"/>
      <c r="AE341" s="42"/>
      <c r="AF341" s="9"/>
      <c r="AG341" s="9"/>
      <c r="AH341" s="42"/>
      <c r="AI341" s="42"/>
      <c r="AJ341" s="42"/>
      <c r="AK341" s="42"/>
      <c r="AL341" s="42"/>
      <c r="AM341" s="42"/>
      <c r="AN341" s="42"/>
      <c r="AO341" s="63" t="str">
        <f>IFERROR(__xludf.DUMMYFUNCTION("IF(ISBLANK(A341),,IF(ISBLANK(S341), A341&amp;"";"", TEXTJOIN(CHAR(10), TRUE, A341&amp;"";"", ARRAYFORMULA(VLOOKUP(SPLIT(S341, "";"" &amp; CHAR(10)), $A:$AO, 41, FALSE)))))"),"oSPpro;")</f>
        <v>oSPpro;</v>
      </c>
      <c r="AP341" s="89"/>
    </row>
    <row r="342">
      <c r="A342" s="151" t="str">
        <f>IFERROR(__xludf.DUMMYFUNCTION("""COMPUTED_VALUE"""),"oSPv1")</f>
        <v>oSPv1</v>
      </c>
      <c r="B342" s="42" t="str">
        <f>IFERROR(__xludf.DUMMYFUNCTION("""COMPUTED_VALUE"""),"DHBA")</f>
        <v>DHBA</v>
      </c>
      <c r="C342" s="42" t="str">
        <f>IFERROR(__xludf.DUMMYFUNCTION("""COMPUTED_VALUE"""),"SP in primary visual cortex")</f>
        <v>SP in primary visual cortex</v>
      </c>
      <c r="D342" s="42">
        <f>IFERROR(__xludf.DUMMYFUNCTION("""COMPUTED_VALUE"""),308.0)</f>
        <v>308</v>
      </c>
      <c r="E342" s="39" t="str">
        <f>IFERROR(__xludf.DUMMYFUNCTION("""COMPUTED_VALUE"""),"SP in primary visual cortex")</f>
        <v>SP in primary visual cortex</v>
      </c>
      <c r="F342" s="9" t="str">
        <f>IFERROR(__xludf.DUMMYFUNCTION("""COMPUTED_VALUE"""),"Br")</f>
        <v>Br</v>
      </c>
      <c r="G342" s="9" t="str">
        <f>IFERROR(__xludf.DUMMYFUNCTION("""COMPUTED_VALUE"""),"F")</f>
        <v>F</v>
      </c>
      <c r="H342" s="9" t="str">
        <f>IFERROR(__xludf.DUMMYFUNCTION("""COMPUTED_VALUE"""),"FGM")</f>
        <v>FGM</v>
      </c>
      <c r="I342" s="9" t="str">
        <f>IFERROR(__xludf.DUMMYFUNCTION("""COMPUTED_VALUE"""),"FTS")</f>
        <v>FTS</v>
      </c>
      <c r="J342" s="9" t="str">
        <f>IFERROR(__xludf.DUMMYFUNCTION("""COMPUTED_VALUE"""),"SP")</f>
        <v>SP</v>
      </c>
      <c r="K342" s="9" t="str">
        <f>IFERROR(__xludf.DUMMYFUNCTION("""COMPUTED_VALUE"""),"oSP")</f>
        <v>oSP</v>
      </c>
      <c r="L342" s="9" t="str">
        <f>IFERROR(__xludf.DUMMYFUNCTION("""COMPUTED_VALUE"""),"oSPv1")</f>
        <v>oSPv1</v>
      </c>
      <c r="M342" s="9"/>
      <c r="N342" s="9"/>
      <c r="O342" s="9"/>
      <c r="P342" s="9"/>
      <c r="Q342" s="9"/>
      <c r="R342" s="9"/>
      <c r="S342" s="42"/>
      <c r="T342" s="42"/>
      <c r="U342" s="42"/>
      <c r="V342" s="42"/>
      <c r="W342" s="42"/>
      <c r="X342" s="42"/>
      <c r="Y342" s="42"/>
      <c r="Z342" s="42"/>
      <c r="AA342" s="42"/>
      <c r="AB342" s="42" t="str">
        <f>IFERROR(__xludf.DUMMYFUNCTION("""COMPUTED_VALUE"""),"allen institute")</f>
        <v>allen institute</v>
      </c>
      <c r="AC342" s="42" t="str">
        <f>IFERROR(__xludf.DUMMYFUNCTION("""COMPUTED_VALUE"""),"DHBA")</f>
        <v>DHBA</v>
      </c>
      <c r="AD342" s="42"/>
      <c r="AE342" s="42"/>
      <c r="AF342" s="9"/>
      <c r="AG342" s="9"/>
      <c r="AH342" s="42"/>
      <c r="AI342" s="42"/>
      <c r="AJ342" s="42"/>
      <c r="AK342" s="42"/>
      <c r="AL342" s="42"/>
      <c r="AM342" s="42"/>
      <c r="AN342" s="42"/>
      <c r="AO342" s="63" t="str">
        <f>IFERROR(__xludf.DUMMYFUNCTION("IF(ISBLANK(A342),,IF(ISBLANK(S342), A342&amp;"";"", TEXTJOIN(CHAR(10), TRUE, A342&amp;"";"", ARRAYFORMULA(VLOOKUP(SPLIT(S342, "";"" &amp; CHAR(10)), $A:$AO, 41, FALSE)))))"),"oSPv1;")</f>
        <v>oSPv1;</v>
      </c>
      <c r="AP342" s="89"/>
    </row>
    <row r="343">
      <c r="A343" s="151" t="str">
        <f>IFERROR(__xludf.DUMMYFUNCTION("""COMPUTED_VALUE"""),"oSPexs")</f>
        <v>oSPexs</v>
      </c>
      <c r="B343" s="42" t="str">
        <f>IFERROR(__xludf.DUMMYFUNCTION("""COMPUTED_VALUE"""),"DHBA")</f>
        <v>DHBA</v>
      </c>
      <c r="C343" s="42" t="str">
        <f>IFERROR(__xludf.DUMMYFUNCTION("""COMPUTED_VALUE"""),"SP in extrastriate cortex")</f>
        <v>SP in extrastriate cortex</v>
      </c>
      <c r="D343" s="42">
        <f>IFERROR(__xludf.DUMMYFUNCTION("""COMPUTED_VALUE"""),309.0)</f>
        <v>309</v>
      </c>
      <c r="E343" s="39" t="str">
        <f>IFERROR(__xludf.DUMMYFUNCTION("""COMPUTED_VALUE"""),"SP in extrastriate cortex")</f>
        <v>SP in extrastriate cortex</v>
      </c>
      <c r="F343" s="9" t="str">
        <f>IFERROR(__xludf.DUMMYFUNCTION("""COMPUTED_VALUE"""),"Br")</f>
        <v>Br</v>
      </c>
      <c r="G343" s="9" t="str">
        <f>IFERROR(__xludf.DUMMYFUNCTION("""COMPUTED_VALUE"""),"F")</f>
        <v>F</v>
      </c>
      <c r="H343" s="9" t="str">
        <f>IFERROR(__xludf.DUMMYFUNCTION("""COMPUTED_VALUE"""),"FGM")</f>
        <v>FGM</v>
      </c>
      <c r="I343" s="9" t="str">
        <f>IFERROR(__xludf.DUMMYFUNCTION("""COMPUTED_VALUE"""),"FTS")</f>
        <v>FTS</v>
      </c>
      <c r="J343" s="9" t="str">
        <f>IFERROR(__xludf.DUMMYFUNCTION("""COMPUTED_VALUE"""),"SP")</f>
        <v>SP</v>
      </c>
      <c r="K343" s="9" t="str">
        <f>IFERROR(__xludf.DUMMYFUNCTION("""COMPUTED_VALUE"""),"oSP")</f>
        <v>oSP</v>
      </c>
      <c r="L343" s="9" t="str">
        <f>IFERROR(__xludf.DUMMYFUNCTION("""COMPUTED_VALUE"""),"oSPexs")</f>
        <v>oSPexs</v>
      </c>
      <c r="M343" s="9"/>
      <c r="N343" s="9"/>
      <c r="O343" s="9"/>
      <c r="P343" s="9"/>
      <c r="Q343" s="9"/>
      <c r="R343" s="9"/>
      <c r="S343" s="42" t="str">
        <f>IFERROR(__xludf.DUMMYFUNCTION("""COMPUTED_VALUE"""),"oSPdm;
oSPvm;
oSPml")</f>
        <v>oSPdm;
oSPvm;
oSPml</v>
      </c>
      <c r="T343" s="42"/>
      <c r="U343" s="42" t="b">
        <f>IFERROR(__xludf.DUMMYFUNCTION("""COMPUTED_VALUE"""),FALSE)</f>
        <v>0</v>
      </c>
      <c r="V343" s="42"/>
      <c r="W343" s="42"/>
      <c r="X343" s="42"/>
      <c r="Y343" s="42"/>
      <c r="Z343" s="42"/>
      <c r="AA343" s="42"/>
      <c r="AB343" s="42" t="str">
        <f>IFERROR(__xludf.DUMMYFUNCTION("""COMPUTED_VALUE"""),"allen institute")</f>
        <v>allen institute</v>
      </c>
      <c r="AC343" s="42" t="str">
        <f>IFERROR(__xludf.DUMMYFUNCTION("""COMPUTED_VALUE"""),"DHBA")</f>
        <v>DHBA</v>
      </c>
      <c r="AD343" s="42"/>
      <c r="AE343" s="42"/>
      <c r="AF343" s="9"/>
      <c r="AG343" s="9"/>
      <c r="AH343" s="42"/>
      <c r="AI343" s="42"/>
      <c r="AJ343" s="42"/>
      <c r="AK343" s="42"/>
      <c r="AL343" s="42"/>
      <c r="AM343" s="42"/>
      <c r="AN343" s="42"/>
      <c r="AO343" s="63" t="str">
        <f>IFERROR(__xludf.DUMMYFUNCTION("IF(ISBLANK(A343),,IF(ISBLANK(S343), A343&amp;"";"", TEXTJOIN(CHAR(10), TRUE, A343&amp;"";"", ARRAYFORMULA(VLOOKUP(SPLIT(S343, "";"" &amp; CHAR(10)), $A:$AO, 41, FALSE)))))"),"oSPexs;
oSPdm;
oSPvm;
oSPml;")</f>
        <v>oSPexs;
oSPdm;
oSPvm;
oSPml;</v>
      </c>
      <c r="AP343" s="89"/>
    </row>
    <row r="344">
      <c r="A344" s="151" t="str">
        <f>IFERROR(__xludf.DUMMYFUNCTION("""COMPUTED_VALUE"""),"oSPdm")</f>
        <v>oSPdm</v>
      </c>
      <c r="B344" s="42" t="str">
        <f>IFERROR(__xludf.DUMMYFUNCTION("""COMPUTED_VALUE"""),"DHBA")</f>
        <v>DHBA</v>
      </c>
      <c r="C344" s="42" t="str">
        <f>IFERROR(__xludf.DUMMYFUNCTION("""COMPUTED_VALUE"""),"SP in dorsomedial extrastriate cortex (V2)")</f>
        <v>SP in dorsomedial extrastriate cortex (V2)</v>
      </c>
      <c r="D344" s="42">
        <f>IFERROR(__xludf.DUMMYFUNCTION("""COMPUTED_VALUE"""),310.0)</f>
        <v>310</v>
      </c>
      <c r="E344" s="39" t="str">
        <f>IFERROR(__xludf.DUMMYFUNCTION("""COMPUTED_VALUE"""),"SP in dorsomedial extrastriate cortex (V2)")</f>
        <v>SP in dorsomedial extrastriate cortex (V2)</v>
      </c>
      <c r="F344" s="9" t="str">
        <f>IFERROR(__xludf.DUMMYFUNCTION("""COMPUTED_VALUE"""),"Br")</f>
        <v>Br</v>
      </c>
      <c r="G344" s="9" t="str">
        <f>IFERROR(__xludf.DUMMYFUNCTION("""COMPUTED_VALUE"""),"F")</f>
        <v>F</v>
      </c>
      <c r="H344" s="9" t="str">
        <f>IFERROR(__xludf.DUMMYFUNCTION("""COMPUTED_VALUE"""),"FGM")</f>
        <v>FGM</v>
      </c>
      <c r="I344" s="9" t="str">
        <f>IFERROR(__xludf.DUMMYFUNCTION("""COMPUTED_VALUE"""),"FTS")</f>
        <v>FTS</v>
      </c>
      <c r="J344" s="9" t="str">
        <f>IFERROR(__xludf.DUMMYFUNCTION("""COMPUTED_VALUE"""),"SP")</f>
        <v>SP</v>
      </c>
      <c r="K344" s="9" t="str">
        <f>IFERROR(__xludf.DUMMYFUNCTION("""COMPUTED_VALUE"""),"oSP")</f>
        <v>oSP</v>
      </c>
      <c r="L344" s="9" t="str">
        <f>IFERROR(__xludf.DUMMYFUNCTION("""COMPUTED_VALUE"""),"oSPexs")</f>
        <v>oSPexs</v>
      </c>
      <c r="M344" s="9" t="str">
        <f>IFERROR(__xludf.DUMMYFUNCTION("""COMPUTED_VALUE"""),"oSPdm")</f>
        <v>oSPdm</v>
      </c>
      <c r="N344" s="9"/>
      <c r="O344" s="9"/>
      <c r="P344" s="9"/>
      <c r="Q344" s="9"/>
      <c r="R344" s="9"/>
      <c r="S344" s="42"/>
      <c r="T344" s="42"/>
      <c r="U344" s="42"/>
      <c r="V344" s="42"/>
      <c r="W344" s="42"/>
      <c r="X344" s="42"/>
      <c r="Y344" s="42"/>
      <c r="Z344" s="42"/>
      <c r="AA344" s="42"/>
      <c r="AB344" s="42" t="str">
        <f>IFERROR(__xludf.DUMMYFUNCTION("""COMPUTED_VALUE"""),"allen institute")</f>
        <v>allen institute</v>
      </c>
      <c r="AC344" s="42" t="str">
        <f>IFERROR(__xludf.DUMMYFUNCTION("""COMPUTED_VALUE"""),"DHBA")</f>
        <v>DHBA</v>
      </c>
      <c r="AD344" s="42"/>
      <c r="AE344" s="42"/>
      <c r="AF344" s="9"/>
      <c r="AG344" s="9"/>
      <c r="AH344" s="42"/>
      <c r="AI344" s="42"/>
      <c r="AJ344" s="42"/>
      <c r="AK344" s="42"/>
      <c r="AL344" s="42"/>
      <c r="AM344" s="42"/>
      <c r="AN344" s="42"/>
      <c r="AO344" s="63" t="str">
        <f>IFERROR(__xludf.DUMMYFUNCTION("IF(ISBLANK(A344),,IF(ISBLANK(S344), A344&amp;"";"", TEXTJOIN(CHAR(10), TRUE, A344&amp;"";"", ARRAYFORMULA(VLOOKUP(SPLIT(S344, "";"" &amp; CHAR(10)), $A:$AO, 41, FALSE)))))"),"oSPdm;")</f>
        <v>oSPdm;</v>
      </c>
      <c r="AP344" s="89"/>
    </row>
    <row r="345">
      <c r="A345" s="151" t="str">
        <f>IFERROR(__xludf.DUMMYFUNCTION("""COMPUTED_VALUE"""),"oSPvm")</f>
        <v>oSPvm</v>
      </c>
      <c r="B345" s="42" t="str">
        <f>IFERROR(__xludf.DUMMYFUNCTION("""COMPUTED_VALUE"""),"DHBA")</f>
        <v>DHBA</v>
      </c>
      <c r="C345" s="42" t="str">
        <f>IFERROR(__xludf.DUMMYFUNCTION("""COMPUTED_VALUE"""),"SP in ventromedial extrastriate cortex (VP)")</f>
        <v>SP in ventromedial extrastriate cortex (VP)</v>
      </c>
      <c r="D345" s="42">
        <f>IFERROR(__xludf.DUMMYFUNCTION("""COMPUTED_VALUE"""),311.0)</f>
        <v>311</v>
      </c>
      <c r="E345" s="39" t="str">
        <f>IFERROR(__xludf.DUMMYFUNCTION("""COMPUTED_VALUE"""),"SP in ventromedial extrastriate cortex (VP)")</f>
        <v>SP in ventromedial extrastriate cortex (VP)</v>
      </c>
      <c r="F345" s="9" t="str">
        <f>IFERROR(__xludf.DUMMYFUNCTION("""COMPUTED_VALUE"""),"Br")</f>
        <v>Br</v>
      </c>
      <c r="G345" s="9" t="str">
        <f>IFERROR(__xludf.DUMMYFUNCTION("""COMPUTED_VALUE"""),"F")</f>
        <v>F</v>
      </c>
      <c r="H345" s="9" t="str">
        <f>IFERROR(__xludf.DUMMYFUNCTION("""COMPUTED_VALUE"""),"FGM")</f>
        <v>FGM</v>
      </c>
      <c r="I345" s="9" t="str">
        <f>IFERROR(__xludf.DUMMYFUNCTION("""COMPUTED_VALUE"""),"FTS")</f>
        <v>FTS</v>
      </c>
      <c r="J345" s="9" t="str">
        <f>IFERROR(__xludf.DUMMYFUNCTION("""COMPUTED_VALUE"""),"SP")</f>
        <v>SP</v>
      </c>
      <c r="K345" s="9" t="str">
        <f>IFERROR(__xludf.DUMMYFUNCTION("""COMPUTED_VALUE"""),"oSP")</f>
        <v>oSP</v>
      </c>
      <c r="L345" s="9" t="str">
        <f>IFERROR(__xludf.DUMMYFUNCTION("""COMPUTED_VALUE"""),"oSPexs")</f>
        <v>oSPexs</v>
      </c>
      <c r="M345" s="9" t="str">
        <f>IFERROR(__xludf.DUMMYFUNCTION("""COMPUTED_VALUE"""),"oSPvm")</f>
        <v>oSPvm</v>
      </c>
      <c r="N345" s="9"/>
      <c r="O345" s="9"/>
      <c r="P345" s="9"/>
      <c r="Q345" s="9"/>
      <c r="R345" s="9"/>
      <c r="S345" s="42"/>
      <c r="T345" s="42"/>
      <c r="U345" s="42"/>
      <c r="V345" s="42"/>
      <c r="W345" s="42"/>
      <c r="X345" s="42"/>
      <c r="Y345" s="42"/>
      <c r="Z345" s="42"/>
      <c r="AA345" s="42"/>
      <c r="AB345" s="42" t="str">
        <f>IFERROR(__xludf.DUMMYFUNCTION("""COMPUTED_VALUE"""),"allen institute")</f>
        <v>allen institute</v>
      </c>
      <c r="AC345" s="42" t="str">
        <f>IFERROR(__xludf.DUMMYFUNCTION("""COMPUTED_VALUE"""),"DHBA")</f>
        <v>DHBA</v>
      </c>
      <c r="AD345" s="42"/>
      <c r="AE345" s="42"/>
      <c r="AF345" s="9"/>
      <c r="AG345" s="9"/>
      <c r="AH345" s="42"/>
      <c r="AI345" s="42"/>
      <c r="AJ345" s="42"/>
      <c r="AK345" s="42"/>
      <c r="AL345" s="42"/>
      <c r="AM345" s="42"/>
      <c r="AN345" s="42"/>
      <c r="AO345" s="63" t="str">
        <f>IFERROR(__xludf.DUMMYFUNCTION("IF(ISBLANK(A345),,IF(ISBLANK(S345), A345&amp;"";"", TEXTJOIN(CHAR(10), TRUE, A345&amp;"";"", ARRAYFORMULA(VLOOKUP(SPLIT(S345, "";"" &amp; CHAR(10)), $A:$AO, 41, FALSE)))))"),"oSPvm;")</f>
        <v>oSPvm;</v>
      </c>
      <c r="AP345" s="89"/>
    </row>
    <row r="346">
      <c r="A346" s="151" t="str">
        <f>IFERROR(__xludf.DUMMYFUNCTION("""COMPUTED_VALUE"""),"oSPml")</f>
        <v>oSPml</v>
      </c>
      <c r="B346" s="42" t="str">
        <f>IFERROR(__xludf.DUMMYFUNCTION("""COMPUTED_VALUE"""),"DHBA")</f>
        <v>DHBA</v>
      </c>
      <c r="C346" s="42" t="str">
        <f>IFERROR(__xludf.DUMMYFUNCTION("""COMPUTED_VALUE"""),"SP in midlateral extrastriate cortex (area 19)")</f>
        <v>SP in midlateral extrastriate cortex (area 19)</v>
      </c>
      <c r="D346" s="42">
        <f>IFERROR(__xludf.DUMMYFUNCTION("""COMPUTED_VALUE"""),312.0)</f>
        <v>312</v>
      </c>
      <c r="E346" s="39" t="str">
        <f>IFERROR(__xludf.DUMMYFUNCTION("""COMPUTED_VALUE"""),"SP in midlateral extrastriate cortex (area 19)")</f>
        <v>SP in midlateral extrastriate cortex (area 19)</v>
      </c>
      <c r="F346" s="9" t="str">
        <f>IFERROR(__xludf.DUMMYFUNCTION("""COMPUTED_VALUE"""),"Br")</f>
        <v>Br</v>
      </c>
      <c r="G346" s="9" t="str">
        <f>IFERROR(__xludf.DUMMYFUNCTION("""COMPUTED_VALUE"""),"F")</f>
        <v>F</v>
      </c>
      <c r="H346" s="9" t="str">
        <f>IFERROR(__xludf.DUMMYFUNCTION("""COMPUTED_VALUE"""),"FGM")</f>
        <v>FGM</v>
      </c>
      <c r="I346" s="9" t="str">
        <f>IFERROR(__xludf.DUMMYFUNCTION("""COMPUTED_VALUE"""),"FTS")</f>
        <v>FTS</v>
      </c>
      <c r="J346" s="9" t="str">
        <f>IFERROR(__xludf.DUMMYFUNCTION("""COMPUTED_VALUE"""),"SP")</f>
        <v>SP</v>
      </c>
      <c r="K346" s="9" t="str">
        <f>IFERROR(__xludf.DUMMYFUNCTION("""COMPUTED_VALUE"""),"oSP")</f>
        <v>oSP</v>
      </c>
      <c r="L346" s="9" t="str">
        <f>IFERROR(__xludf.DUMMYFUNCTION("""COMPUTED_VALUE"""),"oSPexs")</f>
        <v>oSPexs</v>
      </c>
      <c r="M346" s="9" t="str">
        <f>IFERROR(__xludf.DUMMYFUNCTION("""COMPUTED_VALUE"""),"oSPml")</f>
        <v>oSPml</v>
      </c>
      <c r="N346" s="9"/>
      <c r="O346" s="9"/>
      <c r="P346" s="9"/>
      <c r="Q346" s="9"/>
      <c r="R346" s="9"/>
      <c r="S346" s="42"/>
      <c r="T346" s="42"/>
      <c r="U346" s="42"/>
      <c r="V346" s="42"/>
      <c r="W346" s="42"/>
      <c r="X346" s="42"/>
      <c r="Y346" s="42"/>
      <c r="Z346" s="42"/>
      <c r="AA346" s="42"/>
      <c r="AB346" s="42" t="str">
        <f>IFERROR(__xludf.DUMMYFUNCTION("""COMPUTED_VALUE"""),"allen institute")</f>
        <v>allen institute</v>
      </c>
      <c r="AC346" s="42" t="str">
        <f>IFERROR(__xludf.DUMMYFUNCTION("""COMPUTED_VALUE"""),"DHBA")</f>
        <v>DHBA</v>
      </c>
      <c r="AD346" s="42"/>
      <c r="AE346" s="42"/>
      <c r="AF346" s="9"/>
      <c r="AG346" s="9"/>
      <c r="AH346" s="42"/>
      <c r="AI346" s="42"/>
      <c r="AJ346" s="42"/>
      <c r="AK346" s="42"/>
      <c r="AL346" s="42"/>
      <c r="AM346" s="42"/>
      <c r="AN346" s="42"/>
      <c r="AO346" s="63" t="str">
        <f>IFERROR(__xludf.DUMMYFUNCTION("IF(ISBLANK(A346),,IF(ISBLANK(S346), A346&amp;"";"", TEXTJOIN(CHAR(10), TRUE, A346&amp;"";"", ARRAYFORMULA(VLOOKUP(SPLIT(S346, "";"" &amp; CHAR(10)), $A:$AO, 41, FALSE)))))"),"oSPml;")</f>
        <v>oSPml;</v>
      </c>
      <c r="AP346" s="89"/>
    </row>
    <row r="347">
      <c r="A347" s="151" t="str">
        <f>IFERROR(__xludf.DUMMYFUNCTION("""COMPUTED_VALUE"""),"iSP")</f>
        <v>iSP</v>
      </c>
      <c r="B347" s="42" t="str">
        <f>IFERROR(__xludf.DUMMYFUNCTION("""COMPUTED_VALUE"""),"DHBA")</f>
        <v>DHBA</v>
      </c>
      <c r="C347" s="42" t="str">
        <f>IFERROR(__xludf.DUMMYFUNCTION("""COMPUTED_VALUE"""),"SP in insular neocortex")</f>
        <v>SP in insular neocortex</v>
      </c>
      <c r="D347" s="42">
        <f>IFERROR(__xludf.DUMMYFUNCTION("""COMPUTED_VALUE"""),313.0)</f>
        <v>313</v>
      </c>
      <c r="E347" s="39" t="str">
        <f>IFERROR(__xludf.DUMMYFUNCTION("""COMPUTED_VALUE"""),"SP in insular neocortex")</f>
        <v>SP in insular neocortex</v>
      </c>
      <c r="F347" s="9" t="str">
        <f>IFERROR(__xludf.DUMMYFUNCTION("""COMPUTED_VALUE"""),"Br")</f>
        <v>Br</v>
      </c>
      <c r="G347" s="9" t="str">
        <f>IFERROR(__xludf.DUMMYFUNCTION("""COMPUTED_VALUE"""),"F")</f>
        <v>F</v>
      </c>
      <c r="H347" s="9" t="str">
        <f>IFERROR(__xludf.DUMMYFUNCTION("""COMPUTED_VALUE"""),"FGM")</f>
        <v>FGM</v>
      </c>
      <c r="I347" s="9" t="str">
        <f>IFERROR(__xludf.DUMMYFUNCTION("""COMPUTED_VALUE"""),"FTS")</f>
        <v>FTS</v>
      </c>
      <c r="J347" s="9" t="str">
        <f>IFERROR(__xludf.DUMMYFUNCTION("""COMPUTED_VALUE"""),"SP")</f>
        <v>SP</v>
      </c>
      <c r="K347" s="9" t="str">
        <f>IFERROR(__xludf.DUMMYFUNCTION("""COMPUTED_VALUE"""),"iSP")</f>
        <v>iSP</v>
      </c>
      <c r="L347" s="9"/>
      <c r="M347" s="9"/>
      <c r="N347" s="9"/>
      <c r="O347" s="9"/>
      <c r="P347" s="9"/>
      <c r="Q347" s="9"/>
      <c r="R347" s="9"/>
      <c r="S347" s="42" t="str">
        <f>IFERROR(__xludf.DUMMYFUNCTION("""COMPUTED_VALUE"""),"iSPdg;
iSPgr")</f>
        <v>iSPdg;
iSPgr</v>
      </c>
      <c r="T347" s="42"/>
      <c r="U347" s="42" t="b">
        <f>IFERROR(__xludf.DUMMYFUNCTION("""COMPUTED_VALUE"""),FALSE)</f>
        <v>0</v>
      </c>
      <c r="V347" s="42"/>
      <c r="W347" s="42"/>
      <c r="X347" s="42"/>
      <c r="Y347" s="42"/>
      <c r="Z347" s="42"/>
      <c r="AA347" s="42"/>
      <c r="AB347" s="42" t="str">
        <f>IFERROR(__xludf.DUMMYFUNCTION("""COMPUTED_VALUE"""),"allen institute")</f>
        <v>allen institute</v>
      </c>
      <c r="AC347" s="42" t="str">
        <f>IFERROR(__xludf.DUMMYFUNCTION("""COMPUTED_VALUE"""),"DHBA")</f>
        <v>DHBA</v>
      </c>
      <c r="AD347" s="42"/>
      <c r="AE347" s="42"/>
      <c r="AF347" s="9"/>
      <c r="AG347" s="9"/>
      <c r="AH347" s="42"/>
      <c r="AI347" s="42"/>
      <c r="AJ347" s="42"/>
      <c r="AK347" s="42"/>
      <c r="AL347" s="42"/>
      <c r="AM347" s="42"/>
      <c r="AN347" s="42"/>
      <c r="AO347" s="63" t="str">
        <f>IFERROR(__xludf.DUMMYFUNCTION("IF(ISBLANK(A347),,IF(ISBLANK(S347), A347&amp;"";"", TEXTJOIN(CHAR(10), TRUE, A347&amp;"";"", ARRAYFORMULA(VLOOKUP(SPLIT(S347, "";"" &amp; CHAR(10)), $A:$AO, 41, FALSE)))))"),"iSP;
iSPdg;
iSPgr;")</f>
        <v>iSP;
iSPdg;
iSPgr;</v>
      </c>
      <c r="AP347" s="89"/>
    </row>
    <row r="348">
      <c r="A348" s="151" t="str">
        <f>IFERROR(__xludf.DUMMYFUNCTION("""COMPUTED_VALUE"""),"iSPdg")</f>
        <v>iSPdg</v>
      </c>
      <c r="B348" s="42" t="str">
        <f>IFERROR(__xludf.DUMMYFUNCTION("""COMPUTED_VALUE"""),"DHBA")</f>
        <v>DHBA</v>
      </c>
      <c r="C348" s="42" t="str">
        <f>IFERROR(__xludf.DUMMYFUNCTION("""COMPUTED_VALUE"""),"SP in dysgranular insular cortex")</f>
        <v>SP in dysgranular insular cortex</v>
      </c>
      <c r="D348" s="42">
        <f>IFERROR(__xludf.DUMMYFUNCTION("""COMPUTED_VALUE"""),314.0)</f>
        <v>314</v>
      </c>
      <c r="E348" s="39" t="str">
        <f>IFERROR(__xludf.DUMMYFUNCTION("""COMPUTED_VALUE"""),"SP in dysgranular insular cortex")</f>
        <v>SP in dysgranular insular cortex</v>
      </c>
      <c r="F348" s="9" t="str">
        <f>IFERROR(__xludf.DUMMYFUNCTION("""COMPUTED_VALUE"""),"Br")</f>
        <v>Br</v>
      </c>
      <c r="G348" s="9" t="str">
        <f>IFERROR(__xludf.DUMMYFUNCTION("""COMPUTED_VALUE"""),"F")</f>
        <v>F</v>
      </c>
      <c r="H348" s="9" t="str">
        <f>IFERROR(__xludf.DUMMYFUNCTION("""COMPUTED_VALUE"""),"FGM")</f>
        <v>FGM</v>
      </c>
      <c r="I348" s="9" t="str">
        <f>IFERROR(__xludf.DUMMYFUNCTION("""COMPUTED_VALUE"""),"FTS")</f>
        <v>FTS</v>
      </c>
      <c r="J348" s="9" t="str">
        <f>IFERROR(__xludf.DUMMYFUNCTION("""COMPUTED_VALUE"""),"SP")</f>
        <v>SP</v>
      </c>
      <c r="K348" s="9" t="str">
        <f>IFERROR(__xludf.DUMMYFUNCTION("""COMPUTED_VALUE"""),"iSP")</f>
        <v>iSP</v>
      </c>
      <c r="L348" s="9" t="str">
        <f>IFERROR(__xludf.DUMMYFUNCTION("""COMPUTED_VALUE"""),"iSPdg")</f>
        <v>iSPdg</v>
      </c>
      <c r="M348" s="9"/>
      <c r="N348" s="9"/>
      <c r="O348" s="9"/>
      <c r="P348" s="9"/>
      <c r="Q348" s="9"/>
      <c r="R348" s="9"/>
      <c r="S348" s="42"/>
      <c r="T348" s="42"/>
      <c r="U348" s="42"/>
      <c r="V348" s="42"/>
      <c r="W348" s="42"/>
      <c r="X348" s="42"/>
      <c r="Y348" s="42"/>
      <c r="Z348" s="42"/>
      <c r="AA348" s="42"/>
      <c r="AB348" s="42" t="str">
        <f>IFERROR(__xludf.DUMMYFUNCTION("""COMPUTED_VALUE"""),"allen institute")</f>
        <v>allen institute</v>
      </c>
      <c r="AC348" s="42" t="str">
        <f>IFERROR(__xludf.DUMMYFUNCTION("""COMPUTED_VALUE"""),"DHBA")</f>
        <v>DHBA</v>
      </c>
      <c r="AD348" s="42"/>
      <c r="AE348" s="42"/>
      <c r="AF348" s="9"/>
      <c r="AG348" s="9"/>
      <c r="AH348" s="42"/>
      <c r="AI348" s="42"/>
      <c r="AJ348" s="42"/>
      <c r="AK348" s="42"/>
      <c r="AL348" s="42"/>
      <c r="AM348" s="42"/>
      <c r="AN348" s="42"/>
      <c r="AO348" s="63" t="str">
        <f>IFERROR(__xludf.DUMMYFUNCTION("IF(ISBLANK(A348),,IF(ISBLANK(S348), A348&amp;"";"", TEXTJOIN(CHAR(10), TRUE, A348&amp;"";"", ARRAYFORMULA(VLOOKUP(SPLIT(S348, "";"" &amp; CHAR(10)), $A:$AO, 41, FALSE)))))"),"iSPdg;")</f>
        <v>iSPdg;</v>
      </c>
      <c r="AP348" s="89"/>
    </row>
    <row r="349">
      <c r="A349" s="151" t="str">
        <f>IFERROR(__xludf.DUMMYFUNCTION("""COMPUTED_VALUE"""),"iSPgr")</f>
        <v>iSPgr</v>
      </c>
      <c r="B349" s="42" t="str">
        <f>IFERROR(__xludf.DUMMYFUNCTION("""COMPUTED_VALUE"""),"DHBA")</f>
        <v>DHBA</v>
      </c>
      <c r="C349" s="42" t="str">
        <f>IFERROR(__xludf.DUMMYFUNCTION("""COMPUTED_VALUE"""),"SP in granular insular cortex")</f>
        <v>SP in granular insular cortex</v>
      </c>
      <c r="D349" s="42">
        <f>IFERROR(__xludf.DUMMYFUNCTION("""COMPUTED_VALUE"""),315.0)</f>
        <v>315</v>
      </c>
      <c r="E349" s="39" t="str">
        <f>IFERROR(__xludf.DUMMYFUNCTION("""COMPUTED_VALUE"""),"SP in granular insular cortex")</f>
        <v>SP in granular insular cortex</v>
      </c>
      <c r="F349" s="9" t="str">
        <f>IFERROR(__xludf.DUMMYFUNCTION("""COMPUTED_VALUE"""),"Br")</f>
        <v>Br</v>
      </c>
      <c r="G349" s="9" t="str">
        <f>IFERROR(__xludf.DUMMYFUNCTION("""COMPUTED_VALUE"""),"F")</f>
        <v>F</v>
      </c>
      <c r="H349" s="9" t="str">
        <f>IFERROR(__xludf.DUMMYFUNCTION("""COMPUTED_VALUE"""),"FGM")</f>
        <v>FGM</v>
      </c>
      <c r="I349" s="9" t="str">
        <f>IFERROR(__xludf.DUMMYFUNCTION("""COMPUTED_VALUE"""),"FTS")</f>
        <v>FTS</v>
      </c>
      <c r="J349" s="9" t="str">
        <f>IFERROR(__xludf.DUMMYFUNCTION("""COMPUTED_VALUE"""),"SP")</f>
        <v>SP</v>
      </c>
      <c r="K349" s="9" t="str">
        <f>IFERROR(__xludf.DUMMYFUNCTION("""COMPUTED_VALUE"""),"iSP")</f>
        <v>iSP</v>
      </c>
      <c r="L349" s="9" t="str">
        <f>IFERROR(__xludf.DUMMYFUNCTION("""COMPUTED_VALUE"""),"iSPgr")</f>
        <v>iSPgr</v>
      </c>
      <c r="M349" s="9"/>
      <c r="N349" s="9"/>
      <c r="O349" s="9"/>
      <c r="P349" s="9"/>
      <c r="Q349" s="9"/>
      <c r="R349" s="9"/>
      <c r="S349" s="42"/>
      <c r="T349" s="42"/>
      <c r="U349" s="42"/>
      <c r="V349" s="42"/>
      <c r="W349" s="42"/>
      <c r="X349" s="42"/>
      <c r="Y349" s="42"/>
      <c r="Z349" s="42"/>
      <c r="AA349" s="42"/>
      <c r="AB349" s="42" t="str">
        <f>IFERROR(__xludf.DUMMYFUNCTION("""COMPUTED_VALUE"""),"allen institute")</f>
        <v>allen institute</v>
      </c>
      <c r="AC349" s="42" t="str">
        <f>IFERROR(__xludf.DUMMYFUNCTION("""COMPUTED_VALUE"""),"DHBA")</f>
        <v>DHBA</v>
      </c>
      <c r="AD349" s="42"/>
      <c r="AE349" s="42"/>
      <c r="AF349" s="9"/>
      <c r="AG349" s="9"/>
      <c r="AH349" s="42"/>
      <c r="AI349" s="42"/>
      <c r="AJ349" s="42"/>
      <c r="AK349" s="42"/>
      <c r="AL349" s="42"/>
      <c r="AM349" s="42"/>
      <c r="AN349" s="42"/>
      <c r="AO349" s="63" t="str">
        <f>IFERROR(__xludf.DUMMYFUNCTION("IF(ISBLANK(A349),,IF(ISBLANK(S349), A349&amp;"";"", TEXTJOIN(CHAR(10), TRUE, A349&amp;"";"", ARRAYFORMULA(VLOOKUP(SPLIT(S349, "";"" &amp; CHAR(10)), $A:$AO, 41, FALSE)))))"),"iSPgr;")</f>
        <v>iSPgr;</v>
      </c>
      <c r="AP349" s="89"/>
    </row>
    <row r="350">
      <c r="A350" s="151" t="str">
        <f>IFERROR(__xludf.DUMMYFUNCTION("""COMPUTED_VALUE"""),"cSP")</f>
        <v>cSP</v>
      </c>
      <c r="B350" s="42" t="str">
        <f>IFERROR(__xludf.DUMMYFUNCTION("""COMPUTED_VALUE"""),"DHBA")</f>
        <v>DHBA</v>
      </c>
      <c r="C350" s="42" t="str">
        <f>IFERROR(__xludf.DUMMYFUNCTION("""COMPUTED_VALUE"""),"SP in cingulate neocortex")</f>
        <v>SP in cingulate neocortex</v>
      </c>
      <c r="D350" s="42">
        <f>IFERROR(__xludf.DUMMYFUNCTION("""COMPUTED_VALUE"""),316.0)</f>
        <v>316</v>
      </c>
      <c r="E350" s="39" t="str">
        <f>IFERROR(__xludf.DUMMYFUNCTION("""COMPUTED_VALUE"""),"SP in cingulate neocortex")</f>
        <v>SP in cingulate neocortex</v>
      </c>
      <c r="F350" s="9" t="str">
        <f>IFERROR(__xludf.DUMMYFUNCTION("""COMPUTED_VALUE"""),"Br")</f>
        <v>Br</v>
      </c>
      <c r="G350" s="9" t="str">
        <f>IFERROR(__xludf.DUMMYFUNCTION("""COMPUTED_VALUE"""),"F")</f>
        <v>F</v>
      </c>
      <c r="H350" s="9" t="str">
        <f>IFERROR(__xludf.DUMMYFUNCTION("""COMPUTED_VALUE"""),"FGM")</f>
        <v>FGM</v>
      </c>
      <c r="I350" s="9" t="str">
        <f>IFERROR(__xludf.DUMMYFUNCTION("""COMPUTED_VALUE"""),"FTS")</f>
        <v>FTS</v>
      </c>
      <c r="J350" s="9" t="str">
        <f>IFERROR(__xludf.DUMMYFUNCTION("""COMPUTED_VALUE"""),"SP")</f>
        <v>SP</v>
      </c>
      <c r="K350" s="9" t="str">
        <f>IFERROR(__xludf.DUMMYFUNCTION("""COMPUTED_VALUE"""),"cSP")</f>
        <v>cSP</v>
      </c>
      <c r="L350" s="9"/>
      <c r="M350" s="9"/>
      <c r="N350" s="9"/>
      <c r="O350" s="9"/>
      <c r="P350" s="9"/>
      <c r="Q350" s="9"/>
      <c r="R350" s="9"/>
      <c r="S350" s="42" t="str">
        <f>IFERROR(__xludf.DUMMYFUNCTION("""COMPUTED_VALUE"""),"cSPr;
cSPmi;
cSPc;
cSPsg")</f>
        <v>cSPr;
cSPmi;
cSPc;
cSPsg</v>
      </c>
      <c r="T350" s="42"/>
      <c r="U350" s="42" t="b">
        <f>IFERROR(__xludf.DUMMYFUNCTION("""COMPUTED_VALUE"""),FALSE)</f>
        <v>0</v>
      </c>
      <c r="V350" s="42"/>
      <c r="W350" s="42"/>
      <c r="X350" s="42"/>
      <c r="Y350" s="42"/>
      <c r="Z350" s="42"/>
      <c r="AA350" s="42"/>
      <c r="AB350" s="42" t="str">
        <f>IFERROR(__xludf.DUMMYFUNCTION("""COMPUTED_VALUE"""),"allen institute")</f>
        <v>allen institute</v>
      </c>
      <c r="AC350" s="42" t="str">
        <f>IFERROR(__xludf.DUMMYFUNCTION("""COMPUTED_VALUE"""),"DHBA")</f>
        <v>DHBA</v>
      </c>
      <c r="AD350" s="42"/>
      <c r="AE350" s="42"/>
      <c r="AF350" s="9"/>
      <c r="AG350" s="9"/>
      <c r="AH350" s="42"/>
      <c r="AI350" s="42"/>
      <c r="AJ350" s="42"/>
      <c r="AK350" s="42"/>
      <c r="AL350" s="42"/>
      <c r="AM350" s="42"/>
      <c r="AN350" s="42"/>
      <c r="AO350" s="63" t="str">
        <f>IFERROR(__xludf.DUMMYFUNCTION("IF(ISBLANK(A350),,IF(ISBLANK(S350), A350&amp;"";"", TEXTJOIN(CHAR(10), TRUE, A350&amp;"";"", ARRAYFORMULA(VLOOKUP(SPLIT(S350, "";"" &amp; CHAR(10)), $A:$AO, 41, FALSE)))))"),"cSP;
cSPr;
cSPmi;
cSPc;
cSPsg;")</f>
        <v>cSP;
cSPr;
cSPmi;
cSPc;
cSPsg;</v>
      </c>
      <c r="AP350" s="89"/>
    </row>
    <row r="351">
      <c r="A351" s="151" t="str">
        <f>IFERROR(__xludf.DUMMYFUNCTION("""COMPUTED_VALUE"""),"cSPr")</f>
        <v>cSPr</v>
      </c>
      <c r="B351" s="42" t="str">
        <f>IFERROR(__xludf.DUMMYFUNCTION("""COMPUTED_VALUE"""),"DHBA")</f>
        <v>DHBA</v>
      </c>
      <c r="C351" s="42" t="str">
        <f>IFERROR(__xludf.DUMMYFUNCTION("""COMPUTED_VALUE"""),"SP in rostral cingulate cortex")</f>
        <v>SP in rostral cingulate cortex</v>
      </c>
      <c r="D351" s="42">
        <f>IFERROR(__xludf.DUMMYFUNCTION("""COMPUTED_VALUE"""),317.0)</f>
        <v>317</v>
      </c>
      <c r="E351" s="39" t="str">
        <f>IFERROR(__xludf.DUMMYFUNCTION("""COMPUTED_VALUE"""),"SP in rostral cingulate cortex")</f>
        <v>SP in rostral cingulate cortex</v>
      </c>
      <c r="F351" s="9" t="str">
        <f>IFERROR(__xludf.DUMMYFUNCTION("""COMPUTED_VALUE"""),"Br")</f>
        <v>Br</v>
      </c>
      <c r="G351" s="9" t="str">
        <f>IFERROR(__xludf.DUMMYFUNCTION("""COMPUTED_VALUE"""),"F")</f>
        <v>F</v>
      </c>
      <c r="H351" s="9" t="str">
        <f>IFERROR(__xludf.DUMMYFUNCTION("""COMPUTED_VALUE"""),"FGM")</f>
        <v>FGM</v>
      </c>
      <c r="I351" s="9" t="str">
        <f>IFERROR(__xludf.DUMMYFUNCTION("""COMPUTED_VALUE"""),"FTS")</f>
        <v>FTS</v>
      </c>
      <c r="J351" s="9" t="str">
        <f>IFERROR(__xludf.DUMMYFUNCTION("""COMPUTED_VALUE"""),"SP")</f>
        <v>SP</v>
      </c>
      <c r="K351" s="9" t="str">
        <f>IFERROR(__xludf.DUMMYFUNCTION("""COMPUTED_VALUE"""),"cSP")</f>
        <v>cSP</v>
      </c>
      <c r="L351" s="9" t="str">
        <f>IFERROR(__xludf.DUMMYFUNCTION("""COMPUTED_VALUE"""),"cSPr")</f>
        <v>cSPr</v>
      </c>
      <c r="M351" s="9"/>
      <c r="N351" s="9"/>
      <c r="O351" s="9"/>
      <c r="P351" s="9"/>
      <c r="Q351" s="9"/>
      <c r="R351" s="9"/>
      <c r="S351" s="42"/>
      <c r="T351" s="42"/>
      <c r="U351" s="42"/>
      <c r="V351" s="42"/>
      <c r="W351" s="42"/>
      <c r="X351" s="42"/>
      <c r="Y351" s="42"/>
      <c r="Z351" s="42"/>
      <c r="AA351" s="42"/>
      <c r="AB351" s="42" t="str">
        <f>IFERROR(__xludf.DUMMYFUNCTION("""COMPUTED_VALUE"""),"allen institute")</f>
        <v>allen institute</v>
      </c>
      <c r="AC351" s="42" t="str">
        <f>IFERROR(__xludf.DUMMYFUNCTION("""COMPUTED_VALUE"""),"DHBA")</f>
        <v>DHBA</v>
      </c>
      <c r="AD351" s="42"/>
      <c r="AE351" s="42"/>
      <c r="AF351" s="9"/>
      <c r="AG351" s="9"/>
      <c r="AH351" s="42"/>
      <c r="AI351" s="42"/>
      <c r="AJ351" s="42"/>
      <c r="AK351" s="42"/>
      <c r="AL351" s="42"/>
      <c r="AM351" s="42"/>
      <c r="AN351" s="42"/>
      <c r="AO351" s="63" t="str">
        <f>IFERROR(__xludf.DUMMYFUNCTION("IF(ISBLANK(A351),,IF(ISBLANK(S351), A351&amp;"";"", TEXTJOIN(CHAR(10), TRUE, A351&amp;"";"", ARRAYFORMULA(VLOOKUP(SPLIT(S351, "";"" &amp; CHAR(10)), $A:$AO, 41, FALSE)))))"),"cSPr;")</f>
        <v>cSPr;</v>
      </c>
      <c r="AP351" s="89"/>
    </row>
    <row r="352">
      <c r="A352" s="151" t="str">
        <f>IFERROR(__xludf.DUMMYFUNCTION("""COMPUTED_VALUE"""),"cSPmi")</f>
        <v>cSPmi</v>
      </c>
      <c r="B352" s="42" t="str">
        <f>IFERROR(__xludf.DUMMYFUNCTION("""COMPUTED_VALUE"""),"DHBA")</f>
        <v>DHBA</v>
      </c>
      <c r="C352" s="42" t="str">
        <f>IFERROR(__xludf.DUMMYFUNCTION("""COMPUTED_VALUE"""),"SP in midcingulate cortex")</f>
        <v>SP in midcingulate cortex</v>
      </c>
      <c r="D352" s="42">
        <f>IFERROR(__xludf.DUMMYFUNCTION("""COMPUTED_VALUE"""),318.0)</f>
        <v>318</v>
      </c>
      <c r="E352" s="39" t="str">
        <f>IFERROR(__xludf.DUMMYFUNCTION("""COMPUTED_VALUE"""),"SP in midcingulate cortex")</f>
        <v>SP in midcingulate cortex</v>
      </c>
      <c r="F352" s="9" t="str">
        <f>IFERROR(__xludf.DUMMYFUNCTION("""COMPUTED_VALUE"""),"Br")</f>
        <v>Br</v>
      </c>
      <c r="G352" s="9" t="str">
        <f>IFERROR(__xludf.DUMMYFUNCTION("""COMPUTED_VALUE"""),"F")</f>
        <v>F</v>
      </c>
      <c r="H352" s="9" t="str">
        <f>IFERROR(__xludf.DUMMYFUNCTION("""COMPUTED_VALUE"""),"FGM")</f>
        <v>FGM</v>
      </c>
      <c r="I352" s="9" t="str">
        <f>IFERROR(__xludf.DUMMYFUNCTION("""COMPUTED_VALUE"""),"FTS")</f>
        <v>FTS</v>
      </c>
      <c r="J352" s="9" t="str">
        <f>IFERROR(__xludf.DUMMYFUNCTION("""COMPUTED_VALUE"""),"SP")</f>
        <v>SP</v>
      </c>
      <c r="K352" s="9" t="str">
        <f>IFERROR(__xludf.DUMMYFUNCTION("""COMPUTED_VALUE"""),"cSP")</f>
        <v>cSP</v>
      </c>
      <c r="L352" s="9" t="str">
        <f>IFERROR(__xludf.DUMMYFUNCTION("""COMPUTED_VALUE"""),"cSPmi")</f>
        <v>cSPmi</v>
      </c>
      <c r="M352" s="9"/>
      <c r="N352" s="9"/>
      <c r="O352" s="9"/>
      <c r="P352" s="9"/>
      <c r="Q352" s="9"/>
      <c r="R352" s="9"/>
      <c r="S352" s="42"/>
      <c r="T352" s="42"/>
      <c r="U352" s="42"/>
      <c r="V352" s="42"/>
      <c r="W352" s="42"/>
      <c r="X352" s="42"/>
      <c r="Y352" s="42"/>
      <c r="Z352" s="42"/>
      <c r="AA352" s="42"/>
      <c r="AB352" s="42" t="str">
        <f>IFERROR(__xludf.DUMMYFUNCTION("""COMPUTED_VALUE"""),"allen institute")</f>
        <v>allen institute</v>
      </c>
      <c r="AC352" s="42" t="str">
        <f>IFERROR(__xludf.DUMMYFUNCTION("""COMPUTED_VALUE"""),"DHBA")</f>
        <v>DHBA</v>
      </c>
      <c r="AD352" s="42"/>
      <c r="AE352" s="42"/>
      <c r="AF352" s="9"/>
      <c r="AG352" s="9"/>
      <c r="AH352" s="42"/>
      <c r="AI352" s="42"/>
      <c r="AJ352" s="42"/>
      <c r="AK352" s="42"/>
      <c r="AL352" s="42"/>
      <c r="AM352" s="42"/>
      <c r="AN352" s="42"/>
      <c r="AO352" s="63" t="str">
        <f>IFERROR(__xludf.DUMMYFUNCTION("IF(ISBLANK(A352),,IF(ISBLANK(S352), A352&amp;"";"", TEXTJOIN(CHAR(10), TRUE, A352&amp;"";"", ARRAYFORMULA(VLOOKUP(SPLIT(S352, "";"" &amp; CHAR(10)), $A:$AO, 41, FALSE)))))"),"cSPmi;")</f>
        <v>cSPmi;</v>
      </c>
      <c r="AP352" s="89"/>
    </row>
    <row r="353">
      <c r="A353" s="151" t="str">
        <f>IFERROR(__xludf.DUMMYFUNCTION("""COMPUTED_VALUE"""),"cSPc")</f>
        <v>cSPc</v>
      </c>
      <c r="B353" s="42" t="str">
        <f>IFERROR(__xludf.DUMMYFUNCTION("""COMPUTED_VALUE"""),"DHBA")</f>
        <v>DHBA</v>
      </c>
      <c r="C353" s="42" t="str">
        <f>IFERROR(__xludf.DUMMYFUNCTION("""COMPUTED_VALUE"""),"SP in caudal cingulate cortex")</f>
        <v>SP in caudal cingulate cortex</v>
      </c>
      <c r="D353" s="42">
        <f>IFERROR(__xludf.DUMMYFUNCTION("""COMPUTED_VALUE"""),319.0)</f>
        <v>319</v>
      </c>
      <c r="E353" s="39" t="str">
        <f>IFERROR(__xludf.DUMMYFUNCTION("""COMPUTED_VALUE"""),"SP in caudal cingulate cortex")</f>
        <v>SP in caudal cingulate cortex</v>
      </c>
      <c r="F353" s="9" t="str">
        <f>IFERROR(__xludf.DUMMYFUNCTION("""COMPUTED_VALUE"""),"Br")</f>
        <v>Br</v>
      </c>
      <c r="G353" s="9" t="str">
        <f>IFERROR(__xludf.DUMMYFUNCTION("""COMPUTED_VALUE"""),"F")</f>
        <v>F</v>
      </c>
      <c r="H353" s="9" t="str">
        <f>IFERROR(__xludf.DUMMYFUNCTION("""COMPUTED_VALUE"""),"FGM")</f>
        <v>FGM</v>
      </c>
      <c r="I353" s="9" t="str">
        <f>IFERROR(__xludf.DUMMYFUNCTION("""COMPUTED_VALUE"""),"FTS")</f>
        <v>FTS</v>
      </c>
      <c r="J353" s="9" t="str">
        <f>IFERROR(__xludf.DUMMYFUNCTION("""COMPUTED_VALUE"""),"SP")</f>
        <v>SP</v>
      </c>
      <c r="K353" s="9" t="str">
        <f>IFERROR(__xludf.DUMMYFUNCTION("""COMPUTED_VALUE"""),"cSP")</f>
        <v>cSP</v>
      </c>
      <c r="L353" s="9" t="str">
        <f>IFERROR(__xludf.DUMMYFUNCTION("""COMPUTED_VALUE"""),"cSPc")</f>
        <v>cSPc</v>
      </c>
      <c r="M353" s="9"/>
      <c r="N353" s="9"/>
      <c r="O353" s="9"/>
      <c r="P353" s="9"/>
      <c r="Q353" s="9"/>
      <c r="R353" s="9"/>
      <c r="S353" s="42"/>
      <c r="T353" s="42"/>
      <c r="U353" s="42"/>
      <c r="V353" s="42"/>
      <c r="W353" s="42"/>
      <c r="X353" s="42"/>
      <c r="Y353" s="42"/>
      <c r="Z353" s="42"/>
      <c r="AA353" s="42"/>
      <c r="AB353" s="42" t="str">
        <f>IFERROR(__xludf.DUMMYFUNCTION("""COMPUTED_VALUE"""),"allen institute")</f>
        <v>allen institute</v>
      </c>
      <c r="AC353" s="42" t="str">
        <f>IFERROR(__xludf.DUMMYFUNCTION("""COMPUTED_VALUE"""),"DHBA")</f>
        <v>DHBA</v>
      </c>
      <c r="AD353" s="42"/>
      <c r="AE353" s="42"/>
      <c r="AF353" s="9"/>
      <c r="AG353" s="9"/>
      <c r="AH353" s="42"/>
      <c r="AI353" s="42"/>
      <c r="AJ353" s="42"/>
      <c r="AK353" s="42"/>
      <c r="AL353" s="42"/>
      <c r="AM353" s="42"/>
      <c r="AN353" s="42"/>
      <c r="AO353" s="63" t="str">
        <f>IFERROR(__xludf.DUMMYFUNCTION("IF(ISBLANK(A353),,IF(ISBLANK(S353), A353&amp;"";"", TEXTJOIN(CHAR(10), TRUE, A353&amp;"";"", ARRAYFORMULA(VLOOKUP(SPLIT(S353, "";"" &amp; CHAR(10)), $A:$AO, 41, FALSE)))))"),"cSPc;")</f>
        <v>cSPc;</v>
      </c>
      <c r="AP353" s="89"/>
    </row>
    <row r="354">
      <c r="A354" s="151" t="str">
        <f>IFERROR(__xludf.DUMMYFUNCTION("""COMPUTED_VALUE"""),"cSPsg")</f>
        <v>cSPsg</v>
      </c>
      <c r="B354" s="42" t="str">
        <f>IFERROR(__xludf.DUMMYFUNCTION("""COMPUTED_VALUE"""),"DHBA")</f>
        <v>DHBA</v>
      </c>
      <c r="C354" s="42" t="str">
        <f>IFERROR(__xludf.DUMMYFUNCTION("""COMPUTED_VALUE"""),"SP in subgenual (subcallosal) cingulate cortex")</f>
        <v>SP in subgenual (subcallosal) cingulate cortex</v>
      </c>
      <c r="D354" s="42">
        <f>IFERROR(__xludf.DUMMYFUNCTION("""COMPUTED_VALUE"""),320.0)</f>
        <v>320</v>
      </c>
      <c r="E354" s="39" t="str">
        <f>IFERROR(__xludf.DUMMYFUNCTION("""COMPUTED_VALUE"""),"SP in subgenual (subcallosal) cingulate cortex")</f>
        <v>SP in subgenual (subcallosal) cingulate cortex</v>
      </c>
      <c r="F354" s="9" t="str">
        <f>IFERROR(__xludf.DUMMYFUNCTION("""COMPUTED_VALUE"""),"Br")</f>
        <v>Br</v>
      </c>
      <c r="G354" s="9" t="str">
        <f>IFERROR(__xludf.DUMMYFUNCTION("""COMPUTED_VALUE"""),"F")</f>
        <v>F</v>
      </c>
      <c r="H354" s="9" t="str">
        <f>IFERROR(__xludf.DUMMYFUNCTION("""COMPUTED_VALUE"""),"FGM")</f>
        <v>FGM</v>
      </c>
      <c r="I354" s="9" t="str">
        <f>IFERROR(__xludf.DUMMYFUNCTION("""COMPUTED_VALUE"""),"FTS")</f>
        <v>FTS</v>
      </c>
      <c r="J354" s="9" t="str">
        <f>IFERROR(__xludf.DUMMYFUNCTION("""COMPUTED_VALUE"""),"SP")</f>
        <v>SP</v>
      </c>
      <c r="K354" s="9" t="str">
        <f>IFERROR(__xludf.DUMMYFUNCTION("""COMPUTED_VALUE"""),"cSP")</f>
        <v>cSP</v>
      </c>
      <c r="L354" s="9" t="str">
        <f>IFERROR(__xludf.DUMMYFUNCTION("""COMPUTED_VALUE"""),"cSPsg")</f>
        <v>cSPsg</v>
      </c>
      <c r="M354" s="9"/>
      <c r="N354" s="9"/>
      <c r="O354" s="9"/>
      <c r="P354" s="9"/>
      <c r="Q354" s="9"/>
      <c r="R354" s="9"/>
      <c r="S354" s="42"/>
      <c r="T354" s="42"/>
      <c r="U354" s="42"/>
      <c r="V354" s="42"/>
      <c r="W354" s="42"/>
      <c r="X354" s="42"/>
      <c r="Y354" s="42"/>
      <c r="Z354" s="42"/>
      <c r="AA354" s="42"/>
      <c r="AB354" s="42" t="str">
        <f>IFERROR(__xludf.DUMMYFUNCTION("""COMPUTED_VALUE"""),"allen institute")</f>
        <v>allen institute</v>
      </c>
      <c r="AC354" s="42" t="str">
        <f>IFERROR(__xludf.DUMMYFUNCTION("""COMPUTED_VALUE"""),"DHBA")</f>
        <v>DHBA</v>
      </c>
      <c r="AD354" s="42"/>
      <c r="AE354" s="42"/>
      <c r="AF354" s="9"/>
      <c r="AG354" s="9"/>
      <c r="AH354" s="42"/>
      <c r="AI354" s="42"/>
      <c r="AJ354" s="42"/>
      <c r="AK354" s="42"/>
      <c r="AL354" s="42"/>
      <c r="AM354" s="42"/>
      <c r="AN354" s="42"/>
      <c r="AO354" s="63" t="str">
        <f>IFERROR(__xludf.DUMMYFUNCTION("IF(ISBLANK(A354),,IF(ISBLANK(S354), A354&amp;"";"", TEXTJOIN(CHAR(10), TRUE, A354&amp;"";"", ARRAYFORMULA(VLOOKUP(SPLIT(S354, "";"" &amp; CHAR(10)), $A:$AO, 41, FALSE)))))"),"cSPsg;")</f>
        <v>cSPsg;</v>
      </c>
      <c r="AP354" s="89"/>
    </row>
    <row r="355">
      <c r="A355" s="151" t="str">
        <f>IFERROR(__xludf.DUMMYFUNCTION("""COMPUTED_VALUE"""),"peSP")</f>
        <v>peSP</v>
      </c>
      <c r="B355" s="42" t="str">
        <f>IFERROR(__xludf.DUMMYFUNCTION("""COMPUTED_VALUE"""),"DHBA")</f>
        <v>DHBA</v>
      </c>
      <c r="C355" s="42" t="str">
        <f>IFERROR(__xludf.DUMMYFUNCTION("""COMPUTED_VALUE"""),"SP in periallocortex")</f>
        <v>SP in periallocortex</v>
      </c>
      <c r="D355" s="42">
        <f>IFERROR(__xludf.DUMMYFUNCTION("""COMPUTED_VALUE"""),321.0)</f>
        <v>321</v>
      </c>
      <c r="E355" s="39" t="str">
        <f>IFERROR(__xludf.DUMMYFUNCTION("""COMPUTED_VALUE"""),"SP in periallocortex")</f>
        <v>SP in periallocortex</v>
      </c>
      <c r="F355" s="9" t="str">
        <f>IFERROR(__xludf.DUMMYFUNCTION("""COMPUTED_VALUE"""),"Br")</f>
        <v>Br</v>
      </c>
      <c r="G355" s="9" t="str">
        <f>IFERROR(__xludf.DUMMYFUNCTION("""COMPUTED_VALUE"""),"F")</f>
        <v>F</v>
      </c>
      <c r="H355" s="9" t="str">
        <f>IFERROR(__xludf.DUMMYFUNCTION("""COMPUTED_VALUE"""),"FGM")</f>
        <v>FGM</v>
      </c>
      <c r="I355" s="9" t="str">
        <f>IFERROR(__xludf.DUMMYFUNCTION("""COMPUTED_VALUE"""),"FTS")</f>
        <v>FTS</v>
      </c>
      <c r="J355" s="9" t="str">
        <f>IFERROR(__xludf.DUMMYFUNCTION("""COMPUTED_VALUE"""),"SP")</f>
        <v>SP</v>
      </c>
      <c r="K355" s="9" t="str">
        <f>IFERROR(__xludf.DUMMYFUNCTION("""COMPUTED_VALUE"""),"peSP")</f>
        <v>peSP</v>
      </c>
      <c r="L355" s="9"/>
      <c r="M355" s="9"/>
      <c r="N355" s="9"/>
      <c r="O355" s="9"/>
      <c r="P355" s="9"/>
      <c r="Q355" s="9"/>
      <c r="R355" s="9"/>
      <c r="S355" s="42" t="str">
        <f>IFERROR(__xludf.DUMMYFUNCTION("""COMPUTED_VALUE"""),"SPpc;
SPpas;
SPec;
SPprs;
SPrs;
SPIag")</f>
        <v>SPpc;
SPpas;
SPec;
SPprs;
SPrs;
SPIag</v>
      </c>
      <c r="T355" s="42"/>
      <c r="U355" s="42" t="b">
        <f>IFERROR(__xludf.DUMMYFUNCTION("""COMPUTED_VALUE"""),FALSE)</f>
        <v>0</v>
      </c>
      <c r="V355" s="42"/>
      <c r="W355" s="42"/>
      <c r="X355" s="42"/>
      <c r="Y355" s="42"/>
      <c r="Z355" s="42"/>
      <c r="AA355" s="42"/>
      <c r="AB355" s="42" t="str">
        <f>IFERROR(__xludf.DUMMYFUNCTION("""COMPUTED_VALUE"""),"allen institute")</f>
        <v>allen institute</v>
      </c>
      <c r="AC355" s="42" t="str">
        <f>IFERROR(__xludf.DUMMYFUNCTION("""COMPUTED_VALUE"""),"DHBA")</f>
        <v>DHBA</v>
      </c>
      <c r="AD355" s="42"/>
      <c r="AE355" s="42"/>
      <c r="AF355" s="9"/>
      <c r="AG355" s="9"/>
      <c r="AH355" s="42"/>
      <c r="AI355" s="42"/>
      <c r="AJ355" s="42"/>
      <c r="AK355" s="42"/>
      <c r="AL355" s="42"/>
      <c r="AM355" s="42"/>
      <c r="AN355" s="42"/>
      <c r="AO355" s="63" t="str">
        <f>IFERROR(__xludf.DUMMYFUNCTION("IF(ISBLANK(A355),,IF(ISBLANK(S355), A355&amp;"";"", TEXTJOIN(CHAR(10), TRUE, A355&amp;"";"", ARRAYFORMULA(VLOOKUP(SPLIT(S355, "";"" &amp; CHAR(10)), $A:$AO, 41, FALSE)))))"),"peSP;
SPpc;
SPpcr;
SPpcc;
SPpas;
SPec;
SPlec;
SPmec;
SPprs;
SPprsr;
SPprsc;
SPrs;
SPIag;")</f>
        <v>peSP;
SPpc;
SPpcr;
SPpcc;
SPpas;
SPec;
SPlec;
SPmec;
SPprs;
SPprsr;
SPprsc;
SPrs;
SPIag;</v>
      </c>
      <c r="AP355" s="89"/>
    </row>
    <row r="356">
      <c r="A356" s="151" t="str">
        <f>IFERROR(__xludf.DUMMYFUNCTION("""COMPUTED_VALUE"""),"SPpc")</f>
        <v>SPpc</v>
      </c>
      <c r="B356" s="42" t="str">
        <f>IFERROR(__xludf.DUMMYFUNCTION("""COMPUTED_VALUE"""),"DHBA")</f>
        <v>DHBA</v>
      </c>
      <c r="C356" s="42" t="str">
        <f>IFERROR(__xludf.DUMMYFUNCTION("""COMPUTED_VALUE"""),"SP in perirhinal cortex")</f>
        <v>SP in perirhinal cortex</v>
      </c>
      <c r="D356" s="42">
        <f>IFERROR(__xludf.DUMMYFUNCTION("""COMPUTED_VALUE"""),322.0)</f>
        <v>322</v>
      </c>
      <c r="E356" s="39" t="str">
        <f>IFERROR(__xludf.DUMMYFUNCTION("""COMPUTED_VALUE"""),"SP in perirhinal cortex")</f>
        <v>SP in perirhinal cortex</v>
      </c>
      <c r="F356" s="9" t="str">
        <f>IFERROR(__xludf.DUMMYFUNCTION("""COMPUTED_VALUE"""),"Br")</f>
        <v>Br</v>
      </c>
      <c r="G356" s="9" t="str">
        <f>IFERROR(__xludf.DUMMYFUNCTION("""COMPUTED_VALUE"""),"F")</f>
        <v>F</v>
      </c>
      <c r="H356" s="9" t="str">
        <f>IFERROR(__xludf.DUMMYFUNCTION("""COMPUTED_VALUE"""),"FGM")</f>
        <v>FGM</v>
      </c>
      <c r="I356" s="9" t="str">
        <f>IFERROR(__xludf.DUMMYFUNCTION("""COMPUTED_VALUE"""),"FTS")</f>
        <v>FTS</v>
      </c>
      <c r="J356" s="9" t="str">
        <f>IFERROR(__xludf.DUMMYFUNCTION("""COMPUTED_VALUE"""),"SP")</f>
        <v>SP</v>
      </c>
      <c r="K356" s="9" t="str">
        <f>IFERROR(__xludf.DUMMYFUNCTION("""COMPUTED_VALUE"""),"peSP")</f>
        <v>peSP</v>
      </c>
      <c r="L356" s="9" t="str">
        <f>IFERROR(__xludf.DUMMYFUNCTION("""COMPUTED_VALUE"""),"SPpc")</f>
        <v>SPpc</v>
      </c>
      <c r="M356" s="9"/>
      <c r="N356" s="9"/>
      <c r="O356" s="9"/>
      <c r="P356" s="9"/>
      <c r="Q356" s="9"/>
      <c r="R356" s="9"/>
      <c r="S356" s="42" t="str">
        <f>IFERROR(__xludf.DUMMYFUNCTION("""COMPUTED_VALUE"""),"SPpcr;
SPpcc")</f>
        <v>SPpcr;
SPpcc</v>
      </c>
      <c r="T356" s="42"/>
      <c r="U356" s="42" t="b">
        <f>IFERROR(__xludf.DUMMYFUNCTION("""COMPUTED_VALUE"""),FALSE)</f>
        <v>0</v>
      </c>
      <c r="V356" s="42"/>
      <c r="W356" s="42"/>
      <c r="X356" s="42"/>
      <c r="Y356" s="42"/>
      <c r="Z356" s="42"/>
      <c r="AA356" s="42"/>
      <c r="AB356" s="42" t="str">
        <f>IFERROR(__xludf.DUMMYFUNCTION("""COMPUTED_VALUE"""),"allen institute")</f>
        <v>allen institute</v>
      </c>
      <c r="AC356" s="42" t="str">
        <f>IFERROR(__xludf.DUMMYFUNCTION("""COMPUTED_VALUE"""),"DHBA")</f>
        <v>DHBA</v>
      </c>
      <c r="AD356" s="42"/>
      <c r="AE356" s="42"/>
      <c r="AF356" s="9"/>
      <c r="AG356" s="9"/>
      <c r="AH356" s="42"/>
      <c r="AI356" s="42"/>
      <c r="AJ356" s="42"/>
      <c r="AK356" s="42"/>
      <c r="AL356" s="42"/>
      <c r="AM356" s="42"/>
      <c r="AN356" s="42"/>
      <c r="AO356" s="63" t="str">
        <f>IFERROR(__xludf.DUMMYFUNCTION("IF(ISBLANK(A356),,IF(ISBLANK(S356), A356&amp;"";"", TEXTJOIN(CHAR(10), TRUE, A356&amp;"";"", ARRAYFORMULA(VLOOKUP(SPLIT(S356, "";"" &amp; CHAR(10)), $A:$AO, 41, FALSE)))))"),"SPpc;
SPpcr;
SPpcc;")</f>
        <v>SPpc;
SPpcr;
SPpcc;</v>
      </c>
      <c r="AP356" s="89"/>
    </row>
    <row r="357">
      <c r="A357" s="151" t="str">
        <f>IFERROR(__xludf.DUMMYFUNCTION("""COMPUTED_VALUE"""),"SPpcr")</f>
        <v>SPpcr</v>
      </c>
      <c r="B357" s="42" t="str">
        <f>IFERROR(__xludf.DUMMYFUNCTION("""COMPUTED_VALUE"""),"DHBA")</f>
        <v>DHBA</v>
      </c>
      <c r="C357" s="42" t="str">
        <f>IFERROR(__xludf.DUMMYFUNCTION("""COMPUTED_VALUE"""),"SP in rostral perirhinal cortex")</f>
        <v>SP in rostral perirhinal cortex</v>
      </c>
      <c r="D357" s="42">
        <f>IFERROR(__xludf.DUMMYFUNCTION("""COMPUTED_VALUE"""),323.0)</f>
        <v>323</v>
      </c>
      <c r="E357" s="39" t="str">
        <f>IFERROR(__xludf.DUMMYFUNCTION("""COMPUTED_VALUE"""),"SP in rostral perirhinal cortex")</f>
        <v>SP in rostral perirhinal cortex</v>
      </c>
      <c r="F357" s="9" t="str">
        <f>IFERROR(__xludf.DUMMYFUNCTION("""COMPUTED_VALUE"""),"Br")</f>
        <v>Br</v>
      </c>
      <c r="G357" s="9" t="str">
        <f>IFERROR(__xludf.DUMMYFUNCTION("""COMPUTED_VALUE"""),"F")</f>
        <v>F</v>
      </c>
      <c r="H357" s="9" t="str">
        <f>IFERROR(__xludf.DUMMYFUNCTION("""COMPUTED_VALUE"""),"FGM")</f>
        <v>FGM</v>
      </c>
      <c r="I357" s="9" t="str">
        <f>IFERROR(__xludf.DUMMYFUNCTION("""COMPUTED_VALUE"""),"FTS")</f>
        <v>FTS</v>
      </c>
      <c r="J357" s="9" t="str">
        <f>IFERROR(__xludf.DUMMYFUNCTION("""COMPUTED_VALUE"""),"SP")</f>
        <v>SP</v>
      </c>
      <c r="K357" s="9" t="str">
        <f>IFERROR(__xludf.DUMMYFUNCTION("""COMPUTED_VALUE"""),"peSP")</f>
        <v>peSP</v>
      </c>
      <c r="L357" s="9" t="str">
        <f>IFERROR(__xludf.DUMMYFUNCTION("""COMPUTED_VALUE"""),"SPpc")</f>
        <v>SPpc</v>
      </c>
      <c r="M357" s="9" t="str">
        <f>IFERROR(__xludf.DUMMYFUNCTION("""COMPUTED_VALUE"""),"SPpcr")</f>
        <v>SPpcr</v>
      </c>
      <c r="N357" s="9"/>
      <c r="O357" s="9"/>
      <c r="P357" s="9"/>
      <c r="Q357" s="9"/>
      <c r="R357" s="9"/>
      <c r="S357" s="42"/>
      <c r="T357" s="42"/>
      <c r="U357" s="42"/>
      <c r="V357" s="42"/>
      <c r="W357" s="42"/>
      <c r="X357" s="42"/>
      <c r="Y357" s="42"/>
      <c r="Z357" s="42"/>
      <c r="AA357" s="42"/>
      <c r="AB357" s="42" t="str">
        <f>IFERROR(__xludf.DUMMYFUNCTION("""COMPUTED_VALUE"""),"allen institute")</f>
        <v>allen institute</v>
      </c>
      <c r="AC357" s="42" t="str">
        <f>IFERROR(__xludf.DUMMYFUNCTION("""COMPUTED_VALUE"""),"DHBA")</f>
        <v>DHBA</v>
      </c>
      <c r="AD357" s="42"/>
      <c r="AE357" s="42"/>
      <c r="AF357" s="9"/>
      <c r="AG357" s="9"/>
      <c r="AH357" s="42"/>
      <c r="AI357" s="42"/>
      <c r="AJ357" s="42"/>
      <c r="AK357" s="42"/>
      <c r="AL357" s="42"/>
      <c r="AM357" s="42"/>
      <c r="AN357" s="42"/>
      <c r="AO357" s="63" t="str">
        <f>IFERROR(__xludf.DUMMYFUNCTION("IF(ISBLANK(A357),,IF(ISBLANK(S357), A357&amp;"";"", TEXTJOIN(CHAR(10), TRUE, A357&amp;"";"", ARRAYFORMULA(VLOOKUP(SPLIT(S357, "";"" &amp; CHAR(10)), $A:$AO, 41, FALSE)))))"),"SPpcr;")</f>
        <v>SPpcr;</v>
      </c>
      <c r="AP357" s="89"/>
    </row>
    <row r="358">
      <c r="A358" s="151" t="str">
        <f>IFERROR(__xludf.DUMMYFUNCTION("""COMPUTED_VALUE"""),"SPpcc")</f>
        <v>SPpcc</v>
      </c>
      <c r="B358" s="42" t="str">
        <f>IFERROR(__xludf.DUMMYFUNCTION("""COMPUTED_VALUE"""),"DHBA")</f>
        <v>DHBA</v>
      </c>
      <c r="C358" s="42" t="str">
        <f>IFERROR(__xludf.DUMMYFUNCTION("""COMPUTED_VALUE"""),"SP in caudal perirhinal cortex")</f>
        <v>SP in caudal perirhinal cortex</v>
      </c>
      <c r="D358" s="42">
        <f>IFERROR(__xludf.DUMMYFUNCTION("""COMPUTED_VALUE"""),324.0)</f>
        <v>324</v>
      </c>
      <c r="E358" s="39" t="str">
        <f>IFERROR(__xludf.DUMMYFUNCTION("""COMPUTED_VALUE"""),"SP in caudal perirhinal cortex")</f>
        <v>SP in caudal perirhinal cortex</v>
      </c>
      <c r="F358" s="9" t="str">
        <f>IFERROR(__xludf.DUMMYFUNCTION("""COMPUTED_VALUE"""),"Br")</f>
        <v>Br</v>
      </c>
      <c r="G358" s="9" t="str">
        <f>IFERROR(__xludf.DUMMYFUNCTION("""COMPUTED_VALUE"""),"F")</f>
        <v>F</v>
      </c>
      <c r="H358" s="9" t="str">
        <f>IFERROR(__xludf.DUMMYFUNCTION("""COMPUTED_VALUE"""),"FGM")</f>
        <v>FGM</v>
      </c>
      <c r="I358" s="9" t="str">
        <f>IFERROR(__xludf.DUMMYFUNCTION("""COMPUTED_VALUE"""),"FTS")</f>
        <v>FTS</v>
      </c>
      <c r="J358" s="9" t="str">
        <f>IFERROR(__xludf.DUMMYFUNCTION("""COMPUTED_VALUE"""),"SP")</f>
        <v>SP</v>
      </c>
      <c r="K358" s="9" t="str">
        <f>IFERROR(__xludf.DUMMYFUNCTION("""COMPUTED_VALUE"""),"peSP")</f>
        <v>peSP</v>
      </c>
      <c r="L358" s="9" t="str">
        <f>IFERROR(__xludf.DUMMYFUNCTION("""COMPUTED_VALUE"""),"SPpc")</f>
        <v>SPpc</v>
      </c>
      <c r="M358" s="9" t="str">
        <f>IFERROR(__xludf.DUMMYFUNCTION("""COMPUTED_VALUE"""),"SPpcc")</f>
        <v>SPpcc</v>
      </c>
      <c r="N358" s="9"/>
      <c r="O358" s="9"/>
      <c r="P358" s="9"/>
      <c r="Q358" s="9"/>
      <c r="R358" s="9"/>
      <c r="S358" s="42"/>
      <c r="T358" s="42"/>
      <c r="U358" s="42"/>
      <c r="V358" s="42"/>
      <c r="W358" s="42"/>
      <c r="X358" s="42"/>
      <c r="Y358" s="42"/>
      <c r="Z358" s="42"/>
      <c r="AA358" s="42"/>
      <c r="AB358" s="42" t="str">
        <f>IFERROR(__xludf.DUMMYFUNCTION("""COMPUTED_VALUE"""),"allen institute")</f>
        <v>allen institute</v>
      </c>
      <c r="AC358" s="42" t="str">
        <f>IFERROR(__xludf.DUMMYFUNCTION("""COMPUTED_VALUE"""),"DHBA")</f>
        <v>DHBA</v>
      </c>
      <c r="AD358" s="42"/>
      <c r="AE358" s="42"/>
      <c r="AF358" s="9"/>
      <c r="AG358" s="9"/>
      <c r="AH358" s="42"/>
      <c r="AI358" s="42"/>
      <c r="AJ358" s="42"/>
      <c r="AK358" s="42"/>
      <c r="AL358" s="42"/>
      <c r="AM358" s="42"/>
      <c r="AN358" s="42"/>
      <c r="AO358" s="63" t="str">
        <f>IFERROR(__xludf.DUMMYFUNCTION("IF(ISBLANK(A358),,IF(ISBLANK(S358), A358&amp;"";"", TEXTJOIN(CHAR(10), TRUE, A358&amp;"";"", ARRAYFORMULA(VLOOKUP(SPLIT(S358, "";"" &amp; CHAR(10)), $A:$AO, 41, FALSE)))))"),"SPpcc;")</f>
        <v>SPpcc;</v>
      </c>
      <c r="AP358" s="89"/>
    </row>
    <row r="359">
      <c r="A359" s="151" t="str">
        <f>IFERROR(__xludf.DUMMYFUNCTION("""COMPUTED_VALUE"""),"SPpas")</f>
        <v>SPpas</v>
      </c>
      <c r="B359" s="42" t="str">
        <f>IFERROR(__xludf.DUMMYFUNCTION("""COMPUTED_VALUE"""),"DHBA")</f>
        <v>DHBA</v>
      </c>
      <c r="C359" s="42" t="str">
        <f>IFERROR(__xludf.DUMMYFUNCTION("""COMPUTED_VALUE"""),"SP in parasubicular cortex")</f>
        <v>SP in parasubicular cortex</v>
      </c>
      <c r="D359" s="42">
        <f>IFERROR(__xludf.DUMMYFUNCTION("""COMPUTED_VALUE"""),325.0)</f>
        <v>325</v>
      </c>
      <c r="E359" s="39" t="str">
        <f>IFERROR(__xludf.DUMMYFUNCTION("""COMPUTED_VALUE"""),"SP in parasubicular cortex")</f>
        <v>SP in parasubicular cortex</v>
      </c>
      <c r="F359" s="9" t="str">
        <f>IFERROR(__xludf.DUMMYFUNCTION("""COMPUTED_VALUE"""),"Br")</f>
        <v>Br</v>
      </c>
      <c r="G359" s="9" t="str">
        <f>IFERROR(__xludf.DUMMYFUNCTION("""COMPUTED_VALUE"""),"F")</f>
        <v>F</v>
      </c>
      <c r="H359" s="9" t="str">
        <f>IFERROR(__xludf.DUMMYFUNCTION("""COMPUTED_VALUE"""),"FGM")</f>
        <v>FGM</v>
      </c>
      <c r="I359" s="9" t="str">
        <f>IFERROR(__xludf.DUMMYFUNCTION("""COMPUTED_VALUE"""),"FTS")</f>
        <v>FTS</v>
      </c>
      <c r="J359" s="9" t="str">
        <f>IFERROR(__xludf.DUMMYFUNCTION("""COMPUTED_VALUE"""),"SP")</f>
        <v>SP</v>
      </c>
      <c r="K359" s="9" t="str">
        <f>IFERROR(__xludf.DUMMYFUNCTION("""COMPUTED_VALUE"""),"peSP")</f>
        <v>peSP</v>
      </c>
      <c r="L359" s="9" t="str">
        <f>IFERROR(__xludf.DUMMYFUNCTION("""COMPUTED_VALUE"""),"SPpas")</f>
        <v>SPpas</v>
      </c>
      <c r="M359" s="9"/>
      <c r="N359" s="9"/>
      <c r="O359" s="9"/>
      <c r="P359" s="9"/>
      <c r="Q359" s="9"/>
      <c r="R359" s="9"/>
      <c r="S359" s="42"/>
      <c r="T359" s="42"/>
      <c r="U359" s="42"/>
      <c r="V359" s="42"/>
      <c r="W359" s="42"/>
      <c r="X359" s="42"/>
      <c r="Y359" s="42"/>
      <c r="Z359" s="42"/>
      <c r="AA359" s="42"/>
      <c r="AB359" s="42" t="str">
        <f>IFERROR(__xludf.DUMMYFUNCTION("""COMPUTED_VALUE"""),"allen institute")</f>
        <v>allen institute</v>
      </c>
      <c r="AC359" s="42" t="str">
        <f>IFERROR(__xludf.DUMMYFUNCTION("""COMPUTED_VALUE"""),"DHBA")</f>
        <v>DHBA</v>
      </c>
      <c r="AD359" s="42"/>
      <c r="AE359" s="42"/>
      <c r="AF359" s="9"/>
      <c r="AG359" s="9"/>
      <c r="AH359" s="42"/>
      <c r="AI359" s="42"/>
      <c r="AJ359" s="42"/>
      <c r="AK359" s="42"/>
      <c r="AL359" s="42"/>
      <c r="AM359" s="42"/>
      <c r="AN359" s="42"/>
      <c r="AO359" s="63" t="str">
        <f>IFERROR(__xludf.DUMMYFUNCTION("IF(ISBLANK(A359),,IF(ISBLANK(S359), A359&amp;"";"", TEXTJOIN(CHAR(10), TRUE, A359&amp;"";"", ARRAYFORMULA(VLOOKUP(SPLIT(S359, "";"" &amp; CHAR(10)), $A:$AO, 41, FALSE)))))"),"SPpas;")</f>
        <v>SPpas;</v>
      </c>
      <c r="AP359" s="89"/>
    </row>
    <row r="360">
      <c r="A360" s="151" t="str">
        <f>IFERROR(__xludf.DUMMYFUNCTION("""COMPUTED_VALUE"""),"SPec")</f>
        <v>SPec</v>
      </c>
      <c r="B360" s="42" t="str">
        <f>IFERROR(__xludf.DUMMYFUNCTION("""COMPUTED_VALUE"""),"DHBA")</f>
        <v>DHBA</v>
      </c>
      <c r="C360" s="42" t="str">
        <f>IFERROR(__xludf.DUMMYFUNCTION("""COMPUTED_VALUE"""),"SP in entorhinal cortex")</f>
        <v>SP in entorhinal cortex</v>
      </c>
      <c r="D360" s="42">
        <f>IFERROR(__xludf.DUMMYFUNCTION("""COMPUTED_VALUE"""),326.0)</f>
        <v>326</v>
      </c>
      <c r="E360" s="39" t="str">
        <f>IFERROR(__xludf.DUMMYFUNCTION("""COMPUTED_VALUE"""),"SP in entorhinal cortex")</f>
        <v>SP in entorhinal cortex</v>
      </c>
      <c r="F360" s="9" t="str">
        <f>IFERROR(__xludf.DUMMYFUNCTION("""COMPUTED_VALUE"""),"Br")</f>
        <v>Br</v>
      </c>
      <c r="G360" s="9" t="str">
        <f>IFERROR(__xludf.DUMMYFUNCTION("""COMPUTED_VALUE"""),"F")</f>
        <v>F</v>
      </c>
      <c r="H360" s="9" t="str">
        <f>IFERROR(__xludf.DUMMYFUNCTION("""COMPUTED_VALUE"""),"FGM")</f>
        <v>FGM</v>
      </c>
      <c r="I360" s="9" t="str">
        <f>IFERROR(__xludf.DUMMYFUNCTION("""COMPUTED_VALUE"""),"FTS")</f>
        <v>FTS</v>
      </c>
      <c r="J360" s="9" t="str">
        <f>IFERROR(__xludf.DUMMYFUNCTION("""COMPUTED_VALUE"""),"SP")</f>
        <v>SP</v>
      </c>
      <c r="K360" s="9" t="str">
        <f>IFERROR(__xludf.DUMMYFUNCTION("""COMPUTED_VALUE"""),"peSP")</f>
        <v>peSP</v>
      </c>
      <c r="L360" s="9" t="str">
        <f>IFERROR(__xludf.DUMMYFUNCTION("""COMPUTED_VALUE"""),"SPec")</f>
        <v>SPec</v>
      </c>
      <c r="M360" s="9"/>
      <c r="N360" s="9"/>
      <c r="O360" s="9"/>
      <c r="P360" s="9"/>
      <c r="Q360" s="9"/>
      <c r="R360" s="9"/>
      <c r="S360" s="42" t="str">
        <f>IFERROR(__xludf.DUMMYFUNCTION("""COMPUTED_VALUE"""),"SPlec;
SPmec")</f>
        <v>SPlec;
SPmec</v>
      </c>
      <c r="T360" s="42"/>
      <c r="U360" s="42" t="b">
        <f>IFERROR(__xludf.DUMMYFUNCTION("""COMPUTED_VALUE"""),FALSE)</f>
        <v>0</v>
      </c>
      <c r="V360" s="42"/>
      <c r="W360" s="42"/>
      <c r="X360" s="42"/>
      <c r="Y360" s="42"/>
      <c r="Z360" s="42"/>
      <c r="AA360" s="42"/>
      <c r="AB360" s="42" t="str">
        <f>IFERROR(__xludf.DUMMYFUNCTION("""COMPUTED_VALUE"""),"allen institute")</f>
        <v>allen institute</v>
      </c>
      <c r="AC360" s="42" t="str">
        <f>IFERROR(__xludf.DUMMYFUNCTION("""COMPUTED_VALUE"""),"DHBA")</f>
        <v>DHBA</v>
      </c>
      <c r="AD360" s="42"/>
      <c r="AE360" s="42"/>
      <c r="AF360" s="9"/>
      <c r="AG360" s="9"/>
      <c r="AH360" s="42"/>
      <c r="AI360" s="42"/>
      <c r="AJ360" s="42"/>
      <c r="AK360" s="42"/>
      <c r="AL360" s="42"/>
      <c r="AM360" s="42"/>
      <c r="AN360" s="42"/>
      <c r="AO360" s="63" t="str">
        <f>IFERROR(__xludf.DUMMYFUNCTION("IF(ISBLANK(A360),,IF(ISBLANK(S360), A360&amp;"";"", TEXTJOIN(CHAR(10), TRUE, A360&amp;"";"", ARRAYFORMULA(VLOOKUP(SPLIT(S360, "";"" &amp; CHAR(10)), $A:$AO, 41, FALSE)))))"),"SPec;
SPlec;
SPmec;")</f>
        <v>SPec;
SPlec;
SPmec;</v>
      </c>
      <c r="AP360" s="89"/>
    </row>
    <row r="361">
      <c r="A361" s="151" t="str">
        <f>IFERROR(__xludf.DUMMYFUNCTION("""COMPUTED_VALUE"""),"SPlec")</f>
        <v>SPlec</v>
      </c>
      <c r="B361" s="42" t="str">
        <f>IFERROR(__xludf.DUMMYFUNCTION("""COMPUTED_VALUE"""),"DHBA")</f>
        <v>DHBA</v>
      </c>
      <c r="C361" s="42" t="str">
        <f>IFERROR(__xludf.DUMMYFUNCTION("""COMPUTED_VALUE"""),"SP in lateral (anterior) entorhinal cortex")</f>
        <v>SP in lateral (anterior) entorhinal cortex</v>
      </c>
      <c r="D361" s="42">
        <f>IFERROR(__xludf.DUMMYFUNCTION("""COMPUTED_VALUE"""),327.0)</f>
        <v>327</v>
      </c>
      <c r="E361" s="39" t="str">
        <f>IFERROR(__xludf.DUMMYFUNCTION("""COMPUTED_VALUE"""),"SP in lateral (anterior) entorhinal cortex")</f>
        <v>SP in lateral (anterior) entorhinal cortex</v>
      </c>
      <c r="F361" s="9" t="str">
        <f>IFERROR(__xludf.DUMMYFUNCTION("""COMPUTED_VALUE"""),"Br")</f>
        <v>Br</v>
      </c>
      <c r="G361" s="9" t="str">
        <f>IFERROR(__xludf.DUMMYFUNCTION("""COMPUTED_VALUE"""),"F")</f>
        <v>F</v>
      </c>
      <c r="H361" s="9" t="str">
        <f>IFERROR(__xludf.DUMMYFUNCTION("""COMPUTED_VALUE"""),"FGM")</f>
        <v>FGM</v>
      </c>
      <c r="I361" s="9" t="str">
        <f>IFERROR(__xludf.DUMMYFUNCTION("""COMPUTED_VALUE"""),"FTS")</f>
        <v>FTS</v>
      </c>
      <c r="J361" s="9" t="str">
        <f>IFERROR(__xludf.DUMMYFUNCTION("""COMPUTED_VALUE"""),"SP")</f>
        <v>SP</v>
      </c>
      <c r="K361" s="9" t="str">
        <f>IFERROR(__xludf.DUMMYFUNCTION("""COMPUTED_VALUE"""),"peSP")</f>
        <v>peSP</v>
      </c>
      <c r="L361" s="9" t="str">
        <f>IFERROR(__xludf.DUMMYFUNCTION("""COMPUTED_VALUE"""),"SPec")</f>
        <v>SPec</v>
      </c>
      <c r="M361" s="9" t="str">
        <f>IFERROR(__xludf.DUMMYFUNCTION("""COMPUTED_VALUE"""),"SPlec")</f>
        <v>SPlec</v>
      </c>
      <c r="N361" s="9"/>
      <c r="O361" s="9"/>
      <c r="P361" s="9"/>
      <c r="Q361" s="9"/>
      <c r="R361" s="9"/>
      <c r="S361" s="42"/>
      <c r="T361" s="42"/>
      <c r="U361" s="42"/>
      <c r="V361" s="42"/>
      <c r="W361" s="42"/>
      <c r="X361" s="42"/>
      <c r="Y361" s="42"/>
      <c r="Z361" s="42"/>
      <c r="AA361" s="42"/>
      <c r="AB361" s="42" t="str">
        <f>IFERROR(__xludf.DUMMYFUNCTION("""COMPUTED_VALUE"""),"allen institute")</f>
        <v>allen institute</v>
      </c>
      <c r="AC361" s="42" t="str">
        <f>IFERROR(__xludf.DUMMYFUNCTION("""COMPUTED_VALUE"""),"DHBA")</f>
        <v>DHBA</v>
      </c>
      <c r="AD361" s="42"/>
      <c r="AE361" s="42"/>
      <c r="AF361" s="9"/>
      <c r="AG361" s="9"/>
      <c r="AH361" s="42"/>
      <c r="AI361" s="42"/>
      <c r="AJ361" s="42"/>
      <c r="AK361" s="42"/>
      <c r="AL361" s="42"/>
      <c r="AM361" s="42"/>
      <c r="AN361" s="42"/>
      <c r="AO361" s="63" t="str">
        <f>IFERROR(__xludf.DUMMYFUNCTION("IF(ISBLANK(A361),,IF(ISBLANK(S361), A361&amp;"";"", TEXTJOIN(CHAR(10), TRUE, A361&amp;"";"", ARRAYFORMULA(VLOOKUP(SPLIT(S361, "";"" &amp; CHAR(10)), $A:$AO, 41, FALSE)))))"),"SPlec;")</f>
        <v>SPlec;</v>
      </c>
      <c r="AP361" s="89"/>
    </row>
    <row r="362">
      <c r="A362" s="151" t="str">
        <f>IFERROR(__xludf.DUMMYFUNCTION("""COMPUTED_VALUE"""),"SPmec")</f>
        <v>SPmec</v>
      </c>
      <c r="B362" s="42" t="str">
        <f>IFERROR(__xludf.DUMMYFUNCTION("""COMPUTED_VALUE"""),"DHBA")</f>
        <v>DHBA</v>
      </c>
      <c r="C362" s="42" t="str">
        <f>IFERROR(__xludf.DUMMYFUNCTION("""COMPUTED_VALUE"""),"SP in medial (posterior) entorhinal cortex")</f>
        <v>SP in medial (posterior) entorhinal cortex</v>
      </c>
      <c r="D362" s="42">
        <f>IFERROR(__xludf.DUMMYFUNCTION("""COMPUTED_VALUE"""),328.0)</f>
        <v>328</v>
      </c>
      <c r="E362" s="39" t="str">
        <f>IFERROR(__xludf.DUMMYFUNCTION("""COMPUTED_VALUE"""),"SP in medial (posterior) entorhinal cortex")</f>
        <v>SP in medial (posterior) entorhinal cortex</v>
      </c>
      <c r="F362" s="9" t="str">
        <f>IFERROR(__xludf.DUMMYFUNCTION("""COMPUTED_VALUE"""),"Br")</f>
        <v>Br</v>
      </c>
      <c r="G362" s="9" t="str">
        <f>IFERROR(__xludf.DUMMYFUNCTION("""COMPUTED_VALUE"""),"F")</f>
        <v>F</v>
      </c>
      <c r="H362" s="9" t="str">
        <f>IFERROR(__xludf.DUMMYFUNCTION("""COMPUTED_VALUE"""),"FGM")</f>
        <v>FGM</v>
      </c>
      <c r="I362" s="9" t="str">
        <f>IFERROR(__xludf.DUMMYFUNCTION("""COMPUTED_VALUE"""),"FTS")</f>
        <v>FTS</v>
      </c>
      <c r="J362" s="9" t="str">
        <f>IFERROR(__xludf.DUMMYFUNCTION("""COMPUTED_VALUE"""),"SP")</f>
        <v>SP</v>
      </c>
      <c r="K362" s="9" t="str">
        <f>IFERROR(__xludf.DUMMYFUNCTION("""COMPUTED_VALUE"""),"peSP")</f>
        <v>peSP</v>
      </c>
      <c r="L362" s="9" t="str">
        <f>IFERROR(__xludf.DUMMYFUNCTION("""COMPUTED_VALUE"""),"SPec")</f>
        <v>SPec</v>
      </c>
      <c r="M362" s="9" t="str">
        <f>IFERROR(__xludf.DUMMYFUNCTION("""COMPUTED_VALUE"""),"SPmec")</f>
        <v>SPmec</v>
      </c>
      <c r="N362" s="9"/>
      <c r="O362" s="9"/>
      <c r="P362" s="9"/>
      <c r="Q362" s="9"/>
      <c r="R362" s="9"/>
      <c r="S362" s="42"/>
      <c r="T362" s="42"/>
      <c r="U362" s="42"/>
      <c r="V362" s="42"/>
      <c r="W362" s="42"/>
      <c r="X362" s="42"/>
      <c r="Y362" s="42"/>
      <c r="Z362" s="42"/>
      <c r="AA362" s="42"/>
      <c r="AB362" s="42" t="str">
        <f>IFERROR(__xludf.DUMMYFUNCTION("""COMPUTED_VALUE"""),"allen institute")</f>
        <v>allen institute</v>
      </c>
      <c r="AC362" s="42" t="str">
        <f>IFERROR(__xludf.DUMMYFUNCTION("""COMPUTED_VALUE"""),"DHBA")</f>
        <v>DHBA</v>
      </c>
      <c r="AD362" s="42"/>
      <c r="AE362" s="42"/>
      <c r="AF362" s="9"/>
      <c r="AG362" s="9"/>
      <c r="AH362" s="42"/>
      <c r="AI362" s="42"/>
      <c r="AJ362" s="42"/>
      <c r="AK362" s="42"/>
      <c r="AL362" s="42"/>
      <c r="AM362" s="42"/>
      <c r="AN362" s="42"/>
      <c r="AO362" s="63" t="str">
        <f>IFERROR(__xludf.DUMMYFUNCTION("IF(ISBLANK(A362),,IF(ISBLANK(S362), A362&amp;"";"", TEXTJOIN(CHAR(10), TRUE, A362&amp;"";"", ARRAYFORMULA(VLOOKUP(SPLIT(S362, "";"" &amp; CHAR(10)), $A:$AO, 41, FALSE)))))"),"SPmec;")</f>
        <v>SPmec;</v>
      </c>
      <c r="AP362" s="89"/>
    </row>
    <row r="363">
      <c r="A363" s="151" t="str">
        <f>IFERROR(__xludf.DUMMYFUNCTION("""COMPUTED_VALUE"""),"SPprs")</f>
        <v>SPprs</v>
      </c>
      <c r="B363" s="42" t="str">
        <f>IFERROR(__xludf.DUMMYFUNCTION("""COMPUTED_VALUE"""),"DHBA")</f>
        <v>DHBA</v>
      </c>
      <c r="C363" s="42" t="str">
        <f>IFERROR(__xludf.DUMMYFUNCTION("""COMPUTED_VALUE"""),"SP in presubicular cortex")</f>
        <v>SP in presubicular cortex</v>
      </c>
      <c r="D363" s="42">
        <f>IFERROR(__xludf.DUMMYFUNCTION("""COMPUTED_VALUE"""),329.0)</f>
        <v>329</v>
      </c>
      <c r="E363" s="39" t="str">
        <f>IFERROR(__xludf.DUMMYFUNCTION("""COMPUTED_VALUE"""),"SP in presubicular cortex")</f>
        <v>SP in presubicular cortex</v>
      </c>
      <c r="F363" s="9" t="str">
        <f>IFERROR(__xludf.DUMMYFUNCTION("""COMPUTED_VALUE"""),"Br")</f>
        <v>Br</v>
      </c>
      <c r="G363" s="9" t="str">
        <f>IFERROR(__xludf.DUMMYFUNCTION("""COMPUTED_VALUE"""),"F")</f>
        <v>F</v>
      </c>
      <c r="H363" s="9" t="str">
        <f>IFERROR(__xludf.DUMMYFUNCTION("""COMPUTED_VALUE"""),"FGM")</f>
        <v>FGM</v>
      </c>
      <c r="I363" s="9" t="str">
        <f>IFERROR(__xludf.DUMMYFUNCTION("""COMPUTED_VALUE"""),"FTS")</f>
        <v>FTS</v>
      </c>
      <c r="J363" s="9" t="str">
        <f>IFERROR(__xludf.DUMMYFUNCTION("""COMPUTED_VALUE"""),"SP")</f>
        <v>SP</v>
      </c>
      <c r="K363" s="9" t="str">
        <f>IFERROR(__xludf.DUMMYFUNCTION("""COMPUTED_VALUE"""),"peSP")</f>
        <v>peSP</v>
      </c>
      <c r="L363" s="9" t="str">
        <f>IFERROR(__xludf.DUMMYFUNCTION("""COMPUTED_VALUE"""),"SPprs")</f>
        <v>SPprs</v>
      </c>
      <c r="M363" s="9"/>
      <c r="N363" s="9"/>
      <c r="O363" s="9"/>
      <c r="P363" s="9"/>
      <c r="Q363" s="9"/>
      <c r="R363" s="9"/>
      <c r="S363" s="42" t="str">
        <f>IFERROR(__xludf.DUMMYFUNCTION("""COMPUTED_VALUE"""),"SPprsr;
SPprsc")</f>
        <v>SPprsr;
SPprsc</v>
      </c>
      <c r="T363" s="42"/>
      <c r="U363" s="42" t="b">
        <f>IFERROR(__xludf.DUMMYFUNCTION("""COMPUTED_VALUE"""),FALSE)</f>
        <v>0</v>
      </c>
      <c r="V363" s="42"/>
      <c r="W363" s="42"/>
      <c r="X363" s="42"/>
      <c r="Y363" s="42"/>
      <c r="Z363" s="42"/>
      <c r="AA363" s="42"/>
      <c r="AB363" s="42" t="str">
        <f>IFERROR(__xludf.DUMMYFUNCTION("""COMPUTED_VALUE"""),"allen institute")</f>
        <v>allen institute</v>
      </c>
      <c r="AC363" s="42" t="str">
        <f>IFERROR(__xludf.DUMMYFUNCTION("""COMPUTED_VALUE"""),"DHBA")</f>
        <v>DHBA</v>
      </c>
      <c r="AD363" s="42"/>
      <c r="AE363" s="42"/>
      <c r="AF363" s="9"/>
      <c r="AG363" s="9"/>
      <c r="AH363" s="42"/>
      <c r="AI363" s="42"/>
      <c r="AJ363" s="42"/>
      <c r="AK363" s="42"/>
      <c r="AL363" s="42"/>
      <c r="AM363" s="42"/>
      <c r="AN363" s="42"/>
      <c r="AO363" s="63" t="str">
        <f>IFERROR(__xludf.DUMMYFUNCTION("IF(ISBLANK(A363),,IF(ISBLANK(S363), A363&amp;"";"", TEXTJOIN(CHAR(10), TRUE, A363&amp;"";"", ARRAYFORMULA(VLOOKUP(SPLIT(S363, "";"" &amp; CHAR(10)), $A:$AO, 41, FALSE)))))"),"SPprs;
SPprsr;
SPprsc;")</f>
        <v>SPprs;
SPprsr;
SPprsc;</v>
      </c>
      <c r="AP363" s="89"/>
    </row>
    <row r="364">
      <c r="A364" s="151" t="str">
        <f>IFERROR(__xludf.DUMMYFUNCTION("""COMPUTED_VALUE"""),"SPprsr")</f>
        <v>SPprsr</v>
      </c>
      <c r="B364" s="42" t="str">
        <f>IFERROR(__xludf.DUMMYFUNCTION("""COMPUTED_VALUE"""),"DHBA")</f>
        <v>DHBA</v>
      </c>
      <c r="C364" s="42" t="str">
        <f>IFERROR(__xludf.DUMMYFUNCTION("""COMPUTED_VALUE"""),"SP in rostral presubicular cortex")</f>
        <v>SP in rostral presubicular cortex</v>
      </c>
      <c r="D364" s="42">
        <f>IFERROR(__xludf.DUMMYFUNCTION("""COMPUTED_VALUE"""),330.0)</f>
        <v>330</v>
      </c>
      <c r="E364" s="39" t="str">
        <f>IFERROR(__xludf.DUMMYFUNCTION("""COMPUTED_VALUE"""),"SP in rostral presubicular cortex")</f>
        <v>SP in rostral presubicular cortex</v>
      </c>
      <c r="F364" s="9" t="str">
        <f>IFERROR(__xludf.DUMMYFUNCTION("""COMPUTED_VALUE"""),"Br")</f>
        <v>Br</v>
      </c>
      <c r="G364" s="9" t="str">
        <f>IFERROR(__xludf.DUMMYFUNCTION("""COMPUTED_VALUE"""),"F")</f>
        <v>F</v>
      </c>
      <c r="H364" s="9" t="str">
        <f>IFERROR(__xludf.DUMMYFUNCTION("""COMPUTED_VALUE"""),"FGM")</f>
        <v>FGM</v>
      </c>
      <c r="I364" s="9" t="str">
        <f>IFERROR(__xludf.DUMMYFUNCTION("""COMPUTED_VALUE"""),"FTS")</f>
        <v>FTS</v>
      </c>
      <c r="J364" s="9" t="str">
        <f>IFERROR(__xludf.DUMMYFUNCTION("""COMPUTED_VALUE"""),"SP")</f>
        <v>SP</v>
      </c>
      <c r="K364" s="9" t="str">
        <f>IFERROR(__xludf.DUMMYFUNCTION("""COMPUTED_VALUE"""),"peSP")</f>
        <v>peSP</v>
      </c>
      <c r="L364" s="9" t="str">
        <f>IFERROR(__xludf.DUMMYFUNCTION("""COMPUTED_VALUE"""),"SPprs")</f>
        <v>SPprs</v>
      </c>
      <c r="M364" s="9" t="str">
        <f>IFERROR(__xludf.DUMMYFUNCTION("""COMPUTED_VALUE"""),"SPprsr")</f>
        <v>SPprsr</v>
      </c>
      <c r="N364" s="9"/>
      <c r="O364" s="9"/>
      <c r="P364" s="9"/>
      <c r="Q364" s="9"/>
      <c r="R364" s="9"/>
      <c r="S364" s="42"/>
      <c r="T364" s="42"/>
      <c r="U364" s="42"/>
      <c r="V364" s="42"/>
      <c r="W364" s="42"/>
      <c r="X364" s="42"/>
      <c r="Y364" s="42"/>
      <c r="Z364" s="42"/>
      <c r="AA364" s="42"/>
      <c r="AB364" s="42" t="str">
        <f>IFERROR(__xludf.DUMMYFUNCTION("""COMPUTED_VALUE"""),"allen institute")</f>
        <v>allen institute</v>
      </c>
      <c r="AC364" s="42" t="str">
        <f>IFERROR(__xludf.DUMMYFUNCTION("""COMPUTED_VALUE"""),"DHBA")</f>
        <v>DHBA</v>
      </c>
      <c r="AD364" s="42"/>
      <c r="AE364" s="42"/>
      <c r="AF364" s="9"/>
      <c r="AG364" s="9"/>
      <c r="AH364" s="42"/>
      <c r="AI364" s="42"/>
      <c r="AJ364" s="42"/>
      <c r="AK364" s="42"/>
      <c r="AL364" s="42"/>
      <c r="AM364" s="42"/>
      <c r="AN364" s="42"/>
      <c r="AO364" s="63" t="str">
        <f>IFERROR(__xludf.DUMMYFUNCTION("IF(ISBLANK(A364),,IF(ISBLANK(S364), A364&amp;"";"", TEXTJOIN(CHAR(10), TRUE, A364&amp;"";"", ARRAYFORMULA(VLOOKUP(SPLIT(S364, "";"" &amp; CHAR(10)), $A:$AO, 41, FALSE)))))"),"SPprsr;")</f>
        <v>SPprsr;</v>
      </c>
      <c r="AP364" s="89"/>
    </row>
    <row r="365">
      <c r="A365" s="151" t="str">
        <f>IFERROR(__xludf.DUMMYFUNCTION("""COMPUTED_VALUE"""),"SPprsc")</f>
        <v>SPprsc</v>
      </c>
      <c r="B365" s="42" t="str">
        <f>IFERROR(__xludf.DUMMYFUNCTION("""COMPUTED_VALUE"""),"DHBA")</f>
        <v>DHBA</v>
      </c>
      <c r="C365" s="42" t="str">
        <f>IFERROR(__xludf.DUMMYFUNCTION("""COMPUTED_VALUE"""),"SP in caudal presubicular cortex (postsubiculum)")</f>
        <v>SP in caudal presubicular cortex (postsubiculum)</v>
      </c>
      <c r="D365" s="42">
        <f>IFERROR(__xludf.DUMMYFUNCTION("""COMPUTED_VALUE"""),331.0)</f>
        <v>331</v>
      </c>
      <c r="E365" s="39" t="str">
        <f>IFERROR(__xludf.DUMMYFUNCTION("""COMPUTED_VALUE"""),"SP in caudal presubicular cortex (postsubiculum)")</f>
        <v>SP in caudal presubicular cortex (postsubiculum)</v>
      </c>
      <c r="F365" s="9" t="str">
        <f>IFERROR(__xludf.DUMMYFUNCTION("""COMPUTED_VALUE"""),"Br")</f>
        <v>Br</v>
      </c>
      <c r="G365" s="9" t="str">
        <f>IFERROR(__xludf.DUMMYFUNCTION("""COMPUTED_VALUE"""),"F")</f>
        <v>F</v>
      </c>
      <c r="H365" s="9" t="str">
        <f>IFERROR(__xludf.DUMMYFUNCTION("""COMPUTED_VALUE"""),"FGM")</f>
        <v>FGM</v>
      </c>
      <c r="I365" s="9" t="str">
        <f>IFERROR(__xludf.DUMMYFUNCTION("""COMPUTED_VALUE"""),"FTS")</f>
        <v>FTS</v>
      </c>
      <c r="J365" s="9" t="str">
        <f>IFERROR(__xludf.DUMMYFUNCTION("""COMPUTED_VALUE"""),"SP")</f>
        <v>SP</v>
      </c>
      <c r="K365" s="9" t="str">
        <f>IFERROR(__xludf.DUMMYFUNCTION("""COMPUTED_VALUE"""),"peSP")</f>
        <v>peSP</v>
      </c>
      <c r="L365" s="9" t="str">
        <f>IFERROR(__xludf.DUMMYFUNCTION("""COMPUTED_VALUE"""),"SPprs")</f>
        <v>SPprs</v>
      </c>
      <c r="M365" s="9" t="str">
        <f>IFERROR(__xludf.DUMMYFUNCTION("""COMPUTED_VALUE"""),"SPprsc")</f>
        <v>SPprsc</v>
      </c>
      <c r="N365" s="9"/>
      <c r="O365" s="9"/>
      <c r="P365" s="9"/>
      <c r="Q365" s="9"/>
      <c r="R365" s="9"/>
      <c r="S365" s="42"/>
      <c r="T365" s="42"/>
      <c r="U365" s="42"/>
      <c r="V365" s="42"/>
      <c r="W365" s="42"/>
      <c r="X365" s="42"/>
      <c r="Y365" s="42"/>
      <c r="Z365" s="42"/>
      <c r="AA365" s="42"/>
      <c r="AB365" s="42" t="str">
        <f>IFERROR(__xludf.DUMMYFUNCTION("""COMPUTED_VALUE"""),"allen institute")</f>
        <v>allen institute</v>
      </c>
      <c r="AC365" s="42" t="str">
        <f>IFERROR(__xludf.DUMMYFUNCTION("""COMPUTED_VALUE"""),"DHBA")</f>
        <v>DHBA</v>
      </c>
      <c r="AD365" s="42"/>
      <c r="AE365" s="42"/>
      <c r="AF365" s="9"/>
      <c r="AG365" s="9"/>
      <c r="AH365" s="42"/>
      <c r="AI365" s="42"/>
      <c r="AJ365" s="42"/>
      <c r="AK365" s="42"/>
      <c r="AL365" s="42"/>
      <c r="AM365" s="42"/>
      <c r="AN365" s="42"/>
      <c r="AO365" s="63" t="str">
        <f>IFERROR(__xludf.DUMMYFUNCTION("IF(ISBLANK(A365),,IF(ISBLANK(S365), A365&amp;"";"", TEXTJOIN(CHAR(10), TRUE, A365&amp;"";"", ARRAYFORMULA(VLOOKUP(SPLIT(S365, "";"" &amp; CHAR(10)), $A:$AO, 41, FALSE)))))"),"SPprsc;")</f>
        <v>SPprsc;</v>
      </c>
      <c r="AP365" s="89"/>
    </row>
    <row r="366">
      <c r="A366" s="151" t="str">
        <f>IFERROR(__xludf.DUMMYFUNCTION("""COMPUTED_VALUE"""),"SPrs")</f>
        <v>SPrs</v>
      </c>
      <c r="B366" s="42" t="str">
        <f>IFERROR(__xludf.DUMMYFUNCTION("""COMPUTED_VALUE"""),"DHBA")</f>
        <v>DHBA</v>
      </c>
      <c r="C366" s="42" t="str">
        <f>IFERROR(__xludf.DUMMYFUNCTION("""COMPUTED_VALUE"""),"SP in retrosplenial cortex")</f>
        <v>SP in retrosplenial cortex</v>
      </c>
      <c r="D366" s="42">
        <f>IFERROR(__xludf.DUMMYFUNCTION("""COMPUTED_VALUE"""),332.0)</f>
        <v>332</v>
      </c>
      <c r="E366" s="39" t="str">
        <f>IFERROR(__xludf.DUMMYFUNCTION("""COMPUTED_VALUE"""),"SP in retrosplenial cortex")</f>
        <v>SP in retrosplenial cortex</v>
      </c>
      <c r="F366" s="9" t="str">
        <f>IFERROR(__xludf.DUMMYFUNCTION("""COMPUTED_VALUE"""),"Br")</f>
        <v>Br</v>
      </c>
      <c r="G366" s="9" t="str">
        <f>IFERROR(__xludf.DUMMYFUNCTION("""COMPUTED_VALUE"""),"F")</f>
        <v>F</v>
      </c>
      <c r="H366" s="9" t="str">
        <f>IFERROR(__xludf.DUMMYFUNCTION("""COMPUTED_VALUE"""),"FGM")</f>
        <v>FGM</v>
      </c>
      <c r="I366" s="9" t="str">
        <f>IFERROR(__xludf.DUMMYFUNCTION("""COMPUTED_VALUE"""),"FTS")</f>
        <v>FTS</v>
      </c>
      <c r="J366" s="9" t="str">
        <f>IFERROR(__xludf.DUMMYFUNCTION("""COMPUTED_VALUE"""),"SP")</f>
        <v>SP</v>
      </c>
      <c r="K366" s="9" t="str">
        <f>IFERROR(__xludf.DUMMYFUNCTION("""COMPUTED_VALUE"""),"peSP")</f>
        <v>peSP</v>
      </c>
      <c r="L366" s="9" t="str">
        <f>IFERROR(__xludf.DUMMYFUNCTION("""COMPUTED_VALUE"""),"SPrs")</f>
        <v>SPrs</v>
      </c>
      <c r="M366" s="9"/>
      <c r="N366" s="9"/>
      <c r="O366" s="9"/>
      <c r="P366" s="9"/>
      <c r="Q366" s="9"/>
      <c r="R366" s="9"/>
      <c r="S366" s="42"/>
      <c r="T366" s="42"/>
      <c r="U366" s="42"/>
      <c r="V366" s="42"/>
      <c r="W366" s="42"/>
      <c r="X366" s="42"/>
      <c r="Y366" s="42"/>
      <c r="Z366" s="42"/>
      <c r="AA366" s="42"/>
      <c r="AB366" s="42" t="str">
        <f>IFERROR(__xludf.DUMMYFUNCTION("""COMPUTED_VALUE"""),"allen institute")</f>
        <v>allen institute</v>
      </c>
      <c r="AC366" s="42" t="str">
        <f>IFERROR(__xludf.DUMMYFUNCTION("""COMPUTED_VALUE"""),"DHBA")</f>
        <v>DHBA</v>
      </c>
      <c r="AD366" s="42"/>
      <c r="AE366" s="42"/>
      <c r="AF366" s="9"/>
      <c r="AG366" s="9"/>
      <c r="AH366" s="42"/>
      <c r="AI366" s="42"/>
      <c r="AJ366" s="42"/>
      <c r="AK366" s="42"/>
      <c r="AL366" s="42"/>
      <c r="AM366" s="42"/>
      <c r="AN366" s="42"/>
      <c r="AO366" s="63" t="str">
        <f>IFERROR(__xludf.DUMMYFUNCTION("IF(ISBLANK(A366),,IF(ISBLANK(S366), A366&amp;"";"", TEXTJOIN(CHAR(10), TRUE, A366&amp;"";"", ARRAYFORMULA(VLOOKUP(SPLIT(S366, "";"" &amp; CHAR(10)), $A:$AO, 41, FALSE)))))"),"SPrs;")</f>
        <v>SPrs;</v>
      </c>
      <c r="AP366" s="89"/>
    </row>
    <row r="367">
      <c r="A367" s="151" t="str">
        <f>IFERROR(__xludf.DUMMYFUNCTION("""COMPUTED_VALUE"""),"SPIag")</f>
        <v>SPIag</v>
      </c>
      <c r="B367" s="42" t="str">
        <f>IFERROR(__xludf.DUMMYFUNCTION("""COMPUTED_VALUE"""),"DHBA")</f>
        <v>DHBA</v>
      </c>
      <c r="C367" s="42" t="str">
        <f>IFERROR(__xludf.DUMMYFUNCTION("""COMPUTED_VALUE"""),"SP in agranular insular cortex")</f>
        <v>SP in agranular insular cortex</v>
      </c>
      <c r="D367" s="42">
        <f>IFERROR(__xludf.DUMMYFUNCTION("""COMPUTED_VALUE"""),333.0)</f>
        <v>333</v>
      </c>
      <c r="E367" s="39" t="str">
        <f>IFERROR(__xludf.DUMMYFUNCTION("""COMPUTED_VALUE"""),"SP in agranular insular cortex")</f>
        <v>SP in agranular insular cortex</v>
      </c>
      <c r="F367" s="9" t="str">
        <f>IFERROR(__xludf.DUMMYFUNCTION("""COMPUTED_VALUE"""),"Br")</f>
        <v>Br</v>
      </c>
      <c r="G367" s="9" t="str">
        <f>IFERROR(__xludf.DUMMYFUNCTION("""COMPUTED_VALUE"""),"F")</f>
        <v>F</v>
      </c>
      <c r="H367" s="9" t="str">
        <f>IFERROR(__xludf.DUMMYFUNCTION("""COMPUTED_VALUE"""),"FGM")</f>
        <v>FGM</v>
      </c>
      <c r="I367" s="9" t="str">
        <f>IFERROR(__xludf.DUMMYFUNCTION("""COMPUTED_VALUE"""),"FTS")</f>
        <v>FTS</v>
      </c>
      <c r="J367" s="9" t="str">
        <f>IFERROR(__xludf.DUMMYFUNCTION("""COMPUTED_VALUE"""),"SP")</f>
        <v>SP</v>
      </c>
      <c r="K367" s="9" t="str">
        <f>IFERROR(__xludf.DUMMYFUNCTION("""COMPUTED_VALUE"""),"peSP")</f>
        <v>peSP</v>
      </c>
      <c r="L367" s="9" t="str">
        <f>IFERROR(__xludf.DUMMYFUNCTION("""COMPUTED_VALUE"""),"SPIag")</f>
        <v>SPIag</v>
      </c>
      <c r="M367" s="9"/>
      <c r="N367" s="9"/>
      <c r="O367" s="9"/>
      <c r="P367" s="9"/>
      <c r="Q367" s="9"/>
      <c r="R367" s="9"/>
      <c r="S367" s="42"/>
      <c r="T367" s="42"/>
      <c r="U367" s="42"/>
      <c r="V367" s="42"/>
      <c r="W367" s="42"/>
      <c r="X367" s="42"/>
      <c r="Y367" s="42"/>
      <c r="Z367" s="42"/>
      <c r="AA367" s="42"/>
      <c r="AB367" s="42" t="str">
        <f>IFERROR(__xludf.DUMMYFUNCTION("""COMPUTED_VALUE"""),"allen institute")</f>
        <v>allen institute</v>
      </c>
      <c r="AC367" s="42" t="str">
        <f>IFERROR(__xludf.DUMMYFUNCTION("""COMPUTED_VALUE"""),"DHBA")</f>
        <v>DHBA</v>
      </c>
      <c r="AD367" s="42"/>
      <c r="AE367" s="42"/>
      <c r="AF367" s="9"/>
      <c r="AG367" s="9"/>
      <c r="AH367" s="42"/>
      <c r="AI367" s="42"/>
      <c r="AJ367" s="42"/>
      <c r="AK367" s="42"/>
      <c r="AL367" s="42"/>
      <c r="AM367" s="42"/>
      <c r="AN367" s="42"/>
      <c r="AO367" s="63" t="str">
        <f>IFERROR(__xludf.DUMMYFUNCTION("IF(ISBLANK(A367),,IF(ISBLANK(S367), A367&amp;"";"", TEXTJOIN(CHAR(10), TRUE, A367&amp;"";"", ARRAYFORMULA(VLOOKUP(SPLIT(S367, "";"" &amp; CHAR(10)), $A:$AO, 41, FALSE)))))"),"SPIag;")</f>
        <v>SPIag;</v>
      </c>
      <c r="AP367" s="89"/>
    </row>
    <row r="368">
      <c r="A368" s="151" t="str">
        <f>IFERROR(__xludf.DUMMYFUNCTION("""COMPUTED_VALUE"""),"alSP")</f>
        <v>alSP</v>
      </c>
      <c r="B368" s="42" t="str">
        <f>IFERROR(__xludf.DUMMYFUNCTION("""COMPUTED_VALUE"""),"DHBA")</f>
        <v>DHBA</v>
      </c>
      <c r="C368" s="42" t="str">
        <f>IFERROR(__xludf.DUMMYFUNCTION("""COMPUTED_VALUE"""),"SP in allocortex")</f>
        <v>SP in allocortex</v>
      </c>
      <c r="D368" s="42">
        <f>IFERROR(__xludf.DUMMYFUNCTION("""COMPUTED_VALUE"""),334.0)</f>
        <v>334</v>
      </c>
      <c r="E368" s="39" t="str">
        <f>IFERROR(__xludf.DUMMYFUNCTION("""COMPUTED_VALUE"""),"SP in allocortex")</f>
        <v>SP in allocortex</v>
      </c>
      <c r="F368" s="9" t="str">
        <f>IFERROR(__xludf.DUMMYFUNCTION("""COMPUTED_VALUE"""),"Br")</f>
        <v>Br</v>
      </c>
      <c r="G368" s="9" t="str">
        <f>IFERROR(__xludf.DUMMYFUNCTION("""COMPUTED_VALUE"""),"F")</f>
        <v>F</v>
      </c>
      <c r="H368" s="9" t="str">
        <f>IFERROR(__xludf.DUMMYFUNCTION("""COMPUTED_VALUE"""),"FGM")</f>
        <v>FGM</v>
      </c>
      <c r="I368" s="9" t="str">
        <f>IFERROR(__xludf.DUMMYFUNCTION("""COMPUTED_VALUE"""),"FTS")</f>
        <v>FTS</v>
      </c>
      <c r="J368" s="9" t="str">
        <f>IFERROR(__xludf.DUMMYFUNCTION("""COMPUTED_VALUE"""),"SP")</f>
        <v>SP</v>
      </c>
      <c r="K368" s="9" t="str">
        <f>IFERROR(__xludf.DUMMYFUNCTION("""COMPUTED_VALUE"""),"alSP")</f>
        <v>alSP</v>
      </c>
      <c r="L368" s="9"/>
      <c r="M368" s="9"/>
      <c r="N368" s="9"/>
      <c r="O368" s="9"/>
      <c r="P368" s="9"/>
      <c r="Q368" s="9"/>
      <c r="R368" s="9"/>
      <c r="S368" s="42" t="str">
        <f>IFERROR(__xludf.DUMMYFUNCTION("""COMPUTED_VALUE"""),"SPhip;
SPsub;
SPpir")</f>
        <v>SPhip;
SPsub;
SPpir</v>
      </c>
      <c r="T368" s="42"/>
      <c r="U368" s="42" t="b">
        <f>IFERROR(__xludf.DUMMYFUNCTION("""COMPUTED_VALUE"""),FALSE)</f>
        <v>0</v>
      </c>
      <c r="V368" s="42"/>
      <c r="W368" s="42"/>
      <c r="X368" s="42"/>
      <c r="Y368" s="42"/>
      <c r="Z368" s="42"/>
      <c r="AA368" s="42"/>
      <c r="AB368" s="42" t="str">
        <f>IFERROR(__xludf.DUMMYFUNCTION("""COMPUTED_VALUE"""),"allen institute")</f>
        <v>allen institute</v>
      </c>
      <c r="AC368" s="42" t="str">
        <f>IFERROR(__xludf.DUMMYFUNCTION("""COMPUTED_VALUE"""),"DHBA")</f>
        <v>DHBA</v>
      </c>
      <c r="AD368" s="42"/>
      <c r="AE368" s="42"/>
      <c r="AF368" s="9"/>
      <c r="AG368" s="9"/>
      <c r="AH368" s="42"/>
      <c r="AI368" s="42"/>
      <c r="AJ368" s="42"/>
      <c r="AK368" s="42"/>
      <c r="AL368" s="42"/>
      <c r="AM368" s="42"/>
      <c r="AN368" s="42"/>
      <c r="AO368" s="63" t="str">
        <f>IFERROR(__xludf.DUMMYFUNCTION("IF(ISBLANK(A368),,IF(ISBLANK(S368), A368&amp;"";"", TEXTJOIN(CHAR(10), TRUE, A368&amp;"";"", ARRAYFORMULA(VLOOKUP(SPLIT(S368, "";"" &amp; CHAR(10)), $A:$AO, 41, FALSE)))))"),"alSP;
SPhip;
SPhipr;
SPhipc;
SPsub;
SPsubr;
SPsubc;
SPpir;")</f>
        <v>alSP;
SPhip;
SPhipr;
SPhipc;
SPsub;
SPsubr;
SPsubc;
SPpir;</v>
      </c>
      <c r="AP368" s="89"/>
    </row>
    <row r="369">
      <c r="A369" s="151" t="str">
        <f>IFERROR(__xludf.DUMMYFUNCTION("""COMPUTED_VALUE"""),"SPhip")</f>
        <v>SPhip</v>
      </c>
      <c r="B369" s="42" t="str">
        <f>IFERROR(__xludf.DUMMYFUNCTION("""COMPUTED_VALUE"""),"DHBA")</f>
        <v>DHBA</v>
      </c>
      <c r="C369" s="42" t="str">
        <f>IFERROR(__xludf.DUMMYFUNCTION("""COMPUTED_VALUE"""),"SP in hippocampal proper")</f>
        <v>SP in hippocampal proper</v>
      </c>
      <c r="D369" s="42">
        <f>IFERROR(__xludf.DUMMYFUNCTION("""COMPUTED_VALUE"""),335.0)</f>
        <v>335</v>
      </c>
      <c r="E369" s="39" t="str">
        <f>IFERROR(__xludf.DUMMYFUNCTION("""COMPUTED_VALUE"""),"SP in hippocampal proper")</f>
        <v>SP in hippocampal proper</v>
      </c>
      <c r="F369" s="9" t="str">
        <f>IFERROR(__xludf.DUMMYFUNCTION("""COMPUTED_VALUE"""),"Br")</f>
        <v>Br</v>
      </c>
      <c r="G369" s="9" t="str">
        <f>IFERROR(__xludf.DUMMYFUNCTION("""COMPUTED_VALUE"""),"F")</f>
        <v>F</v>
      </c>
      <c r="H369" s="9" t="str">
        <f>IFERROR(__xludf.DUMMYFUNCTION("""COMPUTED_VALUE"""),"FGM")</f>
        <v>FGM</v>
      </c>
      <c r="I369" s="9" t="str">
        <f>IFERROR(__xludf.DUMMYFUNCTION("""COMPUTED_VALUE"""),"FTS")</f>
        <v>FTS</v>
      </c>
      <c r="J369" s="9" t="str">
        <f>IFERROR(__xludf.DUMMYFUNCTION("""COMPUTED_VALUE"""),"SP")</f>
        <v>SP</v>
      </c>
      <c r="K369" s="9" t="str">
        <f>IFERROR(__xludf.DUMMYFUNCTION("""COMPUTED_VALUE"""),"alSP")</f>
        <v>alSP</v>
      </c>
      <c r="L369" s="9" t="str">
        <f>IFERROR(__xludf.DUMMYFUNCTION("""COMPUTED_VALUE"""),"SPhip")</f>
        <v>SPhip</v>
      </c>
      <c r="M369" s="9"/>
      <c r="N369" s="9"/>
      <c r="O369" s="9"/>
      <c r="P369" s="9"/>
      <c r="Q369" s="9"/>
      <c r="R369" s="9"/>
      <c r="S369" s="42" t="str">
        <f>IFERROR(__xludf.DUMMYFUNCTION("""COMPUTED_VALUE"""),"SPhipr;
SPhipc")</f>
        <v>SPhipr;
SPhipc</v>
      </c>
      <c r="T369" s="42"/>
      <c r="U369" s="42" t="b">
        <f>IFERROR(__xludf.DUMMYFUNCTION("""COMPUTED_VALUE"""),FALSE)</f>
        <v>0</v>
      </c>
      <c r="V369" s="42"/>
      <c r="W369" s="42"/>
      <c r="X369" s="42"/>
      <c r="Y369" s="42"/>
      <c r="Z369" s="42"/>
      <c r="AA369" s="42"/>
      <c r="AB369" s="42" t="str">
        <f>IFERROR(__xludf.DUMMYFUNCTION("""COMPUTED_VALUE"""),"allen institute")</f>
        <v>allen institute</v>
      </c>
      <c r="AC369" s="42" t="str">
        <f>IFERROR(__xludf.DUMMYFUNCTION("""COMPUTED_VALUE"""),"DHBA")</f>
        <v>DHBA</v>
      </c>
      <c r="AD369" s="42"/>
      <c r="AE369" s="42"/>
      <c r="AF369" s="9"/>
      <c r="AG369" s="9"/>
      <c r="AH369" s="42"/>
      <c r="AI369" s="42"/>
      <c r="AJ369" s="42"/>
      <c r="AK369" s="42"/>
      <c r="AL369" s="42"/>
      <c r="AM369" s="42"/>
      <c r="AN369" s="42"/>
      <c r="AO369" s="63" t="str">
        <f>IFERROR(__xludf.DUMMYFUNCTION("IF(ISBLANK(A369),,IF(ISBLANK(S369), A369&amp;"";"", TEXTJOIN(CHAR(10), TRUE, A369&amp;"";"", ARRAYFORMULA(VLOOKUP(SPLIT(S369, "";"" &amp; CHAR(10)), $A:$AO, 41, FALSE)))))"),"SPhip;
SPhipr;
SPhipc;")</f>
        <v>SPhip;
SPhipr;
SPhipc;</v>
      </c>
      <c r="AP369" s="89"/>
    </row>
    <row r="370">
      <c r="A370" s="151" t="str">
        <f>IFERROR(__xludf.DUMMYFUNCTION("""COMPUTED_VALUE"""),"SPhipr")</f>
        <v>SPhipr</v>
      </c>
      <c r="B370" s="42" t="str">
        <f>IFERROR(__xludf.DUMMYFUNCTION("""COMPUTED_VALUE"""),"DHBA")</f>
        <v>DHBA</v>
      </c>
      <c r="C370" s="42" t="str">
        <f>IFERROR(__xludf.DUMMYFUNCTION("""COMPUTED_VALUE"""),"SP in rostral hippocampal proper")</f>
        <v>SP in rostral hippocampal proper</v>
      </c>
      <c r="D370" s="42">
        <f>IFERROR(__xludf.DUMMYFUNCTION("""COMPUTED_VALUE"""),336.0)</f>
        <v>336</v>
      </c>
      <c r="E370" s="39" t="str">
        <f>IFERROR(__xludf.DUMMYFUNCTION("""COMPUTED_VALUE"""),"SP in rostral hippocampal proper")</f>
        <v>SP in rostral hippocampal proper</v>
      </c>
      <c r="F370" s="9" t="str">
        <f>IFERROR(__xludf.DUMMYFUNCTION("""COMPUTED_VALUE"""),"Br")</f>
        <v>Br</v>
      </c>
      <c r="G370" s="9" t="str">
        <f>IFERROR(__xludf.DUMMYFUNCTION("""COMPUTED_VALUE"""),"F")</f>
        <v>F</v>
      </c>
      <c r="H370" s="9" t="str">
        <f>IFERROR(__xludf.DUMMYFUNCTION("""COMPUTED_VALUE"""),"FGM")</f>
        <v>FGM</v>
      </c>
      <c r="I370" s="9" t="str">
        <f>IFERROR(__xludf.DUMMYFUNCTION("""COMPUTED_VALUE"""),"FTS")</f>
        <v>FTS</v>
      </c>
      <c r="J370" s="9" t="str">
        <f>IFERROR(__xludf.DUMMYFUNCTION("""COMPUTED_VALUE"""),"SP")</f>
        <v>SP</v>
      </c>
      <c r="K370" s="9" t="str">
        <f>IFERROR(__xludf.DUMMYFUNCTION("""COMPUTED_VALUE"""),"alSP")</f>
        <v>alSP</v>
      </c>
      <c r="L370" s="9" t="str">
        <f>IFERROR(__xludf.DUMMYFUNCTION("""COMPUTED_VALUE"""),"SPhip")</f>
        <v>SPhip</v>
      </c>
      <c r="M370" s="9" t="str">
        <f>IFERROR(__xludf.DUMMYFUNCTION("""COMPUTED_VALUE"""),"SPhipr")</f>
        <v>SPhipr</v>
      </c>
      <c r="N370" s="9"/>
      <c r="O370" s="9"/>
      <c r="P370" s="9"/>
      <c r="Q370" s="9"/>
      <c r="R370" s="9"/>
      <c r="S370" s="42"/>
      <c r="T370" s="42"/>
      <c r="U370" s="42"/>
      <c r="V370" s="42"/>
      <c r="W370" s="42"/>
      <c r="X370" s="42"/>
      <c r="Y370" s="42"/>
      <c r="Z370" s="42"/>
      <c r="AA370" s="42"/>
      <c r="AB370" s="42" t="str">
        <f>IFERROR(__xludf.DUMMYFUNCTION("""COMPUTED_VALUE"""),"allen institute")</f>
        <v>allen institute</v>
      </c>
      <c r="AC370" s="42" t="str">
        <f>IFERROR(__xludf.DUMMYFUNCTION("""COMPUTED_VALUE"""),"DHBA")</f>
        <v>DHBA</v>
      </c>
      <c r="AD370" s="42"/>
      <c r="AE370" s="42"/>
      <c r="AF370" s="9"/>
      <c r="AG370" s="9"/>
      <c r="AH370" s="42"/>
      <c r="AI370" s="42"/>
      <c r="AJ370" s="42"/>
      <c r="AK370" s="42"/>
      <c r="AL370" s="42"/>
      <c r="AM370" s="42"/>
      <c r="AN370" s="42"/>
      <c r="AO370" s="63" t="str">
        <f>IFERROR(__xludf.DUMMYFUNCTION("IF(ISBLANK(A370),,IF(ISBLANK(S370), A370&amp;"";"", TEXTJOIN(CHAR(10), TRUE, A370&amp;"";"", ARRAYFORMULA(VLOOKUP(SPLIT(S370, "";"" &amp; CHAR(10)), $A:$AO, 41, FALSE)))))"),"SPhipr;")</f>
        <v>SPhipr;</v>
      </c>
      <c r="AP370" s="89"/>
    </row>
    <row r="371">
      <c r="A371" s="151" t="str">
        <f>IFERROR(__xludf.DUMMYFUNCTION("""COMPUTED_VALUE"""),"SPhipc")</f>
        <v>SPhipc</v>
      </c>
      <c r="B371" s="42" t="str">
        <f>IFERROR(__xludf.DUMMYFUNCTION("""COMPUTED_VALUE"""),"DHBA")</f>
        <v>DHBA</v>
      </c>
      <c r="C371" s="42" t="str">
        <f>IFERROR(__xludf.DUMMYFUNCTION("""COMPUTED_VALUE"""),"SP in caudal hippocampal proper")</f>
        <v>SP in caudal hippocampal proper</v>
      </c>
      <c r="D371" s="42">
        <f>IFERROR(__xludf.DUMMYFUNCTION("""COMPUTED_VALUE"""),337.0)</f>
        <v>337</v>
      </c>
      <c r="E371" s="39" t="str">
        <f>IFERROR(__xludf.DUMMYFUNCTION("""COMPUTED_VALUE"""),"SP in caudal hippocampal proper")</f>
        <v>SP in caudal hippocampal proper</v>
      </c>
      <c r="F371" s="9" t="str">
        <f>IFERROR(__xludf.DUMMYFUNCTION("""COMPUTED_VALUE"""),"Br")</f>
        <v>Br</v>
      </c>
      <c r="G371" s="9" t="str">
        <f>IFERROR(__xludf.DUMMYFUNCTION("""COMPUTED_VALUE"""),"F")</f>
        <v>F</v>
      </c>
      <c r="H371" s="9" t="str">
        <f>IFERROR(__xludf.DUMMYFUNCTION("""COMPUTED_VALUE"""),"FGM")</f>
        <v>FGM</v>
      </c>
      <c r="I371" s="9" t="str">
        <f>IFERROR(__xludf.DUMMYFUNCTION("""COMPUTED_VALUE"""),"FTS")</f>
        <v>FTS</v>
      </c>
      <c r="J371" s="9" t="str">
        <f>IFERROR(__xludf.DUMMYFUNCTION("""COMPUTED_VALUE"""),"SP")</f>
        <v>SP</v>
      </c>
      <c r="K371" s="9" t="str">
        <f>IFERROR(__xludf.DUMMYFUNCTION("""COMPUTED_VALUE"""),"alSP")</f>
        <v>alSP</v>
      </c>
      <c r="L371" s="9" t="str">
        <f>IFERROR(__xludf.DUMMYFUNCTION("""COMPUTED_VALUE"""),"SPhip")</f>
        <v>SPhip</v>
      </c>
      <c r="M371" s="9" t="str">
        <f>IFERROR(__xludf.DUMMYFUNCTION("""COMPUTED_VALUE"""),"SPhipc")</f>
        <v>SPhipc</v>
      </c>
      <c r="N371" s="9"/>
      <c r="O371" s="9"/>
      <c r="P371" s="9"/>
      <c r="Q371" s="9"/>
      <c r="R371" s="9"/>
      <c r="S371" s="42"/>
      <c r="T371" s="42"/>
      <c r="U371" s="42"/>
      <c r="V371" s="42"/>
      <c r="W371" s="42"/>
      <c r="X371" s="42"/>
      <c r="Y371" s="42"/>
      <c r="Z371" s="42"/>
      <c r="AA371" s="42"/>
      <c r="AB371" s="42" t="str">
        <f>IFERROR(__xludf.DUMMYFUNCTION("""COMPUTED_VALUE"""),"allen institute")</f>
        <v>allen institute</v>
      </c>
      <c r="AC371" s="42" t="str">
        <f>IFERROR(__xludf.DUMMYFUNCTION("""COMPUTED_VALUE"""),"DHBA")</f>
        <v>DHBA</v>
      </c>
      <c r="AD371" s="42"/>
      <c r="AE371" s="42"/>
      <c r="AF371" s="9"/>
      <c r="AG371" s="9"/>
      <c r="AH371" s="42"/>
      <c r="AI371" s="42"/>
      <c r="AJ371" s="42"/>
      <c r="AK371" s="42"/>
      <c r="AL371" s="42"/>
      <c r="AM371" s="42"/>
      <c r="AN371" s="42"/>
      <c r="AO371" s="63" t="str">
        <f>IFERROR(__xludf.DUMMYFUNCTION("IF(ISBLANK(A371),,IF(ISBLANK(S371), A371&amp;"";"", TEXTJOIN(CHAR(10), TRUE, A371&amp;"";"", ARRAYFORMULA(VLOOKUP(SPLIT(S371, "";"" &amp; CHAR(10)), $A:$AO, 41, FALSE)))))"),"SPhipc;")</f>
        <v>SPhipc;</v>
      </c>
      <c r="AP371" s="89"/>
    </row>
    <row r="372">
      <c r="A372" s="151" t="str">
        <f>IFERROR(__xludf.DUMMYFUNCTION("""COMPUTED_VALUE"""),"SPsub")</f>
        <v>SPsub</v>
      </c>
      <c r="B372" s="42" t="str">
        <f>IFERROR(__xludf.DUMMYFUNCTION("""COMPUTED_VALUE"""),"DHBA")</f>
        <v>DHBA</v>
      </c>
      <c r="C372" s="42" t="str">
        <f>IFERROR(__xludf.DUMMYFUNCTION("""COMPUTED_VALUE"""),"SP in subicular cortex")</f>
        <v>SP in subicular cortex</v>
      </c>
      <c r="D372" s="42">
        <f>IFERROR(__xludf.DUMMYFUNCTION("""COMPUTED_VALUE"""),338.0)</f>
        <v>338</v>
      </c>
      <c r="E372" s="39" t="str">
        <f>IFERROR(__xludf.DUMMYFUNCTION("""COMPUTED_VALUE"""),"SP in subicular cortex")</f>
        <v>SP in subicular cortex</v>
      </c>
      <c r="F372" s="9" t="str">
        <f>IFERROR(__xludf.DUMMYFUNCTION("""COMPUTED_VALUE"""),"Br")</f>
        <v>Br</v>
      </c>
      <c r="G372" s="9" t="str">
        <f>IFERROR(__xludf.DUMMYFUNCTION("""COMPUTED_VALUE"""),"F")</f>
        <v>F</v>
      </c>
      <c r="H372" s="9" t="str">
        <f>IFERROR(__xludf.DUMMYFUNCTION("""COMPUTED_VALUE"""),"FGM")</f>
        <v>FGM</v>
      </c>
      <c r="I372" s="9" t="str">
        <f>IFERROR(__xludf.DUMMYFUNCTION("""COMPUTED_VALUE"""),"FTS")</f>
        <v>FTS</v>
      </c>
      <c r="J372" s="9" t="str">
        <f>IFERROR(__xludf.DUMMYFUNCTION("""COMPUTED_VALUE"""),"SP")</f>
        <v>SP</v>
      </c>
      <c r="K372" s="9" t="str">
        <f>IFERROR(__xludf.DUMMYFUNCTION("""COMPUTED_VALUE"""),"alSP")</f>
        <v>alSP</v>
      </c>
      <c r="L372" s="9" t="str">
        <f>IFERROR(__xludf.DUMMYFUNCTION("""COMPUTED_VALUE"""),"SPsub")</f>
        <v>SPsub</v>
      </c>
      <c r="M372" s="9"/>
      <c r="N372" s="9"/>
      <c r="O372" s="9"/>
      <c r="P372" s="9"/>
      <c r="Q372" s="9"/>
      <c r="R372" s="9"/>
      <c r="S372" s="42" t="str">
        <f>IFERROR(__xludf.DUMMYFUNCTION("""COMPUTED_VALUE"""),"SPsubr;
SPsubc")</f>
        <v>SPsubr;
SPsubc</v>
      </c>
      <c r="T372" s="42"/>
      <c r="U372" s="42" t="b">
        <f>IFERROR(__xludf.DUMMYFUNCTION("""COMPUTED_VALUE"""),FALSE)</f>
        <v>0</v>
      </c>
      <c r="V372" s="42"/>
      <c r="W372" s="42"/>
      <c r="X372" s="42"/>
      <c r="Y372" s="42"/>
      <c r="Z372" s="42"/>
      <c r="AA372" s="42"/>
      <c r="AB372" s="42" t="str">
        <f>IFERROR(__xludf.DUMMYFUNCTION("""COMPUTED_VALUE"""),"allen institute")</f>
        <v>allen institute</v>
      </c>
      <c r="AC372" s="42" t="str">
        <f>IFERROR(__xludf.DUMMYFUNCTION("""COMPUTED_VALUE"""),"DHBA")</f>
        <v>DHBA</v>
      </c>
      <c r="AD372" s="42"/>
      <c r="AE372" s="42"/>
      <c r="AF372" s="9"/>
      <c r="AG372" s="9"/>
      <c r="AH372" s="42"/>
      <c r="AI372" s="42"/>
      <c r="AJ372" s="42"/>
      <c r="AK372" s="42"/>
      <c r="AL372" s="42"/>
      <c r="AM372" s="42"/>
      <c r="AN372" s="42"/>
      <c r="AO372" s="63" t="str">
        <f>IFERROR(__xludf.DUMMYFUNCTION("IF(ISBLANK(A372),,IF(ISBLANK(S372), A372&amp;"";"", TEXTJOIN(CHAR(10), TRUE, A372&amp;"";"", ARRAYFORMULA(VLOOKUP(SPLIT(S372, "";"" &amp; CHAR(10)), $A:$AO, 41, FALSE)))))"),"SPsub;
SPsubr;
SPsubc;")</f>
        <v>SPsub;
SPsubr;
SPsubc;</v>
      </c>
      <c r="AP372" s="89"/>
    </row>
    <row r="373">
      <c r="A373" s="151" t="str">
        <f>IFERROR(__xludf.DUMMYFUNCTION("""COMPUTED_VALUE"""),"SPsubr")</f>
        <v>SPsubr</v>
      </c>
      <c r="B373" s="42" t="str">
        <f>IFERROR(__xludf.DUMMYFUNCTION("""COMPUTED_VALUE"""),"DHBA")</f>
        <v>DHBA</v>
      </c>
      <c r="C373" s="42" t="str">
        <f>IFERROR(__xludf.DUMMYFUNCTION("""COMPUTED_VALUE"""),"SP in rostral subicular cortex")</f>
        <v>SP in rostral subicular cortex</v>
      </c>
      <c r="D373" s="42">
        <f>IFERROR(__xludf.DUMMYFUNCTION("""COMPUTED_VALUE"""),339.0)</f>
        <v>339</v>
      </c>
      <c r="E373" s="39" t="str">
        <f>IFERROR(__xludf.DUMMYFUNCTION("""COMPUTED_VALUE"""),"SP in rostral subicular cortex")</f>
        <v>SP in rostral subicular cortex</v>
      </c>
      <c r="F373" s="9" t="str">
        <f>IFERROR(__xludf.DUMMYFUNCTION("""COMPUTED_VALUE"""),"Br")</f>
        <v>Br</v>
      </c>
      <c r="G373" s="9" t="str">
        <f>IFERROR(__xludf.DUMMYFUNCTION("""COMPUTED_VALUE"""),"F")</f>
        <v>F</v>
      </c>
      <c r="H373" s="9" t="str">
        <f>IFERROR(__xludf.DUMMYFUNCTION("""COMPUTED_VALUE"""),"FGM")</f>
        <v>FGM</v>
      </c>
      <c r="I373" s="9" t="str">
        <f>IFERROR(__xludf.DUMMYFUNCTION("""COMPUTED_VALUE"""),"FTS")</f>
        <v>FTS</v>
      </c>
      <c r="J373" s="9" t="str">
        <f>IFERROR(__xludf.DUMMYFUNCTION("""COMPUTED_VALUE"""),"SP")</f>
        <v>SP</v>
      </c>
      <c r="K373" s="9" t="str">
        <f>IFERROR(__xludf.DUMMYFUNCTION("""COMPUTED_VALUE"""),"alSP")</f>
        <v>alSP</v>
      </c>
      <c r="L373" s="9" t="str">
        <f>IFERROR(__xludf.DUMMYFUNCTION("""COMPUTED_VALUE"""),"SPsub")</f>
        <v>SPsub</v>
      </c>
      <c r="M373" s="9" t="str">
        <f>IFERROR(__xludf.DUMMYFUNCTION("""COMPUTED_VALUE"""),"SPsubr")</f>
        <v>SPsubr</v>
      </c>
      <c r="N373" s="9"/>
      <c r="O373" s="9"/>
      <c r="P373" s="9"/>
      <c r="Q373" s="9"/>
      <c r="R373" s="9"/>
      <c r="S373" s="42"/>
      <c r="T373" s="42"/>
      <c r="U373" s="42"/>
      <c r="V373" s="42"/>
      <c r="W373" s="42"/>
      <c r="X373" s="42"/>
      <c r="Y373" s="42"/>
      <c r="Z373" s="42"/>
      <c r="AA373" s="42"/>
      <c r="AB373" s="42" t="str">
        <f>IFERROR(__xludf.DUMMYFUNCTION("""COMPUTED_VALUE"""),"allen institute")</f>
        <v>allen institute</v>
      </c>
      <c r="AC373" s="42" t="str">
        <f>IFERROR(__xludf.DUMMYFUNCTION("""COMPUTED_VALUE"""),"DHBA")</f>
        <v>DHBA</v>
      </c>
      <c r="AD373" s="42"/>
      <c r="AE373" s="42"/>
      <c r="AF373" s="9"/>
      <c r="AG373" s="9"/>
      <c r="AH373" s="42"/>
      <c r="AI373" s="42"/>
      <c r="AJ373" s="42"/>
      <c r="AK373" s="42"/>
      <c r="AL373" s="42"/>
      <c r="AM373" s="42"/>
      <c r="AN373" s="42"/>
      <c r="AO373" s="63" t="str">
        <f>IFERROR(__xludf.DUMMYFUNCTION("IF(ISBLANK(A373),,IF(ISBLANK(S373), A373&amp;"";"", TEXTJOIN(CHAR(10), TRUE, A373&amp;"";"", ARRAYFORMULA(VLOOKUP(SPLIT(S373, "";"" &amp; CHAR(10)), $A:$AO, 41, FALSE)))))"),"SPsubr;")</f>
        <v>SPsubr;</v>
      </c>
      <c r="AP373" s="89"/>
    </row>
    <row r="374">
      <c r="A374" s="151" t="str">
        <f>IFERROR(__xludf.DUMMYFUNCTION("""COMPUTED_VALUE"""),"SPsubc")</f>
        <v>SPsubc</v>
      </c>
      <c r="B374" s="42" t="str">
        <f>IFERROR(__xludf.DUMMYFUNCTION("""COMPUTED_VALUE"""),"DHBA")</f>
        <v>DHBA</v>
      </c>
      <c r="C374" s="42" t="str">
        <f>IFERROR(__xludf.DUMMYFUNCTION("""COMPUTED_VALUE"""),"SP in caudal subicular cortex")</f>
        <v>SP in caudal subicular cortex</v>
      </c>
      <c r="D374" s="42">
        <f>IFERROR(__xludf.DUMMYFUNCTION("""COMPUTED_VALUE"""),340.0)</f>
        <v>340</v>
      </c>
      <c r="E374" s="39" t="str">
        <f>IFERROR(__xludf.DUMMYFUNCTION("""COMPUTED_VALUE"""),"SP in caudal subicular cortex")</f>
        <v>SP in caudal subicular cortex</v>
      </c>
      <c r="F374" s="9" t="str">
        <f>IFERROR(__xludf.DUMMYFUNCTION("""COMPUTED_VALUE"""),"Br")</f>
        <v>Br</v>
      </c>
      <c r="G374" s="9" t="str">
        <f>IFERROR(__xludf.DUMMYFUNCTION("""COMPUTED_VALUE"""),"F")</f>
        <v>F</v>
      </c>
      <c r="H374" s="9" t="str">
        <f>IFERROR(__xludf.DUMMYFUNCTION("""COMPUTED_VALUE"""),"FGM")</f>
        <v>FGM</v>
      </c>
      <c r="I374" s="9" t="str">
        <f>IFERROR(__xludf.DUMMYFUNCTION("""COMPUTED_VALUE"""),"FTS")</f>
        <v>FTS</v>
      </c>
      <c r="J374" s="9" t="str">
        <f>IFERROR(__xludf.DUMMYFUNCTION("""COMPUTED_VALUE"""),"SP")</f>
        <v>SP</v>
      </c>
      <c r="K374" s="9" t="str">
        <f>IFERROR(__xludf.DUMMYFUNCTION("""COMPUTED_VALUE"""),"alSP")</f>
        <v>alSP</v>
      </c>
      <c r="L374" s="9" t="str">
        <f>IFERROR(__xludf.DUMMYFUNCTION("""COMPUTED_VALUE"""),"SPsub")</f>
        <v>SPsub</v>
      </c>
      <c r="M374" s="9" t="str">
        <f>IFERROR(__xludf.DUMMYFUNCTION("""COMPUTED_VALUE"""),"SPsubc")</f>
        <v>SPsubc</v>
      </c>
      <c r="N374" s="9"/>
      <c r="O374" s="9"/>
      <c r="P374" s="9"/>
      <c r="Q374" s="9"/>
      <c r="R374" s="9"/>
      <c r="S374" s="42"/>
      <c r="T374" s="42"/>
      <c r="U374" s="159"/>
      <c r="V374" s="42"/>
      <c r="W374" s="42"/>
      <c r="X374" s="42"/>
      <c r="Y374" s="42"/>
      <c r="Z374" s="42"/>
      <c r="AA374" s="42"/>
      <c r="AB374" s="42" t="str">
        <f>IFERROR(__xludf.DUMMYFUNCTION("""COMPUTED_VALUE"""),"allen institute")</f>
        <v>allen institute</v>
      </c>
      <c r="AC374" s="42" t="str">
        <f>IFERROR(__xludf.DUMMYFUNCTION("""COMPUTED_VALUE"""),"DHBA")</f>
        <v>DHBA</v>
      </c>
      <c r="AD374" s="42"/>
      <c r="AE374" s="42"/>
      <c r="AF374" s="9"/>
      <c r="AG374" s="9"/>
      <c r="AH374" s="42"/>
      <c r="AI374" s="42"/>
      <c r="AJ374" s="42"/>
      <c r="AK374" s="42"/>
      <c r="AL374" s="42"/>
      <c r="AM374" s="42"/>
      <c r="AN374" s="42"/>
      <c r="AO374" s="63" t="str">
        <f>IFERROR(__xludf.DUMMYFUNCTION("IF(ISBLANK(A374),,IF(ISBLANK(S374), A374&amp;"";"", TEXTJOIN(CHAR(10), TRUE, A374&amp;"";"", ARRAYFORMULA(VLOOKUP(SPLIT(S374, "";"" &amp; CHAR(10)), $A:$AO, 41, FALSE)))))"),"SPsubc;")</f>
        <v>SPsubc;</v>
      </c>
      <c r="AP374" s="89"/>
    </row>
    <row r="375">
      <c r="A375" s="151" t="str">
        <f>IFERROR(__xludf.DUMMYFUNCTION("""COMPUTED_VALUE"""),"SPpir")</f>
        <v>SPpir</v>
      </c>
      <c r="B375" s="42" t="str">
        <f>IFERROR(__xludf.DUMMYFUNCTION("""COMPUTED_VALUE"""),"DHBA")</f>
        <v>DHBA</v>
      </c>
      <c r="C375" s="42" t="str">
        <f>IFERROR(__xludf.DUMMYFUNCTION("""COMPUTED_VALUE"""),"SP in piriform cortex")</f>
        <v>SP in piriform cortex</v>
      </c>
      <c r="D375" s="42">
        <f>IFERROR(__xludf.DUMMYFUNCTION("""COMPUTED_VALUE"""),341.0)</f>
        <v>341</v>
      </c>
      <c r="E375" s="39" t="str">
        <f>IFERROR(__xludf.DUMMYFUNCTION("""COMPUTED_VALUE"""),"SP in piriform cortex")</f>
        <v>SP in piriform cortex</v>
      </c>
      <c r="F375" s="9" t="str">
        <f>IFERROR(__xludf.DUMMYFUNCTION("""COMPUTED_VALUE"""),"Br")</f>
        <v>Br</v>
      </c>
      <c r="G375" s="9" t="str">
        <f>IFERROR(__xludf.DUMMYFUNCTION("""COMPUTED_VALUE"""),"F")</f>
        <v>F</v>
      </c>
      <c r="H375" s="9" t="str">
        <f>IFERROR(__xludf.DUMMYFUNCTION("""COMPUTED_VALUE"""),"FGM")</f>
        <v>FGM</v>
      </c>
      <c r="I375" s="9" t="str">
        <f>IFERROR(__xludf.DUMMYFUNCTION("""COMPUTED_VALUE"""),"FTS")</f>
        <v>FTS</v>
      </c>
      <c r="J375" s="9" t="str">
        <f>IFERROR(__xludf.DUMMYFUNCTION("""COMPUTED_VALUE"""),"SP")</f>
        <v>SP</v>
      </c>
      <c r="K375" s="9" t="str">
        <f>IFERROR(__xludf.DUMMYFUNCTION("""COMPUTED_VALUE"""),"alSP")</f>
        <v>alSP</v>
      </c>
      <c r="L375" s="9" t="str">
        <f>IFERROR(__xludf.DUMMYFUNCTION("""COMPUTED_VALUE"""),"SPpir")</f>
        <v>SPpir</v>
      </c>
      <c r="M375" s="9"/>
      <c r="N375" s="9"/>
      <c r="O375" s="9"/>
      <c r="P375" s="9"/>
      <c r="Q375" s="9"/>
      <c r="R375" s="9"/>
      <c r="S375" s="42"/>
      <c r="T375" s="42"/>
      <c r="U375" s="159"/>
      <c r="V375" s="42"/>
      <c r="W375" s="42"/>
      <c r="X375" s="42"/>
      <c r="Y375" s="42"/>
      <c r="Z375" s="42"/>
      <c r="AA375" s="42"/>
      <c r="AB375" s="42" t="str">
        <f>IFERROR(__xludf.DUMMYFUNCTION("""COMPUTED_VALUE"""),"allen institute")</f>
        <v>allen institute</v>
      </c>
      <c r="AC375" s="42" t="str">
        <f>IFERROR(__xludf.DUMMYFUNCTION("""COMPUTED_VALUE"""),"DHBA")</f>
        <v>DHBA</v>
      </c>
      <c r="AD375" s="42"/>
      <c r="AE375" s="42"/>
      <c r="AF375" s="9"/>
      <c r="AG375" s="9"/>
      <c r="AH375" s="42"/>
      <c r="AI375" s="42"/>
      <c r="AJ375" s="42"/>
      <c r="AK375" s="42"/>
      <c r="AL375" s="42"/>
      <c r="AM375" s="42"/>
      <c r="AN375" s="42"/>
      <c r="AO375" s="63" t="str">
        <f>IFERROR(__xludf.DUMMYFUNCTION("IF(ISBLANK(A375),,IF(ISBLANK(S375), A375&amp;"";"", TEXTJOIN(CHAR(10), TRUE, A375&amp;"";"", ARRAYFORMULA(VLOOKUP(SPLIT(S375, "";"" &amp; CHAR(10)), $A:$AO, 41, FALSE)))))"),"SPpir;")</f>
        <v>SPpir;</v>
      </c>
      <c r="AP375" s="89"/>
    </row>
    <row r="376">
      <c r="A376" s="151" t="str">
        <f>IFERROR(__xludf.DUMMYFUNCTION("""COMPUTED_VALUE"""),"IZ")</f>
        <v>IZ</v>
      </c>
      <c r="B376" s="42" t="str">
        <f>IFERROR(__xludf.DUMMYFUNCTION("""COMPUTED_VALUE"""),"DHBA")</f>
        <v>DHBA</v>
      </c>
      <c r="C376" s="42" t="str">
        <f>IFERROR(__xludf.DUMMYFUNCTION("""COMPUTED_VALUE"""),"intermediate zone")</f>
        <v>intermediate zone</v>
      </c>
      <c r="D376" s="42">
        <f>IFERROR(__xludf.DUMMYFUNCTION("""COMPUTED_VALUE"""),342.0)</f>
        <v>342</v>
      </c>
      <c r="E376" s="39" t="str">
        <f>IFERROR(__xludf.DUMMYFUNCTION("""COMPUTED_VALUE"""),"intermediate zone")</f>
        <v>intermediate zone</v>
      </c>
      <c r="F376" s="9" t="str">
        <f>IFERROR(__xludf.DUMMYFUNCTION("""COMPUTED_VALUE"""),"Br")</f>
        <v>Br</v>
      </c>
      <c r="G376" s="9" t="str">
        <f>IFERROR(__xludf.DUMMYFUNCTION("""COMPUTED_VALUE"""),"F")</f>
        <v>F</v>
      </c>
      <c r="H376" s="9" t="str">
        <f>IFERROR(__xludf.DUMMYFUNCTION("""COMPUTED_VALUE"""),"FGM")</f>
        <v>FGM</v>
      </c>
      <c r="I376" s="9" t="str">
        <f>IFERROR(__xludf.DUMMYFUNCTION("""COMPUTED_VALUE"""),"FTS")</f>
        <v>FTS</v>
      </c>
      <c r="J376" s="9" t="str">
        <f>IFERROR(__xludf.DUMMYFUNCTION("""COMPUTED_VALUE"""),"IZ")</f>
        <v>IZ</v>
      </c>
      <c r="K376" s="9"/>
      <c r="L376" s="9"/>
      <c r="M376" s="9"/>
      <c r="N376" s="9"/>
      <c r="O376" s="9"/>
      <c r="P376" s="9"/>
      <c r="Q376" s="9"/>
      <c r="R376" s="9"/>
      <c r="S376" s="42" t="str">
        <f>IFERROR(__xludf.DUMMYFUNCTION("""COMPUTED_VALUE"""),"fIZ;
pIZ;
tIZ;
oIZ;
iIZ;
cIZ;
peIZ;
alIZ")</f>
        <v>fIZ;
pIZ;
tIZ;
oIZ;
iIZ;
cIZ;
peIZ;
alIZ</v>
      </c>
      <c r="T376" s="42"/>
      <c r="U376" s="159" t="b">
        <f>IFERROR(__xludf.DUMMYFUNCTION("""COMPUTED_VALUE"""),FALSE)</f>
        <v>0</v>
      </c>
      <c r="V376" s="42"/>
      <c r="W376" s="42"/>
      <c r="X376" s="42"/>
      <c r="Y376" s="42"/>
      <c r="Z376" s="42"/>
      <c r="AA376" s="42"/>
      <c r="AB376" s="42" t="str">
        <f>IFERROR(__xludf.DUMMYFUNCTION("""COMPUTED_VALUE"""),"allen institute")</f>
        <v>allen institute</v>
      </c>
      <c r="AC376" s="42" t="str">
        <f>IFERROR(__xludf.DUMMYFUNCTION("""COMPUTED_VALUE"""),"DHBA")</f>
        <v>DHBA</v>
      </c>
      <c r="AD376" s="42"/>
      <c r="AE376" s="42"/>
      <c r="AF376" s="9"/>
      <c r="AG376" s="9"/>
      <c r="AH376" s="42"/>
      <c r="AI376" s="42"/>
      <c r="AJ376" s="42"/>
      <c r="AK376" s="42"/>
      <c r="AL376" s="42"/>
      <c r="AM376" s="42"/>
      <c r="AN376" s="42"/>
      <c r="AO376" s="63" t="str">
        <f>IFERROR(__xludf.DUMMYFUNCTION("IF(ISBLANK(A376),,IF(ISBLANK(S376), A376&amp;"";"", TEXTJOIN(CHAR(10), TRUE, A376&amp;"";"", ARRAYFORMULA(VLOOKUP(SPLIT(S376, "";"" &amp; CHAR(10)), $A:$AO, 41, FALSE)))))"),"IZ;
fIZ;
fIZfp;
fIZdm;
fIZdl;
fIZvl;
fIZor;
fIZm1;
pIZ;
pIZs1;
pIZdm;
pIZpd;
pIZpv;
tIZ;
tIZdl;
tIZa1;
tIZsl;
tIZps;
tIZpi;
tIZvl;
tIZml;
tIZil;
tIZmi;
tIZ36;
tIZtf;
tIZph;
tIZmt;
tIZlt;
tIZtp;
oIZ;
oIZpro;
oIZv1;
oIZexs;
oIZdm;
oIZvm;
oIZml;
iIZ;
iIZdg;
"&amp;"iIZgr;
cIZ;
cIZr;
cIZmi;
cIZc;
cIZsg;
peIZ;
IZpc;
IZpcr;
IZpcc;
IZec;
IZlec;
IZmec;
IZprs;
IZprsr;
IZprsc;
IZrs;
alIZ;
IZhip;
IZhipr;
IZhipc;
IZsub;
IZsubr;
IZsubc;")</f>
        <v>IZ;
fIZ;
fIZfp;
fIZdm;
fIZdl;
fIZvl;
fIZor;
fIZm1;
pIZ;
pIZs1;
pIZdm;
pIZpd;
pIZpv;
tIZ;
tIZdl;
tIZa1;
tIZsl;
tIZps;
tIZpi;
tIZvl;
tIZml;
tIZil;
tIZmi;
tIZ36;
tIZtf;
tIZph;
tIZmt;
tIZlt;
tIZtp;
oIZ;
oIZpro;
oIZv1;
oIZexs;
oIZdm;
oIZvm;
oIZml;
iIZ;
iIZdg;
iIZgr;
cIZ;
cIZr;
cIZmi;
cIZc;
cIZsg;
peIZ;
IZpc;
IZpcr;
IZpcc;
IZec;
IZlec;
IZmec;
IZprs;
IZprsr;
IZprsc;
IZrs;
alIZ;
IZhip;
IZhipr;
IZhipc;
IZsub;
IZsubr;
IZsubc;</v>
      </c>
      <c r="AP376" s="89"/>
    </row>
    <row r="377">
      <c r="A377" s="151" t="str">
        <f>IFERROR(__xludf.DUMMYFUNCTION("""COMPUTED_VALUE"""),"fIZ")</f>
        <v>fIZ</v>
      </c>
      <c r="B377" s="42" t="str">
        <f>IFERROR(__xludf.DUMMYFUNCTION("""COMPUTED_VALUE"""),"DHBA")</f>
        <v>DHBA</v>
      </c>
      <c r="C377" s="42" t="str">
        <f>IFERROR(__xludf.DUMMYFUNCTION("""COMPUTED_VALUE"""),"IZ in frontal neocortex")</f>
        <v>IZ in frontal neocortex</v>
      </c>
      <c r="D377" s="42">
        <f>IFERROR(__xludf.DUMMYFUNCTION("""COMPUTED_VALUE"""),343.0)</f>
        <v>343</v>
      </c>
      <c r="E377" s="39" t="str">
        <f>IFERROR(__xludf.DUMMYFUNCTION("""COMPUTED_VALUE"""),"IZ in frontal neocortex")</f>
        <v>IZ in frontal neocortex</v>
      </c>
      <c r="F377" s="9" t="str">
        <f>IFERROR(__xludf.DUMMYFUNCTION("""COMPUTED_VALUE"""),"Br")</f>
        <v>Br</v>
      </c>
      <c r="G377" s="9" t="str">
        <f>IFERROR(__xludf.DUMMYFUNCTION("""COMPUTED_VALUE"""),"F")</f>
        <v>F</v>
      </c>
      <c r="H377" s="9" t="str">
        <f>IFERROR(__xludf.DUMMYFUNCTION("""COMPUTED_VALUE"""),"FGM")</f>
        <v>FGM</v>
      </c>
      <c r="I377" s="9" t="str">
        <f>IFERROR(__xludf.DUMMYFUNCTION("""COMPUTED_VALUE"""),"FTS")</f>
        <v>FTS</v>
      </c>
      <c r="J377" s="9" t="str">
        <f>IFERROR(__xludf.DUMMYFUNCTION("""COMPUTED_VALUE"""),"IZ")</f>
        <v>IZ</v>
      </c>
      <c r="K377" s="9" t="str">
        <f>IFERROR(__xludf.DUMMYFUNCTION("""COMPUTED_VALUE"""),"fIZ")</f>
        <v>fIZ</v>
      </c>
      <c r="L377" s="9"/>
      <c r="M377" s="9"/>
      <c r="N377" s="9"/>
      <c r="O377" s="9"/>
      <c r="P377" s="9"/>
      <c r="Q377" s="9"/>
      <c r="R377" s="9"/>
      <c r="S377" s="42" t="str">
        <f>IFERROR(__xludf.DUMMYFUNCTION("""COMPUTED_VALUE"""),"fIZfp;
fIZdm;
fIZdl;
fIZvl;
fIZor;
fIZm1")</f>
        <v>fIZfp;
fIZdm;
fIZdl;
fIZvl;
fIZor;
fIZm1</v>
      </c>
      <c r="T377" s="42"/>
      <c r="U377" s="159" t="b">
        <f>IFERROR(__xludf.DUMMYFUNCTION("""COMPUTED_VALUE"""),FALSE)</f>
        <v>0</v>
      </c>
      <c r="V377" s="42"/>
      <c r="W377" s="42"/>
      <c r="X377" s="42"/>
      <c r="Y377" s="42"/>
      <c r="Z377" s="42"/>
      <c r="AA377" s="42"/>
      <c r="AB377" s="42" t="str">
        <f>IFERROR(__xludf.DUMMYFUNCTION("""COMPUTED_VALUE"""),"allen institute")</f>
        <v>allen institute</v>
      </c>
      <c r="AC377" s="42" t="str">
        <f>IFERROR(__xludf.DUMMYFUNCTION("""COMPUTED_VALUE"""),"DHBA")</f>
        <v>DHBA</v>
      </c>
      <c r="AD377" s="42"/>
      <c r="AE377" s="42"/>
      <c r="AF377" s="9"/>
      <c r="AG377" s="9"/>
      <c r="AH377" s="42"/>
      <c r="AI377" s="42"/>
      <c r="AJ377" s="42"/>
      <c r="AK377" s="42"/>
      <c r="AL377" s="42"/>
      <c r="AM377" s="42"/>
      <c r="AN377" s="42"/>
      <c r="AO377" s="63" t="str">
        <f>IFERROR(__xludf.DUMMYFUNCTION("IF(ISBLANK(A377),,IF(ISBLANK(S377), A377&amp;"";"", TEXTJOIN(CHAR(10), TRUE, A377&amp;"";"", ARRAYFORMULA(VLOOKUP(SPLIT(S377, "";"" &amp; CHAR(10)), $A:$AO, 41, FALSE)))))"),"fIZ;
fIZfp;
fIZdm;
fIZdl;
fIZvl;
fIZor;
fIZm1;")</f>
        <v>fIZ;
fIZfp;
fIZdm;
fIZdl;
fIZvl;
fIZor;
fIZm1;</v>
      </c>
      <c r="AP377" s="89"/>
    </row>
    <row r="378">
      <c r="A378" s="151" t="str">
        <f>IFERROR(__xludf.DUMMYFUNCTION("""COMPUTED_VALUE"""),"fIZfp")</f>
        <v>fIZfp</v>
      </c>
      <c r="B378" s="42" t="str">
        <f>IFERROR(__xludf.DUMMYFUNCTION("""COMPUTED_VALUE"""),"DHBA")</f>
        <v>DHBA</v>
      </c>
      <c r="C378" s="42" t="str">
        <f>IFERROR(__xludf.DUMMYFUNCTION("""COMPUTED_VALUE"""),"IZ in frontal polar cortex")</f>
        <v>IZ in frontal polar cortex</v>
      </c>
      <c r="D378" s="42">
        <f>IFERROR(__xludf.DUMMYFUNCTION("""COMPUTED_VALUE"""),344.0)</f>
        <v>344</v>
      </c>
      <c r="E378" s="39" t="str">
        <f>IFERROR(__xludf.DUMMYFUNCTION("""COMPUTED_VALUE"""),"IZ in frontal polar cortex")</f>
        <v>IZ in frontal polar cortex</v>
      </c>
      <c r="F378" s="9" t="str">
        <f>IFERROR(__xludf.DUMMYFUNCTION("""COMPUTED_VALUE"""),"Br")</f>
        <v>Br</v>
      </c>
      <c r="G378" s="9" t="str">
        <f>IFERROR(__xludf.DUMMYFUNCTION("""COMPUTED_VALUE"""),"F")</f>
        <v>F</v>
      </c>
      <c r="H378" s="9" t="str">
        <f>IFERROR(__xludf.DUMMYFUNCTION("""COMPUTED_VALUE"""),"FGM")</f>
        <v>FGM</v>
      </c>
      <c r="I378" s="9" t="str">
        <f>IFERROR(__xludf.DUMMYFUNCTION("""COMPUTED_VALUE"""),"FTS")</f>
        <v>FTS</v>
      </c>
      <c r="J378" s="9" t="str">
        <f>IFERROR(__xludf.DUMMYFUNCTION("""COMPUTED_VALUE"""),"IZ")</f>
        <v>IZ</v>
      </c>
      <c r="K378" s="9" t="str">
        <f>IFERROR(__xludf.DUMMYFUNCTION("""COMPUTED_VALUE"""),"fIZ")</f>
        <v>fIZ</v>
      </c>
      <c r="L378" s="9" t="str">
        <f>IFERROR(__xludf.DUMMYFUNCTION("""COMPUTED_VALUE"""),"fIZfp")</f>
        <v>fIZfp</v>
      </c>
      <c r="M378" s="9"/>
      <c r="N378" s="9"/>
      <c r="O378" s="9"/>
      <c r="P378" s="9"/>
      <c r="Q378" s="9"/>
      <c r="R378" s="9"/>
      <c r="S378" s="42"/>
      <c r="T378" s="42"/>
      <c r="U378" s="42"/>
      <c r="V378" s="42"/>
      <c r="W378" s="42"/>
      <c r="X378" s="42"/>
      <c r="Y378" s="42"/>
      <c r="Z378" s="42"/>
      <c r="AA378" s="42"/>
      <c r="AB378" s="42" t="str">
        <f>IFERROR(__xludf.DUMMYFUNCTION("""COMPUTED_VALUE"""),"allen institute")</f>
        <v>allen institute</v>
      </c>
      <c r="AC378" s="42" t="str">
        <f>IFERROR(__xludf.DUMMYFUNCTION("""COMPUTED_VALUE"""),"DHBA")</f>
        <v>DHBA</v>
      </c>
      <c r="AD378" s="42"/>
      <c r="AE378" s="42"/>
      <c r="AF378" s="9"/>
      <c r="AG378" s="9"/>
      <c r="AH378" s="42"/>
      <c r="AI378" s="42"/>
      <c r="AJ378" s="42"/>
      <c r="AK378" s="42"/>
      <c r="AL378" s="42"/>
      <c r="AM378" s="42"/>
      <c r="AN378" s="42"/>
      <c r="AO378" s="63" t="str">
        <f>IFERROR(__xludf.DUMMYFUNCTION("IF(ISBLANK(A378),,IF(ISBLANK(S378), A378&amp;"";"", TEXTJOIN(CHAR(10), TRUE, A378&amp;"";"", ARRAYFORMULA(VLOOKUP(SPLIT(S378, "";"" &amp; CHAR(10)), $A:$AO, 41, FALSE)))))"),"fIZfp;")</f>
        <v>fIZfp;</v>
      </c>
      <c r="AP378" s="89"/>
    </row>
    <row r="379">
      <c r="A379" s="151" t="str">
        <f>IFERROR(__xludf.DUMMYFUNCTION("""COMPUTED_VALUE"""),"fIZdm")</f>
        <v>fIZdm</v>
      </c>
      <c r="B379" s="42" t="str">
        <f>IFERROR(__xludf.DUMMYFUNCTION("""COMPUTED_VALUE"""),"DHBA")</f>
        <v>DHBA</v>
      </c>
      <c r="C379" s="42" t="str">
        <f>IFERROR(__xludf.DUMMYFUNCTION("""COMPUTED_VALUE"""),"IZ in dorsomedial frontal cortex")</f>
        <v>IZ in dorsomedial frontal cortex</v>
      </c>
      <c r="D379" s="42">
        <f>IFERROR(__xludf.DUMMYFUNCTION("""COMPUTED_VALUE"""),345.0)</f>
        <v>345</v>
      </c>
      <c r="E379" s="39" t="str">
        <f>IFERROR(__xludf.DUMMYFUNCTION("""COMPUTED_VALUE"""),"IZ in dorsomedial frontal cortex")</f>
        <v>IZ in dorsomedial frontal cortex</v>
      </c>
      <c r="F379" s="9" t="str">
        <f>IFERROR(__xludf.DUMMYFUNCTION("""COMPUTED_VALUE"""),"Br")</f>
        <v>Br</v>
      </c>
      <c r="G379" s="9" t="str">
        <f>IFERROR(__xludf.DUMMYFUNCTION("""COMPUTED_VALUE"""),"F")</f>
        <v>F</v>
      </c>
      <c r="H379" s="9" t="str">
        <f>IFERROR(__xludf.DUMMYFUNCTION("""COMPUTED_VALUE"""),"FGM")</f>
        <v>FGM</v>
      </c>
      <c r="I379" s="9" t="str">
        <f>IFERROR(__xludf.DUMMYFUNCTION("""COMPUTED_VALUE"""),"FTS")</f>
        <v>FTS</v>
      </c>
      <c r="J379" s="9" t="str">
        <f>IFERROR(__xludf.DUMMYFUNCTION("""COMPUTED_VALUE"""),"IZ")</f>
        <v>IZ</v>
      </c>
      <c r="K379" s="9" t="str">
        <f>IFERROR(__xludf.DUMMYFUNCTION("""COMPUTED_VALUE"""),"fIZ")</f>
        <v>fIZ</v>
      </c>
      <c r="L379" s="9" t="str">
        <f>IFERROR(__xludf.DUMMYFUNCTION("""COMPUTED_VALUE"""),"fIZdm")</f>
        <v>fIZdm</v>
      </c>
      <c r="M379" s="9"/>
      <c r="N379" s="9"/>
      <c r="O379" s="9"/>
      <c r="P379" s="9"/>
      <c r="Q379" s="9"/>
      <c r="R379" s="9"/>
      <c r="S379" s="42"/>
      <c r="T379" s="42"/>
      <c r="U379" s="42"/>
      <c r="V379" s="42"/>
      <c r="W379" s="42"/>
      <c r="X379" s="42"/>
      <c r="Y379" s="42"/>
      <c r="Z379" s="42"/>
      <c r="AA379" s="42"/>
      <c r="AB379" s="42" t="str">
        <f>IFERROR(__xludf.DUMMYFUNCTION("""COMPUTED_VALUE"""),"allen institute")</f>
        <v>allen institute</v>
      </c>
      <c r="AC379" s="42" t="str">
        <f>IFERROR(__xludf.DUMMYFUNCTION("""COMPUTED_VALUE"""),"DHBA")</f>
        <v>DHBA</v>
      </c>
      <c r="AD379" s="42"/>
      <c r="AE379" s="42"/>
      <c r="AF379" s="9"/>
      <c r="AG379" s="9"/>
      <c r="AH379" s="42"/>
      <c r="AI379" s="42"/>
      <c r="AJ379" s="42"/>
      <c r="AK379" s="42"/>
      <c r="AL379" s="42"/>
      <c r="AM379" s="42"/>
      <c r="AN379" s="42"/>
      <c r="AO379" s="63" t="str">
        <f>IFERROR(__xludf.DUMMYFUNCTION("IF(ISBLANK(A379),,IF(ISBLANK(S379), A379&amp;"";"", TEXTJOIN(CHAR(10), TRUE, A379&amp;"";"", ARRAYFORMULA(VLOOKUP(SPLIT(S379, "";"" &amp; CHAR(10)), $A:$AO, 41, FALSE)))))"),"fIZdm;")</f>
        <v>fIZdm;</v>
      </c>
      <c r="AP379" s="89"/>
    </row>
    <row r="380">
      <c r="A380" s="151" t="str">
        <f>IFERROR(__xludf.DUMMYFUNCTION("""COMPUTED_VALUE"""),"fIZdl")</f>
        <v>fIZdl</v>
      </c>
      <c r="B380" s="42" t="str">
        <f>IFERROR(__xludf.DUMMYFUNCTION("""COMPUTED_VALUE"""),"DHBA")</f>
        <v>DHBA</v>
      </c>
      <c r="C380" s="42" t="str">
        <f>IFERROR(__xludf.DUMMYFUNCTION("""COMPUTED_VALUE"""),"IZ in dorsolateral prefrontal cortex")</f>
        <v>IZ in dorsolateral prefrontal cortex</v>
      </c>
      <c r="D380" s="42">
        <f>IFERROR(__xludf.DUMMYFUNCTION("""COMPUTED_VALUE"""),346.0)</f>
        <v>346</v>
      </c>
      <c r="E380" s="39" t="str">
        <f>IFERROR(__xludf.DUMMYFUNCTION("""COMPUTED_VALUE"""),"IZ in dorsolateral prefrontal cortex")</f>
        <v>IZ in dorsolateral prefrontal cortex</v>
      </c>
      <c r="F380" s="9" t="str">
        <f>IFERROR(__xludf.DUMMYFUNCTION("""COMPUTED_VALUE"""),"Br")</f>
        <v>Br</v>
      </c>
      <c r="G380" s="9" t="str">
        <f>IFERROR(__xludf.DUMMYFUNCTION("""COMPUTED_VALUE"""),"F")</f>
        <v>F</v>
      </c>
      <c r="H380" s="9" t="str">
        <f>IFERROR(__xludf.DUMMYFUNCTION("""COMPUTED_VALUE"""),"FGM")</f>
        <v>FGM</v>
      </c>
      <c r="I380" s="9" t="str">
        <f>IFERROR(__xludf.DUMMYFUNCTION("""COMPUTED_VALUE"""),"FTS")</f>
        <v>FTS</v>
      </c>
      <c r="J380" s="9" t="str">
        <f>IFERROR(__xludf.DUMMYFUNCTION("""COMPUTED_VALUE"""),"IZ")</f>
        <v>IZ</v>
      </c>
      <c r="K380" s="9" t="str">
        <f>IFERROR(__xludf.DUMMYFUNCTION("""COMPUTED_VALUE"""),"fIZ")</f>
        <v>fIZ</v>
      </c>
      <c r="L380" s="9" t="str">
        <f>IFERROR(__xludf.DUMMYFUNCTION("""COMPUTED_VALUE"""),"fIZdl")</f>
        <v>fIZdl</v>
      </c>
      <c r="M380" s="9"/>
      <c r="N380" s="9"/>
      <c r="O380" s="9"/>
      <c r="P380" s="9"/>
      <c r="Q380" s="9"/>
      <c r="R380" s="9"/>
      <c r="S380" s="42"/>
      <c r="T380" s="42"/>
      <c r="U380" s="42"/>
      <c r="V380" s="42"/>
      <c r="W380" s="42"/>
      <c r="X380" s="42"/>
      <c r="Y380" s="42"/>
      <c r="Z380" s="42"/>
      <c r="AA380" s="42"/>
      <c r="AB380" s="42" t="str">
        <f>IFERROR(__xludf.DUMMYFUNCTION("""COMPUTED_VALUE"""),"allen institute")</f>
        <v>allen institute</v>
      </c>
      <c r="AC380" s="42" t="str">
        <f>IFERROR(__xludf.DUMMYFUNCTION("""COMPUTED_VALUE"""),"DHBA")</f>
        <v>DHBA</v>
      </c>
      <c r="AD380" s="42"/>
      <c r="AE380" s="42"/>
      <c r="AF380" s="9"/>
      <c r="AG380" s="9"/>
      <c r="AH380" s="42"/>
      <c r="AI380" s="42"/>
      <c r="AJ380" s="42"/>
      <c r="AK380" s="42"/>
      <c r="AL380" s="42"/>
      <c r="AM380" s="42"/>
      <c r="AN380" s="42"/>
      <c r="AO380" s="63" t="str">
        <f>IFERROR(__xludf.DUMMYFUNCTION("IF(ISBLANK(A380),,IF(ISBLANK(S380), A380&amp;"";"", TEXTJOIN(CHAR(10), TRUE, A380&amp;"";"", ARRAYFORMULA(VLOOKUP(SPLIT(S380, "";"" &amp; CHAR(10)), $A:$AO, 41, FALSE)))))"),"fIZdl;")</f>
        <v>fIZdl;</v>
      </c>
      <c r="AP380" s="89"/>
    </row>
    <row r="381">
      <c r="A381" s="151" t="str">
        <f>IFERROR(__xludf.DUMMYFUNCTION("""COMPUTED_VALUE"""),"fIZvl")</f>
        <v>fIZvl</v>
      </c>
      <c r="B381" s="42" t="str">
        <f>IFERROR(__xludf.DUMMYFUNCTION("""COMPUTED_VALUE"""),"DHBA")</f>
        <v>DHBA</v>
      </c>
      <c r="C381" s="42" t="str">
        <f>IFERROR(__xludf.DUMMYFUNCTION("""COMPUTED_VALUE"""),"IZ in ventrolateral prefrontal cortex")</f>
        <v>IZ in ventrolateral prefrontal cortex</v>
      </c>
      <c r="D381" s="42">
        <f>IFERROR(__xludf.DUMMYFUNCTION("""COMPUTED_VALUE"""),347.0)</f>
        <v>347</v>
      </c>
      <c r="E381" s="39" t="str">
        <f>IFERROR(__xludf.DUMMYFUNCTION("""COMPUTED_VALUE"""),"IZ in ventrolateral prefrontal cortex")</f>
        <v>IZ in ventrolateral prefrontal cortex</v>
      </c>
      <c r="F381" s="9" t="str">
        <f>IFERROR(__xludf.DUMMYFUNCTION("""COMPUTED_VALUE"""),"Br")</f>
        <v>Br</v>
      </c>
      <c r="G381" s="9" t="str">
        <f>IFERROR(__xludf.DUMMYFUNCTION("""COMPUTED_VALUE"""),"F")</f>
        <v>F</v>
      </c>
      <c r="H381" s="9" t="str">
        <f>IFERROR(__xludf.DUMMYFUNCTION("""COMPUTED_VALUE"""),"FGM")</f>
        <v>FGM</v>
      </c>
      <c r="I381" s="9" t="str">
        <f>IFERROR(__xludf.DUMMYFUNCTION("""COMPUTED_VALUE"""),"FTS")</f>
        <v>FTS</v>
      </c>
      <c r="J381" s="9" t="str">
        <f>IFERROR(__xludf.DUMMYFUNCTION("""COMPUTED_VALUE"""),"IZ")</f>
        <v>IZ</v>
      </c>
      <c r="K381" s="9" t="str">
        <f>IFERROR(__xludf.DUMMYFUNCTION("""COMPUTED_VALUE"""),"fIZ")</f>
        <v>fIZ</v>
      </c>
      <c r="L381" s="9" t="str">
        <f>IFERROR(__xludf.DUMMYFUNCTION("""COMPUTED_VALUE"""),"fIZvl")</f>
        <v>fIZvl</v>
      </c>
      <c r="M381" s="9"/>
      <c r="N381" s="9"/>
      <c r="O381" s="9"/>
      <c r="P381" s="9"/>
      <c r="Q381" s="9"/>
      <c r="R381" s="9"/>
      <c r="S381" s="42"/>
      <c r="T381" s="42"/>
      <c r="U381" s="42"/>
      <c r="V381" s="42"/>
      <c r="W381" s="42"/>
      <c r="X381" s="42"/>
      <c r="Y381" s="42"/>
      <c r="Z381" s="42"/>
      <c r="AA381" s="42"/>
      <c r="AB381" s="42" t="str">
        <f>IFERROR(__xludf.DUMMYFUNCTION("""COMPUTED_VALUE"""),"allen institute")</f>
        <v>allen institute</v>
      </c>
      <c r="AC381" s="42" t="str">
        <f>IFERROR(__xludf.DUMMYFUNCTION("""COMPUTED_VALUE"""),"DHBA")</f>
        <v>DHBA</v>
      </c>
      <c r="AD381" s="42"/>
      <c r="AE381" s="42"/>
      <c r="AF381" s="9"/>
      <c r="AG381" s="9"/>
      <c r="AH381" s="42"/>
      <c r="AI381" s="42"/>
      <c r="AJ381" s="42"/>
      <c r="AK381" s="42"/>
      <c r="AL381" s="42"/>
      <c r="AM381" s="42"/>
      <c r="AN381" s="42"/>
      <c r="AO381" s="63" t="str">
        <f>IFERROR(__xludf.DUMMYFUNCTION("IF(ISBLANK(A381),,IF(ISBLANK(S381), A381&amp;"";"", TEXTJOIN(CHAR(10), TRUE, A381&amp;"";"", ARRAYFORMULA(VLOOKUP(SPLIT(S381, "";"" &amp; CHAR(10)), $A:$AO, 41, FALSE)))))"),"fIZvl;")</f>
        <v>fIZvl;</v>
      </c>
      <c r="AP381" s="89"/>
    </row>
    <row r="382">
      <c r="A382" s="151" t="str">
        <f>IFERROR(__xludf.DUMMYFUNCTION("""COMPUTED_VALUE"""),"fIZor")</f>
        <v>fIZor</v>
      </c>
      <c r="B382" s="42" t="str">
        <f>IFERROR(__xludf.DUMMYFUNCTION("""COMPUTED_VALUE"""),"DHBA")</f>
        <v>DHBA</v>
      </c>
      <c r="C382" s="42" t="str">
        <f>IFERROR(__xludf.DUMMYFUNCTION("""COMPUTED_VALUE"""),"IZ in orbital frontal cortex")</f>
        <v>IZ in orbital frontal cortex</v>
      </c>
      <c r="D382" s="42">
        <f>IFERROR(__xludf.DUMMYFUNCTION("""COMPUTED_VALUE"""),348.0)</f>
        <v>348</v>
      </c>
      <c r="E382" s="39" t="str">
        <f>IFERROR(__xludf.DUMMYFUNCTION("""COMPUTED_VALUE"""),"IZ in orbital frontal cortex")</f>
        <v>IZ in orbital frontal cortex</v>
      </c>
      <c r="F382" s="9" t="str">
        <f>IFERROR(__xludf.DUMMYFUNCTION("""COMPUTED_VALUE"""),"Br")</f>
        <v>Br</v>
      </c>
      <c r="G382" s="9" t="str">
        <f>IFERROR(__xludf.DUMMYFUNCTION("""COMPUTED_VALUE"""),"F")</f>
        <v>F</v>
      </c>
      <c r="H382" s="9" t="str">
        <f>IFERROR(__xludf.DUMMYFUNCTION("""COMPUTED_VALUE"""),"FGM")</f>
        <v>FGM</v>
      </c>
      <c r="I382" s="9" t="str">
        <f>IFERROR(__xludf.DUMMYFUNCTION("""COMPUTED_VALUE"""),"FTS")</f>
        <v>FTS</v>
      </c>
      <c r="J382" s="9" t="str">
        <f>IFERROR(__xludf.DUMMYFUNCTION("""COMPUTED_VALUE"""),"IZ")</f>
        <v>IZ</v>
      </c>
      <c r="K382" s="9" t="str">
        <f>IFERROR(__xludf.DUMMYFUNCTION("""COMPUTED_VALUE"""),"fIZ")</f>
        <v>fIZ</v>
      </c>
      <c r="L382" s="9" t="str">
        <f>IFERROR(__xludf.DUMMYFUNCTION("""COMPUTED_VALUE"""),"fIZor")</f>
        <v>fIZor</v>
      </c>
      <c r="M382" s="9"/>
      <c r="N382" s="9"/>
      <c r="O382" s="9"/>
      <c r="P382" s="9"/>
      <c r="Q382" s="9"/>
      <c r="R382" s="9"/>
      <c r="S382" s="42"/>
      <c r="T382" s="42"/>
      <c r="U382" s="42"/>
      <c r="V382" s="42"/>
      <c r="W382" s="42"/>
      <c r="X382" s="42"/>
      <c r="Y382" s="42"/>
      <c r="Z382" s="42"/>
      <c r="AA382" s="42"/>
      <c r="AB382" s="42" t="str">
        <f>IFERROR(__xludf.DUMMYFUNCTION("""COMPUTED_VALUE"""),"allen institute")</f>
        <v>allen institute</v>
      </c>
      <c r="AC382" s="42" t="str">
        <f>IFERROR(__xludf.DUMMYFUNCTION("""COMPUTED_VALUE"""),"DHBA")</f>
        <v>DHBA</v>
      </c>
      <c r="AD382" s="42"/>
      <c r="AE382" s="42"/>
      <c r="AF382" s="9"/>
      <c r="AG382" s="9"/>
      <c r="AH382" s="42"/>
      <c r="AI382" s="42"/>
      <c r="AJ382" s="42"/>
      <c r="AK382" s="42"/>
      <c r="AL382" s="42"/>
      <c r="AM382" s="42"/>
      <c r="AN382" s="42"/>
      <c r="AO382" s="63" t="str">
        <f>IFERROR(__xludf.DUMMYFUNCTION("IF(ISBLANK(A382),,IF(ISBLANK(S382), A382&amp;"";"", TEXTJOIN(CHAR(10), TRUE, A382&amp;"";"", ARRAYFORMULA(VLOOKUP(SPLIT(S382, "";"" &amp; CHAR(10)), $A:$AO, 41, FALSE)))))"),"fIZor;")</f>
        <v>fIZor;</v>
      </c>
      <c r="AP382" s="89"/>
    </row>
    <row r="383">
      <c r="A383" s="151" t="str">
        <f>IFERROR(__xludf.DUMMYFUNCTION("""COMPUTED_VALUE"""),"fIZm1")</f>
        <v>fIZm1</v>
      </c>
      <c r="B383" s="42" t="str">
        <f>IFERROR(__xludf.DUMMYFUNCTION("""COMPUTED_VALUE"""),"DHBA")</f>
        <v>DHBA</v>
      </c>
      <c r="C383" s="42" t="str">
        <f>IFERROR(__xludf.DUMMYFUNCTION("""COMPUTED_VALUE"""),"IZ in posteror frontal cortex (motor cortex)")</f>
        <v>IZ in posteror frontal cortex (motor cortex)</v>
      </c>
      <c r="D383" s="42">
        <f>IFERROR(__xludf.DUMMYFUNCTION("""COMPUTED_VALUE"""),349.0)</f>
        <v>349</v>
      </c>
      <c r="E383" s="39" t="str">
        <f>IFERROR(__xludf.DUMMYFUNCTION("""COMPUTED_VALUE"""),"IZ in posteror frontal cortex (motor cortex)")</f>
        <v>IZ in posteror frontal cortex (motor cortex)</v>
      </c>
      <c r="F383" s="9" t="str">
        <f>IFERROR(__xludf.DUMMYFUNCTION("""COMPUTED_VALUE"""),"Br")</f>
        <v>Br</v>
      </c>
      <c r="G383" s="9" t="str">
        <f>IFERROR(__xludf.DUMMYFUNCTION("""COMPUTED_VALUE"""),"F")</f>
        <v>F</v>
      </c>
      <c r="H383" s="9" t="str">
        <f>IFERROR(__xludf.DUMMYFUNCTION("""COMPUTED_VALUE"""),"FGM")</f>
        <v>FGM</v>
      </c>
      <c r="I383" s="9" t="str">
        <f>IFERROR(__xludf.DUMMYFUNCTION("""COMPUTED_VALUE"""),"FTS")</f>
        <v>FTS</v>
      </c>
      <c r="J383" s="9" t="str">
        <f>IFERROR(__xludf.DUMMYFUNCTION("""COMPUTED_VALUE"""),"IZ")</f>
        <v>IZ</v>
      </c>
      <c r="K383" s="9" t="str">
        <f>IFERROR(__xludf.DUMMYFUNCTION("""COMPUTED_VALUE"""),"fIZ")</f>
        <v>fIZ</v>
      </c>
      <c r="L383" s="9" t="str">
        <f>IFERROR(__xludf.DUMMYFUNCTION("""COMPUTED_VALUE"""),"fIZm1")</f>
        <v>fIZm1</v>
      </c>
      <c r="M383" s="9"/>
      <c r="N383" s="9"/>
      <c r="O383" s="9"/>
      <c r="P383" s="9"/>
      <c r="Q383" s="9"/>
      <c r="R383" s="9"/>
      <c r="S383" s="42"/>
      <c r="T383" s="42"/>
      <c r="U383" s="42"/>
      <c r="V383" s="42"/>
      <c r="W383" s="42"/>
      <c r="X383" s="42"/>
      <c r="Y383" s="42"/>
      <c r="Z383" s="42"/>
      <c r="AA383" s="42"/>
      <c r="AB383" s="42" t="str">
        <f>IFERROR(__xludf.DUMMYFUNCTION("""COMPUTED_VALUE"""),"allen institute")</f>
        <v>allen institute</v>
      </c>
      <c r="AC383" s="42" t="str">
        <f>IFERROR(__xludf.DUMMYFUNCTION("""COMPUTED_VALUE"""),"DHBA")</f>
        <v>DHBA</v>
      </c>
      <c r="AD383" s="42"/>
      <c r="AE383" s="42"/>
      <c r="AF383" s="9"/>
      <c r="AG383" s="9"/>
      <c r="AH383" s="42"/>
      <c r="AI383" s="42"/>
      <c r="AJ383" s="42"/>
      <c r="AK383" s="42"/>
      <c r="AL383" s="42"/>
      <c r="AM383" s="42"/>
      <c r="AN383" s="42"/>
      <c r="AO383" s="63" t="str">
        <f>IFERROR(__xludf.DUMMYFUNCTION("IF(ISBLANK(A383),,IF(ISBLANK(S383), A383&amp;"";"", TEXTJOIN(CHAR(10), TRUE, A383&amp;"";"", ARRAYFORMULA(VLOOKUP(SPLIT(S383, "";"" &amp; CHAR(10)), $A:$AO, 41, FALSE)))))"),"fIZm1;")</f>
        <v>fIZm1;</v>
      </c>
      <c r="AP383" s="89"/>
    </row>
    <row r="384">
      <c r="A384" s="151" t="str">
        <f>IFERROR(__xludf.DUMMYFUNCTION("""COMPUTED_VALUE"""),"pIZ")</f>
        <v>pIZ</v>
      </c>
      <c r="B384" s="42" t="str">
        <f>IFERROR(__xludf.DUMMYFUNCTION("""COMPUTED_VALUE"""),"DHBA")</f>
        <v>DHBA</v>
      </c>
      <c r="C384" s="42" t="str">
        <f>IFERROR(__xludf.DUMMYFUNCTION("""COMPUTED_VALUE"""),"IZ in parietal neocortex")</f>
        <v>IZ in parietal neocortex</v>
      </c>
      <c r="D384" s="42">
        <f>IFERROR(__xludf.DUMMYFUNCTION("""COMPUTED_VALUE"""),350.0)</f>
        <v>350</v>
      </c>
      <c r="E384" s="39" t="str">
        <f>IFERROR(__xludf.DUMMYFUNCTION("""COMPUTED_VALUE"""),"IZ in parietal neocortex")</f>
        <v>IZ in parietal neocortex</v>
      </c>
      <c r="F384" s="9" t="str">
        <f>IFERROR(__xludf.DUMMYFUNCTION("""COMPUTED_VALUE"""),"Br")</f>
        <v>Br</v>
      </c>
      <c r="G384" s="9" t="str">
        <f>IFERROR(__xludf.DUMMYFUNCTION("""COMPUTED_VALUE"""),"F")</f>
        <v>F</v>
      </c>
      <c r="H384" s="9" t="str">
        <f>IFERROR(__xludf.DUMMYFUNCTION("""COMPUTED_VALUE"""),"FGM")</f>
        <v>FGM</v>
      </c>
      <c r="I384" s="9" t="str">
        <f>IFERROR(__xludf.DUMMYFUNCTION("""COMPUTED_VALUE"""),"FTS")</f>
        <v>FTS</v>
      </c>
      <c r="J384" s="9" t="str">
        <f>IFERROR(__xludf.DUMMYFUNCTION("""COMPUTED_VALUE"""),"IZ")</f>
        <v>IZ</v>
      </c>
      <c r="K384" s="9" t="str">
        <f>IFERROR(__xludf.DUMMYFUNCTION("""COMPUTED_VALUE"""),"pIZ")</f>
        <v>pIZ</v>
      </c>
      <c r="L384" s="9"/>
      <c r="M384" s="9"/>
      <c r="N384" s="9"/>
      <c r="O384" s="9"/>
      <c r="P384" s="9"/>
      <c r="Q384" s="9"/>
      <c r="R384" s="9"/>
      <c r="S384" s="42" t="str">
        <f>IFERROR(__xludf.DUMMYFUNCTION("""COMPUTED_VALUE"""),"pIZs1;
pIZdm;
pIZpd;
pIZpv")</f>
        <v>pIZs1;
pIZdm;
pIZpd;
pIZpv</v>
      </c>
      <c r="T384" s="42"/>
      <c r="U384" s="42" t="b">
        <f>IFERROR(__xludf.DUMMYFUNCTION("""COMPUTED_VALUE"""),FALSE)</f>
        <v>0</v>
      </c>
      <c r="V384" s="42"/>
      <c r="W384" s="42"/>
      <c r="X384" s="42"/>
      <c r="Y384" s="42"/>
      <c r="Z384" s="42"/>
      <c r="AA384" s="42"/>
      <c r="AB384" s="42" t="str">
        <f>IFERROR(__xludf.DUMMYFUNCTION("""COMPUTED_VALUE"""),"allen institute")</f>
        <v>allen institute</v>
      </c>
      <c r="AC384" s="42" t="str">
        <f>IFERROR(__xludf.DUMMYFUNCTION("""COMPUTED_VALUE"""),"DHBA")</f>
        <v>DHBA</v>
      </c>
      <c r="AD384" s="42"/>
      <c r="AE384" s="42"/>
      <c r="AF384" s="9"/>
      <c r="AG384" s="9"/>
      <c r="AH384" s="42"/>
      <c r="AI384" s="42"/>
      <c r="AJ384" s="42"/>
      <c r="AK384" s="42"/>
      <c r="AL384" s="42"/>
      <c r="AM384" s="42"/>
      <c r="AN384" s="42"/>
      <c r="AO384" s="63" t="str">
        <f>IFERROR(__xludf.DUMMYFUNCTION("IF(ISBLANK(A384),,IF(ISBLANK(S384), A384&amp;"";"", TEXTJOIN(CHAR(10), TRUE, A384&amp;"";"", ARRAYFORMULA(VLOOKUP(SPLIT(S384, "";"" &amp; CHAR(10)), $A:$AO, 41, FALSE)))))"),"pIZ;
pIZs1;
pIZdm;
pIZpd;
pIZpv;")</f>
        <v>pIZ;
pIZs1;
pIZdm;
pIZpd;
pIZpv;</v>
      </c>
      <c r="AP384" s="89"/>
    </row>
    <row r="385">
      <c r="A385" s="151" t="str">
        <f>IFERROR(__xludf.DUMMYFUNCTION("""COMPUTED_VALUE"""),"pIZs1")</f>
        <v>pIZs1</v>
      </c>
      <c r="B385" s="42" t="str">
        <f>IFERROR(__xludf.DUMMYFUNCTION("""COMPUTED_VALUE"""),"DHBA")</f>
        <v>DHBA</v>
      </c>
      <c r="C385" s="42" t="str">
        <f>IFERROR(__xludf.DUMMYFUNCTION("""COMPUTED_VALUE"""),"IZ in primary somatosensory cortex")</f>
        <v>IZ in primary somatosensory cortex</v>
      </c>
      <c r="D385" s="42">
        <f>IFERROR(__xludf.DUMMYFUNCTION("""COMPUTED_VALUE"""),351.0)</f>
        <v>351</v>
      </c>
      <c r="E385" s="39" t="str">
        <f>IFERROR(__xludf.DUMMYFUNCTION("""COMPUTED_VALUE"""),"IZ in primary somatosensory cortex")</f>
        <v>IZ in primary somatosensory cortex</v>
      </c>
      <c r="F385" s="9" t="str">
        <f>IFERROR(__xludf.DUMMYFUNCTION("""COMPUTED_VALUE"""),"Br")</f>
        <v>Br</v>
      </c>
      <c r="G385" s="9" t="str">
        <f>IFERROR(__xludf.DUMMYFUNCTION("""COMPUTED_VALUE"""),"F")</f>
        <v>F</v>
      </c>
      <c r="H385" s="9" t="str">
        <f>IFERROR(__xludf.DUMMYFUNCTION("""COMPUTED_VALUE"""),"FGM")</f>
        <v>FGM</v>
      </c>
      <c r="I385" s="9" t="str">
        <f>IFERROR(__xludf.DUMMYFUNCTION("""COMPUTED_VALUE"""),"FTS")</f>
        <v>FTS</v>
      </c>
      <c r="J385" s="9" t="str">
        <f>IFERROR(__xludf.DUMMYFUNCTION("""COMPUTED_VALUE"""),"IZ")</f>
        <v>IZ</v>
      </c>
      <c r="K385" s="9" t="str">
        <f>IFERROR(__xludf.DUMMYFUNCTION("""COMPUTED_VALUE"""),"pIZ")</f>
        <v>pIZ</v>
      </c>
      <c r="L385" s="9" t="str">
        <f>IFERROR(__xludf.DUMMYFUNCTION("""COMPUTED_VALUE"""),"pIZs1")</f>
        <v>pIZs1</v>
      </c>
      <c r="M385" s="9"/>
      <c r="N385" s="9"/>
      <c r="O385" s="9"/>
      <c r="P385" s="9"/>
      <c r="Q385" s="9"/>
      <c r="R385" s="9"/>
      <c r="S385" s="42"/>
      <c r="T385" s="42"/>
      <c r="U385" s="42"/>
      <c r="V385" s="42"/>
      <c r="W385" s="42"/>
      <c r="X385" s="42"/>
      <c r="Y385" s="42"/>
      <c r="Z385" s="42"/>
      <c r="AA385" s="42"/>
      <c r="AB385" s="42" t="str">
        <f>IFERROR(__xludf.DUMMYFUNCTION("""COMPUTED_VALUE"""),"allen institute")</f>
        <v>allen institute</v>
      </c>
      <c r="AC385" s="42" t="str">
        <f>IFERROR(__xludf.DUMMYFUNCTION("""COMPUTED_VALUE"""),"DHBA")</f>
        <v>DHBA</v>
      </c>
      <c r="AD385" s="42"/>
      <c r="AE385" s="42"/>
      <c r="AF385" s="9"/>
      <c r="AG385" s="9"/>
      <c r="AH385" s="42"/>
      <c r="AI385" s="42"/>
      <c r="AJ385" s="42"/>
      <c r="AK385" s="42"/>
      <c r="AL385" s="42"/>
      <c r="AM385" s="42"/>
      <c r="AN385" s="42"/>
      <c r="AO385" s="63" t="str">
        <f>IFERROR(__xludf.DUMMYFUNCTION("IF(ISBLANK(A385),,IF(ISBLANK(S385), A385&amp;"";"", TEXTJOIN(CHAR(10), TRUE, A385&amp;"";"", ARRAYFORMULA(VLOOKUP(SPLIT(S385, "";"" &amp; CHAR(10)), $A:$AO, 41, FALSE)))))"),"pIZs1;")</f>
        <v>pIZs1;</v>
      </c>
      <c r="AP385" s="89"/>
    </row>
    <row r="386">
      <c r="A386" s="151" t="str">
        <f>IFERROR(__xludf.DUMMYFUNCTION("""COMPUTED_VALUE"""),"pIZdm")</f>
        <v>pIZdm</v>
      </c>
      <c r="B386" s="42" t="str">
        <f>IFERROR(__xludf.DUMMYFUNCTION("""COMPUTED_VALUE"""),"DHBA")</f>
        <v>DHBA</v>
      </c>
      <c r="C386" s="42" t="str">
        <f>IFERROR(__xludf.DUMMYFUNCTION("""COMPUTED_VALUE"""),"IZ in dorsomedial parietal cortex (area 7m)")</f>
        <v>IZ in dorsomedial parietal cortex (area 7m)</v>
      </c>
      <c r="D386" s="42">
        <f>IFERROR(__xludf.DUMMYFUNCTION("""COMPUTED_VALUE"""),352.0)</f>
        <v>352</v>
      </c>
      <c r="E386" s="39" t="str">
        <f>IFERROR(__xludf.DUMMYFUNCTION("""COMPUTED_VALUE"""),"IZ in dorsomedial parietal cortex (area 7m)")</f>
        <v>IZ in dorsomedial parietal cortex (area 7m)</v>
      </c>
      <c r="F386" s="9" t="str">
        <f>IFERROR(__xludf.DUMMYFUNCTION("""COMPUTED_VALUE"""),"Br")</f>
        <v>Br</v>
      </c>
      <c r="G386" s="9" t="str">
        <f>IFERROR(__xludf.DUMMYFUNCTION("""COMPUTED_VALUE"""),"F")</f>
        <v>F</v>
      </c>
      <c r="H386" s="9" t="str">
        <f>IFERROR(__xludf.DUMMYFUNCTION("""COMPUTED_VALUE"""),"FGM")</f>
        <v>FGM</v>
      </c>
      <c r="I386" s="9" t="str">
        <f>IFERROR(__xludf.DUMMYFUNCTION("""COMPUTED_VALUE"""),"FTS")</f>
        <v>FTS</v>
      </c>
      <c r="J386" s="9" t="str">
        <f>IFERROR(__xludf.DUMMYFUNCTION("""COMPUTED_VALUE"""),"IZ")</f>
        <v>IZ</v>
      </c>
      <c r="K386" s="9" t="str">
        <f>IFERROR(__xludf.DUMMYFUNCTION("""COMPUTED_VALUE"""),"pIZ")</f>
        <v>pIZ</v>
      </c>
      <c r="L386" s="9" t="str">
        <f>IFERROR(__xludf.DUMMYFUNCTION("""COMPUTED_VALUE"""),"pIZdm")</f>
        <v>pIZdm</v>
      </c>
      <c r="M386" s="9"/>
      <c r="N386" s="9"/>
      <c r="O386" s="9"/>
      <c r="P386" s="9"/>
      <c r="Q386" s="9"/>
      <c r="R386" s="9"/>
      <c r="S386" s="42"/>
      <c r="T386" s="42"/>
      <c r="U386" s="42"/>
      <c r="V386" s="42"/>
      <c r="W386" s="42"/>
      <c r="X386" s="42"/>
      <c r="Y386" s="42"/>
      <c r="Z386" s="42"/>
      <c r="AA386" s="42"/>
      <c r="AB386" s="42" t="str">
        <f>IFERROR(__xludf.DUMMYFUNCTION("""COMPUTED_VALUE"""),"allen institute")</f>
        <v>allen institute</v>
      </c>
      <c r="AC386" s="42" t="str">
        <f>IFERROR(__xludf.DUMMYFUNCTION("""COMPUTED_VALUE"""),"DHBA")</f>
        <v>DHBA</v>
      </c>
      <c r="AD386" s="42"/>
      <c r="AE386" s="42"/>
      <c r="AF386" s="9"/>
      <c r="AG386" s="9"/>
      <c r="AH386" s="42"/>
      <c r="AI386" s="42"/>
      <c r="AJ386" s="42"/>
      <c r="AK386" s="42"/>
      <c r="AL386" s="42"/>
      <c r="AM386" s="42"/>
      <c r="AN386" s="42"/>
      <c r="AO386" s="63" t="str">
        <f>IFERROR(__xludf.DUMMYFUNCTION("IF(ISBLANK(A386),,IF(ISBLANK(S386), A386&amp;"";"", TEXTJOIN(CHAR(10), TRUE, A386&amp;"";"", ARRAYFORMULA(VLOOKUP(SPLIT(S386, "";"" &amp; CHAR(10)), $A:$AO, 41, FALSE)))))"),"pIZdm;")</f>
        <v>pIZdm;</v>
      </c>
      <c r="AP386" s="89"/>
    </row>
    <row r="387">
      <c r="A387" s="151" t="str">
        <f>IFERROR(__xludf.DUMMYFUNCTION("""COMPUTED_VALUE"""),"pIZpd")</f>
        <v>pIZpd</v>
      </c>
      <c r="B387" s="42" t="str">
        <f>IFERROR(__xludf.DUMMYFUNCTION("""COMPUTED_VALUE"""),"DHBA")</f>
        <v>DHBA</v>
      </c>
      <c r="C387" s="42" t="str">
        <f>IFERROR(__xludf.DUMMYFUNCTION("""COMPUTED_VALUE"""),"IZ in posterosuperior (dorsal) parietal cortex")</f>
        <v>IZ in posterosuperior (dorsal) parietal cortex</v>
      </c>
      <c r="D387" s="42">
        <f>IFERROR(__xludf.DUMMYFUNCTION("""COMPUTED_VALUE"""),353.0)</f>
        <v>353</v>
      </c>
      <c r="E387" s="39" t="str">
        <f>IFERROR(__xludf.DUMMYFUNCTION("""COMPUTED_VALUE"""),"IZ in posterosuperior (dorsal) parietal cortex")</f>
        <v>IZ in posterosuperior (dorsal) parietal cortex</v>
      </c>
      <c r="F387" s="9" t="str">
        <f>IFERROR(__xludf.DUMMYFUNCTION("""COMPUTED_VALUE"""),"Br")</f>
        <v>Br</v>
      </c>
      <c r="G387" s="9" t="str">
        <f>IFERROR(__xludf.DUMMYFUNCTION("""COMPUTED_VALUE"""),"F")</f>
        <v>F</v>
      </c>
      <c r="H387" s="9" t="str">
        <f>IFERROR(__xludf.DUMMYFUNCTION("""COMPUTED_VALUE"""),"FGM")</f>
        <v>FGM</v>
      </c>
      <c r="I387" s="9" t="str">
        <f>IFERROR(__xludf.DUMMYFUNCTION("""COMPUTED_VALUE"""),"FTS")</f>
        <v>FTS</v>
      </c>
      <c r="J387" s="9" t="str">
        <f>IFERROR(__xludf.DUMMYFUNCTION("""COMPUTED_VALUE"""),"IZ")</f>
        <v>IZ</v>
      </c>
      <c r="K387" s="9" t="str">
        <f>IFERROR(__xludf.DUMMYFUNCTION("""COMPUTED_VALUE"""),"pIZ")</f>
        <v>pIZ</v>
      </c>
      <c r="L387" s="9" t="str">
        <f>IFERROR(__xludf.DUMMYFUNCTION("""COMPUTED_VALUE"""),"pIZpd")</f>
        <v>pIZpd</v>
      </c>
      <c r="M387" s="9"/>
      <c r="N387" s="9"/>
      <c r="O387" s="9"/>
      <c r="P387" s="9"/>
      <c r="Q387" s="9"/>
      <c r="R387" s="9"/>
      <c r="S387" s="42"/>
      <c r="T387" s="42"/>
      <c r="U387" s="42"/>
      <c r="V387" s="42"/>
      <c r="W387" s="42"/>
      <c r="X387" s="42"/>
      <c r="Y387" s="42"/>
      <c r="Z387" s="42"/>
      <c r="AA387" s="42"/>
      <c r="AB387" s="42" t="str">
        <f>IFERROR(__xludf.DUMMYFUNCTION("""COMPUTED_VALUE"""),"allen institute")</f>
        <v>allen institute</v>
      </c>
      <c r="AC387" s="42" t="str">
        <f>IFERROR(__xludf.DUMMYFUNCTION("""COMPUTED_VALUE"""),"DHBA")</f>
        <v>DHBA</v>
      </c>
      <c r="AD387" s="42"/>
      <c r="AE387" s="42"/>
      <c r="AF387" s="9"/>
      <c r="AG387" s="9"/>
      <c r="AH387" s="42"/>
      <c r="AI387" s="42"/>
      <c r="AJ387" s="42"/>
      <c r="AK387" s="42"/>
      <c r="AL387" s="42"/>
      <c r="AM387" s="42"/>
      <c r="AN387" s="42"/>
      <c r="AO387" s="63" t="str">
        <f>IFERROR(__xludf.DUMMYFUNCTION("IF(ISBLANK(A387),,IF(ISBLANK(S387), A387&amp;"";"", TEXTJOIN(CHAR(10), TRUE, A387&amp;"";"", ARRAYFORMULA(VLOOKUP(SPLIT(S387, "";"" &amp; CHAR(10)), $A:$AO, 41, FALSE)))))"),"pIZpd;")</f>
        <v>pIZpd;</v>
      </c>
      <c r="AP387" s="89"/>
    </row>
    <row r="388">
      <c r="A388" s="151" t="str">
        <f>IFERROR(__xludf.DUMMYFUNCTION("""COMPUTED_VALUE"""),"pIZpv")</f>
        <v>pIZpv</v>
      </c>
      <c r="B388" s="42" t="str">
        <f>IFERROR(__xludf.DUMMYFUNCTION("""COMPUTED_VALUE"""),"DHBA")</f>
        <v>DHBA</v>
      </c>
      <c r="C388" s="42" t="str">
        <f>IFERROR(__xludf.DUMMYFUNCTION("""COMPUTED_VALUE"""),"IZ in posteroinferior (ventral) parietal cortex")</f>
        <v>IZ in posteroinferior (ventral) parietal cortex</v>
      </c>
      <c r="D388" s="42">
        <f>IFERROR(__xludf.DUMMYFUNCTION("""COMPUTED_VALUE"""),354.0)</f>
        <v>354</v>
      </c>
      <c r="E388" s="39" t="str">
        <f>IFERROR(__xludf.DUMMYFUNCTION("""COMPUTED_VALUE"""),"IZ in posteroinferior (ventral) parietal cortex")</f>
        <v>IZ in posteroinferior (ventral) parietal cortex</v>
      </c>
      <c r="F388" s="9" t="str">
        <f>IFERROR(__xludf.DUMMYFUNCTION("""COMPUTED_VALUE"""),"Br")</f>
        <v>Br</v>
      </c>
      <c r="G388" s="9" t="str">
        <f>IFERROR(__xludf.DUMMYFUNCTION("""COMPUTED_VALUE"""),"F")</f>
        <v>F</v>
      </c>
      <c r="H388" s="9" t="str">
        <f>IFERROR(__xludf.DUMMYFUNCTION("""COMPUTED_VALUE"""),"FGM")</f>
        <v>FGM</v>
      </c>
      <c r="I388" s="9" t="str">
        <f>IFERROR(__xludf.DUMMYFUNCTION("""COMPUTED_VALUE"""),"FTS")</f>
        <v>FTS</v>
      </c>
      <c r="J388" s="9" t="str">
        <f>IFERROR(__xludf.DUMMYFUNCTION("""COMPUTED_VALUE"""),"IZ")</f>
        <v>IZ</v>
      </c>
      <c r="K388" s="9" t="str">
        <f>IFERROR(__xludf.DUMMYFUNCTION("""COMPUTED_VALUE"""),"pIZ")</f>
        <v>pIZ</v>
      </c>
      <c r="L388" s="9" t="str">
        <f>IFERROR(__xludf.DUMMYFUNCTION("""COMPUTED_VALUE"""),"pIZpv")</f>
        <v>pIZpv</v>
      </c>
      <c r="M388" s="9"/>
      <c r="N388" s="9"/>
      <c r="O388" s="9"/>
      <c r="P388" s="9"/>
      <c r="Q388" s="9"/>
      <c r="R388" s="9"/>
      <c r="S388" s="42"/>
      <c r="T388" s="42"/>
      <c r="U388" s="42"/>
      <c r="V388" s="42"/>
      <c r="W388" s="42"/>
      <c r="X388" s="42"/>
      <c r="Y388" s="42"/>
      <c r="Z388" s="42"/>
      <c r="AA388" s="42"/>
      <c r="AB388" s="42" t="str">
        <f>IFERROR(__xludf.DUMMYFUNCTION("""COMPUTED_VALUE"""),"allen institute")</f>
        <v>allen institute</v>
      </c>
      <c r="AC388" s="42" t="str">
        <f>IFERROR(__xludf.DUMMYFUNCTION("""COMPUTED_VALUE"""),"DHBA")</f>
        <v>DHBA</v>
      </c>
      <c r="AD388" s="42"/>
      <c r="AE388" s="42"/>
      <c r="AF388" s="9"/>
      <c r="AG388" s="9"/>
      <c r="AH388" s="42"/>
      <c r="AI388" s="42"/>
      <c r="AJ388" s="42"/>
      <c r="AK388" s="42"/>
      <c r="AL388" s="42"/>
      <c r="AM388" s="42"/>
      <c r="AN388" s="42"/>
      <c r="AO388" s="63" t="str">
        <f>IFERROR(__xludf.DUMMYFUNCTION("IF(ISBLANK(A388),,IF(ISBLANK(S388), A388&amp;"";"", TEXTJOIN(CHAR(10), TRUE, A388&amp;"";"", ARRAYFORMULA(VLOOKUP(SPLIT(S388, "";"" &amp; CHAR(10)), $A:$AO, 41, FALSE)))))"),"pIZpv;")</f>
        <v>pIZpv;</v>
      </c>
      <c r="AP388" s="89"/>
    </row>
    <row r="389">
      <c r="A389" s="151" t="str">
        <f>IFERROR(__xludf.DUMMYFUNCTION("""COMPUTED_VALUE"""),"tIZ")</f>
        <v>tIZ</v>
      </c>
      <c r="B389" s="42" t="str">
        <f>IFERROR(__xludf.DUMMYFUNCTION("""COMPUTED_VALUE"""),"DHBA")</f>
        <v>DHBA</v>
      </c>
      <c r="C389" s="42" t="str">
        <f>IFERROR(__xludf.DUMMYFUNCTION("""COMPUTED_VALUE"""),"IZ in temporal neocortex")</f>
        <v>IZ in temporal neocortex</v>
      </c>
      <c r="D389" s="42">
        <f>IFERROR(__xludf.DUMMYFUNCTION("""COMPUTED_VALUE"""),355.0)</f>
        <v>355</v>
      </c>
      <c r="E389" s="39" t="str">
        <f>IFERROR(__xludf.DUMMYFUNCTION("""COMPUTED_VALUE"""),"IZ in temporal neocortex")</f>
        <v>IZ in temporal neocortex</v>
      </c>
      <c r="F389" s="9" t="str">
        <f>IFERROR(__xludf.DUMMYFUNCTION("""COMPUTED_VALUE"""),"Br")</f>
        <v>Br</v>
      </c>
      <c r="G389" s="9" t="str">
        <f>IFERROR(__xludf.DUMMYFUNCTION("""COMPUTED_VALUE"""),"F")</f>
        <v>F</v>
      </c>
      <c r="H389" s="9" t="str">
        <f>IFERROR(__xludf.DUMMYFUNCTION("""COMPUTED_VALUE"""),"FGM")</f>
        <v>FGM</v>
      </c>
      <c r="I389" s="9" t="str">
        <f>IFERROR(__xludf.DUMMYFUNCTION("""COMPUTED_VALUE"""),"FTS")</f>
        <v>FTS</v>
      </c>
      <c r="J389" s="9" t="str">
        <f>IFERROR(__xludf.DUMMYFUNCTION("""COMPUTED_VALUE"""),"IZ")</f>
        <v>IZ</v>
      </c>
      <c r="K389" s="9" t="str">
        <f>IFERROR(__xludf.DUMMYFUNCTION("""COMPUTED_VALUE"""),"tIZ")</f>
        <v>tIZ</v>
      </c>
      <c r="L389" s="9"/>
      <c r="M389" s="9"/>
      <c r="N389" s="9"/>
      <c r="O389" s="9"/>
      <c r="P389" s="9"/>
      <c r="Q389" s="9"/>
      <c r="R389" s="9"/>
      <c r="S389" s="42" t="str">
        <f>IFERROR(__xludf.DUMMYFUNCTION("""COMPUTED_VALUE"""),"tIZdl;
tIZvl;
tIZph;
tIZmt;
tIZlt;
tIZtp")</f>
        <v>tIZdl;
tIZvl;
tIZph;
tIZmt;
tIZlt;
tIZtp</v>
      </c>
      <c r="T389" s="42"/>
      <c r="U389" s="42" t="b">
        <f>IFERROR(__xludf.DUMMYFUNCTION("""COMPUTED_VALUE"""),FALSE)</f>
        <v>0</v>
      </c>
      <c r="V389" s="42"/>
      <c r="W389" s="42"/>
      <c r="X389" s="42"/>
      <c r="Y389" s="42"/>
      <c r="Z389" s="42"/>
      <c r="AA389" s="42"/>
      <c r="AB389" s="42" t="str">
        <f>IFERROR(__xludf.DUMMYFUNCTION("""COMPUTED_VALUE"""),"allen institute")</f>
        <v>allen institute</v>
      </c>
      <c r="AC389" s="42" t="str">
        <f>IFERROR(__xludf.DUMMYFUNCTION("""COMPUTED_VALUE"""),"DHBA")</f>
        <v>DHBA</v>
      </c>
      <c r="AD389" s="42"/>
      <c r="AE389" s="42"/>
      <c r="AF389" s="9"/>
      <c r="AG389" s="9"/>
      <c r="AH389" s="42"/>
      <c r="AI389" s="42"/>
      <c r="AJ389" s="42"/>
      <c r="AK389" s="42"/>
      <c r="AL389" s="42"/>
      <c r="AM389" s="42"/>
      <c r="AN389" s="42"/>
      <c r="AO389" s="63" t="str">
        <f>IFERROR(__xludf.DUMMYFUNCTION("IF(ISBLANK(A389),,IF(ISBLANK(S389), A389&amp;"";"", TEXTJOIN(CHAR(10), TRUE, A389&amp;"";"", ARRAYFORMULA(VLOOKUP(SPLIT(S389, "";"" &amp; CHAR(10)), $A:$AO, 41, FALSE)))))"),"tIZ;
tIZdl;
tIZa1;
tIZsl;
tIZps;
tIZpi;
tIZvl;
tIZml;
tIZil;
tIZmi;
tIZ36;
tIZtf;
tIZph;
tIZmt;
tIZlt;
tIZtp;")</f>
        <v>tIZ;
tIZdl;
tIZa1;
tIZsl;
tIZps;
tIZpi;
tIZvl;
tIZml;
tIZil;
tIZmi;
tIZ36;
tIZtf;
tIZph;
tIZmt;
tIZlt;
tIZtp;</v>
      </c>
      <c r="AP389" s="89"/>
    </row>
    <row r="390">
      <c r="A390" s="151" t="str">
        <f>IFERROR(__xludf.DUMMYFUNCTION("""COMPUTED_VALUE"""),"tIZdl")</f>
        <v>tIZdl</v>
      </c>
      <c r="B390" s="42" t="str">
        <f>IFERROR(__xludf.DUMMYFUNCTION("""COMPUTED_VALUE"""),"DHBA")</f>
        <v>DHBA</v>
      </c>
      <c r="C390" s="42" t="str">
        <f>IFERROR(__xludf.DUMMYFUNCTION("""COMPUTED_VALUE"""),"IZ in dorsolateral temporal cortex")</f>
        <v>IZ in dorsolateral temporal cortex</v>
      </c>
      <c r="D390" s="42">
        <f>IFERROR(__xludf.DUMMYFUNCTION("""COMPUTED_VALUE"""),356.0)</f>
        <v>356</v>
      </c>
      <c r="E390" s="39" t="str">
        <f>IFERROR(__xludf.DUMMYFUNCTION("""COMPUTED_VALUE"""),"IZ in dorsolateral temporal cortex")</f>
        <v>IZ in dorsolateral temporal cortex</v>
      </c>
      <c r="F390" s="9" t="str">
        <f>IFERROR(__xludf.DUMMYFUNCTION("""COMPUTED_VALUE"""),"Br")</f>
        <v>Br</v>
      </c>
      <c r="G390" s="9" t="str">
        <f>IFERROR(__xludf.DUMMYFUNCTION("""COMPUTED_VALUE"""),"F")</f>
        <v>F</v>
      </c>
      <c r="H390" s="9" t="str">
        <f>IFERROR(__xludf.DUMMYFUNCTION("""COMPUTED_VALUE"""),"FGM")</f>
        <v>FGM</v>
      </c>
      <c r="I390" s="9" t="str">
        <f>IFERROR(__xludf.DUMMYFUNCTION("""COMPUTED_VALUE"""),"FTS")</f>
        <v>FTS</v>
      </c>
      <c r="J390" s="9" t="str">
        <f>IFERROR(__xludf.DUMMYFUNCTION("""COMPUTED_VALUE"""),"IZ")</f>
        <v>IZ</v>
      </c>
      <c r="K390" s="9" t="str">
        <f>IFERROR(__xludf.DUMMYFUNCTION("""COMPUTED_VALUE"""),"tIZ")</f>
        <v>tIZ</v>
      </c>
      <c r="L390" s="9" t="str">
        <f>IFERROR(__xludf.DUMMYFUNCTION("""COMPUTED_VALUE"""),"tIZdl")</f>
        <v>tIZdl</v>
      </c>
      <c r="M390" s="9"/>
      <c r="N390" s="9"/>
      <c r="O390" s="9"/>
      <c r="P390" s="9"/>
      <c r="Q390" s="9"/>
      <c r="R390" s="9"/>
      <c r="S390" s="42" t="str">
        <f>IFERROR(__xludf.DUMMYFUNCTION("""COMPUTED_VALUE"""),"tIZa1;
tIZsl;
tIZps;
tIZpi")</f>
        <v>tIZa1;
tIZsl;
tIZps;
tIZpi</v>
      </c>
      <c r="T390" s="42"/>
      <c r="U390" s="42" t="b">
        <f>IFERROR(__xludf.DUMMYFUNCTION("""COMPUTED_VALUE"""),FALSE)</f>
        <v>0</v>
      </c>
      <c r="V390" s="42"/>
      <c r="W390" s="42"/>
      <c r="X390" s="42"/>
      <c r="Y390" s="42"/>
      <c r="Z390" s="42"/>
      <c r="AA390" s="42"/>
      <c r="AB390" s="42" t="str">
        <f>IFERROR(__xludf.DUMMYFUNCTION("""COMPUTED_VALUE"""),"allen institute")</f>
        <v>allen institute</v>
      </c>
      <c r="AC390" s="42" t="str">
        <f>IFERROR(__xludf.DUMMYFUNCTION("""COMPUTED_VALUE"""),"DHBA")</f>
        <v>DHBA</v>
      </c>
      <c r="AD390" s="42"/>
      <c r="AE390" s="42"/>
      <c r="AF390" s="9"/>
      <c r="AG390" s="9"/>
      <c r="AH390" s="42"/>
      <c r="AI390" s="42"/>
      <c r="AJ390" s="42"/>
      <c r="AK390" s="42"/>
      <c r="AL390" s="42"/>
      <c r="AM390" s="42"/>
      <c r="AN390" s="42"/>
      <c r="AO390" s="63" t="str">
        <f>IFERROR(__xludf.DUMMYFUNCTION("IF(ISBLANK(A390),,IF(ISBLANK(S390), A390&amp;"";"", TEXTJOIN(CHAR(10), TRUE, A390&amp;"";"", ARRAYFORMULA(VLOOKUP(SPLIT(S390, "";"" &amp; CHAR(10)), $A:$AO, 41, FALSE)))))"),"tIZdl;
tIZa1;
tIZsl;
tIZps;
tIZpi;")</f>
        <v>tIZdl;
tIZa1;
tIZsl;
tIZps;
tIZpi;</v>
      </c>
      <c r="AP390" s="89"/>
    </row>
    <row r="391">
      <c r="A391" s="151" t="str">
        <f>IFERROR(__xludf.DUMMYFUNCTION("""COMPUTED_VALUE"""),"tIZa1")</f>
        <v>tIZa1</v>
      </c>
      <c r="B391" s="42" t="str">
        <f>IFERROR(__xludf.DUMMYFUNCTION("""COMPUTED_VALUE"""),"DHBA")</f>
        <v>DHBA</v>
      </c>
      <c r="C391" s="42" t="str">
        <f>IFERROR(__xludf.DUMMYFUNCTION("""COMPUTED_VALUE"""),"IZ in primary auditory cortex")</f>
        <v>IZ in primary auditory cortex</v>
      </c>
      <c r="D391" s="42">
        <f>IFERROR(__xludf.DUMMYFUNCTION("""COMPUTED_VALUE"""),357.0)</f>
        <v>357</v>
      </c>
      <c r="E391" s="39" t="str">
        <f>IFERROR(__xludf.DUMMYFUNCTION("""COMPUTED_VALUE"""),"IZ in primary auditory cortex")</f>
        <v>IZ in primary auditory cortex</v>
      </c>
      <c r="F391" s="9" t="str">
        <f>IFERROR(__xludf.DUMMYFUNCTION("""COMPUTED_VALUE"""),"Br")</f>
        <v>Br</v>
      </c>
      <c r="G391" s="9" t="str">
        <f>IFERROR(__xludf.DUMMYFUNCTION("""COMPUTED_VALUE"""),"F")</f>
        <v>F</v>
      </c>
      <c r="H391" s="9" t="str">
        <f>IFERROR(__xludf.DUMMYFUNCTION("""COMPUTED_VALUE"""),"FGM")</f>
        <v>FGM</v>
      </c>
      <c r="I391" s="9" t="str">
        <f>IFERROR(__xludf.DUMMYFUNCTION("""COMPUTED_VALUE"""),"FTS")</f>
        <v>FTS</v>
      </c>
      <c r="J391" s="9" t="str">
        <f>IFERROR(__xludf.DUMMYFUNCTION("""COMPUTED_VALUE"""),"IZ")</f>
        <v>IZ</v>
      </c>
      <c r="K391" s="9" t="str">
        <f>IFERROR(__xludf.DUMMYFUNCTION("""COMPUTED_VALUE"""),"tIZ")</f>
        <v>tIZ</v>
      </c>
      <c r="L391" s="9" t="str">
        <f>IFERROR(__xludf.DUMMYFUNCTION("""COMPUTED_VALUE"""),"tIZdl")</f>
        <v>tIZdl</v>
      </c>
      <c r="M391" s="9" t="str">
        <f>IFERROR(__xludf.DUMMYFUNCTION("""COMPUTED_VALUE"""),"tIZa1")</f>
        <v>tIZa1</v>
      </c>
      <c r="N391" s="9"/>
      <c r="O391" s="9"/>
      <c r="P391" s="9"/>
      <c r="Q391" s="9"/>
      <c r="R391" s="9"/>
      <c r="S391" s="42"/>
      <c r="T391" s="42"/>
      <c r="U391" s="42"/>
      <c r="V391" s="42"/>
      <c r="W391" s="42"/>
      <c r="X391" s="42"/>
      <c r="Y391" s="42"/>
      <c r="Z391" s="42"/>
      <c r="AA391" s="42"/>
      <c r="AB391" s="42" t="str">
        <f>IFERROR(__xludf.DUMMYFUNCTION("""COMPUTED_VALUE"""),"allen institute")</f>
        <v>allen institute</v>
      </c>
      <c r="AC391" s="42" t="str">
        <f>IFERROR(__xludf.DUMMYFUNCTION("""COMPUTED_VALUE"""),"DHBA")</f>
        <v>DHBA</v>
      </c>
      <c r="AD391" s="42"/>
      <c r="AE391" s="42"/>
      <c r="AF391" s="9"/>
      <c r="AG391" s="9"/>
      <c r="AH391" s="42"/>
      <c r="AI391" s="42"/>
      <c r="AJ391" s="42"/>
      <c r="AK391" s="42"/>
      <c r="AL391" s="42"/>
      <c r="AM391" s="42"/>
      <c r="AN391" s="42"/>
      <c r="AO391" s="63" t="str">
        <f>IFERROR(__xludf.DUMMYFUNCTION("IF(ISBLANK(A391),,IF(ISBLANK(S391), A391&amp;"";"", TEXTJOIN(CHAR(10), TRUE, A391&amp;"";"", ARRAYFORMULA(VLOOKUP(SPLIT(S391, "";"" &amp; CHAR(10)), $A:$AO, 41, FALSE)))))"),"tIZa1;")</f>
        <v>tIZa1;</v>
      </c>
      <c r="AP391" s="89"/>
    </row>
    <row r="392">
      <c r="A392" s="151" t="str">
        <f>IFERROR(__xludf.DUMMYFUNCTION("""COMPUTED_VALUE"""),"tIZsl")</f>
        <v>tIZsl</v>
      </c>
      <c r="B392" s="42" t="str">
        <f>IFERROR(__xludf.DUMMYFUNCTION("""COMPUTED_VALUE"""),"DHBA")</f>
        <v>DHBA</v>
      </c>
      <c r="C392" s="42" t="str">
        <f>IFERROR(__xludf.DUMMYFUNCTION("""COMPUTED_VALUE"""),"IZ in superolateral temporal cortex")</f>
        <v>IZ in superolateral temporal cortex</v>
      </c>
      <c r="D392" s="42">
        <f>IFERROR(__xludf.DUMMYFUNCTION("""COMPUTED_VALUE"""),358.0)</f>
        <v>358</v>
      </c>
      <c r="E392" s="39" t="str">
        <f>IFERROR(__xludf.DUMMYFUNCTION("""COMPUTED_VALUE"""),"IZ in superolateral temporal cortex")</f>
        <v>IZ in superolateral temporal cortex</v>
      </c>
      <c r="F392" s="9" t="str">
        <f>IFERROR(__xludf.DUMMYFUNCTION("""COMPUTED_VALUE"""),"Br")</f>
        <v>Br</v>
      </c>
      <c r="G392" s="9" t="str">
        <f>IFERROR(__xludf.DUMMYFUNCTION("""COMPUTED_VALUE"""),"F")</f>
        <v>F</v>
      </c>
      <c r="H392" s="9" t="str">
        <f>IFERROR(__xludf.DUMMYFUNCTION("""COMPUTED_VALUE"""),"FGM")</f>
        <v>FGM</v>
      </c>
      <c r="I392" s="9" t="str">
        <f>IFERROR(__xludf.DUMMYFUNCTION("""COMPUTED_VALUE"""),"FTS")</f>
        <v>FTS</v>
      </c>
      <c r="J392" s="9" t="str">
        <f>IFERROR(__xludf.DUMMYFUNCTION("""COMPUTED_VALUE"""),"IZ")</f>
        <v>IZ</v>
      </c>
      <c r="K392" s="9" t="str">
        <f>IFERROR(__xludf.DUMMYFUNCTION("""COMPUTED_VALUE"""),"tIZ")</f>
        <v>tIZ</v>
      </c>
      <c r="L392" s="9" t="str">
        <f>IFERROR(__xludf.DUMMYFUNCTION("""COMPUTED_VALUE"""),"tIZdl")</f>
        <v>tIZdl</v>
      </c>
      <c r="M392" s="9" t="str">
        <f>IFERROR(__xludf.DUMMYFUNCTION("""COMPUTED_VALUE"""),"tIZsl")</f>
        <v>tIZsl</v>
      </c>
      <c r="N392" s="9"/>
      <c r="O392" s="9"/>
      <c r="P392" s="9"/>
      <c r="Q392" s="9"/>
      <c r="R392" s="9"/>
      <c r="S392" s="42"/>
      <c r="T392" s="42"/>
      <c r="U392" s="42"/>
      <c r="V392" s="42"/>
      <c r="W392" s="42"/>
      <c r="X392" s="42"/>
      <c r="Y392" s="42"/>
      <c r="Z392" s="42"/>
      <c r="AA392" s="42"/>
      <c r="AB392" s="42" t="str">
        <f>IFERROR(__xludf.DUMMYFUNCTION("""COMPUTED_VALUE"""),"allen institute")</f>
        <v>allen institute</v>
      </c>
      <c r="AC392" s="42" t="str">
        <f>IFERROR(__xludf.DUMMYFUNCTION("""COMPUTED_VALUE"""),"DHBA")</f>
        <v>DHBA</v>
      </c>
      <c r="AD392" s="42"/>
      <c r="AE392" s="42"/>
      <c r="AF392" s="9"/>
      <c r="AG392" s="9"/>
      <c r="AH392" s="42"/>
      <c r="AI392" s="42"/>
      <c r="AJ392" s="42"/>
      <c r="AK392" s="42"/>
      <c r="AL392" s="42"/>
      <c r="AM392" s="42"/>
      <c r="AN392" s="42"/>
      <c r="AO392" s="63" t="str">
        <f>IFERROR(__xludf.DUMMYFUNCTION("IF(ISBLANK(A392),,IF(ISBLANK(S392), A392&amp;"";"", TEXTJOIN(CHAR(10), TRUE, A392&amp;"";"", ARRAYFORMULA(VLOOKUP(SPLIT(S392, "";"" &amp; CHAR(10)), $A:$AO, 41, FALSE)))))"),"tIZsl;")</f>
        <v>tIZsl;</v>
      </c>
      <c r="AP392" s="89"/>
    </row>
    <row r="393">
      <c r="A393" s="151" t="str">
        <f>IFERROR(__xludf.DUMMYFUNCTION("""COMPUTED_VALUE"""),"tIZps")</f>
        <v>tIZps</v>
      </c>
      <c r="B393" s="42" t="str">
        <f>IFERROR(__xludf.DUMMYFUNCTION("""COMPUTED_VALUE"""),"DHBA")</f>
        <v>DHBA</v>
      </c>
      <c r="C393" s="42" t="str">
        <f>IFERROR(__xludf.DUMMYFUNCTION("""COMPUTED_VALUE"""),"IZ in polysensory temporal cortex")</f>
        <v>IZ in polysensory temporal cortex</v>
      </c>
      <c r="D393" s="42">
        <f>IFERROR(__xludf.DUMMYFUNCTION("""COMPUTED_VALUE"""),359.0)</f>
        <v>359</v>
      </c>
      <c r="E393" s="39" t="str">
        <f>IFERROR(__xludf.DUMMYFUNCTION("""COMPUTED_VALUE"""),"IZ in polysensory temporal cortex")</f>
        <v>IZ in polysensory temporal cortex</v>
      </c>
      <c r="F393" s="9" t="str">
        <f>IFERROR(__xludf.DUMMYFUNCTION("""COMPUTED_VALUE"""),"Br")</f>
        <v>Br</v>
      </c>
      <c r="G393" s="9" t="str">
        <f>IFERROR(__xludf.DUMMYFUNCTION("""COMPUTED_VALUE"""),"F")</f>
        <v>F</v>
      </c>
      <c r="H393" s="9" t="str">
        <f>IFERROR(__xludf.DUMMYFUNCTION("""COMPUTED_VALUE"""),"FGM")</f>
        <v>FGM</v>
      </c>
      <c r="I393" s="9" t="str">
        <f>IFERROR(__xludf.DUMMYFUNCTION("""COMPUTED_VALUE"""),"FTS")</f>
        <v>FTS</v>
      </c>
      <c r="J393" s="9" t="str">
        <f>IFERROR(__xludf.DUMMYFUNCTION("""COMPUTED_VALUE"""),"IZ")</f>
        <v>IZ</v>
      </c>
      <c r="K393" s="9" t="str">
        <f>IFERROR(__xludf.DUMMYFUNCTION("""COMPUTED_VALUE"""),"tIZ")</f>
        <v>tIZ</v>
      </c>
      <c r="L393" s="9" t="str">
        <f>IFERROR(__xludf.DUMMYFUNCTION("""COMPUTED_VALUE"""),"tIZdl")</f>
        <v>tIZdl</v>
      </c>
      <c r="M393" s="9" t="str">
        <f>IFERROR(__xludf.DUMMYFUNCTION("""COMPUTED_VALUE"""),"tIZps")</f>
        <v>tIZps</v>
      </c>
      <c r="N393" s="9"/>
      <c r="O393" s="9"/>
      <c r="P393" s="9"/>
      <c r="Q393" s="9"/>
      <c r="R393" s="9"/>
      <c r="S393" s="42"/>
      <c r="T393" s="42"/>
      <c r="U393" s="42"/>
      <c r="V393" s="42"/>
      <c r="W393" s="42"/>
      <c r="X393" s="42"/>
      <c r="Y393" s="42"/>
      <c r="Z393" s="42"/>
      <c r="AA393" s="42"/>
      <c r="AB393" s="42" t="str">
        <f>IFERROR(__xludf.DUMMYFUNCTION("""COMPUTED_VALUE"""),"allen institute")</f>
        <v>allen institute</v>
      </c>
      <c r="AC393" s="42" t="str">
        <f>IFERROR(__xludf.DUMMYFUNCTION("""COMPUTED_VALUE"""),"DHBA")</f>
        <v>DHBA</v>
      </c>
      <c r="AD393" s="42"/>
      <c r="AE393" s="42"/>
      <c r="AF393" s="9"/>
      <c r="AG393" s="9"/>
      <c r="AH393" s="42"/>
      <c r="AI393" s="42"/>
      <c r="AJ393" s="42"/>
      <c r="AK393" s="42"/>
      <c r="AL393" s="42"/>
      <c r="AM393" s="42"/>
      <c r="AN393" s="42"/>
      <c r="AO393" s="63" t="str">
        <f>IFERROR(__xludf.DUMMYFUNCTION("IF(ISBLANK(A393),,IF(ISBLANK(S393), A393&amp;"";"", TEXTJOIN(CHAR(10), TRUE, A393&amp;"";"", ARRAYFORMULA(VLOOKUP(SPLIT(S393, "";"" &amp; CHAR(10)), $A:$AO, 41, FALSE)))))"),"tIZps;")</f>
        <v>tIZps;</v>
      </c>
      <c r="AP393" s="89"/>
    </row>
    <row r="394">
      <c r="A394" s="151" t="str">
        <f>IFERROR(__xludf.DUMMYFUNCTION("""COMPUTED_VALUE"""),"tIZpi")</f>
        <v>tIZpi</v>
      </c>
      <c r="B394" s="42" t="str">
        <f>IFERROR(__xludf.DUMMYFUNCTION("""COMPUTED_VALUE"""),"DHBA")</f>
        <v>DHBA</v>
      </c>
      <c r="C394" s="42" t="str">
        <f>IFERROR(__xludf.DUMMYFUNCTION("""COMPUTED_VALUE"""),"IZ in parainsular temporal cortex")</f>
        <v>IZ in parainsular temporal cortex</v>
      </c>
      <c r="D394" s="42">
        <f>IFERROR(__xludf.DUMMYFUNCTION("""COMPUTED_VALUE"""),360.0)</f>
        <v>360</v>
      </c>
      <c r="E394" s="39" t="str">
        <f>IFERROR(__xludf.DUMMYFUNCTION("""COMPUTED_VALUE"""),"IZ in parainsular temporal cortex")</f>
        <v>IZ in parainsular temporal cortex</v>
      </c>
      <c r="F394" s="9" t="str">
        <f>IFERROR(__xludf.DUMMYFUNCTION("""COMPUTED_VALUE"""),"Br")</f>
        <v>Br</v>
      </c>
      <c r="G394" s="9" t="str">
        <f>IFERROR(__xludf.DUMMYFUNCTION("""COMPUTED_VALUE"""),"F")</f>
        <v>F</v>
      </c>
      <c r="H394" s="9" t="str">
        <f>IFERROR(__xludf.DUMMYFUNCTION("""COMPUTED_VALUE"""),"FGM")</f>
        <v>FGM</v>
      </c>
      <c r="I394" s="9" t="str">
        <f>IFERROR(__xludf.DUMMYFUNCTION("""COMPUTED_VALUE"""),"FTS")</f>
        <v>FTS</v>
      </c>
      <c r="J394" s="9" t="str">
        <f>IFERROR(__xludf.DUMMYFUNCTION("""COMPUTED_VALUE"""),"IZ")</f>
        <v>IZ</v>
      </c>
      <c r="K394" s="9" t="str">
        <f>IFERROR(__xludf.DUMMYFUNCTION("""COMPUTED_VALUE"""),"tIZ")</f>
        <v>tIZ</v>
      </c>
      <c r="L394" s="9" t="str">
        <f>IFERROR(__xludf.DUMMYFUNCTION("""COMPUTED_VALUE"""),"tIZdl")</f>
        <v>tIZdl</v>
      </c>
      <c r="M394" s="9" t="str">
        <f>IFERROR(__xludf.DUMMYFUNCTION("""COMPUTED_VALUE"""),"tIZpi")</f>
        <v>tIZpi</v>
      </c>
      <c r="N394" s="9"/>
      <c r="O394" s="9"/>
      <c r="P394" s="9"/>
      <c r="Q394" s="9"/>
      <c r="R394" s="9"/>
      <c r="S394" s="42"/>
      <c r="T394" s="42"/>
      <c r="U394" s="42"/>
      <c r="V394" s="42"/>
      <c r="W394" s="42"/>
      <c r="X394" s="42"/>
      <c r="Y394" s="42"/>
      <c r="Z394" s="42"/>
      <c r="AA394" s="42"/>
      <c r="AB394" s="42" t="str">
        <f>IFERROR(__xludf.DUMMYFUNCTION("""COMPUTED_VALUE"""),"allen institute")</f>
        <v>allen institute</v>
      </c>
      <c r="AC394" s="42" t="str">
        <f>IFERROR(__xludf.DUMMYFUNCTION("""COMPUTED_VALUE"""),"DHBA")</f>
        <v>DHBA</v>
      </c>
      <c r="AD394" s="42"/>
      <c r="AE394" s="42"/>
      <c r="AF394" s="9"/>
      <c r="AG394" s="9"/>
      <c r="AH394" s="42"/>
      <c r="AI394" s="42"/>
      <c r="AJ394" s="42"/>
      <c r="AK394" s="42"/>
      <c r="AL394" s="42"/>
      <c r="AM394" s="42"/>
      <c r="AN394" s="42"/>
      <c r="AO394" s="63" t="str">
        <f>IFERROR(__xludf.DUMMYFUNCTION("IF(ISBLANK(A394),,IF(ISBLANK(S394), A394&amp;"";"", TEXTJOIN(CHAR(10), TRUE, A394&amp;"";"", ARRAYFORMULA(VLOOKUP(SPLIT(S394, "";"" &amp; CHAR(10)), $A:$AO, 41, FALSE)))))"),"tIZpi;")</f>
        <v>tIZpi;</v>
      </c>
      <c r="AP394" s="89"/>
    </row>
    <row r="395">
      <c r="A395" s="151" t="str">
        <f>IFERROR(__xludf.DUMMYFUNCTION("""COMPUTED_VALUE"""),"tIZvl")</f>
        <v>tIZvl</v>
      </c>
      <c r="B395" s="42" t="str">
        <f>IFERROR(__xludf.DUMMYFUNCTION("""COMPUTED_VALUE"""),"DHBA")</f>
        <v>DHBA</v>
      </c>
      <c r="C395" s="42" t="str">
        <f>IFERROR(__xludf.DUMMYFUNCTION("""COMPUTED_VALUE"""),"IZ in ventrolateral temporal cortex")</f>
        <v>IZ in ventrolateral temporal cortex</v>
      </c>
      <c r="D395" s="42">
        <f>IFERROR(__xludf.DUMMYFUNCTION("""COMPUTED_VALUE"""),361.0)</f>
        <v>361</v>
      </c>
      <c r="E395" s="39" t="str">
        <f>IFERROR(__xludf.DUMMYFUNCTION("""COMPUTED_VALUE"""),"IZ in ventrolateral temporal cortex")</f>
        <v>IZ in ventrolateral temporal cortex</v>
      </c>
      <c r="F395" s="9" t="str">
        <f>IFERROR(__xludf.DUMMYFUNCTION("""COMPUTED_VALUE"""),"Br")</f>
        <v>Br</v>
      </c>
      <c r="G395" s="9" t="str">
        <f>IFERROR(__xludf.DUMMYFUNCTION("""COMPUTED_VALUE"""),"F")</f>
        <v>F</v>
      </c>
      <c r="H395" s="9" t="str">
        <f>IFERROR(__xludf.DUMMYFUNCTION("""COMPUTED_VALUE"""),"FGM")</f>
        <v>FGM</v>
      </c>
      <c r="I395" s="9" t="str">
        <f>IFERROR(__xludf.DUMMYFUNCTION("""COMPUTED_VALUE"""),"FTS")</f>
        <v>FTS</v>
      </c>
      <c r="J395" s="9" t="str">
        <f>IFERROR(__xludf.DUMMYFUNCTION("""COMPUTED_VALUE"""),"IZ")</f>
        <v>IZ</v>
      </c>
      <c r="K395" s="9" t="str">
        <f>IFERROR(__xludf.DUMMYFUNCTION("""COMPUTED_VALUE"""),"tIZ")</f>
        <v>tIZ</v>
      </c>
      <c r="L395" s="9" t="str">
        <f>IFERROR(__xludf.DUMMYFUNCTION("""COMPUTED_VALUE"""),"tIZvl")</f>
        <v>tIZvl</v>
      </c>
      <c r="M395" s="9"/>
      <c r="N395" s="9"/>
      <c r="O395" s="9"/>
      <c r="P395" s="9"/>
      <c r="Q395" s="9"/>
      <c r="R395" s="9"/>
      <c r="S395" s="42" t="str">
        <f>IFERROR(__xludf.DUMMYFUNCTION("""COMPUTED_VALUE"""),"tIZml;
tIZil;
tIZmi")</f>
        <v>tIZml;
tIZil;
tIZmi</v>
      </c>
      <c r="T395" s="42"/>
      <c r="U395" s="42" t="b">
        <f>IFERROR(__xludf.DUMMYFUNCTION("""COMPUTED_VALUE"""),FALSE)</f>
        <v>0</v>
      </c>
      <c r="V395" s="42"/>
      <c r="W395" s="42"/>
      <c r="X395" s="42"/>
      <c r="Y395" s="42"/>
      <c r="Z395" s="42"/>
      <c r="AA395" s="42"/>
      <c r="AB395" s="42" t="str">
        <f>IFERROR(__xludf.DUMMYFUNCTION("""COMPUTED_VALUE"""),"allen institute")</f>
        <v>allen institute</v>
      </c>
      <c r="AC395" s="42" t="str">
        <f>IFERROR(__xludf.DUMMYFUNCTION("""COMPUTED_VALUE"""),"DHBA")</f>
        <v>DHBA</v>
      </c>
      <c r="AD395" s="42"/>
      <c r="AE395" s="42"/>
      <c r="AF395" s="9"/>
      <c r="AG395" s="9"/>
      <c r="AH395" s="42"/>
      <c r="AI395" s="42"/>
      <c r="AJ395" s="42"/>
      <c r="AK395" s="42"/>
      <c r="AL395" s="42"/>
      <c r="AM395" s="42"/>
      <c r="AN395" s="42"/>
      <c r="AO395" s="63" t="str">
        <f>IFERROR(__xludf.DUMMYFUNCTION("IF(ISBLANK(A395),,IF(ISBLANK(S395), A395&amp;"";"", TEXTJOIN(CHAR(10), TRUE, A395&amp;"";"", ARRAYFORMULA(VLOOKUP(SPLIT(S395, "";"" &amp; CHAR(10)), $A:$AO, 41, FALSE)))))"),"tIZvl;
tIZml;
tIZil;
tIZmi;
tIZ36;
tIZtf;")</f>
        <v>tIZvl;
tIZml;
tIZil;
tIZmi;
tIZ36;
tIZtf;</v>
      </c>
      <c r="AP395" s="89"/>
    </row>
    <row r="396">
      <c r="A396" s="151" t="str">
        <f>IFERROR(__xludf.DUMMYFUNCTION("""COMPUTED_VALUE"""),"tIZml")</f>
        <v>tIZml</v>
      </c>
      <c r="B396" s="42" t="str">
        <f>IFERROR(__xludf.DUMMYFUNCTION("""COMPUTED_VALUE"""),"DHBA")</f>
        <v>DHBA</v>
      </c>
      <c r="C396" s="42" t="str">
        <f>IFERROR(__xludf.DUMMYFUNCTION("""COMPUTED_VALUE"""),"IZ in midlateral temporal cortex")</f>
        <v>IZ in midlateral temporal cortex</v>
      </c>
      <c r="D396" s="42">
        <f>IFERROR(__xludf.DUMMYFUNCTION("""COMPUTED_VALUE"""),362.0)</f>
        <v>362</v>
      </c>
      <c r="E396" s="39" t="str">
        <f>IFERROR(__xludf.DUMMYFUNCTION("""COMPUTED_VALUE"""),"IZ in midlateral temporal cortex")</f>
        <v>IZ in midlateral temporal cortex</v>
      </c>
      <c r="F396" s="9" t="str">
        <f>IFERROR(__xludf.DUMMYFUNCTION("""COMPUTED_VALUE"""),"Br")</f>
        <v>Br</v>
      </c>
      <c r="G396" s="9" t="str">
        <f>IFERROR(__xludf.DUMMYFUNCTION("""COMPUTED_VALUE"""),"F")</f>
        <v>F</v>
      </c>
      <c r="H396" s="9" t="str">
        <f>IFERROR(__xludf.DUMMYFUNCTION("""COMPUTED_VALUE"""),"FGM")</f>
        <v>FGM</v>
      </c>
      <c r="I396" s="9" t="str">
        <f>IFERROR(__xludf.DUMMYFUNCTION("""COMPUTED_VALUE"""),"FTS")</f>
        <v>FTS</v>
      </c>
      <c r="J396" s="9" t="str">
        <f>IFERROR(__xludf.DUMMYFUNCTION("""COMPUTED_VALUE"""),"IZ")</f>
        <v>IZ</v>
      </c>
      <c r="K396" s="9" t="str">
        <f>IFERROR(__xludf.DUMMYFUNCTION("""COMPUTED_VALUE"""),"tIZ")</f>
        <v>tIZ</v>
      </c>
      <c r="L396" s="9" t="str">
        <f>IFERROR(__xludf.DUMMYFUNCTION("""COMPUTED_VALUE"""),"tIZvl")</f>
        <v>tIZvl</v>
      </c>
      <c r="M396" s="9" t="str">
        <f>IFERROR(__xludf.DUMMYFUNCTION("""COMPUTED_VALUE"""),"tIZml")</f>
        <v>tIZml</v>
      </c>
      <c r="N396" s="9"/>
      <c r="O396" s="9"/>
      <c r="P396" s="9"/>
      <c r="Q396" s="9"/>
      <c r="R396" s="9"/>
      <c r="S396" s="42"/>
      <c r="T396" s="42"/>
      <c r="U396" s="42"/>
      <c r="V396" s="42"/>
      <c r="W396" s="42"/>
      <c r="X396" s="42"/>
      <c r="Y396" s="42"/>
      <c r="Z396" s="42"/>
      <c r="AA396" s="42"/>
      <c r="AB396" s="42" t="str">
        <f>IFERROR(__xludf.DUMMYFUNCTION("""COMPUTED_VALUE"""),"allen institute")</f>
        <v>allen institute</v>
      </c>
      <c r="AC396" s="42" t="str">
        <f>IFERROR(__xludf.DUMMYFUNCTION("""COMPUTED_VALUE"""),"DHBA")</f>
        <v>DHBA</v>
      </c>
      <c r="AD396" s="42"/>
      <c r="AE396" s="42"/>
      <c r="AF396" s="9"/>
      <c r="AG396" s="9"/>
      <c r="AH396" s="42"/>
      <c r="AI396" s="42"/>
      <c r="AJ396" s="42"/>
      <c r="AK396" s="42"/>
      <c r="AL396" s="42"/>
      <c r="AM396" s="42"/>
      <c r="AN396" s="42"/>
      <c r="AO396" s="63" t="str">
        <f>IFERROR(__xludf.DUMMYFUNCTION("IF(ISBLANK(A396),,IF(ISBLANK(S396), A396&amp;"";"", TEXTJOIN(CHAR(10), TRUE, A396&amp;"";"", ARRAYFORMULA(VLOOKUP(SPLIT(S396, "";"" &amp; CHAR(10)), $A:$AO, 41, FALSE)))))"),"tIZml;")</f>
        <v>tIZml;</v>
      </c>
      <c r="AP396" s="89"/>
    </row>
    <row r="397">
      <c r="A397" s="151" t="str">
        <f>IFERROR(__xludf.DUMMYFUNCTION("""COMPUTED_VALUE"""),"tIZil")</f>
        <v>tIZil</v>
      </c>
      <c r="B397" s="42" t="str">
        <f>IFERROR(__xludf.DUMMYFUNCTION("""COMPUTED_VALUE"""),"DHBA")</f>
        <v>DHBA</v>
      </c>
      <c r="C397" s="42" t="str">
        <f>IFERROR(__xludf.DUMMYFUNCTION("""COMPUTED_VALUE"""),"IZ in inferolateral temporal cortex")</f>
        <v>IZ in inferolateral temporal cortex</v>
      </c>
      <c r="D397" s="42">
        <f>IFERROR(__xludf.DUMMYFUNCTION("""COMPUTED_VALUE"""),363.0)</f>
        <v>363</v>
      </c>
      <c r="E397" s="39" t="str">
        <f>IFERROR(__xludf.DUMMYFUNCTION("""COMPUTED_VALUE"""),"IZ in inferolateral temporal cortex")</f>
        <v>IZ in inferolateral temporal cortex</v>
      </c>
      <c r="F397" s="9" t="str">
        <f>IFERROR(__xludf.DUMMYFUNCTION("""COMPUTED_VALUE"""),"Br")</f>
        <v>Br</v>
      </c>
      <c r="G397" s="9" t="str">
        <f>IFERROR(__xludf.DUMMYFUNCTION("""COMPUTED_VALUE"""),"F")</f>
        <v>F</v>
      </c>
      <c r="H397" s="9" t="str">
        <f>IFERROR(__xludf.DUMMYFUNCTION("""COMPUTED_VALUE"""),"FGM")</f>
        <v>FGM</v>
      </c>
      <c r="I397" s="9" t="str">
        <f>IFERROR(__xludf.DUMMYFUNCTION("""COMPUTED_VALUE"""),"FTS")</f>
        <v>FTS</v>
      </c>
      <c r="J397" s="9" t="str">
        <f>IFERROR(__xludf.DUMMYFUNCTION("""COMPUTED_VALUE"""),"IZ")</f>
        <v>IZ</v>
      </c>
      <c r="K397" s="9" t="str">
        <f>IFERROR(__xludf.DUMMYFUNCTION("""COMPUTED_VALUE"""),"tIZ")</f>
        <v>tIZ</v>
      </c>
      <c r="L397" s="9" t="str">
        <f>IFERROR(__xludf.DUMMYFUNCTION("""COMPUTED_VALUE"""),"tIZvl")</f>
        <v>tIZvl</v>
      </c>
      <c r="M397" s="9" t="str">
        <f>IFERROR(__xludf.DUMMYFUNCTION("""COMPUTED_VALUE"""),"tIZil")</f>
        <v>tIZil</v>
      </c>
      <c r="N397" s="9"/>
      <c r="O397" s="9"/>
      <c r="P397" s="9"/>
      <c r="Q397" s="9"/>
      <c r="R397" s="9"/>
      <c r="S397" s="42"/>
      <c r="T397" s="42"/>
      <c r="U397" s="42"/>
      <c r="V397" s="42"/>
      <c r="W397" s="42"/>
      <c r="X397" s="42"/>
      <c r="Y397" s="42"/>
      <c r="Z397" s="42"/>
      <c r="AA397" s="42"/>
      <c r="AB397" s="42" t="str">
        <f>IFERROR(__xludf.DUMMYFUNCTION("""COMPUTED_VALUE"""),"allen institute")</f>
        <v>allen institute</v>
      </c>
      <c r="AC397" s="42" t="str">
        <f>IFERROR(__xludf.DUMMYFUNCTION("""COMPUTED_VALUE"""),"DHBA")</f>
        <v>DHBA</v>
      </c>
      <c r="AD397" s="42"/>
      <c r="AE397" s="42"/>
      <c r="AF397" s="9"/>
      <c r="AG397" s="9"/>
      <c r="AH397" s="42"/>
      <c r="AI397" s="42"/>
      <c r="AJ397" s="42"/>
      <c r="AK397" s="42"/>
      <c r="AL397" s="42"/>
      <c r="AM397" s="42"/>
      <c r="AN397" s="42"/>
      <c r="AO397" s="63" t="str">
        <f>IFERROR(__xludf.DUMMYFUNCTION("IF(ISBLANK(A397),,IF(ISBLANK(S397), A397&amp;"";"", TEXTJOIN(CHAR(10), TRUE, A397&amp;"";"", ARRAYFORMULA(VLOOKUP(SPLIT(S397, "";"" &amp; CHAR(10)), $A:$AO, 41, FALSE)))))"),"tIZil;")</f>
        <v>tIZil;</v>
      </c>
      <c r="AP397" s="89"/>
    </row>
    <row r="398">
      <c r="A398" s="151" t="str">
        <f>IFERROR(__xludf.DUMMYFUNCTION("""COMPUTED_VALUE"""),"tIZmi")</f>
        <v>tIZmi</v>
      </c>
      <c r="B398" s="42" t="str">
        <f>IFERROR(__xludf.DUMMYFUNCTION("""COMPUTED_VALUE"""),"DHBA")</f>
        <v>DHBA</v>
      </c>
      <c r="C398" s="42" t="str">
        <f>IFERROR(__xludf.DUMMYFUNCTION("""COMPUTED_VALUE"""),"IZ in midinferior temporal cortex")</f>
        <v>IZ in midinferior temporal cortex</v>
      </c>
      <c r="D398" s="42">
        <f>IFERROR(__xludf.DUMMYFUNCTION("""COMPUTED_VALUE"""),364.0)</f>
        <v>364</v>
      </c>
      <c r="E398" s="39" t="str">
        <f>IFERROR(__xludf.DUMMYFUNCTION("""COMPUTED_VALUE"""),"IZ in midinferior temporal cortex")</f>
        <v>IZ in midinferior temporal cortex</v>
      </c>
      <c r="F398" s="9" t="str">
        <f>IFERROR(__xludf.DUMMYFUNCTION("""COMPUTED_VALUE"""),"Br")</f>
        <v>Br</v>
      </c>
      <c r="G398" s="9" t="str">
        <f>IFERROR(__xludf.DUMMYFUNCTION("""COMPUTED_VALUE"""),"F")</f>
        <v>F</v>
      </c>
      <c r="H398" s="9" t="str">
        <f>IFERROR(__xludf.DUMMYFUNCTION("""COMPUTED_VALUE"""),"FGM")</f>
        <v>FGM</v>
      </c>
      <c r="I398" s="9" t="str">
        <f>IFERROR(__xludf.DUMMYFUNCTION("""COMPUTED_VALUE"""),"FTS")</f>
        <v>FTS</v>
      </c>
      <c r="J398" s="9" t="str">
        <f>IFERROR(__xludf.DUMMYFUNCTION("""COMPUTED_VALUE"""),"IZ")</f>
        <v>IZ</v>
      </c>
      <c r="K398" s="9" t="str">
        <f>IFERROR(__xludf.DUMMYFUNCTION("""COMPUTED_VALUE"""),"tIZ")</f>
        <v>tIZ</v>
      </c>
      <c r="L398" s="9" t="str">
        <f>IFERROR(__xludf.DUMMYFUNCTION("""COMPUTED_VALUE"""),"tIZvl")</f>
        <v>tIZvl</v>
      </c>
      <c r="M398" s="9" t="str">
        <f>IFERROR(__xludf.DUMMYFUNCTION("""COMPUTED_VALUE"""),"tIZmi")</f>
        <v>tIZmi</v>
      </c>
      <c r="N398" s="9"/>
      <c r="O398" s="9"/>
      <c r="P398" s="9"/>
      <c r="Q398" s="9"/>
      <c r="R398" s="9"/>
      <c r="S398" s="42" t="str">
        <f>IFERROR(__xludf.DUMMYFUNCTION("""COMPUTED_VALUE"""),"tIZ36;
tIZtf")</f>
        <v>tIZ36;
tIZtf</v>
      </c>
      <c r="T398" s="42"/>
      <c r="U398" s="42" t="b">
        <f>IFERROR(__xludf.DUMMYFUNCTION("""COMPUTED_VALUE"""),FALSE)</f>
        <v>0</v>
      </c>
      <c r="V398" s="42"/>
      <c r="W398" s="42"/>
      <c r="X398" s="42"/>
      <c r="Y398" s="42"/>
      <c r="Z398" s="42"/>
      <c r="AA398" s="42"/>
      <c r="AB398" s="42" t="str">
        <f>IFERROR(__xludf.DUMMYFUNCTION("""COMPUTED_VALUE"""),"allen institute")</f>
        <v>allen institute</v>
      </c>
      <c r="AC398" s="42" t="str">
        <f>IFERROR(__xludf.DUMMYFUNCTION("""COMPUTED_VALUE"""),"DHBA")</f>
        <v>DHBA</v>
      </c>
      <c r="AD398" s="42"/>
      <c r="AE398" s="42"/>
      <c r="AF398" s="9"/>
      <c r="AG398" s="9"/>
      <c r="AH398" s="42"/>
      <c r="AI398" s="42"/>
      <c r="AJ398" s="42"/>
      <c r="AK398" s="42"/>
      <c r="AL398" s="42"/>
      <c r="AM398" s="42"/>
      <c r="AN398" s="42"/>
      <c r="AO398" s="63" t="str">
        <f>IFERROR(__xludf.DUMMYFUNCTION("IF(ISBLANK(A398),,IF(ISBLANK(S398), A398&amp;"";"", TEXTJOIN(CHAR(10), TRUE, A398&amp;"";"", ARRAYFORMULA(VLOOKUP(SPLIT(S398, "";"" &amp; CHAR(10)), $A:$AO, 41, FALSE)))))"),"tIZmi;
tIZ36;
tIZtf;")</f>
        <v>tIZmi;
tIZ36;
tIZtf;</v>
      </c>
      <c r="AP398" s="89"/>
    </row>
    <row r="399">
      <c r="A399" s="151" t="str">
        <f>IFERROR(__xludf.DUMMYFUNCTION("""COMPUTED_VALUE"""),"tIZ36")</f>
        <v>tIZ36</v>
      </c>
      <c r="B399" s="42" t="str">
        <f>IFERROR(__xludf.DUMMYFUNCTION("""COMPUTED_VALUE"""),"DHBA")</f>
        <v>DHBA</v>
      </c>
      <c r="C399" s="42" t="str">
        <f>IFERROR(__xludf.DUMMYFUNCTION("""COMPUTED_VALUE"""),"IZ in rostral midinferior temporal cortex (area 36)")</f>
        <v>IZ in rostral midinferior temporal cortex (area 36)</v>
      </c>
      <c r="D399" s="42">
        <f>IFERROR(__xludf.DUMMYFUNCTION("""COMPUTED_VALUE"""),365.0)</f>
        <v>365</v>
      </c>
      <c r="E399" s="39" t="str">
        <f>IFERROR(__xludf.DUMMYFUNCTION("""COMPUTED_VALUE"""),"IZ in rostral midinferior temporal cortex (area 36)")</f>
        <v>IZ in rostral midinferior temporal cortex (area 36)</v>
      </c>
      <c r="F399" s="9" t="str">
        <f>IFERROR(__xludf.DUMMYFUNCTION("""COMPUTED_VALUE"""),"Br")</f>
        <v>Br</v>
      </c>
      <c r="G399" s="9" t="str">
        <f>IFERROR(__xludf.DUMMYFUNCTION("""COMPUTED_VALUE"""),"F")</f>
        <v>F</v>
      </c>
      <c r="H399" s="9" t="str">
        <f>IFERROR(__xludf.DUMMYFUNCTION("""COMPUTED_VALUE"""),"FGM")</f>
        <v>FGM</v>
      </c>
      <c r="I399" s="9" t="str">
        <f>IFERROR(__xludf.DUMMYFUNCTION("""COMPUTED_VALUE"""),"FTS")</f>
        <v>FTS</v>
      </c>
      <c r="J399" s="9" t="str">
        <f>IFERROR(__xludf.DUMMYFUNCTION("""COMPUTED_VALUE"""),"IZ")</f>
        <v>IZ</v>
      </c>
      <c r="K399" s="9" t="str">
        <f>IFERROR(__xludf.DUMMYFUNCTION("""COMPUTED_VALUE"""),"tIZ")</f>
        <v>tIZ</v>
      </c>
      <c r="L399" s="9" t="str">
        <f>IFERROR(__xludf.DUMMYFUNCTION("""COMPUTED_VALUE"""),"tIZvl")</f>
        <v>tIZvl</v>
      </c>
      <c r="M399" s="9" t="str">
        <f>IFERROR(__xludf.DUMMYFUNCTION("""COMPUTED_VALUE"""),"tIZmi")</f>
        <v>tIZmi</v>
      </c>
      <c r="N399" s="9" t="str">
        <f>IFERROR(__xludf.DUMMYFUNCTION("""COMPUTED_VALUE"""),"tIZ36")</f>
        <v>tIZ36</v>
      </c>
      <c r="O399" s="9"/>
      <c r="P399" s="9"/>
      <c r="Q399" s="9"/>
      <c r="R399" s="9"/>
      <c r="S399" s="42"/>
      <c r="T399" s="42"/>
      <c r="U399" s="42"/>
      <c r="V399" s="42"/>
      <c r="W399" s="42"/>
      <c r="X399" s="42"/>
      <c r="Y399" s="42"/>
      <c r="Z399" s="42"/>
      <c r="AA399" s="42"/>
      <c r="AB399" s="42" t="str">
        <f>IFERROR(__xludf.DUMMYFUNCTION("""COMPUTED_VALUE"""),"allen institute")</f>
        <v>allen institute</v>
      </c>
      <c r="AC399" s="42" t="str">
        <f>IFERROR(__xludf.DUMMYFUNCTION("""COMPUTED_VALUE"""),"DHBA")</f>
        <v>DHBA</v>
      </c>
      <c r="AD399" s="42"/>
      <c r="AE399" s="42"/>
      <c r="AF399" s="9"/>
      <c r="AG399" s="9"/>
      <c r="AH399" s="42"/>
      <c r="AI399" s="42"/>
      <c r="AJ399" s="42"/>
      <c r="AK399" s="42"/>
      <c r="AL399" s="42"/>
      <c r="AM399" s="42"/>
      <c r="AN399" s="42"/>
      <c r="AO399" s="63" t="str">
        <f>IFERROR(__xludf.DUMMYFUNCTION("IF(ISBLANK(A399),,IF(ISBLANK(S399), A399&amp;"";"", TEXTJOIN(CHAR(10), TRUE, A399&amp;"";"", ARRAYFORMULA(VLOOKUP(SPLIT(S399, "";"" &amp; CHAR(10)), $A:$AO, 41, FALSE)))))"),"tIZ36;")</f>
        <v>tIZ36;</v>
      </c>
      <c r="AP399" s="89"/>
    </row>
    <row r="400">
      <c r="A400" s="151" t="str">
        <f>IFERROR(__xludf.DUMMYFUNCTION("""COMPUTED_VALUE"""),"tIZtf")</f>
        <v>tIZtf</v>
      </c>
      <c r="B400" s="42" t="str">
        <f>IFERROR(__xludf.DUMMYFUNCTION("""COMPUTED_VALUE"""),"DHBA")</f>
        <v>DHBA</v>
      </c>
      <c r="C400" s="42" t="str">
        <f>IFERROR(__xludf.DUMMYFUNCTION("""COMPUTED_VALUE"""),"IZ in caudal midinferior temporal cortex (area TF)")</f>
        <v>IZ in caudal midinferior temporal cortex (area TF)</v>
      </c>
      <c r="D400" s="42">
        <f>IFERROR(__xludf.DUMMYFUNCTION("""COMPUTED_VALUE"""),366.0)</f>
        <v>366</v>
      </c>
      <c r="E400" s="39" t="str">
        <f>IFERROR(__xludf.DUMMYFUNCTION("""COMPUTED_VALUE"""),"IZ in caudal midinferior temporal cortex (area TF)")</f>
        <v>IZ in caudal midinferior temporal cortex (area TF)</v>
      </c>
      <c r="F400" s="9" t="str">
        <f>IFERROR(__xludf.DUMMYFUNCTION("""COMPUTED_VALUE"""),"Br")</f>
        <v>Br</v>
      </c>
      <c r="G400" s="9" t="str">
        <f>IFERROR(__xludf.DUMMYFUNCTION("""COMPUTED_VALUE"""),"F")</f>
        <v>F</v>
      </c>
      <c r="H400" s="9" t="str">
        <f>IFERROR(__xludf.DUMMYFUNCTION("""COMPUTED_VALUE"""),"FGM")</f>
        <v>FGM</v>
      </c>
      <c r="I400" s="9" t="str">
        <f>IFERROR(__xludf.DUMMYFUNCTION("""COMPUTED_VALUE"""),"FTS")</f>
        <v>FTS</v>
      </c>
      <c r="J400" s="9" t="str">
        <f>IFERROR(__xludf.DUMMYFUNCTION("""COMPUTED_VALUE"""),"IZ")</f>
        <v>IZ</v>
      </c>
      <c r="K400" s="9" t="str">
        <f>IFERROR(__xludf.DUMMYFUNCTION("""COMPUTED_VALUE"""),"tIZ")</f>
        <v>tIZ</v>
      </c>
      <c r="L400" s="9" t="str">
        <f>IFERROR(__xludf.DUMMYFUNCTION("""COMPUTED_VALUE"""),"tIZvl")</f>
        <v>tIZvl</v>
      </c>
      <c r="M400" s="9" t="str">
        <f>IFERROR(__xludf.DUMMYFUNCTION("""COMPUTED_VALUE"""),"tIZmi")</f>
        <v>tIZmi</v>
      </c>
      <c r="N400" s="9" t="str">
        <f>IFERROR(__xludf.DUMMYFUNCTION("""COMPUTED_VALUE"""),"tIZtf")</f>
        <v>tIZtf</v>
      </c>
      <c r="O400" s="9"/>
      <c r="P400" s="9"/>
      <c r="Q400" s="9"/>
      <c r="R400" s="9"/>
      <c r="S400" s="42"/>
      <c r="T400" s="42"/>
      <c r="U400" s="159"/>
      <c r="V400" s="42"/>
      <c r="W400" s="42"/>
      <c r="X400" s="42"/>
      <c r="Y400" s="42"/>
      <c r="Z400" s="42"/>
      <c r="AA400" s="42"/>
      <c r="AB400" s="42" t="str">
        <f>IFERROR(__xludf.DUMMYFUNCTION("""COMPUTED_VALUE"""),"allen institute")</f>
        <v>allen institute</v>
      </c>
      <c r="AC400" s="42" t="str">
        <f>IFERROR(__xludf.DUMMYFUNCTION("""COMPUTED_VALUE"""),"DHBA")</f>
        <v>DHBA</v>
      </c>
      <c r="AD400" s="42"/>
      <c r="AE400" s="42"/>
      <c r="AF400" s="9"/>
      <c r="AG400" s="9"/>
      <c r="AH400" s="42"/>
      <c r="AI400" s="42"/>
      <c r="AJ400" s="42"/>
      <c r="AK400" s="42"/>
      <c r="AL400" s="42"/>
      <c r="AM400" s="42"/>
      <c r="AN400" s="42"/>
      <c r="AO400" s="63" t="str">
        <f>IFERROR(__xludf.DUMMYFUNCTION("IF(ISBLANK(A400),,IF(ISBLANK(S400), A400&amp;"";"", TEXTJOIN(CHAR(10), TRUE, A400&amp;"";"", ARRAYFORMULA(VLOOKUP(SPLIT(S400, "";"" &amp; CHAR(10)), $A:$AO, 41, FALSE)))))"),"tIZtf;")</f>
        <v>tIZtf;</v>
      </c>
      <c r="AP400" s="89"/>
    </row>
    <row r="401">
      <c r="A401" s="151" t="str">
        <f>IFERROR(__xludf.DUMMYFUNCTION("""COMPUTED_VALUE"""),"tIZph")</f>
        <v>tIZph</v>
      </c>
      <c r="B401" s="42" t="str">
        <f>IFERROR(__xludf.DUMMYFUNCTION("""COMPUTED_VALUE"""),"DHBA")</f>
        <v>DHBA</v>
      </c>
      <c r="C401" s="42" t="str">
        <f>IFERROR(__xludf.DUMMYFUNCTION("""COMPUTED_VALUE"""),"IZ in posterior parahippocampal cortex")</f>
        <v>IZ in posterior parahippocampal cortex</v>
      </c>
      <c r="D401" s="42">
        <f>IFERROR(__xludf.DUMMYFUNCTION("""COMPUTED_VALUE"""),367.0)</f>
        <v>367</v>
      </c>
      <c r="E401" s="39" t="str">
        <f>IFERROR(__xludf.DUMMYFUNCTION("""COMPUTED_VALUE"""),"IZ in posterior parahippocampal cortex")</f>
        <v>IZ in posterior parahippocampal cortex</v>
      </c>
      <c r="F401" s="9" t="str">
        <f>IFERROR(__xludf.DUMMYFUNCTION("""COMPUTED_VALUE"""),"Br")</f>
        <v>Br</v>
      </c>
      <c r="G401" s="9" t="str">
        <f>IFERROR(__xludf.DUMMYFUNCTION("""COMPUTED_VALUE"""),"F")</f>
        <v>F</v>
      </c>
      <c r="H401" s="9" t="str">
        <f>IFERROR(__xludf.DUMMYFUNCTION("""COMPUTED_VALUE"""),"FGM")</f>
        <v>FGM</v>
      </c>
      <c r="I401" s="9" t="str">
        <f>IFERROR(__xludf.DUMMYFUNCTION("""COMPUTED_VALUE"""),"FTS")</f>
        <v>FTS</v>
      </c>
      <c r="J401" s="9" t="str">
        <f>IFERROR(__xludf.DUMMYFUNCTION("""COMPUTED_VALUE"""),"IZ")</f>
        <v>IZ</v>
      </c>
      <c r="K401" s="9" t="str">
        <f>IFERROR(__xludf.DUMMYFUNCTION("""COMPUTED_VALUE"""),"tIZ")</f>
        <v>tIZ</v>
      </c>
      <c r="L401" s="9" t="str">
        <f>IFERROR(__xludf.DUMMYFUNCTION("""COMPUTED_VALUE"""),"tIZph")</f>
        <v>tIZph</v>
      </c>
      <c r="M401" s="9"/>
      <c r="N401" s="9"/>
      <c r="O401" s="9"/>
      <c r="P401" s="9"/>
      <c r="Q401" s="9"/>
      <c r="R401" s="9"/>
      <c r="S401" s="42"/>
      <c r="T401" s="42"/>
      <c r="U401" s="42"/>
      <c r="V401" s="42"/>
      <c r="W401" s="42"/>
      <c r="X401" s="42"/>
      <c r="Y401" s="42"/>
      <c r="Z401" s="42"/>
      <c r="AA401" s="42"/>
      <c r="AB401" s="42" t="str">
        <f>IFERROR(__xludf.DUMMYFUNCTION("""COMPUTED_VALUE"""),"allen institute")</f>
        <v>allen institute</v>
      </c>
      <c r="AC401" s="42" t="str">
        <f>IFERROR(__xludf.DUMMYFUNCTION("""COMPUTED_VALUE"""),"DHBA")</f>
        <v>DHBA</v>
      </c>
      <c r="AD401" s="42"/>
      <c r="AE401" s="42"/>
      <c r="AF401" s="9"/>
      <c r="AG401" s="9"/>
      <c r="AH401" s="42"/>
      <c r="AI401" s="42"/>
      <c r="AJ401" s="42"/>
      <c r="AK401" s="42"/>
      <c r="AL401" s="42"/>
      <c r="AM401" s="42"/>
      <c r="AN401" s="42"/>
      <c r="AO401" s="63" t="str">
        <f>IFERROR(__xludf.DUMMYFUNCTION("IF(ISBLANK(A401),,IF(ISBLANK(S401), A401&amp;"";"", TEXTJOIN(CHAR(10), TRUE, A401&amp;"";"", ARRAYFORMULA(VLOOKUP(SPLIT(S401, "";"" &amp; CHAR(10)), $A:$AO, 41, FALSE)))))"),"tIZph;")</f>
        <v>tIZph;</v>
      </c>
      <c r="AP401" s="89"/>
    </row>
    <row r="402">
      <c r="A402" s="151" t="str">
        <f>IFERROR(__xludf.DUMMYFUNCTION("""COMPUTED_VALUE"""),"tIZmt")</f>
        <v>tIZmt</v>
      </c>
      <c r="B402" s="42" t="str">
        <f>IFERROR(__xludf.DUMMYFUNCTION("""COMPUTED_VALUE"""),"DHBA")</f>
        <v>DHBA</v>
      </c>
      <c r="C402" s="42" t="str">
        <f>IFERROR(__xludf.DUMMYFUNCTION("""COMPUTED_VALUE"""),"IZ in medial temporal-occipital cortex")</f>
        <v>IZ in medial temporal-occipital cortex</v>
      </c>
      <c r="D402" s="42">
        <f>IFERROR(__xludf.DUMMYFUNCTION("""COMPUTED_VALUE"""),368.0)</f>
        <v>368</v>
      </c>
      <c r="E402" s="39" t="str">
        <f>IFERROR(__xludf.DUMMYFUNCTION("""COMPUTED_VALUE"""),"IZ in medial temporal-occipital cortex")</f>
        <v>IZ in medial temporal-occipital cortex</v>
      </c>
      <c r="F402" s="9" t="str">
        <f>IFERROR(__xludf.DUMMYFUNCTION("""COMPUTED_VALUE"""),"Br")</f>
        <v>Br</v>
      </c>
      <c r="G402" s="9" t="str">
        <f>IFERROR(__xludf.DUMMYFUNCTION("""COMPUTED_VALUE"""),"F")</f>
        <v>F</v>
      </c>
      <c r="H402" s="9" t="str">
        <f>IFERROR(__xludf.DUMMYFUNCTION("""COMPUTED_VALUE"""),"FGM")</f>
        <v>FGM</v>
      </c>
      <c r="I402" s="9" t="str">
        <f>IFERROR(__xludf.DUMMYFUNCTION("""COMPUTED_VALUE"""),"FTS")</f>
        <v>FTS</v>
      </c>
      <c r="J402" s="9" t="str">
        <f>IFERROR(__xludf.DUMMYFUNCTION("""COMPUTED_VALUE"""),"IZ")</f>
        <v>IZ</v>
      </c>
      <c r="K402" s="9" t="str">
        <f>IFERROR(__xludf.DUMMYFUNCTION("""COMPUTED_VALUE"""),"tIZ")</f>
        <v>tIZ</v>
      </c>
      <c r="L402" s="9" t="str">
        <f>IFERROR(__xludf.DUMMYFUNCTION("""COMPUTED_VALUE"""),"tIZmt")</f>
        <v>tIZmt</v>
      </c>
      <c r="M402" s="9"/>
      <c r="N402" s="9"/>
      <c r="O402" s="9"/>
      <c r="P402" s="9"/>
      <c r="Q402" s="9"/>
      <c r="R402" s="9"/>
      <c r="S402" s="42"/>
      <c r="T402" s="42"/>
      <c r="U402" s="42"/>
      <c r="V402" s="42"/>
      <c r="W402" s="42"/>
      <c r="X402" s="42"/>
      <c r="Y402" s="42"/>
      <c r="Z402" s="42"/>
      <c r="AA402" s="42"/>
      <c r="AB402" s="42" t="str">
        <f>IFERROR(__xludf.DUMMYFUNCTION("""COMPUTED_VALUE"""),"allen institute")</f>
        <v>allen institute</v>
      </c>
      <c r="AC402" s="42" t="str">
        <f>IFERROR(__xludf.DUMMYFUNCTION("""COMPUTED_VALUE"""),"DHBA")</f>
        <v>DHBA</v>
      </c>
      <c r="AD402" s="42"/>
      <c r="AE402" s="42"/>
      <c r="AF402" s="9"/>
      <c r="AG402" s="9"/>
      <c r="AH402" s="42"/>
      <c r="AI402" s="42"/>
      <c r="AJ402" s="42"/>
      <c r="AK402" s="42"/>
      <c r="AL402" s="42"/>
      <c r="AM402" s="42"/>
      <c r="AN402" s="42"/>
      <c r="AO402" s="63" t="str">
        <f>IFERROR(__xludf.DUMMYFUNCTION("IF(ISBLANK(A402),,IF(ISBLANK(S402), A402&amp;"";"", TEXTJOIN(CHAR(10), TRUE, A402&amp;"";"", ARRAYFORMULA(VLOOKUP(SPLIT(S402, "";"" &amp; CHAR(10)), $A:$AO, 41, FALSE)))))"),"tIZmt;")</f>
        <v>tIZmt;</v>
      </c>
      <c r="AP402" s="89"/>
    </row>
    <row r="403">
      <c r="A403" s="151" t="str">
        <f>IFERROR(__xludf.DUMMYFUNCTION("""COMPUTED_VALUE"""),"tIZlt")</f>
        <v>tIZlt</v>
      </c>
      <c r="B403" s="42" t="str">
        <f>IFERROR(__xludf.DUMMYFUNCTION("""COMPUTED_VALUE"""),"DHBA")</f>
        <v>DHBA</v>
      </c>
      <c r="C403" s="42" t="str">
        <f>IFERROR(__xludf.DUMMYFUNCTION("""COMPUTED_VALUE"""),"IZ in lateral temporal-occipital cortex")</f>
        <v>IZ in lateral temporal-occipital cortex</v>
      </c>
      <c r="D403" s="42">
        <f>IFERROR(__xludf.DUMMYFUNCTION("""COMPUTED_VALUE"""),369.0)</f>
        <v>369</v>
      </c>
      <c r="E403" s="39" t="str">
        <f>IFERROR(__xludf.DUMMYFUNCTION("""COMPUTED_VALUE"""),"IZ in lateral temporal-occipital cortex")</f>
        <v>IZ in lateral temporal-occipital cortex</v>
      </c>
      <c r="F403" s="9" t="str">
        <f>IFERROR(__xludf.DUMMYFUNCTION("""COMPUTED_VALUE"""),"Br")</f>
        <v>Br</v>
      </c>
      <c r="G403" s="9" t="str">
        <f>IFERROR(__xludf.DUMMYFUNCTION("""COMPUTED_VALUE"""),"F")</f>
        <v>F</v>
      </c>
      <c r="H403" s="9" t="str">
        <f>IFERROR(__xludf.DUMMYFUNCTION("""COMPUTED_VALUE"""),"FGM")</f>
        <v>FGM</v>
      </c>
      <c r="I403" s="9" t="str">
        <f>IFERROR(__xludf.DUMMYFUNCTION("""COMPUTED_VALUE"""),"FTS")</f>
        <v>FTS</v>
      </c>
      <c r="J403" s="9" t="str">
        <f>IFERROR(__xludf.DUMMYFUNCTION("""COMPUTED_VALUE"""),"IZ")</f>
        <v>IZ</v>
      </c>
      <c r="K403" s="9" t="str">
        <f>IFERROR(__xludf.DUMMYFUNCTION("""COMPUTED_VALUE"""),"tIZ")</f>
        <v>tIZ</v>
      </c>
      <c r="L403" s="9" t="str">
        <f>IFERROR(__xludf.DUMMYFUNCTION("""COMPUTED_VALUE"""),"tIZlt")</f>
        <v>tIZlt</v>
      </c>
      <c r="M403" s="9"/>
      <c r="N403" s="9"/>
      <c r="O403" s="9"/>
      <c r="P403" s="9"/>
      <c r="Q403" s="9"/>
      <c r="R403" s="9"/>
      <c r="S403" s="42"/>
      <c r="T403" s="42"/>
      <c r="U403" s="42"/>
      <c r="V403" s="42"/>
      <c r="W403" s="42"/>
      <c r="X403" s="42"/>
      <c r="Y403" s="42"/>
      <c r="Z403" s="42"/>
      <c r="AA403" s="42"/>
      <c r="AB403" s="42" t="str">
        <f>IFERROR(__xludf.DUMMYFUNCTION("""COMPUTED_VALUE"""),"allen institute")</f>
        <v>allen institute</v>
      </c>
      <c r="AC403" s="42" t="str">
        <f>IFERROR(__xludf.DUMMYFUNCTION("""COMPUTED_VALUE"""),"DHBA")</f>
        <v>DHBA</v>
      </c>
      <c r="AD403" s="42"/>
      <c r="AE403" s="42"/>
      <c r="AF403" s="9"/>
      <c r="AG403" s="9"/>
      <c r="AH403" s="42"/>
      <c r="AI403" s="42"/>
      <c r="AJ403" s="42"/>
      <c r="AK403" s="42"/>
      <c r="AL403" s="42"/>
      <c r="AM403" s="42"/>
      <c r="AN403" s="42"/>
      <c r="AO403" s="63" t="str">
        <f>IFERROR(__xludf.DUMMYFUNCTION("IF(ISBLANK(A403),,IF(ISBLANK(S403), A403&amp;"";"", TEXTJOIN(CHAR(10), TRUE, A403&amp;"";"", ARRAYFORMULA(VLOOKUP(SPLIT(S403, "";"" &amp; CHAR(10)), $A:$AO, 41, FALSE)))))"),"tIZlt;")</f>
        <v>tIZlt;</v>
      </c>
      <c r="AP403" s="89"/>
    </row>
    <row r="404">
      <c r="A404" s="151" t="str">
        <f>IFERROR(__xludf.DUMMYFUNCTION("""COMPUTED_VALUE"""),"tIZtp")</f>
        <v>tIZtp</v>
      </c>
      <c r="B404" s="42" t="str">
        <f>IFERROR(__xludf.DUMMYFUNCTION("""COMPUTED_VALUE"""),"DHBA")</f>
        <v>DHBA</v>
      </c>
      <c r="C404" s="42" t="str">
        <f>IFERROR(__xludf.DUMMYFUNCTION("""COMPUTED_VALUE"""),"IZ in temporal polar cortex")</f>
        <v>IZ in temporal polar cortex</v>
      </c>
      <c r="D404" s="42">
        <f>IFERROR(__xludf.DUMMYFUNCTION("""COMPUTED_VALUE"""),370.0)</f>
        <v>370</v>
      </c>
      <c r="E404" s="39" t="str">
        <f>IFERROR(__xludf.DUMMYFUNCTION("""COMPUTED_VALUE"""),"IZ in temporal polar cortex")</f>
        <v>IZ in temporal polar cortex</v>
      </c>
      <c r="F404" s="9" t="str">
        <f>IFERROR(__xludf.DUMMYFUNCTION("""COMPUTED_VALUE"""),"Br")</f>
        <v>Br</v>
      </c>
      <c r="G404" s="9" t="str">
        <f>IFERROR(__xludf.DUMMYFUNCTION("""COMPUTED_VALUE"""),"F")</f>
        <v>F</v>
      </c>
      <c r="H404" s="9" t="str">
        <f>IFERROR(__xludf.DUMMYFUNCTION("""COMPUTED_VALUE"""),"FGM")</f>
        <v>FGM</v>
      </c>
      <c r="I404" s="9" t="str">
        <f>IFERROR(__xludf.DUMMYFUNCTION("""COMPUTED_VALUE"""),"FTS")</f>
        <v>FTS</v>
      </c>
      <c r="J404" s="9" t="str">
        <f>IFERROR(__xludf.DUMMYFUNCTION("""COMPUTED_VALUE"""),"IZ")</f>
        <v>IZ</v>
      </c>
      <c r="K404" s="9" t="str">
        <f>IFERROR(__xludf.DUMMYFUNCTION("""COMPUTED_VALUE"""),"tIZ")</f>
        <v>tIZ</v>
      </c>
      <c r="L404" s="9" t="str">
        <f>IFERROR(__xludf.DUMMYFUNCTION("""COMPUTED_VALUE"""),"tIZtp")</f>
        <v>tIZtp</v>
      </c>
      <c r="M404" s="9"/>
      <c r="N404" s="9"/>
      <c r="O404" s="9"/>
      <c r="P404" s="9"/>
      <c r="Q404" s="9"/>
      <c r="R404" s="9"/>
      <c r="S404" s="42"/>
      <c r="T404" s="42"/>
      <c r="U404" s="42"/>
      <c r="V404" s="42"/>
      <c r="W404" s="42"/>
      <c r="X404" s="42"/>
      <c r="Y404" s="42"/>
      <c r="Z404" s="42"/>
      <c r="AA404" s="42"/>
      <c r="AB404" s="42" t="str">
        <f>IFERROR(__xludf.DUMMYFUNCTION("""COMPUTED_VALUE"""),"allen institute")</f>
        <v>allen institute</v>
      </c>
      <c r="AC404" s="42" t="str">
        <f>IFERROR(__xludf.DUMMYFUNCTION("""COMPUTED_VALUE"""),"DHBA")</f>
        <v>DHBA</v>
      </c>
      <c r="AD404" s="42"/>
      <c r="AE404" s="42"/>
      <c r="AF404" s="9"/>
      <c r="AG404" s="9"/>
      <c r="AH404" s="42"/>
      <c r="AI404" s="42"/>
      <c r="AJ404" s="42"/>
      <c r="AK404" s="42"/>
      <c r="AL404" s="42"/>
      <c r="AM404" s="42"/>
      <c r="AN404" s="42"/>
      <c r="AO404" s="63" t="str">
        <f>IFERROR(__xludf.DUMMYFUNCTION("IF(ISBLANK(A404),,IF(ISBLANK(S404), A404&amp;"";"", TEXTJOIN(CHAR(10), TRUE, A404&amp;"";"", ARRAYFORMULA(VLOOKUP(SPLIT(S404, "";"" &amp; CHAR(10)), $A:$AO, 41, FALSE)))))"),"tIZtp;")</f>
        <v>tIZtp;</v>
      </c>
      <c r="AP404" s="89"/>
    </row>
    <row r="405">
      <c r="A405" s="151" t="str">
        <f>IFERROR(__xludf.DUMMYFUNCTION("""COMPUTED_VALUE"""),"oIZ")</f>
        <v>oIZ</v>
      </c>
      <c r="B405" s="42" t="str">
        <f>IFERROR(__xludf.DUMMYFUNCTION("""COMPUTED_VALUE"""),"DHBA")</f>
        <v>DHBA</v>
      </c>
      <c r="C405" s="42" t="str">
        <f>IFERROR(__xludf.DUMMYFUNCTION("""COMPUTED_VALUE"""),"IZ in occipital neocortex")</f>
        <v>IZ in occipital neocortex</v>
      </c>
      <c r="D405" s="42">
        <f>IFERROR(__xludf.DUMMYFUNCTION("""COMPUTED_VALUE"""),371.0)</f>
        <v>371</v>
      </c>
      <c r="E405" s="39" t="str">
        <f>IFERROR(__xludf.DUMMYFUNCTION("""COMPUTED_VALUE"""),"IZ in occipital neocortex")</f>
        <v>IZ in occipital neocortex</v>
      </c>
      <c r="F405" s="9" t="str">
        <f>IFERROR(__xludf.DUMMYFUNCTION("""COMPUTED_VALUE"""),"Br")</f>
        <v>Br</v>
      </c>
      <c r="G405" s="9" t="str">
        <f>IFERROR(__xludf.DUMMYFUNCTION("""COMPUTED_VALUE"""),"F")</f>
        <v>F</v>
      </c>
      <c r="H405" s="9" t="str">
        <f>IFERROR(__xludf.DUMMYFUNCTION("""COMPUTED_VALUE"""),"FGM")</f>
        <v>FGM</v>
      </c>
      <c r="I405" s="9" t="str">
        <f>IFERROR(__xludf.DUMMYFUNCTION("""COMPUTED_VALUE"""),"FTS")</f>
        <v>FTS</v>
      </c>
      <c r="J405" s="9" t="str">
        <f>IFERROR(__xludf.DUMMYFUNCTION("""COMPUTED_VALUE"""),"IZ")</f>
        <v>IZ</v>
      </c>
      <c r="K405" s="9" t="str">
        <f>IFERROR(__xludf.DUMMYFUNCTION("""COMPUTED_VALUE"""),"oIZ")</f>
        <v>oIZ</v>
      </c>
      <c r="L405" s="9"/>
      <c r="M405" s="9"/>
      <c r="N405" s="9"/>
      <c r="O405" s="9"/>
      <c r="P405" s="9"/>
      <c r="Q405" s="9"/>
      <c r="R405" s="9"/>
      <c r="S405" s="42" t="str">
        <f>IFERROR(__xludf.DUMMYFUNCTION("""COMPUTED_VALUE"""),"oIZpro;
oIZv1;
oIZexs")</f>
        <v>oIZpro;
oIZv1;
oIZexs</v>
      </c>
      <c r="T405" s="42"/>
      <c r="U405" s="42" t="b">
        <f>IFERROR(__xludf.DUMMYFUNCTION("""COMPUTED_VALUE"""),FALSE)</f>
        <v>0</v>
      </c>
      <c r="V405" s="42"/>
      <c r="W405" s="42"/>
      <c r="X405" s="42"/>
      <c r="Y405" s="42"/>
      <c r="Z405" s="42"/>
      <c r="AA405" s="42"/>
      <c r="AB405" s="42" t="str">
        <f>IFERROR(__xludf.DUMMYFUNCTION("""COMPUTED_VALUE"""),"allen institute")</f>
        <v>allen institute</v>
      </c>
      <c r="AC405" s="42" t="str">
        <f>IFERROR(__xludf.DUMMYFUNCTION("""COMPUTED_VALUE"""),"DHBA")</f>
        <v>DHBA</v>
      </c>
      <c r="AD405" s="42"/>
      <c r="AE405" s="42"/>
      <c r="AF405" s="9"/>
      <c r="AG405" s="9"/>
      <c r="AH405" s="42"/>
      <c r="AI405" s="42"/>
      <c r="AJ405" s="42"/>
      <c r="AK405" s="42"/>
      <c r="AL405" s="42"/>
      <c r="AM405" s="42"/>
      <c r="AN405" s="42"/>
      <c r="AO405" s="63" t="str">
        <f>IFERROR(__xludf.DUMMYFUNCTION("IF(ISBLANK(A405),,IF(ISBLANK(S405), A405&amp;"";"", TEXTJOIN(CHAR(10), TRUE, A405&amp;"";"", ARRAYFORMULA(VLOOKUP(SPLIT(S405, "";"" &amp; CHAR(10)), $A:$AO, 41, FALSE)))))"),"oIZ;
oIZpro;
oIZv1;
oIZexs;
oIZdm;
oIZvm;
oIZml;")</f>
        <v>oIZ;
oIZpro;
oIZv1;
oIZexs;
oIZdm;
oIZvm;
oIZml;</v>
      </c>
      <c r="AP405" s="89"/>
    </row>
    <row r="406">
      <c r="A406" s="151" t="str">
        <f>IFERROR(__xludf.DUMMYFUNCTION("""COMPUTED_VALUE"""),"oIZpro")</f>
        <v>oIZpro</v>
      </c>
      <c r="B406" s="42" t="str">
        <f>IFERROR(__xludf.DUMMYFUNCTION("""COMPUTED_VALUE"""),"DHBA")</f>
        <v>DHBA</v>
      </c>
      <c r="C406" s="42" t="str">
        <f>IFERROR(__xludf.DUMMYFUNCTION("""COMPUTED_VALUE"""),"IZ in area prostriata")</f>
        <v>IZ in area prostriata</v>
      </c>
      <c r="D406" s="42">
        <f>IFERROR(__xludf.DUMMYFUNCTION("""COMPUTED_VALUE"""),372.0)</f>
        <v>372</v>
      </c>
      <c r="E406" s="39" t="str">
        <f>IFERROR(__xludf.DUMMYFUNCTION("""COMPUTED_VALUE"""),"IZ in area prostriata")</f>
        <v>IZ in area prostriata</v>
      </c>
      <c r="F406" s="9" t="str">
        <f>IFERROR(__xludf.DUMMYFUNCTION("""COMPUTED_VALUE"""),"Br")</f>
        <v>Br</v>
      </c>
      <c r="G406" s="9" t="str">
        <f>IFERROR(__xludf.DUMMYFUNCTION("""COMPUTED_VALUE"""),"F")</f>
        <v>F</v>
      </c>
      <c r="H406" s="9" t="str">
        <f>IFERROR(__xludf.DUMMYFUNCTION("""COMPUTED_VALUE"""),"FGM")</f>
        <v>FGM</v>
      </c>
      <c r="I406" s="9" t="str">
        <f>IFERROR(__xludf.DUMMYFUNCTION("""COMPUTED_VALUE"""),"FTS")</f>
        <v>FTS</v>
      </c>
      <c r="J406" s="9" t="str">
        <f>IFERROR(__xludf.DUMMYFUNCTION("""COMPUTED_VALUE"""),"IZ")</f>
        <v>IZ</v>
      </c>
      <c r="K406" s="9" t="str">
        <f>IFERROR(__xludf.DUMMYFUNCTION("""COMPUTED_VALUE"""),"oIZ")</f>
        <v>oIZ</v>
      </c>
      <c r="L406" s="9" t="str">
        <f>IFERROR(__xludf.DUMMYFUNCTION("""COMPUTED_VALUE"""),"oIZpro")</f>
        <v>oIZpro</v>
      </c>
      <c r="M406" s="9"/>
      <c r="N406" s="9"/>
      <c r="O406" s="9"/>
      <c r="P406" s="9"/>
      <c r="Q406" s="9"/>
      <c r="R406" s="9"/>
      <c r="S406" s="42"/>
      <c r="T406" s="42"/>
      <c r="U406" s="42"/>
      <c r="V406" s="42"/>
      <c r="W406" s="42"/>
      <c r="X406" s="42"/>
      <c r="Y406" s="42"/>
      <c r="Z406" s="42"/>
      <c r="AA406" s="42"/>
      <c r="AB406" s="42" t="str">
        <f>IFERROR(__xludf.DUMMYFUNCTION("""COMPUTED_VALUE"""),"allen institute")</f>
        <v>allen institute</v>
      </c>
      <c r="AC406" s="42" t="str">
        <f>IFERROR(__xludf.DUMMYFUNCTION("""COMPUTED_VALUE"""),"DHBA")</f>
        <v>DHBA</v>
      </c>
      <c r="AD406" s="42"/>
      <c r="AE406" s="42"/>
      <c r="AF406" s="9"/>
      <c r="AG406" s="9"/>
      <c r="AH406" s="42"/>
      <c r="AI406" s="42"/>
      <c r="AJ406" s="42"/>
      <c r="AK406" s="42"/>
      <c r="AL406" s="42"/>
      <c r="AM406" s="42"/>
      <c r="AN406" s="42"/>
      <c r="AO406" s="63" t="str">
        <f>IFERROR(__xludf.DUMMYFUNCTION("IF(ISBLANK(A406),,IF(ISBLANK(S406), A406&amp;"";"", TEXTJOIN(CHAR(10), TRUE, A406&amp;"";"", ARRAYFORMULA(VLOOKUP(SPLIT(S406, "";"" &amp; CHAR(10)), $A:$AO, 41, FALSE)))))"),"oIZpro;")</f>
        <v>oIZpro;</v>
      </c>
      <c r="AP406" s="89"/>
    </row>
    <row r="407">
      <c r="A407" s="151" t="str">
        <f>IFERROR(__xludf.DUMMYFUNCTION("""COMPUTED_VALUE"""),"oIZv1")</f>
        <v>oIZv1</v>
      </c>
      <c r="B407" s="42" t="str">
        <f>IFERROR(__xludf.DUMMYFUNCTION("""COMPUTED_VALUE"""),"DHBA")</f>
        <v>DHBA</v>
      </c>
      <c r="C407" s="42" t="str">
        <f>IFERROR(__xludf.DUMMYFUNCTION("""COMPUTED_VALUE"""),"IZ in primary visual cortex")</f>
        <v>IZ in primary visual cortex</v>
      </c>
      <c r="D407" s="42">
        <f>IFERROR(__xludf.DUMMYFUNCTION("""COMPUTED_VALUE"""),373.0)</f>
        <v>373</v>
      </c>
      <c r="E407" s="39" t="str">
        <f>IFERROR(__xludf.DUMMYFUNCTION("""COMPUTED_VALUE"""),"IZ in primary visual cortex")</f>
        <v>IZ in primary visual cortex</v>
      </c>
      <c r="F407" s="9" t="str">
        <f>IFERROR(__xludf.DUMMYFUNCTION("""COMPUTED_VALUE"""),"Br")</f>
        <v>Br</v>
      </c>
      <c r="G407" s="9" t="str">
        <f>IFERROR(__xludf.DUMMYFUNCTION("""COMPUTED_VALUE"""),"F")</f>
        <v>F</v>
      </c>
      <c r="H407" s="9" t="str">
        <f>IFERROR(__xludf.DUMMYFUNCTION("""COMPUTED_VALUE"""),"FGM")</f>
        <v>FGM</v>
      </c>
      <c r="I407" s="9" t="str">
        <f>IFERROR(__xludf.DUMMYFUNCTION("""COMPUTED_VALUE"""),"FTS")</f>
        <v>FTS</v>
      </c>
      <c r="J407" s="9" t="str">
        <f>IFERROR(__xludf.DUMMYFUNCTION("""COMPUTED_VALUE"""),"IZ")</f>
        <v>IZ</v>
      </c>
      <c r="K407" s="9" t="str">
        <f>IFERROR(__xludf.DUMMYFUNCTION("""COMPUTED_VALUE"""),"oIZ")</f>
        <v>oIZ</v>
      </c>
      <c r="L407" s="9" t="str">
        <f>IFERROR(__xludf.DUMMYFUNCTION("""COMPUTED_VALUE"""),"oIZv1")</f>
        <v>oIZv1</v>
      </c>
      <c r="M407" s="9"/>
      <c r="N407" s="9"/>
      <c r="O407" s="9"/>
      <c r="P407" s="9"/>
      <c r="Q407" s="9"/>
      <c r="R407" s="9"/>
      <c r="S407" s="42"/>
      <c r="T407" s="42"/>
      <c r="U407" s="42"/>
      <c r="V407" s="42"/>
      <c r="W407" s="42"/>
      <c r="X407" s="42"/>
      <c r="Y407" s="42"/>
      <c r="Z407" s="42"/>
      <c r="AA407" s="42"/>
      <c r="AB407" s="42" t="str">
        <f>IFERROR(__xludf.DUMMYFUNCTION("""COMPUTED_VALUE"""),"allen institute")</f>
        <v>allen institute</v>
      </c>
      <c r="AC407" s="42" t="str">
        <f>IFERROR(__xludf.DUMMYFUNCTION("""COMPUTED_VALUE"""),"DHBA")</f>
        <v>DHBA</v>
      </c>
      <c r="AD407" s="42"/>
      <c r="AE407" s="42"/>
      <c r="AF407" s="9"/>
      <c r="AG407" s="9"/>
      <c r="AH407" s="42"/>
      <c r="AI407" s="42"/>
      <c r="AJ407" s="42"/>
      <c r="AK407" s="42"/>
      <c r="AL407" s="42"/>
      <c r="AM407" s="42"/>
      <c r="AN407" s="42"/>
      <c r="AO407" s="63" t="str">
        <f>IFERROR(__xludf.DUMMYFUNCTION("IF(ISBLANK(A407),,IF(ISBLANK(S407), A407&amp;"";"", TEXTJOIN(CHAR(10), TRUE, A407&amp;"";"", ARRAYFORMULA(VLOOKUP(SPLIT(S407, "";"" &amp; CHAR(10)), $A:$AO, 41, FALSE)))))"),"oIZv1;")</f>
        <v>oIZv1;</v>
      </c>
      <c r="AP407" s="89"/>
    </row>
    <row r="408">
      <c r="A408" s="151" t="str">
        <f>IFERROR(__xludf.DUMMYFUNCTION("""COMPUTED_VALUE"""),"oIZexs")</f>
        <v>oIZexs</v>
      </c>
      <c r="B408" s="42" t="str">
        <f>IFERROR(__xludf.DUMMYFUNCTION("""COMPUTED_VALUE"""),"DHBA")</f>
        <v>DHBA</v>
      </c>
      <c r="C408" s="42" t="str">
        <f>IFERROR(__xludf.DUMMYFUNCTION("""COMPUTED_VALUE"""),"IZ in extrastriate cortex")</f>
        <v>IZ in extrastriate cortex</v>
      </c>
      <c r="D408" s="42">
        <f>IFERROR(__xludf.DUMMYFUNCTION("""COMPUTED_VALUE"""),374.0)</f>
        <v>374</v>
      </c>
      <c r="E408" s="39" t="str">
        <f>IFERROR(__xludf.DUMMYFUNCTION("""COMPUTED_VALUE"""),"IZ in extrastriate cortex")</f>
        <v>IZ in extrastriate cortex</v>
      </c>
      <c r="F408" s="9" t="str">
        <f>IFERROR(__xludf.DUMMYFUNCTION("""COMPUTED_VALUE"""),"Br")</f>
        <v>Br</v>
      </c>
      <c r="G408" s="9" t="str">
        <f>IFERROR(__xludf.DUMMYFUNCTION("""COMPUTED_VALUE"""),"F")</f>
        <v>F</v>
      </c>
      <c r="H408" s="9" t="str">
        <f>IFERROR(__xludf.DUMMYFUNCTION("""COMPUTED_VALUE"""),"FGM")</f>
        <v>FGM</v>
      </c>
      <c r="I408" s="9" t="str">
        <f>IFERROR(__xludf.DUMMYFUNCTION("""COMPUTED_VALUE"""),"FTS")</f>
        <v>FTS</v>
      </c>
      <c r="J408" s="9" t="str">
        <f>IFERROR(__xludf.DUMMYFUNCTION("""COMPUTED_VALUE"""),"IZ")</f>
        <v>IZ</v>
      </c>
      <c r="K408" s="9" t="str">
        <f>IFERROR(__xludf.DUMMYFUNCTION("""COMPUTED_VALUE"""),"oIZ")</f>
        <v>oIZ</v>
      </c>
      <c r="L408" s="9" t="str">
        <f>IFERROR(__xludf.DUMMYFUNCTION("""COMPUTED_VALUE"""),"oIZexs")</f>
        <v>oIZexs</v>
      </c>
      <c r="M408" s="9"/>
      <c r="N408" s="9"/>
      <c r="O408" s="9"/>
      <c r="P408" s="9"/>
      <c r="Q408" s="9"/>
      <c r="R408" s="9"/>
      <c r="S408" s="42" t="str">
        <f>IFERROR(__xludf.DUMMYFUNCTION("""COMPUTED_VALUE"""),"oIZdm;
oIZvm;
oIZml")</f>
        <v>oIZdm;
oIZvm;
oIZml</v>
      </c>
      <c r="T408" s="42"/>
      <c r="U408" s="42" t="b">
        <f>IFERROR(__xludf.DUMMYFUNCTION("""COMPUTED_VALUE"""),FALSE)</f>
        <v>0</v>
      </c>
      <c r="V408" s="42"/>
      <c r="W408" s="42"/>
      <c r="X408" s="42"/>
      <c r="Y408" s="42"/>
      <c r="Z408" s="42"/>
      <c r="AA408" s="42"/>
      <c r="AB408" s="42" t="str">
        <f>IFERROR(__xludf.DUMMYFUNCTION("""COMPUTED_VALUE"""),"allen institute")</f>
        <v>allen institute</v>
      </c>
      <c r="AC408" s="42" t="str">
        <f>IFERROR(__xludf.DUMMYFUNCTION("""COMPUTED_VALUE"""),"DHBA")</f>
        <v>DHBA</v>
      </c>
      <c r="AD408" s="42"/>
      <c r="AE408" s="42"/>
      <c r="AF408" s="9"/>
      <c r="AG408" s="9"/>
      <c r="AH408" s="42"/>
      <c r="AI408" s="42"/>
      <c r="AJ408" s="42"/>
      <c r="AK408" s="42"/>
      <c r="AL408" s="42"/>
      <c r="AM408" s="42"/>
      <c r="AN408" s="42"/>
      <c r="AO408" s="63" t="str">
        <f>IFERROR(__xludf.DUMMYFUNCTION("IF(ISBLANK(A408),,IF(ISBLANK(S408), A408&amp;"";"", TEXTJOIN(CHAR(10), TRUE, A408&amp;"";"", ARRAYFORMULA(VLOOKUP(SPLIT(S408, "";"" &amp; CHAR(10)), $A:$AO, 41, FALSE)))))"),"oIZexs;
oIZdm;
oIZvm;
oIZml;")</f>
        <v>oIZexs;
oIZdm;
oIZvm;
oIZml;</v>
      </c>
      <c r="AP408" s="89"/>
    </row>
    <row r="409">
      <c r="A409" s="151" t="str">
        <f>IFERROR(__xludf.DUMMYFUNCTION("""COMPUTED_VALUE"""),"oIZdm")</f>
        <v>oIZdm</v>
      </c>
      <c r="B409" s="42" t="str">
        <f>IFERROR(__xludf.DUMMYFUNCTION("""COMPUTED_VALUE"""),"DHBA")</f>
        <v>DHBA</v>
      </c>
      <c r="C409" s="42" t="str">
        <f>IFERROR(__xludf.DUMMYFUNCTION("""COMPUTED_VALUE"""),"IZ in dorsomedial extrastriate cortex (V2)")</f>
        <v>IZ in dorsomedial extrastriate cortex (V2)</v>
      </c>
      <c r="D409" s="42">
        <f>IFERROR(__xludf.DUMMYFUNCTION("""COMPUTED_VALUE"""),375.0)</f>
        <v>375</v>
      </c>
      <c r="E409" s="39" t="str">
        <f>IFERROR(__xludf.DUMMYFUNCTION("""COMPUTED_VALUE"""),"IZ in dorsomedial extrastriate cortex (V2)")</f>
        <v>IZ in dorsomedial extrastriate cortex (V2)</v>
      </c>
      <c r="F409" s="9" t="str">
        <f>IFERROR(__xludf.DUMMYFUNCTION("""COMPUTED_VALUE"""),"Br")</f>
        <v>Br</v>
      </c>
      <c r="G409" s="9" t="str">
        <f>IFERROR(__xludf.DUMMYFUNCTION("""COMPUTED_VALUE"""),"F")</f>
        <v>F</v>
      </c>
      <c r="H409" s="9" t="str">
        <f>IFERROR(__xludf.DUMMYFUNCTION("""COMPUTED_VALUE"""),"FGM")</f>
        <v>FGM</v>
      </c>
      <c r="I409" s="9" t="str">
        <f>IFERROR(__xludf.DUMMYFUNCTION("""COMPUTED_VALUE"""),"FTS")</f>
        <v>FTS</v>
      </c>
      <c r="J409" s="9" t="str">
        <f>IFERROR(__xludf.DUMMYFUNCTION("""COMPUTED_VALUE"""),"IZ")</f>
        <v>IZ</v>
      </c>
      <c r="K409" s="9" t="str">
        <f>IFERROR(__xludf.DUMMYFUNCTION("""COMPUTED_VALUE"""),"oIZ")</f>
        <v>oIZ</v>
      </c>
      <c r="L409" s="9" t="str">
        <f>IFERROR(__xludf.DUMMYFUNCTION("""COMPUTED_VALUE"""),"oIZexs")</f>
        <v>oIZexs</v>
      </c>
      <c r="M409" s="9" t="str">
        <f>IFERROR(__xludf.DUMMYFUNCTION("""COMPUTED_VALUE"""),"oIZdm")</f>
        <v>oIZdm</v>
      </c>
      <c r="N409" s="9"/>
      <c r="O409" s="9"/>
      <c r="P409" s="9"/>
      <c r="Q409" s="9"/>
      <c r="R409" s="9"/>
      <c r="S409" s="42"/>
      <c r="T409" s="42"/>
      <c r="U409" s="42"/>
      <c r="V409" s="42"/>
      <c r="W409" s="42"/>
      <c r="X409" s="42"/>
      <c r="Y409" s="42"/>
      <c r="Z409" s="42"/>
      <c r="AA409" s="42"/>
      <c r="AB409" s="42" t="str">
        <f>IFERROR(__xludf.DUMMYFUNCTION("""COMPUTED_VALUE"""),"allen institute")</f>
        <v>allen institute</v>
      </c>
      <c r="AC409" s="42" t="str">
        <f>IFERROR(__xludf.DUMMYFUNCTION("""COMPUTED_VALUE"""),"DHBA")</f>
        <v>DHBA</v>
      </c>
      <c r="AD409" s="42"/>
      <c r="AE409" s="42"/>
      <c r="AF409" s="9"/>
      <c r="AG409" s="9"/>
      <c r="AH409" s="42"/>
      <c r="AI409" s="42"/>
      <c r="AJ409" s="42"/>
      <c r="AK409" s="42"/>
      <c r="AL409" s="42"/>
      <c r="AM409" s="42"/>
      <c r="AN409" s="42"/>
      <c r="AO409" s="63" t="str">
        <f>IFERROR(__xludf.DUMMYFUNCTION("IF(ISBLANK(A409),,IF(ISBLANK(S409), A409&amp;"";"", TEXTJOIN(CHAR(10), TRUE, A409&amp;"";"", ARRAYFORMULA(VLOOKUP(SPLIT(S409, "";"" &amp; CHAR(10)), $A:$AO, 41, FALSE)))))"),"oIZdm;")</f>
        <v>oIZdm;</v>
      </c>
      <c r="AP409" s="89"/>
    </row>
    <row r="410">
      <c r="A410" s="151" t="str">
        <f>IFERROR(__xludf.DUMMYFUNCTION("""COMPUTED_VALUE"""),"oIZvm")</f>
        <v>oIZvm</v>
      </c>
      <c r="B410" s="42" t="str">
        <f>IFERROR(__xludf.DUMMYFUNCTION("""COMPUTED_VALUE"""),"DHBA")</f>
        <v>DHBA</v>
      </c>
      <c r="C410" s="42" t="str">
        <f>IFERROR(__xludf.DUMMYFUNCTION("""COMPUTED_VALUE"""),"IZ in ventromedial extrastriate cortex (VP)")</f>
        <v>IZ in ventromedial extrastriate cortex (VP)</v>
      </c>
      <c r="D410" s="42">
        <f>IFERROR(__xludf.DUMMYFUNCTION("""COMPUTED_VALUE"""),376.0)</f>
        <v>376</v>
      </c>
      <c r="E410" s="39" t="str">
        <f>IFERROR(__xludf.DUMMYFUNCTION("""COMPUTED_VALUE"""),"IZ in ventromedial extrastriate cortex (VP)")</f>
        <v>IZ in ventromedial extrastriate cortex (VP)</v>
      </c>
      <c r="F410" s="9" t="str">
        <f>IFERROR(__xludf.DUMMYFUNCTION("""COMPUTED_VALUE"""),"Br")</f>
        <v>Br</v>
      </c>
      <c r="G410" s="9" t="str">
        <f>IFERROR(__xludf.DUMMYFUNCTION("""COMPUTED_VALUE"""),"F")</f>
        <v>F</v>
      </c>
      <c r="H410" s="9" t="str">
        <f>IFERROR(__xludf.DUMMYFUNCTION("""COMPUTED_VALUE"""),"FGM")</f>
        <v>FGM</v>
      </c>
      <c r="I410" s="9" t="str">
        <f>IFERROR(__xludf.DUMMYFUNCTION("""COMPUTED_VALUE"""),"FTS")</f>
        <v>FTS</v>
      </c>
      <c r="J410" s="9" t="str">
        <f>IFERROR(__xludf.DUMMYFUNCTION("""COMPUTED_VALUE"""),"IZ")</f>
        <v>IZ</v>
      </c>
      <c r="K410" s="9" t="str">
        <f>IFERROR(__xludf.DUMMYFUNCTION("""COMPUTED_VALUE"""),"oIZ")</f>
        <v>oIZ</v>
      </c>
      <c r="L410" s="9" t="str">
        <f>IFERROR(__xludf.DUMMYFUNCTION("""COMPUTED_VALUE"""),"oIZexs")</f>
        <v>oIZexs</v>
      </c>
      <c r="M410" s="9" t="str">
        <f>IFERROR(__xludf.DUMMYFUNCTION("""COMPUTED_VALUE"""),"oIZvm")</f>
        <v>oIZvm</v>
      </c>
      <c r="N410" s="9"/>
      <c r="O410" s="9"/>
      <c r="P410" s="9"/>
      <c r="Q410" s="9"/>
      <c r="R410" s="9"/>
      <c r="S410" s="42"/>
      <c r="T410" s="42"/>
      <c r="U410" s="42"/>
      <c r="V410" s="42"/>
      <c r="W410" s="42"/>
      <c r="X410" s="42"/>
      <c r="Y410" s="42"/>
      <c r="Z410" s="42"/>
      <c r="AA410" s="42"/>
      <c r="AB410" s="42" t="str">
        <f>IFERROR(__xludf.DUMMYFUNCTION("""COMPUTED_VALUE"""),"allen institute")</f>
        <v>allen institute</v>
      </c>
      <c r="AC410" s="42" t="str">
        <f>IFERROR(__xludf.DUMMYFUNCTION("""COMPUTED_VALUE"""),"DHBA")</f>
        <v>DHBA</v>
      </c>
      <c r="AD410" s="42"/>
      <c r="AE410" s="42"/>
      <c r="AF410" s="9"/>
      <c r="AG410" s="9"/>
      <c r="AH410" s="42"/>
      <c r="AI410" s="42"/>
      <c r="AJ410" s="42"/>
      <c r="AK410" s="42"/>
      <c r="AL410" s="42"/>
      <c r="AM410" s="42"/>
      <c r="AN410" s="42"/>
      <c r="AO410" s="63" t="str">
        <f>IFERROR(__xludf.DUMMYFUNCTION("IF(ISBLANK(A410),,IF(ISBLANK(S410), A410&amp;"";"", TEXTJOIN(CHAR(10), TRUE, A410&amp;"";"", ARRAYFORMULA(VLOOKUP(SPLIT(S410, "";"" &amp; CHAR(10)), $A:$AO, 41, FALSE)))))"),"oIZvm;")</f>
        <v>oIZvm;</v>
      </c>
      <c r="AP410" s="89"/>
    </row>
    <row r="411">
      <c r="A411" s="151" t="str">
        <f>IFERROR(__xludf.DUMMYFUNCTION("""COMPUTED_VALUE"""),"oIZml")</f>
        <v>oIZml</v>
      </c>
      <c r="B411" s="42" t="str">
        <f>IFERROR(__xludf.DUMMYFUNCTION("""COMPUTED_VALUE"""),"DHBA")</f>
        <v>DHBA</v>
      </c>
      <c r="C411" s="42" t="str">
        <f>IFERROR(__xludf.DUMMYFUNCTION("""COMPUTED_VALUE"""),"IZ in midlateral extrastriate cortex (area 19)")</f>
        <v>IZ in midlateral extrastriate cortex (area 19)</v>
      </c>
      <c r="D411" s="42">
        <f>IFERROR(__xludf.DUMMYFUNCTION("""COMPUTED_VALUE"""),377.0)</f>
        <v>377</v>
      </c>
      <c r="E411" s="39" t="str">
        <f>IFERROR(__xludf.DUMMYFUNCTION("""COMPUTED_VALUE"""),"IZ in midlateral extrastriate cortex (area 19)")</f>
        <v>IZ in midlateral extrastriate cortex (area 19)</v>
      </c>
      <c r="F411" s="9" t="str">
        <f>IFERROR(__xludf.DUMMYFUNCTION("""COMPUTED_VALUE"""),"Br")</f>
        <v>Br</v>
      </c>
      <c r="G411" s="9" t="str">
        <f>IFERROR(__xludf.DUMMYFUNCTION("""COMPUTED_VALUE"""),"F")</f>
        <v>F</v>
      </c>
      <c r="H411" s="9" t="str">
        <f>IFERROR(__xludf.DUMMYFUNCTION("""COMPUTED_VALUE"""),"FGM")</f>
        <v>FGM</v>
      </c>
      <c r="I411" s="9" t="str">
        <f>IFERROR(__xludf.DUMMYFUNCTION("""COMPUTED_VALUE"""),"FTS")</f>
        <v>FTS</v>
      </c>
      <c r="J411" s="9" t="str">
        <f>IFERROR(__xludf.DUMMYFUNCTION("""COMPUTED_VALUE"""),"IZ")</f>
        <v>IZ</v>
      </c>
      <c r="K411" s="9" t="str">
        <f>IFERROR(__xludf.DUMMYFUNCTION("""COMPUTED_VALUE"""),"oIZ")</f>
        <v>oIZ</v>
      </c>
      <c r="L411" s="9" t="str">
        <f>IFERROR(__xludf.DUMMYFUNCTION("""COMPUTED_VALUE"""),"oIZexs")</f>
        <v>oIZexs</v>
      </c>
      <c r="M411" s="9" t="str">
        <f>IFERROR(__xludf.DUMMYFUNCTION("""COMPUTED_VALUE"""),"oIZml")</f>
        <v>oIZml</v>
      </c>
      <c r="N411" s="9"/>
      <c r="O411" s="9"/>
      <c r="P411" s="9"/>
      <c r="Q411" s="9"/>
      <c r="R411" s="9"/>
      <c r="S411" s="42"/>
      <c r="T411" s="42"/>
      <c r="U411" s="42"/>
      <c r="V411" s="42"/>
      <c r="W411" s="42"/>
      <c r="X411" s="42"/>
      <c r="Y411" s="42"/>
      <c r="Z411" s="42"/>
      <c r="AA411" s="42"/>
      <c r="AB411" s="42" t="str">
        <f>IFERROR(__xludf.DUMMYFUNCTION("""COMPUTED_VALUE"""),"allen institute")</f>
        <v>allen institute</v>
      </c>
      <c r="AC411" s="42" t="str">
        <f>IFERROR(__xludf.DUMMYFUNCTION("""COMPUTED_VALUE"""),"DHBA")</f>
        <v>DHBA</v>
      </c>
      <c r="AD411" s="42"/>
      <c r="AE411" s="42"/>
      <c r="AF411" s="9"/>
      <c r="AG411" s="9"/>
      <c r="AH411" s="42"/>
      <c r="AI411" s="42"/>
      <c r="AJ411" s="42"/>
      <c r="AK411" s="42"/>
      <c r="AL411" s="42"/>
      <c r="AM411" s="42"/>
      <c r="AN411" s="42"/>
      <c r="AO411" s="63" t="str">
        <f>IFERROR(__xludf.DUMMYFUNCTION("IF(ISBLANK(A411),,IF(ISBLANK(S411), A411&amp;"";"", TEXTJOIN(CHAR(10), TRUE, A411&amp;"";"", ARRAYFORMULA(VLOOKUP(SPLIT(S411, "";"" &amp; CHAR(10)), $A:$AO, 41, FALSE)))))"),"oIZml;")</f>
        <v>oIZml;</v>
      </c>
      <c r="AP411" s="89"/>
    </row>
    <row r="412">
      <c r="A412" s="151" t="str">
        <f>IFERROR(__xludf.DUMMYFUNCTION("""COMPUTED_VALUE"""),"iIZ")</f>
        <v>iIZ</v>
      </c>
      <c r="B412" s="42" t="str">
        <f>IFERROR(__xludf.DUMMYFUNCTION("""COMPUTED_VALUE"""),"DHBA")</f>
        <v>DHBA</v>
      </c>
      <c r="C412" s="42" t="str">
        <f>IFERROR(__xludf.DUMMYFUNCTION("""COMPUTED_VALUE"""),"IZ in insular neocortex")</f>
        <v>IZ in insular neocortex</v>
      </c>
      <c r="D412" s="42">
        <f>IFERROR(__xludf.DUMMYFUNCTION("""COMPUTED_VALUE"""),378.0)</f>
        <v>378</v>
      </c>
      <c r="E412" s="39" t="str">
        <f>IFERROR(__xludf.DUMMYFUNCTION("""COMPUTED_VALUE"""),"IZ in insular neocortex")</f>
        <v>IZ in insular neocortex</v>
      </c>
      <c r="F412" s="9" t="str">
        <f>IFERROR(__xludf.DUMMYFUNCTION("""COMPUTED_VALUE"""),"Br")</f>
        <v>Br</v>
      </c>
      <c r="G412" s="9" t="str">
        <f>IFERROR(__xludf.DUMMYFUNCTION("""COMPUTED_VALUE"""),"F")</f>
        <v>F</v>
      </c>
      <c r="H412" s="9" t="str">
        <f>IFERROR(__xludf.DUMMYFUNCTION("""COMPUTED_VALUE"""),"FGM")</f>
        <v>FGM</v>
      </c>
      <c r="I412" s="9" t="str">
        <f>IFERROR(__xludf.DUMMYFUNCTION("""COMPUTED_VALUE"""),"FTS")</f>
        <v>FTS</v>
      </c>
      <c r="J412" s="9" t="str">
        <f>IFERROR(__xludf.DUMMYFUNCTION("""COMPUTED_VALUE"""),"IZ")</f>
        <v>IZ</v>
      </c>
      <c r="K412" s="9" t="str">
        <f>IFERROR(__xludf.DUMMYFUNCTION("""COMPUTED_VALUE"""),"iIZ")</f>
        <v>iIZ</v>
      </c>
      <c r="L412" s="9"/>
      <c r="M412" s="9"/>
      <c r="N412" s="9"/>
      <c r="O412" s="9"/>
      <c r="P412" s="9"/>
      <c r="Q412" s="9"/>
      <c r="R412" s="9"/>
      <c r="S412" s="42" t="str">
        <f>IFERROR(__xludf.DUMMYFUNCTION("""COMPUTED_VALUE"""),"iIZdg;
iIZgr")</f>
        <v>iIZdg;
iIZgr</v>
      </c>
      <c r="T412" s="42"/>
      <c r="U412" s="42" t="b">
        <f>IFERROR(__xludf.DUMMYFUNCTION("""COMPUTED_VALUE"""),FALSE)</f>
        <v>0</v>
      </c>
      <c r="V412" s="42"/>
      <c r="W412" s="42"/>
      <c r="X412" s="42"/>
      <c r="Y412" s="42"/>
      <c r="Z412" s="42"/>
      <c r="AA412" s="42"/>
      <c r="AB412" s="42" t="str">
        <f>IFERROR(__xludf.DUMMYFUNCTION("""COMPUTED_VALUE"""),"allen institute")</f>
        <v>allen institute</v>
      </c>
      <c r="AC412" s="42" t="str">
        <f>IFERROR(__xludf.DUMMYFUNCTION("""COMPUTED_VALUE"""),"DHBA")</f>
        <v>DHBA</v>
      </c>
      <c r="AD412" s="42"/>
      <c r="AE412" s="42"/>
      <c r="AF412" s="9"/>
      <c r="AG412" s="9"/>
      <c r="AH412" s="42"/>
      <c r="AI412" s="42"/>
      <c r="AJ412" s="42"/>
      <c r="AK412" s="42"/>
      <c r="AL412" s="42"/>
      <c r="AM412" s="42"/>
      <c r="AN412" s="42"/>
      <c r="AO412" s="63" t="str">
        <f>IFERROR(__xludf.DUMMYFUNCTION("IF(ISBLANK(A412),,IF(ISBLANK(S412), A412&amp;"";"", TEXTJOIN(CHAR(10), TRUE, A412&amp;"";"", ARRAYFORMULA(VLOOKUP(SPLIT(S412, "";"" &amp; CHAR(10)), $A:$AO, 41, FALSE)))))"),"iIZ;
iIZdg;
iIZgr;")</f>
        <v>iIZ;
iIZdg;
iIZgr;</v>
      </c>
      <c r="AP412" s="89"/>
    </row>
    <row r="413">
      <c r="A413" s="151" t="str">
        <f>IFERROR(__xludf.DUMMYFUNCTION("""COMPUTED_VALUE"""),"iIZdg")</f>
        <v>iIZdg</v>
      </c>
      <c r="B413" s="42" t="str">
        <f>IFERROR(__xludf.DUMMYFUNCTION("""COMPUTED_VALUE"""),"DHBA")</f>
        <v>DHBA</v>
      </c>
      <c r="C413" s="42" t="str">
        <f>IFERROR(__xludf.DUMMYFUNCTION("""COMPUTED_VALUE"""),"IZ in dysgranular insular cortex")</f>
        <v>IZ in dysgranular insular cortex</v>
      </c>
      <c r="D413" s="42">
        <f>IFERROR(__xludf.DUMMYFUNCTION("""COMPUTED_VALUE"""),379.0)</f>
        <v>379</v>
      </c>
      <c r="E413" s="39" t="str">
        <f>IFERROR(__xludf.DUMMYFUNCTION("""COMPUTED_VALUE"""),"IZ in dysgranular insular cortex")</f>
        <v>IZ in dysgranular insular cortex</v>
      </c>
      <c r="F413" s="9" t="str">
        <f>IFERROR(__xludf.DUMMYFUNCTION("""COMPUTED_VALUE"""),"Br")</f>
        <v>Br</v>
      </c>
      <c r="G413" s="9" t="str">
        <f>IFERROR(__xludf.DUMMYFUNCTION("""COMPUTED_VALUE"""),"F")</f>
        <v>F</v>
      </c>
      <c r="H413" s="9" t="str">
        <f>IFERROR(__xludf.DUMMYFUNCTION("""COMPUTED_VALUE"""),"FGM")</f>
        <v>FGM</v>
      </c>
      <c r="I413" s="9" t="str">
        <f>IFERROR(__xludf.DUMMYFUNCTION("""COMPUTED_VALUE"""),"FTS")</f>
        <v>FTS</v>
      </c>
      <c r="J413" s="9" t="str">
        <f>IFERROR(__xludf.DUMMYFUNCTION("""COMPUTED_VALUE"""),"IZ")</f>
        <v>IZ</v>
      </c>
      <c r="K413" s="9" t="str">
        <f>IFERROR(__xludf.DUMMYFUNCTION("""COMPUTED_VALUE"""),"iIZ")</f>
        <v>iIZ</v>
      </c>
      <c r="L413" s="9" t="str">
        <f>IFERROR(__xludf.DUMMYFUNCTION("""COMPUTED_VALUE"""),"iIZdg")</f>
        <v>iIZdg</v>
      </c>
      <c r="M413" s="9"/>
      <c r="N413" s="9"/>
      <c r="O413" s="9"/>
      <c r="P413" s="9"/>
      <c r="Q413" s="9"/>
      <c r="R413" s="9"/>
      <c r="S413" s="42"/>
      <c r="T413" s="42"/>
      <c r="U413" s="42"/>
      <c r="V413" s="42"/>
      <c r="W413" s="42"/>
      <c r="X413" s="42"/>
      <c r="Y413" s="42"/>
      <c r="Z413" s="42"/>
      <c r="AA413" s="42"/>
      <c r="AB413" s="42" t="str">
        <f>IFERROR(__xludf.DUMMYFUNCTION("""COMPUTED_VALUE"""),"allen institute")</f>
        <v>allen institute</v>
      </c>
      <c r="AC413" s="42" t="str">
        <f>IFERROR(__xludf.DUMMYFUNCTION("""COMPUTED_VALUE"""),"DHBA")</f>
        <v>DHBA</v>
      </c>
      <c r="AD413" s="42"/>
      <c r="AE413" s="42"/>
      <c r="AF413" s="9"/>
      <c r="AG413" s="9"/>
      <c r="AH413" s="42"/>
      <c r="AI413" s="42"/>
      <c r="AJ413" s="42"/>
      <c r="AK413" s="42"/>
      <c r="AL413" s="42"/>
      <c r="AM413" s="42"/>
      <c r="AN413" s="42"/>
      <c r="AO413" s="63" t="str">
        <f>IFERROR(__xludf.DUMMYFUNCTION("IF(ISBLANK(A413),,IF(ISBLANK(S413), A413&amp;"";"", TEXTJOIN(CHAR(10), TRUE, A413&amp;"";"", ARRAYFORMULA(VLOOKUP(SPLIT(S413, "";"" &amp; CHAR(10)), $A:$AO, 41, FALSE)))))"),"iIZdg;")</f>
        <v>iIZdg;</v>
      </c>
      <c r="AP413" s="89"/>
    </row>
    <row r="414">
      <c r="A414" s="151" t="str">
        <f>IFERROR(__xludf.DUMMYFUNCTION("""COMPUTED_VALUE"""),"iIZgr")</f>
        <v>iIZgr</v>
      </c>
      <c r="B414" s="42" t="str">
        <f>IFERROR(__xludf.DUMMYFUNCTION("""COMPUTED_VALUE"""),"DHBA")</f>
        <v>DHBA</v>
      </c>
      <c r="C414" s="42" t="str">
        <f>IFERROR(__xludf.DUMMYFUNCTION("""COMPUTED_VALUE"""),"IZ in granular insular cortex")</f>
        <v>IZ in granular insular cortex</v>
      </c>
      <c r="D414" s="42">
        <f>IFERROR(__xludf.DUMMYFUNCTION("""COMPUTED_VALUE"""),380.0)</f>
        <v>380</v>
      </c>
      <c r="E414" s="39" t="str">
        <f>IFERROR(__xludf.DUMMYFUNCTION("""COMPUTED_VALUE"""),"IZ in granular insular cortex")</f>
        <v>IZ in granular insular cortex</v>
      </c>
      <c r="F414" s="9" t="str">
        <f>IFERROR(__xludf.DUMMYFUNCTION("""COMPUTED_VALUE"""),"Br")</f>
        <v>Br</v>
      </c>
      <c r="G414" s="9" t="str">
        <f>IFERROR(__xludf.DUMMYFUNCTION("""COMPUTED_VALUE"""),"F")</f>
        <v>F</v>
      </c>
      <c r="H414" s="9" t="str">
        <f>IFERROR(__xludf.DUMMYFUNCTION("""COMPUTED_VALUE"""),"FGM")</f>
        <v>FGM</v>
      </c>
      <c r="I414" s="9" t="str">
        <f>IFERROR(__xludf.DUMMYFUNCTION("""COMPUTED_VALUE"""),"FTS")</f>
        <v>FTS</v>
      </c>
      <c r="J414" s="9" t="str">
        <f>IFERROR(__xludf.DUMMYFUNCTION("""COMPUTED_VALUE"""),"IZ")</f>
        <v>IZ</v>
      </c>
      <c r="K414" s="9" t="str">
        <f>IFERROR(__xludf.DUMMYFUNCTION("""COMPUTED_VALUE"""),"iIZ")</f>
        <v>iIZ</v>
      </c>
      <c r="L414" s="9" t="str">
        <f>IFERROR(__xludf.DUMMYFUNCTION("""COMPUTED_VALUE"""),"iIZgr")</f>
        <v>iIZgr</v>
      </c>
      <c r="M414" s="9"/>
      <c r="N414" s="9"/>
      <c r="O414" s="9"/>
      <c r="P414" s="9"/>
      <c r="Q414" s="9"/>
      <c r="R414" s="9"/>
      <c r="S414" s="42"/>
      <c r="T414" s="42"/>
      <c r="U414" s="42"/>
      <c r="V414" s="42"/>
      <c r="W414" s="42"/>
      <c r="X414" s="42"/>
      <c r="Y414" s="42"/>
      <c r="Z414" s="42"/>
      <c r="AA414" s="42"/>
      <c r="AB414" s="42" t="str">
        <f>IFERROR(__xludf.DUMMYFUNCTION("""COMPUTED_VALUE"""),"allen institute")</f>
        <v>allen institute</v>
      </c>
      <c r="AC414" s="42" t="str">
        <f>IFERROR(__xludf.DUMMYFUNCTION("""COMPUTED_VALUE"""),"DHBA")</f>
        <v>DHBA</v>
      </c>
      <c r="AD414" s="42"/>
      <c r="AE414" s="42"/>
      <c r="AF414" s="9"/>
      <c r="AG414" s="9"/>
      <c r="AH414" s="42"/>
      <c r="AI414" s="42"/>
      <c r="AJ414" s="42"/>
      <c r="AK414" s="42"/>
      <c r="AL414" s="42"/>
      <c r="AM414" s="42"/>
      <c r="AN414" s="42"/>
      <c r="AO414" s="63" t="str">
        <f>IFERROR(__xludf.DUMMYFUNCTION("IF(ISBLANK(A414),,IF(ISBLANK(S414), A414&amp;"";"", TEXTJOIN(CHAR(10), TRUE, A414&amp;"";"", ARRAYFORMULA(VLOOKUP(SPLIT(S414, "";"" &amp; CHAR(10)), $A:$AO, 41, FALSE)))))"),"iIZgr;")</f>
        <v>iIZgr;</v>
      </c>
      <c r="AP414" s="89"/>
    </row>
    <row r="415">
      <c r="A415" s="151" t="str">
        <f>IFERROR(__xludf.DUMMYFUNCTION("""COMPUTED_VALUE"""),"cIZ")</f>
        <v>cIZ</v>
      </c>
      <c r="B415" s="42" t="str">
        <f>IFERROR(__xludf.DUMMYFUNCTION("""COMPUTED_VALUE"""),"DHBA")</f>
        <v>DHBA</v>
      </c>
      <c r="C415" s="42" t="str">
        <f>IFERROR(__xludf.DUMMYFUNCTION("""COMPUTED_VALUE"""),"IZ in cingulate neocortex")</f>
        <v>IZ in cingulate neocortex</v>
      </c>
      <c r="D415" s="42">
        <f>IFERROR(__xludf.DUMMYFUNCTION("""COMPUTED_VALUE"""),381.0)</f>
        <v>381</v>
      </c>
      <c r="E415" s="39" t="str">
        <f>IFERROR(__xludf.DUMMYFUNCTION("""COMPUTED_VALUE"""),"IZ in cingulate neocortex")</f>
        <v>IZ in cingulate neocortex</v>
      </c>
      <c r="F415" s="9" t="str">
        <f>IFERROR(__xludf.DUMMYFUNCTION("""COMPUTED_VALUE"""),"Br")</f>
        <v>Br</v>
      </c>
      <c r="G415" s="9" t="str">
        <f>IFERROR(__xludf.DUMMYFUNCTION("""COMPUTED_VALUE"""),"F")</f>
        <v>F</v>
      </c>
      <c r="H415" s="9" t="str">
        <f>IFERROR(__xludf.DUMMYFUNCTION("""COMPUTED_VALUE"""),"FGM")</f>
        <v>FGM</v>
      </c>
      <c r="I415" s="9" t="str">
        <f>IFERROR(__xludf.DUMMYFUNCTION("""COMPUTED_VALUE"""),"FTS")</f>
        <v>FTS</v>
      </c>
      <c r="J415" s="9" t="str">
        <f>IFERROR(__xludf.DUMMYFUNCTION("""COMPUTED_VALUE"""),"IZ")</f>
        <v>IZ</v>
      </c>
      <c r="K415" s="9" t="str">
        <f>IFERROR(__xludf.DUMMYFUNCTION("""COMPUTED_VALUE"""),"cIZ")</f>
        <v>cIZ</v>
      </c>
      <c r="L415" s="9"/>
      <c r="M415" s="9"/>
      <c r="N415" s="9"/>
      <c r="O415" s="9"/>
      <c r="P415" s="9"/>
      <c r="Q415" s="9"/>
      <c r="R415" s="9"/>
      <c r="S415" s="42" t="str">
        <f>IFERROR(__xludf.DUMMYFUNCTION("""COMPUTED_VALUE"""),"cIZr;
cIZmi;
cIZc;
cIZsg")</f>
        <v>cIZr;
cIZmi;
cIZc;
cIZsg</v>
      </c>
      <c r="T415" s="42"/>
      <c r="U415" s="42" t="b">
        <f>IFERROR(__xludf.DUMMYFUNCTION("""COMPUTED_VALUE"""),FALSE)</f>
        <v>0</v>
      </c>
      <c r="V415" s="42"/>
      <c r="W415" s="42"/>
      <c r="X415" s="42"/>
      <c r="Y415" s="42"/>
      <c r="Z415" s="42"/>
      <c r="AA415" s="42"/>
      <c r="AB415" s="42" t="str">
        <f>IFERROR(__xludf.DUMMYFUNCTION("""COMPUTED_VALUE"""),"allen institute")</f>
        <v>allen institute</v>
      </c>
      <c r="AC415" s="42" t="str">
        <f>IFERROR(__xludf.DUMMYFUNCTION("""COMPUTED_VALUE"""),"DHBA")</f>
        <v>DHBA</v>
      </c>
      <c r="AD415" s="42"/>
      <c r="AE415" s="42"/>
      <c r="AF415" s="9"/>
      <c r="AG415" s="9"/>
      <c r="AH415" s="42"/>
      <c r="AI415" s="42"/>
      <c r="AJ415" s="42"/>
      <c r="AK415" s="42"/>
      <c r="AL415" s="42"/>
      <c r="AM415" s="42"/>
      <c r="AN415" s="42"/>
      <c r="AO415" s="63" t="str">
        <f>IFERROR(__xludf.DUMMYFUNCTION("IF(ISBLANK(A415),,IF(ISBLANK(S415), A415&amp;"";"", TEXTJOIN(CHAR(10), TRUE, A415&amp;"";"", ARRAYFORMULA(VLOOKUP(SPLIT(S415, "";"" &amp; CHAR(10)), $A:$AO, 41, FALSE)))))"),"cIZ;
cIZr;
cIZmi;
cIZc;
cIZsg;")</f>
        <v>cIZ;
cIZr;
cIZmi;
cIZc;
cIZsg;</v>
      </c>
      <c r="AP415" s="89"/>
    </row>
    <row r="416">
      <c r="A416" s="151" t="str">
        <f>IFERROR(__xludf.DUMMYFUNCTION("""COMPUTED_VALUE"""),"cIZr")</f>
        <v>cIZr</v>
      </c>
      <c r="B416" s="42" t="str">
        <f>IFERROR(__xludf.DUMMYFUNCTION("""COMPUTED_VALUE"""),"DHBA")</f>
        <v>DHBA</v>
      </c>
      <c r="C416" s="42" t="str">
        <f>IFERROR(__xludf.DUMMYFUNCTION("""COMPUTED_VALUE"""),"IZ in rostral cingulate cortex")</f>
        <v>IZ in rostral cingulate cortex</v>
      </c>
      <c r="D416" s="42">
        <f>IFERROR(__xludf.DUMMYFUNCTION("""COMPUTED_VALUE"""),382.0)</f>
        <v>382</v>
      </c>
      <c r="E416" s="39" t="str">
        <f>IFERROR(__xludf.DUMMYFUNCTION("""COMPUTED_VALUE"""),"IZ in rostral cingulate cortex")</f>
        <v>IZ in rostral cingulate cortex</v>
      </c>
      <c r="F416" s="9" t="str">
        <f>IFERROR(__xludf.DUMMYFUNCTION("""COMPUTED_VALUE"""),"Br")</f>
        <v>Br</v>
      </c>
      <c r="G416" s="9" t="str">
        <f>IFERROR(__xludf.DUMMYFUNCTION("""COMPUTED_VALUE"""),"F")</f>
        <v>F</v>
      </c>
      <c r="H416" s="9" t="str">
        <f>IFERROR(__xludf.DUMMYFUNCTION("""COMPUTED_VALUE"""),"FGM")</f>
        <v>FGM</v>
      </c>
      <c r="I416" s="9" t="str">
        <f>IFERROR(__xludf.DUMMYFUNCTION("""COMPUTED_VALUE"""),"FTS")</f>
        <v>FTS</v>
      </c>
      <c r="J416" s="9" t="str">
        <f>IFERROR(__xludf.DUMMYFUNCTION("""COMPUTED_VALUE"""),"IZ")</f>
        <v>IZ</v>
      </c>
      <c r="K416" s="9" t="str">
        <f>IFERROR(__xludf.DUMMYFUNCTION("""COMPUTED_VALUE"""),"cIZ")</f>
        <v>cIZ</v>
      </c>
      <c r="L416" s="9" t="str">
        <f>IFERROR(__xludf.DUMMYFUNCTION("""COMPUTED_VALUE"""),"cIZr")</f>
        <v>cIZr</v>
      </c>
      <c r="M416" s="9"/>
      <c r="N416" s="9"/>
      <c r="O416" s="9"/>
      <c r="P416" s="9"/>
      <c r="Q416" s="9"/>
      <c r="R416" s="9"/>
      <c r="S416" s="42"/>
      <c r="T416" s="42"/>
      <c r="U416" s="42"/>
      <c r="V416" s="42"/>
      <c r="W416" s="42"/>
      <c r="X416" s="42"/>
      <c r="Y416" s="42"/>
      <c r="Z416" s="42"/>
      <c r="AA416" s="42"/>
      <c r="AB416" s="42" t="str">
        <f>IFERROR(__xludf.DUMMYFUNCTION("""COMPUTED_VALUE"""),"allen institute")</f>
        <v>allen institute</v>
      </c>
      <c r="AC416" s="42" t="str">
        <f>IFERROR(__xludf.DUMMYFUNCTION("""COMPUTED_VALUE"""),"DHBA")</f>
        <v>DHBA</v>
      </c>
      <c r="AD416" s="42"/>
      <c r="AE416" s="42"/>
      <c r="AF416" s="9"/>
      <c r="AG416" s="9"/>
      <c r="AH416" s="42"/>
      <c r="AI416" s="42"/>
      <c r="AJ416" s="42"/>
      <c r="AK416" s="42"/>
      <c r="AL416" s="42"/>
      <c r="AM416" s="42"/>
      <c r="AN416" s="42"/>
      <c r="AO416" s="63" t="str">
        <f>IFERROR(__xludf.DUMMYFUNCTION("IF(ISBLANK(A416),,IF(ISBLANK(S416), A416&amp;"";"", TEXTJOIN(CHAR(10), TRUE, A416&amp;"";"", ARRAYFORMULA(VLOOKUP(SPLIT(S416, "";"" &amp; CHAR(10)), $A:$AO, 41, FALSE)))))"),"cIZr;")</f>
        <v>cIZr;</v>
      </c>
      <c r="AP416" s="89"/>
    </row>
    <row r="417">
      <c r="A417" s="151" t="str">
        <f>IFERROR(__xludf.DUMMYFUNCTION("""COMPUTED_VALUE"""),"cIZmi")</f>
        <v>cIZmi</v>
      </c>
      <c r="B417" s="42" t="str">
        <f>IFERROR(__xludf.DUMMYFUNCTION("""COMPUTED_VALUE"""),"DHBA")</f>
        <v>DHBA</v>
      </c>
      <c r="C417" s="42" t="str">
        <f>IFERROR(__xludf.DUMMYFUNCTION("""COMPUTED_VALUE"""),"IZ in midcingulate cortex")</f>
        <v>IZ in midcingulate cortex</v>
      </c>
      <c r="D417" s="42">
        <f>IFERROR(__xludf.DUMMYFUNCTION("""COMPUTED_VALUE"""),383.0)</f>
        <v>383</v>
      </c>
      <c r="E417" s="39" t="str">
        <f>IFERROR(__xludf.DUMMYFUNCTION("""COMPUTED_VALUE"""),"IZ in midcingulate cortex")</f>
        <v>IZ in midcingulate cortex</v>
      </c>
      <c r="F417" s="9" t="str">
        <f>IFERROR(__xludf.DUMMYFUNCTION("""COMPUTED_VALUE"""),"Br")</f>
        <v>Br</v>
      </c>
      <c r="G417" s="9" t="str">
        <f>IFERROR(__xludf.DUMMYFUNCTION("""COMPUTED_VALUE"""),"F")</f>
        <v>F</v>
      </c>
      <c r="H417" s="9" t="str">
        <f>IFERROR(__xludf.DUMMYFUNCTION("""COMPUTED_VALUE"""),"FGM")</f>
        <v>FGM</v>
      </c>
      <c r="I417" s="9" t="str">
        <f>IFERROR(__xludf.DUMMYFUNCTION("""COMPUTED_VALUE"""),"FTS")</f>
        <v>FTS</v>
      </c>
      <c r="J417" s="9" t="str">
        <f>IFERROR(__xludf.DUMMYFUNCTION("""COMPUTED_VALUE"""),"IZ")</f>
        <v>IZ</v>
      </c>
      <c r="K417" s="9" t="str">
        <f>IFERROR(__xludf.DUMMYFUNCTION("""COMPUTED_VALUE"""),"cIZ")</f>
        <v>cIZ</v>
      </c>
      <c r="L417" s="9" t="str">
        <f>IFERROR(__xludf.DUMMYFUNCTION("""COMPUTED_VALUE"""),"cIZmi")</f>
        <v>cIZmi</v>
      </c>
      <c r="M417" s="9"/>
      <c r="N417" s="9"/>
      <c r="O417" s="9"/>
      <c r="P417" s="9"/>
      <c r="Q417" s="9"/>
      <c r="R417" s="9"/>
      <c r="S417" s="42"/>
      <c r="T417" s="42"/>
      <c r="U417" s="42"/>
      <c r="V417" s="42"/>
      <c r="W417" s="42"/>
      <c r="X417" s="42"/>
      <c r="Y417" s="42"/>
      <c r="Z417" s="42"/>
      <c r="AA417" s="42"/>
      <c r="AB417" s="42" t="str">
        <f>IFERROR(__xludf.DUMMYFUNCTION("""COMPUTED_VALUE"""),"allen institute")</f>
        <v>allen institute</v>
      </c>
      <c r="AC417" s="42" t="str">
        <f>IFERROR(__xludf.DUMMYFUNCTION("""COMPUTED_VALUE"""),"DHBA")</f>
        <v>DHBA</v>
      </c>
      <c r="AD417" s="42"/>
      <c r="AE417" s="42"/>
      <c r="AF417" s="9"/>
      <c r="AG417" s="9"/>
      <c r="AH417" s="42"/>
      <c r="AI417" s="42"/>
      <c r="AJ417" s="42"/>
      <c r="AK417" s="42"/>
      <c r="AL417" s="42"/>
      <c r="AM417" s="42"/>
      <c r="AN417" s="42"/>
      <c r="AO417" s="63" t="str">
        <f>IFERROR(__xludf.DUMMYFUNCTION("IF(ISBLANK(A417),,IF(ISBLANK(S417), A417&amp;"";"", TEXTJOIN(CHAR(10), TRUE, A417&amp;"";"", ARRAYFORMULA(VLOOKUP(SPLIT(S417, "";"" &amp; CHAR(10)), $A:$AO, 41, FALSE)))))"),"cIZmi;")</f>
        <v>cIZmi;</v>
      </c>
      <c r="AP417" s="89"/>
    </row>
    <row r="418">
      <c r="A418" s="151" t="str">
        <f>IFERROR(__xludf.DUMMYFUNCTION("""COMPUTED_VALUE"""),"cIZc")</f>
        <v>cIZc</v>
      </c>
      <c r="B418" s="42" t="str">
        <f>IFERROR(__xludf.DUMMYFUNCTION("""COMPUTED_VALUE"""),"DHBA")</f>
        <v>DHBA</v>
      </c>
      <c r="C418" s="42" t="str">
        <f>IFERROR(__xludf.DUMMYFUNCTION("""COMPUTED_VALUE"""),"IZ in caudal cingulate cortex")</f>
        <v>IZ in caudal cingulate cortex</v>
      </c>
      <c r="D418" s="42">
        <f>IFERROR(__xludf.DUMMYFUNCTION("""COMPUTED_VALUE"""),384.0)</f>
        <v>384</v>
      </c>
      <c r="E418" s="39" t="str">
        <f>IFERROR(__xludf.DUMMYFUNCTION("""COMPUTED_VALUE"""),"IZ in caudal cingulate cortex")</f>
        <v>IZ in caudal cingulate cortex</v>
      </c>
      <c r="F418" s="9" t="str">
        <f>IFERROR(__xludf.DUMMYFUNCTION("""COMPUTED_VALUE"""),"Br")</f>
        <v>Br</v>
      </c>
      <c r="G418" s="9" t="str">
        <f>IFERROR(__xludf.DUMMYFUNCTION("""COMPUTED_VALUE"""),"F")</f>
        <v>F</v>
      </c>
      <c r="H418" s="9" t="str">
        <f>IFERROR(__xludf.DUMMYFUNCTION("""COMPUTED_VALUE"""),"FGM")</f>
        <v>FGM</v>
      </c>
      <c r="I418" s="9" t="str">
        <f>IFERROR(__xludf.DUMMYFUNCTION("""COMPUTED_VALUE"""),"FTS")</f>
        <v>FTS</v>
      </c>
      <c r="J418" s="9" t="str">
        <f>IFERROR(__xludf.DUMMYFUNCTION("""COMPUTED_VALUE"""),"IZ")</f>
        <v>IZ</v>
      </c>
      <c r="K418" s="9" t="str">
        <f>IFERROR(__xludf.DUMMYFUNCTION("""COMPUTED_VALUE"""),"cIZ")</f>
        <v>cIZ</v>
      </c>
      <c r="L418" s="9" t="str">
        <f>IFERROR(__xludf.DUMMYFUNCTION("""COMPUTED_VALUE"""),"cIZc")</f>
        <v>cIZc</v>
      </c>
      <c r="M418" s="9"/>
      <c r="N418" s="9"/>
      <c r="O418" s="9"/>
      <c r="P418" s="9"/>
      <c r="Q418" s="9"/>
      <c r="R418" s="9"/>
      <c r="S418" s="42"/>
      <c r="T418" s="42"/>
      <c r="U418" s="42"/>
      <c r="V418" s="42"/>
      <c r="W418" s="42"/>
      <c r="X418" s="42"/>
      <c r="Y418" s="42"/>
      <c r="Z418" s="42"/>
      <c r="AA418" s="42"/>
      <c r="AB418" s="42" t="str">
        <f>IFERROR(__xludf.DUMMYFUNCTION("""COMPUTED_VALUE"""),"allen institute")</f>
        <v>allen institute</v>
      </c>
      <c r="AC418" s="42" t="str">
        <f>IFERROR(__xludf.DUMMYFUNCTION("""COMPUTED_VALUE"""),"DHBA")</f>
        <v>DHBA</v>
      </c>
      <c r="AD418" s="42"/>
      <c r="AE418" s="42"/>
      <c r="AF418" s="9"/>
      <c r="AG418" s="9"/>
      <c r="AH418" s="42"/>
      <c r="AI418" s="42"/>
      <c r="AJ418" s="42"/>
      <c r="AK418" s="42"/>
      <c r="AL418" s="42"/>
      <c r="AM418" s="42"/>
      <c r="AN418" s="42"/>
      <c r="AO418" s="63" t="str">
        <f>IFERROR(__xludf.DUMMYFUNCTION("IF(ISBLANK(A418),,IF(ISBLANK(S418), A418&amp;"";"", TEXTJOIN(CHAR(10), TRUE, A418&amp;"";"", ARRAYFORMULA(VLOOKUP(SPLIT(S418, "";"" &amp; CHAR(10)), $A:$AO, 41, FALSE)))))"),"cIZc;")</f>
        <v>cIZc;</v>
      </c>
      <c r="AP418" s="89"/>
    </row>
    <row r="419">
      <c r="A419" s="151" t="str">
        <f>IFERROR(__xludf.DUMMYFUNCTION("""COMPUTED_VALUE"""),"cIZsg")</f>
        <v>cIZsg</v>
      </c>
      <c r="B419" s="42" t="str">
        <f>IFERROR(__xludf.DUMMYFUNCTION("""COMPUTED_VALUE"""),"DHBA")</f>
        <v>DHBA</v>
      </c>
      <c r="C419" s="42" t="str">
        <f>IFERROR(__xludf.DUMMYFUNCTION("""COMPUTED_VALUE"""),"IZ in subgenual (subcallosal) cingulate cortex")</f>
        <v>IZ in subgenual (subcallosal) cingulate cortex</v>
      </c>
      <c r="D419" s="42">
        <f>IFERROR(__xludf.DUMMYFUNCTION("""COMPUTED_VALUE"""),385.0)</f>
        <v>385</v>
      </c>
      <c r="E419" s="39" t="str">
        <f>IFERROR(__xludf.DUMMYFUNCTION("""COMPUTED_VALUE"""),"IZ in subgenual (subcallosal) cingulate cortex")</f>
        <v>IZ in subgenual (subcallosal) cingulate cortex</v>
      </c>
      <c r="F419" s="9" t="str">
        <f>IFERROR(__xludf.DUMMYFUNCTION("""COMPUTED_VALUE"""),"Br")</f>
        <v>Br</v>
      </c>
      <c r="G419" s="9" t="str">
        <f>IFERROR(__xludf.DUMMYFUNCTION("""COMPUTED_VALUE"""),"F")</f>
        <v>F</v>
      </c>
      <c r="H419" s="9" t="str">
        <f>IFERROR(__xludf.DUMMYFUNCTION("""COMPUTED_VALUE"""),"FGM")</f>
        <v>FGM</v>
      </c>
      <c r="I419" s="9" t="str">
        <f>IFERROR(__xludf.DUMMYFUNCTION("""COMPUTED_VALUE"""),"FTS")</f>
        <v>FTS</v>
      </c>
      <c r="J419" s="9" t="str">
        <f>IFERROR(__xludf.DUMMYFUNCTION("""COMPUTED_VALUE"""),"IZ")</f>
        <v>IZ</v>
      </c>
      <c r="K419" s="9" t="str">
        <f>IFERROR(__xludf.DUMMYFUNCTION("""COMPUTED_VALUE"""),"cIZ")</f>
        <v>cIZ</v>
      </c>
      <c r="L419" s="9" t="str">
        <f>IFERROR(__xludf.DUMMYFUNCTION("""COMPUTED_VALUE"""),"cIZsg")</f>
        <v>cIZsg</v>
      </c>
      <c r="M419" s="9"/>
      <c r="N419" s="9"/>
      <c r="O419" s="9"/>
      <c r="P419" s="9"/>
      <c r="Q419" s="9"/>
      <c r="R419" s="9"/>
      <c r="S419" s="42"/>
      <c r="T419" s="42"/>
      <c r="U419" s="42"/>
      <c r="V419" s="42"/>
      <c r="W419" s="42"/>
      <c r="X419" s="42"/>
      <c r="Y419" s="42"/>
      <c r="Z419" s="42"/>
      <c r="AA419" s="42"/>
      <c r="AB419" s="42" t="str">
        <f>IFERROR(__xludf.DUMMYFUNCTION("""COMPUTED_VALUE"""),"allen institute")</f>
        <v>allen institute</v>
      </c>
      <c r="AC419" s="42" t="str">
        <f>IFERROR(__xludf.DUMMYFUNCTION("""COMPUTED_VALUE"""),"DHBA")</f>
        <v>DHBA</v>
      </c>
      <c r="AD419" s="42"/>
      <c r="AE419" s="42"/>
      <c r="AF419" s="9"/>
      <c r="AG419" s="9"/>
      <c r="AH419" s="42"/>
      <c r="AI419" s="42"/>
      <c r="AJ419" s="42"/>
      <c r="AK419" s="42"/>
      <c r="AL419" s="42"/>
      <c r="AM419" s="42"/>
      <c r="AN419" s="42"/>
      <c r="AO419" s="63" t="str">
        <f>IFERROR(__xludf.DUMMYFUNCTION("IF(ISBLANK(A419),,IF(ISBLANK(S419), A419&amp;"";"", TEXTJOIN(CHAR(10), TRUE, A419&amp;"";"", ARRAYFORMULA(VLOOKUP(SPLIT(S419, "";"" &amp; CHAR(10)), $A:$AO, 41, FALSE)))))"),"cIZsg;")</f>
        <v>cIZsg;</v>
      </c>
      <c r="AP419" s="89"/>
    </row>
    <row r="420">
      <c r="A420" s="151" t="str">
        <f>IFERROR(__xludf.DUMMYFUNCTION("""COMPUTED_VALUE"""),"peIZ")</f>
        <v>peIZ</v>
      </c>
      <c r="B420" s="42" t="str">
        <f>IFERROR(__xludf.DUMMYFUNCTION("""COMPUTED_VALUE"""),"DHBA")</f>
        <v>DHBA</v>
      </c>
      <c r="C420" s="42" t="str">
        <f>IFERROR(__xludf.DUMMYFUNCTION("""COMPUTED_VALUE"""),"IZ in periallocortex")</f>
        <v>IZ in periallocortex</v>
      </c>
      <c r="D420" s="42">
        <f>IFERROR(__xludf.DUMMYFUNCTION("""COMPUTED_VALUE"""),386.0)</f>
        <v>386</v>
      </c>
      <c r="E420" s="39" t="str">
        <f>IFERROR(__xludf.DUMMYFUNCTION("""COMPUTED_VALUE"""),"IZ in periallocortex")</f>
        <v>IZ in periallocortex</v>
      </c>
      <c r="F420" s="9" t="str">
        <f>IFERROR(__xludf.DUMMYFUNCTION("""COMPUTED_VALUE"""),"Br")</f>
        <v>Br</v>
      </c>
      <c r="G420" s="9" t="str">
        <f>IFERROR(__xludf.DUMMYFUNCTION("""COMPUTED_VALUE"""),"F")</f>
        <v>F</v>
      </c>
      <c r="H420" s="9" t="str">
        <f>IFERROR(__xludf.DUMMYFUNCTION("""COMPUTED_VALUE"""),"FGM")</f>
        <v>FGM</v>
      </c>
      <c r="I420" s="9" t="str">
        <f>IFERROR(__xludf.DUMMYFUNCTION("""COMPUTED_VALUE"""),"FTS")</f>
        <v>FTS</v>
      </c>
      <c r="J420" s="9" t="str">
        <f>IFERROR(__xludf.DUMMYFUNCTION("""COMPUTED_VALUE"""),"IZ")</f>
        <v>IZ</v>
      </c>
      <c r="K420" s="9" t="str">
        <f>IFERROR(__xludf.DUMMYFUNCTION("""COMPUTED_VALUE"""),"peIZ")</f>
        <v>peIZ</v>
      </c>
      <c r="L420" s="9"/>
      <c r="M420" s="9"/>
      <c r="N420" s="9"/>
      <c r="O420" s="9"/>
      <c r="P420" s="9"/>
      <c r="Q420" s="9"/>
      <c r="R420" s="9"/>
      <c r="S420" s="42" t="str">
        <f>IFERROR(__xludf.DUMMYFUNCTION("""COMPUTED_VALUE"""),"IZpc;
IZec;
IZprs;
IZrs")</f>
        <v>IZpc;
IZec;
IZprs;
IZrs</v>
      </c>
      <c r="T420" s="42"/>
      <c r="U420" s="42" t="b">
        <f>IFERROR(__xludf.DUMMYFUNCTION("""COMPUTED_VALUE"""),FALSE)</f>
        <v>0</v>
      </c>
      <c r="V420" s="42"/>
      <c r="W420" s="42"/>
      <c r="X420" s="42"/>
      <c r="Y420" s="42"/>
      <c r="Z420" s="42"/>
      <c r="AA420" s="42"/>
      <c r="AB420" s="42" t="str">
        <f>IFERROR(__xludf.DUMMYFUNCTION("""COMPUTED_VALUE"""),"allen institute")</f>
        <v>allen institute</v>
      </c>
      <c r="AC420" s="42" t="str">
        <f>IFERROR(__xludf.DUMMYFUNCTION("""COMPUTED_VALUE"""),"DHBA")</f>
        <v>DHBA</v>
      </c>
      <c r="AD420" s="42"/>
      <c r="AE420" s="42"/>
      <c r="AF420" s="9"/>
      <c r="AG420" s="9"/>
      <c r="AH420" s="42"/>
      <c r="AI420" s="42"/>
      <c r="AJ420" s="42"/>
      <c r="AK420" s="42"/>
      <c r="AL420" s="42"/>
      <c r="AM420" s="42"/>
      <c r="AN420" s="42"/>
      <c r="AO420" s="63" t="str">
        <f>IFERROR(__xludf.DUMMYFUNCTION("IF(ISBLANK(A420),,IF(ISBLANK(S420), A420&amp;"";"", TEXTJOIN(CHAR(10), TRUE, A420&amp;"";"", ARRAYFORMULA(VLOOKUP(SPLIT(S420, "";"" &amp; CHAR(10)), $A:$AO, 41, FALSE)))))"),"peIZ;
IZpc;
IZpcr;
IZpcc;
IZec;
IZlec;
IZmec;
IZprs;
IZprsr;
IZprsc;
IZrs;")</f>
        <v>peIZ;
IZpc;
IZpcr;
IZpcc;
IZec;
IZlec;
IZmec;
IZprs;
IZprsr;
IZprsc;
IZrs;</v>
      </c>
      <c r="AP420" s="89"/>
    </row>
    <row r="421">
      <c r="A421" s="151" t="str">
        <f>IFERROR(__xludf.DUMMYFUNCTION("""COMPUTED_VALUE"""),"IZpc")</f>
        <v>IZpc</v>
      </c>
      <c r="B421" s="42" t="str">
        <f>IFERROR(__xludf.DUMMYFUNCTION("""COMPUTED_VALUE"""),"DHBA")</f>
        <v>DHBA</v>
      </c>
      <c r="C421" s="42" t="str">
        <f>IFERROR(__xludf.DUMMYFUNCTION("""COMPUTED_VALUE"""),"IZ in perirhinal cortex")</f>
        <v>IZ in perirhinal cortex</v>
      </c>
      <c r="D421" s="42">
        <f>IFERROR(__xludf.DUMMYFUNCTION("""COMPUTED_VALUE"""),387.0)</f>
        <v>387</v>
      </c>
      <c r="E421" s="39" t="str">
        <f>IFERROR(__xludf.DUMMYFUNCTION("""COMPUTED_VALUE"""),"IZ in perirhinal cortex")</f>
        <v>IZ in perirhinal cortex</v>
      </c>
      <c r="F421" s="9" t="str">
        <f>IFERROR(__xludf.DUMMYFUNCTION("""COMPUTED_VALUE"""),"Br")</f>
        <v>Br</v>
      </c>
      <c r="G421" s="9" t="str">
        <f>IFERROR(__xludf.DUMMYFUNCTION("""COMPUTED_VALUE"""),"F")</f>
        <v>F</v>
      </c>
      <c r="H421" s="9" t="str">
        <f>IFERROR(__xludf.DUMMYFUNCTION("""COMPUTED_VALUE"""),"FGM")</f>
        <v>FGM</v>
      </c>
      <c r="I421" s="9" t="str">
        <f>IFERROR(__xludf.DUMMYFUNCTION("""COMPUTED_VALUE"""),"FTS")</f>
        <v>FTS</v>
      </c>
      <c r="J421" s="9" t="str">
        <f>IFERROR(__xludf.DUMMYFUNCTION("""COMPUTED_VALUE"""),"IZ")</f>
        <v>IZ</v>
      </c>
      <c r="K421" s="9" t="str">
        <f>IFERROR(__xludf.DUMMYFUNCTION("""COMPUTED_VALUE"""),"peIZ")</f>
        <v>peIZ</v>
      </c>
      <c r="L421" s="9" t="str">
        <f>IFERROR(__xludf.DUMMYFUNCTION("""COMPUTED_VALUE"""),"IZpc")</f>
        <v>IZpc</v>
      </c>
      <c r="M421" s="9"/>
      <c r="N421" s="9"/>
      <c r="O421" s="9"/>
      <c r="P421" s="9"/>
      <c r="Q421" s="9"/>
      <c r="R421" s="9"/>
      <c r="S421" s="42" t="str">
        <f>IFERROR(__xludf.DUMMYFUNCTION("""COMPUTED_VALUE"""),"IZpcr;
IZpcc")</f>
        <v>IZpcr;
IZpcc</v>
      </c>
      <c r="T421" s="42"/>
      <c r="U421" s="42" t="b">
        <f>IFERROR(__xludf.DUMMYFUNCTION("""COMPUTED_VALUE"""),FALSE)</f>
        <v>0</v>
      </c>
      <c r="V421" s="42"/>
      <c r="W421" s="42"/>
      <c r="X421" s="42"/>
      <c r="Y421" s="42"/>
      <c r="Z421" s="42"/>
      <c r="AA421" s="42"/>
      <c r="AB421" s="42" t="str">
        <f>IFERROR(__xludf.DUMMYFUNCTION("""COMPUTED_VALUE"""),"allen institute")</f>
        <v>allen institute</v>
      </c>
      <c r="AC421" s="42" t="str">
        <f>IFERROR(__xludf.DUMMYFUNCTION("""COMPUTED_VALUE"""),"DHBA")</f>
        <v>DHBA</v>
      </c>
      <c r="AD421" s="42"/>
      <c r="AE421" s="42"/>
      <c r="AF421" s="9"/>
      <c r="AG421" s="9"/>
      <c r="AH421" s="42"/>
      <c r="AI421" s="42"/>
      <c r="AJ421" s="42"/>
      <c r="AK421" s="42"/>
      <c r="AL421" s="42"/>
      <c r="AM421" s="42"/>
      <c r="AN421" s="42"/>
      <c r="AO421" s="63" t="str">
        <f>IFERROR(__xludf.DUMMYFUNCTION("IF(ISBLANK(A421),,IF(ISBLANK(S421), A421&amp;"";"", TEXTJOIN(CHAR(10), TRUE, A421&amp;"";"", ARRAYFORMULA(VLOOKUP(SPLIT(S421, "";"" &amp; CHAR(10)), $A:$AO, 41, FALSE)))))"),"IZpc;
IZpcr;
IZpcc;")</f>
        <v>IZpc;
IZpcr;
IZpcc;</v>
      </c>
      <c r="AP421" s="89"/>
    </row>
    <row r="422">
      <c r="A422" s="151" t="str">
        <f>IFERROR(__xludf.DUMMYFUNCTION("""COMPUTED_VALUE"""),"IZpcr")</f>
        <v>IZpcr</v>
      </c>
      <c r="B422" s="42" t="str">
        <f>IFERROR(__xludf.DUMMYFUNCTION("""COMPUTED_VALUE"""),"DHBA")</f>
        <v>DHBA</v>
      </c>
      <c r="C422" s="42" t="str">
        <f>IFERROR(__xludf.DUMMYFUNCTION("""COMPUTED_VALUE"""),"IZ in rostral perirhinal cortex")</f>
        <v>IZ in rostral perirhinal cortex</v>
      </c>
      <c r="D422" s="42">
        <f>IFERROR(__xludf.DUMMYFUNCTION("""COMPUTED_VALUE"""),388.0)</f>
        <v>388</v>
      </c>
      <c r="E422" s="39" t="str">
        <f>IFERROR(__xludf.DUMMYFUNCTION("""COMPUTED_VALUE"""),"IZ in rostral perirhinal cortex")</f>
        <v>IZ in rostral perirhinal cortex</v>
      </c>
      <c r="F422" s="9" t="str">
        <f>IFERROR(__xludf.DUMMYFUNCTION("""COMPUTED_VALUE"""),"Br")</f>
        <v>Br</v>
      </c>
      <c r="G422" s="9" t="str">
        <f>IFERROR(__xludf.DUMMYFUNCTION("""COMPUTED_VALUE"""),"F")</f>
        <v>F</v>
      </c>
      <c r="H422" s="9" t="str">
        <f>IFERROR(__xludf.DUMMYFUNCTION("""COMPUTED_VALUE"""),"FGM")</f>
        <v>FGM</v>
      </c>
      <c r="I422" s="9" t="str">
        <f>IFERROR(__xludf.DUMMYFUNCTION("""COMPUTED_VALUE"""),"FTS")</f>
        <v>FTS</v>
      </c>
      <c r="J422" s="9" t="str">
        <f>IFERROR(__xludf.DUMMYFUNCTION("""COMPUTED_VALUE"""),"IZ")</f>
        <v>IZ</v>
      </c>
      <c r="K422" s="9" t="str">
        <f>IFERROR(__xludf.DUMMYFUNCTION("""COMPUTED_VALUE"""),"peIZ")</f>
        <v>peIZ</v>
      </c>
      <c r="L422" s="9" t="str">
        <f>IFERROR(__xludf.DUMMYFUNCTION("""COMPUTED_VALUE"""),"IZpc")</f>
        <v>IZpc</v>
      </c>
      <c r="M422" s="9" t="str">
        <f>IFERROR(__xludf.DUMMYFUNCTION("""COMPUTED_VALUE"""),"IZpcr")</f>
        <v>IZpcr</v>
      </c>
      <c r="N422" s="9"/>
      <c r="O422" s="9"/>
      <c r="P422" s="9"/>
      <c r="Q422" s="9"/>
      <c r="R422" s="9"/>
      <c r="S422" s="42"/>
      <c r="T422" s="42"/>
      <c r="U422" s="42"/>
      <c r="V422" s="42"/>
      <c r="W422" s="42"/>
      <c r="X422" s="42"/>
      <c r="Y422" s="42"/>
      <c r="Z422" s="42"/>
      <c r="AA422" s="42"/>
      <c r="AB422" s="42" t="str">
        <f>IFERROR(__xludf.DUMMYFUNCTION("""COMPUTED_VALUE"""),"allen institute")</f>
        <v>allen institute</v>
      </c>
      <c r="AC422" s="42" t="str">
        <f>IFERROR(__xludf.DUMMYFUNCTION("""COMPUTED_VALUE"""),"DHBA")</f>
        <v>DHBA</v>
      </c>
      <c r="AD422" s="42"/>
      <c r="AE422" s="42"/>
      <c r="AF422" s="9"/>
      <c r="AG422" s="9"/>
      <c r="AH422" s="42"/>
      <c r="AI422" s="42"/>
      <c r="AJ422" s="42"/>
      <c r="AK422" s="42"/>
      <c r="AL422" s="42"/>
      <c r="AM422" s="42"/>
      <c r="AN422" s="42"/>
      <c r="AO422" s="63" t="str">
        <f>IFERROR(__xludf.DUMMYFUNCTION("IF(ISBLANK(A422),,IF(ISBLANK(S422), A422&amp;"";"", TEXTJOIN(CHAR(10), TRUE, A422&amp;"";"", ARRAYFORMULA(VLOOKUP(SPLIT(S422, "";"" &amp; CHAR(10)), $A:$AO, 41, FALSE)))))"),"IZpcr;")</f>
        <v>IZpcr;</v>
      </c>
      <c r="AP422" s="89"/>
    </row>
    <row r="423">
      <c r="A423" s="151" t="str">
        <f>IFERROR(__xludf.DUMMYFUNCTION("""COMPUTED_VALUE"""),"IZpcc")</f>
        <v>IZpcc</v>
      </c>
      <c r="B423" s="42" t="str">
        <f>IFERROR(__xludf.DUMMYFUNCTION("""COMPUTED_VALUE"""),"DHBA")</f>
        <v>DHBA</v>
      </c>
      <c r="C423" s="42" t="str">
        <f>IFERROR(__xludf.DUMMYFUNCTION("""COMPUTED_VALUE"""),"IZ in caudal perirhinal cortex")</f>
        <v>IZ in caudal perirhinal cortex</v>
      </c>
      <c r="D423" s="42">
        <f>IFERROR(__xludf.DUMMYFUNCTION("""COMPUTED_VALUE"""),389.0)</f>
        <v>389</v>
      </c>
      <c r="E423" s="39" t="str">
        <f>IFERROR(__xludf.DUMMYFUNCTION("""COMPUTED_VALUE"""),"IZ in caudal perirhinal cortex")</f>
        <v>IZ in caudal perirhinal cortex</v>
      </c>
      <c r="F423" s="9" t="str">
        <f>IFERROR(__xludf.DUMMYFUNCTION("""COMPUTED_VALUE"""),"Br")</f>
        <v>Br</v>
      </c>
      <c r="G423" s="9" t="str">
        <f>IFERROR(__xludf.DUMMYFUNCTION("""COMPUTED_VALUE"""),"F")</f>
        <v>F</v>
      </c>
      <c r="H423" s="9" t="str">
        <f>IFERROR(__xludf.DUMMYFUNCTION("""COMPUTED_VALUE"""),"FGM")</f>
        <v>FGM</v>
      </c>
      <c r="I423" s="9" t="str">
        <f>IFERROR(__xludf.DUMMYFUNCTION("""COMPUTED_VALUE"""),"FTS")</f>
        <v>FTS</v>
      </c>
      <c r="J423" s="9" t="str">
        <f>IFERROR(__xludf.DUMMYFUNCTION("""COMPUTED_VALUE"""),"IZ")</f>
        <v>IZ</v>
      </c>
      <c r="K423" s="9" t="str">
        <f>IFERROR(__xludf.DUMMYFUNCTION("""COMPUTED_VALUE"""),"peIZ")</f>
        <v>peIZ</v>
      </c>
      <c r="L423" s="9" t="str">
        <f>IFERROR(__xludf.DUMMYFUNCTION("""COMPUTED_VALUE"""),"IZpc")</f>
        <v>IZpc</v>
      </c>
      <c r="M423" s="9" t="str">
        <f>IFERROR(__xludf.DUMMYFUNCTION("""COMPUTED_VALUE"""),"IZpcc")</f>
        <v>IZpcc</v>
      </c>
      <c r="N423" s="9"/>
      <c r="O423" s="9"/>
      <c r="P423" s="9"/>
      <c r="Q423" s="9"/>
      <c r="R423" s="9"/>
      <c r="S423" s="42"/>
      <c r="T423" s="42"/>
      <c r="U423" s="42"/>
      <c r="V423" s="42"/>
      <c r="W423" s="42"/>
      <c r="X423" s="42"/>
      <c r="Y423" s="42"/>
      <c r="Z423" s="42"/>
      <c r="AA423" s="42"/>
      <c r="AB423" s="42" t="str">
        <f>IFERROR(__xludf.DUMMYFUNCTION("""COMPUTED_VALUE"""),"allen institute")</f>
        <v>allen institute</v>
      </c>
      <c r="AC423" s="42" t="str">
        <f>IFERROR(__xludf.DUMMYFUNCTION("""COMPUTED_VALUE"""),"DHBA")</f>
        <v>DHBA</v>
      </c>
      <c r="AD423" s="42"/>
      <c r="AE423" s="42"/>
      <c r="AF423" s="9"/>
      <c r="AG423" s="9"/>
      <c r="AH423" s="42"/>
      <c r="AI423" s="42"/>
      <c r="AJ423" s="42"/>
      <c r="AK423" s="42"/>
      <c r="AL423" s="42"/>
      <c r="AM423" s="42"/>
      <c r="AN423" s="42"/>
      <c r="AO423" s="63" t="str">
        <f>IFERROR(__xludf.DUMMYFUNCTION("IF(ISBLANK(A423),,IF(ISBLANK(S423), A423&amp;"";"", TEXTJOIN(CHAR(10), TRUE, A423&amp;"";"", ARRAYFORMULA(VLOOKUP(SPLIT(S423, "";"" &amp; CHAR(10)), $A:$AO, 41, FALSE)))))"),"IZpcc;")</f>
        <v>IZpcc;</v>
      </c>
      <c r="AP423" s="89"/>
    </row>
    <row r="424">
      <c r="A424" s="151" t="str">
        <f>IFERROR(__xludf.DUMMYFUNCTION("""COMPUTED_VALUE"""),"IZec")</f>
        <v>IZec</v>
      </c>
      <c r="B424" s="42" t="str">
        <f>IFERROR(__xludf.DUMMYFUNCTION("""COMPUTED_VALUE"""),"DHBA")</f>
        <v>DHBA</v>
      </c>
      <c r="C424" s="42" t="str">
        <f>IFERROR(__xludf.DUMMYFUNCTION("""COMPUTED_VALUE"""),"IZ in entorhinal cortex")</f>
        <v>IZ in entorhinal cortex</v>
      </c>
      <c r="D424" s="42">
        <f>IFERROR(__xludf.DUMMYFUNCTION("""COMPUTED_VALUE"""),390.0)</f>
        <v>390</v>
      </c>
      <c r="E424" s="39" t="str">
        <f>IFERROR(__xludf.DUMMYFUNCTION("""COMPUTED_VALUE"""),"IZ in entorhinal cortex")</f>
        <v>IZ in entorhinal cortex</v>
      </c>
      <c r="F424" s="9" t="str">
        <f>IFERROR(__xludf.DUMMYFUNCTION("""COMPUTED_VALUE"""),"Br")</f>
        <v>Br</v>
      </c>
      <c r="G424" s="9" t="str">
        <f>IFERROR(__xludf.DUMMYFUNCTION("""COMPUTED_VALUE"""),"F")</f>
        <v>F</v>
      </c>
      <c r="H424" s="9" t="str">
        <f>IFERROR(__xludf.DUMMYFUNCTION("""COMPUTED_VALUE"""),"FGM")</f>
        <v>FGM</v>
      </c>
      <c r="I424" s="9" t="str">
        <f>IFERROR(__xludf.DUMMYFUNCTION("""COMPUTED_VALUE"""),"FTS")</f>
        <v>FTS</v>
      </c>
      <c r="J424" s="9" t="str">
        <f>IFERROR(__xludf.DUMMYFUNCTION("""COMPUTED_VALUE"""),"IZ")</f>
        <v>IZ</v>
      </c>
      <c r="K424" s="9" t="str">
        <f>IFERROR(__xludf.DUMMYFUNCTION("""COMPUTED_VALUE"""),"peIZ")</f>
        <v>peIZ</v>
      </c>
      <c r="L424" s="9" t="str">
        <f>IFERROR(__xludf.DUMMYFUNCTION("""COMPUTED_VALUE"""),"IZec")</f>
        <v>IZec</v>
      </c>
      <c r="M424" s="9"/>
      <c r="N424" s="9"/>
      <c r="O424" s="9"/>
      <c r="P424" s="9"/>
      <c r="Q424" s="9"/>
      <c r="R424" s="9"/>
      <c r="S424" s="42" t="str">
        <f>IFERROR(__xludf.DUMMYFUNCTION("""COMPUTED_VALUE"""),"IZlec;
IZmec")</f>
        <v>IZlec;
IZmec</v>
      </c>
      <c r="T424" s="42"/>
      <c r="U424" s="42" t="b">
        <f>IFERROR(__xludf.DUMMYFUNCTION("""COMPUTED_VALUE"""),FALSE)</f>
        <v>0</v>
      </c>
      <c r="V424" s="42"/>
      <c r="W424" s="42"/>
      <c r="X424" s="42"/>
      <c r="Y424" s="42"/>
      <c r="Z424" s="42"/>
      <c r="AA424" s="42"/>
      <c r="AB424" s="42" t="str">
        <f>IFERROR(__xludf.DUMMYFUNCTION("""COMPUTED_VALUE"""),"allen institute")</f>
        <v>allen institute</v>
      </c>
      <c r="AC424" s="42" t="str">
        <f>IFERROR(__xludf.DUMMYFUNCTION("""COMPUTED_VALUE"""),"DHBA")</f>
        <v>DHBA</v>
      </c>
      <c r="AD424" s="42"/>
      <c r="AE424" s="42"/>
      <c r="AF424" s="9"/>
      <c r="AG424" s="9"/>
      <c r="AH424" s="42"/>
      <c r="AI424" s="42"/>
      <c r="AJ424" s="42"/>
      <c r="AK424" s="42"/>
      <c r="AL424" s="42"/>
      <c r="AM424" s="42"/>
      <c r="AN424" s="42"/>
      <c r="AO424" s="63" t="str">
        <f>IFERROR(__xludf.DUMMYFUNCTION("IF(ISBLANK(A424),,IF(ISBLANK(S424), A424&amp;"";"", TEXTJOIN(CHAR(10), TRUE, A424&amp;"";"", ARRAYFORMULA(VLOOKUP(SPLIT(S424, "";"" &amp; CHAR(10)), $A:$AO, 41, FALSE)))))"),"IZec;
IZlec;
IZmec;")</f>
        <v>IZec;
IZlec;
IZmec;</v>
      </c>
      <c r="AP424" s="89"/>
    </row>
    <row r="425">
      <c r="A425" s="151" t="str">
        <f>IFERROR(__xludf.DUMMYFUNCTION("""COMPUTED_VALUE"""),"IZlec")</f>
        <v>IZlec</v>
      </c>
      <c r="B425" s="42" t="str">
        <f>IFERROR(__xludf.DUMMYFUNCTION("""COMPUTED_VALUE"""),"DHBA")</f>
        <v>DHBA</v>
      </c>
      <c r="C425" s="42" t="str">
        <f>IFERROR(__xludf.DUMMYFUNCTION("""COMPUTED_VALUE"""),"IZ in lateral (anterior) entorhinal cortex")</f>
        <v>IZ in lateral (anterior) entorhinal cortex</v>
      </c>
      <c r="D425" s="42">
        <f>IFERROR(__xludf.DUMMYFUNCTION("""COMPUTED_VALUE"""),391.0)</f>
        <v>391</v>
      </c>
      <c r="E425" s="39" t="str">
        <f>IFERROR(__xludf.DUMMYFUNCTION("""COMPUTED_VALUE"""),"IZ in lateral (anterior) entorhinal cortex")</f>
        <v>IZ in lateral (anterior) entorhinal cortex</v>
      </c>
      <c r="F425" s="9" t="str">
        <f>IFERROR(__xludf.DUMMYFUNCTION("""COMPUTED_VALUE"""),"Br")</f>
        <v>Br</v>
      </c>
      <c r="G425" s="9" t="str">
        <f>IFERROR(__xludf.DUMMYFUNCTION("""COMPUTED_VALUE"""),"F")</f>
        <v>F</v>
      </c>
      <c r="H425" s="9" t="str">
        <f>IFERROR(__xludf.DUMMYFUNCTION("""COMPUTED_VALUE"""),"FGM")</f>
        <v>FGM</v>
      </c>
      <c r="I425" s="9" t="str">
        <f>IFERROR(__xludf.DUMMYFUNCTION("""COMPUTED_VALUE"""),"FTS")</f>
        <v>FTS</v>
      </c>
      <c r="J425" s="9" t="str">
        <f>IFERROR(__xludf.DUMMYFUNCTION("""COMPUTED_VALUE"""),"IZ")</f>
        <v>IZ</v>
      </c>
      <c r="K425" s="9" t="str">
        <f>IFERROR(__xludf.DUMMYFUNCTION("""COMPUTED_VALUE"""),"peIZ")</f>
        <v>peIZ</v>
      </c>
      <c r="L425" s="9" t="str">
        <f>IFERROR(__xludf.DUMMYFUNCTION("""COMPUTED_VALUE"""),"IZec")</f>
        <v>IZec</v>
      </c>
      <c r="M425" s="9" t="str">
        <f>IFERROR(__xludf.DUMMYFUNCTION("""COMPUTED_VALUE"""),"IZlec")</f>
        <v>IZlec</v>
      </c>
      <c r="N425" s="9"/>
      <c r="O425" s="9"/>
      <c r="P425" s="9"/>
      <c r="Q425" s="9"/>
      <c r="R425" s="9"/>
      <c r="S425" s="42"/>
      <c r="T425" s="42"/>
      <c r="U425" s="42"/>
      <c r="V425" s="42"/>
      <c r="W425" s="42"/>
      <c r="X425" s="42"/>
      <c r="Y425" s="42"/>
      <c r="Z425" s="42"/>
      <c r="AA425" s="42"/>
      <c r="AB425" s="42" t="str">
        <f>IFERROR(__xludf.DUMMYFUNCTION("""COMPUTED_VALUE"""),"allen institute")</f>
        <v>allen institute</v>
      </c>
      <c r="AC425" s="42" t="str">
        <f>IFERROR(__xludf.DUMMYFUNCTION("""COMPUTED_VALUE"""),"DHBA")</f>
        <v>DHBA</v>
      </c>
      <c r="AD425" s="42"/>
      <c r="AE425" s="42"/>
      <c r="AF425" s="9"/>
      <c r="AG425" s="9"/>
      <c r="AH425" s="42"/>
      <c r="AI425" s="42"/>
      <c r="AJ425" s="42"/>
      <c r="AK425" s="42"/>
      <c r="AL425" s="42"/>
      <c r="AM425" s="42"/>
      <c r="AN425" s="42"/>
      <c r="AO425" s="63" t="str">
        <f>IFERROR(__xludf.DUMMYFUNCTION("IF(ISBLANK(A425),,IF(ISBLANK(S425), A425&amp;"";"", TEXTJOIN(CHAR(10), TRUE, A425&amp;"";"", ARRAYFORMULA(VLOOKUP(SPLIT(S425, "";"" &amp; CHAR(10)), $A:$AO, 41, FALSE)))))"),"IZlec;")</f>
        <v>IZlec;</v>
      </c>
      <c r="AP425" s="89"/>
    </row>
    <row r="426">
      <c r="A426" s="151" t="str">
        <f>IFERROR(__xludf.DUMMYFUNCTION("""COMPUTED_VALUE"""),"IZmec")</f>
        <v>IZmec</v>
      </c>
      <c r="B426" s="42" t="str">
        <f>IFERROR(__xludf.DUMMYFUNCTION("""COMPUTED_VALUE"""),"DHBA")</f>
        <v>DHBA</v>
      </c>
      <c r="C426" s="42" t="str">
        <f>IFERROR(__xludf.DUMMYFUNCTION("""COMPUTED_VALUE"""),"IZ in medial (posterior) entorhinal cortex")</f>
        <v>IZ in medial (posterior) entorhinal cortex</v>
      </c>
      <c r="D426" s="42">
        <f>IFERROR(__xludf.DUMMYFUNCTION("""COMPUTED_VALUE"""),392.0)</f>
        <v>392</v>
      </c>
      <c r="E426" s="39" t="str">
        <f>IFERROR(__xludf.DUMMYFUNCTION("""COMPUTED_VALUE"""),"IZ in medial (posterior) entorhinal cortex")</f>
        <v>IZ in medial (posterior) entorhinal cortex</v>
      </c>
      <c r="F426" s="9" t="str">
        <f>IFERROR(__xludf.DUMMYFUNCTION("""COMPUTED_VALUE"""),"Br")</f>
        <v>Br</v>
      </c>
      <c r="G426" s="9" t="str">
        <f>IFERROR(__xludf.DUMMYFUNCTION("""COMPUTED_VALUE"""),"F")</f>
        <v>F</v>
      </c>
      <c r="H426" s="9" t="str">
        <f>IFERROR(__xludf.DUMMYFUNCTION("""COMPUTED_VALUE"""),"FGM")</f>
        <v>FGM</v>
      </c>
      <c r="I426" s="9" t="str">
        <f>IFERROR(__xludf.DUMMYFUNCTION("""COMPUTED_VALUE"""),"FTS")</f>
        <v>FTS</v>
      </c>
      <c r="J426" s="9" t="str">
        <f>IFERROR(__xludf.DUMMYFUNCTION("""COMPUTED_VALUE"""),"IZ")</f>
        <v>IZ</v>
      </c>
      <c r="K426" s="9" t="str">
        <f>IFERROR(__xludf.DUMMYFUNCTION("""COMPUTED_VALUE"""),"peIZ")</f>
        <v>peIZ</v>
      </c>
      <c r="L426" s="9" t="str">
        <f>IFERROR(__xludf.DUMMYFUNCTION("""COMPUTED_VALUE"""),"IZec")</f>
        <v>IZec</v>
      </c>
      <c r="M426" s="9" t="str">
        <f>IFERROR(__xludf.DUMMYFUNCTION("""COMPUTED_VALUE"""),"IZmec")</f>
        <v>IZmec</v>
      </c>
      <c r="N426" s="9"/>
      <c r="O426" s="9"/>
      <c r="P426" s="9"/>
      <c r="Q426" s="9"/>
      <c r="R426" s="9"/>
      <c r="S426" s="42"/>
      <c r="T426" s="42"/>
      <c r="U426" s="42"/>
      <c r="V426" s="42"/>
      <c r="W426" s="42"/>
      <c r="X426" s="42"/>
      <c r="Y426" s="42"/>
      <c r="Z426" s="42"/>
      <c r="AA426" s="42"/>
      <c r="AB426" s="42" t="str">
        <f>IFERROR(__xludf.DUMMYFUNCTION("""COMPUTED_VALUE"""),"allen institute")</f>
        <v>allen institute</v>
      </c>
      <c r="AC426" s="42" t="str">
        <f>IFERROR(__xludf.DUMMYFUNCTION("""COMPUTED_VALUE"""),"DHBA")</f>
        <v>DHBA</v>
      </c>
      <c r="AD426" s="42"/>
      <c r="AE426" s="42"/>
      <c r="AF426" s="9"/>
      <c r="AG426" s="9"/>
      <c r="AH426" s="42"/>
      <c r="AI426" s="42"/>
      <c r="AJ426" s="42"/>
      <c r="AK426" s="42"/>
      <c r="AL426" s="42"/>
      <c r="AM426" s="42"/>
      <c r="AN426" s="42"/>
      <c r="AO426" s="63" t="str">
        <f>IFERROR(__xludf.DUMMYFUNCTION("IF(ISBLANK(A426),,IF(ISBLANK(S426), A426&amp;"";"", TEXTJOIN(CHAR(10), TRUE, A426&amp;"";"", ARRAYFORMULA(VLOOKUP(SPLIT(S426, "";"" &amp; CHAR(10)), $A:$AO, 41, FALSE)))))"),"IZmec;")</f>
        <v>IZmec;</v>
      </c>
      <c r="AP426" s="89"/>
    </row>
    <row r="427">
      <c r="A427" s="151" t="str">
        <f>IFERROR(__xludf.DUMMYFUNCTION("""COMPUTED_VALUE"""),"IZprs")</f>
        <v>IZprs</v>
      </c>
      <c r="B427" s="42" t="str">
        <f>IFERROR(__xludf.DUMMYFUNCTION("""COMPUTED_VALUE"""),"DHBA")</f>
        <v>DHBA</v>
      </c>
      <c r="C427" s="42" t="str">
        <f>IFERROR(__xludf.DUMMYFUNCTION("""COMPUTED_VALUE"""),"IZ in presubicular cortex")</f>
        <v>IZ in presubicular cortex</v>
      </c>
      <c r="D427" s="42">
        <f>IFERROR(__xludf.DUMMYFUNCTION("""COMPUTED_VALUE"""),393.0)</f>
        <v>393</v>
      </c>
      <c r="E427" s="39" t="str">
        <f>IFERROR(__xludf.DUMMYFUNCTION("""COMPUTED_VALUE"""),"IZ in presubicular cortex")</f>
        <v>IZ in presubicular cortex</v>
      </c>
      <c r="F427" s="9" t="str">
        <f>IFERROR(__xludf.DUMMYFUNCTION("""COMPUTED_VALUE"""),"Br")</f>
        <v>Br</v>
      </c>
      <c r="G427" s="9" t="str">
        <f>IFERROR(__xludf.DUMMYFUNCTION("""COMPUTED_VALUE"""),"F")</f>
        <v>F</v>
      </c>
      <c r="H427" s="9" t="str">
        <f>IFERROR(__xludf.DUMMYFUNCTION("""COMPUTED_VALUE"""),"FGM")</f>
        <v>FGM</v>
      </c>
      <c r="I427" s="9" t="str">
        <f>IFERROR(__xludf.DUMMYFUNCTION("""COMPUTED_VALUE"""),"FTS")</f>
        <v>FTS</v>
      </c>
      <c r="J427" s="9" t="str">
        <f>IFERROR(__xludf.DUMMYFUNCTION("""COMPUTED_VALUE"""),"IZ")</f>
        <v>IZ</v>
      </c>
      <c r="K427" s="9" t="str">
        <f>IFERROR(__xludf.DUMMYFUNCTION("""COMPUTED_VALUE"""),"peIZ")</f>
        <v>peIZ</v>
      </c>
      <c r="L427" s="9" t="str">
        <f>IFERROR(__xludf.DUMMYFUNCTION("""COMPUTED_VALUE"""),"IZprs")</f>
        <v>IZprs</v>
      </c>
      <c r="M427" s="9"/>
      <c r="N427" s="9"/>
      <c r="O427" s="9"/>
      <c r="P427" s="9"/>
      <c r="Q427" s="9"/>
      <c r="R427" s="9"/>
      <c r="S427" s="42" t="str">
        <f>IFERROR(__xludf.DUMMYFUNCTION("""COMPUTED_VALUE"""),"IZprsr;
IZprsc")</f>
        <v>IZprsr;
IZprsc</v>
      </c>
      <c r="T427" s="42"/>
      <c r="U427" s="42" t="b">
        <f>IFERROR(__xludf.DUMMYFUNCTION("""COMPUTED_VALUE"""),FALSE)</f>
        <v>0</v>
      </c>
      <c r="V427" s="42"/>
      <c r="W427" s="42"/>
      <c r="X427" s="42"/>
      <c r="Y427" s="42"/>
      <c r="Z427" s="42"/>
      <c r="AA427" s="42"/>
      <c r="AB427" s="42" t="str">
        <f>IFERROR(__xludf.DUMMYFUNCTION("""COMPUTED_VALUE"""),"allen institute")</f>
        <v>allen institute</v>
      </c>
      <c r="AC427" s="42" t="str">
        <f>IFERROR(__xludf.DUMMYFUNCTION("""COMPUTED_VALUE"""),"DHBA")</f>
        <v>DHBA</v>
      </c>
      <c r="AD427" s="42"/>
      <c r="AE427" s="42"/>
      <c r="AF427" s="9"/>
      <c r="AG427" s="9"/>
      <c r="AH427" s="42"/>
      <c r="AI427" s="42"/>
      <c r="AJ427" s="42"/>
      <c r="AK427" s="42"/>
      <c r="AL427" s="42"/>
      <c r="AM427" s="42"/>
      <c r="AN427" s="42"/>
      <c r="AO427" s="63" t="str">
        <f>IFERROR(__xludf.DUMMYFUNCTION("IF(ISBLANK(A427),,IF(ISBLANK(S427), A427&amp;"";"", TEXTJOIN(CHAR(10), TRUE, A427&amp;"";"", ARRAYFORMULA(VLOOKUP(SPLIT(S427, "";"" &amp; CHAR(10)), $A:$AO, 41, FALSE)))))"),"IZprs;
IZprsr;
IZprsc;")</f>
        <v>IZprs;
IZprsr;
IZprsc;</v>
      </c>
      <c r="AP427" s="89"/>
    </row>
    <row r="428">
      <c r="A428" s="151" t="str">
        <f>IFERROR(__xludf.DUMMYFUNCTION("""COMPUTED_VALUE"""),"IZprsr")</f>
        <v>IZprsr</v>
      </c>
      <c r="B428" s="42" t="str">
        <f>IFERROR(__xludf.DUMMYFUNCTION("""COMPUTED_VALUE"""),"DHBA")</f>
        <v>DHBA</v>
      </c>
      <c r="C428" s="42" t="str">
        <f>IFERROR(__xludf.DUMMYFUNCTION("""COMPUTED_VALUE"""),"IZ in rostral presubicular cortex")</f>
        <v>IZ in rostral presubicular cortex</v>
      </c>
      <c r="D428" s="42">
        <f>IFERROR(__xludf.DUMMYFUNCTION("""COMPUTED_VALUE"""),394.0)</f>
        <v>394</v>
      </c>
      <c r="E428" s="39" t="str">
        <f>IFERROR(__xludf.DUMMYFUNCTION("""COMPUTED_VALUE"""),"IZ in rostral presubicular cortex")</f>
        <v>IZ in rostral presubicular cortex</v>
      </c>
      <c r="F428" s="9" t="str">
        <f>IFERROR(__xludf.DUMMYFUNCTION("""COMPUTED_VALUE"""),"Br")</f>
        <v>Br</v>
      </c>
      <c r="G428" s="9" t="str">
        <f>IFERROR(__xludf.DUMMYFUNCTION("""COMPUTED_VALUE"""),"F")</f>
        <v>F</v>
      </c>
      <c r="H428" s="9" t="str">
        <f>IFERROR(__xludf.DUMMYFUNCTION("""COMPUTED_VALUE"""),"FGM")</f>
        <v>FGM</v>
      </c>
      <c r="I428" s="9" t="str">
        <f>IFERROR(__xludf.DUMMYFUNCTION("""COMPUTED_VALUE"""),"FTS")</f>
        <v>FTS</v>
      </c>
      <c r="J428" s="9" t="str">
        <f>IFERROR(__xludf.DUMMYFUNCTION("""COMPUTED_VALUE"""),"IZ")</f>
        <v>IZ</v>
      </c>
      <c r="K428" s="9" t="str">
        <f>IFERROR(__xludf.DUMMYFUNCTION("""COMPUTED_VALUE"""),"peIZ")</f>
        <v>peIZ</v>
      </c>
      <c r="L428" s="9" t="str">
        <f>IFERROR(__xludf.DUMMYFUNCTION("""COMPUTED_VALUE"""),"IZprs")</f>
        <v>IZprs</v>
      </c>
      <c r="M428" s="9" t="str">
        <f>IFERROR(__xludf.DUMMYFUNCTION("""COMPUTED_VALUE"""),"IZprsr")</f>
        <v>IZprsr</v>
      </c>
      <c r="N428" s="9"/>
      <c r="O428" s="9"/>
      <c r="P428" s="9"/>
      <c r="Q428" s="9"/>
      <c r="R428" s="9"/>
      <c r="S428" s="42"/>
      <c r="T428" s="42"/>
      <c r="U428" s="42"/>
      <c r="V428" s="42"/>
      <c r="W428" s="42"/>
      <c r="X428" s="42"/>
      <c r="Y428" s="42"/>
      <c r="Z428" s="42"/>
      <c r="AA428" s="42"/>
      <c r="AB428" s="42" t="str">
        <f>IFERROR(__xludf.DUMMYFUNCTION("""COMPUTED_VALUE"""),"allen institute")</f>
        <v>allen institute</v>
      </c>
      <c r="AC428" s="42" t="str">
        <f>IFERROR(__xludf.DUMMYFUNCTION("""COMPUTED_VALUE"""),"DHBA")</f>
        <v>DHBA</v>
      </c>
      <c r="AD428" s="42"/>
      <c r="AE428" s="42"/>
      <c r="AF428" s="9"/>
      <c r="AG428" s="9"/>
      <c r="AH428" s="42"/>
      <c r="AI428" s="42"/>
      <c r="AJ428" s="42"/>
      <c r="AK428" s="42"/>
      <c r="AL428" s="42"/>
      <c r="AM428" s="42"/>
      <c r="AN428" s="42"/>
      <c r="AO428" s="63" t="str">
        <f>IFERROR(__xludf.DUMMYFUNCTION("IF(ISBLANK(A428),,IF(ISBLANK(S428), A428&amp;"";"", TEXTJOIN(CHAR(10), TRUE, A428&amp;"";"", ARRAYFORMULA(VLOOKUP(SPLIT(S428, "";"" &amp; CHAR(10)), $A:$AO, 41, FALSE)))))"),"IZprsr;")</f>
        <v>IZprsr;</v>
      </c>
      <c r="AP428" s="89"/>
    </row>
    <row r="429">
      <c r="A429" s="151" t="str">
        <f>IFERROR(__xludf.DUMMYFUNCTION("""COMPUTED_VALUE"""),"IZprsc")</f>
        <v>IZprsc</v>
      </c>
      <c r="B429" s="42" t="str">
        <f>IFERROR(__xludf.DUMMYFUNCTION("""COMPUTED_VALUE"""),"DHBA")</f>
        <v>DHBA</v>
      </c>
      <c r="C429" s="42" t="str">
        <f>IFERROR(__xludf.DUMMYFUNCTION("""COMPUTED_VALUE"""),"IZ in caudal presubicular cortex")</f>
        <v>IZ in caudal presubicular cortex</v>
      </c>
      <c r="D429" s="42">
        <f>IFERROR(__xludf.DUMMYFUNCTION("""COMPUTED_VALUE"""),395.0)</f>
        <v>395</v>
      </c>
      <c r="E429" s="39" t="str">
        <f>IFERROR(__xludf.DUMMYFUNCTION("""COMPUTED_VALUE"""),"IZ in caudal presubicular cortex")</f>
        <v>IZ in caudal presubicular cortex</v>
      </c>
      <c r="F429" s="9" t="str">
        <f>IFERROR(__xludf.DUMMYFUNCTION("""COMPUTED_VALUE"""),"Br")</f>
        <v>Br</v>
      </c>
      <c r="G429" s="9" t="str">
        <f>IFERROR(__xludf.DUMMYFUNCTION("""COMPUTED_VALUE"""),"F")</f>
        <v>F</v>
      </c>
      <c r="H429" s="9" t="str">
        <f>IFERROR(__xludf.DUMMYFUNCTION("""COMPUTED_VALUE"""),"FGM")</f>
        <v>FGM</v>
      </c>
      <c r="I429" s="9" t="str">
        <f>IFERROR(__xludf.DUMMYFUNCTION("""COMPUTED_VALUE"""),"FTS")</f>
        <v>FTS</v>
      </c>
      <c r="J429" s="9" t="str">
        <f>IFERROR(__xludf.DUMMYFUNCTION("""COMPUTED_VALUE"""),"IZ")</f>
        <v>IZ</v>
      </c>
      <c r="K429" s="9" t="str">
        <f>IFERROR(__xludf.DUMMYFUNCTION("""COMPUTED_VALUE"""),"peIZ")</f>
        <v>peIZ</v>
      </c>
      <c r="L429" s="9" t="str">
        <f>IFERROR(__xludf.DUMMYFUNCTION("""COMPUTED_VALUE"""),"IZprs")</f>
        <v>IZprs</v>
      </c>
      <c r="M429" s="9" t="str">
        <f>IFERROR(__xludf.DUMMYFUNCTION("""COMPUTED_VALUE"""),"IZprsc")</f>
        <v>IZprsc</v>
      </c>
      <c r="N429" s="9"/>
      <c r="O429" s="9"/>
      <c r="P429" s="9"/>
      <c r="Q429" s="9"/>
      <c r="R429" s="9"/>
      <c r="S429" s="42"/>
      <c r="T429" s="42"/>
      <c r="U429" s="42"/>
      <c r="V429" s="42"/>
      <c r="W429" s="42"/>
      <c r="X429" s="42"/>
      <c r="Y429" s="42"/>
      <c r="Z429" s="42"/>
      <c r="AA429" s="42"/>
      <c r="AB429" s="42" t="str">
        <f>IFERROR(__xludf.DUMMYFUNCTION("""COMPUTED_VALUE"""),"allen institute")</f>
        <v>allen institute</v>
      </c>
      <c r="AC429" s="42" t="str">
        <f>IFERROR(__xludf.DUMMYFUNCTION("""COMPUTED_VALUE"""),"DHBA")</f>
        <v>DHBA</v>
      </c>
      <c r="AD429" s="42"/>
      <c r="AE429" s="42"/>
      <c r="AF429" s="9"/>
      <c r="AG429" s="9"/>
      <c r="AH429" s="42"/>
      <c r="AI429" s="42"/>
      <c r="AJ429" s="42"/>
      <c r="AK429" s="42"/>
      <c r="AL429" s="42"/>
      <c r="AM429" s="42"/>
      <c r="AN429" s="42"/>
      <c r="AO429" s="63" t="str">
        <f>IFERROR(__xludf.DUMMYFUNCTION("IF(ISBLANK(A429),,IF(ISBLANK(S429), A429&amp;"";"", TEXTJOIN(CHAR(10), TRUE, A429&amp;"";"", ARRAYFORMULA(VLOOKUP(SPLIT(S429, "";"" &amp; CHAR(10)), $A:$AO, 41, FALSE)))))"),"IZprsc;")</f>
        <v>IZprsc;</v>
      </c>
      <c r="AP429" s="89"/>
    </row>
    <row r="430">
      <c r="A430" s="151" t="str">
        <f>IFERROR(__xludf.DUMMYFUNCTION("""COMPUTED_VALUE"""),"IZrs")</f>
        <v>IZrs</v>
      </c>
      <c r="B430" s="42" t="str">
        <f>IFERROR(__xludf.DUMMYFUNCTION("""COMPUTED_VALUE"""),"DHBA")</f>
        <v>DHBA</v>
      </c>
      <c r="C430" s="42" t="str">
        <f>IFERROR(__xludf.DUMMYFUNCTION("""COMPUTED_VALUE"""),"IZ in retrosplenial cortex")</f>
        <v>IZ in retrosplenial cortex</v>
      </c>
      <c r="D430" s="42">
        <f>IFERROR(__xludf.DUMMYFUNCTION("""COMPUTED_VALUE"""),396.0)</f>
        <v>396</v>
      </c>
      <c r="E430" s="39" t="str">
        <f>IFERROR(__xludf.DUMMYFUNCTION("""COMPUTED_VALUE"""),"IZ in retrosplenial cortex")</f>
        <v>IZ in retrosplenial cortex</v>
      </c>
      <c r="F430" s="9" t="str">
        <f>IFERROR(__xludf.DUMMYFUNCTION("""COMPUTED_VALUE"""),"Br")</f>
        <v>Br</v>
      </c>
      <c r="G430" s="9" t="str">
        <f>IFERROR(__xludf.DUMMYFUNCTION("""COMPUTED_VALUE"""),"F")</f>
        <v>F</v>
      </c>
      <c r="H430" s="9" t="str">
        <f>IFERROR(__xludf.DUMMYFUNCTION("""COMPUTED_VALUE"""),"FGM")</f>
        <v>FGM</v>
      </c>
      <c r="I430" s="9" t="str">
        <f>IFERROR(__xludf.DUMMYFUNCTION("""COMPUTED_VALUE"""),"FTS")</f>
        <v>FTS</v>
      </c>
      <c r="J430" s="9" t="str">
        <f>IFERROR(__xludf.DUMMYFUNCTION("""COMPUTED_VALUE"""),"IZ")</f>
        <v>IZ</v>
      </c>
      <c r="K430" s="9" t="str">
        <f>IFERROR(__xludf.DUMMYFUNCTION("""COMPUTED_VALUE"""),"peIZ")</f>
        <v>peIZ</v>
      </c>
      <c r="L430" s="9" t="str">
        <f>IFERROR(__xludf.DUMMYFUNCTION("""COMPUTED_VALUE"""),"IZrs")</f>
        <v>IZrs</v>
      </c>
      <c r="M430" s="9"/>
      <c r="N430" s="9"/>
      <c r="O430" s="9"/>
      <c r="P430" s="9"/>
      <c r="Q430" s="9"/>
      <c r="R430" s="9"/>
      <c r="S430" s="42"/>
      <c r="T430" s="42"/>
      <c r="U430" s="42"/>
      <c r="V430" s="42"/>
      <c r="W430" s="42"/>
      <c r="X430" s="42"/>
      <c r="Y430" s="42"/>
      <c r="Z430" s="42"/>
      <c r="AA430" s="42"/>
      <c r="AB430" s="42" t="str">
        <f>IFERROR(__xludf.DUMMYFUNCTION("""COMPUTED_VALUE"""),"allen institute")</f>
        <v>allen institute</v>
      </c>
      <c r="AC430" s="42" t="str">
        <f>IFERROR(__xludf.DUMMYFUNCTION("""COMPUTED_VALUE"""),"DHBA")</f>
        <v>DHBA</v>
      </c>
      <c r="AD430" s="42"/>
      <c r="AE430" s="42"/>
      <c r="AF430" s="9"/>
      <c r="AG430" s="9"/>
      <c r="AH430" s="42"/>
      <c r="AI430" s="42"/>
      <c r="AJ430" s="42"/>
      <c r="AK430" s="42"/>
      <c r="AL430" s="42"/>
      <c r="AM430" s="42"/>
      <c r="AN430" s="42"/>
      <c r="AO430" s="63" t="str">
        <f>IFERROR(__xludf.DUMMYFUNCTION("IF(ISBLANK(A430),,IF(ISBLANK(S430), A430&amp;"";"", TEXTJOIN(CHAR(10), TRUE, A430&amp;"";"", ARRAYFORMULA(VLOOKUP(SPLIT(S430, "";"" &amp; CHAR(10)), $A:$AO, 41, FALSE)))))"),"IZrs;")</f>
        <v>IZrs;</v>
      </c>
      <c r="AP430" s="89"/>
    </row>
    <row r="431">
      <c r="A431" s="151" t="str">
        <f>IFERROR(__xludf.DUMMYFUNCTION("""COMPUTED_VALUE"""),"alIZ")</f>
        <v>alIZ</v>
      </c>
      <c r="B431" s="42" t="str">
        <f>IFERROR(__xludf.DUMMYFUNCTION("""COMPUTED_VALUE"""),"DHBA")</f>
        <v>DHBA</v>
      </c>
      <c r="C431" s="42" t="str">
        <f>IFERROR(__xludf.DUMMYFUNCTION("""COMPUTED_VALUE"""),"IZ in allocortex")</f>
        <v>IZ in allocortex</v>
      </c>
      <c r="D431" s="42">
        <f>IFERROR(__xludf.DUMMYFUNCTION("""COMPUTED_VALUE"""),397.0)</f>
        <v>397</v>
      </c>
      <c r="E431" s="39" t="str">
        <f>IFERROR(__xludf.DUMMYFUNCTION("""COMPUTED_VALUE"""),"IZ in allocortex")</f>
        <v>IZ in allocortex</v>
      </c>
      <c r="F431" s="9" t="str">
        <f>IFERROR(__xludf.DUMMYFUNCTION("""COMPUTED_VALUE"""),"Br")</f>
        <v>Br</v>
      </c>
      <c r="G431" s="9" t="str">
        <f>IFERROR(__xludf.DUMMYFUNCTION("""COMPUTED_VALUE"""),"F")</f>
        <v>F</v>
      </c>
      <c r="H431" s="9" t="str">
        <f>IFERROR(__xludf.DUMMYFUNCTION("""COMPUTED_VALUE"""),"FGM")</f>
        <v>FGM</v>
      </c>
      <c r="I431" s="9" t="str">
        <f>IFERROR(__xludf.DUMMYFUNCTION("""COMPUTED_VALUE"""),"FTS")</f>
        <v>FTS</v>
      </c>
      <c r="J431" s="9" t="str">
        <f>IFERROR(__xludf.DUMMYFUNCTION("""COMPUTED_VALUE"""),"IZ")</f>
        <v>IZ</v>
      </c>
      <c r="K431" s="9" t="str">
        <f>IFERROR(__xludf.DUMMYFUNCTION("""COMPUTED_VALUE"""),"alIZ")</f>
        <v>alIZ</v>
      </c>
      <c r="L431" s="9"/>
      <c r="M431" s="9"/>
      <c r="N431" s="9"/>
      <c r="O431" s="9"/>
      <c r="P431" s="9"/>
      <c r="Q431" s="9"/>
      <c r="R431" s="9"/>
      <c r="S431" s="42" t="str">
        <f>IFERROR(__xludf.DUMMYFUNCTION("""COMPUTED_VALUE"""),"IZhip;
IZsub")</f>
        <v>IZhip;
IZsub</v>
      </c>
      <c r="T431" s="42"/>
      <c r="U431" s="42" t="b">
        <f>IFERROR(__xludf.DUMMYFUNCTION("""COMPUTED_VALUE"""),FALSE)</f>
        <v>0</v>
      </c>
      <c r="V431" s="42"/>
      <c r="W431" s="42"/>
      <c r="X431" s="42"/>
      <c r="Y431" s="42"/>
      <c r="Z431" s="42"/>
      <c r="AA431" s="42"/>
      <c r="AB431" s="42" t="str">
        <f>IFERROR(__xludf.DUMMYFUNCTION("""COMPUTED_VALUE"""),"allen institute")</f>
        <v>allen institute</v>
      </c>
      <c r="AC431" s="42" t="str">
        <f>IFERROR(__xludf.DUMMYFUNCTION("""COMPUTED_VALUE"""),"DHBA")</f>
        <v>DHBA</v>
      </c>
      <c r="AD431" s="42"/>
      <c r="AE431" s="42"/>
      <c r="AF431" s="9"/>
      <c r="AG431" s="9"/>
      <c r="AH431" s="42"/>
      <c r="AI431" s="42"/>
      <c r="AJ431" s="42"/>
      <c r="AK431" s="42"/>
      <c r="AL431" s="42"/>
      <c r="AM431" s="42"/>
      <c r="AN431" s="42"/>
      <c r="AO431" s="63" t="str">
        <f>IFERROR(__xludf.DUMMYFUNCTION("IF(ISBLANK(A431),,IF(ISBLANK(S431), A431&amp;"";"", TEXTJOIN(CHAR(10), TRUE, A431&amp;"";"", ARRAYFORMULA(VLOOKUP(SPLIT(S431, "";"" &amp; CHAR(10)), $A:$AO, 41, FALSE)))))"),"alIZ;
IZhip;
IZhipr;
IZhipc;
IZsub;
IZsubr;
IZsubc;")</f>
        <v>alIZ;
IZhip;
IZhipr;
IZhipc;
IZsub;
IZsubr;
IZsubc;</v>
      </c>
      <c r="AP431" s="89"/>
    </row>
    <row r="432">
      <c r="A432" s="151" t="str">
        <f>IFERROR(__xludf.DUMMYFUNCTION("""COMPUTED_VALUE"""),"IZhip")</f>
        <v>IZhip</v>
      </c>
      <c r="B432" s="42" t="str">
        <f>IFERROR(__xludf.DUMMYFUNCTION("""COMPUTED_VALUE"""),"DHBA")</f>
        <v>DHBA</v>
      </c>
      <c r="C432" s="42" t="str">
        <f>IFERROR(__xludf.DUMMYFUNCTION("""COMPUTED_VALUE"""),"IZ in hippocampal proper")</f>
        <v>IZ in hippocampal proper</v>
      </c>
      <c r="D432" s="42">
        <f>IFERROR(__xludf.DUMMYFUNCTION("""COMPUTED_VALUE"""),398.0)</f>
        <v>398</v>
      </c>
      <c r="E432" s="39" t="str">
        <f>IFERROR(__xludf.DUMMYFUNCTION("""COMPUTED_VALUE"""),"IZ in hippocampal proper")</f>
        <v>IZ in hippocampal proper</v>
      </c>
      <c r="F432" s="9" t="str">
        <f>IFERROR(__xludf.DUMMYFUNCTION("""COMPUTED_VALUE"""),"Br")</f>
        <v>Br</v>
      </c>
      <c r="G432" s="9" t="str">
        <f>IFERROR(__xludf.DUMMYFUNCTION("""COMPUTED_VALUE"""),"F")</f>
        <v>F</v>
      </c>
      <c r="H432" s="9" t="str">
        <f>IFERROR(__xludf.DUMMYFUNCTION("""COMPUTED_VALUE"""),"FGM")</f>
        <v>FGM</v>
      </c>
      <c r="I432" s="9" t="str">
        <f>IFERROR(__xludf.DUMMYFUNCTION("""COMPUTED_VALUE"""),"FTS")</f>
        <v>FTS</v>
      </c>
      <c r="J432" s="9" t="str">
        <f>IFERROR(__xludf.DUMMYFUNCTION("""COMPUTED_VALUE"""),"IZ")</f>
        <v>IZ</v>
      </c>
      <c r="K432" s="9" t="str">
        <f>IFERROR(__xludf.DUMMYFUNCTION("""COMPUTED_VALUE"""),"alIZ")</f>
        <v>alIZ</v>
      </c>
      <c r="L432" s="9" t="str">
        <f>IFERROR(__xludf.DUMMYFUNCTION("""COMPUTED_VALUE"""),"IZhip")</f>
        <v>IZhip</v>
      </c>
      <c r="M432" s="9"/>
      <c r="N432" s="9"/>
      <c r="O432" s="9"/>
      <c r="P432" s="9"/>
      <c r="Q432" s="9"/>
      <c r="R432" s="9"/>
      <c r="S432" s="42" t="str">
        <f>IFERROR(__xludf.DUMMYFUNCTION("""COMPUTED_VALUE"""),"IZhipr;
IZhipc")</f>
        <v>IZhipr;
IZhipc</v>
      </c>
      <c r="T432" s="42"/>
      <c r="U432" s="42" t="b">
        <f>IFERROR(__xludf.DUMMYFUNCTION("""COMPUTED_VALUE"""),FALSE)</f>
        <v>0</v>
      </c>
      <c r="V432" s="42"/>
      <c r="W432" s="42"/>
      <c r="X432" s="42"/>
      <c r="Y432" s="42"/>
      <c r="Z432" s="42"/>
      <c r="AA432" s="42"/>
      <c r="AB432" s="42" t="str">
        <f>IFERROR(__xludf.DUMMYFUNCTION("""COMPUTED_VALUE"""),"allen institute")</f>
        <v>allen institute</v>
      </c>
      <c r="AC432" s="42" t="str">
        <f>IFERROR(__xludf.DUMMYFUNCTION("""COMPUTED_VALUE"""),"DHBA")</f>
        <v>DHBA</v>
      </c>
      <c r="AD432" s="42"/>
      <c r="AE432" s="42"/>
      <c r="AF432" s="9"/>
      <c r="AG432" s="9"/>
      <c r="AH432" s="42"/>
      <c r="AI432" s="42"/>
      <c r="AJ432" s="42"/>
      <c r="AK432" s="42"/>
      <c r="AL432" s="42"/>
      <c r="AM432" s="42"/>
      <c r="AN432" s="42"/>
      <c r="AO432" s="63" t="str">
        <f>IFERROR(__xludf.DUMMYFUNCTION("IF(ISBLANK(A432),,IF(ISBLANK(S432), A432&amp;"";"", TEXTJOIN(CHAR(10), TRUE, A432&amp;"";"", ARRAYFORMULA(VLOOKUP(SPLIT(S432, "";"" &amp; CHAR(10)), $A:$AO, 41, FALSE)))))"),"IZhip;
IZhipr;
IZhipc;")</f>
        <v>IZhip;
IZhipr;
IZhipc;</v>
      </c>
      <c r="AP432" s="89"/>
    </row>
    <row r="433">
      <c r="A433" s="151" t="str">
        <f>IFERROR(__xludf.DUMMYFUNCTION("""COMPUTED_VALUE"""),"IZhipr")</f>
        <v>IZhipr</v>
      </c>
      <c r="B433" s="42" t="str">
        <f>IFERROR(__xludf.DUMMYFUNCTION("""COMPUTED_VALUE"""),"DHBA")</f>
        <v>DHBA</v>
      </c>
      <c r="C433" s="42" t="str">
        <f>IFERROR(__xludf.DUMMYFUNCTION("""COMPUTED_VALUE"""),"IZ in rostral hippocampal proper")</f>
        <v>IZ in rostral hippocampal proper</v>
      </c>
      <c r="D433" s="42">
        <f>IFERROR(__xludf.DUMMYFUNCTION("""COMPUTED_VALUE"""),399.0)</f>
        <v>399</v>
      </c>
      <c r="E433" s="39" t="str">
        <f>IFERROR(__xludf.DUMMYFUNCTION("""COMPUTED_VALUE"""),"IZ in rostral hippocampal proper")</f>
        <v>IZ in rostral hippocampal proper</v>
      </c>
      <c r="F433" s="9" t="str">
        <f>IFERROR(__xludf.DUMMYFUNCTION("""COMPUTED_VALUE"""),"Br")</f>
        <v>Br</v>
      </c>
      <c r="G433" s="9" t="str">
        <f>IFERROR(__xludf.DUMMYFUNCTION("""COMPUTED_VALUE"""),"F")</f>
        <v>F</v>
      </c>
      <c r="H433" s="9" t="str">
        <f>IFERROR(__xludf.DUMMYFUNCTION("""COMPUTED_VALUE"""),"FGM")</f>
        <v>FGM</v>
      </c>
      <c r="I433" s="9" t="str">
        <f>IFERROR(__xludf.DUMMYFUNCTION("""COMPUTED_VALUE"""),"FTS")</f>
        <v>FTS</v>
      </c>
      <c r="J433" s="9" t="str">
        <f>IFERROR(__xludf.DUMMYFUNCTION("""COMPUTED_VALUE"""),"IZ")</f>
        <v>IZ</v>
      </c>
      <c r="K433" s="9" t="str">
        <f>IFERROR(__xludf.DUMMYFUNCTION("""COMPUTED_VALUE"""),"alIZ")</f>
        <v>alIZ</v>
      </c>
      <c r="L433" s="9" t="str">
        <f>IFERROR(__xludf.DUMMYFUNCTION("""COMPUTED_VALUE"""),"IZhip")</f>
        <v>IZhip</v>
      </c>
      <c r="M433" s="9" t="str">
        <f>IFERROR(__xludf.DUMMYFUNCTION("""COMPUTED_VALUE"""),"IZhipr")</f>
        <v>IZhipr</v>
      </c>
      <c r="N433" s="9"/>
      <c r="O433" s="9"/>
      <c r="P433" s="9"/>
      <c r="Q433" s="9"/>
      <c r="R433" s="9"/>
      <c r="S433" s="42"/>
      <c r="T433" s="42"/>
      <c r="U433" s="42"/>
      <c r="V433" s="42"/>
      <c r="W433" s="42"/>
      <c r="X433" s="42"/>
      <c r="Y433" s="42"/>
      <c r="Z433" s="42"/>
      <c r="AA433" s="42"/>
      <c r="AB433" s="42" t="str">
        <f>IFERROR(__xludf.DUMMYFUNCTION("""COMPUTED_VALUE"""),"allen institute")</f>
        <v>allen institute</v>
      </c>
      <c r="AC433" s="42" t="str">
        <f>IFERROR(__xludf.DUMMYFUNCTION("""COMPUTED_VALUE"""),"DHBA")</f>
        <v>DHBA</v>
      </c>
      <c r="AD433" s="42"/>
      <c r="AE433" s="42"/>
      <c r="AF433" s="9"/>
      <c r="AG433" s="9"/>
      <c r="AH433" s="42"/>
      <c r="AI433" s="42"/>
      <c r="AJ433" s="42"/>
      <c r="AK433" s="42"/>
      <c r="AL433" s="42"/>
      <c r="AM433" s="42"/>
      <c r="AN433" s="42"/>
      <c r="AO433" s="63" t="str">
        <f>IFERROR(__xludf.DUMMYFUNCTION("IF(ISBLANK(A433),,IF(ISBLANK(S433), A433&amp;"";"", TEXTJOIN(CHAR(10), TRUE, A433&amp;"";"", ARRAYFORMULA(VLOOKUP(SPLIT(S433, "";"" &amp; CHAR(10)), $A:$AO, 41, FALSE)))))"),"IZhipr;")</f>
        <v>IZhipr;</v>
      </c>
      <c r="AP433" s="89"/>
    </row>
    <row r="434">
      <c r="A434" s="151" t="str">
        <f>IFERROR(__xludf.DUMMYFUNCTION("""COMPUTED_VALUE"""),"IZhipc")</f>
        <v>IZhipc</v>
      </c>
      <c r="B434" s="42" t="str">
        <f>IFERROR(__xludf.DUMMYFUNCTION("""COMPUTED_VALUE"""),"DHBA")</f>
        <v>DHBA</v>
      </c>
      <c r="C434" s="42" t="str">
        <f>IFERROR(__xludf.DUMMYFUNCTION("""COMPUTED_VALUE"""),"IZ in caudal hippocampal proper")</f>
        <v>IZ in caudal hippocampal proper</v>
      </c>
      <c r="D434" s="42">
        <f>IFERROR(__xludf.DUMMYFUNCTION("""COMPUTED_VALUE"""),400.0)</f>
        <v>400</v>
      </c>
      <c r="E434" s="39" t="str">
        <f>IFERROR(__xludf.DUMMYFUNCTION("""COMPUTED_VALUE"""),"IZ in caudal hippocampal proper")</f>
        <v>IZ in caudal hippocampal proper</v>
      </c>
      <c r="F434" s="9" t="str">
        <f>IFERROR(__xludf.DUMMYFUNCTION("""COMPUTED_VALUE"""),"Br")</f>
        <v>Br</v>
      </c>
      <c r="G434" s="9" t="str">
        <f>IFERROR(__xludf.DUMMYFUNCTION("""COMPUTED_VALUE"""),"F")</f>
        <v>F</v>
      </c>
      <c r="H434" s="9" t="str">
        <f>IFERROR(__xludf.DUMMYFUNCTION("""COMPUTED_VALUE"""),"FGM")</f>
        <v>FGM</v>
      </c>
      <c r="I434" s="9" t="str">
        <f>IFERROR(__xludf.DUMMYFUNCTION("""COMPUTED_VALUE"""),"FTS")</f>
        <v>FTS</v>
      </c>
      <c r="J434" s="9" t="str">
        <f>IFERROR(__xludf.DUMMYFUNCTION("""COMPUTED_VALUE"""),"IZ")</f>
        <v>IZ</v>
      </c>
      <c r="K434" s="9" t="str">
        <f>IFERROR(__xludf.DUMMYFUNCTION("""COMPUTED_VALUE"""),"alIZ")</f>
        <v>alIZ</v>
      </c>
      <c r="L434" s="9" t="str">
        <f>IFERROR(__xludf.DUMMYFUNCTION("""COMPUTED_VALUE"""),"IZhip")</f>
        <v>IZhip</v>
      </c>
      <c r="M434" s="9" t="str">
        <f>IFERROR(__xludf.DUMMYFUNCTION("""COMPUTED_VALUE"""),"IZhipc")</f>
        <v>IZhipc</v>
      </c>
      <c r="N434" s="9"/>
      <c r="O434" s="9"/>
      <c r="P434" s="9"/>
      <c r="Q434" s="9"/>
      <c r="R434" s="9"/>
      <c r="S434" s="42"/>
      <c r="T434" s="42"/>
      <c r="U434" s="42"/>
      <c r="V434" s="42"/>
      <c r="W434" s="42"/>
      <c r="X434" s="42"/>
      <c r="Y434" s="42"/>
      <c r="Z434" s="42"/>
      <c r="AA434" s="42"/>
      <c r="AB434" s="42" t="str">
        <f>IFERROR(__xludf.DUMMYFUNCTION("""COMPUTED_VALUE"""),"allen institute")</f>
        <v>allen institute</v>
      </c>
      <c r="AC434" s="42" t="str">
        <f>IFERROR(__xludf.DUMMYFUNCTION("""COMPUTED_VALUE"""),"DHBA")</f>
        <v>DHBA</v>
      </c>
      <c r="AD434" s="42"/>
      <c r="AE434" s="42"/>
      <c r="AF434" s="9"/>
      <c r="AG434" s="9"/>
      <c r="AH434" s="42"/>
      <c r="AI434" s="42"/>
      <c r="AJ434" s="42"/>
      <c r="AK434" s="42"/>
      <c r="AL434" s="42"/>
      <c r="AM434" s="42"/>
      <c r="AN434" s="42"/>
      <c r="AO434" s="63" t="str">
        <f>IFERROR(__xludf.DUMMYFUNCTION("IF(ISBLANK(A434),,IF(ISBLANK(S434), A434&amp;"";"", TEXTJOIN(CHAR(10), TRUE, A434&amp;"";"", ARRAYFORMULA(VLOOKUP(SPLIT(S434, "";"" &amp; CHAR(10)), $A:$AO, 41, FALSE)))))"),"IZhipc;")</f>
        <v>IZhipc;</v>
      </c>
      <c r="AP434" s="89"/>
    </row>
    <row r="435">
      <c r="A435" s="151" t="str">
        <f>IFERROR(__xludf.DUMMYFUNCTION("""COMPUTED_VALUE"""),"IZsub")</f>
        <v>IZsub</v>
      </c>
      <c r="B435" s="42" t="str">
        <f>IFERROR(__xludf.DUMMYFUNCTION("""COMPUTED_VALUE"""),"DHBA")</f>
        <v>DHBA</v>
      </c>
      <c r="C435" s="42" t="str">
        <f>IFERROR(__xludf.DUMMYFUNCTION("""COMPUTED_VALUE"""),"IZ in subicular cortex")</f>
        <v>IZ in subicular cortex</v>
      </c>
      <c r="D435" s="42">
        <f>IFERROR(__xludf.DUMMYFUNCTION("""COMPUTED_VALUE"""),401.0)</f>
        <v>401</v>
      </c>
      <c r="E435" s="39" t="str">
        <f>IFERROR(__xludf.DUMMYFUNCTION("""COMPUTED_VALUE"""),"IZ in subicular cortex")</f>
        <v>IZ in subicular cortex</v>
      </c>
      <c r="F435" s="9" t="str">
        <f>IFERROR(__xludf.DUMMYFUNCTION("""COMPUTED_VALUE"""),"Br")</f>
        <v>Br</v>
      </c>
      <c r="G435" s="9" t="str">
        <f>IFERROR(__xludf.DUMMYFUNCTION("""COMPUTED_VALUE"""),"F")</f>
        <v>F</v>
      </c>
      <c r="H435" s="9" t="str">
        <f>IFERROR(__xludf.DUMMYFUNCTION("""COMPUTED_VALUE"""),"FGM")</f>
        <v>FGM</v>
      </c>
      <c r="I435" s="9" t="str">
        <f>IFERROR(__xludf.DUMMYFUNCTION("""COMPUTED_VALUE"""),"FTS")</f>
        <v>FTS</v>
      </c>
      <c r="J435" s="9" t="str">
        <f>IFERROR(__xludf.DUMMYFUNCTION("""COMPUTED_VALUE"""),"IZ")</f>
        <v>IZ</v>
      </c>
      <c r="K435" s="9" t="str">
        <f>IFERROR(__xludf.DUMMYFUNCTION("""COMPUTED_VALUE"""),"alIZ")</f>
        <v>alIZ</v>
      </c>
      <c r="L435" s="9" t="str">
        <f>IFERROR(__xludf.DUMMYFUNCTION("""COMPUTED_VALUE"""),"IZsub")</f>
        <v>IZsub</v>
      </c>
      <c r="M435" s="9"/>
      <c r="N435" s="9"/>
      <c r="O435" s="9"/>
      <c r="P435" s="9"/>
      <c r="Q435" s="9"/>
      <c r="R435" s="9"/>
      <c r="S435" s="42" t="str">
        <f>IFERROR(__xludf.DUMMYFUNCTION("""COMPUTED_VALUE"""),"IZsubr;
IZsubc")</f>
        <v>IZsubr;
IZsubc</v>
      </c>
      <c r="T435" s="42"/>
      <c r="U435" s="42" t="b">
        <f>IFERROR(__xludf.DUMMYFUNCTION("""COMPUTED_VALUE"""),FALSE)</f>
        <v>0</v>
      </c>
      <c r="V435" s="42"/>
      <c r="W435" s="42"/>
      <c r="X435" s="42"/>
      <c r="Y435" s="42"/>
      <c r="Z435" s="42"/>
      <c r="AA435" s="42"/>
      <c r="AB435" s="42" t="str">
        <f>IFERROR(__xludf.DUMMYFUNCTION("""COMPUTED_VALUE"""),"allen institute")</f>
        <v>allen institute</v>
      </c>
      <c r="AC435" s="42" t="str">
        <f>IFERROR(__xludf.DUMMYFUNCTION("""COMPUTED_VALUE"""),"DHBA")</f>
        <v>DHBA</v>
      </c>
      <c r="AD435" s="42"/>
      <c r="AE435" s="42"/>
      <c r="AF435" s="9"/>
      <c r="AG435" s="9"/>
      <c r="AH435" s="42"/>
      <c r="AI435" s="42"/>
      <c r="AJ435" s="42"/>
      <c r="AK435" s="42"/>
      <c r="AL435" s="42"/>
      <c r="AM435" s="42"/>
      <c r="AN435" s="42"/>
      <c r="AO435" s="63" t="str">
        <f>IFERROR(__xludf.DUMMYFUNCTION("IF(ISBLANK(A435),,IF(ISBLANK(S435), A435&amp;"";"", TEXTJOIN(CHAR(10), TRUE, A435&amp;"";"", ARRAYFORMULA(VLOOKUP(SPLIT(S435, "";"" &amp; CHAR(10)), $A:$AO, 41, FALSE)))))"),"IZsub;
IZsubr;
IZsubc;")</f>
        <v>IZsub;
IZsubr;
IZsubc;</v>
      </c>
      <c r="AP435" s="89"/>
    </row>
    <row r="436">
      <c r="A436" s="151" t="str">
        <f>IFERROR(__xludf.DUMMYFUNCTION("""COMPUTED_VALUE"""),"IZsubr")</f>
        <v>IZsubr</v>
      </c>
      <c r="B436" s="42" t="str">
        <f>IFERROR(__xludf.DUMMYFUNCTION("""COMPUTED_VALUE"""),"DHBA")</f>
        <v>DHBA</v>
      </c>
      <c r="C436" s="42" t="str">
        <f>IFERROR(__xludf.DUMMYFUNCTION("""COMPUTED_VALUE"""),"IZ in rostral subicular cortex")</f>
        <v>IZ in rostral subicular cortex</v>
      </c>
      <c r="D436" s="42">
        <f>IFERROR(__xludf.DUMMYFUNCTION("""COMPUTED_VALUE"""),402.0)</f>
        <v>402</v>
      </c>
      <c r="E436" s="39" t="str">
        <f>IFERROR(__xludf.DUMMYFUNCTION("""COMPUTED_VALUE"""),"IZ in rostral subicular cortex")</f>
        <v>IZ in rostral subicular cortex</v>
      </c>
      <c r="F436" s="9" t="str">
        <f>IFERROR(__xludf.DUMMYFUNCTION("""COMPUTED_VALUE"""),"Br")</f>
        <v>Br</v>
      </c>
      <c r="G436" s="9" t="str">
        <f>IFERROR(__xludf.DUMMYFUNCTION("""COMPUTED_VALUE"""),"F")</f>
        <v>F</v>
      </c>
      <c r="H436" s="9" t="str">
        <f>IFERROR(__xludf.DUMMYFUNCTION("""COMPUTED_VALUE"""),"FGM")</f>
        <v>FGM</v>
      </c>
      <c r="I436" s="9" t="str">
        <f>IFERROR(__xludf.DUMMYFUNCTION("""COMPUTED_VALUE"""),"FTS")</f>
        <v>FTS</v>
      </c>
      <c r="J436" s="9" t="str">
        <f>IFERROR(__xludf.DUMMYFUNCTION("""COMPUTED_VALUE"""),"IZ")</f>
        <v>IZ</v>
      </c>
      <c r="K436" s="9" t="str">
        <f>IFERROR(__xludf.DUMMYFUNCTION("""COMPUTED_VALUE"""),"alIZ")</f>
        <v>alIZ</v>
      </c>
      <c r="L436" s="9" t="str">
        <f>IFERROR(__xludf.DUMMYFUNCTION("""COMPUTED_VALUE"""),"IZsub")</f>
        <v>IZsub</v>
      </c>
      <c r="M436" s="9" t="str">
        <f>IFERROR(__xludf.DUMMYFUNCTION("""COMPUTED_VALUE"""),"IZsubr")</f>
        <v>IZsubr</v>
      </c>
      <c r="N436" s="9"/>
      <c r="O436" s="9"/>
      <c r="P436" s="9"/>
      <c r="Q436" s="9"/>
      <c r="R436" s="9"/>
      <c r="S436" s="42"/>
      <c r="T436" s="42"/>
      <c r="U436" s="159"/>
      <c r="V436" s="42"/>
      <c r="W436" s="42"/>
      <c r="X436" s="42"/>
      <c r="Y436" s="42"/>
      <c r="Z436" s="42"/>
      <c r="AA436" s="42"/>
      <c r="AB436" s="42" t="str">
        <f>IFERROR(__xludf.DUMMYFUNCTION("""COMPUTED_VALUE"""),"allen institute")</f>
        <v>allen institute</v>
      </c>
      <c r="AC436" s="42" t="str">
        <f>IFERROR(__xludf.DUMMYFUNCTION("""COMPUTED_VALUE"""),"DHBA")</f>
        <v>DHBA</v>
      </c>
      <c r="AD436" s="42"/>
      <c r="AE436" s="42"/>
      <c r="AF436" s="9"/>
      <c r="AG436" s="9"/>
      <c r="AH436" s="42"/>
      <c r="AI436" s="42"/>
      <c r="AJ436" s="42"/>
      <c r="AK436" s="42"/>
      <c r="AL436" s="42"/>
      <c r="AM436" s="42"/>
      <c r="AN436" s="42"/>
      <c r="AO436" s="63" t="str">
        <f>IFERROR(__xludf.DUMMYFUNCTION("IF(ISBLANK(A436),,IF(ISBLANK(S436), A436&amp;"";"", TEXTJOIN(CHAR(10), TRUE, A436&amp;"";"", ARRAYFORMULA(VLOOKUP(SPLIT(S436, "";"" &amp; CHAR(10)), $A:$AO, 41, FALSE)))))"),"IZsubr;")</f>
        <v>IZsubr;</v>
      </c>
      <c r="AP436" s="89"/>
    </row>
    <row r="437">
      <c r="A437" s="151" t="str">
        <f>IFERROR(__xludf.DUMMYFUNCTION("""COMPUTED_VALUE"""),"IZsubc")</f>
        <v>IZsubc</v>
      </c>
      <c r="B437" s="42" t="str">
        <f>IFERROR(__xludf.DUMMYFUNCTION("""COMPUTED_VALUE"""),"DHBA")</f>
        <v>DHBA</v>
      </c>
      <c r="C437" s="42" t="str">
        <f>IFERROR(__xludf.DUMMYFUNCTION("""COMPUTED_VALUE"""),"IZ in caudal subicular cortex")</f>
        <v>IZ in caudal subicular cortex</v>
      </c>
      <c r="D437" s="42">
        <f>IFERROR(__xludf.DUMMYFUNCTION("""COMPUTED_VALUE"""),403.0)</f>
        <v>403</v>
      </c>
      <c r="E437" s="39" t="str">
        <f>IFERROR(__xludf.DUMMYFUNCTION("""COMPUTED_VALUE"""),"IZ in caudal subicular cortex")</f>
        <v>IZ in caudal subicular cortex</v>
      </c>
      <c r="F437" s="9" t="str">
        <f>IFERROR(__xludf.DUMMYFUNCTION("""COMPUTED_VALUE"""),"Br")</f>
        <v>Br</v>
      </c>
      <c r="G437" s="9" t="str">
        <f>IFERROR(__xludf.DUMMYFUNCTION("""COMPUTED_VALUE"""),"F")</f>
        <v>F</v>
      </c>
      <c r="H437" s="9" t="str">
        <f>IFERROR(__xludf.DUMMYFUNCTION("""COMPUTED_VALUE"""),"FGM")</f>
        <v>FGM</v>
      </c>
      <c r="I437" s="9" t="str">
        <f>IFERROR(__xludf.DUMMYFUNCTION("""COMPUTED_VALUE"""),"FTS")</f>
        <v>FTS</v>
      </c>
      <c r="J437" s="9" t="str">
        <f>IFERROR(__xludf.DUMMYFUNCTION("""COMPUTED_VALUE"""),"IZ")</f>
        <v>IZ</v>
      </c>
      <c r="K437" s="9" t="str">
        <f>IFERROR(__xludf.DUMMYFUNCTION("""COMPUTED_VALUE"""),"alIZ")</f>
        <v>alIZ</v>
      </c>
      <c r="L437" s="9" t="str">
        <f>IFERROR(__xludf.DUMMYFUNCTION("""COMPUTED_VALUE"""),"IZsub")</f>
        <v>IZsub</v>
      </c>
      <c r="M437" s="9" t="str">
        <f>IFERROR(__xludf.DUMMYFUNCTION("""COMPUTED_VALUE"""),"IZsubc")</f>
        <v>IZsubc</v>
      </c>
      <c r="N437" s="9"/>
      <c r="O437" s="9"/>
      <c r="P437" s="9"/>
      <c r="Q437" s="9"/>
      <c r="R437" s="9"/>
      <c r="S437" s="42"/>
      <c r="T437" s="42"/>
      <c r="U437" s="42"/>
      <c r="V437" s="42"/>
      <c r="W437" s="42"/>
      <c r="X437" s="42"/>
      <c r="Y437" s="42"/>
      <c r="Z437" s="42"/>
      <c r="AA437" s="42"/>
      <c r="AB437" s="42" t="str">
        <f>IFERROR(__xludf.DUMMYFUNCTION("""COMPUTED_VALUE"""),"allen institute")</f>
        <v>allen institute</v>
      </c>
      <c r="AC437" s="42" t="str">
        <f>IFERROR(__xludf.DUMMYFUNCTION("""COMPUTED_VALUE"""),"DHBA")</f>
        <v>DHBA</v>
      </c>
      <c r="AD437" s="42"/>
      <c r="AE437" s="42"/>
      <c r="AF437" s="9"/>
      <c r="AG437" s="9"/>
      <c r="AH437" s="42"/>
      <c r="AI437" s="42"/>
      <c r="AJ437" s="42"/>
      <c r="AK437" s="42"/>
      <c r="AL437" s="42"/>
      <c r="AM437" s="42"/>
      <c r="AN437" s="42"/>
      <c r="AO437" s="63" t="str">
        <f>IFERROR(__xludf.DUMMYFUNCTION("IF(ISBLANK(A437),,IF(ISBLANK(S437), A437&amp;"";"", TEXTJOIN(CHAR(10), TRUE, A437&amp;"";"", ARRAYFORMULA(VLOOKUP(SPLIT(S437, "";"" &amp; CHAR(10)), $A:$AO, 41, FALSE)))))"),"IZsubc;")</f>
        <v>IZsubc;</v>
      </c>
      <c r="AP437" s="89"/>
    </row>
    <row r="438">
      <c r="A438" s="151" t="str">
        <f>IFERROR(__xludf.DUMMYFUNCTION("""COMPUTED_VALUE"""),"SZ")</f>
        <v>SZ</v>
      </c>
      <c r="B438" s="42" t="str">
        <f>IFERROR(__xludf.DUMMYFUNCTION("""COMPUTED_VALUE"""),"DHBA")</f>
        <v>DHBA</v>
      </c>
      <c r="C438" s="42" t="str">
        <f>IFERROR(__xludf.DUMMYFUNCTION("""COMPUTED_VALUE"""),"subventricular zone")</f>
        <v>subventricular zone</v>
      </c>
      <c r="D438" s="42">
        <f>IFERROR(__xludf.DUMMYFUNCTION("""COMPUTED_VALUE"""),404.0)</f>
        <v>404</v>
      </c>
      <c r="E438" s="39" t="str">
        <f>IFERROR(__xludf.DUMMYFUNCTION("""COMPUTED_VALUE"""),"subventricular zone")</f>
        <v>subventricular zone</v>
      </c>
      <c r="F438" s="9" t="str">
        <f>IFERROR(__xludf.DUMMYFUNCTION("""COMPUTED_VALUE"""),"Br")</f>
        <v>Br</v>
      </c>
      <c r="G438" s="9" t="str">
        <f>IFERROR(__xludf.DUMMYFUNCTION("""COMPUTED_VALUE"""),"F")</f>
        <v>F</v>
      </c>
      <c r="H438" s="9" t="str">
        <f>IFERROR(__xludf.DUMMYFUNCTION("""COMPUTED_VALUE"""),"FGM")</f>
        <v>FGM</v>
      </c>
      <c r="I438" s="9" t="str">
        <f>IFERROR(__xludf.DUMMYFUNCTION("""COMPUTED_VALUE"""),"FTS")</f>
        <v>FTS</v>
      </c>
      <c r="J438" s="9" t="str">
        <f>IFERROR(__xludf.DUMMYFUNCTION("""COMPUTED_VALUE"""),"SZ")</f>
        <v>SZ</v>
      </c>
      <c r="K438" s="9"/>
      <c r="L438" s="9"/>
      <c r="M438" s="9"/>
      <c r="N438" s="9"/>
      <c r="O438" s="9"/>
      <c r="P438" s="9"/>
      <c r="Q438" s="9"/>
      <c r="R438" s="9"/>
      <c r="S438" s="42" t="str">
        <f>IFERROR(__xludf.DUMMYFUNCTION("""COMPUTED_VALUE"""),"fSZ;
pSZ;
tSZ;
oSZ;
cSZ;
peSZ;
seSZ")</f>
        <v>fSZ;
pSZ;
tSZ;
oSZ;
cSZ;
peSZ;
seSZ</v>
      </c>
      <c r="T438" s="42"/>
      <c r="U438" s="42" t="b">
        <f>IFERROR(__xludf.DUMMYFUNCTION("""COMPUTED_VALUE"""),FALSE)</f>
        <v>0</v>
      </c>
      <c r="V438" s="42"/>
      <c r="W438" s="42"/>
      <c r="X438" s="42"/>
      <c r="Y438" s="42"/>
      <c r="Z438" s="42"/>
      <c r="AA438" s="42"/>
      <c r="AB438" s="42" t="str">
        <f>IFERROR(__xludf.DUMMYFUNCTION("""COMPUTED_VALUE"""),"allen institute")</f>
        <v>allen institute</v>
      </c>
      <c r="AC438" s="42" t="str">
        <f>IFERROR(__xludf.DUMMYFUNCTION("""COMPUTED_VALUE"""),"DHBA")</f>
        <v>DHBA</v>
      </c>
      <c r="AD438" s="42"/>
      <c r="AE438" s="42"/>
      <c r="AF438" s="9"/>
      <c r="AG438" s="9"/>
      <c r="AH438" s="42"/>
      <c r="AI438" s="42"/>
      <c r="AJ438" s="42"/>
      <c r="AK438" s="42"/>
      <c r="AL438" s="42"/>
      <c r="AM438" s="42"/>
      <c r="AN438" s="42"/>
      <c r="AO438" s="63" t="str">
        <f>IFERROR(__xludf.DUMMYFUNCTION("IF(ISBLANK(A438),,IF(ISBLANK(S438), A438&amp;"";"", TEXTJOIN(CHAR(10), TRUE, A438&amp;"";"", ARRAYFORMULA(VLOOKUP(SPLIT(S438, "";"" &amp; CHAR(10)), $A:$AO, 41, FALSE)))))"),"SZ;
fSZ;
fSZfp;
fSZfpo;
fSZfpi;
fSZdm;
fSZdmo;
fSZdmop;
fSZdmi;
fSZdmip;
fSZdl;
fSZdlo;
fSZdlop;
fSZdli;
fSZdlip;
fSZvl;
fSZvlo;
fSZvlop;
fSZvli;
fSZvlip;
fSZor;
fSZoro;
fSZorop;
fSZori;
fSZorip;
fSZm1;
fSZm1o;
fSZm1op;
fSZm1i;
fSZm1ip;
pSZ;
pSZs1;
pSZs1o"&amp;";
pSZs1op;
pSZs1i;
pSZs1ip;
pSZdm;
pSZdmo;
pSZdmi;
pSZpd;
pSZpdo;
pSZpdop;
pSZpdi;
pSZpdip;
pSZpv;
pSZpvo;
pSZpvop;
pSZpvi;
pSZpvip;
tSZ;
tSZdl;
tSZa1;
tSZa1o;
tSZa1op;
tSZa1i;
tSZa1ip;
tSZsl;
tSZslo;
tSZslop;
tSZsli;
tSZslip;
tSZps;
tSZpso;
tSZpsop;
tSZp"&amp;"si;
tSZpsip;
tSZpi;
tSZpio;
tSZpiop;
tSZpii;
tSZpiip;
tSZvl;
tSZml;
tSZmlo;
tSZmlop;
tSZmli;
tSZmlip;
tSZil;
tSZilo;
tSZilop;
tSZili;
tSZilip;
tSZmi;
tSZ36;
tSZ36o;
tSZ36op;
tSZ36i;
tSZ36ip;
tSZtf;
tSZtfo;
tSZtfop;
tSZtfi;
tSZtfip;
tSZph;
tSZpho;
tSZphop;"&amp;"
tSZphi;
tSZphip;
tSZmt;
tSZmto;
tSZmtop;
tSZmti;
tSZmtip;
tSZlt;
tSZlto;
tSZltop;
tSZlti;
tSZltip;
tSZtp;
oSZ;
oSZpro;
oSZproo;
oSZproop;
oSZproi;
oSZproip;
oSZv1;
oSZv1o;
oSZv1op;
oSZv1i;
oSZv1ip;
oSZexs;
oSZdm;
oSZdmo;
oSZdmi;
oSZvm;
oSZvmo;
oSZvmi;
oS"&amp;"Zml;
oSZmlo;
oSZmli;
oSZexso;
oSZexsop;
oSZexsi;
oSZexsip;
cSZ;
cSZr;
cSZmi;
cSZc;
cSZsg;
peSZ;
seSZ;")</f>
        <v>SZ;
fSZ;
fSZfp;
fSZfpo;
fSZfpi;
fSZdm;
fSZdmo;
fSZdmop;
fSZdmi;
fSZdmip;
fSZdl;
fSZdlo;
fSZdlop;
fSZdli;
fSZdlip;
fSZvl;
fSZvlo;
fSZvlop;
fSZvli;
fSZvlip;
fSZor;
fSZoro;
fSZorop;
fSZori;
fSZorip;
fSZm1;
fSZm1o;
fSZm1op;
fSZm1i;
fSZm1ip;
pSZ;
pSZs1;
pSZs1o;
pSZs1op;
pSZs1i;
pSZs1ip;
pSZdm;
pSZdmo;
pSZdmi;
pSZpd;
pSZpdo;
pSZpdop;
pSZpdi;
pSZpdip;
pSZpv;
pSZpvo;
pSZpvop;
pSZpvi;
pSZpvip;
tSZ;
tSZdl;
tSZa1;
tSZa1o;
tSZa1op;
tSZa1i;
tSZa1ip;
tSZsl;
tSZslo;
tSZslop;
tSZsli;
tSZslip;
tSZps;
tSZpso;
tSZpsop;
tSZpsi;
tSZpsip;
tSZpi;
tSZpio;
tSZpiop;
tSZpii;
tSZpiip;
tSZvl;
tSZml;
tSZmlo;
tSZmlop;
tSZmli;
tSZmlip;
tSZil;
tSZilo;
tSZilop;
tSZili;
tSZilip;
tSZmi;
tSZ36;
tSZ36o;
tSZ36op;
tSZ36i;
tSZ36ip;
tSZtf;
tSZtfo;
tSZtfop;
tSZtfi;
tSZtfip;
tSZph;
tSZpho;
tSZphop;
tSZphi;
tSZphip;
tSZmt;
tSZmto;
tSZmtop;
tSZmti;
tSZmtip;
tSZlt;
tSZlto;
tSZltop;
tSZlti;
tSZltip;
tSZtp;
oSZ;
oSZpro;
oSZproo;
oSZproop;
oSZproi;
oSZproip;
oSZv1;
oSZv1o;
oSZv1op;
oSZv1i;
oSZv1ip;
oSZexs;
oSZdm;
oSZdmo;
oSZdmi;
oSZvm;
oSZvmo;
oSZvmi;
oSZml;
oSZmlo;
oSZmli;
oSZexso;
oSZexsop;
oSZexsi;
oSZexsip;
cSZ;
cSZr;
cSZmi;
cSZc;
cSZsg;
peSZ;
seSZ;</v>
      </c>
      <c r="AP438" s="89"/>
    </row>
    <row r="439">
      <c r="A439" s="151" t="str">
        <f>IFERROR(__xludf.DUMMYFUNCTION("""COMPUTED_VALUE"""),"fSZ")</f>
        <v>fSZ</v>
      </c>
      <c r="B439" s="42" t="str">
        <f>IFERROR(__xludf.DUMMYFUNCTION("""COMPUTED_VALUE"""),"DHBA")</f>
        <v>DHBA</v>
      </c>
      <c r="C439" s="42" t="str">
        <f>IFERROR(__xludf.DUMMYFUNCTION("""COMPUTED_VALUE"""),"SZ in frontal neocortex")</f>
        <v>SZ in frontal neocortex</v>
      </c>
      <c r="D439" s="42">
        <f>IFERROR(__xludf.DUMMYFUNCTION("""COMPUTED_VALUE"""),405.0)</f>
        <v>405</v>
      </c>
      <c r="E439" s="39" t="str">
        <f>IFERROR(__xludf.DUMMYFUNCTION("""COMPUTED_VALUE"""),"SZ in frontal neocortex")</f>
        <v>SZ in frontal neocortex</v>
      </c>
      <c r="F439" s="9" t="str">
        <f>IFERROR(__xludf.DUMMYFUNCTION("""COMPUTED_VALUE"""),"Br")</f>
        <v>Br</v>
      </c>
      <c r="G439" s="9" t="str">
        <f>IFERROR(__xludf.DUMMYFUNCTION("""COMPUTED_VALUE"""),"F")</f>
        <v>F</v>
      </c>
      <c r="H439" s="9" t="str">
        <f>IFERROR(__xludf.DUMMYFUNCTION("""COMPUTED_VALUE"""),"FGM")</f>
        <v>FGM</v>
      </c>
      <c r="I439" s="9" t="str">
        <f>IFERROR(__xludf.DUMMYFUNCTION("""COMPUTED_VALUE"""),"FTS")</f>
        <v>FTS</v>
      </c>
      <c r="J439" s="9" t="str">
        <f>IFERROR(__xludf.DUMMYFUNCTION("""COMPUTED_VALUE"""),"SZ")</f>
        <v>SZ</v>
      </c>
      <c r="K439" s="9" t="str">
        <f>IFERROR(__xludf.DUMMYFUNCTION("""COMPUTED_VALUE"""),"fSZ")</f>
        <v>fSZ</v>
      </c>
      <c r="L439" s="9"/>
      <c r="M439" s="9"/>
      <c r="N439" s="9"/>
      <c r="O439" s="9"/>
      <c r="P439" s="9"/>
      <c r="Q439" s="9"/>
      <c r="R439" s="9"/>
      <c r="S439" s="42" t="str">
        <f>IFERROR(__xludf.DUMMYFUNCTION("""COMPUTED_VALUE"""),"fSZfp;
fSZdm;
fSZdl;
fSZvl;
fSZor;
fSZm1")</f>
        <v>fSZfp;
fSZdm;
fSZdl;
fSZvl;
fSZor;
fSZm1</v>
      </c>
      <c r="T439" s="42"/>
      <c r="U439" s="42" t="b">
        <f>IFERROR(__xludf.DUMMYFUNCTION("""COMPUTED_VALUE"""),FALSE)</f>
        <v>0</v>
      </c>
      <c r="V439" s="42"/>
      <c r="W439" s="42"/>
      <c r="X439" s="42"/>
      <c r="Y439" s="42"/>
      <c r="Z439" s="42"/>
      <c r="AA439" s="42"/>
      <c r="AB439" s="42" t="str">
        <f>IFERROR(__xludf.DUMMYFUNCTION("""COMPUTED_VALUE"""),"allen institute")</f>
        <v>allen institute</v>
      </c>
      <c r="AC439" s="42" t="str">
        <f>IFERROR(__xludf.DUMMYFUNCTION("""COMPUTED_VALUE"""),"DHBA")</f>
        <v>DHBA</v>
      </c>
      <c r="AD439" s="42"/>
      <c r="AE439" s="42"/>
      <c r="AF439" s="9"/>
      <c r="AG439" s="9"/>
      <c r="AH439" s="42"/>
      <c r="AI439" s="42"/>
      <c r="AJ439" s="42"/>
      <c r="AK439" s="42"/>
      <c r="AL439" s="42"/>
      <c r="AM439" s="42"/>
      <c r="AN439" s="42"/>
      <c r="AO439" s="63" t="str">
        <f>IFERROR(__xludf.DUMMYFUNCTION("IF(ISBLANK(A439),,IF(ISBLANK(S439), A439&amp;"";"", TEXTJOIN(CHAR(10), TRUE, A439&amp;"";"", ARRAYFORMULA(VLOOKUP(SPLIT(S439, "";"" &amp; CHAR(10)), $A:$AO, 41, FALSE)))))"),"fSZ;
fSZfp;
fSZfpo;
fSZfpi;
fSZdm;
fSZdmo;
fSZdmop;
fSZdmi;
fSZdmip;
fSZdl;
fSZdlo;
fSZdlop;
fSZdli;
fSZdlip;
fSZvl;
fSZvlo;
fSZvlop;
fSZvli;
fSZvlip;
fSZor;
fSZoro;
fSZorop;
fSZori;
fSZorip;
fSZm1;
fSZm1o;
fSZm1op;
fSZm1i;
fSZm1ip;")</f>
        <v>fSZ;
fSZfp;
fSZfpo;
fSZfpi;
fSZdm;
fSZdmo;
fSZdmop;
fSZdmi;
fSZdmip;
fSZdl;
fSZdlo;
fSZdlop;
fSZdli;
fSZdlip;
fSZvl;
fSZvlo;
fSZvlop;
fSZvli;
fSZvlip;
fSZor;
fSZoro;
fSZorop;
fSZori;
fSZorip;
fSZm1;
fSZm1o;
fSZm1op;
fSZm1i;
fSZm1ip;</v>
      </c>
      <c r="AP439" s="89"/>
    </row>
    <row r="440">
      <c r="A440" s="151" t="str">
        <f>IFERROR(__xludf.DUMMYFUNCTION("""COMPUTED_VALUE"""),"fSZfp")</f>
        <v>fSZfp</v>
      </c>
      <c r="B440" s="42" t="str">
        <f>IFERROR(__xludf.DUMMYFUNCTION("""COMPUTED_VALUE"""),"DHBA")</f>
        <v>DHBA</v>
      </c>
      <c r="C440" s="42" t="str">
        <f>IFERROR(__xludf.DUMMYFUNCTION("""COMPUTED_VALUE"""),"SZ in frontal polar cortex")</f>
        <v>SZ in frontal polar cortex</v>
      </c>
      <c r="D440" s="42">
        <f>IFERROR(__xludf.DUMMYFUNCTION("""COMPUTED_VALUE"""),406.0)</f>
        <v>406</v>
      </c>
      <c r="E440" s="39" t="str">
        <f>IFERROR(__xludf.DUMMYFUNCTION("""COMPUTED_VALUE"""),"SZ in frontal polar cortex")</f>
        <v>SZ in frontal polar cortex</v>
      </c>
      <c r="F440" s="9" t="str">
        <f>IFERROR(__xludf.DUMMYFUNCTION("""COMPUTED_VALUE"""),"Br")</f>
        <v>Br</v>
      </c>
      <c r="G440" s="9" t="str">
        <f>IFERROR(__xludf.DUMMYFUNCTION("""COMPUTED_VALUE"""),"F")</f>
        <v>F</v>
      </c>
      <c r="H440" s="9" t="str">
        <f>IFERROR(__xludf.DUMMYFUNCTION("""COMPUTED_VALUE"""),"FGM")</f>
        <v>FGM</v>
      </c>
      <c r="I440" s="9" t="str">
        <f>IFERROR(__xludf.DUMMYFUNCTION("""COMPUTED_VALUE"""),"FTS")</f>
        <v>FTS</v>
      </c>
      <c r="J440" s="9" t="str">
        <f>IFERROR(__xludf.DUMMYFUNCTION("""COMPUTED_VALUE"""),"SZ")</f>
        <v>SZ</v>
      </c>
      <c r="K440" s="9" t="str">
        <f>IFERROR(__xludf.DUMMYFUNCTION("""COMPUTED_VALUE"""),"fSZ")</f>
        <v>fSZ</v>
      </c>
      <c r="L440" s="9" t="str">
        <f>IFERROR(__xludf.DUMMYFUNCTION("""COMPUTED_VALUE"""),"fSZfp")</f>
        <v>fSZfp</v>
      </c>
      <c r="M440" s="9"/>
      <c r="N440" s="9"/>
      <c r="O440" s="9"/>
      <c r="P440" s="9"/>
      <c r="Q440" s="9"/>
      <c r="R440" s="9"/>
      <c r="S440" s="42" t="str">
        <f>IFERROR(__xludf.DUMMYFUNCTION("""COMPUTED_VALUE"""),"fSZfpo;
fSZfpi")</f>
        <v>fSZfpo;
fSZfpi</v>
      </c>
      <c r="T440" s="42"/>
      <c r="U440" s="42" t="b">
        <f>IFERROR(__xludf.DUMMYFUNCTION("""COMPUTED_VALUE"""),FALSE)</f>
        <v>0</v>
      </c>
      <c r="V440" s="42"/>
      <c r="W440" s="42"/>
      <c r="X440" s="42"/>
      <c r="Y440" s="42"/>
      <c r="Z440" s="42"/>
      <c r="AA440" s="42"/>
      <c r="AB440" s="42" t="str">
        <f>IFERROR(__xludf.DUMMYFUNCTION("""COMPUTED_VALUE"""),"allen institute")</f>
        <v>allen institute</v>
      </c>
      <c r="AC440" s="42" t="str">
        <f>IFERROR(__xludf.DUMMYFUNCTION("""COMPUTED_VALUE"""),"DHBA")</f>
        <v>DHBA</v>
      </c>
      <c r="AD440" s="42"/>
      <c r="AE440" s="42"/>
      <c r="AF440" s="9"/>
      <c r="AG440" s="9"/>
      <c r="AH440" s="42"/>
      <c r="AI440" s="42"/>
      <c r="AJ440" s="42"/>
      <c r="AK440" s="42"/>
      <c r="AL440" s="42"/>
      <c r="AM440" s="42"/>
      <c r="AN440" s="42"/>
      <c r="AO440" s="63" t="str">
        <f>IFERROR(__xludf.DUMMYFUNCTION("IF(ISBLANK(A440),,IF(ISBLANK(S440), A440&amp;"";"", TEXTJOIN(CHAR(10), TRUE, A440&amp;"";"", ARRAYFORMULA(VLOOKUP(SPLIT(S440, "";"" &amp; CHAR(10)), $A:$AO, 41, FALSE)))))"),"fSZfp;
fSZfpo;
fSZfpi;")</f>
        <v>fSZfp;
fSZfpo;
fSZfpi;</v>
      </c>
      <c r="AP440" s="89"/>
    </row>
    <row r="441">
      <c r="A441" s="151" t="str">
        <f>IFERROR(__xludf.DUMMYFUNCTION("""COMPUTED_VALUE"""),"fSZfpo")</f>
        <v>fSZfpo</v>
      </c>
      <c r="B441" s="42" t="str">
        <f>IFERROR(__xludf.DUMMYFUNCTION("""COMPUTED_VALUE"""),"DHBA")</f>
        <v>DHBA</v>
      </c>
      <c r="C441" s="42" t="str">
        <f>IFERROR(__xludf.DUMMYFUNCTION("""COMPUTED_VALUE"""),"outer SZ in frontal polar cortex")</f>
        <v>outer SZ in frontal polar cortex</v>
      </c>
      <c r="D441" s="42">
        <f>IFERROR(__xludf.DUMMYFUNCTION("""COMPUTED_VALUE"""),407.0)</f>
        <v>407</v>
      </c>
      <c r="E441" s="39" t="str">
        <f>IFERROR(__xludf.DUMMYFUNCTION("""COMPUTED_VALUE"""),"outer SZ in frontal polar cortex")</f>
        <v>outer SZ in frontal polar cortex</v>
      </c>
      <c r="F441" s="9" t="str">
        <f>IFERROR(__xludf.DUMMYFUNCTION("""COMPUTED_VALUE"""),"Br")</f>
        <v>Br</v>
      </c>
      <c r="G441" s="9" t="str">
        <f>IFERROR(__xludf.DUMMYFUNCTION("""COMPUTED_VALUE"""),"F")</f>
        <v>F</v>
      </c>
      <c r="H441" s="9" t="str">
        <f>IFERROR(__xludf.DUMMYFUNCTION("""COMPUTED_VALUE"""),"FGM")</f>
        <v>FGM</v>
      </c>
      <c r="I441" s="9" t="str">
        <f>IFERROR(__xludf.DUMMYFUNCTION("""COMPUTED_VALUE"""),"FTS")</f>
        <v>FTS</v>
      </c>
      <c r="J441" s="9" t="str">
        <f>IFERROR(__xludf.DUMMYFUNCTION("""COMPUTED_VALUE"""),"SZ")</f>
        <v>SZ</v>
      </c>
      <c r="K441" s="9" t="str">
        <f>IFERROR(__xludf.DUMMYFUNCTION("""COMPUTED_VALUE"""),"fSZ")</f>
        <v>fSZ</v>
      </c>
      <c r="L441" s="9" t="str">
        <f>IFERROR(__xludf.DUMMYFUNCTION("""COMPUTED_VALUE"""),"fSZfp")</f>
        <v>fSZfp</v>
      </c>
      <c r="M441" s="9" t="str">
        <f>IFERROR(__xludf.DUMMYFUNCTION("""COMPUTED_VALUE"""),"fSZfpo")</f>
        <v>fSZfpo</v>
      </c>
      <c r="N441" s="9"/>
      <c r="O441" s="9"/>
      <c r="P441" s="9"/>
      <c r="Q441" s="9"/>
      <c r="R441" s="9"/>
      <c r="S441" s="42"/>
      <c r="T441" s="42"/>
      <c r="U441" s="42"/>
      <c r="V441" s="42"/>
      <c r="W441" s="42"/>
      <c r="X441" s="42"/>
      <c r="Y441" s="42"/>
      <c r="Z441" s="42"/>
      <c r="AA441" s="42"/>
      <c r="AB441" s="42" t="str">
        <f>IFERROR(__xludf.DUMMYFUNCTION("""COMPUTED_VALUE"""),"allen institute")</f>
        <v>allen institute</v>
      </c>
      <c r="AC441" s="42" t="str">
        <f>IFERROR(__xludf.DUMMYFUNCTION("""COMPUTED_VALUE"""),"DHBA")</f>
        <v>DHBA</v>
      </c>
      <c r="AD441" s="42"/>
      <c r="AE441" s="42"/>
      <c r="AF441" s="9"/>
      <c r="AG441" s="9"/>
      <c r="AH441" s="42"/>
      <c r="AI441" s="42"/>
      <c r="AJ441" s="42"/>
      <c r="AK441" s="42"/>
      <c r="AL441" s="42"/>
      <c r="AM441" s="42"/>
      <c r="AN441" s="42"/>
      <c r="AO441" s="63" t="str">
        <f>IFERROR(__xludf.DUMMYFUNCTION("IF(ISBLANK(A441),,IF(ISBLANK(S441), A441&amp;"";"", TEXTJOIN(CHAR(10), TRUE, A441&amp;"";"", ARRAYFORMULA(VLOOKUP(SPLIT(S441, "";"" &amp; CHAR(10)), $A:$AO, 41, FALSE)))))"),"fSZfpo;")</f>
        <v>fSZfpo;</v>
      </c>
      <c r="AP441" s="89"/>
    </row>
    <row r="442">
      <c r="A442" s="151" t="str">
        <f>IFERROR(__xludf.DUMMYFUNCTION("""COMPUTED_VALUE"""),"fSZfpi")</f>
        <v>fSZfpi</v>
      </c>
      <c r="B442" s="42" t="str">
        <f>IFERROR(__xludf.DUMMYFUNCTION("""COMPUTED_VALUE"""),"DHBA")</f>
        <v>DHBA</v>
      </c>
      <c r="C442" s="42" t="str">
        <f>IFERROR(__xludf.DUMMYFUNCTION("""COMPUTED_VALUE"""),"inner SZ in frontal polar cortex")</f>
        <v>inner SZ in frontal polar cortex</v>
      </c>
      <c r="D442" s="42">
        <f>IFERROR(__xludf.DUMMYFUNCTION("""COMPUTED_VALUE"""),408.0)</f>
        <v>408</v>
      </c>
      <c r="E442" s="39" t="str">
        <f>IFERROR(__xludf.DUMMYFUNCTION("""COMPUTED_VALUE"""),"inner SZ in frontal polar cortex")</f>
        <v>inner SZ in frontal polar cortex</v>
      </c>
      <c r="F442" s="9" t="str">
        <f>IFERROR(__xludf.DUMMYFUNCTION("""COMPUTED_VALUE"""),"Br")</f>
        <v>Br</v>
      </c>
      <c r="G442" s="9" t="str">
        <f>IFERROR(__xludf.DUMMYFUNCTION("""COMPUTED_VALUE"""),"F")</f>
        <v>F</v>
      </c>
      <c r="H442" s="9" t="str">
        <f>IFERROR(__xludf.DUMMYFUNCTION("""COMPUTED_VALUE"""),"FGM")</f>
        <v>FGM</v>
      </c>
      <c r="I442" s="9" t="str">
        <f>IFERROR(__xludf.DUMMYFUNCTION("""COMPUTED_VALUE"""),"FTS")</f>
        <v>FTS</v>
      </c>
      <c r="J442" s="9" t="str">
        <f>IFERROR(__xludf.DUMMYFUNCTION("""COMPUTED_VALUE"""),"SZ")</f>
        <v>SZ</v>
      </c>
      <c r="K442" s="9" t="str">
        <f>IFERROR(__xludf.DUMMYFUNCTION("""COMPUTED_VALUE"""),"fSZ")</f>
        <v>fSZ</v>
      </c>
      <c r="L442" s="9" t="str">
        <f>IFERROR(__xludf.DUMMYFUNCTION("""COMPUTED_VALUE"""),"fSZfp")</f>
        <v>fSZfp</v>
      </c>
      <c r="M442" s="9" t="str">
        <f>IFERROR(__xludf.DUMMYFUNCTION("""COMPUTED_VALUE"""),"fSZfpi")</f>
        <v>fSZfpi</v>
      </c>
      <c r="N442" s="9"/>
      <c r="O442" s="9"/>
      <c r="P442" s="9"/>
      <c r="Q442" s="9"/>
      <c r="R442" s="9"/>
      <c r="S442" s="42"/>
      <c r="T442" s="42"/>
      <c r="U442" s="42"/>
      <c r="V442" s="42"/>
      <c r="W442" s="42"/>
      <c r="X442" s="42"/>
      <c r="Y442" s="42"/>
      <c r="Z442" s="42"/>
      <c r="AA442" s="42"/>
      <c r="AB442" s="42" t="str">
        <f>IFERROR(__xludf.DUMMYFUNCTION("""COMPUTED_VALUE"""),"allen institute")</f>
        <v>allen institute</v>
      </c>
      <c r="AC442" s="42" t="str">
        <f>IFERROR(__xludf.DUMMYFUNCTION("""COMPUTED_VALUE"""),"DHBA")</f>
        <v>DHBA</v>
      </c>
      <c r="AD442" s="42"/>
      <c r="AE442" s="42"/>
      <c r="AF442" s="9"/>
      <c r="AG442" s="9"/>
      <c r="AH442" s="42"/>
      <c r="AI442" s="42"/>
      <c r="AJ442" s="42"/>
      <c r="AK442" s="42"/>
      <c r="AL442" s="42"/>
      <c r="AM442" s="42"/>
      <c r="AN442" s="42"/>
      <c r="AO442" s="63" t="str">
        <f>IFERROR(__xludf.DUMMYFUNCTION("IF(ISBLANK(A442),,IF(ISBLANK(S442), A442&amp;"";"", TEXTJOIN(CHAR(10), TRUE, A442&amp;"";"", ARRAYFORMULA(VLOOKUP(SPLIT(S442, "";"" &amp; CHAR(10)), $A:$AO, 41, FALSE)))))"),"fSZfpi;")</f>
        <v>fSZfpi;</v>
      </c>
      <c r="AP442" s="89"/>
    </row>
    <row r="443">
      <c r="A443" s="151" t="str">
        <f>IFERROR(__xludf.DUMMYFUNCTION("""COMPUTED_VALUE"""),"fSZdm")</f>
        <v>fSZdm</v>
      </c>
      <c r="B443" s="42" t="str">
        <f>IFERROR(__xludf.DUMMYFUNCTION("""COMPUTED_VALUE"""),"DHBA")</f>
        <v>DHBA</v>
      </c>
      <c r="C443" s="42" t="str">
        <f>IFERROR(__xludf.DUMMYFUNCTION("""COMPUTED_VALUE"""),"SZ in dorsomedial frontal cortex")</f>
        <v>SZ in dorsomedial frontal cortex</v>
      </c>
      <c r="D443" s="42">
        <f>IFERROR(__xludf.DUMMYFUNCTION("""COMPUTED_VALUE"""),409.0)</f>
        <v>409</v>
      </c>
      <c r="E443" s="39" t="str">
        <f>IFERROR(__xludf.DUMMYFUNCTION("""COMPUTED_VALUE"""),"SZ in dorsomedial frontal cortex")</f>
        <v>SZ in dorsomedial frontal cortex</v>
      </c>
      <c r="F443" s="9" t="str">
        <f>IFERROR(__xludf.DUMMYFUNCTION("""COMPUTED_VALUE"""),"Br")</f>
        <v>Br</v>
      </c>
      <c r="G443" s="9" t="str">
        <f>IFERROR(__xludf.DUMMYFUNCTION("""COMPUTED_VALUE"""),"F")</f>
        <v>F</v>
      </c>
      <c r="H443" s="9" t="str">
        <f>IFERROR(__xludf.DUMMYFUNCTION("""COMPUTED_VALUE"""),"FGM")</f>
        <v>FGM</v>
      </c>
      <c r="I443" s="9" t="str">
        <f>IFERROR(__xludf.DUMMYFUNCTION("""COMPUTED_VALUE"""),"FTS")</f>
        <v>FTS</v>
      </c>
      <c r="J443" s="9" t="str">
        <f>IFERROR(__xludf.DUMMYFUNCTION("""COMPUTED_VALUE"""),"SZ")</f>
        <v>SZ</v>
      </c>
      <c r="K443" s="9" t="str">
        <f>IFERROR(__xludf.DUMMYFUNCTION("""COMPUTED_VALUE"""),"fSZ")</f>
        <v>fSZ</v>
      </c>
      <c r="L443" s="9" t="str">
        <f>IFERROR(__xludf.DUMMYFUNCTION("""COMPUTED_VALUE"""),"fSZdm")</f>
        <v>fSZdm</v>
      </c>
      <c r="M443" s="9"/>
      <c r="N443" s="9"/>
      <c r="O443" s="9"/>
      <c r="P443" s="9"/>
      <c r="Q443" s="9"/>
      <c r="R443" s="9"/>
      <c r="S443" s="42" t="str">
        <f>IFERROR(__xludf.DUMMYFUNCTION("""COMPUTED_VALUE"""),"fSZdmo;
fSZdmi")</f>
        <v>fSZdmo;
fSZdmi</v>
      </c>
      <c r="T443" s="42"/>
      <c r="U443" s="159" t="b">
        <f>IFERROR(__xludf.DUMMYFUNCTION("""COMPUTED_VALUE"""),FALSE)</f>
        <v>0</v>
      </c>
      <c r="V443" s="42"/>
      <c r="W443" s="42"/>
      <c r="X443" s="42"/>
      <c r="Y443" s="42"/>
      <c r="Z443" s="42"/>
      <c r="AA443" s="42"/>
      <c r="AB443" s="42" t="str">
        <f>IFERROR(__xludf.DUMMYFUNCTION("""COMPUTED_VALUE"""),"allen institute")</f>
        <v>allen institute</v>
      </c>
      <c r="AC443" s="42" t="str">
        <f>IFERROR(__xludf.DUMMYFUNCTION("""COMPUTED_VALUE"""),"DHBA")</f>
        <v>DHBA</v>
      </c>
      <c r="AD443" s="42"/>
      <c r="AE443" s="42"/>
      <c r="AF443" s="9"/>
      <c r="AG443" s="9"/>
      <c r="AH443" s="42"/>
      <c r="AI443" s="42"/>
      <c r="AJ443" s="42"/>
      <c r="AK443" s="42"/>
      <c r="AL443" s="42"/>
      <c r="AM443" s="42"/>
      <c r="AN443" s="42"/>
      <c r="AO443" s="63" t="str">
        <f>IFERROR(__xludf.DUMMYFUNCTION("IF(ISBLANK(A443),,IF(ISBLANK(S443), A443&amp;"";"", TEXTJOIN(CHAR(10), TRUE, A443&amp;"";"", ARRAYFORMULA(VLOOKUP(SPLIT(S443, "";"" &amp; CHAR(10)), $A:$AO, 41, FALSE)))))"),"fSZdm;
fSZdmo;
fSZdmop;
fSZdmi;
fSZdmip;")</f>
        <v>fSZdm;
fSZdmo;
fSZdmop;
fSZdmi;
fSZdmip;</v>
      </c>
      <c r="AP443" s="89"/>
    </row>
    <row r="444">
      <c r="A444" s="151" t="str">
        <f>IFERROR(__xludf.DUMMYFUNCTION("""COMPUTED_VALUE"""),"fSZdmo")</f>
        <v>fSZdmo</v>
      </c>
      <c r="B444" s="42" t="str">
        <f>IFERROR(__xludf.DUMMYFUNCTION("""COMPUTED_VALUE"""),"DHBA")</f>
        <v>DHBA</v>
      </c>
      <c r="C444" s="42" t="str">
        <f>IFERROR(__xludf.DUMMYFUNCTION("""COMPUTED_VALUE"""),"outer SZ in dorsomedial frontal cortex")</f>
        <v>outer SZ in dorsomedial frontal cortex</v>
      </c>
      <c r="D444" s="42">
        <f>IFERROR(__xludf.DUMMYFUNCTION("""COMPUTED_VALUE"""),410.0)</f>
        <v>410</v>
      </c>
      <c r="E444" s="39" t="str">
        <f>IFERROR(__xludf.DUMMYFUNCTION("""COMPUTED_VALUE"""),"outer SZ in dorsomedial frontal cortex")</f>
        <v>outer SZ in dorsomedial frontal cortex</v>
      </c>
      <c r="F444" s="9" t="str">
        <f>IFERROR(__xludf.DUMMYFUNCTION("""COMPUTED_VALUE"""),"Br")</f>
        <v>Br</v>
      </c>
      <c r="G444" s="9" t="str">
        <f>IFERROR(__xludf.DUMMYFUNCTION("""COMPUTED_VALUE"""),"F")</f>
        <v>F</v>
      </c>
      <c r="H444" s="9" t="str">
        <f>IFERROR(__xludf.DUMMYFUNCTION("""COMPUTED_VALUE"""),"FGM")</f>
        <v>FGM</v>
      </c>
      <c r="I444" s="9" t="str">
        <f>IFERROR(__xludf.DUMMYFUNCTION("""COMPUTED_VALUE"""),"FTS")</f>
        <v>FTS</v>
      </c>
      <c r="J444" s="9" t="str">
        <f>IFERROR(__xludf.DUMMYFUNCTION("""COMPUTED_VALUE"""),"SZ")</f>
        <v>SZ</v>
      </c>
      <c r="K444" s="9" t="str">
        <f>IFERROR(__xludf.DUMMYFUNCTION("""COMPUTED_VALUE"""),"fSZ")</f>
        <v>fSZ</v>
      </c>
      <c r="L444" s="9" t="str">
        <f>IFERROR(__xludf.DUMMYFUNCTION("""COMPUTED_VALUE"""),"fSZdm")</f>
        <v>fSZdm</v>
      </c>
      <c r="M444" s="9" t="str">
        <f>IFERROR(__xludf.DUMMYFUNCTION("""COMPUTED_VALUE"""),"fSZdmo")</f>
        <v>fSZdmo</v>
      </c>
      <c r="N444" s="9"/>
      <c r="O444" s="9"/>
      <c r="P444" s="9"/>
      <c r="Q444" s="9"/>
      <c r="R444" s="9"/>
      <c r="S444" s="42" t="str">
        <f>IFERROR(__xludf.DUMMYFUNCTION("""COMPUTED_VALUE"""),"fSZdmop")</f>
        <v>fSZdmop</v>
      </c>
      <c r="T444" s="42"/>
      <c r="U444" s="42" t="b">
        <f>IFERROR(__xludf.DUMMYFUNCTION("""COMPUTED_VALUE"""),FALSE)</f>
        <v>0</v>
      </c>
      <c r="V444" s="42"/>
      <c r="W444" s="42"/>
      <c r="X444" s="42"/>
      <c r="Y444" s="42"/>
      <c r="Z444" s="42"/>
      <c r="AA444" s="42"/>
      <c r="AB444" s="42" t="str">
        <f>IFERROR(__xludf.DUMMYFUNCTION("""COMPUTED_VALUE"""),"allen institute")</f>
        <v>allen institute</v>
      </c>
      <c r="AC444" s="42" t="str">
        <f>IFERROR(__xludf.DUMMYFUNCTION("""COMPUTED_VALUE"""),"DHBA")</f>
        <v>DHBA</v>
      </c>
      <c r="AD444" s="42"/>
      <c r="AE444" s="42"/>
      <c r="AF444" s="9"/>
      <c r="AG444" s="9"/>
      <c r="AH444" s="42"/>
      <c r="AI444" s="42"/>
      <c r="AJ444" s="42"/>
      <c r="AK444" s="42"/>
      <c r="AL444" s="42"/>
      <c r="AM444" s="42"/>
      <c r="AN444" s="42"/>
      <c r="AO444" s="63" t="str">
        <f>IFERROR(__xludf.DUMMYFUNCTION("IF(ISBLANK(A444),,IF(ISBLANK(S444), A444&amp;"";"", TEXTJOIN(CHAR(10), TRUE, A444&amp;"";"", ARRAYFORMULA(VLOOKUP(SPLIT(S444, "";"" &amp; CHAR(10)), $A:$AO, 41, FALSE)))))"),"fSZdmo;
fSZdmop;")</f>
        <v>fSZdmo;
fSZdmop;</v>
      </c>
      <c r="AP444" s="89"/>
    </row>
    <row r="445">
      <c r="A445" s="151" t="str">
        <f>IFERROR(__xludf.DUMMYFUNCTION("""COMPUTED_VALUE"""),"fSZdmop")</f>
        <v>fSZdmop</v>
      </c>
      <c r="B445" s="42" t="str">
        <f>IFERROR(__xludf.DUMMYFUNCTION("""COMPUTED_VALUE"""),"DHBA")</f>
        <v>DHBA</v>
      </c>
      <c r="C445" s="42" t="str">
        <f>IFERROR(__xludf.DUMMYFUNCTION("""COMPUTED_VALUE"""),"outer plexiform (fiber) zone in dorsomedial frontal cortex")</f>
        <v>outer plexiform (fiber) zone in dorsomedial frontal cortex</v>
      </c>
      <c r="D445" s="42">
        <f>IFERROR(__xludf.DUMMYFUNCTION("""COMPUTED_VALUE"""),411.0)</f>
        <v>411</v>
      </c>
      <c r="E445" s="39" t="str">
        <f>IFERROR(__xludf.DUMMYFUNCTION("""COMPUTED_VALUE"""),"outer plexiform (fiber) zone in dorsomedial frontal cortex")</f>
        <v>outer plexiform (fiber) zone in dorsomedial frontal cortex</v>
      </c>
      <c r="F445" s="9" t="str">
        <f>IFERROR(__xludf.DUMMYFUNCTION("""COMPUTED_VALUE"""),"Br")</f>
        <v>Br</v>
      </c>
      <c r="G445" s="9" t="str">
        <f>IFERROR(__xludf.DUMMYFUNCTION("""COMPUTED_VALUE"""),"F")</f>
        <v>F</v>
      </c>
      <c r="H445" s="9" t="str">
        <f>IFERROR(__xludf.DUMMYFUNCTION("""COMPUTED_VALUE"""),"FGM")</f>
        <v>FGM</v>
      </c>
      <c r="I445" s="9" t="str">
        <f>IFERROR(__xludf.DUMMYFUNCTION("""COMPUTED_VALUE"""),"FTS")</f>
        <v>FTS</v>
      </c>
      <c r="J445" s="9" t="str">
        <f>IFERROR(__xludf.DUMMYFUNCTION("""COMPUTED_VALUE"""),"SZ")</f>
        <v>SZ</v>
      </c>
      <c r="K445" s="9" t="str">
        <f>IFERROR(__xludf.DUMMYFUNCTION("""COMPUTED_VALUE"""),"fSZ")</f>
        <v>fSZ</v>
      </c>
      <c r="L445" s="9" t="str">
        <f>IFERROR(__xludf.DUMMYFUNCTION("""COMPUTED_VALUE"""),"fSZdm")</f>
        <v>fSZdm</v>
      </c>
      <c r="M445" s="9" t="str">
        <f>IFERROR(__xludf.DUMMYFUNCTION("""COMPUTED_VALUE"""),"fSZdmo")</f>
        <v>fSZdmo</v>
      </c>
      <c r="N445" s="9" t="str">
        <f>IFERROR(__xludf.DUMMYFUNCTION("""COMPUTED_VALUE"""),"fSZdmop")</f>
        <v>fSZdmop</v>
      </c>
      <c r="O445" s="9"/>
      <c r="P445" s="9"/>
      <c r="Q445" s="9"/>
      <c r="R445" s="9"/>
      <c r="S445" s="42"/>
      <c r="T445" s="42"/>
      <c r="U445" s="42"/>
      <c r="V445" s="42"/>
      <c r="W445" s="42"/>
      <c r="X445" s="42"/>
      <c r="Y445" s="42"/>
      <c r="Z445" s="42"/>
      <c r="AA445" s="42"/>
      <c r="AB445" s="42" t="str">
        <f>IFERROR(__xludf.DUMMYFUNCTION("""COMPUTED_VALUE"""),"allen institute")</f>
        <v>allen institute</v>
      </c>
      <c r="AC445" s="42" t="str">
        <f>IFERROR(__xludf.DUMMYFUNCTION("""COMPUTED_VALUE"""),"DHBA")</f>
        <v>DHBA</v>
      </c>
      <c r="AD445" s="42"/>
      <c r="AE445" s="42"/>
      <c r="AF445" s="9"/>
      <c r="AG445" s="9"/>
      <c r="AH445" s="42"/>
      <c r="AI445" s="42"/>
      <c r="AJ445" s="42"/>
      <c r="AK445" s="42"/>
      <c r="AL445" s="42"/>
      <c r="AM445" s="42"/>
      <c r="AN445" s="42"/>
      <c r="AO445" s="63" t="str">
        <f>IFERROR(__xludf.DUMMYFUNCTION("IF(ISBLANK(A445),,IF(ISBLANK(S445), A445&amp;"";"", TEXTJOIN(CHAR(10), TRUE, A445&amp;"";"", ARRAYFORMULA(VLOOKUP(SPLIT(S445, "";"" &amp; CHAR(10)), $A:$AO, 41, FALSE)))))"),"fSZdmop;")</f>
        <v>fSZdmop;</v>
      </c>
      <c r="AP445" s="89"/>
    </row>
    <row r="446">
      <c r="A446" s="151" t="str">
        <f>IFERROR(__xludf.DUMMYFUNCTION("""COMPUTED_VALUE"""),"fSZdmi")</f>
        <v>fSZdmi</v>
      </c>
      <c r="B446" s="42" t="str">
        <f>IFERROR(__xludf.DUMMYFUNCTION("""COMPUTED_VALUE"""),"DHBA")</f>
        <v>DHBA</v>
      </c>
      <c r="C446" s="42" t="str">
        <f>IFERROR(__xludf.DUMMYFUNCTION("""COMPUTED_VALUE"""),"inner SZ in dorsomedial frontal cortex")</f>
        <v>inner SZ in dorsomedial frontal cortex</v>
      </c>
      <c r="D446" s="42">
        <f>IFERROR(__xludf.DUMMYFUNCTION("""COMPUTED_VALUE"""),412.0)</f>
        <v>412</v>
      </c>
      <c r="E446" s="39" t="str">
        <f>IFERROR(__xludf.DUMMYFUNCTION("""COMPUTED_VALUE"""),"inner SZ in dorsomedial frontal cortex")</f>
        <v>inner SZ in dorsomedial frontal cortex</v>
      </c>
      <c r="F446" s="9" t="str">
        <f>IFERROR(__xludf.DUMMYFUNCTION("""COMPUTED_VALUE"""),"Br")</f>
        <v>Br</v>
      </c>
      <c r="G446" s="9" t="str">
        <f>IFERROR(__xludf.DUMMYFUNCTION("""COMPUTED_VALUE"""),"F")</f>
        <v>F</v>
      </c>
      <c r="H446" s="9" t="str">
        <f>IFERROR(__xludf.DUMMYFUNCTION("""COMPUTED_VALUE"""),"FGM")</f>
        <v>FGM</v>
      </c>
      <c r="I446" s="9" t="str">
        <f>IFERROR(__xludf.DUMMYFUNCTION("""COMPUTED_VALUE"""),"FTS")</f>
        <v>FTS</v>
      </c>
      <c r="J446" s="9" t="str">
        <f>IFERROR(__xludf.DUMMYFUNCTION("""COMPUTED_VALUE"""),"SZ")</f>
        <v>SZ</v>
      </c>
      <c r="K446" s="9" t="str">
        <f>IFERROR(__xludf.DUMMYFUNCTION("""COMPUTED_VALUE"""),"fSZ")</f>
        <v>fSZ</v>
      </c>
      <c r="L446" s="9" t="str">
        <f>IFERROR(__xludf.DUMMYFUNCTION("""COMPUTED_VALUE"""),"fSZdm")</f>
        <v>fSZdm</v>
      </c>
      <c r="M446" s="9" t="str">
        <f>IFERROR(__xludf.DUMMYFUNCTION("""COMPUTED_VALUE"""),"fSZdmi")</f>
        <v>fSZdmi</v>
      </c>
      <c r="N446" s="9"/>
      <c r="O446" s="9"/>
      <c r="P446" s="9"/>
      <c r="Q446" s="9"/>
      <c r="R446" s="9"/>
      <c r="S446" s="42" t="str">
        <f>IFERROR(__xludf.DUMMYFUNCTION("""COMPUTED_VALUE"""),"fSZdmip")</f>
        <v>fSZdmip</v>
      </c>
      <c r="T446" s="42"/>
      <c r="U446" s="42" t="b">
        <f>IFERROR(__xludf.DUMMYFUNCTION("""COMPUTED_VALUE"""),FALSE)</f>
        <v>0</v>
      </c>
      <c r="V446" s="42"/>
      <c r="W446" s="42"/>
      <c r="X446" s="42"/>
      <c r="Y446" s="42"/>
      <c r="Z446" s="42"/>
      <c r="AA446" s="42"/>
      <c r="AB446" s="42" t="str">
        <f>IFERROR(__xludf.DUMMYFUNCTION("""COMPUTED_VALUE"""),"allen institute")</f>
        <v>allen institute</v>
      </c>
      <c r="AC446" s="42" t="str">
        <f>IFERROR(__xludf.DUMMYFUNCTION("""COMPUTED_VALUE"""),"DHBA")</f>
        <v>DHBA</v>
      </c>
      <c r="AD446" s="42"/>
      <c r="AE446" s="42"/>
      <c r="AF446" s="9"/>
      <c r="AG446" s="9"/>
      <c r="AH446" s="42"/>
      <c r="AI446" s="42"/>
      <c r="AJ446" s="42"/>
      <c r="AK446" s="42"/>
      <c r="AL446" s="42"/>
      <c r="AM446" s="42"/>
      <c r="AN446" s="42"/>
      <c r="AO446" s="63" t="str">
        <f>IFERROR(__xludf.DUMMYFUNCTION("IF(ISBLANK(A446),,IF(ISBLANK(S446), A446&amp;"";"", TEXTJOIN(CHAR(10), TRUE, A446&amp;"";"", ARRAYFORMULA(VLOOKUP(SPLIT(S446, "";"" &amp; CHAR(10)), $A:$AO, 41, FALSE)))))"),"fSZdmi;
fSZdmip;")</f>
        <v>fSZdmi;
fSZdmip;</v>
      </c>
      <c r="AP446" s="89"/>
    </row>
    <row r="447">
      <c r="A447" s="151" t="str">
        <f>IFERROR(__xludf.DUMMYFUNCTION("""COMPUTED_VALUE"""),"fSZdmip")</f>
        <v>fSZdmip</v>
      </c>
      <c r="B447" s="42" t="str">
        <f>IFERROR(__xludf.DUMMYFUNCTION("""COMPUTED_VALUE"""),"DHBA")</f>
        <v>DHBA</v>
      </c>
      <c r="C447" s="42" t="str">
        <f>IFERROR(__xludf.DUMMYFUNCTION("""COMPUTED_VALUE"""),"inner plexiform (fiber) zone in dorsomedial frontal cortex")</f>
        <v>inner plexiform (fiber) zone in dorsomedial frontal cortex</v>
      </c>
      <c r="D447" s="42">
        <f>IFERROR(__xludf.DUMMYFUNCTION("""COMPUTED_VALUE"""),413.0)</f>
        <v>413</v>
      </c>
      <c r="E447" s="39" t="str">
        <f>IFERROR(__xludf.DUMMYFUNCTION("""COMPUTED_VALUE"""),"inner plexiform (fiber) zone in dorsomedial frontal cortex")</f>
        <v>inner plexiform (fiber) zone in dorsomedial frontal cortex</v>
      </c>
      <c r="F447" s="9" t="str">
        <f>IFERROR(__xludf.DUMMYFUNCTION("""COMPUTED_VALUE"""),"Br")</f>
        <v>Br</v>
      </c>
      <c r="G447" s="9" t="str">
        <f>IFERROR(__xludf.DUMMYFUNCTION("""COMPUTED_VALUE"""),"F")</f>
        <v>F</v>
      </c>
      <c r="H447" s="9" t="str">
        <f>IFERROR(__xludf.DUMMYFUNCTION("""COMPUTED_VALUE"""),"FGM")</f>
        <v>FGM</v>
      </c>
      <c r="I447" s="9" t="str">
        <f>IFERROR(__xludf.DUMMYFUNCTION("""COMPUTED_VALUE"""),"FTS")</f>
        <v>FTS</v>
      </c>
      <c r="J447" s="9" t="str">
        <f>IFERROR(__xludf.DUMMYFUNCTION("""COMPUTED_VALUE"""),"SZ")</f>
        <v>SZ</v>
      </c>
      <c r="K447" s="9" t="str">
        <f>IFERROR(__xludf.DUMMYFUNCTION("""COMPUTED_VALUE"""),"fSZ")</f>
        <v>fSZ</v>
      </c>
      <c r="L447" s="9" t="str">
        <f>IFERROR(__xludf.DUMMYFUNCTION("""COMPUTED_VALUE"""),"fSZdm")</f>
        <v>fSZdm</v>
      </c>
      <c r="M447" s="9" t="str">
        <f>IFERROR(__xludf.DUMMYFUNCTION("""COMPUTED_VALUE"""),"fSZdmi")</f>
        <v>fSZdmi</v>
      </c>
      <c r="N447" s="9" t="str">
        <f>IFERROR(__xludf.DUMMYFUNCTION("""COMPUTED_VALUE"""),"fSZdmip")</f>
        <v>fSZdmip</v>
      </c>
      <c r="O447" s="9"/>
      <c r="P447" s="9"/>
      <c r="Q447" s="9"/>
      <c r="R447" s="9"/>
      <c r="S447" s="42"/>
      <c r="T447" s="42"/>
      <c r="U447" s="42"/>
      <c r="V447" s="42"/>
      <c r="W447" s="42"/>
      <c r="X447" s="42"/>
      <c r="Y447" s="42"/>
      <c r="Z447" s="42"/>
      <c r="AA447" s="42"/>
      <c r="AB447" s="42" t="str">
        <f>IFERROR(__xludf.DUMMYFUNCTION("""COMPUTED_VALUE"""),"allen institute")</f>
        <v>allen institute</v>
      </c>
      <c r="AC447" s="42" t="str">
        <f>IFERROR(__xludf.DUMMYFUNCTION("""COMPUTED_VALUE"""),"DHBA")</f>
        <v>DHBA</v>
      </c>
      <c r="AD447" s="42"/>
      <c r="AE447" s="42"/>
      <c r="AF447" s="9"/>
      <c r="AG447" s="9"/>
      <c r="AH447" s="42"/>
      <c r="AI447" s="42"/>
      <c r="AJ447" s="42"/>
      <c r="AK447" s="42"/>
      <c r="AL447" s="42"/>
      <c r="AM447" s="42"/>
      <c r="AN447" s="42"/>
      <c r="AO447" s="63" t="str">
        <f>IFERROR(__xludf.DUMMYFUNCTION("IF(ISBLANK(A447),,IF(ISBLANK(S447), A447&amp;"";"", TEXTJOIN(CHAR(10), TRUE, A447&amp;"";"", ARRAYFORMULA(VLOOKUP(SPLIT(S447, "";"" &amp; CHAR(10)), $A:$AO, 41, FALSE)))))"),"fSZdmip;")</f>
        <v>fSZdmip;</v>
      </c>
      <c r="AP447" s="89"/>
    </row>
    <row r="448">
      <c r="A448" s="151" t="str">
        <f>IFERROR(__xludf.DUMMYFUNCTION("""COMPUTED_VALUE"""),"fSZdl")</f>
        <v>fSZdl</v>
      </c>
      <c r="B448" s="42" t="str">
        <f>IFERROR(__xludf.DUMMYFUNCTION("""COMPUTED_VALUE"""),"DHBA")</f>
        <v>DHBA</v>
      </c>
      <c r="C448" s="42" t="str">
        <f>IFERROR(__xludf.DUMMYFUNCTION("""COMPUTED_VALUE"""),"SZ in dorsolateral prefrontal cortex")</f>
        <v>SZ in dorsolateral prefrontal cortex</v>
      </c>
      <c r="D448" s="42">
        <f>IFERROR(__xludf.DUMMYFUNCTION("""COMPUTED_VALUE"""),414.0)</f>
        <v>414</v>
      </c>
      <c r="E448" s="39" t="str">
        <f>IFERROR(__xludf.DUMMYFUNCTION("""COMPUTED_VALUE"""),"SZ in dorsolateral prefrontal cortex")</f>
        <v>SZ in dorsolateral prefrontal cortex</v>
      </c>
      <c r="F448" s="9" t="str">
        <f>IFERROR(__xludf.DUMMYFUNCTION("""COMPUTED_VALUE"""),"Br")</f>
        <v>Br</v>
      </c>
      <c r="G448" s="9" t="str">
        <f>IFERROR(__xludf.DUMMYFUNCTION("""COMPUTED_VALUE"""),"F")</f>
        <v>F</v>
      </c>
      <c r="H448" s="9" t="str">
        <f>IFERROR(__xludf.DUMMYFUNCTION("""COMPUTED_VALUE"""),"FGM")</f>
        <v>FGM</v>
      </c>
      <c r="I448" s="9" t="str">
        <f>IFERROR(__xludf.DUMMYFUNCTION("""COMPUTED_VALUE"""),"FTS")</f>
        <v>FTS</v>
      </c>
      <c r="J448" s="9" t="str">
        <f>IFERROR(__xludf.DUMMYFUNCTION("""COMPUTED_VALUE"""),"SZ")</f>
        <v>SZ</v>
      </c>
      <c r="K448" s="9" t="str">
        <f>IFERROR(__xludf.DUMMYFUNCTION("""COMPUTED_VALUE"""),"fSZ")</f>
        <v>fSZ</v>
      </c>
      <c r="L448" s="9" t="str">
        <f>IFERROR(__xludf.DUMMYFUNCTION("""COMPUTED_VALUE"""),"fSZdl")</f>
        <v>fSZdl</v>
      </c>
      <c r="M448" s="9"/>
      <c r="N448" s="9"/>
      <c r="O448" s="9"/>
      <c r="P448" s="9"/>
      <c r="Q448" s="9"/>
      <c r="R448" s="9"/>
      <c r="S448" s="42" t="str">
        <f>IFERROR(__xludf.DUMMYFUNCTION("""COMPUTED_VALUE"""),"fSZdlo;
fSZdli")</f>
        <v>fSZdlo;
fSZdli</v>
      </c>
      <c r="T448" s="42"/>
      <c r="U448" s="42" t="b">
        <f>IFERROR(__xludf.DUMMYFUNCTION("""COMPUTED_VALUE"""),FALSE)</f>
        <v>0</v>
      </c>
      <c r="V448" s="42"/>
      <c r="W448" s="42"/>
      <c r="X448" s="42"/>
      <c r="Y448" s="42"/>
      <c r="Z448" s="42"/>
      <c r="AA448" s="42"/>
      <c r="AB448" s="42" t="str">
        <f>IFERROR(__xludf.DUMMYFUNCTION("""COMPUTED_VALUE"""),"allen institute")</f>
        <v>allen institute</v>
      </c>
      <c r="AC448" s="42" t="str">
        <f>IFERROR(__xludf.DUMMYFUNCTION("""COMPUTED_VALUE"""),"DHBA")</f>
        <v>DHBA</v>
      </c>
      <c r="AD448" s="42"/>
      <c r="AE448" s="42"/>
      <c r="AF448" s="9"/>
      <c r="AG448" s="9"/>
      <c r="AH448" s="42"/>
      <c r="AI448" s="42"/>
      <c r="AJ448" s="42"/>
      <c r="AK448" s="42"/>
      <c r="AL448" s="42"/>
      <c r="AM448" s="42"/>
      <c r="AN448" s="42"/>
      <c r="AO448" s="63" t="str">
        <f>IFERROR(__xludf.DUMMYFUNCTION("IF(ISBLANK(A448),,IF(ISBLANK(S448), A448&amp;"";"", TEXTJOIN(CHAR(10), TRUE, A448&amp;"";"", ARRAYFORMULA(VLOOKUP(SPLIT(S448, "";"" &amp; CHAR(10)), $A:$AO, 41, FALSE)))))"),"fSZdl;
fSZdlo;
fSZdlop;
fSZdli;
fSZdlip;")</f>
        <v>fSZdl;
fSZdlo;
fSZdlop;
fSZdli;
fSZdlip;</v>
      </c>
      <c r="AP448" s="89"/>
    </row>
    <row r="449">
      <c r="A449" s="151" t="str">
        <f>IFERROR(__xludf.DUMMYFUNCTION("""COMPUTED_VALUE"""),"fSZdlo")</f>
        <v>fSZdlo</v>
      </c>
      <c r="B449" s="42" t="str">
        <f>IFERROR(__xludf.DUMMYFUNCTION("""COMPUTED_VALUE"""),"DHBA")</f>
        <v>DHBA</v>
      </c>
      <c r="C449" s="42" t="str">
        <f>IFERROR(__xludf.DUMMYFUNCTION("""COMPUTED_VALUE"""),"outer SZ in dorsolateral prefrontal cortex")</f>
        <v>outer SZ in dorsolateral prefrontal cortex</v>
      </c>
      <c r="D449" s="42">
        <f>IFERROR(__xludf.DUMMYFUNCTION("""COMPUTED_VALUE"""),415.0)</f>
        <v>415</v>
      </c>
      <c r="E449" s="39" t="str">
        <f>IFERROR(__xludf.DUMMYFUNCTION("""COMPUTED_VALUE"""),"outer SZ in dorsolateral prefrontal cortex")</f>
        <v>outer SZ in dorsolateral prefrontal cortex</v>
      </c>
      <c r="F449" s="9" t="str">
        <f>IFERROR(__xludf.DUMMYFUNCTION("""COMPUTED_VALUE"""),"Br")</f>
        <v>Br</v>
      </c>
      <c r="G449" s="9" t="str">
        <f>IFERROR(__xludf.DUMMYFUNCTION("""COMPUTED_VALUE"""),"F")</f>
        <v>F</v>
      </c>
      <c r="H449" s="9" t="str">
        <f>IFERROR(__xludf.DUMMYFUNCTION("""COMPUTED_VALUE"""),"FGM")</f>
        <v>FGM</v>
      </c>
      <c r="I449" s="9" t="str">
        <f>IFERROR(__xludf.DUMMYFUNCTION("""COMPUTED_VALUE"""),"FTS")</f>
        <v>FTS</v>
      </c>
      <c r="J449" s="9" t="str">
        <f>IFERROR(__xludf.DUMMYFUNCTION("""COMPUTED_VALUE"""),"SZ")</f>
        <v>SZ</v>
      </c>
      <c r="K449" s="9" t="str">
        <f>IFERROR(__xludf.DUMMYFUNCTION("""COMPUTED_VALUE"""),"fSZ")</f>
        <v>fSZ</v>
      </c>
      <c r="L449" s="9" t="str">
        <f>IFERROR(__xludf.DUMMYFUNCTION("""COMPUTED_VALUE"""),"fSZdl")</f>
        <v>fSZdl</v>
      </c>
      <c r="M449" s="9" t="str">
        <f>IFERROR(__xludf.DUMMYFUNCTION("""COMPUTED_VALUE"""),"fSZdlo")</f>
        <v>fSZdlo</v>
      </c>
      <c r="N449" s="9"/>
      <c r="O449" s="9"/>
      <c r="P449" s="9"/>
      <c r="Q449" s="9"/>
      <c r="R449" s="9"/>
      <c r="S449" s="42" t="str">
        <f>IFERROR(__xludf.DUMMYFUNCTION("""COMPUTED_VALUE"""),"fSZdlop")</f>
        <v>fSZdlop</v>
      </c>
      <c r="T449" s="42"/>
      <c r="U449" s="42" t="b">
        <f>IFERROR(__xludf.DUMMYFUNCTION("""COMPUTED_VALUE"""),FALSE)</f>
        <v>0</v>
      </c>
      <c r="V449" s="42"/>
      <c r="W449" s="42"/>
      <c r="X449" s="42"/>
      <c r="Y449" s="42"/>
      <c r="Z449" s="42"/>
      <c r="AA449" s="42"/>
      <c r="AB449" s="42" t="str">
        <f>IFERROR(__xludf.DUMMYFUNCTION("""COMPUTED_VALUE"""),"allen institute")</f>
        <v>allen institute</v>
      </c>
      <c r="AC449" s="42" t="str">
        <f>IFERROR(__xludf.DUMMYFUNCTION("""COMPUTED_VALUE"""),"DHBA")</f>
        <v>DHBA</v>
      </c>
      <c r="AD449" s="42"/>
      <c r="AE449" s="42"/>
      <c r="AF449" s="9"/>
      <c r="AG449" s="9"/>
      <c r="AH449" s="42"/>
      <c r="AI449" s="42"/>
      <c r="AJ449" s="42"/>
      <c r="AK449" s="42"/>
      <c r="AL449" s="42"/>
      <c r="AM449" s="42"/>
      <c r="AN449" s="42"/>
      <c r="AO449" s="63" t="str">
        <f>IFERROR(__xludf.DUMMYFUNCTION("IF(ISBLANK(A449),,IF(ISBLANK(S449), A449&amp;"";"", TEXTJOIN(CHAR(10), TRUE, A449&amp;"";"", ARRAYFORMULA(VLOOKUP(SPLIT(S449, "";"" &amp; CHAR(10)), $A:$AO, 41, FALSE)))))"),"fSZdlo;
fSZdlop;")</f>
        <v>fSZdlo;
fSZdlop;</v>
      </c>
      <c r="AP449" s="89"/>
    </row>
    <row r="450">
      <c r="A450" s="151" t="str">
        <f>IFERROR(__xludf.DUMMYFUNCTION("""COMPUTED_VALUE"""),"fSZdlop")</f>
        <v>fSZdlop</v>
      </c>
      <c r="B450" s="42" t="str">
        <f>IFERROR(__xludf.DUMMYFUNCTION("""COMPUTED_VALUE"""),"DHBA")</f>
        <v>DHBA</v>
      </c>
      <c r="C450" s="42" t="str">
        <f>IFERROR(__xludf.DUMMYFUNCTION("""COMPUTED_VALUE"""),"outer plexiform zone in dorsolateral prefrontal cortex")</f>
        <v>outer plexiform zone in dorsolateral prefrontal cortex</v>
      </c>
      <c r="D450" s="42">
        <f>IFERROR(__xludf.DUMMYFUNCTION("""COMPUTED_VALUE"""),416.0)</f>
        <v>416</v>
      </c>
      <c r="E450" s="39" t="str">
        <f>IFERROR(__xludf.DUMMYFUNCTION("""COMPUTED_VALUE"""),"outer plexiform zone in dorsolateral prefrontal cortex")</f>
        <v>outer plexiform zone in dorsolateral prefrontal cortex</v>
      </c>
      <c r="F450" s="9" t="str">
        <f>IFERROR(__xludf.DUMMYFUNCTION("""COMPUTED_VALUE"""),"Br")</f>
        <v>Br</v>
      </c>
      <c r="G450" s="9" t="str">
        <f>IFERROR(__xludf.DUMMYFUNCTION("""COMPUTED_VALUE"""),"F")</f>
        <v>F</v>
      </c>
      <c r="H450" s="9" t="str">
        <f>IFERROR(__xludf.DUMMYFUNCTION("""COMPUTED_VALUE"""),"FGM")</f>
        <v>FGM</v>
      </c>
      <c r="I450" s="9" t="str">
        <f>IFERROR(__xludf.DUMMYFUNCTION("""COMPUTED_VALUE"""),"FTS")</f>
        <v>FTS</v>
      </c>
      <c r="J450" s="9" t="str">
        <f>IFERROR(__xludf.DUMMYFUNCTION("""COMPUTED_VALUE"""),"SZ")</f>
        <v>SZ</v>
      </c>
      <c r="K450" s="9" t="str">
        <f>IFERROR(__xludf.DUMMYFUNCTION("""COMPUTED_VALUE"""),"fSZ")</f>
        <v>fSZ</v>
      </c>
      <c r="L450" s="9" t="str">
        <f>IFERROR(__xludf.DUMMYFUNCTION("""COMPUTED_VALUE"""),"fSZdl")</f>
        <v>fSZdl</v>
      </c>
      <c r="M450" s="9" t="str">
        <f>IFERROR(__xludf.DUMMYFUNCTION("""COMPUTED_VALUE"""),"fSZdlo")</f>
        <v>fSZdlo</v>
      </c>
      <c r="N450" s="9" t="str">
        <f>IFERROR(__xludf.DUMMYFUNCTION("""COMPUTED_VALUE"""),"fSZdlop")</f>
        <v>fSZdlop</v>
      </c>
      <c r="O450" s="9"/>
      <c r="P450" s="9"/>
      <c r="Q450" s="9"/>
      <c r="R450" s="9"/>
      <c r="S450" s="42"/>
      <c r="T450" s="42"/>
      <c r="U450" s="159"/>
      <c r="V450" s="42"/>
      <c r="W450" s="42"/>
      <c r="X450" s="42"/>
      <c r="Y450" s="42"/>
      <c r="Z450" s="42"/>
      <c r="AA450" s="42"/>
      <c r="AB450" s="42" t="str">
        <f>IFERROR(__xludf.DUMMYFUNCTION("""COMPUTED_VALUE"""),"allen institute")</f>
        <v>allen institute</v>
      </c>
      <c r="AC450" s="42" t="str">
        <f>IFERROR(__xludf.DUMMYFUNCTION("""COMPUTED_VALUE"""),"DHBA")</f>
        <v>DHBA</v>
      </c>
      <c r="AD450" s="42"/>
      <c r="AE450" s="42"/>
      <c r="AF450" s="9"/>
      <c r="AG450" s="9"/>
      <c r="AH450" s="42"/>
      <c r="AI450" s="42"/>
      <c r="AJ450" s="42"/>
      <c r="AK450" s="42"/>
      <c r="AL450" s="42"/>
      <c r="AM450" s="42"/>
      <c r="AN450" s="42"/>
      <c r="AO450" s="63" t="str">
        <f>IFERROR(__xludf.DUMMYFUNCTION("IF(ISBLANK(A450),,IF(ISBLANK(S450), A450&amp;"";"", TEXTJOIN(CHAR(10), TRUE, A450&amp;"";"", ARRAYFORMULA(VLOOKUP(SPLIT(S450, "";"" &amp; CHAR(10)), $A:$AO, 41, FALSE)))))"),"fSZdlop;")</f>
        <v>fSZdlop;</v>
      </c>
      <c r="AP450" s="89"/>
    </row>
    <row r="451">
      <c r="A451" s="151" t="str">
        <f>IFERROR(__xludf.DUMMYFUNCTION("""COMPUTED_VALUE"""),"fSZdli")</f>
        <v>fSZdli</v>
      </c>
      <c r="B451" s="42" t="str">
        <f>IFERROR(__xludf.DUMMYFUNCTION("""COMPUTED_VALUE"""),"DHBA")</f>
        <v>DHBA</v>
      </c>
      <c r="C451" s="42" t="str">
        <f>IFERROR(__xludf.DUMMYFUNCTION("""COMPUTED_VALUE"""),"inner SZ in dorsolateral prefrontal cortex")</f>
        <v>inner SZ in dorsolateral prefrontal cortex</v>
      </c>
      <c r="D451" s="42">
        <f>IFERROR(__xludf.DUMMYFUNCTION("""COMPUTED_VALUE"""),417.0)</f>
        <v>417</v>
      </c>
      <c r="E451" s="39" t="str">
        <f>IFERROR(__xludf.DUMMYFUNCTION("""COMPUTED_VALUE"""),"inner SZ in dorsolateral prefrontal cortex")</f>
        <v>inner SZ in dorsolateral prefrontal cortex</v>
      </c>
      <c r="F451" s="9" t="str">
        <f>IFERROR(__xludf.DUMMYFUNCTION("""COMPUTED_VALUE"""),"Br")</f>
        <v>Br</v>
      </c>
      <c r="G451" s="9" t="str">
        <f>IFERROR(__xludf.DUMMYFUNCTION("""COMPUTED_VALUE"""),"F")</f>
        <v>F</v>
      </c>
      <c r="H451" s="9" t="str">
        <f>IFERROR(__xludf.DUMMYFUNCTION("""COMPUTED_VALUE"""),"FGM")</f>
        <v>FGM</v>
      </c>
      <c r="I451" s="9" t="str">
        <f>IFERROR(__xludf.DUMMYFUNCTION("""COMPUTED_VALUE"""),"FTS")</f>
        <v>FTS</v>
      </c>
      <c r="J451" s="9" t="str">
        <f>IFERROR(__xludf.DUMMYFUNCTION("""COMPUTED_VALUE"""),"SZ")</f>
        <v>SZ</v>
      </c>
      <c r="K451" s="9" t="str">
        <f>IFERROR(__xludf.DUMMYFUNCTION("""COMPUTED_VALUE"""),"fSZ")</f>
        <v>fSZ</v>
      </c>
      <c r="L451" s="9" t="str">
        <f>IFERROR(__xludf.DUMMYFUNCTION("""COMPUTED_VALUE"""),"fSZdl")</f>
        <v>fSZdl</v>
      </c>
      <c r="M451" s="9" t="str">
        <f>IFERROR(__xludf.DUMMYFUNCTION("""COMPUTED_VALUE"""),"fSZdli")</f>
        <v>fSZdli</v>
      </c>
      <c r="N451" s="9"/>
      <c r="O451" s="9"/>
      <c r="P451" s="9"/>
      <c r="Q451" s="9"/>
      <c r="R451" s="9"/>
      <c r="S451" s="42" t="str">
        <f>IFERROR(__xludf.DUMMYFUNCTION("""COMPUTED_VALUE"""),"fSZdlip")</f>
        <v>fSZdlip</v>
      </c>
      <c r="T451" s="42"/>
      <c r="U451" s="159" t="b">
        <f>IFERROR(__xludf.DUMMYFUNCTION("""COMPUTED_VALUE"""),FALSE)</f>
        <v>0</v>
      </c>
      <c r="V451" s="42"/>
      <c r="W451" s="42"/>
      <c r="X451" s="42"/>
      <c r="Y451" s="42"/>
      <c r="Z451" s="42"/>
      <c r="AA451" s="42"/>
      <c r="AB451" s="42" t="str">
        <f>IFERROR(__xludf.DUMMYFUNCTION("""COMPUTED_VALUE"""),"allen institute")</f>
        <v>allen institute</v>
      </c>
      <c r="AC451" s="42" t="str">
        <f>IFERROR(__xludf.DUMMYFUNCTION("""COMPUTED_VALUE"""),"DHBA")</f>
        <v>DHBA</v>
      </c>
      <c r="AD451" s="42"/>
      <c r="AE451" s="42"/>
      <c r="AF451" s="9"/>
      <c r="AG451" s="9"/>
      <c r="AH451" s="42"/>
      <c r="AI451" s="42"/>
      <c r="AJ451" s="42"/>
      <c r="AK451" s="42"/>
      <c r="AL451" s="42"/>
      <c r="AM451" s="42"/>
      <c r="AN451" s="42"/>
      <c r="AO451" s="63" t="str">
        <f>IFERROR(__xludf.DUMMYFUNCTION("IF(ISBLANK(A451),,IF(ISBLANK(S451), A451&amp;"";"", TEXTJOIN(CHAR(10), TRUE, A451&amp;"";"", ARRAYFORMULA(VLOOKUP(SPLIT(S451, "";"" &amp; CHAR(10)), $A:$AO, 41, FALSE)))))"),"fSZdli;
fSZdlip;")</f>
        <v>fSZdli;
fSZdlip;</v>
      </c>
      <c r="AP451" s="89"/>
    </row>
    <row r="452">
      <c r="A452" s="151" t="str">
        <f>IFERROR(__xludf.DUMMYFUNCTION("""COMPUTED_VALUE"""),"fSZdlip")</f>
        <v>fSZdlip</v>
      </c>
      <c r="B452" s="42" t="str">
        <f>IFERROR(__xludf.DUMMYFUNCTION("""COMPUTED_VALUE"""),"DHBA")</f>
        <v>DHBA</v>
      </c>
      <c r="C452" s="42" t="str">
        <f>IFERROR(__xludf.DUMMYFUNCTION("""COMPUTED_VALUE"""),"inner plexiform zone in dorsolateral prefrontal cortex")</f>
        <v>inner plexiform zone in dorsolateral prefrontal cortex</v>
      </c>
      <c r="D452" s="42">
        <f>IFERROR(__xludf.DUMMYFUNCTION("""COMPUTED_VALUE"""),418.0)</f>
        <v>418</v>
      </c>
      <c r="E452" s="39" t="str">
        <f>IFERROR(__xludf.DUMMYFUNCTION("""COMPUTED_VALUE"""),"inner plexiform zone in dorsolateral prefrontal cortex")</f>
        <v>inner plexiform zone in dorsolateral prefrontal cortex</v>
      </c>
      <c r="F452" s="9" t="str">
        <f>IFERROR(__xludf.DUMMYFUNCTION("""COMPUTED_VALUE"""),"Br")</f>
        <v>Br</v>
      </c>
      <c r="G452" s="9" t="str">
        <f>IFERROR(__xludf.DUMMYFUNCTION("""COMPUTED_VALUE"""),"F")</f>
        <v>F</v>
      </c>
      <c r="H452" s="9" t="str">
        <f>IFERROR(__xludf.DUMMYFUNCTION("""COMPUTED_VALUE"""),"FGM")</f>
        <v>FGM</v>
      </c>
      <c r="I452" s="9" t="str">
        <f>IFERROR(__xludf.DUMMYFUNCTION("""COMPUTED_VALUE"""),"FTS")</f>
        <v>FTS</v>
      </c>
      <c r="J452" s="9" t="str">
        <f>IFERROR(__xludf.DUMMYFUNCTION("""COMPUTED_VALUE"""),"SZ")</f>
        <v>SZ</v>
      </c>
      <c r="K452" s="9" t="str">
        <f>IFERROR(__xludf.DUMMYFUNCTION("""COMPUTED_VALUE"""),"fSZ")</f>
        <v>fSZ</v>
      </c>
      <c r="L452" s="9" t="str">
        <f>IFERROR(__xludf.DUMMYFUNCTION("""COMPUTED_VALUE"""),"fSZdl")</f>
        <v>fSZdl</v>
      </c>
      <c r="M452" s="9" t="str">
        <f>IFERROR(__xludf.DUMMYFUNCTION("""COMPUTED_VALUE"""),"fSZdli")</f>
        <v>fSZdli</v>
      </c>
      <c r="N452" s="9" t="str">
        <f>IFERROR(__xludf.DUMMYFUNCTION("""COMPUTED_VALUE"""),"fSZdlip")</f>
        <v>fSZdlip</v>
      </c>
      <c r="O452" s="9"/>
      <c r="P452" s="9"/>
      <c r="Q452" s="9"/>
      <c r="R452" s="9"/>
      <c r="S452" s="42"/>
      <c r="T452" s="42"/>
      <c r="U452" s="42"/>
      <c r="V452" s="42"/>
      <c r="W452" s="42"/>
      <c r="X452" s="42"/>
      <c r="Y452" s="42"/>
      <c r="Z452" s="42"/>
      <c r="AA452" s="42"/>
      <c r="AB452" s="42" t="str">
        <f>IFERROR(__xludf.DUMMYFUNCTION("""COMPUTED_VALUE"""),"allen institute")</f>
        <v>allen institute</v>
      </c>
      <c r="AC452" s="42" t="str">
        <f>IFERROR(__xludf.DUMMYFUNCTION("""COMPUTED_VALUE"""),"DHBA")</f>
        <v>DHBA</v>
      </c>
      <c r="AD452" s="42"/>
      <c r="AE452" s="42"/>
      <c r="AF452" s="9"/>
      <c r="AG452" s="9"/>
      <c r="AH452" s="42"/>
      <c r="AI452" s="42"/>
      <c r="AJ452" s="42"/>
      <c r="AK452" s="42"/>
      <c r="AL452" s="42"/>
      <c r="AM452" s="42"/>
      <c r="AN452" s="42"/>
      <c r="AO452" s="63" t="str">
        <f>IFERROR(__xludf.DUMMYFUNCTION("IF(ISBLANK(A452),,IF(ISBLANK(S452), A452&amp;"";"", TEXTJOIN(CHAR(10), TRUE, A452&amp;"";"", ARRAYFORMULA(VLOOKUP(SPLIT(S452, "";"" &amp; CHAR(10)), $A:$AO, 41, FALSE)))))"),"fSZdlip;")</f>
        <v>fSZdlip;</v>
      </c>
      <c r="AP452" s="89"/>
    </row>
    <row r="453">
      <c r="A453" s="151" t="str">
        <f>IFERROR(__xludf.DUMMYFUNCTION("""COMPUTED_VALUE"""),"fSZvl")</f>
        <v>fSZvl</v>
      </c>
      <c r="B453" s="42" t="str">
        <f>IFERROR(__xludf.DUMMYFUNCTION("""COMPUTED_VALUE"""),"DHBA")</f>
        <v>DHBA</v>
      </c>
      <c r="C453" s="42" t="str">
        <f>IFERROR(__xludf.DUMMYFUNCTION("""COMPUTED_VALUE"""),"SZ in ventrolateral prefrontal cortex")</f>
        <v>SZ in ventrolateral prefrontal cortex</v>
      </c>
      <c r="D453" s="42">
        <f>IFERROR(__xludf.DUMMYFUNCTION("""COMPUTED_VALUE"""),419.0)</f>
        <v>419</v>
      </c>
      <c r="E453" s="39" t="str">
        <f>IFERROR(__xludf.DUMMYFUNCTION("""COMPUTED_VALUE"""),"SZ in ventrolateral prefrontal cortex")</f>
        <v>SZ in ventrolateral prefrontal cortex</v>
      </c>
      <c r="F453" s="9" t="str">
        <f>IFERROR(__xludf.DUMMYFUNCTION("""COMPUTED_VALUE"""),"Br")</f>
        <v>Br</v>
      </c>
      <c r="G453" s="9" t="str">
        <f>IFERROR(__xludf.DUMMYFUNCTION("""COMPUTED_VALUE"""),"F")</f>
        <v>F</v>
      </c>
      <c r="H453" s="9" t="str">
        <f>IFERROR(__xludf.DUMMYFUNCTION("""COMPUTED_VALUE"""),"FGM")</f>
        <v>FGM</v>
      </c>
      <c r="I453" s="9" t="str">
        <f>IFERROR(__xludf.DUMMYFUNCTION("""COMPUTED_VALUE"""),"FTS")</f>
        <v>FTS</v>
      </c>
      <c r="J453" s="9" t="str">
        <f>IFERROR(__xludf.DUMMYFUNCTION("""COMPUTED_VALUE"""),"SZ")</f>
        <v>SZ</v>
      </c>
      <c r="K453" s="9" t="str">
        <f>IFERROR(__xludf.DUMMYFUNCTION("""COMPUTED_VALUE"""),"fSZ")</f>
        <v>fSZ</v>
      </c>
      <c r="L453" s="9" t="str">
        <f>IFERROR(__xludf.DUMMYFUNCTION("""COMPUTED_VALUE"""),"fSZvl")</f>
        <v>fSZvl</v>
      </c>
      <c r="M453" s="9"/>
      <c r="N453" s="9"/>
      <c r="O453" s="9"/>
      <c r="P453" s="9"/>
      <c r="Q453" s="9"/>
      <c r="R453" s="9"/>
      <c r="S453" s="42" t="str">
        <f>IFERROR(__xludf.DUMMYFUNCTION("""COMPUTED_VALUE"""),"fSZvlo;
fSZvli")</f>
        <v>fSZvlo;
fSZvli</v>
      </c>
      <c r="T453" s="42"/>
      <c r="U453" s="42" t="b">
        <f>IFERROR(__xludf.DUMMYFUNCTION("""COMPUTED_VALUE"""),FALSE)</f>
        <v>0</v>
      </c>
      <c r="V453" s="42"/>
      <c r="W453" s="42"/>
      <c r="X453" s="42"/>
      <c r="Y453" s="42"/>
      <c r="Z453" s="42"/>
      <c r="AA453" s="42"/>
      <c r="AB453" s="42" t="str">
        <f>IFERROR(__xludf.DUMMYFUNCTION("""COMPUTED_VALUE"""),"allen institute")</f>
        <v>allen institute</v>
      </c>
      <c r="AC453" s="42" t="str">
        <f>IFERROR(__xludf.DUMMYFUNCTION("""COMPUTED_VALUE"""),"DHBA")</f>
        <v>DHBA</v>
      </c>
      <c r="AD453" s="42"/>
      <c r="AE453" s="42"/>
      <c r="AF453" s="9"/>
      <c r="AG453" s="9"/>
      <c r="AH453" s="42"/>
      <c r="AI453" s="42"/>
      <c r="AJ453" s="42"/>
      <c r="AK453" s="42"/>
      <c r="AL453" s="42"/>
      <c r="AM453" s="42"/>
      <c r="AN453" s="42"/>
      <c r="AO453" s="63" t="str">
        <f>IFERROR(__xludf.DUMMYFUNCTION("IF(ISBLANK(A453),,IF(ISBLANK(S453), A453&amp;"";"", TEXTJOIN(CHAR(10), TRUE, A453&amp;"";"", ARRAYFORMULA(VLOOKUP(SPLIT(S453, "";"" &amp; CHAR(10)), $A:$AO, 41, FALSE)))))"),"fSZvl;
fSZvlo;
fSZvlop;
fSZvli;
fSZvlip;")</f>
        <v>fSZvl;
fSZvlo;
fSZvlop;
fSZvli;
fSZvlip;</v>
      </c>
      <c r="AP453" s="89"/>
    </row>
    <row r="454">
      <c r="A454" s="151" t="str">
        <f>IFERROR(__xludf.DUMMYFUNCTION("""COMPUTED_VALUE"""),"fSZvlo")</f>
        <v>fSZvlo</v>
      </c>
      <c r="B454" s="42" t="str">
        <f>IFERROR(__xludf.DUMMYFUNCTION("""COMPUTED_VALUE"""),"DHBA")</f>
        <v>DHBA</v>
      </c>
      <c r="C454" s="42" t="str">
        <f>IFERROR(__xludf.DUMMYFUNCTION("""COMPUTED_VALUE"""),"outer SZ in ventrolateral prefrontal cortex")</f>
        <v>outer SZ in ventrolateral prefrontal cortex</v>
      </c>
      <c r="D454" s="42">
        <f>IFERROR(__xludf.DUMMYFUNCTION("""COMPUTED_VALUE"""),420.0)</f>
        <v>420</v>
      </c>
      <c r="E454" s="39" t="str">
        <f>IFERROR(__xludf.DUMMYFUNCTION("""COMPUTED_VALUE"""),"outer SZ in ventrolateral prefrontal cortex")</f>
        <v>outer SZ in ventrolateral prefrontal cortex</v>
      </c>
      <c r="F454" s="9" t="str">
        <f>IFERROR(__xludf.DUMMYFUNCTION("""COMPUTED_VALUE"""),"Br")</f>
        <v>Br</v>
      </c>
      <c r="G454" s="9" t="str">
        <f>IFERROR(__xludf.DUMMYFUNCTION("""COMPUTED_VALUE"""),"F")</f>
        <v>F</v>
      </c>
      <c r="H454" s="9" t="str">
        <f>IFERROR(__xludf.DUMMYFUNCTION("""COMPUTED_VALUE"""),"FGM")</f>
        <v>FGM</v>
      </c>
      <c r="I454" s="9" t="str">
        <f>IFERROR(__xludf.DUMMYFUNCTION("""COMPUTED_VALUE"""),"FTS")</f>
        <v>FTS</v>
      </c>
      <c r="J454" s="9" t="str">
        <f>IFERROR(__xludf.DUMMYFUNCTION("""COMPUTED_VALUE"""),"SZ")</f>
        <v>SZ</v>
      </c>
      <c r="K454" s="9" t="str">
        <f>IFERROR(__xludf.DUMMYFUNCTION("""COMPUTED_VALUE"""),"fSZ")</f>
        <v>fSZ</v>
      </c>
      <c r="L454" s="9" t="str">
        <f>IFERROR(__xludf.DUMMYFUNCTION("""COMPUTED_VALUE"""),"fSZvl")</f>
        <v>fSZvl</v>
      </c>
      <c r="M454" s="9" t="str">
        <f>IFERROR(__xludf.DUMMYFUNCTION("""COMPUTED_VALUE"""),"fSZvlo")</f>
        <v>fSZvlo</v>
      </c>
      <c r="N454" s="9"/>
      <c r="O454" s="9"/>
      <c r="P454" s="9"/>
      <c r="Q454" s="9"/>
      <c r="R454" s="9"/>
      <c r="S454" s="42" t="str">
        <f>IFERROR(__xludf.DUMMYFUNCTION("""COMPUTED_VALUE"""),"fSZvlop")</f>
        <v>fSZvlop</v>
      </c>
      <c r="T454" s="42"/>
      <c r="U454" s="42" t="b">
        <f>IFERROR(__xludf.DUMMYFUNCTION("""COMPUTED_VALUE"""),FALSE)</f>
        <v>0</v>
      </c>
      <c r="V454" s="42"/>
      <c r="W454" s="42"/>
      <c r="X454" s="42"/>
      <c r="Y454" s="42"/>
      <c r="Z454" s="42"/>
      <c r="AA454" s="42"/>
      <c r="AB454" s="42" t="str">
        <f>IFERROR(__xludf.DUMMYFUNCTION("""COMPUTED_VALUE"""),"allen institute")</f>
        <v>allen institute</v>
      </c>
      <c r="AC454" s="42" t="str">
        <f>IFERROR(__xludf.DUMMYFUNCTION("""COMPUTED_VALUE"""),"DHBA")</f>
        <v>DHBA</v>
      </c>
      <c r="AD454" s="42"/>
      <c r="AE454" s="42"/>
      <c r="AF454" s="9"/>
      <c r="AG454" s="9"/>
      <c r="AH454" s="42"/>
      <c r="AI454" s="42"/>
      <c r="AJ454" s="42"/>
      <c r="AK454" s="42"/>
      <c r="AL454" s="42"/>
      <c r="AM454" s="42"/>
      <c r="AN454" s="42"/>
      <c r="AO454" s="63" t="str">
        <f>IFERROR(__xludf.DUMMYFUNCTION("IF(ISBLANK(A454),,IF(ISBLANK(S454), A454&amp;"";"", TEXTJOIN(CHAR(10), TRUE, A454&amp;"";"", ARRAYFORMULA(VLOOKUP(SPLIT(S454, "";"" &amp; CHAR(10)), $A:$AO, 41, FALSE)))))"),"fSZvlo;
fSZvlop;")</f>
        <v>fSZvlo;
fSZvlop;</v>
      </c>
      <c r="AP454" s="89"/>
    </row>
    <row r="455">
      <c r="A455" s="151" t="str">
        <f>IFERROR(__xludf.DUMMYFUNCTION("""COMPUTED_VALUE"""),"fSZvlop")</f>
        <v>fSZvlop</v>
      </c>
      <c r="B455" s="42" t="str">
        <f>IFERROR(__xludf.DUMMYFUNCTION("""COMPUTED_VALUE"""),"DHBA")</f>
        <v>DHBA</v>
      </c>
      <c r="C455" s="42" t="str">
        <f>IFERROR(__xludf.DUMMYFUNCTION("""COMPUTED_VALUE"""),"outer plexiform zone in ventrolateral prefrontal cortex")</f>
        <v>outer plexiform zone in ventrolateral prefrontal cortex</v>
      </c>
      <c r="D455" s="42">
        <f>IFERROR(__xludf.DUMMYFUNCTION("""COMPUTED_VALUE"""),421.0)</f>
        <v>421</v>
      </c>
      <c r="E455" s="39" t="str">
        <f>IFERROR(__xludf.DUMMYFUNCTION("""COMPUTED_VALUE"""),"outer plexiform zone in ventrolateral prefrontal cortex")</f>
        <v>outer plexiform zone in ventrolateral prefrontal cortex</v>
      </c>
      <c r="F455" s="9" t="str">
        <f>IFERROR(__xludf.DUMMYFUNCTION("""COMPUTED_VALUE"""),"Br")</f>
        <v>Br</v>
      </c>
      <c r="G455" s="9" t="str">
        <f>IFERROR(__xludf.DUMMYFUNCTION("""COMPUTED_VALUE"""),"F")</f>
        <v>F</v>
      </c>
      <c r="H455" s="9" t="str">
        <f>IFERROR(__xludf.DUMMYFUNCTION("""COMPUTED_VALUE"""),"FGM")</f>
        <v>FGM</v>
      </c>
      <c r="I455" s="9" t="str">
        <f>IFERROR(__xludf.DUMMYFUNCTION("""COMPUTED_VALUE"""),"FTS")</f>
        <v>FTS</v>
      </c>
      <c r="J455" s="9" t="str">
        <f>IFERROR(__xludf.DUMMYFUNCTION("""COMPUTED_VALUE"""),"SZ")</f>
        <v>SZ</v>
      </c>
      <c r="K455" s="9" t="str">
        <f>IFERROR(__xludf.DUMMYFUNCTION("""COMPUTED_VALUE"""),"fSZ")</f>
        <v>fSZ</v>
      </c>
      <c r="L455" s="9" t="str">
        <f>IFERROR(__xludf.DUMMYFUNCTION("""COMPUTED_VALUE"""),"fSZvl")</f>
        <v>fSZvl</v>
      </c>
      <c r="M455" s="9" t="str">
        <f>IFERROR(__xludf.DUMMYFUNCTION("""COMPUTED_VALUE"""),"fSZvlo")</f>
        <v>fSZvlo</v>
      </c>
      <c r="N455" s="9" t="str">
        <f>IFERROR(__xludf.DUMMYFUNCTION("""COMPUTED_VALUE"""),"fSZvlop")</f>
        <v>fSZvlop</v>
      </c>
      <c r="O455" s="9"/>
      <c r="P455" s="9"/>
      <c r="Q455" s="9"/>
      <c r="R455" s="9"/>
      <c r="S455" s="42"/>
      <c r="T455" s="42"/>
      <c r="U455" s="42"/>
      <c r="V455" s="42"/>
      <c r="W455" s="42"/>
      <c r="X455" s="42"/>
      <c r="Y455" s="42"/>
      <c r="Z455" s="42"/>
      <c r="AA455" s="42"/>
      <c r="AB455" s="42" t="str">
        <f>IFERROR(__xludf.DUMMYFUNCTION("""COMPUTED_VALUE"""),"allen institute")</f>
        <v>allen institute</v>
      </c>
      <c r="AC455" s="42" t="str">
        <f>IFERROR(__xludf.DUMMYFUNCTION("""COMPUTED_VALUE"""),"DHBA")</f>
        <v>DHBA</v>
      </c>
      <c r="AD455" s="42"/>
      <c r="AE455" s="42"/>
      <c r="AF455" s="9"/>
      <c r="AG455" s="9"/>
      <c r="AH455" s="42"/>
      <c r="AI455" s="42"/>
      <c r="AJ455" s="42"/>
      <c r="AK455" s="42"/>
      <c r="AL455" s="42"/>
      <c r="AM455" s="42"/>
      <c r="AN455" s="42"/>
      <c r="AO455" s="63" t="str">
        <f>IFERROR(__xludf.DUMMYFUNCTION("IF(ISBLANK(A455),,IF(ISBLANK(S455), A455&amp;"";"", TEXTJOIN(CHAR(10), TRUE, A455&amp;"";"", ARRAYFORMULA(VLOOKUP(SPLIT(S455, "";"" &amp; CHAR(10)), $A:$AO, 41, FALSE)))))"),"fSZvlop;")</f>
        <v>fSZvlop;</v>
      </c>
      <c r="AP455" s="89"/>
    </row>
    <row r="456">
      <c r="A456" s="151" t="str">
        <f>IFERROR(__xludf.DUMMYFUNCTION("""COMPUTED_VALUE"""),"fSZvli")</f>
        <v>fSZvli</v>
      </c>
      <c r="B456" s="42" t="str">
        <f>IFERROR(__xludf.DUMMYFUNCTION("""COMPUTED_VALUE"""),"DHBA")</f>
        <v>DHBA</v>
      </c>
      <c r="C456" s="42" t="str">
        <f>IFERROR(__xludf.DUMMYFUNCTION("""COMPUTED_VALUE"""),"inner SZ in ventrolateral prefrontal cortex")</f>
        <v>inner SZ in ventrolateral prefrontal cortex</v>
      </c>
      <c r="D456" s="42">
        <f>IFERROR(__xludf.DUMMYFUNCTION("""COMPUTED_VALUE"""),422.0)</f>
        <v>422</v>
      </c>
      <c r="E456" s="39" t="str">
        <f>IFERROR(__xludf.DUMMYFUNCTION("""COMPUTED_VALUE"""),"inner SZ in ventrolateral prefrontal cortex")</f>
        <v>inner SZ in ventrolateral prefrontal cortex</v>
      </c>
      <c r="F456" s="9" t="str">
        <f>IFERROR(__xludf.DUMMYFUNCTION("""COMPUTED_VALUE"""),"Br")</f>
        <v>Br</v>
      </c>
      <c r="G456" s="9" t="str">
        <f>IFERROR(__xludf.DUMMYFUNCTION("""COMPUTED_VALUE"""),"F")</f>
        <v>F</v>
      </c>
      <c r="H456" s="9" t="str">
        <f>IFERROR(__xludf.DUMMYFUNCTION("""COMPUTED_VALUE"""),"FGM")</f>
        <v>FGM</v>
      </c>
      <c r="I456" s="9" t="str">
        <f>IFERROR(__xludf.DUMMYFUNCTION("""COMPUTED_VALUE"""),"FTS")</f>
        <v>FTS</v>
      </c>
      <c r="J456" s="9" t="str">
        <f>IFERROR(__xludf.DUMMYFUNCTION("""COMPUTED_VALUE"""),"SZ")</f>
        <v>SZ</v>
      </c>
      <c r="K456" s="9" t="str">
        <f>IFERROR(__xludf.DUMMYFUNCTION("""COMPUTED_VALUE"""),"fSZ")</f>
        <v>fSZ</v>
      </c>
      <c r="L456" s="9" t="str">
        <f>IFERROR(__xludf.DUMMYFUNCTION("""COMPUTED_VALUE"""),"fSZvl")</f>
        <v>fSZvl</v>
      </c>
      <c r="M456" s="9" t="str">
        <f>IFERROR(__xludf.DUMMYFUNCTION("""COMPUTED_VALUE"""),"fSZvli")</f>
        <v>fSZvli</v>
      </c>
      <c r="N456" s="9"/>
      <c r="O456" s="9"/>
      <c r="P456" s="9"/>
      <c r="Q456" s="9"/>
      <c r="R456" s="9"/>
      <c r="S456" s="42" t="str">
        <f>IFERROR(__xludf.DUMMYFUNCTION("""COMPUTED_VALUE"""),"fSZvlip")</f>
        <v>fSZvlip</v>
      </c>
      <c r="T456" s="42"/>
      <c r="U456" s="42" t="b">
        <f>IFERROR(__xludf.DUMMYFUNCTION("""COMPUTED_VALUE"""),FALSE)</f>
        <v>0</v>
      </c>
      <c r="V456" s="42"/>
      <c r="W456" s="42"/>
      <c r="X456" s="42"/>
      <c r="Y456" s="42"/>
      <c r="Z456" s="42"/>
      <c r="AA456" s="42"/>
      <c r="AB456" s="42" t="str">
        <f>IFERROR(__xludf.DUMMYFUNCTION("""COMPUTED_VALUE"""),"allen institute")</f>
        <v>allen institute</v>
      </c>
      <c r="AC456" s="42" t="str">
        <f>IFERROR(__xludf.DUMMYFUNCTION("""COMPUTED_VALUE"""),"DHBA")</f>
        <v>DHBA</v>
      </c>
      <c r="AD456" s="42"/>
      <c r="AE456" s="42"/>
      <c r="AF456" s="9"/>
      <c r="AG456" s="9"/>
      <c r="AH456" s="42"/>
      <c r="AI456" s="42"/>
      <c r="AJ456" s="42"/>
      <c r="AK456" s="42"/>
      <c r="AL456" s="42"/>
      <c r="AM456" s="42"/>
      <c r="AN456" s="42"/>
      <c r="AO456" s="63" t="str">
        <f>IFERROR(__xludf.DUMMYFUNCTION("IF(ISBLANK(A456),,IF(ISBLANK(S456), A456&amp;"";"", TEXTJOIN(CHAR(10), TRUE, A456&amp;"";"", ARRAYFORMULA(VLOOKUP(SPLIT(S456, "";"" &amp; CHAR(10)), $A:$AO, 41, FALSE)))))"),"fSZvli;
fSZvlip;")</f>
        <v>fSZvli;
fSZvlip;</v>
      </c>
      <c r="AP456" s="89"/>
    </row>
    <row r="457">
      <c r="A457" s="151" t="str">
        <f>IFERROR(__xludf.DUMMYFUNCTION("""COMPUTED_VALUE"""),"fSZvlip")</f>
        <v>fSZvlip</v>
      </c>
      <c r="B457" s="42" t="str">
        <f>IFERROR(__xludf.DUMMYFUNCTION("""COMPUTED_VALUE"""),"DHBA")</f>
        <v>DHBA</v>
      </c>
      <c r="C457" s="42" t="str">
        <f>IFERROR(__xludf.DUMMYFUNCTION("""COMPUTED_VALUE"""),"inner plexiform zone in ventrolateral prefrontal cortex")</f>
        <v>inner plexiform zone in ventrolateral prefrontal cortex</v>
      </c>
      <c r="D457" s="42">
        <f>IFERROR(__xludf.DUMMYFUNCTION("""COMPUTED_VALUE"""),423.0)</f>
        <v>423</v>
      </c>
      <c r="E457" s="39" t="str">
        <f>IFERROR(__xludf.DUMMYFUNCTION("""COMPUTED_VALUE"""),"inner plexiform zone in ventrolateral prefrontal cortex")</f>
        <v>inner plexiform zone in ventrolateral prefrontal cortex</v>
      </c>
      <c r="F457" s="9" t="str">
        <f>IFERROR(__xludf.DUMMYFUNCTION("""COMPUTED_VALUE"""),"Br")</f>
        <v>Br</v>
      </c>
      <c r="G457" s="9" t="str">
        <f>IFERROR(__xludf.DUMMYFUNCTION("""COMPUTED_VALUE"""),"F")</f>
        <v>F</v>
      </c>
      <c r="H457" s="9" t="str">
        <f>IFERROR(__xludf.DUMMYFUNCTION("""COMPUTED_VALUE"""),"FGM")</f>
        <v>FGM</v>
      </c>
      <c r="I457" s="9" t="str">
        <f>IFERROR(__xludf.DUMMYFUNCTION("""COMPUTED_VALUE"""),"FTS")</f>
        <v>FTS</v>
      </c>
      <c r="J457" s="9" t="str">
        <f>IFERROR(__xludf.DUMMYFUNCTION("""COMPUTED_VALUE"""),"SZ")</f>
        <v>SZ</v>
      </c>
      <c r="K457" s="9" t="str">
        <f>IFERROR(__xludf.DUMMYFUNCTION("""COMPUTED_VALUE"""),"fSZ")</f>
        <v>fSZ</v>
      </c>
      <c r="L457" s="9" t="str">
        <f>IFERROR(__xludf.DUMMYFUNCTION("""COMPUTED_VALUE"""),"fSZvl")</f>
        <v>fSZvl</v>
      </c>
      <c r="M457" s="9" t="str">
        <f>IFERROR(__xludf.DUMMYFUNCTION("""COMPUTED_VALUE"""),"fSZvli")</f>
        <v>fSZvli</v>
      </c>
      <c r="N457" s="9" t="str">
        <f>IFERROR(__xludf.DUMMYFUNCTION("""COMPUTED_VALUE"""),"fSZvlip")</f>
        <v>fSZvlip</v>
      </c>
      <c r="O457" s="9"/>
      <c r="P457" s="9"/>
      <c r="Q457" s="9"/>
      <c r="R457" s="9"/>
      <c r="S457" s="42"/>
      <c r="T457" s="42"/>
      <c r="U457" s="42"/>
      <c r="V457" s="42"/>
      <c r="W457" s="42"/>
      <c r="X457" s="42"/>
      <c r="Y457" s="42"/>
      <c r="Z457" s="42"/>
      <c r="AA457" s="42"/>
      <c r="AB457" s="42" t="str">
        <f>IFERROR(__xludf.DUMMYFUNCTION("""COMPUTED_VALUE"""),"allen institute")</f>
        <v>allen institute</v>
      </c>
      <c r="AC457" s="42" t="str">
        <f>IFERROR(__xludf.DUMMYFUNCTION("""COMPUTED_VALUE"""),"DHBA")</f>
        <v>DHBA</v>
      </c>
      <c r="AD457" s="42"/>
      <c r="AE457" s="42"/>
      <c r="AF457" s="9"/>
      <c r="AG457" s="9"/>
      <c r="AH457" s="42"/>
      <c r="AI457" s="42"/>
      <c r="AJ457" s="42"/>
      <c r="AK457" s="42"/>
      <c r="AL457" s="42"/>
      <c r="AM457" s="42"/>
      <c r="AN457" s="42"/>
      <c r="AO457" s="63" t="str">
        <f>IFERROR(__xludf.DUMMYFUNCTION("IF(ISBLANK(A457),,IF(ISBLANK(S457), A457&amp;"";"", TEXTJOIN(CHAR(10), TRUE, A457&amp;"";"", ARRAYFORMULA(VLOOKUP(SPLIT(S457, "";"" &amp; CHAR(10)), $A:$AO, 41, FALSE)))))"),"fSZvlip;")</f>
        <v>fSZvlip;</v>
      </c>
      <c r="AP457" s="89"/>
    </row>
    <row r="458">
      <c r="A458" s="151" t="str">
        <f>IFERROR(__xludf.DUMMYFUNCTION("""COMPUTED_VALUE"""),"fSZor")</f>
        <v>fSZor</v>
      </c>
      <c r="B458" s="42" t="str">
        <f>IFERROR(__xludf.DUMMYFUNCTION("""COMPUTED_VALUE"""),"DHBA")</f>
        <v>DHBA</v>
      </c>
      <c r="C458" s="42" t="str">
        <f>IFERROR(__xludf.DUMMYFUNCTION("""COMPUTED_VALUE"""),"SZ in orbital frontal cortex")</f>
        <v>SZ in orbital frontal cortex</v>
      </c>
      <c r="D458" s="42">
        <f>IFERROR(__xludf.DUMMYFUNCTION("""COMPUTED_VALUE"""),424.0)</f>
        <v>424</v>
      </c>
      <c r="E458" s="39" t="str">
        <f>IFERROR(__xludf.DUMMYFUNCTION("""COMPUTED_VALUE"""),"SZ in orbital frontal cortex")</f>
        <v>SZ in orbital frontal cortex</v>
      </c>
      <c r="F458" s="9" t="str">
        <f>IFERROR(__xludf.DUMMYFUNCTION("""COMPUTED_VALUE"""),"Br")</f>
        <v>Br</v>
      </c>
      <c r="G458" s="9" t="str">
        <f>IFERROR(__xludf.DUMMYFUNCTION("""COMPUTED_VALUE"""),"F")</f>
        <v>F</v>
      </c>
      <c r="H458" s="9" t="str">
        <f>IFERROR(__xludf.DUMMYFUNCTION("""COMPUTED_VALUE"""),"FGM")</f>
        <v>FGM</v>
      </c>
      <c r="I458" s="9" t="str">
        <f>IFERROR(__xludf.DUMMYFUNCTION("""COMPUTED_VALUE"""),"FTS")</f>
        <v>FTS</v>
      </c>
      <c r="J458" s="9" t="str">
        <f>IFERROR(__xludf.DUMMYFUNCTION("""COMPUTED_VALUE"""),"SZ")</f>
        <v>SZ</v>
      </c>
      <c r="K458" s="9" t="str">
        <f>IFERROR(__xludf.DUMMYFUNCTION("""COMPUTED_VALUE"""),"fSZ")</f>
        <v>fSZ</v>
      </c>
      <c r="L458" s="9" t="str">
        <f>IFERROR(__xludf.DUMMYFUNCTION("""COMPUTED_VALUE"""),"fSZor")</f>
        <v>fSZor</v>
      </c>
      <c r="M458" s="9"/>
      <c r="N458" s="9"/>
      <c r="O458" s="9"/>
      <c r="P458" s="9"/>
      <c r="Q458" s="9"/>
      <c r="R458" s="9"/>
      <c r="S458" s="42" t="str">
        <f>IFERROR(__xludf.DUMMYFUNCTION("""COMPUTED_VALUE"""),"fSZoro;
fSZori")</f>
        <v>fSZoro;
fSZori</v>
      </c>
      <c r="T458" s="42"/>
      <c r="U458" s="159" t="b">
        <f>IFERROR(__xludf.DUMMYFUNCTION("""COMPUTED_VALUE"""),FALSE)</f>
        <v>0</v>
      </c>
      <c r="V458" s="42"/>
      <c r="W458" s="42"/>
      <c r="X458" s="42"/>
      <c r="Y458" s="42"/>
      <c r="Z458" s="42"/>
      <c r="AA458" s="42"/>
      <c r="AB458" s="42" t="str">
        <f>IFERROR(__xludf.DUMMYFUNCTION("""COMPUTED_VALUE"""),"allen institute")</f>
        <v>allen institute</v>
      </c>
      <c r="AC458" s="42" t="str">
        <f>IFERROR(__xludf.DUMMYFUNCTION("""COMPUTED_VALUE"""),"DHBA")</f>
        <v>DHBA</v>
      </c>
      <c r="AD458" s="42"/>
      <c r="AE458" s="42"/>
      <c r="AF458" s="9"/>
      <c r="AG458" s="9"/>
      <c r="AH458" s="42"/>
      <c r="AI458" s="42"/>
      <c r="AJ458" s="42"/>
      <c r="AK458" s="42"/>
      <c r="AL458" s="42"/>
      <c r="AM458" s="42"/>
      <c r="AN458" s="42"/>
      <c r="AO458" s="63" t="str">
        <f>IFERROR(__xludf.DUMMYFUNCTION("IF(ISBLANK(A458),,IF(ISBLANK(S458), A458&amp;"";"", TEXTJOIN(CHAR(10), TRUE, A458&amp;"";"", ARRAYFORMULA(VLOOKUP(SPLIT(S458, "";"" &amp; CHAR(10)), $A:$AO, 41, FALSE)))))"),"fSZor;
fSZoro;
fSZorop;
fSZori;
fSZorip;")</f>
        <v>fSZor;
fSZoro;
fSZorop;
fSZori;
fSZorip;</v>
      </c>
      <c r="AP458" s="89"/>
    </row>
    <row r="459">
      <c r="A459" s="151" t="str">
        <f>IFERROR(__xludf.DUMMYFUNCTION("""COMPUTED_VALUE"""),"fSZoro")</f>
        <v>fSZoro</v>
      </c>
      <c r="B459" s="42" t="str">
        <f>IFERROR(__xludf.DUMMYFUNCTION("""COMPUTED_VALUE"""),"DHBA")</f>
        <v>DHBA</v>
      </c>
      <c r="C459" s="42" t="str">
        <f>IFERROR(__xludf.DUMMYFUNCTION("""COMPUTED_VALUE"""),"outer SZ in orbital frontal cortex")</f>
        <v>outer SZ in orbital frontal cortex</v>
      </c>
      <c r="D459" s="42">
        <f>IFERROR(__xludf.DUMMYFUNCTION("""COMPUTED_VALUE"""),425.0)</f>
        <v>425</v>
      </c>
      <c r="E459" s="39" t="str">
        <f>IFERROR(__xludf.DUMMYFUNCTION("""COMPUTED_VALUE"""),"outer SZ in orbital frontal cortex")</f>
        <v>outer SZ in orbital frontal cortex</v>
      </c>
      <c r="F459" s="9" t="str">
        <f>IFERROR(__xludf.DUMMYFUNCTION("""COMPUTED_VALUE"""),"Br")</f>
        <v>Br</v>
      </c>
      <c r="G459" s="9" t="str">
        <f>IFERROR(__xludf.DUMMYFUNCTION("""COMPUTED_VALUE"""),"F")</f>
        <v>F</v>
      </c>
      <c r="H459" s="9" t="str">
        <f>IFERROR(__xludf.DUMMYFUNCTION("""COMPUTED_VALUE"""),"FGM")</f>
        <v>FGM</v>
      </c>
      <c r="I459" s="9" t="str">
        <f>IFERROR(__xludf.DUMMYFUNCTION("""COMPUTED_VALUE"""),"FTS")</f>
        <v>FTS</v>
      </c>
      <c r="J459" s="9" t="str">
        <f>IFERROR(__xludf.DUMMYFUNCTION("""COMPUTED_VALUE"""),"SZ")</f>
        <v>SZ</v>
      </c>
      <c r="K459" s="9" t="str">
        <f>IFERROR(__xludf.DUMMYFUNCTION("""COMPUTED_VALUE"""),"fSZ")</f>
        <v>fSZ</v>
      </c>
      <c r="L459" s="9" t="str">
        <f>IFERROR(__xludf.DUMMYFUNCTION("""COMPUTED_VALUE"""),"fSZor")</f>
        <v>fSZor</v>
      </c>
      <c r="M459" s="9" t="str">
        <f>IFERROR(__xludf.DUMMYFUNCTION("""COMPUTED_VALUE"""),"fSZoro")</f>
        <v>fSZoro</v>
      </c>
      <c r="N459" s="9"/>
      <c r="O459" s="9"/>
      <c r="P459" s="9"/>
      <c r="Q459" s="9"/>
      <c r="R459" s="9"/>
      <c r="S459" s="42" t="str">
        <f>IFERROR(__xludf.DUMMYFUNCTION("""COMPUTED_VALUE"""),"fSZorop")</f>
        <v>fSZorop</v>
      </c>
      <c r="T459" s="42"/>
      <c r="U459" s="42" t="b">
        <f>IFERROR(__xludf.DUMMYFUNCTION("""COMPUTED_VALUE"""),FALSE)</f>
        <v>0</v>
      </c>
      <c r="V459" s="42"/>
      <c r="W459" s="42"/>
      <c r="X459" s="42"/>
      <c r="Y459" s="42"/>
      <c r="Z459" s="42"/>
      <c r="AA459" s="42"/>
      <c r="AB459" s="42" t="str">
        <f>IFERROR(__xludf.DUMMYFUNCTION("""COMPUTED_VALUE"""),"allen institute")</f>
        <v>allen institute</v>
      </c>
      <c r="AC459" s="42" t="str">
        <f>IFERROR(__xludf.DUMMYFUNCTION("""COMPUTED_VALUE"""),"DHBA")</f>
        <v>DHBA</v>
      </c>
      <c r="AD459" s="42"/>
      <c r="AE459" s="42"/>
      <c r="AF459" s="9"/>
      <c r="AG459" s="9"/>
      <c r="AH459" s="42"/>
      <c r="AI459" s="42"/>
      <c r="AJ459" s="42"/>
      <c r="AK459" s="42"/>
      <c r="AL459" s="42"/>
      <c r="AM459" s="42"/>
      <c r="AN459" s="42"/>
      <c r="AO459" s="63" t="str">
        <f>IFERROR(__xludf.DUMMYFUNCTION("IF(ISBLANK(A459),,IF(ISBLANK(S459), A459&amp;"";"", TEXTJOIN(CHAR(10), TRUE, A459&amp;"";"", ARRAYFORMULA(VLOOKUP(SPLIT(S459, "";"" &amp; CHAR(10)), $A:$AO, 41, FALSE)))))"),"fSZoro;
fSZorop;")</f>
        <v>fSZoro;
fSZorop;</v>
      </c>
      <c r="AP459" s="89"/>
    </row>
    <row r="460">
      <c r="A460" s="151" t="str">
        <f>IFERROR(__xludf.DUMMYFUNCTION("""COMPUTED_VALUE"""),"fSZorop")</f>
        <v>fSZorop</v>
      </c>
      <c r="B460" s="42" t="str">
        <f>IFERROR(__xludf.DUMMYFUNCTION("""COMPUTED_VALUE"""),"DHBA")</f>
        <v>DHBA</v>
      </c>
      <c r="C460" s="42" t="str">
        <f>IFERROR(__xludf.DUMMYFUNCTION("""COMPUTED_VALUE"""),"outer plexiform (fiber) zone in orbital frontal cortex")</f>
        <v>outer plexiform (fiber) zone in orbital frontal cortex</v>
      </c>
      <c r="D460" s="42">
        <f>IFERROR(__xludf.DUMMYFUNCTION("""COMPUTED_VALUE"""),426.0)</f>
        <v>426</v>
      </c>
      <c r="E460" s="39" t="str">
        <f>IFERROR(__xludf.DUMMYFUNCTION("""COMPUTED_VALUE"""),"outer plexiform (fiber) zone in orbital frontal cortex")</f>
        <v>outer plexiform (fiber) zone in orbital frontal cortex</v>
      </c>
      <c r="F460" s="9" t="str">
        <f>IFERROR(__xludf.DUMMYFUNCTION("""COMPUTED_VALUE"""),"Br")</f>
        <v>Br</v>
      </c>
      <c r="G460" s="9" t="str">
        <f>IFERROR(__xludf.DUMMYFUNCTION("""COMPUTED_VALUE"""),"F")</f>
        <v>F</v>
      </c>
      <c r="H460" s="9" t="str">
        <f>IFERROR(__xludf.DUMMYFUNCTION("""COMPUTED_VALUE"""),"FGM")</f>
        <v>FGM</v>
      </c>
      <c r="I460" s="9" t="str">
        <f>IFERROR(__xludf.DUMMYFUNCTION("""COMPUTED_VALUE"""),"FTS")</f>
        <v>FTS</v>
      </c>
      <c r="J460" s="9" t="str">
        <f>IFERROR(__xludf.DUMMYFUNCTION("""COMPUTED_VALUE"""),"SZ")</f>
        <v>SZ</v>
      </c>
      <c r="K460" s="9" t="str">
        <f>IFERROR(__xludf.DUMMYFUNCTION("""COMPUTED_VALUE"""),"fSZ")</f>
        <v>fSZ</v>
      </c>
      <c r="L460" s="9" t="str">
        <f>IFERROR(__xludf.DUMMYFUNCTION("""COMPUTED_VALUE"""),"fSZor")</f>
        <v>fSZor</v>
      </c>
      <c r="M460" s="9" t="str">
        <f>IFERROR(__xludf.DUMMYFUNCTION("""COMPUTED_VALUE"""),"fSZoro")</f>
        <v>fSZoro</v>
      </c>
      <c r="N460" s="9" t="str">
        <f>IFERROR(__xludf.DUMMYFUNCTION("""COMPUTED_VALUE"""),"fSZorop")</f>
        <v>fSZorop</v>
      </c>
      <c r="O460" s="9"/>
      <c r="P460" s="9"/>
      <c r="Q460" s="9"/>
      <c r="R460" s="9"/>
      <c r="S460" s="42"/>
      <c r="T460" s="42"/>
      <c r="U460" s="42"/>
      <c r="V460" s="42"/>
      <c r="W460" s="42"/>
      <c r="X460" s="42"/>
      <c r="Y460" s="42"/>
      <c r="Z460" s="42"/>
      <c r="AA460" s="42"/>
      <c r="AB460" s="42" t="str">
        <f>IFERROR(__xludf.DUMMYFUNCTION("""COMPUTED_VALUE"""),"allen institute")</f>
        <v>allen institute</v>
      </c>
      <c r="AC460" s="42" t="str">
        <f>IFERROR(__xludf.DUMMYFUNCTION("""COMPUTED_VALUE"""),"DHBA")</f>
        <v>DHBA</v>
      </c>
      <c r="AD460" s="42"/>
      <c r="AE460" s="42"/>
      <c r="AF460" s="9"/>
      <c r="AG460" s="9"/>
      <c r="AH460" s="42"/>
      <c r="AI460" s="42"/>
      <c r="AJ460" s="42"/>
      <c r="AK460" s="42"/>
      <c r="AL460" s="42"/>
      <c r="AM460" s="42"/>
      <c r="AN460" s="42"/>
      <c r="AO460" s="63" t="str">
        <f>IFERROR(__xludf.DUMMYFUNCTION("IF(ISBLANK(A460),,IF(ISBLANK(S460), A460&amp;"";"", TEXTJOIN(CHAR(10), TRUE, A460&amp;"";"", ARRAYFORMULA(VLOOKUP(SPLIT(S460, "";"" &amp; CHAR(10)), $A:$AO, 41, FALSE)))))"),"fSZorop;")</f>
        <v>fSZorop;</v>
      </c>
      <c r="AP460" s="89"/>
    </row>
    <row r="461">
      <c r="A461" s="151" t="str">
        <f>IFERROR(__xludf.DUMMYFUNCTION("""COMPUTED_VALUE"""),"fSZori")</f>
        <v>fSZori</v>
      </c>
      <c r="B461" s="42" t="str">
        <f>IFERROR(__xludf.DUMMYFUNCTION("""COMPUTED_VALUE"""),"DHBA")</f>
        <v>DHBA</v>
      </c>
      <c r="C461" s="42" t="str">
        <f>IFERROR(__xludf.DUMMYFUNCTION("""COMPUTED_VALUE"""),"inner SZ in orbital frontal cortex")</f>
        <v>inner SZ in orbital frontal cortex</v>
      </c>
      <c r="D461" s="42">
        <f>IFERROR(__xludf.DUMMYFUNCTION("""COMPUTED_VALUE"""),427.0)</f>
        <v>427</v>
      </c>
      <c r="E461" s="39" t="str">
        <f>IFERROR(__xludf.DUMMYFUNCTION("""COMPUTED_VALUE"""),"inner SZ in orbital frontal cortex")</f>
        <v>inner SZ in orbital frontal cortex</v>
      </c>
      <c r="F461" s="9" t="str">
        <f>IFERROR(__xludf.DUMMYFUNCTION("""COMPUTED_VALUE"""),"Br")</f>
        <v>Br</v>
      </c>
      <c r="G461" s="9" t="str">
        <f>IFERROR(__xludf.DUMMYFUNCTION("""COMPUTED_VALUE"""),"F")</f>
        <v>F</v>
      </c>
      <c r="H461" s="9" t="str">
        <f>IFERROR(__xludf.DUMMYFUNCTION("""COMPUTED_VALUE"""),"FGM")</f>
        <v>FGM</v>
      </c>
      <c r="I461" s="9" t="str">
        <f>IFERROR(__xludf.DUMMYFUNCTION("""COMPUTED_VALUE"""),"FTS")</f>
        <v>FTS</v>
      </c>
      <c r="J461" s="9" t="str">
        <f>IFERROR(__xludf.DUMMYFUNCTION("""COMPUTED_VALUE"""),"SZ")</f>
        <v>SZ</v>
      </c>
      <c r="K461" s="9" t="str">
        <f>IFERROR(__xludf.DUMMYFUNCTION("""COMPUTED_VALUE"""),"fSZ")</f>
        <v>fSZ</v>
      </c>
      <c r="L461" s="9" t="str">
        <f>IFERROR(__xludf.DUMMYFUNCTION("""COMPUTED_VALUE"""),"fSZor")</f>
        <v>fSZor</v>
      </c>
      <c r="M461" s="9" t="str">
        <f>IFERROR(__xludf.DUMMYFUNCTION("""COMPUTED_VALUE"""),"fSZori")</f>
        <v>fSZori</v>
      </c>
      <c r="N461" s="9"/>
      <c r="O461" s="9"/>
      <c r="P461" s="9"/>
      <c r="Q461" s="9"/>
      <c r="R461" s="9"/>
      <c r="S461" s="42" t="str">
        <f>IFERROR(__xludf.DUMMYFUNCTION("""COMPUTED_VALUE"""),"fSZorip")</f>
        <v>fSZorip</v>
      </c>
      <c r="T461" s="42"/>
      <c r="U461" s="42" t="b">
        <f>IFERROR(__xludf.DUMMYFUNCTION("""COMPUTED_VALUE"""),FALSE)</f>
        <v>0</v>
      </c>
      <c r="V461" s="42"/>
      <c r="W461" s="42"/>
      <c r="X461" s="42"/>
      <c r="Y461" s="42"/>
      <c r="Z461" s="42"/>
      <c r="AA461" s="42"/>
      <c r="AB461" s="42" t="str">
        <f>IFERROR(__xludf.DUMMYFUNCTION("""COMPUTED_VALUE"""),"allen institute")</f>
        <v>allen institute</v>
      </c>
      <c r="AC461" s="42" t="str">
        <f>IFERROR(__xludf.DUMMYFUNCTION("""COMPUTED_VALUE"""),"DHBA")</f>
        <v>DHBA</v>
      </c>
      <c r="AD461" s="42"/>
      <c r="AE461" s="42"/>
      <c r="AF461" s="9"/>
      <c r="AG461" s="9"/>
      <c r="AH461" s="42"/>
      <c r="AI461" s="42"/>
      <c r="AJ461" s="42"/>
      <c r="AK461" s="42"/>
      <c r="AL461" s="42"/>
      <c r="AM461" s="42"/>
      <c r="AN461" s="42"/>
      <c r="AO461" s="63" t="str">
        <f>IFERROR(__xludf.DUMMYFUNCTION("IF(ISBLANK(A461),,IF(ISBLANK(S461), A461&amp;"";"", TEXTJOIN(CHAR(10), TRUE, A461&amp;"";"", ARRAYFORMULA(VLOOKUP(SPLIT(S461, "";"" &amp; CHAR(10)), $A:$AO, 41, FALSE)))))"),"fSZori;
fSZorip;")</f>
        <v>fSZori;
fSZorip;</v>
      </c>
      <c r="AP461" s="89"/>
    </row>
    <row r="462">
      <c r="A462" s="151" t="str">
        <f>IFERROR(__xludf.DUMMYFUNCTION("""COMPUTED_VALUE"""),"fSZorip")</f>
        <v>fSZorip</v>
      </c>
      <c r="B462" s="42" t="str">
        <f>IFERROR(__xludf.DUMMYFUNCTION("""COMPUTED_VALUE"""),"DHBA")</f>
        <v>DHBA</v>
      </c>
      <c r="C462" s="42" t="str">
        <f>IFERROR(__xludf.DUMMYFUNCTION("""COMPUTED_VALUE"""),"inner plexiform (fiber) zone in orbital frontal cortex")</f>
        <v>inner plexiform (fiber) zone in orbital frontal cortex</v>
      </c>
      <c r="D462" s="42">
        <f>IFERROR(__xludf.DUMMYFUNCTION("""COMPUTED_VALUE"""),428.0)</f>
        <v>428</v>
      </c>
      <c r="E462" s="39" t="str">
        <f>IFERROR(__xludf.DUMMYFUNCTION("""COMPUTED_VALUE"""),"inner plexiform (fiber) zone in orbital frontal cortex")</f>
        <v>inner plexiform (fiber) zone in orbital frontal cortex</v>
      </c>
      <c r="F462" s="9" t="str">
        <f>IFERROR(__xludf.DUMMYFUNCTION("""COMPUTED_VALUE"""),"Br")</f>
        <v>Br</v>
      </c>
      <c r="G462" s="9" t="str">
        <f>IFERROR(__xludf.DUMMYFUNCTION("""COMPUTED_VALUE"""),"F")</f>
        <v>F</v>
      </c>
      <c r="H462" s="9" t="str">
        <f>IFERROR(__xludf.DUMMYFUNCTION("""COMPUTED_VALUE"""),"FGM")</f>
        <v>FGM</v>
      </c>
      <c r="I462" s="9" t="str">
        <f>IFERROR(__xludf.DUMMYFUNCTION("""COMPUTED_VALUE"""),"FTS")</f>
        <v>FTS</v>
      </c>
      <c r="J462" s="9" t="str">
        <f>IFERROR(__xludf.DUMMYFUNCTION("""COMPUTED_VALUE"""),"SZ")</f>
        <v>SZ</v>
      </c>
      <c r="K462" s="9" t="str">
        <f>IFERROR(__xludf.DUMMYFUNCTION("""COMPUTED_VALUE"""),"fSZ")</f>
        <v>fSZ</v>
      </c>
      <c r="L462" s="9" t="str">
        <f>IFERROR(__xludf.DUMMYFUNCTION("""COMPUTED_VALUE"""),"fSZor")</f>
        <v>fSZor</v>
      </c>
      <c r="M462" s="9" t="str">
        <f>IFERROR(__xludf.DUMMYFUNCTION("""COMPUTED_VALUE"""),"fSZori")</f>
        <v>fSZori</v>
      </c>
      <c r="N462" s="9" t="str">
        <f>IFERROR(__xludf.DUMMYFUNCTION("""COMPUTED_VALUE"""),"fSZorip")</f>
        <v>fSZorip</v>
      </c>
      <c r="O462" s="9"/>
      <c r="P462" s="9"/>
      <c r="Q462" s="9"/>
      <c r="R462" s="9"/>
      <c r="S462" s="42"/>
      <c r="T462" s="42"/>
      <c r="U462" s="42"/>
      <c r="V462" s="42"/>
      <c r="W462" s="42"/>
      <c r="X462" s="42"/>
      <c r="Y462" s="42"/>
      <c r="Z462" s="42"/>
      <c r="AA462" s="42"/>
      <c r="AB462" s="42" t="str">
        <f>IFERROR(__xludf.DUMMYFUNCTION("""COMPUTED_VALUE"""),"allen institute")</f>
        <v>allen institute</v>
      </c>
      <c r="AC462" s="42" t="str">
        <f>IFERROR(__xludf.DUMMYFUNCTION("""COMPUTED_VALUE"""),"DHBA")</f>
        <v>DHBA</v>
      </c>
      <c r="AD462" s="42"/>
      <c r="AE462" s="42"/>
      <c r="AF462" s="9"/>
      <c r="AG462" s="9"/>
      <c r="AH462" s="42"/>
      <c r="AI462" s="42"/>
      <c r="AJ462" s="42"/>
      <c r="AK462" s="42"/>
      <c r="AL462" s="42"/>
      <c r="AM462" s="42"/>
      <c r="AN462" s="42"/>
      <c r="AO462" s="63" t="str">
        <f>IFERROR(__xludf.DUMMYFUNCTION("IF(ISBLANK(A462),,IF(ISBLANK(S462), A462&amp;"";"", TEXTJOIN(CHAR(10), TRUE, A462&amp;"";"", ARRAYFORMULA(VLOOKUP(SPLIT(S462, "";"" &amp; CHAR(10)), $A:$AO, 41, FALSE)))))"),"fSZorip;")</f>
        <v>fSZorip;</v>
      </c>
      <c r="AP462" s="89"/>
    </row>
    <row r="463">
      <c r="A463" s="151" t="str">
        <f>IFERROR(__xludf.DUMMYFUNCTION("""COMPUTED_VALUE"""),"fSZm1")</f>
        <v>fSZm1</v>
      </c>
      <c r="B463" s="42" t="str">
        <f>IFERROR(__xludf.DUMMYFUNCTION("""COMPUTED_VALUE"""),"DHBA")</f>
        <v>DHBA</v>
      </c>
      <c r="C463" s="42" t="str">
        <f>IFERROR(__xludf.DUMMYFUNCTION("""COMPUTED_VALUE"""),"SZ in posteror frontal cortex (motor cortex)")</f>
        <v>SZ in posteror frontal cortex (motor cortex)</v>
      </c>
      <c r="D463" s="42">
        <f>IFERROR(__xludf.DUMMYFUNCTION("""COMPUTED_VALUE"""),429.0)</f>
        <v>429</v>
      </c>
      <c r="E463" s="39" t="str">
        <f>IFERROR(__xludf.DUMMYFUNCTION("""COMPUTED_VALUE"""),"SZ in posteror frontal cortex (motor cortex)")</f>
        <v>SZ in posteror frontal cortex (motor cortex)</v>
      </c>
      <c r="F463" s="9" t="str">
        <f>IFERROR(__xludf.DUMMYFUNCTION("""COMPUTED_VALUE"""),"Br")</f>
        <v>Br</v>
      </c>
      <c r="G463" s="9" t="str">
        <f>IFERROR(__xludf.DUMMYFUNCTION("""COMPUTED_VALUE"""),"F")</f>
        <v>F</v>
      </c>
      <c r="H463" s="9" t="str">
        <f>IFERROR(__xludf.DUMMYFUNCTION("""COMPUTED_VALUE"""),"FGM")</f>
        <v>FGM</v>
      </c>
      <c r="I463" s="9" t="str">
        <f>IFERROR(__xludf.DUMMYFUNCTION("""COMPUTED_VALUE"""),"FTS")</f>
        <v>FTS</v>
      </c>
      <c r="J463" s="9" t="str">
        <f>IFERROR(__xludf.DUMMYFUNCTION("""COMPUTED_VALUE"""),"SZ")</f>
        <v>SZ</v>
      </c>
      <c r="K463" s="9" t="str">
        <f>IFERROR(__xludf.DUMMYFUNCTION("""COMPUTED_VALUE"""),"fSZ")</f>
        <v>fSZ</v>
      </c>
      <c r="L463" s="9" t="str">
        <f>IFERROR(__xludf.DUMMYFUNCTION("""COMPUTED_VALUE"""),"fSZm1")</f>
        <v>fSZm1</v>
      </c>
      <c r="M463" s="9"/>
      <c r="N463" s="9"/>
      <c r="O463" s="9"/>
      <c r="P463" s="9"/>
      <c r="Q463" s="9"/>
      <c r="R463" s="9"/>
      <c r="S463" s="42" t="str">
        <f>IFERROR(__xludf.DUMMYFUNCTION("""COMPUTED_VALUE"""),"fSZm1o;
fSZm1i")</f>
        <v>fSZm1o;
fSZm1i</v>
      </c>
      <c r="T463" s="42"/>
      <c r="U463" s="42" t="b">
        <f>IFERROR(__xludf.DUMMYFUNCTION("""COMPUTED_VALUE"""),FALSE)</f>
        <v>0</v>
      </c>
      <c r="V463" s="42"/>
      <c r="W463" s="42"/>
      <c r="X463" s="42"/>
      <c r="Y463" s="42"/>
      <c r="Z463" s="42"/>
      <c r="AA463" s="42"/>
      <c r="AB463" s="42" t="str">
        <f>IFERROR(__xludf.DUMMYFUNCTION("""COMPUTED_VALUE"""),"allen institute")</f>
        <v>allen institute</v>
      </c>
      <c r="AC463" s="42" t="str">
        <f>IFERROR(__xludf.DUMMYFUNCTION("""COMPUTED_VALUE"""),"DHBA")</f>
        <v>DHBA</v>
      </c>
      <c r="AD463" s="42"/>
      <c r="AE463" s="42"/>
      <c r="AF463" s="9"/>
      <c r="AG463" s="9"/>
      <c r="AH463" s="42"/>
      <c r="AI463" s="42"/>
      <c r="AJ463" s="42"/>
      <c r="AK463" s="42"/>
      <c r="AL463" s="42"/>
      <c r="AM463" s="42"/>
      <c r="AN463" s="42"/>
      <c r="AO463" s="63" t="str">
        <f>IFERROR(__xludf.DUMMYFUNCTION("IF(ISBLANK(A463),,IF(ISBLANK(S463), A463&amp;"";"", TEXTJOIN(CHAR(10), TRUE, A463&amp;"";"", ARRAYFORMULA(VLOOKUP(SPLIT(S463, "";"" &amp; CHAR(10)), $A:$AO, 41, FALSE)))))"),"fSZm1;
fSZm1o;
fSZm1op;
fSZm1i;
fSZm1ip;")</f>
        <v>fSZm1;
fSZm1o;
fSZm1op;
fSZm1i;
fSZm1ip;</v>
      </c>
      <c r="AP463" s="89"/>
    </row>
    <row r="464">
      <c r="A464" s="151" t="str">
        <f>IFERROR(__xludf.DUMMYFUNCTION("""COMPUTED_VALUE"""),"fSZm1o")</f>
        <v>fSZm1o</v>
      </c>
      <c r="B464" s="42" t="str">
        <f>IFERROR(__xludf.DUMMYFUNCTION("""COMPUTED_VALUE"""),"DHBA")</f>
        <v>DHBA</v>
      </c>
      <c r="C464" s="42" t="str">
        <f>IFERROR(__xludf.DUMMYFUNCTION("""COMPUTED_VALUE"""),"outer SZ in posteror frontal cortex (motor cortex)")</f>
        <v>outer SZ in posteror frontal cortex (motor cortex)</v>
      </c>
      <c r="D464" s="42">
        <f>IFERROR(__xludf.DUMMYFUNCTION("""COMPUTED_VALUE"""),430.0)</f>
        <v>430</v>
      </c>
      <c r="E464" s="39" t="str">
        <f>IFERROR(__xludf.DUMMYFUNCTION("""COMPUTED_VALUE"""),"outer SZ in posteror frontal cortex (motor cortex)")</f>
        <v>outer SZ in posteror frontal cortex (motor cortex)</v>
      </c>
      <c r="F464" s="9" t="str">
        <f>IFERROR(__xludf.DUMMYFUNCTION("""COMPUTED_VALUE"""),"Br")</f>
        <v>Br</v>
      </c>
      <c r="G464" s="9" t="str">
        <f>IFERROR(__xludf.DUMMYFUNCTION("""COMPUTED_VALUE"""),"F")</f>
        <v>F</v>
      </c>
      <c r="H464" s="9" t="str">
        <f>IFERROR(__xludf.DUMMYFUNCTION("""COMPUTED_VALUE"""),"FGM")</f>
        <v>FGM</v>
      </c>
      <c r="I464" s="9" t="str">
        <f>IFERROR(__xludf.DUMMYFUNCTION("""COMPUTED_VALUE"""),"FTS")</f>
        <v>FTS</v>
      </c>
      <c r="J464" s="9" t="str">
        <f>IFERROR(__xludf.DUMMYFUNCTION("""COMPUTED_VALUE"""),"SZ")</f>
        <v>SZ</v>
      </c>
      <c r="K464" s="9" t="str">
        <f>IFERROR(__xludf.DUMMYFUNCTION("""COMPUTED_VALUE"""),"fSZ")</f>
        <v>fSZ</v>
      </c>
      <c r="L464" s="9" t="str">
        <f>IFERROR(__xludf.DUMMYFUNCTION("""COMPUTED_VALUE"""),"fSZm1")</f>
        <v>fSZm1</v>
      </c>
      <c r="M464" s="9" t="str">
        <f>IFERROR(__xludf.DUMMYFUNCTION("""COMPUTED_VALUE"""),"fSZm1o")</f>
        <v>fSZm1o</v>
      </c>
      <c r="N464" s="9"/>
      <c r="O464" s="9"/>
      <c r="P464" s="9"/>
      <c r="Q464" s="9"/>
      <c r="R464" s="9"/>
      <c r="S464" s="42" t="str">
        <f>IFERROR(__xludf.DUMMYFUNCTION("""COMPUTED_VALUE"""),"fSZm1op")</f>
        <v>fSZm1op</v>
      </c>
      <c r="T464" s="42"/>
      <c r="U464" s="42" t="b">
        <f>IFERROR(__xludf.DUMMYFUNCTION("""COMPUTED_VALUE"""),FALSE)</f>
        <v>0</v>
      </c>
      <c r="V464" s="42"/>
      <c r="W464" s="42"/>
      <c r="X464" s="42"/>
      <c r="Y464" s="42"/>
      <c r="Z464" s="42"/>
      <c r="AA464" s="42"/>
      <c r="AB464" s="42" t="str">
        <f>IFERROR(__xludf.DUMMYFUNCTION("""COMPUTED_VALUE"""),"allen institute")</f>
        <v>allen institute</v>
      </c>
      <c r="AC464" s="42" t="str">
        <f>IFERROR(__xludf.DUMMYFUNCTION("""COMPUTED_VALUE"""),"DHBA")</f>
        <v>DHBA</v>
      </c>
      <c r="AD464" s="42"/>
      <c r="AE464" s="42"/>
      <c r="AF464" s="9"/>
      <c r="AG464" s="9"/>
      <c r="AH464" s="42"/>
      <c r="AI464" s="42"/>
      <c r="AJ464" s="42"/>
      <c r="AK464" s="42"/>
      <c r="AL464" s="42"/>
      <c r="AM464" s="42"/>
      <c r="AN464" s="42"/>
      <c r="AO464" s="63" t="str">
        <f>IFERROR(__xludf.DUMMYFUNCTION("IF(ISBLANK(A464),,IF(ISBLANK(S464), A464&amp;"";"", TEXTJOIN(CHAR(10), TRUE, A464&amp;"";"", ARRAYFORMULA(VLOOKUP(SPLIT(S464, "";"" &amp; CHAR(10)), $A:$AO, 41, FALSE)))))"),"fSZm1o;
fSZm1op;")</f>
        <v>fSZm1o;
fSZm1op;</v>
      </c>
      <c r="AP464" s="89"/>
    </row>
    <row r="465">
      <c r="A465" s="151" t="str">
        <f>IFERROR(__xludf.DUMMYFUNCTION("""COMPUTED_VALUE"""),"fSZm1op")</f>
        <v>fSZm1op</v>
      </c>
      <c r="B465" s="42" t="str">
        <f>IFERROR(__xludf.DUMMYFUNCTION("""COMPUTED_VALUE"""),"DHBA")</f>
        <v>DHBA</v>
      </c>
      <c r="C465" s="42" t="str">
        <f>IFERROR(__xludf.DUMMYFUNCTION("""COMPUTED_VALUE"""),"outer plexiform (fiber) zone in posteror frontal cortex (motor cortex)")</f>
        <v>outer plexiform (fiber) zone in posteror frontal cortex (motor cortex)</v>
      </c>
      <c r="D465" s="42">
        <f>IFERROR(__xludf.DUMMYFUNCTION("""COMPUTED_VALUE"""),431.0)</f>
        <v>431</v>
      </c>
      <c r="E465" s="39" t="str">
        <f>IFERROR(__xludf.DUMMYFUNCTION("""COMPUTED_VALUE"""),"outer plexiform (fiber) zone in posteror frontal cortex (motor cortex)")</f>
        <v>outer plexiform (fiber) zone in posteror frontal cortex (motor cortex)</v>
      </c>
      <c r="F465" s="9" t="str">
        <f>IFERROR(__xludf.DUMMYFUNCTION("""COMPUTED_VALUE"""),"Br")</f>
        <v>Br</v>
      </c>
      <c r="G465" s="9" t="str">
        <f>IFERROR(__xludf.DUMMYFUNCTION("""COMPUTED_VALUE"""),"F")</f>
        <v>F</v>
      </c>
      <c r="H465" s="9" t="str">
        <f>IFERROR(__xludf.DUMMYFUNCTION("""COMPUTED_VALUE"""),"FGM")</f>
        <v>FGM</v>
      </c>
      <c r="I465" s="9" t="str">
        <f>IFERROR(__xludf.DUMMYFUNCTION("""COMPUTED_VALUE"""),"FTS")</f>
        <v>FTS</v>
      </c>
      <c r="J465" s="9" t="str">
        <f>IFERROR(__xludf.DUMMYFUNCTION("""COMPUTED_VALUE"""),"SZ")</f>
        <v>SZ</v>
      </c>
      <c r="K465" s="9" t="str">
        <f>IFERROR(__xludf.DUMMYFUNCTION("""COMPUTED_VALUE"""),"fSZ")</f>
        <v>fSZ</v>
      </c>
      <c r="L465" s="9" t="str">
        <f>IFERROR(__xludf.DUMMYFUNCTION("""COMPUTED_VALUE"""),"fSZm1")</f>
        <v>fSZm1</v>
      </c>
      <c r="M465" s="9" t="str">
        <f>IFERROR(__xludf.DUMMYFUNCTION("""COMPUTED_VALUE"""),"fSZm1o")</f>
        <v>fSZm1o</v>
      </c>
      <c r="N465" s="9" t="str">
        <f>IFERROR(__xludf.DUMMYFUNCTION("""COMPUTED_VALUE"""),"fSZm1op")</f>
        <v>fSZm1op</v>
      </c>
      <c r="O465" s="9"/>
      <c r="P465" s="9"/>
      <c r="Q465" s="9"/>
      <c r="R465" s="9"/>
      <c r="S465" s="42"/>
      <c r="T465" s="42"/>
      <c r="U465" s="159"/>
      <c r="V465" s="42"/>
      <c r="W465" s="42"/>
      <c r="X465" s="42"/>
      <c r="Y465" s="42"/>
      <c r="Z465" s="42"/>
      <c r="AA465" s="42"/>
      <c r="AB465" s="42" t="str">
        <f>IFERROR(__xludf.DUMMYFUNCTION("""COMPUTED_VALUE"""),"allen institute")</f>
        <v>allen institute</v>
      </c>
      <c r="AC465" s="42" t="str">
        <f>IFERROR(__xludf.DUMMYFUNCTION("""COMPUTED_VALUE"""),"DHBA")</f>
        <v>DHBA</v>
      </c>
      <c r="AD465" s="42"/>
      <c r="AE465" s="42"/>
      <c r="AF465" s="9"/>
      <c r="AG465" s="9"/>
      <c r="AH465" s="42"/>
      <c r="AI465" s="42"/>
      <c r="AJ465" s="42"/>
      <c r="AK465" s="42"/>
      <c r="AL465" s="42"/>
      <c r="AM465" s="42"/>
      <c r="AN465" s="42"/>
      <c r="AO465" s="63" t="str">
        <f>IFERROR(__xludf.DUMMYFUNCTION("IF(ISBLANK(A465),,IF(ISBLANK(S465), A465&amp;"";"", TEXTJOIN(CHAR(10), TRUE, A465&amp;"";"", ARRAYFORMULA(VLOOKUP(SPLIT(S465, "";"" &amp; CHAR(10)), $A:$AO, 41, FALSE)))))"),"fSZm1op;")</f>
        <v>fSZm1op;</v>
      </c>
      <c r="AP465" s="89"/>
    </row>
    <row r="466">
      <c r="A466" s="151" t="str">
        <f>IFERROR(__xludf.DUMMYFUNCTION("""COMPUTED_VALUE"""),"fSZm1i")</f>
        <v>fSZm1i</v>
      </c>
      <c r="B466" s="42" t="str">
        <f>IFERROR(__xludf.DUMMYFUNCTION("""COMPUTED_VALUE"""),"DHBA")</f>
        <v>DHBA</v>
      </c>
      <c r="C466" s="42" t="str">
        <f>IFERROR(__xludf.DUMMYFUNCTION("""COMPUTED_VALUE"""),"inner SZ in posteror frontal cortex (motor cortex)")</f>
        <v>inner SZ in posteror frontal cortex (motor cortex)</v>
      </c>
      <c r="D466" s="42">
        <f>IFERROR(__xludf.DUMMYFUNCTION("""COMPUTED_VALUE"""),432.0)</f>
        <v>432</v>
      </c>
      <c r="E466" s="39" t="str">
        <f>IFERROR(__xludf.DUMMYFUNCTION("""COMPUTED_VALUE"""),"inner SZ in posteror frontal cortex (motor cortex)")</f>
        <v>inner SZ in posteror frontal cortex (motor cortex)</v>
      </c>
      <c r="F466" s="9" t="str">
        <f>IFERROR(__xludf.DUMMYFUNCTION("""COMPUTED_VALUE"""),"Br")</f>
        <v>Br</v>
      </c>
      <c r="G466" s="9" t="str">
        <f>IFERROR(__xludf.DUMMYFUNCTION("""COMPUTED_VALUE"""),"F")</f>
        <v>F</v>
      </c>
      <c r="H466" s="9" t="str">
        <f>IFERROR(__xludf.DUMMYFUNCTION("""COMPUTED_VALUE"""),"FGM")</f>
        <v>FGM</v>
      </c>
      <c r="I466" s="9" t="str">
        <f>IFERROR(__xludf.DUMMYFUNCTION("""COMPUTED_VALUE"""),"FTS")</f>
        <v>FTS</v>
      </c>
      <c r="J466" s="9" t="str">
        <f>IFERROR(__xludf.DUMMYFUNCTION("""COMPUTED_VALUE"""),"SZ")</f>
        <v>SZ</v>
      </c>
      <c r="K466" s="9" t="str">
        <f>IFERROR(__xludf.DUMMYFUNCTION("""COMPUTED_VALUE"""),"fSZ")</f>
        <v>fSZ</v>
      </c>
      <c r="L466" s="9" t="str">
        <f>IFERROR(__xludf.DUMMYFUNCTION("""COMPUTED_VALUE"""),"fSZm1")</f>
        <v>fSZm1</v>
      </c>
      <c r="M466" s="9" t="str">
        <f>IFERROR(__xludf.DUMMYFUNCTION("""COMPUTED_VALUE"""),"fSZm1i")</f>
        <v>fSZm1i</v>
      </c>
      <c r="N466" s="9"/>
      <c r="O466" s="9"/>
      <c r="P466" s="9"/>
      <c r="Q466" s="9"/>
      <c r="R466" s="9"/>
      <c r="S466" s="42" t="str">
        <f>IFERROR(__xludf.DUMMYFUNCTION("""COMPUTED_VALUE"""),"fSZm1ip")</f>
        <v>fSZm1ip</v>
      </c>
      <c r="T466" s="42"/>
      <c r="U466" s="42" t="b">
        <f>IFERROR(__xludf.DUMMYFUNCTION("""COMPUTED_VALUE"""),FALSE)</f>
        <v>0</v>
      </c>
      <c r="V466" s="42"/>
      <c r="W466" s="42"/>
      <c r="X466" s="42"/>
      <c r="Y466" s="42"/>
      <c r="Z466" s="42"/>
      <c r="AA466" s="42"/>
      <c r="AB466" s="42" t="str">
        <f>IFERROR(__xludf.DUMMYFUNCTION("""COMPUTED_VALUE"""),"allen institute")</f>
        <v>allen institute</v>
      </c>
      <c r="AC466" s="42" t="str">
        <f>IFERROR(__xludf.DUMMYFUNCTION("""COMPUTED_VALUE"""),"DHBA")</f>
        <v>DHBA</v>
      </c>
      <c r="AD466" s="42"/>
      <c r="AE466" s="42"/>
      <c r="AF466" s="9"/>
      <c r="AG466" s="9"/>
      <c r="AH466" s="42"/>
      <c r="AI466" s="42"/>
      <c r="AJ466" s="42"/>
      <c r="AK466" s="42"/>
      <c r="AL466" s="42"/>
      <c r="AM466" s="42"/>
      <c r="AN466" s="42"/>
      <c r="AO466" s="63" t="str">
        <f>IFERROR(__xludf.DUMMYFUNCTION("IF(ISBLANK(A466),,IF(ISBLANK(S466), A466&amp;"";"", TEXTJOIN(CHAR(10), TRUE, A466&amp;"";"", ARRAYFORMULA(VLOOKUP(SPLIT(S466, "";"" &amp; CHAR(10)), $A:$AO, 41, FALSE)))))"),"fSZm1i;
fSZm1ip;")</f>
        <v>fSZm1i;
fSZm1ip;</v>
      </c>
      <c r="AP466" s="89"/>
    </row>
    <row r="467">
      <c r="A467" s="151" t="str">
        <f>IFERROR(__xludf.DUMMYFUNCTION("""COMPUTED_VALUE"""),"fSZm1ip")</f>
        <v>fSZm1ip</v>
      </c>
      <c r="B467" s="42" t="str">
        <f>IFERROR(__xludf.DUMMYFUNCTION("""COMPUTED_VALUE"""),"DHBA")</f>
        <v>DHBA</v>
      </c>
      <c r="C467" s="42" t="str">
        <f>IFERROR(__xludf.DUMMYFUNCTION("""COMPUTED_VALUE"""),"inner plexiform (fiber) zone in posteror frontal cortex (motor cortex)")</f>
        <v>inner plexiform (fiber) zone in posteror frontal cortex (motor cortex)</v>
      </c>
      <c r="D467" s="42">
        <f>IFERROR(__xludf.DUMMYFUNCTION("""COMPUTED_VALUE"""),433.0)</f>
        <v>433</v>
      </c>
      <c r="E467" s="39" t="str">
        <f>IFERROR(__xludf.DUMMYFUNCTION("""COMPUTED_VALUE"""),"inner plexiform (fiber) zone in posteror frontal cortex (motor cortex)")</f>
        <v>inner plexiform (fiber) zone in posteror frontal cortex (motor cortex)</v>
      </c>
      <c r="F467" s="9" t="str">
        <f>IFERROR(__xludf.DUMMYFUNCTION("""COMPUTED_VALUE"""),"Br")</f>
        <v>Br</v>
      </c>
      <c r="G467" s="9" t="str">
        <f>IFERROR(__xludf.DUMMYFUNCTION("""COMPUTED_VALUE"""),"F")</f>
        <v>F</v>
      </c>
      <c r="H467" s="9" t="str">
        <f>IFERROR(__xludf.DUMMYFUNCTION("""COMPUTED_VALUE"""),"FGM")</f>
        <v>FGM</v>
      </c>
      <c r="I467" s="9" t="str">
        <f>IFERROR(__xludf.DUMMYFUNCTION("""COMPUTED_VALUE"""),"FTS")</f>
        <v>FTS</v>
      </c>
      <c r="J467" s="9" t="str">
        <f>IFERROR(__xludf.DUMMYFUNCTION("""COMPUTED_VALUE"""),"SZ")</f>
        <v>SZ</v>
      </c>
      <c r="K467" s="9" t="str">
        <f>IFERROR(__xludf.DUMMYFUNCTION("""COMPUTED_VALUE"""),"fSZ")</f>
        <v>fSZ</v>
      </c>
      <c r="L467" s="9" t="str">
        <f>IFERROR(__xludf.DUMMYFUNCTION("""COMPUTED_VALUE"""),"fSZm1")</f>
        <v>fSZm1</v>
      </c>
      <c r="M467" s="9" t="str">
        <f>IFERROR(__xludf.DUMMYFUNCTION("""COMPUTED_VALUE"""),"fSZm1i")</f>
        <v>fSZm1i</v>
      </c>
      <c r="N467" s="9" t="str">
        <f>IFERROR(__xludf.DUMMYFUNCTION("""COMPUTED_VALUE"""),"fSZm1ip")</f>
        <v>fSZm1ip</v>
      </c>
      <c r="O467" s="9"/>
      <c r="P467" s="9"/>
      <c r="Q467" s="9"/>
      <c r="R467" s="9"/>
      <c r="S467" s="42"/>
      <c r="T467" s="42"/>
      <c r="U467" s="42"/>
      <c r="V467" s="42"/>
      <c r="W467" s="42"/>
      <c r="X467" s="42"/>
      <c r="Y467" s="42"/>
      <c r="Z467" s="42"/>
      <c r="AA467" s="42"/>
      <c r="AB467" s="42" t="str">
        <f>IFERROR(__xludf.DUMMYFUNCTION("""COMPUTED_VALUE"""),"allen institute")</f>
        <v>allen institute</v>
      </c>
      <c r="AC467" s="42" t="str">
        <f>IFERROR(__xludf.DUMMYFUNCTION("""COMPUTED_VALUE"""),"DHBA")</f>
        <v>DHBA</v>
      </c>
      <c r="AD467" s="42"/>
      <c r="AE467" s="42"/>
      <c r="AF467" s="9"/>
      <c r="AG467" s="9"/>
      <c r="AH467" s="42"/>
      <c r="AI467" s="42"/>
      <c r="AJ467" s="42"/>
      <c r="AK467" s="42"/>
      <c r="AL467" s="42"/>
      <c r="AM467" s="42"/>
      <c r="AN467" s="42"/>
      <c r="AO467" s="63" t="str">
        <f>IFERROR(__xludf.DUMMYFUNCTION("IF(ISBLANK(A467),,IF(ISBLANK(S467), A467&amp;"";"", TEXTJOIN(CHAR(10), TRUE, A467&amp;"";"", ARRAYFORMULA(VLOOKUP(SPLIT(S467, "";"" &amp; CHAR(10)), $A:$AO, 41, FALSE)))))"),"fSZm1ip;")</f>
        <v>fSZm1ip;</v>
      </c>
      <c r="AP467" s="89"/>
    </row>
    <row r="468">
      <c r="A468" s="151" t="str">
        <f>IFERROR(__xludf.DUMMYFUNCTION("""COMPUTED_VALUE"""),"pSZ")</f>
        <v>pSZ</v>
      </c>
      <c r="B468" s="42" t="str">
        <f>IFERROR(__xludf.DUMMYFUNCTION("""COMPUTED_VALUE"""),"DHBA")</f>
        <v>DHBA</v>
      </c>
      <c r="C468" s="42" t="str">
        <f>IFERROR(__xludf.DUMMYFUNCTION("""COMPUTED_VALUE"""),"SZ in parietal neocortex")</f>
        <v>SZ in parietal neocortex</v>
      </c>
      <c r="D468" s="42">
        <f>IFERROR(__xludf.DUMMYFUNCTION("""COMPUTED_VALUE"""),434.0)</f>
        <v>434</v>
      </c>
      <c r="E468" s="39" t="str">
        <f>IFERROR(__xludf.DUMMYFUNCTION("""COMPUTED_VALUE"""),"SZ in parietal neocortex")</f>
        <v>SZ in parietal neocortex</v>
      </c>
      <c r="F468" s="9" t="str">
        <f>IFERROR(__xludf.DUMMYFUNCTION("""COMPUTED_VALUE"""),"Br")</f>
        <v>Br</v>
      </c>
      <c r="G468" s="9" t="str">
        <f>IFERROR(__xludf.DUMMYFUNCTION("""COMPUTED_VALUE"""),"F")</f>
        <v>F</v>
      </c>
      <c r="H468" s="9" t="str">
        <f>IFERROR(__xludf.DUMMYFUNCTION("""COMPUTED_VALUE"""),"FGM")</f>
        <v>FGM</v>
      </c>
      <c r="I468" s="9" t="str">
        <f>IFERROR(__xludf.DUMMYFUNCTION("""COMPUTED_VALUE"""),"FTS")</f>
        <v>FTS</v>
      </c>
      <c r="J468" s="9" t="str">
        <f>IFERROR(__xludf.DUMMYFUNCTION("""COMPUTED_VALUE"""),"SZ")</f>
        <v>SZ</v>
      </c>
      <c r="K468" s="9" t="str">
        <f>IFERROR(__xludf.DUMMYFUNCTION("""COMPUTED_VALUE"""),"pSZ")</f>
        <v>pSZ</v>
      </c>
      <c r="L468" s="9"/>
      <c r="M468" s="9"/>
      <c r="N468" s="9"/>
      <c r="O468" s="9"/>
      <c r="P468" s="9"/>
      <c r="Q468" s="9"/>
      <c r="R468" s="9"/>
      <c r="S468" s="42" t="str">
        <f>IFERROR(__xludf.DUMMYFUNCTION("""COMPUTED_VALUE"""),"pSZs1;
pSZdm;
pSZpd;
pSZpv")</f>
        <v>pSZs1;
pSZdm;
pSZpd;
pSZpv</v>
      </c>
      <c r="T468" s="42"/>
      <c r="U468" s="42" t="b">
        <f>IFERROR(__xludf.DUMMYFUNCTION("""COMPUTED_VALUE"""),FALSE)</f>
        <v>0</v>
      </c>
      <c r="V468" s="42"/>
      <c r="W468" s="42"/>
      <c r="X468" s="42"/>
      <c r="Y468" s="42"/>
      <c r="Z468" s="42"/>
      <c r="AA468" s="42"/>
      <c r="AB468" s="42" t="str">
        <f>IFERROR(__xludf.DUMMYFUNCTION("""COMPUTED_VALUE"""),"allen institute")</f>
        <v>allen institute</v>
      </c>
      <c r="AC468" s="42" t="str">
        <f>IFERROR(__xludf.DUMMYFUNCTION("""COMPUTED_VALUE"""),"DHBA")</f>
        <v>DHBA</v>
      </c>
      <c r="AD468" s="42"/>
      <c r="AE468" s="42"/>
      <c r="AF468" s="9"/>
      <c r="AG468" s="9"/>
      <c r="AH468" s="42"/>
      <c r="AI468" s="42"/>
      <c r="AJ468" s="42"/>
      <c r="AK468" s="42"/>
      <c r="AL468" s="42"/>
      <c r="AM468" s="42"/>
      <c r="AN468" s="42"/>
      <c r="AO468" s="63" t="str">
        <f>IFERROR(__xludf.DUMMYFUNCTION("IF(ISBLANK(A468),,IF(ISBLANK(S468), A468&amp;"";"", TEXTJOIN(CHAR(10), TRUE, A468&amp;"";"", ARRAYFORMULA(VLOOKUP(SPLIT(S468, "";"" &amp; CHAR(10)), $A:$AO, 41, FALSE)))))"),"pSZ;
pSZs1;
pSZs1o;
pSZs1op;
pSZs1i;
pSZs1ip;
pSZdm;
pSZdmo;
pSZdmi;
pSZpd;
pSZpdo;
pSZpdop;
pSZpdi;
pSZpdip;
pSZpv;
pSZpvo;
pSZpvop;
pSZpvi;
pSZpvip;")</f>
        <v>pSZ;
pSZs1;
pSZs1o;
pSZs1op;
pSZs1i;
pSZs1ip;
pSZdm;
pSZdmo;
pSZdmi;
pSZpd;
pSZpdo;
pSZpdop;
pSZpdi;
pSZpdip;
pSZpv;
pSZpvo;
pSZpvop;
pSZpvi;
pSZpvip;</v>
      </c>
      <c r="AP468" s="89"/>
    </row>
    <row r="469">
      <c r="A469" s="151" t="str">
        <f>IFERROR(__xludf.DUMMYFUNCTION("""COMPUTED_VALUE"""),"pSZs1")</f>
        <v>pSZs1</v>
      </c>
      <c r="B469" s="42" t="str">
        <f>IFERROR(__xludf.DUMMYFUNCTION("""COMPUTED_VALUE"""),"DHBA")</f>
        <v>DHBA</v>
      </c>
      <c r="C469" s="42" t="str">
        <f>IFERROR(__xludf.DUMMYFUNCTION("""COMPUTED_VALUE"""),"SZ in primary somatosensory cortex")</f>
        <v>SZ in primary somatosensory cortex</v>
      </c>
      <c r="D469" s="42">
        <f>IFERROR(__xludf.DUMMYFUNCTION("""COMPUTED_VALUE"""),435.0)</f>
        <v>435</v>
      </c>
      <c r="E469" s="39" t="str">
        <f>IFERROR(__xludf.DUMMYFUNCTION("""COMPUTED_VALUE"""),"SZ in primary somatosensory cortex")</f>
        <v>SZ in primary somatosensory cortex</v>
      </c>
      <c r="F469" s="9" t="str">
        <f>IFERROR(__xludf.DUMMYFUNCTION("""COMPUTED_VALUE"""),"Br")</f>
        <v>Br</v>
      </c>
      <c r="G469" s="9" t="str">
        <f>IFERROR(__xludf.DUMMYFUNCTION("""COMPUTED_VALUE"""),"F")</f>
        <v>F</v>
      </c>
      <c r="H469" s="9" t="str">
        <f>IFERROR(__xludf.DUMMYFUNCTION("""COMPUTED_VALUE"""),"FGM")</f>
        <v>FGM</v>
      </c>
      <c r="I469" s="9" t="str">
        <f>IFERROR(__xludf.DUMMYFUNCTION("""COMPUTED_VALUE"""),"FTS")</f>
        <v>FTS</v>
      </c>
      <c r="J469" s="9" t="str">
        <f>IFERROR(__xludf.DUMMYFUNCTION("""COMPUTED_VALUE"""),"SZ")</f>
        <v>SZ</v>
      </c>
      <c r="K469" s="9" t="str">
        <f>IFERROR(__xludf.DUMMYFUNCTION("""COMPUTED_VALUE"""),"pSZ")</f>
        <v>pSZ</v>
      </c>
      <c r="L469" s="9" t="str">
        <f>IFERROR(__xludf.DUMMYFUNCTION("""COMPUTED_VALUE"""),"pSZs1")</f>
        <v>pSZs1</v>
      </c>
      <c r="M469" s="9"/>
      <c r="N469" s="9"/>
      <c r="O469" s="9"/>
      <c r="P469" s="9"/>
      <c r="Q469" s="9"/>
      <c r="R469" s="9"/>
      <c r="S469" s="42" t="str">
        <f>IFERROR(__xludf.DUMMYFUNCTION("""COMPUTED_VALUE"""),"pSZs1o;
pSZs1i")</f>
        <v>pSZs1o;
pSZs1i</v>
      </c>
      <c r="T469" s="42"/>
      <c r="U469" s="42" t="b">
        <f>IFERROR(__xludf.DUMMYFUNCTION("""COMPUTED_VALUE"""),FALSE)</f>
        <v>0</v>
      </c>
      <c r="V469" s="42"/>
      <c r="W469" s="42"/>
      <c r="X469" s="42"/>
      <c r="Y469" s="42"/>
      <c r="Z469" s="42"/>
      <c r="AA469" s="42"/>
      <c r="AB469" s="42" t="str">
        <f>IFERROR(__xludf.DUMMYFUNCTION("""COMPUTED_VALUE"""),"allen institute")</f>
        <v>allen institute</v>
      </c>
      <c r="AC469" s="42" t="str">
        <f>IFERROR(__xludf.DUMMYFUNCTION("""COMPUTED_VALUE"""),"DHBA")</f>
        <v>DHBA</v>
      </c>
      <c r="AD469" s="42"/>
      <c r="AE469" s="42"/>
      <c r="AF469" s="9"/>
      <c r="AG469" s="9"/>
      <c r="AH469" s="42"/>
      <c r="AI469" s="42"/>
      <c r="AJ469" s="42"/>
      <c r="AK469" s="42"/>
      <c r="AL469" s="42"/>
      <c r="AM469" s="42"/>
      <c r="AN469" s="42"/>
      <c r="AO469" s="63" t="str">
        <f>IFERROR(__xludf.DUMMYFUNCTION("IF(ISBLANK(A469),,IF(ISBLANK(S469), A469&amp;"";"", TEXTJOIN(CHAR(10), TRUE, A469&amp;"";"", ARRAYFORMULA(VLOOKUP(SPLIT(S469, "";"" &amp; CHAR(10)), $A:$AO, 41, FALSE)))))"),"pSZs1;
pSZs1o;
pSZs1op;
pSZs1i;
pSZs1ip;")</f>
        <v>pSZs1;
pSZs1o;
pSZs1op;
pSZs1i;
pSZs1ip;</v>
      </c>
      <c r="AP469" s="89"/>
    </row>
    <row r="470">
      <c r="A470" s="151" t="str">
        <f>IFERROR(__xludf.DUMMYFUNCTION("""COMPUTED_VALUE"""),"pSZs1o")</f>
        <v>pSZs1o</v>
      </c>
      <c r="B470" s="42" t="str">
        <f>IFERROR(__xludf.DUMMYFUNCTION("""COMPUTED_VALUE"""),"DHBA")</f>
        <v>DHBA</v>
      </c>
      <c r="C470" s="42" t="str">
        <f>IFERROR(__xludf.DUMMYFUNCTION("""COMPUTED_VALUE"""),"outer SZ in primary somatosensory cortex")</f>
        <v>outer SZ in primary somatosensory cortex</v>
      </c>
      <c r="D470" s="42">
        <f>IFERROR(__xludf.DUMMYFUNCTION("""COMPUTED_VALUE"""),436.0)</f>
        <v>436</v>
      </c>
      <c r="E470" s="39" t="str">
        <f>IFERROR(__xludf.DUMMYFUNCTION("""COMPUTED_VALUE"""),"outer SZ in primary somatosensory cortex")</f>
        <v>outer SZ in primary somatosensory cortex</v>
      </c>
      <c r="F470" s="9" t="str">
        <f>IFERROR(__xludf.DUMMYFUNCTION("""COMPUTED_VALUE"""),"Br")</f>
        <v>Br</v>
      </c>
      <c r="G470" s="9" t="str">
        <f>IFERROR(__xludf.DUMMYFUNCTION("""COMPUTED_VALUE"""),"F")</f>
        <v>F</v>
      </c>
      <c r="H470" s="9" t="str">
        <f>IFERROR(__xludf.DUMMYFUNCTION("""COMPUTED_VALUE"""),"FGM")</f>
        <v>FGM</v>
      </c>
      <c r="I470" s="9" t="str">
        <f>IFERROR(__xludf.DUMMYFUNCTION("""COMPUTED_VALUE"""),"FTS")</f>
        <v>FTS</v>
      </c>
      <c r="J470" s="9" t="str">
        <f>IFERROR(__xludf.DUMMYFUNCTION("""COMPUTED_VALUE"""),"SZ")</f>
        <v>SZ</v>
      </c>
      <c r="K470" s="9" t="str">
        <f>IFERROR(__xludf.DUMMYFUNCTION("""COMPUTED_VALUE"""),"pSZ")</f>
        <v>pSZ</v>
      </c>
      <c r="L470" s="9" t="str">
        <f>IFERROR(__xludf.DUMMYFUNCTION("""COMPUTED_VALUE"""),"pSZs1")</f>
        <v>pSZs1</v>
      </c>
      <c r="M470" s="9" t="str">
        <f>IFERROR(__xludf.DUMMYFUNCTION("""COMPUTED_VALUE"""),"pSZs1o")</f>
        <v>pSZs1o</v>
      </c>
      <c r="N470" s="9"/>
      <c r="O470" s="9"/>
      <c r="P470" s="9"/>
      <c r="Q470" s="9"/>
      <c r="R470" s="9"/>
      <c r="S470" s="42" t="str">
        <f>IFERROR(__xludf.DUMMYFUNCTION("""COMPUTED_VALUE"""),"pSZs1op")</f>
        <v>pSZs1op</v>
      </c>
      <c r="T470" s="42"/>
      <c r="U470" s="42" t="b">
        <f>IFERROR(__xludf.DUMMYFUNCTION("""COMPUTED_VALUE"""),FALSE)</f>
        <v>0</v>
      </c>
      <c r="V470" s="42"/>
      <c r="W470" s="42"/>
      <c r="X470" s="42"/>
      <c r="Y470" s="42"/>
      <c r="Z470" s="42"/>
      <c r="AA470" s="42"/>
      <c r="AB470" s="42" t="str">
        <f>IFERROR(__xludf.DUMMYFUNCTION("""COMPUTED_VALUE"""),"allen institute")</f>
        <v>allen institute</v>
      </c>
      <c r="AC470" s="42" t="str">
        <f>IFERROR(__xludf.DUMMYFUNCTION("""COMPUTED_VALUE"""),"DHBA")</f>
        <v>DHBA</v>
      </c>
      <c r="AD470" s="42"/>
      <c r="AE470" s="42"/>
      <c r="AF470" s="9"/>
      <c r="AG470" s="9"/>
      <c r="AH470" s="42"/>
      <c r="AI470" s="42"/>
      <c r="AJ470" s="42"/>
      <c r="AK470" s="42"/>
      <c r="AL470" s="42"/>
      <c r="AM470" s="42"/>
      <c r="AN470" s="42"/>
      <c r="AO470" s="63" t="str">
        <f>IFERROR(__xludf.DUMMYFUNCTION("IF(ISBLANK(A470),,IF(ISBLANK(S470), A470&amp;"";"", TEXTJOIN(CHAR(10), TRUE, A470&amp;"";"", ARRAYFORMULA(VLOOKUP(SPLIT(S470, "";"" &amp; CHAR(10)), $A:$AO, 41, FALSE)))))"),"pSZs1o;
pSZs1op;")</f>
        <v>pSZs1o;
pSZs1op;</v>
      </c>
      <c r="AP470" s="89"/>
    </row>
    <row r="471">
      <c r="A471" s="151" t="str">
        <f>IFERROR(__xludf.DUMMYFUNCTION("""COMPUTED_VALUE"""),"pSZs1op")</f>
        <v>pSZs1op</v>
      </c>
      <c r="B471" s="42" t="str">
        <f>IFERROR(__xludf.DUMMYFUNCTION("""COMPUTED_VALUE"""),"DHBA")</f>
        <v>DHBA</v>
      </c>
      <c r="C471" s="42" t="str">
        <f>IFERROR(__xludf.DUMMYFUNCTION("""COMPUTED_VALUE"""),"outer plexiform zone in primary somatosensory cortex")</f>
        <v>outer plexiform zone in primary somatosensory cortex</v>
      </c>
      <c r="D471" s="42">
        <f>IFERROR(__xludf.DUMMYFUNCTION("""COMPUTED_VALUE"""),437.0)</f>
        <v>437</v>
      </c>
      <c r="E471" s="39" t="str">
        <f>IFERROR(__xludf.DUMMYFUNCTION("""COMPUTED_VALUE"""),"outer plexiform zone in primary somatosensory cortex")</f>
        <v>outer plexiform zone in primary somatosensory cortex</v>
      </c>
      <c r="F471" s="9" t="str">
        <f>IFERROR(__xludf.DUMMYFUNCTION("""COMPUTED_VALUE"""),"Br")</f>
        <v>Br</v>
      </c>
      <c r="G471" s="9" t="str">
        <f>IFERROR(__xludf.DUMMYFUNCTION("""COMPUTED_VALUE"""),"F")</f>
        <v>F</v>
      </c>
      <c r="H471" s="9" t="str">
        <f>IFERROR(__xludf.DUMMYFUNCTION("""COMPUTED_VALUE"""),"FGM")</f>
        <v>FGM</v>
      </c>
      <c r="I471" s="9" t="str">
        <f>IFERROR(__xludf.DUMMYFUNCTION("""COMPUTED_VALUE"""),"FTS")</f>
        <v>FTS</v>
      </c>
      <c r="J471" s="9" t="str">
        <f>IFERROR(__xludf.DUMMYFUNCTION("""COMPUTED_VALUE"""),"SZ")</f>
        <v>SZ</v>
      </c>
      <c r="K471" s="9" t="str">
        <f>IFERROR(__xludf.DUMMYFUNCTION("""COMPUTED_VALUE"""),"pSZ")</f>
        <v>pSZ</v>
      </c>
      <c r="L471" s="9" t="str">
        <f>IFERROR(__xludf.DUMMYFUNCTION("""COMPUTED_VALUE"""),"pSZs1")</f>
        <v>pSZs1</v>
      </c>
      <c r="M471" s="9" t="str">
        <f>IFERROR(__xludf.DUMMYFUNCTION("""COMPUTED_VALUE"""),"pSZs1o")</f>
        <v>pSZs1o</v>
      </c>
      <c r="N471" s="9" t="str">
        <f>IFERROR(__xludf.DUMMYFUNCTION("""COMPUTED_VALUE"""),"pSZs1op")</f>
        <v>pSZs1op</v>
      </c>
      <c r="O471" s="9"/>
      <c r="P471" s="9"/>
      <c r="Q471" s="9"/>
      <c r="R471" s="9"/>
      <c r="S471" s="42"/>
      <c r="T471" s="42"/>
      <c r="U471" s="42"/>
      <c r="V471" s="42"/>
      <c r="W471" s="42"/>
      <c r="X471" s="42"/>
      <c r="Y471" s="42"/>
      <c r="Z471" s="42"/>
      <c r="AA471" s="42"/>
      <c r="AB471" s="42" t="str">
        <f>IFERROR(__xludf.DUMMYFUNCTION("""COMPUTED_VALUE"""),"allen institute")</f>
        <v>allen institute</v>
      </c>
      <c r="AC471" s="42" t="str">
        <f>IFERROR(__xludf.DUMMYFUNCTION("""COMPUTED_VALUE"""),"DHBA")</f>
        <v>DHBA</v>
      </c>
      <c r="AD471" s="42"/>
      <c r="AE471" s="42"/>
      <c r="AF471" s="9"/>
      <c r="AG471" s="9"/>
      <c r="AH471" s="42"/>
      <c r="AI471" s="42"/>
      <c r="AJ471" s="42"/>
      <c r="AK471" s="42"/>
      <c r="AL471" s="42"/>
      <c r="AM471" s="42"/>
      <c r="AN471" s="42"/>
      <c r="AO471" s="63" t="str">
        <f>IFERROR(__xludf.DUMMYFUNCTION("IF(ISBLANK(A471),,IF(ISBLANK(S471), A471&amp;"";"", TEXTJOIN(CHAR(10), TRUE, A471&amp;"";"", ARRAYFORMULA(VLOOKUP(SPLIT(S471, "";"" &amp; CHAR(10)), $A:$AO, 41, FALSE)))))"),"pSZs1op;")</f>
        <v>pSZs1op;</v>
      </c>
      <c r="AP471" s="89"/>
    </row>
    <row r="472">
      <c r="A472" s="151" t="str">
        <f>IFERROR(__xludf.DUMMYFUNCTION("""COMPUTED_VALUE"""),"pSZs1i")</f>
        <v>pSZs1i</v>
      </c>
      <c r="B472" s="42" t="str">
        <f>IFERROR(__xludf.DUMMYFUNCTION("""COMPUTED_VALUE"""),"DHBA")</f>
        <v>DHBA</v>
      </c>
      <c r="C472" s="42" t="str">
        <f>IFERROR(__xludf.DUMMYFUNCTION("""COMPUTED_VALUE"""),"inner SZ in primary somatosensory cortex")</f>
        <v>inner SZ in primary somatosensory cortex</v>
      </c>
      <c r="D472" s="42">
        <f>IFERROR(__xludf.DUMMYFUNCTION("""COMPUTED_VALUE"""),438.0)</f>
        <v>438</v>
      </c>
      <c r="E472" s="39" t="str">
        <f>IFERROR(__xludf.DUMMYFUNCTION("""COMPUTED_VALUE"""),"inner SZ in primary somatosensory cortex")</f>
        <v>inner SZ in primary somatosensory cortex</v>
      </c>
      <c r="F472" s="9" t="str">
        <f>IFERROR(__xludf.DUMMYFUNCTION("""COMPUTED_VALUE"""),"Br")</f>
        <v>Br</v>
      </c>
      <c r="G472" s="9" t="str">
        <f>IFERROR(__xludf.DUMMYFUNCTION("""COMPUTED_VALUE"""),"F")</f>
        <v>F</v>
      </c>
      <c r="H472" s="9" t="str">
        <f>IFERROR(__xludf.DUMMYFUNCTION("""COMPUTED_VALUE"""),"FGM")</f>
        <v>FGM</v>
      </c>
      <c r="I472" s="9" t="str">
        <f>IFERROR(__xludf.DUMMYFUNCTION("""COMPUTED_VALUE"""),"FTS")</f>
        <v>FTS</v>
      </c>
      <c r="J472" s="9" t="str">
        <f>IFERROR(__xludf.DUMMYFUNCTION("""COMPUTED_VALUE"""),"SZ")</f>
        <v>SZ</v>
      </c>
      <c r="K472" s="9" t="str">
        <f>IFERROR(__xludf.DUMMYFUNCTION("""COMPUTED_VALUE"""),"pSZ")</f>
        <v>pSZ</v>
      </c>
      <c r="L472" s="9" t="str">
        <f>IFERROR(__xludf.DUMMYFUNCTION("""COMPUTED_VALUE"""),"pSZs1")</f>
        <v>pSZs1</v>
      </c>
      <c r="M472" s="9" t="str">
        <f>IFERROR(__xludf.DUMMYFUNCTION("""COMPUTED_VALUE"""),"pSZs1i")</f>
        <v>pSZs1i</v>
      </c>
      <c r="N472" s="9"/>
      <c r="O472" s="9"/>
      <c r="P472" s="9"/>
      <c r="Q472" s="9"/>
      <c r="R472" s="9"/>
      <c r="S472" s="42" t="str">
        <f>IFERROR(__xludf.DUMMYFUNCTION("""COMPUTED_VALUE"""),"pSZs1ip")</f>
        <v>pSZs1ip</v>
      </c>
      <c r="T472" s="42"/>
      <c r="U472" s="159" t="b">
        <f>IFERROR(__xludf.DUMMYFUNCTION("""COMPUTED_VALUE"""),FALSE)</f>
        <v>0</v>
      </c>
      <c r="V472" s="42"/>
      <c r="W472" s="42"/>
      <c r="X472" s="42"/>
      <c r="Y472" s="42"/>
      <c r="Z472" s="42"/>
      <c r="AA472" s="42"/>
      <c r="AB472" s="42" t="str">
        <f>IFERROR(__xludf.DUMMYFUNCTION("""COMPUTED_VALUE"""),"allen institute")</f>
        <v>allen institute</v>
      </c>
      <c r="AC472" s="42" t="str">
        <f>IFERROR(__xludf.DUMMYFUNCTION("""COMPUTED_VALUE"""),"DHBA")</f>
        <v>DHBA</v>
      </c>
      <c r="AD472" s="42"/>
      <c r="AE472" s="42"/>
      <c r="AF472" s="9"/>
      <c r="AG472" s="9"/>
      <c r="AH472" s="42"/>
      <c r="AI472" s="42"/>
      <c r="AJ472" s="42"/>
      <c r="AK472" s="42"/>
      <c r="AL472" s="42"/>
      <c r="AM472" s="42"/>
      <c r="AN472" s="42"/>
      <c r="AO472" s="63" t="str">
        <f>IFERROR(__xludf.DUMMYFUNCTION("IF(ISBLANK(A472),,IF(ISBLANK(S472), A472&amp;"";"", TEXTJOIN(CHAR(10), TRUE, A472&amp;"";"", ARRAYFORMULA(VLOOKUP(SPLIT(S472, "";"" &amp; CHAR(10)), $A:$AO, 41, FALSE)))))"),"pSZs1i;
pSZs1ip;")</f>
        <v>pSZs1i;
pSZs1ip;</v>
      </c>
      <c r="AP472" s="89"/>
    </row>
    <row r="473">
      <c r="A473" s="151" t="str">
        <f>IFERROR(__xludf.DUMMYFUNCTION("""COMPUTED_VALUE"""),"pSZs1ip")</f>
        <v>pSZs1ip</v>
      </c>
      <c r="B473" s="42" t="str">
        <f>IFERROR(__xludf.DUMMYFUNCTION("""COMPUTED_VALUE"""),"DHBA")</f>
        <v>DHBA</v>
      </c>
      <c r="C473" s="42" t="str">
        <f>IFERROR(__xludf.DUMMYFUNCTION("""COMPUTED_VALUE"""),"inner plexiform zone in primary somatosensory cortex")</f>
        <v>inner plexiform zone in primary somatosensory cortex</v>
      </c>
      <c r="D473" s="42">
        <f>IFERROR(__xludf.DUMMYFUNCTION("""COMPUTED_VALUE"""),439.0)</f>
        <v>439</v>
      </c>
      <c r="E473" s="39" t="str">
        <f>IFERROR(__xludf.DUMMYFUNCTION("""COMPUTED_VALUE"""),"inner plexiform zone in primary somatosensory cortex")</f>
        <v>inner plexiform zone in primary somatosensory cortex</v>
      </c>
      <c r="F473" s="9" t="str">
        <f>IFERROR(__xludf.DUMMYFUNCTION("""COMPUTED_VALUE"""),"Br")</f>
        <v>Br</v>
      </c>
      <c r="G473" s="9" t="str">
        <f>IFERROR(__xludf.DUMMYFUNCTION("""COMPUTED_VALUE"""),"F")</f>
        <v>F</v>
      </c>
      <c r="H473" s="9" t="str">
        <f>IFERROR(__xludf.DUMMYFUNCTION("""COMPUTED_VALUE"""),"FGM")</f>
        <v>FGM</v>
      </c>
      <c r="I473" s="9" t="str">
        <f>IFERROR(__xludf.DUMMYFUNCTION("""COMPUTED_VALUE"""),"FTS")</f>
        <v>FTS</v>
      </c>
      <c r="J473" s="9" t="str">
        <f>IFERROR(__xludf.DUMMYFUNCTION("""COMPUTED_VALUE"""),"SZ")</f>
        <v>SZ</v>
      </c>
      <c r="K473" s="9" t="str">
        <f>IFERROR(__xludf.DUMMYFUNCTION("""COMPUTED_VALUE"""),"pSZ")</f>
        <v>pSZ</v>
      </c>
      <c r="L473" s="9" t="str">
        <f>IFERROR(__xludf.DUMMYFUNCTION("""COMPUTED_VALUE"""),"pSZs1")</f>
        <v>pSZs1</v>
      </c>
      <c r="M473" s="9" t="str">
        <f>IFERROR(__xludf.DUMMYFUNCTION("""COMPUTED_VALUE"""),"pSZs1i")</f>
        <v>pSZs1i</v>
      </c>
      <c r="N473" s="9" t="str">
        <f>IFERROR(__xludf.DUMMYFUNCTION("""COMPUTED_VALUE"""),"pSZs1ip")</f>
        <v>pSZs1ip</v>
      </c>
      <c r="O473" s="9"/>
      <c r="P473" s="9"/>
      <c r="Q473" s="9"/>
      <c r="R473" s="9"/>
      <c r="S473" s="42"/>
      <c r="T473" s="42"/>
      <c r="U473" s="159"/>
      <c r="V473" s="42"/>
      <c r="W473" s="42"/>
      <c r="X473" s="42"/>
      <c r="Y473" s="42"/>
      <c r="Z473" s="42"/>
      <c r="AA473" s="42"/>
      <c r="AB473" s="42" t="str">
        <f>IFERROR(__xludf.DUMMYFUNCTION("""COMPUTED_VALUE"""),"allen institute")</f>
        <v>allen institute</v>
      </c>
      <c r="AC473" s="42" t="str">
        <f>IFERROR(__xludf.DUMMYFUNCTION("""COMPUTED_VALUE"""),"DHBA")</f>
        <v>DHBA</v>
      </c>
      <c r="AD473" s="42"/>
      <c r="AE473" s="42"/>
      <c r="AF473" s="9"/>
      <c r="AG473" s="9"/>
      <c r="AH473" s="42"/>
      <c r="AI473" s="42"/>
      <c r="AJ473" s="42"/>
      <c r="AK473" s="42"/>
      <c r="AL473" s="42"/>
      <c r="AM473" s="42"/>
      <c r="AN473" s="42"/>
      <c r="AO473" s="63" t="str">
        <f>IFERROR(__xludf.DUMMYFUNCTION("IF(ISBLANK(A473),,IF(ISBLANK(S473), A473&amp;"";"", TEXTJOIN(CHAR(10), TRUE, A473&amp;"";"", ARRAYFORMULA(VLOOKUP(SPLIT(S473, "";"" &amp; CHAR(10)), $A:$AO, 41, FALSE)))))"),"pSZs1ip;")</f>
        <v>pSZs1ip;</v>
      </c>
      <c r="AP473" s="89"/>
    </row>
    <row r="474">
      <c r="A474" s="151" t="str">
        <f>IFERROR(__xludf.DUMMYFUNCTION("""COMPUTED_VALUE"""),"pSZdm")</f>
        <v>pSZdm</v>
      </c>
      <c r="B474" s="42" t="str">
        <f>IFERROR(__xludf.DUMMYFUNCTION("""COMPUTED_VALUE"""),"DHBA")</f>
        <v>DHBA</v>
      </c>
      <c r="C474" s="42" t="str">
        <f>IFERROR(__xludf.DUMMYFUNCTION("""COMPUTED_VALUE"""),"SZ in dorsomedial parietal cortex (area 7m)")</f>
        <v>SZ in dorsomedial parietal cortex (area 7m)</v>
      </c>
      <c r="D474" s="42">
        <f>IFERROR(__xludf.DUMMYFUNCTION("""COMPUTED_VALUE"""),440.0)</f>
        <v>440</v>
      </c>
      <c r="E474" s="39" t="str">
        <f>IFERROR(__xludf.DUMMYFUNCTION("""COMPUTED_VALUE"""),"SZ in dorsomedial parietal cortex (area 7m)")</f>
        <v>SZ in dorsomedial parietal cortex (area 7m)</v>
      </c>
      <c r="F474" s="9" t="str">
        <f>IFERROR(__xludf.DUMMYFUNCTION("""COMPUTED_VALUE"""),"Br")</f>
        <v>Br</v>
      </c>
      <c r="G474" s="9" t="str">
        <f>IFERROR(__xludf.DUMMYFUNCTION("""COMPUTED_VALUE"""),"F")</f>
        <v>F</v>
      </c>
      <c r="H474" s="9" t="str">
        <f>IFERROR(__xludf.DUMMYFUNCTION("""COMPUTED_VALUE"""),"FGM")</f>
        <v>FGM</v>
      </c>
      <c r="I474" s="9" t="str">
        <f>IFERROR(__xludf.DUMMYFUNCTION("""COMPUTED_VALUE"""),"FTS")</f>
        <v>FTS</v>
      </c>
      <c r="J474" s="9" t="str">
        <f>IFERROR(__xludf.DUMMYFUNCTION("""COMPUTED_VALUE"""),"SZ")</f>
        <v>SZ</v>
      </c>
      <c r="K474" s="9" t="str">
        <f>IFERROR(__xludf.DUMMYFUNCTION("""COMPUTED_VALUE"""),"pSZ")</f>
        <v>pSZ</v>
      </c>
      <c r="L474" s="9" t="str">
        <f>IFERROR(__xludf.DUMMYFUNCTION("""COMPUTED_VALUE"""),"pSZdm")</f>
        <v>pSZdm</v>
      </c>
      <c r="M474" s="9"/>
      <c r="N474" s="9"/>
      <c r="O474" s="9"/>
      <c r="P474" s="9"/>
      <c r="Q474" s="9"/>
      <c r="R474" s="9"/>
      <c r="S474" s="42" t="str">
        <f>IFERROR(__xludf.DUMMYFUNCTION("""COMPUTED_VALUE"""),"pSZdmo;
pSZdmi")</f>
        <v>pSZdmo;
pSZdmi</v>
      </c>
      <c r="T474" s="42"/>
      <c r="U474" s="42" t="b">
        <f>IFERROR(__xludf.DUMMYFUNCTION("""COMPUTED_VALUE"""),FALSE)</f>
        <v>0</v>
      </c>
      <c r="V474" s="42"/>
      <c r="W474" s="42"/>
      <c r="X474" s="42"/>
      <c r="Y474" s="42"/>
      <c r="Z474" s="42"/>
      <c r="AA474" s="42"/>
      <c r="AB474" s="42" t="str">
        <f>IFERROR(__xludf.DUMMYFUNCTION("""COMPUTED_VALUE"""),"allen institute")</f>
        <v>allen institute</v>
      </c>
      <c r="AC474" s="42" t="str">
        <f>IFERROR(__xludf.DUMMYFUNCTION("""COMPUTED_VALUE"""),"DHBA")</f>
        <v>DHBA</v>
      </c>
      <c r="AD474" s="42"/>
      <c r="AE474" s="42"/>
      <c r="AF474" s="9"/>
      <c r="AG474" s="9"/>
      <c r="AH474" s="42"/>
      <c r="AI474" s="42"/>
      <c r="AJ474" s="42"/>
      <c r="AK474" s="42"/>
      <c r="AL474" s="42"/>
      <c r="AM474" s="42"/>
      <c r="AN474" s="42"/>
      <c r="AO474" s="63" t="str">
        <f>IFERROR(__xludf.DUMMYFUNCTION("IF(ISBLANK(A474),,IF(ISBLANK(S474), A474&amp;"";"", TEXTJOIN(CHAR(10), TRUE, A474&amp;"";"", ARRAYFORMULA(VLOOKUP(SPLIT(S474, "";"" &amp; CHAR(10)), $A:$AO, 41, FALSE)))))"),"pSZdm;
pSZdmo;
pSZdmi;")</f>
        <v>pSZdm;
pSZdmo;
pSZdmi;</v>
      </c>
      <c r="AP474" s="89"/>
    </row>
    <row r="475">
      <c r="A475" s="151" t="str">
        <f>IFERROR(__xludf.DUMMYFUNCTION("""COMPUTED_VALUE"""),"pSZdmo")</f>
        <v>pSZdmo</v>
      </c>
      <c r="B475" s="42" t="str">
        <f>IFERROR(__xludf.DUMMYFUNCTION("""COMPUTED_VALUE"""),"DHBA")</f>
        <v>DHBA</v>
      </c>
      <c r="C475" s="42" t="str">
        <f>IFERROR(__xludf.DUMMYFUNCTION("""COMPUTED_VALUE"""),"outer SZ in dorsomedial parietal cortex (area 7m)")</f>
        <v>outer SZ in dorsomedial parietal cortex (area 7m)</v>
      </c>
      <c r="D475" s="42">
        <f>IFERROR(__xludf.DUMMYFUNCTION("""COMPUTED_VALUE"""),441.0)</f>
        <v>441</v>
      </c>
      <c r="E475" s="39" t="str">
        <f>IFERROR(__xludf.DUMMYFUNCTION("""COMPUTED_VALUE"""),"outer SZ in dorsomedial parietal cortex (area 7m)")</f>
        <v>outer SZ in dorsomedial parietal cortex (area 7m)</v>
      </c>
      <c r="F475" s="9" t="str">
        <f>IFERROR(__xludf.DUMMYFUNCTION("""COMPUTED_VALUE"""),"Br")</f>
        <v>Br</v>
      </c>
      <c r="G475" s="9" t="str">
        <f>IFERROR(__xludf.DUMMYFUNCTION("""COMPUTED_VALUE"""),"F")</f>
        <v>F</v>
      </c>
      <c r="H475" s="9" t="str">
        <f>IFERROR(__xludf.DUMMYFUNCTION("""COMPUTED_VALUE"""),"FGM")</f>
        <v>FGM</v>
      </c>
      <c r="I475" s="9" t="str">
        <f>IFERROR(__xludf.DUMMYFUNCTION("""COMPUTED_VALUE"""),"FTS")</f>
        <v>FTS</v>
      </c>
      <c r="J475" s="9" t="str">
        <f>IFERROR(__xludf.DUMMYFUNCTION("""COMPUTED_VALUE"""),"SZ")</f>
        <v>SZ</v>
      </c>
      <c r="K475" s="9" t="str">
        <f>IFERROR(__xludf.DUMMYFUNCTION("""COMPUTED_VALUE"""),"pSZ")</f>
        <v>pSZ</v>
      </c>
      <c r="L475" s="9" t="str">
        <f>IFERROR(__xludf.DUMMYFUNCTION("""COMPUTED_VALUE"""),"pSZdm")</f>
        <v>pSZdm</v>
      </c>
      <c r="M475" s="9" t="str">
        <f>IFERROR(__xludf.DUMMYFUNCTION("""COMPUTED_VALUE"""),"pSZdmo")</f>
        <v>pSZdmo</v>
      </c>
      <c r="N475" s="9"/>
      <c r="O475" s="9"/>
      <c r="P475" s="9"/>
      <c r="Q475" s="9"/>
      <c r="R475" s="9"/>
      <c r="S475" s="42"/>
      <c r="T475" s="42"/>
      <c r="U475" s="42"/>
      <c r="V475" s="42"/>
      <c r="W475" s="42"/>
      <c r="X475" s="42"/>
      <c r="Y475" s="42"/>
      <c r="Z475" s="42"/>
      <c r="AA475" s="42"/>
      <c r="AB475" s="42" t="str">
        <f>IFERROR(__xludf.DUMMYFUNCTION("""COMPUTED_VALUE"""),"allen institute")</f>
        <v>allen institute</v>
      </c>
      <c r="AC475" s="42" t="str">
        <f>IFERROR(__xludf.DUMMYFUNCTION("""COMPUTED_VALUE"""),"DHBA")</f>
        <v>DHBA</v>
      </c>
      <c r="AD475" s="42"/>
      <c r="AE475" s="42"/>
      <c r="AF475" s="9"/>
      <c r="AG475" s="9"/>
      <c r="AH475" s="42"/>
      <c r="AI475" s="42"/>
      <c r="AJ475" s="42"/>
      <c r="AK475" s="42"/>
      <c r="AL475" s="42"/>
      <c r="AM475" s="42"/>
      <c r="AN475" s="42"/>
      <c r="AO475" s="63" t="str">
        <f>IFERROR(__xludf.DUMMYFUNCTION("IF(ISBLANK(A475),,IF(ISBLANK(S475), A475&amp;"";"", TEXTJOIN(CHAR(10), TRUE, A475&amp;"";"", ARRAYFORMULA(VLOOKUP(SPLIT(S475, "";"" &amp; CHAR(10)), $A:$AO, 41, FALSE)))))"),"pSZdmo;")</f>
        <v>pSZdmo;</v>
      </c>
      <c r="AP475" s="89"/>
    </row>
    <row r="476">
      <c r="A476" s="151" t="str">
        <f>IFERROR(__xludf.DUMMYFUNCTION("""COMPUTED_VALUE"""),"pSZdmi")</f>
        <v>pSZdmi</v>
      </c>
      <c r="B476" s="42" t="str">
        <f>IFERROR(__xludf.DUMMYFUNCTION("""COMPUTED_VALUE"""),"DHBA")</f>
        <v>DHBA</v>
      </c>
      <c r="C476" s="42" t="str">
        <f>IFERROR(__xludf.DUMMYFUNCTION("""COMPUTED_VALUE"""),"inner SZ in dorsomedial parietal cortex (area 7m)")</f>
        <v>inner SZ in dorsomedial parietal cortex (area 7m)</v>
      </c>
      <c r="D476" s="42">
        <f>IFERROR(__xludf.DUMMYFUNCTION("""COMPUTED_VALUE"""),442.0)</f>
        <v>442</v>
      </c>
      <c r="E476" s="39" t="str">
        <f>IFERROR(__xludf.DUMMYFUNCTION("""COMPUTED_VALUE"""),"inner SZ in dorsomedial parietal cortex (area 7m)")</f>
        <v>inner SZ in dorsomedial parietal cortex (area 7m)</v>
      </c>
      <c r="F476" s="9" t="str">
        <f>IFERROR(__xludf.DUMMYFUNCTION("""COMPUTED_VALUE"""),"Br")</f>
        <v>Br</v>
      </c>
      <c r="G476" s="9" t="str">
        <f>IFERROR(__xludf.DUMMYFUNCTION("""COMPUTED_VALUE"""),"F")</f>
        <v>F</v>
      </c>
      <c r="H476" s="9" t="str">
        <f>IFERROR(__xludf.DUMMYFUNCTION("""COMPUTED_VALUE"""),"FGM")</f>
        <v>FGM</v>
      </c>
      <c r="I476" s="9" t="str">
        <f>IFERROR(__xludf.DUMMYFUNCTION("""COMPUTED_VALUE"""),"FTS")</f>
        <v>FTS</v>
      </c>
      <c r="J476" s="9" t="str">
        <f>IFERROR(__xludf.DUMMYFUNCTION("""COMPUTED_VALUE"""),"SZ")</f>
        <v>SZ</v>
      </c>
      <c r="K476" s="9" t="str">
        <f>IFERROR(__xludf.DUMMYFUNCTION("""COMPUTED_VALUE"""),"pSZ")</f>
        <v>pSZ</v>
      </c>
      <c r="L476" s="9" t="str">
        <f>IFERROR(__xludf.DUMMYFUNCTION("""COMPUTED_VALUE"""),"pSZdm")</f>
        <v>pSZdm</v>
      </c>
      <c r="M476" s="9" t="str">
        <f>IFERROR(__xludf.DUMMYFUNCTION("""COMPUTED_VALUE"""),"pSZdmi")</f>
        <v>pSZdmi</v>
      </c>
      <c r="N476" s="9"/>
      <c r="O476" s="9"/>
      <c r="P476" s="9"/>
      <c r="Q476" s="9"/>
      <c r="R476" s="9"/>
      <c r="S476" s="42"/>
      <c r="T476" s="42"/>
      <c r="U476" s="42"/>
      <c r="V476" s="42"/>
      <c r="W476" s="42"/>
      <c r="X476" s="42"/>
      <c r="Y476" s="42"/>
      <c r="Z476" s="42"/>
      <c r="AA476" s="42"/>
      <c r="AB476" s="42" t="str">
        <f>IFERROR(__xludf.DUMMYFUNCTION("""COMPUTED_VALUE"""),"allen institute")</f>
        <v>allen institute</v>
      </c>
      <c r="AC476" s="42" t="str">
        <f>IFERROR(__xludf.DUMMYFUNCTION("""COMPUTED_VALUE"""),"DHBA")</f>
        <v>DHBA</v>
      </c>
      <c r="AD476" s="42"/>
      <c r="AE476" s="42"/>
      <c r="AF476" s="9"/>
      <c r="AG476" s="9"/>
      <c r="AH476" s="42"/>
      <c r="AI476" s="42"/>
      <c r="AJ476" s="42"/>
      <c r="AK476" s="42"/>
      <c r="AL476" s="42"/>
      <c r="AM476" s="42"/>
      <c r="AN476" s="42"/>
      <c r="AO476" s="63" t="str">
        <f>IFERROR(__xludf.DUMMYFUNCTION("IF(ISBLANK(A476),,IF(ISBLANK(S476), A476&amp;"";"", TEXTJOIN(CHAR(10), TRUE, A476&amp;"";"", ARRAYFORMULA(VLOOKUP(SPLIT(S476, "";"" &amp; CHAR(10)), $A:$AO, 41, FALSE)))))"),"pSZdmi;")</f>
        <v>pSZdmi;</v>
      </c>
      <c r="AP476" s="89"/>
    </row>
    <row r="477">
      <c r="A477" s="151" t="str">
        <f>IFERROR(__xludf.DUMMYFUNCTION("""COMPUTED_VALUE"""),"pSZpd")</f>
        <v>pSZpd</v>
      </c>
      <c r="B477" s="42" t="str">
        <f>IFERROR(__xludf.DUMMYFUNCTION("""COMPUTED_VALUE"""),"DHBA")</f>
        <v>DHBA</v>
      </c>
      <c r="C477" s="42" t="str">
        <f>IFERROR(__xludf.DUMMYFUNCTION("""COMPUTED_VALUE"""),"SZ in posterosuperior (dorsal) parietal cortex")</f>
        <v>SZ in posterosuperior (dorsal) parietal cortex</v>
      </c>
      <c r="D477" s="42">
        <f>IFERROR(__xludf.DUMMYFUNCTION("""COMPUTED_VALUE"""),443.0)</f>
        <v>443</v>
      </c>
      <c r="E477" s="39" t="str">
        <f>IFERROR(__xludf.DUMMYFUNCTION("""COMPUTED_VALUE"""),"SZ in posterosuperior (dorsal) parietal cortex")</f>
        <v>SZ in posterosuperior (dorsal) parietal cortex</v>
      </c>
      <c r="F477" s="9" t="str">
        <f>IFERROR(__xludf.DUMMYFUNCTION("""COMPUTED_VALUE"""),"Br")</f>
        <v>Br</v>
      </c>
      <c r="G477" s="9" t="str">
        <f>IFERROR(__xludf.DUMMYFUNCTION("""COMPUTED_VALUE"""),"F")</f>
        <v>F</v>
      </c>
      <c r="H477" s="9" t="str">
        <f>IFERROR(__xludf.DUMMYFUNCTION("""COMPUTED_VALUE"""),"FGM")</f>
        <v>FGM</v>
      </c>
      <c r="I477" s="9" t="str">
        <f>IFERROR(__xludf.DUMMYFUNCTION("""COMPUTED_VALUE"""),"FTS")</f>
        <v>FTS</v>
      </c>
      <c r="J477" s="9" t="str">
        <f>IFERROR(__xludf.DUMMYFUNCTION("""COMPUTED_VALUE"""),"SZ")</f>
        <v>SZ</v>
      </c>
      <c r="K477" s="9" t="str">
        <f>IFERROR(__xludf.DUMMYFUNCTION("""COMPUTED_VALUE"""),"pSZ")</f>
        <v>pSZ</v>
      </c>
      <c r="L477" s="9" t="str">
        <f>IFERROR(__xludf.DUMMYFUNCTION("""COMPUTED_VALUE"""),"pSZpd")</f>
        <v>pSZpd</v>
      </c>
      <c r="M477" s="9"/>
      <c r="N477" s="9"/>
      <c r="O477" s="9"/>
      <c r="P477" s="9"/>
      <c r="Q477" s="9"/>
      <c r="R477" s="9"/>
      <c r="S477" s="42" t="str">
        <f>IFERROR(__xludf.DUMMYFUNCTION("""COMPUTED_VALUE"""),"pSZpdo;
pSZpdi")</f>
        <v>pSZpdo;
pSZpdi</v>
      </c>
      <c r="T477" s="42"/>
      <c r="U477" s="42" t="b">
        <f>IFERROR(__xludf.DUMMYFUNCTION("""COMPUTED_VALUE"""),FALSE)</f>
        <v>0</v>
      </c>
      <c r="V477" s="42"/>
      <c r="W477" s="42"/>
      <c r="X477" s="42"/>
      <c r="Y477" s="42"/>
      <c r="Z477" s="42"/>
      <c r="AA477" s="42"/>
      <c r="AB477" s="42" t="str">
        <f>IFERROR(__xludf.DUMMYFUNCTION("""COMPUTED_VALUE"""),"allen institute")</f>
        <v>allen institute</v>
      </c>
      <c r="AC477" s="42" t="str">
        <f>IFERROR(__xludf.DUMMYFUNCTION("""COMPUTED_VALUE"""),"DHBA")</f>
        <v>DHBA</v>
      </c>
      <c r="AD477" s="42"/>
      <c r="AE477" s="42"/>
      <c r="AF477" s="9"/>
      <c r="AG477" s="9"/>
      <c r="AH477" s="42"/>
      <c r="AI477" s="42"/>
      <c r="AJ477" s="42"/>
      <c r="AK477" s="42"/>
      <c r="AL477" s="42"/>
      <c r="AM477" s="42"/>
      <c r="AN477" s="42"/>
      <c r="AO477" s="63" t="str">
        <f>IFERROR(__xludf.DUMMYFUNCTION("IF(ISBLANK(A477),,IF(ISBLANK(S477), A477&amp;"";"", TEXTJOIN(CHAR(10), TRUE, A477&amp;"";"", ARRAYFORMULA(VLOOKUP(SPLIT(S477, "";"" &amp; CHAR(10)), $A:$AO, 41, FALSE)))))"),"pSZpd;
pSZpdo;
pSZpdop;
pSZpdi;
pSZpdip;")</f>
        <v>pSZpd;
pSZpdo;
pSZpdop;
pSZpdi;
pSZpdip;</v>
      </c>
      <c r="AP477" s="89"/>
    </row>
    <row r="478">
      <c r="A478" s="151" t="str">
        <f>IFERROR(__xludf.DUMMYFUNCTION("""COMPUTED_VALUE"""),"pSZpdo")</f>
        <v>pSZpdo</v>
      </c>
      <c r="B478" s="42" t="str">
        <f>IFERROR(__xludf.DUMMYFUNCTION("""COMPUTED_VALUE"""),"DHBA")</f>
        <v>DHBA</v>
      </c>
      <c r="C478" s="42" t="str">
        <f>IFERROR(__xludf.DUMMYFUNCTION("""COMPUTED_VALUE"""),"outer SZ in posterosuperior (dorsal) parietal cortex")</f>
        <v>outer SZ in posterosuperior (dorsal) parietal cortex</v>
      </c>
      <c r="D478" s="42">
        <f>IFERROR(__xludf.DUMMYFUNCTION("""COMPUTED_VALUE"""),444.0)</f>
        <v>444</v>
      </c>
      <c r="E478" s="39" t="str">
        <f>IFERROR(__xludf.DUMMYFUNCTION("""COMPUTED_VALUE"""),"outer SZ in posterosuperior (dorsal) parietal cortex")</f>
        <v>outer SZ in posterosuperior (dorsal) parietal cortex</v>
      </c>
      <c r="F478" s="9" t="str">
        <f>IFERROR(__xludf.DUMMYFUNCTION("""COMPUTED_VALUE"""),"Br")</f>
        <v>Br</v>
      </c>
      <c r="G478" s="9" t="str">
        <f>IFERROR(__xludf.DUMMYFUNCTION("""COMPUTED_VALUE"""),"F")</f>
        <v>F</v>
      </c>
      <c r="H478" s="9" t="str">
        <f>IFERROR(__xludf.DUMMYFUNCTION("""COMPUTED_VALUE"""),"FGM")</f>
        <v>FGM</v>
      </c>
      <c r="I478" s="9" t="str">
        <f>IFERROR(__xludf.DUMMYFUNCTION("""COMPUTED_VALUE"""),"FTS")</f>
        <v>FTS</v>
      </c>
      <c r="J478" s="9" t="str">
        <f>IFERROR(__xludf.DUMMYFUNCTION("""COMPUTED_VALUE"""),"SZ")</f>
        <v>SZ</v>
      </c>
      <c r="K478" s="9" t="str">
        <f>IFERROR(__xludf.DUMMYFUNCTION("""COMPUTED_VALUE"""),"pSZ")</f>
        <v>pSZ</v>
      </c>
      <c r="L478" s="9" t="str">
        <f>IFERROR(__xludf.DUMMYFUNCTION("""COMPUTED_VALUE"""),"pSZpd")</f>
        <v>pSZpd</v>
      </c>
      <c r="M478" s="9" t="str">
        <f>IFERROR(__xludf.DUMMYFUNCTION("""COMPUTED_VALUE"""),"pSZpdo")</f>
        <v>pSZpdo</v>
      </c>
      <c r="N478" s="9"/>
      <c r="O478" s="9"/>
      <c r="P478" s="9"/>
      <c r="Q478" s="9"/>
      <c r="R478" s="9"/>
      <c r="S478" s="42" t="str">
        <f>IFERROR(__xludf.DUMMYFUNCTION("""COMPUTED_VALUE"""),"pSZpdop")</f>
        <v>pSZpdop</v>
      </c>
      <c r="T478" s="42"/>
      <c r="U478" s="42" t="b">
        <f>IFERROR(__xludf.DUMMYFUNCTION("""COMPUTED_VALUE"""),FALSE)</f>
        <v>0</v>
      </c>
      <c r="V478" s="42"/>
      <c r="W478" s="42"/>
      <c r="X478" s="42"/>
      <c r="Y478" s="42"/>
      <c r="Z478" s="42"/>
      <c r="AA478" s="42"/>
      <c r="AB478" s="42" t="str">
        <f>IFERROR(__xludf.DUMMYFUNCTION("""COMPUTED_VALUE"""),"allen institute")</f>
        <v>allen institute</v>
      </c>
      <c r="AC478" s="42" t="str">
        <f>IFERROR(__xludf.DUMMYFUNCTION("""COMPUTED_VALUE"""),"DHBA")</f>
        <v>DHBA</v>
      </c>
      <c r="AD478" s="42"/>
      <c r="AE478" s="42"/>
      <c r="AF478" s="9"/>
      <c r="AG478" s="9"/>
      <c r="AH478" s="42"/>
      <c r="AI478" s="42"/>
      <c r="AJ478" s="42"/>
      <c r="AK478" s="42"/>
      <c r="AL478" s="42"/>
      <c r="AM478" s="42"/>
      <c r="AN478" s="42"/>
      <c r="AO478" s="63" t="str">
        <f>IFERROR(__xludf.DUMMYFUNCTION("IF(ISBLANK(A478),,IF(ISBLANK(S478), A478&amp;"";"", TEXTJOIN(CHAR(10), TRUE, A478&amp;"";"", ARRAYFORMULA(VLOOKUP(SPLIT(S478, "";"" &amp; CHAR(10)), $A:$AO, 41, FALSE)))))"),"pSZpdo;
pSZpdop;")</f>
        <v>pSZpdo;
pSZpdop;</v>
      </c>
      <c r="AP478" s="89"/>
    </row>
    <row r="479">
      <c r="A479" s="151" t="str">
        <f>IFERROR(__xludf.DUMMYFUNCTION("""COMPUTED_VALUE"""),"pSZpdop")</f>
        <v>pSZpdop</v>
      </c>
      <c r="B479" s="42" t="str">
        <f>IFERROR(__xludf.DUMMYFUNCTION("""COMPUTED_VALUE"""),"DHBA")</f>
        <v>DHBA</v>
      </c>
      <c r="C479" s="42" t="str">
        <f>IFERROR(__xludf.DUMMYFUNCTION("""COMPUTED_VALUE"""),"outer plexiform zone in posterosuperior (dorsal) parietal cortex")</f>
        <v>outer plexiform zone in posterosuperior (dorsal) parietal cortex</v>
      </c>
      <c r="D479" s="42">
        <f>IFERROR(__xludf.DUMMYFUNCTION("""COMPUTED_VALUE"""),445.0)</f>
        <v>445</v>
      </c>
      <c r="E479" s="39" t="str">
        <f>IFERROR(__xludf.DUMMYFUNCTION("""COMPUTED_VALUE"""),"outer plexiform zone in posterosuperior (dorsal) parietal cortex")</f>
        <v>outer plexiform zone in posterosuperior (dorsal) parietal cortex</v>
      </c>
      <c r="F479" s="9" t="str">
        <f>IFERROR(__xludf.DUMMYFUNCTION("""COMPUTED_VALUE"""),"Br")</f>
        <v>Br</v>
      </c>
      <c r="G479" s="9" t="str">
        <f>IFERROR(__xludf.DUMMYFUNCTION("""COMPUTED_VALUE"""),"F")</f>
        <v>F</v>
      </c>
      <c r="H479" s="9" t="str">
        <f>IFERROR(__xludf.DUMMYFUNCTION("""COMPUTED_VALUE"""),"FGM")</f>
        <v>FGM</v>
      </c>
      <c r="I479" s="9" t="str">
        <f>IFERROR(__xludf.DUMMYFUNCTION("""COMPUTED_VALUE"""),"FTS")</f>
        <v>FTS</v>
      </c>
      <c r="J479" s="9" t="str">
        <f>IFERROR(__xludf.DUMMYFUNCTION("""COMPUTED_VALUE"""),"SZ")</f>
        <v>SZ</v>
      </c>
      <c r="K479" s="9" t="str">
        <f>IFERROR(__xludf.DUMMYFUNCTION("""COMPUTED_VALUE"""),"pSZ")</f>
        <v>pSZ</v>
      </c>
      <c r="L479" s="9" t="str">
        <f>IFERROR(__xludf.DUMMYFUNCTION("""COMPUTED_VALUE"""),"pSZpd")</f>
        <v>pSZpd</v>
      </c>
      <c r="M479" s="9" t="str">
        <f>IFERROR(__xludf.DUMMYFUNCTION("""COMPUTED_VALUE"""),"pSZpdo")</f>
        <v>pSZpdo</v>
      </c>
      <c r="N479" s="9" t="str">
        <f>IFERROR(__xludf.DUMMYFUNCTION("""COMPUTED_VALUE"""),"pSZpdop")</f>
        <v>pSZpdop</v>
      </c>
      <c r="O479" s="9"/>
      <c r="P479" s="9"/>
      <c r="Q479" s="9"/>
      <c r="R479" s="9"/>
      <c r="S479" s="42"/>
      <c r="T479" s="42"/>
      <c r="U479" s="42"/>
      <c r="V479" s="42"/>
      <c r="W479" s="42"/>
      <c r="X479" s="42"/>
      <c r="Y479" s="42"/>
      <c r="Z479" s="42"/>
      <c r="AA479" s="42"/>
      <c r="AB479" s="42" t="str">
        <f>IFERROR(__xludf.DUMMYFUNCTION("""COMPUTED_VALUE"""),"allen institute")</f>
        <v>allen institute</v>
      </c>
      <c r="AC479" s="42" t="str">
        <f>IFERROR(__xludf.DUMMYFUNCTION("""COMPUTED_VALUE"""),"DHBA")</f>
        <v>DHBA</v>
      </c>
      <c r="AD479" s="42"/>
      <c r="AE479" s="42"/>
      <c r="AF479" s="9"/>
      <c r="AG479" s="9"/>
      <c r="AH479" s="42"/>
      <c r="AI479" s="42"/>
      <c r="AJ479" s="42"/>
      <c r="AK479" s="42"/>
      <c r="AL479" s="42"/>
      <c r="AM479" s="42"/>
      <c r="AN479" s="42"/>
      <c r="AO479" s="63" t="str">
        <f>IFERROR(__xludf.DUMMYFUNCTION("IF(ISBLANK(A479),,IF(ISBLANK(S479), A479&amp;"";"", TEXTJOIN(CHAR(10), TRUE, A479&amp;"";"", ARRAYFORMULA(VLOOKUP(SPLIT(S479, "";"" &amp; CHAR(10)), $A:$AO, 41, FALSE)))))"),"pSZpdop;")</f>
        <v>pSZpdop;</v>
      </c>
      <c r="AP479" s="89"/>
    </row>
    <row r="480">
      <c r="A480" s="151" t="str">
        <f>IFERROR(__xludf.DUMMYFUNCTION("""COMPUTED_VALUE"""),"pSZpdi")</f>
        <v>pSZpdi</v>
      </c>
      <c r="B480" s="42" t="str">
        <f>IFERROR(__xludf.DUMMYFUNCTION("""COMPUTED_VALUE"""),"DHBA")</f>
        <v>DHBA</v>
      </c>
      <c r="C480" s="42" t="str">
        <f>IFERROR(__xludf.DUMMYFUNCTION("""COMPUTED_VALUE"""),"inner SZ in posterosuperior (dorsal) parietal cortex")</f>
        <v>inner SZ in posterosuperior (dorsal) parietal cortex</v>
      </c>
      <c r="D480" s="42">
        <f>IFERROR(__xludf.DUMMYFUNCTION("""COMPUTED_VALUE"""),446.0)</f>
        <v>446</v>
      </c>
      <c r="E480" s="39" t="str">
        <f>IFERROR(__xludf.DUMMYFUNCTION("""COMPUTED_VALUE"""),"inner SZ in posterosuperior (dorsal) parietal cortex")</f>
        <v>inner SZ in posterosuperior (dorsal) parietal cortex</v>
      </c>
      <c r="F480" s="9" t="str">
        <f>IFERROR(__xludf.DUMMYFUNCTION("""COMPUTED_VALUE"""),"Br")</f>
        <v>Br</v>
      </c>
      <c r="G480" s="9" t="str">
        <f>IFERROR(__xludf.DUMMYFUNCTION("""COMPUTED_VALUE"""),"F")</f>
        <v>F</v>
      </c>
      <c r="H480" s="9" t="str">
        <f>IFERROR(__xludf.DUMMYFUNCTION("""COMPUTED_VALUE"""),"FGM")</f>
        <v>FGM</v>
      </c>
      <c r="I480" s="9" t="str">
        <f>IFERROR(__xludf.DUMMYFUNCTION("""COMPUTED_VALUE"""),"FTS")</f>
        <v>FTS</v>
      </c>
      <c r="J480" s="9" t="str">
        <f>IFERROR(__xludf.DUMMYFUNCTION("""COMPUTED_VALUE"""),"SZ")</f>
        <v>SZ</v>
      </c>
      <c r="K480" s="9" t="str">
        <f>IFERROR(__xludf.DUMMYFUNCTION("""COMPUTED_VALUE"""),"pSZ")</f>
        <v>pSZ</v>
      </c>
      <c r="L480" s="9" t="str">
        <f>IFERROR(__xludf.DUMMYFUNCTION("""COMPUTED_VALUE"""),"pSZpd")</f>
        <v>pSZpd</v>
      </c>
      <c r="M480" s="9" t="str">
        <f>IFERROR(__xludf.DUMMYFUNCTION("""COMPUTED_VALUE"""),"pSZpdi")</f>
        <v>pSZpdi</v>
      </c>
      <c r="N480" s="9"/>
      <c r="O480" s="9"/>
      <c r="P480" s="9"/>
      <c r="Q480" s="9"/>
      <c r="R480" s="9"/>
      <c r="S480" s="42" t="str">
        <f>IFERROR(__xludf.DUMMYFUNCTION("""COMPUTED_VALUE"""),"pSZpdip")</f>
        <v>pSZpdip</v>
      </c>
      <c r="T480" s="42"/>
      <c r="U480" s="159" t="b">
        <f>IFERROR(__xludf.DUMMYFUNCTION("""COMPUTED_VALUE"""),FALSE)</f>
        <v>0</v>
      </c>
      <c r="V480" s="42"/>
      <c r="W480" s="42"/>
      <c r="X480" s="42"/>
      <c r="Y480" s="42"/>
      <c r="Z480" s="42"/>
      <c r="AA480" s="42"/>
      <c r="AB480" s="42" t="str">
        <f>IFERROR(__xludf.DUMMYFUNCTION("""COMPUTED_VALUE"""),"allen institute")</f>
        <v>allen institute</v>
      </c>
      <c r="AC480" s="42" t="str">
        <f>IFERROR(__xludf.DUMMYFUNCTION("""COMPUTED_VALUE"""),"DHBA")</f>
        <v>DHBA</v>
      </c>
      <c r="AD480" s="42"/>
      <c r="AE480" s="42"/>
      <c r="AF480" s="9"/>
      <c r="AG480" s="9"/>
      <c r="AH480" s="42"/>
      <c r="AI480" s="42"/>
      <c r="AJ480" s="42"/>
      <c r="AK480" s="42"/>
      <c r="AL480" s="42"/>
      <c r="AM480" s="42"/>
      <c r="AN480" s="42"/>
      <c r="AO480" s="63" t="str">
        <f>IFERROR(__xludf.DUMMYFUNCTION("IF(ISBLANK(A480),,IF(ISBLANK(S480), A480&amp;"";"", TEXTJOIN(CHAR(10), TRUE, A480&amp;"";"", ARRAYFORMULA(VLOOKUP(SPLIT(S480, "";"" &amp; CHAR(10)), $A:$AO, 41, FALSE)))))"),"pSZpdi;
pSZpdip;")</f>
        <v>pSZpdi;
pSZpdip;</v>
      </c>
      <c r="AP480" s="89"/>
    </row>
    <row r="481">
      <c r="A481" s="151" t="str">
        <f>IFERROR(__xludf.DUMMYFUNCTION("""COMPUTED_VALUE"""),"pSZpdip")</f>
        <v>pSZpdip</v>
      </c>
      <c r="B481" s="42" t="str">
        <f>IFERROR(__xludf.DUMMYFUNCTION("""COMPUTED_VALUE"""),"DHBA")</f>
        <v>DHBA</v>
      </c>
      <c r="C481" s="42" t="str">
        <f>IFERROR(__xludf.DUMMYFUNCTION("""COMPUTED_VALUE"""),"inner plexiform zone in posterosuperior (dorsal) parietal cortex")</f>
        <v>inner plexiform zone in posterosuperior (dorsal) parietal cortex</v>
      </c>
      <c r="D481" s="42">
        <f>IFERROR(__xludf.DUMMYFUNCTION("""COMPUTED_VALUE"""),447.0)</f>
        <v>447</v>
      </c>
      <c r="E481" s="39" t="str">
        <f>IFERROR(__xludf.DUMMYFUNCTION("""COMPUTED_VALUE"""),"inner plexiform zone in posterosuperior (dorsal) parietal cortex")</f>
        <v>inner plexiform zone in posterosuperior (dorsal) parietal cortex</v>
      </c>
      <c r="F481" s="9" t="str">
        <f>IFERROR(__xludf.DUMMYFUNCTION("""COMPUTED_VALUE"""),"Br")</f>
        <v>Br</v>
      </c>
      <c r="G481" s="9" t="str">
        <f>IFERROR(__xludf.DUMMYFUNCTION("""COMPUTED_VALUE"""),"F")</f>
        <v>F</v>
      </c>
      <c r="H481" s="9" t="str">
        <f>IFERROR(__xludf.DUMMYFUNCTION("""COMPUTED_VALUE"""),"FGM")</f>
        <v>FGM</v>
      </c>
      <c r="I481" s="9" t="str">
        <f>IFERROR(__xludf.DUMMYFUNCTION("""COMPUTED_VALUE"""),"FTS")</f>
        <v>FTS</v>
      </c>
      <c r="J481" s="9" t="str">
        <f>IFERROR(__xludf.DUMMYFUNCTION("""COMPUTED_VALUE"""),"SZ")</f>
        <v>SZ</v>
      </c>
      <c r="K481" s="9" t="str">
        <f>IFERROR(__xludf.DUMMYFUNCTION("""COMPUTED_VALUE"""),"pSZ")</f>
        <v>pSZ</v>
      </c>
      <c r="L481" s="9" t="str">
        <f>IFERROR(__xludf.DUMMYFUNCTION("""COMPUTED_VALUE"""),"pSZpd")</f>
        <v>pSZpd</v>
      </c>
      <c r="M481" s="9" t="str">
        <f>IFERROR(__xludf.DUMMYFUNCTION("""COMPUTED_VALUE"""),"pSZpdi")</f>
        <v>pSZpdi</v>
      </c>
      <c r="N481" s="9" t="str">
        <f>IFERROR(__xludf.DUMMYFUNCTION("""COMPUTED_VALUE"""),"pSZpdip")</f>
        <v>pSZpdip</v>
      </c>
      <c r="O481" s="9"/>
      <c r="P481" s="9"/>
      <c r="Q481" s="9"/>
      <c r="R481" s="9"/>
      <c r="S481" s="42"/>
      <c r="T481" s="42"/>
      <c r="U481" s="42"/>
      <c r="V481" s="42"/>
      <c r="W481" s="42"/>
      <c r="X481" s="42"/>
      <c r="Y481" s="42"/>
      <c r="Z481" s="42"/>
      <c r="AA481" s="42"/>
      <c r="AB481" s="42" t="str">
        <f>IFERROR(__xludf.DUMMYFUNCTION("""COMPUTED_VALUE"""),"allen institute")</f>
        <v>allen institute</v>
      </c>
      <c r="AC481" s="42" t="str">
        <f>IFERROR(__xludf.DUMMYFUNCTION("""COMPUTED_VALUE"""),"DHBA")</f>
        <v>DHBA</v>
      </c>
      <c r="AD481" s="42"/>
      <c r="AE481" s="42"/>
      <c r="AF481" s="9"/>
      <c r="AG481" s="9"/>
      <c r="AH481" s="42"/>
      <c r="AI481" s="42"/>
      <c r="AJ481" s="42"/>
      <c r="AK481" s="42"/>
      <c r="AL481" s="42"/>
      <c r="AM481" s="42"/>
      <c r="AN481" s="42"/>
      <c r="AO481" s="63" t="str">
        <f>IFERROR(__xludf.DUMMYFUNCTION("IF(ISBLANK(A481),,IF(ISBLANK(S481), A481&amp;"";"", TEXTJOIN(CHAR(10), TRUE, A481&amp;"";"", ARRAYFORMULA(VLOOKUP(SPLIT(S481, "";"" &amp; CHAR(10)), $A:$AO, 41, FALSE)))))"),"pSZpdip;")</f>
        <v>pSZpdip;</v>
      </c>
      <c r="AP481" s="89"/>
    </row>
    <row r="482">
      <c r="A482" s="151" t="str">
        <f>IFERROR(__xludf.DUMMYFUNCTION("""COMPUTED_VALUE"""),"pSZpv")</f>
        <v>pSZpv</v>
      </c>
      <c r="B482" s="42" t="str">
        <f>IFERROR(__xludf.DUMMYFUNCTION("""COMPUTED_VALUE"""),"DHBA")</f>
        <v>DHBA</v>
      </c>
      <c r="C482" s="42" t="str">
        <f>IFERROR(__xludf.DUMMYFUNCTION("""COMPUTED_VALUE"""),"SZ in posteroinferior (ventral) parietal cortex")</f>
        <v>SZ in posteroinferior (ventral) parietal cortex</v>
      </c>
      <c r="D482" s="42">
        <f>IFERROR(__xludf.DUMMYFUNCTION("""COMPUTED_VALUE"""),448.0)</f>
        <v>448</v>
      </c>
      <c r="E482" s="39" t="str">
        <f>IFERROR(__xludf.DUMMYFUNCTION("""COMPUTED_VALUE"""),"SZ in posteroinferior (ventral) parietal cortex")</f>
        <v>SZ in posteroinferior (ventral) parietal cortex</v>
      </c>
      <c r="F482" s="9" t="str">
        <f>IFERROR(__xludf.DUMMYFUNCTION("""COMPUTED_VALUE"""),"Br")</f>
        <v>Br</v>
      </c>
      <c r="G482" s="9" t="str">
        <f>IFERROR(__xludf.DUMMYFUNCTION("""COMPUTED_VALUE"""),"F")</f>
        <v>F</v>
      </c>
      <c r="H482" s="9" t="str">
        <f>IFERROR(__xludf.DUMMYFUNCTION("""COMPUTED_VALUE"""),"FGM")</f>
        <v>FGM</v>
      </c>
      <c r="I482" s="9" t="str">
        <f>IFERROR(__xludf.DUMMYFUNCTION("""COMPUTED_VALUE"""),"FTS")</f>
        <v>FTS</v>
      </c>
      <c r="J482" s="9" t="str">
        <f>IFERROR(__xludf.DUMMYFUNCTION("""COMPUTED_VALUE"""),"SZ")</f>
        <v>SZ</v>
      </c>
      <c r="K482" s="9" t="str">
        <f>IFERROR(__xludf.DUMMYFUNCTION("""COMPUTED_VALUE"""),"pSZ")</f>
        <v>pSZ</v>
      </c>
      <c r="L482" s="9" t="str">
        <f>IFERROR(__xludf.DUMMYFUNCTION("""COMPUTED_VALUE"""),"pSZpv")</f>
        <v>pSZpv</v>
      </c>
      <c r="M482" s="9"/>
      <c r="N482" s="9"/>
      <c r="O482" s="9"/>
      <c r="P482" s="9"/>
      <c r="Q482" s="9"/>
      <c r="R482" s="9"/>
      <c r="S482" s="42" t="str">
        <f>IFERROR(__xludf.DUMMYFUNCTION("""COMPUTED_VALUE"""),"pSZpvo;
pSZpvi")</f>
        <v>pSZpvo;
pSZpvi</v>
      </c>
      <c r="T482" s="42"/>
      <c r="U482" s="42" t="b">
        <f>IFERROR(__xludf.DUMMYFUNCTION("""COMPUTED_VALUE"""),FALSE)</f>
        <v>0</v>
      </c>
      <c r="V482" s="42"/>
      <c r="W482" s="42"/>
      <c r="X482" s="42"/>
      <c r="Y482" s="42"/>
      <c r="Z482" s="42"/>
      <c r="AA482" s="42"/>
      <c r="AB482" s="42" t="str">
        <f>IFERROR(__xludf.DUMMYFUNCTION("""COMPUTED_VALUE"""),"allen institute")</f>
        <v>allen institute</v>
      </c>
      <c r="AC482" s="42" t="str">
        <f>IFERROR(__xludf.DUMMYFUNCTION("""COMPUTED_VALUE"""),"DHBA")</f>
        <v>DHBA</v>
      </c>
      <c r="AD482" s="42"/>
      <c r="AE482" s="42"/>
      <c r="AF482" s="9"/>
      <c r="AG482" s="9"/>
      <c r="AH482" s="42"/>
      <c r="AI482" s="42"/>
      <c r="AJ482" s="42"/>
      <c r="AK482" s="42"/>
      <c r="AL482" s="42"/>
      <c r="AM482" s="42"/>
      <c r="AN482" s="42"/>
      <c r="AO482" s="63" t="str">
        <f>IFERROR(__xludf.DUMMYFUNCTION("IF(ISBLANK(A482),,IF(ISBLANK(S482), A482&amp;"";"", TEXTJOIN(CHAR(10), TRUE, A482&amp;"";"", ARRAYFORMULA(VLOOKUP(SPLIT(S482, "";"" &amp; CHAR(10)), $A:$AO, 41, FALSE)))))"),"pSZpv;
pSZpvo;
pSZpvop;
pSZpvi;
pSZpvip;")</f>
        <v>pSZpv;
pSZpvo;
pSZpvop;
pSZpvi;
pSZpvip;</v>
      </c>
      <c r="AP482" s="89"/>
    </row>
    <row r="483">
      <c r="A483" s="151" t="str">
        <f>IFERROR(__xludf.DUMMYFUNCTION("""COMPUTED_VALUE"""),"pSZpvo")</f>
        <v>pSZpvo</v>
      </c>
      <c r="B483" s="42" t="str">
        <f>IFERROR(__xludf.DUMMYFUNCTION("""COMPUTED_VALUE"""),"DHBA")</f>
        <v>DHBA</v>
      </c>
      <c r="C483" s="42" t="str">
        <f>IFERROR(__xludf.DUMMYFUNCTION("""COMPUTED_VALUE"""),"outer SZ in posteroinferior (ventral) parietal cortex")</f>
        <v>outer SZ in posteroinferior (ventral) parietal cortex</v>
      </c>
      <c r="D483" s="42">
        <f>IFERROR(__xludf.DUMMYFUNCTION("""COMPUTED_VALUE"""),449.0)</f>
        <v>449</v>
      </c>
      <c r="E483" s="39" t="str">
        <f>IFERROR(__xludf.DUMMYFUNCTION("""COMPUTED_VALUE"""),"outer SZ in posteroinferior (ventral) parietal cortex")</f>
        <v>outer SZ in posteroinferior (ventral) parietal cortex</v>
      </c>
      <c r="F483" s="9" t="str">
        <f>IFERROR(__xludf.DUMMYFUNCTION("""COMPUTED_VALUE"""),"Br")</f>
        <v>Br</v>
      </c>
      <c r="G483" s="9" t="str">
        <f>IFERROR(__xludf.DUMMYFUNCTION("""COMPUTED_VALUE"""),"F")</f>
        <v>F</v>
      </c>
      <c r="H483" s="9" t="str">
        <f>IFERROR(__xludf.DUMMYFUNCTION("""COMPUTED_VALUE"""),"FGM")</f>
        <v>FGM</v>
      </c>
      <c r="I483" s="9" t="str">
        <f>IFERROR(__xludf.DUMMYFUNCTION("""COMPUTED_VALUE"""),"FTS")</f>
        <v>FTS</v>
      </c>
      <c r="J483" s="9" t="str">
        <f>IFERROR(__xludf.DUMMYFUNCTION("""COMPUTED_VALUE"""),"SZ")</f>
        <v>SZ</v>
      </c>
      <c r="K483" s="9" t="str">
        <f>IFERROR(__xludf.DUMMYFUNCTION("""COMPUTED_VALUE"""),"pSZ")</f>
        <v>pSZ</v>
      </c>
      <c r="L483" s="9" t="str">
        <f>IFERROR(__xludf.DUMMYFUNCTION("""COMPUTED_VALUE"""),"pSZpv")</f>
        <v>pSZpv</v>
      </c>
      <c r="M483" s="9" t="str">
        <f>IFERROR(__xludf.DUMMYFUNCTION("""COMPUTED_VALUE"""),"pSZpvo")</f>
        <v>pSZpvo</v>
      </c>
      <c r="N483" s="9"/>
      <c r="O483" s="9"/>
      <c r="P483" s="9"/>
      <c r="Q483" s="9"/>
      <c r="R483" s="9"/>
      <c r="S483" s="42" t="str">
        <f>IFERROR(__xludf.DUMMYFUNCTION("""COMPUTED_VALUE"""),"pSZpvop")</f>
        <v>pSZpvop</v>
      </c>
      <c r="T483" s="42"/>
      <c r="U483" s="42" t="b">
        <f>IFERROR(__xludf.DUMMYFUNCTION("""COMPUTED_VALUE"""),FALSE)</f>
        <v>0</v>
      </c>
      <c r="V483" s="42"/>
      <c r="W483" s="42"/>
      <c r="X483" s="42"/>
      <c r="Y483" s="42"/>
      <c r="Z483" s="42"/>
      <c r="AA483" s="42"/>
      <c r="AB483" s="42" t="str">
        <f>IFERROR(__xludf.DUMMYFUNCTION("""COMPUTED_VALUE"""),"allen institute")</f>
        <v>allen institute</v>
      </c>
      <c r="AC483" s="42" t="str">
        <f>IFERROR(__xludf.DUMMYFUNCTION("""COMPUTED_VALUE"""),"DHBA")</f>
        <v>DHBA</v>
      </c>
      <c r="AD483" s="42"/>
      <c r="AE483" s="42"/>
      <c r="AF483" s="9"/>
      <c r="AG483" s="9"/>
      <c r="AH483" s="42"/>
      <c r="AI483" s="42"/>
      <c r="AJ483" s="42"/>
      <c r="AK483" s="42"/>
      <c r="AL483" s="42"/>
      <c r="AM483" s="42"/>
      <c r="AN483" s="42"/>
      <c r="AO483" s="63" t="str">
        <f>IFERROR(__xludf.DUMMYFUNCTION("IF(ISBLANK(A483),,IF(ISBLANK(S483), A483&amp;"";"", TEXTJOIN(CHAR(10), TRUE, A483&amp;"";"", ARRAYFORMULA(VLOOKUP(SPLIT(S483, "";"" &amp; CHAR(10)), $A:$AO, 41, FALSE)))))"),"pSZpvo;
pSZpvop;")</f>
        <v>pSZpvo;
pSZpvop;</v>
      </c>
      <c r="AP483" s="89"/>
    </row>
    <row r="484">
      <c r="A484" s="151" t="str">
        <f>IFERROR(__xludf.DUMMYFUNCTION("""COMPUTED_VALUE"""),"pSZpvop")</f>
        <v>pSZpvop</v>
      </c>
      <c r="B484" s="42" t="str">
        <f>IFERROR(__xludf.DUMMYFUNCTION("""COMPUTED_VALUE"""),"DHBA")</f>
        <v>DHBA</v>
      </c>
      <c r="C484" s="42" t="str">
        <f>IFERROR(__xludf.DUMMYFUNCTION("""COMPUTED_VALUE"""),"outer plexiform zone in posteroinferior (ventral) parietal cortex")</f>
        <v>outer plexiform zone in posteroinferior (ventral) parietal cortex</v>
      </c>
      <c r="D484" s="42">
        <f>IFERROR(__xludf.DUMMYFUNCTION("""COMPUTED_VALUE"""),450.0)</f>
        <v>450</v>
      </c>
      <c r="E484" s="39" t="str">
        <f>IFERROR(__xludf.DUMMYFUNCTION("""COMPUTED_VALUE"""),"outer plexiform zone in posteroinferior (ventral) parietal cortex")</f>
        <v>outer plexiform zone in posteroinferior (ventral) parietal cortex</v>
      </c>
      <c r="F484" s="9" t="str">
        <f>IFERROR(__xludf.DUMMYFUNCTION("""COMPUTED_VALUE"""),"Br")</f>
        <v>Br</v>
      </c>
      <c r="G484" s="9" t="str">
        <f>IFERROR(__xludf.DUMMYFUNCTION("""COMPUTED_VALUE"""),"F")</f>
        <v>F</v>
      </c>
      <c r="H484" s="9" t="str">
        <f>IFERROR(__xludf.DUMMYFUNCTION("""COMPUTED_VALUE"""),"FGM")</f>
        <v>FGM</v>
      </c>
      <c r="I484" s="9" t="str">
        <f>IFERROR(__xludf.DUMMYFUNCTION("""COMPUTED_VALUE"""),"FTS")</f>
        <v>FTS</v>
      </c>
      <c r="J484" s="9" t="str">
        <f>IFERROR(__xludf.DUMMYFUNCTION("""COMPUTED_VALUE"""),"SZ")</f>
        <v>SZ</v>
      </c>
      <c r="K484" s="9" t="str">
        <f>IFERROR(__xludf.DUMMYFUNCTION("""COMPUTED_VALUE"""),"pSZ")</f>
        <v>pSZ</v>
      </c>
      <c r="L484" s="9" t="str">
        <f>IFERROR(__xludf.DUMMYFUNCTION("""COMPUTED_VALUE"""),"pSZpv")</f>
        <v>pSZpv</v>
      </c>
      <c r="M484" s="9" t="str">
        <f>IFERROR(__xludf.DUMMYFUNCTION("""COMPUTED_VALUE"""),"pSZpvo")</f>
        <v>pSZpvo</v>
      </c>
      <c r="N484" s="9" t="str">
        <f>IFERROR(__xludf.DUMMYFUNCTION("""COMPUTED_VALUE"""),"pSZpvop")</f>
        <v>pSZpvop</v>
      </c>
      <c r="O484" s="9"/>
      <c r="P484" s="9"/>
      <c r="Q484" s="9"/>
      <c r="R484" s="9"/>
      <c r="S484" s="42"/>
      <c r="T484" s="42"/>
      <c r="U484" s="42"/>
      <c r="V484" s="42"/>
      <c r="W484" s="42"/>
      <c r="X484" s="42"/>
      <c r="Y484" s="42"/>
      <c r="Z484" s="42"/>
      <c r="AA484" s="42"/>
      <c r="AB484" s="42" t="str">
        <f>IFERROR(__xludf.DUMMYFUNCTION("""COMPUTED_VALUE"""),"allen institute")</f>
        <v>allen institute</v>
      </c>
      <c r="AC484" s="42" t="str">
        <f>IFERROR(__xludf.DUMMYFUNCTION("""COMPUTED_VALUE"""),"DHBA")</f>
        <v>DHBA</v>
      </c>
      <c r="AD484" s="42"/>
      <c r="AE484" s="42"/>
      <c r="AF484" s="9"/>
      <c r="AG484" s="9"/>
      <c r="AH484" s="42"/>
      <c r="AI484" s="42"/>
      <c r="AJ484" s="42"/>
      <c r="AK484" s="42"/>
      <c r="AL484" s="42"/>
      <c r="AM484" s="42"/>
      <c r="AN484" s="42"/>
      <c r="AO484" s="63" t="str">
        <f>IFERROR(__xludf.DUMMYFUNCTION("IF(ISBLANK(A484),,IF(ISBLANK(S484), A484&amp;"";"", TEXTJOIN(CHAR(10), TRUE, A484&amp;"";"", ARRAYFORMULA(VLOOKUP(SPLIT(S484, "";"" &amp; CHAR(10)), $A:$AO, 41, FALSE)))))"),"pSZpvop;")</f>
        <v>pSZpvop;</v>
      </c>
      <c r="AP484" s="89"/>
    </row>
    <row r="485">
      <c r="A485" s="151" t="str">
        <f>IFERROR(__xludf.DUMMYFUNCTION("""COMPUTED_VALUE"""),"pSZpvi")</f>
        <v>pSZpvi</v>
      </c>
      <c r="B485" s="42" t="str">
        <f>IFERROR(__xludf.DUMMYFUNCTION("""COMPUTED_VALUE"""),"DHBA")</f>
        <v>DHBA</v>
      </c>
      <c r="C485" s="42" t="str">
        <f>IFERROR(__xludf.DUMMYFUNCTION("""COMPUTED_VALUE"""),"inner SZ in posteroinferior (ventral) parietal cortex")</f>
        <v>inner SZ in posteroinferior (ventral) parietal cortex</v>
      </c>
      <c r="D485" s="42">
        <f>IFERROR(__xludf.DUMMYFUNCTION("""COMPUTED_VALUE"""),451.0)</f>
        <v>451</v>
      </c>
      <c r="E485" s="39" t="str">
        <f>IFERROR(__xludf.DUMMYFUNCTION("""COMPUTED_VALUE"""),"inner SZ in posteroinferior (ventral) parietal cortex")</f>
        <v>inner SZ in posteroinferior (ventral) parietal cortex</v>
      </c>
      <c r="F485" s="9" t="str">
        <f>IFERROR(__xludf.DUMMYFUNCTION("""COMPUTED_VALUE"""),"Br")</f>
        <v>Br</v>
      </c>
      <c r="G485" s="9" t="str">
        <f>IFERROR(__xludf.DUMMYFUNCTION("""COMPUTED_VALUE"""),"F")</f>
        <v>F</v>
      </c>
      <c r="H485" s="9" t="str">
        <f>IFERROR(__xludf.DUMMYFUNCTION("""COMPUTED_VALUE"""),"FGM")</f>
        <v>FGM</v>
      </c>
      <c r="I485" s="9" t="str">
        <f>IFERROR(__xludf.DUMMYFUNCTION("""COMPUTED_VALUE"""),"FTS")</f>
        <v>FTS</v>
      </c>
      <c r="J485" s="9" t="str">
        <f>IFERROR(__xludf.DUMMYFUNCTION("""COMPUTED_VALUE"""),"SZ")</f>
        <v>SZ</v>
      </c>
      <c r="K485" s="9" t="str">
        <f>IFERROR(__xludf.DUMMYFUNCTION("""COMPUTED_VALUE"""),"pSZ")</f>
        <v>pSZ</v>
      </c>
      <c r="L485" s="9" t="str">
        <f>IFERROR(__xludf.DUMMYFUNCTION("""COMPUTED_VALUE"""),"pSZpv")</f>
        <v>pSZpv</v>
      </c>
      <c r="M485" s="9" t="str">
        <f>IFERROR(__xludf.DUMMYFUNCTION("""COMPUTED_VALUE"""),"pSZpvi")</f>
        <v>pSZpvi</v>
      </c>
      <c r="N485" s="9"/>
      <c r="O485" s="9"/>
      <c r="P485" s="9"/>
      <c r="Q485" s="9"/>
      <c r="R485" s="9"/>
      <c r="S485" s="42" t="str">
        <f>IFERROR(__xludf.DUMMYFUNCTION("""COMPUTED_VALUE"""),"pSZpvip")</f>
        <v>pSZpvip</v>
      </c>
      <c r="T485" s="42"/>
      <c r="U485" s="42" t="b">
        <f>IFERROR(__xludf.DUMMYFUNCTION("""COMPUTED_VALUE"""),FALSE)</f>
        <v>0</v>
      </c>
      <c r="V485" s="42"/>
      <c r="W485" s="42"/>
      <c r="X485" s="42"/>
      <c r="Y485" s="42"/>
      <c r="Z485" s="42"/>
      <c r="AA485" s="42"/>
      <c r="AB485" s="42" t="str">
        <f>IFERROR(__xludf.DUMMYFUNCTION("""COMPUTED_VALUE"""),"allen institute")</f>
        <v>allen institute</v>
      </c>
      <c r="AC485" s="42" t="str">
        <f>IFERROR(__xludf.DUMMYFUNCTION("""COMPUTED_VALUE"""),"DHBA")</f>
        <v>DHBA</v>
      </c>
      <c r="AD485" s="42"/>
      <c r="AE485" s="42"/>
      <c r="AF485" s="9"/>
      <c r="AG485" s="9"/>
      <c r="AH485" s="42"/>
      <c r="AI485" s="42"/>
      <c r="AJ485" s="42"/>
      <c r="AK485" s="42"/>
      <c r="AL485" s="42"/>
      <c r="AM485" s="42"/>
      <c r="AN485" s="42"/>
      <c r="AO485" s="63" t="str">
        <f>IFERROR(__xludf.DUMMYFUNCTION("IF(ISBLANK(A485),,IF(ISBLANK(S485), A485&amp;"";"", TEXTJOIN(CHAR(10), TRUE, A485&amp;"";"", ARRAYFORMULA(VLOOKUP(SPLIT(S485, "";"" &amp; CHAR(10)), $A:$AO, 41, FALSE)))))"),"pSZpvi;
pSZpvip;")</f>
        <v>pSZpvi;
pSZpvip;</v>
      </c>
      <c r="AP485" s="89"/>
    </row>
    <row r="486">
      <c r="A486" s="151" t="str">
        <f>IFERROR(__xludf.DUMMYFUNCTION("""COMPUTED_VALUE"""),"pSZpvip")</f>
        <v>pSZpvip</v>
      </c>
      <c r="B486" s="42" t="str">
        <f>IFERROR(__xludf.DUMMYFUNCTION("""COMPUTED_VALUE"""),"DHBA")</f>
        <v>DHBA</v>
      </c>
      <c r="C486" s="42" t="str">
        <f>IFERROR(__xludf.DUMMYFUNCTION("""COMPUTED_VALUE"""),"inner plexiform zone in posteroinferior (ventral) parietal cortex")</f>
        <v>inner plexiform zone in posteroinferior (ventral) parietal cortex</v>
      </c>
      <c r="D486" s="42">
        <f>IFERROR(__xludf.DUMMYFUNCTION("""COMPUTED_VALUE"""),452.0)</f>
        <v>452</v>
      </c>
      <c r="E486" s="39" t="str">
        <f>IFERROR(__xludf.DUMMYFUNCTION("""COMPUTED_VALUE"""),"inner plexiform zone in posteroinferior (ventral) parietal cortex")</f>
        <v>inner plexiform zone in posteroinferior (ventral) parietal cortex</v>
      </c>
      <c r="F486" s="9" t="str">
        <f>IFERROR(__xludf.DUMMYFUNCTION("""COMPUTED_VALUE"""),"Br")</f>
        <v>Br</v>
      </c>
      <c r="G486" s="9" t="str">
        <f>IFERROR(__xludf.DUMMYFUNCTION("""COMPUTED_VALUE"""),"F")</f>
        <v>F</v>
      </c>
      <c r="H486" s="9" t="str">
        <f>IFERROR(__xludf.DUMMYFUNCTION("""COMPUTED_VALUE"""),"FGM")</f>
        <v>FGM</v>
      </c>
      <c r="I486" s="9" t="str">
        <f>IFERROR(__xludf.DUMMYFUNCTION("""COMPUTED_VALUE"""),"FTS")</f>
        <v>FTS</v>
      </c>
      <c r="J486" s="9" t="str">
        <f>IFERROR(__xludf.DUMMYFUNCTION("""COMPUTED_VALUE"""),"SZ")</f>
        <v>SZ</v>
      </c>
      <c r="K486" s="9" t="str">
        <f>IFERROR(__xludf.DUMMYFUNCTION("""COMPUTED_VALUE"""),"pSZ")</f>
        <v>pSZ</v>
      </c>
      <c r="L486" s="9" t="str">
        <f>IFERROR(__xludf.DUMMYFUNCTION("""COMPUTED_VALUE"""),"pSZpv")</f>
        <v>pSZpv</v>
      </c>
      <c r="M486" s="9" t="str">
        <f>IFERROR(__xludf.DUMMYFUNCTION("""COMPUTED_VALUE"""),"pSZpvi")</f>
        <v>pSZpvi</v>
      </c>
      <c r="N486" s="9" t="str">
        <f>IFERROR(__xludf.DUMMYFUNCTION("""COMPUTED_VALUE"""),"pSZpvip")</f>
        <v>pSZpvip</v>
      </c>
      <c r="O486" s="9"/>
      <c r="P486" s="9"/>
      <c r="Q486" s="9"/>
      <c r="R486" s="9"/>
      <c r="S486" s="42"/>
      <c r="T486" s="42"/>
      <c r="U486" s="42"/>
      <c r="V486" s="42"/>
      <c r="W486" s="42"/>
      <c r="X486" s="42"/>
      <c r="Y486" s="42"/>
      <c r="Z486" s="42"/>
      <c r="AA486" s="42"/>
      <c r="AB486" s="42" t="str">
        <f>IFERROR(__xludf.DUMMYFUNCTION("""COMPUTED_VALUE"""),"allen institute")</f>
        <v>allen institute</v>
      </c>
      <c r="AC486" s="42" t="str">
        <f>IFERROR(__xludf.DUMMYFUNCTION("""COMPUTED_VALUE"""),"DHBA")</f>
        <v>DHBA</v>
      </c>
      <c r="AD486" s="42"/>
      <c r="AE486" s="42"/>
      <c r="AF486" s="9"/>
      <c r="AG486" s="9"/>
      <c r="AH486" s="42"/>
      <c r="AI486" s="42"/>
      <c r="AJ486" s="42"/>
      <c r="AK486" s="42"/>
      <c r="AL486" s="42"/>
      <c r="AM486" s="42"/>
      <c r="AN486" s="42"/>
      <c r="AO486" s="63" t="str">
        <f>IFERROR(__xludf.DUMMYFUNCTION("IF(ISBLANK(A486),,IF(ISBLANK(S486), A486&amp;"";"", TEXTJOIN(CHAR(10), TRUE, A486&amp;"";"", ARRAYFORMULA(VLOOKUP(SPLIT(S486, "";"" &amp; CHAR(10)), $A:$AO, 41, FALSE)))))"),"pSZpvip;")</f>
        <v>pSZpvip;</v>
      </c>
      <c r="AP486" s="89"/>
    </row>
    <row r="487">
      <c r="A487" s="151" t="str">
        <f>IFERROR(__xludf.DUMMYFUNCTION("""COMPUTED_VALUE"""),"tSZ")</f>
        <v>tSZ</v>
      </c>
      <c r="B487" s="42" t="str">
        <f>IFERROR(__xludf.DUMMYFUNCTION("""COMPUTED_VALUE"""),"DHBA")</f>
        <v>DHBA</v>
      </c>
      <c r="C487" s="42" t="str">
        <f>IFERROR(__xludf.DUMMYFUNCTION("""COMPUTED_VALUE"""),"SZ in temporal neocortex")</f>
        <v>SZ in temporal neocortex</v>
      </c>
      <c r="D487" s="42">
        <f>IFERROR(__xludf.DUMMYFUNCTION("""COMPUTED_VALUE"""),453.0)</f>
        <v>453</v>
      </c>
      <c r="E487" s="39" t="str">
        <f>IFERROR(__xludf.DUMMYFUNCTION("""COMPUTED_VALUE"""),"SZ in temporal neocortex")</f>
        <v>SZ in temporal neocortex</v>
      </c>
      <c r="F487" s="9" t="str">
        <f>IFERROR(__xludf.DUMMYFUNCTION("""COMPUTED_VALUE"""),"Br")</f>
        <v>Br</v>
      </c>
      <c r="G487" s="9" t="str">
        <f>IFERROR(__xludf.DUMMYFUNCTION("""COMPUTED_VALUE"""),"F")</f>
        <v>F</v>
      </c>
      <c r="H487" s="9" t="str">
        <f>IFERROR(__xludf.DUMMYFUNCTION("""COMPUTED_VALUE"""),"FGM")</f>
        <v>FGM</v>
      </c>
      <c r="I487" s="9" t="str">
        <f>IFERROR(__xludf.DUMMYFUNCTION("""COMPUTED_VALUE"""),"FTS")</f>
        <v>FTS</v>
      </c>
      <c r="J487" s="9" t="str">
        <f>IFERROR(__xludf.DUMMYFUNCTION("""COMPUTED_VALUE"""),"SZ")</f>
        <v>SZ</v>
      </c>
      <c r="K487" s="9" t="str">
        <f>IFERROR(__xludf.DUMMYFUNCTION("""COMPUTED_VALUE"""),"tSZ")</f>
        <v>tSZ</v>
      </c>
      <c r="L487" s="9"/>
      <c r="M487" s="9"/>
      <c r="N487" s="9"/>
      <c r="O487" s="9"/>
      <c r="P487" s="9"/>
      <c r="Q487" s="9"/>
      <c r="R487" s="9"/>
      <c r="S487" s="42" t="str">
        <f>IFERROR(__xludf.DUMMYFUNCTION("""COMPUTED_VALUE"""),"tSZdl;
tSZvl;
tSZph;
tSZmt;
tSZlt;
tSZtp")</f>
        <v>tSZdl;
tSZvl;
tSZph;
tSZmt;
tSZlt;
tSZtp</v>
      </c>
      <c r="T487" s="42"/>
      <c r="U487" s="159" t="b">
        <f>IFERROR(__xludf.DUMMYFUNCTION("""COMPUTED_VALUE"""),FALSE)</f>
        <v>0</v>
      </c>
      <c r="V487" s="42"/>
      <c r="W487" s="42"/>
      <c r="X487" s="42"/>
      <c r="Y487" s="42"/>
      <c r="Z487" s="42"/>
      <c r="AA487" s="42"/>
      <c r="AB487" s="42" t="str">
        <f>IFERROR(__xludf.DUMMYFUNCTION("""COMPUTED_VALUE"""),"allen institute")</f>
        <v>allen institute</v>
      </c>
      <c r="AC487" s="42" t="str">
        <f>IFERROR(__xludf.DUMMYFUNCTION("""COMPUTED_VALUE"""),"DHBA")</f>
        <v>DHBA</v>
      </c>
      <c r="AD487" s="42"/>
      <c r="AE487" s="42"/>
      <c r="AF487" s="9"/>
      <c r="AG487" s="9"/>
      <c r="AH487" s="42"/>
      <c r="AI487" s="42"/>
      <c r="AJ487" s="42"/>
      <c r="AK487" s="42"/>
      <c r="AL487" s="42"/>
      <c r="AM487" s="42"/>
      <c r="AN487" s="42"/>
      <c r="AO487" s="63" t="str">
        <f>IFERROR(__xludf.DUMMYFUNCTION("IF(ISBLANK(A487),,IF(ISBLANK(S487), A487&amp;"";"", TEXTJOIN(CHAR(10), TRUE, A487&amp;"";"", ARRAYFORMULA(VLOOKUP(SPLIT(S487, "";"" &amp; CHAR(10)), $A:$AO, 41, FALSE)))))"),"tSZ;
tSZdl;
tSZa1;
tSZa1o;
tSZa1op;
tSZa1i;
tSZa1ip;
tSZsl;
tSZslo;
tSZslop;
tSZsli;
tSZslip;
tSZps;
tSZpso;
tSZpsop;
tSZpsi;
tSZpsip;
tSZpi;
tSZpio;
tSZpiop;
tSZpii;
tSZpiip;
tSZvl;
tSZml;
tSZmlo;
tSZmlop;
tSZmli;
tSZmlip;
tSZil;
tSZilo;
tSZilop;
tSZili;"&amp;"
tSZilip;
tSZmi;
tSZ36;
tSZ36o;
tSZ36op;
tSZ36i;
tSZ36ip;
tSZtf;
tSZtfo;
tSZtfop;
tSZtfi;
tSZtfip;
tSZph;
tSZpho;
tSZphop;
tSZphi;
tSZphip;
tSZmt;
tSZmto;
tSZmtop;
tSZmti;
tSZmtip;
tSZlt;
tSZlto;
tSZltop;
tSZlti;
tSZltip;
tSZtp;")</f>
        <v>tSZ;
tSZdl;
tSZa1;
tSZa1o;
tSZa1op;
tSZa1i;
tSZa1ip;
tSZsl;
tSZslo;
tSZslop;
tSZsli;
tSZslip;
tSZps;
tSZpso;
tSZpsop;
tSZpsi;
tSZpsip;
tSZpi;
tSZpio;
tSZpiop;
tSZpii;
tSZpiip;
tSZvl;
tSZml;
tSZmlo;
tSZmlop;
tSZmli;
tSZmlip;
tSZil;
tSZilo;
tSZilop;
tSZili;
tSZilip;
tSZmi;
tSZ36;
tSZ36o;
tSZ36op;
tSZ36i;
tSZ36ip;
tSZtf;
tSZtfo;
tSZtfop;
tSZtfi;
tSZtfip;
tSZph;
tSZpho;
tSZphop;
tSZphi;
tSZphip;
tSZmt;
tSZmto;
tSZmtop;
tSZmti;
tSZmtip;
tSZlt;
tSZlto;
tSZltop;
tSZlti;
tSZltip;
tSZtp;</v>
      </c>
      <c r="AP487" s="89"/>
    </row>
    <row r="488">
      <c r="A488" s="151" t="str">
        <f>IFERROR(__xludf.DUMMYFUNCTION("""COMPUTED_VALUE"""),"tSZdl")</f>
        <v>tSZdl</v>
      </c>
      <c r="B488" s="42" t="str">
        <f>IFERROR(__xludf.DUMMYFUNCTION("""COMPUTED_VALUE"""),"DHBA")</f>
        <v>DHBA</v>
      </c>
      <c r="C488" s="42" t="str">
        <f>IFERROR(__xludf.DUMMYFUNCTION("""COMPUTED_VALUE"""),"SZ in dorsolateral temporal cortex")</f>
        <v>SZ in dorsolateral temporal cortex</v>
      </c>
      <c r="D488" s="42">
        <f>IFERROR(__xludf.DUMMYFUNCTION("""COMPUTED_VALUE"""),454.0)</f>
        <v>454</v>
      </c>
      <c r="E488" s="39" t="str">
        <f>IFERROR(__xludf.DUMMYFUNCTION("""COMPUTED_VALUE"""),"SZ in dorsolateral temporal cortex")</f>
        <v>SZ in dorsolateral temporal cortex</v>
      </c>
      <c r="F488" s="9" t="str">
        <f>IFERROR(__xludf.DUMMYFUNCTION("""COMPUTED_VALUE"""),"Br")</f>
        <v>Br</v>
      </c>
      <c r="G488" s="9" t="str">
        <f>IFERROR(__xludf.DUMMYFUNCTION("""COMPUTED_VALUE"""),"F")</f>
        <v>F</v>
      </c>
      <c r="H488" s="9" t="str">
        <f>IFERROR(__xludf.DUMMYFUNCTION("""COMPUTED_VALUE"""),"FGM")</f>
        <v>FGM</v>
      </c>
      <c r="I488" s="9" t="str">
        <f>IFERROR(__xludf.DUMMYFUNCTION("""COMPUTED_VALUE"""),"FTS")</f>
        <v>FTS</v>
      </c>
      <c r="J488" s="9" t="str">
        <f>IFERROR(__xludf.DUMMYFUNCTION("""COMPUTED_VALUE"""),"SZ")</f>
        <v>SZ</v>
      </c>
      <c r="K488" s="9" t="str">
        <f>IFERROR(__xludf.DUMMYFUNCTION("""COMPUTED_VALUE"""),"tSZ")</f>
        <v>tSZ</v>
      </c>
      <c r="L488" s="9" t="str">
        <f>IFERROR(__xludf.DUMMYFUNCTION("""COMPUTED_VALUE"""),"tSZdl")</f>
        <v>tSZdl</v>
      </c>
      <c r="M488" s="9"/>
      <c r="N488" s="9"/>
      <c r="O488" s="9"/>
      <c r="P488" s="9"/>
      <c r="Q488" s="9"/>
      <c r="R488" s="9"/>
      <c r="S488" s="42" t="str">
        <f>IFERROR(__xludf.DUMMYFUNCTION("""COMPUTED_VALUE"""),"tSZa1;
tSZsl;
tSZps;
tSZpi")</f>
        <v>tSZa1;
tSZsl;
tSZps;
tSZpi</v>
      </c>
      <c r="T488" s="42"/>
      <c r="U488" s="42" t="b">
        <f>IFERROR(__xludf.DUMMYFUNCTION("""COMPUTED_VALUE"""),FALSE)</f>
        <v>0</v>
      </c>
      <c r="V488" s="42"/>
      <c r="W488" s="42"/>
      <c r="X488" s="42"/>
      <c r="Y488" s="42"/>
      <c r="Z488" s="42"/>
      <c r="AA488" s="42"/>
      <c r="AB488" s="42" t="str">
        <f>IFERROR(__xludf.DUMMYFUNCTION("""COMPUTED_VALUE"""),"allen institute")</f>
        <v>allen institute</v>
      </c>
      <c r="AC488" s="42" t="str">
        <f>IFERROR(__xludf.DUMMYFUNCTION("""COMPUTED_VALUE"""),"DHBA")</f>
        <v>DHBA</v>
      </c>
      <c r="AD488" s="42"/>
      <c r="AE488" s="42"/>
      <c r="AF488" s="9"/>
      <c r="AG488" s="9"/>
      <c r="AH488" s="42"/>
      <c r="AI488" s="42"/>
      <c r="AJ488" s="42"/>
      <c r="AK488" s="42"/>
      <c r="AL488" s="42"/>
      <c r="AM488" s="42"/>
      <c r="AN488" s="42"/>
      <c r="AO488" s="63" t="str">
        <f>IFERROR(__xludf.DUMMYFUNCTION("IF(ISBLANK(A488),,IF(ISBLANK(S488), A488&amp;"";"", TEXTJOIN(CHAR(10), TRUE, A488&amp;"";"", ARRAYFORMULA(VLOOKUP(SPLIT(S488, "";"" &amp; CHAR(10)), $A:$AO, 41, FALSE)))))"),"tSZdl;
tSZa1;
tSZa1o;
tSZa1op;
tSZa1i;
tSZa1ip;
tSZsl;
tSZslo;
tSZslop;
tSZsli;
tSZslip;
tSZps;
tSZpso;
tSZpsop;
tSZpsi;
tSZpsip;
tSZpi;
tSZpio;
tSZpiop;
tSZpii;
tSZpiip;")</f>
        <v>tSZdl;
tSZa1;
tSZa1o;
tSZa1op;
tSZa1i;
tSZa1ip;
tSZsl;
tSZslo;
tSZslop;
tSZsli;
tSZslip;
tSZps;
tSZpso;
tSZpsop;
tSZpsi;
tSZpsip;
tSZpi;
tSZpio;
tSZpiop;
tSZpii;
tSZpiip;</v>
      </c>
      <c r="AP488" s="89"/>
    </row>
    <row r="489">
      <c r="A489" s="151" t="str">
        <f>IFERROR(__xludf.DUMMYFUNCTION("""COMPUTED_VALUE"""),"tSZa1")</f>
        <v>tSZa1</v>
      </c>
      <c r="B489" s="42" t="str">
        <f>IFERROR(__xludf.DUMMYFUNCTION("""COMPUTED_VALUE"""),"DHBA")</f>
        <v>DHBA</v>
      </c>
      <c r="C489" s="42" t="str">
        <f>IFERROR(__xludf.DUMMYFUNCTION("""COMPUTED_VALUE"""),"SZ in primary auditory cortex")</f>
        <v>SZ in primary auditory cortex</v>
      </c>
      <c r="D489" s="42">
        <f>IFERROR(__xludf.DUMMYFUNCTION("""COMPUTED_VALUE"""),455.0)</f>
        <v>455</v>
      </c>
      <c r="E489" s="39" t="str">
        <f>IFERROR(__xludf.DUMMYFUNCTION("""COMPUTED_VALUE"""),"SZ in primary auditory cortex")</f>
        <v>SZ in primary auditory cortex</v>
      </c>
      <c r="F489" s="9" t="str">
        <f>IFERROR(__xludf.DUMMYFUNCTION("""COMPUTED_VALUE"""),"Br")</f>
        <v>Br</v>
      </c>
      <c r="G489" s="9" t="str">
        <f>IFERROR(__xludf.DUMMYFUNCTION("""COMPUTED_VALUE"""),"F")</f>
        <v>F</v>
      </c>
      <c r="H489" s="9" t="str">
        <f>IFERROR(__xludf.DUMMYFUNCTION("""COMPUTED_VALUE"""),"FGM")</f>
        <v>FGM</v>
      </c>
      <c r="I489" s="9" t="str">
        <f>IFERROR(__xludf.DUMMYFUNCTION("""COMPUTED_VALUE"""),"FTS")</f>
        <v>FTS</v>
      </c>
      <c r="J489" s="9" t="str">
        <f>IFERROR(__xludf.DUMMYFUNCTION("""COMPUTED_VALUE"""),"SZ")</f>
        <v>SZ</v>
      </c>
      <c r="K489" s="9" t="str">
        <f>IFERROR(__xludf.DUMMYFUNCTION("""COMPUTED_VALUE"""),"tSZ")</f>
        <v>tSZ</v>
      </c>
      <c r="L489" s="9" t="str">
        <f>IFERROR(__xludf.DUMMYFUNCTION("""COMPUTED_VALUE"""),"tSZdl")</f>
        <v>tSZdl</v>
      </c>
      <c r="M489" s="9" t="str">
        <f>IFERROR(__xludf.DUMMYFUNCTION("""COMPUTED_VALUE"""),"tSZa1")</f>
        <v>tSZa1</v>
      </c>
      <c r="N489" s="9"/>
      <c r="O489" s="9"/>
      <c r="P489" s="9"/>
      <c r="Q489" s="9"/>
      <c r="R489" s="9"/>
      <c r="S489" s="42" t="str">
        <f>IFERROR(__xludf.DUMMYFUNCTION("""COMPUTED_VALUE"""),"tSZa1o;
tSZa1i")</f>
        <v>tSZa1o;
tSZa1i</v>
      </c>
      <c r="T489" s="42"/>
      <c r="U489" s="42" t="b">
        <f>IFERROR(__xludf.DUMMYFUNCTION("""COMPUTED_VALUE"""),FALSE)</f>
        <v>0</v>
      </c>
      <c r="V489" s="42"/>
      <c r="W489" s="42"/>
      <c r="X489" s="42"/>
      <c r="Y489" s="42"/>
      <c r="Z489" s="42"/>
      <c r="AA489" s="42"/>
      <c r="AB489" s="42" t="str">
        <f>IFERROR(__xludf.DUMMYFUNCTION("""COMPUTED_VALUE"""),"allen institute")</f>
        <v>allen institute</v>
      </c>
      <c r="AC489" s="42" t="str">
        <f>IFERROR(__xludf.DUMMYFUNCTION("""COMPUTED_VALUE"""),"DHBA")</f>
        <v>DHBA</v>
      </c>
      <c r="AD489" s="42"/>
      <c r="AE489" s="42"/>
      <c r="AF489" s="9"/>
      <c r="AG489" s="9"/>
      <c r="AH489" s="42"/>
      <c r="AI489" s="42"/>
      <c r="AJ489" s="42"/>
      <c r="AK489" s="42"/>
      <c r="AL489" s="42"/>
      <c r="AM489" s="42"/>
      <c r="AN489" s="42"/>
      <c r="AO489" s="63" t="str">
        <f>IFERROR(__xludf.DUMMYFUNCTION("IF(ISBLANK(A489),,IF(ISBLANK(S489), A489&amp;"";"", TEXTJOIN(CHAR(10), TRUE, A489&amp;"";"", ARRAYFORMULA(VLOOKUP(SPLIT(S489, "";"" &amp; CHAR(10)), $A:$AO, 41, FALSE)))))"),"tSZa1;
tSZa1o;
tSZa1op;
tSZa1i;
tSZa1ip;")</f>
        <v>tSZa1;
tSZa1o;
tSZa1op;
tSZa1i;
tSZa1ip;</v>
      </c>
      <c r="AP489" s="89"/>
    </row>
    <row r="490">
      <c r="A490" s="151" t="str">
        <f>IFERROR(__xludf.DUMMYFUNCTION("""COMPUTED_VALUE"""),"tSZa1o")</f>
        <v>tSZa1o</v>
      </c>
      <c r="B490" s="42" t="str">
        <f>IFERROR(__xludf.DUMMYFUNCTION("""COMPUTED_VALUE"""),"DHBA")</f>
        <v>DHBA</v>
      </c>
      <c r="C490" s="42" t="str">
        <f>IFERROR(__xludf.DUMMYFUNCTION("""COMPUTED_VALUE"""),"outer SZ in primary auditory cortex")</f>
        <v>outer SZ in primary auditory cortex</v>
      </c>
      <c r="D490" s="42">
        <f>IFERROR(__xludf.DUMMYFUNCTION("""COMPUTED_VALUE"""),456.0)</f>
        <v>456</v>
      </c>
      <c r="E490" s="39" t="str">
        <f>IFERROR(__xludf.DUMMYFUNCTION("""COMPUTED_VALUE"""),"outer SZ in primary auditory cortex")</f>
        <v>outer SZ in primary auditory cortex</v>
      </c>
      <c r="F490" s="9" t="str">
        <f>IFERROR(__xludf.DUMMYFUNCTION("""COMPUTED_VALUE"""),"Br")</f>
        <v>Br</v>
      </c>
      <c r="G490" s="9" t="str">
        <f>IFERROR(__xludf.DUMMYFUNCTION("""COMPUTED_VALUE"""),"F")</f>
        <v>F</v>
      </c>
      <c r="H490" s="9" t="str">
        <f>IFERROR(__xludf.DUMMYFUNCTION("""COMPUTED_VALUE"""),"FGM")</f>
        <v>FGM</v>
      </c>
      <c r="I490" s="9" t="str">
        <f>IFERROR(__xludf.DUMMYFUNCTION("""COMPUTED_VALUE"""),"FTS")</f>
        <v>FTS</v>
      </c>
      <c r="J490" s="9" t="str">
        <f>IFERROR(__xludf.DUMMYFUNCTION("""COMPUTED_VALUE"""),"SZ")</f>
        <v>SZ</v>
      </c>
      <c r="K490" s="9" t="str">
        <f>IFERROR(__xludf.DUMMYFUNCTION("""COMPUTED_VALUE"""),"tSZ")</f>
        <v>tSZ</v>
      </c>
      <c r="L490" s="9" t="str">
        <f>IFERROR(__xludf.DUMMYFUNCTION("""COMPUTED_VALUE"""),"tSZdl")</f>
        <v>tSZdl</v>
      </c>
      <c r="M490" s="9" t="str">
        <f>IFERROR(__xludf.DUMMYFUNCTION("""COMPUTED_VALUE"""),"tSZa1")</f>
        <v>tSZa1</v>
      </c>
      <c r="N490" s="9" t="str">
        <f>IFERROR(__xludf.DUMMYFUNCTION("""COMPUTED_VALUE"""),"tSZa1o")</f>
        <v>tSZa1o</v>
      </c>
      <c r="O490" s="9"/>
      <c r="P490" s="9"/>
      <c r="Q490" s="9"/>
      <c r="R490" s="9"/>
      <c r="S490" s="42" t="str">
        <f>IFERROR(__xludf.DUMMYFUNCTION("""COMPUTED_VALUE"""),"tSZa1op")</f>
        <v>tSZa1op</v>
      </c>
      <c r="T490" s="42"/>
      <c r="U490" s="42" t="b">
        <f>IFERROR(__xludf.DUMMYFUNCTION("""COMPUTED_VALUE"""),FALSE)</f>
        <v>0</v>
      </c>
      <c r="V490" s="42"/>
      <c r="W490" s="42"/>
      <c r="X490" s="42"/>
      <c r="Y490" s="42"/>
      <c r="Z490" s="42"/>
      <c r="AA490" s="42"/>
      <c r="AB490" s="42" t="str">
        <f>IFERROR(__xludf.DUMMYFUNCTION("""COMPUTED_VALUE"""),"allen institute")</f>
        <v>allen institute</v>
      </c>
      <c r="AC490" s="42" t="str">
        <f>IFERROR(__xludf.DUMMYFUNCTION("""COMPUTED_VALUE"""),"DHBA")</f>
        <v>DHBA</v>
      </c>
      <c r="AD490" s="42"/>
      <c r="AE490" s="42"/>
      <c r="AF490" s="9"/>
      <c r="AG490" s="9"/>
      <c r="AH490" s="42"/>
      <c r="AI490" s="42"/>
      <c r="AJ490" s="42"/>
      <c r="AK490" s="42"/>
      <c r="AL490" s="42"/>
      <c r="AM490" s="42"/>
      <c r="AN490" s="42"/>
      <c r="AO490" s="63" t="str">
        <f>IFERROR(__xludf.DUMMYFUNCTION("IF(ISBLANK(A490),,IF(ISBLANK(S490), A490&amp;"";"", TEXTJOIN(CHAR(10), TRUE, A490&amp;"";"", ARRAYFORMULA(VLOOKUP(SPLIT(S490, "";"" &amp; CHAR(10)), $A:$AO, 41, FALSE)))))"),"tSZa1o;
tSZa1op;")</f>
        <v>tSZa1o;
tSZa1op;</v>
      </c>
      <c r="AP490" s="89"/>
    </row>
    <row r="491">
      <c r="A491" s="151" t="str">
        <f>IFERROR(__xludf.DUMMYFUNCTION("""COMPUTED_VALUE"""),"tSZa1op")</f>
        <v>tSZa1op</v>
      </c>
      <c r="B491" s="42" t="str">
        <f>IFERROR(__xludf.DUMMYFUNCTION("""COMPUTED_VALUE"""),"DHBA")</f>
        <v>DHBA</v>
      </c>
      <c r="C491" s="42" t="str">
        <f>IFERROR(__xludf.DUMMYFUNCTION("""COMPUTED_VALUE"""),"outer plexiform zone in primary auditory cortex")</f>
        <v>outer plexiform zone in primary auditory cortex</v>
      </c>
      <c r="D491" s="42">
        <f>IFERROR(__xludf.DUMMYFUNCTION("""COMPUTED_VALUE"""),457.0)</f>
        <v>457</v>
      </c>
      <c r="E491" s="39" t="str">
        <f>IFERROR(__xludf.DUMMYFUNCTION("""COMPUTED_VALUE"""),"outer plexiform zone in primary auditory cortex")</f>
        <v>outer plexiform zone in primary auditory cortex</v>
      </c>
      <c r="F491" s="9" t="str">
        <f>IFERROR(__xludf.DUMMYFUNCTION("""COMPUTED_VALUE"""),"Br")</f>
        <v>Br</v>
      </c>
      <c r="G491" s="9" t="str">
        <f>IFERROR(__xludf.DUMMYFUNCTION("""COMPUTED_VALUE"""),"F")</f>
        <v>F</v>
      </c>
      <c r="H491" s="9" t="str">
        <f>IFERROR(__xludf.DUMMYFUNCTION("""COMPUTED_VALUE"""),"FGM")</f>
        <v>FGM</v>
      </c>
      <c r="I491" s="9" t="str">
        <f>IFERROR(__xludf.DUMMYFUNCTION("""COMPUTED_VALUE"""),"FTS")</f>
        <v>FTS</v>
      </c>
      <c r="J491" s="9" t="str">
        <f>IFERROR(__xludf.DUMMYFUNCTION("""COMPUTED_VALUE"""),"SZ")</f>
        <v>SZ</v>
      </c>
      <c r="K491" s="9" t="str">
        <f>IFERROR(__xludf.DUMMYFUNCTION("""COMPUTED_VALUE"""),"tSZ")</f>
        <v>tSZ</v>
      </c>
      <c r="L491" s="9" t="str">
        <f>IFERROR(__xludf.DUMMYFUNCTION("""COMPUTED_VALUE"""),"tSZdl")</f>
        <v>tSZdl</v>
      </c>
      <c r="M491" s="9" t="str">
        <f>IFERROR(__xludf.DUMMYFUNCTION("""COMPUTED_VALUE"""),"tSZa1")</f>
        <v>tSZa1</v>
      </c>
      <c r="N491" s="9" t="str">
        <f>IFERROR(__xludf.DUMMYFUNCTION("""COMPUTED_VALUE"""),"tSZa1o")</f>
        <v>tSZa1o</v>
      </c>
      <c r="O491" s="9" t="str">
        <f>IFERROR(__xludf.DUMMYFUNCTION("""COMPUTED_VALUE"""),"tSZa1op")</f>
        <v>tSZa1op</v>
      </c>
      <c r="P491" s="9"/>
      <c r="Q491" s="9"/>
      <c r="R491" s="9"/>
      <c r="S491" s="42"/>
      <c r="T491" s="42"/>
      <c r="U491" s="42"/>
      <c r="V491" s="42"/>
      <c r="W491" s="42"/>
      <c r="X491" s="42"/>
      <c r="Y491" s="42"/>
      <c r="Z491" s="42"/>
      <c r="AA491" s="42"/>
      <c r="AB491" s="42" t="str">
        <f>IFERROR(__xludf.DUMMYFUNCTION("""COMPUTED_VALUE"""),"allen institute")</f>
        <v>allen institute</v>
      </c>
      <c r="AC491" s="42" t="str">
        <f>IFERROR(__xludf.DUMMYFUNCTION("""COMPUTED_VALUE"""),"DHBA")</f>
        <v>DHBA</v>
      </c>
      <c r="AD491" s="42"/>
      <c r="AE491" s="42"/>
      <c r="AF491" s="9"/>
      <c r="AG491" s="9"/>
      <c r="AH491" s="42"/>
      <c r="AI491" s="42"/>
      <c r="AJ491" s="42"/>
      <c r="AK491" s="42"/>
      <c r="AL491" s="42"/>
      <c r="AM491" s="42"/>
      <c r="AN491" s="42"/>
      <c r="AO491" s="63" t="str">
        <f>IFERROR(__xludf.DUMMYFUNCTION("IF(ISBLANK(A491),,IF(ISBLANK(S491), A491&amp;"";"", TEXTJOIN(CHAR(10), TRUE, A491&amp;"";"", ARRAYFORMULA(VLOOKUP(SPLIT(S491, "";"" &amp; CHAR(10)), $A:$AO, 41, FALSE)))))"),"tSZa1op;")</f>
        <v>tSZa1op;</v>
      </c>
      <c r="AP491" s="89"/>
    </row>
    <row r="492">
      <c r="A492" s="151" t="str">
        <f>IFERROR(__xludf.DUMMYFUNCTION("""COMPUTED_VALUE"""),"tSZa1i")</f>
        <v>tSZa1i</v>
      </c>
      <c r="B492" s="42" t="str">
        <f>IFERROR(__xludf.DUMMYFUNCTION("""COMPUTED_VALUE"""),"DHBA")</f>
        <v>DHBA</v>
      </c>
      <c r="C492" s="42" t="str">
        <f>IFERROR(__xludf.DUMMYFUNCTION("""COMPUTED_VALUE"""),"inner SZ in primary auditory cortex")</f>
        <v>inner SZ in primary auditory cortex</v>
      </c>
      <c r="D492" s="42">
        <f>IFERROR(__xludf.DUMMYFUNCTION("""COMPUTED_VALUE"""),458.0)</f>
        <v>458</v>
      </c>
      <c r="E492" s="39" t="str">
        <f>IFERROR(__xludf.DUMMYFUNCTION("""COMPUTED_VALUE"""),"inner SZ in primary auditory cortex")</f>
        <v>inner SZ in primary auditory cortex</v>
      </c>
      <c r="F492" s="9" t="str">
        <f>IFERROR(__xludf.DUMMYFUNCTION("""COMPUTED_VALUE"""),"Br")</f>
        <v>Br</v>
      </c>
      <c r="G492" s="9" t="str">
        <f>IFERROR(__xludf.DUMMYFUNCTION("""COMPUTED_VALUE"""),"F")</f>
        <v>F</v>
      </c>
      <c r="H492" s="9" t="str">
        <f>IFERROR(__xludf.DUMMYFUNCTION("""COMPUTED_VALUE"""),"FGM")</f>
        <v>FGM</v>
      </c>
      <c r="I492" s="9" t="str">
        <f>IFERROR(__xludf.DUMMYFUNCTION("""COMPUTED_VALUE"""),"FTS")</f>
        <v>FTS</v>
      </c>
      <c r="J492" s="9" t="str">
        <f>IFERROR(__xludf.DUMMYFUNCTION("""COMPUTED_VALUE"""),"SZ")</f>
        <v>SZ</v>
      </c>
      <c r="K492" s="9" t="str">
        <f>IFERROR(__xludf.DUMMYFUNCTION("""COMPUTED_VALUE"""),"tSZ")</f>
        <v>tSZ</v>
      </c>
      <c r="L492" s="9" t="str">
        <f>IFERROR(__xludf.DUMMYFUNCTION("""COMPUTED_VALUE"""),"tSZdl")</f>
        <v>tSZdl</v>
      </c>
      <c r="M492" s="9" t="str">
        <f>IFERROR(__xludf.DUMMYFUNCTION("""COMPUTED_VALUE"""),"tSZa1")</f>
        <v>tSZa1</v>
      </c>
      <c r="N492" s="9" t="str">
        <f>IFERROR(__xludf.DUMMYFUNCTION("""COMPUTED_VALUE"""),"tSZa1i")</f>
        <v>tSZa1i</v>
      </c>
      <c r="O492" s="9"/>
      <c r="P492" s="9"/>
      <c r="Q492" s="9"/>
      <c r="R492" s="9"/>
      <c r="S492" s="42" t="str">
        <f>IFERROR(__xludf.DUMMYFUNCTION("""COMPUTED_VALUE"""),"tSZa1ip")</f>
        <v>tSZa1ip</v>
      </c>
      <c r="T492" s="42"/>
      <c r="U492" s="42" t="b">
        <f>IFERROR(__xludf.DUMMYFUNCTION("""COMPUTED_VALUE"""),FALSE)</f>
        <v>0</v>
      </c>
      <c r="V492" s="42"/>
      <c r="W492" s="42"/>
      <c r="X492" s="42"/>
      <c r="Y492" s="42"/>
      <c r="Z492" s="42"/>
      <c r="AA492" s="42"/>
      <c r="AB492" s="42" t="str">
        <f>IFERROR(__xludf.DUMMYFUNCTION("""COMPUTED_VALUE"""),"allen institute")</f>
        <v>allen institute</v>
      </c>
      <c r="AC492" s="42" t="str">
        <f>IFERROR(__xludf.DUMMYFUNCTION("""COMPUTED_VALUE"""),"DHBA")</f>
        <v>DHBA</v>
      </c>
      <c r="AD492" s="42"/>
      <c r="AE492" s="42"/>
      <c r="AF492" s="9"/>
      <c r="AG492" s="9"/>
      <c r="AH492" s="42"/>
      <c r="AI492" s="42"/>
      <c r="AJ492" s="42"/>
      <c r="AK492" s="42"/>
      <c r="AL492" s="42"/>
      <c r="AM492" s="42"/>
      <c r="AN492" s="42"/>
      <c r="AO492" s="63" t="str">
        <f>IFERROR(__xludf.DUMMYFUNCTION("IF(ISBLANK(A492),,IF(ISBLANK(S492), A492&amp;"";"", TEXTJOIN(CHAR(10), TRUE, A492&amp;"";"", ARRAYFORMULA(VLOOKUP(SPLIT(S492, "";"" &amp; CHAR(10)), $A:$AO, 41, FALSE)))))"),"tSZa1i;
tSZa1ip;")</f>
        <v>tSZa1i;
tSZa1ip;</v>
      </c>
      <c r="AP492" s="89"/>
    </row>
    <row r="493">
      <c r="A493" s="151" t="str">
        <f>IFERROR(__xludf.DUMMYFUNCTION("""COMPUTED_VALUE"""),"tSZa1ip")</f>
        <v>tSZa1ip</v>
      </c>
      <c r="B493" s="42" t="str">
        <f>IFERROR(__xludf.DUMMYFUNCTION("""COMPUTED_VALUE"""),"DHBA")</f>
        <v>DHBA</v>
      </c>
      <c r="C493" s="42" t="str">
        <f>IFERROR(__xludf.DUMMYFUNCTION("""COMPUTED_VALUE"""),"inner plexiform zone in primary auditory cortex")</f>
        <v>inner plexiform zone in primary auditory cortex</v>
      </c>
      <c r="D493" s="42">
        <f>IFERROR(__xludf.DUMMYFUNCTION("""COMPUTED_VALUE"""),459.0)</f>
        <v>459</v>
      </c>
      <c r="E493" s="39" t="str">
        <f>IFERROR(__xludf.DUMMYFUNCTION("""COMPUTED_VALUE"""),"inner plexiform zone in primary auditory cortex")</f>
        <v>inner plexiform zone in primary auditory cortex</v>
      </c>
      <c r="F493" s="9" t="str">
        <f>IFERROR(__xludf.DUMMYFUNCTION("""COMPUTED_VALUE"""),"Br")</f>
        <v>Br</v>
      </c>
      <c r="G493" s="9" t="str">
        <f>IFERROR(__xludf.DUMMYFUNCTION("""COMPUTED_VALUE"""),"F")</f>
        <v>F</v>
      </c>
      <c r="H493" s="9" t="str">
        <f>IFERROR(__xludf.DUMMYFUNCTION("""COMPUTED_VALUE"""),"FGM")</f>
        <v>FGM</v>
      </c>
      <c r="I493" s="9" t="str">
        <f>IFERROR(__xludf.DUMMYFUNCTION("""COMPUTED_VALUE"""),"FTS")</f>
        <v>FTS</v>
      </c>
      <c r="J493" s="9" t="str">
        <f>IFERROR(__xludf.DUMMYFUNCTION("""COMPUTED_VALUE"""),"SZ")</f>
        <v>SZ</v>
      </c>
      <c r="K493" s="9" t="str">
        <f>IFERROR(__xludf.DUMMYFUNCTION("""COMPUTED_VALUE"""),"tSZ")</f>
        <v>tSZ</v>
      </c>
      <c r="L493" s="9" t="str">
        <f>IFERROR(__xludf.DUMMYFUNCTION("""COMPUTED_VALUE"""),"tSZdl")</f>
        <v>tSZdl</v>
      </c>
      <c r="M493" s="9" t="str">
        <f>IFERROR(__xludf.DUMMYFUNCTION("""COMPUTED_VALUE"""),"tSZa1")</f>
        <v>tSZa1</v>
      </c>
      <c r="N493" s="9" t="str">
        <f>IFERROR(__xludf.DUMMYFUNCTION("""COMPUTED_VALUE"""),"tSZa1i")</f>
        <v>tSZa1i</v>
      </c>
      <c r="O493" s="9" t="str">
        <f>IFERROR(__xludf.DUMMYFUNCTION("""COMPUTED_VALUE"""),"tSZa1ip")</f>
        <v>tSZa1ip</v>
      </c>
      <c r="P493" s="9"/>
      <c r="Q493" s="9"/>
      <c r="R493" s="9"/>
      <c r="S493" s="42"/>
      <c r="T493" s="42"/>
      <c r="U493" s="42"/>
      <c r="V493" s="42"/>
      <c r="W493" s="42"/>
      <c r="X493" s="42"/>
      <c r="Y493" s="42"/>
      <c r="Z493" s="42"/>
      <c r="AA493" s="42"/>
      <c r="AB493" s="42" t="str">
        <f>IFERROR(__xludf.DUMMYFUNCTION("""COMPUTED_VALUE"""),"allen institute")</f>
        <v>allen institute</v>
      </c>
      <c r="AC493" s="42" t="str">
        <f>IFERROR(__xludf.DUMMYFUNCTION("""COMPUTED_VALUE"""),"DHBA")</f>
        <v>DHBA</v>
      </c>
      <c r="AD493" s="42"/>
      <c r="AE493" s="42"/>
      <c r="AF493" s="9"/>
      <c r="AG493" s="9"/>
      <c r="AH493" s="42"/>
      <c r="AI493" s="42"/>
      <c r="AJ493" s="42"/>
      <c r="AK493" s="42"/>
      <c r="AL493" s="42"/>
      <c r="AM493" s="42"/>
      <c r="AN493" s="42"/>
      <c r="AO493" s="63" t="str">
        <f>IFERROR(__xludf.DUMMYFUNCTION("IF(ISBLANK(A493),,IF(ISBLANK(S493), A493&amp;"";"", TEXTJOIN(CHAR(10), TRUE, A493&amp;"";"", ARRAYFORMULA(VLOOKUP(SPLIT(S493, "";"" &amp; CHAR(10)), $A:$AO, 41, FALSE)))))"),"tSZa1ip;")</f>
        <v>tSZa1ip;</v>
      </c>
      <c r="AP493" s="89"/>
    </row>
    <row r="494">
      <c r="A494" s="151" t="str">
        <f>IFERROR(__xludf.DUMMYFUNCTION("""COMPUTED_VALUE"""),"tSZsl")</f>
        <v>tSZsl</v>
      </c>
      <c r="B494" s="42" t="str">
        <f>IFERROR(__xludf.DUMMYFUNCTION("""COMPUTED_VALUE"""),"DHBA")</f>
        <v>DHBA</v>
      </c>
      <c r="C494" s="42" t="str">
        <f>IFERROR(__xludf.DUMMYFUNCTION("""COMPUTED_VALUE"""),"SZ in superolateral temporal cortex")</f>
        <v>SZ in superolateral temporal cortex</v>
      </c>
      <c r="D494" s="42">
        <f>IFERROR(__xludf.DUMMYFUNCTION("""COMPUTED_VALUE"""),460.0)</f>
        <v>460</v>
      </c>
      <c r="E494" s="39" t="str">
        <f>IFERROR(__xludf.DUMMYFUNCTION("""COMPUTED_VALUE"""),"SZ in superolateral temporal cortex")</f>
        <v>SZ in superolateral temporal cortex</v>
      </c>
      <c r="F494" s="9" t="str">
        <f>IFERROR(__xludf.DUMMYFUNCTION("""COMPUTED_VALUE"""),"Br")</f>
        <v>Br</v>
      </c>
      <c r="G494" s="9" t="str">
        <f>IFERROR(__xludf.DUMMYFUNCTION("""COMPUTED_VALUE"""),"F")</f>
        <v>F</v>
      </c>
      <c r="H494" s="9" t="str">
        <f>IFERROR(__xludf.DUMMYFUNCTION("""COMPUTED_VALUE"""),"FGM")</f>
        <v>FGM</v>
      </c>
      <c r="I494" s="9" t="str">
        <f>IFERROR(__xludf.DUMMYFUNCTION("""COMPUTED_VALUE"""),"FTS")</f>
        <v>FTS</v>
      </c>
      <c r="J494" s="9" t="str">
        <f>IFERROR(__xludf.DUMMYFUNCTION("""COMPUTED_VALUE"""),"SZ")</f>
        <v>SZ</v>
      </c>
      <c r="K494" s="9" t="str">
        <f>IFERROR(__xludf.DUMMYFUNCTION("""COMPUTED_VALUE"""),"tSZ")</f>
        <v>tSZ</v>
      </c>
      <c r="L494" s="9" t="str">
        <f>IFERROR(__xludf.DUMMYFUNCTION("""COMPUTED_VALUE"""),"tSZdl")</f>
        <v>tSZdl</v>
      </c>
      <c r="M494" s="9" t="str">
        <f>IFERROR(__xludf.DUMMYFUNCTION("""COMPUTED_VALUE"""),"tSZsl")</f>
        <v>tSZsl</v>
      </c>
      <c r="N494" s="9"/>
      <c r="O494" s="9"/>
      <c r="P494" s="9"/>
      <c r="Q494" s="9"/>
      <c r="R494" s="9"/>
      <c r="S494" s="42" t="str">
        <f>IFERROR(__xludf.DUMMYFUNCTION("""COMPUTED_VALUE"""),"tSZslo;
tSZsli")</f>
        <v>tSZslo;
tSZsli</v>
      </c>
      <c r="T494" s="42"/>
      <c r="U494" s="159" t="b">
        <f>IFERROR(__xludf.DUMMYFUNCTION("""COMPUTED_VALUE"""),FALSE)</f>
        <v>0</v>
      </c>
      <c r="V494" s="42"/>
      <c r="W494" s="42"/>
      <c r="X494" s="42"/>
      <c r="Y494" s="42"/>
      <c r="Z494" s="42"/>
      <c r="AA494" s="42"/>
      <c r="AB494" s="42" t="str">
        <f>IFERROR(__xludf.DUMMYFUNCTION("""COMPUTED_VALUE"""),"allen institute")</f>
        <v>allen institute</v>
      </c>
      <c r="AC494" s="42" t="str">
        <f>IFERROR(__xludf.DUMMYFUNCTION("""COMPUTED_VALUE"""),"DHBA")</f>
        <v>DHBA</v>
      </c>
      <c r="AD494" s="42"/>
      <c r="AE494" s="42"/>
      <c r="AF494" s="9"/>
      <c r="AG494" s="9"/>
      <c r="AH494" s="42"/>
      <c r="AI494" s="42"/>
      <c r="AJ494" s="42"/>
      <c r="AK494" s="42"/>
      <c r="AL494" s="42"/>
      <c r="AM494" s="42"/>
      <c r="AN494" s="42"/>
      <c r="AO494" s="63" t="str">
        <f>IFERROR(__xludf.DUMMYFUNCTION("IF(ISBLANK(A494),,IF(ISBLANK(S494), A494&amp;"";"", TEXTJOIN(CHAR(10), TRUE, A494&amp;"";"", ARRAYFORMULA(VLOOKUP(SPLIT(S494, "";"" &amp; CHAR(10)), $A:$AO, 41, FALSE)))))"),"tSZsl;
tSZslo;
tSZslop;
tSZsli;
tSZslip;")</f>
        <v>tSZsl;
tSZslo;
tSZslop;
tSZsli;
tSZslip;</v>
      </c>
      <c r="AP494" s="89"/>
    </row>
    <row r="495">
      <c r="A495" s="151" t="str">
        <f>IFERROR(__xludf.DUMMYFUNCTION("""COMPUTED_VALUE"""),"tSZslo")</f>
        <v>tSZslo</v>
      </c>
      <c r="B495" s="42" t="str">
        <f>IFERROR(__xludf.DUMMYFUNCTION("""COMPUTED_VALUE"""),"DHBA")</f>
        <v>DHBA</v>
      </c>
      <c r="C495" s="42" t="str">
        <f>IFERROR(__xludf.DUMMYFUNCTION("""COMPUTED_VALUE"""),"outer SZ in superolateral temporal cortex")</f>
        <v>outer SZ in superolateral temporal cortex</v>
      </c>
      <c r="D495" s="42">
        <f>IFERROR(__xludf.DUMMYFUNCTION("""COMPUTED_VALUE"""),461.0)</f>
        <v>461</v>
      </c>
      <c r="E495" s="39" t="str">
        <f>IFERROR(__xludf.DUMMYFUNCTION("""COMPUTED_VALUE"""),"outer SZ in superolateral temporal cortex")</f>
        <v>outer SZ in superolateral temporal cortex</v>
      </c>
      <c r="F495" s="9" t="str">
        <f>IFERROR(__xludf.DUMMYFUNCTION("""COMPUTED_VALUE"""),"Br")</f>
        <v>Br</v>
      </c>
      <c r="G495" s="9" t="str">
        <f>IFERROR(__xludf.DUMMYFUNCTION("""COMPUTED_VALUE"""),"F")</f>
        <v>F</v>
      </c>
      <c r="H495" s="9" t="str">
        <f>IFERROR(__xludf.DUMMYFUNCTION("""COMPUTED_VALUE"""),"FGM")</f>
        <v>FGM</v>
      </c>
      <c r="I495" s="9" t="str">
        <f>IFERROR(__xludf.DUMMYFUNCTION("""COMPUTED_VALUE"""),"FTS")</f>
        <v>FTS</v>
      </c>
      <c r="J495" s="9" t="str">
        <f>IFERROR(__xludf.DUMMYFUNCTION("""COMPUTED_VALUE"""),"SZ")</f>
        <v>SZ</v>
      </c>
      <c r="K495" s="9" t="str">
        <f>IFERROR(__xludf.DUMMYFUNCTION("""COMPUTED_VALUE"""),"tSZ")</f>
        <v>tSZ</v>
      </c>
      <c r="L495" s="9" t="str">
        <f>IFERROR(__xludf.DUMMYFUNCTION("""COMPUTED_VALUE"""),"tSZdl")</f>
        <v>tSZdl</v>
      </c>
      <c r="M495" s="9" t="str">
        <f>IFERROR(__xludf.DUMMYFUNCTION("""COMPUTED_VALUE"""),"tSZsl")</f>
        <v>tSZsl</v>
      </c>
      <c r="N495" s="9" t="str">
        <f>IFERROR(__xludf.DUMMYFUNCTION("""COMPUTED_VALUE"""),"tSZslo")</f>
        <v>tSZslo</v>
      </c>
      <c r="O495" s="9"/>
      <c r="P495" s="9"/>
      <c r="Q495" s="9"/>
      <c r="R495" s="9"/>
      <c r="S495" s="42" t="str">
        <f>IFERROR(__xludf.DUMMYFUNCTION("""COMPUTED_VALUE"""),"tSZslop")</f>
        <v>tSZslop</v>
      </c>
      <c r="T495" s="42"/>
      <c r="U495" s="159" t="b">
        <f>IFERROR(__xludf.DUMMYFUNCTION("""COMPUTED_VALUE"""),FALSE)</f>
        <v>0</v>
      </c>
      <c r="V495" s="42"/>
      <c r="W495" s="42"/>
      <c r="X495" s="42"/>
      <c r="Y495" s="42"/>
      <c r="Z495" s="42"/>
      <c r="AA495" s="42"/>
      <c r="AB495" s="42" t="str">
        <f>IFERROR(__xludf.DUMMYFUNCTION("""COMPUTED_VALUE"""),"allen institute")</f>
        <v>allen institute</v>
      </c>
      <c r="AC495" s="42" t="str">
        <f>IFERROR(__xludf.DUMMYFUNCTION("""COMPUTED_VALUE"""),"DHBA")</f>
        <v>DHBA</v>
      </c>
      <c r="AD495" s="42"/>
      <c r="AE495" s="42"/>
      <c r="AF495" s="9"/>
      <c r="AG495" s="9"/>
      <c r="AH495" s="42"/>
      <c r="AI495" s="42"/>
      <c r="AJ495" s="42"/>
      <c r="AK495" s="42"/>
      <c r="AL495" s="42"/>
      <c r="AM495" s="42"/>
      <c r="AN495" s="42"/>
      <c r="AO495" s="63" t="str">
        <f>IFERROR(__xludf.DUMMYFUNCTION("IF(ISBLANK(A495),,IF(ISBLANK(S495), A495&amp;"";"", TEXTJOIN(CHAR(10), TRUE, A495&amp;"";"", ARRAYFORMULA(VLOOKUP(SPLIT(S495, "";"" &amp; CHAR(10)), $A:$AO, 41, FALSE)))))"),"tSZslo;
tSZslop;")</f>
        <v>tSZslo;
tSZslop;</v>
      </c>
      <c r="AP495" s="89"/>
    </row>
    <row r="496">
      <c r="A496" s="151" t="str">
        <f>IFERROR(__xludf.DUMMYFUNCTION("""COMPUTED_VALUE"""),"tSZslop")</f>
        <v>tSZslop</v>
      </c>
      <c r="B496" s="42" t="str">
        <f>IFERROR(__xludf.DUMMYFUNCTION("""COMPUTED_VALUE"""),"DHBA")</f>
        <v>DHBA</v>
      </c>
      <c r="C496" s="42" t="str">
        <f>IFERROR(__xludf.DUMMYFUNCTION("""COMPUTED_VALUE"""),"outer plexiform zone in superolateral temporal cortex")</f>
        <v>outer plexiform zone in superolateral temporal cortex</v>
      </c>
      <c r="D496" s="42">
        <f>IFERROR(__xludf.DUMMYFUNCTION("""COMPUTED_VALUE"""),462.0)</f>
        <v>462</v>
      </c>
      <c r="E496" s="39" t="str">
        <f>IFERROR(__xludf.DUMMYFUNCTION("""COMPUTED_VALUE"""),"outer plexiform zone in superolateral temporal cortex")</f>
        <v>outer plexiform zone in superolateral temporal cortex</v>
      </c>
      <c r="F496" s="9" t="str">
        <f>IFERROR(__xludf.DUMMYFUNCTION("""COMPUTED_VALUE"""),"Br")</f>
        <v>Br</v>
      </c>
      <c r="G496" s="9" t="str">
        <f>IFERROR(__xludf.DUMMYFUNCTION("""COMPUTED_VALUE"""),"F")</f>
        <v>F</v>
      </c>
      <c r="H496" s="9" t="str">
        <f>IFERROR(__xludf.DUMMYFUNCTION("""COMPUTED_VALUE"""),"FGM")</f>
        <v>FGM</v>
      </c>
      <c r="I496" s="9" t="str">
        <f>IFERROR(__xludf.DUMMYFUNCTION("""COMPUTED_VALUE"""),"FTS")</f>
        <v>FTS</v>
      </c>
      <c r="J496" s="9" t="str">
        <f>IFERROR(__xludf.DUMMYFUNCTION("""COMPUTED_VALUE"""),"SZ")</f>
        <v>SZ</v>
      </c>
      <c r="K496" s="9" t="str">
        <f>IFERROR(__xludf.DUMMYFUNCTION("""COMPUTED_VALUE"""),"tSZ")</f>
        <v>tSZ</v>
      </c>
      <c r="L496" s="9" t="str">
        <f>IFERROR(__xludf.DUMMYFUNCTION("""COMPUTED_VALUE"""),"tSZdl")</f>
        <v>tSZdl</v>
      </c>
      <c r="M496" s="9" t="str">
        <f>IFERROR(__xludf.DUMMYFUNCTION("""COMPUTED_VALUE"""),"tSZsl")</f>
        <v>tSZsl</v>
      </c>
      <c r="N496" s="9" t="str">
        <f>IFERROR(__xludf.DUMMYFUNCTION("""COMPUTED_VALUE"""),"tSZslo")</f>
        <v>tSZslo</v>
      </c>
      <c r="O496" s="9" t="str">
        <f>IFERROR(__xludf.DUMMYFUNCTION("""COMPUTED_VALUE"""),"tSZslop")</f>
        <v>tSZslop</v>
      </c>
      <c r="P496" s="9"/>
      <c r="Q496" s="9"/>
      <c r="R496" s="9"/>
      <c r="S496" s="42"/>
      <c r="T496" s="42"/>
      <c r="U496" s="159"/>
      <c r="V496" s="42"/>
      <c r="W496" s="42"/>
      <c r="X496" s="42"/>
      <c r="Y496" s="42"/>
      <c r="Z496" s="42"/>
      <c r="AA496" s="42"/>
      <c r="AB496" s="42" t="str">
        <f>IFERROR(__xludf.DUMMYFUNCTION("""COMPUTED_VALUE"""),"allen institute")</f>
        <v>allen institute</v>
      </c>
      <c r="AC496" s="42" t="str">
        <f>IFERROR(__xludf.DUMMYFUNCTION("""COMPUTED_VALUE"""),"DHBA")</f>
        <v>DHBA</v>
      </c>
      <c r="AD496" s="42"/>
      <c r="AE496" s="42"/>
      <c r="AF496" s="9"/>
      <c r="AG496" s="9"/>
      <c r="AH496" s="42"/>
      <c r="AI496" s="42"/>
      <c r="AJ496" s="42"/>
      <c r="AK496" s="42"/>
      <c r="AL496" s="42"/>
      <c r="AM496" s="42"/>
      <c r="AN496" s="42"/>
      <c r="AO496" s="63" t="str">
        <f>IFERROR(__xludf.DUMMYFUNCTION("IF(ISBLANK(A496),,IF(ISBLANK(S496), A496&amp;"";"", TEXTJOIN(CHAR(10), TRUE, A496&amp;"";"", ARRAYFORMULA(VLOOKUP(SPLIT(S496, "";"" &amp; CHAR(10)), $A:$AO, 41, FALSE)))))"),"tSZslop;")</f>
        <v>tSZslop;</v>
      </c>
      <c r="AP496" s="89"/>
    </row>
    <row r="497">
      <c r="A497" s="151" t="str">
        <f>IFERROR(__xludf.DUMMYFUNCTION("""COMPUTED_VALUE"""),"tSZsli")</f>
        <v>tSZsli</v>
      </c>
      <c r="B497" s="42" t="str">
        <f>IFERROR(__xludf.DUMMYFUNCTION("""COMPUTED_VALUE"""),"DHBA")</f>
        <v>DHBA</v>
      </c>
      <c r="C497" s="42" t="str">
        <f>IFERROR(__xludf.DUMMYFUNCTION("""COMPUTED_VALUE"""),"inner SZ in superolateral temporal cortex")</f>
        <v>inner SZ in superolateral temporal cortex</v>
      </c>
      <c r="D497" s="42">
        <f>IFERROR(__xludf.DUMMYFUNCTION("""COMPUTED_VALUE"""),463.0)</f>
        <v>463</v>
      </c>
      <c r="E497" s="39" t="str">
        <f>IFERROR(__xludf.DUMMYFUNCTION("""COMPUTED_VALUE"""),"inner SZ in superolateral temporal cortex")</f>
        <v>inner SZ in superolateral temporal cortex</v>
      </c>
      <c r="F497" s="9" t="str">
        <f>IFERROR(__xludf.DUMMYFUNCTION("""COMPUTED_VALUE"""),"Br")</f>
        <v>Br</v>
      </c>
      <c r="G497" s="9" t="str">
        <f>IFERROR(__xludf.DUMMYFUNCTION("""COMPUTED_VALUE"""),"F")</f>
        <v>F</v>
      </c>
      <c r="H497" s="9" t="str">
        <f>IFERROR(__xludf.DUMMYFUNCTION("""COMPUTED_VALUE"""),"FGM")</f>
        <v>FGM</v>
      </c>
      <c r="I497" s="9" t="str">
        <f>IFERROR(__xludf.DUMMYFUNCTION("""COMPUTED_VALUE"""),"FTS")</f>
        <v>FTS</v>
      </c>
      <c r="J497" s="9" t="str">
        <f>IFERROR(__xludf.DUMMYFUNCTION("""COMPUTED_VALUE"""),"SZ")</f>
        <v>SZ</v>
      </c>
      <c r="K497" s="9" t="str">
        <f>IFERROR(__xludf.DUMMYFUNCTION("""COMPUTED_VALUE"""),"tSZ")</f>
        <v>tSZ</v>
      </c>
      <c r="L497" s="9" t="str">
        <f>IFERROR(__xludf.DUMMYFUNCTION("""COMPUTED_VALUE"""),"tSZdl")</f>
        <v>tSZdl</v>
      </c>
      <c r="M497" s="9" t="str">
        <f>IFERROR(__xludf.DUMMYFUNCTION("""COMPUTED_VALUE"""),"tSZsl")</f>
        <v>tSZsl</v>
      </c>
      <c r="N497" s="9" t="str">
        <f>IFERROR(__xludf.DUMMYFUNCTION("""COMPUTED_VALUE"""),"tSZsli")</f>
        <v>tSZsli</v>
      </c>
      <c r="O497" s="9"/>
      <c r="P497" s="9"/>
      <c r="Q497" s="9"/>
      <c r="R497" s="9"/>
      <c r="S497" s="42" t="str">
        <f>IFERROR(__xludf.DUMMYFUNCTION("""COMPUTED_VALUE"""),"tSZslip")</f>
        <v>tSZslip</v>
      </c>
      <c r="T497" s="42"/>
      <c r="U497" s="42" t="b">
        <f>IFERROR(__xludf.DUMMYFUNCTION("""COMPUTED_VALUE"""),FALSE)</f>
        <v>0</v>
      </c>
      <c r="V497" s="42"/>
      <c r="W497" s="42"/>
      <c r="X497" s="42"/>
      <c r="Y497" s="42"/>
      <c r="Z497" s="42"/>
      <c r="AA497" s="42"/>
      <c r="AB497" s="42" t="str">
        <f>IFERROR(__xludf.DUMMYFUNCTION("""COMPUTED_VALUE"""),"allen institute")</f>
        <v>allen institute</v>
      </c>
      <c r="AC497" s="42" t="str">
        <f>IFERROR(__xludf.DUMMYFUNCTION("""COMPUTED_VALUE"""),"DHBA")</f>
        <v>DHBA</v>
      </c>
      <c r="AD497" s="42"/>
      <c r="AE497" s="42"/>
      <c r="AF497" s="9"/>
      <c r="AG497" s="9"/>
      <c r="AH497" s="42"/>
      <c r="AI497" s="42"/>
      <c r="AJ497" s="42"/>
      <c r="AK497" s="42"/>
      <c r="AL497" s="42"/>
      <c r="AM497" s="42"/>
      <c r="AN497" s="42"/>
      <c r="AO497" s="63" t="str">
        <f>IFERROR(__xludf.DUMMYFUNCTION("IF(ISBLANK(A497),,IF(ISBLANK(S497), A497&amp;"";"", TEXTJOIN(CHAR(10), TRUE, A497&amp;"";"", ARRAYFORMULA(VLOOKUP(SPLIT(S497, "";"" &amp; CHAR(10)), $A:$AO, 41, FALSE)))))"),"tSZsli;
tSZslip;")</f>
        <v>tSZsli;
tSZslip;</v>
      </c>
      <c r="AP497" s="89"/>
    </row>
    <row r="498">
      <c r="A498" s="151" t="str">
        <f>IFERROR(__xludf.DUMMYFUNCTION("""COMPUTED_VALUE"""),"tSZslip")</f>
        <v>tSZslip</v>
      </c>
      <c r="B498" s="42" t="str">
        <f>IFERROR(__xludf.DUMMYFUNCTION("""COMPUTED_VALUE"""),"DHBA")</f>
        <v>DHBA</v>
      </c>
      <c r="C498" s="42" t="str">
        <f>IFERROR(__xludf.DUMMYFUNCTION("""COMPUTED_VALUE"""),"inner plexiform zone in superolateral temporal cortex")</f>
        <v>inner plexiform zone in superolateral temporal cortex</v>
      </c>
      <c r="D498" s="42">
        <f>IFERROR(__xludf.DUMMYFUNCTION("""COMPUTED_VALUE"""),464.0)</f>
        <v>464</v>
      </c>
      <c r="E498" s="39" t="str">
        <f>IFERROR(__xludf.DUMMYFUNCTION("""COMPUTED_VALUE"""),"inner plexiform zone in superolateral temporal cortex")</f>
        <v>inner plexiform zone in superolateral temporal cortex</v>
      </c>
      <c r="F498" s="9" t="str">
        <f>IFERROR(__xludf.DUMMYFUNCTION("""COMPUTED_VALUE"""),"Br")</f>
        <v>Br</v>
      </c>
      <c r="G498" s="9" t="str">
        <f>IFERROR(__xludf.DUMMYFUNCTION("""COMPUTED_VALUE"""),"F")</f>
        <v>F</v>
      </c>
      <c r="H498" s="9" t="str">
        <f>IFERROR(__xludf.DUMMYFUNCTION("""COMPUTED_VALUE"""),"FGM")</f>
        <v>FGM</v>
      </c>
      <c r="I498" s="9" t="str">
        <f>IFERROR(__xludf.DUMMYFUNCTION("""COMPUTED_VALUE"""),"FTS")</f>
        <v>FTS</v>
      </c>
      <c r="J498" s="9" t="str">
        <f>IFERROR(__xludf.DUMMYFUNCTION("""COMPUTED_VALUE"""),"SZ")</f>
        <v>SZ</v>
      </c>
      <c r="K498" s="9" t="str">
        <f>IFERROR(__xludf.DUMMYFUNCTION("""COMPUTED_VALUE"""),"tSZ")</f>
        <v>tSZ</v>
      </c>
      <c r="L498" s="9" t="str">
        <f>IFERROR(__xludf.DUMMYFUNCTION("""COMPUTED_VALUE"""),"tSZdl")</f>
        <v>tSZdl</v>
      </c>
      <c r="M498" s="9" t="str">
        <f>IFERROR(__xludf.DUMMYFUNCTION("""COMPUTED_VALUE"""),"tSZsl")</f>
        <v>tSZsl</v>
      </c>
      <c r="N498" s="9" t="str">
        <f>IFERROR(__xludf.DUMMYFUNCTION("""COMPUTED_VALUE"""),"tSZsli")</f>
        <v>tSZsli</v>
      </c>
      <c r="O498" s="9" t="str">
        <f>IFERROR(__xludf.DUMMYFUNCTION("""COMPUTED_VALUE"""),"tSZslip")</f>
        <v>tSZslip</v>
      </c>
      <c r="P498" s="9"/>
      <c r="Q498" s="9"/>
      <c r="R498" s="9"/>
      <c r="S498" s="42"/>
      <c r="T498" s="42"/>
      <c r="U498" s="42"/>
      <c r="V498" s="42"/>
      <c r="W498" s="42"/>
      <c r="X498" s="42"/>
      <c r="Y498" s="42"/>
      <c r="Z498" s="42"/>
      <c r="AA498" s="42"/>
      <c r="AB498" s="42" t="str">
        <f>IFERROR(__xludf.DUMMYFUNCTION("""COMPUTED_VALUE"""),"allen institute")</f>
        <v>allen institute</v>
      </c>
      <c r="AC498" s="42" t="str">
        <f>IFERROR(__xludf.DUMMYFUNCTION("""COMPUTED_VALUE"""),"DHBA")</f>
        <v>DHBA</v>
      </c>
      <c r="AD498" s="42"/>
      <c r="AE498" s="42"/>
      <c r="AF498" s="9"/>
      <c r="AG498" s="9"/>
      <c r="AH498" s="42"/>
      <c r="AI498" s="42"/>
      <c r="AJ498" s="42"/>
      <c r="AK498" s="42"/>
      <c r="AL498" s="42"/>
      <c r="AM498" s="42"/>
      <c r="AN498" s="42"/>
      <c r="AO498" s="63" t="str">
        <f>IFERROR(__xludf.DUMMYFUNCTION("IF(ISBLANK(A498),,IF(ISBLANK(S498), A498&amp;"";"", TEXTJOIN(CHAR(10), TRUE, A498&amp;"";"", ARRAYFORMULA(VLOOKUP(SPLIT(S498, "";"" &amp; CHAR(10)), $A:$AO, 41, FALSE)))))"),"tSZslip;")</f>
        <v>tSZslip;</v>
      </c>
      <c r="AP498" s="89"/>
    </row>
    <row r="499">
      <c r="A499" s="151" t="str">
        <f>IFERROR(__xludf.DUMMYFUNCTION("""COMPUTED_VALUE"""),"tSZps")</f>
        <v>tSZps</v>
      </c>
      <c r="B499" s="42" t="str">
        <f>IFERROR(__xludf.DUMMYFUNCTION("""COMPUTED_VALUE"""),"DHBA")</f>
        <v>DHBA</v>
      </c>
      <c r="C499" s="42" t="str">
        <f>IFERROR(__xludf.DUMMYFUNCTION("""COMPUTED_VALUE"""),"SZ in polysensory temporal cortex")</f>
        <v>SZ in polysensory temporal cortex</v>
      </c>
      <c r="D499" s="42">
        <f>IFERROR(__xludf.DUMMYFUNCTION("""COMPUTED_VALUE"""),465.0)</f>
        <v>465</v>
      </c>
      <c r="E499" s="39" t="str">
        <f>IFERROR(__xludf.DUMMYFUNCTION("""COMPUTED_VALUE"""),"SZ in polysensory temporal cortex")</f>
        <v>SZ in polysensory temporal cortex</v>
      </c>
      <c r="F499" s="9" t="str">
        <f>IFERROR(__xludf.DUMMYFUNCTION("""COMPUTED_VALUE"""),"Br")</f>
        <v>Br</v>
      </c>
      <c r="G499" s="9" t="str">
        <f>IFERROR(__xludf.DUMMYFUNCTION("""COMPUTED_VALUE"""),"F")</f>
        <v>F</v>
      </c>
      <c r="H499" s="9" t="str">
        <f>IFERROR(__xludf.DUMMYFUNCTION("""COMPUTED_VALUE"""),"FGM")</f>
        <v>FGM</v>
      </c>
      <c r="I499" s="9" t="str">
        <f>IFERROR(__xludf.DUMMYFUNCTION("""COMPUTED_VALUE"""),"FTS")</f>
        <v>FTS</v>
      </c>
      <c r="J499" s="9" t="str">
        <f>IFERROR(__xludf.DUMMYFUNCTION("""COMPUTED_VALUE"""),"SZ")</f>
        <v>SZ</v>
      </c>
      <c r="K499" s="9" t="str">
        <f>IFERROR(__xludf.DUMMYFUNCTION("""COMPUTED_VALUE"""),"tSZ")</f>
        <v>tSZ</v>
      </c>
      <c r="L499" s="9" t="str">
        <f>IFERROR(__xludf.DUMMYFUNCTION("""COMPUTED_VALUE"""),"tSZdl")</f>
        <v>tSZdl</v>
      </c>
      <c r="M499" s="9" t="str">
        <f>IFERROR(__xludf.DUMMYFUNCTION("""COMPUTED_VALUE"""),"tSZps")</f>
        <v>tSZps</v>
      </c>
      <c r="N499" s="9"/>
      <c r="O499" s="9"/>
      <c r="P499" s="9"/>
      <c r="Q499" s="9"/>
      <c r="R499" s="9"/>
      <c r="S499" s="42" t="str">
        <f>IFERROR(__xludf.DUMMYFUNCTION("""COMPUTED_VALUE"""),"tSZpso;
tSZpsi")</f>
        <v>tSZpso;
tSZpsi</v>
      </c>
      <c r="T499" s="42"/>
      <c r="U499" s="42" t="b">
        <f>IFERROR(__xludf.DUMMYFUNCTION("""COMPUTED_VALUE"""),FALSE)</f>
        <v>0</v>
      </c>
      <c r="V499" s="42"/>
      <c r="W499" s="42"/>
      <c r="X499" s="42"/>
      <c r="Y499" s="42"/>
      <c r="Z499" s="42"/>
      <c r="AA499" s="42"/>
      <c r="AB499" s="42" t="str">
        <f>IFERROR(__xludf.DUMMYFUNCTION("""COMPUTED_VALUE"""),"allen institute")</f>
        <v>allen institute</v>
      </c>
      <c r="AC499" s="42" t="str">
        <f>IFERROR(__xludf.DUMMYFUNCTION("""COMPUTED_VALUE"""),"DHBA")</f>
        <v>DHBA</v>
      </c>
      <c r="AD499" s="42"/>
      <c r="AE499" s="42"/>
      <c r="AF499" s="9"/>
      <c r="AG499" s="9"/>
      <c r="AH499" s="42"/>
      <c r="AI499" s="42"/>
      <c r="AJ499" s="42"/>
      <c r="AK499" s="42"/>
      <c r="AL499" s="42"/>
      <c r="AM499" s="42"/>
      <c r="AN499" s="42"/>
      <c r="AO499" s="63" t="str">
        <f>IFERROR(__xludf.DUMMYFUNCTION("IF(ISBLANK(A499),,IF(ISBLANK(S499), A499&amp;"";"", TEXTJOIN(CHAR(10), TRUE, A499&amp;"";"", ARRAYFORMULA(VLOOKUP(SPLIT(S499, "";"" &amp; CHAR(10)), $A:$AO, 41, FALSE)))))"),"tSZps;
tSZpso;
tSZpsop;
tSZpsi;
tSZpsip;")</f>
        <v>tSZps;
tSZpso;
tSZpsop;
tSZpsi;
tSZpsip;</v>
      </c>
      <c r="AP499" s="89"/>
    </row>
    <row r="500">
      <c r="A500" s="151" t="str">
        <f>IFERROR(__xludf.DUMMYFUNCTION("""COMPUTED_VALUE"""),"tSZpso")</f>
        <v>tSZpso</v>
      </c>
      <c r="B500" s="42" t="str">
        <f>IFERROR(__xludf.DUMMYFUNCTION("""COMPUTED_VALUE"""),"DHBA")</f>
        <v>DHBA</v>
      </c>
      <c r="C500" s="42" t="str">
        <f>IFERROR(__xludf.DUMMYFUNCTION("""COMPUTED_VALUE"""),"outer SZ in polysensory temporal cortex")</f>
        <v>outer SZ in polysensory temporal cortex</v>
      </c>
      <c r="D500" s="42">
        <f>IFERROR(__xludf.DUMMYFUNCTION("""COMPUTED_VALUE"""),466.0)</f>
        <v>466</v>
      </c>
      <c r="E500" s="39" t="str">
        <f>IFERROR(__xludf.DUMMYFUNCTION("""COMPUTED_VALUE"""),"outer SZ in polysensory temporal cortex")</f>
        <v>outer SZ in polysensory temporal cortex</v>
      </c>
      <c r="F500" s="9" t="str">
        <f>IFERROR(__xludf.DUMMYFUNCTION("""COMPUTED_VALUE"""),"Br")</f>
        <v>Br</v>
      </c>
      <c r="G500" s="9" t="str">
        <f>IFERROR(__xludf.DUMMYFUNCTION("""COMPUTED_VALUE"""),"F")</f>
        <v>F</v>
      </c>
      <c r="H500" s="9" t="str">
        <f>IFERROR(__xludf.DUMMYFUNCTION("""COMPUTED_VALUE"""),"FGM")</f>
        <v>FGM</v>
      </c>
      <c r="I500" s="9" t="str">
        <f>IFERROR(__xludf.DUMMYFUNCTION("""COMPUTED_VALUE"""),"FTS")</f>
        <v>FTS</v>
      </c>
      <c r="J500" s="9" t="str">
        <f>IFERROR(__xludf.DUMMYFUNCTION("""COMPUTED_VALUE"""),"SZ")</f>
        <v>SZ</v>
      </c>
      <c r="K500" s="9" t="str">
        <f>IFERROR(__xludf.DUMMYFUNCTION("""COMPUTED_VALUE"""),"tSZ")</f>
        <v>tSZ</v>
      </c>
      <c r="L500" s="9" t="str">
        <f>IFERROR(__xludf.DUMMYFUNCTION("""COMPUTED_VALUE"""),"tSZdl")</f>
        <v>tSZdl</v>
      </c>
      <c r="M500" s="9" t="str">
        <f>IFERROR(__xludf.DUMMYFUNCTION("""COMPUTED_VALUE"""),"tSZps")</f>
        <v>tSZps</v>
      </c>
      <c r="N500" s="9" t="str">
        <f>IFERROR(__xludf.DUMMYFUNCTION("""COMPUTED_VALUE"""),"tSZpso")</f>
        <v>tSZpso</v>
      </c>
      <c r="O500" s="9"/>
      <c r="P500" s="9"/>
      <c r="Q500" s="9"/>
      <c r="R500" s="9"/>
      <c r="S500" s="42" t="str">
        <f>IFERROR(__xludf.DUMMYFUNCTION("""COMPUTED_VALUE"""),"tSZpsop")</f>
        <v>tSZpsop</v>
      </c>
      <c r="T500" s="42"/>
      <c r="U500" s="42" t="b">
        <f>IFERROR(__xludf.DUMMYFUNCTION("""COMPUTED_VALUE"""),FALSE)</f>
        <v>0</v>
      </c>
      <c r="V500" s="42"/>
      <c r="W500" s="42"/>
      <c r="X500" s="42"/>
      <c r="Y500" s="42"/>
      <c r="Z500" s="42"/>
      <c r="AA500" s="42"/>
      <c r="AB500" s="42" t="str">
        <f>IFERROR(__xludf.DUMMYFUNCTION("""COMPUTED_VALUE"""),"allen institute")</f>
        <v>allen institute</v>
      </c>
      <c r="AC500" s="42" t="str">
        <f>IFERROR(__xludf.DUMMYFUNCTION("""COMPUTED_VALUE"""),"DHBA")</f>
        <v>DHBA</v>
      </c>
      <c r="AD500" s="42"/>
      <c r="AE500" s="42"/>
      <c r="AF500" s="9"/>
      <c r="AG500" s="9"/>
      <c r="AH500" s="42"/>
      <c r="AI500" s="42"/>
      <c r="AJ500" s="42"/>
      <c r="AK500" s="42"/>
      <c r="AL500" s="42"/>
      <c r="AM500" s="42"/>
      <c r="AN500" s="42"/>
      <c r="AO500" s="63" t="str">
        <f>IFERROR(__xludf.DUMMYFUNCTION("IF(ISBLANK(A500),,IF(ISBLANK(S500), A500&amp;"";"", TEXTJOIN(CHAR(10), TRUE, A500&amp;"";"", ARRAYFORMULA(VLOOKUP(SPLIT(S500, "";"" &amp; CHAR(10)), $A:$AO, 41, FALSE)))))"),"tSZpso;
tSZpsop;")</f>
        <v>tSZpso;
tSZpsop;</v>
      </c>
      <c r="AP500" s="89"/>
    </row>
    <row r="501">
      <c r="A501" s="151" t="str">
        <f>IFERROR(__xludf.DUMMYFUNCTION("""COMPUTED_VALUE"""),"tSZpsop")</f>
        <v>tSZpsop</v>
      </c>
      <c r="B501" s="42" t="str">
        <f>IFERROR(__xludf.DUMMYFUNCTION("""COMPUTED_VALUE"""),"DHBA")</f>
        <v>DHBA</v>
      </c>
      <c r="C501" s="42" t="str">
        <f>IFERROR(__xludf.DUMMYFUNCTION("""COMPUTED_VALUE"""),"outer plexiform zone in polysensory temporal cortex")</f>
        <v>outer plexiform zone in polysensory temporal cortex</v>
      </c>
      <c r="D501" s="42">
        <f>IFERROR(__xludf.DUMMYFUNCTION("""COMPUTED_VALUE"""),467.0)</f>
        <v>467</v>
      </c>
      <c r="E501" s="39" t="str">
        <f>IFERROR(__xludf.DUMMYFUNCTION("""COMPUTED_VALUE"""),"outer plexiform zone in polysensory temporal cortex")</f>
        <v>outer plexiform zone in polysensory temporal cortex</v>
      </c>
      <c r="F501" s="9" t="str">
        <f>IFERROR(__xludf.DUMMYFUNCTION("""COMPUTED_VALUE"""),"Br")</f>
        <v>Br</v>
      </c>
      <c r="G501" s="9" t="str">
        <f>IFERROR(__xludf.DUMMYFUNCTION("""COMPUTED_VALUE"""),"F")</f>
        <v>F</v>
      </c>
      <c r="H501" s="9" t="str">
        <f>IFERROR(__xludf.DUMMYFUNCTION("""COMPUTED_VALUE"""),"FGM")</f>
        <v>FGM</v>
      </c>
      <c r="I501" s="9" t="str">
        <f>IFERROR(__xludf.DUMMYFUNCTION("""COMPUTED_VALUE"""),"FTS")</f>
        <v>FTS</v>
      </c>
      <c r="J501" s="9" t="str">
        <f>IFERROR(__xludf.DUMMYFUNCTION("""COMPUTED_VALUE"""),"SZ")</f>
        <v>SZ</v>
      </c>
      <c r="K501" s="9" t="str">
        <f>IFERROR(__xludf.DUMMYFUNCTION("""COMPUTED_VALUE"""),"tSZ")</f>
        <v>tSZ</v>
      </c>
      <c r="L501" s="9" t="str">
        <f>IFERROR(__xludf.DUMMYFUNCTION("""COMPUTED_VALUE"""),"tSZdl")</f>
        <v>tSZdl</v>
      </c>
      <c r="M501" s="9" t="str">
        <f>IFERROR(__xludf.DUMMYFUNCTION("""COMPUTED_VALUE"""),"tSZps")</f>
        <v>tSZps</v>
      </c>
      <c r="N501" s="9" t="str">
        <f>IFERROR(__xludf.DUMMYFUNCTION("""COMPUTED_VALUE"""),"tSZpso")</f>
        <v>tSZpso</v>
      </c>
      <c r="O501" s="9" t="str">
        <f>IFERROR(__xludf.DUMMYFUNCTION("""COMPUTED_VALUE"""),"tSZpsop")</f>
        <v>tSZpsop</v>
      </c>
      <c r="P501" s="9"/>
      <c r="Q501" s="9"/>
      <c r="R501" s="9"/>
      <c r="S501" s="42"/>
      <c r="T501" s="42"/>
      <c r="U501" s="42"/>
      <c r="V501" s="42"/>
      <c r="W501" s="42"/>
      <c r="X501" s="42"/>
      <c r="Y501" s="42"/>
      <c r="Z501" s="42"/>
      <c r="AA501" s="42"/>
      <c r="AB501" s="42" t="str">
        <f>IFERROR(__xludf.DUMMYFUNCTION("""COMPUTED_VALUE"""),"allen institute")</f>
        <v>allen institute</v>
      </c>
      <c r="AC501" s="42" t="str">
        <f>IFERROR(__xludf.DUMMYFUNCTION("""COMPUTED_VALUE"""),"DHBA")</f>
        <v>DHBA</v>
      </c>
      <c r="AD501" s="42"/>
      <c r="AE501" s="42"/>
      <c r="AF501" s="9"/>
      <c r="AG501" s="9"/>
      <c r="AH501" s="42"/>
      <c r="AI501" s="42"/>
      <c r="AJ501" s="42"/>
      <c r="AK501" s="42"/>
      <c r="AL501" s="42"/>
      <c r="AM501" s="42"/>
      <c r="AN501" s="42"/>
      <c r="AO501" s="63" t="str">
        <f>IFERROR(__xludf.DUMMYFUNCTION("IF(ISBLANK(A501),,IF(ISBLANK(S501), A501&amp;"";"", TEXTJOIN(CHAR(10), TRUE, A501&amp;"";"", ARRAYFORMULA(VLOOKUP(SPLIT(S501, "";"" &amp; CHAR(10)), $A:$AO, 41, FALSE)))))"),"tSZpsop;")</f>
        <v>tSZpsop;</v>
      </c>
      <c r="AP501" s="89"/>
    </row>
    <row r="502">
      <c r="A502" s="151" t="str">
        <f>IFERROR(__xludf.DUMMYFUNCTION("""COMPUTED_VALUE"""),"tSZpsi")</f>
        <v>tSZpsi</v>
      </c>
      <c r="B502" s="42" t="str">
        <f>IFERROR(__xludf.DUMMYFUNCTION("""COMPUTED_VALUE"""),"DHBA")</f>
        <v>DHBA</v>
      </c>
      <c r="C502" s="42" t="str">
        <f>IFERROR(__xludf.DUMMYFUNCTION("""COMPUTED_VALUE"""),"inner SZ in polysensory temporal cortex")</f>
        <v>inner SZ in polysensory temporal cortex</v>
      </c>
      <c r="D502" s="42">
        <f>IFERROR(__xludf.DUMMYFUNCTION("""COMPUTED_VALUE"""),468.0)</f>
        <v>468</v>
      </c>
      <c r="E502" s="39" t="str">
        <f>IFERROR(__xludf.DUMMYFUNCTION("""COMPUTED_VALUE"""),"inner SZ in polysensory temporal cortex")</f>
        <v>inner SZ in polysensory temporal cortex</v>
      </c>
      <c r="F502" s="9" t="str">
        <f>IFERROR(__xludf.DUMMYFUNCTION("""COMPUTED_VALUE"""),"Br")</f>
        <v>Br</v>
      </c>
      <c r="G502" s="9" t="str">
        <f>IFERROR(__xludf.DUMMYFUNCTION("""COMPUTED_VALUE"""),"F")</f>
        <v>F</v>
      </c>
      <c r="H502" s="9" t="str">
        <f>IFERROR(__xludf.DUMMYFUNCTION("""COMPUTED_VALUE"""),"FGM")</f>
        <v>FGM</v>
      </c>
      <c r="I502" s="9" t="str">
        <f>IFERROR(__xludf.DUMMYFUNCTION("""COMPUTED_VALUE"""),"FTS")</f>
        <v>FTS</v>
      </c>
      <c r="J502" s="9" t="str">
        <f>IFERROR(__xludf.DUMMYFUNCTION("""COMPUTED_VALUE"""),"SZ")</f>
        <v>SZ</v>
      </c>
      <c r="K502" s="9" t="str">
        <f>IFERROR(__xludf.DUMMYFUNCTION("""COMPUTED_VALUE"""),"tSZ")</f>
        <v>tSZ</v>
      </c>
      <c r="L502" s="9" t="str">
        <f>IFERROR(__xludf.DUMMYFUNCTION("""COMPUTED_VALUE"""),"tSZdl")</f>
        <v>tSZdl</v>
      </c>
      <c r="M502" s="9" t="str">
        <f>IFERROR(__xludf.DUMMYFUNCTION("""COMPUTED_VALUE"""),"tSZps")</f>
        <v>tSZps</v>
      </c>
      <c r="N502" s="9" t="str">
        <f>IFERROR(__xludf.DUMMYFUNCTION("""COMPUTED_VALUE"""),"tSZpsi")</f>
        <v>tSZpsi</v>
      </c>
      <c r="O502" s="9"/>
      <c r="P502" s="9"/>
      <c r="Q502" s="9"/>
      <c r="R502" s="9"/>
      <c r="S502" s="42" t="str">
        <f>IFERROR(__xludf.DUMMYFUNCTION("""COMPUTED_VALUE"""),"tSZpsip")</f>
        <v>tSZpsip</v>
      </c>
      <c r="T502" s="42"/>
      <c r="U502" s="42" t="b">
        <f>IFERROR(__xludf.DUMMYFUNCTION("""COMPUTED_VALUE"""),FALSE)</f>
        <v>0</v>
      </c>
      <c r="V502" s="42"/>
      <c r="W502" s="42"/>
      <c r="X502" s="42"/>
      <c r="Y502" s="42"/>
      <c r="Z502" s="42"/>
      <c r="AA502" s="42"/>
      <c r="AB502" s="42" t="str">
        <f>IFERROR(__xludf.DUMMYFUNCTION("""COMPUTED_VALUE"""),"allen institute")</f>
        <v>allen institute</v>
      </c>
      <c r="AC502" s="42" t="str">
        <f>IFERROR(__xludf.DUMMYFUNCTION("""COMPUTED_VALUE"""),"DHBA")</f>
        <v>DHBA</v>
      </c>
      <c r="AD502" s="42"/>
      <c r="AE502" s="42"/>
      <c r="AF502" s="9"/>
      <c r="AG502" s="9"/>
      <c r="AH502" s="42"/>
      <c r="AI502" s="42"/>
      <c r="AJ502" s="42"/>
      <c r="AK502" s="42"/>
      <c r="AL502" s="42"/>
      <c r="AM502" s="42"/>
      <c r="AN502" s="42"/>
      <c r="AO502" s="63" t="str">
        <f>IFERROR(__xludf.DUMMYFUNCTION("IF(ISBLANK(A502),,IF(ISBLANK(S502), A502&amp;"";"", TEXTJOIN(CHAR(10), TRUE, A502&amp;"";"", ARRAYFORMULA(VLOOKUP(SPLIT(S502, "";"" &amp; CHAR(10)), $A:$AO, 41, FALSE)))))"),"tSZpsi;
tSZpsip;")</f>
        <v>tSZpsi;
tSZpsip;</v>
      </c>
      <c r="AP502" s="89"/>
    </row>
    <row r="503">
      <c r="A503" s="151" t="str">
        <f>IFERROR(__xludf.DUMMYFUNCTION("""COMPUTED_VALUE"""),"tSZpsip")</f>
        <v>tSZpsip</v>
      </c>
      <c r="B503" s="42" t="str">
        <f>IFERROR(__xludf.DUMMYFUNCTION("""COMPUTED_VALUE"""),"DHBA")</f>
        <v>DHBA</v>
      </c>
      <c r="C503" s="42" t="str">
        <f>IFERROR(__xludf.DUMMYFUNCTION("""COMPUTED_VALUE"""),"inner plexiform zone in polysensory temporal cortex")</f>
        <v>inner plexiform zone in polysensory temporal cortex</v>
      </c>
      <c r="D503" s="42">
        <f>IFERROR(__xludf.DUMMYFUNCTION("""COMPUTED_VALUE"""),469.0)</f>
        <v>469</v>
      </c>
      <c r="E503" s="39" t="str">
        <f>IFERROR(__xludf.DUMMYFUNCTION("""COMPUTED_VALUE"""),"inner plexiform zone in polysensory temporal cortex")</f>
        <v>inner plexiform zone in polysensory temporal cortex</v>
      </c>
      <c r="F503" s="9" t="str">
        <f>IFERROR(__xludf.DUMMYFUNCTION("""COMPUTED_VALUE"""),"Br")</f>
        <v>Br</v>
      </c>
      <c r="G503" s="9" t="str">
        <f>IFERROR(__xludf.DUMMYFUNCTION("""COMPUTED_VALUE"""),"F")</f>
        <v>F</v>
      </c>
      <c r="H503" s="9" t="str">
        <f>IFERROR(__xludf.DUMMYFUNCTION("""COMPUTED_VALUE"""),"FGM")</f>
        <v>FGM</v>
      </c>
      <c r="I503" s="9" t="str">
        <f>IFERROR(__xludf.DUMMYFUNCTION("""COMPUTED_VALUE"""),"FTS")</f>
        <v>FTS</v>
      </c>
      <c r="J503" s="9" t="str">
        <f>IFERROR(__xludf.DUMMYFUNCTION("""COMPUTED_VALUE"""),"SZ")</f>
        <v>SZ</v>
      </c>
      <c r="K503" s="9" t="str">
        <f>IFERROR(__xludf.DUMMYFUNCTION("""COMPUTED_VALUE"""),"tSZ")</f>
        <v>tSZ</v>
      </c>
      <c r="L503" s="9" t="str">
        <f>IFERROR(__xludf.DUMMYFUNCTION("""COMPUTED_VALUE"""),"tSZdl")</f>
        <v>tSZdl</v>
      </c>
      <c r="M503" s="9" t="str">
        <f>IFERROR(__xludf.DUMMYFUNCTION("""COMPUTED_VALUE"""),"tSZps")</f>
        <v>tSZps</v>
      </c>
      <c r="N503" s="9" t="str">
        <f>IFERROR(__xludf.DUMMYFUNCTION("""COMPUTED_VALUE"""),"tSZpsi")</f>
        <v>tSZpsi</v>
      </c>
      <c r="O503" s="9" t="str">
        <f>IFERROR(__xludf.DUMMYFUNCTION("""COMPUTED_VALUE"""),"tSZpsip")</f>
        <v>tSZpsip</v>
      </c>
      <c r="P503" s="9"/>
      <c r="Q503" s="9"/>
      <c r="R503" s="9"/>
      <c r="S503" s="42"/>
      <c r="T503" s="42"/>
      <c r="U503" s="159"/>
      <c r="V503" s="42"/>
      <c r="W503" s="42"/>
      <c r="X503" s="42"/>
      <c r="Y503" s="42"/>
      <c r="Z503" s="42"/>
      <c r="AA503" s="42"/>
      <c r="AB503" s="42" t="str">
        <f>IFERROR(__xludf.DUMMYFUNCTION("""COMPUTED_VALUE"""),"allen institute")</f>
        <v>allen institute</v>
      </c>
      <c r="AC503" s="42" t="str">
        <f>IFERROR(__xludf.DUMMYFUNCTION("""COMPUTED_VALUE"""),"DHBA")</f>
        <v>DHBA</v>
      </c>
      <c r="AD503" s="42"/>
      <c r="AE503" s="42"/>
      <c r="AF503" s="9"/>
      <c r="AG503" s="9"/>
      <c r="AH503" s="42"/>
      <c r="AI503" s="42"/>
      <c r="AJ503" s="42"/>
      <c r="AK503" s="42"/>
      <c r="AL503" s="42"/>
      <c r="AM503" s="42"/>
      <c r="AN503" s="42"/>
      <c r="AO503" s="63" t="str">
        <f>IFERROR(__xludf.DUMMYFUNCTION("IF(ISBLANK(A503),,IF(ISBLANK(S503), A503&amp;"";"", TEXTJOIN(CHAR(10), TRUE, A503&amp;"";"", ARRAYFORMULA(VLOOKUP(SPLIT(S503, "";"" &amp; CHAR(10)), $A:$AO, 41, FALSE)))))"),"tSZpsip;")</f>
        <v>tSZpsip;</v>
      </c>
      <c r="AP503" s="89"/>
    </row>
    <row r="504">
      <c r="A504" s="151" t="str">
        <f>IFERROR(__xludf.DUMMYFUNCTION("""COMPUTED_VALUE"""),"tSZpi")</f>
        <v>tSZpi</v>
      </c>
      <c r="B504" s="42" t="str">
        <f>IFERROR(__xludf.DUMMYFUNCTION("""COMPUTED_VALUE"""),"DHBA")</f>
        <v>DHBA</v>
      </c>
      <c r="C504" s="42" t="str">
        <f>IFERROR(__xludf.DUMMYFUNCTION("""COMPUTED_VALUE"""),"SZ in parainsular temporal cortex")</f>
        <v>SZ in parainsular temporal cortex</v>
      </c>
      <c r="D504" s="42">
        <f>IFERROR(__xludf.DUMMYFUNCTION("""COMPUTED_VALUE"""),470.0)</f>
        <v>470</v>
      </c>
      <c r="E504" s="39" t="str">
        <f>IFERROR(__xludf.DUMMYFUNCTION("""COMPUTED_VALUE"""),"SZ in parainsular temporal cortex")</f>
        <v>SZ in parainsular temporal cortex</v>
      </c>
      <c r="F504" s="9" t="str">
        <f>IFERROR(__xludf.DUMMYFUNCTION("""COMPUTED_VALUE"""),"Br")</f>
        <v>Br</v>
      </c>
      <c r="G504" s="9" t="str">
        <f>IFERROR(__xludf.DUMMYFUNCTION("""COMPUTED_VALUE"""),"F")</f>
        <v>F</v>
      </c>
      <c r="H504" s="9" t="str">
        <f>IFERROR(__xludf.DUMMYFUNCTION("""COMPUTED_VALUE"""),"FGM")</f>
        <v>FGM</v>
      </c>
      <c r="I504" s="9" t="str">
        <f>IFERROR(__xludf.DUMMYFUNCTION("""COMPUTED_VALUE"""),"FTS")</f>
        <v>FTS</v>
      </c>
      <c r="J504" s="9" t="str">
        <f>IFERROR(__xludf.DUMMYFUNCTION("""COMPUTED_VALUE"""),"SZ")</f>
        <v>SZ</v>
      </c>
      <c r="K504" s="9" t="str">
        <f>IFERROR(__xludf.DUMMYFUNCTION("""COMPUTED_VALUE"""),"tSZ")</f>
        <v>tSZ</v>
      </c>
      <c r="L504" s="9" t="str">
        <f>IFERROR(__xludf.DUMMYFUNCTION("""COMPUTED_VALUE"""),"tSZdl")</f>
        <v>tSZdl</v>
      </c>
      <c r="M504" s="9" t="str">
        <f>IFERROR(__xludf.DUMMYFUNCTION("""COMPUTED_VALUE"""),"tSZpi")</f>
        <v>tSZpi</v>
      </c>
      <c r="N504" s="9"/>
      <c r="O504" s="9"/>
      <c r="P504" s="9"/>
      <c r="Q504" s="9"/>
      <c r="R504" s="9"/>
      <c r="S504" s="42" t="str">
        <f>IFERROR(__xludf.DUMMYFUNCTION("""COMPUTED_VALUE"""),"tSZpio;
tSZpii")</f>
        <v>tSZpio;
tSZpii</v>
      </c>
      <c r="T504" s="42"/>
      <c r="U504" s="42" t="b">
        <f>IFERROR(__xludf.DUMMYFUNCTION("""COMPUTED_VALUE"""),FALSE)</f>
        <v>0</v>
      </c>
      <c r="V504" s="42"/>
      <c r="W504" s="42"/>
      <c r="X504" s="42"/>
      <c r="Y504" s="42"/>
      <c r="Z504" s="42"/>
      <c r="AA504" s="42"/>
      <c r="AB504" s="42" t="str">
        <f>IFERROR(__xludf.DUMMYFUNCTION("""COMPUTED_VALUE"""),"allen institute")</f>
        <v>allen institute</v>
      </c>
      <c r="AC504" s="42" t="str">
        <f>IFERROR(__xludf.DUMMYFUNCTION("""COMPUTED_VALUE"""),"DHBA")</f>
        <v>DHBA</v>
      </c>
      <c r="AD504" s="42"/>
      <c r="AE504" s="42"/>
      <c r="AF504" s="9"/>
      <c r="AG504" s="9"/>
      <c r="AH504" s="42"/>
      <c r="AI504" s="42"/>
      <c r="AJ504" s="42"/>
      <c r="AK504" s="42"/>
      <c r="AL504" s="42"/>
      <c r="AM504" s="42"/>
      <c r="AN504" s="42"/>
      <c r="AO504" s="63" t="str">
        <f>IFERROR(__xludf.DUMMYFUNCTION("IF(ISBLANK(A504),,IF(ISBLANK(S504), A504&amp;"";"", TEXTJOIN(CHAR(10), TRUE, A504&amp;"";"", ARRAYFORMULA(VLOOKUP(SPLIT(S504, "";"" &amp; CHAR(10)), $A:$AO, 41, FALSE)))))"),"tSZpi;
tSZpio;
tSZpiop;
tSZpii;
tSZpiip;")</f>
        <v>tSZpi;
tSZpio;
tSZpiop;
tSZpii;
tSZpiip;</v>
      </c>
      <c r="AP504" s="89"/>
    </row>
    <row r="505">
      <c r="A505" s="151" t="str">
        <f>IFERROR(__xludf.DUMMYFUNCTION("""COMPUTED_VALUE"""),"tSZpio")</f>
        <v>tSZpio</v>
      </c>
      <c r="B505" s="42" t="str">
        <f>IFERROR(__xludf.DUMMYFUNCTION("""COMPUTED_VALUE"""),"DHBA")</f>
        <v>DHBA</v>
      </c>
      <c r="C505" s="42" t="str">
        <f>IFERROR(__xludf.DUMMYFUNCTION("""COMPUTED_VALUE"""),"outer SZ in parainsular temporal cortex")</f>
        <v>outer SZ in parainsular temporal cortex</v>
      </c>
      <c r="D505" s="42">
        <f>IFERROR(__xludf.DUMMYFUNCTION("""COMPUTED_VALUE"""),471.0)</f>
        <v>471</v>
      </c>
      <c r="E505" s="39" t="str">
        <f>IFERROR(__xludf.DUMMYFUNCTION("""COMPUTED_VALUE"""),"outer SZ in parainsular temporal cortex")</f>
        <v>outer SZ in parainsular temporal cortex</v>
      </c>
      <c r="F505" s="9" t="str">
        <f>IFERROR(__xludf.DUMMYFUNCTION("""COMPUTED_VALUE"""),"Br")</f>
        <v>Br</v>
      </c>
      <c r="G505" s="9" t="str">
        <f>IFERROR(__xludf.DUMMYFUNCTION("""COMPUTED_VALUE"""),"F")</f>
        <v>F</v>
      </c>
      <c r="H505" s="9" t="str">
        <f>IFERROR(__xludf.DUMMYFUNCTION("""COMPUTED_VALUE"""),"FGM")</f>
        <v>FGM</v>
      </c>
      <c r="I505" s="9" t="str">
        <f>IFERROR(__xludf.DUMMYFUNCTION("""COMPUTED_VALUE"""),"FTS")</f>
        <v>FTS</v>
      </c>
      <c r="J505" s="9" t="str">
        <f>IFERROR(__xludf.DUMMYFUNCTION("""COMPUTED_VALUE"""),"SZ")</f>
        <v>SZ</v>
      </c>
      <c r="K505" s="9" t="str">
        <f>IFERROR(__xludf.DUMMYFUNCTION("""COMPUTED_VALUE"""),"tSZ")</f>
        <v>tSZ</v>
      </c>
      <c r="L505" s="9" t="str">
        <f>IFERROR(__xludf.DUMMYFUNCTION("""COMPUTED_VALUE"""),"tSZdl")</f>
        <v>tSZdl</v>
      </c>
      <c r="M505" s="9" t="str">
        <f>IFERROR(__xludf.DUMMYFUNCTION("""COMPUTED_VALUE"""),"tSZpi")</f>
        <v>tSZpi</v>
      </c>
      <c r="N505" s="9" t="str">
        <f>IFERROR(__xludf.DUMMYFUNCTION("""COMPUTED_VALUE"""),"tSZpio")</f>
        <v>tSZpio</v>
      </c>
      <c r="O505" s="9"/>
      <c r="P505" s="9"/>
      <c r="Q505" s="9"/>
      <c r="R505" s="9"/>
      <c r="S505" s="42" t="str">
        <f>IFERROR(__xludf.DUMMYFUNCTION("""COMPUTED_VALUE"""),"tSZpiop")</f>
        <v>tSZpiop</v>
      </c>
      <c r="T505" s="42"/>
      <c r="U505" s="42" t="b">
        <f>IFERROR(__xludf.DUMMYFUNCTION("""COMPUTED_VALUE"""),FALSE)</f>
        <v>0</v>
      </c>
      <c r="V505" s="42"/>
      <c r="W505" s="42"/>
      <c r="X505" s="42"/>
      <c r="Y505" s="42"/>
      <c r="Z505" s="42"/>
      <c r="AA505" s="42"/>
      <c r="AB505" s="42" t="str">
        <f>IFERROR(__xludf.DUMMYFUNCTION("""COMPUTED_VALUE"""),"allen institute")</f>
        <v>allen institute</v>
      </c>
      <c r="AC505" s="42" t="str">
        <f>IFERROR(__xludf.DUMMYFUNCTION("""COMPUTED_VALUE"""),"DHBA")</f>
        <v>DHBA</v>
      </c>
      <c r="AD505" s="42"/>
      <c r="AE505" s="42"/>
      <c r="AF505" s="9"/>
      <c r="AG505" s="9"/>
      <c r="AH505" s="42"/>
      <c r="AI505" s="42"/>
      <c r="AJ505" s="42"/>
      <c r="AK505" s="42"/>
      <c r="AL505" s="42"/>
      <c r="AM505" s="42"/>
      <c r="AN505" s="42"/>
      <c r="AO505" s="63" t="str">
        <f>IFERROR(__xludf.DUMMYFUNCTION("IF(ISBLANK(A505),,IF(ISBLANK(S505), A505&amp;"";"", TEXTJOIN(CHAR(10), TRUE, A505&amp;"";"", ARRAYFORMULA(VLOOKUP(SPLIT(S505, "";"" &amp; CHAR(10)), $A:$AO, 41, FALSE)))))"),"tSZpio;
tSZpiop;")</f>
        <v>tSZpio;
tSZpiop;</v>
      </c>
      <c r="AP505" s="89"/>
    </row>
    <row r="506">
      <c r="A506" s="151" t="str">
        <f>IFERROR(__xludf.DUMMYFUNCTION("""COMPUTED_VALUE"""),"tSZpiop")</f>
        <v>tSZpiop</v>
      </c>
      <c r="B506" s="42" t="str">
        <f>IFERROR(__xludf.DUMMYFUNCTION("""COMPUTED_VALUE"""),"DHBA")</f>
        <v>DHBA</v>
      </c>
      <c r="C506" s="42" t="str">
        <f>IFERROR(__xludf.DUMMYFUNCTION("""COMPUTED_VALUE"""),"outer plexiform zone in parainsular temporal cortex")</f>
        <v>outer plexiform zone in parainsular temporal cortex</v>
      </c>
      <c r="D506" s="42">
        <f>IFERROR(__xludf.DUMMYFUNCTION("""COMPUTED_VALUE"""),472.0)</f>
        <v>472</v>
      </c>
      <c r="E506" s="39" t="str">
        <f>IFERROR(__xludf.DUMMYFUNCTION("""COMPUTED_VALUE"""),"outer plexiform zone in parainsular temporal cortex")</f>
        <v>outer plexiform zone in parainsular temporal cortex</v>
      </c>
      <c r="F506" s="9" t="str">
        <f>IFERROR(__xludf.DUMMYFUNCTION("""COMPUTED_VALUE"""),"Br")</f>
        <v>Br</v>
      </c>
      <c r="G506" s="9" t="str">
        <f>IFERROR(__xludf.DUMMYFUNCTION("""COMPUTED_VALUE"""),"F")</f>
        <v>F</v>
      </c>
      <c r="H506" s="9" t="str">
        <f>IFERROR(__xludf.DUMMYFUNCTION("""COMPUTED_VALUE"""),"FGM")</f>
        <v>FGM</v>
      </c>
      <c r="I506" s="9" t="str">
        <f>IFERROR(__xludf.DUMMYFUNCTION("""COMPUTED_VALUE"""),"FTS")</f>
        <v>FTS</v>
      </c>
      <c r="J506" s="9" t="str">
        <f>IFERROR(__xludf.DUMMYFUNCTION("""COMPUTED_VALUE"""),"SZ")</f>
        <v>SZ</v>
      </c>
      <c r="K506" s="9" t="str">
        <f>IFERROR(__xludf.DUMMYFUNCTION("""COMPUTED_VALUE"""),"tSZ")</f>
        <v>tSZ</v>
      </c>
      <c r="L506" s="9" t="str">
        <f>IFERROR(__xludf.DUMMYFUNCTION("""COMPUTED_VALUE"""),"tSZdl")</f>
        <v>tSZdl</v>
      </c>
      <c r="M506" s="9" t="str">
        <f>IFERROR(__xludf.DUMMYFUNCTION("""COMPUTED_VALUE"""),"tSZpi")</f>
        <v>tSZpi</v>
      </c>
      <c r="N506" s="9" t="str">
        <f>IFERROR(__xludf.DUMMYFUNCTION("""COMPUTED_VALUE"""),"tSZpio")</f>
        <v>tSZpio</v>
      </c>
      <c r="O506" s="9" t="str">
        <f>IFERROR(__xludf.DUMMYFUNCTION("""COMPUTED_VALUE"""),"tSZpiop")</f>
        <v>tSZpiop</v>
      </c>
      <c r="P506" s="9"/>
      <c r="Q506" s="9"/>
      <c r="R506" s="9"/>
      <c r="S506" s="42"/>
      <c r="T506" s="42"/>
      <c r="U506" s="42"/>
      <c r="V506" s="42"/>
      <c r="W506" s="42"/>
      <c r="X506" s="42"/>
      <c r="Y506" s="42"/>
      <c r="Z506" s="42"/>
      <c r="AA506" s="42"/>
      <c r="AB506" s="42" t="str">
        <f>IFERROR(__xludf.DUMMYFUNCTION("""COMPUTED_VALUE"""),"allen institute")</f>
        <v>allen institute</v>
      </c>
      <c r="AC506" s="42" t="str">
        <f>IFERROR(__xludf.DUMMYFUNCTION("""COMPUTED_VALUE"""),"DHBA")</f>
        <v>DHBA</v>
      </c>
      <c r="AD506" s="42"/>
      <c r="AE506" s="42"/>
      <c r="AF506" s="9"/>
      <c r="AG506" s="9"/>
      <c r="AH506" s="42"/>
      <c r="AI506" s="42"/>
      <c r="AJ506" s="42"/>
      <c r="AK506" s="42"/>
      <c r="AL506" s="42"/>
      <c r="AM506" s="42"/>
      <c r="AN506" s="42"/>
      <c r="AO506" s="63" t="str">
        <f>IFERROR(__xludf.DUMMYFUNCTION("IF(ISBLANK(A506),,IF(ISBLANK(S506), A506&amp;"";"", TEXTJOIN(CHAR(10), TRUE, A506&amp;"";"", ARRAYFORMULA(VLOOKUP(SPLIT(S506, "";"" &amp; CHAR(10)), $A:$AO, 41, FALSE)))))"),"tSZpiop;")</f>
        <v>tSZpiop;</v>
      </c>
      <c r="AP506" s="89"/>
    </row>
    <row r="507">
      <c r="A507" s="151" t="str">
        <f>IFERROR(__xludf.DUMMYFUNCTION("""COMPUTED_VALUE"""),"tSZpii")</f>
        <v>tSZpii</v>
      </c>
      <c r="B507" s="42" t="str">
        <f>IFERROR(__xludf.DUMMYFUNCTION("""COMPUTED_VALUE"""),"DHBA")</f>
        <v>DHBA</v>
      </c>
      <c r="C507" s="42" t="str">
        <f>IFERROR(__xludf.DUMMYFUNCTION("""COMPUTED_VALUE"""),"inner SZ in parainsular temporal cortex")</f>
        <v>inner SZ in parainsular temporal cortex</v>
      </c>
      <c r="D507" s="42">
        <f>IFERROR(__xludf.DUMMYFUNCTION("""COMPUTED_VALUE"""),473.0)</f>
        <v>473</v>
      </c>
      <c r="E507" s="39" t="str">
        <f>IFERROR(__xludf.DUMMYFUNCTION("""COMPUTED_VALUE"""),"inner SZ in parainsular temporal cortex")</f>
        <v>inner SZ in parainsular temporal cortex</v>
      </c>
      <c r="F507" s="9" t="str">
        <f>IFERROR(__xludf.DUMMYFUNCTION("""COMPUTED_VALUE"""),"Br")</f>
        <v>Br</v>
      </c>
      <c r="G507" s="9" t="str">
        <f>IFERROR(__xludf.DUMMYFUNCTION("""COMPUTED_VALUE"""),"F")</f>
        <v>F</v>
      </c>
      <c r="H507" s="9" t="str">
        <f>IFERROR(__xludf.DUMMYFUNCTION("""COMPUTED_VALUE"""),"FGM")</f>
        <v>FGM</v>
      </c>
      <c r="I507" s="9" t="str">
        <f>IFERROR(__xludf.DUMMYFUNCTION("""COMPUTED_VALUE"""),"FTS")</f>
        <v>FTS</v>
      </c>
      <c r="J507" s="9" t="str">
        <f>IFERROR(__xludf.DUMMYFUNCTION("""COMPUTED_VALUE"""),"SZ")</f>
        <v>SZ</v>
      </c>
      <c r="K507" s="9" t="str">
        <f>IFERROR(__xludf.DUMMYFUNCTION("""COMPUTED_VALUE"""),"tSZ")</f>
        <v>tSZ</v>
      </c>
      <c r="L507" s="9" t="str">
        <f>IFERROR(__xludf.DUMMYFUNCTION("""COMPUTED_VALUE"""),"tSZdl")</f>
        <v>tSZdl</v>
      </c>
      <c r="M507" s="9" t="str">
        <f>IFERROR(__xludf.DUMMYFUNCTION("""COMPUTED_VALUE"""),"tSZpi")</f>
        <v>tSZpi</v>
      </c>
      <c r="N507" s="9" t="str">
        <f>IFERROR(__xludf.DUMMYFUNCTION("""COMPUTED_VALUE"""),"tSZpii")</f>
        <v>tSZpii</v>
      </c>
      <c r="O507" s="9"/>
      <c r="P507" s="9"/>
      <c r="Q507" s="9"/>
      <c r="R507" s="9"/>
      <c r="S507" s="42" t="str">
        <f>IFERROR(__xludf.DUMMYFUNCTION("""COMPUTED_VALUE"""),"tSZpiip")</f>
        <v>tSZpiip</v>
      </c>
      <c r="T507" s="42"/>
      <c r="U507" s="42" t="b">
        <f>IFERROR(__xludf.DUMMYFUNCTION("""COMPUTED_VALUE"""),FALSE)</f>
        <v>0</v>
      </c>
      <c r="V507" s="42"/>
      <c r="W507" s="42"/>
      <c r="X507" s="42"/>
      <c r="Y507" s="42"/>
      <c r="Z507" s="42"/>
      <c r="AA507" s="42"/>
      <c r="AB507" s="42" t="str">
        <f>IFERROR(__xludf.DUMMYFUNCTION("""COMPUTED_VALUE"""),"allen institute")</f>
        <v>allen institute</v>
      </c>
      <c r="AC507" s="42" t="str">
        <f>IFERROR(__xludf.DUMMYFUNCTION("""COMPUTED_VALUE"""),"DHBA")</f>
        <v>DHBA</v>
      </c>
      <c r="AD507" s="42"/>
      <c r="AE507" s="42"/>
      <c r="AF507" s="9"/>
      <c r="AG507" s="9"/>
      <c r="AH507" s="42"/>
      <c r="AI507" s="42"/>
      <c r="AJ507" s="42"/>
      <c r="AK507" s="42"/>
      <c r="AL507" s="42"/>
      <c r="AM507" s="42"/>
      <c r="AN507" s="42"/>
      <c r="AO507" s="63" t="str">
        <f>IFERROR(__xludf.DUMMYFUNCTION("IF(ISBLANK(A507),,IF(ISBLANK(S507), A507&amp;"";"", TEXTJOIN(CHAR(10), TRUE, A507&amp;"";"", ARRAYFORMULA(VLOOKUP(SPLIT(S507, "";"" &amp; CHAR(10)), $A:$AO, 41, FALSE)))))"),"tSZpii;
tSZpiip;")</f>
        <v>tSZpii;
tSZpiip;</v>
      </c>
      <c r="AP507" s="89"/>
    </row>
    <row r="508">
      <c r="A508" s="151" t="str">
        <f>IFERROR(__xludf.DUMMYFUNCTION("""COMPUTED_VALUE"""),"tSZpiip")</f>
        <v>tSZpiip</v>
      </c>
      <c r="B508" s="42" t="str">
        <f>IFERROR(__xludf.DUMMYFUNCTION("""COMPUTED_VALUE"""),"DHBA")</f>
        <v>DHBA</v>
      </c>
      <c r="C508" s="42" t="str">
        <f>IFERROR(__xludf.DUMMYFUNCTION("""COMPUTED_VALUE"""),"inner plexiform zone in parainsular temporal cortex")</f>
        <v>inner plexiform zone in parainsular temporal cortex</v>
      </c>
      <c r="D508" s="42">
        <f>IFERROR(__xludf.DUMMYFUNCTION("""COMPUTED_VALUE"""),474.0)</f>
        <v>474</v>
      </c>
      <c r="E508" s="39" t="str">
        <f>IFERROR(__xludf.DUMMYFUNCTION("""COMPUTED_VALUE"""),"inner plexiform zone in parainsular temporal cortex")</f>
        <v>inner plexiform zone in parainsular temporal cortex</v>
      </c>
      <c r="F508" s="9" t="str">
        <f>IFERROR(__xludf.DUMMYFUNCTION("""COMPUTED_VALUE"""),"Br")</f>
        <v>Br</v>
      </c>
      <c r="G508" s="9" t="str">
        <f>IFERROR(__xludf.DUMMYFUNCTION("""COMPUTED_VALUE"""),"F")</f>
        <v>F</v>
      </c>
      <c r="H508" s="9" t="str">
        <f>IFERROR(__xludf.DUMMYFUNCTION("""COMPUTED_VALUE"""),"FGM")</f>
        <v>FGM</v>
      </c>
      <c r="I508" s="9" t="str">
        <f>IFERROR(__xludf.DUMMYFUNCTION("""COMPUTED_VALUE"""),"FTS")</f>
        <v>FTS</v>
      </c>
      <c r="J508" s="9" t="str">
        <f>IFERROR(__xludf.DUMMYFUNCTION("""COMPUTED_VALUE"""),"SZ")</f>
        <v>SZ</v>
      </c>
      <c r="K508" s="9" t="str">
        <f>IFERROR(__xludf.DUMMYFUNCTION("""COMPUTED_VALUE"""),"tSZ")</f>
        <v>tSZ</v>
      </c>
      <c r="L508" s="9" t="str">
        <f>IFERROR(__xludf.DUMMYFUNCTION("""COMPUTED_VALUE"""),"tSZdl")</f>
        <v>tSZdl</v>
      </c>
      <c r="M508" s="9" t="str">
        <f>IFERROR(__xludf.DUMMYFUNCTION("""COMPUTED_VALUE"""),"tSZpi")</f>
        <v>tSZpi</v>
      </c>
      <c r="N508" s="9" t="str">
        <f>IFERROR(__xludf.DUMMYFUNCTION("""COMPUTED_VALUE"""),"tSZpii")</f>
        <v>tSZpii</v>
      </c>
      <c r="O508" s="9" t="str">
        <f>IFERROR(__xludf.DUMMYFUNCTION("""COMPUTED_VALUE"""),"tSZpiip")</f>
        <v>tSZpiip</v>
      </c>
      <c r="P508" s="9"/>
      <c r="Q508" s="9"/>
      <c r="R508" s="9"/>
      <c r="S508" s="42"/>
      <c r="T508" s="42"/>
      <c r="U508" s="42"/>
      <c r="V508" s="42"/>
      <c r="W508" s="42"/>
      <c r="X508" s="42"/>
      <c r="Y508" s="42"/>
      <c r="Z508" s="42"/>
      <c r="AA508" s="42"/>
      <c r="AB508" s="42" t="str">
        <f>IFERROR(__xludf.DUMMYFUNCTION("""COMPUTED_VALUE"""),"allen institute")</f>
        <v>allen institute</v>
      </c>
      <c r="AC508" s="42" t="str">
        <f>IFERROR(__xludf.DUMMYFUNCTION("""COMPUTED_VALUE"""),"DHBA")</f>
        <v>DHBA</v>
      </c>
      <c r="AD508" s="42"/>
      <c r="AE508" s="42"/>
      <c r="AF508" s="9"/>
      <c r="AG508" s="9"/>
      <c r="AH508" s="42"/>
      <c r="AI508" s="42"/>
      <c r="AJ508" s="42"/>
      <c r="AK508" s="42"/>
      <c r="AL508" s="42"/>
      <c r="AM508" s="42"/>
      <c r="AN508" s="42"/>
      <c r="AO508" s="63" t="str">
        <f>IFERROR(__xludf.DUMMYFUNCTION("IF(ISBLANK(A508),,IF(ISBLANK(S508), A508&amp;"";"", TEXTJOIN(CHAR(10), TRUE, A508&amp;"";"", ARRAYFORMULA(VLOOKUP(SPLIT(S508, "";"" &amp; CHAR(10)), $A:$AO, 41, FALSE)))))"),"tSZpiip;")</f>
        <v>tSZpiip;</v>
      </c>
      <c r="AP508" s="89"/>
    </row>
    <row r="509">
      <c r="A509" s="151" t="str">
        <f>IFERROR(__xludf.DUMMYFUNCTION("""COMPUTED_VALUE"""),"tSZvl")</f>
        <v>tSZvl</v>
      </c>
      <c r="B509" s="42" t="str">
        <f>IFERROR(__xludf.DUMMYFUNCTION("""COMPUTED_VALUE"""),"DHBA")</f>
        <v>DHBA</v>
      </c>
      <c r="C509" s="42" t="str">
        <f>IFERROR(__xludf.DUMMYFUNCTION("""COMPUTED_VALUE"""),"SZ in ventrolateral temporal cortex")</f>
        <v>SZ in ventrolateral temporal cortex</v>
      </c>
      <c r="D509" s="42">
        <f>IFERROR(__xludf.DUMMYFUNCTION("""COMPUTED_VALUE"""),475.0)</f>
        <v>475</v>
      </c>
      <c r="E509" s="39" t="str">
        <f>IFERROR(__xludf.DUMMYFUNCTION("""COMPUTED_VALUE"""),"SZ in ventrolateral temporal cortex")</f>
        <v>SZ in ventrolateral temporal cortex</v>
      </c>
      <c r="F509" s="9" t="str">
        <f>IFERROR(__xludf.DUMMYFUNCTION("""COMPUTED_VALUE"""),"Br")</f>
        <v>Br</v>
      </c>
      <c r="G509" s="9" t="str">
        <f>IFERROR(__xludf.DUMMYFUNCTION("""COMPUTED_VALUE"""),"F")</f>
        <v>F</v>
      </c>
      <c r="H509" s="9" t="str">
        <f>IFERROR(__xludf.DUMMYFUNCTION("""COMPUTED_VALUE"""),"FGM")</f>
        <v>FGM</v>
      </c>
      <c r="I509" s="9" t="str">
        <f>IFERROR(__xludf.DUMMYFUNCTION("""COMPUTED_VALUE"""),"FTS")</f>
        <v>FTS</v>
      </c>
      <c r="J509" s="9" t="str">
        <f>IFERROR(__xludf.DUMMYFUNCTION("""COMPUTED_VALUE"""),"SZ")</f>
        <v>SZ</v>
      </c>
      <c r="K509" s="9" t="str">
        <f>IFERROR(__xludf.DUMMYFUNCTION("""COMPUTED_VALUE"""),"tSZ")</f>
        <v>tSZ</v>
      </c>
      <c r="L509" s="9" t="str">
        <f>IFERROR(__xludf.DUMMYFUNCTION("""COMPUTED_VALUE"""),"tSZvl")</f>
        <v>tSZvl</v>
      </c>
      <c r="M509" s="9"/>
      <c r="N509" s="9"/>
      <c r="O509" s="9"/>
      <c r="P509" s="9"/>
      <c r="Q509" s="9"/>
      <c r="R509" s="9"/>
      <c r="S509" s="42" t="str">
        <f>IFERROR(__xludf.DUMMYFUNCTION("""COMPUTED_VALUE"""),"tSZml;
tSZil;
tSZmi")</f>
        <v>tSZml;
tSZil;
tSZmi</v>
      </c>
      <c r="T509" s="42"/>
      <c r="U509" s="42" t="b">
        <f>IFERROR(__xludf.DUMMYFUNCTION("""COMPUTED_VALUE"""),FALSE)</f>
        <v>0</v>
      </c>
      <c r="V509" s="42"/>
      <c r="W509" s="42"/>
      <c r="X509" s="42"/>
      <c r="Y509" s="42"/>
      <c r="Z509" s="42"/>
      <c r="AA509" s="42"/>
      <c r="AB509" s="42" t="str">
        <f>IFERROR(__xludf.DUMMYFUNCTION("""COMPUTED_VALUE"""),"allen institute")</f>
        <v>allen institute</v>
      </c>
      <c r="AC509" s="42" t="str">
        <f>IFERROR(__xludf.DUMMYFUNCTION("""COMPUTED_VALUE"""),"DHBA")</f>
        <v>DHBA</v>
      </c>
      <c r="AD509" s="42"/>
      <c r="AE509" s="42"/>
      <c r="AF509" s="9"/>
      <c r="AG509" s="9"/>
      <c r="AH509" s="42"/>
      <c r="AI509" s="42"/>
      <c r="AJ509" s="42"/>
      <c r="AK509" s="42"/>
      <c r="AL509" s="42"/>
      <c r="AM509" s="42"/>
      <c r="AN509" s="42"/>
      <c r="AO509" s="63" t="str">
        <f>IFERROR(__xludf.DUMMYFUNCTION("IF(ISBLANK(A509),,IF(ISBLANK(S509), A509&amp;"";"", TEXTJOIN(CHAR(10), TRUE, A509&amp;"";"", ARRAYFORMULA(VLOOKUP(SPLIT(S509, "";"" &amp; CHAR(10)), $A:$AO, 41, FALSE)))))"),"tSZvl;
tSZml;
tSZmlo;
tSZmlop;
tSZmli;
tSZmlip;
tSZil;
tSZilo;
tSZilop;
tSZili;
tSZilip;
tSZmi;
tSZ36;
tSZ36o;
tSZ36op;
tSZ36i;
tSZ36ip;
tSZtf;
tSZtfo;
tSZtfop;
tSZtfi;
tSZtfip;")</f>
        <v>tSZvl;
tSZml;
tSZmlo;
tSZmlop;
tSZmli;
tSZmlip;
tSZil;
tSZilo;
tSZilop;
tSZili;
tSZilip;
tSZmi;
tSZ36;
tSZ36o;
tSZ36op;
tSZ36i;
tSZ36ip;
tSZtf;
tSZtfo;
tSZtfop;
tSZtfi;
tSZtfip;</v>
      </c>
      <c r="AP509" s="89"/>
    </row>
    <row r="510">
      <c r="A510" s="151" t="str">
        <f>IFERROR(__xludf.DUMMYFUNCTION("""COMPUTED_VALUE"""),"tSZml")</f>
        <v>tSZml</v>
      </c>
      <c r="B510" s="42" t="str">
        <f>IFERROR(__xludf.DUMMYFUNCTION("""COMPUTED_VALUE"""),"DHBA")</f>
        <v>DHBA</v>
      </c>
      <c r="C510" s="42" t="str">
        <f>IFERROR(__xludf.DUMMYFUNCTION("""COMPUTED_VALUE"""),"SZ in midlateral temporal cortex")</f>
        <v>SZ in midlateral temporal cortex</v>
      </c>
      <c r="D510" s="42">
        <f>IFERROR(__xludf.DUMMYFUNCTION("""COMPUTED_VALUE"""),476.0)</f>
        <v>476</v>
      </c>
      <c r="E510" s="39" t="str">
        <f>IFERROR(__xludf.DUMMYFUNCTION("""COMPUTED_VALUE"""),"SZ in midlateral temporal cortex")</f>
        <v>SZ in midlateral temporal cortex</v>
      </c>
      <c r="F510" s="9" t="str">
        <f>IFERROR(__xludf.DUMMYFUNCTION("""COMPUTED_VALUE"""),"Br")</f>
        <v>Br</v>
      </c>
      <c r="G510" s="9" t="str">
        <f>IFERROR(__xludf.DUMMYFUNCTION("""COMPUTED_VALUE"""),"F")</f>
        <v>F</v>
      </c>
      <c r="H510" s="9" t="str">
        <f>IFERROR(__xludf.DUMMYFUNCTION("""COMPUTED_VALUE"""),"FGM")</f>
        <v>FGM</v>
      </c>
      <c r="I510" s="9" t="str">
        <f>IFERROR(__xludf.DUMMYFUNCTION("""COMPUTED_VALUE"""),"FTS")</f>
        <v>FTS</v>
      </c>
      <c r="J510" s="9" t="str">
        <f>IFERROR(__xludf.DUMMYFUNCTION("""COMPUTED_VALUE"""),"SZ")</f>
        <v>SZ</v>
      </c>
      <c r="K510" s="9" t="str">
        <f>IFERROR(__xludf.DUMMYFUNCTION("""COMPUTED_VALUE"""),"tSZ")</f>
        <v>tSZ</v>
      </c>
      <c r="L510" s="9" t="str">
        <f>IFERROR(__xludf.DUMMYFUNCTION("""COMPUTED_VALUE"""),"tSZvl")</f>
        <v>tSZvl</v>
      </c>
      <c r="M510" s="9" t="str">
        <f>IFERROR(__xludf.DUMMYFUNCTION("""COMPUTED_VALUE"""),"tSZml")</f>
        <v>tSZml</v>
      </c>
      <c r="N510" s="9"/>
      <c r="O510" s="9"/>
      <c r="P510" s="9"/>
      <c r="Q510" s="9"/>
      <c r="R510" s="9"/>
      <c r="S510" s="42" t="str">
        <f>IFERROR(__xludf.DUMMYFUNCTION("""COMPUTED_VALUE"""),"tSZmlo;
tSZmli")</f>
        <v>tSZmlo;
tSZmli</v>
      </c>
      <c r="T510" s="42"/>
      <c r="U510" s="42" t="b">
        <f>IFERROR(__xludf.DUMMYFUNCTION("""COMPUTED_VALUE"""),FALSE)</f>
        <v>0</v>
      </c>
      <c r="V510" s="42"/>
      <c r="W510" s="42"/>
      <c r="X510" s="42"/>
      <c r="Y510" s="42"/>
      <c r="Z510" s="42"/>
      <c r="AA510" s="42"/>
      <c r="AB510" s="42" t="str">
        <f>IFERROR(__xludf.DUMMYFUNCTION("""COMPUTED_VALUE"""),"allen institute")</f>
        <v>allen institute</v>
      </c>
      <c r="AC510" s="42" t="str">
        <f>IFERROR(__xludf.DUMMYFUNCTION("""COMPUTED_VALUE"""),"DHBA")</f>
        <v>DHBA</v>
      </c>
      <c r="AD510" s="42"/>
      <c r="AE510" s="42"/>
      <c r="AF510" s="9"/>
      <c r="AG510" s="9"/>
      <c r="AH510" s="42"/>
      <c r="AI510" s="42"/>
      <c r="AJ510" s="42"/>
      <c r="AK510" s="42"/>
      <c r="AL510" s="42"/>
      <c r="AM510" s="42"/>
      <c r="AN510" s="42"/>
      <c r="AO510" s="63" t="str">
        <f>IFERROR(__xludf.DUMMYFUNCTION("IF(ISBLANK(A510),,IF(ISBLANK(S510), A510&amp;"";"", TEXTJOIN(CHAR(10), TRUE, A510&amp;"";"", ARRAYFORMULA(VLOOKUP(SPLIT(S510, "";"" &amp; CHAR(10)), $A:$AO, 41, FALSE)))))"),"tSZml;
tSZmlo;
tSZmlop;
tSZmli;
tSZmlip;")</f>
        <v>tSZml;
tSZmlo;
tSZmlop;
tSZmli;
tSZmlip;</v>
      </c>
      <c r="AP510" s="89"/>
    </row>
    <row r="511">
      <c r="A511" s="151" t="str">
        <f>IFERROR(__xludf.DUMMYFUNCTION("""COMPUTED_VALUE"""),"tSZmlo")</f>
        <v>tSZmlo</v>
      </c>
      <c r="B511" s="42" t="str">
        <f>IFERROR(__xludf.DUMMYFUNCTION("""COMPUTED_VALUE"""),"DHBA")</f>
        <v>DHBA</v>
      </c>
      <c r="C511" s="42" t="str">
        <f>IFERROR(__xludf.DUMMYFUNCTION("""COMPUTED_VALUE"""),"outer SZ in midlateral temporal cortex")</f>
        <v>outer SZ in midlateral temporal cortex</v>
      </c>
      <c r="D511" s="42">
        <f>IFERROR(__xludf.DUMMYFUNCTION("""COMPUTED_VALUE"""),477.0)</f>
        <v>477</v>
      </c>
      <c r="E511" s="39" t="str">
        <f>IFERROR(__xludf.DUMMYFUNCTION("""COMPUTED_VALUE"""),"outer SZ in midlateral temporal cortex")</f>
        <v>outer SZ in midlateral temporal cortex</v>
      </c>
      <c r="F511" s="9" t="str">
        <f>IFERROR(__xludf.DUMMYFUNCTION("""COMPUTED_VALUE"""),"Br")</f>
        <v>Br</v>
      </c>
      <c r="G511" s="9" t="str">
        <f>IFERROR(__xludf.DUMMYFUNCTION("""COMPUTED_VALUE"""),"F")</f>
        <v>F</v>
      </c>
      <c r="H511" s="9" t="str">
        <f>IFERROR(__xludf.DUMMYFUNCTION("""COMPUTED_VALUE"""),"FGM")</f>
        <v>FGM</v>
      </c>
      <c r="I511" s="9" t="str">
        <f>IFERROR(__xludf.DUMMYFUNCTION("""COMPUTED_VALUE"""),"FTS")</f>
        <v>FTS</v>
      </c>
      <c r="J511" s="9" t="str">
        <f>IFERROR(__xludf.DUMMYFUNCTION("""COMPUTED_VALUE"""),"SZ")</f>
        <v>SZ</v>
      </c>
      <c r="K511" s="9" t="str">
        <f>IFERROR(__xludf.DUMMYFUNCTION("""COMPUTED_VALUE"""),"tSZ")</f>
        <v>tSZ</v>
      </c>
      <c r="L511" s="9" t="str">
        <f>IFERROR(__xludf.DUMMYFUNCTION("""COMPUTED_VALUE"""),"tSZvl")</f>
        <v>tSZvl</v>
      </c>
      <c r="M511" s="9" t="str">
        <f>IFERROR(__xludf.DUMMYFUNCTION("""COMPUTED_VALUE"""),"tSZml")</f>
        <v>tSZml</v>
      </c>
      <c r="N511" s="9" t="str">
        <f>IFERROR(__xludf.DUMMYFUNCTION("""COMPUTED_VALUE"""),"tSZmlo")</f>
        <v>tSZmlo</v>
      </c>
      <c r="O511" s="9"/>
      <c r="P511" s="9"/>
      <c r="Q511" s="9"/>
      <c r="R511" s="9"/>
      <c r="S511" s="42" t="str">
        <f>IFERROR(__xludf.DUMMYFUNCTION("""COMPUTED_VALUE"""),"tSZmlop")</f>
        <v>tSZmlop</v>
      </c>
      <c r="T511" s="42"/>
      <c r="U511" s="42" t="b">
        <f>IFERROR(__xludf.DUMMYFUNCTION("""COMPUTED_VALUE"""),FALSE)</f>
        <v>0</v>
      </c>
      <c r="V511" s="42"/>
      <c r="W511" s="42"/>
      <c r="X511" s="42"/>
      <c r="Y511" s="42"/>
      <c r="Z511" s="42"/>
      <c r="AA511" s="42"/>
      <c r="AB511" s="42" t="str">
        <f>IFERROR(__xludf.DUMMYFUNCTION("""COMPUTED_VALUE"""),"allen institute")</f>
        <v>allen institute</v>
      </c>
      <c r="AC511" s="42" t="str">
        <f>IFERROR(__xludf.DUMMYFUNCTION("""COMPUTED_VALUE"""),"DHBA")</f>
        <v>DHBA</v>
      </c>
      <c r="AD511" s="42"/>
      <c r="AE511" s="42"/>
      <c r="AF511" s="9"/>
      <c r="AG511" s="9"/>
      <c r="AH511" s="42"/>
      <c r="AI511" s="42"/>
      <c r="AJ511" s="42"/>
      <c r="AK511" s="42"/>
      <c r="AL511" s="42"/>
      <c r="AM511" s="42"/>
      <c r="AN511" s="42"/>
      <c r="AO511" s="63" t="str">
        <f>IFERROR(__xludf.DUMMYFUNCTION("IF(ISBLANK(A511),,IF(ISBLANK(S511), A511&amp;"";"", TEXTJOIN(CHAR(10), TRUE, A511&amp;"";"", ARRAYFORMULA(VLOOKUP(SPLIT(S511, "";"" &amp; CHAR(10)), $A:$AO, 41, FALSE)))))"),"tSZmlo;
tSZmlop;")</f>
        <v>tSZmlo;
tSZmlop;</v>
      </c>
      <c r="AP511" s="89"/>
    </row>
    <row r="512">
      <c r="A512" s="151" t="str">
        <f>IFERROR(__xludf.DUMMYFUNCTION("""COMPUTED_VALUE"""),"tSZmlop")</f>
        <v>tSZmlop</v>
      </c>
      <c r="B512" s="42" t="str">
        <f>IFERROR(__xludf.DUMMYFUNCTION("""COMPUTED_VALUE"""),"DHBA")</f>
        <v>DHBA</v>
      </c>
      <c r="C512" s="42" t="str">
        <f>IFERROR(__xludf.DUMMYFUNCTION("""COMPUTED_VALUE"""),"outer plexiform zone in midlateral temporal cortex")</f>
        <v>outer plexiform zone in midlateral temporal cortex</v>
      </c>
      <c r="D512" s="42">
        <f>IFERROR(__xludf.DUMMYFUNCTION("""COMPUTED_VALUE"""),478.0)</f>
        <v>478</v>
      </c>
      <c r="E512" s="39" t="str">
        <f>IFERROR(__xludf.DUMMYFUNCTION("""COMPUTED_VALUE"""),"outer plexiform zone in midlateral temporal cortex")</f>
        <v>outer plexiform zone in midlateral temporal cortex</v>
      </c>
      <c r="F512" s="9" t="str">
        <f>IFERROR(__xludf.DUMMYFUNCTION("""COMPUTED_VALUE"""),"Br")</f>
        <v>Br</v>
      </c>
      <c r="G512" s="9" t="str">
        <f>IFERROR(__xludf.DUMMYFUNCTION("""COMPUTED_VALUE"""),"F")</f>
        <v>F</v>
      </c>
      <c r="H512" s="9" t="str">
        <f>IFERROR(__xludf.DUMMYFUNCTION("""COMPUTED_VALUE"""),"FGM")</f>
        <v>FGM</v>
      </c>
      <c r="I512" s="9" t="str">
        <f>IFERROR(__xludf.DUMMYFUNCTION("""COMPUTED_VALUE"""),"FTS")</f>
        <v>FTS</v>
      </c>
      <c r="J512" s="9" t="str">
        <f>IFERROR(__xludf.DUMMYFUNCTION("""COMPUTED_VALUE"""),"SZ")</f>
        <v>SZ</v>
      </c>
      <c r="K512" s="9" t="str">
        <f>IFERROR(__xludf.DUMMYFUNCTION("""COMPUTED_VALUE"""),"tSZ")</f>
        <v>tSZ</v>
      </c>
      <c r="L512" s="9" t="str">
        <f>IFERROR(__xludf.DUMMYFUNCTION("""COMPUTED_VALUE"""),"tSZvl")</f>
        <v>tSZvl</v>
      </c>
      <c r="M512" s="9" t="str">
        <f>IFERROR(__xludf.DUMMYFUNCTION("""COMPUTED_VALUE"""),"tSZml")</f>
        <v>tSZml</v>
      </c>
      <c r="N512" s="9" t="str">
        <f>IFERROR(__xludf.DUMMYFUNCTION("""COMPUTED_VALUE"""),"tSZmlo")</f>
        <v>tSZmlo</v>
      </c>
      <c r="O512" s="9" t="str">
        <f>IFERROR(__xludf.DUMMYFUNCTION("""COMPUTED_VALUE"""),"tSZmlop")</f>
        <v>tSZmlop</v>
      </c>
      <c r="P512" s="9"/>
      <c r="Q512" s="9"/>
      <c r="R512" s="9"/>
      <c r="S512" s="42"/>
      <c r="T512" s="42"/>
      <c r="U512" s="42"/>
      <c r="V512" s="42"/>
      <c r="W512" s="42"/>
      <c r="X512" s="42"/>
      <c r="Y512" s="42"/>
      <c r="Z512" s="42"/>
      <c r="AA512" s="42"/>
      <c r="AB512" s="42" t="str">
        <f>IFERROR(__xludf.DUMMYFUNCTION("""COMPUTED_VALUE"""),"allen institute")</f>
        <v>allen institute</v>
      </c>
      <c r="AC512" s="42" t="str">
        <f>IFERROR(__xludf.DUMMYFUNCTION("""COMPUTED_VALUE"""),"DHBA")</f>
        <v>DHBA</v>
      </c>
      <c r="AD512" s="42"/>
      <c r="AE512" s="42"/>
      <c r="AF512" s="9"/>
      <c r="AG512" s="9"/>
      <c r="AH512" s="42"/>
      <c r="AI512" s="42"/>
      <c r="AJ512" s="42"/>
      <c r="AK512" s="42"/>
      <c r="AL512" s="42"/>
      <c r="AM512" s="42"/>
      <c r="AN512" s="42"/>
      <c r="AO512" s="63" t="str">
        <f>IFERROR(__xludf.DUMMYFUNCTION("IF(ISBLANK(A512),,IF(ISBLANK(S512), A512&amp;"";"", TEXTJOIN(CHAR(10), TRUE, A512&amp;"";"", ARRAYFORMULA(VLOOKUP(SPLIT(S512, "";"" &amp; CHAR(10)), $A:$AO, 41, FALSE)))))"),"tSZmlop;")</f>
        <v>tSZmlop;</v>
      </c>
      <c r="AP512" s="89"/>
    </row>
    <row r="513">
      <c r="A513" s="151" t="str">
        <f>IFERROR(__xludf.DUMMYFUNCTION("""COMPUTED_VALUE"""),"tSZmli")</f>
        <v>tSZmli</v>
      </c>
      <c r="B513" s="42" t="str">
        <f>IFERROR(__xludf.DUMMYFUNCTION("""COMPUTED_VALUE"""),"DHBA")</f>
        <v>DHBA</v>
      </c>
      <c r="C513" s="42" t="str">
        <f>IFERROR(__xludf.DUMMYFUNCTION("""COMPUTED_VALUE"""),"inner SZ in midlateral temporal cortex")</f>
        <v>inner SZ in midlateral temporal cortex</v>
      </c>
      <c r="D513" s="42">
        <f>IFERROR(__xludf.DUMMYFUNCTION("""COMPUTED_VALUE"""),479.0)</f>
        <v>479</v>
      </c>
      <c r="E513" s="39" t="str">
        <f>IFERROR(__xludf.DUMMYFUNCTION("""COMPUTED_VALUE"""),"inner SZ in midlateral temporal cortex")</f>
        <v>inner SZ in midlateral temporal cortex</v>
      </c>
      <c r="F513" s="9" t="str">
        <f>IFERROR(__xludf.DUMMYFUNCTION("""COMPUTED_VALUE"""),"Br")</f>
        <v>Br</v>
      </c>
      <c r="G513" s="9" t="str">
        <f>IFERROR(__xludf.DUMMYFUNCTION("""COMPUTED_VALUE"""),"F")</f>
        <v>F</v>
      </c>
      <c r="H513" s="9" t="str">
        <f>IFERROR(__xludf.DUMMYFUNCTION("""COMPUTED_VALUE"""),"FGM")</f>
        <v>FGM</v>
      </c>
      <c r="I513" s="9" t="str">
        <f>IFERROR(__xludf.DUMMYFUNCTION("""COMPUTED_VALUE"""),"FTS")</f>
        <v>FTS</v>
      </c>
      <c r="J513" s="9" t="str">
        <f>IFERROR(__xludf.DUMMYFUNCTION("""COMPUTED_VALUE"""),"SZ")</f>
        <v>SZ</v>
      </c>
      <c r="K513" s="9" t="str">
        <f>IFERROR(__xludf.DUMMYFUNCTION("""COMPUTED_VALUE"""),"tSZ")</f>
        <v>tSZ</v>
      </c>
      <c r="L513" s="9" t="str">
        <f>IFERROR(__xludf.DUMMYFUNCTION("""COMPUTED_VALUE"""),"tSZvl")</f>
        <v>tSZvl</v>
      </c>
      <c r="M513" s="9" t="str">
        <f>IFERROR(__xludf.DUMMYFUNCTION("""COMPUTED_VALUE"""),"tSZml")</f>
        <v>tSZml</v>
      </c>
      <c r="N513" s="9" t="str">
        <f>IFERROR(__xludf.DUMMYFUNCTION("""COMPUTED_VALUE"""),"tSZmli")</f>
        <v>tSZmli</v>
      </c>
      <c r="O513" s="9"/>
      <c r="P513" s="9"/>
      <c r="Q513" s="9"/>
      <c r="R513" s="9"/>
      <c r="S513" s="42" t="str">
        <f>IFERROR(__xludf.DUMMYFUNCTION("""COMPUTED_VALUE"""),"tSZmlip")</f>
        <v>tSZmlip</v>
      </c>
      <c r="T513" s="42"/>
      <c r="U513" s="42" t="b">
        <f>IFERROR(__xludf.DUMMYFUNCTION("""COMPUTED_VALUE"""),FALSE)</f>
        <v>0</v>
      </c>
      <c r="V513" s="42"/>
      <c r="W513" s="42"/>
      <c r="X513" s="42"/>
      <c r="Y513" s="42"/>
      <c r="Z513" s="42"/>
      <c r="AA513" s="42"/>
      <c r="AB513" s="42" t="str">
        <f>IFERROR(__xludf.DUMMYFUNCTION("""COMPUTED_VALUE"""),"allen institute")</f>
        <v>allen institute</v>
      </c>
      <c r="AC513" s="42" t="str">
        <f>IFERROR(__xludf.DUMMYFUNCTION("""COMPUTED_VALUE"""),"DHBA")</f>
        <v>DHBA</v>
      </c>
      <c r="AD513" s="42"/>
      <c r="AE513" s="42"/>
      <c r="AF513" s="9"/>
      <c r="AG513" s="9"/>
      <c r="AH513" s="42"/>
      <c r="AI513" s="42"/>
      <c r="AJ513" s="42"/>
      <c r="AK513" s="42"/>
      <c r="AL513" s="42"/>
      <c r="AM513" s="42"/>
      <c r="AN513" s="42"/>
      <c r="AO513" s="63" t="str">
        <f>IFERROR(__xludf.DUMMYFUNCTION("IF(ISBLANK(A513),,IF(ISBLANK(S513), A513&amp;"";"", TEXTJOIN(CHAR(10), TRUE, A513&amp;"";"", ARRAYFORMULA(VLOOKUP(SPLIT(S513, "";"" &amp; CHAR(10)), $A:$AO, 41, FALSE)))))"),"tSZmli;
tSZmlip;")</f>
        <v>tSZmli;
tSZmlip;</v>
      </c>
      <c r="AP513" s="89"/>
    </row>
    <row r="514">
      <c r="A514" s="151" t="str">
        <f>IFERROR(__xludf.DUMMYFUNCTION("""COMPUTED_VALUE"""),"tSZmlip")</f>
        <v>tSZmlip</v>
      </c>
      <c r="B514" s="42" t="str">
        <f>IFERROR(__xludf.DUMMYFUNCTION("""COMPUTED_VALUE"""),"DHBA")</f>
        <v>DHBA</v>
      </c>
      <c r="C514" s="42" t="str">
        <f>IFERROR(__xludf.DUMMYFUNCTION("""COMPUTED_VALUE"""),"inner plexiform zone in midlateral temporal cortex")</f>
        <v>inner plexiform zone in midlateral temporal cortex</v>
      </c>
      <c r="D514" s="42">
        <f>IFERROR(__xludf.DUMMYFUNCTION("""COMPUTED_VALUE"""),480.0)</f>
        <v>480</v>
      </c>
      <c r="E514" s="39" t="str">
        <f>IFERROR(__xludf.DUMMYFUNCTION("""COMPUTED_VALUE"""),"inner plexiform zone in midlateral temporal cortex")</f>
        <v>inner plexiform zone in midlateral temporal cortex</v>
      </c>
      <c r="F514" s="9" t="str">
        <f>IFERROR(__xludf.DUMMYFUNCTION("""COMPUTED_VALUE"""),"Br")</f>
        <v>Br</v>
      </c>
      <c r="G514" s="9" t="str">
        <f>IFERROR(__xludf.DUMMYFUNCTION("""COMPUTED_VALUE"""),"F")</f>
        <v>F</v>
      </c>
      <c r="H514" s="9" t="str">
        <f>IFERROR(__xludf.DUMMYFUNCTION("""COMPUTED_VALUE"""),"FGM")</f>
        <v>FGM</v>
      </c>
      <c r="I514" s="9" t="str">
        <f>IFERROR(__xludf.DUMMYFUNCTION("""COMPUTED_VALUE"""),"FTS")</f>
        <v>FTS</v>
      </c>
      <c r="J514" s="9" t="str">
        <f>IFERROR(__xludf.DUMMYFUNCTION("""COMPUTED_VALUE"""),"SZ")</f>
        <v>SZ</v>
      </c>
      <c r="K514" s="9" t="str">
        <f>IFERROR(__xludf.DUMMYFUNCTION("""COMPUTED_VALUE"""),"tSZ")</f>
        <v>tSZ</v>
      </c>
      <c r="L514" s="9" t="str">
        <f>IFERROR(__xludf.DUMMYFUNCTION("""COMPUTED_VALUE"""),"tSZvl")</f>
        <v>tSZvl</v>
      </c>
      <c r="M514" s="9" t="str">
        <f>IFERROR(__xludf.DUMMYFUNCTION("""COMPUTED_VALUE"""),"tSZml")</f>
        <v>tSZml</v>
      </c>
      <c r="N514" s="9" t="str">
        <f>IFERROR(__xludf.DUMMYFUNCTION("""COMPUTED_VALUE"""),"tSZmli")</f>
        <v>tSZmli</v>
      </c>
      <c r="O514" s="9" t="str">
        <f>IFERROR(__xludf.DUMMYFUNCTION("""COMPUTED_VALUE"""),"tSZmlip")</f>
        <v>tSZmlip</v>
      </c>
      <c r="P514" s="9"/>
      <c r="Q514" s="9"/>
      <c r="R514" s="9"/>
      <c r="S514" s="42"/>
      <c r="T514" s="42"/>
      <c r="U514" s="42"/>
      <c r="V514" s="42"/>
      <c r="W514" s="42"/>
      <c r="X514" s="42"/>
      <c r="Y514" s="42"/>
      <c r="Z514" s="42"/>
      <c r="AA514" s="42"/>
      <c r="AB514" s="42" t="str">
        <f>IFERROR(__xludf.DUMMYFUNCTION("""COMPUTED_VALUE"""),"allen institute")</f>
        <v>allen institute</v>
      </c>
      <c r="AC514" s="42" t="str">
        <f>IFERROR(__xludf.DUMMYFUNCTION("""COMPUTED_VALUE"""),"DHBA")</f>
        <v>DHBA</v>
      </c>
      <c r="AD514" s="42"/>
      <c r="AE514" s="42"/>
      <c r="AF514" s="9"/>
      <c r="AG514" s="9"/>
      <c r="AH514" s="42"/>
      <c r="AI514" s="42"/>
      <c r="AJ514" s="42"/>
      <c r="AK514" s="42"/>
      <c r="AL514" s="42"/>
      <c r="AM514" s="42"/>
      <c r="AN514" s="42"/>
      <c r="AO514" s="63" t="str">
        <f>IFERROR(__xludf.DUMMYFUNCTION("IF(ISBLANK(A514),,IF(ISBLANK(S514), A514&amp;"";"", TEXTJOIN(CHAR(10), TRUE, A514&amp;"";"", ARRAYFORMULA(VLOOKUP(SPLIT(S514, "";"" &amp; CHAR(10)), $A:$AO, 41, FALSE)))))"),"tSZmlip;")</f>
        <v>tSZmlip;</v>
      </c>
      <c r="AP514" s="89"/>
    </row>
    <row r="515">
      <c r="A515" s="151" t="str">
        <f>IFERROR(__xludf.DUMMYFUNCTION("""COMPUTED_VALUE"""),"tSZil")</f>
        <v>tSZil</v>
      </c>
      <c r="B515" s="42" t="str">
        <f>IFERROR(__xludf.DUMMYFUNCTION("""COMPUTED_VALUE"""),"DHBA")</f>
        <v>DHBA</v>
      </c>
      <c r="C515" s="42" t="str">
        <f>IFERROR(__xludf.DUMMYFUNCTION("""COMPUTED_VALUE"""),"SZ in inferolateral temporal cortex")</f>
        <v>SZ in inferolateral temporal cortex</v>
      </c>
      <c r="D515" s="42">
        <f>IFERROR(__xludf.DUMMYFUNCTION("""COMPUTED_VALUE"""),481.0)</f>
        <v>481</v>
      </c>
      <c r="E515" s="39" t="str">
        <f>IFERROR(__xludf.DUMMYFUNCTION("""COMPUTED_VALUE"""),"SZ in inferolateral temporal cortex")</f>
        <v>SZ in inferolateral temporal cortex</v>
      </c>
      <c r="F515" s="9" t="str">
        <f>IFERROR(__xludf.DUMMYFUNCTION("""COMPUTED_VALUE"""),"Br")</f>
        <v>Br</v>
      </c>
      <c r="G515" s="9" t="str">
        <f>IFERROR(__xludf.DUMMYFUNCTION("""COMPUTED_VALUE"""),"F")</f>
        <v>F</v>
      </c>
      <c r="H515" s="9" t="str">
        <f>IFERROR(__xludf.DUMMYFUNCTION("""COMPUTED_VALUE"""),"FGM")</f>
        <v>FGM</v>
      </c>
      <c r="I515" s="9" t="str">
        <f>IFERROR(__xludf.DUMMYFUNCTION("""COMPUTED_VALUE"""),"FTS")</f>
        <v>FTS</v>
      </c>
      <c r="J515" s="9" t="str">
        <f>IFERROR(__xludf.DUMMYFUNCTION("""COMPUTED_VALUE"""),"SZ")</f>
        <v>SZ</v>
      </c>
      <c r="K515" s="9" t="str">
        <f>IFERROR(__xludf.DUMMYFUNCTION("""COMPUTED_VALUE"""),"tSZ")</f>
        <v>tSZ</v>
      </c>
      <c r="L515" s="9" t="str">
        <f>IFERROR(__xludf.DUMMYFUNCTION("""COMPUTED_VALUE"""),"tSZvl")</f>
        <v>tSZvl</v>
      </c>
      <c r="M515" s="9" t="str">
        <f>IFERROR(__xludf.DUMMYFUNCTION("""COMPUTED_VALUE"""),"tSZil")</f>
        <v>tSZil</v>
      </c>
      <c r="N515" s="9"/>
      <c r="O515" s="9"/>
      <c r="P515" s="9"/>
      <c r="Q515" s="9"/>
      <c r="R515" s="9"/>
      <c r="S515" s="42" t="str">
        <f>IFERROR(__xludf.DUMMYFUNCTION("""COMPUTED_VALUE"""),"tSZilo;
tSZili")</f>
        <v>tSZilo;
tSZili</v>
      </c>
      <c r="T515" s="42"/>
      <c r="U515" s="42" t="b">
        <f>IFERROR(__xludf.DUMMYFUNCTION("""COMPUTED_VALUE"""),FALSE)</f>
        <v>0</v>
      </c>
      <c r="V515" s="42"/>
      <c r="W515" s="42"/>
      <c r="X515" s="42"/>
      <c r="Y515" s="42"/>
      <c r="Z515" s="42"/>
      <c r="AA515" s="42"/>
      <c r="AB515" s="42" t="str">
        <f>IFERROR(__xludf.DUMMYFUNCTION("""COMPUTED_VALUE"""),"allen institute")</f>
        <v>allen institute</v>
      </c>
      <c r="AC515" s="42" t="str">
        <f>IFERROR(__xludf.DUMMYFUNCTION("""COMPUTED_VALUE"""),"DHBA")</f>
        <v>DHBA</v>
      </c>
      <c r="AD515" s="42"/>
      <c r="AE515" s="42"/>
      <c r="AF515" s="9"/>
      <c r="AG515" s="9"/>
      <c r="AH515" s="42"/>
      <c r="AI515" s="42"/>
      <c r="AJ515" s="42"/>
      <c r="AK515" s="42"/>
      <c r="AL515" s="42"/>
      <c r="AM515" s="42"/>
      <c r="AN515" s="42"/>
      <c r="AO515" s="63" t="str">
        <f>IFERROR(__xludf.DUMMYFUNCTION("IF(ISBLANK(A515),,IF(ISBLANK(S515), A515&amp;"";"", TEXTJOIN(CHAR(10), TRUE, A515&amp;"";"", ARRAYFORMULA(VLOOKUP(SPLIT(S515, "";"" &amp; CHAR(10)), $A:$AO, 41, FALSE)))))"),"tSZil;
tSZilo;
tSZilop;
tSZili;
tSZilip;")</f>
        <v>tSZil;
tSZilo;
tSZilop;
tSZili;
tSZilip;</v>
      </c>
      <c r="AP515" s="89"/>
    </row>
    <row r="516">
      <c r="A516" s="151" t="str">
        <f>IFERROR(__xludf.DUMMYFUNCTION("""COMPUTED_VALUE"""),"tSZilo")</f>
        <v>tSZilo</v>
      </c>
      <c r="B516" s="42" t="str">
        <f>IFERROR(__xludf.DUMMYFUNCTION("""COMPUTED_VALUE"""),"DHBA")</f>
        <v>DHBA</v>
      </c>
      <c r="C516" s="42" t="str">
        <f>IFERROR(__xludf.DUMMYFUNCTION("""COMPUTED_VALUE"""),"outer SZ in inferolateral temporal cortex")</f>
        <v>outer SZ in inferolateral temporal cortex</v>
      </c>
      <c r="D516" s="42">
        <f>IFERROR(__xludf.DUMMYFUNCTION("""COMPUTED_VALUE"""),482.0)</f>
        <v>482</v>
      </c>
      <c r="E516" s="39" t="str">
        <f>IFERROR(__xludf.DUMMYFUNCTION("""COMPUTED_VALUE"""),"outer SZ in inferolateral temporal cortex")</f>
        <v>outer SZ in inferolateral temporal cortex</v>
      </c>
      <c r="F516" s="9" t="str">
        <f>IFERROR(__xludf.DUMMYFUNCTION("""COMPUTED_VALUE"""),"Br")</f>
        <v>Br</v>
      </c>
      <c r="G516" s="9" t="str">
        <f>IFERROR(__xludf.DUMMYFUNCTION("""COMPUTED_VALUE"""),"F")</f>
        <v>F</v>
      </c>
      <c r="H516" s="9" t="str">
        <f>IFERROR(__xludf.DUMMYFUNCTION("""COMPUTED_VALUE"""),"FGM")</f>
        <v>FGM</v>
      </c>
      <c r="I516" s="9" t="str">
        <f>IFERROR(__xludf.DUMMYFUNCTION("""COMPUTED_VALUE"""),"FTS")</f>
        <v>FTS</v>
      </c>
      <c r="J516" s="9" t="str">
        <f>IFERROR(__xludf.DUMMYFUNCTION("""COMPUTED_VALUE"""),"SZ")</f>
        <v>SZ</v>
      </c>
      <c r="K516" s="9" t="str">
        <f>IFERROR(__xludf.DUMMYFUNCTION("""COMPUTED_VALUE"""),"tSZ")</f>
        <v>tSZ</v>
      </c>
      <c r="L516" s="9" t="str">
        <f>IFERROR(__xludf.DUMMYFUNCTION("""COMPUTED_VALUE"""),"tSZvl")</f>
        <v>tSZvl</v>
      </c>
      <c r="M516" s="9" t="str">
        <f>IFERROR(__xludf.DUMMYFUNCTION("""COMPUTED_VALUE"""),"tSZil")</f>
        <v>tSZil</v>
      </c>
      <c r="N516" s="9" t="str">
        <f>IFERROR(__xludf.DUMMYFUNCTION("""COMPUTED_VALUE"""),"tSZilo")</f>
        <v>tSZilo</v>
      </c>
      <c r="O516" s="9"/>
      <c r="P516" s="9"/>
      <c r="Q516" s="9"/>
      <c r="R516" s="9"/>
      <c r="S516" s="42" t="str">
        <f>IFERROR(__xludf.DUMMYFUNCTION("""COMPUTED_VALUE"""),"tSZilop")</f>
        <v>tSZilop</v>
      </c>
      <c r="T516" s="42"/>
      <c r="U516" s="42" t="b">
        <f>IFERROR(__xludf.DUMMYFUNCTION("""COMPUTED_VALUE"""),FALSE)</f>
        <v>0</v>
      </c>
      <c r="V516" s="42"/>
      <c r="W516" s="42"/>
      <c r="X516" s="42"/>
      <c r="Y516" s="42"/>
      <c r="Z516" s="42"/>
      <c r="AA516" s="42"/>
      <c r="AB516" s="42" t="str">
        <f>IFERROR(__xludf.DUMMYFUNCTION("""COMPUTED_VALUE"""),"allen institute")</f>
        <v>allen institute</v>
      </c>
      <c r="AC516" s="42" t="str">
        <f>IFERROR(__xludf.DUMMYFUNCTION("""COMPUTED_VALUE"""),"DHBA")</f>
        <v>DHBA</v>
      </c>
      <c r="AD516" s="42"/>
      <c r="AE516" s="42"/>
      <c r="AF516" s="9"/>
      <c r="AG516" s="9"/>
      <c r="AH516" s="42"/>
      <c r="AI516" s="42"/>
      <c r="AJ516" s="42"/>
      <c r="AK516" s="42"/>
      <c r="AL516" s="42"/>
      <c r="AM516" s="42"/>
      <c r="AN516" s="42"/>
      <c r="AO516" s="63" t="str">
        <f>IFERROR(__xludf.DUMMYFUNCTION("IF(ISBLANK(A516),,IF(ISBLANK(S516), A516&amp;"";"", TEXTJOIN(CHAR(10), TRUE, A516&amp;"";"", ARRAYFORMULA(VLOOKUP(SPLIT(S516, "";"" &amp; CHAR(10)), $A:$AO, 41, FALSE)))))"),"tSZilo;
tSZilop;")</f>
        <v>tSZilo;
tSZilop;</v>
      </c>
      <c r="AP516" s="89"/>
    </row>
    <row r="517">
      <c r="A517" s="151" t="str">
        <f>IFERROR(__xludf.DUMMYFUNCTION("""COMPUTED_VALUE"""),"tSZilop")</f>
        <v>tSZilop</v>
      </c>
      <c r="B517" s="42" t="str">
        <f>IFERROR(__xludf.DUMMYFUNCTION("""COMPUTED_VALUE"""),"DHBA")</f>
        <v>DHBA</v>
      </c>
      <c r="C517" s="42" t="str">
        <f>IFERROR(__xludf.DUMMYFUNCTION("""COMPUTED_VALUE"""),"outer plexiform zone in inferolateral temporal cortex")</f>
        <v>outer plexiform zone in inferolateral temporal cortex</v>
      </c>
      <c r="D517" s="42">
        <f>IFERROR(__xludf.DUMMYFUNCTION("""COMPUTED_VALUE"""),483.0)</f>
        <v>483</v>
      </c>
      <c r="E517" s="39" t="str">
        <f>IFERROR(__xludf.DUMMYFUNCTION("""COMPUTED_VALUE"""),"outer plexiform zone in inferolateral temporal cortex")</f>
        <v>outer plexiform zone in inferolateral temporal cortex</v>
      </c>
      <c r="F517" s="9" t="str">
        <f>IFERROR(__xludf.DUMMYFUNCTION("""COMPUTED_VALUE"""),"Br")</f>
        <v>Br</v>
      </c>
      <c r="G517" s="9" t="str">
        <f>IFERROR(__xludf.DUMMYFUNCTION("""COMPUTED_VALUE"""),"F")</f>
        <v>F</v>
      </c>
      <c r="H517" s="9" t="str">
        <f>IFERROR(__xludf.DUMMYFUNCTION("""COMPUTED_VALUE"""),"FGM")</f>
        <v>FGM</v>
      </c>
      <c r="I517" s="9" t="str">
        <f>IFERROR(__xludf.DUMMYFUNCTION("""COMPUTED_VALUE"""),"FTS")</f>
        <v>FTS</v>
      </c>
      <c r="J517" s="9" t="str">
        <f>IFERROR(__xludf.DUMMYFUNCTION("""COMPUTED_VALUE"""),"SZ")</f>
        <v>SZ</v>
      </c>
      <c r="K517" s="9" t="str">
        <f>IFERROR(__xludf.DUMMYFUNCTION("""COMPUTED_VALUE"""),"tSZ")</f>
        <v>tSZ</v>
      </c>
      <c r="L517" s="9" t="str">
        <f>IFERROR(__xludf.DUMMYFUNCTION("""COMPUTED_VALUE"""),"tSZvl")</f>
        <v>tSZvl</v>
      </c>
      <c r="M517" s="9" t="str">
        <f>IFERROR(__xludf.DUMMYFUNCTION("""COMPUTED_VALUE"""),"tSZil")</f>
        <v>tSZil</v>
      </c>
      <c r="N517" s="9" t="str">
        <f>IFERROR(__xludf.DUMMYFUNCTION("""COMPUTED_VALUE"""),"tSZilo")</f>
        <v>tSZilo</v>
      </c>
      <c r="O517" s="9" t="str">
        <f>IFERROR(__xludf.DUMMYFUNCTION("""COMPUTED_VALUE"""),"tSZilop")</f>
        <v>tSZilop</v>
      </c>
      <c r="P517" s="9"/>
      <c r="Q517" s="9"/>
      <c r="R517" s="9"/>
      <c r="S517" s="42"/>
      <c r="T517" s="42"/>
      <c r="U517" s="42"/>
      <c r="V517" s="42"/>
      <c r="W517" s="42"/>
      <c r="X517" s="42"/>
      <c r="Y517" s="42"/>
      <c r="Z517" s="42"/>
      <c r="AA517" s="42"/>
      <c r="AB517" s="42" t="str">
        <f>IFERROR(__xludf.DUMMYFUNCTION("""COMPUTED_VALUE"""),"allen institute")</f>
        <v>allen institute</v>
      </c>
      <c r="AC517" s="42" t="str">
        <f>IFERROR(__xludf.DUMMYFUNCTION("""COMPUTED_VALUE"""),"DHBA")</f>
        <v>DHBA</v>
      </c>
      <c r="AD517" s="42"/>
      <c r="AE517" s="42"/>
      <c r="AF517" s="9"/>
      <c r="AG517" s="9"/>
      <c r="AH517" s="42"/>
      <c r="AI517" s="42"/>
      <c r="AJ517" s="42"/>
      <c r="AK517" s="42"/>
      <c r="AL517" s="42"/>
      <c r="AM517" s="42"/>
      <c r="AN517" s="42"/>
      <c r="AO517" s="63" t="str">
        <f>IFERROR(__xludf.DUMMYFUNCTION("IF(ISBLANK(A517),,IF(ISBLANK(S517), A517&amp;"";"", TEXTJOIN(CHAR(10), TRUE, A517&amp;"";"", ARRAYFORMULA(VLOOKUP(SPLIT(S517, "";"" &amp; CHAR(10)), $A:$AO, 41, FALSE)))))"),"tSZilop;")</f>
        <v>tSZilop;</v>
      </c>
      <c r="AP517" s="89"/>
    </row>
    <row r="518">
      <c r="A518" s="151" t="str">
        <f>IFERROR(__xludf.DUMMYFUNCTION("""COMPUTED_VALUE"""),"tSZili")</f>
        <v>tSZili</v>
      </c>
      <c r="B518" s="42" t="str">
        <f>IFERROR(__xludf.DUMMYFUNCTION("""COMPUTED_VALUE"""),"DHBA")</f>
        <v>DHBA</v>
      </c>
      <c r="C518" s="42" t="str">
        <f>IFERROR(__xludf.DUMMYFUNCTION("""COMPUTED_VALUE"""),"inner SZ in inferolateral temporal cortex")</f>
        <v>inner SZ in inferolateral temporal cortex</v>
      </c>
      <c r="D518" s="42">
        <f>IFERROR(__xludf.DUMMYFUNCTION("""COMPUTED_VALUE"""),484.0)</f>
        <v>484</v>
      </c>
      <c r="E518" s="39" t="str">
        <f>IFERROR(__xludf.DUMMYFUNCTION("""COMPUTED_VALUE"""),"inner SZ in inferolateral temporal cortex")</f>
        <v>inner SZ in inferolateral temporal cortex</v>
      </c>
      <c r="F518" s="9" t="str">
        <f>IFERROR(__xludf.DUMMYFUNCTION("""COMPUTED_VALUE"""),"Br")</f>
        <v>Br</v>
      </c>
      <c r="G518" s="9" t="str">
        <f>IFERROR(__xludf.DUMMYFUNCTION("""COMPUTED_VALUE"""),"F")</f>
        <v>F</v>
      </c>
      <c r="H518" s="9" t="str">
        <f>IFERROR(__xludf.DUMMYFUNCTION("""COMPUTED_VALUE"""),"FGM")</f>
        <v>FGM</v>
      </c>
      <c r="I518" s="9" t="str">
        <f>IFERROR(__xludf.DUMMYFUNCTION("""COMPUTED_VALUE"""),"FTS")</f>
        <v>FTS</v>
      </c>
      <c r="J518" s="9" t="str">
        <f>IFERROR(__xludf.DUMMYFUNCTION("""COMPUTED_VALUE"""),"SZ")</f>
        <v>SZ</v>
      </c>
      <c r="K518" s="9" t="str">
        <f>IFERROR(__xludf.DUMMYFUNCTION("""COMPUTED_VALUE"""),"tSZ")</f>
        <v>tSZ</v>
      </c>
      <c r="L518" s="9" t="str">
        <f>IFERROR(__xludf.DUMMYFUNCTION("""COMPUTED_VALUE"""),"tSZvl")</f>
        <v>tSZvl</v>
      </c>
      <c r="M518" s="9" t="str">
        <f>IFERROR(__xludf.DUMMYFUNCTION("""COMPUTED_VALUE"""),"tSZil")</f>
        <v>tSZil</v>
      </c>
      <c r="N518" s="9" t="str">
        <f>IFERROR(__xludf.DUMMYFUNCTION("""COMPUTED_VALUE"""),"tSZili")</f>
        <v>tSZili</v>
      </c>
      <c r="O518" s="9"/>
      <c r="P518" s="9"/>
      <c r="Q518" s="9"/>
      <c r="R518" s="9"/>
      <c r="S518" s="42" t="str">
        <f>IFERROR(__xludf.DUMMYFUNCTION("""COMPUTED_VALUE"""),"tSZilip")</f>
        <v>tSZilip</v>
      </c>
      <c r="T518" s="42"/>
      <c r="U518" s="42" t="b">
        <f>IFERROR(__xludf.DUMMYFUNCTION("""COMPUTED_VALUE"""),FALSE)</f>
        <v>0</v>
      </c>
      <c r="V518" s="42"/>
      <c r="W518" s="42"/>
      <c r="X518" s="42"/>
      <c r="Y518" s="42"/>
      <c r="Z518" s="42"/>
      <c r="AA518" s="42"/>
      <c r="AB518" s="42" t="str">
        <f>IFERROR(__xludf.DUMMYFUNCTION("""COMPUTED_VALUE"""),"allen institute")</f>
        <v>allen institute</v>
      </c>
      <c r="AC518" s="42" t="str">
        <f>IFERROR(__xludf.DUMMYFUNCTION("""COMPUTED_VALUE"""),"DHBA")</f>
        <v>DHBA</v>
      </c>
      <c r="AD518" s="42"/>
      <c r="AE518" s="42"/>
      <c r="AF518" s="9"/>
      <c r="AG518" s="9"/>
      <c r="AH518" s="42"/>
      <c r="AI518" s="42"/>
      <c r="AJ518" s="42"/>
      <c r="AK518" s="42"/>
      <c r="AL518" s="42"/>
      <c r="AM518" s="42"/>
      <c r="AN518" s="42"/>
      <c r="AO518" s="63" t="str">
        <f>IFERROR(__xludf.DUMMYFUNCTION("IF(ISBLANK(A518),,IF(ISBLANK(S518), A518&amp;"";"", TEXTJOIN(CHAR(10), TRUE, A518&amp;"";"", ARRAYFORMULA(VLOOKUP(SPLIT(S518, "";"" &amp; CHAR(10)), $A:$AO, 41, FALSE)))))"),"tSZili;
tSZilip;")</f>
        <v>tSZili;
tSZilip;</v>
      </c>
      <c r="AP518" s="89"/>
    </row>
    <row r="519">
      <c r="A519" s="151" t="str">
        <f>IFERROR(__xludf.DUMMYFUNCTION("""COMPUTED_VALUE"""),"tSZilip")</f>
        <v>tSZilip</v>
      </c>
      <c r="B519" s="42" t="str">
        <f>IFERROR(__xludf.DUMMYFUNCTION("""COMPUTED_VALUE"""),"DHBA")</f>
        <v>DHBA</v>
      </c>
      <c r="C519" s="42" t="str">
        <f>IFERROR(__xludf.DUMMYFUNCTION("""COMPUTED_VALUE"""),"inner plexiform zone in inferolateral temporal cortex")</f>
        <v>inner plexiform zone in inferolateral temporal cortex</v>
      </c>
      <c r="D519" s="42">
        <f>IFERROR(__xludf.DUMMYFUNCTION("""COMPUTED_VALUE"""),485.0)</f>
        <v>485</v>
      </c>
      <c r="E519" s="39" t="str">
        <f>IFERROR(__xludf.DUMMYFUNCTION("""COMPUTED_VALUE"""),"inner plexiform zone in inferolateral temporal cortex")</f>
        <v>inner plexiform zone in inferolateral temporal cortex</v>
      </c>
      <c r="F519" s="9" t="str">
        <f>IFERROR(__xludf.DUMMYFUNCTION("""COMPUTED_VALUE"""),"Br")</f>
        <v>Br</v>
      </c>
      <c r="G519" s="9" t="str">
        <f>IFERROR(__xludf.DUMMYFUNCTION("""COMPUTED_VALUE"""),"F")</f>
        <v>F</v>
      </c>
      <c r="H519" s="9" t="str">
        <f>IFERROR(__xludf.DUMMYFUNCTION("""COMPUTED_VALUE"""),"FGM")</f>
        <v>FGM</v>
      </c>
      <c r="I519" s="9" t="str">
        <f>IFERROR(__xludf.DUMMYFUNCTION("""COMPUTED_VALUE"""),"FTS")</f>
        <v>FTS</v>
      </c>
      <c r="J519" s="9" t="str">
        <f>IFERROR(__xludf.DUMMYFUNCTION("""COMPUTED_VALUE"""),"SZ")</f>
        <v>SZ</v>
      </c>
      <c r="K519" s="9" t="str">
        <f>IFERROR(__xludf.DUMMYFUNCTION("""COMPUTED_VALUE"""),"tSZ")</f>
        <v>tSZ</v>
      </c>
      <c r="L519" s="9" t="str">
        <f>IFERROR(__xludf.DUMMYFUNCTION("""COMPUTED_VALUE"""),"tSZvl")</f>
        <v>tSZvl</v>
      </c>
      <c r="M519" s="9" t="str">
        <f>IFERROR(__xludf.DUMMYFUNCTION("""COMPUTED_VALUE"""),"tSZil")</f>
        <v>tSZil</v>
      </c>
      <c r="N519" s="9" t="str">
        <f>IFERROR(__xludf.DUMMYFUNCTION("""COMPUTED_VALUE"""),"tSZili")</f>
        <v>tSZili</v>
      </c>
      <c r="O519" s="9" t="str">
        <f>IFERROR(__xludf.DUMMYFUNCTION("""COMPUTED_VALUE"""),"tSZilip")</f>
        <v>tSZilip</v>
      </c>
      <c r="P519" s="9"/>
      <c r="Q519" s="9"/>
      <c r="R519" s="9"/>
      <c r="S519" s="42"/>
      <c r="T519" s="42"/>
      <c r="U519" s="42"/>
      <c r="V519" s="42"/>
      <c r="W519" s="42"/>
      <c r="X519" s="42"/>
      <c r="Y519" s="42"/>
      <c r="Z519" s="42"/>
      <c r="AA519" s="42"/>
      <c r="AB519" s="42" t="str">
        <f>IFERROR(__xludf.DUMMYFUNCTION("""COMPUTED_VALUE"""),"allen institute")</f>
        <v>allen institute</v>
      </c>
      <c r="AC519" s="42" t="str">
        <f>IFERROR(__xludf.DUMMYFUNCTION("""COMPUTED_VALUE"""),"DHBA")</f>
        <v>DHBA</v>
      </c>
      <c r="AD519" s="42"/>
      <c r="AE519" s="42"/>
      <c r="AF519" s="9"/>
      <c r="AG519" s="9"/>
      <c r="AH519" s="42"/>
      <c r="AI519" s="42"/>
      <c r="AJ519" s="42"/>
      <c r="AK519" s="42"/>
      <c r="AL519" s="42"/>
      <c r="AM519" s="42"/>
      <c r="AN519" s="42"/>
      <c r="AO519" s="63" t="str">
        <f>IFERROR(__xludf.DUMMYFUNCTION("IF(ISBLANK(A519),,IF(ISBLANK(S519), A519&amp;"";"", TEXTJOIN(CHAR(10), TRUE, A519&amp;"";"", ARRAYFORMULA(VLOOKUP(SPLIT(S519, "";"" &amp; CHAR(10)), $A:$AO, 41, FALSE)))))"),"tSZilip;")</f>
        <v>tSZilip;</v>
      </c>
      <c r="AP519" s="89"/>
    </row>
    <row r="520">
      <c r="A520" s="151" t="str">
        <f>IFERROR(__xludf.DUMMYFUNCTION("""COMPUTED_VALUE"""),"tSZmi")</f>
        <v>tSZmi</v>
      </c>
      <c r="B520" s="42" t="str">
        <f>IFERROR(__xludf.DUMMYFUNCTION("""COMPUTED_VALUE"""),"DHBA")</f>
        <v>DHBA</v>
      </c>
      <c r="C520" s="42" t="str">
        <f>IFERROR(__xludf.DUMMYFUNCTION("""COMPUTED_VALUE"""),"SZ in midinferior temporal cortex")</f>
        <v>SZ in midinferior temporal cortex</v>
      </c>
      <c r="D520" s="42">
        <f>IFERROR(__xludf.DUMMYFUNCTION("""COMPUTED_VALUE"""),486.0)</f>
        <v>486</v>
      </c>
      <c r="E520" s="39" t="str">
        <f>IFERROR(__xludf.DUMMYFUNCTION("""COMPUTED_VALUE"""),"SZ in midinferior temporal cortex")</f>
        <v>SZ in midinferior temporal cortex</v>
      </c>
      <c r="F520" s="9" t="str">
        <f>IFERROR(__xludf.DUMMYFUNCTION("""COMPUTED_VALUE"""),"Br")</f>
        <v>Br</v>
      </c>
      <c r="G520" s="9" t="str">
        <f>IFERROR(__xludf.DUMMYFUNCTION("""COMPUTED_VALUE"""),"F")</f>
        <v>F</v>
      </c>
      <c r="H520" s="9" t="str">
        <f>IFERROR(__xludf.DUMMYFUNCTION("""COMPUTED_VALUE"""),"FGM")</f>
        <v>FGM</v>
      </c>
      <c r="I520" s="9" t="str">
        <f>IFERROR(__xludf.DUMMYFUNCTION("""COMPUTED_VALUE"""),"FTS")</f>
        <v>FTS</v>
      </c>
      <c r="J520" s="9" t="str">
        <f>IFERROR(__xludf.DUMMYFUNCTION("""COMPUTED_VALUE"""),"SZ")</f>
        <v>SZ</v>
      </c>
      <c r="K520" s="9" t="str">
        <f>IFERROR(__xludf.DUMMYFUNCTION("""COMPUTED_VALUE"""),"tSZ")</f>
        <v>tSZ</v>
      </c>
      <c r="L520" s="9" t="str">
        <f>IFERROR(__xludf.DUMMYFUNCTION("""COMPUTED_VALUE"""),"tSZvl")</f>
        <v>tSZvl</v>
      </c>
      <c r="M520" s="9" t="str">
        <f>IFERROR(__xludf.DUMMYFUNCTION("""COMPUTED_VALUE"""),"tSZmi")</f>
        <v>tSZmi</v>
      </c>
      <c r="N520" s="9"/>
      <c r="O520" s="9"/>
      <c r="P520" s="9"/>
      <c r="Q520" s="9"/>
      <c r="R520" s="9"/>
      <c r="S520" s="42" t="str">
        <f>IFERROR(__xludf.DUMMYFUNCTION("""COMPUTED_VALUE"""),"tSZ36;
tSZtf")</f>
        <v>tSZ36;
tSZtf</v>
      </c>
      <c r="T520" s="42"/>
      <c r="U520" s="42" t="b">
        <f>IFERROR(__xludf.DUMMYFUNCTION("""COMPUTED_VALUE"""),FALSE)</f>
        <v>0</v>
      </c>
      <c r="V520" s="42"/>
      <c r="W520" s="42"/>
      <c r="X520" s="42"/>
      <c r="Y520" s="42"/>
      <c r="Z520" s="42"/>
      <c r="AA520" s="42"/>
      <c r="AB520" s="42" t="str">
        <f>IFERROR(__xludf.DUMMYFUNCTION("""COMPUTED_VALUE"""),"allen institute")</f>
        <v>allen institute</v>
      </c>
      <c r="AC520" s="42" t="str">
        <f>IFERROR(__xludf.DUMMYFUNCTION("""COMPUTED_VALUE"""),"DHBA")</f>
        <v>DHBA</v>
      </c>
      <c r="AD520" s="42"/>
      <c r="AE520" s="42"/>
      <c r="AF520" s="9"/>
      <c r="AG520" s="9"/>
      <c r="AH520" s="42"/>
      <c r="AI520" s="42"/>
      <c r="AJ520" s="42"/>
      <c r="AK520" s="42"/>
      <c r="AL520" s="42"/>
      <c r="AM520" s="42"/>
      <c r="AN520" s="42"/>
      <c r="AO520" s="63" t="str">
        <f>IFERROR(__xludf.DUMMYFUNCTION("IF(ISBLANK(A520),,IF(ISBLANK(S520), A520&amp;"";"", TEXTJOIN(CHAR(10), TRUE, A520&amp;"";"", ARRAYFORMULA(VLOOKUP(SPLIT(S520, "";"" &amp; CHAR(10)), $A:$AO, 41, FALSE)))))"),"tSZmi;
tSZ36;
tSZ36o;
tSZ36op;
tSZ36i;
tSZ36ip;
tSZtf;
tSZtfo;
tSZtfop;
tSZtfi;
tSZtfip;")</f>
        <v>tSZmi;
tSZ36;
tSZ36o;
tSZ36op;
tSZ36i;
tSZ36ip;
tSZtf;
tSZtfo;
tSZtfop;
tSZtfi;
tSZtfip;</v>
      </c>
      <c r="AP520" s="89"/>
    </row>
    <row r="521">
      <c r="A521" s="151" t="str">
        <f>IFERROR(__xludf.DUMMYFUNCTION("""COMPUTED_VALUE"""),"tSZ36")</f>
        <v>tSZ36</v>
      </c>
      <c r="B521" s="42" t="str">
        <f>IFERROR(__xludf.DUMMYFUNCTION("""COMPUTED_VALUE"""),"DHBA")</f>
        <v>DHBA</v>
      </c>
      <c r="C521" s="42" t="str">
        <f>IFERROR(__xludf.DUMMYFUNCTION("""COMPUTED_VALUE"""),"SZ in rostral midinferior temporal cortex (area 36)")</f>
        <v>SZ in rostral midinferior temporal cortex (area 36)</v>
      </c>
      <c r="D521" s="42">
        <f>IFERROR(__xludf.DUMMYFUNCTION("""COMPUTED_VALUE"""),487.0)</f>
        <v>487</v>
      </c>
      <c r="E521" s="39" t="str">
        <f>IFERROR(__xludf.DUMMYFUNCTION("""COMPUTED_VALUE"""),"SZ in rostral midinferior temporal cortex (area 36)")</f>
        <v>SZ in rostral midinferior temporal cortex (area 36)</v>
      </c>
      <c r="F521" s="9" t="str">
        <f>IFERROR(__xludf.DUMMYFUNCTION("""COMPUTED_VALUE"""),"Br")</f>
        <v>Br</v>
      </c>
      <c r="G521" s="9" t="str">
        <f>IFERROR(__xludf.DUMMYFUNCTION("""COMPUTED_VALUE"""),"F")</f>
        <v>F</v>
      </c>
      <c r="H521" s="9" t="str">
        <f>IFERROR(__xludf.DUMMYFUNCTION("""COMPUTED_VALUE"""),"FGM")</f>
        <v>FGM</v>
      </c>
      <c r="I521" s="9" t="str">
        <f>IFERROR(__xludf.DUMMYFUNCTION("""COMPUTED_VALUE"""),"FTS")</f>
        <v>FTS</v>
      </c>
      <c r="J521" s="9" t="str">
        <f>IFERROR(__xludf.DUMMYFUNCTION("""COMPUTED_VALUE"""),"SZ")</f>
        <v>SZ</v>
      </c>
      <c r="K521" s="9" t="str">
        <f>IFERROR(__xludf.DUMMYFUNCTION("""COMPUTED_VALUE"""),"tSZ")</f>
        <v>tSZ</v>
      </c>
      <c r="L521" s="9" t="str">
        <f>IFERROR(__xludf.DUMMYFUNCTION("""COMPUTED_VALUE"""),"tSZvl")</f>
        <v>tSZvl</v>
      </c>
      <c r="M521" s="9" t="str">
        <f>IFERROR(__xludf.DUMMYFUNCTION("""COMPUTED_VALUE"""),"tSZmi")</f>
        <v>tSZmi</v>
      </c>
      <c r="N521" s="9" t="str">
        <f>IFERROR(__xludf.DUMMYFUNCTION("""COMPUTED_VALUE"""),"tSZ36")</f>
        <v>tSZ36</v>
      </c>
      <c r="O521" s="9"/>
      <c r="P521" s="9"/>
      <c r="Q521" s="9"/>
      <c r="R521" s="9"/>
      <c r="S521" s="42" t="str">
        <f>IFERROR(__xludf.DUMMYFUNCTION("""COMPUTED_VALUE"""),"tSZ36o;
tSZ36i")</f>
        <v>tSZ36o;
tSZ36i</v>
      </c>
      <c r="T521" s="42"/>
      <c r="U521" s="42" t="b">
        <f>IFERROR(__xludf.DUMMYFUNCTION("""COMPUTED_VALUE"""),FALSE)</f>
        <v>0</v>
      </c>
      <c r="V521" s="42"/>
      <c r="W521" s="42"/>
      <c r="X521" s="42"/>
      <c r="Y521" s="42"/>
      <c r="Z521" s="42"/>
      <c r="AA521" s="42"/>
      <c r="AB521" s="42" t="str">
        <f>IFERROR(__xludf.DUMMYFUNCTION("""COMPUTED_VALUE"""),"allen institute")</f>
        <v>allen institute</v>
      </c>
      <c r="AC521" s="42" t="str">
        <f>IFERROR(__xludf.DUMMYFUNCTION("""COMPUTED_VALUE"""),"DHBA")</f>
        <v>DHBA</v>
      </c>
      <c r="AD521" s="42"/>
      <c r="AE521" s="42"/>
      <c r="AF521" s="9"/>
      <c r="AG521" s="9"/>
      <c r="AH521" s="42"/>
      <c r="AI521" s="42"/>
      <c r="AJ521" s="42"/>
      <c r="AK521" s="42"/>
      <c r="AL521" s="42"/>
      <c r="AM521" s="42"/>
      <c r="AN521" s="42"/>
      <c r="AO521" s="63" t="str">
        <f>IFERROR(__xludf.DUMMYFUNCTION("IF(ISBLANK(A521),,IF(ISBLANK(S521), A521&amp;"";"", TEXTJOIN(CHAR(10), TRUE, A521&amp;"";"", ARRAYFORMULA(VLOOKUP(SPLIT(S521, "";"" &amp; CHAR(10)), $A:$AO, 41, FALSE)))))"),"tSZ36;
tSZ36o;
tSZ36op;
tSZ36i;
tSZ36ip;")</f>
        <v>tSZ36;
tSZ36o;
tSZ36op;
tSZ36i;
tSZ36ip;</v>
      </c>
      <c r="AP521" s="89"/>
    </row>
    <row r="522">
      <c r="A522" s="151" t="str">
        <f>IFERROR(__xludf.DUMMYFUNCTION("""COMPUTED_VALUE"""),"tSZ36o")</f>
        <v>tSZ36o</v>
      </c>
      <c r="B522" s="42" t="str">
        <f>IFERROR(__xludf.DUMMYFUNCTION("""COMPUTED_VALUE"""),"DHBA")</f>
        <v>DHBA</v>
      </c>
      <c r="C522" s="42" t="str">
        <f>IFERROR(__xludf.DUMMYFUNCTION("""COMPUTED_VALUE"""),"outer SZ in rostral midinferior temporal cortex (area 36)")</f>
        <v>outer SZ in rostral midinferior temporal cortex (area 36)</v>
      </c>
      <c r="D522" s="42">
        <f>IFERROR(__xludf.DUMMYFUNCTION("""COMPUTED_VALUE"""),488.0)</f>
        <v>488</v>
      </c>
      <c r="E522" s="39" t="str">
        <f>IFERROR(__xludf.DUMMYFUNCTION("""COMPUTED_VALUE"""),"outer SZ in rostral midinferior temporal cortex (area 36)")</f>
        <v>outer SZ in rostral midinferior temporal cortex (area 36)</v>
      </c>
      <c r="F522" s="9" t="str">
        <f>IFERROR(__xludf.DUMMYFUNCTION("""COMPUTED_VALUE"""),"Br")</f>
        <v>Br</v>
      </c>
      <c r="G522" s="9" t="str">
        <f>IFERROR(__xludf.DUMMYFUNCTION("""COMPUTED_VALUE"""),"F")</f>
        <v>F</v>
      </c>
      <c r="H522" s="9" t="str">
        <f>IFERROR(__xludf.DUMMYFUNCTION("""COMPUTED_VALUE"""),"FGM")</f>
        <v>FGM</v>
      </c>
      <c r="I522" s="9" t="str">
        <f>IFERROR(__xludf.DUMMYFUNCTION("""COMPUTED_VALUE"""),"FTS")</f>
        <v>FTS</v>
      </c>
      <c r="J522" s="9" t="str">
        <f>IFERROR(__xludf.DUMMYFUNCTION("""COMPUTED_VALUE"""),"SZ")</f>
        <v>SZ</v>
      </c>
      <c r="K522" s="9" t="str">
        <f>IFERROR(__xludf.DUMMYFUNCTION("""COMPUTED_VALUE"""),"tSZ")</f>
        <v>tSZ</v>
      </c>
      <c r="L522" s="9" t="str">
        <f>IFERROR(__xludf.DUMMYFUNCTION("""COMPUTED_VALUE"""),"tSZvl")</f>
        <v>tSZvl</v>
      </c>
      <c r="M522" s="9" t="str">
        <f>IFERROR(__xludf.DUMMYFUNCTION("""COMPUTED_VALUE"""),"tSZmi")</f>
        <v>tSZmi</v>
      </c>
      <c r="N522" s="9" t="str">
        <f>IFERROR(__xludf.DUMMYFUNCTION("""COMPUTED_VALUE"""),"tSZ36")</f>
        <v>tSZ36</v>
      </c>
      <c r="O522" s="9" t="str">
        <f>IFERROR(__xludf.DUMMYFUNCTION("""COMPUTED_VALUE"""),"tSZ36o")</f>
        <v>tSZ36o</v>
      </c>
      <c r="P522" s="9"/>
      <c r="Q522" s="9"/>
      <c r="R522" s="9"/>
      <c r="S522" s="42" t="str">
        <f>IFERROR(__xludf.DUMMYFUNCTION("""COMPUTED_VALUE"""),"tSZ36op")</f>
        <v>tSZ36op</v>
      </c>
      <c r="T522" s="42"/>
      <c r="U522" s="42" t="b">
        <f>IFERROR(__xludf.DUMMYFUNCTION("""COMPUTED_VALUE"""),FALSE)</f>
        <v>0</v>
      </c>
      <c r="V522" s="42"/>
      <c r="W522" s="42"/>
      <c r="X522" s="42"/>
      <c r="Y522" s="42"/>
      <c r="Z522" s="42"/>
      <c r="AA522" s="42"/>
      <c r="AB522" s="42" t="str">
        <f>IFERROR(__xludf.DUMMYFUNCTION("""COMPUTED_VALUE"""),"allen institute")</f>
        <v>allen institute</v>
      </c>
      <c r="AC522" s="42" t="str">
        <f>IFERROR(__xludf.DUMMYFUNCTION("""COMPUTED_VALUE"""),"DHBA")</f>
        <v>DHBA</v>
      </c>
      <c r="AD522" s="42"/>
      <c r="AE522" s="42"/>
      <c r="AF522" s="9"/>
      <c r="AG522" s="9"/>
      <c r="AH522" s="42"/>
      <c r="AI522" s="42"/>
      <c r="AJ522" s="42"/>
      <c r="AK522" s="42"/>
      <c r="AL522" s="42"/>
      <c r="AM522" s="42"/>
      <c r="AN522" s="42"/>
      <c r="AO522" s="63" t="str">
        <f>IFERROR(__xludf.DUMMYFUNCTION("IF(ISBLANK(A522),,IF(ISBLANK(S522), A522&amp;"";"", TEXTJOIN(CHAR(10), TRUE, A522&amp;"";"", ARRAYFORMULA(VLOOKUP(SPLIT(S522, "";"" &amp; CHAR(10)), $A:$AO, 41, FALSE)))))"),"tSZ36o;
tSZ36op;")</f>
        <v>tSZ36o;
tSZ36op;</v>
      </c>
      <c r="AP522" s="89"/>
    </row>
    <row r="523">
      <c r="A523" s="151" t="str">
        <f>IFERROR(__xludf.DUMMYFUNCTION("""COMPUTED_VALUE"""),"tSZ36op")</f>
        <v>tSZ36op</v>
      </c>
      <c r="B523" s="42" t="str">
        <f>IFERROR(__xludf.DUMMYFUNCTION("""COMPUTED_VALUE"""),"DHBA")</f>
        <v>DHBA</v>
      </c>
      <c r="C523" s="42" t="str">
        <f>IFERROR(__xludf.DUMMYFUNCTION("""COMPUTED_VALUE"""),"outer plexiform zone in rostral midinferior temporal cortex (area 36)")</f>
        <v>outer plexiform zone in rostral midinferior temporal cortex (area 36)</v>
      </c>
      <c r="D523" s="42">
        <f>IFERROR(__xludf.DUMMYFUNCTION("""COMPUTED_VALUE"""),489.0)</f>
        <v>489</v>
      </c>
      <c r="E523" s="39" t="str">
        <f>IFERROR(__xludf.DUMMYFUNCTION("""COMPUTED_VALUE"""),"outer plexiform zone in rostral midinferior temporal cortex (area 36)")</f>
        <v>outer plexiform zone in rostral midinferior temporal cortex (area 36)</v>
      </c>
      <c r="F523" s="9" t="str">
        <f>IFERROR(__xludf.DUMMYFUNCTION("""COMPUTED_VALUE"""),"Br")</f>
        <v>Br</v>
      </c>
      <c r="G523" s="9" t="str">
        <f>IFERROR(__xludf.DUMMYFUNCTION("""COMPUTED_VALUE"""),"F")</f>
        <v>F</v>
      </c>
      <c r="H523" s="9" t="str">
        <f>IFERROR(__xludf.DUMMYFUNCTION("""COMPUTED_VALUE"""),"FGM")</f>
        <v>FGM</v>
      </c>
      <c r="I523" s="9" t="str">
        <f>IFERROR(__xludf.DUMMYFUNCTION("""COMPUTED_VALUE"""),"FTS")</f>
        <v>FTS</v>
      </c>
      <c r="J523" s="9" t="str">
        <f>IFERROR(__xludf.DUMMYFUNCTION("""COMPUTED_VALUE"""),"SZ")</f>
        <v>SZ</v>
      </c>
      <c r="K523" s="9" t="str">
        <f>IFERROR(__xludf.DUMMYFUNCTION("""COMPUTED_VALUE"""),"tSZ")</f>
        <v>tSZ</v>
      </c>
      <c r="L523" s="9" t="str">
        <f>IFERROR(__xludf.DUMMYFUNCTION("""COMPUTED_VALUE"""),"tSZvl")</f>
        <v>tSZvl</v>
      </c>
      <c r="M523" s="9" t="str">
        <f>IFERROR(__xludf.DUMMYFUNCTION("""COMPUTED_VALUE"""),"tSZmi")</f>
        <v>tSZmi</v>
      </c>
      <c r="N523" s="9" t="str">
        <f>IFERROR(__xludf.DUMMYFUNCTION("""COMPUTED_VALUE"""),"tSZ36")</f>
        <v>tSZ36</v>
      </c>
      <c r="O523" s="9" t="str">
        <f>IFERROR(__xludf.DUMMYFUNCTION("""COMPUTED_VALUE"""),"tSZ36o")</f>
        <v>tSZ36o</v>
      </c>
      <c r="P523" s="9" t="str">
        <f>IFERROR(__xludf.DUMMYFUNCTION("""COMPUTED_VALUE"""),"tSZ36op")</f>
        <v>tSZ36op</v>
      </c>
      <c r="Q523" s="9"/>
      <c r="R523" s="9"/>
      <c r="S523" s="42"/>
      <c r="T523" s="42"/>
      <c r="U523" s="42"/>
      <c r="V523" s="42"/>
      <c r="W523" s="42"/>
      <c r="X523" s="42"/>
      <c r="Y523" s="42"/>
      <c r="Z523" s="42"/>
      <c r="AA523" s="42"/>
      <c r="AB523" s="42" t="str">
        <f>IFERROR(__xludf.DUMMYFUNCTION("""COMPUTED_VALUE"""),"allen institute")</f>
        <v>allen institute</v>
      </c>
      <c r="AC523" s="42" t="str">
        <f>IFERROR(__xludf.DUMMYFUNCTION("""COMPUTED_VALUE"""),"DHBA")</f>
        <v>DHBA</v>
      </c>
      <c r="AD523" s="42"/>
      <c r="AE523" s="42"/>
      <c r="AF523" s="9"/>
      <c r="AG523" s="9"/>
      <c r="AH523" s="42"/>
      <c r="AI523" s="42"/>
      <c r="AJ523" s="42"/>
      <c r="AK523" s="42"/>
      <c r="AL523" s="42"/>
      <c r="AM523" s="42"/>
      <c r="AN523" s="42"/>
      <c r="AO523" s="63" t="str">
        <f>IFERROR(__xludf.DUMMYFUNCTION("IF(ISBLANK(A523),,IF(ISBLANK(S523), A523&amp;"";"", TEXTJOIN(CHAR(10), TRUE, A523&amp;"";"", ARRAYFORMULA(VLOOKUP(SPLIT(S523, "";"" &amp; CHAR(10)), $A:$AO, 41, FALSE)))))"),"tSZ36op;")</f>
        <v>tSZ36op;</v>
      </c>
      <c r="AP523" s="89"/>
    </row>
    <row r="524">
      <c r="A524" s="151" t="str">
        <f>IFERROR(__xludf.DUMMYFUNCTION("""COMPUTED_VALUE"""),"tSZ36i")</f>
        <v>tSZ36i</v>
      </c>
      <c r="B524" s="42" t="str">
        <f>IFERROR(__xludf.DUMMYFUNCTION("""COMPUTED_VALUE"""),"DHBA")</f>
        <v>DHBA</v>
      </c>
      <c r="C524" s="42" t="str">
        <f>IFERROR(__xludf.DUMMYFUNCTION("""COMPUTED_VALUE"""),"inner SZ in rostral midinferior temporal cortex (area 36)")</f>
        <v>inner SZ in rostral midinferior temporal cortex (area 36)</v>
      </c>
      <c r="D524" s="42">
        <f>IFERROR(__xludf.DUMMYFUNCTION("""COMPUTED_VALUE"""),490.0)</f>
        <v>490</v>
      </c>
      <c r="E524" s="39" t="str">
        <f>IFERROR(__xludf.DUMMYFUNCTION("""COMPUTED_VALUE"""),"inner SZ in rostral midinferior temporal cortex (area 36)")</f>
        <v>inner SZ in rostral midinferior temporal cortex (area 36)</v>
      </c>
      <c r="F524" s="9" t="str">
        <f>IFERROR(__xludf.DUMMYFUNCTION("""COMPUTED_VALUE"""),"Br")</f>
        <v>Br</v>
      </c>
      <c r="G524" s="9" t="str">
        <f>IFERROR(__xludf.DUMMYFUNCTION("""COMPUTED_VALUE"""),"F")</f>
        <v>F</v>
      </c>
      <c r="H524" s="9" t="str">
        <f>IFERROR(__xludf.DUMMYFUNCTION("""COMPUTED_VALUE"""),"FGM")</f>
        <v>FGM</v>
      </c>
      <c r="I524" s="9" t="str">
        <f>IFERROR(__xludf.DUMMYFUNCTION("""COMPUTED_VALUE"""),"FTS")</f>
        <v>FTS</v>
      </c>
      <c r="J524" s="9" t="str">
        <f>IFERROR(__xludf.DUMMYFUNCTION("""COMPUTED_VALUE"""),"SZ")</f>
        <v>SZ</v>
      </c>
      <c r="K524" s="9" t="str">
        <f>IFERROR(__xludf.DUMMYFUNCTION("""COMPUTED_VALUE"""),"tSZ")</f>
        <v>tSZ</v>
      </c>
      <c r="L524" s="9" t="str">
        <f>IFERROR(__xludf.DUMMYFUNCTION("""COMPUTED_VALUE"""),"tSZvl")</f>
        <v>tSZvl</v>
      </c>
      <c r="M524" s="9" t="str">
        <f>IFERROR(__xludf.DUMMYFUNCTION("""COMPUTED_VALUE"""),"tSZmi")</f>
        <v>tSZmi</v>
      </c>
      <c r="N524" s="9" t="str">
        <f>IFERROR(__xludf.DUMMYFUNCTION("""COMPUTED_VALUE"""),"tSZ36")</f>
        <v>tSZ36</v>
      </c>
      <c r="O524" s="9" t="str">
        <f>IFERROR(__xludf.DUMMYFUNCTION("""COMPUTED_VALUE"""),"tSZ36i")</f>
        <v>tSZ36i</v>
      </c>
      <c r="P524" s="9"/>
      <c r="Q524" s="9"/>
      <c r="R524" s="9"/>
      <c r="S524" s="42" t="str">
        <f>IFERROR(__xludf.DUMMYFUNCTION("""COMPUTED_VALUE"""),"tSZ36ip")</f>
        <v>tSZ36ip</v>
      </c>
      <c r="T524" s="42"/>
      <c r="U524" s="42" t="b">
        <f>IFERROR(__xludf.DUMMYFUNCTION("""COMPUTED_VALUE"""),FALSE)</f>
        <v>0</v>
      </c>
      <c r="V524" s="42"/>
      <c r="W524" s="42"/>
      <c r="X524" s="42"/>
      <c r="Y524" s="42"/>
      <c r="Z524" s="42"/>
      <c r="AA524" s="42"/>
      <c r="AB524" s="42" t="str">
        <f>IFERROR(__xludf.DUMMYFUNCTION("""COMPUTED_VALUE"""),"allen institute")</f>
        <v>allen institute</v>
      </c>
      <c r="AC524" s="42" t="str">
        <f>IFERROR(__xludf.DUMMYFUNCTION("""COMPUTED_VALUE"""),"DHBA")</f>
        <v>DHBA</v>
      </c>
      <c r="AD524" s="42"/>
      <c r="AE524" s="42"/>
      <c r="AF524" s="9"/>
      <c r="AG524" s="9"/>
      <c r="AH524" s="42"/>
      <c r="AI524" s="42"/>
      <c r="AJ524" s="42"/>
      <c r="AK524" s="42"/>
      <c r="AL524" s="42"/>
      <c r="AM524" s="42"/>
      <c r="AN524" s="42"/>
      <c r="AO524" s="63" t="str">
        <f>IFERROR(__xludf.DUMMYFUNCTION("IF(ISBLANK(A524),,IF(ISBLANK(S524), A524&amp;"";"", TEXTJOIN(CHAR(10), TRUE, A524&amp;"";"", ARRAYFORMULA(VLOOKUP(SPLIT(S524, "";"" &amp; CHAR(10)), $A:$AO, 41, FALSE)))))"),"tSZ36i;
tSZ36ip;")</f>
        <v>tSZ36i;
tSZ36ip;</v>
      </c>
      <c r="AP524" s="89"/>
    </row>
    <row r="525">
      <c r="A525" s="151" t="str">
        <f>IFERROR(__xludf.DUMMYFUNCTION("""COMPUTED_VALUE"""),"tSZ36ip")</f>
        <v>tSZ36ip</v>
      </c>
      <c r="B525" s="42" t="str">
        <f>IFERROR(__xludf.DUMMYFUNCTION("""COMPUTED_VALUE"""),"DHBA")</f>
        <v>DHBA</v>
      </c>
      <c r="C525" s="42" t="str">
        <f>IFERROR(__xludf.DUMMYFUNCTION("""COMPUTED_VALUE"""),"inner plexiform zone in rostral midinferior temporal cortex (area 36)")</f>
        <v>inner plexiform zone in rostral midinferior temporal cortex (area 36)</v>
      </c>
      <c r="D525" s="42">
        <f>IFERROR(__xludf.DUMMYFUNCTION("""COMPUTED_VALUE"""),491.0)</f>
        <v>491</v>
      </c>
      <c r="E525" s="39" t="str">
        <f>IFERROR(__xludf.DUMMYFUNCTION("""COMPUTED_VALUE"""),"inner plexiform zone in rostral midinferior temporal cortex (area 36)")</f>
        <v>inner plexiform zone in rostral midinferior temporal cortex (area 36)</v>
      </c>
      <c r="F525" s="9" t="str">
        <f>IFERROR(__xludf.DUMMYFUNCTION("""COMPUTED_VALUE"""),"Br")</f>
        <v>Br</v>
      </c>
      <c r="G525" s="9" t="str">
        <f>IFERROR(__xludf.DUMMYFUNCTION("""COMPUTED_VALUE"""),"F")</f>
        <v>F</v>
      </c>
      <c r="H525" s="9" t="str">
        <f>IFERROR(__xludf.DUMMYFUNCTION("""COMPUTED_VALUE"""),"FGM")</f>
        <v>FGM</v>
      </c>
      <c r="I525" s="9" t="str">
        <f>IFERROR(__xludf.DUMMYFUNCTION("""COMPUTED_VALUE"""),"FTS")</f>
        <v>FTS</v>
      </c>
      <c r="J525" s="9" t="str">
        <f>IFERROR(__xludf.DUMMYFUNCTION("""COMPUTED_VALUE"""),"SZ")</f>
        <v>SZ</v>
      </c>
      <c r="K525" s="9" t="str">
        <f>IFERROR(__xludf.DUMMYFUNCTION("""COMPUTED_VALUE"""),"tSZ")</f>
        <v>tSZ</v>
      </c>
      <c r="L525" s="9" t="str">
        <f>IFERROR(__xludf.DUMMYFUNCTION("""COMPUTED_VALUE"""),"tSZvl")</f>
        <v>tSZvl</v>
      </c>
      <c r="M525" s="9" t="str">
        <f>IFERROR(__xludf.DUMMYFUNCTION("""COMPUTED_VALUE"""),"tSZmi")</f>
        <v>tSZmi</v>
      </c>
      <c r="N525" s="9" t="str">
        <f>IFERROR(__xludf.DUMMYFUNCTION("""COMPUTED_VALUE"""),"tSZ36")</f>
        <v>tSZ36</v>
      </c>
      <c r="O525" s="9" t="str">
        <f>IFERROR(__xludf.DUMMYFUNCTION("""COMPUTED_VALUE"""),"tSZ36i")</f>
        <v>tSZ36i</v>
      </c>
      <c r="P525" s="9" t="str">
        <f>IFERROR(__xludf.DUMMYFUNCTION("""COMPUTED_VALUE"""),"tSZ36ip")</f>
        <v>tSZ36ip</v>
      </c>
      <c r="Q525" s="9"/>
      <c r="R525" s="9"/>
      <c r="S525" s="42"/>
      <c r="T525" s="42"/>
      <c r="U525" s="42"/>
      <c r="V525" s="42"/>
      <c r="W525" s="42"/>
      <c r="X525" s="42"/>
      <c r="Y525" s="42"/>
      <c r="Z525" s="42"/>
      <c r="AA525" s="42"/>
      <c r="AB525" s="42" t="str">
        <f>IFERROR(__xludf.DUMMYFUNCTION("""COMPUTED_VALUE"""),"allen institute")</f>
        <v>allen institute</v>
      </c>
      <c r="AC525" s="42" t="str">
        <f>IFERROR(__xludf.DUMMYFUNCTION("""COMPUTED_VALUE"""),"DHBA")</f>
        <v>DHBA</v>
      </c>
      <c r="AD525" s="42"/>
      <c r="AE525" s="42"/>
      <c r="AF525" s="9"/>
      <c r="AG525" s="9"/>
      <c r="AH525" s="42"/>
      <c r="AI525" s="42"/>
      <c r="AJ525" s="42"/>
      <c r="AK525" s="42"/>
      <c r="AL525" s="42"/>
      <c r="AM525" s="42"/>
      <c r="AN525" s="42"/>
      <c r="AO525" s="63" t="str">
        <f>IFERROR(__xludf.DUMMYFUNCTION("IF(ISBLANK(A525),,IF(ISBLANK(S525), A525&amp;"";"", TEXTJOIN(CHAR(10), TRUE, A525&amp;"";"", ARRAYFORMULA(VLOOKUP(SPLIT(S525, "";"" &amp; CHAR(10)), $A:$AO, 41, FALSE)))))"),"tSZ36ip;")</f>
        <v>tSZ36ip;</v>
      </c>
      <c r="AP525" s="89"/>
    </row>
    <row r="526">
      <c r="A526" s="151" t="str">
        <f>IFERROR(__xludf.DUMMYFUNCTION("""COMPUTED_VALUE"""),"tSZtf")</f>
        <v>tSZtf</v>
      </c>
      <c r="B526" s="42" t="str">
        <f>IFERROR(__xludf.DUMMYFUNCTION("""COMPUTED_VALUE"""),"DHBA")</f>
        <v>DHBA</v>
      </c>
      <c r="C526" s="42" t="str">
        <f>IFERROR(__xludf.DUMMYFUNCTION("""COMPUTED_VALUE"""),"SZ in caudal midinferior temporal cortex (area TF)")</f>
        <v>SZ in caudal midinferior temporal cortex (area TF)</v>
      </c>
      <c r="D526" s="42">
        <f>IFERROR(__xludf.DUMMYFUNCTION("""COMPUTED_VALUE"""),492.0)</f>
        <v>492</v>
      </c>
      <c r="E526" s="39" t="str">
        <f>IFERROR(__xludf.DUMMYFUNCTION("""COMPUTED_VALUE"""),"SZ in caudal midinferior temporal cortex (area TF)")</f>
        <v>SZ in caudal midinferior temporal cortex (area TF)</v>
      </c>
      <c r="F526" s="9" t="str">
        <f>IFERROR(__xludf.DUMMYFUNCTION("""COMPUTED_VALUE"""),"Br")</f>
        <v>Br</v>
      </c>
      <c r="G526" s="9" t="str">
        <f>IFERROR(__xludf.DUMMYFUNCTION("""COMPUTED_VALUE"""),"F")</f>
        <v>F</v>
      </c>
      <c r="H526" s="9" t="str">
        <f>IFERROR(__xludf.DUMMYFUNCTION("""COMPUTED_VALUE"""),"FGM")</f>
        <v>FGM</v>
      </c>
      <c r="I526" s="9" t="str">
        <f>IFERROR(__xludf.DUMMYFUNCTION("""COMPUTED_VALUE"""),"FTS")</f>
        <v>FTS</v>
      </c>
      <c r="J526" s="9" t="str">
        <f>IFERROR(__xludf.DUMMYFUNCTION("""COMPUTED_VALUE"""),"SZ")</f>
        <v>SZ</v>
      </c>
      <c r="K526" s="9" t="str">
        <f>IFERROR(__xludf.DUMMYFUNCTION("""COMPUTED_VALUE"""),"tSZ")</f>
        <v>tSZ</v>
      </c>
      <c r="L526" s="9" t="str">
        <f>IFERROR(__xludf.DUMMYFUNCTION("""COMPUTED_VALUE"""),"tSZvl")</f>
        <v>tSZvl</v>
      </c>
      <c r="M526" s="9" t="str">
        <f>IFERROR(__xludf.DUMMYFUNCTION("""COMPUTED_VALUE"""),"tSZmi")</f>
        <v>tSZmi</v>
      </c>
      <c r="N526" s="9" t="str">
        <f>IFERROR(__xludf.DUMMYFUNCTION("""COMPUTED_VALUE"""),"tSZtf")</f>
        <v>tSZtf</v>
      </c>
      <c r="O526" s="9"/>
      <c r="P526" s="9"/>
      <c r="Q526" s="9"/>
      <c r="R526" s="9"/>
      <c r="S526" s="42" t="str">
        <f>IFERROR(__xludf.DUMMYFUNCTION("""COMPUTED_VALUE"""),"tSZtfo;
tSZtfi")</f>
        <v>tSZtfo;
tSZtfi</v>
      </c>
      <c r="T526" s="42"/>
      <c r="U526" s="42" t="b">
        <f>IFERROR(__xludf.DUMMYFUNCTION("""COMPUTED_VALUE"""),FALSE)</f>
        <v>0</v>
      </c>
      <c r="V526" s="42"/>
      <c r="W526" s="42"/>
      <c r="X526" s="42"/>
      <c r="Y526" s="42"/>
      <c r="Z526" s="42"/>
      <c r="AA526" s="42"/>
      <c r="AB526" s="42" t="str">
        <f>IFERROR(__xludf.DUMMYFUNCTION("""COMPUTED_VALUE"""),"allen institute")</f>
        <v>allen institute</v>
      </c>
      <c r="AC526" s="42" t="str">
        <f>IFERROR(__xludf.DUMMYFUNCTION("""COMPUTED_VALUE"""),"DHBA")</f>
        <v>DHBA</v>
      </c>
      <c r="AD526" s="42"/>
      <c r="AE526" s="42"/>
      <c r="AF526" s="9"/>
      <c r="AG526" s="9"/>
      <c r="AH526" s="42"/>
      <c r="AI526" s="42"/>
      <c r="AJ526" s="42"/>
      <c r="AK526" s="42"/>
      <c r="AL526" s="42"/>
      <c r="AM526" s="42"/>
      <c r="AN526" s="42"/>
      <c r="AO526" s="63" t="str">
        <f>IFERROR(__xludf.DUMMYFUNCTION("IF(ISBLANK(A526),,IF(ISBLANK(S526), A526&amp;"";"", TEXTJOIN(CHAR(10), TRUE, A526&amp;"";"", ARRAYFORMULA(VLOOKUP(SPLIT(S526, "";"" &amp; CHAR(10)), $A:$AO, 41, FALSE)))))"),"tSZtf;
tSZtfo;
tSZtfop;
tSZtfi;
tSZtfip;")</f>
        <v>tSZtf;
tSZtfo;
tSZtfop;
tSZtfi;
tSZtfip;</v>
      </c>
      <c r="AP526" s="89"/>
    </row>
    <row r="527">
      <c r="A527" s="151" t="str">
        <f>IFERROR(__xludf.DUMMYFUNCTION("""COMPUTED_VALUE"""),"tSZtfo")</f>
        <v>tSZtfo</v>
      </c>
      <c r="B527" s="42" t="str">
        <f>IFERROR(__xludf.DUMMYFUNCTION("""COMPUTED_VALUE"""),"DHBA")</f>
        <v>DHBA</v>
      </c>
      <c r="C527" s="42" t="str">
        <f>IFERROR(__xludf.DUMMYFUNCTION("""COMPUTED_VALUE"""),"outer SZ in caudal midinferior temporal cortex (area TF)")</f>
        <v>outer SZ in caudal midinferior temporal cortex (area TF)</v>
      </c>
      <c r="D527" s="42">
        <f>IFERROR(__xludf.DUMMYFUNCTION("""COMPUTED_VALUE"""),493.0)</f>
        <v>493</v>
      </c>
      <c r="E527" s="39" t="str">
        <f>IFERROR(__xludf.DUMMYFUNCTION("""COMPUTED_VALUE"""),"outer SZ in caudal midinferior temporal cortex (area TF)")</f>
        <v>outer SZ in caudal midinferior temporal cortex (area TF)</v>
      </c>
      <c r="F527" s="9" t="str">
        <f>IFERROR(__xludf.DUMMYFUNCTION("""COMPUTED_VALUE"""),"Br")</f>
        <v>Br</v>
      </c>
      <c r="G527" s="9" t="str">
        <f>IFERROR(__xludf.DUMMYFUNCTION("""COMPUTED_VALUE"""),"F")</f>
        <v>F</v>
      </c>
      <c r="H527" s="9" t="str">
        <f>IFERROR(__xludf.DUMMYFUNCTION("""COMPUTED_VALUE"""),"FGM")</f>
        <v>FGM</v>
      </c>
      <c r="I527" s="9" t="str">
        <f>IFERROR(__xludf.DUMMYFUNCTION("""COMPUTED_VALUE"""),"FTS")</f>
        <v>FTS</v>
      </c>
      <c r="J527" s="9" t="str">
        <f>IFERROR(__xludf.DUMMYFUNCTION("""COMPUTED_VALUE"""),"SZ")</f>
        <v>SZ</v>
      </c>
      <c r="K527" s="9" t="str">
        <f>IFERROR(__xludf.DUMMYFUNCTION("""COMPUTED_VALUE"""),"tSZ")</f>
        <v>tSZ</v>
      </c>
      <c r="L527" s="9" t="str">
        <f>IFERROR(__xludf.DUMMYFUNCTION("""COMPUTED_VALUE"""),"tSZvl")</f>
        <v>tSZvl</v>
      </c>
      <c r="M527" s="9" t="str">
        <f>IFERROR(__xludf.DUMMYFUNCTION("""COMPUTED_VALUE"""),"tSZmi")</f>
        <v>tSZmi</v>
      </c>
      <c r="N527" s="9" t="str">
        <f>IFERROR(__xludf.DUMMYFUNCTION("""COMPUTED_VALUE"""),"tSZtf")</f>
        <v>tSZtf</v>
      </c>
      <c r="O527" s="9" t="str">
        <f>IFERROR(__xludf.DUMMYFUNCTION("""COMPUTED_VALUE"""),"tSZtfo")</f>
        <v>tSZtfo</v>
      </c>
      <c r="P527" s="9"/>
      <c r="Q527" s="9"/>
      <c r="R527" s="9"/>
      <c r="S527" s="42" t="str">
        <f>IFERROR(__xludf.DUMMYFUNCTION("""COMPUTED_VALUE"""),"tSZtfop")</f>
        <v>tSZtfop</v>
      </c>
      <c r="T527" s="42"/>
      <c r="U527" s="42" t="b">
        <f>IFERROR(__xludf.DUMMYFUNCTION("""COMPUTED_VALUE"""),FALSE)</f>
        <v>0</v>
      </c>
      <c r="V527" s="42"/>
      <c r="W527" s="42"/>
      <c r="X527" s="42"/>
      <c r="Y527" s="42"/>
      <c r="Z527" s="42"/>
      <c r="AA527" s="42"/>
      <c r="AB527" s="42" t="str">
        <f>IFERROR(__xludf.DUMMYFUNCTION("""COMPUTED_VALUE"""),"allen institute")</f>
        <v>allen institute</v>
      </c>
      <c r="AC527" s="42" t="str">
        <f>IFERROR(__xludf.DUMMYFUNCTION("""COMPUTED_VALUE"""),"DHBA")</f>
        <v>DHBA</v>
      </c>
      <c r="AD527" s="42"/>
      <c r="AE527" s="42"/>
      <c r="AF527" s="9"/>
      <c r="AG527" s="9"/>
      <c r="AH527" s="42"/>
      <c r="AI527" s="42"/>
      <c r="AJ527" s="42"/>
      <c r="AK527" s="42"/>
      <c r="AL527" s="42"/>
      <c r="AM527" s="42"/>
      <c r="AN527" s="42"/>
      <c r="AO527" s="63" t="str">
        <f>IFERROR(__xludf.DUMMYFUNCTION("IF(ISBLANK(A527),,IF(ISBLANK(S527), A527&amp;"";"", TEXTJOIN(CHAR(10), TRUE, A527&amp;"";"", ARRAYFORMULA(VLOOKUP(SPLIT(S527, "";"" &amp; CHAR(10)), $A:$AO, 41, FALSE)))))"),"tSZtfo;
tSZtfop;")</f>
        <v>tSZtfo;
tSZtfop;</v>
      </c>
      <c r="AP527" s="89"/>
    </row>
    <row r="528">
      <c r="A528" s="151" t="str">
        <f>IFERROR(__xludf.DUMMYFUNCTION("""COMPUTED_VALUE"""),"tSZtfop")</f>
        <v>tSZtfop</v>
      </c>
      <c r="B528" s="42" t="str">
        <f>IFERROR(__xludf.DUMMYFUNCTION("""COMPUTED_VALUE"""),"DHBA")</f>
        <v>DHBA</v>
      </c>
      <c r="C528" s="42" t="str">
        <f>IFERROR(__xludf.DUMMYFUNCTION("""COMPUTED_VALUE"""),"outer plexiform zone in caudal midinferior temporal cortex (area TF)")</f>
        <v>outer plexiform zone in caudal midinferior temporal cortex (area TF)</v>
      </c>
      <c r="D528" s="42">
        <f>IFERROR(__xludf.DUMMYFUNCTION("""COMPUTED_VALUE"""),494.0)</f>
        <v>494</v>
      </c>
      <c r="E528" s="39" t="str">
        <f>IFERROR(__xludf.DUMMYFUNCTION("""COMPUTED_VALUE"""),"outer plexiform zone in caudal midinferior temporal cortex (area TF)")</f>
        <v>outer plexiform zone in caudal midinferior temporal cortex (area TF)</v>
      </c>
      <c r="F528" s="9" t="str">
        <f>IFERROR(__xludf.DUMMYFUNCTION("""COMPUTED_VALUE"""),"Br")</f>
        <v>Br</v>
      </c>
      <c r="G528" s="9" t="str">
        <f>IFERROR(__xludf.DUMMYFUNCTION("""COMPUTED_VALUE"""),"F")</f>
        <v>F</v>
      </c>
      <c r="H528" s="9" t="str">
        <f>IFERROR(__xludf.DUMMYFUNCTION("""COMPUTED_VALUE"""),"FGM")</f>
        <v>FGM</v>
      </c>
      <c r="I528" s="9" t="str">
        <f>IFERROR(__xludf.DUMMYFUNCTION("""COMPUTED_VALUE"""),"FTS")</f>
        <v>FTS</v>
      </c>
      <c r="J528" s="9" t="str">
        <f>IFERROR(__xludf.DUMMYFUNCTION("""COMPUTED_VALUE"""),"SZ")</f>
        <v>SZ</v>
      </c>
      <c r="K528" s="9" t="str">
        <f>IFERROR(__xludf.DUMMYFUNCTION("""COMPUTED_VALUE"""),"tSZ")</f>
        <v>tSZ</v>
      </c>
      <c r="L528" s="9" t="str">
        <f>IFERROR(__xludf.DUMMYFUNCTION("""COMPUTED_VALUE"""),"tSZvl")</f>
        <v>tSZvl</v>
      </c>
      <c r="M528" s="9" t="str">
        <f>IFERROR(__xludf.DUMMYFUNCTION("""COMPUTED_VALUE"""),"tSZmi")</f>
        <v>tSZmi</v>
      </c>
      <c r="N528" s="9" t="str">
        <f>IFERROR(__xludf.DUMMYFUNCTION("""COMPUTED_VALUE"""),"tSZtf")</f>
        <v>tSZtf</v>
      </c>
      <c r="O528" s="9" t="str">
        <f>IFERROR(__xludf.DUMMYFUNCTION("""COMPUTED_VALUE"""),"tSZtfo")</f>
        <v>tSZtfo</v>
      </c>
      <c r="P528" s="9" t="str">
        <f>IFERROR(__xludf.DUMMYFUNCTION("""COMPUTED_VALUE"""),"tSZtfop")</f>
        <v>tSZtfop</v>
      </c>
      <c r="Q528" s="9"/>
      <c r="R528" s="9"/>
      <c r="S528" s="42"/>
      <c r="T528" s="42"/>
      <c r="U528" s="42"/>
      <c r="V528" s="42"/>
      <c r="W528" s="42"/>
      <c r="X528" s="42"/>
      <c r="Y528" s="42"/>
      <c r="Z528" s="42"/>
      <c r="AA528" s="42"/>
      <c r="AB528" s="42" t="str">
        <f>IFERROR(__xludf.DUMMYFUNCTION("""COMPUTED_VALUE"""),"allen institute")</f>
        <v>allen institute</v>
      </c>
      <c r="AC528" s="42" t="str">
        <f>IFERROR(__xludf.DUMMYFUNCTION("""COMPUTED_VALUE"""),"DHBA")</f>
        <v>DHBA</v>
      </c>
      <c r="AD528" s="42"/>
      <c r="AE528" s="42"/>
      <c r="AF528" s="9"/>
      <c r="AG528" s="9"/>
      <c r="AH528" s="42"/>
      <c r="AI528" s="42"/>
      <c r="AJ528" s="42"/>
      <c r="AK528" s="42"/>
      <c r="AL528" s="42"/>
      <c r="AM528" s="42"/>
      <c r="AN528" s="42"/>
      <c r="AO528" s="63" t="str">
        <f>IFERROR(__xludf.DUMMYFUNCTION("IF(ISBLANK(A528),,IF(ISBLANK(S528), A528&amp;"";"", TEXTJOIN(CHAR(10), TRUE, A528&amp;"";"", ARRAYFORMULA(VLOOKUP(SPLIT(S528, "";"" &amp; CHAR(10)), $A:$AO, 41, FALSE)))))"),"tSZtfop;")</f>
        <v>tSZtfop;</v>
      </c>
      <c r="AP528" s="89"/>
    </row>
    <row r="529">
      <c r="A529" s="151" t="str">
        <f>IFERROR(__xludf.DUMMYFUNCTION("""COMPUTED_VALUE"""),"tSZtfi")</f>
        <v>tSZtfi</v>
      </c>
      <c r="B529" s="42" t="str">
        <f>IFERROR(__xludf.DUMMYFUNCTION("""COMPUTED_VALUE"""),"DHBA")</f>
        <v>DHBA</v>
      </c>
      <c r="C529" s="42" t="str">
        <f>IFERROR(__xludf.DUMMYFUNCTION("""COMPUTED_VALUE"""),"inner SZ in caudal midinferior temporal cortex (area TF)")</f>
        <v>inner SZ in caudal midinferior temporal cortex (area TF)</v>
      </c>
      <c r="D529" s="42">
        <f>IFERROR(__xludf.DUMMYFUNCTION("""COMPUTED_VALUE"""),495.0)</f>
        <v>495</v>
      </c>
      <c r="E529" s="39" t="str">
        <f>IFERROR(__xludf.DUMMYFUNCTION("""COMPUTED_VALUE"""),"inner SZ in caudal midinferior temporal cortex (area TF)")</f>
        <v>inner SZ in caudal midinferior temporal cortex (area TF)</v>
      </c>
      <c r="F529" s="9" t="str">
        <f>IFERROR(__xludf.DUMMYFUNCTION("""COMPUTED_VALUE"""),"Br")</f>
        <v>Br</v>
      </c>
      <c r="G529" s="9" t="str">
        <f>IFERROR(__xludf.DUMMYFUNCTION("""COMPUTED_VALUE"""),"F")</f>
        <v>F</v>
      </c>
      <c r="H529" s="9" t="str">
        <f>IFERROR(__xludf.DUMMYFUNCTION("""COMPUTED_VALUE"""),"FGM")</f>
        <v>FGM</v>
      </c>
      <c r="I529" s="9" t="str">
        <f>IFERROR(__xludf.DUMMYFUNCTION("""COMPUTED_VALUE"""),"FTS")</f>
        <v>FTS</v>
      </c>
      <c r="J529" s="9" t="str">
        <f>IFERROR(__xludf.DUMMYFUNCTION("""COMPUTED_VALUE"""),"SZ")</f>
        <v>SZ</v>
      </c>
      <c r="K529" s="9" t="str">
        <f>IFERROR(__xludf.DUMMYFUNCTION("""COMPUTED_VALUE"""),"tSZ")</f>
        <v>tSZ</v>
      </c>
      <c r="L529" s="9" t="str">
        <f>IFERROR(__xludf.DUMMYFUNCTION("""COMPUTED_VALUE"""),"tSZvl")</f>
        <v>tSZvl</v>
      </c>
      <c r="M529" s="9" t="str">
        <f>IFERROR(__xludf.DUMMYFUNCTION("""COMPUTED_VALUE"""),"tSZmi")</f>
        <v>tSZmi</v>
      </c>
      <c r="N529" s="9" t="str">
        <f>IFERROR(__xludf.DUMMYFUNCTION("""COMPUTED_VALUE"""),"tSZtf")</f>
        <v>tSZtf</v>
      </c>
      <c r="O529" s="9" t="str">
        <f>IFERROR(__xludf.DUMMYFUNCTION("""COMPUTED_VALUE"""),"tSZtfi")</f>
        <v>tSZtfi</v>
      </c>
      <c r="P529" s="9"/>
      <c r="Q529" s="9"/>
      <c r="R529" s="9"/>
      <c r="S529" s="42" t="str">
        <f>IFERROR(__xludf.DUMMYFUNCTION("""COMPUTED_VALUE"""),"tSZtfip")</f>
        <v>tSZtfip</v>
      </c>
      <c r="T529" s="42"/>
      <c r="U529" s="42" t="b">
        <f>IFERROR(__xludf.DUMMYFUNCTION("""COMPUTED_VALUE"""),FALSE)</f>
        <v>0</v>
      </c>
      <c r="V529" s="42"/>
      <c r="W529" s="42"/>
      <c r="X529" s="42"/>
      <c r="Y529" s="42"/>
      <c r="Z529" s="42"/>
      <c r="AA529" s="42"/>
      <c r="AB529" s="42" t="str">
        <f>IFERROR(__xludf.DUMMYFUNCTION("""COMPUTED_VALUE"""),"allen institute")</f>
        <v>allen institute</v>
      </c>
      <c r="AC529" s="42" t="str">
        <f>IFERROR(__xludf.DUMMYFUNCTION("""COMPUTED_VALUE"""),"DHBA")</f>
        <v>DHBA</v>
      </c>
      <c r="AD529" s="42"/>
      <c r="AE529" s="42"/>
      <c r="AF529" s="9"/>
      <c r="AG529" s="9"/>
      <c r="AH529" s="42"/>
      <c r="AI529" s="42"/>
      <c r="AJ529" s="42"/>
      <c r="AK529" s="42"/>
      <c r="AL529" s="42"/>
      <c r="AM529" s="42"/>
      <c r="AN529" s="42"/>
      <c r="AO529" s="63" t="str">
        <f>IFERROR(__xludf.DUMMYFUNCTION("IF(ISBLANK(A529),,IF(ISBLANK(S529), A529&amp;"";"", TEXTJOIN(CHAR(10), TRUE, A529&amp;"";"", ARRAYFORMULA(VLOOKUP(SPLIT(S529, "";"" &amp; CHAR(10)), $A:$AO, 41, FALSE)))))"),"tSZtfi;
tSZtfip;")</f>
        <v>tSZtfi;
tSZtfip;</v>
      </c>
      <c r="AP529" s="89"/>
    </row>
    <row r="530">
      <c r="A530" s="151" t="str">
        <f>IFERROR(__xludf.DUMMYFUNCTION("""COMPUTED_VALUE"""),"tSZtfip")</f>
        <v>tSZtfip</v>
      </c>
      <c r="B530" s="42" t="str">
        <f>IFERROR(__xludf.DUMMYFUNCTION("""COMPUTED_VALUE"""),"DHBA")</f>
        <v>DHBA</v>
      </c>
      <c r="C530" s="42" t="str">
        <f>IFERROR(__xludf.DUMMYFUNCTION("""COMPUTED_VALUE"""),"inner plexiform zone in caudal midinferior temporal cortex (area TF)")</f>
        <v>inner plexiform zone in caudal midinferior temporal cortex (area TF)</v>
      </c>
      <c r="D530" s="42">
        <f>IFERROR(__xludf.DUMMYFUNCTION("""COMPUTED_VALUE"""),496.0)</f>
        <v>496</v>
      </c>
      <c r="E530" s="39" t="str">
        <f>IFERROR(__xludf.DUMMYFUNCTION("""COMPUTED_VALUE"""),"inner plexiform zone in caudal midinferior temporal cortex (area TF)")</f>
        <v>inner plexiform zone in caudal midinferior temporal cortex (area TF)</v>
      </c>
      <c r="F530" s="9" t="str">
        <f>IFERROR(__xludf.DUMMYFUNCTION("""COMPUTED_VALUE"""),"Br")</f>
        <v>Br</v>
      </c>
      <c r="G530" s="9" t="str">
        <f>IFERROR(__xludf.DUMMYFUNCTION("""COMPUTED_VALUE"""),"F")</f>
        <v>F</v>
      </c>
      <c r="H530" s="9" t="str">
        <f>IFERROR(__xludf.DUMMYFUNCTION("""COMPUTED_VALUE"""),"FGM")</f>
        <v>FGM</v>
      </c>
      <c r="I530" s="9" t="str">
        <f>IFERROR(__xludf.DUMMYFUNCTION("""COMPUTED_VALUE"""),"FTS")</f>
        <v>FTS</v>
      </c>
      <c r="J530" s="9" t="str">
        <f>IFERROR(__xludf.DUMMYFUNCTION("""COMPUTED_VALUE"""),"SZ")</f>
        <v>SZ</v>
      </c>
      <c r="K530" s="9" t="str">
        <f>IFERROR(__xludf.DUMMYFUNCTION("""COMPUTED_VALUE"""),"tSZ")</f>
        <v>tSZ</v>
      </c>
      <c r="L530" s="9" t="str">
        <f>IFERROR(__xludf.DUMMYFUNCTION("""COMPUTED_VALUE"""),"tSZvl")</f>
        <v>tSZvl</v>
      </c>
      <c r="M530" s="9" t="str">
        <f>IFERROR(__xludf.DUMMYFUNCTION("""COMPUTED_VALUE"""),"tSZmi")</f>
        <v>tSZmi</v>
      </c>
      <c r="N530" s="9" t="str">
        <f>IFERROR(__xludf.DUMMYFUNCTION("""COMPUTED_VALUE"""),"tSZtf")</f>
        <v>tSZtf</v>
      </c>
      <c r="O530" s="9" t="str">
        <f>IFERROR(__xludf.DUMMYFUNCTION("""COMPUTED_VALUE"""),"tSZtfi")</f>
        <v>tSZtfi</v>
      </c>
      <c r="P530" s="9" t="str">
        <f>IFERROR(__xludf.DUMMYFUNCTION("""COMPUTED_VALUE"""),"tSZtfip")</f>
        <v>tSZtfip</v>
      </c>
      <c r="Q530" s="9"/>
      <c r="R530" s="9"/>
      <c r="S530" s="42"/>
      <c r="T530" s="42"/>
      <c r="U530" s="42"/>
      <c r="V530" s="42"/>
      <c r="W530" s="42"/>
      <c r="X530" s="42"/>
      <c r="Y530" s="42"/>
      <c r="Z530" s="42"/>
      <c r="AA530" s="42"/>
      <c r="AB530" s="42" t="str">
        <f>IFERROR(__xludf.DUMMYFUNCTION("""COMPUTED_VALUE"""),"allen institute")</f>
        <v>allen institute</v>
      </c>
      <c r="AC530" s="42" t="str">
        <f>IFERROR(__xludf.DUMMYFUNCTION("""COMPUTED_VALUE"""),"DHBA")</f>
        <v>DHBA</v>
      </c>
      <c r="AD530" s="42"/>
      <c r="AE530" s="42"/>
      <c r="AF530" s="9"/>
      <c r="AG530" s="9"/>
      <c r="AH530" s="42"/>
      <c r="AI530" s="42"/>
      <c r="AJ530" s="42"/>
      <c r="AK530" s="42"/>
      <c r="AL530" s="42"/>
      <c r="AM530" s="42"/>
      <c r="AN530" s="42"/>
      <c r="AO530" s="63" t="str">
        <f>IFERROR(__xludf.DUMMYFUNCTION("IF(ISBLANK(A530),,IF(ISBLANK(S530), A530&amp;"";"", TEXTJOIN(CHAR(10), TRUE, A530&amp;"";"", ARRAYFORMULA(VLOOKUP(SPLIT(S530, "";"" &amp; CHAR(10)), $A:$AO, 41, FALSE)))))"),"tSZtfip;")</f>
        <v>tSZtfip;</v>
      </c>
      <c r="AP530" s="89"/>
    </row>
    <row r="531">
      <c r="A531" s="151" t="str">
        <f>IFERROR(__xludf.DUMMYFUNCTION("""COMPUTED_VALUE"""),"tSZph")</f>
        <v>tSZph</v>
      </c>
      <c r="B531" s="42" t="str">
        <f>IFERROR(__xludf.DUMMYFUNCTION("""COMPUTED_VALUE"""),"DHBA")</f>
        <v>DHBA</v>
      </c>
      <c r="C531" s="42" t="str">
        <f>IFERROR(__xludf.DUMMYFUNCTION("""COMPUTED_VALUE"""),"SZ in posterior parahippocampal cortex")</f>
        <v>SZ in posterior parahippocampal cortex</v>
      </c>
      <c r="D531" s="42">
        <f>IFERROR(__xludf.DUMMYFUNCTION("""COMPUTED_VALUE"""),497.0)</f>
        <v>497</v>
      </c>
      <c r="E531" s="39" t="str">
        <f>IFERROR(__xludf.DUMMYFUNCTION("""COMPUTED_VALUE"""),"SZ in posterior parahippocampal cortex")</f>
        <v>SZ in posterior parahippocampal cortex</v>
      </c>
      <c r="F531" s="9" t="str">
        <f>IFERROR(__xludf.DUMMYFUNCTION("""COMPUTED_VALUE"""),"Br")</f>
        <v>Br</v>
      </c>
      <c r="G531" s="9" t="str">
        <f>IFERROR(__xludf.DUMMYFUNCTION("""COMPUTED_VALUE"""),"F")</f>
        <v>F</v>
      </c>
      <c r="H531" s="9" t="str">
        <f>IFERROR(__xludf.DUMMYFUNCTION("""COMPUTED_VALUE"""),"FGM")</f>
        <v>FGM</v>
      </c>
      <c r="I531" s="9" t="str">
        <f>IFERROR(__xludf.DUMMYFUNCTION("""COMPUTED_VALUE"""),"FTS")</f>
        <v>FTS</v>
      </c>
      <c r="J531" s="9" t="str">
        <f>IFERROR(__xludf.DUMMYFUNCTION("""COMPUTED_VALUE"""),"SZ")</f>
        <v>SZ</v>
      </c>
      <c r="K531" s="9" t="str">
        <f>IFERROR(__xludf.DUMMYFUNCTION("""COMPUTED_VALUE"""),"tSZ")</f>
        <v>tSZ</v>
      </c>
      <c r="L531" s="9" t="str">
        <f>IFERROR(__xludf.DUMMYFUNCTION("""COMPUTED_VALUE"""),"tSZph")</f>
        <v>tSZph</v>
      </c>
      <c r="M531" s="9"/>
      <c r="N531" s="9"/>
      <c r="O531" s="9"/>
      <c r="P531" s="9"/>
      <c r="Q531" s="9"/>
      <c r="R531" s="9"/>
      <c r="S531" s="42" t="str">
        <f>IFERROR(__xludf.DUMMYFUNCTION("""COMPUTED_VALUE"""),"tSZpho;
tSZphi")</f>
        <v>tSZpho;
tSZphi</v>
      </c>
      <c r="T531" s="42"/>
      <c r="U531" s="42" t="b">
        <f>IFERROR(__xludf.DUMMYFUNCTION("""COMPUTED_VALUE"""),FALSE)</f>
        <v>0</v>
      </c>
      <c r="V531" s="42"/>
      <c r="W531" s="42"/>
      <c r="X531" s="42"/>
      <c r="Y531" s="42"/>
      <c r="Z531" s="42"/>
      <c r="AA531" s="42"/>
      <c r="AB531" s="42" t="str">
        <f>IFERROR(__xludf.DUMMYFUNCTION("""COMPUTED_VALUE"""),"allen institute")</f>
        <v>allen institute</v>
      </c>
      <c r="AC531" s="42" t="str">
        <f>IFERROR(__xludf.DUMMYFUNCTION("""COMPUTED_VALUE"""),"DHBA")</f>
        <v>DHBA</v>
      </c>
      <c r="AD531" s="42"/>
      <c r="AE531" s="42"/>
      <c r="AF531" s="9"/>
      <c r="AG531" s="9"/>
      <c r="AH531" s="42"/>
      <c r="AI531" s="42"/>
      <c r="AJ531" s="42"/>
      <c r="AK531" s="42"/>
      <c r="AL531" s="42"/>
      <c r="AM531" s="42"/>
      <c r="AN531" s="42"/>
      <c r="AO531" s="63" t="str">
        <f>IFERROR(__xludf.DUMMYFUNCTION("IF(ISBLANK(A531),,IF(ISBLANK(S531), A531&amp;"";"", TEXTJOIN(CHAR(10), TRUE, A531&amp;"";"", ARRAYFORMULA(VLOOKUP(SPLIT(S531, "";"" &amp; CHAR(10)), $A:$AO, 41, FALSE)))))"),"tSZph;
tSZpho;
tSZphop;
tSZphi;
tSZphip;")</f>
        <v>tSZph;
tSZpho;
tSZphop;
tSZphi;
tSZphip;</v>
      </c>
      <c r="AP531" s="89"/>
    </row>
    <row r="532">
      <c r="A532" s="151" t="str">
        <f>IFERROR(__xludf.DUMMYFUNCTION("""COMPUTED_VALUE"""),"tSZpho")</f>
        <v>tSZpho</v>
      </c>
      <c r="B532" s="42" t="str">
        <f>IFERROR(__xludf.DUMMYFUNCTION("""COMPUTED_VALUE"""),"DHBA")</f>
        <v>DHBA</v>
      </c>
      <c r="C532" s="42" t="str">
        <f>IFERROR(__xludf.DUMMYFUNCTION("""COMPUTED_VALUE"""),"outer SZ in posterior parahippocampal cortex")</f>
        <v>outer SZ in posterior parahippocampal cortex</v>
      </c>
      <c r="D532" s="42">
        <f>IFERROR(__xludf.DUMMYFUNCTION("""COMPUTED_VALUE"""),498.0)</f>
        <v>498</v>
      </c>
      <c r="E532" s="39" t="str">
        <f>IFERROR(__xludf.DUMMYFUNCTION("""COMPUTED_VALUE"""),"outer SZ in posterior parahippocampal cortex")</f>
        <v>outer SZ in posterior parahippocampal cortex</v>
      </c>
      <c r="F532" s="9" t="str">
        <f>IFERROR(__xludf.DUMMYFUNCTION("""COMPUTED_VALUE"""),"Br")</f>
        <v>Br</v>
      </c>
      <c r="G532" s="9" t="str">
        <f>IFERROR(__xludf.DUMMYFUNCTION("""COMPUTED_VALUE"""),"F")</f>
        <v>F</v>
      </c>
      <c r="H532" s="9" t="str">
        <f>IFERROR(__xludf.DUMMYFUNCTION("""COMPUTED_VALUE"""),"FGM")</f>
        <v>FGM</v>
      </c>
      <c r="I532" s="9" t="str">
        <f>IFERROR(__xludf.DUMMYFUNCTION("""COMPUTED_VALUE"""),"FTS")</f>
        <v>FTS</v>
      </c>
      <c r="J532" s="9" t="str">
        <f>IFERROR(__xludf.DUMMYFUNCTION("""COMPUTED_VALUE"""),"SZ")</f>
        <v>SZ</v>
      </c>
      <c r="K532" s="9" t="str">
        <f>IFERROR(__xludf.DUMMYFUNCTION("""COMPUTED_VALUE"""),"tSZ")</f>
        <v>tSZ</v>
      </c>
      <c r="L532" s="9" t="str">
        <f>IFERROR(__xludf.DUMMYFUNCTION("""COMPUTED_VALUE"""),"tSZph")</f>
        <v>tSZph</v>
      </c>
      <c r="M532" s="9" t="str">
        <f>IFERROR(__xludf.DUMMYFUNCTION("""COMPUTED_VALUE"""),"tSZpho")</f>
        <v>tSZpho</v>
      </c>
      <c r="N532" s="9"/>
      <c r="O532" s="9"/>
      <c r="P532" s="9"/>
      <c r="Q532" s="9"/>
      <c r="R532" s="9"/>
      <c r="S532" s="42" t="str">
        <f>IFERROR(__xludf.DUMMYFUNCTION("""COMPUTED_VALUE"""),"tSZphop")</f>
        <v>tSZphop</v>
      </c>
      <c r="T532" s="42"/>
      <c r="U532" s="42" t="b">
        <f>IFERROR(__xludf.DUMMYFUNCTION("""COMPUTED_VALUE"""),FALSE)</f>
        <v>0</v>
      </c>
      <c r="V532" s="42"/>
      <c r="W532" s="42"/>
      <c r="X532" s="42"/>
      <c r="Y532" s="42"/>
      <c r="Z532" s="42"/>
      <c r="AA532" s="42"/>
      <c r="AB532" s="42" t="str">
        <f>IFERROR(__xludf.DUMMYFUNCTION("""COMPUTED_VALUE"""),"allen institute")</f>
        <v>allen institute</v>
      </c>
      <c r="AC532" s="42" t="str">
        <f>IFERROR(__xludf.DUMMYFUNCTION("""COMPUTED_VALUE"""),"DHBA")</f>
        <v>DHBA</v>
      </c>
      <c r="AD532" s="42"/>
      <c r="AE532" s="42"/>
      <c r="AF532" s="9"/>
      <c r="AG532" s="9"/>
      <c r="AH532" s="42"/>
      <c r="AI532" s="42"/>
      <c r="AJ532" s="42"/>
      <c r="AK532" s="42"/>
      <c r="AL532" s="42"/>
      <c r="AM532" s="42"/>
      <c r="AN532" s="42"/>
      <c r="AO532" s="63" t="str">
        <f>IFERROR(__xludf.DUMMYFUNCTION("IF(ISBLANK(A532),,IF(ISBLANK(S532), A532&amp;"";"", TEXTJOIN(CHAR(10), TRUE, A532&amp;"";"", ARRAYFORMULA(VLOOKUP(SPLIT(S532, "";"" &amp; CHAR(10)), $A:$AO, 41, FALSE)))))"),"tSZpho;
tSZphop;")</f>
        <v>tSZpho;
tSZphop;</v>
      </c>
      <c r="AP532" s="89"/>
    </row>
    <row r="533">
      <c r="A533" s="151" t="str">
        <f>IFERROR(__xludf.DUMMYFUNCTION("""COMPUTED_VALUE"""),"tSZphop")</f>
        <v>tSZphop</v>
      </c>
      <c r="B533" s="42" t="str">
        <f>IFERROR(__xludf.DUMMYFUNCTION("""COMPUTED_VALUE"""),"DHBA")</f>
        <v>DHBA</v>
      </c>
      <c r="C533" s="42" t="str">
        <f>IFERROR(__xludf.DUMMYFUNCTION("""COMPUTED_VALUE"""),"outer plexiform zone in posterior parahippocampal cortex")</f>
        <v>outer plexiform zone in posterior parahippocampal cortex</v>
      </c>
      <c r="D533" s="42">
        <f>IFERROR(__xludf.DUMMYFUNCTION("""COMPUTED_VALUE"""),499.0)</f>
        <v>499</v>
      </c>
      <c r="E533" s="39" t="str">
        <f>IFERROR(__xludf.DUMMYFUNCTION("""COMPUTED_VALUE"""),"outer plexiform zone in posterior parahippocampal cortex")</f>
        <v>outer plexiform zone in posterior parahippocampal cortex</v>
      </c>
      <c r="F533" s="9" t="str">
        <f>IFERROR(__xludf.DUMMYFUNCTION("""COMPUTED_VALUE"""),"Br")</f>
        <v>Br</v>
      </c>
      <c r="G533" s="9" t="str">
        <f>IFERROR(__xludf.DUMMYFUNCTION("""COMPUTED_VALUE"""),"F")</f>
        <v>F</v>
      </c>
      <c r="H533" s="9" t="str">
        <f>IFERROR(__xludf.DUMMYFUNCTION("""COMPUTED_VALUE"""),"FGM")</f>
        <v>FGM</v>
      </c>
      <c r="I533" s="9" t="str">
        <f>IFERROR(__xludf.DUMMYFUNCTION("""COMPUTED_VALUE"""),"FTS")</f>
        <v>FTS</v>
      </c>
      <c r="J533" s="9" t="str">
        <f>IFERROR(__xludf.DUMMYFUNCTION("""COMPUTED_VALUE"""),"SZ")</f>
        <v>SZ</v>
      </c>
      <c r="K533" s="9" t="str">
        <f>IFERROR(__xludf.DUMMYFUNCTION("""COMPUTED_VALUE"""),"tSZ")</f>
        <v>tSZ</v>
      </c>
      <c r="L533" s="9" t="str">
        <f>IFERROR(__xludf.DUMMYFUNCTION("""COMPUTED_VALUE"""),"tSZph")</f>
        <v>tSZph</v>
      </c>
      <c r="M533" s="9" t="str">
        <f>IFERROR(__xludf.DUMMYFUNCTION("""COMPUTED_VALUE"""),"tSZpho")</f>
        <v>tSZpho</v>
      </c>
      <c r="N533" s="9" t="str">
        <f>IFERROR(__xludf.DUMMYFUNCTION("""COMPUTED_VALUE"""),"tSZphop")</f>
        <v>tSZphop</v>
      </c>
      <c r="O533" s="9"/>
      <c r="P533" s="9"/>
      <c r="Q533" s="9"/>
      <c r="R533" s="9"/>
      <c r="S533" s="42"/>
      <c r="T533" s="42"/>
      <c r="U533" s="42"/>
      <c r="V533" s="42"/>
      <c r="W533" s="42"/>
      <c r="X533" s="42"/>
      <c r="Y533" s="42"/>
      <c r="Z533" s="42"/>
      <c r="AA533" s="42"/>
      <c r="AB533" s="42" t="str">
        <f>IFERROR(__xludf.DUMMYFUNCTION("""COMPUTED_VALUE"""),"allen institute")</f>
        <v>allen institute</v>
      </c>
      <c r="AC533" s="42" t="str">
        <f>IFERROR(__xludf.DUMMYFUNCTION("""COMPUTED_VALUE"""),"DHBA")</f>
        <v>DHBA</v>
      </c>
      <c r="AD533" s="42"/>
      <c r="AE533" s="42"/>
      <c r="AF533" s="9"/>
      <c r="AG533" s="9"/>
      <c r="AH533" s="42"/>
      <c r="AI533" s="42"/>
      <c r="AJ533" s="42"/>
      <c r="AK533" s="42"/>
      <c r="AL533" s="42"/>
      <c r="AM533" s="42"/>
      <c r="AN533" s="42"/>
      <c r="AO533" s="63" t="str">
        <f>IFERROR(__xludf.DUMMYFUNCTION("IF(ISBLANK(A533),,IF(ISBLANK(S533), A533&amp;"";"", TEXTJOIN(CHAR(10), TRUE, A533&amp;"";"", ARRAYFORMULA(VLOOKUP(SPLIT(S533, "";"" &amp; CHAR(10)), $A:$AO, 41, FALSE)))))"),"tSZphop;")</f>
        <v>tSZphop;</v>
      </c>
      <c r="AP533" s="89"/>
    </row>
    <row r="534">
      <c r="A534" s="151" t="str">
        <f>IFERROR(__xludf.DUMMYFUNCTION("""COMPUTED_VALUE"""),"tSZphi")</f>
        <v>tSZphi</v>
      </c>
      <c r="B534" s="42" t="str">
        <f>IFERROR(__xludf.DUMMYFUNCTION("""COMPUTED_VALUE"""),"DHBA")</f>
        <v>DHBA</v>
      </c>
      <c r="C534" s="42" t="str">
        <f>IFERROR(__xludf.DUMMYFUNCTION("""COMPUTED_VALUE"""),"inner SZ in posterior parahippocampal cortex")</f>
        <v>inner SZ in posterior parahippocampal cortex</v>
      </c>
      <c r="D534" s="42">
        <f>IFERROR(__xludf.DUMMYFUNCTION("""COMPUTED_VALUE"""),500.0)</f>
        <v>500</v>
      </c>
      <c r="E534" s="39" t="str">
        <f>IFERROR(__xludf.DUMMYFUNCTION("""COMPUTED_VALUE"""),"inner SZ in posterior parahippocampal cortex")</f>
        <v>inner SZ in posterior parahippocampal cortex</v>
      </c>
      <c r="F534" s="9" t="str">
        <f>IFERROR(__xludf.DUMMYFUNCTION("""COMPUTED_VALUE"""),"Br")</f>
        <v>Br</v>
      </c>
      <c r="G534" s="9" t="str">
        <f>IFERROR(__xludf.DUMMYFUNCTION("""COMPUTED_VALUE"""),"F")</f>
        <v>F</v>
      </c>
      <c r="H534" s="9" t="str">
        <f>IFERROR(__xludf.DUMMYFUNCTION("""COMPUTED_VALUE"""),"FGM")</f>
        <v>FGM</v>
      </c>
      <c r="I534" s="9" t="str">
        <f>IFERROR(__xludf.DUMMYFUNCTION("""COMPUTED_VALUE"""),"FTS")</f>
        <v>FTS</v>
      </c>
      <c r="J534" s="9" t="str">
        <f>IFERROR(__xludf.DUMMYFUNCTION("""COMPUTED_VALUE"""),"SZ")</f>
        <v>SZ</v>
      </c>
      <c r="K534" s="9" t="str">
        <f>IFERROR(__xludf.DUMMYFUNCTION("""COMPUTED_VALUE"""),"tSZ")</f>
        <v>tSZ</v>
      </c>
      <c r="L534" s="9" t="str">
        <f>IFERROR(__xludf.DUMMYFUNCTION("""COMPUTED_VALUE"""),"tSZph")</f>
        <v>tSZph</v>
      </c>
      <c r="M534" s="9" t="str">
        <f>IFERROR(__xludf.DUMMYFUNCTION("""COMPUTED_VALUE"""),"tSZphi")</f>
        <v>tSZphi</v>
      </c>
      <c r="N534" s="9"/>
      <c r="O534" s="9"/>
      <c r="P534" s="9"/>
      <c r="Q534" s="9"/>
      <c r="R534" s="9"/>
      <c r="S534" s="42" t="str">
        <f>IFERROR(__xludf.DUMMYFUNCTION("""COMPUTED_VALUE"""),"tSZphip")</f>
        <v>tSZphip</v>
      </c>
      <c r="T534" s="42"/>
      <c r="U534" s="42" t="b">
        <f>IFERROR(__xludf.DUMMYFUNCTION("""COMPUTED_VALUE"""),FALSE)</f>
        <v>0</v>
      </c>
      <c r="V534" s="42"/>
      <c r="W534" s="42"/>
      <c r="X534" s="42"/>
      <c r="Y534" s="42"/>
      <c r="Z534" s="42"/>
      <c r="AA534" s="42"/>
      <c r="AB534" s="42" t="str">
        <f>IFERROR(__xludf.DUMMYFUNCTION("""COMPUTED_VALUE"""),"allen institute")</f>
        <v>allen institute</v>
      </c>
      <c r="AC534" s="42" t="str">
        <f>IFERROR(__xludf.DUMMYFUNCTION("""COMPUTED_VALUE"""),"DHBA")</f>
        <v>DHBA</v>
      </c>
      <c r="AD534" s="42"/>
      <c r="AE534" s="42"/>
      <c r="AF534" s="9"/>
      <c r="AG534" s="9"/>
      <c r="AH534" s="42"/>
      <c r="AI534" s="42"/>
      <c r="AJ534" s="42"/>
      <c r="AK534" s="42"/>
      <c r="AL534" s="42"/>
      <c r="AM534" s="42"/>
      <c r="AN534" s="42"/>
      <c r="AO534" s="63" t="str">
        <f>IFERROR(__xludf.DUMMYFUNCTION("IF(ISBLANK(A534),,IF(ISBLANK(S534), A534&amp;"";"", TEXTJOIN(CHAR(10), TRUE, A534&amp;"";"", ARRAYFORMULA(VLOOKUP(SPLIT(S534, "";"" &amp; CHAR(10)), $A:$AO, 41, FALSE)))))"),"tSZphi;
tSZphip;")</f>
        <v>tSZphi;
tSZphip;</v>
      </c>
      <c r="AP534" s="89"/>
    </row>
    <row r="535">
      <c r="A535" s="151" t="str">
        <f>IFERROR(__xludf.DUMMYFUNCTION("""COMPUTED_VALUE"""),"tSZphip")</f>
        <v>tSZphip</v>
      </c>
      <c r="B535" s="42" t="str">
        <f>IFERROR(__xludf.DUMMYFUNCTION("""COMPUTED_VALUE"""),"DHBA")</f>
        <v>DHBA</v>
      </c>
      <c r="C535" s="42" t="str">
        <f>IFERROR(__xludf.DUMMYFUNCTION("""COMPUTED_VALUE"""),"inner plexiform zone in posterior parahippocampal cortex")</f>
        <v>inner plexiform zone in posterior parahippocampal cortex</v>
      </c>
      <c r="D535" s="42">
        <f>IFERROR(__xludf.DUMMYFUNCTION("""COMPUTED_VALUE"""),501.0)</f>
        <v>501</v>
      </c>
      <c r="E535" s="39" t="str">
        <f>IFERROR(__xludf.DUMMYFUNCTION("""COMPUTED_VALUE"""),"inner plexiform zone in posterior parahippocampal cortex")</f>
        <v>inner plexiform zone in posterior parahippocampal cortex</v>
      </c>
      <c r="F535" s="9" t="str">
        <f>IFERROR(__xludf.DUMMYFUNCTION("""COMPUTED_VALUE"""),"Br")</f>
        <v>Br</v>
      </c>
      <c r="G535" s="9" t="str">
        <f>IFERROR(__xludf.DUMMYFUNCTION("""COMPUTED_VALUE"""),"F")</f>
        <v>F</v>
      </c>
      <c r="H535" s="9" t="str">
        <f>IFERROR(__xludf.DUMMYFUNCTION("""COMPUTED_VALUE"""),"FGM")</f>
        <v>FGM</v>
      </c>
      <c r="I535" s="9" t="str">
        <f>IFERROR(__xludf.DUMMYFUNCTION("""COMPUTED_VALUE"""),"FTS")</f>
        <v>FTS</v>
      </c>
      <c r="J535" s="9" t="str">
        <f>IFERROR(__xludf.DUMMYFUNCTION("""COMPUTED_VALUE"""),"SZ")</f>
        <v>SZ</v>
      </c>
      <c r="K535" s="9" t="str">
        <f>IFERROR(__xludf.DUMMYFUNCTION("""COMPUTED_VALUE"""),"tSZ")</f>
        <v>tSZ</v>
      </c>
      <c r="L535" s="9" t="str">
        <f>IFERROR(__xludf.DUMMYFUNCTION("""COMPUTED_VALUE"""),"tSZph")</f>
        <v>tSZph</v>
      </c>
      <c r="M535" s="9" t="str">
        <f>IFERROR(__xludf.DUMMYFUNCTION("""COMPUTED_VALUE"""),"tSZphi")</f>
        <v>tSZphi</v>
      </c>
      <c r="N535" s="9" t="str">
        <f>IFERROR(__xludf.DUMMYFUNCTION("""COMPUTED_VALUE"""),"tSZphip")</f>
        <v>tSZphip</v>
      </c>
      <c r="O535" s="9"/>
      <c r="P535" s="9"/>
      <c r="Q535" s="9"/>
      <c r="R535" s="9"/>
      <c r="S535" s="42"/>
      <c r="T535" s="42"/>
      <c r="U535" s="42"/>
      <c r="V535" s="42"/>
      <c r="W535" s="42"/>
      <c r="X535" s="42"/>
      <c r="Y535" s="42"/>
      <c r="Z535" s="42"/>
      <c r="AA535" s="42"/>
      <c r="AB535" s="42" t="str">
        <f>IFERROR(__xludf.DUMMYFUNCTION("""COMPUTED_VALUE"""),"allen institute")</f>
        <v>allen institute</v>
      </c>
      <c r="AC535" s="42" t="str">
        <f>IFERROR(__xludf.DUMMYFUNCTION("""COMPUTED_VALUE"""),"DHBA")</f>
        <v>DHBA</v>
      </c>
      <c r="AD535" s="42"/>
      <c r="AE535" s="42"/>
      <c r="AF535" s="9"/>
      <c r="AG535" s="9"/>
      <c r="AH535" s="42"/>
      <c r="AI535" s="42"/>
      <c r="AJ535" s="42"/>
      <c r="AK535" s="42"/>
      <c r="AL535" s="42"/>
      <c r="AM535" s="42"/>
      <c r="AN535" s="42"/>
      <c r="AO535" s="63" t="str">
        <f>IFERROR(__xludf.DUMMYFUNCTION("IF(ISBLANK(A535),,IF(ISBLANK(S535), A535&amp;"";"", TEXTJOIN(CHAR(10), TRUE, A535&amp;"";"", ARRAYFORMULA(VLOOKUP(SPLIT(S535, "";"" &amp; CHAR(10)), $A:$AO, 41, FALSE)))))"),"tSZphip;")</f>
        <v>tSZphip;</v>
      </c>
      <c r="AP535" s="89"/>
    </row>
    <row r="536">
      <c r="A536" s="151" t="str">
        <f>IFERROR(__xludf.DUMMYFUNCTION("""COMPUTED_VALUE"""),"tSZmt")</f>
        <v>tSZmt</v>
      </c>
      <c r="B536" s="42" t="str">
        <f>IFERROR(__xludf.DUMMYFUNCTION("""COMPUTED_VALUE"""),"DHBA")</f>
        <v>DHBA</v>
      </c>
      <c r="C536" s="42" t="str">
        <f>IFERROR(__xludf.DUMMYFUNCTION("""COMPUTED_VALUE"""),"SZ in medial temporal-occipital cortex")</f>
        <v>SZ in medial temporal-occipital cortex</v>
      </c>
      <c r="D536" s="42">
        <f>IFERROR(__xludf.DUMMYFUNCTION("""COMPUTED_VALUE"""),502.0)</f>
        <v>502</v>
      </c>
      <c r="E536" s="39" t="str">
        <f>IFERROR(__xludf.DUMMYFUNCTION("""COMPUTED_VALUE"""),"SZ in medial temporal-occipital cortex")</f>
        <v>SZ in medial temporal-occipital cortex</v>
      </c>
      <c r="F536" s="9" t="str">
        <f>IFERROR(__xludf.DUMMYFUNCTION("""COMPUTED_VALUE"""),"Br")</f>
        <v>Br</v>
      </c>
      <c r="G536" s="9" t="str">
        <f>IFERROR(__xludf.DUMMYFUNCTION("""COMPUTED_VALUE"""),"F")</f>
        <v>F</v>
      </c>
      <c r="H536" s="9" t="str">
        <f>IFERROR(__xludf.DUMMYFUNCTION("""COMPUTED_VALUE"""),"FGM")</f>
        <v>FGM</v>
      </c>
      <c r="I536" s="9" t="str">
        <f>IFERROR(__xludf.DUMMYFUNCTION("""COMPUTED_VALUE"""),"FTS")</f>
        <v>FTS</v>
      </c>
      <c r="J536" s="9" t="str">
        <f>IFERROR(__xludf.DUMMYFUNCTION("""COMPUTED_VALUE"""),"SZ")</f>
        <v>SZ</v>
      </c>
      <c r="K536" s="9" t="str">
        <f>IFERROR(__xludf.DUMMYFUNCTION("""COMPUTED_VALUE"""),"tSZ")</f>
        <v>tSZ</v>
      </c>
      <c r="L536" s="9" t="str">
        <f>IFERROR(__xludf.DUMMYFUNCTION("""COMPUTED_VALUE"""),"tSZmt")</f>
        <v>tSZmt</v>
      </c>
      <c r="M536" s="9"/>
      <c r="N536" s="9"/>
      <c r="O536" s="9"/>
      <c r="P536" s="9"/>
      <c r="Q536" s="9"/>
      <c r="R536" s="9"/>
      <c r="S536" s="42" t="str">
        <f>IFERROR(__xludf.DUMMYFUNCTION("""COMPUTED_VALUE"""),"tSZmto;
tSZmti")</f>
        <v>tSZmto;
tSZmti</v>
      </c>
      <c r="T536" s="42"/>
      <c r="U536" s="42" t="b">
        <f>IFERROR(__xludf.DUMMYFUNCTION("""COMPUTED_VALUE"""),FALSE)</f>
        <v>0</v>
      </c>
      <c r="V536" s="42"/>
      <c r="W536" s="42"/>
      <c r="X536" s="42"/>
      <c r="Y536" s="42"/>
      <c r="Z536" s="42"/>
      <c r="AA536" s="42"/>
      <c r="AB536" s="42" t="str">
        <f>IFERROR(__xludf.DUMMYFUNCTION("""COMPUTED_VALUE"""),"allen institute")</f>
        <v>allen institute</v>
      </c>
      <c r="AC536" s="42" t="str">
        <f>IFERROR(__xludf.DUMMYFUNCTION("""COMPUTED_VALUE"""),"DHBA")</f>
        <v>DHBA</v>
      </c>
      <c r="AD536" s="42"/>
      <c r="AE536" s="42"/>
      <c r="AF536" s="9"/>
      <c r="AG536" s="9"/>
      <c r="AH536" s="42"/>
      <c r="AI536" s="42"/>
      <c r="AJ536" s="42"/>
      <c r="AK536" s="42"/>
      <c r="AL536" s="42"/>
      <c r="AM536" s="42"/>
      <c r="AN536" s="42"/>
      <c r="AO536" s="63" t="str">
        <f>IFERROR(__xludf.DUMMYFUNCTION("IF(ISBLANK(A536),,IF(ISBLANK(S536), A536&amp;"";"", TEXTJOIN(CHAR(10), TRUE, A536&amp;"";"", ARRAYFORMULA(VLOOKUP(SPLIT(S536, "";"" &amp; CHAR(10)), $A:$AO, 41, FALSE)))))"),"tSZmt;
tSZmto;
tSZmtop;
tSZmti;
tSZmtip;")</f>
        <v>tSZmt;
tSZmto;
tSZmtop;
tSZmti;
tSZmtip;</v>
      </c>
      <c r="AP536" s="89"/>
    </row>
    <row r="537">
      <c r="A537" s="151" t="str">
        <f>IFERROR(__xludf.DUMMYFUNCTION("""COMPUTED_VALUE"""),"tSZmto")</f>
        <v>tSZmto</v>
      </c>
      <c r="B537" s="42" t="str">
        <f>IFERROR(__xludf.DUMMYFUNCTION("""COMPUTED_VALUE"""),"DHBA")</f>
        <v>DHBA</v>
      </c>
      <c r="C537" s="42" t="str">
        <f>IFERROR(__xludf.DUMMYFUNCTION("""COMPUTED_VALUE"""),"outer SZ in medial temporal-occipital cortex")</f>
        <v>outer SZ in medial temporal-occipital cortex</v>
      </c>
      <c r="D537" s="42">
        <f>IFERROR(__xludf.DUMMYFUNCTION("""COMPUTED_VALUE"""),503.0)</f>
        <v>503</v>
      </c>
      <c r="E537" s="39" t="str">
        <f>IFERROR(__xludf.DUMMYFUNCTION("""COMPUTED_VALUE"""),"outer SZ in medial temporal-occipital cortex")</f>
        <v>outer SZ in medial temporal-occipital cortex</v>
      </c>
      <c r="F537" s="9" t="str">
        <f>IFERROR(__xludf.DUMMYFUNCTION("""COMPUTED_VALUE"""),"Br")</f>
        <v>Br</v>
      </c>
      <c r="G537" s="9" t="str">
        <f>IFERROR(__xludf.DUMMYFUNCTION("""COMPUTED_VALUE"""),"F")</f>
        <v>F</v>
      </c>
      <c r="H537" s="9" t="str">
        <f>IFERROR(__xludf.DUMMYFUNCTION("""COMPUTED_VALUE"""),"FGM")</f>
        <v>FGM</v>
      </c>
      <c r="I537" s="9" t="str">
        <f>IFERROR(__xludf.DUMMYFUNCTION("""COMPUTED_VALUE"""),"FTS")</f>
        <v>FTS</v>
      </c>
      <c r="J537" s="9" t="str">
        <f>IFERROR(__xludf.DUMMYFUNCTION("""COMPUTED_VALUE"""),"SZ")</f>
        <v>SZ</v>
      </c>
      <c r="K537" s="9" t="str">
        <f>IFERROR(__xludf.DUMMYFUNCTION("""COMPUTED_VALUE"""),"tSZ")</f>
        <v>tSZ</v>
      </c>
      <c r="L537" s="9" t="str">
        <f>IFERROR(__xludf.DUMMYFUNCTION("""COMPUTED_VALUE"""),"tSZmt")</f>
        <v>tSZmt</v>
      </c>
      <c r="M537" s="9" t="str">
        <f>IFERROR(__xludf.DUMMYFUNCTION("""COMPUTED_VALUE"""),"tSZmto")</f>
        <v>tSZmto</v>
      </c>
      <c r="N537" s="9"/>
      <c r="O537" s="9"/>
      <c r="P537" s="9"/>
      <c r="Q537" s="9"/>
      <c r="R537" s="9"/>
      <c r="S537" s="42" t="str">
        <f>IFERROR(__xludf.DUMMYFUNCTION("""COMPUTED_VALUE"""),"tSZmtop")</f>
        <v>tSZmtop</v>
      </c>
      <c r="T537" s="42"/>
      <c r="U537" s="42" t="b">
        <f>IFERROR(__xludf.DUMMYFUNCTION("""COMPUTED_VALUE"""),FALSE)</f>
        <v>0</v>
      </c>
      <c r="V537" s="42"/>
      <c r="W537" s="42"/>
      <c r="X537" s="42"/>
      <c r="Y537" s="42"/>
      <c r="Z537" s="42"/>
      <c r="AA537" s="42"/>
      <c r="AB537" s="42" t="str">
        <f>IFERROR(__xludf.DUMMYFUNCTION("""COMPUTED_VALUE"""),"allen institute")</f>
        <v>allen institute</v>
      </c>
      <c r="AC537" s="42" t="str">
        <f>IFERROR(__xludf.DUMMYFUNCTION("""COMPUTED_VALUE"""),"DHBA")</f>
        <v>DHBA</v>
      </c>
      <c r="AD537" s="42"/>
      <c r="AE537" s="42"/>
      <c r="AF537" s="9"/>
      <c r="AG537" s="9"/>
      <c r="AH537" s="42"/>
      <c r="AI537" s="42"/>
      <c r="AJ537" s="42"/>
      <c r="AK537" s="42"/>
      <c r="AL537" s="42"/>
      <c r="AM537" s="42"/>
      <c r="AN537" s="42"/>
      <c r="AO537" s="63" t="str">
        <f>IFERROR(__xludf.DUMMYFUNCTION("IF(ISBLANK(A537),,IF(ISBLANK(S537), A537&amp;"";"", TEXTJOIN(CHAR(10), TRUE, A537&amp;"";"", ARRAYFORMULA(VLOOKUP(SPLIT(S537, "";"" &amp; CHAR(10)), $A:$AO, 41, FALSE)))))"),"tSZmto;
tSZmtop;")</f>
        <v>tSZmto;
tSZmtop;</v>
      </c>
      <c r="AP537" s="89"/>
    </row>
    <row r="538">
      <c r="A538" s="151" t="str">
        <f>IFERROR(__xludf.DUMMYFUNCTION("""COMPUTED_VALUE"""),"tSZmtop")</f>
        <v>tSZmtop</v>
      </c>
      <c r="B538" s="42" t="str">
        <f>IFERROR(__xludf.DUMMYFUNCTION("""COMPUTED_VALUE"""),"DHBA")</f>
        <v>DHBA</v>
      </c>
      <c r="C538" s="42" t="str">
        <f>IFERROR(__xludf.DUMMYFUNCTION("""COMPUTED_VALUE"""),"outer plexiform zone in medial temporal-occipital cortex")</f>
        <v>outer plexiform zone in medial temporal-occipital cortex</v>
      </c>
      <c r="D538" s="42">
        <f>IFERROR(__xludf.DUMMYFUNCTION("""COMPUTED_VALUE"""),504.0)</f>
        <v>504</v>
      </c>
      <c r="E538" s="39" t="str">
        <f>IFERROR(__xludf.DUMMYFUNCTION("""COMPUTED_VALUE"""),"outer plexiform zone in medial temporal-occipital cortex")</f>
        <v>outer plexiform zone in medial temporal-occipital cortex</v>
      </c>
      <c r="F538" s="9" t="str">
        <f>IFERROR(__xludf.DUMMYFUNCTION("""COMPUTED_VALUE"""),"Br")</f>
        <v>Br</v>
      </c>
      <c r="G538" s="9" t="str">
        <f>IFERROR(__xludf.DUMMYFUNCTION("""COMPUTED_VALUE"""),"F")</f>
        <v>F</v>
      </c>
      <c r="H538" s="9" t="str">
        <f>IFERROR(__xludf.DUMMYFUNCTION("""COMPUTED_VALUE"""),"FGM")</f>
        <v>FGM</v>
      </c>
      <c r="I538" s="9" t="str">
        <f>IFERROR(__xludf.DUMMYFUNCTION("""COMPUTED_VALUE"""),"FTS")</f>
        <v>FTS</v>
      </c>
      <c r="J538" s="9" t="str">
        <f>IFERROR(__xludf.DUMMYFUNCTION("""COMPUTED_VALUE"""),"SZ")</f>
        <v>SZ</v>
      </c>
      <c r="K538" s="9" t="str">
        <f>IFERROR(__xludf.DUMMYFUNCTION("""COMPUTED_VALUE"""),"tSZ")</f>
        <v>tSZ</v>
      </c>
      <c r="L538" s="9" t="str">
        <f>IFERROR(__xludf.DUMMYFUNCTION("""COMPUTED_VALUE"""),"tSZmt")</f>
        <v>tSZmt</v>
      </c>
      <c r="M538" s="9" t="str">
        <f>IFERROR(__xludf.DUMMYFUNCTION("""COMPUTED_VALUE"""),"tSZmto")</f>
        <v>tSZmto</v>
      </c>
      <c r="N538" s="9" t="str">
        <f>IFERROR(__xludf.DUMMYFUNCTION("""COMPUTED_VALUE"""),"tSZmtop")</f>
        <v>tSZmtop</v>
      </c>
      <c r="O538" s="9"/>
      <c r="P538" s="9"/>
      <c r="Q538" s="9"/>
      <c r="R538" s="9"/>
      <c r="S538" s="42"/>
      <c r="T538" s="42"/>
      <c r="U538" s="42"/>
      <c r="V538" s="42"/>
      <c r="W538" s="42"/>
      <c r="X538" s="42"/>
      <c r="Y538" s="42"/>
      <c r="Z538" s="42"/>
      <c r="AA538" s="42"/>
      <c r="AB538" s="42" t="str">
        <f>IFERROR(__xludf.DUMMYFUNCTION("""COMPUTED_VALUE"""),"allen institute")</f>
        <v>allen institute</v>
      </c>
      <c r="AC538" s="42" t="str">
        <f>IFERROR(__xludf.DUMMYFUNCTION("""COMPUTED_VALUE"""),"DHBA")</f>
        <v>DHBA</v>
      </c>
      <c r="AD538" s="42"/>
      <c r="AE538" s="42"/>
      <c r="AF538" s="9"/>
      <c r="AG538" s="9"/>
      <c r="AH538" s="42"/>
      <c r="AI538" s="42"/>
      <c r="AJ538" s="42"/>
      <c r="AK538" s="42"/>
      <c r="AL538" s="42"/>
      <c r="AM538" s="42"/>
      <c r="AN538" s="42"/>
      <c r="AO538" s="63" t="str">
        <f>IFERROR(__xludf.DUMMYFUNCTION("IF(ISBLANK(A538),,IF(ISBLANK(S538), A538&amp;"";"", TEXTJOIN(CHAR(10), TRUE, A538&amp;"";"", ARRAYFORMULA(VLOOKUP(SPLIT(S538, "";"" &amp; CHAR(10)), $A:$AO, 41, FALSE)))))"),"tSZmtop;")</f>
        <v>tSZmtop;</v>
      </c>
      <c r="AP538" s="89"/>
    </row>
    <row r="539">
      <c r="A539" s="151" t="str">
        <f>IFERROR(__xludf.DUMMYFUNCTION("""COMPUTED_VALUE"""),"tSZmti")</f>
        <v>tSZmti</v>
      </c>
      <c r="B539" s="42" t="str">
        <f>IFERROR(__xludf.DUMMYFUNCTION("""COMPUTED_VALUE"""),"DHBA")</f>
        <v>DHBA</v>
      </c>
      <c r="C539" s="42" t="str">
        <f>IFERROR(__xludf.DUMMYFUNCTION("""COMPUTED_VALUE"""),"inner SZ in medial temporal-occipital cortex")</f>
        <v>inner SZ in medial temporal-occipital cortex</v>
      </c>
      <c r="D539" s="42">
        <f>IFERROR(__xludf.DUMMYFUNCTION("""COMPUTED_VALUE"""),505.0)</f>
        <v>505</v>
      </c>
      <c r="E539" s="39" t="str">
        <f>IFERROR(__xludf.DUMMYFUNCTION("""COMPUTED_VALUE"""),"inner SZ in medial temporal-occipital cortex")</f>
        <v>inner SZ in medial temporal-occipital cortex</v>
      </c>
      <c r="F539" s="9" t="str">
        <f>IFERROR(__xludf.DUMMYFUNCTION("""COMPUTED_VALUE"""),"Br")</f>
        <v>Br</v>
      </c>
      <c r="G539" s="9" t="str">
        <f>IFERROR(__xludf.DUMMYFUNCTION("""COMPUTED_VALUE"""),"F")</f>
        <v>F</v>
      </c>
      <c r="H539" s="9" t="str">
        <f>IFERROR(__xludf.DUMMYFUNCTION("""COMPUTED_VALUE"""),"FGM")</f>
        <v>FGM</v>
      </c>
      <c r="I539" s="9" t="str">
        <f>IFERROR(__xludf.DUMMYFUNCTION("""COMPUTED_VALUE"""),"FTS")</f>
        <v>FTS</v>
      </c>
      <c r="J539" s="9" t="str">
        <f>IFERROR(__xludf.DUMMYFUNCTION("""COMPUTED_VALUE"""),"SZ")</f>
        <v>SZ</v>
      </c>
      <c r="K539" s="9" t="str">
        <f>IFERROR(__xludf.DUMMYFUNCTION("""COMPUTED_VALUE"""),"tSZ")</f>
        <v>tSZ</v>
      </c>
      <c r="L539" s="9" t="str">
        <f>IFERROR(__xludf.DUMMYFUNCTION("""COMPUTED_VALUE"""),"tSZmt")</f>
        <v>tSZmt</v>
      </c>
      <c r="M539" s="9" t="str">
        <f>IFERROR(__xludf.DUMMYFUNCTION("""COMPUTED_VALUE"""),"tSZmti")</f>
        <v>tSZmti</v>
      </c>
      <c r="N539" s="9"/>
      <c r="O539" s="9"/>
      <c r="P539" s="9"/>
      <c r="Q539" s="9"/>
      <c r="R539" s="9"/>
      <c r="S539" s="42" t="str">
        <f>IFERROR(__xludf.DUMMYFUNCTION("""COMPUTED_VALUE"""),"tSZmtip")</f>
        <v>tSZmtip</v>
      </c>
      <c r="T539" s="42"/>
      <c r="U539" s="42" t="b">
        <f>IFERROR(__xludf.DUMMYFUNCTION("""COMPUTED_VALUE"""),FALSE)</f>
        <v>0</v>
      </c>
      <c r="V539" s="42"/>
      <c r="W539" s="42"/>
      <c r="X539" s="42"/>
      <c r="Y539" s="42"/>
      <c r="Z539" s="42"/>
      <c r="AA539" s="42"/>
      <c r="AB539" s="42" t="str">
        <f>IFERROR(__xludf.DUMMYFUNCTION("""COMPUTED_VALUE"""),"allen institute")</f>
        <v>allen institute</v>
      </c>
      <c r="AC539" s="42" t="str">
        <f>IFERROR(__xludf.DUMMYFUNCTION("""COMPUTED_VALUE"""),"DHBA")</f>
        <v>DHBA</v>
      </c>
      <c r="AD539" s="42"/>
      <c r="AE539" s="42"/>
      <c r="AF539" s="9"/>
      <c r="AG539" s="9"/>
      <c r="AH539" s="42"/>
      <c r="AI539" s="42"/>
      <c r="AJ539" s="42"/>
      <c r="AK539" s="42"/>
      <c r="AL539" s="42"/>
      <c r="AM539" s="42"/>
      <c r="AN539" s="42"/>
      <c r="AO539" s="63" t="str">
        <f>IFERROR(__xludf.DUMMYFUNCTION("IF(ISBLANK(A539),,IF(ISBLANK(S539), A539&amp;"";"", TEXTJOIN(CHAR(10), TRUE, A539&amp;"";"", ARRAYFORMULA(VLOOKUP(SPLIT(S539, "";"" &amp; CHAR(10)), $A:$AO, 41, FALSE)))))"),"tSZmti;
tSZmtip;")</f>
        <v>tSZmti;
tSZmtip;</v>
      </c>
      <c r="AP539" s="89"/>
    </row>
    <row r="540">
      <c r="A540" s="151" t="str">
        <f>IFERROR(__xludf.DUMMYFUNCTION("""COMPUTED_VALUE"""),"tSZmtip")</f>
        <v>tSZmtip</v>
      </c>
      <c r="B540" s="42" t="str">
        <f>IFERROR(__xludf.DUMMYFUNCTION("""COMPUTED_VALUE"""),"DHBA")</f>
        <v>DHBA</v>
      </c>
      <c r="C540" s="42" t="str">
        <f>IFERROR(__xludf.DUMMYFUNCTION("""COMPUTED_VALUE"""),"inner plexiform zone in medial temporal-occipital cortex")</f>
        <v>inner plexiform zone in medial temporal-occipital cortex</v>
      </c>
      <c r="D540" s="42">
        <f>IFERROR(__xludf.DUMMYFUNCTION("""COMPUTED_VALUE"""),506.0)</f>
        <v>506</v>
      </c>
      <c r="E540" s="39" t="str">
        <f>IFERROR(__xludf.DUMMYFUNCTION("""COMPUTED_VALUE"""),"inner plexiform zone in medial temporal-occipital cortex")</f>
        <v>inner plexiform zone in medial temporal-occipital cortex</v>
      </c>
      <c r="F540" s="9" t="str">
        <f>IFERROR(__xludf.DUMMYFUNCTION("""COMPUTED_VALUE"""),"Br")</f>
        <v>Br</v>
      </c>
      <c r="G540" s="9" t="str">
        <f>IFERROR(__xludf.DUMMYFUNCTION("""COMPUTED_VALUE"""),"F")</f>
        <v>F</v>
      </c>
      <c r="H540" s="9" t="str">
        <f>IFERROR(__xludf.DUMMYFUNCTION("""COMPUTED_VALUE"""),"FGM")</f>
        <v>FGM</v>
      </c>
      <c r="I540" s="9" t="str">
        <f>IFERROR(__xludf.DUMMYFUNCTION("""COMPUTED_VALUE"""),"FTS")</f>
        <v>FTS</v>
      </c>
      <c r="J540" s="9" t="str">
        <f>IFERROR(__xludf.DUMMYFUNCTION("""COMPUTED_VALUE"""),"SZ")</f>
        <v>SZ</v>
      </c>
      <c r="K540" s="9" t="str">
        <f>IFERROR(__xludf.DUMMYFUNCTION("""COMPUTED_VALUE"""),"tSZ")</f>
        <v>tSZ</v>
      </c>
      <c r="L540" s="9" t="str">
        <f>IFERROR(__xludf.DUMMYFUNCTION("""COMPUTED_VALUE"""),"tSZmt")</f>
        <v>tSZmt</v>
      </c>
      <c r="M540" s="9" t="str">
        <f>IFERROR(__xludf.DUMMYFUNCTION("""COMPUTED_VALUE"""),"tSZmti")</f>
        <v>tSZmti</v>
      </c>
      <c r="N540" s="9" t="str">
        <f>IFERROR(__xludf.DUMMYFUNCTION("""COMPUTED_VALUE"""),"tSZmtip")</f>
        <v>tSZmtip</v>
      </c>
      <c r="O540" s="9"/>
      <c r="P540" s="9"/>
      <c r="Q540" s="9"/>
      <c r="R540" s="9"/>
      <c r="S540" s="42"/>
      <c r="T540" s="42"/>
      <c r="U540" s="159"/>
      <c r="V540" s="42"/>
      <c r="W540" s="42"/>
      <c r="X540" s="42"/>
      <c r="Y540" s="42"/>
      <c r="Z540" s="42"/>
      <c r="AA540" s="42"/>
      <c r="AB540" s="42" t="str">
        <f>IFERROR(__xludf.DUMMYFUNCTION("""COMPUTED_VALUE"""),"allen institute")</f>
        <v>allen institute</v>
      </c>
      <c r="AC540" s="42" t="str">
        <f>IFERROR(__xludf.DUMMYFUNCTION("""COMPUTED_VALUE"""),"DHBA")</f>
        <v>DHBA</v>
      </c>
      <c r="AD540" s="42"/>
      <c r="AE540" s="42"/>
      <c r="AF540" s="9"/>
      <c r="AG540" s="9"/>
      <c r="AH540" s="42"/>
      <c r="AI540" s="42"/>
      <c r="AJ540" s="42"/>
      <c r="AK540" s="42"/>
      <c r="AL540" s="42"/>
      <c r="AM540" s="42"/>
      <c r="AN540" s="42"/>
      <c r="AO540" s="63" t="str">
        <f>IFERROR(__xludf.DUMMYFUNCTION("IF(ISBLANK(A540),,IF(ISBLANK(S540), A540&amp;"";"", TEXTJOIN(CHAR(10), TRUE, A540&amp;"";"", ARRAYFORMULA(VLOOKUP(SPLIT(S540, "";"" &amp; CHAR(10)), $A:$AO, 41, FALSE)))))"),"tSZmtip;")</f>
        <v>tSZmtip;</v>
      </c>
      <c r="AP540" s="89"/>
    </row>
    <row r="541">
      <c r="A541" s="151" t="str">
        <f>IFERROR(__xludf.DUMMYFUNCTION("""COMPUTED_VALUE"""),"tSZlt")</f>
        <v>tSZlt</v>
      </c>
      <c r="B541" s="42" t="str">
        <f>IFERROR(__xludf.DUMMYFUNCTION("""COMPUTED_VALUE"""),"DHBA")</f>
        <v>DHBA</v>
      </c>
      <c r="C541" s="42" t="str">
        <f>IFERROR(__xludf.DUMMYFUNCTION("""COMPUTED_VALUE"""),"SZ in lateral temporal-occipital cortex")</f>
        <v>SZ in lateral temporal-occipital cortex</v>
      </c>
      <c r="D541" s="42">
        <f>IFERROR(__xludf.DUMMYFUNCTION("""COMPUTED_VALUE"""),507.0)</f>
        <v>507</v>
      </c>
      <c r="E541" s="39" t="str">
        <f>IFERROR(__xludf.DUMMYFUNCTION("""COMPUTED_VALUE"""),"SZ in lateral temporal-occipital cortex")</f>
        <v>SZ in lateral temporal-occipital cortex</v>
      </c>
      <c r="F541" s="9" t="str">
        <f>IFERROR(__xludf.DUMMYFUNCTION("""COMPUTED_VALUE"""),"Br")</f>
        <v>Br</v>
      </c>
      <c r="G541" s="9" t="str">
        <f>IFERROR(__xludf.DUMMYFUNCTION("""COMPUTED_VALUE"""),"F")</f>
        <v>F</v>
      </c>
      <c r="H541" s="9" t="str">
        <f>IFERROR(__xludf.DUMMYFUNCTION("""COMPUTED_VALUE"""),"FGM")</f>
        <v>FGM</v>
      </c>
      <c r="I541" s="9" t="str">
        <f>IFERROR(__xludf.DUMMYFUNCTION("""COMPUTED_VALUE"""),"FTS")</f>
        <v>FTS</v>
      </c>
      <c r="J541" s="9" t="str">
        <f>IFERROR(__xludf.DUMMYFUNCTION("""COMPUTED_VALUE"""),"SZ")</f>
        <v>SZ</v>
      </c>
      <c r="K541" s="9" t="str">
        <f>IFERROR(__xludf.DUMMYFUNCTION("""COMPUTED_VALUE"""),"tSZ")</f>
        <v>tSZ</v>
      </c>
      <c r="L541" s="9" t="str">
        <f>IFERROR(__xludf.DUMMYFUNCTION("""COMPUTED_VALUE"""),"tSZlt")</f>
        <v>tSZlt</v>
      </c>
      <c r="M541" s="9"/>
      <c r="N541" s="9"/>
      <c r="O541" s="9"/>
      <c r="P541" s="9"/>
      <c r="Q541" s="9"/>
      <c r="R541" s="9"/>
      <c r="S541" s="42" t="str">
        <f>IFERROR(__xludf.DUMMYFUNCTION("""COMPUTED_VALUE"""),"tSZlto;
tSZlti")</f>
        <v>tSZlto;
tSZlti</v>
      </c>
      <c r="T541" s="42"/>
      <c r="U541" s="42" t="b">
        <f>IFERROR(__xludf.DUMMYFUNCTION("""COMPUTED_VALUE"""),FALSE)</f>
        <v>0</v>
      </c>
      <c r="V541" s="42"/>
      <c r="W541" s="42"/>
      <c r="X541" s="42"/>
      <c r="Y541" s="42"/>
      <c r="Z541" s="42"/>
      <c r="AA541" s="42"/>
      <c r="AB541" s="42" t="str">
        <f>IFERROR(__xludf.DUMMYFUNCTION("""COMPUTED_VALUE"""),"allen institute")</f>
        <v>allen institute</v>
      </c>
      <c r="AC541" s="42" t="str">
        <f>IFERROR(__xludf.DUMMYFUNCTION("""COMPUTED_VALUE"""),"DHBA")</f>
        <v>DHBA</v>
      </c>
      <c r="AD541" s="42"/>
      <c r="AE541" s="42"/>
      <c r="AF541" s="9"/>
      <c r="AG541" s="9"/>
      <c r="AH541" s="42"/>
      <c r="AI541" s="42"/>
      <c r="AJ541" s="42"/>
      <c r="AK541" s="42"/>
      <c r="AL541" s="42"/>
      <c r="AM541" s="42"/>
      <c r="AN541" s="42"/>
      <c r="AO541" s="63" t="str">
        <f>IFERROR(__xludf.DUMMYFUNCTION("IF(ISBLANK(A541),,IF(ISBLANK(S541), A541&amp;"";"", TEXTJOIN(CHAR(10), TRUE, A541&amp;"";"", ARRAYFORMULA(VLOOKUP(SPLIT(S541, "";"" &amp; CHAR(10)), $A:$AO, 41, FALSE)))))"),"tSZlt;
tSZlto;
tSZltop;
tSZlti;
tSZltip;")</f>
        <v>tSZlt;
tSZlto;
tSZltop;
tSZlti;
tSZltip;</v>
      </c>
      <c r="AP541" s="89"/>
    </row>
    <row r="542">
      <c r="A542" s="151" t="str">
        <f>IFERROR(__xludf.DUMMYFUNCTION("""COMPUTED_VALUE"""),"tSZlto")</f>
        <v>tSZlto</v>
      </c>
      <c r="B542" s="42" t="str">
        <f>IFERROR(__xludf.DUMMYFUNCTION("""COMPUTED_VALUE"""),"DHBA")</f>
        <v>DHBA</v>
      </c>
      <c r="C542" s="42" t="str">
        <f>IFERROR(__xludf.DUMMYFUNCTION("""COMPUTED_VALUE"""),"outer SZ in lateral temporal-occipital cortex")</f>
        <v>outer SZ in lateral temporal-occipital cortex</v>
      </c>
      <c r="D542" s="42">
        <f>IFERROR(__xludf.DUMMYFUNCTION("""COMPUTED_VALUE"""),508.0)</f>
        <v>508</v>
      </c>
      <c r="E542" s="39" t="str">
        <f>IFERROR(__xludf.DUMMYFUNCTION("""COMPUTED_VALUE"""),"outer SZ in lateral temporal-occipital cortex")</f>
        <v>outer SZ in lateral temporal-occipital cortex</v>
      </c>
      <c r="F542" s="9" t="str">
        <f>IFERROR(__xludf.DUMMYFUNCTION("""COMPUTED_VALUE"""),"Br")</f>
        <v>Br</v>
      </c>
      <c r="G542" s="9" t="str">
        <f>IFERROR(__xludf.DUMMYFUNCTION("""COMPUTED_VALUE"""),"F")</f>
        <v>F</v>
      </c>
      <c r="H542" s="9" t="str">
        <f>IFERROR(__xludf.DUMMYFUNCTION("""COMPUTED_VALUE"""),"FGM")</f>
        <v>FGM</v>
      </c>
      <c r="I542" s="9" t="str">
        <f>IFERROR(__xludf.DUMMYFUNCTION("""COMPUTED_VALUE"""),"FTS")</f>
        <v>FTS</v>
      </c>
      <c r="J542" s="9" t="str">
        <f>IFERROR(__xludf.DUMMYFUNCTION("""COMPUTED_VALUE"""),"SZ")</f>
        <v>SZ</v>
      </c>
      <c r="K542" s="9" t="str">
        <f>IFERROR(__xludf.DUMMYFUNCTION("""COMPUTED_VALUE"""),"tSZ")</f>
        <v>tSZ</v>
      </c>
      <c r="L542" s="9" t="str">
        <f>IFERROR(__xludf.DUMMYFUNCTION("""COMPUTED_VALUE"""),"tSZlt")</f>
        <v>tSZlt</v>
      </c>
      <c r="M542" s="9" t="str">
        <f>IFERROR(__xludf.DUMMYFUNCTION("""COMPUTED_VALUE"""),"tSZlto")</f>
        <v>tSZlto</v>
      </c>
      <c r="N542" s="9"/>
      <c r="O542" s="9"/>
      <c r="P542" s="9"/>
      <c r="Q542" s="9"/>
      <c r="R542" s="9"/>
      <c r="S542" s="42" t="str">
        <f>IFERROR(__xludf.DUMMYFUNCTION("""COMPUTED_VALUE"""),"tSZltop")</f>
        <v>tSZltop</v>
      </c>
      <c r="T542" s="42"/>
      <c r="U542" s="42" t="b">
        <f>IFERROR(__xludf.DUMMYFUNCTION("""COMPUTED_VALUE"""),FALSE)</f>
        <v>0</v>
      </c>
      <c r="V542" s="42"/>
      <c r="W542" s="42"/>
      <c r="X542" s="42"/>
      <c r="Y542" s="42"/>
      <c r="Z542" s="42"/>
      <c r="AA542" s="42"/>
      <c r="AB542" s="42" t="str">
        <f>IFERROR(__xludf.DUMMYFUNCTION("""COMPUTED_VALUE"""),"allen institute")</f>
        <v>allen institute</v>
      </c>
      <c r="AC542" s="42" t="str">
        <f>IFERROR(__xludf.DUMMYFUNCTION("""COMPUTED_VALUE"""),"DHBA")</f>
        <v>DHBA</v>
      </c>
      <c r="AD542" s="42"/>
      <c r="AE542" s="42"/>
      <c r="AF542" s="9"/>
      <c r="AG542" s="9"/>
      <c r="AH542" s="42"/>
      <c r="AI542" s="42"/>
      <c r="AJ542" s="42"/>
      <c r="AK542" s="42"/>
      <c r="AL542" s="42"/>
      <c r="AM542" s="42"/>
      <c r="AN542" s="42"/>
      <c r="AO542" s="63" t="str">
        <f>IFERROR(__xludf.DUMMYFUNCTION("IF(ISBLANK(A542),,IF(ISBLANK(S542), A542&amp;"";"", TEXTJOIN(CHAR(10), TRUE, A542&amp;"";"", ARRAYFORMULA(VLOOKUP(SPLIT(S542, "";"" &amp; CHAR(10)), $A:$AO, 41, FALSE)))))"),"tSZlto;
tSZltop;")</f>
        <v>tSZlto;
tSZltop;</v>
      </c>
      <c r="AP542" s="89"/>
    </row>
    <row r="543">
      <c r="A543" s="151" t="str">
        <f>IFERROR(__xludf.DUMMYFUNCTION("""COMPUTED_VALUE"""),"tSZltop")</f>
        <v>tSZltop</v>
      </c>
      <c r="B543" s="42" t="str">
        <f>IFERROR(__xludf.DUMMYFUNCTION("""COMPUTED_VALUE"""),"DHBA")</f>
        <v>DHBA</v>
      </c>
      <c r="C543" s="42" t="str">
        <f>IFERROR(__xludf.DUMMYFUNCTION("""COMPUTED_VALUE"""),"outer plexiform zone in lateral temporal-occipital cortex")</f>
        <v>outer plexiform zone in lateral temporal-occipital cortex</v>
      </c>
      <c r="D543" s="42">
        <f>IFERROR(__xludf.DUMMYFUNCTION("""COMPUTED_VALUE"""),509.0)</f>
        <v>509</v>
      </c>
      <c r="E543" s="39" t="str">
        <f>IFERROR(__xludf.DUMMYFUNCTION("""COMPUTED_VALUE"""),"outer plexiform zone in lateral temporal-occipital cortex")</f>
        <v>outer plexiform zone in lateral temporal-occipital cortex</v>
      </c>
      <c r="F543" s="9" t="str">
        <f>IFERROR(__xludf.DUMMYFUNCTION("""COMPUTED_VALUE"""),"Br")</f>
        <v>Br</v>
      </c>
      <c r="G543" s="9" t="str">
        <f>IFERROR(__xludf.DUMMYFUNCTION("""COMPUTED_VALUE"""),"F")</f>
        <v>F</v>
      </c>
      <c r="H543" s="9" t="str">
        <f>IFERROR(__xludf.DUMMYFUNCTION("""COMPUTED_VALUE"""),"FGM")</f>
        <v>FGM</v>
      </c>
      <c r="I543" s="9" t="str">
        <f>IFERROR(__xludf.DUMMYFUNCTION("""COMPUTED_VALUE"""),"FTS")</f>
        <v>FTS</v>
      </c>
      <c r="J543" s="9" t="str">
        <f>IFERROR(__xludf.DUMMYFUNCTION("""COMPUTED_VALUE"""),"SZ")</f>
        <v>SZ</v>
      </c>
      <c r="K543" s="9" t="str">
        <f>IFERROR(__xludf.DUMMYFUNCTION("""COMPUTED_VALUE"""),"tSZ")</f>
        <v>tSZ</v>
      </c>
      <c r="L543" s="9" t="str">
        <f>IFERROR(__xludf.DUMMYFUNCTION("""COMPUTED_VALUE"""),"tSZlt")</f>
        <v>tSZlt</v>
      </c>
      <c r="M543" s="9" t="str">
        <f>IFERROR(__xludf.DUMMYFUNCTION("""COMPUTED_VALUE"""),"tSZlto")</f>
        <v>tSZlto</v>
      </c>
      <c r="N543" s="9" t="str">
        <f>IFERROR(__xludf.DUMMYFUNCTION("""COMPUTED_VALUE"""),"tSZltop")</f>
        <v>tSZltop</v>
      </c>
      <c r="O543" s="9"/>
      <c r="P543" s="9"/>
      <c r="Q543" s="9"/>
      <c r="R543" s="9"/>
      <c r="S543" s="42"/>
      <c r="T543" s="42"/>
      <c r="U543" s="42"/>
      <c r="V543" s="42"/>
      <c r="W543" s="42"/>
      <c r="X543" s="42"/>
      <c r="Y543" s="42"/>
      <c r="Z543" s="42"/>
      <c r="AA543" s="42"/>
      <c r="AB543" s="42" t="str">
        <f>IFERROR(__xludf.DUMMYFUNCTION("""COMPUTED_VALUE"""),"allen institute")</f>
        <v>allen institute</v>
      </c>
      <c r="AC543" s="42" t="str">
        <f>IFERROR(__xludf.DUMMYFUNCTION("""COMPUTED_VALUE"""),"DHBA")</f>
        <v>DHBA</v>
      </c>
      <c r="AD543" s="42"/>
      <c r="AE543" s="42"/>
      <c r="AF543" s="9"/>
      <c r="AG543" s="9"/>
      <c r="AH543" s="42"/>
      <c r="AI543" s="42"/>
      <c r="AJ543" s="42"/>
      <c r="AK543" s="42"/>
      <c r="AL543" s="42"/>
      <c r="AM543" s="42"/>
      <c r="AN543" s="42"/>
      <c r="AO543" s="63" t="str">
        <f>IFERROR(__xludf.DUMMYFUNCTION("IF(ISBLANK(A543),,IF(ISBLANK(S543), A543&amp;"";"", TEXTJOIN(CHAR(10), TRUE, A543&amp;"";"", ARRAYFORMULA(VLOOKUP(SPLIT(S543, "";"" &amp; CHAR(10)), $A:$AO, 41, FALSE)))))"),"tSZltop;")</f>
        <v>tSZltop;</v>
      </c>
      <c r="AP543" s="89"/>
    </row>
    <row r="544">
      <c r="A544" s="151" t="str">
        <f>IFERROR(__xludf.DUMMYFUNCTION("""COMPUTED_VALUE"""),"tSZlti")</f>
        <v>tSZlti</v>
      </c>
      <c r="B544" s="42" t="str">
        <f>IFERROR(__xludf.DUMMYFUNCTION("""COMPUTED_VALUE"""),"DHBA")</f>
        <v>DHBA</v>
      </c>
      <c r="C544" s="42" t="str">
        <f>IFERROR(__xludf.DUMMYFUNCTION("""COMPUTED_VALUE"""),"inner SZ in lateral temporal-occipital cortex")</f>
        <v>inner SZ in lateral temporal-occipital cortex</v>
      </c>
      <c r="D544" s="42">
        <f>IFERROR(__xludf.DUMMYFUNCTION("""COMPUTED_VALUE"""),510.0)</f>
        <v>510</v>
      </c>
      <c r="E544" s="39" t="str">
        <f>IFERROR(__xludf.DUMMYFUNCTION("""COMPUTED_VALUE"""),"inner SZ in lateral temporal-occipital cortex")</f>
        <v>inner SZ in lateral temporal-occipital cortex</v>
      </c>
      <c r="F544" s="9" t="str">
        <f>IFERROR(__xludf.DUMMYFUNCTION("""COMPUTED_VALUE"""),"Br")</f>
        <v>Br</v>
      </c>
      <c r="G544" s="9" t="str">
        <f>IFERROR(__xludf.DUMMYFUNCTION("""COMPUTED_VALUE"""),"F")</f>
        <v>F</v>
      </c>
      <c r="H544" s="9" t="str">
        <f>IFERROR(__xludf.DUMMYFUNCTION("""COMPUTED_VALUE"""),"FGM")</f>
        <v>FGM</v>
      </c>
      <c r="I544" s="9" t="str">
        <f>IFERROR(__xludf.DUMMYFUNCTION("""COMPUTED_VALUE"""),"FTS")</f>
        <v>FTS</v>
      </c>
      <c r="J544" s="9" t="str">
        <f>IFERROR(__xludf.DUMMYFUNCTION("""COMPUTED_VALUE"""),"SZ")</f>
        <v>SZ</v>
      </c>
      <c r="K544" s="9" t="str">
        <f>IFERROR(__xludf.DUMMYFUNCTION("""COMPUTED_VALUE"""),"tSZ")</f>
        <v>tSZ</v>
      </c>
      <c r="L544" s="9" t="str">
        <f>IFERROR(__xludf.DUMMYFUNCTION("""COMPUTED_VALUE"""),"tSZlt")</f>
        <v>tSZlt</v>
      </c>
      <c r="M544" s="9" t="str">
        <f>IFERROR(__xludf.DUMMYFUNCTION("""COMPUTED_VALUE"""),"tSZlti")</f>
        <v>tSZlti</v>
      </c>
      <c r="N544" s="9"/>
      <c r="O544" s="9"/>
      <c r="P544" s="9"/>
      <c r="Q544" s="9"/>
      <c r="R544" s="9"/>
      <c r="S544" s="42" t="str">
        <f>IFERROR(__xludf.DUMMYFUNCTION("""COMPUTED_VALUE"""),"tSZltip")</f>
        <v>tSZltip</v>
      </c>
      <c r="T544" s="42"/>
      <c r="U544" s="42" t="b">
        <f>IFERROR(__xludf.DUMMYFUNCTION("""COMPUTED_VALUE"""),FALSE)</f>
        <v>0</v>
      </c>
      <c r="V544" s="42"/>
      <c r="W544" s="42"/>
      <c r="X544" s="42"/>
      <c r="Y544" s="42"/>
      <c r="Z544" s="42"/>
      <c r="AA544" s="42"/>
      <c r="AB544" s="42" t="str">
        <f>IFERROR(__xludf.DUMMYFUNCTION("""COMPUTED_VALUE"""),"allen institute")</f>
        <v>allen institute</v>
      </c>
      <c r="AC544" s="42" t="str">
        <f>IFERROR(__xludf.DUMMYFUNCTION("""COMPUTED_VALUE"""),"DHBA")</f>
        <v>DHBA</v>
      </c>
      <c r="AD544" s="42"/>
      <c r="AE544" s="42"/>
      <c r="AF544" s="9"/>
      <c r="AG544" s="9"/>
      <c r="AH544" s="42"/>
      <c r="AI544" s="42"/>
      <c r="AJ544" s="42"/>
      <c r="AK544" s="42"/>
      <c r="AL544" s="42"/>
      <c r="AM544" s="42"/>
      <c r="AN544" s="42"/>
      <c r="AO544" s="63" t="str">
        <f>IFERROR(__xludf.DUMMYFUNCTION("IF(ISBLANK(A544),,IF(ISBLANK(S544), A544&amp;"";"", TEXTJOIN(CHAR(10), TRUE, A544&amp;"";"", ARRAYFORMULA(VLOOKUP(SPLIT(S544, "";"" &amp; CHAR(10)), $A:$AO, 41, FALSE)))))"),"tSZlti;
tSZltip;")</f>
        <v>tSZlti;
tSZltip;</v>
      </c>
      <c r="AP544" s="89"/>
    </row>
    <row r="545">
      <c r="A545" s="151" t="str">
        <f>IFERROR(__xludf.DUMMYFUNCTION("""COMPUTED_VALUE"""),"tSZltip")</f>
        <v>tSZltip</v>
      </c>
      <c r="B545" s="42" t="str">
        <f>IFERROR(__xludf.DUMMYFUNCTION("""COMPUTED_VALUE"""),"DHBA")</f>
        <v>DHBA</v>
      </c>
      <c r="C545" s="42" t="str">
        <f>IFERROR(__xludf.DUMMYFUNCTION("""COMPUTED_VALUE"""),"inner plexiform zone in lateral temporal-occipital cortex")</f>
        <v>inner plexiform zone in lateral temporal-occipital cortex</v>
      </c>
      <c r="D545" s="42">
        <f>IFERROR(__xludf.DUMMYFUNCTION("""COMPUTED_VALUE"""),511.0)</f>
        <v>511</v>
      </c>
      <c r="E545" s="39" t="str">
        <f>IFERROR(__xludf.DUMMYFUNCTION("""COMPUTED_VALUE"""),"inner plexiform zone in lateral temporal-occipital cortex")</f>
        <v>inner plexiform zone in lateral temporal-occipital cortex</v>
      </c>
      <c r="F545" s="9" t="str">
        <f>IFERROR(__xludf.DUMMYFUNCTION("""COMPUTED_VALUE"""),"Br")</f>
        <v>Br</v>
      </c>
      <c r="G545" s="9" t="str">
        <f>IFERROR(__xludf.DUMMYFUNCTION("""COMPUTED_VALUE"""),"F")</f>
        <v>F</v>
      </c>
      <c r="H545" s="9" t="str">
        <f>IFERROR(__xludf.DUMMYFUNCTION("""COMPUTED_VALUE"""),"FGM")</f>
        <v>FGM</v>
      </c>
      <c r="I545" s="9" t="str">
        <f>IFERROR(__xludf.DUMMYFUNCTION("""COMPUTED_VALUE"""),"FTS")</f>
        <v>FTS</v>
      </c>
      <c r="J545" s="9" t="str">
        <f>IFERROR(__xludf.DUMMYFUNCTION("""COMPUTED_VALUE"""),"SZ")</f>
        <v>SZ</v>
      </c>
      <c r="K545" s="9" t="str">
        <f>IFERROR(__xludf.DUMMYFUNCTION("""COMPUTED_VALUE"""),"tSZ")</f>
        <v>tSZ</v>
      </c>
      <c r="L545" s="9" t="str">
        <f>IFERROR(__xludf.DUMMYFUNCTION("""COMPUTED_VALUE"""),"tSZlt")</f>
        <v>tSZlt</v>
      </c>
      <c r="M545" s="9" t="str">
        <f>IFERROR(__xludf.DUMMYFUNCTION("""COMPUTED_VALUE"""),"tSZlti")</f>
        <v>tSZlti</v>
      </c>
      <c r="N545" s="9" t="str">
        <f>IFERROR(__xludf.DUMMYFUNCTION("""COMPUTED_VALUE"""),"tSZltip")</f>
        <v>tSZltip</v>
      </c>
      <c r="O545" s="9"/>
      <c r="P545" s="9"/>
      <c r="Q545" s="9"/>
      <c r="R545" s="9"/>
      <c r="S545" s="42"/>
      <c r="T545" s="42"/>
      <c r="U545" s="42"/>
      <c r="V545" s="42"/>
      <c r="W545" s="42"/>
      <c r="X545" s="42"/>
      <c r="Y545" s="42"/>
      <c r="Z545" s="42"/>
      <c r="AA545" s="42"/>
      <c r="AB545" s="42" t="str">
        <f>IFERROR(__xludf.DUMMYFUNCTION("""COMPUTED_VALUE"""),"allen institute")</f>
        <v>allen institute</v>
      </c>
      <c r="AC545" s="42" t="str">
        <f>IFERROR(__xludf.DUMMYFUNCTION("""COMPUTED_VALUE"""),"DHBA")</f>
        <v>DHBA</v>
      </c>
      <c r="AD545" s="42"/>
      <c r="AE545" s="42"/>
      <c r="AF545" s="9"/>
      <c r="AG545" s="9"/>
      <c r="AH545" s="42"/>
      <c r="AI545" s="42"/>
      <c r="AJ545" s="42"/>
      <c r="AK545" s="42"/>
      <c r="AL545" s="42"/>
      <c r="AM545" s="42"/>
      <c r="AN545" s="42"/>
      <c r="AO545" s="63" t="str">
        <f>IFERROR(__xludf.DUMMYFUNCTION("IF(ISBLANK(A545),,IF(ISBLANK(S545), A545&amp;"";"", TEXTJOIN(CHAR(10), TRUE, A545&amp;"";"", ARRAYFORMULA(VLOOKUP(SPLIT(S545, "";"" &amp; CHAR(10)), $A:$AO, 41, FALSE)))))"),"tSZltip;")</f>
        <v>tSZltip;</v>
      </c>
      <c r="AP545" s="89"/>
    </row>
    <row r="546">
      <c r="A546" s="151" t="str">
        <f>IFERROR(__xludf.DUMMYFUNCTION("""COMPUTED_VALUE"""),"tSZtp")</f>
        <v>tSZtp</v>
      </c>
      <c r="B546" s="42" t="str">
        <f>IFERROR(__xludf.DUMMYFUNCTION("""COMPUTED_VALUE"""),"DHBA")</f>
        <v>DHBA</v>
      </c>
      <c r="C546" s="42" t="str">
        <f>IFERROR(__xludf.DUMMYFUNCTION("""COMPUTED_VALUE"""),"SZ in temporal polar cortex")</f>
        <v>SZ in temporal polar cortex</v>
      </c>
      <c r="D546" s="42">
        <f>IFERROR(__xludf.DUMMYFUNCTION("""COMPUTED_VALUE"""),512.0)</f>
        <v>512</v>
      </c>
      <c r="E546" s="39" t="str">
        <f>IFERROR(__xludf.DUMMYFUNCTION("""COMPUTED_VALUE"""),"SZ in temporal polar cortex")</f>
        <v>SZ in temporal polar cortex</v>
      </c>
      <c r="F546" s="9" t="str">
        <f>IFERROR(__xludf.DUMMYFUNCTION("""COMPUTED_VALUE"""),"Br")</f>
        <v>Br</v>
      </c>
      <c r="G546" s="9" t="str">
        <f>IFERROR(__xludf.DUMMYFUNCTION("""COMPUTED_VALUE"""),"F")</f>
        <v>F</v>
      </c>
      <c r="H546" s="9" t="str">
        <f>IFERROR(__xludf.DUMMYFUNCTION("""COMPUTED_VALUE"""),"FGM")</f>
        <v>FGM</v>
      </c>
      <c r="I546" s="9" t="str">
        <f>IFERROR(__xludf.DUMMYFUNCTION("""COMPUTED_VALUE"""),"FTS")</f>
        <v>FTS</v>
      </c>
      <c r="J546" s="9" t="str">
        <f>IFERROR(__xludf.DUMMYFUNCTION("""COMPUTED_VALUE"""),"SZ")</f>
        <v>SZ</v>
      </c>
      <c r="K546" s="9" t="str">
        <f>IFERROR(__xludf.DUMMYFUNCTION("""COMPUTED_VALUE"""),"tSZ")</f>
        <v>tSZ</v>
      </c>
      <c r="L546" s="9" t="str">
        <f>IFERROR(__xludf.DUMMYFUNCTION("""COMPUTED_VALUE"""),"tSZtp")</f>
        <v>tSZtp</v>
      </c>
      <c r="M546" s="9"/>
      <c r="N546" s="9"/>
      <c r="O546" s="9"/>
      <c r="P546" s="9"/>
      <c r="Q546" s="9"/>
      <c r="R546" s="9"/>
      <c r="S546" s="42"/>
      <c r="T546" s="42"/>
      <c r="U546" s="42"/>
      <c r="V546" s="42"/>
      <c r="W546" s="42"/>
      <c r="X546" s="42"/>
      <c r="Y546" s="42"/>
      <c r="Z546" s="42"/>
      <c r="AA546" s="42"/>
      <c r="AB546" s="42" t="str">
        <f>IFERROR(__xludf.DUMMYFUNCTION("""COMPUTED_VALUE"""),"allen institute")</f>
        <v>allen institute</v>
      </c>
      <c r="AC546" s="42" t="str">
        <f>IFERROR(__xludf.DUMMYFUNCTION("""COMPUTED_VALUE"""),"DHBA")</f>
        <v>DHBA</v>
      </c>
      <c r="AD546" s="42"/>
      <c r="AE546" s="42"/>
      <c r="AF546" s="9"/>
      <c r="AG546" s="9"/>
      <c r="AH546" s="42"/>
      <c r="AI546" s="42"/>
      <c r="AJ546" s="42"/>
      <c r="AK546" s="42"/>
      <c r="AL546" s="42"/>
      <c r="AM546" s="42"/>
      <c r="AN546" s="42"/>
      <c r="AO546" s="63" t="str">
        <f>IFERROR(__xludf.DUMMYFUNCTION("IF(ISBLANK(A546),,IF(ISBLANK(S546), A546&amp;"";"", TEXTJOIN(CHAR(10), TRUE, A546&amp;"";"", ARRAYFORMULA(VLOOKUP(SPLIT(S546, "";"" &amp; CHAR(10)), $A:$AO, 41, FALSE)))))"),"tSZtp;")</f>
        <v>tSZtp;</v>
      </c>
      <c r="AP546" s="89"/>
    </row>
    <row r="547">
      <c r="A547" s="151" t="str">
        <f>IFERROR(__xludf.DUMMYFUNCTION("""COMPUTED_VALUE"""),"oSZ")</f>
        <v>oSZ</v>
      </c>
      <c r="B547" s="42" t="str">
        <f>IFERROR(__xludf.DUMMYFUNCTION("""COMPUTED_VALUE"""),"DHBA")</f>
        <v>DHBA</v>
      </c>
      <c r="C547" s="42" t="str">
        <f>IFERROR(__xludf.DUMMYFUNCTION("""COMPUTED_VALUE"""),"SZ in occipital neocortex")</f>
        <v>SZ in occipital neocortex</v>
      </c>
      <c r="D547" s="42">
        <f>IFERROR(__xludf.DUMMYFUNCTION("""COMPUTED_VALUE"""),513.0)</f>
        <v>513</v>
      </c>
      <c r="E547" s="39" t="str">
        <f>IFERROR(__xludf.DUMMYFUNCTION("""COMPUTED_VALUE"""),"SZ in occipital neocortex")</f>
        <v>SZ in occipital neocortex</v>
      </c>
      <c r="F547" s="9" t="str">
        <f>IFERROR(__xludf.DUMMYFUNCTION("""COMPUTED_VALUE"""),"Br")</f>
        <v>Br</v>
      </c>
      <c r="G547" s="9" t="str">
        <f>IFERROR(__xludf.DUMMYFUNCTION("""COMPUTED_VALUE"""),"F")</f>
        <v>F</v>
      </c>
      <c r="H547" s="9" t="str">
        <f>IFERROR(__xludf.DUMMYFUNCTION("""COMPUTED_VALUE"""),"FGM")</f>
        <v>FGM</v>
      </c>
      <c r="I547" s="9" t="str">
        <f>IFERROR(__xludf.DUMMYFUNCTION("""COMPUTED_VALUE"""),"FTS")</f>
        <v>FTS</v>
      </c>
      <c r="J547" s="9" t="str">
        <f>IFERROR(__xludf.DUMMYFUNCTION("""COMPUTED_VALUE"""),"SZ")</f>
        <v>SZ</v>
      </c>
      <c r="K547" s="9" t="str">
        <f>IFERROR(__xludf.DUMMYFUNCTION("""COMPUTED_VALUE"""),"oSZ")</f>
        <v>oSZ</v>
      </c>
      <c r="L547" s="9"/>
      <c r="M547" s="9"/>
      <c r="N547" s="9"/>
      <c r="O547" s="9"/>
      <c r="P547" s="9"/>
      <c r="Q547" s="9"/>
      <c r="R547" s="9"/>
      <c r="S547" s="42" t="str">
        <f>IFERROR(__xludf.DUMMYFUNCTION("""COMPUTED_VALUE"""),"oSZpro;
oSZv1;
oSZexs")</f>
        <v>oSZpro;
oSZv1;
oSZexs</v>
      </c>
      <c r="T547" s="42"/>
      <c r="U547" s="42" t="b">
        <f>IFERROR(__xludf.DUMMYFUNCTION("""COMPUTED_VALUE"""),FALSE)</f>
        <v>0</v>
      </c>
      <c r="V547" s="42"/>
      <c r="W547" s="42"/>
      <c r="X547" s="42"/>
      <c r="Y547" s="42"/>
      <c r="Z547" s="42"/>
      <c r="AA547" s="42"/>
      <c r="AB547" s="42" t="str">
        <f>IFERROR(__xludf.DUMMYFUNCTION("""COMPUTED_VALUE"""),"allen institute")</f>
        <v>allen institute</v>
      </c>
      <c r="AC547" s="42" t="str">
        <f>IFERROR(__xludf.DUMMYFUNCTION("""COMPUTED_VALUE"""),"DHBA")</f>
        <v>DHBA</v>
      </c>
      <c r="AD547" s="42"/>
      <c r="AE547" s="42"/>
      <c r="AF547" s="9"/>
      <c r="AG547" s="9"/>
      <c r="AH547" s="42"/>
      <c r="AI547" s="42"/>
      <c r="AJ547" s="42"/>
      <c r="AK547" s="42"/>
      <c r="AL547" s="42"/>
      <c r="AM547" s="42"/>
      <c r="AN547" s="42"/>
      <c r="AO547" s="63" t="str">
        <f>IFERROR(__xludf.DUMMYFUNCTION("IF(ISBLANK(A547),,IF(ISBLANK(S547), A547&amp;"";"", TEXTJOIN(CHAR(10), TRUE, A547&amp;"";"", ARRAYFORMULA(VLOOKUP(SPLIT(S547, "";"" &amp; CHAR(10)), $A:$AO, 41, FALSE)))))"),"oSZ;
oSZpro;
oSZproo;
oSZproop;
oSZproi;
oSZproip;
oSZv1;
oSZv1o;
oSZv1op;
oSZv1i;
oSZv1ip;
oSZexs;
oSZdm;
oSZdmo;
oSZdmi;
oSZvm;
oSZvmo;
oSZvmi;
oSZml;
oSZmlo;
oSZmli;
oSZexso;
oSZexsop;
oSZexsi;
oSZexsip;")</f>
        <v>oSZ;
oSZpro;
oSZproo;
oSZproop;
oSZproi;
oSZproip;
oSZv1;
oSZv1o;
oSZv1op;
oSZv1i;
oSZv1ip;
oSZexs;
oSZdm;
oSZdmo;
oSZdmi;
oSZvm;
oSZvmo;
oSZvmi;
oSZml;
oSZmlo;
oSZmli;
oSZexso;
oSZexsop;
oSZexsi;
oSZexsip;</v>
      </c>
      <c r="AP547" s="89"/>
    </row>
    <row r="548">
      <c r="A548" s="151" t="str">
        <f>IFERROR(__xludf.DUMMYFUNCTION("""COMPUTED_VALUE"""),"oSZpro")</f>
        <v>oSZpro</v>
      </c>
      <c r="B548" s="42" t="str">
        <f>IFERROR(__xludf.DUMMYFUNCTION("""COMPUTED_VALUE"""),"DHBA")</f>
        <v>DHBA</v>
      </c>
      <c r="C548" s="42" t="str">
        <f>IFERROR(__xludf.DUMMYFUNCTION("""COMPUTED_VALUE"""),"SZ in area prostriata")</f>
        <v>SZ in area prostriata</v>
      </c>
      <c r="D548" s="42">
        <f>IFERROR(__xludf.DUMMYFUNCTION("""COMPUTED_VALUE"""),514.0)</f>
        <v>514</v>
      </c>
      <c r="E548" s="39" t="str">
        <f>IFERROR(__xludf.DUMMYFUNCTION("""COMPUTED_VALUE"""),"SZ in area prostriata")</f>
        <v>SZ in area prostriata</v>
      </c>
      <c r="F548" s="9" t="str">
        <f>IFERROR(__xludf.DUMMYFUNCTION("""COMPUTED_VALUE"""),"Br")</f>
        <v>Br</v>
      </c>
      <c r="G548" s="9" t="str">
        <f>IFERROR(__xludf.DUMMYFUNCTION("""COMPUTED_VALUE"""),"F")</f>
        <v>F</v>
      </c>
      <c r="H548" s="9" t="str">
        <f>IFERROR(__xludf.DUMMYFUNCTION("""COMPUTED_VALUE"""),"FGM")</f>
        <v>FGM</v>
      </c>
      <c r="I548" s="9" t="str">
        <f>IFERROR(__xludf.DUMMYFUNCTION("""COMPUTED_VALUE"""),"FTS")</f>
        <v>FTS</v>
      </c>
      <c r="J548" s="9" t="str">
        <f>IFERROR(__xludf.DUMMYFUNCTION("""COMPUTED_VALUE"""),"SZ")</f>
        <v>SZ</v>
      </c>
      <c r="K548" s="9" t="str">
        <f>IFERROR(__xludf.DUMMYFUNCTION("""COMPUTED_VALUE"""),"oSZ")</f>
        <v>oSZ</v>
      </c>
      <c r="L548" s="9" t="str">
        <f>IFERROR(__xludf.DUMMYFUNCTION("""COMPUTED_VALUE"""),"oSZpro")</f>
        <v>oSZpro</v>
      </c>
      <c r="M548" s="9"/>
      <c r="N548" s="9"/>
      <c r="O548" s="9"/>
      <c r="P548" s="9"/>
      <c r="Q548" s="9"/>
      <c r="R548" s="9"/>
      <c r="S548" s="42" t="str">
        <f>IFERROR(__xludf.DUMMYFUNCTION("""COMPUTED_VALUE"""),"oSZproo;
oSZproi")</f>
        <v>oSZproo;
oSZproi</v>
      </c>
      <c r="T548" s="42"/>
      <c r="U548" s="42" t="b">
        <f>IFERROR(__xludf.DUMMYFUNCTION("""COMPUTED_VALUE"""),FALSE)</f>
        <v>0</v>
      </c>
      <c r="V548" s="42"/>
      <c r="W548" s="42"/>
      <c r="X548" s="42"/>
      <c r="Y548" s="42"/>
      <c r="Z548" s="42"/>
      <c r="AA548" s="42"/>
      <c r="AB548" s="42" t="str">
        <f>IFERROR(__xludf.DUMMYFUNCTION("""COMPUTED_VALUE"""),"allen institute")</f>
        <v>allen institute</v>
      </c>
      <c r="AC548" s="42" t="str">
        <f>IFERROR(__xludf.DUMMYFUNCTION("""COMPUTED_VALUE"""),"DHBA")</f>
        <v>DHBA</v>
      </c>
      <c r="AD548" s="42"/>
      <c r="AE548" s="42"/>
      <c r="AF548" s="9"/>
      <c r="AG548" s="9"/>
      <c r="AH548" s="42"/>
      <c r="AI548" s="42"/>
      <c r="AJ548" s="42"/>
      <c r="AK548" s="42"/>
      <c r="AL548" s="42"/>
      <c r="AM548" s="42"/>
      <c r="AN548" s="42"/>
      <c r="AO548" s="63" t="str">
        <f>IFERROR(__xludf.DUMMYFUNCTION("IF(ISBLANK(A548),,IF(ISBLANK(S548), A548&amp;"";"", TEXTJOIN(CHAR(10), TRUE, A548&amp;"";"", ARRAYFORMULA(VLOOKUP(SPLIT(S548, "";"" &amp; CHAR(10)), $A:$AO, 41, FALSE)))))"),"oSZpro;
oSZproo;
oSZproop;
oSZproi;
oSZproip;")</f>
        <v>oSZpro;
oSZproo;
oSZproop;
oSZproi;
oSZproip;</v>
      </c>
      <c r="AP548" s="89"/>
    </row>
    <row r="549">
      <c r="A549" s="151" t="str">
        <f>IFERROR(__xludf.DUMMYFUNCTION("""COMPUTED_VALUE"""),"oSZproo")</f>
        <v>oSZproo</v>
      </c>
      <c r="B549" s="42" t="str">
        <f>IFERROR(__xludf.DUMMYFUNCTION("""COMPUTED_VALUE"""),"DHBA")</f>
        <v>DHBA</v>
      </c>
      <c r="C549" s="42" t="str">
        <f>IFERROR(__xludf.DUMMYFUNCTION("""COMPUTED_VALUE"""),"outer SZ in area prostriata")</f>
        <v>outer SZ in area prostriata</v>
      </c>
      <c r="D549" s="42">
        <f>IFERROR(__xludf.DUMMYFUNCTION("""COMPUTED_VALUE"""),515.0)</f>
        <v>515</v>
      </c>
      <c r="E549" s="39" t="str">
        <f>IFERROR(__xludf.DUMMYFUNCTION("""COMPUTED_VALUE"""),"outer SZ in area prostriata")</f>
        <v>outer SZ in area prostriata</v>
      </c>
      <c r="F549" s="9" t="str">
        <f>IFERROR(__xludf.DUMMYFUNCTION("""COMPUTED_VALUE"""),"Br")</f>
        <v>Br</v>
      </c>
      <c r="G549" s="9" t="str">
        <f>IFERROR(__xludf.DUMMYFUNCTION("""COMPUTED_VALUE"""),"F")</f>
        <v>F</v>
      </c>
      <c r="H549" s="9" t="str">
        <f>IFERROR(__xludf.DUMMYFUNCTION("""COMPUTED_VALUE"""),"FGM")</f>
        <v>FGM</v>
      </c>
      <c r="I549" s="9" t="str">
        <f>IFERROR(__xludf.DUMMYFUNCTION("""COMPUTED_VALUE"""),"FTS")</f>
        <v>FTS</v>
      </c>
      <c r="J549" s="9" t="str">
        <f>IFERROR(__xludf.DUMMYFUNCTION("""COMPUTED_VALUE"""),"SZ")</f>
        <v>SZ</v>
      </c>
      <c r="K549" s="9" t="str">
        <f>IFERROR(__xludf.DUMMYFUNCTION("""COMPUTED_VALUE"""),"oSZ")</f>
        <v>oSZ</v>
      </c>
      <c r="L549" s="9" t="str">
        <f>IFERROR(__xludf.DUMMYFUNCTION("""COMPUTED_VALUE"""),"oSZpro")</f>
        <v>oSZpro</v>
      </c>
      <c r="M549" s="9" t="str">
        <f>IFERROR(__xludf.DUMMYFUNCTION("""COMPUTED_VALUE"""),"oSZproo")</f>
        <v>oSZproo</v>
      </c>
      <c r="N549" s="9"/>
      <c r="O549" s="9"/>
      <c r="P549" s="9"/>
      <c r="Q549" s="9"/>
      <c r="R549" s="9"/>
      <c r="S549" s="42" t="str">
        <f>IFERROR(__xludf.DUMMYFUNCTION("""COMPUTED_VALUE"""),"oSZproop")</f>
        <v>oSZproop</v>
      </c>
      <c r="T549" s="42"/>
      <c r="U549" s="42" t="b">
        <f>IFERROR(__xludf.DUMMYFUNCTION("""COMPUTED_VALUE"""),FALSE)</f>
        <v>0</v>
      </c>
      <c r="V549" s="42"/>
      <c r="W549" s="42"/>
      <c r="X549" s="42"/>
      <c r="Y549" s="42"/>
      <c r="Z549" s="42"/>
      <c r="AA549" s="42"/>
      <c r="AB549" s="42" t="str">
        <f>IFERROR(__xludf.DUMMYFUNCTION("""COMPUTED_VALUE"""),"allen institute")</f>
        <v>allen institute</v>
      </c>
      <c r="AC549" s="42" t="str">
        <f>IFERROR(__xludf.DUMMYFUNCTION("""COMPUTED_VALUE"""),"DHBA")</f>
        <v>DHBA</v>
      </c>
      <c r="AD549" s="42"/>
      <c r="AE549" s="42"/>
      <c r="AF549" s="9"/>
      <c r="AG549" s="9"/>
      <c r="AH549" s="42"/>
      <c r="AI549" s="42"/>
      <c r="AJ549" s="42"/>
      <c r="AK549" s="42"/>
      <c r="AL549" s="42"/>
      <c r="AM549" s="42"/>
      <c r="AN549" s="42"/>
      <c r="AO549" s="63" t="str">
        <f>IFERROR(__xludf.DUMMYFUNCTION("IF(ISBLANK(A549),,IF(ISBLANK(S549), A549&amp;"";"", TEXTJOIN(CHAR(10), TRUE, A549&amp;"";"", ARRAYFORMULA(VLOOKUP(SPLIT(S549, "";"" &amp; CHAR(10)), $A:$AO, 41, FALSE)))))"),"oSZproo;
oSZproop;")</f>
        <v>oSZproo;
oSZproop;</v>
      </c>
      <c r="AP549" s="89"/>
    </row>
    <row r="550">
      <c r="A550" s="151" t="str">
        <f>IFERROR(__xludf.DUMMYFUNCTION("""COMPUTED_VALUE"""),"oSZproop")</f>
        <v>oSZproop</v>
      </c>
      <c r="B550" s="42" t="str">
        <f>IFERROR(__xludf.DUMMYFUNCTION("""COMPUTED_VALUE"""),"DHBA")</f>
        <v>DHBA</v>
      </c>
      <c r="C550" s="42" t="str">
        <f>IFERROR(__xludf.DUMMYFUNCTION("""COMPUTED_VALUE"""),"outer plexiform zone in area prostriata")</f>
        <v>outer plexiform zone in area prostriata</v>
      </c>
      <c r="D550" s="42">
        <f>IFERROR(__xludf.DUMMYFUNCTION("""COMPUTED_VALUE"""),516.0)</f>
        <v>516</v>
      </c>
      <c r="E550" s="39" t="str">
        <f>IFERROR(__xludf.DUMMYFUNCTION("""COMPUTED_VALUE"""),"outer plexiform zone in area prostriata")</f>
        <v>outer plexiform zone in area prostriata</v>
      </c>
      <c r="F550" s="9" t="str">
        <f>IFERROR(__xludf.DUMMYFUNCTION("""COMPUTED_VALUE"""),"Br")</f>
        <v>Br</v>
      </c>
      <c r="G550" s="9" t="str">
        <f>IFERROR(__xludf.DUMMYFUNCTION("""COMPUTED_VALUE"""),"F")</f>
        <v>F</v>
      </c>
      <c r="H550" s="9" t="str">
        <f>IFERROR(__xludf.DUMMYFUNCTION("""COMPUTED_VALUE"""),"FGM")</f>
        <v>FGM</v>
      </c>
      <c r="I550" s="9" t="str">
        <f>IFERROR(__xludf.DUMMYFUNCTION("""COMPUTED_VALUE"""),"FTS")</f>
        <v>FTS</v>
      </c>
      <c r="J550" s="9" t="str">
        <f>IFERROR(__xludf.DUMMYFUNCTION("""COMPUTED_VALUE"""),"SZ")</f>
        <v>SZ</v>
      </c>
      <c r="K550" s="9" t="str">
        <f>IFERROR(__xludf.DUMMYFUNCTION("""COMPUTED_VALUE"""),"oSZ")</f>
        <v>oSZ</v>
      </c>
      <c r="L550" s="9" t="str">
        <f>IFERROR(__xludf.DUMMYFUNCTION("""COMPUTED_VALUE"""),"oSZpro")</f>
        <v>oSZpro</v>
      </c>
      <c r="M550" s="9" t="str">
        <f>IFERROR(__xludf.DUMMYFUNCTION("""COMPUTED_VALUE"""),"oSZproo")</f>
        <v>oSZproo</v>
      </c>
      <c r="N550" s="9" t="str">
        <f>IFERROR(__xludf.DUMMYFUNCTION("""COMPUTED_VALUE"""),"oSZproop")</f>
        <v>oSZproop</v>
      </c>
      <c r="O550" s="9"/>
      <c r="P550" s="9"/>
      <c r="Q550" s="9"/>
      <c r="R550" s="9"/>
      <c r="S550" s="42"/>
      <c r="T550" s="42"/>
      <c r="U550" s="42"/>
      <c r="V550" s="42"/>
      <c r="W550" s="42"/>
      <c r="X550" s="42"/>
      <c r="Y550" s="42"/>
      <c r="Z550" s="42"/>
      <c r="AA550" s="42"/>
      <c r="AB550" s="42" t="str">
        <f>IFERROR(__xludf.DUMMYFUNCTION("""COMPUTED_VALUE"""),"allen institute")</f>
        <v>allen institute</v>
      </c>
      <c r="AC550" s="42" t="str">
        <f>IFERROR(__xludf.DUMMYFUNCTION("""COMPUTED_VALUE"""),"DHBA")</f>
        <v>DHBA</v>
      </c>
      <c r="AD550" s="42"/>
      <c r="AE550" s="42"/>
      <c r="AF550" s="9"/>
      <c r="AG550" s="9"/>
      <c r="AH550" s="42"/>
      <c r="AI550" s="42"/>
      <c r="AJ550" s="42"/>
      <c r="AK550" s="42"/>
      <c r="AL550" s="42"/>
      <c r="AM550" s="42"/>
      <c r="AN550" s="42"/>
      <c r="AO550" s="63" t="str">
        <f>IFERROR(__xludf.DUMMYFUNCTION("IF(ISBLANK(A550),,IF(ISBLANK(S550), A550&amp;"";"", TEXTJOIN(CHAR(10), TRUE, A550&amp;"";"", ARRAYFORMULA(VLOOKUP(SPLIT(S550, "";"" &amp; CHAR(10)), $A:$AO, 41, FALSE)))))"),"oSZproop;")</f>
        <v>oSZproop;</v>
      </c>
      <c r="AP550" s="89"/>
    </row>
    <row r="551">
      <c r="A551" s="151" t="str">
        <f>IFERROR(__xludf.DUMMYFUNCTION("""COMPUTED_VALUE"""),"oSZproi")</f>
        <v>oSZproi</v>
      </c>
      <c r="B551" s="42" t="str">
        <f>IFERROR(__xludf.DUMMYFUNCTION("""COMPUTED_VALUE"""),"DHBA")</f>
        <v>DHBA</v>
      </c>
      <c r="C551" s="42" t="str">
        <f>IFERROR(__xludf.DUMMYFUNCTION("""COMPUTED_VALUE"""),"inner SZ in area prostriata")</f>
        <v>inner SZ in area prostriata</v>
      </c>
      <c r="D551" s="42">
        <f>IFERROR(__xludf.DUMMYFUNCTION("""COMPUTED_VALUE"""),517.0)</f>
        <v>517</v>
      </c>
      <c r="E551" s="39" t="str">
        <f>IFERROR(__xludf.DUMMYFUNCTION("""COMPUTED_VALUE"""),"inner SZ in area prostriata")</f>
        <v>inner SZ in area prostriata</v>
      </c>
      <c r="F551" s="9" t="str">
        <f>IFERROR(__xludf.DUMMYFUNCTION("""COMPUTED_VALUE"""),"Br")</f>
        <v>Br</v>
      </c>
      <c r="G551" s="9" t="str">
        <f>IFERROR(__xludf.DUMMYFUNCTION("""COMPUTED_VALUE"""),"F")</f>
        <v>F</v>
      </c>
      <c r="H551" s="9" t="str">
        <f>IFERROR(__xludf.DUMMYFUNCTION("""COMPUTED_VALUE"""),"FGM")</f>
        <v>FGM</v>
      </c>
      <c r="I551" s="9" t="str">
        <f>IFERROR(__xludf.DUMMYFUNCTION("""COMPUTED_VALUE"""),"FTS")</f>
        <v>FTS</v>
      </c>
      <c r="J551" s="9" t="str">
        <f>IFERROR(__xludf.DUMMYFUNCTION("""COMPUTED_VALUE"""),"SZ")</f>
        <v>SZ</v>
      </c>
      <c r="K551" s="9" t="str">
        <f>IFERROR(__xludf.DUMMYFUNCTION("""COMPUTED_VALUE"""),"oSZ")</f>
        <v>oSZ</v>
      </c>
      <c r="L551" s="9" t="str">
        <f>IFERROR(__xludf.DUMMYFUNCTION("""COMPUTED_VALUE"""),"oSZpro")</f>
        <v>oSZpro</v>
      </c>
      <c r="M551" s="9" t="str">
        <f>IFERROR(__xludf.DUMMYFUNCTION("""COMPUTED_VALUE"""),"oSZproi")</f>
        <v>oSZproi</v>
      </c>
      <c r="N551" s="9"/>
      <c r="O551" s="9"/>
      <c r="P551" s="9"/>
      <c r="Q551" s="9"/>
      <c r="R551" s="9"/>
      <c r="S551" s="42" t="str">
        <f>IFERROR(__xludf.DUMMYFUNCTION("""COMPUTED_VALUE"""),"oSZproip")</f>
        <v>oSZproip</v>
      </c>
      <c r="T551" s="42"/>
      <c r="U551" s="42" t="b">
        <f>IFERROR(__xludf.DUMMYFUNCTION("""COMPUTED_VALUE"""),FALSE)</f>
        <v>0</v>
      </c>
      <c r="V551" s="42"/>
      <c r="W551" s="42"/>
      <c r="X551" s="42"/>
      <c r="Y551" s="42"/>
      <c r="Z551" s="42"/>
      <c r="AA551" s="42"/>
      <c r="AB551" s="42" t="str">
        <f>IFERROR(__xludf.DUMMYFUNCTION("""COMPUTED_VALUE"""),"allen institute")</f>
        <v>allen institute</v>
      </c>
      <c r="AC551" s="42" t="str">
        <f>IFERROR(__xludf.DUMMYFUNCTION("""COMPUTED_VALUE"""),"DHBA")</f>
        <v>DHBA</v>
      </c>
      <c r="AD551" s="42"/>
      <c r="AE551" s="42"/>
      <c r="AF551" s="9"/>
      <c r="AG551" s="9"/>
      <c r="AH551" s="42"/>
      <c r="AI551" s="42"/>
      <c r="AJ551" s="42"/>
      <c r="AK551" s="42"/>
      <c r="AL551" s="42"/>
      <c r="AM551" s="42"/>
      <c r="AN551" s="42"/>
      <c r="AO551" s="63" t="str">
        <f>IFERROR(__xludf.DUMMYFUNCTION("IF(ISBLANK(A551),,IF(ISBLANK(S551), A551&amp;"";"", TEXTJOIN(CHAR(10), TRUE, A551&amp;"";"", ARRAYFORMULA(VLOOKUP(SPLIT(S551, "";"" &amp; CHAR(10)), $A:$AO, 41, FALSE)))))"),"oSZproi;
oSZproip;")</f>
        <v>oSZproi;
oSZproip;</v>
      </c>
      <c r="AP551" s="89"/>
    </row>
    <row r="552">
      <c r="A552" s="151" t="str">
        <f>IFERROR(__xludf.DUMMYFUNCTION("""COMPUTED_VALUE"""),"oSZproip")</f>
        <v>oSZproip</v>
      </c>
      <c r="B552" s="42" t="str">
        <f>IFERROR(__xludf.DUMMYFUNCTION("""COMPUTED_VALUE"""),"DHBA")</f>
        <v>DHBA</v>
      </c>
      <c r="C552" s="42" t="str">
        <f>IFERROR(__xludf.DUMMYFUNCTION("""COMPUTED_VALUE"""),"inner plexiform zone in area prostriata")</f>
        <v>inner plexiform zone in area prostriata</v>
      </c>
      <c r="D552" s="42">
        <f>IFERROR(__xludf.DUMMYFUNCTION("""COMPUTED_VALUE"""),518.0)</f>
        <v>518</v>
      </c>
      <c r="E552" s="39" t="str">
        <f>IFERROR(__xludf.DUMMYFUNCTION("""COMPUTED_VALUE"""),"inner plexiform zone in area prostriata")</f>
        <v>inner plexiform zone in area prostriata</v>
      </c>
      <c r="F552" s="9" t="str">
        <f>IFERROR(__xludf.DUMMYFUNCTION("""COMPUTED_VALUE"""),"Br")</f>
        <v>Br</v>
      </c>
      <c r="G552" s="9" t="str">
        <f>IFERROR(__xludf.DUMMYFUNCTION("""COMPUTED_VALUE"""),"F")</f>
        <v>F</v>
      </c>
      <c r="H552" s="9" t="str">
        <f>IFERROR(__xludf.DUMMYFUNCTION("""COMPUTED_VALUE"""),"FGM")</f>
        <v>FGM</v>
      </c>
      <c r="I552" s="9" t="str">
        <f>IFERROR(__xludf.DUMMYFUNCTION("""COMPUTED_VALUE"""),"FTS")</f>
        <v>FTS</v>
      </c>
      <c r="J552" s="9" t="str">
        <f>IFERROR(__xludf.DUMMYFUNCTION("""COMPUTED_VALUE"""),"SZ")</f>
        <v>SZ</v>
      </c>
      <c r="K552" s="9" t="str">
        <f>IFERROR(__xludf.DUMMYFUNCTION("""COMPUTED_VALUE"""),"oSZ")</f>
        <v>oSZ</v>
      </c>
      <c r="L552" s="9" t="str">
        <f>IFERROR(__xludf.DUMMYFUNCTION("""COMPUTED_VALUE"""),"oSZpro")</f>
        <v>oSZpro</v>
      </c>
      <c r="M552" s="9" t="str">
        <f>IFERROR(__xludf.DUMMYFUNCTION("""COMPUTED_VALUE"""),"oSZproi")</f>
        <v>oSZproi</v>
      </c>
      <c r="N552" s="9" t="str">
        <f>IFERROR(__xludf.DUMMYFUNCTION("""COMPUTED_VALUE"""),"oSZproip")</f>
        <v>oSZproip</v>
      </c>
      <c r="O552" s="9"/>
      <c r="P552" s="9"/>
      <c r="Q552" s="9"/>
      <c r="R552" s="9"/>
      <c r="S552" s="42"/>
      <c r="T552" s="42"/>
      <c r="U552" s="42"/>
      <c r="V552" s="42"/>
      <c r="W552" s="42"/>
      <c r="X552" s="42"/>
      <c r="Y552" s="42"/>
      <c r="Z552" s="42"/>
      <c r="AA552" s="42"/>
      <c r="AB552" s="42" t="str">
        <f>IFERROR(__xludf.DUMMYFUNCTION("""COMPUTED_VALUE"""),"allen institute")</f>
        <v>allen institute</v>
      </c>
      <c r="AC552" s="42" t="str">
        <f>IFERROR(__xludf.DUMMYFUNCTION("""COMPUTED_VALUE"""),"DHBA")</f>
        <v>DHBA</v>
      </c>
      <c r="AD552" s="42"/>
      <c r="AE552" s="42"/>
      <c r="AF552" s="9"/>
      <c r="AG552" s="9"/>
      <c r="AH552" s="42"/>
      <c r="AI552" s="42"/>
      <c r="AJ552" s="42"/>
      <c r="AK552" s="42"/>
      <c r="AL552" s="42"/>
      <c r="AM552" s="42"/>
      <c r="AN552" s="42"/>
      <c r="AO552" s="63" t="str">
        <f>IFERROR(__xludf.DUMMYFUNCTION("IF(ISBLANK(A552),,IF(ISBLANK(S552), A552&amp;"";"", TEXTJOIN(CHAR(10), TRUE, A552&amp;"";"", ARRAYFORMULA(VLOOKUP(SPLIT(S552, "";"" &amp; CHAR(10)), $A:$AO, 41, FALSE)))))"),"oSZproip;")</f>
        <v>oSZproip;</v>
      </c>
      <c r="AP552" s="89"/>
    </row>
    <row r="553">
      <c r="A553" s="151" t="str">
        <f>IFERROR(__xludf.DUMMYFUNCTION("""COMPUTED_VALUE"""),"oSZv1")</f>
        <v>oSZv1</v>
      </c>
      <c r="B553" s="42" t="str">
        <f>IFERROR(__xludf.DUMMYFUNCTION("""COMPUTED_VALUE"""),"DHBA")</f>
        <v>DHBA</v>
      </c>
      <c r="C553" s="42" t="str">
        <f>IFERROR(__xludf.DUMMYFUNCTION("""COMPUTED_VALUE"""),"SZ in primary visual cortex")</f>
        <v>SZ in primary visual cortex</v>
      </c>
      <c r="D553" s="42">
        <f>IFERROR(__xludf.DUMMYFUNCTION("""COMPUTED_VALUE"""),519.0)</f>
        <v>519</v>
      </c>
      <c r="E553" s="39" t="str">
        <f>IFERROR(__xludf.DUMMYFUNCTION("""COMPUTED_VALUE"""),"SZ in primary visual cortex")</f>
        <v>SZ in primary visual cortex</v>
      </c>
      <c r="F553" s="9" t="str">
        <f>IFERROR(__xludf.DUMMYFUNCTION("""COMPUTED_VALUE"""),"Br")</f>
        <v>Br</v>
      </c>
      <c r="G553" s="9" t="str">
        <f>IFERROR(__xludf.DUMMYFUNCTION("""COMPUTED_VALUE"""),"F")</f>
        <v>F</v>
      </c>
      <c r="H553" s="9" t="str">
        <f>IFERROR(__xludf.DUMMYFUNCTION("""COMPUTED_VALUE"""),"FGM")</f>
        <v>FGM</v>
      </c>
      <c r="I553" s="9" t="str">
        <f>IFERROR(__xludf.DUMMYFUNCTION("""COMPUTED_VALUE"""),"FTS")</f>
        <v>FTS</v>
      </c>
      <c r="J553" s="9" t="str">
        <f>IFERROR(__xludf.DUMMYFUNCTION("""COMPUTED_VALUE"""),"SZ")</f>
        <v>SZ</v>
      </c>
      <c r="K553" s="9" t="str">
        <f>IFERROR(__xludf.DUMMYFUNCTION("""COMPUTED_VALUE"""),"oSZ")</f>
        <v>oSZ</v>
      </c>
      <c r="L553" s="9" t="str">
        <f>IFERROR(__xludf.DUMMYFUNCTION("""COMPUTED_VALUE"""),"oSZv1")</f>
        <v>oSZv1</v>
      </c>
      <c r="M553" s="9"/>
      <c r="N553" s="9"/>
      <c r="O553" s="9"/>
      <c r="P553" s="9"/>
      <c r="Q553" s="9"/>
      <c r="R553" s="9"/>
      <c r="S553" s="42" t="str">
        <f>IFERROR(__xludf.DUMMYFUNCTION("""COMPUTED_VALUE"""),"oSZv1o;
oSZv1i")</f>
        <v>oSZv1o;
oSZv1i</v>
      </c>
      <c r="T553" s="42"/>
      <c r="U553" s="42" t="b">
        <f>IFERROR(__xludf.DUMMYFUNCTION("""COMPUTED_VALUE"""),FALSE)</f>
        <v>0</v>
      </c>
      <c r="V553" s="42"/>
      <c r="W553" s="42"/>
      <c r="X553" s="42"/>
      <c r="Y553" s="42"/>
      <c r="Z553" s="42"/>
      <c r="AA553" s="42"/>
      <c r="AB553" s="42" t="str">
        <f>IFERROR(__xludf.DUMMYFUNCTION("""COMPUTED_VALUE"""),"allen institute")</f>
        <v>allen institute</v>
      </c>
      <c r="AC553" s="42" t="str">
        <f>IFERROR(__xludf.DUMMYFUNCTION("""COMPUTED_VALUE"""),"DHBA")</f>
        <v>DHBA</v>
      </c>
      <c r="AD553" s="42"/>
      <c r="AE553" s="42"/>
      <c r="AF553" s="9"/>
      <c r="AG553" s="9"/>
      <c r="AH553" s="42"/>
      <c r="AI553" s="42"/>
      <c r="AJ553" s="42"/>
      <c r="AK553" s="42"/>
      <c r="AL553" s="42"/>
      <c r="AM553" s="42"/>
      <c r="AN553" s="42"/>
      <c r="AO553" s="63" t="str">
        <f>IFERROR(__xludf.DUMMYFUNCTION("IF(ISBLANK(A553),,IF(ISBLANK(S553), A553&amp;"";"", TEXTJOIN(CHAR(10), TRUE, A553&amp;"";"", ARRAYFORMULA(VLOOKUP(SPLIT(S553, "";"" &amp; CHAR(10)), $A:$AO, 41, FALSE)))))"),"oSZv1;
oSZv1o;
oSZv1op;
oSZv1i;
oSZv1ip;")</f>
        <v>oSZv1;
oSZv1o;
oSZv1op;
oSZv1i;
oSZv1ip;</v>
      </c>
      <c r="AP553" s="89"/>
    </row>
    <row r="554">
      <c r="A554" s="151" t="str">
        <f>IFERROR(__xludf.DUMMYFUNCTION("""COMPUTED_VALUE"""),"oSZv1o")</f>
        <v>oSZv1o</v>
      </c>
      <c r="B554" s="42" t="str">
        <f>IFERROR(__xludf.DUMMYFUNCTION("""COMPUTED_VALUE"""),"DHBA")</f>
        <v>DHBA</v>
      </c>
      <c r="C554" s="42" t="str">
        <f>IFERROR(__xludf.DUMMYFUNCTION("""COMPUTED_VALUE"""),"outer SZ in primary visual cortex")</f>
        <v>outer SZ in primary visual cortex</v>
      </c>
      <c r="D554" s="42">
        <f>IFERROR(__xludf.DUMMYFUNCTION("""COMPUTED_VALUE"""),520.0)</f>
        <v>520</v>
      </c>
      <c r="E554" s="39" t="str">
        <f>IFERROR(__xludf.DUMMYFUNCTION("""COMPUTED_VALUE"""),"outer SZ in primary visual cortex")</f>
        <v>outer SZ in primary visual cortex</v>
      </c>
      <c r="F554" s="9" t="str">
        <f>IFERROR(__xludf.DUMMYFUNCTION("""COMPUTED_VALUE"""),"Br")</f>
        <v>Br</v>
      </c>
      <c r="G554" s="9" t="str">
        <f>IFERROR(__xludf.DUMMYFUNCTION("""COMPUTED_VALUE"""),"F")</f>
        <v>F</v>
      </c>
      <c r="H554" s="9" t="str">
        <f>IFERROR(__xludf.DUMMYFUNCTION("""COMPUTED_VALUE"""),"FGM")</f>
        <v>FGM</v>
      </c>
      <c r="I554" s="9" t="str">
        <f>IFERROR(__xludf.DUMMYFUNCTION("""COMPUTED_VALUE"""),"FTS")</f>
        <v>FTS</v>
      </c>
      <c r="J554" s="9" t="str">
        <f>IFERROR(__xludf.DUMMYFUNCTION("""COMPUTED_VALUE"""),"SZ")</f>
        <v>SZ</v>
      </c>
      <c r="K554" s="9" t="str">
        <f>IFERROR(__xludf.DUMMYFUNCTION("""COMPUTED_VALUE"""),"oSZ")</f>
        <v>oSZ</v>
      </c>
      <c r="L554" s="9" t="str">
        <f>IFERROR(__xludf.DUMMYFUNCTION("""COMPUTED_VALUE"""),"oSZv1")</f>
        <v>oSZv1</v>
      </c>
      <c r="M554" s="9" t="str">
        <f>IFERROR(__xludf.DUMMYFUNCTION("""COMPUTED_VALUE"""),"oSZv1o")</f>
        <v>oSZv1o</v>
      </c>
      <c r="N554" s="9"/>
      <c r="O554" s="9"/>
      <c r="P554" s="9"/>
      <c r="Q554" s="9"/>
      <c r="R554" s="9"/>
      <c r="S554" s="42" t="str">
        <f>IFERROR(__xludf.DUMMYFUNCTION("""COMPUTED_VALUE"""),"oSZv1op")</f>
        <v>oSZv1op</v>
      </c>
      <c r="T554" s="42"/>
      <c r="U554" s="42" t="b">
        <f>IFERROR(__xludf.DUMMYFUNCTION("""COMPUTED_VALUE"""),FALSE)</f>
        <v>0</v>
      </c>
      <c r="V554" s="42"/>
      <c r="W554" s="42"/>
      <c r="X554" s="42"/>
      <c r="Y554" s="42"/>
      <c r="Z554" s="42"/>
      <c r="AA554" s="42"/>
      <c r="AB554" s="42" t="str">
        <f>IFERROR(__xludf.DUMMYFUNCTION("""COMPUTED_VALUE"""),"allen institute")</f>
        <v>allen institute</v>
      </c>
      <c r="AC554" s="42" t="str">
        <f>IFERROR(__xludf.DUMMYFUNCTION("""COMPUTED_VALUE"""),"DHBA")</f>
        <v>DHBA</v>
      </c>
      <c r="AD554" s="42"/>
      <c r="AE554" s="42"/>
      <c r="AF554" s="9"/>
      <c r="AG554" s="9"/>
      <c r="AH554" s="42"/>
      <c r="AI554" s="42"/>
      <c r="AJ554" s="42"/>
      <c r="AK554" s="42"/>
      <c r="AL554" s="42"/>
      <c r="AM554" s="42"/>
      <c r="AN554" s="42"/>
      <c r="AO554" s="63" t="str">
        <f>IFERROR(__xludf.DUMMYFUNCTION("IF(ISBLANK(A554),,IF(ISBLANK(S554), A554&amp;"";"", TEXTJOIN(CHAR(10), TRUE, A554&amp;"";"", ARRAYFORMULA(VLOOKUP(SPLIT(S554, "";"" &amp; CHAR(10)), $A:$AO, 41, FALSE)))))"),"oSZv1o;
oSZv1op;")</f>
        <v>oSZv1o;
oSZv1op;</v>
      </c>
      <c r="AP554" s="89"/>
    </row>
    <row r="555">
      <c r="A555" s="151" t="str">
        <f>IFERROR(__xludf.DUMMYFUNCTION("""COMPUTED_VALUE"""),"oSZv1op")</f>
        <v>oSZv1op</v>
      </c>
      <c r="B555" s="42" t="str">
        <f>IFERROR(__xludf.DUMMYFUNCTION("""COMPUTED_VALUE"""),"DHBA")</f>
        <v>DHBA</v>
      </c>
      <c r="C555" s="42" t="str">
        <f>IFERROR(__xludf.DUMMYFUNCTION("""COMPUTED_VALUE"""),"outer plexiform zone in primary visual cortex")</f>
        <v>outer plexiform zone in primary visual cortex</v>
      </c>
      <c r="D555" s="42">
        <f>IFERROR(__xludf.DUMMYFUNCTION("""COMPUTED_VALUE"""),521.0)</f>
        <v>521</v>
      </c>
      <c r="E555" s="39" t="str">
        <f>IFERROR(__xludf.DUMMYFUNCTION("""COMPUTED_VALUE"""),"outer plexiform zone in primary visual cortex")</f>
        <v>outer plexiform zone in primary visual cortex</v>
      </c>
      <c r="F555" s="9" t="str">
        <f>IFERROR(__xludf.DUMMYFUNCTION("""COMPUTED_VALUE"""),"Br")</f>
        <v>Br</v>
      </c>
      <c r="G555" s="9" t="str">
        <f>IFERROR(__xludf.DUMMYFUNCTION("""COMPUTED_VALUE"""),"F")</f>
        <v>F</v>
      </c>
      <c r="H555" s="9" t="str">
        <f>IFERROR(__xludf.DUMMYFUNCTION("""COMPUTED_VALUE"""),"FGM")</f>
        <v>FGM</v>
      </c>
      <c r="I555" s="9" t="str">
        <f>IFERROR(__xludf.DUMMYFUNCTION("""COMPUTED_VALUE"""),"FTS")</f>
        <v>FTS</v>
      </c>
      <c r="J555" s="9" t="str">
        <f>IFERROR(__xludf.DUMMYFUNCTION("""COMPUTED_VALUE"""),"SZ")</f>
        <v>SZ</v>
      </c>
      <c r="K555" s="9" t="str">
        <f>IFERROR(__xludf.DUMMYFUNCTION("""COMPUTED_VALUE"""),"oSZ")</f>
        <v>oSZ</v>
      </c>
      <c r="L555" s="9" t="str">
        <f>IFERROR(__xludf.DUMMYFUNCTION("""COMPUTED_VALUE"""),"oSZv1")</f>
        <v>oSZv1</v>
      </c>
      <c r="M555" s="9" t="str">
        <f>IFERROR(__xludf.DUMMYFUNCTION("""COMPUTED_VALUE"""),"oSZv1o")</f>
        <v>oSZv1o</v>
      </c>
      <c r="N555" s="9" t="str">
        <f>IFERROR(__xludf.DUMMYFUNCTION("""COMPUTED_VALUE"""),"oSZv1op")</f>
        <v>oSZv1op</v>
      </c>
      <c r="O555" s="9"/>
      <c r="P555" s="9"/>
      <c r="Q555" s="9"/>
      <c r="R555" s="9"/>
      <c r="S555" s="42"/>
      <c r="T555" s="42"/>
      <c r="U555" s="42"/>
      <c r="V555" s="42"/>
      <c r="W555" s="42"/>
      <c r="X555" s="42"/>
      <c r="Y555" s="42"/>
      <c r="Z555" s="42"/>
      <c r="AA555" s="42"/>
      <c r="AB555" s="42" t="str">
        <f>IFERROR(__xludf.DUMMYFUNCTION("""COMPUTED_VALUE"""),"allen institute")</f>
        <v>allen institute</v>
      </c>
      <c r="AC555" s="42" t="str">
        <f>IFERROR(__xludf.DUMMYFUNCTION("""COMPUTED_VALUE"""),"DHBA")</f>
        <v>DHBA</v>
      </c>
      <c r="AD555" s="42"/>
      <c r="AE555" s="42"/>
      <c r="AF555" s="9"/>
      <c r="AG555" s="9"/>
      <c r="AH555" s="42"/>
      <c r="AI555" s="42"/>
      <c r="AJ555" s="42"/>
      <c r="AK555" s="42"/>
      <c r="AL555" s="42"/>
      <c r="AM555" s="42"/>
      <c r="AN555" s="42"/>
      <c r="AO555" s="63" t="str">
        <f>IFERROR(__xludf.DUMMYFUNCTION("IF(ISBLANK(A555),,IF(ISBLANK(S555), A555&amp;"";"", TEXTJOIN(CHAR(10), TRUE, A555&amp;"";"", ARRAYFORMULA(VLOOKUP(SPLIT(S555, "";"" &amp; CHAR(10)), $A:$AO, 41, FALSE)))))"),"oSZv1op;")</f>
        <v>oSZv1op;</v>
      </c>
      <c r="AP555" s="89"/>
    </row>
    <row r="556">
      <c r="A556" s="151" t="str">
        <f>IFERROR(__xludf.DUMMYFUNCTION("""COMPUTED_VALUE"""),"oSZv1i")</f>
        <v>oSZv1i</v>
      </c>
      <c r="B556" s="42" t="str">
        <f>IFERROR(__xludf.DUMMYFUNCTION("""COMPUTED_VALUE"""),"DHBA")</f>
        <v>DHBA</v>
      </c>
      <c r="C556" s="42" t="str">
        <f>IFERROR(__xludf.DUMMYFUNCTION("""COMPUTED_VALUE"""),"inner SZ in primary visual cortex")</f>
        <v>inner SZ in primary visual cortex</v>
      </c>
      <c r="D556" s="42">
        <f>IFERROR(__xludf.DUMMYFUNCTION("""COMPUTED_VALUE"""),522.0)</f>
        <v>522</v>
      </c>
      <c r="E556" s="39" t="str">
        <f>IFERROR(__xludf.DUMMYFUNCTION("""COMPUTED_VALUE"""),"inner SZ in primary visual cortex")</f>
        <v>inner SZ in primary visual cortex</v>
      </c>
      <c r="F556" s="9" t="str">
        <f>IFERROR(__xludf.DUMMYFUNCTION("""COMPUTED_VALUE"""),"Br")</f>
        <v>Br</v>
      </c>
      <c r="G556" s="9" t="str">
        <f>IFERROR(__xludf.DUMMYFUNCTION("""COMPUTED_VALUE"""),"F")</f>
        <v>F</v>
      </c>
      <c r="H556" s="9" t="str">
        <f>IFERROR(__xludf.DUMMYFUNCTION("""COMPUTED_VALUE"""),"FGM")</f>
        <v>FGM</v>
      </c>
      <c r="I556" s="9" t="str">
        <f>IFERROR(__xludf.DUMMYFUNCTION("""COMPUTED_VALUE"""),"FTS")</f>
        <v>FTS</v>
      </c>
      <c r="J556" s="9" t="str">
        <f>IFERROR(__xludf.DUMMYFUNCTION("""COMPUTED_VALUE"""),"SZ")</f>
        <v>SZ</v>
      </c>
      <c r="K556" s="9" t="str">
        <f>IFERROR(__xludf.DUMMYFUNCTION("""COMPUTED_VALUE"""),"oSZ")</f>
        <v>oSZ</v>
      </c>
      <c r="L556" s="9" t="str">
        <f>IFERROR(__xludf.DUMMYFUNCTION("""COMPUTED_VALUE"""),"oSZv1")</f>
        <v>oSZv1</v>
      </c>
      <c r="M556" s="9" t="str">
        <f>IFERROR(__xludf.DUMMYFUNCTION("""COMPUTED_VALUE"""),"oSZv1i")</f>
        <v>oSZv1i</v>
      </c>
      <c r="N556" s="9"/>
      <c r="O556" s="9"/>
      <c r="P556" s="9"/>
      <c r="Q556" s="9"/>
      <c r="R556" s="9"/>
      <c r="S556" s="42" t="str">
        <f>IFERROR(__xludf.DUMMYFUNCTION("""COMPUTED_VALUE"""),"oSZv1ip")</f>
        <v>oSZv1ip</v>
      </c>
      <c r="T556" s="42"/>
      <c r="U556" s="42" t="b">
        <f>IFERROR(__xludf.DUMMYFUNCTION("""COMPUTED_VALUE"""),FALSE)</f>
        <v>0</v>
      </c>
      <c r="V556" s="42"/>
      <c r="W556" s="42"/>
      <c r="X556" s="42"/>
      <c r="Y556" s="42"/>
      <c r="Z556" s="42"/>
      <c r="AA556" s="42"/>
      <c r="AB556" s="42" t="str">
        <f>IFERROR(__xludf.DUMMYFUNCTION("""COMPUTED_VALUE"""),"allen institute")</f>
        <v>allen institute</v>
      </c>
      <c r="AC556" s="42" t="str">
        <f>IFERROR(__xludf.DUMMYFUNCTION("""COMPUTED_VALUE"""),"DHBA")</f>
        <v>DHBA</v>
      </c>
      <c r="AD556" s="42"/>
      <c r="AE556" s="42"/>
      <c r="AF556" s="9"/>
      <c r="AG556" s="9"/>
      <c r="AH556" s="42"/>
      <c r="AI556" s="42"/>
      <c r="AJ556" s="42"/>
      <c r="AK556" s="42"/>
      <c r="AL556" s="42"/>
      <c r="AM556" s="42"/>
      <c r="AN556" s="42"/>
      <c r="AO556" s="63" t="str">
        <f>IFERROR(__xludf.DUMMYFUNCTION("IF(ISBLANK(A556),,IF(ISBLANK(S556), A556&amp;"";"", TEXTJOIN(CHAR(10), TRUE, A556&amp;"";"", ARRAYFORMULA(VLOOKUP(SPLIT(S556, "";"" &amp; CHAR(10)), $A:$AO, 41, FALSE)))))"),"oSZv1i;
oSZv1ip;")</f>
        <v>oSZv1i;
oSZv1ip;</v>
      </c>
      <c r="AP556" s="89"/>
    </row>
    <row r="557">
      <c r="A557" s="151" t="str">
        <f>IFERROR(__xludf.DUMMYFUNCTION("""COMPUTED_VALUE"""),"oSZv1ip")</f>
        <v>oSZv1ip</v>
      </c>
      <c r="B557" s="42" t="str">
        <f>IFERROR(__xludf.DUMMYFUNCTION("""COMPUTED_VALUE"""),"DHBA")</f>
        <v>DHBA</v>
      </c>
      <c r="C557" s="42" t="str">
        <f>IFERROR(__xludf.DUMMYFUNCTION("""COMPUTED_VALUE"""),"inner plexiform zone in primary visual cortex")</f>
        <v>inner plexiform zone in primary visual cortex</v>
      </c>
      <c r="D557" s="42">
        <f>IFERROR(__xludf.DUMMYFUNCTION("""COMPUTED_VALUE"""),523.0)</f>
        <v>523</v>
      </c>
      <c r="E557" s="39" t="str">
        <f>IFERROR(__xludf.DUMMYFUNCTION("""COMPUTED_VALUE"""),"inner plexiform zone in primary visual cortex")</f>
        <v>inner plexiform zone in primary visual cortex</v>
      </c>
      <c r="F557" s="9" t="str">
        <f>IFERROR(__xludf.DUMMYFUNCTION("""COMPUTED_VALUE"""),"Br")</f>
        <v>Br</v>
      </c>
      <c r="G557" s="9" t="str">
        <f>IFERROR(__xludf.DUMMYFUNCTION("""COMPUTED_VALUE"""),"F")</f>
        <v>F</v>
      </c>
      <c r="H557" s="9" t="str">
        <f>IFERROR(__xludf.DUMMYFUNCTION("""COMPUTED_VALUE"""),"FGM")</f>
        <v>FGM</v>
      </c>
      <c r="I557" s="9" t="str">
        <f>IFERROR(__xludf.DUMMYFUNCTION("""COMPUTED_VALUE"""),"FTS")</f>
        <v>FTS</v>
      </c>
      <c r="J557" s="9" t="str">
        <f>IFERROR(__xludf.DUMMYFUNCTION("""COMPUTED_VALUE"""),"SZ")</f>
        <v>SZ</v>
      </c>
      <c r="K557" s="9" t="str">
        <f>IFERROR(__xludf.DUMMYFUNCTION("""COMPUTED_VALUE"""),"oSZ")</f>
        <v>oSZ</v>
      </c>
      <c r="L557" s="9" t="str">
        <f>IFERROR(__xludf.DUMMYFUNCTION("""COMPUTED_VALUE"""),"oSZv1")</f>
        <v>oSZv1</v>
      </c>
      <c r="M557" s="9" t="str">
        <f>IFERROR(__xludf.DUMMYFUNCTION("""COMPUTED_VALUE"""),"oSZv1i")</f>
        <v>oSZv1i</v>
      </c>
      <c r="N557" s="9" t="str">
        <f>IFERROR(__xludf.DUMMYFUNCTION("""COMPUTED_VALUE"""),"oSZv1ip")</f>
        <v>oSZv1ip</v>
      </c>
      <c r="O557" s="9"/>
      <c r="P557" s="9"/>
      <c r="Q557" s="9"/>
      <c r="R557" s="9"/>
      <c r="S557" s="42"/>
      <c r="T557" s="42"/>
      <c r="U557" s="42"/>
      <c r="V557" s="42"/>
      <c r="W557" s="42"/>
      <c r="X557" s="42"/>
      <c r="Y557" s="42"/>
      <c r="Z557" s="42"/>
      <c r="AA557" s="42"/>
      <c r="AB557" s="42" t="str">
        <f>IFERROR(__xludf.DUMMYFUNCTION("""COMPUTED_VALUE"""),"allen institute")</f>
        <v>allen institute</v>
      </c>
      <c r="AC557" s="42" t="str">
        <f>IFERROR(__xludf.DUMMYFUNCTION("""COMPUTED_VALUE"""),"DHBA")</f>
        <v>DHBA</v>
      </c>
      <c r="AD557" s="42"/>
      <c r="AE557" s="42"/>
      <c r="AF557" s="9"/>
      <c r="AG557" s="9"/>
      <c r="AH557" s="42"/>
      <c r="AI557" s="42"/>
      <c r="AJ557" s="42"/>
      <c r="AK557" s="42"/>
      <c r="AL557" s="42"/>
      <c r="AM557" s="42"/>
      <c r="AN557" s="42"/>
      <c r="AO557" s="63" t="str">
        <f>IFERROR(__xludf.DUMMYFUNCTION("IF(ISBLANK(A557),,IF(ISBLANK(S557), A557&amp;"";"", TEXTJOIN(CHAR(10), TRUE, A557&amp;"";"", ARRAYFORMULA(VLOOKUP(SPLIT(S557, "";"" &amp; CHAR(10)), $A:$AO, 41, FALSE)))))"),"oSZv1ip;")</f>
        <v>oSZv1ip;</v>
      </c>
      <c r="AP557" s="89"/>
    </row>
    <row r="558">
      <c r="A558" s="151" t="str">
        <f>IFERROR(__xludf.DUMMYFUNCTION("""COMPUTED_VALUE"""),"oSZexs")</f>
        <v>oSZexs</v>
      </c>
      <c r="B558" s="42" t="str">
        <f>IFERROR(__xludf.DUMMYFUNCTION("""COMPUTED_VALUE"""),"DHBA")</f>
        <v>DHBA</v>
      </c>
      <c r="C558" s="42" t="str">
        <f>IFERROR(__xludf.DUMMYFUNCTION("""COMPUTED_VALUE"""),"SZ in extrastriate cortex")</f>
        <v>SZ in extrastriate cortex</v>
      </c>
      <c r="D558" s="42">
        <f>IFERROR(__xludf.DUMMYFUNCTION("""COMPUTED_VALUE"""),524.0)</f>
        <v>524</v>
      </c>
      <c r="E558" s="39" t="str">
        <f>IFERROR(__xludf.DUMMYFUNCTION("""COMPUTED_VALUE"""),"SZ in extrastriate cortex")</f>
        <v>SZ in extrastriate cortex</v>
      </c>
      <c r="F558" s="9" t="str">
        <f>IFERROR(__xludf.DUMMYFUNCTION("""COMPUTED_VALUE"""),"Br")</f>
        <v>Br</v>
      </c>
      <c r="G558" s="9" t="str">
        <f>IFERROR(__xludf.DUMMYFUNCTION("""COMPUTED_VALUE"""),"F")</f>
        <v>F</v>
      </c>
      <c r="H558" s="9" t="str">
        <f>IFERROR(__xludf.DUMMYFUNCTION("""COMPUTED_VALUE"""),"FGM")</f>
        <v>FGM</v>
      </c>
      <c r="I558" s="9" t="str">
        <f>IFERROR(__xludf.DUMMYFUNCTION("""COMPUTED_VALUE"""),"FTS")</f>
        <v>FTS</v>
      </c>
      <c r="J558" s="9" t="str">
        <f>IFERROR(__xludf.DUMMYFUNCTION("""COMPUTED_VALUE"""),"SZ")</f>
        <v>SZ</v>
      </c>
      <c r="K558" s="9" t="str">
        <f>IFERROR(__xludf.DUMMYFUNCTION("""COMPUTED_VALUE"""),"oSZ")</f>
        <v>oSZ</v>
      </c>
      <c r="L558" s="9" t="str">
        <f>IFERROR(__xludf.DUMMYFUNCTION("""COMPUTED_VALUE"""),"oSZexs")</f>
        <v>oSZexs</v>
      </c>
      <c r="M558" s="9"/>
      <c r="N558" s="9"/>
      <c r="O558" s="9"/>
      <c r="P558" s="9"/>
      <c r="Q558" s="9"/>
      <c r="R558" s="9"/>
      <c r="S558" s="42" t="str">
        <f>IFERROR(__xludf.DUMMYFUNCTION("""COMPUTED_VALUE"""),"oSZdm;
oSZvm;
oSZml;
oSZexso;
oSZexsi")</f>
        <v>oSZdm;
oSZvm;
oSZml;
oSZexso;
oSZexsi</v>
      </c>
      <c r="T558" s="42"/>
      <c r="U558" s="159" t="b">
        <f>IFERROR(__xludf.DUMMYFUNCTION("""COMPUTED_VALUE"""),FALSE)</f>
        <v>0</v>
      </c>
      <c r="V558" s="42"/>
      <c r="W558" s="42"/>
      <c r="X558" s="42"/>
      <c r="Y558" s="42"/>
      <c r="Z558" s="42"/>
      <c r="AA558" s="42"/>
      <c r="AB558" s="42" t="str">
        <f>IFERROR(__xludf.DUMMYFUNCTION("""COMPUTED_VALUE"""),"allen institute")</f>
        <v>allen institute</v>
      </c>
      <c r="AC558" s="42" t="str">
        <f>IFERROR(__xludf.DUMMYFUNCTION("""COMPUTED_VALUE"""),"DHBA")</f>
        <v>DHBA</v>
      </c>
      <c r="AD558" s="42"/>
      <c r="AE558" s="42"/>
      <c r="AF558" s="9"/>
      <c r="AG558" s="9"/>
      <c r="AH558" s="42"/>
      <c r="AI558" s="42"/>
      <c r="AJ558" s="42"/>
      <c r="AK558" s="42"/>
      <c r="AL558" s="42"/>
      <c r="AM558" s="42"/>
      <c r="AN558" s="42"/>
      <c r="AO558" s="63" t="str">
        <f>IFERROR(__xludf.DUMMYFUNCTION("IF(ISBLANK(A558),,IF(ISBLANK(S558), A558&amp;"";"", TEXTJOIN(CHAR(10), TRUE, A558&amp;"";"", ARRAYFORMULA(VLOOKUP(SPLIT(S558, "";"" &amp; CHAR(10)), $A:$AO, 41, FALSE)))))"),"oSZexs;
oSZdm;
oSZdmo;
oSZdmi;
oSZvm;
oSZvmo;
oSZvmi;
oSZml;
oSZmlo;
oSZmli;
oSZexso;
oSZexsop;
oSZexsi;
oSZexsip;")</f>
        <v>oSZexs;
oSZdm;
oSZdmo;
oSZdmi;
oSZvm;
oSZvmo;
oSZvmi;
oSZml;
oSZmlo;
oSZmli;
oSZexso;
oSZexsop;
oSZexsi;
oSZexsip;</v>
      </c>
      <c r="AP558" s="89"/>
    </row>
    <row r="559">
      <c r="A559" s="151" t="str">
        <f>IFERROR(__xludf.DUMMYFUNCTION("""COMPUTED_VALUE"""),"oSZdm")</f>
        <v>oSZdm</v>
      </c>
      <c r="B559" s="42" t="str">
        <f>IFERROR(__xludf.DUMMYFUNCTION("""COMPUTED_VALUE"""),"DHBA")</f>
        <v>DHBA</v>
      </c>
      <c r="C559" s="42" t="str">
        <f>IFERROR(__xludf.DUMMYFUNCTION("""COMPUTED_VALUE"""),"SZ in dorsomedial extrastriate cortex (V2)")</f>
        <v>SZ in dorsomedial extrastriate cortex (V2)</v>
      </c>
      <c r="D559" s="42">
        <f>IFERROR(__xludf.DUMMYFUNCTION("""COMPUTED_VALUE"""),525.0)</f>
        <v>525</v>
      </c>
      <c r="E559" s="39" t="str">
        <f>IFERROR(__xludf.DUMMYFUNCTION("""COMPUTED_VALUE"""),"SZ in dorsomedial extrastriate cortex (V2)")</f>
        <v>SZ in dorsomedial extrastriate cortex (V2)</v>
      </c>
      <c r="F559" s="9" t="str">
        <f>IFERROR(__xludf.DUMMYFUNCTION("""COMPUTED_VALUE"""),"Br")</f>
        <v>Br</v>
      </c>
      <c r="G559" s="9" t="str">
        <f>IFERROR(__xludf.DUMMYFUNCTION("""COMPUTED_VALUE"""),"F")</f>
        <v>F</v>
      </c>
      <c r="H559" s="9" t="str">
        <f>IFERROR(__xludf.DUMMYFUNCTION("""COMPUTED_VALUE"""),"FGM")</f>
        <v>FGM</v>
      </c>
      <c r="I559" s="9" t="str">
        <f>IFERROR(__xludf.DUMMYFUNCTION("""COMPUTED_VALUE"""),"FTS")</f>
        <v>FTS</v>
      </c>
      <c r="J559" s="9" t="str">
        <f>IFERROR(__xludf.DUMMYFUNCTION("""COMPUTED_VALUE"""),"SZ")</f>
        <v>SZ</v>
      </c>
      <c r="K559" s="9" t="str">
        <f>IFERROR(__xludf.DUMMYFUNCTION("""COMPUTED_VALUE"""),"oSZ")</f>
        <v>oSZ</v>
      </c>
      <c r="L559" s="9" t="str">
        <f>IFERROR(__xludf.DUMMYFUNCTION("""COMPUTED_VALUE"""),"oSZexs")</f>
        <v>oSZexs</v>
      </c>
      <c r="M559" s="9" t="str">
        <f>IFERROR(__xludf.DUMMYFUNCTION("""COMPUTED_VALUE"""),"oSZdm")</f>
        <v>oSZdm</v>
      </c>
      <c r="N559" s="9"/>
      <c r="O559" s="9"/>
      <c r="P559" s="9"/>
      <c r="Q559" s="9"/>
      <c r="R559" s="9"/>
      <c r="S559" s="42" t="str">
        <f>IFERROR(__xludf.DUMMYFUNCTION("""COMPUTED_VALUE"""),"oSZdmo;
oSZdmi")</f>
        <v>oSZdmo;
oSZdmi</v>
      </c>
      <c r="T559" s="42"/>
      <c r="U559" s="42" t="b">
        <f>IFERROR(__xludf.DUMMYFUNCTION("""COMPUTED_VALUE"""),FALSE)</f>
        <v>0</v>
      </c>
      <c r="V559" s="42"/>
      <c r="W559" s="42"/>
      <c r="X559" s="42"/>
      <c r="Y559" s="42"/>
      <c r="Z559" s="42"/>
      <c r="AA559" s="42"/>
      <c r="AB559" s="42" t="str">
        <f>IFERROR(__xludf.DUMMYFUNCTION("""COMPUTED_VALUE"""),"allen institute")</f>
        <v>allen institute</v>
      </c>
      <c r="AC559" s="42" t="str">
        <f>IFERROR(__xludf.DUMMYFUNCTION("""COMPUTED_VALUE"""),"DHBA")</f>
        <v>DHBA</v>
      </c>
      <c r="AD559" s="42"/>
      <c r="AE559" s="42"/>
      <c r="AF559" s="9"/>
      <c r="AG559" s="9"/>
      <c r="AH559" s="42"/>
      <c r="AI559" s="42"/>
      <c r="AJ559" s="42"/>
      <c r="AK559" s="42"/>
      <c r="AL559" s="42"/>
      <c r="AM559" s="42"/>
      <c r="AN559" s="42"/>
      <c r="AO559" s="63" t="str">
        <f>IFERROR(__xludf.DUMMYFUNCTION("IF(ISBLANK(A559),,IF(ISBLANK(S559), A559&amp;"";"", TEXTJOIN(CHAR(10), TRUE, A559&amp;"";"", ARRAYFORMULA(VLOOKUP(SPLIT(S559, "";"" &amp; CHAR(10)), $A:$AO, 41, FALSE)))))"),"oSZdm;
oSZdmo;
oSZdmi;")</f>
        <v>oSZdm;
oSZdmo;
oSZdmi;</v>
      </c>
      <c r="AP559" s="89"/>
    </row>
    <row r="560">
      <c r="A560" s="151" t="str">
        <f>IFERROR(__xludf.DUMMYFUNCTION("""COMPUTED_VALUE"""),"oSZdmo")</f>
        <v>oSZdmo</v>
      </c>
      <c r="B560" s="42" t="str">
        <f>IFERROR(__xludf.DUMMYFUNCTION("""COMPUTED_VALUE"""),"DHBA")</f>
        <v>DHBA</v>
      </c>
      <c r="C560" s="42" t="str">
        <f>IFERROR(__xludf.DUMMYFUNCTION("""COMPUTED_VALUE"""),"outer SZ in dorsomedial extrastriate cortex")</f>
        <v>outer SZ in dorsomedial extrastriate cortex</v>
      </c>
      <c r="D560" s="42">
        <f>IFERROR(__xludf.DUMMYFUNCTION("""COMPUTED_VALUE"""),526.0)</f>
        <v>526</v>
      </c>
      <c r="E560" s="39" t="str">
        <f>IFERROR(__xludf.DUMMYFUNCTION("""COMPUTED_VALUE"""),"outer SZ in dorsomedial extrastriate cortex")</f>
        <v>outer SZ in dorsomedial extrastriate cortex</v>
      </c>
      <c r="F560" s="9" t="str">
        <f>IFERROR(__xludf.DUMMYFUNCTION("""COMPUTED_VALUE"""),"Br")</f>
        <v>Br</v>
      </c>
      <c r="G560" s="9" t="str">
        <f>IFERROR(__xludf.DUMMYFUNCTION("""COMPUTED_VALUE"""),"F")</f>
        <v>F</v>
      </c>
      <c r="H560" s="9" t="str">
        <f>IFERROR(__xludf.DUMMYFUNCTION("""COMPUTED_VALUE"""),"FGM")</f>
        <v>FGM</v>
      </c>
      <c r="I560" s="9" t="str">
        <f>IFERROR(__xludf.DUMMYFUNCTION("""COMPUTED_VALUE"""),"FTS")</f>
        <v>FTS</v>
      </c>
      <c r="J560" s="9" t="str">
        <f>IFERROR(__xludf.DUMMYFUNCTION("""COMPUTED_VALUE"""),"SZ")</f>
        <v>SZ</v>
      </c>
      <c r="K560" s="9" t="str">
        <f>IFERROR(__xludf.DUMMYFUNCTION("""COMPUTED_VALUE"""),"oSZ")</f>
        <v>oSZ</v>
      </c>
      <c r="L560" s="9" t="str">
        <f>IFERROR(__xludf.DUMMYFUNCTION("""COMPUTED_VALUE"""),"oSZexs")</f>
        <v>oSZexs</v>
      </c>
      <c r="M560" s="9" t="str">
        <f>IFERROR(__xludf.DUMMYFUNCTION("""COMPUTED_VALUE"""),"oSZdm")</f>
        <v>oSZdm</v>
      </c>
      <c r="N560" s="9" t="str">
        <f>IFERROR(__xludf.DUMMYFUNCTION("""COMPUTED_VALUE"""),"oSZdmo")</f>
        <v>oSZdmo</v>
      </c>
      <c r="O560" s="9"/>
      <c r="P560" s="9"/>
      <c r="Q560" s="9"/>
      <c r="R560" s="9"/>
      <c r="S560" s="42"/>
      <c r="T560" s="42"/>
      <c r="U560" s="42"/>
      <c r="V560" s="42"/>
      <c r="W560" s="42"/>
      <c r="X560" s="42"/>
      <c r="Y560" s="42"/>
      <c r="Z560" s="42"/>
      <c r="AA560" s="42"/>
      <c r="AB560" s="42" t="str">
        <f>IFERROR(__xludf.DUMMYFUNCTION("""COMPUTED_VALUE"""),"allen institute")</f>
        <v>allen institute</v>
      </c>
      <c r="AC560" s="42" t="str">
        <f>IFERROR(__xludf.DUMMYFUNCTION("""COMPUTED_VALUE"""),"DHBA")</f>
        <v>DHBA</v>
      </c>
      <c r="AD560" s="42"/>
      <c r="AE560" s="42"/>
      <c r="AF560" s="9"/>
      <c r="AG560" s="9"/>
      <c r="AH560" s="42"/>
      <c r="AI560" s="42"/>
      <c r="AJ560" s="42"/>
      <c r="AK560" s="42"/>
      <c r="AL560" s="42"/>
      <c r="AM560" s="42"/>
      <c r="AN560" s="42"/>
      <c r="AO560" s="63" t="str">
        <f>IFERROR(__xludf.DUMMYFUNCTION("IF(ISBLANK(A560),,IF(ISBLANK(S560), A560&amp;"";"", TEXTJOIN(CHAR(10), TRUE, A560&amp;"";"", ARRAYFORMULA(VLOOKUP(SPLIT(S560, "";"" &amp; CHAR(10)), $A:$AO, 41, FALSE)))))"),"oSZdmo;")</f>
        <v>oSZdmo;</v>
      </c>
      <c r="AP560" s="89"/>
    </row>
    <row r="561">
      <c r="A561" s="151" t="str">
        <f>IFERROR(__xludf.DUMMYFUNCTION("""COMPUTED_VALUE"""),"oSZdmi")</f>
        <v>oSZdmi</v>
      </c>
      <c r="B561" s="42" t="str">
        <f>IFERROR(__xludf.DUMMYFUNCTION("""COMPUTED_VALUE"""),"DHBA")</f>
        <v>DHBA</v>
      </c>
      <c r="C561" s="42" t="str">
        <f>IFERROR(__xludf.DUMMYFUNCTION("""COMPUTED_VALUE"""),"inner SZ in dorsomedial extrastriate cortex")</f>
        <v>inner SZ in dorsomedial extrastriate cortex</v>
      </c>
      <c r="D561" s="42">
        <f>IFERROR(__xludf.DUMMYFUNCTION("""COMPUTED_VALUE"""),527.0)</f>
        <v>527</v>
      </c>
      <c r="E561" s="39" t="str">
        <f>IFERROR(__xludf.DUMMYFUNCTION("""COMPUTED_VALUE"""),"inner SZ in dorsomedial extrastriate cortex")</f>
        <v>inner SZ in dorsomedial extrastriate cortex</v>
      </c>
      <c r="F561" s="9" t="str">
        <f>IFERROR(__xludf.DUMMYFUNCTION("""COMPUTED_VALUE"""),"Br")</f>
        <v>Br</v>
      </c>
      <c r="G561" s="9" t="str">
        <f>IFERROR(__xludf.DUMMYFUNCTION("""COMPUTED_VALUE"""),"F")</f>
        <v>F</v>
      </c>
      <c r="H561" s="9" t="str">
        <f>IFERROR(__xludf.DUMMYFUNCTION("""COMPUTED_VALUE"""),"FGM")</f>
        <v>FGM</v>
      </c>
      <c r="I561" s="9" t="str">
        <f>IFERROR(__xludf.DUMMYFUNCTION("""COMPUTED_VALUE"""),"FTS")</f>
        <v>FTS</v>
      </c>
      <c r="J561" s="9" t="str">
        <f>IFERROR(__xludf.DUMMYFUNCTION("""COMPUTED_VALUE"""),"SZ")</f>
        <v>SZ</v>
      </c>
      <c r="K561" s="9" t="str">
        <f>IFERROR(__xludf.DUMMYFUNCTION("""COMPUTED_VALUE"""),"oSZ")</f>
        <v>oSZ</v>
      </c>
      <c r="L561" s="9" t="str">
        <f>IFERROR(__xludf.DUMMYFUNCTION("""COMPUTED_VALUE"""),"oSZexs")</f>
        <v>oSZexs</v>
      </c>
      <c r="M561" s="9" t="str">
        <f>IFERROR(__xludf.DUMMYFUNCTION("""COMPUTED_VALUE"""),"oSZdm")</f>
        <v>oSZdm</v>
      </c>
      <c r="N561" s="9" t="str">
        <f>IFERROR(__xludf.DUMMYFUNCTION("""COMPUTED_VALUE"""),"oSZdmi")</f>
        <v>oSZdmi</v>
      </c>
      <c r="O561" s="9"/>
      <c r="P561" s="9"/>
      <c r="Q561" s="9"/>
      <c r="R561" s="9"/>
      <c r="S561" s="42"/>
      <c r="T561" s="42"/>
      <c r="U561" s="42"/>
      <c r="V561" s="42"/>
      <c r="W561" s="42"/>
      <c r="X561" s="42"/>
      <c r="Y561" s="42"/>
      <c r="Z561" s="42"/>
      <c r="AA561" s="42"/>
      <c r="AB561" s="42" t="str">
        <f>IFERROR(__xludf.DUMMYFUNCTION("""COMPUTED_VALUE"""),"allen institute")</f>
        <v>allen institute</v>
      </c>
      <c r="AC561" s="42" t="str">
        <f>IFERROR(__xludf.DUMMYFUNCTION("""COMPUTED_VALUE"""),"DHBA")</f>
        <v>DHBA</v>
      </c>
      <c r="AD561" s="42"/>
      <c r="AE561" s="42"/>
      <c r="AF561" s="9"/>
      <c r="AG561" s="9"/>
      <c r="AH561" s="42"/>
      <c r="AI561" s="42"/>
      <c r="AJ561" s="42"/>
      <c r="AK561" s="42"/>
      <c r="AL561" s="42"/>
      <c r="AM561" s="42"/>
      <c r="AN561" s="42"/>
      <c r="AO561" s="63" t="str">
        <f>IFERROR(__xludf.DUMMYFUNCTION("IF(ISBLANK(A561),,IF(ISBLANK(S561), A561&amp;"";"", TEXTJOIN(CHAR(10), TRUE, A561&amp;"";"", ARRAYFORMULA(VLOOKUP(SPLIT(S561, "";"" &amp; CHAR(10)), $A:$AO, 41, FALSE)))))"),"oSZdmi;")</f>
        <v>oSZdmi;</v>
      </c>
      <c r="AP561" s="89"/>
    </row>
    <row r="562">
      <c r="A562" s="151" t="str">
        <f>IFERROR(__xludf.DUMMYFUNCTION("""COMPUTED_VALUE"""),"oSZvm")</f>
        <v>oSZvm</v>
      </c>
      <c r="B562" s="42" t="str">
        <f>IFERROR(__xludf.DUMMYFUNCTION("""COMPUTED_VALUE"""),"DHBA")</f>
        <v>DHBA</v>
      </c>
      <c r="C562" s="42" t="str">
        <f>IFERROR(__xludf.DUMMYFUNCTION("""COMPUTED_VALUE"""),"SZ in ventromedial extrastriate cortex (VP)")</f>
        <v>SZ in ventromedial extrastriate cortex (VP)</v>
      </c>
      <c r="D562" s="42">
        <f>IFERROR(__xludf.DUMMYFUNCTION("""COMPUTED_VALUE"""),528.0)</f>
        <v>528</v>
      </c>
      <c r="E562" s="39" t="str">
        <f>IFERROR(__xludf.DUMMYFUNCTION("""COMPUTED_VALUE"""),"SZ in ventromedial extrastriate cortex (VP)")</f>
        <v>SZ in ventromedial extrastriate cortex (VP)</v>
      </c>
      <c r="F562" s="9" t="str">
        <f>IFERROR(__xludf.DUMMYFUNCTION("""COMPUTED_VALUE"""),"Br")</f>
        <v>Br</v>
      </c>
      <c r="G562" s="9" t="str">
        <f>IFERROR(__xludf.DUMMYFUNCTION("""COMPUTED_VALUE"""),"F")</f>
        <v>F</v>
      </c>
      <c r="H562" s="9" t="str">
        <f>IFERROR(__xludf.DUMMYFUNCTION("""COMPUTED_VALUE"""),"FGM")</f>
        <v>FGM</v>
      </c>
      <c r="I562" s="9" t="str">
        <f>IFERROR(__xludf.DUMMYFUNCTION("""COMPUTED_VALUE"""),"FTS")</f>
        <v>FTS</v>
      </c>
      <c r="J562" s="9" t="str">
        <f>IFERROR(__xludf.DUMMYFUNCTION("""COMPUTED_VALUE"""),"SZ")</f>
        <v>SZ</v>
      </c>
      <c r="K562" s="9" t="str">
        <f>IFERROR(__xludf.DUMMYFUNCTION("""COMPUTED_VALUE"""),"oSZ")</f>
        <v>oSZ</v>
      </c>
      <c r="L562" s="9" t="str">
        <f>IFERROR(__xludf.DUMMYFUNCTION("""COMPUTED_VALUE"""),"oSZexs")</f>
        <v>oSZexs</v>
      </c>
      <c r="M562" s="9" t="str">
        <f>IFERROR(__xludf.DUMMYFUNCTION("""COMPUTED_VALUE"""),"oSZvm")</f>
        <v>oSZvm</v>
      </c>
      <c r="N562" s="9"/>
      <c r="O562" s="9"/>
      <c r="P562" s="9"/>
      <c r="Q562" s="9"/>
      <c r="R562" s="9"/>
      <c r="S562" s="42" t="str">
        <f>IFERROR(__xludf.DUMMYFUNCTION("""COMPUTED_VALUE"""),"oSZvmo;
oSZvmi")</f>
        <v>oSZvmo;
oSZvmi</v>
      </c>
      <c r="T562" s="42"/>
      <c r="U562" s="42" t="b">
        <f>IFERROR(__xludf.DUMMYFUNCTION("""COMPUTED_VALUE"""),FALSE)</f>
        <v>0</v>
      </c>
      <c r="V562" s="42"/>
      <c r="W562" s="42"/>
      <c r="X562" s="42"/>
      <c r="Y562" s="42"/>
      <c r="Z562" s="42"/>
      <c r="AA562" s="42"/>
      <c r="AB562" s="42" t="str">
        <f>IFERROR(__xludf.DUMMYFUNCTION("""COMPUTED_VALUE"""),"allen institute")</f>
        <v>allen institute</v>
      </c>
      <c r="AC562" s="42" t="str">
        <f>IFERROR(__xludf.DUMMYFUNCTION("""COMPUTED_VALUE"""),"DHBA")</f>
        <v>DHBA</v>
      </c>
      <c r="AD562" s="42"/>
      <c r="AE562" s="42"/>
      <c r="AF562" s="9"/>
      <c r="AG562" s="9"/>
      <c r="AH562" s="42"/>
      <c r="AI562" s="42"/>
      <c r="AJ562" s="42"/>
      <c r="AK562" s="42"/>
      <c r="AL562" s="42"/>
      <c r="AM562" s="42"/>
      <c r="AN562" s="42"/>
      <c r="AO562" s="63" t="str">
        <f>IFERROR(__xludf.DUMMYFUNCTION("IF(ISBLANK(A562),,IF(ISBLANK(S562), A562&amp;"";"", TEXTJOIN(CHAR(10), TRUE, A562&amp;"";"", ARRAYFORMULA(VLOOKUP(SPLIT(S562, "";"" &amp; CHAR(10)), $A:$AO, 41, FALSE)))))"),"oSZvm;
oSZvmo;
oSZvmi;")</f>
        <v>oSZvm;
oSZvmo;
oSZvmi;</v>
      </c>
      <c r="AP562" s="89"/>
    </row>
    <row r="563">
      <c r="A563" s="151" t="str">
        <f>IFERROR(__xludf.DUMMYFUNCTION("""COMPUTED_VALUE"""),"oSZvmo")</f>
        <v>oSZvmo</v>
      </c>
      <c r="B563" s="42" t="str">
        <f>IFERROR(__xludf.DUMMYFUNCTION("""COMPUTED_VALUE"""),"DHBA")</f>
        <v>DHBA</v>
      </c>
      <c r="C563" s="42" t="str">
        <f>IFERROR(__xludf.DUMMYFUNCTION("""COMPUTED_VALUE"""),"outer SZ in ventromedial extrastriate cortex")</f>
        <v>outer SZ in ventromedial extrastriate cortex</v>
      </c>
      <c r="D563" s="42">
        <f>IFERROR(__xludf.DUMMYFUNCTION("""COMPUTED_VALUE"""),529.0)</f>
        <v>529</v>
      </c>
      <c r="E563" s="39" t="str">
        <f>IFERROR(__xludf.DUMMYFUNCTION("""COMPUTED_VALUE"""),"outer SZ in ventromedial extrastriate cortex")</f>
        <v>outer SZ in ventromedial extrastriate cortex</v>
      </c>
      <c r="F563" s="9" t="str">
        <f>IFERROR(__xludf.DUMMYFUNCTION("""COMPUTED_VALUE"""),"Br")</f>
        <v>Br</v>
      </c>
      <c r="G563" s="9" t="str">
        <f>IFERROR(__xludf.DUMMYFUNCTION("""COMPUTED_VALUE"""),"F")</f>
        <v>F</v>
      </c>
      <c r="H563" s="9" t="str">
        <f>IFERROR(__xludf.DUMMYFUNCTION("""COMPUTED_VALUE"""),"FGM")</f>
        <v>FGM</v>
      </c>
      <c r="I563" s="9" t="str">
        <f>IFERROR(__xludf.DUMMYFUNCTION("""COMPUTED_VALUE"""),"FTS")</f>
        <v>FTS</v>
      </c>
      <c r="J563" s="9" t="str">
        <f>IFERROR(__xludf.DUMMYFUNCTION("""COMPUTED_VALUE"""),"SZ")</f>
        <v>SZ</v>
      </c>
      <c r="K563" s="9" t="str">
        <f>IFERROR(__xludf.DUMMYFUNCTION("""COMPUTED_VALUE"""),"oSZ")</f>
        <v>oSZ</v>
      </c>
      <c r="L563" s="9" t="str">
        <f>IFERROR(__xludf.DUMMYFUNCTION("""COMPUTED_VALUE"""),"oSZexs")</f>
        <v>oSZexs</v>
      </c>
      <c r="M563" s="9" t="str">
        <f>IFERROR(__xludf.DUMMYFUNCTION("""COMPUTED_VALUE"""),"oSZvm")</f>
        <v>oSZvm</v>
      </c>
      <c r="N563" s="9" t="str">
        <f>IFERROR(__xludf.DUMMYFUNCTION("""COMPUTED_VALUE"""),"oSZvmo")</f>
        <v>oSZvmo</v>
      </c>
      <c r="O563" s="9"/>
      <c r="P563" s="9"/>
      <c r="Q563" s="9"/>
      <c r="R563" s="9"/>
      <c r="S563" s="42"/>
      <c r="T563" s="42"/>
      <c r="U563" s="42"/>
      <c r="V563" s="42"/>
      <c r="W563" s="42"/>
      <c r="X563" s="42"/>
      <c r="Y563" s="42"/>
      <c r="Z563" s="42"/>
      <c r="AA563" s="42"/>
      <c r="AB563" s="42" t="str">
        <f>IFERROR(__xludf.DUMMYFUNCTION("""COMPUTED_VALUE"""),"allen institute")</f>
        <v>allen institute</v>
      </c>
      <c r="AC563" s="42" t="str">
        <f>IFERROR(__xludf.DUMMYFUNCTION("""COMPUTED_VALUE"""),"DHBA")</f>
        <v>DHBA</v>
      </c>
      <c r="AD563" s="42"/>
      <c r="AE563" s="42"/>
      <c r="AF563" s="9"/>
      <c r="AG563" s="9"/>
      <c r="AH563" s="42"/>
      <c r="AI563" s="42"/>
      <c r="AJ563" s="42"/>
      <c r="AK563" s="42"/>
      <c r="AL563" s="42"/>
      <c r="AM563" s="42"/>
      <c r="AN563" s="42"/>
      <c r="AO563" s="63" t="str">
        <f>IFERROR(__xludf.DUMMYFUNCTION("IF(ISBLANK(A563),,IF(ISBLANK(S563), A563&amp;"";"", TEXTJOIN(CHAR(10), TRUE, A563&amp;"";"", ARRAYFORMULA(VLOOKUP(SPLIT(S563, "";"" &amp; CHAR(10)), $A:$AO, 41, FALSE)))))"),"oSZvmo;")</f>
        <v>oSZvmo;</v>
      </c>
      <c r="AP563" s="89"/>
    </row>
    <row r="564">
      <c r="A564" s="151" t="str">
        <f>IFERROR(__xludf.DUMMYFUNCTION("""COMPUTED_VALUE"""),"oSZvmi")</f>
        <v>oSZvmi</v>
      </c>
      <c r="B564" s="42" t="str">
        <f>IFERROR(__xludf.DUMMYFUNCTION("""COMPUTED_VALUE"""),"DHBA")</f>
        <v>DHBA</v>
      </c>
      <c r="C564" s="42" t="str">
        <f>IFERROR(__xludf.DUMMYFUNCTION("""COMPUTED_VALUE"""),"inner SZ in ventromedial extrastriate cortex")</f>
        <v>inner SZ in ventromedial extrastriate cortex</v>
      </c>
      <c r="D564" s="42">
        <f>IFERROR(__xludf.DUMMYFUNCTION("""COMPUTED_VALUE"""),530.0)</f>
        <v>530</v>
      </c>
      <c r="E564" s="39" t="str">
        <f>IFERROR(__xludf.DUMMYFUNCTION("""COMPUTED_VALUE"""),"inner SZ in ventromedial extrastriate cortex")</f>
        <v>inner SZ in ventromedial extrastriate cortex</v>
      </c>
      <c r="F564" s="9" t="str">
        <f>IFERROR(__xludf.DUMMYFUNCTION("""COMPUTED_VALUE"""),"Br")</f>
        <v>Br</v>
      </c>
      <c r="G564" s="9" t="str">
        <f>IFERROR(__xludf.DUMMYFUNCTION("""COMPUTED_VALUE"""),"F")</f>
        <v>F</v>
      </c>
      <c r="H564" s="9" t="str">
        <f>IFERROR(__xludf.DUMMYFUNCTION("""COMPUTED_VALUE"""),"FGM")</f>
        <v>FGM</v>
      </c>
      <c r="I564" s="9" t="str">
        <f>IFERROR(__xludf.DUMMYFUNCTION("""COMPUTED_VALUE"""),"FTS")</f>
        <v>FTS</v>
      </c>
      <c r="J564" s="9" t="str">
        <f>IFERROR(__xludf.DUMMYFUNCTION("""COMPUTED_VALUE"""),"SZ")</f>
        <v>SZ</v>
      </c>
      <c r="K564" s="9" t="str">
        <f>IFERROR(__xludf.DUMMYFUNCTION("""COMPUTED_VALUE"""),"oSZ")</f>
        <v>oSZ</v>
      </c>
      <c r="L564" s="9" t="str">
        <f>IFERROR(__xludf.DUMMYFUNCTION("""COMPUTED_VALUE"""),"oSZexs")</f>
        <v>oSZexs</v>
      </c>
      <c r="M564" s="9" t="str">
        <f>IFERROR(__xludf.DUMMYFUNCTION("""COMPUTED_VALUE"""),"oSZvm")</f>
        <v>oSZvm</v>
      </c>
      <c r="N564" s="9" t="str">
        <f>IFERROR(__xludf.DUMMYFUNCTION("""COMPUTED_VALUE"""),"oSZvmi")</f>
        <v>oSZvmi</v>
      </c>
      <c r="O564" s="9"/>
      <c r="P564" s="9"/>
      <c r="Q564" s="9"/>
      <c r="R564" s="9"/>
      <c r="S564" s="42"/>
      <c r="T564" s="42"/>
      <c r="U564" s="42"/>
      <c r="V564" s="42"/>
      <c r="W564" s="42"/>
      <c r="X564" s="42"/>
      <c r="Y564" s="42"/>
      <c r="Z564" s="42"/>
      <c r="AA564" s="42"/>
      <c r="AB564" s="42" t="str">
        <f>IFERROR(__xludf.DUMMYFUNCTION("""COMPUTED_VALUE"""),"allen institute")</f>
        <v>allen institute</v>
      </c>
      <c r="AC564" s="42" t="str">
        <f>IFERROR(__xludf.DUMMYFUNCTION("""COMPUTED_VALUE"""),"DHBA")</f>
        <v>DHBA</v>
      </c>
      <c r="AD564" s="42"/>
      <c r="AE564" s="42"/>
      <c r="AF564" s="9"/>
      <c r="AG564" s="9"/>
      <c r="AH564" s="42"/>
      <c r="AI564" s="42"/>
      <c r="AJ564" s="42"/>
      <c r="AK564" s="42"/>
      <c r="AL564" s="42"/>
      <c r="AM564" s="42"/>
      <c r="AN564" s="42"/>
      <c r="AO564" s="63" t="str">
        <f>IFERROR(__xludf.DUMMYFUNCTION("IF(ISBLANK(A564),,IF(ISBLANK(S564), A564&amp;"";"", TEXTJOIN(CHAR(10), TRUE, A564&amp;"";"", ARRAYFORMULA(VLOOKUP(SPLIT(S564, "";"" &amp; CHAR(10)), $A:$AO, 41, FALSE)))))"),"oSZvmi;")</f>
        <v>oSZvmi;</v>
      </c>
      <c r="AP564" s="89"/>
    </row>
    <row r="565">
      <c r="A565" s="151" t="str">
        <f>IFERROR(__xludf.DUMMYFUNCTION("""COMPUTED_VALUE"""),"oSZml")</f>
        <v>oSZml</v>
      </c>
      <c r="B565" s="42" t="str">
        <f>IFERROR(__xludf.DUMMYFUNCTION("""COMPUTED_VALUE"""),"DHBA")</f>
        <v>DHBA</v>
      </c>
      <c r="C565" s="42" t="str">
        <f>IFERROR(__xludf.DUMMYFUNCTION("""COMPUTED_VALUE"""),"SZ in midlateral extrastriate cortex (area 19)")</f>
        <v>SZ in midlateral extrastriate cortex (area 19)</v>
      </c>
      <c r="D565" s="42">
        <f>IFERROR(__xludf.DUMMYFUNCTION("""COMPUTED_VALUE"""),531.0)</f>
        <v>531</v>
      </c>
      <c r="E565" s="39" t="str">
        <f>IFERROR(__xludf.DUMMYFUNCTION("""COMPUTED_VALUE"""),"SZ in midlateral extrastriate cortex (area 19)")</f>
        <v>SZ in midlateral extrastriate cortex (area 19)</v>
      </c>
      <c r="F565" s="9" t="str">
        <f>IFERROR(__xludf.DUMMYFUNCTION("""COMPUTED_VALUE"""),"Br")</f>
        <v>Br</v>
      </c>
      <c r="G565" s="9" t="str">
        <f>IFERROR(__xludf.DUMMYFUNCTION("""COMPUTED_VALUE"""),"F")</f>
        <v>F</v>
      </c>
      <c r="H565" s="9" t="str">
        <f>IFERROR(__xludf.DUMMYFUNCTION("""COMPUTED_VALUE"""),"FGM")</f>
        <v>FGM</v>
      </c>
      <c r="I565" s="9" t="str">
        <f>IFERROR(__xludf.DUMMYFUNCTION("""COMPUTED_VALUE"""),"FTS")</f>
        <v>FTS</v>
      </c>
      <c r="J565" s="9" t="str">
        <f>IFERROR(__xludf.DUMMYFUNCTION("""COMPUTED_VALUE"""),"SZ")</f>
        <v>SZ</v>
      </c>
      <c r="K565" s="9" t="str">
        <f>IFERROR(__xludf.DUMMYFUNCTION("""COMPUTED_VALUE"""),"oSZ")</f>
        <v>oSZ</v>
      </c>
      <c r="L565" s="9" t="str">
        <f>IFERROR(__xludf.DUMMYFUNCTION("""COMPUTED_VALUE"""),"oSZexs")</f>
        <v>oSZexs</v>
      </c>
      <c r="M565" s="9" t="str">
        <f>IFERROR(__xludf.DUMMYFUNCTION("""COMPUTED_VALUE"""),"oSZml")</f>
        <v>oSZml</v>
      </c>
      <c r="N565" s="9"/>
      <c r="O565" s="9"/>
      <c r="P565" s="9"/>
      <c r="Q565" s="9"/>
      <c r="R565" s="9"/>
      <c r="S565" s="42" t="str">
        <f>IFERROR(__xludf.DUMMYFUNCTION("""COMPUTED_VALUE"""),"oSZmlo;
oSZmli")</f>
        <v>oSZmlo;
oSZmli</v>
      </c>
      <c r="T565" s="42"/>
      <c r="U565" s="42" t="b">
        <f>IFERROR(__xludf.DUMMYFUNCTION("""COMPUTED_VALUE"""),FALSE)</f>
        <v>0</v>
      </c>
      <c r="V565" s="42"/>
      <c r="W565" s="42"/>
      <c r="X565" s="42"/>
      <c r="Y565" s="42"/>
      <c r="Z565" s="42"/>
      <c r="AA565" s="42"/>
      <c r="AB565" s="42" t="str">
        <f>IFERROR(__xludf.DUMMYFUNCTION("""COMPUTED_VALUE"""),"allen institute")</f>
        <v>allen institute</v>
      </c>
      <c r="AC565" s="42" t="str">
        <f>IFERROR(__xludf.DUMMYFUNCTION("""COMPUTED_VALUE"""),"DHBA")</f>
        <v>DHBA</v>
      </c>
      <c r="AD565" s="42"/>
      <c r="AE565" s="42"/>
      <c r="AF565" s="9"/>
      <c r="AG565" s="9"/>
      <c r="AH565" s="42"/>
      <c r="AI565" s="42"/>
      <c r="AJ565" s="42"/>
      <c r="AK565" s="42"/>
      <c r="AL565" s="42"/>
      <c r="AM565" s="42"/>
      <c r="AN565" s="42"/>
      <c r="AO565" s="63" t="str">
        <f>IFERROR(__xludf.DUMMYFUNCTION("IF(ISBLANK(A565),,IF(ISBLANK(S565), A565&amp;"";"", TEXTJOIN(CHAR(10), TRUE, A565&amp;"";"", ARRAYFORMULA(VLOOKUP(SPLIT(S565, "";"" &amp; CHAR(10)), $A:$AO, 41, FALSE)))))"),"oSZml;
oSZmlo;
oSZmli;")</f>
        <v>oSZml;
oSZmlo;
oSZmli;</v>
      </c>
      <c r="AP565" s="89"/>
    </row>
    <row r="566">
      <c r="A566" s="151" t="str">
        <f>IFERROR(__xludf.DUMMYFUNCTION("""COMPUTED_VALUE"""),"oSZmlo")</f>
        <v>oSZmlo</v>
      </c>
      <c r="B566" s="42" t="str">
        <f>IFERROR(__xludf.DUMMYFUNCTION("""COMPUTED_VALUE"""),"DHBA")</f>
        <v>DHBA</v>
      </c>
      <c r="C566" s="42" t="str">
        <f>IFERROR(__xludf.DUMMYFUNCTION("""COMPUTED_VALUE"""),"outer SZ in midlateral extrastriate cortex")</f>
        <v>outer SZ in midlateral extrastriate cortex</v>
      </c>
      <c r="D566" s="42">
        <f>IFERROR(__xludf.DUMMYFUNCTION("""COMPUTED_VALUE"""),532.0)</f>
        <v>532</v>
      </c>
      <c r="E566" s="39" t="str">
        <f>IFERROR(__xludf.DUMMYFUNCTION("""COMPUTED_VALUE"""),"outer SZ in midlateral extrastriate cortex")</f>
        <v>outer SZ in midlateral extrastriate cortex</v>
      </c>
      <c r="F566" s="9" t="str">
        <f>IFERROR(__xludf.DUMMYFUNCTION("""COMPUTED_VALUE"""),"Br")</f>
        <v>Br</v>
      </c>
      <c r="G566" s="9" t="str">
        <f>IFERROR(__xludf.DUMMYFUNCTION("""COMPUTED_VALUE"""),"F")</f>
        <v>F</v>
      </c>
      <c r="H566" s="9" t="str">
        <f>IFERROR(__xludf.DUMMYFUNCTION("""COMPUTED_VALUE"""),"FGM")</f>
        <v>FGM</v>
      </c>
      <c r="I566" s="9" t="str">
        <f>IFERROR(__xludf.DUMMYFUNCTION("""COMPUTED_VALUE"""),"FTS")</f>
        <v>FTS</v>
      </c>
      <c r="J566" s="9" t="str">
        <f>IFERROR(__xludf.DUMMYFUNCTION("""COMPUTED_VALUE"""),"SZ")</f>
        <v>SZ</v>
      </c>
      <c r="K566" s="9" t="str">
        <f>IFERROR(__xludf.DUMMYFUNCTION("""COMPUTED_VALUE"""),"oSZ")</f>
        <v>oSZ</v>
      </c>
      <c r="L566" s="9" t="str">
        <f>IFERROR(__xludf.DUMMYFUNCTION("""COMPUTED_VALUE"""),"oSZexs")</f>
        <v>oSZexs</v>
      </c>
      <c r="M566" s="9" t="str">
        <f>IFERROR(__xludf.DUMMYFUNCTION("""COMPUTED_VALUE"""),"oSZml")</f>
        <v>oSZml</v>
      </c>
      <c r="N566" s="9" t="str">
        <f>IFERROR(__xludf.DUMMYFUNCTION("""COMPUTED_VALUE"""),"oSZmlo")</f>
        <v>oSZmlo</v>
      </c>
      <c r="O566" s="9"/>
      <c r="P566" s="9"/>
      <c r="Q566" s="9"/>
      <c r="R566" s="9"/>
      <c r="S566" s="42"/>
      <c r="T566" s="42"/>
      <c r="U566" s="159"/>
      <c r="V566" s="42"/>
      <c r="W566" s="42"/>
      <c r="X566" s="42"/>
      <c r="Y566" s="42"/>
      <c r="Z566" s="42"/>
      <c r="AA566" s="42"/>
      <c r="AB566" s="42" t="str">
        <f>IFERROR(__xludf.DUMMYFUNCTION("""COMPUTED_VALUE"""),"allen institute")</f>
        <v>allen institute</v>
      </c>
      <c r="AC566" s="42" t="str">
        <f>IFERROR(__xludf.DUMMYFUNCTION("""COMPUTED_VALUE"""),"DHBA")</f>
        <v>DHBA</v>
      </c>
      <c r="AD566" s="42"/>
      <c r="AE566" s="42"/>
      <c r="AF566" s="9"/>
      <c r="AG566" s="9"/>
      <c r="AH566" s="42"/>
      <c r="AI566" s="42"/>
      <c r="AJ566" s="42"/>
      <c r="AK566" s="42"/>
      <c r="AL566" s="42"/>
      <c r="AM566" s="42"/>
      <c r="AN566" s="42"/>
      <c r="AO566" s="63" t="str">
        <f>IFERROR(__xludf.DUMMYFUNCTION("IF(ISBLANK(A566),,IF(ISBLANK(S566), A566&amp;"";"", TEXTJOIN(CHAR(10), TRUE, A566&amp;"";"", ARRAYFORMULA(VLOOKUP(SPLIT(S566, "";"" &amp; CHAR(10)), $A:$AO, 41, FALSE)))))"),"oSZmlo;")</f>
        <v>oSZmlo;</v>
      </c>
      <c r="AP566" s="89"/>
    </row>
    <row r="567">
      <c r="A567" s="151" t="str">
        <f>IFERROR(__xludf.DUMMYFUNCTION("""COMPUTED_VALUE"""),"oSZmli")</f>
        <v>oSZmli</v>
      </c>
      <c r="B567" s="42" t="str">
        <f>IFERROR(__xludf.DUMMYFUNCTION("""COMPUTED_VALUE"""),"DHBA")</f>
        <v>DHBA</v>
      </c>
      <c r="C567" s="42" t="str">
        <f>IFERROR(__xludf.DUMMYFUNCTION("""COMPUTED_VALUE"""),"inner SZ in midlateral extrastriate cortex")</f>
        <v>inner SZ in midlateral extrastriate cortex</v>
      </c>
      <c r="D567" s="42">
        <f>IFERROR(__xludf.DUMMYFUNCTION("""COMPUTED_VALUE"""),533.0)</f>
        <v>533</v>
      </c>
      <c r="E567" s="39" t="str">
        <f>IFERROR(__xludf.DUMMYFUNCTION("""COMPUTED_VALUE"""),"inner SZ in midlateral extrastriate cortex")</f>
        <v>inner SZ in midlateral extrastriate cortex</v>
      </c>
      <c r="F567" s="9" t="str">
        <f>IFERROR(__xludf.DUMMYFUNCTION("""COMPUTED_VALUE"""),"Br")</f>
        <v>Br</v>
      </c>
      <c r="G567" s="9" t="str">
        <f>IFERROR(__xludf.DUMMYFUNCTION("""COMPUTED_VALUE"""),"F")</f>
        <v>F</v>
      </c>
      <c r="H567" s="9" t="str">
        <f>IFERROR(__xludf.DUMMYFUNCTION("""COMPUTED_VALUE"""),"FGM")</f>
        <v>FGM</v>
      </c>
      <c r="I567" s="9" t="str">
        <f>IFERROR(__xludf.DUMMYFUNCTION("""COMPUTED_VALUE"""),"FTS")</f>
        <v>FTS</v>
      </c>
      <c r="J567" s="9" t="str">
        <f>IFERROR(__xludf.DUMMYFUNCTION("""COMPUTED_VALUE"""),"SZ")</f>
        <v>SZ</v>
      </c>
      <c r="K567" s="9" t="str">
        <f>IFERROR(__xludf.DUMMYFUNCTION("""COMPUTED_VALUE"""),"oSZ")</f>
        <v>oSZ</v>
      </c>
      <c r="L567" s="9" t="str">
        <f>IFERROR(__xludf.DUMMYFUNCTION("""COMPUTED_VALUE"""),"oSZexs")</f>
        <v>oSZexs</v>
      </c>
      <c r="M567" s="9" t="str">
        <f>IFERROR(__xludf.DUMMYFUNCTION("""COMPUTED_VALUE"""),"oSZml")</f>
        <v>oSZml</v>
      </c>
      <c r="N567" s="9" t="str">
        <f>IFERROR(__xludf.DUMMYFUNCTION("""COMPUTED_VALUE"""),"oSZmli")</f>
        <v>oSZmli</v>
      </c>
      <c r="O567" s="9"/>
      <c r="P567" s="9"/>
      <c r="Q567" s="9"/>
      <c r="R567" s="9"/>
      <c r="S567" s="42"/>
      <c r="T567" s="42"/>
      <c r="U567" s="42"/>
      <c r="V567" s="42"/>
      <c r="W567" s="42"/>
      <c r="X567" s="42"/>
      <c r="Y567" s="42"/>
      <c r="Z567" s="42"/>
      <c r="AA567" s="42"/>
      <c r="AB567" s="42" t="str">
        <f>IFERROR(__xludf.DUMMYFUNCTION("""COMPUTED_VALUE"""),"allen institute")</f>
        <v>allen institute</v>
      </c>
      <c r="AC567" s="42" t="str">
        <f>IFERROR(__xludf.DUMMYFUNCTION("""COMPUTED_VALUE"""),"DHBA")</f>
        <v>DHBA</v>
      </c>
      <c r="AD567" s="42"/>
      <c r="AE567" s="42"/>
      <c r="AF567" s="9"/>
      <c r="AG567" s="9"/>
      <c r="AH567" s="42"/>
      <c r="AI567" s="42"/>
      <c r="AJ567" s="42"/>
      <c r="AK567" s="42"/>
      <c r="AL567" s="42"/>
      <c r="AM567" s="42"/>
      <c r="AN567" s="42"/>
      <c r="AO567" s="63" t="str">
        <f>IFERROR(__xludf.DUMMYFUNCTION("IF(ISBLANK(A567),,IF(ISBLANK(S567), A567&amp;"";"", TEXTJOIN(CHAR(10), TRUE, A567&amp;"";"", ARRAYFORMULA(VLOOKUP(SPLIT(S567, "";"" &amp; CHAR(10)), $A:$AO, 41, FALSE)))))"),"oSZmli;")</f>
        <v>oSZmli;</v>
      </c>
      <c r="AP567" s="89"/>
    </row>
    <row r="568">
      <c r="A568" s="151" t="str">
        <f>IFERROR(__xludf.DUMMYFUNCTION("""COMPUTED_VALUE"""),"oSZexso")</f>
        <v>oSZexso</v>
      </c>
      <c r="B568" s="42" t="str">
        <f>IFERROR(__xludf.DUMMYFUNCTION("""COMPUTED_VALUE"""),"DHBA")</f>
        <v>DHBA</v>
      </c>
      <c r="C568" s="42" t="str">
        <f>IFERROR(__xludf.DUMMYFUNCTION("""COMPUTED_VALUE"""),"outer SZ in extrastriate cortex")</f>
        <v>outer SZ in extrastriate cortex</v>
      </c>
      <c r="D568" s="42">
        <f>IFERROR(__xludf.DUMMYFUNCTION("""COMPUTED_VALUE"""),534.0)</f>
        <v>534</v>
      </c>
      <c r="E568" s="39" t="str">
        <f>IFERROR(__xludf.DUMMYFUNCTION("""COMPUTED_VALUE"""),"outer SZ in extrastriate cortex")</f>
        <v>outer SZ in extrastriate cortex</v>
      </c>
      <c r="F568" s="9" t="str">
        <f>IFERROR(__xludf.DUMMYFUNCTION("""COMPUTED_VALUE"""),"Br")</f>
        <v>Br</v>
      </c>
      <c r="G568" s="9" t="str">
        <f>IFERROR(__xludf.DUMMYFUNCTION("""COMPUTED_VALUE"""),"F")</f>
        <v>F</v>
      </c>
      <c r="H568" s="9" t="str">
        <f>IFERROR(__xludf.DUMMYFUNCTION("""COMPUTED_VALUE"""),"FGM")</f>
        <v>FGM</v>
      </c>
      <c r="I568" s="9" t="str">
        <f>IFERROR(__xludf.DUMMYFUNCTION("""COMPUTED_VALUE"""),"FTS")</f>
        <v>FTS</v>
      </c>
      <c r="J568" s="9" t="str">
        <f>IFERROR(__xludf.DUMMYFUNCTION("""COMPUTED_VALUE"""),"SZ")</f>
        <v>SZ</v>
      </c>
      <c r="K568" s="9" t="str">
        <f>IFERROR(__xludf.DUMMYFUNCTION("""COMPUTED_VALUE"""),"oSZ")</f>
        <v>oSZ</v>
      </c>
      <c r="L568" s="9" t="str">
        <f>IFERROR(__xludf.DUMMYFUNCTION("""COMPUTED_VALUE"""),"oSZexs")</f>
        <v>oSZexs</v>
      </c>
      <c r="M568" s="9" t="str">
        <f>IFERROR(__xludf.DUMMYFUNCTION("""COMPUTED_VALUE"""),"oSZexso")</f>
        <v>oSZexso</v>
      </c>
      <c r="N568" s="9"/>
      <c r="O568" s="9"/>
      <c r="P568" s="9"/>
      <c r="Q568" s="9"/>
      <c r="R568" s="9"/>
      <c r="S568" s="42" t="str">
        <f>IFERROR(__xludf.DUMMYFUNCTION("""COMPUTED_VALUE"""),"oSZexsop")</f>
        <v>oSZexsop</v>
      </c>
      <c r="T568" s="42"/>
      <c r="U568" s="42" t="b">
        <f>IFERROR(__xludf.DUMMYFUNCTION("""COMPUTED_VALUE"""),FALSE)</f>
        <v>0</v>
      </c>
      <c r="V568" s="42"/>
      <c r="W568" s="42"/>
      <c r="X568" s="42"/>
      <c r="Y568" s="42"/>
      <c r="Z568" s="42"/>
      <c r="AA568" s="42"/>
      <c r="AB568" s="42" t="str">
        <f>IFERROR(__xludf.DUMMYFUNCTION("""COMPUTED_VALUE"""),"allen institute")</f>
        <v>allen institute</v>
      </c>
      <c r="AC568" s="42" t="str">
        <f>IFERROR(__xludf.DUMMYFUNCTION("""COMPUTED_VALUE"""),"DHBA")</f>
        <v>DHBA</v>
      </c>
      <c r="AD568" s="42"/>
      <c r="AE568" s="42"/>
      <c r="AF568" s="9"/>
      <c r="AG568" s="9"/>
      <c r="AH568" s="42"/>
      <c r="AI568" s="42"/>
      <c r="AJ568" s="42"/>
      <c r="AK568" s="42"/>
      <c r="AL568" s="42"/>
      <c r="AM568" s="42"/>
      <c r="AN568" s="42"/>
      <c r="AO568" s="63" t="str">
        <f>IFERROR(__xludf.DUMMYFUNCTION("IF(ISBLANK(A568),,IF(ISBLANK(S568), A568&amp;"";"", TEXTJOIN(CHAR(10), TRUE, A568&amp;"";"", ARRAYFORMULA(VLOOKUP(SPLIT(S568, "";"" &amp; CHAR(10)), $A:$AO, 41, FALSE)))))"),"oSZexso;
oSZexsop;")</f>
        <v>oSZexso;
oSZexsop;</v>
      </c>
      <c r="AP568" s="89"/>
    </row>
    <row r="569">
      <c r="A569" s="151" t="str">
        <f>IFERROR(__xludf.DUMMYFUNCTION("""COMPUTED_VALUE"""),"oSZexsop")</f>
        <v>oSZexsop</v>
      </c>
      <c r="B569" s="42" t="str">
        <f>IFERROR(__xludf.DUMMYFUNCTION("""COMPUTED_VALUE"""),"DHBA")</f>
        <v>DHBA</v>
      </c>
      <c r="C569" s="42" t="str">
        <f>IFERROR(__xludf.DUMMYFUNCTION("""COMPUTED_VALUE"""),"outer plexiform zone in extrastriate cortex")</f>
        <v>outer plexiform zone in extrastriate cortex</v>
      </c>
      <c r="D569" s="42">
        <f>IFERROR(__xludf.DUMMYFUNCTION("""COMPUTED_VALUE"""),535.0)</f>
        <v>535</v>
      </c>
      <c r="E569" s="39" t="str">
        <f>IFERROR(__xludf.DUMMYFUNCTION("""COMPUTED_VALUE"""),"outer plexiform zone in extrastriate cortex")</f>
        <v>outer plexiform zone in extrastriate cortex</v>
      </c>
      <c r="F569" s="9" t="str">
        <f>IFERROR(__xludf.DUMMYFUNCTION("""COMPUTED_VALUE"""),"Br")</f>
        <v>Br</v>
      </c>
      <c r="G569" s="9" t="str">
        <f>IFERROR(__xludf.DUMMYFUNCTION("""COMPUTED_VALUE"""),"F")</f>
        <v>F</v>
      </c>
      <c r="H569" s="9" t="str">
        <f>IFERROR(__xludf.DUMMYFUNCTION("""COMPUTED_VALUE"""),"FGM")</f>
        <v>FGM</v>
      </c>
      <c r="I569" s="9" t="str">
        <f>IFERROR(__xludf.DUMMYFUNCTION("""COMPUTED_VALUE"""),"FTS")</f>
        <v>FTS</v>
      </c>
      <c r="J569" s="9" t="str">
        <f>IFERROR(__xludf.DUMMYFUNCTION("""COMPUTED_VALUE"""),"SZ")</f>
        <v>SZ</v>
      </c>
      <c r="K569" s="9" t="str">
        <f>IFERROR(__xludf.DUMMYFUNCTION("""COMPUTED_VALUE"""),"oSZ")</f>
        <v>oSZ</v>
      </c>
      <c r="L569" s="9" t="str">
        <f>IFERROR(__xludf.DUMMYFUNCTION("""COMPUTED_VALUE"""),"oSZexs")</f>
        <v>oSZexs</v>
      </c>
      <c r="M569" s="9" t="str">
        <f>IFERROR(__xludf.DUMMYFUNCTION("""COMPUTED_VALUE"""),"oSZexso")</f>
        <v>oSZexso</v>
      </c>
      <c r="N569" s="9" t="str">
        <f>IFERROR(__xludf.DUMMYFUNCTION("""COMPUTED_VALUE"""),"oSZexsop")</f>
        <v>oSZexsop</v>
      </c>
      <c r="O569" s="9"/>
      <c r="P569" s="9"/>
      <c r="Q569" s="9"/>
      <c r="R569" s="9"/>
      <c r="S569" s="42"/>
      <c r="T569" s="42"/>
      <c r="U569" s="42"/>
      <c r="V569" s="42"/>
      <c r="W569" s="42"/>
      <c r="X569" s="42"/>
      <c r="Y569" s="42"/>
      <c r="Z569" s="42"/>
      <c r="AA569" s="42"/>
      <c r="AB569" s="42" t="str">
        <f>IFERROR(__xludf.DUMMYFUNCTION("""COMPUTED_VALUE"""),"allen institute")</f>
        <v>allen institute</v>
      </c>
      <c r="AC569" s="42" t="str">
        <f>IFERROR(__xludf.DUMMYFUNCTION("""COMPUTED_VALUE"""),"DHBA")</f>
        <v>DHBA</v>
      </c>
      <c r="AD569" s="42"/>
      <c r="AE569" s="42"/>
      <c r="AF569" s="9"/>
      <c r="AG569" s="9"/>
      <c r="AH569" s="42"/>
      <c r="AI569" s="42"/>
      <c r="AJ569" s="42"/>
      <c r="AK569" s="42"/>
      <c r="AL569" s="42"/>
      <c r="AM569" s="42"/>
      <c r="AN569" s="42"/>
      <c r="AO569" s="63" t="str">
        <f>IFERROR(__xludf.DUMMYFUNCTION("IF(ISBLANK(A569),,IF(ISBLANK(S569), A569&amp;"";"", TEXTJOIN(CHAR(10), TRUE, A569&amp;"";"", ARRAYFORMULA(VLOOKUP(SPLIT(S569, "";"" &amp; CHAR(10)), $A:$AO, 41, FALSE)))))"),"oSZexsop;")</f>
        <v>oSZexsop;</v>
      </c>
      <c r="AP569" s="89"/>
    </row>
    <row r="570">
      <c r="A570" s="151" t="str">
        <f>IFERROR(__xludf.DUMMYFUNCTION("""COMPUTED_VALUE"""),"oSZexsi")</f>
        <v>oSZexsi</v>
      </c>
      <c r="B570" s="42" t="str">
        <f>IFERROR(__xludf.DUMMYFUNCTION("""COMPUTED_VALUE"""),"DHBA")</f>
        <v>DHBA</v>
      </c>
      <c r="C570" s="42" t="str">
        <f>IFERROR(__xludf.DUMMYFUNCTION("""COMPUTED_VALUE"""),"inner SZ in extrastriate cortex")</f>
        <v>inner SZ in extrastriate cortex</v>
      </c>
      <c r="D570" s="42">
        <f>IFERROR(__xludf.DUMMYFUNCTION("""COMPUTED_VALUE"""),536.0)</f>
        <v>536</v>
      </c>
      <c r="E570" s="39" t="str">
        <f>IFERROR(__xludf.DUMMYFUNCTION("""COMPUTED_VALUE"""),"inner SZ in extrastriate cortex")</f>
        <v>inner SZ in extrastriate cortex</v>
      </c>
      <c r="F570" s="9" t="str">
        <f>IFERROR(__xludf.DUMMYFUNCTION("""COMPUTED_VALUE"""),"Br")</f>
        <v>Br</v>
      </c>
      <c r="G570" s="9" t="str">
        <f>IFERROR(__xludf.DUMMYFUNCTION("""COMPUTED_VALUE"""),"F")</f>
        <v>F</v>
      </c>
      <c r="H570" s="9" t="str">
        <f>IFERROR(__xludf.DUMMYFUNCTION("""COMPUTED_VALUE"""),"FGM")</f>
        <v>FGM</v>
      </c>
      <c r="I570" s="9" t="str">
        <f>IFERROR(__xludf.DUMMYFUNCTION("""COMPUTED_VALUE"""),"FTS")</f>
        <v>FTS</v>
      </c>
      <c r="J570" s="9" t="str">
        <f>IFERROR(__xludf.DUMMYFUNCTION("""COMPUTED_VALUE"""),"SZ")</f>
        <v>SZ</v>
      </c>
      <c r="K570" s="9" t="str">
        <f>IFERROR(__xludf.DUMMYFUNCTION("""COMPUTED_VALUE"""),"oSZ")</f>
        <v>oSZ</v>
      </c>
      <c r="L570" s="9" t="str">
        <f>IFERROR(__xludf.DUMMYFUNCTION("""COMPUTED_VALUE"""),"oSZexs")</f>
        <v>oSZexs</v>
      </c>
      <c r="M570" s="9" t="str">
        <f>IFERROR(__xludf.DUMMYFUNCTION("""COMPUTED_VALUE"""),"oSZexsi")</f>
        <v>oSZexsi</v>
      </c>
      <c r="N570" s="9"/>
      <c r="O570" s="9"/>
      <c r="P570" s="9"/>
      <c r="Q570" s="9"/>
      <c r="R570" s="9"/>
      <c r="S570" s="42" t="str">
        <f>IFERROR(__xludf.DUMMYFUNCTION("""COMPUTED_VALUE"""),"oSZexsip")</f>
        <v>oSZexsip</v>
      </c>
      <c r="T570" s="42"/>
      <c r="U570" s="42" t="b">
        <f>IFERROR(__xludf.DUMMYFUNCTION("""COMPUTED_VALUE"""),FALSE)</f>
        <v>0</v>
      </c>
      <c r="V570" s="42"/>
      <c r="W570" s="42"/>
      <c r="X570" s="42"/>
      <c r="Y570" s="42"/>
      <c r="Z570" s="42"/>
      <c r="AA570" s="42"/>
      <c r="AB570" s="42" t="str">
        <f>IFERROR(__xludf.DUMMYFUNCTION("""COMPUTED_VALUE"""),"allen institute")</f>
        <v>allen institute</v>
      </c>
      <c r="AC570" s="42" t="str">
        <f>IFERROR(__xludf.DUMMYFUNCTION("""COMPUTED_VALUE"""),"DHBA")</f>
        <v>DHBA</v>
      </c>
      <c r="AD570" s="42"/>
      <c r="AE570" s="42"/>
      <c r="AF570" s="9"/>
      <c r="AG570" s="9"/>
      <c r="AH570" s="42"/>
      <c r="AI570" s="42"/>
      <c r="AJ570" s="42"/>
      <c r="AK570" s="42"/>
      <c r="AL570" s="42"/>
      <c r="AM570" s="42"/>
      <c r="AN570" s="42"/>
      <c r="AO570" s="63" t="str">
        <f>IFERROR(__xludf.DUMMYFUNCTION("IF(ISBLANK(A570),,IF(ISBLANK(S570), A570&amp;"";"", TEXTJOIN(CHAR(10), TRUE, A570&amp;"";"", ARRAYFORMULA(VLOOKUP(SPLIT(S570, "";"" &amp; CHAR(10)), $A:$AO, 41, FALSE)))))"),"oSZexsi;
oSZexsip;")</f>
        <v>oSZexsi;
oSZexsip;</v>
      </c>
      <c r="AP570" s="89"/>
    </row>
    <row r="571">
      <c r="A571" s="151" t="str">
        <f>IFERROR(__xludf.DUMMYFUNCTION("""COMPUTED_VALUE"""),"oSZexsip")</f>
        <v>oSZexsip</v>
      </c>
      <c r="B571" s="42" t="str">
        <f>IFERROR(__xludf.DUMMYFUNCTION("""COMPUTED_VALUE"""),"DHBA")</f>
        <v>DHBA</v>
      </c>
      <c r="C571" s="42" t="str">
        <f>IFERROR(__xludf.DUMMYFUNCTION("""COMPUTED_VALUE"""),"inner plexiform zone in extrastriate cortex")</f>
        <v>inner plexiform zone in extrastriate cortex</v>
      </c>
      <c r="D571" s="42">
        <f>IFERROR(__xludf.DUMMYFUNCTION("""COMPUTED_VALUE"""),537.0)</f>
        <v>537</v>
      </c>
      <c r="E571" s="39" t="str">
        <f>IFERROR(__xludf.DUMMYFUNCTION("""COMPUTED_VALUE"""),"inner plexiform zone in extrastriate cortex")</f>
        <v>inner plexiform zone in extrastriate cortex</v>
      </c>
      <c r="F571" s="9" t="str">
        <f>IFERROR(__xludf.DUMMYFUNCTION("""COMPUTED_VALUE"""),"Br")</f>
        <v>Br</v>
      </c>
      <c r="G571" s="9" t="str">
        <f>IFERROR(__xludf.DUMMYFUNCTION("""COMPUTED_VALUE"""),"F")</f>
        <v>F</v>
      </c>
      <c r="H571" s="9" t="str">
        <f>IFERROR(__xludf.DUMMYFUNCTION("""COMPUTED_VALUE"""),"FGM")</f>
        <v>FGM</v>
      </c>
      <c r="I571" s="9" t="str">
        <f>IFERROR(__xludf.DUMMYFUNCTION("""COMPUTED_VALUE"""),"FTS")</f>
        <v>FTS</v>
      </c>
      <c r="J571" s="9" t="str">
        <f>IFERROR(__xludf.DUMMYFUNCTION("""COMPUTED_VALUE"""),"SZ")</f>
        <v>SZ</v>
      </c>
      <c r="K571" s="9" t="str">
        <f>IFERROR(__xludf.DUMMYFUNCTION("""COMPUTED_VALUE"""),"oSZ")</f>
        <v>oSZ</v>
      </c>
      <c r="L571" s="9" t="str">
        <f>IFERROR(__xludf.DUMMYFUNCTION("""COMPUTED_VALUE"""),"oSZexs")</f>
        <v>oSZexs</v>
      </c>
      <c r="M571" s="9" t="str">
        <f>IFERROR(__xludf.DUMMYFUNCTION("""COMPUTED_VALUE"""),"oSZexsi")</f>
        <v>oSZexsi</v>
      </c>
      <c r="N571" s="9" t="str">
        <f>IFERROR(__xludf.DUMMYFUNCTION("""COMPUTED_VALUE"""),"oSZexsip")</f>
        <v>oSZexsip</v>
      </c>
      <c r="O571" s="9"/>
      <c r="P571" s="9"/>
      <c r="Q571" s="9"/>
      <c r="R571" s="9"/>
      <c r="S571" s="42"/>
      <c r="T571" s="42"/>
      <c r="U571" s="42"/>
      <c r="V571" s="42"/>
      <c r="W571" s="42"/>
      <c r="X571" s="42"/>
      <c r="Y571" s="42"/>
      <c r="Z571" s="42"/>
      <c r="AA571" s="42"/>
      <c r="AB571" s="42" t="str">
        <f>IFERROR(__xludf.DUMMYFUNCTION("""COMPUTED_VALUE"""),"allen institute")</f>
        <v>allen institute</v>
      </c>
      <c r="AC571" s="42" t="str">
        <f>IFERROR(__xludf.DUMMYFUNCTION("""COMPUTED_VALUE"""),"DHBA")</f>
        <v>DHBA</v>
      </c>
      <c r="AD571" s="42"/>
      <c r="AE571" s="42"/>
      <c r="AF571" s="9"/>
      <c r="AG571" s="9"/>
      <c r="AH571" s="42"/>
      <c r="AI571" s="42"/>
      <c r="AJ571" s="42"/>
      <c r="AK571" s="42"/>
      <c r="AL571" s="42"/>
      <c r="AM571" s="42"/>
      <c r="AN571" s="42"/>
      <c r="AO571" s="63" t="str">
        <f>IFERROR(__xludf.DUMMYFUNCTION("IF(ISBLANK(A571),,IF(ISBLANK(S571), A571&amp;"";"", TEXTJOIN(CHAR(10), TRUE, A571&amp;"";"", ARRAYFORMULA(VLOOKUP(SPLIT(S571, "";"" &amp; CHAR(10)), $A:$AO, 41, FALSE)))))"),"oSZexsip;")</f>
        <v>oSZexsip;</v>
      </c>
      <c r="AP571" s="89"/>
    </row>
    <row r="572">
      <c r="A572" s="151" t="str">
        <f>IFERROR(__xludf.DUMMYFUNCTION("""COMPUTED_VALUE"""),"cSZ")</f>
        <v>cSZ</v>
      </c>
      <c r="B572" s="42" t="str">
        <f>IFERROR(__xludf.DUMMYFUNCTION("""COMPUTED_VALUE"""),"DHBA")</f>
        <v>DHBA</v>
      </c>
      <c r="C572" s="42" t="str">
        <f>IFERROR(__xludf.DUMMYFUNCTION("""COMPUTED_VALUE"""),"SZ in cingulate neocortex")</f>
        <v>SZ in cingulate neocortex</v>
      </c>
      <c r="D572" s="42">
        <f>IFERROR(__xludf.DUMMYFUNCTION("""COMPUTED_VALUE"""),538.0)</f>
        <v>538</v>
      </c>
      <c r="E572" s="39" t="str">
        <f>IFERROR(__xludf.DUMMYFUNCTION("""COMPUTED_VALUE"""),"SZ in cingulate neocortex")</f>
        <v>SZ in cingulate neocortex</v>
      </c>
      <c r="F572" s="9" t="str">
        <f>IFERROR(__xludf.DUMMYFUNCTION("""COMPUTED_VALUE"""),"Br")</f>
        <v>Br</v>
      </c>
      <c r="G572" s="9" t="str">
        <f>IFERROR(__xludf.DUMMYFUNCTION("""COMPUTED_VALUE"""),"F")</f>
        <v>F</v>
      </c>
      <c r="H572" s="9" t="str">
        <f>IFERROR(__xludf.DUMMYFUNCTION("""COMPUTED_VALUE"""),"FGM")</f>
        <v>FGM</v>
      </c>
      <c r="I572" s="9" t="str">
        <f>IFERROR(__xludf.DUMMYFUNCTION("""COMPUTED_VALUE"""),"FTS")</f>
        <v>FTS</v>
      </c>
      <c r="J572" s="9" t="str">
        <f>IFERROR(__xludf.DUMMYFUNCTION("""COMPUTED_VALUE"""),"SZ")</f>
        <v>SZ</v>
      </c>
      <c r="K572" s="9" t="str">
        <f>IFERROR(__xludf.DUMMYFUNCTION("""COMPUTED_VALUE"""),"cSZ")</f>
        <v>cSZ</v>
      </c>
      <c r="L572" s="9"/>
      <c r="M572" s="9"/>
      <c r="N572" s="9"/>
      <c r="O572" s="9"/>
      <c r="P572" s="9"/>
      <c r="Q572" s="9"/>
      <c r="R572" s="9"/>
      <c r="S572" s="42" t="str">
        <f>IFERROR(__xludf.DUMMYFUNCTION("""COMPUTED_VALUE"""),"cSZr;
cSZmi;
cSZc;
cSZsg")</f>
        <v>cSZr;
cSZmi;
cSZc;
cSZsg</v>
      </c>
      <c r="T572" s="42"/>
      <c r="U572" s="42" t="b">
        <f>IFERROR(__xludf.DUMMYFUNCTION("""COMPUTED_VALUE"""),FALSE)</f>
        <v>0</v>
      </c>
      <c r="V572" s="42"/>
      <c r="W572" s="42"/>
      <c r="X572" s="42"/>
      <c r="Y572" s="42"/>
      <c r="Z572" s="42"/>
      <c r="AA572" s="42"/>
      <c r="AB572" s="42" t="str">
        <f>IFERROR(__xludf.DUMMYFUNCTION("""COMPUTED_VALUE"""),"allen institute")</f>
        <v>allen institute</v>
      </c>
      <c r="AC572" s="42" t="str">
        <f>IFERROR(__xludf.DUMMYFUNCTION("""COMPUTED_VALUE"""),"DHBA")</f>
        <v>DHBA</v>
      </c>
      <c r="AD572" s="42"/>
      <c r="AE572" s="42"/>
      <c r="AF572" s="9"/>
      <c r="AG572" s="9"/>
      <c r="AH572" s="42"/>
      <c r="AI572" s="42"/>
      <c r="AJ572" s="42"/>
      <c r="AK572" s="42"/>
      <c r="AL572" s="42"/>
      <c r="AM572" s="42"/>
      <c r="AN572" s="42"/>
      <c r="AO572" s="63" t="str">
        <f>IFERROR(__xludf.DUMMYFUNCTION("IF(ISBLANK(A572),,IF(ISBLANK(S572), A572&amp;"";"", TEXTJOIN(CHAR(10), TRUE, A572&amp;"";"", ARRAYFORMULA(VLOOKUP(SPLIT(S572, "";"" &amp; CHAR(10)), $A:$AO, 41, FALSE)))))"),"cSZ;
cSZr;
cSZmi;
cSZc;
cSZsg;")</f>
        <v>cSZ;
cSZr;
cSZmi;
cSZc;
cSZsg;</v>
      </c>
      <c r="AP572" s="89"/>
    </row>
    <row r="573">
      <c r="A573" s="151" t="str">
        <f>IFERROR(__xludf.DUMMYFUNCTION("""COMPUTED_VALUE"""),"cSZr")</f>
        <v>cSZr</v>
      </c>
      <c r="B573" s="42" t="str">
        <f>IFERROR(__xludf.DUMMYFUNCTION("""COMPUTED_VALUE"""),"DHBA")</f>
        <v>DHBA</v>
      </c>
      <c r="C573" s="42" t="str">
        <f>IFERROR(__xludf.DUMMYFUNCTION("""COMPUTED_VALUE"""),"SZ in rostral cingulate cortex")</f>
        <v>SZ in rostral cingulate cortex</v>
      </c>
      <c r="D573" s="42">
        <f>IFERROR(__xludf.DUMMYFUNCTION("""COMPUTED_VALUE"""),539.0)</f>
        <v>539</v>
      </c>
      <c r="E573" s="39" t="str">
        <f>IFERROR(__xludf.DUMMYFUNCTION("""COMPUTED_VALUE"""),"SZ in rostral cingulate cortex")</f>
        <v>SZ in rostral cingulate cortex</v>
      </c>
      <c r="F573" s="9" t="str">
        <f>IFERROR(__xludf.DUMMYFUNCTION("""COMPUTED_VALUE"""),"Br")</f>
        <v>Br</v>
      </c>
      <c r="G573" s="9" t="str">
        <f>IFERROR(__xludf.DUMMYFUNCTION("""COMPUTED_VALUE"""),"F")</f>
        <v>F</v>
      </c>
      <c r="H573" s="9" t="str">
        <f>IFERROR(__xludf.DUMMYFUNCTION("""COMPUTED_VALUE"""),"FGM")</f>
        <v>FGM</v>
      </c>
      <c r="I573" s="9" t="str">
        <f>IFERROR(__xludf.DUMMYFUNCTION("""COMPUTED_VALUE"""),"FTS")</f>
        <v>FTS</v>
      </c>
      <c r="J573" s="9" t="str">
        <f>IFERROR(__xludf.DUMMYFUNCTION("""COMPUTED_VALUE"""),"SZ")</f>
        <v>SZ</v>
      </c>
      <c r="K573" s="9" t="str">
        <f>IFERROR(__xludf.DUMMYFUNCTION("""COMPUTED_VALUE"""),"cSZ")</f>
        <v>cSZ</v>
      </c>
      <c r="L573" s="9" t="str">
        <f>IFERROR(__xludf.DUMMYFUNCTION("""COMPUTED_VALUE"""),"cSZr")</f>
        <v>cSZr</v>
      </c>
      <c r="M573" s="9"/>
      <c r="N573" s="9"/>
      <c r="O573" s="9"/>
      <c r="P573" s="9"/>
      <c r="Q573" s="9"/>
      <c r="R573" s="9"/>
      <c r="S573" s="42"/>
      <c r="T573" s="42"/>
      <c r="U573" s="42"/>
      <c r="V573" s="42"/>
      <c r="W573" s="42"/>
      <c r="X573" s="42"/>
      <c r="Y573" s="42"/>
      <c r="Z573" s="42"/>
      <c r="AA573" s="42"/>
      <c r="AB573" s="42" t="str">
        <f>IFERROR(__xludf.DUMMYFUNCTION("""COMPUTED_VALUE"""),"allen institute")</f>
        <v>allen institute</v>
      </c>
      <c r="AC573" s="42" t="str">
        <f>IFERROR(__xludf.DUMMYFUNCTION("""COMPUTED_VALUE"""),"DHBA")</f>
        <v>DHBA</v>
      </c>
      <c r="AD573" s="42"/>
      <c r="AE573" s="42"/>
      <c r="AF573" s="9"/>
      <c r="AG573" s="9"/>
      <c r="AH573" s="42"/>
      <c r="AI573" s="42"/>
      <c r="AJ573" s="42"/>
      <c r="AK573" s="42"/>
      <c r="AL573" s="42"/>
      <c r="AM573" s="42"/>
      <c r="AN573" s="42"/>
      <c r="AO573" s="63" t="str">
        <f>IFERROR(__xludf.DUMMYFUNCTION("IF(ISBLANK(A573),,IF(ISBLANK(S573), A573&amp;"";"", TEXTJOIN(CHAR(10), TRUE, A573&amp;"";"", ARRAYFORMULA(VLOOKUP(SPLIT(S573, "";"" &amp; CHAR(10)), $A:$AO, 41, FALSE)))))"),"cSZr;")</f>
        <v>cSZr;</v>
      </c>
      <c r="AP573" s="89"/>
    </row>
    <row r="574">
      <c r="A574" s="151" t="str">
        <f>IFERROR(__xludf.DUMMYFUNCTION("""COMPUTED_VALUE"""),"cSZmi")</f>
        <v>cSZmi</v>
      </c>
      <c r="B574" s="42" t="str">
        <f>IFERROR(__xludf.DUMMYFUNCTION("""COMPUTED_VALUE"""),"DHBA")</f>
        <v>DHBA</v>
      </c>
      <c r="C574" s="42" t="str">
        <f>IFERROR(__xludf.DUMMYFUNCTION("""COMPUTED_VALUE"""),"SZ in midcingulate cortex")</f>
        <v>SZ in midcingulate cortex</v>
      </c>
      <c r="D574" s="42">
        <f>IFERROR(__xludf.DUMMYFUNCTION("""COMPUTED_VALUE"""),540.0)</f>
        <v>540</v>
      </c>
      <c r="E574" s="39" t="str">
        <f>IFERROR(__xludf.DUMMYFUNCTION("""COMPUTED_VALUE"""),"SZ in midcingulate cortex")</f>
        <v>SZ in midcingulate cortex</v>
      </c>
      <c r="F574" s="9" t="str">
        <f>IFERROR(__xludf.DUMMYFUNCTION("""COMPUTED_VALUE"""),"Br")</f>
        <v>Br</v>
      </c>
      <c r="G574" s="9" t="str">
        <f>IFERROR(__xludf.DUMMYFUNCTION("""COMPUTED_VALUE"""),"F")</f>
        <v>F</v>
      </c>
      <c r="H574" s="9" t="str">
        <f>IFERROR(__xludf.DUMMYFUNCTION("""COMPUTED_VALUE"""),"FGM")</f>
        <v>FGM</v>
      </c>
      <c r="I574" s="9" t="str">
        <f>IFERROR(__xludf.DUMMYFUNCTION("""COMPUTED_VALUE"""),"FTS")</f>
        <v>FTS</v>
      </c>
      <c r="J574" s="9" t="str">
        <f>IFERROR(__xludf.DUMMYFUNCTION("""COMPUTED_VALUE"""),"SZ")</f>
        <v>SZ</v>
      </c>
      <c r="K574" s="9" t="str">
        <f>IFERROR(__xludf.DUMMYFUNCTION("""COMPUTED_VALUE"""),"cSZ")</f>
        <v>cSZ</v>
      </c>
      <c r="L574" s="9" t="str">
        <f>IFERROR(__xludf.DUMMYFUNCTION("""COMPUTED_VALUE"""),"cSZmi")</f>
        <v>cSZmi</v>
      </c>
      <c r="M574" s="9"/>
      <c r="N574" s="9"/>
      <c r="O574" s="9"/>
      <c r="P574" s="9"/>
      <c r="Q574" s="9"/>
      <c r="R574" s="9"/>
      <c r="S574" s="42"/>
      <c r="T574" s="42"/>
      <c r="U574" s="42"/>
      <c r="V574" s="42"/>
      <c r="W574" s="42"/>
      <c r="X574" s="42"/>
      <c r="Y574" s="42"/>
      <c r="Z574" s="42"/>
      <c r="AA574" s="42"/>
      <c r="AB574" s="42" t="str">
        <f>IFERROR(__xludf.DUMMYFUNCTION("""COMPUTED_VALUE"""),"allen institute")</f>
        <v>allen institute</v>
      </c>
      <c r="AC574" s="42" t="str">
        <f>IFERROR(__xludf.DUMMYFUNCTION("""COMPUTED_VALUE"""),"DHBA")</f>
        <v>DHBA</v>
      </c>
      <c r="AD574" s="42"/>
      <c r="AE574" s="42"/>
      <c r="AF574" s="9"/>
      <c r="AG574" s="9"/>
      <c r="AH574" s="42"/>
      <c r="AI574" s="42"/>
      <c r="AJ574" s="42"/>
      <c r="AK574" s="42"/>
      <c r="AL574" s="42"/>
      <c r="AM574" s="42"/>
      <c r="AN574" s="42"/>
      <c r="AO574" s="63" t="str">
        <f>IFERROR(__xludf.DUMMYFUNCTION("IF(ISBLANK(A574),,IF(ISBLANK(S574), A574&amp;"";"", TEXTJOIN(CHAR(10), TRUE, A574&amp;"";"", ARRAYFORMULA(VLOOKUP(SPLIT(S574, "";"" &amp; CHAR(10)), $A:$AO, 41, FALSE)))))"),"cSZmi;")</f>
        <v>cSZmi;</v>
      </c>
      <c r="AP574" s="89"/>
    </row>
    <row r="575">
      <c r="A575" s="151" t="str">
        <f>IFERROR(__xludf.DUMMYFUNCTION("""COMPUTED_VALUE"""),"cSZc")</f>
        <v>cSZc</v>
      </c>
      <c r="B575" s="42" t="str">
        <f>IFERROR(__xludf.DUMMYFUNCTION("""COMPUTED_VALUE"""),"DHBA")</f>
        <v>DHBA</v>
      </c>
      <c r="C575" s="42" t="str">
        <f>IFERROR(__xludf.DUMMYFUNCTION("""COMPUTED_VALUE"""),"SZ in caudal cingulate cortex")</f>
        <v>SZ in caudal cingulate cortex</v>
      </c>
      <c r="D575" s="42">
        <f>IFERROR(__xludf.DUMMYFUNCTION("""COMPUTED_VALUE"""),541.0)</f>
        <v>541</v>
      </c>
      <c r="E575" s="39" t="str">
        <f>IFERROR(__xludf.DUMMYFUNCTION("""COMPUTED_VALUE"""),"SZ in caudal cingulate cortex")</f>
        <v>SZ in caudal cingulate cortex</v>
      </c>
      <c r="F575" s="9" t="str">
        <f>IFERROR(__xludf.DUMMYFUNCTION("""COMPUTED_VALUE"""),"Br")</f>
        <v>Br</v>
      </c>
      <c r="G575" s="9" t="str">
        <f>IFERROR(__xludf.DUMMYFUNCTION("""COMPUTED_VALUE"""),"F")</f>
        <v>F</v>
      </c>
      <c r="H575" s="9" t="str">
        <f>IFERROR(__xludf.DUMMYFUNCTION("""COMPUTED_VALUE"""),"FGM")</f>
        <v>FGM</v>
      </c>
      <c r="I575" s="9" t="str">
        <f>IFERROR(__xludf.DUMMYFUNCTION("""COMPUTED_VALUE"""),"FTS")</f>
        <v>FTS</v>
      </c>
      <c r="J575" s="9" t="str">
        <f>IFERROR(__xludf.DUMMYFUNCTION("""COMPUTED_VALUE"""),"SZ")</f>
        <v>SZ</v>
      </c>
      <c r="K575" s="9" t="str">
        <f>IFERROR(__xludf.DUMMYFUNCTION("""COMPUTED_VALUE"""),"cSZ")</f>
        <v>cSZ</v>
      </c>
      <c r="L575" s="9" t="str">
        <f>IFERROR(__xludf.DUMMYFUNCTION("""COMPUTED_VALUE"""),"cSZc")</f>
        <v>cSZc</v>
      </c>
      <c r="M575" s="9"/>
      <c r="N575" s="9"/>
      <c r="O575" s="9"/>
      <c r="P575" s="9"/>
      <c r="Q575" s="9"/>
      <c r="R575" s="9"/>
      <c r="S575" s="42"/>
      <c r="T575" s="42"/>
      <c r="U575" s="42"/>
      <c r="V575" s="42"/>
      <c r="W575" s="42"/>
      <c r="X575" s="42"/>
      <c r="Y575" s="42"/>
      <c r="Z575" s="42"/>
      <c r="AA575" s="42"/>
      <c r="AB575" s="42" t="str">
        <f>IFERROR(__xludf.DUMMYFUNCTION("""COMPUTED_VALUE"""),"allen institute")</f>
        <v>allen institute</v>
      </c>
      <c r="AC575" s="42" t="str">
        <f>IFERROR(__xludf.DUMMYFUNCTION("""COMPUTED_VALUE"""),"DHBA")</f>
        <v>DHBA</v>
      </c>
      <c r="AD575" s="42"/>
      <c r="AE575" s="42"/>
      <c r="AF575" s="9"/>
      <c r="AG575" s="9"/>
      <c r="AH575" s="42"/>
      <c r="AI575" s="42"/>
      <c r="AJ575" s="42"/>
      <c r="AK575" s="42"/>
      <c r="AL575" s="42"/>
      <c r="AM575" s="42"/>
      <c r="AN575" s="42"/>
      <c r="AO575" s="63" t="str">
        <f>IFERROR(__xludf.DUMMYFUNCTION("IF(ISBLANK(A575),,IF(ISBLANK(S575), A575&amp;"";"", TEXTJOIN(CHAR(10), TRUE, A575&amp;"";"", ARRAYFORMULA(VLOOKUP(SPLIT(S575, "";"" &amp; CHAR(10)), $A:$AO, 41, FALSE)))))"),"cSZc;")</f>
        <v>cSZc;</v>
      </c>
      <c r="AP575" s="89"/>
    </row>
    <row r="576">
      <c r="A576" s="151" t="str">
        <f>IFERROR(__xludf.DUMMYFUNCTION("""COMPUTED_VALUE"""),"cSZsg")</f>
        <v>cSZsg</v>
      </c>
      <c r="B576" s="42" t="str">
        <f>IFERROR(__xludf.DUMMYFUNCTION("""COMPUTED_VALUE"""),"DHBA")</f>
        <v>DHBA</v>
      </c>
      <c r="C576" s="42" t="str">
        <f>IFERROR(__xludf.DUMMYFUNCTION("""COMPUTED_VALUE"""),"SZ in subgenual cingulate cortex")</f>
        <v>SZ in subgenual cingulate cortex</v>
      </c>
      <c r="D576" s="42">
        <f>IFERROR(__xludf.DUMMYFUNCTION("""COMPUTED_VALUE"""),542.0)</f>
        <v>542</v>
      </c>
      <c r="E576" s="39" t="str">
        <f>IFERROR(__xludf.DUMMYFUNCTION("""COMPUTED_VALUE"""),"SZ in subgenual cingulate cortex")</f>
        <v>SZ in subgenual cingulate cortex</v>
      </c>
      <c r="F576" s="9" t="str">
        <f>IFERROR(__xludf.DUMMYFUNCTION("""COMPUTED_VALUE"""),"Br")</f>
        <v>Br</v>
      </c>
      <c r="G576" s="9" t="str">
        <f>IFERROR(__xludf.DUMMYFUNCTION("""COMPUTED_VALUE"""),"F")</f>
        <v>F</v>
      </c>
      <c r="H576" s="9" t="str">
        <f>IFERROR(__xludf.DUMMYFUNCTION("""COMPUTED_VALUE"""),"FGM")</f>
        <v>FGM</v>
      </c>
      <c r="I576" s="9" t="str">
        <f>IFERROR(__xludf.DUMMYFUNCTION("""COMPUTED_VALUE"""),"FTS")</f>
        <v>FTS</v>
      </c>
      <c r="J576" s="9" t="str">
        <f>IFERROR(__xludf.DUMMYFUNCTION("""COMPUTED_VALUE"""),"SZ")</f>
        <v>SZ</v>
      </c>
      <c r="K576" s="9" t="str">
        <f>IFERROR(__xludf.DUMMYFUNCTION("""COMPUTED_VALUE"""),"cSZ")</f>
        <v>cSZ</v>
      </c>
      <c r="L576" s="9" t="str">
        <f>IFERROR(__xludf.DUMMYFUNCTION("""COMPUTED_VALUE"""),"cSZsg")</f>
        <v>cSZsg</v>
      </c>
      <c r="M576" s="9"/>
      <c r="N576" s="9"/>
      <c r="O576" s="9"/>
      <c r="P576" s="9"/>
      <c r="Q576" s="9"/>
      <c r="R576" s="9"/>
      <c r="S576" s="42"/>
      <c r="T576" s="42"/>
      <c r="U576" s="42"/>
      <c r="V576" s="42"/>
      <c r="W576" s="42"/>
      <c r="X576" s="42"/>
      <c r="Y576" s="42"/>
      <c r="Z576" s="42"/>
      <c r="AA576" s="42"/>
      <c r="AB576" s="42" t="str">
        <f>IFERROR(__xludf.DUMMYFUNCTION("""COMPUTED_VALUE"""),"allen institute")</f>
        <v>allen institute</v>
      </c>
      <c r="AC576" s="42" t="str">
        <f>IFERROR(__xludf.DUMMYFUNCTION("""COMPUTED_VALUE"""),"DHBA")</f>
        <v>DHBA</v>
      </c>
      <c r="AD576" s="42"/>
      <c r="AE576" s="42"/>
      <c r="AF576" s="9"/>
      <c r="AG576" s="9"/>
      <c r="AH576" s="42"/>
      <c r="AI576" s="42"/>
      <c r="AJ576" s="42"/>
      <c r="AK576" s="42"/>
      <c r="AL576" s="42"/>
      <c r="AM576" s="42"/>
      <c r="AN576" s="42"/>
      <c r="AO576" s="63" t="str">
        <f>IFERROR(__xludf.DUMMYFUNCTION("IF(ISBLANK(A576),,IF(ISBLANK(S576), A576&amp;"";"", TEXTJOIN(CHAR(10), TRUE, A576&amp;"";"", ARRAYFORMULA(VLOOKUP(SPLIT(S576, "";"" &amp; CHAR(10)), $A:$AO, 41, FALSE)))))"),"cSZsg;")</f>
        <v>cSZsg;</v>
      </c>
      <c r="AP576" s="89"/>
    </row>
    <row r="577">
      <c r="A577" s="151" t="str">
        <f>IFERROR(__xludf.DUMMYFUNCTION("""COMPUTED_VALUE"""),"peSZ")</f>
        <v>peSZ</v>
      </c>
      <c r="B577" s="42" t="str">
        <f>IFERROR(__xludf.DUMMYFUNCTION("""COMPUTED_VALUE"""),"DHBA")</f>
        <v>DHBA</v>
      </c>
      <c r="C577" s="42" t="str">
        <f>IFERROR(__xludf.DUMMYFUNCTION("""COMPUTED_VALUE"""),"SZ in periallocortex")</f>
        <v>SZ in periallocortex</v>
      </c>
      <c r="D577" s="42">
        <f>IFERROR(__xludf.DUMMYFUNCTION("""COMPUTED_VALUE"""),543.0)</f>
        <v>543</v>
      </c>
      <c r="E577" s="39" t="str">
        <f>IFERROR(__xludf.DUMMYFUNCTION("""COMPUTED_VALUE"""),"SZ in periallocortex")</f>
        <v>SZ in periallocortex</v>
      </c>
      <c r="F577" s="9" t="str">
        <f>IFERROR(__xludf.DUMMYFUNCTION("""COMPUTED_VALUE"""),"Br")</f>
        <v>Br</v>
      </c>
      <c r="G577" s="9" t="str">
        <f>IFERROR(__xludf.DUMMYFUNCTION("""COMPUTED_VALUE"""),"F")</f>
        <v>F</v>
      </c>
      <c r="H577" s="9" t="str">
        <f>IFERROR(__xludf.DUMMYFUNCTION("""COMPUTED_VALUE"""),"FGM")</f>
        <v>FGM</v>
      </c>
      <c r="I577" s="9" t="str">
        <f>IFERROR(__xludf.DUMMYFUNCTION("""COMPUTED_VALUE"""),"FTS")</f>
        <v>FTS</v>
      </c>
      <c r="J577" s="9" t="str">
        <f>IFERROR(__xludf.DUMMYFUNCTION("""COMPUTED_VALUE"""),"SZ")</f>
        <v>SZ</v>
      </c>
      <c r="K577" s="9" t="str">
        <f>IFERROR(__xludf.DUMMYFUNCTION("""COMPUTED_VALUE"""),"peSZ")</f>
        <v>peSZ</v>
      </c>
      <c r="L577" s="9"/>
      <c r="M577" s="9"/>
      <c r="N577" s="9"/>
      <c r="O577" s="9"/>
      <c r="P577" s="9"/>
      <c r="Q577" s="9"/>
      <c r="R577" s="9"/>
      <c r="S577" s="42"/>
      <c r="T577" s="42"/>
      <c r="U577" s="42"/>
      <c r="V577" s="42"/>
      <c r="W577" s="42"/>
      <c r="X577" s="42"/>
      <c r="Y577" s="42"/>
      <c r="Z577" s="42"/>
      <c r="AA577" s="42"/>
      <c r="AB577" s="42" t="str">
        <f>IFERROR(__xludf.DUMMYFUNCTION("""COMPUTED_VALUE"""),"allen institute")</f>
        <v>allen institute</v>
      </c>
      <c r="AC577" s="42" t="str">
        <f>IFERROR(__xludf.DUMMYFUNCTION("""COMPUTED_VALUE"""),"DHBA")</f>
        <v>DHBA</v>
      </c>
      <c r="AD577" s="42"/>
      <c r="AE577" s="42"/>
      <c r="AF577" s="9"/>
      <c r="AG577" s="9"/>
      <c r="AH577" s="42"/>
      <c r="AI577" s="42"/>
      <c r="AJ577" s="42"/>
      <c r="AK577" s="42"/>
      <c r="AL577" s="42"/>
      <c r="AM577" s="42"/>
      <c r="AN577" s="42"/>
      <c r="AO577" s="63" t="str">
        <f>IFERROR(__xludf.DUMMYFUNCTION("IF(ISBLANK(A577),,IF(ISBLANK(S577), A577&amp;"";"", TEXTJOIN(CHAR(10), TRUE, A577&amp;"";"", ARRAYFORMULA(VLOOKUP(SPLIT(S577, "";"" &amp; CHAR(10)), $A:$AO, 41, FALSE)))))"),"peSZ;")</f>
        <v>peSZ;</v>
      </c>
      <c r="AP577" s="89"/>
    </row>
    <row r="578">
      <c r="A578" s="151" t="str">
        <f>IFERROR(__xludf.DUMMYFUNCTION("""COMPUTED_VALUE"""),"seSZ")</f>
        <v>seSZ</v>
      </c>
      <c r="B578" s="42" t="str">
        <f>IFERROR(__xludf.DUMMYFUNCTION("""COMPUTED_VALUE"""),"DHBA")</f>
        <v>DHBA</v>
      </c>
      <c r="C578" s="42" t="str">
        <f>IFERROR(__xludf.DUMMYFUNCTION("""COMPUTED_VALUE"""),"SZ in septal region")</f>
        <v>SZ in septal region</v>
      </c>
      <c r="D578" s="42">
        <f>IFERROR(__xludf.DUMMYFUNCTION("""COMPUTED_VALUE"""),544.0)</f>
        <v>544</v>
      </c>
      <c r="E578" s="39" t="str">
        <f>IFERROR(__xludf.DUMMYFUNCTION("""COMPUTED_VALUE"""),"SZ in septal region")</f>
        <v>SZ in septal region</v>
      </c>
      <c r="F578" s="9" t="str">
        <f>IFERROR(__xludf.DUMMYFUNCTION("""COMPUTED_VALUE"""),"Br")</f>
        <v>Br</v>
      </c>
      <c r="G578" s="9" t="str">
        <f>IFERROR(__xludf.DUMMYFUNCTION("""COMPUTED_VALUE"""),"F")</f>
        <v>F</v>
      </c>
      <c r="H578" s="9" t="str">
        <f>IFERROR(__xludf.DUMMYFUNCTION("""COMPUTED_VALUE"""),"FGM")</f>
        <v>FGM</v>
      </c>
      <c r="I578" s="9" t="str">
        <f>IFERROR(__xludf.DUMMYFUNCTION("""COMPUTED_VALUE"""),"FTS")</f>
        <v>FTS</v>
      </c>
      <c r="J578" s="9" t="str">
        <f>IFERROR(__xludf.DUMMYFUNCTION("""COMPUTED_VALUE"""),"SZ")</f>
        <v>SZ</v>
      </c>
      <c r="K578" s="9" t="str">
        <f>IFERROR(__xludf.DUMMYFUNCTION("""COMPUTED_VALUE"""),"seSZ")</f>
        <v>seSZ</v>
      </c>
      <c r="L578" s="9"/>
      <c r="M578" s="9"/>
      <c r="N578" s="9"/>
      <c r="O578" s="9"/>
      <c r="P578" s="9"/>
      <c r="Q578" s="9"/>
      <c r="R578" s="9"/>
      <c r="S578" s="42"/>
      <c r="T578" s="42"/>
      <c r="U578" s="42"/>
      <c r="V578" s="42"/>
      <c r="W578" s="42"/>
      <c r="X578" s="42"/>
      <c r="Y578" s="42"/>
      <c r="Z578" s="42"/>
      <c r="AA578" s="42"/>
      <c r="AB578" s="42" t="str">
        <f>IFERROR(__xludf.DUMMYFUNCTION("""COMPUTED_VALUE"""),"allen institute")</f>
        <v>allen institute</v>
      </c>
      <c r="AC578" s="42" t="str">
        <f>IFERROR(__xludf.DUMMYFUNCTION("""COMPUTED_VALUE"""),"DHBA")</f>
        <v>DHBA</v>
      </c>
      <c r="AD578" s="42"/>
      <c r="AE578" s="42"/>
      <c r="AF578" s="9"/>
      <c r="AG578" s="9"/>
      <c r="AH578" s="42"/>
      <c r="AI578" s="42"/>
      <c r="AJ578" s="42"/>
      <c r="AK578" s="42"/>
      <c r="AL578" s="42"/>
      <c r="AM578" s="42"/>
      <c r="AN578" s="42"/>
      <c r="AO578" s="63" t="str">
        <f>IFERROR(__xludf.DUMMYFUNCTION("IF(ISBLANK(A578),,IF(ISBLANK(S578), A578&amp;"";"", TEXTJOIN(CHAR(10), TRUE, A578&amp;"";"", ARRAYFORMULA(VLOOKUP(SPLIT(S578, "";"" &amp; CHAR(10)), $A:$AO, 41, FALSE)))))"),"seSZ;")</f>
        <v>seSZ;</v>
      </c>
      <c r="AP578" s="89"/>
    </row>
    <row r="579">
      <c r="A579" s="151" t="str">
        <f>IFERROR(__xludf.DUMMYFUNCTION("""COMPUTED_VALUE"""),"VZ")</f>
        <v>VZ</v>
      </c>
      <c r="B579" s="42" t="str">
        <f>IFERROR(__xludf.DUMMYFUNCTION("""COMPUTED_VALUE"""),"DHBA")</f>
        <v>DHBA</v>
      </c>
      <c r="C579" s="42" t="str">
        <f>IFERROR(__xludf.DUMMYFUNCTION("""COMPUTED_VALUE"""),"ventricular zone")</f>
        <v>ventricular zone</v>
      </c>
      <c r="D579" s="42">
        <f>IFERROR(__xludf.DUMMYFUNCTION("""COMPUTED_VALUE"""),545.0)</f>
        <v>545</v>
      </c>
      <c r="E579" s="39" t="str">
        <f>IFERROR(__xludf.DUMMYFUNCTION("""COMPUTED_VALUE"""),"ventricular zone")</f>
        <v>ventricular zone</v>
      </c>
      <c r="F579" s="9" t="str">
        <f>IFERROR(__xludf.DUMMYFUNCTION("""COMPUTED_VALUE"""),"Br")</f>
        <v>Br</v>
      </c>
      <c r="G579" s="9" t="str">
        <f>IFERROR(__xludf.DUMMYFUNCTION("""COMPUTED_VALUE"""),"F")</f>
        <v>F</v>
      </c>
      <c r="H579" s="9" t="str">
        <f>IFERROR(__xludf.DUMMYFUNCTION("""COMPUTED_VALUE"""),"FGM")</f>
        <v>FGM</v>
      </c>
      <c r="I579" s="9" t="str">
        <f>IFERROR(__xludf.DUMMYFUNCTION("""COMPUTED_VALUE"""),"FTS")</f>
        <v>FTS</v>
      </c>
      <c r="J579" s="9" t="str">
        <f>IFERROR(__xludf.DUMMYFUNCTION("""COMPUTED_VALUE"""),"VZ")</f>
        <v>VZ</v>
      </c>
      <c r="K579" s="9"/>
      <c r="L579" s="9"/>
      <c r="M579" s="9"/>
      <c r="N579" s="9"/>
      <c r="O579" s="9"/>
      <c r="P579" s="9"/>
      <c r="Q579" s="9"/>
      <c r="R579" s="9"/>
      <c r="S579" s="42" t="str">
        <f>IFERROR(__xludf.DUMMYFUNCTION("""COMPUTED_VALUE"""),"fVZ;
pVZ;
tVZ;
oVZ;
cVZ;
peVZ;
alVZ;
GE;
seVZ;
scVZ;
paVZ;
thVZ;
hyVZ;
RMS")</f>
        <v>fVZ;
pVZ;
tVZ;
oVZ;
cVZ;
peVZ;
alVZ;
GE;
seVZ;
scVZ;
paVZ;
thVZ;
hyVZ;
RMS</v>
      </c>
      <c r="T579" s="42"/>
      <c r="U579" s="42" t="b">
        <f>IFERROR(__xludf.DUMMYFUNCTION("""COMPUTED_VALUE"""),FALSE)</f>
        <v>0</v>
      </c>
      <c r="V579" s="42"/>
      <c r="W579" s="42"/>
      <c r="X579" s="42"/>
      <c r="Y579" s="42"/>
      <c r="Z579" s="42"/>
      <c r="AA579" s="42"/>
      <c r="AB579" s="42" t="str">
        <f>IFERROR(__xludf.DUMMYFUNCTION("""COMPUTED_VALUE"""),"allen institute")</f>
        <v>allen institute</v>
      </c>
      <c r="AC579" s="42" t="str">
        <f>IFERROR(__xludf.DUMMYFUNCTION("""COMPUTED_VALUE"""),"DHBA")</f>
        <v>DHBA</v>
      </c>
      <c r="AD579" s="42"/>
      <c r="AE579" s="42"/>
      <c r="AF579" s="9"/>
      <c r="AG579" s="9"/>
      <c r="AH579" s="42"/>
      <c r="AI579" s="42"/>
      <c r="AJ579" s="42"/>
      <c r="AK579" s="42"/>
      <c r="AL579" s="42"/>
      <c r="AM579" s="42"/>
      <c r="AN579" s="42"/>
      <c r="AO579" s="63" t="str">
        <f>IFERROR(__xludf.DUMMYFUNCTION("IF(ISBLANK(A579),,IF(ISBLANK(S579), A579&amp;"";"", TEXTJOIN(CHAR(10), TRUE, A579&amp;"";"", ARRAYFORMULA(VLOOKUP(SPLIT(S579, "";"" &amp; CHAR(10)), $A:$AO, 41, FALSE)))))"),"#REF!")</f>
        <v>#REF!</v>
      </c>
      <c r="AP579" s="89"/>
    </row>
    <row r="580">
      <c r="A580" s="151" t="str">
        <f>IFERROR(__xludf.DUMMYFUNCTION("""COMPUTED_VALUE"""),"fVZ")</f>
        <v>fVZ</v>
      </c>
      <c r="B580" s="42" t="str">
        <f>IFERROR(__xludf.DUMMYFUNCTION("""COMPUTED_VALUE"""),"DHBA")</f>
        <v>DHBA</v>
      </c>
      <c r="C580" s="42" t="str">
        <f>IFERROR(__xludf.DUMMYFUNCTION("""COMPUTED_VALUE"""),"VZ in frontal neocortex")</f>
        <v>VZ in frontal neocortex</v>
      </c>
      <c r="D580" s="42">
        <f>IFERROR(__xludf.DUMMYFUNCTION("""COMPUTED_VALUE"""),546.0)</f>
        <v>546</v>
      </c>
      <c r="E580" s="39" t="str">
        <f>IFERROR(__xludf.DUMMYFUNCTION("""COMPUTED_VALUE"""),"VZ in frontal neocortex")</f>
        <v>VZ in frontal neocortex</v>
      </c>
      <c r="F580" s="9" t="str">
        <f>IFERROR(__xludf.DUMMYFUNCTION("""COMPUTED_VALUE"""),"Br")</f>
        <v>Br</v>
      </c>
      <c r="G580" s="9" t="str">
        <f>IFERROR(__xludf.DUMMYFUNCTION("""COMPUTED_VALUE"""),"F")</f>
        <v>F</v>
      </c>
      <c r="H580" s="9" t="str">
        <f>IFERROR(__xludf.DUMMYFUNCTION("""COMPUTED_VALUE"""),"FGM")</f>
        <v>FGM</v>
      </c>
      <c r="I580" s="9" t="str">
        <f>IFERROR(__xludf.DUMMYFUNCTION("""COMPUTED_VALUE"""),"FTS")</f>
        <v>FTS</v>
      </c>
      <c r="J580" s="9" t="str">
        <f>IFERROR(__xludf.DUMMYFUNCTION("""COMPUTED_VALUE"""),"VZ")</f>
        <v>VZ</v>
      </c>
      <c r="K580" s="9" t="str">
        <f>IFERROR(__xludf.DUMMYFUNCTION("""COMPUTED_VALUE"""),"fVZ")</f>
        <v>fVZ</v>
      </c>
      <c r="L580" s="9"/>
      <c r="M580" s="9"/>
      <c r="N580" s="9"/>
      <c r="O580" s="9"/>
      <c r="P580" s="9"/>
      <c r="Q580" s="9"/>
      <c r="R580" s="9"/>
      <c r="S580" s="42" t="str">
        <f>IFERROR(__xludf.DUMMYFUNCTION("""COMPUTED_VALUE"""),"fVZfp;
fVZdm;
fVZdl;
fVZvl;
fVZor;
fVZm1")</f>
        <v>fVZfp;
fVZdm;
fVZdl;
fVZvl;
fVZor;
fVZm1</v>
      </c>
      <c r="T580" s="42"/>
      <c r="U580" s="42" t="b">
        <f>IFERROR(__xludf.DUMMYFUNCTION("""COMPUTED_VALUE"""),FALSE)</f>
        <v>0</v>
      </c>
      <c r="V580" s="42"/>
      <c r="W580" s="42"/>
      <c r="X580" s="42"/>
      <c r="Y580" s="42"/>
      <c r="Z580" s="42"/>
      <c r="AA580" s="42"/>
      <c r="AB580" s="42" t="str">
        <f>IFERROR(__xludf.DUMMYFUNCTION("""COMPUTED_VALUE"""),"allen institute")</f>
        <v>allen institute</v>
      </c>
      <c r="AC580" s="42" t="str">
        <f>IFERROR(__xludf.DUMMYFUNCTION("""COMPUTED_VALUE"""),"DHBA")</f>
        <v>DHBA</v>
      </c>
      <c r="AD580" s="42"/>
      <c r="AE580" s="42"/>
      <c r="AF580" s="9"/>
      <c r="AG580" s="9"/>
      <c r="AH580" s="42"/>
      <c r="AI580" s="42"/>
      <c r="AJ580" s="42"/>
      <c r="AK580" s="42"/>
      <c r="AL580" s="42"/>
      <c r="AM580" s="42"/>
      <c r="AN580" s="42"/>
      <c r="AO580" s="63" t="str">
        <f>IFERROR(__xludf.DUMMYFUNCTION("IF(ISBLANK(A580),,IF(ISBLANK(S580), A580&amp;"";"", TEXTJOIN(CHAR(10), TRUE, A580&amp;"";"", ARRAYFORMULA(VLOOKUP(SPLIT(S580, "";"" &amp; CHAR(10)), $A:$AO, 41, FALSE)))))"),"fVZ;
fVZfp;
fVZdm;
fVZdl;
fVZdlo;
fVZdli;
fVZvl;
fVZor;
fVZm1;
fVZm1o;
fVZm1i;")</f>
        <v>fVZ;
fVZfp;
fVZdm;
fVZdl;
fVZdlo;
fVZdli;
fVZvl;
fVZor;
fVZm1;
fVZm1o;
fVZm1i;</v>
      </c>
      <c r="AP580" s="89"/>
    </row>
    <row r="581">
      <c r="A581" s="151" t="str">
        <f>IFERROR(__xludf.DUMMYFUNCTION("""COMPUTED_VALUE"""),"fVZfp")</f>
        <v>fVZfp</v>
      </c>
      <c r="B581" s="42" t="str">
        <f>IFERROR(__xludf.DUMMYFUNCTION("""COMPUTED_VALUE"""),"DHBA")</f>
        <v>DHBA</v>
      </c>
      <c r="C581" s="42" t="str">
        <f>IFERROR(__xludf.DUMMYFUNCTION("""COMPUTED_VALUE"""),"VZ in frontal polar cortex")</f>
        <v>VZ in frontal polar cortex</v>
      </c>
      <c r="D581" s="42">
        <f>IFERROR(__xludf.DUMMYFUNCTION("""COMPUTED_VALUE"""),547.0)</f>
        <v>547</v>
      </c>
      <c r="E581" s="39" t="str">
        <f>IFERROR(__xludf.DUMMYFUNCTION("""COMPUTED_VALUE"""),"VZ in frontal polar cortex")</f>
        <v>VZ in frontal polar cortex</v>
      </c>
      <c r="F581" s="9" t="str">
        <f>IFERROR(__xludf.DUMMYFUNCTION("""COMPUTED_VALUE"""),"Br")</f>
        <v>Br</v>
      </c>
      <c r="G581" s="9" t="str">
        <f>IFERROR(__xludf.DUMMYFUNCTION("""COMPUTED_VALUE"""),"F")</f>
        <v>F</v>
      </c>
      <c r="H581" s="9" t="str">
        <f>IFERROR(__xludf.DUMMYFUNCTION("""COMPUTED_VALUE"""),"FGM")</f>
        <v>FGM</v>
      </c>
      <c r="I581" s="9" t="str">
        <f>IFERROR(__xludf.DUMMYFUNCTION("""COMPUTED_VALUE"""),"FTS")</f>
        <v>FTS</v>
      </c>
      <c r="J581" s="9" t="str">
        <f>IFERROR(__xludf.DUMMYFUNCTION("""COMPUTED_VALUE"""),"VZ")</f>
        <v>VZ</v>
      </c>
      <c r="K581" s="9" t="str">
        <f>IFERROR(__xludf.DUMMYFUNCTION("""COMPUTED_VALUE"""),"fVZ")</f>
        <v>fVZ</v>
      </c>
      <c r="L581" s="9" t="str">
        <f>IFERROR(__xludf.DUMMYFUNCTION("""COMPUTED_VALUE"""),"fVZfp")</f>
        <v>fVZfp</v>
      </c>
      <c r="M581" s="9"/>
      <c r="N581" s="9"/>
      <c r="O581" s="9"/>
      <c r="P581" s="9"/>
      <c r="Q581" s="9"/>
      <c r="R581" s="9"/>
      <c r="S581" s="42"/>
      <c r="T581" s="42"/>
      <c r="U581" s="42"/>
      <c r="V581" s="42"/>
      <c r="W581" s="42"/>
      <c r="X581" s="42"/>
      <c r="Y581" s="42"/>
      <c r="Z581" s="42"/>
      <c r="AA581" s="42"/>
      <c r="AB581" s="42" t="str">
        <f>IFERROR(__xludf.DUMMYFUNCTION("""COMPUTED_VALUE"""),"allen institute")</f>
        <v>allen institute</v>
      </c>
      <c r="AC581" s="42" t="str">
        <f>IFERROR(__xludf.DUMMYFUNCTION("""COMPUTED_VALUE"""),"DHBA")</f>
        <v>DHBA</v>
      </c>
      <c r="AD581" s="42"/>
      <c r="AE581" s="42"/>
      <c r="AF581" s="9"/>
      <c r="AG581" s="9"/>
      <c r="AH581" s="42"/>
      <c r="AI581" s="42"/>
      <c r="AJ581" s="42"/>
      <c r="AK581" s="42"/>
      <c r="AL581" s="42"/>
      <c r="AM581" s="42"/>
      <c r="AN581" s="42"/>
      <c r="AO581" s="63" t="str">
        <f>IFERROR(__xludf.DUMMYFUNCTION("IF(ISBLANK(A581),,IF(ISBLANK(S581), A581&amp;"";"", TEXTJOIN(CHAR(10), TRUE, A581&amp;"";"", ARRAYFORMULA(VLOOKUP(SPLIT(S581, "";"" &amp; CHAR(10)), $A:$AO, 41, FALSE)))))"),"fVZfp;")</f>
        <v>fVZfp;</v>
      </c>
      <c r="AP581" s="89"/>
    </row>
    <row r="582">
      <c r="A582" s="151" t="str">
        <f>IFERROR(__xludf.DUMMYFUNCTION("""COMPUTED_VALUE"""),"fVZdm")</f>
        <v>fVZdm</v>
      </c>
      <c r="B582" s="42" t="str">
        <f>IFERROR(__xludf.DUMMYFUNCTION("""COMPUTED_VALUE"""),"DHBA")</f>
        <v>DHBA</v>
      </c>
      <c r="C582" s="42" t="str">
        <f>IFERROR(__xludf.DUMMYFUNCTION("""COMPUTED_VALUE"""),"VZ in dorsomedial frontal cortex")</f>
        <v>VZ in dorsomedial frontal cortex</v>
      </c>
      <c r="D582" s="42">
        <f>IFERROR(__xludf.DUMMYFUNCTION("""COMPUTED_VALUE"""),548.0)</f>
        <v>548</v>
      </c>
      <c r="E582" s="39" t="str">
        <f>IFERROR(__xludf.DUMMYFUNCTION("""COMPUTED_VALUE"""),"VZ in dorsomedial frontal cortex")</f>
        <v>VZ in dorsomedial frontal cortex</v>
      </c>
      <c r="F582" s="9" t="str">
        <f>IFERROR(__xludf.DUMMYFUNCTION("""COMPUTED_VALUE"""),"Br")</f>
        <v>Br</v>
      </c>
      <c r="G582" s="9" t="str">
        <f>IFERROR(__xludf.DUMMYFUNCTION("""COMPUTED_VALUE"""),"F")</f>
        <v>F</v>
      </c>
      <c r="H582" s="9" t="str">
        <f>IFERROR(__xludf.DUMMYFUNCTION("""COMPUTED_VALUE"""),"FGM")</f>
        <v>FGM</v>
      </c>
      <c r="I582" s="9" t="str">
        <f>IFERROR(__xludf.DUMMYFUNCTION("""COMPUTED_VALUE"""),"FTS")</f>
        <v>FTS</v>
      </c>
      <c r="J582" s="9" t="str">
        <f>IFERROR(__xludf.DUMMYFUNCTION("""COMPUTED_VALUE"""),"VZ")</f>
        <v>VZ</v>
      </c>
      <c r="K582" s="9" t="str">
        <f>IFERROR(__xludf.DUMMYFUNCTION("""COMPUTED_VALUE"""),"fVZ")</f>
        <v>fVZ</v>
      </c>
      <c r="L582" s="9" t="str">
        <f>IFERROR(__xludf.DUMMYFUNCTION("""COMPUTED_VALUE"""),"fVZdm")</f>
        <v>fVZdm</v>
      </c>
      <c r="M582" s="9"/>
      <c r="N582" s="9"/>
      <c r="O582" s="9"/>
      <c r="P582" s="9"/>
      <c r="Q582" s="9"/>
      <c r="R582" s="9"/>
      <c r="S582" s="42"/>
      <c r="T582" s="42"/>
      <c r="U582" s="42"/>
      <c r="V582" s="42"/>
      <c r="W582" s="42"/>
      <c r="X582" s="42"/>
      <c r="Y582" s="42"/>
      <c r="Z582" s="42"/>
      <c r="AA582" s="42"/>
      <c r="AB582" s="42" t="str">
        <f>IFERROR(__xludf.DUMMYFUNCTION("""COMPUTED_VALUE"""),"allen institute")</f>
        <v>allen institute</v>
      </c>
      <c r="AC582" s="42" t="str">
        <f>IFERROR(__xludf.DUMMYFUNCTION("""COMPUTED_VALUE"""),"DHBA")</f>
        <v>DHBA</v>
      </c>
      <c r="AD582" s="42"/>
      <c r="AE582" s="42"/>
      <c r="AF582" s="9"/>
      <c r="AG582" s="9"/>
      <c r="AH582" s="42"/>
      <c r="AI582" s="42"/>
      <c r="AJ582" s="42"/>
      <c r="AK582" s="42"/>
      <c r="AL582" s="42"/>
      <c r="AM582" s="42"/>
      <c r="AN582" s="42"/>
      <c r="AO582" s="63" t="str">
        <f>IFERROR(__xludf.DUMMYFUNCTION("IF(ISBLANK(A582),,IF(ISBLANK(S582), A582&amp;"";"", TEXTJOIN(CHAR(10), TRUE, A582&amp;"";"", ARRAYFORMULA(VLOOKUP(SPLIT(S582, "";"" &amp; CHAR(10)), $A:$AO, 41, FALSE)))))"),"fVZdm;")</f>
        <v>fVZdm;</v>
      </c>
      <c r="AP582" s="89"/>
    </row>
    <row r="583">
      <c r="A583" s="151" t="str">
        <f>IFERROR(__xludf.DUMMYFUNCTION("""COMPUTED_VALUE"""),"fVZdl")</f>
        <v>fVZdl</v>
      </c>
      <c r="B583" s="42" t="str">
        <f>IFERROR(__xludf.DUMMYFUNCTION("""COMPUTED_VALUE"""),"DHBA")</f>
        <v>DHBA</v>
      </c>
      <c r="C583" s="42" t="str">
        <f>IFERROR(__xludf.DUMMYFUNCTION("""COMPUTED_VALUE"""),"VZ in dorsolateral prefrontal cortex")</f>
        <v>VZ in dorsolateral prefrontal cortex</v>
      </c>
      <c r="D583" s="42">
        <f>IFERROR(__xludf.DUMMYFUNCTION("""COMPUTED_VALUE"""),549.0)</f>
        <v>549</v>
      </c>
      <c r="E583" s="39" t="str">
        <f>IFERROR(__xludf.DUMMYFUNCTION("""COMPUTED_VALUE"""),"VZ in dorsolateral prefrontal cortex")</f>
        <v>VZ in dorsolateral prefrontal cortex</v>
      </c>
      <c r="F583" s="9" t="str">
        <f>IFERROR(__xludf.DUMMYFUNCTION("""COMPUTED_VALUE"""),"Br")</f>
        <v>Br</v>
      </c>
      <c r="G583" s="9" t="str">
        <f>IFERROR(__xludf.DUMMYFUNCTION("""COMPUTED_VALUE"""),"F")</f>
        <v>F</v>
      </c>
      <c r="H583" s="9" t="str">
        <f>IFERROR(__xludf.DUMMYFUNCTION("""COMPUTED_VALUE"""),"FGM")</f>
        <v>FGM</v>
      </c>
      <c r="I583" s="9" t="str">
        <f>IFERROR(__xludf.DUMMYFUNCTION("""COMPUTED_VALUE"""),"FTS")</f>
        <v>FTS</v>
      </c>
      <c r="J583" s="9" t="str">
        <f>IFERROR(__xludf.DUMMYFUNCTION("""COMPUTED_VALUE"""),"VZ")</f>
        <v>VZ</v>
      </c>
      <c r="K583" s="9" t="str">
        <f>IFERROR(__xludf.DUMMYFUNCTION("""COMPUTED_VALUE"""),"fVZ")</f>
        <v>fVZ</v>
      </c>
      <c r="L583" s="9" t="str">
        <f>IFERROR(__xludf.DUMMYFUNCTION("""COMPUTED_VALUE"""),"fVZdl")</f>
        <v>fVZdl</v>
      </c>
      <c r="M583" s="9"/>
      <c r="N583" s="9"/>
      <c r="O583" s="9"/>
      <c r="P583" s="9"/>
      <c r="Q583" s="9"/>
      <c r="R583" s="9"/>
      <c r="S583" s="42" t="str">
        <f>IFERROR(__xludf.DUMMYFUNCTION("""COMPUTED_VALUE"""),"fVZdlo;
fVZdli")</f>
        <v>fVZdlo;
fVZdli</v>
      </c>
      <c r="T583" s="42"/>
      <c r="U583" s="42" t="b">
        <f>IFERROR(__xludf.DUMMYFUNCTION("""COMPUTED_VALUE"""),FALSE)</f>
        <v>0</v>
      </c>
      <c r="V583" s="42"/>
      <c r="W583" s="42"/>
      <c r="X583" s="42"/>
      <c r="Y583" s="42"/>
      <c r="Z583" s="42"/>
      <c r="AA583" s="42"/>
      <c r="AB583" s="42" t="str">
        <f>IFERROR(__xludf.DUMMYFUNCTION("""COMPUTED_VALUE"""),"allen institute")</f>
        <v>allen institute</v>
      </c>
      <c r="AC583" s="42" t="str">
        <f>IFERROR(__xludf.DUMMYFUNCTION("""COMPUTED_VALUE"""),"DHBA")</f>
        <v>DHBA</v>
      </c>
      <c r="AD583" s="42"/>
      <c r="AE583" s="42"/>
      <c r="AF583" s="9"/>
      <c r="AG583" s="9"/>
      <c r="AH583" s="42"/>
      <c r="AI583" s="42"/>
      <c r="AJ583" s="42"/>
      <c r="AK583" s="42"/>
      <c r="AL583" s="42"/>
      <c r="AM583" s="42"/>
      <c r="AN583" s="42"/>
      <c r="AO583" s="63" t="str">
        <f>IFERROR(__xludf.DUMMYFUNCTION("IF(ISBLANK(A583),,IF(ISBLANK(S583), A583&amp;"";"", TEXTJOIN(CHAR(10), TRUE, A583&amp;"";"", ARRAYFORMULA(VLOOKUP(SPLIT(S583, "";"" &amp; CHAR(10)), $A:$AO, 41, FALSE)))))"),"fVZdl;
fVZdlo;
fVZdli;")</f>
        <v>fVZdl;
fVZdlo;
fVZdli;</v>
      </c>
      <c r="AP583" s="89"/>
    </row>
    <row r="584">
      <c r="A584" s="151" t="str">
        <f>IFERROR(__xludf.DUMMYFUNCTION("""COMPUTED_VALUE"""),"fVZdlo")</f>
        <v>fVZdlo</v>
      </c>
      <c r="B584" s="42" t="str">
        <f>IFERROR(__xludf.DUMMYFUNCTION("""COMPUTED_VALUE"""),"DHBA")</f>
        <v>DHBA</v>
      </c>
      <c r="C584" s="42" t="str">
        <f>IFERROR(__xludf.DUMMYFUNCTION("""COMPUTED_VALUE"""),"outer VZ in dorsolateral prefrontal cortex")</f>
        <v>outer VZ in dorsolateral prefrontal cortex</v>
      </c>
      <c r="D584" s="42">
        <f>IFERROR(__xludf.DUMMYFUNCTION("""COMPUTED_VALUE"""),550.0)</f>
        <v>550</v>
      </c>
      <c r="E584" s="39" t="str">
        <f>IFERROR(__xludf.DUMMYFUNCTION("""COMPUTED_VALUE"""),"outer VZ in dorsolateral prefrontal cortex")</f>
        <v>outer VZ in dorsolateral prefrontal cortex</v>
      </c>
      <c r="F584" s="9" t="str">
        <f>IFERROR(__xludf.DUMMYFUNCTION("""COMPUTED_VALUE"""),"Br")</f>
        <v>Br</v>
      </c>
      <c r="G584" s="9" t="str">
        <f>IFERROR(__xludf.DUMMYFUNCTION("""COMPUTED_VALUE"""),"F")</f>
        <v>F</v>
      </c>
      <c r="H584" s="9" t="str">
        <f>IFERROR(__xludf.DUMMYFUNCTION("""COMPUTED_VALUE"""),"FGM")</f>
        <v>FGM</v>
      </c>
      <c r="I584" s="9" t="str">
        <f>IFERROR(__xludf.DUMMYFUNCTION("""COMPUTED_VALUE"""),"FTS")</f>
        <v>FTS</v>
      </c>
      <c r="J584" s="9" t="str">
        <f>IFERROR(__xludf.DUMMYFUNCTION("""COMPUTED_VALUE"""),"VZ")</f>
        <v>VZ</v>
      </c>
      <c r="K584" s="9" t="str">
        <f>IFERROR(__xludf.DUMMYFUNCTION("""COMPUTED_VALUE"""),"fVZ")</f>
        <v>fVZ</v>
      </c>
      <c r="L584" s="9" t="str">
        <f>IFERROR(__xludf.DUMMYFUNCTION("""COMPUTED_VALUE"""),"fVZdl")</f>
        <v>fVZdl</v>
      </c>
      <c r="M584" s="9" t="str">
        <f>IFERROR(__xludf.DUMMYFUNCTION("""COMPUTED_VALUE"""),"fVZdlo")</f>
        <v>fVZdlo</v>
      </c>
      <c r="N584" s="9"/>
      <c r="O584" s="9"/>
      <c r="P584" s="9"/>
      <c r="Q584" s="9"/>
      <c r="R584" s="9"/>
      <c r="S584" s="42"/>
      <c r="T584" s="42"/>
      <c r="U584" s="42"/>
      <c r="V584" s="42"/>
      <c r="W584" s="42"/>
      <c r="X584" s="42"/>
      <c r="Y584" s="42"/>
      <c r="Z584" s="42"/>
      <c r="AA584" s="42"/>
      <c r="AB584" s="42" t="str">
        <f>IFERROR(__xludf.DUMMYFUNCTION("""COMPUTED_VALUE"""),"allen institute")</f>
        <v>allen institute</v>
      </c>
      <c r="AC584" s="42" t="str">
        <f>IFERROR(__xludf.DUMMYFUNCTION("""COMPUTED_VALUE"""),"DHBA")</f>
        <v>DHBA</v>
      </c>
      <c r="AD584" s="42"/>
      <c r="AE584" s="42"/>
      <c r="AF584" s="9"/>
      <c r="AG584" s="9"/>
      <c r="AH584" s="42"/>
      <c r="AI584" s="42"/>
      <c r="AJ584" s="42"/>
      <c r="AK584" s="42"/>
      <c r="AL584" s="42"/>
      <c r="AM584" s="42"/>
      <c r="AN584" s="42"/>
      <c r="AO584" s="63" t="str">
        <f>IFERROR(__xludf.DUMMYFUNCTION("IF(ISBLANK(A584),,IF(ISBLANK(S584), A584&amp;"";"", TEXTJOIN(CHAR(10), TRUE, A584&amp;"";"", ARRAYFORMULA(VLOOKUP(SPLIT(S584, "";"" &amp; CHAR(10)), $A:$AO, 41, FALSE)))))"),"fVZdlo;")</f>
        <v>fVZdlo;</v>
      </c>
      <c r="AP584" s="89"/>
    </row>
    <row r="585">
      <c r="A585" s="151" t="str">
        <f>IFERROR(__xludf.DUMMYFUNCTION("""COMPUTED_VALUE"""),"fVZdli")</f>
        <v>fVZdli</v>
      </c>
      <c r="B585" s="42" t="str">
        <f>IFERROR(__xludf.DUMMYFUNCTION("""COMPUTED_VALUE"""),"DHBA")</f>
        <v>DHBA</v>
      </c>
      <c r="C585" s="42" t="str">
        <f>IFERROR(__xludf.DUMMYFUNCTION("""COMPUTED_VALUE"""),"inner VZ in dorsolateral prefrontal cortex")</f>
        <v>inner VZ in dorsolateral prefrontal cortex</v>
      </c>
      <c r="D585" s="42">
        <f>IFERROR(__xludf.DUMMYFUNCTION("""COMPUTED_VALUE"""),551.0)</f>
        <v>551</v>
      </c>
      <c r="E585" s="39" t="str">
        <f>IFERROR(__xludf.DUMMYFUNCTION("""COMPUTED_VALUE"""),"inner VZ in dorsolateral prefrontal cortex")</f>
        <v>inner VZ in dorsolateral prefrontal cortex</v>
      </c>
      <c r="F585" s="9" t="str">
        <f>IFERROR(__xludf.DUMMYFUNCTION("""COMPUTED_VALUE"""),"Br")</f>
        <v>Br</v>
      </c>
      <c r="G585" s="9" t="str">
        <f>IFERROR(__xludf.DUMMYFUNCTION("""COMPUTED_VALUE"""),"F")</f>
        <v>F</v>
      </c>
      <c r="H585" s="9" t="str">
        <f>IFERROR(__xludf.DUMMYFUNCTION("""COMPUTED_VALUE"""),"FGM")</f>
        <v>FGM</v>
      </c>
      <c r="I585" s="9" t="str">
        <f>IFERROR(__xludf.DUMMYFUNCTION("""COMPUTED_VALUE"""),"FTS")</f>
        <v>FTS</v>
      </c>
      <c r="J585" s="9" t="str">
        <f>IFERROR(__xludf.DUMMYFUNCTION("""COMPUTED_VALUE"""),"VZ")</f>
        <v>VZ</v>
      </c>
      <c r="K585" s="9" t="str">
        <f>IFERROR(__xludf.DUMMYFUNCTION("""COMPUTED_VALUE"""),"fVZ")</f>
        <v>fVZ</v>
      </c>
      <c r="L585" s="9" t="str">
        <f>IFERROR(__xludf.DUMMYFUNCTION("""COMPUTED_VALUE"""),"fVZdl")</f>
        <v>fVZdl</v>
      </c>
      <c r="M585" s="9" t="str">
        <f>IFERROR(__xludf.DUMMYFUNCTION("""COMPUTED_VALUE"""),"fVZdli")</f>
        <v>fVZdli</v>
      </c>
      <c r="N585" s="9"/>
      <c r="O585" s="9"/>
      <c r="P585" s="9"/>
      <c r="Q585" s="9"/>
      <c r="R585" s="9"/>
      <c r="S585" s="42"/>
      <c r="T585" s="42"/>
      <c r="U585" s="42"/>
      <c r="V585" s="42"/>
      <c r="W585" s="42"/>
      <c r="X585" s="42"/>
      <c r="Y585" s="42"/>
      <c r="Z585" s="42"/>
      <c r="AA585" s="42"/>
      <c r="AB585" s="42" t="str">
        <f>IFERROR(__xludf.DUMMYFUNCTION("""COMPUTED_VALUE"""),"allen institute")</f>
        <v>allen institute</v>
      </c>
      <c r="AC585" s="42" t="str">
        <f>IFERROR(__xludf.DUMMYFUNCTION("""COMPUTED_VALUE"""),"DHBA")</f>
        <v>DHBA</v>
      </c>
      <c r="AD585" s="42"/>
      <c r="AE585" s="42"/>
      <c r="AF585" s="9"/>
      <c r="AG585" s="9"/>
      <c r="AH585" s="42"/>
      <c r="AI585" s="42"/>
      <c r="AJ585" s="42"/>
      <c r="AK585" s="42"/>
      <c r="AL585" s="42"/>
      <c r="AM585" s="42"/>
      <c r="AN585" s="42"/>
      <c r="AO585" s="63" t="str">
        <f>IFERROR(__xludf.DUMMYFUNCTION("IF(ISBLANK(A585),,IF(ISBLANK(S585), A585&amp;"";"", TEXTJOIN(CHAR(10), TRUE, A585&amp;"";"", ARRAYFORMULA(VLOOKUP(SPLIT(S585, "";"" &amp; CHAR(10)), $A:$AO, 41, FALSE)))))"),"fVZdli;")</f>
        <v>fVZdli;</v>
      </c>
      <c r="AP585" s="89"/>
    </row>
    <row r="586">
      <c r="A586" s="151" t="str">
        <f>IFERROR(__xludf.DUMMYFUNCTION("""COMPUTED_VALUE"""),"fVZvl")</f>
        <v>fVZvl</v>
      </c>
      <c r="B586" s="42" t="str">
        <f>IFERROR(__xludf.DUMMYFUNCTION("""COMPUTED_VALUE"""),"DHBA")</f>
        <v>DHBA</v>
      </c>
      <c r="C586" s="42" t="str">
        <f>IFERROR(__xludf.DUMMYFUNCTION("""COMPUTED_VALUE"""),"VZ in ventrolateral prefrontal cortex")</f>
        <v>VZ in ventrolateral prefrontal cortex</v>
      </c>
      <c r="D586" s="42">
        <f>IFERROR(__xludf.DUMMYFUNCTION("""COMPUTED_VALUE"""),552.0)</f>
        <v>552</v>
      </c>
      <c r="E586" s="39" t="str">
        <f>IFERROR(__xludf.DUMMYFUNCTION("""COMPUTED_VALUE"""),"VZ in ventrolateral prefrontal cortex")</f>
        <v>VZ in ventrolateral prefrontal cortex</v>
      </c>
      <c r="F586" s="9" t="str">
        <f>IFERROR(__xludf.DUMMYFUNCTION("""COMPUTED_VALUE"""),"Br")</f>
        <v>Br</v>
      </c>
      <c r="G586" s="9" t="str">
        <f>IFERROR(__xludf.DUMMYFUNCTION("""COMPUTED_VALUE"""),"F")</f>
        <v>F</v>
      </c>
      <c r="H586" s="9" t="str">
        <f>IFERROR(__xludf.DUMMYFUNCTION("""COMPUTED_VALUE"""),"FGM")</f>
        <v>FGM</v>
      </c>
      <c r="I586" s="9" t="str">
        <f>IFERROR(__xludf.DUMMYFUNCTION("""COMPUTED_VALUE"""),"FTS")</f>
        <v>FTS</v>
      </c>
      <c r="J586" s="9" t="str">
        <f>IFERROR(__xludf.DUMMYFUNCTION("""COMPUTED_VALUE"""),"VZ")</f>
        <v>VZ</v>
      </c>
      <c r="K586" s="9" t="str">
        <f>IFERROR(__xludf.DUMMYFUNCTION("""COMPUTED_VALUE"""),"fVZ")</f>
        <v>fVZ</v>
      </c>
      <c r="L586" s="9" t="str">
        <f>IFERROR(__xludf.DUMMYFUNCTION("""COMPUTED_VALUE"""),"fVZvl")</f>
        <v>fVZvl</v>
      </c>
      <c r="M586" s="9"/>
      <c r="N586" s="9"/>
      <c r="O586" s="9"/>
      <c r="P586" s="9"/>
      <c r="Q586" s="9"/>
      <c r="R586" s="9"/>
      <c r="S586" s="42"/>
      <c r="T586" s="42"/>
      <c r="U586" s="42"/>
      <c r="V586" s="42"/>
      <c r="W586" s="42"/>
      <c r="X586" s="42"/>
      <c r="Y586" s="42"/>
      <c r="Z586" s="42"/>
      <c r="AA586" s="42"/>
      <c r="AB586" s="42" t="str">
        <f>IFERROR(__xludf.DUMMYFUNCTION("""COMPUTED_VALUE"""),"allen institute")</f>
        <v>allen institute</v>
      </c>
      <c r="AC586" s="42" t="str">
        <f>IFERROR(__xludf.DUMMYFUNCTION("""COMPUTED_VALUE"""),"DHBA")</f>
        <v>DHBA</v>
      </c>
      <c r="AD586" s="42"/>
      <c r="AE586" s="42"/>
      <c r="AF586" s="9"/>
      <c r="AG586" s="9"/>
      <c r="AH586" s="42"/>
      <c r="AI586" s="42"/>
      <c r="AJ586" s="42"/>
      <c r="AK586" s="42"/>
      <c r="AL586" s="42"/>
      <c r="AM586" s="42"/>
      <c r="AN586" s="42"/>
      <c r="AO586" s="63" t="str">
        <f>IFERROR(__xludf.DUMMYFUNCTION("IF(ISBLANK(A586),,IF(ISBLANK(S586), A586&amp;"";"", TEXTJOIN(CHAR(10), TRUE, A586&amp;"";"", ARRAYFORMULA(VLOOKUP(SPLIT(S586, "";"" &amp; CHAR(10)), $A:$AO, 41, FALSE)))))"),"fVZvl;")</f>
        <v>fVZvl;</v>
      </c>
      <c r="AP586" s="89"/>
    </row>
    <row r="587">
      <c r="A587" s="151" t="str">
        <f>IFERROR(__xludf.DUMMYFUNCTION("""COMPUTED_VALUE"""),"fVZor")</f>
        <v>fVZor</v>
      </c>
      <c r="B587" s="42" t="str">
        <f>IFERROR(__xludf.DUMMYFUNCTION("""COMPUTED_VALUE"""),"DHBA")</f>
        <v>DHBA</v>
      </c>
      <c r="C587" s="42" t="str">
        <f>IFERROR(__xludf.DUMMYFUNCTION("""COMPUTED_VALUE"""),"VZ in orbital frontal cortex")</f>
        <v>VZ in orbital frontal cortex</v>
      </c>
      <c r="D587" s="42">
        <f>IFERROR(__xludf.DUMMYFUNCTION("""COMPUTED_VALUE"""),553.0)</f>
        <v>553</v>
      </c>
      <c r="E587" s="39" t="str">
        <f>IFERROR(__xludf.DUMMYFUNCTION("""COMPUTED_VALUE"""),"VZ in orbital frontal cortex")</f>
        <v>VZ in orbital frontal cortex</v>
      </c>
      <c r="F587" s="9" t="str">
        <f>IFERROR(__xludf.DUMMYFUNCTION("""COMPUTED_VALUE"""),"Br")</f>
        <v>Br</v>
      </c>
      <c r="G587" s="9" t="str">
        <f>IFERROR(__xludf.DUMMYFUNCTION("""COMPUTED_VALUE"""),"F")</f>
        <v>F</v>
      </c>
      <c r="H587" s="9" t="str">
        <f>IFERROR(__xludf.DUMMYFUNCTION("""COMPUTED_VALUE"""),"FGM")</f>
        <v>FGM</v>
      </c>
      <c r="I587" s="9" t="str">
        <f>IFERROR(__xludf.DUMMYFUNCTION("""COMPUTED_VALUE"""),"FTS")</f>
        <v>FTS</v>
      </c>
      <c r="J587" s="9" t="str">
        <f>IFERROR(__xludf.DUMMYFUNCTION("""COMPUTED_VALUE"""),"VZ")</f>
        <v>VZ</v>
      </c>
      <c r="K587" s="9" t="str">
        <f>IFERROR(__xludf.DUMMYFUNCTION("""COMPUTED_VALUE"""),"fVZ")</f>
        <v>fVZ</v>
      </c>
      <c r="L587" s="9" t="str">
        <f>IFERROR(__xludf.DUMMYFUNCTION("""COMPUTED_VALUE"""),"fVZor")</f>
        <v>fVZor</v>
      </c>
      <c r="M587" s="9"/>
      <c r="N587" s="9"/>
      <c r="O587" s="9"/>
      <c r="P587" s="9"/>
      <c r="Q587" s="9"/>
      <c r="R587" s="9"/>
      <c r="S587" s="42"/>
      <c r="T587" s="42"/>
      <c r="U587" s="42"/>
      <c r="V587" s="42"/>
      <c r="W587" s="42"/>
      <c r="X587" s="42"/>
      <c r="Y587" s="42"/>
      <c r="Z587" s="42"/>
      <c r="AA587" s="42"/>
      <c r="AB587" s="42" t="str">
        <f>IFERROR(__xludf.DUMMYFUNCTION("""COMPUTED_VALUE"""),"allen institute")</f>
        <v>allen institute</v>
      </c>
      <c r="AC587" s="42" t="str">
        <f>IFERROR(__xludf.DUMMYFUNCTION("""COMPUTED_VALUE"""),"DHBA")</f>
        <v>DHBA</v>
      </c>
      <c r="AD587" s="42"/>
      <c r="AE587" s="42"/>
      <c r="AF587" s="9"/>
      <c r="AG587" s="9"/>
      <c r="AH587" s="42"/>
      <c r="AI587" s="42"/>
      <c r="AJ587" s="42"/>
      <c r="AK587" s="42"/>
      <c r="AL587" s="42"/>
      <c r="AM587" s="42"/>
      <c r="AN587" s="42"/>
      <c r="AO587" s="63" t="str">
        <f>IFERROR(__xludf.DUMMYFUNCTION("IF(ISBLANK(A587),,IF(ISBLANK(S587), A587&amp;"";"", TEXTJOIN(CHAR(10), TRUE, A587&amp;"";"", ARRAYFORMULA(VLOOKUP(SPLIT(S587, "";"" &amp; CHAR(10)), $A:$AO, 41, FALSE)))))"),"fVZor;")</f>
        <v>fVZor;</v>
      </c>
      <c r="AP587" s="89"/>
    </row>
    <row r="588">
      <c r="A588" s="151" t="str">
        <f>IFERROR(__xludf.DUMMYFUNCTION("""COMPUTED_VALUE"""),"fVZm1")</f>
        <v>fVZm1</v>
      </c>
      <c r="B588" s="42" t="str">
        <f>IFERROR(__xludf.DUMMYFUNCTION("""COMPUTED_VALUE"""),"DHBA")</f>
        <v>DHBA</v>
      </c>
      <c r="C588" s="42" t="str">
        <f>IFERROR(__xludf.DUMMYFUNCTION("""COMPUTED_VALUE"""),"VZ in posteror frontal cortex (motor cortex)")</f>
        <v>VZ in posteror frontal cortex (motor cortex)</v>
      </c>
      <c r="D588" s="42">
        <f>IFERROR(__xludf.DUMMYFUNCTION("""COMPUTED_VALUE"""),554.0)</f>
        <v>554</v>
      </c>
      <c r="E588" s="39" t="str">
        <f>IFERROR(__xludf.DUMMYFUNCTION("""COMPUTED_VALUE"""),"VZ in posteror frontal cortex (motor cortex)")</f>
        <v>VZ in posteror frontal cortex (motor cortex)</v>
      </c>
      <c r="F588" s="9" t="str">
        <f>IFERROR(__xludf.DUMMYFUNCTION("""COMPUTED_VALUE"""),"Br")</f>
        <v>Br</v>
      </c>
      <c r="G588" s="9" t="str">
        <f>IFERROR(__xludf.DUMMYFUNCTION("""COMPUTED_VALUE"""),"F")</f>
        <v>F</v>
      </c>
      <c r="H588" s="9" t="str">
        <f>IFERROR(__xludf.DUMMYFUNCTION("""COMPUTED_VALUE"""),"FGM")</f>
        <v>FGM</v>
      </c>
      <c r="I588" s="9" t="str">
        <f>IFERROR(__xludf.DUMMYFUNCTION("""COMPUTED_VALUE"""),"FTS")</f>
        <v>FTS</v>
      </c>
      <c r="J588" s="9" t="str">
        <f>IFERROR(__xludf.DUMMYFUNCTION("""COMPUTED_VALUE"""),"VZ")</f>
        <v>VZ</v>
      </c>
      <c r="K588" s="9" t="str">
        <f>IFERROR(__xludf.DUMMYFUNCTION("""COMPUTED_VALUE"""),"fVZ")</f>
        <v>fVZ</v>
      </c>
      <c r="L588" s="9" t="str">
        <f>IFERROR(__xludf.DUMMYFUNCTION("""COMPUTED_VALUE"""),"fVZm1")</f>
        <v>fVZm1</v>
      </c>
      <c r="M588" s="9"/>
      <c r="N588" s="9"/>
      <c r="O588" s="9"/>
      <c r="P588" s="9"/>
      <c r="Q588" s="9"/>
      <c r="R588" s="9"/>
      <c r="S588" s="42" t="str">
        <f>IFERROR(__xludf.DUMMYFUNCTION("""COMPUTED_VALUE"""),"fVZm1o;
fVZm1i")</f>
        <v>fVZm1o;
fVZm1i</v>
      </c>
      <c r="T588" s="42"/>
      <c r="U588" s="42" t="b">
        <f>IFERROR(__xludf.DUMMYFUNCTION("""COMPUTED_VALUE"""),FALSE)</f>
        <v>0</v>
      </c>
      <c r="V588" s="42"/>
      <c r="W588" s="42"/>
      <c r="X588" s="42"/>
      <c r="Y588" s="42"/>
      <c r="Z588" s="42"/>
      <c r="AA588" s="42"/>
      <c r="AB588" s="42" t="str">
        <f>IFERROR(__xludf.DUMMYFUNCTION("""COMPUTED_VALUE"""),"allen institute")</f>
        <v>allen institute</v>
      </c>
      <c r="AC588" s="42" t="str">
        <f>IFERROR(__xludf.DUMMYFUNCTION("""COMPUTED_VALUE"""),"DHBA")</f>
        <v>DHBA</v>
      </c>
      <c r="AD588" s="42"/>
      <c r="AE588" s="42"/>
      <c r="AF588" s="9"/>
      <c r="AG588" s="9"/>
      <c r="AH588" s="42"/>
      <c r="AI588" s="42"/>
      <c r="AJ588" s="42"/>
      <c r="AK588" s="42"/>
      <c r="AL588" s="42"/>
      <c r="AM588" s="42"/>
      <c r="AN588" s="42"/>
      <c r="AO588" s="63" t="str">
        <f>IFERROR(__xludf.DUMMYFUNCTION("IF(ISBLANK(A588),,IF(ISBLANK(S588), A588&amp;"";"", TEXTJOIN(CHAR(10), TRUE, A588&amp;"";"", ARRAYFORMULA(VLOOKUP(SPLIT(S588, "";"" &amp; CHAR(10)), $A:$AO, 41, FALSE)))))"),"fVZm1;
fVZm1o;
fVZm1i;")</f>
        <v>fVZm1;
fVZm1o;
fVZm1i;</v>
      </c>
      <c r="AP588" s="89"/>
    </row>
    <row r="589">
      <c r="A589" s="151" t="str">
        <f>IFERROR(__xludf.DUMMYFUNCTION("""COMPUTED_VALUE"""),"fVZm1o")</f>
        <v>fVZm1o</v>
      </c>
      <c r="B589" s="42" t="str">
        <f>IFERROR(__xludf.DUMMYFUNCTION("""COMPUTED_VALUE"""),"DHBA")</f>
        <v>DHBA</v>
      </c>
      <c r="C589" s="42" t="str">
        <f>IFERROR(__xludf.DUMMYFUNCTION("""COMPUTED_VALUE"""),"outer VZ in posteror frontal cortex (motor cortex)")</f>
        <v>outer VZ in posteror frontal cortex (motor cortex)</v>
      </c>
      <c r="D589" s="42">
        <f>IFERROR(__xludf.DUMMYFUNCTION("""COMPUTED_VALUE"""),555.0)</f>
        <v>555</v>
      </c>
      <c r="E589" s="39" t="str">
        <f>IFERROR(__xludf.DUMMYFUNCTION("""COMPUTED_VALUE"""),"outer VZ in posteror frontal cortex (motor cortex)")</f>
        <v>outer VZ in posteror frontal cortex (motor cortex)</v>
      </c>
      <c r="F589" s="9" t="str">
        <f>IFERROR(__xludf.DUMMYFUNCTION("""COMPUTED_VALUE"""),"Br")</f>
        <v>Br</v>
      </c>
      <c r="G589" s="9" t="str">
        <f>IFERROR(__xludf.DUMMYFUNCTION("""COMPUTED_VALUE"""),"F")</f>
        <v>F</v>
      </c>
      <c r="H589" s="9" t="str">
        <f>IFERROR(__xludf.DUMMYFUNCTION("""COMPUTED_VALUE"""),"FGM")</f>
        <v>FGM</v>
      </c>
      <c r="I589" s="9" t="str">
        <f>IFERROR(__xludf.DUMMYFUNCTION("""COMPUTED_VALUE"""),"FTS")</f>
        <v>FTS</v>
      </c>
      <c r="J589" s="9" t="str">
        <f>IFERROR(__xludf.DUMMYFUNCTION("""COMPUTED_VALUE"""),"VZ")</f>
        <v>VZ</v>
      </c>
      <c r="K589" s="9" t="str">
        <f>IFERROR(__xludf.DUMMYFUNCTION("""COMPUTED_VALUE"""),"fVZ")</f>
        <v>fVZ</v>
      </c>
      <c r="L589" s="9" t="str">
        <f>IFERROR(__xludf.DUMMYFUNCTION("""COMPUTED_VALUE"""),"fVZm1")</f>
        <v>fVZm1</v>
      </c>
      <c r="M589" s="9" t="str">
        <f>IFERROR(__xludf.DUMMYFUNCTION("""COMPUTED_VALUE"""),"fVZm1o")</f>
        <v>fVZm1o</v>
      </c>
      <c r="N589" s="9"/>
      <c r="O589" s="9"/>
      <c r="P589" s="9"/>
      <c r="Q589" s="9"/>
      <c r="R589" s="9"/>
      <c r="S589" s="42"/>
      <c r="T589" s="42"/>
      <c r="U589" s="42"/>
      <c r="V589" s="42"/>
      <c r="W589" s="42"/>
      <c r="X589" s="42"/>
      <c r="Y589" s="42"/>
      <c r="Z589" s="42"/>
      <c r="AA589" s="42"/>
      <c r="AB589" s="42" t="str">
        <f>IFERROR(__xludf.DUMMYFUNCTION("""COMPUTED_VALUE"""),"allen institute")</f>
        <v>allen institute</v>
      </c>
      <c r="AC589" s="42" t="str">
        <f>IFERROR(__xludf.DUMMYFUNCTION("""COMPUTED_VALUE"""),"DHBA")</f>
        <v>DHBA</v>
      </c>
      <c r="AD589" s="42"/>
      <c r="AE589" s="42"/>
      <c r="AF589" s="9"/>
      <c r="AG589" s="9"/>
      <c r="AH589" s="42"/>
      <c r="AI589" s="42"/>
      <c r="AJ589" s="42"/>
      <c r="AK589" s="42"/>
      <c r="AL589" s="42"/>
      <c r="AM589" s="42"/>
      <c r="AN589" s="42"/>
      <c r="AO589" s="63" t="str">
        <f>IFERROR(__xludf.DUMMYFUNCTION("IF(ISBLANK(A589),,IF(ISBLANK(S589), A589&amp;"";"", TEXTJOIN(CHAR(10), TRUE, A589&amp;"";"", ARRAYFORMULA(VLOOKUP(SPLIT(S589, "";"" &amp; CHAR(10)), $A:$AO, 41, FALSE)))))"),"fVZm1o;")</f>
        <v>fVZm1o;</v>
      </c>
      <c r="AP589" s="89"/>
    </row>
    <row r="590">
      <c r="A590" s="151" t="str">
        <f>IFERROR(__xludf.DUMMYFUNCTION("""COMPUTED_VALUE"""),"fVZm1i")</f>
        <v>fVZm1i</v>
      </c>
      <c r="B590" s="42" t="str">
        <f>IFERROR(__xludf.DUMMYFUNCTION("""COMPUTED_VALUE"""),"DHBA")</f>
        <v>DHBA</v>
      </c>
      <c r="C590" s="42" t="str">
        <f>IFERROR(__xludf.DUMMYFUNCTION("""COMPUTED_VALUE"""),"inner VZ in posteror frontal cortex (motor cortex)")</f>
        <v>inner VZ in posteror frontal cortex (motor cortex)</v>
      </c>
      <c r="D590" s="42">
        <f>IFERROR(__xludf.DUMMYFUNCTION("""COMPUTED_VALUE"""),556.0)</f>
        <v>556</v>
      </c>
      <c r="E590" s="39" t="str">
        <f>IFERROR(__xludf.DUMMYFUNCTION("""COMPUTED_VALUE"""),"inner VZ in posteror frontal cortex (motor cortex)")</f>
        <v>inner VZ in posteror frontal cortex (motor cortex)</v>
      </c>
      <c r="F590" s="9" t="str">
        <f>IFERROR(__xludf.DUMMYFUNCTION("""COMPUTED_VALUE"""),"Br")</f>
        <v>Br</v>
      </c>
      <c r="G590" s="9" t="str">
        <f>IFERROR(__xludf.DUMMYFUNCTION("""COMPUTED_VALUE"""),"F")</f>
        <v>F</v>
      </c>
      <c r="H590" s="9" t="str">
        <f>IFERROR(__xludf.DUMMYFUNCTION("""COMPUTED_VALUE"""),"FGM")</f>
        <v>FGM</v>
      </c>
      <c r="I590" s="9" t="str">
        <f>IFERROR(__xludf.DUMMYFUNCTION("""COMPUTED_VALUE"""),"FTS")</f>
        <v>FTS</v>
      </c>
      <c r="J590" s="9" t="str">
        <f>IFERROR(__xludf.DUMMYFUNCTION("""COMPUTED_VALUE"""),"VZ")</f>
        <v>VZ</v>
      </c>
      <c r="K590" s="9" t="str">
        <f>IFERROR(__xludf.DUMMYFUNCTION("""COMPUTED_VALUE"""),"fVZ")</f>
        <v>fVZ</v>
      </c>
      <c r="L590" s="9" t="str">
        <f>IFERROR(__xludf.DUMMYFUNCTION("""COMPUTED_VALUE"""),"fVZm1")</f>
        <v>fVZm1</v>
      </c>
      <c r="M590" s="9" t="str">
        <f>IFERROR(__xludf.DUMMYFUNCTION("""COMPUTED_VALUE"""),"fVZm1i")</f>
        <v>fVZm1i</v>
      </c>
      <c r="N590" s="9"/>
      <c r="O590" s="9"/>
      <c r="P590" s="9"/>
      <c r="Q590" s="9"/>
      <c r="R590" s="9"/>
      <c r="S590" s="42"/>
      <c r="T590" s="42"/>
      <c r="U590" s="42"/>
      <c r="V590" s="42"/>
      <c r="W590" s="42"/>
      <c r="X590" s="42"/>
      <c r="Y590" s="42"/>
      <c r="Z590" s="42"/>
      <c r="AA590" s="42"/>
      <c r="AB590" s="42" t="str">
        <f>IFERROR(__xludf.DUMMYFUNCTION("""COMPUTED_VALUE"""),"allen institute")</f>
        <v>allen institute</v>
      </c>
      <c r="AC590" s="42" t="str">
        <f>IFERROR(__xludf.DUMMYFUNCTION("""COMPUTED_VALUE"""),"DHBA")</f>
        <v>DHBA</v>
      </c>
      <c r="AD590" s="42"/>
      <c r="AE590" s="42"/>
      <c r="AF590" s="9"/>
      <c r="AG590" s="9"/>
      <c r="AH590" s="42"/>
      <c r="AI590" s="42"/>
      <c r="AJ590" s="42"/>
      <c r="AK590" s="42"/>
      <c r="AL590" s="42"/>
      <c r="AM590" s="42"/>
      <c r="AN590" s="42"/>
      <c r="AO590" s="63" t="str">
        <f>IFERROR(__xludf.DUMMYFUNCTION("IF(ISBLANK(A590),,IF(ISBLANK(S590), A590&amp;"";"", TEXTJOIN(CHAR(10), TRUE, A590&amp;"";"", ARRAYFORMULA(VLOOKUP(SPLIT(S590, "";"" &amp; CHAR(10)), $A:$AO, 41, FALSE)))))"),"fVZm1i;")</f>
        <v>fVZm1i;</v>
      </c>
      <c r="AP590" s="89"/>
    </row>
    <row r="591">
      <c r="A591" s="151" t="str">
        <f>IFERROR(__xludf.DUMMYFUNCTION("""COMPUTED_VALUE"""),"pVZ")</f>
        <v>pVZ</v>
      </c>
      <c r="B591" s="42" t="str">
        <f>IFERROR(__xludf.DUMMYFUNCTION("""COMPUTED_VALUE"""),"DHBA")</f>
        <v>DHBA</v>
      </c>
      <c r="C591" s="42" t="str">
        <f>IFERROR(__xludf.DUMMYFUNCTION("""COMPUTED_VALUE"""),"VZ in parietal neocortex")</f>
        <v>VZ in parietal neocortex</v>
      </c>
      <c r="D591" s="42">
        <f>IFERROR(__xludf.DUMMYFUNCTION("""COMPUTED_VALUE"""),557.0)</f>
        <v>557</v>
      </c>
      <c r="E591" s="39" t="str">
        <f>IFERROR(__xludf.DUMMYFUNCTION("""COMPUTED_VALUE"""),"VZ in parietal neocortex")</f>
        <v>VZ in parietal neocortex</v>
      </c>
      <c r="F591" s="9" t="str">
        <f>IFERROR(__xludf.DUMMYFUNCTION("""COMPUTED_VALUE"""),"Br")</f>
        <v>Br</v>
      </c>
      <c r="G591" s="9" t="str">
        <f>IFERROR(__xludf.DUMMYFUNCTION("""COMPUTED_VALUE"""),"F")</f>
        <v>F</v>
      </c>
      <c r="H591" s="9" t="str">
        <f>IFERROR(__xludf.DUMMYFUNCTION("""COMPUTED_VALUE"""),"FGM")</f>
        <v>FGM</v>
      </c>
      <c r="I591" s="9" t="str">
        <f>IFERROR(__xludf.DUMMYFUNCTION("""COMPUTED_VALUE"""),"FTS")</f>
        <v>FTS</v>
      </c>
      <c r="J591" s="9" t="str">
        <f>IFERROR(__xludf.DUMMYFUNCTION("""COMPUTED_VALUE"""),"VZ")</f>
        <v>VZ</v>
      </c>
      <c r="K591" s="9" t="str">
        <f>IFERROR(__xludf.DUMMYFUNCTION("""COMPUTED_VALUE"""),"pVZ")</f>
        <v>pVZ</v>
      </c>
      <c r="L591" s="9"/>
      <c r="M591" s="9"/>
      <c r="N591" s="9"/>
      <c r="O591" s="9"/>
      <c r="P591" s="9"/>
      <c r="Q591" s="9"/>
      <c r="R591" s="9"/>
      <c r="S591" s="42" t="str">
        <f>IFERROR(__xludf.DUMMYFUNCTION("""COMPUTED_VALUE"""),"pVZs1;
pVZdm;
pVZpd;
pVZpv")</f>
        <v>pVZs1;
pVZdm;
pVZpd;
pVZpv</v>
      </c>
      <c r="T591" s="42"/>
      <c r="U591" s="42" t="b">
        <f>IFERROR(__xludf.DUMMYFUNCTION("""COMPUTED_VALUE"""),FALSE)</f>
        <v>0</v>
      </c>
      <c r="V591" s="42"/>
      <c r="W591" s="42"/>
      <c r="X591" s="42"/>
      <c r="Y591" s="42"/>
      <c r="Z591" s="42"/>
      <c r="AA591" s="42"/>
      <c r="AB591" s="42" t="str">
        <f>IFERROR(__xludf.DUMMYFUNCTION("""COMPUTED_VALUE"""),"allen institute")</f>
        <v>allen institute</v>
      </c>
      <c r="AC591" s="42" t="str">
        <f>IFERROR(__xludf.DUMMYFUNCTION("""COMPUTED_VALUE"""),"DHBA")</f>
        <v>DHBA</v>
      </c>
      <c r="AD591" s="42"/>
      <c r="AE591" s="42"/>
      <c r="AF591" s="9"/>
      <c r="AG591" s="9"/>
      <c r="AH591" s="42"/>
      <c r="AI591" s="42"/>
      <c r="AJ591" s="42"/>
      <c r="AK591" s="42"/>
      <c r="AL591" s="42"/>
      <c r="AM591" s="42"/>
      <c r="AN591" s="42"/>
      <c r="AO591" s="63" t="str">
        <f>IFERROR(__xludf.DUMMYFUNCTION("IF(ISBLANK(A591),,IF(ISBLANK(S591), A591&amp;"";"", TEXTJOIN(CHAR(10), TRUE, A591&amp;"";"", ARRAYFORMULA(VLOOKUP(SPLIT(S591, "";"" &amp; CHAR(10)), $A:$AO, 41, FALSE)))))"),"pVZ;
pVZs1;
pVZs1o;
pVZs1i;
pVZdm;
pVZpd;
pVZpv;
pVZpvo;
pVZpvi;")</f>
        <v>pVZ;
pVZs1;
pVZs1o;
pVZs1i;
pVZdm;
pVZpd;
pVZpv;
pVZpvo;
pVZpvi;</v>
      </c>
      <c r="AP591" s="89"/>
    </row>
    <row r="592">
      <c r="A592" s="151" t="str">
        <f>IFERROR(__xludf.DUMMYFUNCTION("""COMPUTED_VALUE"""),"pVZs1")</f>
        <v>pVZs1</v>
      </c>
      <c r="B592" s="42" t="str">
        <f>IFERROR(__xludf.DUMMYFUNCTION("""COMPUTED_VALUE"""),"DHBA")</f>
        <v>DHBA</v>
      </c>
      <c r="C592" s="42" t="str">
        <f>IFERROR(__xludf.DUMMYFUNCTION("""COMPUTED_VALUE"""),"VZ in primary somatosensory cortex")</f>
        <v>VZ in primary somatosensory cortex</v>
      </c>
      <c r="D592" s="42">
        <f>IFERROR(__xludf.DUMMYFUNCTION("""COMPUTED_VALUE"""),558.0)</f>
        <v>558</v>
      </c>
      <c r="E592" s="39" t="str">
        <f>IFERROR(__xludf.DUMMYFUNCTION("""COMPUTED_VALUE"""),"VZ in primary somatosensory cortex")</f>
        <v>VZ in primary somatosensory cortex</v>
      </c>
      <c r="F592" s="9" t="str">
        <f>IFERROR(__xludf.DUMMYFUNCTION("""COMPUTED_VALUE"""),"Br")</f>
        <v>Br</v>
      </c>
      <c r="G592" s="9" t="str">
        <f>IFERROR(__xludf.DUMMYFUNCTION("""COMPUTED_VALUE"""),"F")</f>
        <v>F</v>
      </c>
      <c r="H592" s="9" t="str">
        <f>IFERROR(__xludf.DUMMYFUNCTION("""COMPUTED_VALUE"""),"FGM")</f>
        <v>FGM</v>
      </c>
      <c r="I592" s="9" t="str">
        <f>IFERROR(__xludf.DUMMYFUNCTION("""COMPUTED_VALUE"""),"FTS")</f>
        <v>FTS</v>
      </c>
      <c r="J592" s="9" t="str">
        <f>IFERROR(__xludf.DUMMYFUNCTION("""COMPUTED_VALUE"""),"VZ")</f>
        <v>VZ</v>
      </c>
      <c r="K592" s="9" t="str">
        <f>IFERROR(__xludf.DUMMYFUNCTION("""COMPUTED_VALUE"""),"pVZ")</f>
        <v>pVZ</v>
      </c>
      <c r="L592" s="9" t="str">
        <f>IFERROR(__xludf.DUMMYFUNCTION("""COMPUTED_VALUE"""),"pVZs1")</f>
        <v>pVZs1</v>
      </c>
      <c r="M592" s="9"/>
      <c r="N592" s="9"/>
      <c r="O592" s="9"/>
      <c r="P592" s="9"/>
      <c r="Q592" s="9"/>
      <c r="R592" s="9"/>
      <c r="S592" s="42" t="str">
        <f>IFERROR(__xludf.DUMMYFUNCTION("""COMPUTED_VALUE"""),"pVZs1o;
pVZs1i")</f>
        <v>pVZs1o;
pVZs1i</v>
      </c>
      <c r="T592" s="42"/>
      <c r="U592" s="42" t="b">
        <f>IFERROR(__xludf.DUMMYFUNCTION("""COMPUTED_VALUE"""),FALSE)</f>
        <v>0</v>
      </c>
      <c r="V592" s="42"/>
      <c r="W592" s="42"/>
      <c r="X592" s="42"/>
      <c r="Y592" s="42"/>
      <c r="Z592" s="42"/>
      <c r="AA592" s="42"/>
      <c r="AB592" s="42" t="str">
        <f>IFERROR(__xludf.DUMMYFUNCTION("""COMPUTED_VALUE"""),"allen institute")</f>
        <v>allen institute</v>
      </c>
      <c r="AC592" s="42" t="str">
        <f>IFERROR(__xludf.DUMMYFUNCTION("""COMPUTED_VALUE"""),"DHBA")</f>
        <v>DHBA</v>
      </c>
      <c r="AD592" s="42"/>
      <c r="AE592" s="42"/>
      <c r="AF592" s="9"/>
      <c r="AG592" s="9"/>
      <c r="AH592" s="42"/>
      <c r="AI592" s="42"/>
      <c r="AJ592" s="42"/>
      <c r="AK592" s="42"/>
      <c r="AL592" s="42"/>
      <c r="AM592" s="42"/>
      <c r="AN592" s="42"/>
      <c r="AO592" s="63" t="str">
        <f>IFERROR(__xludf.DUMMYFUNCTION("IF(ISBLANK(A592),,IF(ISBLANK(S592), A592&amp;"";"", TEXTJOIN(CHAR(10), TRUE, A592&amp;"";"", ARRAYFORMULA(VLOOKUP(SPLIT(S592, "";"" &amp; CHAR(10)), $A:$AO, 41, FALSE)))))"),"pVZs1;
pVZs1o;
pVZs1i;")</f>
        <v>pVZs1;
pVZs1o;
pVZs1i;</v>
      </c>
      <c r="AP592" s="89"/>
    </row>
    <row r="593">
      <c r="A593" s="151" t="str">
        <f>IFERROR(__xludf.DUMMYFUNCTION("""COMPUTED_VALUE"""),"pVZs1o")</f>
        <v>pVZs1o</v>
      </c>
      <c r="B593" s="42" t="str">
        <f>IFERROR(__xludf.DUMMYFUNCTION("""COMPUTED_VALUE"""),"DHBA")</f>
        <v>DHBA</v>
      </c>
      <c r="C593" s="42" t="str">
        <f>IFERROR(__xludf.DUMMYFUNCTION("""COMPUTED_VALUE"""),"outer VZ in primary somatosensory cortex")</f>
        <v>outer VZ in primary somatosensory cortex</v>
      </c>
      <c r="D593" s="42">
        <f>IFERROR(__xludf.DUMMYFUNCTION("""COMPUTED_VALUE"""),559.0)</f>
        <v>559</v>
      </c>
      <c r="E593" s="39" t="str">
        <f>IFERROR(__xludf.DUMMYFUNCTION("""COMPUTED_VALUE"""),"outer VZ in primary somatosensory cortex")</f>
        <v>outer VZ in primary somatosensory cortex</v>
      </c>
      <c r="F593" s="9" t="str">
        <f>IFERROR(__xludf.DUMMYFUNCTION("""COMPUTED_VALUE"""),"Br")</f>
        <v>Br</v>
      </c>
      <c r="G593" s="9" t="str">
        <f>IFERROR(__xludf.DUMMYFUNCTION("""COMPUTED_VALUE"""),"F")</f>
        <v>F</v>
      </c>
      <c r="H593" s="9" t="str">
        <f>IFERROR(__xludf.DUMMYFUNCTION("""COMPUTED_VALUE"""),"FGM")</f>
        <v>FGM</v>
      </c>
      <c r="I593" s="9" t="str">
        <f>IFERROR(__xludf.DUMMYFUNCTION("""COMPUTED_VALUE"""),"FTS")</f>
        <v>FTS</v>
      </c>
      <c r="J593" s="9" t="str">
        <f>IFERROR(__xludf.DUMMYFUNCTION("""COMPUTED_VALUE"""),"VZ")</f>
        <v>VZ</v>
      </c>
      <c r="K593" s="9" t="str">
        <f>IFERROR(__xludf.DUMMYFUNCTION("""COMPUTED_VALUE"""),"pVZ")</f>
        <v>pVZ</v>
      </c>
      <c r="L593" s="9" t="str">
        <f>IFERROR(__xludf.DUMMYFUNCTION("""COMPUTED_VALUE"""),"pVZs1")</f>
        <v>pVZs1</v>
      </c>
      <c r="M593" s="9" t="str">
        <f>IFERROR(__xludf.DUMMYFUNCTION("""COMPUTED_VALUE"""),"pVZs1o")</f>
        <v>pVZs1o</v>
      </c>
      <c r="N593" s="9"/>
      <c r="O593" s="9"/>
      <c r="P593" s="9"/>
      <c r="Q593" s="9"/>
      <c r="R593" s="9"/>
      <c r="S593" s="42"/>
      <c r="T593" s="42"/>
      <c r="U593" s="42"/>
      <c r="V593" s="42"/>
      <c r="W593" s="42"/>
      <c r="X593" s="42"/>
      <c r="Y593" s="42"/>
      <c r="Z593" s="42"/>
      <c r="AA593" s="42"/>
      <c r="AB593" s="42" t="str">
        <f>IFERROR(__xludf.DUMMYFUNCTION("""COMPUTED_VALUE"""),"allen institute")</f>
        <v>allen institute</v>
      </c>
      <c r="AC593" s="42" t="str">
        <f>IFERROR(__xludf.DUMMYFUNCTION("""COMPUTED_VALUE"""),"DHBA")</f>
        <v>DHBA</v>
      </c>
      <c r="AD593" s="42"/>
      <c r="AE593" s="42"/>
      <c r="AF593" s="9"/>
      <c r="AG593" s="9"/>
      <c r="AH593" s="42"/>
      <c r="AI593" s="42"/>
      <c r="AJ593" s="42"/>
      <c r="AK593" s="42"/>
      <c r="AL593" s="42"/>
      <c r="AM593" s="42"/>
      <c r="AN593" s="42"/>
      <c r="AO593" s="63" t="str">
        <f>IFERROR(__xludf.DUMMYFUNCTION("IF(ISBLANK(A593),,IF(ISBLANK(S593), A593&amp;"";"", TEXTJOIN(CHAR(10), TRUE, A593&amp;"";"", ARRAYFORMULA(VLOOKUP(SPLIT(S593, "";"" &amp; CHAR(10)), $A:$AO, 41, FALSE)))))"),"pVZs1o;")</f>
        <v>pVZs1o;</v>
      </c>
      <c r="AP593" s="89"/>
    </row>
    <row r="594">
      <c r="A594" s="151" t="str">
        <f>IFERROR(__xludf.DUMMYFUNCTION("""COMPUTED_VALUE"""),"pVZs1i")</f>
        <v>pVZs1i</v>
      </c>
      <c r="B594" s="42" t="str">
        <f>IFERROR(__xludf.DUMMYFUNCTION("""COMPUTED_VALUE"""),"DHBA")</f>
        <v>DHBA</v>
      </c>
      <c r="C594" s="42" t="str">
        <f>IFERROR(__xludf.DUMMYFUNCTION("""COMPUTED_VALUE"""),"inner VZ in primary somatosensory cortex")</f>
        <v>inner VZ in primary somatosensory cortex</v>
      </c>
      <c r="D594" s="42">
        <f>IFERROR(__xludf.DUMMYFUNCTION("""COMPUTED_VALUE"""),560.0)</f>
        <v>560</v>
      </c>
      <c r="E594" s="39" t="str">
        <f>IFERROR(__xludf.DUMMYFUNCTION("""COMPUTED_VALUE"""),"inner VZ in primary somatosensory cortex")</f>
        <v>inner VZ in primary somatosensory cortex</v>
      </c>
      <c r="F594" s="9" t="str">
        <f>IFERROR(__xludf.DUMMYFUNCTION("""COMPUTED_VALUE"""),"Br")</f>
        <v>Br</v>
      </c>
      <c r="G594" s="9" t="str">
        <f>IFERROR(__xludf.DUMMYFUNCTION("""COMPUTED_VALUE"""),"F")</f>
        <v>F</v>
      </c>
      <c r="H594" s="9" t="str">
        <f>IFERROR(__xludf.DUMMYFUNCTION("""COMPUTED_VALUE"""),"FGM")</f>
        <v>FGM</v>
      </c>
      <c r="I594" s="9" t="str">
        <f>IFERROR(__xludf.DUMMYFUNCTION("""COMPUTED_VALUE"""),"FTS")</f>
        <v>FTS</v>
      </c>
      <c r="J594" s="9" t="str">
        <f>IFERROR(__xludf.DUMMYFUNCTION("""COMPUTED_VALUE"""),"VZ")</f>
        <v>VZ</v>
      </c>
      <c r="K594" s="9" t="str">
        <f>IFERROR(__xludf.DUMMYFUNCTION("""COMPUTED_VALUE"""),"pVZ")</f>
        <v>pVZ</v>
      </c>
      <c r="L594" s="9" t="str">
        <f>IFERROR(__xludf.DUMMYFUNCTION("""COMPUTED_VALUE"""),"pVZs1")</f>
        <v>pVZs1</v>
      </c>
      <c r="M594" s="9" t="str">
        <f>IFERROR(__xludf.DUMMYFUNCTION("""COMPUTED_VALUE"""),"pVZs1i")</f>
        <v>pVZs1i</v>
      </c>
      <c r="N594" s="9"/>
      <c r="O594" s="9"/>
      <c r="P594" s="9"/>
      <c r="Q594" s="9"/>
      <c r="R594" s="9"/>
      <c r="S594" s="42"/>
      <c r="T594" s="42"/>
      <c r="U594" s="42"/>
      <c r="V594" s="42"/>
      <c r="W594" s="42"/>
      <c r="X594" s="42"/>
      <c r="Y594" s="42"/>
      <c r="Z594" s="42"/>
      <c r="AA594" s="42"/>
      <c r="AB594" s="42" t="str">
        <f>IFERROR(__xludf.DUMMYFUNCTION("""COMPUTED_VALUE"""),"allen institute")</f>
        <v>allen institute</v>
      </c>
      <c r="AC594" s="42" t="str">
        <f>IFERROR(__xludf.DUMMYFUNCTION("""COMPUTED_VALUE"""),"DHBA")</f>
        <v>DHBA</v>
      </c>
      <c r="AD594" s="42"/>
      <c r="AE594" s="42"/>
      <c r="AF594" s="9"/>
      <c r="AG594" s="9"/>
      <c r="AH594" s="42"/>
      <c r="AI594" s="42"/>
      <c r="AJ594" s="42"/>
      <c r="AK594" s="42"/>
      <c r="AL594" s="42"/>
      <c r="AM594" s="42"/>
      <c r="AN594" s="42"/>
      <c r="AO594" s="63" t="str">
        <f>IFERROR(__xludf.DUMMYFUNCTION("IF(ISBLANK(A594),,IF(ISBLANK(S594), A594&amp;"";"", TEXTJOIN(CHAR(10), TRUE, A594&amp;"";"", ARRAYFORMULA(VLOOKUP(SPLIT(S594, "";"" &amp; CHAR(10)), $A:$AO, 41, FALSE)))))"),"pVZs1i;")</f>
        <v>pVZs1i;</v>
      </c>
      <c r="AP594" s="89"/>
    </row>
    <row r="595">
      <c r="A595" s="151" t="str">
        <f>IFERROR(__xludf.DUMMYFUNCTION("""COMPUTED_VALUE"""),"pVZdm")</f>
        <v>pVZdm</v>
      </c>
      <c r="B595" s="42" t="str">
        <f>IFERROR(__xludf.DUMMYFUNCTION("""COMPUTED_VALUE"""),"DHBA")</f>
        <v>DHBA</v>
      </c>
      <c r="C595" s="42" t="str">
        <f>IFERROR(__xludf.DUMMYFUNCTION("""COMPUTED_VALUE"""),"VZ in dorsomedial parietal cortex (area 7m)")</f>
        <v>VZ in dorsomedial parietal cortex (area 7m)</v>
      </c>
      <c r="D595" s="42">
        <f>IFERROR(__xludf.DUMMYFUNCTION("""COMPUTED_VALUE"""),561.0)</f>
        <v>561</v>
      </c>
      <c r="E595" s="39" t="str">
        <f>IFERROR(__xludf.DUMMYFUNCTION("""COMPUTED_VALUE"""),"VZ in dorsomedial parietal cortex (area 7m)")</f>
        <v>VZ in dorsomedial parietal cortex (area 7m)</v>
      </c>
      <c r="F595" s="9" t="str">
        <f>IFERROR(__xludf.DUMMYFUNCTION("""COMPUTED_VALUE"""),"Br")</f>
        <v>Br</v>
      </c>
      <c r="G595" s="9" t="str">
        <f>IFERROR(__xludf.DUMMYFUNCTION("""COMPUTED_VALUE"""),"F")</f>
        <v>F</v>
      </c>
      <c r="H595" s="9" t="str">
        <f>IFERROR(__xludf.DUMMYFUNCTION("""COMPUTED_VALUE"""),"FGM")</f>
        <v>FGM</v>
      </c>
      <c r="I595" s="9" t="str">
        <f>IFERROR(__xludf.DUMMYFUNCTION("""COMPUTED_VALUE"""),"FTS")</f>
        <v>FTS</v>
      </c>
      <c r="J595" s="9" t="str">
        <f>IFERROR(__xludf.DUMMYFUNCTION("""COMPUTED_VALUE"""),"VZ")</f>
        <v>VZ</v>
      </c>
      <c r="K595" s="9" t="str">
        <f>IFERROR(__xludf.DUMMYFUNCTION("""COMPUTED_VALUE"""),"pVZ")</f>
        <v>pVZ</v>
      </c>
      <c r="L595" s="9" t="str">
        <f>IFERROR(__xludf.DUMMYFUNCTION("""COMPUTED_VALUE"""),"pVZdm")</f>
        <v>pVZdm</v>
      </c>
      <c r="M595" s="9"/>
      <c r="N595" s="9"/>
      <c r="O595" s="9"/>
      <c r="P595" s="9"/>
      <c r="Q595" s="9"/>
      <c r="R595" s="9"/>
      <c r="S595" s="42"/>
      <c r="T595" s="42"/>
      <c r="U595" s="42"/>
      <c r="V595" s="42"/>
      <c r="W595" s="42"/>
      <c r="X595" s="42"/>
      <c r="Y595" s="42"/>
      <c r="Z595" s="42"/>
      <c r="AA595" s="42"/>
      <c r="AB595" s="42" t="str">
        <f>IFERROR(__xludf.DUMMYFUNCTION("""COMPUTED_VALUE"""),"allen institute")</f>
        <v>allen institute</v>
      </c>
      <c r="AC595" s="42" t="str">
        <f>IFERROR(__xludf.DUMMYFUNCTION("""COMPUTED_VALUE"""),"DHBA")</f>
        <v>DHBA</v>
      </c>
      <c r="AD595" s="42"/>
      <c r="AE595" s="42"/>
      <c r="AF595" s="9"/>
      <c r="AG595" s="9"/>
      <c r="AH595" s="42"/>
      <c r="AI595" s="42"/>
      <c r="AJ595" s="42"/>
      <c r="AK595" s="42"/>
      <c r="AL595" s="42"/>
      <c r="AM595" s="42"/>
      <c r="AN595" s="42"/>
      <c r="AO595" s="63" t="str">
        <f>IFERROR(__xludf.DUMMYFUNCTION("IF(ISBLANK(A595),,IF(ISBLANK(S595), A595&amp;"";"", TEXTJOIN(CHAR(10), TRUE, A595&amp;"";"", ARRAYFORMULA(VLOOKUP(SPLIT(S595, "";"" &amp; CHAR(10)), $A:$AO, 41, FALSE)))))"),"pVZdm;")</f>
        <v>pVZdm;</v>
      </c>
      <c r="AP595" s="89"/>
    </row>
    <row r="596">
      <c r="A596" s="151" t="str">
        <f>IFERROR(__xludf.DUMMYFUNCTION("""COMPUTED_VALUE"""),"pVZpd")</f>
        <v>pVZpd</v>
      </c>
      <c r="B596" s="42" t="str">
        <f>IFERROR(__xludf.DUMMYFUNCTION("""COMPUTED_VALUE"""),"DHBA")</f>
        <v>DHBA</v>
      </c>
      <c r="C596" s="42" t="str">
        <f>IFERROR(__xludf.DUMMYFUNCTION("""COMPUTED_VALUE"""),"VZ in posterosuperior (dorsal) parietal cortex")</f>
        <v>VZ in posterosuperior (dorsal) parietal cortex</v>
      </c>
      <c r="D596" s="42">
        <f>IFERROR(__xludf.DUMMYFUNCTION("""COMPUTED_VALUE"""),562.0)</f>
        <v>562</v>
      </c>
      <c r="E596" s="39" t="str">
        <f>IFERROR(__xludf.DUMMYFUNCTION("""COMPUTED_VALUE"""),"VZ in posterosuperior (dorsal) parietal cortex")</f>
        <v>VZ in posterosuperior (dorsal) parietal cortex</v>
      </c>
      <c r="F596" s="9" t="str">
        <f>IFERROR(__xludf.DUMMYFUNCTION("""COMPUTED_VALUE"""),"Br")</f>
        <v>Br</v>
      </c>
      <c r="G596" s="9" t="str">
        <f>IFERROR(__xludf.DUMMYFUNCTION("""COMPUTED_VALUE"""),"F")</f>
        <v>F</v>
      </c>
      <c r="H596" s="9" t="str">
        <f>IFERROR(__xludf.DUMMYFUNCTION("""COMPUTED_VALUE"""),"FGM")</f>
        <v>FGM</v>
      </c>
      <c r="I596" s="9" t="str">
        <f>IFERROR(__xludf.DUMMYFUNCTION("""COMPUTED_VALUE"""),"FTS")</f>
        <v>FTS</v>
      </c>
      <c r="J596" s="9" t="str">
        <f>IFERROR(__xludf.DUMMYFUNCTION("""COMPUTED_VALUE"""),"VZ")</f>
        <v>VZ</v>
      </c>
      <c r="K596" s="9" t="str">
        <f>IFERROR(__xludf.DUMMYFUNCTION("""COMPUTED_VALUE"""),"pVZ")</f>
        <v>pVZ</v>
      </c>
      <c r="L596" s="9" t="str">
        <f>IFERROR(__xludf.DUMMYFUNCTION("""COMPUTED_VALUE"""),"pVZpd")</f>
        <v>pVZpd</v>
      </c>
      <c r="M596" s="9"/>
      <c r="N596" s="9"/>
      <c r="O596" s="9"/>
      <c r="P596" s="9"/>
      <c r="Q596" s="9"/>
      <c r="R596" s="9"/>
      <c r="S596" s="42"/>
      <c r="T596" s="42"/>
      <c r="U596" s="42"/>
      <c r="V596" s="42"/>
      <c r="W596" s="42"/>
      <c r="X596" s="42"/>
      <c r="Y596" s="42"/>
      <c r="Z596" s="42"/>
      <c r="AA596" s="42"/>
      <c r="AB596" s="42" t="str">
        <f>IFERROR(__xludf.DUMMYFUNCTION("""COMPUTED_VALUE"""),"allen institute")</f>
        <v>allen institute</v>
      </c>
      <c r="AC596" s="42" t="str">
        <f>IFERROR(__xludf.DUMMYFUNCTION("""COMPUTED_VALUE"""),"DHBA")</f>
        <v>DHBA</v>
      </c>
      <c r="AD596" s="42"/>
      <c r="AE596" s="42"/>
      <c r="AF596" s="9"/>
      <c r="AG596" s="9"/>
      <c r="AH596" s="42"/>
      <c r="AI596" s="42"/>
      <c r="AJ596" s="42"/>
      <c r="AK596" s="42"/>
      <c r="AL596" s="42"/>
      <c r="AM596" s="42"/>
      <c r="AN596" s="42"/>
      <c r="AO596" s="63" t="str">
        <f>IFERROR(__xludf.DUMMYFUNCTION("IF(ISBLANK(A596),,IF(ISBLANK(S596), A596&amp;"";"", TEXTJOIN(CHAR(10), TRUE, A596&amp;"";"", ARRAYFORMULA(VLOOKUP(SPLIT(S596, "";"" &amp; CHAR(10)), $A:$AO, 41, FALSE)))))"),"pVZpd;")</f>
        <v>pVZpd;</v>
      </c>
      <c r="AP596" s="89"/>
    </row>
    <row r="597">
      <c r="A597" s="151" t="str">
        <f>IFERROR(__xludf.DUMMYFUNCTION("""COMPUTED_VALUE"""),"pVZpv")</f>
        <v>pVZpv</v>
      </c>
      <c r="B597" s="42" t="str">
        <f>IFERROR(__xludf.DUMMYFUNCTION("""COMPUTED_VALUE"""),"DHBA")</f>
        <v>DHBA</v>
      </c>
      <c r="C597" s="42" t="str">
        <f>IFERROR(__xludf.DUMMYFUNCTION("""COMPUTED_VALUE"""),"VZ in posteroinferior (ventral) parietal cortex")</f>
        <v>VZ in posteroinferior (ventral) parietal cortex</v>
      </c>
      <c r="D597" s="42">
        <f>IFERROR(__xludf.DUMMYFUNCTION("""COMPUTED_VALUE"""),563.0)</f>
        <v>563</v>
      </c>
      <c r="E597" s="39" t="str">
        <f>IFERROR(__xludf.DUMMYFUNCTION("""COMPUTED_VALUE"""),"VZ in posteroinferior (ventral) parietal cortex")</f>
        <v>VZ in posteroinferior (ventral) parietal cortex</v>
      </c>
      <c r="F597" s="9" t="str">
        <f>IFERROR(__xludf.DUMMYFUNCTION("""COMPUTED_VALUE"""),"Br")</f>
        <v>Br</v>
      </c>
      <c r="G597" s="9" t="str">
        <f>IFERROR(__xludf.DUMMYFUNCTION("""COMPUTED_VALUE"""),"F")</f>
        <v>F</v>
      </c>
      <c r="H597" s="9" t="str">
        <f>IFERROR(__xludf.DUMMYFUNCTION("""COMPUTED_VALUE"""),"FGM")</f>
        <v>FGM</v>
      </c>
      <c r="I597" s="9" t="str">
        <f>IFERROR(__xludf.DUMMYFUNCTION("""COMPUTED_VALUE"""),"FTS")</f>
        <v>FTS</v>
      </c>
      <c r="J597" s="9" t="str">
        <f>IFERROR(__xludf.DUMMYFUNCTION("""COMPUTED_VALUE"""),"VZ")</f>
        <v>VZ</v>
      </c>
      <c r="K597" s="9" t="str">
        <f>IFERROR(__xludf.DUMMYFUNCTION("""COMPUTED_VALUE"""),"pVZ")</f>
        <v>pVZ</v>
      </c>
      <c r="L597" s="9" t="str">
        <f>IFERROR(__xludf.DUMMYFUNCTION("""COMPUTED_VALUE"""),"pVZpv")</f>
        <v>pVZpv</v>
      </c>
      <c r="M597" s="9"/>
      <c r="N597" s="9"/>
      <c r="O597" s="9"/>
      <c r="P597" s="9"/>
      <c r="Q597" s="9"/>
      <c r="R597" s="9"/>
      <c r="S597" s="42" t="str">
        <f>IFERROR(__xludf.DUMMYFUNCTION("""COMPUTED_VALUE"""),"pVZpvo;
pVZpvi")</f>
        <v>pVZpvo;
pVZpvi</v>
      </c>
      <c r="T597" s="42"/>
      <c r="U597" s="42" t="b">
        <f>IFERROR(__xludf.DUMMYFUNCTION("""COMPUTED_VALUE"""),FALSE)</f>
        <v>0</v>
      </c>
      <c r="V597" s="42"/>
      <c r="W597" s="42"/>
      <c r="X597" s="42"/>
      <c r="Y597" s="42"/>
      <c r="Z597" s="42"/>
      <c r="AA597" s="42"/>
      <c r="AB597" s="42" t="str">
        <f>IFERROR(__xludf.DUMMYFUNCTION("""COMPUTED_VALUE"""),"allen institute")</f>
        <v>allen institute</v>
      </c>
      <c r="AC597" s="42" t="str">
        <f>IFERROR(__xludf.DUMMYFUNCTION("""COMPUTED_VALUE"""),"DHBA")</f>
        <v>DHBA</v>
      </c>
      <c r="AD597" s="42"/>
      <c r="AE597" s="42"/>
      <c r="AF597" s="9"/>
      <c r="AG597" s="9"/>
      <c r="AH597" s="42"/>
      <c r="AI597" s="42"/>
      <c r="AJ597" s="42"/>
      <c r="AK597" s="42"/>
      <c r="AL597" s="42"/>
      <c r="AM597" s="42"/>
      <c r="AN597" s="42"/>
      <c r="AO597" s="63" t="str">
        <f>IFERROR(__xludf.DUMMYFUNCTION("IF(ISBLANK(A597),,IF(ISBLANK(S597), A597&amp;"";"", TEXTJOIN(CHAR(10), TRUE, A597&amp;"";"", ARRAYFORMULA(VLOOKUP(SPLIT(S597, "";"" &amp; CHAR(10)), $A:$AO, 41, FALSE)))))"),"pVZpv;
pVZpvo;
pVZpvi;")</f>
        <v>pVZpv;
pVZpvo;
pVZpvi;</v>
      </c>
      <c r="AP597" s="89"/>
    </row>
    <row r="598">
      <c r="A598" s="151" t="str">
        <f>IFERROR(__xludf.DUMMYFUNCTION("""COMPUTED_VALUE"""),"pVZpvo")</f>
        <v>pVZpvo</v>
      </c>
      <c r="B598" s="42" t="str">
        <f>IFERROR(__xludf.DUMMYFUNCTION("""COMPUTED_VALUE"""),"DHBA")</f>
        <v>DHBA</v>
      </c>
      <c r="C598" s="42" t="str">
        <f>IFERROR(__xludf.DUMMYFUNCTION("""COMPUTED_VALUE"""),"outer VZ in posteroinferior (ventral) parietal cortex")</f>
        <v>outer VZ in posteroinferior (ventral) parietal cortex</v>
      </c>
      <c r="D598" s="42">
        <f>IFERROR(__xludf.DUMMYFUNCTION("""COMPUTED_VALUE"""),564.0)</f>
        <v>564</v>
      </c>
      <c r="E598" s="39" t="str">
        <f>IFERROR(__xludf.DUMMYFUNCTION("""COMPUTED_VALUE"""),"outer VZ in posteroinferior (ventral) parietal cortex")</f>
        <v>outer VZ in posteroinferior (ventral) parietal cortex</v>
      </c>
      <c r="F598" s="9" t="str">
        <f>IFERROR(__xludf.DUMMYFUNCTION("""COMPUTED_VALUE"""),"Br")</f>
        <v>Br</v>
      </c>
      <c r="G598" s="9" t="str">
        <f>IFERROR(__xludf.DUMMYFUNCTION("""COMPUTED_VALUE"""),"F")</f>
        <v>F</v>
      </c>
      <c r="H598" s="9" t="str">
        <f>IFERROR(__xludf.DUMMYFUNCTION("""COMPUTED_VALUE"""),"FGM")</f>
        <v>FGM</v>
      </c>
      <c r="I598" s="9" t="str">
        <f>IFERROR(__xludf.DUMMYFUNCTION("""COMPUTED_VALUE"""),"FTS")</f>
        <v>FTS</v>
      </c>
      <c r="J598" s="9" t="str">
        <f>IFERROR(__xludf.DUMMYFUNCTION("""COMPUTED_VALUE"""),"VZ")</f>
        <v>VZ</v>
      </c>
      <c r="K598" s="9" t="str">
        <f>IFERROR(__xludf.DUMMYFUNCTION("""COMPUTED_VALUE"""),"pVZ")</f>
        <v>pVZ</v>
      </c>
      <c r="L598" s="9" t="str">
        <f>IFERROR(__xludf.DUMMYFUNCTION("""COMPUTED_VALUE"""),"pVZpv")</f>
        <v>pVZpv</v>
      </c>
      <c r="M598" s="9" t="str">
        <f>IFERROR(__xludf.DUMMYFUNCTION("""COMPUTED_VALUE"""),"pVZpvo")</f>
        <v>pVZpvo</v>
      </c>
      <c r="N598" s="9"/>
      <c r="O598" s="9"/>
      <c r="P598" s="9"/>
      <c r="Q598" s="9"/>
      <c r="R598" s="9"/>
      <c r="S598" s="42"/>
      <c r="T598" s="42"/>
      <c r="U598" s="42"/>
      <c r="V598" s="42"/>
      <c r="W598" s="42"/>
      <c r="X598" s="42"/>
      <c r="Y598" s="42"/>
      <c r="Z598" s="42"/>
      <c r="AA598" s="42"/>
      <c r="AB598" s="42" t="str">
        <f>IFERROR(__xludf.DUMMYFUNCTION("""COMPUTED_VALUE"""),"allen institute")</f>
        <v>allen institute</v>
      </c>
      <c r="AC598" s="42" t="str">
        <f>IFERROR(__xludf.DUMMYFUNCTION("""COMPUTED_VALUE"""),"DHBA")</f>
        <v>DHBA</v>
      </c>
      <c r="AD598" s="42"/>
      <c r="AE598" s="42"/>
      <c r="AF598" s="9"/>
      <c r="AG598" s="9"/>
      <c r="AH598" s="42"/>
      <c r="AI598" s="42"/>
      <c r="AJ598" s="42"/>
      <c r="AK598" s="42"/>
      <c r="AL598" s="42"/>
      <c r="AM598" s="42"/>
      <c r="AN598" s="42"/>
      <c r="AO598" s="63" t="str">
        <f>IFERROR(__xludf.DUMMYFUNCTION("IF(ISBLANK(A598),,IF(ISBLANK(S598), A598&amp;"";"", TEXTJOIN(CHAR(10), TRUE, A598&amp;"";"", ARRAYFORMULA(VLOOKUP(SPLIT(S598, "";"" &amp; CHAR(10)), $A:$AO, 41, FALSE)))))"),"pVZpvo;")</f>
        <v>pVZpvo;</v>
      </c>
      <c r="AP598" s="89"/>
    </row>
    <row r="599">
      <c r="A599" s="151" t="str">
        <f>IFERROR(__xludf.DUMMYFUNCTION("""COMPUTED_VALUE"""),"pVZpvi")</f>
        <v>pVZpvi</v>
      </c>
      <c r="B599" s="42" t="str">
        <f>IFERROR(__xludf.DUMMYFUNCTION("""COMPUTED_VALUE"""),"DHBA")</f>
        <v>DHBA</v>
      </c>
      <c r="C599" s="42" t="str">
        <f>IFERROR(__xludf.DUMMYFUNCTION("""COMPUTED_VALUE"""),"inner VZ in posteroinferior (ventral) parietal cortex")</f>
        <v>inner VZ in posteroinferior (ventral) parietal cortex</v>
      </c>
      <c r="D599" s="42">
        <f>IFERROR(__xludf.DUMMYFUNCTION("""COMPUTED_VALUE"""),565.0)</f>
        <v>565</v>
      </c>
      <c r="E599" s="39" t="str">
        <f>IFERROR(__xludf.DUMMYFUNCTION("""COMPUTED_VALUE"""),"inner VZ in posteroinferior (ventral) parietal cortex")</f>
        <v>inner VZ in posteroinferior (ventral) parietal cortex</v>
      </c>
      <c r="F599" s="9" t="str">
        <f>IFERROR(__xludf.DUMMYFUNCTION("""COMPUTED_VALUE"""),"Br")</f>
        <v>Br</v>
      </c>
      <c r="G599" s="9" t="str">
        <f>IFERROR(__xludf.DUMMYFUNCTION("""COMPUTED_VALUE"""),"F")</f>
        <v>F</v>
      </c>
      <c r="H599" s="9" t="str">
        <f>IFERROR(__xludf.DUMMYFUNCTION("""COMPUTED_VALUE"""),"FGM")</f>
        <v>FGM</v>
      </c>
      <c r="I599" s="9" t="str">
        <f>IFERROR(__xludf.DUMMYFUNCTION("""COMPUTED_VALUE"""),"FTS")</f>
        <v>FTS</v>
      </c>
      <c r="J599" s="9" t="str">
        <f>IFERROR(__xludf.DUMMYFUNCTION("""COMPUTED_VALUE"""),"VZ")</f>
        <v>VZ</v>
      </c>
      <c r="K599" s="9" t="str">
        <f>IFERROR(__xludf.DUMMYFUNCTION("""COMPUTED_VALUE"""),"pVZ")</f>
        <v>pVZ</v>
      </c>
      <c r="L599" s="9" t="str">
        <f>IFERROR(__xludf.DUMMYFUNCTION("""COMPUTED_VALUE"""),"pVZpv")</f>
        <v>pVZpv</v>
      </c>
      <c r="M599" s="9" t="str">
        <f>IFERROR(__xludf.DUMMYFUNCTION("""COMPUTED_VALUE"""),"pVZpvi")</f>
        <v>pVZpvi</v>
      </c>
      <c r="N599" s="9"/>
      <c r="O599" s="9"/>
      <c r="P599" s="9"/>
      <c r="Q599" s="9"/>
      <c r="R599" s="9"/>
      <c r="S599" s="42"/>
      <c r="T599" s="42"/>
      <c r="U599" s="42"/>
      <c r="V599" s="42"/>
      <c r="W599" s="42"/>
      <c r="X599" s="42"/>
      <c r="Y599" s="42"/>
      <c r="Z599" s="42"/>
      <c r="AA599" s="42"/>
      <c r="AB599" s="42" t="str">
        <f>IFERROR(__xludf.DUMMYFUNCTION("""COMPUTED_VALUE"""),"allen institute")</f>
        <v>allen institute</v>
      </c>
      <c r="AC599" s="42" t="str">
        <f>IFERROR(__xludf.DUMMYFUNCTION("""COMPUTED_VALUE"""),"DHBA")</f>
        <v>DHBA</v>
      </c>
      <c r="AD599" s="42"/>
      <c r="AE599" s="42"/>
      <c r="AF599" s="9"/>
      <c r="AG599" s="9"/>
      <c r="AH599" s="42"/>
      <c r="AI599" s="42"/>
      <c r="AJ599" s="42"/>
      <c r="AK599" s="42"/>
      <c r="AL599" s="42"/>
      <c r="AM599" s="42"/>
      <c r="AN599" s="42"/>
      <c r="AO599" s="63" t="str">
        <f>IFERROR(__xludf.DUMMYFUNCTION("IF(ISBLANK(A599),,IF(ISBLANK(S599), A599&amp;"";"", TEXTJOIN(CHAR(10), TRUE, A599&amp;"";"", ARRAYFORMULA(VLOOKUP(SPLIT(S599, "";"" &amp; CHAR(10)), $A:$AO, 41, FALSE)))))"),"pVZpvi;")</f>
        <v>pVZpvi;</v>
      </c>
      <c r="AP599" s="89"/>
    </row>
    <row r="600">
      <c r="A600" s="151" t="str">
        <f>IFERROR(__xludf.DUMMYFUNCTION("""COMPUTED_VALUE"""),"tVZ")</f>
        <v>tVZ</v>
      </c>
      <c r="B600" s="42" t="str">
        <f>IFERROR(__xludf.DUMMYFUNCTION("""COMPUTED_VALUE"""),"DHBA")</f>
        <v>DHBA</v>
      </c>
      <c r="C600" s="42" t="str">
        <f>IFERROR(__xludf.DUMMYFUNCTION("""COMPUTED_VALUE"""),"VZ in temporal neocortex")</f>
        <v>VZ in temporal neocortex</v>
      </c>
      <c r="D600" s="42">
        <f>IFERROR(__xludf.DUMMYFUNCTION("""COMPUTED_VALUE"""),566.0)</f>
        <v>566</v>
      </c>
      <c r="E600" s="39" t="str">
        <f>IFERROR(__xludf.DUMMYFUNCTION("""COMPUTED_VALUE"""),"VZ in temporal neocortex")</f>
        <v>VZ in temporal neocortex</v>
      </c>
      <c r="F600" s="9" t="str">
        <f>IFERROR(__xludf.DUMMYFUNCTION("""COMPUTED_VALUE"""),"Br")</f>
        <v>Br</v>
      </c>
      <c r="G600" s="9" t="str">
        <f>IFERROR(__xludf.DUMMYFUNCTION("""COMPUTED_VALUE"""),"F")</f>
        <v>F</v>
      </c>
      <c r="H600" s="9" t="str">
        <f>IFERROR(__xludf.DUMMYFUNCTION("""COMPUTED_VALUE"""),"FGM")</f>
        <v>FGM</v>
      </c>
      <c r="I600" s="9" t="str">
        <f>IFERROR(__xludf.DUMMYFUNCTION("""COMPUTED_VALUE"""),"FTS")</f>
        <v>FTS</v>
      </c>
      <c r="J600" s="9" t="str">
        <f>IFERROR(__xludf.DUMMYFUNCTION("""COMPUTED_VALUE"""),"VZ")</f>
        <v>VZ</v>
      </c>
      <c r="K600" s="9" t="str">
        <f>IFERROR(__xludf.DUMMYFUNCTION("""COMPUTED_VALUE"""),"tVZ")</f>
        <v>tVZ</v>
      </c>
      <c r="L600" s="9"/>
      <c r="M600" s="9"/>
      <c r="N600" s="9"/>
      <c r="O600" s="9"/>
      <c r="P600" s="9"/>
      <c r="Q600" s="9"/>
      <c r="R600" s="9"/>
      <c r="S600" s="42" t="str">
        <f>IFERROR(__xludf.DUMMYFUNCTION("""COMPUTED_VALUE"""),"tVZdl;
tVZvl;
tVZph;
tVZmt;
tVZlt;
tVZtp")</f>
        <v>tVZdl;
tVZvl;
tVZph;
tVZmt;
tVZlt;
tVZtp</v>
      </c>
      <c r="T600" s="42"/>
      <c r="U600" s="42" t="b">
        <f>IFERROR(__xludf.DUMMYFUNCTION("""COMPUTED_VALUE"""),FALSE)</f>
        <v>0</v>
      </c>
      <c r="V600" s="42"/>
      <c r="W600" s="42"/>
      <c r="X600" s="42"/>
      <c r="Y600" s="42"/>
      <c r="Z600" s="42"/>
      <c r="AA600" s="42"/>
      <c r="AB600" s="42" t="str">
        <f>IFERROR(__xludf.DUMMYFUNCTION("""COMPUTED_VALUE"""),"allen institute")</f>
        <v>allen institute</v>
      </c>
      <c r="AC600" s="42" t="str">
        <f>IFERROR(__xludf.DUMMYFUNCTION("""COMPUTED_VALUE"""),"DHBA")</f>
        <v>DHBA</v>
      </c>
      <c r="AD600" s="42"/>
      <c r="AE600" s="42"/>
      <c r="AF600" s="9"/>
      <c r="AG600" s="9"/>
      <c r="AH600" s="42"/>
      <c r="AI600" s="42"/>
      <c r="AJ600" s="42"/>
      <c r="AK600" s="42"/>
      <c r="AL600" s="42"/>
      <c r="AM600" s="42"/>
      <c r="AN600" s="42"/>
      <c r="AO600" s="63" t="str">
        <f>IFERROR(__xludf.DUMMYFUNCTION("IF(ISBLANK(A600),,IF(ISBLANK(S600), A600&amp;"";"", TEXTJOIN(CHAR(10), TRUE, A600&amp;"";"", ARRAYFORMULA(VLOOKUP(SPLIT(S600, "";"" &amp; CHAR(10)), $A:$AO, 41, FALSE)))))"),"tVZ;
tVZdl;
tVZa1;
tVZsl;
tVZps;
tVZpi;
tVZvl;
tVZml;
tVZil;
tVZilo;
tVZili;
tVZmi;
tVZ36;
tVZtf;
tVZtfo;
tVZtfi;
tVZph;
tVZpho;
tVZphi;
tVZmt;
tVZlt;
tVZtp;")</f>
        <v>tVZ;
tVZdl;
tVZa1;
tVZsl;
tVZps;
tVZpi;
tVZvl;
tVZml;
tVZil;
tVZilo;
tVZili;
tVZmi;
tVZ36;
tVZtf;
tVZtfo;
tVZtfi;
tVZph;
tVZpho;
tVZphi;
tVZmt;
tVZlt;
tVZtp;</v>
      </c>
      <c r="AP600" s="89"/>
    </row>
    <row r="601">
      <c r="A601" s="151" t="str">
        <f>IFERROR(__xludf.DUMMYFUNCTION("""COMPUTED_VALUE"""),"tVZdl")</f>
        <v>tVZdl</v>
      </c>
      <c r="B601" s="42" t="str">
        <f>IFERROR(__xludf.DUMMYFUNCTION("""COMPUTED_VALUE"""),"DHBA")</f>
        <v>DHBA</v>
      </c>
      <c r="C601" s="42" t="str">
        <f>IFERROR(__xludf.DUMMYFUNCTION("""COMPUTED_VALUE"""),"VZ in dorsolateral temporal cortex")</f>
        <v>VZ in dorsolateral temporal cortex</v>
      </c>
      <c r="D601" s="42">
        <f>IFERROR(__xludf.DUMMYFUNCTION("""COMPUTED_VALUE"""),567.0)</f>
        <v>567</v>
      </c>
      <c r="E601" s="39" t="str">
        <f>IFERROR(__xludf.DUMMYFUNCTION("""COMPUTED_VALUE"""),"VZ in dorsolateral temporal cortex")</f>
        <v>VZ in dorsolateral temporal cortex</v>
      </c>
      <c r="F601" s="9" t="str">
        <f>IFERROR(__xludf.DUMMYFUNCTION("""COMPUTED_VALUE"""),"Br")</f>
        <v>Br</v>
      </c>
      <c r="G601" s="9" t="str">
        <f>IFERROR(__xludf.DUMMYFUNCTION("""COMPUTED_VALUE"""),"F")</f>
        <v>F</v>
      </c>
      <c r="H601" s="9" t="str">
        <f>IFERROR(__xludf.DUMMYFUNCTION("""COMPUTED_VALUE"""),"FGM")</f>
        <v>FGM</v>
      </c>
      <c r="I601" s="9" t="str">
        <f>IFERROR(__xludf.DUMMYFUNCTION("""COMPUTED_VALUE"""),"FTS")</f>
        <v>FTS</v>
      </c>
      <c r="J601" s="9" t="str">
        <f>IFERROR(__xludf.DUMMYFUNCTION("""COMPUTED_VALUE"""),"VZ")</f>
        <v>VZ</v>
      </c>
      <c r="K601" s="9" t="str">
        <f>IFERROR(__xludf.DUMMYFUNCTION("""COMPUTED_VALUE"""),"tVZ")</f>
        <v>tVZ</v>
      </c>
      <c r="L601" s="9" t="str">
        <f>IFERROR(__xludf.DUMMYFUNCTION("""COMPUTED_VALUE"""),"tVZdl")</f>
        <v>tVZdl</v>
      </c>
      <c r="M601" s="9"/>
      <c r="N601" s="9"/>
      <c r="O601" s="9"/>
      <c r="P601" s="9"/>
      <c r="Q601" s="9"/>
      <c r="R601" s="9"/>
      <c r="S601" s="42" t="str">
        <f>IFERROR(__xludf.DUMMYFUNCTION("""COMPUTED_VALUE"""),"tVZa1;
tVZsl;
tVZps;
tVZpi")</f>
        <v>tVZa1;
tVZsl;
tVZps;
tVZpi</v>
      </c>
      <c r="T601" s="42"/>
      <c r="U601" s="42" t="b">
        <f>IFERROR(__xludf.DUMMYFUNCTION("""COMPUTED_VALUE"""),FALSE)</f>
        <v>0</v>
      </c>
      <c r="V601" s="42"/>
      <c r="W601" s="42"/>
      <c r="X601" s="42"/>
      <c r="Y601" s="42"/>
      <c r="Z601" s="42"/>
      <c r="AA601" s="42"/>
      <c r="AB601" s="42" t="str">
        <f>IFERROR(__xludf.DUMMYFUNCTION("""COMPUTED_VALUE"""),"allen institute")</f>
        <v>allen institute</v>
      </c>
      <c r="AC601" s="42" t="str">
        <f>IFERROR(__xludf.DUMMYFUNCTION("""COMPUTED_VALUE"""),"DHBA")</f>
        <v>DHBA</v>
      </c>
      <c r="AD601" s="42"/>
      <c r="AE601" s="42"/>
      <c r="AF601" s="9"/>
      <c r="AG601" s="9"/>
      <c r="AH601" s="42"/>
      <c r="AI601" s="42"/>
      <c r="AJ601" s="42"/>
      <c r="AK601" s="42"/>
      <c r="AL601" s="42"/>
      <c r="AM601" s="42"/>
      <c r="AN601" s="42"/>
      <c r="AO601" s="63" t="str">
        <f>IFERROR(__xludf.DUMMYFUNCTION("IF(ISBLANK(A601),,IF(ISBLANK(S601), A601&amp;"";"", TEXTJOIN(CHAR(10), TRUE, A601&amp;"";"", ARRAYFORMULA(VLOOKUP(SPLIT(S601, "";"" &amp; CHAR(10)), $A:$AO, 41, FALSE)))))"),"tVZdl;
tVZa1;
tVZsl;
tVZps;
tVZpi;")</f>
        <v>tVZdl;
tVZa1;
tVZsl;
tVZps;
tVZpi;</v>
      </c>
      <c r="AP601" s="89"/>
    </row>
    <row r="602">
      <c r="A602" s="151" t="str">
        <f>IFERROR(__xludf.DUMMYFUNCTION("""COMPUTED_VALUE"""),"tVZa1")</f>
        <v>tVZa1</v>
      </c>
      <c r="B602" s="42" t="str">
        <f>IFERROR(__xludf.DUMMYFUNCTION("""COMPUTED_VALUE"""),"DHBA")</f>
        <v>DHBA</v>
      </c>
      <c r="C602" s="42" t="str">
        <f>IFERROR(__xludf.DUMMYFUNCTION("""COMPUTED_VALUE"""),"VZ in primary auditory cortex")</f>
        <v>VZ in primary auditory cortex</v>
      </c>
      <c r="D602" s="42">
        <f>IFERROR(__xludf.DUMMYFUNCTION("""COMPUTED_VALUE"""),568.0)</f>
        <v>568</v>
      </c>
      <c r="E602" s="39" t="str">
        <f>IFERROR(__xludf.DUMMYFUNCTION("""COMPUTED_VALUE"""),"VZ in primary auditory cortex")</f>
        <v>VZ in primary auditory cortex</v>
      </c>
      <c r="F602" s="9" t="str">
        <f>IFERROR(__xludf.DUMMYFUNCTION("""COMPUTED_VALUE"""),"Br")</f>
        <v>Br</v>
      </c>
      <c r="G602" s="9" t="str">
        <f>IFERROR(__xludf.DUMMYFUNCTION("""COMPUTED_VALUE"""),"F")</f>
        <v>F</v>
      </c>
      <c r="H602" s="9" t="str">
        <f>IFERROR(__xludf.DUMMYFUNCTION("""COMPUTED_VALUE"""),"FGM")</f>
        <v>FGM</v>
      </c>
      <c r="I602" s="9" t="str">
        <f>IFERROR(__xludf.DUMMYFUNCTION("""COMPUTED_VALUE"""),"FTS")</f>
        <v>FTS</v>
      </c>
      <c r="J602" s="9" t="str">
        <f>IFERROR(__xludf.DUMMYFUNCTION("""COMPUTED_VALUE"""),"VZ")</f>
        <v>VZ</v>
      </c>
      <c r="K602" s="9" t="str">
        <f>IFERROR(__xludf.DUMMYFUNCTION("""COMPUTED_VALUE"""),"tVZ")</f>
        <v>tVZ</v>
      </c>
      <c r="L602" s="9" t="str">
        <f>IFERROR(__xludf.DUMMYFUNCTION("""COMPUTED_VALUE"""),"tVZdl")</f>
        <v>tVZdl</v>
      </c>
      <c r="M602" s="9" t="str">
        <f>IFERROR(__xludf.DUMMYFUNCTION("""COMPUTED_VALUE"""),"tVZa1")</f>
        <v>tVZa1</v>
      </c>
      <c r="N602" s="9"/>
      <c r="O602" s="9"/>
      <c r="P602" s="9"/>
      <c r="Q602" s="9"/>
      <c r="R602" s="9"/>
      <c r="S602" s="42"/>
      <c r="T602" s="42"/>
      <c r="U602" s="159"/>
      <c r="V602" s="42"/>
      <c r="W602" s="42"/>
      <c r="X602" s="42"/>
      <c r="Y602" s="42"/>
      <c r="Z602" s="42"/>
      <c r="AA602" s="42"/>
      <c r="AB602" s="42" t="str">
        <f>IFERROR(__xludf.DUMMYFUNCTION("""COMPUTED_VALUE"""),"allen institute")</f>
        <v>allen institute</v>
      </c>
      <c r="AC602" s="42" t="str">
        <f>IFERROR(__xludf.DUMMYFUNCTION("""COMPUTED_VALUE"""),"DHBA")</f>
        <v>DHBA</v>
      </c>
      <c r="AD602" s="42"/>
      <c r="AE602" s="42"/>
      <c r="AF602" s="9"/>
      <c r="AG602" s="9"/>
      <c r="AH602" s="42"/>
      <c r="AI602" s="42"/>
      <c r="AJ602" s="42"/>
      <c r="AK602" s="42"/>
      <c r="AL602" s="42"/>
      <c r="AM602" s="42"/>
      <c r="AN602" s="42"/>
      <c r="AO602" s="63" t="str">
        <f>IFERROR(__xludf.DUMMYFUNCTION("IF(ISBLANK(A602),,IF(ISBLANK(S602), A602&amp;"";"", TEXTJOIN(CHAR(10), TRUE, A602&amp;"";"", ARRAYFORMULA(VLOOKUP(SPLIT(S602, "";"" &amp; CHAR(10)), $A:$AO, 41, FALSE)))))"),"tVZa1;")</f>
        <v>tVZa1;</v>
      </c>
      <c r="AP602" s="89"/>
    </row>
    <row r="603">
      <c r="A603" s="151" t="str">
        <f>IFERROR(__xludf.DUMMYFUNCTION("""COMPUTED_VALUE"""),"tVZsl")</f>
        <v>tVZsl</v>
      </c>
      <c r="B603" s="42" t="str">
        <f>IFERROR(__xludf.DUMMYFUNCTION("""COMPUTED_VALUE"""),"DHBA")</f>
        <v>DHBA</v>
      </c>
      <c r="C603" s="42" t="str">
        <f>IFERROR(__xludf.DUMMYFUNCTION("""COMPUTED_VALUE"""),"VZ in superolateral temporal cortex")</f>
        <v>VZ in superolateral temporal cortex</v>
      </c>
      <c r="D603" s="42">
        <f>IFERROR(__xludf.DUMMYFUNCTION("""COMPUTED_VALUE"""),569.0)</f>
        <v>569</v>
      </c>
      <c r="E603" s="39" t="str">
        <f>IFERROR(__xludf.DUMMYFUNCTION("""COMPUTED_VALUE"""),"VZ in superolateral temporal cortex")</f>
        <v>VZ in superolateral temporal cortex</v>
      </c>
      <c r="F603" s="9" t="str">
        <f>IFERROR(__xludf.DUMMYFUNCTION("""COMPUTED_VALUE"""),"Br")</f>
        <v>Br</v>
      </c>
      <c r="G603" s="9" t="str">
        <f>IFERROR(__xludf.DUMMYFUNCTION("""COMPUTED_VALUE"""),"F")</f>
        <v>F</v>
      </c>
      <c r="H603" s="9" t="str">
        <f>IFERROR(__xludf.DUMMYFUNCTION("""COMPUTED_VALUE"""),"FGM")</f>
        <v>FGM</v>
      </c>
      <c r="I603" s="9" t="str">
        <f>IFERROR(__xludf.DUMMYFUNCTION("""COMPUTED_VALUE"""),"FTS")</f>
        <v>FTS</v>
      </c>
      <c r="J603" s="9" t="str">
        <f>IFERROR(__xludf.DUMMYFUNCTION("""COMPUTED_VALUE"""),"VZ")</f>
        <v>VZ</v>
      </c>
      <c r="K603" s="9" t="str">
        <f>IFERROR(__xludf.DUMMYFUNCTION("""COMPUTED_VALUE"""),"tVZ")</f>
        <v>tVZ</v>
      </c>
      <c r="L603" s="9" t="str">
        <f>IFERROR(__xludf.DUMMYFUNCTION("""COMPUTED_VALUE"""),"tVZdl")</f>
        <v>tVZdl</v>
      </c>
      <c r="M603" s="9" t="str">
        <f>IFERROR(__xludf.DUMMYFUNCTION("""COMPUTED_VALUE"""),"tVZsl")</f>
        <v>tVZsl</v>
      </c>
      <c r="N603" s="9"/>
      <c r="O603" s="9"/>
      <c r="P603" s="9"/>
      <c r="Q603" s="9"/>
      <c r="R603" s="9"/>
      <c r="S603" s="42"/>
      <c r="T603" s="42"/>
      <c r="U603" s="159"/>
      <c r="V603" s="42"/>
      <c r="W603" s="42"/>
      <c r="X603" s="42"/>
      <c r="Y603" s="42"/>
      <c r="Z603" s="42"/>
      <c r="AA603" s="42"/>
      <c r="AB603" s="42" t="str">
        <f>IFERROR(__xludf.DUMMYFUNCTION("""COMPUTED_VALUE"""),"allen institute")</f>
        <v>allen institute</v>
      </c>
      <c r="AC603" s="42" t="str">
        <f>IFERROR(__xludf.DUMMYFUNCTION("""COMPUTED_VALUE"""),"DHBA")</f>
        <v>DHBA</v>
      </c>
      <c r="AD603" s="42"/>
      <c r="AE603" s="42"/>
      <c r="AF603" s="9"/>
      <c r="AG603" s="9"/>
      <c r="AH603" s="42"/>
      <c r="AI603" s="42"/>
      <c r="AJ603" s="42"/>
      <c r="AK603" s="42"/>
      <c r="AL603" s="42"/>
      <c r="AM603" s="42"/>
      <c r="AN603" s="42"/>
      <c r="AO603" s="63" t="str">
        <f>IFERROR(__xludf.DUMMYFUNCTION("IF(ISBLANK(A603),,IF(ISBLANK(S603), A603&amp;"";"", TEXTJOIN(CHAR(10), TRUE, A603&amp;"";"", ARRAYFORMULA(VLOOKUP(SPLIT(S603, "";"" &amp; CHAR(10)), $A:$AO, 41, FALSE)))))"),"tVZsl;")</f>
        <v>tVZsl;</v>
      </c>
      <c r="AP603" s="89"/>
    </row>
    <row r="604">
      <c r="A604" s="151" t="str">
        <f>IFERROR(__xludf.DUMMYFUNCTION("""COMPUTED_VALUE"""),"tVZps")</f>
        <v>tVZps</v>
      </c>
      <c r="B604" s="42" t="str">
        <f>IFERROR(__xludf.DUMMYFUNCTION("""COMPUTED_VALUE"""),"DHBA")</f>
        <v>DHBA</v>
      </c>
      <c r="C604" s="42" t="str">
        <f>IFERROR(__xludf.DUMMYFUNCTION("""COMPUTED_VALUE"""),"VZ in polysensory temporal cortex")</f>
        <v>VZ in polysensory temporal cortex</v>
      </c>
      <c r="D604" s="42">
        <f>IFERROR(__xludf.DUMMYFUNCTION("""COMPUTED_VALUE"""),570.0)</f>
        <v>570</v>
      </c>
      <c r="E604" s="39" t="str">
        <f>IFERROR(__xludf.DUMMYFUNCTION("""COMPUTED_VALUE"""),"VZ in polysensory temporal cortex")</f>
        <v>VZ in polysensory temporal cortex</v>
      </c>
      <c r="F604" s="9" t="str">
        <f>IFERROR(__xludf.DUMMYFUNCTION("""COMPUTED_VALUE"""),"Br")</f>
        <v>Br</v>
      </c>
      <c r="G604" s="9" t="str">
        <f>IFERROR(__xludf.DUMMYFUNCTION("""COMPUTED_VALUE"""),"F")</f>
        <v>F</v>
      </c>
      <c r="H604" s="9" t="str">
        <f>IFERROR(__xludf.DUMMYFUNCTION("""COMPUTED_VALUE"""),"FGM")</f>
        <v>FGM</v>
      </c>
      <c r="I604" s="9" t="str">
        <f>IFERROR(__xludf.DUMMYFUNCTION("""COMPUTED_VALUE"""),"FTS")</f>
        <v>FTS</v>
      </c>
      <c r="J604" s="9" t="str">
        <f>IFERROR(__xludf.DUMMYFUNCTION("""COMPUTED_VALUE"""),"VZ")</f>
        <v>VZ</v>
      </c>
      <c r="K604" s="9" t="str">
        <f>IFERROR(__xludf.DUMMYFUNCTION("""COMPUTED_VALUE"""),"tVZ")</f>
        <v>tVZ</v>
      </c>
      <c r="L604" s="9" t="str">
        <f>IFERROR(__xludf.DUMMYFUNCTION("""COMPUTED_VALUE"""),"tVZdl")</f>
        <v>tVZdl</v>
      </c>
      <c r="M604" s="9" t="str">
        <f>IFERROR(__xludf.DUMMYFUNCTION("""COMPUTED_VALUE"""),"tVZps")</f>
        <v>tVZps</v>
      </c>
      <c r="N604" s="9"/>
      <c r="O604" s="9"/>
      <c r="P604" s="9"/>
      <c r="Q604" s="9"/>
      <c r="R604" s="9"/>
      <c r="S604" s="42"/>
      <c r="T604" s="42"/>
      <c r="U604" s="159"/>
      <c r="V604" s="42"/>
      <c r="W604" s="42"/>
      <c r="X604" s="42"/>
      <c r="Y604" s="42"/>
      <c r="Z604" s="42"/>
      <c r="AA604" s="42"/>
      <c r="AB604" s="42" t="str">
        <f>IFERROR(__xludf.DUMMYFUNCTION("""COMPUTED_VALUE"""),"allen institute")</f>
        <v>allen institute</v>
      </c>
      <c r="AC604" s="42" t="str">
        <f>IFERROR(__xludf.DUMMYFUNCTION("""COMPUTED_VALUE"""),"DHBA")</f>
        <v>DHBA</v>
      </c>
      <c r="AD604" s="42"/>
      <c r="AE604" s="42"/>
      <c r="AF604" s="9"/>
      <c r="AG604" s="9"/>
      <c r="AH604" s="42"/>
      <c r="AI604" s="42"/>
      <c r="AJ604" s="42"/>
      <c r="AK604" s="42"/>
      <c r="AL604" s="42"/>
      <c r="AM604" s="42"/>
      <c r="AN604" s="42"/>
      <c r="AO604" s="63" t="str">
        <f>IFERROR(__xludf.DUMMYFUNCTION("IF(ISBLANK(A604),,IF(ISBLANK(S604), A604&amp;"";"", TEXTJOIN(CHAR(10), TRUE, A604&amp;"";"", ARRAYFORMULA(VLOOKUP(SPLIT(S604, "";"" &amp; CHAR(10)), $A:$AO, 41, FALSE)))))"),"tVZps;")</f>
        <v>tVZps;</v>
      </c>
      <c r="AP604" s="89"/>
    </row>
    <row r="605">
      <c r="A605" s="151" t="str">
        <f>IFERROR(__xludf.DUMMYFUNCTION("""COMPUTED_VALUE"""),"tVZpi")</f>
        <v>tVZpi</v>
      </c>
      <c r="B605" s="42" t="str">
        <f>IFERROR(__xludf.DUMMYFUNCTION("""COMPUTED_VALUE"""),"DHBA")</f>
        <v>DHBA</v>
      </c>
      <c r="C605" s="42" t="str">
        <f>IFERROR(__xludf.DUMMYFUNCTION("""COMPUTED_VALUE"""),"VZ in parainsular temporal cortex")</f>
        <v>VZ in parainsular temporal cortex</v>
      </c>
      <c r="D605" s="42">
        <f>IFERROR(__xludf.DUMMYFUNCTION("""COMPUTED_VALUE"""),571.0)</f>
        <v>571</v>
      </c>
      <c r="E605" s="39" t="str">
        <f>IFERROR(__xludf.DUMMYFUNCTION("""COMPUTED_VALUE"""),"VZ in parainsular temporal cortex")</f>
        <v>VZ in parainsular temporal cortex</v>
      </c>
      <c r="F605" s="9" t="str">
        <f>IFERROR(__xludf.DUMMYFUNCTION("""COMPUTED_VALUE"""),"Br")</f>
        <v>Br</v>
      </c>
      <c r="G605" s="9" t="str">
        <f>IFERROR(__xludf.DUMMYFUNCTION("""COMPUTED_VALUE"""),"F")</f>
        <v>F</v>
      </c>
      <c r="H605" s="9" t="str">
        <f>IFERROR(__xludf.DUMMYFUNCTION("""COMPUTED_VALUE"""),"FGM")</f>
        <v>FGM</v>
      </c>
      <c r="I605" s="9" t="str">
        <f>IFERROR(__xludf.DUMMYFUNCTION("""COMPUTED_VALUE"""),"FTS")</f>
        <v>FTS</v>
      </c>
      <c r="J605" s="9" t="str">
        <f>IFERROR(__xludf.DUMMYFUNCTION("""COMPUTED_VALUE"""),"VZ")</f>
        <v>VZ</v>
      </c>
      <c r="K605" s="9" t="str">
        <f>IFERROR(__xludf.DUMMYFUNCTION("""COMPUTED_VALUE"""),"tVZ")</f>
        <v>tVZ</v>
      </c>
      <c r="L605" s="9" t="str">
        <f>IFERROR(__xludf.DUMMYFUNCTION("""COMPUTED_VALUE"""),"tVZdl")</f>
        <v>tVZdl</v>
      </c>
      <c r="M605" s="9" t="str">
        <f>IFERROR(__xludf.DUMMYFUNCTION("""COMPUTED_VALUE"""),"tVZpi")</f>
        <v>tVZpi</v>
      </c>
      <c r="N605" s="9"/>
      <c r="O605" s="9"/>
      <c r="P605" s="9"/>
      <c r="Q605" s="9"/>
      <c r="R605" s="9"/>
      <c r="S605" s="42"/>
      <c r="T605" s="42"/>
      <c r="U605" s="159"/>
      <c r="V605" s="42"/>
      <c r="W605" s="42"/>
      <c r="X605" s="42"/>
      <c r="Y605" s="42"/>
      <c r="Z605" s="42"/>
      <c r="AA605" s="42"/>
      <c r="AB605" s="42" t="str">
        <f>IFERROR(__xludf.DUMMYFUNCTION("""COMPUTED_VALUE"""),"allen institute")</f>
        <v>allen institute</v>
      </c>
      <c r="AC605" s="42" t="str">
        <f>IFERROR(__xludf.DUMMYFUNCTION("""COMPUTED_VALUE"""),"DHBA")</f>
        <v>DHBA</v>
      </c>
      <c r="AD605" s="42"/>
      <c r="AE605" s="42"/>
      <c r="AF605" s="9"/>
      <c r="AG605" s="9"/>
      <c r="AH605" s="42"/>
      <c r="AI605" s="42"/>
      <c r="AJ605" s="42"/>
      <c r="AK605" s="42"/>
      <c r="AL605" s="42"/>
      <c r="AM605" s="42"/>
      <c r="AN605" s="42"/>
      <c r="AO605" s="63" t="str">
        <f>IFERROR(__xludf.DUMMYFUNCTION("IF(ISBLANK(A605),,IF(ISBLANK(S605), A605&amp;"";"", TEXTJOIN(CHAR(10), TRUE, A605&amp;"";"", ARRAYFORMULA(VLOOKUP(SPLIT(S605, "";"" &amp; CHAR(10)), $A:$AO, 41, FALSE)))))"),"tVZpi;")</f>
        <v>tVZpi;</v>
      </c>
      <c r="AP605" s="89"/>
    </row>
    <row r="606">
      <c r="A606" s="151" t="str">
        <f>IFERROR(__xludf.DUMMYFUNCTION("""COMPUTED_VALUE"""),"tVZvl")</f>
        <v>tVZvl</v>
      </c>
      <c r="B606" s="42" t="str">
        <f>IFERROR(__xludf.DUMMYFUNCTION("""COMPUTED_VALUE"""),"DHBA")</f>
        <v>DHBA</v>
      </c>
      <c r="C606" s="42" t="str">
        <f>IFERROR(__xludf.DUMMYFUNCTION("""COMPUTED_VALUE"""),"VZ in ventrolateral temporal cortex")</f>
        <v>VZ in ventrolateral temporal cortex</v>
      </c>
      <c r="D606" s="42">
        <f>IFERROR(__xludf.DUMMYFUNCTION("""COMPUTED_VALUE"""),572.0)</f>
        <v>572</v>
      </c>
      <c r="E606" s="39" t="str">
        <f>IFERROR(__xludf.DUMMYFUNCTION("""COMPUTED_VALUE"""),"VZ in ventrolateral temporal cortex")</f>
        <v>VZ in ventrolateral temporal cortex</v>
      </c>
      <c r="F606" s="9" t="str">
        <f>IFERROR(__xludf.DUMMYFUNCTION("""COMPUTED_VALUE"""),"Br")</f>
        <v>Br</v>
      </c>
      <c r="G606" s="9" t="str">
        <f>IFERROR(__xludf.DUMMYFUNCTION("""COMPUTED_VALUE"""),"F")</f>
        <v>F</v>
      </c>
      <c r="H606" s="9" t="str">
        <f>IFERROR(__xludf.DUMMYFUNCTION("""COMPUTED_VALUE"""),"FGM")</f>
        <v>FGM</v>
      </c>
      <c r="I606" s="9" t="str">
        <f>IFERROR(__xludf.DUMMYFUNCTION("""COMPUTED_VALUE"""),"FTS")</f>
        <v>FTS</v>
      </c>
      <c r="J606" s="9" t="str">
        <f>IFERROR(__xludf.DUMMYFUNCTION("""COMPUTED_VALUE"""),"VZ")</f>
        <v>VZ</v>
      </c>
      <c r="K606" s="9" t="str">
        <f>IFERROR(__xludf.DUMMYFUNCTION("""COMPUTED_VALUE"""),"tVZ")</f>
        <v>tVZ</v>
      </c>
      <c r="L606" s="9" t="str">
        <f>IFERROR(__xludf.DUMMYFUNCTION("""COMPUTED_VALUE"""),"tVZvl")</f>
        <v>tVZvl</v>
      </c>
      <c r="M606" s="9"/>
      <c r="N606" s="9"/>
      <c r="O606" s="9"/>
      <c r="P606" s="9"/>
      <c r="Q606" s="9"/>
      <c r="R606" s="9"/>
      <c r="S606" s="42" t="str">
        <f>IFERROR(__xludf.DUMMYFUNCTION("""COMPUTED_VALUE"""),"tVZml;
tVZil;
tVZmi")</f>
        <v>tVZml;
tVZil;
tVZmi</v>
      </c>
      <c r="T606" s="42"/>
      <c r="U606" s="159" t="b">
        <f>IFERROR(__xludf.DUMMYFUNCTION("""COMPUTED_VALUE"""),FALSE)</f>
        <v>0</v>
      </c>
      <c r="V606" s="42"/>
      <c r="W606" s="42"/>
      <c r="X606" s="42"/>
      <c r="Y606" s="42"/>
      <c r="Z606" s="42"/>
      <c r="AA606" s="42"/>
      <c r="AB606" s="42" t="str">
        <f>IFERROR(__xludf.DUMMYFUNCTION("""COMPUTED_VALUE"""),"allen institute")</f>
        <v>allen institute</v>
      </c>
      <c r="AC606" s="42" t="str">
        <f>IFERROR(__xludf.DUMMYFUNCTION("""COMPUTED_VALUE"""),"DHBA")</f>
        <v>DHBA</v>
      </c>
      <c r="AD606" s="42"/>
      <c r="AE606" s="42"/>
      <c r="AF606" s="9"/>
      <c r="AG606" s="9"/>
      <c r="AH606" s="42"/>
      <c r="AI606" s="42"/>
      <c r="AJ606" s="42"/>
      <c r="AK606" s="42"/>
      <c r="AL606" s="42"/>
      <c r="AM606" s="42"/>
      <c r="AN606" s="42"/>
      <c r="AO606" s="63" t="str">
        <f>IFERROR(__xludf.DUMMYFUNCTION("IF(ISBLANK(A606),,IF(ISBLANK(S606), A606&amp;"";"", TEXTJOIN(CHAR(10), TRUE, A606&amp;"";"", ARRAYFORMULA(VLOOKUP(SPLIT(S606, "";"" &amp; CHAR(10)), $A:$AO, 41, FALSE)))))"),"tVZvl;
tVZml;
tVZil;
tVZilo;
tVZili;
tVZmi;
tVZ36;
tVZtf;
tVZtfo;
tVZtfi;")</f>
        <v>tVZvl;
tVZml;
tVZil;
tVZilo;
tVZili;
tVZmi;
tVZ36;
tVZtf;
tVZtfo;
tVZtfi;</v>
      </c>
      <c r="AP606" s="89"/>
    </row>
    <row r="607">
      <c r="A607" s="151" t="str">
        <f>IFERROR(__xludf.DUMMYFUNCTION("""COMPUTED_VALUE"""),"tVZml")</f>
        <v>tVZml</v>
      </c>
      <c r="B607" s="42" t="str">
        <f>IFERROR(__xludf.DUMMYFUNCTION("""COMPUTED_VALUE"""),"DHBA")</f>
        <v>DHBA</v>
      </c>
      <c r="C607" s="42" t="str">
        <f>IFERROR(__xludf.DUMMYFUNCTION("""COMPUTED_VALUE"""),"VZ in midlateral temporal cortex")</f>
        <v>VZ in midlateral temporal cortex</v>
      </c>
      <c r="D607" s="42">
        <f>IFERROR(__xludf.DUMMYFUNCTION("""COMPUTED_VALUE"""),573.0)</f>
        <v>573</v>
      </c>
      <c r="E607" s="39" t="str">
        <f>IFERROR(__xludf.DUMMYFUNCTION("""COMPUTED_VALUE"""),"VZ in midlateral temporal cortex")</f>
        <v>VZ in midlateral temporal cortex</v>
      </c>
      <c r="F607" s="9" t="str">
        <f>IFERROR(__xludf.DUMMYFUNCTION("""COMPUTED_VALUE"""),"Br")</f>
        <v>Br</v>
      </c>
      <c r="G607" s="9" t="str">
        <f>IFERROR(__xludf.DUMMYFUNCTION("""COMPUTED_VALUE"""),"F")</f>
        <v>F</v>
      </c>
      <c r="H607" s="9" t="str">
        <f>IFERROR(__xludf.DUMMYFUNCTION("""COMPUTED_VALUE"""),"FGM")</f>
        <v>FGM</v>
      </c>
      <c r="I607" s="9" t="str">
        <f>IFERROR(__xludf.DUMMYFUNCTION("""COMPUTED_VALUE"""),"FTS")</f>
        <v>FTS</v>
      </c>
      <c r="J607" s="9" t="str">
        <f>IFERROR(__xludf.DUMMYFUNCTION("""COMPUTED_VALUE"""),"VZ")</f>
        <v>VZ</v>
      </c>
      <c r="K607" s="9" t="str">
        <f>IFERROR(__xludf.DUMMYFUNCTION("""COMPUTED_VALUE"""),"tVZ")</f>
        <v>tVZ</v>
      </c>
      <c r="L607" s="9" t="str">
        <f>IFERROR(__xludf.DUMMYFUNCTION("""COMPUTED_VALUE"""),"tVZvl")</f>
        <v>tVZvl</v>
      </c>
      <c r="M607" s="9" t="str">
        <f>IFERROR(__xludf.DUMMYFUNCTION("""COMPUTED_VALUE"""),"tVZml")</f>
        <v>tVZml</v>
      </c>
      <c r="N607" s="9"/>
      <c r="O607" s="9"/>
      <c r="P607" s="9"/>
      <c r="Q607" s="9"/>
      <c r="R607" s="9"/>
      <c r="S607" s="42"/>
      <c r="T607" s="42"/>
      <c r="U607" s="159"/>
      <c r="V607" s="42"/>
      <c r="W607" s="42"/>
      <c r="X607" s="42"/>
      <c r="Y607" s="42"/>
      <c r="Z607" s="42"/>
      <c r="AA607" s="42"/>
      <c r="AB607" s="42" t="str">
        <f>IFERROR(__xludf.DUMMYFUNCTION("""COMPUTED_VALUE"""),"allen institute")</f>
        <v>allen institute</v>
      </c>
      <c r="AC607" s="42" t="str">
        <f>IFERROR(__xludf.DUMMYFUNCTION("""COMPUTED_VALUE"""),"DHBA")</f>
        <v>DHBA</v>
      </c>
      <c r="AD607" s="42"/>
      <c r="AE607" s="42"/>
      <c r="AF607" s="9"/>
      <c r="AG607" s="9"/>
      <c r="AH607" s="42"/>
      <c r="AI607" s="42"/>
      <c r="AJ607" s="42"/>
      <c r="AK607" s="42"/>
      <c r="AL607" s="42"/>
      <c r="AM607" s="42"/>
      <c r="AN607" s="42"/>
      <c r="AO607" s="63" t="str">
        <f>IFERROR(__xludf.DUMMYFUNCTION("IF(ISBLANK(A607),,IF(ISBLANK(S607), A607&amp;"";"", TEXTJOIN(CHAR(10), TRUE, A607&amp;"";"", ARRAYFORMULA(VLOOKUP(SPLIT(S607, "";"" &amp; CHAR(10)), $A:$AO, 41, FALSE)))))"),"tVZml;")</f>
        <v>tVZml;</v>
      </c>
      <c r="AP607" s="89"/>
    </row>
    <row r="608">
      <c r="A608" s="151" t="str">
        <f>IFERROR(__xludf.DUMMYFUNCTION("""COMPUTED_VALUE"""),"tVZil")</f>
        <v>tVZil</v>
      </c>
      <c r="B608" s="42" t="str">
        <f>IFERROR(__xludf.DUMMYFUNCTION("""COMPUTED_VALUE"""),"DHBA")</f>
        <v>DHBA</v>
      </c>
      <c r="C608" s="42" t="str">
        <f>IFERROR(__xludf.DUMMYFUNCTION("""COMPUTED_VALUE"""),"VZ in inferolateral temporal cortex")</f>
        <v>VZ in inferolateral temporal cortex</v>
      </c>
      <c r="D608" s="42">
        <f>IFERROR(__xludf.DUMMYFUNCTION("""COMPUTED_VALUE"""),574.0)</f>
        <v>574</v>
      </c>
      <c r="E608" s="39" t="str">
        <f>IFERROR(__xludf.DUMMYFUNCTION("""COMPUTED_VALUE"""),"VZ in inferolateral temporal cortex")</f>
        <v>VZ in inferolateral temporal cortex</v>
      </c>
      <c r="F608" s="9" t="str">
        <f>IFERROR(__xludf.DUMMYFUNCTION("""COMPUTED_VALUE"""),"Br")</f>
        <v>Br</v>
      </c>
      <c r="G608" s="9" t="str">
        <f>IFERROR(__xludf.DUMMYFUNCTION("""COMPUTED_VALUE"""),"F")</f>
        <v>F</v>
      </c>
      <c r="H608" s="9" t="str">
        <f>IFERROR(__xludf.DUMMYFUNCTION("""COMPUTED_VALUE"""),"FGM")</f>
        <v>FGM</v>
      </c>
      <c r="I608" s="9" t="str">
        <f>IFERROR(__xludf.DUMMYFUNCTION("""COMPUTED_VALUE"""),"FTS")</f>
        <v>FTS</v>
      </c>
      <c r="J608" s="9" t="str">
        <f>IFERROR(__xludf.DUMMYFUNCTION("""COMPUTED_VALUE"""),"VZ")</f>
        <v>VZ</v>
      </c>
      <c r="K608" s="9" t="str">
        <f>IFERROR(__xludf.DUMMYFUNCTION("""COMPUTED_VALUE"""),"tVZ")</f>
        <v>tVZ</v>
      </c>
      <c r="L608" s="9" t="str">
        <f>IFERROR(__xludf.DUMMYFUNCTION("""COMPUTED_VALUE"""),"tVZvl")</f>
        <v>tVZvl</v>
      </c>
      <c r="M608" s="9" t="str">
        <f>IFERROR(__xludf.DUMMYFUNCTION("""COMPUTED_VALUE"""),"tVZil")</f>
        <v>tVZil</v>
      </c>
      <c r="N608" s="9"/>
      <c r="O608" s="9"/>
      <c r="P608" s="9"/>
      <c r="Q608" s="9"/>
      <c r="R608" s="9"/>
      <c r="S608" s="42" t="str">
        <f>IFERROR(__xludf.DUMMYFUNCTION("""COMPUTED_VALUE"""),"tVZilo;
tVZili")</f>
        <v>tVZilo;
tVZili</v>
      </c>
      <c r="T608" s="42"/>
      <c r="U608" s="42" t="b">
        <f>IFERROR(__xludf.DUMMYFUNCTION("""COMPUTED_VALUE"""),FALSE)</f>
        <v>0</v>
      </c>
      <c r="V608" s="42"/>
      <c r="W608" s="42"/>
      <c r="X608" s="42"/>
      <c r="Y608" s="42"/>
      <c r="Z608" s="42"/>
      <c r="AA608" s="42"/>
      <c r="AB608" s="42" t="str">
        <f>IFERROR(__xludf.DUMMYFUNCTION("""COMPUTED_VALUE"""),"allen institute")</f>
        <v>allen institute</v>
      </c>
      <c r="AC608" s="42" t="str">
        <f>IFERROR(__xludf.DUMMYFUNCTION("""COMPUTED_VALUE"""),"DHBA")</f>
        <v>DHBA</v>
      </c>
      <c r="AD608" s="42"/>
      <c r="AE608" s="42"/>
      <c r="AF608" s="9"/>
      <c r="AG608" s="9"/>
      <c r="AH608" s="42"/>
      <c r="AI608" s="42"/>
      <c r="AJ608" s="42"/>
      <c r="AK608" s="42"/>
      <c r="AL608" s="42"/>
      <c r="AM608" s="42"/>
      <c r="AN608" s="42"/>
      <c r="AO608" s="63" t="str">
        <f>IFERROR(__xludf.DUMMYFUNCTION("IF(ISBLANK(A608),,IF(ISBLANK(S608), A608&amp;"";"", TEXTJOIN(CHAR(10), TRUE, A608&amp;"";"", ARRAYFORMULA(VLOOKUP(SPLIT(S608, "";"" &amp; CHAR(10)), $A:$AO, 41, FALSE)))))"),"tVZil;
tVZilo;
tVZili;")</f>
        <v>tVZil;
tVZilo;
tVZili;</v>
      </c>
      <c r="AP608" s="89"/>
    </row>
    <row r="609">
      <c r="A609" s="151" t="str">
        <f>IFERROR(__xludf.DUMMYFUNCTION("""COMPUTED_VALUE"""),"tVZilo")</f>
        <v>tVZilo</v>
      </c>
      <c r="B609" s="42" t="str">
        <f>IFERROR(__xludf.DUMMYFUNCTION("""COMPUTED_VALUE"""),"DHBA")</f>
        <v>DHBA</v>
      </c>
      <c r="C609" s="42" t="str">
        <f>IFERROR(__xludf.DUMMYFUNCTION("""COMPUTED_VALUE"""),"outer VZ in inferolateral temporal cortex")</f>
        <v>outer VZ in inferolateral temporal cortex</v>
      </c>
      <c r="D609" s="42">
        <f>IFERROR(__xludf.DUMMYFUNCTION("""COMPUTED_VALUE"""),575.0)</f>
        <v>575</v>
      </c>
      <c r="E609" s="39" t="str">
        <f>IFERROR(__xludf.DUMMYFUNCTION("""COMPUTED_VALUE"""),"outer VZ in inferolateral temporal cortex")</f>
        <v>outer VZ in inferolateral temporal cortex</v>
      </c>
      <c r="F609" s="9" t="str">
        <f>IFERROR(__xludf.DUMMYFUNCTION("""COMPUTED_VALUE"""),"Br")</f>
        <v>Br</v>
      </c>
      <c r="G609" s="9" t="str">
        <f>IFERROR(__xludf.DUMMYFUNCTION("""COMPUTED_VALUE"""),"F")</f>
        <v>F</v>
      </c>
      <c r="H609" s="9" t="str">
        <f>IFERROR(__xludf.DUMMYFUNCTION("""COMPUTED_VALUE"""),"FGM")</f>
        <v>FGM</v>
      </c>
      <c r="I609" s="9" t="str">
        <f>IFERROR(__xludf.DUMMYFUNCTION("""COMPUTED_VALUE"""),"FTS")</f>
        <v>FTS</v>
      </c>
      <c r="J609" s="9" t="str">
        <f>IFERROR(__xludf.DUMMYFUNCTION("""COMPUTED_VALUE"""),"VZ")</f>
        <v>VZ</v>
      </c>
      <c r="K609" s="9" t="str">
        <f>IFERROR(__xludf.DUMMYFUNCTION("""COMPUTED_VALUE"""),"tVZ")</f>
        <v>tVZ</v>
      </c>
      <c r="L609" s="9" t="str">
        <f>IFERROR(__xludf.DUMMYFUNCTION("""COMPUTED_VALUE"""),"tVZvl")</f>
        <v>tVZvl</v>
      </c>
      <c r="M609" s="9" t="str">
        <f>IFERROR(__xludf.DUMMYFUNCTION("""COMPUTED_VALUE"""),"tVZil")</f>
        <v>tVZil</v>
      </c>
      <c r="N609" s="9" t="str">
        <f>IFERROR(__xludf.DUMMYFUNCTION("""COMPUTED_VALUE"""),"tVZilo")</f>
        <v>tVZilo</v>
      </c>
      <c r="O609" s="9"/>
      <c r="P609" s="9"/>
      <c r="Q609" s="9"/>
      <c r="R609" s="9"/>
      <c r="S609" s="42"/>
      <c r="T609" s="42"/>
      <c r="U609" s="42"/>
      <c r="V609" s="42"/>
      <c r="W609" s="42"/>
      <c r="X609" s="42"/>
      <c r="Y609" s="42"/>
      <c r="Z609" s="42"/>
      <c r="AA609" s="42"/>
      <c r="AB609" s="42" t="str">
        <f>IFERROR(__xludf.DUMMYFUNCTION("""COMPUTED_VALUE"""),"allen institute")</f>
        <v>allen institute</v>
      </c>
      <c r="AC609" s="42" t="str">
        <f>IFERROR(__xludf.DUMMYFUNCTION("""COMPUTED_VALUE"""),"DHBA")</f>
        <v>DHBA</v>
      </c>
      <c r="AD609" s="42"/>
      <c r="AE609" s="42"/>
      <c r="AF609" s="9"/>
      <c r="AG609" s="9"/>
      <c r="AH609" s="42"/>
      <c r="AI609" s="42"/>
      <c r="AJ609" s="42"/>
      <c r="AK609" s="42"/>
      <c r="AL609" s="42"/>
      <c r="AM609" s="42"/>
      <c r="AN609" s="42"/>
      <c r="AO609" s="63" t="str">
        <f>IFERROR(__xludf.DUMMYFUNCTION("IF(ISBLANK(A609),,IF(ISBLANK(S609), A609&amp;"";"", TEXTJOIN(CHAR(10), TRUE, A609&amp;"";"", ARRAYFORMULA(VLOOKUP(SPLIT(S609, "";"" &amp; CHAR(10)), $A:$AO, 41, FALSE)))))"),"tVZilo;")</f>
        <v>tVZilo;</v>
      </c>
      <c r="AP609" s="89"/>
    </row>
    <row r="610">
      <c r="A610" s="151" t="str">
        <f>IFERROR(__xludf.DUMMYFUNCTION("""COMPUTED_VALUE"""),"tVZili")</f>
        <v>tVZili</v>
      </c>
      <c r="B610" s="42" t="str">
        <f>IFERROR(__xludf.DUMMYFUNCTION("""COMPUTED_VALUE"""),"DHBA")</f>
        <v>DHBA</v>
      </c>
      <c r="C610" s="42" t="str">
        <f>IFERROR(__xludf.DUMMYFUNCTION("""COMPUTED_VALUE"""),"inner VZ in inferolateral temporal cortex")</f>
        <v>inner VZ in inferolateral temporal cortex</v>
      </c>
      <c r="D610" s="42">
        <f>IFERROR(__xludf.DUMMYFUNCTION("""COMPUTED_VALUE"""),576.0)</f>
        <v>576</v>
      </c>
      <c r="E610" s="39" t="str">
        <f>IFERROR(__xludf.DUMMYFUNCTION("""COMPUTED_VALUE"""),"inner VZ in inferolateral temporal cortex")</f>
        <v>inner VZ in inferolateral temporal cortex</v>
      </c>
      <c r="F610" s="9" t="str">
        <f>IFERROR(__xludf.DUMMYFUNCTION("""COMPUTED_VALUE"""),"Br")</f>
        <v>Br</v>
      </c>
      <c r="G610" s="9" t="str">
        <f>IFERROR(__xludf.DUMMYFUNCTION("""COMPUTED_VALUE"""),"F")</f>
        <v>F</v>
      </c>
      <c r="H610" s="9" t="str">
        <f>IFERROR(__xludf.DUMMYFUNCTION("""COMPUTED_VALUE"""),"FGM")</f>
        <v>FGM</v>
      </c>
      <c r="I610" s="9" t="str">
        <f>IFERROR(__xludf.DUMMYFUNCTION("""COMPUTED_VALUE"""),"FTS")</f>
        <v>FTS</v>
      </c>
      <c r="J610" s="9" t="str">
        <f>IFERROR(__xludf.DUMMYFUNCTION("""COMPUTED_VALUE"""),"VZ")</f>
        <v>VZ</v>
      </c>
      <c r="K610" s="9" t="str">
        <f>IFERROR(__xludf.DUMMYFUNCTION("""COMPUTED_VALUE"""),"tVZ")</f>
        <v>tVZ</v>
      </c>
      <c r="L610" s="9" t="str">
        <f>IFERROR(__xludf.DUMMYFUNCTION("""COMPUTED_VALUE"""),"tVZvl")</f>
        <v>tVZvl</v>
      </c>
      <c r="M610" s="9" t="str">
        <f>IFERROR(__xludf.DUMMYFUNCTION("""COMPUTED_VALUE"""),"tVZil")</f>
        <v>tVZil</v>
      </c>
      <c r="N610" s="9" t="str">
        <f>IFERROR(__xludf.DUMMYFUNCTION("""COMPUTED_VALUE"""),"tVZili")</f>
        <v>tVZili</v>
      </c>
      <c r="O610" s="9"/>
      <c r="P610" s="9"/>
      <c r="Q610" s="9"/>
      <c r="R610" s="9"/>
      <c r="S610" s="42"/>
      <c r="T610" s="42"/>
      <c r="U610" s="42"/>
      <c r="V610" s="42"/>
      <c r="W610" s="42"/>
      <c r="X610" s="42"/>
      <c r="Y610" s="42"/>
      <c r="Z610" s="42"/>
      <c r="AA610" s="42"/>
      <c r="AB610" s="42" t="str">
        <f>IFERROR(__xludf.DUMMYFUNCTION("""COMPUTED_VALUE"""),"allen institute")</f>
        <v>allen institute</v>
      </c>
      <c r="AC610" s="42" t="str">
        <f>IFERROR(__xludf.DUMMYFUNCTION("""COMPUTED_VALUE"""),"DHBA")</f>
        <v>DHBA</v>
      </c>
      <c r="AD610" s="42"/>
      <c r="AE610" s="42"/>
      <c r="AF610" s="9"/>
      <c r="AG610" s="9"/>
      <c r="AH610" s="42"/>
      <c r="AI610" s="42"/>
      <c r="AJ610" s="42"/>
      <c r="AK610" s="42"/>
      <c r="AL610" s="42"/>
      <c r="AM610" s="42"/>
      <c r="AN610" s="42"/>
      <c r="AO610" s="63" t="str">
        <f>IFERROR(__xludf.DUMMYFUNCTION("IF(ISBLANK(A610),,IF(ISBLANK(S610), A610&amp;"";"", TEXTJOIN(CHAR(10), TRUE, A610&amp;"";"", ARRAYFORMULA(VLOOKUP(SPLIT(S610, "";"" &amp; CHAR(10)), $A:$AO, 41, FALSE)))))"),"tVZili;")</f>
        <v>tVZili;</v>
      </c>
      <c r="AP610" s="89"/>
    </row>
    <row r="611">
      <c r="A611" s="151" t="str">
        <f>IFERROR(__xludf.DUMMYFUNCTION("""COMPUTED_VALUE"""),"tVZmi")</f>
        <v>tVZmi</v>
      </c>
      <c r="B611" s="42" t="str">
        <f>IFERROR(__xludf.DUMMYFUNCTION("""COMPUTED_VALUE"""),"DHBA")</f>
        <v>DHBA</v>
      </c>
      <c r="C611" s="42" t="str">
        <f>IFERROR(__xludf.DUMMYFUNCTION("""COMPUTED_VALUE"""),"VZ in midinferior temporal cortex")</f>
        <v>VZ in midinferior temporal cortex</v>
      </c>
      <c r="D611" s="42">
        <f>IFERROR(__xludf.DUMMYFUNCTION("""COMPUTED_VALUE"""),577.0)</f>
        <v>577</v>
      </c>
      <c r="E611" s="39" t="str">
        <f>IFERROR(__xludf.DUMMYFUNCTION("""COMPUTED_VALUE"""),"VZ in midinferior temporal cortex")</f>
        <v>VZ in midinferior temporal cortex</v>
      </c>
      <c r="F611" s="9" t="str">
        <f>IFERROR(__xludf.DUMMYFUNCTION("""COMPUTED_VALUE"""),"Br")</f>
        <v>Br</v>
      </c>
      <c r="G611" s="9" t="str">
        <f>IFERROR(__xludf.DUMMYFUNCTION("""COMPUTED_VALUE"""),"F")</f>
        <v>F</v>
      </c>
      <c r="H611" s="9" t="str">
        <f>IFERROR(__xludf.DUMMYFUNCTION("""COMPUTED_VALUE"""),"FGM")</f>
        <v>FGM</v>
      </c>
      <c r="I611" s="9" t="str">
        <f>IFERROR(__xludf.DUMMYFUNCTION("""COMPUTED_VALUE"""),"FTS")</f>
        <v>FTS</v>
      </c>
      <c r="J611" s="9" t="str">
        <f>IFERROR(__xludf.DUMMYFUNCTION("""COMPUTED_VALUE"""),"VZ")</f>
        <v>VZ</v>
      </c>
      <c r="K611" s="9" t="str">
        <f>IFERROR(__xludf.DUMMYFUNCTION("""COMPUTED_VALUE"""),"tVZ")</f>
        <v>tVZ</v>
      </c>
      <c r="L611" s="9" t="str">
        <f>IFERROR(__xludf.DUMMYFUNCTION("""COMPUTED_VALUE"""),"tVZvl")</f>
        <v>tVZvl</v>
      </c>
      <c r="M611" s="9" t="str">
        <f>IFERROR(__xludf.DUMMYFUNCTION("""COMPUTED_VALUE"""),"tVZmi")</f>
        <v>tVZmi</v>
      </c>
      <c r="N611" s="9"/>
      <c r="O611" s="9"/>
      <c r="P611" s="9"/>
      <c r="Q611" s="9"/>
      <c r="R611" s="9"/>
      <c r="S611" s="42" t="str">
        <f>IFERROR(__xludf.DUMMYFUNCTION("""COMPUTED_VALUE"""),"tVZ36;
tVZtf")</f>
        <v>tVZ36;
tVZtf</v>
      </c>
      <c r="T611" s="42"/>
      <c r="U611" s="42" t="b">
        <f>IFERROR(__xludf.DUMMYFUNCTION("""COMPUTED_VALUE"""),FALSE)</f>
        <v>0</v>
      </c>
      <c r="V611" s="42"/>
      <c r="W611" s="42"/>
      <c r="X611" s="42"/>
      <c r="Y611" s="42"/>
      <c r="Z611" s="42"/>
      <c r="AA611" s="42"/>
      <c r="AB611" s="42" t="str">
        <f>IFERROR(__xludf.DUMMYFUNCTION("""COMPUTED_VALUE"""),"allen institute")</f>
        <v>allen institute</v>
      </c>
      <c r="AC611" s="42" t="str">
        <f>IFERROR(__xludf.DUMMYFUNCTION("""COMPUTED_VALUE"""),"DHBA")</f>
        <v>DHBA</v>
      </c>
      <c r="AD611" s="42"/>
      <c r="AE611" s="42"/>
      <c r="AF611" s="9"/>
      <c r="AG611" s="9"/>
      <c r="AH611" s="42"/>
      <c r="AI611" s="42"/>
      <c r="AJ611" s="42"/>
      <c r="AK611" s="42"/>
      <c r="AL611" s="42"/>
      <c r="AM611" s="42"/>
      <c r="AN611" s="42"/>
      <c r="AO611" s="63" t="str">
        <f>IFERROR(__xludf.DUMMYFUNCTION("IF(ISBLANK(A611),,IF(ISBLANK(S611), A611&amp;"";"", TEXTJOIN(CHAR(10), TRUE, A611&amp;"";"", ARRAYFORMULA(VLOOKUP(SPLIT(S611, "";"" &amp; CHAR(10)), $A:$AO, 41, FALSE)))))"),"tVZmi;
tVZ36;
tVZtf;
tVZtfo;
tVZtfi;")</f>
        <v>tVZmi;
tVZ36;
tVZtf;
tVZtfo;
tVZtfi;</v>
      </c>
      <c r="AP611" s="89"/>
    </row>
    <row r="612">
      <c r="A612" s="151" t="str">
        <f>IFERROR(__xludf.DUMMYFUNCTION("""COMPUTED_VALUE"""),"tVZ36")</f>
        <v>tVZ36</v>
      </c>
      <c r="B612" s="42" t="str">
        <f>IFERROR(__xludf.DUMMYFUNCTION("""COMPUTED_VALUE"""),"DHBA")</f>
        <v>DHBA</v>
      </c>
      <c r="C612" s="42" t="str">
        <f>IFERROR(__xludf.DUMMYFUNCTION("""COMPUTED_VALUE"""),"VZ in rostral midinferior temporal cortex (area 36)")</f>
        <v>VZ in rostral midinferior temporal cortex (area 36)</v>
      </c>
      <c r="D612" s="42">
        <f>IFERROR(__xludf.DUMMYFUNCTION("""COMPUTED_VALUE"""),578.0)</f>
        <v>578</v>
      </c>
      <c r="E612" s="39" t="str">
        <f>IFERROR(__xludf.DUMMYFUNCTION("""COMPUTED_VALUE"""),"VZ in rostral midinferior temporal cortex (area 36)")</f>
        <v>VZ in rostral midinferior temporal cortex (area 36)</v>
      </c>
      <c r="F612" s="9" t="str">
        <f>IFERROR(__xludf.DUMMYFUNCTION("""COMPUTED_VALUE"""),"Br")</f>
        <v>Br</v>
      </c>
      <c r="G612" s="9" t="str">
        <f>IFERROR(__xludf.DUMMYFUNCTION("""COMPUTED_VALUE"""),"F")</f>
        <v>F</v>
      </c>
      <c r="H612" s="9" t="str">
        <f>IFERROR(__xludf.DUMMYFUNCTION("""COMPUTED_VALUE"""),"FGM")</f>
        <v>FGM</v>
      </c>
      <c r="I612" s="9" t="str">
        <f>IFERROR(__xludf.DUMMYFUNCTION("""COMPUTED_VALUE"""),"FTS")</f>
        <v>FTS</v>
      </c>
      <c r="J612" s="9" t="str">
        <f>IFERROR(__xludf.DUMMYFUNCTION("""COMPUTED_VALUE"""),"VZ")</f>
        <v>VZ</v>
      </c>
      <c r="K612" s="9" t="str">
        <f>IFERROR(__xludf.DUMMYFUNCTION("""COMPUTED_VALUE"""),"tVZ")</f>
        <v>tVZ</v>
      </c>
      <c r="L612" s="9" t="str">
        <f>IFERROR(__xludf.DUMMYFUNCTION("""COMPUTED_VALUE"""),"tVZvl")</f>
        <v>tVZvl</v>
      </c>
      <c r="M612" s="9" t="str">
        <f>IFERROR(__xludf.DUMMYFUNCTION("""COMPUTED_VALUE"""),"tVZmi")</f>
        <v>tVZmi</v>
      </c>
      <c r="N612" s="9" t="str">
        <f>IFERROR(__xludf.DUMMYFUNCTION("""COMPUTED_VALUE"""),"tVZ36")</f>
        <v>tVZ36</v>
      </c>
      <c r="O612" s="9"/>
      <c r="P612" s="9"/>
      <c r="Q612" s="9"/>
      <c r="R612" s="9"/>
      <c r="S612" s="42"/>
      <c r="T612" s="42"/>
      <c r="U612" s="42"/>
      <c r="V612" s="42"/>
      <c r="W612" s="42"/>
      <c r="X612" s="42"/>
      <c r="Y612" s="42"/>
      <c r="Z612" s="42"/>
      <c r="AA612" s="42"/>
      <c r="AB612" s="42" t="str">
        <f>IFERROR(__xludf.DUMMYFUNCTION("""COMPUTED_VALUE"""),"allen institute")</f>
        <v>allen institute</v>
      </c>
      <c r="AC612" s="42" t="str">
        <f>IFERROR(__xludf.DUMMYFUNCTION("""COMPUTED_VALUE"""),"DHBA")</f>
        <v>DHBA</v>
      </c>
      <c r="AD612" s="42"/>
      <c r="AE612" s="42"/>
      <c r="AF612" s="9"/>
      <c r="AG612" s="9"/>
      <c r="AH612" s="42"/>
      <c r="AI612" s="42"/>
      <c r="AJ612" s="42"/>
      <c r="AK612" s="42"/>
      <c r="AL612" s="42"/>
      <c r="AM612" s="42"/>
      <c r="AN612" s="42"/>
      <c r="AO612" s="63" t="str">
        <f>IFERROR(__xludf.DUMMYFUNCTION("IF(ISBLANK(A612),,IF(ISBLANK(S612), A612&amp;"";"", TEXTJOIN(CHAR(10), TRUE, A612&amp;"";"", ARRAYFORMULA(VLOOKUP(SPLIT(S612, "";"" &amp; CHAR(10)), $A:$AO, 41, FALSE)))))"),"tVZ36;")</f>
        <v>tVZ36;</v>
      </c>
      <c r="AP612" s="89"/>
    </row>
    <row r="613">
      <c r="A613" s="151" t="str">
        <f>IFERROR(__xludf.DUMMYFUNCTION("""COMPUTED_VALUE"""),"tVZtf")</f>
        <v>tVZtf</v>
      </c>
      <c r="B613" s="42" t="str">
        <f>IFERROR(__xludf.DUMMYFUNCTION("""COMPUTED_VALUE"""),"DHBA")</f>
        <v>DHBA</v>
      </c>
      <c r="C613" s="42" t="str">
        <f>IFERROR(__xludf.DUMMYFUNCTION("""COMPUTED_VALUE"""),"VZ in caudal midinferior temporal cortex (area TF)")</f>
        <v>VZ in caudal midinferior temporal cortex (area TF)</v>
      </c>
      <c r="D613" s="42">
        <f>IFERROR(__xludf.DUMMYFUNCTION("""COMPUTED_VALUE"""),579.0)</f>
        <v>579</v>
      </c>
      <c r="E613" s="39" t="str">
        <f>IFERROR(__xludf.DUMMYFUNCTION("""COMPUTED_VALUE"""),"VZ in caudal midinferior temporal cortex (area TF)")</f>
        <v>VZ in caudal midinferior temporal cortex (area TF)</v>
      </c>
      <c r="F613" s="9" t="str">
        <f>IFERROR(__xludf.DUMMYFUNCTION("""COMPUTED_VALUE"""),"Br")</f>
        <v>Br</v>
      </c>
      <c r="G613" s="9" t="str">
        <f>IFERROR(__xludf.DUMMYFUNCTION("""COMPUTED_VALUE"""),"F")</f>
        <v>F</v>
      </c>
      <c r="H613" s="9" t="str">
        <f>IFERROR(__xludf.DUMMYFUNCTION("""COMPUTED_VALUE"""),"FGM")</f>
        <v>FGM</v>
      </c>
      <c r="I613" s="9" t="str">
        <f>IFERROR(__xludf.DUMMYFUNCTION("""COMPUTED_VALUE"""),"FTS")</f>
        <v>FTS</v>
      </c>
      <c r="J613" s="9" t="str">
        <f>IFERROR(__xludf.DUMMYFUNCTION("""COMPUTED_VALUE"""),"VZ")</f>
        <v>VZ</v>
      </c>
      <c r="K613" s="9" t="str">
        <f>IFERROR(__xludf.DUMMYFUNCTION("""COMPUTED_VALUE"""),"tVZ")</f>
        <v>tVZ</v>
      </c>
      <c r="L613" s="9" t="str">
        <f>IFERROR(__xludf.DUMMYFUNCTION("""COMPUTED_VALUE"""),"tVZvl")</f>
        <v>tVZvl</v>
      </c>
      <c r="M613" s="9" t="str">
        <f>IFERROR(__xludf.DUMMYFUNCTION("""COMPUTED_VALUE"""),"tVZmi")</f>
        <v>tVZmi</v>
      </c>
      <c r="N613" s="9" t="str">
        <f>IFERROR(__xludf.DUMMYFUNCTION("""COMPUTED_VALUE"""),"tVZtf")</f>
        <v>tVZtf</v>
      </c>
      <c r="O613" s="9"/>
      <c r="P613" s="9"/>
      <c r="Q613" s="9"/>
      <c r="R613" s="9"/>
      <c r="S613" s="42" t="str">
        <f>IFERROR(__xludf.DUMMYFUNCTION("""COMPUTED_VALUE"""),"tVZtfo;
tVZtfi")</f>
        <v>tVZtfo;
tVZtfi</v>
      </c>
      <c r="T613" s="42"/>
      <c r="U613" s="42" t="b">
        <f>IFERROR(__xludf.DUMMYFUNCTION("""COMPUTED_VALUE"""),FALSE)</f>
        <v>0</v>
      </c>
      <c r="V613" s="42"/>
      <c r="W613" s="42"/>
      <c r="X613" s="42"/>
      <c r="Y613" s="42"/>
      <c r="Z613" s="42"/>
      <c r="AA613" s="42"/>
      <c r="AB613" s="42" t="str">
        <f>IFERROR(__xludf.DUMMYFUNCTION("""COMPUTED_VALUE"""),"allen institute")</f>
        <v>allen institute</v>
      </c>
      <c r="AC613" s="42" t="str">
        <f>IFERROR(__xludf.DUMMYFUNCTION("""COMPUTED_VALUE"""),"DHBA")</f>
        <v>DHBA</v>
      </c>
      <c r="AD613" s="42"/>
      <c r="AE613" s="42"/>
      <c r="AF613" s="9"/>
      <c r="AG613" s="9"/>
      <c r="AH613" s="42"/>
      <c r="AI613" s="42"/>
      <c r="AJ613" s="42"/>
      <c r="AK613" s="42"/>
      <c r="AL613" s="42"/>
      <c r="AM613" s="42"/>
      <c r="AN613" s="42"/>
      <c r="AO613" s="63" t="str">
        <f>IFERROR(__xludf.DUMMYFUNCTION("IF(ISBLANK(A613),,IF(ISBLANK(S613), A613&amp;"";"", TEXTJOIN(CHAR(10), TRUE, A613&amp;"";"", ARRAYFORMULA(VLOOKUP(SPLIT(S613, "";"" &amp; CHAR(10)), $A:$AO, 41, FALSE)))))"),"tVZtf;
tVZtfo;
tVZtfi;")</f>
        <v>tVZtf;
tVZtfo;
tVZtfi;</v>
      </c>
      <c r="AP613" s="89"/>
    </row>
    <row r="614">
      <c r="A614" s="151" t="str">
        <f>IFERROR(__xludf.DUMMYFUNCTION("""COMPUTED_VALUE"""),"tVZtfo")</f>
        <v>tVZtfo</v>
      </c>
      <c r="B614" s="42" t="str">
        <f>IFERROR(__xludf.DUMMYFUNCTION("""COMPUTED_VALUE"""),"DHBA")</f>
        <v>DHBA</v>
      </c>
      <c r="C614" s="42" t="str">
        <f>IFERROR(__xludf.DUMMYFUNCTION("""COMPUTED_VALUE"""),"outer VZ in caudal midinferior temporal cortex (area TF)")</f>
        <v>outer VZ in caudal midinferior temporal cortex (area TF)</v>
      </c>
      <c r="D614" s="42">
        <f>IFERROR(__xludf.DUMMYFUNCTION("""COMPUTED_VALUE"""),580.0)</f>
        <v>580</v>
      </c>
      <c r="E614" s="39" t="str">
        <f>IFERROR(__xludf.DUMMYFUNCTION("""COMPUTED_VALUE"""),"outer VZ in caudal midinferior temporal cortex (area TF)")</f>
        <v>outer VZ in caudal midinferior temporal cortex (area TF)</v>
      </c>
      <c r="F614" s="9" t="str">
        <f>IFERROR(__xludf.DUMMYFUNCTION("""COMPUTED_VALUE"""),"Br")</f>
        <v>Br</v>
      </c>
      <c r="G614" s="9" t="str">
        <f>IFERROR(__xludf.DUMMYFUNCTION("""COMPUTED_VALUE"""),"F")</f>
        <v>F</v>
      </c>
      <c r="H614" s="9" t="str">
        <f>IFERROR(__xludf.DUMMYFUNCTION("""COMPUTED_VALUE"""),"FGM")</f>
        <v>FGM</v>
      </c>
      <c r="I614" s="9" t="str">
        <f>IFERROR(__xludf.DUMMYFUNCTION("""COMPUTED_VALUE"""),"FTS")</f>
        <v>FTS</v>
      </c>
      <c r="J614" s="9" t="str">
        <f>IFERROR(__xludf.DUMMYFUNCTION("""COMPUTED_VALUE"""),"VZ")</f>
        <v>VZ</v>
      </c>
      <c r="K614" s="9" t="str">
        <f>IFERROR(__xludf.DUMMYFUNCTION("""COMPUTED_VALUE"""),"tVZ")</f>
        <v>tVZ</v>
      </c>
      <c r="L614" s="9" t="str">
        <f>IFERROR(__xludf.DUMMYFUNCTION("""COMPUTED_VALUE"""),"tVZvl")</f>
        <v>tVZvl</v>
      </c>
      <c r="M614" s="9" t="str">
        <f>IFERROR(__xludf.DUMMYFUNCTION("""COMPUTED_VALUE"""),"tVZmi")</f>
        <v>tVZmi</v>
      </c>
      <c r="N614" s="9" t="str">
        <f>IFERROR(__xludf.DUMMYFUNCTION("""COMPUTED_VALUE"""),"tVZtf")</f>
        <v>tVZtf</v>
      </c>
      <c r="O614" s="9" t="str">
        <f>IFERROR(__xludf.DUMMYFUNCTION("""COMPUTED_VALUE"""),"tVZtfo")</f>
        <v>tVZtfo</v>
      </c>
      <c r="P614" s="9"/>
      <c r="Q614" s="9"/>
      <c r="R614" s="9"/>
      <c r="S614" s="42"/>
      <c r="T614" s="42"/>
      <c r="U614" s="159"/>
      <c r="V614" s="42"/>
      <c r="W614" s="42"/>
      <c r="X614" s="42"/>
      <c r="Y614" s="42"/>
      <c r="Z614" s="42"/>
      <c r="AA614" s="42"/>
      <c r="AB614" s="42" t="str">
        <f>IFERROR(__xludf.DUMMYFUNCTION("""COMPUTED_VALUE"""),"allen institute")</f>
        <v>allen institute</v>
      </c>
      <c r="AC614" s="42" t="str">
        <f>IFERROR(__xludf.DUMMYFUNCTION("""COMPUTED_VALUE"""),"DHBA")</f>
        <v>DHBA</v>
      </c>
      <c r="AD614" s="42"/>
      <c r="AE614" s="42"/>
      <c r="AF614" s="9"/>
      <c r="AG614" s="9"/>
      <c r="AH614" s="42"/>
      <c r="AI614" s="42"/>
      <c r="AJ614" s="42"/>
      <c r="AK614" s="42"/>
      <c r="AL614" s="42"/>
      <c r="AM614" s="42"/>
      <c r="AN614" s="42"/>
      <c r="AO614" s="63" t="str">
        <f>IFERROR(__xludf.DUMMYFUNCTION("IF(ISBLANK(A614),,IF(ISBLANK(S614), A614&amp;"";"", TEXTJOIN(CHAR(10), TRUE, A614&amp;"";"", ARRAYFORMULA(VLOOKUP(SPLIT(S614, "";"" &amp; CHAR(10)), $A:$AO, 41, FALSE)))))"),"tVZtfo;")</f>
        <v>tVZtfo;</v>
      </c>
      <c r="AP614" s="89"/>
    </row>
    <row r="615">
      <c r="A615" s="151" t="str">
        <f>IFERROR(__xludf.DUMMYFUNCTION("""COMPUTED_VALUE"""),"tVZtfi")</f>
        <v>tVZtfi</v>
      </c>
      <c r="B615" s="42" t="str">
        <f>IFERROR(__xludf.DUMMYFUNCTION("""COMPUTED_VALUE"""),"DHBA")</f>
        <v>DHBA</v>
      </c>
      <c r="C615" s="42" t="str">
        <f>IFERROR(__xludf.DUMMYFUNCTION("""COMPUTED_VALUE"""),"inner VZ in caudal midinferior temporal cortex (area TF)")</f>
        <v>inner VZ in caudal midinferior temporal cortex (area TF)</v>
      </c>
      <c r="D615" s="42">
        <f>IFERROR(__xludf.DUMMYFUNCTION("""COMPUTED_VALUE"""),581.0)</f>
        <v>581</v>
      </c>
      <c r="E615" s="39" t="str">
        <f>IFERROR(__xludf.DUMMYFUNCTION("""COMPUTED_VALUE"""),"inner VZ in caudal midinferior temporal cortex (area TF)")</f>
        <v>inner VZ in caudal midinferior temporal cortex (area TF)</v>
      </c>
      <c r="F615" s="9" t="str">
        <f>IFERROR(__xludf.DUMMYFUNCTION("""COMPUTED_VALUE"""),"Br")</f>
        <v>Br</v>
      </c>
      <c r="G615" s="9" t="str">
        <f>IFERROR(__xludf.DUMMYFUNCTION("""COMPUTED_VALUE"""),"F")</f>
        <v>F</v>
      </c>
      <c r="H615" s="9" t="str">
        <f>IFERROR(__xludf.DUMMYFUNCTION("""COMPUTED_VALUE"""),"FGM")</f>
        <v>FGM</v>
      </c>
      <c r="I615" s="9" t="str">
        <f>IFERROR(__xludf.DUMMYFUNCTION("""COMPUTED_VALUE"""),"FTS")</f>
        <v>FTS</v>
      </c>
      <c r="J615" s="9" t="str">
        <f>IFERROR(__xludf.DUMMYFUNCTION("""COMPUTED_VALUE"""),"VZ")</f>
        <v>VZ</v>
      </c>
      <c r="K615" s="9" t="str">
        <f>IFERROR(__xludf.DUMMYFUNCTION("""COMPUTED_VALUE"""),"tVZ")</f>
        <v>tVZ</v>
      </c>
      <c r="L615" s="9" t="str">
        <f>IFERROR(__xludf.DUMMYFUNCTION("""COMPUTED_VALUE"""),"tVZvl")</f>
        <v>tVZvl</v>
      </c>
      <c r="M615" s="9" t="str">
        <f>IFERROR(__xludf.DUMMYFUNCTION("""COMPUTED_VALUE"""),"tVZmi")</f>
        <v>tVZmi</v>
      </c>
      <c r="N615" s="9" t="str">
        <f>IFERROR(__xludf.DUMMYFUNCTION("""COMPUTED_VALUE"""),"tVZtf")</f>
        <v>tVZtf</v>
      </c>
      <c r="O615" s="9" t="str">
        <f>IFERROR(__xludf.DUMMYFUNCTION("""COMPUTED_VALUE"""),"tVZtfi")</f>
        <v>tVZtfi</v>
      </c>
      <c r="P615" s="9"/>
      <c r="Q615" s="9"/>
      <c r="R615" s="9"/>
      <c r="S615" s="42"/>
      <c r="T615" s="42"/>
      <c r="U615" s="42"/>
      <c r="V615" s="42"/>
      <c r="W615" s="42"/>
      <c r="X615" s="42"/>
      <c r="Y615" s="42"/>
      <c r="Z615" s="42"/>
      <c r="AA615" s="42"/>
      <c r="AB615" s="42" t="str">
        <f>IFERROR(__xludf.DUMMYFUNCTION("""COMPUTED_VALUE"""),"allen institute")</f>
        <v>allen institute</v>
      </c>
      <c r="AC615" s="42" t="str">
        <f>IFERROR(__xludf.DUMMYFUNCTION("""COMPUTED_VALUE"""),"DHBA")</f>
        <v>DHBA</v>
      </c>
      <c r="AD615" s="42"/>
      <c r="AE615" s="42"/>
      <c r="AF615" s="9"/>
      <c r="AG615" s="9"/>
      <c r="AH615" s="42"/>
      <c r="AI615" s="42"/>
      <c r="AJ615" s="42"/>
      <c r="AK615" s="42"/>
      <c r="AL615" s="42"/>
      <c r="AM615" s="42"/>
      <c r="AN615" s="42"/>
      <c r="AO615" s="63" t="str">
        <f>IFERROR(__xludf.DUMMYFUNCTION("IF(ISBLANK(A615),,IF(ISBLANK(S615), A615&amp;"";"", TEXTJOIN(CHAR(10), TRUE, A615&amp;"";"", ARRAYFORMULA(VLOOKUP(SPLIT(S615, "";"" &amp; CHAR(10)), $A:$AO, 41, FALSE)))))"),"tVZtfi;")</f>
        <v>tVZtfi;</v>
      </c>
      <c r="AP615" s="89"/>
    </row>
    <row r="616">
      <c r="A616" s="151" t="str">
        <f>IFERROR(__xludf.DUMMYFUNCTION("""COMPUTED_VALUE"""),"tVZph")</f>
        <v>tVZph</v>
      </c>
      <c r="B616" s="42" t="str">
        <f>IFERROR(__xludf.DUMMYFUNCTION("""COMPUTED_VALUE"""),"DHBA")</f>
        <v>DHBA</v>
      </c>
      <c r="C616" s="42" t="str">
        <f>IFERROR(__xludf.DUMMYFUNCTION("""COMPUTED_VALUE"""),"VZ in posterior parahippocampal cortex")</f>
        <v>VZ in posterior parahippocampal cortex</v>
      </c>
      <c r="D616" s="42">
        <f>IFERROR(__xludf.DUMMYFUNCTION("""COMPUTED_VALUE"""),582.0)</f>
        <v>582</v>
      </c>
      <c r="E616" s="39" t="str">
        <f>IFERROR(__xludf.DUMMYFUNCTION("""COMPUTED_VALUE"""),"VZ in posterior parahippocampal cortex")</f>
        <v>VZ in posterior parahippocampal cortex</v>
      </c>
      <c r="F616" s="9" t="str">
        <f>IFERROR(__xludf.DUMMYFUNCTION("""COMPUTED_VALUE"""),"Br")</f>
        <v>Br</v>
      </c>
      <c r="G616" s="9" t="str">
        <f>IFERROR(__xludf.DUMMYFUNCTION("""COMPUTED_VALUE"""),"F")</f>
        <v>F</v>
      </c>
      <c r="H616" s="9" t="str">
        <f>IFERROR(__xludf.DUMMYFUNCTION("""COMPUTED_VALUE"""),"FGM")</f>
        <v>FGM</v>
      </c>
      <c r="I616" s="9" t="str">
        <f>IFERROR(__xludf.DUMMYFUNCTION("""COMPUTED_VALUE"""),"FTS")</f>
        <v>FTS</v>
      </c>
      <c r="J616" s="9" t="str">
        <f>IFERROR(__xludf.DUMMYFUNCTION("""COMPUTED_VALUE"""),"VZ")</f>
        <v>VZ</v>
      </c>
      <c r="K616" s="9" t="str">
        <f>IFERROR(__xludf.DUMMYFUNCTION("""COMPUTED_VALUE"""),"tVZ")</f>
        <v>tVZ</v>
      </c>
      <c r="L616" s="9" t="str">
        <f>IFERROR(__xludf.DUMMYFUNCTION("""COMPUTED_VALUE"""),"tVZph")</f>
        <v>tVZph</v>
      </c>
      <c r="M616" s="9"/>
      <c r="N616" s="9"/>
      <c r="O616" s="9"/>
      <c r="P616" s="9"/>
      <c r="Q616" s="9"/>
      <c r="R616" s="9"/>
      <c r="S616" s="42" t="str">
        <f>IFERROR(__xludf.DUMMYFUNCTION("""COMPUTED_VALUE"""),"tVZpho;
tVZphi")</f>
        <v>tVZpho;
tVZphi</v>
      </c>
      <c r="T616" s="42"/>
      <c r="U616" s="42" t="b">
        <f>IFERROR(__xludf.DUMMYFUNCTION("""COMPUTED_VALUE"""),FALSE)</f>
        <v>0</v>
      </c>
      <c r="V616" s="42"/>
      <c r="W616" s="42"/>
      <c r="X616" s="42"/>
      <c r="Y616" s="42"/>
      <c r="Z616" s="42"/>
      <c r="AA616" s="42"/>
      <c r="AB616" s="42" t="str">
        <f>IFERROR(__xludf.DUMMYFUNCTION("""COMPUTED_VALUE"""),"allen institute")</f>
        <v>allen institute</v>
      </c>
      <c r="AC616" s="42" t="str">
        <f>IFERROR(__xludf.DUMMYFUNCTION("""COMPUTED_VALUE"""),"DHBA")</f>
        <v>DHBA</v>
      </c>
      <c r="AD616" s="42"/>
      <c r="AE616" s="42"/>
      <c r="AF616" s="9"/>
      <c r="AG616" s="9"/>
      <c r="AH616" s="42"/>
      <c r="AI616" s="42"/>
      <c r="AJ616" s="42"/>
      <c r="AK616" s="42"/>
      <c r="AL616" s="42"/>
      <c r="AM616" s="42"/>
      <c r="AN616" s="42"/>
      <c r="AO616" s="63" t="str">
        <f>IFERROR(__xludf.DUMMYFUNCTION("IF(ISBLANK(A616),,IF(ISBLANK(S616), A616&amp;"";"", TEXTJOIN(CHAR(10), TRUE, A616&amp;"";"", ARRAYFORMULA(VLOOKUP(SPLIT(S616, "";"" &amp; CHAR(10)), $A:$AO, 41, FALSE)))))"),"tVZph;
tVZpho;
tVZphi;")</f>
        <v>tVZph;
tVZpho;
tVZphi;</v>
      </c>
      <c r="AP616" s="89"/>
    </row>
    <row r="617">
      <c r="A617" s="151" t="str">
        <f>IFERROR(__xludf.DUMMYFUNCTION("""COMPUTED_VALUE"""),"tVZpho")</f>
        <v>tVZpho</v>
      </c>
      <c r="B617" s="42" t="str">
        <f>IFERROR(__xludf.DUMMYFUNCTION("""COMPUTED_VALUE"""),"DHBA")</f>
        <v>DHBA</v>
      </c>
      <c r="C617" s="42" t="str">
        <f>IFERROR(__xludf.DUMMYFUNCTION("""COMPUTED_VALUE"""),"outer VZ in posterior parahippocampal cortex")</f>
        <v>outer VZ in posterior parahippocampal cortex</v>
      </c>
      <c r="D617" s="42">
        <f>IFERROR(__xludf.DUMMYFUNCTION("""COMPUTED_VALUE"""),583.0)</f>
        <v>583</v>
      </c>
      <c r="E617" s="39" t="str">
        <f>IFERROR(__xludf.DUMMYFUNCTION("""COMPUTED_VALUE"""),"outer VZ in posterior parahippocampal cortex")</f>
        <v>outer VZ in posterior parahippocampal cortex</v>
      </c>
      <c r="F617" s="9" t="str">
        <f>IFERROR(__xludf.DUMMYFUNCTION("""COMPUTED_VALUE"""),"Br")</f>
        <v>Br</v>
      </c>
      <c r="G617" s="9" t="str">
        <f>IFERROR(__xludf.DUMMYFUNCTION("""COMPUTED_VALUE"""),"F")</f>
        <v>F</v>
      </c>
      <c r="H617" s="9" t="str">
        <f>IFERROR(__xludf.DUMMYFUNCTION("""COMPUTED_VALUE"""),"FGM")</f>
        <v>FGM</v>
      </c>
      <c r="I617" s="9" t="str">
        <f>IFERROR(__xludf.DUMMYFUNCTION("""COMPUTED_VALUE"""),"FTS")</f>
        <v>FTS</v>
      </c>
      <c r="J617" s="9" t="str">
        <f>IFERROR(__xludf.DUMMYFUNCTION("""COMPUTED_VALUE"""),"VZ")</f>
        <v>VZ</v>
      </c>
      <c r="K617" s="9" t="str">
        <f>IFERROR(__xludf.DUMMYFUNCTION("""COMPUTED_VALUE"""),"tVZ")</f>
        <v>tVZ</v>
      </c>
      <c r="L617" s="9" t="str">
        <f>IFERROR(__xludf.DUMMYFUNCTION("""COMPUTED_VALUE"""),"tVZph")</f>
        <v>tVZph</v>
      </c>
      <c r="M617" s="9" t="str">
        <f>IFERROR(__xludf.DUMMYFUNCTION("""COMPUTED_VALUE"""),"tVZpho")</f>
        <v>tVZpho</v>
      </c>
      <c r="N617" s="9"/>
      <c r="O617" s="9"/>
      <c r="P617" s="9"/>
      <c r="Q617" s="9"/>
      <c r="R617" s="9"/>
      <c r="S617" s="42"/>
      <c r="T617" s="42"/>
      <c r="U617" s="42"/>
      <c r="V617" s="42"/>
      <c r="W617" s="42"/>
      <c r="X617" s="42"/>
      <c r="Y617" s="42"/>
      <c r="Z617" s="42"/>
      <c r="AA617" s="42"/>
      <c r="AB617" s="42" t="str">
        <f>IFERROR(__xludf.DUMMYFUNCTION("""COMPUTED_VALUE"""),"allen institute")</f>
        <v>allen institute</v>
      </c>
      <c r="AC617" s="42" t="str">
        <f>IFERROR(__xludf.DUMMYFUNCTION("""COMPUTED_VALUE"""),"DHBA")</f>
        <v>DHBA</v>
      </c>
      <c r="AD617" s="42"/>
      <c r="AE617" s="42"/>
      <c r="AF617" s="9"/>
      <c r="AG617" s="9"/>
      <c r="AH617" s="42"/>
      <c r="AI617" s="42"/>
      <c r="AJ617" s="42"/>
      <c r="AK617" s="42"/>
      <c r="AL617" s="42"/>
      <c r="AM617" s="42"/>
      <c r="AN617" s="42"/>
      <c r="AO617" s="63" t="str">
        <f>IFERROR(__xludf.DUMMYFUNCTION("IF(ISBLANK(A617),,IF(ISBLANK(S617), A617&amp;"";"", TEXTJOIN(CHAR(10), TRUE, A617&amp;"";"", ARRAYFORMULA(VLOOKUP(SPLIT(S617, "";"" &amp; CHAR(10)), $A:$AO, 41, FALSE)))))"),"tVZpho;")</f>
        <v>tVZpho;</v>
      </c>
      <c r="AP617" s="89"/>
    </row>
    <row r="618">
      <c r="A618" s="151" t="str">
        <f>IFERROR(__xludf.DUMMYFUNCTION("""COMPUTED_VALUE"""),"tVZphi")</f>
        <v>tVZphi</v>
      </c>
      <c r="B618" s="42" t="str">
        <f>IFERROR(__xludf.DUMMYFUNCTION("""COMPUTED_VALUE"""),"DHBA")</f>
        <v>DHBA</v>
      </c>
      <c r="C618" s="42" t="str">
        <f>IFERROR(__xludf.DUMMYFUNCTION("""COMPUTED_VALUE"""),"inner VZ in posterior parahippocampal cortex")</f>
        <v>inner VZ in posterior parahippocampal cortex</v>
      </c>
      <c r="D618" s="42">
        <f>IFERROR(__xludf.DUMMYFUNCTION("""COMPUTED_VALUE"""),584.0)</f>
        <v>584</v>
      </c>
      <c r="E618" s="39" t="str">
        <f>IFERROR(__xludf.DUMMYFUNCTION("""COMPUTED_VALUE"""),"inner VZ in posterior parahippocampal cortex")</f>
        <v>inner VZ in posterior parahippocampal cortex</v>
      </c>
      <c r="F618" s="9" t="str">
        <f>IFERROR(__xludf.DUMMYFUNCTION("""COMPUTED_VALUE"""),"Br")</f>
        <v>Br</v>
      </c>
      <c r="G618" s="9" t="str">
        <f>IFERROR(__xludf.DUMMYFUNCTION("""COMPUTED_VALUE"""),"F")</f>
        <v>F</v>
      </c>
      <c r="H618" s="9" t="str">
        <f>IFERROR(__xludf.DUMMYFUNCTION("""COMPUTED_VALUE"""),"FGM")</f>
        <v>FGM</v>
      </c>
      <c r="I618" s="9" t="str">
        <f>IFERROR(__xludf.DUMMYFUNCTION("""COMPUTED_VALUE"""),"FTS")</f>
        <v>FTS</v>
      </c>
      <c r="J618" s="9" t="str">
        <f>IFERROR(__xludf.DUMMYFUNCTION("""COMPUTED_VALUE"""),"VZ")</f>
        <v>VZ</v>
      </c>
      <c r="K618" s="9" t="str">
        <f>IFERROR(__xludf.DUMMYFUNCTION("""COMPUTED_VALUE"""),"tVZ")</f>
        <v>tVZ</v>
      </c>
      <c r="L618" s="9" t="str">
        <f>IFERROR(__xludf.DUMMYFUNCTION("""COMPUTED_VALUE"""),"tVZph")</f>
        <v>tVZph</v>
      </c>
      <c r="M618" s="9" t="str">
        <f>IFERROR(__xludf.DUMMYFUNCTION("""COMPUTED_VALUE"""),"tVZphi")</f>
        <v>tVZphi</v>
      </c>
      <c r="N618" s="9"/>
      <c r="O618" s="9"/>
      <c r="P618" s="9"/>
      <c r="Q618" s="9"/>
      <c r="R618" s="9"/>
      <c r="S618" s="42"/>
      <c r="T618" s="42"/>
      <c r="U618" s="42"/>
      <c r="V618" s="42"/>
      <c r="W618" s="42"/>
      <c r="X618" s="42"/>
      <c r="Y618" s="42"/>
      <c r="Z618" s="42"/>
      <c r="AA618" s="42"/>
      <c r="AB618" s="42" t="str">
        <f>IFERROR(__xludf.DUMMYFUNCTION("""COMPUTED_VALUE"""),"allen institute")</f>
        <v>allen institute</v>
      </c>
      <c r="AC618" s="42" t="str">
        <f>IFERROR(__xludf.DUMMYFUNCTION("""COMPUTED_VALUE"""),"DHBA")</f>
        <v>DHBA</v>
      </c>
      <c r="AD618" s="42"/>
      <c r="AE618" s="42"/>
      <c r="AF618" s="9"/>
      <c r="AG618" s="9"/>
      <c r="AH618" s="42"/>
      <c r="AI618" s="42"/>
      <c r="AJ618" s="42"/>
      <c r="AK618" s="42"/>
      <c r="AL618" s="42"/>
      <c r="AM618" s="42"/>
      <c r="AN618" s="42"/>
      <c r="AO618" s="63" t="str">
        <f>IFERROR(__xludf.DUMMYFUNCTION("IF(ISBLANK(A618),,IF(ISBLANK(S618), A618&amp;"";"", TEXTJOIN(CHAR(10), TRUE, A618&amp;"";"", ARRAYFORMULA(VLOOKUP(SPLIT(S618, "";"" &amp; CHAR(10)), $A:$AO, 41, FALSE)))))"),"tVZphi;")</f>
        <v>tVZphi;</v>
      </c>
      <c r="AP618" s="89"/>
    </row>
    <row r="619">
      <c r="A619" s="151" t="str">
        <f>IFERROR(__xludf.DUMMYFUNCTION("""COMPUTED_VALUE"""),"tVZmt")</f>
        <v>tVZmt</v>
      </c>
      <c r="B619" s="42" t="str">
        <f>IFERROR(__xludf.DUMMYFUNCTION("""COMPUTED_VALUE"""),"DHBA")</f>
        <v>DHBA</v>
      </c>
      <c r="C619" s="42" t="str">
        <f>IFERROR(__xludf.DUMMYFUNCTION("""COMPUTED_VALUE"""),"VZ in medial temporal-occipital cortex")</f>
        <v>VZ in medial temporal-occipital cortex</v>
      </c>
      <c r="D619" s="42">
        <f>IFERROR(__xludf.DUMMYFUNCTION("""COMPUTED_VALUE"""),585.0)</f>
        <v>585</v>
      </c>
      <c r="E619" s="39" t="str">
        <f>IFERROR(__xludf.DUMMYFUNCTION("""COMPUTED_VALUE"""),"VZ in medial temporal-occipital cortex")</f>
        <v>VZ in medial temporal-occipital cortex</v>
      </c>
      <c r="F619" s="9" t="str">
        <f>IFERROR(__xludf.DUMMYFUNCTION("""COMPUTED_VALUE"""),"Br")</f>
        <v>Br</v>
      </c>
      <c r="G619" s="9" t="str">
        <f>IFERROR(__xludf.DUMMYFUNCTION("""COMPUTED_VALUE"""),"F")</f>
        <v>F</v>
      </c>
      <c r="H619" s="9" t="str">
        <f>IFERROR(__xludf.DUMMYFUNCTION("""COMPUTED_VALUE"""),"FGM")</f>
        <v>FGM</v>
      </c>
      <c r="I619" s="9" t="str">
        <f>IFERROR(__xludf.DUMMYFUNCTION("""COMPUTED_VALUE"""),"FTS")</f>
        <v>FTS</v>
      </c>
      <c r="J619" s="9" t="str">
        <f>IFERROR(__xludf.DUMMYFUNCTION("""COMPUTED_VALUE"""),"VZ")</f>
        <v>VZ</v>
      </c>
      <c r="K619" s="9" t="str">
        <f>IFERROR(__xludf.DUMMYFUNCTION("""COMPUTED_VALUE"""),"tVZ")</f>
        <v>tVZ</v>
      </c>
      <c r="L619" s="9" t="str">
        <f>IFERROR(__xludf.DUMMYFUNCTION("""COMPUTED_VALUE"""),"tVZmt")</f>
        <v>tVZmt</v>
      </c>
      <c r="M619" s="9"/>
      <c r="N619" s="9"/>
      <c r="O619" s="9"/>
      <c r="P619" s="9"/>
      <c r="Q619" s="9"/>
      <c r="R619" s="9"/>
      <c r="S619" s="42"/>
      <c r="T619" s="42"/>
      <c r="U619" s="42"/>
      <c r="V619" s="42"/>
      <c r="W619" s="42"/>
      <c r="X619" s="42"/>
      <c r="Y619" s="42"/>
      <c r="Z619" s="42"/>
      <c r="AA619" s="42"/>
      <c r="AB619" s="42" t="str">
        <f>IFERROR(__xludf.DUMMYFUNCTION("""COMPUTED_VALUE"""),"allen institute")</f>
        <v>allen institute</v>
      </c>
      <c r="AC619" s="42" t="str">
        <f>IFERROR(__xludf.DUMMYFUNCTION("""COMPUTED_VALUE"""),"DHBA")</f>
        <v>DHBA</v>
      </c>
      <c r="AD619" s="42"/>
      <c r="AE619" s="42"/>
      <c r="AF619" s="9"/>
      <c r="AG619" s="9"/>
      <c r="AH619" s="42"/>
      <c r="AI619" s="42"/>
      <c r="AJ619" s="42"/>
      <c r="AK619" s="42"/>
      <c r="AL619" s="42"/>
      <c r="AM619" s="42"/>
      <c r="AN619" s="42"/>
      <c r="AO619" s="63" t="str">
        <f>IFERROR(__xludf.DUMMYFUNCTION("IF(ISBLANK(A619),,IF(ISBLANK(S619), A619&amp;"";"", TEXTJOIN(CHAR(10), TRUE, A619&amp;"";"", ARRAYFORMULA(VLOOKUP(SPLIT(S619, "";"" &amp; CHAR(10)), $A:$AO, 41, FALSE)))))"),"tVZmt;")</f>
        <v>tVZmt;</v>
      </c>
      <c r="AP619" s="89"/>
    </row>
    <row r="620">
      <c r="A620" s="151" t="str">
        <f>IFERROR(__xludf.DUMMYFUNCTION("""COMPUTED_VALUE"""),"tVZlt")</f>
        <v>tVZlt</v>
      </c>
      <c r="B620" s="42" t="str">
        <f>IFERROR(__xludf.DUMMYFUNCTION("""COMPUTED_VALUE"""),"DHBA")</f>
        <v>DHBA</v>
      </c>
      <c r="C620" s="42" t="str">
        <f>IFERROR(__xludf.DUMMYFUNCTION("""COMPUTED_VALUE"""),"VZ in lateral temporal-occipital cortex")</f>
        <v>VZ in lateral temporal-occipital cortex</v>
      </c>
      <c r="D620" s="42">
        <f>IFERROR(__xludf.DUMMYFUNCTION("""COMPUTED_VALUE"""),586.0)</f>
        <v>586</v>
      </c>
      <c r="E620" s="39" t="str">
        <f>IFERROR(__xludf.DUMMYFUNCTION("""COMPUTED_VALUE"""),"VZ in lateral temporal-occipital cortex")</f>
        <v>VZ in lateral temporal-occipital cortex</v>
      </c>
      <c r="F620" s="9" t="str">
        <f>IFERROR(__xludf.DUMMYFUNCTION("""COMPUTED_VALUE"""),"Br")</f>
        <v>Br</v>
      </c>
      <c r="G620" s="9" t="str">
        <f>IFERROR(__xludf.DUMMYFUNCTION("""COMPUTED_VALUE"""),"F")</f>
        <v>F</v>
      </c>
      <c r="H620" s="9" t="str">
        <f>IFERROR(__xludf.DUMMYFUNCTION("""COMPUTED_VALUE"""),"FGM")</f>
        <v>FGM</v>
      </c>
      <c r="I620" s="9" t="str">
        <f>IFERROR(__xludf.DUMMYFUNCTION("""COMPUTED_VALUE"""),"FTS")</f>
        <v>FTS</v>
      </c>
      <c r="J620" s="9" t="str">
        <f>IFERROR(__xludf.DUMMYFUNCTION("""COMPUTED_VALUE"""),"VZ")</f>
        <v>VZ</v>
      </c>
      <c r="K620" s="9" t="str">
        <f>IFERROR(__xludf.DUMMYFUNCTION("""COMPUTED_VALUE"""),"tVZ")</f>
        <v>tVZ</v>
      </c>
      <c r="L620" s="9" t="str">
        <f>IFERROR(__xludf.DUMMYFUNCTION("""COMPUTED_VALUE"""),"tVZlt")</f>
        <v>tVZlt</v>
      </c>
      <c r="M620" s="9"/>
      <c r="N620" s="9"/>
      <c r="O620" s="9"/>
      <c r="P620" s="9"/>
      <c r="Q620" s="9"/>
      <c r="R620" s="9"/>
      <c r="S620" s="42"/>
      <c r="T620" s="42"/>
      <c r="U620" s="42"/>
      <c r="V620" s="42"/>
      <c r="W620" s="42"/>
      <c r="X620" s="42"/>
      <c r="Y620" s="42"/>
      <c r="Z620" s="42"/>
      <c r="AA620" s="42"/>
      <c r="AB620" s="42" t="str">
        <f>IFERROR(__xludf.DUMMYFUNCTION("""COMPUTED_VALUE"""),"allen institute")</f>
        <v>allen institute</v>
      </c>
      <c r="AC620" s="42" t="str">
        <f>IFERROR(__xludf.DUMMYFUNCTION("""COMPUTED_VALUE"""),"DHBA")</f>
        <v>DHBA</v>
      </c>
      <c r="AD620" s="42"/>
      <c r="AE620" s="42"/>
      <c r="AF620" s="9"/>
      <c r="AG620" s="9"/>
      <c r="AH620" s="42"/>
      <c r="AI620" s="42"/>
      <c r="AJ620" s="42"/>
      <c r="AK620" s="42"/>
      <c r="AL620" s="42"/>
      <c r="AM620" s="42"/>
      <c r="AN620" s="42"/>
      <c r="AO620" s="63" t="str">
        <f>IFERROR(__xludf.DUMMYFUNCTION("IF(ISBLANK(A620),,IF(ISBLANK(S620), A620&amp;"";"", TEXTJOIN(CHAR(10), TRUE, A620&amp;"";"", ARRAYFORMULA(VLOOKUP(SPLIT(S620, "";"" &amp; CHAR(10)), $A:$AO, 41, FALSE)))))"),"tVZlt;")</f>
        <v>tVZlt;</v>
      </c>
      <c r="AP620" s="89"/>
    </row>
    <row r="621">
      <c r="A621" s="151" t="str">
        <f>IFERROR(__xludf.DUMMYFUNCTION("""COMPUTED_VALUE"""),"tVZtp")</f>
        <v>tVZtp</v>
      </c>
      <c r="B621" s="42" t="str">
        <f>IFERROR(__xludf.DUMMYFUNCTION("""COMPUTED_VALUE"""),"DHBA")</f>
        <v>DHBA</v>
      </c>
      <c r="C621" s="42" t="str">
        <f>IFERROR(__xludf.DUMMYFUNCTION("""COMPUTED_VALUE"""),"VZ in temporal polar cortex")</f>
        <v>VZ in temporal polar cortex</v>
      </c>
      <c r="D621" s="42">
        <f>IFERROR(__xludf.DUMMYFUNCTION("""COMPUTED_VALUE"""),587.0)</f>
        <v>587</v>
      </c>
      <c r="E621" s="39" t="str">
        <f>IFERROR(__xludf.DUMMYFUNCTION("""COMPUTED_VALUE"""),"VZ in temporal polar cortex")</f>
        <v>VZ in temporal polar cortex</v>
      </c>
      <c r="F621" s="9" t="str">
        <f>IFERROR(__xludf.DUMMYFUNCTION("""COMPUTED_VALUE"""),"Br")</f>
        <v>Br</v>
      </c>
      <c r="G621" s="9" t="str">
        <f>IFERROR(__xludf.DUMMYFUNCTION("""COMPUTED_VALUE"""),"F")</f>
        <v>F</v>
      </c>
      <c r="H621" s="9" t="str">
        <f>IFERROR(__xludf.DUMMYFUNCTION("""COMPUTED_VALUE"""),"FGM")</f>
        <v>FGM</v>
      </c>
      <c r="I621" s="9" t="str">
        <f>IFERROR(__xludf.DUMMYFUNCTION("""COMPUTED_VALUE"""),"FTS")</f>
        <v>FTS</v>
      </c>
      <c r="J621" s="9" t="str">
        <f>IFERROR(__xludf.DUMMYFUNCTION("""COMPUTED_VALUE"""),"VZ")</f>
        <v>VZ</v>
      </c>
      <c r="K621" s="9" t="str">
        <f>IFERROR(__xludf.DUMMYFUNCTION("""COMPUTED_VALUE"""),"tVZ")</f>
        <v>tVZ</v>
      </c>
      <c r="L621" s="9" t="str">
        <f>IFERROR(__xludf.DUMMYFUNCTION("""COMPUTED_VALUE"""),"tVZtp")</f>
        <v>tVZtp</v>
      </c>
      <c r="M621" s="9"/>
      <c r="N621" s="9"/>
      <c r="O621" s="9"/>
      <c r="P621" s="9"/>
      <c r="Q621" s="9"/>
      <c r="R621" s="9"/>
      <c r="S621" s="42"/>
      <c r="T621" s="42"/>
      <c r="U621" s="159"/>
      <c r="V621" s="42"/>
      <c r="W621" s="42"/>
      <c r="X621" s="42"/>
      <c r="Y621" s="42"/>
      <c r="Z621" s="42"/>
      <c r="AA621" s="42"/>
      <c r="AB621" s="42" t="str">
        <f>IFERROR(__xludf.DUMMYFUNCTION("""COMPUTED_VALUE"""),"allen institute")</f>
        <v>allen institute</v>
      </c>
      <c r="AC621" s="42" t="str">
        <f>IFERROR(__xludf.DUMMYFUNCTION("""COMPUTED_VALUE"""),"DHBA")</f>
        <v>DHBA</v>
      </c>
      <c r="AD621" s="42"/>
      <c r="AE621" s="42"/>
      <c r="AF621" s="9"/>
      <c r="AG621" s="9"/>
      <c r="AH621" s="42"/>
      <c r="AI621" s="42"/>
      <c r="AJ621" s="42"/>
      <c r="AK621" s="42"/>
      <c r="AL621" s="42"/>
      <c r="AM621" s="42"/>
      <c r="AN621" s="42"/>
      <c r="AO621" s="63" t="str">
        <f>IFERROR(__xludf.DUMMYFUNCTION("IF(ISBLANK(A621),,IF(ISBLANK(S621), A621&amp;"";"", TEXTJOIN(CHAR(10), TRUE, A621&amp;"";"", ARRAYFORMULA(VLOOKUP(SPLIT(S621, "";"" &amp; CHAR(10)), $A:$AO, 41, FALSE)))))"),"tVZtp;")</f>
        <v>tVZtp;</v>
      </c>
      <c r="AP621" s="89"/>
    </row>
    <row r="622">
      <c r="A622" s="151" t="str">
        <f>IFERROR(__xludf.DUMMYFUNCTION("""COMPUTED_VALUE"""),"oVZ")</f>
        <v>oVZ</v>
      </c>
      <c r="B622" s="42" t="str">
        <f>IFERROR(__xludf.DUMMYFUNCTION("""COMPUTED_VALUE"""),"DHBA")</f>
        <v>DHBA</v>
      </c>
      <c r="C622" s="42" t="str">
        <f>IFERROR(__xludf.DUMMYFUNCTION("""COMPUTED_VALUE"""),"VZ in occipital neocortex")</f>
        <v>VZ in occipital neocortex</v>
      </c>
      <c r="D622" s="42">
        <f>IFERROR(__xludf.DUMMYFUNCTION("""COMPUTED_VALUE"""),588.0)</f>
        <v>588</v>
      </c>
      <c r="E622" s="39" t="str">
        <f>IFERROR(__xludf.DUMMYFUNCTION("""COMPUTED_VALUE"""),"VZ in occipital neocortex")</f>
        <v>VZ in occipital neocortex</v>
      </c>
      <c r="F622" s="9" t="str">
        <f>IFERROR(__xludf.DUMMYFUNCTION("""COMPUTED_VALUE"""),"Br")</f>
        <v>Br</v>
      </c>
      <c r="G622" s="9" t="str">
        <f>IFERROR(__xludf.DUMMYFUNCTION("""COMPUTED_VALUE"""),"F")</f>
        <v>F</v>
      </c>
      <c r="H622" s="9" t="str">
        <f>IFERROR(__xludf.DUMMYFUNCTION("""COMPUTED_VALUE"""),"FGM")</f>
        <v>FGM</v>
      </c>
      <c r="I622" s="9" t="str">
        <f>IFERROR(__xludf.DUMMYFUNCTION("""COMPUTED_VALUE"""),"FTS")</f>
        <v>FTS</v>
      </c>
      <c r="J622" s="9" t="str">
        <f>IFERROR(__xludf.DUMMYFUNCTION("""COMPUTED_VALUE"""),"VZ")</f>
        <v>VZ</v>
      </c>
      <c r="K622" s="9" t="str">
        <f>IFERROR(__xludf.DUMMYFUNCTION("""COMPUTED_VALUE"""),"oVZ")</f>
        <v>oVZ</v>
      </c>
      <c r="L622" s="9"/>
      <c r="M622" s="9"/>
      <c r="N622" s="9"/>
      <c r="O622" s="9"/>
      <c r="P622" s="9"/>
      <c r="Q622" s="9"/>
      <c r="R622" s="9"/>
      <c r="S622" s="42" t="str">
        <f>IFERROR(__xludf.DUMMYFUNCTION("""COMPUTED_VALUE"""),"oVZpro;
oVZv1;
oVZexs")</f>
        <v>oVZpro;
oVZv1;
oVZexs</v>
      </c>
      <c r="T622" s="42"/>
      <c r="U622" s="42" t="b">
        <f>IFERROR(__xludf.DUMMYFUNCTION("""COMPUTED_VALUE"""),FALSE)</f>
        <v>0</v>
      </c>
      <c r="V622" s="42"/>
      <c r="W622" s="42"/>
      <c r="X622" s="42"/>
      <c r="Y622" s="42"/>
      <c r="Z622" s="42"/>
      <c r="AA622" s="42"/>
      <c r="AB622" s="42" t="str">
        <f>IFERROR(__xludf.DUMMYFUNCTION("""COMPUTED_VALUE"""),"allen institute")</f>
        <v>allen institute</v>
      </c>
      <c r="AC622" s="42" t="str">
        <f>IFERROR(__xludf.DUMMYFUNCTION("""COMPUTED_VALUE"""),"DHBA")</f>
        <v>DHBA</v>
      </c>
      <c r="AD622" s="42"/>
      <c r="AE622" s="42"/>
      <c r="AF622" s="9"/>
      <c r="AG622" s="9"/>
      <c r="AH622" s="42"/>
      <c r="AI622" s="42"/>
      <c r="AJ622" s="42"/>
      <c r="AK622" s="42"/>
      <c r="AL622" s="42"/>
      <c r="AM622" s="42"/>
      <c r="AN622" s="42"/>
      <c r="AO622" s="63" t="str">
        <f>IFERROR(__xludf.DUMMYFUNCTION("IF(ISBLANK(A622),,IF(ISBLANK(S622), A622&amp;"";"", TEXTJOIN(CHAR(10), TRUE, A622&amp;"";"", ARRAYFORMULA(VLOOKUP(SPLIT(S622, "";"" &amp; CHAR(10)), $A:$AO, 41, FALSE)))))"),"oVZ;
oVZpro;
oVZv1;
oVZv1o;
oVZv1i;
oVZexs;
oVZdm;
oVZvm;
oVZml;")</f>
        <v>oVZ;
oVZpro;
oVZv1;
oVZv1o;
oVZv1i;
oVZexs;
oVZdm;
oVZvm;
oVZml;</v>
      </c>
      <c r="AP622" s="89"/>
    </row>
    <row r="623">
      <c r="A623" s="151" t="str">
        <f>IFERROR(__xludf.DUMMYFUNCTION("""COMPUTED_VALUE"""),"oVZpro")</f>
        <v>oVZpro</v>
      </c>
      <c r="B623" s="42" t="str">
        <f>IFERROR(__xludf.DUMMYFUNCTION("""COMPUTED_VALUE"""),"DHBA")</f>
        <v>DHBA</v>
      </c>
      <c r="C623" s="42" t="str">
        <f>IFERROR(__xludf.DUMMYFUNCTION("""COMPUTED_VALUE"""),"VZ in area prostriata")</f>
        <v>VZ in area prostriata</v>
      </c>
      <c r="D623" s="42">
        <f>IFERROR(__xludf.DUMMYFUNCTION("""COMPUTED_VALUE"""),589.0)</f>
        <v>589</v>
      </c>
      <c r="E623" s="39" t="str">
        <f>IFERROR(__xludf.DUMMYFUNCTION("""COMPUTED_VALUE"""),"VZ in area prostriata")</f>
        <v>VZ in area prostriata</v>
      </c>
      <c r="F623" s="9" t="str">
        <f>IFERROR(__xludf.DUMMYFUNCTION("""COMPUTED_VALUE"""),"Br")</f>
        <v>Br</v>
      </c>
      <c r="G623" s="9" t="str">
        <f>IFERROR(__xludf.DUMMYFUNCTION("""COMPUTED_VALUE"""),"F")</f>
        <v>F</v>
      </c>
      <c r="H623" s="9" t="str">
        <f>IFERROR(__xludf.DUMMYFUNCTION("""COMPUTED_VALUE"""),"FGM")</f>
        <v>FGM</v>
      </c>
      <c r="I623" s="9" t="str">
        <f>IFERROR(__xludf.DUMMYFUNCTION("""COMPUTED_VALUE"""),"FTS")</f>
        <v>FTS</v>
      </c>
      <c r="J623" s="9" t="str">
        <f>IFERROR(__xludf.DUMMYFUNCTION("""COMPUTED_VALUE"""),"VZ")</f>
        <v>VZ</v>
      </c>
      <c r="K623" s="9" t="str">
        <f>IFERROR(__xludf.DUMMYFUNCTION("""COMPUTED_VALUE"""),"oVZ")</f>
        <v>oVZ</v>
      </c>
      <c r="L623" s="9" t="str">
        <f>IFERROR(__xludf.DUMMYFUNCTION("""COMPUTED_VALUE"""),"oVZpro")</f>
        <v>oVZpro</v>
      </c>
      <c r="M623" s="9"/>
      <c r="N623" s="9"/>
      <c r="O623" s="9"/>
      <c r="P623" s="9"/>
      <c r="Q623" s="9"/>
      <c r="R623" s="9"/>
      <c r="S623" s="42"/>
      <c r="T623" s="42"/>
      <c r="U623" s="42"/>
      <c r="V623" s="42"/>
      <c r="W623" s="42"/>
      <c r="X623" s="42"/>
      <c r="Y623" s="42"/>
      <c r="Z623" s="42"/>
      <c r="AA623" s="42"/>
      <c r="AB623" s="42" t="str">
        <f>IFERROR(__xludf.DUMMYFUNCTION("""COMPUTED_VALUE"""),"allen institute")</f>
        <v>allen institute</v>
      </c>
      <c r="AC623" s="42" t="str">
        <f>IFERROR(__xludf.DUMMYFUNCTION("""COMPUTED_VALUE"""),"DHBA")</f>
        <v>DHBA</v>
      </c>
      <c r="AD623" s="42"/>
      <c r="AE623" s="42"/>
      <c r="AF623" s="9"/>
      <c r="AG623" s="9"/>
      <c r="AH623" s="42"/>
      <c r="AI623" s="42"/>
      <c r="AJ623" s="42"/>
      <c r="AK623" s="42"/>
      <c r="AL623" s="42"/>
      <c r="AM623" s="42"/>
      <c r="AN623" s="42"/>
      <c r="AO623" s="63" t="str">
        <f>IFERROR(__xludf.DUMMYFUNCTION("IF(ISBLANK(A623),,IF(ISBLANK(S623), A623&amp;"";"", TEXTJOIN(CHAR(10), TRUE, A623&amp;"";"", ARRAYFORMULA(VLOOKUP(SPLIT(S623, "";"" &amp; CHAR(10)), $A:$AO, 41, FALSE)))))"),"oVZpro;")</f>
        <v>oVZpro;</v>
      </c>
      <c r="AP623" s="89"/>
    </row>
    <row r="624">
      <c r="A624" s="151" t="str">
        <f>IFERROR(__xludf.DUMMYFUNCTION("""COMPUTED_VALUE"""),"oVZv1")</f>
        <v>oVZv1</v>
      </c>
      <c r="B624" s="42" t="str">
        <f>IFERROR(__xludf.DUMMYFUNCTION("""COMPUTED_VALUE"""),"DHBA")</f>
        <v>DHBA</v>
      </c>
      <c r="C624" s="42" t="str">
        <f>IFERROR(__xludf.DUMMYFUNCTION("""COMPUTED_VALUE"""),"VZ in primary visual cortex")</f>
        <v>VZ in primary visual cortex</v>
      </c>
      <c r="D624" s="42">
        <f>IFERROR(__xludf.DUMMYFUNCTION("""COMPUTED_VALUE"""),590.0)</f>
        <v>590</v>
      </c>
      <c r="E624" s="39" t="str">
        <f>IFERROR(__xludf.DUMMYFUNCTION("""COMPUTED_VALUE"""),"VZ in primary visual cortex")</f>
        <v>VZ in primary visual cortex</v>
      </c>
      <c r="F624" s="9" t="str">
        <f>IFERROR(__xludf.DUMMYFUNCTION("""COMPUTED_VALUE"""),"Br")</f>
        <v>Br</v>
      </c>
      <c r="G624" s="9" t="str">
        <f>IFERROR(__xludf.DUMMYFUNCTION("""COMPUTED_VALUE"""),"F")</f>
        <v>F</v>
      </c>
      <c r="H624" s="9" t="str">
        <f>IFERROR(__xludf.DUMMYFUNCTION("""COMPUTED_VALUE"""),"FGM")</f>
        <v>FGM</v>
      </c>
      <c r="I624" s="9" t="str">
        <f>IFERROR(__xludf.DUMMYFUNCTION("""COMPUTED_VALUE"""),"FTS")</f>
        <v>FTS</v>
      </c>
      <c r="J624" s="9" t="str">
        <f>IFERROR(__xludf.DUMMYFUNCTION("""COMPUTED_VALUE"""),"VZ")</f>
        <v>VZ</v>
      </c>
      <c r="K624" s="9" t="str">
        <f>IFERROR(__xludf.DUMMYFUNCTION("""COMPUTED_VALUE"""),"oVZ")</f>
        <v>oVZ</v>
      </c>
      <c r="L624" s="9" t="str">
        <f>IFERROR(__xludf.DUMMYFUNCTION("""COMPUTED_VALUE"""),"oVZv1")</f>
        <v>oVZv1</v>
      </c>
      <c r="M624" s="9"/>
      <c r="N624" s="9"/>
      <c r="O624" s="9"/>
      <c r="P624" s="9"/>
      <c r="Q624" s="9"/>
      <c r="R624" s="9"/>
      <c r="S624" s="42" t="str">
        <f>IFERROR(__xludf.DUMMYFUNCTION("""COMPUTED_VALUE"""),"oVZv1o;
oVZv1i")</f>
        <v>oVZv1o;
oVZv1i</v>
      </c>
      <c r="T624" s="42"/>
      <c r="U624" s="42" t="b">
        <f>IFERROR(__xludf.DUMMYFUNCTION("""COMPUTED_VALUE"""),FALSE)</f>
        <v>0</v>
      </c>
      <c r="V624" s="42"/>
      <c r="W624" s="42"/>
      <c r="X624" s="42"/>
      <c r="Y624" s="42"/>
      <c r="Z624" s="42"/>
      <c r="AA624" s="42"/>
      <c r="AB624" s="42" t="str">
        <f>IFERROR(__xludf.DUMMYFUNCTION("""COMPUTED_VALUE"""),"allen institute")</f>
        <v>allen institute</v>
      </c>
      <c r="AC624" s="42" t="str">
        <f>IFERROR(__xludf.DUMMYFUNCTION("""COMPUTED_VALUE"""),"DHBA")</f>
        <v>DHBA</v>
      </c>
      <c r="AD624" s="42"/>
      <c r="AE624" s="42"/>
      <c r="AF624" s="9"/>
      <c r="AG624" s="9"/>
      <c r="AH624" s="42"/>
      <c r="AI624" s="42"/>
      <c r="AJ624" s="42"/>
      <c r="AK624" s="42"/>
      <c r="AL624" s="42"/>
      <c r="AM624" s="42"/>
      <c r="AN624" s="42"/>
      <c r="AO624" s="63" t="str">
        <f>IFERROR(__xludf.DUMMYFUNCTION("IF(ISBLANK(A624),,IF(ISBLANK(S624), A624&amp;"";"", TEXTJOIN(CHAR(10), TRUE, A624&amp;"";"", ARRAYFORMULA(VLOOKUP(SPLIT(S624, "";"" &amp; CHAR(10)), $A:$AO, 41, FALSE)))))"),"oVZv1;
oVZv1o;
oVZv1i;")</f>
        <v>oVZv1;
oVZv1o;
oVZv1i;</v>
      </c>
      <c r="AP624" s="89"/>
    </row>
    <row r="625">
      <c r="A625" s="151" t="str">
        <f>IFERROR(__xludf.DUMMYFUNCTION("""COMPUTED_VALUE"""),"oVZv1o")</f>
        <v>oVZv1o</v>
      </c>
      <c r="B625" s="42" t="str">
        <f>IFERROR(__xludf.DUMMYFUNCTION("""COMPUTED_VALUE"""),"DHBA")</f>
        <v>DHBA</v>
      </c>
      <c r="C625" s="42" t="str">
        <f>IFERROR(__xludf.DUMMYFUNCTION("""COMPUTED_VALUE"""),"outer VZ in primary visual cortex")</f>
        <v>outer VZ in primary visual cortex</v>
      </c>
      <c r="D625" s="42">
        <f>IFERROR(__xludf.DUMMYFUNCTION("""COMPUTED_VALUE"""),591.0)</f>
        <v>591</v>
      </c>
      <c r="E625" s="39" t="str">
        <f>IFERROR(__xludf.DUMMYFUNCTION("""COMPUTED_VALUE"""),"outer VZ in primary visual cortex")</f>
        <v>outer VZ in primary visual cortex</v>
      </c>
      <c r="F625" s="9" t="str">
        <f>IFERROR(__xludf.DUMMYFUNCTION("""COMPUTED_VALUE"""),"Br")</f>
        <v>Br</v>
      </c>
      <c r="G625" s="9" t="str">
        <f>IFERROR(__xludf.DUMMYFUNCTION("""COMPUTED_VALUE"""),"F")</f>
        <v>F</v>
      </c>
      <c r="H625" s="9" t="str">
        <f>IFERROR(__xludf.DUMMYFUNCTION("""COMPUTED_VALUE"""),"FGM")</f>
        <v>FGM</v>
      </c>
      <c r="I625" s="9" t="str">
        <f>IFERROR(__xludf.DUMMYFUNCTION("""COMPUTED_VALUE"""),"FTS")</f>
        <v>FTS</v>
      </c>
      <c r="J625" s="9" t="str">
        <f>IFERROR(__xludf.DUMMYFUNCTION("""COMPUTED_VALUE"""),"VZ")</f>
        <v>VZ</v>
      </c>
      <c r="K625" s="9" t="str">
        <f>IFERROR(__xludf.DUMMYFUNCTION("""COMPUTED_VALUE"""),"oVZ")</f>
        <v>oVZ</v>
      </c>
      <c r="L625" s="9" t="str">
        <f>IFERROR(__xludf.DUMMYFUNCTION("""COMPUTED_VALUE"""),"oVZv1")</f>
        <v>oVZv1</v>
      </c>
      <c r="M625" s="9" t="str">
        <f>IFERROR(__xludf.DUMMYFUNCTION("""COMPUTED_VALUE"""),"oVZv1o")</f>
        <v>oVZv1o</v>
      </c>
      <c r="N625" s="9"/>
      <c r="O625" s="9"/>
      <c r="P625" s="9"/>
      <c r="Q625" s="9"/>
      <c r="R625" s="9"/>
      <c r="S625" s="42"/>
      <c r="T625" s="42"/>
      <c r="U625" s="42"/>
      <c r="V625" s="42"/>
      <c r="W625" s="42"/>
      <c r="X625" s="42"/>
      <c r="Y625" s="42"/>
      <c r="Z625" s="42"/>
      <c r="AA625" s="42"/>
      <c r="AB625" s="42" t="str">
        <f>IFERROR(__xludf.DUMMYFUNCTION("""COMPUTED_VALUE"""),"allen institute")</f>
        <v>allen institute</v>
      </c>
      <c r="AC625" s="42" t="str">
        <f>IFERROR(__xludf.DUMMYFUNCTION("""COMPUTED_VALUE"""),"DHBA")</f>
        <v>DHBA</v>
      </c>
      <c r="AD625" s="42"/>
      <c r="AE625" s="42"/>
      <c r="AF625" s="9"/>
      <c r="AG625" s="9"/>
      <c r="AH625" s="42"/>
      <c r="AI625" s="42"/>
      <c r="AJ625" s="42"/>
      <c r="AK625" s="42"/>
      <c r="AL625" s="42"/>
      <c r="AM625" s="42"/>
      <c r="AN625" s="42"/>
      <c r="AO625" s="63" t="str">
        <f>IFERROR(__xludf.DUMMYFUNCTION("IF(ISBLANK(A625),,IF(ISBLANK(S625), A625&amp;"";"", TEXTJOIN(CHAR(10), TRUE, A625&amp;"";"", ARRAYFORMULA(VLOOKUP(SPLIT(S625, "";"" &amp; CHAR(10)), $A:$AO, 41, FALSE)))))"),"oVZv1o;")</f>
        <v>oVZv1o;</v>
      </c>
      <c r="AP625" s="89"/>
    </row>
    <row r="626">
      <c r="A626" s="151" t="str">
        <f>IFERROR(__xludf.DUMMYFUNCTION("""COMPUTED_VALUE"""),"oVZv1i")</f>
        <v>oVZv1i</v>
      </c>
      <c r="B626" s="42" t="str">
        <f>IFERROR(__xludf.DUMMYFUNCTION("""COMPUTED_VALUE"""),"DHBA")</f>
        <v>DHBA</v>
      </c>
      <c r="C626" s="42" t="str">
        <f>IFERROR(__xludf.DUMMYFUNCTION("""COMPUTED_VALUE"""),"inner VZ in primary visual cortex")</f>
        <v>inner VZ in primary visual cortex</v>
      </c>
      <c r="D626" s="42">
        <f>IFERROR(__xludf.DUMMYFUNCTION("""COMPUTED_VALUE"""),592.0)</f>
        <v>592</v>
      </c>
      <c r="E626" s="39" t="str">
        <f>IFERROR(__xludf.DUMMYFUNCTION("""COMPUTED_VALUE"""),"inner VZ in primary visual cortex")</f>
        <v>inner VZ in primary visual cortex</v>
      </c>
      <c r="F626" s="9" t="str">
        <f>IFERROR(__xludf.DUMMYFUNCTION("""COMPUTED_VALUE"""),"Br")</f>
        <v>Br</v>
      </c>
      <c r="G626" s="9" t="str">
        <f>IFERROR(__xludf.DUMMYFUNCTION("""COMPUTED_VALUE"""),"F")</f>
        <v>F</v>
      </c>
      <c r="H626" s="9" t="str">
        <f>IFERROR(__xludf.DUMMYFUNCTION("""COMPUTED_VALUE"""),"FGM")</f>
        <v>FGM</v>
      </c>
      <c r="I626" s="9" t="str">
        <f>IFERROR(__xludf.DUMMYFUNCTION("""COMPUTED_VALUE"""),"FTS")</f>
        <v>FTS</v>
      </c>
      <c r="J626" s="9" t="str">
        <f>IFERROR(__xludf.DUMMYFUNCTION("""COMPUTED_VALUE"""),"VZ")</f>
        <v>VZ</v>
      </c>
      <c r="K626" s="9" t="str">
        <f>IFERROR(__xludf.DUMMYFUNCTION("""COMPUTED_VALUE"""),"oVZ")</f>
        <v>oVZ</v>
      </c>
      <c r="L626" s="9" t="str">
        <f>IFERROR(__xludf.DUMMYFUNCTION("""COMPUTED_VALUE"""),"oVZv1")</f>
        <v>oVZv1</v>
      </c>
      <c r="M626" s="9" t="str">
        <f>IFERROR(__xludf.DUMMYFUNCTION("""COMPUTED_VALUE"""),"oVZv1i")</f>
        <v>oVZv1i</v>
      </c>
      <c r="N626" s="9"/>
      <c r="O626" s="9"/>
      <c r="P626" s="9"/>
      <c r="Q626" s="9"/>
      <c r="R626" s="9"/>
      <c r="S626" s="42"/>
      <c r="T626" s="42"/>
      <c r="U626" s="42"/>
      <c r="V626" s="42"/>
      <c r="W626" s="42"/>
      <c r="X626" s="42"/>
      <c r="Y626" s="42"/>
      <c r="Z626" s="42"/>
      <c r="AA626" s="42"/>
      <c r="AB626" s="42" t="str">
        <f>IFERROR(__xludf.DUMMYFUNCTION("""COMPUTED_VALUE"""),"allen institute")</f>
        <v>allen institute</v>
      </c>
      <c r="AC626" s="42" t="str">
        <f>IFERROR(__xludf.DUMMYFUNCTION("""COMPUTED_VALUE"""),"DHBA")</f>
        <v>DHBA</v>
      </c>
      <c r="AD626" s="42"/>
      <c r="AE626" s="42"/>
      <c r="AF626" s="9"/>
      <c r="AG626" s="9"/>
      <c r="AH626" s="42"/>
      <c r="AI626" s="42"/>
      <c r="AJ626" s="42"/>
      <c r="AK626" s="42"/>
      <c r="AL626" s="42"/>
      <c r="AM626" s="42"/>
      <c r="AN626" s="42"/>
      <c r="AO626" s="63" t="str">
        <f>IFERROR(__xludf.DUMMYFUNCTION("IF(ISBLANK(A626),,IF(ISBLANK(S626), A626&amp;"";"", TEXTJOIN(CHAR(10), TRUE, A626&amp;"";"", ARRAYFORMULA(VLOOKUP(SPLIT(S626, "";"" &amp; CHAR(10)), $A:$AO, 41, FALSE)))))"),"oVZv1i;")</f>
        <v>oVZv1i;</v>
      </c>
      <c r="AP626" s="89"/>
    </row>
    <row r="627">
      <c r="A627" s="151" t="str">
        <f>IFERROR(__xludf.DUMMYFUNCTION("""COMPUTED_VALUE"""),"oVZexs")</f>
        <v>oVZexs</v>
      </c>
      <c r="B627" s="42" t="str">
        <f>IFERROR(__xludf.DUMMYFUNCTION("""COMPUTED_VALUE"""),"DHBA")</f>
        <v>DHBA</v>
      </c>
      <c r="C627" s="42" t="str">
        <f>IFERROR(__xludf.DUMMYFUNCTION("""COMPUTED_VALUE"""),"VZ in extrastriate cortex")</f>
        <v>VZ in extrastriate cortex</v>
      </c>
      <c r="D627" s="42">
        <f>IFERROR(__xludf.DUMMYFUNCTION("""COMPUTED_VALUE"""),593.0)</f>
        <v>593</v>
      </c>
      <c r="E627" s="39" t="str">
        <f>IFERROR(__xludf.DUMMYFUNCTION("""COMPUTED_VALUE"""),"VZ in extrastriate cortex")</f>
        <v>VZ in extrastriate cortex</v>
      </c>
      <c r="F627" s="9" t="str">
        <f>IFERROR(__xludf.DUMMYFUNCTION("""COMPUTED_VALUE"""),"Br")</f>
        <v>Br</v>
      </c>
      <c r="G627" s="9" t="str">
        <f>IFERROR(__xludf.DUMMYFUNCTION("""COMPUTED_VALUE"""),"F")</f>
        <v>F</v>
      </c>
      <c r="H627" s="9" t="str">
        <f>IFERROR(__xludf.DUMMYFUNCTION("""COMPUTED_VALUE"""),"FGM")</f>
        <v>FGM</v>
      </c>
      <c r="I627" s="9" t="str">
        <f>IFERROR(__xludf.DUMMYFUNCTION("""COMPUTED_VALUE"""),"FTS")</f>
        <v>FTS</v>
      </c>
      <c r="J627" s="9" t="str">
        <f>IFERROR(__xludf.DUMMYFUNCTION("""COMPUTED_VALUE"""),"VZ")</f>
        <v>VZ</v>
      </c>
      <c r="K627" s="9" t="str">
        <f>IFERROR(__xludf.DUMMYFUNCTION("""COMPUTED_VALUE"""),"oVZ")</f>
        <v>oVZ</v>
      </c>
      <c r="L627" s="9" t="str">
        <f>IFERROR(__xludf.DUMMYFUNCTION("""COMPUTED_VALUE"""),"oVZexs")</f>
        <v>oVZexs</v>
      </c>
      <c r="M627" s="9"/>
      <c r="N627" s="9"/>
      <c r="O627" s="9"/>
      <c r="P627" s="9"/>
      <c r="Q627" s="9"/>
      <c r="R627" s="9"/>
      <c r="S627" s="42" t="str">
        <f>IFERROR(__xludf.DUMMYFUNCTION("""COMPUTED_VALUE"""),"oVZdm;
oVZvm;
oVZml")</f>
        <v>oVZdm;
oVZvm;
oVZml</v>
      </c>
      <c r="T627" s="42"/>
      <c r="U627" s="42" t="b">
        <f>IFERROR(__xludf.DUMMYFUNCTION("""COMPUTED_VALUE"""),FALSE)</f>
        <v>0</v>
      </c>
      <c r="V627" s="42"/>
      <c r="W627" s="42"/>
      <c r="X627" s="42"/>
      <c r="Y627" s="42"/>
      <c r="Z627" s="42"/>
      <c r="AA627" s="42"/>
      <c r="AB627" s="42" t="str">
        <f>IFERROR(__xludf.DUMMYFUNCTION("""COMPUTED_VALUE"""),"allen institute")</f>
        <v>allen institute</v>
      </c>
      <c r="AC627" s="42" t="str">
        <f>IFERROR(__xludf.DUMMYFUNCTION("""COMPUTED_VALUE"""),"DHBA")</f>
        <v>DHBA</v>
      </c>
      <c r="AD627" s="42"/>
      <c r="AE627" s="42"/>
      <c r="AF627" s="9"/>
      <c r="AG627" s="9"/>
      <c r="AH627" s="42"/>
      <c r="AI627" s="42"/>
      <c r="AJ627" s="42"/>
      <c r="AK627" s="42"/>
      <c r="AL627" s="42"/>
      <c r="AM627" s="42"/>
      <c r="AN627" s="42"/>
      <c r="AO627" s="63" t="str">
        <f>IFERROR(__xludf.DUMMYFUNCTION("IF(ISBLANK(A627),,IF(ISBLANK(S627), A627&amp;"";"", TEXTJOIN(CHAR(10), TRUE, A627&amp;"";"", ARRAYFORMULA(VLOOKUP(SPLIT(S627, "";"" &amp; CHAR(10)), $A:$AO, 41, FALSE)))))"),"oVZexs;
oVZdm;
oVZvm;
oVZml;")</f>
        <v>oVZexs;
oVZdm;
oVZvm;
oVZml;</v>
      </c>
      <c r="AP627" s="89"/>
    </row>
    <row r="628">
      <c r="A628" s="151" t="str">
        <f>IFERROR(__xludf.DUMMYFUNCTION("""COMPUTED_VALUE"""),"oVZdm")</f>
        <v>oVZdm</v>
      </c>
      <c r="B628" s="42" t="str">
        <f>IFERROR(__xludf.DUMMYFUNCTION("""COMPUTED_VALUE"""),"DHBA")</f>
        <v>DHBA</v>
      </c>
      <c r="C628" s="42" t="str">
        <f>IFERROR(__xludf.DUMMYFUNCTION("""COMPUTED_VALUE"""),"VZ in dorsomedial extrastriate cortex (V2)")</f>
        <v>VZ in dorsomedial extrastriate cortex (V2)</v>
      </c>
      <c r="D628" s="42">
        <f>IFERROR(__xludf.DUMMYFUNCTION("""COMPUTED_VALUE"""),594.0)</f>
        <v>594</v>
      </c>
      <c r="E628" s="39" t="str">
        <f>IFERROR(__xludf.DUMMYFUNCTION("""COMPUTED_VALUE"""),"VZ in dorsomedial extrastriate cortex (V2)")</f>
        <v>VZ in dorsomedial extrastriate cortex (V2)</v>
      </c>
      <c r="F628" s="9" t="str">
        <f>IFERROR(__xludf.DUMMYFUNCTION("""COMPUTED_VALUE"""),"Br")</f>
        <v>Br</v>
      </c>
      <c r="G628" s="9" t="str">
        <f>IFERROR(__xludf.DUMMYFUNCTION("""COMPUTED_VALUE"""),"F")</f>
        <v>F</v>
      </c>
      <c r="H628" s="9" t="str">
        <f>IFERROR(__xludf.DUMMYFUNCTION("""COMPUTED_VALUE"""),"FGM")</f>
        <v>FGM</v>
      </c>
      <c r="I628" s="9" t="str">
        <f>IFERROR(__xludf.DUMMYFUNCTION("""COMPUTED_VALUE"""),"FTS")</f>
        <v>FTS</v>
      </c>
      <c r="J628" s="9" t="str">
        <f>IFERROR(__xludf.DUMMYFUNCTION("""COMPUTED_VALUE"""),"VZ")</f>
        <v>VZ</v>
      </c>
      <c r="K628" s="9" t="str">
        <f>IFERROR(__xludf.DUMMYFUNCTION("""COMPUTED_VALUE"""),"oVZ")</f>
        <v>oVZ</v>
      </c>
      <c r="L628" s="9" t="str">
        <f>IFERROR(__xludf.DUMMYFUNCTION("""COMPUTED_VALUE"""),"oVZexs")</f>
        <v>oVZexs</v>
      </c>
      <c r="M628" s="9" t="str">
        <f>IFERROR(__xludf.DUMMYFUNCTION("""COMPUTED_VALUE"""),"oVZdm")</f>
        <v>oVZdm</v>
      </c>
      <c r="N628" s="9"/>
      <c r="O628" s="9"/>
      <c r="P628" s="9"/>
      <c r="Q628" s="9"/>
      <c r="R628" s="9"/>
      <c r="S628" s="42"/>
      <c r="T628" s="42"/>
      <c r="U628" s="159"/>
      <c r="V628" s="42"/>
      <c r="W628" s="42"/>
      <c r="X628" s="42"/>
      <c r="Y628" s="42"/>
      <c r="Z628" s="42"/>
      <c r="AA628" s="42"/>
      <c r="AB628" s="42" t="str">
        <f>IFERROR(__xludf.DUMMYFUNCTION("""COMPUTED_VALUE"""),"allen institute")</f>
        <v>allen institute</v>
      </c>
      <c r="AC628" s="42" t="str">
        <f>IFERROR(__xludf.DUMMYFUNCTION("""COMPUTED_VALUE"""),"DHBA")</f>
        <v>DHBA</v>
      </c>
      <c r="AD628" s="42"/>
      <c r="AE628" s="42"/>
      <c r="AF628" s="9"/>
      <c r="AG628" s="9"/>
      <c r="AH628" s="42"/>
      <c r="AI628" s="42"/>
      <c r="AJ628" s="42"/>
      <c r="AK628" s="42"/>
      <c r="AL628" s="42"/>
      <c r="AM628" s="42"/>
      <c r="AN628" s="42"/>
      <c r="AO628" s="63" t="str">
        <f>IFERROR(__xludf.DUMMYFUNCTION("IF(ISBLANK(A628),,IF(ISBLANK(S628), A628&amp;"";"", TEXTJOIN(CHAR(10), TRUE, A628&amp;"";"", ARRAYFORMULA(VLOOKUP(SPLIT(S628, "";"" &amp; CHAR(10)), $A:$AO, 41, FALSE)))))"),"oVZdm;")</f>
        <v>oVZdm;</v>
      </c>
      <c r="AP628" s="89"/>
    </row>
    <row r="629">
      <c r="A629" s="151" t="str">
        <f>IFERROR(__xludf.DUMMYFUNCTION("""COMPUTED_VALUE"""),"oVZvm")</f>
        <v>oVZvm</v>
      </c>
      <c r="B629" s="42" t="str">
        <f>IFERROR(__xludf.DUMMYFUNCTION("""COMPUTED_VALUE"""),"DHBA")</f>
        <v>DHBA</v>
      </c>
      <c r="C629" s="42" t="str">
        <f>IFERROR(__xludf.DUMMYFUNCTION("""COMPUTED_VALUE"""),"VZ in ventromedial extrastriate cortex (VP)")</f>
        <v>VZ in ventromedial extrastriate cortex (VP)</v>
      </c>
      <c r="D629" s="42">
        <f>IFERROR(__xludf.DUMMYFUNCTION("""COMPUTED_VALUE"""),595.0)</f>
        <v>595</v>
      </c>
      <c r="E629" s="39" t="str">
        <f>IFERROR(__xludf.DUMMYFUNCTION("""COMPUTED_VALUE"""),"VZ in ventromedial extrastriate cortex (VP)")</f>
        <v>VZ in ventromedial extrastriate cortex (VP)</v>
      </c>
      <c r="F629" s="9" t="str">
        <f>IFERROR(__xludf.DUMMYFUNCTION("""COMPUTED_VALUE"""),"Br")</f>
        <v>Br</v>
      </c>
      <c r="G629" s="9" t="str">
        <f>IFERROR(__xludf.DUMMYFUNCTION("""COMPUTED_VALUE"""),"F")</f>
        <v>F</v>
      </c>
      <c r="H629" s="9" t="str">
        <f>IFERROR(__xludf.DUMMYFUNCTION("""COMPUTED_VALUE"""),"FGM")</f>
        <v>FGM</v>
      </c>
      <c r="I629" s="9" t="str">
        <f>IFERROR(__xludf.DUMMYFUNCTION("""COMPUTED_VALUE"""),"FTS")</f>
        <v>FTS</v>
      </c>
      <c r="J629" s="9" t="str">
        <f>IFERROR(__xludf.DUMMYFUNCTION("""COMPUTED_VALUE"""),"VZ")</f>
        <v>VZ</v>
      </c>
      <c r="K629" s="9" t="str">
        <f>IFERROR(__xludf.DUMMYFUNCTION("""COMPUTED_VALUE"""),"oVZ")</f>
        <v>oVZ</v>
      </c>
      <c r="L629" s="9" t="str">
        <f>IFERROR(__xludf.DUMMYFUNCTION("""COMPUTED_VALUE"""),"oVZexs")</f>
        <v>oVZexs</v>
      </c>
      <c r="M629" s="9" t="str">
        <f>IFERROR(__xludf.DUMMYFUNCTION("""COMPUTED_VALUE"""),"oVZvm")</f>
        <v>oVZvm</v>
      </c>
      <c r="N629" s="9"/>
      <c r="O629" s="9"/>
      <c r="P629" s="9"/>
      <c r="Q629" s="9"/>
      <c r="R629" s="9"/>
      <c r="S629" s="42"/>
      <c r="T629" s="42"/>
      <c r="U629" s="159"/>
      <c r="V629" s="42"/>
      <c r="W629" s="42"/>
      <c r="X629" s="42"/>
      <c r="Y629" s="42"/>
      <c r="Z629" s="42"/>
      <c r="AA629" s="42"/>
      <c r="AB629" s="42" t="str">
        <f>IFERROR(__xludf.DUMMYFUNCTION("""COMPUTED_VALUE"""),"allen institute")</f>
        <v>allen institute</v>
      </c>
      <c r="AC629" s="42" t="str">
        <f>IFERROR(__xludf.DUMMYFUNCTION("""COMPUTED_VALUE"""),"DHBA")</f>
        <v>DHBA</v>
      </c>
      <c r="AD629" s="42"/>
      <c r="AE629" s="42"/>
      <c r="AF629" s="9"/>
      <c r="AG629" s="9"/>
      <c r="AH629" s="42"/>
      <c r="AI629" s="42"/>
      <c r="AJ629" s="42"/>
      <c r="AK629" s="42"/>
      <c r="AL629" s="42"/>
      <c r="AM629" s="42"/>
      <c r="AN629" s="42"/>
      <c r="AO629" s="63" t="str">
        <f>IFERROR(__xludf.DUMMYFUNCTION("IF(ISBLANK(A629),,IF(ISBLANK(S629), A629&amp;"";"", TEXTJOIN(CHAR(10), TRUE, A629&amp;"";"", ARRAYFORMULA(VLOOKUP(SPLIT(S629, "";"" &amp; CHAR(10)), $A:$AO, 41, FALSE)))))"),"oVZvm;")</f>
        <v>oVZvm;</v>
      </c>
      <c r="AP629" s="89"/>
    </row>
    <row r="630">
      <c r="A630" s="151" t="str">
        <f>IFERROR(__xludf.DUMMYFUNCTION("""COMPUTED_VALUE"""),"oVZml")</f>
        <v>oVZml</v>
      </c>
      <c r="B630" s="42" t="str">
        <f>IFERROR(__xludf.DUMMYFUNCTION("""COMPUTED_VALUE"""),"DHBA")</f>
        <v>DHBA</v>
      </c>
      <c r="C630" s="42" t="str">
        <f>IFERROR(__xludf.DUMMYFUNCTION("""COMPUTED_VALUE"""),"VZ in midlateral extrastriate cortex (area 19)")</f>
        <v>VZ in midlateral extrastriate cortex (area 19)</v>
      </c>
      <c r="D630" s="42">
        <f>IFERROR(__xludf.DUMMYFUNCTION("""COMPUTED_VALUE"""),596.0)</f>
        <v>596</v>
      </c>
      <c r="E630" s="39" t="str">
        <f>IFERROR(__xludf.DUMMYFUNCTION("""COMPUTED_VALUE"""),"VZ in midlateral extrastriate cortex (area 19)")</f>
        <v>VZ in midlateral extrastriate cortex (area 19)</v>
      </c>
      <c r="F630" s="9" t="str">
        <f>IFERROR(__xludf.DUMMYFUNCTION("""COMPUTED_VALUE"""),"Br")</f>
        <v>Br</v>
      </c>
      <c r="G630" s="9" t="str">
        <f>IFERROR(__xludf.DUMMYFUNCTION("""COMPUTED_VALUE"""),"F")</f>
        <v>F</v>
      </c>
      <c r="H630" s="9" t="str">
        <f>IFERROR(__xludf.DUMMYFUNCTION("""COMPUTED_VALUE"""),"FGM")</f>
        <v>FGM</v>
      </c>
      <c r="I630" s="9" t="str">
        <f>IFERROR(__xludf.DUMMYFUNCTION("""COMPUTED_VALUE"""),"FTS")</f>
        <v>FTS</v>
      </c>
      <c r="J630" s="9" t="str">
        <f>IFERROR(__xludf.DUMMYFUNCTION("""COMPUTED_VALUE"""),"VZ")</f>
        <v>VZ</v>
      </c>
      <c r="K630" s="9" t="str">
        <f>IFERROR(__xludf.DUMMYFUNCTION("""COMPUTED_VALUE"""),"oVZ")</f>
        <v>oVZ</v>
      </c>
      <c r="L630" s="9" t="str">
        <f>IFERROR(__xludf.DUMMYFUNCTION("""COMPUTED_VALUE"""),"oVZexs")</f>
        <v>oVZexs</v>
      </c>
      <c r="M630" s="9" t="str">
        <f>IFERROR(__xludf.DUMMYFUNCTION("""COMPUTED_VALUE"""),"oVZml")</f>
        <v>oVZml</v>
      </c>
      <c r="N630" s="9"/>
      <c r="O630" s="9"/>
      <c r="P630" s="9"/>
      <c r="Q630" s="9"/>
      <c r="R630" s="9"/>
      <c r="S630" s="42"/>
      <c r="T630" s="42"/>
      <c r="U630" s="159"/>
      <c r="V630" s="42"/>
      <c r="W630" s="42"/>
      <c r="X630" s="42"/>
      <c r="Y630" s="42"/>
      <c r="Z630" s="42"/>
      <c r="AA630" s="42"/>
      <c r="AB630" s="42" t="str">
        <f>IFERROR(__xludf.DUMMYFUNCTION("""COMPUTED_VALUE"""),"allen institute")</f>
        <v>allen institute</v>
      </c>
      <c r="AC630" s="42" t="str">
        <f>IFERROR(__xludf.DUMMYFUNCTION("""COMPUTED_VALUE"""),"DHBA")</f>
        <v>DHBA</v>
      </c>
      <c r="AD630" s="42"/>
      <c r="AE630" s="42"/>
      <c r="AF630" s="9"/>
      <c r="AG630" s="9"/>
      <c r="AH630" s="42"/>
      <c r="AI630" s="42"/>
      <c r="AJ630" s="42"/>
      <c r="AK630" s="42"/>
      <c r="AL630" s="42"/>
      <c r="AM630" s="42"/>
      <c r="AN630" s="42"/>
      <c r="AO630" s="63" t="str">
        <f>IFERROR(__xludf.DUMMYFUNCTION("IF(ISBLANK(A630),,IF(ISBLANK(S630), A630&amp;"";"", TEXTJOIN(CHAR(10), TRUE, A630&amp;"";"", ARRAYFORMULA(VLOOKUP(SPLIT(S630, "";"" &amp; CHAR(10)), $A:$AO, 41, FALSE)))))"),"oVZml;")</f>
        <v>oVZml;</v>
      </c>
      <c r="AP630" s="89"/>
    </row>
    <row r="631">
      <c r="A631" s="151" t="str">
        <f>IFERROR(__xludf.DUMMYFUNCTION("""COMPUTED_VALUE"""),"cVZ")</f>
        <v>cVZ</v>
      </c>
      <c r="B631" s="42" t="str">
        <f>IFERROR(__xludf.DUMMYFUNCTION("""COMPUTED_VALUE"""),"DHBA")</f>
        <v>DHBA</v>
      </c>
      <c r="C631" s="42" t="str">
        <f>IFERROR(__xludf.DUMMYFUNCTION("""COMPUTED_VALUE"""),"VZ in cingulate neocortex")</f>
        <v>VZ in cingulate neocortex</v>
      </c>
      <c r="D631" s="42">
        <f>IFERROR(__xludf.DUMMYFUNCTION("""COMPUTED_VALUE"""),597.0)</f>
        <v>597</v>
      </c>
      <c r="E631" s="39" t="str">
        <f>IFERROR(__xludf.DUMMYFUNCTION("""COMPUTED_VALUE"""),"VZ in cingulate neocortex")</f>
        <v>VZ in cingulate neocortex</v>
      </c>
      <c r="F631" s="9" t="str">
        <f>IFERROR(__xludf.DUMMYFUNCTION("""COMPUTED_VALUE"""),"Br")</f>
        <v>Br</v>
      </c>
      <c r="G631" s="9" t="str">
        <f>IFERROR(__xludf.DUMMYFUNCTION("""COMPUTED_VALUE"""),"F")</f>
        <v>F</v>
      </c>
      <c r="H631" s="9" t="str">
        <f>IFERROR(__xludf.DUMMYFUNCTION("""COMPUTED_VALUE"""),"FGM")</f>
        <v>FGM</v>
      </c>
      <c r="I631" s="9" t="str">
        <f>IFERROR(__xludf.DUMMYFUNCTION("""COMPUTED_VALUE"""),"FTS")</f>
        <v>FTS</v>
      </c>
      <c r="J631" s="9" t="str">
        <f>IFERROR(__xludf.DUMMYFUNCTION("""COMPUTED_VALUE"""),"VZ")</f>
        <v>VZ</v>
      </c>
      <c r="K631" s="9" t="str">
        <f>IFERROR(__xludf.DUMMYFUNCTION("""COMPUTED_VALUE"""),"cVZ")</f>
        <v>cVZ</v>
      </c>
      <c r="L631" s="9"/>
      <c r="M631" s="9"/>
      <c r="N631" s="9"/>
      <c r="O631" s="9"/>
      <c r="P631" s="9"/>
      <c r="Q631" s="9"/>
      <c r="R631" s="9"/>
      <c r="S631" s="42" t="str">
        <f>IFERROR(__xludf.DUMMYFUNCTION("""COMPUTED_VALUE"""),"cVZr;
cVZmi;
cVZc;
cVZsg")</f>
        <v>cVZr;
cVZmi;
cVZc;
cVZsg</v>
      </c>
      <c r="T631" s="42"/>
      <c r="U631" s="159" t="b">
        <f>IFERROR(__xludf.DUMMYFUNCTION("""COMPUTED_VALUE"""),FALSE)</f>
        <v>0</v>
      </c>
      <c r="V631" s="42"/>
      <c r="W631" s="42"/>
      <c r="X631" s="42"/>
      <c r="Y631" s="42"/>
      <c r="Z631" s="42"/>
      <c r="AA631" s="42"/>
      <c r="AB631" s="42" t="str">
        <f>IFERROR(__xludf.DUMMYFUNCTION("""COMPUTED_VALUE"""),"allen institute")</f>
        <v>allen institute</v>
      </c>
      <c r="AC631" s="42" t="str">
        <f>IFERROR(__xludf.DUMMYFUNCTION("""COMPUTED_VALUE"""),"DHBA")</f>
        <v>DHBA</v>
      </c>
      <c r="AD631" s="42"/>
      <c r="AE631" s="42"/>
      <c r="AF631" s="9"/>
      <c r="AG631" s="9"/>
      <c r="AH631" s="42"/>
      <c r="AI631" s="42"/>
      <c r="AJ631" s="42"/>
      <c r="AK631" s="42"/>
      <c r="AL631" s="42"/>
      <c r="AM631" s="42"/>
      <c r="AN631" s="42"/>
      <c r="AO631" s="63" t="str">
        <f>IFERROR(__xludf.DUMMYFUNCTION("IF(ISBLANK(A631),,IF(ISBLANK(S631), A631&amp;"";"", TEXTJOIN(CHAR(10), TRUE, A631&amp;"";"", ARRAYFORMULA(VLOOKUP(SPLIT(S631, "";"" &amp; CHAR(10)), $A:$AO, 41, FALSE)))))"),"cVZ;
cVZr;
cVZmi;
cVZc;
cVZsg;")</f>
        <v>cVZ;
cVZr;
cVZmi;
cVZc;
cVZsg;</v>
      </c>
      <c r="AP631" s="89"/>
    </row>
    <row r="632">
      <c r="A632" s="151" t="str">
        <f>IFERROR(__xludf.DUMMYFUNCTION("""COMPUTED_VALUE"""),"cVZr")</f>
        <v>cVZr</v>
      </c>
      <c r="B632" s="42" t="str">
        <f>IFERROR(__xludf.DUMMYFUNCTION("""COMPUTED_VALUE"""),"DHBA")</f>
        <v>DHBA</v>
      </c>
      <c r="C632" s="42" t="str">
        <f>IFERROR(__xludf.DUMMYFUNCTION("""COMPUTED_VALUE"""),"VZ in rostral cingulate neocortex")</f>
        <v>VZ in rostral cingulate neocortex</v>
      </c>
      <c r="D632" s="42">
        <f>IFERROR(__xludf.DUMMYFUNCTION("""COMPUTED_VALUE"""),598.0)</f>
        <v>598</v>
      </c>
      <c r="E632" s="39" t="str">
        <f>IFERROR(__xludf.DUMMYFUNCTION("""COMPUTED_VALUE"""),"VZ in rostral cingulate neocortex")</f>
        <v>VZ in rostral cingulate neocortex</v>
      </c>
      <c r="F632" s="9" t="str">
        <f>IFERROR(__xludf.DUMMYFUNCTION("""COMPUTED_VALUE"""),"Br")</f>
        <v>Br</v>
      </c>
      <c r="G632" s="9" t="str">
        <f>IFERROR(__xludf.DUMMYFUNCTION("""COMPUTED_VALUE"""),"F")</f>
        <v>F</v>
      </c>
      <c r="H632" s="9" t="str">
        <f>IFERROR(__xludf.DUMMYFUNCTION("""COMPUTED_VALUE"""),"FGM")</f>
        <v>FGM</v>
      </c>
      <c r="I632" s="9" t="str">
        <f>IFERROR(__xludf.DUMMYFUNCTION("""COMPUTED_VALUE"""),"FTS")</f>
        <v>FTS</v>
      </c>
      <c r="J632" s="9" t="str">
        <f>IFERROR(__xludf.DUMMYFUNCTION("""COMPUTED_VALUE"""),"VZ")</f>
        <v>VZ</v>
      </c>
      <c r="K632" s="9" t="str">
        <f>IFERROR(__xludf.DUMMYFUNCTION("""COMPUTED_VALUE"""),"cVZ")</f>
        <v>cVZ</v>
      </c>
      <c r="L632" s="9" t="str">
        <f>IFERROR(__xludf.DUMMYFUNCTION("""COMPUTED_VALUE"""),"cVZr")</f>
        <v>cVZr</v>
      </c>
      <c r="M632" s="9"/>
      <c r="N632" s="9"/>
      <c r="O632" s="9"/>
      <c r="P632" s="9"/>
      <c r="Q632" s="9"/>
      <c r="R632" s="9"/>
      <c r="S632" s="42"/>
      <c r="T632" s="42"/>
      <c r="U632" s="42"/>
      <c r="V632" s="42"/>
      <c r="W632" s="42"/>
      <c r="X632" s="42"/>
      <c r="Y632" s="42"/>
      <c r="Z632" s="42"/>
      <c r="AA632" s="42"/>
      <c r="AB632" s="42" t="str">
        <f>IFERROR(__xludf.DUMMYFUNCTION("""COMPUTED_VALUE"""),"allen institute")</f>
        <v>allen institute</v>
      </c>
      <c r="AC632" s="42" t="str">
        <f>IFERROR(__xludf.DUMMYFUNCTION("""COMPUTED_VALUE"""),"DHBA")</f>
        <v>DHBA</v>
      </c>
      <c r="AD632" s="42"/>
      <c r="AE632" s="42"/>
      <c r="AF632" s="9"/>
      <c r="AG632" s="9"/>
      <c r="AH632" s="42"/>
      <c r="AI632" s="42"/>
      <c r="AJ632" s="42"/>
      <c r="AK632" s="42"/>
      <c r="AL632" s="42"/>
      <c r="AM632" s="42"/>
      <c r="AN632" s="42"/>
      <c r="AO632" s="63" t="str">
        <f>IFERROR(__xludf.DUMMYFUNCTION("IF(ISBLANK(A632),,IF(ISBLANK(S632), A632&amp;"";"", TEXTJOIN(CHAR(10), TRUE, A632&amp;"";"", ARRAYFORMULA(VLOOKUP(SPLIT(S632, "";"" &amp; CHAR(10)), $A:$AO, 41, FALSE)))))"),"cVZr;")</f>
        <v>cVZr;</v>
      </c>
      <c r="AP632" s="89"/>
    </row>
    <row r="633">
      <c r="A633" s="151" t="str">
        <f>IFERROR(__xludf.DUMMYFUNCTION("""COMPUTED_VALUE"""),"cVZmi")</f>
        <v>cVZmi</v>
      </c>
      <c r="B633" s="42" t="str">
        <f>IFERROR(__xludf.DUMMYFUNCTION("""COMPUTED_VALUE"""),"DHBA")</f>
        <v>DHBA</v>
      </c>
      <c r="C633" s="42" t="str">
        <f>IFERROR(__xludf.DUMMYFUNCTION("""COMPUTED_VALUE"""),"VZ in midcingulate neocortex")</f>
        <v>VZ in midcingulate neocortex</v>
      </c>
      <c r="D633" s="42">
        <f>IFERROR(__xludf.DUMMYFUNCTION("""COMPUTED_VALUE"""),599.0)</f>
        <v>599</v>
      </c>
      <c r="E633" s="39" t="str">
        <f>IFERROR(__xludf.DUMMYFUNCTION("""COMPUTED_VALUE"""),"VZ in midcingulate neocortex")</f>
        <v>VZ in midcingulate neocortex</v>
      </c>
      <c r="F633" s="9" t="str">
        <f>IFERROR(__xludf.DUMMYFUNCTION("""COMPUTED_VALUE"""),"Br")</f>
        <v>Br</v>
      </c>
      <c r="G633" s="9" t="str">
        <f>IFERROR(__xludf.DUMMYFUNCTION("""COMPUTED_VALUE"""),"F")</f>
        <v>F</v>
      </c>
      <c r="H633" s="9" t="str">
        <f>IFERROR(__xludf.DUMMYFUNCTION("""COMPUTED_VALUE"""),"FGM")</f>
        <v>FGM</v>
      </c>
      <c r="I633" s="9" t="str">
        <f>IFERROR(__xludf.DUMMYFUNCTION("""COMPUTED_VALUE"""),"FTS")</f>
        <v>FTS</v>
      </c>
      <c r="J633" s="9" t="str">
        <f>IFERROR(__xludf.DUMMYFUNCTION("""COMPUTED_VALUE"""),"VZ")</f>
        <v>VZ</v>
      </c>
      <c r="K633" s="9" t="str">
        <f>IFERROR(__xludf.DUMMYFUNCTION("""COMPUTED_VALUE"""),"cVZ")</f>
        <v>cVZ</v>
      </c>
      <c r="L633" s="9" t="str">
        <f>IFERROR(__xludf.DUMMYFUNCTION("""COMPUTED_VALUE"""),"cVZmi")</f>
        <v>cVZmi</v>
      </c>
      <c r="M633" s="9"/>
      <c r="N633" s="9"/>
      <c r="O633" s="9"/>
      <c r="P633" s="9"/>
      <c r="Q633" s="9"/>
      <c r="R633" s="9"/>
      <c r="S633" s="42"/>
      <c r="T633" s="42"/>
      <c r="U633" s="42"/>
      <c r="V633" s="42"/>
      <c r="W633" s="42"/>
      <c r="X633" s="42"/>
      <c r="Y633" s="42"/>
      <c r="Z633" s="42"/>
      <c r="AA633" s="42"/>
      <c r="AB633" s="42" t="str">
        <f>IFERROR(__xludf.DUMMYFUNCTION("""COMPUTED_VALUE"""),"allen institute")</f>
        <v>allen institute</v>
      </c>
      <c r="AC633" s="42" t="str">
        <f>IFERROR(__xludf.DUMMYFUNCTION("""COMPUTED_VALUE"""),"DHBA")</f>
        <v>DHBA</v>
      </c>
      <c r="AD633" s="42"/>
      <c r="AE633" s="42"/>
      <c r="AF633" s="9"/>
      <c r="AG633" s="9"/>
      <c r="AH633" s="42"/>
      <c r="AI633" s="42"/>
      <c r="AJ633" s="42"/>
      <c r="AK633" s="42"/>
      <c r="AL633" s="42"/>
      <c r="AM633" s="42"/>
      <c r="AN633" s="42"/>
      <c r="AO633" s="63" t="str">
        <f>IFERROR(__xludf.DUMMYFUNCTION("IF(ISBLANK(A633),,IF(ISBLANK(S633), A633&amp;"";"", TEXTJOIN(CHAR(10), TRUE, A633&amp;"";"", ARRAYFORMULA(VLOOKUP(SPLIT(S633, "";"" &amp; CHAR(10)), $A:$AO, 41, FALSE)))))"),"cVZmi;")</f>
        <v>cVZmi;</v>
      </c>
      <c r="AP633" s="89"/>
    </row>
    <row r="634">
      <c r="A634" s="151" t="str">
        <f>IFERROR(__xludf.DUMMYFUNCTION("""COMPUTED_VALUE"""),"cVZc")</f>
        <v>cVZc</v>
      </c>
      <c r="B634" s="42" t="str">
        <f>IFERROR(__xludf.DUMMYFUNCTION("""COMPUTED_VALUE"""),"DHBA")</f>
        <v>DHBA</v>
      </c>
      <c r="C634" s="42" t="str">
        <f>IFERROR(__xludf.DUMMYFUNCTION("""COMPUTED_VALUE"""),"VZ in caudal cingulate neocortex")</f>
        <v>VZ in caudal cingulate neocortex</v>
      </c>
      <c r="D634" s="42">
        <f>IFERROR(__xludf.DUMMYFUNCTION("""COMPUTED_VALUE"""),600.0)</f>
        <v>600</v>
      </c>
      <c r="E634" s="39" t="str">
        <f>IFERROR(__xludf.DUMMYFUNCTION("""COMPUTED_VALUE"""),"VZ in caudal cingulate neocortex")</f>
        <v>VZ in caudal cingulate neocortex</v>
      </c>
      <c r="F634" s="9" t="str">
        <f>IFERROR(__xludf.DUMMYFUNCTION("""COMPUTED_VALUE"""),"Br")</f>
        <v>Br</v>
      </c>
      <c r="G634" s="9" t="str">
        <f>IFERROR(__xludf.DUMMYFUNCTION("""COMPUTED_VALUE"""),"F")</f>
        <v>F</v>
      </c>
      <c r="H634" s="9" t="str">
        <f>IFERROR(__xludf.DUMMYFUNCTION("""COMPUTED_VALUE"""),"FGM")</f>
        <v>FGM</v>
      </c>
      <c r="I634" s="9" t="str">
        <f>IFERROR(__xludf.DUMMYFUNCTION("""COMPUTED_VALUE"""),"FTS")</f>
        <v>FTS</v>
      </c>
      <c r="J634" s="9" t="str">
        <f>IFERROR(__xludf.DUMMYFUNCTION("""COMPUTED_VALUE"""),"VZ")</f>
        <v>VZ</v>
      </c>
      <c r="K634" s="9" t="str">
        <f>IFERROR(__xludf.DUMMYFUNCTION("""COMPUTED_VALUE"""),"cVZ")</f>
        <v>cVZ</v>
      </c>
      <c r="L634" s="9" t="str">
        <f>IFERROR(__xludf.DUMMYFUNCTION("""COMPUTED_VALUE"""),"cVZc")</f>
        <v>cVZc</v>
      </c>
      <c r="M634" s="9"/>
      <c r="N634" s="9"/>
      <c r="O634" s="9"/>
      <c r="P634" s="9"/>
      <c r="Q634" s="9"/>
      <c r="R634" s="9"/>
      <c r="S634" s="42"/>
      <c r="T634" s="42"/>
      <c r="U634" s="42"/>
      <c r="V634" s="42"/>
      <c r="W634" s="42"/>
      <c r="X634" s="42"/>
      <c r="Y634" s="42"/>
      <c r="Z634" s="42"/>
      <c r="AA634" s="42"/>
      <c r="AB634" s="42" t="str">
        <f>IFERROR(__xludf.DUMMYFUNCTION("""COMPUTED_VALUE"""),"allen institute")</f>
        <v>allen institute</v>
      </c>
      <c r="AC634" s="42" t="str">
        <f>IFERROR(__xludf.DUMMYFUNCTION("""COMPUTED_VALUE"""),"DHBA")</f>
        <v>DHBA</v>
      </c>
      <c r="AD634" s="42"/>
      <c r="AE634" s="42"/>
      <c r="AF634" s="9"/>
      <c r="AG634" s="9"/>
      <c r="AH634" s="42"/>
      <c r="AI634" s="42"/>
      <c r="AJ634" s="42"/>
      <c r="AK634" s="42"/>
      <c r="AL634" s="42"/>
      <c r="AM634" s="42"/>
      <c r="AN634" s="42"/>
      <c r="AO634" s="63" t="str">
        <f>IFERROR(__xludf.DUMMYFUNCTION("IF(ISBLANK(A634),,IF(ISBLANK(S634), A634&amp;"";"", TEXTJOIN(CHAR(10), TRUE, A634&amp;"";"", ARRAYFORMULA(VLOOKUP(SPLIT(S634, "";"" &amp; CHAR(10)), $A:$AO, 41, FALSE)))))"),"cVZc;")</f>
        <v>cVZc;</v>
      </c>
      <c r="AP634" s="89"/>
    </row>
    <row r="635">
      <c r="A635" s="151" t="str">
        <f>IFERROR(__xludf.DUMMYFUNCTION("""COMPUTED_VALUE"""),"cVZsg")</f>
        <v>cVZsg</v>
      </c>
      <c r="B635" s="42" t="str">
        <f>IFERROR(__xludf.DUMMYFUNCTION("""COMPUTED_VALUE"""),"DHBA")</f>
        <v>DHBA</v>
      </c>
      <c r="C635" s="42" t="str">
        <f>IFERROR(__xludf.DUMMYFUNCTION("""COMPUTED_VALUE"""),"VZ in subgenual cingulate neocortex")</f>
        <v>VZ in subgenual cingulate neocortex</v>
      </c>
      <c r="D635" s="42">
        <f>IFERROR(__xludf.DUMMYFUNCTION("""COMPUTED_VALUE"""),601.0)</f>
        <v>601</v>
      </c>
      <c r="E635" s="39" t="str">
        <f>IFERROR(__xludf.DUMMYFUNCTION("""COMPUTED_VALUE"""),"VZ in subgenual cingulate neocortex")</f>
        <v>VZ in subgenual cingulate neocortex</v>
      </c>
      <c r="F635" s="9" t="str">
        <f>IFERROR(__xludf.DUMMYFUNCTION("""COMPUTED_VALUE"""),"Br")</f>
        <v>Br</v>
      </c>
      <c r="G635" s="9" t="str">
        <f>IFERROR(__xludf.DUMMYFUNCTION("""COMPUTED_VALUE"""),"F")</f>
        <v>F</v>
      </c>
      <c r="H635" s="9" t="str">
        <f>IFERROR(__xludf.DUMMYFUNCTION("""COMPUTED_VALUE"""),"FGM")</f>
        <v>FGM</v>
      </c>
      <c r="I635" s="9" t="str">
        <f>IFERROR(__xludf.DUMMYFUNCTION("""COMPUTED_VALUE"""),"FTS")</f>
        <v>FTS</v>
      </c>
      <c r="J635" s="9" t="str">
        <f>IFERROR(__xludf.DUMMYFUNCTION("""COMPUTED_VALUE"""),"VZ")</f>
        <v>VZ</v>
      </c>
      <c r="K635" s="9" t="str">
        <f>IFERROR(__xludf.DUMMYFUNCTION("""COMPUTED_VALUE"""),"cVZ")</f>
        <v>cVZ</v>
      </c>
      <c r="L635" s="9" t="str">
        <f>IFERROR(__xludf.DUMMYFUNCTION("""COMPUTED_VALUE"""),"cVZsg")</f>
        <v>cVZsg</v>
      </c>
      <c r="M635" s="9"/>
      <c r="N635" s="9"/>
      <c r="O635" s="9"/>
      <c r="P635" s="9"/>
      <c r="Q635" s="9"/>
      <c r="R635" s="9"/>
      <c r="S635" s="42"/>
      <c r="T635" s="42"/>
      <c r="U635" s="42"/>
      <c r="V635" s="42"/>
      <c r="W635" s="42"/>
      <c r="X635" s="42"/>
      <c r="Y635" s="42"/>
      <c r="Z635" s="42"/>
      <c r="AA635" s="42"/>
      <c r="AB635" s="42" t="str">
        <f>IFERROR(__xludf.DUMMYFUNCTION("""COMPUTED_VALUE"""),"allen institute")</f>
        <v>allen institute</v>
      </c>
      <c r="AC635" s="42" t="str">
        <f>IFERROR(__xludf.DUMMYFUNCTION("""COMPUTED_VALUE"""),"DHBA")</f>
        <v>DHBA</v>
      </c>
      <c r="AD635" s="42"/>
      <c r="AE635" s="42"/>
      <c r="AF635" s="9"/>
      <c r="AG635" s="9"/>
      <c r="AH635" s="42"/>
      <c r="AI635" s="42"/>
      <c r="AJ635" s="42"/>
      <c r="AK635" s="42"/>
      <c r="AL635" s="42"/>
      <c r="AM635" s="42"/>
      <c r="AN635" s="42"/>
      <c r="AO635" s="63" t="str">
        <f>IFERROR(__xludf.DUMMYFUNCTION("IF(ISBLANK(A635),,IF(ISBLANK(S635), A635&amp;"";"", TEXTJOIN(CHAR(10), TRUE, A635&amp;"";"", ARRAYFORMULA(VLOOKUP(SPLIT(S635, "";"" &amp; CHAR(10)), $A:$AO, 41, FALSE)))))"),"cVZsg;")</f>
        <v>cVZsg;</v>
      </c>
      <c r="AP635" s="89"/>
    </row>
    <row r="636">
      <c r="A636" s="151" t="str">
        <f>IFERROR(__xludf.DUMMYFUNCTION("""COMPUTED_VALUE"""),"peVZ")</f>
        <v>peVZ</v>
      </c>
      <c r="B636" s="42" t="str">
        <f>IFERROR(__xludf.DUMMYFUNCTION("""COMPUTED_VALUE"""),"DHBA")</f>
        <v>DHBA</v>
      </c>
      <c r="C636" s="42" t="str">
        <f>IFERROR(__xludf.DUMMYFUNCTION("""COMPUTED_VALUE"""),"VZ in periallocortex")</f>
        <v>VZ in periallocortex</v>
      </c>
      <c r="D636" s="42">
        <f>IFERROR(__xludf.DUMMYFUNCTION("""COMPUTED_VALUE"""),602.0)</f>
        <v>602</v>
      </c>
      <c r="E636" s="39" t="str">
        <f>IFERROR(__xludf.DUMMYFUNCTION("""COMPUTED_VALUE"""),"VZ in periallocortex")</f>
        <v>VZ in periallocortex</v>
      </c>
      <c r="F636" s="9" t="str">
        <f>IFERROR(__xludf.DUMMYFUNCTION("""COMPUTED_VALUE"""),"Br")</f>
        <v>Br</v>
      </c>
      <c r="G636" s="9" t="str">
        <f>IFERROR(__xludf.DUMMYFUNCTION("""COMPUTED_VALUE"""),"F")</f>
        <v>F</v>
      </c>
      <c r="H636" s="9" t="str">
        <f>IFERROR(__xludf.DUMMYFUNCTION("""COMPUTED_VALUE"""),"FGM")</f>
        <v>FGM</v>
      </c>
      <c r="I636" s="9" t="str">
        <f>IFERROR(__xludf.DUMMYFUNCTION("""COMPUTED_VALUE"""),"FTS")</f>
        <v>FTS</v>
      </c>
      <c r="J636" s="9" t="str">
        <f>IFERROR(__xludf.DUMMYFUNCTION("""COMPUTED_VALUE"""),"VZ")</f>
        <v>VZ</v>
      </c>
      <c r="K636" s="9" t="str">
        <f>IFERROR(__xludf.DUMMYFUNCTION("""COMPUTED_VALUE"""),"peVZ")</f>
        <v>peVZ</v>
      </c>
      <c r="L636" s="9"/>
      <c r="M636" s="9"/>
      <c r="N636" s="9"/>
      <c r="O636" s="9"/>
      <c r="P636" s="9"/>
      <c r="Q636" s="9"/>
      <c r="R636" s="9"/>
      <c r="S636" s="42" t="str">
        <f>IFERROR(__xludf.DUMMYFUNCTION("""COMPUTED_VALUE"""),"VZpc;
VZEC;
VZprs;
VZrs")</f>
        <v>VZpc;
VZEC;
VZprs;
VZrs</v>
      </c>
      <c r="T636" s="42"/>
      <c r="U636" s="42" t="b">
        <f>IFERROR(__xludf.DUMMYFUNCTION("""COMPUTED_VALUE"""),FALSE)</f>
        <v>0</v>
      </c>
      <c r="V636" s="42"/>
      <c r="W636" s="42"/>
      <c r="X636" s="42"/>
      <c r="Y636" s="42"/>
      <c r="Z636" s="42"/>
      <c r="AA636" s="42"/>
      <c r="AB636" s="42" t="str">
        <f>IFERROR(__xludf.DUMMYFUNCTION("""COMPUTED_VALUE"""),"allen institute")</f>
        <v>allen institute</v>
      </c>
      <c r="AC636" s="42" t="str">
        <f>IFERROR(__xludf.DUMMYFUNCTION("""COMPUTED_VALUE"""),"DHBA")</f>
        <v>DHBA</v>
      </c>
      <c r="AD636" s="42"/>
      <c r="AE636" s="42"/>
      <c r="AF636" s="9"/>
      <c r="AG636" s="9"/>
      <c r="AH636" s="42"/>
      <c r="AI636" s="42"/>
      <c r="AJ636" s="42"/>
      <c r="AK636" s="42"/>
      <c r="AL636" s="42"/>
      <c r="AM636" s="42"/>
      <c r="AN636" s="42"/>
      <c r="AO636" s="63" t="str">
        <f>IFERROR(__xludf.DUMMYFUNCTION("IF(ISBLANK(A636),,IF(ISBLANK(S636), A636&amp;"";"", TEXTJOIN(CHAR(10), TRUE, A636&amp;"";"", ARRAYFORMULA(VLOOKUP(SPLIT(S636, "";"" &amp; CHAR(10)), $A:$AO, 41, FALSE)))))"),"#REF!")</f>
        <v>#REF!</v>
      </c>
      <c r="AP636" s="89"/>
    </row>
    <row r="637">
      <c r="A637" s="151" t="str">
        <f>IFERROR(__xludf.DUMMYFUNCTION("""COMPUTED_VALUE"""),"VZpc")</f>
        <v>VZpc</v>
      </c>
      <c r="B637" s="42" t="str">
        <f>IFERROR(__xludf.DUMMYFUNCTION("""COMPUTED_VALUE"""),"DHBA")</f>
        <v>DHBA</v>
      </c>
      <c r="C637" s="42" t="str">
        <f>IFERROR(__xludf.DUMMYFUNCTION("""COMPUTED_VALUE"""),"VZ in perirhinal cortex")</f>
        <v>VZ in perirhinal cortex</v>
      </c>
      <c r="D637" s="42">
        <f>IFERROR(__xludf.DUMMYFUNCTION("""COMPUTED_VALUE"""),603.0)</f>
        <v>603</v>
      </c>
      <c r="E637" s="39" t="str">
        <f>IFERROR(__xludf.DUMMYFUNCTION("""COMPUTED_VALUE"""),"VZ in perirhinal cortex")</f>
        <v>VZ in perirhinal cortex</v>
      </c>
      <c r="F637" s="9" t="str">
        <f>IFERROR(__xludf.DUMMYFUNCTION("""COMPUTED_VALUE"""),"Br")</f>
        <v>Br</v>
      </c>
      <c r="G637" s="9" t="str">
        <f>IFERROR(__xludf.DUMMYFUNCTION("""COMPUTED_VALUE"""),"F")</f>
        <v>F</v>
      </c>
      <c r="H637" s="9" t="str">
        <f>IFERROR(__xludf.DUMMYFUNCTION("""COMPUTED_VALUE"""),"FGM")</f>
        <v>FGM</v>
      </c>
      <c r="I637" s="9" t="str">
        <f>IFERROR(__xludf.DUMMYFUNCTION("""COMPUTED_VALUE"""),"FTS")</f>
        <v>FTS</v>
      </c>
      <c r="J637" s="9" t="str">
        <f>IFERROR(__xludf.DUMMYFUNCTION("""COMPUTED_VALUE"""),"VZ")</f>
        <v>VZ</v>
      </c>
      <c r="K637" s="9" t="str">
        <f>IFERROR(__xludf.DUMMYFUNCTION("""COMPUTED_VALUE"""),"peVZ")</f>
        <v>peVZ</v>
      </c>
      <c r="L637" s="9" t="str">
        <f>IFERROR(__xludf.DUMMYFUNCTION("""COMPUTED_VALUE"""),"VZpc")</f>
        <v>VZpc</v>
      </c>
      <c r="M637" s="9"/>
      <c r="N637" s="9"/>
      <c r="O637" s="9"/>
      <c r="P637" s="9"/>
      <c r="Q637" s="9"/>
      <c r="R637" s="9"/>
      <c r="S637" s="42" t="str">
        <f>IFERROR(__xludf.DUMMYFUNCTION("""COMPUTED_VALUE"""),"VZpcr;
VZpcc")</f>
        <v>VZpcr;
VZpcc</v>
      </c>
      <c r="T637" s="42"/>
      <c r="U637" s="42" t="b">
        <f>IFERROR(__xludf.DUMMYFUNCTION("""COMPUTED_VALUE"""),FALSE)</f>
        <v>0</v>
      </c>
      <c r="V637" s="42"/>
      <c r="W637" s="42"/>
      <c r="X637" s="42"/>
      <c r="Y637" s="42"/>
      <c r="Z637" s="42"/>
      <c r="AA637" s="42"/>
      <c r="AB637" s="42" t="str">
        <f>IFERROR(__xludf.DUMMYFUNCTION("""COMPUTED_VALUE"""),"allen institute")</f>
        <v>allen institute</v>
      </c>
      <c r="AC637" s="42" t="str">
        <f>IFERROR(__xludf.DUMMYFUNCTION("""COMPUTED_VALUE"""),"DHBA")</f>
        <v>DHBA</v>
      </c>
      <c r="AD637" s="42"/>
      <c r="AE637" s="42"/>
      <c r="AF637" s="9"/>
      <c r="AG637" s="9"/>
      <c r="AH637" s="42"/>
      <c r="AI637" s="42"/>
      <c r="AJ637" s="42"/>
      <c r="AK637" s="42"/>
      <c r="AL637" s="42"/>
      <c r="AM637" s="42"/>
      <c r="AN637" s="42"/>
      <c r="AO637" s="63" t="str">
        <f>IFERROR(__xludf.DUMMYFUNCTION("IF(ISBLANK(A637),,IF(ISBLANK(S637), A637&amp;"";"", TEXTJOIN(CHAR(10), TRUE, A637&amp;"";"", ARRAYFORMULA(VLOOKUP(SPLIT(S637, "";"" &amp; CHAR(10)), $A:$AO, 41, FALSE)))))"),"VZpc;
VZpcr;
VZpcc;")</f>
        <v>VZpc;
VZpcr;
VZpcc;</v>
      </c>
      <c r="AP637" s="89"/>
    </row>
    <row r="638">
      <c r="A638" s="151" t="str">
        <f>IFERROR(__xludf.DUMMYFUNCTION("""COMPUTED_VALUE"""),"VZpcr")</f>
        <v>VZpcr</v>
      </c>
      <c r="B638" s="42" t="str">
        <f>IFERROR(__xludf.DUMMYFUNCTION("""COMPUTED_VALUE"""),"DHBA")</f>
        <v>DHBA</v>
      </c>
      <c r="C638" s="42" t="str">
        <f>IFERROR(__xludf.DUMMYFUNCTION("""COMPUTED_VALUE"""),"VZ in rostral perirhinal cortex")</f>
        <v>VZ in rostral perirhinal cortex</v>
      </c>
      <c r="D638" s="42">
        <f>IFERROR(__xludf.DUMMYFUNCTION("""COMPUTED_VALUE"""),604.0)</f>
        <v>604</v>
      </c>
      <c r="E638" s="39" t="str">
        <f>IFERROR(__xludf.DUMMYFUNCTION("""COMPUTED_VALUE"""),"VZ in rostral perirhinal cortex")</f>
        <v>VZ in rostral perirhinal cortex</v>
      </c>
      <c r="F638" s="9" t="str">
        <f>IFERROR(__xludf.DUMMYFUNCTION("""COMPUTED_VALUE"""),"Br")</f>
        <v>Br</v>
      </c>
      <c r="G638" s="9" t="str">
        <f>IFERROR(__xludf.DUMMYFUNCTION("""COMPUTED_VALUE"""),"F")</f>
        <v>F</v>
      </c>
      <c r="H638" s="9" t="str">
        <f>IFERROR(__xludf.DUMMYFUNCTION("""COMPUTED_VALUE"""),"FGM")</f>
        <v>FGM</v>
      </c>
      <c r="I638" s="9" t="str">
        <f>IFERROR(__xludf.DUMMYFUNCTION("""COMPUTED_VALUE"""),"FTS")</f>
        <v>FTS</v>
      </c>
      <c r="J638" s="9" t="str">
        <f>IFERROR(__xludf.DUMMYFUNCTION("""COMPUTED_VALUE"""),"VZ")</f>
        <v>VZ</v>
      </c>
      <c r="K638" s="9" t="str">
        <f>IFERROR(__xludf.DUMMYFUNCTION("""COMPUTED_VALUE"""),"peVZ")</f>
        <v>peVZ</v>
      </c>
      <c r="L638" s="9" t="str">
        <f>IFERROR(__xludf.DUMMYFUNCTION("""COMPUTED_VALUE"""),"VZpc")</f>
        <v>VZpc</v>
      </c>
      <c r="M638" s="9" t="str">
        <f>IFERROR(__xludf.DUMMYFUNCTION("""COMPUTED_VALUE"""),"VZpcr")</f>
        <v>VZpcr</v>
      </c>
      <c r="N638" s="9"/>
      <c r="O638" s="9"/>
      <c r="P638" s="9"/>
      <c r="Q638" s="9"/>
      <c r="R638" s="9"/>
      <c r="S638" s="42"/>
      <c r="T638" s="42"/>
      <c r="U638" s="159"/>
      <c r="V638" s="42"/>
      <c r="W638" s="42"/>
      <c r="X638" s="42"/>
      <c r="Y638" s="42"/>
      <c r="Z638" s="42"/>
      <c r="AA638" s="42"/>
      <c r="AB638" s="42" t="str">
        <f>IFERROR(__xludf.DUMMYFUNCTION("""COMPUTED_VALUE"""),"allen institute")</f>
        <v>allen institute</v>
      </c>
      <c r="AC638" s="42" t="str">
        <f>IFERROR(__xludf.DUMMYFUNCTION("""COMPUTED_VALUE"""),"DHBA")</f>
        <v>DHBA</v>
      </c>
      <c r="AD638" s="42"/>
      <c r="AE638" s="42"/>
      <c r="AF638" s="9"/>
      <c r="AG638" s="9"/>
      <c r="AH638" s="42"/>
      <c r="AI638" s="42"/>
      <c r="AJ638" s="42"/>
      <c r="AK638" s="42"/>
      <c r="AL638" s="42"/>
      <c r="AM638" s="42"/>
      <c r="AN638" s="42"/>
      <c r="AO638" s="63" t="str">
        <f>IFERROR(__xludf.DUMMYFUNCTION("IF(ISBLANK(A638),,IF(ISBLANK(S638), A638&amp;"";"", TEXTJOIN(CHAR(10), TRUE, A638&amp;"";"", ARRAYFORMULA(VLOOKUP(SPLIT(S638, "";"" &amp; CHAR(10)), $A:$AO, 41, FALSE)))))"),"VZpcr;")</f>
        <v>VZpcr;</v>
      </c>
      <c r="AP638" s="89"/>
    </row>
    <row r="639">
      <c r="A639" s="151" t="str">
        <f>IFERROR(__xludf.DUMMYFUNCTION("""COMPUTED_VALUE"""),"VZpcc")</f>
        <v>VZpcc</v>
      </c>
      <c r="B639" s="42" t="str">
        <f>IFERROR(__xludf.DUMMYFUNCTION("""COMPUTED_VALUE"""),"DHBA")</f>
        <v>DHBA</v>
      </c>
      <c r="C639" s="42" t="str">
        <f>IFERROR(__xludf.DUMMYFUNCTION("""COMPUTED_VALUE"""),"VZ in caudal perirhinal cortex")</f>
        <v>VZ in caudal perirhinal cortex</v>
      </c>
      <c r="D639" s="42">
        <f>IFERROR(__xludf.DUMMYFUNCTION("""COMPUTED_VALUE"""),605.0)</f>
        <v>605</v>
      </c>
      <c r="E639" s="39" t="str">
        <f>IFERROR(__xludf.DUMMYFUNCTION("""COMPUTED_VALUE"""),"VZ in caudal perirhinal cortex")</f>
        <v>VZ in caudal perirhinal cortex</v>
      </c>
      <c r="F639" s="9" t="str">
        <f>IFERROR(__xludf.DUMMYFUNCTION("""COMPUTED_VALUE"""),"Br")</f>
        <v>Br</v>
      </c>
      <c r="G639" s="9" t="str">
        <f>IFERROR(__xludf.DUMMYFUNCTION("""COMPUTED_VALUE"""),"F")</f>
        <v>F</v>
      </c>
      <c r="H639" s="9" t="str">
        <f>IFERROR(__xludf.DUMMYFUNCTION("""COMPUTED_VALUE"""),"FGM")</f>
        <v>FGM</v>
      </c>
      <c r="I639" s="9" t="str">
        <f>IFERROR(__xludf.DUMMYFUNCTION("""COMPUTED_VALUE"""),"FTS")</f>
        <v>FTS</v>
      </c>
      <c r="J639" s="9" t="str">
        <f>IFERROR(__xludf.DUMMYFUNCTION("""COMPUTED_VALUE"""),"VZ")</f>
        <v>VZ</v>
      </c>
      <c r="K639" s="9" t="str">
        <f>IFERROR(__xludf.DUMMYFUNCTION("""COMPUTED_VALUE"""),"peVZ")</f>
        <v>peVZ</v>
      </c>
      <c r="L639" s="9" t="str">
        <f>IFERROR(__xludf.DUMMYFUNCTION("""COMPUTED_VALUE"""),"VZpc")</f>
        <v>VZpc</v>
      </c>
      <c r="M639" s="9" t="str">
        <f>IFERROR(__xludf.DUMMYFUNCTION("""COMPUTED_VALUE"""),"VZpcc")</f>
        <v>VZpcc</v>
      </c>
      <c r="N639" s="9"/>
      <c r="O639" s="9"/>
      <c r="P639" s="9"/>
      <c r="Q639" s="9"/>
      <c r="R639" s="9"/>
      <c r="S639" s="42"/>
      <c r="T639" s="42"/>
      <c r="U639" s="42"/>
      <c r="V639" s="42"/>
      <c r="W639" s="42"/>
      <c r="X639" s="42"/>
      <c r="Y639" s="42"/>
      <c r="Z639" s="42"/>
      <c r="AA639" s="42"/>
      <c r="AB639" s="42" t="str">
        <f>IFERROR(__xludf.DUMMYFUNCTION("""COMPUTED_VALUE"""),"allen institute")</f>
        <v>allen institute</v>
      </c>
      <c r="AC639" s="42" t="str">
        <f>IFERROR(__xludf.DUMMYFUNCTION("""COMPUTED_VALUE"""),"DHBA")</f>
        <v>DHBA</v>
      </c>
      <c r="AD639" s="42"/>
      <c r="AE639" s="42"/>
      <c r="AF639" s="9"/>
      <c r="AG639" s="9"/>
      <c r="AH639" s="42"/>
      <c r="AI639" s="42"/>
      <c r="AJ639" s="42"/>
      <c r="AK639" s="42"/>
      <c r="AL639" s="42"/>
      <c r="AM639" s="42"/>
      <c r="AN639" s="42"/>
      <c r="AO639" s="63" t="str">
        <f>IFERROR(__xludf.DUMMYFUNCTION("IF(ISBLANK(A639),,IF(ISBLANK(S639), A639&amp;"";"", TEXTJOIN(CHAR(10), TRUE, A639&amp;"";"", ARRAYFORMULA(VLOOKUP(SPLIT(S639, "";"" &amp; CHAR(10)), $A:$AO, 41, FALSE)))))"),"VZpcc;")</f>
        <v>VZpcc;</v>
      </c>
      <c r="AP639" s="89"/>
    </row>
    <row r="640">
      <c r="A640" s="151" t="str">
        <f>IFERROR(__xludf.DUMMYFUNCTION("""COMPUTED_VALUE"""),"VZEC")</f>
        <v>VZEC</v>
      </c>
      <c r="B640" s="42" t="str">
        <f>IFERROR(__xludf.DUMMYFUNCTION("""COMPUTED_VALUE"""),"DHBA")</f>
        <v>DHBA</v>
      </c>
      <c r="C640" s="42" t="str">
        <f>IFERROR(__xludf.DUMMYFUNCTION("""COMPUTED_VALUE"""),"VZ in entorhinal cortex")</f>
        <v>VZ in entorhinal cortex</v>
      </c>
      <c r="D640" s="42">
        <f>IFERROR(__xludf.DUMMYFUNCTION("""COMPUTED_VALUE"""),606.0)</f>
        <v>606</v>
      </c>
      <c r="E640" s="39" t="str">
        <f>IFERROR(__xludf.DUMMYFUNCTION("""COMPUTED_VALUE"""),"VZ in entorhinal cortex")</f>
        <v>VZ in entorhinal cortex</v>
      </c>
      <c r="F640" s="9" t="str">
        <f>IFERROR(__xludf.DUMMYFUNCTION("""COMPUTED_VALUE"""),"Br")</f>
        <v>Br</v>
      </c>
      <c r="G640" s="9" t="str">
        <f>IFERROR(__xludf.DUMMYFUNCTION("""COMPUTED_VALUE"""),"F")</f>
        <v>F</v>
      </c>
      <c r="H640" s="9" t="str">
        <f>IFERROR(__xludf.DUMMYFUNCTION("""COMPUTED_VALUE"""),"FGM")</f>
        <v>FGM</v>
      </c>
      <c r="I640" s="9" t="str">
        <f>IFERROR(__xludf.DUMMYFUNCTION("""COMPUTED_VALUE"""),"FTS")</f>
        <v>FTS</v>
      </c>
      <c r="J640" s="9" t="str">
        <f>IFERROR(__xludf.DUMMYFUNCTION("""COMPUTED_VALUE"""),"VZ")</f>
        <v>VZ</v>
      </c>
      <c r="K640" s="9" t="str">
        <f>IFERROR(__xludf.DUMMYFUNCTION("""COMPUTED_VALUE"""),"peVZ")</f>
        <v>peVZ</v>
      </c>
      <c r="L640" s="9" t="str">
        <f>IFERROR(__xludf.DUMMYFUNCTION("""COMPUTED_VALUE"""),"VZEC")</f>
        <v>VZEC</v>
      </c>
      <c r="M640" s="9"/>
      <c r="N640" s="9"/>
      <c r="O640" s="9"/>
      <c r="P640" s="9"/>
      <c r="Q640" s="9"/>
      <c r="R640" s="9"/>
      <c r="S640" s="42" t="str">
        <f>IFERROR(__xludf.DUMMYFUNCTION("""COMPUTED_VALUE"""),"VZmec;
VZlec")</f>
        <v>VZmec;
VZlec</v>
      </c>
      <c r="T640" s="42"/>
      <c r="U640" s="42" t="b">
        <f>IFERROR(__xludf.DUMMYFUNCTION("""COMPUTED_VALUE"""),FALSE)</f>
        <v>0</v>
      </c>
      <c r="V640" s="42"/>
      <c r="W640" s="42"/>
      <c r="X640" s="42"/>
      <c r="Y640" s="42"/>
      <c r="Z640" s="42"/>
      <c r="AA640" s="42"/>
      <c r="AB640" s="42" t="str">
        <f>IFERROR(__xludf.DUMMYFUNCTION("""COMPUTED_VALUE"""),"allen institute")</f>
        <v>allen institute</v>
      </c>
      <c r="AC640" s="42" t="str">
        <f>IFERROR(__xludf.DUMMYFUNCTION("""COMPUTED_VALUE"""),"DHBA")</f>
        <v>DHBA</v>
      </c>
      <c r="AD640" s="42"/>
      <c r="AE640" s="42"/>
      <c r="AF640" s="9"/>
      <c r="AG640" s="9"/>
      <c r="AH640" s="42"/>
      <c r="AI640" s="42"/>
      <c r="AJ640" s="42"/>
      <c r="AK640" s="42"/>
      <c r="AL640" s="42"/>
      <c r="AM640" s="42"/>
      <c r="AN640" s="42"/>
      <c r="AO640" s="63" t="str">
        <f>IFERROR(__xludf.DUMMYFUNCTION("IF(ISBLANK(A640),,IF(ISBLANK(S640), A640&amp;"";"", TEXTJOIN(CHAR(10), TRUE, A640&amp;"";"", ARRAYFORMULA(VLOOKUP(SPLIT(S640, "";"" &amp; CHAR(10)), $A:$AO, 41, FALSE)))))"),"#REF!")</f>
        <v>#REF!</v>
      </c>
      <c r="AP640" s="89"/>
    </row>
    <row r="641">
      <c r="A641" s="151" t="str">
        <f>IFERROR(__xludf.DUMMYFUNCTION("""COMPUTED_VALUE"""),"VZmec")</f>
        <v>VZmec</v>
      </c>
      <c r="B641" s="42" t="str">
        <f>IFERROR(__xludf.DUMMYFUNCTION("""COMPUTED_VALUE"""),"DHBA")</f>
        <v>DHBA</v>
      </c>
      <c r="C641" s="42" t="str">
        <f>IFERROR(__xludf.DUMMYFUNCTION("""COMPUTED_VALUE"""),"VZ in medial (posterior) entorhinal cortex")</f>
        <v>VZ in medial (posterior) entorhinal cortex</v>
      </c>
      <c r="D641" s="42">
        <f>IFERROR(__xludf.DUMMYFUNCTION("""COMPUTED_VALUE"""),607.0)</f>
        <v>607</v>
      </c>
      <c r="E641" s="39" t="str">
        <f>IFERROR(__xludf.DUMMYFUNCTION("""COMPUTED_VALUE"""),"VZ in medial (posterior) entorhinal cortex")</f>
        <v>VZ in medial (posterior) entorhinal cortex</v>
      </c>
      <c r="F641" s="9" t="str">
        <f>IFERROR(__xludf.DUMMYFUNCTION("""COMPUTED_VALUE"""),"Br")</f>
        <v>Br</v>
      </c>
      <c r="G641" s="9" t="str">
        <f>IFERROR(__xludf.DUMMYFUNCTION("""COMPUTED_VALUE"""),"F")</f>
        <v>F</v>
      </c>
      <c r="H641" s="9" t="str">
        <f>IFERROR(__xludf.DUMMYFUNCTION("""COMPUTED_VALUE"""),"FGM")</f>
        <v>FGM</v>
      </c>
      <c r="I641" s="9" t="str">
        <f>IFERROR(__xludf.DUMMYFUNCTION("""COMPUTED_VALUE"""),"FTS")</f>
        <v>FTS</v>
      </c>
      <c r="J641" s="9" t="str">
        <f>IFERROR(__xludf.DUMMYFUNCTION("""COMPUTED_VALUE"""),"VZ")</f>
        <v>VZ</v>
      </c>
      <c r="K641" s="9" t="str">
        <f>IFERROR(__xludf.DUMMYFUNCTION("""COMPUTED_VALUE"""),"peVZ")</f>
        <v>peVZ</v>
      </c>
      <c r="L641" s="9" t="str">
        <f>IFERROR(__xludf.DUMMYFUNCTION("""COMPUTED_VALUE"""),"VZEC")</f>
        <v>VZEC</v>
      </c>
      <c r="M641" s="9" t="str">
        <f>IFERROR(__xludf.DUMMYFUNCTION("""COMPUTED_VALUE"""),"VZmec")</f>
        <v>VZmec</v>
      </c>
      <c r="N641" s="9"/>
      <c r="O641" s="9"/>
      <c r="P641" s="9"/>
      <c r="Q641" s="9"/>
      <c r="R641" s="9"/>
      <c r="S641" s="42" t="str">
        <f>IFERROR(__xludf.DUMMYFUNCTION("""COMPUTED_VALUE"""),"VZec")</f>
        <v>VZec</v>
      </c>
      <c r="T641" s="42"/>
      <c r="U641" s="42" t="b">
        <f>IFERROR(__xludf.DUMMYFUNCTION("""COMPUTED_VALUE"""),FALSE)</f>
        <v>0</v>
      </c>
      <c r="V641" s="42"/>
      <c r="W641" s="42"/>
      <c r="X641" s="42"/>
      <c r="Y641" s="42"/>
      <c r="Z641" s="42"/>
      <c r="AA641" s="42"/>
      <c r="AB641" s="42" t="str">
        <f>IFERROR(__xludf.DUMMYFUNCTION("""COMPUTED_VALUE"""),"allen institute")</f>
        <v>allen institute</v>
      </c>
      <c r="AC641" s="42" t="str">
        <f>IFERROR(__xludf.DUMMYFUNCTION("""COMPUTED_VALUE"""),"DHBA")</f>
        <v>DHBA</v>
      </c>
      <c r="AD641" s="42"/>
      <c r="AE641" s="42"/>
      <c r="AF641" s="9"/>
      <c r="AG641" s="9"/>
      <c r="AH641" s="42"/>
      <c r="AI641" s="42"/>
      <c r="AJ641" s="42"/>
      <c r="AK641" s="42"/>
      <c r="AL641" s="42"/>
      <c r="AM641" s="42"/>
      <c r="AN641" s="42"/>
      <c r="AO641" s="63" t="str">
        <f>IFERROR(__xludf.DUMMYFUNCTION("IF(ISBLANK(A641),,IF(ISBLANK(S641), A641&amp;"";"", TEXTJOIN(CHAR(10), TRUE, A641&amp;"";"", ARRAYFORMULA(VLOOKUP(SPLIT(S641, "";"" &amp; CHAR(10)), $A:$AO, 41, FALSE)))))"),"#REF!")</f>
        <v>#REF!</v>
      </c>
      <c r="AP641" s="89"/>
    </row>
    <row r="642">
      <c r="A642" s="151" t="str">
        <f>IFERROR(__xludf.DUMMYFUNCTION("""COMPUTED_VALUE"""),"VZec")</f>
        <v>VZec</v>
      </c>
      <c r="B642" s="42" t="str">
        <f>IFERROR(__xludf.DUMMYFUNCTION("""COMPUTED_VALUE"""),"DHBA")</f>
        <v>DHBA</v>
      </c>
      <c r="C642" s="42" t="str">
        <f>IFERROR(__xludf.DUMMYFUNCTION("""COMPUTED_VALUE"""),"VZ in caudal entorhinal cortex")</f>
        <v>VZ in caudal entorhinal cortex</v>
      </c>
      <c r="D642" s="42">
        <f>IFERROR(__xludf.DUMMYFUNCTION("""COMPUTED_VALUE"""),608.0)</f>
        <v>608</v>
      </c>
      <c r="E642" s="39" t="str">
        <f>IFERROR(__xludf.DUMMYFUNCTION("""COMPUTED_VALUE"""),"VZ in caudal entorhinal cortex")</f>
        <v>VZ in caudal entorhinal cortex</v>
      </c>
      <c r="F642" s="9" t="str">
        <f>IFERROR(__xludf.DUMMYFUNCTION("""COMPUTED_VALUE"""),"Br")</f>
        <v>Br</v>
      </c>
      <c r="G642" s="9" t="str">
        <f>IFERROR(__xludf.DUMMYFUNCTION("""COMPUTED_VALUE"""),"F")</f>
        <v>F</v>
      </c>
      <c r="H642" s="9" t="str">
        <f>IFERROR(__xludf.DUMMYFUNCTION("""COMPUTED_VALUE"""),"FGM")</f>
        <v>FGM</v>
      </c>
      <c r="I642" s="9" t="str">
        <f>IFERROR(__xludf.DUMMYFUNCTION("""COMPUTED_VALUE"""),"FTS")</f>
        <v>FTS</v>
      </c>
      <c r="J642" s="9" t="str">
        <f>IFERROR(__xludf.DUMMYFUNCTION("""COMPUTED_VALUE"""),"VZ")</f>
        <v>VZ</v>
      </c>
      <c r="K642" s="9" t="str">
        <f>IFERROR(__xludf.DUMMYFUNCTION("""COMPUTED_VALUE"""),"peVZ")</f>
        <v>peVZ</v>
      </c>
      <c r="L642" s="9" t="str">
        <f>IFERROR(__xludf.DUMMYFUNCTION("""COMPUTED_VALUE"""),"VZEC")</f>
        <v>VZEC</v>
      </c>
      <c r="M642" s="9" t="str">
        <f>IFERROR(__xludf.DUMMYFUNCTION("""COMPUTED_VALUE"""),"VZmec")</f>
        <v>VZmec</v>
      </c>
      <c r="N642" s="9" t="str">
        <f>IFERROR(__xludf.DUMMYFUNCTION("""COMPUTED_VALUE"""),"VZec")</f>
        <v>VZec</v>
      </c>
      <c r="O642" s="9"/>
      <c r="P642" s="9"/>
      <c r="Q642" s="9"/>
      <c r="R642" s="9"/>
      <c r="S642" s="42"/>
      <c r="T642" s="42"/>
      <c r="U642" s="42"/>
      <c r="V642" s="42"/>
      <c r="W642" s="42"/>
      <c r="X642" s="42"/>
      <c r="Y642" s="42"/>
      <c r="Z642" s="42"/>
      <c r="AA642" s="42"/>
      <c r="AB642" s="42" t="str">
        <f>IFERROR(__xludf.DUMMYFUNCTION("""COMPUTED_VALUE"""),"allen institute")</f>
        <v>allen institute</v>
      </c>
      <c r="AC642" s="42" t="str">
        <f>IFERROR(__xludf.DUMMYFUNCTION("""COMPUTED_VALUE"""),"DHBA")</f>
        <v>DHBA</v>
      </c>
      <c r="AD642" s="42"/>
      <c r="AE642" s="42"/>
      <c r="AF642" s="9"/>
      <c r="AG642" s="9"/>
      <c r="AH642" s="42"/>
      <c r="AI642" s="42"/>
      <c r="AJ642" s="42"/>
      <c r="AK642" s="42"/>
      <c r="AL642" s="42"/>
      <c r="AM642" s="42"/>
      <c r="AN642" s="42"/>
      <c r="AO642" s="63" t="str">
        <f>IFERROR(__xludf.DUMMYFUNCTION("IF(ISBLANK(A642),,IF(ISBLANK(S642), A642&amp;"";"", TEXTJOIN(CHAR(10), TRUE, A642&amp;"";"", ARRAYFORMULA(VLOOKUP(SPLIT(S642, "";"" &amp; CHAR(10)), $A:$AO, 41, FALSE)))))"),"VZec;")</f>
        <v>VZec;</v>
      </c>
      <c r="AP642" s="89"/>
    </row>
    <row r="643">
      <c r="A643" s="151" t="str">
        <f>IFERROR(__xludf.DUMMYFUNCTION("""COMPUTED_VALUE"""),"VZlec")</f>
        <v>VZlec</v>
      </c>
      <c r="B643" s="42" t="str">
        <f>IFERROR(__xludf.DUMMYFUNCTION("""COMPUTED_VALUE"""),"DHBA")</f>
        <v>DHBA</v>
      </c>
      <c r="C643" s="42" t="str">
        <f>IFERROR(__xludf.DUMMYFUNCTION("""COMPUTED_VALUE"""),"VZ in lateral (anterior) entorhinal cortex")</f>
        <v>VZ in lateral (anterior) entorhinal cortex</v>
      </c>
      <c r="D643" s="42">
        <f>IFERROR(__xludf.DUMMYFUNCTION("""COMPUTED_VALUE"""),609.0)</f>
        <v>609</v>
      </c>
      <c r="E643" s="39" t="str">
        <f>IFERROR(__xludf.DUMMYFUNCTION("""COMPUTED_VALUE"""),"VZ in lateral (anterior) entorhinal cortex")</f>
        <v>VZ in lateral (anterior) entorhinal cortex</v>
      </c>
      <c r="F643" s="9" t="str">
        <f>IFERROR(__xludf.DUMMYFUNCTION("""COMPUTED_VALUE"""),"Br")</f>
        <v>Br</v>
      </c>
      <c r="G643" s="9" t="str">
        <f>IFERROR(__xludf.DUMMYFUNCTION("""COMPUTED_VALUE"""),"F")</f>
        <v>F</v>
      </c>
      <c r="H643" s="9" t="str">
        <f>IFERROR(__xludf.DUMMYFUNCTION("""COMPUTED_VALUE"""),"FGM")</f>
        <v>FGM</v>
      </c>
      <c r="I643" s="9" t="str">
        <f>IFERROR(__xludf.DUMMYFUNCTION("""COMPUTED_VALUE"""),"FTS")</f>
        <v>FTS</v>
      </c>
      <c r="J643" s="9" t="str">
        <f>IFERROR(__xludf.DUMMYFUNCTION("""COMPUTED_VALUE"""),"VZ")</f>
        <v>VZ</v>
      </c>
      <c r="K643" s="9" t="str">
        <f>IFERROR(__xludf.DUMMYFUNCTION("""COMPUTED_VALUE"""),"peVZ")</f>
        <v>peVZ</v>
      </c>
      <c r="L643" s="9" t="str">
        <f>IFERROR(__xludf.DUMMYFUNCTION("""COMPUTED_VALUE"""),"VZEC")</f>
        <v>VZEC</v>
      </c>
      <c r="M643" s="9" t="str">
        <f>IFERROR(__xludf.DUMMYFUNCTION("""COMPUTED_VALUE"""),"VZlec")</f>
        <v>VZlec</v>
      </c>
      <c r="N643" s="9"/>
      <c r="O643" s="9"/>
      <c r="P643" s="9"/>
      <c r="Q643" s="9"/>
      <c r="R643" s="9"/>
      <c r="S643" s="42" t="str">
        <f>IFERROR(__xludf.DUMMYFUNCTION("""COMPUTED_VALUE"""),"VZer")</f>
        <v>VZer</v>
      </c>
      <c r="T643" s="42"/>
      <c r="U643" s="42" t="b">
        <f>IFERROR(__xludf.DUMMYFUNCTION("""COMPUTED_VALUE"""),FALSE)</f>
        <v>0</v>
      </c>
      <c r="V643" s="42"/>
      <c r="W643" s="42"/>
      <c r="X643" s="42"/>
      <c r="Y643" s="42"/>
      <c r="Z643" s="42"/>
      <c r="AA643" s="42"/>
      <c r="AB643" s="42" t="str">
        <f>IFERROR(__xludf.DUMMYFUNCTION("""COMPUTED_VALUE"""),"allen institute")</f>
        <v>allen institute</v>
      </c>
      <c r="AC643" s="42" t="str">
        <f>IFERROR(__xludf.DUMMYFUNCTION("""COMPUTED_VALUE"""),"DHBA")</f>
        <v>DHBA</v>
      </c>
      <c r="AD643" s="42"/>
      <c r="AE643" s="42"/>
      <c r="AF643" s="9"/>
      <c r="AG643" s="9"/>
      <c r="AH643" s="42"/>
      <c r="AI643" s="42"/>
      <c r="AJ643" s="42"/>
      <c r="AK643" s="42"/>
      <c r="AL643" s="42"/>
      <c r="AM643" s="42"/>
      <c r="AN643" s="42"/>
      <c r="AO643" s="63" t="str">
        <f>IFERROR(__xludf.DUMMYFUNCTION("IF(ISBLANK(A643),,IF(ISBLANK(S643), A643&amp;"";"", TEXTJOIN(CHAR(10), TRUE, A643&amp;"";"", ARRAYFORMULA(VLOOKUP(SPLIT(S643, "";"" &amp; CHAR(10)), $A:$AO, 41, FALSE)))))"),"VZlec;
VZer;")</f>
        <v>VZlec;
VZer;</v>
      </c>
      <c r="AP643" s="89"/>
    </row>
    <row r="644">
      <c r="A644" s="151" t="str">
        <f>IFERROR(__xludf.DUMMYFUNCTION("""COMPUTED_VALUE"""),"VZer")</f>
        <v>VZer</v>
      </c>
      <c r="B644" s="42" t="str">
        <f>IFERROR(__xludf.DUMMYFUNCTION("""COMPUTED_VALUE"""),"DHBA")</f>
        <v>DHBA</v>
      </c>
      <c r="C644" s="42" t="str">
        <f>IFERROR(__xludf.DUMMYFUNCTION("""COMPUTED_VALUE"""),"VZ in rostral entorhinal cortex")</f>
        <v>VZ in rostral entorhinal cortex</v>
      </c>
      <c r="D644" s="42">
        <f>IFERROR(__xludf.DUMMYFUNCTION("""COMPUTED_VALUE"""),610.0)</f>
        <v>610</v>
      </c>
      <c r="E644" s="39" t="str">
        <f>IFERROR(__xludf.DUMMYFUNCTION("""COMPUTED_VALUE"""),"VZ in rostral entorhinal cortex")</f>
        <v>VZ in rostral entorhinal cortex</v>
      </c>
      <c r="F644" s="9" t="str">
        <f>IFERROR(__xludf.DUMMYFUNCTION("""COMPUTED_VALUE"""),"Br")</f>
        <v>Br</v>
      </c>
      <c r="G644" s="9" t="str">
        <f>IFERROR(__xludf.DUMMYFUNCTION("""COMPUTED_VALUE"""),"F")</f>
        <v>F</v>
      </c>
      <c r="H644" s="9" t="str">
        <f>IFERROR(__xludf.DUMMYFUNCTION("""COMPUTED_VALUE"""),"FGM")</f>
        <v>FGM</v>
      </c>
      <c r="I644" s="9" t="str">
        <f>IFERROR(__xludf.DUMMYFUNCTION("""COMPUTED_VALUE"""),"FTS")</f>
        <v>FTS</v>
      </c>
      <c r="J644" s="9" t="str">
        <f>IFERROR(__xludf.DUMMYFUNCTION("""COMPUTED_VALUE"""),"VZ")</f>
        <v>VZ</v>
      </c>
      <c r="K644" s="9" t="str">
        <f>IFERROR(__xludf.DUMMYFUNCTION("""COMPUTED_VALUE"""),"peVZ")</f>
        <v>peVZ</v>
      </c>
      <c r="L644" s="9" t="str">
        <f>IFERROR(__xludf.DUMMYFUNCTION("""COMPUTED_VALUE"""),"VZEC")</f>
        <v>VZEC</v>
      </c>
      <c r="M644" s="9" t="str">
        <f>IFERROR(__xludf.DUMMYFUNCTION("""COMPUTED_VALUE"""),"VZlec")</f>
        <v>VZlec</v>
      </c>
      <c r="N644" s="9" t="str">
        <f>IFERROR(__xludf.DUMMYFUNCTION("""COMPUTED_VALUE"""),"VZer")</f>
        <v>VZer</v>
      </c>
      <c r="O644" s="9"/>
      <c r="P644" s="9"/>
      <c r="Q644" s="9"/>
      <c r="R644" s="9"/>
      <c r="S644" s="42"/>
      <c r="T644" s="42"/>
      <c r="U644" s="42"/>
      <c r="V644" s="42"/>
      <c r="W644" s="42"/>
      <c r="X644" s="42"/>
      <c r="Y644" s="42"/>
      <c r="Z644" s="42"/>
      <c r="AA644" s="42"/>
      <c r="AB644" s="42" t="str">
        <f>IFERROR(__xludf.DUMMYFUNCTION("""COMPUTED_VALUE"""),"allen institute")</f>
        <v>allen institute</v>
      </c>
      <c r="AC644" s="42" t="str">
        <f>IFERROR(__xludf.DUMMYFUNCTION("""COMPUTED_VALUE"""),"DHBA")</f>
        <v>DHBA</v>
      </c>
      <c r="AD644" s="42"/>
      <c r="AE644" s="42"/>
      <c r="AF644" s="9"/>
      <c r="AG644" s="9"/>
      <c r="AH644" s="42"/>
      <c r="AI644" s="42"/>
      <c r="AJ644" s="42"/>
      <c r="AK644" s="42"/>
      <c r="AL644" s="42"/>
      <c r="AM644" s="42"/>
      <c r="AN644" s="42"/>
      <c r="AO644" s="63" t="str">
        <f>IFERROR(__xludf.DUMMYFUNCTION("IF(ISBLANK(A644),,IF(ISBLANK(S644), A644&amp;"";"", TEXTJOIN(CHAR(10), TRUE, A644&amp;"";"", ARRAYFORMULA(VLOOKUP(SPLIT(S644, "";"" &amp; CHAR(10)), $A:$AO, 41, FALSE)))))"),"VZer;")</f>
        <v>VZer;</v>
      </c>
      <c r="AP644" s="89"/>
    </row>
    <row r="645">
      <c r="A645" s="151" t="str">
        <f>IFERROR(__xludf.DUMMYFUNCTION("""COMPUTED_VALUE"""),"VZprs")</f>
        <v>VZprs</v>
      </c>
      <c r="B645" s="42" t="str">
        <f>IFERROR(__xludf.DUMMYFUNCTION("""COMPUTED_VALUE"""),"DHBA")</f>
        <v>DHBA</v>
      </c>
      <c r="C645" s="42" t="str">
        <f>IFERROR(__xludf.DUMMYFUNCTION("""COMPUTED_VALUE"""),"VZ in presubicular cortex")</f>
        <v>VZ in presubicular cortex</v>
      </c>
      <c r="D645" s="42">
        <f>IFERROR(__xludf.DUMMYFUNCTION("""COMPUTED_VALUE"""),611.0)</f>
        <v>611</v>
      </c>
      <c r="E645" s="39" t="str">
        <f>IFERROR(__xludf.DUMMYFUNCTION("""COMPUTED_VALUE"""),"VZ in presubicular cortex")</f>
        <v>VZ in presubicular cortex</v>
      </c>
      <c r="F645" s="9" t="str">
        <f>IFERROR(__xludf.DUMMYFUNCTION("""COMPUTED_VALUE"""),"Br")</f>
        <v>Br</v>
      </c>
      <c r="G645" s="9" t="str">
        <f>IFERROR(__xludf.DUMMYFUNCTION("""COMPUTED_VALUE"""),"F")</f>
        <v>F</v>
      </c>
      <c r="H645" s="9" t="str">
        <f>IFERROR(__xludf.DUMMYFUNCTION("""COMPUTED_VALUE"""),"FGM")</f>
        <v>FGM</v>
      </c>
      <c r="I645" s="9" t="str">
        <f>IFERROR(__xludf.DUMMYFUNCTION("""COMPUTED_VALUE"""),"FTS")</f>
        <v>FTS</v>
      </c>
      <c r="J645" s="9" t="str">
        <f>IFERROR(__xludf.DUMMYFUNCTION("""COMPUTED_VALUE"""),"VZ")</f>
        <v>VZ</v>
      </c>
      <c r="K645" s="9" t="str">
        <f>IFERROR(__xludf.DUMMYFUNCTION("""COMPUTED_VALUE"""),"peVZ")</f>
        <v>peVZ</v>
      </c>
      <c r="L645" s="9" t="str">
        <f>IFERROR(__xludf.DUMMYFUNCTION("""COMPUTED_VALUE"""),"VZprs")</f>
        <v>VZprs</v>
      </c>
      <c r="M645" s="9"/>
      <c r="N645" s="9"/>
      <c r="O645" s="9"/>
      <c r="P645" s="9"/>
      <c r="Q645" s="9"/>
      <c r="R645" s="9"/>
      <c r="S645" s="42" t="str">
        <f>IFERROR(__xludf.DUMMYFUNCTION("""COMPUTED_VALUE"""),"VZprsr;
VZprsc")</f>
        <v>VZprsr;
VZprsc</v>
      </c>
      <c r="T645" s="42"/>
      <c r="U645" s="159" t="b">
        <f>IFERROR(__xludf.DUMMYFUNCTION("""COMPUTED_VALUE"""),FALSE)</f>
        <v>0</v>
      </c>
      <c r="V645" s="42"/>
      <c r="W645" s="42"/>
      <c r="X645" s="42"/>
      <c r="Y645" s="42"/>
      <c r="Z645" s="42"/>
      <c r="AA645" s="42"/>
      <c r="AB645" s="42" t="str">
        <f>IFERROR(__xludf.DUMMYFUNCTION("""COMPUTED_VALUE"""),"allen institute")</f>
        <v>allen institute</v>
      </c>
      <c r="AC645" s="42" t="str">
        <f>IFERROR(__xludf.DUMMYFUNCTION("""COMPUTED_VALUE"""),"DHBA")</f>
        <v>DHBA</v>
      </c>
      <c r="AD645" s="42"/>
      <c r="AE645" s="42"/>
      <c r="AF645" s="9"/>
      <c r="AG645" s="9"/>
      <c r="AH645" s="42"/>
      <c r="AI645" s="42"/>
      <c r="AJ645" s="42"/>
      <c r="AK645" s="42"/>
      <c r="AL645" s="42"/>
      <c r="AM645" s="42"/>
      <c r="AN645" s="42"/>
      <c r="AO645" s="63" t="str">
        <f>IFERROR(__xludf.DUMMYFUNCTION("IF(ISBLANK(A645),,IF(ISBLANK(S645), A645&amp;"";"", TEXTJOIN(CHAR(10), TRUE, A645&amp;"";"", ARRAYFORMULA(VLOOKUP(SPLIT(S645, "";"" &amp; CHAR(10)), $A:$AO, 41, FALSE)))))"),"VZprs;
VZprsr;
VZprsc;")</f>
        <v>VZprs;
VZprsr;
VZprsc;</v>
      </c>
      <c r="AP645" s="89"/>
    </row>
    <row r="646">
      <c r="A646" s="151" t="str">
        <f>IFERROR(__xludf.DUMMYFUNCTION("""COMPUTED_VALUE"""),"VZprsr")</f>
        <v>VZprsr</v>
      </c>
      <c r="B646" s="42" t="str">
        <f>IFERROR(__xludf.DUMMYFUNCTION("""COMPUTED_VALUE"""),"DHBA")</f>
        <v>DHBA</v>
      </c>
      <c r="C646" s="42" t="str">
        <f>IFERROR(__xludf.DUMMYFUNCTION("""COMPUTED_VALUE"""),"VZ in rostral presubicular cortex")</f>
        <v>VZ in rostral presubicular cortex</v>
      </c>
      <c r="D646" s="42">
        <f>IFERROR(__xludf.DUMMYFUNCTION("""COMPUTED_VALUE"""),612.0)</f>
        <v>612</v>
      </c>
      <c r="E646" s="39" t="str">
        <f>IFERROR(__xludf.DUMMYFUNCTION("""COMPUTED_VALUE"""),"VZ in rostral presubicular cortex")</f>
        <v>VZ in rostral presubicular cortex</v>
      </c>
      <c r="F646" s="9" t="str">
        <f>IFERROR(__xludf.DUMMYFUNCTION("""COMPUTED_VALUE"""),"Br")</f>
        <v>Br</v>
      </c>
      <c r="G646" s="9" t="str">
        <f>IFERROR(__xludf.DUMMYFUNCTION("""COMPUTED_VALUE"""),"F")</f>
        <v>F</v>
      </c>
      <c r="H646" s="9" t="str">
        <f>IFERROR(__xludf.DUMMYFUNCTION("""COMPUTED_VALUE"""),"FGM")</f>
        <v>FGM</v>
      </c>
      <c r="I646" s="9" t="str">
        <f>IFERROR(__xludf.DUMMYFUNCTION("""COMPUTED_VALUE"""),"FTS")</f>
        <v>FTS</v>
      </c>
      <c r="J646" s="9" t="str">
        <f>IFERROR(__xludf.DUMMYFUNCTION("""COMPUTED_VALUE"""),"VZ")</f>
        <v>VZ</v>
      </c>
      <c r="K646" s="9" t="str">
        <f>IFERROR(__xludf.DUMMYFUNCTION("""COMPUTED_VALUE"""),"peVZ")</f>
        <v>peVZ</v>
      </c>
      <c r="L646" s="9" t="str">
        <f>IFERROR(__xludf.DUMMYFUNCTION("""COMPUTED_VALUE"""),"VZprs")</f>
        <v>VZprs</v>
      </c>
      <c r="M646" s="9" t="str">
        <f>IFERROR(__xludf.DUMMYFUNCTION("""COMPUTED_VALUE"""),"VZprsr")</f>
        <v>VZprsr</v>
      </c>
      <c r="N646" s="9"/>
      <c r="O646" s="9"/>
      <c r="P646" s="9"/>
      <c r="Q646" s="9"/>
      <c r="R646" s="9"/>
      <c r="S646" s="42"/>
      <c r="T646" s="42"/>
      <c r="U646" s="42"/>
      <c r="V646" s="42"/>
      <c r="W646" s="42"/>
      <c r="X646" s="42"/>
      <c r="Y646" s="42"/>
      <c r="Z646" s="42"/>
      <c r="AA646" s="42"/>
      <c r="AB646" s="42" t="str">
        <f>IFERROR(__xludf.DUMMYFUNCTION("""COMPUTED_VALUE"""),"allen institute")</f>
        <v>allen institute</v>
      </c>
      <c r="AC646" s="42" t="str">
        <f>IFERROR(__xludf.DUMMYFUNCTION("""COMPUTED_VALUE"""),"DHBA")</f>
        <v>DHBA</v>
      </c>
      <c r="AD646" s="42"/>
      <c r="AE646" s="42"/>
      <c r="AF646" s="9"/>
      <c r="AG646" s="9"/>
      <c r="AH646" s="42"/>
      <c r="AI646" s="42"/>
      <c r="AJ646" s="42"/>
      <c r="AK646" s="42"/>
      <c r="AL646" s="42"/>
      <c r="AM646" s="42"/>
      <c r="AN646" s="42"/>
      <c r="AO646" s="63" t="str">
        <f>IFERROR(__xludf.DUMMYFUNCTION("IF(ISBLANK(A646),,IF(ISBLANK(S646), A646&amp;"";"", TEXTJOIN(CHAR(10), TRUE, A646&amp;"";"", ARRAYFORMULA(VLOOKUP(SPLIT(S646, "";"" &amp; CHAR(10)), $A:$AO, 41, FALSE)))))"),"VZprsr;")</f>
        <v>VZprsr;</v>
      </c>
      <c r="AP646" s="89"/>
    </row>
    <row r="647">
      <c r="A647" s="151" t="str">
        <f>IFERROR(__xludf.DUMMYFUNCTION("""COMPUTED_VALUE"""),"VZprsc")</f>
        <v>VZprsc</v>
      </c>
      <c r="B647" s="42" t="str">
        <f>IFERROR(__xludf.DUMMYFUNCTION("""COMPUTED_VALUE"""),"DHBA")</f>
        <v>DHBA</v>
      </c>
      <c r="C647" s="42" t="str">
        <f>IFERROR(__xludf.DUMMYFUNCTION("""COMPUTED_VALUE"""),"VZ in caudal presubicular cortex")</f>
        <v>VZ in caudal presubicular cortex</v>
      </c>
      <c r="D647" s="42">
        <f>IFERROR(__xludf.DUMMYFUNCTION("""COMPUTED_VALUE"""),613.0)</f>
        <v>613</v>
      </c>
      <c r="E647" s="39" t="str">
        <f>IFERROR(__xludf.DUMMYFUNCTION("""COMPUTED_VALUE"""),"VZ in caudal presubicular cortex")</f>
        <v>VZ in caudal presubicular cortex</v>
      </c>
      <c r="F647" s="9" t="str">
        <f>IFERROR(__xludf.DUMMYFUNCTION("""COMPUTED_VALUE"""),"Br")</f>
        <v>Br</v>
      </c>
      <c r="G647" s="9" t="str">
        <f>IFERROR(__xludf.DUMMYFUNCTION("""COMPUTED_VALUE"""),"F")</f>
        <v>F</v>
      </c>
      <c r="H647" s="9" t="str">
        <f>IFERROR(__xludf.DUMMYFUNCTION("""COMPUTED_VALUE"""),"FGM")</f>
        <v>FGM</v>
      </c>
      <c r="I647" s="9" t="str">
        <f>IFERROR(__xludf.DUMMYFUNCTION("""COMPUTED_VALUE"""),"FTS")</f>
        <v>FTS</v>
      </c>
      <c r="J647" s="9" t="str">
        <f>IFERROR(__xludf.DUMMYFUNCTION("""COMPUTED_VALUE"""),"VZ")</f>
        <v>VZ</v>
      </c>
      <c r="K647" s="9" t="str">
        <f>IFERROR(__xludf.DUMMYFUNCTION("""COMPUTED_VALUE"""),"peVZ")</f>
        <v>peVZ</v>
      </c>
      <c r="L647" s="9" t="str">
        <f>IFERROR(__xludf.DUMMYFUNCTION("""COMPUTED_VALUE"""),"VZprs")</f>
        <v>VZprs</v>
      </c>
      <c r="M647" s="9" t="str">
        <f>IFERROR(__xludf.DUMMYFUNCTION("""COMPUTED_VALUE"""),"VZprsc")</f>
        <v>VZprsc</v>
      </c>
      <c r="N647" s="9"/>
      <c r="O647" s="9"/>
      <c r="P647" s="9"/>
      <c r="Q647" s="9"/>
      <c r="R647" s="9"/>
      <c r="S647" s="42"/>
      <c r="T647" s="42"/>
      <c r="U647" s="42"/>
      <c r="V647" s="42"/>
      <c r="W647" s="42"/>
      <c r="X647" s="42"/>
      <c r="Y647" s="42"/>
      <c r="Z647" s="42"/>
      <c r="AA647" s="42"/>
      <c r="AB647" s="42" t="str">
        <f>IFERROR(__xludf.DUMMYFUNCTION("""COMPUTED_VALUE"""),"allen institute")</f>
        <v>allen institute</v>
      </c>
      <c r="AC647" s="42" t="str">
        <f>IFERROR(__xludf.DUMMYFUNCTION("""COMPUTED_VALUE"""),"DHBA")</f>
        <v>DHBA</v>
      </c>
      <c r="AD647" s="42"/>
      <c r="AE647" s="42"/>
      <c r="AF647" s="9"/>
      <c r="AG647" s="9"/>
      <c r="AH647" s="42"/>
      <c r="AI647" s="42"/>
      <c r="AJ647" s="42"/>
      <c r="AK647" s="42"/>
      <c r="AL647" s="42"/>
      <c r="AM647" s="42"/>
      <c r="AN647" s="42"/>
      <c r="AO647" s="63" t="str">
        <f>IFERROR(__xludf.DUMMYFUNCTION("IF(ISBLANK(A647),,IF(ISBLANK(S647), A647&amp;"";"", TEXTJOIN(CHAR(10), TRUE, A647&amp;"";"", ARRAYFORMULA(VLOOKUP(SPLIT(S647, "";"" &amp; CHAR(10)), $A:$AO, 41, FALSE)))))"),"VZprsc;")</f>
        <v>VZprsc;</v>
      </c>
      <c r="AP647" s="89"/>
    </row>
    <row r="648">
      <c r="A648" s="151" t="str">
        <f>IFERROR(__xludf.DUMMYFUNCTION("""COMPUTED_VALUE"""),"VZrs")</f>
        <v>VZrs</v>
      </c>
      <c r="B648" s="42" t="str">
        <f>IFERROR(__xludf.DUMMYFUNCTION("""COMPUTED_VALUE"""),"DHBA")</f>
        <v>DHBA</v>
      </c>
      <c r="C648" s="42" t="str">
        <f>IFERROR(__xludf.DUMMYFUNCTION("""COMPUTED_VALUE"""),"VZ in retrosplenial cortex")</f>
        <v>VZ in retrosplenial cortex</v>
      </c>
      <c r="D648" s="42">
        <f>IFERROR(__xludf.DUMMYFUNCTION("""COMPUTED_VALUE"""),614.0)</f>
        <v>614</v>
      </c>
      <c r="E648" s="39" t="str">
        <f>IFERROR(__xludf.DUMMYFUNCTION("""COMPUTED_VALUE"""),"VZ in retrosplenial cortex")</f>
        <v>VZ in retrosplenial cortex</v>
      </c>
      <c r="F648" s="9" t="str">
        <f>IFERROR(__xludf.DUMMYFUNCTION("""COMPUTED_VALUE"""),"Br")</f>
        <v>Br</v>
      </c>
      <c r="G648" s="9" t="str">
        <f>IFERROR(__xludf.DUMMYFUNCTION("""COMPUTED_VALUE"""),"F")</f>
        <v>F</v>
      </c>
      <c r="H648" s="9" t="str">
        <f>IFERROR(__xludf.DUMMYFUNCTION("""COMPUTED_VALUE"""),"FGM")</f>
        <v>FGM</v>
      </c>
      <c r="I648" s="9" t="str">
        <f>IFERROR(__xludf.DUMMYFUNCTION("""COMPUTED_VALUE"""),"FTS")</f>
        <v>FTS</v>
      </c>
      <c r="J648" s="9" t="str">
        <f>IFERROR(__xludf.DUMMYFUNCTION("""COMPUTED_VALUE"""),"VZ")</f>
        <v>VZ</v>
      </c>
      <c r="K648" s="9" t="str">
        <f>IFERROR(__xludf.DUMMYFUNCTION("""COMPUTED_VALUE"""),"peVZ")</f>
        <v>peVZ</v>
      </c>
      <c r="L648" s="9" t="str">
        <f>IFERROR(__xludf.DUMMYFUNCTION("""COMPUTED_VALUE"""),"VZrs")</f>
        <v>VZrs</v>
      </c>
      <c r="M648" s="9"/>
      <c r="N648" s="9"/>
      <c r="O648" s="9"/>
      <c r="P648" s="9"/>
      <c r="Q648" s="9"/>
      <c r="R648" s="9"/>
      <c r="S648" s="42"/>
      <c r="T648" s="42"/>
      <c r="U648" s="42"/>
      <c r="V648" s="42"/>
      <c r="W648" s="42"/>
      <c r="X648" s="42"/>
      <c r="Y648" s="42"/>
      <c r="Z648" s="42"/>
      <c r="AA648" s="42"/>
      <c r="AB648" s="42" t="str">
        <f>IFERROR(__xludf.DUMMYFUNCTION("""COMPUTED_VALUE"""),"allen institute")</f>
        <v>allen institute</v>
      </c>
      <c r="AC648" s="42" t="str">
        <f>IFERROR(__xludf.DUMMYFUNCTION("""COMPUTED_VALUE"""),"DHBA")</f>
        <v>DHBA</v>
      </c>
      <c r="AD648" s="42"/>
      <c r="AE648" s="42"/>
      <c r="AF648" s="9"/>
      <c r="AG648" s="9"/>
      <c r="AH648" s="42"/>
      <c r="AI648" s="42"/>
      <c r="AJ648" s="42"/>
      <c r="AK648" s="42"/>
      <c r="AL648" s="42"/>
      <c r="AM648" s="42"/>
      <c r="AN648" s="42"/>
      <c r="AO648" s="63" t="str">
        <f>IFERROR(__xludf.DUMMYFUNCTION("IF(ISBLANK(A648),,IF(ISBLANK(S648), A648&amp;"";"", TEXTJOIN(CHAR(10), TRUE, A648&amp;"";"", ARRAYFORMULA(VLOOKUP(SPLIT(S648, "";"" &amp; CHAR(10)), $A:$AO, 41, FALSE)))))"),"VZrs;")</f>
        <v>VZrs;</v>
      </c>
      <c r="AP648" s="89"/>
    </row>
    <row r="649">
      <c r="A649" s="151" t="str">
        <f>IFERROR(__xludf.DUMMYFUNCTION("""COMPUTED_VALUE"""),"alVZ")</f>
        <v>alVZ</v>
      </c>
      <c r="B649" s="42" t="str">
        <f>IFERROR(__xludf.DUMMYFUNCTION("""COMPUTED_VALUE"""),"DHBA")</f>
        <v>DHBA</v>
      </c>
      <c r="C649" s="42" t="str">
        <f>IFERROR(__xludf.DUMMYFUNCTION("""COMPUTED_VALUE"""),"VZ in allocortex")</f>
        <v>VZ in allocortex</v>
      </c>
      <c r="D649" s="42">
        <f>IFERROR(__xludf.DUMMYFUNCTION("""COMPUTED_VALUE"""),615.0)</f>
        <v>615</v>
      </c>
      <c r="E649" s="39" t="str">
        <f>IFERROR(__xludf.DUMMYFUNCTION("""COMPUTED_VALUE"""),"VZ in allocortex")</f>
        <v>VZ in allocortex</v>
      </c>
      <c r="F649" s="9" t="str">
        <f>IFERROR(__xludf.DUMMYFUNCTION("""COMPUTED_VALUE"""),"Br")</f>
        <v>Br</v>
      </c>
      <c r="G649" s="9" t="str">
        <f>IFERROR(__xludf.DUMMYFUNCTION("""COMPUTED_VALUE"""),"F")</f>
        <v>F</v>
      </c>
      <c r="H649" s="9" t="str">
        <f>IFERROR(__xludf.DUMMYFUNCTION("""COMPUTED_VALUE"""),"FGM")</f>
        <v>FGM</v>
      </c>
      <c r="I649" s="9" t="str">
        <f>IFERROR(__xludf.DUMMYFUNCTION("""COMPUTED_VALUE"""),"FTS")</f>
        <v>FTS</v>
      </c>
      <c r="J649" s="9" t="str">
        <f>IFERROR(__xludf.DUMMYFUNCTION("""COMPUTED_VALUE"""),"VZ")</f>
        <v>VZ</v>
      </c>
      <c r="K649" s="9" t="str">
        <f>IFERROR(__xludf.DUMMYFUNCTION("""COMPUTED_VALUE"""),"alVZ")</f>
        <v>alVZ</v>
      </c>
      <c r="L649" s="9"/>
      <c r="M649" s="9"/>
      <c r="N649" s="9"/>
      <c r="O649" s="9"/>
      <c r="P649" s="9"/>
      <c r="Q649" s="9"/>
      <c r="R649" s="9"/>
      <c r="S649" s="42" t="str">
        <f>IFERROR(__xludf.DUMMYFUNCTION("""COMPUTED_VALUE"""),"VZhip;
VZsub")</f>
        <v>VZhip;
VZsub</v>
      </c>
      <c r="T649" s="42"/>
      <c r="U649" s="42" t="b">
        <f>IFERROR(__xludf.DUMMYFUNCTION("""COMPUTED_VALUE"""),FALSE)</f>
        <v>0</v>
      </c>
      <c r="V649" s="42"/>
      <c r="W649" s="42"/>
      <c r="X649" s="42"/>
      <c r="Y649" s="42"/>
      <c r="Z649" s="42"/>
      <c r="AA649" s="42"/>
      <c r="AB649" s="42" t="str">
        <f>IFERROR(__xludf.DUMMYFUNCTION("""COMPUTED_VALUE"""),"allen institute")</f>
        <v>allen institute</v>
      </c>
      <c r="AC649" s="42" t="str">
        <f>IFERROR(__xludf.DUMMYFUNCTION("""COMPUTED_VALUE"""),"DHBA")</f>
        <v>DHBA</v>
      </c>
      <c r="AD649" s="42"/>
      <c r="AE649" s="42"/>
      <c r="AF649" s="9"/>
      <c r="AG649" s="9"/>
      <c r="AH649" s="42"/>
      <c r="AI649" s="42"/>
      <c r="AJ649" s="42"/>
      <c r="AK649" s="42"/>
      <c r="AL649" s="42"/>
      <c r="AM649" s="42"/>
      <c r="AN649" s="42"/>
      <c r="AO649" s="63" t="str">
        <f>IFERROR(__xludf.DUMMYFUNCTION("IF(ISBLANK(A649),,IF(ISBLANK(S649), A649&amp;"";"", TEXTJOIN(CHAR(10), TRUE, A649&amp;"";"", ARRAYFORMULA(VLOOKUP(SPLIT(S649, "";"" &amp; CHAR(10)), $A:$AO, 41, FALSE)))))"),"alVZ;
VZhip;
VZhipr;
VZhipc;
VZsub;
VZsubr;
VZsubc;")</f>
        <v>alVZ;
VZhip;
VZhipr;
VZhipc;
VZsub;
VZsubr;
VZsubc;</v>
      </c>
      <c r="AP649" s="89"/>
    </row>
    <row r="650">
      <c r="A650" s="151" t="str">
        <f>IFERROR(__xludf.DUMMYFUNCTION("""COMPUTED_VALUE"""),"VZhip")</f>
        <v>VZhip</v>
      </c>
      <c r="B650" s="42" t="str">
        <f>IFERROR(__xludf.DUMMYFUNCTION("""COMPUTED_VALUE"""),"DHBA")</f>
        <v>DHBA</v>
      </c>
      <c r="C650" s="42" t="str">
        <f>IFERROR(__xludf.DUMMYFUNCTION("""COMPUTED_VALUE"""),"VZ in hippocampal proper")</f>
        <v>VZ in hippocampal proper</v>
      </c>
      <c r="D650" s="42">
        <f>IFERROR(__xludf.DUMMYFUNCTION("""COMPUTED_VALUE"""),616.0)</f>
        <v>616</v>
      </c>
      <c r="E650" s="39" t="str">
        <f>IFERROR(__xludf.DUMMYFUNCTION("""COMPUTED_VALUE"""),"VZ in hippocampal proper")</f>
        <v>VZ in hippocampal proper</v>
      </c>
      <c r="F650" s="9" t="str">
        <f>IFERROR(__xludf.DUMMYFUNCTION("""COMPUTED_VALUE"""),"Br")</f>
        <v>Br</v>
      </c>
      <c r="G650" s="9" t="str">
        <f>IFERROR(__xludf.DUMMYFUNCTION("""COMPUTED_VALUE"""),"F")</f>
        <v>F</v>
      </c>
      <c r="H650" s="9" t="str">
        <f>IFERROR(__xludf.DUMMYFUNCTION("""COMPUTED_VALUE"""),"FGM")</f>
        <v>FGM</v>
      </c>
      <c r="I650" s="9" t="str">
        <f>IFERROR(__xludf.DUMMYFUNCTION("""COMPUTED_VALUE"""),"FTS")</f>
        <v>FTS</v>
      </c>
      <c r="J650" s="9" t="str">
        <f>IFERROR(__xludf.DUMMYFUNCTION("""COMPUTED_VALUE"""),"VZ")</f>
        <v>VZ</v>
      </c>
      <c r="K650" s="9" t="str">
        <f>IFERROR(__xludf.DUMMYFUNCTION("""COMPUTED_VALUE"""),"alVZ")</f>
        <v>alVZ</v>
      </c>
      <c r="L650" s="9" t="str">
        <f>IFERROR(__xludf.DUMMYFUNCTION("""COMPUTED_VALUE"""),"VZhip")</f>
        <v>VZhip</v>
      </c>
      <c r="M650" s="9"/>
      <c r="N650" s="9"/>
      <c r="O650" s="9"/>
      <c r="P650" s="9"/>
      <c r="Q650" s="9"/>
      <c r="R650" s="9"/>
      <c r="S650" s="42" t="str">
        <f>IFERROR(__xludf.DUMMYFUNCTION("""COMPUTED_VALUE"""),"VZhipr;
VZhipc")</f>
        <v>VZhipr;
VZhipc</v>
      </c>
      <c r="T650" s="42"/>
      <c r="U650" s="42" t="b">
        <f>IFERROR(__xludf.DUMMYFUNCTION("""COMPUTED_VALUE"""),FALSE)</f>
        <v>0</v>
      </c>
      <c r="V650" s="42"/>
      <c r="W650" s="42"/>
      <c r="X650" s="42"/>
      <c r="Y650" s="42"/>
      <c r="Z650" s="42"/>
      <c r="AA650" s="42"/>
      <c r="AB650" s="42" t="str">
        <f>IFERROR(__xludf.DUMMYFUNCTION("""COMPUTED_VALUE"""),"allen institute")</f>
        <v>allen institute</v>
      </c>
      <c r="AC650" s="42" t="str">
        <f>IFERROR(__xludf.DUMMYFUNCTION("""COMPUTED_VALUE"""),"DHBA")</f>
        <v>DHBA</v>
      </c>
      <c r="AD650" s="42"/>
      <c r="AE650" s="42"/>
      <c r="AF650" s="9"/>
      <c r="AG650" s="9"/>
      <c r="AH650" s="42"/>
      <c r="AI650" s="42"/>
      <c r="AJ650" s="42"/>
      <c r="AK650" s="42"/>
      <c r="AL650" s="42"/>
      <c r="AM650" s="42"/>
      <c r="AN650" s="42"/>
      <c r="AO650" s="63" t="str">
        <f>IFERROR(__xludf.DUMMYFUNCTION("IF(ISBLANK(A650),,IF(ISBLANK(S650), A650&amp;"";"", TEXTJOIN(CHAR(10), TRUE, A650&amp;"";"", ARRAYFORMULA(VLOOKUP(SPLIT(S650, "";"" &amp; CHAR(10)), $A:$AO, 41, FALSE)))))"),"VZhip;
VZhipr;
VZhipc;")</f>
        <v>VZhip;
VZhipr;
VZhipc;</v>
      </c>
      <c r="AP650" s="89"/>
    </row>
    <row r="651">
      <c r="A651" s="151" t="str">
        <f>IFERROR(__xludf.DUMMYFUNCTION("""COMPUTED_VALUE"""),"VZhipr")</f>
        <v>VZhipr</v>
      </c>
      <c r="B651" s="42" t="str">
        <f>IFERROR(__xludf.DUMMYFUNCTION("""COMPUTED_VALUE"""),"DHBA")</f>
        <v>DHBA</v>
      </c>
      <c r="C651" s="42" t="str">
        <f>IFERROR(__xludf.DUMMYFUNCTION("""COMPUTED_VALUE"""),"VZ in rostal hippocampal proper")</f>
        <v>VZ in rostal hippocampal proper</v>
      </c>
      <c r="D651" s="42">
        <f>IFERROR(__xludf.DUMMYFUNCTION("""COMPUTED_VALUE"""),617.0)</f>
        <v>617</v>
      </c>
      <c r="E651" s="39" t="str">
        <f>IFERROR(__xludf.DUMMYFUNCTION("""COMPUTED_VALUE"""),"VZ in rostal hippocampal proper")</f>
        <v>VZ in rostal hippocampal proper</v>
      </c>
      <c r="F651" s="9" t="str">
        <f>IFERROR(__xludf.DUMMYFUNCTION("""COMPUTED_VALUE"""),"Br")</f>
        <v>Br</v>
      </c>
      <c r="G651" s="9" t="str">
        <f>IFERROR(__xludf.DUMMYFUNCTION("""COMPUTED_VALUE"""),"F")</f>
        <v>F</v>
      </c>
      <c r="H651" s="9" t="str">
        <f>IFERROR(__xludf.DUMMYFUNCTION("""COMPUTED_VALUE"""),"FGM")</f>
        <v>FGM</v>
      </c>
      <c r="I651" s="9" t="str">
        <f>IFERROR(__xludf.DUMMYFUNCTION("""COMPUTED_VALUE"""),"FTS")</f>
        <v>FTS</v>
      </c>
      <c r="J651" s="9" t="str">
        <f>IFERROR(__xludf.DUMMYFUNCTION("""COMPUTED_VALUE"""),"VZ")</f>
        <v>VZ</v>
      </c>
      <c r="K651" s="9" t="str">
        <f>IFERROR(__xludf.DUMMYFUNCTION("""COMPUTED_VALUE"""),"alVZ")</f>
        <v>alVZ</v>
      </c>
      <c r="L651" s="9" t="str">
        <f>IFERROR(__xludf.DUMMYFUNCTION("""COMPUTED_VALUE"""),"VZhip")</f>
        <v>VZhip</v>
      </c>
      <c r="M651" s="9" t="str">
        <f>IFERROR(__xludf.DUMMYFUNCTION("""COMPUTED_VALUE"""),"VZhipr")</f>
        <v>VZhipr</v>
      </c>
      <c r="N651" s="9"/>
      <c r="O651" s="9"/>
      <c r="P651" s="9"/>
      <c r="Q651" s="9"/>
      <c r="R651" s="9"/>
      <c r="S651" s="42"/>
      <c r="T651" s="42"/>
      <c r="U651" s="42"/>
      <c r="V651" s="42"/>
      <c r="W651" s="42"/>
      <c r="X651" s="42"/>
      <c r="Y651" s="42"/>
      <c r="Z651" s="42"/>
      <c r="AA651" s="42"/>
      <c r="AB651" s="42" t="str">
        <f>IFERROR(__xludf.DUMMYFUNCTION("""COMPUTED_VALUE"""),"allen institute")</f>
        <v>allen institute</v>
      </c>
      <c r="AC651" s="42" t="str">
        <f>IFERROR(__xludf.DUMMYFUNCTION("""COMPUTED_VALUE"""),"DHBA")</f>
        <v>DHBA</v>
      </c>
      <c r="AD651" s="42"/>
      <c r="AE651" s="42"/>
      <c r="AF651" s="9"/>
      <c r="AG651" s="9"/>
      <c r="AH651" s="42"/>
      <c r="AI651" s="42"/>
      <c r="AJ651" s="42"/>
      <c r="AK651" s="42"/>
      <c r="AL651" s="42"/>
      <c r="AM651" s="42"/>
      <c r="AN651" s="42"/>
      <c r="AO651" s="63" t="str">
        <f>IFERROR(__xludf.DUMMYFUNCTION("IF(ISBLANK(A651),,IF(ISBLANK(S651), A651&amp;"";"", TEXTJOIN(CHAR(10), TRUE, A651&amp;"";"", ARRAYFORMULA(VLOOKUP(SPLIT(S651, "";"" &amp; CHAR(10)), $A:$AO, 41, FALSE)))))"),"VZhipr;")</f>
        <v>VZhipr;</v>
      </c>
      <c r="AP651" s="89"/>
    </row>
    <row r="652">
      <c r="A652" s="151" t="str">
        <f>IFERROR(__xludf.DUMMYFUNCTION("""COMPUTED_VALUE"""),"VZhipc")</f>
        <v>VZhipc</v>
      </c>
      <c r="B652" s="42" t="str">
        <f>IFERROR(__xludf.DUMMYFUNCTION("""COMPUTED_VALUE"""),"DHBA")</f>
        <v>DHBA</v>
      </c>
      <c r="C652" s="42" t="str">
        <f>IFERROR(__xludf.DUMMYFUNCTION("""COMPUTED_VALUE"""),"VZ in caudal hippocampal proper")</f>
        <v>VZ in caudal hippocampal proper</v>
      </c>
      <c r="D652" s="42">
        <f>IFERROR(__xludf.DUMMYFUNCTION("""COMPUTED_VALUE"""),618.0)</f>
        <v>618</v>
      </c>
      <c r="E652" s="39" t="str">
        <f>IFERROR(__xludf.DUMMYFUNCTION("""COMPUTED_VALUE"""),"VZ in caudal hippocampal proper")</f>
        <v>VZ in caudal hippocampal proper</v>
      </c>
      <c r="F652" s="9" t="str">
        <f>IFERROR(__xludf.DUMMYFUNCTION("""COMPUTED_VALUE"""),"Br")</f>
        <v>Br</v>
      </c>
      <c r="G652" s="9" t="str">
        <f>IFERROR(__xludf.DUMMYFUNCTION("""COMPUTED_VALUE"""),"F")</f>
        <v>F</v>
      </c>
      <c r="H652" s="9" t="str">
        <f>IFERROR(__xludf.DUMMYFUNCTION("""COMPUTED_VALUE"""),"FGM")</f>
        <v>FGM</v>
      </c>
      <c r="I652" s="9" t="str">
        <f>IFERROR(__xludf.DUMMYFUNCTION("""COMPUTED_VALUE"""),"FTS")</f>
        <v>FTS</v>
      </c>
      <c r="J652" s="9" t="str">
        <f>IFERROR(__xludf.DUMMYFUNCTION("""COMPUTED_VALUE"""),"VZ")</f>
        <v>VZ</v>
      </c>
      <c r="K652" s="9" t="str">
        <f>IFERROR(__xludf.DUMMYFUNCTION("""COMPUTED_VALUE"""),"alVZ")</f>
        <v>alVZ</v>
      </c>
      <c r="L652" s="9" t="str">
        <f>IFERROR(__xludf.DUMMYFUNCTION("""COMPUTED_VALUE"""),"VZhip")</f>
        <v>VZhip</v>
      </c>
      <c r="M652" s="9" t="str">
        <f>IFERROR(__xludf.DUMMYFUNCTION("""COMPUTED_VALUE"""),"VZhipc")</f>
        <v>VZhipc</v>
      </c>
      <c r="N652" s="9"/>
      <c r="O652" s="9"/>
      <c r="P652" s="9"/>
      <c r="Q652" s="9"/>
      <c r="R652" s="9"/>
      <c r="S652" s="42"/>
      <c r="T652" s="42"/>
      <c r="U652" s="159"/>
      <c r="V652" s="42"/>
      <c r="W652" s="42"/>
      <c r="X652" s="42"/>
      <c r="Y652" s="42"/>
      <c r="Z652" s="42"/>
      <c r="AA652" s="42"/>
      <c r="AB652" s="42" t="str">
        <f>IFERROR(__xludf.DUMMYFUNCTION("""COMPUTED_VALUE"""),"allen institute")</f>
        <v>allen institute</v>
      </c>
      <c r="AC652" s="42" t="str">
        <f>IFERROR(__xludf.DUMMYFUNCTION("""COMPUTED_VALUE"""),"DHBA")</f>
        <v>DHBA</v>
      </c>
      <c r="AD652" s="42"/>
      <c r="AE652" s="42"/>
      <c r="AF652" s="9"/>
      <c r="AG652" s="9"/>
      <c r="AH652" s="42"/>
      <c r="AI652" s="42"/>
      <c r="AJ652" s="42"/>
      <c r="AK652" s="42"/>
      <c r="AL652" s="42"/>
      <c r="AM652" s="42"/>
      <c r="AN652" s="42"/>
      <c r="AO652" s="63" t="str">
        <f>IFERROR(__xludf.DUMMYFUNCTION("IF(ISBLANK(A652),,IF(ISBLANK(S652), A652&amp;"";"", TEXTJOIN(CHAR(10), TRUE, A652&amp;"";"", ARRAYFORMULA(VLOOKUP(SPLIT(S652, "";"" &amp; CHAR(10)), $A:$AO, 41, FALSE)))))"),"VZhipc;")</f>
        <v>VZhipc;</v>
      </c>
      <c r="AP652" s="89"/>
    </row>
    <row r="653">
      <c r="A653" s="151" t="str">
        <f>IFERROR(__xludf.DUMMYFUNCTION("""COMPUTED_VALUE"""),"VZsub")</f>
        <v>VZsub</v>
      </c>
      <c r="B653" s="42" t="str">
        <f>IFERROR(__xludf.DUMMYFUNCTION("""COMPUTED_VALUE"""),"DHBA")</f>
        <v>DHBA</v>
      </c>
      <c r="C653" s="42" t="str">
        <f>IFERROR(__xludf.DUMMYFUNCTION("""COMPUTED_VALUE"""),"VZ in subicular cortex")</f>
        <v>VZ in subicular cortex</v>
      </c>
      <c r="D653" s="42">
        <f>IFERROR(__xludf.DUMMYFUNCTION("""COMPUTED_VALUE"""),619.0)</f>
        <v>619</v>
      </c>
      <c r="E653" s="39" t="str">
        <f>IFERROR(__xludf.DUMMYFUNCTION("""COMPUTED_VALUE"""),"VZ in subicular cortex")</f>
        <v>VZ in subicular cortex</v>
      </c>
      <c r="F653" s="9" t="str">
        <f>IFERROR(__xludf.DUMMYFUNCTION("""COMPUTED_VALUE"""),"Br")</f>
        <v>Br</v>
      </c>
      <c r="G653" s="9" t="str">
        <f>IFERROR(__xludf.DUMMYFUNCTION("""COMPUTED_VALUE"""),"F")</f>
        <v>F</v>
      </c>
      <c r="H653" s="9" t="str">
        <f>IFERROR(__xludf.DUMMYFUNCTION("""COMPUTED_VALUE"""),"FGM")</f>
        <v>FGM</v>
      </c>
      <c r="I653" s="9" t="str">
        <f>IFERROR(__xludf.DUMMYFUNCTION("""COMPUTED_VALUE"""),"FTS")</f>
        <v>FTS</v>
      </c>
      <c r="J653" s="9" t="str">
        <f>IFERROR(__xludf.DUMMYFUNCTION("""COMPUTED_VALUE"""),"VZ")</f>
        <v>VZ</v>
      </c>
      <c r="K653" s="9" t="str">
        <f>IFERROR(__xludf.DUMMYFUNCTION("""COMPUTED_VALUE"""),"alVZ")</f>
        <v>alVZ</v>
      </c>
      <c r="L653" s="9" t="str">
        <f>IFERROR(__xludf.DUMMYFUNCTION("""COMPUTED_VALUE"""),"VZsub")</f>
        <v>VZsub</v>
      </c>
      <c r="M653" s="9"/>
      <c r="N653" s="9"/>
      <c r="O653" s="9"/>
      <c r="P653" s="9"/>
      <c r="Q653" s="9"/>
      <c r="R653" s="9"/>
      <c r="S653" s="42" t="str">
        <f>IFERROR(__xludf.DUMMYFUNCTION("""COMPUTED_VALUE"""),"VZsubr;
VZsubc")</f>
        <v>VZsubr;
VZsubc</v>
      </c>
      <c r="T653" s="42"/>
      <c r="U653" s="42" t="b">
        <f>IFERROR(__xludf.DUMMYFUNCTION("""COMPUTED_VALUE"""),FALSE)</f>
        <v>0</v>
      </c>
      <c r="V653" s="42"/>
      <c r="W653" s="42"/>
      <c r="X653" s="42"/>
      <c r="Y653" s="42"/>
      <c r="Z653" s="42"/>
      <c r="AA653" s="42"/>
      <c r="AB653" s="42" t="str">
        <f>IFERROR(__xludf.DUMMYFUNCTION("""COMPUTED_VALUE"""),"allen institute")</f>
        <v>allen institute</v>
      </c>
      <c r="AC653" s="42" t="str">
        <f>IFERROR(__xludf.DUMMYFUNCTION("""COMPUTED_VALUE"""),"DHBA")</f>
        <v>DHBA</v>
      </c>
      <c r="AD653" s="42"/>
      <c r="AE653" s="42"/>
      <c r="AF653" s="9"/>
      <c r="AG653" s="9"/>
      <c r="AH653" s="42"/>
      <c r="AI653" s="42"/>
      <c r="AJ653" s="42"/>
      <c r="AK653" s="42"/>
      <c r="AL653" s="42"/>
      <c r="AM653" s="42"/>
      <c r="AN653" s="42"/>
      <c r="AO653" s="63" t="str">
        <f>IFERROR(__xludf.DUMMYFUNCTION("IF(ISBLANK(A653),,IF(ISBLANK(S653), A653&amp;"";"", TEXTJOIN(CHAR(10), TRUE, A653&amp;"";"", ARRAYFORMULA(VLOOKUP(SPLIT(S653, "";"" &amp; CHAR(10)), $A:$AO, 41, FALSE)))))"),"VZsub;
VZsubr;
VZsubc;")</f>
        <v>VZsub;
VZsubr;
VZsubc;</v>
      </c>
      <c r="AP653" s="89"/>
    </row>
    <row r="654">
      <c r="A654" s="151" t="str">
        <f>IFERROR(__xludf.DUMMYFUNCTION("""COMPUTED_VALUE"""),"VZsubr")</f>
        <v>VZsubr</v>
      </c>
      <c r="B654" s="42" t="str">
        <f>IFERROR(__xludf.DUMMYFUNCTION("""COMPUTED_VALUE"""),"DHBA")</f>
        <v>DHBA</v>
      </c>
      <c r="C654" s="42" t="str">
        <f>IFERROR(__xludf.DUMMYFUNCTION("""COMPUTED_VALUE"""),"VZ in rostral subicular cortex")</f>
        <v>VZ in rostral subicular cortex</v>
      </c>
      <c r="D654" s="42">
        <f>IFERROR(__xludf.DUMMYFUNCTION("""COMPUTED_VALUE"""),620.0)</f>
        <v>620</v>
      </c>
      <c r="E654" s="39" t="str">
        <f>IFERROR(__xludf.DUMMYFUNCTION("""COMPUTED_VALUE"""),"VZ in rostral subicular cortex")</f>
        <v>VZ in rostral subicular cortex</v>
      </c>
      <c r="F654" s="9" t="str">
        <f>IFERROR(__xludf.DUMMYFUNCTION("""COMPUTED_VALUE"""),"Br")</f>
        <v>Br</v>
      </c>
      <c r="G654" s="9" t="str">
        <f>IFERROR(__xludf.DUMMYFUNCTION("""COMPUTED_VALUE"""),"F")</f>
        <v>F</v>
      </c>
      <c r="H654" s="9" t="str">
        <f>IFERROR(__xludf.DUMMYFUNCTION("""COMPUTED_VALUE"""),"FGM")</f>
        <v>FGM</v>
      </c>
      <c r="I654" s="9" t="str">
        <f>IFERROR(__xludf.DUMMYFUNCTION("""COMPUTED_VALUE"""),"FTS")</f>
        <v>FTS</v>
      </c>
      <c r="J654" s="9" t="str">
        <f>IFERROR(__xludf.DUMMYFUNCTION("""COMPUTED_VALUE"""),"VZ")</f>
        <v>VZ</v>
      </c>
      <c r="K654" s="9" t="str">
        <f>IFERROR(__xludf.DUMMYFUNCTION("""COMPUTED_VALUE"""),"alVZ")</f>
        <v>alVZ</v>
      </c>
      <c r="L654" s="9" t="str">
        <f>IFERROR(__xludf.DUMMYFUNCTION("""COMPUTED_VALUE"""),"VZsub")</f>
        <v>VZsub</v>
      </c>
      <c r="M654" s="9" t="str">
        <f>IFERROR(__xludf.DUMMYFUNCTION("""COMPUTED_VALUE"""),"VZsubr")</f>
        <v>VZsubr</v>
      </c>
      <c r="N654" s="9"/>
      <c r="O654" s="9"/>
      <c r="P654" s="9"/>
      <c r="Q654" s="9"/>
      <c r="R654" s="9"/>
      <c r="S654" s="42"/>
      <c r="T654" s="42"/>
      <c r="U654" s="42"/>
      <c r="V654" s="42"/>
      <c r="W654" s="42"/>
      <c r="X654" s="42"/>
      <c r="Y654" s="42"/>
      <c r="Z654" s="42"/>
      <c r="AA654" s="42"/>
      <c r="AB654" s="42" t="str">
        <f>IFERROR(__xludf.DUMMYFUNCTION("""COMPUTED_VALUE"""),"allen institute")</f>
        <v>allen institute</v>
      </c>
      <c r="AC654" s="42" t="str">
        <f>IFERROR(__xludf.DUMMYFUNCTION("""COMPUTED_VALUE"""),"DHBA")</f>
        <v>DHBA</v>
      </c>
      <c r="AD654" s="42"/>
      <c r="AE654" s="42"/>
      <c r="AF654" s="9"/>
      <c r="AG654" s="9"/>
      <c r="AH654" s="42"/>
      <c r="AI654" s="42"/>
      <c r="AJ654" s="42"/>
      <c r="AK654" s="42"/>
      <c r="AL654" s="42"/>
      <c r="AM654" s="42"/>
      <c r="AN654" s="42"/>
      <c r="AO654" s="63" t="str">
        <f>IFERROR(__xludf.DUMMYFUNCTION("IF(ISBLANK(A654),,IF(ISBLANK(S654), A654&amp;"";"", TEXTJOIN(CHAR(10), TRUE, A654&amp;"";"", ARRAYFORMULA(VLOOKUP(SPLIT(S654, "";"" &amp; CHAR(10)), $A:$AO, 41, FALSE)))))"),"VZsubr;")</f>
        <v>VZsubr;</v>
      </c>
      <c r="AP654" s="89"/>
    </row>
    <row r="655">
      <c r="A655" s="151" t="str">
        <f>IFERROR(__xludf.DUMMYFUNCTION("""COMPUTED_VALUE"""),"VZsubc")</f>
        <v>VZsubc</v>
      </c>
      <c r="B655" s="42" t="str">
        <f>IFERROR(__xludf.DUMMYFUNCTION("""COMPUTED_VALUE"""),"DHBA")</f>
        <v>DHBA</v>
      </c>
      <c r="C655" s="42" t="str">
        <f>IFERROR(__xludf.DUMMYFUNCTION("""COMPUTED_VALUE"""),"VZ in caudal subicular cortex")</f>
        <v>VZ in caudal subicular cortex</v>
      </c>
      <c r="D655" s="42">
        <f>IFERROR(__xludf.DUMMYFUNCTION("""COMPUTED_VALUE"""),621.0)</f>
        <v>621</v>
      </c>
      <c r="E655" s="39" t="str">
        <f>IFERROR(__xludf.DUMMYFUNCTION("""COMPUTED_VALUE"""),"VZ in caudal subicular cortex")</f>
        <v>VZ in caudal subicular cortex</v>
      </c>
      <c r="F655" s="9" t="str">
        <f>IFERROR(__xludf.DUMMYFUNCTION("""COMPUTED_VALUE"""),"Br")</f>
        <v>Br</v>
      </c>
      <c r="G655" s="9" t="str">
        <f>IFERROR(__xludf.DUMMYFUNCTION("""COMPUTED_VALUE"""),"F")</f>
        <v>F</v>
      </c>
      <c r="H655" s="9" t="str">
        <f>IFERROR(__xludf.DUMMYFUNCTION("""COMPUTED_VALUE"""),"FGM")</f>
        <v>FGM</v>
      </c>
      <c r="I655" s="9" t="str">
        <f>IFERROR(__xludf.DUMMYFUNCTION("""COMPUTED_VALUE"""),"FTS")</f>
        <v>FTS</v>
      </c>
      <c r="J655" s="9" t="str">
        <f>IFERROR(__xludf.DUMMYFUNCTION("""COMPUTED_VALUE"""),"VZ")</f>
        <v>VZ</v>
      </c>
      <c r="K655" s="9" t="str">
        <f>IFERROR(__xludf.DUMMYFUNCTION("""COMPUTED_VALUE"""),"alVZ")</f>
        <v>alVZ</v>
      </c>
      <c r="L655" s="9" t="str">
        <f>IFERROR(__xludf.DUMMYFUNCTION("""COMPUTED_VALUE"""),"VZsub")</f>
        <v>VZsub</v>
      </c>
      <c r="M655" s="9" t="str">
        <f>IFERROR(__xludf.DUMMYFUNCTION("""COMPUTED_VALUE"""),"VZsubc")</f>
        <v>VZsubc</v>
      </c>
      <c r="N655" s="9"/>
      <c r="O655" s="9"/>
      <c r="P655" s="9"/>
      <c r="Q655" s="9"/>
      <c r="R655" s="9"/>
      <c r="S655" s="42"/>
      <c r="T655" s="42"/>
      <c r="U655" s="42"/>
      <c r="V655" s="42"/>
      <c r="W655" s="42"/>
      <c r="X655" s="42"/>
      <c r="Y655" s="42"/>
      <c r="Z655" s="42"/>
      <c r="AA655" s="42"/>
      <c r="AB655" s="42" t="str">
        <f>IFERROR(__xludf.DUMMYFUNCTION("""COMPUTED_VALUE"""),"allen institute")</f>
        <v>allen institute</v>
      </c>
      <c r="AC655" s="42" t="str">
        <f>IFERROR(__xludf.DUMMYFUNCTION("""COMPUTED_VALUE"""),"DHBA")</f>
        <v>DHBA</v>
      </c>
      <c r="AD655" s="42"/>
      <c r="AE655" s="42"/>
      <c r="AF655" s="9"/>
      <c r="AG655" s="9"/>
      <c r="AH655" s="42"/>
      <c r="AI655" s="42"/>
      <c r="AJ655" s="42"/>
      <c r="AK655" s="42"/>
      <c r="AL655" s="42"/>
      <c r="AM655" s="42"/>
      <c r="AN655" s="42"/>
      <c r="AO655" s="63" t="str">
        <f>IFERROR(__xludf.DUMMYFUNCTION("IF(ISBLANK(A655),,IF(ISBLANK(S655), A655&amp;"";"", TEXTJOIN(CHAR(10), TRUE, A655&amp;"";"", ARRAYFORMULA(VLOOKUP(SPLIT(S655, "";"" &amp; CHAR(10)), $A:$AO, 41, FALSE)))))"),"VZsubc;")</f>
        <v>VZsubc;</v>
      </c>
      <c r="AP655" s="89"/>
    </row>
    <row r="656">
      <c r="A656" s="151" t="str">
        <f>IFERROR(__xludf.DUMMYFUNCTION("""COMPUTED_VALUE"""),"GE")</f>
        <v>GE</v>
      </c>
      <c r="B656" s="42" t="str">
        <f>IFERROR(__xludf.DUMMYFUNCTION("""COMPUTED_VALUE"""),"DHBA")</f>
        <v>DHBA</v>
      </c>
      <c r="C656" s="42" t="str">
        <f>IFERROR(__xludf.DUMMYFUNCTION("""COMPUTED_VALUE"""),"Ganglionic eminence (VZ in basal nuclei)")</f>
        <v>Ganglionic eminence (VZ in basal nuclei)</v>
      </c>
      <c r="D656" s="42">
        <f>IFERROR(__xludf.DUMMYFUNCTION("""COMPUTED_VALUE"""),622.0)</f>
        <v>622</v>
      </c>
      <c r="E656" s="39" t="str">
        <f>IFERROR(__xludf.DUMMYFUNCTION("""COMPUTED_VALUE"""),"Ganglionic eminence (VZ in basal nuclei)")</f>
        <v>Ganglionic eminence (VZ in basal nuclei)</v>
      </c>
      <c r="F656" s="9" t="str">
        <f>IFERROR(__xludf.DUMMYFUNCTION("""COMPUTED_VALUE"""),"Br")</f>
        <v>Br</v>
      </c>
      <c r="G656" s="9" t="str">
        <f>IFERROR(__xludf.DUMMYFUNCTION("""COMPUTED_VALUE"""),"F")</f>
        <v>F</v>
      </c>
      <c r="H656" s="9" t="str">
        <f>IFERROR(__xludf.DUMMYFUNCTION("""COMPUTED_VALUE"""),"FGM")</f>
        <v>FGM</v>
      </c>
      <c r="I656" s="9" t="str">
        <f>IFERROR(__xludf.DUMMYFUNCTION("""COMPUTED_VALUE"""),"FTS")</f>
        <v>FTS</v>
      </c>
      <c r="J656" s="9" t="str">
        <f>IFERROR(__xludf.DUMMYFUNCTION("""COMPUTED_VALUE"""),"VZ")</f>
        <v>VZ</v>
      </c>
      <c r="K656" s="9" t="str">
        <f>IFERROR(__xludf.DUMMYFUNCTION("""COMPUTED_VALUE"""),"GE")</f>
        <v>GE</v>
      </c>
      <c r="L656" s="9"/>
      <c r="M656" s="9"/>
      <c r="N656" s="9"/>
      <c r="O656" s="9"/>
      <c r="P656" s="9"/>
      <c r="Q656" s="9"/>
      <c r="R656" s="9"/>
      <c r="S656" s="42" t="str">
        <f>IFERROR(__xludf.DUMMYFUNCTION("""COMPUTED_VALUE"""),"LGEVZ;
LGE;
LMGE;
MGE;
CGE")</f>
        <v>LGEVZ;
LGE;
LMGE;
MGE;
CGE</v>
      </c>
      <c r="T656" s="42"/>
      <c r="U656" s="42" t="b">
        <f>IFERROR(__xludf.DUMMYFUNCTION("""COMPUTED_VALUE"""),FALSE)</f>
        <v>0</v>
      </c>
      <c r="V656" s="42"/>
      <c r="W656" s="42"/>
      <c r="X656" s="42"/>
      <c r="Y656" s="42"/>
      <c r="Z656" s="42"/>
      <c r="AA656" s="42"/>
      <c r="AB656" s="42" t="str">
        <f>IFERROR(__xludf.DUMMYFUNCTION("""COMPUTED_VALUE"""),"allen institute")</f>
        <v>allen institute</v>
      </c>
      <c r="AC656" s="42" t="str">
        <f>IFERROR(__xludf.DUMMYFUNCTION("""COMPUTED_VALUE"""),"DHBA")</f>
        <v>DHBA</v>
      </c>
      <c r="AD656" s="42"/>
      <c r="AE656" s="42"/>
      <c r="AF656" s="9"/>
      <c r="AG656" s="9"/>
      <c r="AH656" s="42"/>
      <c r="AI656" s="42"/>
      <c r="AJ656" s="42"/>
      <c r="AK656" s="42"/>
      <c r="AL656" s="42"/>
      <c r="AM656" s="42"/>
      <c r="AN656" s="42"/>
      <c r="AO656" s="63" t="str">
        <f>IFERROR(__xludf.DUMMYFUNCTION("IF(ISBLANK(A656),,IF(ISBLANK(S656), A656&amp;"";"", TEXTJOIN(CHAR(10), TRUE, A656&amp;"";"", ARRAYFORMULA(VLOOKUP(SPLIT(S656, "";"" &amp; CHAR(10)), $A:$AO, 41, FALSE)))))"),"GE;
LGEVZ;
LGE;
LGEo;
LGEi;
LMGE;
MGE;
MGEo;
MGEi;
CGE;
CGEo;
CGEi;")</f>
        <v>GE;
LGEVZ;
LGE;
LGEo;
LGEi;
LMGE;
MGE;
MGEo;
MGEi;
CGE;
CGEo;
CGEi;</v>
      </c>
      <c r="AP656" s="89"/>
    </row>
    <row r="657">
      <c r="A657" s="151" t="str">
        <f>IFERROR(__xludf.DUMMYFUNCTION("""COMPUTED_VALUE"""),"LGEVZ")</f>
        <v>LGEVZ</v>
      </c>
      <c r="B657" s="42" t="str">
        <f>IFERROR(__xludf.DUMMYFUNCTION("""COMPUTED_VALUE"""),"DHBA")</f>
        <v>DHBA</v>
      </c>
      <c r="C657" s="42" t="str">
        <f>IFERROR(__xludf.DUMMYFUNCTION("""COMPUTED_VALUE"""),"LGE-VZ border region")</f>
        <v>LGE-VZ border region</v>
      </c>
      <c r="D657" s="42">
        <f>IFERROR(__xludf.DUMMYFUNCTION("""COMPUTED_VALUE"""),623.0)</f>
        <v>623</v>
      </c>
      <c r="E657" s="39" t="str">
        <f>IFERROR(__xludf.DUMMYFUNCTION("""COMPUTED_VALUE"""),"LGE-VZ border region")</f>
        <v>LGE-VZ border region</v>
      </c>
      <c r="F657" s="9" t="str">
        <f>IFERROR(__xludf.DUMMYFUNCTION("""COMPUTED_VALUE"""),"Br")</f>
        <v>Br</v>
      </c>
      <c r="G657" s="9" t="str">
        <f>IFERROR(__xludf.DUMMYFUNCTION("""COMPUTED_VALUE"""),"F")</f>
        <v>F</v>
      </c>
      <c r="H657" s="9" t="str">
        <f>IFERROR(__xludf.DUMMYFUNCTION("""COMPUTED_VALUE"""),"FGM")</f>
        <v>FGM</v>
      </c>
      <c r="I657" s="9" t="str">
        <f>IFERROR(__xludf.DUMMYFUNCTION("""COMPUTED_VALUE"""),"FTS")</f>
        <v>FTS</v>
      </c>
      <c r="J657" s="9" t="str">
        <f>IFERROR(__xludf.DUMMYFUNCTION("""COMPUTED_VALUE"""),"VZ")</f>
        <v>VZ</v>
      </c>
      <c r="K657" s="9" t="str">
        <f>IFERROR(__xludf.DUMMYFUNCTION("""COMPUTED_VALUE"""),"GE")</f>
        <v>GE</v>
      </c>
      <c r="L657" s="9" t="str">
        <f>IFERROR(__xludf.DUMMYFUNCTION("""COMPUTED_VALUE"""),"LGEVZ")</f>
        <v>LGEVZ</v>
      </c>
      <c r="M657" s="9"/>
      <c r="N657" s="9"/>
      <c r="O657" s="9"/>
      <c r="P657" s="9"/>
      <c r="Q657" s="9"/>
      <c r="R657" s="9"/>
      <c r="S657" s="42"/>
      <c r="T657" s="42"/>
      <c r="U657" s="42"/>
      <c r="V657" s="42"/>
      <c r="W657" s="42"/>
      <c r="X657" s="42"/>
      <c r="Y657" s="42"/>
      <c r="Z657" s="42"/>
      <c r="AA657" s="42"/>
      <c r="AB657" s="42" t="str">
        <f>IFERROR(__xludf.DUMMYFUNCTION("""COMPUTED_VALUE"""),"allen institute")</f>
        <v>allen institute</v>
      </c>
      <c r="AC657" s="42" t="str">
        <f>IFERROR(__xludf.DUMMYFUNCTION("""COMPUTED_VALUE"""),"DHBA")</f>
        <v>DHBA</v>
      </c>
      <c r="AD657" s="42"/>
      <c r="AE657" s="42"/>
      <c r="AF657" s="9"/>
      <c r="AG657" s="9"/>
      <c r="AH657" s="42"/>
      <c r="AI657" s="42"/>
      <c r="AJ657" s="42"/>
      <c r="AK657" s="42"/>
      <c r="AL657" s="42"/>
      <c r="AM657" s="42"/>
      <c r="AN657" s="42"/>
      <c r="AO657" s="63" t="str">
        <f>IFERROR(__xludf.DUMMYFUNCTION("IF(ISBLANK(A657),,IF(ISBLANK(S657), A657&amp;"";"", TEXTJOIN(CHAR(10), TRUE, A657&amp;"";"", ARRAYFORMULA(VLOOKUP(SPLIT(S657, "";"" &amp; CHAR(10)), $A:$AO, 41, FALSE)))))"),"LGEVZ;")</f>
        <v>LGEVZ;</v>
      </c>
      <c r="AP657" s="89"/>
    </row>
    <row r="658">
      <c r="A658" s="151" t="str">
        <f>IFERROR(__xludf.DUMMYFUNCTION("""COMPUTED_VALUE"""),"LGE")</f>
        <v>LGE</v>
      </c>
      <c r="B658" s="42" t="str">
        <f>IFERROR(__xludf.DUMMYFUNCTION("""COMPUTED_VALUE"""),"DHBA")</f>
        <v>DHBA</v>
      </c>
      <c r="C658" s="42" t="str">
        <f>IFERROR(__xludf.DUMMYFUNCTION("""COMPUTED_VALUE"""),"lateral ganglionic eminence")</f>
        <v>lateral ganglionic eminence</v>
      </c>
      <c r="D658" s="42">
        <f>IFERROR(__xludf.DUMMYFUNCTION("""COMPUTED_VALUE"""),624.0)</f>
        <v>624</v>
      </c>
      <c r="E658" s="39" t="str">
        <f>IFERROR(__xludf.DUMMYFUNCTION("""COMPUTED_VALUE"""),"lateral ganglionic eminence")</f>
        <v>lateral ganglionic eminence</v>
      </c>
      <c r="F658" s="9" t="str">
        <f>IFERROR(__xludf.DUMMYFUNCTION("""COMPUTED_VALUE"""),"Br")</f>
        <v>Br</v>
      </c>
      <c r="G658" s="9" t="str">
        <f>IFERROR(__xludf.DUMMYFUNCTION("""COMPUTED_VALUE"""),"F")</f>
        <v>F</v>
      </c>
      <c r="H658" s="9" t="str">
        <f>IFERROR(__xludf.DUMMYFUNCTION("""COMPUTED_VALUE"""),"FGM")</f>
        <v>FGM</v>
      </c>
      <c r="I658" s="9" t="str">
        <f>IFERROR(__xludf.DUMMYFUNCTION("""COMPUTED_VALUE"""),"FTS")</f>
        <v>FTS</v>
      </c>
      <c r="J658" s="9" t="str">
        <f>IFERROR(__xludf.DUMMYFUNCTION("""COMPUTED_VALUE"""),"VZ")</f>
        <v>VZ</v>
      </c>
      <c r="K658" s="9" t="str">
        <f>IFERROR(__xludf.DUMMYFUNCTION("""COMPUTED_VALUE"""),"GE")</f>
        <v>GE</v>
      </c>
      <c r="L658" s="9" t="str">
        <f>IFERROR(__xludf.DUMMYFUNCTION("""COMPUTED_VALUE"""),"LGE")</f>
        <v>LGE</v>
      </c>
      <c r="M658" s="9"/>
      <c r="N658" s="9"/>
      <c r="O658" s="9"/>
      <c r="P658" s="9"/>
      <c r="Q658" s="9"/>
      <c r="R658" s="9"/>
      <c r="S658" s="42" t="str">
        <f>IFERROR(__xludf.DUMMYFUNCTION("""COMPUTED_VALUE"""),"LGEo;
LGEi")</f>
        <v>LGEo;
LGEi</v>
      </c>
      <c r="T658" s="42"/>
      <c r="U658" s="42" t="b">
        <f>IFERROR(__xludf.DUMMYFUNCTION("""COMPUTED_VALUE"""),FALSE)</f>
        <v>0</v>
      </c>
      <c r="V658" s="42"/>
      <c r="W658" s="42"/>
      <c r="X658" s="42"/>
      <c r="Y658" s="42"/>
      <c r="Z658" s="42"/>
      <c r="AA658" s="42"/>
      <c r="AB658" s="42" t="str">
        <f>IFERROR(__xludf.DUMMYFUNCTION("""COMPUTED_VALUE"""),"allen institute")</f>
        <v>allen institute</v>
      </c>
      <c r="AC658" s="42" t="str">
        <f>IFERROR(__xludf.DUMMYFUNCTION("""COMPUTED_VALUE"""),"DHBA")</f>
        <v>DHBA</v>
      </c>
      <c r="AD658" s="42"/>
      <c r="AE658" s="42"/>
      <c r="AF658" s="9"/>
      <c r="AG658" s="9"/>
      <c r="AH658" s="42"/>
      <c r="AI658" s="42"/>
      <c r="AJ658" s="42"/>
      <c r="AK658" s="42"/>
      <c r="AL658" s="42"/>
      <c r="AM658" s="42"/>
      <c r="AN658" s="42"/>
      <c r="AO658" s="63" t="str">
        <f>IFERROR(__xludf.DUMMYFUNCTION("IF(ISBLANK(A658),,IF(ISBLANK(S658), A658&amp;"";"", TEXTJOIN(CHAR(10), TRUE, A658&amp;"";"", ARRAYFORMULA(VLOOKUP(SPLIT(S658, "";"" &amp; CHAR(10)), $A:$AO, 41, FALSE)))))"),"LGE;
LGEo;
LGEi;")</f>
        <v>LGE;
LGEo;
LGEi;</v>
      </c>
      <c r="AP658" s="89"/>
    </row>
    <row r="659">
      <c r="A659" s="151" t="str">
        <f>IFERROR(__xludf.DUMMYFUNCTION("""COMPUTED_VALUE"""),"LGEo")</f>
        <v>LGEo</v>
      </c>
      <c r="B659" s="42" t="str">
        <f>IFERROR(__xludf.DUMMYFUNCTION("""COMPUTED_VALUE"""),"DHBA")</f>
        <v>DHBA</v>
      </c>
      <c r="C659" s="42" t="str">
        <f>IFERROR(__xludf.DUMMYFUNCTION("""COMPUTED_VALUE"""),"outer portion of lateral ganglionic eminence")</f>
        <v>outer portion of lateral ganglionic eminence</v>
      </c>
      <c r="D659" s="42">
        <f>IFERROR(__xludf.DUMMYFUNCTION("""COMPUTED_VALUE"""),625.0)</f>
        <v>625</v>
      </c>
      <c r="E659" s="39" t="str">
        <f>IFERROR(__xludf.DUMMYFUNCTION("""COMPUTED_VALUE"""),"outer portion of lateral ganglionic eminence")</f>
        <v>outer portion of lateral ganglionic eminence</v>
      </c>
      <c r="F659" s="9" t="str">
        <f>IFERROR(__xludf.DUMMYFUNCTION("""COMPUTED_VALUE"""),"Br")</f>
        <v>Br</v>
      </c>
      <c r="G659" s="9" t="str">
        <f>IFERROR(__xludf.DUMMYFUNCTION("""COMPUTED_VALUE"""),"F")</f>
        <v>F</v>
      </c>
      <c r="H659" s="9" t="str">
        <f>IFERROR(__xludf.DUMMYFUNCTION("""COMPUTED_VALUE"""),"FGM")</f>
        <v>FGM</v>
      </c>
      <c r="I659" s="9" t="str">
        <f>IFERROR(__xludf.DUMMYFUNCTION("""COMPUTED_VALUE"""),"FTS")</f>
        <v>FTS</v>
      </c>
      <c r="J659" s="9" t="str">
        <f>IFERROR(__xludf.DUMMYFUNCTION("""COMPUTED_VALUE"""),"VZ")</f>
        <v>VZ</v>
      </c>
      <c r="K659" s="9" t="str">
        <f>IFERROR(__xludf.DUMMYFUNCTION("""COMPUTED_VALUE"""),"GE")</f>
        <v>GE</v>
      </c>
      <c r="L659" s="9" t="str">
        <f>IFERROR(__xludf.DUMMYFUNCTION("""COMPUTED_VALUE"""),"LGE")</f>
        <v>LGE</v>
      </c>
      <c r="M659" s="9" t="str">
        <f>IFERROR(__xludf.DUMMYFUNCTION("""COMPUTED_VALUE"""),"LGEo")</f>
        <v>LGEo</v>
      </c>
      <c r="N659" s="9"/>
      <c r="O659" s="9"/>
      <c r="P659" s="9"/>
      <c r="Q659" s="9"/>
      <c r="R659" s="9"/>
      <c r="S659" s="42"/>
      <c r="T659" s="42"/>
      <c r="U659" s="42"/>
      <c r="V659" s="42"/>
      <c r="W659" s="42"/>
      <c r="X659" s="42"/>
      <c r="Y659" s="42"/>
      <c r="Z659" s="42"/>
      <c r="AA659" s="42"/>
      <c r="AB659" s="42" t="str">
        <f>IFERROR(__xludf.DUMMYFUNCTION("""COMPUTED_VALUE"""),"allen institute")</f>
        <v>allen institute</v>
      </c>
      <c r="AC659" s="42" t="str">
        <f>IFERROR(__xludf.DUMMYFUNCTION("""COMPUTED_VALUE"""),"DHBA")</f>
        <v>DHBA</v>
      </c>
      <c r="AD659" s="42"/>
      <c r="AE659" s="42"/>
      <c r="AF659" s="9"/>
      <c r="AG659" s="9"/>
      <c r="AH659" s="42"/>
      <c r="AI659" s="42"/>
      <c r="AJ659" s="42"/>
      <c r="AK659" s="42"/>
      <c r="AL659" s="42"/>
      <c r="AM659" s="42"/>
      <c r="AN659" s="42"/>
      <c r="AO659" s="63" t="str">
        <f>IFERROR(__xludf.DUMMYFUNCTION("IF(ISBLANK(A659),,IF(ISBLANK(S659), A659&amp;"";"", TEXTJOIN(CHAR(10), TRUE, A659&amp;"";"", ARRAYFORMULA(VLOOKUP(SPLIT(S659, "";"" &amp; CHAR(10)), $A:$AO, 41, FALSE)))))"),"LGEo;")</f>
        <v>LGEo;</v>
      </c>
      <c r="AP659" s="89"/>
    </row>
    <row r="660">
      <c r="A660" s="151" t="str">
        <f>IFERROR(__xludf.DUMMYFUNCTION("""COMPUTED_VALUE"""),"LGEi")</f>
        <v>LGEi</v>
      </c>
      <c r="B660" s="42" t="str">
        <f>IFERROR(__xludf.DUMMYFUNCTION("""COMPUTED_VALUE"""),"DHBA")</f>
        <v>DHBA</v>
      </c>
      <c r="C660" s="42" t="str">
        <f>IFERROR(__xludf.DUMMYFUNCTION("""COMPUTED_VALUE"""),"inner portion of lateral ganglionic eminence")</f>
        <v>inner portion of lateral ganglionic eminence</v>
      </c>
      <c r="D660" s="42">
        <f>IFERROR(__xludf.DUMMYFUNCTION("""COMPUTED_VALUE"""),626.0)</f>
        <v>626</v>
      </c>
      <c r="E660" s="39" t="str">
        <f>IFERROR(__xludf.DUMMYFUNCTION("""COMPUTED_VALUE"""),"inner portion of lateral ganglionic eminence")</f>
        <v>inner portion of lateral ganglionic eminence</v>
      </c>
      <c r="F660" s="9" t="str">
        <f>IFERROR(__xludf.DUMMYFUNCTION("""COMPUTED_VALUE"""),"Br")</f>
        <v>Br</v>
      </c>
      <c r="G660" s="9" t="str">
        <f>IFERROR(__xludf.DUMMYFUNCTION("""COMPUTED_VALUE"""),"F")</f>
        <v>F</v>
      </c>
      <c r="H660" s="9" t="str">
        <f>IFERROR(__xludf.DUMMYFUNCTION("""COMPUTED_VALUE"""),"FGM")</f>
        <v>FGM</v>
      </c>
      <c r="I660" s="9" t="str">
        <f>IFERROR(__xludf.DUMMYFUNCTION("""COMPUTED_VALUE"""),"FTS")</f>
        <v>FTS</v>
      </c>
      <c r="J660" s="9" t="str">
        <f>IFERROR(__xludf.DUMMYFUNCTION("""COMPUTED_VALUE"""),"VZ")</f>
        <v>VZ</v>
      </c>
      <c r="K660" s="9" t="str">
        <f>IFERROR(__xludf.DUMMYFUNCTION("""COMPUTED_VALUE"""),"GE")</f>
        <v>GE</v>
      </c>
      <c r="L660" s="9" t="str">
        <f>IFERROR(__xludf.DUMMYFUNCTION("""COMPUTED_VALUE"""),"LGE")</f>
        <v>LGE</v>
      </c>
      <c r="M660" s="9" t="str">
        <f>IFERROR(__xludf.DUMMYFUNCTION("""COMPUTED_VALUE"""),"LGEi")</f>
        <v>LGEi</v>
      </c>
      <c r="N660" s="9"/>
      <c r="O660" s="9"/>
      <c r="P660" s="9"/>
      <c r="Q660" s="9"/>
      <c r="R660" s="9"/>
      <c r="S660" s="42"/>
      <c r="T660" s="42"/>
      <c r="U660" s="42"/>
      <c r="V660" s="42"/>
      <c r="W660" s="42"/>
      <c r="X660" s="42"/>
      <c r="Y660" s="42"/>
      <c r="Z660" s="42"/>
      <c r="AA660" s="42"/>
      <c r="AB660" s="42" t="str">
        <f>IFERROR(__xludf.DUMMYFUNCTION("""COMPUTED_VALUE"""),"allen institute")</f>
        <v>allen institute</v>
      </c>
      <c r="AC660" s="42" t="str">
        <f>IFERROR(__xludf.DUMMYFUNCTION("""COMPUTED_VALUE"""),"DHBA")</f>
        <v>DHBA</v>
      </c>
      <c r="AD660" s="42"/>
      <c r="AE660" s="42"/>
      <c r="AF660" s="9"/>
      <c r="AG660" s="9"/>
      <c r="AH660" s="42"/>
      <c r="AI660" s="42"/>
      <c r="AJ660" s="42"/>
      <c r="AK660" s="42"/>
      <c r="AL660" s="42"/>
      <c r="AM660" s="42"/>
      <c r="AN660" s="42"/>
      <c r="AO660" s="63" t="str">
        <f>IFERROR(__xludf.DUMMYFUNCTION("IF(ISBLANK(A660),,IF(ISBLANK(S660), A660&amp;"";"", TEXTJOIN(CHAR(10), TRUE, A660&amp;"";"", ARRAYFORMULA(VLOOKUP(SPLIT(S660, "";"" &amp; CHAR(10)), $A:$AO, 41, FALSE)))))"),"LGEi;")</f>
        <v>LGEi;</v>
      </c>
      <c r="AP660" s="89"/>
    </row>
    <row r="661">
      <c r="A661" s="151" t="str">
        <f>IFERROR(__xludf.DUMMYFUNCTION("""COMPUTED_VALUE"""),"LMGE")</f>
        <v>LMGE</v>
      </c>
      <c r="B661" s="42" t="str">
        <f>IFERROR(__xludf.DUMMYFUNCTION("""COMPUTED_VALUE"""),"DHBA")</f>
        <v>DHBA</v>
      </c>
      <c r="C661" s="42" t="str">
        <f>IFERROR(__xludf.DUMMYFUNCTION("""COMPUTED_VALUE"""),"MGE-Lateral region")</f>
        <v>MGE-Lateral region</v>
      </c>
      <c r="D661" s="42">
        <f>IFERROR(__xludf.DUMMYFUNCTION("""COMPUTED_VALUE"""),627.0)</f>
        <v>627</v>
      </c>
      <c r="E661" s="39" t="str">
        <f>IFERROR(__xludf.DUMMYFUNCTION("""COMPUTED_VALUE"""),"MGE-Lateral region")</f>
        <v>MGE-Lateral region</v>
      </c>
      <c r="F661" s="9" t="str">
        <f>IFERROR(__xludf.DUMMYFUNCTION("""COMPUTED_VALUE"""),"Br")</f>
        <v>Br</v>
      </c>
      <c r="G661" s="9" t="str">
        <f>IFERROR(__xludf.DUMMYFUNCTION("""COMPUTED_VALUE"""),"F")</f>
        <v>F</v>
      </c>
      <c r="H661" s="9" t="str">
        <f>IFERROR(__xludf.DUMMYFUNCTION("""COMPUTED_VALUE"""),"FGM")</f>
        <v>FGM</v>
      </c>
      <c r="I661" s="9" t="str">
        <f>IFERROR(__xludf.DUMMYFUNCTION("""COMPUTED_VALUE"""),"FTS")</f>
        <v>FTS</v>
      </c>
      <c r="J661" s="9" t="str">
        <f>IFERROR(__xludf.DUMMYFUNCTION("""COMPUTED_VALUE"""),"VZ")</f>
        <v>VZ</v>
      </c>
      <c r="K661" s="9" t="str">
        <f>IFERROR(__xludf.DUMMYFUNCTION("""COMPUTED_VALUE"""),"GE")</f>
        <v>GE</v>
      </c>
      <c r="L661" s="9" t="str">
        <f>IFERROR(__xludf.DUMMYFUNCTION("""COMPUTED_VALUE"""),"LMGE")</f>
        <v>LMGE</v>
      </c>
      <c r="M661" s="9"/>
      <c r="N661" s="9"/>
      <c r="O661" s="9"/>
      <c r="P661" s="9"/>
      <c r="Q661" s="9"/>
      <c r="R661" s="9"/>
      <c r="S661" s="42"/>
      <c r="T661" s="42"/>
      <c r="U661" s="42"/>
      <c r="V661" s="42"/>
      <c r="W661" s="42"/>
      <c r="X661" s="42"/>
      <c r="Y661" s="42"/>
      <c r="Z661" s="42"/>
      <c r="AA661" s="42"/>
      <c r="AB661" s="42" t="str">
        <f>IFERROR(__xludf.DUMMYFUNCTION("""COMPUTED_VALUE"""),"allen institute")</f>
        <v>allen institute</v>
      </c>
      <c r="AC661" s="42" t="str">
        <f>IFERROR(__xludf.DUMMYFUNCTION("""COMPUTED_VALUE"""),"DHBA")</f>
        <v>DHBA</v>
      </c>
      <c r="AD661" s="42"/>
      <c r="AE661" s="42"/>
      <c r="AF661" s="9"/>
      <c r="AG661" s="9"/>
      <c r="AH661" s="42"/>
      <c r="AI661" s="42"/>
      <c r="AJ661" s="42"/>
      <c r="AK661" s="42"/>
      <c r="AL661" s="42"/>
      <c r="AM661" s="42"/>
      <c r="AN661" s="42"/>
      <c r="AO661" s="63" t="str">
        <f>IFERROR(__xludf.DUMMYFUNCTION("IF(ISBLANK(A661),,IF(ISBLANK(S661), A661&amp;"";"", TEXTJOIN(CHAR(10), TRUE, A661&amp;"";"", ARRAYFORMULA(VLOOKUP(SPLIT(S661, "";"" &amp; CHAR(10)), $A:$AO, 41, FALSE)))))"),"LMGE;")</f>
        <v>LMGE;</v>
      </c>
      <c r="AP661" s="89"/>
    </row>
    <row r="662">
      <c r="A662" s="151" t="str">
        <f>IFERROR(__xludf.DUMMYFUNCTION("""COMPUTED_VALUE"""),"MGE")</f>
        <v>MGE</v>
      </c>
      <c r="B662" s="42" t="str">
        <f>IFERROR(__xludf.DUMMYFUNCTION("""COMPUTED_VALUE"""),"DHBA")</f>
        <v>DHBA</v>
      </c>
      <c r="C662" s="42" t="str">
        <f>IFERROR(__xludf.DUMMYFUNCTION("""COMPUTED_VALUE"""),"medial ganglionic eminence")</f>
        <v>medial ganglionic eminence</v>
      </c>
      <c r="D662" s="42">
        <f>IFERROR(__xludf.DUMMYFUNCTION("""COMPUTED_VALUE"""),628.0)</f>
        <v>628</v>
      </c>
      <c r="E662" s="39" t="str">
        <f>IFERROR(__xludf.DUMMYFUNCTION("""COMPUTED_VALUE"""),"medial ganglionic eminence")</f>
        <v>medial ganglionic eminence</v>
      </c>
      <c r="F662" s="9" t="str">
        <f>IFERROR(__xludf.DUMMYFUNCTION("""COMPUTED_VALUE"""),"Br")</f>
        <v>Br</v>
      </c>
      <c r="G662" s="9" t="str">
        <f>IFERROR(__xludf.DUMMYFUNCTION("""COMPUTED_VALUE"""),"F")</f>
        <v>F</v>
      </c>
      <c r="H662" s="9" t="str">
        <f>IFERROR(__xludf.DUMMYFUNCTION("""COMPUTED_VALUE"""),"FGM")</f>
        <v>FGM</v>
      </c>
      <c r="I662" s="9" t="str">
        <f>IFERROR(__xludf.DUMMYFUNCTION("""COMPUTED_VALUE"""),"FTS")</f>
        <v>FTS</v>
      </c>
      <c r="J662" s="9" t="str">
        <f>IFERROR(__xludf.DUMMYFUNCTION("""COMPUTED_VALUE"""),"VZ")</f>
        <v>VZ</v>
      </c>
      <c r="K662" s="9" t="str">
        <f>IFERROR(__xludf.DUMMYFUNCTION("""COMPUTED_VALUE"""),"GE")</f>
        <v>GE</v>
      </c>
      <c r="L662" s="9" t="str">
        <f>IFERROR(__xludf.DUMMYFUNCTION("""COMPUTED_VALUE"""),"MGE")</f>
        <v>MGE</v>
      </c>
      <c r="M662" s="9"/>
      <c r="N662" s="9"/>
      <c r="O662" s="9"/>
      <c r="P662" s="9"/>
      <c r="Q662" s="9"/>
      <c r="R662" s="9"/>
      <c r="S662" s="42" t="str">
        <f>IFERROR(__xludf.DUMMYFUNCTION("""COMPUTED_VALUE"""),"MGEo;
MGEi")</f>
        <v>MGEo;
MGEi</v>
      </c>
      <c r="T662" s="42"/>
      <c r="U662" s="42" t="b">
        <f>IFERROR(__xludf.DUMMYFUNCTION("""COMPUTED_VALUE"""),FALSE)</f>
        <v>0</v>
      </c>
      <c r="V662" s="42"/>
      <c r="W662" s="42"/>
      <c r="X662" s="42"/>
      <c r="Y662" s="42"/>
      <c r="Z662" s="42"/>
      <c r="AA662" s="42"/>
      <c r="AB662" s="42" t="str">
        <f>IFERROR(__xludf.DUMMYFUNCTION("""COMPUTED_VALUE"""),"allen institute")</f>
        <v>allen institute</v>
      </c>
      <c r="AC662" s="42" t="str">
        <f>IFERROR(__xludf.DUMMYFUNCTION("""COMPUTED_VALUE"""),"DHBA")</f>
        <v>DHBA</v>
      </c>
      <c r="AD662" s="42"/>
      <c r="AE662" s="42"/>
      <c r="AF662" s="9"/>
      <c r="AG662" s="9"/>
      <c r="AH662" s="42"/>
      <c r="AI662" s="42"/>
      <c r="AJ662" s="42"/>
      <c r="AK662" s="42"/>
      <c r="AL662" s="42"/>
      <c r="AM662" s="42"/>
      <c r="AN662" s="42"/>
      <c r="AO662" s="63" t="str">
        <f>IFERROR(__xludf.DUMMYFUNCTION("IF(ISBLANK(A662),,IF(ISBLANK(S662), A662&amp;"";"", TEXTJOIN(CHAR(10), TRUE, A662&amp;"";"", ARRAYFORMULA(VLOOKUP(SPLIT(S662, "";"" &amp; CHAR(10)), $A:$AO, 41, FALSE)))))"),"MGE;
MGEo;
MGEi;")</f>
        <v>MGE;
MGEo;
MGEi;</v>
      </c>
      <c r="AP662" s="89"/>
    </row>
    <row r="663">
      <c r="A663" s="151" t="str">
        <f>IFERROR(__xludf.DUMMYFUNCTION("""COMPUTED_VALUE"""),"MGEo")</f>
        <v>MGEo</v>
      </c>
      <c r="B663" s="42" t="str">
        <f>IFERROR(__xludf.DUMMYFUNCTION("""COMPUTED_VALUE"""),"DHBA")</f>
        <v>DHBA</v>
      </c>
      <c r="C663" s="42" t="str">
        <f>IFERROR(__xludf.DUMMYFUNCTION("""COMPUTED_VALUE"""),"outer portion of medial ganglionic eminence")</f>
        <v>outer portion of medial ganglionic eminence</v>
      </c>
      <c r="D663" s="42">
        <f>IFERROR(__xludf.DUMMYFUNCTION("""COMPUTED_VALUE"""),629.0)</f>
        <v>629</v>
      </c>
      <c r="E663" s="39" t="str">
        <f>IFERROR(__xludf.DUMMYFUNCTION("""COMPUTED_VALUE"""),"outer portion of medial ganglionic eminence")</f>
        <v>outer portion of medial ganglionic eminence</v>
      </c>
      <c r="F663" s="9" t="str">
        <f>IFERROR(__xludf.DUMMYFUNCTION("""COMPUTED_VALUE"""),"Br")</f>
        <v>Br</v>
      </c>
      <c r="G663" s="9" t="str">
        <f>IFERROR(__xludf.DUMMYFUNCTION("""COMPUTED_VALUE"""),"F")</f>
        <v>F</v>
      </c>
      <c r="H663" s="9" t="str">
        <f>IFERROR(__xludf.DUMMYFUNCTION("""COMPUTED_VALUE"""),"FGM")</f>
        <v>FGM</v>
      </c>
      <c r="I663" s="9" t="str">
        <f>IFERROR(__xludf.DUMMYFUNCTION("""COMPUTED_VALUE"""),"FTS")</f>
        <v>FTS</v>
      </c>
      <c r="J663" s="9" t="str">
        <f>IFERROR(__xludf.DUMMYFUNCTION("""COMPUTED_VALUE"""),"VZ")</f>
        <v>VZ</v>
      </c>
      <c r="K663" s="9" t="str">
        <f>IFERROR(__xludf.DUMMYFUNCTION("""COMPUTED_VALUE"""),"GE")</f>
        <v>GE</v>
      </c>
      <c r="L663" s="9" t="str">
        <f>IFERROR(__xludf.DUMMYFUNCTION("""COMPUTED_VALUE"""),"MGE")</f>
        <v>MGE</v>
      </c>
      <c r="M663" s="9" t="str">
        <f>IFERROR(__xludf.DUMMYFUNCTION("""COMPUTED_VALUE"""),"MGEo")</f>
        <v>MGEo</v>
      </c>
      <c r="N663" s="9"/>
      <c r="O663" s="9"/>
      <c r="P663" s="9"/>
      <c r="Q663" s="9"/>
      <c r="R663" s="9"/>
      <c r="S663" s="42"/>
      <c r="T663" s="42"/>
      <c r="U663" s="42"/>
      <c r="V663" s="42"/>
      <c r="W663" s="42"/>
      <c r="X663" s="42"/>
      <c r="Y663" s="42"/>
      <c r="Z663" s="42"/>
      <c r="AA663" s="42"/>
      <c r="AB663" s="42" t="str">
        <f>IFERROR(__xludf.DUMMYFUNCTION("""COMPUTED_VALUE"""),"allen institute")</f>
        <v>allen institute</v>
      </c>
      <c r="AC663" s="42" t="str">
        <f>IFERROR(__xludf.DUMMYFUNCTION("""COMPUTED_VALUE"""),"DHBA")</f>
        <v>DHBA</v>
      </c>
      <c r="AD663" s="42"/>
      <c r="AE663" s="42"/>
      <c r="AF663" s="9"/>
      <c r="AG663" s="9"/>
      <c r="AH663" s="42"/>
      <c r="AI663" s="42"/>
      <c r="AJ663" s="42"/>
      <c r="AK663" s="42"/>
      <c r="AL663" s="42"/>
      <c r="AM663" s="42"/>
      <c r="AN663" s="42"/>
      <c r="AO663" s="63" t="str">
        <f>IFERROR(__xludf.DUMMYFUNCTION("IF(ISBLANK(A663),,IF(ISBLANK(S663), A663&amp;"";"", TEXTJOIN(CHAR(10), TRUE, A663&amp;"";"", ARRAYFORMULA(VLOOKUP(SPLIT(S663, "";"" &amp; CHAR(10)), $A:$AO, 41, FALSE)))))"),"MGEo;")</f>
        <v>MGEo;</v>
      </c>
      <c r="AP663" s="89"/>
    </row>
    <row r="664">
      <c r="A664" s="151" t="str">
        <f>IFERROR(__xludf.DUMMYFUNCTION("""COMPUTED_VALUE"""),"MGEi")</f>
        <v>MGEi</v>
      </c>
      <c r="B664" s="42" t="str">
        <f>IFERROR(__xludf.DUMMYFUNCTION("""COMPUTED_VALUE"""),"DHBA")</f>
        <v>DHBA</v>
      </c>
      <c r="C664" s="42" t="str">
        <f>IFERROR(__xludf.DUMMYFUNCTION("""COMPUTED_VALUE"""),"inner portion of medial ganglionic eminence")</f>
        <v>inner portion of medial ganglionic eminence</v>
      </c>
      <c r="D664" s="42">
        <f>IFERROR(__xludf.DUMMYFUNCTION("""COMPUTED_VALUE"""),630.0)</f>
        <v>630</v>
      </c>
      <c r="E664" s="39" t="str">
        <f>IFERROR(__xludf.DUMMYFUNCTION("""COMPUTED_VALUE"""),"inner portion of medial ganglionic eminence")</f>
        <v>inner portion of medial ganglionic eminence</v>
      </c>
      <c r="F664" s="9" t="str">
        <f>IFERROR(__xludf.DUMMYFUNCTION("""COMPUTED_VALUE"""),"Br")</f>
        <v>Br</v>
      </c>
      <c r="G664" s="9" t="str">
        <f>IFERROR(__xludf.DUMMYFUNCTION("""COMPUTED_VALUE"""),"F")</f>
        <v>F</v>
      </c>
      <c r="H664" s="9" t="str">
        <f>IFERROR(__xludf.DUMMYFUNCTION("""COMPUTED_VALUE"""),"FGM")</f>
        <v>FGM</v>
      </c>
      <c r="I664" s="9" t="str">
        <f>IFERROR(__xludf.DUMMYFUNCTION("""COMPUTED_VALUE"""),"FTS")</f>
        <v>FTS</v>
      </c>
      <c r="J664" s="9" t="str">
        <f>IFERROR(__xludf.DUMMYFUNCTION("""COMPUTED_VALUE"""),"VZ")</f>
        <v>VZ</v>
      </c>
      <c r="K664" s="9" t="str">
        <f>IFERROR(__xludf.DUMMYFUNCTION("""COMPUTED_VALUE"""),"GE")</f>
        <v>GE</v>
      </c>
      <c r="L664" s="9" t="str">
        <f>IFERROR(__xludf.DUMMYFUNCTION("""COMPUTED_VALUE"""),"MGE")</f>
        <v>MGE</v>
      </c>
      <c r="M664" s="9" t="str">
        <f>IFERROR(__xludf.DUMMYFUNCTION("""COMPUTED_VALUE"""),"MGEi")</f>
        <v>MGEi</v>
      </c>
      <c r="N664" s="9"/>
      <c r="O664" s="9"/>
      <c r="P664" s="9"/>
      <c r="Q664" s="9"/>
      <c r="R664" s="9"/>
      <c r="S664" s="42"/>
      <c r="T664" s="42"/>
      <c r="U664" s="159"/>
      <c r="V664" s="42"/>
      <c r="W664" s="42"/>
      <c r="X664" s="42"/>
      <c r="Y664" s="42"/>
      <c r="Z664" s="42"/>
      <c r="AA664" s="42"/>
      <c r="AB664" s="42" t="str">
        <f>IFERROR(__xludf.DUMMYFUNCTION("""COMPUTED_VALUE"""),"allen institute")</f>
        <v>allen institute</v>
      </c>
      <c r="AC664" s="42" t="str">
        <f>IFERROR(__xludf.DUMMYFUNCTION("""COMPUTED_VALUE"""),"DHBA")</f>
        <v>DHBA</v>
      </c>
      <c r="AD664" s="42"/>
      <c r="AE664" s="42"/>
      <c r="AF664" s="9"/>
      <c r="AG664" s="9"/>
      <c r="AH664" s="42"/>
      <c r="AI664" s="42"/>
      <c r="AJ664" s="42"/>
      <c r="AK664" s="42"/>
      <c r="AL664" s="42"/>
      <c r="AM664" s="42"/>
      <c r="AN664" s="42"/>
      <c r="AO664" s="63" t="str">
        <f>IFERROR(__xludf.DUMMYFUNCTION("IF(ISBLANK(A664),,IF(ISBLANK(S664), A664&amp;"";"", TEXTJOIN(CHAR(10), TRUE, A664&amp;"";"", ARRAYFORMULA(VLOOKUP(SPLIT(S664, "";"" &amp; CHAR(10)), $A:$AO, 41, FALSE)))))"),"MGEi;")</f>
        <v>MGEi;</v>
      </c>
      <c r="AP664" s="89"/>
    </row>
    <row r="665">
      <c r="A665" s="151" t="str">
        <f>IFERROR(__xludf.DUMMYFUNCTION("""COMPUTED_VALUE"""),"CGE")</f>
        <v>CGE</v>
      </c>
      <c r="B665" s="42" t="str">
        <f>IFERROR(__xludf.DUMMYFUNCTION("""COMPUTED_VALUE"""),"DHBA")</f>
        <v>DHBA</v>
      </c>
      <c r="C665" s="42" t="str">
        <f>IFERROR(__xludf.DUMMYFUNCTION("""COMPUTED_VALUE"""),"caudal ganglionic eminence")</f>
        <v>caudal ganglionic eminence</v>
      </c>
      <c r="D665" s="42">
        <f>IFERROR(__xludf.DUMMYFUNCTION("""COMPUTED_VALUE"""),631.0)</f>
        <v>631</v>
      </c>
      <c r="E665" s="39" t="str">
        <f>IFERROR(__xludf.DUMMYFUNCTION("""COMPUTED_VALUE"""),"caudal ganglionic eminence")</f>
        <v>caudal ganglionic eminence</v>
      </c>
      <c r="F665" s="9" t="str">
        <f>IFERROR(__xludf.DUMMYFUNCTION("""COMPUTED_VALUE"""),"Br")</f>
        <v>Br</v>
      </c>
      <c r="G665" s="9" t="str">
        <f>IFERROR(__xludf.DUMMYFUNCTION("""COMPUTED_VALUE"""),"F")</f>
        <v>F</v>
      </c>
      <c r="H665" s="9" t="str">
        <f>IFERROR(__xludf.DUMMYFUNCTION("""COMPUTED_VALUE"""),"FGM")</f>
        <v>FGM</v>
      </c>
      <c r="I665" s="9" t="str">
        <f>IFERROR(__xludf.DUMMYFUNCTION("""COMPUTED_VALUE"""),"FTS")</f>
        <v>FTS</v>
      </c>
      <c r="J665" s="9" t="str">
        <f>IFERROR(__xludf.DUMMYFUNCTION("""COMPUTED_VALUE"""),"VZ")</f>
        <v>VZ</v>
      </c>
      <c r="K665" s="9" t="str">
        <f>IFERROR(__xludf.DUMMYFUNCTION("""COMPUTED_VALUE"""),"GE")</f>
        <v>GE</v>
      </c>
      <c r="L665" s="9" t="str">
        <f>IFERROR(__xludf.DUMMYFUNCTION("""COMPUTED_VALUE"""),"CGE")</f>
        <v>CGE</v>
      </c>
      <c r="M665" s="9"/>
      <c r="N665" s="9"/>
      <c r="O665" s="9"/>
      <c r="P665" s="9"/>
      <c r="Q665" s="9"/>
      <c r="R665" s="9"/>
      <c r="S665" s="42" t="str">
        <f>IFERROR(__xludf.DUMMYFUNCTION("""COMPUTED_VALUE"""),"CGEo;
CGEi")</f>
        <v>CGEo;
CGEi</v>
      </c>
      <c r="T665" s="42"/>
      <c r="U665" s="42" t="b">
        <f>IFERROR(__xludf.DUMMYFUNCTION("""COMPUTED_VALUE"""),FALSE)</f>
        <v>0</v>
      </c>
      <c r="V665" s="42"/>
      <c r="W665" s="42"/>
      <c r="X665" s="42"/>
      <c r="Y665" s="42"/>
      <c r="Z665" s="42"/>
      <c r="AA665" s="42"/>
      <c r="AB665" s="42" t="str">
        <f>IFERROR(__xludf.DUMMYFUNCTION("""COMPUTED_VALUE"""),"allen institute")</f>
        <v>allen institute</v>
      </c>
      <c r="AC665" s="42" t="str">
        <f>IFERROR(__xludf.DUMMYFUNCTION("""COMPUTED_VALUE"""),"DHBA")</f>
        <v>DHBA</v>
      </c>
      <c r="AD665" s="42"/>
      <c r="AE665" s="42"/>
      <c r="AF665" s="9"/>
      <c r="AG665" s="9"/>
      <c r="AH665" s="42"/>
      <c r="AI665" s="42"/>
      <c r="AJ665" s="42"/>
      <c r="AK665" s="42"/>
      <c r="AL665" s="42"/>
      <c r="AM665" s="42"/>
      <c r="AN665" s="42"/>
      <c r="AO665" s="63" t="str">
        <f>IFERROR(__xludf.DUMMYFUNCTION("IF(ISBLANK(A665),,IF(ISBLANK(S665), A665&amp;"";"", TEXTJOIN(CHAR(10), TRUE, A665&amp;"";"", ARRAYFORMULA(VLOOKUP(SPLIT(S665, "";"" &amp; CHAR(10)), $A:$AO, 41, FALSE)))))"),"CGE;
CGEo;
CGEi;")</f>
        <v>CGE;
CGEo;
CGEi;</v>
      </c>
      <c r="AP665" s="89"/>
    </row>
    <row r="666">
      <c r="A666" s="151" t="str">
        <f>IFERROR(__xludf.DUMMYFUNCTION("""COMPUTED_VALUE"""),"CGEo")</f>
        <v>CGEo</v>
      </c>
      <c r="B666" s="42" t="str">
        <f>IFERROR(__xludf.DUMMYFUNCTION("""COMPUTED_VALUE"""),"DHBA")</f>
        <v>DHBA</v>
      </c>
      <c r="C666" s="42" t="str">
        <f>IFERROR(__xludf.DUMMYFUNCTION("""COMPUTED_VALUE"""),"outer portion of caudal ganglionic eminence")</f>
        <v>outer portion of caudal ganglionic eminence</v>
      </c>
      <c r="D666" s="42">
        <f>IFERROR(__xludf.DUMMYFUNCTION("""COMPUTED_VALUE"""),632.0)</f>
        <v>632</v>
      </c>
      <c r="E666" s="39" t="str">
        <f>IFERROR(__xludf.DUMMYFUNCTION("""COMPUTED_VALUE"""),"outer portion of caudal ganglionic eminence")</f>
        <v>outer portion of caudal ganglionic eminence</v>
      </c>
      <c r="F666" s="9" t="str">
        <f>IFERROR(__xludf.DUMMYFUNCTION("""COMPUTED_VALUE"""),"Br")</f>
        <v>Br</v>
      </c>
      <c r="G666" s="9" t="str">
        <f>IFERROR(__xludf.DUMMYFUNCTION("""COMPUTED_VALUE"""),"F")</f>
        <v>F</v>
      </c>
      <c r="H666" s="9" t="str">
        <f>IFERROR(__xludf.DUMMYFUNCTION("""COMPUTED_VALUE"""),"FGM")</f>
        <v>FGM</v>
      </c>
      <c r="I666" s="9" t="str">
        <f>IFERROR(__xludf.DUMMYFUNCTION("""COMPUTED_VALUE"""),"FTS")</f>
        <v>FTS</v>
      </c>
      <c r="J666" s="9" t="str">
        <f>IFERROR(__xludf.DUMMYFUNCTION("""COMPUTED_VALUE"""),"VZ")</f>
        <v>VZ</v>
      </c>
      <c r="K666" s="9" t="str">
        <f>IFERROR(__xludf.DUMMYFUNCTION("""COMPUTED_VALUE"""),"GE")</f>
        <v>GE</v>
      </c>
      <c r="L666" s="9" t="str">
        <f>IFERROR(__xludf.DUMMYFUNCTION("""COMPUTED_VALUE"""),"CGE")</f>
        <v>CGE</v>
      </c>
      <c r="M666" s="9" t="str">
        <f>IFERROR(__xludf.DUMMYFUNCTION("""COMPUTED_VALUE"""),"CGEo")</f>
        <v>CGEo</v>
      </c>
      <c r="N666" s="9"/>
      <c r="O666" s="9"/>
      <c r="P666" s="9"/>
      <c r="Q666" s="9"/>
      <c r="R666" s="9"/>
      <c r="S666" s="42"/>
      <c r="T666" s="42"/>
      <c r="U666" s="42"/>
      <c r="V666" s="42"/>
      <c r="W666" s="42"/>
      <c r="X666" s="42"/>
      <c r="Y666" s="42"/>
      <c r="Z666" s="42"/>
      <c r="AA666" s="42"/>
      <c r="AB666" s="42" t="str">
        <f>IFERROR(__xludf.DUMMYFUNCTION("""COMPUTED_VALUE"""),"allen institute")</f>
        <v>allen institute</v>
      </c>
      <c r="AC666" s="42" t="str">
        <f>IFERROR(__xludf.DUMMYFUNCTION("""COMPUTED_VALUE"""),"DHBA")</f>
        <v>DHBA</v>
      </c>
      <c r="AD666" s="42"/>
      <c r="AE666" s="42"/>
      <c r="AF666" s="9"/>
      <c r="AG666" s="9"/>
      <c r="AH666" s="42"/>
      <c r="AI666" s="42"/>
      <c r="AJ666" s="42"/>
      <c r="AK666" s="42"/>
      <c r="AL666" s="42"/>
      <c r="AM666" s="42"/>
      <c r="AN666" s="42"/>
      <c r="AO666" s="63" t="str">
        <f>IFERROR(__xludf.DUMMYFUNCTION("IF(ISBLANK(A666),,IF(ISBLANK(S666), A666&amp;"";"", TEXTJOIN(CHAR(10), TRUE, A666&amp;"";"", ARRAYFORMULA(VLOOKUP(SPLIT(S666, "";"" &amp; CHAR(10)), $A:$AO, 41, FALSE)))))"),"CGEo;")</f>
        <v>CGEo;</v>
      </c>
      <c r="AP666" s="89"/>
    </row>
    <row r="667">
      <c r="A667" s="151" t="str">
        <f>IFERROR(__xludf.DUMMYFUNCTION("""COMPUTED_VALUE"""),"CGEi")</f>
        <v>CGEi</v>
      </c>
      <c r="B667" s="42" t="str">
        <f>IFERROR(__xludf.DUMMYFUNCTION("""COMPUTED_VALUE"""),"DHBA")</f>
        <v>DHBA</v>
      </c>
      <c r="C667" s="42" t="str">
        <f>IFERROR(__xludf.DUMMYFUNCTION("""COMPUTED_VALUE"""),"inner portion of caudal ganglionic eminence")</f>
        <v>inner portion of caudal ganglionic eminence</v>
      </c>
      <c r="D667" s="42">
        <f>IFERROR(__xludf.DUMMYFUNCTION("""COMPUTED_VALUE"""),633.0)</f>
        <v>633</v>
      </c>
      <c r="E667" s="39" t="str">
        <f>IFERROR(__xludf.DUMMYFUNCTION("""COMPUTED_VALUE"""),"inner portion of caudal ganglionic eminence")</f>
        <v>inner portion of caudal ganglionic eminence</v>
      </c>
      <c r="F667" s="9" t="str">
        <f>IFERROR(__xludf.DUMMYFUNCTION("""COMPUTED_VALUE"""),"Br")</f>
        <v>Br</v>
      </c>
      <c r="G667" s="9" t="str">
        <f>IFERROR(__xludf.DUMMYFUNCTION("""COMPUTED_VALUE"""),"F")</f>
        <v>F</v>
      </c>
      <c r="H667" s="9" t="str">
        <f>IFERROR(__xludf.DUMMYFUNCTION("""COMPUTED_VALUE"""),"FGM")</f>
        <v>FGM</v>
      </c>
      <c r="I667" s="9" t="str">
        <f>IFERROR(__xludf.DUMMYFUNCTION("""COMPUTED_VALUE"""),"FTS")</f>
        <v>FTS</v>
      </c>
      <c r="J667" s="9" t="str">
        <f>IFERROR(__xludf.DUMMYFUNCTION("""COMPUTED_VALUE"""),"VZ")</f>
        <v>VZ</v>
      </c>
      <c r="K667" s="9" t="str">
        <f>IFERROR(__xludf.DUMMYFUNCTION("""COMPUTED_VALUE"""),"GE")</f>
        <v>GE</v>
      </c>
      <c r="L667" s="9" t="str">
        <f>IFERROR(__xludf.DUMMYFUNCTION("""COMPUTED_VALUE"""),"CGE")</f>
        <v>CGE</v>
      </c>
      <c r="M667" s="9" t="str">
        <f>IFERROR(__xludf.DUMMYFUNCTION("""COMPUTED_VALUE"""),"CGEi")</f>
        <v>CGEi</v>
      </c>
      <c r="N667" s="9"/>
      <c r="O667" s="9"/>
      <c r="P667" s="9"/>
      <c r="Q667" s="9"/>
      <c r="R667" s="9"/>
      <c r="S667" s="42"/>
      <c r="T667" s="42"/>
      <c r="U667" s="42"/>
      <c r="V667" s="42"/>
      <c r="W667" s="42"/>
      <c r="X667" s="42"/>
      <c r="Y667" s="42"/>
      <c r="Z667" s="42"/>
      <c r="AA667" s="42"/>
      <c r="AB667" s="42" t="str">
        <f>IFERROR(__xludf.DUMMYFUNCTION("""COMPUTED_VALUE"""),"allen institute")</f>
        <v>allen institute</v>
      </c>
      <c r="AC667" s="42" t="str">
        <f>IFERROR(__xludf.DUMMYFUNCTION("""COMPUTED_VALUE"""),"DHBA")</f>
        <v>DHBA</v>
      </c>
      <c r="AD667" s="42"/>
      <c r="AE667" s="42"/>
      <c r="AF667" s="9"/>
      <c r="AG667" s="9"/>
      <c r="AH667" s="42"/>
      <c r="AI667" s="42"/>
      <c r="AJ667" s="42"/>
      <c r="AK667" s="42"/>
      <c r="AL667" s="42"/>
      <c r="AM667" s="42"/>
      <c r="AN667" s="42"/>
      <c r="AO667" s="63" t="str">
        <f>IFERROR(__xludf.DUMMYFUNCTION("IF(ISBLANK(A667),,IF(ISBLANK(S667), A667&amp;"";"", TEXTJOIN(CHAR(10), TRUE, A667&amp;"";"", ARRAYFORMULA(VLOOKUP(SPLIT(S667, "";"" &amp; CHAR(10)), $A:$AO, 41, FALSE)))))"),"CGEi;")</f>
        <v>CGEi;</v>
      </c>
      <c r="AP667" s="89"/>
    </row>
    <row r="668">
      <c r="A668" s="151" t="str">
        <f>IFERROR(__xludf.DUMMYFUNCTION("""COMPUTED_VALUE"""),"seVZ")</f>
        <v>seVZ</v>
      </c>
      <c r="B668" s="42" t="str">
        <f>IFERROR(__xludf.DUMMYFUNCTION("""COMPUTED_VALUE"""),"DHBA")</f>
        <v>DHBA</v>
      </c>
      <c r="C668" s="42" t="str">
        <f>IFERROR(__xludf.DUMMYFUNCTION("""COMPUTED_VALUE"""),"VZ in septal region")</f>
        <v>VZ in septal region</v>
      </c>
      <c r="D668" s="42">
        <f>IFERROR(__xludf.DUMMYFUNCTION("""COMPUTED_VALUE"""),634.0)</f>
        <v>634</v>
      </c>
      <c r="E668" s="39" t="str">
        <f>IFERROR(__xludf.DUMMYFUNCTION("""COMPUTED_VALUE"""),"VZ in septal region")</f>
        <v>VZ in septal region</v>
      </c>
      <c r="F668" s="9" t="str">
        <f>IFERROR(__xludf.DUMMYFUNCTION("""COMPUTED_VALUE"""),"Br")</f>
        <v>Br</v>
      </c>
      <c r="G668" s="9" t="str">
        <f>IFERROR(__xludf.DUMMYFUNCTION("""COMPUTED_VALUE"""),"F")</f>
        <v>F</v>
      </c>
      <c r="H668" s="9" t="str">
        <f>IFERROR(__xludf.DUMMYFUNCTION("""COMPUTED_VALUE"""),"FGM")</f>
        <v>FGM</v>
      </c>
      <c r="I668" s="9" t="str">
        <f>IFERROR(__xludf.DUMMYFUNCTION("""COMPUTED_VALUE"""),"FTS")</f>
        <v>FTS</v>
      </c>
      <c r="J668" s="9" t="str">
        <f>IFERROR(__xludf.DUMMYFUNCTION("""COMPUTED_VALUE"""),"VZ")</f>
        <v>VZ</v>
      </c>
      <c r="K668" s="9" t="str">
        <f>IFERROR(__xludf.DUMMYFUNCTION("""COMPUTED_VALUE"""),"seVZ")</f>
        <v>seVZ</v>
      </c>
      <c r="L668" s="9"/>
      <c r="M668" s="9"/>
      <c r="N668" s="9"/>
      <c r="O668" s="9"/>
      <c r="P668" s="9"/>
      <c r="Q668" s="9"/>
      <c r="R668" s="9"/>
      <c r="S668" s="42"/>
      <c r="T668" s="42"/>
      <c r="U668" s="42"/>
      <c r="V668" s="42"/>
      <c r="W668" s="42"/>
      <c r="X668" s="42"/>
      <c r="Y668" s="42"/>
      <c r="Z668" s="42"/>
      <c r="AA668" s="42"/>
      <c r="AB668" s="42" t="str">
        <f>IFERROR(__xludf.DUMMYFUNCTION("""COMPUTED_VALUE"""),"allen institute")</f>
        <v>allen institute</v>
      </c>
      <c r="AC668" s="42" t="str">
        <f>IFERROR(__xludf.DUMMYFUNCTION("""COMPUTED_VALUE"""),"DHBA")</f>
        <v>DHBA</v>
      </c>
      <c r="AD668" s="42"/>
      <c r="AE668" s="42"/>
      <c r="AF668" s="9"/>
      <c r="AG668" s="9"/>
      <c r="AH668" s="42"/>
      <c r="AI668" s="42"/>
      <c r="AJ668" s="42"/>
      <c r="AK668" s="42"/>
      <c r="AL668" s="42"/>
      <c r="AM668" s="42"/>
      <c r="AN668" s="42"/>
      <c r="AO668" s="63" t="str">
        <f>IFERROR(__xludf.DUMMYFUNCTION("IF(ISBLANK(A668),,IF(ISBLANK(S668), A668&amp;"";"", TEXTJOIN(CHAR(10), TRUE, A668&amp;"";"", ARRAYFORMULA(VLOOKUP(SPLIT(S668, "";"" &amp; CHAR(10)), $A:$AO, 41, FALSE)))))"),"seVZ;")</f>
        <v>seVZ;</v>
      </c>
      <c r="AP668" s="89"/>
    </row>
    <row r="669">
      <c r="A669" s="151" t="str">
        <f>IFERROR(__xludf.DUMMYFUNCTION("""COMPUTED_VALUE"""),"scVZ")</f>
        <v>scVZ</v>
      </c>
      <c r="B669" s="42" t="str">
        <f>IFERROR(__xludf.DUMMYFUNCTION("""COMPUTED_VALUE"""),"DHBA")</f>
        <v>DHBA</v>
      </c>
      <c r="C669" s="42" t="str">
        <f>IFERROR(__xludf.DUMMYFUNCTION("""COMPUTED_VALUE"""),"VZ in subcallosal region")</f>
        <v>VZ in subcallosal region</v>
      </c>
      <c r="D669" s="42">
        <f>IFERROR(__xludf.DUMMYFUNCTION("""COMPUTED_VALUE"""),635.0)</f>
        <v>635</v>
      </c>
      <c r="E669" s="39" t="str">
        <f>IFERROR(__xludf.DUMMYFUNCTION("""COMPUTED_VALUE"""),"VZ in subcallosal region")</f>
        <v>VZ in subcallosal region</v>
      </c>
      <c r="F669" s="9" t="str">
        <f>IFERROR(__xludf.DUMMYFUNCTION("""COMPUTED_VALUE"""),"Br")</f>
        <v>Br</v>
      </c>
      <c r="G669" s="9" t="str">
        <f>IFERROR(__xludf.DUMMYFUNCTION("""COMPUTED_VALUE"""),"F")</f>
        <v>F</v>
      </c>
      <c r="H669" s="9" t="str">
        <f>IFERROR(__xludf.DUMMYFUNCTION("""COMPUTED_VALUE"""),"FGM")</f>
        <v>FGM</v>
      </c>
      <c r="I669" s="9" t="str">
        <f>IFERROR(__xludf.DUMMYFUNCTION("""COMPUTED_VALUE"""),"FTS")</f>
        <v>FTS</v>
      </c>
      <c r="J669" s="9" t="str">
        <f>IFERROR(__xludf.DUMMYFUNCTION("""COMPUTED_VALUE"""),"VZ")</f>
        <v>VZ</v>
      </c>
      <c r="K669" s="9" t="str">
        <f>IFERROR(__xludf.DUMMYFUNCTION("""COMPUTED_VALUE"""),"scVZ")</f>
        <v>scVZ</v>
      </c>
      <c r="L669" s="9"/>
      <c r="M669" s="9"/>
      <c r="N669" s="9"/>
      <c r="O669" s="9"/>
      <c r="P669" s="9"/>
      <c r="Q669" s="9"/>
      <c r="R669" s="9"/>
      <c r="S669" s="42"/>
      <c r="T669" s="42"/>
      <c r="U669" s="42"/>
      <c r="V669" s="42"/>
      <c r="W669" s="42"/>
      <c r="X669" s="42"/>
      <c r="Y669" s="42"/>
      <c r="Z669" s="42"/>
      <c r="AA669" s="42"/>
      <c r="AB669" s="42" t="str">
        <f>IFERROR(__xludf.DUMMYFUNCTION("""COMPUTED_VALUE"""),"allen institute")</f>
        <v>allen institute</v>
      </c>
      <c r="AC669" s="42" t="str">
        <f>IFERROR(__xludf.DUMMYFUNCTION("""COMPUTED_VALUE"""),"DHBA")</f>
        <v>DHBA</v>
      </c>
      <c r="AD669" s="42"/>
      <c r="AE669" s="42"/>
      <c r="AF669" s="9"/>
      <c r="AG669" s="9"/>
      <c r="AH669" s="42"/>
      <c r="AI669" s="42"/>
      <c r="AJ669" s="42"/>
      <c r="AK669" s="42"/>
      <c r="AL669" s="42"/>
      <c r="AM669" s="42"/>
      <c r="AN669" s="42"/>
      <c r="AO669" s="63" t="str">
        <f>IFERROR(__xludf.DUMMYFUNCTION("IF(ISBLANK(A669),,IF(ISBLANK(S669), A669&amp;"";"", TEXTJOIN(CHAR(10), TRUE, A669&amp;"";"", ARRAYFORMULA(VLOOKUP(SPLIT(S669, "";"" &amp; CHAR(10)), $A:$AO, 41, FALSE)))))"),"scVZ;")</f>
        <v>scVZ;</v>
      </c>
      <c r="AP669" s="89"/>
    </row>
    <row r="670">
      <c r="A670" s="151" t="str">
        <f>IFERROR(__xludf.DUMMYFUNCTION("""COMPUTED_VALUE"""),"paVZ")</f>
        <v>paVZ</v>
      </c>
      <c r="B670" s="42" t="str">
        <f>IFERROR(__xludf.DUMMYFUNCTION("""COMPUTED_VALUE"""),"DHBA")</f>
        <v>DHBA</v>
      </c>
      <c r="C670" s="42" t="str">
        <f>IFERROR(__xludf.DUMMYFUNCTION("""COMPUTED_VALUE"""),"VZ in postamygdaloid region")</f>
        <v>VZ in postamygdaloid region</v>
      </c>
      <c r="D670" s="42">
        <f>IFERROR(__xludf.DUMMYFUNCTION("""COMPUTED_VALUE"""),636.0)</f>
        <v>636</v>
      </c>
      <c r="E670" s="39" t="str">
        <f>IFERROR(__xludf.DUMMYFUNCTION("""COMPUTED_VALUE"""),"VZ in postamygdaloid region")</f>
        <v>VZ in postamygdaloid region</v>
      </c>
      <c r="F670" s="9" t="str">
        <f>IFERROR(__xludf.DUMMYFUNCTION("""COMPUTED_VALUE"""),"Br")</f>
        <v>Br</v>
      </c>
      <c r="G670" s="9" t="str">
        <f>IFERROR(__xludf.DUMMYFUNCTION("""COMPUTED_VALUE"""),"F")</f>
        <v>F</v>
      </c>
      <c r="H670" s="9" t="str">
        <f>IFERROR(__xludf.DUMMYFUNCTION("""COMPUTED_VALUE"""),"FGM")</f>
        <v>FGM</v>
      </c>
      <c r="I670" s="9" t="str">
        <f>IFERROR(__xludf.DUMMYFUNCTION("""COMPUTED_VALUE"""),"FTS")</f>
        <v>FTS</v>
      </c>
      <c r="J670" s="9" t="str">
        <f>IFERROR(__xludf.DUMMYFUNCTION("""COMPUTED_VALUE"""),"VZ")</f>
        <v>VZ</v>
      </c>
      <c r="K670" s="9" t="str">
        <f>IFERROR(__xludf.DUMMYFUNCTION("""COMPUTED_VALUE"""),"paVZ")</f>
        <v>paVZ</v>
      </c>
      <c r="L670" s="9"/>
      <c r="M670" s="9"/>
      <c r="N670" s="9"/>
      <c r="O670" s="9"/>
      <c r="P670" s="9"/>
      <c r="Q670" s="9"/>
      <c r="R670" s="9"/>
      <c r="S670" s="42"/>
      <c r="T670" s="42"/>
      <c r="U670" s="42"/>
      <c r="V670" s="42"/>
      <c r="W670" s="42"/>
      <c r="X670" s="42"/>
      <c r="Y670" s="42"/>
      <c r="Z670" s="42"/>
      <c r="AA670" s="42"/>
      <c r="AB670" s="42" t="str">
        <f>IFERROR(__xludf.DUMMYFUNCTION("""COMPUTED_VALUE"""),"allen institute")</f>
        <v>allen institute</v>
      </c>
      <c r="AC670" s="42" t="str">
        <f>IFERROR(__xludf.DUMMYFUNCTION("""COMPUTED_VALUE"""),"DHBA")</f>
        <v>DHBA</v>
      </c>
      <c r="AD670" s="42"/>
      <c r="AE670" s="42"/>
      <c r="AF670" s="9"/>
      <c r="AG670" s="9"/>
      <c r="AH670" s="42"/>
      <c r="AI670" s="42"/>
      <c r="AJ670" s="42"/>
      <c r="AK670" s="42"/>
      <c r="AL670" s="42"/>
      <c r="AM670" s="42"/>
      <c r="AN670" s="42"/>
      <c r="AO670" s="63" t="str">
        <f>IFERROR(__xludf.DUMMYFUNCTION("IF(ISBLANK(A670),,IF(ISBLANK(S670), A670&amp;"";"", TEXTJOIN(CHAR(10), TRUE, A670&amp;"";"", ARRAYFORMULA(VLOOKUP(SPLIT(S670, "";"" &amp; CHAR(10)), $A:$AO, 41, FALSE)))))"),"paVZ;")</f>
        <v>paVZ;</v>
      </c>
      <c r="AP670" s="89"/>
    </row>
    <row r="671">
      <c r="A671" s="151" t="str">
        <f>IFERROR(__xludf.DUMMYFUNCTION("""COMPUTED_VALUE"""),"thVZ")</f>
        <v>thVZ</v>
      </c>
      <c r="B671" s="42" t="str">
        <f>IFERROR(__xludf.DUMMYFUNCTION("""COMPUTED_VALUE"""),"DHBA")</f>
        <v>DHBA</v>
      </c>
      <c r="C671" s="42" t="str">
        <f>IFERROR(__xludf.DUMMYFUNCTION("""COMPUTED_VALUE"""),"VZ in thalamic region")</f>
        <v>VZ in thalamic region</v>
      </c>
      <c r="D671" s="42">
        <f>IFERROR(__xludf.DUMMYFUNCTION("""COMPUTED_VALUE"""),637.0)</f>
        <v>637</v>
      </c>
      <c r="E671" s="39" t="str">
        <f>IFERROR(__xludf.DUMMYFUNCTION("""COMPUTED_VALUE"""),"VZ in thalamic region")</f>
        <v>VZ in thalamic region</v>
      </c>
      <c r="F671" s="9" t="str">
        <f>IFERROR(__xludf.DUMMYFUNCTION("""COMPUTED_VALUE"""),"Br")</f>
        <v>Br</v>
      </c>
      <c r="G671" s="9" t="str">
        <f>IFERROR(__xludf.DUMMYFUNCTION("""COMPUTED_VALUE"""),"F")</f>
        <v>F</v>
      </c>
      <c r="H671" s="9" t="str">
        <f>IFERROR(__xludf.DUMMYFUNCTION("""COMPUTED_VALUE"""),"FGM")</f>
        <v>FGM</v>
      </c>
      <c r="I671" s="9" t="str">
        <f>IFERROR(__xludf.DUMMYFUNCTION("""COMPUTED_VALUE"""),"FTS")</f>
        <v>FTS</v>
      </c>
      <c r="J671" s="9" t="str">
        <f>IFERROR(__xludf.DUMMYFUNCTION("""COMPUTED_VALUE"""),"VZ")</f>
        <v>VZ</v>
      </c>
      <c r="K671" s="9" t="str">
        <f>IFERROR(__xludf.DUMMYFUNCTION("""COMPUTED_VALUE"""),"thVZ")</f>
        <v>thVZ</v>
      </c>
      <c r="L671" s="9"/>
      <c r="M671" s="9"/>
      <c r="N671" s="9"/>
      <c r="O671" s="9"/>
      <c r="P671" s="9"/>
      <c r="Q671" s="9"/>
      <c r="R671" s="9"/>
      <c r="S671" s="42"/>
      <c r="T671" s="42"/>
      <c r="U671" s="42"/>
      <c r="V671" s="42"/>
      <c r="W671" s="42"/>
      <c r="X671" s="42"/>
      <c r="Y671" s="42"/>
      <c r="Z671" s="42"/>
      <c r="AA671" s="42"/>
      <c r="AB671" s="42" t="str">
        <f>IFERROR(__xludf.DUMMYFUNCTION("""COMPUTED_VALUE"""),"allen institute")</f>
        <v>allen institute</v>
      </c>
      <c r="AC671" s="42" t="str">
        <f>IFERROR(__xludf.DUMMYFUNCTION("""COMPUTED_VALUE"""),"DHBA")</f>
        <v>DHBA</v>
      </c>
      <c r="AD671" s="42"/>
      <c r="AE671" s="42"/>
      <c r="AF671" s="9"/>
      <c r="AG671" s="9"/>
      <c r="AH671" s="42"/>
      <c r="AI671" s="42"/>
      <c r="AJ671" s="42"/>
      <c r="AK671" s="42"/>
      <c r="AL671" s="42"/>
      <c r="AM671" s="42"/>
      <c r="AN671" s="42"/>
      <c r="AO671" s="63" t="str">
        <f>IFERROR(__xludf.DUMMYFUNCTION("IF(ISBLANK(A671),,IF(ISBLANK(S671), A671&amp;"";"", TEXTJOIN(CHAR(10), TRUE, A671&amp;"";"", ARRAYFORMULA(VLOOKUP(SPLIT(S671, "";"" &amp; CHAR(10)), $A:$AO, 41, FALSE)))))"),"thVZ;")</f>
        <v>thVZ;</v>
      </c>
      <c r="AP671" s="89"/>
    </row>
    <row r="672">
      <c r="A672" s="151" t="str">
        <f>IFERROR(__xludf.DUMMYFUNCTION("""COMPUTED_VALUE"""),"hyVZ")</f>
        <v>hyVZ</v>
      </c>
      <c r="B672" s="42" t="str">
        <f>IFERROR(__xludf.DUMMYFUNCTION("""COMPUTED_VALUE"""),"DHBA")</f>
        <v>DHBA</v>
      </c>
      <c r="C672" s="42" t="str">
        <f>IFERROR(__xludf.DUMMYFUNCTION("""COMPUTED_VALUE"""),"VZ in hypothalamic portion")</f>
        <v>VZ in hypothalamic portion</v>
      </c>
      <c r="D672" s="42">
        <f>IFERROR(__xludf.DUMMYFUNCTION("""COMPUTED_VALUE"""),638.0)</f>
        <v>638</v>
      </c>
      <c r="E672" s="39" t="str">
        <f>IFERROR(__xludf.DUMMYFUNCTION("""COMPUTED_VALUE"""),"VZ in hypothalamic portion")</f>
        <v>VZ in hypothalamic portion</v>
      </c>
      <c r="F672" s="9" t="str">
        <f>IFERROR(__xludf.DUMMYFUNCTION("""COMPUTED_VALUE"""),"Br")</f>
        <v>Br</v>
      </c>
      <c r="G672" s="9" t="str">
        <f>IFERROR(__xludf.DUMMYFUNCTION("""COMPUTED_VALUE"""),"F")</f>
        <v>F</v>
      </c>
      <c r="H672" s="9" t="str">
        <f>IFERROR(__xludf.DUMMYFUNCTION("""COMPUTED_VALUE"""),"FGM")</f>
        <v>FGM</v>
      </c>
      <c r="I672" s="9" t="str">
        <f>IFERROR(__xludf.DUMMYFUNCTION("""COMPUTED_VALUE"""),"FTS")</f>
        <v>FTS</v>
      </c>
      <c r="J672" s="9" t="str">
        <f>IFERROR(__xludf.DUMMYFUNCTION("""COMPUTED_VALUE"""),"VZ")</f>
        <v>VZ</v>
      </c>
      <c r="K672" s="9" t="str">
        <f>IFERROR(__xludf.DUMMYFUNCTION("""COMPUTED_VALUE"""),"hyVZ")</f>
        <v>hyVZ</v>
      </c>
      <c r="L672" s="9"/>
      <c r="M672" s="9"/>
      <c r="N672" s="9"/>
      <c r="O672" s="9"/>
      <c r="P672" s="9"/>
      <c r="Q672" s="9"/>
      <c r="R672" s="9"/>
      <c r="S672" s="42"/>
      <c r="T672" s="42"/>
      <c r="U672" s="42"/>
      <c r="V672" s="42"/>
      <c r="W672" s="42"/>
      <c r="X672" s="42"/>
      <c r="Y672" s="42"/>
      <c r="Z672" s="42"/>
      <c r="AA672" s="42"/>
      <c r="AB672" s="42" t="str">
        <f>IFERROR(__xludf.DUMMYFUNCTION("""COMPUTED_VALUE"""),"allen institute")</f>
        <v>allen institute</v>
      </c>
      <c r="AC672" s="42" t="str">
        <f>IFERROR(__xludf.DUMMYFUNCTION("""COMPUTED_VALUE"""),"DHBA")</f>
        <v>DHBA</v>
      </c>
      <c r="AD672" s="42"/>
      <c r="AE672" s="42"/>
      <c r="AF672" s="9"/>
      <c r="AG672" s="9"/>
      <c r="AH672" s="42"/>
      <c r="AI672" s="42"/>
      <c r="AJ672" s="42"/>
      <c r="AK672" s="42"/>
      <c r="AL672" s="42"/>
      <c r="AM672" s="42"/>
      <c r="AN672" s="42"/>
      <c r="AO672" s="63" t="str">
        <f>IFERROR(__xludf.DUMMYFUNCTION("IF(ISBLANK(A672),,IF(ISBLANK(S672), A672&amp;"";"", TEXTJOIN(CHAR(10), TRUE, A672&amp;"";"", ARRAYFORMULA(VLOOKUP(SPLIT(S672, "";"" &amp; CHAR(10)), $A:$AO, 41, FALSE)))))"),"hyVZ;")</f>
        <v>hyVZ;</v>
      </c>
      <c r="AP672" s="89"/>
    </row>
    <row r="673">
      <c r="A673" s="151" t="str">
        <f>IFERROR(__xludf.DUMMYFUNCTION("""COMPUTED_VALUE"""),"RMS")</f>
        <v>RMS</v>
      </c>
      <c r="B673" s="42" t="str">
        <f>IFERROR(__xludf.DUMMYFUNCTION("""COMPUTED_VALUE"""),"DHBA")</f>
        <v>DHBA</v>
      </c>
      <c r="C673" s="42" t="str">
        <f>IFERROR(__xludf.DUMMYFUNCTION("""COMPUTED_VALUE"""),"rostral migratory stream")</f>
        <v>rostral migratory stream</v>
      </c>
      <c r="D673" s="42">
        <f>IFERROR(__xludf.DUMMYFUNCTION("""COMPUTED_VALUE"""),639.0)</f>
        <v>639</v>
      </c>
      <c r="E673" s="39" t="str">
        <f>IFERROR(__xludf.DUMMYFUNCTION("""COMPUTED_VALUE"""),"rostral migratory stream")</f>
        <v>rostral migratory stream</v>
      </c>
      <c r="F673" s="9" t="str">
        <f>IFERROR(__xludf.DUMMYFUNCTION("""COMPUTED_VALUE"""),"Br")</f>
        <v>Br</v>
      </c>
      <c r="G673" s="9" t="str">
        <f>IFERROR(__xludf.DUMMYFUNCTION("""COMPUTED_VALUE"""),"F")</f>
        <v>F</v>
      </c>
      <c r="H673" s="9" t="str">
        <f>IFERROR(__xludf.DUMMYFUNCTION("""COMPUTED_VALUE"""),"FGM")</f>
        <v>FGM</v>
      </c>
      <c r="I673" s="9" t="str">
        <f>IFERROR(__xludf.DUMMYFUNCTION("""COMPUTED_VALUE"""),"FTS")</f>
        <v>FTS</v>
      </c>
      <c r="J673" s="9" t="str">
        <f>IFERROR(__xludf.DUMMYFUNCTION("""COMPUTED_VALUE"""),"VZ")</f>
        <v>VZ</v>
      </c>
      <c r="K673" s="9" t="str">
        <f>IFERROR(__xludf.DUMMYFUNCTION("""COMPUTED_VALUE"""),"RMS")</f>
        <v>RMS</v>
      </c>
      <c r="L673" s="9"/>
      <c r="M673" s="9"/>
      <c r="N673" s="9"/>
      <c r="O673" s="9"/>
      <c r="P673" s="9"/>
      <c r="Q673" s="9"/>
      <c r="R673" s="9"/>
      <c r="S673" s="42" t="str">
        <f>IFERROR(__xludf.DUMMYFUNCTION("""COMPUTED_VALUE"""),"RMSv;
RMSh")</f>
        <v>RMSv;
RMSh</v>
      </c>
      <c r="T673" s="42"/>
      <c r="U673" s="159" t="b">
        <f>IFERROR(__xludf.DUMMYFUNCTION("""COMPUTED_VALUE"""),FALSE)</f>
        <v>0</v>
      </c>
      <c r="V673" s="42"/>
      <c r="W673" s="42"/>
      <c r="X673" s="42"/>
      <c r="Y673" s="42"/>
      <c r="Z673" s="42"/>
      <c r="AA673" s="42"/>
      <c r="AB673" s="42" t="str">
        <f>IFERROR(__xludf.DUMMYFUNCTION("""COMPUTED_VALUE"""),"allen institute")</f>
        <v>allen institute</v>
      </c>
      <c r="AC673" s="42" t="str">
        <f>IFERROR(__xludf.DUMMYFUNCTION("""COMPUTED_VALUE"""),"DHBA")</f>
        <v>DHBA</v>
      </c>
      <c r="AD673" s="42"/>
      <c r="AE673" s="42"/>
      <c r="AF673" s="9"/>
      <c r="AG673" s="9"/>
      <c r="AH673" s="42"/>
      <c r="AI673" s="42"/>
      <c r="AJ673" s="42"/>
      <c r="AK673" s="42"/>
      <c r="AL673" s="42"/>
      <c r="AM673" s="42"/>
      <c r="AN673" s="42"/>
      <c r="AO673" s="63" t="str">
        <f>IFERROR(__xludf.DUMMYFUNCTION("IF(ISBLANK(A673),,IF(ISBLANK(S673), A673&amp;"";"", TEXTJOIN(CHAR(10), TRUE, A673&amp;"";"", ARRAYFORMULA(VLOOKUP(SPLIT(S673, "";"" &amp; CHAR(10)), $A:$AO, 41, FALSE)))))"),"RMS;
RMSv;
RMSvv;
RMSvg;
RMSvs;
RMSh;
RMShv;
RMShg;
RMShs;")</f>
        <v>RMS;
RMSv;
RMSvv;
RMSvg;
RMSvs;
RMSh;
RMShv;
RMShg;
RMShs;</v>
      </c>
      <c r="AP673" s="89"/>
    </row>
    <row r="674">
      <c r="A674" s="151" t="str">
        <f>IFERROR(__xludf.DUMMYFUNCTION("""COMPUTED_VALUE"""),"RMSv")</f>
        <v>RMSv</v>
      </c>
      <c r="B674" s="42" t="str">
        <f>IFERROR(__xludf.DUMMYFUNCTION("""COMPUTED_VALUE"""),"DHBA")</f>
        <v>DHBA</v>
      </c>
      <c r="C674" s="42" t="str">
        <f>IFERROR(__xludf.DUMMYFUNCTION("""COMPUTED_VALUE"""),"vertical portion of rostral migratory stream")</f>
        <v>vertical portion of rostral migratory stream</v>
      </c>
      <c r="D674" s="42">
        <f>IFERROR(__xludf.DUMMYFUNCTION("""COMPUTED_VALUE"""),640.0)</f>
        <v>640</v>
      </c>
      <c r="E674" s="39" t="str">
        <f>IFERROR(__xludf.DUMMYFUNCTION("""COMPUTED_VALUE"""),"vertical portion of rostral migratory stream")</f>
        <v>vertical portion of rostral migratory stream</v>
      </c>
      <c r="F674" s="9" t="str">
        <f>IFERROR(__xludf.DUMMYFUNCTION("""COMPUTED_VALUE"""),"Br")</f>
        <v>Br</v>
      </c>
      <c r="G674" s="9" t="str">
        <f>IFERROR(__xludf.DUMMYFUNCTION("""COMPUTED_VALUE"""),"F")</f>
        <v>F</v>
      </c>
      <c r="H674" s="9" t="str">
        <f>IFERROR(__xludf.DUMMYFUNCTION("""COMPUTED_VALUE"""),"FGM")</f>
        <v>FGM</v>
      </c>
      <c r="I674" s="9" t="str">
        <f>IFERROR(__xludf.DUMMYFUNCTION("""COMPUTED_VALUE"""),"FTS")</f>
        <v>FTS</v>
      </c>
      <c r="J674" s="9" t="str">
        <f>IFERROR(__xludf.DUMMYFUNCTION("""COMPUTED_VALUE"""),"VZ")</f>
        <v>VZ</v>
      </c>
      <c r="K674" s="9" t="str">
        <f>IFERROR(__xludf.DUMMYFUNCTION("""COMPUTED_VALUE"""),"RMS")</f>
        <v>RMS</v>
      </c>
      <c r="L674" s="9" t="str">
        <f>IFERROR(__xludf.DUMMYFUNCTION("""COMPUTED_VALUE"""),"RMSv")</f>
        <v>RMSv</v>
      </c>
      <c r="M674" s="9"/>
      <c r="N674" s="9"/>
      <c r="O674" s="9"/>
      <c r="P674" s="9"/>
      <c r="Q674" s="9"/>
      <c r="R674" s="9"/>
      <c r="S674" s="42" t="str">
        <f>IFERROR(__xludf.DUMMYFUNCTION("""COMPUTED_VALUE"""),"RMSvv;
RMSvg;
RMSvs")</f>
        <v>RMSvv;
RMSvg;
RMSvs</v>
      </c>
      <c r="T674" s="42"/>
      <c r="U674" s="42" t="b">
        <f>IFERROR(__xludf.DUMMYFUNCTION("""COMPUTED_VALUE"""),FALSE)</f>
        <v>0</v>
      </c>
      <c r="V674" s="42"/>
      <c r="W674" s="42"/>
      <c r="X674" s="42"/>
      <c r="Y674" s="42"/>
      <c r="Z674" s="42"/>
      <c r="AA674" s="42"/>
      <c r="AB674" s="42" t="str">
        <f>IFERROR(__xludf.DUMMYFUNCTION("""COMPUTED_VALUE"""),"allen institute")</f>
        <v>allen institute</v>
      </c>
      <c r="AC674" s="42" t="str">
        <f>IFERROR(__xludf.DUMMYFUNCTION("""COMPUTED_VALUE"""),"DHBA")</f>
        <v>DHBA</v>
      </c>
      <c r="AD674" s="42"/>
      <c r="AE674" s="42"/>
      <c r="AF674" s="9"/>
      <c r="AG674" s="9"/>
      <c r="AH674" s="42"/>
      <c r="AI674" s="42"/>
      <c r="AJ674" s="42"/>
      <c r="AK674" s="42"/>
      <c r="AL674" s="42"/>
      <c r="AM674" s="42"/>
      <c r="AN674" s="42"/>
      <c r="AO674" s="63" t="str">
        <f>IFERROR(__xludf.DUMMYFUNCTION("IF(ISBLANK(A674),,IF(ISBLANK(S674), A674&amp;"";"", TEXTJOIN(CHAR(10), TRUE, A674&amp;"";"", ARRAYFORMULA(VLOOKUP(SPLIT(S674, "";"" &amp; CHAR(10)), $A:$AO, 41, FALSE)))))"),"RMSv;
RMSvv;
RMSvg;
RMSvs;")</f>
        <v>RMSv;
RMSvv;
RMSvg;
RMSvs;</v>
      </c>
      <c r="AP674" s="89"/>
    </row>
    <row r="675">
      <c r="A675" s="151" t="str">
        <f>IFERROR(__xludf.DUMMYFUNCTION("""COMPUTED_VALUE"""),"RMSvv")</f>
        <v>RMSvv</v>
      </c>
      <c r="B675" s="42" t="str">
        <f>IFERROR(__xludf.DUMMYFUNCTION("""COMPUTED_VALUE"""),"DHBA")</f>
        <v>DHBA</v>
      </c>
      <c r="C675" s="42" t="str">
        <f>IFERROR(__xludf.DUMMYFUNCTION("""COMPUTED_VALUE"""),"VZ part of RMSv")</f>
        <v>VZ part of RMSv</v>
      </c>
      <c r="D675" s="42">
        <f>IFERROR(__xludf.DUMMYFUNCTION("""COMPUTED_VALUE"""),641.0)</f>
        <v>641</v>
      </c>
      <c r="E675" s="39" t="str">
        <f>IFERROR(__xludf.DUMMYFUNCTION("""COMPUTED_VALUE"""),"VZ part of RMSv")</f>
        <v>VZ part of RMSv</v>
      </c>
      <c r="F675" s="9" t="str">
        <f>IFERROR(__xludf.DUMMYFUNCTION("""COMPUTED_VALUE"""),"Br")</f>
        <v>Br</v>
      </c>
      <c r="G675" s="9" t="str">
        <f>IFERROR(__xludf.DUMMYFUNCTION("""COMPUTED_VALUE"""),"F")</f>
        <v>F</v>
      </c>
      <c r="H675" s="9" t="str">
        <f>IFERROR(__xludf.DUMMYFUNCTION("""COMPUTED_VALUE"""),"FGM")</f>
        <v>FGM</v>
      </c>
      <c r="I675" s="9" t="str">
        <f>IFERROR(__xludf.DUMMYFUNCTION("""COMPUTED_VALUE"""),"FTS")</f>
        <v>FTS</v>
      </c>
      <c r="J675" s="9" t="str">
        <f>IFERROR(__xludf.DUMMYFUNCTION("""COMPUTED_VALUE"""),"VZ")</f>
        <v>VZ</v>
      </c>
      <c r="K675" s="9" t="str">
        <f>IFERROR(__xludf.DUMMYFUNCTION("""COMPUTED_VALUE"""),"RMS")</f>
        <v>RMS</v>
      </c>
      <c r="L675" s="9" t="str">
        <f>IFERROR(__xludf.DUMMYFUNCTION("""COMPUTED_VALUE"""),"RMSv")</f>
        <v>RMSv</v>
      </c>
      <c r="M675" s="9" t="str">
        <f>IFERROR(__xludf.DUMMYFUNCTION("""COMPUTED_VALUE"""),"RMSvv")</f>
        <v>RMSvv</v>
      </c>
      <c r="N675" s="9"/>
      <c r="O675" s="9"/>
      <c r="P675" s="9"/>
      <c r="Q675" s="9"/>
      <c r="R675" s="9"/>
      <c r="S675" s="42"/>
      <c r="T675" s="42"/>
      <c r="U675" s="42"/>
      <c r="V675" s="42"/>
      <c r="W675" s="42"/>
      <c r="X675" s="42"/>
      <c r="Y675" s="42"/>
      <c r="Z675" s="42"/>
      <c r="AA675" s="42"/>
      <c r="AB675" s="42" t="str">
        <f>IFERROR(__xludf.DUMMYFUNCTION("""COMPUTED_VALUE"""),"allen institute")</f>
        <v>allen institute</v>
      </c>
      <c r="AC675" s="42" t="str">
        <f>IFERROR(__xludf.DUMMYFUNCTION("""COMPUTED_VALUE"""),"DHBA")</f>
        <v>DHBA</v>
      </c>
      <c r="AD675" s="42"/>
      <c r="AE675" s="42"/>
      <c r="AF675" s="9"/>
      <c r="AG675" s="9"/>
      <c r="AH675" s="42"/>
      <c r="AI675" s="42"/>
      <c r="AJ675" s="42"/>
      <c r="AK675" s="42"/>
      <c r="AL675" s="42"/>
      <c r="AM675" s="42"/>
      <c r="AN675" s="42"/>
      <c r="AO675" s="63" t="str">
        <f>IFERROR(__xludf.DUMMYFUNCTION("IF(ISBLANK(A675),,IF(ISBLANK(S675), A675&amp;"";"", TEXTJOIN(CHAR(10), TRUE, A675&amp;"";"", ARRAYFORMULA(VLOOKUP(SPLIT(S675, "";"" &amp; CHAR(10)), $A:$AO, 41, FALSE)))))"),"RMSvv;")</f>
        <v>RMSvv;</v>
      </c>
      <c r="AP675" s="89"/>
    </row>
    <row r="676">
      <c r="A676" s="151" t="str">
        <f>IFERROR(__xludf.DUMMYFUNCTION("""COMPUTED_VALUE"""),"RMSvg")</f>
        <v>RMSvg</v>
      </c>
      <c r="B676" s="42" t="str">
        <f>IFERROR(__xludf.DUMMYFUNCTION("""COMPUTED_VALUE"""),"DHBA")</f>
        <v>DHBA</v>
      </c>
      <c r="C676" s="42" t="str">
        <f>IFERROR(__xludf.DUMMYFUNCTION("""COMPUTED_VALUE"""),"GE part of RMSv")</f>
        <v>GE part of RMSv</v>
      </c>
      <c r="D676" s="42">
        <f>IFERROR(__xludf.DUMMYFUNCTION("""COMPUTED_VALUE"""),642.0)</f>
        <v>642</v>
      </c>
      <c r="E676" s="39" t="str">
        <f>IFERROR(__xludf.DUMMYFUNCTION("""COMPUTED_VALUE"""),"GE part of RMSv")</f>
        <v>GE part of RMSv</v>
      </c>
      <c r="F676" s="9" t="str">
        <f>IFERROR(__xludf.DUMMYFUNCTION("""COMPUTED_VALUE"""),"Br")</f>
        <v>Br</v>
      </c>
      <c r="G676" s="9" t="str">
        <f>IFERROR(__xludf.DUMMYFUNCTION("""COMPUTED_VALUE"""),"F")</f>
        <v>F</v>
      </c>
      <c r="H676" s="9" t="str">
        <f>IFERROR(__xludf.DUMMYFUNCTION("""COMPUTED_VALUE"""),"FGM")</f>
        <v>FGM</v>
      </c>
      <c r="I676" s="9" t="str">
        <f>IFERROR(__xludf.DUMMYFUNCTION("""COMPUTED_VALUE"""),"FTS")</f>
        <v>FTS</v>
      </c>
      <c r="J676" s="9" t="str">
        <f>IFERROR(__xludf.DUMMYFUNCTION("""COMPUTED_VALUE"""),"VZ")</f>
        <v>VZ</v>
      </c>
      <c r="K676" s="9" t="str">
        <f>IFERROR(__xludf.DUMMYFUNCTION("""COMPUTED_VALUE"""),"RMS")</f>
        <v>RMS</v>
      </c>
      <c r="L676" s="9" t="str">
        <f>IFERROR(__xludf.DUMMYFUNCTION("""COMPUTED_VALUE"""),"RMSv")</f>
        <v>RMSv</v>
      </c>
      <c r="M676" s="9" t="str">
        <f>IFERROR(__xludf.DUMMYFUNCTION("""COMPUTED_VALUE"""),"RMSvg")</f>
        <v>RMSvg</v>
      </c>
      <c r="N676" s="9"/>
      <c r="O676" s="9"/>
      <c r="P676" s="9"/>
      <c r="Q676" s="9"/>
      <c r="R676" s="9"/>
      <c r="S676" s="42"/>
      <c r="T676" s="42"/>
      <c r="U676" s="42"/>
      <c r="V676" s="42"/>
      <c r="W676" s="42"/>
      <c r="X676" s="42"/>
      <c r="Y676" s="42"/>
      <c r="Z676" s="42"/>
      <c r="AA676" s="42"/>
      <c r="AB676" s="42" t="str">
        <f>IFERROR(__xludf.DUMMYFUNCTION("""COMPUTED_VALUE"""),"allen institute")</f>
        <v>allen institute</v>
      </c>
      <c r="AC676" s="42" t="str">
        <f>IFERROR(__xludf.DUMMYFUNCTION("""COMPUTED_VALUE"""),"DHBA")</f>
        <v>DHBA</v>
      </c>
      <c r="AD676" s="42"/>
      <c r="AE676" s="42"/>
      <c r="AF676" s="9"/>
      <c r="AG676" s="9"/>
      <c r="AH676" s="42"/>
      <c r="AI676" s="42"/>
      <c r="AJ676" s="42"/>
      <c r="AK676" s="42"/>
      <c r="AL676" s="42"/>
      <c r="AM676" s="42"/>
      <c r="AN676" s="42"/>
      <c r="AO676" s="63" t="str">
        <f>IFERROR(__xludf.DUMMYFUNCTION("IF(ISBLANK(A676),,IF(ISBLANK(S676), A676&amp;"";"", TEXTJOIN(CHAR(10), TRUE, A676&amp;"";"", ARRAYFORMULA(VLOOKUP(SPLIT(S676, "";"" &amp; CHAR(10)), $A:$AO, 41, FALSE)))))"),"RMSvg;")</f>
        <v>RMSvg;</v>
      </c>
      <c r="AP676" s="89"/>
    </row>
    <row r="677">
      <c r="A677" s="151" t="str">
        <f>IFERROR(__xludf.DUMMYFUNCTION("""COMPUTED_VALUE"""),"RMSvs")</f>
        <v>RMSvs</v>
      </c>
      <c r="B677" s="42" t="str">
        <f>IFERROR(__xludf.DUMMYFUNCTION("""COMPUTED_VALUE"""),"DHBA")</f>
        <v>DHBA</v>
      </c>
      <c r="C677" s="42" t="str">
        <f>IFERROR(__xludf.DUMMYFUNCTION("""COMPUTED_VALUE"""),"SZ part of RMSv")</f>
        <v>SZ part of RMSv</v>
      </c>
      <c r="D677" s="42">
        <f>IFERROR(__xludf.DUMMYFUNCTION("""COMPUTED_VALUE"""),643.0)</f>
        <v>643</v>
      </c>
      <c r="E677" s="39" t="str">
        <f>IFERROR(__xludf.DUMMYFUNCTION("""COMPUTED_VALUE"""),"SZ part of RMSv")</f>
        <v>SZ part of RMSv</v>
      </c>
      <c r="F677" s="9" t="str">
        <f>IFERROR(__xludf.DUMMYFUNCTION("""COMPUTED_VALUE"""),"Br")</f>
        <v>Br</v>
      </c>
      <c r="G677" s="9" t="str">
        <f>IFERROR(__xludf.DUMMYFUNCTION("""COMPUTED_VALUE"""),"F")</f>
        <v>F</v>
      </c>
      <c r="H677" s="9" t="str">
        <f>IFERROR(__xludf.DUMMYFUNCTION("""COMPUTED_VALUE"""),"FGM")</f>
        <v>FGM</v>
      </c>
      <c r="I677" s="9" t="str">
        <f>IFERROR(__xludf.DUMMYFUNCTION("""COMPUTED_VALUE"""),"FTS")</f>
        <v>FTS</v>
      </c>
      <c r="J677" s="9" t="str">
        <f>IFERROR(__xludf.DUMMYFUNCTION("""COMPUTED_VALUE"""),"VZ")</f>
        <v>VZ</v>
      </c>
      <c r="K677" s="9" t="str">
        <f>IFERROR(__xludf.DUMMYFUNCTION("""COMPUTED_VALUE"""),"RMS")</f>
        <v>RMS</v>
      </c>
      <c r="L677" s="9" t="str">
        <f>IFERROR(__xludf.DUMMYFUNCTION("""COMPUTED_VALUE"""),"RMSv")</f>
        <v>RMSv</v>
      </c>
      <c r="M677" s="9" t="str">
        <f>IFERROR(__xludf.DUMMYFUNCTION("""COMPUTED_VALUE"""),"RMSvs")</f>
        <v>RMSvs</v>
      </c>
      <c r="N677" s="9"/>
      <c r="O677" s="9"/>
      <c r="P677" s="9"/>
      <c r="Q677" s="9"/>
      <c r="R677" s="9"/>
      <c r="S677" s="42"/>
      <c r="T677" s="42"/>
      <c r="U677" s="42"/>
      <c r="V677" s="42"/>
      <c r="W677" s="42"/>
      <c r="X677" s="42"/>
      <c r="Y677" s="42"/>
      <c r="Z677" s="42"/>
      <c r="AA677" s="42"/>
      <c r="AB677" s="42" t="str">
        <f>IFERROR(__xludf.DUMMYFUNCTION("""COMPUTED_VALUE"""),"allen institute")</f>
        <v>allen institute</v>
      </c>
      <c r="AC677" s="42" t="str">
        <f>IFERROR(__xludf.DUMMYFUNCTION("""COMPUTED_VALUE"""),"DHBA")</f>
        <v>DHBA</v>
      </c>
      <c r="AD677" s="42"/>
      <c r="AE677" s="42"/>
      <c r="AF677" s="9"/>
      <c r="AG677" s="9"/>
      <c r="AH677" s="42"/>
      <c r="AI677" s="42"/>
      <c r="AJ677" s="42"/>
      <c r="AK677" s="42"/>
      <c r="AL677" s="42"/>
      <c r="AM677" s="42"/>
      <c r="AN677" s="42"/>
      <c r="AO677" s="63" t="str">
        <f>IFERROR(__xludf.DUMMYFUNCTION("IF(ISBLANK(A677),,IF(ISBLANK(S677), A677&amp;"";"", TEXTJOIN(CHAR(10), TRUE, A677&amp;"";"", ARRAYFORMULA(VLOOKUP(SPLIT(S677, "";"" &amp; CHAR(10)), $A:$AO, 41, FALSE)))))"),"RMSvs;")</f>
        <v>RMSvs;</v>
      </c>
      <c r="AP677" s="89"/>
    </row>
    <row r="678">
      <c r="A678" s="151" t="str">
        <f>IFERROR(__xludf.DUMMYFUNCTION("""COMPUTED_VALUE"""),"RMSh")</f>
        <v>RMSh</v>
      </c>
      <c r="B678" s="42" t="str">
        <f>IFERROR(__xludf.DUMMYFUNCTION("""COMPUTED_VALUE"""),"DHBA")</f>
        <v>DHBA</v>
      </c>
      <c r="C678" s="42" t="str">
        <f>IFERROR(__xludf.DUMMYFUNCTION("""COMPUTED_VALUE"""),"horizontal portion of rostral migratory stream")</f>
        <v>horizontal portion of rostral migratory stream</v>
      </c>
      <c r="D678" s="42">
        <f>IFERROR(__xludf.DUMMYFUNCTION("""COMPUTED_VALUE"""),644.0)</f>
        <v>644</v>
      </c>
      <c r="E678" s="39" t="str">
        <f>IFERROR(__xludf.DUMMYFUNCTION("""COMPUTED_VALUE"""),"horizontal portion of rostral migratory stream")</f>
        <v>horizontal portion of rostral migratory stream</v>
      </c>
      <c r="F678" s="9" t="str">
        <f>IFERROR(__xludf.DUMMYFUNCTION("""COMPUTED_VALUE"""),"Br")</f>
        <v>Br</v>
      </c>
      <c r="G678" s="9" t="str">
        <f>IFERROR(__xludf.DUMMYFUNCTION("""COMPUTED_VALUE"""),"F")</f>
        <v>F</v>
      </c>
      <c r="H678" s="9" t="str">
        <f>IFERROR(__xludf.DUMMYFUNCTION("""COMPUTED_VALUE"""),"FGM")</f>
        <v>FGM</v>
      </c>
      <c r="I678" s="9" t="str">
        <f>IFERROR(__xludf.DUMMYFUNCTION("""COMPUTED_VALUE"""),"FTS")</f>
        <v>FTS</v>
      </c>
      <c r="J678" s="9" t="str">
        <f>IFERROR(__xludf.DUMMYFUNCTION("""COMPUTED_VALUE"""),"VZ")</f>
        <v>VZ</v>
      </c>
      <c r="K678" s="9" t="str">
        <f>IFERROR(__xludf.DUMMYFUNCTION("""COMPUTED_VALUE"""),"RMS")</f>
        <v>RMS</v>
      </c>
      <c r="L678" s="9" t="str">
        <f>IFERROR(__xludf.DUMMYFUNCTION("""COMPUTED_VALUE"""),"RMSh")</f>
        <v>RMSh</v>
      </c>
      <c r="M678" s="9"/>
      <c r="N678" s="9"/>
      <c r="O678" s="9"/>
      <c r="P678" s="9"/>
      <c r="Q678" s="9"/>
      <c r="R678" s="9"/>
      <c r="S678" s="42" t="str">
        <f>IFERROR(__xludf.DUMMYFUNCTION("""COMPUTED_VALUE"""),"RMShv;
RMShg;
RMShs")</f>
        <v>RMShv;
RMShg;
RMShs</v>
      </c>
      <c r="T678" s="42"/>
      <c r="U678" s="42" t="b">
        <f>IFERROR(__xludf.DUMMYFUNCTION("""COMPUTED_VALUE"""),FALSE)</f>
        <v>0</v>
      </c>
      <c r="V678" s="42"/>
      <c r="W678" s="42"/>
      <c r="X678" s="42"/>
      <c r="Y678" s="42"/>
      <c r="Z678" s="42"/>
      <c r="AA678" s="42"/>
      <c r="AB678" s="42" t="str">
        <f>IFERROR(__xludf.DUMMYFUNCTION("""COMPUTED_VALUE"""),"allen institute")</f>
        <v>allen institute</v>
      </c>
      <c r="AC678" s="42" t="str">
        <f>IFERROR(__xludf.DUMMYFUNCTION("""COMPUTED_VALUE"""),"DHBA")</f>
        <v>DHBA</v>
      </c>
      <c r="AD678" s="42"/>
      <c r="AE678" s="42"/>
      <c r="AF678" s="9"/>
      <c r="AG678" s="9"/>
      <c r="AH678" s="42"/>
      <c r="AI678" s="42"/>
      <c r="AJ678" s="42"/>
      <c r="AK678" s="42"/>
      <c r="AL678" s="42"/>
      <c r="AM678" s="42"/>
      <c r="AN678" s="42"/>
      <c r="AO678" s="63" t="str">
        <f>IFERROR(__xludf.DUMMYFUNCTION("IF(ISBLANK(A678),,IF(ISBLANK(S678), A678&amp;"";"", TEXTJOIN(CHAR(10), TRUE, A678&amp;"";"", ARRAYFORMULA(VLOOKUP(SPLIT(S678, "";"" &amp; CHAR(10)), $A:$AO, 41, FALSE)))))"),"RMSh;
RMShv;
RMShg;
RMShs;")</f>
        <v>RMSh;
RMShv;
RMShg;
RMShs;</v>
      </c>
      <c r="AP678" s="89"/>
    </row>
    <row r="679">
      <c r="A679" s="151" t="str">
        <f>IFERROR(__xludf.DUMMYFUNCTION("""COMPUTED_VALUE"""),"RMShv")</f>
        <v>RMShv</v>
      </c>
      <c r="B679" s="42" t="str">
        <f>IFERROR(__xludf.DUMMYFUNCTION("""COMPUTED_VALUE"""),"DHBA")</f>
        <v>DHBA</v>
      </c>
      <c r="C679" s="42" t="str">
        <f>IFERROR(__xludf.DUMMYFUNCTION("""COMPUTED_VALUE"""),"VZ part of RMSh")</f>
        <v>VZ part of RMSh</v>
      </c>
      <c r="D679" s="42">
        <f>IFERROR(__xludf.DUMMYFUNCTION("""COMPUTED_VALUE"""),645.0)</f>
        <v>645</v>
      </c>
      <c r="E679" s="39" t="str">
        <f>IFERROR(__xludf.DUMMYFUNCTION("""COMPUTED_VALUE"""),"VZ part of RMSh")</f>
        <v>VZ part of RMSh</v>
      </c>
      <c r="F679" s="9" t="str">
        <f>IFERROR(__xludf.DUMMYFUNCTION("""COMPUTED_VALUE"""),"Br")</f>
        <v>Br</v>
      </c>
      <c r="G679" s="9" t="str">
        <f>IFERROR(__xludf.DUMMYFUNCTION("""COMPUTED_VALUE"""),"F")</f>
        <v>F</v>
      </c>
      <c r="H679" s="9" t="str">
        <f>IFERROR(__xludf.DUMMYFUNCTION("""COMPUTED_VALUE"""),"FGM")</f>
        <v>FGM</v>
      </c>
      <c r="I679" s="9" t="str">
        <f>IFERROR(__xludf.DUMMYFUNCTION("""COMPUTED_VALUE"""),"FTS")</f>
        <v>FTS</v>
      </c>
      <c r="J679" s="9" t="str">
        <f>IFERROR(__xludf.DUMMYFUNCTION("""COMPUTED_VALUE"""),"VZ")</f>
        <v>VZ</v>
      </c>
      <c r="K679" s="9" t="str">
        <f>IFERROR(__xludf.DUMMYFUNCTION("""COMPUTED_VALUE"""),"RMS")</f>
        <v>RMS</v>
      </c>
      <c r="L679" s="9" t="str">
        <f>IFERROR(__xludf.DUMMYFUNCTION("""COMPUTED_VALUE"""),"RMSh")</f>
        <v>RMSh</v>
      </c>
      <c r="M679" s="9" t="str">
        <f>IFERROR(__xludf.DUMMYFUNCTION("""COMPUTED_VALUE"""),"RMShv")</f>
        <v>RMShv</v>
      </c>
      <c r="N679" s="9"/>
      <c r="O679" s="9"/>
      <c r="P679" s="9"/>
      <c r="Q679" s="9"/>
      <c r="R679" s="9"/>
      <c r="S679" s="42"/>
      <c r="T679" s="42"/>
      <c r="U679" s="42"/>
      <c r="V679" s="42"/>
      <c r="W679" s="42"/>
      <c r="X679" s="42"/>
      <c r="Y679" s="42"/>
      <c r="Z679" s="42"/>
      <c r="AA679" s="42"/>
      <c r="AB679" s="42" t="str">
        <f>IFERROR(__xludf.DUMMYFUNCTION("""COMPUTED_VALUE"""),"allen institute")</f>
        <v>allen institute</v>
      </c>
      <c r="AC679" s="42" t="str">
        <f>IFERROR(__xludf.DUMMYFUNCTION("""COMPUTED_VALUE"""),"DHBA")</f>
        <v>DHBA</v>
      </c>
      <c r="AD679" s="42"/>
      <c r="AE679" s="42"/>
      <c r="AF679" s="9"/>
      <c r="AG679" s="9"/>
      <c r="AH679" s="42"/>
      <c r="AI679" s="42"/>
      <c r="AJ679" s="42"/>
      <c r="AK679" s="42"/>
      <c r="AL679" s="42"/>
      <c r="AM679" s="42"/>
      <c r="AN679" s="42"/>
      <c r="AO679" s="63" t="str">
        <f>IFERROR(__xludf.DUMMYFUNCTION("IF(ISBLANK(A679),,IF(ISBLANK(S679), A679&amp;"";"", TEXTJOIN(CHAR(10), TRUE, A679&amp;"";"", ARRAYFORMULA(VLOOKUP(SPLIT(S679, "";"" &amp; CHAR(10)), $A:$AO, 41, FALSE)))))"),"RMShv;")</f>
        <v>RMShv;</v>
      </c>
      <c r="AP679" s="89"/>
    </row>
    <row r="680">
      <c r="A680" s="151" t="str">
        <f>IFERROR(__xludf.DUMMYFUNCTION("""COMPUTED_VALUE"""),"RMShg")</f>
        <v>RMShg</v>
      </c>
      <c r="B680" s="42" t="str">
        <f>IFERROR(__xludf.DUMMYFUNCTION("""COMPUTED_VALUE"""),"DHBA")</f>
        <v>DHBA</v>
      </c>
      <c r="C680" s="42" t="str">
        <f>IFERROR(__xludf.DUMMYFUNCTION("""COMPUTED_VALUE"""),"GE part of RMSh")</f>
        <v>GE part of RMSh</v>
      </c>
      <c r="D680" s="42">
        <f>IFERROR(__xludf.DUMMYFUNCTION("""COMPUTED_VALUE"""),646.0)</f>
        <v>646</v>
      </c>
      <c r="E680" s="39" t="str">
        <f>IFERROR(__xludf.DUMMYFUNCTION("""COMPUTED_VALUE"""),"GE part of RMSh")</f>
        <v>GE part of RMSh</v>
      </c>
      <c r="F680" s="9" t="str">
        <f>IFERROR(__xludf.DUMMYFUNCTION("""COMPUTED_VALUE"""),"Br")</f>
        <v>Br</v>
      </c>
      <c r="G680" s="9" t="str">
        <f>IFERROR(__xludf.DUMMYFUNCTION("""COMPUTED_VALUE"""),"F")</f>
        <v>F</v>
      </c>
      <c r="H680" s="9" t="str">
        <f>IFERROR(__xludf.DUMMYFUNCTION("""COMPUTED_VALUE"""),"FGM")</f>
        <v>FGM</v>
      </c>
      <c r="I680" s="9" t="str">
        <f>IFERROR(__xludf.DUMMYFUNCTION("""COMPUTED_VALUE"""),"FTS")</f>
        <v>FTS</v>
      </c>
      <c r="J680" s="9" t="str">
        <f>IFERROR(__xludf.DUMMYFUNCTION("""COMPUTED_VALUE"""),"VZ")</f>
        <v>VZ</v>
      </c>
      <c r="K680" s="9" t="str">
        <f>IFERROR(__xludf.DUMMYFUNCTION("""COMPUTED_VALUE"""),"RMS")</f>
        <v>RMS</v>
      </c>
      <c r="L680" s="9" t="str">
        <f>IFERROR(__xludf.DUMMYFUNCTION("""COMPUTED_VALUE"""),"RMSh")</f>
        <v>RMSh</v>
      </c>
      <c r="M680" s="9" t="str">
        <f>IFERROR(__xludf.DUMMYFUNCTION("""COMPUTED_VALUE"""),"RMShg")</f>
        <v>RMShg</v>
      </c>
      <c r="N680" s="9"/>
      <c r="O680" s="9"/>
      <c r="P680" s="9"/>
      <c r="Q680" s="9"/>
      <c r="R680" s="9"/>
      <c r="S680" s="42"/>
      <c r="T680" s="42"/>
      <c r="U680" s="42"/>
      <c r="V680" s="42"/>
      <c r="W680" s="42"/>
      <c r="X680" s="42"/>
      <c r="Y680" s="42"/>
      <c r="Z680" s="42"/>
      <c r="AA680" s="42"/>
      <c r="AB680" s="42" t="str">
        <f>IFERROR(__xludf.DUMMYFUNCTION("""COMPUTED_VALUE"""),"allen institute")</f>
        <v>allen institute</v>
      </c>
      <c r="AC680" s="42" t="str">
        <f>IFERROR(__xludf.DUMMYFUNCTION("""COMPUTED_VALUE"""),"DHBA")</f>
        <v>DHBA</v>
      </c>
      <c r="AD680" s="42"/>
      <c r="AE680" s="42"/>
      <c r="AF680" s="9"/>
      <c r="AG680" s="9"/>
      <c r="AH680" s="42"/>
      <c r="AI680" s="42"/>
      <c r="AJ680" s="42"/>
      <c r="AK680" s="42"/>
      <c r="AL680" s="42"/>
      <c r="AM680" s="42"/>
      <c r="AN680" s="42"/>
      <c r="AO680" s="63" t="str">
        <f>IFERROR(__xludf.DUMMYFUNCTION("IF(ISBLANK(A680),,IF(ISBLANK(S680), A680&amp;"";"", TEXTJOIN(CHAR(10), TRUE, A680&amp;"";"", ARRAYFORMULA(VLOOKUP(SPLIT(S680, "";"" &amp; CHAR(10)), $A:$AO, 41, FALSE)))))"),"RMShg;")</f>
        <v>RMShg;</v>
      </c>
      <c r="AP680" s="89"/>
    </row>
    <row r="681">
      <c r="A681" s="151" t="str">
        <f>IFERROR(__xludf.DUMMYFUNCTION("""COMPUTED_VALUE"""),"RMShs")</f>
        <v>RMShs</v>
      </c>
      <c r="B681" s="42" t="str">
        <f>IFERROR(__xludf.DUMMYFUNCTION("""COMPUTED_VALUE"""),"DHBA")</f>
        <v>DHBA</v>
      </c>
      <c r="C681" s="42" t="str">
        <f>IFERROR(__xludf.DUMMYFUNCTION("""COMPUTED_VALUE"""),"SZ part of RMSh")</f>
        <v>SZ part of RMSh</v>
      </c>
      <c r="D681" s="42">
        <f>IFERROR(__xludf.DUMMYFUNCTION("""COMPUTED_VALUE"""),647.0)</f>
        <v>647</v>
      </c>
      <c r="E681" s="39" t="str">
        <f>IFERROR(__xludf.DUMMYFUNCTION("""COMPUTED_VALUE"""),"SZ part of RMSh")</f>
        <v>SZ part of RMSh</v>
      </c>
      <c r="F681" s="9" t="str">
        <f>IFERROR(__xludf.DUMMYFUNCTION("""COMPUTED_VALUE"""),"Br")</f>
        <v>Br</v>
      </c>
      <c r="G681" s="9" t="str">
        <f>IFERROR(__xludf.DUMMYFUNCTION("""COMPUTED_VALUE"""),"F")</f>
        <v>F</v>
      </c>
      <c r="H681" s="9" t="str">
        <f>IFERROR(__xludf.DUMMYFUNCTION("""COMPUTED_VALUE"""),"FGM")</f>
        <v>FGM</v>
      </c>
      <c r="I681" s="9" t="str">
        <f>IFERROR(__xludf.DUMMYFUNCTION("""COMPUTED_VALUE"""),"FTS")</f>
        <v>FTS</v>
      </c>
      <c r="J681" s="9" t="str">
        <f>IFERROR(__xludf.DUMMYFUNCTION("""COMPUTED_VALUE"""),"VZ")</f>
        <v>VZ</v>
      </c>
      <c r="K681" s="9" t="str">
        <f>IFERROR(__xludf.DUMMYFUNCTION("""COMPUTED_VALUE"""),"RMS")</f>
        <v>RMS</v>
      </c>
      <c r="L681" s="9" t="str">
        <f>IFERROR(__xludf.DUMMYFUNCTION("""COMPUTED_VALUE"""),"RMSh")</f>
        <v>RMSh</v>
      </c>
      <c r="M681" s="9" t="str">
        <f>IFERROR(__xludf.DUMMYFUNCTION("""COMPUTED_VALUE"""),"RMShs")</f>
        <v>RMShs</v>
      </c>
      <c r="N681" s="9"/>
      <c r="O681" s="9"/>
      <c r="P681" s="9"/>
      <c r="Q681" s="9"/>
      <c r="R681" s="9"/>
      <c r="S681" s="42"/>
      <c r="T681" s="42"/>
      <c r="U681" s="42"/>
      <c r="V681" s="42"/>
      <c r="W681" s="42"/>
      <c r="X681" s="42"/>
      <c r="Y681" s="42"/>
      <c r="Z681" s="42"/>
      <c r="AA681" s="42"/>
      <c r="AB681" s="42" t="str">
        <f>IFERROR(__xludf.DUMMYFUNCTION("""COMPUTED_VALUE"""),"allen institute")</f>
        <v>allen institute</v>
      </c>
      <c r="AC681" s="42" t="str">
        <f>IFERROR(__xludf.DUMMYFUNCTION("""COMPUTED_VALUE"""),"DHBA")</f>
        <v>DHBA</v>
      </c>
      <c r="AD681" s="42"/>
      <c r="AE681" s="42"/>
      <c r="AF681" s="9"/>
      <c r="AG681" s="9"/>
      <c r="AH681" s="42"/>
      <c r="AI681" s="42"/>
      <c r="AJ681" s="42"/>
      <c r="AK681" s="42"/>
      <c r="AL681" s="42"/>
      <c r="AM681" s="42"/>
      <c r="AN681" s="42"/>
      <c r="AO681" s="63" t="str">
        <f>IFERROR(__xludf.DUMMYFUNCTION("IF(ISBLANK(A681),,IF(ISBLANK(S681), A681&amp;"";"", TEXTJOIN(CHAR(10), TRUE, A681&amp;"";"", ARRAYFORMULA(VLOOKUP(SPLIT(S681, "";"" &amp; CHAR(10)), $A:$AO, 41, FALSE)))))"),"RMShs;")</f>
        <v>RMShs;</v>
      </c>
      <c r="AP681" s="89"/>
    </row>
    <row r="682">
      <c r="A682" s="151" t="str">
        <f>IFERROR(__xludf.DUMMYFUNCTION("""COMPUTED_VALUE"""),"CalS")</f>
        <v>CalS</v>
      </c>
      <c r="B682" s="42" t="str">
        <f>IFERROR(__xludf.DUMMYFUNCTION("""COMPUTED_VALUE"""),"DHBA")</f>
        <v>DHBA</v>
      </c>
      <c r="C682" s="42" t="str">
        <f>IFERROR(__xludf.DUMMYFUNCTION("""COMPUTED_VALUE"""),"callosal sling")</f>
        <v>callosal sling</v>
      </c>
      <c r="D682" s="42">
        <f>IFERROR(__xludf.DUMMYFUNCTION("""COMPUTED_VALUE"""),648.0)</f>
        <v>648</v>
      </c>
      <c r="E682" s="39" t="str">
        <f>IFERROR(__xludf.DUMMYFUNCTION("""COMPUTED_VALUE"""),"callosal sling")</f>
        <v>callosal sling</v>
      </c>
      <c r="F682" s="9" t="str">
        <f>IFERROR(__xludf.DUMMYFUNCTION("""COMPUTED_VALUE"""),"Br")</f>
        <v>Br</v>
      </c>
      <c r="G682" s="9" t="str">
        <f>IFERROR(__xludf.DUMMYFUNCTION("""COMPUTED_VALUE"""),"F")</f>
        <v>F</v>
      </c>
      <c r="H682" s="9" t="str">
        <f>IFERROR(__xludf.DUMMYFUNCTION("""COMPUTED_VALUE"""),"FGM")</f>
        <v>FGM</v>
      </c>
      <c r="I682" s="9" t="str">
        <f>IFERROR(__xludf.DUMMYFUNCTION("""COMPUTED_VALUE"""),"FTS")</f>
        <v>FTS</v>
      </c>
      <c r="J682" s="9" t="str">
        <f>IFERROR(__xludf.DUMMYFUNCTION("""COMPUTED_VALUE"""),"CalS")</f>
        <v>CalS</v>
      </c>
      <c r="K682" s="9"/>
      <c r="L682" s="9"/>
      <c r="M682" s="9"/>
      <c r="N682" s="9"/>
      <c r="O682" s="9"/>
      <c r="P682" s="9"/>
      <c r="Q682" s="9"/>
      <c r="R682" s="9"/>
      <c r="S682" s="42"/>
      <c r="T682" s="42" t="str">
        <f>IFERROR(__xludf.DUMMYFUNCTION("""COMPUTED_VALUE"""),"sulcus")</f>
        <v>sulcus</v>
      </c>
      <c r="U682" s="159" t="b">
        <f>IFERROR(__xludf.DUMMYFUNCTION("""COMPUTED_VALUE"""),FALSE)</f>
        <v>0</v>
      </c>
      <c r="V682" s="42"/>
      <c r="W682" s="42"/>
      <c r="X682" s="42"/>
      <c r="Y682" s="42"/>
      <c r="Z682" s="42"/>
      <c r="AA682" s="42"/>
      <c r="AB682" s="42" t="str">
        <f>IFERROR(__xludf.DUMMYFUNCTION("""COMPUTED_VALUE"""),"allen institute")</f>
        <v>allen institute</v>
      </c>
      <c r="AC682" s="42" t="str">
        <f>IFERROR(__xludf.DUMMYFUNCTION("""COMPUTED_VALUE"""),"DHBA")</f>
        <v>DHBA</v>
      </c>
      <c r="AD682" s="42"/>
      <c r="AE682" s="42"/>
      <c r="AF682" s="9"/>
      <c r="AG682" s="9"/>
      <c r="AH682" s="42"/>
      <c r="AI682" s="42"/>
      <c r="AJ682" s="42"/>
      <c r="AK682" s="42"/>
      <c r="AL682" s="42"/>
      <c r="AM682" s="42"/>
      <c r="AN682" s="42"/>
      <c r="AO682" s="63" t="str">
        <f>IFERROR(__xludf.DUMMYFUNCTION("IF(ISBLANK(A682),,IF(ISBLANK(S682), A682&amp;"";"", TEXTJOIN(CHAR(10), TRUE, A682&amp;"";"", ARRAYFORMULA(VLOOKUP(SPLIT(S682, "";"" &amp; CHAR(10)), $A:$AO, 41, FALSE)))))"),"CalS;")</f>
        <v>CalS;</v>
      </c>
      <c r="AP682" s="89"/>
    </row>
    <row r="683">
      <c r="A683" s="151" t="str">
        <f>IFERROR(__xludf.DUMMYFUNCTION("""COMPUTED_VALUE"""),"DHTC")</f>
        <v>DHTC</v>
      </c>
      <c r="B683" s="42" t="str">
        <f>IFERROR(__xludf.DUMMYFUNCTION("""COMPUTED_VALUE"""),"DHBA")</f>
        <v>DHBA</v>
      </c>
      <c r="C683" s="42" t="str">
        <f>IFERROR(__xludf.DUMMYFUNCTION("""COMPUTED_VALUE"""),"dentatohippocampal transient cell zone")</f>
        <v>dentatohippocampal transient cell zone</v>
      </c>
      <c r="D683" s="42">
        <f>IFERROR(__xludf.DUMMYFUNCTION("""COMPUTED_VALUE"""),649.0)</f>
        <v>649</v>
      </c>
      <c r="E683" s="39" t="str">
        <f>IFERROR(__xludf.DUMMYFUNCTION("""COMPUTED_VALUE"""),"dentatohippocampal transient cell zone")</f>
        <v>dentatohippocampal transient cell zone</v>
      </c>
      <c r="F683" s="9" t="str">
        <f>IFERROR(__xludf.DUMMYFUNCTION("""COMPUTED_VALUE"""),"Br")</f>
        <v>Br</v>
      </c>
      <c r="G683" s="9" t="str">
        <f>IFERROR(__xludf.DUMMYFUNCTION("""COMPUTED_VALUE"""),"F")</f>
        <v>F</v>
      </c>
      <c r="H683" s="9" t="str">
        <f>IFERROR(__xludf.DUMMYFUNCTION("""COMPUTED_VALUE"""),"FGM")</f>
        <v>FGM</v>
      </c>
      <c r="I683" s="9" t="str">
        <f>IFERROR(__xludf.DUMMYFUNCTION("""COMPUTED_VALUE"""),"FTS")</f>
        <v>FTS</v>
      </c>
      <c r="J683" s="9" t="str">
        <f>IFERROR(__xludf.DUMMYFUNCTION("""COMPUTED_VALUE"""),"DHTC")</f>
        <v>DHTC</v>
      </c>
      <c r="K683" s="9"/>
      <c r="L683" s="9"/>
      <c r="M683" s="9"/>
      <c r="N683" s="9"/>
      <c r="O683" s="9"/>
      <c r="P683" s="9"/>
      <c r="Q683" s="9"/>
      <c r="R683" s="9"/>
      <c r="S683" s="42"/>
      <c r="T683" s="42"/>
      <c r="U683" s="42"/>
      <c r="V683" s="42"/>
      <c r="W683" s="42"/>
      <c r="X683" s="42"/>
      <c r="Y683" s="42"/>
      <c r="Z683" s="42"/>
      <c r="AA683" s="42"/>
      <c r="AB683" s="42" t="str">
        <f>IFERROR(__xludf.DUMMYFUNCTION("""COMPUTED_VALUE"""),"allen institute")</f>
        <v>allen institute</v>
      </c>
      <c r="AC683" s="42" t="str">
        <f>IFERROR(__xludf.DUMMYFUNCTION("""COMPUTED_VALUE"""),"DHBA")</f>
        <v>DHBA</v>
      </c>
      <c r="AD683" s="42"/>
      <c r="AE683" s="42"/>
      <c r="AF683" s="9"/>
      <c r="AG683" s="9"/>
      <c r="AH683" s="42"/>
      <c r="AI683" s="42"/>
      <c r="AJ683" s="42"/>
      <c r="AK683" s="42"/>
      <c r="AL683" s="42"/>
      <c r="AM683" s="42"/>
      <c r="AN683" s="42"/>
      <c r="AO683" s="63" t="str">
        <f>IFERROR(__xludf.DUMMYFUNCTION("IF(ISBLANK(A683),,IF(ISBLANK(S683), A683&amp;"";"", TEXTJOIN(CHAR(10), TRUE, A683&amp;"";"", ARRAYFORMULA(VLOOKUP(SPLIT(S683, "";"" &amp; CHAR(10)), $A:$AO, 41, FALSE)))))"),"DHTC;")</f>
        <v>DHTC;</v>
      </c>
      <c r="AP683" s="89"/>
    </row>
    <row r="684">
      <c r="A684" s="151" t="str">
        <f>IFERROR(__xludf.DUMMYFUNCTION("""COMPUTED_VALUE"""),"IPTC")</f>
        <v>IPTC</v>
      </c>
      <c r="B684" s="42" t="str">
        <f>IFERROR(__xludf.DUMMYFUNCTION("""COMPUTED_VALUE"""),"DHBA")</f>
        <v>DHBA</v>
      </c>
      <c r="C684" s="42" t="str">
        <f>IFERROR(__xludf.DUMMYFUNCTION("""COMPUTED_VALUE"""),"interpallidal transient cell zone")</f>
        <v>interpallidal transient cell zone</v>
      </c>
      <c r="D684" s="42">
        <f>IFERROR(__xludf.DUMMYFUNCTION("""COMPUTED_VALUE"""),650.0)</f>
        <v>650</v>
      </c>
      <c r="E684" s="39" t="str">
        <f>IFERROR(__xludf.DUMMYFUNCTION("""COMPUTED_VALUE"""),"interpallidal transient cell zone")</f>
        <v>interpallidal transient cell zone</v>
      </c>
      <c r="F684" s="9" t="str">
        <f>IFERROR(__xludf.DUMMYFUNCTION("""COMPUTED_VALUE"""),"Br")</f>
        <v>Br</v>
      </c>
      <c r="G684" s="9" t="str">
        <f>IFERROR(__xludf.DUMMYFUNCTION("""COMPUTED_VALUE"""),"F")</f>
        <v>F</v>
      </c>
      <c r="H684" s="9" t="str">
        <f>IFERROR(__xludf.DUMMYFUNCTION("""COMPUTED_VALUE"""),"FGM")</f>
        <v>FGM</v>
      </c>
      <c r="I684" s="9" t="str">
        <f>IFERROR(__xludf.DUMMYFUNCTION("""COMPUTED_VALUE"""),"FTS")</f>
        <v>FTS</v>
      </c>
      <c r="J684" s="9" t="str">
        <f>IFERROR(__xludf.DUMMYFUNCTION("""COMPUTED_VALUE"""),"IPTC")</f>
        <v>IPTC</v>
      </c>
      <c r="K684" s="9"/>
      <c r="L684" s="9"/>
      <c r="M684" s="9"/>
      <c r="N684" s="9"/>
      <c r="O684" s="9"/>
      <c r="P684" s="9"/>
      <c r="Q684" s="9"/>
      <c r="R684" s="9"/>
      <c r="S684" s="42"/>
      <c r="T684" s="42"/>
      <c r="U684" s="42"/>
      <c r="V684" s="42"/>
      <c r="W684" s="42"/>
      <c r="X684" s="42"/>
      <c r="Y684" s="42"/>
      <c r="Z684" s="42"/>
      <c r="AA684" s="42"/>
      <c r="AB684" s="42" t="str">
        <f>IFERROR(__xludf.DUMMYFUNCTION("""COMPUTED_VALUE"""),"allen institute")</f>
        <v>allen institute</v>
      </c>
      <c r="AC684" s="42" t="str">
        <f>IFERROR(__xludf.DUMMYFUNCTION("""COMPUTED_VALUE"""),"DHBA")</f>
        <v>DHBA</v>
      </c>
      <c r="AD684" s="42"/>
      <c r="AE684" s="42"/>
      <c r="AF684" s="9"/>
      <c r="AG684" s="9"/>
      <c r="AH684" s="42"/>
      <c r="AI684" s="42"/>
      <c r="AJ684" s="42"/>
      <c r="AK684" s="42"/>
      <c r="AL684" s="42"/>
      <c r="AM684" s="42"/>
      <c r="AN684" s="42"/>
      <c r="AO684" s="63" t="str">
        <f>IFERROR(__xludf.DUMMYFUNCTION("IF(ISBLANK(A684),,IF(ISBLANK(S684), A684&amp;"";"", TEXTJOIN(CHAR(10), TRUE, A684&amp;"";"", ARRAYFORMULA(VLOOKUP(SPLIT(S684, "";"" &amp; CHAR(10)), $A:$AO, 41, FALSE)))))"),"IPTC;")</f>
        <v>IPTC;</v>
      </c>
      <c r="AP684" s="89"/>
    </row>
    <row r="685">
      <c r="A685" s="151" t="str">
        <f>IFERROR(__xludf.DUMMYFUNCTION("""COMPUTED_VALUE"""),"OlfP")</f>
        <v>OlfP</v>
      </c>
      <c r="B685" s="42" t="str">
        <f>IFERROR(__xludf.DUMMYFUNCTION("""COMPUTED_VALUE"""),"DHBA")</f>
        <v>DHBA</v>
      </c>
      <c r="C685" s="42" t="str">
        <f>IFERROR(__xludf.DUMMYFUNCTION("""COMPUTED_VALUE"""),"olfactory peduncle")</f>
        <v>olfactory peduncle</v>
      </c>
      <c r="D685" s="42">
        <f>IFERROR(__xludf.DUMMYFUNCTION("""COMPUTED_VALUE"""),651.0)</f>
        <v>651</v>
      </c>
      <c r="E685" s="39" t="str">
        <f>IFERROR(__xludf.DUMMYFUNCTION("""COMPUTED_VALUE"""),"olfactory peduncle")</f>
        <v>olfactory peduncle</v>
      </c>
      <c r="F685" s="9" t="str">
        <f>IFERROR(__xludf.DUMMYFUNCTION("""COMPUTED_VALUE"""),"Br")</f>
        <v>Br</v>
      </c>
      <c r="G685" s="9" t="str">
        <f>IFERROR(__xludf.DUMMYFUNCTION("""COMPUTED_VALUE"""),"F")</f>
        <v>F</v>
      </c>
      <c r="H685" s="9" t="str">
        <f>IFERROR(__xludf.DUMMYFUNCTION("""COMPUTED_VALUE"""),"FGM")</f>
        <v>FGM</v>
      </c>
      <c r="I685" s="9" t="str">
        <f>IFERROR(__xludf.DUMMYFUNCTION("""COMPUTED_VALUE"""),"FTS")</f>
        <v>FTS</v>
      </c>
      <c r="J685" s="9" t="str">
        <f>IFERROR(__xludf.DUMMYFUNCTION("""COMPUTED_VALUE"""),"OlfP")</f>
        <v>OlfP</v>
      </c>
      <c r="K685" s="9"/>
      <c r="L685" s="9"/>
      <c r="M685" s="9"/>
      <c r="N685" s="9"/>
      <c r="O685" s="9"/>
      <c r="P685" s="9"/>
      <c r="Q685" s="9"/>
      <c r="R685" s="9"/>
      <c r="S685" s="42"/>
      <c r="T685" s="42"/>
      <c r="U685" s="42"/>
      <c r="V685" s="42"/>
      <c r="W685" s="42"/>
      <c r="X685" s="42"/>
      <c r="Y685" s="42"/>
      <c r="Z685" s="42"/>
      <c r="AA685" s="42"/>
      <c r="AB685" s="42" t="str">
        <f>IFERROR(__xludf.DUMMYFUNCTION("""COMPUTED_VALUE"""),"allen institute")</f>
        <v>allen institute</v>
      </c>
      <c r="AC685" s="42" t="str">
        <f>IFERROR(__xludf.DUMMYFUNCTION("""COMPUTED_VALUE"""),"DHBA")</f>
        <v>DHBA</v>
      </c>
      <c r="AD685" s="42"/>
      <c r="AE685" s="42"/>
      <c r="AF685" s="9"/>
      <c r="AG685" s="9"/>
      <c r="AH685" s="42"/>
      <c r="AI685" s="42"/>
      <c r="AJ685" s="42"/>
      <c r="AK685" s="42"/>
      <c r="AL685" s="42"/>
      <c r="AM685" s="42"/>
      <c r="AN685" s="42"/>
      <c r="AO685" s="63" t="str">
        <f>IFERROR(__xludf.DUMMYFUNCTION("IF(ISBLANK(A685),,IF(ISBLANK(S685), A685&amp;"";"", TEXTJOIN(CHAR(10), TRUE, A685&amp;"";"", ARRAYFORMULA(VLOOKUP(SPLIT(S685, "";"" &amp; CHAR(10)), $A:$AO, 41, FALSE)))))"),"OlfP;")</f>
        <v>OlfP;</v>
      </c>
      <c r="AP685" s="89"/>
    </row>
    <row r="686">
      <c r="A686" s="151" t="str">
        <f>IFERROR(__xludf.DUMMYFUNCTION("""COMPUTED_VALUE"""),"PFG")</f>
        <v>PFG</v>
      </c>
      <c r="B686" s="42" t="str">
        <f>IFERROR(__xludf.DUMMYFUNCTION("""COMPUTED_VALUE"""),"DHBA")</f>
        <v>DHBA</v>
      </c>
      <c r="C686" s="42" t="str">
        <f>IFERROR(__xludf.DUMMYFUNCTION("""COMPUTED_VALUE"""),"perifornical gray zone")</f>
        <v>perifornical gray zone</v>
      </c>
      <c r="D686" s="42">
        <f>IFERROR(__xludf.DUMMYFUNCTION("""COMPUTED_VALUE"""),652.0)</f>
        <v>652</v>
      </c>
      <c r="E686" s="39" t="str">
        <f>IFERROR(__xludf.DUMMYFUNCTION("""COMPUTED_VALUE"""),"perifornical gray zone")</f>
        <v>perifornical gray zone</v>
      </c>
      <c r="F686" s="9" t="str">
        <f>IFERROR(__xludf.DUMMYFUNCTION("""COMPUTED_VALUE"""),"Br")</f>
        <v>Br</v>
      </c>
      <c r="G686" s="9" t="str">
        <f>IFERROR(__xludf.DUMMYFUNCTION("""COMPUTED_VALUE"""),"F")</f>
        <v>F</v>
      </c>
      <c r="H686" s="9" t="str">
        <f>IFERROR(__xludf.DUMMYFUNCTION("""COMPUTED_VALUE"""),"FGM")</f>
        <v>FGM</v>
      </c>
      <c r="I686" s="9" t="str">
        <f>IFERROR(__xludf.DUMMYFUNCTION("""COMPUTED_VALUE"""),"FTS")</f>
        <v>FTS</v>
      </c>
      <c r="J686" s="9" t="str">
        <f>IFERROR(__xludf.DUMMYFUNCTION("""COMPUTED_VALUE"""),"PFG")</f>
        <v>PFG</v>
      </c>
      <c r="K686" s="9"/>
      <c r="L686" s="9"/>
      <c r="M686" s="9"/>
      <c r="N686" s="9"/>
      <c r="O686" s="9"/>
      <c r="P686" s="9"/>
      <c r="Q686" s="9"/>
      <c r="R686" s="9"/>
      <c r="S686" s="42"/>
      <c r="T686" s="42"/>
      <c r="U686" s="159"/>
      <c r="V686" s="42"/>
      <c r="W686" s="42"/>
      <c r="X686" s="42"/>
      <c r="Y686" s="42"/>
      <c r="Z686" s="42"/>
      <c r="AA686" s="42"/>
      <c r="AB686" s="42" t="str">
        <f>IFERROR(__xludf.DUMMYFUNCTION("""COMPUTED_VALUE"""),"allen institute")</f>
        <v>allen institute</v>
      </c>
      <c r="AC686" s="42" t="str">
        <f>IFERROR(__xludf.DUMMYFUNCTION("""COMPUTED_VALUE"""),"DHBA")</f>
        <v>DHBA</v>
      </c>
      <c r="AD686" s="42"/>
      <c r="AE686" s="42"/>
      <c r="AF686" s="9"/>
      <c r="AG686" s="9"/>
      <c r="AH686" s="42"/>
      <c r="AI686" s="42"/>
      <c r="AJ686" s="42"/>
      <c r="AK686" s="42"/>
      <c r="AL686" s="42"/>
      <c r="AM686" s="42"/>
      <c r="AN686" s="42"/>
      <c r="AO686" s="63" t="str">
        <f>IFERROR(__xludf.DUMMYFUNCTION("IF(ISBLANK(A686),,IF(ISBLANK(S686), A686&amp;"";"", TEXTJOIN(CHAR(10), TRUE, A686&amp;"";"", ARRAYFORMULA(VLOOKUP(SPLIT(S686, "";"" &amp; CHAR(10)), $A:$AO, 41, FALSE)))))"),"PFG;")</f>
        <v>PFG;</v>
      </c>
      <c r="AP686" s="89"/>
    </row>
    <row r="687">
      <c r="A687" s="151" t="str">
        <f>IFERROR(__xludf.DUMMYFUNCTION("""COMPUTED_VALUE"""),"PPL")</f>
        <v>PPL</v>
      </c>
      <c r="B687" s="42" t="str">
        <f>IFERROR(__xludf.DUMMYFUNCTION("""COMPUTED_VALUE"""),"DHBA")</f>
        <v>DHBA</v>
      </c>
      <c r="C687" s="42" t="str">
        <f>IFERROR(__xludf.DUMMYFUNCTION("""COMPUTED_VALUE"""),"primordial plexiform layer")</f>
        <v>primordial plexiform layer</v>
      </c>
      <c r="D687" s="42">
        <f>IFERROR(__xludf.DUMMYFUNCTION("""COMPUTED_VALUE"""),653.0)</f>
        <v>653</v>
      </c>
      <c r="E687" s="39" t="str">
        <f>IFERROR(__xludf.DUMMYFUNCTION("""COMPUTED_VALUE"""),"primordial plexiform layer")</f>
        <v>primordial plexiform layer</v>
      </c>
      <c r="F687" s="9" t="str">
        <f>IFERROR(__xludf.DUMMYFUNCTION("""COMPUTED_VALUE"""),"Br")</f>
        <v>Br</v>
      </c>
      <c r="G687" s="9" t="str">
        <f>IFERROR(__xludf.DUMMYFUNCTION("""COMPUTED_VALUE"""),"F")</f>
        <v>F</v>
      </c>
      <c r="H687" s="9" t="str">
        <f>IFERROR(__xludf.DUMMYFUNCTION("""COMPUTED_VALUE"""),"FGM")</f>
        <v>FGM</v>
      </c>
      <c r="I687" s="9" t="str">
        <f>IFERROR(__xludf.DUMMYFUNCTION("""COMPUTED_VALUE"""),"FTS")</f>
        <v>FTS</v>
      </c>
      <c r="J687" s="9" t="str">
        <f>IFERROR(__xludf.DUMMYFUNCTION("""COMPUTED_VALUE"""),"PPL")</f>
        <v>PPL</v>
      </c>
      <c r="K687" s="9"/>
      <c r="L687" s="9"/>
      <c r="M687" s="9"/>
      <c r="N687" s="9"/>
      <c r="O687" s="9"/>
      <c r="P687" s="9"/>
      <c r="Q687" s="9"/>
      <c r="R687" s="9"/>
      <c r="S687" s="42"/>
      <c r="T687" s="42"/>
      <c r="U687" s="42"/>
      <c r="V687" s="42"/>
      <c r="W687" s="42"/>
      <c r="X687" s="42"/>
      <c r="Y687" s="42"/>
      <c r="Z687" s="42"/>
      <c r="AA687" s="42"/>
      <c r="AB687" s="42" t="str">
        <f>IFERROR(__xludf.DUMMYFUNCTION("""COMPUTED_VALUE"""),"allen institute")</f>
        <v>allen institute</v>
      </c>
      <c r="AC687" s="42" t="str">
        <f>IFERROR(__xludf.DUMMYFUNCTION("""COMPUTED_VALUE"""),"DHBA")</f>
        <v>DHBA</v>
      </c>
      <c r="AD687" s="42"/>
      <c r="AE687" s="42"/>
      <c r="AF687" s="9"/>
      <c r="AG687" s="9"/>
      <c r="AH687" s="42"/>
      <c r="AI687" s="42"/>
      <c r="AJ687" s="42"/>
      <c r="AK687" s="42"/>
      <c r="AL687" s="42"/>
      <c r="AM687" s="42"/>
      <c r="AN687" s="42"/>
      <c r="AO687" s="63" t="str">
        <f>IFERROR(__xludf.DUMMYFUNCTION("IF(ISBLANK(A687),,IF(ISBLANK(S687), A687&amp;"";"", TEXTJOIN(CHAR(10), TRUE, A687&amp;"";"", ARRAYFORMULA(VLOOKUP(SPLIT(S687, "";"" &amp; CHAR(10)), $A:$AO, 41, FALSE)))))"),"PPL;")</f>
        <v>PPL;</v>
      </c>
      <c r="AP687" s="89"/>
    </row>
    <row r="688">
      <c r="A688" s="151" t="str">
        <f>IFERROR(__xludf.DUMMYFUNCTION("""COMPUTED_VALUE"""),"ScG")</f>
        <v>ScG</v>
      </c>
      <c r="B688" s="42" t="str">
        <f>IFERROR(__xludf.DUMMYFUNCTION("""COMPUTED_VALUE"""),"DHBA")</f>
        <v>DHBA</v>
      </c>
      <c r="C688" s="42" t="str">
        <f>IFERROR(__xludf.DUMMYFUNCTION("""COMPUTED_VALUE"""),"subcallosal gray zone")</f>
        <v>subcallosal gray zone</v>
      </c>
      <c r="D688" s="42">
        <f>IFERROR(__xludf.DUMMYFUNCTION("""COMPUTED_VALUE"""),654.0)</f>
        <v>654</v>
      </c>
      <c r="E688" s="39" t="str">
        <f>IFERROR(__xludf.DUMMYFUNCTION("""COMPUTED_VALUE"""),"subcallosal gray zone")</f>
        <v>subcallosal gray zone</v>
      </c>
      <c r="F688" s="9" t="str">
        <f>IFERROR(__xludf.DUMMYFUNCTION("""COMPUTED_VALUE"""),"Br")</f>
        <v>Br</v>
      </c>
      <c r="G688" s="9" t="str">
        <f>IFERROR(__xludf.DUMMYFUNCTION("""COMPUTED_VALUE"""),"F")</f>
        <v>F</v>
      </c>
      <c r="H688" s="9" t="str">
        <f>IFERROR(__xludf.DUMMYFUNCTION("""COMPUTED_VALUE"""),"FGM")</f>
        <v>FGM</v>
      </c>
      <c r="I688" s="9" t="str">
        <f>IFERROR(__xludf.DUMMYFUNCTION("""COMPUTED_VALUE"""),"FTS")</f>
        <v>FTS</v>
      </c>
      <c r="J688" s="9" t="str">
        <f>IFERROR(__xludf.DUMMYFUNCTION("""COMPUTED_VALUE"""),"ScG")</f>
        <v>ScG</v>
      </c>
      <c r="K688" s="9"/>
      <c r="L688" s="9"/>
      <c r="M688" s="9"/>
      <c r="N688" s="9"/>
      <c r="O688" s="9"/>
      <c r="P688" s="9"/>
      <c r="Q688" s="9"/>
      <c r="R688" s="9"/>
      <c r="S688" s="42"/>
      <c r="T688" s="42"/>
      <c r="U688" s="42"/>
      <c r="V688" s="42"/>
      <c r="W688" s="42"/>
      <c r="X688" s="42"/>
      <c r="Y688" s="42"/>
      <c r="Z688" s="42"/>
      <c r="AA688" s="42"/>
      <c r="AB688" s="42" t="str">
        <f>IFERROR(__xludf.DUMMYFUNCTION("""COMPUTED_VALUE"""),"allen institute")</f>
        <v>allen institute</v>
      </c>
      <c r="AC688" s="42" t="str">
        <f>IFERROR(__xludf.DUMMYFUNCTION("""COMPUTED_VALUE"""),"DHBA")</f>
        <v>DHBA</v>
      </c>
      <c r="AD688" s="42"/>
      <c r="AE688" s="42"/>
      <c r="AF688" s="9"/>
      <c r="AG688" s="9"/>
      <c r="AH688" s="42"/>
      <c r="AI688" s="42"/>
      <c r="AJ688" s="42"/>
      <c r="AK688" s="42"/>
      <c r="AL688" s="42"/>
      <c r="AM688" s="42"/>
      <c r="AN688" s="42"/>
      <c r="AO688" s="63" t="str">
        <f>IFERROR(__xludf.DUMMYFUNCTION("IF(ISBLANK(A688),,IF(ISBLANK(S688), A688&amp;"";"", TEXTJOIN(CHAR(10), TRUE, A688&amp;"";"", ARRAYFORMULA(VLOOKUP(SPLIT(S688, "";"" &amp; CHAR(10)), $A:$AO, 41, FALSE)))))"),"ScG;")</f>
        <v>ScG;</v>
      </c>
      <c r="AP688" s="89"/>
    </row>
    <row r="689">
      <c r="A689" s="151" t="str">
        <f>IFERROR(__xludf.DUMMYFUNCTION("""COMPUTED_VALUE"""),"TCete")</f>
        <v>TCete</v>
      </c>
      <c r="B689" s="42" t="str">
        <f>IFERROR(__xludf.DUMMYFUNCTION("""COMPUTED_VALUE"""),"DHBA")</f>
        <v>DHBA</v>
      </c>
      <c r="C689" s="42" t="str">
        <f>IFERROR(__xludf.DUMMYFUNCTION("""COMPUTED_VALUE"""),"transient cell zone in external capsule")</f>
        <v>transient cell zone in external capsule</v>
      </c>
      <c r="D689" s="42">
        <f>IFERROR(__xludf.DUMMYFUNCTION("""COMPUTED_VALUE"""),655.0)</f>
        <v>655</v>
      </c>
      <c r="E689" s="39" t="str">
        <f>IFERROR(__xludf.DUMMYFUNCTION("""COMPUTED_VALUE"""),"transient cell zone in external capsule")</f>
        <v>transient cell zone in external capsule</v>
      </c>
      <c r="F689" s="9" t="str">
        <f>IFERROR(__xludf.DUMMYFUNCTION("""COMPUTED_VALUE"""),"Br")</f>
        <v>Br</v>
      </c>
      <c r="G689" s="9" t="str">
        <f>IFERROR(__xludf.DUMMYFUNCTION("""COMPUTED_VALUE"""),"F")</f>
        <v>F</v>
      </c>
      <c r="H689" s="9" t="str">
        <f>IFERROR(__xludf.DUMMYFUNCTION("""COMPUTED_VALUE"""),"FGM")</f>
        <v>FGM</v>
      </c>
      <c r="I689" s="9" t="str">
        <f>IFERROR(__xludf.DUMMYFUNCTION("""COMPUTED_VALUE"""),"FTS")</f>
        <v>FTS</v>
      </c>
      <c r="J689" s="9" t="str">
        <f>IFERROR(__xludf.DUMMYFUNCTION("""COMPUTED_VALUE"""),"TCete")</f>
        <v>TCete</v>
      </c>
      <c r="K689" s="9"/>
      <c r="L689" s="9"/>
      <c r="M689" s="9"/>
      <c r="N689" s="9"/>
      <c r="O689" s="9"/>
      <c r="P689" s="9"/>
      <c r="Q689" s="9"/>
      <c r="R689" s="9"/>
      <c r="S689" s="42"/>
      <c r="T689" s="42"/>
      <c r="U689" s="42"/>
      <c r="V689" s="42"/>
      <c r="W689" s="42"/>
      <c r="X689" s="42"/>
      <c r="Y689" s="42"/>
      <c r="Z689" s="42"/>
      <c r="AA689" s="42"/>
      <c r="AB689" s="42" t="str">
        <f>IFERROR(__xludf.DUMMYFUNCTION("""COMPUTED_VALUE"""),"allen institute")</f>
        <v>allen institute</v>
      </c>
      <c r="AC689" s="42" t="str">
        <f>IFERROR(__xludf.DUMMYFUNCTION("""COMPUTED_VALUE"""),"DHBA")</f>
        <v>DHBA</v>
      </c>
      <c r="AD689" s="42"/>
      <c r="AE689" s="42"/>
      <c r="AF689" s="9"/>
      <c r="AG689" s="9"/>
      <c r="AH689" s="42"/>
      <c r="AI689" s="42"/>
      <c r="AJ689" s="42"/>
      <c r="AK689" s="42"/>
      <c r="AL689" s="42"/>
      <c r="AM689" s="42"/>
      <c r="AN689" s="42"/>
      <c r="AO689" s="63" t="str">
        <f>IFERROR(__xludf.DUMMYFUNCTION("IF(ISBLANK(A689),,IF(ISBLANK(S689), A689&amp;"";"", TEXTJOIN(CHAR(10), TRUE, A689&amp;"";"", ARRAYFORMULA(VLOOKUP(SPLIT(S689, "";"" &amp; CHAR(10)), $A:$AO, 41, FALSE)))))"),"TCete;")</f>
        <v>TCete;</v>
      </c>
      <c r="AP689" s="89"/>
    </row>
    <row r="690">
      <c r="A690" s="151" t="str">
        <f>IFERROR(__xludf.DUMMYFUNCTION("""COMPUTED_VALUE"""),"TCexc")</f>
        <v>TCexc</v>
      </c>
      <c r="B690" s="42" t="str">
        <f>IFERROR(__xludf.DUMMYFUNCTION("""COMPUTED_VALUE"""),"DHBA")</f>
        <v>DHBA</v>
      </c>
      <c r="C690" s="42" t="str">
        <f>IFERROR(__xludf.DUMMYFUNCTION("""COMPUTED_VALUE"""),"transient cell zone in extreme capsule")</f>
        <v>transient cell zone in extreme capsule</v>
      </c>
      <c r="D690" s="42">
        <f>IFERROR(__xludf.DUMMYFUNCTION("""COMPUTED_VALUE"""),656.0)</f>
        <v>656</v>
      </c>
      <c r="E690" s="39" t="str">
        <f>IFERROR(__xludf.DUMMYFUNCTION("""COMPUTED_VALUE"""),"transient cell zone in extreme capsule")</f>
        <v>transient cell zone in extreme capsule</v>
      </c>
      <c r="F690" s="9" t="str">
        <f>IFERROR(__xludf.DUMMYFUNCTION("""COMPUTED_VALUE"""),"Br")</f>
        <v>Br</v>
      </c>
      <c r="G690" s="9" t="str">
        <f>IFERROR(__xludf.DUMMYFUNCTION("""COMPUTED_VALUE"""),"F")</f>
        <v>F</v>
      </c>
      <c r="H690" s="9" t="str">
        <f>IFERROR(__xludf.DUMMYFUNCTION("""COMPUTED_VALUE"""),"FGM")</f>
        <v>FGM</v>
      </c>
      <c r="I690" s="9" t="str">
        <f>IFERROR(__xludf.DUMMYFUNCTION("""COMPUTED_VALUE"""),"FTS")</f>
        <v>FTS</v>
      </c>
      <c r="J690" s="9" t="str">
        <f>IFERROR(__xludf.DUMMYFUNCTION("""COMPUTED_VALUE"""),"TCexc")</f>
        <v>TCexc</v>
      </c>
      <c r="K690" s="9"/>
      <c r="L690" s="9"/>
      <c r="M690" s="9"/>
      <c r="N690" s="9"/>
      <c r="O690" s="9"/>
      <c r="P690" s="9"/>
      <c r="Q690" s="9"/>
      <c r="R690" s="9"/>
      <c r="S690" s="42"/>
      <c r="T690" s="42"/>
      <c r="U690" s="42"/>
      <c r="V690" s="42"/>
      <c r="W690" s="42"/>
      <c r="X690" s="42"/>
      <c r="Y690" s="42"/>
      <c r="Z690" s="42"/>
      <c r="AA690" s="42"/>
      <c r="AB690" s="42" t="str">
        <f>IFERROR(__xludf.DUMMYFUNCTION("""COMPUTED_VALUE"""),"allen institute")</f>
        <v>allen institute</v>
      </c>
      <c r="AC690" s="42" t="str">
        <f>IFERROR(__xludf.DUMMYFUNCTION("""COMPUTED_VALUE"""),"DHBA")</f>
        <v>DHBA</v>
      </c>
      <c r="AD690" s="42"/>
      <c r="AE690" s="42"/>
      <c r="AF690" s="9"/>
      <c r="AG690" s="9"/>
      <c r="AH690" s="42"/>
      <c r="AI690" s="42"/>
      <c r="AJ690" s="42"/>
      <c r="AK690" s="42"/>
      <c r="AL690" s="42"/>
      <c r="AM690" s="42"/>
      <c r="AN690" s="42"/>
      <c r="AO690" s="63" t="str">
        <f>IFERROR(__xludf.DUMMYFUNCTION("IF(ISBLANK(A690),,IF(ISBLANK(S690), A690&amp;"";"", TEXTJOIN(CHAR(10), TRUE, A690&amp;"";"", ARRAYFORMULA(VLOOKUP(SPLIT(S690, "";"" &amp; CHAR(10)), $A:$AO, 41, FALSE)))))"),"TCexc;")</f>
        <v>TCexc;</v>
      </c>
      <c r="AP690" s="89"/>
    </row>
    <row r="691">
      <c r="A691" s="151" t="str">
        <f>IFERROR(__xludf.DUMMYFUNCTION("""COMPUTED_VALUE"""),"Tel")</f>
        <v>Tel</v>
      </c>
      <c r="B691" s="42" t="str">
        <f>IFERROR(__xludf.DUMMYFUNCTION("""COMPUTED_VALUE"""),"DHBA")</f>
        <v>DHBA</v>
      </c>
      <c r="C691" s="42" t="str">
        <f>IFERROR(__xludf.DUMMYFUNCTION("""COMPUTED_VALUE"""),"telencephalon")</f>
        <v>telencephalon</v>
      </c>
      <c r="D691" s="42">
        <f>IFERROR(__xludf.DUMMYFUNCTION("""COMPUTED_VALUE"""),657.0)</f>
        <v>657</v>
      </c>
      <c r="E691" s="39" t="str">
        <f>IFERROR(__xludf.DUMMYFUNCTION("""COMPUTED_VALUE"""),"telencephalon")</f>
        <v>telencephalon</v>
      </c>
      <c r="F691" s="9" t="str">
        <f>IFERROR(__xludf.DUMMYFUNCTION("""COMPUTED_VALUE"""),"Br")</f>
        <v>Br</v>
      </c>
      <c r="G691" s="9" t="str">
        <f>IFERROR(__xludf.DUMMYFUNCTION("""COMPUTED_VALUE"""),"F")</f>
        <v>F</v>
      </c>
      <c r="H691" s="9" t="str">
        <f>IFERROR(__xludf.DUMMYFUNCTION("""COMPUTED_VALUE"""),"FGM")</f>
        <v>FGM</v>
      </c>
      <c r="I691" s="9" t="str">
        <f>IFERROR(__xludf.DUMMYFUNCTION("""COMPUTED_VALUE"""),"Tel")</f>
        <v>Tel</v>
      </c>
      <c r="J691" s="9"/>
      <c r="K691" s="9"/>
      <c r="L691" s="9"/>
      <c r="M691" s="9"/>
      <c r="N691" s="9"/>
      <c r="O691" s="9"/>
      <c r="P691" s="9"/>
      <c r="Q691" s="9"/>
      <c r="R691" s="9"/>
      <c r="S691" s="42" t="str">
        <f>IFERROR(__xludf.DUMMYFUNCTION("""COMPUTED_VALUE"""),"Cx;
CN")</f>
        <v>Cx;
CN</v>
      </c>
      <c r="T691" s="42"/>
      <c r="U691" s="42" t="b">
        <f>IFERROR(__xludf.DUMMYFUNCTION("""COMPUTED_VALUE"""),FALSE)</f>
        <v>0</v>
      </c>
      <c r="V691" s="42"/>
      <c r="W691" s="42"/>
      <c r="X691" s="42"/>
      <c r="Y691" s="42"/>
      <c r="Z691" s="42"/>
      <c r="AA691" s="42"/>
      <c r="AB691" s="42" t="str">
        <f>IFERROR(__xludf.DUMMYFUNCTION("""COMPUTED_VALUE"""),"allen institute")</f>
        <v>allen institute</v>
      </c>
      <c r="AC691" s="42" t="str">
        <f>IFERROR(__xludf.DUMMYFUNCTION("""COMPUTED_VALUE"""),"DHBA")</f>
        <v>DHBA</v>
      </c>
      <c r="AD691" s="42"/>
      <c r="AE691" s="42"/>
      <c r="AF691" s="9"/>
      <c r="AG691" s="9"/>
      <c r="AH691" s="42"/>
      <c r="AI691" s="42"/>
      <c r="AJ691" s="42"/>
      <c r="AK691" s="42"/>
      <c r="AL691" s="42"/>
      <c r="AM691" s="42"/>
      <c r="AN691" s="42"/>
      <c r="AO691" s="63" t="str">
        <f>IFERROR(__xludf.DUMMYFUNCTION("IF(ISBLANK(A691),,IF(ISBLANK(S691), A691&amp;"";"", TEXTJOIN(CHAR(10), TRUE, A691&amp;"";"", ARRAYFORMULA(VLOOKUP(SPLIT(S691, "";"" &amp; CHAR(10)), $A:$AO, 41, FALSE)))))"),"#N/A")</f>
        <v>#N/A</v>
      </c>
      <c r="AP691" s="89"/>
    </row>
    <row r="692">
      <c r="A692" s="151" t="str">
        <f>IFERROR(__xludf.DUMMYFUNCTION("""COMPUTED_VALUE"""),"Cx")</f>
        <v>Cx</v>
      </c>
      <c r="B692" s="42" t="str">
        <f>IFERROR(__xludf.DUMMYFUNCTION("""COMPUTED_VALUE"""),"DHBA")</f>
        <v>DHBA</v>
      </c>
      <c r="C692" s="42" t="str">
        <f>IFERROR(__xludf.DUMMYFUNCTION("""COMPUTED_VALUE"""),"cerebral cortex")</f>
        <v>cerebral cortex</v>
      </c>
      <c r="D692" s="42">
        <f>IFERROR(__xludf.DUMMYFUNCTION("""COMPUTED_VALUE"""),658.0)</f>
        <v>658</v>
      </c>
      <c r="E692" s="39" t="str">
        <f>IFERROR(__xludf.DUMMYFUNCTION("""COMPUTED_VALUE"""),"cerebral cortex")</f>
        <v>cerebral cortex</v>
      </c>
      <c r="F692" s="9" t="str">
        <f>IFERROR(__xludf.DUMMYFUNCTION("""COMPUTED_VALUE"""),"Br")</f>
        <v>Br</v>
      </c>
      <c r="G692" s="9" t="str">
        <f>IFERROR(__xludf.DUMMYFUNCTION("""COMPUTED_VALUE"""),"F")</f>
        <v>F</v>
      </c>
      <c r="H692" s="9" t="str">
        <f>IFERROR(__xludf.DUMMYFUNCTION("""COMPUTED_VALUE"""),"FGM")</f>
        <v>FGM</v>
      </c>
      <c r="I692" s="9" t="str">
        <f>IFERROR(__xludf.DUMMYFUNCTION("""COMPUTED_VALUE"""),"Tel")</f>
        <v>Tel</v>
      </c>
      <c r="J692" s="9" t="str">
        <f>IFERROR(__xludf.DUMMYFUNCTION("""COMPUTED_VALUE"""),"Cx")</f>
        <v>Cx</v>
      </c>
      <c r="K692" s="9"/>
      <c r="L692" s="9"/>
      <c r="M692" s="9"/>
      <c r="N692" s="9"/>
      <c r="O692" s="9"/>
      <c r="P692" s="9"/>
      <c r="Q692" s="9"/>
      <c r="R692" s="9"/>
      <c r="S692" s="42" t="str">
        <f>IFERROR(__xludf.DUMMYFUNCTION("""COMPUTED_VALUE"""),"Cx.L1;
Cx.L2_3aIT;
Cx.L3bIT;
Cx.L4;
Cx.L5;
Cx.L6;
NCx;
PACx;
ACx")</f>
        <v>Cx.L1;
Cx.L2_3aIT;
Cx.L3bIT;
Cx.L4;
Cx.L5;
Cx.L6;
NCx;
PACx;
ACx</v>
      </c>
      <c r="T692" s="42"/>
      <c r="U692" s="42" t="b">
        <f>IFERROR(__xludf.DUMMYFUNCTION("""COMPUTED_VALUE"""),FALSE)</f>
        <v>0</v>
      </c>
      <c r="V692" s="42"/>
      <c r="W692" s="42"/>
      <c r="X692" s="42"/>
      <c r="Y692" s="42"/>
      <c r="Z692" s="42"/>
      <c r="AA692" s="42"/>
      <c r="AB692" s="42" t="str">
        <f>IFERROR(__xludf.DUMMYFUNCTION("""COMPUTED_VALUE"""),"allen institute")</f>
        <v>allen institute</v>
      </c>
      <c r="AC692" s="42" t="str">
        <f>IFERROR(__xludf.DUMMYFUNCTION("""COMPUTED_VALUE"""),"DHBA")</f>
        <v>DHBA</v>
      </c>
      <c r="AD692" s="42"/>
      <c r="AE692" s="42"/>
      <c r="AF692" s="9"/>
      <c r="AG692" s="9"/>
      <c r="AH692" s="42"/>
      <c r="AI692" s="42"/>
      <c r="AJ692" s="42"/>
      <c r="AK692" s="42"/>
      <c r="AL692" s="42"/>
      <c r="AM692" s="42"/>
      <c r="AN692" s="42"/>
      <c r="AO692" s="63" t="str">
        <f>IFERROR(__xludf.DUMMYFUNCTION("IF(ISBLANK(A692),,IF(ISBLANK(S692), A692&amp;"";"", TEXTJOIN(CHAR(10), TRUE, A692&amp;"";"", ARRAYFORMULA(VLOOKUP(SPLIT(S692, "";"" &amp; CHAR(10)), $A:$AO, 41, FALSE)))))"),"#N/A")</f>
        <v>#N/A</v>
      </c>
      <c r="AP692" s="89"/>
    </row>
    <row r="693">
      <c r="A693" s="151" t="str">
        <f>IFERROR(__xludf.DUMMYFUNCTION("""COMPUTED_VALUE"""),"Cx.L1")</f>
        <v>Cx.L1</v>
      </c>
      <c r="B693" s="42" t="str">
        <f>IFERROR(__xludf.DUMMYFUNCTION("""COMPUTED_VALUE"""),"collection")</f>
        <v>collection</v>
      </c>
      <c r="C693" s="42" t="str">
        <f>IFERROR(__xludf.DUMMYFUNCTION("""COMPUTED_VALUE"""),"layer I of cerebral cortex")</f>
        <v>layer I of cerebral cortex</v>
      </c>
      <c r="D693" s="42">
        <f>IFERROR(__xludf.DUMMYFUNCTION("""COMPUTED_VALUE"""),658.1)</f>
        <v>658.1</v>
      </c>
      <c r="E693" s="39"/>
      <c r="F693" s="9"/>
      <c r="G693" s="9"/>
      <c r="H693" s="9"/>
      <c r="I693" s="9"/>
      <c r="J693" s="9"/>
      <c r="K693" s="9"/>
      <c r="L693" s="9"/>
      <c r="M693" s="9"/>
      <c r="N693" s="9"/>
      <c r="O693" s="9"/>
      <c r="P693" s="9"/>
      <c r="Q693" s="9"/>
      <c r="R693" s="9"/>
      <c r="S693" s="42"/>
      <c r="T693" s="42"/>
      <c r="U693" s="159" t="b">
        <f>IFERROR(__xludf.DUMMYFUNCTION("""COMPUTED_VALUE"""),FALSE)</f>
        <v>0</v>
      </c>
      <c r="V693" s="42"/>
      <c r="W693" s="42"/>
      <c r="X693" s="42"/>
      <c r="Y693" s="42"/>
      <c r="Z693" s="42"/>
      <c r="AA693" s="42"/>
      <c r="AB693" s="42" t="str">
        <f>IFERROR(__xludf.DUMMYFUNCTION("""COMPUTED_VALUE"""),"Hiroshi Yamakawa")</f>
        <v>Hiroshi Yamakawa</v>
      </c>
      <c r="AC693" s="42"/>
      <c r="AD693" s="42"/>
      <c r="AE693" s="42"/>
      <c r="AF693" s="9"/>
      <c r="AG693" s="9"/>
      <c r="AH693" s="42"/>
      <c r="AI693" s="42"/>
      <c r="AJ693" s="42"/>
      <c r="AK693" s="42"/>
      <c r="AL693" s="42"/>
      <c r="AM693" s="42"/>
      <c r="AN693" s="42"/>
      <c r="AO693" s="63" t="str">
        <f>IFERROR(__xludf.DUMMYFUNCTION("IF(ISBLANK(A693),,IF(ISBLANK(S693), A693&amp;"";"", TEXTJOIN(CHAR(10), TRUE, A693&amp;"";"", ARRAYFORMULA(VLOOKUP(SPLIT(S693, "";"" &amp; CHAR(10)), $A:$AO, 41, FALSE)))))"),"Cx.L1;")</f>
        <v>Cx.L1;</v>
      </c>
      <c r="AP693" s="89"/>
    </row>
    <row r="694">
      <c r="A694" s="151" t="str">
        <f>IFERROR(__xludf.DUMMYFUNCTION("""COMPUTED_VALUE"""),"Cx.L2_3aIT")</f>
        <v>Cx.L2_3aIT</v>
      </c>
      <c r="B694" s="42" t="str">
        <f>IFERROR(__xludf.DUMMYFUNCTION("""COMPUTED_VALUE"""),"makeshift")</f>
        <v>makeshift</v>
      </c>
      <c r="C694" s="42" t="str">
        <f>IFERROR(__xludf.DUMMYFUNCTION("""COMPUTED_VALUE"""),"Cerebral cortical intratelencephalic pyramidal neurons in layer 2 and layer 3A")</f>
        <v>Cerebral cortical intratelencephalic pyramidal neurons in layer 2 and layer 3A</v>
      </c>
      <c r="D694" s="42">
        <f>IFERROR(__xludf.DUMMYFUNCTION("""COMPUTED_VALUE"""),658.1)</f>
        <v>658.1</v>
      </c>
      <c r="E694" s="39"/>
      <c r="F694" s="9"/>
      <c r="G694" s="9"/>
      <c r="H694" s="9"/>
      <c r="I694" s="9"/>
      <c r="J694" s="9"/>
      <c r="K694" s="9"/>
      <c r="L694" s="9"/>
      <c r="M694" s="9"/>
      <c r="N694" s="9"/>
      <c r="O694" s="9"/>
      <c r="P694" s="9"/>
      <c r="Q694" s="9"/>
      <c r="R694" s="9"/>
      <c r="S694" s="42"/>
      <c r="T694" s="42"/>
      <c r="U694" s="42" t="b">
        <f>IFERROR(__xludf.DUMMYFUNCTION("""COMPUTED_VALUE"""),TRUE)</f>
        <v>1</v>
      </c>
      <c r="V694" s="42"/>
      <c r="W694" s="42" t="str">
        <f>IFERROR(__xludf.DUMMYFUNCTION("""COMPUTED_VALUE"""),"Excitatory")</f>
        <v>Excitatory</v>
      </c>
      <c r="X694" s="42"/>
      <c r="Y694" s="42"/>
      <c r="Z694" s="42"/>
      <c r="AA694" s="42"/>
      <c r="AB694" s="42" t="str">
        <f>IFERROR(__xludf.DUMMYFUNCTION("""COMPUTED_VALUE"""),"Hiroshi Yamakawa")</f>
        <v>Hiroshi Yamakawa</v>
      </c>
      <c r="AC694" s="42"/>
      <c r="AD694" s="42"/>
      <c r="AE694" s="42"/>
      <c r="AF694" s="9"/>
      <c r="AG694" s="9"/>
      <c r="AH694" s="42"/>
      <c r="AI694" s="42"/>
      <c r="AJ694" s="42"/>
      <c r="AK694" s="42"/>
      <c r="AL694" s="42"/>
      <c r="AM694" s="42"/>
      <c r="AN694" s="42"/>
      <c r="AO694" s="63" t="str">
        <f>IFERROR(__xludf.DUMMYFUNCTION("IF(ISBLANK(A694),,IF(ISBLANK(S694), A694&amp;"";"", TEXTJOIN(CHAR(10), TRUE, A694&amp;"";"", ARRAYFORMULA(VLOOKUP(SPLIT(S694, "";"" &amp; CHAR(10)), $A:$AO, 41, FALSE)))))"),"Cx.L2_3aIT;")</f>
        <v>Cx.L2_3aIT;</v>
      </c>
      <c r="AP694" s="89"/>
    </row>
    <row r="695">
      <c r="A695" s="151" t="str">
        <f>IFERROR(__xludf.DUMMYFUNCTION("""COMPUTED_VALUE"""),"Cx.L3bIT")</f>
        <v>Cx.L3bIT</v>
      </c>
      <c r="B695" s="42" t="str">
        <f>IFERROR(__xludf.DUMMYFUNCTION("""COMPUTED_VALUE"""),"makeshift")</f>
        <v>makeshift</v>
      </c>
      <c r="C695" s="42" t="str">
        <f>IFERROR(__xludf.DUMMYFUNCTION("""COMPUTED_VALUE"""),"Cerebral cortical intratelencephalic pyramidal neurons in layer 3B")</f>
        <v>Cerebral cortical intratelencephalic pyramidal neurons in layer 3B</v>
      </c>
      <c r="D695" s="42">
        <f>IFERROR(__xludf.DUMMYFUNCTION("""COMPUTED_VALUE"""),658.1)</f>
        <v>658.1</v>
      </c>
      <c r="E695" s="39"/>
      <c r="F695" s="9"/>
      <c r="G695" s="9"/>
      <c r="H695" s="9"/>
      <c r="I695" s="9"/>
      <c r="J695" s="9"/>
      <c r="K695" s="9"/>
      <c r="L695" s="9"/>
      <c r="M695" s="9"/>
      <c r="N695" s="9"/>
      <c r="O695" s="9"/>
      <c r="P695" s="9"/>
      <c r="Q695" s="9"/>
      <c r="R695" s="9"/>
      <c r="S695" s="42"/>
      <c r="T695" s="42"/>
      <c r="U695" s="42" t="b">
        <f>IFERROR(__xludf.DUMMYFUNCTION("""COMPUTED_VALUE"""),TRUE)</f>
        <v>1</v>
      </c>
      <c r="V695" s="42"/>
      <c r="W695" s="42" t="str">
        <f>IFERROR(__xludf.DUMMYFUNCTION("""COMPUTED_VALUE"""),"Excitatory")</f>
        <v>Excitatory</v>
      </c>
      <c r="X695" s="42"/>
      <c r="Y695" s="42"/>
      <c r="Z695" s="42"/>
      <c r="AA695" s="42"/>
      <c r="AB695" s="42" t="str">
        <f>IFERROR(__xludf.DUMMYFUNCTION("""COMPUTED_VALUE"""),"Hiroshi Yamakawa")</f>
        <v>Hiroshi Yamakawa</v>
      </c>
      <c r="AC695" s="42"/>
      <c r="AD695" s="42"/>
      <c r="AE695" s="42"/>
      <c r="AF695" s="9"/>
      <c r="AG695" s="9"/>
      <c r="AH695" s="42"/>
      <c r="AI695" s="42"/>
      <c r="AJ695" s="42"/>
      <c r="AK695" s="42"/>
      <c r="AL695" s="42"/>
      <c r="AM695" s="42"/>
      <c r="AN695" s="42"/>
      <c r="AO695" s="63" t="str">
        <f>IFERROR(__xludf.DUMMYFUNCTION("IF(ISBLANK(A695),,IF(ISBLANK(S695), A695&amp;"";"", TEXTJOIN(CHAR(10), TRUE, A695&amp;"";"", ARRAYFORMULA(VLOOKUP(SPLIT(S695, "";"" &amp; CHAR(10)), $A:$AO, 41, FALSE)))))"),"Cx.L3bIT;")</f>
        <v>Cx.L3bIT;</v>
      </c>
      <c r="AP695" s="89"/>
    </row>
    <row r="696">
      <c r="A696" s="151" t="str">
        <f>IFERROR(__xludf.DUMMYFUNCTION("""COMPUTED_VALUE"""),"Cx.L4")</f>
        <v>Cx.L4</v>
      </c>
      <c r="B696" s="42" t="str">
        <f>IFERROR(__xludf.DUMMYFUNCTION("""COMPUTED_VALUE"""),"collection")</f>
        <v>collection</v>
      </c>
      <c r="C696" s="42" t="str">
        <f>IFERROR(__xludf.DUMMYFUNCTION("""COMPUTED_VALUE"""),"layer IV of cerebral cortex")</f>
        <v>layer IV of cerebral cortex</v>
      </c>
      <c r="D696" s="42">
        <f>IFERROR(__xludf.DUMMYFUNCTION("""COMPUTED_VALUE"""),658.1)</f>
        <v>658.1</v>
      </c>
      <c r="E696" s="39"/>
      <c r="F696" s="9"/>
      <c r="G696" s="9"/>
      <c r="H696" s="9"/>
      <c r="I696" s="9"/>
      <c r="J696" s="9"/>
      <c r="K696" s="9"/>
      <c r="L696" s="9"/>
      <c r="M696" s="9"/>
      <c r="N696" s="9"/>
      <c r="O696" s="9"/>
      <c r="P696" s="9"/>
      <c r="Q696" s="9"/>
      <c r="R696" s="9"/>
      <c r="S696" s="42" t="str">
        <f>IFERROR(__xludf.DUMMYFUNCTION("""COMPUTED_VALUE"""),"Cx.L4PY;
Cx.L4ST")</f>
        <v>Cx.L4PY;
Cx.L4ST</v>
      </c>
      <c r="T696" s="42"/>
      <c r="U696" s="42" t="b">
        <f>IFERROR(__xludf.DUMMYFUNCTION("""COMPUTED_VALUE"""),FALSE)</f>
        <v>0</v>
      </c>
      <c r="V696" s="42"/>
      <c r="W696" s="42"/>
      <c r="X696" s="42"/>
      <c r="Y696" s="42"/>
      <c r="Z696" s="42"/>
      <c r="AA696" s="42"/>
      <c r="AB696" s="42" t="str">
        <f>IFERROR(__xludf.DUMMYFUNCTION("""COMPUTED_VALUE"""),"Hiroshi Yamakawa")</f>
        <v>Hiroshi Yamakawa</v>
      </c>
      <c r="AC696" s="42"/>
      <c r="AD696" s="42"/>
      <c r="AE696" s="42"/>
      <c r="AF696" s="9"/>
      <c r="AG696" s="9"/>
      <c r="AH696" s="42"/>
      <c r="AI696" s="42"/>
      <c r="AJ696" s="42"/>
      <c r="AK696" s="42"/>
      <c r="AL696" s="42"/>
      <c r="AM696" s="42"/>
      <c r="AN696" s="42"/>
      <c r="AO696" s="63" t="str">
        <f>IFERROR(__xludf.DUMMYFUNCTION("IF(ISBLANK(A696),,IF(ISBLANK(S696), A696&amp;"";"", TEXTJOIN(CHAR(10), TRUE, A696&amp;"";"", ARRAYFORMULA(VLOOKUP(SPLIT(S696, "";"" &amp; CHAR(10)), $A:$AO, 41, FALSE)))))"),"Cx.L4;
Cx.L4PY;
Cx.L4ST;")</f>
        <v>Cx.L4;
Cx.L4PY;
Cx.L4ST;</v>
      </c>
      <c r="AP696" s="89"/>
    </row>
    <row r="697">
      <c r="A697" s="151" t="str">
        <f>IFERROR(__xludf.DUMMYFUNCTION("""COMPUTED_VALUE"""),"Cx.L4PY")</f>
        <v>Cx.L4PY</v>
      </c>
      <c r="B697" s="42" t="str">
        <f>IFERROR(__xludf.DUMMYFUNCTION("""COMPUTED_VALUE"""),"makeshift")</f>
        <v>makeshift</v>
      </c>
      <c r="C697" s="42" t="str">
        <f>IFERROR(__xludf.DUMMYFUNCTION("""COMPUTED_VALUE"""),"Cerebral cortical pyramidal neuron i n layer 4")</f>
        <v>Cerebral cortical pyramidal neuron i n layer 4</v>
      </c>
      <c r="D697" s="42">
        <f>IFERROR(__xludf.DUMMYFUNCTION("""COMPUTED_VALUE"""),658.1)</f>
        <v>658.1</v>
      </c>
      <c r="E697" s="39"/>
      <c r="F697" s="9"/>
      <c r="G697" s="9"/>
      <c r="H697" s="9"/>
      <c r="I697" s="9"/>
      <c r="J697" s="9"/>
      <c r="K697" s="9"/>
      <c r="L697" s="9"/>
      <c r="M697" s="9"/>
      <c r="N697" s="9"/>
      <c r="O697" s="9"/>
      <c r="P697" s="9"/>
      <c r="Q697" s="9"/>
      <c r="R697" s="9"/>
      <c r="S697" s="42"/>
      <c r="T697" s="42"/>
      <c r="U697" s="42" t="b">
        <f>IFERROR(__xludf.DUMMYFUNCTION("""COMPUTED_VALUE"""),TRUE)</f>
        <v>1</v>
      </c>
      <c r="V697" s="42"/>
      <c r="W697" s="42" t="str">
        <f>IFERROR(__xludf.DUMMYFUNCTION("""COMPUTED_VALUE"""),"Excitatory")</f>
        <v>Excitatory</v>
      </c>
      <c r="X697" s="42"/>
      <c r="Y697" s="42"/>
      <c r="Z697" s="42"/>
      <c r="AA697" s="42"/>
      <c r="AB697" s="42" t="str">
        <f>IFERROR(__xludf.DUMMYFUNCTION("""COMPUTED_VALUE"""),"Hiroshi Yamakawa")</f>
        <v>Hiroshi Yamakawa</v>
      </c>
      <c r="AC697" s="42"/>
      <c r="AD697" s="42"/>
      <c r="AE697" s="42"/>
      <c r="AF697" s="9"/>
      <c r="AG697" s="9"/>
      <c r="AH697" s="42"/>
      <c r="AI697" s="42"/>
      <c r="AJ697" s="42"/>
      <c r="AK697" s="42"/>
      <c r="AL697" s="42"/>
      <c r="AM697" s="42"/>
      <c r="AN697" s="42"/>
      <c r="AO697" s="63" t="str">
        <f>IFERROR(__xludf.DUMMYFUNCTION("IF(ISBLANK(A697),,IF(ISBLANK(S697), A697&amp;"";"", TEXTJOIN(CHAR(10), TRUE, A697&amp;"";"", ARRAYFORMULA(VLOOKUP(SPLIT(S697, "";"" &amp; CHAR(10)), $A:$AO, 41, FALSE)))))"),"Cx.L4PY;")</f>
        <v>Cx.L4PY;</v>
      </c>
      <c r="AP697" s="89"/>
    </row>
    <row r="698">
      <c r="A698" s="151" t="str">
        <f>IFERROR(__xludf.DUMMYFUNCTION("""COMPUTED_VALUE"""),"Cx.L4ST")</f>
        <v>Cx.L4ST</v>
      </c>
      <c r="B698" s="42" t="str">
        <f>IFERROR(__xludf.DUMMYFUNCTION("""COMPUTED_VALUE"""),"makeshift")</f>
        <v>makeshift</v>
      </c>
      <c r="C698" s="42" t="str">
        <f>IFERROR(__xludf.DUMMYFUNCTION("""COMPUTED_VALUE"""),"Cerebral cortical spiny stellates neuron in layer 4")</f>
        <v>Cerebral cortical spiny stellates neuron in layer 4</v>
      </c>
      <c r="D698" s="42">
        <f>IFERROR(__xludf.DUMMYFUNCTION("""COMPUTED_VALUE"""),658.1)</f>
        <v>658.1</v>
      </c>
      <c r="E698" s="39"/>
      <c r="F698" s="9"/>
      <c r="G698" s="9"/>
      <c r="H698" s="9"/>
      <c r="I698" s="9"/>
      <c r="J698" s="9"/>
      <c r="K698" s="9"/>
      <c r="L698" s="9"/>
      <c r="M698" s="9"/>
      <c r="N698" s="9"/>
      <c r="O698" s="9"/>
      <c r="P698" s="9"/>
      <c r="Q698" s="9"/>
      <c r="R698" s="9"/>
      <c r="S698" s="42"/>
      <c r="T698" s="42"/>
      <c r="U698" s="42" t="b">
        <f>IFERROR(__xludf.DUMMYFUNCTION("""COMPUTED_VALUE"""),TRUE)</f>
        <v>1</v>
      </c>
      <c r="V698" s="42"/>
      <c r="W698" s="42" t="str">
        <f>IFERROR(__xludf.DUMMYFUNCTION("""COMPUTED_VALUE"""),"Excitatory")</f>
        <v>Excitatory</v>
      </c>
      <c r="X698" s="42"/>
      <c r="Y698" s="42"/>
      <c r="Z698" s="42"/>
      <c r="AA698" s="42"/>
      <c r="AB698" s="42" t="str">
        <f>IFERROR(__xludf.DUMMYFUNCTION("""COMPUTED_VALUE"""),"Hiroshi Yamakawa")</f>
        <v>Hiroshi Yamakawa</v>
      </c>
      <c r="AC698" s="42"/>
      <c r="AD698" s="42"/>
      <c r="AE698" s="42"/>
      <c r="AF698" s="9"/>
      <c r="AG698" s="9"/>
      <c r="AH698" s="42"/>
      <c r="AI698" s="42"/>
      <c r="AJ698" s="42"/>
      <c r="AK698" s="42"/>
      <c r="AL698" s="42"/>
      <c r="AM698" s="42"/>
      <c r="AN698" s="42"/>
      <c r="AO698" s="63" t="str">
        <f>IFERROR(__xludf.DUMMYFUNCTION("IF(ISBLANK(A698),,IF(ISBLANK(S698), A698&amp;"";"", TEXTJOIN(CHAR(10), TRUE, A698&amp;"";"", ARRAYFORMULA(VLOOKUP(SPLIT(S698, "";"" &amp; CHAR(10)), $A:$AO, 41, FALSE)))))"),"Cx.L4ST;")</f>
        <v>Cx.L4ST;</v>
      </c>
      <c r="AP698" s="89"/>
    </row>
    <row r="699">
      <c r="A699" s="151" t="str">
        <f>IFERROR(__xludf.DUMMYFUNCTION("""COMPUTED_VALUE"""),"Cx.L5")</f>
        <v>Cx.L5</v>
      </c>
      <c r="B699" s="42" t="str">
        <f>IFERROR(__xludf.DUMMYFUNCTION("""COMPUTED_VALUE"""),"collection")</f>
        <v>collection</v>
      </c>
      <c r="C699" s="42" t="str">
        <f>IFERROR(__xludf.DUMMYFUNCTION("""COMPUTED_VALUE"""),"layer V of cerebral cortex")</f>
        <v>layer V of cerebral cortex</v>
      </c>
      <c r="D699" s="42">
        <f>IFERROR(__xludf.DUMMYFUNCTION("""COMPUTED_VALUE"""),658.1)</f>
        <v>658.1</v>
      </c>
      <c r="E699" s="39"/>
      <c r="F699" s="9"/>
      <c r="G699" s="9"/>
      <c r="H699" s="9"/>
      <c r="I699" s="9"/>
      <c r="J699" s="9"/>
      <c r="K699" s="9"/>
      <c r="L699" s="9"/>
      <c r="M699" s="9"/>
      <c r="N699" s="9"/>
      <c r="O699" s="9"/>
      <c r="P699" s="9"/>
      <c r="Q699" s="9"/>
      <c r="R699" s="9"/>
      <c r="S699" s="42" t="str">
        <f>IFERROR(__xludf.DUMMYFUNCTION("""COMPUTED_VALUE"""),"Cx.L5IT;
Cx.L5PT;
Cx.L5IN")</f>
        <v>Cx.L5IT;
Cx.L5PT;
Cx.L5IN</v>
      </c>
      <c r="T699" s="42"/>
      <c r="U699" s="42" t="b">
        <f>IFERROR(__xludf.DUMMYFUNCTION("""COMPUTED_VALUE"""),FALSE)</f>
        <v>0</v>
      </c>
      <c r="V699" s="42"/>
      <c r="W699" s="42"/>
      <c r="X699" s="42"/>
      <c r="Y699" s="42"/>
      <c r="Z699" s="42"/>
      <c r="AA699" s="42"/>
      <c r="AB699" s="42" t="str">
        <f>IFERROR(__xludf.DUMMYFUNCTION("""COMPUTED_VALUE"""),"Hiroshi Yamakawa")</f>
        <v>Hiroshi Yamakawa</v>
      </c>
      <c r="AC699" s="42"/>
      <c r="AD699" s="42"/>
      <c r="AE699" s="42"/>
      <c r="AF699" s="9"/>
      <c r="AG699" s="9"/>
      <c r="AH699" s="42"/>
      <c r="AI699" s="42"/>
      <c r="AJ699" s="42"/>
      <c r="AK699" s="42"/>
      <c r="AL699" s="42"/>
      <c r="AM699" s="42"/>
      <c r="AN699" s="42"/>
      <c r="AO699" s="63" t="str">
        <f>IFERROR(__xludf.DUMMYFUNCTION("IF(ISBLANK(A699),,IF(ISBLANK(S699), A699&amp;"";"", TEXTJOIN(CHAR(10), TRUE, A699&amp;"";"", ARRAYFORMULA(VLOOKUP(SPLIT(S699, "";"" &amp; CHAR(10)), $A:$AO, 41, FALSE)))))"),"#N/A")</f>
        <v>#N/A</v>
      </c>
      <c r="AP699" s="89"/>
    </row>
    <row r="700">
      <c r="A700" s="151" t="str">
        <f>IFERROR(__xludf.DUMMYFUNCTION("""COMPUTED_VALUE"""),"Cx.L5IT")</f>
        <v>Cx.L5IT</v>
      </c>
      <c r="B700" s="42" t="str">
        <f>IFERROR(__xludf.DUMMYFUNCTION("""COMPUTED_VALUE"""),"makeshift")</f>
        <v>makeshift</v>
      </c>
      <c r="C700" s="42" t="str">
        <f>IFERROR(__xludf.DUMMYFUNCTION("""COMPUTED_VALUE"""),"Cerebral cortical intratelencephalic pyramidal neurons in layer 5")</f>
        <v>Cerebral cortical intratelencephalic pyramidal neurons in layer 5</v>
      </c>
      <c r="D700" s="42">
        <f>IFERROR(__xludf.DUMMYFUNCTION("""COMPUTED_VALUE"""),658.1)</f>
        <v>658.1</v>
      </c>
      <c r="E700" s="39" t="str">
        <f>IFERROR(__xludf.DUMMYFUNCTION("""COMPUTED_VALUE"""),"")</f>
        <v/>
      </c>
      <c r="F700" s="9" t="str">
        <f>IFERROR(__xludf.DUMMYFUNCTION("""COMPUTED_VALUE"""),"")</f>
        <v/>
      </c>
      <c r="G700" s="9" t="str">
        <f>IFERROR(__xludf.DUMMYFUNCTION("""COMPUTED_VALUE"""),"")</f>
        <v/>
      </c>
      <c r="H700" s="9" t="str">
        <f>IFERROR(__xludf.DUMMYFUNCTION("""COMPUTED_VALUE"""),"")</f>
        <v/>
      </c>
      <c r="I700" s="9" t="str">
        <f>IFERROR(__xludf.DUMMYFUNCTION("""COMPUTED_VALUE"""),"")</f>
        <v/>
      </c>
      <c r="J700" s="9" t="str">
        <f>IFERROR(__xludf.DUMMYFUNCTION("""COMPUTED_VALUE"""),"")</f>
        <v/>
      </c>
      <c r="K700" s="9" t="str">
        <f>IFERROR(__xludf.DUMMYFUNCTION("""COMPUTED_VALUE"""),"")</f>
        <v/>
      </c>
      <c r="L700" s="9" t="str">
        <f>IFERROR(__xludf.DUMMYFUNCTION("""COMPUTED_VALUE"""),"")</f>
        <v/>
      </c>
      <c r="M700" s="9" t="str">
        <f>IFERROR(__xludf.DUMMYFUNCTION("""COMPUTED_VALUE"""),"")</f>
        <v/>
      </c>
      <c r="N700" s="9" t="str">
        <f>IFERROR(__xludf.DUMMYFUNCTION("""COMPUTED_VALUE"""),"")</f>
        <v/>
      </c>
      <c r="O700" s="9" t="str">
        <f>IFERROR(__xludf.DUMMYFUNCTION("""COMPUTED_VALUE"""),"")</f>
        <v/>
      </c>
      <c r="P700" s="9" t="str">
        <f>IFERROR(__xludf.DUMMYFUNCTION("""COMPUTED_VALUE"""),"")</f>
        <v/>
      </c>
      <c r="Q700" s="9" t="str">
        <f>IFERROR(__xludf.DUMMYFUNCTION("""COMPUTED_VALUE"""),"")</f>
        <v/>
      </c>
      <c r="R700" s="9" t="str">
        <f>IFERROR(__xludf.DUMMYFUNCTION("""COMPUTED_VALUE"""),"")</f>
        <v/>
      </c>
      <c r="S700" s="42" t="str">
        <f>IFERROR(__xludf.DUMMYFUNCTION("""COMPUTED_VALUE"""),"(many)")</f>
        <v>(many)</v>
      </c>
      <c r="T700" s="42"/>
      <c r="U700" s="42" t="b">
        <f>IFERROR(__xludf.DUMMYFUNCTION("""COMPUTED_VALUE"""),TRUE)</f>
        <v>1</v>
      </c>
      <c r="V700" s="42" t="str">
        <f>IFERROR(__xludf.DUMMYFUNCTION("""COMPUTED_VALUE"""),"Glutamate")</f>
        <v>Glutamate</v>
      </c>
      <c r="W700" s="42" t="str">
        <f>IFERROR(__xludf.DUMMYFUNCTION("""COMPUTED_VALUE"""),"Excitatory")</f>
        <v>Excitatory</v>
      </c>
      <c r="X700" s="42"/>
      <c r="Y700" s="42"/>
      <c r="Z700" s="42"/>
      <c r="AA700" s="42" t="str">
        <f>IFERROR(__xludf.DUMMYFUNCTION("""COMPUTED_VALUE"""),"motor-related info
cognitive-related info
limbic system-related info
contextual, motor, and reward information")</f>
        <v>motor-related info
cognitive-related info
limbic system-related info
contextual, motor, and reward information</v>
      </c>
      <c r="AB700" s="42" t="str">
        <f>IFERROR(__xludf.DUMMYFUNCTION("""COMPUTED_VALUE"""),"Hiroshi Yamakawa")</f>
        <v>Hiroshi Yamakawa</v>
      </c>
      <c r="AC700" s="42" t="str">
        <f>IFERROR(__xludf.DUMMYFUNCTION("""COMPUTED_VALUE"""),"YS21BgLoop")</f>
        <v>YS21BgLoop</v>
      </c>
      <c r="AD700" s="42"/>
      <c r="AE700" s="42"/>
      <c r="AF700" s="9"/>
      <c r="AG700" s="9"/>
      <c r="AH700" s="42"/>
      <c r="AI700" s="42"/>
      <c r="AJ700" s="42"/>
      <c r="AK700" s="42"/>
      <c r="AL700" s="42"/>
      <c r="AM700" s="42"/>
      <c r="AN700" s="42"/>
      <c r="AO700" s="63" t="str">
        <f>IFERROR(__xludf.DUMMYFUNCTION("IF(ISBLANK(A700),,IF(ISBLANK(S700), A700&amp;"";"", TEXTJOIN(CHAR(10), TRUE, A700&amp;"";"", ARRAYFORMULA(VLOOKUP(SPLIT(S700, "";"" &amp; CHAR(10)), $A:$AO, 41, FALSE)))))"),"#N/A")</f>
        <v>#N/A</v>
      </c>
      <c r="AP700" s="89"/>
    </row>
    <row r="701">
      <c r="A701" s="151" t="str">
        <f>IFERROR(__xludf.DUMMYFUNCTION("""COMPUTED_VALUE"""),"Cx.L5PT")</f>
        <v>Cx.L5PT</v>
      </c>
      <c r="B701" s="42" t="str">
        <f>IFERROR(__xludf.DUMMYFUNCTION("""COMPUTED_VALUE"""),"makeshift")</f>
        <v>makeshift</v>
      </c>
      <c r="C701" s="42" t="str">
        <f>IFERROR(__xludf.DUMMYFUNCTION("""COMPUTED_VALUE"""),"Cerebral cortical pyramidal tract neurons in layer 5;
extratelencephalic (ET)")</f>
        <v>Cerebral cortical pyramidal tract neurons in layer 5;
extratelencephalic (ET)</v>
      </c>
      <c r="D701" s="42">
        <f>IFERROR(__xludf.DUMMYFUNCTION("""COMPUTED_VALUE"""),658.1)</f>
        <v>658.1</v>
      </c>
      <c r="E701" s="39" t="str">
        <f>IFERROR(__xludf.DUMMYFUNCTION("""COMPUTED_VALUE"""),"")</f>
        <v/>
      </c>
      <c r="F701" s="9" t="str">
        <f>IFERROR(__xludf.DUMMYFUNCTION("""COMPUTED_VALUE"""),"")</f>
        <v/>
      </c>
      <c r="G701" s="9" t="str">
        <f>IFERROR(__xludf.DUMMYFUNCTION("""COMPUTED_VALUE"""),"")</f>
        <v/>
      </c>
      <c r="H701" s="9" t="str">
        <f>IFERROR(__xludf.DUMMYFUNCTION("""COMPUTED_VALUE"""),"")</f>
        <v/>
      </c>
      <c r="I701" s="9" t="str">
        <f>IFERROR(__xludf.DUMMYFUNCTION("""COMPUTED_VALUE"""),"")</f>
        <v/>
      </c>
      <c r="J701" s="9" t="str">
        <f>IFERROR(__xludf.DUMMYFUNCTION("""COMPUTED_VALUE"""),"")</f>
        <v/>
      </c>
      <c r="K701" s="9" t="str">
        <f>IFERROR(__xludf.DUMMYFUNCTION("""COMPUTED_VALUE"""),"")</f>
        <v/>
      </c>
      <c r="L701" s="9" t="str">
        <f>IFERROR(__xludf.DUMMYFUNCTION("""COMPUTED_VALUE"""),"")</f>
        <v/>
      </c>
      <c r="M701" s="9" t="str">
        <f>IFERROR(__xludf.DUMMYFUNCTION("""COMPUTED_VALUE"""),"")</f>
        <v/>
      </c>
      <c r="N701" s="9" t="str">
        <f>IFERROR(__xludf.DUMMYFUNCTION("""COMPUTED_VALUE"""),"")</f>
        <v/>
      </c>
      <c r="O701" s="9" t="str">
        <f>IFERROR(__xludf.DUMMYFUNCTION("""COMPUTED_VALUE"""),"")</f>
        <v/>
      </c>
      <c r="P701" s="9" t="str">
        <f>IFERROR(__xludf.DUMMYFUNCTION("""COMPUTED_VALUE"""),"")</f>
        <v/>
      </c>
      <c r="Q701" s="9" t="str">
        <f>IFERROR(__xludf.DUMMYFUNCTION("""COMPUTED_VALUE"""),"")</f>
        <v/>
      </c>
      <c r="R701" s="9" t="str">
        <f>IFERROR(__xludf.DUMMYFUNCTION("""COMPUTED_VALUE"""),"")</f>
        <v/>
      </c>
      <c r="S701" s="42" t="str">
        <f>IFERROR(__xludf.DUMMYFUNCTION("""COMPUTED_VALUE"""),"(many)")</f>
        <v>(many)</v>
      </c>
      <c r="T701" s="42"/>
      <c r="U701" s="42" t="b">
        <f>IFERROR(__xludf.DUMMYFUNCTION("""COMPUTED_VALUE"""),TRUE)</f>
        <v>1</v>
      </c>
      <c r="V701" s="42" t="str">
        <f>IFERROR(__xludf.DUMMYFUNCTION("""COMPUTED_VALUE"""),"Glutamate")</f>
        <v>Glutamate</v>
      </c>
      <c r="W701" s="42" t="str">
        <f>IFERROR(__xludf.DUMMYFUNCTION("""COMPUTED_VALUE"""),"Excitatory")</f>
        <v>Excitatory</v>
      </c>
      <c r="X701" s="42"/>
      <c r="Y701" s="42"/>
      <c r="Z701" s="42"/>
      <c r="AA701" s="42" t="str">
        <f>IFERROR(__xludf.DUMMYFUNCTION("""COMPUTED_VALUE"""),"Executive control which allows hyper-direct control of BG output based on frontal innervations.
Projection from the frontal cortex can usurp the cortico-BG loops to slow, break or stop responding, with the STN responding to stop cues whether actions are c"&amp;"ancelled or not.
STN and PFC disconnection via contralateral lesions and STN lesion, stimulation and inactivation enhances preservation, a repetitive, compulsive form of responding.
only from frontal lobes.
This pathway is faster than striatal pathway.")</f>
        <v>Executive control which allows hyper-direct control of BG output based on frontal innervations.
Projection from the frontal cortex can usurp the cortico-BG loops to slow, break or stop responding, with the STN responding to stop cues whether actions are cancelled or not.
STN and PFC disconnection via contralateral lesions and STN lesion, stimulation and inactivation enhances preservation, a repetitive, compulsive form of responding.
only from frontal lobes.
This pathway is faster than striatal pathway.</v>
      </c>
      <c r="AB701" s="42" t="str">
        <f>IFERROR(__xludf.DUMMYFUNCTION("""COMPUTED_VALUE"""),"Hiroshi Yamakawa")</f>
        <v>Hiroshi Yamakawa</v>
      </c>
      <c r="AC701" s="42" t="str">
        <f>IFERROR(__xludf.DUMMYFUNCTION("""COMPUTED_VALUE"""),"YS21BgLoop")</f>
        <v>YS21BgLoop</v>
      </c>
      <c r="AD701" s="42"/>
      <c r="AE701" s="42"/>
      <c r="AF701" s="9"/>
      <c r="AG701" s="9"/>
      <c r="AH701" s="42"/>
      <c r="AI701" s="42"/>
      <c r="AJ701" s="42"/>
      <c r="AK701" s="42"/>
      <c r="AL701" s="42"/>
      <c r="AM701" s="42"/>
      <c r="AN701" s="42"/>
      <c r="AO701" s="63" t="str">
        <f>IFERROR(__xludf.DUMMYFUNCTION("IF(ISBLANK(A701),,IF(ISBLANK(S701), A701&amp;"";"", TEXTJOIN(CHAR(10), TRUE, A701&amp;"";"", ARRAYFORMULA(VLOOKUP(SPLIT(S701, "";"" &amp; CHAR(10)), $A:$AO, 41, FALSE)))))"),"#N/A")</f>
        <v>#N/A</v>
      </c>
      <c r="AP701" s="89"/>
    </row>
    <row r="702">
      <c r="A702" s="151" t="str">
        <f>IFERROR(__xludf.DUMMYFUNCTION("""COMPUTED_VALUE"""),"Cx.L5IN")</f>
        <v>Cx.L5IN</v>
      </c>
      <c r="B702" s="42" t="str">
        <f>IFERROR(__xludf.DUMMYFUNCTION("""COMPUTED_VALUE"""),"makeshift")</f>
        <v>makeshift</v>
      </c>
      <c r="C702" s="42" t="str">
        <f>IFERROR(__xludf.DUMMYFUNCTION("""COMPUTED_VALUE"""),"Cerebral cortical inter neurons in layer 5")</f>
        <v>Cerebral cortical inter neurons in layer 5</v>
      </c>
      <c r="D702" s="42">
        <f>IFERROR(__xludf.DUMMYFUNCTION("""COMPUTED_VALUE"""),658.1)</f>
        <v>658.1</v>
      </c>
      <c r="E702" s="39"/>
      <c r="F702" s="9"/>
      <c r="G702" s="9"/>
      <c r="H702" s="9"/>
      <c r="I702" s="9"/>
      <c r="J702" s="9"/>
      <c r="K702" s="9"/>
      <c r="L702" s="9"/>
      <c r="M702" s="9"/>
      <c r="N702" s="9"/>
      <c r="O702" s="9"/>
      <c r="P702" s="9"/>
      <c r="Q702" s="9"/>
      <c r="R702" s="9"/>
      <c r="S702" s="42"/>
      <c r="T702" s="42"/>
      <c r="U702" s="42" t="b">
        <f>IFERROR(__xludf.DUMMYFUNCTION("""COMPUTED_VALUE"""),TRUE)</f>
        <v>1</v>
      </c>
      <c r="V702" s="42" t="str">
        <f>IFERROR(__xludf.DUMMYFUNCTION("""COMPUTED_VALUE"""),"GABA")</f>
        <v>GABA</v>
      </c>
      <c r="W702" s="42" t="str">
        <f>IFERROR(__xludf.DUMMYFUNCTION("""COMPUTED_VALUE"""),"Inhibitory")</f>
        <v>Inhibitory</v>
      </c>
      <c r="X702" s="42"/>
      <c r="Y702" s="42"/>
      <c r="Z702" s="42"/>
      <c r="AA702" s="42"/>
      <c r="AB702" s="42"/>
      <c r="AC702" s="42"/>
      <c r="AD702" s="42"/>
      <c r="AE702" s="42"/>
      <c r="AF702" s="9"/>
      <c r="AG702" s="9"/>
      <c r="AH702" s="42"/>
      <c r="AI702" s="42"/>
      <c r="AJ702" s="42"/>
      <c r="AK702" s="42"/>
      <c r="AL702" s="42"/>
      <c r="AM702" s="42"/>
      <c r="AN702" s="42"/>
      <c r="AO702" s="63" t="str">
        <f>IFERROR(__xludf.DUMMYFUNCTION("IF(ISBLANK(A702),,IF(ISBLANK(S702), A702&amp;"";"", TEXTJOIN(CHAR(10), TRUE, A702&amp;"";"", ARRAYFORMULA(VLOOKUP(SPLIT(S702, "";"" &amp; CHAR(10)), $A:$AO, 41, FALSE)))))"),"Cx.L5IN;")</f>
        <v>Cx.L5IN;</v>
      </c>
      <c r="AP702" s="89"/>
    </row>
    <row r="703">
      <c r="A703" s="151" t="str">
        <f>IFERROR(__xludf.DUMMYFUNCTION("""COMPUTED_VALUE"""),"Cx.L6")</f>
        <v>Cx.L6</v>
      </c>
      <c r="B703" s="42" t="str">
        <f>IFERROR(__xludf.DUMMYFUNCTION("""COMPUTED_VALUE"""),"collection")</f>
        <v>collection</v>
      </c>
      <c r="C703" s="42" t="str">
        <f>IFERROR(__xludf.DUMMYFUNCTION("""COMPUTED_VALUE"""),"layer VI of cerebral cortex")</f>
        <v>layer VI of cerebral cortex</v>
      </c>
      <c r="D703" s="42">
        <f>IFERROR(__xludf.DUMMYFUNCTION("""COMPUTED_VALUE"""),658.1)</f>
        <v>658.1</v>
      </c>
      <c r="E703" s="39"/>
      <c r="F703" s="9"/>
      <c r="G703" s="9"/>
      <c r="H703" s="9"/>
      <c r="I703" s="9"/>
      <c r="J703" s="9"/>
      <c r="K703" s="9"/>
      <c r="L703" s="9"/>
      <c r="M703" s="9"/>
      <c r="N703" s="9"/>
      <c r="O703" s="9"/>
      <c r="P703" s="9"/>
      <c r="Q703" s="9"/>
      <c r="R703" s="9"/>
      <c r="S703" s="42" t="str">
        <f>IFERROR(__xludf.DUMMYFUNCTION("""COMPUTED_VALUE"""),"Cx.L6IT;
L6CT;
C6CLA;
Cx.L6IN")</f>
        <v>Cx.L6IT;
L6CT;
C6CLA;
Cx.L6IN</v>
      </c>
      <c r="T703" s="42"/>
      <c r="U703" s="42" t="b">
        <f>IFERROR(__xludf.DUMMYFUNCTION("""COMPUTED_VALUE"""),FALSE)</f>
        <v>0</v>
      </c>
      <c r="V703" s="42"/>
      <c r="W703" s="42"/>
      <c r="X703" s="42"/>
      <c r="Y703" s="42"/>
      <c r="Z703" s="42"/>
      <c r="AA703" s="42"/>
      <c r="AB703" s="42" t="str">
        <f>IFERROR(__xludf.DUMMYFUNCTION("""COMPUTED_VALUE"""),"Hiroshi Yamakawa")</f>
        <v>Hiroshi Yamakawa</v>
      </c>
      <c r="AC703" s="42"/>
      <c r="AD703" s="42"/>
      <c r="AE703" s="42"/>
      <c r="AF703" s="9"/>
      <c r="AG703" s="9"/>
      <c r="AH703" s="42"/>
      <c r="AI703" s="42"/>
      <c r="AJ703" s="42"/>
      <c r="AK703" s="42"/>
      <c r="AL703" s="42"/>
      <c r="AM703" s="42"/>
      <c r="AN703" s="42"/>
      <c r="AO703" s="63" t="str">
        <f>IFERROR(__xludf.DUMMYFUNCTION("IF(ISBLANK(A703),,IF(ISBLANK(S703), A703&amp;"";"", TEXTJOIN(CHAR(10), TRUE, A703&amp;"";"", ARRAYFORMULA(VLOOKUP(SPLIT(S703, "";"" &amp; CHAR(10)), $A:$AO, 41, FALSE)))))"),"#N/A")</f>
        <v>#N/A</v>
      </c>
      <c r="AP703" s="89"/>
    </row>
    <row r="704">
      <c r="A704" s="151" t="str">
        <f>IFERROR(__xludf.DUMMYFUNCTION("""COMPUTED_VALUE"""),"Cx.L6IT")</f>
        <v>Cx.L6IT</v>
      </c>
      <c r="B704" s="42" t="str">
        <f>IFERROR(__xludf.DUMMYFUNCTION("""COMPUTED_VALUE"""),"makeshift")</f>
        <v>makeshift</v>
      </c>
      <c r="C704" s="42" t="str">
        <f>IFERROR(__xludf.DUMMYFUNCTION("""COMPUTED_VALUE"""),"Cerebral cortical intratelencephalic pyramidal neurons in layer 6")</f>
        <v>Cerebral cortical intratelencephalic pyramidal neurons in layer 6</v>
      </c>
      <c r="D704" s="42">
        <f>IFERROR(__xludf.DUMMYFUNCTION("""COMPUTED_VALUE"""),658.1)</f>
        <v>658.1</v>
      </c>
      <c r="E704" s="39"/>
      <c r="F704" s="9"/>
      <c r="G704" s="9"/>
      <c r="H704" s="9"/>
      <c r="I704" s="9"/>
      <c r="J704" s="9"/>
      <c r="K704" s="9"/>
      <c r="L704" s="9"/>
      <c r="M704" s="9"/>
      <c r="N704" s="9"/>
      <c r="O704" s="9"/>
      <c r="P704" s="9"/>
      <c r="Q704" s="9"/>
      <c r="R704" s="9"/>
      <c r="S704" s="42"/>
      <c r="T704" s="42"/>
      <c r="U704" s="42" t="b">
        <f>IFERROR(__xludf.DUMMYFUNCTION("""COMPUTED_VALUE"""),TRUE)</f>
        <v>1</v>
      </c>
      <c r="V704" s="42"/>
      <c r="W704" s="42" t="str">
        <f>IFERROR(__xludf.DUMMYFUNCTION("""COMPUTED_VALUE"""),"Excitatory")</f>
        <v>Excitatory</v>
      </c>
      <c r="X704" s="42"/>
      <c r="Y704" s="42"/>
      <c r="Z704" s="42"/>
      <c r="AA704" s="42"/>
      <c r="AB704" s="42" t="str">
        <f>IFERROR(__xludf.DUMMYFUNCTION("""COMPUTED_VALUE"""),"Hiroshi Yamakawa")</f>
        <v>Hiroshi Yamakawa</v>
      </c>
      <c r="AC704" s="42"/>
      <c r="AD704" s="42"/>
      <c r="AE704" s="42"/>
      <c r="AF704" s="9"/>
      <c r="AG704" s="9"/>
      <c r="AH704" s="42"/>
      <c r="AI704" s="42"/>
      <c r="AJ704" s="42"/>
      <c r="AK704" s="42"/>
      <c r="AL704" s="42"/>
      <c r="AM704" s="42"/>
      <c r="AN704" s="42"/>
      <c r="AO704" s="63" t="str">
        <f>IFERROR(__xludf.DUMMYFUNCTION("IF(ISBLANK(A704),,IF(ISBLANK(S704), A704&amp;"";"", TEXTJOIN(CHAR(10), TRUE, A704&amp;"";"", ARRAYFORMULA(VLOOKUP(SPLIT(S704, "";"" &amp; CHAR(10)), $A:$AO, 41, FALSE)))))"),"Cx.L6IT;")</f>
        <v>Cx.L6IT;</v>
      </c>
      <c r="AP704" s="89"/>
    </row>
    <row r="705">
      <c r="A705" s="151" t="str">
        <f>IFERROR(__xludf.DUMMYFUNCTION("""COMPUTED_VALUE"""),"Cx.L6CT")</f>
        <v>Cx.L6CT</v>
      </c>
      <c r="B705" s="42" t="str">
        <f>IFERROR(__xludf.DUMMYFUNCTION("""COMPUTED_VALUE"""),"makeshift")</f>
        <v>makeshift</v>
      </c>
      <c r="C705" s="42" t="str">
        <f>IFERROR(__xludf.DUMMYFUNCTION("""COMPUTED_VALUE"""),"Cerebral cortical corticothalamic pyramidal neurons in layer 6; extra telencephalic  (ET)")</f>
        <v>Cerebral cortical corticothalamic pyramidal neurons in layer 6; extra telencephalic  (ET)</v>
      </c>
      <c r="D705" s="42">
        <f>IFERROR(__xludf.DUMMYFUNCTION("""COMPUTED_VALUE"""),658.1)</f>
        <v>658.1</v>
      </c>
      <c r="E705" s="39"/>
      <c r="F705" s="9"/>
      <c r="G705" s="9"/>
      <c r="H705" s="9"/>
      <c r="I705" s="9"/>
      <c r="J705" s="9"/>
      <c r="K705" s="9"/>
      <c r="L705" s="9"/>
      <c r="M705" s="9"/>
      <c r="N705" s="9"/>
      <c r="O705" s="9"/>
      <c r="P705" s="9"/>
      <c r="Q705" s="9"/>
      <c r="R705" s="9"/>
      <c r="S705" s="42"/>
      <c r="T705" s="42"/>
      <c r="U705" s="42" t="b">
        <f>IFERROR(__xludf.DUMMYFUNCTION("""COMPUTED_VALUE"""),TRUE)</f>
        <v>1</v>
      </c>
      <c r="V705" s="42"/>
      <c r="W705" s="42" t="str">
        <f>IFERROR(__xludf.DUMMYFUNCTION("""COMPUTED_VALUE"""),"Excitatory")</f>
        <v>Excitatory</v>
      </c>
      <c r="X705" s="42"/>
      <c r="Y705" s="42"/>
      <c r="Z705" s="42"/>
      <c r="AA705" s="42"/>
      <c r="AB705" s="42" t="str">
        <f>IFERROR(__xludf.DUMMYFUNCTION("""COMPUTED_VALUE"""),"Hiroshi Yamakawa")</f>
        <v>Hiroshi Yamakawa</v>
      </c>
      <c r="AC705" s="42"/>
      <c r="AD705" s="42"/>
      <c r="AE705" s="42"/>
      <c r="AF705" s="9"/>
      <c r="AG705" s="9"/>
      <c r="AH705" s="42"/>
      <c r="AI705" s="42"/>
      <c r="AJ705" s="42"/>
      <c r="AK705" s="42"/>
      <c r="AL705" s="42"/>
      <c r="AM705" s="42"/>
      <c r="AN705" s="42"/>
      <c r="AO705" s="63" t="str">
        <f>IFERROR(__xludf.DUMMYFUNCTION("IF(ISBLANK(A705),,IF(ISBLANK(S705), A705&amp;"";"", TEXTJOIN(CHAR(10), TRUE, A705&amp;"";"", ARRAYFORMULA(VLOOKUP(SPLIT(S705, "";"" &amp; CHAR(10)), $A:$AO, 41, FALSE)))))"),"Cx.L6CT;")</f>
        <v>Cx.L6CT;</v>
      </c>
      <c r="AP705" s="89"/>
    </row>
    <row r="706">
      <c r="A706" s="151" t="str">
        <f>IFERROR(__xludf.DUMMYFUNCTION("""COMPUTED_VALUE"""),"Cx.L6CLA")</f>
        <v>Cx.L6CLA</v>
      </c>
      <c r="B706" s="42" t="str">
        <f>IFERROR(__xludf.DUMMYFUNCTION("""COMPUTED_VALUE"""),"makeshift")</f>
        <v>makeshift</v>
      </c>
      <c r="C706" s="42" t="str">
        <f>IFERROR(__xludf.DUMMYFUNCTION("""COMPUTED_VALUE"""),"Cerebral cortical corticoclaustral pyramidal neurons in layer 6")</f>
        <v>Cerebral cortical corticoclaustral pyramidal neurons in layer 6</v>
      </c>
      <c r="D706" s="42">
        <f>IFERROR(__xludf.DUMMYFUNCTION("""COMPUTED_VALUE"""),658.1)</f>
        <v>658.1</v>
      </c>
      <c r="E706" s="39"/>
      <c r="F706" s="9"/>
      <c r="G706" s="9"/>
      <c r="H706" s="9"/>
      <c r="I706" s="9"/>
      <c r="J706" s="9"/>
      <c r="K706" s="9"/>
      <c r="L706" s="9"/>
      <c r="M706" s="9"/>
      <c r="N706" s="9"/>
      <c r="O706" s="9"/>
      <c r="P706" s="9"/>
      <c r="Q706" s="9"/>
      <c r="R706" s="9"/>
      <c r="S706" s="42"/>
      <c r="T706" s="42"/>
      <c r="U706" s="42" t="b">
        <f>IFERROR(__xludf.DUMMYFUNCTION("""COMPUTED_VALUE"""),TRUE)</f>
        <v>1</v>
      </c>
      <c r="V706" s="42"/>
      <c r="W706" s="42" t="str">
        <f>IFERROR(__xludf.DUMMYFUNCTION("""COMPUTED_VALUE"""),"Excitatory")</f>
        <v>Excitatory</v>
      </c>
      <c r="X706" s="42"/>
      <c r="Y706" s="42"/>
      <c r="Z706" s="42"/>
      <c r="AA706" s="42"/>
      <c r="AB706" s="42" t="str">
        <f>IFERROR(__xludf.DUMMYFUNCTION("""COMPUTED_VALUE"""),"Hiroshi Yamakawa")</f>
        <v>Hiroshi Yamakawa</v>
      </c>
      <c r="AC706" s="42"/>
      <c r="AD706" s="42"/>
      <c r="AE706" s="42"/>
      <c r="AF706" s="9"/>
      <c r="AG706" s="9"/>
      <c r="AH706" s="42"/>
      <c r="AI706" s="42"/>
      <c r="AJ706" s="42"/>
      <c r="AK706" s="42"/>
      <c r="AL706" s="42"/>
      <c r="AM706" s="42"/>
      <c r="AN706" s="42"/>
      <c r="AO706" s="63" t="str">
        <f>IFERROR(__xludf.DUMMYFUNCTION("IF(ISBLANK(A706),,IF(ISBLANK(S706), A706&amp;"";"", TEXTJOIN(CHAR(10), TRUE, A706&amp;"";"", ARRAYFORMULA(VLOOKUP(SPLIT(S706, "";"" &amp; CHAR(10)), $A:$AO, 41, FALSE)))))"),"Cx.L6CLA;")</f>
        <v>Cx.L6CLA;</v>
      </c>
      <c r="AP706" s="89"/>
    </row>
    <row r="707">
      <c r="A707" s="151" t="str">
        <f>IFERROR(__xludf.DUMMYFUNCTION("""COMPUTED_VALUE"""),"Cx.L6IN")</f>
        <v>Cx.L6IN</v>
      </c>
      <c r="B707" s="42" t="str">
        <f>IFERROR(__xludf.DUMMYFUNCTION("""COMPUTED_VALUE"""),"makeshift")</f>
        <v>makeshift</v>
      </c>
      <c r="C707" s="42" t="str">
        <f>IFERROR(__xludf.DUMMYFUNCTION("""COMPUTED_VALUE"""),"Cerebral cortical inter neurons in layer 6")</f>
        <v>Cerebral cortical inter neurons in layer 6</v>
      </c>
      <c r="D707" s="42">
        <f>IFERROR(__xludf.DUMMYFUNCTION("""COMPUTED_VALUE"""),658.1)</f>
        <v>658.1</v>
      </c>
      <c r="E707" s="39"/>
      <c r="F707" s="9"/>
      <c r="G707" s="9"/>
      <c r="H707" s="9"/>
      <c r="I707" s="9"/>
      <c r="J707" s="9"/>
      <c r="K707" s="9"/>
      <c r="L707" s="9"/>
      <c r="M707" s="9"/>
      <c r="N707" s="9"/>
      <c r="O707" s="9"/>
      <c r="P707" s="9"/>
      <c r="Q707" s="9"/>
      <c r="R707" s="9"/>
      <c r="S707" s="42"/>
      <c r="T707" s="42"/>
      <c r="U707" s="42" t="b">
        <f>IFERROR(__xludf.DUMMYFUNCTION("""COMPUTED_VALUE"""),TRUE)</f>
        <v>1</v>
      </c>
      <c r="V707" s="42" t="str">
        <f>IFERROR(__xludf.DUMMYFUNCTION("""COMPUTED_VALUE"""),"GABA")</f>
        <v>GABA</v>
      </c>
      <c r="W707" s="42" t="str">
        <f>IFERROR(__xludf.DUMMYFUNCTION("""COMPUTED_VALUE"""),"Inhibitory")</f>
        <v>Inhibitory</v>
      </c>
      <c r="X707" s="42"/>
      <c r="Y707" s="42"/>
      <c r="Z707" s="42"/>
      <c r="AA707" s="42"/>
      <c r="AB707" s="42"/>
      <c r="AC707" s="42"/>
      <c r="AD707" s="42"/>
      <c r="AE707" s="42"/>
      <c r="AF707" s="9"/>
      <c r="AG707" s="9"/>
      <c r="AH707" s="42"/>
      <c r="AI707" s="42"/>
      <c r="AJ707" s="42"/>
      <c r="AK707" s="42"/>
      <c r="AL707" s="42"/>
      <c r="AM707" s="42"/>
      <c r="AN707" s="42"/>
      <c r="AO707" s="63" t="str">
        <f>IFERROR(__xludf.DUMMYFUNCTION("IF(ISBLANK(A707),,IF(ISBLANK(S707), A707&amp;"";"", TEXTJOIN(CHAR(10), TRUE, A707&amp;"";"", ARRAYFORMULA(VLOOKUP(SPLIT(S707, "";"" &amp; CHAR(10)), $A:$AO, 41, FALSE)))))"),"Cx.L6IN;")</f>
        <v>Cx.L6IN;</v>
      </c>
      <c r="AP707" s="89"/>
    </row>
    <row r="708">
      <c r="A708" s="151" t="str">
        <f>IFERROR(__xludf.DUMMYFUNCTION("""COMPUTED_VALUE"""),"NCx")</f>
        <v>NCx</v>
      </c>
      <c r="B708" s="42" t="str">
        <f>IFERROR(__xludf.DUMMYFUNCTION("""COMPUTED_VALUE"""),"DHBA")</f>
        <v>DHBA</v>
      </c>
      <c r="C708" s="42" t="str">
        <f>IFERROR(__xludf.DUMMYFUNCTION("""COMPUTED_VALUE"""),"cerebral cortex")</f>
        <v>cerebral cortex</v>
      </c>
      <c r="D708" s="42">
        <f>IFERROR(__xludf.DUMMYFUNCTION("""COMPUTED_VALUE"""),659.0)</f>
        <v>659</v>
      </c>
      <c r="E708" s="39" t="str">
        <f>IFERROR(__xludf.DUMMYFUNCTION("""COMPUTED_VALUE"""),"neocortex (isocortex)")</f>
        <v>neocortex (isocortex)</v>
      </c>
      <c r="F708" s="9" t="str">
        <f>IFERROR(__xludf.DUMMYFUNCTION("""COMPUTED_VALUE"""),"Br")</f>
        <v>Br</v>
      </c>
      <c r="G708" s="9" t="str">
        <f>IFERROR(__xludf.DUMMYFUNCTION("""COMPUTED_VALUE"""),"F")</f>
        <v>F</v>
      </c>
      <c r="H708" s="9" t="str">
        <f>IFERROR(__xludf.DUMMYFUNCTION("""COMPUTED_VALUE"""),"FGM")</f>
        <v>FGM</v>
      </c>
      <c r="I708" s="9" t="str">
        <f>IFERROR(__xludf.DUMMYFUNCTION("""COMPUTED_VALUE"""),"Tel")</f>
        <v>Tel</v>
      </c>
      <c r="J708" s="9" t="str">
        <f>IFERROR(__xludf.DUMMYFUNCTION("""COMPUTED_VALUE"""),"Cx")</f>
        <v>Cx</v>
      </c>
      <c r="K708" s="9" t="str">
        <f>IFERROR(__xludf.DUMMYFUNCTION("""COMPUTED_VALUE"""),"NCx")</f>
        <v>NCx</v>
      </c>
      <c r="L708" s="9"/>
      <c r="M708" s="9"/>
      <c r="N708" s="9"/>
      <c r="O708" s="9"/>
      <c r="P708" s="9"/>
      <c r="Q708" s="9"/>
      <c r="R708" s="9"/>
      <c r="S708" s="42" t="str">
        <f>IFERROR(__xludf.DUMMYFUNCTION("""COMPUTED_VALUE"""),"FCx;
M1C_S1C;
PCx;
TCx;
Ocx;
ICx;
CCx")</f>
        <v>FCx;
M1C_S1C;
PCx;
TCx;
Ocx;
ICx;
CCx</v>
      </c>
      <c r="T708" s="42"/>
      <c r="U708" s="42" t="b">
        <f>IFERROR(__xludf.DUMMYFUNCTION("""COMPUTED_VALUE"""),FALSE)</f>
        <v>0</v>
      </c>
      <c r="V708" s="42"/>
      <c r="W708" s="42"/>
      <c r="X708" s="42"/>
      <c r="Y708" s="42"/>
      <c r="Z708" s="42"/>
      <c r="AA708" s="42"/>
      <c r="AB708" s="42" t="str">
        <f>IFERROR(__xludf.DUMMYFUNCTION("""COMPUTED_VALUE"""),"allen institute")</f>
        <v>allen institute</v>
      </c>
      <c r="AC708" s="42" t="str">
        <f>IFERROR(__xludf.DUMMYFUNCTION("""COMPUTED_VALUE"""),"DHBA")</f>
        <v>DHBA</v>
      </c>
      <c r="AD708" s="42"/>
      <c r="AE708" s="42"/>
      <c r="AF708" s="9"/>
      <c r="AG708" s="9"/>
      <c r="AH708" s="42"/>
      <c r="AI708" s="42"/>
      <c r="AJ708" s="42"/>
      <c r="AK708" s="42"/>
      <c r="AL708" s="42"/>
      <c r="AM708" s="42"/>
      <c r="AN708" s="42"/>
      <c r="AO708" s="63" t="str">
        <f>IFERROR(__xludf.DUMMYFUNCTION("IF(ISBLANK(A708),,IF(ISBLANK(S708), A708&amp;"";"", TEXTJOIN(CHAR(10), TRUE, A708&amp;"";"", ARRAYFORMULA(VLOOKUP(SPLIT(S708, "";"" &amp; CHAR(10)), $A:$AO, 41, FALSE)))))"),"#N/A")</f>
        <v>#N/A</v>
      </c>
      <c r="AP708" s="89"/>
    </row>
    <row r="709">
      <c r="A709" s="151" t="str">
        <f>IFERROR(__xludf.DUMMYFUNCTION("""COMPUTED_VALUE"""),"FCx")</f>
        <v>FCx</v>
      </c>
      <c r="B709" s="42" t="str">
        <f>IFERROR(__xludf.DUMMYFUNCTION("""COMPUTED_VALUE"""),"DHBA")</f>
        <v>DHBA</v>
      </c>
      <c r="C709" s="42" t="str">
        <f>IFERROR(__xludf.DUMMYFUNCTION("""COMPUTED_VALUE"""),"frontal neocortex")</f>
        <v>frontal neocortex</v>
      </c>
      <c r="D709" s="42">
        <f>IFERROR(__xludf.DUMMYFUNCTION("""COMPUTED_VALUE"""),660.0)</f>
        <v>660</v>
      </c>
      <c r="E709" s="39" t="str">
        <f>IFERROR(__xludf.DUMMYFUNCTION("""COMPUTED_VALUE"""),"frontal neocortex")</f>
        <v>frontal neocortex</v>
      </c>
      <c r="F709" s="9" t="str">
        <f>IFERROR(__xludf.DUMMYFUNCTION("""COMPUTED_VALUE"""),"Br")</f>
        <v>Br</v>
      </c>
      <c r="G709" s="9" t="str">
        <f>IFERROR(__xludf.DUMMYFUNCTION("""COMPUTED_VALUE"""),"F")</f>
        <v>F</v>
      </c>
      <c r="H709" s="9" t="str">
        <f>IFERROR(__xludf.DUMMYFUNCTION("""COMPUTED_VALUE"""),"FGM")</f>
        <v>FGM</v>
      </c>
      <c r="I709" s="9" t="str">
        <f>IFERROR(__xludf.DUMMYFUNCTION("""COMPUTED_VALUE"""),"Tel")</f>
        <v>Tel</v>
      </c>
      <c r="J709" s="9" t="str">
        <f>IFERROR(__xludf.DUMMYFUNCTION("""COMPUTED_VALUE"""),"Cx")</f>
        <v>Cx</v>
      </c>
      <c r="K709" s="9" t="str">
        <f>IFERROR(__xludf.DUMMYFUNCTION("""COMPUTED_VALUE"""),"NCx")</f>
        <v>NCx</v>
      </c>
      <c r="L709" s="9" t="str">
        <f>IFERROR(__xludf.DUMMYFUNCTION("""COMPUTED_VALUE"""),"FCx")</f>
        <v>FCx</v>
      </c>
      <c r="M709" s="9"/>
      <c r="N709" s="9"/>
      <c r="O709" s="9"/>
      <c r="P709" s="9"/>
      <c r="Q709" s="9"/>
      <c r="R709" s="9"/>
      <c r="S709" s="42" t="str">
        <f>IFERROR(__xludf.DUMMYFUNCTION("""COMPUTED_VALUE"""),"dmPFC;
dlPFC;
vlPFC;
PFC;
OFC;
PoFC")</f>
        <v>dmPFC;
dlPFC;
vlPFC;
PFC;
OFC;
PoFC</v>
      </c>
      <c r="T709" s="42" t="str">
        <f>IFERROR(__xludf.DUMMYFUNCTION("""COMPUTED_VALUE"""),"NCx")</f>
        <v>NCx</v>
      </c>
      <c r="U709" s="42" t="b">
        <f>IFERROR(__xludf.DUMMYFUNCTION("""COMPUTED_VALUE"""),FALSE)</f>
        <v>0</v>
      </c>
      <c r="V709" s="42"/>
      <c r="W709" s="42"/>
      <c r="X709" s="42"/>
      <c r="Y709" s="42"/>
      <c r="Z709" s="42"/>
      <c r="AA709" s="42"/>
      <c r="AB709" s="42" t="str">
        <f>IFERROR(__xludf.DUMMYFUNCTION("""COMPUTED_VALUE"""),"allen institute")</f>
        <v>allen institute</v>
      </c>
      <c r="AC709" s="42" t="str">
        <f>IFERROR(__xludf.DUMMYFUNCTION("""COMPUTED_VALUE"""),"DHBA")</f>
        <v>DHBA</v>
      </c>
      <c r="AD709" s="42"/>
      <c r="AE709" s="42"/>
      <c r="AF709" s="9"/>
      <c r="AG709" s="9"/>
      <c r="AH709" s="42"/>
      <c r="AI709" s="42"/>
      <c r="AJ709" s="42"/>
      <c r="AK709" s="42"/>
      <c r="AL709" s="42"/>
      <c r="AM709" s="42"/>
      <c r="AN709" s="42"/>
      <c r="AO709" s="63" t="str">
        <f>IFERROR(__xludf.DUMMYFUNCTION("IF(ISBLANK(A709),,IF(ISBLANK(S709), A709&amp;"";"", TEXTJOIN(CHAR(10), TRUE, A709&amp;"";"", ARRAYFORMULA(VLOOKUP(SPLIT(S709, "";"" &amp; CHAR(10)), $A:$AO, 41, FALSE)))))"),"#N/A")</f>
        <v>#N/A</v>
      </c>
      <c r="AP709" s="89"/>
    </row>
    <row r="710">
      <c r="A710" s="151" t="str">
        <f>IFERROR(__xludf.DUMMYFUNCTION("""COMPUTED_VALUE"""),"dmPFC")</f>
        <v>dmPFC</v>
      </c>
      <c r="B710" s="42" t="str">
        <f>IFERROR(__xludf.DUMMYFUNCTION("""COMPUTED_VALUE"""),"[Krueger, 2019]")</f>
        <v>[Krueger, 2019]</v>
      </c>
      <c r="C710" s="42" t="str">
        <f>IFERROR(__xludf.DUMMYFUNCTION("""COMPUTED_VALUE"""),"dmPFC, dorsomedial prefrontal cortex")</f>
        <v>dmPFC, dorsomedial prefrontal cortex</v>
      </c>
      <c r="D710" s="42">
        <f>IFERROR(__xludf.DUMMYFUNCTION("""COMPUTED_VALUE"""),660.1)</f>
        <v>660.1</v>
      </c>
      <c r="E710" s="39" t="str">
        <f>IFERROR(__xludf.DUMMYFUNCTION("""COMPUTED_VALUE"""),"")</f>
        <v/>
      </c>
      <c r="F710" s="9" t="str">
        <f>IFERROR(__xludf.DUMMYFUNCTION("""COMPUTED_VALUE"""),"")</f>
        <v/>
      </c>
      <c r="G710" s="9" t="str">
        <f>IFERROR(__xludf.DUMMYFUNCTION("""COMPUTED_VALUE"""),"")</f>
        <v/>
      </c>
      <c r="H710" s="9" t="str">
        <f>IFERROR(__xludf.DUMMYFUNCTION("""COMPUTED_VALUE"""),"")</f>
        <v/>
      </c>
      <c r="I710" s="9" t="str">
        <f>IFERROR(__xludf.DUMMYFUNCTION("""COMPUTED_VALUE"""),"")</f>
        <v/>
      </c>
      <c r="J710" s="9" t="str">
        <f>IFERROR(__xludf.DUMMYFUNCTION("""COMPUTED_VALUE"""),"")</f>
        <v/>
      </c>
      <c r="K710" s="9" t="str">
        <f>IFERROR(__xludf.DUMMYFUNCTION("""COMPUTED_VALUE"""),"")</f>
        <v/>
      </c>
      <c r="L710" s="9" t="str">
        <f>IFERROR(__xludf.DUMMYFUNCTION("""COMPUTED_VALUE"""),"")</f>
        <v/>
      </c>
      <c r="M710" s="9" t="str">
        <f>IFERROR(__xludf.DUMMYFUNCTION("""COMPUTED_VALUE"""),"")</f>
        <v/>
      </c>
      <c r="N710" s="9" t="str">
        <f>IFERROR(__xludf.DUMMYFUNCTION("""COMPUTED_VALUE"""),"")</f>
        <v/>
      </c>
      <c r="O710" s="9" t="str">
        <f>IFERROR(__xludf.DUMMYFUNCTION("""COMPUTED_VALUE"""),"")</f>
        <v/>
      </c>
      <c r="P710" s="9" t="str">
        <f>IFERROR(__xludf.DUMMYFUNCTION("""COMPUTED_VALUE"""),"")</f>
        <v/>
      </c>
      <c r="Q710" s="9" t="str">
        <f>IFERROR(__xludf.DUMMYFUNCTION("""COMPUTED_VALUE"""),"")</f>
        <v/>
      </c>
      <c r="R710" s="9" t="str">
        <f>IFERROR(__xludf.DUMMYFUNCTION("""COMPUTED_VALUE"""),"")</f>
        <v/>
      </c>
      <c r="S710" s="42" t="str">
        <f>IFERROR(__xludf.DUMMYFUNCTION("""COMPUTED_VALUE"""),"A8m;
A9m;
A24;
A32")</f>
        <v>A8m;
A9m;
A24;
A32</v>
      </c>
      <c r="T710" s="42" t="str">
        <f>IFERROR(__xludf.DUMMYFUNCTION("""COMPUTED_VALUE"""),"NCx")</f>
        <v>NCx</v>
      </c>
      <c r="U710" s="159" t="b">
        <f>IFERROR(__xludf.DUMMYFUNCTION("""COMPUTED_VALUE"""),FALSE)</f>
        <v>0</v>
      </c>
      <c r="V710" s="42"/>
      <c r="W710" s="42"/>
      <c r="X710" s="42"/>
      <c r="Y710" s="42"/>
      <c r="Z710" s="42"/>
      <c r="AA710" s="42"/>
      <c r="AB710" s="42" t="str">
        <f>IFERROR(__xludf.DUMMYFUNCTION("""COMPUTED_VALUE"""),"Yudai Suzuki")</f>
        <v>Yudai Suzuki</v>
      </c>
      <c r="AC710" s="42" t="str">
        <f>IFERROR(__xludf.DUMMYFUNCTION("""COMPUTED_VALUE"""),"YS21Trust")</f>
        <v>YS21Trust</v>
      </c>
      <c r="AD710" s="42"/>
      <c r="AE710" s="42"/>
      <c r="AF710" s="9"/>
      <c r="AG710" s="9"/>
      <c r="AH710" s="42"/>
      <c r="AI710" s="42"/>
      <c r="AJ710" s="42"/>
      <c r="AK710" s="42"/>
      <c r="AL710" s="42"/>
      <c r="AM710" s="42"/>
      <c r="AN710" s="42"/>
      <c r="AO710" s="63" t="str">
        <f>IFERROR(__xludf.DUMMYFUNCTION("IF(ISBLANK(A710),,IF(ISBLANK(S710), A710&amp;"";"", TEXTJOIN(CHAR(10), TRUE, A710&amp;"";"", ARRAYFORMULA(VLOOKUP(SPLIT(S710, "";"" &amp; CHAR(10)), $A:$AO, 41, FALSE)))))"),"#N/A")</f>
        <v>#N/A</v>
      </c>
      <c r="AP710" s="89"/>
    </row>
    <row r="711">
      <c r="A711" s="151" t="str">
        <f>IFERROR(__xludf.DUMMYFUNCTION("""COMPUTED_VALUE"""),"dlPFC")</f>
        <v>dlPFC</v>
      </c>
      <c r="B711" s="42" t="str">
        <f>IFERROR(__xludf.DUMMYFUNCTION("""COMPUTED_VALUE"""),"collection")</f>
        <v>collection</v>
      </c>
      <c r="C711" s="42" t="str">
        <f>IFERROR(__xludf.DUMMYFUNCTION("""COMPUTED_VALUE"""),"the dorsolateral PFC")</f>
        <v>the dorsolateral PFC</v>
      </c>
      <c r="D711" s="42">
        <f>IFERROR(__xludf.DUMMYFUNCTION("""COMPUTED_VALUE"""),660.1)</f>
        <v>660.1</v>
      </c>
      <c r="E711" s="39"/>
      <c r="F711" s="9"/>
      <c r="G711" s="9"/>
      <c r="H711" s="9"/>
      <c r="I711" s="9"/>
      <c r="J711" s="9"/>
      <c r="K711" s="9"/>
      <c r="L711" s="9"/>
      <c r="M711" s="9"/>
      <c r="N711" s="9"/>
      <c r="O711" s="9"/>
      <c r="P711" s="9"/>
      <c r="Q711" s="9"/>
      <c r="R711" s="9"/>
      <c r="S711" s="42" t="str">
        <f>IFERROR(__xludf.DUMMYFUNCTION("""COMPUTED_VALUE"""),"A8ld;
A8lv;
A9l;
A9.46;
A46")</f>
        <v>A8ld;
A8lv;
A9l;
A9.46;
A46</v>
      </c>
      <c r="T711" s="42" t="str">
        <f>IFERROR(__xludf.DUMMYFUNCTION("""COMPUTED_VALUE"""),"NCx")</f>
        <v>NCx</v>
      </c>
      <c r="U711" s="159" t="b">
        <f>IFERROR(__xludf.DUMMYFUNCTION("""COMPUTED_VALUE"""),FALSE)</f>
        <v>0</v>
      </c>
      <c r="V711" s="42"/>
      <c r="W711" s="42"/>
      <c r="X711" s="42"/>
      <c r="Y711" s="42"/>
      <c r="Z711" s="42"/>
      <c r="AA711" s="42"/>
      <c r="AB711" s="42" t="str">
        <f>IFERROR(__xludf.DUMMYFUNCTION("""COMPUTED_VALUE"""),"Yudai Suzuki")</f>
        <v>Yudai Suzuki</v>
      </c>
      <c r="AC711" s="42" t="str">
        <f>IFERROR(__xludf.DUMMYFUNCTION("""COMPUTED_VALUE"""),"YS21Trust")</f>
        <v>YS21Trust</v>
      </c>
      <c r="AD711" s="42"/>
      <c r="AE711" s="42"/>
      <c r="AF711" s="9"/>
      <c r="AG711" s="9"/>
      <c r="AH711" s="42"/>
      <c r="AI711" s="42"/>
      <c r="AJ711" s="42"/>
      <c r="AK711" s="42"/>
      <c r="AL711" s="42"/>
      <c r="AM711" s="42"/>
      <c r="AN711" s="42"/>
      <c r="AO711" s="63" t="str">
        <f>IFERROR(__xludf.DUMMYFUNCTION("IF(ISBLANK(A711),,IF(ISBLANK(S711), A711&amp;"";"", TEXTJOIN(CHAR(10), TRUE, A711&amp;"";"", ARRAYFORMULA(VLOOKUP(SPLIT(S711, "";"" &amp; CHAR(10)), $A:$AO, 41, FALSE)))))"),"#N/A")</f>
        <v>#N/A</v>
      </c>
      <c r="AP711" s="89"/>
    </row>
    <row r="712">
      <c r="A712" s="151" t="str">
        <f>IFERROR(__xludf.DUMMYFUNCTION("""COMPUTED_VALUE"""),"PFC")</f>
        <v>PFC</v>
      </c>
      <c r="B712" s="42" t="str">
        <f>IFERROR(__xludf.DUMMYFUNCTION("""COMPUTED_VALUE"""),"DHBA")</f>
        <v>DHBA</v>
      </c>
      <c r="C712" s="42" t="str">
        <f>IFERROR(__xludf.DUMMYFUNCTION("""COMPUTED_VALUE"""),"prefromtal cortex")</f>
        <v>prefromtal cortex</v>
      </c>
      <c r="D712" s="42">
        <f>IFERROR(__xludf.DUMMYFUNCTION("""COMPUTED_VALUE"""),661.0)</f>
        <v>661</v>
      </c>
      <c r="E712" s="39" t="str">
        <f>IFERROR(__xludf.DUMMYFUNCTION("""COMPUTED_VALUE"""),"prefrontal cortex")</f>
        <v>prefrontal cortex</v>
      </c>
      <c r="F712" s="9" t="str">
        <f>IFERROR(__xludf.DUMMYFUNCTION("""COMPUTED_VALUE"""),"Br")</f>
        <v>Br</v>
      </c>
      <c r="G712" s="9" t="str">
        <f>IFERROR(__xludf.DUMMYFUNCTION("""COMPUTED_VALUE"""),"F")</f>
        <v>F</v>
      </c>
      <c r="H712" s="9" t="str">
        <f>IFERROR(__xludf.DUMMYFUNCTION("""COMPUTED_VALUE"""),"FGM")</f>
        <v>FGM</v>
      </c>
      <c r="I712" s="9" t="str">
        <f>IFERROR(__xludf.DUMMYFUNCTION("""COMPUTED_VALUE"""),"Tel")</f>
        <v>Tel</v>
      </c>
      <c r="J712" s="9" t="str">
        <f>IFERROR(__xludf.DUMMYFUNCTION("""COMPUTED_VALUE"""),"Cx")</f>
        <v>Cx</v>
      </c>
      <c r="K712" s="9" t="str">
        <f>IFERROR(__xludf.DUMMYFUNCTION("""COMPUTED_VALUE"""),"NCx")</f>
        <v>NCx</v>
      </c>
      <c r="L712" s="9" t="str">
        <f>IFERROR(__xludf.DUMMYFUNCTION("""COMPUTED_VALUE"""),"FCx")</f>
        <v>FCx</v>
      </c>
      <c r="M712" s="9" t="str">
        <f>IFERROR(__xludf.DUMMYFUNCTION("""COMPUTED_VALUE"""),"PFC")</f>
        <v>PFC</v>
      </c>
      <c r="N712" s="9"/>
      <c r="O712" s="9"/>
      <c r="P712" s="9"/>
      <c r="Q712" s="9"/>
      <c r="R712" s="9"/>
      <c r="S712" s="42" t="str">
        <f>IFERROR(__xludf.DUMMYFUNCTION("""COMPUTED_VALUE"""),"A10;
DFC;
VFC")</f>
        <v>A10;
DFC;
VFC</v>
      </c>
      <c r="T712" s="42"/>
      <c r="U712" s="42" t="b">
        <f>IFERROR(__xludf.DUMMYFUNCTION("""COMPUTED_VALUE"""),FALSE)</f>
        <v>0</v>
      </c>
      <c r="V712" s="42"/>
      <c r="W712" s="42"/>
      <c r="X712" s="42"/>
      <c r="Y712" s="42"/>
      <c r="Z712" s="42"/>
      <c r="AA712" s="42"/>
      <c r="AB712" s="42" t="str">
        <f>IFERROR(__xludf.DUMMYFUNCTION("""COMPUTED_VALUE"""),"allen institute")</f>
        <v>allen institute</v>
      </c>
      <c r="AC712" s="42" t="str">
        <f>IFERROR(__xludf.DUMMYFUNCTION("""COMPUTED_VALUE"""),"DHBA")</f>
        <v>DHBA</v>
      </c>
      <c r="AD712" s="42"/>
      <c r="AE712" s="42"/>
      <c r="AF712" s="9"/>
      <c r="AG712" s="9"/>
      <c r="AH712" s="42"/>
      <c r="AI712" s="42"/>
      <c r="AJ712" s="42"/>
      <c r="AK712" s="42"/>
      <c r="AL712" s="42"/>
      <c r="AM712" s="42"/>
      <c r="AN712" s="42"/>
      <c r="AO712" s="63" t="str">
        <f>IFERROR(__xludf.DUMMYFUNCTION("IF(ISBLANK(A712),,IF(ISBLANK(S712), A712&amp;"";"", TEXTJOIN(CHAR(10), TRUE, A712&amp;"";"", ARRAYFORMULA(VLOOKUP(SPLIT(S712, "";"" &amp; CHAR(10)), $A:$AO, 41, FALSE)))))"),"#N/A")</f>
        <v>#N/A</v>
      </c>
      <c r="AP712" s="89"/>
    </row>
    <row r="713">
      <c r="A713" s="151" t="str">
        <f>IFERROR(__xludf.DUMMYFUNCTION("""COMPUTED_VALUE"""),"A10")</f>
        <v>A10</v>
      </c>
      <c r="B713" s="42" t="str">
        <f>IFERROR(__xludf.DUMMYFUNCTION("""COMPUTED_VALUE"""),"DHBA")</f>
        <v>DHBA</v>
      </c>
      <c r="C713" s="42" t="str">
        <f>IFERROR(__xludf.DUMMYFUNCTION("""COMPUTED_VALUE"""),"frontal polar cortex (area 10)")</f>
        <v>frontal polar cortex (area 10)</v>
      </c>
      <c r="D713" s="42">
        <f>IFERROR(__xludf.DUMMYFUNCTION("""COMPUTED_VALUE"""),662.0)</f>
        <v>662</v>
      </c>
      <c r="E713" s="39" t="str">
        <f>IFERROR(__xludf.DUMMYFUNCTION("""COMPUTED_VALUE"""),"frontal polar cortex (area 10)")</f>
        <v>frontal polar cortex (area 10)</v>
      </c>
      <c r="F713" s="9" t="str">
        <f>IFERROR(__xludf.DUMMYFUNCTION("""COMPUTED_VALUE"""),"Br")</f>
        <v>Br</v>
      </c>
      <c r="G713" s="9" t="str">
        <f>IFERROR(__xludf.DUMMYFUNCTION("""COMPUTED_VALUE"""),"F")</f>
        <v>F</v>
      </c>
      <c r="H713" s="9" t="str">
        <f>IFERROR(__xludf.DUMMYFUNCTION("""COMPUTED_VALUE"""),"FGM")</f>
        <v>FGM</v>
      </c>
      <c r="I713" s="9" t="str">
        <f>IFERROR(__xludf.DUMMYFUNCTION("""COMPUTED_VALUE"""),"Tel")</f>
        <v>Tel</v>
      </c>
      <c r="J713" s="9" t="str">
        <f>IFERROR(__xludf.DUMMYFUNCTION("""COMPUTED_VALUE"""),"Cx")</f>
        <v>Cx</v>
      </c>
      <c r="K713" s="9" t="str">
        <f>IFERROR(__xludf.DUMMYFUNCTION("""COMPUTED_VALUE"""),"NCx")</f>
        <v>NCx</v>
      </c>
      <c r="L713" s="9" t="str">
        <f>IFERROR(__xludf.DUMMYFUNCTION("""COMPUTED_VALUE"""),"FCx")</f>
        <v>FCx</v>
      </c>
      <c r="M713" s="9" t="str">
        <f>IFERROR(__xludf.DUMMYFUNCTION("""COMPUTED_VALUE"""),"PFC")</f>
        <v>PFC</v>
      </c>
      <c r="N713" s="9" t="str">
        <f>IFERROR(__xludf.DUMMYFUNCTION("""COMPUTED_VALUE"""),"A10")</f>
        <v>A10</v>
      </c>
      <c r="O713" s="9"/>
      <c r="P713" s="9"/>
      <c r="Q713" s="9"/>
      <c r="R713" s="9"/>
      <c r="S713" s="42" t="str">
        <f>IFERROR(__xludf.DUMMYFUNCTION("""COMPUTED_VALUE"""),"A10m;
A10l;
A10o")</f>
        <v>A10m;
A10l;
A10o</v>
      </c>
      <c r="T713" s="42" t="str">
        <f>IFERROR(__xludf.DUMMYFUNCTION("""COMPUTED_VALUE"""),"NCx")</f>
        <v>NCx</v>
      </c>
      <c r="U713" s="42" t="b">
        <f>IFERROR(__xludf.DUMMYFUNCTION("""COMPUTED_VALUE"""),FALSE)</f>
        <v>0</v>
      </c>
      <c r="V713" s="42"/>
      <c r="W713" s="42"/>
      <c r="X713" s="42"/>
      <c r="Y713" s="42"/>
      <c r="Z713" s="42"/>
      <c r="AA713" s="42"/>
      <c r="AB713" s="42" t="str">
        <f>IFERROR(__xludf.DUMMYFUNCTION("""COMPUTED_VALUE"""),"allen institute")</f>
        <v>allen institute</v>
      </c>
      <c r="AC713" s="42" t="str">
        <f>IFERROR(__xludf.DUMMYFUNCTION("""COMPUTED_VALUE"""),"DHBA")</f>
        <v>DHBA</v>
      </c>
      <c r="AD713" s="42"/>
      <c r="AE713" s="42"/>
      <c r="AF713" s="9"/>
      <c r="AG713" s="9"/>
      <c r="AH713" s="42"/>
      <c r="AI713" s="42"/>
      <c r="AJ713" s="42"/>
      <c r="AK713" s="42"/>
      <c r="AL713" s="42"/>
      <c r="AM713" s="42"/>
      <c r="AN713" s="42"/>
      <c r="AO713" s="63" t="str">
        <f>IFERROR(__xludf.DUMMYFUNCTION("IF(ISBLANK(A713),,IF(ISBLANK(S713), A713&amp;"";"", TEXTJOIN(CHAR(10), TRUE, A713&amp;"";"", ARRAYFORMULA(VLOOKUP(SPLIT(S713, "";"" &amp; CHAR(10)), $A:$AO, 41, FALSE)))))"),"A10;
A10m;
A10m1;
A10m2;
A10m3;
A10m4;
A10m5;
A10m6;
A10l;
A10l1;
A10l2;
A10l3;
A10l4;
A10l5;
A10l6;
A10o;
A10o1;
A10o2;
A10o3;
A10o4;
A10o5;
A10o6;")</f>
        <v>A10;
A10m;
A10m1;
A10m2;
A10m3;
A10m4;
A10m5;
A10m6;
A10l;
A10l1;
A10l2;
A10l3;
A10l4;
A10l5;
A10l6;
A10o;
A10o1;
A10o2;
A10o3;
A10o4;
A10o5;
A10o6;</v>
      </c>
      <c r="AP713" s="89"/>
    </row>
    <row r="714">
      <c r="A714" s="151" t="str">
        <f>IFERROR(__xludf.DUMMYFUNCTION("""COMPUTED_VALUE"""),"A10m")</f>
        <v>A10m</v>
      </c>
      <c r="B714" s="42" t="str">
        <f>IFERROR(__xludf.DUMMYFUNCTION("""COMPUTED_VALUE"""),"DHBA")</f>
        <v>DHBA</v>
      </c>
      <c r="C714" s="42" t="str">
        <f>IFERROR(__xludf.DUMMYFUNCTION("""COMPUTED_VALUE"""),"medial subdivision of area 10")</f>
        <v>medial subdivision of area 10</v>
      </c>
      <c r="D714" s="42">
        <f>IFERROR(__xludf.DUMMYFUNCTION("""COMPUTED_VALUE"""),663.0)</f>
        <v>663</v>
      </c>
      <c r="E714" s="39" t="str">
        <f>IFERROR(__xludf.DUMMYFUNCTION("""COMPUTED_VALUE"""),"medial subdivision of area 10")</f>
        <v>medial subdivision of area 10</v>
      </c>
      <c r="F714" s="9" t="str">
        <f>IFERROR(__xludf.DUMMYFUNCTION("""COMPUTED_VALUE"""),"Br")</f>
        <v>Br</v>
      </c>
      <c r="G714" s="9" t="str">
        <f>IFERROR(__xludf.DUMMYFUNCTION("""COMPUTED_VALUE"""),"F")</f>
        <v>F</v>
      </c>
      <c r="H714" s="9" t="str">
        <f>IFERROR(__xludf.DUMMYFUNCTION("""COMPUTED_VALUE"""),"FGM")</f>
        <v>FGM</v>
      </c>
      <c r="I714" s="9" t="str">
        <f>IFERROR(__xludf.DUMMYFUNCTION("""COMPUTED_VALUE"""),"Tel")</f>
        <v>Tel</v>
      </c>
      <c r="J714" s="9" t="str">
        <f>IFERROR(__xludf.DUMMYFUNCTION("""COMPUTED_VALUE"""),"Cx")</f>
        <v>Cx</v>
      </c>
      <c r="K714" s="9" t="str">
        <f>IFERROR(__xludf.DUMMYFUNCTION("""COMPUTED_VALUE"""),"NCx")</f>
        <v>NCx</v>
      </c>
      <c r="L714" s="9" t="str">
        <f>IFERROR(__xludf.DUMMYFUNCTION("""COMPUTED_VALUE"""),"FCx")</f>
        <v>FCx</v>
      </c>
      <c r="M714" s="9" t="str">
        <f>IFERROR(__xludf.DUMMYFUNCTION("""COMPUTED_VALUE"""),"PFC")</f>
        <v>PFC</v>
      </c>
      <c r="N714" s="9" t="str">
        <f>IFERROR(__xludf.DUMMYFUNCTION("""COMPUTED_VALUE"""),"A10")</f>
        <v>A10</v>
      </c>
      <c r="O714" s="9" t="str">
        <f>IFERROR(__xludf.DUMMYFUNCTION("""COMPUTED_VALUE"""),"A10m")</f>
        <v>A10m</v>
      </c>
      <c r="P714" s="9"/>
      <c r="Q714" s="9"/>
      <c r="R714" s="9"/>
      <c r="S714" s="42" t="str">
        <f>IFERROR(__xludf.DUMMYFUNCTION("""COMPUTED_VALUE"""),"A10m1;
A10m2;
A10m3;
A10m4;
A10m5;
A10m6")</f>
        <v>A10m1;
A10m2;
A10m3;
A10m4;
A10m5;
A10m6</v>
      </c>
      <c r="T714" s="42" t="str">
        <f>IFERROR(__xludf.DUMMYFUNCTION("""COMPUTED_VALUE"""),"NCx")</f>
        <v>NCx</v>
      </c>
      <c r="U714" s="42" t="b">
        <f>IFERROR(__xludf.DUMMYFUNCTION("""COMPUTED_VALUE"""),FALSE)</f>
        <v>0</v>
      </c>
      <c r="V714" s="42"/>
      <c r="W714" s="42"/>
      <c r="X714" s="42"/>
      <c r="Y714" s="42"/>
      <c r="Z714" s="42"/>
      <c r="AA714" s="42"/>
      <c r="AB714" s="42" t="str">
        <f>IFERROR(__xludf.DUMMYFUNCTION("""COMPUTED_VALUE"""),"allen institute")</f>
        <v>allen institute</v>
      </c>
      <c r="AC714" s="42" t="str">
        <f>IFERROR(__xludf.DUMMYFUNCTION("""COMPUTED_VALUE"""),"DHBA")</f>
        <v>DHBA</v>
      </c>
      <c r="AD714" s="42"/>
      <c r="AE714" s="42"/>
      <c r="AF714" s="9"/>
      <c r="AG714" s="9"/>
      <c r="AH714" s="42"/>
      <c r="AI714" s="42"/>
      <c r="AJ714" s="42"/>
      <c r="AK714" s="42"/>
      <c r="AL714" s="42"/>
      <c r="AM714" s="42"/>
      <c r="AN714" s="42"/>
      <c r="AO714" s="63" t="str">
        <f>IFERROR(__xludf.DUMMYFUNCTION("IF(ISBLANK(A714),,IF(ISBLANK(S714), A714&amp;"";"", TEXTJOIN(CHAR(10), TRUE, A714&amp;"";"", ARRAYFORMULA(VLOOKUP(SPLIT(S714, "";"" &amp; CHAR(10)), $A:$AO, 41, FALSE)))))"),"A10m;
A10m1;
A10m2;
A10m3;
A10m4;
A10m5;
A10m6;")</f>
        <v>A10m;
A10m1;
A10m2;
A10m3;
A10m4;
A10m5;
A10m6;</v>
      </c>
      <c r="AP714" s="89"/>
    </row>
    <row r="715">
      <c r="A715" s="151" t="str">
        <f>IFERROR(__xludf.DUMMYFUNCTION("""COMPUTED_VALUE"""),"A10m1")</f>
        <v>A10m1</v>
      </c>
      <c r="B715" s="42" t="str">
        <f>IFERROR(__xludf.DUMMYFUNCTION("""COMPUTED_VALUE"""),"DHBA")</f>
        <v>DHBA</v>
      </c>
      <c r="C715" s="42" t="str">
        <f>IFERROR(__xludf.DUMMYFUNCTION("""COMPUTED_VALUE"""),"layer I of area 10m")</f>
        <v>layer I of area 10m</v>
      </c>
      <c r="D715" s="42">
        <f>IFERROR(__xludf.DUMMYFUNCTION("""COMPUTED_VALUE"""),664.0)</f>
        <v>664</v>
      </c>
      <c r="E715" s="39" t="str">
        <f>IFERROR(__xludf.DUMMYFUNCTION("""COMPUTED_VALUE"""),"layer I of area 10m")</f>
        <v>layer I of area 10m</v>
      </c>
      <c r="F715" s="9" t="str">
        <f>IFERROR(__xludf.DUMMYFUNCTION("""COMPUTED_VALUE"""),"Br")</f>
        <v>Br</v>
      </c>
      <c r="G715" s="9" t="str">
        <f>IFERROR(__xludf.DUMMYFUNCTION("""COMPUTED_VALUE"""),"F")</f>
        <v>F</v>
      </c>
      <c r="H715" s="9" t="str">
        <f>IFERROR(__xludf.DUMMYFUNCTION("""COMPUTED_VALUE"""),"FGM")</f>
        <v>FGM</v>
      </c>
      <c r="I715" s="9" t="str">
        <f>IFERROR(__xludf.DUMMYFUNCTION("""COMPUTED_VALUE"""),"Tel")</f>
        <v>Tel</v>
      </c>
      <c r="J715" s="9" t="str">
        <f>IFERROR(__xludf.DUMMYFUNCTION("""COMPUTED_VALUE"""),"Cx")</f>
        <v>Cx</v>
      </c>
      <c r="K715" s="9" t="str">
        <f>IFERROR(__xludf.DUMMYFUNCTION("""COMPUTED_VALUE"""),"NCx")</f>
        <v>NCx</v>
      </c>
      <c r="L715" s="9" t="str">
        <f>IFERROR(__xludf.DUMMYFUNCTION("""COMPUTED_VALUE"""),"FCx")</f>
        <v>FCx</v>
      </c>
      <c r="M715" s="9" t="str">
        <f>IFERROR(__xludf.DUMMYFUNCTION("""COMPUTED_VALUE"""),"PFC")</f>
        <v>PFC</v>
      </c>
      <c r="N715" s="9" t="str">
        <f>IFERROR(__xludf.DUMMYFUNCTION("""COMPUTED_VALUE"""),"A10")</f>
        <v>A10</v>
      </c>
      <c r="O715" s="9" t="str">
        <f>IFERROR(__xludf.DUMMYFUNCTION("""COMPUTED_VALUE"""),"A10m")</f>
        <v>A10m</v>
      </c>
      <c r="P715" s="9" t="str">
        <f>IFERROR(__xludf.DUMMYFUNCTION("""COMPUTED_VALUE"""),"A10m1")</f>
        <v>A10m1</v>
      </c>
      <c r="Q715" s="9"/>
      <c r="R715" s="9"/>
      <c r="S715" s="42"/>
      <c r="T715" s="42"/>
      <c r="U715" s="159"/>
      <c r="V715" s="42"/>
      <c r="W715" s="42"/>
      <c r="X715" s="42"/>
      <c r="Y715" s="42"/>
      <c r="Z715" s="42"/>
      <c r="AA715" s="42"/>
      <c r="AB715" s="42" t="str">
        <f>IFERROR(__xludf.DUMMYFUNCTION("""COMPUTED_VALUE"""),"allen institute")</f>
        <v>allen institute</v>
      </c>
      <c r="AC715" s="42" t="str">
        <f>IFERROR(__xludf.DUMMYFUNCTION("""COMPUTED_VALUE"""),"DHBA")</f>
        <v>DHBA</v>
      </c>
      <c r="AD715" s="42"/>
      <c r="AE715" s="42"/>
      <c r="AF715" s="9"/>
      <c r="AG715" s="9"/>
      <c r="AH715" s="42"/>
      <c r="AI715" s="42"/>
      <c r="AJ715" s="42"/>
      <c r="AK715" s="42"/>
      <c r="AL715" s="42"/>
      <c r="AM715" s="42"/>
      <c r="AN715" s="42"/>
      <c r="AO715" s="63" t="str">
        <f>IFERROR(__xludf.DUMMYFUNCTION("IF(ISBLANK(A715),,IF(ISBLANK(S715), A715&amp;"";"", TEXTJOIN(CHAR(10), TRUE, A715&amp;"";"", ARRAYFORMULA(VLOOKUP(SPLIT(S715, "";"" &amp; CHAR(10)), $A:$AO, 41, FALSE)))))"),"A10m1;")</f>
        <v>A10m1;</v>
      </c>
      <c r="AP715" s="89"/>
    </row>
    <row r="716">
      <c r="A716" s="151" t="str">
        <f>IFERROR(__xludf.DUMMYFUNCTION("""COMPUTED_VALUE"""),"A10m2")</f>
        <v>A10m2</v>
      </c>
      <c r="B716" s="42" t="str">
        <f>IFERROR(__xludf.DUMMYFUNCTION("""COMPUTED_VALUE"""),"DHBA")</f>
        <v>DHBA</v>
      </c>
      <c r="C716" s="42" t="str">
        <f>IFERROR(__xludf.DUMMYFUNCTION("""COMPUTED_VALUE"""),"layer II of area 10m")</f>
        <v>layer II of area 10m</v>
      </c>
      <c r="D716" s="42">
        <f>IFERROR(__xludf.DUMMYFUNCTION("""COMPUTED_VALUE"""),665.0)</f>
        <v>665</v>
      </c>
      <c r="E716" s="39" t="str">
        <f>IFERROR(__xludf.DUMMYFUNCTION("""COMPUTED_VALUE"""),"layer II of area 10m")</f>
        <v>layer II of area 10m</v>
      </c>
      <c r="F716" s="9" t="str">
        <f>IFERROR(__xludf.DUMMYFUNCTION("""COMPUTED_VALUE"""),"Br")</f>
        <v>Br</v>
      </c>
      <c r="G716" s="9" t="str">
        <f>IFERROR(__xludf.DUMMYFUNCTION("""COMPUTED_VALUE"""),"F")</f>
        <v>F</v>
      </c>
      <c r="H716" s="9" t="str">
        <f>IFERROR(__xludf.DUMMYFUNCTION("""COMPUTED_VALUE"""),"FGM")</f>
        <v>FGM</v>
      </c>
      <c r="I716" s="9" t="str">
        <f>IFERROR(__xludf.DUMMYFUNCTION("""COMPUTED_VALUE"""),"Tel")</f>
        <v>Tel</v>
      </c>
      <c r="J716" s="9" t="str">
        <f>IFERROR(__xludf.DUMMYFUNCTION("""COMPUTED_VALUE"""),"Cx")</f>
        <v>Cx</v>
      </c>
      <c r="K716" s="9" t="str">
        <f>IFERROR(__xludf.DUMMYFUNCTION("""COMPUTED_VALUE"""),"NCx")</f>
        <v>NCx</v>
      </c>
      <c r="L716" s="9" t="str">
        <f>IFERROR(__xludf.DUMMYFUNCTION("""COMPUTED_VALUE"""),"FCx")</f>
        <v>FCx</v>
      </c>
      <c r="M716" s="9" t="str">
        <f>IFERROR(__xludf.DUMMYFUNCTION("""COMPUTED_VALUE"""),"PFC")</f>
        <v>PFC</v>
      </c>
      <c r="N716" s="9" t="str">
        <f>IFERROR(__xludf.DUMMYFUNCTION("""COMPUTED_VALUE"""),"A10")</f>
        <v>A10</v>
      </c>
      <c r="O716" s="9" t="str">
        <f>IFERROR(__xludf.DUMMYFUNCTION("""COMPUTED_VALUE"""),"A10m")</f>
        <v>A10m</v>
      </c>
      <c r="P716" s="9" t="str">
        <f>IFERROR(__xludf.DUMMYFUNCTION("""COMPUTED_VALUE"""),"A10m2")</f>
        <v>A10m2</v>
      </c>
      <c r="Q716" s="9"/>
      <c r="R716" s="9"/>
      <c r="S716" s="42"/>
      <c r="T716" s="42"/>
      <c r="U716" s="42"/>
      <c r="V716" s="42"/>
      <c r="W716" s="42"/>
      <c r="X716" s="42"/>
      <c r="Y716" s="42"/>
      <c r="Z716" s="42"/>
      <c r="AA716" s="42"/>
      <c r="AB716" s="42" t="str">
        <f>IFERROR(__xludf.DUMMYFUNCTION("""COMPUTED_VALUE"""),"allen institute")</f>
        <v>allen institute</v>
      </c>
      <c r="AC716" s="42" t="str">
        <f>IFERROR(__xludf.DUMMYFUNCTION("""COMPUTED_VALUE"""),"DHBA")</f>
        <v>DHBA</v>
      </c>
      <c r="AD716" s="42"/>
      <c r="AE716" s="42"/>
      <c r="AF716" s="9"/>
      <c r="AG716" s="9"/>
      <c r="AH716" s="42"/>
      <c r="AI716" s="42"/>
      <c r="AJ716" s="42"/>
      <c r="AK716" s="42"/>
      <c r="AL716" s="42"/>
      <c r="AM716" s="42"/>
      <c r="AN716" s="42"/>
      <c r="AO716" s="63" t="str">
        <f>IFERROR(__xludf.DUMMYFUNCTION("IF(ISBLANK(A716),,IF(ISBLANK(S716), A716&amp;"";"", TEXTJOIN(CHAR(10), TRUE, A716&amp;"";"", ARRAYFORMULA(VLOOKUP(SPLIT(S716, "";"" &amp; CHAR(10)), $A:$AO, 41, FALSE)))))"),"A10m2;")</f>
        <v>A10m2;</v>
      </c>
      <c r="AP716" s="89"/>
    </row>
    <row r="717">
      <c r="A717" s="151" t="str">
        <f>IFERROR(__xludf.DUMMYFUNCTION("""COMPUTED_VALUE"""),"A10m3")</f>
        <v>A10m3</v>
      </c>
      <c r="B717" s="42" t="str">
        <f>IFERROR(__xludf.DUMMYFUNCTION("""COMPUTED_VALUE"""),"DHBA")</f>
        <v>DHBA</v>
      </c>
      <c r="C717" s="42" t="str">
        <f>IFERROR(__xludf.DUMMYFUNCTION("""COMPUTED_VALUE"""),"layer III of area 10m")</f>
        <v>layer III of area 10m</v>
      </c>
      <c r="D717" s="42">
        <f>IFERROR(__xludf.DUMMYFUNCTION("""COMPUTED_VALUE"""),666.0)</f>
        <v>666</v>
      </c>
      <c r="E717" s="39" t="str">
        <f>IFERROR(__xludf.DUMMYFUNCTION("""COMPUTED_VALUE"""),"layer III of area 10m")</f>
        <v>layer III of area 10m</v>
      </c>
      <c r="F717" s="9" t="str">
        <f>IFERROR(__xludf.DUMMYFUNCTION("""COMPUTED_VALUE"""),"Br")</f>
        <v>Br</v>
      </c>
      <c r="G717" s="9" t="str">
        <f>IFERROR(__xludf.DUMMYFUNCTION("""COMPUTED_VALUE"""),"F")</f>
        <v>F</v>
      </c>
      <c r="H717" s="9" t="str">
        <f>IFERROR(__xludf.DUMMYFUNCTION("""COMPUTED_VALUE"""),"FGM")</f>
        <v>FGM</v>
      </c>
      <c r="I717" s="9" t="str">
        <f>IFERROR(__xludf.DUMMYFUNCTION("""COMPUTED_VALUE"""),"Tel")</f>
        <v>Tel</v>
      </c>
      <c r="J717" s="9" t="str">
        <f>IFERROR(__xludf.DUMMYFUNCTION("""COMPUTED_VALUE"""),"Cx")</f>
        <v>Cx</v>
      </c>
      <c r="K717" s="9" t="str">
        <f>IFERROR(__xludf.DUMMYFUNCTION("""COMPUTED_VALUE"""),"NCx")</f>
        <v>NCx</v>
      </c>
      <c r="L717" s="9" t="str">
        <f>IFERROR(__xludf.DUMMYFUNCTION("""COMPUTED_VALUE"""),"FCx")</f>
        <v>FCx</v>
      </c>
      <c r="M717" s="9" t="str">
        <f>IFERROR(__xludf.DUMMYFUNCTION("""COMPUTED_VALUE"""),"PFC")</f>
        <v>PFC</v>
      </c>
      <c r="N717" s="9" t="str">
        <f>IFERROR(__xludf.DUMMYFUNCTION("""COMPUTED_VALUE"""),"A10")</f>
        <v>A10</v>
      </c>
      <c r="O717" s="9" t="str">
        <f>IFERROR(__xludf.DUMMYFUNCTION("""COMPUTED_VALUE"""),"A10m")</f>
        <v>A10m</v>
      </c>
      <c r="P717" s="9" t="str">
        <f>IFERROR(__xludf.DUMMYFUNCTION("""COMPUTED_VALUE"""),"A10m3")</f>
        <v>A10m3</v>
      </c>
      <c r="Q717" s="9"/>
      <c r="R717" s="9"/>
      <c r="S717" s="42"/>
      <c r="T717" s="42"/>
      <c r="U717" s="42"/>
      <c r="V717" s="42"/>
      <c r="W717" s="42"/>
      <c r="X717" s="42"/>
      <c r="Y717" s="42"/>
      <c r="Z717" s="42"/>
      <c r="AA717" s="42"/>
      <c r="AB717" s="42" t="str">
        <f>IFERROR(__xludf.DUMMYFUNCTION("""COMPUTED_VALUE"""),"allen institute")</f>
        <v>allen institute</v>
      </c>
      <c r="AC717" s="42" t="str">
        <f>IFERROR(__xludf.DUMMYFUNCTION("""COMPUTED_VALUE"""),"DHBA")</f>
        <v>DHBA</v>
      </c>
      <c r="AD717" s="42"/>
      <c r="AE717" s="42"/>
      <c r="AF717" s="9"/>
      <c r="AG717" s="9"/>
      <c r="AH717" s="42"/>
      <c r="AI717" s="42"/>
      <c r="AJ717" s="42"/>
      <c r="AK717" s="42"/>
      <c r="AL717" s="42"/>
      <c r="AM717" s="42"/>
      <c r="AN717" s="42"/>
      <c r="AO717" s="63" t="str">
        <f>IFERROR(__xludf.DUMMYFUNCTION("IF(ISBLANK(A717),,IF(ISBLANK(S717), A717&amp;"";"", TEXTJOIN(CHAR(10), TRUE, A717&amp;"";"", ARRAYFORMULA(VLOOKUP(SPLIT(S717, "";"" &amp; CHAR(10)), $A:$AO, 41, FALSE)))))"),"A10m3;")</f>
        <v>A10m3;</v>
      </c>
      <c r="AP717" s="89"/>
    </row>
    <row r="718">
      <c r="A718" s="151" t="str">
        <f>IFERROR(__xludf.DUMMYFUNCTION("""COMPUTED_VALUE"""),"A10m4")</f>
        <v>A10m4</v>
      </c>
      <c r="B718" s="42" t="str">
        <f>IFERROR(__xludf.DUMMYFUNCTION("""COMPUTED_VALUE"""),"DHBA")</f>
        <v>DHBA</v>
      </c>
      <c r="C718" s="42" t="str">
        <f>IFERROR(__xludf.DUMMYFUNCTION("""COMPUTED_VALUE"""),"layer IV of area 10m")</f>
        <v>layer IV of area 10m</v>
      </c>
      <c r="D718" s="42">
        <f>IFERROR(__xludf.DUMMYFUNCTION("""COMPUTED_VALUE"""),667.0)</f>
        <v>667</v>
      </c>
      <c r="E718" s="39" t="str">
        <f>IFERROR(__xludf.DUMMYFUNCTION("""COMPUTED_VALUE"""),"layer IV of area 10m")</f>
        <v>layer IV of area 10m</v>
      </c>
      <c r="F718" s="9" t="str">
        <f>IFERROR(__xludf.DUMMYFUNCTION("""COMPUTED_VALUE"""),"Br")</f>
        <v>Br</v>
      </c>
      <c r="G718" s="9" t="str">
        <f>IFERROR(__xludf.DUMMYFUNCTION("""COMPUTED_VALUE"""),"F")</f>
        <v>F</v>
      </c>
      <c r="H718" s="9" t="str">
        <f>IFERROR(__xludf.DUMMYFUNCTION("""COMPUTED_VALUE"""),"FGM")</f>
        <v>FGM</v>
      </c>
      <c r="I718" s="9" t="str">
        <f>IFERROR(__xludf.DUMMYFUNCTION("""COMPUTED_VALUE"""),"Tel")</f>
        <v>Tel</v>
      </c>
      <c r="J718" s="9" t="str">
        <f>IFERROR(__xludf.DUMMYFUNCTION("""COMPUTED_VALUE"""),"Cx")</f>
        <v>Cx</v>
      </c>
      <c r="K718" s="9" t="str">
        <f>IFERROR(__xludf.DUMMYFUNCTION("""COMPUTED_VALUE"""),"NCx")</f>
        <v>NCx</v>
      </c>
      <c r="L718" s="9" t="str">
        <f>IFERROR(__xludf.DUMMYFUNCTION("""COMPUTED_VALUE"""),"FCx")</f>
        <v>FCx</v>
      </c>
      <c r="M718" s="9" t="str">
        <f>IFERROR(__xludf.DUMMYFUNCTION("""COMPUTED_VALUE"""),"PFC")</f>
        <v>PFC</v>
      </c>
      <c r="N718" s="9" t="str">
        <f>IFERROR(__xludf.DUMMYFUNCTION("""COMPUTED_VALUE"""),"A10")</f>
        <v>A10</v>
      </c>
      <c r="O718" s="9" t="str">
        <f>IFERROR(__xludf.DUMMYFUNCTION("""COMPUTED_VALUE"""),"A10m")</f>
        <v>A10m</v>
      </c>
      <c r="P718" s="9" t="str">
        <f>IFERROR(__xludf.DUMMYFUNCTION("""COMPUTED_VALUE"""),"A10m4")</f>
        <v>A10m4</v>
      </c>
      <c r="Q718" s="9"/>
      <c r="R718" s="9"/>
      <c r="S718" s="42"/>
      <c r="T718" s="42"/>
      <c r="U718" s="42"/>
      <c r="V718" s="42"/>
      <c r="W718" s="42"/>
      <c r="X718" s="42"/>
      <c r="Y718" s="42"/>
      <c r="Z718" s="42"/>
      <c r="AA718" s="42"/>
      <c r="AB718" s="42" t="str">
        <f>IFERROR(__xludf.DUMMYFUNCTION("""COMPUTED_VALUE"""),"allen institute")</f>
        <v>allen institute</v>
      </c>
      <c r="AC718" s="42" t="str">
        <f>IFERROR(__xludf.DUMMYFUNCTION("""COMPUTED_VALUE"""),"DHBA")</f>
        <v>DHBA</v>
      </c>
      <c r="AD718" s="42"/>
      <c r="AE718" s="42"/>
      <c r="AF718" s="9"/>
      <c r="AG718" s="9"/>
      <c r="AH718" s="42"/>
      <c r="AI718" s="42"/>
      <c r="AJ718" s="42"/>
      <c r="AK718" s="42"/>
      <c r="AL718" s="42"/>
      <c r="AM718" s="42"/>
      <c r="AN718" s="42"/>
      <c r="AO718" s="63" t="str">
        <f>IFERROR(__xludf.DUMMYFUNCTION("IF(ISBLANK(A718),,IF(ISBLANK(S718), A718&amp;"";"", TEXTJOIN(CHAR(10), TRUE, A718&amp;"";"", ARRAYFORMULA(VLOOKUP(SPLIT(S718, "";"" &amp; CHAR(10)), $A:$AO, 41, FALSE)))))"),"A10m4;")</f>
        <v>A10m4;</v>
      </c>
      <c r="AP718" s="89"/>
    </row>
    <row r="719">
      <c r="A719" s="151" t="str">
        <f>IFERROR(__xludf.DUMMYFUNCTION("""COMPUTED_VALUE"""),"A10m5")</f>
        <v>A10m5</v>
      </c>
      <c r="B719" s="42" t="str">
        <f>IFERROR(__xludf.DUMMYFUNCTION("""COMPUTED_VALUE"""),"DHBA")</f>
        <v>DHBA</v>
      </c>
      <c r="C719" s="42" t="str">
        <f>IFERROR(__xludf.DUMMYFUNCTION("""COMPUTED_VALUE"""),"layer V of area 10m")</f>
        <v>layer V of area 10m</v>
      </c>
      <c r="D719" s="42">
        <f>IFERROR(__xludf.DUMMYFUNCTION("""COMPUTED_VALUE"""),668.0)</f>
        <v>668</v>
      </c>
      <c r="E719" s="39" t="str">
        <f>IFERROR(__xludf.DUMMYFUNCTION("""COMPUTED_VALUE"""),"layer V of area 10m")</f>
        <v>layer V of area 10m</v>
      </c>
      <c r="F719" s="9" t="str">
        <f>IFERROR(__xludf.DUMMYFUNCTION("""COMPUTED_VALUE"""),"Br")</f>
        <v>Br</v>
      </c>
      <c r="G719" s="9" t="str">
        <f>IFERROR(__xludf.DUMMYFUNCTION("""COMPUTED_VALUE"""),"F")</f>
        <v>F</v>
      </c>
      <c r="H719" s="9" t="str">
        <f>IFERROR(__xludf.DUMMYFUNCTION("""COMPUTED_VALUE"""),"FGM")</f>
        <v>FGM</v>
      </c>
      <c r="I719" s="9" t="str">
        <f>IFERROR(__xludf.DUMMYFUNCTION("""COMPUTED_VALUE"""),"Tel")</f>
        <v>Tel</v>
      </c>
      <c r="J719" s="9" t="str">
        <f>IFERROR(__xludf.DUMMYFUNCTION("""COMPUTED_VALUE"""),"Cx")</f>
        <v>Cx</v>
      </c>
      <c r="K719" s="9" t="str">
        <f>IFERROR(__xludf.DUMMYFUNCTION("""COMPUTED_VALUE"""),"NCx")</f>
        <v>NCx</v>
      </c>
      <c r="L719" s="9" t="str">
        <f>IFERROR(__xludf.DUMMYFUNCTION("""COMPUTED_VALUE"""),"FCx")</f>
        <v>FCx</v>
      </c>
      <c r="M719" s="9" t="str">
        <f>IFERROR(__xludf.DUMMYFUNCTION("""COMPUTED_VALUE"""),"PFC")</f>
        <v>PFC</v>
      </c>
      <c r="N719" s="9" t="str">
        <f>IFERROR(__xludf.DUMMYFUNCTION("""COMPUTED_VALUE"""),"A10")</f>
        <v>A10</v>
      </c>
      <c r="O719" s="9" t="str">
        <f>IFERROR(__xludf.DUMMYFUNCTION("""COMPUTED_VALUE"""),"A10m")</f>
        <v>A10m</v>
      </c>
      <c r="P719" s="9" t="str">
        <f>IFERROR(__xludf.DUMMYFUNCTION("""COMPUTED_VALUE"""),"A10m5")</f>
        <v>A10m5</v>
      </c>
      <c r="Q719" s="9"/>
      <c r="R719" s="9"/>
      <c r="S719" s="42"/>
      <c r="T719" s="42"/>
      <c r="U719" s="159"/>
      <c r="V719" s="42"/>
      <c r="W719" s="42"/>
      <c r="X719" s="42"/>
      <c r="Y719" s="42"/>
      <c r="Z719" s="42"/>
      <c r="AA719" s="42"/>
      <c r="AB719" s="42" t="str">
        <f>IFERROR(__xludf.DUMMYFUNCTION("""COMPUTED_VALUE"""),"allen institute")</f>
        <v>allen institute</v>
      </c>
      <c r="AC719" s="42" t="str">
        <f>IFERROR(__xludf.DUMMYFUNCTION("""COMPUTED_VALUE"""),"DHBA")</f>
        <v>DHBA</v>
      </c>
      <c r="AD719" s="42"/>
      <c r="AE719" s="42"/>
      <c r="AF719" s="9"/>
      <c r="AG719" s="9"/>
      <c r="AH719" s="42"/>
      <c r="AI719" s="42"/>
      <c r="AJ719" s="42"/>
      <c r="AK719" s="42"/>
      <c r="AL719" s="42"/>
      <c r="AM719" s="42"/>
      <c r="AN719" s="42"/>
      <c r="AO719" s="63" t="str">
        <f>IFERROR(__xludf.DUMMYFUNCTION("IF(ISBLANK(A719),,IF(ISBLANK(S719), A719&amp;"";"", TEXTJOIN(CHAR(10), TRUE, A719&amp;"";"", ARRAYFORMULA(VLOOKUP(SPLIT(S719, "";"" &amp; CHAR(10)), $A:$AO, 41, FALSE)))))"),"A10m5;")</f>
        <v>A10m5;</v>
      </c>
      <c r="AP719" s="89"/>
    </row>
    <row r="720">
      <c r="A720" s="151" t="str">
        <f>IFERROR(__xludf.DUMMYFUNCTION("""COMPUTED_VALUE"""),"A10m6")</f>
        <v>A10m6</v>
      </c>
      <c r="B720" s="42" t="str">
        <f>IFERROR(__xludf.DUMMYFUNCTION("""COMPUTED_VALUE"""),"DHBA")</f>
        <v>DHBA</v>
      </c>
      <c r="C720" s="42" t="str">
        <f>IFERROR(__xludf.DUMMYFUNCTION("""COMPUTED_VALUE"""),"layer VI of area 10m")</f>
        <v>layer VI of area 10m</v>
      </c>
      <c r="D720" s="42">
        <f>IFERROR(__xludf.DUMMYFUNCTION("""COMPUTED_VALUE"""),669.0)</f>
        <v>669</v>
      </c>
      <c r="E720" s="39" t="str">
        <f>IFERROR(__xludf.DUMMYFUNCTION("""COMPUTED_VALUE"""),"layer VI of area 10m")</f>
        <v>layer VI of area 10m</v>
      </c>
      <c r="F720" s="9" t="str">
        <f>IFERROR(__xludf.DUMMYFUNCTION("""COMPUTED_VALUE"""),"Br")</f>
        <v>Br</v>
      </c>
      <c r="G720" s="9" t="str">
        <f>IFERROR(__xludf.DUMMYFUNCTION("""COMPUTED_VALUE"""),"F")</f>
        <v>F</v>
      </c>
      <c r="H720" s="9" t="str">
        <f>IFERROR(__xludf.DUMMYFUNCTION("""COMPUTED_VALUE"""),"FGM")</f>
        <v>FGM</v>
      </c>
      <c r="I720" s="9" t="str">
        <f>IFERROR(__xludf.DUMMYFUNCTION("""COMPUTED_VALUE"""),"Tel")</f>
        <v>Tel</v>
      </c>
      <c r="J720" s="9" t="str">
        <f>IFERROR(__xludf.DUMMYFUNCTION("""COMPUTED_VALUE"""),"Cx")</f>
        <v>Cx</v>
      </c>
      <c r="K720" s="9" t="str">
        <f>IFERROR(__xludf.DUMMYFUNCTION("""COMPUTED_VALUE"""),"NCx")</f>
        <v>NCx</v>
      </c>
      <c r="L720" s="9" t="str">
        <f>IFERROR(__xludf.DUMMYFUNCTION("""COMPUTED_VALUE"""),"FCx")</f>
        <v>FCx</v>
      </c>
      <c r="M720" s="9" t="str">
        <f>IFERROR(__xludf.DUMMYFUNCTION("""COMPUTED_VALUE"""),"PFC")</f>
        <v>PFC</v>
      </c>
      <c r="N720" s="9" t="str">
        <f>IFERROR(__xludf.DUMMYFUNCTION("""COMPUTED_VALUE"""),"A10")</f>
        <v>A10</v>
      </c>
      <c r="O720" s="9" t="str">
        <f>IFERROR(__xludf.DUMMYFUNCTION("""COMPUTED_VALUE"""),"A10m")</f>
        <v>A10m</v>
      </c>
      <c r="P720" s="9" t="str">
        <f>IFERROR(__xludf.DUMMYFUNCTION("""COMPUTED_VALUE"""),"A10m6")</f>
        <v>A10m6</v>
      </c>
      <c r="Q720" s="9"/>
      <c r="R720" s="9"/>
      <c r="S720" s="42"/>
      <c r="T720" s="42"/>
      <c r="U720" s="159"/>
      <c r="V720" s="42"/>
      <c r="W720" s="42"/>
      <c r="X720" s="42"/>
      <c r="Y720" s="42"/>
      <c r="Z720" s="42"/>
      <c r="AA720" s="42"/>
      <c r="AB720" s="42" t="str">
        <f>IFERROR(__xludf.DUMMYFUNCTION("""COMPUTED_VALUE"""),"allen institute")</f>
        <v>allen institute</v>
      </c>
      <c r="AC720" s="42" t="str">
        <f>IFERROR(__xludf.DUMMYFUNCTION("""COMPUTED_VALUE"""),"DHBA")</f>
        <v>DHBA</v>
      </c>
      <c r="AD720" s="42"/>
      <c r="AE720" s="42"/>
      <c r="AF720" s="9"/>
      <c r="AG720" s="9"/>
      <c r="AH720" s="42"/>
      <c r="AI720" s="42"/>
      <c r="AJ720" s="42"/>
      <c r="AK720" s="42"/>
      <c r="AL720" s="42"/>
      <c r="AM720" s="42"/>
      <c r="AN720" s="42"/>
      <c r="AO720" s="63" t="str">
        <f>IFERROR(__xludf.DUMMYFUNCTION("IF(ISBLANK(A720),,IF(ISBLANK(S720), A720&amp;"";"", TEXTJOIN(CHAR(10), TRUE, A720&amp;"";"", ARRAYFORMULA(VLOOKUP(SPLIT(S720, "";"" &amp; CHAR(10)), $A:$AO, 41, FALSE)))))"),"A10m6;")</f>
        <v>A10m6;</v>
      </c>
      <c r="AP720" s="89"/>
    </row>
    <row r="721">
      <c r="A721" s="151" t="str">
        <f>IFERROR(__xludf.DUMMYFUNCTION("""COMPUTED_VALUE"""),"A10l")</f>
        <v>A10l</v>
      </c>
      <c r="B721" s="42" t="str">
        <f>IFERROR(__xludf.DUMMYFUNCTION("""COMPUTED_VALUE"""),"DHBA")</f>
        <v>DHBA</v>
      </c>
      <c r="C721" s="42" t="str">
        <f>IFERROR(__xludf.DUMMYFUNCTION("""COMPUTED_VALUE"""),"lateral subdivision of area 10")</f>
        <v>lateral subdivision of area 10</v>
      </c>
      <c r="D721" s="42">
        <f>IFERROR(__xludf.DUMMYFUNCTION("""COMPUTED_VALUE"""),670.0)</f>
        <v>670</v>
      </c>
      <c r="E721" s="39" t="str">
        <f>IFERROR(__xludf.DUMMYFUNCTION("""COMPUTED_VALUE"""),"lateral subdivision of area 10")</f>
        <v>lateral subdivision of area 10</v>
      </c>
      <c r="F721" s="9" t="str">
        <f>IFERROR(__xludf.DUMMYFUNCTION("""COMPUTED_VALUE"""),"Br")</f>
        <v>Br</v>
      </c>
      <c r="G721" s="9" t="str">
        <f>IFERROR(__xludf.DUMMYFUNCTION("""COMPUTED_VALUE"""),"F")</f>
        <v>F</v>
      </c>
      <c r="H721" s="9" t="str">
        <f>IFERROR(__xludf.DUMMYFUNCTION("""COMPUTED_VALUE"""),"FGM")</f>
        <v>FGM</v>
      </c>
      <c r="I721" s="9" t="str">
        <f>IFERROR(__xludf.DUMMYFUNCTION("""COMPUTED_VALUE"""),"Tel")</f>
        <v>Tel</v>
      </c>
      <c r="J721" s="9" t="str">
        <f>IFERROR(__xludf.DUMMYFUNCTION("""COMPUTED_VALUE"""),"Cx")</f>
        <v>Cx</v>
      </c>
      <c r="K721" s="9" t="str">
        <f>IFERROR(__xludf.DUMMYFUNCTION("""COMPUTED_VALUE"""),"NCx")</f>
        <v>NCx</v>
      </c>
      <c r="L721" s="9" t="str">
        <f>IFERROR(__xludf.DUMMYFUNCTION("""COMPUTED_VALUE"""),"FCx")</f>
        <v>FCx</v>
      </c>
      <c r="M721" s="9" t="str">
        <f>IFERROR(__xludf.DUMMYFUNCTION("""COMPUTED_VALUE"""),"PFC")</f>
        <v>PFC</v>
      </c>
      <c r="N721" s="9" t="str">
        <f>IFERROR(__xludf.DUMMYFUNCTION("""COMPUTED_VALUE"""),"A10")</f>
        <v>A10</v>
      </c>
      <c r="O721" s="9" t="str">
        <f>IFERROR(__xludf.DUMMYFUNCTION("""COMPUTED_VALUE"""),"A10l")</f>
        <v>A10l</v>
      </c>
      <c r="P721" s="9"/>
      <c r="Q721" s="9"/>
      <c r="R721" s="9"/>
      <c r="S721" s="42" t="str">
        <f>IFERROR(__xludf.DUMMYFUNCTION("""COMPUTED_VALUE"""),"A10l1;
A10l2;
A10l3;
A10l4;
A10l5;
A10l6")</f>
        <v>A10l1;
A10l2;
A10l3;
A10l4;
A10l5;
A10l6</v>
      </c>
      <c r="T721" s="42" t="str">
        <f>IFERROR(__xludf.DUMMYFUNCTION("""COMPUTED_VALUE"""),"NCx")</f>
        <v>NCx</v>
      </c>
      <c r="U721" s="42" t="b">
        <f>IFERROR(__xludf.DUMMYFUNCTION("""COMPUTED_VALUE"""),FALSE)</f>
        <v>0</v>
      </c>
      <c r="V721" s="42"/>
      <c r="W721" s="42"/>
      <c r="X721" s="42"/>
      <c r="Y721" s="42"/>
      <c r="Z721" s="42"/>
      <c r="AA721" s="42"/>
      <c r="AB721" s="42" t="str">
        <f>IFERROR(__xludf.DUMMYFUNCTION("""COMPUTED_VALUE"""),"allen institute")</f>
        <v>allen institute</v>
      </c>
      <c r="AC721" s="42" t="str">
        <f>IFERROR(__xludf.DUMMYFUNCTION("""COMPUTED_VALUE"""),"DHBA")</f>
        <v>DHBA</v>
      </c>
      <c r="AD721" s="42"/>
      <c r="AE721" s="42"/>
      <c r="AF721" s="9"/>
      <c r="AG721" s="9"/>
      <c r="AH721" s="42"/>
      <c r="AI721" s="42"/>
      <c r="AJ721" s="42"/>
      <c r="AK721" s="42"/>
      <c r="AL721" s="42"/>
      <c r="AM721" s="42"/>
      <c r="AN721" s="42"/>
      <c r="AO721" s="63" t="str">
        <f>IFERROR(__xludf.DUMMYFUNCTION("IF(ISBLANK(A721),,IF(ISBLANK(S721), A721&amp;"";"", TEXTJOIN(CHAR(10), TRUE, A721&amp;"";"", ARRAYFORMULA(VLOOKUP(SPLIT(S721, "";"" &amp; CHAR(10)), $A:$AO, 41, FALSE)))))"),"A10l;
A10l1;
A10l2;
A10l3;
A10l4;
A10l5;
A10l6;")</f>
        <v>A10l;
A10l1;
A10l2;
A10l3;
A10l4;
A10l5;
A10l6;</v>
      </c>
      <c r="AP721" s="89"/>
    </row>
    <row r="722">
      <c r="A722" s="151" t="str">
        <f>IFERROR(__xludf.DUMMYFUNCTION("""COMPUTED_VALUE"""),"A10l1")</f>
        <v>A10l1</v>
      </c>
      <c r="B722" s="42" t="str">
        <f>IFERROR(__xludf.DUMMYFUNCTION("""COMPUTED_VALUE"""),"DHBA")</f>
        <v>DHBA</v>
      </c>
      <c r="C722" s="42" t="str">
        <f>IFERROR(__xludf.DUMMYFUNCTION("""COMPUTED_VALUE"""),"layer I of area 10l")</f>
        <v>layer I of area 10l</v>
      </c>
      <c r="D722" s="42">
        <f>IFERROR(__xludf.DUMMYFUNCTION("""COMPUTED_VALUE"""),671.0)</f>
        <v>671</v>
      </c>
      <c r="E722" s="39" t="str">
        <f>IFERROR(__xludf.DUMMYFUNCTION("""COMPUTED_VALUE"""),"layer I of area 10l")</f>
        <v>layer I of area 10l</v>
      </c>
      <c r="F722" s="9" t="str">
        <f>IFERROR(__xludf.DUMMYFUNCTION("""COMPUTED_VALUE"""),"Br")</f>
        <v>Br</v>
      </c>
      <c r="G722" s="9" t="str">
        <f>IFERROR(__xludf.DUMMYFUNCTION("""COMPUTED_VALUE"""),"F")</f>
        <v>F</v>
      </c>
      <c r="H722" s="9" t="str">
        <f>IFERROR(__xludf.DUMMYFUNCTION("""COMPUTED_VALUE"""),"FGM")</f>
        <v>FGM</v>
      </c>
      <c r="I722" s="9" t="str">
        <f>IFERROR(__xludf.DUMMYFUNCTION("""COMPUTED_VALUE"""),"Tel")</f>
        <v>Tel</v>
      </c>
      <c r="J722" s="9" t="str">
        <f>IFERROR(__xludf.DUMMYFUNCTION("""COMPUTED_VALUE"""),"Cx")</f>
        <v>Cx</v>
      </c>
      <c r="K722" s="9" t="str">
        <f>IFERROR(__xludf.DUMMYFUNCTION("""COMPUTED_VALUE"""),"NCx")</f>
        <v>NCx</v>
      </c>
      <c r="L722" s="9" t="str">
        <f>IFERROR(__xludf.DUMMYFUNCTION("""COMPUTED_VALUE"""),"FCx")</f>
        <v>FCx</v>
      </c>
      <c r="M722" s="9" t="str">
        <f>IFERROR(__xludf.DUMMYFUNCTION("""COMPUTED_VALUE"""),"PFC")</f>
        <v>PFC</v>
      </c>
      <c r="N722" s="9" t="str">
        <f>IFERROR(__xludf.DUMMYFUNCTION("""COMPUTED_VALUE"""),"A10")</f>
        <v>A10</v>
      </c>
      <c r="O722" s="9" t="str">
        <f>IFERROR(__xludf.DUMMYFUNCTION("""COMPUTED_VALUE"""),"A10l")</f>
        <v>A10l</v>
      </c>
      <c r="P722" s="9" t="str">
        <f>IFERROR(__xludf.DUMMYFUNCTION("""COMPUTED_VALUE"""),"A10l1")</f>
        <v>A10l1</v>
      </c>
      <c r="Q722" s="9"/>
      <c r="R722" s="9"/>
      <c r="S722" s="42"/>
      <c r="T722" s="42"/>
      <c r="U722" s="42"/>
      <c r="V722" s="42"/>
      <c r="W722" s="42"/>
      <c r="X722" s="42"/>
      <c r="Y722" s="42"/>
      <c r="Z722" s="42"/>
      <c r="AA722" s="42"/>
      <c r="AB722" s="42" t="str">
        <f>IFERROR(__xludf.DUMMYFUNCTION("""COMPUTED_VALUE"""),"allen institute")</f>
        <v>allen institute</v>
      </c>
      <c r="AC722" s="42" t="str">
        <f>IFERROR(__xludf.DUMMYFUNCTION("""COMPUTED_VALUE"""),"DHBA")</f>
        <v>DHBA</v>
      </c>
      <c r="AD722" s="42"/>
      <c r="AE722" s="42"/>
      <c r="AF722" s="9"/>
      <c r="AG722" s="9"/>
      <c r="AH722" s="42"/>
      <c r="AI722" s="42"/>
      <c r="AJ722" s="42"/>
      <c r="AK722" s="42"/>
      <c r="AL722" s="42"/>
      <c r="AM722" s="42"/>
      <c r="AN722" s="42"/>
      <c r="AO722" s="63" t="str">
        <f>IFERROR(__xludf.DUMMYFUNCTION("IF(ISBLANK(A722),,IF(ISBLANK(S722), A722&amp;"";"", TEXTJOIN(CHAR(10), TRUE, A722&amp;"";"", ARRAYFORMULA(VLOOKUP(SPLIT(S722, "";"" &amp; CHAR(10)), $A:$AO, 41, FALSE)))))"),"A10l1;")</f>
        <v>A10l1;</v>
      </c>
      <c r="AP722" s="89"/>
    </row>
    <row r="723">
      <c r="A723" s="151" t="str">
        <f>IFERROR(__xludf.DUMMYFUNCTION("""COMPUTED_VALUE"""),"A10l2")</f>
        <v>A10l2</v>
      </c>
      <c r="B723" s="42" t="str">
        <f>IFERROR(__xludf.DUMMYFUNCTION("""COMPUTED_VALUE"""),"DHBA")</f>
        <v>DHBA</v>
      </c>
      <c r="C723" s="42" t="str">
        <f>IFERROR(__xludf.DUMMYFUNCTION("""COMPUTED_VALUE"""),"layer II of area 10l")</f>
        <v>layer II of area 10l</v>
      </c>
      <c r="D723" s="42">
        <f>IFERROR(__xludf.DUMMYFUNCTION("""COMPUTED_VALUE"""),672.0)</f>
        <v>672</v>
      </c>
      <c r="E723" s="39" t="str">
        <f>IFERROR(__xludf.DUMMYFUNCTION("""COMPUTED_VALUE"""),"layer II of area 10l")</f>
        <v>layer II of area 10l</v>
      </c>
      <c r="F723" s="9" t="str">
        <f>IFERROR(__xludf.DUMMYFUNCTION("""COMPUTED_VALUE"""),"Br")</f>
        <v>Br</v>
      </c>
      <c r="G723" s="9" t="str">
        <f>IFERROR(__xludf.DUMMYFUNCTION("""COMPUTED_VALUE"""),"F")</f>
        <v>F</v>
      </c>
      <c r="H723" s="9" t="str">
        <f>IFERROR(__xludf.DUMMYFUNCTION("""COMPUTED_VALUE"""),"FGM")</f>
        <v>FGM</v>
      </c>
      <c r="I723" s="9" t="str">
        <f>IFERROR(__xludf.DUMMYFUNCTION("""COMPUTED_VALUE"""),"Tel")</f>
        <v>Tel</v>
      </c>
      <c r="J723" s="9" t="str">
        <f>IFERROR(__xludf.DUMMYFUNCTION("""COMPUTED_VALUE"""),"Cx")</f>
        <v>Cx</v>
      </c>
      <c r="K723" s="9" t="str">
        <f>IFERROR(__xludf.DUMMYFUNCTION("""COMPUTED_VALUE"""),"NCx")</f>
        <v>NCx</v>
      </c>
      <c r="L723" s="9" t="str">
        <f>IFERROR(__xludf.DUMMYFUNCTION("""COMPUTED_VALUE"""),"FCx")</f>
        <v>FCx</v>
      </c>
      <c r="M723" s="9" t="str">
        <f>IFERROR(__xludf.DUMMYFUNCTION("""COMPUTED_VALUE"""),"PFC")</f>
        <v>PFC</v>
      </c>
      <c r="N723" s="9" t="str">
        <f>IFERROR(__xludf.DUMMYFUNCTION("""COMPUTED_VALUE"""),"A10")</f>
        <v>A10</v>
      </c>
      <c r="O723" s="9" t="str">
        <f>IFERROR(__xludf.DUMMYFUNCTION("""COMPUTED_VALUE"""),"A10l")</f>
        <v>A10l</v>
      </c>
      <c r="P723" s="9" t="str">
        <f>IFERROR(__xludf.DUMMYFUNCTION("""COMPUTED_VALUE"""),"A10l2")</f>
        <v>A10l2</v>
      </c>
      <c r="Q723" s="9"/>
      <c r="R723" s="9"/>
      <c r="S723" s="42"/>
      <c r="T723" s="42"/>
      <c r="U723" s="42"/>
      <c r="V723" s="42"/>
      <c r="W723" s="42"/>
      <c r="X723" s="42"/>
      <c r="Y723" s="42"/>
      <c r="Z723" s="42"/>
      <c r="AA723" s="42"/>
      <c r="AB723" s="42" t="str">
        <f>IFERROR(__xludf.DUMMYFUNCTION("""COMPUTED_VALUE"""),"allen institute")</f>
        <v>allen institute</v>
      </c>
      <c r="AC723" s="42" t="str">
        <f>IFERROR(__xludf.DUMMYFUNCTION("""COMPUTED_VALUE"""),"DHBA")</f>
        <v>DHBA</v>
      </c>
      <c r="AD723" s="42"/>
      <c r="AE723" s="42"/>
      <c r="AF723" s="9"/>
      <c r="AG723" s="9"/>
      <c r="AH723" s="42"/>
      <c r="AI723" s="42"/>
      <c r="AJ723" s="42"/>
      <c r="AK723" s="42"/>
      <c r="AL723" s="42"/>
      <c r="AM723" s="42"/>
      <c r="AN723" s="42"/>
      <c r="AO723" s="63" t="str">
        <f>IFERROR(__xludf.DUMMYFUNCTION("IF(ISBLANK(A723),,IF(ISBLANK(S723), A723&amp;"";"", TEXTJOIN(CHAR(10), TRUE, A723&amp;"";"", ARRAYFORMULA(VLOOKUP(SPLIT(S723, "";"" &amp; CHAR(10)), $A:$AO, 41, FALSE)))))"),"A10l2;")</f>
        <v>A10l2;</v>
      </c>
      <c r="AP723" s="89"/>
    </row>
    <row r="724">
      <c r="A724" s="151" t="str">
        <f>IFERROR(__xludf.DUMMYFUNCTION("""COMPUTED_VALUE"""),"A10l3")</f>
        <v>A10l3</v>
      </c>
      <c r="B724" s="42" t="str">
        <f>IFERROR(__xludf.DUMMYFUNCTION("""COMPUTED_VALUE"""),"DHBA")</f>
        <v>DHBA</v>
      </c>
      <c r="C724" s="42" t="str">
        <f>IFERROR(__xludf.DUMMYFUNCTION("""COMPUTED_VALUE"""),"layer III of area 10l")</f>
        <v>layer III of area 10l</v>
      </c>
      <c r="D724" s="42">
        <f>IFERROR(__xludf.DUMMYFUNCTION("""COMPUTED_VALUE"""),673.0)</f>
        <v>673</v>
      </c>
      <c r="E724" s="39" t="str">
        <f>IFERROR(__xludf.DUMMYFUNCTION("""COMPUTED_VALUE"""),"layer III of area 10l")</f>
        <v>layer III of area 10l</v>
      </c>
      <c r="F724" s="9" t="str">
        <f>IFERROR(__xludf.DUMMYFUNCTION("""COMPUTED_VALUE"""),"Br")</f>
        <v>Br</v>
      </c>
      <c r="G724" s="9" t="str">
        <f>IFERROR(__xludf.DUMMYFUNCTION("""COMPUTED_VALUE"""),"F")</f>
        <v>F</v>
      </c>
      <c r="H724" s="9" t="str">
        <f>IFERROR(__xludf.DUMMYFUNCTION("""COMPUTED_VALUE"""),"FGM")</f>
        <v>FGM</v>
      </c>
      <c r="I724" s="9" t="str">
        <f>IFERROR(__xludf.DUMMYFUNCTION("""COMPUTED_VALUE"""),"Tel")</f>
        <v>Tel</v>
      </c>
      <c r="J724" s="9" t="str">
        <f>IFERROR(__xludf.DUMMYFUNCTION("""COMPUTED_VALUE"""),"Cx")</f>
        <v>Cx</v>
      </c>
      <c r="K724" s="9" t="str">
        <f>IFERROR(__xludf.DUMMYFUNCTION("""COMPUTED_VALUE"""),"NCx")</f>
        <v>NCx</v>
      </c>
      <c r="L724" s="9" t="str">
        <f>IFERROR(__xludf.DUMMYFUNCTION("""COMPUTED_VALUE"""),"FCx")</f>
        <v>FCx</v>
      </c>
      <c r="M724" s="9" t="str">
        <f>IFERROR(__xludf.DUMMYFUNCTION("""COMPUTED_VALUE"""),"PFC")</f>
        <v>PFC</v>
      </c>
      <c r="N724" s="9" t="str">
        <f>IFERROR(__xludf.DUMMYFUNCTION("""COMPUTED_VALUE"""),"A10")</f>
        <v>A10</v>
      </c>
      <c r="O724" s="9" t="str">
        <f>IFERROR(__xludf.DUMMYFUNCTION("""COMPUTED_VALUE"""),"A10l")</f>
        <v>A10l</v>
      </c>
      <c r="P724" s="9" t="str">
        <f>IFERROR(__xludf.DUMMYFUNCTION("""COMPUTED_VALUE"""),"A10l3")</f>
        <v>A10l3</v>
      </c>
      <c r="Q724" s="9"/>
      <c r="R724" s="9"/>
      <c r="S724" s="42"/>
      <c r="T724" s="42"/>
      <c r="U724" s="42"/>
      <c r="V724" s="42"/>
      <c r="W724" s="42"/>
      <c r="X724" s="42"/>
      <c r="Y724" s="42"/>
      <c r="Z724" s="42"/>
      <c r="AA724" s="42"/>
      <c r="AB724" s="42" t="str">
        <f>IFERROR(__xludf.DUMMYFUNCTION("""COMPUTED_VALUE"""),"allen institute")</f>
        <v>allen institute</v>
      </c>
      <c r="AC724" s="42" t="str">
        <f>IFERROR(__xludf.DUMMYFUNCTION("""COMPUTED_VALUE"""),"DHBA")</f>
        <v>DHBA</v>
      </c>
      <c r="AD724" s="42"/>
      <c r="AE724" s="42"/>
      <c r="AF724" s="9"/>
      <c r="AG724" s="9"/>
      <c r="AH724" s="42"/>
      <c r="AI724" s="42"/>
      <c r="AJ724" s="42"/>
      <c r="AK724" s="42"/>
      <c r="AL724" s="42"/>
      <c r="AM724" s="42"/>
      <c r="AN724" s="42"/>
      <c r="AO724" s="63" t="str">
        <f>IFERROR(__xludf.DUMMYFUNCTION("IF(ISBLANK(A724),,IF(ISBLANK(S724), A724&amp;"";"", TEXTJOIN(CHAR(10), TRUE, A724&amp;"";"", ARRAYFORMULA(VLOOKUP(SPLIT(S724, "";"" &amp; CHAR(10)), $A:$AO, 41, FALSE)))))"),"A10l3;")</f>
        <v>A10l3;</v>
      </c>
      <c r="AP724" s="89"/>
    </row>
    <row r="725">
      <c r="A725" s="151" t="str">
        <f>IFERROR(__xludf.DUMMYFUNCTION("""COMPUTED_VALUE"""),"A10l4")</f>
        <v>A10l4</v>
      </c>
      <c r="B725" s="42" t="str">
        <f>IFERROR(__xludf.DUMMYFUNCTION("""COMPUTED_VALUE"""),"DHBA")</f>
        <v>DHBA</v>
      </c>
      <c r="C725" s="42" t="str">
        <f>IFERROR(__xludf.DUMMYFUNCTION("""COMPUTED_VALUE"""),"layer IV of area 10l")</f>
        <v>layer IV of area 10l</v>
      </c>
      <c r="D725" s="42">
        <f>IFERROR(__xludf.DUMMYFUNCTION("""COMPUTED_VALUE"""),674.0)</f>
        <v>674</v>
      </c>
      <c r="E725" s="39" t="str">
        <f>IFERROR(__xludf.DUMMYFUNCTION("""COMPUTED_VALUE"""),"layer IV of area 10l")</f>
        <v>layer IV of area 10l</v>
      </c>
      <c r="F725" s="9" t="str">
        <f>IFERROR(__xludf.DUMMYFUNCTION("""COMPUTED_VALUE"""),"Br")</f>
        <v>Br</v>
      </c>
      <c r="G725" s="9" t="str">
        <f>IFERROR(__xludf.DUMMYFUNCTION("""COMPUTED_VALUE"""),"F")</f>
        <v>F</v>
      </c>
      <c r="H725" s="9" t="str">
        <f>IFERROR(__xludf.DUMMYFUNCTION("""COMPUTED_VALUE"""),"FGM")</f>
        <v>FGM</v>
      </c>
      <c r="I725" s="9" t="str">
        <f>IFERROR(__xludf.DUMMYFUNCTION("""COMPUTED_VALUE"""),"Tel")</f>
        <v>Tel</v>
      </c>
      <c r="J725" s="9" t="str">
        <f>IFERROR(__xludf.DUMMYFUNCTION("""COMPUTED_VALUE"""),"Cx")</f>
        <v>Cx</v>
      </c>
      <c r="K725" s="9" t="str">
        <f>IFERROR(__xludf.DUMMYFUNCTION("""COMPUTED_VALUE"""),"NCx")</f>
        <v>NCx</v>
      </c>
      <c r="L725" s="9" t="str">
        <f>IFERROR(__xludf.DUMMYFUNCTION("""COMPUTED_VALUE"""),"FCx")</f>
        <v>FCx</v>
      </c>
      <c r="M725" s="9" t="str">
        <f>IFERROR(__xludf.DUMMYFUNCTION("""COMPUTED_VALUE"""),"PFC")</f>
        <v>PFC</v>
      </c>
      <c r="N725" s="9" t="str">
        <f>IFERROR(__xludf.DUMMYFUNCTION("""COMPUTED_VALUE"""),"A10")</f>
        <v>A10</v>
      </c>
      <c r="O725" s="9" t="str">
        <f>IFERROR(__xludf.DUMMYFUNCTION("""COMPUTED_VALUE"""),"A10l")</f>
        <v>A10l</v>
      </c>
      <c r="P725" s="9" t="str">
        <f>IFERROR(__xludf.DUMMYFUNCTION("""COMPUTED_VALUE"""),"A10l4")</f>
        <v>A10l4</v>
      </c>
      <c r="Q725" s="9"/>
      <c r="R725" s="9"/>
      <c r="S725" s="42"/>
      <c r="T725" s="42"/>
      <c r="U725" s="159"/>
      <c r="V725" s="42"/>
      <c r="W725" s="42"/>
      <c r="X725" s="42"/>
      <c r="Y725" s="42"/>
      <c r="Z725" s="42"/>
      <c r="AA725" s="42"/>
      <c r="AB725" s="42" t="str">
        <f>IFERROR(__xludf.DUMMYFUNCTION("""COMPUTED_VALUE"""),"allen institute")</f>
        <v>allen institute</v>
      </c>
      <c r="AC725" s="42" t="str">
        <f>IFERROR(__xludf.DUMMYFUNCTION("""COMPUTED_VALUE"""),"DHBA")</f>
        <v>DHBA</v>
      </c>
      <c r="AD725" s="42"/>
      <c r="AE725" s="42"/>
      <c r="AF725" s="9"/>
      <c r="AG725" s="9"/>
      <c r="AH725" s="42"/>
      <c r="AI725" s="42"/>
      <c r="AJ725" s="42"/>
      <c r="AK725" s="42"/>
      <c r="AL725" s="42"/>
      <c r="AM725" s="42"/>
      <c r="AN725" s="42"/>
      <c r="AO725" s="63" t="str">
        <f>IFERROR(__xludf.DUMMYFUNCTION("IF(ISBLANK(A725),,IF(ISBLANK(S725), A725&amp;"";"", TEXTJOIN(CHAR(10), TRUE, A725&amp;"";"", ARRAYFORMULA(VLOOKUP(SPLIT(S725, "";"" &amp; CHAR(10)), $A:$AO, 41, FALSE)))))"),"A10l4;")</f>
        <v>A10l4;</v>
      </c>
      <c r="AP725" s="89"/>
    </row>
    <row r="726">
      <c r="A726" s="151" t="str">
        <f>IFERROR(__xludf.DUMMYFUNCTION("""COMPUTED_VALUE"""),"A10l5")</f>
        <v>A10l5</v>
      </c>
      <c r="B726" s="42" t="str">
        <f>IFERROR(__xludf.DUMMYFUNCTION("""COMPUTED_VALUE"""),"DHBA")</f>
        <v>DHBA</v>
      </c>
      <c r="C726" s="42" t="str">
        <f>IFERROR(__xludf.DUMMYFUNCTION("""COMPUTED_VALUE"""),"layer V of area 10l")</f>
        <v>layer V of area 10l</v>
      </c>
      <c r="D726" s="42">
        <f>IFERROR(__xludf.DUMMYFUNCTION("""COMPUTED_VALUE"""),675.0)</f>
        <v>675</v>
      </c>
      <c r="E726" s="39" t="str">
        <f>IFERROR(__xludf.DUMMYFUNCTION("""COMPUTED_VALUE"""),"layer V of area 10l")</f>
        <v>layer V of area 10l</v>
      </c>
      <c r="F726" s="9" t="str">
        <f>IFERROR(__xludf.DUMMYFUNCTION("""COMPUTED_VALUE"""),"Br")</f>
        <v>Br</v>
      </c>
      <c r="G726" s="9" t="str">
        <f>IFERROR(__xludf.DUMMYFUNCTION("""COMPUTED_VALUE"""),"F")</f>
        <v>F</v>
      </c>
      <c r="H726" s="9" t="str">
        <f>IFERROR(__xludf.DUMMYFUNCTION("""COMPUTED_VALUE"""),"FGM")</f>
        <v>FGM</v>
      </c>
      <c r="I726" s="9" t="str">
        <f>IFERROR(__xludf.DUMMYFUNCTION("""COMPUTED_VALUE"""),"Tel")</f>
        <v>Tel</v>
      </c>
      <c r="J726" s="9" t="str">
        <f>IFERROR(__xludf.DUMMYFUNCTION("""COMPUTED_VALUE"""),"Cx")</f>
        <v>Cx</v>
      </c>
      <c r="K726" s="9" t="str">
        <f>IFERROR(__xludf.DUMMYFUNCTION("""COMPUTED_VALUE"""),"NCx")</f>
        <v>NCx</v>
      </c>
      <c r="L726" s="9" t="str">
        <f>IFERROR(__xludf.DUMMYFUNCTION("""COMPUTED_VALUE"""),"FCx")</f>
        <v>FCx</v>
      </c>
      <c r="M726" s="9" t="str">
        <f>IFERROR(__xludf.DUMMYFUNCTION("""COMPUTED_VALUE"""),"PFC")</f>
        <v>PFC</v>
      </c>
      <c r="N726" s="9" t="str">
        <f>IFERROR(__xludf.DUMMYFUNCTION("""COMPUTED_VALUE"""),"A10")</f>
        <v>A10</v>
      </c>
      <c r="O726" s="9" t="str">
        <f>IFERROR(__xludf.DUMMYFUNCTION("""COMPUTED_VALUE"""),"A10l")</f>
        <v>A10l</v>
      </c>
      <c r="P726" s="9" t="str">
        <f>IFERROR(__xludf.DUMMYFUNCTION("""COMPUTED_VALUE"""),"A10l5")</f>
        <v>A10l5</v>
      </c>
      <c r="Q726" s="9"/>
      <c r="R726" s="9"/>
      <c r="S726" s="42"/>
      <c r="T726" s="42"/>
      <c r="U726" s="42"/>
      <c r="V726" s="42"/>
      <c r="W726" s="42"/>
      <c r="X726" s="42"/>
      <c r="Y726" s="42"/>
      <c r="Z726" s="42"/>
      <c r="AA726" s="42"/>
      <c r="AB726" s="42" t="str">
        <f>IFERROR(__xludf.DUMMYFUNCTION("""COMPUTED_VALUE"""),"allen institute")</f>
        <v>allen institute</v>
      </c>
      <c r="AC726" s="42" t="str">
        <f>IFERROR(__xludf.DUMMYFUNCTION("""COMPUTED_VALUE"""),"DHBA")</f>
        <v>DHBA</v>
      </c>
      <c r="AD726" s="42"/>
      <c r="AE726" s="42"/>
      <c r="AF726" s="9"/>
      <c r="AG726" s="9"/>
      <c r="AH726" s="42"/>
      <c r="AI726" s="42"/>
      <c r="AJ726" s="42"/>
      <c r="AK726" s="42"/>
      <c r="AL726" s="42"/>
      <c r="AM726" s="42"/>
      <c r="AN726" s="42"/>
      <c r="AO726" s="63" t="str">
        <f>IFERROR(__xludf.DUMMYFUNCTION("IF(ISBLANK(A726),,IF(ISBLANK(S726), A726&amp;"";"", TEXTJOIN(CHAR(10), TRUE, A726&amp;"";"", ARRAYFORMULA(VLOOKUP(SPLIT(S726, "";"" &amp; CHAR(10)), $A:$AO, 41, FALSE)))))"),"A10l5;")</f>
        <v>A10l5;</v>
      </c>
      <c r="AP726" s="89"/>
    </row>
    <row r="727">
      <c r="A727" s="151" t="str">
        <f>IFERROR(__xludf.DUMMYFUNCTION("""COMPUTED_VALUE"""),"A10l6")</f>
        <v>A10l6</v>
      </c>
      <c r="B727" s="42" t="str">
        <f>IFERROR(__xludf.DUMMYFUNCTION("""COMPUTED_VALUE"""),"DHBA")</f>
        <v>DHBA</v>
      </c>
      <c r="C727" s="42" t="str">
        <f>IFERROR(__xludf.DUMMYFUNCTION("""COMPUTED_VALUE"""),"layer VI of area 10l")</f>
        <v>layer VI of area 10l</v>
      </c>
      <c r="D727" s="42">
        <f>IFERROR(__xludf.DUMMYFUNCTION("""COMPUTED_VALUE"""),676.0)</f>
        <v>676</v>
      </c>
      <c r="E727" s="39" t="str">
        <f>IFERROR(__xludf.DUMMYFUNCTION("""COMPUTED_VALUE"""),"layer VI of area 10l")</f>
        <v>layer VI of area 10l</v>
      </c>
      <c r="F727" s="9" t="str">
        <f>IFERROR(__xludf.DUMMYFUNCTION("""COMPUTED_VALUE"""),"Br")</f>
        <v>Br</v>
      </c>
      <c r="G727" s="9" t="str">
        <f>IFERROR(__xludf.DUMMYFUNCTION("""COMPUTED_VALUE"""),"F")</f>
        <v>F</v>
      </c>
      <c r="H727" s="9" t="str">
        <f>IFERROR(__xludf.DUMMYFUNCTION("""COMPUTED_VALUE"""),"FGM")</f>
        <v>FGM</v>
      </c>
      <c r="I727" s="9" t="str">
        <f>IFERROR(__xludf.DUMMYFUNCTION("""COMPUTED_VALUE"""),"Tel")</f>
        <v>Tel</v>
      </c>
      <c r="J727" s="9" t="str">
        <f>IFERROR(__xludf.DUMMYFUNCTION("""COMPUTED_VALUE"""),"Cx")</f>
        <v>Cx</v>
      </c>
      <c r="K727" s="9" t="str">
        <f>IFERROR(__xludf.DUMMYFUNCTION("""COMPUTED_VALUE"""),"NCx")</f>
        <v>NCx</v>
      </c>
      <c r="L727" s="9" t="str">
        <f>IFERROR(__xludf.DUMMYFUNCTION("""COMPUTED_VALUE"""),"FCx")</f>
        <v>FCx</v>
      </c>
      <c r="M727" s="9" t="str">
        <f>IFERROR(__xludf.DUMMYFUNCTION("""COMPUTED_VALUE"""),"PFC")</f>
        <v>PFC</v>
      </c>
      <c r="N727" s="9" t="str">
        <f>IFERROR(__xludf.DUMMYFUNCTION("""COMPUTED_VALUE"""),"A10")</f>
        <v>A10</v>
      </c>
      <c r="O727" s="9" t="str">
        <f>IFERROR(__xludf.DUMMYFUNCTION("""COMPUTED_VALUE"""),"A10l")</f>
        <v>A10l</v>
      </c>
      <c r="P727" s="9" t="str">
        <f>IFERROR(__xludf.DUMMYFUNCTION("""COMPUTED_VALUE"""),"A10l6")</f>
        <v>A10l6</v>
      </c>
      <c r="Q727" s="9"/>
      <c r="R727" s="9"/>
      <c r="S727" s="42"/>
      <c r="T727" s="42"/>
      <c r="U727" s="42"/>
      <c r="V727" s="42"/>
      <c r="W727" s="42"/>
      <c r="X727" s="42"/>
      <c r="Y727" s="42"/>
      <c r="Z727" s="42"/>
      <c r="AA727" s="42"/>
      <c r="AB727" s="42" t="str">
        <f>IFERROR(__xludf.DUMMYFUNCTION("""COMPUTED_VALUE"""),"allen institute")</f>
        <v>allen institute</v>
      </c>
      <c r="AC727" s="42" t="str">
        <f>IFERROR(__xludf.DUMMYFUNCTION("""COMPUTED_VALUE"""),"DHBA")</f>
        <v>DHBA</v>
      </c>
      <c r="AD727" s="42"/>
      <c r="AE727" s="42"/>
      <c r="AF727" s="9"/>
      <c r="AG727" s="9"/>
      <c r="AH727" s="42"/>
      <c r="AI727" s="42"/>
      <c r="AJ727" s="42"/>
      <c r="AK727" s="42"/>
      <c r="AL727" s="42"/>
      <c r="AM727" s="42"/>
      <c r="AN727" s="42"/>
      <c r="AO727" s="63" t="str">
        <f>IFERROR(__xludf.DUMMYFUNCTION("IF(ISBLANK(A727),,IF(ISBLANK(S727), A727&amp;"";"", TEXTJOIN(CHAR(10), TRUE, A727&amp;"";"", ARRAYFORMULA(VLOOKUP(SPLIT(S727, "";"" &amp; CHAR(10)), $A:$AO, 41, FALSE)))))"),"A10l6;")</f>
        <v>A10l6;</v>
      </c>
      <c r="AP727" s="89"/>
    </row>
    <row r="728">
      <c r="A728" s="151" t="str">
        <f>IFERROR(__xludf.DUMMYFUNCTION("""COMPUTED_VALUE"""),"A10o")</f>
        <v>A10o</v>
      </c>
      <c r="B728" s="42" t="str">
        <f>IFERROR(__xludf.DUMMYFUNCTION("""COMPUTED_VALUE"""),"DHBA")</f>
        <v>DHBA</v>
      </c>
      <c r="C728" s="42" t="str">
        <f>IFERROR(__xludf.DUMMYFUNCTION("""COMPUTED_VALUE"""),"orbital subdivision of area 10")</f>
        <v>orbital subdivision of area 10</v>
      </c>
      <c r="D728" s="42">
        <f>IFERROR(__xludf.DUMMYFUNCTION("""COMPUTED_VALUE"""),677.0)</f>
        <v>677</v>
      </c>
      <c r="E728" s="39" t="str">
        <f>IFERROR(__xludf.DUMMYFUNCTION("""COMPUTED_VALUE"""),"orbital subdivision of area 10")</f>
        <v>orbital subdivision of area 10</v>
      </c>
      <c r="F728" s="9" t="str">
        <f>IFERROR(__xludf.DUMMYFUNCTION("""COMPUTED_VALUE"""),"Br")</f>
        <v>Br</v>
      </c>
      <c r="G728" s="9" t="str">
        <f>IFERROR(__xludf.DUMMYFUNCTION("""COMPUTED_VALUE"""),"F")</f>
        <v>F</v>
      </c>
      <c r="H728" s="9" t="str">
        <f>IFERROR(__xludf.DUMMYFUNCTION("""COMPUTED_VALUE"""),"FGM")</f>
        <v>FGM</v>
      </c>
      <c r="I728" s="9" t="str">
        <f>IFERROR(__xludf.DUMMYFUNCTION("""COMPUTED_VALUE"""),"Tel")</f>
        <v>Tel</v>
      </c>
      <c r="J728" s="9" t="str">
        <f>IFERROR(__xludf.DUMMYFUNCTION("""COMPUTED_VALUE"""),"Cx")</f>
        <v>Cx</v>
      </c>
      <c r="K728" s="9" t="str">
        <f>IFERROR(__xludf.DUMMYFUNCTION("""COMPUTED_VALUE"""),"NCx")</f>
        <v>NCx</v>
      </c>
      <c r="L728" s="9" t="str">
        <f>IFERROR(__xludf.DUMMYFUNCTION("""COMPUTED_VALUE"""),"FCx")</f>
        <v>FCx</v>
      </c>
      <c r="M728" s="9" t="str">
        <f>IFERROR(__xludf.DUMMYFUNCTION("""COMPUTED_VALUE"""),"PFC")</f>
        <v>PFC</v>
      </c>
      <c r="N728" s="9" t="str">
        <f>IFERROR(__xludf.DUMMYFUNCTION("""COMPUTED_VALUE"""),"A10")</f>
        <v>A10</v>
      </c>
      <c r="O728" s="9" t="str">
        <f>IFERROR(__xludf.DUMMYFUNCTION("""COMPUTED_VALUE"""),"A10o")</f>
        <v>A10o</v>
      </c>
      <c r="P728" s="9"/>
      <c r="Q728" s="9"/>
      <c r="R728" s="9"/>
      <c r="S728" s="42" t="str">
        <f>IFERROR(__xludf.DUMMYFUNCTION("""COMPUTED_VALUE"""),"A10o1;
A10o2;
A10o3;
A10o4;
A10o5;
A10o6")</f>
        <v>A10o1;
A10o2;
A10o3;
A10o4;
A10o5;
A10o6</v>
      </c>
      <c r="T728" s="42"/>
      <c r="U728" s="42" t="b">
        <f>IFERROR(__xludf.DUMMYFUNCTION("""COMPUTED_VALUE"""),FALSE)</f>
        <v>0</v>
      </c>
      <c r="V728" s="42"/>
      <c r="W728" s="42"/>
      <c r="X728" s="42"/>
      <c r="Y728" s="42"/>
      <c r="Z728" s="42"/>
      <c r="AA728" s="42"/>
      <c r="AB728" s="42" t="str">
        <f>IFERROR(__xludf.DUMMYFUNCTION("""COMPUTED_VALUE"""),"allen institute")</f>
        <v>allen institute</v>
      </c>
      <c r="AC728" s="42" t="str">
        <f>IFERROR(__xludf.DUMMYFUNCTION("""COMPUTED_VALUE"""),"DHBA")</f>
        <v>DHBA</v>
      </c>
      <c r="AD728" s="42"/>
      <c r="AE728" s="42"/>
      <c r="AF728" s="9"/>
      <c r="AG728" s="9"/>
      <c r="AH728" s="42"/>
      <c r="AI728" s="42"/>
      <c r="AJ728" s="42"/>
      <c r="AK728" s="42"/>
      <c r="AL728" s="42"/>
      <c r="AM728" s="42"/>
      <c r="AN728" s="42"/>
      <c r="AO728" s="63" t="str">
        <f>IFERROR(__xludf.DUMMYFUNCTION("IF(ISBLANK(A728),,IF(ISBLANK(S728), A728&amp;"";"", TEXTJOIN(CHAR(10), TRUE, A728&amp;"";"", ARRAYFORMULA(VLOOKUP(SPLIT(S728, "";"" &amp; CHAR(10)), $A:$AO, 41, FALSE)))))"),"A10o;
A10o1;
A10o2;
A10o3;
A10o4;
A10o5;
A10o6;")</f>
        <v>A10o;
A10o1;
A10o2;
A10o3;
A10o4;
A10o5;
A10o6;</v>
      </c>
      <c r="AP728" s="89"/>
    </row>
    <row r="729">
      <c r="A729" s="151" t="str">
        <f>IFERROR(__xludf.DUMMYFUNCTION("""COMPUTED_VALUE"""),"A10o1")</f>
        <v>A10o1</v>
      </c>
      <c r="B729" s="42" t="str">
        <f>IFERROR(__xludf.DUMMYFUNCTION("""COMPUTED_VALUE"""),"DHBA")</f>
        <v>DHBA</v>
      </c>
      <c r="C729" s="42" t="str">
        <f>IFERROR(__xludf.DUMMYFUNCTION("""COMPUTED_VALUE"""),"layer I of area 10o")</f>
        <v>layer I of area 10o</v>
      </c>
      <c r="D729" s="42">
        <f>IFERROR(__xludf.DUMMYFUNCTION("""COMPUTED_VALUE"""),678.0)</f>
        <v>678</v>
      </c>
      <c r="E729" s="39" t="str">
        <f>IFERROR(__xludf.DUMMYFUNCTION("""COMPUTED_VALUE"""),"layer I of area 10o")</f>
        <v>layer I of area 10o</v>
      </c>
      <c r="F729" s="9" t="str">
        <f>IFERROR(__xludf.DUMMYFUNCTION("""COMPUTED_VALUE"""),"Br")</f>
        <v>Br</v>
      </c>
      <c r="G729" s="9" t="str">
        <f>IFERROR(__xludf.DUMMYFUNCTION("""COMPUTED_VALUE"""),"F")</f>
        <v>F</v>
      </c>
      <c r="H729" s="9" t="str">
        <f>IFERROR(__xludf.DUMMYFUNCTION("""COMPUTED_VALUE"""),"FGM")</f>
        <v>FGM</v>
      </c>
      <c r="I729" s="9" t="str">
        <f>IFERROR(__xludf.DUMMYFUNCTION("""COMPUTED_VALUE"""),"Tel")</f>
        <v>Tel</v>
      </c>
      <c r="J729" s="9" t="str">
        <f>IFERROR(__xludf.DUMMYFUNCTION("""COMPUTED_VALUE"""),"Cx")</f>
        <v>Cx</v>
      </c>
      <c r="K729" s="9" t="str">
        <f>IFERROR(__xludf.DUMMYFUNCTION("""COMPUTED_VALUE"""),"NCx")</f>
        <v>NCx</v>
      </c>
      <c r="L729" s="9" t="str">
        <f>IFERROR(__xludf.DUMMYFUNCTION("""COMPUTED_VALUE"""),"FCx")</f>
        <v>FCx</v>
      </c>
      <c r="M729" s="9" t="str">
        <f>IFERROR(__xludf.DUMMYFUNCTION("""COMPUTED_VALUE"""),"PFC")</f>
        <v>PFC</v>
      </c>
      <c r="N729" s="9" t="str">
        <f>IFERROR(__xludf.DUMMYFUNCTION("""COMPUTED_VALUE"""),"A10")</f>
        <v>A10</v>
      </c>
      <c r="O729" s="9" t="str">
        <f>IFERROR(__xludf.DUMMYFUNCTION("""COMPUTED_VALUE"""),"A10o")</f>
        <v>A10o</v>
      </c>
      <c r="P729" s="9" t="str">
        <f>IFERROR(__xludf.DUMMYFUNCTION("""COMPUTED_VALUE"""),"A10o1")</f>
        <v>A10o1</v>
      </c>
      <c r="Q729" s="9"/>
      <c r="R729" s="9"/>
      <c r="S729" s="42"/>
      <c r="T729" s="42"/>
      <c r="U729" s="42"/>
      <c r="V729" s="42"/>
      <c r="W729" s="42"/>
      <c r="X729" s="42"/>
      <c r="Y729" s="42"/>
      <c r="Z729" s="42"/>
      <c r="AA729" s="42"/>
      <c r="AB729" s="42" t="str">
        <f>IFERROR(__xludf.DUMMYFUNCTION("""COMPUTED_VALUE"""),"allen institute")</f>
        <v>allen institute</v>
      </c>
      <c r="AC729" s="42" t="str">
        <f>IFERROR(__xludf.DUMMYFUNCTION("""COMPUTED_VALUE"""),"DHBA")</f>
        <v>DHBA</v>
      </c>
      <c r="AD729" s="42"/>
      <c r="AE729" s="42"/>
      <c r="AF729" s="9"/>
      <c r="AG729" s="9"/>
      <c r="AH729" s="42"/>
      <c r="AI729" s="42"/>
      <c r="AJ729" s="42"/>
      <c r="AK729" s="42"/>
      <c r="AL729" s="42"/>
      <c r="AM729" s="42"/>
      <c r="AN729" s="42"/>
      <c r="AO729" s="63" t="str">
        <f>IFERROR(__xludf.DUMMYFUNCTION("IF(ISBLANK(A729),,IF(ISBLANK(S729), A729&amp;"";"", TEXTJOIN(CHAR(10), TRUE, A729&amp;"";"", ARRAYFORMULA(VLOOKUP(SPLIT(S729, "";"" &amp; CHAR(10)), $A:$AO, 41, FALSE)))))"),"A10o1;")</f>
        <v>A10o1;</v>
      </c>
      <c r="AP729" s="89"/>
    </row>
    <row r="730">
      <c r="A730" s="151" t="str">
        <f>IFERROR(__xludf.DUMMYFUNCTION("""COMPUTED_VALUE"""),"A10o2")</f>
        <v>A10o2</v>
      </c>
      <c r="B730" s="42" t="str">
        <f>IFERROR(__xludf.DUMMYFUNCTION("""COMPUTED_VALUE"""),"DHBA")</f>
        <v>DHBA</v>
      </c>
      <c r="C730" s="42" t="str">
        <f>IFERROR(__xludf.DUMMYFUNCTION("""COMPUTED_VALUE"""),"layer II of area 10o")</f>
        <v>layer II of area 10o</v>
      </c>
      <c r="D730" s="42">
        <f>IFERROR(__xludf.DUMMYFUNCTION("""COMPUTED_VALUE"""),679.0)</f>
        <v>679</v>
      </c>
      <c r="E730" s="39" t="str">
        <f>IFERROR(__xludf.DUMMYFUNCTION("""COMPUTED_VALUE"""),"layer II of area 10o")</f>
        <v>layer II of area 10o</v>
      </c>
      <c r="F730" s="9" t="str">
        <f>IFERROR(__xludf.DUMMYFUNCTION("""COMPUTED_VALUE"""),"Br")</f>
        <v>Br</v>
      </c>
      <c r="G730" s="9" t="str">
        <f>IFERROR(__xludf.DUMMYFUNCTION("""COMPUTED_VALUE"""),"F")</f>
        <v>F</v>
      </c>
      <c r="H730" s="9" t="str">
        <f>IFERROR(__xludf.DUMMYFUNCTION("""COMPUTED_VALUE"""),"FGM")</f>
        <v>FGM</v>
      </c>
      <c r="I730" s="9" t="str">
        <f>IFERROR(__xludf.DUMMYFUNCTION("""COMPUTED_VALUE"""),"Tel")</f>
        <v>Tel</v>
      </c>
      <c r="J730" s="9" t="str">
        <f>IFERROR(__xludf.DUMMYFUNCTION("""COMPUTED_VALUE"""),"Cx")</f>
        <v>Cx</v>
      </c>
      <c r="K730" s="9" t="str">
        <f>IFERROR(__xludf.DUMMYFUNCTION("""COMPUTED_VALUE"""),"NCx")</f>
        <v>NCx</v>
      </c>
      <c r="L730" s="9" t="str">
        <f>IFERROR(__xludf.DUMMYFUNCTION("""COMPUTED_VALUE"""),"FCx")</f>
        <v>FCx</v>
      </c>
      <c r="M730" s="9" t="str">
        <f>IFERROR(__xludf.DUMMYFUNCTION("""COMPUTED_VALUE"""),"PFC")</f>
        <v>PFC</v>
      </c>
      <c r="N730" s="9" t="str">
        <f>IFERROR(__xludf.DUMMYFUNCTION("""COMPUTED_VALUE"""),"A10")</f>
        <v>A10</v>
      </c>
      <c r="O730" s="9" t="str">
        <f>IFERROR(__xludf.DUMMYFUNCTION("""COMPUTED_VALUE"""),"A10o")</f>
        <v>A10o</v>
      </c>
      <c r="P730" s="9" t="str">
        <f>IFERROR(__xludf.DUMMYFUNCTION("""COMPUTED_VALUE"""),"A10o2")</f>
        <v>A10o2</v>
      </c>
      <c r="Q730" s="9"/>
      <c r="R730" s="9"/>
      <c r="S730" s="42"/>
      <c r="T730" s="42"/>
      <c r="U730" s="42"/>
      <c r="V730" s="42"/>
      <c r="W730" s="42"/>
      <c r="X730" s="42"/>
      <c r="Y730" s="42"/>
      <c r="Z730" s="42"/>
      <c r="AA730" s="42"/>
      <c r="AB730" s="42" t="str">
        <f>IFERROR(__xludf.DUMMYFUNCTION("""COMPUTED_VALUE"""),"allen institute")</f>
        <v>allen institute</v>
      </c>
      <c r="AC730" s="42" t="str">
        <f>IFERROR(__xludf.DUMMYFUNCTION("""COMPUTED_VALUE"""),"DHBA")</f>
        <v>DHBA</v>
      </c>
      <c r="AD730" s="42"/>
      <c r="AE730" s="42"/>
      <c r="AF730" s="9"/>
      <c r="AG730" s="9"/>
      <c r="AH730" s="42"/>
      <c r="AI730" s="42"/>
      <c r="AJ730" s="42"/>
      <c r="AK730" s="42"/>
      <c r="AL730" s="42"/>
      <c r="AM730" s="42"/>
      <c r="AN730" s="42"/>
      <c r="AO730" s="63" t="str">
        <f>IFERROR(__xludf.DUMMYFUNCTION("IF(ISBLANK(A730),,IF(ISBLANK(S730), A730&amp;"";"", TEXTJOIN(CHAR(10), TRUE, A730&amp;"";"", ARRAYFORMULA(VLOOKUP(SPLIT(S730, "";"" &amp; CHAR(10)), $A:$AO, 41, FALSE)))))"),"A10o2;")</f>
        <v>A10o2;</v>
      </c>
      <c r="AP730" s="89"/>
    </row>
    <row r="731">
      <c r="A731" s="151" t="str">
        <f>IFERROR(__xludf.DUMMYFUNCTION("""COMPUTED_VALUE"""),"A10o3")</f>
        <v>A10o3</v>
      </c>
      <c r="B731" s="42" t="str">
        <f>IFERROR(__xludf.DUMMYFUNCTION("""COMPUTED_VALUE"""),"DHBA")</f>
        <v>DHBA</v>
      </c>
      <c r="C731" s="42" t="str">
        <f>IFERROR(__xludf.DUMMYFUNCTION("""COMPUTED_VALUE"""),"layer III of area 10o")</f>
        <v>layer III of area 10o</v>
      </c>
      <c r="D731" s="42">
        <f>IFERROR(__xludf.DUMMYFUNCTION("""COMPUTED_VALUE"""),680.0)</f>
        <v>680</v>
      </c>
      <c r="E731" s="39" t="str">
        <f>IFERROR(__xludf.DUMMYFUNCTION("""COMPUTED_VALUE"""),"layer III of area 10o")</f>
        <v>layer III of area 10o</v>
      </c>
      <c r="F731" s="9" t="str">
        <f>IFERROR(__xludf.DUMMYFUNCTION("""COMPUTED_VALUE"""),"Br")</f>
        <v>Br</v>
      </c>
      <c r="G731" s="9" t="str">
        <f>IFERROR(__xludf.DUMMYFUNCTION("""COMPUTED_VALUE"""),"F")</f>
        <v>F</v>
      </c>
      <c r="H731" s="9" t="str">
        <f>IFERROR(__xludf.DUMMYFUNCTION("""COMPUTED_VALUE"""),"FGM")</f>
        <v>FGM</v>
      </c>
      <c r="I731" s="9" t="str">
        <f>IFERROR(__xludf.DUMMYFUNCTION("""COMPUTED_VALUE"""),"Tel")</f>
        <v>Tel</v>
      </c>
      <c r="J731" s="9" t="str">
        <f>IFERROR(__xludf.DUMMYFUNCTION("""COMPUTED_VALUE"""),"Cx")</f>
        <v>Cx</v>
      </c>
      <c r="K731" s="9" t="str">
        <f>IFERROR(__xludf.DUMMYFUNCTION("""COMPUTED_VALUE"""),"NCx")</f>
        <v>NCx</v>
      </c>
      <c r="L731" s="9" t="str">
        <f>IFERROR(__xludf.DUMMYFUNCTION("""COMPUTED_VALUE"""),"FCx")</f>
        <v>FCx</v>
      </c>
      <c r="M731" s="9" t="str">
        <f>IFERROR(__xludf.DUMMYFUNCTION("""COMPUTED_VALUE"""),"PFC")</f>
        <v>PFC</v>
      </c>
      <c r="N731" s="9" t="str">
        <f>IFERROR(__xludf.DUMMYFUNCTION("""COMPUTED_VALUE"""),"A10")</f>
        <v>A10</v>
      </c>
      <c r="O731" s="9" t="str">
        <f>IFERROR(__xludf.DUMMYFUNCTION("""COMPUTED_VALUE"""),"A10o")</f>
        <v>A10o</v>
      </c>
      <c r="P731" s="9" t="str">
        <f>IFERROR(__xludf.DUMMYFUNCTION("""COMPUTED_VALUE"""),"A10o3")</f>
        <v>A10o3</v>
      </c>
      <c r="Q731" s="9"/>
      <c r="R731" s="9"/>
      <c r="S731" s="42"/>
      <c r="T731" s="42"/>
      <c r="U731" s="42"/>
      <c r="V731" s="42"/>
      <c r="W731" s="42"/>
      <c r="X731" s="42"/>
      <c r="Y731" s="42"/>
      <c r="Z731" s="42"/>
      <c r="AA731" s="42"/>
      <c r="AB731" s="42" t="str">
        <f>IFERROR(__xludf.DUMMYFUNCTION("""COMPUTED_VALUE"""),"allen institute")</f>
        <v>allen institute</v>
      </c>
      <c r="AC731" s="42" t="str">
        <f>IFERROR(__xludf.DUMMYFUNCTION("""COMPUTED_VALUE"""),"DHBA")</f>
        <v>DHBA</v>
      </c>
      <c r="AD731" s="42"/>
      <c r="AE731" s="42"/>
      <c r="AF731" s="9"/>
      <c r="AG731" s="9"/>
      <c r="AH731" s="42"/>
      <c r="AI731" s="42"/>
      <c r="AJ731" s="42"/>
      <c r="AK731" s="42"/>
      <c r="AL731" s="42"/>
      <c r="AM731" s="42"/>
      <c r="AN731" s="42"/>
      <c r="AO731" s="63" t="str">
        <f>IFERROR(__xludf.DUMMYFUNCTION("IF(ISBLANK(A731),,IF(ISBLANK(S731), A731&amp;"";"", TEXTJOIN(CHAR(10), TRUE, A731&amp;"";"", ARRAYFORMULA(VLOOKUP(SPLIT(S731, "";"" &amp; CHAR(10)), $A:$AO, 41, FALSE)))))"),"A10o3;")</f>
        <v>A10o3;</v>
      </c>
      <c r="AP731" s="89"/>
    </row>
    <row r="732">
      <c r="A732" s="151" t="str">
        <f>IFERROR(__xludf.DUMMYFUNCTION("""COMPUTED_VALUE"""),"A10o4")</f>
        <v>A10o4</v>
      </c>
      <c r="B732" s="42" t="str">
        <f>IFERROR(__xludf.DUMMYFUNCTION("""COMPUTED_VALUE"""),"DHBA")</f>
        <v>DHBA</v>
      </c>
      <c r="C732" s="42" t="str">
        <f>IFERROR(__xludf.DUMMYFUNCTION("""COMPUTED_VALUE"""),"layer IV of area 10o")</f>
        <v>layer IV of area 10o</v>
      </c>
      <c r="D732" s="42">
        <f>IFERROR(__xludf.DUMMYFUNCTION("""COMPUTED_VALUE"""),681.0)</f>
        <v>681</v>
      </c>
      <c r="E732" s="39" t="str">
        <f>IFERROR(__xludf.DUMMYFUNCTION("""COMPUTED_VALUE"""),"layer IV of area 10o")</f>
        <v>layer IV of area 10o</v>
      </c>
      <c r="F732" s="9" t="str">
        <f>IFERROR(__xludf.DUMMYFUNCTION("""COMPUTED_VALUE"""),"Br")</f>
        <v>Br</v>
      </c>
      <c r="G732" s="9" t="str">
        <f>IFERROR(__xludf.DUMMYFUNCTION("""COMPUTED_VALUE"""),"F")</f>
        <v>F</v>
      </c>
      <c r="H732" s="9" t="str">
        <f>IFERROR(__xludf.DUMMYFUNCTION("""COMPUTED_VALUE"""),"FGM")</f>
        <v>FGM</v>
      </c>
      <c r="I732" s="9" t="str">
        <f>IFERROR(__xludf.DUMMYFUNCTION("""COMPUTED_VALUE"""),"Tel")</f>
        <v>Tel</v>
      </c>
      <c r="J732" s="9" t="str">
        <f>IFERROR(__xludf.DUMMYFUNCTION("""COMPUTED_VALUE"""),"Cx")</f>
        <v>Cx</v>
      </c>
      <c r="K732" s="9" t="str">
        <f>IFERROR(__xludf.DUMMYFUNCTION("""COMPUTED_VALUE"""),"NCx")</f>
        <v>NCx</v>
      </c>
      <c r="L732" s="9" t="str">
        <f>IFERROR(__xludf.DUMMYFUNCTION("""COMPUTED_VALUE"""),"FCx")</f>
        <v>FCx</v>
      </c>
      <c r="M732" s="9" t="str">
        <f>IFERROR(__xludf.DUMMYFUNCTION("""COMPUTED_VALUE"""),"PFC")</f>
        <v>PFC</v>
      </c>
      <c r="N732" s="9" t="str">
        <f>IFERROR(__xludf.DUMMYFUNCTION("""COMPUTED_VALUE"""),"A10")</f>
        <v>A10</v>
      </c>
      <c r="O732" s="9" t="str">
        <f>IFERROR(__xludf.DUMMYFUNCTION("""COMPUTED_VALUE"""),"A10o")</f>
        <v>A10o</v>
      </c>
      <c r="P732" s="9" t="str">
        <f>IFERROR(__xludf.DUMMYFUNCTION("""COMPUTED_VALUE"""),"A10o4")</f>
        <v>A10o4</v>
      </c>
      <c r="Q732" s="9"/>
      <c r="R732" s="9"/>
      <c r="S732" s="42"/>
      <c r="T732" s="42"/>
      <c r="U732" s="42"/>
      <c r="V732" s="42"/>
      <c r="W732" s="42"/>
      <c r="X732" s="42"/>
      <c r="Y732" s="42"/>
      <c r="Z732" s="42"/>
      <c r="AA732" s="42"/>
      <c r="AB732" s="42" t="str">
        <f>IFERROR(__xludf.DUMMYFUNCTION("""COMPUTED_VALUE"""),"allen institute")</f>
        <v>allen institute</v>
      </c>
      <c r="AC732" s="42" t="str">
        <f>IFERROR(__xludf.DUMMYFUNCTION("""COMPUTED_VALUE"""),"DHBA")</f>
        <v>DHBA</v>
      </c>
      <c r="AD732" s="42"/>
      <c r="AE732" s="42"/>
      <c r="AF732" s="9"/>
      <c r="AG732" s="9"/>
      <c r="AH732" s="42"/>
      <c r="AI732" s="42"/>
      <c r="AJ732" s="42"/>
      <c r="AK732" s="42"/>
      <c r="AL732" s="42"/>
      <c r="AM732" s="42"/>
      <c r="AN732" s="42"/>
      <c r="AO732" s="63" t="str">
        <f>IFERROR(__xludf.DUMMYFUNCTION("IF(ISBLANK(A732),,IF(ISBLANK(S732), A732&amp;"";"", TEXTJOIN(CHAR(10), TRUE, A732&amp;"";"", ARRAYFORMULA(VLOOKUP(SPLIT(S732, "";"" &amp; CHAR(10)), $A:$AO, 41, FALSE)))))"),"A10o4;")</f>
        <v>A10o4;</v>
      </c>
      <c r="AP732" s="89"/>
    </row>
    <row r="733">
      <c r="A733" s="151" t="str">
        <f>IFERROR(__xludf.DUMMYFUNCTION("""COMPUTED_VALUE"""),"A10o5")</f>
        <v>A10o5</v>
      </c>
      <c r="B733" s="42" t="str">
        <f>IFERROR(__xludf.DUMMYFUNCTION("""COMPUTED_VALUE"""),"DHBA")</f>
        <v>DHBA</v>
      </c>
      <c r="C733" s="42" t="str">
        <f>IFERROR(__xludf.DUMMYFUNCTION("""COMPUTED_VALUE"""),"layer V of area 10o")</f>
        <v>layer V of area 10o</v>
      </c>
      <c r="D733" s="42">
        <f>IFERROR(__xludf.DUMMYFUNCTION("""COMPUTED_VALUE"""),682.0)</f>
        <v>682</v>
      </c>
      <c r="E733" s="39" t="str">
        <f>IFERROR(__xludf.DUMMYFUNCTION("""COMPUTED_VALUE"""),"layer V of area 10o")</f>
        <v>layer V of area 10o</v>
      </c>
      <c r="F733" s="9" t="str">
        <f>IFERROR(__xludf.DUMMYFUNCTION("""COMPUTED_VALUE"""),"Br")</f>
        <v>Br</v>
      </c>
      <c r="G733" s="9" t="str">
        <f>IFERROR(__xludf.DUMMYFUNCTION("""COMPUTED_VALUE"""),"F")</f>
        <v>F</v>
      </c>
      <c r="H733" s="9" t="str">
        <f>IFERROR(__xludf.DUMMYFUNCTION("""COMPUTED_VALUE"""),"FGM")</f>
        <v>FGM</v>
      </c>
      <c r="I733" s="9" t="str">
        <f>IFERROR(__xludf.DUMMYFUNCTION("""COMPUTED_VALUE"""),"Tel")</f>
        <v>Tel</v>
      </c>
      <c r="J733" s="9" t="str">
        <f>IFERROR(__xludf.DUMMYFUNCTION("""COMPUTED_VALUE"""),"Cx")</f>
        <v>Cx</v>
      </c>
      <c r="K733" s="9" t="str">
        <f>IFERROR(__xludf.DUMMYFUNCTION("""COMPUTED_VALUE"""),"NCx")</f>
        <v>NCx</v>
      </c>
      <c r="L733" s="9" t="str">
        <f>IFERROR(__xludf.DUMMYFUNCTION("""COMPUTED_VALUE"""),"FCx")</f>
        <v>FCx</v>
      </c>
      <c r="M733" s="9" t="str">
        <f>IFERROR(__xludf.DUMMYFUNCTION("""COMPUTED_VALUE"""),"PFC")</f>
        <v>PFC</v>
      </c>
      <c r="N733" s="9" t="str">
        <f>IFERROR(__xludf.DUMMYFUNCTION("""COMPUTED_VALUE"""),"A10")</f>
        <v>A10</v>
      </c>
      <c r="O733" s="9" t="str">
        <f>IFERROR(__xludf.DUMMYFUNCTION("""COMPUTED_VALUE"""),"A10o")</f>
        <v>A10o</v>
      </c>
      <c r="P733" s="9" t="str">
        <f>IFERROR(__xludf.DUMMYFUNCTION("""COMPUTED_VALUE"""),"A10o5")</f>
        <v>A10o5</v>
      </c>
      <c r="Q733" s="9"/>
      <c r="R733" s="9"/>
      <c r="S733" s="42"/>
      <c r="T733" s="42"/>
      <c r="U733" s="42"/>
      <c r="V733" s="42"/>
      <c r="W733" s="42"/>
      <c r="X733" s="42"/>
      <c r="Y733" s="42"/>
      <c r="Z733" s="42"/>
      <c r="AA733" s="42"/>
      <c r="AB733" s="42" t="str">
        <f>IFERROR(__xludf.DUMMYFUNCTION("""COMPUTED_VALUE"""),"allen institute")</f>
        <v>allen institute</v>
      </c>
      <c r="AC733" s="42" t="str">
        <f>IFERROR(__xludf.DUMMYFUNCTION("""COMPUTED_VALUE"""),"DHBA")</f>
        <v>DHBA</v>
      </c>
      <c r="AD733" s="42"/>
      <c r="AE733" s="42"/>
      <c r="AF733" s="9"/>
      <c r="AG733" s="9"/>
      <c r="AH733" s="42"/>
      <c r="AI733" s="42"/>
      <c r="AJ733" s="42"/>
      <c r="AK733" s="42"/>
      <c r="AL733" s="42"/>
      <c r="AM733" s="42"/>
      <c r="AN733" s="42"/>
      <c r="AO733" s="63" t="str">
        <f>IFERROR(__xludf.DUMMYFUNCTION("IF(ISBLANK(A733),,IF(ISBLANK(S733), A733&amp;"";"", TEXTJOIN(CHAR(10), TRUE, A733&amp;"";"", ARRAYFORMULA(VLOOKUP(SPLIT(S733, "";"" &amp; CHAR(10)), $A:$AO, 41, FALSE)))))"),"A10o5;")</f>
        <v>A10o5;</v>
      </c>
      <c r="AP733" s="89"/>
    </row>
    <row r="734">
      <c r="A734" s="151" t="str">
        <f>IFERROR(__xludf.DUMMYFUNCTION("""COMPUTED_VALUE"""),"A10o6")</f>
        <v>A10o6</v>
      </c>
      <c r="B734" s="42" t="str">
        <f>IFERROR(__xludf.DUMMYFUNCTION("""COMPUTED_VALUE"""),"DHBA")</f>
        <v>DHBA</v>
      </c>
      <c r="C734" s="42" t="str">
        <f>IFERROR(__xludf.DUMMYFUNCTION("""COMPUTED_VALUE"""),"layer VI of area 10o")</f>
        <v>layer VI of area 10o</v>
      </c>
      <c r="D734" s="42">
        <f>IFERROR(__xludf.DUMMYFUNCTION("""COMPUTED_VALUE"""),683.0)</f>
        <v>683</v>
      </c>
      <c r="E734" s="39" t="str">
        <f>IFERROR(__xludf.DUMMYFUNCTION("""COMPUTED_VALUE"""),"layer VI of area 10o")</f>
        <v>layer VI of area 10o</v>
      </c>
      <c r="F734" s="9" t="str">
        <f>IFERROR(__xludf.DUMMYFUNCTION("""COMPUTED_VALUE"""),"Br")</f>
        <v>Br</v>
      </c>
      <c r="G734" s="9" t="str">
        <f>IFERROR(__xludf.DUMMYFUNCTION("""COMPUTED_VALUE"""),"F")</f>
        <v>F</v>
      </c>
      <c r="H734" s="9" t="str">
        <f>IFERROR(__xludf.DUMMYFUNCTION("""COMPUTED_VALUE"""),"FGM")</f>
        <v>FGM</v>
      </c>
      <c r="I734" s="9" t="str">
        <f>IFERROR(__xludf.DUMMYFUNCTION("""COMPUTED_VALUE"""),"Tel")</f>
        <v>Tel</v>
      </c>
      <c r="J734" s="9" t="str">
        <f>IFERROR(__xludf.DUMMYFUNCTION("""COMPUTED_VALUE"""),"Cx")</f>
        <v>Cx</v>
      </c>
      <c r="K734" s="9" t="str">
        <f>IFERROR(__xludf.DUMMYFUNCTION("""COMPUTED_VALUE"""),"NCx")</f>
        <v>NCx</v>
      </c>
      <c r="L734" s="9" t="str">
        <f>IFERROR(__xludf.DUMMYFUNCTION("""COMPUTED_VALUE"""),"FCx")</f>
        <v>FCx</v>
      </c>
      <c r="M734" s="9" t="str">
        <f>IFERROR(__xludf.DUMMYFUNCTION("""COMPUTED_VALUE"""),"PFC")</f>
        <v>PFC</v>
      </c>
      <c r="N734" s="9" t="str">
        <f>IFERROR(__xludf.DUMMYFUNCTION("""COMPUTED_VALUE"""),"A10")</f>
        <v>A10</v>
      </c>
      <c r="O734" s="9" t="str">
        <f>IFERROR(__xludf.DUMMYFUNCTION("""COMPUTED_VALUE"""),"A10o")</f>
        <v>A10o</v>
      </c>
      <c r="P734" s="9" t="str">
        <f>IFERROR(__xludf.DUMMYFUNCTION("""COMPUTED_VALUE"""),"A10o6")</f>
        <v>A10o6</v>
      </c>
      <c r="Q734" s="9"/>
      <c r="R734" s="9"/>
      <c r="S734" s="42"/>
      <c r="T734" s="42"/>
      <c r="U734" s="42"/>
      <c r="V734" s="42"/>
      <c r="W734" s="42"/>
      <c r="X734" s="42"/>
      <c r="Y734" s="42"/>
      <c r="Z734" s="42"/>
      <c r="AA734" s="42"/>
      <c r="AB734" s="42" t="str">
        <f>IFERROR(__xludf.DUMMYFUNCTION("""COMPUTED_VALUE"""),"allen institute")</f>
        <v>allen institute</v>
      </c>
      <c r="AC734" s="42" t="str">
        <f>IFERROR(__xludf.DUMMYFUNCTION("""COMPUTED_VALUE"""),"DHBA")</f>
        <v>DHBA</v>
      </c>
      <c r="AD734" s="42"/>
      <c r="AE734" s="42"/>
      <c r="AF734" s="9"/>
      <c r="AG734" s="9"/>
      <c r="AH734" s="42"/>
      <c r="AI734" s="42"/>
      <c r="AJ734" s="42"/>
      <c r="AK734" s="42"/>
      <c r="AL734" s="42"/>
      <c r="AM734" s="42"/>
      <c r="AN734" s="42"/>
      <c r="AO734" s="63" t="str">
        <f>IFERROR(__xludf.DUMMYFUNCTION("IF(ISBLANK(A734),,IF(ISBLANK(S734), A734&amp;"";"", TEXTJOIN(CHAR(10), TRUE, A734&amp;"";"", ARRAYFORMULA(VLOOKUP(SPLIT(S734, "";"" &amp; CHAR(10)), $A:$AO, 41, FALSE)))))"),"A10o6;")</f>
        <v>A10o6;</v>
      </c>
      <c r="AP734" s="89"/>
    </row>
    <row r="735">
      <c r="A735" s="151" t="str">
        <f>IFERROR(__xludf.DUMMYFUNCTION("""COMPUTED_VALUE"""),"DFC")</f>
        <v>DFC</v>
      </c>
      <c r="B735" s="42" t="str">
        <f>IFERROR(__xludf.DUMMYFUNCTION("""COMPUTED_VALUE"""),"DHBA")</f>
        <v>DHBA</v>
      </c>
      <c r="C735" s="42" t="str">
        <f>IFERROR(__xludf.DUMMYFUNCTION("""COMPUTED_VALUE"""),"dorsolateral prefrontal cortex")</f>
        <v>dorsolateral prefrontal cortex</v>
      </c>
      <c r="D735" s="42">
        <f>IFERROR(__xludf.DUMMYFUNCTION("""COMPUTED_VALUE"""),684.0)</f>
        <v>684</v>
      </c>
      <c r="E735" s="39" t="str">
        <f>IFERROR(__xludf.DUMMYFUNCTION("""COMPUTED_VALUE"""),"dorsolateral prefrontal cortex")</f>
        <v>dorsolateral prefrontal cortex</v>
      </c>
      <c r="F735" s="9" t="str">
        <f>IFERROR(__xludf.DUMMYFUNCTION("""COMPUTED_VALUE"""),"Br")</f>
        <v>Br</v>
      </c>
      <c r="G735" s="9" t="str">
        <f>IFERROR(__xludf.DUMMYFUNCTION("""COMPUTED_VALUE"""),"F")</f>
        <v>F</v>
      </c>
      <c r="H735" s="9" t="str">
        <f>IFERROR(__xludf.DUMMYFUNCTION("""COMPUTED_VALUE"""),"FGM")</f>
        <v>FGM</v>
      </c>
      <c r="I735" s="9" t="str">
        <f>IFERROR(__xludf.DUMMYFUNCTION("""COMPUTED_VALUE"""),"Tel")</f>
        <v>Tel</v>
      </c>
      <c r="J735" s="9" t="str">
        <f>IFERROR(__xludf.DUMMYFUNCTION("""COMPUTED_VALUE"""),"Cx")</f>
        <v>Cx</v>
      </c>
      <c r="K735" s="9" t="str">
        <f>IFERROR(__xludf.DUMMYFUNCTION("""COMPUTED_VALUE"""),"NCx")</f>
        <v>NCx</v>
      </c>
      <c r="L735" s="9" t="str">
        <f>IFERROR(__xludf.DUMMYFUNCTION("""COMPUTED_VALUE"""),"FCx")</f>
        <v>FCx</v>
      </c>
      <c r="M735" s="9" t="str">
        <f>IFERROR(__xludf.DUMMYFUNCTION("""COMPUTED_VALUE"""),"PFC")</f>
        <v>PFC</v>
      </c>
      <c r="N735" s="9" t="str">
        <f>IFERROR(__xludf.DUMMYFUNCTION("""COMPUTED_VALUE"""),"DFC")</f>
        <v>DFC</v>
      </c>
      <c r="O735" s="9"/>
      <c r="P735" s="9"/>
      <c r="Q735" s="9"/>
      <c r="R735" s="9"/>
      <c r="S735" s="42" t="str">
        <f>IFERROR(__xludf.DUMMYFUNCTION("""COMPUTED_VALUE"""),"A8;
A9;
A9.46;
A46;
A9_46")</f>
        <v>A8;
A9;
A9.46;
A46;
A9_46</v>
      </c>
      <c r="T735" s="42" t="str">
        <f>IFERROR(__xludf.DUMMYFUNCTION("""COMPUTED_VALUE"""),"NCx")</f>
        <v>NCx</v>
      </c>
      <c r="U735" s="42" t="b">
        <f>IFERROR(__xludf.DUMMYFUNCTION("""COMPUTED_VALUE"""),FALSE)</f>
        <v>0</v>
      </c>
      <c r="V735" s="42"/>
      <c r="W735" s="42"/>
      <c r="X735" s="42"/>
      <c r="Y735" s="42"/>
      <c r="Z735" s="42"/>
      <c r="AA735" s="42"/>
      <c r="AB735" s="42" t="str">
        <f>IFERROR(__xludf.DUMMYFUNCTION("""COMPUTED_VALUE"""),"allen institute")</f>
        <v>allen institute</v>
      </c>
      <c r="AC735" s="42" t="str">
        <f>IFERROR(__xludf.DUMMYFUNCTION("""COMPUTED_VALUE"""),"DHBA")</f>
        <v>DHBA</v>
      </c>
      <c r="AD735" s="42"/>
      <c r="AE735" s="42"/>
      <c r="AF735" s="9"/>
      <c r="AG735" s="9"/>
      <c r="AH735" s="42"/>
      <c r="AI735" s="42"/>
      <c r="AJ735" s="42"/>
      <c r="AK735" s="42"/>
      <c r="AL735" s="42"/>
      <c r="AM735" s="42"/>
      <c r="AN735" s="42"/>
      <c r="AO735" s="63" t="str">
        <f>IFERROR(__xludf.DUMMYFUNCTION("IF(ISBLANK(A735),,IF(ISBLANK(S735), A735&amp;"";"", TEXTJOIN(CHAR(10), TRUE, A735&amp;"";"", ARRAYFORMULA(VLOOKUP(SPLIT(S735, "";"" &amp; CHAR(10)), $A:$AO, 41, FALSE)))))"),"#N/A")</f>
        <v>#N/A</v>
      </c>
      <c r="AP735" s="89"/>
    </row>
    <row r="736">
      <c r="A736" s="151" t="str">
        <f>IFERROR(__xludf.DUMMYFUNCTION("""COMPUTED_VALUE"""),"A8")</f>
        <v>A8</v>
      </c>
      <c r="B736" s="42" t="str">
        <f>IFERROR(__xludf.DUMMYFUNCTION("""COMPUTED_VALUE"""),"DHBA")</f>
        <v>DHBA</v>
      </c>
      <c r="C736" s="42" t="str">
        <f>IFERROR(__xludf.DUMMYFUNCTION("""COMPUTED_VALUE"""),"caudal portion of DFC (area 8)")</f>
        <v>caudal portion of DFC (area 8)</v>
      </c>
      <c r="D736" s="42">
        <f>IFERROR(__xludf.DUMMYFUNCTION("""COMPUTED_VALUE"""),685.0)</f>
        <v>685</v>
      </c>
      <c r="E736" s="39" t="str">
        <f>IFERROR(__xludf.DUMMYFUNCTION("""COMPUTED_VALUE"""),"caudal portion of DFC (area 8)")</f>
        <v>caudal portion of DFC (area 8)</v>
      </c>
      <c r="F736" s="9" t="str">
        <f>IFERROR(__xludf.DUMMYFUNCTION("""COMPUTED_VALUE"""),"Br")</f>
        <v>Br</v>
      </c>
      <c r="G736" s="9" t="str">
        <f>IFERROR(__xludf.DUMMYFUNCTION("""COMPUTED_VALUE"""),"F")</f>
        <v>F</v>
      </c>
      <c r="H736" s="9" t="str">
        <f>IFERROR(__xludf.DUMMYFUNCTION("""COMPUTED_VALUE"""),"FGM")</f>
        <v>FGM</v>
      </c>
      <c r="I736" s="9" t="str">
        <f>IFERROR(__xludf.DUMMYFUNCTION("""COMPUTED_VALUE"""),"Tel")</f>
        <v>Tel</v>
      </c>
      <c r="J736" s="9" t="str">
        <f>IFERROR(__xludf.DUMMYFUNCTION("""COMPUTED_VALUE"""),"Cx")</f>
        <v>Cx</v>
      </c>
      <c r="K736" s="9" t="str">
        <f>IFERROR(__xludf.DUMMYFUNCTION("""COMPUTED_VALUE"""),"NCx")</f>
        <v>NCx</v>
      </c>
      <c r="L736" s="9" t="str">
        <f>IFERROR(__xludf.DUMMYFUNCTION("""COMPUTED_VALUE"""),"FCx")</f>
        <v>FCx</v>
      </c>
      <c r="M736" s="9" t="str">
        <f>IFERROR(__xludf.DUMMYFUNCTION("""COMPUTED_VALUE"""),"PFC")</f>
        <v>PFC</v>
      </c>
      <c r="N736" s="9" t="str">
        <f>IFERROR(__xludf.DUMMYFUNCTION("""COMPUTED_VALUE"""),"DFC")</f>
        <v>DFC</v>
      </c>
      <c r="O736" s="9" t="str">
        <f>IFERROR(__xludf.DUMMYFUNCTION("""COMPUTED_VALUE"""),"A8")</f>
        <v>A8</v>
      </c>
      <c r="P736" s="9"/>
      <c r="Q736" s="9"/>
      <c r="R736" s="9"/>
      <c r="S736" s="42" t="str">
        <f>IFERROR(__xludf.DUMMYFUNCTION("""COMPUTED_VALUE"""),"A8ld;
A8lv;
A8m;
FEF")</f>
        <v>A8ld;
A8lv;
A8m;
FEF</v>
      </c>
      <c r="T736" s="42" t="str">
        <f>IFERROR(__xludf.DUMMYFUNCTION("""COMPUTED_VALUE"""),"NCx")</f>
        <v>NCx</v>
      </c>
      <c r="U736" s="159" t="b">
        <f>IFERROR(__xludf.DUMMYFUNCTION("""COMPUTED_VALUE"""),FALSE)</f>
        <v>0</v>
      </c>
      <c r="V736" s="42"/>
      <c r="W736" s="42"/>
      <c r="X736" s="42"/>
      <c r="Y736" s="42"/>
      <c r="Z736" s="42"/>
      <c r="AA736" s="42"/>
      <c r="AB736" s="42" t="str">
        <f>IFERROR(__xludf.DUMMYFUNCTION("""COMPUTED_VALUE"""),"allen institute")</f>
        <v>allen institute</v>
      </c>
      <c r="AC736" s="42" t="str">
        <f>IFERROR(__xludf.DUMMYFUNCTION("""COMPUTED_VALUE"""),"DHBA")</f>
        <v>DHBA</v>
      </c>
      <c r="AD736" s="42"/>
      <c r="AE736" s="42"/>
      <c r="AF736" s="9"/>
      <c r="AG736" s="9"/>
      <c r="AH736" s="42"/>
      <c r="AI736" s="42"/>
      <c r="AJ736" s="42"/>
      <c r="AK736" s="42"/>
      <c r="AL736" s="42"/>
      <c r="AM736" s="42"/>
      <c r="AN736" s="42"/>
      <c r="AO736" s="63" t="str">
        <f>IFERROR(__xludf.DUMMYFUNCTION("IF(ISBLANK(A736),,IF(ISBLANK(S736), A736&amp;"";"", TEXTJOIN(CHAR(10), TRUE, A736&amp;"";"", ARRAYFORMULA(VLOOKUP(SPLIT(S736, "";"" &amp; CHAR(10)), $A:$AO, 41, FALSE)))))"),"A8;
A8ld;
A8ld1;
A8ld2;
A8ld3;
A8ld4;
A8ld5;
A8ld6;
A8lv;
A8lv1;
A8lv2;
A8lv3;
A8lv4;
A8lv5;
A8lv6;
A8m;
A8m1;
A8m2;
A8m3;
A8m4;
A8m5;
A8m6;
FEF;")</f>
        <v>A8;
A8ld;
A8ld1;
A8ld2;
A8ld3;
A8ld4;
A8ld5;
A8ld6;
A8lv;
A8lv1;
A8lv2;
A8lv3;
A8lv4;
A8lv5;
A8lv6;
A8m;
A8m1;
A8m2;
A8m3;
A8m4;
A8m5;
A8m6;
FEF;</v>
      </c>
      <c r="AP736" s="89"/>
    </row>
    <row r="737">
      <c r="A737" s="151" t="str">
        <f>IFERROR(__xludf.DUMMYFUNCTION("""COMPUTED_VALUE"""),"A8aD")</f>
        <v>A8aD</v>
      </c>
      <c r="B737" s="42" t="str">
        <f>IFERROR(__xludf.DUMMYFUNCTION("""COMPUTED_VALUE"""),"[Paxinos, 2012]")</f>
        <v>[Paxinos, 2012]</v>
      </c>
      <c r="C737" s="42" t="str">
        <f>IFERROR(__xludf.DUMMYFUNCTION("""COMPUTED_VALUE"""),"A8aD area 8a of cortex dorsal part")</f>
        <v>A8aD area 8a of cortex dorsal part</v>
      </c>
      <c r="D737" s="42">
        <f>IFERROR(__xludf.DUMMYFUNCTION("""COMPUTED_VALUE"""),685.1)</f>
        <v>685.1</v>
      </c>
      <c r="E737" s="39"/>
      <c r="F737" s="9"/>
      <c r="G737" s="9"/>
      <c r="H737" s="9"/>
      <c r="I737" s="9"/>
      <c r="J737" s="9"/>
      <c r="K737" s="9"/>
      <c r="L737" s="9"/>
      <c r="M737" s="9"/>
      <c r="N737" s="9"/>
      <c r="O737" s="9"/>
      <c r="P737" s="9"/>
      <c r="Q737" s="9"/>
      <c r="R737" s="9"/>
      <c r="S737" s="42"/>
      <c r="T737" s="42" t="str">
        <f>IFERROR(__xludf.DUMMYFUNCTION("""COMPUTED_VALUE"""),"NCx")</f>
        <v>NCx</v>
      </c>
      <c r="U737" s="42" t="b">
        <f>IFERROR(__xludf.DUMMYFUNCTION("""COMPUTED_VALUE"""),FALSE)</f>
        <v>0</v>
      </c>
      <c r="V737" s="42"/>
      <c r="W737" s="42"/>
      <c r="X737" s="42"/>
      <c r="Y737" s="42"/>
      <c r="Z737" s="42"/>
      <c r="AA737" s="42"/>
      <c r="AB737" s="42" t="str">
        <f>IFERROR(__xludf.DUMMYFUNCTION("""COMPUTED_VALUE"""),"?")</f>
        <v>?</v>
      </c>
      <c r="AC737" s="42" t="str">
        <f>IFERROR(__xludf.DUMMYFUNCTION("""COMPUTED_VALUE"""),"YS21Trust")</f>
        <v>YS21Trust</v>
      </c>
      <c r="AD737" s="42"/>
      <c r="AE737" s="42"/>
      <c r="AF737" s="9"/>
      <c r="AG737" s="9"/>
      <c r="AH737" s="42"/>
      <c r="AI737" s="42"/>
      <c r="AJ737" s="42"/>
      <c r="AK737" s="42"/>
      <c r="AL737" s="42"/>
      <c r="AM737" s="42"/>
      <c r="AN737" s="42"/>
      <c r="AO737" s="63" t="str">
        <f>IFERROR(__xludf.DUMMYFUNCTION("IF(ISBLANK(A737),,IF(ISBLANK(S737), A737&amp;"";"", TEXTJOIN(CHAR(10), TRUE, A737&amp;"";"", ARRAYFORMULA(VLOOKUP(SPLIT(S737, "";"" &amp; CHAR(10)), $A:$AO, 41, FALSE)))))"),"A8aD;")</f>
        <v>A8aD;</v>
      </c>
      <c r="AP737" s="89"/>
    </row>
    <row r="738">
      <c r="A738" s="151" t="str">
        <f>IFERROR(__xludf.DUMMYFUNCTION("""COMPUTED_VALUE"""),"A8aV")</f>
        <v>A8aV</v>
      </c>
      <c r="B738" s="42" t="str">
        <f>IFERROR(__xludf.DUMMYFUNCTION("""COMPUTED_VALUE"""),"[Paxinos, 2012]")</f>
        <v>[Paxinos, 2012]</v>
      </c>
      <c r="C738" s="42" t="str">
        <f>IFERROR(__xludf.DUMMYFUNCTION("""COMPUTED_VALUE"""),"A8aV area 8a of cortex ventral part")</f>
        <v>A8aV area 8a of cortex ventral part</v>
      </c>
      <c r="D738" s="42">
        <f>IFERROR(__xludf.DUMMYFUNCTION("""COMPUTED_VALUE"""),685.1)</f>
        <v>685.1</v>
      </c>
      <c r="E738" s="39"/>
      <c r="F738" s="9"/>
      <c r="G738" s="9"/>
      <c r="H738" s="9"/>
      <c r="I738" s="9"/>
      <c r="J738" s="9"/>
      <c r="K738" s="9"/>
      <c r="L738" s="9"/>
      <c r="M738" s="9"/>
      <c r="N738" s="9"/>
      <c r="O738" s="9"/>
      <c r="P738" s="9"/>
      <c r="Q738" s="9"/>
      <c r="R738" s="9"/>
      <c r="S738" s="42"/>
      <c r="T738" s="42" t="str">
        <f>IFERROR(__xludf.DUMMYFUNCTION("""COMPUTED_VALUE"""),"NCx")</f>
        <v>NCx</v>
      </c>
      <c r="U738" s="159" t="b">
        <f>IFERROR(__xludf.DUMMYFUNCTION("""COMPUTED_VALUE"""),FALSE)</f>
        <v>0</v>
      </c>
      <c r="V738" s="42"/>
      <c r="W738" s="42"/>
      <c r="X738" s="42"/>
      <c r="Y738" s="42"/>
      <c r="Z738" s="42"/>
      <c r="AA738" s="42"/>
      <c r="AB738" s="42" t="str">
        <f>IFERROR(__xludf.DUMMYFUNCTION("""COMPUTED_VALUE"""),"Yudai Suzuki")</f>
        <v>Yudai Suzuki</v>
      </c>
      <c r="AC738" s="42" t="str">
        <f>IFERROR(__xludf.DUMMYFUNCTION("""COMPUTED_VALUE"""),"YS21Trust")</f>
        <v>YS21Trust</v>
      </c>
      <c r="AD738" s="42"/>
      <c r="AE738" s="42"/>
      <c r="AF738" s="9"/>
      <c r="AG738" s="9"/>
      <c r="AH738" s="42"/>
      <c r="AI738" s="42"/>
      <c r="AJ738" s="42"/>
      <c r="AK738" s="42"/>
      <c r="AL738" s="42"/>
      <c r="AM738" s="42"/>
      <c r="AN738" s="42"/>
      <c r="AO738" s="63" t="str">
        <f>IFERROR(__xludf.DUMMYFUNCTION("IF(ISBLANK(A738),,IF(ISBLANK(S738), A738&amp;"";"", TEXTJOIN(CHAR(10), TRUE, A738&amp;"";"", ARRAYFORMULA(VLOOKUP(SPLIT(S738, "";"" &amp; CHAR(10)), $A:$AO, 41, FALSE)))))"),"A8aV;")</f>
        <v>A8aV;</v>
      </c>
      <c r="AP738" s="89"/>
    </row>
    <row r="739">
      <c r="A739" s="151" t="str">
        <f>IFERROR(__xludf.DUMMYFUNCTION("""COMPUTED_VALUE"""),"A8C")</f>
        <v>A8C</v>
      </c>
      <c r="B739" s="42" t="str">
        <f>IFERROR(__xludf.DUMMYFUNCTION("""COMPUTED_VALUE"""),"[Paxinos, 2012]")</f>
        <v>[Paxinos, 2012]</v>
      </c>
      <c r="C739" s="42" t="str">
        <f>IFERROR(__xludf.DUMMYFUNCTION("""COMPUTED_VALUE"""),"A8C area 8 of cortex caudal part")</f>
        <v>A8C area 8 of cortex caudal part</v>
      </c>
      <c r="D739" s="42">
        <f>IFERROR(__xludf.DUMMYFUNCTION("""COMPUTED_VALUE"""),685.1)</f>
        <v>685.1</v>
      </c>
      <c r="E739" s="39"/>
      <c r="F739" s="9"/>
      <c r="G739" s="9"/>
      <c r="H739" s="9"/>
      <c r="I739" s="9"/>
      <c r="J739" s="9"/>
      <c r="K739" s="9"/>
      <c r="L739" s="9"/>
      <c r="M739" s="9"/>
      <c r="N739" s="9"/>
      <c r="O739" s="9"/>
      <c r="P739" s="9"/>
      <c r="Q739" s="9"/>
      <c r="R739" s="9"/>
      <c r="S739" s="42"/>
      <c r="T739" s="42" t="str">
        <f>IFERROR(__xludf.DUMMYFUNCTION("""COMPUTED_VALUE"""),"NCx")</f>
        <v>NCx</v>
      </c>
      <c r="U739" s="42" t="b">
        <f>IFERROR(__xludf.DUMMYFUNCTION("""COMPUTED_VALUE"""),FALSE)</f>
        <v>0</v>
      </c>
      <c r="V739" s="42"/>
      <c r="W739" s="42"/>
      <c r="X739" s="42"/>
      <c r="Y739" s="42"/>
      <c r="Z739" s="42"/>
      <c r="AA739" s="42"/>
      <c r="AB739" s="42" t="str">
        <f>IFERROR(__xludf.DUMMYFUNCTION("""COMPUTED_VALUE"""),"Yudai Suzuki")</f>
        <v>Yudai Suzuki</v>
      </c>
      <c r="AC739" s="42" t="str">
        <f>IFERROR(__xludf.DUMMYFUNCTION("""COMPUTED_VALUE"""),"YS21Trust")</f>
        <v>YS21Trust</v>
      </c>
      <c r="AD739" s="42"/>
      <c r="AE739" s="42"/>
      <c r="AF739" s="9"/>
      <c r="AG739" s="9"/>
      <c r="AH739" s="42"/>
      <c r="AI739" s="42"/>
      <c r="AJ739" s="42"/>
      <c r="AK739" s="42"/>
      <c r="AL739" s="42"/>
      <c r="AM739" s="42"/>
      <c r="AN739" s="42"/>
      <c r="AO739" s="63" t="str">
        <f>IFERROR(__xludf.DUMMYFUNCTION("IF(ISBLANK(A739),,IF(ISBLANK(S739), A739&amp;"";"", TEXTJOIN(CHAR(10), TRUE, A739&amp;"";"", ARRAYFORMULA(VLOOKUP(SPLIT(S739, "";"" &amp; CHAR(10)), $A:$AO, 41, FALSE)))))"),"A8C;")</f>
        <v>A8C;</v>
      </c>
      <c r="AP739" s="89"/>
    </row>
    <row r="740">
      <c r="A740" s="151" t="str">
        <f>IFERROR(__xludf.DUMMYFUNCTION("""COMPUTED_VALUE"""),"A8.L5PT")</f>
        <v>A8.L5PT</v>
      </c>
      <c r="B740" s="42" t="str">
        <f>IFERROR(__xludf.DUMMYFUNCTION("""COMPUTED_VALUE"""),"makeshift")</f>
        <v>makeshift</v>
      </c>
      <c r="C740" s="42" t="str">
        <f>IFERROR(__xludf.DUMMYFUNCTION("""COMPUTED_VALUE"""),"A8, pyramidal tract neurons in layer 8")</f>
        <v>A8, pyramidal tract neurons in layer 8</v>
      </c>
      <c r="D740" s="42">
        <f>IFERROR(__xludf.DUMMYFUNCTION("""COMPUTED_VALUE"""),685.1)</f>
        <v>685.1</v>
      </c>
      <c r="E740" s="39" t="str">
        <f>IFERROR(__xludf.DUMMYFUNCTION("""COMPUTED_VALUE"""),"")</f>
        <v/>
      </c>
      <c r="F740" s="9" t="str">
        <f>IFERROR(__xludf.DUMMYFUNCTION("""COMPUTED_VALUE"""),"")</f>
        <v/>
      </c>
      <c r="G740" s="9" t="str">
        <f>IFERROR(__xludf.DUMMYFUNCTION("""COMPUTED_VALUE"""),"")</f>
        <v/>
      </c>
      <c r="H740" s="9" t="str">
        <f>IFERROR(__xludf.DUMMYFUNCTION("""COMPUTED_VALUE"""),"")</f>
        <v/>
      </c>
      <c r="I740" s="9" t="str">
        <f>IFERROR(__xludf.DUMMYFUNCTION("""COMPUTED_VALUE"""),"")</f>
        <v/>
      </c>
      <c r="J740" s="9" t="str">
        <f>IFERROR(__xludf.DUMMYFUNCTION("""COMPUTED_VALUE"""),"")</f>
        <v/>
      </c>
      <c r="K740" s="9" t="str">
        <f>IFERROR(__xludf.DUMMYFUNCTION("""COMPUTED_VALUE"""),"")</f>
        <v/>
      </c>
      <c r="L740" s="9" t="str">
        <f>IFERROR(__xludf.DUMMYFUNCTION("""COMPUTED_VALUE"""),"")</f>
        <v/>
      </c>
      <c r="M740" s="9" t="str">
        <f>IFERROR(__xludf.DUMMYFUNCTION("""COMPUTED_VALUE"""),"")</f>
        <v/>
      </c>
      <c r="N740" s="9" t="str">
        <f>IFERROR(__xludf.DUMMYFUNCTION("""COMPUTED_VALUE"""),"")</f>
        <v/>
      </c>
      <c r="O740" s="9" t="str">
        <f>IFERROR(__xludf.DUMMYFUNCTION("""COMPUTED_VALUE"""),"")</f>
        <v/>
      </c>
      <c r="P740" s="9" t="str">
        <f>IFERROR(__xludf.DUMMYFUNCTION("""COMPUTED_VALUE"""),"")</f>
        <v/>
      </c>
      <c r="Q740" s="9" t="str">
        <f>IFERROR(__xludf.DUMMYFUNCTION("""COMPUTED_VALUE"""),"")</f>
        <v/>
      </c>
      <c r="R740" s="9" t="str">
        <f>IFERROR(__xludf.DUMMYFUNCTION("""COMPUTED_VALUE"""),"")</f>
        <v/>
      </c>
      <c r="S740" s="42"/>
      <c r="T740" s="42" t="str">
        <f>IFERROR(__xludf.DUMMYFUNCTION("""COMPUTED_VALUE"""),"L5PT")</f>
        <v>L5PT</v>
      </c>
      <c r="U740" s="159" t="b">
        <f>IFERROR(__xludf.DUMMYFUNCTION("""COMPUTED_VALUE"""),TRUE)</f>
        <v>1</v>
      </c>
      <c r="V740" s="42" t="str">
        <f>IFERROR(__xludf.DUMMYFUNCTION("""COMPUTED_VALUE"""),"Glutamate")</f>
        <v>Glutamate</v>
      </c>
      <c r="W740" s="42" t="str">
        <f>IFERROR(__xludf.DUMMYFUNCTION("""COMPUTED_VALUE"""),"Excitatory")</f>
        <v>Excitatory</v>
      </c>
      <c r="X740" s="42"/>
      <c r="Y740" s="42"/>
      <c r="Z740" s="42"/>
      <c r="AA740" s="42"/>
      <c r="AB740" s="42" t="str">
        <f>IFERROR(__xludf.DUMMYFUNCTION("""COMPUTED_VALUE"""),"Yuske Shibata")</f>
        <v>Yuske Shibata</v>
      </c>
      <c r="AC740" s="42" t="str">
        <f>IFERROR(__xludf.DUMMYFUNCTION("""COMPUTED_VALUE"""),"YS21BgLoop")</f>
        <v>YS21BgLoop</v>
      </c>
      <c r="AD740" s="42"/>
      <c r="AE740" s="42"/>
      <c r="AF740" s="9"/>
      <c r="AG740" s="9"/>
      <c r="AH740" s="42"/>
      <c r="AI740" s="42"/>
      <c r="AJ740" s="42"/>
      <c r="AK740" s="42"/>
      <c r="AL740" s="42"/>
      <c r="AM740" s="42"/>
      <c r="AN740" s="42"/>
      <c r="AO740" s="63" t="str">
        <f>IFERROR(__xludf.DUMMYFUNCTION("IF(ISBLANK(A740),,IF(ISBLANK(S740), A740&amp;"";"", TEXTJOIN(CHAR(10), TRUE, A740&amp;"";"", ARRAYFORMULA(VLOOKUP(SPLIT(S740, "";"" &amp; CHAR(10)), $A:$AO, 41, FALSE)))))"),"A8.L5PT;")</f>
        <v>A8.L5PT;</v>
      </c>
      <c r="AP740" s="89"/>
    </row>
    <row r="741">
      <c r="A741" s="151" t="str">
        <f>IFERROR(__xludf.DUMMYFUNCTION("""COMPUTED_VALUE"""),"FEF")</f>
        <v>FEF</v>
      </c>
      <c r="B741" s="42" t="str">
        <f>IFERROR(__xludf.DUMMYFUNCTION("""COMPUTED_VALUE"""),"makeshift")</f>
        <v>makeshift</v>
      </c>
      <c r="C741" s="42" t="str">
        <f>IFERROR(__xludf.DUMMYFUNCTION("""COMPUTED_VALUE"""),"frontal eyes fields")</f>
        <v>frontal eyes fields</v>
      </c>
      <c r="D741" s="42">
        <f>IFERROR(__xludf.DUMMYFUNCTION("""COMPUTED_VALUE"""),685.1)</f>
        <v>685.1</v>
      </c>
      <c r="E741" s="39" t="str">
        <f>IFERROR(__xludf.DUMMYFUNCTION("""COMPUTED_VALUE"""),"")</f>
        <v/>
      </c>
      <c r="F741" s="9" t="str">
        <f>IFERROR(__xludf.DUMMYFUNCTION("""COMPUTED_VALUE"""),"")</f>
        <v/>
      </c>
      <c r="G741" s="9" t="str">
        <f>IFERROR(__xludf.DUMMYFUNCTION("""COMPUTED_VALUE"""),"")</f>
        <v/>
      </c>
      <c r="H741" s="9" t="str">
        <f>IFERROR(__xludf.DUMMYFUNCTION("""COMPUTED_VALUE"""),"")</f>
        <v/>
      </c>
      <c r="I741" s="9" t="str">
        <f>IFERROR(__xludf.DUMMYFUNCTION("""COMPUTED_VALUE"""),"")</f>
        <v/>
      </c>
      <c r="J741" s="9" t="str">
        <f>IFERROR(__xludf.DUMMYFUNCTION("""COMPUTED_VALUE"""),"")</f>
        <v/>
      </c>
      <c r="K741" s="9" t="str">
        <f>IFERROR(__xludf.DUMMYFUNCTION("""COMPUTED_VALUE"""),"")</f>
        <v/>
      </c>
      <c r="L741" s="9" t="str">
        <f>IFERROR(__xludf.DUMMYFUNCTION("""COMPUTED_VALUE"""),"")</f>
        <v/>
      </c>
      <c r="M741" s="9" t="str">
        <f>IFERROR(__xludf.DUMMYFUNCTION("""COMPUTED_VALUE"""),"")</f>
        <v/>
      </c>
      <c r="N741" s="9" t="str">
        <f>IFERROR(__xludf.DUMMYFUNCTION("""COMPUTED_VALUE"""),"")</f>
        <v/>
      </c>
      <c r="O741" s="9" t="str">
        <f>IFERROR(__xludf.DUMMYFUNCTION("""COMPUTED_VALUE"""),"")</f>
        <v/>
      </c>
      <c r="P741" s="9" t="str">
        <f>IFERROR(__xludf.DUMMYFUNCTION("""COMPUTED_VALUE"""),"")</f>
        <v/>
      </c>
      <c r="Q741" s="9" t="str">
        <f>IFERROR(__xludf.DUMMYFUNCTION("""COMPUTED_VALUE"""),"")</f>
        <v/>
      </c>
      <c r="R741" s="9" t="str">
        <f>IFERROR(__xludf.DUMMYFUNCTION("""COMPUTED_VALUE"""),"")</f>
        <v/>
      </c>
      <c r="S741" s="42"/>
      <c r="T741" s="42" t="str">
        <f>IFERROR(__xludf.DUMMYFUNCTION("""COMPUTED_VALUE"""),"NCx")</f>
        <v>NCx</v>
      </c>
      <c r="U741" s="42" t="b">
        <f>IFERROR(__xludf.DUMMYFUNCTION("""COMPUTED_VALUE"""),FALSE)</f>
        <v>0</v>
      </c>
      <c r="V741" s="42"/>
      <c r="W741" s="42"/>
      <c r="X741" s="42"/>
      <c r="Y741" s="42"/>
      <c r="Z741" s="42"/>
      <c r="AA741" s="42"/>
      <c r="AB741" s="42"/>
      <c r="AC741" s="42" t="str">
        <f>IFERROR(__xludf.DUMMYFUNCTION("""COMPUTED_VALUE"""),"FA20Claustrum")</f>
        <v>FA20Claustrum</v>
      </c>
      <c r="AD741" s="42"/>
      <c r="AE741" s="42"/>
      <c r="AF741" s="9"/>
      <c r="AG741" s="9"/>
      <c r="AH741" s="42"/>
      <c r="AI741" s="42"/>
      <c r="AJ741" s="42"/>
      <c r="AK741" s="42"/>
      <c r="AL741" s="42"/>
      <c r="AM741" s="42"/>
      <c r="AN741" s="42"/>
      <c r="AO741" s="63" t="str">
        <f>IFERROR(__xludf.DUMMYFUNCTION("IF(ISBLANK(A741),,IF(ISBLANK(S741), A741&amp;"";"", TEXTJOIN(CHAR(10), TRUE, A741&amp;"";"", ARRAYFORMULA(VLOOKUP(SPLIT(S741, "";"" &amp; CHAR(10)), $A:$AO, 41, FALSE)))))"),"FEF;")</f>
        <v>FEF;</v>
      </c>
      <c r="AP741" s="89"/>
    </row>
    <row r="742">
      <c r="A742" s="151" t="str">
        <f>IFERROR(__xludf.DUMMYFUNCTION("""COMPUTED_VALUE"""),"A8ld")</f>
        <v>A8ld</v>
      </c>
      <c r="B742" s="42" t="str">
        <f>IFERROR(__xludf.DUMMYFUNCTION("""COMPUTED_VALUE"""),"DHBA")</f>
        <v>DHBA</v>
      </c>
      <c r="C742" s="42" t="str">
        <f>IFERROR(__xludf.DUMMYFUNCTION("""COMPUTED_VALUE"""),"laterodorsal subdivision of area 8")</f>
        <v>laterodorsal subdivision of area 8</v>
      </c>
      <c r="D742" s="42">
        <f>IFERROR(__xludf.DUMMYFUNCTION("""COMPUTED_VALUE"""),686.0)</f>
        <v>686</v>
      </c>
      <c r="E742" s="39" t="str">
        <f>IFERROR(__xludf.DUMMYFUNCTION("""COMPUTED_VALUE"""),"laterodorsal subdivision of area 8")</f>
        <v>laterodorsal subdivision of area 8</v>
      </c>
      <c r="F742" s="9" t="str">
        <f>IFERROR(__xludf.DUMMYFUNCTION("""COMPUTED_VALUE"""),"Br")</f>
        <v>Br</v>
      </c>
      <c r="G742" s="9" t="str">
        <f>IFERROR(__xludf.DUMMYFUNCTION("""COMPUTED_VALUE"""),"F")</f>
        <v>F</v>
      </c>
      <c r="H742" s="9" t="str">
        <f>IFERROR(__xludf.DUMMYFUNCTION("""COMPUTED_VALUE"""),"FGM")</f>
        <v>FGM</v>
      </c>
      <c r="I742" s="9" t="str">
        <f>IFERROR(__xludf.DUMMYFUNCTION("""COMPUTED_VALUE"""),"Tel")</f>
        <v>Tel</v>
      </c>
      <c r="J742" s="9" t="str">
        <f>IFERROR(__xludf.DUMMYFUNCTION("""COMPUTED_VALUE"""),"Cx")</f>
        <v>Cx</v>
      </c>
      <c r="K742" s="9" t="str">
        <f>IFERROR(__xludf.DUMMYFUNCTION("""COMPUTED_VALUE"""),"NCx")</f>
        <v>NCx</v>
      </c>
      <c r="L742" s="9" t="str">
        <f>IFERROR(__xludf.DUMMYFUNCTION("""COMPUTED_VALUE"""),"FCx")</f>
        <v>FCx</v>
      </c>
      <c r="M742" s="9" t="str">
        <f>IFERROR(__xludf.DUMMYFUNCTION("""COMPUTED_VALUE"""),"PFC")</f>
        <v>PFC</v>
      </c>
      <c r="N742" s="9" t="str">
        <f>IFERROR(__xludf.DUMMYFUNCTION("""COMPUTED_VALUE"""),"DFC")</f>
        <v>DFC</v>
      </c>
      <c r="O742" s="9" t="str">
        <f>IFERROR(__xludf.DUMMYFUNCTION("""COMPUTED_VALUE"""),"A8")</f>
        <v>A8</v>
      </c>
      <c r="P742" s="9" t="str">
        <f>IFERROR(__xludf.DUMMYFUNCTION("""COMPUTED_VALUE"""),"A8ld")</f>
        <v>A8ld</v>
      </c>
      <c r="Q742" s="9"/>
      <c r="R742" s="9"/>
      <c r="S742" s="42" t="str">
        <f>IFERROR(__xludf.DUMMYFUNCTION("""COMPUTED_VALUE"""),"A8ld1;
A8ld2;
A8ld3;
A8ld4;
A8ld5;
A8ld6")</f>
        <v>A8ld1;
A8ld2;
A8ld3;
A8ld4;
A8ld5;
A8ld6</v>
      </c>
      <c r="T742" s="42" t="str">
        <f>IFERROR(__xludf.DUMMYFUNCTION("""COMPUTED_VALUE"""),"NCx")</f>
        <v>NCx</v>
      </c>
      <c r="U742" s="159" t="b">
        <f>IFERROR(__xludf.DUMMYFUNCTION("""COMPUTED_VALUE"""),FALSE)</f>
        <v>0</v>
      </c>
      <c r="V742" s="42"/>
      <c r="W742" s="42"/>
      <c r="X742" s="42"/>
      <c r="Y742" s="42"/>
      <c r="Z742" s="42"/>
      <c r="AA742" s="42"/>
      <c r="AB742" s="42" t="str">
        <f>IFERROR(__xludf.DUMMYFUNCTION("""COMPUTED_VALUE"""),"allen institute")</f>
        <v>allen institute</v>
      </c>
      <c r="AC742" s="42" t="str">
        <f>IFERROR(__xludf.DUMMYFUNCTION("""COMPUTED_VALUE"""),"DHBA")</f>
        <v>DHBA</v>
      </c>
      <c r="AD742" s="42"/>
      <c r="AE742" s="42"/>
      <c r="AF742" s="9"/>
      <c r="AG742" s="9"/>
      <c r="AH742" s="42"/>
      <c r="AI742" s="42"/>
      <c r="AJ742" s="42"/>
      <c r="AK742" s="42"/>
      <c r="AL742" s="42"/>
      <c r="AM742" s="42"/>
      <c r="AN742" s="42"/>
      <c r="AO742" s="63" t="str">
        <f>IFERROR(__xludf.DUMMYFUNCTION("IF(ISBLANK(A742),,IF(ISBLANK(S742), A742&amp;"";"", TEXTJOIN(CHAR(10), TRUE, A742&amp;"";"", ARRAYFORMULA(VLOOKUP(SPLIT(S742, "";"" &amp; CHAR(10)), $A:$AO, 41, FALSE)))))"),"A8ld;
A8ld1;
A8ld2;
A8ld3;
A8ld4;
A8ld5;
A8ld6;")</f>
        <v>A8ld;
A8ld1;
A8ld2;
A8ld3;
A8ld4;
A8ld5;
A8ld6;</v>
      </c>
      <c r="AP742" s="89"/>
    </row>
    <row r="743">
      <c r="A743" s="151" t="str">
        <f>IFERROR(__xludf.DUMMYFUNCTION("""COMPUTED_VALUE"""),"A8ld1")</f>
        <v>A8ld1</v>
      </c>
      <c r="B743" s="42" t="str">
        <f>IFERROR(__xludf.DUMMYFUNCTION("""COMPUTED_VALUE"""),"DHBA")</f>
        <v>DHBA</v>
      </c>
      <c r="C743" s="42" t="str">
        <f>IFERROR(__xludf.DUMMYFUNCTION("""COMPUTED_VALUE"""),"layer I of area 8ld")</f>
        <v>layer I of area 8ld</v>
      </c>
      <c r="D743" s="42">
        <f>IFERROR(__xludf.DUMMYFUNCTION("""COMPUTED_VALUE"""),687.0)</f>
        <v>687</v>
      </c>
      <c r="E743" s="39" t="str">
        <f>IFERROR(__xludf.DUMMYFUNCTION("""COMPUTED_VALUE"""),"layer I of area 8ld")</f>
        <v>layer I of area 8ld</v>
      </c>
      <c r="F743" s="9" t="str">
        <f>IFERROR(__xludf.DUMMYFUNCTION("""COMPUTED_VALUE"""),"Br")</f>
        <v>Br</v>
      </c>
      <c r="G743" s="9" t="str">
        <f>IFERROR(__xludf.DUMMYFUNCTION("""COMPUTED_VALUE"""),"F")</f>
        <v>F</v>
      </c>
      <c r="H743" s="9" t="str">
        <f>IFERROR(__xludf.DUMMYFUNCTION("""COMPUTED_VALUE"""),"FGM")</f>
        <v>FGM</v>
      </c>
      <c r="I743" s="9" t="str">
        <f>IFERROR(__xludf.DUMMYFUNCTION("""COMPUTED_VALUE"""),"Tel")</f>
        <v>Tel</v>
      </c>
      <c r="J743" s="9" t="str">
        <f>IFERROR(__xludf.DUMMYFUNCTION("""COMPUTED_VALUE"""),"Cx")</f>
        <v>Cx</v>
      </c>
      <c r="K743" s="9" t="str">
        <f>IFERROR(__xludf.DUMMYFUNCTION("""COMPUTED_VALUE"""),"NCx")</f>
        <v>NCx</v>
      </c>
      <c r="L743" s="9" t="str">
        <f>IFERROR(__xludf.DUMMYFUNCTION("""COMPUTED_VALUE"""),"FCx")</f>
        <v>FCx</v>
      </c>
      <c r="M743" s="9" t="str">
        <f>IFERROR(__xludf.DUMMYFUNCTION("""COMPUTED_VALUE"""),"PFC")</f>
        <v>PFC</v>
      </c>
      <c r="N743" s="9" t="str">
        <f>IFERROR(__xludf.DUMMYFUNCTION("""COMPUTED_VALUE"""),"DFC")</f>
        <v>DFC</v>
      </c>
      <c r="O743" s="9" t="str">
        <f>IFERROR(__xludf.DUMMYFUNCTION("""COMPUTED_VALUE"""),"A8")</f>
        <v>A8</v>
      </c>
      <c r="P743" s="9" t="str">
        <f>IFERROR(__xludf.DUMMYFUNCTION("""COMPUTED_VALUE"""),"A8ld")</f>
        <v>A8ld</v>
      </c>
      <c r="Q743" s="9" t="str">
        <f>IFERROR(__xludf.DUMMYFUNCTION("""COMPUTED_VALUE"""),"A8ld1")</f>
        <v>A8ld1</v>
      </c>
      <c r="R743" s="9"/>
      <c r="S743" s="42"/>
      <c r="T743" s="42"/>
      <c r="U743" s="42"/>
      <c r="V743" s="42"/>
      <c r="W743" s="42"/>
      <c r="X743" s="42"/>
      <c r="Y743" s="42"/>
      <c r="Z743" s="42"/>
      <c r="AA743" s="42"/>
      <c r="AB743" s="42" t="str">
        <f>IFERROR(__xludf.DUMMYFUNCTION("""COMPUTED_VALUE"""),"allen institute")</f>
        <v>allen institute</v>
      </c>
      <c r="AC743" s="42" t="str">
        <f>IFERROR(__xludf.DUMMYFUNCTION("""COMPUTED_VALUE"""),"DHBA")</f>
        <v>DHBA</v>
      </c>
      <c r="AD743" s="42"/>
      <c r="AE743" s="42"/>
      <c r="AF743" s="9"/>
      <c r="AG743" s="9"/>
      <c r="AH743" s="42"/>
      <c r="AI743" s="42"/>
      <c r="AJ743" s="42"/>
      <c r="AK743" s="42"/>
      <c r="AL743" s="42"/>
      <c r="AM743" s="42"/>
      <c r="AN743" s="42"/>
      <c r="AO743" s="63" t="str">
        <f>IFERROR(__xludf.DUMMYFUNCTION("IF(ISBLANK(A743),,IF(ISBLANK(S743), A743&amp;"";"", TEXTJOIN(CHAR(10), TRUE, A743&amp;"";"", ARRAYFORMULA(VLOOKUP(SPLIT(S743, "";"" &amp; CHAR(10)), $A:$AO, 41, FALSE)))))"),"A8ld1;")</f>
        <v>A8ld1;</v>
      </c>
      <c r="AP743" s="89"/>
    </row>
    <row r="744">
      <c r="A744" s="151" t="str">
        <f>IFERROR(__xludf.DUMMYFUNCTION("""COMPUTED_VALUE"""),"A8ld2")</f>
        <v>A8ld2</v>
      </c>
      <c r="B744" s="42" t="str">
        <f>IFERROR(__xludf.DUMMYFUNCTION("""COMPUTED_VALUE"""),"DHBA")</f>
        <v>DHBA</v>
      </c>
      <c r="C744" s="42" t="str">
        <f>IFERROR(__xludf.DUMMYFUNCTION("""COMPUTED_VALUE"""),"layer II of area 8ld")</f>
        <v>layer II of area 8ld</v>
      </c>
      <c r="D744" s="42">
        <f>IFERROR(__xludf.DUMMYFUNCTION("""COMPUTED_VALUE"""),688.0)</f>
        <v>688</v>
      </c>
      <c r="E744" s="39" t="str">
        <f>IFERROR(__xludf.DUMMYFUNCTION("""COMPUTED_VALUE"""),"layer II of area 8ld")</f>
        <v>layer II of area 8ld</v>
      </c>
      <c r="F744" s="9" t="str">
        <f>IFERROR(__xludf.DUMMYFUNCTION("""COMPUTED_VALUE"""),"Br")</f>
        <v>Br</v>
      </c>
      <c r="G744" s="9" t="str">
        <f>IFERROR(__xludf.DUMMYFUNCTION("""COMPUTED_VALUE"""),"F")</f>
        <v>F</v>
      </c>
      <c r="H744" s="9" t="str">
        <f>IFERROR(__xludf.DUMMYFUNCTION("""COMPUTED_VALUE"""),"FGM")</f>
        <v>FGM</v>
      </c>
      <c r="I744" s="9" t="str">
        <f>IFERROR(__xludf.DUMMYFUNCTION("""COMPUTED_VALUE"""),"Tel")</f>
        <v>Tel</v>
      </c>
      <c r="J744" s="9" t="str">
        <f>IFERROR(__xludf.DUMMYFUNCTION("""COMPUTED_VALUE"""),"Cx")</f>
        <v>Cx</v>
      </c>
      <c r="K744" s="9" t="str">
        <f>IFERROR(__xludf.DUMMYFUNCTION("""COMPUTED_VALUE"""),"NCx")</f>
        <v>NCx</v>
      </c>
      <c r="L744" s="9" t="str">
        <f>IFERROR(__xludf.DUMMYFUNCTION("""COMPUTED_VALUE"""),"FCx")</f>
        <v>FCx</v>
      </c>
      <c r="M744" s="9" t="str">
        <f>IFERROR(__xludf.DUMMYFUNCTION("""COMPUTED_VALUE"""),"PFC")</f>
        <v>PFC</v>
      </c>
      <c r="N744" s="9" t="str">
        <f>IFERROR(__xludf.DUMMYFUNCTION("""COMPUTED_VALUE"""),"DFC")</f>
        <v>DFC</v>
      </c>
      <c r="O744" s="9" t="str">
        <f>IFERROR(__xludf.DUMMYFUNCTION("""COMPUTED_VALUE"""),"A8")</f>
        <v>A8</v>
      </c>
      <c r="P744" s="9" t="str">
        <f>IFERROR(__xludf.DUMMYFUNCTION("""COMPUTED_VALUE"""),"A8ld")</f>
        <v>A8ld</v>
      </c>
      <c r="Q744" s="9" t="str">
        <f>IFERROR(__xludf.DUMMYFUNCTION("""COMPUTED_VALUE"""),"A8ld2")</f>
        <v>A8ld2</v>
      </c>
      <c r="R744" s="9"/>
      <c r="S744" s="42"/>
      <c r="T744" s="42"/>
      <c r="U744" s="42"/>
      <c r="V744" s="42"/>
      <c r="W744" s="42"/>
      <c r="X744" s="42"/>
      <c r="Y744" s="42"/>
      <c r="Z744" s="42"/>
      <c r="AA744" s="42"/>
      <c r="AB744" s="42" t="str">
        <f>IFERROR(__xludf.DUMMYFUNCTION("""COMPUTED_VALUE"""),"allen institute")</f>
        <v>allen institute</v>
      </c>
      <c r="AC744" s="42" t="str">
        <f>IFERROR(__xludf.DUMMYFUNCTION("""COMPUTED_VALUE"""),"DHBA")</f>
        <v>DHBA</v>
      </c>
      <c r="AD744" s="42"/>
      <c r="AE744" s="42"/>
      <c r="AF744" s="9"/>
      <c r="AG744" s="9"/>
      <c r="AH744" s="42"/>
      <c r="AI744" s="42"/>
      <c r="AJ744" s="42"/>
      <c r="AK744" s="42"/>
      <c r="AL744" s="42"/>
      <c r="AM744" s="42"/>
      <c r="AN744" s="42"/>
      <c r="AO744" s="63" t="str">
        <f>IFERROR(__xludf.DUMMYFUNCTION("IF(ISBLANK(A744),,IF(ISBLANK(S744), A744&amp;"";"", TEXTJOIN(CHAR(10), TRUE, A744&amp;"";"", ARRAYFORMULA(VLOOKUP(SPLIT(S744, "";"" &amp; CHAR(10)), $A:$AO, 41, FALSE)))))"),"A8ld2;")</f>
        <v>A8ld2;</v>
      </c>
      <c r="AP744" s="89"/>
    </row>
    <row r="745">
      <c r="A745" s="151" t="str">
        <f>IFERROR(__xludf.DUMMYFUNCTION("""COMPUTED_VALUE"""),"A8ld3")</f>
        <v>A8ld3</v>
      </c>
      <c r="B745" s="42" t="str">
        <f>IFERROR(__xludf.DUMMYFUNCTION("""COMPUTED_VALUE"""),"DHBA")</f>
        <v>DHBA</v>
      </c>
      <c r="C745" s="42" t="str">
        <f>IFERROR(__xludf.DUMMYFUNCTION("""COMPUTED_VALUE"""),"layer III of area 8ld")</f>
        <v>layer III of area 8ld</v>
      </c>
      <c r="D745" s="42">
        <f>IFERROR(__xludf.DUMMYFUNCTION("""COMPUTED_VALUE"""),689.0)</f>
        <v>689</v>
      </c>
      <c r="E745" s="39" t="str">
        <f>IFERROR(__xludf.DUMMYFUNCTION("""COMPUTED_VALUE"""),"layer III of area 8ld")</f>
        <v>layer III of area 8ld</v>
      </c>
      <c r="F745" s="9" t="str">
        <f>IFERROR(__xludf.DUMMYFUNCTION("""COMPUTED_VALUE"""),"Br")</f>
        <v>Br</v>
      </c>
      <c r="G745" s="9" t="str">
        <f>IFERROR(__xludf.DUMMYFUNCTION("""COMPUTED_VALUE"""),"F")</f>
        <v>F</v>
      </c>
      <c r="H745" s="9" t="str">
        <f>IFERROR(__xludf.DUMMYFUNCTION("""COMPUTED_VALUE"""),"FGM")</f>
        <v>FGM</v>
      </c>
      <c r="I745" s="9" t="str">
        <f>IFERROR(__xludf.DUMMYFUNCTION("""COMPUTED_VALUE"""),"Tel")</f>
        <v>Tel</v>
      </c>
      <c r="J745" s="9" t="str">
        <f>IFERROR(__xludf.DUMMYFUNCTION("""COMPUTED_VALUE"""),"Cx")</f>
        <v>Cx</v>
      </c>
      <c r="K745" s="9" t="str">
        <f>IFERROR(__xludf.DUMMYFUNCTION("""COMPUTED_VALUE"""),"NCx")</f>
        <v>NCx</v>
      </c>
      <c r="L745" s="9" t="str">
        <f>IFERROR(__xludf.DUMMYFUNCTION("""COMPUTED_VALUE"""),"FCx")</f>
        <v>FCx</v>
      </c>
      <c r="M745" s="9" t="str">
        <f>IFERROR(__xludf.DUMMYFUNCTION("""COMPUTED_VALUE"""),"PFC")</f>
        <v>PFC</v>
      </c>
      <c r="N745" s="9" t="str">
        <f>IFERROR(__xludf.DUMMYFUNCTION("""COMPUTED_VALUE"""),"DFC")</f>
        <v>DFC</v>
      </c>
      <c r="O745" s="9" t="str">
        <f>IFERROR(__xludf.DUMMYFUNCTION("""COMPUTED_VALUE"""),"A8")</f>
        <v>A8</v>
      </c>
      <c r="P745" s="9" t="str">
        <f>IFERROR(__xludf.DUMMYFUNCTION("""COMPUTED_VALUE"""),"A8ld")</f>
        <v>A8ld</v>
      </c>
      <c r="Q745" s="9" t="str">
        <f>IFERROR(__xludf.DUMMYFUNCTION("""COMPUTED_VALUE"""),"A8ld3")</f>
        <v>A8ld3</v>
      </c>
      <c r="R745" s="9"/>
      <c r="S745" s="42"/>
      <c r="T745" s="42"/>
      <c r="U745" s="159"/>
      <c r="V745" s="42"/>
      <c r="W745" s="42"/>
      <c r="X745" s="42"/>
      <c r="Y745" s="42"/>
      <c r="Z745" s="42"/>
      <c r="AA745" s="42"/>
      <c r="AB745" s="42" t="str">
        <f>IFERROR(__xludf.DUMMYFUNCTION("""COMPUTED_VALUE"""),"allen institute")</f>
        <v>allen institute</v>
      </c>
      <c r="AC745" s="42" t="str">
        <f>IFERROR(__xludf.DUMMYFUNCTION("""COMPUTED_VALUE"""),"DHBA")</f>
        <v>DHBA</v>
      </c>
      <c r="AD745" s="42"/>
      <c r="AE745" s="42"/>
      <c r="AF745" s="9"/>
      <c r="AG745" s="9"/>
      <c r="AH745" s="42"/>
      <c r="AI745" s="42"/>
      <c r="AJ745" s="42"/>
      <c r="AK745" s="42"/>
      <c r="AL745" s="42"/>
      <c r="AM745" s="42"/>
      <c r="AN745" s="42"/>
      <c r="AO745" s="63" t="str">
        <f>IFERROR(__xludf.DUMMYFUNCTION("IF(ISBLANK(A745),,IF(ISBLANK(S745), A745&amp;"";"", TEXTJOIN(CHAR(10), TRUE, A745&amp;"";"", ARRAYFORMULA(VLOOKUP(SPLIT(S745, "";"" &amp; CHAR(10)), $A:$AO, 41, FALSE)))))"),"A8ld3;")</f>
        <v>A8ld3;</v>
      </c>
      <c r="AP745" s="89"/>
    </row>
    <row r="746">
      <c r="A746" s="151" t="str">
        <f>IFERROR(__xludf.DUMMYFUNCTION("""COMPUTED_VALUE"""),"A8ld4")</f>
        <v>A8ld4</v>
      </c>
      <c r="B746" s="42" t="str">
        <f>IFERROR(__xludf.DUMMYFUNCTION("""COMPUTED_VALUE"""),"DHBA")</f>
        <v>DHBA</v>
      </c>
      <c r="C746" s="42" t="str">
        <f>IFERROR(__xludf.DUMMYFUNCTION("""COMPUTED_VALUE"""),"layer IV of area 8ld")</f>
        <v>layer IV of area 8ld</v>
      </c>
      <c r="D746" s="42">
        <f>IFERROR(__xludf.DUMMYFUNCTION("""COMPUTED_VALUE"""),690.0)</f>
        <v>690</v>
      </c>
      <c r="E746" s="39" t="str">
        <f>IFERROR(__xludf.DUMMYFUNCTION("""COMPUTED_VALUE"""),"layer IV of area 8ld")</f>
        <v>layer IV of area 8ld</v>
      </c>
      <c r="F746" s="9" t="str">
        <f>IFERROR(__xludf.DUMMYFUNCTION("""COMPUTED_VALUE"""),"Br")</f>
        <v>Br</v>
      </c>
      <c r="G746" s="9" t="str">
        <f>IFERROR(__xludf.DUMMYFUNCTION("""COMPUTED_VALUE"""),"F")</f>
        <v>F</v>
      </c>
      <c r="H746" s="9" t="str">
        <f>IFERROR(__xludf.DUMMYFUNCTION("""COMPUTED_VALUE"""),"FGM")</f>
        <v>FGM</v>
      </c>
      <c r="I746" s="9" t="str">
        <f>IFERROR(__xludf.DUMMYFUNCTION("""COMPUTED_VALUE"""),"Tel")</f>
        <v>Tel</v>
      </c>
      <c r="J746" s="9" t="str">
        <f>IFERROR(__xludf.DUMMYFUNCTION("""COMPUTED_VALUE"""),"Cx")</f>
        <v>Cx</v>
      </c>
      <c r="K746" s="9" t="str">
        <f>IFERROR(__xludf.DUMMYFUNCTION("""COMPUTED_VALUE"""),"NCx")</f>
        <v>NCx</v>
      </c>
      <c r="L746" s="9" t="str">
        <f>IFERROR(__xludf.DUMMYFUNCTION("""COMPUTED_VALUE"""),"FCx")</f>
        <v>FCx</v>
      </c>
      <c r="M746" s="9" t="str">
        <f>IFERROR(__xludf.DUMMYFUNCTION("""COMPUTED_VALUE"""),"PFC")</f>
        <v>PFC</v>
      </c>
      <c r="N746" s="9" t="str">
        <f>IFERROR(__xludf.DUMMYFUNCTION("""COMPUTED_VALUE"""),"DFC")</f>
        <v>DFC</v>
      </c>
      <c r="O746" s="9" t="str">
        <f>IFERROR(__xludf.DUMMYFUNCTION("""COMPUTED_VALUE"""),"A8")</f>
        <v>A8</v>
      </c>
      <c r="P746" s="9" t="str">
        <f>IFERROR(__xludf.DUMMYFUNCTION("""COMPUTED_VALUE"""),"A8ld")</f>
        <v>A8ld</v>
      </c>
      <c r="Q746" s="9" t="str">
        <f>IFERROR(__xludf.DUMMYFUNCTION("""COMPUTED_VALUE"""),"A8ld4")</f>
        <v>A8ld4</v>
      </c>
      <c r="R746" s="9"/>
      <c r="S746" s="42"/>
      <c r="T746" s="42"/>
      <c r="U746" s="42"/>
      <c r="V746" s="42"/>
      <c r="W746" s="42"/>
      <c r="X746" s="42"/>
      <c r="Y746" s="42"/>
      <c r="Z746" s="42"/>
      <c r="AA746" s="42"/>
      <c r="AB746" s="42" t="str">
        <f>IFERROR(__xludf.DUMMYFUNCTION("""COMPUTED_VALUE"""),"allen institute")</f>
        <v>allen institute</v>
      </c>
      <c r="AC746" s="42" t="str">
        <f>IFERROR(__xludf.DUMMYFUNCTION("""COMPUTED_VALUE"""),"DHBA")</f>
        <v>DHBA</v>
      </c>
      <c r="AD746" s="42"/>
      <c r="AE746" s="42"/>
      <c r="AF746" s="9"/>
      <c r="AG746" s="9"/>
      <c r="AH746" s="42"/>
      <c r="AI746" s="42"/>
      <c r="AJ746" s="42"/>
      <c r="AK746" s="42"/>
      <c r="AL746" s="42"/>
      <c r="AM746" s="42"/>
      <c r="AN746" s="42"/>
      <c r="AO746" s="63" t="str">
        <f>IFERROR(__xludf.DUMMYFUNCTION("IF(ISBLANK(A746),,IF(ISBLANK(S746), A746&amp;"";"", TEXTJOIN(CHAR(10), TRUE, A746&amp;"";"", ARRAYFORMULA(VLOOKUP(SPLIT(S746, "";"" &amp; CHAR(10)), $A:$AO, 41, FALSE)))))"),"A8ld4;")</f>
        <v>A8ld4;</v>
      </c>
      <c r="AP746" s="89"/>
    </row>
    <row r="747">
      <c r="A747" s="151" t="str">
        <f>IFERROR(__xludf.DUMMYFUNCTION("""COMPUTED_VALUE"""),"A8ld5")</f>
        <v>A8ld5</v>
      </c>
      <c r="B747" s="42" t="str">
        <f>IFERROR(__xludf.DUMMYFUNCTION("""COMPUTED_VALUE"""),"DHBA")</f>
        <v>DHBA</v>
      </c>
      <c r="C747" s="42" t="str">
        <f>IFERROR(__xludf.DUMMYFUNCTION("""COMPUTED_VALUE"""),"layer V of area 8ld")</f>
        <v>layer V of area 8ld</v>
      </c>
      <c r="D747" s="42">
        <f>IFERROR(__xludf.DUMMYFUNCTION("""COMPUTED_VALUE"""),691.0)</f>
        <v>691</v>
      </c>
      <c r="E747" s="39" t="str">
        <f>IFERROR(__xludf.DUMMYFUNCTION("""COMPUTED_VALUE"""),"layer V of area 8ld")</f>
        <v>layer V of area 8ld</v>
      </c>
      <c r="F747" s="9" t="str">
        <f>IFERROR(__xludf.DUMMYFUNCTION("""COMPUTED_VALUE"""),"Br")</f>
        <v>Br</v>
      </c>
      <c r="G747" s="9" t="str">
        <f>IFERROR(__xludf.DUMMYFUNCTION("""COMPUTED_VALUE"""),"F")</f>
        <v>F</v>
      </c>
      <c r="H747" s="9" t="str">
        <f>IFERROR(__xludf.DUMMYFUNCTION("""COMPUTED_VALUE"""),"FGM")</f>
        <v>FGM</v>
      </c>
      <c r="I747" s="9" t="str">
        <f>IFERROR(__xludf.DUMMYFUNCTION("""COMPUTED_VALUE"""),"Tel")</f>
        <v>Tel</v>
      </c>
      <c r="J747" s="9" t="str">
        <f>IFERROR(__xludf.DUMMYFUNCTION("""COMPUTED_VALUE"""),"Cx")</f>
        <v>Cx</v>
      </c>
      <c r="K747" s="9" t="str">
        <f>IFERROR(__xludf.DUMMYFUNCTION("""COMPUTED_VALUE"""),"NCx")</f>
        <v>NCx</v>
      </c>
      <c r="L747" s="9" t="str">
        <f>IFERROR(__xludf.DUMMYFUNCTION("""COMPUTED_VALUE"""),"FCx")</f>
        <v>FCx</v>
      </c>
      <c r="M747" s="9" t="str">
        <f>IFERROR(__xludf.DUMMYFUNCTION("""COMPUTED_VALUE"""),"PFC")</f>
        <v>PFC</v>
      </c>
      <c r="N747" s="9" t="str">
        <f>IFERROR(__xludf.DUMMYFUNCTION("""COMPUTED_VALUE"""),"DFC")</f>
        <v>DFC</v>
      </c>
      <c r="O747" s="9" t="str">
        <f>IFERROR(__xludf.DUMMYFUNCTION("""COMPUTED_VALUE"""),"A8")</f>
        <v>A8</v>
      </c>
      <c r="P747" s="9" t="str">
        <f>IFERROR(__xludf.DUMMYFUNCTION("""COMPUTED_VALUE"""),"A8ld")</f>
        <v>A8ld</v>
      </c>
      <c r="Q747" s="9" t="str">
        <f>IFERROR(__xludf.DUMMYFUNCTION("""COMPUTED_VALUE"""),"A8ld5")</f>
        <v>A8ld5</v>
      </c>
      <c r="R747" s="9"/>
      <c r="S747" s="42"/>
      <c r="T747" s="42"/>
      <c r="U747" s="159"/>
      <c r="V747" s="42"/>
      <c r="W747" s="42"/>
      <c r="X747" s="42"/>
      <c r="Y747" s="42"/>
      <c r="Z747" s="42"/>
      <c r="AA747" s="42"/>
      <c r="AB747" s="42" t="str">
        <f>IFERROR(__xludf.DUMMYFUNCTION("""COMPUTED_VALUE"""),"allen institute")</f>
        <v>allen institute</v>
      </c>
      <c r="AC747" s="42" t="str">
        <f>IFERROR(__xludf.DUMMYFUNCTION("""COMPUTED_VALUE"""),"DHBA")</f>
        <v>DHBA</v>
      </c>
      <c r="AD747" s="42"/>
      <c r="AE747" s="42"/>
      <c r="AF747" s="9"/>
      <c r="AG747" s="9"/>
      <c r="AH747" s="42"/>
      <c r="AI747" s="42"/>
      <c r="AJ747" s="42"/>
      <c r="AK747" s="42"/>
      <c r="AL747" s="42"/>
      <c r="AM747" s="42"/>
      <c r="AN747" s="42"/>
      <c r="AO747" s="63" t="str">
        <f>IFERROR(__xludf.DUMMYFUNCTION("IF(ISBLANK(A747),,IF(ISBLANK(S747), A747&amp;"";"", TEXTJOIN(CHAR(10), TRUE, A747&amp;"";"", ARRAYFORMULA(VLOOKUP(SPLIT(S747, "";"" &amp; CHAR(10)), $A:$AO, 41, FALSE)))))"),"A8ld5;")</f>
        <v>A8ld5;</v>
      </c>
      <c r="AP747" s="89"/>
    </row>
    <row r="748">
      <c r="A748" s="151" t="str">
        <f>IFERROR(__xludf.DUMMYFUNCTION("""COMPUTED_VALUE"""),"A8ld6")</f>
        <v>A8ld6</v>
      </c>
      <c r="B748" s="42" t="str">
        <f>IFERROR(__xludf.DUMMYFUNCTION("""COMPUTED_VALUE"""),"DHBA")</f>
        <v>DHBA</v>
      </c>
      <c r="C748" s="42" t="str">
        <f>IFERROR(__xludf.DUMMYFUNCTION("""COMPUTED_VALUE"""),"layer VI of area 8ld")</f>
        <v>layer VI of area 8ld</v>
      </c>
      <c r="D748" s="42">
        <f>IFERROR(__xludf.DUMMYFUNCTION("""COMPUTED_VALUE"""),692.0)</f>
        <v>692</v>
      </c>
      <c r="E748" s="39" t="str">
        <f>IFERROR(__xludf.DUMMYFUNCTION("""COMPUTED_VALUE"""),"layer VI of area 8ld")</f>
        <v>layer VI of area 8ld</v>
      </c>
      <c r="F748" s="9" t="str">
        <f>IFERROR(__xludf.DUMMYFUNCTION("""COMPUTED_VALUE"""),"Br")</f>
        <v>Br</v>
      </c>
      <c r="G748" s="9" t="str">
        <f>IFERROR(__xludf.DUMMYFUNCTION("""COMPUTED_VALUE"""),"F")</f>
        <v>F</v>
      </c>
      <c r="H748" s="9" t="str">
        <f>IFERROR(__xludf.DUMMYFUNCTION("""COMPUTED_VALUE"""),"FGM")</f>
        <v>FGM</v>
      </c>
      <c r="I748" s="9" t="str">
        <f>IFERROR(__xludf.DUMMYFUNCTION("""COMPUTED_VALUE"""),"Tel")</f>
        <v>Tel</v>
      </c>
      <c r="J748" s="9" t="str">
        <f>IFERROR(__xludf.DUMMYFUNCTION("""COMPUTED_VALUE"""),"Cx")</f>
        <v>Cx</v>
      </c>
      <c r="K748" s="9" t="str">
        <f>IFERROR(__xludf.DUMMYFUNCTION("""COMPUTED_VALUE"""),"NCx")</f>
        <v>NCx</v>
      </c>
      <c r="L748" s="9" t="str">
        <f>IFERROR(__xludf.DUMMYFUNCTION("""COMPUTED_VALUE"""),"FCx")</f>
        <v>FCx</v>
      </c>
      <c r="M748" s="9" t="str">
        <f>IFERROR(__xludf.DUMMYFUNCTION("""COMPUTED_VALUE"""),"PFC")</f>
        <v>PFC</v>
      </c>
      <c r="N748" s="9" t="str">
        <f>IFERROR(__xludf.DUMMYFUNCTION("""COMPUTED_VALUE"""),"DFC")</f>
        <v>DFC</v>
      </c>
      <c r="O748" s="9" t="str">
        <f>IFERROR(__xludf.DUMMYFUNCTION("""COMPUTED_VALUE"""),"A8")</f>
        <v>A8</v>
      </c>
      <c r="P748" s="9" t="str">
        <f>IFERROR(__xludf.DUMMYFUNCTION("""COMPUTED_VALUE"""),"A8ld")</f>
        <v>A8ld</v>
      </c>
      <c r="Q748" s="9" t="str">
        <f>IFERROR(__xludf.DUMMYFUNCTION("""COMPUTED_VALUE"""),"A8ld6")</f>
        <v>A8ld6</v>
      </c>
      <c r="R748" s="9"/>
      <c r="S748" s="42"/>
      <c r="T748" s="42"/>
      <c r="U748" s="159"/>
      <c r="V748" s="42"/>
      <c r="W748" s="42"/>
      <c r="X748" s="42"/>
      <c r="Y748" s="42"/>
      <c r="Z748" s="42"/>
      <c r="AA748" s="42"/>
      <c r="AB748" s="42" t="str">
        <f>IFERROR(__xludf.DUMMYFUNCTION("""COMPUTED_VALUE"""),"allen institute")</f>
        <v>allen institute</v>
      </c>
      <c r="AC748" s="42" t="str">
        <f>IFERROR(__xludf.DUMMYFUNCTION("""COMPUTED_VALUE"""),"DHBA")</f>
        <v>DHBA</v>
      </c>
      <c r="AD748" s="42"/>
      <c r="AE748" s="42"/>
      <c r="AF748" s="9"/>
      <c r="AG748" s="9"/>
      <c r="AH748" s="42"/>
      <c r="AI748" s="42"/>
      <c r="AJ748" s="42"/>
      <c r="AK748" s="42"/>
      <c r="AL748" s="42"/>
      <c r="AM748" s="42"/>
      <c r="AN748" s="42"/>
      <c r="AO748" s="63" t="str">
        <f>IFERROR(__xludf.DUMMYFUNCTION("IF(ISBLANK(A748),,IF(ISBLANK(S748), A748&amp;"";"", TEXTJOIN(CHAR(10), TRUE, A748&amp;"";"", ARRAYFORMULA(VLOOKUP(SPLIT(S748, "";"" &amp; CHAR(10)), $A:$AO, 41, FALSE)))))"),"A8ld6;")</f>
        <v>A8ld6;</v>
      </c>
      <c r="AP748" s="89"/>
    </row>
    <row r="749">
      <c r="A749" s="151" t="str">
        <f>IFERROR(__xludf.DUMMYFUNCTION("""COMPUTED_VALUE"""),"A8lv")</f>
        <v>A8lv</v>
      </c>
      <c r="B749" s="42" t="str">
        <f>IFERROR(__xludf.DUMMYFUNCTION("""COMPUTED_VALUE"""),"DHBA")</f>
        <v>DHBA</v>
      </c>
      <c r="C749" s="42" t="str">
        <f>IFERROR(__xludf.DUMMYFUNCTION("""COMPUTED_VALUE"""),"lateroventral subdivision of area 8")</f>
        <v>lateroventral subdivision of area 8</v>
      </c>
      <c r="D749" s="42">
        <f>IFERROR(__xludf.DUMMYFUNCTION("""COMPUTED_VALUE"""),693.0)</f>
        <v>693</v>
      </c>
      <c r="E749" s="39" t="str">
        <f>IFERROR(__xludf.DUMMYFUNCTION("""COMPUTED_VALUE"""),"lateroventral subdivision of area 8")</f>
        <v>lateroventral subdivision of area 8</v>
      </c>
      <c r="F749" s="9" t="str">
        <f>IFERROR(__xludf.DUMMYFUNCTION("""COMPUTED_VALUE"""),"Br")</f>
        <v>Br</v>
      </c>
      <c r="G749" s="9" t="str">
        <f>IFERROR(__xludf.DUMMYFUNCTION("""COMPUTED_VALUE"""),"F")</f>
        <v>F</v>
      </c>
      <c r="H749" s="9" t="str">
        <f>IFERROR(__xludf.DUMMYFUNCTION("""COMPUTED_VALUE"""),"FGM")</f>
        <v>FGM</v>
      </c>
      <c r="I749" s="9" t="str">
        <f>IFERROR(__xludf.DUMMYFUNCTION("""COMPUTED_VALUE"""),"Tel")</f>
        <v>Tel</v>
      </c>
      <c r="J749" s="9" t="str">
        <f>IFERROR(__xludf.DUMMYFUNCTION("""COMPUTED_VALUE"""),"Cx")</f>
        <v>Cx</v>
      </c>
      <c r="K749" s="9" t="str">
        <f>IFERROR(__xludf.DUMMYFUNCTION("""COMPUTED_VALUE"""),"NCx")</f>
        <v>NCx</v>
      </c>
      <c r="L749" s="9" t="str">
        <f>IFERROR(__xludf.DUMMYFUNCTION("""COMPUTED_VALUE"""),"FCx")</f>
        <v>FCx</v>
      </c>
      <c r="M749" s="9" t="str">
        <f>IFERROR(__xludf.DUMMYFUNCTION("""COMPUTED_VALUE"""),"PFC")</f>
        <v>PFC</v>
      </c>
      <c r="N749" s="9" t="str">
        <f>IFERROR(__xludf.DUMMYFUNCTION("""COMPUTED_VALUE"""),"DFC")</f>
        <v>DFC</v>
      </c>
      <c r="O749" s="9" t="str">
        <f>IFERROR(__xludf.DUMMYFUNCTION("""COMPUTED_VALUE"""),"A8")</f>
        <v>A8</v>
      </c>
      <c r="P749" s="9" t="str">
        <f>IFERROR(__xludf.DUMMYFUNCTION("""COMPUTED_VALUE"""),"A8lv")</f>
        <v>A8lv</v>
      </c>
      <c r="Q749" s="9"/>
      <c r="R749" s="9"/>
      <c r="S749" s="42" t="str">
        <f>IFERROR(__xludf.DUMMYFUNCTION("""COMPUTED_VALUE"""),"A8lv1;
A8lv2;
A8lv3;
A8lv4;
A8lv5;
A8lv6")</f>
        <v>A8lv1;
A8lv2;
A8lv3;
A8lv4;
A8lv5;
A8lv6</v>
      </c>
      <c r="T749" s="42" t="str">
        <f>IFERROR(__xludf.DUMMYFUNCTION("""COMPUTED_VALUE"""),"NCx")</f>
        <v>NCx</v>
      </c>
      <c r="U749" s="159" t="b">
        <f>IFERROR(__xludf.DUMMYFUNCTION("""COMPUTED_VALUE"""),FALSE)</f>
        <v>0</v>
      </c>
      <c r="V749" s="42"/>
      <c r="W749" s="42"/>
      <c r="X749" s="42"/>
      <c r="Y749" s="42"/>
      <c r="Z749" s="42"/>
      <c r="AA749" s="42"/>
      <c r="AB749" s="42" t="str">
        <f>IFERROR(__xludf.DUMMYFUNCTION("""COMPUTED_VALUE"""),"allen institute")</f>
        <v>allen institute</v>
      </c>
      <c r="AC749" s="42" t="str">
        <f>IFERROR(__xludf.DUMMYFUNCTION("""COMPUTED_VALUE"""),"DHBA")</f>
        <v>DHBA</v>
      </c>
      <c r="AD749" s="42"/>
      <c r="AE749" s="42"/>
      <c r="AF749" s="9"/>
      <c r="AG749" s="9"/>
      <c r="AH749" s="42"/>
      <c r="AI749" s="42"/>
      <c r="AJ749" s="42"/>
      <c r="AK749" s="42"/>
      <c r="AL749" s="42"/>
      <c r="AM749" s="42"/>
      <c r="AN749" s="42"/>
      <c r="AO749" s="63" t="str">
        <f>IFERROR(__xludf.DUMMYFUNCTION("IF(ISBLANK(A749),,IF(ISBLANK(S749), A749&amp;"";"", TEXTJOIN(CHAR(10), TRUE, A749&amp;"";"", ARRAYFORMULA(VLOOKUP(SPLIT(S749, "";"" &amp; CHAR(10)), $A:$AO, 41, FALSE)))))"),"A8lv;
A8lv1;
A8lv2;
A8lv3;
A8lv4;
A8lv5;
A8lv6;")</f>
        <v>A8lv;
A8lv1;
A8lv2;
A8lv3;
A8lv4;
A8lv5;
A8lv6;</v>
      </c>
      <c r="AP749" s="89"/>
    </row>
    <row r="750">
      <c r="A750" s="151" t="str">
        <f>IFERROR(__xludf.DUMMYFUNCTION("""COMPUTED_VALUE"""),"A8lv1")</f>
        <v>A8lv1</v>
      </c>
      <c r="B750" s="42" t="str">
        <f>IFERROR(__xludf.DUMMYFUNCTION("""COMPUTED_VALUE"""),"DHBA")</f>
        <v>DHBA</v>
      </c>
      <c r="C750" s="42" t="str">
        <f>IFERROR(__xludf.DUMMYFUNCTION("""COMPUTED_VALUE"""),"layer I of area 8lv")</f>
        <v>layer I of area 8lv</v>
      </c>
      <c r="D750" s="42">
        <f>IFERROR(__xludf.DUMMYFUNCTION("""COMPUTED_VALUE"""),694.0)</f>
        <v>694</v>
      </c>
      <c r="E750" s="39" t="str">
        <f>IFERROR(__xludf.DUMMYFUNCTION("""COMPUTED_VALUE"""),"layer I of area 8lv")</f>
        <v>layer I of area 8lv</v>
      </c>
      <c r="F750" s="9" t="str">
        <f>IFERROR(__xludf.DUMMYFUNCTION("""COMPUTED_VALUE"""),"Br")</f>
        <v>Br</v>
      </c>
      <c r="G750" s="9" t="str">
        <f>IFERROR(__xludf.DUMMYFUNCTION("""COMPUTED_VALUE"""),"F")</f>
        <v>F</v>
      </c>
      <c r="H750" s="9" t="str">
        <f>IFERROR(__xludf.DUMMYFUNCTION("""COMPUTED_VALUE"""),"FGM")</f>
        <v>FGM</v>
      </c>
      <c r="I750" s="9" t="str">
        <f>IFERROR(__xludf.DUMMYFUNCTION("""COMPUTED_VALUE"""),"Tel")</f>
        <v>Tel</v>
      </c>
      <c r="J750" s="9" t="str">
        <f>IFERROR(__xludf.DUMMYFUNCTION("""COMPUTED_VALUE"""),"Cx")</f>
        <v>Cx</v>
      </c>
      <c r="K750" s="9" t="str">
        <f>IFERROR(__xludf.DUMMYFUNCTION("""COMPUTED_VALUE"""),"NCx")</f>
        <v>NCx</v>
      </c>
      <c r="L750" s="9" t="str">
        <f>IFERROR(__xludf.DUMMYFUNCTION("""COMPUTED_VALUE"""),"FCx")</f>
        <v>FCx</v>
      </c>
      <c r="M750" s="9" t="str">
        <f>IFERROR(__xludf.DUMMYFUNCTION("""COMPUTED_VALUE"""),"PFC")</f>
        <v>PFC</v>
      </c>
      <c r="N750" s="9" t="str">
        <f>IFERROR(__xludf.DUMMYFUNCTION("""COMPUTED_VALUE"""),"DFC")</f>
        <v>DFC</v>
      </c>
      <c r="O750" s="9" t="str">
        <f>IFERROR(__xludf.DUMMYFUNCTION("""COMPUTED_VALUE"""),"A8")</f>
        <v>A8</v>
      </c>
      <c r="P750" s="9" t="str">
        <f>IFERROR(__xludf.DUMMYFUNCTION("""COMPUTED_VALUE"""),"A8lv")</f>
        <v>A8lv</v>
      </c>
      <c r="Q750" s="9" t="str">
        <f>IFERROR(__xludf.DUMMYFUNCTION("""COMPUTED_VALUE"""),"A8lv1")</f>
        <v>A8lv1</v>
      </c>
      <c r="R750" s="9"/>
      <c r="S750" s="42"/>
      <c r="T750" s="42"/>
      <c r="U750" s="159"/>
      <c r="V750" s="42"/>
      <c r="W750" s="42"/>
      <c r="X750" s="42"/>
      <c r="Y750" s="42"/>
      <c r="Z750" s="42"/>
      <c r="AA750" s="42"/>
      <c r="AB750" s="42" t="str">
        <f>IFERROR(__xludf.DUMMYFUNCTION("""COMPUTED_VALUE"""),"allen institute")</f>
        <v>allen institute</v>
      </c>
      <c r="AC750" s="42" t="str">
        <f>IFERROR(__xludf.DUMMYFUNCTION("""COMPUTED_VALUE"""),"DHBA")</f>
        <v>DHBA</v>
      </c>
      <c r="AD750" s="42"/>
      <c r="AE750" s="42"/>
      <c r="AF750" s="9"/>
      <c r="AG750" s="9"/>
      <c r="AH750" s="42"/>
      <c r="AI750" s="42"/>
      <c r="AJ750" s="42"/>
      <c r="AK750" s="42"/>
      <c r="AL750" s="42"/>
      <c r="AM750" s="42"/>
      <c r="AN750" s="42"/>
      <c r="AO750" s="63" t="str">
        <f>IFERROR(__xludf.DUMMYFUNCTION("IF(ISBLANK(A750),,IF(ISBLANK(S750), A750&amp;"";"", TEXTJOIN(CHAR(10), TRUE, A750&amp;"";"", ARRAYFORMULA(VLOOKUP(SPLIT(S750, "";"" &amp; CHAR(10)), $A:$AO, 41, FALSE)))))"),"A8lv1;")</f>
        <v>A8lv1;</v>
      </c>
      <c r="AP750" s="89"/>
    </row>
    <row r="751">
      <c r="A751" s="151" t="str">
        <f>IFERROR(__xludf.DUMMYFUNCTION("""COMPUTED_VALUE"""),"A8lv2")</f>
        <v>A8lv2</v>
      </c>
      <c r="B751" s="42" t="str">
        <f>IFERROR(__xludf.DUMMYFUNCTION("""COMPUTED_VALUE"""),"DHBA")</f>
        <v>DHBA</v>
      </c>
      <c r="C751" s="42" t="str">
        <f>IFERROR(__xludf.DUMMYFUNCTION("""COMPUTED_VALUE"""),"layer II of area 8lv")</f>
        <v>layer II of area 8lv</v>
      </c>
      <c r="D751" s="42">
        <f>IFERROR(__xludf.DUMMYFUNCTION("""COMPUTED_VALUE"""),695.0)</f>
        <v>695</v>
      </c>
      <c r="E751" s="39" t="str">
        <f>IFERROR(__xludf.DUMMYFUNCTION("""COMPUTED_VALUE"""),"layer II of area 8lv")</f>
        <v>layer II of area 8lv</v>
      </c>
      <c r="F751" s="9" t="str">
        <f>IFERROR(__xludf.DUMMYFUNCTION("""COMPUTED_VALUE"""),"Br")</f>
        <v>Br</v>
      </c>
      <c r="G751" s="9" t="str">
        <f>IFERROR(__xludf.DUMMYFUNCTION("""COMPUTED_VALUE"""),"F")</f>
        <v>F</v>
      </c>
      <c r="H751" s="9" t="str">
        <f>IFERROR(__xludf.DUMMYFUNCTION("""COMPUTED_VALUE"""),"FGM")</f>
        <v>FGM</v>
      </c>
      <c r="I751" s="9" t="str">
        <f>IFERROR(__xludf.DUMMYFUNCTION("""COMPUTED_VALUE"""),"Tel")</f>
        <v>Tel</v>
      </c>
      <c r="J751" s="9" t="str">
        <f>IFERROR(__xludf.DUMMYFUNCTION("""COMPUTED_VALUE"""),"Cx")</f>
        <v>Cx</v>
      </c>
      <c r="K751" s="9" t="str">
        <f>IFERROR(__xludf.DUMMYFUNCTION("""COMPUTED_VALUE"""),"NCx")</f>
        <v>NCx</v>
      </c>
      <c r="L751" s="9" t="str">
        <f>IFERROR(__xludf.DUMMYFUNCTION("""COMPUTED_VALUE"""),"FCx")</f>
        <v>FCx</v>
      </c>
      <c r="M751" s="9" t="str">
        <f>IFERROR(__xludf.DUMMYFUNCTION("""COMPUTED_VALUE"""),"PFC")</f>
        <v>PFC</v>
      </c>
      <c r="N751" s="9" t="str">
        <f>IFERROR(__xludf.DUMMYFUNCTION("""COMPUTED_VALUE"""),"DFC")</f>
        <v>DFC</v>
      </c>
      <c r="O751" s="9" t="str">
        <f>IFERROR(__xludf.DUMMYFUNCTION("""COMPUTED_VALUE"""),"A8")</f>
        <v>A8</v>
      </c>
      <c r="P751" s="9" t="str">
        <f>IFERROR(__xludf.DUMMYFUNCTION("""COMPUTED_VALUE"""),"A8lv")</f>
        <v>A8lv</v>
      </c>
      <c r="Q751" s="9" t="str">
        <f>IFERROR(__xludf.DUMMYFUNCTION("""COMPUTED_VALUE"""),"A8lv2")</f>
        <v>A8lv2</v>
      </c>
      <c r="R751" s="9"/>
      <c r="S751" s="42"/>
      <c r="T751" s="42"/>
      <c r="U751" s="159"/>
      <c r="V751" s="42"/>
      <c r="W751" s="42"/>
      <c r="X751" s="42"/>
      <c r="Y751" s="42"/>
      <c r="Z751" s="42"/>
      <c r="AA751" s="42"/>
      <c r="AB751" s="42" t="str">
        <f>IFERROR(__xludf.DUMMYFUNCTION("""COMPUTED_VALUE"""),"allen institute")</f>
        <v>allen institute</v>
      </c>
      <c r="AC751" s="42" t="str">
        <f>IFERROR(__xludf.DUMMYFUNCTION("""COMPUTED_VALUE"""),"DHBA")</f>
        <v>DHBA</v>
      </c>
      <c r="AD751" s="42"/>
      <c r="AE751" s="42"/>
      <c r="AF751" s="9"/>
      <c r="AG751" s="9"/>
      <c r="AH751" s="42"/>
      <c r="AI751" s="42"/>
      <c r="AJ751" s="42"/>
      <c r="AK751" s="42"/>
      <c r="AL751" s="42"/>
      <c r="AM751" s="42"/>
      <c r="AN751" s="42"/>
      <c r="AO751" s="63" t="str">
        <f>IFERROR(__xludf.DUMMYFUNCTION("IF(ISBLANK(A751),,IF(ISBLANK(S751), A751&amp;"";"", TEXTJOIN(CHAR(10), TRUE, A751&amp;"";"", ARRAYFORMULA(VLOOKUP(SPLIT(S751, "";"" &amp; CHAR(10)), $A:$AO, 41, FALSE)))))"),"A8lv2;")</f>
        <v>A8lv2;</v>
      </c>
      <c r="AP751" s="89"/>
    </row>
    <row r="752">
      <c r="A752" s="151" t="str">
        <f>IFERROR(__xludf.DUMMYFUNCTION("""COMPUTED_VALUE"""),"A8lv3")</f>
        <v>A8lv3</v>
      </c>
      <c r="B752" s="42" t="str">
        <f>IFERROR(__xludf.DUMMYFUNCTION("""COMPUTED_VALUE"""),"DHBA")</f>
        <v>DHBA</v>
      </c>
      <c r="C752" s="42" t="str">
        <f>IFERROR(__xludf.DUMMYFUNCTION("""COMPUTED_VALUE"""),"layer III of area 8lv")</f>
        <v>layer III of area 8lv</v>
      </c>
      <c r="D752" s="42">
        <f>IFERROR(__xludf.DUMMYFUNCTION("""COMPUTED_VALUE"""),696.0)</f>
        <v>696</v>
      </c>
      <c r="E752" s="39" t="str">
        <f>IFERROR(__xludf.DUMMYFUNCTION("""COMPUTED_VALUE"""),"layer III of area 8lv")</f>
        <v>layer III of area 8lv</v>
      </c>
      <c r="F752" s="9" t="str">
        <f>IFERROR(__xludf.DUMMYFUNCTION("""COMPUTED_VALUE"""),"Br")</f>
        <v>Br</v>
      </c>
      <c r="G752" s="9" t="str">
        <f>IFERROR(__xludf.DUMMYFUNCTION("""COMPUTED_VALUE"""),"F")</f>
        <v>F</v>
      </c>
      <c r="H752" s="9" t="str">
        <f>IFERROR(__xludf.DUMMYFUNCTION("""COMPUTED_VALUE"""),"FGM")</f>
        <v>FGM</v>
      </c>
      <c r="I752" s="9" t="str">
        <f>IFERROR(__xludf.DUMMYFUNCTION("""COMPUTED_VALUE"""),"Tel")</f>
        <v>Tel</v>
      </c>
      <c r="J752" s="9" t="str">
        <f>IFERROR(__xludf.DUMMYFUNCTION("""COMPUTED_VALUE"""),"Cx")</f>
        <v>Cx</v>
      </c>
      <c r="K752" s="9" t="str">
        <f>IFERROR(__xludf.DUMMYFUNCTION("""COMPUTED_VALUE"""),"NCx")</f>
        <v>NCx</v>
      </c>
      <c r="L752" s="9" t="str">
        <f>IFERROR(__xludf.DUMMYFUNCTION("""COMPUTED_VALUE"""),"FCx")</f>
        <v>FCx</v>
      </c>
      <c r="M752" s="9" t="str">
        <f>IFERROR(__xludf.DUMMYFUNCTION("""COMPUTED_VALUE"""),"PFC")</f>
        <v>PFC</v>
      </c>
      <c r="N752" s="9" t="str">
        <f>IFERROR(__xludf.DUMMYFUNCTION("""COMPUTED_VALUE"""),"DFC")</f>
        <v>DFC</v>
      </c>
      <c r="O752" s="9" t="str">
        <f>IFERROR(__xludf.DUMMYFUNCTION("""COMPUTED_VALUE"""),"A8")</f>
        <v>A8</v>
      </c>
      <c r="P752" s="9" t="str">
        <f>IFERROR(__xludf.DUMMYFUNCTION("""COMPUTED_VALUE"""),"A8lv")</f>
        <v>A8lv</v>
      </c>
      <c r="Q752" s="9" t="str">
        <f>IFERROR(__xludf.DUMMYFUNCTION("""COMPUTED_VALUE"""),"A8lv3")</f>
        <v>A8lv3</v>
      </c>
      <c r="R752" s="9"/>
      <c r="S752" s="42"/>
      <c r="T752" s="42"/>
      <c r="U752" s="159"/>
      <c r="V752" s="42"/>
      <c r="W752" s="42"/>
      <c r="X752" s="42"/>
      <c r="Y752" s="42"/>
      <c r="Z752" s="42"/>
      <c r="AA752" s="42"/>
      <c r="AB752" s="42" t="str">
        <f>IFERROR(__xludf.DUMMYFUNCTION("""COMPUTED_VALUE"""),"allen institute")</f>
        <v>allen institute</v>
      </c>
      <c r="AC752" s="42" t="str">
        <f>IFERROR(__xludf.DUMMYFUNCTION("""COMPUTED_VALUE"""),"DHBA")</f>
        <v>DHBA</v>
      </c>
      <c r="AD752" s="42"/>
      <c r="AE752" s="42"/>
      <c r="AF752" s="9"/>
      <c r="AG752" s="9"/>
      <c r="AH752" s="42"/>
      <c r="AI752" s="42"/>
      <c r="AJ752" s="42"/>
      <c r="AK752" s="42"/>
      <c r="AL752" s="42"/>
      <c r="AM752" s="42"/>
      <c r="AN752" s="42"/>
      <c r="AO752" s="63" t="str">
        <f>IFERROR(__xludf.DUMMYFUNCTION("IF(ISBLANK(A752),,IF(ISBLANK(S752), A752&amp;"";"", TEXTJOIN(CHAR(10), TRUE, A752&amp;"";"", ARRAYFORMULA(VLOOKUP(SPLIT(S752, "";"" &amp; CHAR(10)), $A:$AO, 41, FALSE)))))"),"A8lv3;")</f>
        <v>A8lv3;</v>
      </c>
      <c r="AP752" s="89"/>
    </row>
    <row r="753">
      <c r="A753" s="151" t="str">
        <f>IFERROR(__xludf.DUMMYFUNCTION("""COMPUTED_VALUE"""),"A8lv4")</f>
        <v>A8lv4</v>
      </c>
      <c r="B753" s="42" t="str">
        <f>IFERROR(__xludf.DUMMYFUNCTION("""COMPUTED_VALUE"""),"DHBA")</f>
        <v>DHBA</v>
      </c>
      <c r="C753" s="42" t="str">
        <f>IFERROR(__xludf.DUMMYFUNCTION("""COMPUTED_VALUE"""),"layer IV of area 8lv")</f>
        <v>layer IV of area 8lv</v>
      </c>
      <c r="D753" s="42">
        <f>IFERROR(__xludf.DUMMYFUNCTION("""COMPUTED_VALUE"""),697.0)</f>
        <v>697</v>
      </c>
      <c r="E753" s="39" t="str">
        <f>IFERROR(__xludf.DUMMYFUNCTION("""COMPUTED_VALUE"""),"layer IV of area 8lv")</f>
        <v>layer IV of area 8lv</v>
      </c>
      <c r="F753" s="9" t="str">
        <f>IFERROR(__xludf.DUMMYFUNCTION("""COMPUTED_VALUE"""),"Br")</f>
        <v>Br</v>
      </c>
      <c r="G753" s="9" t="str">
        <f>IFERROR(__xludf.DUMMYFUNCTION("""COMPUTED_VALUE"""),"F")</f>
        <v>F</v>
      </c>
      <c r="H753" s="9" t="str">
        <f>IFERROR(__xludf.DUMMYFUNCTION("""COMPUTED_VALUE"""),"FGM")</f>
        <v>FGM</v>
      </c>
      <c r="I753" s="9" t="str">
        <f>IFERROR(__xludf.DUMMYFUNCTION("""COMPUTED_VALUE"""),"Tel")</f>
        <v>Tel</v>
      </c>
      <c r="J753" s="9" t="str">
        <f>IFERROR(__xludf.DUMMYFUNCTION("""COMPUTED_VALUE"""),"Cx")</f>
        <v>Cx</v>
      </c>
      <c r="K753" s="9" t="str">
        <f>IFERROR(__xludf.DUMMYFUNCTION("""COMPUTED_VALUE"""),"NCx")</f>
        <v>NCx</v>
      </c>
      <c r="L753" s="9" t="str">
        <f>IFERROR(__xludf.DUMMYFUNCTION("""COMPUTED_VALUE"""),"FCx")</f>
        <v>FCx</v>
      </c>
      <c r="M753" s="9" t="str">
        <f>IFERROR(__xludf.DUMMYFUNCTION("""COMPUTED_VALUE"""),"PFC")</f>
        <v>PFC</v>
      </c>
      <c r="N753" s="9" t="str">
        <f>IFERROR(__xludf.DUMMYFUNCTION("""COMPUTED_VALUE"""),"DFC")</f>
        <v>DFC</v>
      </c>
      <c r="O753" s="9" t="str">
        <f>IFERROR(__xludf.DUMMYFUNCTION("""COMPUTED_VALUE"""),"A8")</f>
        <v>A8</v>
      </c>
      <c r="P753" s="9" t="str">
        <f>IFERROR(__xludf.DUMMYFUNCTION("""COMPUTED_VALUE"""),"A8lv")</f>
        <v>A8lv</v>
      </c>
      <c r="Q753" s="9" t="str">
        <f>IFERROR(__xludf.DUMMYFUNCTION("""COMPUTED_VALUE"""),"A8lv4")</f>
        <v>A8lv4</v>
      </c>
      <c r="R753" s="9"/>
      <c r="S753" s="42"/>
      <c r="T753" s="42"/>
      <c r="U753" s="159"/>
      <c r="V753" s="42"/>
      <c r="W753" s="42"/>
      <c r="X753" s="42"/>
      <c r="Y753" s="42"/>
      <c r="Z753" s="42"/>
      <c r="AA753" s="42"/>
      <c r="AB753" s="42" t="str">
        <f>IFERROR(__xludf.DUMMYFUNCTION("""COMPUTED_VALUE"""),"allen institute")</f>
        <v>allen institute</v>
      </c>
      <c r="AC753" s="42" t="str">
        <f>IFERROR(__xludf.DUMMYFUNCTION("""COMPUTED_VALUE"""),"DHBA")</f>
        <v>DHBA</v>
      </c>
      <c r="AD753" s="42"/>
      <c r="AE753" s="42"/>
      <c r="AF753" s="9"/>
      <c r="AG753" s="9"/>
      <c r="AH753" s="42"/>
      <c r="AI753" s="42"/>
      <c r="AJ753" s="42"/>
      <c r="AK753" s="42"/>
      <c r="AL753" s="42"/>
      <c r="AM753" s="42"/>
      <c r="AN753" s="42"/>
      <c r="AO753" s="63" t="str">
        <f>IFERROR(__xludf.DUMMYFUNCTION("IF(ISBLANK(A753),,IF(ISBLANK(S753), A753&amp;"";"", TEXTJOIN(CHAR(10), TRUE, A753&amp;"";"", ARRAYFORMULA(VLOOKUP(SPLIT(S753, "";"" &amp; CHAR(10)), $A:$AO, 41, FALSE)))))"),"A8lv4;")</f>
        <v>A8lv4;</v>
      </c>
      <c r="AP753" s="89"/>
    </row>
    <row r="754">
      <c r="A754" s="151" t="str">
        <f>IFERROR(__xludf.DUMMYFUNCTION("""COMPUTED_VALUE"""),"A8lv5")</f>
        <v>A8lv5</v>
      </c>
      <c r="B754" s="42" t="str">
        <f>IFERROR(__xludf.DUMMYFUNCTION("""COMPUTED_VALUE"""),"DHBA")</f>
        <v>DHBA</v>
      </c>
      <c r="C754" s="42" t="str">
        <f>IFERROR(__xludf.DUMMYFUNCTION("""COMPUTED_VALUE"""),"layer V of area 8lv")</f>
        <v>layer V of area 8lv</v>
      </c>
      <c r="D754" s="42">
        <f>IFERROR(__xludf.DUMMYFUNCTION("""COMPUTED_VALUE"""),698.0)</f>
        <v>698</v>
      </c>
      <c r="E754" s="39" t="str">
        <f>IFERROR(__xludf.DUMMYFUNCTION("""COMPUTED_VALUE"""),"layer V of area 8lv")</f>
        <v>layer V of area 8lv</v>
      </c>
      <c r="F754" s="9" t="str">
        <f>IFERROR(__xludf.DUMMYFUNCTION("""COMPUTED_VALUE"""),"Br")</f>
        <v>Br</v>
      </c>
      <c r="G754" s="9" t="str">
        <f>IFERROR(__xludf.DUMMYFUNCTION("""COMPUTED_VALUE"""),"F")</f>
        <v>F</v>
      </c>
      <c r="H754" s="9" t="str">
        <f>IFERROR(__xludf.DUMMYFUNCTION("""COMPUTED_VALUE"""),"FGM")</f>
        <v>FGM</v>
      </c>
      <c r="I754" s="9" t="str">
        <f>IFERROR(__xludf.DUMMYFUNCTION("""COMPUTED_VALUE"""),"Tel")</f>
        <v>Tel</v>
      </c>
      <c r="J754" s="9" t="str">
        <f>IFERROR(__xludf.DUMMYFUNCTION("""COMPUTED_VALUE"""),"Cx")</f>
        <v>Cx</v>
      </c>
      <c r="K754" s="9" t="str">
        <f>IFERROR(__xludf.DUMMYFUNCTION("""COMPUTED_VALUE"""),"NCx")</f>
        <v>NCx</v>
      </c>
      <c r="L754" s="9" t="str">
        <f>IFERROR(__xludf.DUMMYFUNCTION("""COMPUTED_VALUE"""),"FCx")</f>
        <v>FCx</v>
      </c>
      <c r="M754" s="9" t="str">
        <f>IFERROR(__xludf.DUMMYFUNCTION("""COMPUTED_VALUE"""),"PFC")</f>
        <v>PFC</v>
      </c>
      <c r="N754" s="9" t="str">
        <f>IFERROR(__xludf.DUMMYFUNCTION("""COMPUTED_VALUE"""),"DFC")</f>
        <v>DFC</v>
      </c>
      <c r="O754" s="9" t="str">
        <f>IFERROR(__xludf.DUMMYFUNCTION("""COMPUTED_VALUE"""),"A8")</f>
        <v>A8</v>
      </c>
      <c r="P754" s="9" t="str">
        <f>IFERROR(__xludf.DUMMYFUNCTION("""COMPUTED_VALUE"""),"A8lv")</f>
        <v>A8lv</v>
      </c>
      <c r="Q754" s="9" t="str">
        <f>IFERROR(__xludf.DUMMYFUNCTION("""COMPUTED_VALUE"""),"A8lv5")</f>
        <v>A8lv5</v>
      </c>
      <c r="R754" s="9"/>
      <c r="S754" s="42"/>
      <c r="T754" s="42"/>
      <c r="U754" s="159"/>
      <c r="V754" s="42"/>
      <c r="W754" s="42"/>
      <c r="X754" s="42"/>
      <c r="Y754" s="42"/>
      <c r="Z754" s="42"/>
      <c r="AA754" s="42"/>
      <c r="AB754" s="42" t="str">
        <f>IFERROR(__xludf.DUMMYFUNCTION("""COMPUTED_VALUE"""),"allen institute")</f>
        <v>allen institute</v>
      </c>
      <c r="AC754" s="42" t="str">
        <f>IFERROR(__xludf.DUMMYFUNCTION("""COMPUTED_VALUE"""),"DHBA")</f>
        <v>DHBA</v>
      </c>
      <c r="AD754" s="42"/>
      <c r="AE754" s="42"/>
      <c r="AF754" s="9"/>
      <c r="AG754" s="9"/>
      <c r="AH754" s="42"/>
      <c r="AI754" s="42"/>
      <c r="AJ754" s="42"/>
      <c r="AK754" s="42"/>
      <c r="AL754" s="42"/>
      <c r="AM754" s="42"/>
      <c r="AN754" s="42"/>
      <c r="AO754" s="63" t="str">
        <f>IFERROR(__xludf.DUMMYFUNCTION("IF(ISBLANK(A754),,IF(ISBLANK(S754), A754&amp;"";"", TEXTJOIN(CHAR(10), TRUE, A754&amp;"";"", ARRAYFORMULA(VLOOKUP(SPLIT(S754, "";"" &amp; CHAR(10)), $A:$AO, 41, FALSE)))))"),"A8lv5;")</f>
        <v>A8lv5;</v>
      </c>
      <c r="AP754" s="89"/>
    </row>
    <row r="755">
      <c r="A755" s="151" t="str">
        <f>IFERROR(__xludf.DUMMYFUNCTION("""COMPUTED_VALUE"""),"A8lv6")</f>
        <v>A8lv6</v>
      </c>
      <c r="B755" s="42" t="str">
        <f>IFERROR(__xludf.DUMMYFUNCTION("""COMPUTED_VALUE"""),"DHBA")</f>
        <v>DHBA</v>
      </c>
      <c r="C755" s="42" t="str">
        <f>IFERROR(__xludf.DUMMYFUNCTION("""COMPUTED_VALUE"""),"layer VI of area 8lv")</f>
        <v>layer VI of area 8lv</v>
      </c>
      <c r="D755" s="42">
        <f>IFERROR(__xludf.DUMMYFUNCTION("""COMPUTED_VALUE"""),699.0)</f>
        <v>699</v>
      </c>
      <c r="E755" s="39" t="str">
        <f>IFERROR(__xludf.DUMMYFUNCTION("""COMPUTED_VALUE"""),"layer VI of area 8lv")</f>
        <v>layer VI of area 8lv</v>
      </c>
      <c r="F755" s="9" t="str">
        <f>IFERROR(__xludf.DUMMYFUNCTION("""COMPUTED_VALUE"""),"Br")</f>
        <v>Br</v>
      </c>
      <c r="G755" s="9" t="str">
        <f>IFERROR(__xludf.DUMMYFUNCTION("""COMPUTED_VALUE"""),"F")</f>
        <v>F</v>
      </c>
      <c r="H755" s="9" t="str">
        <f>IFERROR(__xludf.DUMMYFUNCTION("""COMPUTED_VALUE"""),"FGM")</f>
        <v>FGM</v>
      </c>
      <c r="I755" s="9" t="str">
        <f>IFERROR(__xludf.DUMMYFUNCTION("""COMPUTED_VALUE"""),"Tel")</f>
        <v>Tel</v>
      </c>
      <c r="J755" s="9" t="str">
        <f>IFERROR(__xludf.DUMMYFUNCTION("""COMPUTED_VALUE"""),"Cx")</f>
        <v>Cx</v>
      </c>
      <c r="K755" s="9" t="str">
        <f>IFERROR(__xludf.DUMMYFUNCTION("""COMPUTED_VALUE"""),"NCx")</f>
        <v>NCx</v>
      </c>
      <c r="L755" s="9" t="str">
        <f>IFERROR(__xludf.DUMMYFUNCTION("""COMPUTED_VALUE"""),"FCx")</f>
        <v>FCx</v>
      </c>
      <c r="M755" s="9" t="str">
        <f>IFERROR(__xludf.DUMMYFUNCTION("""COMPUTED_VALUE"""),"PFC")</f>
        <v>PFC</v>
      </c>
      <c r="N755" s="9" t="str">
        <f>IFERROR(__xludf.DUMMYFUNCTION("""COMPUTED_VALUE"""),"DFC")</f>
        <v>DFC</v>
      </c>
      <c r="O755" s="9" t="str">
        <f>IFERROR(__xludf.DUMMYFUNCTION("""COMPUTED_VALUE"""),"A8")</f>
        <v>A8</v>
      </c>
      <c r="P755" s="9" t="str">
        <f>IFERROR(__xludf.DUMMYFUNCTION("""COMPUTED_VALUE"""),"A8lv")</f>
        <v>A8lv</v>
      </c>
      <c r="Q755" s="9" t="str">
        <f>IFERROR(__xludf.DUMMYFUNCTION("""COMPUTED_VALUE"""),"A8lv6")</f>
        <v>A8lv6</v>
      </c>
      <c r="R755" s="9"/>
      <c r="S755" s="42"/>
      <c r="T755" s="42"/>
      <c r="U755" s="159"/>
      <c r="V755" s="42"/>
      <c r="W755" s="42"/>
      <c r="X755" s="42"/>
      <c r="Y755" s="42"/>
      <c r="Z755" s="42"/>
      <c r="AA755" s="42"/>
      <c r="AB755" s="42" t="str">
        <f>IFERROR(__xludf.DUMMYFUNCTION("""COMPUTED_VALUE"""),"allen institute")</f>
        <v>allen institute</v>
      </c>
      <c r="AC755" s="42" t="str">
        <f>IFERROR(__xludf.DUMMYFUNCTION("""COMPUTED_VALUE"""),"DHBA")</f>
        <v>DHBA</v>
      </c>
      <c r="AD755" s="42"/>
      <c r="AE755" s="42"/>
      <c r="AF755" s="9"/>
      <c r="AG755" s="9"/>
      <c r="AH755" s="42"/>
      <c r="AI755" s="42"/>
      <c r="AJ755" s="42"/>
      <c r="AK755" s="42"/>
      <c r="AL755" s="42"/>
      <c r="AM755" s="42"/>
      <c r="AN755" s="42"/>
      <c r="AO755" s="63" t="str">
        <f>IFERROR(__xludf.DUMMYFUNCTION("IF(ISBLANK(A755),,IF(ISBLANK(S755), A755&amp;"";"", TEXTJOIN(CHAR(10), TRUE, A755&amp;"";"", ARRAYFORMULA(VLOOKUP(SPLIT(S755, "";"" &amp; CHAR(10)), $A:$AO, 41, FALSE)))))"),"A8lv6;")</f>
        <v>A8lv6;</v>
      </c>
      <c r="AP755" s="89"/>
    </row>
    <row r="756">
      <c r="A756" s="151" t="str">
        <f>IFERROR(__xludf.DUMMYFUNCTION("""COMPUTED_VALUE"""),"A8m")</f>
        <v>A8m</v>
      </c>
      <c r="B756" s="42" t="str">
        <f>IFERROR(__xludf.DUMMYFUNCTION("""COMPUTED_VALUE"""),"DHBA")</f>
        <v>DHBA</v>
      </c>
      <c r="C756" s="42" t="str">
        <f>IFERROR(__xludf.DUMMYFUNCTION("""COMPUTED_VALUE"""),"medial subdivision of area 8")</f>
        <v>medial subdivision of area 8</v>
      </c>
      <c r="D756" s="42">
        <f>IFERROR(__xludf.DUMMYFUNCTION("""COMPUTED_VALUE"""),700.0)</f>
        <v>700</v>
      </c>
      <c r="E756" s="39" t="str">
        <f>IFERROR(__xludf.DUMMYFUNCTION("""COMPUTED_VALUE"""),"medial subdivision of area 8")</f>
        <v>medial subdivision of area 8</v>
      </c>
      <c r="F756" s="9" t="str">
        <f>IFERROR(__xludf.DUMMYFUNCTION("""COMPUTED_VALUE"""),"Br")</f>
        <v>Br</v>
      </c>
      <c r="G756" s="9" t="str">
        <f>IFERROR(__xludf.DUMMYFUNCTION("""COMPUTED_VALUE"""),"F")</f>
        <v>F</v>
      </c>
      <c r="H756" s="9" t="str">
        <f>IFERROR(__xludf.DUMMYFUNCTION("""COMPUTED_VALUE"""),"FGM")</f>
        <v>FGM</v>
      </c>
      <c r="I756" s="9" t="str">
        <f>IFERROR(__xludf.DUMMYFUNCTION("""COMPUTED_VALUE"""),"Tel")</f>
        <v>Tel</v>
      </c>
      <c r="J756" s="9" t="str">
        <f>IFERROR(__xludf.DUMMYFUNCTION("""COMPUTED_VALUE"""),"Cx")</f>
        <v>Cx</v>
      </c>
      <c r="K756" s="9" t="str">
        <f>IFERROR(__xludf.DUMMYFUNCTION("""COMPUTED_VALUE"""),"NCx")</f>
        <v>NCx</v>
      </c>
      <c r="L756" s="9" t="str">
        <f>IFERROR(__xludf.DUMMYFUNCTION("""COMPUTED_VALUE"""),"FCx")</f>
        <v>FCx</v>
      </c>
      <c r="M756" s="9" t="str">
        <f>IFERROR(__xludf.DUMMYFUNCTION("""COMPUTED_VALUE"""),"PFC")</f>
        <v>PFC</v>
      </c>
      <c r="N756" s="9" t="str">
        <f>IFERROR(__xludf.DUMMYFUNCTION("""COMPUTED_VALUE"""),"DFC")</f>
        <v>DFC</v>
      </c>
      <c r="O756" s="9" t="str">
        <f>IFERROR(__xludf.DUMMYFUNCTION("""COMPUTED_VALUE"""),"A8")</f>
        <v>A8</v>
      </c>
      <c r="P756" s="9" t="str">
        <f>IFERROR(__xludf.DUMMYFUNCTION("""COMPUTED_VALUE"""),"A8m")</f>
        <v>A8m</v>
      </c>
      <c r="Q756" s="9"/>
      <c r="R756" s="9"/>
      <c r="S756" s="42" t="str">
        <f>IFERROR(__xludf.DUMMYFUNCTION("""COMPUTED_VALUE"""),"A8m1;
A8m2;
A8m3;
A8m4;
A8m5;
A8m6")</f>
        <v>A8m1;
A8m2;
A8m3;
A8m4;
A8m5;
A8m6</v>
      </c>
      <c r="T756" s="42" t="str">
        <f>IFERROR(__xludf.DUMMYFUNCTION("""COMPUTED_VALUE"""),"NCx")</f>
        <v>NCx</v>
      </c>
      <c r="U756" s="159" t="b">
        <f>IFERROR(__xludf.DUMMYFUNCTION("""COMPUTED_VALUE"""),FALSE)</f>
        <v>0</v>
      </c>
      <c r="V756" s="42"/>
      <c r="W756" s="42"/>
      <c r="X756" s="42"/>
      <c r="Y756" s="42"/>
      <c r="Z756" s="42"/>
      <c r="AA756" s="42"/>
      <c r="AB756" s="42" t="str">
        <f>IFERROR(__xludf.DUMMYFUNCTION("""COMPUTED_VALUE"""),"allen institute")</f>
        <v>allen institute</v>
      </c>
      <c r="AC756" s="42" t="str">
        <f>IFERROR(__xludf.DUMMYFUNCTION("""COMPUTED_VALUE"""),"DHBA")</f>
        <v>DHBA</v>
      </c>
      <c r="AD756" s="42"/>
      <c r="AE756" s="42"/>
      <c r="AF756" s="9"/>
      <c r="AG756" s="9"/>
      <c r="AH756" s="42"/>
      <c r="AI756" s="42"/>
      <c r="AJ756" s="42"/>
      <c r="AK756" s="42"/>
      <c r="AL756" s="42"/>
      <c r="AM756" s="42"/>
      <c r="AN756" s="42"/>
      <c r="AO756" s="63" t="str">
        <f>IFERROR(__xludf.DUMMYFUNCTION("IF(ISBLANK(A756),,IF(ISBLANK(S756), A756&amp;"";"", TEXTJOIN(CHAR(10), TRUE, A756&amp;"";"", ARRAYFORMULA(VLOOKUP(SPLIT(S756, "";"" &amp; CHAR(10)), $A:$AO, 41, FALSE)))))"),"A8m;
A8m1;
A8m2;
A8m3;
A8m4;
A8m5;
A8m6;")</f>
        <v>A8m;
A8m1;
A8m2;
A8m3;
A8m4;
A8m5;
A8m6;</v>
      </c>
      <c r="AP756" s="89"/>
    </row>
    <row r="757">
      <c r="A757" s="151" t="str">
        <f>IFERROR(__xludf.DUMMYFUNCTION("""COMPUTED_VALUE"""),"A8m1")</f>
        <v>A8m1</v>
      </c>
      <c r="B757" s="42" t="str">
        <f>IFERROR(__xludf.DUMMYFUNCTION("""COMPUTED_VALUE"""),"DHBA")</f>
        <v>DHBA</v>
      </c>
      <c r="C757" s="42" t="str">
        <f>IFERROR(__xludf.DUMMYFUNCTION("""COMPUTED_VALUE"""),"layer I of area 8m")</f>
        <v>layer I of area 8m</v>
      </c>
      <c r="D757" s="42">
        <f>IFERROR(__xludf.DUMMYFUNCTION("""COMPUTED_VALUE"""),701.0)</f>
        <v>701</v>
      </c>
      <c r="E757" s="39" t="str">
        <f>IFERROR(__xludf.DUMMYFUNCTION("""COMPUTED_VALUE"""),"layer I of area 8m")</f>
        <v>layer I of area 8m</v>
      </c>
      <c r="F757" s="9" t="str">
        <f>IFERROR(__xludf.DUMMYFUNCTION("""COMPUTED_VALUE"""),"Br")</f>
        <v>Br</v>
      </c>
      <c r="G757" s="9" t="str">
        <f>IFERROR(__xludf.DUMMYFUNCTION("""COMPUTED_VALUE"""),"F")</f>
        <v>F</v>
      </c>
      <c r="H757" s="9" t="str">
        <f>IFERROR(__xludf.DUMMYFUNCTION("""COMPUTED_VALUE"""),"FGM")</f>
        <v>FGM</v>
      </c>
      <c r="I757" s="9" t="str">
        <f>IFERROR(__xludf.DUMMYFUNCTION("""COMPUTED_VALUE"""),"Tel")</f>
        <v>Tel</v>
      </c>
      <c r="J757" s="9" t="str">
        <f>IFERROR(__xludf.DUMMYFUNCTION("""COMPUTED_VALUE"""),"Cx")</f>
        <v>Cx</v>
      </c>
      <c r="K757" s="9" t="str">
        <f>IFERROR(__xludf.DUMMYFUNCTION("""COMPUTED_VALUE"""),"NCx")</f>
        <v>NCx</v>
      </c>
      <c r="L757" s="9" t="str">
        <f>IFERROR(__xludf.DUMMYFUNCTION("""COMPUTED_VALUE"""),"FCx")</f>
        <v>FCx</v>
      </c>
      <c r="M757" s="9" t="str">
        <f>IFERROR(__xludf.DUMMYFUNCTION("""COMPUTED_VALUE"""),"PFC")</f>
        <v>PFC</v>
      </c>
      <c r="N757" s="9" t="str">
        <f>IFERROR(__xludf.DUMMYFUNCTION("""COMPUTED_VALUE"""),"DFC")</f>
        <v>DFC</v>
      </c>
      <c r="O757" s="9" t="str">
        <f>IFERROR(__xludf.DUMMYFUNCTION("""COMPUTED_VALUE"""),"A8")</f>
        <v>A8</v>
      </c>
      <c r="P757" s="9" t="str">
        <f>IFERROR(__xludf.DUMMYFUNCTION("""COMPUTED_VALUE"""),"A8m")</f>
        <v>A8m</v>
      </c>
      <c r="Q757" s="9" t="str">
        <f>IFERROR(__xludf.DUMMYFUNCTION("""COMPUTED_VALUE"""),"A8m1")</f>
        <v>A8m1</v>
      </c>
      <c r="R757" s="9"/>
      <c r="S757" s="42"/>
      <c r="T757" s="42"/>
      <c r="U757" s="159"/>
      <c r="V757" s="42"/>
      <c r="W757" s="42"/>
      <c r="X757" s="42"/>
      <c r="Y757" s="42"/>
      <c r="Z757" s="42"/>
      <c r="AA757" s="42"/>
      <c r="AB757" s="42" t="str">
        <f>IFERROR(__xludf.DUMMYFUNCTION("""COMPUTED_VALUE"""),"allen institute")</f>
        <v>allen institute</v>
      </c>
      <c r="AC757" s="42" t="str">
        <f>IFERROR(__xludf.DUMMYFUNCTION("""COMPUTED_VALUE"""),"DHBA")</f>
        <v>DHBA</v>
      </c>
      <c r="AD757" s="42"/>
      <c r="AE757" s="42"/>
      <c r="AF757" s="9"/>
      <c r="AG757" s="9"/>
      <c r="AH757" s="42"/>
      <c r="AI757" s="42"/>
      <c r="AJ757" s="42"/>
      <c r="AK757" s="42"/>
      <c r="AL757" s="42"/>
      <c r="AM757" s="42"/>
      <c r="AN757" s="42"/>
      <c r="AO757" s="63" t="str">
        <f>IFERROR(__xludf.DUMMYFUNCTION("IF(ISBLANK(A757),,IF(ISBLANK(S757), A757&amp;"";"", TEXTJOIN(CHAR(10), TRUE, A757&amp;"";"", ARRAYFORMULA(VLOOKUP(SPLIT(S757, "";"" &amp; CHAR(10)), $A:$AO, 41, FALSE)))))"),"A8m1;")</f>
        <v>A8m1;</v>
      </c>
      <c r="AP757" s="89"/>
    </row>
    <row r="758">
      <c r="A758" s="151" t="str">
        <f>IFERROR(__xludf.DUMMYFUNCTION("""COMPUTED_VALUE"""),"A8m2")</f>
        <v>A8m2</v>
      </c>
      <c r="B758" s="42" t="str">
        <f>IFERROR(__xludf.DUMMYFUNCTION("""COMPUTED_VALUE"""),"DHBA")</f>
        <v>DHBA</v>
      </c>
      <c r="C758" s="42" t="str">
        <f>IFERROR(__xludf.DUMMYFUNCTION("""COMPUTED_VALUE"""),"layer II of area 8m")</f>
        <v>layer II of area 8m</v>
      </c>
      <c r="D758" s="42">
        <f>IFERROR(__xludf.DUMMYFUNCTION("""COMPUTED_VALUE"""),702.0)</f>
        <v>702</v>
      </c>
      <c r="E758" s="39" t="str">
        <f>IFERROR(__xludf.DUMMYFUNCTION("""COMPUTED_VALUE"""),"layer II of area 8m")</f>
        <v>layer II of area 8m</v>
      </c>
      <c r="F758" s="9" t="str">
        <f>IFERROR(__xludf.DUMMYFUNCTION("""COMPUTED_VALUE"""),"Br")</f>
        <v>Br</v>
      </c>
      <c r="G758" s="9" t="str">
        <f>IFERROR(__xludf.DUMMYFUNCTION("""COMPUTED_VALUE"""),"F")</f>
        <v>F</v>
      </c>
      <c r="H758" s="9" t="str">
        <f>IFERROR(__xludf.DUMMYFUNCTION("""COMPUTED_VALUE"""),"FGM")</f>
        <v>FGM</v>
      </c>
      <c r="I758" s="9" t="str">
        <f>IFERROR(__xludf.DUMMYFUNCTION("""COMPUTED_VALUE"""),"Tel")</f>
        <v>Tel</v>
      </c>
      <c r="J758" s="9" t="str">
        <f>IFERROR(__xludf.DUMMYFUNCTION("""COMPUTED_VALUE"""),"Cx")</f>
        <v>Cx</v>
      </c>
      <c r="K758" s="9" t="str">
        <f>IFERROR(__xludf.DUMMYFUNCTION("""COMPUTED_VALUE"""),"NCx")</f>
        <v>NCx</v>
      </c>
      <c r="L758" s="9" t="str">
        <f>IFERROR(__xludf.DUMMYFUNCTION("""COMPUTED_VALUE"""),"FCx")</f>
        <v>FCx</v>
      </c>
      <c r="M758" s="9" t="str">
        <f>IFERROR(__xludf.DUMMYFUNCTION("""COMPUTED_VALUE"""),"PFC")</f>
        <v>PFC</v>
      </c>
      <c r="N758" s="9" t="str">
        <f>IFERROR(__xludf.DUMMYFUNCTION("""COMPUTED_VALUE"""),"DFC")</f>
        <v>DFC</v>
      </c>
      <c r="O758" s="9" t="str">
        <f>IFERROR(__xludf.DUMMYFUNCTION("""COMPUTED_VALUE"""),"A8")</f>
        <v>A8</v>
      </c>
      <c r="P758" s="9" t="str">
        <f>IFERROR(__xludf.DUMMYFUNCTION("""COMPUTED_VALUE"""),"A8m")</f>
        <v>A8m</v>
      </c>
      <c r="Q758" s="9" t="str">
        <f>IFERROR(__xludf.DUMMYFUNCTION("""COMPUTED_VALUE"""),"A8m2")</f>
        <v>A8m2</v>
      </c>
      <c r="R758" s="9"/>
      <c r="S758" s="42"/>
      <c r="T758" s="42"/>
      <c r="U758" s="42"/>
      <c r="V758" s="42"/>
      <c r="W758" s="42"/>
      <c r="X758" s="42"/>
      <c r="Y758" s="42"/>
      <c r="Z758" s="42"/>
      <c r="AA758" s="42"/>
      <c r="AB758" s="42" t="str">
        <f>IFERROR(__xludf.DUMMYFUNCTION("""COMPUTED_VALUE"""),"allen institute")</f>
        <v>allen institute</v>
      </c>
      <c r="AC758" s="42" t="str">
        <f>IFERROR(__xludf.DUMMYFUNCTION("""COMPUTED_VALUE"""),"DHBA")</f>
        <v>DHBA</v>
      </c>
      <c r="AD758" s="42"/>
      <c r="AE758" s="42"/>
      <c r="AF758" s="9"/>
      <c r="AG758" s="9"/>
      <c r="AH758" s="42"/>
      <c r="AI758" s="42"/>
      <c r="AJ758" s="42"/>
      <c r="AK758" s="42"/>
      <c r="AL758" s="42"/>
      <c r="AM758" s="42"/>
      <c r="AN758" s="42"/>
      <c r="AO758" s="63" t="str">
        <f>IFERROR(__xludf.DUMMYFUNCTION("IF(ISBLANK(A758),,IF(ISBLANK(S758), A758&amp;"";"", TEXTJOIN(CHAR(10), TRUE, A758&amp;"";"", ARRAYFORMULA(VLOOKUP(SPLIT(S758, "";"" &amp; CHAR(10)), $A:$AO, 41, FALSE)))))"),"A8m2;")</f>
        <v>A8m2;</v>
      </c>
      <c r="AP758" s="89"/>
    </row>
    <row r="759">
      <c r="A759" s="151" t="str">
        <f>IFERROR(__xludf.DUMMYFUNCTION("""COMPUTED_VALUE"""),"A8m3")</f>
        <v>A8m3</v>
      </c>
      <c r="B759" s="42" t="str">
        <f>IFERROR(__xludf.DUMMYFUNCTION("""COMPUTED_VALUE"""),"DHBA")</f>
        <v>DHBA</v>
      </c>
      <c r="C759" s="42" t="str">
        <f>IFERROR(__xludf.DUMMYFUNCTION("""COMPUTED_VALUE"""),"layer III of area 8m")</f>
        <v>layer III of area 8m</v>
      </c>
      <c r="D759" s="42">
        <f>IFERROR(__xludf.DUMMYFUNCTION("""COMPUTED_VALUE"""),703.0)</f>
        <v>703</v>
      </c>
      <c r="E759" s="39" t="str">
        <f>IFERROR(__xludf.DUMMYFUNCTION("""COMPUTED_VALUE"""),"layer III of area 8m")</f>
        <v>layer III of area 8m</v>
      </c>
      <c r="F759" s="9" t="str">
        <f>IFERROR(__xludf.DUMMYFUNCTION("""COMPUTED_VALUE"""),"Br")</f>
        <v>Br</v>
      </c>
      <c r="G759" s="9" t="str">
        <f>IFERROR(__xludf.DUMMYFUNCTION("""COMPUTED_VALUE"""),"F")</f>
        <v>F</v>
      </c>
      <c r="H759" s="9" t="str">
        <f>IFERROR(__xludf.DUMMYFUNCTION("""COMPUTED_VALUE"""),"FGM")</f>
        <v>FGM</v>
      </c>
      <c r="I759" s="9" t="str">
        <f>IFERROR(__xludf.DUMMYFUNCTION("""COMPUTED_VALUE"""),"Tel")</f>
        <v>Tel</v>
      </c>
      <c r="J759" s="9" t="str">
        <f>IFERROR(__xludf.DUMMYFUNCTION("""COMPUTED_VALUE"""),"Cx")</f>
        <v>Cx</v>
      </c>
      <c r="K759" s="9" t="str">
        <f>IFERROR(__xludf.DUMMYFUNCTION("""COMPUTED_VALUE"""),"NCx")</f>
        <v>NCx</v>
      </c>
      <c r="L759" s="9" t="str">
        <f>IFERROR(__xludf.DUMMYFUNCTION("""COMPUTED_VALUE"""),"FCx")</f>
        <v>FCx</v>
      </c>
      <c r="M759" s="9" t="str">
        <f>IFERROR(__xludf.DUMMYFUNCTION("""COMPUTED_VALUE"""),"PFC")</f>
        <v>PFC</v>
      </c>
      <c r="N759" s="9" t="str">
        <f>IFERROR(__xludf.DUMMYFUNCTION("""COMPUTED_VALUE"""),"DFC")</f>
        <v>DFC</v>
      </c>
      <c r="O759" s="9" t="str">
        <f>IFERROR(__xludf.DUMMYFUNCTION("""COMPUTED_VALUE"""),"A8")</f>
        <v>A8</v>
      </c>
      <c r="P759" s="9" t="str">
        <f>IFERROR(__xludf.DUMMYFUNCTION("""COMPUTED_VALUE"""),"A8m")</f>
        <v>A8m</v>
      </c>
      <c r="Q759" s="9" t="str">
        <f>IFERROR(__xludf.DUMMYFUNCTION("""COMPUTED_VALUE"""),"A8m3")</f>
        <v>A8m3</v>
      </c>
      <c r="R759" s="9"/>
      <c r="S759" s="42"/>
      <c r="T759" s="42"/>
      <c r="U759" s="42"/>
      <c r="V759" s="42"/>
      <c r="W759" s="42"/>
      <c r="X759" s="42"/>
      <c r="Y759" s="42"/>
      <c r="Z759" s="42"/>
      <c r="AA759" s="42"/>
      <c r="AB759" s="42" t="str">
        <f>IFERROR(__xludf.DUMMYFUNCTION("""COMPUTED_VALUE"""),"allen institute")</f>
        <v>allen institute</v>
      </c>
      <c r="AC759" s="42" t="str">
        <f>IFERROR(__xludf.DUMMYFUNCTION("""COMPUTED_VALUE"""),"DHBA")</f>
        <v>DHBA</v>
      </c>
      <c r="AD759" s="42"/>
      <c r="AE759" s="42"/>
      <c r="AF759" s="9"/>
      <c r="AG759" s="9"/>
      <c r="AH759" s="42"/>
      <c r="AI759" s="42"/>
      <c r="AJ759" s="42"/>
      <c r="AK759" s="42"/>
      <c r="AL759" s="42"/>
      <c r="AM759" s="42"/>
      <c r="AN759" s="42"/>
      <c r="AO759" s="63" t="str">
        <f>IFERROR(__xludf.DUMMYFUNCTION("IF(ISBLANK(A759),,IF(ISBLANK(S759), A759&amp;"";"", TEXTJOIN(CHAR(10), TRUE, A759&amp;"";"", ARRAYFORMULA(VLOOKUP(SPLIT(S759, "";"" &amp; CHAR(10)), $A:$AO, 41, FALSE)))))"),"A8m3;")</f>
        <v>A8m3;</v>
      </c>
      <c r="AP759" s="89"/>
    </row>
    <row r="760">
      <c r="A760" s="151" t="str">
        <f>IFERROR(__xludf.DUMMYFUNCTION("""COMPUTED_VALUE"""),"A8m4")</f>
        <v>A8m4</v>
      </c>
      <c r="B760" s="42" t="str">
        <f>IFERROR(__xludf.DUMMYFUNCTION("""COMPUTED_VALUE"""),"DHBA")</f>
        <v>DHBA</v>
      </c>
      <c r="C760" s="42" t="str">
        <f>IFERROR(__xludf.DUMMYFUNCTION("""COMPUTED_VALUE"""),"layer IV of area 8m")</f>
        <v>layer IV of area 8m</v>
      </c>
      <c r="D760" s="42">
        <f>IFERROR(__xludf.DUMMYFUNCTION("""COMPUTED_VALUE"""),704.0)</f>
        <v>704</v>
      </c>
      <c r="E760" s="39" t="str">
        <f>IFERROR(__xludf.DUMMYFUNCTION("""COMPUTED_VALUE"""),"layer IV of area 8m")</f>
        <v>layer IV of area 8m</v>
      </c>
      <c r="F760" s="9" t="str">
        <f>IFERROR(__xludf.DUMMYFUNCTION("""COMPUTED_VALUE"""),"Br")</f>
        <v>Br</v>
      </c>
      <c r="G760" s="9" t="str">
        <f>IFERROR(__xludf.DUMMYFUNCTION("""COMPUTED_VALUE"""),"F")</f>
        <v>F</v>
      </c>
      <c r="H760" s="9" t="str">
        <f>IFERROR(__xludf.DUMMYFUNCTION("""COMPUTED_VALUE"""),"FGM")</f>
        <v>FGM</v>
      </c>
      <c r="I760" s="9" t="str">
        <f>IFERROR(__xludf.DUMMYFUNCTION("""COMPUTED_VALUE"""),"Tel")</f>
        <v>Tel</v>
      </c>
      <c r="J760" s="9" t="str">
        <f>IFERROR(__xludf.DUMMYFUNCTION("""COMPUTED_VALUE"""),"Cx")</f>
        <v>Cx</v>
      </c>
      <c r="K760" s="9" t="str">
        <f>IFERROR(__xludf.DUMMYFUNCTION("""COMPUTED_VALUE"""),"NCx")</f>
        <v>NCx</v>
      </c>
      <c r="L760" s="9" t="str">
        <f>IFERROR(__xludf.DUMMYFUNCTION("""COMPUTED_VALUE"""),"FCx")</f>
        <v>FCx</v>
      </c>
      <c r="M760" s="9" t="str">
        <f>IFERROR(__xludf.DUMMYFUNCTION("""COMPUTED_VALUE"""),"PFC")</f>
        <v>PFC</v>
      </c>
      <c r="N760" s="9" t="str">
        <f>IFERROR(__xludf.DUMMYFUNCTION("""COMPUTED_VALUE"""),"DFC")</f>
        <v>DFC</v>
      </c>
      <c r="O760" s="9" t="str">
        <f>IFERROR(__xludf.DUMMYFUNCTION("""COMPUTED_VALUE"""),"A8")</f>
        <v>A8</v>
      </c>
      <c r="P760" s="9" t="str">
        <f>IFERROR(__xludf.DUMMYFUNCTION("""COMPUTED_VALUE"""),"A8m")</f>
        <v>A8m</v>
      </c>
      <c r="Q760" s="9" t="str">
        <f>IFERROR(__xludf.DUMMYFUNCTION("""COMPUTED_VALUE"""),"A8m4")</f>
        <v>A8m4</v>
      </c>
      <c r="R760" s="9"/>
      <c r="S760" s="42"/>
      <c r="T760" s="42"/>
      <c r="U760" s="42"/>
      <c r="V760" s="42"/>
      <c r="W760" s="42"/>
      <c r="X760" s="42"/>
      <c r="Y760" s="42"/>
      <c r="Z760" s="42"/>
      <c r="AA760" s="42"/>
      <c r="AB760" s="42" t="str">
        <f>IFERROR(__xludf.DUMMYFUNCTION("""COMPUTED_VALUE"""),"allen institute")</f>
        <v>allen institute</v>
      </c>
      <c r="AC760" s="42" t="str">
        <f>IFERROR(__xludf.DUMMYFUNCTION("""COMPUTED_VALUE"""),"DHBA")</f>
        <v>DHBA</v>
      </c>
      <c r="AD760" s="42"/>
      <c r="AE760" s="42"/>
      <c r="AF760" s="9"/>
      <c r="AG760" s="9"/>
      <c r="AH760" s="42"/>
      <c r="AI760" s="42"/>
      <c r="AJ760" s="42"/>
      <c r="AK760" s="42"/>
      <c r="AL760" s="42"/>
      <c r="AM760" s="42"/>
      <c r="AN760" s="42"/>
      <c r="AO760" s="63" t="str">
        <f>IFERROR(__xludf.DUMMYFUNCTION("IF(ISBLANK(A760),,IF(ISBLANK(S760), A760&amp;"";"", TEXTJOIN(CHAR(10), TRUE, A760&amp;"";"", ARRAYFORMULA(VLOOKUP(SPLIT(S760, "";"" &amp; CHAR(10)), $A:$AO, 41, FALSE)))))"),"A8m4;")</f>
        <v>A8m4;</v>
      </c>
      <c r="AP760" s="89"/>
    </row>
    <row r="761">
      <c r="A761" s="151" t="str">
        <f>IFERROR(__xludf.DUMMYFUNCTION("""COMPUTED_VALUE"""),"A8m5")</f>
        <v>A8m5</v>
      </c>
      <c r="B761" s="42" t="str">
        <f>IFERROR(__xludf.DUMMYFUNCTION("""COMPUTED_VALUE"""),"DHBA")</f>
        <v>DHBA</v>
      </c>
      <c r="C761" s="42" t="str">
        <f>IFERROR(__xludf.DUMMYFUNCTION("""COMPUTED_VALUE"""),"layer V of area 8m")</f>
        <v>layer V of area 8m</v>
      </c>
      <c r="D761" s="42">
        <f>IFERROR(__xludf.DUMMYFUNCTION("""COMPUTED_VALUE"""),705.0)</f>
        <v>705</v>
      </c>
      <c r="E761" s="39" t="str">
        <f>IFERROR(__xludf.DUMMYFUNCTION("""COMPUTED_VALUE"""),"layer V of area 8m")</f>
        <v>layer V of area 8m</v>
      </c>
      <c r="F761" s="9" t="str">
        <f>IFERROR(__xludf.DUMMYFUNCTION("""COMPUTED_VALUE"""),"Br")</f>
        <v>Br</v>
      </c>
      <c r="G761" s="9" t="str">
        <f>IFERROR(__xludf.DUMMYFUNCTION("""COMPUTED_VALUE"""),"F")</f>
        <v>F</v>
      </c>
      <c r="H761" s="9" t="str">
        <f>IFERROR(__xludf.DUMMYFUNCTION("""COMPUTED_VALUE"""),"FGM")</f>
        <v>FGM</v>
      </c>
      <c r="I761" s="9" t="str">
        <f>IFERROR(__xludf.DUMMYFUNCTION("""COMPUTED_VALUE"""),"Tel")</f>
        <v>Tel</v>
      </c>
      <c r="J761" s="9" t="str">
        <f>IFERROR(__xludf.DUMMYFUNCTION("""COMPUTED_VALUE"""),"Cx")</f>
        <v>Cx</v>
      </c>
      <c r="K761" s="9" t="str">
        <f>IFERROR(__xludf.DUMMYFUNCTION("""COMPUTED_VALUE"""),"NCx")</f>
        <v>NCx</v>
      </c>
      <c r="L761" s="9" t="str">
        <f>IFERROR(__xludf.DUMMYFUNCTION("""COMPUTED_VALUE"""),"FCx")</f>
        <v>FCx</v>
      </c>
      <c r="M761" s="9" t="str">
        <f>IFERROR(__xludf.DUMMYFUNCTION("""COMPUTED_VALUE"""),"PFC")</f>
        <v>PFC</v>
      </c>
      <c r="N761" s="9" t="str">
        <f>IFERROR(__xludf.DUMMYFUNCTION("""COMPUTED_VALUE"""),"DFC")</f>
        <v>DFC</v>
      </c>
      <c r="O761" s="9" t="str">
        <f>IFERROR(__xludf.DUMMYFUNCTION("""COMPUTED_VALUE"""),"A8")</f>
        <v>A8</v>
      </c>
      <c r="P761" s="9" t="str">
        <f>IFERROR(__xludf.DUMMYFUNCTION("""COMPUTED_VALUE"""),"A8m")</f>
        <v>A8m</v>
      </c>
      <c r="Q761" s="9" t="str">
        <f>IFERROR(__xludf.DUMMYFUNCTION("""COMPUTED_VALUE"""),"A8m5")</f>
        <v>A8m5</v>
      </c>
      <c r="R761" s="9"/>
      <c r="S761" s="42"/>
      <c r="T761" s="42"/>
      <c r="U761" s="42"/>
      <c r="V761" s="42"/>
      <c r="W761" s="42"/>
      <c r="X761" s="42"/>
      <c r="Y761" s="42"/>
      <c r="Z761" s="42"/>
      <c r="AA761" s="42"/>
      <c r="AB761" s="42" t="str">
        <f>IFERROR(__xludf.DUMMYFUNCTION("""COMPUTED_VALUE"""),"allen institute")</f>
        <v>allen institute</v>
      </c>
      <c r="AC761" s="42" t="str">
        <f>IFERROR(__xludf.DUMMYFUNCTION("""COMPUTED_VALUE"""),"DHBA")</f>
        <v>DHBA</v>
      </c>
      <c r="AD761" s="42"/>
      <c r="AE761" s="42"/>
      <c r="AF761" s="9"/>
      <c r="AG761" s="9"/>
      <c r="AH761" s="42"/>
      <c r="AI761" s="42"/>
      <c r="AJ761" s="42"/>
      <c r="AK761" s="42"/>
      <c r="AL761" s="42"/>
      <c r="AM761" s="42"/>
      <c r="AN761" s="42"/>
      <c r="AO761" s="63" t="str">
        <f>IFERROR(__xludf.DUMMYFUNCTION("IF(ISBLANK(A761),,IF(ISBLANK(S761), A761&amp;"";"", TEXTJOIN(CHAR(10), TRUE, A761&amp;"";"", ARRAYFORMULA(VLOOKUP(SPLIT(S761, "";"" &amp; CHAR(10)), $A:$AO, 41, FALSE)))))"),"A8m5;")</f>
        <v>A8m5;</v>
      </c>
      <c r="AP761" s="89"/>
    </row>
    <row r="762">
      <c r="A762" s="151" t="str">
        <f>IFERROR(__xludf.DUMMYFUNCTION("""COMPUTED_VALUE"""),"A8m6")</f>
        <v>A8m6</v>
      </c>
      <c r="B762" s="42" t="str">
        <f>IFERROR(__xludf.DUMMYFUNCTION("""COMPUTED_VALUE"""),"DHBA")</f>
        <v>DHBA</v>
      </c>
      <c r="C762" s="42" t="str">
        <f>IFERROR(__xludf.DUMMYFUNCTION("""COMPUTED_VALUE"""),"layer VI of area 8m")</f>
        <v>layer VI of area 8m</v>
      </c>
      <c r="D762" s="42">
        <f>IFERROR(__xludf.DUMMYFUNCTION("""COMPUTED_VALUE"""),706.0)</f>
        <v>706</v>
      </c>
      <c r="E762" s="39" t="str">
        <f>IFERROR(__xludf.DUMMYFUNCTION("""COMPUTED_VALUE"""),"layer VI of area 8m")</f>
        <v>layer VI of area 8m</v>
      </c>
      <c r="F762" s="9" t="str">
        <f>IFERROR(__xludf.DUMMYFUNCTION("""COMPUTED_VALUE"""),"Br")</f>
        <v>Br</v>
      </c>
      <c r="G762" s="9" t="str">
        <f>IFERROR(__xludf.DUMMYFUNCTION("""COMPUTED_VALUE"""),"F")</f>
        <v>F</v>
      </c>
      <c r="H762" s="9" t="str">
        <f>IFERROR(__xludf.DUMMYFUNCTION("""COMPUTED_VALUE"""),"FGM")</f>
        <v>FGM</v>
      </c>
      <c r="I762" s="9" t="str">
        <f>IFERROR(__xludf.DUMMYFUNCTION("""COMPUTED_VALUE"""),"Tel")</f>
        <v>Tel</v>
      </c>
      <c r="J762" s="9" t="str">
        <f>IFERROR(__xludf.DUMMYFUNCTION("""COMPUTED_VALUE"""),"Cx")</f>
        <v>Cx</v>
      </c>
      <c r="K762" s="9" t="str">
        <f>IFERROR(__xludf.DUMMYFUNCTION("""COMPUTED_VALUE"""),"NCx")</f>
        <v>NCx</v>
      </c>
      <c r="L762" s="9" t="str">
        <f>IFERROR(__xludf.DUMMYFUNCTION("""COMPUTED_VALUE"""),"FCx")</f>
        <v>FCx</v>
      </c>
      <c r="M762" s="9" t="str">
        <f>IFERROR(__xludf.DUMMYFUNCTION("""COMPUTED_VALUE"""),"PFC")</f>
        <v>PFC</v>
      </c>
      <c r="N762" s="9" t="str">
        <f>IFERROR(__xludf.DUMMYFUNCTION("""COMPUTED_VALUE"""),"DFC")</f>
        <v>DFC</v>
      </c>
      <c r="O762" s="9" t="str">
        <f>IFERROR(__xludf.DUMMYFUNCTION("""COMPUTED_VALUE"""),"A8")</f>
        <v>A8</v>
      </c>
      <c r="P762" s="9" t="str">
        <f>IFERROR(__xludf.DUMMYFUNCTION("""COMPUTED_VALUE"""),"A8m")</f>
        <v>A8m</v>
      </c>
      <c r="Q762" s="9" t="str">
        <f>IFERROR(__xludf.DUMMYFUNCTION("""COMPUTED_VALUE"""),"A8m6")</f>
        <v>A8m6</v>
      </c>
      <c r="R762" s="9"/>
      <c r="S762" s="42"/>
      <c r="T762" s="42"/>
      <c r="U762" s="159"/>
      <c r="V762" s="42"/>
      <c r="W762" s="42"/>
      <c r="X762" s="42"/>
      <c r="Y762" s="42"/>
      <c r="Z762" s="42"/>
      <c r="AA762" s="42"/>
      <c r="AB762" s="42" t="str">
        <f>IFERROR(__xludf.DUMMYFUNCTION("""COMPUTED_VALUE"""),"allen institute")</f>
        <v>allen institute</v>
      </c>
      <c r="AC762" s="42" t="str">
        <f>IFERROR(__xludf.DUMMYFUNCTION("""COMPUTED_VALUE"""),"DHBA")</f>
        <v>DHBA</v>
      </c>
      <c r="AD762" s="42"/>
      <c r="AE762" s="42"/>
      <c r="AF762" s="9"/>
      <c r="AG762" s="9"/>
      <c r="AH762" s="42"/>
      <c r="AI762" s="42"/>
      <c r="AJ762" s="42"/>
      <c r="AK762" s="42"/>
      <c r="AL762" s="42"/>
      <c r="AM762" s="42"/>
      <c r="AN762" s="42"/>
      <c r="AO762" s="63" t="str">
        <f>IFERROR(__xludf.DUMMYFUNCTION("IF(ISBLANK(A762),,IF(ISBLANK(S762), A762&amp;"";"", TEXTJOIN(CHAR(10), TRUE, A762&amp;"";"", ARRAYFORMULA(VLOOKUP(SPLIT(S762, "";"" &amp; CHAR(10)), $A:$AO, 41, FALSE)))))"),"A8m6;")</f>
        <v>A8m6;</v>
      </c>
      <c r="AP762" s="89"/>
    </row>
    <row r="763">
      <c r="A763" s="151" t="str">
        <f>IFERROR(__xludf.DUMMYFUNCTION("""COMPUTED_VALUE"""),"A9")</f>
        <v>A9</v>
      </c>
      <c r="B763" s="42" t="str">
        <f>IFERROR(__xludf.DUMMYFUNCTION("""COMPUTED_VALUE"""),"DHBA")</f>
        <v>DHBA</v>
      </c>
      <c r="C763" s="42" t="str">
        <f>IFERROR(__xludf.DUMMYFUNCTION("""COMPUTED_VALUE"""),"rostrodorsal portion of DFC (area 9)")</f>
        <v>rostrodorsal portion of DFC (area 9)</v>
      </c>
      <c r="D763" s="42">
        <f>IFERROR(__xludf.DUMMYFUNCTION("""COMPUTED_VALUE"""),707.0)</f>
        <v>707</v>
      </c>
      <c r="E763" s="39" t="str">
        <f>IFERROR(__xludf.DUMMYFUNCTION("""COMPUTED_VALUE"""),"rostrodorsal portion of DFC (area 9)")</f>
        <v>rostrodorsal portion of DFC (area 9)</v>
      </c>
      <c r="F763" s="9" t="str">
        <f>IFERROR(__xludf.DUMMYFUNCTION("""COMPUTED_VALUE"""),"Br")</f>
        <v>Br</v>
      </c>
      <c r="G763" s="9" t="str">
        <f>IFERROR(__xludf.DUMMYFUNCTION("""COMPUTED_VALUE"""),"F")</f>
        <v>F</v>
      </c>
      <c r="H763" s="9" t="str">
        <f>IFERROR(__xludf.DUMMYFUNCTION("""COMPUTED_VALUE"""),"FGM")</f>
        <v>FGM</v>
      </c>
      <c r="I763" s="9" t="str">
        <f>IFERROR(__xludf.DUMMYFUNCTION("""COMPUTED_VALUE"""),"Tel")</f>
        <v>Tel</v>
      </c>
      <c r="J763" s="9" t="str">
        <f>IFERROR(__xludf.DUMMYFUNCTION("""COMPUTED_VALUE"""),"Cx")</f>
        <v>Cx</v>
      </c>
      <c r="K763" s="9" t="str">
        <f>IFERROR(__xludf.DUMMYFUNCTION("""COMPUTED_VALUE"""),"NCx")</f>
        <v>NCx</v>
      </c>
      <c r="L763" s="9" t="str">
        <f>IFERROR(__xludf.DUMMYFUNCTION("""COMPUTED_VALUE"""),"FCx")</f>
        <v>FCx</v>
      </c>
      <c r="M763" s="9" t="str">
        <f>IFERROR(__xludf.DUMMYFUNCTION("""COMPUTED_VALUE"""),"PFC")</f>
        <v>PFC</v>
      </c>
      <c r="N763" s="9" t="str">
        <f>IFERROR(__xludf.DUMMYFUNCTION("""COMPUTED_VALUE"""),"DFC")</f>
        <v>DFC</v>
      </c>
      <c r="O763" s="9" t="str">
        <f>IFERROR(__xludf.DUMMYFUNCTION("""COMPUTED_VALUE"""),"A9")</f>
        <v>A9</v>
      </c>
      <c r="P763" s="9"/>
      <c r="Q763" s="9"/>
      <c r="R763" s="9"/>
      <c r="S763" s="42" t="str">
        <f>IFERROR(__xludf.DUMMYFUNCTION("""COMPUTED_VALUE"""),"A9l;
A9m")</f>
        <v>A9l;
A9m</v>
      </c>
      <c r="T763" s="42" t="str">
        <f>IFERROR(__xludf.DUMMYFUNCTION("""COMPUTED_VALUE"""),"NCx")</f>
        <v>NCx</v>
      </c>
      <c r="U763" s="42" t="b">
        <f>IFERROR(__xludf.DUMMYFUNCTION("""COMPUTED_VALUE"""),FALSE)</f>
        <v>0</v>
      </c>
      <c r="V763" s="42"/>
      <c r="W763" s="42"/>
      <c r="X763" s="42"/>
      <c r="Y763" s="42"/>
      <c r="Z763" s="42"/>
      <c r="AA763" s="42"/>
      <c r="AB763" s="42" t="str">
        <f>IFERROR(__xludf.DUMMYFUNCTION("""COMPUTED_VALUE"""),"allen institute")</f>
        <v>allen institute</v>
      </c>
      <c r="AC763" s="42" t="str">
        <f>IFERROR(__xludf.DUMMYFUNCTION("""COMPUTED_VALUE"""),"DHBA")</f>
        <v>DHBA</v>
      </c>
      <c r="AD763" s="42"/>
      <c r="AE763" s="42"/>
      <c r="AF763" s="9"/>
      <c r="AG763" s="9"/>
      <c r="AH763" s="42"/>
      <c r="AI763" s="42"/>
      <c r="AJ763" s="42"/>
      <c r="AK763" s="42"/>
      <c r="AL763" s="42"/>
      <c r="AM763" s="42"/>
      <c r="AN763" s="42"/>
      <c r="AO763" s="63" t="str">
        <f>IFERROR(__xludf.DUMMYFUNCTION("IF(ISBLANK(A763),,IF(ISBLANK(S763), A763&amp;"";"", TEXTJOIN(CHAR(10), TRUE, A763&amp;"";"", ARRAYFORMULA(VLOOKUP(SPLIT(S763, "";"" &amp; CHAR(10)), $A:$AO, 41, FALSE)))))"),"A9;
A9l;
A9l1;
A9l2;
A9l3;
A9l4;
A9l5;
A9l6;
A9m;
A9m1;
A9m2;
A9m3;
A9m4;
A9m5;
A9m6;")</f>
        <v>A9;
A9l;
A9l1;
A9l2;
A9l3;
A9l4;
A9l5;
A9l6;
A9m;
A9m1;
A9m2;
A9m3;
A9m4;
A9m5;
A9m6;</v>
      </c>
      <c r="AP763" s="89"/>
    </row>
    <row r="764">
      <c r="A764" s="151" t="str">
        <f>IFERROR(__xludf.DUMMYFUNCTION("""COMPUTED_VALUE"""),"A9l")</f>
        <v>A9l</v>
      </c>
      <c r="B764" s="42" t="str">
        <f>IFERROR(__xludf.DUMMYFUNCTION("""COMPUTED_VALUE"""),"DHBA")</f>
        <v>DHBA</v>
      </c>
      <c r="C764" s="42" t="str">
        <f>IFERROR(__xludf.DUMMYFUNCTION("""COMPUTED_VALUE"""),"lateral subdivision of area 9")</f>
        <v>lateral subdivision of area 9</v>
      </c>
      <c r="D764" s="42">
        <f>IFERROR(__xludf.DUMMYFUNCTION("""COMPUTED_VALUE"""),708.0)</f>
        <v>708</v>
      </c>
      <c r="E764" s="39"/>
      <c r="F764" s="9" t="str">
        <f>IFERROR(__xludf.DUMMYFUNCTION("""COMPUTED_VALUE"""),"Br")</f>
        <v>Br</v>
      </c>
      <c r="G764" s="9" t="str">
        <f>IFERROR(__xludf.DUMMYFUNCTION("""COMPUTED_VALUE"""),"F")</f>
        <v>F</v>
      </c>
      <c r="H764" s="9" t="str">
        <f>IFERROR(__xludf.DUMMYFUNCTION("""COMPUTED_VALUE"""),"FGM")</f>
        <v>FGM</v>
      </c>
      <c r="I764" s="9" t="str">
        <f>IFERROR(__xludf.DUMMYFUNCTION("""COMPUTED_VALUE"""),"Tel")</f>
        <v>Tel</v>
      </c>
      <c r="J764" s="9" t="str">
        <f>IFERROR(__xludf.DUMMYFUNCTION("""COMPUTED_VALUE"""),"Cx")</f>
        <v>Cx</v>
      </c>
      <c r="K764" s="9" t="str">
        <f>IFERROR(__xludf.DUMMYFUNCTION("""COMPUTED_VALUE"""),"NCx")</f>
        <v>NCx</v>
      </c>
      <c r="L764" s="9" t="str">
        <f>IFERROR(__xludf.DUMMYFUNCTION("""COMPUTED_VALUE"""),"FCx")</f>
        <v>FCx</v>
      </c>
      <c r="M764" s="9" t="str">
        <f>IFERROR(__xludf.DUMMYFUNCTION("""COMPUTED_VALUE"""),"PFC")</f>
        <v>PFC</v>
      </c>
      <c r="N764" s="9" t="str">
        <f>IFERROR(__xludf.DUMMYFUNCTION("""COMPUTED_VALUE"""),"DFC")</f>
        <v>DFC</v>
      </c>
      <c r="O764" s="9" t="str">
        <f>IFERROR(__xludf.DUMMYFUNCTION("""COMPUTED_VALUE"""),"A9")</f>
        <v>A9</v>
      </c>
      <c r="P764" s="9" t="str">
        <f>IFERROR(__xludf.DUMMYFUNCTION("""COMPUTED_VALUE"""),"A9l")</f>
        <v>A9l</v>
      </c>
      <c r="Q764" s="9"/>
      <c r="R764" s="9"/>
      <c r="S764" s="42" t="str">
        <f>IFERROR(__xludf.DUMMYFUNCTION("""COMPUTED_VALUE"""),"A9l1;
A9l2;
A9l3;
A9l4;
A9l5;
A9l6")</f>
        <v>A9l1;
A9l2;
A9l3;
A9l4;
A9l5;
A9l6</v>
      </c>
      <c r="T764" s="42" t="str">
        <f>IFERROR(__xludf.DUMMYFUNCTION("""COMPUTED_VALUE"""),"NCx")</f>
        <v>NCx</v>
      </c>
      <c r="U764" s="42" t="b">
        <f>IFERROR(__xludf.DUMMYFUNCTION("""COMPUTED_VALUE"""),FALSE)</f>
        <v>0</v>
      </c>
      <c r="V764" s="42"/>
      <c r="W764" s="42"/>
      <c r="X764" s="42"/>
      <c r="Y764" s="42"/>
      <c r="Z764" s="42"/>
      <c r="AA764" s="42"/>
      <c r="AB764" s="42" t="str">
        <f>IFERROR(__xludf.DUMMYFUNCTION("""COMPUTED_VALUE"""),"allen institute")</f>
        <v>allen institute</v>
      </c>
      <c r="AC764" s="42" t="str">
        <f>IFERROR(__xludf.DUMMYFUNCTION("""COMPUTED_VALUE"""),"DHBA")</f>
        <v>DHBA</v>
      </c>
      <c r="AD764" s="42"/>
      <c r="AE764" s="42"/>
      <c r="AF764" s="9"/>
      <c r="AG764" s="9"/>
      <c r="AH764" s="42"/>
      <c r="AI764" s="42"/>
      <c r="AJ764" s="42"/>
      <c r="AK764" s="42"/>
      <c r="AL764" s="42"/>
      <c r="AM764" s="42"/>
      <c r="AN764" s="42"/>
      <c r="AO764" s="63" t="str">
        <f>IFERROR(__xludf.DUMMYFUNCTION("IF(ISBLANK(A764),,IF(ISBLANK(S764), A764&amp;"";"", TEXTJOIN(CHAR(10), TRUE, A764&amp;"";"", ARRAYFORMULA(VLOOKUP(SPLIT(S764, "";"" &amp; CHAR(10)), $A:$AO, 41, FALSE)))))"),"A9l;
A9l1;
A9l2;
A9l3;
A9l4;
A9l5;
A9l6;")</f>
        <v>A9l;
A9l1;
A9l2;
A9l3;
A9l4;
A9l5;
A9l6;</v>
      </c>
      <c r="AP764" s="89"/>
    </row>
    <row r="765">
      <c r="A765" s="151" t="str">
        <f>IFERROR(__xludf.DUMMYFUNCTION("""COMPUTED_VALUE"""),"A9l1")</f>
        <v>A9l1</v>
      </c>
      <c r="B765" s="42" t="str">
        <f>IFERROR(__xludf.DUMMYFUNCTION("""COMPUTED_VALUE"""),"DHBA")</f>
        <v>DHBA</v>
      </c>
      <c r="C765" s="42" t="str">
        <f>IFERROR(__xludf.DUMMYFUNCTION("""COMPUTED_VALUE"""),"layer I of area 9l")</f>
        <v>layer I of area 9l</v>
      </c>
      <c r="D765" s="42">
        <f>IFERROR(__xludf.DUMMYFUNCTION("""COMPUTED_VALUE"""),709.0)</f>
        <v>709</v>
      </c>
      <c r="E765" s="39" t="str">
        <f>IFERROR(__xludf.DUMMYFUNCTION("""COMPUTED_VALUE"""),"layer I of area 9l")</f>
        <v>layer I of area 9l</v>
      </c>
      <c r="F765" s="9" t="str">
        <f>IFERROR(__xludf.DUMMYFUNCTION("""COMPUTED_VALUE"""),"Br")</f>
        <v>Br</v>
      </c>
      <c r="G765" s="9" t="str">
        <f>IFERROR(__xludf.DUMMYFUNCTION("""COMPUTED_VALUE"""),"F")</f>
        <v>F</v>
      </c>
      <c r="H765" s="9" t="str">
        <f>IFERROR(__xludf.DUMMYFUNCTION("""COMPUTED_VALUE"""),"FGM")</f>
        <v>FGM</v>
      </c>
      <c r="I765" s="9" t="str">
        <f>IFERROR(__xludf.DUMMYFUNCTION("""COMPUTED_VALUE"""),"Tel")</f>
        <v>Tel</v>
      </c>
      <c r="J765" s="9" t="str">
        <f>IFERROR(__xludf.DUMMYFUNCTION("""COMPUTED_VALUE"""),"Cx")</f>
        <v>Cx</v>
      </c>
      <c r="K765" s="9" t="str">
        <f>IFERROR(__xludf.DUMMYFUNCTION("""COMPUTED_VALUE"""),"NCx")</f>
        <v>NCx</v>
      </c>
      <c r="L765" s="9" t="str">
        <f>IFERROR(__xludf.DUMMYFUNCTION("""COMPUTED_VALUE"""),"FCx")</f>
        <v>FCx</v>
      </c>
      <c r="M765" s="9" t="str">
        <f>IFERROR(__xludf.DUMMYFUNCTION("""COMPUTED_VALUE"""),"PFC")</f>
        <v>PFC</v>
      </c>
      <c r="N765" s="9" t="str">
        <f>IFERROR(__xludf.DUMMYFUNCTION("""COMPUTED_VALUE"""),"DFC")</f>
        <v>DFC</v>
      </c>
      <c r="O765" s="9" t="str">
        <f>IFERROR(__xludf.DUMMYFUNCTION("""COMPUTED_VALUE"""),"A9")</f>
        <v>A9</v>
      </c>
      <c r="P765" s="9" t="str">
        <f>IFERROR(__xludf.DUMMYFUNCTION("""COMPUTED_VALUE"""),"A9l")</f>
        <v>A9l</v>
      </c>
      <c r="Q765" s="9" t="str">
        <f>IFERROR(__xludf.DUMMYFUNCTION("""COMPUTED_VALUE"""),"A9l1")</f>
        <v>A9l1</v>
      </c>
      <c r="R765" s="9"/>
      <c r="S765" s="42"/>
      <c r="T765" s="42"/>
      <c r="U765" s="42"/>
      <c r="V765" s="42"/>
      <c r="W765" s="42"/>
      <c r="X765" s="42"/>
      <c r="Y765" s="42"/>
      <c r="Z765" s="42"/>
      <c r="AA765" s="42"/>
      <c r="AB765" s="42" t="str">
        <f>IFERROR(__xludf.DUMMYFUNCTION("""COMPUTED_VALUE"""),"allen institute")</f>
        <v>allen institute</v>
      </c>
      <c r="AC765" s="42" t="str">
        <f>IFERROR(__xludf.DUMMYFUNCTION("""COMPUTED_VALUE"""),"DHBA")</f>
        <v>DHBA</v>
      </c>
      <c r="AD765" s="42"/>
      <c r="AE765" s="42"/>
      <c r="AF765" s="9"/>
      <c r="AG765" s="9"/>
      <c r="AH765" s="42"/>
      <c r="AI765" s="42"/>
      <c r="AJ765" s="42"/>
      <c r="AK765" s="42"/>
      <c r="AL765" s="42"/>
      <c r="AM765" s="42"/>
      <c r="AN765" s="42"/>
      <c r="AO765" s="63" t="str">
        <f>IFERROR(__xludf.DUMMYFUNCTION("IF(ISBLANK(A765),,IF(ISBLANK(S765), A765&amp;"";"", TEXTJOIN(CHAR(10), TRUE, A765&amp;"";"", ARRAYFORMULA(VLOOKUP(SPLIT(S765, "";"" &amp; CHAR(10)), $A:$AO, 41, FALSE)))))"),"A9l1;")</f>
        <v>A9l1;</v>
      </c>
      <c r="AP765" s="89"/>
    </row>
    <row r="766">
      <c r="A766" s="151" t="str">
        <f>IFERROR(__xludf.DUMMYFUNCTION("""COMPUTED_VALUE"""),"A9l2")</f>
        <v>A9l2</v>
      </c>
      <c r="B766" s="42" t="str">
        <f>IFERROR(__xludf.DUMMYFUNCTION("""COMPUTED_VALUE"""),"DHBA")</f>
        <v>DHBA</v>
      </c>
      <c r="C766" s="42" t="str">
        <f>IFERROR(__xludf.DUMMYFUNCTION("""COMPUTED_VALUE"""),"layer II of area 9l")</f>
        <v>layer II of area 9l</v>
      </c>
      <c r="D766" s="42">
        <f>IFERROR(__xludf.DUMMYFUNCTION("""COMPUTED_VALUE"""),710.0)</f>
        <v>710</v>
      </c>
      <c r="E766" s="39" t="str">
        <f>IFERROR(__xludf.DUMMYFUNCTION("""COMPUTED_VALUE"""),"layer II of area 9l")</f>
        <v>layer II of area 9l</v>
      </c>
      <c r="F766" s="9" t="str">
        <f>IFERROR(__xludf.DUMMYFUNCTION("""COMPUTED_VALUE"""),"Br")</f>
        <v>Br</v>
      </c>
      <c r="G766" s="9" t="str">
        <f>IFERROR(__xludf.DUMMYFUNCTION("""COMPUTED_VALUE"""),"F")</f>
        <v>F</v>
      </c>
      <c r="H766" s="9" t="str">
        <f>IFERROR(__xludf.DUMMYFUNCTION("""COMPUTED_VALUE"""),"FGM")</f>
        <v>FGM</v>
      </c>
      <c r="I766" s="9" t="str">
        <f>IFERROR(__xludf.DUMMYFUNCTION("""COMPUTED_VALUE"""),"Tel")</f>
        <v>Tel</v>
      </c>
      <c r="J766" s="9" t="str">
        <f>IFERROR(__xludf.DUMMYFUNCTION("""COMPUTED_VALUE"""),"Cx")</f>
        <v>Cx</v>
      </c>
      <c r="K766" s="9" t="str">
        <f>IFERROR(__xludf.DUMMYFUNCTION("""COMPUTED_VALUE"""),"NCx")</f>
        <v>NCx</v>
      </c>
      <c r="L766" s="9" t="str">
        <f>IFERROR(__xludf.DUMMYFUNCTION("""COMPUTED_VALUE"""),"FCx")</f>
        <v>FCx</v>
      </c>
      <c r="M766" s="9" t="str">
        <f>IFERROR(__xludf.DUMMYFUNCTION("""COMPUTED_VALUE"""),"PFC")</f>
        <v>PFC</v>
      </c>
      <c r="N766" s="9" t="str">
        <f>IFERROR(__xludf.DUMMYFUNCTION("""COMPUTED_VALUE"""),"DFC")</f>
        <v>DFC</v>
      </c>
      <c r="O766" s="9" t="str">
        <f>IFERROR(__xludf.DUMMYFUNCTION("""COMPUTED_VALUE"""),"A9")</f>
        <v>A9</v>
      </c>
      <c r="P766" s="9" t="str">
        <f>IFERROR(__xludf.DUMMYFUNCTION("""COMPUTED_VALUE"""),"A9l")</f>
        <v>A9l</v>
      </c>
      <c r="Q766" s="9" t="str">
        <f>IFERROR(__xludf.DUMMYFUNCTION("""COMPUTED_VALUE"""),"A9l2")</f>
        <v>A9l2</v>
      </c>
      <c r="R766" s="9"/>
      <c r="S766" s="42"/>
      <c r="T766" s="42"/>
      <c r="U766" s="42"/>
      <c r="V766" s="42"/>
      <c r="W766" s="42"/>
      <c r="X766" s="42"/>
      <c r="Y766" s="42"/>
      <c r="Z766" s="42"/>
      <c r="AA766" s="42"/>
      <c r="AB766" s="42" t="str">
        <f>IFERROR(__xludf.DUMMYFUNCTION("""COMPUTED_VALUE"""),"allen institute")</f>
        <v>allen institute</v>
      </c>
      <c r="AC766" s="42" t="str">
        <f>IFERROR(__xludf.DUMMYFUNCTION("""COMPUTED_VALUE"""),"DHBA")</f>
        <v>DHBA</v>
      </c>
      <c r="AD766" s="42"/>
      <c r="AE766" s="42"/>
      <c r="AF766" s="9"/>
      <c r="AG766" s="9"/>
      <c r="AH766" s="42"/>
      <c r="AI766" s="42"/>
      <c r="AJ766" s="42"/>
      <c r="AK766" s="42"/>
      <c r="AL766" s="42"/>
      <c r="AM766" s="42"/>
      <c r="AN766" s="42"/>
      <c r="AO766" s="63" t="str">
        <f>IFERROR(__xludf.DUMMYFUNCTION("IF(ISBLANK(A766),,IF(ISBLANK(S766), A766&amp;"";"", TEXTJOIN(CHAR(10), TRUE, A766&amp;"";"", ARRAYFORMULA(VLOOKUP(SPLIT(S766, "";"" &amp; CHAR(10)), $A:$AO, 41, FALSE)))))"),"A9l2;")</f>
        <v>A9l2;</v>
      </c>
      <c r="AP766" s="89"/>
    </row>
    <row r="767">
      <c r="A767" s="151" t="str">
        <f>IFERROR(__xludf.DUMMYFUNCTION("""COMPUTED_VALUE"""),"A9l3")</f>
        <v>A9l3</v>
      </c>
      <c r="B767" s="42" t="str">
        <f>IFERROR(__xludf.DUMMYFUNCTION("""COMPUTED_VALUE"""),"DHBA")</f>
        <v>DHBA</v>
      </c>
      <c r="C767" s="42" t="str">
        <f>IFERROR(__xludf.DUMMYFUNCTION("""COMPUTED_VALUE"""),"layer III of area 9l")</f>
        <v>layer III of area 9l</v>
      </c>
      <c r="D767" s="42">
        <f>IFERROR(__xludf.DUMMYFUNCTION("""COMPUTED_VALUE"""),711.0)</f>
        <v>711</v>
      </c>
      <c r="E767" s="39" t="str">
        <f>IFERROR(__xludf.DUMMYFUNCTION("""COMPUTED_VALUE"""),"layer III of area 9l")</f>
        <v>layer III of area 9l</v>
      </c>
      <c r="F767" s="9" t="str">
        <f>IFERROR(__xludf.DUMMYFUNCTION("""COMPUTED_VALUE"""),"Br")</f>
        <v>Br</v>
      </c>
      <c r="G767" s="9" t="str">
        <f>IFERROR(__xludf.DUMMYFUNCTION("""COMPUTED_VALUE"""),"F")</f>
        <v>F</v>
      </c>
      <c r="H767" s="9" t="str">
        <f>IFERROR(__xludf.DUMMYFUNCTION("""COMPUTED_VALUE"""),"FGM")</f>
        <v>FGM</v>
      </c>
      <c r="I767" s="9" t="str">
        <f>IFERROR(__xludf.DUMMYFUNCTION("""COMPUTED_VALUE"""),"Tel")</f>
        <v>Tel</v>
      </c>
      <c r="J767" s="9" t="str">
        <f>IFERROR(__xludf.DUMMYFUNCTION("""COMPUTED_VALUE"""),"Cx")</f>
        <v>Cx</v>
      </c>
      <c r="K767" s="9" t="str">
        <f>IFERROR(__xludf.DUMMYFUNCTION("""COMPUTED_VALUE"""),"NCx")</f>
        <v>NCx</v>
      </c>
      <c r="L767" s="9" t="str">
        <f>IFERROR(__xludf.DUMMYFUNCTION("""COMPUTED_VALUE"""),"FCx")</f>
        <v>FCx</v>
      </c>
      <c r="M767" s="9" t="str">
        <f>IFERROR(__xludf.DUMMYFUNCTION("""COMPUTED_VALUE"""),"PFC")</f>
        <v>PFC</v>
      </c>
      <c r="N767" s="9" t="str">
        <f>IFERROR(__xludf.DUMMYFUNCTION("""COMPUTED_VALUE"""),"DFC")</f>
        <v>DFC</v>
      </c>
      <c r="O767" s="9" t="str">
        <f>IFERROR(__xludf.DUMMYFUNCTION("""COMPUTED_VALUE"""),"A9")</f>
        <v>A9</v>
      </c>
      <c r="P767" s="9" t="str">
        <f>IFERROR(__xludf.DUMMYFUNCTION("""COMPUTED_VALUE"""),"A9l")</f>
        <v>A9l</v>
      </c>
      <c r="Q767" s="9" t="str">
        <f>IFERROR(__xludf.DUMMYFUNCTION("""COMPUTED_VALUE"""),"A9l3")</f>
        <v>A9l3</v>
      </c>
      <c r="R767" s="9"/>
      <c r="S767" s="42"/>
      <c r="T767" s="42"/>
      <c r="U767" s="42"/>
      <c r="V767" s="42"/>
      <c r="W767" s="42"/>
      <c r="X767" s="42"/>
      <c r="Y767" s="42"/>
      <c r="Z767" s="42"/>
      <c r="AA767" s="42"/>
      <c r="AB767" s="42" t="str">
        <f>IFERROR(__xludf.DUMMYFUNCTION("""COMPUTED_VALUE"""),"allen institute")</f>
        <v>allen institute</v>
      </c>
      <c r="AC767" s="42" t="str">
        <f>IFERROR(__xludf.DUMMYFUNCTION("""COMPUTED_VALUE"""),"DHBA")</f>
        <v>DHBA</v>
      </c>
      <c r="AD767" s="42"/>
      <c r="AE767" s="42"/>
      <c r="AF767" s="9"/>
      <c r="AG767" s="9"/>
      <c r="AH767" s="42"/>
      <c r="AI767" s="42"/>
      <c r="AJ767" s="42"/>
      <c r="AK767" s="42"/>
      <c r="AL767" s="42"/>
      <c r="AM767" s="42"/>
      <c r="AN767" s="42"/>
      <c r="AO767" s="63" t="str">
        <f>IFERROR(__xludf.DUMMYFUNCTION("IF(ISBLANK(A767),,IF(ISBLANK(S767), A767&amp;"";"", TEXTJOIN(CHAR(10), TRUE, A767&amp;"";"", ARRAYFORMULA(VLOOKUP(SPLIT(S767, "";"" &amp; CHAR(10)), $A:$AO, 41, FALSE)))))"),"A9l3;")</f>
        <v>A9l3;</v>
      </c>
      <c r="AP767" s="89"/>
    </row>
    <row r="768">
      <c r="A768" s="151" t="str">
        <f>IFERROR(__xludf.DUMMYFUNCTION("""COMPUTED_VALUE"""),"A9l4")</f>
        <v>A9l4</v>
      </c>
      <c r="B768" s="42" t="str">
        <f>IFERROR(__xludf.DUMMYFUNCTION("""COMPUTED_VALUE"""),"DHBA")</f>
        <v>DHBA</v>
      </c>
      <c r="C768" s="42" t="str">
        <f>IFERROR(__xludf.DUMMYFUNCTION("""COMPUTED_VALUE"""),"layer IV of area 9l")</f>
        <v>layer IV of area 9l</v>
      </c>
      <c r="D768" s="42">
        <f>IFERROR(__xludf.DUMMYFUNCTION("""COMPUTED_VALUE"""),712.0)</f>
        <v>712</v>
      </c>
      <c r="E768" s="39" t="str">
        <f>IFERROR(__xludf.DUMMYFUNCTION("""COMPUTED_VALUE"""),"layer IV of area 9l")</f>
        <v>layer IV of area 9l</v>
      </c>
      <c r="F768" s="9" t="str">
        <f>IFERROR(__xludf.DUMMYFUNCTION("""COMPUTED_VALUE"""),"Br")</f>
        <v>Br</v>
      </c>
      <c r="G768" s="9" t="str">
        <f>IFERROR(__xludf.DUMMYFUNCTION("""COMPUTED_VALUE"""),"F")</f>
        <v>F</v>
      </c>
      <c r="H768" s="9" t="str">
        <f>IFERROR(__xludf.DUMMYFUNCTION("""COMPUTED_VALUE"""),"FGM")</f>
        <v>FGM</v>
      </c>
      <c r="I768" s="9" t="str">
        <f>IFERROR(__xludf.DUMMYFUNCTION("""COMPUTED_VALUE"""),"Tel")</f>
        <v>Tel</v>
      </c>
      <c r="J768" s="9" t="str">
        <f>IFERROR(__xludf.DUMMYFUNCTION("""COMPUTED_VALUE"""),"Cx")</f>
        <v>Cx</v>
      </c>
      <c r="K768" s="9" t="str">
        <f>IFERROR(__xludf.DUMMYFUNCTION("""COMPUTED_VALUE"""),"NCx")</f>
        <v>NCx</v>
      </c>
      <c r="L768" s="9" t="str">
        <f>IFERROR(__xludf.DUMMYFUNCTION("""COMPUTED_VALUE"""),"FCx")</f>
        <v>FCx</v>
      </c>
      <c r="M768" s="9" t="str">
        <f>IFERROR(__xludf.DUMMYFUNCTION("""COMPUTED_VALUE"""),"PFC")</f>
        <v>PFC</v>
      </c>
      <c r="N768" s="9" t="str">
        <f>IFERROR(__xludf.DUMMYFUNCTION("""COMPUTED_VALUE"""),"DFC")</f>
        <v>DFC</v>
      </c>
      <c r="O768" s="9" t="str">
        <f>IFERROR(__xludf.DUMMYFUNCTION("""COMPUTED_VALUE"""),"A9")</f>
        <v>A9</v>
      </c>
      <c r="P768" s="9" t="str">
        <f>IFERROR(__xludf.DUMMYFUNCTION("""COMPUTED_VALUE"""),"A9l")</f>
        <v>A9l</v>
      </c>
      <c r="Q768" s="9" t="str">
        <f>IFERROR(__xludf.DUMMYFUNCTION("""COMPUTED_VALUE"""),"A9l4")</f>
        <v>A9l4</v>
      </c>
      <c r="R768" s="9"/>
      <c r="S768" s="42"/>
      <c r="T768" s="42"/>
      <c r="U768" s="42"/>
      <c r="V768" s="42"/>
      <c r="W768" s="42"/>
      <c r="X768" s="42"/>
      <c r="Y768" s="42"/>
      <c r="Z768" s="42"/>
      <c r="AA768" s="42"/>
      <c r="AB768" s="42" t="str">
        <f>IFERROR(__xludf.DUMMYFUNCTION("""COMPUTED_VALUE"""),"allen institute")</f>
        <v>allen institute</v>
      </c>
      <c r="AC768" s="42" t="str">
        <f>IFERROR(__xludf.DUMMYFUNCTION("""COMPUTED_VALUE"""),"DHBA")</f>
        <v>DHBA</v>
      </c>
      <c r="AD768" s="42"/>
      <c r="AE768" s="42"/>
      <c r="AF768" s="9"/>
      <c r="AG768" s="9"/>
      <c r="AH768" s="42"/>
      <c r="AI768" s="42"/>
      <c r="AJ768" s="42"/>
      <c r="AK768" s="42"/>
      <c r="AL768" s="42"/>
      <c r="AM768" s="42"/>
      <c r="AN768" s="42"/>
      <c r="AO768" s="63" t="str">
        <f>IFERROR(__xludf.DUMMYFUNCTION("IF(ISBLANK(A768),,IF(ISBLANK(S768), A768&amp;"";"", TEXTJOIN(CHAR(10), TRUE, A768&amp;"";"", ARRAYFORMULA(VLOOKUP(SPLIT(S768, "";"" &amp; CHAR(10)), $A:$AO, 41, FALSE)))))"),"A9l4;")</f>
        <v>A9l4;</v>
      </c>
      <c r="AP768" s="89"/>
    </row>
    <row r="769">
      <c r="A769" s="151" t="str">
        <f>IFERROR(__xludf.DUMMYFUNCTION("""COMPUTED_VALUE"""),"A9l5")</f>
        <v>A9l5</v>
      </c>
      <c r="B769" s="42" t="str">
        <f>IFERROR(__xludf.DUMMYFUNCTION("""COMPUTED_VALUE"""),"DHBA")</f>
        <v>DHBA</v>
      </c>
      <c r="C769" s="42" t="str">
        <f>IFERROR(__xludf.DUMMYFUNCTION("""COMPUTED_VALUE"""),"layer V of area 9l")</f>
        <v>layer V of area 9l</v>
      </c>
      <c r="D769" s="42">
        <f>IFERROR(__xludf.DUMMYFUNCTION("""COMPUTED_VALUE"""),713.0)</f>
        <v>713</v>
      </c>
      <c r="E769" s="39" t="str">
        <f>IFERROR(__xludf.DUMMYFUNCTION("""COMPUTED_VALUE"""),"layer V of area 9l")</f>
        <v>layer V of area 9l</v>
      </c>
      <c r="F769" s="9" t="str">
        <f>IFERROR(__xludf.DUMMYFUNCTION("""COMPUTED_VALUE"""),"Br")</f>
        <v>Br</v>
      </c>
      <c r="G769" s="9" t="str">
        <f>IFERROR(__xludf.DUMMYFUNCTION("""COMPUTED_VALUE"""),"F")</f>
        <v>F</v>
      </c>
      <c r="H769" s="9" t="str">
        <f>IFERROR(__xludf.DUMMYFUNCTION("""COMPUTED_VALUE"""),"FGM")</f>
        <v>FGM</v>
      </c>
      <c r="I769" s="9" t="str">
        <f>IFERROR(__xludf.DUMMYFUNCTION("""COMPUTED_VALUE"""),"Tel")</f>
        <v>Tel</v>
      </c>
      <c r="J769" s="9" t="str">
        <f>IFERROR(__xludf.DUMMYFUNCTION("""COMPUTED_VALUE"""),"Cx")</f>
        <v>Cx</v>
      </c>
      <c r="K769" s="9" t="str">
        <f>IFERROR(__xludf.DUMMYFUNCTION("""COMPUTED_VALUE"""),"NCx")</f>
        <v>NCx</v>
      </c>
      <c r="L769" s="9" t="str">
        <f>IFERROR(__xludf.DUMMYFUNCTION("""COMPUTED_VALUE"""),"FCx")</f>
        <v>FCx</v>
      </c>
      <c r="M769" s="9" t="str">
        <f>IFERROR(__xludf.DUMMYFUNCTION("""COMPUTED_VALUE"""),"PFC")</f>
        <v>PFC</v>
      </c>
      <c r="N769" s="9" t="str">
        <f>IFERROR(__xludf.DUMMYFUNCTION("""COMPUTED_VALUE"""),"DFC")</f>
        <v>DFC</v>
      </c>
      <c r="O769" s="9" t="str">
        <f>IFERROR(__xludf.DUMMYFUNCTION("""COMPUTED_VALUE"""),"A9")</f>
        <v>A9</v>
      </c>
      <c r="P769" s="9" t="str">
        <f>IFERROR(__xludf.DUMMYFUNCTION("""COMPUTED_VALUE"""),"A9l")</f>
        <v>A9l</v>
      </c>
      <c r="Q769" s="9" t="str">
        <f>IFERROR(__xludf.DUMMYFUNCTION("""COMPUTED_VALUE"""),"A9l5")</f>
        <v>A9l5</v>
      </c>
      <c r="R769" s="9"/>
      <c r="S769" s="42"/>
      <c r="T769" s="42"/>
      <c r="U769" s="42"/>
      <c r="V769" s="42"/>
      <c r="W769" s="42"/>
      <c r="X769" s="42"/>
      <c r="Y769" s="42"/>
      <c r="Z769" s="42"/>
      <c r="AA769" s="42"/>
      <c r="AB769" s="42" t="str">
        <f>IFERROR(__xludf.DUMMYFUNCTION("""COMPUTED_VALUE"""),"allen institute")</f>
        <v>allen institute</v>
      </c>
      <c r="AC769" s="42" t="str">
        <f>IFERROR(__xludf.DUMMYFUNCTION("""COMPUTED_VALUE"""),"DHBA")</f>
        <v>DHBA</v>
      </c>
      <c r="AD769" s="42"/>
      <c r="AE769" s="42"/>
      <c r="AF769" s="9"/>
      <c r="AG769" s="9"/>
      <c r="AH769" s="42"/>
      <c r="AI769" s="42"/>
      <c r="AJ769" s="42"/>
      <c r="AK769" s="42"/>
      <c r="AL769" s="42"/>
      <c r="AM769" s="42"/>
      <c r="AN769" s="42"/>
      <c r="AO769" s="63" t="str">
        <f>IFERROR(__xludf.DUMMYFUNCTION("IF(ISBLANK(A769),,IF(ISBLANK(S769), A769&amp;"";"", TEXTJOIN(CHAR(10), TRUE, A769&amp;"";"", ARRAYFORMULA(VLOOKUP(SPLIT(S769, "";"" &amp; CHAR(10)), $A:$AO, 41, FALSE)))))"),"A9l5;")</f>
        <v>A9l5;</v>
      </c>
      <c r="AP769" s="89"/>
    </row>
    <row r="770">
      <c r="A770" s="151" t="str">
        <f>IFERROR(__xludf.DUMMYFUNCTION("""COMPUTED_VALUE"""),"A9l6")</f>
        <v>A9l6</v>
      </c>
      <c r="B770" s="42" t="str">
        <f>IFERROR(__xludf.DUMMYFUNCTION("""COMPUTED_VALUE"""),"DHBA")</f>
        <v>DHBA</v>
      </c>
      <c r="C770" s="42" t="str">
        <f>IFERROR(__xludf.DUMMYFUNCTION("""COMPUTED_VALUE"""),"layer VI of area 9l")</f>
        <v>layer VI of area 9l</v>
      </c>
      <c r="D770" s="42">
        <f>IFERROR(__xludf.DUMMYFUNCTION("""COMPUTED_VALUE"""),714.0)</f>
        <v>714</v>
      </c>
      <c r="E770" s="39" t="str">
        <f>IFERROR(__xludf.DUMMYFUNCTION("""COMPUTED_VALUE"""),"layer VI of area 9l")</f>
        <v>layer VI of area 9l</v>
      </c>
      <c r="F770" s="9" t="str">
        <f>IFERROR(__xludf.DUMMYFUNCTION("""COMPUTED_VALUE"""),"Br")</f>
        <v>Br</v>
      </c>
      <c r="G770" s="9" t="str">
        <f>IFERROR(__xludf.DUMMYFUNCTION("""COMPUTED_VALUE"""),"F")</f>
        <v>F</v>
      </c>
      <c r="H770" s="9" t="str">
        <f>IFERROR(__xludf.DUMMYFUNCTION("""COMPUTED_VALUE"""),"FGM")</f>
        <v>FGM</v>
      </c>
      <c r="I770" s="9" t="str">
        <f>IFERROR(__xludf.DUMMYFUNCTION("""COMPUTED_VALUE"""),"Tel")</f>
        <v>Tel</v>
      </c>
      <c r="J770" s="9" t="str">
        <f>IFERROR(__xludf.DUMMYFUNCTION("""COMPUTED_VALUE"""),"Cx")</f>
        <v>Cx</v>
      </c>
      <c r="K770" s="9" t="str">
        <f>IFERROR(__xludf.DUMMYFUNCTION("""COMPUTED_VALUE"""),"NCx")</f>
        <v>NCx</v>
      </c>
      <c r="L770" s="9" t="str">
        <f>IFERROR(__xludf.DUMMYFUNCTION("""COMPUTED_VALUE"""),"FCx")</f>
        <v>FCx</v>
      </c>
      <c r="M770" s="9" t="str">
        <f>IFERROR(__xludf.DUMMYFUNCTION("""COMPUTED_VALUE"""),"PFC")</f>
        <v>PFC</v>
      </c>
      <c r="N770" s="9" t="str">
        <f>IFERROR(__xludf.DUMMYFUNCTION("""COMPUTED_VALUE"""),"DFC")</f>
        <v>DFC</v>
      </c>
      <c r="O770" s="9" t="str">
        <f>IFERROR(__xludf.DUMMYFUNCTION("""COMPUTED_VALUE"""),"A9")</f>
        <v>A9</v>
      </c>
      <c r="P770" s="9" t="str">
        <f>IFERROR(__xludf.DUMMYFUNCTION("""COMPUTED_VALUE"""),"A9l")</f>
        <v>A9l</v>
      </c>
      <c r="Q770" s="9" t="str">
        <f>IFERROR(__xludf.DUMMYFUNCTION("""COMPUTED_VALUE"""),"A9l6")</f>
        <v>A9l6</v>
      </c>
      <c r="R770" s="9"/>
      <c r="S770" s="42"/>
      <c r="T770" s="42"/>
      <c r="U770" s="42"/>
      <c r="V770" s="42"/>
      <c r="W770" s="42"/>
      <c r="X770" s="42"/>
      <c r="Y770" s="42"/>
      <c r="Z770" s="42"/>
      <c r="AA770" s="42"/>
      <c r="AB770" s="42" t="str">
        <f>IFERROR(__xludf.DUMMYFUNCTION("""COMPUTED_VALUE"""),"allen institute")</f>
        <v>allen institute</v>
      </c>
      <c r="AC770" s="42" t="str">
        <f>IFERROR(__xludf.DUMMYFUNCTION("""COMPUTED_VALUE"""),"DHBA")</f>
        <v>DHBA</v>
      </c>
      <c r="AD770" s="42"/>
      <c r="AE770" s="42"/>
      <c r="AF770" s="9"/>
      <c r="AG770" s="9"/>
      <c r="AH770" s="42"/>
      <c r="AI770" s="42"/>
      <c r="AJ770" s="42"/>
      <c r="AK770" s="42"/>
      <c r="AL770" s="42"/>
      <c r="AM770" s="42"/>
      <c r="AN770" s="42"/>
      <c r="AO770" s="63" t="str">
        <f>IFERROR(__xludf.DUMMYFUNCTION("IF(ISBLANK(A770),,IF(ISBLANK(S770), A770&amp;"";"", TEXTJOIN(CHAR(10), TRUE, A770&amp;"";"", ARRAYFORMULA(VLOOKUP(SPLIT(S770, "";"" &amp; CHAR(10)), $A:$AO, 41, FALSE)))))"),"A9l6;")</f>
        <v>A9l6;</v>
      </c>
      <c r="AP770" s="89"/>
    </row>
    <row r="771">
      <c r="A771" s="151" t="str">
        <f>IFERROR(__xludf.DUMMYFUNCTION("""COMPUTED_VALUE"""),"A9m")</f>
        <v>A9m</v>
      </c>
      <c r="B771" s="42" t="str">
        <f>IFERROR(__xludf.DUMMYFUNCTION("""COMPUTED_VALUE"""),"DHBA")</f>
        <v>DHBA</v>
      </c>
      <c r="C771" s="42" t="str">
        <f>IFERROR(__xludf.DUMMYFUNCTION("""COMPUTED_VALUE"""),"medial subdivision of area 9")</f>
        <v>medial subdivision of area 9</v>
      </c>
      <c r="D771" s="42">
        <f>IFERROR(__xludf.DUMMYFUNCTION("""COMPUTED_VALUE"""),715.0)</f>
        <v>715</v>
      </c>
      <c r="E771" s="39" t="str">
        <f>IFERROR(__xludf.DUMMYFUNCTION("""COMPUTED_VALUE"""),"medial subdivision of area 9")</f>
        <v>medial subdivision of area 9</v>
      </c>
      <c r="F771" s="9" t="str">
        <f>IFERROR(__xludf.DUMMYFUNCTION("""COMPUTED_VALUE"""),"Br")</f>
        <v>Br</v>
      </c>
      <c r="G771" s="9" t="str">
        <f>IFERROR(__xludf.DUMMYFUNCTION("""COMPUTED_VALUE"""),"F")</f>
        <v>F</v>
      </c>
      <c r="H771" s="9" t="str">
        <f>IFERROR(__xludf.DUMMYFUNCTION("""COMPUTED_VALUE"""),"FGM")</f>
        <v>FGM</v>
      </c>
      <c r="I771" s="9" t="str">
        <f>IFERROR(__xludf.DUMMYFUNCTION("""COMPUTED_VALUE"""),"Tel")</f>
        <v>Tel</v>
      </c>
      <c r="J771" s="9" t="str">
        <f>IFERROR(__xludf.DUMMYFUNCTION("""COMPUTED_VALUE"""),"Cx")</f>
        <v>Cx</v>
      </c>
      <c r="K771" s="9" t="str">
        <f>IFERROR(__xludf.DUMMYFUNCTION("""COMPUTED_VALUE"""),"NCx")</f>
        <v>NCx</v>
      </c>
      <c r="L771" s="9" t="str">
        <f>IFERROR(__xludf.DUMMYFUNCTION("""COMPUTED_VALUE"""),"FCx")</f>
        <v>FCx</v>
      </c>
      <c r="M771" s="9" t="str">
        <f>IFERROR(__xludf.DUMMYFUNCTION("""COMPUTED_VALUE"""),"PFC")</f>
        <v>PFC</v>
      </c>
      <c r="N771" s="9" t="str">
        <f>IFERROR(__xludf.DUMMYFUNCTION("""COMPUTED_VALUE"""),"DFC")</f>
        <v>DFC</v>
      </c>
      <c r="O771" s="9" t="str">
        <f>IFERROR(__xludf.DUMMYFUNCTION("""COMPUTED_VALUE"""),"A9")</f>
        <v>A9</v>
      </c>
      <c r="P771" s="9" t="str">
        <f>IFERROR(__xludf.DUMMYFUNCTION("""COMPUTED_VALUE"""),"A9m")</f>
        <v>A9m</v>
      </c>
      <c r="Q771" s="9"/>
      <c r="R771" s="9"/>
      <c r="S771" s="42" t="str">
        <f>IFERROR(__xludf.DUMMYFUNCTION("""COMPUTED_VALUE"""),"A9m1;
A9m2;
A9m3;
A9m4;
A9m5;
A9m6")</f>
        <v>A9m1;
A9m2;
A9m3;
A9m4;
A9m5;
A9m6</v>
      </c>
      <c r="T771" s="42" t="str">
        <f>IFERROR(__xludf.DUMMYFUNCTION("""COMPUTED_VALUE"""),"NCx")</f>
        <v>NCx</v>
      </c>
      <c r="U771" s="42" t="b">
        <f>IFERROR(__xludf.DUMMYFUNCTION("""COMPUTED_VALUE"""),FALSE)</f>
        <v>0</v>
      </c>
      <c r="V771" s="42"/>
      <c r="W771" s="42"/>
      <c r="X771" s="42"/>
      <c r="Y771" s="42"/>
      <c r="Z771" s="42"/>
      <c r="AA771" s="42"/>
      <c r="AB771" s="42" t="str">
        <f>IFERROR(__xludf.DUMMYFUNCTION("""COMPUTED_VALUE"""),"allen institute")</f>
        <v>allen institute</v>
      </c>
      <c r="AC771" s="42" t="str">
        <f>IFERROR(__xludf.DUMMYFUNCTION("""COMPUTED_VALUE"""),"DHBA")</f>
        <v>DHBA</v>
      </c>
      <c r="AD771" s="42"/>
      <c r="AE771" s="42"/>
      <c r="AF771" s="9"/>
      <c r="AG771" s="9"/>
      <c r="AH771" s="42"/>
      <c r="AI771" s="42"/>
      <c r="AJ771" s="42"/>
      <c r="AK771" s="42"/>
      <c r="AL771" s="42"/>
      <c r="AM771" s="42"/>
      <c r="AN771" s="42"/>
      <c r="AO771" s="63" t="str">
        <f>IFERROR(__xludf.DUMMYFUNCTION("IF(ISBLANK(A771),,IF(ISBLANK(S771), A771&amp;"";"", TEXTJOIN(CHAR(10), TRUE, A771&amp;"";"", ARRAYFORMULA(VLOOKUP(SPLIT(S771, "";"" &amp; CHAR(10)), $A:$AO, 41, FALSE)))))"),"A9m;
A9m1;
A9m2;
A9m3;
A9m4;
A9m5;
A9m6;")</f>
        <v>A9m;
A9m1;
A9m2;
A9m3;
A9m4;
A9m5;
A9m6;</v>
      </c>
      <c r="AP771" s="89"/>
    </row>
    <row r="772">
      <c r="A772" s="151" t="str">
        <f>IFERROR(__xludf.DUMMYFUNCTION("""COMPUTED_VALUE"""),"A9m1")</f>
        <v>A9m1</v>
      </c>
      <c r="B772" s="42" t="str">
        <f>IFERROR(__xludf.DUMMYFUNCTION("""COMPUTED_VALUE"""),"DHBA")</f>
        <v>DHBA</v>
      </c>
      <c r="C772" s="42" t="str">
        <f>IFERROR(__xludf.DUMMYFUNCTION("""COMPUTED_VALUE"""),"layer I of area 9m")</f>
        <v>layer I of area 9m</v>
      </c>
      <c r="D772" s="42">
        <f>IFERROR(__xludf.DUMMYFUNCTION("""COMPUTED_VALUE"""),716.0)</f>
        <v>716</v>
      </c>
      <c r="E772" s="39" t="str">
        <f>IFERROR(__xludf.DUMMYFUNCTION("""COMPUTED_VALUE"""),"layer I of area 9m")</f>
        <v>layer I of area 9m</v>
      </c>
      <c r="F772" s="9" t="str">
        <f>IFERROR(__xludf.DUMMYFUNCTION("""COMPUTED_VALUE"""),"Br")</f>
        <v>Br</v>
      </c>
      <c r="G772" s="9" t="str">
        <f>IFERROR(__xludf.DUMMYFUNCTION("""COMPUTED_VALUE"""),"F")</f>
        <v>F</v>
      </c>
      <c r="H772" s="9" t="str">
        <f>IFERROR(__xludf.DUMMYFUNCTION("""COMPUTED_VALUE"""),"FGM")</f>
        <v>FGM</v>
      </c>
      <c r="I772" s="9" t="str">
        <f>IFERROR(__xludf.DUMMYFUNCTION("""COMPUTED_VALUE"""),"Tel")</f>
        <v>Tel</v>
      </c>
      <c r="J772" s="9" t="str">
        <f>IFERROR(__xludf.DUMMYFUNCTION("""COMPUTED_VALUE"""),"Cx")</f>
        <v>Cx</v>
      </c>
      <c r="K772" s="9" t="str">
        <f>IFERROR(__xludf.DUMMYFUNCTION("""COMPUTED_VALUE"""),"NCx")</f>
        <v>NCx</v>
      </c>
      <c r="L772" s="9" t="str">
        <f>IFERROR(__xludf.DUMMYFUNCTION("""COMPUTED_VALUE"""),"FCx")</f>
        <v>FCx</v>
      </c>
      <c r="M772" s="9" t="str">
        <f>IFERROR(__xludf.DUMMYFUNCTION("""COMPUTED_VALUE"""),"PFC")</f>
        <v>PFC</v>
      </c>
      <c r="N772" s="9" t="str">
        <f>IFERROR(__xludf.DUMMYFUNCTION("""COMPUTED_VALUE"""),"DFC")</f>
        <v>DFC</v>
      </c>
      <c r="O772" s="9" t="str">
        <f>IFERROR(__xludf.DUMMYFUNCTION("""COMPUTED_VALUE"""),"A9")</f>
        <v>A9</v>
      </c>
      <c r="P772" s="9" t="str">
        <f>IFERROR(__xludf.DUMMYFUNCTION("""COMPUTED_VALUE"""),"A9m")</f>
        <v>A9m</v>
      </c>
      <c r="Q772" s="9" t="str">
        <f>IFERROR(__xludf.DUMMYFUNCTION("""COMPUTED_VALUE"""),"A9m1")</f>
        <v>A9m1</v>
      </c>
      <c r="R772" s="9"/>
      <c r="S772" s="42"/>
      <c r="T772" s="42"/>
      <c r="U772" s="42"/>
      <c r="V772" s="42"/>
      <c r="W772" s="42"/>
      <c r="X772" s="42"/>
      <c r="Y772" s="42"/>
      <c r="Z772" s="42"/>
      <c r="AA772" s="42"/>
      <c r="AB772" s="42" t="str">
        <f>IFERROR(__xludf.DUMMYFUNCTION("""COMPUTED_VALUE"""),"allen institute")</f>
        <v>allen institute</v>
      </c>
      <c r="AC772" s="42" t="str">
        <f>IFERROR(__xludf.DUMMYFUNCTION("""COMPUTED_VALUE"""),"DHBA")</f>
        <v>DHBA</v>
      </c>
      <c r="AD772" s="42"/>
      <c r="AE772" s="42"/>
      <c r="AF772" s="9"/>
      <c r="AG772" s="9"/>
      <c r="AH772" s="42"/>
      <c r="AI772" s="42"/>
      <c r="AJ772" s="42"/>
      <c r="AK772" s="42"/>
      <c r="AL772" s="42"/>
      <c r="AM772" s="42"/>
      <c r="AN772" s="42"/>
      <c r="AO772" s="63" t="str">
        <f>IFERROR(__xludf.DUMMYFUNCTION("IF(ISBLANK(A772),,IF(ISBLANK(S772), A772&amp;"";"", TEXTJOIN(CHAR(10), TRUE, A772&amp;"";"", ARRAYFORMULA(VLOOKUP(SPLIT(S772, "";"" &amp; CHAR(10)), $A:$AO, 41, FALSE)))))"),"A9m1;")</f>
        <v>A9m1;</v>
      </c>
      <c r="AP772" s="89"/>
    </row>
    <row r="773">
      <c r="A773" s="151" t="str">
        <f>IFERROR(__xludf.DUMMYFUNCTION("""COMPUTED_VALUE"""),"A9m2")</f>
        <v>A9m2</v>
      </c>
      <c r="B773" s="42" t="str">
        <f>IFERROR(__xludf.DUMMYFUNCTION("""COMPUTED_VALUE"""),"DHBA")</f>
        <v>DHBA</v>
      </c>
      <c r="C773" s="42" t="str">
        <f>IFERROR(__xludf.DUMMYFUNCTION("""COMPUTED_VALUE"""),"layer II of area 9m")</f>
        <v>layer II of area 9m</v>
      </c>
      <c r="D773" s="42">
        <f>IFERROR(__xludf.DUMMYFUNCTION("""COMPUTED_VALUE"""),717.0)</f>
        <v>717</v>
      </c>
      <c r="E773" s="39" t="str">
        <f>IFERROR(__xludf.DUMMYFUNCTION("""COMPUTED_VALUE"""),"layer II of area 9m")</f>
        <v>layer II of area 9m</v>
      </c>
      <c r="F773" s="9" t="str">
        <f>IFERROR(__xludf.DUMMYFUNCTION("""COMPUTED_VALUE"""),"Br")</f>
        <v>Br</v>
      </c>
      <c r="G773" s="9" t="str">
        <f>IFERROR(__xludf.DUMMYFUNCTION("""COMPUTED_VALUE"""),"F")</f>
        <v>F</v>
      </c>
      <c r="H773" s="9" t="str">
        <f>IFERROR(__xludf.DUMMYFUNCTION("""COMPUTED_VALUE"""),"FGM")</f>
        <v>FGM</v>
      </c>
      <c r="I773" s="9" t="str">
        <f>IFERROR(__xludf.DUMMYFUNCTION("""COMPUTED_VALUE"""),"Tel")</f>
        <v>Tel</v>
      </c>
      <c r="J773" s="9" t="str">
        <f>IFERROR(__xludf.DUMMYFUNCTION("""COMPUTED_VALUE"""),"Cx")</f>
        <v>Cx</v>
      </c>
      <c r="K773" s="9" t="str">
        <f>IFERROR(__xludf.DUMMYFUNCTION("""COMPUTED_VALUE"""),"NCx")</f>
        <v>NCx</v>
      </c>
      <c r="L773" s="9" t="str">
        <f>IFERROR(__xludf.DUMMYFUNCTION("""COMPUTED_VALUE"""),"FCx")</f>
        <v>FCx</v>
      </c>
      <c r="M773" s="9" t="str">
        <f>IFERROR(__xludf.DUMMYFUNCTION("""COMPUTED_VALUE"""),"PFC")</f>
        <v>PFC</v>
      </c>
      <c r="N773" s="9" t="str">
        <f>IFERROR(__xludf.DUMMYFUNCTION("""COMPUTED_VALUE"""),"DFC")</f>
        <v>DFC</v>
      </c>
      <c r="O773" s="9" t="str">
        <f>IFERROR(__xludf.DUMMYFUNCTION("""COMPUTED_VALUE"""),"A9")</f>
        <v>A9</v>
      </c>
      <c r="P773" s="9" t="str">
        <f>IFERROR(__xludf.DUMMYFUNCTION("""COMPUTED_VALUE"""),"A9m")</f>
        <v>A9m</v>
      </c>
      <c r="Q773" s="9" t="str">
        <f>IFERROR(__xludf.DUMMYFUNCTION("""COMPUTED_VALUE"""),"A9m2")</f>
        <v>A9m2</v>
      </c>
      <c r="R773" s="9"/>
      <c r="S773" s="42"/>
      <c r="T773" s="42"/>
      <c r="U773" s="42"/>
      <c r="V773" s="42"/>
      <c r="W773" s="42"/>
      <c r="X773" s="42"/>
      <c r="Y773" s="42"/>
      <c r="Z773" s="42"/>
      <c r="AA773" s="42"/>
      <c r="AB773" s="42" t="str">
        <f>IFERROR(__xludf.DUMMYFUNCTION("""COMPUTED_VALUE"""),"allen institute")</f>
        <v>allen institute</v>
      </c>
      <c r="AC773" s="42" t="str">
        <f>IFERROR(__xludf.DUMMYFUNCTION("""COMPUTED_VALUE"""),"DHBA")</f>
        <v>DHBA</v>
      </c>
      <c r="AD773" s="42"/>
      <c r="AE773" s="42"/>
      <c r="AF773" s="9"/>
      <c r="AG773" s="9"/>
      <c r="AH773" s="42"/>
      <c r="AI773" s="42"/>
      <c r="AJ773" s="42"/>
      <c r="AK773" s="42"/>
      <c r="AL773" s="42"/>
      <c r="AM773" s="42"/>
      <c r="AN773" s="42"/>
      <c r="AO773" s="63" t="str">
        <f>IFERROR(__xludf.DUMMYFUNCTION("IF(ISBLANK(A773),,IF(ISBLANK(S773), A773&amp;"";"", TEXTJOIN(CHAR(10), TRUE, A773&amp;"";"", ARRAYFORMULA(VLOOKUP(SPLIT(S773, "";"" &amp; CHAR(10)), $A:$AO, 41, FALSE)))))"),"A9m2;")</f>
        <v>A9m2;</v>
      </c>
      <c r="AP773" s="89"/>
    </row>
    <row r="774">
      <c r="A774" s="151" t="str">
        <f>IFERROR(__xludf.DUMMYFUNCTION("""COMPUTED_VALUE"""),"A9m3")</f>
        <v>A9m3</v>
      </c>
      <c r="B774" s="42" t="str">
        <f>IFERROR(__xludf.DUMMYFUNCTION("""COMPUTED_VALUE"""),"DHBA")</f>
        <v>DHBA</v>
      </c>
      <c r="C774" s="42" t="str">
        <f>IFERROR(__xludf.DUMMYFUNCTION("""COMPUTED_VALUE"""),"layer III of area 9m")</f>
        <v>layer III of area 9m</v>
      </c>
      <c r="D774" s="42">
        <f>IFERROR(__xludf.DUMMYFUNCTION("""COMPUTED_VALUE"""),718.0)</f>
        <v>718</v>
      </c>
      <c r="E774" s="39" t="str">
        <f>IFERROR(__xludf.DUMMYFUNCTION("""COMPUTED_VALUE"""),"layer III of area 9m")</f>
        <v>layer III of area 9m</v>
      </c>
      <c r="F774" s="9" t="str">
        <f>IFERROR(__xludf.DUMMYFUNCTION("""COMPUTED_VALUE"""),"Br")</f>
        <v>Br</v>
      </c>
      <c r="G774" s="9" t="str">
        <f>IFERROR(__xludf.DUMMYFUNCTION("""COMPUTED_VALUE"""),"F")</f>
        <v>F</v>
      </c>
      <c r="H774" s="9" t="str">
        <f>IFERROR(__xludf.DUMMYFUNCTION("""COMPUTED_VALUE"""),"FGM")</f>
        <v>FGM</v>
      </c>
      <c r="I774" s="9" t="str">
        <f>IFERROR(__xludf.DUMMYFUNCTION("""COMPUTED_VALUE"""),"Tel")</f>
        <v>Tel</v>
      </c>
      <c r="J774" s="9" t="str">
        <f>IFERROR(__xludf.DUMMYFUNCTION("""COMPUTED_VALUE"""),"Cx")</f>
        <v>Cx</v>
      </c>
      <c r="K774" s="9" t="str">
        <f>IFERROR(__xludf.DUMMYFUNCTION("""COMPUTED_VALUE"""),"NCx")</f>
        <v>NCx</v>
      </c>
      <c r="L774" s="9" t="str">
        <f>IFERROR(__xludf.DUMMYFUNCTION("""COMPUTED_VALUE"""),"FCx")</f>
        <v>FCx</v>
      </c>
      <c r="M774" s="9" t="str">
        <f>IFERROR(__xludf.DUMMYFUNCTION("""COMPUTED_VALUE"""),"PFC")</f>
        <v>PFC</v>
      </c>
      <c r="N774" s="9" t="str">
        <f>IFERROR(__xludf.DUMMYFUNCTION("""COMPUTED_VALUE"""),"DFC")</f>
        <v>DFC</v>
      </c>
      <c r="O774" s="9" t="str">
        <f>IFERROR(__xludf.DUMMYFUNCTION("""COMPUTED_VALUE"""),"A9")</f>
        <v>A9</v>
      </c>
      <c r="P774" s="9" t="str">
        <f>IFERROR(__xludf.DUMMYFUNCTION("""COMPUTED_VALUE"""),"A9m")</f>
        <v>A9m</v>
      </c>
      <c r="Q774" s="9" t="str">
        <f>IFERROR(__xludf.DUMMYFUNCTION("""COMPUTED_VALUE"""),"A9m3")</f>
        <v>A9m3</v>
      </c>
      <c r="R774" s="9"/>
      <c r="S774" s="42"/>
      <c r="T774" s="42"/>
      <c r="U774" s="42"/>
      <c r="V774" s="42"/>
      <c r="W774" s="42"/>
      <c r="X774" s="42"/>
      <c r="Y774" s="42"/>
      <c r="Z774" s="42"/>
      <c r="AA774" s="42"/>
      <c r="AB774" s="42" t="str">
        <f>IFERROR(__xludf.DUMMYFUNCTION("""COMPUTED_VALUE"""),"allen institute")</f>
        <v>allen institute</v>
      </c>
      <c r="AC774" s="42" t="str">
        <f>IFERROR(__xludf.DUMMYFUNCTION("""COMPUTED_VALUE"""),"DHBA")</f>
        <v>DHBA</v>
      </c>
      <c r="AD774" s="42"/>
      <c r="AE774" s="42"/>
      <c r="AF774" s="9"/>
      <c r="AG774" s="9"/>
      <c r="AH774" s="42"/>
      <c r="AI774" s="42"/>
      <c r="AJ774" s="42"/>
      <c r="AK774" s="42"/>
      <c r="AL774" s="42"/>
      <c r="AM774" s="42"/>
      <c r="AN774" s="42"/>
      <c r="AO774" s="63" t="str">
        <f>IFERROR(__xludf.DUMMYFUNCTION("IF(ISBLANK(A774),,IF(ISBLANK(S774), A774&amp;"";"", TEXTJOIN(CHAR(10), TRUE, A774&amp;"";"", ARRAYFORMULA(VLOOKUP(SPLIT(S774, "";"" &amp; CHAR(10)), $A:$AO, 41, FALSE)))))"),"A9m3;")</f>
        <v>A9m3;</v>
      </c>
      <c r="AP774" s="89"/>
    </row>
    <row r="775">
      <c r="A775" s="151" t="str">
        <f>IFERROR(__xludf.DUMMYFUNCTION("""COMPUTED_VALUE"""),"A9m4")</f>
        <v>A9m4</v>
      </c>
      <c r="B775" s="42" t="str">
        <f>IFERROR(__xludf.DUMMYFUNCTION("""COMPUTED_VALUE"""),"DHBA")</f>
        <v>DHBA</v>
      </c>
      <c r="C775" s="42" t="str">
        <f>IFERROR(__xludf.DUMMYFUNCTION("""COMPUTED_VALUE"""),"layer IV of area 9m")</f>
        <v>layer IV of area 9m</v>
      </c>
      <c r="D775" s="42">
        <f>IFERROR(__xludf.DUMMYFUNCTION("""COMPUTED_VALUE"""),719.0)</f>
        <v>719</v>
      </c>
      <c r="E775" s="39" t="str">
        <f>IFERROR(__xludf.DUMMYFUNCTION("""COMPUTED_VALUE"""),"layer IV of area 9m")</f>
        <v>layer IV of area 9m</v>
      </c>
      <c r="F775" s="9" t="str">
        <f>IFERROR(__xludf.DUMMYFUNCTION("""COMPUTED_VALUE"""),"Br")</f>
        <v>Br</v>
      </c>
      <c r="G775" s="9" t="str">
        <f>IFERROR(__xludf.DUMMYFUNCTION("""COMPUTED_VALUE"""),"F")</f>
        <v>F</v>
      </c>
      <c r="H775" s="9" t="str">
        <f>IFERROR(__xludf.DUMMYFUNCTION("""COMPUTED_VALUE"""),"FGM")</f>
        <v>FGM</v>
      </c>
      <c r="I775" s="9" t="str">
        <f>IFERROR(__xludf.DUMMYFUNCTION("""COMPUTED_VALUE"""),"Tel")</f>
        <v>Tel</v>
      </c>
      <c r="J775" s="9" t="str">
        <f>IFERROR(__xludf.DUMMYFUNCTION("""COMPUTED_VALUE"""),"Cx")</f>
        <v>Cx</v>
      </c>
      <c r="K775" s="9" t="str">
        <f>IFERROR(__xludf.DUMMYFUNCTION("""COMPUTED_VALUE"""),"NCx")</f>
        <v>NCx</v>
      </c>
      <c r="L775" s="9" t="str">
        <f>IFERROR(__xludf.DUMMYFUNCTION("""COMPUTED_VALUE"""),"FCx")</f>
        <v>FCx</v>
      </c>
      <c r="M775" s="9" t="str">
        <f>IFERROR(__xludf.DUMMYFUNCTION("""COMPUTED_VALUE"""),"PFC")</f>
        <v>PFC</v>
      </c>
      <c r="N775" s="9" t="str">
        <f>IFERROR(__xludf.DUMMYFUNCTION("""COMPUTED_VALUE"""),"DFC")</f>
        <v>DFC</v>
      </c>
      <c r="O775" s="9" t="str">
        <f>IFERROR(__xludf.DUMMYFUNCTION("""COMPUTED_VALUE"""),"A9")</f>
        <v>A9</v>
      </c>
      <c r="P775" s="9" t="str">
        <f>IFERROR(__xludf.DUMMYFUNCTION("""COMPUTED_VALUE"""),"A9m")</f>
        <v>A9m</v>
      </c>
      <c r="Q775" s="9" t="str">
        <f>IFERROR(__xludf.DUMMYFUNCTION("""COMPUTED_VALUE"""),"A9m4")</f>
        <v>A9m4</v>
      </c>
      <c r="R775" s="9"/>
      <c r="S775" s="42"/>
      <c r="T775" s="42"/>
      <c r="U775" s="42"/>
      <c r="V775" s="42"/>
      <c r="W775" s="42"/>
      <c r="X775" s="42"/>
      <c r="Y775" s="42"/>
      <c r="Z775" s="42"/>
      <c r="AA775" s="42"/>
      <c r="AB775" s="42" t="str">
        <f>IFERROR(__xludf.DUMMYFUNCTION("""COMPUTED_VALUE"""),"allen institute")</f>
        <v>allen institute</v>
      </c>
      <c r="AC775" s="42" t="str">
        <f>IFERROR(__xludf.DUMMYFUNCTION("""COMPUTED_VALUE"""),"DHBA")</f>
        <v>DHBA</v>
      </c>
      <c r="AD775" s="42"/>
      <c r="AE775" s="42"/>
      <c r="AF775" s="9"/>
      <c r="AG775" s="9"/>
      <c r="AH775" s="42"/>
      <c r="AI775" s="42"/>
      <c r="AJ775" s="42"/>
      <c r="AK775" s="42"/>
      <c r="AL775" s="42"/>
      <c r="AM775" s="42"/>
      <c r="AN775" s="42"/>
      <c r="AO775" s="63" t="str">
        <f>IFERROR(__xludf.DUMMYFUNCTION("IF(ISBLANK(A775),,IF(ISBLANK(S775), A775&amp;"";"", TEXTJOIN(CHAR(10), TRUE, A775&amp;"";"", ARRAYFORMULA(VLOOKUP(SPLIT(S775, "";"" &amp; CHAR(10)), $A:$AO, 41, FALSE)))))"),"A9m4;")</f>
        <v>A9m4;</v>
      </c>
      <c r="AP775" s="89"/>
    </row>
    <row r="776">
      <c r="A776" s="151" t="str">
        <f>IFERROR(__xludf.DUMMYFUNCTION("""COMPUTED_VALUE"""),"A9m5")</f>
        <v>A9m5</v>
      </c>
      <c r="B776" s="42" t="str">
        <f>IFERROR(__xludf.DUMMYFUNCTION("""COMPUTED_VALUE"""),"DHBA")</f>
        <v>DHBA</v>
      </c>
      <c r="C776" s="42" t="str">
        <f>IFERROR(__xludf.DUMMYFUNCTION("""COMPUTED_VALUE"""),"layer V of area 9m")</f>
        <v>layer V of area 9m</v>
      </c>
      <c r="D776" s="42">
        <f>IFERROR(__xludf.DUMMYFUNCTION("""COMPUTED_VALUE"""),720.0)</f>
        <v>720</v>
      </c>
      <c r="E776" s="39" t="str">
        <f>IFERROR(__xludf.DUMMYFUNCTION("""COMPUTED_VALUE"""),"layer V of area 9m")</f>
        <v>layer V of area 9m</v>
      </c>
      <c r="F776" s="9" t="str">
        <f>IFERROR(__xludf.DUMMYFUNCTION("""COMPUTED_VALUE"""),"Br")</f>
        <v>Br</v>
      </c>
      <c r="G776" s="9" t="str">
        <f>IFERROR(__xludf.DUMMYFUNCTION("""COMPUTED_VALUE"""),"F")</f>
        <v>F</v>
      </c>
      <c r="H776" s="9" t="str">
        <f>IFERROR(__xludf.DUMMYFUNCTION("""COMPUTED_VALUE"""),"FGM")</f>
        <v>FGM</v>
      </c>
      <c r="I776" s="9" t="str">
        <f>IFERROR(__xludf.DUMMYFUNCTION("""COMPUTED_VALUE"""),"Tel")</f>
        <v>Tel</v>
      </c>
      <c r="J776" s="9" t="str">
        <f>IFERROR(__xludf.DUMMYFUNCTION("""COMPUTED_VALUE"""),"Cx")</f>
        <v>Cx</v>
      </c>
      <c r="K776" s="9" t="str">
        <f>IFERROR(__xludf.DUMMYFUNCTION("""COMPUTED_VALUE"""),"NCx")</f>
        <v>NCx</v>
      </c>
      <c r="L776" s="9" t="str">
        <f>IFERROR(__xludf.DUMMYFUNCTION("""COMPUTED_VALUE"""),"FCx")</f>
        <v>FCx</v>
      </c>
      <c r="M776" s="9" t="str">
        <f>IFERROR(__xludf.DUMMYFUNCTION("""COMPUTED_VALUE"""),"PFC")</f>
        <v>PFC</v>
      </c>
      <c r="N776" s="9" t="str">
        <f>IFERROR(__xludf.DUMMYFUNCTION("""COMPUTED_VALUE"""),"DFC")</f>
        <v>DFC</v>
      </c>
      <c r="O776" s="9" t="str">
        <f>IFERROR(__xludf.DUMMYFUNCTION("""COMPUTED_VALUE"""),"A9")</f>
        <v>A9</v>
      </c>
      <c r="P776" s="9" t="str">
        <f>IFERROR(__xludf.DUMMYFUNCTION("""COMPUTED_VALUE"""),"A9m")</f>
        <v>A9m</v>
      </c>
      <c r="Q776" s="9" t="str">
        <f>IFERROR(__xludf.DUMMYFUNCTION("""COMPUTED_VALUE"""),"A9m5")</f>
        <v>A9m5</v>
      </c>
      <c r="R776" s="9"/>
      <c r="S776" s="42"/>
      <c r="T776" s="42"/>
      <c r="U776" s="42"/>
      <c r="V776" s="42"/>
      <c r="W776" s="42"/>
      <c r="X776" s="42"/>
      <c r="Y776" s="42"/>
      <c r="Z776" s="42"/>
      <c r="AA776" s="42"/>
      <c r="AB776" s="42" t="str">
        <f>IFERROR(__xludf.DUMMYFUNCTION("""COMPUTED_VALUE"""),"allen institute")</f>
        <v>allen institute</v>
      </c>
      <c r="AC776" s="42" t="str">
        <f>IFERROR(__xludf.DUMMYFUNCTION("""COMPUTED_VALUE"""),"DHBA")</f>
        <v>DHBA</v>
      </c>
      <c r="AD776" s="42"/>
      <c r="AE776" s="42"/>
      <c r="AF776" s="9"/>
      <c r="AG776" s="9"/>
      <c r="AH776" s="42"/>
      <c r="AI776" s="42"/>
      <c r="AJ776" s="42"/>
      <c r="AK776" s="42"/>
      <c r="AL776" s="42"/>
      <c r="AM776" s="42"/>
      <c r="AN776" s="42"/>
      <c r="AO776" s="63" t="str">
        <f>IFERROR(__xludf.DUMMYFUNCTION("IF(ISBLANK(A776),,IF(ISBLANK(S776), A776&amp;"";"", TEXTJOIN(CHAR(10), TRUE, A776&amp;"";"", ARRAYFORMULA(VLOOKUP(SPLIT(S776, "";"" &amp; CHAR(10)), $A:$AO, 41, FALSE)))))"),"A9m5;")</f>
        <v>A9m5;</v>
      </c>
      <c r="AP776" s="89"/>
    </row>
    <row r="777">
      <c r="A777" s="151" t="str">
        <f>IFERROR(__xludf.DUMMYFUNCTION("""COMPUTED_VALUE"""),"A9m6")</f>
        <v>A9m6</v>
      </c>
      <c r="B777" s="42" t="str">
        <f>IFERROR(__xludf.DUMMYFUNCTION("""COMPUTED_VALUE"""),"DHBA")</f>
        <v>DHBA</v>
      </c>
      <c r="C777" s="42" t="str">
        <f>IFERROR(__xludf.DUMMYFUNCTION("""COMPUTED_VALUE"""),"layer VI of area 9m")</f>
        <v>layer VI of area 9m</v>
      </c>
      <c r="D777" s="42">
        <f>IFERROR(__xludf.DUMMYFUNCTION("""COMPUTED_VALUE"""),721.0)</f>
        <v>721</v>
      </c>
      <c r="E777" s="39" t="str">
        <f>IFERROR(__xludf.DUMMYFUNCTION("""COMPUTED_VALUE"""),"layer VI of area 9m")</f>
        <v>layer VI of area 9m</v>
      </c>
      <c r="F777" s="9" t="str">
        <f>IFERROR(__xludf.DUMMYFUNCTION("""COMPUTED_VALUE"""),"Br")</f>
        <v>Br</v>
      </c>
      <c r="G777" s="9" t="str">
        <f>IFERROR(__xludf.DUMMYFUNCTION("""COMPUTED_VALUE"""),"F")</f>
        <v>F</v>
      </c>
      <c r="H777" s="9" t="str">
        <f>IFERROR(__xludf.DUMMYFUNCTION("""COMPUTED_VALUE"""),"FGM")</f>
        <v>FGM</v>
      </c>
      <c r="I777" s="9" t="str">
        <f>IFERROR(__xludf.DUMMYFUNCTION("""COMPUTED_VALUE"""),"Tel")</f>
        <v>Tel</v>
      </c>
      <c r="J777" s="9" t="str">
        <f>IFERROR(__xludf.DUMMYFUNCTION("""COMPUTED_VALUE"""),"Cx")</f>
        <v>Cx</v>
      </c>
      <c r="K777" s="9" t="str">
        <f>IFERROR(__xludf.DUMMYFUNCTION("""COMPUTED_VALUE"""),"NCx")</f>
        <v>NCx</v>
      </c>
      <c r="L777" s="9" t="str">
        <f>IFERROR(__xludf.DUMMYFUNCTION("""COMPUTED_VALUE"""),"FCx")</f>
        <v>FCx</v>
      </c>
      <c r="M777" s="9" t="str">
        <f>IFERROR(__xludf.DUMMYFUNCTION("""COMPUTED_VALUE"""),"PFC")</f>
        <v>PFC</v>
      </c>
      <c r="N777" s="9" t="str">
        <f>IFERROR(__xludf.DUMMYFUNCTION("""COMPUTED_VALUE"""),"DFC")</f>
        <v>DFC</v>
      </c>
      <c r="O777" s="9" t="str">
        <f>IFERROR(__xludf.DUMMYFUNCTION("""COMPUTED_VALUE"""),"A9")</f>
        <v>A9</v>
      </c>
      <c r="P777" s="9" t="str">
        <f>IFERROR(__xludf.DUMMYFUNCTION("""COMPUTED_VALUE"""),"A9m")</f>
        <v>A9m</v>
      </c>
      <c r="Q777" s="9" t="str">
        <f>IFERROR(__xludf.DUMMYFUNCTION("""COMPUTED_VALUE"""),"A9m6")</f>
        <v>A9m6</v>
      </c>
      <c r="R777" s="9"/>
      <c r="S777" s="42"/>
      <c r="T777" s="42"/>
      <c r="U777" s="42"/>
      <c r="V777" s="42"/>
      <c r="W777" s="42"/>
      <c r="X777" s="42"/>
      <c r="Y777" s="42"/>
      <c r="Z777" s="42"/>
      <c r="AA777" s="42"/>
      <c r="AB777" s="42" t="str">
        <f>IFERROR(__xludf.DUMMYFUNCTION("""COMPUTED_VALUE"""),"allen institute")</f>
        <v>allen institute</v>
      </c>
      <c r="AC777" s="42" t="str">
        <f>IFERROR(__xludf.DUMMYFUNCTION("""COMPUTED_VALUE"""),"DHBA")</f>
        <v>DHBA</v>
      </c>
      <c r="AD777" s="42"/>
      <c r="AE777" s="42"/>
      <c r="AF777" s="9"/>
      <c r="AG777" s="9"/>
      <c r="AH777" s="42"/>
      <c r="AI777" s="42"/>
      <c r="AJ777" s="42"/>
      <c r="AK777" s="42"/>
      <c r="AL777" s="42"/>
      <c r="AM777" s="42"/>
      <c r="AN777" s="42"/>
      <c r="AO777" s="63" t="str">
        <f>IFERROR(__xludf.DUMMYFUNCTION("IF(ISBLANK(A777),,IF(ISBLANK(S777), A777&amp;"";"", TEXTJOIN(CHAR(10), TRUE, A777&amp;"";"", ARRAYFORMULA(VLOOKUP(SPLIT(S777, "";"" &amp; CHAR(10)), $A:$AO, 41, FALSE)))))"),"A9m6;")</f>
        <v>A9m6;</v>
      </c>
      <c r="AP777" s="89"/>
    </row>
    <row r="778">
      <c r="A778" s="151" t="str">
        <f>IFERROR(__xludf.DUMMYFUNCTION("""COMPUTED_VALUE"""),"A9/46")</f>
        <v>A9/46</v>
      </c>
      <c r="B778" s="42" t="str">
        <f>IFERROR(__xludf.DUMMYFUNCTION("""COMPUTED_VALUE"""),"DHBA")</f>
        <v>DHBA</v>
      </c>
      <c r="C778" s="42" t="str">
        <f>IFERROR(__xludf.DUMMYFUNCTION("""COMPUTED_VALUE"""),"intermediate portion of DFC (area 9/46)")</f>
        <v>intermediate portion of DFC (area 9/46)</v>
      </c>
      <c r="D778" s="42">
        <f>IFERROR(__xludf.DUMMYFUNCTION("""COMPUTED_VALUE"""),722.0)</f>
        <v>722</v>
      </c>
      <c r="E778" s="39" t="str">
        <f>IFERROR(__xludf.DUMMYFUNCTION("""COMPUTED_VALUE"""),"intermediate portion of DFC (area 9/46)")</f>
        <v>intermediate portion of DFC (area 9/46)</v>
      </c>
      <c r="F778" s="9" t="str">
        <f>IFERROR(__xludf.DUMMYFUNCTION("""COMPUTED_VALUE"""),"Br")</f>
        <v>Br</v>
      </c>
      <c r="G778" s="9" t="str">
        <f>IFERROR(__xludf.DUMMYFUNCTION("""COMPUTED_VALUE"""),"F")</f>
        <v>F</v>
      </c>
      <c r="H778" s="9" t="str">
        <f>IFERROR(__xludf.DUMMYFUNCTION("""COMPUTED_VALUE"""),"FGM")</f>
        <v>FGM</v>
      </c>
      <c r="I778" s="9" t="str">
        <f>IFERROR(__xludf.DUMMYFUNCTION("""COMPUTED_VALUE"""),"Tel")</f>
        <v>Tel</v>
      </c>
      <c r="J778" s="9" t="str">
        <f>IFERROR(__xludf.DUMMYFUNCTION("""COMPUTED_VALUE"""),"Cx")</f>
        <v>Cx</v>
      </c>
      <c r="K778" s="9" t="str">
        <f>IFERROR(__xludf.DUMMYFUNCTION("""COMPUTED_VALUE"""),"NCx")</f>
        <v>NCx</v>
      </c>
      <c r="L778" s="9" t="str">
        <f>IFERROR(__xludf.DUMMYFUNCTION("""COMPUTED_VALUE"""),"FCx")</f>
        <v>FCx</v>
      </c>
      <c r="M778" s="9" t="str">
        <f>IFERROR(__xludf.DUMMYFUNCTION("""COMPUTED_VALUE"""),"PFC")</f>
        <v>PFC</v>
      </c>
      <c r="N778" s="9" t="str">
        <f>IFERROR(__xludf.DUMMYFUNCTION("""COMPUTED_VALUE"""),"DFC")</f>
        <v>DFC</v>
      </c>
      <c r="O778" s="9" t="str">
        <f>IFERROR(__xludf.DUMMYFUNCTION("""COMPUTED_VALUE"""),"A9/46")</f>
        <v>A9/46</v>
      </c>
      <c r="P778" s="9"/>
      <c r="Q778" s="9"/>
      <c r="R778" s="9"/>
      <c r="S778" s="42" t="str">
        <f>IFERROR(__xludf.DUMMYFUNCTION("""COMPUTED_VALUE"""),"A9.46d;
A9.46v")</f>
        <v>A9.46d;
A9.46v</v>
      </c>
      <c r="T778" s="42" t="str">
        <f>IFERROR(__xludf.DUMMYFUNCTION("""COMPUTED_VALUE"""),"NCx")</f>
        <v>NCx</v>
      </c>
      <c r="U778" s="42" t="b">
        <f>IFERROR(__xludf.DUMMYFUNCTION("""COMPUTED_VALUE"""),FALSE)</f>
        <v>0</v>
      </c>
      <c r="V778" s="42"/>
      <c r="W778" s="42"/>
      <c r="X778" s="42"/>
      <c r="Y778" s="42"/>
      <c r="Z778" s="42"/>
      <c r="AA778" s="42"/>
      <c r="AB778" s="42" t="str">
        <f>IFERROR(__xludf.DUMMYFUNCTION("""COMPUTED_VALUE"""),"allen institute")</f>
        <v>allen institute</v>
      </c>
      <c r="AC778" s="42" t="str">
        <f>IFERROR(__xludf.DUMMYFUNCTION("""COMPUTED_VALUE"""),"DHBA")</f>
        <v>DHBA</v>
      </c>
      <c r="AD778" s="42"/>
      <c r="AE778" s="42"/>
      <c r="AF778" s="9"/>
      <c r="AG778" s="9"/>
      <c r="AH778" s="42"/>
      <c r="AI778" s="42"/>
      <c r="AJ778" s="42"/>
      <c r="AK778" s="42"/>
      <c r="AL778" s="42"/>
      <c r="AM778" s="42"/>
      <c r="AN778" s="42"/>
      <c r="AO778" s="63" t="str">
        <f>IFERROR(__xludf.DUMMYFUNCTION("IF(ISBLANK(A778),,IF(ISBLANK(S778), A778&amp;"";"", TEXTJOIN(CHAR(10), TRUE, A778&amp;"";"", ARRAYFORMULA(VLOOKUP(SPLIT(S778, "";"" &amp; CHAR(10)), $A:$AO, 41, FALSE)))))"),"#N/A")</f>
        <v>#N/A</v>
      </c>
      <c r="AP778" s="89"/>
    </row>
    <row r="779">
      <c r="A779" s="151" t="str">
        <f>IFERROR(__xludf.DUMMYFUNCTION("""COMPUTED_VALUE"""),"A9/46d")</f>
        <v>A9/46d</v>
      </c>
      <c r="B779" s="42" t="str">
        <f>IFERROR(__xludf.DUMMYFUNCTION("""COMPUTED_VALUE"""),"DHBA")</f>
        <v>DHBA</v>
      </c>
      <c r="C779" s="42" t="str">
        <f>IFERROR(__xludf.DUMMYFUNCTION("""COMPUTED_VALUE"""),"dorsal subdivision of A9/46")</f>
        <v>dorsal subdivision of A9/46</v>
      </c>
      <c r="D779" s="42">
        <f>IFERROR(__xludf.DUMMYFUNCTION("""COMPUTED_VALUE"""),723.0)</f>
        <v>723</v>
      </c>
      <c r="E779" s="39" t="str">
        <f>IFERROR(__xludf.DUMMYFUNCTION("""COMPUTED_VALUE"""),"dorsal subdivision of A9/46")</f>
        <v>dorsal subdivision of A9/46</v>
      </c>
      <c r="F779" s="9" t="str">
        <f>IFERROR(__xludf.DUMMYFUNCTION("""COMPUTED_VALUE"""),"Br")</f>
        <v>Br</v>
      </c>
      <c r="G779" s="9" t="str">
        <f>IFERROR(__xludf.DUMMYFUNCTION("""COMPUTED_VALUE"""),"F")</f>
        <v>F</v>
      </c>
      <c r="H779" s="9" t="str">
        <f>IFERROR(__xludf.DUMMYFUNCTION("""COMPUTED_VALUE"""),"FGM")</f>
        <v>FGM</v>
      </c>
      <c r="I779" s="9" t="str">
        <f>IFERROR(__xludf.DUMMYFUNCTION("""COMPUTED_VALUE"""),"Tel")</f>
        <v>Tel</v>
      </c>
      <c r="J779" s="9" t="str">
        <f>IFERROR(__xludf.DUMMYFUNCTION("""COMPUTED_VALUE"""),"Cx")</f>
        <v>Cx</v>
      </c>
      <c r="K779" s="9" t="str">
        <f>IFERROR(__xludf.DUMMYFUNCTION("""COMPUTED_VALUE"""),"NCx")</f>
        <v>NCx</v>
      </c>
      <c r="L779" s="9" t="str">
        <f>IFERROR(__xludf.DUMMYFUNCTION("""COMPUTED_VALUE"""),"FCx")</f>
        <v>FCx</v>
      </c>
      <c r="M779" s="9" t="str">
        <f>IFERROR(__xludf.DUMMYFUNCTION("""COMPUTED_VALUE"""),"PFC")</f>
        <v>PFC</v>
      </c>
      <c r="N779" s="9" t="str">
        <f>IFERROR(__xludf.DUMMYFUNCTION("""COMPUTED_VALUE"""),"DFC")</f>
        <v>DFC</v>
      </c>
      <c r="O779" s="9" t="str">
        <f>IFERROR(__xludf.DUMMYFUNCTION("""COMPUTED_VALUE"""),"A9/46")</f>
        <v>A9/46</v>
      </c>
      <c r="P779" s="9" t="str">
        <f>IFERROR(__xludf.DUMMYFUNCTION("""COMPUTED_VALUE"""),"A9/46d")</f>
        <v>A9/46d</v>
      </c>
      <c r="Q779" s="9"/>
      <c r="R779" s="9"/>
      <c r="S779" s="42"/>
      <c r="T779" s="42" t="str">
        <f>IFERROR(__xludf.DUMMYFUNCTION("""COMPUTED_VALUE"""),"NCx")</f>
        <v>NCx</v>
      </c>
      <c r="U779" s="42" t="b">
        <f>IFERROR(__xludf.DUMMYFUNCTION("""COMPUTED_VALUE"""),FALSE)</f>
        <v>0</v>
      </c>
      <c r="V779" s="42"/>
      <c r="W779" s="42"/>
      <c r="X779" s="42"/>
      <c r="Y779" s="42"/>
      <c r="Z779" s="42"/>
      <c r="AA779" s="42"/>
      <c r="AB779" s="42" t="str">
        <f>IFERROR(__xludf.DUMMYFUNCTION("""COMPUTED_VALUE"""),"allen institute")</f>
        <v>allen institute</v>
      </c>
      <c r="AC779" s="42" t="str">
        <f>IFERROR(__xludf.DUMMYFUNCTION("""COMPUTED_VALUE"""),"DHBA")</f>
        <v>DHBA</v>
      </c>
      <c r="AD779" s="42"/>
      <c r="AE779" s="42"/>
      <c r="AF779" s="9"/>
      <c r="AG779" s="9"/>
      <c r="AH779" s="42"/>
      <c r="AI779" s="42"/>
      <c r="AJ779" s="42"/>
      <c r="AK779" s="42"/>
      <c r="AL779" s="42"/>
      <c r="AM779" s="42"/>
      <c r="AN779" s="42"/>
      <c r="AO779" s="63" t="str">
        <f>IFERROR(__xludf.DUMMYFUNCTION("IF(ISBLANK(A779),,IF(ISBLANK(S779), A779&amp;"";"", TEXTJOIN(CHAR(10), TRUE, A779&amp;"";"", ARRAYFORMULA(VLOOKUP(SPLIT(S779, "";"" &amp; CHAR(10)), $A:$AO, 41, FALSE)))))"),"A9/46d;")</f>
        <v>A9/46d;</v>
      </c>
      <c r="AP779" s="89"/>
    </row>
    <row r="780">
      <c r="A780" s="151" t="str">
        <f>IFERROR(__xludf.DUMMYFUNCTION("""COMPUTED_VALUE"""),"A9/46d1")</f>
        <v>A9/46d1</v>
      </c>
      <c r="B780" s="42" t="str">
        <f>IFERROR(__xludf.DUMMYFUNCTION("""COMPUTED_VALUE"""),"DHBA")</f>
        <v>DHBA</v>
      </c>
      <c r="C780" s="42" t="str">
        <f>IFERROR(__xludf.DUMMYFUNCTION("""COMPUTED_VALUE"""),"layer I of area 9/46d")</f>
        <v>layer I of area 9/46d</v>
      </c>
      <c r="D780" s="42">
        <f>IFERROR(__xludf.DUMMYFUNCTION("""COMPUTED_VALUE"""),724.0)</f>
        <v>724</v>
      </c>
      <c r="E780" s="39" t="str">
        <f>IFERROR(__xludf.DUMMYFUNCTION("""COMPUTED_VALUE"""),"layer I of area 9/46d")</f>
        <v>layer I of area 9/46d</v>
      </c>
      <c r="F780" s="9" t="str">
        <f>IFERROR(__xludf.DUMMYFUNCTION("""COMPUTED_VALUE"""),"Br")</f>
        <v>Br</v>
      </c>
      <c r="G780" s="9" t="str">
        <f>IFERROR(__xludf.DUMMYFUNCTION("""COMPUTED_VALUE"""),"F")</f>
        <v>F</v>
      </c>
      <c r="H780" s="9" t="str">
        <f>IFERROR(__xludf.DUMMYFUNCTION("""COMPUTED_VALUE"""),"FGM")</f>
        <v>FGM</v>
      </c>
      <c r="I780" s="9" t="str">
        <f>IFERROR(__xludf.DUMMYFUNCTION("""COMPUTED_VALUE"""),"Tel")</f>
        <v>Tel</v>
      </c>
      <c r="J780" s="9" t="str">
        <f>IFERROR(__xludf.DUMMYFUNCTION("""COMPUTED_VALUE"""),"Cx")</f>
        <v>Cx</v>
      </c>
      <c r="K780" s="9" t="str">
        <f>IFERROR(__xludf.DUMMYFUNCTION("""COMPUTED_VALUE"""),"NCx")</f>
        <v>NCx</v>
      </c>
      <c r="L780" s="9" t="str">
        <f>IFERROR(__xludf.DUMMYFUNCTION("""COMPUTED_VALUE"""),"FCx")</f>
        <v>FCx</v>
      </c>
      <c r="M780" s="9" t="str">
        <f>IFERROR(__xludf.DUMMYFUNCTION("""COMPUTED_VALUE"""),"PFC")</f>
        <v>PFC</v>
      </c>
      <c r="N780" s="9" t="str">
        <f>IFERROR(__xludf.DUMMYFUNCTION("""COMPUTED_VALUE"""),"DFC")</f>
        <v>DFC</v>
      </c>
      <c r="O780" s="9" t="str">
        <f>IFERROR(__xludf.DUMMYFUNCTION("""COMPUTED_VALUE"""),"A9/46")</f>
        <v>A9/46</v>
      </c>
      <c r="P780" s="9" t="str">
        <f>IFERROR(__xludf.DUMMYFUNCTION("""COMPUTED_VALUE"""),"A9/46d")</f>
        <v>A9/46d</v>
      </c>
      <c r="Q780" s="9" t="str">
        <f>IFERROR(__xludf.DUMMYFUNCTION("""COMPUTED_VALUE"""),"A9/46d1")</f>
        <v>A9/46d1</v>
      </c>
      <c r="R780" s="9"/>
      <c r="S780" s="42"/>
      <c r="T780" s="42"/>
      <c r="U780" s="42"/>
      <c r="V780" s="42"/>
      <c r="W780" s="42"/>
      <c r="X780" s="42"/>
      <c r="Y780" s="42"/>
      <c r="Z780" s="42"/>
      <c r="AA780" s="42"/>
      <c r="AB780" s="42" t="str">
        <f>IFERROR(__xludf.DUMMYFUNCTION("""COMPUTED_VALUE"""),"allen institute")</f>
        <v>allen institute</v>
      </c>
      <c r="AC780" s="42" t="str">
        <f>IFERROR(__xludf.DUMMYFUNCTION("""COMPUTED_VALUE"""),"DHBA")</f>
        <v>DHBA</v>
      </c>
      <c r="AD780" s="42"/>
      <c r="AE780" s="42"/>
      <c r="AF780" s="9"/>
      <c r="AG780" s="9"/>
      <c r="AH780" s="42"/>
      <c r="AI780" s="42"/>
      <c r="AJ780" s="42"/>
      <c r="AK780" s="42"/>
      <c r="AL780" s="42"/>
      <c r="AM780" s="42"/>
      <c r="AN780" s="42"/>
      <c r="AO780" s="63" t="str">
        <f>IFERROR(__xludf.DUMMYFUNCTION("IF(ISBLANK(A780),,IF(ISBLANK(S780), A780&amp;"";"", TEXTJOIN(CHAR(10), TRUE, A780&amp;"";"", ARRAYFORMULA(VLOOKUP(SPLIT(S780, "";"" &amp; CHAR(10)), $A:$AO, 41, FALSE)))))"),"A9/46d1;")</f>
        <v>A9/46d1;</v>
      </c>
      <c r="AP780" s="89"/>
    </row>
    <row r="781">
      <c r="A781" s="151" t="str">
        <f>IFERROR(__xludf.DUMMYFUNCTION("""COMPUTED_VALUE"""),"A9/46d2")</f>
        <v>A9/46d2</v>
      </c>
      <c r="B781" s="42" t="str">
        <f>IFERROR(__xludf.DUMMYFUNCTION("""COMPUTED_VALUE"""),"DHBA")</f>
        <v>DHBA</v>
      </c>
      <c r="C781" s="42" t="str">
        <f>IFERROR(__xludf.DUMMYFUNCTION("""COMPUTED_VALUE"""),"layer II of area 9/46d")</f>
        <v>layer II of area 9/46d</v>
      </c>
      <c r="D781" s="42">
        <f>IFERROR(__xludf.DUMMYFUNCTION("""COMPUTED_VALUE"""),725.0)</f>
        <v>725</v>
      </c>
      <c r="E781" s="39" t="str">
        <f>IFERROR(__xludf.DUMMYFUNCTION("""COMPUTED_VALUE"""),"layer II of area 9/46d")</f>
        <v>layer II of area 9/46d</v>
      </c>
      <c r="F781" s="9" t="str">
        <f>IFERROR(__xludf.DUMMYFUNCTION("""COMPUTED_VALUE"""),"Br")</f>
        <v>Br</v>
      </c>
      <c r="G781" s="9" t="str">
        <f>IFERROR(__xludf.DUMMYFUNCTION("""COMPUTED_VALUE"""),"F")</f>
        <v>F</v>
      </c>
      <c r="H781" s="9" t="str">
        <f>IFERROR(__xludf.DUMMYFUNCTION("""COMPUTED_VALUE"""),"FGM")</f>
        <v>FGM</v>
      </c>
      <c r="I781" s="9" t="str">
        <f>IFERROR(__xludf.DUMMYFUNCTION("""COMPUTED_VALUE"""),"Tel")</f>
        <v>Tel</v>
      </c>
      <c r="J781" s="9" t="str">
        <f>IFERROR(__xludf.DUMMYFUNCTION("""COMPUTED_VALUE"""),"Cx")</f>
        <v>Cx</v>
      </c>
      <c r="K781" s="9" t="str">
        <f>IFERROR(__xludf.DUMMYFUNCTION("""COMPUTED_VALUE"""),"NCx")</f>
        <v>NCx</v>
      </c>
      <c r="L781" s="9" t="str">
        <f>IFERROR(__xludf.DUMMYFUNCTION("""COMPUTED_VALUE"""),"FCx")</f>
        <v>FCx</v>
      </c>
      <c r="M781" s="9" t="str">
        <f>IFERROR(__xludf.DUMMYFUNCTION("""COMPUTED_VALUE"""),"PFC")</f>
        <v>PFC</v>
      </c>
      <c r="N781" s="9" t="str">
        <f>IFERROR(__xludf.DUMMYFUNCTION("""COMPUTED_VALUE"""),"DFC")</f>
        <v>DFC</v>
      </c>
      <c r="O781" s="9" t="str">
        <f>IFERROR(__xludf.DUMMYFUNCTION("""COMPUTED_VALUE"""),"A9/46")</f>
        <v>A9/46</v>
      </c>
      <c r="P781" s="9" t="str">
        <f>IFERROR(__xludf.DUMMYFUNCTION("""COMPUTED_VALUE"""),"A9/46d")</f>
        <v>A9/46d</v>
      </c>
      <c r="Q781" s="9" t="str">
        <f>IFERROR(__xludf.DUMMYFUNCTION("""COMPUTED_VALUE"""),"A9/46d2")</f>
        <v>A9/46d2</v>
      </c>
      <c r="R781" s="9"/>
      <c r="S781" s="42"/>
      <c r="T781" s="42"/>
      <c r="U781" s="42"/>
      <c r="V781" s="42"/>
      <c r="W781" s="42"/>
      <c r="X781" s="42"/>
      <c r="Y781" s="42"/>
      <c r="Z781" s="42"/>
      <c r="AA781" s="42"/>
      <c r="AB781" s="42" t="str">
        <f>IFERROR(__xludf.DUMMYFUNCTION("""COMPUTED_VALUE"""),"allen institute")</f>
        <v>allen institute</v>
      </c>
      <c r="AC781" s="42" t="str">
        <f>IFERROR(__xludf.DUMMYFUNCTION("""COMPUTED_VALUE"""),"DHBA")</f>
        <v>DHBA</v>
      </c>
      <c r="AD781" s="42"/>
      <c r="AE781" s="42"/>
      <c r="AF781" s="9"/>
      <c r="AG781" s="9"/>
      <c r="AH781" s="42"/>
      <c r="AI781" s="42"/>
      <c r="AJ781" s="42"/>
      <c r="AK781" s="42"/>
      <c r="AL781" s="42"/>
      <c r="AM781" s="42"/>
      <c r="AN781" s="42"/>
      <c r="AO781" s="63" t="str">
        <f>IFERROR(__xludf.DUMMYFUNCTION("IF(ISBLANK(A781),,IF(ISBLANK(S781), A781&amp;"";"", TEXTJOIN(CHAR(10), TRUE, A781&amp;"";"", ARRAYFORMULA(VLOOKUP(SPLIT(S781, "";"" &amp; CHAR(10)), $A:$AO, 41, FALSE)))))"),"A9/46d2;")</f>
        <v>A9/46d2;</v>
      </c>
      <c r="AP781" s="89"/>
    </row>
    <row r="782">
      <c r="A782" s="151" t="str">
        <f>IFERROR(__xludf.DUMMYFUNCTION("""COMPUTED_VALUE"""),"A9/46d3")</f>
        <v>A9/46d3</v>
      </c>
      <c r="B782" s="42" t="str">
        <f>IFERROR(__xludf.DUMMYFUNCTION("""COMPUTED_VALUE"""),"DHBA")</f>
        <v>DHBA</v>
      </c>
      <c r="C782" s="42" t="str">
        <f>IFERROR(__xludf.DUMMYFUNCTION("""COMPUTED_VALUE"""),"layer III of area 9/46d")</f>
        <v>layer III of area 9/46d</v>
      </c>
      <c r="D782" s="42">
        <f>IFERROR(__xludf.DUMMYFUNCTION("""COMPUTED_VALUE"""),726.0)</f>
        <v>726</v>
      </c>
      <c r="E782" s="39" t="str">
        <f>IFERROR(__xludf.DUMMYFUNCTION("""COMPUTED_VALUE"""),"layer III of area 9/46d")</f>
        <v>layer III of area 9/46d</v>
      </c>
      <c r="F782" s="9" t="str">
        <f>IFERROR(__xludf.DUMMYFUNCTION("""COMPUTED_VALUE"""),"Br")</f>
        <v>Br</v>
      </c>
      <c r="G782" s="9" t="str">
        <f>IFERROR(__xludf.DUMMYFUNCTION("""COMPUTED_VALUE"""),"F")</f>
        <v>F</v>
      </c>
      <c r="H782" s="9" t="str">
        <f>IFERROR(__xludf.DUMMYFUNCTION("""COMPUTED_VALUE"""),"FGM")</f>
        <v>FGM</v>
      </c>
      <c r="I782" s="9" t="str">
        <f>IFERROR(__xludf.DUMMYFUNCTION("""COMPUTED_VALUE"""),"Tel")</f>
        <v>Tel</v>
      </c>
      <c r="J782" s="9" t="str">
        <f>IFERROR(__xludf.DUMMYFUNCTION("""COMPUTED_VALUE"""),"Cx")</f>
        <v>Cx</v>
      </c>
      <c r="K782" s="9" t="str">
        <f>IFERROR(__xludf.DUMMYFUNCTION("""COMPUTED_VALUE"""),"NCx")</f>
        <v>NCx</v>
      </c>
      <c r="L782" s="9" t="str">
        <f>IFERROR(__xludf.DUMMYFUNCTION("""COMPUTED_VALUE"""),"FCx")</f>
        <v>FCx</v>
      </c>
      <c r="M782" s="9" t="str">
        <f>IFERROR(__xludf.DUMMYFUNCTION("""COMPUTED_VALUE"""),"PFC")</f>
        <v>PFC</v>
      </c>
      <c r="N782" s="9" t="str">
        <f>IFERROR(__xludf.DUMMYFUNCTION("""COMPUTED_VALUE"""),"DFC")</f>
        <v>DFC</v>
      </c>
      <c r="O782" s="9" t="str">
        <f>IFERROR(__xludf.DUMMYFUNCTION("""COMPUTED_VALUE"""),"A9/46")</f>
        <v>A9/46</v>
      </c>
      <c r="P782" s="9" t="str">
        <f>IFERROR(__xludf.DUMMYFUNCTION("""COMPUTED_VALUE"""),"A9/46d")</f>
        <v>A9/46d</v>
      </c>
      <c r="Q782" s="9" t="str">
        <f>IFERROR(__xludf.DUMMYFUNCTION("""COMPUTED_VALUE"""),"A9/46d3")</f>
        <v>A9/46d3</v>
      </c>
      <c r="R782" s="9"/>
      <c r="S782" s="42"/>
      <c r="T782" s="42"/>
      <c r="U782" s="42"/>
      <c r="V782" s="42"/>
      <c r="W782" s="42"/>
      <c r="X782" s="42"/>
      <c r="Y782" s="42"/>
      <c r="Z782" s="42"/>
      <c r="AA782" s="42"/>
      <c r="AB782" s="42" t="str">
        <f>IFERROR(__xludf.DUMMYFUNCTION("""COMPUTED_VALUE"""),"allen institute")</f>
        <v>allen institute</v>
      </c>
      <c r="AC782" s="42" t="str">
        <f>IFERROR(__xludf.DUMMYFUNCTION("""COMPUTED_VALUE"""),"DHBA")</f>
        <v>DHBA</v>
      </c>
      <c r="AD782" s="42"/>
      <c r="AE782" s="42"/>
      <c r="AF782" s="9"/>
      <c r="AG782" s="9"/>
      <c r="AH782" s="42"/>
      <c r="AI782" s="42"/>
      <c r="AJ782" s="42"/>
      <c r="AK782" s="42"/>
      <c r="AL782" s="42"/>
      <c r="AM782" s="42"/>
      <c r="AN782" s="42"/>
      <c r="AO782" s="63" t="str">
        <f>IFERROR(__xludf.DUMMYFUNCTION("IF(ISBLANK(A782),,IF(ISBLANK(S782), A782&amp;"";"", TEXTJOIN(CHAR(10), TRUE, A782&amp;"";"", ARRAYFORMULA(VLOOKUP(SPLIT(S782, "";"" &amp; CHAR(10)), $A:$AO, 41, FALSE)))))"),"A9/46d3;")</f>
        <v>A9/46d3;</v>
      </c>
      <c r="AP782" s="89"/>
    </row>
    <row r="783">
      <c r="A783" s="151" t="str">
        <f>IFERROR(__xludf.DUMMYFUNCTION("""COMPUTED_VALUE"""),"A9/46d4")</f>
        <v>A9/46d4</v>
      </c>
      <c r="B783" s="42" t="str">
        <f>IFERROR(__xludf.DUMMYFUNCTION("""COMPUTED_VALUE"""),"DHBA")</f>
        <v>DHBA</v>
      </c>
      <c r="C783" s="42" t="str">
        <f>IFERROR(__xludf.DUMMYFUNCTION("""COMPUTED_VALUE"""),"layer IV of area 9/46d")</f>
        <v>layer IV of area 9/46d</v>
      </c>
      <c r="D783" s="42">
        <f>IFERROR(__xludf.DUMMYFUNCTION("""COMPUTED_VALUE"""),727.0)</f>
        <v>727</v>
      </c>
      <c r="E783" s="39" t="str">
        <f>IFERROR(__xludf.DUMMYFUNCTION("""COMPUTED_VALUE"""),"layer IV of area 9/46d")</f>
        <v>layer IV of area 9/46d</v>
      </c>
      <c r="F783" s="9" t="str">
        <f>IFERROR(__xludf.DUMMYFUNCTION("""COMPUTED_VALUE"""),"Br")</f>
        <v>Br</v>
      </c>
      <c r="G783" s="9" t="str">
        <f>IFERROR(__xludf.DUMMYFUNCTION("""COMPUTED_VALUE"""),"F")</f>
        <v>F</v>
      </c>
      <c r="H783" s="9" t="str">
        <f>IFERROR(__xludf.DUMMYFUNCTION("""COMPUTED_VALUE"""),"FGM")</f>
        <v>FGM</v>
      </c>
      <c r="I783" s="9" t="str">
        <f>IFERROR(__xludf.DUMMYFUNCTION("""COMPUTED_VALUE"""),"Tel")</f>
        <v>Tel</v>
      </c>
      <c r="J783" s="9" t="str">
        <f>IFERROR(__xludf.DUMMYFUNCTION("""COMPUTED_VALUE"""),"Cx")</f>
        <v>Cx</v>
      </c>
      <c r="K783" s="9" t="str">
        <f>IFERROR(__xludf.DUMMYFUNCTION("""COMPUTED_VALUE"""),"NCx")</f>
        <v>NCx</v>
      </c>
      <c r="L783" s="9" t="str">
        <f>IFERROR(__xludf.DUMMYFUNCTION("""COMPUTED_VALUE"""),"FCx")</f>
        <v>FCx</v>
      </c>
      <c r="M783" s="9" t="str">
        <f>IFERROR(__xludf.DUMMYFUNCTION("""COMPUTED_VALUE"""),"PFC")</f>
        <v>PFC</v>
      </c>
      <c r="N783" s="9" t="str">
        <f>IFERROR(__xludf.DUMMYFUNCTION("""COMPUTED_VALUE"""),"DFC")</f>
        <v>DFC</v>
      </c>
      <c r="O783" s="9" t="str">
        <f>IFERROR(__xludf.DUMMYFUNCTION("""COMPUTED_VALUE"""),"A9/46")</f>
        <v>A9/46</v>
      </c>
      <c r="P783" s="9" t="str">
        <f>IFERROR(__xludf.DUMMYFUNCTION("""COMPUTED_VALUE"""),"A9/46d")</f>
        <v>A9/46d</v>
      </c>
      <c r="Q783" s="9" t="str">
        <f>IFERROR(__xludf.DUMMYFUNCTION("""COMPUTED_VALUE"""),"A9/46d4")</f>
        <v>A9/46d4</v>
      </c>
      <c r="R783" s="9"/>
      <c r="S783" s="42"/>
      <c r="T783" s="42"/>
      <c r="U783" s="42"/>
      <c r="V783" s="42"/>
      <c r="W783" s="42"/>
      <c r="X783" s="42"/>
      <c r="Y783" s="42"/>
      <c r="Z783" s="42"/>
      <c r="AA783" s="42"/>
      <c r="AB783" s="42" t="str">
        <f>IFERROR(__xludf.DUMMYFUNCTION("""COMPUTED_VALUE"""),"allen institute")</f>
        <v>allen institute</v>
      </c>
      <c r="AC783" s="42" t="str">
        <f>IFERROR(__xludf.DUMMYFUNCTION("""COMPUTED_VALUE"""),"DHBA")</f>
        <v>DHBA</v>
      </c>
      <c r="AD783" s="42"/>
      <c r="AE783" s="42"/>
      <c r="AF783" s="9"/>
      <c r="AG783" s="9"/>
      <c r="AH783" s="42"/>
      <c r="AI783" s="42"/>
      <c r="AJ783" s="42"/>
      <c r="AK783" s="42"/>
      <c r="AL783" s="42"/>
      <c r="AM783" s="42"/>
      <c r="AN783" s="42"/>
      <c r="AO783" s="63" t="str">
        <f>IFERROR(__xludf.DUMMYFUNCTION("IF(ISBLANK(A783),,IF(ISBLANK(S783), A783&amp;"";"", TEXTJOIN(CHAR(10), TRUE, A783&amp;"";"", ARRAYFORMULA(VLOOKUP(SPLIT(S783, "";"" &amp; CHAR(10)), $A:$AO, 41, FALSE)))))"),"A9/46d4;")</f>
        <v>A9/46d4;</v>
      </c>
      <c r="AP783" s="89"/>
    </row>
    <row r="784">
      <c r="A784" s="151" t="str">
        <f>IFERROR(__xludf.DUMMYFUNCTION("""COMPUTED_VALUE"""),"A9/46d5")</f>
        <v>A9/46d5</v>
      </c>
      <c r="B784" s="42" t="str">
        <f>IFERROR(__xludf.DUMMYFUNCTION("""COMPUTED_VALUE"""),"DHBA")</f>
        <v>DHBA</v>
      </c>
      <c r="C784" s="42" t="str">
        <f>IFERROR(__xludf.DUMMYFUNCTION("""COMPUTED_VALUE"""),"layer V of area 9/46d")</f>
        <v>layer V of area 9/46d</v>
      </c>
      <c r="D784" s="42">
        <f>IFERROR(__xludf.DUMMYFUNCTION("""COMPUTED_VALUE"""),728.0)</f>
        <v>728</v>
      </c>
      <c r="E784" s="39" t="str">
        <f>IFERROR(__xludf.DUMMYFUNCTION("""COMPUTED_VALUE"""),"layer V of area 9/46d")</f>
        <v>layer V of area 9/46d</v>
      </c>
      <c r="F784" s="9" t="str">
        <f>IFERROR(__xludf.DUMMYFUNCTION("""COMPUTED_VALUE"""),"Br")</f>
        <v>Br</v>
      </c>
      <c r="G784" s="9" t="str">
        <f>IFERROR(__xludf.DUMMYFUNCTION("""COMPUTED_VALUE"""),"F")</f>
        <v>F</v>
      </c>
      <c r="H784" s="9" t="str">
        <f>IFERROR(__xludf.DUMMYFUNCTION("""COMPUTED_VALUE"""),"FGM")</f>
        <v>FGM</v>
      </c>
      <c r="I784" s="9" t="str">
        <f>IFERROR(__xludf.DUMMYFUNCTION("""COMPUTED_VALUE"""),"Tel")</f>
        <v>Tel</v>
      </c>
      <c r="J784" s="9" t="str">
        <f>IFERROR(__xludf.DUMMYFUNCTION("""COMPUTED_VALUE"""),"Cx")</f>
        <v>Cx</v>
      </c>
      <c r="K784" s="9" t="str">
        <f>IFERROR(__xludf.DUMMYFUNCTION("""COMPUTED_VALUE"""),"NCx")</f>
        <v>NCx</v>
      </c>
      <c r="L784" s="9" t="str">
        <f>IFERROR(__xludf.DUMMYFUNCTION("""COMPUTED_VALUE"""),"FCx")</f>
        <v>FCx</v>
      </c>
      <c r="M784" s="9" t="str">
        <f>IFERROR(__xludf.DUMMYFUNCTION("""COMPUTED_VALUE"""),"PFC")</f>
        <v>PFC</v>
      </c>
      <c r="N784" s="9" t="str">
        <f>IFERROR(__xludf.DUMMYFUNCTION("""COMPUTED_VALUE"""),"DFC")</f>
        <v>DFC</v>
      </c>
      <c r="O784" s="9" t="str">
        <f>IFERROR(__xludf.DUMMYFUNCTION("""COMPUTED_VALUE"""),"A9/46")</f>
        <v>A9/46</v>
      </c>
      <c r="P784" s="9" t="str">
        <f>IFERROR(__xludf.DUMMYFUNCTION("""COMPUTED_VALUE"""),"A9/46d")</f>
        <v>A9/46d</v>
      </c>
      <c r="Q784" s="9" t="str">
        <f>IFERROR(__xludf.DUMMYFUNCTION("""COMPUTED_VALUE"""),"A9/46d5")</f>
        <v>A9/46d5</v>
      </c>
      <c r="R784" s="9"/>
      <c r="S784" s="42"/>
      <c r="T784" s="42"/>
      <c r="U784" s="42"/>
      <c r="V784" s="42"/>
      <c r="W784" s="42"/>
      <c r="X784" s="42"/>
      <c r="Y784" s="42"/>
      <c r="Z784" s="42"/>
      <c r="AA784" s="42"/>
      <c r="AB784" s="42" t="str">
        <f>IFERROR(__xludf.DUMMYFUNCTION("""COMPUTED_VALUE"""),"allen institute")</f>
        <v>allen institute</v>
      </c>
      <c r="AC784" s="42" t="str">
        <f>IFERROR(__xludf.DUMMYFUNCTION("""COMPUTED_VALUE"""),"DHBA")</f>
        <v>DHBA</v>
      </c>
      <c r="AD784" s="42"/>
      <c r="AE784" s="42"/>
      <c r="AF784" s="9"/>
      <c r="AG784" s="9"/>
      <c r="AH784" s="42"/>
      <c r="AI784" s="42"/>
      <c r="AJ784" s="42"/>
      <c r="AK784" s="42"/>
      <c r="AL784" s="42"/>
      <c r="AM784" s="42"/>
      <c r="AN784" s="42"/>
      <c r="AO784" s="63" t="str">
        <f>IFERROR(__xludf.DUMMYFUNCTION("IF(ISBLANK(A784),,IF(ISBLANK(S784), A784&amp;"";"", TEXTJOIN(CHAR(10), TRUE, A784&amp;"";"", ARRAYFORMULA(VLOOKUP(SPLIT(S784, "";"" &amp; CHAR(10)), $A:$AO, 41, FALSE)))))"),"A9/46d5;")</f>
        <v>A9/46d5;</v>
      </c>
      <c r="AP784" s="89"/>
    </row>
    <row r="785">
      <c r="A785" s="151" t="str">
        <f>IFERROR(__xludf.DUMMYFUNCTION("""COMPUTED_VALUE"""),"A9/46d6")</f>
        <v>A9/46d6</v>
      </c>
      <c r="B785" s="42" t="str">
        <f>IFERROR(__xludf.DUMMYFUNCTION("""COMPUTED_VALUE"""),"DHBA")</f>
        <v>DHBA</v>
      </c>
      <c r="C785" s="42" t="str">
        <f>IFERROR(__xludf.DUMMYFUNCTION("""COMPUTED_VALUE"""),"layer VI of area 9/46d")</f>
        <v>layer VI of area 9/46d</v>
      </c>
      <c r="D785" s="42">
        <f>IFERROR(__xludf.DUMMYFUNCTION("""COMPUTED_VALUE"""),729.0)</f>
        <v>729</v>
      </c>
      <c r="E785" s="39" t="str">
        <f>IFERROR(__xludf.DUMMYFUNCTION("""COMPUTED_VALUE"""),"layer VI of area 9/46d")</f>
        <v>layer VI of area 9/46d</v>
      </c>
      <c r="F785" s="9" t="str">
        <f>IFERROR(__xludf.DUMMYFUNCTION("""COMPUTED_VALUE"""),"Br")</f>
        <v>Br</v>
      </c>
      <c r="G785" s="9" t="str">
        <f>IFERROR(__xludf.DUMMYFUNCTION("""COMPUTED_VALUE"""),"F")</f>
        <v>F</v>
      </c>
      <c r="H785" s="9" t="str">
        <f>IFERROR(__xludf.DUMMYFUNCTION("""COMPUTED_VALUE"""),"FGM")</f>
        <v>FGM</v>
      </c>
      <c r="I785" s="9" t="str">
        <f>IFERROR(__xludf.DUMMYFUNCTION("""COMPUTED_VALUE"""),"Tel")</f>
        <v>Tel</v>
      </c>
      <c r="J785" s="9" t="str">
        <f>IFERROR(__xludf.DUMMYFUNCTION("""COMPUTED_VALUE"""),"Cx")</f>
        <v>Cx</v>
      </c>
      <c r="K785" s="9" t="str">
        <f>IFERROR(__xludf.DUMMYFUNCTION("""COMPUTED_VALUE"""),"NCx")</f>
        <v>NCx</v>
      </c>
      <c r="L785" s="9" t="str">
        <f>IFERROR(__xludf.DUMMYFUNCTION("""COMPUTED_VALUE"""),"FCx")</f>
        <v>FCx</v>
      </c>
      <c r="M785" s="9" t="str">
        <f>IFERROR(__xludf.DUMMYFUNCTION("""COMPUTED_VALUE"""),"PFC")</f>
        <v>PFC</v>
      </c>
      <c r="N785" s="9" t="str">
        <f>IFERROR(__xludf.DUMMYFUNCTION("""COMPUTED_VALUE"""),"DFC")</f>
        <v>DFC</v>
      </c>
      <c r="O785" s="9" t="str">
        <f>IFERROR(__xludf.DUMMYFUNCTION("""COMPUTED_VALUE"""),"A9/46")</f>
        <v>A9/46</v>
      </c>
      <c r="P785" s="9" t="str">
        <f>IFERROR(__xludf.DUMMYFUNCTION("""COMPUTED_VALUE"""),"A9/46d")</f>
        <v>A9/46d</v>
      </c>
      <c r="Q785" s="9" t="str">
        <f>IFERROR(__xludf.DUMMYFUNCTION("""COMPUTED_VALUE"""),"A9/46d6")</f>
        <v>A9/46d6</v>
      </c>
      <c r="R785" s="9"/>
      <c r="S785" s="42"/>
      <c r="T785" s="42"/>
      <c r="U785" s="159"/>
      <c r="V785" s="42"/>
      <c r="W785" s="42"/>
      <c r="X785" s="42"/>
      <c r="Y785" s="42"/>
      <c r="Z785" s="42"/>
      <c r="AA785" s="42"/>
      <c r="AB785" s="42" t="str">
        <f>IFERROR(__xludf.DUMMYFUNCTION("""COMPUTED_VALUE"""),"allen institute")</f>
        <v>allen institute</v>
      </c>
      <c r="AC785" s="42" t="str">
        <f>IFERROR(__xludf.DUMMYFUNCTION("""COMPUTED_VALUE"""),"DHBA")</f>
        <v>DHBA</v>
      </c>
      <c r="AD785" s="42"/>
      <c r="AE785" s="42"/>
      <c r="AF785" s="9"/>
      <c r="AG785" s="9"/>
      <c r="AH785" s="42"/>
      <c r="AI785" s="42"/>
      <c r="AJ785" s="42"/>
      <c r="AK785" s="42"/>
      <c r="AL785" s="42"/>
      <c r="AM785" s="42"/>
      <c r="AN785" s="42"/>
      <c r="AO785" s="63" t="str">
        <f>IFERROR(__xludf.DUMMYFUNCTION("IF(ISBLANK(A785),,IF(ISBLANK(S785), A785&amp;"";"", TEXTJOIN(CHAR(10), TRUE, A785&amp;"";"", ARRAYFORMULA(VLOOKUP(SPLIT(S785, "";"" &amp; CHAR(10)), $A:$AO, 41, FALSE)))))"),"A9/46d6;")</f>
        <v>A9/46d6;</v>
      </c>
      <c r="AP785" s="89"/>
    </row>
    <row r="786">
      <c r="A786" s="151" t="str">
        <f>IFERROR(__xludf.DUMMYFUNCTION("""COMPUTED_VALUE"""),"A9/46v")</f>
        <v>A9/46v</v>
      </c>
      <c r="B786" s="42" t="str">
        <f>IFERROR(__xludf.DUMMYFUNCTION("""COMPUTED_VALUE"""),"DHBA")</f>
        <v>DHBA</v>
      </c>
      <c r="C786" s="42" t="str">
        <f>IFERROR(__xludf.DUMMYFUNCTION("""COMPUTED_VALUE"""),"ventral subdivision of A9/46")</f>
        <v>ventral subdivision of A9/46</v>
      </c>
      <c r="D786" s="42">
        <f>IFERROR(__xludf.DUMMYFUNCTION("""COMPUTED_VALUE"""),730.0)</f>
        <v>730</v>
      </c>
      <c r="E786" s="39" t="str">
        <f>IFERROR(__xludf.DUMMYFUNCTION("""COMPUTED_VALUE"""),"ventral subdivision of A9/46")</f>
        <v>ventral subdivision of A9/46</v>
      </c>
      <c r="F786" s="9" t="str">
        <f>IFERROR(__xludf.DUMMYFUNCTION("""COMPUTED_VALUE"""),"Br")</f>
        <v>Br</v>
      </c>
      <c r="G786" s="9" t="str">
        <f>IFERROR(__xludf.DUMMYFUNCTION("""COMPUTED_VALUE"""),"F")</f>
        <v>F</v>
      </c>
      <c r="H786" s="9" t="str">
        <f>IFERROR(__xludf.DUMMYFUNCTION("""COMPUTED_VALUE"""),"FGM")</f>
        <v>FGM</v>
      </c>
      <c r="I786" s="9" t="str">
        <f>IFERROR(__xludf.DUMMYFUNCTION("""COMPUTED_VALUE"""),"Tel")</f>
        <v>Tel</v>
      </c>
      <c r="J786" s="9" t="str">
        <f>IFERROR(__xludf.DUMMYFUNCTION("""COMPUTED_VALUE"""),"Cx")</f>
        <v>Cx</v>
      </c>
      <c r="K786" s="9" t="str">
        <f>IFERROR(__xludf.DUMMYFUNCTION("""COMPUTED_VALUE"""),"NCx")</f>
        <v>NCx</v>
      </c>
      <c r="L786" s="9" t="str">
        <f>IFERROR(__xludf.DUMMYFUNCTION("""COMPUTED_VALUE"""),"FCx")</f>
        <v>FCx</v>
      </c>
      <c r="M786" s="9" t="str">
        <f>IFERROR(__xludf.DUMMYFUNCTION("""COMPUTED_VALUE"""),"PFC")</f>
        <v>PFC</v>
      </c>
      <c r="N786" s="9" t="str">
        <f>IFERROR(__xludf.DUMMYFUNCTION("""COMPUTED_VALUE"""),"DFC")</f>
        <v>DFC</v>
      </c>
      <c r="O786" s="9" t="str">
        <f>IFERROR(__xludf.DUMMYFUNCTION("""COMPUTED_VALUE"""),"A9/46")</f>
        <v>A9/46</v>
      </c>
      <c r="P786" s="9" t="str">
        <f>IFERROR(__xludf.DUMMYFUNCTION("""COMPUTED_VALUE"""),"A9/46v")</f>
        <v>A9/46v</v>
      </c>
      <c r="Q786" s="9"/>
      <c r="R786" s="9"/>
      <c r="S786" s="42"/>
      <c r="T786" s="42" t="str">
        <f>IFERROR(__xludf.DUMMYFUNCTION("""COMPUTED_VALUE"""),"NCx")</f>
        <v>NCx</v>
      </c>
      <c r="U786" s="159" t="b">
        <f>IFERROR(__xludf.DUMMYFUNCTION("""COMPUTED_VALUE"""),FALSE)</f>
        <v>0</v>
      </c>
      <c r="V786" s="42"/>
      <c r="W786" s="42"/>
      <c r="X786" s="42"/>
      <c r="Y786" s="42"/>
      <c r="Z786" s="42"/>
      <c r="AA786" s="42"/>
      <c r="AB786" s="42" t="str">
        <f>IFERROR(__xludf.DUMMYFUNCTION("""COMPUTED_VALUE"""),"allen institute")</f>
        <v>allen institute</v>
      </c>
      <c r="AC786" s="42" t="str">
        <f>IFERROR(__xludf.DUMMYFUNCTION("""COMPUTED_VALUE"""),"DHBA")</f>
        <v>DHBA</v>
      </c>
      <c r="AD786" s="42"/>
      <c r="AE786" s="42"/>
      <c r="AF786" s="9"/>
      <c r="AG786" s="9"/>
      <c r="AH786" s="42"/>
      <c r="AI786" s="42"/>
      <c r="AJ786" s="42"/>
      <c r="AK786" s="42"/>
      <c r="AL786" s="42"/>
      <c r="AM786" s="42"/>
      <c r="AN786" s="42"/>
      <c r="AO786" s="63" t="str">
        <f>IFERROR(__xludf.DUMMYFUNCTION("IF(ISBLANK(A786),,IF(ISBLANK(S786), A786&amp;"";"", TEXTJOIN(CHAR(10), TRUE, A786&amp;"";"", ARRAYFORMULA(VLOOKUP(SPLIT(S786, "";"" &amp; CHAR(10)), $A:$AO, 41, FALSE)))))"),"A9/46v;")</f>
        <v>A9/46v;</v>
      </c>
      <c r="AP786" s="89"/>
    </row>
    <row r="787">
      <c r="A787" s="151" t="str">
        <f>IFERROR(__xludf.DUMMYFUNCTION("""COMPUTED_VALUE"""),"A9/46v1")</f>
        <v>A9/46v1</v>
      </c>
      <c r="B787" s="42" t="str">
        <f>IFERROR(__xludf.DUMMYFUNCTION("""COMPUTED_VALUE"""),"DHBA")</f>
        <v>DHBA</v>
      </c>
      <c r="C787" s="42" t="str">
        <f>IFERROR(__xludf.DUMMYFUNCTION("""COMPUTED_VALUE"""),"layer I of area 9/46v")</f>
        <v>layer I of area 9/46v</v>
      </c>
      <c r="D787" s="42">
        <f>IFERROR(__xludf.DUMMYFUNCTION("""COMPUTED_VALUE"""),731.0)</f>
        <v>731</v>
      </c>
      <c r="E787" s="39" t="str">
        <f>IFERROR(__xludf.DUMMYFUNCTION("""COMPUTED_VALUE"""),"layer I of area 9/46v")</f>
        <v>layer I of area 9/46v</v>
      </c>
      <c r="F787" s="9" t="str">
        <f>IFERROR(__xludf.DUMMYFUNCTION("""COMPUTED_VALUE"""),"Br")</f>
        <v>Br</v>
      </c>
      <c r="G787" s="9" t="str">
        <f>IFERROR(__xludf.DUMMYFUNCTION("""COMPUTED_VALUE"""),"F")</f>
        <v>F</v>
      </c>
      <c r="H787" s="9" t="str">
        <f>IFERROR(__xludf.DUMMYFUNCTION("""COMPUTED_VALUE"""),"FGM")</f>
        <v>FGM</v>
      </c>
      <c r="I787" s="9" t="str">
        <f>IFERROR(__xludf.DUMMYFUNCTION("""COMPUTED_VALUE"""),"Tel")</f>
        <v>Tel</v>
      </c>
      <c r="J787" s="9" t="str">
        <f>IFERROR(__xludf.DUMMYFUNCTION("""COMPUTED_VALUE"""),"Cx")</f>
        <v>Cx</v>
      </c>
      <c r="K787" s="9" t="str">
        <f>IFERROR(__xludf.DUMMYFUNCTION("""COMPUTED_VALUE"""),"NCx")</f>
        <v>NCx</v>
      </c>
      <c r="L787" s="9" t="str">
        <f>IFERROR(__xludf.DUMMYFUNCTION("""COMPUTED_VALUE"""),"FCx")</f>
        <v>FCx</v>
      </c>
      <c r="M787" s="9" t="str">
        <f>IFERROR(__xludf.DUMMYFUNCTION("""COMPUTED_VALUE"""),"PFC")</f>
        <v>PFC</v>
      </c>
      <c r="N787" s="9" t="str">
        <f>IFERROR(__xludf.DUMMYFUNCTION("""COMPUTED_VALUE"""),"DFC")</f>
        <v>DFC</v>
      </c>
      <c r="O787" s="9" t="str">
        <f>IFERROR(__xludf.DUMMYFUNCTION("""COMPUTED_VALUE"""),"A9/46")</f>
        <v>A9/46</v>
      </c>
      <c r="P787" s="9" t="str">
        <f>IFERROR(__xludf.DUMMYFUNCTION("""COMPUTED_VALUE"""),"A9/46v")</f>
        <v>A9/46v</v>
      </c>
      <c r="Q787" s="9" t="str">
        <f>IFERROR(__xludf.DUMMYFUNCTION("""COMPUTED_VALUE"""),"A9/46v1")</f>
        <v>A9/46v1</v>
      </c>
      <c r="R787" s="9"/>
      <c r="S787" s="42"/>
      <c r="T787" s="42"/>
      <c r="U787" s="159"/>
      <c r="V787" s="42"/>
      <c r="W787" s="42"/>
      <c r="X787" s="42"/>
      <c r="Y787" s="42"/>
      <c r="Z787" s="42"/>
      <c r="AA787" s="42"/>
      <c r="AB787" s="42" t="str">
        <f>IFERROR(__xludf.DUMMYFUNCTION("""COMPUTED_VALUE"""),"allen institute")</f>
        <v>allen institute</v>
      </c>
      <c r="AC787" s="42" t="str">
        <f>IFERROR(__xludf.DUMMYFUNCTION("""COMPUTED_VALUE"""),"DHBA")</f>
        <v>DHBA</v>
      </c>
      <c r="AD787" s="42"/>
      <c r="AE787" s="42"/>
      <c r="AF787" s="9"/>
      <c r="AG787" s="9"/>
      <c r="AH787" s="42"/>
      <c r="AI787" s="42"/>
      <c r="AJ787" s="42"/>
      <c r="AK787" s="42"/>
      <c r="AL787" s="42"/>
      <c r="AM787" s="42"/>
      <c r="AN787" s="42"/>
      <c r="AO787" s="63" t="str">
        <f>IFERROR(__xludf.DUMMYFUNCTION("IF(ISBLANK(A787),,IF(ISBLANK(S787), A787&amp;"";"", TEXTJOIN(CHAR(10), TRUE, A787&amp;"";"", ARRAYFORMULA(VLOOKUP(SPLIT(S787, "";"" &amp; CHAR(10)), $A:$AO, 41, FALSE)))))"),"A9/46v1;")</f>
        <v>A9/46v1;</v>
      </c>
      <c r="AP787" s="89"/>
    </row>
    <row r="788">
      <c r="A788" s="151" t="str">
        <f>IFERROR(__xludf.DUMMYFUNCTION("""COMPUTED_VALUE"""),"A9/46v2")</f>
        <v>A9/46v2</v>
      </c>
      <c r="B788" s="42" t="str">
        <f>IFERROR(__xludf.DUMMYFUNCTION("""COMPUTED_VALUE"""),"DHBA")</f>
        <v>DHBA</v>
      </c>
      <c r="C788" s="42" t="str">
        <f>IFERROR(__xludf.DUMMYFUNCTION("""COMPUTED_VALUE"""),"layer II of area 9/46v")</f>
        <v>layer II of area 9/46v</v>
      </c>
      <c r="D788" s="42">
        <f>IFERROR(__xludf.DUMMYFUNCTION("""COMPUTED_VALUE"""),732.0)</f>
        <v>732</v>
      </c>
      <c r="E788" s="39" t="str">
        <f>IFERROR(__xludf.DUMMYFUNCTION("""COMPUTED_VALUE"""),"layer II of area 9/46v")</f>
        <v>layer II of area 9/46v</v>
      </c>
      <c r="F788" s="9" t="str">
        <f>IFERROR(__xludf.DUMMYFUNCTION("""COMPUTED_VALUE"""),"Br")</f>
        <v>Br</v>
      </c>
      <c r="G788" s="9" t="str">
        <f>IFERROR(__xludf.DUMMYFUNCTION("""COMPUTED_VALUE"""),"F")</f>
        <v>F</v>
      </c>
      <c r="H788" s="9" t="str">
        <f>IFERROR(__xludf.DUMMYFUNCTION("""COMPUTED_VALUE"""),"FGM")</f>
        <v>FGM</v>
      </c>
      <c r="I788" s="9" t="str">
        <f>IFERROR(__xludf.DUMMYFUNCTION("""COMPUTED_VALUE"""),"Tel")</f>
        <v>Tel</v>
      </c>
      <c r="J788" s="9" t="str">
        <f>IFERROR(__xludf.DUMMYFUNCTION("""COMPUTED_VALUE"""),"Cx")</f>
        <v>Cx</v>
      </c>
      <c r="K788" s="9" t="str">
        <f>IFERROR(__xludf.DUMMYFUNCTION("""COMPUTED_VALUE"""),"NCx")</f>
        <v>NCx</v>
      </c>
      <c r="L788" s="9" t="str">
        <f>IFERROR(__xludf.DUMMYFUNCTION("""COMPUTED_VALUE"""),"FCx")</f>
        <v>FCx</v>
      </c>
      <c r="M788" s="9" t="str">
        <f>IFERROR(__xludf.DUMMYFUNCTION("""COMPUTED_VALUE"""),"PFC")</f>
        <v>PFC</v>
      </c>
      <c r="N788" s="9" t="str">
        <f>IFERROR(__xludf.DUMMYFUNCTION("""COMPUTED_VALUE"""),"DFC")</f>
        <v>DFC</v>
      </c>
      <c r="O788" s="9" t="str">
        <f>IFERROR(__xludf.DUMMYFUNCTION("""COMPUTED_VALUE"""),"A9/46")</f>
        <v>A9/46</v>
      </c>
      <c r="P788" s="9" t="str">
        <f>IFERROR(__xludf.DUMMYFUNCTION("""COMPUTED_VALUE"""),"A9/46v")</f>
        <v>A9/46v</v>
      </c>
      <c r="Q788" s="9" t="str">
        <f>IFERROR(__xludf.DUMMYFUNCTION("""COMPUTED_VALUE"""),"A9/46v2")</f>
        <v>A9/46v2</v>
      </c>
      <c r="R788" s="9"/>
      <c r="S788" s="42"/>
      <c r="T788" s="42"/>
      <c r="U788" s="159"/>
      <c r="V788" s="42"/>
      <c r="W788" s="42"/>
      <c r="X788" s="42"/>
      <c r="Y788" s="42"/>
      <c r="Z788" s="42"/>
      <c r="AA788" s="42"/>
      <c r="AB788" s="42" t="str">
        <f>IFERROR(__xludf.DUMMYFUNCTION("""COMPUTED_VALUE"""),"allen institute")</f>
        <v>allen institute</v>
      </c>
      <c r="AC788" s="42" t="str">
        <f>IFERROR(__xludf.DUMMYFUNCTION("""COMPUTED_VALUE"""),"DHBA")</f>
        <v>DHBA</v>
      </c>
      <c r="AD788" s="42"/>
      <c r="AE788" s="42"/>
      <c r="AF788" s="9"/>
      <c r="AG788" s="9"/>
      <c r="AH788" s="42"/>
      <c r="AI788" s="42"/>
      <c r="AJ788" s="42"/>
      <c r="AK788" s="42"/>
      <c r="AL788" s="42"/>
      <c r="AM788" s="42"/>
      <c r="AN788" s="42"/>
      <c r="AO788" s="63" t="str">
        <f>IFERROR(__xludf.DUMMYFUNCTION("IF(ISBLANK(A788),,IF(ISBLANK(S788), A788&amp;"";"", TEXTJOIN(CHAR(10), TRUE, A788&amp;"";"", ARRAYFORMULA(VLOOKUP(SPLIT(S788, "";"" &amp; CHAR(10)), $A:$AO, 41, FALSE)))))"),"A9/46v2;")</f>
        <v>A9/46v2;</v>
      </c>
      <c r="AP788" s="89"/>
    </row>
    <row r="789">
      <c r="A789" s="151" t="str">
        <f>IFERROR(__xludf.DUMMYFUNCTION("""COMPUTED_VALUE"""),"A9/46v3")</f>
        <v>A9/46v3</v>
      </c>
      <c r="B789" s="42" t="str">
        <f>IFERROR(__xludf.DUMMYFUNCTION("""COMPUTED_VALUE"""),"DHBA")</f>
        <v>DHBA</v>
      </c>
      <c r="C789" s="42" t="str">
        <f>IFERROR(__xludf.DUMMYFUNCTION("""COMPUTED_VALUE"""),"layer III of area 9/46v")</f>
        <v>layer III of area 9/46v</v>
      </c>
      <c r="D789" s="42">
        <f>IFERROR(__xludf.DUMMYFUNCTION("""COMPUTED_VALUE"""),733.0)</f>
        <v>733</v>
      </c>
      <c r="E789" s="39" t="str">
        <f>IFERROR(__xludf.DUMMYFUNCTION("""COMPUTED_VALUE"""),"layer III of area 9/46v")</f>
        <v>layer III of area 9/46v</v>
      </c>
      <c r="F789" s="9" t="str">
        <f>IFERROR(__xludf.DUMMYFUNCTION("""COMPUTED_VALUE"""),"Br")</f>
        <v>Br</v>
      </c>
      <c r="G789" s="9" t="str">
        <f>IFERROR(__xludf.DUMMYFUNCTION("""COMPUTED_VALUE"""),"F")</f>
        <v>F</v>
      </c>
      <c r="H789" s="9" t="str">
        <f>IFERROR(__xludf.DUMMYFUNCTION("""COMPUTED_VALUE"""),"FGM")</f>
        <v>FGM</v>
      </c>
      <c r="I789" s="9" t="str">
        <f>IFERROR(__xludf.DUMMYFUNCTION("""COMPUTED_VALUE"""),"Tel")</f>
        <v>Tel</v>
      </c>
      <c r="J789" s="9" t="str">
        <f>IFERROR(__xludf.DUMMYFUNCTION("""COMPUTED_VALUE"""),"Cx")</f>
        <v>Cx</v>
      </c>
      <c r="K789" s="9" t="str">
        <f>IFERROR(__xludf.DUMMYFUNCTION("""COMPUTED_VALUE"""),"NCx")</f>
        <v>NCx</v>
      </c>
      <c r="L789" s="9" t="str">
        <f>IFERROR(__xludf.DUMMYFUNCTION("""COMPUTED_VALUE"""),"FCx")</f>
        <v>FCx</v>
      </c>
      <c r="M789" s="9" t="str">
        <f>IFERROR(__xludf.DUMMYFUNCTION("""COMPUTED_VALUE"""),"PFC")</f>
        <v>PFC</v>
      </c>
      <c r="N789" s="9" t="str">
        <f>IFERROR(__xludf.DUMMYFUNCTION("""COMPUTED_VALUE"""),"DFC")</f>
        <v>DFC</v>
      </c>
      <c r="O789" s="9" t="str">
        <f>IFERROR(__xludf.DUMMYFUNCTION("""COMPUTED_VALUE"""),"A9/46")</f>
        <v>A9/46</v>
      </c>
      <c r="P789" s="9" t="str">
        <f>IFERROR(__xludf.DUMMYFUNCTION("""COMPUTED_VALUE"""),"A9/46v")</f>
        <v>A9/46v</v>
      </c>
      <c r="Q789" s="9" t="str">
        <f>IFERROR(__xludf.DUMMYFUNCTION("""COMPUTED_VALUE"""),"A9/46v3")</f>
        <v>A9/46v3</v>
      </c>
      <c r="R789" s="9"/>
      <c r="S789" s="42"/>
      <c r="T789" s="42"/>
      <c r="U789" s="159"/>
      <c r="V789" s="42"/>
      <c r="W789" s="42"/>
      <c r="X789" s="42"/>
      <c r="Y789" s="42"/>
      <c r="Z789" s="42"/>
      <c r="AA789" s="42"/>
      <c r="AB789" s="42" t="str">
        <f>IFERROR(__xludf.DUMMYFUNCTION("""COMPUTED_VALUE"""),"allen institute")</f>
        <v>allen institute</v>
      </c>
      <c r="AC789" s="42" t="str">
        <f>IFERROR(__xludf.DUMMYFUNCTION("""COMPUTED_VALUE"""),"DHBA")</f>
        <v>DHBA</v>
      </c>
      <c r="AD789" s="42"/>
      <c r="AE789" s="42"/>
      <c r="AF789" s="9"/>
      <c r="AG789" s="9"/>
      <c r="AH789" s="42"/>
      <c r="AI789" s="42"/>
      <c r="AJ789" s="42"/>
      <c r="AK789" s="42"/>
      <c r="AL789" s="42"/>
      <c r="AM789" s="42"/>
      <c r="AN789" s="42"/>
      <c r="AO789" s="63" t="str">
        <f>IFERROR(__xludf.DUMMYFUNCTION("IF(ISBLANK(A789),,IF(ISBLANK(S789), A789&amp;"";"", TEXTJOIN(CHAR(10), TRUE, A789&amp;"";"", ARRAYFORMULA(VLOOKUP(SPLIT(S789, "";"" &amp; CHAR(10)), $A:$AO, 41, FALSE)))))"),"A9/46v3;")</f>
        <v>A9/46v3;</v>
      </c>
      <c r="AP789" s="89"/>
    </row>
    <row r="790">
      <c r="A790" s="151" t="str">
        <f>IFERROR(__xludf.DUMMYFUNCTION("""COMPUTED_VALUE"""),"A9/46v4")</f>
        <v>A9/46v4</v>
      </c>
      <c r="B790" s="42" t="str">
        <f>IFERROR(__xludf.DUMMYFUNCTION("""COMPUTED_VALUE"""),"DHBA")</f>
        <v>DHBA</v>
      </c>
      <c r="C790" s="42" t="str">
        <f>IFERROR(__xludf.DUMMYFUNCTION("""COMPUTED_VALUE"""),"layer IV of area 9/46v")</f>
        <v>layer IV of area 9/46v</v>
      </c>
      <c r="D790" s="42">
        <f>IFERROR(__xludf.DUMMYFUNCTION("""COMPUTED_VALUE"""),734.0)</f>
        <v>734</v>
      </c>
      <c r="E790" s="39" t="str">
        <f>IFERROR(__xludf.DUMMYFUNCTION("""COMPUTED_VALUE"""),"layer IV of area 9/46v")</f>
        <v>layer IV of area 9/46v</v>
      </c>
      <c r="F790" s="9" t="str">
        <f>IFERROR(__xludf.DUMMYFUNCTION("""COMPUTED_VALUE"""),"Br")</f>
        <v>Br</v>
      </c>
      <c r="G790" s="9" t="str">
        <f>IFERROR(__xludf.DUMMYFUNCTION("""COMPUTED_VALUE"""),"F")</f>
        <v>F</v>
      </c>
      <c r="H790" s="9" t="str">
        <f>IFERROR(__xludf.DUMMYFUNCTION("""COMPUTED_VALUE"""),"FGM")</f>
        <v>FGM</v>
      </c>
      <c r="I790" s="9" t="str">
        <f>IFERROR(__xludf.DUMMYFUNCTION("""COMPUTED_VALUE"""),"Tel")</f>
        <v>Tel</v>
      </c>
      <c r="J790" s="9" t="str">
        <f>IFERROR(__xludf.DUMMYFUNCTION("""COMPUTED_VALUE"""),"Cx")</f>
        <v>Cx</v>
      </c>
      <c r="K790" s="9" t="str">
        <f>IFERROR(__xludf.DUMMYFUNCTION("""COMPUTED_VALUE"""),"NCx")</f>
        <v>NCx</v>
      </c>
      <c r="L790" s="9" t="str">
        <f>IFERROR(__xludf.DUMMYFUNCTION("""COMPUTED_VALUE"""),"FCx")</f>
        <v>FCx</v>
      </c>
      <c r="M790" s="9" t="str">
        <f>IFERROR(__xludf.DUMMYFUNCTION("""COMPUTED_VALUE"""),"PFC")</f>
        <v>PFC</v>
      </c>
      <c r="N790" s="9" t="str">
        <f>IFERROR(__xludf.DUMMYFUNCTION("""COMPUTED_VALUE"""),"DFC")</f>
        <v>DFC</v>
      </c>
      <c r="O790" s="9" t="str">
        <f>IFERROR(__xludf.DUMMYFUNCTION("""COMPUTED_VALUE"""),"A9/46")</f>
        <v>A9/46</v>
      </c>
      <c r="P790" s="9" t="str">
        <f>IFERROR(__xludf.DUMMYFUNCTION("""COMPUTED_VALUE"""),"A9/46v")</f>
        <v>A9/46v</v>
      </c>
      <c r="Q790" s="9" t="str">
        <f>IFERROR(__xludf.DUMMYFUNCTION("""COMPUTED_VALUE"""),"A9/46v4")</f>
        <v>A9/46v4</v>
      </c>
      <c r="R790" s="9"/>
      <c r="S790" s="42"/>
      <c r="T790" s="42"/>
      <c r="U790" s="42"/>
      <c r="V790" s="42"/>
      <c r="W790" s="42"/>
      <c r="X790" s="42"/>
      <c r="Y790" s="42"/>
      <c r="Z790" s="42"/>
      <c r="AA790" s="42"/>
      <c r="AB790" s="42" t="str">
        <f>IFERROR(__xludf.DUMMYFUNCTION("""COMPUTED_VALUE"""),"allen institute")</f>
        <v>allen institute</v>
      </c>
      <c r="AC790" s="42" t="str">
        <f>IFERROR(__xludf.DUMMYFUNCTION("""COMPUTED_VALUE"""),"DHBA")</f>
        <v>DHBA</v>
      </c>
      <c r="AD790" s="42"/>
      <c r="AE790" s="42"/>
      <c r="AF790" s="9"/>
      <c r="AG790" s="9"/>
      <c r="AH790" s="42"/>
      <c r="AI790" s="42"/>
      <c r="AJ790" s="42"/>
      <c r="AK790" s="42"/>
      <c r="AL790" s="42"/>
      <c r="AM790" s="42"/>
      <c r="AN790" s="42"/>
      <c r="AO790" s="63" t="str">
        <f>IFERROR(__xludf.DUMMYFUNCTION("IF(ISBLANK(A790),,IF(ISBLANK(S790), A790&amp;"";"", TEXTJOIN(CHAR(10), TRUE, A790&amp;"";"", ARRAYFORMULA(VLOOKUP(SPLIT(S790, "";"" &amp; CHAR(10)), $A:$AO, 41, FALSE)))))"),"A9/46v4;")</f>
        <v>A9/46v4;</v>
      </c>
      <c r="AP790" s="89"/>
    </row>
    <row r="791">
      <c r="A791" s="151" t="str">
        <f>IFERROR(__xludf.DUMMYFUNCTION("""COMPUTED_VALUE"""),"A9/46v5")</f>
        <v>A9/46v5</v>
      </c>
      <c r="B791" s="42" t="str">
        <f>IFERROR(__xludf.DUMMYFUNCTION("""COMPUTED_VALUE"""),"DHBA")</f>
        <v>DHBA</v>
      </c>
      <c r="C791" s="42" t="str">
        <f>IFERROR(__xludf.DUMMYFUNCTION("""COMPUTED_VALUE"""),"layer V of area 9/46v")</f>
        <v>layer V of area 9/46v</v>
      </c>
      <c r="D791" s="42">
        <f>IFERROR(__xludf.DUMMYFUNCTION("""COMPUTED_VALUE"""),735.0)</f>
        <v>735</v>
      </c>
      <c r="E791" s="39" t="str">
        <f>IFERROR(__xludf.DUMMYFUNCTION("""COMPUTED_VALUE"""),"layer V of area 9/46v")</f>
        <v>layer V of area 9/46v</v>
      </c>
      <c r="F791" s="9" t="str">
        <f>IFERROR(__xludf.DUMMYFUNCTION("""COMPUTED_VALUE"""),"Br")</f>
        <v>Br</v>
      </c>
      <c r="G791" s="9" t="str">
        <f>IFERROR(__xludf.DUMMYFUNCTION("""COMPUTED_VALUE"""),"F")</f>
        <v>F</v>
      </c>
      <c r="H791" s="9" t="str">
        <f>IFERROR(__xludf.DUMMYFUNCTION("""COMPUTED_VALUE"""),"FGM")</f>
        <v>FGM</v>
      </c>
      <c r="I791" s="9" t="str">
        <f>IFERROR(__xludf.DUMMYFUNCTION("""COMPUTED_VALUE"""),"Tel")</f>
        <v>Tel</v>
      </c>
      <c r="J791" s="9" t="str">
        <f>IFERROR(__xludf.DUMMYFUNCTION("""COMPUTED_VALUE"""),"Cx")</f>
        <v>Cx</v>
      </c>
      <c r="K791" s="9" t="str">
        <f>IFERROR(__xludf.DUMMYFUNCTION("""COMPUTED_VALUE"""),"NCx")</f>
        <v>NCx</v>
      </c>
      <c r="L791" s="9" t="str">
        <f>IFERROR(__xludf.DUMMYFUNCTION("""COMPUTED_VALUE"""),"FCx")</f>
        <v>FCx</v>
      </c>
      <c r="M791" s="9" t="str">
        <f>IFERROR(__xludf.DUMMYFUNCTION("""COMPUTED_VALUE"""),"PFC")</f>
        <v>PFC</v>
      </c>
      <c r="N791" s="9" t="str">
        <f>IFERROR(__xludf.DUMMYFUNCTION("""COMPUTED_VALUE"""),"DFC")</f>
        <v>DFC</v>
      </c>
      <c r="O791" s="9" t="str">
        <f>IFERROR(__xludf.DUMMYFUNCTION("""COMPUTED_VALUE"""),"A9/46")</f>
        <v>A9/46</v>
      </c>
      <c r="P791" s="9" t="str">
        <f>IFERROR(__xludf.DUMMYFUNCTION("""COMPUTED_VALUE"""),"A9/46v")</f>
        <v>A9/46v</v>
      </c>
      <c r="Q791" s="9" t="str">
        <f>IFERROR(__xludf.DUMMYFUNCTION("""COMPUTED_VALUE"""),"A9/46v5")</f>
        <v>A9/46v5</v>
      </c>
      <c r="R791" s="9"/>
      <c r="S791" s="42"/>
      <c r="T791" s="42"/>
      <c r="U791" s="42"/>
      <c r="V791" s="42"/>
      <c r="W791" s="42"/>
      <c r="X791" s="42"/>
      <c r="Y791" s="42"/>
      <c r="Z791" s="42"/>
      <c r="AA791" s="42"/>
      <c r="AB791" s="42" t="str">
        <f>IFERROR(__xludf.DUMMYFUNCTION("""COMPUTED_VALUE"""),"allen institute")</f>
        <v>allen institute</v>
      </c>
      <c r="AC791" s="42" t="str">
        <f>IFERROR(__xludf.DUMMYFUNCTION("""COMPUTED_VALUE"""),"DHBA")</f>
        <v>DHBA</v>
      </c>
      <c r="AD791" s="42"/>
      <c r="AE791" s="42"/>
      <c r="AF791" s="9"/>
      <c r="AG791" s="9"/>
      <c r="AH791" s="42"/>
      <c r="AI791" s="42"/>
      <c r="AJ791" s="42"/>
      <c r="AK791" s="42"/>
      <c r="AL791" s="42"/>
      <c r="AM791" s="42"/>
      <c r="AN791" s="42"/>
      <c r="AO791" s="63" t="str">
        <f>IFERROR(__xludf.DUMMYFUNCTION("IF(ISBLANK(A791),,IF(ISBLANK(S791), A791&amp;"";"", TEXTJOIN(CHAR(10), TRUE, A791&amp;"";"", ARRAYFORMULA(VLOOKUP(SPLIT(S791, "";"" &amp; CHAR(10)), $A:$AO, 41, FALSE)))))"),"A9/46v5;")</f>
        <v>A9/46v5;</v>
      </c>
      <c r="AP791" s="89"/>
    </row>
    <row r="792">
      <c r="A792" s="151" t="str">
        <f>IFERROR(__xludf.DUMMYFUNCTION("""COMPUTED_VALUE"""),"A9/46v6")</f>
        <v>A9/46v6</v>
      </c>
      <c r="B792" s="42" t="str">
        <f>IFERROR(__xludf.DUMMYFUNCTION("""COMPUTED_VALUE"""),"DHBA")</f>
        <v>DHBA</v>
      </c>
      <c r="C792" s="42" t="str">
        <f>IFERROR(__xludf.DUMMYFUNCTION("""COMPUTED_VALUE"""),"layer VI of area 9/46v")</f>
        <v>layer VI of area 9/46v</v>
      </c>
      <c r="D792" s="42">
        <f>IFERROR(__xludf.DUMMYFUNCTION("""COMPUTED_VALUE"""),736.0)</f>
        <v>736</v>
      </c>
      <c r="E792" s="39" t="str">
        <f>IFERROR(__xludf.DUMMYFUNCTION("""COMPUTED_VALUE"""),"layer VI of area 9/46v")</f>
        <v>layer VI of area 9/46v</v>
      </c>
      <c r="F792" s="9" t="str">
        <f>IFERROR(__xludf.DUMMYFUNCTION("""COMPUTED_VALUE"""),"Br")</f>
        <v>Br</v>
      </c>
      <c r="G792" s="9" t="str">
        <f>IFERROR(__xludf.DUMMYFUNCTION("""COMPUTED_VALUE"""),"F")</f>
        <v>F</v>
      </c>
      <c r="H792" s="9" t="str">
        <f>IFERROR(__xludf.DUMMYFUNCTION("""COMPUTED_VALUE"""),"FGM")</f>
        <v>FGM</v>
      </c>
      <c r="I792" s="9" t="str">
        <f>IFERROR(__xludf.DUMMYFUNCTION("""COMPUTED_VALUE"""),"Tel")</f>
        <v>Tel</v>
      </c>
      <c r="J792" s="9" t="str">
        <f>IFERROR(__xludf.DUMMYFUNCTION("""COMPUTED_VALUE"""),"Cx")</f>
        <v>Cx</v>
      </c>
      <c r="K792" s="9" t="str">
        <f>IFERROR(__xludf.DUMMYFUNCTION("""COMPUTED_VALUE"""),"NCx")</f>
        <v>NCx</v>
      </c>
      <c r="L792" s="9" t="str">
        <f>IFERROR(__xludf.DUMMYFUNCTION("""COMPUTED_VALUE"""),"FCx")</f>
        <v>FCx</v>
      </c>
      <c r="M792" s="9" t="str">
        <f>IFERROR(__xludf.DUMMYFUNCTION("""COMPUTED_VALUE"""),"PFC")</f>
        <v>PFC</v>
      </c>
      <c r="N792" s="9" t="str">
        <f>IFERROR(__xludf.DUMMYFUNCTION("""COMPUTED_VALUE"""),"DFC")</f>
        <v>DFC</v>
      </c>
      <c r="O792" s="9" t="str">
        <f>IFERROR(__xludf.DUMMYFUNCTION("""COMPUTED_VALUE"""),"A9/46")</f>
        <v>A9/46</v>
      </c>
      <c r="P792" s="9" t="str">
        <f>IFERROR(__xludf.DUMMYFUNCTION("""COMPUTED_VALUE"""),"A9/46v")</f>
        <v>A9/46v</v>
      </c>
      <c r="Q792" s="9" t="str">
        <f>IFERROR(__xludf.DUMMYFUNCTION("""COMPUTED_VALUE"""),"A9/46v6")</f>
        <v>A9/46v6</v>
      </c>
      <c r="R792" s="9"/>
      <c r="S792" s="42"/>
      <c r="T792" s="42"/>
      <c r="U792" s="42"/>
      <c r="V792" s="42"/>
      <c r="W792" s="42"/>
      <c r="X792" s="42"/>
      <c r="Y792" s="42"/>
      <c r="Z792" s="42"/>
      <c r="AA792" s="42"/>
      <c r="AB792" s="42" t="str">
        <f>IFERROR(__xludf.DUMMYFUNCTION("""COMPUTED_VALUE"""),"allen institute")</f>
        <v>allen institute</v>
      </c>
      <c r="AC792" s="42" t="str">
        <f>IFERROR(__xludf.DUMMYFUNCTION("""COMPUTED_VALUE"""),"DHBA")</f>
        <v>DHBA</v>
      </c>
      <c r="AD792" s="42"/>
      <c r="AE792" s="42"/>
      <c r="AF792" s="9"/>
      <c r="AG792" s="9"/>
      <c r="AH792" s="42"/>
      <c r="AI792" s="42"/>
      <c r="AJ792" s="42"/>
      <c r="AK792" s="42"/>
      <c r="AL792" s="42"/>
      <c r="AM792" s="42"/>
      <c r="AN792" s="42"/>
      <c r="AO792" s="63" t="str">
        <f>IFERROR(__xludf.DUMMYFUNCTION("IF(ISBLANK(A792),,IF(ISBLANK(S792), A792&amp;"";"", TEXTJOIN(CHAR(10), TRUE, A792&amp;"";"", ARRAYFORMULA(VLOOKUP(SPLIT(S792, "";"" &amp; CHAR(10)), $A:$AO, 41, FALSE)))))"),"A9/46v6;")</f>
        <v>A9/46v6;</v>
      </c>
      <c r="AP792" s="89"/>
    </row>
    <row r="793">
      <c r="A793" s="151" t="str">
        <f>IFERROR(__xludf.DUMMYFUNCTION("""COMPUTED_VALUE"""),"A46")</f>
        <v>A46</v>
      </c>
      <c r="B793" s="42" t="str">
        <f>IFERROR(__xludf.DUMMYFUNCTION("""COMPUTED_VALUE"""),"DHBA")</f>
        <v>DHBA</v>
      </c>
      <c r="C793" s="42" t="str">
        <f>IFERROR(__xludf.DUMMYFUNCTION("""COMPUTED_VALUE"""),"rostroventral portion of DFC (area 46)")</f>
        <v>rostroventral portion of DFC (area 46)</v>
      </c>
      <c r="D793" s="42">
        <f>IFERROR(__xludf.DUMMYFUNCTION("""COMPUTED_VALUE"""),737.0)</f>
        <v>737</v>
      </c>
      <c r="E793" s="39" t="str">
        <f>IFERROR(__xludf.DUMMYFUNCTION("""COMPUTED_VALUE"""),"rostroventral portion of DFC (area 46)")</f>
        <v>rostroventral portion of DFC (area 46)</v>
      </c>
      <c r="F793" s="9" t="str">
        <f>IFERROR(__xludf.DUMMYFUNCTION("""COMPUTED_VALUE"""),"Br")</f>
        <v>Br</v>
      </c>
      <c r="G793" s="9" t="str">
        <f>IFERROR(__xludf.DUMMYFUNCTION("""COMPUTED_VALUE"""),"F")</f>
        <v>F</v>
      </c>
      <c r="H793" s="9" t="str">
        <f>IFERROR(__xludf.DUMMYFUNCTION("""COMPUTED_VALUE"""),"FGM")</f>
        <v>FGM</v>
      </c>
      <c r="I793" s="9" t="str">
        <f>IFERROR(__xludf.DUMMYFUNCTION("""COMPUTED_VALUE"""),"Tel")</f>
        <v>Tel</v>
      </c>
      <c r="J793" s="9" t="str">
        <f>IFERROR(__xludf.DUMMYFUNCTION("""COMPUTED_VALUE"""),"Cx")</f>
        <v>Cx</v>
      </c>
      <c r="K793" s="9" t="str">
        <f>IFERROR(__xludf.DUMMYFUNCTION("""COMPUTED_VALUE"""),"NCx")</f>
        <v>NCx</v>
      </c>
      <c r="L793" s="9" t="str">
        <f>IFERROR(__xludf.DUMMYFUNCTION("""COMPUTED_VALUE"""),"FCx")</f>
        <v>FCx</v>
      </c>
      <c r="M793" s="9" t="str">
        <f>IFERROR(__xludf.DUMMYFUNCTION("""COMPUTED_VALUE"""),"PFC")</f>
        <v>PFC</v>
      </c>
      <c r="N793" s="9" t="str">
        <f>IFERROR(__xludf.DUMMYFUNCTION("""COMPUTED_VALUE"""),"DFC")</f>
        <v>DFC</v>
      </c>
      <c r="O793" s="9" t="str">
        <f>IFERROR(__xludf.DUMMYFUNCTION("""COMPUTED_VALUE"""),"A46")</f>
        <v>A46</v>
      </c>
      <c r="P793" s="9"/>
      <c r="Q793" s="9"/>
      <c r="R793" s="9"/>
      <c r="S793" s="42" t="str">
        <f>IFERROR(__xludf.DUMMYFUNCTION("""COMPUTED_VALUE"""),"A46d;
A46v")</f>
        <v>A46d;
A46v</v>
      </c>
      <c r="T793" s="42" t="str">
        <f>IFERROR(__xludf.DUMMYFUNCTION("""COMPUTED_VALUE"""),"NCx")</f>
        <v>NCx</v>
      </c>
      <c r="U793" s="42" t="b">
        <f>IFERROR(__xludf.DUMMYFUNCTION("""COMPUTED_VALUE"""),FALSE)</f>
        <v>0</v>
      </c>
      <c r="V793" s="42"/>
      <c r="W793" s="42"/>
      <c r="X793" s="42"/>
      <c r="Y793" s="42"/>
      <c r="Z793" s="42"/>
      <c r="AA793" s="42"/>
      <c r="AB793" s="42" t="str">
        <f>IFERROR(__xludf.DUMMYFUNCTION("""COMPUTED_VALUE"""),"allen institute")</f>
        <v>allen institute</v>
      </c>
      <c r="AC793" s="42" t="str">
        <f>IFERROR(__xludf.DUMMYFUNCTION("""COMPUTED_VALUE"""),"DHBA")</f>
        <v>DHBA</v>
      </c>
      <c r="AD793" s="42"/>
      <c r="AE793" s="42"/>
      <c r="AF793" s="9"/>
      <c r="AG793" s="9"/>
      <c r="AH793" s="42"/>
      <c r="AI793" s="42"/>
      <c r="AJ793" s="42"/>
      <c r="AK793" s="42"/>
      <c r="AL793" s="42"/>
      <c r="AM793" s="42"/>
      <c r="AN793" s="42"/>
      <c r="AO793" s="63" t="str">
        <f>IFERROR(__xludf.DUMMYFUNCTION("IF(ISBLANK(A793),,IF(ISBLANK(S793), A793&amp;"";"", TEXTJOIN(CHAR(10), TRUE, A793&amp;"";"", ARRAYFORMULA(VLOOKUP(SPLIT(S793, "";"" &amp; CHAR(10)), $A:$AO, 41, FALSE)))))"),"A46;
A46d;
A46d1;
A46d2;
A46d3;
A46d4;
A46d5;
A46d6;
A46v;
A46v1;
A46v2;
A46v3;
A46v4;
A46v5;
A46v6;")</f>
        <v>A46;
A46d;
A46d1;
A46d2;
A46d3;
A46d4;
A46d5;
A46d6;
A46v;
A46v1;
A46v2;
A46v3;
A46v4;
A46v5;
A46v6;</v>
      </c>
      <c r="AP793" s="89"/>
    </row>
    <row r="794">
      <c r="A794" s="151" t="str">
        <f>IFERROR(__xludf.DUMMYFUNCTION("""COMPUTED_VALUE"""),"A46d")</f>
        <v>A46d</v>
      </c>
      <c r="B794" s="42" t="str">
        <f>IFERROR(__xludf.DUMMYFUNCTION("""COMPUTED_VALUE"""),"DHBA")</f>
        <v>DHBA</v>
      </c>
      <c r="C794" s="42" t="str">
        <f>IFERROR(__xludf.DUMMYFUNCTION("""COMPUTED_VALUE"""),"dorsal subdivision of area 46")</f>
        <v>dorsal subdivision of area 46</v>
      </c>
      <c r="D794" s="42">
        <f>IFERROR(__xludf.DUMMYFUNCTION("""COMPUTED_VALUE"""),738.0)</f>
        <v>738</v>
      </c>
      <c r="E794" s="39" t="str">
        <f>IFERROR(__xludf.DUMMYFUNCTION("""COMPUTED_VALUE"""),"dorsal subdivision of area 46")</f>
        <v>dorsal subdivision of area 46</v>
      </c>
      <c r="F794" s="9" t="str">
        <f>IFERROR(__xludf.DUMMYFUNCTION("""COMPUTED_VALUE"""),"Br")</f>
        <v>Br</v>
      </c>
      <c r="G794" s="9" t="str">
        <f>IFERROR(__xludf.DUMMYFUNCTION("""COMPUTED_VALUE"""),"F")</f>
        <v>F</v>
      </c>
      <c r="H794" s="9" t="str">
        <f>IFERROR(__xludf.DUMMYFUNCTION("""COMPUTED_VALUE"""),"FGM")</f>
        <v>FGM</v>
      </c>
      <c r="I794" s="9" t="str">
        <f>IFERROR(__xludf.DUMMYFUNCTION("""COMPUTED_VALUE"""),"Tel")</f>
        <v>Tel</v>
      </c>
      <c r="J794" s="9" t="str">
        <f>IFERROR(__xludf.DUMMYFUNCTION("""COMPUTED_VALUE"""),"Cx")</f>
        <v>Cx</v>
      </c>
      <c r="K794" s="9" t="str">
        <f>IFERROR(__xludf.DUMMYFUNCTION("""COMPUTED_VALUE"""),"NCx")</f>
        <v>NCx</v>
      </c>
      <c r="L794" s="9" t="str">
        <f>IFERROR(__xludf.DUMMYFUNCTION("""COMPUTED_VALUE"""),"FCx")</f>
        <v>FCx</v>
      </c>
      <c r="M794" s="9" t="str">
        <f>IFERROR(__xludf.DUMMYFUNCTION("""COMPUTED_VALUE"""),"PFC")</f>
        <v>PFC</v>
      </c>
      <c r="N794" s="9" t="str">
        <f>IFERROR(__xludf.DUMMYFUNCTION("""COMPUTED_VALUE"""),"DFC")</f>
        <v>DFC</v>
      </c>
      <c r="O794" s="9" t="str">
        <f>IFERROR(__xludf.DUMMYFUNCTION("""COMPUTED_VALUE"""),"A46")</f>
        <v>A46</v>
      </c>
      <c r="P794" s="9" t="str">
        <f>IFERROR(__xludf.DUMMYFUNCTION("""COMPUTED_VALUE"""),"A46d")</f>
        <v>A46d</v>
      </c>
      <c r="Q794" s="9"/>
      <c r="R794" s="9"/>
      <c r="S794" s="42" t="str">
        <f>IFERROR(__xludf.DUMMYFUNCTION("""COMPUTED_VALUE"""),"A46d1;
A46d2;
A46d3;
A46d4;
A46d5;
A46d6")</f>
        <v>A46d1;
A46d2;
A46d3;
A46d4;
A46d5;
A46d6</v>
      </c>
      <c r="T794" s="42" t="str">
        <f>IFERROR(__xludf.DUMMYFUNCTION("""COMPUTED_VALUE"""),"NCx")</f>
        <v>NCx</v>
      </c>
      <c r="U794" s="42" t="b">
        <f>IFERROR(__xludf.DUMMYFUNCTION("""COMPUTED_VALUE"""),FALSE)</f>
        <v>0</v>
      </c>
      <c r="V794" s="42"/>
      <c r="W794" s="42"/>
      <c r="X794" s="42"/>
      <c r="Y794" s="42"/>
      <c r="Z794" s="42"/>
      <c r="AA794" s="42"/>
      <c r="AB794" s="42" t="str">
        <f>IFERROR(__xludf.DUMMYFUNCTION("""COMPUTED_VALUE"""),"allen institute")</f>
        <v>allen institute</v>
      </c>
      <c r="AC794" s="42" t="str">
        <f>IFERROR(__xludf.DUMMYFUNCTION("""COMPUTED_VALUE"""),"DHBA")</f>
        <v>DHBA</v>
      </c>
      <c r="AD794" s="42"/>
      <c r="AE794" s="42"/>
      <c r="AF794" s="9"/>
      <c r="AG794" s="9"/>
      <c r="AH794" s="42"/>
      <c r="AI794" s="42"/>
      <c r="AJ794" s="42"/>
      <c r="AK794" s="42"/>
      <c r="AL794" s="42"/>
      <c r="AM794" s="42"/>
      <c r="AN794" s="42"/>
      <c r="AO794" s="63" t="str">
        <f>IFERROR(__xludf.DUMMYFUNCTION("IF(ISBLANK(A794),,IF(ISBLANK(S794), A794&amp;"";"", TEXTJOIN(CHAR(10), TRUE, A794&amp;"";"", ARRAYFORMULA(VLOOKUP(SPLIT(S794, "";"" &amp; CHAR(10)), $A:$AO, 41, FALSE)))))"),"A46d;
A46d1;
A46d2;
A46d3;
A46d4;
A46d5;
A46d6;")</f>
        <v>A46d;
A46d1;
A46d2;
A46d3;
A46d4;
A46d5;
A46d6;</v>
      </c>
      <c r="AP794" s="89"/>
    </row>
    <row r="795">
      <c r="A795" s="151" t="str">
        <f>IFERROR(__xludf.DUMMYFUNCTION("""COMPUTED_VALUE"""),"A46d1")</f>
        <v>A46d1</v>
      </c>
      <c r="B795" s="42" t="str">
        <f>IFERROR(__xludf.DUMMYFUNCTION("""COMPUTED_VALUE"""),"DHBA")</f>
        <v>DHBA</v>
      </c>
      <c r="C795" s="42" t="str">
        <f>IFERROR(__xludf.DUMMYFUNCTION("""COMPUTED_VALUE"""),"layer I of area 46d")</f>
        <v>layer I of area 46d</v>
      </c>
      <c r="D795" s="42">
        <f>IFERROR(__xludf.DUMMYFUNCTION("""COMPUTED_VALUE"""),739.0)</f>
        <v>739</v>
      </c>
      <c r="E795" s="39" t="str">
        <f>IFERROR(__xludf.DUMMYFUNCTION("""COMPUTED_VALUE"""),"layer I of area 46d")</f>
        <v>layer I of area 46d</v>
      </c>
      <c r="F795" s="9" t="str">
        <f>IFERROR(__xludf.DUMMYFUNCTION("""COMPUTED_VALUE"""),"Br")</f>
        <v>Br</v>
      </c>
      <c r="G795" s="9" t="str">
        <f>IFERROR(__xludf.DUMMYFUNCTION("""COMPUTED_VALUE"""),"F")</f>
        <v>F</v>
      </c>
      <c r="H795" s="9" t="str">
        <f>IFERROR(__xludf.DUMMYFUNCTION("""COMPUTED_VALUE"""),"FGM")</f>
        <v>FGM</v>
      </c>
      <c r="I795" s="9" t="str">
        <f>IFERROR(__xludf.DUMMYFUNCTION("""COMPUTED_VALUE"""),"Tel")</f>
        <v>Tel</v>
      </c>
      <c r="J795" s="9" t="str">
        <f>IFERROR(__xludf.DUMMYFUNCTION("""COMPUTED_VALUE"""),"Cx")</f>
        <v>Cx</v>
      </c>
      <c r="K795" s="9" t="str">
        <f>IFERROR(__xludf.DUMMYFUNCTION("""COMPUTED_VALUE"""),"NCx")</f>
        <v>NCx</v>
      </c>
      <c r="L795" s="9" t="str">
        <f>IFERROR(__xludf.DUMMYFUNCTION("""COMPUTED_VALUE"""),"FCx")</f>
        <v>FCx</v>
      </c>
      <c r="M795" s="9" t="str">
        <f>IFERROR(__xludf.DUMMYFUNCTION("""COMPUTED_VALUE"""),"PFC")</f>
        <v>PFC</v>
      </c>
      <c r="N795" s="9" t="str">
        <f>IFERROR(__xludf.DUMMYFUNCTION("""COMPUTED_VALUE"""),"DFC")</f>
        <v>DFC</v>
      </c>
      <c r="O795" s="9" t="str">
        <f>IFERROR(__xludf.DUMMYFUNCTION("""COMPUTED_VALUE"""),"A46")</f>
        <v>A46</v>
      </c>
      <c r="P795" s="9" t="str">
        <f>IFERROR(__xludf.DUMMYFUNCTION("""COMPUTED_VALUE"""),"A46d")</f>
        <v>A46d</v>
      </c>
      <c r="Q795" s="9" t="str">
        <f>IFERROR(__xludf.DUMMYFUNCTION("""COMPUTED_VALUE"""),"A46d1")</f>
        <v>A46d1</v>
      </c>
      <c r="R795" s="9"/>
      <c r="S795" s="42"/>
      <c r="T795" s="42"/>
      <c r="U795" s="42"/>
      <c r="V795" s="42"/>
      <c r="W795" s="42"/>
      <c r="X795" s="42"/>
      <c r="Y795" s="42"/>
      <c r="Z795" s="42"/>
      <c r="AA795" s="42"/>
      <c r="AB795" s="42" t="str">
        <f>IFERROR(__xludf.DUMMYFUNCTION("""COMPUTED_VALUE"""),"allen institute")</f>
        <v>allen institute</v>
      </c>
      <c r="AC795" s="42" t="str">
        <f>IFERROR(__xludf.DUMMYFUNCTION("""COMPUTED_VALUE"""),"DHBA")</f>
        <v>DHBA</v>
      </c>
      <c r="AD795" s="42"/>
      <c r="AE795" s="42"/>
      <c r="AF795" s="9"/>
      <c r="AG795" s="9"/>
      <c r="AH795" s="42"/>
      <c r="AI795" s="42"/>
      <c r="AJ795" s="42"/>
      <c r="AK795" s="42"/>
      <c r="AL795" s="42"/>
      <c r="AM795" s="42"/>
      <c r="AN795" s="42"/>
      <c r="AO795" s="63" t="str">
        <f>IFERROR(__xludf.DUMMYFUNCTION("IF(ISBLANK(A795),,IF(ISBLANK(S795), A795&amp;"";"", TEXTJOIN(CHAR(10), TRUE, A795&amp;"";"", ARRAYFORMULA(VLOOKUP(SPLIT(S795, "";"" &amp; CHAR(10)), $A:$AO, 41, FALSE)))))"),"A46d1;")</f>
        <v>A46d1;</v>
      </c>
      <c r="AP795" s="89"/>
    </row>
    <row r="796">
      <c r="A796" s="151" t="str">
        <f>IFERROR(__xludf.DUMMYFUNCTION("""COMPUTED_VALUE"""),"A46d2")</f>
        <v>A46d2</v>
      </c>
      <c r="B796" s="42" t="str">
        <f>IFERROR(__xludf.DUMMYFUNCTION("""COMPUTED_VALUE"""),"DHBA")</f>
        <v>DHBA</v>
      </c>
      <c r="C796" s="42" t="str">
        <f>IFERROR(__xludf.DUMMYFUNCTION("""COMPUTED_VALUE"""),"layer II of area 46d")</f>
        <v>layer II of area 46d</v>
      </c>
      <c r="D796" s="42">
        <f>IFERROR(__xludf.DUMMYFUNCTION("""COMPUTED_VALUE"""),740.0)</f>
        <v>740</v>
      </c>
      <c r="E796" s="39" t="str">
        <f>IFERROR(__xludf.DUMMYFUNCTION("""COMPUTED_VALUE"""),"layer II of area 46d")</f>
        <v>layer II of area 46d</v>
      </c>
      <c r="F796" s="9" t="str">
        <f>IFERROR(__xludf.DUMMYFUNCTION("""COMPUTED_VALUE"""),"Br")</f>
        <v>Br</v>
      </c>
      <c r="G796" s="9" t="str">
        <f>IFERROR(__xludf.DUMMYFUNCTION("""COMPUTED_VALUE"""),"F")</f>
        <v>F</v>
      </c>
      <c r="H796" s="9" t="str">
        <f>IFERROR(__xludf.DUMMYFUNCTION("""COMPUTED_VALUE"""),"FGM")</f>
        <v>FGM</v>
      </c>
      <c r="I796" s="9" t="str">
        <f>IFERROR(__xludf.DUMMYFUNCTION("""COMPUTED_VALUE"""),"Tel")</f>
        <v>Tel</v>
      </c>
      <c r="J796" s="9" t="str">
        <f>IFERROR(__xludf.DUMMYFUNCTION("""COMPUTED_VALUE"""),"Cx")</f>
        <v>Cx</v>
      </c>
      <c r="K796" s="9" t="str">
        <f>IFERROR(__xludf.DUMMYFUNCTION("""COMPUTED_VALUE"""),"NCx")</f>
        <v>NCx</v>
      </c>
      <c r="L796" s="9" t="str">
        <f>IFERROR(__xludf.DUMMYFUNCTION("""COMPUTED_VALUE"""),"FCx")</f>
        <v>FCx</v>
      </c>
      <c r="M796" s="9" t="str">
        <f>IFERROR(__xludf.DUMMYFUNCTION("""COMPUTED_VALUE"""),"PFC")</f>
        <v>PFC</v>
      </c>
      <c r="N796" s="9" t="str">
        <f>IFERROR(__xludf.DUMMYFUNCTION("""COMPUTED_VALUE"""),"DFC")</f>
        <v>DFC</v>
      </c>
      <c r="O796" s="9" t="str">
        <f>IFERROR(__xludf.DUMMYFUNCTION("""COMPUTED_VALUE"""),"A46")</f>
        <v>A46</v>
      </c>
      <c r="P796" s="9" t="str">
        <f>IFERROR(__xludf.DUMMYFUNCTION("""COMPUTED_VALUE"""),"A46d")</f>
        <v>A46d</v>
      </c>
      <c r="Q796" s="9" t="str">
        <f>IFERROR(__xludf.DUMMYFUNCTION("""COMPUTED_VALUE"""),"A46d2")</f>
        <v>A46d2</v>
      </c>
      <c r="R796" s="9"/>
      <c r="S796" s="42"/>
      <c r="T796" s="42"/>
      <c r="U796" s="42"/>
      <c r="V796" s="42"/>
      <c r="W796" s="42"/>
      <c r="X796" s="42"/>
      <c r="Y796" s="42"/>
      <c r="Z796" s="42"/>
      <c r="AA796" s="42"/>
      <c r="AB796" s="42" t="str">
        <f>IFERROR(__xludf.DUMMYFUNCTION("""COMPUTED_VALUE"""),"allen institute")</f>
        <v>allen institute</v>
      </c>
      <c r="AC796" s="42" t="str">
        <f>IFERROR(__xludf.DUMMYFUNCTION("""COMPUTED_VALUE"""),"DHBA")</f>
        <v>DHBA</v>
      </c>
      <c r="AD796" s="42"/>
      <c r="AE796" s="42"/>
      <c r="AF796" s="9"/>
      <c r="AG796" s="9"/>
      <c r="AH796" s="42"/>
      <c r="AI796" s="42"/>
      <c r="AJ796" s="42"/>
      <c r="AK796" s="42"/>
      <c r="AL796" s="42"/>
      <c r="AM796" s="42"/>
      <c r="AN796" s="42"/>
      <c r="AO796" s="63" t="str">
        <f>IFERROR(__xludf.DUMMYFUNCTION("IF(ISBLANK(A796),,IF(ISBLANK(S796), A796&amp;"";"", TEXTJOIN(CHAR(10), TRUE, A796&amp;"";"", ARRAYFORMULA(VLOOKUP(SPLIT(S796, "";"" &amp; CHAR(10)), $A:$AO, 41, FALSE)))))"),"A46d2;")</f>
        <v>A46d2;</v>
      </c>
      <c r="AP796" s="89"/>
    </row>
    <row r="797">
      <c r="A797" s="151" t="str">
        <f>IFERROR(__xludf.DUMMYFUNCTION("""COMPUTED_VALUE"""),"A46d3")</f>
        <v>A46d3</v>
      </c>
      <c r="B797" s="42" t="str">
        <f>IFERROR(__xludf.DUMMYFUNCTION("""COMPUTED_VALUE"""),"DHBA")</f>
        <v>DHBA</v>
      </c>
      <c r="C797" s="42" t="str">
        <f>IFERROR(__xludf.DUMMYFUNCTION("""COMPUTED_VALUE"""),"layer III of area 46d")</f>
        <v>layer III of area 46d</v>
      </c>
      <c r="D797" s="42">
        <f>IFERROR(__xludf.DUMMYFUNCTION("""COMPUTED_VALUE"""),741.0)</f>
        <v>741</v>
      </c>
      <c r="E797" s="39" t="str">
        <f>IFERROR(__xludf.DUMMYFUNCTION("""COMPUTED_VALUE"""),"layer III of area 46d")</f>
        <v>layer III of area 46d</v>
      </c>
      <c r="F797" s="9" t="str">
        <f>IFERROR(__xludf.DUMMYFUNCTION("""COMPUTED_VALUE"""),"Br")</f>
        <v>Br</v>
      </c>
      <c r="G797" s="9" t="str">
        <f>IFERROR(__xludf.DUMMYFUNCTION("""COMPUTED_VALUE"""),"F")</f>
        <v>F</v>
      </c>
      <c r="H797" s="9" t="str">
        <f>IFERROR(__xludf.DUMMYFUNCTION("""COMPUTED_VALUE"""),"FGM")</f>
        <v>FGM</v>
      </c>
      <c r="I797" s="9" t="str">
        <f>IFERROR(__xludf.DUMMYFUNCTION("""COMPUTED_VALUE"""),"Tel")</f>
        <v>Tel</v>
      </c>
      <c r="J797" s="9" t="str">
        <f>IFERROR(__xludf.DUMMYFUNCTION("""COMPUTED_VALUE"""),"Cx")</f>
        <v>Cx</v>
      </c>
      <c r="K797" s="9" t="str">
        <f>IFERROR(__xludf.DUMMYFUNCTION("""COMPUTED_VALUE"""),"NCx")</f>
        <v>NCx</v>
      </c>
      <c r="L797" s="9" t="str">
        <f>IFERROR(__xludf.DUMMYFUNCTION("""COMPUTED_VALUE"""),"FCx")</f>
        <v>FCx</v>
      </c>
      <c r="M797" s="9" t="str">
        <f>IFERROR(__xludf.DUMMYFUNCTION("""COMPUTED_VALUE"""),"PFC")</f>
        <v>PFC</v>
      </c>
      <c r="N797" s="9" t="str">
        <f>IFERROR(__xludf.DUMMYFUNCTION("""COMPUTED_VALUE"""),"DFC")</f>
        <v>DFC</v>
      </c>
      <c r="O797" s="9" t="str">
        <f>IFERROR(__xludf.DUMMYFUNCTION("""COMPUTED_VALUE"""),"A46")</f>
        <v>A46</v>
      </c>
      <c r="P797" s="9" t="str">
        <f>IFERROR(__xludf.DUMMYFUNCTION("""COMPUTED_VALUE"""),"A46d")</f>
        <v>A46d</v>
      </c>
      <c r="Q797" s="9" t="str">
        <f>IFERROR(__xludf.DUMMYFUNCTION("""COMPUTED_VALUE"""),"A46d3")</f>
        <v>A46d3</v>
      </c>
      <c r="R797" s="9"/>
      <c r="S797" s="42"/>
      <c r="T797" s="42"/>
      <c r="U797" s="42"/>
      <c r="V797" s="42"/>
      <c r="W797" s="42"/>
      <c r="X797" s="42"/>
      <c r="Y797" s="42"/>
      <c r="Z797" s="42"/>
      <c r="AA797" s="42"/>
      <c r="AB797" s="42" t="str">
        <f>IFERROR(__xludf.DUMMYFUNCTION("""COMPUTED_VALUE"""),"allen institute")</f>
        <v>allen institute</v>
      </c>
      <c r="AC797" s="42" t="str">
        <f>IFERROR(__xludf.DUMMYFUNCTION("""COMPUTED_VALUE"""),"DHBA")</f>
        <v>DHBA</v>
      </c>
      <c r="AD797" s="42"/>
      <c r="AE797" s="42"/>
      <c r="AF797" s="9"/>
      <c r="AG797" s="9"/>
      <c r="AH797" s="42"/>
      <c r="AI797" s="42"/>
      <c r="AJ797" s="42"/>
      <c r="AK797" s="42"/>
      <c r="AL797" s="42"/>
      <c r="AM797" s="42"/>
      <c r="AN797" s="42"/>
      <c r="AO797" s="63" t="str">
        <f>IFERROR(__xludf.DUMMYFUNCTION("IF(ISBLANK(A797),,IF(ISBLANK(S797), A797&amp;"";"", TEXTJOIN(CHAR(10), TRUE, A797&amp;"";"", ARRAYFORMULA(VLOOKUP(SPLIT(S797, "";"" &amp; CHAR(10)), $A:$AO, 41, FALSE)))))"),"A46d3;")</f>
        <v>A46d3;</v>
      </c>
      <c r="AP797" s="89"/>
    </row>
    <row r="798">
      <c r="A798" s="151" t="str">
        <f>IFERROR(__xludf.DUMMYFUNCTION("""COMPUTED_VALUE"""),"A46d4")</f>
        <v>A46d4</v>
      </c>
      <c r="B798" s="42" t="str">
        <f>IFERROR(__xludf.DUMMYFUNCTION("""COMPUTED_VALUE"""),"DHBA")</f>
        <v>DHBA</v>
      </c>
      <c r="C798" s="42" t="str">
        <f>IFERROR(__xludf.DUMMYFUNCTION("""COMPUTED_VALUE"""),"layer IV of area 46d")</f>
        <v>layer IV of area 46d</v>
      </c>
      <c r="D798" s="42">
        <f>IFERROR(__xludf.DUMMYFUNCTION("""COMPUTED_VALUE"""),742.0)</f>
        <v>742</v>
      </c>
      <c r="E798" s="39" t="str">
        <f>IFERROR(__xludf.DUMMYFUNCTION("""COMPUTED_VALUE"""),"layer IV of area 46d")</f>
        <v>layer IV of area 46d</v>
      </c>
      <c r="F798" s="9" t="str">
        <f>IFERROR(__xludf.DUMMYFUNCTION("""COMPUTED_VALUE"""),"Br")</f>
        <v>Br</v>
      </c>
      <c r="G798" s="9" t="str">
        <f>IFERROR(__xludf.DUMMYFUNCTION("""COMPUTED_VALUE"""),"F")</f>
        <v>F</v>
      </c>
      <c r="H798" s="9" t="str">
        <f>IFERROR(__xludf.DUMMYFUNCTION("""COMPUTED_VALUE"""),"FGM")</f>
        <v>FGM</v>
      </c>
      <c r="I798" s="9" t="str">
        <f>IFERROR(__xludf.DUMMYFUNCTION("""COMPUTED_VALUE"""),"Tel")</f>
        <v>Tel</v>
      </c>
      <c r="J798" s="9" t="str">
        <f>IFERROR(__xludf.DUMMYFUNCTION("""COMPUTED_VALUE"""),"Cx")</f>
        <v>Cx</v>
      </c>
      <c r="K798" s="9" t="str">
        <f>IFERROR(__xludf.DUMMYFUNCTION("""COMPUTED_VALUE"""),"NCx")</f>
        <v>NCx</v>
      </c>
      <c r="L798" s="9" t="str">
        <f>IFERROR(__xludf.DUMMYFUNCTION("""COMPUTED_VALUE"""),"FCx")</f>
        <v>FCx</v>
      </c>
      <c r="M798" s="9" t="str">
        <f>IFERROR(__xludf.DUMMYFUNCTION("""COMPUTED_VALUE"""),"PFC")</f>
        <v>PFC</v>
      </c>
      <c r="N798" s="9" t="str">
        <f>IFERROR(__xludf.DUMMYFUNCTION("""COMPUTED_VALUE"""),"DFC")</f>
        <v>DFC</v>
      </c>
      <c r="O798" s="9" t="str">
        <f>IFERROR(__xludf.DUMMYFUNCTION("""COMPUTED_VALUE"""),"A46")</f>
        <v>A46</v>
      </c>
      <c r="P798" s="9" t="str">
        <f>IFERROR(__xludf.DUMMYFUNCTION("""COMPUTED_VALUE"""),"A46d")</f>
        <v>A46d</v>
      </c>
      <c r="Q798" s="9" t="str">
        <f>IFERROR(__xludf.DUMMYFUNCTION("""COMPUTED_VALUE"""),"A46d4")</f>
        <v>A46d4</v>
      </c>
      <c r="R798" s="9"/>
      <c r="S798" s="42"/>
      <c r="T798" s="42"/>
      <c r="U798" s="42"/>
      <c r="V798" s="42"/>
      <c r="W798" s="42"/>
      <c r="X798" s="42"/>
      <c r="Y798" s="42"/>
      <c r="Z798" s="42"/>
      <c r="AA798" s="42"/>
      <c r="AB798" s="42" t="str">
        <f>IFERROR(__xludf.DUMMYFUNCTION("""COMPUTED_VALUE"""),"allen institute")</f>
        <v>allen institute</v>
      </c>
      <c r="AC798" s="42" t="str">
        <f>IFERROR(__xludf.DUMMYFUNCTION("""COMPUTED_VALUE"""),"DHBA")</f>
        <v>DHBA</v>
      </c>
      <c r="AD798" s="42"/>
      <c r="AE798" s="42"/>
      <c r="AF798" s="9"/>
      <c r="AG798" s="9"/>
      <c r="AH798" s="42"/>
      <c r="AI798" s="42"/>
      <c r="AJ798" s="42"/>
      <c r="AK798" s="42"/>
      <c r="AL798" s="42"/>
      <c r="AM798" s="42"/>
      <c r="AN798" s="42"/>
      <c r="AO798" s="63" t="str">
        <f>IFERROR(__xludf.DUMMYFUNCTION("IF(ISBLANK(A798),,IF(ISBLANK(S798), A798&amp;"";"", TEXTJOIN(CHAR(10), TRUE, A798&amp;"";"", ARRAYFORMULA(VLOOKUP(SPLIT(S798, "";"" &amp; CHAR(10)), $A:$AO, 41, FALSE)))))"),"A46d4;")</f>
        <v>A46d4;</v>
      </c>
      <c r="AP798" s="89"/>
    </row>
    <row r="799">
      <c r="A799" s="151" t="str">
        <f>IFERROR(__xludf.DUMMYFUNCTION("""COMPUTED_VALUE"""),"A46d5")</f>
        <v>A46d5</v>
      </c>
      <c r="B799" s="42" t="str">
        <f>IFERROR(__xludf.DUMMYFUNCTION("""COMPUTED_VALUE"""),"DHBA")</f>
        <v>DHBA</v>
      </c>
      <c r="C799" s="42" t="str">
        <f>IFERROR(__xludf.DUMMYFUNCTION("""COMPUTED_VALUE"""),"layer V of area 46d")</f>
        <v>layer V of area 46d</v>
      </c>
      <c r="D799" s="42">
        <f>IFERROR(__xludf.DUMMYFUNCTION("""COMPUTED_VALUE"""),743.0)</f>
        <v>743</v>
      </c>
      <c r="E799" s="39" t="str">
        <f>IFERROR(__xludf.DUMMYFUNCTION("""COMPUTED_VALUE"""),"layer V of area 46d")</f>
        <v>layer V of area 46d</v>
      </c>
      <c r="F799" s="9" t="str">
        <f>IFERROR(__xludf.DUMMYFUNCTION("""COMPUTED_VALUE"""),"Br")</f>
        <v>Br</v>
      </c>
      <c r="G799" s="9" t="str">
        <f>IFERROR(__xludf.DUMMYFUNCTION("""COMPUTED_VALUE"""),"F")</f>
        <v>F</v>
      </c>
      <c r="H799" s="9" t="str">
        <f>IFERROR(__xludf.DUMMYFUNCTION("""COMPUTED_VALUE"""),"FGM")</f>
        <v>FGM</v>
      </c>
      <c r="I799" s="9" t="str">
        <f>IFERROR(__xludf.DUMMYFUNCTION("""COMPUTED_VALUE"""),"Tel")</f>
        <v>Tel</v>
      </c>
      <c r="J799" s="9" t="str">
        <f>IFERROR(__xludf.DUMMYFUNCTION("""COMPUTED_VALUE"""),"Cx")</f>
        <v>Cx</v>
      </c>
      <c r="K799" s="9" t="str">
        <f>IFERROR(__xludf.DUMMYFUNCTION("""COMPUTED_VALUE"""),"NCx")</f>
        <v>NCx</v>
      </c>
      <c r="L799" s="9" t="str">
        <f>IFERROR(__xludf.DUMMYFUNCTION("""COMPUTED_VALUE"""),"FCx")</f>
        <v>FCx</v>
      </c>
      <c r="M799" s="9" t="str">
        <f>IFERROR(__xludf.DUMMYFUNCTION("""COMPUTED_VALUE"""),"PFC")</f>
        <v>PFC</v>
      </c>
      <c r="N799" s="9" t="str">
        <f>IFERROR(__xludf.DUMMYFUNCTION("""COMPUTED_VALUE"""),"DFC")</f>
        <v>DFC</v>
      </c>
      <c r="O799" s="9" t="str">
        <f>IFERROR(__xludf.DUMMYFUNCTION("""COMPUTED_VALUE"""),"A46")</f>
        <v>A46</v>
      </c>
      <c r="P799" s="9" t="str">
        <f>IFERROR(__xludf.DUMMYFUNCTION("""COMPUTED_VALUE"""),"A46d")</f>
        <v>A46d</v>
      </c>
      <c r="Q799" s="9" t="str">
        <f>IFERROR(__xludf.DUMMYFUNCTION("""COMPUTED_VALUE"""),"A46d5")</f>
        <v>A46d5</v>
      </c>
      <c r="R799" s="9"/>
      <c r="S799" s="42"/>
      <c r="T799" s="42"/>
      <c r="U799" s="42"/>
      <c r="V799" s="42"/>
      <c r="W799" s="42"/>
      <c r="X799" s="42"/>
      <c r="Y799" s="42"/>
      <c r="Z799" s="42"/>
      <c r="AA799" s="42"/>
      <c r="AB799" s="42" t="str">
        <f>IFERROR(__xludf.DUMMYFUNCTION("""COMPUTED_VALUE"""),"allen institute")</f>
        <v>allen institute</v>
      </c>
      <c r="AC799" s="42" t="str">
        <f>IFERROR(__xludf.DUMMYFUNCTION("""COMPUTED_VALUE"""),"DHBA")</f>
        <v>DHBA</v>
      </c>
      <c r="AD799" s="42"/>
      <c r="AE799" s="42"/>
      <c r="AF799" s="9"/>
      <c r="AG799" s="9"/>
      <c r="AH799" s="42"/>
      <c r="AI799" s="42"/>
      <c r="AJ799" s="42"/>
      <c r="AK799" s="42"/>
      <c r="AL799" s="42"/>
      <c r="AM799" s="42"/>
      <c r="AN799" s="42"/>
      <c r="AO799" s="63" t="str">
        <f>IFERROR(__xludf.DUMMYFUNCTION("IF(ISBLANK(A799),,IF(ISBLANK(S799), A799&amp;"";"", TEXTJOIN(CHAR(10), TRUE, A799&amp;"";"", ARRAYFORMULA(VLOOKUP(SPLIT(S799, "";"" &amp; CHAR(10)), $A:$AO, 41, FALSE)))))"),"A46d5;")</f>
        <v>A46d5;</v>
      </c>
      <c r="AP799" s="89"/>
    </row>
    <row r="800">
      <c r="A800" s="151" t="str">
        <f>IFERROR(__xludf.DUMMYFUNCTION("""COMPUTED_VALUE"""),"A46d6")</f>
        <v>A46d6</v>
      </c>
      <c r="B800" s="42" t="str">
        <f>IFERROR(__xludf.DUMMYFUNCTION("""COMPUTED_VALUE"""),"DHBA")</f>
        <v>DHBA</v>
      </c>
      <c r="C800" s="42" t="str">
        <f>IFERROR(__xludf.DUMMYFUNCTION("""COMPUTED_VALUE"""),"layer VI of area 46d")</f>
        <v>layer VI of area 46d</v>
      </c>
      <c r="D800" s="42">
        <f>IFERROR(__xludf.DUMMYFUNCTION("""COMPUTED_VALUE"""),744.0)</f>
        <v>744</v>
      </c>
      <c r="E800" s="39" t="str">
        <f>IFERROR(__xludf.DUMMYFUNCTION("""COMPUTED_VALUE"""),"layer VI of area 46d")</f>
        <v>layer VI of area 46d</v>
      </c>
      <c r="F800" s="9" t="str">
        <f>IFERROR(__xludf.DUMMYFUNCTION("""COMPUTED_VALUE"""),"Br")</f>
        <v>Br</v>
      </c>
      <c r="G800" s="9" t="str">
        <f>IFERROR(__xludf.DUMMYFUNCTION("""COMPUTED_VALUE"""),"F")</f>
        <v>F</v>
      </c>
      <c r="H800" s="9" t="str">
        <f>IFERROR(__xludf.DUMMYFUNCTION("""COMPUTED_VALUE"""),"FGM")</f>
        <v>FGM</v>
      </c>
      <c r="I800" s="9" t="str">
        <f>IFERROR(__xludf.DUMMYFUNCTION("""COMPUTED_VALUE"""),"Tel")</f>
        <v>Tel</v>
      </c>
      <c r="J800" s="9" t="str">
        <f>IFERROR(__xludf.DUMMYFUNCTION("""COMPUTED_VALUE"""),"Cx")</f>
        <v>Cx</v>
      </c>
      <c r="K800" s="9" t="str">
        <f>IFERROR(__xludf.DUMMYFUNCTION("""COMPUTED_VALUE"""),"NCx")</f>
        <v>NCx</v>
      </c>
      <c r="L800" s="9" t="str">
        <f>IFERROR(__xludf.DUMMYFUNCTION("""COMPUTED_VALUE"""),"FCx")</f>
        <v>FCx</v>
      </c>
      <c r="M800" s="9" t="str">
        <f>IFERROR(__xludf.DUMMYFUNCTION("""COMPUTED_VALUE"""),"PFC")</f>
        <v>PFC</v>
      </c>
      <c r="N800" s="9" t="str">
        <f>IFERROR(__xludf.DUMMYFUNCTION("""COMPUTED_VALUE"""),"DFC")</f>
        <v>DFC</v>
      </c>
      <c r="O800" s="9" t="str">
        <f>IFERROR(__xludf.DUMMYFUNCTION("""COMPUTED_VALUE"""),"A46")</f>
        <v>A46</v>
      </c>
      <c r="P800" s="9" t="str">
        <f>IFERROR(__xludf.DUMMYFUNCTION("""COMPUTED_VALUE"""),"A46d")</f>
        <v>A46d</v>
      </c>
      <c r="Q800" s="9" t="str">
        <f>IFERROR(__xludf.DUMMYFUNCTION("""COMPUTED_VALUE"""),"A46d6")</f>
        <v>A46d6</v>
      </c>
      <c r="R800" s="9"/>
      <c r="S800" s="42"/>
      <c r="T800" s="42"/>
      <c r="U800" s="42"/>
      <c r="V800" s="42"/>
      <c r="W800" s="42"/>
      <c r="X800" s="42"/>
      <c r="Y800" s="42"/>
      <c r="Z800" s="42"/>
      <c r="AA800" s="42"/>
      <c r="AB800" s="42" t="str">
        <f>IFERROR(__xludf.DUMMYFUNCTION("""COMPUTED_VALUE"""),"allen institute")</f>
        <v>allen institute</v>
      </c>
      <c r="AC800" s="42" t="str">
        <f>IFERROR(__xludf.DUMMYFUNCTION("""COMPUTED_VALUE"""),"DHBA")</f>
        <v>DHBA</v>
      </c>
      <c r="AD800" s="42"/>
      <c r="AE800" s="42"/>
      <c r="AF800" s="9"/>
      <c r="AG800" s="9"/>
      <c r="AH800" s="42"/>
      <c r="AI800" s="42"/>
      <c r="AJ800" s="42"/>
      <c r="AK800" s="42"/>
      <c r="AL800" s="42"/>
      <c r="AM800" s="42"/>
      <c r="AN800" s="42"/>
      <c r="AO800" s="63" t="str">
        <f>IFERROR(__xludf.DUMMYFUNCTION("IF(ISBLANK(A800),,IF(ISBLANK(S800), A800&amp;"";"", TEXTJOIN(CHAR(10), TRUE, A800&amp;"";"", ARRAYFORMULA(VLOOKUP(SPLIT(S800, "";"" &amp; CHAR(10)), $A:$AO, 41, FALSE)))))"),"A46d6;")</f>
        <v>A46d6;</v>
      </c>
      <c r="AP800" s="89"/>
    </row>
    <row r="801">
      <c r="A801" s="151" t="str">
        <f>IFERROR(__xludf.DUMMYFUNCTION("""COMPUTED_VALUE"""),"A46v")</f>
        <v>A46v</v>
      </c>
      <c r="B801" s="42" t="str">
        <f>IFERROR(__xludf.DUMMYFUNCTION("""COMPUTED_VALUE"""),"DHBA")</f>
        <v>DHBA</v>
      </c>
      <c r="C801" s="42" t="str">
        <f>IFERROR(__xludf.DUMMYFUNCTION("""COMPUTED_VALUE"""),"ventral subdivision of area 46")</f>
        <v>ventral subdivision of area 46</v>
      </c>
      <c r="D801" s="42">
        <f>IFERROR(__xludf.DUMMYFUNCTION("""COMPUTED_VALUE"""),745.0)</f>
        <v>745</v>
      </c>
      <c r="E801" s="39" t="str">
        <f>IFERROR(__xludf.DUMMYFUNCTION("""COMPUTED_VALUE"""),"ventral subdivision of area 46")</f>
        <v>ventral subdivision of area 46</v>
      </c>
      <c r="F801" s="9" t="str">
        <f>IFERROR(__xludf.DUMMYFUNCTION("""COMPUTED_VALUE"""),"Br")</f>
        <v>Br</v>
      </c>
      <c r="G801" s="9" t="str">
        <f>IFERROR(__xludf.DUMMYFUNCTION("""COMPUTED_VALUE"""),"F")</f>
        <v>F</v>
      </c>
      <c r="H801" s="9" t="str">
        <f>IFERROR(__xludf.DUMMYFUNCTION("""COMPUTED_VALUE"""),"FGM")</f>
        <v>FGM</v>
      </c>
      <c r="I801" s="9" t="str">
        <f>IFERROR(__xludf.DUMMYFUNCTION("""COMPUTED_VALUE"""),"Tel")</f>
        <v>Tel</v>
      </c>
      <c r="J801" s="9" t="str">
        <f>IFERROR(__xludf.DUMMYFUNCTION("""COMPUTED_VALUE"""),"Cx")</f>
        <v>Cx</v>
      </c>
      <c r="K801" s="9" t="str">
        <f>IFERROR(__xludf.DUMMYFUNCTION("""COMPUTED_VALUE"""),"NCx")</f>
        <v>NCx</v>
      </c>
      <c r="L801" s="9" t="str">
        <f>IFERROR(__xludf.DUMMYFUNCTION("""COMPUTED_VALUE"""),"FCx")</f>
        <v>FCx</v>
      </c>
      <c r="M801" s="9" t="str">
        <f>IFERROR(__xludf.DUMMYFUNCTION("""COMPUTED_VALUE"""),"PFC")</f>
        <v>PFC</v>
      </c>
      <c r="N801" s="9" t="str">
        <f>IFERROR(__xludf.DUMMYFUNCTION("""COMPUTED_VALUE"""),"DFC")</f>
        <v>DFC</v>
      </c>
      <c r="O801" s="9" t="str">
        <f>IFERROR(__xludf.DUMMYFUNCTION("""COMPUTED_VALUE"""),"A46")</f>
        <v>A46</v>
      </c>
      <c r="P801" s="9" t="str">
        <f>IFERROR(__xludf.DUMMYFUNCTION("""COMPUTED_VALUE"""),"A46v")</f>
        <v>A46v</v>
      </c>
      <c r="Q801" s="9"/>
      <c r="R801" s="9"/>
      <c r="S801" s="42" t="str">
        <f>IFERROR(__xludf.DUMMYFUNCTION("""COMPUTED_VALUE"""),"A46v1;
A46v2;
A46v3;
A46v4;
A46v5;
A46v6")</f>
        <v>A46v1;
A46v2;
A46v3;
A46v4;
A46v5;
A46v6</v>
      </c>
      <c r="T801" s="42" t="str">
        <f>IFERROR(__xludf.DUMMYFUNCTION("""COMPUTED_VALUE"""),"NCx")</f>
        <v>NCx</v>
      </c>
      <c r="U801" s="159" t="b">
        <f>IFERROR(__xludf.DUMMYFUNCTION("""COMPUTED_VALUE"""),FALSE)</f>
        <v>0</v>
      </c>
      <c r="V801" s="42"/>
      <c r="W801" s="42"/>
      <c r="X801" s="42"/>
      <c r="Y801" s="42"/>
      <c r="Z801" s="42"/>
      <c r="AA801" s="42"/>
      <c r="AB801" s="42" t="str">
        <f>IFERROR(__xludf.DUMMYFUNCTION("""COMPUTED_VALUE"""),"allen institute")</f>
        <v>allen institute</v>
      </c>
      <c r="AC801" s="42" t="str">
        <f>IFERROR(__xludf.DUMMYFUNCTION("""COMPUTED_VALUE"""),"DHBA")</f>
        <v>DHBA</v>
      </c>
      <c r="AD801" s="42"/>
      <c r="AE801" s="42"/>
      <c r="AF801" s="9"/>
      <c r="AG801" s="9"/>
      <c r="AH801" s="42"/>
      <c r="AI801" s="42"/>
      <c r="AJ801" s="42"/>
      <c r="AK801" s="42"/>
      <c r="AL801" s="42"/>
      <c r="AM801" s="42"/>
      <c r="AN801" s="42"/>
      <c r="AO801" s="63" t="str">
        <f>IFERROR(__xludf.DUMMYFUNCTION("IF(ISBLANK(A801),,IF(ISBLANK(S801), A801&amp;"";"", TEXTJOIN(CHAR(10), TRUE, A801&amp;"";"", ARRAYFORMULA(VLOOKUP(SPLIT(S801, "";"" &amp; CHAR(10)), $A:$AO, 41, FALSE)))))"),"A46v;
A46v1;
A46v2;
A46v3;
A46v4;
A46v5;
A46v6;")</f>
        <v>A46v;
A46v1;
A46v2;
A46v3;
A46v4;
A46v5;
A46v6;</v>
      </c>
      <c r="AP801" s="89"/>
    </row>
    <row r="802">
      <c r="A802" s="151" t="str">
        <f>IFERROR(__xludf.DUMMYFUNCTION("""COMPUTED_VALUE"""),"A46v1")</f>
        <v>A46v1</v>
      </c>
      <c r="B802" s="42" t="str">
        <f>IFERROR(__xludf.DUMMYFUNCTION("""COMPUTED_VALUE"""),"DHBA")</f>
        <v>DHBA</v>
      </c>
      <c r="C802" s="42" t="str">
        <f>IFERROR(__xludf.DUMMYFUNCTION("""COMPUTED_VALUE"""),"layer I of area 46v")</f>
        <v>layer I of area 46v</v>
      </c>
      <c r="D802" s="42">
        <f>IFERROR(__xludf.DUMMYFUNCTION("""COMPUTED_VALUE"""),746.0)</f>
        <v>746</v>
      </c>
      <c r="E802" s="39" t="str">
        <f>IFERROR(__xludf.DUMMYFUNCTION("""COMPUTED_VALUE"""),"layer I of area 46v")</f>
        <v>layer I of area 46v</v>
      </c>
      <c r="F802" s="9" t="str">
        <f>IFERROR(__xludf.DUMMYFUNCTION("""COMPUTED_VALUE"""),"Br")</f>
        <v>Br</v>
      </c>
      <c r="G802" s="9" t="str">
        <f>IFERROR(__xludf.DUMMYFUNCTION("""COMPUTED_VALUE"""),"F")</f>
        <v>F</v>
      </c>
      <c r="H802" s="9" t="str">
        <f>IFERROR(__xludf.DUMMYFUNCTION("""COMPUTED_VALUE"""),"FGM")</f>
        <v>FGM</v>
      </c>
      <c r="I802" s="9" t="str">
        <f>IFERROR(__xludf.DUMMYFUNCTION("""COMPUTED_VALUE"""),"Tel")</f>
        <v>Tel</v>
      </c>
      <c r="J802" s="9" t="str">
        <f>IFERROR(__xludf.DUMMYFUNCTION("""COMPUTED_VALUE"""),"Cx")</f>
        <v>Cx</v>
      </c>
      <c r="K802" s="9" t="str">
        <f>IFERROR(__xludf.DUMMYFUNCTION("""COMPUTED_VALUE"""),"NCx")</f>
        <v>NCx</v>
      </c>
      <c r="L802" s="9" t="str">
        <f>IFERROR(__xludf.DUMMYFUNCTION("""COMPUTED_VALUE"""),"FCx")</f>
        <v>FCx</v>
      </c>
      <c r="M802" s="9" t="str">
        <f>IFERROR(__xludf.DUMMYFUNCTION("""COMPUTED_VALUE"""),"PFC")</f>
        <v>PFC</v>
      </c>
      <c r="N802" s="9" t="str">
        <f>IFERROR(__xludf.DUMMYFUNCTION("""COMPUTED_VALUE"""),"DFC")</f>
        <v>DFC</v>
      </c>
      <c r="O802" s="9" t="str">
        <f>IFERROR(__xludf.DUMMYFUNCTION("""COMPUTED_VALUE"""),"A46")</f>
        <v>A46</v>
      </c>
      <c r="P802" s="9" t="str">
        <f>IFERROR(__xludf.DUMMYFUNCTION("""COMPUTED_VALUE"""),"A46v")</f>
        <v>A46v</v>
      </c>
      <c r="Q802" s="9" t="str">
        <f>IFERROR(__xludf.DUMMYFUNCTION("""COMPUTED_VALUE"""),"A46v1")</f>
        <v>A46v1</v>
      </c>
      <c r="R802" s="9"/>
      <c r="S802" s="42"/>
      <c r="T802" s="42"/>
      <c r="U802" s="159"/>
      <c r="V802" s="42"/>
      <c r="W802" s="42"/>
      <c r="X802" s="42"/>
      <c r="Y802" s="42"/>
      <c r="Z802" s="42"/>
      <c r="AA802" s="42"/>
      <c r="AB802" s="42" t="str">
        <f>IFERROR(__xludf.DUMMYFUNCTION("""COMPUTED_VALUE"""),"allen institute")</f>
        <v>allen institute</v>
      </c>
      <c r="AC802" s="42" t="str">
        <f>IFERROR(__xludf.DUMMYFUNCTION("""COMPUTED_VALUE"""),"DHBA")</f>
        <v>DHBA</v>
      </c>
      <c r="AD802" s="42"/>
      <c r="AE802" s="42"/>
      <c r="AF802" s="9"/>
      <c r="AG802" s="9"/>
      <c r="AH802" s="42"/>
      <c r="AI802" s="42"/>
      <c r="AJ802" s="42"/>
      <c r="AK802" s="42"/>
      <c r="AL802" s="42"/>
      <c r="AM802" s="42"/>
      <c r="AN802" s="42"/>
      <c r="AO802" s="63" t="str">
        <f>IFERROR(__xludf.DUMMYFUNCTION("IF(ISBLANK(A802),,IF(ISBLANK(S802), A802&amp;"";"", TEXTJOIN(CHAR(10), TRUE, A802&amp;"";"", ARRAYFORMULA(VLOOKUP(SPLIT(S802, "";"" &amp; CHAR(10)), $A:$AO, 41, FALSE)))))"),"A46v1;")</f>
        <v>A46v1;</v>
      </c>
      <c r="AP802" s="89"/>
    </row>
    <row r="803">
      <c r="A803" s="151" t="str">
        <f>IFERROR(__xludf.DUMMYFUNCTION("""COMPUTED_VALUE"""),"A46v2")</f>
        <v>A46v2</v>
      </c>
      <c r="B803" s="42" t="str">
        <f>IFERROR(__xludf.DUMMYFUNCTION("""COMPUTED_VALUE"""),"DHBA")</f>
        <v>DHBA</v>
      </c>
      <c r="C803" s="42" t="str">
        <f>IFERROR(__xludf.DUMMYFUNCTION("""COMPUTED_VALUE"""),"layer II of area 46v")</f>
        <v>layer II of area 46v</v>
      </c>
      <c r="D803" s="42">
        <f>IFERROR(__xludf.DUMMYFUNCTION("""COMPUTED_VALUE"""),747.0)</f>
        <v>747</v>
      </c>
      <c r="E803" s="39" t="str">
        <f>IFERROR(__xludf.DUMMYFUNCTION("""COMPUTED_VALUE"""),"layer II of area 46v")</f>
        <v>layer II of area 46v</v>
      </c>
      <c r="F803" s="9" t="str">
        <f>IFERROR(__xludf.DUMMYFUNCTION("""COMPUTED_VALUE"""),"Br")</f>
        <v>Br</v>
      </c>
      <c r="G803" s="9" t="str">
        <f>IFERROR(__xludf.DUMMYFUNCTION("""COMPUTED_VALUE"""),"F")</f>
        <v>F</v>
      </c>
      <c r="H803" s="9" t="str">
        <f>IFERROR(__xludf.DUMMYFUNCTION("""COMPUTED_VALUE"""),"FGM")</f>
        <v>FGM</v>
      </c>
      <c r="I803" s="9" t="str">
        <f>IFERROR(__xludf.DUMMYFUNCTION("""COMPUTED_VALUE"""),"Tel")</f>
        <v>Tel</v>
      </c>
      <c r="J803" s="9" t="str">
        <f>IFERROR(__xludf.DUMMYFUNCTION("""COMPUTED_VALUE"""),"Cx")</f>
        <v>Cx</v>
      </c>
      <c r="K803" s="9" t="str">
        <f>IFERROR(__xludf.DUMMYFUNCTION("""COMPUTED_VALUE"""),"NCx")</f>
        <v>NCx</v>
      </c>
      <c r="L803" s="9" t="str">
        <f>IFERROR(__xludf.DUMMYFUNCTION("""COMPUTED_VALUE"""),"FCx")</f>
        <v>FCx</v>
      </c>
      <c r="M803" s="9" t="str">
        <f>IFERROR(__xludf.DUMMYFUNCTION("""COMPUTED_VALUE"""),"PFC")</f>
        <v>PFC</v>
      </c>
      <c r="N803" s="9" t="str">
        <f>IFERROR(__xludf.DUMMYFUNCTION("""COMPUTED_VALUE"""),"DFC")</f>
        <v>DFC</v>
      </c>
      <c r="O803" s="9" t="str">
        <f>IFERROR(__xludf.DUMMYFUNCTION("""COMPUTED_VALUE"""),"A46")</f>
        <v>A46</v>
      </c>
      <c r="P803" s="9" t="str">
        <f>IFERROR(__xludf.DUMMYFUNCTION("""COMPUTED_VALUE"""),"A46v")</f>
        <v>A46v</v>
      </c>
      <c r="Q803" s="9" t="str">
        <f>IFERROR(__xludf.DUMMYFUNCTION("""COMPUTED_VALUE"""),"A46v2")</f>
        <v>A46v2</v>
      </c>
      <c r="R803" s="9"/>
      <c r="S803" s="42"/>
      <c r="T803" s="42"/>
      <c r="U803" s="159"/>
      <c r="V803" s="42"/>
      <c r="W803" s="42"/>
      <c r="X803" s="42"/>
      <c r="Y803" s="42"/>
      <c r="Z803" s="42"/>
      <c r="AA803" s="42"/>
      <c r="AB803" s="42" t="str">
        <f>IFERROR(__xludf.DUMMYFUNCTION("""COMPUTED_VALUE"""),"allen institute")</f>
        <v>allen institute</v>
      </c>
      <c r="AC803" s="42" t="str">
        <f>IFERROR(__xludf.DUMMYFUNCTION("""COMPUTED_VALUE"""),"DHBA")</f>
        <v>DHBA</v>
      </c>
      <c r="AD803" s="42"/>
      <c r="AE803" s="42"/>
      <c r="AF803" s="9"/>
      <c r="AG803" s="9"/>
      <c r="AH803" s="42"/>
      <c r="AI803" s="42"/>
      <c r="AJ803" s="42"/>
      <c r="AK803" s="42"/>
      <c r="AL803" s="42"/>
      <c r="AM803" s="42"/>
      <c r="AN803" s="42"/>
      <c r="AO803" s="63" t="str">
        <f>IFERROR(__xludf.DUMMYFUNCTION("IF(ISBLANK(A803),,IF(ISBLANK(S803), A803&amp;"";"", TEXTJOIN(CHAR(10), TRUE, A803&amp;"";"", ARRAYFORMULA(VLOOKUP(SPLIT(S803, "";"" &amp; CHAR(10)), $A:$AO, 41, FALSE)))))"),"A46v2;")</f>
        <v>A46v2;</v>
      </c>
      <c r="AP803" s="89"/>
    </row>
    <row r="804">
      <c r="A804" s="151" t="str">
        <f>IFERROR(__xludf.DUMMYFUNCTION("""COMPUTED_VALUE"""),"A46v3")</f>
        <v>A46v3</v>
      </c>
      <c r="B804" s="42" t="str">
        <f>IFERROR(__xludf.DUMMYFUNCTION("""COMPUTED_VALUE"""),"DHBA")</f>
        <v>DHBA</v>
      </c>
      <c r="C804" s="42" t="str">
        <f>IFERROR(__xludf.DUMMYFUNCTION("""COMPUTED_VALUE"""),"layer III of area 46v")</f>
        <v>layer III of area 46v</v>
      </c>
      <c r="D804" s="42">
        <f>IFERROR(__xludf.DUMMYFUNCTION("""COMPUTED_VALUE"""),748.0)</f>
        <v>748</v>
      </c>
      <c r="E804" s="39" t="str">
        <f>IFERROR(__xludf.DUMMYFUNCTION("""COMPUTED_VALUE"""),"layer III of area 46v")</f>
        <v>layer III of area 46v</v>
      </c>
      <c r="F804" s="9" t="str">
        <f>IFERROR(__xludf.DUMMYFUNCTION("""COMPUTED_VALUE"""),"Br")</f>
        <v>Br</v>
      </c>
      <c r="G804" s="9" t="str">
        <f>IFERROR(__xludf.DUMMYFUNCTION("""COMPUTED_VALUE"""),"F")</f>
        <v>F</v>
      </c>
      <c r="H804" s="9" t="str">
        <f>IFERROR(__xludf.DUMMYFUNCTION("""COMPUTED_VALUE"""),"FGM")</f>
        <v>FGM</v>
      </c>
      <c r="I804" s="9" t="str">
        <f>IFERROR(__xludf.DUMMYFUNCTION("""COMPUTED_VALUE"""),"Tel")</f>
        <v>Tel</v>
      </c>
      <c r="J804" s="9" t="str">
        <f>IFERROR(__xludf.DUMMYFUNCTION("""COMPUTED_VALUE"""),"Cx")</f>
        <v>Cx</v>
      </c>
      <c r="K804" s="9" t="str">
        <f>IFERROR(__xludf.DUMMYFUNCTION("""COMPUTED_VALUE"""),"NCx")</f>
        <v>NCx</v>
      </c>
      <c r="L804" s="9" t="str">
        <f>IFERROR(__xludf.DUMMYFUNCTION("""COMPUTED_VALUE"""),"FCx")</f>
        <v>FCx</v>
      </c>
      <c r="M804" s="9" t="str">
        <f>IFERROR(__xludf.DUMMYFUNCTION("""COMPUTED_VALUE"""),"PFC")</f>
        <v>PFC</v>
      </c>
      <c r="N804" s="9" t="str">
        <f>IFERROR(__xludf.DUMMYFUNCTION("""COMPUTED_VALUE"""),"DFC")</f>
        <v>DFC</v>
      </c>
      <c r="O804" s="9" t="str">
        <f>IFERROR(__xludf.DUMMYFUNCTION("""COMPUTED_VALUE"""),"A46")</f>
        <v>A46</v>
      </c>
      <c r="P804" s="9" t="str">
        <f>IFERROR(__xludf.DUMMYFUNCTION("""COMPUTED_VALUE"""),"A46v")</f>
        <v>A46v</v>
      </c>
      <c r="Q804" s="9" t="str">
        <f>IFERROR(__xludf.DUMMYFUNCTION("""COMPUTED_VALUE"""),"A46v3")</f>
        <v>A46v3</v>
      </c>
      <c r="R804" s="9"/>
      <c r="S804" s="42"/>
      <c r="T804" s="42"/>
      <c r="U804" s="159"/>
      <c r="V804" s="42"/>
      <c r="W804" s="42"/>
      <c r="X804" s="42"/>
      <c r="Y804" s="42"/>
      <c r="Z804" s="42"/>
      <c r="AA804" s="42"/>
      <c r="AB804" s="42" t="str">
        <f>IFERROR(__xludf.DUMMYFUNCTION("""COMPUTED_VALUE"""),"allen institute")</f>
        <v>allen institute</v>
      </c>
      <c r="AC804" s="42" t="str">
        <f>IFERROR(__xludf.DUMMYFUNCTION("""COMPUTED_VALUE"""),"DHBA")</f>
        <v>DHBA</v>
      </c>
      <c r="AD804" s="42"/>
      <c r="AE804" s="42"/>
      <c r="AF804" s="9"/>
      <c r="AG804" s="9"/>
      <c r="AH804" s="42"/>
      <c r="AI804" s="42"/>
      <c r="AJ804" s="42"/>
      <c r="AK804" s="42"/>
      <c r="AL804" s="42"/>
      <c r="AM804" s="42"/>
      <c r="AN804" s="42"/>
      <c r="AO804" s="63" t="str">
        <f>IFERROR(__xludf.DUMMYFUNCTION("IF(ISBLANK(A804),,IF(ISBLANK(S804), A804&amp;"";"", TEXTJOIN(CHAR(10), TRUE, A804&amp;"";"", ARRAYFORMULA(VLOOKUP(SPLIT(S804, "";"" &amp; CHAR(10)), $A:$AO, 41, FALSE)))))"),"A46v3;")</f>
        <v>A46v3;</v>
      </c>
      <c r="AP804" s="89"/>
    </row>
    <row r="805">
      <c r="A805" s="151" t="str">
        <f>IFERROR(__xludf.DUMMYFUNCTION("""COMPUTED_VALUE"""),"A46v4")</f>
        <v>A46v4</v>
      </c>
      <c r="B805" s="42" t="str">
        <f>IFERROR(__xludf.DUMMYFUNCTION("""COMPUTED_VALUE"""),"DHBA")</f>
        <v>DHBA</v>
      </c>
      <c r="C805" s="42" t="str">
        <f>IFERROR(__xludf.DUMMYFUNCTION("""COMPUTED_VALUE"""),"layer IV of area 46v")</f>
        <v>layer IV of area 46v</v>
      </c>
      <c r="D805" s="42">
        <f>IFERROR(__xludf.DUMMYFUNCTION("""COMPUTED_VALUE"""),749.0)</f>
        <v>749</v>
      </c>
      <c r="E805" s="39" t="str">
        <f>IFERROR(__xludf.DUMMYFUNCTION("""COMPUTED_VALUE"""),"layer IV of area 46v")</f>
        <v>layer IV of area 46v</v>
      </c>
      <c r="F805" s="9" t="str">
        <f>IFERROR(__xludf.DUMMYFUNCTION("""COMPUTED_VALUE"""),"Br")</f>
        <v>Br</v>
      </c>
      <c r="G805" s="9" t="str">
        <f>IFERROR(__xludf.DUMMYFUNCTION("""COMPUTED_VALUE"""),"F")</f>
        <v>F</v>
      </c>
      <c r="H805" s="9" t="str">
        <f>IFERROR(__xludf.DUMMYFUNCTION("""COMPUTED_VALUE"""),"FGM")</f>
        <v>FGM</v>
      </c>
      <c r="I805" s="9" t="str">
        <f>IFERROR(__xludf.DUMMYFUNCTION("""COMPUTED_VALUE"""),"Tel")</f>
        <v>Tel</v>
      </c>
      <c r="J805" s="9" t="str">
        <f>IFERROR(__xludf.DUMMYFUNCTION("""COMPUTED_VALUE"""),"Cx")</f>
        <v>Cx</v>
      </c>
      <c r="K805" s="9" t="str">
        <f>IFERROR(__xludf.DUMMYFUNCTION("""COMPUTED_VALUE"""),"NCx")</f>
        <v>NCx</v>
      </c>
      <c r="L805" s="9" t="str">
        <f>IFERROR(__xludf.DUMMYFUNCTION("""COMPUTED_VALUE"""),"FCx")</f>
        <v>FCx</v>
      </c>
      <c r="M805" s="9" t="str">
        <f>IFERROR(__xludf.DUMMYFUNCTION("""COMPUTED_VALUE"""),"PFC")</f>
        <v>PFC</v>
      </c>
      <c r="N805" s="9" t="str">
        <f>IFERROR(__xludf.DUMMYFUNCTION("""COMPUTED_VALUE"""),"DFC")</f>
        <v>DFC</v>
      </c>
      <c r="O805" s="9" t="str">
        <f>IFERROR(__xludf.DUMMYFUNCTION("""COMPUTED_VALUE"""),"A46")</f>
        <v>A46</v>
      </c>
      <c r="P805" s="9" t="str">
        <f>IFERROR(__xludf.DUMMYFUNCTION("""COMPUTED_VALUE"""),"A46v")</f>
        <v>A46v</v>
      </c>
      <c r="Q805" s="9" t="str">
        <f>IFERROR(__xludf.DUMMYFUNCTION("""COMPUTED_VALUE"""),"A46v4")</f>
        <v>A46v4</v>
      </c>
      <c r="R805" s="9"/>
      <c r="S805" s="42"/>
      <c r="T805" s="42"/>
      <c r="U805" s="42"/>
      <c r="V805" s="42"/>
      <c r="W805" s="42"/>
      <c r="X805" s="42"/>
      <c r="Y805" s="42"/>
      <c r="Z805" s="42"/>
      <c r="AA805" s="42"/>
      <c r="AB805" s="42" t="str">
        <f>IFERROR(__xludf.DUMMYFUNCTION("""COMPUTED_VALUE"""),"allen institute")</f>
        <v>allen institute</v>
      </c>
      <c r="AC805" s="42" t="str">
        <f>IFERROR(__xludf.DUMMYFUNCTION("""COMPUTED_VALUE"""),"DHBA")</f>
        <v>DHBA</v>
      </c>
      <c r="AD805" s="42"/>
      <c r="AE805" s="42"/>
      <c r="AF805" s="9"/>
      <c r="AG805" s="9"/>
      <c r="AH805" s="42"/>
      <c r="AI805" s="42"/>
      <c r="AJ805" s="42"/>
      <c r="AK805" s="42"/>
      <c r="AL805" s="42"/>
      <c r="AM805" s="42"/>
      <c r="AN805" s="42"/>
      <c r="AO805" s="63" t="str">
        <f>IFERROR(__xludf.DUMMYFUNCTION("IF(ISBLANK(A805),,IF(ISBLANK(S805), A805&amp;"";"", TEXTJOIN(CHAR(10), TRUE, A805&amp;"";"", ARRAYFORMULA(VLOOKUP(SPLIT(S805, "";"" &amp; CHAR(10)), $A:$AO, 41, FALSE)))))"),"A46v4;")</f>
        <v>A46v4;</v>
      </c>
      <c r="AP805" s="89"/>
    </row>
    <row r="806">
      <c r="A806" s="151" t="str">
        <f>IFERROR(__xludf.DUMMYFUNCTION("""COMPUTED_VALUE"""),"A46v5")</f>
        <v>A46v5</v>
      </c>
      <c r="B806" s="42" t="str">
        <f>IFERROR(__xludf.DUMMYFUNCTION("""COMPUTED_VALUE"""),"DHBA")</f>
        <v>DHBA</v>
      </c>
      <c r="C806" s="42" t="str">
        <f>IFERROR(__xludf.DUMMYFUNCTION("""COMPUTED_VALUE"""),"layer V of area 46v")</f>
        <v>layer V of area 46v</v>
      </c>
      <c r="D806" s="42">
        <f>IFERROR(__xludf.DUMMYFUNCTION("""COMPUTED_VALUE"""),750.0)</f>
        <v>750</v>
      </c>
      <c r="E806" s="39" t="str">
        <f>IFERROR(__xludf.DUMMYFUNCTION("""COMPUTED_VALUE"""),"layer V of area 46v")</f>
        <v>layer V of area 46v</v>
      </c>
      <c r="F806" s="9" t="str">
        <f>IFERROR(__xludf.DUMMYFUNCTION("""COMPUTED_VALUE"""),"Br")</f>
        <v>Br</v>
      </c>
      <c r="G806" s="9" t="str">
        <f>IFERROR(__xludf.DUMMYFUNCTION("""COMPUTED_VALUE"""),"F")</f>
        <v>F</v>
      </c>
      <c r="H806" s="9" t="str">
        <f>IFERROR(__xludf.DUMMYFUNCTION("""COMPUTED_VALUE"""),"FGM")</f>
        <v>FGM</v>
      </c>
      <c r="I806" s="9" t="str">
        <f>IFERROR(__xludf.DUMMYFUNCTION("""COMPUTED_VALUE"""),"Tel")</f>
        <v>Tel</v>
      </c>
      <c r="J806" s="9" t="str">
        <f>IFERROR(__xludf.DUMMYFUNCTION("""COMPUTED_VALUE"""),"Cx")</f>
        <v>Cx</v>
      </c>
      <c r="K806" s="9" t="str">
        <f>IFERROR(__xludf.DUMMYFUNCTION("""COMPUTED_VALUE"""),"NCx")</f>
        <v>NCx</v>
      </c>
      <c r="L806" s="9" t="str">
        <f>IFERROR(__xludf.DUMMYFUNCTION("""COMPUTED_VALUE"""),"FCx")</f>
        <v>FCx</v>
      </c>
      <c r="M806" s="9" t="str">
        <f>IFERROR(__xludf.DUMMYFUNCTION("""COMPUTED_VALUE"""),"PFC")</f>
        <v>PFC</v>
      </c>
      <c r="N806" s="9" t="str">
        <f>IFERROR(__xludf.DUMMYFUNCTION("""COMPUTED_VALUE"""),"DFC")</f>
        <v>DFC</v>
      </c>
      <c r="O806" s="9" t="str">
        <f>IFERROR(__xludf.DUMMYFUNCTION("""COMPUTED_VALUE"""),"A46")</f>
        <v>A46</v>
      </c>
      <c r="P806" s="9" t="str">
        <f>IFERROR(__xludf.DUMMYFUNCTION("""COMPUTED_VALUE"""),"A46v")</f>
        <v>A46v</v>
      </c>
      <c r="Q806" s="9" t="str">
        <f>IFERROR(__xludf.DUMMYFUNCTION("""COMPUTED_VALUE"""),"A46v5")</f>
        <v>A46v5</v>
      </c>
      <c r="R806" s="9"/>
      <c r="S806" s="42"/>
      <c r="T806" s="42"/>
      <c r="U806" s="42"/>
      <c r="V806" s="42"/>
      <c r="W806" s="42"/>
      <c r="X806" s="42"/>
      <c r="Y806" s="42"/>
      <c r="Z806" s="42"/>
      <c r="AA806" s="42"/>
      <c r="AB806" s="42" t="str">
        <f>IFERROR(__xludf.DUMMYFUNCTION("""COMPUTED_VALUE"""),"allen institute")</f>
        <v>allen institute</v>
      </c>
      <c r="AC806" s="42" t="str">
        <f>IFERROR(__xludf.DUMMYFUNCTION("""COMPUTED_VALUE"""),"DHBA")</f>
        <v>DHBA</v>
      </c>
      <c r="AD806" s="42"/>
      <c r="AE806" s="42"/>
      <c r="AF806" s="9"/>
      <c r="AG806" s="9"/>
      <c r="AH806" s="42"/>
      <c r="AI806" s="42"/>
      <c r="AJ806" s="42"/>
      <c r="AK806" s="42"/>
      <c r="AL806" s="42"/>
      <c r="AM806" s="42"/>
      <c r="AN806" s="42"/>
      <c r="AO806" s="63" t="str">
        <f>IFERROR(__xludf.DUMMYFUNCTION("IF(ISBLANK(A806),,IF(ISBLANK(S806), A806&amp;"";"", TEXTJOIN(CHAR(10), TRUE, A806&amp;"";"", ARRAYFORMULA(VLOOKUP(SPLIT(S806, "";"" &amp; CHAR(10)), $A:$AO, 41, FALSE)))))"),"A46v5;")</f>
        <v>A46v5;</v>
      </c>
      <c r="AP806" s="89"/>
    </row>
    <row r="807">
      <c r="A807" s="151" t="str">
        <f>IFERROR(__xludf.DUMMYFUNCTION("""COMPUTED_VALUE"""),"A46v6")</f>
        <v>A46v6</v>
      </c>
      <c r="B807" s="42" t="str">
        <f>IFERROR(__xludf.DUMMYFUNCTION("""COMPUTED_VALUE"""),"DHBA")</f>
        <v>DHBA</v>
      </c>
      <c r="C807" s="42" t="str">
        <f>IFERROR(__xludf.DUMMYFUNCTION("""COMPUTED_VALUE"""),"layer VI of area 46v")</f>
        <v>layer VI of area 46v</v>
      </c>
      <c r="D807" s="42">
        <f>IFERROR(__xludf.DUMMYFUNCTION("""COMPUTED_VALUE"""),751.0)</f>
        <v>751</v>
      </c>
      <c r="E807" s="39" t="str">
        <f>IFERROR(__xludf.DUMMYFUNCTION("""COMPUTED_VALUE"""),"layer VI of area 46v")</f>
        <v>layer VI of area 46v</v>
      </c>
      <c r="F807" s="9" t="str">
        <f>IFERROR(__xludf.DUMMYFUNCTION("""COMPUTED_VALUE"""),"Br")</f>
        <v>Br</v>
      </c>
      <c r="G807" s="9" t="str">
        <f>IFERROR(__xludf.DUMMYFUNCTION("""COMPUTED_VALUE"""),"F")</f>
        <v>F</v>
      </c>
      <c r="H807" s="9" t="str">
        <f>IFERROR(__xludf.DUMMYFUNCTION("""COMPUTED_VALUE"""),"FGM")</f>
        <v>FGM</v>
      </c>
      <c r="I807" s="9" t="str">
        <f>IFERROR(__xludf.DUMMYFUNCTION("""COMPUTED_VALUE"""),"Tel")</f>
        <v>Tel</v>
      </c>
      <c r="J807" s="9" t="str">
        <f>IFERROR(__xludf.DUMMYFUNCTION("""COMPUTED_VALUE"""),"Cx")</f>
        <v>Cx</v>
      </c>
      <c r="K807" s="9" t="str">
        <f>IFERROR(__xludf.DUMMYFUNCTION("""COMPUTED_VALUE"""),"NCx")</f>
        <v>NCx</v>
      </c>
      <c r="L807" s="9" t="str">
        <f>IFERROR(__xludf.DUMMYFUNCTION("""COMPUTED_VALUE"""),"FCx")</f>
        <v>FCx</v>
      </c>
      <c r="M807" s="9" t="str">
        <f>IFERROR(__xludf.DUMMYFUNCTION("""COMPUTED_VALUE"""),"PFC")</f>
        <v>PFC</v>
      </c>
      <c r="N807" s="9" t="str">
        <f>IFERROR(__xludf.DUMMYFUNCTION("""COMPUTED_VALUE"""),"DFC")</f>
        <v>DFC</v>
      </c>
      <c r="O807" s="9" t="str">
        <f>IFERROR(__xludf.DUMMYFUNCTION("""COMPUTED_VALUE"""),"A46")</f>
        <v>A46</v>
      </c>
      <c r="P807" s="9" t="str">
        <f>IFERROR(__xludf.DUMMYFUNCTION("""COMPUTED_VALUE"""),"A46v")</f>
        <v>A46v</v>
      </c>
      <c r="Q807" s="9" t="str">
        <f>IFERROR(__xludf.DUMMYFUNCTION("""COMPUTED_VALUE"""),"A46v6")</f>
        <v>A46v6</v>
      </c>
      <c r="R807" s="9"/>
      <c r="S807" s="42"/>
      <c r="T807" s="42"/>
      <c r="U807" s="42"/>
      <c r="V807" s="42"/>
      <c r="W807" s="42"/>
      <c r="X807" s="42"/>
      <c r="Y807" s="42"/>
      <c r="Z807" s="42"/>
      <c r="AA807" s="42"/>
      <c r="AB807" s="42" t="str">
        <f>IFERROR(__xludf.DUMMYFUNCTION("""COMPUTED_VALUE"""),"allen institute")</f>
        <v>allen institute</v>
      </c>
      <c r="AC807" s="42" t="str">
        <f>IFERROR(__xludf.DUMMYFUNCTION("""COMPUTED_VALUE"""),"DHBA")</f>
        <v>DHBA</v>
      </c>
      <c r="AD807" s="42"/>
      <c r="AE807" s="42"/>
      <c r="AF807" s="9"/>
      <c r="AG807" s="9"/>
      <c r="AH807" s="42"/>
      <c r="AI807" s="42"/>
      <c r="AJ807" s="42"/>
      <c r="AK807" s="42"/>
      <c r="AL807" s="42"/>
      <c r="AM807" s="42"/>
      <c r="AN807" s="42"/>
      <c r="AO807" s="63" t="str">
        <f>IFERROR(__xludf.DUMMYFUNCTION("IF(ISBLANK(A807),,IF(ISBLANK(S807), A807&amp;"";"", TEXTJOIN(CHAR(10), TRUE, A807&amp;"";"", ARRAYFORMULA(VLOOKUP(SPLIT(S807, "";"" &amp; CHAR(10)), $A:$AO, 41, FALSE)))))"),"A46v6;")</f>
        <v>A46v6;</v>
      </c>
      <c r="AP807" s="89"/>
    </row>
    <row r="808">
      <c r="A808" s="151" t="str">
        <f>IFERROR(__xludf.DUMMYFUNCTION("""COMPUTED_VALUE"""),"VFC")</f>
        <v>VFC</v>
      </c>
      <c r="B808" s="42" t="str">
        <f>IFERROR(__xludf.DUMMYFUNCTION("""COMPUTED_VALUE"""),"DHBA")</f>
        <v>DHBA</v>
      </c>
      <c r="C808" s="42" t="str">
        <f>IFERROR(__xludf.DUMMYFUNCTION("""COMPUTED_VALUE"""),"vlPFC, ventrolateral prefrontal cortex")</f>
        <v>vlPFC, ventrolateral prefrontal cortex</v>
      </c>
      <c r="D808" s="42">
        <f>IFERROR(__xludf.DUMMYFUNCTION("""COMPUTED_VALUE"""),752.0)</f>
        <v>752</v>
      </c>
      <c r="E808" s="39" t="str">
        <f>IFERROR(__xludf.DUMMYFUNCTION("""COMPUTED_VALUE"""),"ventrolateral prefrontal cortex")</f>
        <v>ventrolateral prefrontal cortex</v>
      </c>
      <c r="F808" s="9" t="str">
        <f>IFERROR(__xludf.DUMMYFUNCTION("""COMPUTED_VALUE"""),"Br")</f>
        <v>Br</v>
      </c>
      <c r="G808" s="9" t="str">
        <f>IFERROR(__xludf.DUMMYFUNCTION("""COMPUTED_VALUE"""),"F")</f>
        <v>F</v>
      </c>
      <c r="H808" s="9" t="str">
        <f>IFERROR(__xludf.DUMMYFUNCTION("""COMPUTED_VALUE"""),"FGM")</f>
        <v>FGM</v>
      </c>
      <c r="I808" s="9" t="str">
        <f>IFERROR(__xludf.DUMMYFUNCTION("""COMPUTED_VALUE"""),"Tel")</f>
        <v>Tel</v>
      </c>
      <c r="J808" s="9" t="str">
        <f>IFERROR(__xludf.DUMMYFUNCTION("""COMPUTED_VALUE"""),"Cx")</f>
        <v>Cx</v>
      </c>
      <c r="K808" s="9" t="str">
        <f>IFERROR(__xludf.DUMMYFUNCTION("""COMPUTED_VALUE"""),"NCx")</f>
        <v>NCx</v>
      </c>
      <c r="L808" s="9" t="str">
        <f>IFERROR(__xludf.DUMMYFUNCTION("""COMPUTED_VALUE"""),"FCx")</f>
        <v>FCx</v>
      </c>
      <c r="M808" s="9" t="str">
        <f>IFERROR(__xludf.DUMMYFUNCTION("""COMPUTED_VALUE"""),"PFC")</f>
        <v>PFC</v>
      </c>
      <c r="N808" s="9" t="str">
        <f>IFERROR(__xludf.DUMMYFUNCTION("""COMPUTED_VALUE"""),"VFC")</f>
        <v>VFC</v>
      </c>
      <c r="O808" s="9"/>
      <c r="P808" s="9"/>
      <c r="Q808" s="9"/>
      <c r="R808" s="9"/>
      <c r="S808" s="42" t="str">
        <f>IFERROR(__xludf.DUMMYFUNCTION("""COMPUTED_VALUE"""),"A44;
A45")</f>
        <v>A44;
A45</v>
      </c>
      <c r="T808" s="42" t="str">
        <f>IFERROR(__xludf.DUMMYFUNCTION("""COMPUTED_VALUE"""),"NCx")</f>
        <v>NCx</v>
      </c>
      <c r="U808" s="42" t="b">
        <f>IFERROR(__xludf.DUMMYFUNCTION("""COMPUTED_VALUE"""),FALSE)</f>
        <v>0</v>
      </c>
      <c r="V808" s="42"/>
      <c r="W808" s="42"/>
      <c r="X808" s="42"/>
      <c r="Y808" s="42"/>
      <c r="Z808" s="42"/>
      <c r="AA808" s="42"/>
      <c r="AB808" s="42" t="str">
        <f>IFERROR(__xludf.DUMMYFUNCTION("""COMPUTED_VALUE"""),"allen institute")</f>
        <v>allen institute</v>
      </c>
      <c r="AC808" s="42" t="str">
        <f>IFERROR(__xludf.DUMMYFUNCTION("""COMPUTED_VALUE"""),"DHBA")</f>
        <v>DHBA</v>
      </c>
      <c r="AD808" s="42"/>
      <c r="AE808" s="42"/>
      <c r="AF808" s="9"/>
      <c r="AG808" s="9"/>
      <c r="AH808" s="42"/>
      <c r="AI808" s="42"/>
      <c r="AJ808" s="42"/>
      <c r="AK808" s="42"/>
      <c r="AL808" s="42"/>
      <c r="AM808" s="42"/>
      <c r="AN808" s="42"/>
      <c r="AO808" s="63" t="str">
        <f>IFERROR(__xludf.DUMMYFUNCTION("IF(ISBLANK(A808),,IF(ISBLANK(S808), A808&amp;"";"", TEXTJOIN(CHAR(10), TRUE, A808&amp;"";"", ARRAYFORMULA(VLOOKUP(SPLIT(S808, "";"" &amp; CHAR(10)), $A:$AO, 41, FALSE)))))"),"VFC;
A44;
A44d;
A44d1;
A44d2;
A44d3;
A44d4;
A44d5;
A44d6;
A44v;
A44v1;
A44v2;
A44v3;
A44v4;
A44v5;
A44v6;
A44op;
A44op1;
A44op2;
A44op3;
A44op4;
A44op5;
A44op6;
A45;
A45r;
A45r1;
A45r2;
A45r3;
A45r4;
A45r5;
A45r6;
A45c;
A45c1;
A45c2;
A45c3;
A45c4;
A45c5;
"&amp;"A45c6;
A45op;
A45op1;
A45op2;
A45op3;
A45op4;
A45op5;
A45op6;")</f>
        <v>VFC;
A44;
A44d;
A44d1;
A44d2;
A44d3;
A44d4;
A44d5;
A44d6;
A44v;
A44v1;
A44v2;
A44v3;
A44v4;
A44v5;
A44v6;
A44op;
A44op1;
A44op2;
A44op3;
A44op4;
A44op5;
A44op6;
A45;
A45r;
A45r1;
A45r2;
A45r3;
A45r4;
A45r5;
A45r6;
A45c;
A45c1;
A45c2;
A45c3;
A45c4;
A45c5;
A45c6;
A45op;
A45op1;
A45op2;
A45op3;
A45op4;
A45op5;
A45op6;</v>
      </c>
      <c r="AP808" s="89"/>
    </row>
    <row r="809">
      <c r="A809" s="151" t="str">
        <f>IFERROR(__xludf.DUMMYFUNCTION("""COMPUTED_VALUE"""),"A44")</f>
        <v>A44</v>
      </c>
      <c r="B809" s="42" t="str">
        <f>IFERROR(__xludf.DUMMYFUNCTION("""COMPUTED_VALUE"""),"DHBA")</f>
        <v>DHBA</v>
      </c>
      <c r="C809" s="42" t="str">
        <f>IFERROR(__xludf.DUMMYFUNCTION("""COMPUTED_VALUE"""),"caudal portion of VFC (area 44)")</f>
        <v>caudal portion of VFC (area 44)</v>
      </c>
      <c r="D809" s="42">
        <f>IFERROR(__xludf.DUMMYFUNCTION("""COMPUTED_VALUE"""),753.0)</f>
        <v>753</v>
      </c>
      <c r="E809" s="39" t="str">
        <f>IFERROR(__xludf.DUMMYFUNCTION("""COMPUTED_VALUE"""),"caudal portion of VFC (area 44)")</f>
        <v>caudal portion of VFC (area 44)</v>
      </c>
      <c r="F809" s="9" t="str">
        <f>IFERROR(__xludf.DUMMYFUNCTION("""COMPUTED_VALUE"""),"Br")</f>
        <v>Br</v>
      </c>
      <c r="G809" s="9" t="str">
        <f>IFERROR(__xludf.DUMMYFUNCTION("""COMPUTED_VALUE"""),"F")</f>
        <v>F</v>
      </c>
      <c r="H809" s="9" t="str">
        <f>IFERROR(__xludf.DUMMYFUNCTION("""COMPUTED_VALUE"""),"FGM")</f>
        <v>FGM</v>
      </c>
      <c r="I809" s="9" t="str">
        <f>IFERROR(__xludf.DUMMYFUNCTION("""COMPUTED_VALUE"""),"Tel")</f>
        <v>Tel</v>
      </c>
      <c r="J809" s="9" t="str">
        <f>IFERROR(__xludf.DUMMYFUNCTION("""COMPUTED_VALUE"""),"Cx")</f>
        <v>Cx</v>
      </c>
      <c r="K809" s="9" t="str">
        <f>IFERROR(__xludf.DUMMYFUNCTION("""COMPUTED_VALUE"""),"NCx")</f>
        <v>NCx</v>
      </c>
      <c r="L809" s="9" t="str">
        <f>IFERROR(__xludf.DUMMYFUNCTION("""COMPUTED_VALUE"""),"FCx")</f>
        <v>FCx</v>
      </c>
      <c r="M809" s="9" t="str">
        <f>IFERROR(__xludf.DUMMYFUNCTION("""COMPUTED_VALUE"""),"PFC")</f>
        <v>PFC</v>
      </c>
      <c r="N809" s="9" t="str">
        <f>IFERROR(__xludf.DUMMYFUNCTION("""COMPUTED_VALUE"""),"VFC")</f>
        <v>VFC</v>
      </c>
      <c r="O809" s="9" t="str">
        <f>IFERROR(__xludf.DUMMYFUNCTION("""COMPUTED_VALUE"""),"A44")</f>
        <v>A44</v>
      </c>
      <c r="P809" s="9"/>
      <c r="Q809" s="9"/>
      <c r="R809" s="9"/>
      <c r="S809" s="42" t="str">
        <f>IFERROR(__xludf.DUMMYFUNCTION("""COMPUTED_VALUE"""),"A44d;
A44v;
A44op")</f>
        <v>A44d;
A44v;
A44op</v>
      </c>
      <c r="T809" s="42" t="str">
        <f>IFERROR(__xludf.DUMMYFUNCTION("""COMPUTED_VALUE"""),"NCx")</f>
        <v>NCx</v>
      </c>
      <c r="U809" s="42" t="b">
        <f>IFERROR(__xludf.DUMMYFUNCTION("""COMPUTED_VALUE"""),FALSE)</f>
        <v>0</v>
      </c>
      <c r="V809" s="42"/>
      <c r="W809" s="42"/>
      <c r="X809" s="42"/>
      <c r="Y809" s="42"/>
      <c r="Z809" s="42"/>
      <c r="AA809" s="42"/>
      <c r="AB809" s="42" t="str">
        <f>IFERROR(__xludf.DUMMYFUNCTION("""COMPUTED_VALUE"""),"allen institute")</f>
        <v>allen institute</v>
      </c>
      <c r="AC809" s="42" t="str">
        <f>IFERROR(__xludf.DUMMYFUNCTION("""COMPUTED_VALUE"""),"DHBA")</f>
        <v>DHBA</v>
      </c>
      <c r="AD809" s="42"/>
      <c r="AE809" s="42"/>
      <c r="AF809" s="9"/>
      <c r="AG809" s="9"/>
      <c r="AH809" s="42"/>
      <c r="AI809" s="42"/>
      <c r="AJ809" s="42"/>
      <c r="AK809" s="42"/>
      <c r="AL809" s="42"/>
      <c r="AM809" s="42"/>
      <c r="AN809" s="42"/>
      <c r="AO809" s="63" t="str">
        <f>IFERROR(__xludf.DUMMYFUNCTION("IF(ISBLANK(A809),,IF(ISBLANK(S809), A809&amp;"";"", TEXTJOIN(CHAR(10), TRUE, A809&amp;"";"", ARRAYFORMULA(VLOOKUP(SPLIT(S809, "";"" &amp; CHAR(10)), $A:$AO, 41, FALSE)))))"),"A44;
A44d;
A44d1;
A44d2;
A44d3;
A44d4;
A44d5;
A44d6;
A44v;
A44v1;
A44v2;
A44v3;
A44v4;
A44v5;
A44v6;
A44op;
A44op1;
A44op2;
A44op3;
A44op4;
A44op5;
A44op6;")</f>
        <v>A44;
A44d;
A44d1;
A44d2;
A44d3;
A44d4;
A44d5;
A44d6;
A44v;
A44v1;
A44v2;
A44v3;
A44v4;
A44v5;
A44v6;
A44op;
A44op1;
A44op2;
A44op3;
A44op4;
A44op5;
A44op6;</v>
      </c>
      <c r="AP809" s="89"/>
    </row>
    <row r="810">
      <c r="A810" s="151" t="str">
        <f>IFERROR(__xludf.DUMMYFUNCTION("""COMPUTED_VALUE"""),"A44d")</f>
        <v>A44d</v>
      </c>
      <c r="B810" s="42" t="str">
        <f>IFERROR(__xludf.DUMMYFUNCTION("""COMPUTED_VALUE"""),"DHBA")</f>
        <v>DHBA</v>
      </c>
      <c r="C810" s="42" t="str">
        <f>IFERROR(__xludf.DUMMYFUNCTION("""COMPUTED_VALUE"""),"dorsal subdivision of area 44")</f>
        <v>dorsal subdivision of area 44</v>
      </c>
      <c r="D810" s="42">
        <f>IFERROR(__xludf.DUMMYFUNCTION("""COMPUTED_VALUE"""),754.0)</f>
        <v>754</v>
      </c>
      <c r="E810" s="39" t="str">
        <f>IFERROR(__xludf.DUMMYFUNCTION("""COMPUTED_VALUE"""),"dorsal subdivision of area 44")</f>
        <v>dorsal subdivision of area 44</v>
      </c>
      <c r="F810" s="9" t="str">
        <f>IFERROR(__xludf.DUMMYFUNCTION("""COMPUTED_VALUE"""),"Br")</f>
        <v>Br</v>
      </c>
      <c r="G810" s="9" t="str">
        <f>IFERROR(__xludf.DUMMYFUNCTION("""COMPUTED_VALUE"""),"F")</f>
        <v>F</v>
      </c>
      <c r="H810" s="9" t="str">
        <f>IFERROR(__xludf.DUMMYFUNCTION("""COMPUTED_VALUE"""),"FGM")</f>
        <v>FGM</v>
      </c>
      <c r="I810" s="9" t="str">
        <f>IFERROR(__xludf.DUMMYFUNCTION("""COMPUTED_VALUE"""),"Tel")</f>
        <v>Tel</v>
      </c>
      <c r="J810" s="9" t="str">
        <f>IFERROR(__xludf.DUMMYFUNCTION("""COMPUTED_VALUE"""),"Cx")</f>
        <v>Cx</v>
      </c>
      <c r="K810" s="9" t="str">
        <f>IFERROR(__xludf.DUMMYFUNCTION("""COMPUTED_VALUE"""),"NCx")</f>
        <v>NCx</v>
      </c>
      <c r="L810" s="9" t="str">
        <f>IFERROR(__xludf.DUMMYFUNCTION("""COMPUTED_VALUE"""),"FCx")</f>
        <v>FCx</v>
      </c>
      <c r="M810" s="9" t="str">
        <f>IFERROR(__xludf.DUMMYFUNCTION("""COMPUTED_VALUE"""),"PFC")</f>
        <v>PFC</v>
      </c>
      <c r="N810" s="9" t="str">
        <f>IFERROR(__xludf.DUMMYFUNCTION("""COMPUTED_VALUE"""),"VFC")</f>
        <v>VFC</v>
      </c>
      <c r="O810" s="9" t="str">
        <f>IFERROR(__xludf.DUMMYFUNCTION("""COMPUTED_VALUE"""),"A44")</f>
        <v>A44</v>
      </c>
      <c r="P810" s="9" t="str">
        <f>IFERROR(__xludf.DUMMYFUNCTION("""COMPUTED_VALUE"""),"A44d")</f>
        <v>A44d</v>
      </c>
      <c r="Q810" s="9"/>
      <c r="R810" s="9"/>
      <c r="S810" s="42" t="str">
        <f>IFERROR(__xludf.DUMMYFUNCTION("""COMPUTED_VALUE"""),"A44d1;
A44d2;
A44d3;
A44d4;
A44d5;
A44d6")</f>
        <v>A44d1;
A44d2;
A44d3;
A44d4;
A44d5;
A44d6</v>
      </c>
      <c r="T810" s="42" t="str">
        <f>IFERROR(__xludf.DUMMYFUNCTION("""COMPUTED_VALUE"""),"NCx")</f>
        <v>NCx</v>
      </c>
      <c r="U810" s="42" t="b">
        <f>IFERROR(__xludf.DUMMYFUNCTION("""COMPUTED_VALUE"""),FALSE)</f>
        <v>0</v>
      </c>
      <c r="V810" s="42"/>
      <c r="W810" s="42"/>
      <c r="X810" s="42"/>
      <c r="Y810" s="42"/>
      <c r="Z810" s="42"/>
      <c r="AA810" s="42"/>
      <c r="AB810" s="42" t="str">
        <f>IFERROR(__xludf.DUMMYFUNCTION("""COMPUTED_VALUE"""),"allen institute")</f>
        <v>allen institute</v>
      </c>
      <c r="AC810" s="42" t="str">
        <f>IFERROR(__xludf.DUMMYFUNCTION("""COMPUTED_VALUE"""),"DHBA")</f>
        <v>DHBA</v>
      </c>
      <c r="AD810" s="42"/>
      <c r="AE810" s="42"/>
      <c r="AF810" s="9"/>
      <c r="AG810" s="9"/>
      <c r="AH810" s="42"/>
      <c r="AI810" s="42"/>
      <c r="AJ810" s="42"/>
      <c r="AK810" s="42"/>
      <c r="AL810" s="42"/>
      <c r="AM810" s="42"/>
      <c r="AN810" s="42"/>
      <c r="AO810" s="63" t="str">
        <f>IFERROR(__xludf.DUMMYFUNCTION("IF(ISBLANK(A810),,IF(ISBLANK(S810), A810&amp;"";"", TEXTJOIN(CHAR(10), TRUE, A810&amp;"";"", ARRAYFORMULA(VLOOKUP(SPLIT(S810, "";"" &amp; CHAR(10)), $A:$AO, 41, FALSE)))))"),"A44d;
A44d1;
A44d2;
A44d3;
A44d4;
A44d5;
A44d6;")</f>
        <v>A44d;
A44d1;
A44d2;
A44d3;
A44d4;
A44d5;
A44d6;</v>
      </c>
      <c r="AP810" s="89"/>
    </row>
    <row r="811">
      <c r="A811" s="151" t="str">
        <f>IFERROR(__xludf.DUMMYFUNCTION("""COMPUTED_VALUE"""),"A44d1")</f>
        <v>A44d1</v>
      </c>
      <c r="B811" s="42" t="str">
        <f>IFERROR(__xludf.DUMMYFUNCTION("""COMPUTED_VALUE"""),"DHBA")</f>
        <v>DHBA</v>
      </c>
      <c r="C811" s="42" t="str">
        <f>IFERROR(__xludf.DUMMYFUNCTION("""COMPUTED_VALUE"""),"layer I of area 44d")</f>
        <v>layer I of area 44d</v>
      </c>
      <c r="D811" s="42">
        <f>IFERROR(__xludf.DUMMYFUNCTION("""COMPUTED_VALUE"""),755.0)</f>
        <v>755</v>
      </c>
      <c r="E811" s="39" t="str">
        <f>IFERROR(__xludf.DUMMYFUNCTION("""COMPUTED_VALUE"""),"layer I of area 44d")</f>
        <v>layer I of area 44d</v>
      </c>
      <c r="F811" s="9" t="str">
        <f>IFERROR(__xludf.DUMMYFUNCTION("""COMPUTED_VALUE"""),"Br")</f>
        <v>Br</v>
      </c>
      <c r="G811" s="9" t="str">
        <f>IFERROR(__xludf.DUMMYFUNCTION("""COMPUTED_VALUE"""),"F")</f>
        <v>F</v>
      </c>
      <c r="H811" s="9" t="str">
        <f>IFERROR(__xludf.DUMMYFUNCTION("""COMPUTED_VALUE"""),"FGM")</f>
        <v>FGM</v>
      </c>
      <c r="I811" s="9" t="str">
        <f>IFERROR(__xludf.DUMMYFUNCTION("""COMPUTED_VALUE"""),"Tel")</f>
        <v>Tel</v>
      </c>
      <c r="J811" s="9" t="str">
        <f>IFERROR(__xludf.DUMMYFUNCTION("""COMPUTED_VALUE"""),"Cx")</f>
        <v>Cx</v>
      </c>
      <c r="K811" s="9" t="str">
        <f>IFERROR(__xludf.DUMMYFUNCTION("""COMPUTED_VALUE"""),"NCx")</f>
        <v>NCx</v>
      </c>
      <c r="L811" s="9" t="str">
        <f>IFERROR(__xludf.DUMMYFUNCTION("""COMPUTED_VALUE"""),"FCx")</f>
        <v>FCx</v>
      </c>
      <c r="M811" s="9" t="str">
        <f>IFERROR(__xludf.DUMMYFUNCTION("""COMPUTED_VALUE"""),"PFC")</f>
        <v>PFC</v>
      </c>
      <c r="N811" s="9" t="str">
        <f>IFERROR(__xludf.DUMMYFUNCTION("""COMPUTED_VALUE"""),"VFC")</f>
        <v>VFC</v>
      </c>
      <c r="O811" s="9" t="str">
        <f>IFERROR(__xludf.DUMMYFUNCTION("""COMPUTED_VALUE"""),"A44")</f>
        <v>A44</v>
      </c>
      <c r="P811" s="9" t="str">
        <f>IFERROR(__xludf.DUMMYFUNCTION("""COMPUTED_VALUE"""),"A44d")</f>
        <v>A44d</v>
      </c>
      <c r="Q811" s="9" t="str">
        <f>IFERROR(__xludf.DUMMYFUNCTION("""COMPUTED_VALUE"""),"A44d1")</f>
        <v>A44d1</v>
      </c>
      <c r="R811" s="9"/>
      <c r="S811" s="42"/>
      <c r="T811" s="42"/>
      <c r="U811" s="42"/>
      <c r="V811" s="42"/>
      <c r="W811" s="42"/>
      <c r="X811" s="42"/>
      <c r="Y811" s="42"/>
      <c r="Z811" s="42"/>
      <c r="AA811" s="42"/>
      <c r="AB811" s="42" t="str">
        <f>IFERROR(__xludf.DUMMYFUNCTION("""COMPUTED_VALUE"""),"allen institute")</f>
        <v>allen institute</v>
      </c>
      <c r="AC811" s="42" t="str">
        <f>IFERROR(__xludf.DUMMYFUNCTION("""COMPUTED_VALUE"""),"DHBA")</f>
        <v>DHBA</v>
      </c>
      <c r="AD811" s="42"/>
      <c r="AE811" s="42"/>
      <c r="AF811" s="9"/>
      <c r="AG811" s="9"/>
      <c r="AH811" s="42"/>
      <c r="AI811" s="42"/>
      <c r="AJ811" s="42"/>
      <c r="AK811" s="42"/>
      <c r="AL811" s="42"/>
      <c r="AM811" s="42"/>
      <c r="AN811" s="42"/>
      <c r="AO811" s="63" t="str">
        <f>IFERROR(__xludf.DUMMYFUNCTION("IF(ISBLANK(A811),,IF(ISBLANK(S811), A811&amp;"";"", TEXTJOIN(CHAR(10), TRUE, A811&amp;"";"", ARRAYFORMULA(VLOOKUP(SPLIT(S811, "";"" &amp; CHAR(10)), $A:$AO, 41, FALSE)))))"),"A44d1;")</f>
        <v>A44d1;</v>
      </c>
      <c r="AP811" s="89"/>
    </row>
    <row r="812">
      <c r="A812" s="151" t="str">
        <f>IFERROR(__xludf.DUMMYFUNCTION("""COMPUTED_VALUE"""),"A44d2")</f>
        <v>A44d2</v>
      </c>
      <c r="B812" s="42" t="str">
        <f>IFERROR(__xludf.DUMMYFUNCTION("""COMPUTED_VALUE"""),"DHBA")</f>
        <v>DHBA</v>
      </c>
      <c r="C812" s="42" t="str">
        <f>IFERROR(__xludf.DUMMYFUNCTION("""COMPUTED_VALUE"""),"layer II of area 44d")</f>
        <v>layer II of area 44d</v>
      </c>
      <c r="D812" s="42">
        <f>IFERROR(__xludf.DUMMYFUNCTION("""COMPUTED_VALUE"""),756.0)</f>
        <v>756</v>
      </c>
      <c r="E812" s="39" t="str">
        <f>IFERROR(__xludf.DUMMYFUNCTION("""COMPUTED_VALUE"""),"layer II of area 44d")</f>
        <v>layer II of area 44d</v>
      </c>
      <c r="F812" s="9" t="str">
        <f>IFERROR(__xludf.DUMMYFUNCTION("""COMPUTED_VALUE"""),"Br")</f>
        <v>Br</v>
      </c>
      <c r="G812" s="9" t="str">
        <f>IFERROR(__xludf.DUMMYFUNCTION("""COMPUTED_VALUE"""),"F")</f>
        <v>F</v>
      </c>
      <c r="H812" s="9" t="str">
        <f>IFERROR(__xludf.DUMMYFUNCTION("""COMPUTED_VALUE"""),"FGM")</f>
        <v>FGM</v>
      </c>
      <c r="I812" s="9" t="str">
        <f>IFERROR(__xludf.DUMMYFUNCTION("""COMPUTED_VALUE"""),"Tel")</f>
        <v>Tel</v>
      </c>
      <c r="J812" s="9" t="str">
        <f>IFERROR(__xludf.DUMMYFUNCTION("""COMPUTED_VALUE"""),"Cx")</f>
        <v>Cx</v>
      </c>
      <c r="K812" s="9" t="str">
        <f>IFERROR(__xludf.DUMMYFUNCTION("""COMPUTED_VALUE"""),"NCx")</f>
        <v>NCx</v>
      </c>
      <c r="L812" s="9" t="str">
        <f>IFERROR(__xludf.DUMMYFUNCTION("""COMPUTED_VALUE"""),"FCx")</f>
        <v>FCx</v>
      </c>
      <c r="M812" s="9" t="str">
        <f>IFERROR(__xludf.DUMMYFUNCTION("""COMPUTED_VALUE"""),"PFC")</f>
        <v>PFC</v>
      </c>
      <c r="N812" s="9" t="str">
        <f>IFERROR(__xludf.DUMMYFUNCTION("""COMPUTED_VALUE"""),"VFC")</f>
        <v>VFC</v>
      </c>
      <c r="O812" s="9" t="str">
        <f>IFERROR(__xludf.DUMMYFUNCTION("""COMPUTED_VALUE"""),"A44")</f>
        <v>A44</v>
      </c>
      <c r="P812" s="9" t="str">
        <f>IFERROR(__xludf.DUMMYFUNCTION("""COMPUTED_VALUE"""),"A44d")</f>
        <v>A44d</v>
      </c>
      <c r="Q812" s="9" t="str">
        <f>IFERROR(__xludf.DUMMYFUNCTION("""COMPUTED_VALUE"""),"A44d2")</f>
        <v>A44d2</v>
      </c>
      <c r="R812" s="9"/>
      <c r="S812" s="42"/>
      <c r="T812" s="42"/>
      <c r="U812" s="42"/>
      <c r="V812" s="42"/>
      <c r="W812" s="42"/>
      <c r="X812" s="42"/>
      <c r="Y812" s="42"/>
      <c r="Z812" s="42"/>
      <c r="AA812" s="42"/>
      <c r="AB812" s="42" t="str">
        <f>IFERROR(__xludf.DUMMYFUNCTION("""COMPUTED_VALUE"""),"allen institute")</f>
        <v>allen institute</v>
      </c>
      <c r="AC812" s="42" t="str">
        <f>IFERROR(__xludf.DUMMYFUNCTION("""COMPUTED_VALUE"""),"DHBA")</f>
        <v>DHBA</v>
      </c>
      <c r="AD812" s="42"/>
      <c r="AE812" s="42"/>
      <c r="AF812" s="9"/>
      <c r="AG812" s="9"/>
      <c r="AH812" s="42"/>
      <c r="AI812" s="42"/>
      <c r="AJ812" s="42"/>
      <c r="AK812" s="42"/>
      <c r="AL812" s="42"/>
      <c r="AM812" s="42"/>
      <c r="AN812" s="42"/>
      <c r="AO812" s="63" t="str">
        <f>IFERROR(__xludf.DUMMYFUNCTION("IF(ISBLANK(A812),,IF(ISBLANK(S812), A812&amp;"";"", TEXTJOIN(CHAR(10), TRUE, A812&amp;"";"", ARRAYFORMULA(VLOOKUP(SPLIT(S812, "";"" &amp; CHAR(10)), $A:$AO, 41, FALSE)))))"),"A44d2;")</f>
        <v>A44d2;</v>
      </c>
      <c r="AP812" s="89"/>
    </row>
    <row r="813">
      <c r="A813" s="151" t="str">
        <f>IFERROR(__xludf.DUMMYFUNCTION("""COMPUTED_VALUE"""),"A44d3")</f>
        <v>A44d3</v>
      </c>
      <c r="B813" s="42" t="str">
        <f>IFERROR(__xludf.DUMMYFUNCTION("""COMPUTED_VALUE"""),"DHBA")</f>
        <v>DHBA</v>
      </c>
      <c r="C813" s="42" t="str">
        <f>IFERROR(__xludf.DUMMYFUNCTION("""COMPUTED_VALUE"""),"layer III of area 44d")</f>
        <v>layer III of area 44d</v>
      </c>
      <c r="D813" s="42">
        <f>IFERROR(__xludf.DUMMYFUNCTION("""COMPUTED_VALUE"""),757.0)</f>
        <v>757</v>
      </c>
      <c r="E813" s="39" t="str">
        <f>IFERROR(__xludf.DUMMYFUNCTION("""COMPUTED_VALUE"""),"layer III of area 44d")</f>
        <v>layer III of area 44d</v>
      </c>
      <c r="F813" s="9" t="str">
        <f>IFERROR(__xludf.DUMMYFUNCTION("""COMPUTED_VALUE"""),"Br")</f>
        <v>Br</v>
      </c>
      <c r="G813" s="9" t="str">
        <f>IFERROR(__xludf.DUMMYFUNCTION("""COMPUTED_VALUE"""),"F")</f>
        <v>F</v>
      </c>
      <c r="H813" s="9" t="str">
        <f>IFERROR(__xludf.DUMMYFUNCTION("""COMPUTED_VALUE"""),"FGM")</f>
        <v>FGM</v>
      </c>
      <c r="I813" s="9" t="str">
        <f>IFERROR(__xludf.DUMMYFUNCTION("""COMPUTED_VALUE"""),"Tel")</f>
        <v>Tel</v>
      </c>
      <c r="J813" s="9" t="str">
        <f>IFERROR(__xludf.DUMMYFUNCTION("""COMPUTED_VALUE"""),"Cx")</f>
        <v>Cx</v>
      </c>
      <c r="K813" s="9" t="str">
        <f>IFERROR(__xludf.DUMMYFUNCTION("""COMPUTED_VALUE"""),"NCx")</f>
        <v>NCx</v>
      </c>
      <c r="L813" s="9" t="str">
        <f>IFERROR(__xludf.DUMMYFUNCTION("""COMPUTED_VALUE"""),"FCx")</f>
        <v>FCx</v>
      </c>
      <c r="M813" s="9" t="str">
        <f>IFERROR(__xludf.DUMMYFUNCTION("""COMPUTED_VALUE"""),"PFC")</f>
        <v>PFC</v>
      </c>
      <c r="N813" s="9" t="str">
        <f>IFERROR(__xludf.DUMMYFUNCTION("""COMPUTED_VALUE"""),"VFC")</f>
        <v>VFC</v>
      </c>
      <c r="O813" s="9" t="str">
        <f>IFERROR(__xludf.DUMMYFUNCTION("""COMPUTED_VALUE"""),"A44")</f>
        <v>A44</v>
      </c>
      <c r="P813" s="9" t="str">
        <f>IFERROR(__xludf.DUMMYFUNCTION("""COMPUTED_VALUE"""),"A44d")</f>
        <v>A44d</v>
      </c>
      <c r="Q813" s="9" t="str">
        <f>IFERROR(__xludf.DUMMYFUNCTION("""COMPUTED_VALUE"""),"A44d3")</f>
        <v>A44d3</v>
      </c>
      <c r="R813" s="9"/>
      <c r="S813" s="42"/>
      <c r="T813" s="42"/>
      <c r="U813" s="42"/>
      <c r="V813" s="42"/>
      <c r="W813" s="42"/>
      <c r="X813" s="42"/>
      <c r="Y813" s="42"/>
      <c r="Z813" s="42"/>
      <c r="AA813" s="42"/>
      <c r="AB813" s="42" t="str">
        <f>IFERROR(__xludf.DUMMYFUNCTION("""COMPUTED_VALUE"""),"allen institute")</f>
        <v>allen institute</v>
      </c>
      <c r="AC813" s="42" t="str">
        <f>IFERROR(__xludf.DUMMYFUNCTION("""COMPUTED_VALUE"""),"DHBA")</f>
        <v>DHBA</v>
      </c>
      <c r="AD813" s="42"/>
      <c r="AE813" s="42"/>
      <c r="AF813" s="9"/>
      <c r="AG813" s="9"/>
      <c r="AH813" s="42"/>
      <c r="AI813" s="42"/>
      <c r="AJ813" s="42"/>
      <c r="AK813" s="42"/>
      <c r="AL813" s="42"/>
      <c r="AM813" s="42"/>
      <c r="AN813" s="42"/>
      <c r="AO813" s="63" t="str">
        <f>IFERROR(__xludf.DUMMYFUNCTION("IF(ISBLANK(A813),,IF(ISBLANK(S813), A813&amp;"";"", TEXTJOIN(CHAR(10), TRUE, A813&amp;"";"", ARRAYFORMULA(VLOOKUP(SPLIT(S813, "";"" &amp; CHAR(10)), $A:$AO, 41, FALSE)))))"),"A44d3;")</f>
        <v>A44d3;</v>
      </c>
      <c r="AP813" s="89"/>
    </row>
    <row r="814">
      <c r="A814" s="151" t="str">
        <f>IFERROR(__xludf.DUMMYFUNCTION("""COMPUTED_VALUE"""),"A44d4")</f>
        <v>A44d4</v>
      </c>
      <c r="B814" s="42" t="str">
        <f>IFERROR(__xludf.DUMMYFUNCTION("""COMPUTED_VALUE"""),"DHBA")</f>
        <v>DHBA</v>
      </c>
      <c r="C814" s="42" t="str">
        <f>IFERROR(__xludf.DUMMYFUNCTION("""COMPUTED_VALUE"""),"layer IV of area 44d")</f>
        <v>layer IV of area 44d</v>
      </c>
      <c r="D814" s="42">
        <f>IFERROR(__xludf.DUMMYFUNCTION("""COMPUTED_VALUE"""),758.0)</f>
        <v>758</v>
      </c>
      <c r="E814" s="39" t="str">
        <f>IFERROR(__xludf.DUMMYFUNCTION("""COMPUTED_VALUE"""),"layer IV of area 44d")</f>
        <v>layer IV of area 44d</v>
      </c>
      <c r="F814" s="9" t="str">
        <f>IFERROR(__xludf.DUMMYFUNCTION("""COMPUTED_VALUE"""),"Br")</f>
        <v>Br</v>
      </c>
      <c r="G814" s="9" t="str">
        <f>IFERROR(__xludf.DUMMYFUNCTION("""COMPUTED_VALUE"""),"F")</f>
        <v>F</v>
      </c>
      <c r="H814" s="9" t="str">
        <f>IFERROR(__xludf.DUMMYFUNCTION("""COMPUTED_VALUE"""),"FGM")</f>
        <v>FGM</v>
      </c>
      <c r="I814" s="9" t="str">
        <f>IFERROR(__xludf.DUMMYFUNCTION("""COMPUTED_VALUE"""),"Tel")</f>
        <v>Tel</v>
      </c>
      <c r="J814" s="9" t="str">
        <f>IFERROR(__xludf.DUMMYFUNCTION("""COMPUTED_VALUE"""),"Cx")</f>
        <v>Cx</v>
      </c>
      <c r="K814" s="9" t="str">
        <f>IFERROR(__xludf.DUMMYFUNCTION("""COMPUTED_VALUE"""),"NCx")</f>
        <v>NCx</v>
      </c>
      <c r="L814" s="9" t="str">
        <f>IFERROR(__xludf.DUMMYFUNCTION("""COMPUTED_VALUE"""),"FCx")</f>
        <v>FCx</v>
      </c>
      <c r="M814" s="9" t="str">
        <f>IFERROR(__xludf.DUMMYFUNCTION("""COMPUTED_VALUE"""),"PFC")</f>
        <v>PFC</v>
      </c>
      <c r="N814" s="9" t="str">
        <f>IFERROR(__xludf.DUMMYFUNCTION("""COMPUTED_VALUE"""),"VFC")</f>
        <v>VFC</v>
      </c>
      <c r="O814" s="9" t="str">
        <f>IFERROR(__xludf.DUMMYFUNCTION("""COMPUTED_VALUE"""),"A44")</f>
        <v>A44</v>
      </c>
      <c r="P814" s="9" t="str">
        <f>IFERROR(__xludf.DUMMYFUNCTION("""COMPUTED_VALUE"""),"A44d")</f>
        <v>A44d</v>
      </c>
      <c r="Q814" s="9" t="str">
        <f>IFERROR(__xludf.DUMMYFUNCTION("""COMPUTED_VALUE"""),"A44d4")</f>
        <v>A44d4</v>
      </c>
      <c r="R814" s="9"/>
      <c r="S814" s="42"/>
      <c r="T814" s="42"/>
      <c r="U814" s="42"/>
      <c r="V814" s="42"/>
      <c r="W814" s="42"/>
      <c r="X814" s="42"/>
      <c r="Y814" s="42"/>
      <c r="Z814" s="42"/>
      <c r="AA814" s="42"/>
      <c r="AB814" s="42" t="str">
        <f>IFERROR(__xludf.DUMMYFUNCTION("""COMPUTED_VALUE"""),"allen institute")</f>
        <v>allen institute</v>
      </c>
      <c r="AC814" s="42" t="str">
        <f>IFERROR(__xludf.DUMMYFUNCTION("""COMPUTED_VALUE"""),"DHBA")</f>
        <v>DHBA</v>
      </c>
      <c r="AD814" s="42"/>
      <c r="AE814" s="42"/>
      <c r="AF814" s="9"/>
      <c r="AG814" s="9"/>
      <c r="AH814" s="42"/>
      <c r="AI814" s="42"/>
      <c r="AJ814" s="42"/>
      <c r="AK814" s="42"/>
      <c r="AL814" s="42"/>
      <c r="AM814" s="42"/>
      <c r="AN814" s="42"/>
      <c r="AO814" s="63" t="str">
        <f>IFERROR(__xludf.DUMMYFUNCTION("IF(ISBLANK(A814),,IF(ISBLANK(S814), A814&amp;"";"", TEXTJOIN(CHAR(10), TRUE, A814&amp;"";"", ARRAYFORMULA(VLOOKUP(SPLIT(S814, "";"" &amp; CHAR(10)), $A:$AO, 41, FALSE)))))"),"A44d4;")</f>
        <v>A44d4;</v>
      </c>
      <c r="AP814" s="89"/>
    </row>
    <row r="815">
      <c r="A815" s="151" t="str">
        <f>IFERROR(__xludf.DUMMYFUNCTION("""COMPUTED_VALUE"""),"A44d5")</f>
        <v>A44d5</v>
      </c>
      <c r="B815" s="42" t="str">
        <f>IFERROR(__xludf.DUMMYFUNCTION("""COMPUTED_VALUE"""),"DHBA")</f>
        <v>DHBA</v>
      </c>
      <c r="C815" s="42" t="str">
        <f>IFERROR(__xludf.DUMMYFUNCTION("""COMPUTED_VALUE"""),"layer V of area 44d")</f>
        <v>layer V of area 44d</v>
      </c>
      <c r="D815" s="42">
        <f>IFERROR(__xludf.DUMMYFUNCTION("""COMPUTED_VALUE"""),759.0)</f>
        <v>759</v>
      </c>
      <c r="E815" s="39" t="str">
        <f>IFERROR(__xludf.DUMMYFUNCTION("""COMPUTED_VALUE"""),"layer V of area 44d")</f>
        <v>layer V of area 44d</v>
      </c>
      <c r="F815" s="9" t="str">
        <f>IFERROR(__xludf.DUMMYFUNCTION("""COMPUTED_VALUE"""),"Br")</f>
        <v>Br</v>
      </c>
      <c r="G815" s="9" t="str">
        <f>IFERROR(__xludf.DUMMYFUNCTION("""COMPUTED_VALUE"""),"F")</f>
        <v>F</v>
      </c>
      <c r="H815" s="9" t="str">
        <f>IFERROR(__xludf.DUMMYFUNCTION("""COMPUTED_VALUE"""),"FGM")</f>
        <v>FGM</v>
      </c>
      <c r="I815" s="9" t="str">
        <f>IFERROR(__xludf.DUMMYFUNCTION("""COMPUTED_VALUE"""),"Tel")</f>
        <v>Tel</v>
      </c>
      <c r="J815" s="9" t="str">
        <f>IFERROR(__xludf.DUMMYFUNCTION("""COMPUTED_VALUE"""),"Cx")</f>
        <v>Cx</v>
      </c>
      <c r="K815" s="9" t="str">
        <f>IFERROR(__xludf.DUMMYFUNCTION("""COMPUTED_VALUE"""),"NCx")</f>
        <v>NCx</v>
      </c>
      <c r="L815" s="9" t="str">
        <f>IFERROR(__xludf.DUMMYFUNCTION("""COMPUTED_VALUE"""),"FCx")</f>
        <v>FCx</v>
      </c>
      <c r="M815" s="9" t="str">
        <f>IFERROR(__xludf.DUMMYFUNCTION("""COMPUTED_VALUE"""),"PFC")</f>
        <v>PFC</v>
      </c>
      <c r="N815" s="9" t="str">
        <f>IFERROR(__xludf.DUMMYFUNCTION("""COMPUTED_VALUE"""),"VFC")</f>
        <v>VFC</v>
      </c>
      <c r="O815" s="9" t="str">
        <f>IFERROR(__xludf.DUMMYFUNCTION("""COMPUTED_VALUE"""),"A44")</f>
        <v>A44</v>
      </c>
      <c r="P815" s="9" t="str">
        <f>IFERROR(__xludf.DUMMYFUNCTION("""COMPUTED_VALUE"""),"A44d")</f>
        <v>A44d</v>
      </c>
      <c r="Q815" s="9" t="str">
        <f>IFERROR(__xludf.DUMMYFUNCTION("""COMPUTED_VALUE"""),"A44d5")</f>
        <v>A44d5</v>
      </c>
      <c r="R815" s="9"/>
      <c r="S815" s="42"/>
      <c r="T815" s="42"/>
      <c r="U815" s="42"/>
      <c r="V815" s="42"/>
      <c r="W815" s="42"/>
      <c r="X815" s="42"/>
      <c r="Y815" s="42"/>
      <c r="Z815" s="42"/>
      <c r="AA815" s="42"/>
      <c r="AB815" s="42" t="str">
        <f>IFERROR(__xludf.DUMMYFUNCTION("""COMPUTED_VALUE"""),"allen institute")</f>
        <v>allen institute</v>
      </c>
      <c r="AC815" s="42" t="str">
        <f>IFERROR(__xludf.DUMMYFUNCTION("""COMPUTED_VALUE"""),"DHBA")</f>
        <v>DHBA</v>
      </c>
      <c r="AD815" s="42"/>
      <c r="AE815" s="42"/>
      <c r="AF815" s="9"/>
      <c r="AG815" s="9"/>
      <c r="AH815" s="42"/>
      <c r="AI815" s="42"/>
      <c r="AJ815" s="42"/>
      <c r="AK815" s="42"/>
      <c r="AL815" s="42"/>
      <c r="AM815" s="42"/>
      <c r="AN815" s="42"/>
      <c r="AO815" s="63" t="str">
        <f>IFERROR(__xludf.DUMMYFUNCTION("IF(ISBLANK(A815),,IF(ISBLANK(S815), A815&amp;"";"", TEXTJOIN(CHAR(10), TRUE, A815&amp;"";"", ARRAYFORMULA(VLOOKUP(SPLIT(S815, "";"" &amp; CHAR(10)), $A:$AO, 41, FALSE)))))"),"A44d5;")</f>
        <v>A44d5;</v>
      </c>
      <c r="AP815" s="89"/>
    </row>
    <row r="816">
      <c r="A816" s="151" t="str">
        <f>IFERROR(__xludf.DUMMYFUNCTION("""COMPUTED_VALUE"""),"A44d6")</f>
        <v>A44d6</v>
      </c>
      <c r="B816" s="42" t="str">
        <f>IFERROR(__xludf.DUMMYFUNCTION("""COMPUTED_VALUE"""),"DHBA")</f>
        <v>DHBA</v>
      </c>
      <c r="C816" s="42" t="str">
        <f>IFERROR(__xludf.DUMMYFUNCTION("""COMPUTED_VALUE"""),"layer VI of area 44d")</f>
        <v>layer VI of area 44d</v>
      </c>
      <c r="D816" s="42">
        <f>IFERROR(__xludf.DUMMYFUNCTION("""COMPUTED_VALUE"""),760.0)</f>
        <v>760</v>
      </c>
      <c r="E816" s="39" t="str">
        <f>IFERROR(__xludf.DUMMYFUNCTION("""COMPUTED_VALUE"""),"layer VI of area 44d")</f>
        <v>layer VI of area 44d</v>
      </c>
      <c r="F816" s="9" t="str">
        <f>IFERROR(__xludf.DUMMYFUNCTION("""COMPUTED_VALUE"""),"Br")</f>
        <v>Br</v>
      </c>
      <c r="G816" s="9" t="str">
        <f>IFERROR(__xludf.DUMMYFUNCTION("""COMPUTED_VALUE"""),"F")</f>
        <v>F</v>
      </c>
      <c r="H816" s="9" t="str">
        <f>IFERROR(__xludf.DUMMYFUNCTION("""COMPUTED_VALUE"""),"FGM")</f>
        <v>FGM</v>
      </c>
      <c r="I816" s="9" t="str">
        <f>IFERROR(__xludf.DUMMYFUNCTION("""COMPUTED_VALUE"""),"Tel")</f>
        <v>Tel</v>
      </c>
      <c r="J816" s="9" t="str">
        <f>IFERROR(__xludf.DUMMYFUNCTION("""COMPUTED_VALUE"""),"Cx")</f>
        <v>Cx</v>
      </c>
      <c r="K816" s="9" t="str">
        <f>IFERROR(__xludf.DUMMYFUNCTION("""COMPUTED_VALUE"""),"NCx")</f>
        <v>NCx</v>
      </c>
      <c r="L816" s="9" t="str">
        <f>IFERROR(__xludf.DUMMYFUNCTION("""COMPUTED_VALUE"""),"FCx")</f>
        <v>FCx</v>
      </c>
      <c r="M816" s="9" t="str">
        <f>IFERROR(__xludf.DUMMYFUNCTION("""COMPUTED_VALUE"""),"PFC")</f>
        <v>PFC</v>
      </c>
      <c r="N816" s="9" t="str">
        <f>IFERROR(__xludf.DUMMYFUNCTION("""COMPUTED_VALUE"""),"VFC")</f>
        <v>VFC</v>
      </c>
      <c r="O816" s="9" t="str">
        <f>IFERROR(__xludf.DUMMYFUNCTION("""COMPUTED_VALUE"""),"A44")</f>
        <v>A44</v>
      </c>
      <c r="P816" s="9" t="str">
        <f>IFERROR(__xludf.DUMMYFUNCTION("""COMPUTED_VALUE"""),"A44d")</f>
        <v>A44d</v>
      </c>
      <c r="Q816" s="9" t="str">
        <f>IFERROR(__xludf.DUMMYFUNCTION("""COMPUTED_VALUE"""),"A44d6")</f>
        <v>A44d6</v>
      </c>
      <c r="R816" s="9"/>
      <c r="S816" s="42"/>
      <c r="T816" s="42"/>
      <c r="U816" s="42"/>
      <c r="V816" s="42"/>
      <c r="W816" s="42"/>
      <c r="X816" s="42"/>
      <c r="Y816" s="42"/>
      <c r="Z816" s="42"/>
      <c r="AA816" s="42"/>
      <c r="AB816" s="42" t="str">
        <f>IFERROR(__xludf.DUMMYFUNCTION("""COMPUTED_VALUE"""),"allen institute")</f>
        <v>allen institute</v>
      </c>
      <c r="AC816" s="42" t="str">
        <f>IFERROR(__xludf.DUMMYFUNCTION("""COMPUTED_VALUE"""),"DHBA")</f>
        <v>DHBA</v>
      </c>
      <c r="AD816" s="42"/>
      <c r="AE816" s="42"/>
      <c r="AF816" s="9"/>
      <c r="AG816" s="9"/>
      <c r="AH816" s="42"/>
      <c r="AI816" s="42"/>
      <c r="AJ816" s="42"/>
      <c r="AK816" s="42"/>
      <c r="AL816" s="42"/>
      <c r="AM816" s="42"/>
      <c r="AN816" s="42"/>
      <c r="AO816" s="63" t="str">
        <f>IFERROR(__xludf.DUMMYFUNCTION("IF(ISBLANK(A816),,IF(ISBLANK(S816), A816&amp;"";"", TEXTJOIN(CHAR(10), TRUE, A816&amp;"";"", ARRAYFORMULA(VLOOKUP(SPLIT(S816, "";"" &amp; CHAR(10)), $A:$AO, 41, FALSE)))))"),"A44d6;")</f>
        <v>A44d6;</v>
      </c>
      <c r="AP816" s="89"/>
    </row>
    <row r="817">
      <c r="A817" s="151" t="str">
        <f>IFERROR(__xludf.DUMMYFUNCTION("""COMPUTED_VALUE"""),"A44v")</f>
        <v>A44v</v>
      </c>
      <c r="B817" s="42" t="str">
        <f>IFERROR(__xludf.DUMMYFUNCTION("""COMPUTED_VALUE"""),"DHBA")</f>
        <v>DHBA</v>
      </c>
      <c r="C817" s="42" t="str">
        <f>IFERROR(__xludf.DUMMYFUNCTION("""COMPUTED_VALUE"""),"ventral subdivision of area 44")</f>
        <v>ventral subdivision of area 44</v>
      </c>
      <c r="D817" s="42">
        <f>IFERROR(__xludf.DUMMYFUNCTION("""COMPUTED_VALUE"""),761.0)</f>
        <v>761</v>
      </c>
      <c r="E817" s="39" t="str">
        <f>IFERROR(__xludf.DUMMYFUNCTION("""COMPUTED_VALUE"""),"ventral subdivision of area 44")</f>
        <v>ventral subdivision of area 44</v>
      </c>
      <c r="F817" s="9" t="str">
        <f>IFERROR(__xludf.DUMMYFUNCTION("""COMPUTED_VALUE"""),"Br")</f>
        <v>Br</v>
      </c>
      <c r="G817" s="9" t="str">
        <f>IFERROR(__xludf.DUMMYFUNCTION("""COMPUTED_VALUE"""),"F")</f>
        <v>F</v>
      </c>
      <c r="H817" s="9" t="str">
        <f>IFERROR(__xludf.DUMMYFUNCTION("""COMPUTED_VALUE"""),"FGM")</f>
        <v>FGM</v>
      </c>
      <c r="I817" s="9" t="str">
        <f>IFERROR(__xludf.DUMMYFUNCTION("""COMPUTED_VALUE"""),"Tel")</f>
        <v>Tel</v>
      </c>
      <c r="J817" s="9" t="str">
        <f>IFERROR(__xludf.DUMMYFUNCTION("""COMPUTED_VALUE"""),"Cx")</f>
        <v>Cx</v>
      </c>
      <c r="K817" s="9" t="str">
        <f>IFERROR(__xludf.DUMMYFUNCTION("""COMPUTED_VALUE"""),"NCx")</f>
        <v>NCx</v>
      </c>
      <c r="L817" s="9" t="str">
        <f>IFERROR(__xludf.DUMMYFUNCTION("""COMPUTED_VALUE"""),"FCx")</f>
        <v>FCx</v>
      </c>
      <c r="M817" s="9" t="str">
        <f>IFERROR(__xludf.DUMMYFUNCTION("""COMPUTED_VALUE"""),"PFC")</f>
        <v>PFC</v>
      </c>
      <c r="N817" s="9" t="str">
        <f>IFERROR(__xludf.DUMMYFUNCTION("""COMPUTED_VALUE"""),"VFC")</f>
        <v>VFC</v>
      </c>
      <c r="O817" s="9" t="str">
        <f>IFERROR(__xludf.DUMMYFUNCTION("""COMPUTED_VALUE"""),"A44")</f>
        <v>A44</v>
      </c>
      <c r="P817" s="9" t="str">
        <f>IFERROR(__xludf.DUMMYFUNCTION("""COMPUTED_VALUE"""),"A44v")</f>
        <v>A44v</v>
      </c>
      <c r="Q817" s="9"/>
      <c r="R817" s="9"/>
      <c r="S817" s="42" t="str">
        <f>IFERROR(__xludf.DUMMYFUNCTION("""COMPUTED_VALUE"""),"A44v1;
A44v2;
A44v3;
A44v4;
A44v5;
A44v6")</f>
        <v>A44v1;
A44v2;
A44v3;
A44v4;
A44v5;
A44v6</v>
      </c>
      <c r="T817" s="42" t="str">
        <f>IFERROR(__xludf.DUMMYFUNCTION("""COMPUTED_VALUE"""),"NCx")</f>
        <v>NCx</v>
      </c>
      <c r="U817" s="42" t="b">
        <f>IFERROR(__xludf.DUMMYFUNCTION("""COMPUTED_VALUE"""),FALSE)</f>
        <v>0</v>
      </c>
      <c r="V817" s="42"/>
      <c r="W817" s="42"/>
      <c r="X817" s="42"/>
      <c r="Y817" s="42"/>
      <c r="Z817" s="42"/>
      <c r="AA817" s="42"/>
      <c r="AB817" s="42" t="str">
        <f>IFERROR(__xludf.DUMMYFUNCTION("""COMPUTED_VALUE"""),"allen institute")</f>
        <v>allen institute</v>
      </c>
      <c r="AC817" s="42" t="str">
        <f>IFERROR(__xludf.DUMMYFUNCTION("""COMPUTED_VALUE"""),"DHBA")</f>
        <v>DHBA</v>
      </c>
      <c r="AD817" s="42"/>
      <c r="AE817" s="42"/>
      <c r="AF817" s="9"/>
      <c r="AG817" s="9"/>
      <c r="AH817" s="42"/>
      <c r="AI817" s="42"/>
      <c r="AJ817" s="42"/>
      <c r="AK817" s="42"/>
      <c r="AL817" s="42"/>
      <c r="AM817" s="42"/>
      <c r="AN817" s="42"/>
      <c r="AO817" s="63" t="str">
        <f>IFERROR(__xludf.DUMMYFUNCTION("IF(ISBLANK(A817),,IF(ISBLANK(S817), A817&amp;"";"", TEXTJOIN(CHAR(10), TRUE, A817&amp;"";"", ARRAYFORMULA(VLOOKUP(SPLIT(S817, "";"" &amp; CHAR(10)), $A:$AO, 41, FALSE)))))"),"A44v;
A44v1;
A44v2;
A44v3;
A44v4;
A44v5;
A44v6;")</f>
        <v>A44v;
A44v1;
A44v2;
A44v3;
A44v4;
A44v5;
A44v6;</v>
      </c>
      <c r="AP817" s="89"/>
    </row>
    <row r="818">
      <c r="A818" s="151" t="str">
        <f>IFERROR(__xludf.DUMMYFUNCTION("""COMPUTED_VALUE"""),"A44v1")</f>
        <v>A44v1</v>
      </c>
      <c r="B818" s="42" t="str">
        <f>IFERROR(__xludf.DUMMYFUNCTION("""COMPUTED_VALUE"""),"DHBA")</f>
        <v>DHBA</v>
      </c>
      <c r="C818" s="42" t="str">
        <f>IFERROR(__xludf.DUMMYFUNCTION("""COMPUTED_VALUE"""),"layer I of area 44v")</f>
        <v>layer I of area 44v</v>
      </c>
      <c r="D818" s="42">
        <f>IFERROR(__xludf.DUMMYFUNCTION("""COMPUTED_VALUE"""),762.0)</f>
        <v>762</v>
      </c>
      <c r="E818" s="39" t="str">
        <f>IFERROR(__xludf.DUMMYFUNCTION("""COMPUTED_VALUE"""),"layer I of area 44v")</f>
        <v>layer I of area 44v</v>
      </c>
      <c r="F818" s="9" t="str">
        <f>IFERROR(__xludf.DUMMYFUNCTION("""COMPUTED_VALUE"""),"Br")</f>
        <v>Br</v>
      </c>
      <c r="G818" s="9" t="str">
        <f>IFERROR(__xludf.DUMMYFUNCTION("""COMPUTED_VALUE"""),"F")</f>
        <v>F</v>
      </c>
      <c r="H818" s="9" t="str">
        <f>IFERROR(__xludf.DUMMYFUNCTION("""COMPUTED_VALUE"""),"FGM")</f>
        <v>FGM</v>
      </c>
      <c r="I818" s="9" t="str">
        <f>IFERROR(__xludf.DUMMYFUNCTION("""COMPUTED_VALUE"""),"Tel")</f>
        <v>Tel</v>
      </c>
      <c r="J818" s="9" t="str">
        <f>IFERROR(__xludf.DUMMYFUNCTION("""COMPUTED_VALUE"""),"Cx")</f>
        <v>Cx</v>
      </c>
      <c r="K818" s="9" t="str">
        <f>IFERROR(__xludf.DUMMYFUNCTION("""COMPUTED_VALUE"""),"NCx")</f>
        <v>NCx</v>
      </c>
      <c r="L818" s="9" t="str">
        <f>IFERROR(__xludf.DUMMYFUNCTION("""COMPUTED_VALUE"""),"FCx")</f>
        <v>FCx</v>
      </c>
      <c r="M818" s="9" t="str">
        <f>IFERROR(__xludf.DUMMYFUNCTION("""COMPUTED_VALUE"""),"PFC")</f>
        <v>PFC</v>
      </c>
      <c r="N818" s="9" t="str">
        <f>IFERROR(__xludf.DUMMYFUNCTION("""COMPUTED_VALUE"""),"VFC")</f>
        <v>VFC</v>
      </c>
      <c r="O818" s="9" t="str">
        <f>IFERROR(__xludf.DUMMYFUNCTION("""COMPUTED_VALUE"""),"A44")</f>
        <v>A44</v>
      </c>
      <c r="P818" s="9" t="str">
        <f>IFERROR(__xludf.DUMMYFUNCTION("""COMPUTED_VALUE"""),"A44v")</f>
        <v>A44v</v>
      </c>
      <c r="Q818" s="9" t="str">
        <f>IFERROR(__xludf.DUMMYFUNCTION("""COMPUTED_VALUE"""),"A44v1")</f>
        <v>A44v1</v>
      </c>
      <c r="R818" s="9"/>
      <c r="S818" s="42"/>
      <c r="T818" s="42"/>
      <c r="U818" s="42"/>
      <c r="V818" s="42"/>
      <c r="W818" s="42"/>
      <c r="X818" s="42"/>
      <c r="Y818" s="42"/>
      <c r="Z818" s="42"/>
      <c r="AA818" s="42"/>
      <c r="AB818" s="42" t="str">
        <f>IFERROR(__xludf.DUMMYFUNCTION("""COMPUTED_VALUE"""),"allen institute")</f>
        <v>allen institute</v>
      </c>
      <c r="AC818" s="42" t="str">
        <f>IFERROR(__xludf.DUMMYFUNCTION("""COMPUTED_VALUE"""),"DHBA")</f>
        <v>DHBA</v>
      </c>
      <c r="AD818" s="42"/>
      <c r="AE818" s="42"/>
      <c r="AF818" s="9"/>
      <c r="AG818" s="9"/>
      <c r="AH818" s="42"/>
      <c r="AI818" s="42"/>
      <c r="AJ818" s="42"/>
      <c r="AK818" s="42"/>
      <c r="AL818" s="42"/>
      <c r="AM818" s="42"/>
      <c r="AN818" s="42"/>
      <c r="AO818" s="63" t="str">
        <f>IFERROR(__xludf.DUMMYFUNCTION("IF(ISBLANK(A818),,IF(ISBLANK(S818), A818&amp;"";"", TEXTJOIN(CHAR(10), TRUE, A818&amp;"";"", ARRAYFORMULA(VLOOKUP(SPLIT(S818, "";"" &amp; CHAR(10)), $A:$AO, 41, FALSE)))))"),"A44v1;")</f>
        <v>A44v1;</v>
      </c>
      <c r="AP818" s="89"/>
    </row>
    <row r="819">
      <c r="A819" s="151" t="str">
        <f>IFERROR(__xludf.DUMMYFUNCTION("""COMPUTED_VALUE"""),"A44v2")</f>
        <v>A44v2</v>
      </c>
      <c r="B819" s="42" t="str">
        <f>IFERROR(__xludf.DUMMYFUNCTION("""COMPUTED_VALUE"""),"DHBA")</f>
        <v>DHBA</v>
      </c>
      <c r="C819" s="42" t="str">
        <f>IFERROR(__xludf.DUMMYFUNCTION("""COMPUTED_VALUE"""),"layer II of area 44v")</f>
        <v>layer II of area 44v</v>
      </c>
      <c r="D819" s="42">
        <f>IFERROR(__xludf.DUMMYFUNCTION("""COMPUTED_VALUE"""),763.0)</f>
        <v>763</v>
      </c>
      <c r="E819" s="39" t="str">
        <f>IFERROR(__xludf.DUMMYFUNCTION("""COMPUTED_VALUE"""),"layer II of area 44v")</f>
        <v>layer II of area 44v</v>
      </c>
      <c r="F819" s="9" t="str">
        <f>IFERROR(__xludf.DUMMYFUNCTION("""COMPUTED_VALUE"""),"Br")</f>
        <v>Br</v>
      </c>
      <c r="G819" s="9" t="str">
        <f>IFERROR(__xludf.DUMMYFUNCTION("""COMPUTED_VALUE"""),"F")</f>
        <v>F</v>
      </c>
      <c r="H819" s="9" t="str">
        <f>IFERROR(__xludf.DUMMYFUNCTION("""COMPUTED_VALUE"""),"FGM")</f>
        <v>FGM</v>
      </c>
      <c r="I819" s="9" t="str">
        <f>IFERROR(__xludf.DUMMYFUNCTION("""COMPUTED_VALUE"""),"Tel")</f>
        <v>Tel</v>
      </c>
      <c r="J819" s="9" t="str">
        <f>IFERROR(__xludf.DUMMYFUNCTION("""COMPUTED_VALUE"""),"Cx")</f>
        <v>Cx</v>
      </c>
      <c r="K819" s="9" t="str">
        <f>IFERROR(__xludf.DUMMYFUNCTION("""COMPUTED_VALUE"""),"NCx")</f>
        <v>NCx</v>
      </c>
      <c r="L819" s="9" t="str">
        <f>IFERROR(__xludf.DUMMYFUNCTION("""COMPUTED_VALUE"""),"FCx")</f>
        <v>FCx</v>
      </c>
      <c r="M819" s="9" t="str">
        <f>IFERROR(__xludf.DUMMYFUNCTION("""COMPUTED_VALUE"""),"PFC")</f>
        <v>PFC</v>
      </c>
      <c r="N819" s="9" t="str">
        <f>IFERROR(__xludf.DUMMYFUNCTION("""COMPUTED_VALUE"""),"VFC")</f>
        <v>VFC</v>
      </c>
      <c r="O819" s="9" t="str">
        <f>IFERROR(__xludf.DUMMYFUNCTION("""COMPUTED_VALUE"""),"A44")</f>
        <v>A44</v>
      </c>
      <c r="P819" s="9" t="str">
        <f>IFERROR(__xludf.DUMMYFUNCTION("""COMPUTED_VALUE"""),"A44v")</f>
        <v>A44v</v>
      </c>
      <c r="Q819" s="9" t="str">
        <f>IFERROR(__xludf.DUMMYFUNCTION("""COMPUTED_VALUE"""),"A44v2")</f>
        <v>A44v2</v>
      </c>
      <c r="R819" s="9"/>
      <c r="S819" s="42"/>
      <c r="T819" s="42"/>
      <c r="U819" s="42"/>
      <c r="V819" s="42"/>
      <c r="W819" s="42"/>
      <c r="X819" s="42"/>
      <c r="Y819" s="42"/>
      <c r="Z819" s="42"/>
      <c r="AA819" s="42"/>
      <c r="AB819" s="42" t="str">
        <f>IFERROR(__xludf.DUMMYFUNCTION("""COMPUTED_VALUE"""),"allen institute")</f>
        <v>allen institute</v>
      </c>
      <c r="AC819" s="42" t="str">
        <f>IFERROR(__xludf.DUMMYFUNCTION("""COMPUTED_VALUE"""),"DHBA")</f>
        <v>DHBA</v>
      </c>
      <c r="AD819" s="42"/>
      <c r="AE819" s="42"/>
      <c r="AF819" s="9"/>
      <c r="AG819" s="9"/>
      <c r="AH819" s="42"/>
      <c r="AI819" s="42"/>
      <c r="AJ819" s="42"/>
      <c r="AK819" s="42"/>
      <c r="AL819" s="42"/>
      <c r="AM819" s="42"/>
      <c r="AN819" s="42"/>
      <c r="AO819" s="63" t="str">
        <f>IFERROR(__xludf.DUMMYFUNCTION("IF(ISBLANK(A819),,IF(ISBLANK(S819), A819&amp;"";"", TEXTJOIN(CHAR(10), TRUE, A819&amp;"";"", ARRAYFORMULA(VLOOKUP(SPLIT(S819, "";"" &amp; CHAR(10)), $A:$AO, 41, FALSE)))))"),"A44v2;")</f>
        <v>A44v2;</v>
      </c>
      <c r="AP819" s="89"/>
    </row>
    <row r="820">
      <c r="A820" s="151" t="str">
        <f>IFERROR(__xludf.DUMMYFUNCTION("""COMPUTED_VALUE"""),"A44v3")</f>
        <v>A44v3</v>
      </c>
      <c r="B820" s="42" t="str">
        <f>IFERROR(__xludf.DUMMYFUNCTION("""COMPUTED_VALUE"""),"DHBA")</f>
        <v>DHBA</v>
      </c>
      <c r="C820" s="42" t="str">
        <f>IFERROR(__xludf.DUMMYFUNCTION("""COMPUTED_VALUE"""),"layer III of area 44v")</f>
        <v>layer III of area 44v</v>
      </c>
      <c r="D820" s="42">
        <f>IFERROR(__xludf.DUMMYFUNCTION("""COMPUTED_VALUE"""),764.0)</f>
        <v>764</v>
      </c>
      <c r="E820" s="39" t="str">
        <f>IFERROR(__xludf.DUMMYFUNCTION("""COMPUTED_VALUE"""),"layer III of area 44v")</f>
        <v>layer III of area 44v</v>
      </c>
      <c r="F820" s="9" t="str">
        <f>IFERROR(__xludf.DUMMYFUNCTION("""COMPUTED_VALUE"""),"Br")</f>
        <v>Br</v>
      </c>
      <c r="G820" s="9" t="str">
        <f>IFERROR(__xludf.DUMMYFUNCTION("""COMPUTED_VALUE"""),"F")</f>
        <v>F</v>
      </c>
      <c r="H820" s="9" t="str">
        <f>IFERROR(__xludf.DUMMYFUNCTION("""COMPUTED_VALUE"""),"FGM")</f>
        <v>FGM</v>
      </c>
      <c r="I820" s="9" t="str">
        <f>IFERROR(__xludf.DUMMYFUNCTION("""COMPUTED_VALUE"""),"Tel")</f>
        <v>Tel</v>
      </c>
      <c r="J820" s="9" t="str">
        <f>IFERROR(__xludf.DUMMYFUNCTION("""COMPUTED_VALUE"""),"Cx")</f>
        <v>Cx</v>
      </c>
      <c r="K820" s="9" t="str">
        <f>IFERROR(__xludf.DUMMYFUNCTION("""COMPUTED_VALUE"""),"NCx")</f>
        <v>NCx</v>
      </c>
      <c r="L820" s="9" t="str">
        <f>IFERROR(__xludf.DUMMYFUNCTION("""COMPUTED_VALUE"""),"FCx")</f>
        <v>FCx</v>
      </c>
      <c r="M820" s="9" t="str">
        <f>IFERROR(__xludf.DUMMYFUNCTION("""COMPUTED_VALUE"""),"PFC")</f>
        <v>PFC</v>
      </c>
      <c r="N820" s="9" t="str">
        <f>IFERROR(__xludf.DUMMYFUNCTION("""COMPUTED_VALUE"""),"VFC")</f>
        <v>VFC</v>
      </c>
      <c r="O820" s="9" t="str">
        <f>IFERROR(__xludf.DUMMYFUNCTION("""COMPUTED_VALUE"""),"A44")</f>
        <v>A44</v>
      </c>
      <c r="P820" s="9" t="str">
        <f>IFERROR(__xludf.DUMMYFUNCTION("""COMPUTED_VALUE"""),"A44v")</f>
        <v>A44v</v>
      </c>
      <c r="Q820" s="9" t="str">
        <f>IFERROR(__xludf.DUMMYFUNCTION("""COMPUTED_VALUE"""),"A44v3")</f>
        <v>A44v3</v>
      </c>
      <c r="R820" s="9"/>
      <c r="S820" s="42"/>
      <c r="T820" s="42"/>
      <c r="U820" s="42"/>
      <c r="V820" s="42"/>
      <c r="W820" s="42"/>
      <c r="X820" s="42"/>
      <c r="Y820" s="42"/>
      <c r="Z820" s="42"/>
      <c r="AA820" s="42"/>
      <c r="AB820" s="42" t="str">
        <f>IFERROR(__xludf.DUMMYFUNCTION("""COMPUTED_VALUE"""),"allen institute")</f>
        <v>allen institute</v>
      </c>
      <c r="AC820" s="42" t="str">
        <f>IFERROR(__xludf.DUMMYFUNCTION("""COMPUTED_VALUE"""),"DHBA")</f>
        <v>DHBA</v>
      </c>
      <c r="AD820" s="42"/>
      <c r="AE820" s="42"/>
      <c r="AF820" s="9"/>
      <c r="AG820" s="9"/>
      <c r="AH820" s="42"/>
      <c r="AI820" s="42"/>
      <c r="AJ820" s="42"/>
      <c r="AK820" s="42"/>
      <c r="AL820" s="42"/>
      <c r="AM820" s="42"/>
      <c r="AN820" s="42"/>
      <c r="AO820" s="63" t="str">
        <f>IFERROR(__xludf.DUMMYFUNCTION("IF(ISBLANK(A820),,IF(ISBLANK(S820), A820&amp;"";"", TEXTJOIN(CHAR(10), TRUE, A820&amp;"";"", ARRAYFORMULA(VLOOKUP(SPLIT(S820, "";"" &amp; CHAR(10)), $A:$AO, 41, FALSE)))))"),"A44v3;")</f>
        <v>A44v3;</v>
      </c>
      <c r="AP820" s="89"/>
    </row>
    <row r="821">
      <c r="A821" s="151" t="str">
        <f>IFERROR(__xludf.DUMMYFUNCTION("""COMPUTED_VALUE"""),"A44v4")</f>
        <v>A44v4</v>
      </c>
      <c r="B821" s="42" t="str">
        <f>IFERROR(__xludf.DUMMYFUNCTION("""COMPUTED_VALUE"""),"DHBA")</f>
        <v>DHBA</v>
      </c>
      <c r="C821" s="42" t="str">
        <f>IFERROR(__xludf.DUMMYFUNCTION("""COMPUTED_VALUE"""),"layer IV of area 44v")</f>
        <v>layer IV of area 44v</v>
      </c>
      <c r="D821" s="42">
        <f>IFERROR(__xludf.DUMMYFUNCTION("""COMPUTED_VALUE"""),765.0)</f>
        <v>765</v>
      </c>
      <c r="E821" s="39" t="str">
        <f>IFERROR(__xludf.DUMMYFUNCTION("""COMPUTED_VALUE"""),"layer IV of area 44v")</f>
        <v>layer IV of area 44v</v>
      </c>
      <c r="F821" s="9" t="str">
        <f>IFERROR(__xludf.DUMMYFUNCTION("""COMPUTED_VALUE"""),"Br")</f>
        <v>Br</v>
      </c>
      <c r="G821" s="9" t="str">
        <f>IFERROR(__xludf.DUMMYFUNCTION("""COMPUTED_VALUE"""),"F")</f>
        <v>F</v>
      </c>
      <c r="H821" s="9" t="str">
        <f>IFERROR(__xludf.DUMMYFUNCTION("""COMPUTED_VALUE"""),"FGM")</f>
        <v>FGM</v>
      </c>
      <c r="I821" s="9" t="str">
        <f>IFERROR(__xludf.DUMMYFUNCTION("""COMPUTED_VALUE"""),"Tel")</f>
        <v>Tel</v>
      </c>
      <c r="J821" s="9" t="str">
        <f>IFERROR(__xludf.DUMMYFUNCTION("""COMPUTED_VALUE"""),"Cx")</f>
        <v>Cx</v>
      </c>
      <c r="K821" s="9" t="str">
        <f>IFERROR(__xludf.DUMMYFUNCTION("""COMPUTED_VALUE"""),"NCx")</f>
        <v>NCx</v>
      </c>
      <c r="L821" s="9" t="str">
        <f>IFERROR(__xludf.DUMMYFUNCTION("""COMPUTED_VALUE"""),"FCx")</f>
        <v>FCx</v>
      </c>
      <c r="M821" s="9" t="str">
        <f>IFERROR(__xludf.DUMMYFUNCTION("""COMPUTED_VALUE"""),"PFC")</f>
        <v>PFC</v>
      </c>
      <c r="N821" s="9" t="str">
        <f>IFERROR(__xludf.DUMMYFUNCTION("""COMPUTED_VALUE"""),"VFC")</f>
        <v>VFC</v>
      </c>
      <c r="O821" s="9" t="str">
        <f>IFERROR(__xludf.DUMMYFUNCTION("""COMPUTED_VALUE"""),"A44")</f>
        <v>A44</v>
      </c>
      <c r="P821" s="9" t="str">
        <f>IFERROR(__xludf.DUMMYFUNCTION("""COMPUTED_VALUE"""),"A44v")</f>
        <v>A44v</v>
      </c>
      <c r="Q821" s="9" t="str">
        <f>IFERROR(__xludf.DUMMYFUNCTION("""COMPUTED_VALUE"""),"A44v4")</f>
        <v>A44v4</v>
      </c>
      <c r="R821" s="9"/>
      <c r="S821" s="42"/>
      <c r="T821" s="42"/>
      <c r="U821" s="42"/>
      <c r="V821" s="42"/>
      <c r="W821" s="42"/>
      <c r="X821" s="42"/>
      <c r="Y821" s="42"/>
      <c r="Z821" s="42"/>
      <c r="AA821" s="42"/>
      <c r="AB821" s="42" t="str">
        <f>IFERROR(__xludf.DUMMYFUNCTION("""COMPUTED_VALUE"""),"allen institute")</f>
        <v>allen institute</v>
      </c>
      <c r="AC821" s="42" t="str">
        <f>IFERROR(__xludf.DUMMYFUNCTION("""COMPUTED_VALUE"""),"DHBA")</f>
        <v>DHBA</v>
      </c>
      <c r="AD821" s="42"/>
      <c r="AE821" s="42"/>
      <c r="AF821" s="9"/>
      <c r="AG821" s="9"/>
      <c r="AH821" s="42"/>
      <c r="AI821" s="42"/>
      <c r="AJ821" s="42"/>
      <c r="AK821" s="42"/>
      <c r="AL821" s="42"/>
      <c r="AM821" s="42"/>
      <c r="AN821" s="42"/>
      <c r="AO821" s="63" t="str">
        <f>IFERROR(__xludf.DUMMYFUNCTION("IF(ISBLANK(A821),,IF(ISBLANK(S821), A821&amp;"";"", TEXTJOIN(CHAR(10), TRUE, A821&amp;"";"", ARRAYFORMULA(VLOOKUP(SPLIT(S821, "";"" &amp; CHAR(10)), $A:$AO, 41, FALSE)))))"),"A44v4;")</f>
        <v>A44v4;</v>
      </c>
      <c r="AP821" s="89"/>
    </row>
    <row r="822">
      <c r="A822" s="151" t="str">
        <f>IFERROR(__xludf.DUMMYFUNCTION("""COMPUTED_VALUE"""),"A44v5")</f>
        <v>A44v5</v>
      </c>
      <c r="B822" s="42" t="str">
        <f>IFERROR(__xludf.DUMMYFUNCTION("""COMPUTED_VALUE"""),"DHBA")</f>
        <v>DHBA</v>
      </c>
      <c r="C822" s="42" t="str">
        <f>IFERROR(__xludf.DUMMYFUNCTION("""COMPUTED_VALUE"""),"layer V of area 44v")</f>
        <v>layer V of area 44v</v>
      </c>
      <c r="D822" s="42">
        <f>IFERROR(__xludf.DUMMYFUNCTION("""COMPUTED_VALUE"""),766.0)</f>
        <v>766</v>
      </c>
      <c r="E822" s="39" t="str">
        <f>IFERROR(__xludf.DUMMYFUNCTION("""COMPUTED_VALUE"""),"layer V of area 44v")</f>
        <v>layer V of area 44v</v>
      </c>
      <c r="F822" s="9" t="str">
        <f>IFERROR(__xludf.DUMMYFUNCTION("""COMPUTED_VALUE"""),"Br")</f>
        <v>Br</v>
      </c>
      <c r="G822" s="9" t="str">
        <f>IFERROR(__xludf.DUMMYFUNCTION("""COMPUTED_VALUE"""),"F")</f>
        <v>F</v>
      </c>
      <c r="H822" s="9" t="str">
        <f>IFERROR(__xludf.DUMMYFUNCTION("""COMPUTED_VALUE"""),"FGM")</f>
        <v>FGM</v>
      </c>
      <c r="I822" s="9" t="str">
        <f>IFERROR(__xludf.DUMMYFUNCTION("""COMPUTED_VALUE"""),"Tel")</f>
        <v>Tel</v>
      </c>
      <c r="J822" s="9" t="str">
        <f>IFERROR(__xludf.DUMMYFUNCTION("""COMPUTED_VALUE"""),"Cx")</f>
        <v>Cx</v>
      </c>
      <c r="K822" s="9" t="str">
        <f>IFERROR(__xludf.DUMMYFUNCTION("""COMPUTED_VALUE"""),"NCx")</f>
        <v>NCx</v>
      </c>
      <c r="L822" s="9" t="str">
        <f>IFERROR(__xludf.DUMMYFUNCTION("""COMPUTED_VALUE"""),"FCx")</f>
        <v>FCx</v>
      </c>
      <c r="M822" s="9" t="str">
        <f>IFERROR(__xludf.DUMMYFUNCTION("""COMPUTED_VALUE"""),"PFC")</f>
        <v>PFC</v>
      </c>
      <c r="N822" s="9" t="str">
        <f>IFERROR(__xludf.DUMMYFUNCTION("""COMPUTED_VALUE"""),"VFC")</f>
        <v>VFC</v>
      </c>
      <c r="O822" s="9" t="str">
        <f>IFERROR(__xludf.DUMMYFUNCTION("""COMPUTED_VALUE"""),"A44")</f>
        <v>A44</v>
      </c>
      <c r="P822" s="9" t="str">
        <f>IFERROR(__xludf.DUMMYFUNCTION("""COMPUTED_VALUE"""),"A44v")</f>
        <v>A44v</v>
      </c>
      <c r="Q822" s="9" t="str">
        <f>IFERROR(__xludf.DUMMYFUNCTION("""COMPUTED_VALUE"""),"A44v5")</f>
        <v>A44v5</v>
      </c>
      <c r="R822" s="9"/>
      <c r="S822" s="42"/>
      <c r="T822" s="42"/>
      <c r="U822" s="42"/>
      <c r="V822" s="42"/>
      <c r="W822" s="42"/>
      <c r="X822" s="42"/>
      <c r="Y822" s="42"/>
      <c r="Z822" s="42"/>
      <c r="AA822" s="42"/>
      <c r="AB822" s="42" t="str">
        <f>IFERROR(__xludf.DUMMYFUNCTION("""COMPUTED_VALUE"""),"allen institute")</f>
        <v>allen institute</v>
      </c>
      <c r="AC822" s="42" t="str">
        <f>IFERROR(__xludf.DUMMYFUNCTION("""COMPUTED_VALUE"""),"DHBA")</f>
        <v>DHBA</v>
      </c>
      <c r="AD822" s="42"/>
      <c r="AE822" s="42"/>
      <c r="AF822" s="9"/>
      <c r="AG822" s="9"/>
      <c r="AH822" s="42"/>
      <c r="AI822" s="42"/>
      <c r="AJ822" s="42"/>
      <c r="AK822" s="42"/>
      <c r="AL822" s="42"/>
      <c r="AM822" s="42"/>
      <c r="AN822" s="42"/>
      <c r="AO822" s="63" t="str">
        <f>IFERROR(__xludf.DUMMYFUNCTION("IF(ISBLANK(A822),,IF(ISBLANK(S822), A822&amp;"";"", TEXTJOIN(CHAR(10), TRUE, A822&amp;"";"", ARRAYFORMULA(VLOOKUP(SPLIT(S822, "";"" &amp; CHAR(10)), $A:$AO, 41, FALSE)))))"),"A44v5;")</f>
        <v>A44v5;</v>
      </c>
      <c r="AP822" s="89"/>
    </row>
    <row r="823">
      <c r="A823" s="151" t="str">
        <f>IFERROR(__xludf.DUMMYFUNCTION("""COMPUTED_VALUE"""),"A44v6")</f>
        <v>A44v6</v>
      </c>
      <c r="B823" s="42" t="str">
        <f>IFERROR(__xludf.DUMMYFUNCTION("""COMPUTED_VALUE"""),"DHBA")</f>
        <v>DHBA</v>
      </c>
      <c r="C823" s="42" t="str">
        <f>IFERROR(__xludf.DUMMYFUNCTION("""COMPUTED_VALUE"""),"layer VI of area 44v")</f>
        <v>layer VI of area 44v</v>
      </c>
      <c r="D823" s="42">
        <f>IFERROR(__xludf.DUMMYFUNCTION("""COMPUTED_VALUE"""),767.0)</f>
        <v>767</v>
      </c>
      <c r="E823" s="39" t="str">
        <f>IFERROR(__xludf.DUMMYFUNCTION("""COMPUTED_VALUE"""),"layer VI of area 44v")</f>
        <v>layer VI of area 44v</v>
      </c>
      <c r="F823" s="9" t="str">
        <f>IFERROR(__xludf.DUMMYFUNCTION("""COMPUTED_VALUE"""),"Br")</f>
        <v>Br</v>
      </c>
      <c r="G823" s="9" t="str">
        <f>IFERROR(__xludf.DUMMYFUNCTION("""COMPUTED_VALUE"""),"F")</f>
        <v>F</v>
      </c>
      <c r="H823" s="9" t="str">
        <f>IFERROR(__xludf.DUMMYFUNCTION("""COMPUTED_VALUE"""),"FGM")</f>
        <v>FGM</v>
      </c>
      <c r="I823" s="9" t="str">
        <f>IFERROR(__xludf.DUMMYFUNCTION("""COMPUTED_VALUE"""),"Tel")</f>
        <v>Tel</v>
      </c>
      <c r="J823" s="9" t="str">
        <f>IFERROR(__xludf.DUMMYFUNCTION("""COMPUTED_VALUE"""),"Cx")</f>
        <v>Cx</v>
      </c>
      <c r="K823" s="9" t="str">
        <f>IFERROR(__xludf.DUMMYFUNCTION("""COMPUTED_VALUE"""),"NCx")</f>
        <v>NCx</v>
      </c>
      <c r="L823" s="9" t="str">
        <f>IFERROR(__xludf.DUMMYFUNCTION("""COMPUTED_VALUE"""),"FCx")</f>
        <v>FCx</v>
      </c>
      <c r="M823" s="9" t="str">
        <f>IFERROR(__xludf.DUMMYFUNCTION("""COMPUTED_VALUE"""),"PFC")</f>
        <v>PFC</v>
      </c>
      <c r="N823" s="9" t="str">
        <f>IFERROR(__xludf.DUMMYFUNCTION("""COMPUTED_VALUE"""),"VFC")</f>
        <v>VFC</v>
      </c>
      <c r="O823" s="9" t="str">
        <f>IFERROR(__xludf.DUMMYFUNCTION("""COMPUTED_VALUE"""),"A44")</f>
        <v>A44</v>
      </c>
      <c r="P823" s="9" t="str">
        <f>IFERROR(__xludf.DUMMYFUNCTION("""COMPUTED_VALUE"""),"A44v")</f>
        <v>A44v</v>
      </c>
      <c r="Q823" s="9" t="str">
        <f>IFERROR(__xludf.DUMMYFUNCTION("""COMPUTED_VALUE"""),"A44v6")</f>
        <v>A44v6</v>
      </c>
      <c r="R823" s="9"/>
      <c r="S823" s="42"/>
      <c r="T823" s="42"/>
      <c r="U823" s="42"/>
      <c r="V823" s="42"/>
      <c r="W823" s="42"/>
      <c r="X823" s="42"/>
      <c r="Y823" s="42"/>
      <c r="Z823" s="42"/>
      <c r="AA823" s="42"/>
      <c r="AB823" s="42" t="str">
        <f>IFERROR(__xludf.DUMMYFUNCTION("""COMPUTED_VALUE"""),"allen institute")</f>
        <v>allen institute</v>
      </c>
      <c r="AC823" s="42" t="str">
        <f>IFERROR(__xludf.DUMMYFUNCTION("""COMPUTED_VALUE"""),"DHBA")</f>
        <v>DHBA</v>
      </c>
      <c r="AD823" s="42"/>
      <c r="AE823" s="42"/>
      <c r="AF823" s="9"/>
      <c r="AG823" s="9"/>
      <c r="AH823" s="42"/>
      <c r="AI823" s="42"/>
      <c r="AJ823" s="42"/>
      <c r="AK823" s="42"/>
      <c r="AL823" s="42"/>
      <c r="AM823" s="42"/>
      <c r="AN823" s="42"/>
      <c r="AO823" s="63" t="str">
        <f>IFERROR(__xludf.DUMMYFUNCTION("IF(ISBLANK(A823),,IF(ISBLANK(S823), A823&amp;"";"", TEXTJOIN(CHAR(10), TRUE, A823&amp;"";"", ARRAYFORMULA(VLOOKUP(SPLIT(S823, "";"" &amp; CHAR(10)), $A:$AO, 41, FALSE)))))"),"A44v6;")</f>
        <v>A44v6;</v>
      </c>
      <c r="AP823" s="89"/>
    </row>
    <row r="824">
      <c r="A824" s="151" t="str">
        <f>IFERROR(__xludf.DUMMYFUNCTION("""COMPUTED_VALUE"""),"A44op")</f>
        <v>A44op</v>
      </c>
      <c r="B824" s="42" t="str">
        <f>IFERROR(__xludf.DUMMYFUNCTION("""COMPUTED_VALUE"""),"DHBA")</f>
        <v>DHBA</v>
      </c>
      <c r="C824" s="42" t="str">
        <f>IFERROR(__xludf.DUMMYFUNCTION("""COMPUTED_VALUE"""),"opercular subdivision of area 44")</f>
        <v>opercular subdivision of area 44</v>
      </c>
      <c r="D824" s="42">
        <f>IFERROR(__xludf.DUMMYFUNCTION("""COMPUTED_VALUE"""),768.0)</f>
        <v>768</v>
      </c>
      <c r="E824" s="39" t="str">
        <f>IFERROR(__xludf.DUMMYFUNCTION("""COMPUTED_VALUE"""),"opercular subdivision of area 44")</f>
        <v>opercular subdivision of area 44</v>
      </c>
      <c r="F824" s="9" t="str">
        <f>IFERROR(__xludf.DUMMYFUNCTION("""COMPUTED_VALUE"""),"Br")</f>
        <v>Br</v>
      </c>
      <c r="G824" s="9" t="str">
        <f>IFERROR(__xludf.DUMMYFUNCTION("""COMPUTED_VALUE"""),"F")</f>
        <v>F</v>
      </c>
      <c r="H824" s="9" t="str">
        <f>IFERROR(__xludf.DUMMYFUNCTION("""COMPUTED_VALUE"""),"FGM")</f>
        <v>FGM</v>
      </c>
      <c r="I824" s="9" t="str">
        <f>IFERROR(__xludf.DUMMYFUNCTION("""COMPUTED_VALUE"""),"Tel")</f>
        <v>Tel</v>
      </c>
      <c r="J824" s="9" t="str">
        <f>IFERROR(__xludf.DUMMYFUNCTION("""COMPUTED_VALUE"""),"Cx")</f>
        <v>Cx</v>
      </c>
      <c r="K824" s="9" t="str">
        <f>IFERROR(__xludf.DUMMYFUNCTION("""COMPUTED_VALUE"""),"NCx")</f>
        <v>NCx</v>
      </c>
      <c r="L824" s="9" t="str">
        <f>IFERROR(__xludf.DUMMYFUNCTION("""COMPUTED_VALUE"""),"FCx")</f>
        <v>FCx</v>
      </c>
      <c r="M824" s="9" t="str">
        <f>IFERROR(__xludf.DUMMYFUNCTION("""COMPUTED_VALUE"""),"PFC")</f>
        <v>PFC</v>
      </c>
      <c r="N824" s="9" t="str">
        <f>IFERROR(__xludf.DUMMYFUNCTION("""COMPUTED_VALUE"""),"VFC")</f>
        <v>VFC</v>
      </c>
      <c r="O824" s="9" t="str">
        <f>IFERROR(__xludf.DUMMYFUNCTION("""COMPUTED_VALUE"""),"A44")</f>
        <v>A44</v>
      </c>
      <c r="P824" s="9" t="str">
        <f>IFERROR(__xludf.DUMMYFUNCTION("""COMPUTED_VALUE"""),"A44op")</f>
        <v>A44op</v>
      </c>
      <c r="Q824" s="9"/>
      <c r="R824" s="9"/>
      <c r="S824" s="42" t="str">
        <f>IFERROR(__xludf.DUMMYFUNCTION("""COMPUTED_VALUE"""),"A44op1;
A44op2;
A44op3;
A44op4;
A44op5;
A44op6")</f>
        <v>A44op1;
A44op2;
A44op3;
A44op4;
A44op5;
A44op6</v>
      </c>
      <c r="T824" s="42" t="str">
        <f>IFERROR(__xludf.DUMMYFUNCTION("""COMPUTED_VALUE"""),"NCx")</f>
        <v>NCx</v>
      </c>
      <c r="U824" s="42" t="b">
        <f>IFERROR(__xludf.DUMMYFUNCTION("""COMPUTED_VALUE"""),FALSE)</f>
        <v>0</v>
      </c>
      <c r="V824" s="42"/>
      <c r="W824" s="42"/>
      <c r="X824" s="42"/>
      <c r="Y824" s="42"/>
      <c r="Z824" s="42"/>
      <c r="AA824" s="42"/>
      <c r="AB824" s="42" t="str">
        <f>IFERROR(__xludf.DUMMYFUNCTION("""COMPUTED_VALUE"""),"allen institute")</f>
        <v>allen institute</v>
      </c>
      <c r="AC824" s="42" t="str">
        <f>IFERROR(__xludf.DUMMYFUNCTION("""COMPUTED_VALUE"""),"DHBA")</f>
        <v>DHBA</v>
      </c>
      <c r="AD824" s="42"/>
      <c r="AE824" s="42"/>
      <c r="AF824" s="9"/>
      <c r="AG824" s="9"/>
      <c r="AH824" s="42"/>
      <c r="AI824" s="42"/>
      <c r="AJ824" s="42"/>
      <c r="AK824" s="42"/>
      <c r="AL824" s="42"/>
      <c r="AM824" s="42"/>
      <c r="AN824" s="42"/>
      <c r="AO824" s="63" t="str">
        <f>IFERROR(__xludf.DUMMYFUNCTION("IF(ISBLANK(A824),,IF(ISBLANK(S824), A824&amp;"";"", TEXTJOIN(CHAR(10), TRUE, A824&amp;"";"", ARRAYFORMULA(VLOOKUP(SPLIT(S824, "";"" &amp; CHAR(10)), $A:$AO, 41, FALSE)))))"),"A44op;
A44op1;
A44op2;
A44op3;
A44op4;
A44op5;
A44op6;")</f>
        <v>A44op;
A44op1;
A44op2;
A44op3;
A44op4;
A44op5;
A44op6;</v>
      </c>
      <c r="AP824" s="89"/>
    </row>
    <row r="825">
      <c r="A825" s="151" t="str">
        <f>IFERROR(__xludf.DUMMYFUNCTION("""COMPUTED_VALUE"""),"A44op1")</f>
        <v>A44op1</v>
      </c>
      <c r="B825" s="42" t="str">
        <f>IFERROR(__xludf.DUMMYFUNCTION("""COMPUTED_VALUE"""),"DHBA")</f>
        <v>DHBA</v>
      </c>
      <c r="C825" s="42" t="str">
        <f>IFERROR(__xludf.DUMMYFUNCTION("""COMPUTED_VALUE"""),"layer I of area 44op")</f>
        <v>layer I of area 44op</v>
      </c>
      <c r="D825" s="42">
        <f>IFERROR(__xludf.DUMMYFUNCTION("""COMPUTED_VALUE"""),769.0)</f>
        <v>769</v>
      </c>
      <c r="E825" s="39" t="str">
        <f>IFERROR(__xludf.DUMMYFUNCTION("""COMPUTED_VALUE"""),"layer I of area 44op")</f>
        <v>layer I of area 44op</v>
      </c>
      <c r="F825" s="9" t="str">
        <f>IFERROR(__xludf.DUMMYFUNCTION("""COMPUTED_VALUE"""),"Br")</f>
        <v>Br</v>
      </c>
      <c r="G825" s="9" t="str">
        <f>IFERROR(__xludf.DUMMYFUNCTION("""COMPUTED_VALUE"""),"F")</f>
        <v>F</v>
      </c>
      <c r="H825" s="9" t="str">
        <f>IFERROR(__xludf.DUMMYFUNCTION("""COMPUTED_VALUE"""),"FGM")</f>
        <v>FGM</v>
      </c>
      <c r="I825" s="9" t="str">
        <f>IFERROR(__xludf.DUMMYFUNCTION("""COMPUTED_VALUE"""),"Tel")</f>
        <v>Tel</v>
      </c>
      <c r="J825" s="9" t="str">
        <f>IFERROR(__xludf.DUMMYFUNCTION("""COMPUTED_VALUE"""),"Cx")</f>
        <v>Cx</v>
      </c>
      <c r="K825" s="9" t="str">
        <f>IFERROR(__xludf.DUMMYFUNCTION("""COMPUTED_VALUE"""),"NCx")</f>
        <v>NCx</v>
      </c>
      <c r="L825" s="9" t="str">
        <f>IFERROR(__xludf.DUMMYFUNCTION("""COMPUTED_VALUE"""),"FCx")</f>
        <v>FCx</v>
      </c>
      <c r="M825" s="9" t="str">
        <f>IFERROR(__xludf.DUMMYFUNCTION("""COMPUTED_VALUE"""),"PFC")</f>
        <v>PFC</v>
      </c>
      <c r="N825" s="9" t="str">
        <f>IFERROR(__xludf.DUMMYFUNCTION("""COMPUTED_VALUE"""),"VFC")</f>
        <v>VFC</v>
      </c>
      <c r="O825" s="9" t="str">
        <f>IFERROR(__xludf.DUMMYFUNCTION("""COMPUTED_VALUE"""),"A44")</f>
        <v>A44</v>
      </c>
      <c r="P825" s="9" t="str">
        <f>IFERROR(__xludf.DUMMYFUNCTION("""COMPUTED_VALUE"""),"A44op")</f>
        <v>A44op</v>
      </c>
      <c r="Q825" s="9" t="str">
        <f>IFERROR(__xludf.DUMMYFUNCTION("""COMPUTED_VALUE"""),"A44op1")</f>
        <v>A44op1</v>
      </c>
      <c r="R825" s="9"/>
      <c r="S825" s="42"/>
      <c r="T825" s="42"/>
      <c r="U825" s="42"/>
      <c r="V825" s="42"/>
      <c r="W825" s="42"/>
      <c r="X825" s="42"/>
      <c r="Y825" s="42"/>
      <c r="Z825" s="42"/>
      <c r="AA825" s="42"/>
      <c r="AB825" s="42" t="str">
        <f>IFERROR(__xludf.DUMMYFUNCTION("""COMPUTED_VALUE"""),"allen institute")</f>
        <v>allen institute</v>
      </c>
      <c r="AC825" s="42" t="str">
        <f>IFERROR(__xludf.DUMMYFUNCTION("""COMPUTED_VALUE"""),"DHBA")</f>
        <v>DHBA</v>
      </c>
      <c r="AD825" s="42"/>
      <c r="AE825" s="42"/>
      <c r="AF825" s="9"/>
      <c r="AG825" s="9"/>
      <c r="AH825" s="42"/>
      <c r="AI825" s="42"/>
      <c r="AJ825" s="42"/>
      <c r="AK825" s="42"/>
      <c r="AL825" s="42"/>
      <c r="AM825" s="42"/>
      <c r="AN825" s="42"/>
      <c r="AO825" s="63" t="str">
        <f>IFERROR(__xludf.DUMMYFUNCTION("IF(ISBLANK(A825),,IF(ISBLANK(S825), A825&amp;"";"", TEXTJOIN(CHAR(10), TRUE, A825&amp;"";"", ARRAYFORMULA(VLOOKUP(SPLIT(S825, "";"" &amp; CHAR(10)), $A:$AO, 41, FALSE)))))"),"A44op1;")</f>
        <v>A44op1;</v>
      </c>
      <c r="AP825" s="89"/>
    </row>
    <row r="826">
      <c r="A826" s="151" t="str">
        <f>IFERROR(__xludf.DUMMYFUNCTION("""COMPUTED_VALUE"""),"A44op2")</f>
        <v>A44op2</v>
      </c>
      <c r="B826" s="42" t="str">
        <f>IFERROR(__xludf.DUMMYFUNCTION("""COMPUTED_VALUE"""),"DHBA")</f>
        <v>DHBA</v>
      </c>
      <c r="C826" s="42" t="str">
        <f>IFERROR(__xludf.DUMMYFUNCTION("""COMPUTED_VALUE"""),"layer II of area 44op")</f>
        <v>layer II of area 44op</v>
      </c>
      <c r="D826" s="42">
        <f>IFERROR(__xludf.DUMMYFUNCTION("""COMPUTED_VALUE"""),770.0)</f>
        <v>770</v>
      </c>
      <c r="E826" s="39" t="str">
        <f>IFERROR(__xludf.DUMMYFUNCTION("""COMPUTED_VALUE"""),"layer II of area 44op")</f>
        <v>layer II of area 44op</v>
      </c>
      <c r="F826" s="9" t="str">
        <f>IFERROR(__xludf.DUMMYFUNCTION("""COMPUTED_VALUE"""),"Br")</f>
        <v>Br</v>
      </c>
      <c r="G826" s="9" t="str">
        <f>IFERROR(__xludf.DUMMYFUNCTION("""COMPUTED_VALUE"""),"F")</f>
        <v>F</v>
      </c>
      <c r="H826" s="9" t="str">
        <f>IFERROR(__xludf.DUMMYFUNCTION("""COMPUTED_VALUE"""),"FGM")</f>
        <v>FGM</v>
      </c>
      <c r="I826" s="9" t="str">
        <f>IFERROR(__xludf.DUMMYFUNCTION("""COMPUTED_VALUE"""),"Tel")</f>
        <v>Tel</v>
      </c>
      <c r="J826" s="9" t="str">
        <f>IFERROR(__xludf.DUMMYFUNCTION("""COMPUTED_VALUE"""),"Cx")</f>
        <v>Cx</v>
      </c>
      <c r="K826" s="9" t="str">
        <f>IFERROR(__xludf.DUMMYFUNCTION("""COMPUTED_VALUE"""),"NCx")</f>
        <v>NCx</v>
      </c>
      <c r="L826" s="9" t="str">
        <f>IFERROR(__xludf.DUMMYFUNCTION("""COMPUTED_VALUE"""),"FCx")</f>
        <v>FCx</v>
      </c>
      <c r="M826" s="9" t="str">
        <f>IFERROR(__xludf.DUMMYFUNCTION("""COMPUTED_VALUE"""),"PFC")</f>
        <v>PFC</v>
      </c>
      <c r="N826" s="9" t="str">
        <f>IFERROR(__xludf.DUMMYFUNCTION("""COMPUTED_VALUE"""),"VFC")</f>
        <v>VFC</v>
      </c>
      <c r="O826" s="9" t="str">
        <f>IFERROR(__xludf.DUMMYFUNCTION("""COMPUTED_VALUE"""),"A44")</f>
        <v>A44</v>
      </c>
      <c r="P826" s="9" t="str">
        <f>IFERROR(__xludf.DUMMYFUNCTION("""COMPUTED_VALUE"""),"A44op")</f>
        <v>A44op</v>
      </c>
      <c r="Q826" s="9" t="str">
        <f>IFERROR(__xludf.DUMMYFUNCTION("""COMPUTED_VALUE"""),"A44op2")</f>
        <v>A44op2</v>
      </c>
      <c r="R826" s="9"/>
      <c r="S826" s="42"/>
      <c r="T826" s="42"/>
      <c r="U826" s="42"/>
      <c r="V826" s="42"/>
      <c r="W826" s="42"/>
      <c r="X826" s="42"/>
      <c r="Y826" s="42"/>
      <c r="Z826" s="42"/>
      <c r="AA826" s="42"/>
      <c r="AB826" s="42" t="str">
        <f>IFERROR(__xludf.DUMMYFUNCTION("""COMPUTED_VALUE"""),"allen institute")</f>
        <v>allen institute</v>
      </c>
      <c r="AC826" s="42" t="str">
        <f>IFERROR(__xludf.DUMMYFUNCTION("""COMPUTED_VALUE"""),"DHBA")</f>
        <v>DHBA</v>
      </c>
      <c r="AD826" s="42"/>
      <c r="AE826" s="42"/>
      <c r="AF826" s="9"/>
      <c r="AG826" s="9"/>
      <c r="AH826" s="42"/>
      <c r="AI826" s="42"/>
      <c r="AJ826" s="42"/>
      <c r="AK826" s="42"/>
      <c r="AL826" s="42"/>
      <c r="AM826" s="42"/>
      <c r="AN826" s="42"/>
      <c r="AO826" s="63" t="str">
        <f>IFERROR(__xludf.DUMMYFUNCTION("IF(ISBLANK(A826),,IF(ISBLANK(S826), A826&amp;"";"", TEXTJOIN(CHAR(10), TRUE, A826&amp;"";"", ARRAYFORMULA(VLOOKUP(SPLIT(S826, "";"" &amp; CHAR(10)), $A:$AO, 41, FALSE)))))"),"A44op2;")</f>
        <v>A44op2;</v>
      </c>
      <c r="AP826" s="89"/>
    </row>
    <row r="827">
      <c r="A827" s="151" t="str">
        <f>IFERROR(__xludf.DUMMYFUNCTION("""COMPUTED_VALUE"""),"A44op3")</f>
        <v>A44op3</v>
      </c>
      <c r="B827" s="42" t="str">
        <f>IFERROR(__xludf.DUMMYFUNCTION("""COMPUTED_VALUE"""),"DHBA")</f>
        <v>DHBA</v>
      </c>
      <c r="C827" s="42" t="str">
        <f>IFERROR(__xludf.DUMMYFUNCTION("""COMPUTED_VALUE"""),"layer III of area 44op")</f>
        <v>layer III of area 44op</v>
      </c>
      <c r="D827" s="42">
        <f>IFERROR(__xludf.DUMMYFUNCTION("""COMPUTED_VALUE"""),771.0)</f>
        <v>771</v>
      </c>
      <c r="E827" s="39" t="str">
        <f>IFERROR(__xludf.DUMMYFUNCTION("""COMPUTED_VALUE"""),"layer III of area 44op")</f>
        <v>layer III of area 44op</v>
      </c>
      <c r="F827" s="9" t="str">
        <f>IFERROR(__xludf.DUMMYFUNCTION("""COMPUTED_VALUE"""),"Br")</f>
        <v>Br</v>
      </c>
      <c r="G827" s="9" t="str">
        <f>IFERROR(__xludf.DUMMYFUNCTION("""COMPUTED_VALUE"""),"F")</f>
        <v>F</v>
      </c>
      <c r="H827" s="9" t="str">
        <f>IFERROR(__xludf.DUMMYFUNCTION("""COMPUTED_VALUE"""),"FGM")</f>
        <v>FGM</v>
      </c>
      <c r="I827" s="9" t="str">
        <f>IFERROR(__xludf.DUMMYFUNCTION("""COMPUTED_VALUE"""),"Tel")</f>
        <v>Tel</v>
      </c>
      <c r="J827" s="9" t="str">
        <f>IFERROR(__xludf.DUMMYFUNCTION("""COMPUTED_VALUE"""),"Cx")</f>
        <v>Cx</v>
      </c>
      <c r="K827" s="9" t="str">
        <f>IFERROR(__xludf.DUMMYFUNCTION("""COMPUTED_VALUE"""),"NCx")</f>
        <v>NCx</v>
      </c>
      <c r="L827" s="9" t="str">
        <f>IFERROR(__xludf.DUMMYFUNCTION("""COMPUTED_VALUE"""),"FCx")</f>
        <v>FCx</v>
      </c>
      <c r="M827" s="9" t="str">
        <f>IFERROR(__xludf.DUMMYFUNCTION("""COMPUTED_VALUE"""),"PFC")</f>
        <v>PFC</v>
      </c>
      <c r="N827" s="9" t="str">
        <f>IFERROR(__xludf.DUMMYFUNCTION("""COMPUTED_VALUE"""),"VFC")</f>
        <v>VFC</v>
      </c>
      <c r="O827" s="9" t="str">
        <f>IFERROR(__xludf.DUMMYFUNCTION("""COMPUTED_VALUE"""),"A44")</f>
        <v>A44</v>
      </c>
      <c r="P827" s="9" t="str">
        <f>IFERROR(__xludf.DUMMYFUNCTION("""COMPUTED_VALUE"""),"A44op")</f>
        <v>A44op</v>
      </c>
      <c r="Q827" s="9" t="str">
        <f>IFERROR(__xludf.DUMMYFUNCTION("""COMPUTED_VALUE"""),"A44op3")</f>
        <v>A44op3</v>
      </c>
      <c r="R827" s="9"/>
      <c r="S827" s="42"/>
      <c r="T827" s="42"/>
      <c r="U827" s="42"/>
      <c r="V827" s="42"/>
      <c r="W827" s="42"/>
      <c r="X827" s="42"/>
      <c r="Y827" s="42"/>
      <c r="Z827" s="42"/>
      <c r="AA827" s="42"/>
      <c r="AB827" s="42" t="str">
        <f>IFERROR(__xludf.DUMMYFUNCTION("""COMPUTED_VALUE"""),"allen institute")</f>
        <v>allen institute</v>
      </c>
      <c r="AC827" s="42" t="str">
        <f>IFERROR(__xludf.DUMMYFUNCTION("""COMPUTED_VALUE"""),"DHBA")</f>
        <v>DHBA</v>
      </c>
      <c r="AD827" s="42"/>
      <c r="AE827" s="42"/>
      <c r="AF827" s="9"/>
      <c r="AG827" s="9"/>
      <c r="AH827" s="42"/>
      <c r="AI827" s="42"/>
      <c r="AJ827" s="42"/>
      <c r="AK827" s="42"/>
      <c r="AL827" s="42"/>
      <c r="AM827" s="42"/>
      <c r="AN827" s="42"/>
      <c r="AO827" s="63" t="str">
        <f>IFERROR(__xludf.DUMMYFUNCTION("IF(ISBLANK(A827),,IF(ISBLANK(S827), A827&amp;"";"", TEXTJOIN(CHAR(10), TRUE, A827&amp;"";"", ARRAYFORMULA(VLOOKUP(SPLIT(S827, "";"" &amp; CHAR(10)), $A:$AO, 41, FALSE)))))"),"A44op3;")</f>
        <v>A44op3;</v>
      </c>
      <c r="AP827" s="89"/>
    </row>
    <row r="828">
      <c r="A828" s="151" t="str">
        <f>IFERROR(__xludf.DUMMYFUNCTION("""COMPUTED_VALUE"""),"A44op4")</f>
        <v>A44op4</v>
      </c>
      <c r="B828" s="42" t="str">
        <f>IFERROR(__xludf.DUMMYFUNCTION("""COMPUTED_VALUE"""),"DHBA")</f>
        <v>DHBA</v>
      </c>
      <c r="C828" s="42" t="str">
        <f>IFERROR(__xludf.DUMMYFUNCTION("""COMPUTED_VALUE"""),"layer IV of area 44op")</f>
        <v>layer IV of area 44op</v>
      </c>
      <c r="D828" s="42">
        <f>IFERROR(__xludf.DUMMYFUNCTION("""COMPUTED_VALUE"""),772.0)</f>
        <v>772</v>
      </c>
      <c r="E828" s="39" t="str">
        <f>IFERROR(__xludf.DUMMYFUNCTION("""COMPUTED_VALUE"""),"layer IV of area 44op")</f>
        <v>layer IV of area 44op</v>
      </c>
      <c r="F828" s="9" t="str">
        <f>IFERROR(__xludf.DUMMYFUNCTION("""COMPUTED_VALUE"""),"Br")</f>
        <v>Br</v>
      </c>
      <c r="G828" s="9" t="str">
        <f>IFERROR(__xludf.DUMMYFUNCTION("""COMPUTED_VALUE"""),"F")</f>
        <v>F</v>
      </c>
      <c r="H828" s="9" t="str">
        <f>IFERROR(__xludf.DUMMYFUNCTION("""COMPUTED_VALUE"""),"FGM")</f>
        <v>FGM</v>
      </c>
      <c r="I828" s="9" t="str">
        <f>IFERROR(__xludf.DUMMYFUNCTION("""COMPUTED_VALUE"""),"Tel")</f>
        <v>Tel</v>
      </c>
      <c r="J828" s="9" t="str">
        <f>IFERROR(__xludf.DUMMYFUNCTION("""COMPUTED_VALUE"""),"Cx")</f>
        <v>Cx</v>
      </c>
      <c r="K828" s="9" t="str">
        <f>IFERROR(__xludf.DUMMYFUNCTION("""COMPUTED_VALUE"""),"NCx")</f>
        <v>NCx</v>
      </c>
      <c r="L828" s="9" t="str">
        <f>IFERROR(__xludf.DUMMYFUNCTION("""COMPUTED_VALUE"""),"FCx")</f>
        <v>FCx</v>
      </c>
      <c r="M828" s="9" t="str">
        <f>IFERROR(__xludf.DUMMYFUNCTION("""COMPUTED_VALUE"""),"PFC")</f>
        <v>PFC</v>
      </c>
      <c r="N828" s="9" t="str">
        <f>IFERROR(__xludf.DUMMYFUNCTION("""COMPUTED_VALUE"""),"VFC")</f>
        <v>VFC</v>
      </c>
      <c r="O828" s="9" t="str">
        <f>IFERROR(__xludf.DUMMYFUNCTION("""COMPUTED_VALUE"""),"A44")</f>
        <v>A44</v>
      </c>
      <c r="P828" s="9" t="str">
        <f>IFERROR(__xludf.DUMMYFUNCTION("""COMPUTED_VALUE"""),"A44op")</f>
        <v>A44op</v>
      </c>
      <c r="Q828" s="9" t="str">
        <f>IFERROR(__xludf.DUMMYFUNCTION("""COMPUTED_VALUE"""),"A44op4")</f>
        <v>A44op4</v>
      </c>
      <c r="R828" s="9"/>
      <c r="S828" s="42"/>
      <c r="T828" s="42"/>
      <c r="U828" s="159"/>
      <c r="V828" s="42"/>
      <c r="W828" s="42"/>
      <c r="X828" s="42"/>
      <c r="Y828" s="42"/>
      <c r="Z828" s="42"/>
      <c r="AA828" s="42"/>
      <c r="AB828" s="42" t="str">
        <f>IFERROR(__xludf.DUMMYFUNCTION("""COMPUTED_VALUE"""),"allen institute")</f>
        <v>allen institute</v>
      </c>
      <c r="AC828" s="42" t="str">
        <f>IFERROR(__xludf.DUMMYFUNCTION("""COMPUTED_VALUE"""),"DHBA")</f>
        <v>DHBA</v>
      </c>
      <c r="AD828" s="42"/>
      <c r="AE828" s="42"/>
      <c r="AF828" s="9"/>
      <c r="AG828" s="9"/>
      <c r="AH828" s="42"/>
      <c r="AI828" s="42"/>
      <c r="AJ828" s="42"/>
      <c r="AK828" s="42"/>
      <c r="AL828" s="42"/>
      <c r="AM828" s="42"/>
      <c r="AN828" s="42"/>
      <c r="AO828" s="63" t="str">
        <f>IFERROR(__xludf.DUMMYFUNCTION("IF(ISBLANK(A828),,IF(ISBLANK(S828), A828&amp;"";"", TEXTJOIN(CHAR(10), TRUE, A828&amp;"";"", ARRAYFORMULA(VLOOKUP(SPLIT(S828, "";"" &amp; CHAR(10)), $A:$AO, 41, FALSE)))))"),"A44op4;")</f>
        <v>A44op4;</v>
      </c>
      <c r="AP828" s="89"/>
    </row>
    <row r="829">
      <c r="A829" s="151" t="str">
        <f>IFERROR(__xludf.DUMMYFUNCTION("""COMPUTED_VALUE"""),"A44op5")</f>
        <v>A44op5</v>
      </c>
      <c r="B829" s="42" t="str">
        <f>IFERROR(__xludf.DUMMYFUNCTION("""COMPUTED_VALUE"""),"DHBA")</f>
        <v>DHBA</v>
      </c>
      <c r="C829" s="42" t="str">
        <f>IFERROR(__xludf.DUMMYFUNCTION("""COMPUTED_VALUE"""),"layer V of area 44op")</f>
        <v>layer V of area 44op</v>
      </c>
      <c r="D829" s="42">
        <f>IFERROR(__xludf.DUMMYFUNCTION("""COMPUTED_VALUE"""),773.0)</f>
        <v>773</v>
      </c>
      <c r="E829" s="39" t="str">
        <f>IFERROR(__xludf.DUMMYFUNCTION("""COMPUTED_VALUE"""),"layer V of area 44op")</f>
        <v>layer V of area 44op</v>
      </c>
      <c r="F829" s="9" t="str">
        <f>IFERROR(__xludf.DUMMYFUNCTION("""COMPUTED_VALUE"""),"Br")</f>
        <v>Br</v>
      </c>
      <c r="G829" s="9" t="str">
        <f>IFERROR(__xludf.DUMMYFUNCTION("""COMPUTED_VALUE"""),"F")</f>
        <v>F</v>
      </c>
      <c r="H829" s="9" t="str">
        <f>IFERROR(__xludf.DUMMYFUNCTION("""COMPUTED_VALUE"""),"FGM")</f>
        <v>FGM</v>
      </c>
      <c r="I829" s="9" t="str">
        <f>IFERROR(__xludf.DUMMYFUNCTION("""COMPUTED_VALUE"""),"Tel")</f>
        <v>Tel</v>
      </c>
      <c r="J829" s="9" t="str">
        <f>IFERROR(__xludf.DUMMYFUNCTION("""COMPUTED_VALUE"""),"Cx")</f>
        <v>Cx</v>
      </c>
      <c r="K829" s="9" t="str">
        <f>IFERROR(__xludf.DUMMYFUNCTION("""COMPUTED_VALUE"""),"NCx")</f>
        <v>NCx</v>
      </c>
      <c r="L829" s="9" t="str">
        <f>IFERROR(__xludf.DUMMYFUNCTION("""COMPUTED_VALUE"""),"FCx")</f>
        <v>FCx</v>
      </c>
      <c r="M829" s="9" t="str">
        <f>IFERROR(__xludf.DUMMYFUNCTION("""COMPUTED_VALUE"""),"PFC")</f>
        <v>PFC</v>
      </c>
      <c r="N829" s="9" t="str">
        <f>IFERROR(__xludf.DUMMYFUNCTION("""COMPUTED_VALUE"""),"VFC")</f>
        <v>VFC</v>
      </c>
      <c r="O829" s="9" t="str">
        <f>IFERROR(__xludf.DUMMYFUNCTION("""COMPUTED_VALUE"""),"A44")</f>
        <v>A44</v>
      </c>
      <c r="P829" s="9" t="str">
        <f>IFERROR(__xludf.DUMMYFUNCTION("""COMPUTED_VALUE"""),"A44op")</f>
        <v>A44op</v>
      </c>
      <c r="Q829" s="9" t="str">
        <f>IFERROR(__xludf.DUMMYFUNCTION("""COMPUTED_VALUE"""),"A44op5")</f>
        <v>A44op5</v>
      </c>
      <c r="R829" s="9"/>
      <c r="S829" s="42"/>
      <c r="T829" s="42"/>
      <c r="U829" s="159"/>
      <c r="V829" s="42"/>
      <c r="W829" s="42"/>
      <c r="X829" s="42"/>
      <c r="Y829" s="42"/>
      <c r="Z829" s="42"/>
      <c r="AA829" s="42"/>
      <c r="AB829" s="42" t="str">
        <f>IFERROR(__xludf.DUMMYFUNCTION("""COMPUTED_VALUE"""),"allen institute")</f>
        <v>allen institute</v>
      </c>
      <c r="AC829" s="42" t="str">
        <f>IFERROR(__xludf.DUMMYFUNCTION("""COMPUTED_VALUE"""),"DHBA")</f>
        <v>DHBA</v>
      </c>
      <c r="AD829" s="42"/>
      <c r="AE829" s="42"/>
      <c r="AF829" s="9"/>
      <c r="AG829" s="9"/>
      <c r="AH829" s="42"/>
      <c r="AI829" s="42"/>
      <c r="AJ829" s="42"/>
      <c r="AK829" s="42"/>
      <c r="AL829" s="42"/>
      <c r="AM829" s="42"/>
      <c r="AN829" s="42"/>
      <c r="AO829" s="63" t="str">
        <f>IFERROR(__xludf.DUMMYFUNCTION("IF(ISBLANK(A829),,IF(ISBLANK(S829), A829&amp;"";"", TEXTJOIN(CHAR(10), TRUE, A829&amp;"";"", ARRAYFORMULA(VLOOKUP(SPLIT(S829, "";"" &amp; CHAR(10)), $A:$AO, 41, FALSE)))))"),"A44op5;")</f>
        <v>A44op5;</v>
      </c>
      <c r="AP829" s="89"/>
    </row>
    <row r="830">
      <c r="A830" s="151" t="str">
        <f>IFERROR(__xludf.DUMMYFUNCTION("""COMPUTED_VALUE"""),"A44op6")</f>
        <v>A44op6</v>
      </c>
      <c r="B830" s="42" t="str">
        <f>IFERROR(__xludf.DUMMYFUNCTION("""COMPUTED_VALUE"""),"DHBA")</f>
        <v>DHBA</v>
      </c>
      <c r="C830" s="42" t="str">
        <f>IFERROR(__xludf.DUMMYFUNCTION("""COMPUTED_VALUE"""),"layer VI of area 44op")</f>
        <v>layer VI of area 44op</v>
      </c>
      <c r="D830" s="42">
        <f>IFERROR(__xludf.DUMMYFUNCTION("""COMPUTED_VALUE"""),774.0)</f>
        <v>774</v>
      </c>
      <c r="E830" s="39" t="str">
        <f>IFERROR(__xludf.DUMMYFUNCTION("""COMPUTED_VALUE"""),"layer VI of area 44op")</f>
        <v>layer VI of area 44op</v>
      </c>
      <c r="F830" s="9" t="str">
        <f>IFERROR(__xludf.DUMMYFUNCTION("""COMPUTED_VALUE"""),"Br")</f>
        <v>Br</v>
      </c>
      <c r="G830" s="9" t="str">
        <f>IFERROR(__xludf.DUMMYFUNCTION("""COMPUTED_VALUE"""),"F")</f>
        <v>F</v>
      </c>
      <c r="H830" s="9" t="str">
        <f>IFERROR(__xludf.DUMMYFUNCTION("""COMPUTED_VALUE"""),"FGM")</f>
        <v>FGM</v>
      </c>
      <c r="I830" s="9" t="str">
        <f>IFERROR(__xludf.DUMMYFUNCTION("""COMPUTED_VALUE"""),"Tel")</f>
        <v>Tel</v>
      </c>
      <c r="J830" s="9" t="str">
        <f>IFERROR(__xludf.DUMMYFUNCTION("""COMPUTED_VALUE"""),"Cx")</f>
        <v>Cx</v>
      </c>
      <c r="K830" s="9" t="str">
        <f>IFERROR(__xludf.DUMMYFUNCTION("""COMPUTED_VALUE"""),"NCx")</f>
        <v>NCx</v>
      </c>
      <c r="L830" s="9" t="str">
        <f>IFERROR(__xludf.DUMMYFUNCTION("""COMPUTED_VALUE"""),"FCx")</f>
        <v>FCx</v>
      </c>
      <c r="M830" s="9" t="str">
        <f>IFERROR(__xludf.DUMMYFUNCTION("""COMPUTED_VALUE"""),"PFC")</f>
        <v>PFC</v>
      </c>
      <c r="N830" s="9" t="str">
        <f>IFERROR(__xludf.DUMMYFUNCTION("""COMPUTED_VALUE"""),"VFC")</f>
        <v>VFC</v>
      </c>
      <c r="O830" s="9" t="str">
        <f>IFERROR(__xludf.DUMMYFUNCTION("""COMPUTED_VALUE"""),"A44")</f>
        <v>A44</v>
      </c>
      <c r="P830" s="9" t="str">
        <f>IFERROR(__xludf.DUMMYFUNCTION("""COMPUTED_VALUE"""),"A44op")</f>
        <v>A44op</v>
      </c>
      <c r="Q830" s="9" t="str">
        <f>IFERROR(__xludf.DUMMYFUNCTION("""COMPUTED_VALUE"""),"A44op6")</f>
        <v>A44op6</v>
      </c>
      <c r="R830" s="9"/>
      <c r="S830" s="42"/>
      <c r="T830" s="42"/>
      <c r="U830" s="159"/>
      <c r="V830" s="42"/>
      <c r="W830" s="42"/>
      <c r="X830" s="42"/>
      <c r="Y830" s="42"/>
      <c r="Z830" s="42"/>
      <c r="AA830" s="42"/>
      <c r="AB830" s="42" t="str">
        <f>IFERROR(__xludf.DUMMYFUNCTION("""COMPUTED_VALUE"""),"allen institute")</f>
        <v>allen institute</v>
      </c>
      <c r="AC830" s="42" t="str">
        <f>IFERROR(__xludf.DUMMYFUNCTION("""COMPUTED_VALUE"""),"DHBA")</f>
        <v>DHBA</v>
      </c>
      <c r="AD830" s="42"/>
      <c r="AE830" s="42"/>
      <c r="AF830" s="9"/>
      <c r="AG830" s="9"/>
      <c r="AH830" s="42"/>
      <c r="AI830" s="42"/>
      <c r="AJ830" s="42"/>
      <c r="AK830" s="42"/>
      <c r="AL830" s="42"/>
      <c r="AM830" s="42"/>
      <c r="AN830" s="42"/>
      <c r="AO830" s="63" t="str">
        <f>IFERROR(__xludf.DUMMYFUNCTION("IF(ISBLANK(A830),,IF(ISBLANK(S830), A830&amp;"";"", TEXTJOIN(CHAR(10), TRUE, A830&amp;"";"", ARRAYFORMULA(VLOOKUP(SPLIT(S830, "";"" &amp; CHAR(10)), $A:$AO, 41, FALSE)))))"),"A44op6;")</f>
        <v>A44op6;</v>
      </c>
      <c r="AP830" s="89"/>
    </row>
    <row r="831">
      <c r="A831" s="151" t="str">
        <f>IFERROR(__xludf.DUMMYFUNCTION("""COMPUTED_VALUE"""),"A45")</f>
        <v>A45</v>
      </c>
      <c r="B831" s="42" t="str">
        <f>IFERROR(__xludf.DUMMYFUNCTION("""COMPUTED_VALUE"""),"DHBA")</f>
        <v>DHBA</v>
      </c>
      <c r="C831" s="42" t="str">
        <f>IFERROR(__xludf.DUMMYFUNCTION("""COMPUTED_VALUE"""),"rostral portion of VFC (area 45)")</f>
        <v>rostral portion of VFC (area 45)</v>
      </c>
      <c r="D831" s="42">
        <f>IFERROR(__xludf.DUMMYFUNCTION("""COMPUTED_VALUE"""),775.0)</f>
        <v>775</v>
      </c>
      <c r="E831" s="39" t="str">
        <f>IFERROR(__xludf.DUMMYFUNCTION("""COMPUTED_VALUE"""),"rostral portion of VFC (area 45)")</f>
        <v>rostral portion of VFC (area 45)</v>
      </c>
      <c r="F831" s="9" t="str">
        <f>IFERROR(__xludf.DUMMYFUNCTION("""COMPUTED_VALUE"""),"Br")</f>
        <v>Br</v>
      </c>
      <c r="G831" s="9" t="str">
        <f>IFERROR(__xludf.DUMMYFUNCTION("""COMPUTED_VALUE"""),"F")</f>
        <v>F</v>
      </c>
      <c r="H831" s="9" t="str">
        <f>IFERROR(__xludf.DUMMYFUNCTION("""COMPUTED_VALUE"""),"FGM")</f>
        <v>FGM</v>
      </c>
      <c r="I831" s="9" t="str">
        <f>IFERROR(__xludf.DUMMYFUNCTION("""COMPUTED_VALUE"""),"Tel")</f>
        <v>Tel</v>
      </c>
      <c r="J831" s="9" t="str">
        <f>IFERROR(__xludf.DUMMYFUNCTION("""COMPUTED_VALUE"""),"Cx")</f>
        <v>Cx</v>
      </c>
      <c r="K831" s="9" t="str">
        <f>IFERROR(__xludf.DUMMYFUNCTION("""COMPUTED_VALUE"""),"NCx")</f>
        <v>NCx</v>
      </c>
      <c r="L831" s="9" t="str">
        <f>IFERROR(__xludf.DUMMYFUNCTION("""COMPUTED_VALUE"""),"FCx")</f>
        <v>FCx</v>
      </c>
      <c r="M831" s="9" t="str">
        <f>IFERROR(__xludf.DUMMYFUNCTION("""COMPUTED_VALUE"""),"PFC")</f>
        <v>PFC</v>
      </c>
      <c r="N831" s="9" t="str">
        <f>IFERROR(__xludf.DUMMYFUNCTION("""COMPUTED_VALUE"""),"VFC")</f>
        <v>VFC</v>
      </c>
      <c r="O831" s="9" t="str">
        <f>IFERROR(__xludf.DUMMYFUNCTION("""COMPUTED_VALUE"""),"A45")</f>
        <v>A45</v>
      </c>
      <c r="P831" s="9"/>
      <c r="Q831" s="9"/>
      <c r="R831" s="9"/>
      <c r="S831" s="42" t="str">
        <f>IFERROR(__xludf.DUMMYFUNCTION("""COMPUTED_VALUE"""),"A45r;
A45c;
A45op")</f>
        <v>A45r;
A45c;
A45op</v>
      </c>
      <c r="T831" s="42" t="str">
        <f>IFERROR(__xludf.DUMMYFUNCTION("""COMPUTED_VALUE"""),"NCx")</f>
        <v>NCx</v>
      </c>
      <c r="U831" s="42" t="b">
        <f>IFERROR(__xludf.DUMMYFUNCTION("""COMPUTED_VALUE"""),FALSE)</f>
        <v>0</v>
      </c>
      <c r="V831" s="42"/>
      <c r="W831" s="42"/>
      <c r="X831" s="42"/>
      <c r="Y831" s="42"/>
      <c r="Z831" s="42"/>
      <c r="AA831" s="42"/>
      <c r="AB831" s="42" t="str">
        <f>IFERROR(__xludf.DUMMYFUNCTION("""COMPUTED_VALUE"""),"allen institute")</f>
        <v>allen institute</v>
      </c>
      <c r="AC831" s="42" t="str">
        <f>IFERROR(__xludf.DUMMYFUNCTION("""COMPUTED_VALUE"""),"DHBA")</f>
        <v>DHBA</v>
      </c>
      <c r="AD831" s="42"/>
      <c r="AE831" s="42"/>
      <c r="AF831" s="9"/>
      <c r="AG831" s="9"/>
      <c r="AH831" s="42"/>
      <c r="AI831" s="42"/>
      <c r="AJ831" s="42"/>
      <c r="AK831" s="42"/>
      <c r="AL831" s="42"/>
      <c r="AM831" s="42"/>
      <c r="AN831" s="42"/>
      <c r="AO831" s="63" t="str">
        <f>IFERROR(__xludf.DUMMYFUNCTION("IF(ISBLANK(A831),,IF(ISBLANK(S831), A831&amp;"";"", TEXTJOIN(CHAR(10), TRUE, A831&amp;"";"", ARRAYFORMULA(VLOOKUP(SPLIT(S831, "";"" &amp; CHAR(10)), $A:$AO, 41, FALSE)))))"),"A45;
A45r;
A45r1;
A45r2;
A45r3;
A45r4;
A45r5;
A45r6;
A45c;
A45c1;
A45c2;
A45c3;
A45c4;
A45c5;
A45c6;
A45op;
A45op1;
A45op2;
A45op3;
A45op4;
A45op5;
A45op6;")</f>
        <v>A45;
A45r;
A45r1;
A45r2;
A45r3;
A45r4;
A45r5;
A45r6;
A45c;
A45c1;
A45c2;
A45c3;
A45c4;
A45c5;
A45c6;
A45op;
A45op1;
A45op2;
A45op3;
A45op4;
A45op5;
A45op6;</v>
      </c>
      <c r="AP831" s="89"/>
    </row>
    <row r="832">
      <c r="A832" s="151" t="str">
        <f>IFERROR(__xludf.DUMMYFUNCTION("""COMPUTED_VALUE"""),"A45r")</f>
        <v>A45r</v>
      </c>
      <c r="B832" s="42" t="str">
        <f>IFERROR(__xludf.DUMMYFUNCTION("""COMPUTED_VALUE"""),"DHBA")</f>
        <v>DHBA</v>
      </c>
      <c r="C832" s="42" t="str">
        <f>IFERROR(__xludf.DUMMYFUNCTION("""COMPUTED_VALUE"""),"rostral subdivision of A45")</f>
        <v>rostral subdivision of A45</v>
      </c>
      <c r="D832" s="42">
        <f>IFERROR(__xludf.DUMMYFUNCTION("""COMPUTED_VALUE"""),776.0)</f>
        <v>776</v>
      </c>
      <c r="E832" s="39" t="str">
        <f>IFERROR(__xludf.DUMMYFUNCTION("""COMPUTED_VALUE"""),"rostral subdivision of A45")</f>
        <v>rostral subdivision of A45</v>
      </c>
      <c r="F832" s="9" t="str">
        <f>IFERROR(__xludf.DUMMYFUNCTION("""COMPUTED_VALUE"""),"Br")</f>
        <v>Br</v>
      </c>
      <c r="G832" s="9" t="str">
        <f>IFERROR(__xludf.DUMMYFUNCTION("""COMPUTED_VALUE"""),"F")</f>
        <v>F</v>
      </c>
      <c r="H832" s="9" t="str">
        <f>IFERROR(__xludf.DUMMYFUNCTION("""COMPUTED_VALUE"""),"FGM")</f>
        <v>FGM</v>
      </c>
      <c r="I832" s="9" t="str">
        <f>IFERROR(__xludf.DUMMYFUNCTION("""COMPUTED_VALUE"""),"Tel")</f>
        <v>Tel</v>
      </c>
      <c r="J832" s="9" t="str">
        <f>IFERROR(__xludf.DUMMYFUNCTION("""COMPUTED_VALUE"""),"Cx")</f>
        <v>Cx</v>
      </c>
      <c r="K832" s="9" t="str">
        <f>IFERROR(__xludf.DUMMYFUNCTION("""COMPUTED_VALUE"""),"NCx")</f>
        <v>NCx</v>
      </c>
      <c r="L832" s="9" t="str">
        <f>IFERROR(__xludf.DUMMYFUNCTION("""COMPUTED_VALUE"""),"FCx")</f>
        <v>FCx</v>
      </c>
      <c r="M832" s="9" t="str">
        <f>IFERROR(__xludf.DUMMYFUNCTION("""COMPUTED_VALUE"""),"PFC")</f>
        <v>PFC</v>
      </c>
      <c r="N832" s="9" t="str">
        <f>IFERROR(__xludf.DUMMYFUNCTION("""COMPUTED_VALUE"""),"VFC")</f>
        <v>VFC</v>
      </c>
      <c r="O832" s="9" t="str">
        <f>IFERROR(__xludf.DUMMYFUNCTION("""COMPUTED_VALUE"""),"A45")</f>
        <v>A45</v>
      </c>
      <c r="P832" s="9" t="str">
        <f>IFERROR(__xludf.DUMMYFUNCTION("""COMPUTED_VALUE"""),"A45r")</f>
        <v>A45r</v>
      </c>
      <c r="Q832" s="9"/>
      <c r="R832" s="9"/>
      <c r="S832" s="42" t="str">
        <f>IFERROR(__xludf.DUMMYFUNCTION("""COMPUTED_VALUE"""),"A45r1;
A45r2;
A45r3;
A45r4;
A45r5;
A45r6")</f>
        <v>A45r1;
A45r2;
A45r3;
A45r4;
A45r5;
A45r6</v>
      </c>
      <c r="T832" s="42" t="str">
        <f>IFERROR(__xludf.DUMMYFUNCTION("""COMPUTED_VALUE"""),"NCx")</f>
        <v>NCx</v>
      </c>
      <c r="U832" s="42" t="b">
        <f>IFERROR(__xludf.DUMMYFUNCTION("""COMPUTED_VALUE"""),FALSE)</f>
        <v>0</v>
      </c>
      <c r="V832" s="42"/>
      <c r="W832" s="42"/>
      <c r="X832" s="42"/>
      <c r="Y832" s="42"/>
      <c r="Z832" s="42"/>
      <c r="AA832" s="42"/>
      <c r="AB832" s="42" t="str">
        <f>IFERROR(__xludf.DUMMYFUNCTION("""COMPUTED_VALUE"""),"allen institute")</f>
        <v>allen institute</v>
      </c>
      <c r="AC832" s="42" t="str">
        <f>IFERROR(__xludf.DUMMYFUNCTION("""COMPUTED_VALUE"""),"DHBA")</f>
        <v>DHBA</v>
      </c>
      <c r="AD832" s="42"/>
      <c r="AE832" s="42"/>
      <c r="AF832" s="9"/>
      <c r="AG832" s="9"/>
      <c r="AH832" s="42"/>
      <c r="AI832" s="42"/>
      <c r="AJ832" s="42"/>
      <c r="AK832" s="42"/>
      <c r="AL832" s="42"/>
      <c r="AM832" s="42"/>
      <c r="AN832" s="42"/>
      <c r="AO832" s="63" t="str">
        <f>IFERROR(__xludf.DUMMYFUNCTION("IF(ISBLANK(A832),,IF(ISBLANK(S832), A832&amp;"";"", TEXTJOIN(CHAR(10), TRUE, A832&amp;"";"", ARRAYFORMULA(VLOOKUP(SPLIT(S832, "";"" &amp; CHAR(10)), $A:$AO, 41, FALSE)))))"),"A45r;
A45r1;
A45r2;
A45r3;
A45r4;
A45r5;
A45r6;")</f>
        <v>A45r;
A45r1;
A45r2;
A45r3;
A45r4;
A45r5;
A45r6;</v>
      </c>
      <c r="AP832" s="89"/>
    </row>
    <row r="833">
      <c r="A833" s="151" t="str">
        <f>IFERROR(__xludf.DUMMYFUNCTION("""COMPUTED_VALUE"""),"A45r1")</f>
        <v>A45r1</v>
      </c>
      <c r="B833" s="42" t="str">
        <f>IFERROR(__xludf.DUMMYFUNCTION("""COMPUTED_VALUE"""),"DHBA")</f>
        <v>DHBA</v>
      </c>
      <c r="C833" s="42" t="str">
        <f>IFERROR(__xludf.DUMMYFUNCTION("""COMPUTED_VALUE"""),"layer I of area 45r")</f>
        <v>layer I of area 45r</v>
      </c>
      <c r="D833" s="42">
        <f>IFERROR(__xludf.DUMMYFUNCTION("""COMPUTED_VALUE"""),777.0)</f>
        <v>777</v>
      </c>
      <c r="E833" s="39" t="str">
        <f>IFERROR(__xludf.DUMMYFUNCTION("""COMPUTED_VALUE"""),"layer I of area 45r")</f>
        <v>layer I of area 45r</v>
      </c>
      <c r="F833" s="9" t="str">
        <f>IFERROR(__xludf.DUMMYFUNCTION("""COMPUTED_VALUE"""),"Br")</f>
        <v>Br</v>
      </c>
      <c r="G833" s="9" t="str">
        <f>IFERROR(__xludf.DUMMYFUNCTION("""COMPUTED_VALUE"""),"F")</f>
        <v>F</v>
      </c>
      <c r="H833" s="9" t="str">
        <f>IFERROR(__xludf.DUMMYFUNCTION("""COMPUTED_VALUE"""),"FGM")</f>
        <v>FGM</v>
      </c>
      <c r="I833" s="9" t="str">
        <f>IFERROR(__xludf.DUMMYFUNCTION("""COMPUTED_VALUE"""),"Tel")</f>
        <v>Tel</v>
      </c>
      <c r="J833" s="9" t="str">
        <f>IFERROR(__xludf.DUMMYFUNCTION("""COMPUTED_VALUE"""),"Cx")</f>
        <v>Cx</v>
      </c>
      <c r="K833" s="9" t="str">
        <f>IFERROR(__xludf.DUMMYFUNCTION("""COMPUTED_VALUE"""),"NCx")</f>
        <v>NCx</v>
      </c>
      <c r="L833" s="9" t="str">
        <f>IFERROR(__xludf.DUMMYFUNCTION("""COMPUTED_VALUE"""),"FCx")</f>
        <v>FCx</v>
      </c>
      <c r="M833" s="9" t="str">
        <f>IFERROR(__xludf.DUMMYFUNCTION("""COMPUTED_VALUE"""),"PFC")</f>
        <v>PFC</v>
      </c>
      <c r="N833" s="9" t="str">
        <f>IFERROR(__xludf.DUMMYFUNCTION("""COMPUTED_VALUE"""),"VFC")</f>
        <v>VFC</v>
      </c>
      <c r="O833" s="9" t="str">
        <f>IFERROR(__xludf.DUMMYFUNCTION("""COMPUTED_VALUE"""),"A45")</f>
        <v>A45</v>
      </c>
      <c r="P833" s="9" t="str">
        <f>IFERROR(__xludf.DUMMYFUNCTION("""COMPUTED_VALUE"""),"A45r")</f>
        <v>A45r</v>
      </c>
      <c r="Q833" s="9" t="str">
        <f>IFERROR(__xludf.DUMMYFUNCTION("""COMPUTED_VALUE"""),"A45r1")</f>
        <v>A45r1</v>
      </c>
      <c r="R833" s="9"/>
      <c r="S833" s="42"/>
      <c r="T833" s="42"/>
      <c r="U833" s="42"/>
      <c r="V833" s="42"/>
      <c r="W833" s="42"/>
      <c r="X833" s="42"/>
      <c r="Y833" s="42"/>
      <c r="Z833" s="42"/>
      <c r="AA833" s="42"/>
      <c r="AB833" s="42" t="str">
        <f>IFERROR(__xludf.DUMMYFUNCTION("""COMPUTED_VALUE"""),"allen institute")</f>
        <v>allen institute</v>
      </c>
      <c r="AC833" s="42" t="str">
        <f>IFERROR(__xludf.DUMMYFUNCTION("""COMPUTED_VALUE"""),"DHBA")</f>
        <v>DHBA</v>
      </c>
      <c r="AD833" s="42"/>
      <c r="AE833" s="42"/>
      <c r="AF833" s="9"/>
      <c r="AG833" s="9"/>
      <c r="AH833" s="42"/>
      <c r="AI833" s="42"/>
      <c r="AJ833" s="42"/>
      <c r="AK833" s="42"/>
      <c r="AL833" s="42"/>
      <c r="AM833" s="42"/>
      <c r="AN833" s="42"/>
      <c r="AO833" s="63" t="str">
        <f>IFERROR(__xludf.DUMMYFUNCTION("IF(ISBLANK(A833),,IF(ISBLANK(S833), A833&amp;"";"", TEXTJOIN(CHAR(10), TRUE, A833&amp;"";"", ARRAYFORMULA(VLOOKUP(SPLIT(S833, "";"" &amp; CHAR(10)), $A:$AO, 41, FALSE)))))"),"A45r1;")</f>
        <v>A45r1;</v>
      </c>
      <c r="AP833" s="89"/>
    </row>
    <row r="834">
      <c r="A834" s="151" t="str">
        <f>IFERROR(__xludf.DUMMYFUNCTION("""COMPUTED_VALUE"""),"A45r2")</f>
        <v>A45r2</v>
      </c>
      <c r="B834" s="42" t="str">
        <f>IFERROR(__xludf.DUMMYFUNCTION("""COMPUTED_VALUE"""),"DHBA")</f>
        <v>DHBA</v>
      </c>
      <c r="C834" s="42" t="str">
        <f>IFERROR(__xludf.DUMMYFUNCTION("""COMPUTED_VALUE"""),"layer II of area 45r")</f>
        <v>layer II of area 45r</v>
      </c>
      <c r="D834" s="42">
        <f>IFERROR(__xludf.DUMMYFUNCTION("""COMPUTED_VALUE"""),778.0)</f>
        <v>778</v>
      </c>
      <c r="E834" s="39" t="str">
        <f>IFERROR(__xludf.DUMMYFUNCTION("""COMPUTED_VALUE"""),"layer II of area 45r")</f>
        <v>layer II of area 45r</v>
      </c>
      <c r="F834" s="9" t="str">
        <f>IFERROR(__xludf.DUMMYFUNCTION("""COMPUTED_VALUE"""),"Br")</f>
        <v>Br</v>
      </c>
      <c r="G834" s="9" t="str">
        <f>IFERROR(__xludf.DUMMYFUNCTION("""COMPUTED_VALUE"""),"F")</f>
        <v>F</v>
      </c>
      <c r="H834" s="9" t="str">
        <f>IFERROR(__xludf.DUMMYFUNCTION("""COMPUTED_VALUE"""),"FGM")</f>
        <v>FGM</v>
      </c>
      <c r="I834" s="9" t="str">
        <f>IFERROR(__xludf.DUMMYFUNCTION("""COMPUTED_VALUE"""),"Tel")</f>
        <v>Tel</v>
      </c>
      <c r="J834" s="9" t="str">
        <f>IFERROR(__xludf.DUMMYFUNCTION("""COMPUTED_VALUE"""),"Cx")</f>
        <v>Cx</v>
      </c>
      <c r="K834" s="9" t="str">
        <f>IFERROR(__xludf.DUMMYFUNCTION("""COMPUTED_VALUE"""),"NCx")</f>
        <v>NCx</v>
      </c>
      <c r="L834" s="9" t="str">
        <f>IFERROR(__xludf.DUMMYFUNCTION("""COMPUTED_VALUE"""),"FCx")</f>
        <v>FCx</v>
      </c>
      <c r="M834" s="9" t="str">
        <f>IFERROR(__xludf.DUMMYFUNCTION("""COMPUTED_VALUE"""),"PFC")</f>
        <v>PFC</v>
      </c>
      <c r="N834" s="9" t="str">
        <f>IFERROR(__xludf.DUMMYFUNCTION("""COMPUTED_VALUE"""),"VFC")</f>
        <v>VFC</v>
      </c>
      <c r="O834" s="9" t="str">
        <f>IFERROR(__xludf.DUMMYFUNCTION("""COMPUTED_VALUE"""),"A45")</f>
        <v>A45</v>
      </c>
      <c r="P834" s="9" t="str">
        <f>IFERROR(__xludf.DUMMYFUNCTION("""COMPUTED_VALUE"""),"A45r")</f>
        <v>A45r</v>
      </c>
      <c r="Q834" s="9" t="str">
        <f>IFERROR(__xludf.DUMMYFUNCTION("""COMPUTED_VALUE"""),"A45r2")</f>
        <v>A45r2</v>
      </c>
      <c r="R834" s="9"/>
      <c r="S834" s="42"/>
      <c r="T834" s="42"/>
      <c r="U834" s="42"/>
      <c r="V834" s="42"/>
      <c r="W834" s="42"/>
      <c r="X834" s="42"/>
      <c r="Y834" s="42"/>
      <c r="Z834" s="42"/>
      <c r="AA834" s="42"/>
      <c r="AB834" s="42" t="str">
        <f>IFERROR(__xludf.DUMMYFUNCTION("""COMPUTED_VALUE"""),"allen institute")</f>
        <v>allen institute</v>
      </c>
      <c r="AC834" s="42" t="str">
        <f>IFERROR(__xludf.DUMMYFUNCTION("""COMPUTED_VALUE"""),"DHBA")</f>
        <v>DHBA</v>
      </c>
      <c r="AD834" s="42"/>
      <c r="AE834" s="42"/>
      <c r="AF834" s="9"/>
      <c r="AG834" s="9"/>
      <c r="AH834" s="42"/>
      <c r="AI834" s="42"/>
      <c r="AJ834" s="42"/>
      <c r="AK834" s="42"/>
      <c r="AL834" s="42"/>
      <c r="AM834" s="42"/>
      <c r="AN834" s="42"/>
      <c r="AO834" s="63" t="str">
        <f>IFERROR(__xludf.DUMMYFUNCTION("IF(ISBLANK(A834),,IF(ISBLANK(S834), A834&amp;"";"", TEXTJOIN(CHAR(10), TRUE, A834&amp;"";"", ARRAYFORMULA(VLOOKUP(SPLIT(S834, "";"" &amp; CHAR(10)), $A:$AO, 41, FALSE)))))"),"A45r2;")</f>
        <v>A45r2;</v>
      </c>
      <c r="AP834" s="89"/>
    </row>
    <row r="835">
      <c r="A835" s="151" t="str">
        <f>IFERROR(__xludf.DUMMYFUNCTION("""COMPUTED_VALUE"""),"A45r3")</f>
        <v>A45r3</v>
      </c>
      <c r="B835" s="42" t="str">
        <f>IFERROR(__xludf.DUMMYFUNCTION("""COMPUTED_VALUE"""),"DHBA")</f>
        <v>DHBA</v>
      </c>
      <c r="C835" s="42" t="str">
        <f>IFERROR(__xludf.DUMMYFUNCTION("""COMPUTED_VALUE"""),"layer III of area 45r")</f>
        <v>layer III of area 45r</v>
      </c>
      <c r="D835" s="42">
        <f>IFERROR(__xludf.DUMMYFUNCTION("""COMPUTED_VALUE"""),779.0)</f>
        <v>779</v>
      </c>
      <c r="E835" s="39" t="str">
        <f>IFERROR(__xludf.DUMMYFUNCTION("""COMPUTED_VALUE"""),"layer III of area 45r")</f>
        <v>layer III of area 45r</v>
      </c>
      <c r="F835" s="9" t="str">
        <f>IFERROR(__xludf.DUMMYFUNCTION("""COMPUTED_VALUE"""),"Br")</f>
        <v>Br</v>
      </c>
      <c r="G835" s="9" t="str">
        <f>IFERROR(__xludf.DUMMYFUNCTION("""COMPUTED_VALUE"""),"F")</f>
        <v>F</v>
      </c>
      <c r="H835" s="9" t="str">
        <f>IFERROR(__xludf.DUMMYFUNCTION("""COMPUTED_VALUE"""),"FGM")</f>
        <v>FGM</v>
      </c>
      <c r="I835" s="9" t="str">
        <f>IFERROR(__xludf.DUMMYFUNCTION("""COMPUTED_VALUE"""),"Tel")</f>
        <v>Tel</v>
      </c>
      <c r="J835" s="9" t="str">
        <f>IFERROR(__xludf.DUMMYFUNCTION("""COMPUTED_VALUE"""),"Cx")</f>
        <v>Cx</v>
      </c>
      <c r="K835" s="9" t="str">
        <f>IFERROR(__xludf.DUMMYFUNCTION("""COMPUTED_VALUE"""),"NCx")</f>
        <v>NCx</v>
      </c>
      <c r="L835" s="9" t="str">
        <f>IFERROR(__xludf.DUMMYFUNCTION("""COMPUTED_VALUE"""),"FCx")</f>
        <v>FCx</v>
      </c>
      <c r="M835" s="9" t="str">
        <f>IFERROR(__xludf.DUMMYFUNCTION("""COMPUTED_VALUE"""),"PFC")</f>
        <v>PFC</v>
      </c>
      <c r="N835" s="9" t="str">
        <f>IFERROR(__xludf.DUMMYFUNCTION("""COMPUTED_VALUE"""),"VFC")</f>
        <v>VFC</v>
      </c>
      <c r="O835" s="9" t="str">
        <f>IFERROR(__xludf.DUMMYFUNCTION("""COMPUTED_VALUE"""),"A45")</f>
        <v>A45</v>
      </c>
      <c r="P835" s="9" t="str">
        <f>IFERROR(__xludf.DUMMYFUNCTION("""COMPUTED_VALUE"""),"A45r")</f>
        <v>A45r</v>
      </c>
      <c r="Q835" s="9" t="str">
        <f>IFERROR(__xludf.DUMMYFUNCTION("""COMPUTED_VALUE"""),"A45r3")</f>
        <v>A45r3</v>
      </c>
      <c r="R835" s="9"/>
      <c r="S835" s="42"/>
      <c r="T835" s="42"/>
      <c r="U835" s="42"/>
      <c r="V835" s="42"/>
      <c r="W835" s="42"/>
      <c r="X835" s="42"/>
      <c r="Y835" s="42"/>
      <c r="Z835" s="42"/>
      <c r="AA835" s="42"/>
      <c r="AB835" s="42" t="str">
        <f>IFERROR(__xludf.DUMMYFUNCTION("""COMPUTED_VALUE"""),"allen institute")</f>
        <v>allen institute</v>
      </c>
      <c r="AC835" s="42" t="str">
        <f>IFERROR(__xludf.DUMMYFUNCTION("""COMPUTED_VALUE"""),"DHBA")</f>
        <v>DHBA</v>
      </c>
      <c r="AD835" s="42"/>
      <c r="AE835" s="42"/>
      <c r="AF835" s="9"/>
      <c r="AG835" s="9"/>
      <c r="AH835" s="42"/>
      <c r="AI835" s="42"/>
      <c r="AJ835" s="42"/>
      <c r="AK835" s="42"/>
      <c r="AL835" s="42"/>
      <c r="AM835" s="42"/>
      <c r="AN835" s="42"/>
      <c r="AO835" s="63" t="str">
        <f>IFERROR(__xludf.DUMMYFUNCTION("IF(ISBLANK(A835),,IF(ISBLANK(S835), A835&amp;"";"", TEXTJOIN(CHAR(10), TRUE, A835&amp;"";"", ARRAYFORMULA(VLOOKUP(SPLIT(S835, "";"" &amp; CHAR(10)), $A:$AO, 41, FALSE)))))"),"A45r3;")</f>
        <v>A45r3;</v>
      </c>
      <c r="AP835" s="89"/>
    </row>
    <row r="836">
      <c r="A836" s="151" t="str">
        <f>IFERROR(__xludf.DUMMYFUNCTION("""COMPUTED_VALUE"""),"A45r4")</f>
        <v>A45r4</v>
      </c>
      <c r="B836" s="42" t="str">
        <f>IFERROR(__xludf.DUMMYFUNCTION("""COMPUTED_VALUE"""),"DHBA")</f>
        <v>DHBA</v>
      </c>
      <c r="C836" s="42" t="str">
        <f>IFERROR(__xludf.DUMMYFUNCTION("""COMPUTED_VALUE"""),"layer IV of area 45r")</f>
        <v>layer IV of area 45r</v>
      </c>
      <c r="D836" s="42">
        <f>IFERROR(__xludf.DUMMYFUNCTION("""COMPUTED_VALUE"""),780.0)</f>
        <v>780</v>
      </c>
      <c r="E836" s="39" t="str">
        <f>IFERROR(__xludf.DUMMYFUNCTION("""COMPUTED_VALUE"""),"layer IV of area 45r")</f>
        <v>layer IV of area 45r</v>
      </c>
      <c r="F836" s="9" t="str">
        <f>IFERROR(__xludf.DUMMYFUNCTION("""COMPUTED_VALUE"""),"Br")</f>
        <v>Br</v>
      </c>
      <c r="G836" s="9" t="str">
        <f>IFERROR(__xludf.DUMMYFUNCTION("""COMPUTED_VALUE"""),"F")</f>
        <v>F</v>
      </c>
      <c r="H836" s="9" t="str">
        <f>IFERROR(__xludf.DUMMYFUNCTION("""COMPUTED_VALUE"""),"FGM")</f>
        <v>FGM</v>
      </c>
      <c r="I836" s="9" t="str">
        <f>IFERROR(__xludf.DUMMYFUNCTION("""COMPUTED_VALUE"""),"Tel")</f>
        <v>Tel</v>
      </c>
      <c r="J836" s="9" t="str">
        <f>IFERROR(__xludf.DUMMYFUNCTION("""COMPUTED_VALUE"""),"Cx")</f>
        <v>Cx</v>
      </c>
      <c r="K836" s="9" t="str">
        <f>IFERROR(__xludf.DUMMYFUNCTION("""COMPUTED_VALUE"""),"NCx")</f>
        <v>NCx</v>
      </c>
      <c r="L836" s="9" t="str">
        <f>IFERROR(__xludf.DUMMYFUNCTION("""COMPUTED_VALUE"""),"FCx")</f>
        <v>FCx</v>
      </c>
      <c r="M836" s="9" t="str">
        <f>IFERROR(__xludf.DUMMYFUNCTION("""COMPUTED_VALUE"""),"PFC")</f>
        <v>PFC</v>
      </c>
      <c r="N836" s="9" t="str">
        <f>IFERROR(__xludf.DUMMYFUNCTION("""COMPUTED_VALUE"""),"VFC")</f>
        <v>VFC</v>
      </c>
      <c r="O836" s="9" t="str">
        <f>IFERROR(__xludf.DUMMYFUNCTION("""COMPUTED_VALUE"""),"A45")</f>
        <v>A45</v>
      </c>
      <c r="P836" s="9" t="str">
        <f>IFERROR(__xludf.DUMMYFUNCTION("""COMPUTED_VALUE"""),"A45r")</f>
        <v>A45r</v>
      </c>
      <c r="Q836" s="9" t="str">
        <f>IFERROR(__xludf.DUMMYFUNCTION("""COMPUTED_VALUE"""),"A45r4")</f>
        <v>A45r4</v>
      </c>
      <c r="R836" s="9"/>
      <c r="S836" s="42"/>
      <c r="T836" s="42"/>
      <c r="U836" s="42"/>
      <c r="V836" s="42"/>
      <c r="W836" s="42"/>
      <c r="X836" s="42"/>
      <c r="Y836" s="42"/>
      <c r="Z836" s="42"/>
      <c r="AA836" s="42"/>
      <c r="AB836" s="42" t="str">
        <f>IFERROR(__xludf.DUMMYFUNCTION("""COMPUTED_VALUE"""),"allen institute")</f>
        <v>allen institute</v>
      </c>
      <c r="AC836" s="42" t="str">
        <f>IFERROR(__xludf.DUMMYFUNCTION("""COMPUTED_VALUE"""),"DHBA")</f>
        <v>DHBA</v>
      </c>
      <c r="AD836" s="42"/>
      <c r="AE836" s="42"/>
      <c r="AF836" s="9"/>
      <c r="AG836" s="9"/>
      <c r="AH836" s="42"/>
      <c r="AI836" s="42"/>
      <c r="AJ836" s="42"/>
      <c r="AK836" s="42"/>
      <c r="AL836" s="42"/>
      <c r="AM836" s="42"/>
      <c r="AN836" s="42"/>
      <c r="AO836" s="63" t="str">
        <f>IFERROR(__xludf.DUMMYFUNCTION("IF(ISBLANK(A836),,IF(ISBLANK(S836), A836&amp;"";"", TEXTJOIN(CHAR(10), TRUE, A836&amp;"";"", ARRAYFORMULA(VLOOKUP(SPLIT(S836, "";"" &amp; CHAR(10)), $A:$AO, 41, FALSE)))))"),"A45r4;")</f>
        <v>A45r4;</v>
      </c>
      <c r="AP836" s="89"/>
    </row>
    <row r="837">
      <c r="A837" s="151" t="str">
        <f>IFERROR(__xludf.DUMMYFUNCTION("""COMPUTED_VALUE"""),"A45r5")</f>
        <v>A45r5</v>
      </c>
      <c r="B837" s="42" t="str">
        <f>IFERROR(__xludf.DUMMYFUNCTION("""COMPUTED_VALUE"""),"DHBA")</f>
        <v>DHBA</v>
      </c>
      <c r="C837" s="42" t="str">
        <f>IFERROR(__xludf.DUMMYFUNCTION("""COMPUTED_VALUE"""),"layer V of area 45r")</f>
        <v>layer V of area 45r</v>
      </c>
      <c r="D837" s="42">
        <f>IFERROR(__xludf.DUMMYFUNCTION("""COMPUTED_VALUE"""),781.0)</f>
        <v>781</v>
      </c>
      <c r="E837" s="39" t="str">
        <f>IFERROR(__xludf.DUMMYFUNCTION("""COMPUTED_VALUE"""),"layer V of area 45r")</f>
        <v>layer V of area 45r</v>
      </c>
      <c r="F837" s="9" t="str">
        <f>IFERROR(__xludf.DUMMYFUNCTION("""COMPUTED_VALUE"""),"Br")</f>
        <v>Br</v>
      </c>
      <c r="G837" s="9" t="str">
        <f>IFERROR(__xludf.DUMMYFUNCTION("""COMPUTED_VALUE"""),"F")</f>
        <v>F</v>
      </c>
      <c r="H837" s="9" t="str">
        <f>IFERROR(__xludf.DUMMYFUNCTION("""COMPUTED_VALUE"""),"FGM")</f>
        <v>FGM</v>
      </c>
      <c r="I837" s="9" t="str">
        <f>IFERROR(__xludf.DUMMYFUNCTION("""COMPUTED_VALUE"""),"Tel")</f>
        <v>Tel</v>
      </c>
      <c r="J837" s="9" t="str">
        <f>IFERROR(__xludf.DUMMYFUNCTION("""COMPUTED_VALUE"""),"Cx")</f>
        <v>Cx</v>
      </c>
      <c r="K837" s="9" t="str">
        <f>IFERROR(__xludf.DUMMYFUNCTION("""COMPUTED_VALUE"""),"NCx")</f>
        <v>NCx</v>
      </c>
      <c r="L837" s="9" t="str">
        <f>IFERROR(__xludf.DUMMYFUNCTION("""COMPUTED_VALUE"""),"FCx")</f>
        <v>FCx</v>
      </c>
      <c r="M837" s="9" t="str">
        <f>IFERROR(__xludf.DUMMYFUNCTION("""COMPUTED_VALUE"""),"PFC")</f>
        <v>PFC</v>
      </c>
      <c r="N837" s="9" t="str">
        <f>IFERROR(__xludf.DUMMYFUNCTION("""COMPUTED_VALUE"""),"VFC")</f>
        <v>VFC</v>
      </c>
      <c r="O837" s="9" t="str">
        <f>IFERROR(__xludf.DUMMYFUNCTION("""COMPUTED_VALUE"""),"A45")</f>
        <v>A45</v>
      </c>
      <c r="P837" s="9" t="str">
        <f>IFERROR(__xludf.DUMMYFUNCTION("""COMPUTED_VALUE"""),"A45r")</f>
        <v>A45r</v>
      </c>
      <c r="Q837" s="9" t="str">
        <f>IFERROR(__xludf.DUMMYFUNCTION("""COMPUTED_VALUE"""),"A45r5")</f>
        <v>A45r5</v>
      </c>
      <c r="R837" s="9"/>
      <c r="S837" s="42"/>
      <c r="T837" s="42"/>
      <c r="U837" s="42"/>
      <c r="V837" s="42"/>
      <c r="W837" s="42"/>
      <c r="X837" s="42"/>
      <c r="Y837" s="42"/>
      <c r="Z837" s="42"/>
      <c r="AA837" s="42"/>
      <c r="AB837" s="42" t="str">
        <f>IFERROR(__xludf.DUMMYFUNCTION("""COMPUTED_VALUE"""),"allen institute")</f>
        <v>allen institute</v>
      </c>
      <c r="AC837" s="42" t="str">
        <f>IFERROR(__xludf.DUMMYFUNCTION("""COMPUTED_VALUE"""),"DHBA")</f>
        <v>DHBA</v>
      </c>
      <c r="AD837" s="42"/>
      <c r="AE837" s="42"/>
      <c r="AF837" s="9"/>
      <c r="AG837" s="9"/>
      <c r="AH837" s="42"/>
      <c r="AI837" s="42"/>
      <c r="AJ837" s="42"/>
      <c r="AK837" s="42"/>
      <c r="AL837" s="42"/>
      <c r="AM837" s="42"/>
      <c r="AN837" s="42"/>
      <c r="AO837" s="63" t="str">
        <f>IFERROR(__xludf.DUMMYFUNCTION("IF(ISBLANK(A837),,IF(ISBLANK(S837), A837&amp;"";"", TEXTJOIN(CHAR(10), TRUE, A837&amp;"";"", ARRAYFORMULA(VLOOKUP(SPLIT(S837, "";"" &amp; CHAR(10)), $A:$AO, 41, FALSE)))))"),"A45r5;")</f>
        <v>A45r5;</v>
      </c>
      <c r="AP837" s="89"/>
    </row>
    <row r="838">
      <c r="A838" s="151" t="str">
        <f>IFERROR(__xludf.DUMMYFUNCTION("""COMPUTED_VALUE"""),"A45r6")</f>
        <v>A45r6</v>
      </c>
      <c r="B838" s="42" t="str">
        <f>IFERROR(__xludf.DUMMYFUNCTION("""COMPUTED_VALUE"""),"DHBA")</f>
        <v>DHBA</v>
      </c>
      <c r="C838" s="42" t="str">
        <f>IFERROR(__xludf.DUMMYFUNCTION("""COMPUTED_VALUE"""),"layer VI of area 45r")</f>
        <v>layer VI of area 45r</v>
      </c>
      <c r="D838" s="42">
        <f>IFERROR(__xludf.DUMMYFUNCTION("""COMPUTED_VALUE"""),782.0)</f>
        <v>782</v>
      </c>
      <c r="E838" s="39" t="str">
        <f>IFERROR(__xludf.DUMMYFUNCTION("""COMPUTED_VALUE"""),"layer VI of area 45r")</f>
        <v>layer VI of area 45r</v>
      </c>
      <c r="F838" s="9" t="str">
        <f>IFERROR(__xludf.DUMMYFUNCTION("""COMPUTED_VALUE"""),"Br")</f>
        <v>Br</v>
      </c>
      <c r="G838" s="9" t="str">
        <f>IFERROR(__xludf.DUMMYFUNCTION("""COMPUTED_VALUE"""),"F")</f>
        <v>F</v>
      </c>
      <c r="H838" s="9" t="str">
        <f>IFERROR(__xludf.DUMMYFUNCTION("""COMPUTED_VALUE"""),"FGM")</f>
        <v>FGM</v>
      </c>
      <c r="I838" s="9" t="str">
        <f>IFERROR(__xludf.DUMMYFUNCTION("""COMPUTED_VALUE"""),"Tel")</f>
        <v>Tel</v>
      </c>
      <c r="J838" s="9" t="str">
        <f>IFERROR(__xludf.DUMMYFUNCTION("""COMPUTED_VALUE"""),"Cx")</f>
        <v>Cx</v>
      </c>
      <c r="K838" s="9" t="str">
        <f>IFERROR(__xludf.DUMMYFUNCTION("""COMPUTED_VALUE"""),"NCx")</f>
        <v>NCx</v>
      </c>
      <c r="L838" s="9" t="str">
        <f>IFERROR(__xludf.DUMMYFUNCTION("""COMPUTED_VALUE"""),"FCx")</f>
        <v>FCx</v>
      </c>
      <c r="M838" s="9" t="str">
        <f>IFERROR(__xludf.DUMMYFUNCTION("""COMPUTED_VALUE"""),"PFC")</f>
        <v>PFC</v>
      </c>
      <c r="N838" s="9" t="str">
        <f>IFERROR(__xludf.DUMMYFUNCTION("""COMPUTED_VALUE"""),"VFC")</f>
        <v>VFC</v>
      </c>
      <c r="O838" s="9" t="str">
        <f>IFERROR(__xludf.DUMMYFUNCTION("""COMPUTED_VALUE"""),"A45")</f>
        <v>A45</v>
      </c>
      <c r="P838" s="9" t="str">
        <f>IFERROR(__xludf.DUMMYFUNCTION("""COMPUTED_VALUE"""),"A45r")</f>
        <v>A45r</v>
      </c>
      <c r="Q838" s="9" t="str">
        <f>IFERROR(__xludf.DUMMYFUNCTION("""COMPUTED_VALUE"""),"A45r6")</f>
        <v>A45r6</v>
      </c>
      <c r="R838" s="9"/>
      <c r="S838" s="42"/>
      <c r="T838" s="42"/>
      <c r="U838" s="42"/>
      <c r="V838" s="42"/>
      <c r="W838" s="42"/>
      <c r="X838" s="42"/>
      <c r="Y838" s="42"/>
      <c r="Z838" s="42"/>
      <c r="AA838" s="42"/>
      <c r="AB838" s="42" t="str">
        <f>IFERROR(__xludf.DUMMYFUNCTION("""COMPUTED_VALUE"""),"allen institute")</f>
        <v>allen institute</v>
      </c>
      <c r="AC838" s="42" t="str">
        <f>IFERROR(__xludf.DUMMYFUNCTION("""COMPUTED_VALUE"""),"DHBA")</f>
        <v>DHBA</v>
      </c>
      <c r="AD838" s="42"/>
      <c r="AE838" s="42"/>
      <c r="AF838" s="9"/>
      <c r="AG838" s="9"/>
      <c r="AH838" s="42"/>
      <c r="AI838" s="42"/>
      <c r="AJ838" s="42"/>
      <c r="AK838" s="42"/>
      <c r="AL838" s="42"/>
      <c r="AM838" s="42"/>
      <c r="AN838" s="42"/>
      <c r="AO838" s="63" t="str">
        <f>IFERROR(__xludf.DUMMYFUNCTION("IF(ISBLANK(A838),,IF(ISBLANK(S838), A838&amp;"";"", TEXTJOIN(CHAR(10), TRUE, A838&amp;"";"", ARRAYFORMULA(VLOOKUP(SPLIT(S838, "";"" &amp; CHAR(10)), $A:$AO, 41, FALSE)))))"),"A45r6;")</f>
        <v>A45r6;</v>
      </c>
      <c r="AP838" s="89"/>
    </row>
    <row r="839">
      <c r="A839" s="151" t="str">
        <f>IFERROR(__xludf.DUMMYFUNCTION("""COMPUTED_VALUE"""),"A45c")</f>
        <v>A45c</v>
      </c>
      <c r="B839" s="42" t="str">
        <f>IFERROR(__xludf.DUMMYFUNCTION("""COMPUTED_VALUE"""),"DHBA")</f>
        <v>DHBA</v>
      </c>
      <c r="C839" s="42" t="str">
        <f>IFERROR(__xludf.DUMMYFUNCTION("""COMPUTED_VALUE"""),"caudal subdivision of A45")</f>
        <v>caudal subdivision of A45</v>
      </c>
      <c r="D839" s="42">
        <f>IFERROR(__xludf.DUMMYFUNCTION("""COMPUTED_VALUE"""),783.0)</f>
        <v>783</v>
      </c>
      <c r="E839" s="39" t="str">
        <f>IFERROR(__xludf.DUMMYFUNCTION("""COMPUTED_VALUE"""),"caudal subdivision of A45")</f>
        <v>caudal subdivision of A45</v>
      </c>
      <c r="F839" s="9" t="str">
        <f>IFERROR(__xludf.DUMMYFUNCTION("""COMPUTED_VALUE"""),"Br")</f>
        <v>Br</v>
      </c>
      <c r="G839" s="9" t="str">
        <f>IFERROR(__xludf.DUMMYFUNCTION("""COMPUTED_VALUE"""),"F")</f>
        <v>F</v>
      </c>
      <c r="H839" s="9" t="str">
        <f>IFERROR(__xludf.DUMMYFUNCTION("""COMPUTED_VALUE"""),"FGM")</f>
        <v>FGM</v>
      </c>
      <c r="I839" s="9" t="str">
        <f>IFERROR(__xludf.DUMMYFUNCTION("""COMPUTED_VALUE"""),"Tel")</f>
        <v>Tel</v>
      </c>
      <c r="J839" s="9" t="str">
        <f>IFERROR(__xludf.DUMMYFUNCTION("""COMPUTED_VALUE"""),"Cx")</f>
        <v>Cx</v>
      </c>
      <c r="K839" s="9" t="str">
        <f>IFERROR(__xludf.DUMMYFUNCTION("""COMPUTED_VALUE"""),"NCx")</f>
        <v>NCx</v>
      </c>
      <c r="L839" s="9" t="str">
        <f>IFERROR(__xludf.DUMMYFUNCTION("""COMPUTED_VALUE"""),"FCx")</f>
        <v>FCx</v>
      </c>
      <c r="M839" s="9" t="str">
        <f>IFERROR(__xludf.DUMMYFUNCTION("""COMPUTED_VALUE"""),"PFC")</f>
        <v>PFC</v>
      </c>
      <c r="N839" s="9" t="str">
        <f>IFERROR(__xludf.DUMMYFUNCTION("""COMPUTED_VALUE"""),"VFC")</f>
        <v>VFC</v>
      </c>
      <c r="O839" s="9" t="str">
        <f>IFERROR(__xludf.DUMMYFUNCTION("""COMPUTED_VALUE"""),"A45")</f>
        <v>A45</v>
      </c>
      <c r="P839" s="9" t="str">
        <f>IFERROR(__xludf.DUMMYFUNCTION("""COMPUTED_VALUE"""),"A45c")</f>
        <v>A45c</v>
      </c>
      <c r="Q839" s="9"/>
      <c r="R839" s="9"/>
      <c r="S839" s="42" t="str">
        <f>IFERROR(__xludf.DUMMYFUNCTION("""COMPUTED_VALUE"""),"A45c1;
A45c2;
A45c3;
A45c4;
A45c5;
A45c6")</f>
        <v>A45c1;
A45c2;
A45c3;
A45c4;
A45c5;
A45c6</v>
      </c>
      <c r="T839" s="42" t="str">
        <f>IFERROR(__xludf.DUMMYFUNCTION("""COMPUTED_VALUE"""),"NCx")</f>
        <v>NCx</v>
      </c>
      <c r="U839" s="42" t="b">
        <f>IFERROR(__xludf.DUMMYFUNCTION("""COMPUTED_VALUE"""),FALSE)</f>
        <v>0</v>
      </c>
      <c r="V839" s="42"/>
      <c r="W839" s="42"/>
      <c r="X839" s="42"/>
      <c r="Y839" s="42"/>
      <c r="Z839" s="42"/>
      <c r="AA839" s="42"/>
      <c r="AB839" s="42" t="str">
        <f>IFERROR(__xludf.DUMMYFUNCTION("""COMPUTED_VALUE"""),"allen institute")</f>
        <v>allen institute</v>
      </c>
      <c r="AC839" s="42" t="str">
        <f>IFERROR(__xludf.DUMMYFUNCTION("""COMPUTED_VALUE"""),"DHBA")</f>
        <v>DHBA</v>
      </c>
      <c r="AD839" s="42"/>
      <c r="AE839" s="42"/>
      <c r="AF839" s="9"/>
      <c r="AG839" s="9"/>
      <c r="AH839" s="42"/>
      <c r="AI839" s="42"/>
      <c r="AJ839" s="42"/>
      <c r="AK839" s="42"/>
      <c r="AL839" s="42"/>
      <c r="AM839" s="42"/>
      <c r="AN839" s="42"/>
      <c r="AO839" s="63" t="str">
        <f>IFERROR(__xludf.DUMMYFUNCTION("IF(ISBLANK(A839),,IF(ISBLANK(S839), A839&amp;"";"", TEXTJOIN(CHAR(10), TRUE, A839&amp;"";"", ARRAYFORMULA(VLOOKUP(SPLIT(S839, "";"" &amp; CHAR(10)), $A:$AO, 41, FALSE)))))"),"A45c;
A45c1;
A45c2;
A45c3;
A45c4;
A45c5;
A45c6;")</f>
        <v>A45c;
A45c1;
A45c2;
A45c3;
A45c4;
A45c5;
A45c6;</v>
      </c>
      <c r="AP839" s="89"/>
    </row>
    <row r="840">
      <c r="A840" s="151" t="str">
        <f>IFERROR(__xludf.DUMMYFUNCTION("""COMPUTED_VALUE"""),"A45c1")</f>
        <v>A45c1</v>
      </c>
      <c r="B840" s="42" t="str">
        <f>IFERROR(__xludf.DUMMYFUNCTION("""COMPUTED_VALUE"""),"DHBA")</f>
        <v>DHBA</v>
      </c>
      <c r="C840" s="42" t="str">
        <f>IFERROR(__xludf.DUMMYFUNCTION("""COMPUTED_VALUE"""),"layer I of area 45c")</f>
        <v>layer I of area 45c</v>
      </c>
      <c r="D840" s="42">
        <f>IFERROR(__xludf.DUMMYFUNCTION("""COMPUTED_VALUE"""),784.0)</f>
        <v>784</v>
      </c>
      <c r="E840" s="39" t="str">
        <f>IFERROR(__xludf.DUMMYFUNCTION("""COMPUTED_VALUE"""),"layer I of area 45c")</f>
        <v>layer I of area 45c</v>
      </c>
      <c r="F840" s="9" t="str">
        <f>IFERROR(__xludf.DUMMYFUNCTION("""COMPUTED_VALUE"""),"Br")</f>
        <v>Br</v>
      </c>
      <c r="G840" s="9" t="str">
        <f>IFERROR(__xludf.DUMMYFUNCTION("""COMPUTED_VALUE"""),"F")</f>
        <v>F</v>
      </c>
      <c r="H840" s="9" t="str">
        <f>IFERROR(__xludf.DUMMYFUNCTION("""COMPUTED_VALUE"""),"FGM")</f>
        <v>FGM</v>
      </c>
      <c r="I840" s="9" t="str">
        <f>IFERROR(__xludf.DUMMYFUNCTION("""COMPUTED_VALUE"""),"Tel")</f>
        <v>Tel</v>
      </c>
      <c r="J840" s="9" t="str">
        <f>IFERROR(__xludf.DUMMYFUNCTION("""COMPUTED_VALUE"""),"Cx")</f>
        <v>Cx</v>
      </c>
      <c r="K840" s="9" t="str">
        <f>IFERROR(__xludf.DUMMYFUNCTION("""COMPUTED_VALUE"""),"NCx")</f>
        <v>NCx</v>
      </c>
      <c r="L840" s="9" t="str">
        <f>IFERROR(__xludf.DUMMYFUNCTION("""COMPUTED_VALUE"""),"FCx")</f>
        <v>FCx</v>
      </c>
      <c r="M840" s="9" t="str">
        <f>IFERROR(__xludf.DUMMYFUNCTION("""COMPUTED_VALUE"""),"PFC")</f>
        <v>PFC</v>
      </c>
      <c r="N840" s="9" t="str">
        <f>IFERROR(__xludf.DUMMYFUNCTION("""COMPUTED_VALUE"""),"VFC")</f>
        <v>VFC</v>
      </c>
      <c r="O840" s="9" t="str">
        <f>IFERROR(__xludf.DUMMYFUNCTION("""COMPUTED_VALUE"""),"A45")</f>
        <v>A45</v>
      </c>
      <c r="P840" s="9" t="str">
        <f>IFERROR(__xludf.DUMMYFUNCTION("""COMPUTED_VALUE"""),"A45c")</f>
        <v>A45c</v>
      </c>
      <c r="Q840" s="9" t="str">
        <f>IFERROR(__xludf.DUMMYFUNCTION("""COMPUTED_VALUE"""),"A45c1")</f>
        <v>A45c1</v>
      </c>
      <c r="R840" s="9"/>
      <c r="S840" s="42"/>
      <c r="T840" s="42"/>
      <c r="U840" s="42"/>
      <c r="V840" s="42"/>
      <c r="W840" s="42"/>
      <c r="X840" s="42"/>
      <c r="Y840" s="42"/>
      <c r="Z840" s="42"/>
      <c r="AA840" s="42"/>
      <c r="AB840" s="42" t="str">
        <f>IFERROR(__xludf.DUMMYFUNCTION("""COMPUTED_VALUE"""),"allen institute")</f>
        <v>allen institute</v>
      </c>
      <c r="AC840" s="42" t="str">
        <f>IFERROR(__xludf.DUMMYFUNCTION("""COMPUTED_VALUE"""),"DHBA")</f>
        <v>DHBA</v>
      </c>
      <c r="AD840" s="42"/>
      <c r="AE840" s="42"/>
      <c r="AF840" s="9"/>
      <c r="AG840" s="9"/>
      <c r="AH840" s="42"/>
      <c r="AI840" s="42"/>
      <c r="AJ840" s="42"/>
      <c r="AK840" s="42"/>
      <c r="AL840" s="42"/>
      <c r="AM840" s="42"/>
      <c r="AN840" s="42"/>
      <c r="AO840" s="63" t="str">
        <f>IFERROR(__xludf.DUMMYFUNCTION("IF(ISBLANK(A840),,IF(ISBLANK(S840), A840&amp;"";"", TEXTJOIN(CHAR(10), TRUE, A840&amp;"";"", ARRAYFORMULA(VLOOKUP(SPLIT(S840, "";"" &amp; CHAR(10)), $A:$AO, 41, FALSE)))))"),"A45c1;")</f>
        <v>A45c1;</v>
      </c>
      <c r="AP840" s="89"/>
    </row>
    <row r="841">
      <c r="A841" s="151" t="str">
        <f>IFERROR(__xludf.DUMMYFUNCTION("""COMPUTED_VALUE"""),"A45c2")</f>
        <v>A45c2</v>
      </c>
      <c r="B841" s="42" t="str">
        <f>IFERROR(__xludf.DUMMYFUNCTION("""COMPUTED_VALUE"""),"DHBA")</f>
        <v>DHBA</v>
      </c>
      <c r="C841" s="42" t="str">
        <f>IFERROR(__xludf.DUMMYFUNCTION("""COMPUTED_VALUE"""),"layer II of area 45c")</f>
        <v>layer II of area 45c</v>
      </c>
      <c r="D841" s="42">
        <f>IFERROR(__xludf.DUMMYFUNCTION("""COMPUTED_VALUE"""),785.0)</f>
        <v>785</v>
      </c>
      <c r="E841" s="39" t="str">
        <f>IFERROR(__xludf.DUMMYFUNCTION("""COMPUTED_VALUE"""),"layer II of area 45c")</f>
        <v>layer II of area 45c</v>
      </c>
      <c r="F841" s="9" t="str">
        <f>IFERROR(__xludf.DUMMYFUNCTION("""COMPUTED_VALUE"""),"Br")</f>
        <v>Br</v>
      </c>
      <c r="G841" s="9" t="str">
        <f>IFERROR(__xludf.DUMMYFUNCTION("""COMPUTED_VALUE"""),"F")</f>
        <v>F</v>
      </c>
      <c r="H841" s="9" t="str">
        <f>IFERROR(__xludf.DUMMYFUNCTION("""COMPUTED_VALUE"""),"FGM")</f>
        <v>FGM</v>
      </c>
      <c r="I841" s="9" t="str">
        <f>IFERROR(__xludf.DUMMYFUNCTION("""COMPUTED_VALUE"""),"Tel")</f>
        <v>Tel</v>
      </c>
      <c r="J841" s="9" t="str">
        <f>IFERROR(__xludf.DUMMYFUNCTION("""COMPUTED_VALUE"""),"Cx")</f>
        <v>Cx</v>
      </c>
      <c r="K841" s="9" t="str">
        <f>IFERROR(__xludf.DUMMYFUNCTION("""COMPUTED_VALUE"""),"NCx")</f>
        <v>NCx</v>
      </c>
      <c r="L841" s="9" t="str">
        <f>IFERROR(__xludf.DUMMYFUNCTION("""COMPUTED_VALUE"""),"FCx")</f>
        <v>FCx</v>
      </c>
      <c r="M841" s="9" t="str">
        <f>IFERROR(__xludf.DUMMYFUNCTION("""COMPUTED_VALUE"""),"PFC")</f>
        <v>PFC</v>
      </c>
      <c r="N841" s="9" t="str">
        <f>IFERROR(__xludf.DUMMYFUNCTION("""COMPUTED_VALUE"""),"VFC")</f>
        <v>VFC</v>
      </c>
      <c r="O841" s="9" t="str">
        <f>IFERROR(__xludf.DUMMYFUNCTION("""COMPUTED_VALUE"""),"A45")</f>
        <v>A45</v>
      </c>
      <c r="P841" s="9" t="str">
        <f>IFERROR(__xludf.DUMMYFUNCTION("""COMPUTED_VALUE"""),"A45c")</f>
        <v>A45c</v>
      </c>
      <c r="Q841" s="9" t="str">
        <f>IFERROR(__xludf.DUMMYFUNCTION("""COMPUTED_VALUE"""),"A45c2")</f>
        <v>A45c2</v>
      </c>
      <c r="R841" s="9"/>
      <c r="S841" s="42"/>
      <c r="T841" s="42"/>
      <c r="U841" s="42"/>
      <c r="V841" s="42"/>
      <c r="W841" s="42"/>
      <c r="X841" s="42"/>
      <c r="Y841" s="42"/>
      <c r="Z841" s="42"/>
      <c r="AA841" s="42"/>
      <c r="AB841" s="42" t="str">
        <f>IFERROR(__xludf.DUMMYFUNCTION("""COMPUTED_VALUE"""),"allen institute")</f>
        <v>allen institute</v>
      </c>
      <c r="AC841" s="42" t="str">
        <f>IFERROR(__xludf.DUMMYFUNCTION("""COMPUTED_VALUE"""),"DHBA")</f>
        <v>DHBA</v>
      </c>
      <c r="AD841" s="42"/>
      <c r="AE841" s="42"/>
      <c r="AF841" s="9"/>
      <c r="AG841" s="9"/>
      <c r="AH841" s="42"/>
      <c r="AI841" s="42"/>
      <c r="AJ841" s="42"/>
      <c r="AK841" s="42"/>
      <c r="AL841" s="42"/>
      <c r="AM841" s="42"/>
      <c r="AN841" s="42"/>
      <c r="AO841" s="63" t="str">
        <f>IFERROR(__xludf.DUMMYFUNCTION("IF(ISBLANK(A841),,IF(ISBLANK(S841), A841&amp;"";"", TEXTJOIN(CHAR(10), TRUE, A841&amp;"";"", ARRAYFORMULA(VLOOKUP(SPLIT(S841, "";"" &amp; CHAR(10)), $A:$AO, 41, FALSE)))))"),"A45c2;")</f>
        <v>A45c2;</v>
      </c>
      <c r="AP841" s="89"/>
    </row>
    <row r="842">
      <c r="A842" s="151" t="str">
        <f>IFERROR(__xludf.DUMMYFUNCTION("""COMPUTED_VALUE"""),"A45c3")</f>
        <v>A45c3</v>
      </c>
      <c r="B842" s="42" t="str">
        <f>IFERROR(__xludf.DUMMYFUNCTION("""COMPUTED_VALUE"""),"DHBA")</f>
        <v>DHBA</v>
      </c>
      <c r="C842" s="42" t="str">
        <f>IFERROR(__xludf.DUMMYFUNCTION("""COMPUTED_VALUE"""),"layer III of area 45c")</f>
        <v>layer III of area 45c</v>
      </c>
      <c r="D842" s="42">
        <f>IFERROR(__xludf.DUMMYFUNCTION("""COMPUTED_VALUE"""),786.0)</f>
        <v>786</v>
      </c>
      <c r="E842" s="39" t="str">
        <f>IFERROR(__xludf.DUMMYFUNCTION("""COMPUTED_VALUE"""),"layer III of area 45c")</f>
        <v>layer III of area 45c</v>
      </c>
      <c r="F842" s="9" t="str">
        <f>IFERROR(__xludf.DUMMYFUNCTION("""COMPUTED_VALUE"""),"Br")</f>
        <v>Br</v>
      </c>
      <c r="G842" s="9" t="str">
        <f>IFERROR(__xludf.DUMMYFUNCTION("""COMPUTED_VALUE"""),"F")</f>
        <v>F</v>
      </c>
      <c r="H842" s="9" t="str">
        <f>IFERROR(__xludf.DUMMYFUNCTION("""COMPUTED_VALUE"""),"FGM")</f>
        <v>FGM</v>
      </c>
      <c r="I842" s="9" t="str">
        <f>IFERROR(__xludf.DUMMYFUNCTION("""COMPUTED_VALUE"""),"Tel")</f>
        <v>Tel</v>
      </c>
      <c r="J842" s="9" t="str">
        <f>IFERROR(__xludf.DUMMYFUNCTION("""COMPUTED_VALUE"""),"Cx")</f>
        <v>Cx</v>
      </c>
      <c r="K842" s="9" t="str">
        <f>IFERROR(__xludf.DUMMYFUNCTION("""COMPUTED_VALUE"""),"NCx")</f>
        <v>NCx</v>
      </c>
      <c r="L842" s="9" t="str">
        <f>IFERROR(__xludf.DUMMYFUNCTION("""COMPUTED_VALUE"""),"FCx")</f>
        <v>FCx</v>
      </c>
      <c r="M842" s="9" t="str">
        <f>IFERROR(__xludf.DUMMYFUNCTION("""COMPUTED_VALUE"""),"PFC")</f>
        <v>PFC</v>
      </c>
      <c r="N842" s="9" t="str">
        <f>IFERROR(__xludf.DUMMYFUNCTION("""COMPUTED_VALUE"""),"VFC")</f>
        <v>VFC</v>
      </c>
      <c r="O842" s="9" t="str">
        <f>IFERROR(__xludf.DUMMYFUNCTION("""COMPUTED_VALUE"""),"A45")</f>
        <v>A45</v>
      </c>
      <c r="P842" s="9" t="str">
        <f>IFERROR(__xludf.DUMMYFUNCTION("""COMPUTED_VALUE"""),"A45c")</f>
        <v>A45c</v>
      </c>
      <c r="Q842" s="9" t="str">
        <f>IFERROR(__xludf.DUMMYFUNCTION("""COMPUTED_VALUE"""),"A45c3")</f>
        <v>A45c3</v>
      </c>
      <c r="R842" s="9"/>
      <c r="S842" s="42"/>
      <c r="T842" s="42"/>
      <c r="U842" s="42"/>
      <c r="V842" s="42"/>
      <c r="W842" s="42"/>
      <c r="X842" s="42"/>
      <c r="Y842" s="42"/>
      <c r="Z842" s="42"/>
      <c r="AA842" s="42"/>
      <c r="AB842" s="42" t="str">
        <f>IFERROR(__xludf.DUMMYFUNCTION("""COMPUTED_VALUE"""),"allen institute")</f>
        <v>allen institute</v>
      </c>
      <c r="AC842" s="42" t="str">
        <f>IFERROR(__xludf.DUMMYFUNCTION("""COMPUTED_VALUE"""),"DHBA")</f>
        <v>DHBA</v>
      </c>
      <c r="AD842" s="42"/>
      <c r="AE842" s="42"/>
      <c r="AF842" s="9"/>
      <c r="AG842" s="9"/>
      <c r="AH842" s="42"/>
      <c r="AI842" s="42"/>
      <c r="AJ842" s="42"/>
      <c r="AK842" s="42"/>
      <c r="AL842" s="42"/>
      <c r="AM842" s="42"/>
      <c r="AN842" s="42"/>
      <c r="AO842" s="63" t="str">
        <f>IFERROR(__xludf.DUMMYFUNCTION("IF(ISBLANK(A842),,IF(ISBLANK(S842), A842&amp;"";"", TEXTJOIN(CHAR(10), TRUE, A842&amp;"";"", ARRAYFORMULA(VLOOKUP(SPLIT(S842, "";"" &amp; CHAR(10)), $A:$AO, 41, FALSE)))))"),"A45c3;")</f>
        <v>A45c3;</v>
      </c>
      <c r="AP842" s="89"/>
    </row>
    <row r="843">
      <c r="A843" s="151" t="str">
        <f>IFERROR(__xludf.DUMMYFUNCTION("""COMPUTED_VALUE"""),"A45c4")</f>
        <v>A45c4</v>
      </c>
      <c r="B843" s="42" t="str">
        <f>IFERROR(__xludf.DUMMYFUNCTION("""COMPUTED_VALUE"""),"DHBA")</f>
        <v>DHBA</v>
      </c>
      <c r="C843" s="42" t="str">
        <f>IFERROR(__xludf.DUMMYFUNCTION("""COMPUTED_VALUE"""),"layer IV of area 45c")</f>
        <v>layer IV of area 45c</v>
      </c>
      <c r="D843" s="42">
        <f>IFERROR(__xludf.DUMMYFUNCTION("""COMPUTED_VALUE"""),787.0)</f>
        <v>787</v>
      </c>
      <c r="E843" s="39" t="str">
        <f>IFERROR(__xludf.DUMMYFUNCTION("""COMPUTED_VALUE"""),"layer IV of area 45c")</f>
        <v>layer IV of area 45c</v>
      </c>
      <c r="F843" s="9" t="str">
        <f>IFERROR(__xludf.DUMMYFUNCTION("""COMPUTED_VALUE"""),"Br")</f>
        <v>Br</v>
      </c>
      <c r="G843" s="9" t="str">
        <f>IFERROR(__xludf.DUMMYFUNCTION("""COMPUTED_VALUE"""),"F")</f>
        <v>F</v>
      </c>
      <c r="H843" s="9" t="str">
        <f>IFERROR(__xludf.DUMMYFUNCTION("""COMPUTED_VALUE"""),"FGM")</f>
        <v>FGM</v>
      </c>
      <c r="I843" s="9" t="str">
        <f>IFERROR(__xludf.DUMMYFUNCTION("""COMPUTED_VALUE"""),"Tel")</f>
        <v>Tel</v>
      </c>
      <c r="J843" s="9" t="str">
        <f>IFERROR(__xludf.DUMMYFUNCTION("""COMPUTED_VALUE"""),"Cx")</f>
        <v>Cx</v>
      </c>
      <c r="K843" s="9" t="str">
        <f>IFERROR(__xludf.DUMMYFUNCTION("""COMPUTED_VALUE"""),"NCx")</f>
        <v>NCx</v>
      </c>
      <c r="L843" s="9" t="str">
        <f>IFERROR(__xludf.DUMMYFUNCTION("""COMPUTED_VALUE"""),"FCx")</f>
        <v>FCx</v>
      </c>
      <c r="M843" s="9" t="str">
        <f>IFERROR(__xludf.DUMMYFUNCTION("""COMPUTED_VALUE"""),"PFC")</f>
        <v>PFC</v>
      </c>
      <c r="N843" s="9" t="str">
        <f>IFERROR(__xludf.DUMMYFUNCTION("""COMPUTED_VALUE"""),"VFC")</f>
        <v>VFC</v>
      </c>
      <c r="O843" s="9" t="str">
        <f>IFERROR(__xludf.DUMMYFUNCTION("""COMPUTED_VALUE"""),"A45")</f>
        <v>A45</v>
      </c>
      <c r="P843" s="9" t="str">
        <f>IFERROR(__xludf.DUMMYFUNCTION("""COMPUTED_VALUE"""),"A45c")</f>
        <v>A45c</v>
      </c>
      <c r="Q843" s="9" t="str">
        <f>IFERROR(__xludf.DUMMYFUNCTION("""COMPUTED_VALUE"""),"A45c4")</f>
        <v>A45c4</v>
      </c>
      <c r="R843" s="9"/>
      <c r="S843" s="42"/>
      <c r="T843" s="42"/>
      <c r="U843" s="42"/>
      <c r="V843" s="42"/>
      <c r="W843" s="42"/>
      <c r="X843" s="42"/>
      <c r="Y843" s="42"/>
      <c r="Z843" s="42"/>
      <c r="AA843" s="42"/>
      <c r="AB843" s="42" t="str">
        <f>IFERROR(__xludf.DUMMYFUNCTION("""COMPUTED_VALUE"""),"allen institute")</f>
        <v>allen institute</v>
      </c>
      <c r="AC843" s="42" t="str">
        <f>IFERROR(__xludf.DUMMYFUNCTION("""COMPUTED_VALUE"""),"DHBA")</f>
        <v>DHBA</v>
      </c>
      <c r="AD843" s="42"/>
      <c r="AE843" s="42"/>
      <c r="AF843" s="9"/>
      <c r="AG843" s="9"/>
      <c r="AH843" s="42"/>
      <c r="AI843" s="42"/>
      <c r="AJ843" s="42"/>
      <c r="AK843" s="42"/>
      <c r="AL843" s="42"/>
      <c r="AM843" s="42"/>
      <c r="AN843" s="42"/>
      <c r="AO843" s="63" t="str">
        <f>IFERROR(__xludf.DUMMYFUNCTION("IF(ISBLANK(A843),,IF(ISBLANK(S843), A843&amp;"";"", TEXTJOIN(CHAR(10), TRUE, A843&amp;"";"", ARRAYFORMULA(VLOOKUP(SPLIT(S843, "";"" &amp; CHAR(10)), $A:$AO, 41, FALSE)))))"),"A45c4;")</f>
        <v>A45c4;</v>
      </c>
      <c r="AP843" s="89"/>
    </row>
    <row r="844">
      <c r="A844" s="151" t="str">
        <f>IFERROR(__xludf.DUMMYFUNCTION("""COMPUTED_VALUE"""),"A45c5")</f>
        <v>A45c5</v>
      </c>
      <c r="B844" s="42" t="str">
        <f>IFERROR(__xludf.DUMMYFUNCTION("""COMPUTED_VALUE"""),"DHBA")</f>
        <v>DHBA</v>
      </c>
      <c r="C844" s="42" t="str">
        <f>IFERROR(__xludf.DUMMYFUNCTION("""COMPUTED_VALUE"""),"layer V of area 45c")</f>
        <v>layer V of area 45c</v>
      </c>
      <c r="D844" s="42">
        <f>IFERROR(__xludf.DUMMYFUNCTION("""COMPUTED_VALUE"""),788.0)</f>
        <v>788</v>
      </c>
      <c r="E844" s="39" t="str">
        <f>IFERROR(__xludf.DUMMYFUNCTION("""COMPUTED_VALUE"""),"layer V of area 45c")</f>
        <v>layer V of area 45c</v>
      </c>
      <c r="F844" s="9" t="str">
        <f>IFERROR(__xludf.DUMMYFUNCTION("""COMPUTED_VALUE"""),"Br")</f>
        <v>Br</v>
      </c>
      <c r="G844" s="9" t="str">
        <f>IFERROR(__xludf.DUMMYFUNCTION("""COMPUTED_VALUE"""),"F")</f>
        <v>F</v>
      </c>
      <c r="H844" s="9" t="str">
        <f>IFERROR(__xludf.DUMMYFUNCTION("""COMPUTED_VALUE"""),"FGM")</f>
        <v>FGM</v>
      </c>
      <c r="I844" s="9" t="str">
        <f>IFERROR(__xludf.DUMMYFUNCTION("""COMPUTED_VALUE"""),"Tel")</f>
        <v>Tel</v>
      </c>
      <c r="J844" s="9" t="str">
        <f>IFERROR(__xludf.DUMMYFUNCTION("""COMPUTED_VALUE"""),"Cx")</f>
        <v>Cx</v>
      </c>
      <c r="K844" s="9" t="str">
        <f>IFERROR(__xludf.DUMMYFUNCTION("""COMPUTED_VALUE"""),"NCx")</f>
        <v>NCx</v>
      </c>
      <c r="L844" s="9" t="str">
        <f>IFERROR(__xludf.DUMMYFUNCTION("""COMPUTED_VALUE"""),"FCx")</f>
        <v>FCx</v>
      </c>
      <c r="M844" s="9" t="str">
        <f>IFERROR(__xludf.DUMMYFUNCTION("""COMPUTED_VALUE"""),"PFC")</f>
        <v>PFC</v>
      </c>
      <c r="N844" s="9" t="str">
        <f>IFERROR(__xludf.DUMMYFUNCTION("""COMPUTED_VALUE"""),"VFC")</f>
        <v>VFC</v>
      </c>
      <c r="O844" s="9" t="str">
        <f>IFERROR(__xludf.DUMMYFUNCTION("""COMPUTED_VALUE"""),"A45")</f>
        <v>A45</v>
      </c>
      <c r="P844" s="9" t="str">
        <f>IFERROR(__xludf.DUMMYFUNCTION("""COMPUTED_VALUE"""),"A45c")</f>
        <v>A45c</v>
      </c>
      <c r="Q844" s="9" t="str">
        <f>IFERROR(__xludf.DUMMYFUNCTION("""COMPUTED_VALUE"""),"A45c5")</f>
        <v>A45c5</v>
      </c>
      <c r="R844" s="9"/>
      <c r="S844" s="42"/>
      <c r="T844" s="42"/>
      <c r="U844" s="42"/>
      <c r="V844" s="42"/>
      <c r="W844" s="42"/>
      <c r="X844" s="42"/>
      <c r="Y844" s="42"/>
      <c r="Z844" s="42"/>
      <c r="AA844" s="42"/>
      <c r="AB844" s="42" t="str">
        <f>IFERROR(__xludf.DUMMYFUNCTION("""COMPUTED_VALUE"""),"allen institute")</f>
        <v>allen institute</v>
      </c>
      <c r="AC844" s="42" t="str">
        <f>IFERROR(__xludf.DUMMYFUNCTION("""COMPUTED_VALUE"""),"DHBA")</f>
        <v>DHBA</v>
      </c>
      <c r="AD844" s="42"/>
      <c r="AE844" s="42"/>
      <c r="AF844" s="9"/>
      <c r="AG844" s="9"/>
      <c r="AH844" s="42"/>
      <c r="AI844" s="42"/>
      <c r="AJ844" s="42"/>
      <c r="AK844" s="42"/>
      <c r="AL844" s="42"/>
      <c r="AM844" s="42"/>
      <c r="AN844" s="42"/>
      <c r="AO844" s="63" t="str">
        <f>IFERROR(__xludf.DUMMYFUNCTION("IF(ISBLANK(A844),,IF(ISBLANK(S844), A844&amp;"";"", TEXTJOIN(CHAR(10), TRUE, A844&amp;"";"", ARRAYFORMULA(VLOOKUP(SPLIT(S844, "";"" &amp; CHAR(10)), $A:$AO, 41, FALSE)))))"),"A45c5;")</f>
        <v>A45c5;</v>
      </c>
      <c r="AP844" s="89"/>
    </row>
    <row r="845">
      <c r="A845" s="151" t="str">
        <f>IFERROR(__xludf.DUMMYFUNCTION("""COMPUTED_VALUE"""),"A45c6")</f>
        <v>A45c6</v>
      </c>
      <c r="B845" s="42" t="str">
        <f>IFERROR(__xludf.DUMMYFUNCTION("""COMPUTED_VALUE"""),"DHBA")</f>
        <v>DHBA</v>
      </c>
      <c r="C845" s="42" t="str">
        <f>IFERROR(__xludf.DUMMYFUNCTION("""COMPUTED_VALUE"""),"layer VI of area 45c")</f>
        <v>layer VI of area 45c</v>
      </c>
      <c r="D845" s="42">
        <f>IFERROR(__xludf.DUMMYFUNCTION("""COMPUTED_VALUE"""),789.0)</f>
        <v>789</v>
      </c>
      <c r="E845" s="39" t="str">
        <f>IFERROR(__xludf.DUMMYFUNCTION("""COMPUTED_VALUE"""),"layer VI of area 45c")</f>
        <v>layer VI of area 45c</v>
      </c>
      <c r="F845" s="9" t="str">
        <f>IFERROR(__xludf.DUMMYFUNCTION("""COMPUTED_VALUE"""),"Br")</f>
        <v>Br</v>
      </c>
      <c r="G845" s="9" t="str">
        <f>IFERROR(__xludf.DUMMYFUNCTION("""COMPUTED_VALUE"""),"F")</f>
        <v>F</v>
      </c>
      <c r="H845" s="9" t="str">
        <f>IFERROR(__xludf.DUMMYFUNCTION("""COMPUTED_VALUE"""),"FGM")</f>
        <v>FGM</v>
      </c>
      <c r="I845" s="9" t="str">
        <f>IFERROR(__xludf.DUMMYFUNCTION("""COMPUTED_VALUE"""),"Tel")</f>
        <v>Tel</v>
      </c>
      <c r="J845" s="9" t="str">
        <f>IFERROR(__xludf.DUMMYFUNCTION("""COMPUTED_VALUE"""),"Cx")</f>
        <v>Cx</v>
      </c>
      <c r="K845" s="9" t="str">
        <f>IFERROR(__xludf.DUMMYFUNCTION("""COMPUTED_VALUE"""),"NCx")</f>
        <v>NCx</v>
      </c>
      <c r="L845" s="9" t="str">
        <f>IFERROR(__xludf.DUMMYFUNCTION("""COMPUTED_VALUE"""),"FCx")</f>
        <v>FCx</v>
      </c>
      <c r="M845" s="9" t="str">
        <f>IFERROR(__xludf.DUMMYFUNCTION("""COMPUTED_VALUE"""),"PFC")</f>
        <v>PFC</v>
      </c>
      <c r="N845" s="9" t="str">
        <f>IFERROR(__xludf.DUMMYFUNCTION("""COMPUTED_VALUE"""),"VFC")</f>
        <v>VFC</v>
      </c>
      <c r="O845" s="9" t="str">
        <f>IFERROR(__xludf.DUMMYFUNCTION("""COMPUTED_VALUE"""),"A45")</f>
        <v>A45</v>
      </c>
      <c r="P845" s="9" t="str">
        <f>IFERROR(__xludf.DUMMYFUNCTION("""COMPUTED_VALUE"""),"A45c")</f>
        <v>A45c</v>
      </c>
      <c r="Q845" s="9" t="str">
        <f>IFERROR(__xludf.DUMMYFUNCTION("""COMPUTED_VALUE"""),"A45c6")</f>
        <v>A45c6</v>
      </c>
      <c r="R845" s="9"/>
      <c r="S845" s="42"/>
      <c r="T845" s="42"/>
      <c r="U845" s="42"/>
      <c r="V845" s="42"/>
      <c r="W845" s="42"/>
      <c r="X845" s="42"/>
      <c r="Y845" s="42"/>
      <c r="Z845" s="42"/>
      <c r="AA845" s="42"/>
      <c r="AB845" s="42" t="str">
        <f>IFERROR(__xludf.DUMMYFUNCTION("""COMPUTED_VALUE"""),"allen institute")</f>
        <v>allen institute</v>
      </c>
      <c r="AC845" s="42" t="str">
        <f>IFERROR(__xludf.DUMMYFUNCTION("""COMPUTED_VALUE"""),"DHBA")</f>
        <v>DHBA</v>
      </c>
      <c r="AD845" s="42"/>
      <c r="AE845" s="42"/>
      <c r="AF845" s="9"/>
      <c r="AG845" s="9"/>
      <c r="AH845" s="42"/>
      <c r="AI845" s="42"/>
      <c r="AJ845" s="42"/>
      <c r="AK845" s="42"/>
      <c r="AL845" s="42"/>
      <c r="AM845" s="42"/>
      <c r="AN845" s="42"/>
      <c r="AO845" s="63" t="str">
        <f>IFERROR(__xludf.DUMMYFUNCTION("IF(ISBLANK(A845),,IF(ISBLANK(S845), A845&amp;"";"", TEXTJOIN(CHAR(10), TRUE, A845&amp;"";"", ARRAYFORMULA(VLOOKUP(SPLIT(S845, "";"" &amp; CHAR(10)), $A:$AO, 41, FALSE)))))"),"A45c6;")</f>
        <v>A45c6;</v>
      </c>
      <c r="AP845" s="89"/>
    </row>
    <row r="846">
      <c r="A846" s="151" t="str">
        <f>IFERROR(__xludf.DUMMYFUNCTION("""COMPUTED_VALUE"""),"A45op")</f>
        <v>A45op</v>
      </c>
      <c r="B846" s="42" t="str">
        <f>IFERROR(__xludf.DUMMYFUNCTION("""COMPUTED_VALUE"""),"DHBA")</f>
        <v>DHBA</v>
      </c>
      <c r="C846" s="42" t="str">
        <f>IFERROR(__xludf.DUMMYFUNCTION("""COMPUTED_VALUE"""),"opercular subdivision of A45")</f>
        <v>opercular subdivision of A45</v>
      </c>
      <c r="D846" s="42">
        <f>IFERROR(__xludf.DUMMYFUNCTION("""COMPUTED_VALUE"""),790.0)</f>
        <v>790</v>
      </c>
      <c r="E846" s="39" t="str">
        <f>IFERROR(__xludf.DUMMYFUNCTION("""COMPUTED_VALUE"""),"opercular subdivision of A45")</f>
        <v>opercular subdivision of A45</v>
      </c>
      <c r="F846" s="9" t="str">
        <f>IFERROR(__xludf.DUMMYFUNCTION("""COMPUTED_VALUE"""),"Br")</f>
        <v>Br</v>
      </c>
      <c r="G846" s="9" t="str">
        <f>IFERROR(__xludf.DUMMYFUNCTION("""COMPUTED_VALUE"""),"F")</f>
        <v>F</v>
      </c>
      <c r="H846" s="9" t="str">
        <f>IFERROR(__xludf.DUMMYFUNCTION("""COMPUTED_VALUE"""),"FGM")</f>
        <v>FGM</v>
      </c>
      <c r="I846" s="9" t="str">
        <f>IFERROR(__xludf.DUMMYFUNCTION("""COMPUTED_VALUE"""),"Tel")</f>
        <v>Tel</v>
      </c>
      <c r="J846" s="9" t="str">
        <f>IFERROR(__xludf.DUMMYFUNCTION("""COMPUTED_VALUE"""),"Cx")</f>
        <v>Cx</v>
      </c>
      <c r="K846" s="9" t="str">
        <f>IFERROR(__xludf.DUMMYFUNCTION("""COMPUTED_VALUE"""),"NCx")</f>
        <v>NCx</v>
      </c>
      <c r="L846" s="9" t="str">
        <f>IFERROR(__xludf.DUMMYFUNCTION("""COMPUTED_VALUE"""),"FCx")</f>
        <v>FCx</v>
      </c>
      <c r="M846" s="9" t="str">
        <f>IFERROR(__xludf.DUMMYFUNCTION("""COMPUTED_VALUE"""),"PFC")</f>
        <v>PFC</v>
      </c>
      <c r="N846" s="9" t="str">
        <f>IFERROR(__xludf.DUMMYFUNCTION("""COMPUTED_VALUE"""),"VFC")</f>
        <v>VFC</v>
      </c>
      <c r="O846" s="9" t="str">
        <f>IFERROR(__xludf.DUMMYFUNCTION("""COMPUTED_VALUE"""),"A45")</f>
        <v>A45</v>
      </c>
      <c r="P846" s="9" t="str">
        <f>IFERROR(__xludf.DUMMYFUNCTION("""COMPUTED_VALUE"""),"A45op")</f>
        <v>A45op</v>
      </c>
      <c r="Q846" s="9"/>
      <c r="R846" s="9"/>
      <c r="S846" s="42" t="str">
        <f>IFERROR(__xludf.DUMMYFUNCTION("""COMPUTED_VALUE"""),"A45op1;
A45op2;
A45op3;
A45op4;
A45op5;
A45op6")</f>
        <v>A45op1;
A45op2;
A45op3;
A45op4;
A45op5;
A45op6</v>
      </c>
      <c r="T846" s="42" t="str">
        <f>IFERROR(__xludf.DUMMYFUNCTION("""COMPUTED_VALUE"""),"NCx")</f>
        <v>NCx</v>
      </c>
      <c r="U846" s="42" t="b">
        <f>IFERROR(__xludf.DUMMYFUNCTION("""COMPUTED_VALUE"""),FALSE)</f>
        <v>0</v>
      </c>
      <c r="V846" s="42"/>
      <c r="W846" s="42"/>
      <c r="X846" s="42"/>
      <c r="Y846" s="42"/>
      <c r="Z846" s="42"/>
      <c r="AA846" s="42"/>
      <c r="AB846" s="42" t="str">
        <f>IFERROR(__xludf.DUMMYFUNCTION("""COMPUTED_VALUE"""),"allen institute")</f>
        <v>allen institute</v>
      </c>
      <c r="AC846" s="42" t="str">
        <f>IFERROR(__xludf.DUMMYFUNCTION("""COMPUTED_VALUE"""),"DHBA")</f>
        <v>DHBA</v>
      </c>
      <c r="AD846" s="42"/>
      <c r="AE846" s="42"/>
      <c r="AF846" s="9"/>
      <c r="AG846" s="9"/>
      <c r="AH846" s="42"/>
      <c r="AI846" s="42"/>
      <c r="AJ846" s="42"/>
      <c r="AK846" s="42"/>
      <c r="AL846" s="42"/>
      <c r="AM846" s="42"/>
      <c r="AN846" s="42"/>
      <c r="AO846" s="63" t="str">
        <f>IFERROR(__xludf.DUMMYFUNCTION("IF(ISBLANK(A846),,IF(ISBLANK(S846), A846&amp;"";"", TEXTJOIN(CHAR(10), TRUE, A846&amp;"";"", ARRAYFORMULA(VLOOKUP(SPLIT(S846, "";"" &amp; CHAR(10)), $A:$AO, 41, FALSE)))))"),"A45op;
A45op1;
A45op2;
A45op3;
A45op4;
A45op5;
A45op6;")</f>
        <v>A45op;
A45op1;
A45op2;
A45op3;
A45op4;
A45op5;
A45op6;</v>
      </c>
      <c r="AP846" s="89"/>
    </row>
    <row r="847">
      <c r="A847" s="151" t="str">
        <f>IFERROR(__xludf.DUMMYFUNCTION("""COMPUTED_VALUE"""),"A45op1")</f>
        <v>A45op1</v>
      </c>
      <c r="B847" s="42" t="str">
        <f>IFERROR(__xludf.DUMMYFUNCTION("""COMPUTED_VALUE"""),"DHBA")</f>
        <v>DHBA</v>
      </c>
      <c r="C847" s="42" t="str">
        <f>IFERROR(__xludf.DUMMYFUNCTION("""COMPUTED_VALUE"""),"layer I of area 45op")</f>
        <v>layer I of area 45op</v>
      </c>
      <c r="D847" s="42">
        <f>IFERROR(__xludf.DUMMYFUNCTION("""COMPUTED_VALUE"""),791.0)</f>
        <v>791</v>
      </c>
      <c r="E847" s="39" t="str">
        <f>IFERROR(__xludf.DUMMYFUNCTION("""COMPUTED_VALUE"""),"layer I of area 45op")</f>
        <v>layer I of area 45op</v>
      </c>
      <c r="F847" s="9" t="str">
        <f>IFERROR(__xludf.DUMMYFUNCTION("""COMPUTED_VALUE"""),"Br")</f>
        <v>Br</v>
      </c>
      <c r="G847" s="9" t="str">
        <f>IFERROR(__xludf.DUMMYFUNCTION("""COMPUTED_VALUE"""),"F")</f>
        <v>F</v>
      </c>
      <c r="H847" s="9" t="str">
        <f>IFERROR(__xludf.DUMMYFUNCTION("""COMPUTED_VALUE"""),"FGM")</f>
        <v>FGM</v>
      </c>
      <c r="I847" s="9" t="str">
        <f>IFERROR(__xludf.DUMMYFUNCTION("""COMPUTED_VALUE"""),"Tel")</f>
        <v>Tel</v>
      </c>
      <c r="J847" s="9" t="str">
        <f>IFERROR(__xludf.DUMMYFUNCTION("""COMPUTED_VALUE"""),"Cx")</f>
        <v>Cx</v>
      </c>
      <c r="K847" s="9" t="str">
        <f>IFERROR(__xludf.DUMMYFUNCTION("""COMPUTED_VALUE"""),"NCx")</f>
        <v>NCx</v>
      </c>
      <c r="L847" s="9" t="str">
        <f>IFERROR(__xludf.DUMMYFUNCTION("""COMPUTED_VALUE"""),"FCx")</f>
        <v>FCx</v>
      </c>
      <c r="M847" s="9" t="str">
        <f>IFERROR(__xludf.DUMMYFUNCTION("""COMPUTED_VALUE"""),"PFC")</f>
        <v>PFC</v>
      </c>
      <c r="N847" s="9" t="str">
        <f>IFERROR(__xludf.DUMMYFUNCTION("""COMPUTED_VALUE"""),"VFC")</f>
        <v>VFC</v>
      </c>
      <c r="O847" s="9" t="str">
        <f>IFERROR(__xludf.DUMMYFUNCTION("""COMPUTED_VALUE"""),"A45")</f>
        <v>A45</v>
      </c>
      <c r="P847" s="9" t="str">
        <f>IFERROR(__xludf.DUMMYFUNCTION("""COMPUTED_VALUE"""),"A45op")</f>
        <v>A45op</v>
      </c>
      <c r="Q847" s="9" t="str">
        <f>IFERROR(__xludf.DUMMYFUNCTION("""COMPUTED_VALUE"""),"A45op1")</f>
        <v>A45op1</v>
      </c>
      <c r="R847" s="9"/>
      <c r="S847" s="42"/>
      <c r="T847" s="42"/>
      <c r="U847" s="42"/>
      <c r="V847" s="42"/>
      <c r="W847" s="42"/>
      <c r="X847" s="42"/>
      <c r="Y847" s="42"/>
      <c r="Z847" s="42"/>
      <c r="AA847" s="42"/>
      <c r="AB847" s="42" t="str">
        <f>IFERROR(__xludf.DUMMYFUNCTION("""COMPUTED_VALUE"""),"allen institute")</f>
        <v>allen institute</v>
      </c>
      <c r="AC847" s="42" t="str">
        <f>IFERROR(__xludf.DUMMYFUNCTION("""COMPUTED_VALUE"""),"DHBA")</f>
        <v>DHBA</v>
      </c>
      <c r="AD847" s="42"/>
      <c r="AE847" s="42"/>
      <c r="AF847" s="9"/>
      <c r="AG847" s="9"/>
      <c r="AH847" s="42"/>
      <c r="AI847" s="42"/>
      <c r="AJ847" s="42"/>
      <c r="AK847" s="42"/>
      <c r="AL847" s="42"/>
      <c r="AM847" s="42"/>
      <c r="AN847" s="42"/>
      <c r="AO847" s="63" t="str">
        <f>IFERROR(__xludf.DUMMYFUNCTION("IF(ISBLANK(A847),,IF(ISBLANK(S847), A847&amp;"";"", TEXTJOIN(CHAR(10), TRUE, A847&amp;"";"", ARRAYFORMULA(VLOOKUP(SPLIT(S847, "";"" &amp; CHAR(10)), $A:$AO, 41, FALSE)))))"),"A45op1;")</f>
        <v>A45op1;</v>
      </c>
      <c r="AP847" s="89"/>
    </row>
    <row r="848">
      <c r="A848" s="151" t="str">
        <f>IFERROR(__xludf.DUMMYFUNCTION("""COMPUTED_VALUE"""),"A45op2")</f>
        <v>A45op2</v>
      </c>
      <c r="B848" s="42" t="str">
        <f>IFERROR(__xludf.DUMMYFUNCTION("""COMPUTED_VALUE"""),"DHBA")</f>
        <v>DHBA</v>
      </c>
      <c r="C848" s="42" t="str">
        <f>IFERROR(__xludf.DUMMYFUNCTION("""COMPUTED_VALUE"""),"layer II of area 45op")</f>
        <v>layer II of area 45op</v>
      </c>
      <c r="D848" s="42">
        <f>IFERROR(__xludf.DUMMYFUNCTION("""COMPUTED_VALUE"""),792.0)</f>
        <v>792</v>
      </c>
      <c r="E848" s="39" t="str">
        <f>IFERROR(__xludf.DUMMYFUNCTION("""COMPUTED_VALUE"""),"layer II of area 45op")</f>
        <v>layer II of area 45op</v>
      </c>
      <c r="F848" s="9" t="str">
        <f>IFERROR(__xludf.DUMMYFUNCTION("""COMPUTED_VALUE"""),"Br")</f>
        <v>Br</v>
      </c>
      <c r="G848" s="9" t="str">
        <f>IFERROR(__xludf.DUMMYFUNCTION("""COMPUTED_VALUE"""),"F")</f>
        <v>F</v>
      </c>
      <c r="H848" s="9" t="str">
        <f>IFERROR(__xludf.DUMMYFUNCTION("""COMPUTED_VALUE"""),"FGM")</f>
        <v>FGM</v>
      </c>
      <c r="I848" s="9" t="str">
        <f>IFERROR(__xludf.DUMMYFUNCTION("""COMPUTED_VALUE"""),"Tel")</f>
        <v>Tel</v>
      </c>
      <c r="J848" s="9" t="str">
        <f>IFERROR(__xludf.DUMMYFUNCTION("""COMPUTED_VALUE"""),"Cx")</f>
        <v>Cx</v>
      </c>
      <c r="K848" s="9" t="str">
        <f>IFERROR(__xludf.DUMMYFUNCTION("""COMPUTED_VALUE"""),"NCx")</f>
        <v>NCx</v>
      </c>
      <c r="L848" s="9" t="str">
        <f>IFERROR(__xludf.DUMMYFUNCTION("""COMPUTED_VALUE"""),"FCx")</f>
        <v>FCx</v>
      </c>
      <c r="M848" s="9" t="str">
        <f>IFERROR(__xludf.DUMMYFUNCTION("""COMPUTED_VALUE"""),"PFC")</f>
        <v>PFC</v>
      </c>
      <c r="N848" s="9" t="str">
        <f>IFERROR(__xludf.DUMMYFUNCTION("""COMPUTED_VALUE"""),"VFC")</f>
        <v>VFC</v>
      </c>
      <c r="O848" s="9" t="str">
        <f>IFERROR(__xludf.DUMMYFUNCTION("""COMPUTED_VALUE"""),"A45")</f>
        <v>A45</v>
      </c>
      <c r="P848" s="9" t="str">
        <f>IFERROR(__xludf.DUMMYFUNCTION("""COMPUTED_VALUE"""),"A45op")</f>
        <v>A45op</v>
      </c>
      <c r="Q848" s="9" t="str">
        <f>IFERROR(__xludf.DUMMYFUNCTION("""COMPUTED_VALUE"""),"A45op2")</f>
        <v>A45op2</v>
      </c>
      <c r="R848" s="9"/>
      <c r="S848" s="42"/>
      <c r="T848" s="42"/>
      <c r="U848" s="42"/>
      <c r="V848" s="42"/>
      <c r="W848" s="42"/>
      <c r="X848" s="42"/>
      <c r="Y848" s="42"/>
      <c r="Z848" s="42"/>
      <c r="AA848" s="42"/>
      <c r="AB848" s="42" t="str">
        <f>IFERROR(__xludf.DUMMYFUNCTION("""COMPUTED_VALUE"""),"allen institute")</f>
        <v>allen institute</v>
      </c>
      <c r="AC848" s="42" t="str">
        <f>IFERROR(__xludf.DUMMYFUNCTION("""COMPUTED_VALUE"""),"DHBA")</f>
        <v>DHBA</v>
      </c>
      <c r="AD848" s="42"/>
      <c r="AE848" s="42"/>
      <c r="AF848" s="9"/>
      <c r="AG848" s="9"/>
      <c r="AH848" s="42"/>
      <c r="AI848" s="42"/>
      <c r="AJ848" s="42"/>
      <c r="AK848" s="42"/>
      <c r="AL848" s="42"/>
      <c r="AM848" s="42"/>
      <c r="AN848" s="42"/>
      <c r="AO848" s="63" t="str">
        <f>IFERROR(__xludf.DUMMYFUNCTION("IF(ISBLANK(A848),,IF(ISBLANK(S848), A848&amp;"";"", TEXTJOIN(CHAR(10), TRUE, A848&amp;"";"", ARRAYFORMULA(VLOOKUP(SPLIT(S848, "";"" &amp; CHAR(10)), $A:$AO, 41, FALSE)))))"),"A45op2;")</f>
        <v>A45op2;</v>
      </c>
      <c r="AP848" s="89"/>
    </row>
    <row r="849">
      <c r="A849" s="151" t="str">
        <f>IFERROR(__xludf.DUMMYFUNCTION("""COMPUTED_VALUE"""),"A45op3")</f>
        <v>A45op3</v>
      </c>
      <c r="B849" s="42" t="str">
        <f>IFERROR(__xludf.DUMMYFUNCTION("""COMPUTED_VALUE"""),"DHBA")</f>
        <v>DHBA</v>
      </c>
      <c r="C849" s="42" t="str">
        <f>IFERROR(__xludf.DUMMYFUNCTION("""COMPUTED_VALUE"""),"layer III of area 45op")</f>
        <v>layer III of area 45op</v>
      </c>
      <c r="D849" s="42">
        <f>IFERROR(__xludf.DUMMYFUNCTION("""COMPUTED_VALUE"""),793.0)</f>
        <v>793</v>
      </c>
      <c r="E849" s="39" t="str">
        <f>IFERROR(__xludf.DUMMYFUNCTION("""COMPUTED_VALUE"""),"layer III of area 45op")</f>
        <v>layer III of area 45op</v>
      </c>
      <c r="F849" s="9" t="str">
        <f>IFERROR(__xludf.DUMMYFUNCTION("""COMPUTED_VALUE"""),"Br")</f>
        <v>Br</v>
      </c>
      <c r="G849" s="9" t="str">
        <f>IFERROR(__xludf.DUMMYFUNCTION("""COMPUTED_VALUE"""),"F")</f>
        <v>F</v>
      </c>
      <c r="H849" s="9" t="str">
        <f>IFERROR(__xludf.DUMMYFUNCTION("""COMPUTED_VALUE"""),"FGM")</f>
        <v>FGM</v>
      </c>
      <c r="I849" s="9" t="str">
        <f>IFERROR(__xludf.DUMMYFUNCTION("""COMPUTED_VALUE"""),"Tel")</f>
        <v>Tel</v>
      </c>
      <c r="J849" s="9" t="str">
        <f>IFERROR(__xludf.DUMMYFUNCTION("""COMPUTED_VALUE"""),"Cx")</f>
        <v>Cx</v>
      </c>
      <c r="K849" s="9" t="str">
        <f>IFERROR(__xludf.DUMMYFUNCTION("""COMPUTED_VALUE"""),"NCx")</f>
        <v>NCx</v>
      </c>
      <c r="L849" s="9" t="str">
        <f>IFERROR(__xludf.DUMMYFUNCTION("""COMPUTED_VALUE"""),"FCx")</f>
        <v>FCx</v>
      </c>
      <c r="M849" s="9" t="str">
        <f>IFERROR(__xludf.DUMMYFUNCTION("""COMPUTED_VALUE"""),"PFC")</f>
        <v>PFC</v>
      </c>
      <c r="N849" s="9" t="str">
        <f>IFERROR(__xludf.DUMMYFUNCTION("""COMPUTED_VALUE"""),"VFC")</f>
        <v>VFC</v>
      </c>
      <c r="O849" s="9" t="str">
        <f>IFERROR(__xludf.DUMMYFUNCTION("""COMPUTED_VALUE"""),"A45")</f>
        <v>A45</v>
      </c>
      <c r="P849" s="9" t="str">
        <f>IFERROR(__xludf.DUMMYFUNCTION("""COMPUTED_VALUE"""),"A45op")</f>
        <v>A45op</v>
      </c>
      <c r="Q849" s="9" t="str">
        <f>IFERROR(__xludf.DUMMYFUNCTION("""COMPUTED_VALUE"""),"A45op3")</f>
        <v>A45op3</v>
      </c>
      <c r="R849" s="9"/>
      <c r="S849" s="42"/>
      <c r="T849" s="42"/>
      <c r="U849" s="42"/>
      <c r="V849" s="42"/>
      <c r="W849" s="42"/>
      <c r="X849" s="42"/>
      <c r="Y849" s="42"/>
      <c r="Z849" s="42"/>
      <c r="AA849" s="42"/>
      <c r="AB849" s="42" t="str">
        <f>IFERROR(__xludf.DUMMYFUNCTION("""COMPUTED_VALUE"""),"allen institute")</f>
        <v>allen institute</v>
      </c>
      <c r="AC849" s="42" t="str">
        <f>IFERROR(__xludf.DUMMYFUNCTION("""COMPUTED_VALUE"""),"DHBA")</f>
        <v>DHBA</v>
      </c>
      <c r="AD849" s="42"/>
      <c r="AE849" s="42"/>
      <c r="AF849" s="9"/>
      <c r="AG849" s="9"/>
      <c r="AH849" s="42"/>
      <c r="AI849" s="42"/>
      <c r="AJ849" s="42"/>
      <c r="AK849" s="42"/>
      <c r="AL849" s="42"/>
      <c r="AM849" s="42"/>
      <c r="AN849" s="42"/>
      <c r="AO849" s="63" t="str">
        <f>IFERROR(__xludf.DUMMYFUNCTION("IF(ISBLANK(A849),,IF(ISBLANK(S849), A849&amp;"";"", TEXTJOIN(CHAR(10), TRUE, A849&amp;"";"", ARRAYFORMULA(VLOOKUP(SPLIT(S849, "";"" &amp; CHAR(10)), $A:$AO, 41, FALSE)))))"),"A45op3;")</f>
        <v>A45op3;</v>
      </c>
      <c r="AP849" s="89"/>
    </row>
    <row r="850">
      <c r="A850" s="151" t="str">
        <f>IFERROR(__xludf.DUMMYFUNCTION("""COMPUTED_VALUE"""),"A45op4")</f>
        <v>A45op4</v>
      </c>
      <c r="B850" s="42" t="str">
        <f>IFERROR(__xludf.DUMMYFUNCTION("""COMPUTED_VALUE"""),"DHBA")</f>
        <v>DHBA</v>
      </c>
      <c r="C850" s="42" t="str">
        <f>IFERROR(__xludf.DUMMYFUNCTION("""COMPUTED_VALUE"""),"layer IV of area 45op")</f>
        <v>layer IV of area 45op</v>
      </c>
      <c r="D850" s="42">
        <f>IFERROR(__xludf.DUMMYFUNCTION("""COMPUTED_VALUE"""),794.0)</f>
        <v>794</v>
      </c>
      <c r="E850" s="39" t="str">
        <f>IFERROR(__xludf.DUMMYFUNCTION("""COMPUTED_VALUE"""),"layer IV of area 45op")</f>
        <v>layer IV of area 45op</v>
      </c>
      <c r="F850" s="9" t="str">
        <f>IFERROR(__xludf.DUMMYFUNCTION("""COMPUTED_VALUE"""),"Br")</f>
        <v>Br</v>
      </c>
      <c r="G850" s="9" t="str">
        <f>IFERROR(__xludf.DUMMYFUNCTION("""COMPUTED_VALUE"""),"F")</f>
        <v>F</v>
      </c>
      <c r="H850" s="9" t="str">
        <f>IFERROR(__xludf.DUMMYFUNCTION("""COMPUTED_VALUE"""),"FGM")</f>
        <v>FGM</v>
      </c>
      <c r="I850" s="9" t="str">
        <f>IFERROR(__xludf.DUMMYFUNCTION("""COMPUTED_VALUE"""),"Tel")</f>
        <v>Tel</v>
      </c>
      <c r="J850" s="9" t="str">
        <f>IFERROR(__xludf.DUMMYFUNCTION("""COMPUTED_VALUE"""),"Cx")</f>
        <v>Cx</v>
      </c>
      <c r="K850" s="9" t="str">
        <f>IFERROR(__xludf.DUMMYFUNCTION("""COMPUTED_VALUE"""),"NCx")</f>
        <v>NCx</v>
      </c>
      <c r="L850" s="9" t="str">
        <f>IFERROR(__xludf.DUMMYFUNCTION("""COMPUTED_VALUE"""),"FCx")</f>
        <v>FCx</v>
      </c>
      <c r="M850" s="9" t="str">
        <f>IFERROR(__xludf.DUMMYFUNCTION("""COMPUTED_VALUE"""),"PFC")</f>
        <v>PFC</v>
      </c>
      <c r="N850" s="9" t="str">
        <f>IFERROR(__xludf.DUMMYFUNCTION("""COMPUTED_VALUE"""),"VFC")</f>
        <v>VFC</v>
      </c>
      <c r="O850" s="9" t="str">
        <f>IFERROR(__xludf.DUMMYFUNCTION("""COMPUTED_VALUE"""),"A45")</f>
        <v>A45</v>
      </c>
      <c r="P850" s="9" t="str">
        <f>IFERROR(__xludf.DUMMYFUNCTION("""COMPUTED_VALUE"""),"A45op")</f>
        <v>A45op</v>
      </c>
      <c r="Q850" s="9" t="str">
        <f>IFERROR(__xludf.DUMMYFUNCTION("""COMPUTED_VALUE"""),"A45op4")</f>
        <v>A45op4</v>
      </c>
      <c r="R850" s="9"/>
      <c r="S850" s="42"/>
      <c r="T850" s="42"/>
      <c r="U850" s="42"/>
      <c r="V850" s="42"/>
      <c r="W850" s="42"/>
      <c r="X850" s="42"/>
      <c r="Y850" s="42"/>
      <c r="Z850" s="42"/>
      <c r="AA850" s="42"/>
      <c r="AB850" s="42" t="str">
        <f>IFERROR(__xludf.DUMMYFUNCTION("""COMPUTED_VALUE"""),"allen institute")</f>
        <v>allen institute</v>
      </c>
      <c r="AC850" s="42" t="str">
        <f>IFERROR(__xludf.DUMMYFUNCTION("""COMPUTED_VALUE"""),"DHBA")</f>
        <v>DHBA</v>
      </c>
      <c r="AD850" s="42"/>
      <c r="AE850" s="42"/>
      <c r="AF850" s="9"/>
      <c r="AG850" s="9"/>
      <c r="AH850" s="42"/>
      <c r="AI850" s="42"/>
      <c r="AJ850" s="42"/>
      <c r="AK850" s="42"/>
      <c r="AL850" s="42"/>
      <c r="AM850" s="42"/>
      <c r="AN850" s="42"/>
      <c r="AO850" s="63" t="str">
        <f>IFERROR(__xludf.DUMMYFUNCTION("IF(ISBLANK(A850),,IF(ISBLANK(S850), A850&amp;"";"", TEXTJOIN(CHAR(10), TRUE, A850&amp;"";"", ARRAYFORMULA(VLOOKUP(SPLIT(S850, "";"" &amp; CHAR(10)), $A:$AO, 41, FALSE)))))"),"A45op4;")</f>
        <v>A45op4;</v>
      </c>
      <c r="AP850" s="89"/>
    </row>
    <row r="851">
      <c r="A851" s="151" t="str">
        <f>IFERROR(__xludf.DUMMYFUNCTION("""COMPUTED_VALUE"""),"A45op5")</f>
        <v>A45op5</v>
      </c>
      <c r="B851" s="42" t="str">
        <f>IFERROR(__xludf.DUMMYFUNCTION("""COMPUTED_VALUE"""),"DHBA")</f>
        <v>DHBA</v>
      </c>
      <c r="C851" s="42" t="str">
        <f>IFERROR(__xludf.DUMMYFUNCTION("""COMPUTED_VALUE"""),"layer V of area 45op")</f>
        <v>layer V of area 45op</v>
      </c>
      <c r="D851" s="42">
        <f>IFERROR(__xludf.DUMMYFUNCTION("""COMPUTED_VALUE"""),795.0)</f>
        <v>795</v>
      </c>
      <c r="E851" s="39" t="str">
        <f>IFERROR(__xludf.DUMMYFUNCTION("""COMPUTED_VALUE"""),"layer V of area 45op")</f>
        <v>layer V of area 45op</v>
      </c>
      <c r="F851" s="9" t="str">
        <f>IFERROR(__xludf.DUMMYFUNCTION("""COMPUTED_VALUE"""),"Br")</f>
        <v>Br</v>
      </c>
      <c r="G851" s="9" t="str">
        <f>IFERROR(__xludf.DUMMYFUNCTION("""COMPUTED_VALUE"""),"F")</f>
        <v>F</v>
      </c>
      <c r="H851" s="9" t="str">
        <f>IFERROR(__xludf.DUMMYFUNCTION("""COMPUTED_VALUE"""),"FGM")</f>
        <v>FGM</v>
      </c>
      <c r="I851" s="9" t="str">
        <f>IFERROR(__xludf.DUMMYFUNCTION("""COMPUTED_VALUE"""),"Tel")</f>
        <v>Tel</v>
      </c>
      <c r="J851" s="9" t="str">
        <f>IFERROR(__xludf.DUMMYFUNCTION("""COMPUTED_VALUE"""),"Cx")</f>
        <v>Cx</v>
      </c>
      <c r="K851" s="9" t="str">
        <f>IFERROR(__xludf.DUMMYFUNCTION("""COMPUTED_VALUE"""),"NCx")</f>
        <v>NCx</v>
      </c>
      <c r="L851" s="9" t="str">
        <f>IFERROR(__xludf.DUMMYFUNCTION("""COMPUTED_VALUE"""),"FCx")</f>
        <v>FCx</v>
      </c>
      <c r="M851" s="9" t="str">
        <f>IFERROR(__xludf.DUMMYFUNCTION("""COMPUTED_VALUE"""),"PFC")</f>
        <v>PFC</v>
      </c>
      <c r="N851" s="9" t="str">
        <f>IFERROR(__xludf.DUMMYFUNCTION("""COMPUTED_VALUE"""),"VFC")</f>
        <v>VFC</v>
      </c>
      <c r="O851" s="9" t="str">
        <f>IFERROR(__xludf.DUMMYFUNCTION("""COMPUTED_VALUE"""),"A45")</f>
        <v>A45</v>
      </c>
      <c r="P851" s="9" t="str">
        <f>IFERROR(__xludf.DUMMYFUNCTION("""COMPUTED_VALUE"""),"A45op")</f>
        <v>A45op</v>
      </c>
      <c r="Q851" s="9" t="str">
        <f>IFERROR(__xludf.DUMMYFUNCTION("""COMPUTED_VALUE"""),"A45op5")</f>
        <v>A45op5</v>
      </c>
      <c r="R851" s="9"/>
      <c r="S851" s="42"/>
      <c r="T851" s="42"/>
      <c r="U851" s="42"/>
      <c r="V851" s="42"/>
      <c r="W851" s="42"/>
      <c r="X851" s="42"/>
      <c r="Y851" s="42"/>
      <c r="Z851" s="42"/>
      <c r="AA851" s="42"/>
      <c r="AB851" s="42" t="str">
        <f>IFERROR(__xludf.DUMMYFUNCTION("""COMPUTED_VALUE"""),"allen institute")</f>
        <v>allen institute</v>
      </c>
      <c r="AC851" s="42" t="str">
        <f>IFERROR(__xludf.DUMMYFUNCTION("""COMPUTED_VALUE"""),"DHBA")</f>
        <v>DHBA</v>
      </c>
      <c r="AD851" s="42"/>
      <c r="AE851" s="42"/>
      <c r="AF851" s="9"/>
      <c r="AG851" s="9"/>
      <c r="AH851" s="42"/>
      <c r="AI851" s="42"/>
      <c r="AJ851" s="42"/>
      <c r="AK851" s="42"/>
      <c r="AL851" s="42"/>
      <c r="AM851" s="42"/>
      <c r="AN851" s="42"/>
      <c r="AO851" s="63" t="str">
        <f>IFERROR(__xludf.DUMMYFUNCTION("IF(ISBLANK(A851),,IF(ISBLANK(S851), A851&amp;"";"", TEXTJOIN(CHAR(10), TRUE, A851&amp;"";"", ARRAYFORMULA(VLOOKUP(SPLIT(S851, "";"" &amp; CHAR(10)), $A:$AO, 41, FALSE)))))"),"A45op5;")</f>
        <v>A45op5;</v>
      </c>
      <c r="AP851" s="89"/>
    </row>
    <row r="852">
      <c r="A852" s="151" t="str">
        <f>IFERROR(__xludf.DUMMYFUNCTION("""COMPUTED_VALUE"""),"A45op6")</f>
        <v>A45op6</v>
      </c>
      <c r="B852" s="42" t="str">
        <f>IFERROR(__xludf.DUMMYFUNCTION("""COMPUTED_VALUE"""),"DHBA")</f>
        <v>DHBA</v>
      </c>
      <c r="C852" s="42" t="str">
        <f>IFERROR(__xludf.DUMMYFUNCTION("""COMPUTED_VALUE"""),"layer VI of area 45op")</f>
        <v>layer VI of area 45op</v>
      </c>
      <c r="D852" s="42">
        <f>IFERROR(__xludf.DUMMYFUNCTION("""COMPUTED_VALUE"""),796.0)</f>
        <v>796</v>
      </c>
      <c r="E852" s="39" t="str">
        <f>IFERROR(__xludf.DUMMYFUNCTION("""COMPUTED_VALUE"""),"layer VI of area 45op")</f>
        <v>layer VI of area 45op</v>
      </c>
      <c r="F852" s="9" t="str">
        <f>IFERROR(__xludf.DUMMYFUNCTION("""COMPUTED_VALUE"""),"Br")</f>
        <v>Br</v>
      </c>
      <c r="G852" s="9" t="str">
        <f>IFERROR(__xludf.DUMMYFUNCTION("""COMPUTED_VALUE"""),"F")</f>
        <v>F</v>
      </c>
      <c r="H852" s="9" t="str">
        <f>IFERROR(__xludf.DUMMYFUNCTION("""COMPUTED_VALUE"""),"FGM")</f>
        <v>FGM</v>
      </c>
      <c r="I852" s="9" t="str">
        <f>IFERROR(__xludf.DUMMYFUNCTION("""COMPUTED_VALUE"""),"Tel")</f>
        <v>Tel</v>
      </c>
      <c r="J852" s="9" t="str">
        <f>IFERROR(__xludf.DUMMYFUNCTION("""COMPUTED_VALUE"""),"Cx")</f>
        <v>Cx</v>
      </c>
      <c r="K852" s="9" t="str">
        <f>IFERROR(__xludf.DUMMYFUNCTION("""COMPUTED_VALUE"""),"NCx")</f>
        <v>NCx</v>
      </c>
      <c r="L852" s="9" t="str">
        <f>IFERROR(__xludf.DUMMYFUNCTION("""COMPUTED_VALUE"""),"FCx")</f>
        <v>FCx</v>
      </c>
      <c r="M852" s="9" t="str">
        <f>IFERROR(__xludf.DUMMYFUNCTION("""COMPUTED_VALUE"""),"PFC")</f>
        <v>PFC</v>
      </c>
      <c r="N852" s="9" t="str">
        <f>IFERROR(__xludf.DUMMYFUNCTION("""COMPUTED_VALUE"""),"VFC")</f>
        <v>VFC</v>
      </c>
      <c r="O852" s="9" t="str">
        <f>IFERROR(__xludf.DUMMYFUNCTION("""COMPUTED_VALUE"""),"A45")</f>
        <v>A45</v>
      </c>
      <c r="P852" s="9" t="str">
        <f>IFERROR(__xludf.DUMMYFUNCTION("""COMPUTED_VALUE"""),"A45op")</f>
        <v>A45op</v>
      </c>
      <c r="Q852" s="9" t="str">
        <f>IFERROR(__xludf.DUMMYFUNCTION("""COMPUTED_VALUE"""),"A45op6")</f>
        <v>A45op6</v>
      </c>
      <c r="R852" s="9"/>
      <c r="S852" s="42"/>
      <c r="T852" s="42"/>
      <c r="U852" s="159"/>
      <c r="V852" s="42"/>
      <c r="W852" s="42"/>
      <c r="X852" s="42"/>
      <c r="Y852" s="42"/>
      <c r="Z852" s="42"/>
      <c r="AA852" s="42"/>
      <c r="AB852" s="42" t="str">
        <f>IFERROR(__xludf.DUMMYFUNCTION("""COMPUTED_VALUE"""),"allen institute")</f>
        <v>allen institute</v>
      </c>
      <c r="AC852" s="42" t="str">
        <f>IFERROR(__xludf.DUMMYFUNCTION("""COMPUTED_VALUE"""),"DHBA")</f>
        <v>DHBA</v>
      </c>
      <c r="AD852" s="42"/>
      <c r="AE852" s="42"/>
      <c r="AF852" s="9"/>
      <c r="AG852" s="9"/>
      <c r="AH852" s="42"/>
      <c r="AI852" s="42"/>
      <c r="AJ852" s="42"/>
      <c r="AK852" s="42"/>
      <c r="AL852" s="42"/>
      <c r="AM852" s="42"/>
      <c r="AN852" s="42"/>
      <c r="AO852" s="63" t="str">
        <f>IFERROR(__xludf.DUMMYFUNCTION("IF(ISBLANK(A852),,IF(ISBLANK(S852), A852&amp;"";"", TEXTJOIN(CHAR(10), TRUE, A852&amp;"";"", ARRAYFORMULA(VLOOKUP(SPLIT(S852, "";"" &amp; CHAR(10)), $A:$AO, 41, FALSE)))))"),"A45op6;")</f>
        <v>A45op6;</v>
      </c>
      <c r="AP852" s="89"/>
    </row>
    <row r="853">
      <c r="A853" s="151" t="str">
        <f>IFERROR(__xludf.DUMMYFUNCTION("""COMPUTED_VALUE"""),"OFC")</f>
        <v>OFC</v>
      </c>
      <c r="B853" s="42" t="str">
        <f>IFERROR(__xludf.DUMMYFUNCTION("""COMPUTED_VALUE"""),"DHBA")</f>
        <v>DHBA</v>
      </c>
      <c r="C853" s="42" t="str">
        <f>IFERROR(__xludf.DUMMYFUNCTION("""COMPUTED_VALUE"""),"orbitofrontal cotex")</f>
        <v>orbitofrontal cotex</v>
      </c>
      <c r="D853" s="42">
        <f>IFERROR(__xludf.DUMMYFUNCTION("""COMPUTED_VALUE"""),797.0)</f>
        <v>797</v>
      </c>
      <c r="E853" s="39" t="str">
        <f>IFERROR(__xludf.DUMMYFUNCTION("""COMPUTED_VALUE"""),"orbital frontal cortex")</f>
        <v>orbital frontal cortex</v>
      </c>
      <c r="F853" s="9" t="str">
        <f>IFERROR(__xludf.DUMMYFUNCTION("""COMPUTED_VALUE"""),"Br")</f>
        <v>Br</v>
      </c>
      <c r="G853" s="9" t="str">
        <f>IFERROR(__xludf.DUMMYFUNCTION("""COMPUTED_VALUE"""),"F")</f>
        <v>F</v>
      </c>
      <c r="H853" s="9" t="str">
        <f>IFERROR(__xludf.DUMMYFUNCTION("""COMPUTED_VALUE"""),"FGM")</f>
        <v>FGM</v>
      </c>
      <c r="I853" s="9" t="str">
        <f>IFERROR(__xludf.DUMMYFUNCTION("""COMPUTED_VALUE"""),"Tel")</f>
        <v>Tel</v>
      </c>
      <c r="J853" s="9" t="str">
        <f>IFERROR(__xludf.DUMMYFUNCTION("""COMPUTED_VALUE"""),"Cx")</f>
        <v>Cx</v>
      </c>
      <c r="K853" s="9" t="str">
        <f>IFERROR(__xludf.DUMMYFUNCTION("""COMPUTED_VALUE"""),"NCx")</f>
        <v>NCx</v>
      </c>
      <c r="L853" s="9" t="str">
        <f>IFERROR(__xludf.DUMMYFUNCTION("""COMPUTED_VALUE"""),"FCx")</f>
        <v>FCx</v>
      </c>
      <c r="M853" s="9" t="str">
        <f>IFERROR(__xludf.DUMMYFUNCTION("""COMPUTED_VALUE"""),"OFC")</f>
        <v>OFC</v>
      </c>
      <c r="N853" s="9"/>
      <c r="O853" s="9"/>
      <c r="P853" s="9"/>
      <c r="Q853" s="9"/>
      <c r="R853" s="9"/>
      <c r="S853" s="42" t="str">
        <f>IFERROR(__xludf.DUMMYFUNCTION("""COMPUTED_VALUE"""),"OFCm;
OFCi;
OFCl")</f>
        <v>OFCm;
OFCi;
OFCl</v>
      </c>
      <c r="T853" s="42" t="str">
        <f>IFERROR(__xludf.DUMMYFUNCTION("""COMPUTED_VALUE"""),"NCx")</f>
        <v>NCx</v>
      </c>
      <c r="U853" s="42" t="b">
        <f>IFERROR(__xludf.DUMMYFUNCTION("""COMPUTED_VALUE"""),FALSE)</f>
        <v>0</v>
      </c>
      <c r="V853" s="42"/>
      <c r="W853" s="42"/>
      <c r="X853" s="42"/>
      <c r="Y853" s="42"/>
      <c r="Z853" s="42"/>
      <c r="AA853" s="42"/>
      <c r="AB853" s="42" t="str">
        <f>IFERROR(__xludf.DUMMYFUNCTION("""COMPUTED_VALUE"""),"allen institute")</f>
        <v>allen institute</v>
      </c>
      <c r="AC853" s="42" t="str">
        <f>IFERROR(__xludf.DUMMYFUNCTION("""COMPUTED_VALUE"""),"DHBA")</f>
        <v>DHBA</v>
      </c>
      <c r="AD853" s="42"/>
      <c r="AE853" s="42"/>
      <c r="AF853" s="9"/>
      <c r="AG853" s="9"/>
      <c r="AH853" s="42"/>
      <c r="AI853" s="42"/>
      <c r="AJ853" s="42"/>
      <c r="AK853" s="42"/>
      <c r="AL853" s="42"/>
      <c r="AM853" s="42"/>
      <c r="AN853" s="42"/>
      <c r="AO853" s="63" t="str">
        <f>IFERROR(__xludf.DUMMYFUNCTION("IF(ISBLANK(A853),,IF(ISBLANK(S853), A853&amp;"";"", TEXTJOIN(CHAR(10), TRUE, A853&amp;"";"", ARRAYFORMULA(VLOOKUP(SPLIT(S853, "";"" &amp; CHAR(10)), $A:$AO, 41, FALSE)))))"),"#N/A")</f>
        <v>#N/A</v>
      </c>
      <c r="AP853" s="89"/>
    </row>
    <row r="854">
      <c r="A854" s="151" t="str">
        <f>IFERROR(__xludf.DUMMYFUNCTION("""COMPUTED_VALUE"""),"OFCm")</f>
        <v>OFCm</v>
      </c>
      <c r="B854" s="42" t="str">
        <f>IFERROR(__xludf.DUMMYFUNCTION("""COMPUTED_VALUE"""),"DHBA")</f>
        <v>DHBA</v>
      </c>
      <c r="C854" s="42" t="str">
        <f>IFERROR(__xludf.DUMMYFUNCTION("""COMPUTED_VALUE"""),"medial orbital frontal cortex (area 14)")</f>
        <v>medial orbital frontal cortex (area 14)</v>
      </c>
      <c r="D854" s="42">
        <f>IFERROR(__xludf.DUMMYFUNCTION("""COMPUTED_VALUE"""),798.0)</f>
        <v>798</v>
      </c>
      <c r="E854" s="39" t="str">
        <f>IFERROR(__xludf.DUMMYFUNCTION("""COMPUTED_VALUE"""),"medial orbital frontal cortex (area 14)")</f>
        <v>medial orbital frontal cortex (area 14)</v>
      </c>
      <c r="F854" s="9" t="str">
        <f>IFERROR(__xludf.DUMMYFUNCTION("""COMPUTED_VALUE"""),"Br")</f>
        <v>Br</v>
      </c>
      <c r="G854" s="9" t="str">
        <f>IFERROR(__xludf.DUMMYFUNCTION("""COMPUTED_VALUE"""),"F")</f>
        <v>F</v>
      </c>
      <c r="H854" s="9" t="str">
        <f>IFERROR(__xludf.DUMMYFUNCTION("""COMPUTED_VALUE"""),"FGM")</f>
        <v>FGM</v>
      </c>
      <c r="I854" s="9" t="str">
        <f>IFERROR(__xludf.DUMMYFUNCTION("""COMPUTED_VALUE"""),"Tel")</f>
        <v>Tel</v>
      </c>
      <c r="J854" s="9" t="str">
        <f>IFERROR(__xludf.DUMMYFUNCTION("""COMPUTED_VALUE"""),"Cx")</f>
        <v>Cx</v>
      </c>
      <c r="K854" s="9" t="str">
        <f>IFERROR(__xludf.DUMMYFUNCTION("""COMPUTED_VALUE"""),"NCx")</f>
        <v>NCx</v>
      </c>
      <c r="L854" s="9" t="str">
        <f>IFERROR(__xludf.DUMMYFUNCTION("""COMPUTED_VALUE"""),"FCx")</f>
        <v>FCx</v>
      </c>
      <c r="M854" s="9" t="str">
        <f>IFERROR(__xludf.DUMMYFUNCTION("""COMPUTED_VALUE"""),"OFC")</f>
        <v>OFC</v>
      </c>
      <c r="N854" s="9" t="str">
        <f>IFERROR(__xludf.DUMMYFUNCTION("""COMPUTED_VALUE"""),"OFCm")</f>
        <v>OFCm</v>
      </c>
      <c r="O854" s="9"/>
      <c r="P854" s="9"/>
      <c r="Q854" s="9"/>
      <c r="R854" s="9"/>
      <c r="S854" s="42" t="str">
        <f>IFERROR(__xludf.DUMMYFUNCTION("""COMPUTED_VALUE"""),"A14r;
A14c")</f>
        <v>A14r;
A14c</v>
      </c>
      <c r="T854" s="42"/>
      <c r="U854" s="42" t="b">
        <f>IFERROR(__xludf.DUMMYFUNCTION("""COMPUTED_VALUE"""),FALSE)</f>
        <v>0</v>
      </c>
      <c r="V854" s="42"/>
      <c r="W854" s="42"/>
      <c r="X854" s="42"/>
      <c r="Y854" s="42"/>
      <c r="Z854" s="42"/>
      <c r="AA854" s="42"/>
      <c r="AB854" s="42" t="str">
        <f>IFERROR(__xludf.DUMMYFUNCTION("""COMPUTED_VALUE"""),"allen institute")</f>
        <v>allen institute</v>
      </c>
      <c r="AC854" s="42" t="str">
        <f>IFERROR(__xludf.DUMMYFUNCTION("""COMPUTED_VALUE"""),"DHBA")</f>
        <v>DHBA</v>
      </c>
      <c r="AD854" s="42"/>
      <c r="AE854" s="42"/>
      <c r="AF854" s="9"/>
      <c r="AG854" s="9"/>
      <c r="AH854" s="42"/>
      <c r="AI854" s="42"/>
      <c r="AJ854" s="42"/>
      <c r="AK854" s="42"/>
      <c r="AL854" s="42"/>
      <c r="AM854" s="42"/>
      <c r="AN854" s="42"/>
      <c r="AO854" s="63" t="str">
        <f>IFERROR(__xludf.DUMMYFUNCTION("IF(ISBLANK(A854),,IF(ISBLANK(S854), A854&amp;"";"", TEXTJOIN(CHAR(10), TRUE, A854&amp;"";"", ARRAYFORMULA(VLOOKUP(SPLIT(S854, "";"" &amp; CHAR(10)), $A:$AO, 41, FALSE)))))"),"OFCm;
A14r;
A14r1;
A14r2;
A14r3;
A14r4;
A14r5;
A14r6;
A14c;
A14c1;
A14c2;
A14c3;
A14c4;
A14c5;
A14c6;")</f>
        <v>OFCm;
A14r;
A14r1;
A14r2;
A14r3;
A14r4;
A14r5;
A14r6;
A14c;
A14c1;
A14c2;
A14c3;
A14c4;
A14c5;
A14c6;</v>
      </c>
      <c r="AP854" s="89"/>
    </row>
    <row r="855">
      <c r="A855" s="151" t="str">
        <f>IFERROR(__xludf.DUMMYFUNCTION("""COMPUTED_VALUE"""),"A14r")</f>
        <v>A14r</v>
      </c>
      <c r="B855" s="42" t="str">
        <f>IFERROR(__xludf.DUMMYFUNCTION("""COMPUTED_VALUE"""),"DHBA")</f>
        <v>DHBA</v>
      </c>
      <c r="C855" s="42" t="str">
        <f>IFERROR(__xludf.DUMMYFUNCTION("""COMPUTED_VALUE"""),"rostral subdivision of area 14")</f>
        <v>rostral subdivision of area 14</v>
      </c>
      <c r="D855" s="42">
        <f>IFERROR(__xludf.DUMMYFUNCTION("""COMPUTED_VALUE"""),799.0)</f>
        <v>799</v>
      </c>
      <c r="E855" s="39" t="str">
        <f>IFERROR(__xludf.DUMMYFUNCTION("""COMPUTED_VALUE"""),"rostral subdivision of area 14")</f>
        <v>rostral subdivision of area 14</v>
      </c>
      <c r="F855" s="9" t="str">
        <f>IFERROR(__xludf.DUMMYFUNCTION("""COMPUTED_VALUE"""),"Br")</f>
        <v>Br</v>
      </c>
      <c r="G855" s="9" t="str">
        <f>IFERROR(__xludf.DUMMYFUNCTION("""COMPUTED_VALUE"""),"F")</f>
        <v>F</v>
      </c>
      <c r="H855" s="9" t="str">
        <f>IFERROR(__xludf.DUMMYFUNCTION("""COMPUTED_VALUE"""),"FGM")</f>
        <v>FGM</v>
      </c>
      <c r="I855" s="9" t="str">
        <f>IFERROR(__xludf.DUMMYFUNCTION("""COMPUTED_VALUE"""),"Tel")</f>
        <v>Tel</v>
      </c>
      <c r="J855" s="9" t="str">
        <f>IFERROR(__xludf.DUMMYFUNCTION("""COMPUTED_VALUE"""),"Cx")</f>
        <v>Cx</v>
      </c>
      <c r="K855" s="9" t="str">
        <f>IFERROR(__xludf.DUMMYFUNCTION("""COMPUTED_VALUE"""),"NCx")</f>
        <v>NCx</v>
      </c>
      <c r="L855" s="9" t="str">
        <f>IFERROR(__xludf.DUMMYFUNCTION("""COMPUTED_VALUE"""),"FCx")</f>
        <v>FCx</v>
      </c>
      <c r="M855" s="9" t="str">
        <f>IFERROR(__xludf.DUMMYFUNCTION("""COMPUTED_VALUE"""),"OFC")</f>
        <v>OFC</v>
      </c>
      <c r="N855" s="9" t="str">
        <f>IFERROR(__xludf.DUMMYFUNCTION("""COMPUTED_VALUE"""),"OFCm")</f>
        <v>OFCm</v>
      </c>
      <c r="O855" s="9" t="str">
        <f>IFERROR(__xludf.DUMMYFUNCTION("""COMPUTED_VALUE"""),"A14r")</f>
        <v>A14r</v>
      </c>
      <c r="P855" s="9"/>
      <c r="Q855" s="9"/>
      <c r="R855" s="9"/>
      <c r="S855" s="42" t="str">
        <f>IFERROR(__xludf.DUMMYFUNCTION("""COMPUTED_VALUE"""),"A14r1;
A14r2;
A14r3;
A14r4;
A14r5;
A14r6")</f>
        <v>A14r1;
A14r2;
A14r3;
A14r4;
A14r5;
A14r6</v>
      </c>
      <c r="T855" s="42"/>
      <c r="U855" s="42" t="b">
        <f>IFERROR(__xludf.DUMMYFUNCTION("""COMPUTED_VALUE"""),FALSE)</f>
        <v>0</v>
      </c>
      <c r="V855" s="42"/>
      <c r="W855" s="42"/>
      <c r="X855" s="42"/>
      <c r="Y855" s="42"/>
      <c r="Z855" s="42"/>
      <c r="AA855" s="42"/>
      <c r="AB855" s="42" t="str">
        <f>IFERROR(__xludf.DUMMYFUNCTION("""COMPUTED_VALUE"""),"allen institute")</f>
        <v>allen institute</v>
      </c>
      <c r="AC855" s="42" t="str">
        <f>IFERROR(__xludf.DUMMYFUNCTION("""COMPUTED_VALUE"""),"DHBA")</f>
        <v>DHBA</v>
      </c>
      <c r="AD855" s="42"/>
      <c r="AE855" s="42"/>
      <c r="AF855" s="9"/>
      <c r="AG855" s="9"/>
      <c r="AH855" s="42"/>
      <c r="AI855" s="42"/>
      <c r="AJ855" s="42"/>
      <c r="AK855" s="42"/>
      <c r="AL855" s="42"/>
      <c r="AM855" s="42"/>
      <c r="AN855" s="42"/>
      <c r="AO855" s="63" t="str">
        <f>IFERROR(__xludf.DUMMYFUNCTION("IF(ISBLANK(A855),,IF(ISBLANK(S855), A855&amp;"";"", TEXTJOIN(CHAR(10), TRUE, A855&amp;"";"", ARRAYFORMULA(VLOOKUP(SPLIT(S855, "";"" &amp; CHAR(10)), $A:$AO, 41, FALSE)))))"),"A14r;
A14r1;
A14r2;
A14r3;
A14r4;
A14r5;
A14r6;")</f>
        <v>A14r;
A14r1;
A14r2;
A14r3;
A14r4;
A14r5;
A14r6;</v>
      </c>
      <c r="AP855" s="89"/>
    </row>
    <row r="856">
      <c r="A856" s="151" t="str">
        <f>IFERROR(__xludf.DUMMYFUNCTION("""COMPUTED_VALUE"""),"A14r1")</f>
        <v>A14r1</v>
      </c>
      <c r="B856" s="42" t="str">
        <f>IFERROR(__xludf.DUMMYFUNCTION("""COMPUTED_VALUE"""),"DHBA")</f>
        <v>DHBA</v>
      </c>
      <c r="C856" s="42" t="str">
        <f>IFERROR(__xludf.DUMMYFUNCTION("""COMPUTED_VALUE"""),"layer I of area 14r")</f>
        <v>layer I of area 14r</v>
      </c>
      <c r="D856" s="42">
        <f>IFERROR(__xludf.DUMMYFUNCTION("""COMPUTED_VALUE"""),800.0)</f>
        <v>800</v>
      </c>
      <c r="E856" s="39" t="str">
        <f>IFERROR(__xludf.DUMMYFUNCTION("""COMPUTED_VALUE"""),"layer I of area 14r")</f>
        <v>layer I of area 14r</v>
      </c>
      <c r="F856" s="9" t="str">
        <f>IFERROR(__xludf.DUMMYFUNCTION("""COMPUTED_VALUE"""),"Br")</f>
        <v>Br</v>
      </c>
      <c r="G856" s="9" t="str">
        <f>IFERROR(__xludf.DUMMYFUNCTION("""COMPUTED_VALUE"""),"F")</f>
        <v>F</v>
      </c>
      <c r="H856" s="9" t="str">
        <f>IFERROR(__xludf.DUMMYFUNCTION("""COMPUTED_VALUE"""),"FGM")</f>
        <v>FGM</v>
      </c>
      <c r="I856" s="9" t="str">
        <f>IFERROR(__xludf.DUMMYFUNCTION("""COMPUTED_VALUE"""),"Tel")</f>
        <v>Tel</v>
      </c>
      <c r="J856" s="9" t="str">
        <f>IFERROR(__xludf.DUMMYFUNCTION("""COMPUTED_VALUE"""),"Cx")</f>
        <v>Cx</v>
      </c>
      <c r="K856" s="9" t="str">
        <f>IFERROR(__xludf.DUMMYFUNCTION("""COMPUTED_VALUE"""),"NCx")</f>
        <v>NCx</v>
      </c>
      <c r="L856" s="9" t="str">
        <f>IFERROR(__xludf.DUMMYFUNCTION("""COMPUTED_VALUE"""),"FCx")</f>
        <v>FCx</v>
      </c>
      <c r="M856" s="9" t="str">
        <f>IFERROR(__xludf.DUMMYFUNCTION("""COMPUTED_VALUE"""),"OFC")</f>
        <v>OFC</v>
      </c>
      <c r="N856" s="9" t="str">
        <f>IFERROR(__xludf.DUMMYFUNCTION("""COMPUTED_VALUE"""),"OFCm")</f>
        <v>OFCm</v>
      </c>
      <c r="O856" s="9" t="str">
        <f>IFERROR(__xludf.DUMMYFUNCTION("""COMPUTED_VALUE"""),"A14r")</f>
        <v>A14r</v>
      </c>
      <c r="P856" s="9" t="str">
        <f>IFERROR(__xludf.DUMMYFUNCTION("""COMPUTED_VALUE"""),"A14r1")</f>
        <v>A14r1</v>
      </c>
      <c r="Q856" s="9"/>
      <c r="R856" s="9"/>
      <c r="S856" s="42"/>
      <c r="T856" s="42"/>
      <c r="U856" s="42"/>
      <c r="V856" s="42"/>
      <c r="W856" s="42"/>
      <c r="X856" s="42"/>
      <c r="Y856" s="42"/>
      <c r="Z856" s="42"/>
      <c r="AA856" s="42"/>
      <c r="AB856" s="42" t="str">
        <f>IFERROR(__xludf.DUMMYFUNCTION("""COMPUTED_VALUE"""),"allen institute")</f>
        <v>allen institute</v>
      </c>
      <c r="AC856" s="42" t="str">
        <f>IFERROR(__xludf.DUMMYFUNCTION("""COMPUTED_VALUE"""),"DHBA")</f>
        <v>DHBA</v>
      </c>
      <c r="AD856" s="42"/>
      <c r="AE856" s="42"/>
      <c r="AF856" s="9"/>
      <c r="AG856" s="9"/>
      <c r="AH856" s="42"/>
      <c r="AI856" s="42"/>
      <c r="AJ856" s="42"/>
      <c r="AK856" s="42"/>
      <c r="AL856" s="42"/>
      <c r="AM856" s="42"/>
      <c r="AN856" s="42"/>
      <c r="AO856" s="63" t="str">
        <f>IFERROR(__xludf.DUMMYFUNCTION("IF(ISBLANK(A856),,IF(ISBLANK(S856), A856&amp;"";"", TEXTJOIN(CHAR(10), TRUE, A856&amp;"";"", ARRAYFORMULA(VLOOKUP(SPLIT(S856, "";"" &amp; CHAR(10)), $A:$AO, 41, FALSE)))))"),"A14r1;")</f>
        <v>A14r1;</v>
      </c>
      <c r="AP856" s="89"/>
    </row>
    <row r="857">
      <c r="A857" s="151" t="str">
        <f>IFERROR(__xludf.DUMMYFUNCTION("""COMPUTED_VALUE"""),"A14r2")</f>
        <v>A14r2</v>
      </c>
      <c r="B857" s="42" t="str">
        <f>IFERROR(__xludf.DUMMYFUNCTION("""COMPUTED_VALUE"""),"DHBA")</f>
        <v>DHBA</v>
      </c>
      <c r="C857" s="42" t="str">
        <f>IFERROR(__xludf.DUMMYFUNCTION("""COMPUTED_VALUE"""),"layer II of area 14r")</f>
        <v>layer II of area 14r</v>
      </c>
      <c r="D857" s="42">
        <f>IFERROR(__xludf.DUMMYFUNCTION("""COMPUTED_VALUE"""),801.0)</f>
        <v>801</v>
      </c>
      <c r="E857" s="39" t="str">
        <f>IFERROR(__xludf.DUMMYFUNCTION("""COMPUTED_VALUE"""),"layer II of area 14r")</f>
        <v>layer II of area 14r</v>
      </c>
      <c r="F857" s="9" t="str">
        <f>IFERROR(__xludf.DUMMYFUNCTION("""COMPUTED_VALUE"""),"Br")</f>
        <v>Br</v>
      </c>
      <c r="G857" s="9" t="str">
        <f>IFERROR(__xludf.DUMMYFUNCTION("""COMPUTED_VALUE"""),"F")</f>
        <v>F</v>
      </c>
      <c r="H857" s="9" t="str">
        <f>IFERROR(__xludf.DUMMYFUNCTION("""COMPUTED_VALUE"""),"FGM")</f>
        <v>FGM</v>
      </c>
      <c r="I857" s="9" t="str">
        <f>IFERROR(__xludf.DUMMYFUNCTION("""COMPUTED_VALUE"""),"Tel")</f>
        <v>Tel</v>
      </c>
      <c r="J857" s="9" t="str">
        <f>IFERROR(__xludf.DUMMYFUNCTION("""COMPUTED_VALUE"""),"Cx")</f>
        <v>Cx</v>
      </c>
      <c r="K857" s="9" t="str">
        <f>IFERROR(__xludf.DUMMYFUNCTION("""COMPUTED_VALUE"""),"NCx")</f>
        <v>NCx</v>
      </c>
      <c r="L857" s="9" t="str">
        <f>IFERROR(__xludf.DUMMYFUNCTION("""COMPUTED_VALUE"""),"FCx")</f>
        <v>FCx</v>
      </c>
      <c r="M857" s="9" t="str">
        <f>IFERROR(__xludf.DUMMYFUNCTION("""COMPUTED_VALUE"""),"OFC")</f>
        <v>OFC</v>
      </c>
      <c r="N857" s="9" t="str">
        <f>IFERROR(__xludf.DUMMYFUNCTION("""COMPUTED_VALUE"""),"OFCm")</f>
        <v>OFCm</v>
      </c>
      <c r="O857" s="9" t="str">
        <f>IFERROR(__xludf.DUMMYFUNCTION("""COMPUTED_VALUE"""),"A14r")</f>
        <v>A14r</v>
      </c>
      <c r="P857" s="9" t="str">
        <f>IFERROR(__xludf.DUMMYFUNCTION("""COMPUTED_VALUE"""),"A14r2")</f>
        <v>A14r2</v>
      </c>
      <c r="Q857" s="9"/>
      <c r="R857" s="9"/>
      <c r="S857" s="42"/>
      <c r="T857" s="42"/>
      <c r="U857" s="42"/>
      <c r="V857" s="42"/>
      <c r="W857" s="42"/>
      <c r="X857" s="42"/>
      <c r="Y857" s="42"/>
      <c r="Z857" s="42"/>
      <c r="AA857" s="42"/>
      <c r="AB857" s="42" t="str">
        <f>IFERROR(__xludf.DUMMYFUNCTION("""COMPUTED_VALUE"""),"allen institute")</f>
        <v>allen institute</v>
      </c>
      <c r="AC857" s="42" t="str">
        <f>IFERROR(__xludf.DUMMYFUNCTION("""COMPUTED_VALUE"""),"DHBA")</f>
        <v>DHBA</v>
      </c>
      <c r="AD857" s="42"/>
      <c r="AE857" s="42"/>
      <c r="AF857" s="9"/>
      <c r="AG857" s="9"/>
      <c r="AH857" s="42"/>
      <c r="AI857" s="42"/>
      <c r="AJ857" s="42"/>
      <c r="AK857" s="42"/>
      <c r="AL857" s="42"/>
      <c r="AM857" s="42"/>
      <c r="AN857" s="42"/>
      <c r="AO857" s="63" t="str">
        <f>IFERROR(__xludf.DUMMYFUNCTION("IF(ISBLANK(A857),,IF(ISBLANK(S857), A857&amp;"";"", TEXTJOIN(CHAR(10), TRUE, A857&amp;"";"", ARRAYFORMULA(VLOOKUP(SPLIT(S857, "";"" &amp; CHAR(10)), $A:$AO, 41, FALSE)))))"),"A14r2;")</f>
        <v>A14r2;</v>
      </c>
      <c r="AP857" s="89"/>
    </row>
    <row r="858">
      <c r="A858" s="151" t="str">
        <f>IFERROR(__xludf.DUMMYFUNCTION("""COMPUTED_VALUE"""),"A14r3")</f>
        <v>A14r3</v>
      </c>
      <c r="B858" s="42" t="str">
        <f>IFERROR(__xludf.DUMMYFUNCTION("""COMPUTED_VALUE"""),"DHBA")</f>
        <v>DHBA</v>
      </c>
      <c r="C858" s="42" t="str">
        <f>IFERROR(__xludf.DUMMYFUNCTION("""COMPUTED_VALUE"""),"layer III of area 14r")</f>
        <v>layer III of area 14r</v>
      </c>
      <c r="D858" s="42">
        <f>IFERROR(__xludf.DUMMYFUNCTION("""COMPUTED_VALUE"""),802.0)</f>
        <v>802</v>
      </c>
      <c r="E858" s="39" t="str">
        <f>IFERROR(__xludf.DUMMYFUNCTION("""COMPUTED_VALUE"""),"layer III of area 14r")</f>
        <v>layer III of area 14r</v>
      </c>
      <c r="F858" s="9" t="str">
        <f>IFERROR(__xludf.DUMMYFUNCTION("""COMPUTED_VALUE"""),"Br")</f>
        <v>Br</v>
      </c>
      <c r="G858" s="9" t="str">
        <f>IFERROR(__xludf.DUMMYFUNCTION("""COMPUTED_VALUE"""),"F")</f>
        <v>F</v>
      </c>
      <c r="H858" s="9" t="str">
        <f>IFERROR(__xludf.DUMMYFUNCTION("""COMPUTED_VALUE"""),"FGM")</f>
        <v>FGM</v>
      </c>
      <c r="I858" s="9" t="str">
        <f>IFERROR(__xludf.DUMMYFUNCTION("""COMPUTED_VALUE"""),"Tel")</f>
        <v>Tel</v>
      </c>
      <c r="J858" s="9" t="str">
        <f>IFERROR(__xludf.DUMMYFUNCTION("""COMPUTED_VALUE"""),"Cx")</f>
        <v>Cx</v>
      </c>
      <c r="K858" s="9" t="str">
        <f>IFERROR(__xludf.DUMMYFUNCTION("""COMPUTED_VALUE"""),"NCx")</f>
        <v>NCx</v>
      </c>
      <c r="L858" s="9" t="str">
        <f>IFERROR(__xludf.DUMMYFUNCTION("""COMPUTED_VALUE"""),"FCx")</f>
        <v>FCx</v>
      </c>
      <c r="M858" s="9" t="str">
        <f>IFERROR(__xludf.DUMMYFUNCTION("""COMPUTED_VALUE"""),"OFC")</f>
        <v>OFC</v>
      </c>
      <c r="N858" s="9" t="str">
        <f>IFERROR(__xludf.DUMMYFUNCTION("""COMPUTED_VALUE"""),"OFCm")</f>
        <v>OFCm</v>
      </c>
      <c r="O858" s="9" t="str">
        <f>IFERROR(__xludf.DUMMYFUNCTION("""COMPUTED_VALUE"""),"A14r")</f>
        <v>A14r</v>
      </c>
      <c r="P858" s="9" t="str">
        <f>IFERROR(__xludf.DUMMYFUNCTION("""COMPUTED_VALUE"""),"A14r3")</f>
        <v>A14r3</v>
      </c>
      <c r="Q858" s="9"/>
      <c r="R858" s="9"/>
      <c r="S858" s="42"/>
      <c r="T858" s="42"/>
      <c r="U858" s="42"/>
      <c r="V858" s="42"/>
      <c r="W858" s="42"/>
      <c r="X858" s="42"/>
      <c r="Y858" s="42"/>
      <c r="Z858" s="42"/>
      <c r="AA858" s="42"/>
      <c r="AB858" s="42" t="str">
        <f>IFERROR(__xludf.DUMMYFUNCTION("""COMPUTED_VALUE"""),"allen institute")</f>
        <v>allen institute</v>
      </c>
      <c r="AC858" s="42" t="str">
        <f>IFERROR(__xludf.DUMMYFUNCTION("""COMPUTED_VALUE"""),"DHBA")</f>
        <v>DHBA</v>
      </c>
      <c r="AD858" s="42"/>
      <c r="AE858" s="42"/>
      <c r="AF858" s="9"/>
      <c r="AG858" s="9"/>
      <c r="AH858" s="42"/>
      <c r="AI858" s="42"/>
      <c r="AJ858" s="42"/>
      <c r="AK858" s="42"/>
      <c r="AL858" s="42"/>
      <c r="AM858" s="42"/>
      <c r="AN858" s="42"/>
      <c r="AO858" s="63" t="str">
        <f>IFERROR(__xludf.DUMMYFUNCTION("IF(ISBLANK(A858),,IF(ISBLANK(S858), A858&amp;"";"", TEXTJOIN(CHAR(10), TRUE, A858&amp;"";"", ARRAYFORMULA(VLOOKUP(SPLIT(S858, "";"" &amp; CHAR(10)), $A:$AO, 41, FALSE)))))"),"A14r3;")</f>
        <v>A14r3;</v>
      </c>
      <c r="AP858" s="89"/>
    </row>
    <row r="859">
      <c r="A859" s="151" t="str">
        <f>IFERROR(__xludf.DUMMYFUNCTION("""COMPUTED_VALUE"""),"A14r4")</f>
        <v>A14r4</v>
      </c>
      <c r="B859" s="42" t="str">
        <f>IFERROR(__xludf.DUMMYFUNCTION("""COMPUTED_VALUE"""),"DHBA")</f>
        <v>DHBA</v>
      </c>
      <c r="C859" s="42" t="str">
        <f>IFERROR(__xludf.DUMMYFUNCTION("""COMPUTED_VALUE"""),"layer IV of area 14r")</f>
        <v>layer IV of area 14r</v>
      </c>
      <c r="D859" s="42">
        <f>IFERROR(__xludf.DUMMYFUNCTION("""COMPUTED_VALUE"""),803.0)</f>
        <v>803</v>
      </c>
      <c r="E859" s="39" t="str">
        <f>IFERROR(__xludf.DUMMYFUNCTION("""COMPUTED_VALUE"""),"layer IV of area 14r")</f>
        <v>layer IV of area 14r</v>
      </c>
      <c r="F859" s="9" t="str">
        <f>IFERROR(__xludf.DUMMYFUNCTION("""COMPUTED_VALUE"""),"Br")</f>
        <v>Br</v>
      </c>
      <c r="G859" s="9" t="str">
        <f>IFERROR(__xludf.DUMMYFUNCTION("""COMPUTED_VALUE"""),"F")</f>
        <v>F</v>
      </c>
      <c r="H859" s="9" t="str">
        <f>IFERROR(__xludf.DUMMYFUNCTION("""COMPUTED_VALUE"""),"FGM")</f>
        <v>FGM</v>
      </c>
      <c r="I859" s="9" t="str">
        <f>IFERROR(__xludf.DUMMYFUNCTION("""COMPUTED_VALUE"""),"Tel")</f>
        <v>Tel</v>
      </c>
      <c r="J859" s="9" t="str">
        <f>IFERROR(__xludf.DUMMYFUNCTION("""COMPUTED_VALUE"""),"Cx")</f>
        <v>Cx</v>
      </c>
      <c r="K859" s="9" t="str">
        <f>IFERROR(__xludf.DUMMYFUNCTION("""COMPUTED_VALUE"""),"NCx")</f>
        <v>NCx</v>
      </c>
      <c r="L859" s="9" t="str">
        <f>IFERROR(__xludf.DUMMYFUNCTION("""COMPUTED_VALUE"""),"FCx")</f>
        <v>FCx</v>
      </c>
      <c r="M859" s="9" t="str">
        <f>IFERROR(__xludf.DUMMYFUNCTION("""COMPUTED_VALUE"""),"OFC")</f>
        <v>OFC</v>
      </c>
      <c r="N859" s="9" t="str">
        <f>IFERROR(__xludf.DUMMYFUNCTION("""COMPUTED_VALUE"""),"OFCm")</f>
        <v>OFCm</v>
      </c>
      <c r="O859" s="9" t="str">
        <f>IFERROR(__xludf.DUMMYFUNCTION("""COMPUTED_VALUE"""),"A14r")</f>
        <v>A14r</v>
      </c>
      <c r="P859" s="9" t="str">
        <f>IFERROR(__xludf.DUMMYFUNCTION("""COMPUTED_VALUE"""),"A14r4")</f>
        <v>A14r4</v>
      </c>
      <c r="Q859" s="9"/>
      <c r="R859" s="9"/>
      <c r="S859" s="42"/>
      <c r="T859" s="42"/>
      <c r="U859" s="42"/>
      <c r="V859" s="42"/>
      <c r="W859" s="42"/>
      <c r="X859" s="42"/>
      <c r="Y859" s="42"/>
      <c r="Z859" s="42"/>
      <c r="AA859" s="42"/>
      <c r="AB859" s="42" t="str">
        <f>IFERROR(__xludf.DUMMYFUNCTION("""COMPUTED_VALUE"""),"allen institute")</f>
        <v>allen institute</v>
      </c>
      <c r="AC859" s="42" t="str">
        <f>IFERROR(__xludf.DUMMYFUNCTION("""COMPUTED_VALUE"""),"DHBA")</f>
        <v>DHBA</v>
      </c>
      <c r="AD859" s="42"/>
      <c r="AE859" s="42"/>
      <c r="AF859" s="9"/>
      <c r="AG859" s="9"/>
      <c r="AH859" s="42"/>
      <c r="AI859" s="42"/>
      <c r="AJ859" s="42"/>
      <c r="AK859" s="42"/>
      <c r="AL859" s="42"/>
      <c r="AM859" s="42"/>
      <c r="AN859" s="42"/>
      <c r="AO859" s="63" t="str">
        <f>IFERROR(__xludf.DUMMYFUNCTION("IF(ISBLANK(A859),,IF(ISBLANK(S859), A859&amp;"";"", TEXTJOIN(CHAR(10), TRUE, A859&amp;"";"", ARRAYFORMULA(VLOOKUP(SPLIT(S859, "";"" &amp; CHAR(10)), $A:$AO, 41, FALSE)))))"),"A14r4;")</f>
        <v>A14r4;</v>
      </c>
      <c r="AP859" s="89"/>
    </row>
    <row r="860">
      <c r="A860" s="151" t="str">
        <f>IFERROR(__xludf.DUMMYFUNCTION("""COMPUTED_VALUE"""),"A14r5")</f>
        <v>A14r5</v>
      </c>
      <c r="B860" s="42" t="str">
        <f>IFERROR(__xludf.DUMMYFUNCTION("""COMPUTED_VALUE"""),"DHBA")</f>
        <v>DHBA</v>
      </c>
      <c r="C860" s="42" t="str">
        <f>IFERROR(__xludf.DUMMYFUNCTION("""COMPUTED_VALUE"""),"layer V of area 14r")</f>
        <v>layer V of area 14r</v>
      </c>
      <c r="D860" s="42">
        <f>IFERROR(__xludf.DUMMYFUNCTION("""COMPUTED_VALUE"""),804.0)</f>
        <v>804</v>
      </c>
      <c r="E860" s="39" t="str">
        <f>IFERROR(__xludf.DUMMYFUNCTION("""COMPUTED_VALUE"""),"layer V of area 14r")</f>
        <v>layer V of area 14r</v>
      </c>
      <c r="F860" s="9" t="str">
        <f>IFERROR(__xludf.DUMMYFUNCTION("""COMPUTED_VALUE"""),"Br")</f>
        <v>Br</v>
      </c>
      <c r="G860" s="9" t="str">
        <f>IFERROR(__xludf.DUMMYFUNCTION("""COMPUTED_VALUE"""),"F")</f>
        <v>F</v>
      </c>
      <c r="H860" s="9" t="str">
        <f>IFERROR(__xludf.DUMMYFUNCTION("""COMPUTED_VALUE"""),"FGM")</f>
        <v>FGM</v>
      </c>
      <c r="I860" s="9" t="str">
        <f>IFERROR(__xludf.DUMMYFUNCTION("""COMPUTED_VALUE"""),"Tel")</f>
        <v>Tel</v>
      </c>
      <c r="J860" s="9" t="str">
        <f>IFERROR(__xludf.DUMMYFUNCTION("""COMPUTED_VALUE"""),"Cx")</f>
        <v>Cx</v>
      </c>
      <c r="K860" s="9" t="str">
        <f>IFERROR(__xludf.DUMMYFUNCTION("""COMPUTED_VALUE"""),"NCx")</f>
        <v>NCx</v>
      </c>
      <c r="L860" s="9" t="str">
        <f>IFERROR(__xludf.DUMMYFUNCTION("""COMPUTED_VALUE"""),"FCx")</f>
        <v>FCx</v>
      </c>
      <c r="M860" s="9" t="str">
        <f>IFERROR(__xludf.DUMMYFUNCTION("""COMPUTED_VALUE"""),"OFC")</f>
        <v>OFC</v>
      </c>
      <c r="N860" s="9" t="str">
        <f>IFERROR(__xludf.DUMMYFUNCTION("""COMPUTED_VALUE"""),"OFCm")</f>
        <v>OFCm</v>
      </c>
      <c r="O860" s="9" t="str">
        <f>IFERROR(__xludf.DUMMYFUNCTION("""COMPUTED_VALUE"""),"A14r")</f>
        <v>A14r</v>
      </c>
      <c r="P860" s="9" t="str">
        <f>IFERROR(__xludf.DUMMYFUNCTION("""COMPUTED_VALUE"""),"A14r5")</f>
        <v>A14r5</v>
      </c>
      <c r="Q860" s="9"/>
      <c r="R860" s="9"/>
      <c r="S860" s="42"/>
      <c r="T860" s="42"/>
      <c r="U860" s="42"/>
      <c r="V860" s="42"/>
      <c r="W860" s="42"/>
      <c r="X860" s="42"/>
      <c r="Y860" s="42"/>
      <c r="Z860" s="42"/>
      <c r="AA860" s="42"/>
      <c r="AB860" s="42" t="str">
        <f>IFERROR(__xludf.DUMMYFUNCTION("""COMPUTED_VALUE"""),"allen institute")</f>
        <v>allen institute</v>
      </c>
      <c r="AC860" s="42" t="str">
        <f>IFERROR(__xludf.DUMMYFUNCTION("""COMPUTED_VALUE"""),"DHBA")</f>
        <v>DHBA</v>
      </c>
      <c r="AD860" s="42"/>
      <c r="AE860" s="42"/>
      <c r="AF860" s="9"/>
      <c r="AG860" s="9"/>
      <c r="AH860" s="42"/>
      <c r="AI860" s="42"/>
      <c r="AJ860" s="42"/>
      <c r="AK860" s="42"/>
      <c r="AL860" s="42"/>
      <c r="AM860" s="42"/>
      <c r="AN860" s="42"/>
      <c r="AO860" s="63" t="str">
        <f>IFERROR(__xludf.DUMMYFUNCTION("IF(ISBLANK(A860),,IF(ISBLANK(S860), A860&amp;"";"", TEXTJOIN(CHAR(10), TRUE, A860&amp;"";"", ARRAYFORMULA(VLOOKUP(SPLIT(S860, "";"" &amp; CHAR(10)), $A:$AO, 41, FALSE)))))"),"A14r5;")</f>
        <v>A14r5;</v>
      </c>
      <c r="AP860" s="89"/>
    </row>
    <row r="861">
      <c r="A861" s="151" t="str">
        <f>IFERROR(__xludf.DUMMYFUNCTION("""COMPUTED_VALUE"""),"A14r6")</f>
        <v>A14r6</v>
      </c>
      <c r="B861" s="42" t="str">
        <f>IFERROR(__xludf.DUMMYFUNCTION("""COMPUTED_VALUE"""),"DHBA")</f>
        <v>DHBA</v>
      </c>
      <c r="C861" s="42" t="str">
        <f>IFERROR(__xludf.DUMMYFUNCTION("""COMPUTED_VALUE"""),"layer VI of area 14r")</f>
        <v>layer VI of area 14r</v>
      </c>
      <c r="D861" s="42">
        <f>IFERROR(__xludf.DUMMYFUNCTION("""COMPUTED_VALUE"""),805.0)</f>
        <v>805</v>
      </c>
      <c r="E861" s="39" t="str">
        <f>IFERROR(__xludf.DUMMYFUNCTION("""COMPUTED_VALUE"""),"layer VI of area 14r")</f>
        <v>layer VI of area 14r</v>
      </c>
      <c r="F861" s="9" t="str">
        <f>IFERROR(__xludf.DUMMYFUNCTION("""COMPUTED_VALUE"""),"Br")</f>
        <v>Br</v>
      </c>
      <c r="G861" s="9" t="str">
        <f>IFERROR(__xludf.DUMMYFUNCTION("""COMPUTED_VALUE"""),"F")</f>
        <v>F</v>
      </c>
      <c r="H861" s="9" t="str">
        <f>IFERROR(__xludf.DUMMYFUNCTION("""COMPUTED_VALUE"""),"FGM")</f>
        <v>FGM</v>
      </c>
      <c r="I861" s="9" t="str">
        <f>IFERROR(__xludf.DUMMYFUNCTION("""COMPUTED_VALUE"""),"Tel")</f>
        <v>Tel</v>
      </c>
      <c r="J861" s="9" t="str">
        <f>IFERROR(__xludf.DUMMYFUNCTION("""COMPUTED_VALUE"""),"Cx")</f>
        <v>Cx</v>
      </c>
      <c r="K861" s="9" t="str">
        <f>IFERROR(__xludf.DUMMYFUNCTION("""COMPUTED_VALUE"""),"NCx")</f>
        <v>NCx</v>
      </c>
      <c r="L861" s="9" t="str">
        <f>IFERROR(__xludf.DUMMYFUNCTION("""COMPUTED_VALUE"""),"FCx")</f>
        <v>FCx</v>
      </c>
      <c r="M861" s="9" t="str">
        <f>IFERROR(__xludf.DUMMYFUNCTION("""COMPUTED_VALUE"""),"OFC")</f>
        <v>OFC</v>
      </c>
      <c r="N861" s="9" t="str">
        <f>IFERROR(__xludf.DUMMYFUNCTION("""COMPUTED_VALUE"""),"OFCm")</f>
        <v>OFCm</v>
      </c>
      <c r="O861" s="9" t="str">
        <f>IFERROR(__xludf.DUMMYFUNCTION("""COMPUTED_VALUE"""),"A14r")</f>
        <v>A14r</v>
      </c>
      <c r="P861" s="9" t="str">
        <f>IFERROR(__xludf.DUMMYFUNCTION("""COMPUTED_VALUE"""),"A14r6")</f>
        <v>A14r6</v>
      </c>
      <c r="Q861" s="9"/>
      <c r="R861" s="9"/>
      <c r="S861" s="42"/>
      <c r="T861" s="42"/>
      <c r="U861" s="42"/>
      <c r="V861" s="42"/>
      <c r="W861" s="42"/>
      <c r="X861" s="42"/>
      <c r="Y861" s="42"/>
      <c r="Z861" s="42"/>
      <c r="AA861" s="42"/>
      <c r="AB861" s="42" t="str">
        <f>IFERROR(__xludf.DUMMYFUNCTION("""COMPUTED_VALUE"""),"allen institute")</f>
        <v>allen institute</v>
      </c>
      <c r="AC861" s="42" t="str">
        <f>IFERROR(__xludf.DUMMYFUNCTION("""COMPUTED_VALUE"""),"DHBA")</f>
        <v>DHBA</v>
      </c>
      <c r="AD861" s="42"/>
      <c r="AE861" s="42"/>
      <c r="AF861" s="9"/>
      <c r="AG861" s="9"/>
      <c r="AH861" s="42"/>
      <c r="AI861" s="42"/>
      <c r="AJ861" s="42"/>
      <c r="AK861" s="42"/>
      <c r="AL861" s="42"/>
      <c r="AM861" s="42"/>
      <c r="AN861" s="42"/>
      <c r="AO861" s="63" t="str">
        <f>IFERROR(__xludf.DUMMYFUNCTION("IF(ISBLANK(A861),,IF(ISBLANK(S861), A861&amp;"";"", TEXTJOIN(CHAR(10), TRUE, A861&amp;"";"", ARRAYFORMULA(VLOOKUP(SPLIT(S861, "";"" &amp; CHAR(10)), $A:$AO, 41, FALSE)))))"),"A14r6;")</f>
        <v>A14r6;</v>
      </c>
      <c r="AP861" s="89"/>
    </row>
    <row r="862">
      <c r="A862" s="151" t="str">
        <f>IFERROR(__xludf.DUMMYFUNCTION("""COMPUTED_VALUE"""),"A14c")</f>
        <v>A14c</v>
      </c>
      <c r="B862" s="42" t="str">
        <f>IFERROR(__xludf.DUMMYFUNCTION("""COMPUTED_VALUE"""),"DHBA")</f>
        <v>DHBA</v>
      </c>
      <c r="C862" s="42" t="str">
        <f>IFERROR(__xludf.DUMMYFUNCTION("""COMPUTED_VALUE"""),"caudal subdivision of area 14")</f>
        <v>caudal subdivision of area 14</v>
      </c>
      <c r="D862" s="42">
        <f>IFERROR(__xludf.DUMMYFUNCTION("""COMPUTED_VALUE"""),806.0)</f>
        <v>806</v>
      </c>
      <c r="E862" s="39" t="str">
        <f>IFERROR(__xludf.DUMMYFUNCTION("""COMPUTED_VALUE"""),"caudal subdivision of area 14")</f>
        <v>caudal subdivision of area 14</v>
      </c>
      <c r="F862" s="9" t="str">
        <f>IFERROR(__xludf.DUMMYFUNCTION("""COMPUTED_VALUE"""),"Br")</f>
        <v>Br</v>
      </c>
      <c r="G862" s="9" t="str">
        <f>IFERROR(__xludf.DUMMYFUNCTION("""COMPUTED_VALUE"""),"F")</f>
        <v>F</v>
      </c>
      <c r="H862" s="9" t="str">
        <f>IFERROR(__xludf.DUMMYFUNCTION("""COMPUTED_VALUE"""),"FGM")</f>
        <v>FGM</v>
      </c>
      <c r="I862" s="9" t="str">
        <f>IFERROR(__xludf.DUMMYFUNCTION("""COMPUTED_VALUE"""),"Tel")</f>
        <v>Tel</v>
      </c>
      <c r="J862" s="9" t="str">
        <f>IFERROR(__xludf.DUMMYFUNCTION("""COMPUTED_VALUE"""),"Cx")</f>
        <v>Cx</v>
      </c>
      <c r="K862" s="9" t="str">
        <f>IFERROR(__xludf.DUMMYFUNCTION("""COMPUTED_VALUE"""),"NCx")</f>
        <v>NCx</v>
      </c>
      <c r="L862" s="9" t="str">
        <f>IFERROR(__xludf.DUMMYFUNCTION("""COMPUTED_VALUE"""),"FCx")</f>
        <v>FCx</v>
      </c>
      <c r="M862" s="9" t="str">
        <f>IFERROR(__xludf.DUMMYFUNCTION("""COMPUTED_VALUE"""),"OFC")</f>
        <v>OFC</v>
      </c>
      <c r="N862" s="9" t="str">
        <f>IFERROR(__xludf.DUMMYFUNCTION("""COMPUTED_VALUE"""),"OFCm")</f>
        <v>OFCm</v>
      </c>
      <c r="O862" s="9" t="str">
        <f>IFERROR(__xludf.DUMMYFUNCTION("""COMPUTED_VALUE"""),"A14c")</f>
        <v>A14c</v>
      </c>
      <c r="P862" s="9"/>
      <c r="Q862" s="9"/>
      <c r="R862" s="9"/>
      <c r="S862" s="42" t="str">
        <f>IFERROR(__xludf.DUMMYFUNCTION("""COMPUTED_VALUE"""),"A14c1;
A14c2;
A14c3;
A14c4;
A14c5;
A14c6")</f>
        <v>A14c1;
A14c2;
A14c3;
A14c4;
A14c5;
A14c6</v>
      </c>
      <c r="T862" s="42"/>
      <c r="U862" s="42" t="b">
        <f>IFERROR(__xludf.DUMMYFUNCTION("""COMPUTED_VALUE"""),FALSE)</f>
        <v>0</v>
      </c>
      <c r="V862" s="42"/>
      <c r="W862" s="42"/>
      <c r="X862" s="42"/>
      <c r="Y862" s="42"/>
      <c r="Z862" s="42"/>
      <c r="AA862" s="42"/>
      <c r="AB862" s="42" t="str">
        <f>IFERROR(__xludf.DUMMYFUNCTION("""COMPUTED_VALUE"""),"allen institute")</f>
        <v>allen institute</v>
      </c>
      <c r="AC862" s="42" t="str">
        <f>IFERROR(__xludf.DUMMYFUNCTION("""COMPUTED_VALUE"""),"DHBA")</f>
        <v>DHBA</v>
      </c>
      <c r="AD862" s="42"/>
      <c r="AE862" s="42"/>
      <c r="AF862" s="9"/>
      <c r="AG862" s="9"/>
      <c r="AH862" s="42"/>
      <c r="AI862" s="42"/>
      <c r="AJ862" s="42"/>
      <c r="AK862" s="42"/>
      <c r="AL862" s="42"/>
      <c r="AM862" s="42"/>
      <c r="AN862" s="42"/>
      <c r="AO862" s="63" t="str">
        <f>IFERROR(__xludf.DUMMYFUNCTION("IF(ISBLANK(A862),,IF(ISBLANK(S862), A862&amp;"";"", TEXTJOIN(CHAR(10), TRUE, A862&amp;"";"", ARRAYFORMULA(VLOOKUP(SPLIT(S862, "";"" &amp; CHAR(10)), $A:$AO, 41, FALSE)))))"),"A14c;
A14c1;
A14c2;
A14c3;
A14c4;
A14c5;
A14c6;")</f>
        <v>A14c;
A14c1;
A14c2;
A14c3;
A14c4;
A14c5;
A14c6;</v>
      </c>
      <c r="AP862" s="89"/>
    </row>
    <row r="863">
      <c r="A863" s="151" t="str">
        <f>IFERROR(__xludf.DUMMYFUNCTION("""COMPUTED_VALUE"""),"A14c1")</f>
        <v>A14c1</v>
      </c>
      <c r="B863" s="42" t="str">
        <f>IFERROR(__xludf.DUMMYFUNCTION("""COMPUTED_VALUE"""),"DHBA")</f>
        <v>DHBA</v>
      </c>
      <c r="C863" s="42" t="str">
        <f>IFERROR(__xludf.DUMMYFUNCTION("""COMPUTED_VALUE"""),"layer I of area 14c")</f>
        <v>layer I of area 14c</v>
      </c>
      <c r="D863" s="42">
        <f>IFERROR(__xludf.DUMMYFUNCTION("""COMPUTED_VALUE"""),807.0)</f>
        <v>807</v>
      </c>
      <c r="E863" s="39" t="str">
        <f>IFERROR(__xludf.DUMMYFUNCTION("""COMPUTED_VALUE"""),"layer I of area 14c")</f>
        <v>layer I of area 14c</v>
      </c>
      <c r="F863" s="9" t="str">
        <f>IFERROR(__xludf.DUMMYFUNCTION("""COMPUTED_VALUE"""),"Br")</f>
        <v>Br</v>
      </c>
      <c r="G863" s="9" t="str">
        <f>IFERROR(__xludf.DUMMYFUNCTION("""COMPUTED_VALUE"""),"F")</f>
        <v>F</v>
      </c>
      <c r="H863" s="9" t="str">
        <f>IFERROR(__xludf.DUMMYFUNCTION("""COMPUTED_VALUE"""),"FGM")</f>
        <v>FGM</v>
      </c>
      <c r="I863" s="9" t="str">
        <f>IFERROR(__xludf.DUMMYFUNCTION("""COMPUTED_VALUE"""),"Tel")</f>
        <v>Tel</v>
      </c>
      <c r="J863" s="9" t="str">
        <f>IFERROR(__xludf.DUMMYFUNCTION("""COMPUTED_VALUE"""),"Cx")</f>
        <v>Cx</v>
      </c>
      <c r="K863" s="9" t="str">
        <f>IFERROR(__xludf.DUMMYFUNCTION("""COMPUTED_VALUE"""),"NCx")</f>
        <v>NCx</v>
      </c>
      <c r="L863" s="9" t="str">
        <f>IFERROR(__xludf.DUMMYFUNCTION("""COMPUTED_VALUE"""),"FCx")</f>
        <v>FCx</v>
      </c>
      <c r="M863" s="9" t="str">
        <f>IFERROR(__xludf.DUMMYFUNCTION("""COMPUTED_VALUE"""),"OFC")</f>
        <v>OFC</v>
      </c>
      <c r="N863" s="9" t="str">
        <f>IFERROR(__xludf.DUMMYFUNCTION("""COMPUTED_VALUE"""),"OFCm")</f>
        <v>OFCm</v>
      </c>
      <c r="O863" s="9" t="str">
        <f>IFERROR(__xludf.DUMMYFUNCTION("""COMPUTED_VALUE"""),"A14c")</f>
        <v>A14c</v>
      </c>
      <c r="P863" s="9" t="str">
        <f>IFERROR(__xludf.DUMMYFUNCTION("""COMPUTED_VALUE"""),"A14c1")</f>
        <v>A14c1</v>
      </c>
      <c r="Q863" s="9"/>
      <c r="R863" s="9"/>
      <c r="S863" s="42"/>
      <c r="T863" s="42"/>
      <c r="U863" s="42"/>
      <c r="V863" s="42"/>
      <c r="W863" s="42"/>
      <c r="X863" s="42"/>
      <c r="Y863" s="42"/>
      <c r="Z863" s="42"/>
      <c r="AA863" s="42"/>
      <c r="AB863" s="42" t="str">
        <f>IFERROR(__xludf.DUMMYFUNCTION("""COMPUTED_VALUE"""),"allen institute")</f>
        <v>allen institute</v>
      </c>
      <c r="AC863" s="42" t="str">
        <f>IFERROR(__xludf.DUMMYFUNCTION("""COMPUTED_VALUE"""),"DHBA")</f>
        <v>DHBA</v>
      </c>
      <c r="AD863" s="42"/>
      <c r="AE863" s="42"/>
      <c r="AF863" s="9"/>
      <c r="AG863" s="9"/>
      <c r="AH863" s="42"/>
      <c r="AI863" s="42"/>
      <c r="AJ863" s="42"/>
      <c r="AK863" s="42"/>
      <c r="AL863" s="42"/>
      <c r="AM863" s="42"/>
      <c r="AN863" s="42"/>
      <c r="AO863" s="63" t="str">
        <f>IFERROR(__xludf.DUMMYFUNCTION("IF(ISBLANK(A863),,IF(ISBLANK(S863), A863&amp;"";"", TEXTJOIN(CHAR(10), TRUE, A863&amp;"";"", ARRAYFORMULA(VLOOKUP(SPLIT(S863, "";"" &amp; CHAR(10)), $A:$AO, 41, FALSE)))))"),"A14c1;")</f>
        <v>A14c1;</v>
      </c>
      <c r="AP863" s="89"/>
    </row>
    <row r="864">
      <c r="A864" s="151" t="str">
        <f>IFERROR(__xludf.DUMMYFUNCTION("""COMPUTED_VALUE"""),"A14c2")</f>
        <v>A14c2</v>
      </c>
      <c r="B864" s="42" t="str">
        <f>IFERROR(__xludf.DUMMYFUNCTION("""COMPUTED_VALUE"""),"DHBA")</f>
        <v>DHBA</v>
      </c>
      <c r="C864" s="42" t="str">
        <f>IFERROR(__xludf.DUMMYFUNCTION("""COMPUTED_VALUE"""),"layer II of area 14c")</f>
        <v>layer II of area 14c</v>
      </c>
      <c r="D864" s="42">
        <f>IFERROR(__xludf.DUMMYFUNCTION("""COMPUTED_VALUE"""),808.0)</f>
        <v>808</v>
      </c>
      <c r="E864" s="39" t="str">
        <f>IFERROR(__xludf.DUMMYFUNCTION("""COMPUTED_VALUE"""),"layer II of area 14c")</f>
        <v>layer II of area 14c</v>
      </c>
      <c r="F864" s="9" t="str">
        <f>IFERROR(__xludf.DUMMYFUNCTION("""COMPUTED_VALUE"""),"Br")</f>
        <v>Br</v>
      </c>
      <c r="G864" s="9" t="str">
        <f>IFERROR(__xludf.DUMMYFUNCTION("""COMPUTED_VALUE"""),"F")</f>
        <v>F</v>
      </c>
      <c r="H864" s="9" t="str">
        <f>IFERROR(__xludf.DUMMYFUNCTION("""COMPUTED_VALUE"""),"FGM")</f>
        <v>FGM</v>
      </c>
      <c r="I864" s="9" t="str">
        <f>IFERROR(__xludf.DUMMYFUNCTION("""COMPUTED_VALUE"""),"Tel")</f>
        <v>Tel</v>
      </c>
      <c r="J864" s="9" t="str">
        <f>IFERROR(__xludf.DUMMYFUNCTION("""COMPUTED_VALUE"""),"Cx")</f>
        <v>Cx</v>
      </c>
      <c r="K864" s="9" t="str">
        <f>IFERROR(__xludf.DUMMYFUNCTION("""COMPUTED_VALUE"""),"NCx")</f>
        <v>NCx</v>
      </c>
      <c r="L864" s="9" t="str">
        <f>IFERROR(__xludf.DUMMYFUNCTION("""COMPUTED_VALUE"""),"FCx")</f>
        <v>FCx</v>
      </c>
      <c r="M864" s="9" t="str">
        <f>IFERROR(__xludf.DUMMYFUNCTION("""COMPUTED_VALUE"""),"OFC")</f>
        <v>OFC</v>
      </c>
      <c r="N864" s="9" t="str">
        <f>IFERROR(__xludf.DUMMYFUNCTION("""COMPUTED_VALUE"""),"OFCm")</f>
        <v>OFCm</v>
      </c>
      <c r="O864" s="9" t="str">
        <f>IFERROR(__xludf.DUMMYFUNCTION("""COMPUTED_VALUE"""),"A14c")</f>
        <v>A14c</v>
      </c>
      <c r="P864" s="9" t="str">
        <f>IFERROR(__xludf.DUMMYFUNCTION("""COMPUTED_VALUE"""),"A14c2")</f>
        <v>A14c2</v>
      </c>
      <c r="Q864" s="9"/>
      <c r="R864" s="9"/>
      <c r="S864" s="42"/>
      <c r="T864" s="42"/>
      <c r="U864" s="42"/>
      <c r="V864" s="42"/>
      <c r="W864" s="42"/>
      <c r="X864" s="42"/>
      <c r="Y864" s="42"/>
      <c r="Z864" s="42"/>
      <c r="AA864" s="42"/>
      <c r="AB864" s="42" t="str">
        <f>IFERROR(__xludf.DUMMYFUNCTION("""COMPUTED_VALUE"""),"allen institute")</f>
        <v>allen institute</v>
      </c>
      <c r="AC864" s="42" t="str">
        <f>IFERROR(__xludf.DUMMYFUNCTION("""COMPUTED_VALUE"""),"DHBA")</f>
        <v>DHBA</v>
      </c>
      <c r="AD864" s="42"/>
      <c r="AE864" s="42"/>
      <c r="AF864" s="9"/>
      <c r="AG864" s="9"/>
      <c r="AH864" s="42"/>
      <c r="AI864" s="42"/>
      <c r="AJ864" s="42"/>
      <c r="AK864" s="42"/>
      <c r="AL864" s="42"/>
      <c r="AM864" s="42"/>
      <c r="AN864" s="42"/>
      <c r="AO864" s="63" t="str">
        <f>IFERROR(__xludf.DUMMYFUNCTION("IF(ISBLANK(A864),,IF(ISBLANK(S864), A864&amp;"";"", TEXTJOIN(CHAR(10), TRUE, A864&amp;"";"", ARRAYFORMULA(VLOOKUP(SPLIT(S864, "";"" &amp; CHAR(10)), $A:$AO, 41, FALSE)))))"),"A14c2;")</f>
        <v>A14c2;</v>
      </c>
      <c r="AP864" s="89"/>
    </row>
    <row r="865">
      <c r="A865" s="151" t="str">
        <f>IFERROR(__xludf.DUMMYFUNCTION("""COMPUTED_VALUE"""),"A14c3")</f>
        <v>A14c3</v>
      </c>
      <c r="B865" s="42" t="str">
        <f>IFERROR(__xludf.DUMMYFUNCTION("""COMPUTED_VALUE"""),"DHBA")</f>
        <v>DHBA</v>
      </c>
      <c r="C865" s="42" t="str">
        <f>IFERROR(__xludf.DUMMYFUNCTION("""COMPUTED_VALUE"""),"layer III of area 14c")</f>
        <v>layer III of area 14c</v>
      </c>
      <c r="D865" s="42">
        <f>IFERROR(__xludf.DUMMYFUNCTION("""COMPUTED_VALUE"""),809.0)</f>
        <v>809</v>
      </c>
      <c r="E865" s="39" t="str">
        <f>IFERROR(__xludf.DUMMYFUNCTION("""COMPUTED_VALUE"""),"layer III of area 14c")</f>
        <v>layer III of area 14c</v>
      </c>
      <c r="F865" s="9" t="str">
        <f>IFERROR(__xludf.DUMMYFUNCTION("""COMPUTED_VALUE"""),"Br")</f>
        <v>Br</v>
      </c>
      <c r="G865" s="9" t="str">
        <f>IFERROR(__xludf.DUMMYFUNCTION("""COMPUTED_VALUE"""),"F")</f>
        <v>F</v>
      </c>
      <c r="H865" s="9" t="str">
        <f>IFERROR(__xludf.DUMMYFUNCTION("""COMPUTED_VALUE"""),"FGM")</f>
        <v>FGM</v>
      </c>
      <c r="I865" s="9" t="str">
        <f>IFERROR(__xludf.DUMMYFUNCTION("""COMPUTED_VALUE"""),"Tel")</f>
        <v>Tel</v>
      </c>
      <c r="J865" s="9" t="str">
        <f>IFERROR(__xludf.DUMMYFUNCTION("""COMPUTED_VALUE"""),"Cx")</f>
        <v>Cx</v>
      </c>
      <c r="K865" s="9" t="str">
        <f>IFERROR(__xludf.DUMMYFUNCTION("""COMPUTED_VALUE"""),"NCx")</f>
        <v>NCx</v>
      </c>
      <c r="L865" s="9" t="str">
        <f>IFERROR(__xludf.DUMMYFUNCTION("""COMPUTED_VALUE"""),"FCx")</f>
        <v>FCx</v>
      </c>
      <c r="M865" s="9" t="str">
        <f>IFERROR(__xludf.DUMMYFUNCTION("""COMPUTED_VALUE"""),"OFC")</f>
        <v>OFC</v>
      </c>
      <c r="N865" s="9" t="str">
        <f>IFERROR(__xludf.DUMMYFUNCTION("""COMPUTED_VALUE"""),"OFCm")</f>
        <v>OFCm</v>
      </c>
      <c r="O865" s="9" t="str">
        <f>IFERROR(__xludf.DUMMYFUNCTION("""COMPUTED_VALUE"""),"A14c")</f>
        <v>A14c</v>
      </c>
      <c r="P865" s="9" t="str">
        <f>IFERROR(__xludf.DUMMYFUNCTION("""COMPUTED_VALUE"""),"A14c3")</f>
        <v>A14c3</v>
      </c>
      <c r="Q865" s="9"/>
      <c r="R865" s="9"/>
      <c r="S865" s="42"/>
      <c r="T865" s="42"/>
      <c r="U865" s="42"/>
      <c r="V865" s="42"/>
      <c r="W865" s="42"/>
      <c r="X865" s="42"/>
      <c r="Y865" s="42"/>
      <c r="Z865" s="42"/>
      <c r="AA865" s="42"/>
      <c r="AB865" s="42" t="str">
        <f>IFERROR(__xludf.DUMMYFUNCTION("""COMPUTED_VALUE"""),"allen institute")</f>
        <v>allen institute</v>
      </c>
      <c r="AC865" s="42" t="str">
        <f>IFERROR(__xludf.DUMMYFUNCTION("""COMPUTED_VALUE"""),"DHBA")</f>
        <v>DHBA</v>
      </c>
      <c r="AD865" s="42"/>
      <c r="AE865" s="42"/>
      <c r="AF865" s="9"/>
      <c r="AG865" s="9"/>
      <c r="AH865" s="42"/>
      <c r="AI865" s="42"/>
      <c r="AJ865" s="42"/>
      <c r="AK865" s="42"/>
      <c r="AL865" s="42"/>
      <c r="AM865" s="42"/>
      <c r="AN865" s="42"/>
      <c r="AO865" s="63" t="str">
        <f>IFERROR(__xludf.DUMMYFUNCTION("IF(ISBLANK(A865),,IF(ISBLANK(S865), A865&amp;"";"", TEXTJOIN(CHAR(10), TRUE, A865&amp;"";"", ARRAYFORMULA(VLOOKUP(SPLIT(S865, "";"" &amp; CHAR(10)), $A:$AO, 41, FALSE)))))"),"A14c3;")</f>
        <v>A14c3;</v>
      </c>
      <c r="AP865" s="89"/>
    </row>
    <row r="866">
      <c r="A866" s="151" t="str">
        <f>IFERROR(__xludf.DUMMYFUNCTION("""COMPUTED_VALUE"""),"A14c4")</f>
        <v>A14c4</v>
      </c>
      <c r="B866" s="42" t="str">
        <f>IFERROR(__xludf.DUMMYFUNCTION("""COMPUTED_VALUE"""),"DHBA")</f>
        <v>DHBA</v>
      </c>
      <c r="C866" s="42" t="str">
        <f>IFERROR(__xludf.DUMMYFUNCTION("""COMPUTED_VALUE"""),"layer IV of area 14c")</f>
        <v>layer IV of area 14c</v>
      </c>
      <c r="D866" s="42">
        <f>IFERROR(__xludf.DUMMYFUNCTION("""COMPUTED_VALUE"""),810.0)</f>
        <v>810</v>
      </c>
      <c r="E866" s="39" t="str">
        <f>IFERROR(__xludf.DUMMYFUNCTION("""COMPUTED_VALUE"""),"layer IV of area 14c")</f>
        <v>layer IV of area 14c</v>
      </c>
      <c r="F866" s="9" t="str">
        <f>IFERROR(__xludf.DUMMYFUNCTION("""COMPUTED_VALUE"""),"Br")</f>
        <v>Br</v>
      </c>
      <c r="G866" s="9" t="str">
        <f>IFERROR(__xludf.DUMMYFUNCTION("""COMPUTED_VALUE"""),"F")</f>
        <v>F</v>
      </c>
      <c r="H866" s="9" t="str">
        <f>IFERROR(__xludf.DUMMYFUNCTION("""COMPUTED_VALUE"""),"FGM")</f>
        <v>FGM</v>
      </c>
      <c r="I866" s="9" t="str">
        <f>IFERROR(__xludf.DUMMYFUNCTION("""COMPUTED_VALUE"""),"Tel")</f>
        <v>Tel</v>
      </c>
      <c r="J866" s="9" t="str">
        <f>IFERROR(__xludf.DUMMYFUNCTION("""COMPUTED_VALUE"""),"Cx")</f>
        <v>Cx</v>
      </c>
      <c r="K866" s="9" t="str">
        <f>IFERROR(__xludf.DUMMYFUNCTION("""COMPUTED_VALUE"""),"NCx")</f>
        <v>NCx</v>
      </c>
      <c r="L866" s="9" t="str">
        <f>IFERROR(__xludf.DUMMYFUNCTION("""COMPUTED_VALUE"""),"FCx")</f>
        <v>FCx</v>
      </c>
      <c r="M866" s="9" t="str">
        <f>IFERROR(__xludf.DUMMYFUNCTION("""COMPUTED_VALUE"""),"OFC")</f>
        <v>OFC</v>
      </c>
      <c r="N866" s="9" t="str">
        <f>IFERROR(__xludf.DUMMYFUNCTION("""COMPUTED_VALUE"""),"OFCm")</f>
        <v>OFCm</v>
      </c>
      <c r="O866" s="9" t="str">
        <f>IFERROR(__xludf.DUMMYFUNCTION("""COMPUTED_VALUE"""),"A14c")</f>
        <v>A14c</v>
      </c>
      <c r="P866" s="9" t="str">
        <f>IFERROR(__xludf.DUMMYFUNCTION("""COMPUTED_VALUE"""),"A14c4")</f>
        <v>A14c4</v>
      </c>
      <c r="Q866" s="9"/>
      <c r="R866" s="9"/>
      <c r="S866" s="42"/>
      <c r="T866" s="42"/>
      <c r="U866" s="42"/>
      <c r="V866" s="42"/>
      <c r="W866" s="42"/>
      <c r="X866" s="42"/>
      <c r="Y866" s="42"/>
      <c r="Z866" s="42"/>
      <c r="AA866" s="42"/>
      <c r="AB866" s="42" t="str">
        <f>IFERROR(__xludf.DUMMYFUNCTION("""COMPUTED_VALUE"""),"allen institute")</f>
        <v>allen institute</v>
      </c>
      <c r="AC866" s="42" t="str">
        <f>IFERROR(__xludf.DUMMYFUNCTION("""COMPUTED_VALUE"""),"DHBA")</f>
        <v>DHBA</v>
      </c>
      <c r="AD866" s="42"/>
      <c r="AE866" s="42"/>
      <c r="AF866" s="9"/>
      <c r="AG866" s="9"/>
      <c r="AH866" s="42"/>
      <c r="AI866" s="42"/>
      <c r="AJ866" s="42"/>
      <c r="AK866" s="42"/>
      <c r="AL866" s="42"/>
      <c r="AM866" s="42"/>
      <c r="AN866" s="42"/>
      <c r="AO866" s="63" t="str">
        <f>IFERROR(__xludf.DUMMYFUNCTION("IF(ISBLANK(A866),,IF(ISBLANK(S866), A866&amp;"";"", TEXTJOIN(CHAR(10), TRUE, A866&amp;"";"", ARRAYFORMULA(VLOOKUP(SPLIT(S866, "";"" &amp; CHAR(10)), $A:$AO, 41, FALSE)))))"),"A14c4;")</f>
        <v>A14c4;</v>
      </c>
      <c r="AP866" s="89"/>
    </row>
    <row r="867">
      <c r="A867" s="151" t="str">
        <f>IFERROR(__xludf.DUMMYFUNCTION("""COMPUTED_VALUE"""),"A14c5")</f>
        <v>A14c5</v>
      </c>
      <c r="B867" s="42" t="str">
        <f>IFERROR(__xludf.DUMMYFUNCTION("""COMPUTED_VALUE"""),"DHBA")</f>
        <v>DHBA</v>
      </c>
      <c r="C867" s="42" t="str">
        <f>IFERROR(__xludf.DUMMYFUNCTION("""COMPUTED_VALUE"""),"layer V of area 14c")</f>
        <v>layer V of area 14c</v>
      </c>
      <c r="D867" s="42">
        <f>IFERROR(__xludf.DUMMYFUNCTION("""COMPUTED_VALUE"""),811.0)</f>
        <v>811</v>
      </c>
      <c r="E867" s="39" t="str">
        <f>IFERROR(__xludf.DUMMYFUNCTION("""COMPUTED_VALUE"""),"layer V of area 14c")</f>
        <v>layer V of area 14c</v>
      </c>
      <c r="F867" s="9" t="str">
        <f>IFERROR(__xludf.DUMMYFUNCTION("""COMPUTED_VALUE"""),"Br")</f>
        <v>Br</v>
      </c>
      <c r="G867" s="9" t="str">
        <f>IFERROR(__xludf.DUMMYFUNCTION("""COMPUTED_VALUE"""),"F")</f>
        <v>F</v>
      </c>
      <c r="H867" s="9" t="str">
        <f>IFERROR(__xludf.DUMMYFUNCTION("""COMPUTED_VALUE"""),"FGM")</f>
        <v>FGM</v>
      </c>
      <c r="I867" s="9" t="str">
        <f>IFERROR(__xludf.DUMMYFUNCTION("""COMPUTED_VALUE"""),"Tel")</f>
        <v>Tel</v>
      </c>
      <c r="J867" s="9" t="str">
        <f>IFERROR(__xludf.DUMMYFUNCTION("""COMPUTED_VALUE"""),"Cx")</f>
        <v>Cx</v>
      </c>
      <c r="K867" s="9" t="str">
        <f>IFERROR(__xludf.DUMMYFUNCTION("""COMPUTED_VALUE"""),"NCx")</f>
        <v>NCx</v>
      </c>
      <c r="L867" s="9" t="str">
        <f>IFERROR(__xludf.DUMMYFUNCTION("""COMPUTED_VALUE"""),"FCx")</f>
        <v>FCx</v>
      </c>
      <c r="M867" s="9" t="str">
        <f>IFERROR(__xludf.DUMMYFUNCTION("""COMPUTED_VALUE"""),"OFC")</f>
        <v>OFC</v>
      </c>
      <c r="N867" s="9" t="str">
        <f>IFERROR(__xludf.DUMMYFUNCTION("""COMPUTED_VALUE"""),"OFCm")</f>
        <v>OFCm</v>
      </c>
      <c r="O867" s="9" t="str">
        <f>IFERROR(__xludf.DUMMYFUNCTION("""COMPUTED_VALUE"""),"A14c")</f>
        <v>A14c</v>
      </c>
      <c r="P867" s="9" t="str">
        <f>IFERROR(__xludf.DUMMYFUNCTION("""COMPUTED_VALUE"""),"A14c5")</f>
        <v>A14c5</v>
      </c>
      <c r="Q867" s="9"/>
      <c r="R867" s="9"/>
      <c r="S867" s="42"/>
      <c r="T867" s="42"/>
      <c r="U867" s="42"/>
      <c r="V867" s="42"/>
      <c r="W867" s="42"/>
      <c r="X867" s="42"/>
      <c r="Y867" s="42"/>
      <c r="Z867" s="42"/>
      <c r="AA867" s="42"/>
      <c r="AB867" s="42" t="str">
        <f>IFERROR(__xludf.DUMMYFUNCTION("""COMPUTED_VALUE"""),"allen institute")</f>
        <v>allen institute</v>
      </c>
      <c r="AC867" s="42" t="str">
        <f>IFERROR(__xludf.DUMMYFUNCTION("""COMPUTED_VALUE"""),"DHBA")</f>
        <v>DHBA</v>
      </c>
      <c r="AD867" s="42"/>
      <c r="AE867" s="42"/>
      <c r="AF867" s="9"/>
      <c r="AG867" s="9"/>
      <c r="AH867" s="42"/>
      <c r="AI867" s="42"/>
      <c r="AJ867" s="42"/>
      <c r="AK867" s="42"/>
      <c r="AL867" s="42"/>
      <c r="AM867" s="42"/>
      <c r="AN867" s="42"/>
      <c r="AO867" s="63" t="str">
        <f>IFERROR(__xludf.DUMMYFUNCTION("IF(ISBLANK(A867),,IF(ISBLANK(S867), A867&amp;"";"", TEXTJOIN(CHAR(10), TRUE, A867&amp;"";"", ARRAYFORMULA(VLOOKUP(SPLIT(S867, "";"" &amp; CHAR(10)), $A:$AO, 41, FALSE)))))"),"A14c5;")</f>
        <v>A14c5;</v>
      </c>
      <c r="AP867" s="89"/>
    </row>
    <row r="868">
      <c r="A868" s="151" t="str">
        <f>IFERROR(__xludf.DUMMYFUNCTION("""COMPUTED_VALUE"""),"A14c6")</f>
        <v>A14c6</v>
      </c>
      <c r="B868" s="42" t="str">
        <f>IFERROR(__xludf.DUMMYFUNCTION("""COMPUTED_VALUE"""),"DHBA")</f>
        <v>DHBA</v>
      </c>
      <c r="C868" s="42" t="str">
        <f>IFERROR(__xludf.DUMMYFUNCTION("""COMPUTED_VALUE"""),"layer VI of area 14c")</f>
        <v>layer VI of area 14c</v>
      </c>
      <c r="D868" s="42">
        <f>IFERROR(__xludf.DUMMYFUNCTION("""COMPUTED_VALUE"""),812.0)</f>
        <v>812</v>
      </c>
      <c r="E868" s="39" t="str">
        <f>IFERROR(__xludf.DUMMYFUNCTION("""COMPUTED_VALUE"""),"layer VI of area 14c")</f>
        <v>layer VI of area 14c</v>
      </c>
      <c r="F868" s="9" t="str">
        <f>IFERROR(__xludf.DUMMYFUNCTION("""COMPUTED_VALUE"""),"Br")</f>
        <v>Br</v>
      </c>
      <c r="G868" s="9" t="str">
        <f>IFERROR(__xludf.DUMMYFUNCTION("""COMPUTED_VALUE"""),"F")</f>
        <v>F</v>
      </c>
      <c r="H868" s="9" t="str">
        <f>IFERROR(__xludf.DUMMYFUNCTION("""COMPUTED_VALUE"""),"FGM")</f>
        <v>FGM</v>
      </c>
      <c r="I868" s="9" t="str">
        <f>IFERROR(__xludf.DUMMYFUNCTION("""COMPUTED_VALUE"""),"Tel")</f>
        <v>Tel</v>
      </c>
      <c r="J868" s="9" t="str">
        <f>IFERROR(__xludf.DUMMYFUNCTION("""COMPUTED_VALUE"""),"Cx")</f>
        <v>Cx</v>
      </c>
      <c r="K868" s="9" t="str">
        <f>IFERROR(__xludf.DUMMYFUNCTION("""COMPUTED_VALUE"""),"NCx")</f>
        <v>NCx</v>
      </c>
      <c r="L868" s="9" t="str">
        <f>IFERROR(__xludf.DUMMYFUNCTION("""COMPUTED_VALUE"""),"FCx")</f>
        <v>FCx</v>
      </c>
      <c r="M868" s="9" t="str">
        <f>IFERROR(__xludf.DUMMYFUNCTION("""COMPUTED_VALUE"""),"OFC")</f>
        <v>OFC</v>
      </c>
      <c r="N868" s="9" t="str">
        <f>IFERROR(__xludf.DUMMYFUNCTION("""COMPUTED_VALUE"""),"OFCm")</f>
        <v>OFCm</v>
      </c>
      <c r="O868" s="9" t="str">
        <f>IFERROR(__xludf.DUMMYFUNCTION("""COMPUTED_VALUE"""),"A14c")</f>
        <v>A14c</v>
      </c>
      <c r="P868" s="9" t="str">
        <f>IFERROR(__xludf.DUMMYFUNCTION("""COMPUTED_VALUE"""),"A14c6")</f>
        <v>A14c6</v>
      </c>
      <c r="Q868" s="9"/>
      <c r="R868" s="9"/>
      <c r="S868" s="42"/>
      <c r="T868" s="42"/>
      <c r="U868" s="42"/>
      <c r="V868" s="42"/>
      <c r="W868" s="42"/>
      <c r="X868" s="42"/>
      <c r="Y868" s="42"/>
      <c r="Z868" s="42"/>
      <c r="AA868" s="42"/>
      <c r="AB868" s="42" t="str">
        <f>IFERROR(__xludf.DUMMYFUNCTION("""COMPUTED_VALUE"""),"allen institute")</f>
        <v>allen institute</v>
      </c>
      <c r="AC868" s="42" t="str">
        <f>IFERROR(__xludf.DUMMYFUNCTION("""COMPUTED_VALUE"""),"DHBA")</f>
        <v>DHBA</v>
      </c>
      <c r="AD868" s="42"/>
      <c r="AE868" s="42"/>
      <c r="AF868" s="9"/>
      <c r="AG868" s="9"/>
      <c r="AH868" s="42"/>
      <c r="AI868" s="42"/>
      <c r="AJ868" s="42"/>
      <c r="AK868" s="42"/>
      <c r="AL868" s="42"/>
      <c r="AM868" s="42"/>
      <c r="AN868" s="42"/>
      <c r="AO868" s="63" t="str">
        <f>IFERROR(__xludf.DUMMYFUNCTION("IF(ISBLANK(A868),,IF(ISBLANK(S868), A868&amp;"";"", TEXTJOIN(CHAR(10), TRUE, A868&amp;"";"", ARRAYFORMULA(VLOOKUP(SPLIT(S868, "";"" &amp; CHAR(10)), $A:$AO, 41, FALSE)))))"),"A14c6;")</f>
        <v>A14c6;</v>
      </c>
      <c r="AP868" s="89"/>
    </row>
    <row r="869">
      <c r="A869" s="151" t="str">
        <f>IFERROR(__xludf.DUMMYFUNCTION("""COMPUTED_VALUE"""),"OFCi")</f>
        <v>OFCi</v>
      </c>
      <c r="B869" s="42" t="str">
        <f>IFERROR(__xludf.DUMMYFUNCTION("""COMPUTED_VALUE"""),"DHBA")</f>
        <v>DHBA</v>
      </c>
      <c r="C869" s="42" t="str">
        <f>IFERROR(__xludf.DUMMYFUNCTION("""COMPUTED_VALUE"""),"intermediate orbital frontal cortex")</f>
        <v>intermediate orbital frontal cortex</v>
      </c>
      <c r="D869" s="42">
        <f>IFERROR(__xludf.DUMMYFUNCTION("""COMPUTED_VALUE"""),813.0)</f>
        <v>813</v>
      </c>
      <c r="E869" s="39" t="str">
        <f>IFERROR(__xludf.DUMMYFUNCTION("""COMPUTED_VALUE"""),"intermediate orbital frontal cortex")</f>
        <v>intermediate orbital frontal cortex</v>
      </c>
      <c r="F869" s="9" t="str">
        <f>IFERROR(__xludf.DUMMYFUNCTION("""COMPUTED_VALUE"""),"Br")</f>
        <v>Br</v>
      </c>
      <c r="G869" s="9" t="str">
        <f>IFERROR(__xludf.DUMMYFUNCTION("""COMPUTED_VALUE"""),"F")</f>
        <v>F</v>
      </c>
      <c r="H869" s="9" t="str">
        <f>IFERROR(__xludf.DUMMYFUNCTION("""COMPUTED_VALUE"""),"FGM")</f>
        <v>FGM</v>
      </c>
      <c r="I869" s="9" t="str">
        <f>IFERROR(__xludf.DUMMYFUNCTION("""COMPUTED_VALUE"""),"Tel")</f>
        <v>Tel</v>
      </c>
      <c r="J869" s="9" t="str">
        <f>IFERROR(__xludf.DUMMYFUNCTION("""COMPUTED_VALUE"""),"Cx")</f>
        <v>Cx</v>
      </c>
      <c r="K869" s="9" t="str">
        <f>IFERROR(__xludf.DUMMYFUNCTION("""COMPUTED_VALUE"""),"NCx")</f>
        <v>NCx</v>
      </c>
      <c r="L869" s="9" t="str">
        <f>IFERROR(__xludf.DUMMYFUNCTION("""COMPUTED_VALUE"""),"FCx")</f>
        <v>FCx</v>
      </c>
      <c r="M869" s="9" t="str">
        <f>IFERROR(__xludf.DUMMYFUNCTION("""COMPUTED_VALUE"""),"OFC")</f>
        <v>OFC</v>
      </c>
      <c r="N869" s="9" t="str">
        <f>IFERROR(__xludf.DUMMYFUNCTION("""COMPUTED_VALUE"""),"OFCi")</f>
        <v>OFCi</v>
      </c>
      <c r="O869" s="9"/>
      <c r="P869" s="9"/>
      <c r="Q869" s="9"/>
      <c r="R869" s="9"/>
      <c r="S869" s="42" t="str">
        <f>IFERROR(__xludf.DUMMYFUNCTION("""COMPUTED_VALUE"""),"A11;
A13")</f>
        <v>A11;
A13</v>
      </c>
      <c r="T869" s="42"/>
      <c r="U869" s="42" t="b">
        <f>IFERROR(__xludf.DUMMYFUNCTION("""COMPUTED_VALUE"""),FALSE)</f>
        <v>0</v>
      </c>
      <c r="V869" s="42"/>
      <c r="W869" s="42"/>
      <c r="X869" s="42"/>
      <c r="Y869" s="42"/>
      <c r="Z869" s="42"/>
      <c r="AA869" s="42"/>
      <c r="AB869" s="42" t="str">
        <f>IFERROR(__xludf.DUMMYFUNCTION("""COMPUTED_VALUE"""),"allen institute")</f>
        <v>allen institute</v>
      </c>
      <c r="AC869" s="42" t="str">
        <f>IFERROR(__xludf.DUMMYFUNCTION("""COMPUTED_VALUE"""),"DHBA")</f>
        <v>DHBA</v>
      </c>
      <c r="AD869" s="42"/>
      <c r="AE869" s="42"/>
      <c r="AF869" s="9"/>
      <c r="AG869" s="9"/>
      <c r="AH869" s="42"/>
      <c r="AI869" s="42"/>
      <c r="AJ869" s="42"/>
      <c r="AK869" s="42"/>
      <c r="AL869" s="42"/>
      <c r="AM869" s="42"/>
      <c r="AN869" s="42"/>
      <c r="AO869" s="63" t="str">
        <f>IFERROR(__xludf.DUMMYFUNCTION("IF(ISBLANK(A869),,IF(ISBLANK(S869), A869&amp;"";"", TEXTJOIN(CHAR(10), TRUE, A869&amp;"";"", ARRAYFORMULA(VLOOKUP(SPLIT(S869, "";"" &amp; CHAR(10)), $A:$AO, 41, FALSE)))))"),"OFCi;
A11;
A11m;
A11m1;
A11m2;
A11m3;
A11m4;
A11m5;
A11m6;
A11l;
A11l1;
A11l2;
A11l3;
A11l4;
A11l5;
A11l6;
A13;
A13m;
A13m1;
A13m2;
A13m3;
A13m4;
A13m5;
A13m6;
A13l;
A13l1;
A13l2;
A13l3;
A13l4;
A13l5;
A13l6;")</f>
        <v>OFCi;
A11;
A11m;
A11m1;
A11m2;
A11m3;
A11m4;
A11m5;
A11m6;
A11l;
A11l1;
A11l2;
A11l3;
A11l4;
A11l5;
A11l6;
A13;
A13m;
A13m1;
A13m2;
A13m3;
A13m4;
A13m5;
A13m6;
A13l;
A13l1;
A13l2;
A13l3;
A13l4;
A13l5;
A13l6;</v>
      </c>
      <c r="AP869" s="89"/>
    </row>
    <row r="870">
      <c r="A870" s="151" t="str">
        <f>IFERROR(__xludf.DUMMYFUNCTION("""COMPUTED_VALUE"""),"A11")</f>
        <v>A11</v>
      </c>
      <c r="B870" s="42" t="str">
        <f>IFERROR(__xludf.DUMMYFUNCTION("""COMPUTED_VALUE"""),"DHBA")</f>
        <v>DHBA</v>
      </c>
      <c r="C870" s="42" t="str">
        <f>IFERROR(__xludf.DUMMYFUNCTION("""COMPUTED_VALUE"""),"rostral division of OFCi (area 11)")</f>
        <v>rostral division of OFCi (area 11)</v>
      </c>
      <c r="D870" s="42">
        <f>IFERROR(__xludf.DUMMYFUNCTION("""COMPUTED_VALUE"""),814.0)</f>
        <v>814</v>
      </c>
      <c r="E870" s="39" t="str">
        <f>IFERROR(__xludf.DUMMYFUNCTION("""COMPUTED_VALUE"""),"rostral division of OFCi (area 11)")</f>
        <v>rostral division of OFCi (area 11)</v>
      </c>
      <c r="F870" s="9" t="str">
        <f>IFERROR(__xludf.DUMMYFUNCTION("""COMPUTED_VALUE"""),"Br")</f>
        <v>Br</v>
      </c>
      <c r="G870" s="9" t="str">
        <f>IFERROR(__xludf.DUMMYFUNCTION("""COMPUTED_VALUE"""),"F")</f>
        <v>F</v>
      </c>
      <c r="H870" s="9" t="str">
        <f>IFERROR(__xludf.DUMMYFUNCTION("""COMPUTED_VALUE"""),"FGM")</f>
        <v>FGM</v>
      </c>
      <c r="I870" s="9" t="str">
        <f>IFERROR(__xludf.DUMMYFUNCTION("""COMPUTED_VALUE"""),"Tel")</f>
        <v>Tel</v>
      </c>
      <c r="J870" s="9" t="str">
        <f>IFERROR(__xludf.DUMMYFUNCTION("""COMPUTED_VALUE"""),"Cx")</f>
        <v>Cx</v>
      </c>
      <c r="K870" s="9" t="str">
        <f>IFERROR(__xludf.DUMMYFUNCTION("""COMPUTED_VALUE"""),"NCx")</f>
        <v>NCx</v>
      </c>
      <c r="L870" s="9" t="str">
        <f>IFERROR(__xludf.DUMMYFUNCTION("""COMPUTED_VALUE"""),"FCx")</f>
        <v>FCx</v>
      </c>
      <c r="M870" s="9" t="str">
        <f>IFERROR(__xludf.DUMMYFUNCTION("""COMPUTED_VALUE"""),"OFC")</f>
        <v>OFC</v>
      </c>
      <c r="N870" s="9" t="str">
        <f>IFERROR(__xludf.DUMMYFUNCTION("""COMPUTED_VALUE"""),"OFCi")</f>
        <v>OFCi</v>
      </c>
      <c r="O870" s="9" t="str">
        <f>IFERROR(__xludf.DUMMYFUNCTION("""COMPUTED_VALUE"""),"A11")</f>
        <v>A11</v>
      </c>
      <c r="P870" s="9"/>
      <c r="Q870" s="9"/>
      <c r="R870" s="9"/>
      <c r="S870" s="42" t="str">
        <f>IFERROR(__xludf.DUMMYFUNCTION("""COMPUTED_VALUE"""),"A11m;
A11l")</f>
        <v>A11m;
A11l</v>
      </c>
      <c r="T870" s="42"/>
      <c r="U870" s="42" t="b">
        <f>IFERROR(__xludf.DUMMYFUNCTION("""COMPUTED_VALUE"""),FALSE)</f>
        <v>0</v>
      </c>
      <c r="V870" s="42"/>
      <c r="W870" s="42"/>
      <c r="X870" s="42"/>
      <c r="Y870" s="42"/>
      <c r="Z870" s="42"/>
      <c r="AA870" s="42"/>
      <c r="AB870" s="42" t="str">
        <f>IFERROR(__xludf.DUMMYFUNCTION("""COMPUTED_VALUE"""),"allen institute")</f>
        <v>allen institute</v>
      </c>
      <c r="AC870" s="42" t="str">
        <f>IFERROR(__xludf.DUMMYFUNCTION("""COMPUTED_VALUE"""),"DHBA")</f>
        <v>DHBA</v>
      </c>
      <c r="AD870" s="42"/>
      <c r="AE870" s="42"/>
      <c r="AF870" s="9"/>
      <c r="AG870" s="9"/>
      <c r="AH870" s="42"/>
      <c r="AI870" s="42"/>
      <c r="AJ870" s="42"/>
      <c r="AK870" s="42"/>
      <c r="AL870" s="42"/>
      <c r="AM870" s="42"/>
      <c r="AN870" s="42"/>
      <c r="AO870" s="63" t="str">
        <f>IFERROR(__xludf.DUMMYFUNCTION("IF(ISBLANK(A870),,IF(ISBLANK(S870), A870&amp;"";"", TEXTJOIN(CHAR(10), TRUE, A870&amp;"";"", ARRAYFORMULA(VLOOKUP(SPLIT(S870, "";"" &amp; CHAR(10)), $A:$AO, 41, FALSE)))))"),"A11;
A11m;
A11m1;
A11m2;
A11m3;
A11m4;
A11m5;
A11m6;
A11l;
A11l1;
A11l2;
A11l3;
A11l4;
A11l5;
A11l6;")</f>
        <v>A11;
A11m;
A11m1;
A11m2;
A11m3;
A11m4;
A11m5;
A11m6;
A11l;
A11l1;
A11l2;
A11l3;
A11l4;
A11l5;
A11l6;</v>
      </c>
      <c r="AP870" s="89"/>
    </row>
    <row r="871">
      <c r="A871" s="151" t="str">
        <f>IFERROR(__xludf.DUMMYFUNCTION("""COMPUTED_VALUE"""),"A11m")</f>
        <v>A11m</v>
      </c>
      <c r="B871" s="42" t="str">
        <f>IFERROR(__xludf.DUMMYFUNCTION("""COMPUTED_VALUE"""),"DHBA")</f>
        <v>DHBA</v>
      </c>
      <c r="C871" s="42" t="str">
        <f>IFERROR(__xludf.DUMMYFUNCTION("""COMPUTED_VALUE"""),"medial subdivision of area 11")</f>
        <v>medial subdivision of area 11</v>
      </c>
      <c r="D871" s="42">
        <f>IFERROR(__xludf.DUMMYFUNCTION("""COMPUTED_VALUE"""),815.0)</f>
        <v>815</v>
      </c>
      <c r="E871" s="39" t="str">
        <f>IFERROR(__xludf.DUMMYFUNCTION("""COMPUTED_VALUE"""),"medial subdivision of area 11")</f>
        <v>medial subdivision of area 11</v>
      </c>
      <c r="F871" s="9" t="str">
        <f>IFERROR(__xludf.DUMMYFUNCTION("""COMPUTED_VALUE"""),"Br")</f>
        <v>Br</v>
      </c>
      <c r="G871" s="9" t="str">
        <f>IFERROR(__xludf.DUMMYFUNCTION("""COMPUTED_VALUE"""),"F")</f>
        <v>F</v>
      </c>
      <c r="H871" s="9" t="str">
        <f>IFERROR(__xludf.DUMMYFUNCTION("""COMPUTED_VALUE"""),"FGM")</f>
        <v>FGM</v>
      </c>
      <c r="I871" s="9" t="str">
        <f>IFERROR(__xludf.DUMMYFUNCTION("""COMPUTED_VALUE"""),"Tel")</f>
        <v>Tel</v>
      </c>
      <c r="J871" s="9" t="str">
        <f>IFERROR(__xludf.DUMMYFUNCTION("""COMPUTED_VALUE"""),"Cx")</f>
        <v>Cx</v>
      </c>
      <c r="K871" s="9" t="str">
        <f>IFERROR(__xludf.DUMMYFUNCTION("""COMPUTED_VALUE"""),"NCx")</f>
        <v>NCx</v>
      </c>
      <c r="L871" s="9" t="str">
        <f>IFERROR(__xludf.DUMMYFUNCTION("""COMPUTED_VALUE"""),"FCx")</f>
        <v>FCx</v>
      </c>
      <c r="M871" s="9" t="str">
        <f>IFERROR(__xludf.DUMMYFUNCTION("""COMPUTED_VALUE"""),"OFC")</f>
        <v>OFC</v>
      </c>
      <c r="N871" s="9" t="str">
        <f>IFERROR(__xludf.DUMMYFUNCTION("""COMPUTED_VALUE"""),"OFCi")</f>
        <v>OFCi</v>
      </c>
      <c r="O871" s="9" t="str">
        <f>IFERROR(__xludf.DUMMYFUNCTION("""COMPUTED_VALUE"""),"A11")</f>
        <v>A11</v>
      </c>
      <c r="P871" s="9" t="str">
        <f>IFERROR(__xludf.DUMMYFUNCTION("""COMPUTED_VALUE"""),"A11m")</f>
        <v>A11m</v>
      </c>
      <c r="Q871" s="9"/>
      <c r="R871" s="9"/>
      <c r="S871" s="42" t="str">
        <f>IFERROR(__xludf.DUMMYFUNCTION("""COMPUTED_VALUE"""),"A11m1;
A11m2;
A11m3;
A11m4;
A11m5;
A11m6")</f>
        <v>A11m1;
A11m2;
A11m3;
A11m4;
A11m5;
A11m6</v>
      </c>
      <c r="T871" s="42"/>
      <c r="U871" s="42" t="b">
        <f>IFERROR(__xludf.DUMMYFUNCTION("""COMPUTED_VALUE"""),FALSE)</f>
        <v>0</v>
      </c>
      <c r="V871" s="42"/>
      <c r="W871" s="42"/>
      <c r="X871" s="42"/>
      <c r="Y871" s="42"/>
      <c r="Z871" s="42"/>
      <c r="AA871" s="42"/>
      <c r="AB871" s="42" t="str">
        <f>IFERROR(__xludf.DUMMYFUNCTION("""COMPUTED_VALUE"""),"allen institute")</f>
        <v>allen institute</v>
      </c>
      <c r="AC871" s="42" t="str">
        <f>IFERROR(__xludf.DUMMYFUNCTION("""COMPUTED_VALUE"""),"DHBA")</f>
        <v>DHBA</v>
      </c>
      <c r="AD871" s="42"/>
      <c r="AE871" s="42"/>
      <c r="AF871" s="9"/>
      <c r="AG871" s="9"/>
      <c r="AH871" s="42"/>
      <c r="AI871" s="42"/>
      <c r="AJ871" s="42"/>
      <c r="AK871" s="42"/>
      <c r="AL871" s="42"/>
      <c r="AM871" s="42"/>
      <c r="AN871" s="42"/>
      <c r="AO871" s="63" t="str">
        <f>IFERROR(__xludf.DUMMYFUNCTION("IF(ISBLANK(A871),,IF(ISBLANK(S871), A871&amp;"";"", TEXTJOIN(CHAR(10), TRUE, A871&amp;"";"", ARRAYFORMULA(VLOOKUP(SPLIT(S871, "";"" &amp; CHAR(10)), $A:$AO, 41, FALSE)))))"),"A11m;
A11m1;
A11m2;
A11m3;
A11m4;
A11m5;
A11m6;")</f>
        <v>A11m;
A11m1;
A11m2;
A11m3;
A11m4;
A11m5;
A11m6;</v>
      </c>
      <c r="AP871" s="89"/>
    </row>
    <row r="872">
      <c r="A872" s="151" t="str">
        <f>IFERROR(__xludf.DUMMYFUNCTION("""COMPUTED_VALUE"""),"A11m1")</f>
        <v>A11m1</v>
      </c>
      <c r="B872" s="42" t="str">
        <f>IFERROR(__xludf.DUMMYFUNCTION("""COMPUTED_VALUE"""),"DHBA")</f>
        <v>DHBA</v>
      </c>
      <c r="C872" s="42" t="str">
        <f>IFERROR(__xludf.DUMMYFUNCTION("""COMPUTED_VALUE"""),"layer I of area 11m")</f>
        <v>layer I of area 11m</v>
      </c>
      <c r="D872" s="42">
        <f>IFERROR(__xludf.DUMMYFUNCTION("""COMPUTED_VALUE"""),816.0)</f>
        <v>816</v>
      </c>
      <c r="E872" s="39" t="str">
        <f>IFERROR(__xludf.DUMMYFUNCTION("""COMPUTED_VALUE"""),"layer I of area 11m")</f>
        <v>layer I of area 11m</v>
      </c>
      <c r="F872" s="9" t="str">
        <f>IFERROR(__xludf.DUMMYFUNCTION("""COMPUTED_VALUE"""),"Br")</f>
        <v>Br</v>
      </c>
      <c r="G872" s="9" t="str">
        <f>IFERROR(__xludf.DUMMYFUNCTION("""COMPUTED_VALUE"""),"F")</f>
        <v>F</v>
      </c>
      <c r="H872" s="9" t="str">
        <f>IFERROR(__xludf.DUMMYFUNCTION("""COMPUTED_VALUE"""),"FGM")</f>
        <v>FGM</v>
      </c>
      <c r="I872" s="9" t="str">
        <f>IFERROR(__xludf.DUMMYFUNCTION("""COMPUTED_VALUE"""),"Tel")</f>
        <v>Tel</v>
      </c>
      <c r="J872" s="9" t="str">
        <f>IFERROR(__xludf.DUMMYFUNCTION("""COMPUTED_VALUE"""),"Cx")</f>
        <v>Cx</v>
      </c>
      <c r="K872" s="9" t="str">
        <f>IFERROR(__xludf.DUMMYFUNCTION("""COMPUTED_VALUE"""),"NCx")</f>
        <v>NCx</v>
      </c>
      <c r="L872" s="9" t="str">
        <f>IFERROR(__xludf.DUMMYFUNCTION("""COMPUTED_VALUE"""),"FCx")</f>
        <v>FCx</v>
      </c>
      <c r="M872" s="9" t="str">
        <f>IFERROR(__xludf.DUMMYFUNCTION("""COMPUTED_VALUE"""),"OFC")</f>
        <v>OFC</v>
      </c>
      <c r="N872" s="9" t="str">
        <f>IFERROR(__xludf.DUMMYFUNCTION("""COMPUTED_VALUE"""),"OFCi")</f>
        <v>OFCi</v>
      </c>
      <c r="O872" s="9" t="str">
        <f>IFERROR(__xludf.DUMMYFUNCTION("""COMPUTED_VALUE"""),"A11")</f>
        <v>A11</v>
      </c>
      <c r="P872" s="9" t="str">
        <f>IFERROR(__xludf.DUMMYFUNCTION("""COMPUTED_VALUE"""),"A11m")</f>
        <v>A11m</v>
      </c>
      <c r="Q872" s="9" t="str">
        <f>IFERROR(__xludf.DUMMYFUNCTION("""COMPUTED_VALUE"""),"A11m1")</f>
        <v>A11m1</v>
      </c>
      <c r="R872" s="9"/>
      <c r="S872" s="42"/>
      <c r="T872" s="42"/>
      <c r="U872" s="42"/>
      <c r="V872" s="42"/>
      <c r="W872" s="42"/>
      <c r="X872" s="42"/>
      <c r="Y872" s="42"/>
      <c r="Z872" s="42"/>
      <c r="AA872" s="42"/>
      <c r="AB872" s="42" t="str">
        <f>IFERROR(__xludf.DUMMYFUNCTION("""COMPUTED_VALUE"""),"allen institute")</f>
        <v>allen institute</v>
      </c>
      <c r="AC872" s="42" t="str">
        <f>IFERROR(__xludf.DUMMYFUNCTION("""COMPUTED_VALUE"""),"DHBA")</f>
        <v>DHBA</v>
      </c>
      <c r="AD872" s="42"/>
      <c r="AE872" s="42"/>
      <c r="AF872" s="9"/>
      <c r="AG872" s="9"/>
      <c r="AH872" s="42"/>
      <c r="AI872" s="42"/>
      <c r="AJ872" s="42"/>
      <c r="AK872" s="42"/>
      <c r="AL872" s="42"/>
      <c r="AM872" s="42"/>
      <c r="AN872" s="42"/>
      <c r="AO872" s="63" t="str">
        <f>IFERROR(__xludf.DUMMYFUNCTION("IF(ISBLANK(A872),,IF(ISBLANK(S872), A872&amp;"";"", TEXTJOIN(CHAR(10), TRUE, A872&amp;"";"", ARRAYFORMULA(VLOOKUP(SPLIT(S872, "";"" &amp; CHAR(10)), $A:$AO, 41, FALSE)))))"),"A11m1;")</f>
        <v>A11m1;</v>
      </c>
      <c r="AP872" s="89"/>
    </row>
    <row r="873">
      <c r="A873" s="151" t="str">
        <f>IFERROR(__xludf.DUMMYFUNCTION("""COMPUTED_VALUE"""),"A11m2")</f>
        <v>A11m2</v>
      </c>
      <c r="B873" s="42" t="str">
        <f>IFERROR(__xludf.DUMMYFUNCTION("""COMPUTED_VALUE"""),"DHBA")</f>
        <v>DHBA</v>
      </c>
      <c r="C873" s="42" t="str">
        <f>IFERROR(__xludf.DUMMYFUNCTION("""COMPUTED_VALUE"""),"layer II of area 11m")</f>
        <v>layer II of area 11m</v>
      </c>
      <c r="D873" s="42">
        <f>IFERROR(__xludf.DUMMYFUNCTION("""COMPUTED_VALUE"""),817.0)</f>
        <v>817</v>
      </c>
      <c r="E873" s="39" t="str">
        <f>IFERROR(__xludf.DUMMYFUNCTION("""COMPUTED_VALUE"""),"layer II of area 11m")</f>
        <v>layer II of area 11m</v>
      </c>
      <c r="F873" s="9" t="str">
        <f>IFERROR(__xludf.DUMMYFUNCTION("""COMPUTED_VALUE"""),"Br")</f>
        <v>Br</v>
      </c>
      <c r="G873" s="9" t="str">
        <f>IFERROR(__xludf.DUMMYFUNCTION("""COMPUTED_VALUE"""),"F")</f>
        <v>F</v>
      </c>
      <c r="H873" s="9" t="str">
        <f>IFERROR(__xludf.DUMMYFUNCTION("""COMPUTED_VALUE"""),"FGM")</f>
        <v>FGM</v>
      </c>
      <c r="I873" s="9" t="str">
        <f>IFERROR(__xludf.DUMMYFUNCTION("""COMPUTED_VALUE"""),"Tel")</f>
        <v>Tel</v>
      </c>
      <c r="J873" s="9" t="str">
        <f>IFERROR(__xludf.DUMMYFUNCTION("""COMPUTED_VALUE"""),"Cx")</f>
        <v>Cx</v>
      </c>
      <c r="K873" s="9" t="str">
        <f>IFERROR(__xludf.DUMMYFUNCTION("""COMPUTED_VALUE"""),"NCx")</f>
        <v>NCx</v>
      </c>
      <c r="L873" s="9" t="str">
        <f>IFERROR(__xludf.DUMMYFUNCTION("""COMPUTED_VALUE"""),"FCx")</f>
        <v>FCx</v>
      </c>
      <c r="M873" s="9" t="str">
        <f>IFERROR(__xludf.DUMMYFUNCTION("""COMPUTED_VALUE"""),"OFC")</f>
        <v>OFC</v>
      </c>
      <c r="N873" s="9" t="str">
        <f>IFERROR(__xludf.DUMMYFUNCTION("""COMPUTED_VALUE"""),"OFCi")</f>
        <v>OFCi</v>
      </c>
      <c r="O873" s="9" t="str">
        <f>IFERROR(__xludf.DUMMYFUNCTION("""COMPUTED_VALUE"""),"A11")</f>
        <v>A11</v>
      </c>
      <c r="P873" s="9" t="str">
        <f>IFERROR(__xludf.DUMMYFUNCTION("""COMPUTED_VALUE"""),"A11m")</f>
        <v>A11m</v>
      </c>
      <c r="Q873" s="9" t="str">
        <f>IFERROR(__xludf.DUMMYFUNCTION("""COMPUTED_VALUE"""),"A11m2")</f>
        <v>A11m2</v>
      </c>
      <c r="R873" s="9"/>
      <c r="S873" s="42"/>
      <c r="T873" s="42"/>
      <c r="U873" s="42"/>
      <c r="V873" s="42"/>
      <c r="W873" s="42"/>
      <c r="X873" s="42"/>
      <c r="Y873" s="42"/>
      <c r="Z873" s="42"/>
      <c r="AA873" s="42"/>
      <c r="AB873" s="42" t="str">
        <f>IFERROR(__xludf.DUMMYFUNCTION("""COMPUTED_VALUE"""),"allen institute")</f>
        <v>allen institute</v>
      </c>
      <c r="AC873" s="42" t="str">
        <f>IFERROR(__xludf.DUMMYFUNCTION("""COMPUTED_VALUE"""),"DHBA")</f>
        <v>DHBA</v>
      </c>
      <c r="AD873" s="42"/>
      <c r="AE873" s="42"/>
      <c r="AF873" s="9"/>
      <c r="AG873" s="9"/>
      <c r="AH873" s="42"/>
      <c r="AI873" s="42"/>
      <c r="AJ873" s="42"/>
      <c r="AK873" s="42"/>
      <c r="AL873" s="42"/>
      <c r="AM873" s="42"/>
      <c r="AN873" s="42"/>
      <c r="AO873" s="63" t="str">
        <f>IFERROR(__xludf.DUMMYFUNCTION("IF(ISBLANK(A873),,IF(ISBLANK(S873), A873&amp;"";"", TEXTJOIN(CHAR(10), TRUE, A873&amp;"";"", ARRAYFORMULA(VLOOKUP(SPLIT(S873, "";"" &amp; CHAR(10)), $A:$AO, 41, FALSE)))))"),"A11m2;")</f>
        <v>A11m2;</v>
      </c>
      <c r="AP873" s="89"/>
    </row>
    <row r="874">
      <c r="A874" s="151" t="str">
        <f>IFERROR(__xludf.DUMMYFUNCTION("""COMPUTED_VALUE"""),"A11m3")</f>
        <v>A11m3</v>
      </c>
      <c r="B874" s="42" t="str">
        <f>IFERROR(__xludf.DUMMYFUNCTION("""COMPUTED_VALUE"""),"DHBA")</f>
        <v>DHBA</v>
      </c>
      <c r="C874" s="42" t="str">
        <f>IFERROR(__xludf.DUMMYFUNCTION("""COMPUTED_VALUE"""),"layer III of area 11m")</f>
        <v>layer III of area 11m</v>
      </c>
      <c r="D874" s="42">
        <f>IFERROR(__xludf.DUMMYFUNCTION("""COMPUTED_VALUE"""),818.0)</f>
        <v>818</v>
      </c>
      <c r="E874" s="39" t="str">
        <f>IFERROR(__xludf.DUMMYFUNCTION("""COMPUTED_VALUE"""),"layer III of area 11m")</f>
        <v>layer III of area 11m</v>
      </c>
      <c r="F874" s="9" t="str">
        <f>IFERROR(__xludf.DUMMYFUNCTION("""COMPUTED_VALUE"""),"Br")</f>
        <v>Br</v>
      </c>
      <c r="G874" s="9" t="str">
        <f>IFERROR(__xludf.DUMMYFUNCTION("""COMPUTED_VALUE"""),"F")</f>
        <v>F</v>
      </c>
      <c r="H874" s="9" t="str">
        <f>IFERROR(__xludf.DUMMYFUNCTION("""COMPUTED_VALUE"""),"FGM")</f>
        <v>FGM</v>
      </c>
      <c r="I874" s="9" t="str">
        <f>IFERROR(__xludf.DUMMYFUNCTION("""COMPUTED_VALUE"""),"Tel")</f>
        <v>Tel</v>
      </c>
      <c r="J874" s="9" t="str">
        <f>IFERROR(__xludf.DUMMYFUNCTION("""COMPUTED_VALUE"""),"Cx")</f>
        <v>Cx</v>
      </c>
      <c r="K874" s="9" t="str">
        <f>IFERROR(__xludf.DUMMYFUNCTION("""COMPUTED_VALUE"""),"NCx")</f>
        <v>NCx</v>
      </c>
      <c r="L874" s="9" t="str">
        <f>IFERROR(__xludf.DUMMYFUNCTION("""COMPUTED_VALUE"""),"FCx")</f>
        <v>FCx</v>
      </c>
      <c r="M874" s="9" t="str">
        <f>IFERROR(__xludf.DUMMYFUNCTION("""COMPUTED_VALUE"""),"OFC")</f>
        <v>OFC</v>
      </c>
      <c r="N874" s="9" t="str">
        <f>IFERROR(__xludf.DUMMYFUNCTION("""COMPUTED_VALUE"""),"OFCi")</f>
        <v>OFCi</v>
      </c>
      <c r="O874" s="9" t="str">
        <f>IFERROR(__xludf.DUMMYFUNCTION("""COMPUTED_VALUE"""),"A11")</f>
        <v>A11</v>
      </c>
      <c r="P874" s="9" t="str">
        <f>IFERROR(__xludf.DUMMYFUNCTION("""COMPUTED_VALUE"""),"A11m")</f>
        <v>A11m</v>
      </c>
      <c r="Q874" s="9" t="str">
        <f>IFERROR(__xludf.DUMMYFUNCTION("""COMPUTED_VALUE"""),"A11m3")</f>
        <v>A11m3</v>
      </c>
      <c r="R874" s="9"/>
      <c r="S874" s="42"/>
      <c r="T874" s="42"/>
      <c r="U874" s="159"/>
      <c r="V874" s="42"/>
      <c r="W874" s="42"/>
      <c r="X874" s="42"/>
      <c r="Y874" s="42"/>
      <c r="Z874" s="42"/>
      <c r="AA874" s="42"/>
      <c r="AB874" s="42" t="str">
        <f>IFERROR(__xludf.DUMMYFUNCTION("""COMPUTED_VALUE"""),"allen institute")</f>
        <v>allen institute</v>
      </c>
      <c r="AC874" s="42" t="str">
        <f>IFERROR(__xludf.DUMMYFUNCTION("""COMPUTED_VALUE"""),"DHBA")</f>
        <v>DHBA</v>
      </c>
      <c r="AD874" s="42"/>
      <c r="AE874" s="42"/>
      <c r="AF874" s="9"/>
      <c r="AG874" s="9"/>
      <c r="AH874" s="42"/>
      <c r="AI874" s="42"/>
      <c r="AJ874" s="42"/>
      <c r="AK874" s="42"/>
      <c r="AL874" s="42"/>
      <c r="AM874" s="42"/>
      <c r="AN874" s="42"/>
      <c r="AO874" s="63" t="str">
        <f>IFERROR(__xludf.DUMMYFUNCTION("IF(ISBLANK(A874),,IF(ISBLANK(S874), A874&amp;"";"", TEXTJOIN(CHAR(10), TRUE, A874&amp;"";"", ARRAYFORMULA(VLOOKUP(SPLIT(S874, "";"" &amp; CHAR(10)), $A:$AO, 41, FALSE)))))"),"A11m3;")</f>
        <v>A11m3;</v>
      </c>
      <c r="AP874" s="89"/>
    </row>
    <row r="875">
      <c r="A875" s="151" t="str">
        <f>IFERROR(__xludf.DUMMYFUNCTION("""COMPUTED_VALUE"""),"A11m4")</f>
        <v>A11m4</v>
      </c>
      <c r="B875" s="42" t="str">
        <f>IFERROR(__xludf.DUMMYFUNCTION("""COMPUTED_VALUE"""),"DHBA")</f>
        <v>DHBA</v>
      </c>
      <c r="C875" s="42" t="str">
        <f>IFERROR(__xludf.DUMMYFUNCTION("""COMPUTED_VALUE"""),"layer IV of area 11m")</f>
        <v>layer IV of area 11m</v>
      </c>
      <c r="D875" s="42">
        <f>IFERROR(__xludf.DUMMYFUNCTION("""COMPUTED_VALUE"""),819.0)</f>
        <v>819</v>
      </c>
      <c r="E875" s="39" t="str">
        <f>IFERROR(__xludf.DUMMYFUNCTION("""COMPUTED_VALUE"""),"layer IV of area 11m")</f>
        <v>layer IV of area 11m</v>
      </c>
      <c r="F875" s="9" t="str">
        <f>IFERROR(__xludf.DUMMYFUNCTION("""COMPUTED_VALUE"""),"Br")</f>
        <v>Br</v>
      </c>
      <c r="G875" s="9" t="str">
        <f>IFERROR(__xludf.DUMMYFUNCTION("""COMPUTED_VALUE"""),"F")</f>
        <v>F</v>
      </c>
      <c r="H875" s="9" t="str">
        <f>IFERROR(__xludf.DUMMYFUNCTION("""COMPUTED_VALUE"""),"FGM")</f>
        <v>FGM</v>
      </c>
      <c r="I875" s="9" t="str">
        <f>IFERROR(__xludf.DUMMYFUNCTION("""COMPUTED_VALUE"""),"Tel")</f>
        <v>Tel</v>
      </c>
      <c r="J875" s="9" t="str">
        <f>IFERROR(__xludf.DUMMYFUNCTION("""COMPUTED_VALUE"""),"Cx")</f>
        <v>Cx</v>
      </c>
      <c r="K875" s="9" t="str">
        <f>IFERROR(__xludf.DUMMYFUNCTION("""COMPUTED_VALUE"""),"NCx")</f>
        <v>NCx</v>
      </c>
      <c r="L875" s="9" t="str">
        <f>IFERROR(__xludf.DUMMYFUNCTION("""COMPUTED_VALUE"""),"FCx")</f>
        <v>FCx</v>
      </c>
      <c r="M875" s="9" t="str">
        <f>IFERROR(__xludf.DUMMYFUNCTION("""COMPUTED_VALUE"""),"OFC")</f>
        <v>OFC</v>
      </c>
      <c r="N875" s="9" t="str">
        <f>IFERROR(__xludf.DUMMYFUNCTION("""COMPUTED_VALUE"""),"OFCi")</f>
        <v>OFCi</v>
      </c>
      <c r="O875" s="9" t="str">
        <f>IFERROR(__xludf.DUMMYFUNCTION("""COMPUTED_VALUE"""),"A11")</f>
        <v>A11</v>
      </c>
      <c r="P875" s="9" t="str">
        <f>IFERROR(__xludf.DUMMYFUNCTION("""COMPUTED_VALUE"""),"A11m")</f>
        <v>A11m</v>
      </c>
      <c r="Q875" s="9" t="str">
        <f>IFERROR(__xludf.DUMMYFUNCTION("""COMPUTED_VALUE"""),"A11m4")</f>
        <v>A11m4</v>
      </c>
      <c r="R875" s="9"/>
      <c r="S875" s="42"/>
      <c r="T875" s="42"/>
      <c r="U875" s="42"/>
      <c r="V875" s="42"/>
      <c r="W875" s="42"/>
      <c r="X875" s="42"/>
      <c r="Y875" s="42"/>
      <c r="Z875" s="42"/>
      <c r="AA875" s="42"/>
      <c r="AB875" s="42" t="str">
        <f>IFERROR(__xludf.DUMMYFUNCTION("""COMPUTED_VALUE"""),"allen institute")</f>
        <v>allen institute</v>
      </c>
      <c r="AC875" s="42" t="str">
        <f>IFERROR(__xludf.DUMMYFUNCTION("""COMPUTED_VALUE"""),"DHBA")</f>
        <v>DHBA</v>
      </c>
      <c r="AD875" s="42"/>
      <c r="AE875" s="42"/>
      <c r="AF875" s="9"/>
      <c r="AG875" s="9"/>
      <c r="AH875" s="42"/>
      <c r="AI875" s="42"/>
      <c r="AJ875" s="42"/>
      <c r="AK875" s="42"/>
      <c r="AL875" s="42"/>
      <c r="AM875" s="42"/>
      <c r="AN875" s="42"/>
      <c r="AO875" s="63" t="str">
        <f>IFERROR(__xludf.DUMMYFUNCTION("IF(ISBLANK(A875),,IF(ISBLANK(S875), A875&amp;"";"", TEXTJOIN(CHAR(10), TRUE, A875&amp;"";"", ARRAYFORMULA(VLOOKUP(SPLIT(S875, "";"" &amp; CHAR(10)), $A:$AO, 41, FALSE)))))"),"A11m4;")</f>
        <v>A11m4;</v>
      </c>
      <c r="AP875" s="89"/>
    </row>
    <row r="876">
      <c r="A876" s="151" t="str">
        <f>IFERROR(__xludf.DUMMYFUNCTION("""COMPUTED_VALUE"""),"A11m5")</f>
        <v>A11m5</v>
      </c>
      <c r="B876" s="42" t="str">
        <f>IFERROR(__xludf.DUMMYFUNCTION("""COMPUTED_VALUE"""),"DHBA")</f>
        <v>DHBA</v>
      </c>
      <c r="C876" s="42" t="str">
        <f>IFERROR(__xludf.DUMMYFUNCTION("""COMPUTED_VALUE"""),"layer V of area 11m")</f>
        <v>layer V of area 11m</v>
      </c>
      <c r="D876" s="42">
        <f>IFERROR(__xludf.DUMMYFUNCTION("""COMPUTED_VALUE"""),820.0)</f>
        <v>820</v>
      </c>
      <c r="E876" s="39" t="str">
        <f>IFERROR(__xludf.DUMMYFUNCTION("""COMPUTED_VALUE"""),"layer V of area 11m")</f>
        <v>layer V of area 11m</v>
      </c>
      <c r="F876" s="9" t="str">
        <f>IFERROR(__xludf.DUMMYFUNCTION("""COMPUTED_VALUE"""),"Br")</f>
        <v>Br</v>
      </c>
      <c r="G876" s="9" t="str">
        <f>IFERROR(__xludf.DUMMYFUNCTION("""COMPUTED_VALUE"""),"F")</f>
        <v>F</v>
      </c>
      <c r="H876" s="9" t="str">
        <f>IFERROR(__xludf.DUMMYFUNCTION("""COMPUTED_VALUE"""),"FGM")</f>
        <v>FGM</v>
      </c>
      <c r="I876" s="9" t="str">
        <f>IFERROR(__xludf.DUMMYFUNCTION("""COMPUTED_VALUE"""),"Tel")</f>
        <v>Tel</v>
      </c>
      <c r="J876" s="9" t="str">
        <f>IFERROR(__xludf.DUMMYFUNCTION("""COMPUTED_VALUE"""),"Cx")</f>
        <v>Cx</v>
      </c>
      <c r="K876" s="9" t="str">
        <f>IFERROR(__xludf.DUMMYFUNCTION("""COMPUTED_VALUE"""),"NCx")</f>
        <v>NCx</v>
      </c>
      <c r="L876" s="9" t="str">
        <f>IFERROR(__xludf.DUMMYFUNCTION("""COMPUTED_VALUE"""),"FCx")</f>
        <v>FCx</v>
      </c>
      <c r="M876" s="9" t="str">
        <f>IFERROR(__xludf.DUMMYFUNCTION("""COMPUTED_VALUE"""),"OFC")</f>
        <v>OFC</v>
      </c>
      <c r="N876" s="9" t="str">
        <f>IFERROR(__xludf.DUMMYFUNCTION("""COMPUTED_VALUE"""),"OFCi")</f>
        <v>OFCi</v>
      </c>
      <c r="O876" s="9" t="str">
        <f>IFERROR(__xludf.DUMMYFUNCTION("""COMPUTED_VALUE"""),"A11")</f>
        <v>A11</v>
      </c>
      <c r="P876" s="9" t="str">
        <f>IFERROR(__xludf.DUMMYFUNCTION("""COMPUTED_VALUE"""),"A11m")</f>
        <v>A11m</v>
      </c>
      <c r="Q876" s="9" t="str">
        <f>IFERROR(__xludf.DUMMYFUNCTION("""COMPUTED_VALUE"""),"A11m5")</f>
        <v>A11m5</v>
      </c>
      <c r="R876" s="9"/>
      <c r="S876" s="42"/>
      <c r="T876" s="42"/>
      <c r="U876" s="42"/>
      <c r="V876" s="42"/>
      <c r="W876" s="42"/>
      <c r="X876" s="42"/>
      <c r="Y876" s="42"/>
      <c r="Z876" s="42"/>
      <c r="AA876" s="42"/>
      <c r="AB876" s="42" t="str">
        <f>IFERROR(__xludf.DUMMYFUNCTION("""COMPUTED_VALUE"""),"allen institute")</f>
        <v>allen institute</v>
      </c>
      <c r="AC876" s="42" t="str">
        <f>IFERROR(__xludf.DUMMYFUNCTION("""COMPUTED_VALUE"""),"DHBA")</f>
        <v>DHBA</v>
      </c>
      <c r="AD876" s="42"/>
      <c r="AE876" s="42"/>
      <c r="AF876" s="9"/>
      <c r="AG876" s="9"/>
      <c r="AH876" s="42"/>
      <c r="AI876" s="42"/>
      <c r="AJ876" s="42"/>
      <c r="AK876" s="42"/>
      <c r="AL876" s="42"/>
      <c r="AM876" s="42"/>
      <c r="AN876" s="42"/>
      <c r="AO876" s="63" t="str">
        <f>IFERROR(__xludf.DUMMYFUNCTION("IF(ISBLANK(A876),,IF(ISBLANK(S876), A876&amp;"";"", TEXTJOIN(CHAR(10), TRUE, A876&amp;"";"", ARRAYFORMULA(VLOOKUP(SPLIT(S876, "";"" &amp; CHAR(10)), $A:$AO, 41, FALSE)))))"),"A11m5;")</f>
        <v>A11m5;</v>
      </c>
      <c r="AP876" s="89"/>
    </row>
    <row r="877">
      <c r="A877" s="151" t="str">
        <f>IFERROR(__xludf.DUMMYFUNCTION("""COMPUTED_VALUE"""),"A11m6")</f>
        <v>A11m6</v>
      </c>
      <c r="B877" s="42" t="str">
        <f>IFERROR(__xludf.DUMMYFUNCTION("""COMPUTED_VALUE"""),"DHBA")</f>
        <v>DHBA</v>
      </c>
      <c r="C877" s="42" t="str">
        <f>IFERROR(__xludf.DUMMYFUNCTION("""COMPUTED_VALUE"""),"layer VI of area 11m")</f>
        <v>layer VI of area 11m</v>
      </c>
      <c r="D877" s="42">
        <f>IFERROR(__xludf.DUMMYFUNCTION("""COMPUTED_VALUE"""),821.0)</f>
        <v>821</v>
      </c>
      <c r="E877" s="39" t="str">
        <f>IFERROR(__xludf.DUMMYFUNCTION("""COMPUTED_VALUE"""),"layer VI of area 11m")</f>
        <v>layer VI of area 11m</v>
      </c>
      <c r="F877" s="9" t="str">
        <f>IFERROR(__xludf.DUMMYFUNCTION("""COMPUTED_VALUE"""),"Br")</f>
        <v>Br</v>
      </c>
      <c r="G877" s="9" t="str">
        <f>IFERROR(__xludf.DUMMYFUNCTION("""COMPUTED_VALUE"""),"F")</f>
        <v>F</v>
      </c>
      <c r="H877" s="9" t="str">
        <f>IFERROR(__xludf.DUMMYFUNCTION("""COMPUTED_VALUE"""),"FGM")</f>
        <v>FGM</v>
      </c>
      <c r="I877" s="9" t="str">
        <f>IFERROR(__xludf.DUMMYFUNCTION("""COMPUTED_VALUE"""),"Tel")</f>
        <v>Tel</v>
      </c>
      <c r="J877" s="9" t="str">
        <f>IFERROR(__xludf.DUMMYFUNCTION("""COMPUTED_VALUE"""),"Cx")</f>
        <v>Cx</v>
      </c>
      <c r="K877" s="9" t="str">
        <f>IFERROR(__xludf.DUMMYFUNCTION("""COMPUTED_VALUE"""),"NCx")</f>
        <v>NCx</v>
      </c>
      <c r="L877" s="9" t="str">
        <f>IFERROR(__xludf.DUMMYFUNCTION("""COMPUTED_VALUE"""),"FCx")</f>
        <v>FCx</v>
      </c>
      <c r="M877" s="9" t="str">
        <f>IFERROR(__xludf.DUMMYFUNCTION("""COMPUTED_VALUE"""),"OFC")</f>
        <v>OFC</v>
      </c>
      <c r="N877" s="9" t="str">
        <f>IFERROR(__xludf.DUMMYFUNCTION("""COMPUTED_VALUE"""),"OFCi")</f>
        <v>OFCi</v>
      </c>
      <c r="O877" s="9" t="str">
        <f>IFERROR(__xludf.DUMMYFUNCTION("""COMPUTED_VALUE"""),"A11")</f>
        <v>A11</v>
      </c>
      <c r="P877" s="9" t="str">
        <f>IFERROR(__xludf.DUMMYFUNCTION("""COMPUTED_VALUE"""),"A11m")</f>
        <v>A11m</v>
      </c>
      <c r="Q877" s="9" t="str">
        <f>IFERROR(__xludf.DUMMYFUNCTION("""COMPUTED_VALUE"""),"A11m6")</f>
        <v>A11m6</v>
      </c>
      <c r="R877" s="9"/>
      <c r="S877" s="42"/>
      <c r="T877" s="42"/>
      <c r="U877" s="42"/>
      <c r="V877" s="42"/>
      <c r="W877" s="42"/>
      <c r="X877" s="42"/>
      <c r="Y877" s="42"/>
      <c r="Z877" s="42"/>
      <c r="AA877" s="42"/>
      <c r="AB877" s="42" t="str">
        <f>IFERROR(__xludf.DUMMYFUNCTION("""COMPUTED_VALUE"""),"allen institute")</f>
        <v>allen institute</v>
      </c>
      <c r="AC877" s="42" t="str">
        <f>IFERROR(__xludf.DUMMYFUNCTION("""COMPUTED_VALUE"""),"DHBA")</f>
        <v>DHBA</v>
      </c>
      <c r="AD877" s="42"/>
      <c r="AE877" s="42"/>
      <c r="AF877" s="9"/>
      <c r="AG877" s="9"/>
      <c r="AH877" s="42"/>
      <c r="AI877" s="42"/>
      <c r="AJ877" s="42"/>
      <c r="AK877" s="42"/>
      <c r="AL877" s="42"/>
      <c r="AM877" s="42"/>
      <c r="AN877" s="42"/>
      <c r="AO877" s="63" t="str">
        <f>IFERROR(__xludf.DUMMYFUNCTION("IF(ISBLANK(A877),,IF(ISBLANK(S877), A877&amp;"";"", TEXTJOIN(CHAR(10), TRUE, A877&amp;"";"", ARRAYFORMULA(VLOOKUP(SPLIT(S877, "";"" &amp; CHAR(10)), $A:$AO, 41, FALSE)))))"),"A11m6;")</f>
        <v>A11m6;</v>
      </c>
      <c r="AP877" s="89"/>
    </row>
    <row r="878">
      <c r="A878" s="151" t="str">
        <f>IFERROR(__xludf.DUMMYFUNCTION("""COMPUTED_VALUE"""),"A11l")</f>
        <v>A11l</v>
      </c>
      <c r="B878" s="42" t="str">
        <f>IFERROR(__xludf.DUMMYFUNCTION("""COMPUTED_VALUE"""),"DHBA")</f>
        <v>DHBA</v>
      </c>
      <c r="C878" s="42" t="str">
        <f>IFERROR(__xludf.DUMMYFUNCTION("""COMPUTED_VALUE"""),"lateral subdivision of area 11")</f>
        <v>lateral subdivision of area 11</v>
      </c>
      <c r="D878" s="42">
        <f>IFERROR(__xludf.DUMMYFUNCTION("""COMPUTED_VALUE"""),822.0)</f>
        <v>822</v>
      </c>
      <c r="E878" s="39" t="str">
        <f>IFERROR(__xludf.DUMMYFUNCTION("""COMPUTED_VALUE"""),"lateral subdivision of area 11")</f>
        <v>lateral subdivision of area 11</v>
      </c>
      <c r="F878" s="9" t="str">
        <f>IFERROR(__xludf.DUMMYFUNCTION("""COMPUTED_VALUE"""),"Br")</f>
        <v>Br</v>
      </c>
      <c r="G878" s="9" t="str">
        <f>IFERROR(__xludf.DUMMYFUNCTION("""COMPUTED_VALUE"""),"F")</f>
        <v>F</v>
      </c>
      <c r="H878" s="9" t="str">
        <f>IFERROR(__xludf.DUMMYFUNCTION("""COMPUTED_VALUE"""),"FGM")</f>
        <v>FGM</v>
      </c>
      <c r="I878" s="9" t="str">
        <f>IFERROR(__xludf.DUMMYFUNCTION("""COMPUTED_VALUE"""),"Tel")</f>
        <v>Tel</v>
      </c>
      <c r="J878" s="9" t="str">
        <f>IFERROR(__xludf.DUMMYFUNCTION("""COMPUTED_VALUE"""),"Cx")</f>
        <v>Cx</v>
      </c>
      <c r="K878" s="9" t="str">
        <f>IFERROR(__xludf.DUMMYFUNCTION("""COMPUTED_VALUE"""),"NCx")</f>
        <v>NCx</v>
      </c>
      <c r="L878" s="9" t="str">
        <f>IFERROR(__xludf.DUMMYFUNCTION("""COMPUTED_VALUE"""),"FCx")</f>
        <v>FCx</v>
      </c>
      <c r="M878" s="9" t="str">
        <f>IFERROR(__xludf.DUMMYFUNCTION("""COMPUTED_VALUE"""),"OFC")</f>
        <v>OFC</v>
      </c>
      <c r="N878" s="9" t="str">
        <f>IFERROR(__xludf.DUMMYFUNCTION("""COMPUTED_VALUE"""),"OFCi")</f>
        <v>OFCi</v>
      </c>
      <c r="O878" s="9" t="str">
        <f>IFERROR(__xludf.DUMMYFUNCTION("""COMPUTED_VALUE"""),"A11")</f>
        <v>A11</v>
      </c>
      <c r="P878" s="9" t="str">
        <f>IFERROR(__xludf.DUMMYFUNCTION("""COMPUTED_VALUE"""),"A11l")</f>
        <v>A11l</v>
      </c>
      <c r="Q878" s="9"/>
      <c r="R878" s="9"/>
      <c r="S878" s="42" t="str">
        <f>IFERROR(__xludf.DUMMYFUNCTION("""COMPUTED_VALUE"""),"A11l1;
A11l2;
A11l3;
A11l4;
A11l5;
A11l6")</f>
        <v>A11l1;
A11l2;
A11l3;
A11l4;
A11l5;
A11l6</v>
      </c>
      <c r="T878" s="42"/>
      <c r="U878" s="42" t="b">
        <f>IFERROR(__xludf.DUMMYFUNCTION("""COMPUTED_VALUE"""),FALSE)</f>
        <v>0</v>
      </c>
      <c r="V878" s="42"/>
      <c r="W878" s="42"/>
      <c r="X878" s="42"/>
      <c r="Y878" s="42"/>
      <c r="Z878" s="42"/>
      <c r="AA878" s="42"/>
      <c r="AB878" s="42" t="str">
        <f>IFERROR(__xludf.DUMMYFUNCTION("""COMPUTED_VALUE"""),"allen institute")</f>
        <v>allen institute</v>
      </c>
      <c r="AC878" s="42" t="str">
        <f>IFERROR(__xludf.DUMMYFUNCTION("""COMPUTED_VALUE"""),"DHBA")</f>
        <v>DHBA</v>
      </c>
      <c r="AD878" s="42"/>
      <c r="AE878" s="42"/>
      <c r="AF878" s="9"/>
      <c r="AG878" s="9"/>
      <c r="AH878" s="42"/>
      <c r="AI878" s="42"/>
      <c r="AJ878" s="42"/>
      <c r="AK878" s="42"/>
      <c r="AL878" s="42"/>
      <c r="AM878" s="42"/>
      <c r="AN878" s="42"/>
      <c r="AO878" s="63" t="str">
        <f>IFERROR(__xludf.DUMMYFUNCTION("IF(ISBLANK(A878),,IF(ISBLANK(S878), A878&amp;"";"", TEXTJOIN(CHAR(10), TRUE, A878&amp;"";"", ARRAYFORMULA(VLOOKUP(SPLIT(S878, "";"" &amp; CHAR(10)), $A:$AO, 41, FALSE)))))"),"A11l;
A11l1;
A11l2;
A11l3;
A11l4;
A11l5;
A11l6;")</f>
        <v>A11l;
A11l1;
A11l2;
A11l3;
A11l4;
A11l5;
A11l6;</v>
      </c>
      <c r="AP878" s="89"/>
    </row>
    <row r="879">
      <c r="A879" s="151" t="str">
        <f>IFERROR(__xludf.DUMMYFUNCTION("""COMPUTED_VALUE"""),"A11l1")</f>
        <v>A11l1</v>
      </c>
      <c r="B879" s="42" t="str">
        <f>IFERROR(__xludf.DUMMYFUNCTION("""COMPUTED_VALUE"""),"DHBA")</f>
        <v>DHBA</v>
      </c>
      <c r="C879" s="42" t="str">
        <f>IFERROR(__xludf.DUMMYFUNCTION("""COMPUTED_VALUE"""),"layer I of area 11l")</f>
        <v>layer I of area 11l</v>
      </c>
      <c r="D879" s="42">
        <f>IFERROR(__xludf.DUMMYFUNCTION("""COMPUTED_VALUE"""),823.0)</f>
        <v>823</v>
      </c>
      <c r="E879" s="39" t="str">
        <f>IFERROR(__xludf.DUMMYFUNCTION("""COMPUTED_VALUE"""),"layer I of area 11l")</f>
        <v>layer I of area 11l</v>
      </c>
      <c r="F879" s="9" t="str">
        <f>IFERROR(__xludf.DUMMYFUNCTION("""COMPUTED_VALUE"""),"Br")</f>
        <v>Br</v>
      </c>
      <c r="G879" s="9" t="str">
        <f>IFERROR(__xludf.DUMMYFUNCTION("""COMPUTED_VALUE"""),"F")</f>
        <v>F</v>
      </c>
      <c r="H879" s="9" t="str">
        <f>IFERROR(__xludf.DUMMYFUNCTION("""COMPUTED_VALUE"""),"FGM")</f>
        <v>FGM</v>
      </c>
      <c r="I879" s="9" t="str">
        <f>IFERROR(__xludf.DUMMYFUNCTION("""COMPUTED_VALUE"""),"Tel")</f>
        <v>Tel</v>
      </c>
      <c r="J879" s="9" t="str">
        <f>IFERROR(__xludf.DUMMYFUNCTION("""COMPUTED_VALUE"""),"Cx")</f>
        <v>Cx</v>
      </c>
      <c r="K879" s="9" t="str">
        <f>IFERROR(__xludf.DUMMYFUNCTION("""COMPUTED_VALUE"""),"NCx")</f>
        <v>NCx</v>
      </c>
      <c r="L879" s="9" t="str">
        <f>IFERROR(__xludf.DUMMYFUNCTION("""COMPUTED_VALUE"""),"FCx")</f>
        <v>FCx</v>
      </c>
      <c r="M879" s="9" t="str">
        <f>IFERROR(__xludf.DUMMYFUNCTION("""COMPUTED_VALUE"""),"OFC")</f>
        <v>OFC</v>
      </c>
      <c r="N879" s="9" t="str">
        <f>IFERROR(__xludf.DUMMYFUNCTION("""COMPUTED_VALUE"""),"OFCi")</f>
        <v>OFCi</v>
      </c>
      <c r="O879" s="9" t="str">
        <f>IFERROR(__xludf.DUMMYFUNCTION("""COMPUTED_VALUE"""),"A11")</f>
        <v>A11</v>
      </c>
      <c r="P879" s="9" t="str">
        <f>IFERROR(__xludf.DUMMYFUNCTION("""COMPUTED_VALUE"""),"A11l")</f>
        <v>A11l</v>
      </c>
      <c r="Q879" s="9" t="str">
        <f>IFERROR(__xludf.DUMMYFUNCTION("""COMPUTED_VALUE"""),"A11l1")</f>
        <v>A11l1</v>
      </c>
      <c r="R879" s="9"/>
      <c r="S879" s="42"/>
      <c r="T879" s="42"/>
      <c r="U879" s="42"/>
      <c r="V879" s="42"/>
      <c r="W879" s="42"/>
      <c r="X879" s="42"/>
      <c r="Y879" s="42"/>
      <c r="Z879" s="42"/>
      <c r="AA879" s="42"/>
      <c r="AB879" s="42" t="str">
        <f>IFERROR(__xludf.DUMMYFUNCTION("""COMPUTED_VALUE"""),"allen institute")</f>
        <v>allen institute</v>
      </c>
      <c r="AC879" s="42" t="str">
        <f>IFERROR(__xludf.DUMMYFUNCTION("""COMPUTED_VALUE"""),"DHBA")</f>
        <v>DHBA</v>
      </c>
      <c r="AD879" s="42"/>
      <c r="AE879" s="42"/>
      <c r="AF879" s="9"/>
      <c r="AG879" s="9"/>
      <c r="AH879" s="42"/>
      <c r="AI879" s="42"/>
      <c r="AJ879" s="42"/>
      <c r="AK879" s="42"/>
      <c r="AL879" s="42"/>
      <c r="AM879" s="42"/>
      <c r="AN879" s="42"/>
      <c r="AO879" s="63" t="str">
        <f>IFERROR(__xludf.DUMMYFUNCTION("IF(ISBLANK(A879),,IF(ISBLANK(S879), A879&amp;"";"", TEXTJOIN(CHAR(10), TRUE, A879&amp;"";"", ARRAYFORMULA(VLOOKUP(SPLIT(S879, "";"" &amp; CHAR(10)), $A:$AO, 41, FALSE)))))"),"A11l1;")</f>
        <v>A11l1;</v>
      </c>
      <c r="AP879" s="89"/>
    </row>
    <row r="880">
      <c r="A880" s="151" t="str">
        <f>IFERROR(__xludf.DUMMYFUNCTION("""COMPUTED_VALUE"""),"A11l2")</f>
        <v>A11l2</v>
      </c>
      <c r="B880" s="42" t="str">
        <f>IFERROR(__xludf.DUMMYFUNCTION("""COMPUTED_VALUE"""),"DHBA")</f>
        <v>DHBA</v>
      </c>
      <c r="C880" s="42" t="str">
        <f>IFERROR(__xludf.DUMMYFUNCTION("""COMPUTED_VALUE"""),"layer II of area 11l")</f>
        <v>layer II of area 11l</v>
      </c>
      <c r="D880" s="42">
        <f>IFERROR(__xludf.DUMMYFUNCTION("""COMPUTED_VALUE"""),824.0)</f>
        <v>824</v>
      </c>
      <c r="E880" s="39" t="str">
        <f>IFERROR(__xludf.DUMMYFUNCTION("""COMPUTED_VALUE"""),"layer II of area 11l")</f>
        <v>layer II of area 11l</v>
      </c>
      <c r="F880" s="9" t="str">
        <f>IFERROR(__xludf.DUMMYFUNCTION("""COMPUTED_VALUE"""),"Br")</f>
        <v>Br</v>
      </c>
      <c r="G880" s="9" t="str">
        <f>IFERROR(__xludf.DUMMYFUNCTION("""COMPUTED_VALUE"""),"F")</f>
        <v>F</v>
      </c>
      <c r="H880" s="9" t="str">
        <f>IFERROR(__xludf.DUMMYFUNCTION("""COMPUTED_VALUE"""),"FGM")</f>
        <v>FGM</v>
      </c>
      <c r="I880" s="9" t="str">
        <f>IFERROR(__xludf.DUMMYFUNCTION("""COMPUTED_VALUE"""),"Tel")</f>
        <v>Tel</v>
      </c>
      <c r="J880" s="9" t="str">
        <f>IFERROR(__xludf.DUMMYFUNCTION("""COMPUTED_VALUE"""),"Cx")</f>
        <v>Cx</v>
      </c>
      <c r="K880" s="9" t="str">
        <f>IFERROR(__xludf.DUMMYFUNCTION("""COMPUTED_VALUE"""),"NCx")</f>
        <v>NCx</v>
      </c>
      <c r="L880" s="9" t="str">
        <f>IFERROR(__xludf.DUMMYFUNCTION("""COMPUTED_VALUE"""),"FCx")</f>
        <v>FCx</v>
      </c>
      <c r="M880" s="9" t="str">
        <f>IFERROR(__xludf.DUMMYFUNCTION("""COMPUTED_VALUE"""),"OFC")</f>
        <v>OFC</v>
      </c>
      <c r="N880" s="9" t="str">
        <f>IFERROR(__xludf.DUMMYFUNCTION("""COMPUTED_VALUE"""),"OFCi")</f>
        <v>OFCi</v>
      </c>
      <c r="O880" s="9" t="str">
        <f>IFERROR(__xludf.DUMMYFUNCTION("""COMPUTED_VALUE"""),"A11")</f>
        <v>A11</v>
      </c>
      <c r="P880" s="9" t="str">
        <f>IFERROR(__xludf.DUMMYFUNCTION("""COMPUTED_VALUE"""),"A11l")</f>
        <v>A11l</v>
      </c>
      <c r="Q880" s="9" t="str">
        <f>IFERROR(__xludf.DUMMYFUNCTION("""COMPUTED_VALUE"""),"A11l2")</f>
        <v>A11l2</v>
      </c>
      <c r="R880" s="9"/>
      <c r="S880" s="42"/>
      <c r="T880" s="42"/>
      <c r="U880" s="42"/>
      <c r="V880" s="42"/>
      <c r="W880" s="42"/>
      <c r="X880" s="42"/>
      <c r="Y880" s="42"/>
      <c r="Z880" s="42"/>
      <c r="AA880" s="42"/>
      <c r="AB880" s="42" t="str">
        <f>IFERROR(__xludf.DUMMYFUNCTION("""COMPUTED_VALUE"""),"allen institute")</f>
        <v>allen institute</v>
      </c>
      <c r="AC880" s="42" t="str">
        <f>IFERROR(__xludf.DUMMYFUNCTION("""COMPUTED_VALUE"""),"DHBA")</f>
        <v>DHBA</v>
      </c>
      <c r="AD880" s="42"/>
      <c r="AE880" s="42"/>
      <c r="AF880" s="9"/>
      <c r="AG880" s="9"/>
      <c r="AH880" s="42"/>
      <c r="AI880" s="42"/>
      <c r="AJ880" s="42"/>
      <c r="AK880" s="42"/>
      <c r="AL880" s="42"/>
      <c r="AM880" s="42"/>
      <c r="AN880" s="42"/>
      <c r="AO880" s="63" t="str">
        <f>IFERROR(__xludf.DUMMYFUNCTION("IF(ISBLANK(A880),,IF(ISBLANK(S880), A880&amp;"";"", TEXTJOIN(CHAR(10), TRUE, A880&amp;"";"", ARRAYFORMULA(VLOOKUP(SPLIT(S880, "";"" &amp; CHAR(10)), $A:$AO, 41, FALSE)))))"),"A11l2;")</f>
        <v>A11l2;</v>
      </c>
      <c r="AP880" s="89"/>
    </row>
    <row r="881">
      <c r="A881" s="151" t="str">
        <f>IFERROR(__xludf.DUMMYFUNCTION("""COMPUTED_VALUE"""),"A11l3")</f>
        <v>A11l3</v>
      </c>
      <c r="B881" s="42" t="str">
        <f>IFERROR(__xludf.DUMMYFUNCTION("""COMPUTED_VALUE"""),"DHBA")</f>
        <v>DHBA</v>
      </c>
      <c r="C881" s="42" t="str">
        <f>IFERROR(__xludf.DUMMYFUNCTION("""COMPUTED_VALUE"""),"layer III of area 11l")</f>
        <v>layer III of area 11l</v>
      </c>
      <c r="D881" s="42">
        <f>IFERROR(__xludf.DUMMYFUNCTION("""COMPUTED_VALUE"""),825.0)</f>
        <v>825</v>
      </c>
      <c r="E881" s="39" t="str">
        <f>IFERROR(__xludf.DUMMYFUNCTION("""COMPUTED_VALUE"""),"layer III of area 11l")</f>
        <v>layer III of area 11l</v>
      </c>
      <c r="F881" s="9" t="str">
        <f>IFERROR(__xludf.DUMMYFUNCTION("""COMPUTED_VALUE"""),"Br")</f>
        <v>Br</v>
      </c>
      <c r="G881" s="9" t="str">
        <f>IFERROR(__xludf.DUMMYFUNCTION("""COMPUTED_VALUE"""),"F")</f>
        <v>F</v>
      </c>
      <c r="H881" s="9" t="str">
        <f>IFERROR(__xludf.DUMMYFUNCTION("""COMPUTED_VALUE"""),"FGM")</f>
        <v>FGM</v>
      </c>
      <c r="I881" s="9" t="str">
        <f>IFERROR(__xludf.DUMMYFUNCTION("""COMPUTED_VALUE"""),"Tel")</f>
        <v>Tel</v>
      </c>
      <c r="J881" s="9" t="str">
        <f>IFERROR(__xludf.DUMMYFUNCTION("""COMPUTED_VALUE"""),"Cx")</f>
        <v>Cx</v>
      </c>
      <c r="K881" s="9" t="str">
        <f>IFERROR(__xludf.DUMMYFUNCTION("""COMPUTED_VALUE"""),"NCx")</f>
        <v>NCx</v>
      </c>
      <c r="L881" s="9" t="str">
        <f>IFERROR(__xludf.DUMMYFUNCTION("""COMPUTED_VALUE"""),"FCx")</f>
        <v>FCx</v>
      </c>
      <c r="M881" s="9" t="str">
        <f>IFERROR(__xludf.DUMMYFUNCTION("""COMPUTED_VALUE"""),"OFC")</f>
        <v>OFC</v>
      </c>
      <c r="N881" s="9" t="str">
        <f>IFERROR(__xludf.DUMMYFUNCTION("""COMPUTED_VALUE"""),"OFCi")</f>
        <v>OFCi</v>
      </c>
      <c r="O881" s="9" t="str">
        <f>IFERROR(__xludf.DUMMYFUNCTION("""COMPUTED_VALUE"""),"A11")</f>
        <v>A11</v>
      </c>
      <c r="P881" s="9" t="str">
        <f>IFERROR(__xludf.DUMMYFUNCTION("""COMPUTED_VALUE"""),"A11l")</f>
        <v>A11l</v>
      </c>
      <c r="Q881" s="9" t="str">
        <f>IFERROR(__xludf.DUMMYFUNCTION("""COMPUTED_VALUE"""),"A11l3")</f>
        <v>A11l3</v>
      </c>
      <c r="R881" s="9"/>
      <c r="S881" s="42"/>
      <c r="T881" s="42"/>
      <c r="U881" s="42"/>
      <c r="V881" s="42"/>
      <c r="W881" s="42"/>
      <c r="X881" s="42"/>
      <c r="Y881" s="42"/>
      <c r="Z881" s="42"/>
      <c r="AA881" s="42"/>
      <c r="AB881" s="42" t="str">
        <f>IFERROR(__xludf.DUMMYFUNCTION("""COMPUTED_VALUE"""),"allen institute")</f>
        <v>allen institute</v>
      </c>
      <c r="AC881" s="42" t="str">
        <f>IFERROR(__xludf.DUMMYFUNCTION("""COMPUTED_VALUE"""),"DHBA")</f>
        <v>DHBA</v>
      </c>
      <c r="AD881" s="42"/>
      <c r="AE881" s="42"/>
      <c r="AF881" s="9"/>
      <c r="AG881" s="9"/>
      <c r="AH881" s="42"/>
      <c r="AI881" s="42"/>
      <c r="AJ881" s="42"/>
      <c r="AK881" s="42"/>
      <c r="AL881" s="42"/>
      <c r="AM881" s="42"/>
      <c r="AN881" s="42"/>
      <c r="AO881" s="63" t="str">
        <f>IFERROR(__xludf.DUMMYFUNCTION("IF(ISBLANK(A881),,IF(ISBLANK(S881), A881&amp;"";"", TEXTJOIN(CHAR(10), TRUE, A881&amp;"";"", ARRAYFORMULA(VLOOKUP(SPLIT(S881, "";"" &amp; CHAR(10)), $A:$AO, 41, FALSE)))))"),"A11l3;")</f>
        <v>A11l3;</v>
      </c>
      <c r="AP881" s="89"/>
    </row>
    <row r="882">
      <c r="A882" s="151" t="str">
        <f>IFERROR(__xludf.DUMMYFUNCTION("""COMPUTED_VALUE"""),"A11l4")</f>
        <v>A11l4</v>
      </c>
      <c r="B882" s="42" t="str">
        <f>IFERROR(__xludf.DUMMYFUNCTION("""COMPUTED_VALUE"""),"DHBA")</f>
        <v>DHBA</v>
      </c>
      <c r="C882" s="42" t="str">
        <f>IFERROR(__xludf.DUMMYFUNCTION("""COMPUTED_VALUE"""),"layer IV of area 11l")</f>
        <v>layer IV of area 11l</v>
      </c>
      <c r="D882" s="42">
        <f>IFERROR(__xludf.DUMMYFUNCTION("""COMPUTED_VALUE"""),826.0)</f>
        <v>826</v>
      </c>
      <c r="E882" s="39" t="str">
        <f>IFERROR(__xludf.DUMMYFUNCTION("""COMPUTED_VALUE"""),"layer IV of area 11l")</f>
        <v>layer IV of area 11l</v>
      </c>
      <c r="F882" s="9" t="str">
        <f>IFERROR(__xludf.DUMMYFUNCTION("""COMPUTED_VALUE"""),"Br")</f>
        <v>Br</v>
      </c>
      <c r="G882" s="9" t="str">
        <f>IFERROR(__xludf.DUMMYFUNCTION("""COMPUTED_VALUE"""),"F")</f>
        <v>F</v>
      </c>
      <c r="H882" s="9" t="str">
        <f>IFERROR(__xludf.DUMMYFUNCTION("""COMPUTED_VALUE"""),"FGM")</f>
        <v>FGM</v>
      </c>
      <c r="I882" s="9" t="str">
        <f>IFERROR(__xludf.DUMMYFUNCTION("""COMPUTED_VALUE"""),"Tel")</f>
        <v>Tel</v>
      </c>
      <c r="J882" s="9" t="str">
        <f>IFERROR(__xludf.DUMMYFUNCTION("""COMPUTED_VALUE"""),"Cx")</f>
        <v>Cx</v>
      </c>
      <c r="K882" s="9" t="str">
        <f>IFERROR(__xludf.DUMMYFUNCTION("""COMPUTED_VALUE"""),"NCx")</f>
        <v>NCx</v>
      </c>
      <c r="L882" s="9" t="str">
        <f>IFERROR(__xludf.DUMMYFUNCTION("""COMPUTED_VALUE"""),"FCx")</f>
        <v>FCx</v>
      </c>
      <c r="M882" s="9" t="str">
        <f>IFERROR(__xludf.DUMMYFUNCTION("""COMPUTED_VALUE"""),"OFC")</f>
        <v>OFC</v>
      </c>
      <c r="N882" s="9" t="str">
        <f>IFERROR(__xludf.DUMMYFUNCTION("""COMPUTED_VALUE"""),"OFCi")</f>
        <v>OFCi</v>
      </c>
      <c r="O882" s="9" t="str">
        <f>IFERROR(__xludf.DUMMYFUNCTION("""COMPUTED_VALUE"""),"A11")</f>
        <v>A11</v>
      </c>
      <c r="P882" s="9" t="str">
        <f>IFERROR(__xludf.DUMMYFUNCTION("""COMPUTED_VALUE"""),"A11l")</f>
        <v>A11l</v>
      </c>
      <c r="Q882" s="9" t="str">
        <f>IFERROR(__xludf.DUMMYFUNCTION("""COMPUTED_VALUE"""),"A11l4")</f>
        <v>A11l4</v>
      </c>
      <c r="R882" s="9"/>
      <c r="S882" s="42"/>
      <c r="T882" s="42"/>
      <c r="U882" s="42"/>
      <c r="V882" s="42"/>
      <c r="W882" s="42"/>
      <c r="X882" s="42"/>
      <c r="Y882" s="42"/>
      <c r="Z882" s="42"/>
      <c r="AA882" s="42"/>
      <c r="AB882" s="42" t="str">
        <f>IFERROR(__xludf.DUMMYFUNCTION("""COMPUTED_VALUE"""),"allen institute")</f>
        <v>allen institute</v>
      </c>
      <c r="AC882" s="42" t="str">
        <f>IFERROR(__xludf.DUMMYFUNCTION("""COMPUTED_VALUE"""),"DHBA")</f>
        <v>DHBA</v>
      </c>
      <c r="AD882" s="42"/>
      <c r="AE882" s="42"/>
      <c r="AF882" s="9"/>
      <c r="AG882" s="9"/>
      <c r="AH882" s="42"/>
      <c r="AI882" s="42"/>
      <c r="AJ882" s="42"/>
      <c r="AK882" s="42"/>
      <c r="AL882" s="42"/>
      <c r="AM882" s="42"/>
      <c r="AN882" s="42"/>
      <c r="AO882" s="63" t="str">
        <f>IFERROR(__xludf.DUMMYFUNCTION("IF(ISBLANK(A882),,IF(ISBLANK(S882), A882&amp;"";"", TEXTJOIN(CHAR(10), TRUE, A882&amp;"";"", ARRAYFORMULA(VLOOKUP(SPLIT(S882, "";"" &amp; CHAR(10)), $A:$AO, 41, FALSE)))))"),"A11l4;")</f>
        <v>A11l4;</v>
      </c>
      <c r="AP882" s="89"/>
    </row>
    <row r="883">
      <c r="A883" s="151" t="str">
        <f>IFERROR(__xludf.DUMMYFUNCTION("""COMPUTED_VALUE"""),"A11l5")</f>
        <v>A11l5</v>
      </c>
      <c r="B883" s="42" t="str">
        <f>IFERROR(__xludf.DUMMYFUNCTION("""COMPUTED_VALUE"""),"DHBA")</f>
        <v>DHBA</v>
      </c>
      <c r="C883" s="42" t="str">
        <f>IFERROR(__xludf.DUMMYFUNCTION("""COMPUTED_VALUE"""),"layer V of area 11l")</f>
        <v>layer V of area 11l</v>
      </c>
      <c r="D883" s="42">
        <f>IFERROR(__xludf.DUMMYFUNCTION("""COMPUTED_VALUE"""),827.0)</f>
        <v>827</v>
      </c>
      <c r="E883" s="39" t="str">
        <f>IFERROR(__xludf.DUMMYFUNCTION("""COMPUTED_VALUE"""),"layer V of area 11l")</f>
        <v>layer V of area 11l</v>
      </c>
      <c r="F883" s="9" t="str">
        <f>IFERROR(__xludf.DUMMYFUNCTION("""COMPUTED_VALUE"""),"Br")</f>
        <v>Br</v>
      </c>
      <c r="G883" s="9" t="str">
        <f>IFERROR(__xludf.DUMMYFUNCTION("""COMPUTED_VALUE"""),"F")</f>
        <v>F</v>
      </c>
      <c r="H883" s="9" t="str">
        <f>IFERROR(__xludf.DUMMYFUNCTION("""COMPUTED_VALUE"""),"FGM")</f>
        <v>FGM</v>
      </c>
      <c r="I883" s="9" t="str">
        <f>IFERROR(__xludf.DUMMYFUNCTION("""COMPUTED_VALUE"""),"Tel")</f>
        <v>Tel</v>
      </c>
      <c r="J883" s="9" t="str">
        <f>IFERROR(__xludf.DUMMYFUNCTION("""COMPUTED_VALUE"""),"Cx")</f>
        <v>Cx</v>
      </c>
      <c r="K883" s="9" t="str">
        <f>IFERROR(__xludf.DUMMYFUNCTION("""COMPUTED_VALUE"""),"NCx")</f>
        <v>NCx</v>
      </c>
      <c r="L883" s="9" t="str">
        <f>IFERROR(__xludf.DUMMYFUNCTION("""COMPUTED_VALUE"""),"FCx")</f>
        <v>FCx</v>
      </c>
      <c r="M883" s="9" t="str">
        <f>IFERROR(__xludf.DUMMYFUNCTION("""COMPUTED_VALUE"""),"OFC")</f>
        <v>OFC</v>
      </c>
      <c r="N883" s="9" t="str">
        <f>IFERROR(__xludf.DUMMYFUNCTION("""COMPUTED_VALUE"""),"OFCi")</f>
        <v>OFCi</v>
      </c>
      <c r="O883" s="9" t="str">
        <f>IFERROR(__xludf.DUMMYFUNCTION("""COMPUTED_VALUE"""),"A11")</f>
        <v>A11</v>
      </c>
      <c r="P883" s="9" t="str">
        <f>IFERROR(__xludf.DUMMYFUNCTION("""COMPUTED_VALUE"""),"A11l")</f>
        <v>A11l</v>
      </c>
      <c r="Q883" s="9" t="str">
        <f>IFERROR(__xludf.DUMMYFUNCTION("""COMPUTED_VALUE"""),"A11l5")</f>
        <v>A11l5</v>
      </c>
      <c r="R883" s="9"/>
      <c r="S883" s="42"/>
      <c r="T883" s="42"/>
      <c r="U883" s="42"/>
      <c r="V883" s="42"/>
      <c r="W883" s="42"/>
      <c r="X883" s="42"/>
      <c r="Y883" s="42"/>
      <c r="Z883" s="42"/>
      <c r="AA883" s="42"/>
      <c r="AB883" s="42" t="str">
        <f>IFERROR(__xludf.DUMMYFUNCTION("""COMPUTED_VALUE"""),"allen institute")</f>
        <v>allen institute</v>
      </c>
      <c r="AC883" s="42" t="str">
        <f>IFERROR(__xludf.DUMMYFUNCTION("""COMPUTED_VALUE"""),"DHBA")</f>
        <v>DHBA</v>
      </c>
      <c r="AD883" s="42"/>
      <c r="AE883" s="42"/>
      <c r="AF883" s="9"/>
      <c r="AG883" s="9"/>
      <c r="AH883" s="42"/>
      <c r="AI883" s="42"/>
      <c r="AJ883" s="42"/>
      <c r="AK883" s="42"/>
      <c r="AL883" s="42"/>
      <c r="AM883" s="42"/>
      <c r="AN883" s="42"/>
      <c r="AO883" s="63" t="str">
        <f>IFERROR(__xludf.DUMMYFUNCTION("IF(ISBLANK(A883),,IF(ISBLANK(S883), A883&amp;"";"", TEXTJOIN(CHAR(10), TRUE, A883&amp;"";"", ARRAYFORMULA(VLOOKUP(SPLIT(S883, "";"" &amp; CHAR(10)), $A:$AO, 41, FALSE)))))"),"A11l5;")</f>
        <v>A11l5;</v>
      </c>
      <c r="AP883" s="89"/>
    </row>
    <row r="884">
      <c r="A884" s="151" t="str">
        <f>IFERROR(__xludf.DUMMYFUNCTION("""COMPUTED_VALUE"""),"A11l6")</f>
        <v>A11l6</v>
      </c>
      <c r="B884" s="42" t="str">
        <f>IFERROR(__xludf.DUMMYFUNCTION("""COMPUTED_VALUE"""),"DHBA")</f>
        <v>DHBA</v>
      </c>
      <c r="C884" s="42" t="str">
        <f>IFERROR(__xludf.DUMMYFUNCTION("""COMPUTED_VALUE"""),"layer VI of area 11l")</f>
        <v>layer VI of area 11l</v>
      </c>
      <c r="D884" s="42">
        <f>IFERROR(__xludf.DUMMYFUNCTION("""COMPUTED_VALUE"""),828.0)</f>
        <v>828</v>
      </c>
      <c r="E884" s="39" t="str">
        <f>IFERROR(__xludf.DUMMYFUNCTION("""COMPUTED_VALUE"""),"layer VI of area 11l")</f>
        <v>layer VI of area 11l</v>
      </c>
      <c r="F884" s="9" t="str">
        <f>IFERROR(__xludf.DUMMYFUNCTION("""COMPUTED_VALUE"""),"Br")</f>
        <v>Br</v>
      </c>
      <c r="G884" s="9" t="str">
        <f>IFERROR(__xludf.DUMMYFUNCTION("""COMPUTED_VALUE"""),"F")</f>
        <v>F</v>
      </c>
      <c r="H884" s="9" t="str">
        <f>IFERROR(__xludf.DUMMYFUNCTION("""COMPUTED_VALUE"""),"FGM")</f>
        <v>FGM</v>
      </c>
      <c r="I884" s="9" t="str">
        <f>IFERROR(__xludf.DUMMYFUNCTION("""COMPUTED_VALUE"""),"Tel")</f>
        <v>Tel</v>
      </c>
      <c r="J884" s="9" t="str">
        <f>IFERROR(__xludf.DUMMYFUNCTION("""COMPUTED_VALUE"""),"Cx")</f>
        <v>Cx</v>
      </c>
      <c r="K884" s="9" t="str">
        <f>IFERROR(__xludf.DUMMYFUNCTION("""COMPUTED_VALUE"""),"NCx")</f>
        <v>NCx</v>
      </c>
      <c r="L884" s="9" t="str">
        <f>IFERROR(__xludf.DUMMYFUNCTION("""COMPUTED_VALUE"""),"FCx")</f>
        <v>FCx</v>
      </c>
      <c r="M884" s="9" t="str">
        <f>IFERROR(__xludf.DUMMYFUNCTION("""COMPUTED_VALUE"""),"OFC")</f>
        <v>OFC</v>
      </c>
      <c r="N884" s="9" t="str">
        <f>IFERROR(__xludf.DUMMYFUNCTION("""COMPUTED_VALUE"""),"OFCi")</f>
        <v>OFCi</v>
      </c>
      <c r="O884" s="9" t="str">
        <f>IFERROR(__xludf.DUMMYFUNCTION("""COMPUTED_VALUE"""),"A11")</f>
        <v>A11</v>
      </c>
      <c r="P884" s="9" t="str">
        <f>IFERROR(__xludf.DUMMYFUNCTION("""COMPUTED_VALUE"""),"A11l")</f>
        <v>A11l</v>
      </c>
      <c r="Q884" s="9" t="str">
        <f>IFERROR(__xludf.DUMMYFUNCTION("""COMPUTED_VALUE"""),"A11l6")</f>
        <v>A11l6</v>
      </c>
      <c r="R884" s="9"/>
      <c r="S884" s="42"/>
      <c r="T884" s="42"/>
      <c r="U884" s="42"/>
      <c r="V884" s="42"/>
      <c r="W884" s="42"/>
      <c r="X884" s="42"/>
      <c r="Y884" s="42"/>
      <c r="Z884" s="42"/>
      <c r="AA884" s="42"/>
      <c r="AB884" s="42" t="str">
        <f>IFERROR(__xludf.DUMMYFUNCTION("""COMPUTED_VALUE"""),"allen institute")</f>
        <v>allen institute</v>
      </c>
      <c r="AC884" s="42" t="str">
        <f>IFERROR(__xludf.DUMMYFUNCTION("""COMPUTED_VALUE"""),"DHBA")</f>
        <v>DHBA</v>
      </c>
      <c r="AD884" s="42"/>
      <c r="AE884" s="42"/>
      <c r="AF884" s="9"/>
      <c r="AG884" s="9"/>
      <c r="AH884" s="42"/>
      <c r="AI884" s="42"/>
      <c r="AJ884" s="42"/>
      <c r="AK884" s="42"/>
      <c r="AL884" s="42"/>
      <c r="AM884" s="42"/>
      <c r="AN884" s="42"/>
      <c r="AO884" s="63" t="str">
        <f>IFERROR(__xludf.DUMMYFUNCTION("IF(ISBLANK(A884),,IF(ISBLANK(S884), A884&amp;"";"", TEXTJOIN(CHAR(10), TRUE, A884&amp;"";"", ARRAYFORMULA(VLOOKUP(SPLIT(S884, "";"" &amp; CHAR(10)), $A:$AO, 41, FALSE)))))"),"A11l6;")</f>
        <v>A11l6;</v>
      </c>
      <c r="AP884" s="89"/>
    </row>
    <row r="885">
      <c r="A885" s="151" t="str">
        <f>IFERROR(__xludf.DUMMYFUNCTION("""COMPUTED_VALUE"""),"A13")</f>
        <v>A13</v>
      </c>
      <c r="B885" s="42" t="str">
        <f>IFERROR(__xludf.DUMMYFUNCTION("""COMPUTED_VALUE"""),"DHBA")</f>
        <v>DHBA</v>
      </c>
      <c r="C885" s="42" t="str">
        <f>IFERROR(__xludf.DUMMYFUNCTION("""COMPUTED_VALUE"""),"caudal division of OFCi (area 13)")</f>
        <v>caudal division of OFCi (area 13)</v>
      </c>
      <c r="D885" s="42">
        <f>IFERROR(__xludf.DUMMYFUNCTION("""COMPUTED_VALUE"""),829.0)</f>
        <v>829</v>
      </c>
      <c r="E885" s="39" t="str">
        <f>IFERROR(__xludf.DUMMYFUNCTION("""COMPUTED_VALUE"""),"caudal division of OFCi (area 13)")</f>
        <v>caudal division of OFCi (area 13)</v>
      </c>
      <c r="F885" s="9" t="str">
        <f>IFERROR(__xludf.DUMMYFUNCTION("""COMPUTED_VALUE"""),"Br")</f>
        <v>Br</v>
      </c>
      <c r="G885" s="9" t="str">
        <f>IFERROR(__xludf.DUMMYFUNCTION("""COMPUTED_VALUE"""),"F")</f>
        <v>F</v>
      </c>
      <c r="H885" s="9" t="str">
        <f>IFERROR(__xludf.DUMMYFUNCTION("""COMPUTED_VALUE"""),"FGM")</f>
        <v>FGM</v>
      </c>
      <c r="I885" s="9" t="str">
        <f>IFERROR(__xludf.DUMMYFUNCTION("""COMPUTED_VALUE"""),"Tel")</f>
        <v>Tel</v>
      </c>
      <c r="J885" s="9" t="str">
        <f>IFERROR(__xludf.DUMMYFUNCTION("""COMPUTED_VALUE"""),"Cx")</f>
        <v>Cx</v>
      </c>
      <c r="K885" s="9" t="str">
        <f>IFERROR(__xludf.DUMMYFUNCTION("""COMPUTED_VALUE"""),"NCx")</f>
        <v>NCx</v>
      </c>
      <c r="L885" s="9" t="str">
        <f>IFERROR(__xludf.DUMMYFUNCTION("""COMPUTED_VALUE"""),"FCx")</f>
        <v>FCx</v>
      </c>
      <c r="M885" s="9" t="str">
        <f>IFERROR(__xludf.DUMMYFUNCTION("""COMPUTED_VALUE"""),"OFC")</f>
        <v>OFC</v>
      </c>
      <c r="N885" s="9" t="str">
        <f>IFERROR(__xludf.DUMMYFUNCTION("""COMPUTED_VALUE"""),"OFCi")</f>
        <v>OFCi</v>
      </c>
      <c r="O885" s="9" t="str">
        <f>IFERROR(__xludf.DUMMYFUNCTION("""COMPUTED_VALUE"""),"A13")</f>
        <v>A13</v>
      </c>
      <c r="P885" s="9"/>
      <c r="Q885" s="9"/>
      <c r="R885" s="9"/>
      <c r="S885" s="42" t="str">
        <f>IFERROR(__xludf.DUMMYFUNCTION("""COMPUTED_VALUE"""),"A13m;
A13l")</f>
        <v>A13m;
A13l</v>
      </c>
      <c r="T885" s="42"/>
      <c r="U885" s="42" t="b">
        <f>IFERROR(__xludf.DUMMYFUNCTION("""COMPUTED_VALUE"""),FALSE)</f>
        <v>0</v>
      </c>
      <c r="V885" s="42"/>
      <c r="W885" s="42"/>
      <c r="X885" s="42"/>
      <c r="Y885" s="42"/>
      <c r="Z885" s="42"/>
      <c r="AA885" s="42"/>
      <c r="AB885" s="42" t="str">
        <f>IFERROR(__xludf.DUMMYFUNCTION("""COMPUTED_VALUE"""),"allen institute")</f>
        <v>allen institute</v>
      </c>
      <c r="AC885" s="42" t="str">
        <f>IFERROR(__xludf.DUMMYFUNCTION("""COMPUTED_VALUE"""),"DHBA")</f>
        <v>DHBA</v>
      </c>
      <c r="AD885" s="42"/>
      <c r="AE885" s="42"/>
      <c r="AF885" s="9"/>
      <c r="AG885" s="9"/>
      <c r="AH885" s="42"/>
      <c r="AI885" s="42"/>
      <c r="AJ885" s="42"/>
      <c r="AK885" s="42"/>
      <c r="AL885" s="42"/>
      <c r="AM885" s="42"/>
      <c r="AN885" s="42"/>
      <c r="AO885" s="63" t="str">
        <f>IFERROR(__xludf.DUMMYFUNCTION("IF(ISBLANK(A885),,IF(ISBLANK(S885), A885&amp;"";"", TEXTJOIN(CHAR(10), TRUE, A885&amp;"";"", ARRAYFORMULA(VLOOKUP(SPLIT(S885, "";"" &amp; CHAR(10)), $A:$AO, 41, FALSE)))))"),"A13;
A13m;
A13m1;
A13m2;
A13m3;
A13m4;
A13m5;
A13m6;
A13l;
A13l1;
A13l2;
A13l3;
A13l4;
A13l5;
A13l6;")</f>
        <v>A13;
A13m;
A13m1;
A13m2;
A13m3;
A13m4;
A13m5;
A13m6;
A13l;
A13l1;
A13l2;
A13l3;
A13l4;
A13l5;
A13l6;</v>
      </c>
      <c r="AP885" s="89"/>
    </row>
    <row r="886">
      <c r="A886" s="151" t="str">
        <f>IFERROR(__xludf.DUMMYFUNCTION("""COMPUTED_VALUE"""),"A13m")</f>
        <v>A13m</v>
      </c>
      <c r="B886" s="42" t="str">
        <f>IFERROR(__xludf.DUMMYFUNCTION("""COMPUTED_VALUE"""),"DHBA")</f>
        <v>DHBA</v>
      </c>
      <c r="C886" s="42" t="str">
        <f>IFERROR(__xludf.DUMMYFUNCTION("""COMPUTED_VALUE"""),"medial subdivision of area 13")</f>
        <v>medial subdivision of area 13</v>
      </c>
      <c r="D886" s="42">
        <f>IFERROR(__xludf.DUMMYFUNCTION("""COMPUTED_VALUE"""),830.0)</f>
        <v>830</v>
      </c>
      <c r="E886" s="39" t="str">
        <f>IFERROR(__xludf.DUMMYFUNCTION("""COMPUTED_VALUE"""),"medial subdivision of area 13")</f>
        <v>medial subdivision of area 13</v>
      </c>
      <c r="F886" s="9" t="str">
        <f>IFERROR(__xludf.DUMMYFUNCTION("""COMPUTED_VALUE"""),"Br")</f>
        <v>Br</v>
      </c>
      <c r="G886" s="9" t="str">
        <f>IFERROR(__xludf.DUMMYFUNCTION("""COMPUTED_VALUE"""),"F")</f>
        <v>F</v>
      </c>
      <c r="H886" s="9" t="str">
        <f>IFERROR(__xludf.DUMMYFUNCTION("""COMPUTED_VALUE"""),"FGM")</f>
        <v>FGM</v>
      </c>
      <c r="I886" s="9" t="str">
        <f>IFERROR(__xludf.DUMMYFUNCTION("""COMPUTED_VALUE"""),"Tel")</f>
        <v>Tel</v>
      </c>
      <c r="J886" s="9" t="str">
        <f>IFERROR(__xludf.DUMMYFUNCTION("""COMPUTED_VALUE"""),"Cx")</f>
        <v>Cx</v>
      </c>
      <c r="K886" s="9" t="str">
        <f>IFERROR(__xludf.DUMMYFUNCTION("""COMPUTED_VALUE"""),"NCx")</f>
        <v>NCx</v>
      </c>
      <c r="L886" s="9" t="str">
        <f>IFERROR(__xludf.DUMMYFUNCTION("""COMPUTED_VALUE"""),"FCx")</f>
        <v>FCx</v>
      </c>
      <c r="M886" s="9" t="str">
        <f>IFERROR(__xludf.DUMMYFUNCTION("""COMPUTED_VALUE"""),"OFC")</f>
        <v>OFC</v>
      </c>
      <c r="N886" s="9" t="str">
        <f>IFERROR(__xludf.DUMMYFUNCTION("""COMPUTED_VALUE"""),"OFCi")</f>
        <v>OFCi</v>
      </c>
      <c r="O886" s="9" t="str">
        <f>IFERROR(__xludf.DUMMYFUNCTION("""COMPUTED_VALUE"""),"A13")</f>
        <v>A13</v>
      </c>
      <c r="P886" s="9" t="str">
        <f>IFERROR(__xludf.DUMMYFUNCTION("""COMPUTED_VALUE"""),"A13m")</f>
        <v>A13m</v>
      </c>
      <c r="Q886" s="9"/>
      <c r="R886" s="9"/>
      <c r="S886" s="42" t="str">
        <f>IFERROR(__xludf.DUMMYFUNCTION("""COMPUTED_VALUE"""),"A13m1;
A13m2;
A13m3;
A13m4;
A13m5;
A13m6")</f>
        <v>A13m1;
A13m2;
A13m3;
A13m4;
A13m5;
A13m6</v>
      </c>
      <c r="T886" s="42"/>
      <c r="U886" s="42" t="b">
        <f>IFERROR(__xludf.DUMMYFUNCTION("""COMPUTED_VALUE"""),FALSE)</f>
        <v>0</v>
      </c>
      <c r="V886" s="42"/>
      <c r="W886" s="42"/>
      <c r="X886" s="42"/>
      <c r="Y886" s="42"/>
      <c r="Z886" s="42"/>
      <c r="AA886" s="42"/>
      <c r="AB886" s="42" t="str">
        <f>IFERROR(__xludf.DUMMYFUNCTION("""COMPUTED_VALUE"""),"allen institute")</f>
        <v>allen institute</v>
      </c>
      <c r="AC886" s="42" t="str">
        <f>IFERROR(__xludf.DUMMYFUNCTION("""COMPUTED_VALUE"""),"DHBA")</f>
        <v>DHBA</v>
      </c>
      <c r="AD886" s="42"/>
      <c r="AE886" s="42"/>
      <c r="AF886" s="9"/>
      <c r="AG886" s="9"/>
      <c r="AH886" s="42"/>
      <c r="AI886" s="42"/>
      <c r="AJ886" s="42"/>
      <c r="AK886" s="42"/>
      <c r="AL886" s="42"/>
      <c r="AM886" s="42"/>
      <c r="AN886" s="42"/>
      <c r="AO886" s="63" t="str">
        <f>IFERROR(__xludf.DUMMYFUNCTION("IF(ISBLANK(A886),,IF(ISBLANK(S886), A886&amp;"";"", TEXTJOIN(CHAR(10), TRUE, A886&amp;"";"", ARRAYFORMULA(VLOOKUP(SPLIT(S886, "";"" &amp; CHAR(10)), $A:$AO, 41, FALSE)))))"),"A13m;
A13m1;
A13m2;
A13m3;
A13m4;
A13m5;
A13m6;")</f>
        <v>A13m;
A13m1;
A13m2;
A13m3;
A13m4;
A13m5;
A13m6;</v>
      </c>
      <c r="AP886" s="89"/>
    </row>
    <row r="887">
      <c r="A887" s="151" t="str">
        <f>IFERROR(__xludf.DUMMYFUNCTION("""COMPUTED_VALUE"""),"A13m1")</f>
        <v>A13m1</v>
      </c>
      <c r="B887" s="42" t="str">
        <f>IFERROR(__xludf.DUMMYFUNCTION("""COMPUTED_VALUE"""),"DHBA")</f>
        <v>DHBA</v>
      </c>
      <c r="C887" s="42" t="str">
        <f>IFERROR(__xludf.DUMMYFUNCTION("""COMPUTED_VALUE"""),"layer I of area 13m")</f>
        <v>layer I of area 13m</v>
      </c>
      <c r="D887" s="42">
        <f>IFERROR(__xludf.DUMMYFUNCTION("""COMPUTED_VALUE"""),831.0)</f>
        <v>831</v>
      </c>
      <c r="E887" s="39" t="str">
        <f>IFERROR(__xludf.DUMMYFUNCTION("""COMPUTED_VALUE"""),"layer I of area 13m")</f>
        <v>layer I of area 13m</v>
      </c>
      <c r="F887" s="9" t="str">
        <f>IFERROR(__xludf.DUMMYFUNCTION("""COMPUTED_VALUE"""),"Br")</f>
        <v>Br</v>
      </c>
      <c r="G887" s="9" t="str">
        <f>IFERROR(__xludf.DUMMYFUNCTION("""COMPUTED_VALUE"""),"F")</f>
        <v>F</v>
      </c>
      <c r="H887" s="9" t="str">
        <f>IFERROR(__xludf.DUMMYFUNCTION("""COMPUTED_VALUE"""),"FGM")</f>
        <v>FGM</v>
      </c>
      <c r="I887" s="9" t="str">
        <f>IFERROR(__xludf.DUMMYFUNCTION("""COMPUTED_VALUE"""),"Tel")</f>
        <v>Tel</v>
      </c>
      <c r="J887" s="9" t="str">
        <f>IFERROR(__xludf.DUMMYFUNCTION("""COMPUTED_VALUE"""),"Cx")</f>
        <v>Cx</v>
      </c>
      <c r="K887" s="9" t="str">
        <f>IFERROR(__xludf.DUMMYFUNCTION("""COMPUTED_VALUE"""),"NCx")</f>
        <v>NCx</v>
      </c>
      <c r="L887" s="9" t="str">
        <f>IFERROR(__xludf.DUMMYFUNCTION("""COMPUTED_VALUE"""),"FCx")</f>
        <v>FCx</v>
      </c>
      <c r="M887" s="9" t="str">
        <f>IFERROR(__xludf.DUMMYFUNCTION("""COMPUTED_VALUE"""),"OFC")</f>
        <v>OFC</v>
      </c>
      <c r="N887" s="9" t="str">
        <f>IFERROR(__xludf.DUMMYFUNCTION("""COMPUTED_VALUE"""),"OFCi")</f>
        <v>OFCi</v>
      </c>
      <c r="O887" s="9" t="str">
        <f>IFERROR(__xludf.DUMMYFUNCTION("""COMPUTED_VALUE"""),"A13")</f>
        <v>A13</v>
      </c>
      <c r="P887" s="9" t="str">
        <f>IFERROR(__xludf.DUMMYFUNCTION("""COMPUTED_VALUE"""),"A13m")</f>
        <v>A13m</v>
      </c>
      <c r="Q887" s="9" t="str">
        <f>IFERROR(__xludf.DUMMYFUNCTION("""COMPUTED_VALUE"""),"A13m1")</f>
        <v>A13m1</v>
      </c>
      <c r="R887" s="9"/>
      <c r="S887" s="42"/>
      <c r="T887" s="42"/>
      <c r="U887" s="42"/>
      <c r="V887" s="42"/>
      <c r="W887" s="42"/>
      <c r="X887" s="42"/>
      <c r="Y887" s="42"/>
      <c r="Z887" s="42"/>
      <c r="AA887" s="42"/>
      <c r="AB887" s="42" t="str">
        <f>IFERROR(__xludf.DUMMYFUNCTION("""COMPUTED_VALUE"""),"allen institute")</f>
        <v>allen institute</v>
      </c>
      <c r="AC887" s="42" t="str">
        <f>IFERROR(__xludf.DUMMYFUNCTION("""COMPUTED_VALUE"""),"DHBA")</f>
        <v>DHBA</v>
      </c>
      <c r="AD887" s="42"/>
      <c r="AE887" s="42"/>
      <c r="AF887" s="9"/>
      <c r="AG887" s="9"/>
      <c r="AH887" s="42"/>
      <c r="AI887" s="42"/>
      <c r="AJ887" s="42"/>
      <c r="AK887" s="42"/>
      <c r="AL887" s="42"/>
      <c r="AM887" s="42"/>
      <c r="AN887" s="42"/>
      <c r="AO887" s="63" t="str">
        <f>IFERROR(__xludf.DUMMYFUNCTION("IF(ISBLANK(A887),,IF(ISBLANK(S887), A887&amp;"";"", TEXTJOIN(CHAR(10), TRUE, A887&amp;"";"", ARRAYFORMULA(VLOOKUP(SPLIT(S887, "";"" &amp; CHAR(10)), $A:$AO, 41, FALSE)))))"),"A13m1;")</f>
        <v>A13m1;</v>
      </c>
      <c r="AP887" s="89"/>
    </row>
    <row r="888">
      <c r="A888" s="151" t="str">
        <f>IFERROR(__xludf.DUMMYFUNCTION("""COMPUTED_VALUE"""),"A13m2")</f>
        <v>A13m2</v>
      </c>
      <c r="B888" s="42" t="str">
        <f>IFERROR(__xludf.DUMMYFUNCTION("""COMPUTED_VALUE"""),"DHBA")</f>
        <v>DHBA</v>
      </c>
      <c r="C888" s="42" t="str">
        <f>IFERROR(__xludf.DUMMYFUNCTION("""COMPUTED_VALUE"""),"layer II of area 13m")</f>
        <v>layer II of area 13m</v>
      </c>
      <c r="D888" s="42">
        <f>IFERROR(__xludf.DUMMYFUNCTION("""COMPUTED_VALUE"""),832.0)</f>
        <v>832</v>
      </c>
      <c r="E888" s="39" t="str">
        <f>IFERROR(__xludf.DUMMYFUNCTION("""COMPUTED_VALUE"""),"layer II of area 13m")</f>
        <v>layer II of area 13m</v>
      </c>
      <c r="F888" s="9" t="str">
        <f>IFERROR(__xludf.DUMMYFUNCTION("""COMPUTED_VALUE"""),"Br")</f>
        <v>Br</v>
      </c>
      <c r="G888" s="9" t="str">
        <f>IFERROR(__xludf.DUMMYFUNCTION("""COMPUTED_VALUE"""),"F")</f>
        <v>F</v>
      </c>
      <c r="H888" s="9" t="str">
        <f>IFERROR(__xludf.DUMMYFUNCTION("""COMPUTED_VALUE"""),"FGM")</f>
        <v>FGM</v>
      </c>
      <c r="I888" s="9" t="str">
        <f>IFERROR(__xludf.DUMMYFUNCTION("""COMPUTED_VALUE"""),"Tel")</f>
        <v>Tel</v>
      </c>
      <c r="J888" s="9" t="str">
        <f>IFERROR(__xludf.DUMMYFUNCTION("""COMPUTED_VALUE"""),"Cx")</f>
        <v>Cx</v>
      </c>
      <c r="K888" s="9" t="str">
        <f>IFERROR(__xludf.DUMMYFUNCTION("""COMPUTED_VALUE"""),"NCx")</f>
        <v>NCx</v>
      </c>
      <c r="L888" s="9" t="str">
        <f>IFERROR(__xludf.DUMMYFUNCTION("""COMPUTED_VALUE"""),"FCx")</f>
        <v>FCx</v>
      </c>
      <c r="M888" s="9" t="str">
        <f>IFERROR(__xludf.DUMMYFUNCTION("""COMPUTED_VALUE"""),"OFC")</f>
        <v>OFC</v>
      </c>
      <c r="N888" s="9" t="str">
        <f>IFERROR(__xludf.DUMMYFUNCTION("""COMPUTED_VALUE"""),"OFCi")</f>
        <v>OFCi</v>
      </c>
      <c r="O888" s="9" t="str">
        <f>IFERROR(__xludf.DUMMYFUNCTION("""COMPUTED_VALUE"""),"A13")</f>
        <v>A13</v>
      </c>
      <c r="P888" s="9" t="str">
        <f>IFERROR(__xludf.DUMMYFUNCTION("""COMPUTED_VALUE"""),"A13m")</f>
        <v>A13m</v>
      </c>
      <c r="Q888" s="9" t="str">
        <f>IFERROR(__xludf.DUMMYFUNCTION("""COMPUTED_VALUE"""),"A13m2")</f>
        <v>A13m2</v>
      </c>
      <c r="R888" s="9"/>
      <c r="S888" s="42"/>
      <c r="T888" s="42"/>
      <c r="U888" s="42"/>
      <c r="V888" s="42"/>
      <c r="W888" s="42"/>
      <c r="X888" s="42"/>
      <c r="Y888" s="42"/>
      <c r="Z888" s="42"/>
      <c r="AA888" s="42"/>
      <c r="AB888" s="42" t="str">
        <f>IFERROR(__xludf.DUMMYFUNCTION("""COMPUTED_VALUE"""),"allen institute")</f>
        <v>allen institute</v>
      </c>
      <c r="AC888" s="42" t="str">
        <f>IFERROR(__xludf.DUMMYFUNCTION("""COMPUTED_VALUE"""),"DHBA")</f>
        <v>DHBA</v>
      </c>
      <c r="AD888" s="42"/>
      <c r="AE888" s="42"/>
      <c r="AF888" s="9"/>
      <c r="AG888" s="9"/>
      <c r="AH888" s="42"/>
      <c r="AI888" s="42"/>
      <c r="AJ888" s="42"/>
      <c r="AK888" s="42"/>
      <c r="AL888" s="42"/>
      <c r="AM888" s="42"/>
      <c r="AN888" s="42"/>
      <c r="AO888" s="63" t="str">
        <f>IFERROR(__xludf.DUMMYFUNCTION("IF(ISBLANK(A888),,IF(ISBLANK(S888), A888&amp;"";"", TEXTJOIN(CHAR(10), TRUE, A888&amp;"";"", ARRAYFORMULA(VLOOKUP(SPLIT(S888, "";"" &amp; CHAR(10)), $A:$AO, 41, FALSE)))))"),"A13m2;")</f>
        <v>A13m2;</v>
      </c>
      <c r="AP888" s="89"/>
    </row>
    <row r="889">
      <c r="A889" s="151" t="str">
        <f>IFERROR(__xludf.DUMMYFUNCTION("""COMPUTED_VALUE"""),"A13m3")</f>
        <v>A13m3</v>
      </c>
      <c r="B889" s="42" t="str">
        <f>IFERROR(__xludf.DUMMYFUNCTION("""COMPUTED_VALUE"""),"DHBA")</f>
        <v>DHBA</v>
      </c>
      <c r="C889" s="42" t="str">
        <f>IFERROR(__xludf.DUMMYFUNCTION("""COMPUTED_VALUE"""),"layer III of area 13m")</f>
        <v>layer III of area 13m</v>
      </c>
      <c r="D889" s="42">
        <f>IFERROR(__xludf.DUMMYFUNCTION("""COMPUTED_VALUE"""),833.0)</f>
        <v>833</v>
      </c>
      <c r="E889" s="39" t="str">
        <f>IFERROR(__xludf.DUMMYFUNCTION("""COMPUTED_VALUE"""),"layer III of area 13m")</f>
        <v>layer III of area 13m</v>
      </c>
      <c r="F889" s="9" t="str">
        <f>IFERROR(__xludf.DUMMYFUNCTION("""COMPUTED_VALUE"""),"Br")</f>
        <v>Br</v>
      </c>
      <c r="G889" s="9" t="str">
        <f>IFERROR(__xludf.DUMMYFUNCTION("""COMPUTED_VALUE"""),"F")</f>
        <v>F</v>
      </c>
      <c r="H889" s="9" t="str">
        <f>IFERROR(__xludf.DUMMYFUNCTION("""COMPUTED_VALUE"""),"FGM")</f>
        <v>FGM</v>
      </c>
      <c r="I889" s="9" t="str">
        <f>IFERROR(__xludf.DUMMYFUNCTION("""COMPUTED_VALUE"""),"Tel")</f>
        <v>Tel</v>
      </c>
      <c r="J889" s="9" t="str">
        <f>IFERROR(__xludf.DUMMYFUNCTION("""COMPUTED_VALUE"""),"Cx")</f>
        <v>Cx</v>
      </c>
      <c r="K889" s="9" t="str">
        <f>IFERROR(__xludf.DUMMYFUNCTION("""COMPUTED_VALUE"""),"NCx")</f>
        <v>NCx</v>
      </c>
      <c r="L889" s="9" t="str">
        <f>IFERROR(__xludf.DUMMYFUNCTION("""COMPUTED_VALUE"""),"FCx")</f>
        <v>FCx</v>
      </c>
      <c r="M889" s="9" t="str">
        <f>IFERROR(__xludf.DUMMYFUNCTION("""COMPUTED_VALUE"""),"OFC")</f>
        <v>OFC</v>
      </c>
      <c r="N889" s="9" t="str">
        <f>IFERROR(__xludf.DUMMYFUNCTION("""COMPUTED_VALUE"""),"OFCi")</f>
        <v>OFCi</v>
      </c>
      <c r="O889" s="9" t="str">
        <f>IFERROR(__xludf.DUMMYFUNCTION("""COMPUTED_VALUE"""),"A13")</f>
        <v>A13</v>
      </c>
      <c r="P889" s="9" t="str">
        <f>IFERROR(__xludf.DUMMYFUNCTION("""COMPUTED_VALUE"""),"A13m")</f>
        <v>A13m</v>
      </c>
      <c r="Q889" s="9" t="str">
        <f>IFERROR(__xludf.DUMMYFUNCTION("""COMPUTED_VALUE"""),"A13m3")</f>
        <v>A13m3</v>
      </c>
      <c r="R889" s="9"/>
      <c r="S889" s="42"/>
      <c r="T889" s="42"/>
      <c r="U889" s="42"/>
      <c r="V889" s="42"/>
      <c r="W889" s="42"/>
      <c r="X889" s="42"/>
      <c r="Y889" s="42"/>
      <c r="Z889" s="42"/>
      <c r="AA889" s="42"/>
      <c r="AB889" s="42" t="str">
        <f>IFERROR(__xludf.DUMMYFUNCTION("""COMPUTED_VALUE"""),"allen institute")</f>
        <v>allen institute</v>
      </c>
      <c r="AC889" s="42" t="str">
        <f>IFERROR(__xludf.DUMMYFUNCTION("""COMPUTED_VALUE"""),"DHBA")</f>
        <v>DHBA</v>
      </c>
      <c r="AD889" s="42"/>
      <c r="AE889" s="42"/>
      <c r="AF889" s="9"/>
      <c r="AG889" s="9"/>
      <c r="AH889" s="42"/>
      <c r="AI889" s="42"/>
      <c r="AJ889" s="42"/>
      <c r="AK889" s="42"/>
      <c r="AL889" s="42"/>
      <c r="AM889" s="42"/>
      <c r="AN889" s="42"/>
      <c r="AO889" s="63" t="str">
        <f>IFERROR(__xludf.DUMMYFUNCTION("IF(ISBLANK(A889),,IF(ISBLANK(S889), A889&amp;"";"", TEXTJOIN(CHAR(10), TRUE, A889&amp;"";"", ARRAYFORMULA(VLOOKUP(SPLIT(S889, "";"" &amp; CHAR(10)), $A:$AO, 41, FALSE)))))"),"A13m3;")</f>
        <v>A13m3;</v>
      </c>
      <c r="AP889" s="89"/>
    </row>
    <row r="890">
      <c r="A890" s="151" t="str">
        <f>IFERROR(__xludf.DUMMYFUNCTION("""COMPUTED_VALUE"""),"A13m4")</f>
        <v>A13m4</v>
      </c>
      <c r="B890" s="42" t="str">
        <f>IFERROR(__xludf.DUMMYFUNCTION("""COMPUTED_VALUE"""),"DHBA")</f>
        <v>DHBA</v>
      </c>
      <c r="C890" s="42" t="str">
        <f>IFERROR(__xludf.DUMMYFUNCTION("""COMPUTED_VALUE"""),"layer IV of area 13m")</f>
        <v>layer IV of area 13m</v>
      </c>
      <c r="D890" s="42">
        <f>IFERROR(__xludf.DUMMYFUNCTION("""COMPUTED_VALUE"""),834.0)</f>
        <v>834</v>
      </c>
      <c r="E890" s="39" t="str">
        <f>IFERROR(__xludf.DUMMYFUNCTION("""COMPUTED_VALUE"""),"layer IV of area 13m")</f>
        <v>layer IV of area 13m</v>
      </c>
      <c r="F890" s="9" t="str">
        <f>IFERROR(__xludf.DUMMYFUNCTION("""COMPUTED_VALUE"""),"Br")</f>
        <v>Br</v>
      </c>
      <c r="G890" s="9" t="str">
        <f>IFERROR(__xludf.DUMMYFUNCTION("""COMPUTED_VALUE"""),"F")</f>
        <v>F</v>
      </c>
      <c r="H890" s="9" t="str">
        <f>IFERROR(__xludf.DUMMYFUNCTION("""COMPUTED_VALUE"""),"FGM")</f>
        <v>FGM</v>
      </c>
      <c r="I890" s="9" t="str">
        <f>IFERROR(__xludf.DUMMYFUNCTION("""COMPUTED_VALUE"""),"Tel")</f>
        <v>Tel</v>
      </c>
      <c r="J890" s="9" t="str">
        <f>IFERROR(__xludf.DUMMYFUNCTION("""COMPUTED_VALUE"""),"Cx")</f>
        <v>Cx</v>
      </c>
      <c r="K890" s="9" t="str">
        <f>IFERROR(__xludf.DUMMYFUNCTION("""COMPUTED_VALUE"""),"NCx")</f>
        <v>NCx</v>
      </c>
      <c r="L890" s="9" t="str">
        <f>IFERROR(__xludf.DUMMYFUNCTION("""COMPUTED_VALUE"""),"FCx")</f>
        <v>FCx</v>
      </c>
      <c r="M890" s="9" t="str">
        <f>IFERROR(__xludf.DUMMYFUNCTION("""COMPUTED_VALUE"""),"OFC")</f>
        <v>OFC</v>
      </c>
      <c r="N890" s="9" t="str">
        <f>IFERROR(__xludf.DUMMYFUNCTION("""COMPUTED_VALUE"""),"OFCi")</f>
        <v>OFCi</v>
      </c>
      <c r="O890" s="9" t="str">
        <f>IFERROR(__xludf.DUMMYFUNCTION("""COMPUTED_VALUE"""),"A13")</f>
        <v>A13</v>
      </c>
      <c r="P890" s="9" t="str">
        <f>IFERROR(__xludf.DUMMYFUNCTION("""COMPUTED_VALUE"""),"A13m")</f>
        <v>A13m</v>
      </c>
      <c r="Q890" s="9" t="str">
        <f>IFERROR(__xludf.DUMMYFUNCTION("""COMPUTED_VALUE"""),"A13m4")</f>
        <v>A13m4</v>
      </c>
      <c r="R890" s="9"/>
      <c r="S890" s="42"/>
      <c r="T890" s="42"/>
      <c r="U890" s="42"/>
      <c r="V890" s="42"/>
      <c r="W890" s="42"/>
      <c r="X890" s="42"/>
      <c r="Y890" s="42"/>
      <c r="Z890" s="42"/>
      <c r="AA890" s="42"/>
      <c r="AB890" s="42" t="str">
        <f>IFERROR(__xludf.DUMMYFUNCTION("""COMPUTED_VALUE"""),"allen institute")</f>
        <v>allen institute</v>
      </c>
      <c r="AC890" s="42" t="str">
        <f>IFERROR(__xludf.DUMMYFUNCTION("""COMPUTED_VALUE"""),"DHBA")</f>
        <v>DHBA</v>
      </c>
      <c r="AD890" s="42"/>
      <c r="AE890" s="42"/>
      <c r="AF890" s="9"/>
      <c r="AG890" s="9"/>
      <c r="AH890" s="42"/>
      <c r="AI890" s="42"/>
      <c r="AJ890" s="42"/>
      <c r="AK890" s="42"/>
      <c r="AL890" s="42"/>
      <c r="AM890" s="42"/>
      <c r="AN890" s="42"/>
      <c r="AO890" s="63" t="str">
        <f>IFERROR(__xludf.DUMMYFUNCTION("IF(ISBLANK(A890),,IF(ISBLANK(S890), A890&amp;"";"", TEXTJOIN(CHAR(10), TRUE, A890&amp;"";"", ARRAYFORMULA(VLOOKUP(SPLIT(S890, "";"" &amp; CHAR(10)), $A:$AO, 41, FALSE)))))"),"A13m4;")</f>
        <v>A13m4;</v>
      </c>
      <c r="AP890" s="89"/>
    </row>
    <row r="891">
      <c r="A891" s="151" t="str">
        <f>IFERROR(__xludf.DUMMYFUNCTION("""COMPUTED_VALUE"""),"A13m5")</f>
        <v>A13m5</v>
      </c>
      <c r="B891" s="42" t="str">
        <f>IFERROR(__xludf.DUMMYFUNCTION("""COMPUTED_VALUE"""),"DHBA")</f>
        <v>DHBA</v>
      </c>
      <c r="C891" s="42" t="str">
        <f>IFERROR(__xludf.DUMMYFUNCTION("""COMPUTED_VALUE"""),"layer V of area 13m")</f>
        <v>layer V of area 13m</v>
      </c>
      <c r="D891" s="42">
        <f>IFERROR(__xludf.DUMMYFUNCTION("""COMPUTED_VALUE"""),835.0)</f>
        <v>835</v>
      </c>
      <c r="E891" s="39" t="str">
        <f>IFERROR(__xludf.DUMMYFUNCTION("""COMPUTED_VALUE"""),"layer V of area 13m")</f>
        <v>layer V of area 13m</v>
      </c>
      <c r="F891" s="9" t="str">
        <f>IFERROR(__xludf.DUMMYFUNCTION("""COMPUTED_VALUE"""),"Br")</f>
        <v>Br</v>
      </c>
      <c r="G891" s="9" t="str">
        <f>IFERROR(__xludf.DUMMYFUNCTION("""COMPUTED_VALUE"""),"F")</f>
        <v>F</v>
      </c>
      <c r="H891" s="9" t="str">
        <f>IFERROR(__xludf.DUMMYFUNCTION("""COMPUTED_VALUE"""),"FGM")</f>
        <v>FGM</v>
      </c>
      <c r="I891" s="9" t="str">
        <f>IFERROR(__xludf.DUMMYFUNCTION("""COMPUTED_VALUE"""),"Tel")</f>
        <v>Tel</v>
      </c>
      <c r="J891" s="9" t="str">
        <f>IFERROR(__xludf.DUMMYFUNCTION("""COMPUTED_VALUE"""),"Cx")</f>
        <v>Cx</v>
      </c>
      <c r="K891" s="9" t="str">
        <f>IFERROR(__xludf.DUMMYFUNCTION("""COMPUTED_VALUE"""),"NCx")</f>
        <v>NCx</v>
      </c>
      <c r="L891" s="9" t="str">
        <f>IFERROR(__xludf.DUMMYFUNCTION("""COMPUTED_VALUE"""),"FCx")</f>
        <v>FCx</v>
      </c>
      <c r="M891" s="9" t="str">
        <f>IFERROR(__xludf.DUMMYFUNCTION("""COMPUTED_VALUE"""),"OFC")</f>
        <v>OFC</v>
      </c>
      <c r="N891" s="9" t="str">
        <f>IFERROR(__xludf.DUMMYFUNCTION("""COMPUTED_VALUE"""),"OFCi")</f>
        <v>OFCi</v>
      </c>
      <c r="O891" s="9" t="str">
        <f>IFERROR(__xludf.DUMMYFUNCTION("""COMPUTED_VALUE"""),"A13")</f>
        <v>A13</v>
      </c>
      <c r="P891" s="9" t="str">
        <f>IFERROR(__xludf.DUMMYFUNCTION("""COMPUTED_VALUE"""),"A13m")</f>
        <v>A13m</v>
      </c>
      <c r="Q891" s="9" t="str">
        <f>IFERROR(__xludf.DUMMYFUNCTION("""COMPUTED_VALUE"""),"A13m5")</f>
        <v>A13m5</v>
      </c>
      <c r="R891" s="9"/>
      <c r="S891" s="42"/>
      <c r="T891" s="42"/>
      <c r="U891" s="42"/>
      <c r="V891" s="42"/>
      <c r="W891" s="42"/>
      <c r="X891" s="42"/>
      <c r="Y891" s="42"/>
      <c r="Z891" s="42"/>
      <c r="AA891" s="42"/>
      <c r="AB891" s="42" t="str">
        <f>IFERROR(__xludf.DUMMYFUNCTION("""COMPUTED_VALUE"""),"allen institute")</f>
        <v>allen institute</v>
      </c>
      <c r="AC891" s="42" t="str">
        <f>IFERROR(__xludf.DUMMYFUNCTION("""COMPUTED_VALUE"""),"DHBA")</f>
        <v>DHBA</v>
      </c>
      <c r="AD891" s="42"/>
      <c r="AE891" s="42"/>
      <c r="AF891" s="9"/>
      <c r="AG891" s="9"/>
      <c r="AH891" s="42"/>
      <c r="AI891" s="42"/>
      <c r="AJ891" s="42"/>
      <c r="AK891" s="42"/>
      <c r="AL891" s="42"/>
      <c r="AM891" s="42"/>
      <c r="AN891" s="42"/>
      <c r="AO891" s="63" t="str">
        <f>IFERROR(__xludf.DUMMYFUNCTION("IF(ISBLANK(A891),,IF(ISBLANK(S891), A891&amp;"";"", TEXTJOIN(CHAR(10), TRUE, A891&amp;"";"", ARRAYFORMULA(VLOOKUP(SPLIT(S891, "";"" &amp; CHAR(10)), $A:$AO, 41, FALSE)))))"),"A13m5;")</f>
        <v>A13m5;</v>
      </c>
      <c r="AP891" s="89"/>
    </row>
    <row r="892">
      <c r="A892" s="151" t="str">
        <f>IFERROR(__xludf.DUMMYFUNCTION("""COMPUTED_VALUE"""),"A13m6")</f>
        <v>A13m6</v>
      </c>
      <c r="B892" s="42" t="str">
        <f>IFERROR(__xludf.DUMMYFUNCTION("""COMPUTED_VALUE"""),"DHBA")</f>
        <v>DHBA</v>
      </c>
      <c r="C892" s="42" t="str">
        <f>IFERROR(__xludf.DUMMYFUNCTION("""COMPUTED_VALUE"""),"layer VI of area 13m")</f>
        <v>layer VI of area 13m</v>
      </c>
      <c r="D892" s="42">
        <f>IFERROR(__xludf.DUMMYFUNCTION("""COMPUTED_VALUE"""),836.0)</f>
        <v>836</v>
      </c>
      <c r="E892" s="39" t="str">
        <f>IFERROR(__xludf.DUMMYFUNCTION("""COMPUTED_VALUE"""),"layer VI of area 13m")</f>
        <v>layer VI of area 13m</v>
      </c>
      <c r="F892" s="9" t="str">
        <f>IFERROR(__xludf.DUMMYFUNCTION("""COMPUTED_VALUE"""),"Br")</f>
        <v>Br</v>
      </c>
      <c r="G892" s="9" t="str">
        <f>IFERROR(__xludf.DUMMYFUNCTION("""COMPUTED_VALUE"""),"F")</f>
        <v>F</v>
      </c>
      <c r="H892" s="9" t="str">
        <f>IFERROR(__xludf.DUMMYFUNCTION("""COMPUTED_VALUE"""),"FGM")</f>
        <v>FGM</v>
      </c>
      <c r="I892" s="9" t="str">
        <f>IFERROR(__xludf.DUMMYFUNCTION("""COMPUTED_VALUE"""),"Tel")</f>
        <v>Tel</v>
      </c>
      <c r="J892" s="9" t="str">
        <f>IFERROR(__xludf.DUMMYFUNCTION("""COMPUTED_VALUE"""),"Cx")</f>
        <v>Cx</v>
      </c>
      <c r="K892" s="9" t="str">
        <f>IFERROR(__xludf.DUMMYFUNCTION("""COMPUTED_VALUE"""),"NCx")</f>
        <v>NCx</v>
      </c>
      <c r="L892" s="9" t="str">
        <f>IFERROR(__xludf.DUMMYFUNCTION("""COMPUTED_VALUE"""),"FCx")</f>
        <v>FCx</v>
      </c>
      <c r="M892" s="9" t="str">
        <f>IFERROR(__xludf.DUMMYFUNCTION("""COMPUTED_VALUE"""),"OFC")</f>
        <v>OFC</v>
      </c>
      <c r="N892" s="9" t="str">
        <f>IFERROR(__xludf.DUMMYFUNCTION("""COMPUTED_VALUE"""),"OFCi")</f>
        <v>OFCi</v>
      </c>
      <c r="O892" s="9" t="str">
        <f>IFERROR(__xludf.DUMMYFUNCTION("""COMPUTED_VALUE"""),"A13")</f>
        <v>A13</v>
      </c>
      <c r="P892" s="9" t="str">
        <f>IFERROR(__xludf.DUMMYFUNCTION("""COMPUTED_VALUE"""),"A13m")</f>
        <v>A13m</v>
      </c>
      <c r="Q892" s="9" t="str">
        <f>IFERROR(__xludf.DUMMYFUNCTION("""COMPUTED_VALUE"""),"A13m6")</f>
        <v>A13m6</v>
      </c>
      <c r="R892" s="9"/>
      <c r="S892" s="42"/>
      <c r="T892" s="42"/>
      <c r="U892" s="42"/>
      <c r="V892" s="42"/>
      <c r="W892" s="42"/>
      <c r="X892" s="42"/>
      <c r="Y892" s="42"/>
      <c r="Z892" s="42"/>
      <c r="AA892" s="42"/>
      <c r="AB892" s="42" t="str">
        <f>IFERROR(__xludf.DUMMYFUNCTION("""COMPUTED_VALUE"""),"allen institute")</f>
        <v>allen institute</v>
      </c>
      <c r="AC892" s="42" t="str">
        <f>IFERROR(__xludf.DUMMYFUNCTION("""COMPUTED_VALUE"""),"DHBA")</f>
        <v>DHBA</v>
      </c>
      <c r="AD892" s="42"/>
      <c r="AE892" s="42"/>
      <c r="AF892" s="9"/>
      <c r="AG892" s="9"/>
      <c r="AH892" s="42"/>
      <c r="AI892" s="42"/>
      <c r="AJ892" s="42"/>
      <c r="AK892" s="42"/>
      <c r="AL892" s="42"/>
      <c r="AM892" s="42"/>
      <c r="AN892" s="42"/>
      <c r="AO892" s="63" t="str">
        <f>IFERROR(__xludf.DUMMYFUNCTION("IF(ISBLANK(A892),,IF(ISBLANK(S892), A892&amp;"";"", TEXTJOIN(CHAR(10), TRUE, A892&amp;"";"", ARRAYFORMULA(VLOOKUP(SPLIT(S892, "";"" &amp; CHAR(10)), $A:$AO, 41, FALSE)))))"),"A13m6;")</f>
        <v>A13m6;</v>
      </c>
      <c r="AP892" s="89"/>
    </row>
    <row r="893">
      <c r="A893" s="151" t="str">
        <f>IFERROR(__xludf.DUMMYFUNCTION("""COMPUTED_VALUE"""),"A13l")</f>
        <v>A13l</v>
      </c>
      <c r="B893" s="42" t="str">
        <f>IFERROR(__xludf.DUMMYFUNCTION("""COMPUTED_VALUE"""),"DHBA")</f>
        <v>DHBA</v>
      </c>
      <c r="C893" s="42" t="str">
        <f>IFERROR(__xludf.DUMMYFUNCTION("""COMPUTED_VALUE"""),"lateral subdivision of area 13")</f>
        <v>lateral subdivision of area 13</v>
      </c>
      <c r="D893" s="42">
        <f>IFERROR(__xludf.DUMMYFUNCTION("""COMPUTED_VALUE"""),837.0)</f>
        <v>837</v>
      </c>
      <c r="E893" s="39" t="str">
        <f>IFERROR(__xludf.DUMMYFUNCTION("""COMPUTED_VALUE"""),"lateral subdivision of area 13")</f>
        <v>lateral subdivision of area 13</v>
      </c>
      <c r="F893" s="9" t="str">
        <f>IFERROR(__xludf.DUMMYFUNCTION("""COMPUTED_VALUE"""),"Br")</f>
        <v>Br</v>
      </c>
      <c r="G893" s="9" t="str">
        <f>IFERROR(__xludf.DUMMYFUNCTION("""COMPUTED_VALUE"""),"F")</f>
        <v>F</v>
      </c>
      <c r="H893" s="9" t="str">
        <f>IFERROR(__xludf.DUMMYFUNCTION("""COMPUTED_VALUE"""),"FGM")</f>
        <v>FGM</v>
      </c>
      <c r="I893" s="9" t="str">
        <f>IFERROR(__xludf.DUMMYFUNCTION("""COMPUTED_VALUE"""),"Tel")</f>
        <v>Tel</v>
      </c>
      <c r="J893" s="9" t="str">
        <f>IFERROR(__xludf.DUMMYFUNCTION("""COMPUTED_VALUE"""),"Cx")</f>
        <v>Cx</v>
      </c>
      <c r="K893" s="9" t="str">
        <f>IFERROR(__xludf.DUMMYFUNCTION("""COMPUTED_VALUE"""),"NCx")</f>
        <v>NCx</v>
      </c>
      <c r="L893" s="9" t="str">
        <f>IFERROR(__xludf.DUMMYFUNCTION("""COMPUTED_VALUE"""),"FCx")</f>
        <v>FCx</v>
      </c>
      <c r="M893" s="9" t="str">
        <f>IFERROR(__xludf.DUMMYFUNCTION("""COMPUTED_VALUE"""),"OFC")</f>
        <v>OFC</v>
      </c>
      <c r="N893" s="9" t="str">
        <f>IFERROR(__xludf.DUMMYFUNCTION("""COMPUTED_VALUE"""),"OFCi")</f>
        <v>OFCi</v>
      </c>
      <c r="O893" s="9" t="str">
        <f>IFERROR(__xludf.DUMMYFUNCTION("""COMPUTED_VALUE"""),"A13")</f>
        <v>A13</v>
      </c>
      <c r="P893" s="9" t="str">
        <f>IFERROR(__xludf.DUMMYFUNCTION("""COMPUTED_VALUE"""),"A13l")</f>
        <v>A13l</v>
      </c>
      <c r="Q893" s="9"/>
      <c r="R893" s="9"/>
      <c r="S893" s="42" t="str">
        <f>IFERROR(__xludf.DUMMYFUNCTION("""COMPUTED_VALUE"""),"A13l1;
A13l2;
A13l3;
A13l4;
A13l5;
A13l6")</f>
        <v>A13l1;
A13l2;
A13l3;
A13l4;
A13l5;
A13l6</v>
      </c>
      <c r="T893" s="42"/>
      <c r="U893" s="42" t="b">
        <f>IFERROR(__xludf.DUMMYFUNCTION("""COMPUTED_VALUE"""),FALSE)</f>
        <v>0</v>
      </c>
      <c r="V893" s="42"/>
      <c r="W893" s="42"/>
      <c r="X893" s="42"/>
      <c r="Y893" s="42"/>
      <c r="Z893" s="42"/>
      <c r="AA893" s="42"/>
      <c r="AB893" s="42" t="str">
        <f>IFERROR(__xludf.DUMMYFUNCTION("""COMPUTED_VALUE"""),"allen institute")</f>
        <v>allen institute</v>
      </c>
      <c r="AC893" s="42" t="str">
        <f>IFERROR(__xludf.DUMMYFUNCTION("""COMPUTED_VALUE"""),"DHBA")</f>
        <v>DHBA</v>
      </c>
      <c r="AD893" s="42"/>
      <c r="AE893" s="42"/>
      <c r="AF893" s="9"/>
      <c r="AG893" s="9"/>
      <c r="AH893" s="42"/>
      <c r="AI893" s="42"/>
      <c r="AJ893" s="42"/>
      <c r="AK893" s="42"/>
      <c r="AL893" s="42"/>
      <c r="AM893" s="42"/>
      <c r="AN893" s="42"/>
      <c r="AO893" s="63" t="str">
        <f>IFERROR(__xludf.DUMMYFUNCTION("IF(ISBLANK(A893),,IF(ISBLANK(S893), A893&amp;"";"", TEXTJOIN(CHAR(10), TRUE, A893&amp;"";"", ARRAYFORMULA(VLOOKUP(SPLIT(S893, "";"" &amp; CHAR(10)), $A:$AO, 41, FALSE)))))"),"A13l;
A13l1;
A13l2;
A13l3;
A13l4;
A13l5;
A13l6;")</f>
        <v>A13l;
A13l1;
A13l2;
A13l3;
A13l4;
A13l5;
A13l6;</v>
      </c>
      <c r="AP893" s="89"/>
    </row>
    <row r="894">
      <c r="A894" s="151" t="str">
        <f>IFERROR(__xludf.DUMMYFUNCTION("""COMPUTED_VALUE"""),"A13l1")</f>
        <v>A13l1</v>
      </c>
      <c r="B894" s="42" t="str">
        <f>IFERROR(__xludf.DUMMYFUNCTION("""COMPUTED_VALUE"""),"DHBA")</f>
        <v>DHBA</v>
      </c>
      <c r="C894" s="42" t="str">
        <f>IFERROR(__xludf.DUMMYFUNCTION("""COMPUTED_VALUE"""),"layer I of area 13l")</f>
        <v>layer I of area 13l</v>
      </c>
      <c r="D894" s="42">
        <f>IFERROR(__xludf.DUMMYFUNCTION("""COMPUTED_VALUE"""),838.0)</f>
        <v>838</v>
      </c>
      <c r="E894" s="39" t="str">
        <f>IFERROR(__xludf.DUMMYFUNCTION("""COMPUTED_VALUE"""),"layer I of area 13l")</f>
        <v>layer I of area 13l</v>
      </c>
      <c r="F894" s="9" t="str">
        <f>IFERROR(__xludf.DUMMYFUNCTION("""COMPUTED_VALUE"""),"Br")</f>
        <v>Br</v>
      </c>
      <c r="G894" s="9" t="str">
        <f>IFERROR(__xludf.DUMMYFUNCTION("""COMPUTED_VALUE"""),"F")</f>
        <v>F</v>
      </c>
      <c r="H894" s="9" t="str">
        <f>IFERROR(__xludf.DUMMYFUNCTION("""COMPUTED_VALUE"""),"FGM")</f>
        <v>FGM</v>
      </c>
      <c r="I894" s="9" t="str">
        <f>IFERROR(__xludf.DUMMYFUNCTION("""COMPUTED_VALUE"""),"Tel")</f>
        <v>Tel</v>
      </c>
      <c r="J894" s="9" t="str">
        <f>IFERROR(__xludf.DUMMYFUNCTION("""COMPUTED_VALUE"""),"Cx")</f>
        <v>Cx</v>
      </c>
      <c r="K894" s="9" t="str">
        <f>IFERROR(__xludf.DUMMYFUNCTION("""COMPUTED_VALUE"""),"NCx")</f>
        <v>NCx</v>
      </c>
      <c r="L894" s="9" t="str">
        <f>IFERROR(__xludf.DUMMYFUNCTION("""COMPUTED_VALUE"""),"FCx")</f>
        <v>FCx</v>
      </c>
      <c r="M894" s="9" t="str">
        <f>IFERROR(__xludf.DUMMYFUNCTION("""COMPUTED_VALUE"""),"OFC")</f>
        <v>OFC</v>
      </c>
      <c r="N894" s="9" t="str">
        <f>IFERROR(__xludf.DUMMYFUNCTION("""COMPUTED_VALUE"""),"OFCi")</f>
        <v>OFCi</v>
      </c>
      <c r="O894" s="9" t="str">
        <f>IFERROR(__xludf.DUMMYFUNCTION("""COMPUTED_VALUE"""),"A13")</f>
        <v>A13</v>
      </c>
      <c r="P894" s="9" t="str">
        <f>IFERROR(__xludf.DUMMYFUNCTION("""COMPUTED_VALUE"""),"A13l")</f>
        <v>A13l</v>
      </c>
      <c r="Q894" s="9" t="str">
        <f>IFERROR(__xludf.DUMMYFUNCTION("""COMPUTED_VALUE"""),"A13l1")</f>
        <v>A13l1</v>
      </c>
      <c r="R894" s="9"/>
      <c r="S894" s="42"/>
      <c r="T894" s="42"/>
      <c r="U894" s="42"/>
      <c r="V894" s="42"/>
      <c r="W894" s="42"/>
      <c r="X894" s="42"/>
      <c r="Y894" s="42"/>
      <c r="Z894" s="42"/>
      <c r="AA894" s="42"/>
      <c r="AB894" s="42" t="str">
        <f>IFERROR(__xludf.DUMMYFUNCTION("""COMPUTED_VALUE"""),"allen institute")</f>
        <v>allen institute</v>
      </c>
      <c r="AC894" s="42" t="str">
        <f>IFERROR(__xludf.DUMMYFUNCTION("""COMPUTED_VALUE"""),"DHBA")</f>
        <v>DHBA</v>
      </c>
      <c r="AD894" s="42"/>
      <c r="AE894" s="42"/>
      <c r="AF894" s="9"/>
      <c r="AG894" s="9"/>
      <c r="AH894" s="42"/>
      <c r="AI894" s="42"/>
      <c r="AJ894" s="42"/>
      <c r="AK894" s="42"/>
      <c r="AL894" s="42"/>
      <c r="AM894" s="42"/>
      <c r="AN894" s="42"/>
      <c r="AO894" s="63" t="str">
        <f>IFERROR(__xludf.DUMMYFUNCTION("IF(ISBLANK(A894),,IF(ISBLANK(S894), A894&amp;"";"", TEXTJOIN(CHAR(10), TRUE, A894&amp;"";"", ARRAYFORMULA(VLOOKUP(SPLIT(S894, "";"" &amp; CHAR(10)), $A:$AO, 41, FALSE)))))"),"A13l1;")</f>
        <v>A13l1;</v>
      </c>
      <c r="AP894" s="89"/>
    </row>
    <row r="895">
      <c r="A895" s="151" t="str">
        <f>IFERROR(__xludf.DUMMYFUNCTION("""COMPUTED_VALUE"""),"A13l2")</f>
        <v>A13l2</v>
      </c>
      <c r="B895" s="42" t="str">
        <f>IFERROR(__xludf.DUMMYFUNCTION("""COMPUTED_VALUE"""),"DHBA")</f>
        <v>DHBA</v>
      </c>
      <c r="C895" s="42" t="str">
        <f>IFERROR(__xludf.DUMMYFUNCTION("""COMPUTED_VALUE"""),"layer II of area 13l")</f>
        <v>layer II of area 13l</v>
      </c>
      <c r="D895" s="42">
        <f>IFERROR(__xludf.DUMMYFUNCTION("""COMPUTED_VALUE"""),839.0)</f>
        <v>839</v>
      </c>
      <c r="E895" s="39" t="str">
        <f>IFERROR(__xludf.DUMMYFUNCTION("""COMPUTED_VALUE"""),"layer II of area 13l")</f>
        <v>layer II of area 13l</v>
      </c>
      <c r="F895" s="9" t="str">
        <f>IFERROR(__xludf.DUMMYFUNCTION("""COMPUTED_VALUE"""),"Br")</f>
        <v>Br</v>
      </c>
      <c r="G895" s="9" t="str">
        <f>IFERROR(__xludf.DUMMYFUNCTION("""COMPUTED_VALUE"""),"F")</f>
        <v>F</v>
      </c>
      <c r="H895" s="9" t="str">
        <f>IFERROR(__xludf.DUMMYFUNCTION("""COMPUTED_VALUE"""),"FGM")</f>
        <v>FGM</v>
      </c>
      <c r="I895" s="9" t="str">
        <f>IFERROR(__xludf.DUMMYFUNCTION("""COMPUTED_VALUE"""),"Tel")</f>
        <v>Tel</v>
      </c>
      <c r="J895" s="9" t="str">
        <f>IFERROR(__xludf.DUMMYFUNCTION("""COMPUTED_VALUE"""),"Cx")</f>
        <v>Cx</v>
      </c>
      <c r="K895" s="9" t="str">
        <f>IFERROR(__xludf.DUMMYFUNCTION("""COMPUTED_VALUE"""),"NCx")</f>
        <v>NCx</v>
      </c>
      <c r="L895" s="9" t="str">
        <f>IFERROR(__xludf.DUMMYFUNCTION("""COMPUTED_VALUE"""),"FCx")</f>
        <v>FCx</v>
      </c>
      <c r="M895" s="9" t="str">
        <f>IFERROR(__xludf.DUMMYFUNCTION("""COMPUTED_VALUE"""),"OFC")</f>
        <v>OFC</v>
      </c>
      <c r="N895" s="9" t="str">
        <f>IFERROR(__xludf.DUMMYFUNCTION("""COMPUTED_VALUE"""),"OFCi")</f>
        <v>OFCi</v>
      </c>
      <c r="O895" s="9" t="str">
        <f>IFERROR(__xludf.DUMMYFUNCTION("""COMPUTED_VALUE"""),"A13")</f>
        <v>A13</v>
      </c>
      <c r="P895" s="9" t="str">
        <f>IFERROR(__xludf.DUMMYFUNCTION("""COMPUTED_VALUE"""),"A13l")</f>
        <v>A13l</v>
      </c>
      <c r="Q895" s="9" t="str">
        <f>IFERROR(__xludf.DUMMYFUNCTION("""COMPUTED_VALUE"""),"A13l2")</f>
        <v>A13l2</v>
      </c>
      <c r="R895" s="9"/>
      <c r="S895" s="42"/>
      <c r="T895" s="42"/>
      <c r="U895" s="42"/>
      <c r="V895" s="42"/>
      <c r="W895" s="42"/>
      <c r="X895" s="42"/>
      <c r="Y895" s="42"/>
      <c r="Z895" s="42"/>
      <c r="AA895" s="42"/>
      <c r="AB895" s="42" t="str">
        <f>IFERROR(__xludf.DUMMYFUNCTION("""COMPUTED_VALUE"""),"allen institute")</f>
        <v>allen institute</v>
      </c>
      <c r="AC895" s="42" t="str">
        <f>IFERROR(__xludf.DUMMYFUNCTION("""COMPUTED_VALUE"""),"DHBA")</f>
        <v>DHBA</v>
      </c>
      <c r="AD895" s="42"/>
      <c r="AE895" s="42"/>
      <c r="AF895" s="9"/>
      <c r="AG895" s="9"/>
      <c r="AH895" s="42"/>
      <c r="AI895" s="42"/>
      <c r="AJ895" s="42"/>
      <c r="AK895" s="42"/>
      <c r="AL895" s="42"/>
      <c r="AM895" s="42"/>
      <c r="AN895" s="42"/>
      <c r="AO895" s="63" t="str">
        <f>IFERROR(__xludf.DUMMYFUNCTION("IF(ISBLANK(A895),,IF(ISBLANK(S895), A895&amp;"";"", TEXTJOIN(CHAR(10), TRUE, A895&amp;"";"", ARRAYFORMULA(VLOOKUP(SPLIT(S895, "";"" &amp; CHAR(10)), $A:$AO, 41, FALSE)))))"),"A13l2;")</f>
        <v>A13l2;</v>
      </c>
      <c r="AP895" s="89"/>
    </row>
    <row r="896">
      <c r="A896" s="151" t="str">
        <f>IFERROR(__xludf.DUMMYFUNCTION("""COMPUTED_VALUE"""),"A13l3")</f>
        <v>A13l3</v>
      </c>
      <c r="B896" s="42" t="str">
        <f>IFERROR(__xludf.DUMMYFUNCTION("""COMPUTED_VALUE"""),"DHBA")</f>
        <v>DHBA</v>
      </c>
      <c r="C896" s="42" t="str">
        <f>IFERROR(__xludf.DUMMYFUNCTION("""COMPUTED_VALUE"""),"layer III of area 13l")</f>
        <v>layer III of area 13l</v>
      </c>
      <c r="D896" s="42">
        <f>IFERROR(__xludf.DUMMYFUNCTION("""COMPUTED_VALUE"""),840.0)</f>
        <v>840</v>
      </c>
      <c r="E896" s="39" t="str">
        <f>IFERROR(__xludf.DUMMYFUNCTION("""COMPUTED_VALUE"""),"layer III of area 13l")</f>
        <v>layer III of area 13l</v>
      </c>
      <c r="F896" s="9" t="str">
        <f>IFERROR(__xludf.DUMMYFUNCTION("""COMPUTED_VALUE"""),"Br")</f>
        <v>Br</v>
      </c>
      <c r="G896" s="9" t="str">
        <f>IFERROR(__xludf.DUMMYFUNCTION("""COMPUTED_VALUE"""),"F")</f>
        <v>F</v>
      </c>
      <c r="H896" s="9" t="str">
        <f>IFERROR(__xludf.DUMMYFUNCTION("""COMPUTED_VALUE"""),"FGM")</f>
        <v>FGM</v>
      </c>
      <c r="I896" s="9" t="str">
        <f>IFERROR(__xludf.DUMMYFUNCTION("""COMPUTED_VALUE"""),"Tel")</f>
        <v>Tel</v>
      </c>
      <c r="J896" s="9" t="str">
        <f>IFERROR(__xludf.DUMMYFUNCTION("""COMPUTED_VALUE"""),"Cx")</f>
        <v>Cx</v>
      </c>
      <c r="K896" s="9" t="str">
        <f>IFERROR(__xludf.DUMMYFUNCTION("""COMPUTED_VALUE"""),"NCx")</f>
        <v>NCx</v>
      </c>
      <c r="L896" s="9" t="str">
        <f>IFERROR(__xludf.DUMMYFUNCTION("""COMPUTED_VALUE"""),"FCx")</f>
        <v>FCx</v>
      </c>
      <c r="M896" s="9" t="str">
        <f>IFERROR(__xludf.DUMMYFUNCTION("""COMPUTED_VALUE"""),"OFC")</f>
        <v>OFC</v>
      </c>
      <c r="N896" s="9" t="str">
        <f>IFERROR(__xludf.DUMMYFUNCTION("""COMPUTED_VALUE"""),"OFCi")</f>
        <v>OFCi</v>
      </c>
      <c r="O896" s="9" t="str">
        <f>IFERROR(__xludf.DUMMYFUNCTION("""COMPUTED_VALUE"""),"A13")</f>
        <v>A13</v>
      </c>
      <c r="P896" s="9" t="str">
        <f>IFERROR(__xludf.DUMMYFUNCTION("""COMPUTED_VALUE"""),"A13l")</f>
        <v>A13l</v>
      </c>
      <c r="Q896" s="9" t="str">
        <f>IFERROR(__xludf.DUMMYFUNCTION("""COMPUTED_VALUE"""),"A13l3")</f>
        <v>A13l3</v>
      </c>
      <c r="R896" s="9"/>
      <c r="S896" s="42"/>
      <c r="T896" s="42"/>
      <c r="U896" s="42"/>
      <c r="V896" s="42"/>
      <c r="W896" s="42"/>
      <c r="X896" s="42"/>
      <c r="Y896" s="42"/>
      <c r="Z896" s="42"/>
      <c r="AA896" s="42"/>
      <c r="AB896" s="42" t="str">
        <f>IFERROR(__xludf.DUMMYFUNCTION("""COMPUTED_VALUE"""),"allen institute")</f>
        <v>allen institute</v>
      </c>
      <c r="AC896" s="42" t="str">
        <f>IFERROR(__xludf.DUMMYFUNCTION("""COMPUTED_VALUE"""),"DHBA")</f>
        <v>DHBA</v>
      </c>
      <c r="AD896" s="42"/>
      <c r="AE896" s="42"/>
      <c r="AF896" s="9"/>
      <c r="AG896" s="9"/>
      <c r="AH896" s="42"/>
      <c r="AI896" s="42"/>
      <c r="AJ896" s="42"/>
      <c r="AK896" s="42"/>
      <c r="AL896" s="42"/>
      <c r="AM896" s="42"/>
      <c r="AN896" s="42"/>
      <c r="AO896" s="63" t="str">
        <f>IFERROR(__xludf.DUMMYFUNCTION("IF(ISBLANK(A896),,IF(ISBLANK(S896), A896&amp;"";"", TEXTJOIN(CHAR(10), TRUE, A896&amp;"";"", ARRAYFORMULA(VLOOKUP(SPLIT(S896, "";"" &amp; CHAR(10)), $A:$AO, 41, FALSE)))))"),"A13l3;")</f>
        <v>A13l3;</v>
      </c>
      <c r="AP896" s="89"/>
    </row>
    <row r="897">
      <c r="A897" s="151" t="str">
        <f>IFERROR(__xludf.DUMMYFUNCTION("""COMPUTED_VALUE"""),"A13l4")</f>
        <v>A13l4</v>
      </c>
      <c r="B897" s="42" t="str">
        <f>IFERROR(__xludf.DUMMYFUNCTION("""COMPUTED_VALUE"""),"DHBA")</f>
        <v>DHBA</v>
      </c>
      <c r="C897" s="42" t="str">
        <f>IFERROR(__xludf.DUMMYFUNCTION("""COMPUTED_VALUE"""),"layer IV of area 13l")</f>
        <v>layer IV of area 13l</v>
      </c>
      <c r="D897" s="42">
        <f>IFERROR(__xludf.DUMMYFUNCTION("""COMPUTED_VALUE"""),841.0)</f>
        <v>841</v>
      </c>
      <c r="E897" s="39" t="str">
        <f>IFERROR(__xludf.DUMMYFUNCTION("""COMPUTED_VALUE"""),"layer IV of area 13l")</f>
        <v>layer IV of area 13l</v>
      </c>
      <c r="F897" s="9" t="str">
        <f>IFERROR(__xludf.DUMMYFUNCTION("""COMPUTED_VALUE"""),"Br")</f>
        <v>Br</v>
      </c>
      <c r="G897" s="9" t="str">
        <f>IFERROR(__xludf.DUMMYFUNCTION("""COMPUTED_VALUE"""),"F")</f>
        <v>F</v>
      </c>
      <c r="H897" s="9" t="str">
        <f>IFERROR(__xludf.DUMMYFUNCTION("""COMPUTED_VALUE"""),"FGM")</f>
        <v>FGM</v>
      </c>
      <c r="I897" s="9" t="str">
        <f>IFERROR(__xludf.DUMMYFUNCTION("""COMPUTED_VALUE"""),"Tel")</f>
        <v>Tel</v>
      </c>
      <c r="J897" s="9" t="str">
        <f>IFERROR(__xludf.DUMMYFUNCTION("""COMPUTED_VALUE"""),"Cx")</f>
        <v>Cx</v>
      </c>
      <c r="K897" s="9" t="str">
        <f>IFERROR(__xludf.DUMMYFUNCTION("""COMPUTED_VALUE"""),"NCx")</f>
        <v>NCx</v>
      </c>
      <c r="L897" s="9" t="str">
        <f>IFERROR(__xludf.DUMMYFUNCTION("""COMPUTED_VALUE"""),"FCx")</f>
        <v>FCx</v>
      </c>
      <c r="M897" s="9" t="str">
        <f>IFERROR(__xludf.DUMMYFUNCTION("""COMPUTED_VALUE"""),"OFC")</f>
        <v>OFC</v>
      </c>
      <c r="N897" s="9" t="str">
        <f>IFERROR(__xludf.DUMMYFUNCTION("""COMPUTED_VALUE"""),"OFCi")</f>
        <v>OFCi</v>
      </c>
      <c r="O897" s="9" t="str">
        <f>IFERROR(__xludf.DUMMYFUNCTION("""COMPUTED_VALUE"""),"A13")</f>
        <v>A13</v>
      </c>
      <c r="P897" s="9" t="str">
        <f>IFERROR(__xludf.DUMMYFUNCTION("""COMPUTED_VALUE"""),"A13l")</f>
        <v>A13l</v>
      </c>
      <c r="Q897" s="9" t="str">
        <f>IFERROR(__xludf.DUMMYFUNCTION("""COMPUTED_VALUE"""),"A13l4")</f>
        <v>A13l4</v>
      </c>
      <c r="R897" s="9"/>
      <c r="S897" s="42"/>
      <c r="T897" s="42"/>
      <c r="U897" s="42"/>
      <c r="V897" s="42"/>
      <c r="W897" s="42"/>
      <c r="X897" s="42"/>
      <c r="Y897" s="42"/>
      <c r="Z897" s="42"/>
      <c r="AA897" s="42"/>
      <c r="AB897" s="42" t="str">
        <f>IFERROR(__xludf.DUMMYFUNCTION("""COMPUTED_VALUE"""),"allen institute")</f>
        <v>allen institute</v>
      </c>
      <c r="AC897" s="42" t="str">
        <f>IFERROR(__xludf.DUMMYFUNCTION("""COMPUTED_VALUE"""),"DHBA")</f>
        <v>DHBA</v>
      </c>
      <c r="AD897" s="42"/>
      <c r="AE897" s="42"/>
      <c r="AF897" s="9"/>
      <c r="AG897" s="9"/>
      <c r="AH897" s="42"/>
      <c r="AI897" s="42"/>
      <c r="AJ897" s="42"/>
      <c r="AK897" s="42"/>
      <c r="AL897" s="42"/>
      <c r="AM897" s="42"/>
      <c r="AN897" s="42"/>
      <c r="AO897" s="63" t="str">
        <f>IFERROR(__xludf.DUMMYFUNCTION("IF(ISBLANK(A897),,IF(ISBLANK(S897), A897&amp;"";"", TEXTJOIN(CHAR(10), TRUE, A897&amp;"";"", ARRAYFORMULA(VLOOKUP(SPLIT(S897, "";"" &amp; CHAR(10)), $A:$AO, 41, FALSE)))))"),"A13l4;")</f>
        <v>A13l4;</v>
      </c>
      <c r="AP897" s="89"/>
    </row>
    <row r="898">
      <c r="A898" s="151" t="str">
        <f>IFERROR(__xludf.DUMMYFUNCTION("""COMPUTED_VALUE"""),"A13l5")</f>
        <v>A13l5</v>
      </c>
      <c r="B898" s="42" t="str">
        <f>IFERROR(__xludf.DUMMYFUNCTION("""COMPUTED_VALUE"""),"DHBA")</f>
        <v>DHBA</v>
      </c>
      <c r="C898" s="42" t="str">
        <f>IFERROR(__xludf.DUMMYFUNCTION("""COMPUTED_VALUE"""),"layer V of area 13l")</f>
        <v>layer V of area 13l</v>
      </c>
      <c r="D898" s="42">
        <f>IFERROR(__xludf.DUMMYFUNCTION("""COMPUTED_VALUE"""),842.0)</f>
        <v>842</v>
      </c>
      <c r="E898" s="39" t="str">
        <f>IFERROR(__xludf.DUMMYFUNCTION("""COMPUTED_VALUE"""),"layer V of area 13l")</f>
        <v>layer V of area 13l</v>
      </c>
      <c r="F898" s="9" t="str">
        <f>IFERROR(__xludf.DUMMYFUNCTION("""COMPUTED_VALUE"""),"Br")</f>
        <v>Br</v>
      </c>
      <c r="G898" s="9" t="str">
        <f>IFERROR(__xludf.DUMMYFUNCTION("""COMPUTED_VALUE"""),"F")</f>
        <v>F</v>
      </c>
      <c r="H898" s="9" t="str">
        <f>IFERROR(__xludf.DUMMYFUNCTION("""COMPUTED_VALUE"""),"FGM")</f>
        <v>FGM</v>
      </c>
      <c r="I898" s="9" t="str">
        <f>IFERROR(__xludf.DUMMYFUNCTION("""COMPUTED_VALUE"""),"Tel")</f>
        <v>Tel</v>
      </c>
      <c r="J898" s="9" t="str">
        <f>IFERROR(__xludf.DUMMYFUNCTION("""COMPUTED_VALUE"""),"Cx")</f>
        <v>Cx</v>
      </c>
      <c r="K898" s="9" t="str">
        <f>IFERROR(__xludf.DUMMYFUNCTION("""COMPUTED_VALUE"""),"NCx")</f>
        <v>NCx</v>
      </c>
      <c r="L898" s="9" t="str">
        <f>IFERROR(__xludf.DUMMYFUNCTION("""COMPUTED_VALUE"""),"FCx")</f>
        <v>FCx</v>
      </c>
      <c r="M898" s="9" t="str">
        <f>IFERROR(__xludf.DUMMYFUNCTION("""COMPUTED_VALUE"""),"OFC")</f>
        <v>OFC</v>
      </c>
      <c r="N898" s="9" t="str">
        <f>IFERROR(__xludf.DUMMYFUNCTION("""COMPUTED_VALUE"""),"OFCi")</f>
        <v>OFCi</v>
      </c>
      <c r="O898" s="9" t="str">
        <f>IFERROR(__xludf.DUMMYFUNCTION("""COMPUTED_VALUE"""),"A13")</f>
        <v>A13</v>
      </c>
      <c r="P898" s="9" t="str">
        <f>IFERROR(__xludf.DUMMYFUNCTION("""COMPUTED_VALUE"""),"A13l")</f>
        <v>A13l</v>
      </c>
      <c r="Q898" s="9" t="str">
        <f>IFERROR(__xludf.DUMMYFUNCTION("""COMPUTED_VALUE"""),"A13l5")</f>
        <v>A13l5</v>
      </c>
      <c r="R898" s="9"/>
      <c r="S898" s="42"/>
      <c r="T898" s="42"/>
      <c r="U898" s="42"/>
      <c r="V898" s="42"/>
      <c r="W898" s="42"/>
      <c r="X898" s="42"/>
      <c r="Y898" s="42"/>
      <c r="Z898" s="42"/>
      <c r="AA898" s="42"/>
      <c r="AB898" s="42" t="str">
        <f>IFERROR(__xludf.DUMMYFUNCTION("""COMPUTED_VALUE"""),"allen institute")</f>
        <v>allen institute</v>
      </c>
      <c r="AC898" s="42" t="str">
        <f>IFERROR(__xludf.DUMMYFUNCTION("""COMPUTED_VALUE"""),"DHBA")</f>
        <v>DHBA</v>
      </c>
      <c r="AD898" s="42"/>
      <c r="AE898" s="42"/>
      <c r="AF898" s="9"/>
      <c r="AG898" s="9"/>
      <c r="AH898" s="42"/>
      <c r="AI898" s="42"/>
      <c r="AJ898" s="42"/>
      <c r="AK898" s="42"/>
      <c r="AL898" s="42"/>
      <c r="AM898" s="42"/>
      <c r="AN898" s="42"/>
      <c r="AO898" s="63" t="str">
        <f>IFERROR(__xludf.DUMMYFUNCTION("IF(ISBLANK(A898),,IF(ISBLANK(S898), A898&amp;"";"", TEXTJOIN(CHAR(10), TRUE, A898&amp;"";"", ARRAYFORMULA(VLOOKUP(SPLIT(S898, "";"" &amp; CHAR(10)), $A:$AO, 41, FALSE)))))"),"A13l5;")</f>
        <v>A13l5;</v>
      </c>
      <c r="AP898" s="89"/>
    </row>
    <row r="899">
      <c r="A899" s="151" t="str">
        <f>IFERROR(__xludf.DUMMYFUNCTION("""COMPUTED_VALUE"""),"A13l6")</f>
        <v>A13l6</v>
      </c>
      <c r="B899" s="42" t="str">
        <f>IFERROR(__xludf.DUMMYFUNCTION("""COMPUTED_VALUE"""),"DHBA")</f>
        <v>DHBA</v>
      </c>
      <c r="C899" s="42" t="str">
        <f>IFERROR(__xludf.DUMMYFUNCTION("""COMPUTED_VALUE"""),"layer VI of area 13l")</f>
        <v>layer VI of area 13l</v>
      </c>
      <c r="D899" s="42">
        <f>IFERROR(__xludf.DUMMYFUNCTION("""COMPUTED_VALUE"""),843.0)</f>
        <v>843</v>
      </c>
      <c r="E899" s="39" t="str">
        <f>IFERROR(__xludf.DUMMYFUNCTION("""COMPUTED_VALUE"""),"layer VI of area 13l")</f>
        <v>layer VI of area 13l</v>
      </c>
      <c r="F899" s="9" t="str">
        <f>IFERROR(__xludf.DUMMYFUNCTION("""COMPUTED_VALUE"""),"Br")</f>
        <v>Br</v>
      </c>
      <c r="G899" s="9" t="str">
        <f>IFERROR(__xludf.DUMMYFUNCTION("""COMPUTED_VALUE"""),"F")</f>
        <v>F</v>
      </c>
      <c r="H899" s="9" t="str">
        <f>IFERROR(__xludf.DUMMYFUNCTION("""COMPUTED_VALUE"""),"FGM")</f>
        <v>FGM</v>
      </c>
      <c r="I899" s="9" t="str">
        <f>IFERROR(__xludf.DUMMYFUNCTION("""COMPUTED_VALUE"""),"Tel")</f>
        <v>Tel</v>
      </c>
      <c r="J899" s="9" t="str">
        <f>IFERROR(__xludf.DUMMYFUNCTION("""COMPUTED_VALUE"""),"Cx")</f>
        <v>Cx</v>
      </c>
      <c r="K899" s="9" t="str">
        <f>IFERROR(__xludf.DUMMYFUNCTION("""COMPUTED_VALUE"""),"NCx")</f>
        <v>NCx</v>
      </c>
      <c r="L899" s="9" t="str">
        <f>IFERROR(__xludf.DUMMYFUNCTION("""COMPUTED_VALUE"""),"FCx")</f>
        <v>FCx</v>
      </c>
      <c r="M899" s="9" t="str">
        <f>IFERROR(__xludf.DUMMYFUNCTION("""COMPUTED_VALUE"""),"OFC")</f>
        <v>OFC</v>
      </c>
      <c r="N899" s="9" t="str">
        <f>IFERROR(__xludf.DUMMYFUNCTION("""COMPUTED_VALUE"""),"OFCi")</f>
        <v>OFCi</v>
      </c>
      <c r="O899" s="9" t="str">
        <f>IFERROR(__xludf.DUMMYFUNCTION("""COMPUTED_VALUE"""),"A13")</f>
        <v>A13</v>
      </c>
      <c r="P899" s="9" t="str">
        <f>IFERROR(__xludf.DUMMYFUNCTION("""COMPUTED_VALUE"""),"A13l")</f>
        <v>A13l</v>
      </c>
      <c r="Q899" s="9" t="str">
        <f>IFERROR(__xludf.DUMMYFUNCTION("""COMPUTED_VALUE"""),"A13l6")</f>
        <v>A13l6</v>
      </c>
      <c r="R899" s="9"/>
      <c r="S899" s="42"/>
      <c r="T899" s="42"/>
      <c r="U899" s="42"/>
      <c r="V899" s="42"/>
      <c r="W899" s="42"/>
      <c r="X899" s="42"/>
      <c r="Y899" s="42"/>
      <c r="Z899" s="42"/>
      <c r="AA899" s="42"/>
      <c r="AB899" s="42" t="str">
        <f>IFERROR(__xludf.DUMMYFUNCTION("""COMPUTED_VALUE"""),"allen institute")</f>
        <v>allen institute</v>
      </c>
      <c r="AC899" s="42" t="str">
        <f>IFERROR(__xludf.DUMMYFUNCTION("""COMPUTED_VALUE"""),"DHBA")</f>
        <v>DHBA</v>
      </c>
      <c r="AD899" s="42"/>
      <c r="AE899" s="42"/>
      <c r="AF899" s="9"/>
      <c r="AG899" s="9"/>
      <c r="AH899" s="42"/>
      <c r="AI899" s="42"/>
      <c r="AJ899" s="42"/>
      <c r="AK899" s="42"/>
      <c r="AL899" s="42"/>
      <c r="AM899" s="42"/>
      <c r="AN899" s="42"/>
      <c r="AO899" s="63" t="str">
        <f>IFERROR(__xludf.DUMMYFUNCTION("IF(ISBLANK(A899),,IF(ISBLANK(S899), A899&amp;"";"", TEXTJOIN(CHAR(10), TRUE, A899&amp;"";"", ARRAYFORMULA(VLOOKUP(SPLIT(S899, "";"" &amp; CHAR(10)), $A:$AO, 41, FALSE)))))"),"A13l6;")</f>
        <v>A13l6;</v>
      </c>
      <c r="AP899" s="89"/>
    </row>
    <row r="900">
      <c r="A900" s="151" t="str">
        <f>IFERROR(__xludf.DUMMYFUNCTION("""COMPUTED_VALUE"""),"OFCl")</f>
        <v>OFCl</v>
      </c>
      <c r="B900" s="42" t="str">
        <f>IFERROR(__xludf.DUMMYFUNCTION("""COMPUTED_VALUE"""),"DHBA")</f>
        <v>DHBA</v>
      </c>
      <c r="C900" s="42" t="str">
        <f>IFERROR(__xludf.DUMMYFUNCTION("""COMPUTED_VALUE"""),"lateral orbital frontal cortex (area 12/47)")</f>
        <v>lateral orbital frontal cortex (area 12/47)</v>
      </c>
      <c r="D900" s="42">
        <f>IFERROR(__xludf.DUMMYFUNCTION("""COMPUTED_VALUE"""),844.0)</f>
        <v>844</v>
      </c>
      <c r="E900" s="39" t="str">
        <f>IFERROR(__xludf.DUMMYFUNCTION("""COMPUTED_VALUE"""),"lateral orbital frontal cortex (area 12/47)")</f>
        <v>lateral orbital frontal cortex (area 12/47)</v>
      </c>
      <c r="F900" s="9" t="str">
        <f>IFERROR(__xludf.DUMMYFUNCTION("""COMPUTED_VALUE"""),"Br")</f>
        <v>Br</v>
      </c>
      <c r="G900" s="9" t="str">
        <f>IFERROR(__xludf.DUMMYFUNCTION("""COMPUTED_VALUE"""),"F")</f>
        <v>F</v>
      </c>
      <c r="H900" s="9" t="str">
        <f>IFERROR(__xludf.DUMMYFUNCTION("""COMPUTED_VALUE"""),"FGM")</f>
        <v>FGM</v>
      </c>
      <c r="I900" s="9" t="str">
        <f>IFERROR(__xludf.DUMMYFUNCTION("""COMPUTED_VALUE"""),"Tel")</f>
        <v>Tel</v>
      </c>
      <c r="J900" s="9" t="str">
        <f>IFERROR(__xludf.DUMMYFUNCTION("""COMPUTED_VALUE"""),"Cx")</f>
        <v>Cx</v>
      </c>
      <c r="K900" s="9" t="str">
        <f>IFERROR(__xludf.DUMMYFUNCTION("""COMPUTED_VALUE"""),"NCx")</f>
        <v>NCx</v>
      </c>
      <c r="L900" s="9" t="str">
        <f>IFERROR(__xludf.DUMMYFUNCTION("""COMPUTED_VALUE"""),"FCx")</f>
        <v>FCx</v>
      </c>
      <c r="M900" s="9" t="str">
        <f>IFERROR(__xludf.DUMMYFUNCTION("""COMPUTED_VALUE"""),"OFC")</f>
        <v>OFC</v>
      </c>
      <c r="N900" s="9" t="str">
        <f>IFERROR(__xludf.DUMMYFUNCTION("""COMPUTED_VALUE"""),"OFCl")</f>
        <v>OFCl</v>
      </c>
      <c r="O900" s="9"/>
      <c r="P900" s="9"/>
      <c r="Q900" s="9"/>
      <c r="R900" s="9"/>
      <c r="S900" s="42" t="str">
        <f>IFERROR(__xludf.DUMMYFUNCTION("""COMPUTED_VALUE"""),"A12_47m;
A12_47l")</f>
        <v>A12_47m;
A12_47l</v>
      </c>
      <c r="T900" s="42"/>
      <c r="U900" s="42" t="b">
        <f>IFERROR(__xludf.DUMMYFUNCTION("""COMPUTED_VALUE"""),FALSE)</f>
        <v>0</v>
      </c>
      <c r="V900" s="42"/>
      <c r="W900" s="42"/>
      <c r="X900" s="42"/>
      <c r="Y900" s="42"/>
      <c r="Z900" s="42"/>
      <c r="AA900" s="42"/>
      <c r="AB900" s="42" t="str">
        <f>IFERROR(__xludf.DUMMYFUNCTION("""COMPUTED_VALUE"""),"allen institute")</f>
        <v>allen institute</v>
      </c>
      <c r="AC900" s="42" t="str">
        <f>IFERROR(__xludf.DUMMYFUNCTION("""COMPUTED_VALUE"""),"DHBA")</f>
        <v>DHBA</v>
      </c>
      <c r="AD900" s="42"/>
      <c r="AE900" s="42"/>
      <c r="AF900" s="9"/>
      <c r="AG900" s="9"/>
      <c r="AH900" s="42"/>
      <c r="AI900" s="42"/>
      <c r="AJ900" s="42"/>
      <c r="AK900" s="42"/>
      <c r="AL900" s="42"/>
      <c r="AM900" s="42"/>
      <c r="AN900" s="42"/>
      <c r="AO900" s="63" t="str">
        <f>IFERROR(__xludf.DUMMYFUNCTION("IF(ISBLANK(A900),,IF(ISBLANK(S900), A900&amp;"";"", TEXTJOIN(CHAR(10), TRUE, A900&amp;"";"", ARRAYFORMULA(VLOOKUP(SPLIT(S900, "";"" &amp; CHAR(10)), $A:$AO, 41, FALSE)))))"),"#N/A")</f>
        <v>#N/A</v>
      </c>
      <c r="AP900" s="89"/>
    </row>
    <row r="901">
      <c r="A901" s="151" t="str">
        <f>IFERROR(__xludf.DUMMYFUNCTION("""COMPUTED_VALUE"""),"A12/47m")</f>
        <v>A12/47m</v>
      </c>
      <c r="B901" s="42" t="str">
        <f>IFERROR(__xludf.DUMMYFUNCTION("""COMPUTED_VALUE"""),"DHBA")</f>
        <v>DHBA</v>
      </c>
      <c r="C901" s="42" t="str">
        <f>IFERROR(__xludf.DUMMYFUNCTION("""COMPUTED_VALUE"""),"medial subdivision of area 12/47")</f>
        <v>medial subdivision of area 12/47</v>
      </c>
      <c r="D901" s="42">
        <f>IFERROR(__xludf.DUMMYFUNCTION("""COMPUTED_VALUE"""),845.0)</f>
        <v>845</v>
      </c>
      <c r="E901" s="39" t="str">
        <f>IFERROR(__xludf.DUMMYFUNCTION("""COMPUTED_VALUE"""),"medial subdivision of area 12/47")</f>
        <v>medial subdivision of area 12/47</v>
      </c>
      <c r="F901" s="9" t="str">
        <f>IFERROR(__xludf.DUMMYFUNCTION("""COMPUTED_VALUE"""),"Br")</f>
        <v>Br</v>
      </c>
      <c r="G901" s="9" t="str">
        <f>IFERROR(__xludf.DUMMYFUNCTION("""COMPUTED_VALUE"""),"F")</f>
        <v>F</v>
      </c>
      <c r="H901" s="9" t="str">
        <f>IFERROR(__xludf.DUMMYFUNCTION("""COMPUTED_VALUE"""),"FGM")</f>
        <v>FGM</v>
      </c>
      <c r="I901" s="9" t="str">
        <f>IFERROR(__xludf.DUMMYFUNCTION("""COMPUTED_VALUE"""),"Tel")</f>
        <v>Tel</v>
      </c>
      <c r="J901" s="9" t="str">
        <f>IFERROR(__xludf.DUMMYFUNCTION("""COMPUTED_VALUE"""),"Cx")</f>
        <v>Cx</v>
      </c>
      <c r="K901" s="9" t="str">
        <f>IFERROR(__xludf.DUMMYFUNCTION("""COMPUTED_VALUE"""),"NCx")</f>
        <v>NCx</v>
      </c>
      <c r="L901" s="9" t="str">
        <f>IFERROR(__xludf.DUMMYFUNCTION("""COMPUTED_VALUE"""),"FCx")</f>
        <v>FCx</v>
      </c>
      <c r="M901" s="9" t="str">
        <f>IFERROR(__xludf.DUMMYFUNCTION("""COMPUTED_VALUE"""),"OFC")</f>
        <v>OFC</v>
      </c>
      <c r="N901" s="9" t="str">
        <f>IFERROR(__xludf.DUMMYFUNCTION("""COMPUTED_VALUE"""),"OFCl")</f>
        <v>OFCl</v>
      </c>
      <c r="O901" s="9" t="str">
        <f>IFERROR(__xludf.DUMMYFUNCTION("""COMPUTED_VALUE"""),"A12/47m")</f>
        <v>A12/47m</v>
      </c>
      <c r="P901" s="9"/>
      <c r="Q901" s="9"/>
      <c r="R901" s="9"/>
      <c r="S901" s="42"/>
      <c r="T901" s="42"/>
      <c r="U901" s="42"/>
      <c r="V901" s="42"/>
      <c r="W901" s="42"/>
      <c r="X901" s="42"/>
      <c r="Y901" s="42"/>
      <c r="Z901" s="42"/>
      <c r="AA901" s="42"/>
      <c r="AB901" s="42" t="str">
        <f>IFERROR(__xludf.DUMMYFUNCTION("""COMPUTED_VALUE"""),"allen institute")</f>
        <v>allen institute</v>
      </c>
      <c r="AC901" s="42" t="str">
        <f>IFERROR(__xludf.DUMMYFUNCTION("""COMPUTED_VALUE"""),"DHBA")</f>
        <v>DHBA</v>
      </c>
      <c r="AD901" s="42"/>
      <c r="AE901" s="42"/>
      <c r="AF901" s="9"/>
      <c r="AG901" s="9"/>
      <c r="AH901" s="42"/>
      <c r="AI901" s="42"/>
      <c r="AJ901" s="42"/>
      <c r="AK901" s="42"/>
      <c r="AL901" s="42"/>
      <c r="AM901" s="42"/>
      <c r="AN901" s="42"/>
      <c r="AO901" s="63" t="str">
        <f>IFERROR(__xludf.DUMMYFUNCTION("IF(ISBLANK(A901),,IF(ISBLANK(S901), A901&amp;"";"", TEXTJOIN(CHAR(10), TRUE, A901&amp;"";"", ARRAYFORMULA(VLOOKUP(SPLIT(S901, "";"" &amp; CHAR(10)), $A:$AO, 41, FALSE)))))"),"A12/47m;")</f>
        <v>A12/47m;</v>
      </c>
      <c r="AP901" s="89"/>
    </row>
    <row r="902">
      <c r="A902" s="151" t="str">
        <f>IFERROR(__xludf.DUMMYFUNCTION("""COMPUTED_VALUE"""),"A12/47m1")</f>
        <v>A12/47m1</v>
      </c>
      <c r="B902" s="42" t="str">
        <f>IFERROR(__xludf.DUMMYFUNCTION("""COMPUTED_VALUE"""),"DHBA")</f>
        <v>DHBA</v>
      </c>
      <c r="C902" s="42" t="str">
        <f>IFERROR(__xludf.DUMMYFUNCTION("""COMPUTED_VALUE"""),"layer I of area 12/47m")</f>
        <v>layer I of area 12/47m</v>
      </c>
      <c r="D902" s="42">
        <f>IFERROR(__xludf.DUMMYFUNCTION("""COMPUTED_VALUE"""),846.0)</f>
        <v>846</v>
      </c>
      <c r="E902" s="39" t="str">
        <f>IFERROR(__xludf.DUMMYFUNCTION("""COMPUTED_VALUE"""),"layer I of area 12/47m")</f>
        <v>layer I of area 12/47m</v>
      </c>
      <c r="F902" s="9" t="str">
        <f>IFERROR(__xludf.DUMMYFUNCTION("""COMPUTED_VALUE"""),"Br")</f>
        <v>Br</v>
      </c>
      <c r="G902" s="9" t="str">
        <f>IFERROR(__xludf.DUMMYFUNCTION("""COMPUTED_VALUE"""),"F")</f>
        <v>F</v>
      </c>
      <c r="H902" s="9" t="str">
        <f>IFERROR(__xludf.DUMMYFUNCTION("""COMPUTED_VALUE"""),"FGM")</f>
        <v>FGM</v>
      </c>
      <c r="I902" s="9" t="str">
        <f>IFERROR(__xludf.DUMMYFUNCTION("""COMPUTED_VALUE"""),"Tel")</f>
        <v>Tel</v>
      </c>
      <c r="J902" s="9" t="str">
        <f>IFERROR(__xludf.DUMMYFUNCTION("""COMPUTED_VALUE"""),"Cx")</f>
        <v>Cx</v>
      </c>
      <c r="K902" s="9" t="str">
        <f>IFERROR(__xludf.DUMMYFUNCTION("""COMPUTED_VALUE"""),"NCx")</f>
        <v>NCx</v>
      </c>
      <c r="L902" s="9" t="str">
        <f>IFERROR(__xludf.DUMMYFUNCTION("""COMPUTED_VALUE"""),"FCx")</f>
        <v>FCx</v>
      </c>
      <c r="M902" s="9" t="str">
        <f>IFERROR(__xludf.DUMMYFUNCTION("""COMPUTED_VALUE"""),"OFC")</f>
        <v>OFC</v>
      </c>
      <c r="N902" s="9" t="str">
        <f>IFERROR(__xludf.DUMMYFUNCTION("""COMPUTED_VALUE"""),"OFCl")</f>
        <v>OFCl</v>
      </c>
      <c r="O902" s="9" t="str">
        <f>IFERROR(__xludf.DUMMYFUNCTION("""COMPUTED_VALUE"""),"A12/47m")</f>
        <v>A12/47m</v>
      </c>
      <c r="P902" s="9" t="str">
        <f>IFERROR(__xludf.DUMMYFUNCTION("""COMPUTED_VALUE"""),"A12/47m1")</f>
        <v>A12/47m1</v>
      </c>
      <c r="Q902" s="9"/>
      <c r="R902" s="9"/>
      <c r="S902" s="42"/>
      <c r="T902" s="42"/>
      <c r="U902" s="42"/>
      <c r="V902" s="42"/>
      <c r="W902" s="42"/>
      <c r="X902" s="42"/>
      <c r="Y902" s="42"/>
      <c r="Z902" s="42"/>
      <c r="AA902" s="42"/>
      <c r="AB902" s="42" t="str">
        <f>IFERROR(__xludf.DUMMYFUNCTION("""COMPUTED_VALUE"""),"allen institute")</f>
        <v>allen institute</v>
      </c>
      <c r="AC902" s="42" t="str">
        <f>IFERROR(__xludf.DUMMYFUNCTION("""COMPUTED_VALUE"""),"DHBA")</f>
        <v>DHBA</v>
      </c>
      <c r="AD902" s="42"/>
      <c r="AE902" s="42"/>
      <c r="AF902" s="9"/>
      <c r="AG902" s="9"/>
      <c r="AH902" s="42"/>
      <c r="AI902" s="42"/>
      <c r="AJ902" s="42"/>
      <c r="AK902" s="42"/>
      <c r="AL902" s="42"/>
      <c r="AM902" s="42"/>
      <c r="AN902" s="42"/>
      <c r="AO902" s="63" t="str">
        <f>IFERROR(__xludf.DUMMYFUNCTION("IF(ISBLANK(A902),,IF(ISBLANK(S902), A902&amp;"";"", TEXTJOIN(CHAR(10), TRUE, A902&amp;"";"", ARRAYFORMULA(VLOOKUP(SPLIT(S902, "";"" &amp; CHAR(10)), $A:$AO, 41, FALSE)))))"),"A12/47m1;")</f>
        <v>A12/47m1;</v>
      </c>
      <c r="AP902" s="89"/>
    </row>
    <row r="903">
      <c r="A903" s="151" t="str">
        <f>IFERROR(__xludf.DUMMYFUNCTION("""COMPUTED_VALUE"""),"A12/47m2")</f>
        <v>A12/47m2</v>
      </c>
      <c r="B903" s="42" t="str">
        <f>IFERROR(__xludf.DUMMYFUNCTION("""COMPUTED_VALUE"""),"DHBA")</f>
        <v>DHBA</v>
      </c>
      <c r="C903" s="42" t="str">
        <f>IFERROR(__xludf.DUMMYFUNCTION("""COMPUTED_VALUE"""),"layer II of area 12/47m")</f>
        <v>layer II of area 12/47m</v>
      </c>
      <c r="D903" s="42">
        <f>IFERROR(__xludf.DUMMYFUNCTION("""COMPUTED_VALUE"""),847.0)</f>
        <v>847</v>
      </c>
      <c r="E903" s="39" t="str">
        <f>IFERROR(__xludf.DUMMYFUNCTION("""COMPUTED_VALUE"""),"layer II of area 12/47m")</f>
        <v>layer II of area 12/47m</v>
      </c>
      <c r="F903" s="9" t="str">
        <f>IFERROR(__xludf.DUMMYFUNCTION("""COMPUTED_VALUE"""),"Br")</f>
        <v>Br</v>
      </c>
      <c r="G903" s="9" t="str">
        <f>IFERROR(__xludf.DUMMYFUNCTION("""COMPUTED_VALUE"""),"F")</f>
        <v>F</v>
      </c>
      <c r="H903" s="9" t="str">
        <f>IFERROR(__xludf.DUMMYFUNCTION("""COMPUTED_VALUE"""),"FGM")</f>
        <v>FGM</v>
      </c>
      <c r="I903" s="9" t="str">
        <f>IFERROR(__xludf.DUMMYFUNCTION("""COMPUTED_VALUE"""),"Tel")</f>
        <v>Tel</v>
      </c>
      <c r="J903" s="9" t="str">
        <f>IFERROR(__xludf.DUMMYFUNCTION("""COMPUTED_VALUE"""),"Cx")</f>
        <v>Cx</v>
      </c>
      <c r="K903" s="9" t="str">
        <f>IFERROR(__xludf.DUMMYFUNCTION("""COMPUTED_VALUE"""),"NCx")</f>
        <v>NCx</v>
      </c>
      <c r="L903" s="9" t="str">
        <f>IFERROR(__xludf.DUMMYFUNCTION("""COMPUTED_VALUE"""),"FCx")</f>
        <v>FCx</v>
      </c>
      <c r="M903" s="9" t="str">
        <f>IFERROR(__xludf.DUMMYFUNCTION("""COMPUTED_VALUE"""),"OFC")</f>
        <v>OFC</v>
      </c>
      <c r="N903" s="9" t="str">
        <f>IFERROR(__xludf.DUMMYFUNCTION("""COMPUTED_VALUE"""),"OFCl")</f>
        <v>OFCl</v>
      </c>
      <c r="O903" s="9" t="str">
        <f>IFERROR(__xludf.DUMMYFUNCTION("""COMPUTED_VALUE"""),"A12/47m")</f>
        <v>A12/47m</v>
      </c>
      <c r="P903" s="9" t="str">
        <f>IFERROR(__xludf.DUMMYFUNCTION("""COMPUTED_VALUE"""),"A12/47m2")</f>
        <v>A12/47m2</v>
      </c>
      <c r="Q903" s="9"/>
      <c r="R903" s="9"/>
      <c r="S903" s="42"/>
      <c r="T903" s="42"/>
      <c r="U903" s="42"/>
      <c r="V903" s="42"/>
      <c r="W903" s="42"/>
      <c r="X903" s="42"/>
      <c r="Y903" s="42"/>
      <c r="Z903" s="42"/>
      <c r="AA903" s="42"/>
      <c r="AB903" s="42" t="str">
        <f>IFERROR(__xludf.DUMMYFUNCTION("""COMPUTED_VALUE"""),"allen institute")</f>
        <v>allen institute</v>
      </c>
      <c r="AC903" s="42" t="str">
        <f>IFERROR(__xludf.DUMMYFUNCTION("""COMPUTED_VALUE"""),"DHBA")</f>
        <v>DHBA</v>
      </c>
      <c r="AD903" s="42"/>
      <c r="AE903" s="42"/>
      <c r="AF903" s="9"/>
      <c r="AG903" s="9"/>
      <c r="AH903" s="42"/>
      <c r="AI903" s="42"/>
      <c r="AJ903" s="42"/>
      <c r="AK903" s="42"/>
      <c r="AL903" s="42"/>
      <c r="AM903" s="42"/>
      <c r="AN903" s="42"/>
      <c r="AO903" s="63" t="str">
        <f>IFERROR(__xludf.DUMMYFUNCTION("IF(ISBLANK(A903),,IF(ISBLANK(S903), A903&amp;"";"", TEXTJOIN(CHAR(10), TRUE, A903&amp;"";"", ARRAYFORMULA(VLOOKUP(SPLIT(S903, "";"" &amp; CHAR(10)), $A:$AO, 41, FALSE)))))"),"A12/47m2;")</f>
        <v>A12/47m2;</v>
      </c>
      <c r="AP903" s="89"/>
    </row>
    <row r="904">
      <c r="A904" s="151" t="str">
        <f>IFERROR(__xludf.DUMMYFUNCTION("""COMPUTED_VALUE"""),"A12/47m3")</f>
        <v>A12/47m3</v>
      </c>
      <c r="B904" s="42" t="str">
        <f>IFERROR(__xludf.DUMMYFUNCTION("""COMPUTED_VALUE"""),"DHBA")</f>
        <v>DHBA</v>
      </c>
      <c r="C904" s="42" t="str">
        <f>IFERROR(__xludf.DUMMYFUNCTION("""COMPUTED_VALUE"""),"layer III of area 12/47m")</f>
        <v>layer III of area 12/47m</v>
      </c>
      <c r="D904" s="42">
        <f>IFERROR(__xludf.DUMMYFUNCTION("""COMPUTED_VALUE"""),848.0)</f>
        <v>848</v>
      </c>
      <c r="E904" s="39" t="str">
        <f>IFERROR(__xludf.DUMMYFUNCTION("""COMPUTED_VALUE"""),"layer III of area 12/47m")</f>
        <v>layer III of area 12/47m</v>
      </c>
      <c r="F904" s="9" t="str">
        <f>IFERROR(__xludf.DUMMYFUNCTION("""COMPUTED_VALUE"""),"Br")</f>
        <v>Br</v>
      </c>
      <c r="G904" s="9" t="str">
        <f>IFERROR(__xludf.DUMMYFUNCTION("""COMPUTED_VALUE"""),"F")</f>
        <v>F</v>
      </c>
      <c r="H904" s="9" t="str">
        <f>IFERROR(__xludf.DUMMYFUNCTION("""COMPUTED_VALUE"""),"FGM")</f>
        <v>FGM</v>
      </c>
      <c r="I904" s="9" t="str">
        <f>IFERROR(__xludf.DUMMYFUNCTION("""COMPUTED_VALUE"""),"Tel")</f>
        <v>Tel</v>
      </c>
      <c r="J904" s="9" t="str">
        <f>IFERROR(__xludf.DUMMYFUNCTION("""COMPUTED_VALUE"""),"Cx")</f>
        <v>Cx</v>
      </c>
      <c r="K904" s="9" t="str">
        <f>IFERROR(__xludf.DUMMYFUNCTION("""COMPUTED_VALUE"""),"NCx")</f>
        <v>NCx</v>
      </c>
      <c r="L904" s="9" t="str">
        <f>IFERROR(__xludf.DUMMYFUNCTION("""COMPUTED_VALUE"""),"FCx")</f>
        <v>FCx</v>
      </c>
      <c r="M904" s="9" t="str">
        <f>IFERROR(__xludf.DUMMYFUNCTION("""COMPUTED_VALUE"""),"OFC")</f>
        <v>OFC</v>
      </c>
      <c r="N904" s="9" t="str">
        <f>IFERROR(__xludf.DUMMYFUNCTION("""COMPUTED_VALUE"""),"OFCl")</f>
        <v>OFCl</v>
      </c>
      <c r="O904" s="9" t="str">
        <f>IFERROR(__xludf.DUMMYFUNCTION("""COMPUTED_VALUE"""),"A12/47m")</f>
        <v>A12/47m</v>
      </c>
      <c r="P904" s="9" t="str">
        <f>IFERROR(__xludf.DUMMYFUNCTION("""COMPUTED_VALUE"""),"A12/47m3")</f>
        <v>A12/47m3</v>
      </c>
      <c r="Q904" s="9"/>
      <c r="R904" s="9"/>
      <c r="S904" s="42"/>
      <c r="T904" s="42"/>
      <c r="U904" s="42"/>
      <c r="V904" s="42"/>
      <c r="W904" s="42"/>
      <c r="X904" s="42"/>
      <c r="Y904" s="42"/>
      <c r="Z904" s="42"/>
      <c r="AA904" s="42"/>
      <c r="AB904" s="42" t="str">
        <f>IFERROR(__xludf.DUMMYFUNCTION("""COMPUTED_VALUE"""),"allen institute")</f>
        <v>allen institute</v>
      </c>
      <c r="AC904" s="42" t="str">
        <f>IFERROR(__xludf.DUMMYFUNCTION("""COMPUTED_VALUE"""),"DHBA")</f>
        <v>DHBA</v>
      </c>
      <c r="AD904" s="42"/>
      <c r="AE904" s="42"/>
      <c r="AF904" s="9"/>
      <c r="AG904" s="9"/>
      <c r="AH904" s="42"/>
      <c r="AI904" s="42"/>
      <c r="AJ904" s="42"/>
      <c r="AK904" s="42"/>
      <c r="AL904" s="42"/>
      <c r="AM904" s="42"/>
      <c r="AN904" s="42"/>
      <c r="AO904" s="63" t="str">
        <f>IFERROR(__xludf.DUMMYFUNCTION("IF(ISBLANK(A904),,IF(ISBLANK(S904), A904&amp;"";"", TEXTJOIN(CHAR(10), TRUE, A904&amp;"";"", ARRAYFORMULA(VLOOKUP(SPLIT(S904, "";"" &amp; CHAR(10)), $A:$AO, 41, FALSE)))))"),"A12/47m3;")</f>
        <v>A12/47m3;</v>
      </c>
      <c r="AP904" s="89"/>
    </row>
    <row r="905">
      <c r="A905" s="151" t="str">
        <f>IFERROR(__xludf.DUMMYFUNCTION("""COMPUTED_VALUE"""),"A12/47m4")</f>
        <v>A12/47m4</v>
      </c>
      <c r="B905" s="42" t="str">
        <f>IFERROR(__xludf.DUMMYFUNCTION("""COMPUTED_VALUE"""),"DHBA")</f>
        <v>DHBA</v>
      </c>
      <c r="C905" s="42" t="str">
        <f>IFERROR(__xludf.DUMMYFUNCTION("""COMPUTED_VALUE"""),"layer IV of area 12/47m")</f>
        <v>layer IV of area 12/47m</v>
      </c>
      <c r="D905" s="42">
        <f>IFERROR(__xludf.DUMMYFUNCTION("""COMPUTED_VALUE"""),849.0)</f>
        <v>849</v>
      </c>
      <c r="E905" s="39" t="str">
        <f>IFERROR(__xludf.DUMMYFUNCTION("""COMPUTED_VALUE"""),"layer IV of area 12/47m")</f>
        <v>layer IV of area 12/47m</v>
      </c>
      <c r="F905" s="9" t="str">
        <f>IFERROR(__xludf.DUMMYFUNCTION("""COMPUTED_VALUE"""),"Br")</f>
        <v>Br</v>
      </c>
      <c r="G905" s="9" t="str">
        <f>IFERROR(__xludf.DUMMYFUNCTION("""COMPUTED_VALUE"""),"F")</f>
        <v>F</v>
      </c>
      <c r="H905" s="9" t="str">
        <f>IFERROR(__xludf.DUMMYFUNCTION("""COMPUTED_VALUE"""),"FGM")</f>
        <v>FGM</v>
      </c>
      <c r="I905" s="9" t="str">
        <f>IFERROR(__xludf.DUMMYFUNCTION("""COMPUTED_VALUE"""),"Tel")</f>
        <v>Tel</v>
      </c>
      <c r="J905" s="9" t="str">
        <f>IFERROR(__xludf.DUMMYFUNCTION("""COMPUTED_VALUE"""),"Cx")</f>
        <v>Cx</v>
      </c>
      <c r="K905" s="9" t="str">
        <f>IFERROR(__xludf.DUMMYFUNCTION("""COMPUTED_VALUE"""),"NCx")</f>
        <v>NCx</v>
      </c>
      <c r="L905" s="9" t="str">
        <f>IFERROR(__xludf.DUMMYFUNCTION("""COMPUTED_VALUE"""),"FCx")</f>
        <v>FCx</v>
      </c>
      <c r="M905" s="9" t="str">
        <f>IFERROR(__xludf.DUMMYFUNCTION("""COMPUTED_VALUE"""),"OFC")</f>
        <v>OFC</v>
      </c>
      <c r="N905" s="9" t="str">
        <f>IFERROR(__xludf.DUMMYFUNCTION("""COMPUTED_VALUE"""),"OFCl")</f>
        <v>OFCl</v>
      </c>
      <c r="O905" s="9" t="str">
        <f>IFERROR(__xludf.DUMMYFUNCTION("""COMPUTED_VALUE"""),"A12/47m")</f>
        <v>A12/47m</v>
      </c>
      <c r="P905" s="9" t="str">
        <f>IFERROR(__xludf.DUMMYFUNCTION("""COMPUTED_VALUE"""),"A12/47m4")</f>
        <v>A12/47m4</v>
      </c>
      <c r="Q905" s="9"/>
      <c r="R905" s="9"/>
      <c r="S905" s="42"/>
      <c r="T905" s="42"/>
      <c r="U905" s="42"/>
      <c r="V905" s="42"/>
      <c r="W905" s="42"/>
      <c r="X905" s="42"/>
      <c r="Y905" s="42"/>
      <c r="Z905" s="42"/>
      <c r="AA905" s="42"/>
      <c r="AB905" s="42" t="str">
        <f>IFERROR(__xludf.DUMMYFUNCTION("""COMPUTED_VALUE"""),"allen institute")</f>
        <v>allen institute</v>
      </c>
      <c r="AC905" s="42" t="str">
        <f>IFERROR(__xludf.DUMMYFUNCTION("""COMPUTED_VALUE"""),"DHBA")</f>
        <v>DHBA</v>
      </c>
      <c r="AD905" s="42"/>
      <c r="AE905" s="42"/>
      <c r="AF905" s="9"/>
      <c r="AG905" s="9"/>
      <c r="AH905" s="42"/>
      <c r="AI905" s="42"/>
      <c r="AJ905" s="42"/>
      <c r="AK905" s="42"/>
      <c r="AL905" s="42"/>
      <c r="AM905" s="42"/>
      <c r="AN905" s="42"/>
      <c r="AO905" s="63" t="str">
        <f>IFERROR(__xludf.DUMMYFUNCTION("IF(ISBLANK(A905),,IF(ISBLANK(S905), A905&amp;"";"", TEXTJOIN(CHAR(10), TRUE, A905&amp;"";"", ARRAYFORMULA(VLOOKUP(SPLIT(S905, "";"" &amp; CHAR(10)), $A:$AO, 41, FALSE)))))"),"A12/47m4;")</f>
        <v>A12/47m4;</v>
      </c>
      <c r="AP905" s="89"/>
    </row>
    <row r="906">
      <c r="A906" s="151" t="str">
        <f>IFERROR(__xludf.DUMMYFUNCTION("""COMPUTED_VALUE"""),"A12/47m5")</f>
        <v>A12/47m5</v>
      </c>
      <c r="B906" s="42" t="str">
        <f>IFERROR(__xludf.DUMMYFUNCTION("""COMPUTED_VALUE"""),"DHBA")</f>
        <v>DHBA</v>
      </c>
      <c r="C906" s="42" t="str">
        <f>IFERROR(__xludf.DUMMYFUNCTION("""COMPUTED_VALUE"""),"layer V of area 12/47m")</f>
        <v>layer V of area 12/47m</v>
      </c>
      <c r="D906" s="42">
        <f>IFERROR(__xludf.DUMMYFUNCTION("""COMPUTED_VALUE"""),850.0)</f>
        <v>850</v>
      </c>
      <c r="E906" s="39" t="str">
        <f>IFERROR(__xludf.DUMMYFUNCTION("""COMPUTED_VALUE"""),"layer V of area 12/47m")</f>
        <v>layer V of area 12/47m</v>
      </c>
      <c r="F906" s="9" t="str">
        <f>IFERROR(__xludf.DUMMYFUNCTION("""COMPUTED_VALUE"""),"Br")</f>
        <v>Br</v>
      </c>
      <c r="G906" s="9" t="str">
        <f>IFERROR(__xludf.DUMMYFUNCTION("""COMPUTED_VALUE"""),"F")</f>
        <v>F</v>
      </c>
      <c r="H906" s="9" t="str">
        <f>IFERROR(__xludf.DUMMYFUNCTION("""COMPUTED_VALUE"""),"FGM")</f>
        <v>FGM</v>
      </c>
      <c r="I906" s="9" t="str">
        <f>IFERROR(__xludf.DUMMYFUNCTION("""COMPUTED_VALUE"""),"Tel")</f>
        <v>Tel</v>
      </c>
      <c r="J906" s="9" t="str">
        <f>IFERROR(__xludf.DUMMYFUNCTION("""COMPUTED_VALUE"""),"Cx")</f>
        <v>Cx</v>
      </c>
      <c r="K906" s="9" t="str">
        <f>IFERROR(__xludf.DUMMYFUNCTION("""COMPUTED_VALUE"""),"NCx")</f>
        <v>NCx</v>
      </c>
      <c r="L906" s="9" t="str">
        <f>IFERROR(__xludf.DUMMYFUNCTION("""COMPUTED_VALUE"""),"FCx")</f>
        <v>FCx</v>
      </c>
      <c r="M906" s="9" t="str">
        <f>IFERROR(__xludf.DUMMYFUNCTION("""COMPUTED_VALUE"""),"OFC")</f>
        <v>OFC</v>
      </c>
      <c r="N906" s="9" t="str">
        <f>IFERROR(__xludf.DUMMYFUNCTION("""COMPUTED_VALUE"""),"OFCl")</f>
        <v>OFCl</v>
      </c>
      <c r="O906" s="9" t="str">
        <f>IFERROR(__xludf.DUMMYFUNCTION("""COMPUTED_VALUE"""),"A12/47m")</f>
        <v>A12/47m</v>
      </c>
      <c r="P906" s="9" t="str">
        <f>IFERROR(__xludf.DUMMYFUNCTION("""COMPUTED_VALUE"""),"A12/47m5")</f>
        <v>A12/47m5</v>
      </c>
      <c r="Q906" s="9"/>
      <c r="R906" s="9"/>
      <c r="S906" s="42"/>
      <c r="T906" s="42"/>
      <c r="U906" s="42"/>
      <c r="V906" s="42"/>
      <c r="W906" s="42"/>
      <c r="X906" s="42"/>
      <c r="Y906" s="42"/>
      <c r="Z906" s="42"/>
      <c r="AA906" s="42"/>
      <c r="AB906" s="42" t="str">
        <f>IFERROR(__xludf.DUMMYFUNCTION("""COMPUTED_VALUE"""),"allen institute")</f>
        <v>allen institute</v>
      </c>
      <c r="AC906" s="42" t="str">
        <f>IFERROR(__xludf.DUMMYFUNCTION("""COMPUTED_VALUE"""),"DHBA")</f>
        <v>DHBA</v>
      </c>
      <c r="AD906" s="42"/>
      <c r="AE906" s="42"/>
      <c r="AF906" s="9"/>
      <c r="AG906" s="9"/>
      <c r="AH906" s="42"/>
      <c r="AI906" s="42"/>
      <c r="AJ906" s="42"/>
      <c r="AK906" s="42"/>
      <c r="AL906" s="42"/>
      <c r="AM906" s="42"/>
      <c r="AN906" s="42"/>
      <c r="AO906" s="63" t="str">
        <f>IFERROR(__xludf.DUMMYFUNCTION("IF(ISBLANK(A906),,IF(ISBLANK(S906), A906&amp;"";"", TEXTJOIN(CHAR(10), TRUE, A906&amp;"";"", ARRAYFORMULA(VLOOKUP(SPLIT(S906, "";"" &amp; CHAR(10)), $A:$AO, 41, FALSE)))))"),"A12/47m5;")</f>
        <v>A12/47m5;</v>
      </c>
      <c r="AP906" s="89"/>
    </row>
    <row r="907">
      <c r="A907" s="151" t="str">
        <f>IFERROR(__xludf.DUMMYFUNCTION("""COMPUTED_VALUE"""),"A12/47m6")</f>
        <v>A12/47m6</v>
      </c>
      <c r="B907" s="42" t="str">
        <f>IFERROR(__xludf.DUMMYFUNCTION("""COMPUTED_VALUE"""),"DHBA")</f>
        <v>DHBA</v>
      </c>
      <c r="C907" s="42" t="str">
        <f>IFERROR(__xludf.DUMMYFUNCTION("""COMPUTED_VALUE"""),"layer VI of area 12/47m")</f>
        <v>layer VI of area 12/47m</v>
      </c>
      <c r="D907" s="42">
        <f>IFERROR(__xludf.DUMMYFUNCTION("""COMPUTED_VALUE"""),851.0)</f>
        <v>851</v>
      </c>
      <c r="E907" s="39" t="str">
        <f>IFERROR(__xludf.DUMMYFUNCTION("""COMPUTED_VALUE"""),"layer VI of area 12/47m")</f>
        <v>layer VI of area 12/47m</v>
      </c>
      <c r="F907" s="9" t="str">
        <f>IFERROR(__xludf.DUMMYFUNCTION("""COMPUTED_VALUE"""),"Br")</f>
        <v>Br</v>
      </c>
      <c r="G907" s="9" t="str">
        <f>IFERROR(__xludf.DUMMYFUNCTION("""COMPUTED_VALUE"""),"F")</f>
        <v>F</v>
      </c>
      <c r="H907" s="9" t="str">
        <f>IFERROR(__xludf.DUMMYFUNCTION("""COMPUTED_VALUE"""),"FGM")</f>
        <v>FGM</v>
      </c>
      <c r="I907" s="9" t="str">
        <f>IFERROR(__xludf.DUMMYFUNCTION("""COMPUTED_VALUE"""),"Tel")</f>
        <v>Tel</v>
      </c>
      <c r="J907" s="9" t="str">
        <f>IFERROR(__xludf.DUMMYFUNCTION("""COMPUTED_VALUE"""),"Cx")</f>
        <v>Cx</v>
      </c>
      <c r="K907" s="9" t="str">
        <f>IFERROR(__xludf.DUMMYFUNCTION("""COMPUTED_VALUE"""),"NCx")</f>
        <v>NCx</v>
      </c>
      <c r="L907" s="9" t="str">
        <f>IFERROR(__xludf.DUMMYFUNCTION("""COMPUTED_VALUE"""),"FCx")</f>
        <v>FCx</v>
      </c>
      <c r="M907" s="9" t="str">
        <f>IFERROR(__xludf.DUMMYFUNCTION("""COMPUTED_VALUE"""),"OFC")</f>
        <v>OFC</v>
      </c>
      <c r="N907" s="9" t="str">
        <f>IFERROR(__xludf.DUMMYFUNCTION("""COMPUTED_VALUE"""),"OFCl")</f>
        <v>OFCl</v>
      </c>
      <c r="O907" s="9" t="str">
        <f>IFERROR(__xludf.DUMMYFUNCTION("""COMPUTED_VALUE"""),"A12/47m")</f>
        <v>A12/47m</v>
      </c>
      <c r="P907" s="9" t="str">
        <f>IFERROR(__xludf.DUMMYFUNCTION("""COMPUTED_VALUE"""),"A12/47m6")</f>
        <v>A12/47m6</v>
      </c>
      <c r="Q907" s="9"/>
      <c r="R907" s="9"/>
      <c r="S907" s="42"/>
      <c r="T907" s="42"/>
      <c r="U907" s="42"/>
      <c r="V907" s="42"/>
      <c r="W907" s="42"/>
      <c r="X907" s="42"/>
      <c r="Y907" s="42"/>
      <c r="Z907" s="42"/>
      <c r="AA907" s="42"/>
      <c r="AB907" s="42" t="str">
        <f>IFERROR(__xludf.DUMMYFUNCTION("""COMPUTED_VALUE"""),"allen institute")</f>
        <v>allen institute</v>
      </c>
      <c r="AC907" s="42" t="str">
        <f>IFERROR(__xludf.DUMMYFUNCTION("""COMPUTED_VALUE"""),"DHBA")</f>
        <v>DHBA</v>
      </c>
      <c r="AD907" s="42"/>
      <c r="AE907" s="42"/>
      <c r="AF907" s="9"/>
      <c r="AG907" s="9"/>
      <c r="AH907" s="42"/>
      <c r="AI907" s="42"/>
      <c r="AJ907" s="42"/>
      <c r="AK907" s="42"/>
      <c r="AL907" s="42"/>
      <c r="AM907" s="42"/>
      <c r="AN907" s="42"/>
      <c r="AO907" s="63" t="str">
        <f>IFERROR(__xludf.DUMMYFUNCTION("IF(ISBLANK(A907),,IF(ISBLANK(S907), A907&amp;"";"", TEXTJOIN(CHAR(10), TRUE, A907&amp;"";"", ARRAYFORMULA(VLOOKUP(SPLIT(S907, "";"" &amp; CHAR(10)), $A:$AO, 41, FALSE)))))"),"A12/47m6;")</f>
        <v>A12/47m6;</v>
      </c>
      <c r="AP907" s="89"/>
    </row>
    <row r="908">
      <c r="A908" s="151" t="str">
        <f>IFERROR(__xludf.DUMMYFUNCTION("""COMPUTED_VALUE"""),"A12/47l")</f>
        <v>A12/47l</v>
      </c>
      <c r="B908" s="42" t="str">
        <f>IFERROR(__xludf.DUMMYFUNCTION("""COMPUTED_VALUE"""),"DHBA")</f>
        <v>DHBA</v>
      </c>
      <c r="C908" s="42" t="str">
        <f>IFERROR(__xludf.DUMMYFUNCTION("""COMPUTED_VALUE"""),"lateral subdivision of area 12/47")</f>
        <v>lateral subdivision of area 12/47</v>
      </c>
      <c r="D908" s="42">
        <f>IFERROR(__xludf.DUMMYFUNCTION("""COMPUTED_VALUE"""),852.0)</f>
        <v>852</v>
      </c>
      <c r="E908" s="39" t="str">
        <f>IFERROR(__xludf.DUMMYFUNCTION("""COMPUTED_VALUE"""),"lateral subdivision of area 12/47")</f>
        <v>lateral subdivision of area 12/47</v>
      </c>
      <c r="F908" s="9" t="str">
        <f>IFERROR(__xludf.DUMMYFUNCTION("""COMPUTED_VALUE"""),"Br")</f>
        <v>Br</v>
      </c>
      <c r="G908" s="9" t="str">
        <f>IFERROR(__xludf.DUMMYFUNCTION("""COMPUTED_VALUE"""),"F")</f>
        <v>F</v>
      </c>
      <c r="H908" s="9" t="str">
        <f>IFERROR(__xludf.DUMMYFUNCTION("""COMPUTED_VALUE"""),"FGM")</f>
        <v>FGM</v>
      </c>
      <c r="I908" s="9" t="str">
        <f>IFERROR(__xludf.DUMMYFUNCTION("""COMPUTED_VALUE"""),"Tel")</f>
        <v>Tel</v>
      </c>
      <c r="J908" s="9" t="str">
        <f>IFERROR(__xludf.DUMMYFUNCTION("""COMPUTED_VALUE"""),"Cx")</f>
        <v>Cx</v>
      </c>
      <c r="K908" s="9" t="str">
        <f>IFERROR(__xludf.DUMMYFUNCTION("""COMPUTED_VALUE"""),"NCx")</f>
        <v>NCx</v>
      </c>
      <c r="L908" s="9" t="str">
        <f>IFERROR(__xludf.DUMMYFUNCTION("""COMPUTED_VALUE"""),"FCx")</f>
        <v>FCx</v>
      </c>
      <c r="M908" s="9" t="str">
        <f>IFERROR(__xludf.DUMMYFUNCTION("""COMPUTED_VALUE"""),"OFC")</f>
        <v>OFC</v>
      </c>
      <c r="N908" s="9" t="str">
        <f>IFERROR(__xludf.DUMMYFUNCTION("""COMPUTED_VALUE"""),"OFCl")</f>
        <v>OFCl</v>
      </c>
      <c r="O908" s="9" t="str">
        <f>IFERROR(__xludf.DUMMYFUNCTION("""COMPUTED_VALUE"""),"A12/47l")</f>
        <v>A12/47l</v>
      </c>
      <c r="P908" s="9"/>
      <c r="Q908" s="9"/>
      <c r="R908" s="9"/>
      <c r="S908" s="42"/>
      <c r="T908" s="42"/>
      <c r="U908" s="42"/>
      <c r="V908" s="42"/>
      <c r="W908" s="42"/>
      <c r="X908" s="42"/>
      <c r="Y908" s="42"/>
      <c r="Z908" s="42"/>
      <c r="AA908" s="42"/>
      <c r="AB908" s="42" t="str">
        <f>IFERROR(__xludf.DUMMYFUNCTION("""COMPUTED_VALUE"""),"allen institute")</f>
        <v>allen institute</v>
      </c>
      <c r="AC908" s="42" t="str">
        <f>IFERROR(__xludf.DUMMYFUNCTION("""COMPUTED_VALUE"""),"DHBA")</f>
        <v>DHBA</v>
      </c>
      <c r="AD908" s="42"/>
      <c r="AE908" s="42"/>
      <c r="AF908" s="9"/>
      <c r="AG908" s="9"/>
      <c r="AH908" s="42"/>
      <c r="AI908" s="42"/>
      <c r="AJ908" s="42"/>
      <c r="AK908" s="42"/>
      <c r="AL908" s="42"/>
      <c r="AM908" s="42"/>
      <c r="AN908" s="42"/>
      <c r="AO908" s="63" t="str">
        <f>IFERROR(__xludf.DUMMYFUNCTION("IF(ISBLANK(A908),,IF(ISBLANK(S908), A908&amp;"";"", TEXTJOIN(CHAR(10), TRUE, A908&amp;"";"", ARRAYFORMULA(VLOOKUP(SPLIT(S908, "";"" &amp; CHAR(10)), $A:$AO, 41, FALSE)))))"),"A12/47l;")</f>
        <v>A12/47l;</v>
      </c>
      <c r="AP908" s="89"/>
    </row>
    <row r="909">
      <c r="A909" s="151" t="str">
        <f>IFERROR(__xludf.DUMMYFUNCTION("""COMPUTED_VALUE"""),"A12/47l1")</f>
        <v>A12/47l1</v>
      </c>
      <c r="B909" s="42" t="str">
        <f>IFERROR(__xludf.DUMMYFUNCTION("""COMPUTED_VALUE"""),"DHBA")</f>
        <v>DHBA</v>
      </c>
      <c r="C909" s="42" t="str">
        <f>IFERROR(__xludf.DUMMYFUNCTION("""COMPUTED_VALUE"""),"layer I of area 12/47l")</f>
        <v>layer I of area 12/47l</v>
      </c>
      <c r="D909" s="42">
        <f>IFERROR(__xludf.DUMMYFUNCTION("""COMPUTED_VALUE"""),853.0)</f>
        <v>853</v>
      </c>
      <c r="E909" s="39" t="str">
        <f>IFERROR(__xludf.DUMMYFUNCTION("""COMPUTED_VALUE"""),"layer I of area 12/47l")</f>
        <v>layer I of area 12/47l</v>
      </c>
      <c r="F909" s="9" t="str">
        <f>IFERROR(__xludf.DUMMYFUNCTION("""COMPUTED_VALUE"""),"Br")</f>
        <v>Br</v>
      </c>
      <c r="G909" s="9" t="str">
        <f>IFERROR(__xludf.DUMMYFUNCTION("""COMPUTED_VALUE"""),"F")</f>
        <v>F</v>
      </c>
      <c r="H909" s="9" t="str">
        <f>IFERROR(__xludf.DUMMYFUNCTION("""COMPUTED_VALUE"""),"FGM")</f>
        <v>FGM</v>
      </c>
      <c r="I909" s="9" t="str">
        <f>IFERROR(__xludf.DUMMYFUNCTION("""COMPUTED_VALUE"""),"Tel")</f>
        <v>Tel</v>
      </c>
      <c r="J909" s="9" t="str">
        <f>IFERROR(__xludf.DUMMYFUNCTION("""COMPUTED_VALUE"""),"Cx")</f>
        <v>Cx</v>
      </c>
      <c r="K909" s="9" t="str">
        <f>IFERROR(__xludf.DUMMYFUNCTION("""COMPUTED_VALUE"""),"NCx")</f>
        <v>NCx</v>
      </c>
      <c r="L909" s="9" t="str">
        <f>IFERROR(__xludf.DUMMYFUNCTION("""COMPUTED_VALUE"""),"FCx")</f>
        <v>FCx</v>
      </c>
      <c r="M909" s="9" t="str">
        <f>IFERROR(__xludf.DUMMYFUNCTION("""COMPUTED_VALUE"""),"OFC")</f>
        <v>OFC</v>
      </c>
      <c r="N909" s="9" t="str">
        <f>IFERROR(__xludf.DUMMYFUNCTION("""COMPUTED_VALUE"""),"OFCl")</f>
        <v>OFCl</v>
      </c>
      <c r="O909" s="9" t="str">
        <f>IFERROR(__xludf.DUMMYFUNCTION("""COMPUTED_VALUE"""),"A12/47l")</f>
        <v>A12/47l</v>
      </c>
      <c r="P909" s="9" t="str">
        <f>IFERROR(__xludf.DUMMYFUNCTION("""COMPUTED_VALUE"""),"A12/47l1")</f>
        <v>A12/47l1</v>
      </c>
      <c r="Q909" s="9"/>
      <c r="R909" s="9"/>
      <c r="S909" s="42"/>
      <c r="T909" s="42"/>
      <c r="U909" s="42"/>
      <c r="V909" s="42"/>
      <c r="W909" s="42"/>
      <c r="X909" s="42"/>
      <c r="Y909" s="42"/>
      <c r="Z909" s="42"/>
      <c r="AA909" s="42"/>
      <c r="AB909" s="42" t="str">
        <f>IFERROR(__xludf.DUMMYFUNCTION("""COMPUTED_VALUE"""),"allen institute")</f>
        <v>allen institute</v>
      </c>
      <c r="AC909" s="42" t="str">
        <f>IFERROR(__xludf.DUMMYFUNCTION("""COMPUTED_VALUE"""),"DHBA")</f>
        <v>DHBA</v>
      </c>
      <c r="AD909" s="42"/>
      <c r="AE909" s="42"/>
      <c r="AF909" s="9"/>
      <c r="AG909" s="9"/>
      <c r="AH909" s="42"/>
      <c r="AI909" s="42"/>
      <c r="AJ909" s="42"/>
      <c r="AK909" s="42"/>
      <c r="AL909" s="42"/>
      <c r="AM909" s="42"/>
      <c r="AN909" s="42"/>
      <c r="AO909" s="63" t="str">
        <f>IFERROR(__xludf.DUMMYFUNCTION("IF(ISBLANK(A909),,IF(ISBLANK(S909), A909&amp;"";"", TEXTJOIN(CHAR(10), TRUE, A909&amp;"";"", ARRAYFORMULA(VLOOKUP(SPLIT(S909, "";"" &amp; CHAR(10)), $A:$AO, 41, FALSE)))))"),"A12/47l1;")</f>
        <v>A12/47l1;</v>
      </c>
      <c r="AP909" s="89"/>
    </row>
    <row r="910">
      <c r="A910" s="151" t="str">
        <f>IFERROR(__xludf.DUMMYFUNCTION("""COMPUTED_VALUE"""),"A12/47l2")</f>
        <v>A12/47l2</v>
      </c>
      <c r="B910" s="42" t="str">
        <f>IFERROR(__xludf.DUMMYFUNCTION("""COMPUTED_VALUE"""),"DHBA")</f>
        <v>DHBA</v>
      </c>
      <c r="C910" s="42" t="str">
        <f>IFERROR(__xludf.DUMMYFUNCTION("""COMPUTED_VALUE"""),"layer II of area 12/47l")</f>
        <v>layer II of area 12/47l</v>
      </c>
      <c r="D910" s="42">
        <f>IFERROR(__xludf.DUMMYFUNCTION("""COMPUTED_VALUE"""),854.0)</f>
        <v>854</v>
      </c>
      <c r="E910" s="39" t="str">
        <f>IFERROR(__xludf.DUMMYFUNCTION("""COMPUTED_VALUE"""),"layer II of area 12/47l")</f>
        <v>layer II of area 12/47l</v>
      </c>
      <c r="F910" s="9" t="str">
        <f>IFERROR(__xludf.DUMMYFUNCTION("""COMPUTED_VALUE"""),"Br")</f>
        <v>Br</v>
      </c>
      <c r="G910" s="9" t="str">
        <f>IFERROR(__xludf.DUMMYFUNCTION("""COMPUTED_VALUE"""),"F")</f>
        <v>F</v>
      </c>
      <c r="H910" s="9" t="str">
        <f>IFERROR(__xludf.DUMMYFUNCTION("""COMPUTED_VALUE"""),"FGM")</f>
        <v>FGM</v>
      </c>
      <c r="I910" s="9" t="str">
        <f>IFERROR(__xludf.DUMMYFUNCTION("""COMPUTED_VALUE"""),"Tel")</f>
        <v>Tel</v>
      </c>
      <c r="J910" s="9" t="str">
        <f>IFERROR(__xludf.DUMMYFUNCTION("""COMPUTED_VALUE"""),"Cx")</f>
        <v>Cx</v>
      </c>
      <c r="K910" s="9" t="str">
        <f>IFERROR(__xludf.DUMMYFUNCTION("""COMPUTED_VALUE"""),"NCx")</f>
        <v>NCx</v>
      </c>
      <c r="L910" s="9" t="str">
        <f>IFERROR(__xludf.DUMMYFUNCTION("""COMPUTED_VALUE"""),"FCx")</f>
        <v>FCx</v>
      </c>
      <c r="M910" s="9" t="str">
        <f>IFERROR(__xludf.DUMMYFUNCTION("""COMPUTED_VALUE"""),"OFC")</f>
        <v>OFC</v>
      </c>
      <c r="N910" s="9" t="str">
        <f>IFERROR(__xludf.DUMMYFUNCTION("""COMPUTED_VALUE"""),"OFCl")</f>
        <v>OFCl</v>
      </c>
      <c r="O910" s="9" t="str">
        <f>IFERROR(__xludf.DUMMYFUNCTION("""COMPUTED_VALUE"""),"A12/47l")</f>
        <v>A12/47l</v>
      </c>
      <c r="P910" s="9" t="str">
        <f>IFERROR(__xludf.DUMMYFUNCTION("""COMPUTED_VALUE"""),"A12/47l2")</f>
        <v>A12/47l2</v>
      </c>
      <c r="Q910" s="9"/>
      <c r="R910" s="9"/>
      <c r="S910" s="42"/>
      <c r="T910" s="42"/>
      <c r="U910" s="159"/>
      <c r="V910" s="42"/>
      <c r="W910" s="42"/>
      <c r="X910" s="42"/>
      <c r="Y910" s="42"/>
      <c r="Z910" s="42"/>
      <c r="AA910" s="42"/>
      <c r="AB910" s="42" t="str">
        <f>IFERROR(__xludf.DUMMYFUNCTION("""COMPUTED_VALUE"""),"allen institute")</f>
        <v>allen institute</v>
      </c>
      <c r="AC910" s="42" t="str">
        <f>IFERROR(__xludf.DUMMYFUNCTION("""COMPUTED_VALUE"""),"DHBA")</f>
        <v>DHBA</v>
      </c>
      <c r="AD910" s="42"/>
      <c r="AE910" s="42"/>
      <c r="AF910" s="9"/>
      <c r="AG910" s="9"/>
      <c r="AH910" s="42"/>
      <c r="AI910" s="42"/>
      <c r="AJ910" s="42"/>
      <c r="AK910" s="42"/>
      <c r="AL910" s="42"/>
      <c r="AM910" s="42"/>
      <c r="AN910" s="42"/>
      <c r="AO910" s="63" t="str">
        <f>IFERROR(__xludf.DUMMYFUNCTION("IF(ISBLANK(A910),,IF(ISBLANK(S910), A910&amp;"";"", TEXTJOIN(CHAR(10), TRUE, A910&amp;"";"", ARRAYFORMULA(VLOOKUP(SPLIT(S910, "";"" &amp; CHAR(10)), $A:$AO, 41, FALSE)))))"),"A12/47l2;")</f>
        <v>A12/47l2;</v>
      </c>
      <c r="AP910" s="89"/>
    </row>
    <row r="911">
      <c r="A911" s="151" t="str">
        <f>IFERROR(__xludf.DUMMYFUNCTION("""COMPUTED_VALUE"""),"A12/47l3")</f>
        <v>A12/47l3</v>
      </c>
      <c r="B911" s="42" t="str">
        <f>IFERROR(__xludf.DUMMYFUNCTION("""COMPUTED_VALUE"""),"DHBA")</f>
        <v>DHBA</v>
      </c>
      <c r="C911" s="42" t="str">
        <f>IFERROR(__xludf.DUMMYFUNCTION("""COMPUTED_VALUE"""),"layer III of area 12/47l")</f>
        <v>layer III of area 12/47l</v>
      </c>
      <c r="D911" s="42">
        <f>IFERROR(__xludf.DUMMYFUNCTION("""COMPUTED_VALUE"""),855.0)</f>
        <v>855</v>
      </c>
      <c r="E911" s="39" t="str">
        <f>IFERROR(__xludf.DUMMYFUNCTION("""COMPUTED_VALUE"""),"layer III of area 12/47l")</f>
        <v>layer III of area 12/47l</v>
      </c>
      <c r="F911" s="9" t="str">
        <f>IFERROR(__xludf.DUMMYFUNCTION("""COMPUTED_VALUE"""),"Br")</f>
        <v>Br</v>
      </c>
      <c r="G911" s="9" t="str">
        <f>IFERROR(__xludf.DUMMYFUNCTION("""COMPUTED_VALUE"""),"F")</f>
        <v>F</v>
      </c>
      <c r="H911" s="9" t="str">
        <f>IFERROR(__xludf.DUMMYFUNCTION("""COMPUTED_VALUE"""),"FGM")</f>
        <v>FGM</v>
      </c>
      <c r="I911" s="9" t="str">
        <f>IFERROR(__xludf.DUMMYFUNCTION("""COMPUTED_VALUE"""),"Tel")</f>
        <v>Tel</v>
      </c>
      <c r="J911" s="9" t="str">
        <f>IFERROR(__xludf.DUMMYFUNCTION("""COMPUTED_VALUE"""),"Cx")</f>
        <v>Cx</v>
      </c>
      <c r="K911" s="9" t="str">
        <f>IFERROR(__xludf.DUMMYFUNCTION("""COMPUTED_VALUE"""),"NCx")</f>
        <v>NCx</v>
      </c>
      <c r="L911" s="9" t="str">
        <f>IFERROR(__xludf.DUMMYFUNCTION("""COMPUTED_VALUE"""),"FCx")</f>
        <v>FCx</v>
      </c>
      <c r="M911" s="9" t="str">
        <f>IFERROR(__xludf.DUMMYFUNCTION("""COMPUTED_VALUE"""),"OFC")</f>
        <v>OFC</v>
      </c>
      <c r="N911" s="9" t="str">
        <f>IFERROR(__xludf.DUMMYFUNCTION("""COMPUTED_VALUE"""),"OFCl")</f>
        <v>OFCl</v>
      </c>
      <c r="O911" s="9" t="str">
        <f>IFERROR(__xludf.DUMMYFUNCTION("""COMPUTED_VALUE"""),"A12/47l")</f>
        <v>A12/47l</v>
      </c>
      <c r="P911" s="9" t="str">
        <f>IFERROR(__xludf.DUMMYFUNCTION("""COMPUTED_VALUE"""),"A12/47l3")</f>
        <v>A12/47l3</v>
      </c>
      <c r="Q911" s="9"/>
      <c r="R911" s="9"/>
      <c r="S911" s="42"/>
      <c r="T911" s="42"/>
      <c r="U911" s="42"/>
      <c r="V911" s="42"/>
      <c r="W911" s="42"/>
      <c r="X911" s="42"/>
      <c r="Y911" s="42"/>
      <c r="Z911" s="42"/>
      <c r="AA911" s="42"/>
      <c r="AB911" s="42" t="str">
        <f>IFERROR(__xludf.DUMMYFUNCTION("""COMPUTED_VALUE"""),"allen institute")</f>
        <v>allen institute</v>
      </c>
      <c r="AC911" s="42" t="str">
        <f>IFERROR(__xludf.DUMMYFUNCTION("""COMPUTED_VALUE"""),"DHBA")</f>
        <v>DHBA</v>
      </c>
      <c r="AD911" s="42"/>
      <c r="AE911" s="42"/>
      <c r="AF911" s="9"/>
      <c r="AG911" s="9"/>
      <c r="AH911" s="42"/>
      <c r="AI911" s="42"/>
      <c r="AJ911" s="42"/>
      <c r="AK911" s="42"/>
      <c r="AL911" s="42"/>
      <c r="AM911" s="42"/>
      <c r="AN911" s="42"/>
      <c r="AO911" s="63" t="str">
        <f>IFERROR(__xludf.DUMMYFUNCTION("IF(ISBLANK(A911),,IF(ISBLANK(S911), A911&amp;"";"", TEXTJOIN(CHAR(10), TRUE, A911&amp;"";"", ARRAYFORMULA(VLOOKUP(SPLIT(S911, "";"" &amp; CHAR(10)), $A:$AO, 41, FALSE)))))"),"A12/47l3;")</f>
        <v>A12/47l3;</v>
      </c>
      <c r="AP911" s="89"/>
    </row>
    <row r="912">
      <c r="A912" s="151" t="str">
        <f>IFERROR(__xludf.DUMMYFUNCTION("""COMPUTED_VALUE"""),"A12/47l4")</f>
        <v>A12/47l4</v>
      </c>
      <c r="B912" s="42" t="str">
        <f>IFERROR(__xludf.DUMMYFUNCTION("""COMPUTED_VALUE"""),"DHBA")</f>
        <v>DHBA</v>
      </c>
      <c r="C912" s="42" t="str">
        <f>IFERROR(__xludf.DUMMYFUNCTION("""COMPUTED_VALUE"""),"layer IV of area 12/47l")</f>
        <v>layer IV of area 12/47l</v>
      </c>
      <c r="D912" s="42">
        <f>IFERROR(__xludf.DUMMYFUNCTION("""COMPUTED_VALUE"""),856.0)</f>
        <v>856</v>
      </c>
      <c r="E912" s="39" t="str">
        <f>IFERROR(__xludf.DUMMYFUNCTION("""COMPUTED_VALUE"""),"layer IV of area 12/47l")</f>
        <v>layer IV of area 12/47l</v>
      </c>
      <c r="F912" s="9" t="str">
        <f>IFERROR(__xludf.DUMMYFUNCTION("""COMPUTED_VALUE"""),"Br")</f>
        <v>Br</v>
      </c>
      <c r="G912" s="9" t="str">
        <f>IFERROR(__xludf.DUMMYFUNCTION("""COMPUTED_VALUE"""),"F")</f>
        <v>F</v>
      </c>
      <c r="H912" s="9" t="str">
        <f>IFERROR(__xludf.DUMMYFUNCTION("""COMPUTED_VALUE"""),"FGM")</f>
        <v>FGM</v>
      </c>
      <c r="I912" s="9" t="str">
        <f>IFERROR(__xludf.DUMMYFUNCTION("""COMPUTED_VALUE"""),"Tel")</f>
        <v>Tel</v>
      </c>
      <c r="J912" s="9" t="str">
        <f>IFERROR(__xludf.DUMMYFUNCTION("""COMPUTED_VALUE"""),"Cx")</f>
        <v>Cx</v>
      </c>
      <c r="K912" s="9" t="str">
        <f>IFERROR(__xludf.DUMMYFUNCTION("""COMPUTED_VALUE"""),"NCx")</f>
        <v>NCx</v>
      </c>
      <c r="L912" s="9" t="str">
        <f>IFERROR(__xludf.DUMMYFUNCTION("""COMPUTED_VALUE"""),"FCx")</f>
        <v>FCx</v>
      </c>
      <c r="M912" s="9" t="str">
        <f>IFERROR(__xludf.DUMMYFUNCTION("""COMPUTED_VALUE"""),"OFC")</f>
        <v>OFC</v>
      </c>
      <c r="N912" s="9" t="str">
        <f>IFERROR(__xludf.DUMMYFUNCTION("""COMPUTED_VALUE"""),"OFCl")</f>
        <v>OFCl</v>
      </c>
      <c r="O912" s="9" t="str">
        <f>IFERROR(__xludf.DUMMYFUNCTION("""COMPUTED_VALUE"""),"A12/47l")</f>
        <v>A12/47l</v>
      </c>
      <c r="P912" s="9" t="str">
        <f>IFERROR(__xludf.DUMMYFUNCTION("""COMPUTED_VALUE"""),"A12/47l4")</f>
        <v>A12/47l4</v>
      </c>
      <c r="Q912" s="9"/>
      <c r="R912" s="9"/>
      <c r="S912" s="42"/>
      <c r="T912" s="42"/>
      <c r="U912" s="42"/>
      <c r="V912" s="42"/>
      <c r="W912" s="42"/>
      <c r="X912" s="42"/>
      <c r="Y912" s="42"/>
      <c r="Z912" s="42"/>
      <c r="AA912" s="42"/>
      <c r="AB912" s="42" t="str">
        <f>IFERROR(__xludf.DUMMYFUNCTION("""COMPUTED_VALUE"""),"allen institute")</f>
        <v>allen institute</v>
      </c>
      <c r="AC912" s="42" t="str">
        <f>IFERROR(__xludf.DUMMYFUNCTION("""COMPUTED_VALUE"""),"DHBA")</f>
        <v>DHBA</v>
      </c>
      <c r="AD912" s="42"/>
      <c r="AE912" s="42"/>
      <c r="AF912" s="9"/>
      <c r="AG912" s="9"/>
      <c r="AH912" s="42"/>
      <c r="AI912" s="42"/>
      <c r="AJ912" s="42"/>
      <c r="AK912" s="42"/>
      <c r="AL912" s="42"/>
      <c r="AM912" s="42"/>
      <c r="AN912" s="42"/>
      <c r="AO912" s="63" t="str">
        <f>IFERROR(__xludf.DUMMYFUNCTION("IF(ISBLANK(A912),,IF(ISBLANK(S912), A912&amp;"";"", TEXTJOIN(CHAR(10), TRUE, A912&amp;"";"", ARRAYFORMULA(VLOOKUP(SPLIT(S912, "";"" &amp; CHAR(10)), $A:$AO, 41, FALSE)))))"),"A12/47l4;")</f>
        <v>A12/47l4;</v>
      </c>
      <c r="AP912" s="89"/>
    </row>
    <row r="913">
      <c r="A913" s="151" t="str">
        <f>IFERROR(__xludf.DUMMYFUNCTION("""COMPUTED_VALUE"""),"A12/47l5")</f>
        <v>A12/47l5</v>
      </c>
      <c r="B913" s="42" t="str">
        <f>IFERROR(__xludf.DUMMYFUNCTION("""COMPUTED_VALUE"""),"DHBA")</f>
        <v>DHBA</v>
      </c>
      <c r="C913" s="42" t="str">
        <f>IFERROR(__xludf.DUMMYFUNCTION("""COMPUTED_VALUE"""),"layer V of area 12/47l")</f>
        <v>layer V of area 12/47l</v>
      </c>
      <c r="D913" s="42">
        <f>IFERROR(__xludf.DUMMYFUNCTION("""COMPUTED_VALUE"""),857.0)</f>
        <v>857</v>
      </c>
      <c r="E913" s="39" t="str">
        <f>IFERROR(__xludf.DUMMYFUNCTION("""COMPUTED_VALUE"""),"layer V of area 12/47l")</f>
        <v>layer V of area 12/47l</v>
      </c>
      <c r="F913" s="9" t="str">
        <f>IFERROR(__xludf.DUMMYFUNCTION("""COMPUTED_VALUE"""),"Br")</f>
        <v>Br</v>
      </c>
      <c r="G913" s="9" t="str">
        <f>IFERROR(__xludf.DUMMYFUNCTION("""COMPUTED_VALUE"""),"F")</f>
        <v>F</v>
      </c>
      <c r="H913" s="9" t="str">
        <f>IFERROR(__xludf.DUMMYFUNCTION("""COMPUTED_VALUE"""),"FGM")</f>
        <v>FGM</v>
      </c>
      <c r="I913" s="9" t="str">
        <f>IFERROR(__xludf.DUMMYFUNCTION("""COMPUTED_VALUE"""),"Tel")</f>
        <v>Tel</v>
      </c>
      <c r="J913" s="9" t="str">
        <f>IFERROR(__xludf.DUMMYFUNCTION("""COMPUTED_VALUE"""),"Cx")</f>
        <v>Cx</v>
      </c>
      <c r="K913" s="9" t="str">
        <f>IFERROR(__xludf.DUMMYFUNCTION("""COMPUTED_VALUE"""),"NCx")</f>
        <v>NCx</v>
      </c>
      <c r="L913" s="9" t="str">
        <f>IFERROR(__xludf.DUMMYFUNCTION("""COMPUTED_VALUE"""),"FCx")</f>
        <v>FCx</v>
      </c>
      <c r="M913" s="9" t="str">
        <f>IFERROR(__xludf.DUMMYFUNCTION("""COMPUTED_VALUE"""),"OFC")</f>
        <v>OFC</v>
      </c>
      <c r="N913" s="9" t="str">
        <f>IFERROR(__xludf.DUMMYFUNCTION("""COMPUTED_VALUE"""),"OFCl")</f>
        <v>OFCl</v>
      </c>
      <c r="O913" s="9" t="str">
        <f>IFERROR(__xludf.DUMMYFUNCTION("""COMPUTED_VALUE"""),"A12/47l")</f>
        <v>A12/47l</v>
      </c>
      <c r="P913" s="9" t="str">
        <f>IFERROR(__xludf.DUMMYFUNCTION("""COMPUTED_VALUE"""),"A12/47l5")</f>
        <v>A12/47l5</v>
      </c>
      <c r="Q913" s="9"/>
      <c r="R913" s="9"/>
      <c r="S913" s="42"/>
      <c r="T913" s="42"/>
      <c r="U913" s="42"/>
      <c r="V913" s="42"/>
      <c r="W913" s="42"/>
      <c r="X913" s="42"/>
      <c r="Y913" s="42"/>
      <c r="Z913" s="42"/>
      <c r="AA913" s="42"/>
      <c r="AB913" s="42" t="str">
        <f>IFERROR(__xludf.DUMMYFUNCTION("""COMPUTED_VALUE"""),"allen institute")</f>
        <v>allen institute</v>
      </c>
      <c r="AC913" s="42" t="str">
        <f>IFERROR(__xludf.DUMMYFUNCTION("""COMPUTED_VALUE"""),"DHBA")</f>
        <v>DHBA</v>
      </c>
      <c r="AD913" s="42"/>
      <c r="AE913" s="42"/>
      <c r="AF913" s="9"/>
      <c r="AG913" s="9"/>
      <c r="AH913" s="42"/>
      <c r="AI913" s="42"/>
      <c r="AJ913" s="42"/>
      <c r="AK913" s="42"/>
      <c r="AL913" s="42"/>
      <c r="AM913" s="42"/>
      <c r="AN913" s="42"/>
      <c r="AO913" s="63" t="str">
        <f>IFERROR(__xludf.DUMMYFUNCTION("IF(ISBLANK(A913),,IF(ISBLANK(S913), A913&amp;"";"", TEXTJOIN(CHAR(10), TRUE, A913&amp;"";"", ARRAYFORMULA(VLOOKUP(SPLIT(S913, "";"" &amp; CHAR(10)), $A:$AO, 41, FALSE)))))"),"A12/47l5;")</f>
        <v>A12/47l5;</v>
      </c>
      <c r="AP913" s="89"/>
    </row>
    <row r="914">
      <c r="A914" s="151" t="str">
        <f>IFERROR(__xludf.DUMMYFUNCTION("""COMPUTED_VALUE"""),"A12/47l6")</f>
        <v>A12/47l6</v>
      </c>
      <c r="B914" s="42" t="str">
        <f>IFERROR(__xludf.DUMMYFUNCTION("""COMPUTED_VALUE"""),"DHBA")</f>
        <v>DHBA</v>
      </c>
      <c r="C914" s="42" t="str">
        <f>IFERROR(__xludf.DUMMYFUNCTION("""COMPUTED_VALUE"""),"layer VI of area 12/47l")</f>
        <v>layer VI of area 12/47l</v>
      </c>
      <c r="D914" s="42">
        <f>IFERROR(__xludf.DUMMYFUNCTION("""COMPUTED_VALUE"""),858.0)</f>
        <v>858</v>
      </c>
      <c r="E914" s="39" t="str">
        <f>IFERROR(__xludf.DUMMYFUNCTION("""COMPUTED_VALUE"""),"layer VI of area 12/47l")</f>
        <v>layer VI of area 12/47l</v>
      </c>
      <c r="F914" s="9" t="str">
        <f>IFERROR(__xludf.DUMMYFUNCTION("""COMPUTED_VALUE"""),"Br")</f>
        <v>Br</v>
      </c>
      <c r="G914" s="9" t="str">
        <f>IFERROR(__xludf.DUMMYFUNCTION("""COMPUTED_VALUE"""),"F")</f>
        <v>F</v>
      </c>
      <c r="H914" s="9" t="str">
        <f>IFERROR(__xludf.DUMMYFUNCTION("""COMPUTED_VALUE"""),"FGM")</f>
        <v>FGM</v>
      </c>
      <c r="I914" s="9" t="str">
        <f>IFERROR(__xludf.DUMMYFUNCTION("""COMPUTED_VALUE"""),"Tel")</f>
        <v>Tel</v>
      </c>
      <c r="J914" s="9" t="str">
        <f>IFERROR(__xludf.DUMMYFUNCTION("""COMPUTED_VALUE"""),"Cx")</f>
        <v>Cx</v>
      </c>
      <c r="K914" s="9" t="str">
        <f>IFERROR(__xludf.DUMMYFUNCTION("""COMPUTED_VALUE"""),"NCx")</f>
        <v>NCx</v>
      </c>
      <c r="L914" s="9" t="str">
        <f>IFERROR(__xludf.DUMMYFUNCTION("""COMPUTED_VALUE"""),"FCx")</f>
        <v>FCx</v>
      </c>
      <c r="M914" s="9" t="str">
        <f>IFERROR(__xludf.DUMMYFUNCTION("""COMPUTED_VALUE"""),"OFC")</f>
        <v>OFC</v>
      </c>
      <c r="N914" s="9" t="str">
        <f>IFERROR(__xludf.DUMMYFUNCTION("""COMPUTED_VALUE"""),"OFCl")</f>
        <v>OFCl</v>
      </c>
      <c r="O914" s="9" t="str">
        <f>IFERROR(__xludf.DUMMYFUNCTION("""COMPUTED_VALUE"""),"A12/47l")</f>
        <v>A12/47l</v>
      </c>
      <c r="P914" s="9" t="str">
        <f>IFERROR(__xludf.DUMMYFUNCTION("""COMPUTED_VALUE"""),"A12/47l6")</f>
        <v>A12/47l6</v>
      </c>
      <c r="Q914" s="9"/>
      <c r="R914" s="9"/>
      <c r="S914" s="42"/>
      <c r="T914" s="42"/>
      <c r="U914" s="42"/>
      <c r="V914" s="42"/>
      <c r="W914" s="42"/>
      <c r="X914" s="42"/>
      <c r="Y914" s="42"/>
      <c r="Z914" s="42"/>
      <c r="AA914" s="42"/>
      <c r="AB914" s="42" t="str">
        <f>IFERROR(__xludf.DUMMYFUNCTION("""COMPUTED_VALUE"""),"allen institute")</f>
        <v>allen institute</v>
      </c>
      <c r="AC914" s="42" t="str">
        <f>IFERROR(__xludf.DUMMYFUNCTION("""COMPUTED_VALUE"""),"DHBA")</f>
        <v>DHBA</v>
      </c>
      <c r="AD914" s="42"/>
      <c r="AE914" s="42"/>
      <c r="AF914" s="9"/>
      <c r="AG914" s="9"/>
      <c r="AH914" s="42"/>
      <c r="AI914" s="42"/>
      <c r="AJ914" s="42"/>
      <c r="AK914" s="42"/>
      <c r="AL914" s="42"/>
      <c r="AM914" s="42"/>
      <c r="AN914" s="42"/>
      <c r="AO914" s="63" t="str">
        <f>IFERROR(__xludf.DUMMYFUNCTION("IF(ISBLANK(A914),,IF(ISBLANK(S914), A914&amp;"";"", TEXTJOIN(CHAR(10), TRUE, A914&amp;"";"", ARRAYFORMULA(VLOOKUP(SPLIT(S914, "";"" &amp; CHAR(10)), $A:$AO, 41, FALSE)))))"),"A12/47l6;")</f>
        <v>A12/47l6;</v>
      </c>
      <c r="AP914" s="89"/>
    </row>
    <row r="915">
      <c r="A915" s="151" t="str">
        <f>IFERROR(__xludf.DUMMYFUNCTION("""COMPUTED_VALUE"""),"PoFC")</f>
        <v>PoFC</v>
      </c>
      <c r="B915" s="42" t="str">
        <f>IFERROR(__xludf.DUMMYFUNCTION("""COMPUTED_VALUE"""),"DHBA")</f>
        <v>DHBA</v>
      </c>
      <c r="C915" s="42" t="str">
        <f>IFERROR(__xludf.DUMMYFUNCTION("""COMPUTED_VALUE"""),"posterior frontal cortex (motor cortex)")</f>
        <v>posterior frontal cortex (motor cortex)</v>
      </c>
      <c r="D915" s="42">
        <f>IFERROR(__xludf.DUMMYFUNCTION("""COMPUTED_VALUE"""),859.0)</f>
        <v>859</v>
      </c>
      <c r="E915" s="39" t="str">
        <f>IFERROR(__xludf.DUMMYFUNCTION("""COMPUTED_VALUE"""),"posterior frontal cortex (motor cortex)")</f>
        <v>posterior frontal cortex (motor cortex)</v>
      </c>
      <c r="F915" s="9" t="str">
        <f>IFERROR(__xludf.DUMMYFUNCTION("""COMPUTED_VALUE"""),"Br")</f>
        <v>Br</v>
      </c>
      <c r="G915" s="9" t="str">
        <f>IFERROR(__xludf.DUMMYFUNCTION("""COMPUTED_VALUE"""),"F")</f>
        <v>F</v>
      </c>
      <c r="H915" s="9" t="str">
        <f>IFERROR(__xludf.DUMMYFUNCTION("""COMPUTED_VALUE"""),"FGM")</f>
        <v>FGM</v>
      </c>
      <c r="I915" s="9" t="str">
        <f>IFERROR(__xludf.DUMMYFUNCTION("""COMPUTED_VALUE"""),"Tel")</f>
        <v>Tel</v>
      </c>
      <c r="J915" s="9" t="str">
        <f>IFERROR(__xludf.DUMMYFUNCTION("""COMPUTED_VALUE"""),"Cx")</f>
        <v>Cx</v>
      </c>
      <c r="K915" s="9" t="str">
        <f>IFERROR(__xludf.DUMMYFUNCTION("""COMPUTED_VALUE"""),"NCx")</f>
        <v>NCx</v>
      </c>
      <c r="L915" s="9" t="str">
        <f>IFERROR(__xludf.DUMMYFUNCTION("""COMPUTED_VALUE"""),"FCx")</f>
        <v>FCx</v>
      </c>
      <c r="M915" s="9" t="str">
        <f>IFERROR(__xludf.DUMMYFUNCTION("""COMPUTED_VALUE"""),"PoFC")</f>
        <v>PoFC</v>
      </c>
      <c r="N915" s="9"/>
      <c r="O915" s="9"/>
      <c r="P915" s="9"/>
      <c r="Q915" s="9"/>
      <c r="R915" s="9"/>
      <c r="S915" s="42" t="str">
        <f>IFERROR(__xludf.DUMMYFUNCTION("""COMPUTED_VALUE"""),"M1C;
PMC;
A6/32;
PoFC-uc1;
PoFC-uc2;
A6_32")</f>
        <v>M1C;
PMC;
A6/32;
PoFC-uc1;
PoFC-uc2;
A6_32</v>
      </c>
      <c r="T915" s="42" t="str">
        <f>IFERROR(__xludf.DUMMYFUNCTION("""COMPUTED_VALUE"""),"NCx")</f>
        <v>NCx</v>
      </c>
      <c r="U915" s="42" t="b">
        <f>IFERROR(__xludf.DUMMYFUNCTION("""COMPUTED_VALUE"""),FALSE)</f>
        <v>0</v>
      </c>
      <c r="V915" s="42"/>
      <c r="W915" s="42"/>
      <c r="X915" s="42"/>
      <c r="Y915" s="42"/>
      <c r="Z915" s="42"/>
      <c r="AA915" s="42"/>
      <c r="AB915" s="42" t="str">
        <f>IFERROR(__xludf.DUMMYFUNCTION("""COMPUTED_VALUE"""),"allen institute")</f>
        <v>allen institute</v>
      </c>
      <c r="AC915" s="42" t="str">
        <f>IFERROR(__xludf.DUMMYFUNCTION("""COMPUTED_VALUE"""),"DHBA")</f>
        <v>DHBA</v>
      </c>
      <c r="AD915" s="42"/>
      <c r="AE915" s="42"/>
      <c r="AF915" s="9"/>
      <c r="AG915" s="9"/>
      <c r="AH915" s="42"/>
      <c r="AI915" s="42"/>
      <c r="AJ915" s="42"/>
      <c r="AK915" s="42"/>
      <c r="AL915" s="42"/>
      <c r="AM915" s="42"/>
      <c r="AN915" s="42"/>
      <c r="AO915" s="63" t="str">
        <f>IFERROR(__xludf.DUMMYFUNCTION("IF(ISBLANK(A915),,IF(ISBLANK(S915), A915&amp;"";"", TEXTJOIN(CHAR(10), TRUE, A915&amp;"";"", ARRAYFORMULA(VLOOKUP(SPLIT(S915, "";"" &amp; CHAR(10)), $A:$AO, 41, FALSE)))))"),"#N/A")</f>
        <v>#N/A</v>
      </c>
      <c r="AP915" s="89"/>
    </row>
    <row r="916">
      <c r="A916" s="151" t="str">
        <f>IFERROR(__xludf.DUMMYFUNCTION("""COMPUTED_VALUE"""),"PoFC.L5")</f>
        <v>PoFC.L5</v>
      </c>
      <c r="B916" s="42" t="str">
        <f>IFERROR(__xludf.DUMMYFUNCTION("""COMPUTED_VALUE"""),"makeshift")</f>
        <v>makeshift</v>
      </c>
      <c r="C916" s="42" t="str">
        <f>IFERROR(__xludf.DUMMYFUNCTION("""COMPUTED_VALUE"""),"motor cortex, layer 5")</f>
        <v>motor cortex, layer 5</v>
      </c>
      <c r="D916" s="42">
        <f>IFERROR(__xludf.DUMMYFUNCTION("""COMPUTED_VALUE"""),859.1)</f>
        <v>859.1</v>
      </c>
      <c r="E916" s="39" t="str">
        <f>IFERROR(__xludf.DUMMYFUNCTION("""COMPUTED_VALUE"""),"")</f>
        <v/>
      </c>
      <c r="F916" s="9" t="str">
        <f>IFERROR(__xludf.DUMMYFUNCTION("""COMPUTED_VALUE"""),"")</f>
        <v/>
      </c>
      <c r="G916" s="9" t="str">
        <f>IFERROR(__xludf.DUMMYFUNCTION("""COMPUTED_VALUE"""),"")</f>
        <v/>
      </c>
      <c r="H916" s="9" t="str">
        <f>IFERROR(__xludf.DUMMYFUNCTION("""COMPUTED_VALUE"""),"")</f>
        <v/>
      </c>
      <c r="I916" s="9" t="str">
        <f>IFERROR(__xludf.DUMMYFUNCTION("""COMPUTED_VALUE"""),"")</f>
        <v/>
      </c>
      <c r="J916" s="9" t="str">
        <f>IFERROR(__xludf.DUMMYFUNCTION("""COMPUTED_VALUE"""),"")</f>
        <v/>
      </c>
      <c r="K916" s="9" t="str">
        <f>IFERROR(__xludf.DUMMYFUNCTION("""COMPUTED_VALUE"""),"")</f>
        <v/>
      </c>
      <c r="L916" s="9" t="str">
        <f>IFERROR(__xludf.DUMMYFUNCTION("""COMPUTED_VALUE"""),"")</f>
        <v/>
      </c>
      <c r="M916" s="9" t="str">
        <f>IFERROR(__xludf.DUMMYFUNCTION("""COMPUTED_VALUE"""),"")</f>
        <v/>
      </c>
      <c r="N916" s="9" t="str">
        <f>IFERROR(__xludf.DUMMYFUNCTION("""COMPUTED_VALUE"""),"")</f>
        <v/>
      </c>
      <c r="O916" s="9" t="str">
        <f>IFERROR(__xludf.DUMMYFUNCTION("""COMPUTED_VALUE"""),"")</f>
        <v/>
      </c>
      <c r="P916" s="9" t="str">
        <f>IFERROR(__xludf.DUMMYFUNCTION("""COMPUTED_VALUE"""),"")</f>
        <v/>
      </c>
      <c r="Q916" s="9" t="str">
        <f>IFERROR(__xludf.DUMMYFUNCTION("""COMPUTED_VALUE"""),"")</f>
        <v/>
      </c>
      <c r="R916" s="9" t="str">
        <f>IFERROR(__xludf.DUMMYFUNCTION("""COMPUTED_VALUE"""),"")</f>
        <v/>
      </c>
      <c r="S916" s="42"/>
      <c r="T916" s="42"/>
      <c r="U916" s="42" t="b">
        <f>IFERROR(__xludf.DUMMYFUNCTION("""COMPUTED_VALUE"""),TRUE)</f>
        <v>1</v>
      </c>
      <c r="V916" s="42"/>
      <c r="W916" s="42" t="str">
        <f>IFERROR(__xludf.DUMMYFUNCTION("""COMPUTED_VALUE"""),"Excitatory")</f>
        <v>Excitatory</v>
      </c>
      <c r="X916" s="42"/>
      <c r="Y916" s="42"/>
      <c r="Z916" s="42"/>
      <c r="AA916" s="42"/>
      <c r="AB916" s="42" t="str">
        <f>IFERROR(__xludf.DUMMYFUNCTION("""COMPUTED_VALUE"""),"Hiroshi Yamakawa")</f>
        <v>Hiroshi Yamakawa</v>
      </c>
      <c r="AC916" s="42" t="str">
        <f>IFERROR(__xludf.DUMMYFUNCTION("""COMPUTED_VALUE"""),"HY20Cerebellum")</f>
        <v>HY20Cerebellum</v>
      </c>
      <c r="AD916" s="42"/>
      <c r="AE916" s="42"/>
      <c r="AF916" s="9"/>
      <c r="AG916" s="9"/>
      <c r="AH916" s="42"/>
      <c r="AI916" s="42"/>
      <c r="AJ916" s="42"/>
      <c r="AK916" s="42"/>
      <c r="AL916" s="42"/>
      <c r="AM916" s="42"/>
      <c r="AN916" s="42"/>
      <c r="AO916" s="63" t="str">
        <f>IFERROR(__xludf.DUMMYFUNCTION("IF(ISBLANK(A916),,IF(ISBLANK(S916), A916&amp;"";"", TEXTJOIN(CHAR(10), TRUE, A916&amp;"";"", ARRAYFORMULA(VLOOKUP(SPLIT(S916, "";"" &amp; CHAR(10)), $A:$AO, 41, FALSE)))))"),"PoFC.L5;")</f>
        <v>PoFC.L5;</v>
      </c>
      <c r="AP916" s="89"/>
    </row>
    <row r="917">
      <c r="A917" s="151" t="str">
        <f>IFERROR(__xludf.DUMMYFUNCTION("""COMPUTED_VALUE"""),"M1C")</f>
        <v>M1C</v>
      </c>
      <c r="B917" s="42" t="str">
        <f>IFERROR(__xludf.DUMMYFUNCTION("""COMPUTED_VALUE"""),"DHBA")</f>
        <v>DHBA</v>
      </c>
      <c r="C917" s="42" t="str">
        <f>IFERROR(__xludf.DUMMYFUNCTION("""COMPUTED_VALUE"""),"primary motor cortex (area M1, area 4)")</f>
        <v>primary motor cortex (area M1, area 4)</v>
      </c>
      <c r="D917" s="42">
        <f>IFERROR(__xludf.DUMMYFUNCTION("""COMPUTED_VALUE"""),860.0)</f>
        <v>860</v>
      </c>
      <c r="E917" s="39" t="str">
        <f>IFERROR(__xludf.DUMMYFUNCTION("""COMPUTED_VALUE"""),"primary motor cortex (area M1, area 4)")</f>
        <v>primary motor cortex (area M1, area 4)</v>
      </c>
      <c r="F917" s="9" t="str">
        <f>IFERROR(__xludf.DUMMYFUNCTION("""COMPUTED_VALUE"""),"Br")</f>
        <v>Br</v>
      </c>
      <c r="G917" s="9" t="str">
        <f>IFERROR(__xludf.DUMMYFUNCTION("""COMPUTED_VALUE"""),"F")</f>
        <v>F</v>
      </c>
      <c r="H917" s="9" t="str">
        <f>IFERROR(__xludf.DUMMYFUNCTION("""COMPUTED_VALUE"""),"FGM")</f>
        <v>FGM</v>
      </c>
      <c r="I917" s="9" t="str">
        <f>IFERROR(__xludf.DUMMYFUNCTION("""COMPUTED_VALUE"""),"Tel")</f>
        <v>Tel</v>
      </c>
      <c r="J917" s="9" t="str">
        <f>IFERROR(__xludf.DUMMYFUNCTION("""COMPUTED_VALUE"""),"Cx")</f>
        <v>Cx</v>
      </c>
      <c r="K917" s="9" t="str">
        <f>IFERROR(__xludf.DUMMYFUNCTION("""COMPUTED_VALUE"""),"NCx")</f>
        <v>NCx</v>
      </c>
      <c r="L917" s="9" t="str">
        <f>IFERROR(__xludf.DUMMYFUNCTION("""COMPUTED_VALUE"""),"FCx")</f>
        <v>FCx</v>
      </c>
      <c r="M917" s="9" t="str">
        <f>IFERROR(__xludf.DUMMYFUNCTION("""COMPUTED_VALUE"""),"PoFC")</f>
        <v>PoFC</v>
      </c>
      <c r="N917" s="9" t="str">
        <f>IFERROR(__xludf.DUMMYFUNCTION("""COMPUTED_VALUE"""),"M1C")</f>
        <v>M1C</v>
      </c>
      <c r="O917" s="9"/>
      <c r="P917" s="9"/>
      <c r="Q917" s="9"/>
      <c r="R917" s="9"/>
      <c r="S917" s="42" t="str">
        <f>IFERROR(__xludf.DUMMYFUNCTION("""COMPUTED_VALUE"""),"M1hf;
M1ul;
M1tr;
M1lm")</f>
        <v>M1hf;
M1ul;
M1tr;
M1lm</v>
      </c>
      <c r="T917" s="42"/>
      <c r="U917" s="42" t="b">
        <f>IFERROR(__xludf.DUMMYFUNCTION("""COMPUTED_VALUE"""),FALSE)</f>
        <v>0</v>
      </c>
      <c r="V917" s="42"/>
      <c r="W917" s="42"/>
      <c r="X917" s="42"/>
      <c r="Y917" s="42"/>
      <c r="Z917" s="42"/>
      <c r="AA917" s="42"/>
      <c r="AB917" s="42" t="str">
        <f>IFERROR(__xludf.DUMMYFUNCTION("""COMPUTED_VALUE"""),"allen institute")</f>
        <v>allen institute</v>
      </c>
      <c r="AC917" s="42" t="str">
        <f>IFERROR(__xludf.DUMMYFUNCTION("""COMPUTED_VALUE"""),"DHBA")</f>
        <v>DHBA</v>
      </c>
      <c r="AD917" s="42"/>
      <c r="AE917" s="42"/>
      <c r="AF917" s="9"/>
      <c r="AG917" s="9"/>
      <c r="AH917" s="42"/>
      <c r="AI917" s="42"/>
      <c r="AJ917" s="42"/>
      <c r="AK917" s="42"/>
      <c r="AL917" s="42"/>
      <c r="AM917" s="42"/>
      <c r="AN917" s="42"/>
      <c r="AO917" s="63" t="str">
        <f>IFERROR(__xludf.DUMMYFUNCTION("IF(ISBLANK(A917),,IF(ISBLANK(S917), A917&amp;"";"", TEXTJOIN(CHAR(10), TRUE, A917&amp;"";"", ARRAYFORMULA(VLOOKUP(SPLIT(S917, "";"" &amp; CHAR(10)), $A:$AO, 41, FALSE)))))"),"M1C;
M1hf;
M1hf1;
M1hf2;
M1hf3;
M1hf5;
M1hf6;
M1ul;
M1ul1;
M1ul2;
M1ul3;
M1ul5;
M1ul6;
M1tr;
M1tr1;
M1tr2;
M1tr3;
M1tr5;
M1tr6;
M1lm;
M1lm1;
M1lm2;
M1lm3;
M1lm5;
M1lm6;")</f>
        <v>M1C;
M1hf;
M1hf1;
M1hf2;
M1hf3;
M1hf5;
M1hf6;
M1ul;
M1ul1;
M1ul2;
M1ul3;
M1ul5;
M1ul6;
M1tr;
M1tr1;
M1tr2;
M1tr3;
M1tr5;
M1tr6;
M1lm;
M1lm1;
M1lm2;
M1lm3;
M1lm5;
M1lm6;</v>
      </c>
      <c r="AP917" s="89"/>
    </row>
    <row r="918">
      <c r="A918" s="151" t="str">
        <f>IFERROR(__xludf.DUMMYFUNCTION("""COMPUTED_VALUE"""),"M1hf")</f>
        <v>M1hf</v>
      </c>
      <c r="B918" s="42" t="str">
        <f>IFERROR(__xludf.DUMMYFUNCTION("""COMPUTED_VALUE"""),"DHBA")</f>
        <v>DHBA</v>
      </c>
      <c r="C918" s="42" t="str">
        <f>IFERROR(__xludf.DUMMYFUNCTION("""COMPUTED_VALUE"""),"head and face region of M1")</f>
        <v>head and face region of M1</v>
      </c>
      <c r="D918" s="42">
        <f>IFERROR(__xludf.DUMMYFUNCTION("""COMPUTED_VALUE"""),861.0)</f>
        <v>861</v>
      </c>
      <c r="E918" s="39" t="str">
        <f>IFERROR(__xludf.DUMMYFUNCTION("""COMPUTED_VALUE"""),"head and face region of M1")</f>
        <v>head and face region of M1</v>
      </c>
      <c r="F918" s="9" t="str">
        <f>IFERROR(__xludf.DUMMYFUNCTION("""COMPUTED_VALUE"""),"Br")</f>
        <v>Br</v>
      </c>
      <c r="G918" s="9" t="str">
        <f>IFERROR(__xludf.DUMMYFUNCTION("""COMPUTED_VALUE"""),"F")</f>
        <v>F</v>
      </c>
      <c r="H918" s="9" t="str">
        <f>IFERROR(__xludf.DUMMYFUNCTION("""COMPUTED_VALUE"""),"FGM")</f>
        <v>FGM</v>
      </c>
      <c r="I918" s="9" t="str">
        <f>IFERROR(__xludf.DUMMYFUNCTION("""COMPUTED_VALUE"""),"Tel")</f>
        <v>Tel</v>
      </c>
      <c r="J918" s="9" t="str">
        <f>IFERROR(__xludf.DUMMYFUNCTION("""COMPUTED_VALUE"""),"Cx")</f>
        <v>Cx</v>
      </c>
      <c r="K918" s="9" t="str">
        <f>IFERROR(__xludf.DUMMYFUNCTION("""COMPUTED_VALUE"""),"NCx")</f>
        <v>NCx</v>
      </c>
      <c r="L918" s="9" t="str">
        <f>IFERROR(__xludf.DUMMYFUNCTION("""COMPUTED_VALUE"""),"FCx")</f>
        <v>FCx</v>
      </c>
      <c r="M918" s="9" t="str">
        <f>IFERROR(__xludf.DUMMYFUNCTION("""COMPUTED_VALUE"""),"PoFC")</f>
        <v>PoFC</v>
      </c>
      <c r="N918" s="9" t="str">
        <f>IFERROR(__xludf.DUMMYFUNCTION("""COMPUTED_VALUE"""),"M1C")</f>
        <v>M1C</v>
      </c>
      <c r="O918" s="9" t="str">
        <f>IFERROR(__xludf.DUMMYFUNCTION("""COMPUTED_VALUE"""),"M1hf")</f>
        <v>M1hf</v>
      </c>
      <c r="P918" s="9"/>
      <c r="Q918" s="9"/>
      <c r="R918" s="9"/>
      <c r="S918" s="42" t="str">
        <f>IFERROR(__xludf.DUMMYFUNCTION("""COMPUTED_VALUE"""),"M1hf1;
M1hf2;
M1hf3;
M1hf5;
M1hf6")</f>
        <v>M1hf1;
M1hf2;
M1hf3;
M1hf5;
M1hf6</v>
      </c>
      <c r="T918" s="42"/>
      <c r="U918" s="42" t="b">
        <f>IFERROR(__xludf.DUMMYFUNCTION("""COMPUTED_VALUE"""),FALSE)</f>
        <v>0</v>
      </c>
      <c r="V918" s="42"/>
      <c r="W918" s="42"/>
      <c r="X918" s="42"/>
      <c r="Y918" s="42"/>
      <c r="Z918" s="42"/>
      <c r="AA918" s="42"/>
      <c r="AB918" s="42" t="str">
        <f>IFERROR(__xludf.DUMMYFUNCTION("""COMPUTED_VALUE"""),"allen institute")</f>
        <v>allen institute</v>
      </c>
      <c r="AC918" s="42" t="str">
        <f>IFERROR(__xludf.DUMMYFUNCTION("""COMPUTED_VALUE"""),"DHBA")</f>
        <v>DHBA</v>
      </c>
      <c r="AD918" s="42"/>
      <c r="AE918" s="42"/>
      <c r="AF918" s="9"/>
      <c r="AG918" s="9"/>
      <c r="AH918" s="42"/>
      <c r="AI918" s="42"/>
      <c r="AJ918" s="42"/>
      <c r="AK918" s="42"/>
      <c r="AL918" s="42"/>
      <c r="AM918" s="42"/>
      <c r="AN918" s="42"/>
      <c r="AO918" s="63" t="str">
        <f>IFERROR(__xludf.DUMMYFUNCTION("IF(ISBLANK(A918),,IF(ISBLANK(S918), A918&amp;"";"", TEXTJOIN(CHAR(10), TRUE, A918&amp;"";"", ARRAYFORMULA(VLOOKUP(SPLIT(S918, "";"" &amp; CHAR(10)), $A:$AO, 41, FALSE)))))"),"M1hf;
M1hf1;
M1hf2;
M1hf3;
M1hf5;
M1hf6;")</f>
        <v>M1hf;
M1hf1;
M1hf2;
M1hf3;
M1hf5;
M1hf6;</v>
      </c>
      <c r="AP918" s="89"/>
    </row>
    <row r="919">
      <c r="A919" s="151" t="str">
        <f>IFERROR(__xludf.DUMMYFUNCTION("""COMPUTED_VALUE"""),"M1hf1")</f>
        <v>M1hf1</v>
      </c>
      <c r="B919" s="42" t="str">
        <f>IFERROR(__xludf.DUMMYFUNCTION("""COMPUTED_VALUE"""),"DHBA")</f>
        <v>DHBA</v>
      </c>
      <c r="C919" s="42" t="str">
        <f>IFERROR(__xludf.DUMMYFUNCTION("""COMPUTED_VALUE"""),"layer I of area M1hf")</f>
        <v>layer I of area M1hf</v>
      </c>
      <c r="D919" s="42">
        <f>IFERROR(__xludf.DUMMYFUNCTION("""COMPUTED_VALUE"""),862.0)</f>
        <v>862</v>
      </c>
      <c r="E919" s="39" t="str">
        <f>IFERROR(__xludf.DUMMYFUNCTION("""COMPUTED_VALUE"""),"layer I of area M1hf")</f>
        <v>layer I of area M1hf</v>
      </c>
      <c r="F919" s="9" t="str">
        <f>IFERROR(__xludf.DUMMYFUNCTION("""COMPUTED_VALUE"""),"Br")</f>
        <v>Br</v>
      </c>
      <c r="G919" s="9" t="str">
        <f>IFERROR(__xludf.DUMMYFUNCTION("""COMPUTED_VALUE"""),"F")</f>
        <v>F</v>
      </c>
      <c r="H919" s="9" t="str">
        <f>IFERROR(__xludf.DUMMYFUNCTION("""COMPUTED_VALUE"""),"FGM")</f>
        <v>FGM</v>
      </c>
      <c r="I919" s="9" t="str">
        <f>IFERROR(__xludf.DUMMYFUNCTION("""COMPUTED_VALUE"""),"Tel")</f>
        <v>Tel</v>
      </c>
      <c r="J919" s="9" t="str">
        <f>IFERROR(__xludf.DUMMYFUNCTION("""COMPUTED_VALUE"""),"Cx")</f>
        <v>Cx</v>
      </c>
      <c r="K919" s="9" t="str">
        <f>IFERROR(__xludf.DUMMYFUNCTION("""COMPUTED_VALUE"""),"NCx")</f>
        <v>NCx</v>
      </c>
      <c r="L919" s="9" t="str">
        <f>IFERROR(__xludf.DUMMYFUNCTION("""COMPUTED_VALUE"""),"FCx")</f>
        <v>FCx</v>
      </c>
      <c r="M919" s="9" t="str">
        <f>IFERROR(__xludf.DUMMYFUNCTION("""COMPUTED_VALUE"""),"PoFC")</f>
        <v>PoFC</v>
      </c>
      <c r="N919" s="9" t="str">
        <f>IFERROR(__xludf.DUMMYFUNCTION("""COMPUTED_VALUE"""),"M1C")</f>
        <v>M1C</v>
      </c>
      <c r="O919" s="9" t="str">
        <f>IFERROR(__xludf.DUMMYFUNCTION("""COMPUTED_VALUE"""),"M1hf")</f>
        <v>M1hf</v>
      </c>
      <c r="P919" s="9" t="str">
        <f>IFERROR(__xludf.DUMMYFUNCTION("""COMPUTED_VALUE"""),"M1hf1")</f>
        <v>M1hf1</v>
      </c>
      <c r="Q919" s="9"/>
      <c r="R919" s="9"/>
      <c r="S919" s="42"/>
      <c r="T919" s="42"/>
      <c r="U919" s="42"/>
      <c r="V919" s="42"/>
      <c r="W919" s="42"/>
      <c r="X919" s="42"/>
      <c r="Y919" s="42"/>
      <c r="Z919" s="42"/>
      <c r="AA919" s="42"/>
      <c r="AB919" s="42" t="str">
        <f>IFERROR(__xludf.DUMMYFUNCTION("""COMPUTED_VALUE"""),"allen institute")</f>
        <v>allen institute</v>
      </c>
      <c r="AC919" s="42" t="str">
        <f>IFERROR(__xludf.DUMMYFUNCTION("""COMPUTED_VALUE"""),"DHBA")</f>
        <v>DHBA</v>
      </c>
      <c r="AD919" s="42"/>
      <c r="AE919" s="42"/>
      <c r="AF919" s="9"/>
      <c r="AG919" s="9"/>
      <c r="AH919" s="42"/>
      <c r="AI919" s="42"/>
      <c r="AJ919" s="42"/>
      <c r="AK919" s="42"/>
      <c r="AL919" s="42"/>
      <c r="AM919" s="42"/>
      <c r="AN919" s="42"/>
      <c r="AO919" s="63" t="str">
        <f>IFERROR(__xludf.DUMMYFUNCTION("IF(ISBLANK(A919),,IF(ISBLANK(S919), A919&amp;"";"", TEXTJOIN(CHAR(10), TRUE, A919&amp;"";"", ARRAYFORMULA(VLOOKUP(SPLIT(S919, "";"" &amp; CHAR(10)), $A:$AO, 41, FALSE)))))"),"M1hf1;")</f>
        <v>M1hf1;</v>
      </c>
      <c r="AP919" s="89"/>
    </row>
    <row r="920">
      <c r="A920" s="151" t="str">
        <f>IFERROR(__xludf.DUMMYFUNCTION("""COMPUTED_VALUE"""),"M1hf2")</f>
        <v>M1hf2</v>
      </c>
      <c r="B920" s="42" t="str">
        <f>IFERROR(__xludf.DUMMYFUNCTION("""COMPUTED_VALUE"""),"DHBA")</f>
        <v>DHBA</v>
      </c>
      <c r="C920" s="42" t="str">
        <f>IFERROR(__xludf.DUMMYFUNCTION("""COMPUTED_VALUE"""),"layer II of area M1hf")</f>
        <v>layer II of area M1hf</v>
      </c>
      <c r="D920" s="42">
        <f>IFERROR(__xludf.DUMMYFUNCTION("""COMPUTED_VALUE"""),863.0)</f>
        <v>863</v>
      </c>
      <c r="E920" s="39" t="str">
        <f>IFERROR(__xludf.DUMMYFUNCTION("""COMPUTED_VALUE"""),"layer II of area M1hf")</f>
        <v>layer II of area M1hf</v>
      </c>
      <c r="F920" s="9" t="str">
        <f>IFERROR(__xludf.DUMMYFUNCTION("""COMPUTED_VALUE"""),"Br")</f>
        <v>Br</v>
      </c>
      <c r="G920" s="9" t="str">
        <f>IFERROR(__xludf.DUMMYFUNCTION("""COMPUTED_VALUE"""),"F")</f>
        <v>F</v>
      </c>
      <c r="H920" s="9" t="str">
        <f>IFERROR(__xludf.DUMMYFUNCTION("""COMPUTED_VALUE"""),"FGM")</f>
        <v>FGM</v>
      </c>
      <c r="I920" s="9" t="str">
        <f>IFERROR(__xludf.DUMMYFUNCTION("""COMPUTED_VALUE"""),"Tel")</f>
        <v>Tel</v>
      </c>
      <c r="J920" s="9" t="str">
        <f>IFERROR(__xludf.DUMMYFUNCTION("""COMPUTED_VALUE"""),"Cx")</f>
        <v>Cx</v>
      </c>
      <c r="K920" s="9" t="str">
        <f>IFERROR(__xludf.DUMMYFUNCTION("""COMPUTED_VALUE"""),"NCx")</f>
        <v>NCx</v>
      </c>
      <c r="L920" s="9" t="str">
        <f>IFERROR(__xludf.DUMMYFUNCTION("""COMPUTED_VALUE"""),"FCx")</f>
        <v>FCx</v>
      </c>
      <c r="M920" s="9" t="str">
        <f>IFERROR(__xludf.DUMMYFUNCTION("""COMPUTED_VALUE"""),"PoFC")</f>
        <v>PoFC</v>
      </c>
      <c r="N920" s="9" t="str">
        <f>IFERROR(__xludf.DUMMYFUNCTION("""COMPUTED_VALUE"""),"M1C")</f>
        <v>M1C</v>
      </c>
      <c r="O920" s="9" t="str">
        <f>IFERROR(__xludf.DUMMYFUNCTION("""COMPUTED_VALUE"""),"M1hf")</f>
        <v>M1hf</v>
      </c>
      <c r="P920" s="9" t="str">
        <f>IFERROR(__xludf.DUMMYFUNCTION("""COMPUTED_VALUE"""),"M1hf2")</f>
        <v>M1hf2</v>
      </c>
      <c r="Q920" s="9"/>
      <c r="R920" s="9"/>
      <c r="S920" s="42"/>
      <c r="T920" s="42"/>
      <c r="U920" s="159"/>
      <c r="V920" s="42"/>
      <c r="W920" s="42"/>
      <c r="X920" s="42"/>
      <c r="Y920" s="42"/>
      <c r="Z920" s="42"/>
      <c r="AA920" s="42"/>
      <c r="AB920" s="42" t="str">
        <f>IFERROR(__xludf.DUMMYFUNCTION("""COMPUTED_VALUE"""),"allen institute")</f>
        <v>allen institute</v>
      </c>
      <c r="AC920" s="42" t="str">
        <f>IFERROR(__xludf.DUMMYFUNCTION("""COMPUTED_VALUE"""),"DHBA")</f>
        <v>DHBA</v>
      </c>
      <c r="AD920" s="42"/>
      <c r="AE920" s="42"/>
      <c r="AF920" s="9"/>
      <c r="AG920" s="9"/>
      <c r="AH920" s="42"/>
      <c r="AI920" s="42"/>
      <c r="AJ920" s="42"/>
      <c r="AK920" s="42"/>
      <c r="AL920" s="42"/>
      <c r="AM920" s="42"/>
      <c r="AN920" s="42"/>
      <c r="AO920" s="63" t="str">
        <f>IFERROR(__xludf.DUMMYFUNCTION("IF(ISBLANK(A920),,IF(ISBLANK(S920), A920&amp;"";"", TEXTJOIN(CHAR(10), TRUE, A920&amp;"";"", ARRAYFORMULA(VLOOKUP(SPLIT(S920, "";"" &amp; CHAR(10)), $A:$AO, 41, FALSE)))))"),"M1hf2;")</f>
        <v>M1hf2;</v>
      </c>
      <c r="AP920" s="89"/>
    </row>
    <row r="921">
      <c r="A921" s="151" t="str">
        <f>IFERROR(__xludf.DUMMYFUNCTION("""COMPUTED_VALUE"""),"M1hf3")</f>
        <v>M1hf3</v>
      </c>
      <c r="B921" s="42" t="str">
        <f>IFERROR(__xludf.DUMMYFUNCTION("""COMPUTED_VALUE"""),"DHBA")</f>
        <v>DHBA</v>
      </c>
      <c r="C921" s="42" t="str">
        <f>IFERROR(__xludf.DUMMYFUNCTION("""COMPUTED_VALUE"""),"layer III of area M1hf")</f>
        <v>layer III of area M1hf</v>
      </c>
      <c r="D921" s="42">
        <f>IFERROR(__xludf.DUMMYFUNCTION("""COMPUTED_VALUE"""),864.0)</f>
        <v>864</v>
      </c>
      <c r="E921" s="39" t="str">
        <f>IFERROR(__xludf.DUMMYFUNCTION("""COMPUTED_VALUE"""),"layer III of area M1hf")</f>
        <v>layer III of area M1hf</v>
      </c>
      <c r="F921" s="9" t="str">
        <f>IFERROR(__xludf.DUMMYFUNCTION("""COMPUTED_VALUE"""),"Br")</f>
        <v>Br</v>
      </c>
      <c r="G921" s="9" t="str">
        <f>IFERROR(__xludf.DUMMYFUNCTION("""COMPUTED_VALUE"""),"F")</f>
        <v>F</v>
      </c>
      <c r="H921" s="9" t="str">
        <f>IFERROR(__xludf.DUMMYFUNCTION("""COMPUTED_VALUE"""),"FGM")</f>
        <v>FGM</v>
      </c>
      <c r="I921" s="9" t="str">
        <f>IFERROR(__xludf.DUMMYFUNCTION("""COMPUTED_VALUE"""),"Tel")</f>
        <v>Tel</v>
      </c>
      <c r="J921" s="9" t="str">
        <f>IFERROR(__xludf.DUMMYFUNCTION("""COMPUTED_VALUE"""),"Cx")</f>
        <v>Cx</v>
      </c>
      <c r="K921" s="9" t="str">
        <f>IFERROR(__xludf.DUMMYFUNCTION("""COMPUTED_VALUE"""),"NCx")</f>
        <v>NCx</v>
      </c>
      <c r="L921" s="9" t="str">
        <f>IFERROR(__xludf.DUMMYFUNCTION("""COMPUTED_VALUE"""),"FCx")</f>
        <v>FCx</v>
      </c>
      <c r="M921" s="9" t="str">
        <f>IFERROR(__xludf.DUMMYFUNCTION("""COMPUTED_VALUE"""),"PoFC")</f>
        <v>PoFC</v>
      </c>
      <c r="N921" s="9" t="str">
        <f>IFERROR(__xludf.DUMMYFUNCTION("""COMPUTED_VALUE"""),"M1C")</f>
        <v>M1C</v>
      </c>
      <c r="O921" s="9" t="str">
        <f>IFERROR(__xludf.DUMMYFUNCTION("""COMPUTED_VALUE"""),"M1hf")</f>
        <v>M1hf</v>
      </c>
      <c r="P921" s="9" t="str">
        <f>IFERROR(__xludf.DUMMYFUNCTION("""COMPUTED_VALUE"""),"M1hf3")</f>
        <v>M1hf3</v>
      </c>
      <c r="Q921" s="9"/>
      <c r="R921" s="9"/>
      <c r="S921" s="42"/>
      <c r="T921" s="42"/>
      <c r="U921" s="42"/>
      <c r="V921" s="42"/>
      <c r="W921" s="42"/>
      <c r="X921" s="42"/>
      <c r="Y921" s="42"/>
      <c r="Z921" s="42"/>
      <c r="AA921" s="42"/>
      <c r="AB921" s="42" t="str">
        <f>IFERROR(__xludf.DUMMYFUNCTION("""COMPUTED_VALUE"""),"allen institute")</f>
        <v>allen institute</v>
      </c>
      <c r="AC921" s="42" t="str">
        <f>IFERROR(__xludf.DUMMYFUNCTION("""COMPUTED_VALUE"""),"DHBA")</f>
        <v>DHBA</v>
      </c>
      <c r="AD921" s="42"/>
      <c r="AE921" s="42"/>
      <c r="AF921" s="9"/>
      <c r="AG921" s="9"/>
      <c r="AH921" s="42"/>
      <c r="AI921" s="42"/>
      <c r="AJ921" s="42"/>
      <c r="AK921" s="42"/>
      <c r="AL921" s="42"/>
      <c r="AM921" s="42"/>
      <c r="AN921" s="42"/>
      <c r="AO921" s="63" t="str">
        <f>IFERROR(__xludf.DUMMYFUNCTION("IF(ISBLANK(A921),,IF(ISBLANK(S921), A921&amp;"";"", TEXTJOIN(CHAR(10), TRUE, A921&amp;"";"", ARRAYFORMULA(VLOOKUP(SPLIT(S921, "";"" &amp; CHAR(10)), $A:$AO, 41, FALSE)))))"),"M1hf3;")</f>
        <v>M1hf3;</v>
      </c>
      <c r="AP921" s="89"/>
    </row>
    <row r="922">
      <c r="A922" s="151" t="str">
        <f>IFERROR(__xludf.DUMMYFUNCTION("""COMPUTED_VALUE"""),"M1hf5")</f>
        <v>M1hf5</v>
      </c>
      <c r="B922" s="42" t="str">
        <f>IFERROR(__xludf.DUMMYFUNCTION("""COMPUTED_VALUE"""),"DHBA")</f>
        <v>DHBA</v>
      </c>
      <c r="C922" s="42" t="str">
        <f>IFERROR(__xludf.DUMMYFUNCTION("""COMPUTED_VALUE"""),"layer V of area M1hf")</f>
        <v>layer V of area M1hf</v>
      </c>
      <c r="D922" s="42">
        <f>IFERROR(__xludf.DUMMYFUNCTION("""COMPUTED_VALUE"""),865.0)</f>
        <v>865</v>
      </c>
      <c r="E922" s="39" t="str">
        <f>IFERROR(__xludf.DUMMYFUNCTION("""COMPUTED_VALUE"""),"layer V of area M1hf")</f>
        <v>layer V of area M1hf</v>
      </c>
      <c r="F922" s="9" t="str">
        <f>IFERROR(__xludf.DUMMYFUNCTION("""COMPUTED_VALUE"""),"Br")</f>
        <v>Br</v>
      </c>
      <c r="G922" s="9" t="str">
        <f>IFERROR(__xludf.DUMMYFUNCTION("""COMPUTED_VALUE"""),"F")</f>
        <v>F</v>
      </c>
      <c r="H922" s="9" t="str">
        <f>IFERROR(__xludf.DUMMYFUNCTION("""COMPUTED_VALUE"""),"FGM")</f>
        <v>FGM</v>
      </c>
      <c r="I922" s="9" t="str">
        <f>IFERROR(__xludf.DUMMYFUNCTION("""COMPUTED_VALUE"""),"Tel")</f>
        <v>Tel</v>
      </c>
      <c r="J922" s="9" t="str">
        <f>IFERROR(__xludf.DUMMYFUNCTION("""COMPUTED_VALUE"""),"Cx")</f>
        <v>Cx</v>
      </c>
      <c r="K922" s="9" t="str">
        <f>IFERROR(__xludf.DUMMYFUNCTION("""COMPUTED_VALUE"""),"NCx")</f>
        <v>NCx</v>
      </c>
      <c r="L922" s="9" t="str">
        <f>IFERROR(__xludf.DUMMYFUNCTION("""COMPUTED_VALUE"""),"FCx")</f>
        <v>FCx</v>
      </c>
      <c r="M922" s="9" t="str">
        <f>IFERROR(__xludf.DUMMYFUNCTION("""COMPUTED_VALUE"""),"PoFC")</f>
        <v>PoFC</v>
      </c>
      <c r="N922" s="9" t="str">
        <f>IFERROR(__xludf.DUMMYFUNCTION("""COMPUTED_VALUE"""),"M1C")</f>
        <v>M1C</v>
      </c>
      <c r="O922" s="9" t="str">
        <f>IFERROR(__xludf.DUMMYFUNCTION("""COMPUTED_VALUE"""),"M1hf")</f>
        <v>M1hf</v>
      </c>
      <c r="P922" s="9" t="str">
        <f>IFERROR(__xludf.DUMMYFUNCTION("""COMPUTED_VALUE"""),"M1hf5")</f>
        <v>M1hf5</v>
      </c>
      <c r="Q922" s="9"/>
      <c r="R922" s="9"/>
      <c r="S922" s="42"/>
      <c r="T922" s="42"/>
      <c r="U922" s="42"/>
      <c r="V922" s="42"/>
      <c r="W922" s="42"/>
      <c r="X922" s="42"/>
      <c r="Y922" s="42"/>
      <c r="Z922" s="42"/>
      <c r="AA922" s="42"/>
      <c r="AB922" s="42" t="str">
        <f>IFERROR(__xludf.DUMMYFUNCTION("""COMPUTED_VALUE"""),"allen institute")</f>
        <v>allen institute</v>
      </c>
      <c r="AC922" s="42" t="str">
        <f>IFERROR(__xludf.DUMMYFUNCTION("""COMPUTED_VALUE"""),"DHBA")</f>
        <v>DHBA</v>
      </c>
      <c r="AD922" s="42"/>
      <c r="AE922" s="42"/>
      <c r="AF922" s="9"/>
      <c r="AG922" s="9"/>
      <c r="AH922" s="42"/>
      <c r="AI922" s="42"/>
      <c r="AJ922" s="42"/>
      <c r="AK922" s="42"/>
      <c r="AL922" s="42"/>
      <c r="AM922" s="42"/>
      <c r="AN922" s="42"/>
      <c r="AO922" s="63" t="str">
        <f>IFERROR(__xludf.DUMMYFUNCTION("IF(ISBLANK(A922),,IF(ISBLANK(S922), A922&amp;"";"", TEXTJOIN(CHAR(10), TRUE, A922&amp;"";"", ARRAYFORMULA(VLOOKUP(SPLIT(S922, "";"" &amp; CHAR(10)), $A:$AO, 41, FALSE)))))"),"M1hf5;")</f>
        <v>M1hf5;</v>
      </c>
      <c r="AP922" s="89"/>
    </row>
    <row r="923">
      <c r="A923" s="151" t="str">
        <f>IFERROR(__xludf.DUMMYFUNCTION("""COMPUTED_VALUE"""),"M1hf6")</f>
        <v>M1hf6</v>
      </c>
      <c r="B923" s="42" t="str">
        <f>IFERROR(__xludf.DUMMYFUNCTION("""COMPUTED_VALUE"""),"DHBA")</f>
        <v>DHBA</v>
      </c>
      <c r="C923" s="42" t="str">
        <f>IFERROR(__xludf.DUMMYFUNCTION("""COMPUTED_VALUE"""),"layer VI of area M1hf")</f>
        <v>layer VI of area M1hf</v>
      </c>
      <c r="D923" s="42">
        <f>IFERROR(__xludf.DUMMYFUNCTION("""COMPUTED_VALUE"""),866.0)</f>
        <v>866</v>
      </c>
      <c r="E923" s="39" t="str">
        <f>IFERROR(__xludf.DUMMYFUNCTION("""COMPUTED_VALUE"""),"layer VI of area M1hf")</f>
        <v>layer VI of area M1hf</v>
      </c>
      <c r="F923" s="9" t="str">
        <f>IFERROR(__xludf.DUMMYFUNCTION("""COMPUTED_VALUE"""),"Br")</f>
        <v>Br</v>
      </c>
      <c r="G923" s="9" t="str">
        <f>IFERROR(__xludf.DUMMYFUNCTION("""COMPUTED_VALUE"""),"F")</f>
        <v>F</v>
      </c>
      <c r="H923" s="9" t="str">
        <f>IFERROR(__xludf.DUMMYFUNCTION("""COMPUTED_VALUE"""),"FGM")</f>
        <v>FGM</v>
      </c>
      <c r="I923" s="9" t="str">
        <f>IFERROR(__xludf.DUMMYFUNCTION("""COMPUTED_VALUE"""),"Tel")</f>
        <v>Tel</v>
      </c>
      <c r="J923" s="9" t="str">
        <f>IFERROR(__xludf.DUMMYFUNCTION("""COMPUTED_VALUE"""),"Cx")</f>
        <v>Cx</v>
      </c>
      <c r="K923" s="9" t="str">
        <f>IFERROR(__xludf.DUMMYFUNCTION("""COMPUTED_VALUE"""),"NCx")</f>
        <v>NCx</v>
      </c>
      <c r="L923" s="9" t="str">
        <f>IFERROR(__xludf.DUMMYFUNCTION("""COMPUTED_VALUE"""),"FCx")</f>
        <v>FCx</v>
      </c>
      <c r="M923" s="9" t="str">
        <f>IFERROR(__xludf.DUMMYFUNCTION("""COMPUTED_VALUE"""),"PoFC")</f>
        <v>PoFC</v>
      </c>
      <c r="N923" s="9" t="str">
        <f>IFERROR(__xludf.DUMMYFUNCTION("""COMPUTED_VALUE"""),"M1C")</f>
        <v>M1C</v>
      </c>
      <c r="O923" s="9" t="str">
        <f>IFERROR(__xludf.DUMMYFUNCTION("""COMPUTED_VALUE"""),"M1hf")</f>
        <v>M1hf</v>
      </c>
      <c r="P923" s="9" t="str">
        <f>IFERROR(__xludf.DUMMYFUNCTION("""COMPUTED_VALUE"""),"M1hf6")</f>
        <v>M1hf6</v>
      </c>
      <c r="Q923" s="9"/>
      <c r="R923" s="9"/>
      <c r="S923" s="42"/>
      <c r="T923" s="42"/>
      <c r="U923" s="42"/>
      <c r="V923" s="42"/>
      <c r="W923" s="42"/>
      <c r="X923" s="42"/>
      <c r="Y923" s="42"/>
      <c r="Z923" s="42"/>
      <c r="AA923" s="42"/>
      <c r="AB923" s="42" t="str">
        <f>IFERROR(__xludf.DUMMYFUNCTION("""COMPUTED_VALUE"""),"allen institute")</f>
        <v>allen institute</v>
      </c>
      <c r="AC923" s="42" t="str">
        <f>IFERROR(__xludf.DUMMYFUNCTION("""COMPUTED_VALUE"""),"DHBA")</f>
        <v>DHBA</v>
      </c>
      <c r="AD923" s="42"/>
      <c r="AE923" s="42"/>
      <c r="AF923" s="9"/>
      <c r="AG923" s="9"/>
      <c r="AH923" s="42"/>
      <c r="AI923" s="42"/>
      <c r="AJ923" s="42"/>
      <c r="AK923" s="42"/>
      <c r="AL923" s="42"/>
      <c r="AM923" s="42"/>
      <c r="AN923" s="42"/>
      <c r="AO923" s="63" t="str">
        <f>IFERROR(__xludf.DUMMYFUNCTION("IF(ISBLANK(A923),,IF(ISBLANK(S923), A923&amp;"";"", TEXTJOIN(CHAR(10), TRUE, A923&amp;"";"", ARRAYFORMULA(VLOOKUP(SPLIT(S923, "";"" &amp; CHAR(10)), $A:$AO, 41, FALSE)))))"),"M1hf6;")</f>
        <v>M1hf6;</v>
      </c>
      <c r="AP923" s="89"/>
    </row>
    <row r="924">
      <c r="A924" s="151" t="str">
        <f>IFERROR(__xludf.DUMMYFUNCTION("""COMPUTED_VALUE"""),"M1ul")</f>
        <v>M1ul</v>
      </c>
      <c r="B924" s="42" t="str">
        <f>IFERROR(__xludf.DUMMYFUNCTION("""COMPUTED_VALUE"""),"DHBA")</f>
        <v>DHBA</v>
      </c>
      <c r="C924" s="42" t="str">
        <f>IFERROR(__xludf.DUMMYFUNCTION("""COMPUTED_VALUE"""),"upper limb region of M1")</f>
        <v>upper limb region of M1</v>
      </c>
      <c r="D924" s="42">
        <f>IFERROR(__xludf.DUMMYFUNCTION("""COMPUTED_VALUE"""),867.0)</f>
        <v>867</v>
      </c>
      <c r="E924" s="39" t="str">
        <f>IFERROR(__xludf.DUMMYFUNCTION("""COMPUTED_VALUE"""),"upper limb region of M1")</f>
        <v>upper limb region of M1</v>
      </c>
      <c r="F924" s="9" t="str">
        <f>IFERROR(__xludf.DUMMYFUNCTION("""COMPUTED_VALUE"""),"Br")</f>
        <v>Br</v>
      </c>
      <c r="G924" s="9" t="str">
        <f>IFERROR(__xludf.DUMMYFUNCTION("""COMPUTED_VALUE"""),"F")</f>
        <v>F</v>
      </c>
      <c r="H924" s="9" t="str">
        <f>IFERROR(__xludf.DUMMYFUNCTION("""COMPUTED_VALUE"""),"FGM")</f>
        <v>FGM</v>
      </c>
      <c r="I924" s="9" t="str">
        <f>IFERROR(__xludf.DUMMYFUNCTION("""COMPUTED_VALUE"""),"Tel")</f>
        <v>Tel</v>
      </c>
      <c r="J924" s="9" t="str">
        <f>IFERROR(__xludf.DUMMYFUNCTION("""COMPUTED_VALUE"""),"Cx")</f>
        <v>Cx</v>
      </c>
      <c r="K924" s="9" t="str">
        <f>IFERROR(__xludf.DUMMYFUNCTION("""COMPUTED_VALUE"""),"NCx")</f>
        <v>NCx</v>
      </c>
      <c r="L924" s="9" t="str">
        <f>IFERROR(__xludf.DUMMYFUNCTION("""COMPUTED_VALUE"""),"FCx")</f>
        <v>FCx</v>
      </c>
      <c r="M924" s="9" t="str">
        <f>IFERROR(__xludf.DUMMYFUNCTION("""COMPUTED_VALUE"""),"PoFC")</f>
        <v>PoFC</v>
      </c>
      <c r="N924" s="9" t="str">
        <f>IFERROR(__xludf.DUMMYFUNCTION("""COMPUTED_VALUE"""),"M1C")</f>
        <v>M1C</v>
      </c>
      <c r="O924" s="9" t="str">
        <f>IFERROR(__xludf.DUMMYFUNCTION("""COMPUTED_VALUE"""),"M1ul")</f>
        <v>M1ul</v>
      </c>
      <c r="P924" s="9"/>
      <c r="Q924" s="9"/>
      <c r="R924" s="9"/>
      <c r="S924" s="42" t="str">
        <f>IFERROR(__xludf.DUMMYFUNCTION("""COMPUTED_VALUE"""),"M1ul1;
M1ul2;
M1ul3;
M1ul5;
M1ul6")</f>
        <v>M1ul1;
M1ul2;
M1ul3;
M1ul5;
M1ul6</v>
      </c>
      <c r="T924" s="42"/>
      <c r="U924" s="42" t="b">
        <f>IFERROR(__xludf.DUMMYFUNCTION("""COMPUTED_VALUE"""),FALSE)</f>
        <v>0</v>
      </c>
      <c r="V924" s="42"/>
      <c r="W924" s="42"/>
      <c r="X924" s="42"/>
      <c r="Y924" s="42"/>
      <c r="Z924" s="42"/>
      <c r="AA924" s="42"/>
      <c r="AB924" s="42" t="str">
        <f>IFERROR(__xludf.DUMMYFUNCTION("""COMPUTED_VALUE"""),"allen institute")</f>
        <v>allen institute</v>
      </c>
      <c r="AC924" s="42" t="str">
        <f>IFERROR(__xludf.DUMMYFUNCTION("""COMPUTED_VALUE"""),"DHBA")</f>
        <v>DHBA</v>
      </c>
      <c r="AD924" s="42"/>
      <c r="AE924" s="42"/>
      <c r="AF924" s="9"/>
      <c r="AG924" s="9"/>
      <c r="AH924" s="42"/>
      <c r="AI924" s="42"/>
      <c r="AJ924" s="42"/>
      <c r="AK924" s="42"/>
      <c r="AL924" s="42"/>
      <c r="AM924" s="42"/>
      <c r="AN924" s="42"/>
      <c r="AO924" s="63" t="str">
        <f>IFERROR(__xludf.DUMMYFUNCTION("IF(ISBLANK(A924),,IF(ISBLANK(S924), A924&amp;"";"", TEXTJOIN(CHAR(10), TRUE, A924&amp;"";"", ARRAYFORMULA(VLOOKUP(SPLIT(S924, "";"" &amp; CHAR(10)), $A:$AO, 41, FALSE)))))"),"M1ul;
M1ul1;
M1ul2;
M1ul3;
M1ul5;
M1ul6;")</f>
        <v>M1ul;
M1ul1;
M1ul2;
M1ul3;
M1ul5;
M1ul6;</v>
      </c>
      <c r="AP924" s="89"/>
    </row>
    <row r="925">
      <c r="A925" s="151" t="str">
        <f>IFERROR(__xludf.DUMMYFUNCTION("""COMPUTED_VALUE"""),"M1ul1")</f>
        <v>M1ul1</v>
      </c>
      <c r="B925" s="42" t="str">
        <f>IFERROR(__xludf.DUMMYFUNCTION("""COMPUTED_VALUE"""),"DHBA")</f>
        <v>DHBA</v>
      </c>
      <c r="C925" s="42" t="str">
        <f>IFERROR(__xludf.DUMMYFUNCTION("""COMPUTED_VALUE"""),"layer I of area M1ul")</f>
        <v>layer I of area M1ul</v>
      </c>
      <c r="D925" s="42">
        <f>IFERROR(__xludf.DUMMYFUNCTION("""COMPUTED_VALUE"""),868.0)</f>
        <v>868</v>
      </c>
      <c r="E925" s="39" t="str">
        <f>IFERROR(__xludf.DUMMYFUNCTION("""COMPUTED_VALUE"""),"layer I of area M1ul")</f>
        <v>layer I of area M1ul</v>
      </c>
      <c r="F925" s="9" t="str">
        <f>IFERROR(__xludf.DUMMYFUNCTION("""COMPUTED_VALUE"""),"Br")</f>
        <v>Br</v>
      </c>
      <c r="G925" s="9" t="str">
        <f>IFERROR(__xludf.DUMMYFUNCTION("""COMPUTED_VALUE"""),"F")</f>
        <v>F</v>
      </c>
      <c r="H925" s="9" t="str">
        <f>IFERROR(__xludf.DUMMYFUNCTION("""COMPUTED_VALUE"""),"FGM")</f>
        <v>FGM</v>
      </c>
      <c r="I925" s="9" t="str">
        <f>IFERROR(__xludf.DUMMYFUNCTION("""COMPUTED_VALUE"""),"Tel")</f>
        <v>Tel</v>
      </c>
      <c r="J925" s="9" t="str">
        <f>IFERROR(__xludf.DUMMYFUNCTION("""COMPUTED_VALUE"""),"Cx")</f>
        <v>Cx</v>
      </c>
      <c r="K925" s="9" t="str">
        <f>IFERROR(__xludf.DUMMYFUNCTION("""COMPUTED_VALUE"""),"NCx")</f>
        <v>NCx</v>
      </c>
      <c r="L925" s="9" t="str">
        <f>IFERROR(__xludf.DUMMYFUNCTION("""COMPUTED_VALUE"""),"FCx")</f>
        <v>FCx</v>
      </c>
      <c r="M925" s="9" t="str">
        <f>IFERROR(__xludf.DUMMYFUNCTION("""COMPUTED_VALUE"""),"PoFC")</f>
        <v>PoFC</v>
      </c>
      <c r="N925" s="9" t="str">
        <f>IFERROR(__xludf.DUMMYFUNCTION("""COMPUTED_VALUE"""),"M1C")</f>
        <v>M1C</v>
      </c>
      <c r="O925" s="9" t="str">
        <f>IFERROR(__xludf.DUMMYFUNCTION("""COMPUTED_VALUE"""),"M1ul")</f>
        <v>M1ul</v>
      </c>
      <c r="P925" s="9" t="str">
        <f>IFERROR(__xludf.DUMMYFUNCTION("""COMPUTED_VALUE"""),"M1ul1")</f>
        <v>M1ul1</v>
      </c>
      <c r="Q925" s="9"/>
      <c r="R925" s="9"/>
      <c r="S925" s="42"/>
      <c r="T925" s="42"/>
      <c r="U925" s="159"/>
      <c r="V925" s="42"/>
      <c r="W925" s="42"/>
      <c r="X925" s="42"/>
      <c r="Y925" s="42"/>
      <c r="Z925" s="42"/>
      <c r="AA925" s="42"/>
      <c r="AB925" s="42" t="str">
        <f>IFERROR(__xludf.DUMMYFUNCTION("""COMPUTED_VALUE"""),"allen institute")</f>
        <v>allen institute</v>
      </c>
      <c r="AC925" s="42" t="str">
        <f>IFERROR(__xludf.DUMMYFUNCTION("""COMPUTED_VALUE"""),"DHBA")</f>
        <v>DHBA</v>
      </c>
      <c r="AD925" s="42"/>
      <c r="AE925" s="42"/>
      <c r="AF925" s="9"/>
      <c r="AG925" s="9"/>
      <c r="AH925" s="42"/>
      <c r="AI925" s="42"/>
      <c r="AJ925" s="42"/>
      <c r="AK925" s="42"/>
      <c r="AL925" s="42"/>
      <c r="AM925" s="42"/>
      <c r="AN925" s="42"/>
      <c r="AO925" s="63" t="str">
        <f>IFERROR(__xludf.DUMMYFUNCTION("IF(ISBLANK(A925),,IF(ISBLANK(S925), A925&amp;"";"", TEXTJOIN(CHAR(10), TRUE, A925&amp;"";"", ARRAYFORMULA(VLOOKUP(SPLIT(S925, "";"" &amp; CHAR(10)), $A:$AO, 41, FALSE)))))"),"M1ul1;")</f>
        <v>M1ul1;</v>
      </c>
      <c r="AP925" s="89"/>
    </row>
    <row r="926">
      <c r="A926" s="151" t="str">
        <f>IFERROR(__xludf.DUMMYFUNCTION("""COMPUTED_VALUE"""),"M1ul2")</f>
        <v>M1ul2</v>
      </c>
      <c r="B926" s="42" t="str">
        <f>IFERROR(__xludf.DUMMYFUNCTION("""COMPUTED_VALUE"""),"DHBA")</f>
        <v>DHBA</v>
      </c>
      <c r="C926" s="42" t="str">
        <f>IFERROR(__xludf.DUMMYFUNCTION("""COMPUTED_VALUE"""),"layer II of area M1ul")</f>
        <v>layer II of area M1ul</v>
      </c>
      <c r="D926" s="42">
        <f>IFERROR(__xludf.DUMMYFUNCTION("""COMPUTED_VALUE"""),869.0)</f>
        <v>869</v>
      </c>
      <c r="E926" s="39" t="str">
        <f>IFERROR(__xludf.DUMMYFUNCTION("""COMPUTED_VALUE"""),"layer II of area M1ul")</f>
        <v>layer II of area M1ul</v>
      </c>
      <c r="F926" s="9" t="str">
        <f>IFERROR(__xludf.DUMMYFUNCTION("""COMPUTED_VALUE"""),"Br")</f>
        <v>Br</v>
      </c>
      <c r="G926" s="9" t="str">
        <f>IFERROR(__xludf.DUMMYFUNCTION("""COMPUTED_VALUE"""),"F")</f>
        <v>F</v>
      </c>
      <c r="H926" s="9" t="str">
        <f>IFERROR(__xludf.DUMMYFUNCTION("""COMPUTED_VALUE"""),"FGM")</f>
        <v>FGM</v>
      </c>
      <c r="I926" s="9" t="str">
        <f>IFERROR(__xludf.DUMMYFUNCTION("""COMPUTED_VALUE"""),"Tel")</f>
        <v>Tel</v>
      </c>
      <c r="J926" s="9" t="str">
        <f>IFERROR(__xludf.DUMMYFUNCTION("""COMPUTED_VALUE"""),"Cx")</f>
        <v>Cx</v>
      </c>
      <c r="K926" s="9" t="str">
        <f>IFERROR(__xludf.DUMMYFUNCTION("""COMPUTED_VALUE"""),"NCx")</f>
        <v>NCx</v>
      </c>
      <c r="L926" s="9" t="str">
        <f>IFERROR(__xludf.DUMMYFUNCTION("""COMPUTED_VALUE"""),"FCx")</f>
        <v>FCx</v>
      </c>
      <c r="M926" s="9" t="str">
        <f>IFERROR(__xludf.DUMMYFUNCTION("""COMPUTED_VALUE"""),"PoFC")</f>
        <v>PoFC</v>
      </c>
      <c r="N926" s="9" t="str">
        <f>IFERROR(__xludf.DUMMYFUNCTION("""COMPUTED_VALUE"""),"M1C")</f>
        <v>M1C</v>
      </c>
      <c r="O926" s="9" t="str">
        <f>IFERROR(__xludf.DUMMYFUNCTION("""COMPUTED_VALUE"""),"M1ul")</f>
        <v>M1ul</v>
      </c>
      <c r="P926" s="9" t="str">
        <f>IFERROR(__xludf.DUMMYFUNCTION("""COMPUTED_VALUE"""),"M1ul2")</f>
        <v>M1ul2</v>
      </c>
      <c r="Q926" s="9"/>
      <c r="R926" s="9"/>
      <c r="S926" s="42"/>
      <c r="T926" s="42"/>
      <c r="U926" s="159"/>
      <c r="V926" s="42"/>
      <c r="W926" s="42"/>
      <c r="X926" s="42"/>
      <c r="Y926" s="42"/>
      <c r="Z926" s="42"/>
      <c r="AA926" s="42"/>
      <c r="AB926" s="42" t="str">
        <f>IFERROR(__xludf.DUMMYFUNCTION("""COMPUTED_VALUE"""),"allen institute")</f>
        <v>allen institute</v>
      </c>
      <c r="AC926" s="42" t="str">
        <f>IFERROR(__xludf.DUMMYFUNCTION("""COMPUTED_VALUE"""),"DHBA")</f>
        <v>DHBA</v>
      </c>
      <c r="AD926" s="42"/>
      <c r="AE926" s="42"/>
      <c r="AF926" s="9"/>
      <c r="AG926" s="9"/>
      <c r="AH926" s="42"/>
      <c r="AI926" s="42"/>
      <c r="AJ926" s="42"/>
      <c r="AK926" s="42"/>
      <c r="AL926" s="42"/>
      <c r="AM926" s="42"/>
      <c r="AN926" s="42"/>
      <c r="AO926" s="63" t="str">
        <f>IFERROR(__xludf.DUMMYFUNCTION("IF(ISBLANK(A926),,IF(ISBLANK(S926), A926&amp;"";"", TEXTJOIN(CHAR(10), TRUE, A926&amp;"";"", ARRAYFORMULA(VLOOKUP(SPLIT(S926, "";"" &amp; CHAR(10)), $A:$AO, 41, FALSE)))))"),"M1ul2;")</f>
        <v>M1ul2;</v>
      </c>
      <c r="AP926" s="89"/>
    </row>
    <row r="927">
      <c r="A927" s="151" t="str">
        <f>IFERROR(__xludf.DUMMYFUNCTION("""COMPUTED_VALUE"""),"M1ul3")</f>
        <v>M1ul3</v>
      </c>
      <c r="B927" s="42" t="str">
        <f>IFERROR(__xludf.DUMMYFUNCTION("""COMPUTED_VALUE"""),"DHBA")</f>
        <v>DHBA</v>
      </c>
      <c r="C927" s="42" t="str">
        <f>IFERROR(__xludf.DUMMYFUNCTION("""COMPUTED_VALUE"""),"layer III of area M1ul")</f>
        <v>layer III of area M1ul</v>
      </c>
      <c r="D927" s="42">
        <f>IFERROR(__xludf.DUMMYFUNCTION("""COMPUTED_VALUE"""),870.0)</f>
        <v>870</v>
      </c>
      <c r="E927" s="39" t="str">
        <f>IFERROR(__xludf.DUMMYFUNCTION("""COMPUTED_VALUE"""),"layer III of area M1ul")</f>
        <v>layer III of area M1ul</v>
      </c>
      <c r="F927" s="9" t="str">
        <f>IFERROR(__xludf.DUMMYFUNCTION("""COMPUTED_VALUE"""),"Br")</f>
        <v>Br</v>
      </c>
      <c r="G927" s="9" t="str">
        <f>IFERROR(__xludf.DUMMYFUNCTION("""COMPUTED_VALUE"""),"F")</f>
        <v>F</v>
      </c>
      <c r="H927" s="9" t="str">
        <f>IFERROR(__xludf.DUMMYFUNCTION("""COMPUTED_VALUE"""),"FGM")</f>
        <v>FGM</v>
      </c>
      <c r="I927" s="9" t="str">
        <f>IFERROR(__xludf.DUMMYFUNCTION("""COMPUTED_VALUE"""),"Tel")</f>
        <v>Tel</v>
      </c>
      <c r="J927" s="9" t="str">
        <f>IFERROR(__xludf.DUMMYFUNCTION("""COMPUTED_VALUE"""),"Cx")</f>
        <v>Cx</v>
      </c>
      <c r="K927" s="9" t="str">
        <f>IFERROR(__xludf.DUMMYFUNCTION("""COMPUTED_VALUE"""),"NCx")</f>
        <v>NCx</v>
      </c>
      <c r="L927" s="9" t="str">
        <f>IFERROR(__xludf.DUMMYFUNCTION("""COMPUTED_VALUE"""),"FCx")</f>
        <v>FCx</v>
      </c>
      <c r="M927" s="9" t="str">
        <f>IFERROR(__xludf.DUMMYFUNCTION("""COMPUTED_VALUE"""),"PoFC")</f>
        <v>PoFC</v>
      </c>
      <c r="N927" s="9" t="str">
        <f>IFERROR(__xludf.DUMMYFUNCTION("""COMPUTED_VALUE"""),"M1C")</f>
        <v>M1C</v>
      </c>
      <c r="O927" s="9" t="str">
        <f>IFERROR(__xludf.DUMMYFUNCTION("""COMPUTED_VALUE"""),"M1ul")</f>
        <v>M1ul</v>
      </c>
      <c r="P927" s="9" t="str">
        <f>IFERROR(__xludf.DUMMYFUNCTION("""COMPUTED_VALUE"""),"M1ul3")</f>
        <v>M1ul3</v>
      </c>
      <c r="Q927" s="9"/>
      <c r="R927" s="9"/>
      <c r="S927" s="42"/>
      <c r="T927" s="42"/>
      <c r="U927" s="42"/>
      <c r="V927" s="42"/>
      <c r="W927" s="42"/>
      <c r="X927" s="42"/>
      <c r="Y927" s="42"/>
      <c r="Z927" s="42"/>
      <c r="AA927" s="42"/>
      <c r="AB927" s="42" t="str">
        <f>IFERROR(__xludf.DUMMYFUNCTION("""COMPUTED_VALUE"""),"allen institute")</f>
        <v>allen institute</v>
      </c>
      <c r="AC927" s="42" t="str">
        <f>IFERROR(__xludf.DUMMYFUNCTION("""COMPUTED_VALUE"""),"DHBA")</f>
        <v>DHBA</v>
      </c>
      <c r="AD927" s="42"/>
      <c r="AE927" s="42"/>
      <c r="AF927" s="9"/>
      <c r="AG927" s="9"/>
      <c r="AH927" s="42"/>
      <c r="AI927" s="42"/>
      <c r="AJ927" s="42"/>
      <c r="AK927" s="42"/>
      <c r="AL927" s="42"/>
      <c r="AM927" s="42"/>
      <c r="AN927" s="42"/>
      <c r="AO927" s="63" t="str">
        <f>IFERROR(__xludf.DUMMYFUNCTION("IF(ISBLANK(A927),,IF(ISBLANK(S927), A927&amp;"";"", TEXTJOIN(CHAR(10), TRUE, A927&amp;"";"", ARRAYFORMULA(VLOOKUP(SPLIT(S927, "";"" &amp; CHAR(10)), $A:$AO, 41, FALSE)))))"),"M1ul3;")</f>
        <v>M1ul3;</v>
      </c>
      <c r="AP927" s="89"/>
    </row>
    <row r="928">
      <c r="A928" s="151" t="str">
        <f>IFERROR(__xludf.DUMMYFUNCTION("""COMPUTED_VALUE"""),"M1ul5")</f>
        <v>M1ul5</v>
      </c>
      <c r="B928" s="42" t="str">
        <f>IFERROR(__xludf.DUMMYFUNCTION("""COMPUTED_VALUE"""),"DHBA")</f>
        <v>DHBA</v>
      </c>
      <c r="C928" s="42" t="str">
        <f>IFERROR(__xludf.DUMMYFUNCTION("""COMPUTED_VALUE"""),"layer V of area M1ul")</f>
        <v>layer V of area M1ul</v>
      </c>
      <c r="D928" s="42">
        <f>IFERROR(__xludf.DUMMYFUNCTION("""COMPUTED_VALUE"""),871.0)</f>
        <v>871</v>
      </c>
      <c r="E928" s="39" t="str">
        <f>IFERROR(__xludf.DUMMYFUNCTION("""COMPUTED_VALUE"""),"layer V of area M1ul")</f>
        <v>layer V of area M1ul</v>
      </c>
      <c r="F928" s="9" t="str">
        <f>IFERROR(__xludf.DUMMYFUNCTION("""COMPUTED_VALUE"""),"Br")</f>
        <v>Br</v>
      </c>
      <c r="G928" s="9" t="str">
        <f>IFERROR(__xludf.DUMMYFUNCTION("""COMPUTED_VALUE"""),"F")</f>
        <v>F</v>
      </c>
      <c r="H928" s="9" t="str">
        <f>IFERROR(__xludf.DUMMYFUNCTION("""COMPUTED_VALUE"""),"FGM")</f>
        <v>FGM</v>
      </c>
      <c r="I928" s="9" t="str">
        <f>IFERROR(__xludf.DUMMYFUNCTION("""COMPUTED_VALUE"""),"Tel")</f>
        <v>Tel</v>
      </c>
      <c r="J928" s="9" t="str">
        <f>IFERROR(__xludf.DUMMYFUNCTION("""COMPUTED_VALUE"""),"Cx")</f>
        <v>Cx</v>
      </c>
      <c r="K928" s="9" t="str">
        <f>IFERROR(__xludf.DUMMYFUNCTION("""COMPUTED_VALUE"""),"NCx")</f>
        <v>NCx</v>
      </c>
      <c r="L928" s="9" t="str">
        <f>IFERROR(__xludf.DUMMYFUNCTION("""COMPUTED_VALUE"""),"FCx")</f>
        <v>FCx</v>
      </c>
      <c r="M928" s="9" t="str">
        <f>IFERROR(__xludf.DUMMYFUNCTION("""COMPUTED_VALUE"""),"PoFC")</f>
        <v>PoFC</v>
      </c>
      <c r="N928" s="9" t="str">
        <f>IFERROR(__xludf.DUMMYFUNCTION("""COMPUTED_VALUE"""),"M1C")</f>
        <v>M1C</v>
      </c>
      <c r="O928" s="9" t="str">
        <f>IFERROR(__xludf.DUMMYFUNCTION("""COMPUTED_VALUE"""),"M1ul")</f>
        <v>M1ul</v>
      </c>
      <c r="P928" s="9" t="str">
        <f>IFERROR(__xludf.DUMMYFUNCTION("""COMPUTED_VALUE"""),"M1ul5")</f>
        <v>M1ul5</v>
      </c>
      <c r="Q928" s="9"/>
      <c r="R928" s="9"/>
      <c r="S928" s="42"/>
      <c r="T928" s="42"/>
      <c r="U928" s="42"/>
      <c r="V928" s="42"/>
      <c r="W928" s="42"/>
      <c r="X928" s="42"/>
      <c r="Y928" s="42"/>
      <c r="Z928" s="42"/>
      <c r="AA928" s="42"/>
      <c r="AB928" s="42" t="str">
        <f>IFERROR(__xludf.DUMMYFUNCTION("""COMPUTED_VALUE"""),"allen institute")</f>
        <v>allen institute</v>
      </c>
      <c r="AC928" s="42" t="str">
        <f>IFERROR(__xludf.DUMMYFUNCTION("""COMPUTED_VALUE"""),"DHBA")</f>
        <v>DHBA</v>
      </c>
      <c r="AD928" s="42"/>
      <c r="AE928" s="42"/>
      <c r="AF928" s="9"/>
      <c r="AG928" s="9"/>
      <c r="AH928" s="42"/>
      <c r="AI928" s="42"/>
      <c r="AJ928" s="42"/>
      <c r="AK928" s="42"/>
      <c r="AL928" s="42"/>
      <c r="AM928" s="42"/>
      <c r="AN928" s="42"/>
      <c r="AO928" s="63" t="str">
        <f>IFERROR(__xludf.DUMMYFUNCTION("IF(ISBLANK(A928),,IF(ISBLANK(S928), A928&amp;"";"", TEXTJOIN(CHAR(10), TRUE, A928&amp;"";"", ARRAYFORMULA(VLOOKUP(SPLIT(S928, "";"" &amp; CHAR(10)), $A:$AO, 41, FALSE)))))"),"M1ul5;")</f>
        <v>M1ul5;</v>
      </c>
      <c r="AP928" s="89"/>
    </row>
    <row r="929">
      <c r="A929" s="151" t="str">
        <f>IFERROR(__xludf.DUMMYFUNCTION("""COMPUTED_VALUE"""),"M1ul6")</f>
        <v>M1ul6</v>
      </c>
      <c r="B929" s="42" t="str">
        <f>IFERROR(__xludf.DUMMYFUNCTION("""COMPUTED_VALUE"""),"DHBA")</f>
        <v>DHBA</v>
      </c>
      <c r="C929" s="42" t="str">
        <f>IFERROR(__xludf.DUMMYFUNCTION("""COMPUTED_VALUE"""),"layer VI of area M1ul")</f>
        <v>layer VI of area M1ul</v>
      </c>
      <c r="D929" s="42">
        <f>IFERROR(__xludf.DUMMYFUNCTION("""COMPUTED_VALUE"""),872.0)</f>
        <v>872</v>
      </c>
      <c r="E929" s="39" t="str">
        <f>IFERROR(__xludf.DUMMYFUNCTION("""COMPUTED_VALUE"""),"layer VI of area M1ul")</f>
        <v>layer VI of area M1ul</v>
      </c>
      <c r="F929" s="9" t="str">
        <f>IFERROR(__xludf.DUMMYFUNCTION("""COMPUTED_VALUE"""),"Br")</f>
        <v>Br</v>
      </c>
      <c r="G929" s="9" t="str">
        <f>IFERROR(__xludf.DUMMYFUNCTION("""COMPUTED_VALUE"""),"F")</f>
        <v>F</v>
      </c>
      <c r="H929" s="9" t="str">
        <f>IFERROR(__xludf.DUMMYFUNCTION("""COMPUTED_VALUE"""),"FGM")</f>
        <v>FGM</v>
      </c>
      <c r="I929" s="9" t="str">
        <f>IFERROR(__xludf.DUMMYFUNCTION("""COMPUTED_VALUE"""),"Tel")</f>
        <v>Tel</v>
      </c>
      <c r="J929" s="9" t="str">
        <f>IFERROR(__xludf.DUMMYFUNCTION("""COMPUTED_VALUE"""),"Cx")</f>
        <v>Cx</v>
      </c>
      <c r="K929" s="9" t="str">
        <f>IFERROR(__xludf.DUMMYFUNCTION("""COMPUTED_VALUE"""),"NCx")</f>
        <v>NCx</v>
      </c>
      <c r="L929" s="9" t="str">
        <f>IFERROR(__xludf.DUMMYFUNCTION("""COMPUTED_VALUE"""),"FCx")</f>
        <v>FCx</v>
      </c>
      <c r="M929" s="9" t="str">
        <f>IFERROR(__xludf.DUMMYFUNCTION("""COMPUTED_VALUE"""),"PoFC")</f>
        <v>PoFC</v>
      </c>
      <c r="N929" s="9" t="str">
        <f>IFERROR(__xludf.DUMMYFUNCTION("""COMPUTED_VALUE"""),"M1C")</f>
        <v>M1C</v>
      </c>
      <c r="O929" s="9" t="str">
        <f>IFERROR(__xludf.DUMMYFUNCTION("""COMPUTED_VALUE"""),"M1ul")</f>
        <v>M1ul</v>
      </c>
      <c r="P929" s="9" t="str">
        <f>IFERROR(__xludf.DUMMYFUNCTION("""COMPUTED_VALUE"""),"M1ul6")</f>
        <v>M1ul6</v>
      </c>
      <c r="Q929" s="9"/>
      <c r="R929" s="9"/>
      <c r="S929" s="42"/>
      <c r="T929" s="42"/>
      <c r="U929" s="42"/>
      <c r="V929" s="42"/>
      <c r="W929" s="42"/>
      <c r="X929" s="42"/>
      <c r="Y929" s="42"/>
      <c r="Z929" s="42"/>
      <c r="AA929" s="42"/>
      <c r="AB929" s="42" t="str">
        <f>IFERROR(__xludf.DUMMYFUNCTION("""COMPUTED_VALUE"""),"allen institute")</f>
        <v>allen institute</v>
      </c>
      <c r="AC929" s="42" t="str">
        <f>IFERROR(__xludf.DUMMYFUNCTION("""COMPUTED_VALUE"""),"DHBA")</f>
        <v>DHBA</v>
      </c>
      <c r="AD929" s="42"/>
      <c r="AE929" s="42"/>
      <c r="AF929" s="9"/>
      <c r="AG929" s="9"/>
      <c r="AH929" s="42"/>
      <c r="AI929" s="42"/>
      <c r="AJ929" s="42"/>
      <c r="AK929" s="42"/>
      <c r="AL929" s="42"/>
      <c r="AM929" s="42"/>
      <c r="AN929" s="42"/>
      <c r="AO929" s="63" t="str">
        <f>IFERROR(__xludf.DUMMYFUNCTION("IF(ISBLANK(A929),,IF(ISBLANK(S929), A929&amp;"";"", TEXTJOIN(CHAR(10), TRUE, A929&amp;"";"", ARRAYFORMULA(VLOOKUP(SPLIT(S929, "";"" &amp; CHAR(10)), $A:$AO, 41, FALSE)))))"),"M1ul6;")</f>
        <v>M1ul6;</v>
      </c>
      <c r="AP929" s="89"/>
    </row>
    <row r="930">
      <c r="A930" s="151" t="str">
        <f>IFERROR(__xludf.DUMMYFUNCTION("""COMPUTED_VALUE"""),"M1tr")</f>
        <v>M1tr</v>
      </c>
      <c r="B930" s="42" t="str">
        <f>IFERROR(__xludf.DUMMYFUNCTION("""COMPUTED_VALUE"""),"DHBA")</f>
        <v>DHBA</v>
      </c>
      <c r="C930" s="42" t="str">
        <f>IFERROR(__xludf.DUMMYFUNCTION("""COMPUTED_VALUE"""),"trunk region of M1")</f>
        <v>trunk region of M1</v>
      </c>
      <c r="D930" s="42">
        <f>IFERROR(__xludf.DUMMYFUNCTION("""COMPUTED_VALUE"""),873.0)</f>
        <v>873</v>
      </c>
      <c r="E930" s="39" t="str">
        <f>IFERROR(__xludf.DUMMYFUNCTION("""COMPUTED_VALUE"""),"trunk region of M1")</f>
        <v>trunk region of M1</v>
      </c>
      <c r="F930" s="9" t="str">
        <f>IFERROR(__xludf.DUMMYFUNCTION("""COMPUTED_VALUE"""),"Br")</f>
        <v>Br</v>
      </c>
      <c r="G930" s="9" t="str">
        <f>IFERROR(__xludf.DUMMYFUNCTION("""COMPUTED_VALUE"""),"F")</f>
        <v>F</v>
      </c>
      <c r="H930" s="9" t="str">
        <f>IFERROR(__xludf.DUMMYFUNCTION("""COMPUTED_VALUE"""),"FGM")</f>
        <v>FGM</v>
      </c>
      <c r="I930" s="9" t="str">
        <f>IFERROR(__xludf.DUMMYFUNCTION("""COMPUTED_VALUE"""),"Tel")</f>
        <v>Tel</v>
      </c>
      <c r="J930" s="9" t="str">
        <f>IFERROR(__xludf.DUMMYFUNCTION("""COMPUTED_VALUE"""),"Cx")</f>
        <v>Cx</v>
      </c>
      <c r="K930" s="9" t="str">
        <f>IFERROR(__xludf.DUMMYFUNCTION("""COMPUTED_VALUE"""),"NCx")</f>
        <v>NCx</v>
      </c>
      <c r="L930" s="9" t="str">
        <f>IFERROR(__xludf.DUMMYFUNCTION("""COMPUTED_VALUE"""),"FCx")</f>
        <v>FCx</v>
      </c>
      <c r="M930" s="9" t="str">
        <f>IFERROR(__xludf.DUMMYFUNCTION("""COMPUTED_VALUE"""),"PoFC")</f>
        <v>PoFC</v>
      </c>
      <c r="N930" s="9" t="str">
        <f>IFERROR(__xludf.DUMMYFUNCTION("""COMPUTED_VALUE"""),"M1C")</f>
        <v>M1C</v>
      </c>
      <c r="O930" s="9" t="str">
        <f>IFERROR(__xludf.DUMMYFUNCTION("""COMPUTED_VALUE"""),"M1tr")</f>
        <v>M1tr</v>
      </c>
      <c r="P930" s="9"/>
      <c r="Q930" s="9"/>
      <c r="R930" s="9"/>
      <c r="S930" s="42" t="str">
        <f>IFERROR(__xludf.DUMMYFUNCTION("""COMPUTED_VALUE"""),"M1tr1;
M1tr2;
M1tr3;
M1tr5;
M1tr6")</f>
        <v>M1tr1;
M1tr2;
M1tr3;
M1tr5;
M1tr6</v>
      </c>
      <c r="T930" s="42"/>
      <c r="U930" s="42" t="b">
        <f>IFERROR(__xludf.DUMMYFUNCTION("""COMPUTED_VALUE"""),FALSE)</f>
        <v>0</v>
      </c>
      <c r="V930" s="42"/>
      <c r="W930" s="42"/>
      <c r="X930" s="42"/>
      <c r="Y930" s="42"/>
      <c r="Z930" s="42"/>
      <c r="AA930" s="42"/>
      <c r="AB930" s="42" t="str">
        <f>IFERROR(__xludf.DUMMYFUNCTION("""COMPUTED_VALUE"""),"allen institute")</f>
        <v>allen institute</v>
      </c>
      <c r="AC930" s="42" t="str">
        <f>IFERROR(__xludf.DUMMYFUNCTION("""COMPUTED_VALUE"""),"DHBA")</f>
        <v>DHBA</v>
      </c>
      <c r="AD930" s="42"/>
      <c r="AE930" s="42"/>
      <c r="AF930" s="9"/>
      <c r="AG930" s="9"/>
      <c r="AH930" s="42"/>
      <c r="AI930" s="42"/>
      <c r="AJ930" s="42"/>
      <c r="AK930" s="42"/>
      <c r="AL930" s="42"/>
      <c r="AM930" s="42"/>
      <c r="AN930" s="42"/>
      <c r="AO930" s="63" t="str">
        <f>IFERROR(__xludf.DUMMYFUNCTION("IF(ISBLANK(A930),,IF(ISBLANK(S930), A930&amp;"";"", TEXTJOIN(CHAR(10), TRUE, A930&amp;"";"", ARRAYFORMULA(VLOOKUP(SPLIT(S930, "";"" &amp; CHAR(10)), $A:$AO, 41, FALSE)))))"),"M1tr;
M1tr1;
M1tr2;
M1tr3;
M1tr5;
M1tr6;")</f>
        <v>M1tr;
M1tr1;
M1tr2;
M1tr3;
M1tr5;
M1tr6;</v>
      </c>
      <c r="AP930" s="89"/>
    </row>
    <row r="931">
      <c r="A931" s="151" t="str">
        <f>IFERROR(__xludf.DUMMYFUNCTION("""COMPUTED_VALUE"""),"M1tr1")</f>
        <v>M1tr1</v>
      </c>
      <c r="B931" s="42" t="str">
        <f>IFERROR(__xludf.DUMMYFUNCTION("""COMPUTED_VALUE"""),"DHBA")</f>
        <v>DHBA</v>
      </c>
      <c r="C931" s="42" t="str">
        <f>IFERROR(__xludf.DUMMYFUNCTION("""COMPUTED_VALUE"""),"layer I of area M1tr")</f>
        <v>layer I of area M1tr</v>
      </c>
      <c r="D931" s="42">
        <f>IFERROR(__xludf.DUMMYFUNCTION("""COMPUTED_VALUE"""),874.0)</f>
        <v>874</v>
      </c>
      <c r="E931" s="39" t="str">
        <f>IFERROR(__xludf.DUMMYFUNCTION("""COMPUTED_VALUE"""),"layer I of area M1tr")</f>
        <v>layer I of area M1tr</v>
      </c>
      <c r="F931" s="9" t="str">
        <f>IFERROR(__xludf.DUMMYFUNCTION("""COMPUTED_VALUE"""),"Br")</f>
        <v>Br</v>
      </c>
      <c r="G931" s="9" t="str">
        <f>IFERROR(__xludf.DUMMYFUNCTION("""COMPUTED_VALUE"""),"F")</f>
        <v>F</v>
      </c>
      <c r="H931" s="9" t="str">
        <f>IFERROR(__xludf.DUMMYFUNCTION("""COMPUTED_VALUE"""),"FGM")</f>
        <v>FGM</v>
      </c>
      <c r="I931" s="9" t="str">
        <f>IFERROR(__xludf.DUMMYFUNCTION("""COMPUTED_VALUE"""),"Tel")</f>
        <v>Tel</v>
      </c>
      <c r="J931" s="9" t="str">
        <f>IFERROR(__xludf.DUMMYFUNCTION("""COMPUTED_VALUE"""),"Cx")</f>
        <v>Cx</v>
      </c>
      <c r="K931" s="9" t="str">
        <f>IFERROR(__xludf.DUMMYFUNCTION("""COMPUTED_VALUE"""),"NCx")</f>
        <v>NCx</v>
      </c>
      <c r="L931" s="9" t="str">
        <f>IFERROR(__xludf.DUMMYFUNCTION("""COMPUTED_VALUE"""),"FCx")</f>
        <v>FCx</v>
      </c>
      <c r="M931" s="9" t="str">
        <f>IFERROR(__xludf.DUMMYFUNCTION("""COMPUTED_VALUE"""),"PoFC")</f>
        <v>PoFC</v>
      </c>
      <c r="N931" s="9" t="str">
        <f>IFERROR(__xludf.DUMMYFUNCTION("""COMPUTED_VALUE"""),"M1C")</f>
        <v>M1C</v>
      </c>
      <c r="O931" s="9" t="str">
        <f>IFERROR(__xludf.DUMMYFUNCTION("""COMPUTED_VALUE"""),"M1tr")</f>
        <v>M1tr</v>
      </c>
      <c r="P931" s="9" t="str">
        <f>IFERROR(__xludf.DUMMYFUNCTION("""COMPUTED_VALUE"""),"M1tr1")</f>
        <v>M1tr1</v>
      </c>
      <c r="Q931" s="9"/>
      <c r="R931" s="9"/>
      <c r="S931" s="42"/>
      <c r="T931" s="42"/>
      <c r="U931" s="42"/>
      <c r="V931" s="42"/>
      <c r="W931" s="42"/>
      <c r="X931" s="42"/>
      <c r="Y931" s="42"/>
      <c r="Z931" s="42"/>
      <c r="AA931" s="42"/>
      <c r="AB931" s="42" t="str">
        <f>IFERROR(__xludf.DUMMYFUNCTION("""COMPUTED_VALUE"""),"allen institute")</f>
        <v>allen institute</v>
      </c>
      <c r="AC931" s="42" t="str">
        <f>IFERROR(__xludf.DUMMYFUNCTION("""COMPUTED_VALUE"""),"DHBA")</f>
        <v>DHBA</v>
      </c>
      <c r="AD931" s="42"/>
      <c r="AE931" s="42"/>
      <c r="AF931" s="9"/>
      <c r="AG931" s="9"/>
      <c r="AH931" s="42"/>
      <c r="AI931" s="42"/>
      <c r="AJ931" s="42"/>
      <c r="AK931" s="42"/>
      <c r="AL931" s="42"/>
      <c r="AM931" s="42"/>
      <c r="AN931" s="42"/>
      <c r="AO931" s="63" t="str">
        <f>IFERROR(__xludf.DUMMYFUNCTION("IF(ISBLANK(A931),,IF(ISBLANK(S931), A931&amp;"";"", TEXTJOIN(CHAR(10), TRUE, A931&amp;"";"", ARRAYFORMULA(VLOOKUP(SPLIT(S931, "";"" &amp; CHAR(10)), $A:$AO, 41, FALSE)))))"),"M1tr1;")</f>
        <v>M1tr1;</v>
      </c>
      <c r="AP931" s="89"/>
    </row>
    <row r="932">
      <c r="A932" s="151" t="str">
        <f>IFERROR(__xludf.DUMMYFUNCTION("""COMPUTED_VALUE"""),"M1tr2")</f>
        <v>M1tr2</v>
      </c>
      <c r="B932" s="42" t="str">
        <f>IFERROR(__xludf.DUMMYFUNCTION("""COMPUTED_VALUE"""),"DHBA")</f>
        <v>DHBA</v>
      </c>
      <c r="C932" s="42" t="str">
        <f>IFERROR(__xludf.DUMMYFUNCTION("""COMPUTED_VALUE"""),"layer II of area M1tr")</f>
        <v>layer II of area M1tr</v>
      </c>
      <c r="D932" s="42">
        <f>IFERROR(__xludf.DUMMYFUNCTION("""COMPUTED_VALUE"""),875.0)</f>
        <v>875</v>
      </c>
      <c r="E932" s="39" t="str">
        <f>IFERROR(__xludf.DUMMYFUNCTION("""COMPUTED_VALUE"""),"layer II of area M1tr")</f>
        <v>layer II of area M1tr</v>
      </c>
      <c r="F932" s="9" t="str">
        <f>IFERROR(__xludf.DUMMYFUNCTION("""COMPUTED_VALUE"""),"Br")</f>
        <v>Br</v>
      </c>
      <c r="G932" s="9" t="str">
        <f>IFERROR(__xludf.DUMMYFUNCTION("""COMPUTED_VALUE"""),"F")</f>
        <v>F</v>
      </c>
      <c r="H932" s="9" t="str">
        <f>IFERROR(__xludf.DUMMYFUNCTION("""COMPUTED_VALUE"""),"FGM")</f>
        <v>FGM</v>
      </c>
      <c r="I932" s="9" t="str">
        <f>IFERROR(__xludf.DUMMYFUNCTION("""COMPUTED_VALUE"""),"Tel")</f>
        <v>Tel</v>
      </c>
      <c r="J932" s="9" t="str">
        <f>IFERROR(__xludf.DUMMYFUNCTION("""COMPUTED_VALUE"""),"Cx")</f>
        <v>Cx</v>
      </c>
      <c r="K932" s="9" t="str">
        <f>IFERROR(__xludf.DUMMYFUNCTION("""COMPUTED_VALUE"""),"NCx")</f>
        <v>NCx</v>
      </c>
      <c r="L932" s="9" t="str">
        <f>IFERROR(__xludf.DUMMYFUNCTION("""COMPUTED_VALUE"""),"FCx")</f>
        <v>FCx</v>
      </c>
      <c r="M932" s="9" t="str">
        <f>IFERROR(__xludf.DUMMYFUNCTION("""COMPUTED_VALUE"""),"PoFC")</f>
        <v>PoFC</v>
      </c>
      <c r="N932" s="9" t="str">
        <f>IFERROR(__xludf.DUMMYFUNCTION("""COMPUTED_VALUE"""),"M1C")</f>
        <v>M1C</v>
      </c>
      <c r="O932" s="9" t="str">
        <f>IFERROR(__xludf.DUMMYFUNCTION("""COMPUTED_VALUE"""),"M1tr")</f>
        <v>M1tr</v>
      </c>
      <c r="P932" s="9" t="str">
        <f>IFERROR(__xludf.DUMMYFUNCTION("""COMPUTED_VALUE"""),"M1tr2")</f>
        <v>M1tr2</v>
      </c>
      <c r="Q932" s="9"/>
      <c r="R932" s="9"/>
      <c r="S932" s="42"/>
      <c r="T932" s="42"/>
      <c r="U932" s="42"/>
      <c r="V932" s="42"/>
      <c r="W932" s="42"/>
      <c r="X932" s="42"/>
      <c r="Y932" s="42"/>
      <c r="Z932" s="42"/>
      <c r="AA932" s="42"/>
      <c r="AB932" s="42" t="str">
        <f>IFERROR(__xludf.DUMMYFUNCTION("""COMPUTED_VALUE"""),"allen institute")</f>
        <v>allen institute</v>
      </c>
      <c r="AC932" s="42" t="str">
        <f>IFERROR(__xludf.DUMMYFUNCTION("""COMPUTED_VALUE"""),"DHBA")</f>
        <v>DHBA</v>
      </c>
      <c r="AD932" s="42"/>
      <c r="AE932" s="42"/>
      <c r="AF932" s="9"/>
      <c r="AG932" s="9"/>
      <c r="AH932" s="42"/>
      <c r="AI932" s="42"/>
      <c r="AJ932" s="42"/>
      <c r="AK932" s="42"/>
      <c r="AL932" s="42"/>
      <c r="AM932" s="42"/>
      <c r="AN932" s="42"/>
      <c r="AO932" s="63" t="str">
        <f>IFERROR(__xludf.DUMMYFUNCTION("IF(ISBLANK(A932),,IF(ISBLANK(S932), A932&amp;"";"", TEXTJOIN(CHAR(10), TRUE, A932&amp;"";"", ARRAYFORMULA(VLOOKUP(SPLIT(S932, "";"" &amp; CHAR(10)), $A:$AO, 41, FALSE)))))"),"M1tr2;")</f>
        <v>M1tr2;</v>
      </c>
      <c r="AP932" s="89"/>
    </row>
    <row r="933">
      <c r="A933" s="151" t="str">
        <f>IFERROR(__xludf.DUMMYFUNCTION("""COMPUTED_VALUE"""),"M1tr3")</f>
        <v>M1tr3</v>
      </c>
      <c r="B933" s="42" t="str">
        <f>IFERROR(__xludf.DUMMYFUNCTION("""COMPUTED_VALUE"""),"DHBA")</f>
        <v>DHBA</v>
      </c>
      <c r="C933" s="42" t="str">
        <f>IFERROR(__xludf.DUMMYFUNCTION("""COMPUTED_VALUE"""),"layer III of area M1tr")</f>
        <v>layer III of area M1tr</v>
      </c>
      <c r="D933" s="42">
        <f>IFERROR(__xludf.DUMMYFUNCTION("""COMPUTED_VALUE"""),876.0)</f>
        <v>876</v>
      </c>
      <c r="E933" s="39" t="str">
        <f>IFERROR(__xludf.DUMMYFUNCTION("""COMPUTED_VALUE"""),"layer III of area M1tr")</f>
        <v>layer III of area M1tr</v>
      </c>
      <c r="F933" s="9" t="str">
        <f>IFERROR(__xludf.DUMMYFUNCTION("""COMPUTED_VALUE"""),"Br")</f>
        <v>Br</v>
      </c>
      <c r="G933" s="9" t="str">
        <f>IFERROR(__xludf.DUMMYFUNCTION("""COMPUTED_VALUE"""),"F")</f>
        <v>F</v>
      </c>
      <c r="H933" s="9" t="str">
        <f>IFERROR(__xludf.DUMMYFUNCTION("""COMPUTED_VALUE"""),"FGM")</f>
        <v>FGM</v>
      </c>
      <c r="I933" s="9" t="str">
        <f>IFERROR(__xludf.DUMMYFUNCTION("""COMPUTED_VALUE"""),"Tel")</f>
        <v>Tel</v>
      </c>
      <c r="J933" s="9" t="str">
        <f>IFERROR(__xludf.DUMMYFUNCTION("""COMPUTED_VALUE"""),"Cx")</f>
        <v>Cx</v>
      </c>
      <c r="K933" s="9" t="str">
        <f>IFERROR(__xludf.DUMMYFUNCTION("""COMPUTED_VALUE"""),"NCx")</f>
        <v>NCx</v>
      </c>
      <c r="L933" s="9" t="str">
        <f>IFERROR(__xludf.DUMMYFUNCTION("""COMPUTED_VALUE"""),"FCx")</f>
        <v>FCx</v>
      </c>
      <c r="M933" s="9" t="str">
        <f>IFERROR(__xludf.DUMMYFUNCTION("""COMPUTED_VALUE"""),"PoFC")</f>
        <v>PoFC</v>
      </c>
      <c r="N933" s="9" t="str">
        <f>IFERROR(__xludf.DUMMYFUNCTION("""COMPUTED_VALUE"""),"M1C")</f>
        <v>M1C</v>
      </c>
      <c r="O933" s="9" t="str">
        <f>IFERROR(__xludf.DUMMYFUNCTION("""COMPUTED_VALUE"""),"M1tr")</f>
        <v>M1tr</v>
      </c>
      <c r="P933" s="9" t="str">
        <f>IFERROR(__xludf.DUMMYFUNCTION("""COMPUTED_VALUE"""),"M1tr3")</f>
        <v>M1tr3</v>
      </c>
      <c r="Q933" s="9"/>
      <c r="R933" s="9"/>
      <c r="S933" s="42"/>
      <c r="T933" s="42"/>
      <c r="U933" s="42"/>
      <c r="V933" s="42"/>
      <c r="W933" s="42"/>
      <c r="X933" s="42"/>
      <c r="Y933" s="42"/>
      <c r="Z933" s="42"/>
      <c r="AA933" s="42"/>
      <c r="AB933" s="42" t="str">
        <f>IFERROR(__xludf.DUMMYFUNCTION("""COMPUTED_VALUE"""),"allen institute")</f>
        <v>allen institute</v>
      </c>
      <c r="AC933" s="42" t="str">
        <f>IFERROR(__xludf.DUMMYFUNCTION("""COMPUTED_VALUE"""),"DHBA")</f>
        <v>DHBA</v>
      </c>
      <c r="AD933" s="42"/>
      <c r="AE933" s="42"/>
      <c r="AF933" s="9"/>
      <c r="AG933" s="9"/>
      <c r="AH933" s="42"/>
      <c r="AI933" s="42"/>
      <c r="AJ933" s="42"/>
      <c r="AK933" s="42"/>
      <c r="AL933" s="42"/>
      <c r="AM933" s="42"/>
      <c r="AN933" s="42"/>
      <c r="AO933" s="63" t="str">
        <f>IFERROR(__xludf.DUMMYFUNCTION("IF(ISBLANK(A933),,IF(ISBLANK(S933), A933&amp;"";"", TEXTJOIN(CHAR(10), TRUE, A933&amp;"";"", ARRAYFORMULA(VLOOKUP(SPLIT(S933, "";"" &amp; CHAR(10)), $A:$AO, 41, FALSE)))))"),"M1tr3;")</f>
        <v>M1tr3;</v>
      </c>
      <c r="AP933" s="89"/>
    </row>
    <row r="934">
      <c r="A934" s="151" t="str">
        <f>IFERROR(__xludf.DUMMYFUNCTION("""COMPUTED_VALUE"""),"M1tr5")</f>
        <v>M1tr5</v>
      </c>
      <c r="B934" s="42" t="str">
        <f>IFERROR(__xludf.DUMMYFUNCTION("""COMPUTED_VALUE"""),"DHBA")</f>
        <v>DHBA</v>
      </c>
      <c r="C934" s="42" t="str">
        <f>IFERROR(__xludf.DUMMYFUNCTION("""COMPUTED_VALUE"""),"layer V of area M1tr")</f>
        <v>layer V of area M1tr</v>
      </c>
      <c r="D934" s="42">
        <f>IFERROR(__xludf.DUMMYFUNCTION("""COMPUTED_VALUE"""),877.0)</f>
        <v>877</v>
      </c>
      <c r="E934" s="39" t="str">
        <f>IFERROR(__xludf.DUMMYFUNCTION("""COMPUTED_VALUE"""),"layer V of area M1tr")</f>
        <v>layer V of area M1tr</v>
      </c>
      <c r="F934" s="9" t="str">
        <f>IFERROR(__xludf.DUMMYFUNCTION("""COMPUTED_VALUE"""),"Br")</f>
        <v>Br</v>
      </c>
      <c r="G934" s="9" t="str">
        <f>IFERROR(__xludf.DUMMYFUNCTION("""COMPUTED_VALUE"""),"F")</f>
        <v>F</v>
      </c>
      <c r="H934" s="9" t="str">
        <f>IFERROR(__xludf.DUMMYFUNCTION("""COMPUTED_VALUE"""),"FGM")</f>
        <v>FGM</v>
      </c>
      <c r="I934" s="9" t="str">
        <f>IFERROR(__xludf.DUMMYFUNCTION("""COMPUTED_VALUE"""),"Tel")</f>
        <v>Tel</v>
      </c>
      <c r="J934" s="9" t="str">
        <f>IFERROR(__xludf.DUMMYFUNCTION("""COMPUTED_VALUE"""),"Cx")</f>
        <v>Cx</v>
      </c>
      <c r="K934" s="9" t="str">
        <f>IFERROR(__xludf.DUMMYFUNCTION("""COMPUTED_VALUE"""),"NCx")</f>
        <v>NCx</v>
      </c>
      <c r="L934" s="9" t="str">
        <f>IFERROR(__xludf.DUMMYFUNCTION("""COMPUTED_VALUE"""),"FCx")</f>
        <v>FCx</v>
      </c>
      <c r="M934" s="9" t="str">
        <f>IFERROR(__xludf.DUMMYFUNCTION("""COMPUTED_VALUE"""),"PoFC")</f>
        <v>PoFC</v>
      </c>
      <c r="N934" s="9" t="str">
        <f>IFERROR(__xludf.DUMMYFUNCTION("""COMPUTED_VALUE"""),"M1C")</f>
        <v>M1C</v>
      </c>
      <c r="O934" s="9" t="str">
        <f>IFERROR(__xludf.DUMMYFUNCTION("""COMPUTED_VALUE"""),"M1tr")</f>
        <v>M1tr</v>
      </c>
      <c r="P934" s="9" t="str">
        <f>IFERROR(__xludf.DUMMYFUNCTION("""COMPUTED_VALUE"""),"M1tr5")</f>
        <v>M1tr5</v>
      </c>
      <c r="Q934" s="9"/>
      <c r="R934" s="9"/>
      <c r="S934" s="42"/>
      <c r="T934" s="42"/>
      <c r="U934" s="42"/>
      <c r="V934" s="42"/>
      <c r="W934" s="42"/>
      <c r="X934" s="42"/>
      <c r="Y934" s="42"/>
      <c r="Z934" s="42"/>
      <c r="AA934" s="42"/>
      <c r="AB934" s="42" t="str">
        <f>IFERROR(__xludf.DUMMYFUNCTION("""COMPUTED_VALUE"""),"allen institute")</f>
        <v>allen institute</v>
      </c>
      <c r="AC934" s="42" t="str">
        <f>IFERROR(__xludf.DUMMYFUNCTION("""COMPUTED_VALUE"""),"DHBA")</f>
        <v>DHBA</v>
      </c>
      <c r="AD934" s="42"/>
      <c r="AE934" s="42"/>
      <c r="AF934" s="9"/>
      <c r="AG934" s="9"/>
      <c r="AH934" s="42"/>
      <c r="AI934" s="42"/>
      <c r="AJ934" s="42"/>
      <c r="AK934" s="42"/>
      <c r="AL934" s="42"/>
      <c r="AM934" s="42"/>
      <c r="AN934" s="42"/>
      <c r="AO934" s="63" t="str">
        <f>IFERROR(__xludf.DUMMYFUNCTION("IF(ISBLANK(A934),,IF(ISBLANK(S934), A934&amp;"";"", TEXTJOIN(CHAR(10), TRUE, A934&amp;"";"", ARRAYFORMULA(VLOOKUP(SPLIT(S934, "";"" &amp; CHAR(10)), $A:$AO, 41, FALSE)))))"),"M1tr5;")</f>
        <v>M1tr5;</v>
      </c>
      <c r="AP934" s="89"/>
    </row>
    <row r="935">
      <c r="A935" s="151" t="str">
        <f>IFERROR(__xludf.DUMMYFUNCTION("""COMPUTED_VALUE"""),"M1tr6")</f>
        <v>M1tr6</v>
      </c>
      <c r="B935" s="42" t="str">
        <f>IFERROR(__xludf.DUMMYFUNCTION("""COMPUTED_VALUE"""),"DHBA")</f>
        <v>DHBA</v>
      </c>
      <c r="C935" s="42" t="str">
        <f>IFERROR(__xludf.DUMMYFUNCTION("""COMPUTED_VALUE"""),"layer VI of area M1tr")</f>
        <v>layer VI of area M1tr</v>
      </c>
      <c r="D935" s="42">
        <f>IFERROR(__xludf.DUMMYFUNCTION("""COMPUTED_VALUE"""),878.0)</f>
        <v>878</v>
      </c>
      <c r="E935" s="39" t="str">
        <f>IFERROR(__xludf.DUMMYFUNCTION("""COMPUTED_VALUE"""),"layer VI of area M1tr")</f>
        <v>layer VI of area M1tr</v>
      </c>
      <c r="F935" s="9" t="str">
        <f>IFERROR(__xludf.DUMMYFUNCTION("""COMPUTED_VALUE"""),"Br")</f>
        <v>Br</v>
      </c>
      <c r="G935" s="9" t="str">
        <f>IFERROR(__xludf.DUMMYFUNCTION("""COMPUTED_VALUE"""),"F")</f>
        <v>F</v>
      </c>
      <c r="H935" s="9" t="str">
        <f>IFERROR(__xludf.DUMMYFUNCTION("""COMPUTED_VALUE"""),"FGM")</f>
        <v>FGM</v>
      </c>
      <c r="I935" s="9" t="str">
        <f>IFERROR(__xludf.DUMMYFUNCTION("""COMPUTED_VALUE"""),"Tel")</f>
        <v>Tel</v>
      </c>
      <c r="J935" s="9" t="str">
        <f>IFERROR(__xludf.DUMMYFUNCTION("""COMPUTED_VALUE"""),"Cx")</f>
        <v>Cx</v>
      </c>
      <c r="K935" s="9" t="str">
        <f>IFERROR(__xludf.DUMMYFUNCTION("""COMPUTED_VALUE"""),"NCx")</f>
        <v>NCx</v>
      </c>
      <c r="L935" s="9" t="str">
        <f>IFERROR(__xludf.DUMMYFUNCTION("""COMPUTED_VALUE"""),"FCx")</f>
        <v>FCx</v>
      </c>
      <c r="M935" s="9" t="str">
        <f>IFERROR(__xludf.DUMMYFUNCTION("""COMPUTED_VALUE"""),"PoFC")</f>
        <v>PoFC</v>
      </c>
      <c r="N935" s="9" t="str">
        <f>IFERROR(__xludf.DUMMYFUNCTION("""COMPUTED_VALUE"""),"M1C")</f>
        <v>M1C</v>
      </c>
      <c r="O935" s="9" t="str">
        <f>IFERROR(__xludf.DUMMYFUNCTION("""COMPUTED_VALUE"""),"M1tr")</f>
        <v>M1tr</v>
      </c>
      <c r="P935" s="9" t="str">
        <f>IFERROR(__xludf.DUMMYFUNCTION("""COMPUTED_VALUE"""),"M1tr6")</f>
        <v>M1tr6</v>
      </c>
      <c r="Q935" s="9"/>
      <c r="R935" s="9"/>
      <c r="S935" s="42"/>
      <c r="T935" s="42"/>
      <c r="U935" s="42"/>
      <c r="V935" s="42"/>
      <c r="W935" s="42"/>
      <c r="X935" s="42"/>
      <c r="Y935" s="42"/>
      <c r="Z935" s="42"/>
      <c r="AA935" s="42"/>
      <c r="AB935" s="42" t="str">
        <f>IFERROR(__xludf.DUMMYFUNCTION("""COMPUTED_VALUE"""),"allen institute")</f>
        <v>allen institute</v>
      </c>
      <c r="AC935" s="42" t="str">
        <f>IFERROR(__xludf.DUMMYFUNCTION("""COMPUTED_VALUE"""),"DHBA")</f>
        <v>DHBA</v>
      </c>
      <c r="AD935" s="42"/>
      <c r="AE935" s="42"/>
      <c r="AF935" s="9"/>
      <c r="AG935" s="9"/>
      <c r="AH935" s="42"/>
      <c r="AI935" s="42"/>
      <c r="AJ935" s="42"/>
      <c r="AK935" s="42"/>
      <c r="AL935" s="42"/>
      <c r="AM935" s="42"/>
      <c r="AN935" s="42"/>
      <c r="AO935" s="63" t="str">
        <f>IFERROR(__xludf.DUMMYFUNCTION("IF(ISBLANK(A935),,IF(ISBLANK(S935), A935&amp;"";"", TEXTJOIN(CHAR(10), TRUE, A935&amp;"";"", ARRAYFORMULA(VLOOKUP(SPLIT(S935, "";"" &amp; CHAR(10)), $A:$AO, 41, FALSE)))))"),"M1tr6;")</f>
        <v>M1tr6;</v>
      </c>
      <c r="AP935" s="89"/>
    </row>
    <row r="936">
      <c r="A936" s="151" t="str">
        <f>IFERROR(__xludf.DUMMYFUNCTION("""COMPUTED_VALUE"""),"M1lm")</f>
        <v>M1lm</v>
      </c>
      <c r="B936" s="42" t="str">
        <f>IFERROR(__xludf.DUMMYFUNCTION("""COMPUTED_VALUE"""),"DHBA")</f>
        <v>DHBA</v>
      </c>
      <c r="C936" s="42" t="str">
        <f>IFERROR(__xludf.DUMMYFUNCTION("""COMPUTED_VALUE"""),"lower limb region of M1")</f>
        <v>lower limb region of M1</v>
      </c>
      <c r="D936" s="42">
        <f>IFERROR(__xludf.DUMMYFUNCTION("""COMPUTED_VALUE"""),879.0)</f>
        <v>879</v>
      </c>
      <c r="E936" s="39" t="str">
        <f>IFERROR(__xludf.DUMMYFUNCTION("""COMPUTED_VALUE"""),"lower limb region of M1")</f>
        <v>lower limb region of M1</v>
      </c>
      <c r="F936" s="9" t="str">
        <f>IFERROR(__xludf.DUMMYFUNCTION("""COMPUTED_VALUE"""),"Br")</f>
        <v>Br</v>
      </c>
      <c r="G936" s="9" t="str">
        <f>IFERROR(__xludf.DUMMYFUNCTION("""COMPUTED_VALUE"""),"F")</f>
        <v>F</v>
      </c>
      <c r="H936" s="9" t="str">
        <f>IFERROR(__xludf.DUMMYFUNCTION("""COMPUTED_VALUE"""),"FGM")</f>
        <v>FGM</v>
      </c>
      <c r="I936" s="9" t="str">
        <f>IFERROR(__xludf.DUMMYFUNCTION("""COMPUTED_VALUE"""),"Tel")</f>
        <v>Tel</v>
      </c>
      <c r="J936" s="9" t="str">
        <f>IFERROR(__xludf.DUMMYFUNCTION("""COMPUTED_VALUE"""),"Cx")</f>
        <v>Cx</v>
      </c>
      <c r="K936" s="9" t="str">
        <f>IFERROR(__xludf.DUMMYFUNCTION("""COMPUTED_VALUE"""),"NCx")</f>
        <v>NCx</v>
      </c>
      <c r="L936" s="9" t="str">
        <f>IFERROR(__xludf.DUMMYFUNCTION("""COMPUTED_VALUE"""),"FCx")</f>
        <v>FCx</v>
      </c>
      <c r="M936" s="9" t="str">
        <f>IFERROR(__xludf.DUMMYFUNCTION("""COMPUTED_VALUE"""),"PoFC")</f>
        <v>PoFC</v>
      </c>
      <c r="N936" s="9" t="str">
        <f>IFERROR(__xludf.DUMMYFUNCTION("""COMPUTED_VALUE"""),"M1C")</f>
        <v>M1C</v>
      </c>
      <c r="O936" s="9" t="str">
        <f>IFERROR(__xludf.DUMMYFUNCTION("""COMPUTED_VALUE"""),"M1lm")</f>
        <v>M1lm</v>
      </c>
      <c r="P936" s="9"/>
      <c r="Q936" s="9"/>
      <c r="R936" s="9"/>
      <c r="S936" s="42" t="str">
        <f>IFERROR(__xludf.DUMMYFUNCTION("""COMPUTED_VALUE"""),"M1lm1;
M1lm2;
M1lm3;
M1lm5;
M1lm6")</f>
        <v>M1lm1;
M1lm2;
M1lm3;
M1lm5;
M1lm6</v>
      </c>
      <c r="T936" s="42"/>
      <c r="U936" s="42" t="b">
        <f>IFERROR(__xludf.DUMMYFUNCTION("""COMPUTED_VALUE"""),FALSE)</f>
        <v>0</v>
      </c>
      <c r="V936" s="42"/>
      <c r="W936" s="42"/>
      <c r="X936" s="42"/>
      <c r="Y936" s="42"/>
      <c r="Z936" s="42"/>
      <c r="AA936" s="42"/>
      <c r="AB936" s="42" t="str">
        <f>IFERROR(__xludf.DUMMYFUNCTION("""COMPUTED_VALUE"""),"allen institute")</f>
        <v>allen institute</v>
      </c>
      <c r="AC936" s="42" t="str">
        <f>IFERROR(__xludf.DUMMYFUNCTION("""COMPUTED_VALUE"""),"DHBA")</f>
        <v>DHBA</v>
      </c>
      <c r="AD936" s="42"/>
      <c r="AE936" s="42"/>
      <c r="AF936" s="9"/>
      <c r="AG936" s="9"/>
      <c r="AH936" s="42"/>
      <c r="AI936" s="42"/>
      <c r="AJ936" s="42"/>
      <c r="AK936" s="42"/>
      <c r="AL936" s="42"/>
      <c r="AM936" s="42"/>
      <c r="AN936" s="42"/>
      <c r="AO936" s="63" t="str">
        <f>IFERROR(__xludf.DUMMYFUNCTION("IF(ISBLANK(A936),,IF(ISBLANK(S936), A936&amp;"";"", TEXTJOIN(CHAR(10), TRUE, A936&amp;"";"", ARRAYFORMULA(VLOOKUP(SPLIT(S936, "";"" &amp; CHAR(10)), $A:$AO, 41, FALSE)))))"),"M1lm;
M1lm1;
M1lm2;
M1lm3;
M1lm5;
M1lm6;")</f>
        <v>M1lm;
M1lm1;
M1lm2;
M1lm3;
M1lm5;
M1lm6;</v>
      </c>
      <c r="AP936" s="89"/>
    </row>
    <row r="937">
      <c r="A937" s="151" t="str">
        <f>IFERROR(__xludf.DUMMYFUNCTION("""COMPUTED_VALUE"""),"M1lm1")</f>
        <v>M1lm1</v>
      </c>
      <c r="B937" s="42" t="str">
        <f>IFERROR(__xludf.DUMMYFUNCTION("""COMPUTED_VALUE"""),"DHBA")</f>
        <v>DHBA</v>
      </c>
      <c r="C937" s="42" t="str">
        <f>IFERROR(__xludf.DUMMYFUNCTION("""COMPUTED_VALUE"""),"layer I of area M1lm")</f>
        <v>layer I of area M1lm</v>
      </c>
      <c r="D937" s="42">
        <f>IFERROR(__xludf.DUMMYFUNCTION("""COMPUTED_VALUE"""),880.0)</f>
        <v>880</v>
      </c>
      <c r="E937" s="39" t="str">
        <f>IFERROR(__xludf.DUMMYFUNCTION("""COMPUTED_VALUE"""),"layer I of area M1lm")</f>
        <v>layer I of area M1lm</v>
      </c>
      <c r="F937" s="9" t="str">
        <f>IFERROR(__xludf.DUMMYFUNCTION("""COMPUTED_VALUE"""),"Br")</f>
        <v>Br</v>
      </c>
      <c r="G937" s="9" t="str">
        <f>IFERROR(__xludf.DUMMYFUNCTION("""COMPUTED_VALUE"""),"F")</f>
        <v>F</v>
      </c>
      <c r="H937" s="9" t="str">
        <f>IFERROR(__xludf.DUMMYFUNCTION("""COMPUTED_VALUE"""),"FGM")</f>
        <v>FGM</v>
      </c>
      <c r="I937" s="9" t="str">
        <f>IFERROR(__xludf.DUMMYFUNCTION("""COMPUTED_VALUE"""),"Tel")</f>
        <v>Tel</v>
      </c>
      <c r="J937" s="9" t="str">
        <f>IFERROR(__xludf.DUMMYFUNCTION("""COMPUTED_VALUE"""),"Cx")</f>
        <v>Cx</v>
      </c>
      <c r="K937" s="9" t="str">
        <f>IFERROR(__xludf.DUMMYFUNCTION("""COMPUTED_VALUE"""),"NCx")</f>
        <v>NCx</v>
      </c>
      <c r="L937" s="9" t="str">
        <f>IFERROR(__xludf.DUMMYFUNCTION("""COMPUTED_VALUE"""),"FCx")</f>
        <v>FCx</v>
      </c>
      <c r="M937" s="9" t="str">
        <f>IFERROR(__xludf.DUMMYFUNCTION("""COMPUTED_VALUE"""),"PoFC")</f>
        <v>PoFC</v>
      </c>
      <c r="N937" s="9" t="str">
        <f>IFERROR(__xludf.DUMMYFUNCTION("""COMPUTED_VALUE"""),"M1C")</f>
        <v>M1C</v>
      </c>
      <c r="O937" s="9" t="str">
        <f>IFERROR(__xludf.DUMMYFUNCTION("""COMPUTED_VALUE"""),"M1lm")</f>
        <v>M1lm</v>
      </c>
      <c r="P937" s="9" t="str">
        <f>IFERROR(__xludf.DUMMYFUNCTION("""COMPUTED_VALUE"""),"M1lm1")</f>
        <v>M1lm1</v>
      </c>
      <c r="Q937" s="9"/>
      <c r="R937" s="9"/>
      <c r="S937" s="42"/>
      <c r="T937" s="42"/>
      <c r="U937" s="159"/>
      <c r="V937" s="42"/>
      <c r="W937" s="42"/>
      <c r="X937" s="42"/>
      <c r="Y937" s="42"/>
      <c r="Z937" s="42"/>
      <c r="AA937" s="42"/>
      <c r="AB937" s="42" t="str">
        <f>IFERROR(__xludf.DUMMYFUNCTION("""COMPUTED_VALUE"""),"allen institute")</f>
        <v>allen institute</v>
      </c>
      <c r="AC937" s="42" t="str">
        <f>IFERROR(__xludf.DUMMYFUNCTION("""COMPUTED_VALUE"""),"DHBA")</f>
        <v>DHBA</v>
      </c>
      <c r="AD937" s="42"/>
      <c r="AE937" s="42"/>
      <c r="AF937" s="9"/>
      <c r="AG937" s="9"/>
      <c r="AH937" s="42"/>
      <c r="AI937" s="42"/>
      <c r="AJ937" s="42"/>
      <c r="AK937" s="42"/>
      <c r="AL937" s="42"/>
      <c r="AM937" s="42"/>
      <c r="AN937" s="42"/>
      <c r="AO937" s="63" t="str">
        <f>IFERROR(__xludf.DUMMYFUNCTION("IF(ISBLANK(A937),,IF(ISBLANK(S937), A937&amp;"";"", TEXTJOIN(CHAR(10), TRUE, A937&amp;"";"", ARRAYFORMULA(VLOOKUP(SPLIT(S937, "";"" &amp; CHAR(10)), $A:$AO, 41, FALSE)))))"),"M1lm1;")</f>
        <v>M1lm1;</v>
      </c>
      <c r="AP937" s="89"/>
    </row>
    <row r="938">
      <c r="A938" s="151" t="str">
        <f>IFERROR(__xludf.DUMMYFUNCTION("""COMPUTED_VALUE"""),"M1lm2")</f>
        <v>M1lm2</v>
      </c>
      <c r="B938" s="42" t="str">
        <f>IFERROR(__xludf.DUMMYFUNCTION("""COMPUTED_VALUE"""),"DHBA")</f>
        <v>DHBA</v>
      </c>
      <c r="C938" s="42" t="str">
        <f>IFERROR(__xludf.DUMMYFUNCTION("""COMPUTED_VALUE"""),"layer II of area M1lm")</f>
        <v>layer II of area M1lm</v>
      </c>
      <c r="D938" s="42">
        <f>IFERROR(__xludf.DUMMYFUNCTION("""COMPUTED_VALUE"""),881.0)</f>
        <v>881</v>
      </c>
      <c r="E938" s="39" t="str">
        <f>IFERROR(__xludf.DUMMYFUNCTION("""COMPUTED_VALUE"""),"layer II of area M1lm")</f>
        <v>layer II of area M1lm</v>
      </c>
      <c r="F938" s="9" t="str">
        <f>IFERROR(__xludf.DUMMYFUNCTION("""COMPUTED_VALUE"""),"Br")</f>
        <v>Br</v>
      </c>
      <c r="G938" s="9" t="str">
        <f>IFERROR(__xludf.DUMMYFUNCTION("""COMPUTED_VALUE"""),"F")</f>
        <v>F</v>
      </c>
      <c r="H938" s="9" t="str">
        <f>IFERROR(__xludf.DUMMYFUNCTION("""COMPUTED_VALUE"""),"FGM")</f>
        <v>FGM</v>
      </c>
      <c r="I938" s="9" t="str">
        <f>IFERROR(__xludf.DUMMYFUNCTION("""COMPUTED_VALUE"""),"Tel")</f>
        <v>Tel</v>
      </c>
      <c r="J938" s="9" t="str">
        <f>IFERROR(__xludf.DUMMYFUNCTION("""COMPUTED_VALUE"""),"Cx")</f>
        <v>Cx</v>
      </c>
      <c r="K938" s="9" t="str">
        <f>IFERROR(__xludf.DUMMYFUNCTION("""COMPUTED_VALUE"""),"NCx")</f>
        <v>NCx</v>
      </c>
      <c r="L938" s="9" t="str">
        <f>IFERROR(__xludf.DUMMYFUNCTION("""COMPUTED_VALUE"""),"FCx")</f>
        <v>FCx</v>
      </c>
      <c r="M938" s="9" t="str">
        <f>IFERROR(__xludf.DUMMYFUNCTION("""COMPUTED_VALUE"""),"PoFC")</f>
        <v>PoFC</v>
      </c>
      <c r="N938" s="9" t="str">
        <f>IFERROR(__xludf.DUMMYFUNCTION("""COMPUTED_VALUE"""),"M1C")</f>
        <v>M1C</v>
      </c>
      <c r="O938" s="9" t="str">
        <f>IFERROR(__xludf.DUMMYFUNCTION("""COMPUTED_VALUE"""),"M1lm")</f>
        <v>M1lm</v>
      </c>
      <c r="P938" s="9" t="str">
        <f>IFERROR(__xludf.DUMMYFUNCTION("""COMPUTED_VALUE"""),"M1lm2")</f>
        <v>M1lm2</v>
      </c>
      <c r="Q938" s="9"/>
      <c r="R938" s="9"/>
      <c r="S938" s="42"/>
      <c r="T938" s="42"/>
      <c r="U938" s="159"/>
      <c r="V938" s="42"/>
      <c r="W938" s="42"/>
      <c r="X938" s="42"/>
      <c r="Y938" s="42"/>
      <c r="Z938" s="42"/>
      <c r="AA938" s="42"/>
      <c r="AB938" s="42" t="str">
        <f>IFERROR(__xludf.DUMMYFUNCTION("""COMPUTED_VALUE"""),"allen institute")</f>
        <v>allen institute</v>
      </c>
      <c r="AC938" s="42" t="str">
        <f>IFERROR(__xludf.DUMMYFUNCTION("""COMPUTED_VALUE"""),"DHBA")</f>
        <v>DHBA</v>
      </c>
      <c r="AD938" s="42"/>
      <c r="AE938" s="42"/>
      <c r="AF938" s="9"/>
      <c r="AG938" s="9"/>
      <c r="AH938" s="42"/>
      <c r="AI938" s="42"/>
      <c r="AJ938" s="42"/>
      <c r="AK938" s="42"/>
      <c r="AL938" s="42"/>
      <c r="AM938" s="42"/>
      <c r="AN938" s="42"/>
      <c r="AO938" s="63" t="str">
        <f>IFERROR(__xludf.DUMMYFUNCTION("IF(ISBLANK(A938),,IF(ISBLANK(S938), A938&amp;"";"", TEXTJOIN(CHAR(10), TRUE, A938&amp;"";"", ARRAYFORMULA(VLOOKUP(SPLIT(S938, "";"" &amp; CHAR(10)), $A:$AO, 41, FALSE)))))"),"M1lm2;")</f>
        <v>M1lm2;</v>
      </c>
      <c r="AP938" s="89"/>
    </row>
    <row r="939">
      <c r="A939" s="151" t="str">
        <f>IFERROR(__xludf.DUMMYFUNCTION("""COMPUTED_VALUE"""),"M1lm3")</f>
        <v>M1lm3</v>
      </c>
      <c r="B939" s="42" t="str">
        <f>IFERROR(__xludf.DUMMYFUNCTION("""COMPUTED_VALUE"""),"DHBA")</f>
        <v>DHBA</v>
      </c>
      <c r="C939" s="42" t="str">
        <f>IFERROR(__xludf.DUMMYFUNCTION("""COMPUTED_VALUE"""),"layer III of area M1lm")</f>
        <v>layer III of area M1lm</v>
      </c>
      <c r="D939" s="42">
        <f>IFERROR(__xludf.DUMMYFUNCTION("""COMPUTED_VALUE"""),882.0)</f>
        <v>882</v>
      </c>
      <c r="E939" s="39" t="str">
        <f>IFERROR(__xludf.DUMMYFUNCTION("""COMPUTED_VALUE"""),"layer III of area M1lm")</f>
        <v>layer III of area M1lm</v>
      </c>
      <c r="F939" s="9" t="str">
        <f>IFERROR(__xludf.DUMMYFUNCTION("""COMPUTED_VALUE"""),"Br")</f>
        <v>Br</v>
      </c>
      <c r="G939" s="9" t="str">
        <f>IFERROR(__xludf.DUMMYFUNCTION("""COMPUTED_VALUE"""),"F")</f>
        <v>F</v>
      </c>
      <c r="H939" s="9" t="str">
        <f>IFERROR(__xludf.DUMMYFUNCTION("""COMPUTED_VALUE"""),"FGM")</f>
        <v>FGM</v>
      </c>
      <c r="I939" s="9" t="str">
        <f>IFERROR(__xludf.DUMMYFUNCTION("""COMPUTED_VALUE"""),"Tel")</f>
        <v>Tel</v>
      </c>
      <c r="J939" s="9" t="str">
        <f>IFERROR(__xludf.DUMMYFUNCTION("""COMPUTED_VALUE"""),"Cx")</f>
        <v>Cx</v>
      </c>
      <c r="K939" s="9" t="str">
        <f>IFERROR(__xludf.DUMMYFUNCTION("""COMPUTED_VALUE"""),"NCx")</f>
        <v>NCx</v>
      </c>
      <c r="L939" s="9" t="str">
        <f>IFERROR(__xludf.DUMMYFUNCTION("""COMPUTED_VALUE"""),"FCx")</f>
        <v>FCx</v>
      </c>
      <c r="M939" s="9" t="str">
        <f>IFERROR(__xludf.DUMMYFUNCTION("""COMPUTED_VALUE"""),"PoFC")</f>
        <v>PoFC</v>
      </c>
      <c r="N939" s="9" t="str">
        <f>IFERROR(__xludf.DUMMYFUNCTION("""COMPUTED_VALUE"""),"M1C")</f>
        <v>M1C</v>
      </c>
      <c r="O939" s="9" t="str">
        <f>IFERROR(__xludf.DUMMYFUNCTION("""COMPUTED_VALUE"""),"M1lm")</f>
        <v>M1lm</v>
      </c>
      <c r="P939" s="9" t="str">
        <f>IFERROR(__xludf.DUMMYFUNCTION("""COMPUTED_VALUE"""),"M1lm3")</f>
        <v>M1lm3</v>
      </c>
      <c r="Q939" s="9"/>
      <c r="R939" s="9"/>
      <c r="S939" s="42"/>
      <c r="T939" s="42"/>
      <c r="U939" s="159"/>
      <c r="V939" s="42"/>
      <c r="W939" s="42"/>
      <c r="X939" s="42"/>
      <c r="Y939" s="42"/>
      <c r="Z939" s="42"/>
      <c r="AA939" s="42"/>
      <c r="AB939" s="42" t="str">
        <f>IFERROR(__xludf.DUMMYFUNCTION("""COMPUTED_VALUE"""),"allen institute")</f>
        <v>allen institute</v>
      </c>
      <c r="AC939" s="42" t="str">
        <f>IFERROR(__xludf.DUMMYFUNCTION("""COMPUTED_VALUE"""),"DHBA")</f>
        <v>DHBA</v>
      </c>
      <c r="AD939" s="42"/>
      <c r="AE939" s="42"/>
      <c r="AF939" s="9"/>
      <c r="AG939" s="9"/>
      <c r="AH939" s="42"/>
      <c r="AI939" s="42"/>
      <c r="AJ939" s="42"/>
      <c r="AK939" s="42"/>
      <c r="AL939" s="42"/>
      <c r="AM939" s="42"/>
      <c r="AN939" s="42"/>
      <c r="AO939" s="63" t="str">
        <f>IFERROR(__xludf.DUMMYFUNCTION("IF(ISBLANK(A939),,IF(ISBLANK(S939), A939&amp;"";"", TEXTJOIN(CHAR(10), TRUE, A939&amp;"";"", ARRAYFORMULA(VLOOKUP(SPLIT(S939, "";"" &amp; CHAR(10)), $A:$AO, 41, FALSE)))))"),"M1lm3;")</f>
        <v>M1lm3;</v>
      </c>
      <c r="AP939" s="89"/>
    </row>
    <row r="940">
      <c r="A940" s="151" t="str">
        <f>IFERROR(__xludf.DUMMYFUNCTION("""COMPUTED_VALUE"""),"M1lm5")</f>
        <v>M1lm5</v>
      </c>
      <c r="B940" s="42" t="str">
        <f>IFERROR(__xludf.DUMMYFUNCTION("""COMPUTED_VALUE"""),"DHBA")</f>
        <v>DHBA</v>
      </c>
      <c r="C940" s="42" t="str">
        <f>IFERROR(__xludf.DUMMYFUNCTION("""COMPUTED_VALUE"""),"layer V of area M1lm")</f>
        <v>layer V of area M1lm</v>
      </c>
      <c r="D940" s="42">
        <f>IFERROR(__xludf.DUMMYFUNCTION("""COMPUTED_VALUE"""),883.0)</f>
        <v>883</v>
      </c>
      <c r="E940" s="39" t="str">
        <f>IFERROR(__xludf.DUMMYFUNCTION("""COMPUTED_VALUE"""),"layer V of area M1lm")</f>
        <v>layer V of area M1lm</v>
      </c>
      <c r="F940" s="9" t="str">
        <f>IFERROR(__xludf.DUMMYFUNCTION("""COMPUTED_VALUE"""),"Br")</f>
        <v>Br</v>
      </c>
      <c r="G940" s="9" t="str">
        <f>IFERROR(__xludf.DUMMYFUNCTION("""COMPUTED_VALUE"""),"F")</f>
        <v>F</v>
      </c>
      <c r="H940" s="9" t="str">
        <f>IFERROR(__xludf.DUMMYFUNCTION("""COMPUTED_VALUE"""),"FGM")</f>
        <v>FGM</v>
      </c>
      <c r="I940" s="9" t="str">
        <f>IFERROR(__xludf.DUMMYFUNCTION("""COMPUTED_VALUE"""),"Tel")</f>
        <v>Tel</v>
      </c>
      <c r="J940" s="9" t="str">
        <f>IFERROR(__xludf.DUMMYFUNCTION("""COMPUTED_VALUE"""),"Cx")</f>
        <v>Cx</v>
      </c>
      <c r="K940" s="9" t="str">
        <f>IFERROR(__xludf.DUMMYFUNCTION("""COMPUTED_VALUE"""),"NCx")</f>
        <v>NCx</v>
      </c>
      <c r="L940" s="9" t="str">
        <f>IFERROR(__xludf.DUMMYFUNCTION("""COMPUTED_VALUE"""),"FCx")</f>
        <v>FCx</v>
      </c>
      <c r="M940" s="9" t="str">
        <f>IFERROR(__xludf.DUMMYFUNCTION("""COMPUTED_VALUE"""),"PoFC")</f>
        <v>PoFC</v>
      </c>
      <c r="N940" s="9" t="str">
        <f>IFERROR(__xludf.DUMMYFUNCTION("""COMPUTED_VALUE"""),"M1C")</f>
        <v>M1C</v>
      </c>
      <c r="O940" s="9" t="str">
        <f>IFERROR(__xludf.DUMMYFUNCTION("""COMPUTED_VALUE"""),"M1lm")</f>
        <v>M1lm</v>
      </c>
      <c r="P940" s="9" t="str">
        <f>IFERROR(__xludf.DUMMYFUNCTION("""COMPUTED_VALUE"""),"M1lm5")</f>
        <v>M1lm5</v>
      </c>
      <c r="Q940" s="9"/>
      <c r="R940" s="9"/>
      <c r="S940" s="42"/>
      <c r="T940" s="42"/>
      <c r="U940" s="159"/>
      <c r="V940" s="42"/>
      <c r="W940" s="42"/>
      <c r="X940" s="42"/>
      <c r="Y940" s="42"/>
      <c r="Z940" s="42"/>
      <c r="AA940" s="42"/>
      <c r="AB940" s="42" t="str">
        <f>IFERROR(__xludf.DUMMYFUNCTION("""COMPUTED_VALUE"""),"allen institute")</f>
        <v>allen institute</v>
      </c>
      <c r="AC940" s="42" t="str">
        <f>IFERROR(__xludf.DUMMYFUNCTION("""COMPUTED_VALUE"""),"DHBA")</f>
        <v>DHBA</v>
      </c>
      <c r="AD940" s="42"/>
      <c r="AE940" s="42"/>
      <c r="AF940" s="9"/>
      <c r="AG940" s="9"/>
      <c r="AH940" s="42"/>
      <c r="AI940" s="42"/>
      <c r="AJ940" s="42"/>
      <c r="AK940" s="42"/>
      <c r="AL940" s="42"/>
      <c r="AM940" s="42"/>
      <c r="AN940" s="42"/>
      <c r="AO940" s="63" t="str">
        <f>IFERROR(__xludf.DUMMYFUNCTION("IF(ISBLANK(A940),,IF(ISBLANK(S940), A940&amp;"";"", TEXTJOIN(CHAR(10), TRUE, A940&amp;"";"", ARRAYFORMULA(VLOOKUP(SPLIT(S940, "";"" &amp; CHAR(10)), $A:$AO, 41, FALSE)))))"),"M1lm5;")</f>
        <v>M1lm5;</v>
      </c>
      <c r="AP940" s="89"/>
    </row>
    <row r="941">
      <c r="A941" s="151" t="str">
        <f>IFERROR(__xludf.DUMMYFUNCTION("""COMPUTED_VALUE"""),"M1lm6")</f>
        <v>M1lm6</v>
      </c>
      <c r="B941" s="42" t="str">
        <f>IFERROR(__xludf.DUMMYFUNCTION("""COMPUTED_VALUE"""),"DHBA")</f>
        <v>DHBA</v>
      </c>
      <c r="C941" s="42" t="str">
        <f>IFERROR(__xludf.DUMMYFUNCTION("""COMPUTED_VALUE"""),"layer VI of area M1lm")</f>
        <v>layer VI of area M1lm</v>
      </c>
      <c r="D941" s="42">
        <f>IFERROR(__xludf.DUMMYFUNCTION("""COMPUTED_VALUE"""),884.0)</f>
        <v>884</v>
      </c>
      <c r="E941" s="39" t="str">
        <f>IFERROR(__xludf.DUMMYFUNCTION("""COMPUTED_VALUE"""),"layer VI of area M1lm")</f>
        <v>layer VI of area M1lm</v>
      </c>
      <c r="F941" s="9" t="str">
        <f>IFERROR(__xludf.DUMMYFUNCTION("""COMPUTED_VALUE"""),"Br")</f>
        <v>Br</v>
      </c>
      <c r="G941" s="9" t="str">
        <f>IFERROR(__xludf.DUMMYFUNCTION("""COMPUTED_VALUE"""),"F")</f>
        <v>F</v>
      </c>
      <c r="H941" s="9" t="str">
        <f>IFERROR(__xludf.DUMMYFUNCTION("""COMPUTED_VALUE"""),"FGM")</f>
        <v>FGM</v>
      </c>
      <c r="I941" s="9" t="str">
        <f>IFERROR(__xludf.DUMMYFUNCTION("""COMPUTED_VALUE"""),"Tel")</f>
        <v>Tel</v>
      </c>
      <c r="J941" s="9" t="str">
        <f>IFERROR(__xludf.DUMMYFUNCTION("""COMPUTED_VALUE"""),"Cx")</f>
        <v>Cx</v>
      </c>
      <c r="K941" s="9" t="str">
        <f>IFERROR(__xludf.DUMMYFUNCTION("""COMPUTED_VALUE"""),"NCx")</f>
        <v>NCx</v>
      </c>
      <c r="L941" s="9" t="str">
        <f>IFERROR(__xludf.DUMMYFUNCTION("""COMPUTED_VALUE"""),"FCx")</f>
        <v>FCx</v>
      </c>
      <c r="M941" s="9" t="str">
        <f>IFERROR(__xludf.DUMMYFUNCTION("""COMPUTED_VALUE"""),"PoFC")</f>
        <v>PoFC</v>
      </c>
      <c r="N941" s="9" t="str">
        <f>IFERROR(__xludf.DUMMYFUNCTION("""COMPUTED_VALUE"""),"M1C")</f>
        <v>M1C</v>
      </c>
      <c r="O941" s="9" t="str">
        <f>IFERROR(__xludf.DUMMYFUNCTION("""COMPUTED_VALUE"""),"M1lm")</f>
        <v>M1lm</v>
      </c>
      <c r="P941" s="9" t="str">
        <f>IFERROR(__xludf.DUMMYFUNCTION("""COMPUTED_VALUE"""),"M1lm6")</f>
        <v>M1lm6</v>
      </c>
      <c r="Q941" s="9"/>
      <c r="R941" s="9"/>
      <c r="S941" s="42"/>
      <c r="T941" s="42"/>
      <c r="U941" s="159"/>
      <c r="V941" s="42"/>
      <c r="W941" s="42"/>
      <c r="X941" s="42"/>
      <c r="Y941" s="42"/>
      <c r="Z941" s="42"/>
      <c r="AA941" s="42"/>
      <c r="AB941" s="42" t="str">
        <f>IFERROR(__xludf.DUMMYFUNCTION("""COMPUTED_VALUE"""),"allen institute")</f>
        <v>allen institute</v>
      </c>
      <c r="AC941" s="42" t="str">
        <f>IFERROR(__xludf.DUMMYFUNCTION("""COMPUTED_VALUE"""),"DHBA")</f>
        <v>DHBA</v>
      </c>
      <c r="AD941" s="42"/>
      <c r="AE941" s="42"/>
      <c r="AF941" s="9"/>
      <c r="AG941" s="9"/>
      <c r="AH941" s="42"/>
      <c r="AI941" s="42"/>
      <c r="AJ941" s="42"/>
      <c r="AK941" s="42"/>
      <c r="AL941" s="42"/>
      <c r="AM941" s="42"/>
      <c r="AN941" s="42"/>
      <c r="AO941" s="63" t="str">
        <f>IFERROR(__xludf.DUMMYFUNCTION("IF(ISBLANK(A941),,IF(ISBLANK(S941), A941&amp;"";"", TEXTJOIN(CHAR(10), TRUE, A941&amp;"";"", ARRAYFORMULA(VLOOKUP(SPLIT(S941, "";"" &amp; CHAR(10)), $A:$AO, 41, FALSE)))))"),"M1lm6;")</f>
        <v>M1lm6;</v>
      </c>
      <c r="AP941" s="89"/>
    </row>
    <row r="942">
      <c r="A942" s="151" t="str">
        <f>IFERROR(__xludf.DUMMYFUNCTION("""COMPUTED_VALUE"""),"PMC")</f>
        <v>PMC</v>
      </c>
      <c r="B942" s="42" t="str">
        <f>IFERROR(__xludf.DUMMYFUNCTION("""COMPUTED_VALUE"""),"DHBA")</f>
        <v>DHBA</v>
      </c>
      <c r="C942" s="42" t="str">
        <f>IFERROR(__xludf.DUMMYFUNCTION("""COMPUTED_VALUE"""),"premotor cortex (area 6)")</f>
        <v>premotor cortex (area 6)</v>
      </c>
      <c r="D942" s="42">
        <f>IFERROR(__xludf.DUMMYFUNCTION("""COMPUTED_VALUE"""),885.0)</f>
        <v>885</v>
      </c>
      <c r="E942" s="39" t="str">
        <f>IFERROR(__xludf.DUMMYFUNCTION("""COMPUTED_VALUE"""),"premotor cortex (area 6)")</f>
        <v>premotor cortex (area 6)</v>
      </c>
      <c r="F942" s="9" t="str">
        <f>IFERROR(__xludf.DUMMYFUNCTION("""COMPUTED_VALUE"""),"Br")</f>
        <v>Br</v>
      </c>
      <c r="G942" s="9" t="str">
        <f>IFERROR(__xludf.DUMMYFUNCTION("""COMPUTED_VALUE"""),"F")</f>
        <v>F</v>
      </c>
      <c r="H942" s="9" t="str">
        <f>IFERROR(__xludf.DUMMYFUNCTION("""COMPUTED_VALUE"""),"FGM")</f>
        <v>FGM</v>
      </c>
      <c r="I942" s="9" t="str">
        <f>IFERROR(__xludf.DUMMYFUNCTION("""COMPUTED_VALUE"""),"Tel")</f>
        <v>Tel</v>
      </c>
      <c r="J942" s="9" t="str">
        <f>IFERROR(__xludf.DUMMYFUNCTION("""COMPUTED_VALUE"""),"Cx")</f>
        <v>Cx</v>
      </c>
      <c r="K942" s="9" t="str">
        <f>IFERROR(__xludf.DUMMYFUNCTION("""COMPUTED_VALUE"""),"NCx")</f>
        <v>NCx</v>
      </c>
      <c r="L942" s="9" t="str">
        <f>IFERROR(__xludf.DUMMYFUNCTION("""COMPUTED_VALUE"""),"FCx")</f>
        <v>FCx</v>
      </c>
      <c r="M942" s="9" t="str">
        <f>IFERROR(__xludf.DUMMYFUNCTION("""COMPUTED_VALUE"""),"PoFC")</f>
        <v>PoFC</v>
      </c>
      <c r="N942" s="9" t="str">
        <f>IFERROR(__xludf.DUMMYFUNCTION("""COMPUTED_VALUE"""),"PMC")</f>
        <v>PMC</v>
      </c>
      <c r="O942" s="9"/>
      <c r="P942" s="9"/>
      <c r="Q942" s="9"/>
      <c r="R942" s="9"/>
      <c r="S942" s="42" t="str">
        <f>IFERROR(__xludf.DUMMYFUNCTION("""COMPUTED_VALUE"""),"A6ld;
A6lv;
A6m")</f>
        <v>A6ld;
A6lv;
A6m</v>
      </c>
      <c r="T942" s="42"/>
      <c r="U942" s="42" t="b">
        <f>IFERROR(__xludf.DUMMYFUNCTION("""COMPUTED_VALUE"""),FALSE)</f>
        <v>0</v>
      </c>
      <c r="V942" s="42"/>
      <c r="W942" s="42"/>
      <c r="X942" s="42"/>
      <c r="Y942" s="42"/>
      <c r="Z942" s="42"/>
      <c r="AA942" s="42"/>
      <c r="AB942" s="42" t="str">
        <f>IFERROR(__xludf.DUMMYFUNCTION("""COMPUTED_VALUE"""),"allen institute")</f>
        <v>allen institute</v>
      </c>
      <c r="AC942" s="42" t="str">
        <f>IFERROR(__xludf.DUMMYFUNCTION("""COMPUTED_VALUE"""),"DHBA")</f>
        <v>DHBA</v>
      </c>
      <c r="AD942" s="42"/>
      <c r="AE942" s="42"/>
      <c r="AF942" s="9"/>
      <c r="AG942" s="9"/>
      <c r="AH942" s="42"/>
      <c r="AI942" s="42"/>
      <c r="AJ942" s="42"/>
      <c r="AK942" s="42"/>
      <c r="AL942" s="42"/>
      <c r="AM942" s="42"/>
      <c r="AN942" s="42"/>
      <c r="AO942" s="63" t="str">
        <f>IFERROR(__xludf.DUMMYFUNCTION("IF(ISBLANK(A942),,IF(ISBLANK(S942), A942&amp;"";"", TEXTJOIN(CHAR(10), TRUE, A942&amp;"";"", ARRAYFORMULA(VLOOKUP(SPLIT(S942, "";"" &amp; CHAR(10)), $A:$AO, 41, FALSE)))))"),"PMC;
A6ld;
A6ld1;
A6ld2;
A6ld3;
A6ld5;
A6ld6;
A6lv;
A6lv1;
A6lv2;
A6lv3;
A6lv5;
A6lv6;
A6m;
A6m1;
A6m2;
A6m3;
A6m5;
A6m6;")</f>
        <v>PMC;
A6ld;
A6ld1;
A6ld2;
A6ld3;
A6ld5;
A6ld6;
A6lv;
A6lv1;
A6lv2;
A6lv3;
A6lv5;
A6lv6;
A6m;
A6m1;
A6m2;
A6m3;
A6m5;
A6m6;</v>
      </c>
      <c r="AP942" s="89"/>
    </row>
    <row r="943">
      <c r="A943" s="151" t="str">
        <f>IFERROR(__xludf.DUMMYFUNCTION("""COMPUTED_VALUE"""),"A6ld")</f>
        <v>A6ld</v>
      </c>
      <c r="B943" s="42" t="str">
        <f>IFERROR(__xludf.DUMMYFUNCTION("""COMPUTED_VALUE"""),"DHBA")</f>
        <v>DHBA</v>
      </c>
      <c r="C943" s="42" t="str">
        <f>IFERROR(__xludf.DUMMYFUNCTION("""COMPUTED_VALUE"""),"laterodorsal subdivision of area 6")</f>
        <v>laterodorsal subdivision of area 6</v>
      </c>
      <c r="D943" s="42">
        <f>IFERROR(__xludf.DUMMYFUNCTION("""COMPUTED_VALUE"""),886.0)</f>
        <v>886</v>
      </c>
      <c r="E943" s="39" t="str">
        <f>IFERROR(__xludf.DUMMYFUNCTION("""COMPUTED_VALUE"""),"laterodorsal subdivision of area 6")</f>
        <v>laterodorsal subdivision of area 6</v>
      </c>
      <c r="F943" s="9" t="str">
        <f>IFERROR(__xludf.DUMMYFUNCTION("""COMPUTED_VALUE"""),"Br")</f>
        <v>Br</v>
      </c>
      <c r="G943" s="9" t="str">
        <f>IFERROR(__xludf.DUMMYFUNCTION("""COMPUTED_VALUE"""),"F")</f>
        <v>F</v>
      </c>
      <c r="H943" s="9" t="str">
        <f>IFERROR(__xludf.DUMMYFUNCTION("""COMPUTED_VALUE"""),"FGM")</f>
        <v>FGM</v>
      </c>
      <c r="I943" s="9" t="str">
        <f>IFERROR(__xludf.DUMMYFUNCTION("""COMPUTED_VALUE"""),"Tel")</f>
        <v>Tel</v>
      </c>
      <c r="J943" s="9" t="str">
        <f>IFERROR(__xludf.DUMMYFUNCTION("""COMPUTED_VALUE"""),"Cx")</f>
        <v>Cx</v>
      </c>
      <c r="K943" s="9" t="str">
        <f>IFERROR(__xludf.DUMMYFUNCTION("""COMPUTED_VALUE"""),"NCx")</f>
        <v>NCx</v>
      </c>
      <c r="L943" s="9" t="str">
        <f>IFERROR(__xludf.DUMMYFUNCTION("""COMPUTED_VALUE"""),"FCx")</f>
        <v>FCx</v>
      </c>
      <c r="M943" s="9" t="str">
        <f>IFERROR(__xludf.DUMMYFUNCTION("""COMPUTED_VALUE"""),"PoFC")</f>
        <v>PoFC</v>
      </c>
      <c r="N943" s="9" t="str">
        <f>IFERROR(__xludf.DUMMYFUNCTION("""COMPUTED_VALUE"""),"PMC")</f>
        <v>PMC</v>
      </c>
      <c r="O943" s="9" t="str">
        <f>IFERROR(__xludf.DUMMYFUNCTION("""COMPUTED_VALUE"""),"A6ld")</f>
        <v>A6ld</v>
      </c>
      <c r="P943" s="9"/>
      <c r="Q943" s="9"/>
      <c r="R943" s="9"/>
      <c r="S943" s="42" t="str">
        <f>IFERROR(__xludf.DUMMYFUNCTION("""COMPUTED_VALUE"""),"A6ld1;
A6ld2;
A6ld3;
A6ld5;
A6ld6")</f>
        <v>A6ld1;
A6ld2;
A6ld3;
A6ld5;
A6ld6</v>
      </c>
      <c r="T943" s="42"/>
      <c r="U943" s="159" t="b">
        <f>IFERROR(__xludf.DUMMYFUNCTION("""COMPUTED_VALUE"""),FALSE)</f>
        <v>0</v>
      </c>
      <c r="V943" s="42"/>
      <c r="W943" s="42"/>
      <c r="X943" s="42"/>
      <c r="Y943" s="42"/>
      <c r="Z943" s="42"/>
      <c r="AA943" s="42"/>
      <c r="AB943" s="42" t="str">
        <f>IFERROR(__xludf.DUMMYFUNCTION("""COMPUTED_VALUE"""),"allen institute")</f>
        <v>allen institute</v>
      </c>
      <c r="AC943" s="42" t="str">
        <f>IFERROR(__xludf.DUMMYFUNCTION("""COMPUTED_VALUE"""),"DHBA")</f>
        <v>DHBA</v>
      </c>
      <c r="AD943" s="42"/>
      <c r="AE943" s="42"/>
      <c r="AF943" s="9"/>
      <c r="AG943" s="9"/>
      <c r="AH943" s="42"/>
      <c r="AI943" s="42"/>
      <c r="AJ943" s="42"/>
      <c r="AK943" s="42"/>
      <c r="AL943" s="42"/>
      <c r="AM943" s="42"/>
      <c r="AN943" s="42"/>
      <c r="AO943" s="63" t="str">
        <f>IFERROR(__xludf.DUMMYFUNCTION("IF(ISBLANK(A943),,IF(ISBLANK(S943), A943&amp;"";"", TEXTJOIN(CHAR(10), TRUE, A943&amp;"";"", ARRAYFORMULA(VLOOKUP(SPLIT(S943, "";"" &amp; CHAR(10)), $A:$AO, 41, FALSE)))))"),"A6ld;
A6ld1;
A6ld2;
A6ld3;
A6ld5;
A6ld6;")</f>
        <v>A6ld;
A6ld1;
A6ld2;
A6ld3;
A6ld5;
A6ld6;</v>
      </c>
      <c r="AP943" s="89"/>
    </row>
    <row r="944">
      <c r="A944" s="151" t="str">
        <f>IFERROR(__xludf.DUMMYFUNCTION("""COMPUTED_VALUE"""),"A6ld1")</f>
        <v>A6ld1</v>
      </c>
      <c r="B944" s="42" t="str">
        <f>IFERROR(__xludf.DUMMYFUNCTION("""COMPUTED_VALUE"""),"DHBA")</f>
        <v>DHBA</v>
      </c>
      <c r="C944" s="42" t="str">
        <f>IFERROR(__xludf.DUMMYFUNCTION("""COMPUTED_VALUE"""),"layer I of area 6ld")</f>
        <v>layer I of area 6ld</v>
      </c>
      <c r="D944" s="42">
        <f>IFERROR(__xludf.DUMMYFUNCTION("""COMPUTED_VALUE"""),887.0)</f>
        <v>887</v>
      </c>
      <c r="E944" s="39" t="str">
        <f>IFERROR(__xludf.DUMMYFUNCTION("""COMPUTED_VALUE"""),"layer I of area 6ld")</f>
        <v>layer I of area 6ld</v>
      </c>
      <c r="F944" s="9" t="str">
        <f>IFERROR(__xludf.DUMMYFUNCTION("""COMPUTED_VALUE"""),"Br")</f>
        <v>Br</v>
      </c>
      <c r="G944" s="9" t="str">
        <f>IFERROR(__xludf.DUMMYFUNCTION("""COMPUTED_VALUE"""),"F")</f>
        <v>F</v>
      </c>
      <c r="H944" s="9" t="str">
        <f>IFERROR(__xludf.DUMMYFUNCTION("""COMPUTED_VALUE"""),"FGM")</f>
        <v>FGM</v>
      </c>
      <c r="I944" s="9" t="str">
        <f>IFERROR(__xludf.DUMMYFUNCTION("""COMPUTED_VALUE"""),"Tel")</f>
        <v>Tel</v>
      </c>
      <c r="J944" s="9" t="str">
        <f>IFERROR(__xludf.DUMMYFUNCTION("""COMPUTED_VALUE"""),"Cx")</f>
        <v>Cx</v>
      </c>
      <c r="K944" s="9" t="str">
        <f>IFERROR(__xludf.DUMMYFUNCTION("""COMPUTED_VALUE"""),"NCx")</f>
        <v>NCx</v>
      </c>
      <c r="L944" s="9" t="str">
        <f>IFERROR(__xludf.DUMMYFUNCTION("""COMPUTED_VALUE"""),"FCx")</f>
        <v>FCx</v>
      </c>
      <c r="M944" s="9" t="str">
        <f>IFERROR(__xludf.DUMMYFUNCTION("""COMPUTED_VALUE"""),"PoFC")</f>
        <v>PoFC</v>
      </c>
      <c r="N944" s="9" t="str">
        <f>IFERROR(__xludf.DUMMYFUNCTION("""COMPUTED_VALUE"""),"PMC")</f>
        <v>PMC</v>
      </c>
      <c r="O944" s="9" t="str">
        <f>IFERROR(__xludf.DUMMYFUNCTION("""COMPUTED_VALUE"""),"A6ld")</f>
        <v>A6ld</v>
      </c>
      <c r="P944" s="9" t="str">
        <f>IFERROR(__xludf.DUMMYFUNCTION("""COMPUTED_VALUE"""),"A6ld1")</f>
        <v>A6ld1</v>
      </c>
      <c r="Q944" s="9"/>
      <c r="R944" s="9"/>
      <c r="S944" s="42"/>
      <c r="T944" s="42"/>
      <c r="U944" s="42"/>
      <c r="V944" s="42"/>
      <c r="W944" s="42"/>
      <c r="X944" s="42"/>
      <c r="Y944" s="42"/>
      <c r="Z944" s="42"/>
      <c r="AA944" s="42"/>
      <c r="AB944" s="42" t="str">
        <f>IFERROR(__xludf.DUMMYFUNCTION("""COMPUTED_VALUE"""),"allen institute")</f>
        <v>allen institute</v>
      </c>
      <c r="AC944" s="42" t="str">
        <f>IFERROR(__xludf.DUMMYFUNCTION("""COMPUTED_VALUE"""),"DHBA")</f>
        <v>DHBA</v>
      </c>
      <c r="AD944" s="42"/>
      <c r="AE944" s="42"/>
      <c r="AF944" s="9"/>
      <c r="AG944" s="9"/>
      <c r="AH944" s="42"/>
      <c r="AI944" s="42"/>
      <c r="AJ944" s="42"/>
      <c r="AK944" s="42"/>
      <c r="AL944" s="42"/>
      <c r="AM944" s="42"/>
      <c r="AN944" s="42"/>
      <c r="AO944" s="63" t="str">
        <f>IFERROR(__xludf.DUMMYFUNCTION("IF(ISBLANK(A944),,IF(ISBLANK(S944), A944&amp;"";"", TEXTJOIN(CHAR(10), TRUE, A944&amp;"";"", ARRAYFORMULA(VLOOKUP(SPLIT(S944, "";"" &amp; CHAR(10)), $A:$AO, 41, FALSE)))))"),"A6ld1;")</f>
        <v>A6ld1;</v>
      </c>
      <c r="AP944" s="89"/>
    </row>
    <row r="945">
      <c r="A945" s="151" t="str">
        <f>IFERROR(__xludf.DUMMYFUNCTION("""COMPUTED_VALUE"""),"A6ld2")</f>
        <v>A6ld2</v>
      </c>
      <c r="B945" s="42" t="str">
        <f>IFERROR(__xludf.DUMMYFUNCTION("""COMPUTED_VALUE"""),"DHBA")</f>
        <v>DHBA</v>
      </c>
      <c r="C945" s="42" t="str">
        <f>IFERROR(__xludf.DUMMYFUNCTION("""COMPUTED_VALUE"""),"layer II of area 6ld")</f>
        <v>layer II of area 6ld</v>
      </c>
      <c r="D945" s="42">
        <f>IFERROR(__xludf.DUMMYFUNCTION("""COMPUTED_VALUE"""),888.0)</f>
        <v>888</v>
      </c>
      <c r="E945" s="39" t="str">
        <f>IFERROR(__xludf.DUMMYFUNCTION("""COMPUTED_VALUE"""),"layer II of area 6ld")</f>
        <v>layer II of area 6ld</v>
      </c>
      <c r="F945" s="9" t="str">
        <f>IFERROR(__xludf.DUMMYFUNCTION("""COMPUTED_VALUE"""),"Br")</f>
        <v>Br</v>
      </c>
      <c r="G945" s="9" t="str">
        <f>IFERROR(__xludf.DUMMYFUNCTION("""COMPUTED_VALUE"""),"F")</f>
        <v>F</v>
      </c>
      <c r="H945" s="9" t="str">
        <f>IFERROR(__xludf.DUMMYFUNCTION("""COMPUTED_VALUE"""),"FGM")</f>
        <v>FGM</v>
      </c>
      <c r="I945" s="9" t="str">
        <f>IFERROR(__xludf.DUMMYFUNCTION("""COMPUTED_VALUE"""),"Tel")</f>
        <v>Tel</v>
      </c>
      <c r="J945" s="9" t="str">
        <f>IFERROR(__xludf.DUMMYFUNCTION("""COMPUTED_VALUE"""),"Cx")</f>
        <v>Cx</v>
      </c>
      <c r="K945" s="9" t="str">
        <f>IFERROR(__xludf.DUMMYFUNCTION("""COMPUTED_VALUE"""),"NCx")</f>
        <v>NCx</v>
      </c>
      <c r="L945" s="9" t="str">
        <f>IFERROR(__xludf.DUMMYFUNCTION("""COMPUTED_VALUE"""),"FCx")</f>
        <v>FCx</v>
      </c>
      <c r="M945" s="9" t="str">
        <f>IFERROR(__xludf.DUMMYFUNCTION("""COMPUTED_VALUE"""),"PoFC")</f>
        <v>PoFC</v>
      </c>
      <c r="N945" s="9" t="str">
        <f>IFERROR(__xludf.DUMMYFUNCTION("""COMPUTED_VALUE"""),"PMC")</f>
        <v>PMC</v>
      </c>
      <c r="O945" s="9" t="str">
        <f>IFERROR(__xludf.DUMMYFUNCTION("""COMPUTED_VALUE"""),"A6ld")</f>
        <v>A6ld</v>
      </c>
      <c r="P945" s="9" t="str">
        <f>IFERROR(__xludf.DUMMYFUNCTION("""COMPUTED_VALUE"""),"A6ld2")</f>
        <v>A6ld2</v>
      </c>
      <c r="Q945" s="9"/>
      <c r="R945" s="9"/>
      <c r="S945" s="42"/>
      <c r="T945" s="42"/>
      <c r="U945" s="42"/>
      <c r="V945" s="42"/>
      <c r="W945" s="42"/>
      <c r="X945" s="42"/>
      <c r="Y945" s="42"/>
      <c r="Z945" s="42"/>
      <c r="AA945" s="42"/>
      <c r="AB945" s="42" t="str">
        <f>IFERROR(__xludf.DUMMYFUNCTION("""COMPUTED_VALUE"""),"allen institute")</f>
        <v>allen institute</v>
      </c>
      <c r="AC945" s="42" t="str">
        <f>IFERROR(__xludf.DUMMYFUNCTION("""COMPUTED_VALUE"""),"DHBA")</f>
        <v>DHBA</v>
      </c>
      <c r="AD945" s="42"/>
      <c r="AE945" s="42"/>
      <c r="AF945" s="9"/>
      <c r="AG945" s="9"/>
      <c r="AH945" s="42"/>
      <c r="AI945" s="42"/>
      <c r="AJ945" s="42"/>
      <c r="AK945" s="42"/>
      <c r="AL945" s="42"/>
      <c r="AM945" s="42"/>
      <c r="AN945" s="42"/>
      <c r="AO945" s="63" t="str">
        <f>IFERROR(__xludf.DUMMYFUNCTION("IF(ISBLANK(A945),,IF(ISBLANK(S945), A945&amp;"";"", TEXTJOIN(CHAR(10), TRUE, A945&amp;"";"", ARRAYFORMULA(VLOOKUP(SPLIT(S945, "";"" &amp; CHAR(10)), $A:$AO, 41, FALSE)))))"),"A6ld2;")</f>
        <v>A6ld2;</v>
      </c>
      <c r="AP945" s="89"/>
    </row>
    <row r="946">
      <c r="A946" s="151" t="str">
        <f>IFERROR(__xludf.DUMMYFUNCTION("""COMPUTED_VALUE"""),"A6ld3")</f>
        <v>A6ld3</v>
      </c>
      <c r="B946" s="42" t="str">
        <f>IFERROR(__xludf.DUMMYFUNCTION("""COMPUTED_VALUE"""),"DHBA")</f>
        <v>DHBA</v>
      </c>
      <c r="C946" s="42" t="str">
        <f>IFERROR(__xludf.DUMMYFUNCTION("""COMPUTED_VALUE"""),"layer III of area 6ld")</f>
        <v>layer III of area 6ld</v>
      </c>
      <c r="D946" s="42">
        <f>IFERROR(__xludf.DUMMYFUNCTION("""COMPUTED_VALUE"""),889.0)</f>
        <v>889</v>
      </c>
      <c r="E946" s="39" t="str">
        <f>IFERROR(__xludf.DUMMYFUNCTION("""COMPUTED_VALUE"""),"layer III of area 6ld")</f>
        <v>layer III of area 6ld</v>
      </c>
      <c r="F946" s="9" t="str">
        <f>IFERROR(__xludf.DUMMYFUNCTION("""COMPUTED_VALUE"""),"Br")</f>
        <v>Br</v>
      </c>
      <c r="G946" s="9" t="str">
        <f>IFERROR(__xludf.DUMMYFUNCTION("""COMPUTED_VALUE"""),"F")</f>
        <v>F</v>
      </c>
      <c r="H946" s="9" t="str">
        <f>IFERROR(__xludf.DUMMYFUNCTION("""COMPUTED_VALUE"""),"FGM")</f>
        <v>FGM</v>
      </c>
      <c r="I946" s="9" t="str">
        <f>IFERROR(__xludf.DUMMYFUNCTION("""COMPUTED_VALUE"""),"Tel")</f>
        <v>Tel</v>
      </c>
      <c r="J946" s="9" t="str">
        <f>IFERROR(__xludf.DUMMYFUNCTION("""COMPUTED_VALUE"""),"Cx")</f>
        <v>Cx</v>
      </c>
      <c r="K946" s="9" t="str">
        <f>IFERROR(__xludf.DUMMYFUNCTION("""COMPUTED_VALUE"""),"NCx")</f>
        <v>NCx</v>
      </c>
      <c r="L946" s="9" t="str">
        <f>IFERROR(__xludf.DUMMYFUNCTION("""COMPUTED_VALUE"""),"FCx")</f>
        <v>FCx</v>
      </c>
      <c r="M946" s="9" t="str">
        <f>IFERROR(__xludf.DUMMYFUNCTION("""COMPUTED_VALUE"""),"PoFC")</f>
        <v>PoFC</v>
      </c>
      <c r="N946" s="9" t="str">
        <f>IFERROR(__xludf.DUMMYFUNCTION("""COMPUTED_VALUE"""),"PMC")</f>
        <v>PMC</v>
      </c>
      <c r="O946" s="9" t="str">
        <f>IFERROR(__xludf.DUMMYFUNCTION("""COMPUTED_VALUE"""),"A6ld")</f>
        <v>A6ld</v>
      </c>
      <c r="P946" s="9" t="str">
        <f>IFERROR(__xludf.DUMMYFUNCTION("""COMPUTED_VALUE"""),"A6ld3")</f>
        <v>A6ld3</v>
      </c>
      <c r="Q946" s="9"/>
      <c r="R946" s="9"/>
      <c r="S946" s="42"/>
      <c r="T946" s="42"/>
      <c r="U946" s="42"/>
      <c r="V946" s="42"/>
      <c r="W946" s="42"/>
      <c r="X946" s="42"/>
      <c r="Y946" s="42"/>
      <c r="Z946" s="42"/>
      <c r="AA946" s="42"/>
      <c r="AB946" s="42" t="str">
        <f>IFERROR(__xludf.DUMMYFUNCTION("""COMPUTED_VALUE"""),"allen institute")</f>
        <v>allen institute</v>
      </c>
      <c r="AC946" s="42" t="str">
        <f>IFERROR(__xludf.DUMMYFUNCTION("""COMPUTED_VALUE"""),"DHBA")</f>
        <v>DHBA</v>
      </c>
      <c r="AD946" s="42"/>
      <c r="AE946" s="42"/>
      <c r="AF946" s="9"/>
      <c r="AG946" s="9"/>
      <c r="AH946" s="42"/>
      <c r="AI946" s="42"/>
      <c r="AJ946" s="42"/>
      <c r="AK946" s="42"/>
      <c r="AL946" s="42"/>
      <c r="AM946" s="42"/>
      <c r="AN946" s="42"/>
      <c r="AO946" s="63" t="str">
        <f>IFERROR(__xludf.DUMMYFUNCTION("IF(ISBLANK(A946),,IF(ISBLANK(S946), A946&amp;"";"", TEXTJOIN(CHAR(10), TRUE, A946&amp;"";"", ARRAYFORMULA(VLOOKUP(SPLIT(S946, "";"" &amp; CHAR(10)), $A:$AO, 41, FALSE)))))"),"A6ld3;")</f>
        <v>A6ld3;</v>
      </c>
      <c r="AP946" s="89"/>
    </row>
    <row r="947">
      <c r="A947" s="151" t="str">
        <f>IFERROR(__xludf.DUMMYFUNCTION("""COMPUTED_VALUE"""),"A6ld5")</f>
        <v>A6ld5</v>
      </c>
      <c r="B947" s="42" t="str">
        <f>IFERROR(__xludf.DUMMYFUNCTION("""COMPUTED_VALUE"""),"DHBA")</f>
        <v>DHBA</v>
      </c>
      <c r="C947" s="42" t="str">
        <f>IFERROR(__xludf.DUMMYFUNCTION("""COMPUTED_VALUE"""),"layer V of area 6ld")</f>
        <v>layer V of area 6ld</v>
      </c>
      <c r="D947" s="42">
        <f>IFERROR(__xludf.DUMMYFUNCTION("""COMPUTED_VALUE"""),890.0)</f>
        <v>890</v>
      </c>
      <c r="E947" s="39" t="str">
        <f>IFERROR(__xludf.DUMMYFUNCTION("""COMPUTED_VALUE"""),"layer V of area 6ld")</f>
        <v>layer V of area 6ld</v>
      </c>
      <c r="F947" s="9" t="str">
        <f>IFERROR(__xludf.DUMMYFUNCTION("""COMPUTED_VALUE"""),"Br")</f>
        <v>Br</v>
      </c>
      <c r="G947" s="9" t="str">
        <f>IFERROR(__xludf.DUMMYFUNCTION("""COMPUTED_VALUE"""),"F")</f>
        <v>F</v>
      </c>
      <c r="H947" s="9" t="str">
        <f>IFERROR(__xludf.DUMMYFUNCTION("""COMPUTED_VALUE"""),"FGM")</f>
        <v>FGM</v>
      </c>
      <c r="I947" s="9" t="str">
        <f>IFERROR(__xludf.DUMMYFUNCTION("""COMPUTED_VALUE"""),"Tel")</f>
        <v>Tel</v>
      </c>
      <c r="J947" s="9" t="str">
        <f>IFERROR(__xludf.DUMMYFUNCTION("""COMPUTED_VALUE"""),"Cx")</f>
        <v>Cx</v>
      </c>
      <c r="K947" s="9" t="str">
        <f>IFERROR(__xludf.DUMMYFUNCTION("""COMPUTED_VALUE"""),"NCx")</f>
        <v>NCx</v>
      </c>
      <c r="L947" s="9" t="str">
        <f>IFERROR(__xludf.DUMMYFUNCTION("""COMPUTED_VALUE"""),"FCx")</f>
        <v>FCx</v>
      </c>
      <c r="M947" s="9" t="str">
        <f>IFERROR(__xludf.DUMMYFUNCTION("""COMPUTED_VALUE"""),"PoFC")</f>
        <v>PoFC</v>
      </c>
      <c r="N947" s="9" t="str">
        <f>IFERROR(__xludf.DUMMYFUNCTION("""COMPUTED_VALUE"""),"PMC")</f>
        <v>PMC</v>
      </c>
      <c r="O947" s="9" t="str">
        <f>IFERROR(__xludf.DUMMYFUNCTION("""COMPUTED_VALUE"""),"A6ld")</f>
        <v>A6ld</v>
      </c>
      <c r="P947" s="9" t="str">
        <f>IFERROR(__xludf.DUMMYFUNCTION("""COMPUTED_VALUE"""),"A6ld5")</f>
        <v>A6ld5</v>
      </c>
      <c r="Q947" s="9"/>
      <c r="R947" s="9"/>
      <c r="S947" s="42"/>
      <c r="T947" s="42"/>
      <c r="U947" s="159"/>
      <c r="V947" s="42"/>
      <c r="W947" s="42"/>
      <c r="X947" s="42"/>
      <c r="Y947" s="42"/>
      <c r="Z947" s="42"/>
      <c r="AA947" s="42"/>
      <c r="AB947" s="42" t="str">
        <f>IFERROR(__xludf.DUMMYFUNCTION("""COMPUTED_VALUE"""),"allen institute")</f>
        <v>allen institute</v>
      </c>
      <c r="AC947" s="42" t="str">
        <f>IFERROR(__xludf.DUMMYFUNCTION("""COMPUTED_VALUE"""),"DHBA")</f>
        <v>DHBA</v>
      </c>
      <c r="AD947" s="42"/>
      <c r="AE947" s="42"/>
      <c r="AF947" s="9"/>
      <c r="AG947" s="9"/>
      <c r="AH947" s="42"/>
      <c r="AI947" s="42"/>
      <c r="AJ947" s="42"/>
      <c r="AK947" s="42"/>
      <c r="AL947" s="42"/>
      <c r="AM947" s="42"/>
      <c r="AN947" s="42"/>
      <c r="AO947" s="63" t="str">
        <f>IFERROR(__xludf.DUMMYFUNCTION("IF(ISBLANK(A947),,IF(ISBLANK(S947), A947&amp;"";"", TEXTJOIN(CHAR(10), TRUE, A947&amp;"";"", ARRAYFORMULA(VLOOKUP(SPLIT(S947, "";"" &amp; CHAR(10)), $A:$AO, 41, FALSE)))))"),"A6ld5;")</f>
        <v>A6ld5;</v>
      </c>
      <c r="AP947" s="89"/>
    </row>
    <row r="948">
      <c r="A948" s="151" t="str">
        <f>IFERROR(__xludf.DUMMYFUNCTION("""COMPUTED_VALUE"""),"A6ld6")</f>
        <v>A6ld6</v>
      </c>
      <c r="B948" s="42" t="str">
        <f>IFERROR(__xludf.DUMMYFUNCTION("""COMPUTED_VALUE"""),"DHBA")</f>
        <v>DHBA</v>
      </c>
      <c r="C948" s="42" t="str">
        <f>IFERROR(__xludf.DUMMYFUNCTION("""COMPUTED_VALUE"""),"layer VI of area 6ld")</f>
        <v>layer VI of area 6ld</v>
      </c>
      <c r="D948" s="42">
        <f>IFERROR(__xludf.DUMMYFUNCTION("""COMPUTED_VALUE"""),891.0)</f>
        <v>891</v>
      </c>
      <c r="E948" s="39" t="str">
        <f>IFERROR(__xludf.DUMMYFUNCTION("""COMPUTED_VALUE"""),"layer VI of area 6ld")</f>
        <v>layer VI of area 6ld</v>
      </c>
      <c r="F948" s="9" t="str">
        <f>IFERROR(__xludf.DUMMYFUNCTION("""COMPUTED_VALUE"""),"Br")</f>
        <v>Br</v>
      </c>
      <c r="G948" s="9" t="str">
        <f>IFERROR(__xludf.DUMMYFUNCTION("""COMPUTED_VALUE"""),"F")</f>
        <v>F</v>
      </c>
      <c r="H948" s="9" t="str">
        <f>IFERROR(__xludf.DUMMYFUNCTION("""COMPUTED_VALUE"""),"FGM")</f>
        <v>FGM</v>
      </c>
      <c r="I948" s="9" t="str">
        <f>IFERROR(__xludf.DUMMYFUNCTION("""COMPUTED_VALUE"""),"Tel")</f>
        <v>Tel</v>
      </c>
      <c r="J948" s="9" t="str">
        <f>IFERROR(__xludf.DUMMYFUNCTION("""COMPUTED_VALUE"""),"Cx")</f>
        <v>Cx</v>
      </c>
      <c r="K948" s="9" t="str">
        <f>IFERROR(__xludf.DUMMYFUNCTION("""COMPUTED_VALUE"""),"NCx")</f>
        <v>NCx</v>
      </c>
      <c r="L948" s="9" t="str">
        <f>IFERROR(__xludf.DUMMYFUNCTION("""COMPUTED_VALUE"""),"FCx")</f>
        <v>FCx</v>
      </c>
      <c r="M948" s="9" t="str">
        <f>IFERROR(__xludf.DUMMYFUNCTION("""COMPUTED_VALUE"""),"PoFC")</f>
        <v>PoFC</v>
      </c>
      <c r="N948" s="9" t="str">
        <f>IFERROR(__xludf.DUMMYFUNCTION("""COMPUTED_VALUE"""),"PMC")</f>
        <v>PMC</v>
      </c>
      <c r="O948" s="9" t="str">
        <f>IFERROR(__xludf.DUMMYFUNCTION("""COMPUTED_VALUE"""),"A6ld")</f>
        <v>A6ld</v>
      </c>
      <c r="P948" s="9" t="str">
        <f>IFERROR(__xludf.DUMMYFUNCTION("""COMPUTED_VALUE"""),"A6ld6")</f>
        <v>A6ld6</v>
      </c>
      <c r="Q948" s="9"/>
      <c r="R948" s="9"/>
      <c r="S948" s="42"/>
      <c r="T948" s="42"/>
      <c r="U948" s="42"/>
      <c r="V948" s="42"/>
      <c r="W948" s="42"/>
      <c r="X948" s="42"/>
      <c r="Y948" s="42"/>
      <c r="Z948" s="42"/>
      <c r="AA948" s="42"/>
      <c r="AB948" s="42" t="str">
        <f>IFERROR(__xludf.DUMMYFUNCTION("""COMPUTED_VALUE"""),"allen institute")</f>
        <v>allen institute</v>
      </c>
      <c r="AC948" s="42" t="str">
        <f>IFERROR(__xludf.DUMMYFUNCTION("""COMPUTED_VALUE"""),"DHBA")</f>
        <v>DHBA</v>
      </c>
      <c r="AD948" s="42"/>
      <c r="AE948" s="42"/>
      <c r="AF948" s="9"/>
      <c r="AG948" s="9"/>
      <c r="AH948" s="42"/>
      <c r="AI948" s="42"/>
      <c r="AJ948" s="42"/>
      <c r="AK948" s="42"/>
      <c r="AL948" s="42"/>
      <c r="AM948" s="42"/>
      <c r="AN948" s="42"/>
      <c r="AO948" s="63" t="str">
        <f>IFERROR(__xludf.DUMMYFUNCTION("IF(ISBLANK(A948),,IF(ISBLANK(S948), A948&amp;"";"", TEXTJOIN(CHAR(10), TRUE, A948&amp;"";"", ARRAYFORMULA(VLOOKUP(SPLIT(S948, "";"" &amp; CHAR(10)), $A:$AO, 41, FALSE)))))"),"A6ld6;")</f>
        <v>A6ld6;</v>
      </c>
      <c r="AP948" s="89"/>
    </row>
    <row r="949">
      <c r="A949" s="151" t="str">
        <f>IFERROR(__xludf.DUMMYFUNCTION("""COMPUTED_VALUE"""),"A6lv")</f>
        <v>A6lv</v>
      </c>
      <c r="B949" s="42" t="str">
        <f>IFERROR(__xludf.DUMMYFUNCTION("""COMPUTED_VALUE"""),"DHBA")</f>
        <v>DHBA</v>
      </c>
      <c r="C949" s="42" t="str">
        <f>IFERROR(__xludf.DUMMYFUNCTION("""COMPUTED_VALUE"""),"lateroventral subdivision of area 6")</f>
        <v>lateroventral subdivision of area 6</v>
      </c>
      <c r="D949" s="42">
        <f>IFERROR(__xludf.DUMMYFUNCTION("""COMPUTED_VALUE"""),892.0)</f>
        <v>892</v>
      </c>
      <c r="E949" s="39" t="str">
        <f>IFERROR(__xludf.DUMMYFUNCTION("""COMPUTED_VALUE"""),"lateroventral subdivision of area 6")</f>
        <v>lateroventral subdivision of area 6</v>
      </c>
      <c r="F949" s="9" t="str">
        <f>IFERROR(__xludf.DUMMYFUNCTION("""COMPUTED_VALUE"""),"Br")</f>
        <v>Br</v>
      </c>
      <c r="G949" s="9" t="str">
        <f>IFERROR(__xludf.DUMMYFUNCTION("""COMPUTED_VALUE"""),"F")</f>
        <v>F</v>
      </c>
      <c r="H949" s="9" t="str">
        <f>IFERROR(__xludf.DUMMYFUNCTION("""COMPUTED_VALUE"""),"FGM")</f>
        <v>FGM</v>
      </c>
      <c r="I949" s="9" t="str">
        <f>IFERROR(__xludf.DUMMYFUNCTION("""COMPUTED_VALUE"""),"Tel")</f>
        <v>Tel</v>
      </c>
      <c r="J949" s="9" t="str">
        <f>IFERROR(__xludf.DUMMYFUNCTION("""COMPUTED_VALUE"""),"Cx")</f>
        <v>Cx</v>
      </c>
      <c r="K949" s="9" t="str">
        <f>IFERROR(__xludf.DUMMYFUNCTION("""COMPUTED_VALUE"""),"NCx")</f>
        <v>NCx</v>
      </c>
      <c r="L949" s="9" t="str">
        <f>IFERROR(__xludf.DUMMYFUNCTION("""COMPUTED_VALUE"""),"FCx")</f>
        <v>FCx</v>
      </c>
      <c r="M949" s="9" t="str">
        <f>IFERROR(__xludf.DUMMYFUNCTION("""COMPUTED_VALUE"""),"PoFC")</f>
        <v>PoFC</v>
      </c>
      <c r="N949" s="9" t="str">
        <f>IFERROR(__xludf.DUMMYFUNCTION("""COMPUTED_VALUE"""),"PMC")</f>
        <v>PMC</v>
      </c>
      <c r="O949" s="9" t="str">
        <f>IFERROR(__xludf.DUMMYFUNCTION("""COMPUTED_VALUE"""),"A6lv")</f>
        <v>A6lv</v>
      </c>
      <c r="P949" s="9"/>
      <c r="Q949" s="9"/>
      <c r="R949" s="9"/>
      <c r="S949" s="42" t="str">
        <f>IFERROR(__xludf.DUMMYFUNCTION("""COMPUTED_VALUE"""),"A6lv1;
A6lv2;
A6lv3;
A6lv5;
A6lv6")</f>
        <v>A6lv1;
A6lv2;
A6lv3;
A6lv5;
A6lv6</v>
      </c>
      <c r="T949" s="42"/>
      <c r="U949" s="42" t="b">
        <f>IFERROR(__xludf.DUMMYFUNCTION("""COMPUTED_VALUE"""),FALSE)</f>
        <v>0</v>
      </c>
      <c r="V949" s="42"/>
      <c r="W949" s="42"/>
      <c r="X949" s="42"/>
      <c r="Y949" s="42"/>
      <c r="Z949" s="42"/>
      <c r="AA949" s="42"/>
      <c r="AB949" s="42" t="str">
        <f>IFERROR(__xludf.DUMMYFUNCTION("""COMPUTED_VALUE"""),"allen institute")</f>
        <v>allen institute</v>
      </c>
      <c r="AC949" s="42" t="str">
        <f>IFERROR(__xludf.DUMMYFUNCTION("""COMPUTED_VALUE"""),"DHBA")</f>
        <v>DHBA</v>
      </c>
      <c r="AD949" s="42"/>
      <c r="AE949" s="42"/>
      <c r="AF949" s="9"/>
      <c r="AG949" s="9"/>
      <c r="AH949" s="42"/>
      <c r="AI949" s="42"/>
      <c r="AJ949" s="42"/>
      <c r="AK949" s="42"/>
      <c r="AL949" s="42"/>
      <c r="AM949" s="42"/>
      <c r="AN949" s="42"/>
      <c r="AO949" s="63" t="str">
        <f>IFERROR(__xludf.DUMMYFUNCTION("IF(ISBLANK(A949),,IF(ISBLANK(S949), A949&amp;"";"", TEXTJOIN(CHAR(10), TRUE, A949&amp;"";"", ARRAYFORMULA(VLOOKUP(SPLIT(S949, "";"" &amp; CHAR(10)), $A:$AO, 41, FALSE)))))"),"A6lv;
A6lv1;
A6lv2;
A6lv3;
A6lv5;
A6lv6;")</f>
        <v>A6lv;
A6lv1;
A6lv2;
A6lv3;
A6lv5;
A6lv6;</v>
      </c>
      <c r="AP949" s="89"/>
    </row>
    <row r="950">
      <c r="A950" s="151" t="str">
        <f>IFERROR(__xludf.DUMMYFUNCTION("""COMPUTED_VALUE"""),"A6lv1")</f>
        <v>A6lv1</v>
      </c>
      <c r="B950" s="42" t="str">
        <f>IFERROR(__xludf.DUMMYFUNCTION("""COMPUTED_VALUE"""),"DHBA")</f>
        <v>DHBA</v>
      </c>
      <c r="C950" s="42" t="str">
        <f>IFERROR(__xludf.DUMMYFUNCTION("""COMPUTED_VALUE"""),"layer I of area 6lv")</f>
        <v>layer I of area 6lv</v>
      </c>
      <c r="D950" s="42">
        <f>IFERROR(__xludf.DUMMYFUNCTION("""COMPUTED_VALUE"""),893.0)</f>
        <v>893</v>
      </c>
      <c r="E950" s="39" t="str">
        <f>IFERROR(__xludf.DUMMYFUNCTION("""COMPUTED_VALUE"""),"layer I of area 6lv")</f>
        <v>layer I of area 6lv</v>
      </c>
      <c r="F950" s="9" t="str">
        <f>IFERROR(__xludf.DUMMYFUNCTION("""COMPUTED_VALUE"""),"Br")</f>
        <v>Br</v>
      </c>
      <c r="G950" s="9" t="str">
        <f>IFERROR(__xludf.DUMMYFUNCTION("""COMPUTED_VALUE"""),"F")</f>
        <v>F</v>
      </c>
      <c r="H950" s="9" t="str">
        <f>IFERROR(__xludf.DUMMYFUNCTION("""COMPUTED_VALUE"""),"FGM")</f>
        <v>FGM</v>
      </c>
      <c r="I950" s="9" t="str">
        <f>IFERROR(__xludf.DUMMYFUNCTION("""COMPUTED_VALUE"""),"Tel")</f>
        <v>Tel</v>
      </c>
      <c r="J950" s="9" t="str">
        <f>IFERROR(__xludf.DUMMYFUNCTION("""COMPUTED_VALUE"""),"Cx")</f>
        <v>Cx</v>
      </c>
      <c r="K950" s="9" t="str">
        <f>IFERROR(__xludf.DUMMYFUNCTION("""COMPUTED_VALUE"""),"NCx")</f>
        <v>NCx</v>
      </c>
      <c r="L950" s="9" t="str">
        <f>IFERROR(__xludf.DUMMYFUNCTION("""COMPUTED_VALUE"""),"FCx")</f>
        <v>FCx</v>
      </c>
      <c r="M950" s="9" t="str">
        <f>IFERROR(__xludf.DUMMYFUNCTION("""COMPUTED_VALUE"""),"PoFC")</f>
        <v>PoFC</v>
      </c>
      <c r="N950" s="9" t="str">
        <f>IFERROR(__xludf.DUMMYFUNCTION("""COMPUTED_VALUE"""),"PMC")</f>
        <v>PMC</v>
      </c>
      <c r="O950" s="9" t="str">
        <f>IFERROR(__xludf.DUMMYFUNCTION("""COMPUTED_VALUE"""),"A6lv")</f>
        <v>A6lv</v>
      </c>
      <c r="P950" s="9" t="str">
        <f>IFERROR(__xludf.DUMMYFUNCTION("""COMPUTED_VALUE"""),"A6lv1")</f>
        <v>A6lv1</v>
      </c>
      <c r="Q950" s="9"/>
      <c r="R950" s="9"/>
      <c r="S950" s="42"/>
      <c r="T950" s="42"/>
      <c r="U950" s="42"/>
      <c r="V950" s="42"/>
      <c r="W950" s="42"/>
      <c r="X950" s="42"/>
      <c r="Y950" s="42"/>
      <c r="Z950" s="42"/>
      <c r="AA950" s="42"/>
      <c r="AB950" s="42" t="str">
        <f>IFERROR(__xludf.DUMMYFUNCTION("""COMPUTED_VALUE"""),"allen institute")</f>
        <v>allen institute</v>
      </c>
      <c r="AC950" s="42" t="str">
        <f>IFERROR(__xludf.DUMMYFUNCTION("""COMPUTED_VALUE"""),"DHBA")</f>
        <v>DHBA</v>
      </c>
      <c r="AD950" s="42"/>
      <c r="AE950" s="42"/>
      <c r="AF950" s="9"/>
      <c r="AG950" s="9"/>
      <c r="AH950" s="42"/>
      <c r="AI950" s="42"/>
      <c r="AJ950" s="42"/>
      <c r="AK950" s="42"/>
      <c r="AL950" s="42"/>
      <c r="AM950" s="42"/>
      <c r="AN950" s="42"/>
      <c r="AO950" s="63" t="str">
        <f>IFERROR(__xludf.DUMMYFUNCTION("IF(ISBLANK(A950),,IF(ISBLANK(S950), A950&amp;"";"", TEXTJOIN(CHAR(10), TRUE, A950&amp;"";"", ARRAYFORMULA(VLOOKUP(SPLIT(S950, "";"" &amp; CHAR(10)), $A:$AO, 41, FALSE)))))"),"A6lv1;")</f>
        <v>A6lv1;</v>
      </c>
      <c r="AP950" s="89"/>
    </row>
    <row r="951">
      <c r="A951" s="151" t="str">
        <f>IFERROR(__xludf.DUMMYFUNCTION("""COMPUTED_VALUE"""),"A6lv2")</f>
        <v>A6lv2</v>
      </c>
      <c r="B951" s="42" t="str">
        <f>IFERROR(__xludf.DUMMYFUNCTION("""COMPUTED_VALUE"""),"DHBA")</f>
        <v>DHBA</v>
      </c>
      <c r="C951" s="42" t="str">
        <f>IFERROR(__xludf.DUMMYFUNCTION("""COMPUTED_VALUE"""),"layer II of area 6lv")</f>
        <v>layer II of area 6lv</v>
      </c>
      <c r="D951" s="42">
        <f>IFERROR(__xludf.DUMMYFUNCTION("""COMPUTED_VALUE"""),894.0)</f>
        <v>894</v>
      </c>
      <c r="E951" s="39" t="str">
        <f>IFERROR(__xludf.DUMMYFUNCTION("""COMPUTED_VALUE"""),"layer II of area 6lv")</f>
        <v>layer II of area 6lv</v>
      </c>
      <c r="F951" s="9" t="str">
        <f>IFERROR(__xludf.DUMMYFUNCTION("""COMPUTED_VALUE"""),"Br")</f>
        <v>Br</v>
      </c>
      <c r="G951" s="9" t="str">
        <f>IFERROR(__xludf.DUMMYFUNCTION("""COMPUTED_VALUE"""),"F")</f>
        <v>F</v>
      </c>
      <c r="H951" s="9" t="str">
        <f>IFERROR(__xludf.DUMMYFUNCTION("""COMPUTED_VALUE"""),"FGM")</f>
        <v>FGM</v>
      </c>
      <c r="I951" s="9" t="str">
        <f>IFERROR(__xludf.DUMMYFUNCTION("""COMPUTED_VALUE"""),"Tel")</f>
        <v>Tel</v>
      </c>
      <c r="J951" s="9" t="str">
        <f>IFERROR(__xludf.DUMMYFUNCTION("""COMPUTED_VALUE"""),"Cx")</f>
        <v>Cx</v>
      </c>
      <c r="K951" s="9" t="str">
        <f>IFERROR(__xludf.DUMMYFUNCTION("""COMPUTED_VALUE"""),"NCx")</f>
        <v>NCx</v>
      </c>
      <c r="L951" s="9" t="str">
        <f>IFERROR(__xludf.DUMMYFUNCTION("""COMPUTED_VALUE"""),"FCx")</f>
        <v>FCx</v>
      </c>
      <c r="M951" s="9" t="str">
        <f>IFERROR(__xludf.DUMMYFUNCTION("""COMPUTED_VALUE"""),"PoFC")</f>
        <v>PoFC</v>
      </c>
      <c r="N951" s="9" t="str">
        <f>IFERROR(__xludf.DUMMYFUNCTION("""COMPUTED_VALUE"""),"PMC")</f>
        <v>PMC</v>
      </c>
      <c r="O951" s="9" t="str">
        <f>IFERROR(__xludf.DUMMYFUNCTION("""COMPUTED_VALUE"""),"A6lv")</f>
        <v>A6lv</v>
      </c>
      <c r="P951" s="9" t="str">
        <f>IFERROR(__xludf.DUMMYFUNCTION("""COMPUTED_VALUE"""),"A6lv2")</f>
        <v>A6lv2</v>
      </c>
      <c r="Q951" s="9"/>
      <c r="R951" s="9"/>
      <c r="S951" s="42"/>
      <c r="T951" s="42"/>
      <c r="U951" s="159"/>
      <c r="V951" s="42"/>
      <c r="W951" s="42"/>
      <c r="X951" s="42"/>
      <c r="Y951" s="42"/>
      <c r="Z951" s="42"/>
      <c r="AA951" s="42"/>
      <c r="AB951" s="42" t="str">
        <f>IFERROR(__xludf.DUMMYFUNCTION("""COMPUTED_VALUE"""),"allen institute")</f>
        <v>allen institute</v>
      </c>
      <c r="AC951" s="42" t="str">
        <f>IFERROR(__xludf.DUMMYFUNCTION("""COMPUTED_VALUE"""),"DHBA")</f>
        <v>DHBA</v>
      </c>
      <c r="AD951" s="42"/>
      <c r="AE951" s="42"/>
      <c r="AF951" s="9"/>
      <c r="AG951" s="9"/>
      <c r="AH951" s="42"/>
      <c r="AI951" s="42"/>
      <c r="AJ951" s="42"/>
      <c r="AK951" s="42"/>
      <c r="AL951" s="42"/>
      <c r="AM951" s="42"/>
      <c r="AN951" s="42"/>
      <c r="AO951" s="63" t="str">
        <f>IFERROR(__xludf.DUMMYFUNCTION("IF(ISBLANK(A951),,IF(ISBLANK(S951), A951&amp;"";"", TEXTJOIN(CHAR(10), TRUE, A951&amp;"";"", ARRAYFORMULA(VLOOKUP(SPLIT(S951, "";"" &amp; CHAR(10)), $A:$AO, 41, FALSE)))))"),"A6lv2;")</f>
        <v>A6lv2;</v>
      </c>
      <c r="AP951" s="89"/>
    </row>
    <row r="952">
      <c r="A952" s="151" t="str">
        <f>IFERROR(__xludf.DUMMYFUNCTION("""COMPUTED_VALUE"""),"A6lv3")</f>
        <v>A6lv3</v>
      </c>
      <c r="B952" s="42" t="str">
        <f>IFERROR(__xludf.DUMMYFUNCTION("""COMPUTED_VALUE"""),"DHBA")</f>
        <v>DHBA</v>
      </c>
      <c r="C952" s="42" t="str">
        <f>IFERROR(__xludf.DUMMYFUNCTION("""COMPUTED_VALUE"""),"layer III of area 6lv")</f>
        <v>layer III of area 6lv</v>
      </c>
      <c r="D952" s="42">
        <f>IFERROR(__xludf.DUMMYFUNCTION("""COMPUTED_VALUE"""),895.0)</f>
        <v>895</v>
      </c>
      <c r="E952" s="39" t="str">
        <f>IFERROR(__xludf.DUMMYFUNCTION("""COMPUTED_VALUE"""),"layer III of area 6lv")</f>
        <v>layer III of area 6lv</v>
      </c>
      <c r="F952" s="9" t="str">
        <f>IFERROR(__xludf.DUMMYFUNCTION("""COMPUTED_VALUE"""),"Br")</f>
        <v>Br</v>
      </c>
      <c r="G952" s="9" t="str">
        <f>IFERROR(__xludf.DUMMYFUNCTION("""COMPUTED_VALUE"""),"F")</f>
        <v>F</v>
      </c>
      <c r="H952" s="9" t="str">
        <f>IFERROR(__xludf.DUMMYFUNCTION("""COMPUTED_VALUE"""),"FGM")</f>
        <v>FGM</v>
      </c>
      <c r="I952" s="9" t="str">
        <f>IFERROR(__xludf.DUMMYFUNCTION("""COMPUTED_VALUE"""),"Tel")</f>
        <v>Tel</v>
      </c>
      <c r="J952" s="9" t="str">
        <f>IFERROR(__xludf.DUMMYFUNCTION("""COMPUTED_VALUE"""),"Cx")</f>
        <v>Cx</v>
      </c>
      <c r="K952" s="9" t="str">
        <f>IFERROR(__xludf.DUMMYFUNCTION("""COMPUTED_VALUE"""),"NCx")</f>
        <v>NCx</v>
      </c>
      <c r="L952" s="9" t="str">
        <f>IFERROR(__xludf.DUMMYFUNCTION("""COMPUTED_VALUE"""),"FCx")</f>
        <v>FCx</v>
      </c>
      <c r="M952" s="9" t="str">
        <f>IFERROR(__xludf.DUMMYFUNCTION("""COMPUTED_VALUE"""),"PoFC")</f>
        <v>PoFC</v>
      </c>
      <c r="N952" s="9" t="str">
        <f>IFERROR(__xludf.DUMMYFUNCTION("""COMPUTED_VALUE"""),"PMC")</f>
        <v>PMC</v>
      </c>
      <c r="O952" s="9" t="str">
        <f>IFERROR(__xludf.DUMMYFUNCTION("""COMPUTED_VALUE"""),"A6lv")</f>
        <v>A6lv</v>
      </c>
      <c r="P952" s="9" t="str">
        <f>IFERROR(__xludf.DUMMYFUNCTION("""COMPUTED_VALUE"""),"A6lv3")</f>
        <v>A6lv3</v>
      </c>
      <c r="Q952" s="9"/>
      <c r="R952" s="9"/>
      <c r="S952" s="42"/>
      <c r="T952" s="42"/>
      <c r="U952" s="159"/>
      <c r="V952" s="42"/>
      <c r="W952" s="42"/>
      <c r="X952" s="42"/>
      <c r="Y952" s="42"/>
      <c r="Z952" s="42"/>
      <c r="AA952" s="42"/>
      <c r="AB952" s="42" t="str">
        <f>IFERROR(__xludf.DUMMYFUNCTION("""COMPUTED_VALUE"""),"allen institute")</f>
        <v>allen institute</v>
      </c>
      <c r="AC952" s="42" t="str">
        <f>IFERROR(__xludf.DUMMYFUNCTION("""COMPUTED_VALUE"""),"DHBA")</f>
        <v>DHBA</v>
      </c>
      <c r="AD952" s="42"/>
      <c r="AE952" s="42"/>
      <c r="AF952" s="9"/>
      <c r="AG952" s="9"/>
      <c r="AH952" s="42"/>
      <c r="AI952" s="42"/>
      <c r="AJ952" s="42"/>
      <c r="AK952" s="42"/>
      <c r="AL952" s="42"/>
      <c r="AM952" s="42"/>
      <c r="AN952" s="42"/>
      <c r="AO952" s="63" t="str">
        <f>IFERROR(__xludf.DUMMYFUNCTION("IF(ISBLANK(A952),,IF(ISBLANK(S952), A952&amp;"";"", TEXTJOIN(CHAR(10), TRUE, A952&amp;"";"", ARRAYFORMULA(VLOOKUP(SPLIT(S952, "";"" &amp; CHAR(10)), $A:$AO, 41, FALSE)))))"),"A6lv3;")</f>
        <v>A6lv3;</v>
      </c>
      <c r="AP952" s="89"/>
    </row>
    <row r="953">
      <c r="A953" s="151" t="str">
        <f>IFERROR(__xludf.DUMMYFUNCTION("""COMPUTED_VALUE"""),"A6lv5")</f>
        <v>A6lv5</v>
      </c>
      <c r="B953" s="42" t="str">
        <f>IFERROR(__xludf.DUMMYFUNCTION("""COMPUTED_VALUE"""),"DHBA")</f>
        <v>DHBA</v>
      </c>
      <c r="C953" s="42" t="str">
        <f>IFERROR(__xludf.DUMMYFUNCTION("""COMPUTED_VALUE"""),"layer V of area 6lv")</f>
        <v>layer V of area 6lv</v>
      </c>
      <c r="D953" s="42">
        <f>IFERROR(__xludf.DUMMYFUNCTION("""COMPUTED_VALUE"""),896.0)</f>
        <v>896</v>
      </c>
      <c r="E953" s="39" t="str">
        <f>IFERROR(__xludf.DUMMYFUNCTION("""COMPUTED_VALUE"""),"layer V of area 6lv")</f>
        <v>layer V of area 6lv</v>
      </c>
      <c r="F953" s="9" t="str">
        <f>IFERROR(__xludf.DUMMYFUNCTION("""COMPUTED_VALUE"""),"Br")</f>
        <v>Br</v>
      </c>
      <c r="G953" s="9" t="str">
        <f>IFERROR(__xludf.DUMMYFUNCTION("""COMPUTED_VALUE"""),"F")</f>
        <v>F</v>
      </c>
      <c r="H953" s="9" t="str">
        <f>IFERROR(__xludf.DUMMYFUNCTION("""COMPUTED_VALUE"""),"FGM")</f>
        <v>FGM</v>
      </c>
      <c r="I953" s="9" t="str">
        <f>IFERROR(__xludf.DUMMYFUNCTION("""COMPUTED_VALUE"""),"Tel")</f>
        <v>Tel</v>
      </c>
      <c r="J953" s="9" t="str">
        <f>IFERROR(__xludf.DUMMYFUNCTION("""COMPUTED_VALUE"""),"Cx")</f>
        <v>Cx</v>
      </c>
      <c r="K953" s="9" t="str">
        <f>IFERROR(__xludf.DUMMYFUNCTION("""COMPUTED_VALUE"""),"NCx")</f>
        <v>NCx</v>
      </c>
      <c r="L953" s="9" t="str">
        <f>IFERROR(__xludf.DUMMYFUNCTION("""COMPUTED_VALUE"""),"FCx")</f>
        <v>FCx</v>
      </c>
      <c r="M953" s="9" t="str">
        <f>IFERROR(__xludf.DUMMYFUNCTION("""COMPUTED_VALUE"""),"PoFC")</f>
        <v>PoFC</v>
      </c>
      <c r="N953" s="9" t="str">
        <f>IFERROR(__xludf.DUMMYFUNCTION("""COMPUTED_VALUE"""),"PMC")</f>
        <v>PMC</v>
      </c>
      <c r="O953" s="9" t="str">
        <f>IFERROR(__xludf.DUMMYFUNCTION("""COMPUTED_VALUE"""),"A6lv")</f>
        <v>A6lv</v>
      </c>
      <c r="P953" s="9" t="str">
        <f>IFERROR(__xludf.DUMMYFUNCTION("""COMPUTED_VALUE"""),"A6lv5")</f>
        <v>A6lv5</v>
      </c>
      <c r="Q953" s="9"/>
      <c r="R953" s="9"/>
      <c r="S953" s="42"/>
      <c r="T953" s="42"/>
      <c r="U953" s="159"/>
      <c r="V953" s="42"/>
      <c r="W953" s="42"/>
      <c r="X953" s="42"/>
      <c r="Y953" s="42"/>
      <c r="Z953" s="42"/>
      <c r="AA953" s="42"/>
      <c r="AB953" s="42" t="str">
        <f>IFERROR(__xludf.DUMMYFUNCTION("""COMPUTED_VALUE"""),"allen institute")</f>
        <v>allen institute</v>
      </c>
      <c r="AC953" s="42" t="str">
        <f>IFERROR(__xludf.DUMMYFUNCTION("""COMPUTED_VALUE"""),"DHBA")</f>
        <v>DHBA</v>
      </c>
      <c r="AD953" s="42"/>
      <c r="AE953" s="42"/>
      <c r="AF953" s="9"/>
      <c r="AG953" s="9"/>
      <c r="AH953" s="42"/>
      <c r="AI953" s="42"/>
      <c r="AJ953" s="42"/>
      <c r="AK953" s="42"/>
      <c r="AL953" s="42"/>
      <c r="AM953" s="42"/>
      <c r="AN953" s="42"/>
      <c r="AO953" s="63" t="str">
        <f>IFERROR(__xludf.DUMMYFUNCTION("IF(ISBLANK(A953),,IF(ISBLANK(S953), A953&amp;"";"", TEXTJOIN(CHAR(10), TRUE, A953&amp;"";"", ARRAYFORMULA(VLOOKUP(SPLIT(S953, "";"" &amp; CHAR(10)), $A:$AO, 41, FALSE)))))"),"A6lv5;")</f>
        <v>A6lv5;</v>
      </c>
      <c r="AP953" s="89"/>
    </row>
    <row r="954">
      <c r="A954" s="151" t="str">
        <f>IFERROR(__xludf.DUMMYFUNCTION("""COMPUTED_VALUE"""),"A6lv6")</f>
        <v>A6lv6</v>
      </c>
      <c r="B954" s="42" t="str">
        <f>IFERROR(__xludf.DUMMYFUNCTION("""COMPUTED_VALUE"""),"DHBA")</f>
        <v>DHBA</v>
      </c>
      <c r="C954" s="42" t="str">
        <f>IFERROR(__xludf.DUMMYFUNCTION("""COMPUTED_VALUE"""),"layer VI of area 6lv")</f>
        <v>layer VI of area 6lv</v>
      </c>
      <c r="D954" s="42">
        <f>IFERROR(__xludf.DUMMYFUNCTION("""COMPUTED_VALUE"""),897.0)</f>
        <v>897</v>
      </c>
      <c r="E954" s="39" t="str">
        <f>IFERROR(__xludf.DUMMYFUNCTION("""COMPUTED_VALUE"""),"layer VI of area 6lv")</f>
        <v>layer VI of area 6lv</v>
      </c>
      <c r="F954" s="9" t="str">
        <f>IFERROR(__xludf.DUMMYFUNCTION("""COMPUTED_VALUE"""),"Br")</f>
        <v>Br</v>
      </c>
      <c r="G954" s="9" t="str">
        <f>IFERROR(__xludf.DUMMYFUNCTION("""COMPUTED_VALUE"""),"F")</f>
        <v>F</v>
      </c>
      <c r="H954" s="9" t="str">
        <f>IFERROR(__xludf.DUMMYFUNCTION("""COMPUTED_VALUE"""),"FGM")</f>
        <v>FGM</v>
      </c>
      <c r="I954" s="9" t="str">
        <f>IFERROR(__xludf.DUMMYFUNCTION("""COMPUTED_VALUE"""),"Tel")</f>
        <v>Tel</v>
      </c>
      <c r="J954" s="9" t="str">
        <f>IFERROR(__xludf.DUMMYFUNCTION("""COMPUTED_VALUE"""),"Cx")</f>
        <v>Cx</v>
      </c>
      <c r="K954" s="9" t="str">
        <f>IFERROR(__xludf.DUMMYFUNCTION("""COMPUTED_VALUE"""),"NCx")</f>
        <v>NCx</v>
      </c>
      <c r="L954" s="9" t="str">
        <f>IFERROR(__xludf.DUMMYFUNCTION("""COMPUTED_VALUE"""),"FCx")</f>
        <v>FCx</v>
      </c>
      <c r="M954" s="9" t="str">
        <f>IFERROR(__xludf.DUMMYFUNCTION("""COMPUTED_VALUE"""),"PoFC")</f>
        <v>PoFC</v>
      </c>
      <c r="N954" s="9" t="str">
        <f>IFERROR(__xludf.DUMMYFUNCTION("""COMPUTED_VALUE"""),"PMC")</f>
        <v>PMC</v>
      </c>
      <c r="O954" s="9" t="str">
        <f>IFERROR(__xludf.DUMMYFUNCTION("""COMPUTED_VALUE"""),"A6lv")</f>
        <v>A6lv</v>
      </c>
      <c r="P954" s="9" t="str">
        <f>IFERROR(__xludf.DUMMYFUNCTION("""COMPUTED_VALUE"""),"A6lv6")</f>
        <v>A6lv6</v>
      </c>
      <c r="Q954" s="9"/>
      <c r="R954" s="9"/>
      <c r="S954" s="42"/>
      <c r="T954" s="42"/>
      <c r="U954" s="159"/>
      <c r="V954" s="42"/>
      <c r="W954" s="42"/>
      <c r="X954" s="42"/>
      <c r="Y954" s="42"/>
      <c r="Z954" s="42"/>
      <c r="AA954" s="42"/>
      <c r="AB954" s="42" t="str">
        <f>IFERROR(__xludf.DUMMYFUNCTION("""COMPUTED_VALUE"""),"allen institute")</f>
        <v>allen institute</v>
      </c>
      <c r="AC954" s="42" t="str">
        <f>IFERROR(__xludf.DUMMYFUNCTION("""COMPUTED_VALUE"""),"DHBA")</f>
        <v>DHBA</v>
      </c>
      <c r="AD954" s="42"/>
      <c r="AE954" s="42"/>
      <c r="AF954" s="9"/>
      <c r="AG954" s="9"/>
      <c r="AH954" s="42"/>
      <c r="AI954" s="42"/>
      <c r="AJ954" s="42"/>
      <c r="AK954" s="42"/>
      <c r="AL954" s="42"/>
      <c r="AM954" s="42"/>
      <c r="AN954" s="42"/>
      <c r="AO954" s="63" t="str">
        <f>IFERROR(__xludf.DUMMYFUNCTION("IF(ISBLANK(A954),,IF(ISBLANK(S954), A954&amp;"";"", TEXTJOIN(CHAR(10), TRUE, A954&amp;"";"", ARRAYFORMULA(VLOOKUP(SPLIT(S954, "";"" &amp; CHAR(10)), $A:$AO, 41, FALSE)))))"),"A6lv6;")</f>
        <v>A6lv6;</v>
      </c>
      <c r="AP954" s="89"/>
    </row>
    <row r="955">
      <c r="A955" s="151" t="str">
        <f>IFERROR(__xludf.DUMMYFUNCTION("""COMPUTED_VALUE"""),"A6m")</f>
        <v>A6m</v>
      </c>
      <c r="B955" s="42" t="str">
        <f>IFERROR(__xludf.DUMMYFUNCTION("""COMPUTED_VALUE"""),"DHBA")</f>
        <v>DHBA</v>
      </c>
      <c r="C955" s="42" t="str">
        <f>IFERROR(__xludf.DUMMYFUNCTION("""COMPUTED_VALUE"""),"medial subdivision of area 6 (area MII)")</f>
        <v>medial subdivision of area 6 (area MII)</v>
      </c>
      <c r="D955" s="42">
        <f>IFERROR(__xludf.DUMMYFUNCTION("""COMPUTED_VALUE"""),898.0)</f>
        <v>898</v>
      </c>
      <c r="E955" s="39" t="str">
        <f>IFERROR(__xludf.DUMMYFUNCTION("""COMPUTED_VALUE"""),"medial subdivision of area 6 (area MII)")</f>
        <v>medial subdivision of area 6 (area MII)</v>
      </c>
      <c r="F955" s="9" t="str">
        <f>IFERROR(__xludf.DUMMYFUNCTION("""COMPUTED_VALUE"""),"Br")</f>
        <v>Br</v>
      </c>
      <c r="G955" s="9" t="str">
        <f>IFERROR(__xludf.DUMMYFUNCTION("""COMPUTED_VALUE"""),"F")</f>
        <v>F</v>
      </c>
      <c r="H955" s="9" t="str">
        <f>IFERROR(__xludf.DUMMYFUNCTION("""COMPUTED_VALUE"""),"FGM")</f>
        <v>FGM</v>
      </c>
      <c r="I955" s="9" t="str">
        <f>IFERROR(__xludf.DUMMYFUNCTION("""COMPUTED_VALUE"""),"Tel")</f>
        <v>Tel</v>
      </c>
      <c r="J955" s="9" t="str">
        <f>IFERROR(__xludf.DUMMYFUNCTION("""COMPUTED_VALUE"""),"Cx")</f>
        <v>Cx</v>
      </c>
      <c r="K955" s="9" t="str">
        <f>IFERROR(__xludf.DUMMYFUNCTION("""COMPUTED_VALUE"""),"NCx")</f>
        <v>NCx</v>
      </c>
      <c r="L955" s="9" t="str">
        <f>IFERROR(__xludf.DUMMYFUNCTION("""COMPUTED_VALUE"""),"FCx")</f>
        <v>FCx</v>
      </c>
      <c r="M955" s="9" t="str">
        <f>IFERROR(__xludf.DUMMYFUNCTION("""COMPUTED_VALUE"""),"PoFC")</f>
        <v>PoFC</v>
      </c>
      <c r="N955" s="9" t="str">
        <f>IFERROR(__xludf.DUMMYFUNCTION("""COMPUTED_VALUE"""),"PMC")</f>
        <v>PMC</v>
      </c>
      <c r="O955" s="9" t="str">
        <f>IFERROR(__xludf.DUMMYFUNCTION("""COMPUTED_VALUE"""),"A6m")</f>
        <v>A6m</v>
      </c>
      <c r="P955" s="9"/>
      <c r="Q955" s="9"/>
      <c r="R955" s="9"/>
      <c r="S955" s="42" t="str">
        <f>IFERROR(__xludf.DUMMYFUNCTION("""COMPUTED_VALUE"""),"A6m1;
A6m2;
A6m3;
A6m5;
A6m6")</f>
        <v>A6m1;
A6m2;
A6m3;
A6m5;
A6m6</v>
      </c>
      <c r="T955" s="42"/>
      <c r="U955" s="159" t="b">
        <f>IFERROR(__xludf.DUMMYFUNCTION("""COMPUTED_VALUE"""),FALSE)</f>
        <v>0</v>
      </c>
      <c r="V955" s="42"/>
      <c r="W955" s="42"/>
      <c r="X955" s="42"/>
      <c r="Y955" s="42"/>
      <c r="Z955" s="42"/>
      <c r="AA955" s="42"/>
      <c r="AB955" s="42" t="str">
        <f>IFERROR(__xludf.DUMMYFUNCTION("""COMPUTED_VALUE"""),"allen institute")</f>
        <v>allen institute</v>
      </c>
      <c r="AC955" s="42" t="str">
        <f>IFERROR(__xludf.DUMMYFUNCTION("""COMPUTED_VALUE"""),"DHBA")</f>
        <v>DHBA</v>
      </c>
      <c r="AD955" s="42"/>
      <c r="AE955" s="42"/>
      <c r="AF955" s="9"/>
      <c r="AG955" s="9"/>
      <c r="AH955" s="42"/>
      <c r="AI955" s="42"/>
      <c r="AJ955" s="42"/>
      <c r="AK955" s="42"/>
      <c r="AL955" s="42"/>
      <c r="AM955" s="42"/>
      <c r="AN955" s="42"/>
      <c r="AO955" s="63" t="str">
        <f>IFERROR(__xludf.DUMMYFUNCTION("IF(ISBLANK(A955),,IF(ISBLANK(S955), A955&amp;"";"", TEXTJOIN(CHAR(10), TRUE, A955&amp;"";"", ARRAYFORMULA(VLOOKUP(SPLIT(S955, "";"" &amp; CHAR(10)), $A:$AO, 41, FALSE)))))"),"A6m;
A6m1;
A6m2;
A6m3;
A6m5;
A6m6;")</f>
        <v>A6m;
A6m1;
A6m2;
A6m3;
A6m5;
A6m6;</v>
      </c>
      <c r="AP955" s="89"/>
    </row>
    <row r="956">
      <c r="A956" s="151" t="str">
        <f>IFERROR(__xludf.DUMMYFUNCTION("""COMPUTED_VALUE"""),"A6m1")</f>
        <v>A6m1</v>
      </c>
      <c r="B956" s="42" t="str">
        <f>IFERROR(__xludf.DUMMYFUNCTION("""COMPUTED_VALUE"""),"DHBA")</f>
        <v>DHBA</v>
      </c>
      <c r="C956" s="42" t="str">
        <f>IFERROR(__xludf.DUMMYFUNCTION("""COMPUTED_VALUE"""),"layer I of area 6m")</f>
        <v>layer I of area 6m</v>
      </c>
      <c r="D956" s="42">
        <f>IFERROR(__xludf.DUMMYFUNCTION("""COMPUTED_VALUE"""),899.0)</f>
        <v>899</v>
      </c>
      <c r="E956" s="39" t="str">
        <f>IFERROR(__xludf.DUMMYFUNCTION("""COMPUTED_VALUE"""),"layer I of area 6m")</f>
        <v>layer I of area 6m</v>
      </c>
      <c r="F956" s="9" t="str">
        <f>IFERROR(__xludf.DUMMYFUNCTION("""COMPUTED_VALUE"""),"Br")</f>
        <v>Br</v>
      </c>
      <c r="G956" s="9" t="str">
        <f>IFERROR(__xludf.DUMMYFUNCTION("""COMPUTED_VALUE"""),"F")</f>
        <v>F</v>
      </c>
      <c r="H956" s="9" t="str">
        <f>IFERROR(__xludf.DUMMYFUNCTION("""COMPUTED_VALUE"""),"FGM")</f>
        <v>FGM</v>
      </c>
      <c r="I956" s="9" t="str">
        <f>IFERROR(__xludf.DUMMYFUNCTION("""COMPUTED_VALUE"""),"Tel")</f>
        <v>Tel</v>
      </c>
      <c r="J956" s="9" t="str">
        <f>IFERROR(__xludf.DUMMYFUNCTION("""COMPUTED_VALUE"""),"Cx")</f>
        <v>Cx</v>
      </c>
      <c r="K956" s="9" t="str">
        <f>IFERROR(__xludf.DUMMYFUNCTION("""COMPUTED_VALUE"""),"NCx")</f>
        <v>NCx</v>
      </c>
      <c r="L956" s="9" t="str">
        <f>IFERROR(__xludf.DUMMYFUNCTION("""COMPUTED_VALUE"""),"FCx")</f>
        <v>FCx</v>
      </c>
      <c r="M956" s="9" t="str">
        <f>IFERROR(__xludf.DUMMYFUNCTION("""COMPUTED_VALUE"""),"PoFC")</f>
        <v>PoFC</v>
      </c>
      <c r="N956" s="9" t="str">
        <f>IFERROR(__xludf.DUMMYFUNCTION("""COMPUTED_VALUE"""),"PMC")</f>
        <v>PMC</v>
      </c>
      <c r="O956" s="9" t="str">
        <f>IFERROR(__xludf.DUMMYFUNCTION("""COMPUTED_VALUE"""),"A6m")</f>
        <v>A6m</v>
      </c>
      <c r="P956" s="9" t="str">
        <f>IFERROR(__xludf.DUMMYFUNCTION("""COMPUTED_VALUE"""),"A6m1")</f>
        <v>A6m1</v>
      </c>
      <c r="Q956" s="9"/>
      <c r="R956" s="9"/>
      <c r="S956" s="42"/>
      <c r="T956" s="42"/>
      <c r="U956" s="42"/>
      <c r="V956" s="42"/>
      <c r="W956" s="42"/>
      <c r="X956" s="42"/>
      <c r="Y956" s="42"/>
      <c r="Z956" s="42"/>
      <c r="AA956" s="42"/>
      <c r="AB956" s="42" t="str">
        <f>IFERROR(__xludf.DUMMYFUNCTION("""COMPUTED_VALUE"""),"allen institute")</f>
        <v>allen institute</v>
      </c>
      <c r="AC956" s="42" t="str">
        <f>IFERROR(__xludf.DUMMYFUNCTION("""COMPUTED_VALUE"""),"DHBA")</f>
        <v>DHBA</v>
      </c>
      <c r="AD956" s="42"/>
      <c r="AE956" s="42"/>
      <c r="AF956" s="9"/>
      <c r="AG956" s="9"/>
      <c r="AH956" s="42"/>
      <c r="AI956" s="42"/>
      <c r="AJ956" s="42"/>
      <c r="AK956" s="42"/>
      <c r="AL956" s="42"/>
      <c r="AM956" s="42"/>
      <c r="AN956" s="42"/>
      <c r="AO956" s="63" t="str">
        <f>IFERROR(__xludf.DUMMYFUNCTION("IF(ISBLANK(A956),,IF(ISBLANK(S956), A956&amp;"";"", TEXTJOIN(CHAR(10), TRUE, A956&amp;"";"", ARRAYFORMULA(VLOOKUP(SPLIT(S956, "";"" &amp; CHAR(10)), $A:$AO, 41, FALSE)))))"),"A6m1;")</f>
        <v>A6m1;</v>
      </c>
      <c r="AP956" s="89"/>
    </row>
    <row r="957">
      <c r="A957" s="151" t="str">
        <f>IFERROR(__xludf.DUMMYFUNCTION("""COMPUTED_VALUE"""),"A6m2")</f>
        <v>A6m2</v>
      </c>
      <c r="B957" s="42" t="str">
        <f>IFERROR(__xludf.DUMMYFUNCTION("""COMPUTED_VALUE"""),"DHBA")</f>
        <v>DHBA</v>
      </c>
      <c r="C957" s="42" t="str">
        <f>IFERROR(__xludf.DUMMYFUNCTION("""COMPUTED_VALUE"""),"layer II of area 6m")</f>
        <v>layer II of area 6m</v>
      </c>
      <c r="D957" s="42">
        <f>IFERROR(__xludf.DUMMYFUNCTION("""COMPUTED_VALUE"""),900.0)</f>
        <v>900</v>
      </c>
      <c r="E957" s="39" t="str">
        <f>IFERROR(__xludf.DUMMYFUNCTION("""COMPUTED_VALUE"""),"layer II of area 6m")</f>
        <v>layer II of area 6m</v>
      </c>
      <c r="F957" s="9" t="str">
        <f>IFERROR(__xludf.DUMMYFUNCTION("""COMPUTED_VALUE"""),"Br")</f>
        <v>Br</v>
      </c>
      <c r="G957" s="9" t="str">
        <f>IFERROR(__xludf.DUMMYFUNCTION("""COMPUTED_VALUE"""),"F")</f>
        <v>F</v>
      </c>
      <c r="H957" s="9" t="str">
        <f>IFERROR(__xludf.DUMMYFUNCTION("""COMPUTED_VALUE"""),"FGM")</f>
        <v>FGM</v>
      </c>
      <c r="I957" s="9" t="str">
        <f>IFERROR(__xludf.DUMMYFUNCTION("""COMPUTED_VALUE"""),"Tel")</f>
        <v>Tel</v>
      </c>
      <c r="J957" s="9" t="str">
        <f>IFERROR(__xludf.DUMMYFUNCTION("""COMPUTED_VALUE"""),"Cx")</f>
        <v>Cx</v>
      </c>
      <c r="K957" s="9" t="str">
        <f>IFERROR(__xludf.DUMMYFUNCTION("""COMPUTED_VALUE"""),"NCx")</f>
        <v>NCx</v>
      </c>
      <c r="L957" s="9" t="str">
        <f>IFERROR(__xludf.DUMMYFUNCTION("""COMPUTED_VALUE"""),"FCx")</f>
        <v>FCx</v>
      </c>
      <c r="M957" s="9" t="str">
        <f>IFERROR(__xludf.DUMMYFUNCTION("""COMPUTED_VALUE"""),"PoFC")</f>
        <v>PoFC</v>
      </c>
      <c r="N957" s="9" t="str">
        <f>IFERROR(__xludf.DUMMYFUNCTION("""COMPUTED_VALUE"""),"PMC")</f>
        <v>PMC</v>
      </c>
      <c r="O957" s="9" t="str">
        <f>IFERROR(__xludf.DUMMYFUNCTION("""COMPUTED_VALUE"""),"A6m")</f>
        <v>A6m</v>
      </c>
      <c r="P957" s="9" t="str">
        <f>IFERROR(__xludf.DUMMYFUNCTION("""COMPUTED_VALUE"""),"A6m2")</f>
        <v>A6m2</v>
      </c>
      <c r="Q957" s="9"/>
      <c r="R957" s="9"/>
      <c r="S957" s="42"/>
      <c r="T957" s="42"/>
      <c r="U957" s="42"/>
      <c r="V957" s="42"/>
      <c r="W957" s="42"/>
      <c r="X957" s="42"/>
      <c r="Y957" s="42"/>
      <c r="Z957" s="42"/>
      <c r="AA957" s="42"/>
      <c r="AB957" s="42" t="str">
        <f>IFERROR(__xludf.DUMMYFUNCTION("""COMPUTED_VALUE"""),"allen institute")</f>
        <v>allen institute</v>
      </c>
      <c r="AC957" s="42" t="str">
        <f>IFERROR(__xludf.DUMMYFUNCTION("""COMPUTED_VALUE"""),"DHBA")</f>
        <v>DHBA</v>
      </c>
      <c r="AD957" s="42"/>
      <c r="AE957" s="42"/>
      <c r="AF957" s="9"/>
      <c r="AG957" s="9"/>
      <c r="AH957" s="42"/>
      <c r="AI957" s="42"/>
      <c r="AJ957" s="42"/>
      <c r="AK957" s="42"/>
      <c r="AL957" s="42"/>
      <c r="AM957" s="42"/>
      <c r="AN957" s="42"/>
      <c r="AO957" s="63" t="str">
        <f>IFERROR(__xludf.DUMMYFUNCTION("IF(ISBLANK(A957),,IF(ISBLANK(S957), A957&amp;"";"", TEXTJOIN(CHAR(10), TRUE, A957&amp;"";"", ARRAYFORMULA(VLOOKUP(SPLIT(S957, "";"" &amp; CHAR(10)), $A:$AO, 41, FALSE)))))"),"A6m2;")</f>
        <v>A6m2;</v>
      </c>
      <c r="AP957" s="89"/>
    </row>
    <row r="958">
      <c r="A958" s="151" t="str">
        <f>IFERROR(__xludf.DUMMYFUNCTION("""COMPUTED_VALUE"""),"A6m3")</f>
        <v>A6m3</v>
      </c>
      <c r="B958" s="42" t="str">
        <f>IFERROR(__xludf.DUMMYFUNCTION("""COMPUTED_VALUE"""),"DHBA")</f>
        <v>DHBA</v>
      </c>
      <c r="C958" s="42" t="str">
        <f>IFERROR(__xludf.DUMMYFUNCTION("""COMPUTED_VALUE"""),"layer III of area 6m")</f>
        <v>layer III of area 6m</v>
      </c>
      <c r="D958" s="42">
        <f>IFERROR(__xludf.DUMMYFUNCTION("""COMPUTED_VALUE"""),901.0)</f>
        <v>901</v>
      </c>
      <c r="E958" s="39" t="str">
        <f>IFERROR(__xludf.DUMMYFUNCTION("""COMPUTED_VALUE"""),"layer III of area 6m")</f>
        <v>layer III of area 6m</v>
      </c>
      <c r="F958" s="9" t="str">
        <f>IFERROR(__xludf.DUMMYFUNCTION("""COMPUTED_VALUE"""),"Br")</f>
        <v>Br</v>
      </c>
      <c r="G958" s="9" t="str">
        <f>IFERROR(__xludf.DUMMYFUNCTION("""COMPUTED_VALUE"""),"F")</f>
        <v>F</v>
      </c>
      <c r="H958" s="9" t="str">
        <f>IFERROR(__xludf.DUMMYFUNCTION("""COMPUTED_VALUE"""),"FGM")</f>
        <v>FGM</v>
      </c>
      <c r="I958" s="9" t="str">
        <f>IFERROR(__xludf.DUMMYFUNCTION("""COMPUTED_VALUE"""),"Tel")</f>
        <v>Tel</v>
      </c>
      <c r="J958" s="9" t="str">
        <f>IFERROR(__xludf.DUMMYFUNCTION("""COMPUTED_VALUE"""),"Cx")</f>
        <v>Cx</v>
      </c>
      <c r="K958" s="9" t="str">
        <f>IFERROR(__xludf.DUMMYFUNCTION("""COMPUTED_VALUE"""),"NCx")</f>
        <v>NCx</v>
      </c>
      <c r="L958" s="9" t="str">
        <f>IFERROR(__xludf.DUMMYFUNCTION("""COMPUTED_VALUE"""),"FCx")</f>
        <v>FCx</v>
      </c>
      <c r="M958" s="9" t="str">
        <f>IFERROR(__xludf.DUMMYFUNCTION("""COMPUTED_VALUE"""),"PoFC")</f>
        <v>PoFC</v>
      </c>
      <c r="N958" s="9" t="str">
        <f>IFERROR(__xludf.DUMMYFUNCTION("""COMPUTED_VALUE"""),"PMC")</f>
        <v>PMC</v>
      </c>
      <c r="O958" s="9" t="str">
        <f>IFERROR(__xludf.DUMMYFUNCTION("""COMPUTED_VALUE"""),"A6m")</f>
        <v>A6m</v>
      </c>
      <c r="P958" s="9" t="str">
        <f>IFERROR(__xludf.DUMMYFUNCTION("""COMPUTED_VALUE"""),"A6m3")</f>
        <v>A6m3</v>
      </c>
      <c r="Q958" s="9"/>
      <c r="R958" s="9"/>
      <c r="S958" s="42"/>
      <c r="T958" s="42"/>
      <c r="U958" s="42"/>
      <c r="V958" s="42"/>
      <c r="W958" s="42"/>
      <c r="X958" s="42"/>
      <c r="Y958" s="42"/>
      <c r="Z958" s="42"/>
      <c r="AA958" s="42"/>
      <c r="AB958" s="42" t="str">
        <f>IFERROR(__xludf.DUMMYFUNCTION("""COMPUTED_VALUE"""),"allen institute")</f>
        <v>allen institute</v>
      </c>
      <c r="AC958" s="42" t="str">
        <f>IFERROR(__xludf.DUMMYFUNCTION("""COMPUTED_VALUE"""),"DHBA")</f>
        <v>DHBA</v>
      </c>
      <c r="AD958" s="42"/>
      <c r="AE958" s="42"/>
      <c r="AF958" s="9"/>
      <c r="AG958" s="9"/>
      <c r="AH958" s="42"/>
      <c r="AI958" s="42"/>
      <c r="AJ958" s="42"/>
      <c r="AK958" s="42"/>
      <c r="AL958" s="42"/>
      <c r="AM958" s="42"/>
      <c r="AN958" s="42"/>
      <c r="AO958" s="63" t="str">
        <f>IFERROR(__xludf.DUMMYFUNCTION("IF(ISBLANK(A958),,IF(ISBLANK(S958), A958&amp;"";"", TEXTJOIN(CHAR(10), TRUE, A958&amp;"";"", ARRAYFORMULA(VLOOKUP(SPLIT(S958, "";"" &amp; CHAR(10)), $A:$AO, 41, FALSE)))))"),"A6m3;")</f>
        <v>A6m3;</v>
      </c>
      <c r="AP958" s="89"/>
    </row>
    <row r="959">
      <c r="A959" s="151" t="str">
        <f>IFERROR(__xludf.DUMMYFUNCTION("""COMPUTED_VALUE"""),"A6m5")</f>
        <v>A6m5</v>
      </c>
      <c r="B959" s="42" t="str">
        <f>IFERROR(__xludf.DUMMYFUNCTION("""COMPUTED_VALUE"""),"DHBA")</f>
        <v>DHBA</v>
      </c>
      <c r="C959" s="42" t="str">
        <f>IFERROR(__xludf.DUMMYFUNCTION("""COMPUTED_VALUE"""),"layer V of area 6m")</f>
        <v>layer V of area 6m</v>
      </c>
      <c r="D959" s="42">
        <f>IFERROR(__xludf.DUMMYFUNCTION("""COMPUTED_VALUE"""),902.0)</f>
        <v>902</v>
      </c>
      <c r="E959" s="39" t="str">
        <f>IFERROR(__xludf.DUMMYFUNCTION("""COMPUTED_VALUE"""),"layer V of area 6m")</f>
        <v>layer V of area 6m</v>
      </c>
      <c r="F959" s="9" t="str">
        <f>IFERROR(__xludf.DUMMYFUNCTION("""COMPUTED_VALUE"""),"Br")</f>
        <v>Br</v>
      </c>
      <c r="G959" s="9" t="str">
        <f>IFERROR(__xludf.DUMMYFUNCTION("""COMPUTED_VALUE"""),"F")</f>
        <v>F</v>
      </c>
      <c r="H959" s="9" t="str">
        <f>IFERROR(__xludf.DUMMYFUNCTION("""COMPUTED_VALUE"""),"FGM")</f>
        <v>FGM</v>
      </c>
      <c r="I959" s="9" t="str">
        <f>IFERROR(__xludf.DUMMYFUNCTION("""COMPUTED_VALUE"""),"Tel")</f>
        <v>Tel</v>
      </c>
      <c r="J959" s="9" t="str">
        <f>IFERROR(__xludf.DUMMYFUNCTION("""COMPUTED_VALUE"""),"Cx")</f>
        <v>Cx</v>
      </c>
      <c r="K959" s="9" t="str">
        <f>IFERROR(__xludf.DUMMYFUNCTION("""COMPUTED_VALUE"""),"NCx")</f>
        <v>NCx</v>
      </c>
      <c r="L959" s="9" t="str">
        <f>IFERROR(__xludf.DUMMYFUNCTION("""COMPUTED_VALUE"""),"FCx")</f>
        <v>FCx</v>
      </c>
      <c r="M959" s="9" t="str">
        <f>IFERROR(__xludf.DUMMYFUNCTION("""COMPUTED_VALUE"""),"PoFC")</f>
        <v>PoFC</v>
      </c>
      <c r="N959" s="9" t="str">
        <f>IFERROR(__xludf.DUMMYFUNCTION("""COMPUTED_VALUE"""),"PMC")</f>
        <v>PMC</v>
      </c>
      <c r="O959" s="9" t="str">
        <f>IFERROR(__xludf.DUMMYFUNCTION("""COMPUTED_VALUE"""),"A6m")</f>
        <v>A6m</v>
      </c>
      <c r="P959" s="9" t="str">
        <f>IFERROR(__xludf.DUMMYFUNCTION("""COMPUTED_VALUE"""),"A6m5")</f>
        <v>A6m5</v>
      </c>
      <c r="Q959" s="9"/>
      <c r="R959" s="9"/>
      <c r="S959" s="42"/>
      <c r="T959" s="42"/>
      <c r="U959" s="159"/>
      <c r="V959" s="42"/>
      <c r="W959" s="42"/>
      <c r="X959" s="42"/>
      <c r="Y959" s="42"/>
      <c r="Z959" s="42"/>
      <c r="AA959" s="42"/>
      <c r="AB959" s="42" t="str">
        <f>IFERROR(__xludf.DUMMYFUNCTION("""COMPUTED_VALUE"""),"allen institute")</f>
        <v>allen institute</v>
      </c>
      <c r="AC959" s="42" t="str">
        <f>IFERROR(__xludf.DUMMYFUNCTION("""COMPUTED_VALUE"""),"DHBA")</f>
        <v>DHBA</v>
      </c>
      <c r="AD959" s="42"/>
      <c r="AE959" s="42"/>
      <c r="AF959" s="9"/>
      <c r="AG959" s="9"/>
      <c r="AH959" s="42"/>
      <c r="AI959" s="42"/>
      <c r="AJ959" s="42"/>
      <c r="AK959" s="42"/>
      <c r="AL959" s="42"/>
      <c r="AM959" s="42"/>
      <c r="AN959" s="42"/>
      <c r="AO959" s="63" t="str">
        <f>IFERROR(__xludf.DUMMYFUNCTION("IF(ISBLANK(A959),,IF(ISBLANK(S959), A959&amp;"";"", TEXTJOIN(CHAR(10), TRUE, A959&amp;"";"", ARRAYFORMULA(VLOOKUP(SPLIT(S959, "";"" &amp; CHAR(10)), $A:$AO, 41, FALSE)))))"),"A6m5;")</f>
        <v>A6m5;</v>
      </c>
      <c r="AP959" s="89"/>
    </row>
    <row r="960">
      <c r="A960" s="151" t="str">
        <f>IFERROR(__xludf.DUMMYFUNCTION("""COMPUTED_VALUE"""),"A6m6")</f>
        <v>A6m6</v>
      </c>
      <c r="B960" s="42" t="str">
        <f>IFERROR(__xludf.DUMMYFUNCTION("""COMPUTED_VALUE"""),"DHBA")</f>
        <v>DHBA</v>
      </c>
      <c r="C960" s="42" t="str">
        <f>IFERROR(__xludf.DUMMYFUNCTION("""COMPUTED_VALUE"""),"layer VI of area 6m")</f>
        <v>layer VI of area 6m</v>
      </c>
      <c r="D960" s="42">
        <f>IFERROR(__xludf.DUMMYFUNCTION("""COMPUTED_VALUE"""),903.0)</f>
        <v>903</v>
      </c>
      <c r="E960" s="39" t="str">
        <f>IFERROR(__xludf.DUMMYFUNCTION("""COMPUTED_VALUE"""),"layer VI of area 6m")</f>
        <v>layer VI of area 6m</v>
      </c>
      <c r="F960" s="9" t="str">
        <f>IFERROR(__xludf.DUMMYFUNCTION("""COMPUTED_VALUE"""),"Br")</f>
        <v>Br</v>
      </c>
      <c r="G960" s="9" t="str">
        <f>IFERROR(__xludf.DUMMYFUNCTION("""COMPUTED_VALUE"""),"F")</f>
        <v>F</v>
      </c>
      <c r="H960" s="9" t="str">
        <f>IFERROR(__xludf.DUMMYFUNCTION("""COMPUTED_VALUE"""),"FGM")</f>
        <v>FGM</v>
      </c>
      <c r="I960" s="9" t="str">
        <f>IFERROR(__xludf.DUMMYFUNCTION("""COMPUTED_VALUE"""),"Tel")</f>
        <v>Tel</v>
      </c>
      <c r="J960" s="9" t="str">
        <f>IFERROR(__xludf.DUMMYFUNCTION("""COMPUTED_VALUE"""),"Cx")</f>
        <v>Cx</v>
      </c>
      <c r="K960" s="9" t="str">
        <f>IFERROR(__xludf.DUMMYFUNCTION("""COMPUTED_VALUE"""),"NCx")</f>
        <v>NCx</v>
      </c>
      <c r="L960" s="9" t="str">
        <f>IFERROR(__xludf.DUMMYFUNCTION("""COMPUTED_VALUE"""),"FCx")</f>
        <v>FCx</v>
      </c>
      <c r="M960" s="9" t="str">
        <f>IFERROR(__xludf.DUMMYFUNCTION("""COMPUTED_VALUE"""),"PoFC")</f>
        <v>PoFC</v>
      </c>
      <c r="N960" s="9" t="str">
        <f>IFERROR(__xludf.DUMMYFUNCTION("""COMPUTED_VALUE"""),"PMC")</f>
        <v>PMC</v>
      </c>
      <c r="O960" s="9" t="str">
        <f>IFERROR(__xludf.DUMMYFUNCTION("""COMPUTED_VALUE"""),"A6m")</f>
        <v>A6m</v>
      </c>
      <c r="P960" s="9" t="str">
        <f>IFERROR(__xludf.DUMMYFUNCTION("""COMPUTED_VALUE"""),"A6m6")</f>
        <v>A6m6</v>
      </c>
      <c r="Q960" s="9"/>
      <c r="R960" s="9"/>
      <c r="S960" s="42"/>
      <c r="T960" s="42"/>
      <c r="U960" s="42"/>
      <c r="V960" s="42"/>
      <c r="W960" s="42"/>
      <c r="X960" s="42"/>
      <c r="Y960" s="42"/>
      <c r="Z960" s="42"/>
      <c r="AA960" s="42"/>
      <c r="AB960" s="42" t="str">
        <f>IFERROR(__xludf.DUMMYFUNCTION("""COMPUTED_VALUE"""),"allen institute")</f>
        <v>allen institute</v>
      </c>
      <c r="AC960" s="42" t="str">
        <f>IFERROR(__xludf.DUMMYFUNCTION("""COMPUTED_VALUE"""),"DHBA")</f>
        <v>DHBA</v>
      </c>
      <c r="AD960" s="42"/>
      <c r="AE960" s="42"/>
      <c r="AF960" s="9"/>
      <c r="AG960" s="9"/>
      <c r="AH960" s="42"/>
      <c r="AI960" s="42"/>
      <c r="AJ960" s="42"/>
      <c r="AK960" s="42"/>
      <c r="AL960" s="42"/>
      <c r="AM960" s="42"/>
      <c r="AN960" s="42"/>
      <c r="AO960" s="63" t="str">
        <f>IFERROR(__xludf.DUMMYFUNCTION("IF(ISBLANK(A960),,IF(ISBLANK(S960), A960&amp;"";"", TEXTJOIN(CHAR(10), TRUE, A960&amp;"";"", ARRAYFORMULA(VLOOKUP(SPLIT(S960, "";"" &amp; CHAR(10)), $A:$AO, 41, FALSE)))))"),"A6m6;")</f>
        <v>A6m6;</v>
      </c>
      <c r="AP960" s="89"/>
    </row>
    <row r="961">
      <c r="A961" s="151" t="str">
        <f>IFERROR(__xludf.DUMMYFUNCTION("""COMPUTED_VALUE"""),"A6/32")</f>
        <v>A6/32</v>
      </c>
      <c r="B961" s="42" t="str">
        <f>IFERROR(__xludf.DUMMYFUNCTION("""COMPUTED_VALUE"""),"DHBA")</f>
        <v>DHBA</v>
      </c>
      <c r="C961" s="42" t="str">
        <f>IFERROR(__xludf.DUMMYFUNCTION("""COMPUTED_VALUE"""),"area 6/32")</f>
        <v>area 6/32</v>
      </c>
      <c r="D961" s="42">
        <f>IFERROR(__xludf.DUMMYFUNCTION("""COMPUTED_VALUE"""),904.0)</f>
        <v>904</v>
      </c>
      <c r="E961" s="39" t="str">
        <f>IFERROR(__xludf.DUMMYFUNCTION("""COMPUTED_VALUE"""),"area 6/32")</f>
        <v>area 6/32</v>
      </c>
      <c r="F961" s="9" t="str">
        <f>IFERROR(__xludf.DUMMYFUNCTION("""COMPUTED_VALUE"""),"Br")</f>
        <v>Br</v>
      </c>
      <c r="G961" s="9" t="str">
        <f>IFERROR(__xludf.DUMMYFUNCTION("""COMPUTED_VALUE"""),"F")</f>
        <v>F</v>
      </c>
      <c r="H961" s="9" t="str">
        <f>IFERROR(__xludf.DUMMYFUNCTION("""COMPUTED_VALUE"""),"FGM")</f>
        <v>FGM</v>
      </c>
      <c r="I961" s="9" t="str">
        <f>IFERROR(__xludf.DUMMYFUNCTION("""COMPUTED_VALUE"""),"Tel")</f>
        <v>Tel</v>
      </c>
      <c r="J961" s="9" t="str">
        <f>IFERROR(__xludf.DUMMYFUNCTION("""COMPUTED_VALUE"""),"Cx")</f>
        <v>Cx</v>
      </c>
      <c r="K961" s="9" t="str">
        <f>IFERROR(__xludf.DUMMYFUNCTION("""COMPUTED_VALUE"""),"NCx")</f>
        <v>NCx</v>
      </c>
      <c r="L961" s="9" t="str">
        <f>IFERROR(__xludf.DUMMYFUNCTION("""COMPUTED_VALUE"""),"FCx")</f>
        <v>FCx</v>
      </c>
      <c r="M961" s="9" t="str">
        <f>IFERROR(__xludf.DUMMYFUNCTION("""COMPUTED_VALUE"""),"PoFC")</f>
        <v>PoFC</v>
      </c>
      <c r="N961" s="9" t="str">
        <f>IFERROR(__xludf.DUMMYFUNCTION("""COMPUTED_VALUE"""),"A6/32")</f>
        <v>A6/32</v>
      </c>
      <c r="O961" s="9"/>
      <c r="P961" s="9"/>
      <c r="Q961" s="9"/>
      <c r="R961" s="9"/>
      <c r="S961" s="42"/>
      <c r="T961" s="42"/>
      <c r="U961" s="42"/>
      <c r="V961" s="42"/>
      <c r="W961" s="42"/>
      <c r="X961" s="42"/>
      <c r="Y961" s="42"/>
      <c r="Z961" s="42"/>
      <c r="AA961" s="42"/>
      <c r="AB961" s="42" t="str">
        <f>IFERROR(__xludf.DUMMYFUNCTION("""COMPUTED_VALUE"""),"allen institute")</f>
        <v>allen institute</v>
      </c>
      <c r="AC961" s="42" t="str">
        <f>IFERROR(__xludf.DUMMYFUNCTION("""COMPUTED_VALUE"""),"DHBA")</f>
        <v>DHBA</v>
      </c>
      <c r="AD961" s="42"/>
      <c r="AE961" s="42"/>
      <c r="AF961" s="9"/>
      <c r="AG961" s="9"/>
      <c r="AH961" s="42"/>
      <c r="AI961" s="42"/>
      <c r="AJ961" s="42"/>
      <c r="AK961" s="42"/>
      <c r="AL961" s="42"/>
      <c r="AM961" s="42"/>
      <c r="AN961" s="42"/>
      <c r="AO961" s="63" t="str">
        <f>IFERROR(__xludf.DUMMYFUNCTION("IF(ISBLANK(A961),,IF(ISBLANK(S961), A961&amp;"";"", TEXTJOIN(CHAR(10), TRUE, A961&amp;"";"", ARRAYFORMULA(VLOOKUP(SPLIT(S961, "";"" &amp; CHAR(10)), $A:$AO, 41, FALSE)))))"),"A6/32;")</f>
        <v>A6/32;</v>
      </c>
      <c r="AP961" s="89"/>
    </row>
    <row r="962">
      <c r="A962" s="151" t="str">
        <f>IFERROR(__xludf.DUMMYFUNCTION("""COMPUTED_VALUE"""),"A6/32-1")</f>
        <v>A6/32-1</v>
      </c>
      <c r="B962" s="42" t="str">
        <f>IFERROR(__xludf.DUMMYFUNCTION("""COMPUTED_VALUE"""),"DHBA")</f>
        <v>DHBA</v>
      </c>
      <c r="C962" s="42" t="str">
        <f>IFERROR(__xludf.DUMMYFUNCTION("""COMPUTED_VALUE"""),"layer I of area 6/32")</f>
        <v>layer I of area 6/32</v>
      </c>
      <c r="D962" s="42">
        <f>IFERROR(__xludf.DUMMYFUNCTION("""COMPUTED_VALUE"""),905.0)</f>
        <v>905</v>
      </c>
      <c r="E962" s="39" t="str">
        <f>IFERROR(__xludf.DUMMYFUNCTION("""COMPUTED_VALUE"""),"layer I of area 6/32")</f>
        <v>layer I of area 6/32</v>
      </c>
      <c r="F962" s="9" t="str">
        <f>IFERROR(__xludf.DUMMYFUNCTION("""COMPUTED_VALUE"""),"Br")</f>
        <v>Br</v>
      </c>
      <c r="G962" s="9" t="str">
        <f>IFERROR(__xludf.DUMMYFUNCTION("""COMPUTED_VALUE"""),"F")</f>
        <v>F</v>
      </c>
      <c r="H962" s="9" t="str">
        <f>IFERROR(__xludf.DUMMYFUNCTION("""COMPUTED_VALUE"""),"FGM")</f>
        <v>FGM</v>
      </c>
      <c r="I962" s="9" t="str">
        <f>IFERROR(__xludf.DUMMYFUNCTION("""COMPUTED_VALUE"""),"Tel")</f>
        <v>Tel</v>
      </c>
      <c r="J962" s="9" t="str">
        <f>IFERROR(__xludf.DUMMYFUNCTION("""COMPUTED_VALUE"""),"Cx")</f>
        <v>Cx</v>
      </c>
      <c r="K962" s="9" t="str">
        <f>IFERROR(__xludf.DUMMYFUNCTION("""COMPUTED_VALUE"""),"NCx")</f>
        <v>NCx</v>
      </c>
      <c r="L962" s="9" t="str">
        <f>IFERROR(__xludf.DUMMYFUNCTION("""COMPUTED_VALUE"""),"FCx")</f>
        <v>FCx</v>
      </c>
      <c r="M962" s="9" t="str">
        <f>IFERROR(__xludf.DUMMYFUNCTION("""COMPUTED_VALUE"""),"PoFC")</f>
        <v>PoFC</v>
      </c>
      <c r="N962" s="9" t="str">
        <f>IFERROR(__xludf.DUMMYFUNCTION("""COMPUTED_VALUE"""),"A6/32")</f>
        <v>A6/32</v>
      </c>
      <c r="O962" s="9" t="str">
        <f>IFERROR(__xludf.DUMMYFUNCTION("""COMPUTED_VALUE"""),"A6/32-1")</f>
        <v>A6/32-1</v>
      </c>
      <c r="P962" s="9"/>
      <c r="Q962" s="9"/>
      <c r="R962" s="9"/>
      <c r="S962" s="42"/>
      <c r="T962" s="42"/>
      <c r="U962" s="42"/>
      <c r="V962" s="42"/>
      <c r="W962" s="42"/>
      <c r="X962" s="42"/>
      <c r="Y962" s="42"/>
      <c r="Z962" s="42"/>
      <c r="AA962" s="42"/>
      <c r="AB962" s="42" t="str">
        <f>IFERROR(__xludf.DUMMYFUNCTION("""COMPUTED_VALUE"""),"allen institute")</f>
        <v>allen institute</v>
      </c>
      <c r="AC962" s="42" t="str">
        <f>IFERROR(__xludf.DUMMYFUNCTION("""COMPUTED_VALUE"""),"DHBA")</f>
        <v>DHBA</v>
      </c>
      <c r="AD962" s="42"/>
      <c r="AE962" s="42"/>
      <c r="AF962" s="9"/>
      <c r="AG962" s="9"/>
      <c r="AH962" s="42"/>
      <c r="AI962" s="42"/>
      <c r="AJ962" s="42"/>
      <c r="AK962" s="42"/>
      <c r="AL962" s="42"/>
      <c r="AM962" s="42"/>
      <c r="AN962" s="42"/>
      <c r="AO962" s="63" t="str">
        <f>IFERROR(__xludf.DUMMYFUNCTION("IF(ISBLANK(A962),,IF(ISBLANK(S962), A962&amp;"";"", TEXTJOIN(CHAR(10), TRUE, A962&amp;"";"", ARRAYFORMULA(VLOOKUP(SPLIT(S962, "";"" &amp; CHAR(10)), $A:$AO, 41, FALSE)))))"),"A6/32-1;")</f>
        <v>A6/32-1;</v>
      </c>
      <c r="AP962" s="89"/>
    </row>
    <row r="963">
      <c r="A963" s="151" t="str">
        <f>IFERROR(__xludf.DUMMYFUNCTION("""COMPUTED_VALUE"""),"A6/32-2")</f>
        <v>A6/32-2</v>
      </c>
      <c r="B963" s="42" t="str">
        <f>IFERROR(__xludf.DUMMYFUNCTION("""COMPUTED_VALUE"""),"DHBA")</f>
        <v>DHBA</v>
      </c>
      <c r="C963" s="42" t="str">
        <f>IFERROR(__xludf.DUMMYFUNCTION("""COMPUTED_VALUE"""),"layer II of area 6/32")</f>
        <v>layer II of area 6/32</v>
      </c>
      <c r="D963" s="42">
        <f>IFERROR(__xludf.DUMMYFUNCTION("""COMPUTED_VALUE"""),906.0)</f>
        <v>906</v>
      </c>
      <c r="E963" s="39" t="str">
        <f>IFERROR(__xludf.DUMMYFUNCTION("""COMPUTED_VALUE"""),"layer II of area 6/32")</f>
        <v>layer II of area 6/32</v>
      </c>
      <c r="F963" s="9" t="str">
        <f>IFERROR(__xludf.DUMMYFUNCTION("""COMPUTED_VALUE"""),"Br")</f>
        <v>Br</v>
      </c>
      <c r="G963" s="9" t="str">
        <f>IFERROR(__xludf.DUMMYFUNCTION("""COMPUTED_VALUE"""),"F")</f>
        <v>F</v>
      </c>
      <c r="H963" s="9" t="str">
        <f>IFERROR(__xludf.DUMMYFUNCTION("""COMPUTED_VALUE"""),"FGM")</f>
        <v>FGM</v>
      </c>
      <c r="I963" s="9" t="str">
        <f>IFERROR(__xludf.DUMMYFUNCTION("""COMPUTED_VALUE"""),"Tel")</f>
        <v>Tel</v>
      </c>
      <c r="J963" s="9" t="str">
        <f>IFERROR(__xludf.DUMMYFUNCTION("""COMPUTED_VALUE"""),"Cx")</f>
        <v>Cx</v>
      </c>
      <c r="K963" s="9" t="str">
        <f>IFERROR(__xludf.DUMMYFUNCTION("""COMPUTED_VALUE"""),"NCx")</f>
        <v>NCx</v>
      </c>
      <c r="L963" s="9" t="str">
        <f>IFERROR(__xludf.DUMMYFUNCTION("""COMPUTED_VALUE"""),"FCx")</f>
        <v>FCx</v>
      </c>
      <c r="M963" s="9" t="str">
        <f>IFERROR(__xludf.DUMMYFUNCTION("""COMPUTED_VALUE"""),"PoFC")</f>
        <v>PoFC</v>
      </c>
      <c r="N963" s="9" t="str">
        <f>IFERROR(__xludf.DUMMYFUNCTION("""COMPUTED_VALUE"""),"A6/32")</f>
        <v>A6/32</v>
      </c>
      <c r="O963" s="9" t="str">
        <f>IFERROR(__xludf.DUMMYFUNCTION("""COMPUTED_VALUE"""),"A6/32-2")</f>
        <v>A6/32-2</v>
      </c>
      <c r="P963" s="9"/>
      <c r="Q963" s="9"/>
      <c r="R963" s="9"/>
      <c r="S963" s="42"/>
      <c r="T963" s="42"/>
      <c r="U963" s="42"/>
      <c r="V963" s="42"/>
      <c r="W963" s="42"/>
      <c r="X963" s="42"/>
      <c r="Y963" s="42"/>
      <c r="Z963" s="42"/>
      <c r="AA963" s="42"/>
      <c r="AB963" s="42" t="str">
        <f>IFERROR(__xludf.DUMMYFUNCTION("""COMPUTED_VALUE"""),"allen institute")</f>
        <v>allen institute</v>
      </c>
      <c r="AC963" s="42" t="str">
        <f>IFERROR(__xludf.DUMMYFUNCTION("""COMPUTED_VALUE"""),"DHBA")</f>
        <v>DHBA</v>
      </c>
      <c r="AD963" s="42"/>
      <c r="AE963" s="42"/>
      <c r="AF963" s="9"/>
      <c r="AG963" s="9"/>
      <c r="AH963" s="42"/>
      <c r="AI963" s="42"/>
      <c r="AJ963" s="42"/>
      <c r="AK963" s="42"/>
      <c r="AL963" s="42"/>
      <c r="AM963" s="42"/>
      <c r="AN963" s="42"/>
      <c r="AO963" s="63" t="str">
        <f>IFERROR(__xludf.DUMMYFUNCTION("IF(ISBLANK(A963),,IF(ISBLANK(S963), A963&amp;"";"", TEXTJOIN(CHAR(10), TRUE, A963&amp;"";"", ARRAYFORMULA(VLOOKUP(SPLIT(S963, "";"" &amp; CHAR(10)), $A:$AO, 41, FALSE)))))"),"A6/32-2;")</f>
        <v>A6/32-2;</v>
      </c>
      <c r="AP963" s="89"/>
    </row>
    <row r="964">
      <c r="A964" s="151" t="str">
        <f>IFERROR(__xludf.DUMMYFUNCTION("""COMPUTED_VALUE"""),"A6/32-3")</f>
        <v>A6/32-3</v>
      </c>
      <c r="B964" s="42" t="str">
        <f>IFERROR(__xludf.DUMMYFUNCTION("""COMPUTED_VALUE"""),"DHBA")</f>
        <v>DHBA</v>
      </c>
      <c r="C964" s="42" t="str">
        <f>IFERROR(__xludf.DUMMYFUNCTION("""COMPUTED_VALUE"""),"layer III of area 6/32")</f>
        <v>layer III of area 6/32</v>
      </c>
      <c r="D964" s="42">
        <f>IFERROR(__xludf.DUMMYFUNCTION("""COMPUTED_VALUE"""),907.0)</f>
        <v>907</v>
      </c>
      <c r="E964" s="39" t="str">
        <f>IFERROR(__xludf.DUMMYFUNCTION("""COMPUTED_VALUE"""),"layer III of area 6/32")</f>
        <v>layer III of area 6/32</v>
      </c>
      <c r="F964" s="9" t="str">
        <f>IFERROR(__xludf.DUMMYFUNCTION("""COMPUTED_VALUE"""),"Br")</f>
        <v>Br</v>
      </c>
      <c r="G964" s="9" t="str">
        <f>IFERROR(__xludf.DUMMYFUNCTION("""COMPUTED_VALUE"""),"F")</f>
        <v>F</v>
      </c>
      <c r="H964" s="9" t="str">
        <f>IFERROR(__xludf.DUMMYFUNCTION("""COMPUTED_VALUE"""),"FGM")</f>
        <v>FGM</v>
      </c>
      <c r="I964" s="9" t="str">
        <f>IFERROR(__xludf.DUMMYFUNCTION("""COMPUTED_VALUE"""),"Tel")</f>
        <v>Tel</v>
      </c>
      <c r="J964" s="9" t="str">
        <f>IFERROR(__xludf.DUMMYFUNCTION("""COMPUTED_VALUE"""),"Cx")</f>
        <v>Cx</v>
      </c>
      <c r="K964" s="9" t="str">
        <f>IFERROR(__xludf.DUMMYFUNCTION("""COMPUTED_VALUE"""),"NCx")</f>
        <v>NCx</v>
      </c>
      <c r="L964" s="9" t="str">
        <f>IFERROR(__xludf.DUMMYFUNCTION("""COMPUTED_VALUE"""),"FCx")</f>
        <v>FCx</v>
      </c>
      <c r="M964" s="9" t="str">
        <f>IFERROR(__xludf.DUMMYFUNCTION("""COMPUTED_VALUE"""),"PoFC")</f>
        <v>PoFC</v>
      </c>
      <c r="N964" s="9" t="str">
        <f>IFERROR(__xludf.DUMMYFUNCTION("""COMPUTED_VALUE"""),"A6/32")</f>
        <v>A6/32</v>
      </c>
      <c r="O964" s="9" t="str">
        <f>IFERROR(__xludf.DUMMYFUNCTION("""COMPUTED_VALUE"""),"A6/32-3")</f>
        <v>A6/32-3</v>
      </c>
      <c r="P964" s="9"/>
      <c r="Q964" s="9"/>
      <c r="R964" s="9"/>
      <c r="S964" s="42"/>
      <c r="T964" s="42"/>
      <c r="U964" s="42"/>
      <c r="V964" s="42"/>
      <c r="W964" s="42"/>
      <c r="X964" s="42"/>
      <c r="Y964" s="42"/>
      <c r="Z964" s="42"/>
      <c r="AA964" s="42"/>
      <c r="AB964" s="42" t="str">
        <f>IFERROR(__xludf.DUMMYFUNCTION("""COMPUTED_VALUE"""),"allen institute")</f>
        <v>allen institute</v>
      </c>
      <c r="AC964" s="42" t="str">
        <f>IFERROR(__xludf.DUMMYFUNCTION("""COMPUTED_VALUE"""),"DHBA")</f>
        <v>DHBA</v>
      </c>
      <c r="AD964" s="42"/>
      <c r="AE964" s="42"/>
      <c r="AF964" s="9"/>
      <c r="AG964" s="9"/>
      <c r="AH964" s="42"/>
      <c r="AI964" s="42"/>
      <c r="AJ964" s="42"/>
      <c r="AK964" s="42"/>
      <c r="AL964" s="42"/>
      <c r="AM964" s="42"/>
      <c r="AN964" s="42"/>
      <c r="AO964" s="63" t="str">
        <f>IFERROR(__xludf.DUMMYFUNCTION("IF(ISBLANK(A964),,IF(ISBLANK(S964), A964&amp;"";"", TEXTJOIN(CHAR(10), TRUE, A964&amp;"";"", ARRAYFORMULA(VLOOKUP(SPLIT(S964, "";"" &amp; CHAR(10)), $A:$AO, 41, FALSE)))))"),"A6/32-3;")</f>
        <v>A6/32-3;</v>
      </c>
      <c r="AP964" s="89"/>
    </row>
    <row r="965">
      <c r="A965" s="151" t="str">
        <f>IFERROR(__xludf.DUMMYFUNCTION("""COMPUTED_VALUE"""),"A6/32-4")</f>
        <v>A6/32-4</v>
      </c>
      <c r="B965" s="42" t="str">
        <f>IFERROR(__xludf.DUMMYFUNCTION("""COMPUTED_VALUE"""),"DHBA")</f>
        <v>DHBA</v>
      </c>
      <c r="C965" s="42" t="str">
        <f>IFERROR(__xludf.DUMMYFUNCTION("""COMPUTED_VALUE"""),"layer IV of area 6/32")</f>
        <v>layer IV of area 6/32</v>
      </c>
      <c r="D965" s="42">
        <f>IFERROR(__xludf.DUMMYFUNCTION("""COMPUTED_VALUE"""),908.0)</f>
        <v>908</v>
      </c>
      <c r="E965" s="39" t="str">
        <f>IFERROR(__xludf.DUMMYFUNCTION("""COMPUTED_VALUE"""),"layer IV of area 6/32")</f>
        <v>layer IV of area 6/32</v>
      </c>
      <c r="F965" s="9" t="str">
        <f>IFERROR(__xludf.DUMMYFUNCTION("""COMPUTED_VALUE"""),"Br")</f>
        <v>Br</v>
      </c>
      <c r="G965" s="9" t="str">
        <f>IFERROR(__xludf.DUMMYFUNCTION("""COMPUTED_VALUE"""),"F")</f>
        <v>F</v>
      </c>
      <c r="H965" s="9" t="str">
        <f>IFERROR(__xludf.DUMMYFUNCTION("""COMPUTED_VALUE"""),"FGM")</f>
        <v>FGM</v>
      </c>
      <c r="I965" s="9" t="str">
        <f>IFERROR(__xludf.DUMMYFUNCTION("""COMPUTED_VALUE"""),"Tel")</f>
        <v>Tel</v>
      </c>
      <c r="J965" s="9" t="str">
        <f>IFERROR(__xludf.DUMMYFUNCTION("""COMPUTED_VALUE"""),"Cx")</f>
        <v>Cx</v>
      </c>
      <c r="K965" s="9" t="str">
        <f>IFERROR(__xludf.DUMMYFUNCTION("""COMPUTED_VALUE"""),"NCx")</f>
        <v>NCx</v>
      </c>
      <c r="L965" s="9" t="str">
        <f>IFERROR(__xludf.DUMMYFUNCTION("""COMPUTED_VALUE"""),"FCx")</f>
        <v>FCx</v>
      </c>
      <c r="M965" s="9" t="str">
        <f>IFERROR(__xludf.DUMMYFUNCTION("""COMPUTED_VALUE"""),"PoFC")</f>
        <v>PoFC</v>
      </c>
      <c r="N965" s="9" t="str">
        <f>IFERROR(__xludf.DUMMYFUNCTION("""COMPUTED_VALUE"""),"A6/32")</f>
        <v>A6/32</v>
      </c>
      <c r="O965" s="9" t="str">
        <f>IFERROR(__xludf.DUMMYFUNCTION("""COMPUTED_VALUE"""),"A6/32-4")</f>
        <v>A6/32-4</v>
      </c>
      <c r="P965" s="9"/>
      <c r="Q965" s="9"/>
      <c r="R965" s="9"/>
      <c r="S965" s="42"/>
      <c r="T965" s="42"/>
      <c r="U965" s="42"/>
      <c r="V965" s="42"/>
      <c r="W965" s="42"/>
      <c r="X965" s="42"/>
      <c r="Y965" s="42"/>
      <c r="Z965" s="42"/>
      <c r="AA965" s="42"/>
      <c r="AB965" s="42" t="str">
        <f>IFERROR(__xludf.DUMMYFUNCTION("""COMPUTED_VALUE"""),"allen institute")</f>
        <v>allen institute</v>
      </c>
      <c r="AC965" s="42" t="str">
        <f>IFERROR(__xludf.DUMMYFUNCTION("""COMPUTED_VALUE"""),"DHBA")</f>
        <v>DHBA</v>
      </c>
      <c r="AD965" s="42"/>
      <c r="AE965" s="42"/>
      <c r="AF965" s="9"/>
      <c r="AG965" s="9"/>
      <c r="AH965" s="42"/>
      <c r="AI965" s="42"/>
      <c r="AJ965" s="42"/>
      <c r="AK965" s="42"/>
      <c r="AL965" s="42"/>
      <c r="AM965" s="42"/>
      <c r="AN965" s="42"/>
      <c r="AO965" s="63" t="str">
        <f>IFERROR(__xludf.DUMMYFUNCTION("IF(ISBLANK(A965),,IF(ISBLANK(S965), A965&amp;"";"", TEXTJOIN(CHAR(10), TRUE, A965&amp;"";"", ARRAYFORMULA(VLOOKUP(SPLIT(S965, "";"" &amp; CHAR(10)), $A:$AO, 41, FALSE)))))"),"A6/32-4;")</f>
        <v>A6/32-4;</v>
      </c>
      <c r="AP965" s="89"/>
    </row>
    <row r="966">
      <c r="A966" s="151" t="str">
        <f>IFERROR(__xludf.DUMMYFUNCTION("""COMPUTED_VALUE"""),"A6/32-5")</f>
        <v>A6/32-5</v>
      </c>
      <c r="B966" s="42" t="str">
        <f>IFERROR(__xludf.DUMMYFUNCTION("""COMPUTED_VALUE"""),"DHBA")</f>
        <v>DHBA</v>
      </c>
      <c r="C966" s="42" t="str">
        <f>IFERROR(__xludf.DUMMYFUNCTION("""COMPUTED_VALUE"""),"layer V of area 6/32")</f>
        <v>layer V of area 6/32</v>
      </c>
      <c r="D966" s="42">
        <f>IFERROR(__xludf.DUMMYFUNCTION("""COMPUTED_VALUE"""),909.0)</f>
        <v>909</v>
      </c>
      <c r="E966" s="39" t="str">
        <f>IFERROR(__xludf.DUMMYFUNCTION("""COMPUTED_VALUE"""),"layer V of area 6/32")</f>
        <v>layer V of area 6/32</v>
      </c>
      <c r="F966" s="9" t="str">
        <f>IFERROR(__xludf.DUMMYFUNCTION("""COMPUTED_VALUE"""),"Br")</f>
        <v>Br</v>
      </c>
      <c r="G966" s="9" t="str">
        <f>IFERROR(__xludf.DUMMYFUNCTION("""COMPUTED_VALUE"""),"F")</f>
        <v>F</v>
      </c>
      <c r="H966" s="9" t="str">
        <f>IFERROR(__xludf.DUMMYFUNCTION("""COMPUTED_VALUE"""),"FGM")</f>
        <v>FGM</v>
      </c>
      <c r="I966" s="9" t="str">
        <f>IFERROR(__xludf.DUMMYFUNCTION("""COMPUTED_VALUE"""),"Tel")</f>
        <v>Tel</v>
      </c>
      <c r="J966" s="9" t="str">
        <f>IFERROR(__xludf.DUMMYFUNCTION("""COMPUTED_VALUE"""),"Cx")</f>
        <v>Cx</v>
      </c>
      <c r="K966" s="9" t="str">
        <f>IFERROR(__xludf.DUMMYFUNCTION("""COMPUTED_VALUE"""),"NCx")</f>
        <v>NCx</v>
      </c>
      <c r="L966" s="9" t="str">
        <f>IFERROR(__xludf.DUMMYFUNCTION("""COMPUTED_VALUE"""),"FCx")</f>
        <v>FCx</v>
      </c>
      <c r="M966" s="9" t="str">
        <f>IFERROR(__xludf.DUMMYFUNCTION("""COMPUTED_VALUE"""),"PoFC")</f>
        <v>PoFC</v>
      </c>
      <c r="N966" s="9" t="str">
        <f>IFERROR(__xludf.DUMMYFUNCTION("""COMPUTED_VALUE"""),"A6/32")</f>
        <v>A6/32</v>
      </c>
      <c r="O966" s="9" t="str">
        <f>IFERROR(__xludf.DUMMYFUNCTION("""COMPUTED_VALUE"""),"A6/32-5")</f>
        <v>A6/32-5</v>
      </c>
      <c r="P966" s="9"/>
      <c r="Q966" s="9"/>
      <c r="R966" s="9"/>
      <c r="S966" s="42"/>
      <c r="T966" s="42"/>
      <c r="U966" s="42"/>
      <c r="V966" s="42"/>
      <c r="W966" s="42"/>
      <c r="X966" s="42"/>
      <c r="Y966" s="42"/>
      <c r="Z966" s="42"/>
      <c r="AA966" s="42"/>
      <c r="AB966" s="42" t="str">
        <f>IFERROR(__xludf.DUMMYFUNCTION("""COMPUTED_VALUE"""),"allen institute")</f>
        <v>allen institute</v>
      </c>
      <c r="AC966" s="42" t="str">
        <f>IFERROR(__xludf.DUMMYFUNCTION("""COMPUTED_VALUE"""),"DHBA")</f>
        <v>DHBA</v>
      </c>
      <c r="AD966" s="42"/>
      <c r="AE966" s="42"/>
      <c r="AF966" s="9"/>
      <c r="AG966" s="9"/>
      <c r="AH966" s="42"/>
      <c r="AI966" s="42"/>
      <c r="AJ966" s="42"/>
      <c r="AK966" s="42"/>
      <c r="AL966" s="42"/>
      <c r="AM966" s="42"/>
      <c r="AN966" s="42"/>
      <c r="AO966" s="63" t="str">
        <f>IFERROR(__xludf.DUMMYFUNCTION("IF(ISBLANK(A966),,IF(ISBLANK(S966), A966&amp;"";"", TEXTJOIN(CHAR(10), TRUE, A966&amp;"";"", ARRAYFORMULA(VLOOKUP(SPLIT(S966, "";"" &amp; CHAR(10)), $A:$AO, 41, FALSE)))))"),"A6/32-5;")</f>
        <v>A6/32-5;</v>
      </c>
      <c r="AP966" s="89"/>
    </row>
    <row r="967">
      <c r="A967" s="151" t="str">
        <f>IFERROR(__xludf.DUMMYFUNCTION("""COMPUTED_VALUE"""),"A6/32-6")</f>
        <v>A6/32-6</v>
      </c>
      <c r="B967" s="42" t="str">
        <f>IFERROR(__xludf.DUMMYFUNCTION("""COMPUTED_VALUE"""),"DHBA")</f>
        <v>DHBA</v>
      </c>
      <c r="C967" s="42" t="str">
        <f>IFERROR(__xludf.DUMMYFUNCTION("""COMPUTED_VALUE"""),"layer VI of area 6/32")</f>
        <v>layer VI of area 6/32</v>
      </c>
      <c r="D967" s="42">
        <f>IFERROR(__xludf.DUMMYFUNCTION("""COMPUTED_VALUE"""),910.0)</f>
        <v>910</v>
      </c>
      <c r="E967" s="39" t="str">
        <f>IFERROR(__xludf.DUMMYFUNCTION("""COMPUTED_VALUE"""),"layer VI of area 6/32")</f>
        <v>layer VI of area 6/32</v>
      </c>
      <c r="F967" s="9" t="str">
        <f>IFERROR(__xludf.DUMMYFUNCTION("""COMPUTED_VALUE"""),"Br")</f>
        <v>Br</v>
      </c>
      <c r="G967" s="9" t="str">
        <f>IFERROR(__xludf.DUMMYFUNCTION("""COMPUTED_VALUE"""),"F")</f>
        <v>F</v>
      </c>
      <c r="H967" s="9" t="str">
        <f>IFERROR(__xludf.DUMMYFUNCTION("""COMPUTED_VALUE"""),"FGM")</f>
        <v>FGM</v>
      </c>
      <c r="I967" s="9" t="str">
        <f>IFERROR(__xludf.DUMMYFUNCTION("""COMPUTED_VALUE"""),"Tel")</f>
        <v>Tel</v>
      </c>
      <c r="J967" s="9" t="str">
        <f>IFERROR(__xludf.DUMMYFUNCTION("""COMPUTED_VALUE"""),"Cx")</f>
        <v>Cx</v>
      </c>
      <c r="K967" s="9" t="str">
        <f>IFERROR(__xludf.DUMMYFUNCTION("""COMPUTED_VALUE"""),"NCx")</f>
        <v>NCx</v>
      </c>
      <c r="L967" s="9" t="str">
        <f>IFERROR(__xludf.DUMMYFUNCTION("""COMPUTED_VALUE"""),"FCx")</f>
        <v>FCx</v>
      </c>
      <c r="M967" s="9" t="str">
        <f>IFERROR(__xludf.DUMMYFUNCTION("""COMPUTED_VALUE"""),"PoFC")</f>
        <v>PoFC</v>
      </c>
      <c r="N967" s="9" t="str">
        <f>IFERROR(__xludf.DUMMYFUNCTION("""COMPUTED_VALUE"""),"A6/32")</f>
        <v>A6/32</v>
      </c>
      <c r="O967" s="9" t="str">
        <f>IFERROR(__xludf.DUMMYFUNCTION("""COMPUTED_VALUE"""),"A6/32-6")</f>
        <v>A6/32-6</v>
      </c>
      <c r="P967" s="9"/>
      <c r="Q967" s="9"/>
      <c r="R967" s="9"/>
      <c r="S967" s="42"/>
      <c r="T967" s="42"/>
      <c r="U967" s="42"/>
      <c r="V967" s="42"/>
      <c r="W967" s="42"/>
      <c r="X967" s="42"/>
      <c r="Y967" s="42"/>
      <c r="Z967" s="42"/>
      <c r="AA967" s="42"/>
      <c r="AB967" s="42" t="str">
        <f>IFERROR(__xludf.DUMMYFUNCTION("""COMPUTED_VALUE"""),"allen institute")</f>
        <v>allen institute</v>
      </c>
      <c r="AC967" s="42" t="str">
        <f>IFERROR(__xludf.DUMMYFUNCTION("""COMPUTED_VALUE"""),"DHBA")</f>
        <v>DHBA</v>
      </c>
      <c r="AD967" s="42"/>
      <c r="AE967" s="42"/>
      <c r="AF967" s="9"/>
      <c r="AG967" s="9"/>
      <c r="AH967" s="42"/>
      <c r="AI967" s="42"/>
      <c r="AJ967" s="42"/>
      <c r="AK967" s="42"/>
      <c r="AL967" s="42"/>
      <c r="AM967" s="42"/>
      <c r="AN967" s="42"/>
      <c r="AO967" s="63" t="str">
        <f>IFERROR(__xludf.DUMMYFUNCTION("IF(ISBLANK(A967),,IF(ISBLANK(S967), A967&amp;"";"", TEXTJOIN(CHAR(10), TRUE, A967&amp;"";"", ARRAYFORMULA(VLOOKUP(SPLIT(S967, "";"" &amp; CHAR(10)), $A:$AO, 41, FALSE)))))"),"A6/32-6;")</f>
        <v>A6/32-6;</v>
      </c>
      <c r="AP967" s="89"/>
    </row>
    <row r="968">
      <c r="A968" s="151" t="str">
        <f>IFERROR(__xludf.DUMMYFUNCTION("""COMPUTED_VALUE"""),"M1C-S1C")</f>
        <v>M1C-S1C</v>
      </c>
      <c r="B968" s="42" t="str">
        <f>IFERROR(__xludf.DUMMYFUNCTION("""COMPUTED_VALUE"""),"DHBA")</f>
        <v>DHBA</v>
      </c>
      <c r="C968" s="42" t="str">
        <f>IFERROR(__xludf.DUMMYFUNCTION("""COMPUTED_VALUE"""),"primary motor-sensory cortex (samples)")</f>
        <v>primary motor-sensory cortex (samples)</v>
      </c>
      <c r="D968" s="42">
        <f>IFERROR(__xludf.DUMMYFUNCTION("""COMPUTED_VALUE"""),911.0)</f>
        <v>911</v>
      </c>
      <c r="E968" s="39" t="str">
        <f>IFERROR(__xludf.DUMMYFUNCTION("""COMPUTED_VALUE"""),"primary motor-sensory cortex (samples)")</f>
        <v>primary motor-sensory cortex (samples)</v>
      </c>
      <c r="F968" s="9" t="str">
        <f>IFERROR(__xludf.DUMMYFUNCTION("""COMPUTED_VALUE"""),"Br")</f>
        <v>Br</v>
      </c>
      <c r="G968" s="9" t="str">
        <f>IFERROR(__xludf.DUMMYFUNCTION("""COMPUTED_VALUE"""),"F")</f>
        <v>F</v>
      </c>
      <c r="H968" s="9" t="str">
        <f>IFERROR(__xludf.DUMMYFUNCTION("""COMPUTED_VALUE"""),"FGM")</f>
        <v>FGM</v>
      </c>
      <c r="I968" s="9" t="str">
        <f>IFERROR(__xludf.DUMMYFUNCTION("""COMPUTED_VALUE"""),"Tel")</f>
        <v>Tel</v>
      </c>
      <c r="J968" s="9" t="str">
        <f>IFERROR(__xludf.DUMMYFUNCTION("""COMPUTED_VALUE"""),"Cx")</f>
        <v>Cx</v>
      </c>
      <c r="K968" s="9" t="str">
        <f>IFERROR(__xludf.DUMMYFUNCTION("""COMPUTED_VALUE"""),"NCx")</f>
        <v>NCx</v>
      </c>
      <c r="L968" s="9" t="str">
        <f>IFERROR(__xludf.DUMMYFUNCTION("""COMPUTED_VALUE"""),"M1C-S1C")</f>
        <v>M1C-S1C</v>
      </c>
      <c r="M968" s="9"/>
      <c r="N968" s="9"/>
      <c r="O968" s="9"/>
      <c r="P968" s="9"/>
      <c r="Q968" s="9"/>
      <c r="R968" s="9"/>
      <c r="S968" s="42"/>
      <c r="T968" s="42"/>
      <c r="U968" s="42"/>
      <c r="V968" s="42"/>
      <c r="W968" s="42"/>
      <c r="X968" s="42"/>
      <c r="Y968" s="42"/>
      <c r="Z968" s="42"/>
      <c r="AA968" s="42"/>
      <c r="AB968" s="42" t="str">
        <f>IFERROR(__xludf.DUMMYFUNCTION("""COMPUTED_VALUE"""),"allen institute")</f>
        <v>allen institute</v>
      </c>
      <c r="AC968" s="42" t="str">
        <f>IFERROR(__xludf.DUMMYFUNCTION("""COMPUTED_VALUE"""),"DHBA")</f>
        <v>DHBA</v>
      </c>
      <c r="AD968" s="42"/>
      <c r="AE968" s="42"/>
      <c r="AF968" s="9"/>
      <c r="AG968" s="9"/>
      <c r="AH968" s="42"/>
      <c r="AI968" s="42"/>
      <c r="AJ968" s="42"/>
      <c r="AK968" s="42"/>
      <c r="AL968" s="42"/>
      <c r="AM968" s="42"/>
      <c r="AN968" s="42"/>
      <c r="AO968" s="63" t="str">
        <f>IFERROR(__xludf.DUMMYFUNCTION("IF(ISBLANK(A968),,IF(ISBLANK(S968), A968&amp;"";"", TEXTJOIN(CHAR(10), TRUE, A968&amp;"";"", ARRAYFORMULA(VLOOKUP(SPLIT(S968, "";"" &amp; CHAR(10)), $A:$AO, 41, FALSE)))))"),"M1C-S1C;")</f>
        <v>M1C-S1C;</v>
      </c>
      <c r="AP968" s="89"/>
    </row>
    <row r="969">
      <c r="A969" s="151" t="str">
        <f>IFERROR(__xludf.DUMMYFUNCTION("""COMPUTED_VALUE"""),"PCx")</f>
        <v>PCx</v>
      </c>
      <c r="B969" s="42" t="str">
        <f>IFERROR(__xludf.DUMMYFUNCTION("""COMPUTED_VALUE"""),"DHBA")</f>
        <v>DHBA</v>
      </c>
      <c r="C969" s="42" t="str">
        <f>IFERROR(__xludf.DUMMYFUNCTION("""COMPUTED_VALUE"""),"parietal neocortex")</f>
        <v>parietal neocortex</v>
      </c>
      <c r="D969" s="42">
        <f>IFERROR(__xludf.DUMMYFUNCTION("""COMPUTED_VALUE"""),912.0)</f>
        <v>912</v>
      </c>
      <c r="E969" s="39" t="str">
        <f>IFERROR(__xludf.DUMMYFUNCTION("""COMPUTED_VALUE"""),"parietal neocortex")</f>
        <v>parietal neocortex</v>
      </c>
      <c r="F969" s="9" t="str">
        <f>IFERROR(__xludf.DUMMYFUNCTION("""COMPUTED_VALUE"""),"Br")</f>
        <v>Br</v>
      </c>
      <c r="G969" s="9" t="str">
        <f>IFERROR(__xludf.DUMMYFUNCTION("""COMPUTED_VALUE"""),"F")</f>
        <v>F</v>
      </c>
      <c r="H969" s="9" t="str">
        <f>IFERROR(__xludf.DUMMYFUNCTION("""COMPUTED_VALUE"""),"FGM")</f>
        <v>FGM</v>
      </c>
      <c r="I969" s="9" t="str">
        <f>IFERROR(__xludf.DUMMYFUNCTION("""COMPUTED_VALUE"""),"Tel")</f>
        <v>Tel</v>
      </c>
      <c r="J969" s="9" t="str">
        <f>IFERROR(__xludf.DUMMYFUNCTION("""COMPUTED_VALUE"""),"Cx")</f>
        <v>Cx</v>
      </c>
      <c r="K969" s="9" t="str">
        <f>IFERROR(__xludf.DUMMYFUNCTION("""COMPUTED_VALUE"""),"NCx")</f>
        <v>NCx</v>
      </c>
      <c r="L969" s="9" t="str">
        <f>IFERROR(__xludf.DUMMYFUNCTION("""COMPUTED_VALUE"""),"PCx")</f>
        <v>PCx</v>
      </c>
      <c r="M969" s="9"/>
      <c r="N969" s="9"/>
      <c r="O969" s="9"/>
      <c r="P969" s="9"/>
      <c r="Q969" s="9"/>
      <c r="R969" s="9"/>
      <c r="S969" s="42" t="str">
        <f>IFERROR(__xludf.DUMMYFUNCTION("""COMPUTED_VALUE"""),"S1C;
ScC;
PoPC")</f>
        <v>S1C;
ScC;
PoPC</v>
      </c>
      <c r="T969" s="42"/>
      <c r="U969" s="42" t="b">
        <f>IFERROR(__xludf.DUMMYFUNCTION("""COMPUTED_VALUE"""),FALSE)</f>
        <v>0</v>
      </c>
      <c r="V969" s="42"/>
      <c r="W969" s="42"/>
      <c r="X969" s="42"/>
      <c r="Y969" s="42"/>
      <c r="Z969" s="42"/>
      <c r="AA969" s="42"/>
      <c r="AB969" s="42" t="str">
        <f>IFERROR(__xludf.DUMMYFUNCTION("""COMPUTED_VALUE"""),"allen institute")</f>
        <v>allen institute</v>
      </c>
      <c r="AC969" s="42" t="str">
        <f>IFERROR(__xludf.DUMMYFUNCTION("""COMPUTED_VALUE"""),"DHBA")</f>
        <v>DHBA</v>
      </c>
      <c r="AD969" s="42"/>
      <c r="AE969" s="42"/>
      <c r="AF969" s="9"/>
      <c r="AG969" s="9"/>
      <c r="AH969" s="42"/>
      <c r="AI969" s="42"/>
      <c r="AJ969" s="42"/>
      <c r="AK969" s="42"/>
      <c r="AL969" s="42"/>
      <c r="AM969" s="42"/>
      <c r="AN969" s="42"/>
      <c r="AO969" s="63" t="str">
        <f>IFERROR(__xludf.DUMMYFUNCTION("IF(ISBLANK(A969),,IF(ISBLANK(S969), A969&amp;"";"", TEXTJOIN(CHAR(10), TRUE, A969&amp;"";"", ARRAYFORMULA(VLOOKUP(SPLIT(S969, "";"" &amp; CHAR(10)), $A:$AO, 41, FALSE)))))"),"#N/A")</f>
        <v>#N/A</v>
      </c>
      <c r="AP969" s="89"/>
    </row>
    <row r="970">
      <c r="A970" s="151" t="str">
        <f>IFERROR(__xludf.DUMMYFUNCTION("""COMPUTED_VALUE"""),"S1C")</f>
        <v>S1C</v>
      </c>
      <c r="B970" s="42" t="str">
        <f>IFERROR(__xludf.DUMMYFUNCTION("""COMPUTED_VALUE"""),"DHBA")</f>
        <v>DHBA</v>
      </c>
      <c r="C970" s="42" t="str">
        <f>IFERROR(__xludf.DUMMYFUNCTION("""COMPUTED_VALUE"""),"primary somatosensory cortex (area S1, area 3,1,2)")</f>
        <v>primary somatosensory cortex (area S1, area 3,1,2)</v>
      </c>
      <c r="D970" s="42">
        <f>IFERROR(__xludf.DUMMYFUNCTION("""COMPUTED_VALUE"""),913.0)</f>
        <v>913</v>
      </c>
      <c r="E970" s="39" t="str">
        <f>IFERROR(__xludf.DUMMYFUNCTION("""COMPUTED_VALUE"""),"primary somatosensory cortex (area S1, areas 3,1,2)")</f>
        <v>primary somatosensory cortex (area S1, areas 3,1,2)</v>
      </c>
      <c r="F970" s="9" t="str">
        <f>IFERROR(__xludf.DUMMYFUNCTION("""COMPUTED_VALUE"""),"Br")</f>
        <v>Br</v>
      </c>
      <c r="G970" s="9" t="str">
        <f>IFERROR(__xludf.DUMMYFUNCTION("""COMPUTED_VALUE"""),"F")</f>
        <v>F</v>
      </c>
      <c r="H970" s="9" t="str">
        <f>IFERROR(__xludf.DUMMYFUNCTION("""COMPUTED_VALUE"""),"FGM")</f>
        <v>FGM</v>
      </c>
      <c r="I970" s="9" t="str">
        <f>IFERROR(__xludf.DUMMYFUNCTION("""COMPUTED_VALUE"""),"Tel")</f>
        <v>Tel</v>
      </c>
      <c r="J970" s="9" t="str">
        <f>IFERROR(__xludf.DUMMYFUNCTION("""COMPUTED_VALUE"""),"Cx")</f>
        <v>Cx</v>
      </c>
      <c r="K970" s="9" t="str">
        <f>IFERROR(__xludf.DUMMYFUNCTION("""COMPUTED_VALUE"""),"NCx")</f>
        <v>NCx</v>
      </c>
      <c r="L970" s="9" t="str">
        <f>IFERROR(__xludf.DUMMYFUNCTION("""COMPUTED_VALUE"""),"PCx")</f>
        <v>PCx</v>
      </c>
      <c r="M970" s="9" t="str">
        <f>IFERROR(__xludf.DUMMYFUNCTION("""COMPUTED_VALUE"""),"S1C")</f>
        <v>S1C</v>
      </c>
      <c r="N970" s="9"/>
      <c r="O970" s="9"/>
      <c r="P970" s="9"/>
      <c r="Q970" s="9"/>
      <c r="R970" s="9"/>
      <c r="S970" s="42" t="str">
        <f>IFERROR(__xludf.DUMMYFUNCTION("""COMPUTED_VALUE"""),"S1hf;
S1ul;
S1tr;
S1lm")</f>
        <v>S1hf;
S1ul;
S1tr;
S1lm</v>
      </c>
      <c r="T970" s="42" t="str">
        <f>IFERROR(__xludf.DUMMYFUNCTION("""COMPUTED_VALUE"""),"NCx")</f>
        <v>NCx</v>
      </c>
      <c r="U970" s="42" t="b">
        <f>IFERROR(__xludf.DUMMYFUNCTION("""COMPUTED_VALUE"""),FALSE)</f>
        <v>0</v>
      </c>
      <c r="V970" s="42"/>
      <c r="W970" s="42"/>
      <c r="X970" s="42"/>
      <c r="Y970" s="42"/>
      <c r="Z970" s="42"/>
      <c r="AA970" s="42"/>
      <c r="AB970" s="42" t="str">
        <f>IFERROR(__xludf.DUMMYFUNCTION("""COMPUTED_VALUE"""),"allen institute")</f>
        <v>allen institute</v>
      </c>
      <c r="AC970" s="42" t="str">
        <f>IFERROR(__xludf.DUMMYFUNCTION("""COMPUTED_VALUE"""),"DHBA")</f>
        <v>DHBA</v>
      </c>
      <c r="AD970" s="42"/>
      <c r="AE970" s="42"/>
      <c r="AF970" s="9"/>
      <c r="AG970" s="9"/>
      <c r="AH970" s="42"/>
      <c r="AI970" s="42"/>
      <c r="AJ970" s="42"/>
      <c r="AK970" s="42"/>
      <c r="AL970" s="42"/>
      <c r="AM970" s="42"/>
      <c r="AN970" s="42"/>
      <c r="AO970" s="63" t="str">
        <f>IFERROR(__xludf.DUMMYFUNCTION("IF(ISBLANK(A970),,IF(ISBLANK(S970), A970&amp;"";"", TEXTJOIN(CHAR(10), TRUE, A970&amp;"";"", ARRAYFORMULA(VLOOKUP(SPLIT(S970, "";"" &amp; CHAR(10)), $A:$AO, 41, FALSE)))))"),"S1C;
S1hf;
S1hf1;
S1hf2;
S1hf3;
S1hf4;
S1hf5;
S1hf6;
S1ul;
S1ul1;
S1ul2;
S1ul3;
S1ul4;
S1ul5;
S1ul6;
S1tr;
S1tr1;
S1tr2;
S1tr3;
S1tr4;
S1tr5;
S1tr6;
S1lm;
S1lm1;
S1lm2;
S1lm3;
S1lm4;
S1lm5;
S1lm6;")</f>
        <v>S1C;
S1hf;
S1hf1;
S1hf2;
S1hf3;
S1hf4;
S1hf5;
S1hf6;
S1ul;
S1ul1;
S1ul2;
S1ul3;
S1ul4;
S1ul5;
S1ul6;
S1tr;
S1tr1;
S1tr2;
S1tr3;
S1tr4;
S1tr5;
S1tr6;
S1lm;
S1lm1;
S1lm2;
S1lm3;
S1lm4;
S1lm5;
S1lm6;</v>
      </c>
      <c r="AP970" s="89"/>
    </row>
    <row r="971">
      <c r="A971" s="151" t="str">
        <f>IFERROR(__xludf.DUMMYFUNCTION("""COMPUTED_VALUE"""),"S1hf")</f>
        <v>S1hf</v>
      </c>
      <c r="B971" s="42" t="str">
        <f>IFERROR(__xludf.DUMMYFUNCTION("""COMPUTED_VALUE"""),"DHBA")</f>
        <v>DHBA</v>
      </c>
      <c r="C971" s="42" t="str">
        <f>IFERROR(__xludf.DUMMYFUNCTION("""COMPUTED_VALUE"""),"head and face region of S1")</f>
        <v>head and face region of S1</v>
      </c>
      <c r="D971" s="42">
        <f>IFERROR(__xludf.DUMMYFUNCTION("""COMPUTED_VALUE"""),914.0)</f>
        <v>914</v>
      </c>
      <c r="E971" s="39" t="str">
        <f>IFERROR(__xludf.DUMMYFUNCTION("""COMPUTED_VALUE"""),"head and face region of S1")</f>
        <v>head and face region of S1</v>
      </c>
      <c r="F971" s="9" t="str">
        <f>IFERROR(__xludf.DUMMYFUNCTION("""COMPUTED_VALUE"""),"Br")</f>
        <v>Br</v>
      </c>
      <c r="G971" s="9" t="str">
        <f>IFERROR(__xludf.DUMMYFUNCTION("""COMPUTED_VALUE"""),"F")</f>
        <v>F</v>
      </c>
      <c r="H971" s="9" t="str">
        <f>IFERROR(__xludf.DUMMYFUNCTION("""COMPUTED_VALUE"""),"FGM")</f>
        <v>FGM</v>
      </c>
      <c r="I971" s="9" t="str">
        <f>IFERROR(__xludf.DUMMYFUNCTION("""COMPUTED_VALUE"""),"Tel")</f>
        <v>Tel</v>
      </c>
      <c r="J971" s="9" t="str">
        <f>IFERROR(__xludf.DUMMYFUNCTION("""COMPUTED_VALUE"""),"Cx")</f>
        <v>Cx</v>
      </c>
      <c r="K971" s="9" t="str">
        <f>IFERROR(__xludf.DUMMYFUNCTION("""COMPUTED_VALUE"""),"NCx")</f>
        <v>NCx</v>
      </c>
      <c r="L971" s="9" t="str">
        <f>IFERROR(__xludf.DUMMYFUNCTION("""COMPUTED_VALUE"""),"PCx")</f>
        <v>PCx</v>
      </c>
      <c r="M971" s="9" t="str">
        <f>IFERROR(__xludf.DUMMYFUNCTION("""COMPUTED_VALUE"""),"S1C")</f>
        <v>S1C</v>
      </c>
      <c r="N971" s="9" t="str">
        <f>IFERROR(__xludf.DUMMYFUNCTION("""COMPUTED_VALUE"""),"S1hf")</f>
        <v>S1hf</v>
      </c>
      <c r="O971" s="9"/>
      <c r="P971" s="9"/>
      <c r="Q971" s="9"/>
      <c r="R971" s="9"/>
      <c r="S971" s="42" t="str">
        <f>IFERROR(__xludf.DUMMYFUNCTION("""COMPUTED_VALUE"""),"S1hf1;
S1hf2;
S1hf3;
S1hf4;
S1hf5;
S1hf6")</f>
        <v>S1hf1;
S1hf2;
S1hf3;
S1hf4;
S1hf5;
S1hf6</v>
      </c>
      <c r="T971" s="42"/>
      <c r="U971" s="42" t="b">
        <f>IFERROR(__xludf.DUMMYFUNCTION("""COMPUTED_VALUE"""),FALSE)</f>
        <v>0</v>
      </c>
      <c r="V971" s="42"/>
      <c r="W971" s="42"/>
      <c r="X971" s="42"/>
      <c r="Y971" s="42"/>
      <c r="Z971" s="42"/>
      <c r="AA971" s="42"/>
      <c r="AB971" s="42" t="str">
        <f>IFERROR(__xludf.DUMMYFUNCTION("""COMPUTED_VALUE"""),"allen institute")</f>
        <v>allen institute</v>
      </c>
      <c r="AC971" s="42" t="str">
        <f>IFERROR(__xludf.DUMMYFUNCTION("""COMPUTED_VALUE"""),"DHBA")</f>
        <v>DHBA</v>
      </c>
      <c r="AD971" s="42"/>
      <c r="AE971" s="42"/>
      <c r="AF971" s="9"/>
      <c r="AG971" s="9"/>
      <c r="AH971" s="42"/>
      <c r="AI971" s="42"/>
      <c r="AJ971" s="42"/>
      <c r="AK971" s="42"/>
      <c r="AL971" s="42"/>
      <c r="AM971" s="42"/>
      <c r="AN971" s="42"/>
      <c r="AO971" s="63" t="str">
        <f>IFERROR(__xludf.DUMMYFUNCTION("IF(ISBLANK(A971),,IF(ISBLANK(S971), A971&amp;"";"", TEXTJOIN(CHAR(10), TRUE, A971&amp;"";"", ARRAYFORMULA(VLOOKUP(SPLIT(S971, "";"" &amp; CHAR(10)), $A:$AO, 41, FALSE)))))"),"S1hf;
S1hf1;
S1hf2;
S1hf3;
S1hf4;
S1hf5;
S1hf6;")</f>
        <v>S1hf;
S1hf1;
S1hf2;
S1hf3;
S1hf4;
S1hf5;
S1hf6;</v>
      </c>
      <c r="AP971" s="89"/>
    </row>
    <row r="972">
      <c r="A972" s="151" t="str">
        <f>IFERROR(__xludf.DUMMYFUNCTION("""COMPUTED_VALUE"""),"S1hf1")</f>
        <v>S1hf1</v>
      </c>
      <c r="B972" s="42" t="str">
        <f>IFERROR(__xludf.DUMMYFUNCTION("""COMPUTED_VALUE"""),"DHBA")</f>
        <v>DHBA</v>
      </c>
      <c r="C972" s="42" t="str">
        <f>IFERROR(__xludf.DUMMYFUNCTION("""COMPUTED_VALUE"""),"layer I of area S1hf")</f>
        <v>layer I of area S1hf</v>
      </c>
      <c r="D972" s="42">
        <f>IFERROR(__xludf.DUMMYFUNCTION("""COMPUTED_VALUE"""),915.0)</f>
        <v>915</v>
      </c>
      <c r="E972" s="39" t="str">
        <f>IFERROR(__xludf.DUMMYFUNCTION("""COMPUTED_VALUE"""),"layer I of area S1hf")</f>
        <v>layer I of area S1hf</v>
      </c>
      <c r="F972" s="9" t="str">
        <f>IFERROR(__xludf.DUMMYFUNCTION("""COMPUTED_VALUE"""),"Br")</f>
        <v>Br</v>
      </c>
      <c r="G972" s="9" t="str">
        <f>IFERROR(__xludf.DUMMYFUNCTION("""COMPUTED_VALUE"""),"F")</f>
        <v>F</v>
      </c>
      <c r="H972" s="9" t="str">
        <f>IFERROR(__xludf.DUMMYFUNCTION("""COMPUTED_VALUE"""),"FGM")</f>
        <v>FGM</v>
      </c>
      <c r="I972" s="9" t="str">
        <f>IFERROR(__xludf.DUMMYFUNCTION("""COMPUTED_VALUE"""),"Tel")</f>
        <v>Tel</v>
      </c>
      <c r="J972" s="9" t="str">
        <f>IFERROR(__xludf.DUMMYFUNCTION("""COMPUTED_VALUE"""),"Cx")</f>
        <v>Cx</v>
      </c>
      <c r="K972" s="9" t="str">
        <f>IFERROR(__xludf.DUMMYFUNCTION("""COMPUTED_VALUE"""),"NCx")</f>
        <v>NCx</v>
      </c>
      <c r="L972" s="9" t="str">
        <f>IFERROR(__xludf.DUMMYFUNCTION("""COMPUTED_VALUE"""),"PCx")</f>
        <v>PCx</v>
      </c>
      <c r="M972" s="9" t="str">
        <f>IFERROR(__xludf.DUMMYFUNCTION("""COMPUTED_VALUE"""),"S1C")</f>
        <v>S1C</v>
      </c>
      <c r="N972" s="9" t="str">
        <f>IFERROR(__xludf.DUMMYFUNCTION("""COMPUTED_VALUE"""),"S1hf")</f>
        <v>S1hf</v>
      </c>
      <c r="O972" s="9" t="str">
        <f>IFERROR(__xludf.DUMMYFUNCTION("""COMPUTED_VALUE"""),"S1hf1")</f>
        <v>S1hf1</v>
      </c>
      <c r="P972" s="9"/>
      <c r="Q972" s="9"/>
      <c r="R972" s="9"/>
      <c r="S972" s="42"/>
      <c r="T972" s="42"/>
      <c r="U972" s="42"/>
      <c r="V972" s="42"/>
      <c r="W972" s="42"/>
      <c r="X972" s="42"/>
      <c r="Y972" s="42"/>
      <c r="Z972" s="42"/>
      <c r="AA972" s="42"/>
      <c r="AB972" s="42" t="str">
        <f>IFERROR(__xludf.DUMMYFUNCTION("""COMPUTED_VALUE"""),"allen institute")</f>
        <v>allen institute</v>
      </c>
      <c r="AC972" s="42" t="str">
        <f>IFERROR(__xludf.DUMMYFUNCTION("""COMPUTED_VALUE"""),"DHBA")</f>
        <v>DHBA</v>
      </c>
      <c r="AD972" s="42"/>
      <c r="AE972" s="42"/>
      <c r="AF972" s="9"/>
      <c r="AG972" s="9"/>
      <c r="AH972" s="42"/>
      <c r="AI972" s="42"/>
      <c r="AJ972" s="42"/>
      <c r="AK972" s="42"/>
      <c r="AL972" s="42"/>
      <c r="AM972" s="42"/>
      <c r="AN972" s="42"/>
      <c r="AO972" s="63" t="str">
        <f>IFERROR(__xludf.DUMMYFUNCTION("IF(ISBLANK(A972),,IF(ISBLANK(S972), A972&amp;"";"", TEXTJOIN(CHAR(10), TRUE, A972&amp;"";"", ARRAYFORMULA(VLOOKUP(SPLIT(S972, "";"" &amp; CHAR(10)), $A:$AO, 41, FALSE)))))"),"S1hf1;")</f>
        <v>S1hf1;</v>
      </c>
      <c r="AP972" s="89"/>
    </row>
    <row r="973">
      <c r="A973" s="151" t="str">
        <f>IFERROR(__xludf.DUMMYFUNCTION("""COMPUTED_VALUE"""),"S1hf2")</f>
        <v>S1hf2</v>
      </c>
      <c r="B973" s="42" t="str">
        <f>IFERROR(__xludf.DUMMYFUNCTION("""COMPUTED_VALUE"""),"DHBA")</f>
        <v>DHBA</v>
      </c>
      <c r="C973" s="42" t="str">
        <f>IFERROR(__xludf.DUMMYFUNCTION("""COMPUTED_VALUE"""),"layer II of area S1hf")</f>
        <v>layer II of area S1hf</v>
      </c>
      <c r="D973" s="42">
        <f>IFERROR(__xludf.DUMMYFUNCTION("""COMPUTED_VALUE"""),916.0)</f>
        <v>916</v>
      </c>
      <c r="E973" s="39" t="str">
        <f>IFERROR(__xludf.DUMMYFUNCTION("""COMPUTED_VALUE"""),"layer II of area S1hf")</f>
        <v>layer II of area S1hf</v>
      </c>
      <c r="F973" s="9" t="str">
        <f>IFERROR(__xludf.DUMMYFUNCTION("""COMPUTED_VALUE"""),"Br")</f>
        <v>Br</v>
      </c>
      <c r="G973" s="9" t="str">
        <f>IFERROR(__xludf.DUMMYFUNCTION("""COMPUTED_VALUE"""),"F")</f>
        <v>F</v>
      </c>
      <c r="H973" s="9" t="str">
        <f>IFERROR(__xludf.DUMMYFUNCTION("""COMPUTED_VALUE"""),"FGM")</f>
        <v>FGM</v>
      </c>
      <c r="I973" s="9" t="str">
        <f>IFERROR(__xludf.DUMMYFUNCTION("""COMPUTED_VALUE"""),"Tel")</f>
        <v>Tel</v>
      </c>
      <c r="J973" s="9" t="str">
        <f>IFERROR(__xludf.DUMMYFUNCTION("""COMPUTED_VALUE"""),"Cx")</f>
        <v>Cx</v>
      </c>
      <c r="K973" s="9" t="str">
        <f>IFERROR(__xludf.DUMMYFUNCTION("""COMPUTED_VALUE"""),"NCx")</f>
        <v>NCx</v>
      </c>
      <c r="L973" s="9" t="str">
        <f>IFERROR(__xludf.DUMMYFUNCTION("""COMPUTED_VALUE"""),"PCx")</f>
        <v>PCx</v>
      </c>
      <c r="M973" s="9" t="str">
        <f>IFERROR(__xludf.DUMMYFUNCTION("""COMPUTED_VALUE"""),"S1C")</f>
        <v>S1C</v>
      </c>
      <c r="N973" s="9" t="str">
        <f>IFERROR(__xludf.DUMMYFUNCTION("""COMPUTED_VALUE"""),"S1hf")</f>
        <v>S1hf</v>
      </c>
      <c r="O973" s="9" t="str">
        <f>IFERROR(__xludf.DUMMYFUNCTION("""COMPUTED_VALUE"""),"S1hf2")</f>
        <v>S1hf2</v>
      </c>
      <c r="P973" s="9"/>
      <c r="Q973" s="9"/>
      <c r="R973" s="9"/>
      <c r="S973" s="42"/>
      <c r="T973" s="42"/>
      <c r="U973" s="159"/>
      <c r="V973" s="42"/>
      <c r="W973" s="42"/>
      <c r="X973" s="42"/>
      <c r="Y973" s="42"/>
      <c r="Z973" s="42"/>
      <c r="AA973" s="42"/>
      <c r="AB973" s="42" t="str">
        <f>IFERROR(__xludf.DUMMYFUNCTION("""COMPUTED_VALUE"""),"allen institute")</f>
        <v>allen institute</v>
      </c>
      <c r="AC973" s="42" t="str">
        <f>IFERROR(__xludf.DUMMYFUNCTION("""COMPUTED_VALUE"""),"DHBA")</f>
        <v>DHBA</v>
      </c>
      <c r="AD973" s="42"/>
      <c r="AE973" s="42"/>
      <c r="AF973" s="9"/>
      <c r="AG973" s="9"/>
      <c r="AH973" s="42"/>
      <c r="AI973" s="42"/>
      <c r="AJ973" s="42"/>
      <c r="AK973" s="42"/>
      <c r="AL973" s="42"/>
      <c r="AM973" s="42"/>
      <c r="AN973" s="42"/>
      <c r="AO973" s="63" t="str">
        <f>IFERROR(__xludf.DUMMYFUNCTION("IF(ISBLANK(A973),,IF(ISBLANK(S973), A973&amp;"";"", TEXTJOIN(CHAR(10), TRUE, A973&amp;"";"", ARRAYFORMULA(VLOOKUP(SPLIT(S973, "";"" &amp; CHAR(10)), $A:$AO, 41, FALSE)))))"),"S1hf2;")</f>
        <v>S1hf2;</v>
      </c>
      <c r="AP973" s="89"/>
    </row>
    <row r="974">
      <c r="A974" s="151" t="str">
        <f>IFERROR(__xludf.DUMMYFUNCTION("""COMPUTED_VALUE"""),"S1hf3")</f>
        <v>S1hf3</v>
      </c>
      <c r="B974" s="42" t="str">
        <f>IFERROR(__xludf.DUMMYFUNCTION("""COMPUTED_VALUE"""),"DHBA")</f>
        <v>DHBA</v>
      </c>
      <c r="C974" s="42" t="str">
        <f>IFERROR(__xludf.DUMMYFUNCTION("""COMPUTED_VALUE"""),"layer III of area S1hf")</f>
        <v>layer III of area S1hf</v>
      </c>
      <c r="D974" s="42">
        <f>IFERROR(__xludf.DUMMYFUNCTION("""COMPUTED_VALUE"""),917.0)</f>
        <v>917</v>
      </c>
      <c r="E974" s="39" t="str">
        <f>IFERROR(__xludf.DUMMYFUNCTION("""COMPUTED_VALUE"""),"layer III of area S1hf")</f>
        <v>layer III of area S1hf</v>
      </c>
      <c r="F974" s="9" t="str">
        <f>IFERROR(__xludf.DUMMYFUNCTION("""COMPUTED_VALUE"""),"Br")</f>
        <v>Br</v>
      </c>
      <c r="G974" s="9" t="str">
        <f>IFERROR(__xludf.DUMMYFUNCTION("""COMPUTED_VALUE"""),"F")</f>
        <v>F</v>
      </c>
      <c r="H974" s="9" t="str">
        <f>IFERROR(__xludf.DUMMYFUNCTION("""COMPUTED_VALUE"""),"FGM")</f>
        <v>FGM</v>
      </c>
      <c r="I974" s="9" t="str">
        <f>IFERROR(__xludf.DUMMYFUNCTION("""COMPUTED_VALUE"""),"Tel")</f>
        <v>Tel</v>
      </c>
      <c r="J974" s="9" t="str">
        <f>IFERROR(__xludf.DUMMYFUNCTION("""COMPUTED_VALUE"""),"Cx")</f>
        <v>Cx</v>
      </c>
      <c r="K974" s="9" t="str">
        <f>IFERROR(__xludf.DUMMYFUNCTION("""COMPUTED_VALUE"""),"NCx")</f>
        <v>NCx</v>
      </c>
      <c r="L974" s="9" t="str">
        <f>IFERROR(__xludf.DUMMYFUNCTION("""COMPUTED_VALUE"""),"PCx")</f>
        <v>PCx</v>
      </c>
      <c r="M974" s="9" t="str">
        <f>IFERROR(__xludf.DUMMYFUNCTION("""COMPUTED_VALUE"""),"S1C")</f>
        <v>S1C</v>
      </c>
      <c r="N974" s="9" t="str">
        <f>IFERROR(__xludf.DUMMYFUNCTION("""COMPUTED_VALUE"""),"S1hf")</f>
        <v>S1hf</v>
      </c>
      <c r="O974" s="9" t="str">
        <f>IFERROR(__xludf.DUMMYFUNCTION("""COMPUTED_VALUE"""),"S1hf3")</f>
        <v>S1hf3</v>
      </c>
      <c r="P974" s="9"/>
      <c r="Q974" s="9"/>
      <c r="R974" s="9"/>
      <c r="S974" s="42"/>
      <c r="T974" s="42"/>
      <c r="U974" s="159"/>
      <c r="V974" s="42"/>
      <c r="W974" s="42"/>
      <c r="X974" s="42"/>
      <c r="Y974" s="42"/>
      <c r="Z974" s="42"/>
      <c r="AA974" s="42"/>
      <c r="AB974" s="42" t="str">
        <f>IFERROR(__xludf.DUMMYFUNCTION("""COMPUTED_VALUE"""),"allen institute")</f>
        <v>allen institute</v>
      </c>
      <c r="AC974" s="42" t="str">
        <f>IFERROR(__xludf.DUMMYFUNCTION("""COMPUTED_VALUE"""),"DHBA")</f>
        <v>DHBA</v>
      </c>
      <c r="AD974" s="42"/>
      <c r="AE974" s="42"/>
      <c r="AF974" s="9"/>
      <c r="AG974" s="9"/>
      <c r="AH974" s="42"/>
      <c r="AI974" s="42"/>
      <c r="AJ974" s="42"/>
      <c r="AK974" s="42"/>
      <c r="AL974" s="42"/>
      <c r="AM974" s="42"/>
      <c r="AN974" s="42"/>
      <c r="AO974" s="63" t="str">
        <f>IFERROR(__xludf.DUMMYFUNCTION("IF(ISBLANK(A974),,IF(ISBLANK(S974), A974&amp;"";"", TEXTJOIN(CHAR(10), TRUE, A974&amp;"";"", ARRAYFORMULA(VLOOKUP(SPLIT(S974, "";"" &amp; CHAR(10)), $A:$AO, 41, FALSE)))))"),"S1hf3;")</f>
        <v>S1hf3;</v>
      </c>
      <c r="AP974" s="89"/>
    </row>
    <row r="975">
      <c r="A975" s="151" t="str">
        <f>IFERROR(__xludf.DUMMYFUNCTION("""COMPUTED_VALUE"""),"S1hf4")</f>
        <v>S1hf4</v>
      </c>
      <c r="B975" s="42" t="str">
        <f>IFERROR(__xludf.DUMMYFUNCTION("""COMPUTED_VALUE"""),"DHBA")</f>
        <v>DHBA</v>
      </c>
      <c r="C975" s="42" t="str">
        <f>IFERROR(__xludf.DUMMYFUNCTION("""COMPUTED_VALUE"""),"layer IV of area S1hf")</f>
        <v>layer IV of area S1hf</v>
      </c>
      <c r="D975" s="42">
        <f>IFERROR(__xludf.DUMMYFUNCTION("""COMPUTED_VALUE"""),918.0)</f>
        <v>918</v>
      </c>
      <c r="E975" s="39" t="str">
        <f>IFERROR(__xludf.DUMMYFUNCTION("""COMPUTED_VALUE"""),"layer IV of area S1hf")</f>
        <v>layer IV of area S1hf</v>
      </c>
      <c r="F975" s="9" t="str">
        <f>IFERROR(__xludf.DUMMYFUNCTION("""COMPUTED_VALUE"""),"Br")</f>
        <v>Br</v>
      </c>
      <c r="G975" s="9" t="str">
        <f>IFERROR(__xludf.DUMMYFUNCTION("""COMPUTED_VALUE"""),"F")</f>
        <v>F</v>
      </c>
      <c r="H975" s="9" t="str">
        <f>IFERROR(__xludf.DUMMYFUNCTION("""COMPUTED_VALUE"""),"FGM")</f>
        <v>FGM</v>
      </c>
      <c r="I975" s="9" t="str">
        <f>IFERROR(__xludf.DUMMYFUNCTION("""COMPUTED_VALUE"""),"Tel")</f>
        <v>Tel</v>
      </c>
      <c r="J975" s="9" t="str">
        <f>IFERROR(__xludf.DUMMYFUNCTION("""COMPUTED_VALUE"""),"Cx")</f>
        <v>Cx</v>
      </c>
      <c r="K975" s="9" t="str">
        <f>IFERROR(__xludf.DUMMYFUNCTION("""COMPUTED_VALUE"""),"NCx")</f>
        <v>NCx</v>
      </c>
      <c r="L975" s="9" t="str">
        <f>IFERROR(__xludf.DUMMYFUNCTION("""COMPUTED_VALUE"""),"PCx")</f>
        <v>PCx</v>
      </c>
      <c r="M975" s="9" t="str">
        <f>IFERROR(__xludf.DUMMYFUNCTION("""COMPUTED_VALUE"""),"S1C")</f>
        <v>S1C</v>
      </c>
      <c r="N975" s="9" t="str">
        <f>IFERROR(__xludf.DUMMYFUNCTION("""COMPUTED_VALUE"""),"S1hf")</f>
        <v>S1hf</v>
      </c>
      <c r="O975" s="9" t="str">
        <f>IFERROR(__xludf.DUMMYFUNCTION("""COMPUTED_VALUE"""),"S1hf4")</f>
        <v>S1hf4</v>
      </c>
      <c r="P975" s="9"/>
      <c r="Q975" s="9"/>
      <c r="R975" s="9"/>
      <c r="S975" s="42"/>
      <c r="T975" s="42"/>
      <c r="U975" s="42"/>
      <c r="V975" s="42"/>
      <c r="W975" s="42"/>
      <c r="X975" s="42"/>
      <c r="Y975" s="42"/>
      <c r="Z975" s="42"/>
      <c r="AA975" s="42"/>
      <c r="AB975" s="42" t="str">
        <f>IFERROR(__xludf.DUMMYFUNCTION("""COMPUTED_VALUE"""),"allen institute")</f>
        <v>allen institute</v>
      </c>
      <c r="AC975" s="42" t="str">
        <f>IFERROR(__xludf.DUMMYFUNCTION("""COMPUTED_VALUE"""),"DHBA")</f>
        <v>DHBA</v>
      </c>
      <c r="AD975" s="42"/>
      <c r="AE975" s="42"/>
      <c r="AF975" s="9"/>
      <c r="AG975" s="9"/>
      <c r="AH975" s="42"/>
      <c r="AI975" s="42"/>
      <c r="AJ975" s="42"/>
      <c r="AK975" s="42"/>
      <c r="AL975" s="42"/>
      <c r="AM975" s="42"/>
      <c r="AN975" s="42"/>
      <c r="AO975" s="63" t="str">
        <f>IFERROR(__xludf.DUMMYFUNCTION("IF(ISBLANK(A975),,IF(ISBLANK(S975), A975&amp;"";"", TEXTJOIN(CHAR(10), TRUE, A975&amp;"";"", ARRAYFORMULA(VLOOKUP(SPLIT(S975, "";"" &amp; CHAR(10)), $A:$AO, 41, FALSE)))))"),"S1hf4;")</f>
        <v>S1hf4;</v>
      </c>
      <c r="AP975" s="89"/>
    </row>
    <row r="976">
      <c r="A976" s="151" t="str">
        <f>IFERROR(__xludf.DUMMYFUNCTION("""COMPUTED_VALUE"""),"S1hf5")</f>
        <v>S1hf5</v>
      </c>
      <c r="B976" s="42" t="str">
        <f>IFERROR(__xludf.DUMMYFUNCTION("""COMPUTED_VALUE"""),"DHBA")</f>
        <v>DHBA</v>
      </c>
      <c r="C976" s="42" t="str">
        <f>IFERROR(__xludf.DUMMYFUNCTION("""COMPUTED_VALUE"""),"layer V of area S1hf")</f>
        <v>layer V of area S1hf</v>
      </c>
      <c r="D976" s="42">
        <f>IFERROR(__xludf.DUMMYFUNCTION("""COMPUTED_VALUE"""),919.0)</f>
        <v>919</v>
      </c>
      <c r="E976" s="39" t="str">
        <f>IFERROR(__xludf.DUMMYFUNCTION("""COMPUTED_VALUE"""),"layer V of area S1hf")</f>
        <v>layer V of area S1hf</v>
      </c>
      <c r="F976" s="9" t="str">
        <f>IFERROR(__xludf.DUMMYFUNCTION("""COMPUTED_VALUE"""),"Br")</f>
        <v>Br</v>
      </c>
      <c r="G976" s="9" t="str">
        <f>IFERROR(__xludf.DUMMYFUNCTION("""COMPUTED_VALUE"""),"F")</f>
        <v>F</v>
      </c>
      <c r="H976" s="9" t="str">
        <f>IFERROR(__xludf.DUMMYFUNCTION("""COMPUTED_VALUE"""),"FGM")</f>
        <v>FGM</v>
      </c>
      <c r="I976" s="9" t="str">
        <f>IFERROR(__xludf.DUMMYFUNCTION("""COMPUTED_VALUE"""),"Tel")</f>
        <v>Tel</v>
      </c>
      <c r="J976" s="9" t="str">
        <f>IFERROR(__xludf.DUMMYFUNCTION("""COMPUTED_VALUE"""),"Cx")</f>
        <v>Cx</v>
      </c>
      <c r="K976" s="9" t="str">
        <f>IFERROR(__xludf.DUMMYFUNCTION("""COMPUTED_VALUE"""),"NCx")</f>
        <v>NCx</v>
      </c>
      <c r="L976" s="9" t="str">
        <f>IFERROR(__xludf.DUMMYFUNCTION("""COMPUTED_VALUE"""),"PCx")</f>
        <v>PCx</v>
      </c>
      <c r="M976" s="9" t="str">
        <f>IFERROR(__xludf.DUMMYFUNCTION("""COMPUTED_VALUE"""),"S1C")</f>
        <v>S1C</v>
      </c>
      <c r="N976" s="9" t="str">
        <f>IFERROR(__xludf.DUMMYFUNCTION("""COMPUTED_VALUE"""),"S1hf")</f>
        <v>S1hf</v>
      </c>
      <c r="O976" s="9" t="str">
        <f>IFERROR(__xludf.DUMMYFUNCTION("""COMPUTED_VALUE"""),"S1hf5")</f>
        <v>S1hf5</v>
      </c>
      <c r="P976" s="9"/>
      <c r="Q976" s="9"/>
      <c r="R976" s="9"/>
      <c r="S976" s="42"/>
      <c r="T976" s="42"/>
      <c r="U976" s="42"/>
      <c r="V976" s="42"/>
      <c r="W976" s="42"/>
      <c r="X976" s="42"/>
      <c r="Y976" s="42"/>
      <c r="Z976" s="42"/>
      <c r="AA976" s="42"/>
      <c r="AB976" s="42" t="str">
        <f>IFERROR(__xludf.DUMMYFUNCTION("""COMPUTED_VALUE"""),"allen institute")</f>
        <v>allen institute</v>
      </c>
      <c r="AC976" s="42" t="str">
        <f>IFERROR(__xludf.DUMMYFUNCTION("""COMPUTED_VALUE"""),"DHBA")</f>
        <v>DHBA</v>
      </c>
      <c r="AD976" s="42"/>
      <c r="AE976" s="42"/>
      <c r="AF976" s="9"/>
      <c r="AG976" s="9"/>
      <c r="AH976" s="42"/>
      <c r="AI976" s="42"/>
      <c r="AJ976" s="42"/>
      <c r="AK976" s="42"/>
      <c r="AL976" s="42"/>
      <c r="AM976" s="42"/>
      <c r="AN976" s="42"/>
      <c r="AO976" s="63" t="str">
        <f>IFERROR(__xludf.DUMMYFUNCTION("IF(ISBLANK(A976),,IF(ISBLANK(S976), A976&amp;"";"", TEXTJOIN(CHAR(10), TRUE, A976&amp;"";"", ARRAYFORMULA(VLOOKUP(SPLIT(S976, "";"" &amp; CHAR(10)), $A:$AO, 41, FALSE)))))"),"S1hf5;")</f>
        <v>S1hf5;</v>
      </c>
      <c r="AP976" s="89"/>
    </row>
    <row r="977">
      <c r="A977" s="151" t="str">
        <f>IFERROR(__xludf.DUMMYFUNCTION("""COMPUTED_VALUE"""),"S1hf6")</f>
        <v>S1hf6</v>
      </c>
      <c r="B977" s="42" t="str">
        <f>IFERROR(__xludf.DUMMYFUNCTION("""COMPUTED_VALUE"""),"DHBA")</f>
        <v>DHBA</v>
      </c>
      <c r="C977" s="42" t="str">
        <f>IFERROR(__xludf.DUMMYFUNCTION("""COMPUTED_VALUE"""),"layer VI of area S1hf")</f>
        <v>layer VI of area S1hf</v>
      </c>
      <c r="D977" s="42">
        <f>IFERROR(__xludf.DUMMYFUNCTION("""COMPUTED_VALUE"""),920.0)</f>
        <v>920</v>
      </c>
      <c r="E977" s="39" t="str">
        <f>IFERROR(__xludf.DUMMYFUNCTION("""COMPUTED_VALUE"""),"layer VI of area S1hf")</f>
        <v>layer VI of area S1hf</v>
      </c>
      <c r="F977" s="9" t="str">
        <f>IFERROR(__xludf.DUMMYFUNCTION("""COMPUTED_VALUE"""),"Br")</f>
        <v>Br</v>
      </c>
      <c r="G977" s="9" t="str">
        <f>IFERROR(__xludf.DUMMYFUNCTION("""COMPUTED_VALUE"""),"F")</f>
        <v>F</v>
      </c>
      <c r="H977" s="9" t="str">
        <f>IFERROR(__xludf.DUMMYFUNCTION("""COMPUTED_VALUE"""),"FGM")</f>
        <v>FGM</v>
      </c>
      <c r="I977" s="9" t="str">
        <f>IFERROR(__xludf.DUMMYFUNCTION("""COMPUTED_VALUE"""),"Tel")</f>
        <v>Tel</v>
      </c>
      <c r="J977" s="9" t="str">
        <f>IFERROR(__xludf.DUMMYFUNCTION("""COMPUTED_VALUE"""),"Cx")</f>
        <v>Cx</v>
      </c>
      <c r="K977" s="9" t="str">
        <f>IFERROR(__xludf.DUMMYFUNCTION("""COMPUTED_VALUE"""),"NCx")</f>
        <v>NCx</v>
      </c>
      <c r="L977" s="9" t="str">
        <f>IFERROR(__xludf.DUMMYFUNCTION("""COMPUTED_VALUE"""),"PCx")</f>
        <v>PCx</v>
      </c>
      <c r="M977" s="9" t="str">
        <f>IFERROR(__xludf.DUMMYFUNCTION("""COMPUTED_VALUE"""),"S1C")</f>
        <v>S1C</v>
      </c>
      <c r="N977" s="9" t="str">
        <f>IFERROR(__xludf.DUMMYFUNCTION("""COMPUTED_VALUE"""),"S1hf")</f>
        <v>S1hf</v>
      </c>
      <c r="O977" s="9" t="str">
        <f>IFERROR(__xludf.DUMMYFUNCTION("""COMPUTED_VALUE"""),"S1hf6")</f>
        <v>S1hf6</v>
      </c>
      <c r="P977" s="9"/>
      <c r="Q977" s="9"/>
      <c r="R977" s="9"/>
      <c r="S977" s="42"/>
      <c r="T977" s="42"/>
      <c r="U977" s="42"/>
      <c r="V977" s="42"/>
      <c r="W977" s="42"/>
      <c r="X977" s="42"/>
      <c r="Y977" s="42"/>
      <c r="Z977" s="42"/>
      <c r="AA977" s="42"/>
      <c r="AB977" s="42" t="str">
        <f>IFERROR(__xludf.DUMMYFUNCTION("""COMPUTED_VALUE"""),"allen institute")</f>
        <v>allen institute</v>
      </c>
      <c r="AC977" s="42" t="str">
        <f>IFERROR(__xludf.DUMMYFUNCTION("""COMPUTED_VALUE"""),"DHBA")</f>
        <v>DHBA</v>
      </c>
      <c r="AD977" s="42"/>
      <c r="AE977" s="42"/>
      <c r="AF977" s="9"/>
      <c r="AG977" s="9"/>
      <c r="AH977" s="42"/>
      <c r="AI977" s="42"/>
      <c r="AJ977" s="42"/>
      <c r="AK977" s="42"/>
      <c r="AL977" s="42"/>
      <c r="AM977" s="42"/>
      <c r="AN977" s="42"/>
      <c r="AO977" s="63" t="str">
        <f>IFERROR(__xludf.DUMMYFUNCTION("IF(ISBLANK(A977),,IF(ISBLANK(S977), A977&amp;"";"", TEXTJOIN(CHAR(10), TRUE, A977&amp;"";"", ARRAYFORMULA(VLOOKUP(SPLIT(S977, "";"" &amp; CHAR(10)), $A:$AO, 41, FALSE)))))"),"S1hf6;")</f>
        <v>S1hf6;</v>
      </c>
      <c r="AP977" s="89"/>
    </row>
    <row r="978">
      <c r="A978" s="151" t="str">
        <f>IFERROR(__xludf.DUMMYFUNCTION("""COMPUTED_VALUE"""),"S1ul")</f>
        <v>S1ul</v>
      </c>
      <c r="B978" s="42" t="str">
        <f>IFERROR(__xludf.DUMMYFUNCTION("""COMPUTED_VALUE"""),"DHBA")</f>
        <v>DHBA</v>
      </c>
      <c r="C978" s="42" t="str">
        <f>IFERROR(__xludf.DUMMYFUNCTION("""COMPUTED_VALUE"""),"upper limb region of S1")</f>
        <v>upper limb region of S1</v>
      </c>
      <c r="D978" s="42">
        <f>IFERROR(__xludf.DUMMYFUNCTION("""COMPUTED_VALUE"""),921.0)</f>
        <v>921</v>
      </c>
      <c r="E978" s="39" t="str">
        <f>IFERROR(__xludf.DUMMYFUNCTION("""COMPUTED_VALUE"""),"upper limb region of S1")</f>
        <v>upper limb region of S1</v>
      </c>
      <c r="F978" s="9" t="str">
        <f>IFERROR(__xludf.DUMMYFUNCTION("""COMPUTED_VALUE"""),"Br")</f>
        <v>Br</v>
      </c>
      <c r="G978" s="9" t="str">
        <f>IFERROR(__xludf.DUMMYFUNCTION("""COMPUTED_VALUE"""),"F")</f>
        <v>F</v>
      </c>
      <c r="H978" s="9" t="str">
        <f>IFERROR(__xludf.DUMMYFUNCTION("""COMPUTED_VALUE"""),"FGM")</f>
        <v>FGM</v>
      </c>
      <c r="I978" s="9" t="str">
        <f>IFERROR(__xludf.DUMMYFUNCTION("""COMPUTED_VALUE"""),"Tel")</f>
        <v>Tel</v>
      </c>
      <c r="J978" s="9" t="str">
        <f>IFERROR(__xludf.DUMMYFUNCTION("""COMPUTED_VALUE"""),"Cx")</f>
        <v>Cx</v>
      </c>
      <c r="K978" s="9" t="str">
        <f>IFERROR(__xludf.DUMMYFUNCTION("""COMPUTED_VALUE"""),"NCx")</f>
        <v>NCx</v>
      </c>
      <c r="L978" s="9" t="str">
        <f>IFERROR(__xludf.DUMMYFUNCTION("""COMPUTED_VALUE"""),"PCx")</f>
        <v>PCx</v>
      </c>
      <c r="M978" s="9" t="str">
        <f>IFERROR(__xludf.DUMMYFUNCTION("""COMPUTED_VALUE"""),"S1C")</f>
        <v>S1C</v>
      </c>
      <c r="N978" s="9" t="str">
        <f>IFERROR(__xludf.DUMMYFUNCTION("""COMPUTED_VALUE"""),"S1ul")</f>
        <v>S1ul</v>
      </c>
      <c r="O978" s="9"/>
      <c r="P978" s="9"/>
      <c r="Q978" s="9"/>
      <c r="R978" s="9"/>
      <c r="S978" s="42" t="str">
        <f>IFERROR(__xludf.DUMMYFUNCTION("""COMPUTED_VALUE"""),"S1ul1;
S1ul2;
S1ul3;
S1ul4;
S1ul5;
S1ul6")</f>
        <v>S1ul1;
S1ul2;
S1ul3;
S1ul4;
S1ul5;
S1ul6</v>
      </c>
      <c r="T978" s="42"/>
      <c r="U978" s="42" t="b">
        <f>IFERROR(__xludf.DUMMYFUNCTION("""COMPUTED_VALUE"""),FALSE)</f>
        <v>0</v>
      </c>
      <c r="V978" s="42"/>
      <c r="W978" s="42"/>
      <c r="X978" s="42"/>
      <c r="Y978" s="42"/>
      <c r="Z978" s="42"/>
      <c r="AA978" s="42"/>
      <c r="AB978" s="42" t="str">
        <f>IFERROR(__xludf.DUMMYFUNCTION("""COMPUTED_VALUE"""),"allen institute")</f>
        <v>allen institute</v>
      </c>
      <c r="AC978" s="42" t="str">
        <f>IFERROR(__xludf.DUMMYFUNCTION("""COMPUTED_VALUE"""),"DHBA")</f>
        <v>DHBA</v>
      </c>
      <c r="AD978" s="42"/>
      <c r="AE978" s="42"/>
      <c r="AF978" s="9"/>
      <c r="AG978" s="9"/>
      <c r="AH978" s="42"/>
      <c r="AI978" s="42"/>
      <c r="AJ978" s="42"/>
      <c r="AK978" s="42"/>
      <c r="AL978" s="42"/>
      <c r="AM978" s="42"/>
      <c r="AN978" s="42"/>
      <c r="AO978" s="63" t="str">
        <f>IFERROR(__xludf.DUMMYFUNCTION("IF(ISBLANK(A978),,IF(ISBLANK(S978), A978&amp;"";"", TEXTJOIN(CHAR(10), TRUE, A978&amp;"";"", ARRAYFORMULA(VLOOKUP(SPLIT(S978, "";"" &amp; CHAR(10)), $A:$AO, 41, FALSE)))))"),"S1ul;
S1ul1;
S1ul2;
S1ul3;
S1ul4;
S1ul5;
S1ul6;")</f>
        <v>S1ul;
S1ul1;
S1ul2;
S1ul3;
S1ul4;
S1ul5;
S1ul6;</v>
      </c>
      <c r="AP978" s="89"/>
    </row>
    <row r="979">
      <c r="A979" s="151" t="str">
        <f>IFERROR(__xludf.DUMMYFUNCTION("""COMPUTED_VALUE"""),"S1ul1")</f>
        <v>S1ul1</v>
      </c>
      <c r="B979" s="42" t="str">
        <f>IFERROR(__xludf.DUMMYFUNCTION("""COMPUTED_VALUE"""),"DHBA")</f>
        <v>DHBA</v>
      </c>
      <c r="C979" s="42" t="str">
        <f>IFERROR(__xludf.DUMMYFUNCTION("""COMPUTED_VALUE"""),"layer I of area S1ul")</f>
        <v>layer I of area S1ul</v>
      </c>
      <c r="D979" s="42">
        <f>IFERROR(__xludf.DUMMYFUNCTION("""COMPUTED_VALUE"""),922.0)</f>
        <v>922</v>
      </c>
      <c r="E979" s="39" t="str">
        <f>IFERROR(__xludf.DUMMYFUNCTION("""COMPUTED_VALUE"""),"layer I of area S1ul")</f>
        <v>layer I of area S1ul</v>
      </c>
      <c r="F979" s="9" t="str">
        <f>IFERROR(__xludf.DUMMYFUNCTION("""COMPUTED_VALUE"""),"Br")</f>
        <v>Br</v>
      </c>
      <c r="G979" s="9" t="str">
        <f>IFERROR(__xludf.DUMMYFUNCTION("""COMPUTED_VALUE"""),"F")</f>
        <v>F</v>
      </c>
      <c r="H979" s="9" t="str">
        <f>IFERROR(__xludf.DUMMYFUNCTION("""COMPUTED_VALUE"""),"FGM")</f>
        <v>FGM</v>
      </c>
      <c r="I979" s="9" t="str">
        <f>IFERROR(__xludf.DUMMYFUNCTION("""COMPUTED_VALUE"""),"Tel")</f>
        <v>Tel</v>
      </c>
      <c r="J979" s="9" t="str">
        <f>IFERROR(__xludf.DUMMYFUNCTION("""COMPUTED_VALUE"""),"Cx")</f>
        <v>Cx</v>
      </c>
      <c r="K979" s="9" t="str">
        <f>IFERROR(__xludf.DUMMYFUNCTION("""COMPUTED_VALUE"""),"NCx")</f>
        <v>NCx</v>
      </c>
      <c r="L979" s="9" t="str">
        <f>IFERROR(__xludf.DUMMYFUNCTION("""COMPUTED_VALUE"""),"PCx")</f>
        <v>PCx</v>
      </c>
      <c r="M979" s="9" t="str">
        <f>IFERROR(__xludf.DUMMYFUNCTION("""COMPUTED_VALUE"""),"S1C")</f>
        <v>S1C</v>
      </c>
      <c r="N979" s="9" t="str">
        <f>IFERROR(__xludf.DUMMYFUNCTION("""COMPUTED_VALUE"""),"S1ul")</f>
        <v>S1ul</v>
      </c>
      <c r="O979" s="9" t="str">
        <f>IFERROR(__xludf.DUMMYFUNCTION("""COMPUTED_VALUE"""),"S1ul1")</f>
        <v>S1ul1</v>
      </c>
      <c r="P979" s="9"/>
      <c r="Q979" s="9"/>
      <c r="R979" s="9"/>
      <c r="S979" s="42"/>
      <c r="T979" s="42"/>
      <c r="U979" s="42"/>
      <c r="V979" s="42"/>
      <c r="W979" s="42"/>
      <c r="X979" s="42"/>
      <c r="Y979" s="42"/>
      <c r="Z979" s="42"/>
      <c r="AA979" s="42"/>
      <c r="AB979" s="42" t="str">
        <f>IFERROR(__xludf.DUMMYFUNCTION("""COMPUTED_VALUE"""),"allen institute")</f>
        <v>allen institute</v>
      </c>
      <c r="AC979" s="42" t="str">
        <f>IFERROR(__xludf.DUMMYFUNCTION("""COMPUTED_VALUE"""),"DHBA")</f>
        <v>DHBA</v>
      </c>
      <c r="AD979" s="42"/>
      <c r="AE979" s="42"/>
      <c r="AF979" s="9"/>
      <c r="AG979" s="9"/>
      <c r="AH979" s="42"/>
      <c r="AI979" s="42"/>
      <c r="AJ979" s="42"/>
      <c r="AK979" s="42"/>
      <c r="AL979" s="42"/>
      <c r="AM979" s="42"/>
      <c r="AN979" s="42"/>
      <c r="AO979" s="63" t="str">
        <f>IFERROR(__xludf.DUMMYFUNCTION("IF(ISBLANK(A979),,IF(ISBLANK(S979), A979&amp;"";"", TEXTJOIN(CHAR(10), TRUE, A979&amp;"";"", ARRAYFORMULA(VLOOKUP(SPLIT(S979, "";"" &amp; CHAR(10)), $A:$AO, 41, FALSE)))))"),"S1ul1;")</f>
        <v>S1ul1;</v>
      </c>
      <c r="AP979" s="89"/>
    </row>
    <row r="980">
      <c r="A980" s="151" t="str">
        <f>IFERROR(__xludf.DUMMYFUNCTION("""COMPUTED_VALUE"""),"S1ul2")</f>
        <v>S1ul2</v>
      </c>
      <c r="B980" s="42" t="str">
        <f>IFERROR(__xludf.DUMMYFUNCTION("""COMPUTED_VALUE"""),"DHBA")</f>
        <v>DHBA</v>
      </c>
      <c r="C980" s="42" t="str">
        <f>IFERROR(__xludf.DUMMYFUNCTION("""COMPUTED_VALUE"""),"layer II of area S1ul")</f>
        <v>layer II of area S1ul</v>
      </c>
      <c r="D980" s="42">
        <f>IFERROR(__xludf.DUMMYFUNCTION("""COMPUTED_VALUE"""),923.0)</f>
        <v>923</v>
      </c>
      <c r="E980" s="39" t="str">
        <f>IFERROR(__xludf.DUMMYFUNCTION("""COMPUTED_VALUE"""),"layer II of area S1ul")</f>
        <v>layer II of area S1ul</v>
      </c>
      <c r="F980" s="9" t="str">
        <f>IFERROR(__xludf.DUMMYFUNCTION("""COMPUTED_VALUE"""),"Br")</f>
        <v>Br</v>
      </c>
      <c r="G980" s="9" t="str">
        <f>IFERROR(__xludf.DUMMYFUNCTION("""COMPUTED_VALUE"""),"F")</f>
        <v>F</v>
      </c>
      <c r="H980" s="9" t="str">
        <f>IFERROR(__xludf.DUMMYFUNCTION("""COMPUTED_VALUE"""),"FGM")</f>
        <v>FGM</v>
      </c>
      <c r="I980" s="9" t="str">
        <f>IFERROR(__xludf.DUMMYFUNCTION("""COMPUTED_VALUE"""),"Tel")</f>
        <v>Tel</v>
      </c>
      <c r="J980" s="9" t="str">
        <f>IFERROR(__xludf.DUMMYFUNCTION("""COMPUTED_VALUE"""),"Cx")</f>
        <v>Cx</v>
      </c>
      <c r="K980" s="9" t="str">
        <f>IFERROR(__xludf.DUMMYFUNCTION("""COMPUTED_VALUE"""),"NCx")</f>
        <v>NCx</v>
      </c>
      <c r="L980" s="9" t="str">
        <f>IFERROR(__xludf.DUMMYFUNCTION("""COMPUTED_VALUE"""),"PCx")</f>
        <v>PCx</v>
      </c>
      <c r="M980" s="9" t="str">
        <f>IFERROR(__xludf.DUMMYFUNCTION("""COMPUTED_VALUE"""),"S1C")</f>
        <v>S1C</v>
      </c>
      <c r="N980" s="9" t="str">
        <f>IFERROR(__xludf.DUMMYFUNCTION("""COMPUTED_VALUE"""),"S1ul")</f>
        <v>S1ul</v>
      </c>
      <c r="O980" s="9" t="str">
        <f>IFERROR(__xludf.DUMMYFUNCTION("""COMPUTED_VALUE"""),"S1ul2")</f>
        <v>S1ul2</v>
      </c>
      <c r="P980" s="9"/>
      <c r="Q980" s="9"/>
      <c r="R980" s="9"/>
      <c r="S980" s="42"/>
      <c r="T980" s="42"/>
      <c r="U980" s="42"/>
      <c r="V980" s="42"/>
      <c r="W980" s="42"/>
      <c r="X980" s="42"/>
      <c r="Y980" s="42"/>
      <c r="Z980" s="42"/>
      <c r="AA980" s="42"/>
      <c r="AB980" s="42" t="str">
        <f>IFERROR(__xludf.DUMMYFUNCTION("""COMPUTED_VALUE"""),"allen institute")</f>
        <v>allen institute</v>
      </c>
      <c r="AC980" s="42" t="str">
        <f>IFERROR(__xludf.DUMMYFUNCTION("""COMPUTED_VALUE"""),"DHBA")</f>
        <v>DHBA</v>
      </c>
      <c r="AD980" s="42"/>
      <c r="AE980" s="42"/>
      <c r="AF980" s="9"/>
      <c r="AG980" s="9"/>
      <c r="AH980" s="42"/>
      <c r="AI980" s="42"/>
      <c r="AJ980" s="42"/>
      <c r="AK980" s="42"/>
      <c r="AL980" s="42"/>
      <c r="AM980" s="42"/>
      <c r="AN980" s="42"/>
      <c r="AO980" s="63" t="str">
        <f>IFERROR(__xludf.DUMMYFUNCTION("IF(ISBLANK(A980),,IF(ISBLANK(S980), A980&amp;"";"", TEXTJOIN(CHAR(10), TRUE, A980&amp;"";"", ARRAYFORMULA(VLOOKUP(SPLIT(S980, "";"" &amp; CHAR(10)), $A:$AO, 41, FALSE)))))"),"S1ul2;")</f>
        <v>S1ul2;</v>
      </c>
      <c r="AP980" s="89"/>
    </row>
    <row r="981">
      <c r="A981" s="151" t="str">
        <f>IFERROR(__xludf.DUMMYFUNCTION("""COMPUTED_VALUE"""),"S1ul3")</f>
        <v>S1ul3</v>
      </c>
      <c r="B981" s="42" t="str">
        <f>IFERROR(__xludf.DUMMYFUNCTION("""COMPUTED_VALUE"""),"DHBA")</f>
        <v>DHBA</v>
      </c>
      <c r="C981" s="42" t="str">
        <f>IFERROR(__xludf.DUMMYFUNCTION("""COMPUTED_VALUE"""),"layer III of area S1ul")</f>
        <v>layer III of area S1ul</v>
      </c>
      <c r="D981" s="42">
        <f>IFERROR(__xludf.DUMMYFUNCTION("""COMPUTED_VALUE"""),924.0)</f>
        <v>924</v>
      </c>
      <c r="E981" s="39" t="str">
        <f>IFERROR(__xludf.DUMMYFUNCTION("""COMPUTED_VALUE"""),"layer III of area S1ul")</f>
        <v>layer III of area S1ul</v>
      </c>
      <c r="F981" s="9" t="str">
        <f>IFERROR(__xludf.DUMMYFUNCTION("""COMPUTED_VALUE"""),"Br")</f>
        <v>Br</v>
      </c>
      <c r="G981" s="9" t="str">
        <f>IFERROR(__xludf.DUMMYFUNCTION("""COMPUTED_VALUE"""),"F")</f>
        <v>F</v>
      </c>
      <c r="H981" s="9" t="str">
        <f>IFERROR(__xludf.DUMMYFUNCTION("""COMPUTED_VALUE"""),"FGM")</f>
        <v>FGM</v>
      </c>
      <c r="I981" s="9" t="str">
        <f>IFERROR(__xludf.DUMMYFUNCTION("""COMPUTED_VALUE"""),"Tel")</f>
        <v>Tel</v>
      </c>
      <c r="J981" s="9" t="str">
        <f>IFERROR(__xludf.DUMMYFUNCTION("""COMPUTED_VALUE"""),"Cx")</f>
        <v>Cx</v>
      </c>
      <c r="K981" s="9" t="str">
        <f>IFERROR(__xludf.DUMMYFUNCTION("""COMPUTED_VALUE"""),"NCx")</f>
        <v>NCx</v>
      </c>
      <c r="L981" s="9" t="str">
        <f>IFERROR(__xludf.DUMMYFUNCTION("""COMPUTED_VALUE"""),"PCx")</f>
        <v>PCx</v>
      </c>
      <c r="M981" s="9" t="str">
        <f>IFERROR(__xludf.DUMMYFUNCTION("""COMPUTED_VALUE"""),"S1C")</f>
        <v>S1C</v>
      </c>
      <c r="N981" s="9" t="str">
        <f>IFERROR(__xludf.DUMMYFUNCTION("""COMPUTED_VALUE"""),"S1ul")</f>
        <v>S1ul</v>
      </c>
      <c r="O981" s="9" t="str">
        <f>IFERROR(__xludf.DUMMYFUNCTION("""COMPUTED_VALUE"""),"S1ul3")</f>
        <v>S1ul3</v>
      </c>
      <c r="P981" s="9"/>
      <c r="Q981" s="9"/>
      <c r="R981" s="9"/>
      <c r="S981" s="42"/>
      <c r="T981" s="42"/>
      <c r="U981" s="42"/>
      <c r="V981" s="42"/>
      <c r="W981" s="42"/>
      <c r="X981" s="42"/>
      <c r="Y981" s="42"/>
      <c r="Z981" s="42"/>
      <c r="AA981" s="42"/>
      <c r="AB981" s="42" t="str">
        <f>IFERROR(__xludf.DUMMYFUNCTION("""COMPUTED_VALUE"""),"allen institute")</f>
        <v>allen institute</v>
      </c>
      <c r="AC981" s="42" t="str">
        <f>IFERROR(__xludf.DUMMYFUNCTION("""COMPUTED_VALUE"""),"DHBA")</f>
        <v>DHBA</v>
      </c>
      <c r="AD981" s="42"/>
      <c r="AE981" s="42"/>
      <c r="AF981" s="9"/>
      <c r="AG981" s="9"/>
      <c r="AH981" s="42"/>
      <c r="AI981" s="42"/>
      <c r="AJ981" s="42"/>
      <c r="AK981" s="42"/>
      <c r="AL981" s="42"/>
      <c r="AM981" s="42"/>
      <c r="AN981" s="42"/>
      <c r="AO981" s="63" t="str">
        <f>IFERROR(__xludf.DUMMYFUNCTION("IF(ISBLANK(A981),,IF(ISBLANK(S981), A981&amp;"";"", TEXTJOIN(CHAR(10), TRUE, A981&amp;"";"", ARRAYFORMULA(VLOOKUP(SPLIT(S981, "";"" &amp; CHAR(10)), $A:$AO, 41, FALSE)))))"),"S1ul3;")</f>
        <v>S1ul3;</v>
      </c>
      <c r="AP981" s="89"/>
    </row>
    <row r="982">
      <c r="A982" s="151" t="str">
        <f>IFERROR(__xludf.DUMMYFUNCTION("""COMPUTED_VALUE"""),"S1ul4")</f>
        <v>S1ul4</v>
      </c>
      <c r="B982" s="42" t="str">
        <f>IFERROR(__xludf.DUMMYFUNCTION("""COMPUTED_VALUE"""),"DHBA")</f>
        <v>DHBA</v>
      </c>
      <c r="C982" s="42" t="str">
        <f>IFERROR(__xludf.DUMMYFUNCTION("""COMPUTED_VALUE"""),"layer IV of area S1ul")</f>
        <v>layer IV of area S1ul</v>
      </c>
      <c r="D982" s="42">
        <f>IFERROR(__xludf.DUMMYFUNCTION("""COMPUTED_VALUE"""),925.0)</f>
        <v>925</v>
      </c>
      <c r="E982" s="39" t="str">
        <f>IFERROR(__xludf.DUMMYFUNCTION("""COMPUTED_VALUE"""),"layer IV of area S1ul")</f>
        <v>layer IV of area S1ul</v>
      </c>
      <c r="F982" s="9" t="str">
        <f>IFERROR(__xludf.DUMMYFUNCTION("""COMPUTED_VALUE"""),"Br")</f>
        <v>Br</v>
      </c>
      <c r="G982" s="9" t="str">
        <f>IFERROR(__xludf.DUMMYFUNCTION("""COMPUTED_VALUE"""),"F")</f>
        <v>F</v>
      </c>
      <c r="H982" s="9" t="str">
        <f>IFERROR(__xludf.DUMMYFUNCTION("""COMPUTED_VALUE"""),"FGM")</f>
        <v>FGM</v>
      </c>
      <c r="I982" s="9" t="str">
        <f>IFERROR(__xludf.DUMMYFUNCTION("""COMPUTED_VALUE"""),"Tel")</f>
        <v>Tel</v>
      </c>
      <c r="J982" s="9" t="str">
        <f>IFERROR(__xludf.DUMMYFUNCTION("""COMPUTED_VALUE"""),"Cx")</f>
        <v>Cx</v>
      </c>
      <c r="K982" s="9" t="str">
        <f>IFERROR(__xludf.DUMMYFUNCTION("""COMPUTED_VALUE"""),"NCx")</f>
        <v>NCx</v>
      </c>
      <c r="L982" s="9" t="str">
        <f>IFERROR(__xludf.DUMMYFUNCTION("""COMPUTED_VALUE"""),"PCx")</f>
        <v>PCx</v>
      </c>
      <c r="M982" s="9" t="str">
        <f>IFERROR(__xludf.DUMMYFUNCTION("""COMPUTED_VALUE"""),"S1C")</f>
        <v>S1C</v>
      </c>
      <c r="N982" s="9" t="str">
        <f>IFERROR(__xludf.DUMMYFUNCTION("""COMPUTED_VALUE"""),"S1ul")</f>
        <v>S1ul</v>
      </c>
      <c r="O982" s="9" t="str">
        <f>IFERROR(__xludf.DUMMYFUNCTION("""COMPUTED_VALUE"""),"S1ul4")</f>
        <v>S1ul4</v>
      </c>
      <c r="P982" s="9"/>
      <c r="Q982" s="9"/>
      <c r="R982" s="9"/>
      <c r="S982" s="42"/>
      <c r="T982" s="42"/>
      <c r="U982" s="42"/>
      <c r="V982" s="42"/>
      <c r="W982" s="42"/>
      <c r="X982" s="42"/>
      <c r="Y982" s="42"/>
      <c r="Z982" s="42"/>
      <c r="AA982" s="42"/>
      <c r="AB982" s="42" t="str">
        <f>IFERROR(__xludf.DUMMYFUNCTION("""COMPUTED_VALUE"""),"allen institute")</f>
        <v>allen institute</v>
      </c>
      <c r="AC982" s="42" t="str">
        <f>IFERROR(__xludf.DUMMYFUNCTION("""COMPUTED_VALUE"""),"DHBA")</f>
        <v>DHBA</v>
      </c>
      <c r="AD982" s="42"/>
      <c r="AE982" s="42"/>
      <c r="AF982" s="9"/>
      <c r="AG982" s="9"/>
      <c r="AH982" s="42"/>
      <c r="AI982" s="42"/>
      <c r="AJ982" s="42"/>
      <c r="AK982" s="42"/>
      <c r="AL982" s="42"/>
      <c r="AM982" s="42"/>
      <c r="AN982" s="42"/>
      <c r="AO982" s="63" t="str">
        <f>IFERROR(__xludf.DUMMYFUNCTION("IF(ISBLANK(A982),,IF(ISBLANK(S982), A982&amp;"";"", TEXTJOIN(CHAR(10), TRUE, A982&amp;"";"", ARRAYFORMULA(VLOOKUP(SPLIT(S982, "";"" &amp; CHAR(10)), $A:$AO, 41, FALSE)))))"),"S1ul4;")</f>
        <v>S1ul4;</v>
      </c>
      <c r="AP982" s="89"/>
    </row>
    <row r="983">
      <c r="A983" s="151" t="str">
        <f>IFERROR(__xludf.DUMMYFUNCTION("""COMPUTED_VALUE"""),"S1ul5")</f>
        <v>S1ul5</v>
      </c>
      <c r="B983" s="42" t="str">
        <f>IFERROR(__xludf.DUMMYFUNCTION("""COMPUTED_VALUE"""),"DHBA")</f>
        <v>DHBA</v>
      </c>
      <c r="C983" s="42" t="str">
        <f>IFERROR(__xludf.DUMMYFUNCTION("""COMPUTED_VALUE"""),"layer V of area S1ul")</f>
        <v>layer V of area S1ul</v>
      </c>
      <c r="D983" s="42">
        <f>IFERROR(__xludf.DUMMYFUNCTION("""COMPUTED_VALUE"""),926.0)</f>
        <v>926</v>
      </c>
      <c r="E983" s="39" t="str">
        <f>IFERROR(__xludf.DUMMYFUNCTION("""COMPUTED_VALUE"""),"layer V of area S1ul")</f>
        <v>layer V of area S1ul</v>
      </c>
      <c r="F983" s="9" t="str">
        <f>IFERROR(__xludf.DUMMYFUNCTION("""COMPUTED_VALUE"""),"Br")</f>
        <v>Br</v>
      </c>
      <c r="G983" s="9" t="str">
        <f>IFERROR(__xludf.DUMMYFUNCTION("""COMPUTED_VALUE"""),"F")</f>
        <v>F</v>
      </c>
      <c r="H983" s="9" t="str">
        <f>IFERROR(__xludf.DUMMYFUNCTION("""COMPUTED_VALUE"""),"FGM")</f>
        <v>FGM</v>
      </c>
      <c r="I983" s="9" t="str">
        <f>IFERROR(__xludf.DUMMYFUNCTION("""COMPUTED_VALUE"""),"Tel")</f>
        <v>Tel</v>
      </c>
      <c r="J983" s="9" t="str">
        <f>IFERROR(__xludf.DUMMYFUNCTION("""COMPUTED_VALUE"""),"Cx")</f>
        <v>Cx</v>
      </c>
      <c r="K983" s="9" t="str">
        <f>IFERROR(__xludf.DUMMYFUNCTION("""COMPUTED_VALUE"""),"NCx")</f>
        <v>NCx</v>
      </c>
      <c r="L983" s="9" t="str">
        <f>IFERROR(__xludf.DUMMYFUNCTION("""COMPUTED_VALUE"""),"PCx")</f>
        <v>PCx</v>
      </c>
      <c r="M983" s="9" t="str">
        <f>IFERROR(__xludf.DUMMYFUNCTION("""COMPUTED_VALUE"""),"S1C")</f>
        <v>S1C</v>
      </c>
      <c r="N983" s="9" t="str">
        <f>IFERROR(__xludf.DUMMYFUNCTION("""COMPUTED_VALUE"""),"S1ul")</f>
        <v>S1ul</v>
      </c>
      <c r="O983" s="9" t="str">
        <f>IFERROR(__xludf.DUMMYFUNCTION("""COMPUTED_VALUE"""),"S1ul5")</f>
        <v>S1ul5</v>
      </c>
      <c r="P983" s="9"/>
      <c r="Q983" s="9"/>
      <c r="R983" s="9"/>
      <c r="S983" s="42"/>
      <c r="T983" s="42"/>
      <c r="U983" s="42"/>
      <c r="V983" s="42"/>
      <c r="W983" s="42"/>
      <c r="X983" s="42"/>
      <c r="Y983" s="42"/>
      <c r="Z983" s="42"/>
      <c r="AA983" s="42"/>
      <c r="AB983" s="42" t="str">
        <f>IFERROR(__xludf.DUMMYFUNCTION("""COMPUTED_VALUE"""),"allen institute")</f>
        <v>allen institute</v>
      </c>
      <c r="AC983" s="42" t="str">
        <f>IFERROR(__xludf.DUMMYFUNCTION("""COMPUTED_VALUE"""),"DHBA")</f>
        <v>DHBA</v>
      </c>
      <c r="AD983" s="42"/>
      <c r="AE983" s="42"/>
      <c r="AF983" s="9"/>
      <c r="AG983" s="9"/>
      <c r="AH983" s="42"/>
      <c r="AI983" s="42"/>
      <c r="AJ983" s="42"/>
      <c r="AK983" s="42"/>
      <c r="AL983" s="42"/>
      <c r="AM983" s="42"/>
      <c r="AN983" s="42"/>
      <c r="AO983" s="63" t="str">
        <f>IFERROR(__xludf.DUMMYFUNCTION("IF(ISBLANK(A983),,IF(ISBLANK(S983), A983&amp;"";"", TEXTJOIN(CHAR(10), TRUE, A983&amp;"";"", ARRAYFORMULA(VLOOKUP(SPLIT(S983, "";"" &amp; CHAR(10)), $A:$AO, 41, FALSE)))))"),"S1ul5;")</f>
        <v>S1ul5;</v>
      </c>
      <c r="AP983" s="89"/>
    </row>
    <row r="984">
      <c r="A984" s="151" t="str">
        <f>IFERROR(__xludf.DUMMYFUNCTION("""COMPUTED_VALUE"""),"S1ul6")</f>
        <v>S1ul6</v>
      </c>
      <c r="B984" s="42" t="str">
        <f>IFERROR(__xludf.DUMMYFUNCTION("""COMPUTED_VALUE"""),"DHBA")</f>
        <v>DHBA</v>
      </c>
      <c r="C984" s="42" t="str">
        <f>IFERROR(__xludf.DUMMYFUNCTION("""COMPUTED_VALUE"""),"layer VI of area S1ul")</f>
        <v>layer VI of area S1ul</v>
      </c>
      <c r="D984" s="42">
        <f>IFERROR(__xludf.DUMMYFUNCTION("""COMPUTED_VALUE"""),927.0)</f>
        <v>927</v>
      </c>
      <c r="E984" s="39" t="str">
        <f>IFERROR(__xludf.DUMMYFUNCTION("""COMPUTED_VALUE"""),"layer VI of area S1ul")</f>
        <v>layer VI of area S1ul</v>
      </c>
      <c r="F984" s="9" t="str">
        <f>IFERROR(__xludf.DUMMYFUNCTION("""COMPUTED_VALUE"""),"Br")</f>
        <v>Br</v>
      </c>
      <c r="G984" s="9" t="str">
        <f>IFERROR(__xludf.DUMMYFUNCTION("""COMPUTED_VALUE"""),"F")</f>
        <v>F</v>
      </c>
      <c r="H984" s="9" t="str">
        <f>IFERROR(__xludf.DUMMYFUNCTION("""COMPUTED_VALUE"""),"FGM")</f>
        <v>FGM</v>
      </c>
      <c r="I984" s="9" t="str">
        <f>IFERROR(__xludf.DUMMYFUNCTION("""COMPUTED_VALUE"""),"Tel")</f>
        <v>Tel</v>
      </c>
      <c r="J984" s="9" t="str">
        <f>IFERROR(__xludf.DUMMYFUNCTION("""COMPUTED_VALUE"""),"Cx")</f>
        <v>Cx</v>
      </c>
      <c r="K984" s="9" t="str">
        <f>IFERROR(__xludf.DUMMYFUNCTION("""COMPUTED_VALUE"""),"NCx")</f>
        <v>NCx</v>
      </c>
      <c r="L984" s="9" t="str">
        <f>IFERROR(__xludf.DUMMYFUNCTION("""COMPUTED_VALUE"""),"PCx")</f>
        <v>PCx</v>
      </c>
      <c r="M984" s="9" t="str">
        <f>IFERROR(__xludf.DUMMYFUNCTION("""COMPUTED_VALUE"""),"S1C")</f>
        <v>S1C</v>
      </c>
      <c r="N984" s="9" t="str">
        <f>IFERROR(__xludf.DUMMYFUNCTION("""COMPUTED_VALUE"""),"S1ul")</f>
        <v>S1ul</v>
      </c>
      <c r="O984" s="9" t="str">
        <f>IFERROR(__xludf.DUMMYFUNCTION("""COMPUTED_VALUE"""),"S1ul6")</f>
        <v>S1ul6</v>
      </c>
      <c r="P984" s="9"/>
      <c r="Q984" s="9"/>
      <c r="R984" s="9"/>
      <c r="S984" s="42"/>
      <c r="T984" s="42"/>
      <c r="U984" s="42"/>
      <c r="V984" s="42"/>
      <c r="W984" s="42"/>
      <c r="X984" s="42"/>
      <c r="Y984" s="42"/>
      <c r="Z984" s="42"/>
      <c r="AA984" s="42"/>
      <c r="AB984" s="42" t="str">
        <f>IFERROR(__xludf.DUMMYFUNCTION("""COMPUTED_VALUE"""),"allen institute")</f>
        <v>allen institute</v>
      </c>
      <c r="AC984" s="42" t="str">
        <f>IFERROR(__xludf.DUMMYFUNCTION("""COMPUTED_VALUE"""),"DHBA")</f>
        <v>DHBA</v>
      </c>
      <c r="AD984" s="42"/>
      <c r="AE984" s="42"/>
      <c r="AF984" s="9"/>
      <c r="AG984" s="9"/>
      <c r="AH984" s="42"/>
      <c r="AI984" s="42"/>
      <c r="AJ984" s="42"/>
      <c r="AK984" s="42"/>
      <c r="AL984" s="42"/>
      <c r="AM984" s="42"/>
      <c r="AN984" s="42"/>
      <c r="AO984" s="63" t="str">
        <f>IFERROR(__xludf.DUMMYFUNCTION("IF(ISBLANK(A984),,IF(ISBLANK(S984), A984&amp;"";"", TEXTJOIN(CHAR(10), TRUE, A984&amp;"";"", ARRAYFORMULA(VLOOKUP(SPLIT(S984, "";"" &amp; CHAR(10)), $A:$AO, 41, FALSE)))))"),"S1ul6;")</f>
        <v>S1ul6;</v>
      </c>
      <c r="AP984" s="89"/>
    </row>
    <row r="985">
      <c r="A985" s="151" t="str">
        <f>IFERROR(__xludf.DUMMYFUNCTION("""COMPUTED_VALUE"""),"S1tr")</f>
        <v>S1tr</v>
      </c>
      <c r="B985" s="42" t="str">
        <f>IFERROR(__xludf.DUMMYFUNCTION("""COMPUTED_VALUE"""),"DHBA")</f>
        <v>DHBA</v>
      </c>
      <c r="C985" s="42" t="str">
        <f>IFERROR(__xludf.DUMMYFUNCTION("""COMPUTED_VALUE"""),"trunk region of S1")</f>
        <v>trunk region of S1</v>
      </c>
      <c r="D985" s="42">
        <f>IFERROR(__xludf.DUMMYFUNCTION("""COMPUTED_VALUE"""),928.0)</f>
        <v>928</v>
      </c>
      <c r="E985" s="39" t="str">
        <f>IFERROR(__xludf.DUMMYFUNCTION("""COMPUTED_VALUE"""),"trunk region of S1")</f>
        <v>trunk region of S1</v>
      </c>
      <c r="F985" s="9" t="str">
        <f>IFERROR(__xludf.DUMMYFUNCTION("""COMPUTED_VALUE"""),"Br")</f>
        <v>Br</v>
      </c>
      <c r="G985" s="9" t="str">
        <f>IFERROR(__xludf.DUMMYFUNCTION("""COMPUTED_VALUE"""),"F")</f>
        <v>F</v>
      </c>
      <c r="H985" s="9" t="str">
        <f>IFERROR(__xludf.DUMMYFUNCTION("""COMPUTED_VALUE"""),"FGM")</f>
        <v>FGM</v>
      </c>
      <c r="I985" s="9" t="str">
        <f>IFERROR(__xludf.DUMMYFUNCTION("""COMPUTED_VALUE"""),"Tel")</f>
        <v>Tel</v>
      </c>
      <c r="J985" s="9" t="str">
        <f>IFERROR(__xludf.DUMMYFUNCTION("""COMPUTED_VALUE"""),"Cx")</f>
        <v>Cx</v>
      </c>
      <c r="K985" s="9" t="str">
        <f>IFERROR(__xludf.DUMMYFUNCTION("""COMPUTED_VALUE"""),"NCx")</f>
        <v>NCx</v>
      </c>
      <c r="L985" s="9" t="str">
        <f>IFERROR(__xludf.DUMMYFUNCTION("""COMPUTED_VALUE"""),"PCx")</f>
        <v>PCx</v>
      </c>
      <c r="M985" s="9" t="str">
        <f>IFERROR(__xludf.DUMMYFUNCTION("""COMPUTED_VALUE"""),"S1C")</f>
        <v>S1C</v>
      </c>
      <c r="N985" s="9" t="str">
        <f>IFERROR(__xludf.DUMMYFUNCTION("""COMPUTED_VALUE"""),"S1tr")</f>
        <v>S1tr</v>
      </c>
      <c r="O985" s="9"/>
      <c r="P985" s="9"/>
      <c r="Q985" s="9"/>
      <c r="R985" s="9"/>
      <c r="S985" s="42" t="str">
        <f>IFERROR(__xludf.DUMMYFUNCTION("""COMPUTED_VALUE"""),"S1tr1;
S1tr2;
S1tr3;
S1tr4;
S1tr5;
S1tr6")</f>
        <v>S1tr1;
S1tr2;
S1tr3;
S1tr4;
S1tr5;
S1tr6</v>
      </c>
      <c r="T985" s="42"/>
      <c r="U985" s="42" t="b">
        <f>IFERROR(__xludf.DUMMYFUNCTION("""COMPUTED_VALUE"""),FALSE)</f>
        <v>0</v>
      </c>
      <c r="V985" s="42"/>
      <c r="W985" s="42"/>
      <c r="X985" s="42"/>
      <c r="Y985" s="42"/>
      <c r="Z985" s="42"/>
      <c r="AA985" s="42"/>
      <c r="AB985" s="42" t="str">
        <f>IFERROR(__xludf.DUMMYFUNCTION("""COMPUTED_VALUE"""),"allen institute")</f>
        <v>allen institute</v>
      </c>
      <c r="AC985" s="42" t="str">
        <f>IFERROR(__xludf.DUMMYFUNCTION("""COMPUTED_VALUE"""),"DHBA")</f>
        <v>DHBA</v>
      </c>
      <c r="AD985" s="42"/>
      <c r="AE985" s="42"/>
      <c r="AF985" s="9"/>
      <c r="AG985" s="9"/>
      <c r="AH985" s="42"/>
      <c r="AI985" s="42"/>
      <c r="AJ985" s="42"/>
      <c r="AK985" s="42"/>
      <c r="AL985" s="42"/>
      <c r="AM985" s="42"/>
      <c r="AN985" s="42"/>
      <c r="AO985" s="63" t="str">
        <f>IFERROR(__xludf.DUMMYFUNCTION("IF(ISBLANK(A985),,IF(ISBLANK(S985), A985&amp;"";"", TEXTJOIN(CHAR(10), TRUE, A985&amp;"";"", ARRAYFORMULA(VLOOKUP(SPLIT(S985, "";"" &amp; CHAR(10)), $A:$AO, 41, FALSE)))))"),"S1tr;
S1tr1;
S1tr2;
S1tr3;
S1tr4;
S1tr5;
S1tr6;")</f>
        <v>S1tr;
S1tr1;
S1tr2;
S1tr3;
S1tr4;
S1tr5;
S1tr6;</v>
      </c>
      <c r="AP985" s="89"/>
    </row>
    <row r="986">
      <c r="A986" s="151" t="str">
        <f>IFERROR(__xludf.DUMMYFUNCTION("""COMPUTED_VALUE"""),"S1tr1")</f>
        <v>S1tr1</v>
      </c>
      <c r="B986" s="42" t="str">
        <f>IFERROR(__xludf.DUMMYFUNCTION("""COMPUTED_VALUE"""),"DHBA")</f>
        <v>DHBA</v>
      </c>
      <c r="C986" s="42" t="str">
        <f>IFERROR(__xludf.DUMMYFUNCTION("""COMPUTED_VALUE"""),"layer I of area S1tr")</f>
        <v>layer I of area S1tr</v>
      </c>
      <c r="D986" s="42">
        <f>IFERROR(__xludf.DUMMYFUNCTION("""COMPUTED_VALUE"""),929.0)</f>
        <v>929</v>
      </c>
      <c r="E986" s="39" t="str">
        <f>IFERROR(__xludf.DUMMYFUNCTION("""COMPUTED_VALUE"""),"layer I of area S1tr")</f>
        <v>layer I of area S1tr</v>
      </c>
      <c r="F986" s="9" t="str">
        <f>IFERROR(__xludf.DUMMYFUNCTION("""COMPUTED_VALUE"""),"Br")</f>
        <v>Br</v>
      </c>
      <c r="G986" s="9" t="str">
        <f>IFERROR(__xludf.DUMMYFUNCTION("""COMPUTED_VALUE"""),"F")</f>
        <v>F</v>
      </c>
      <c r="H986" s="9" t="str">
        <f>IFERROR(__xludf.DUMMYFUNCTION("""COMPUTED_VALUE"""),"FGM")</f>
        <v>FGM</v>
      </c>
      <c r="I986" s="9" t="str">
        <f>IFERROR(__xludf.DUMMYFUNCTION("""COMPUTED_VALUE"""),"Tel")</f>
        <v>Tel</v>
      </c>
      <c r="J986" s="9" t="str">
        <f>IFERROR(__xludf.DUMMYFUNCTION("""COMPUTED_VALUE"""),"Cx")</f>
        <v>Cx</v>
      </c>
      <c r="K986" s="9" t="str">
        <f>IFERROR(__xludf.DUMMYFUNCTION("""COMPUTED_VALUE"""),"NCx")</f>
        <v>NCx</v>
      </c>
      <c r="L986" s="9" t="str">
        <f>IFERROR(__xludf.DUMMYFUNCTION("""COMPUTED_VALUE"""),"PCx")</f>
        <v>PCx</v>
      </c>
      <c r="M986" s="9" t="str">
        <f>IFERROR(__xludf.DUMMYFUNCTION("""COMPUTED_VALUE"""),"S1C")</f>
        <v>S1C</v>
      </c>
      <c r="N986" s="9" t="str">
        <f>IFERROR(__xludf.DUMMYFUNCTION("""COMPUTED_VALUE"""),"S1tr")</f>
        <v>S1tr</v>
      </c>
      <c r="O986" s="9" t="str">
        <f>IFERROR(__xludf.DUMMYFUNCTION("""COMPUTED_VALUE"""),"S1tr1")</f>
        <v>S1tr1</v>
      </c>
      <c r="P986" s="9"/>
      <c r="Q986" s="9"/>
      <c r="R986" s="9"/>
      <c r="S986" s="42"/>
      <c r="T986" s="42"/>
      <c r="U986" s="42"/>
      <c r="V986" s="42"/>
      <c r="W986" s="42"/>
      <c r="X986" s="42"/>
      <c r="Y986" s="42"/>
      <c r="Z986" s="42"/>
      <c r="AA986" s="42"/>
      <c r="AB986" s="42" t="str">
        <f>IFERROR(__xludf.DUMMYFUNCTION("""COMPUTED_VALUE"""),"allen institute")</f>
        <v>allen institute</v>
      </c>
      <c r="AC986" s="42" t="str">
        <f>IFERROR(__xludf.DUMMYFUNCTION("""COMPUTED_VALUE"""),"DHBA")</f>
        <v>DHBA</v>
      </c>
      <c r="AD986" s="42"/>
      <c r="AE986" s="42"/>
      <c r="AF986" s="9"/>
      <c r="AG986" s="9"/>
      <c r="AH986" s="42"/>
      <c r="AI986" s="42"/>
      <c r="AJ986" s="42"/>
      <c r="AK986" s="42"/>
      <c r="AL986" s="42"/>
      <c r="AM986" s="42"/>
      <c r="AN986" s="42"/>
      <c r="AO986" s="63" t="str">
        <f>IFERROR(__xludf.DUMMYFUNCTION("IF(ISBLANK(A986),,IF(ISBLANK(S986), A986&amp;"";"", TEXTJOIN(CHAR(10), TRUE, A986&amp;"";"", ARRAYFORMULA(VLOOKUP(SPLIT(S986, "";"" &amp; CHAR(10)), $A:$AO, 41, FALSE)))))"),"S1tr1;")</f>
        <v>S1tr1;</v>
      </c>
      <c r="AP986" s="89"/>
    </row>
    <row r="987">
      <c r="A987" s="151" t="str">
        <f>IFERROR(__xludf.DUMMYFUNCTION("""COMPUTED_VALUE"""),"S1tr2")</f>
        <v>S1tr2</v>
      </c>
      <c r="B987" s="42" t="str">
        <f>IFERROR(__xludf.DUMMYFUNCTION("""COMPUTED_VALUE"""),"DHBA")</f>
        <v>DHBA</v>
      </c>
      <c r="C987" s="42" t="str">
        <f>IFERROR(__xludf.DUMMYFUNCTION("""COMPUTED_VALUE"""),"layer II of area S1tr")</f>
        <v>layer II of area S1tr</v>
      </c>
      <c r="D987" s="42">
        <f>IFERROR(__xludf.DUMMYFUNCTION("""COMPUTED_VALUE"""),930.0)</f>
        <v>930</v>
      </c>
      <c r="E987" s="39" t="str">
        <f>IFERROR(__xludf.DUMMYFUNCTION("""COMPUTED_VALUE"""),"layer II of area S1tr")</f>
        <v>layer II of area S1tr</v>
      </c>
      <c r="F987" s="9" t="str">
        <f>IFERROR(__xludf.DUMMYFUNCTION("""COMPUTED_VALUE"""),"Br")</f>
        <v>Br</v>
      </c>
      <c r="G987" s="9" t="str">
        <f>IFERROR(__xludf.DUMMYFUNCTION("""COMPUTED_VALUE"""),"F")</f>
        <v>F</v>
      </c>
      <c r="H987" s="9" t="str">
        <f>IFERROR(__xludf.DUMMYFUNCTION("""COMPUTED_VALUE"""),"FGM")</f>
        <v>FGM</v>
      </c>
      <c r="I987" s="9" t="str">
        <f>IFERROR(__xludf.DUMMYFUNCTION("""COMPUTED_VALUE"""),"Tel")</f>
        <v>Tel</v>
      </c>
      <c r="J987" s="9" t="str">
        <f>IFERROR(__xludf.DUMMYFUNCTION("""COMPUTED_VALUE"""),"Cx")</f>
        <v>Cx</v>
      </c>
      <c r="K987" s="9" t="str">
        <f>IFERROR(__xludf.DUMMYFUNCTION("""COMPUTED_VALUE"""),"NCx")</f>
        <v>NCx</v>
      </c>
      <c r="L987" s="9" t="str">
        <f>IFERROR(__xludf.DUMMYFUNCTION("""COMPUTED_VALUE"""),"PCx")</f>
        <v>PCx</v>
      </c>
      <c r="M987" s="9" t="str">
        <f>IFERROR(__xludf.DUMMYFUNCTION("""COMPUTED_VALUE"""),"S1C")</f>
        <v>S1C</v>
      </c>
      <c r="N987" s="9" t="str">
        <f>IFERROR(__xludf.DUMMYFUNCTION("""COMPUTED_VALUE"""),"S1tr")</f>
        <v>S1tr</v>
      </c>
      <c r="O987" s="9" t="str">
        <f>IFERROR(__xludf.DUMMYFUNCTION("""COMPUTED_VALUE"""),"S1tr2")</f>
        <v>S1tr2</v>
      </c>
      <c r="P987" s="9"/>
      <c r="Q987" s="9"/>
      <c r="R987" s="9"/>
      <c r="S987" s="42"/>
      <c r="T987" s="42"/>
      <c r="U987" s="159"/>
      <c r="V987" s="42"/>
      <c r="W987" s="42"/>
      <c r="X987" s="42"/>
      <c r="Y987" s="42"/>
      <c r="Z987" s="42"/>
      <c r="AA987" s="42"/>
      <c r="AB987" s="42" t="str">
        <f>IFERROR(__xludf.DUMMYFUNCTION("""COMPUTED_VALUE"""),"allen institute")</f>
        <v>allen institute</v>
      </c>
      <c r="AC987" s="42" t="str">
        <f>IFERROR(__xludf.DUMMYFUNCTION("""COMPUTED_VALUE"""),"DHBA")</f>
        <v>DHBA</v>
      </c>
      <c r="AD987" s="42"/>
      <c r="AE987" s="42"/>
      <c r="AF987" s="9"/>
      <c r="AG987" s="9"/>
      <c r="AH987" s="42"/>
      <c r="AI987" s="42"/>
      <c r="AJ987" s="42"/>
      <c r="AK987" s="42"/>
      <c r="AL987" s="42"/>
      <c r="AM987" s="42"/>
      <c r="AN987" s="42"/>
      <c r="AO987" s="63" t="str">
        <f>IFERROR(__xludf.DUMMYFUNCTION("IF(ISBLANK(A987),,IF(ISBLANK(S987), A987&amp;"";"", TEXTJOIN(CHAR(10), TRUE, A987&amp;"";"", ARRAYFORMULA(VLOOKUP(SPLIT(S987, "";"" &amp; CHAR(10)), $A:$AO, 41, FALSE)))))"),"S1tr2;")</f>
        <v>S1tr2;</v>
      </c>
      <c r="AP987" s="89"/>
    </row>
    <row r="988">
      <c r="A988" s="151" t="str">
        <f>IFERROR(__xludf.DUMMYFUNCTION("""COMPUTED_VALUE"""),"S1tr3")</f>
        <v>S1tr3</v>
      </c>
      <c r="B988" s="42" t="str">
        <f>IFERROR(__xludf.DUMMYFUNCTION("""COMPUTED_VALUE"""),"DHBA")</f>
        <v>DHBA</v>
      </c>
      <c r="C988" s="42" t="str">
        <f>IFERROR(__xludf.DUMMYFUNCTION("""COMPUTED_VALUE"""),"layer III of area S1tr")</f>
        <v>layer III of area S1tr</v>
      </c>
      <c r="D988" s="42">
        <f>IFERROR(__xludf.DUMMYFUNCTION("""COMPUTED_VALUE"""),931.0)</f>
        <v>931</v>
      </c>
      <c r="E988" s="39" t="str">
        <f>IFERROR(__xludf.DUMMYFUNCTION("""COMPUTED_VALUE"""),"layer III of area S1tr")</f>
        <v>layer III of area S1tr</v>
      </c>
      <c r="F988" s="9" t="str">
        <f>IFERROR(__xludf.DUMMYFUNCTION("""COMPUTED_VALUE"""),"Br")</f>
        <v>Br</v>
      </c>
      <c r="G988" s="9" t="str">
        <f>IFERROR(__xludf.DUMMYFUNCTION("""COMPUTED_VALUE"""),"F")</f>
        <v>F</v>
      </c>
      <c r="H988" s="9" t="str">
        <f>IFERROR(__xludf.DUMMYFUNCTION("""COMPUTED_VALUE"""),"FGM")</f>
        <v>FGM</v>
      </c>
      <c r="I988" s="9" t="str">
        <f>IFERROR(__xludf.DUMMYFUNCTION("""COMPUTED_VALUE"""),"Tel")</f>
        <v>Tel</v>
      </c>
      <c r="J988" s="9" t="str">
        <f>IFERROR(__xludf.DUMMYFUNCTION("""COMPUTED_VALUE"""),"Cx")</f>
        <v>Cx</v>
      </c>
      <c r="K988" s="9" t="str">
        <f>IFERROR(__xludf.DUMMYFUNCTION("""COMPUTED_VALUE"""),"NCx")</f>
        <v>NCx</v>
      </c>
      <c r="L988" s="9" t="str">
        <f>IFERROR(__xludf.DUMMYFUNCTION("""COMPUTED_VALUE"""),"PCx")</f>
        <v>PCx</v>
      </c>
      <c r="M988" s="9" t="str">
        <f>IFERROR(__xludf.DUMMYFUNCTION("""COMPUTED_VALUE"""),"S1C")</f>
        <v>S1C</v>
      </c>
      <c r="N988" s="9" t="str">
        <f>IFERROR(__xludf.DUMMYFUNCTION("""COMPUTED_VALUE"""),"S1tr")</f>
        <v>S1tr</v>
      </c>
      <c r="O988" s="9" t="str">
        <f>IFERROR(__xludf.DUMMYFUNCTION("""COMPUTED_VALUE"""),"S1tr3")</f>
        <v>S1tr3</v>
      </c>
      <c r="P988" s="9"/>
      <c r="Q988" s="9"/>
      <c r="R988" s="9"/>
      <c r="S988" s="42"/>
      <c r="T988" s="42"/>
      <c r="U988" s="159"/>
      <c r="V988" s="42"/>
      <c r="W988" s="42"/>
      <c r="X988" s="42"/>
      <c r="Y988" s="42"/>
      <c r="Z988" s="42"/>
      <c r="AA988" s="42"/>
      <c r="AB988" s="42" t="str">
        <f>IFERROR(__xludf.DUMMYFUNCTION("""COMPUTED_VALUE"""),"allen institute")</f>
        <v>allen institute</v>
      </c>
      <c r="AC988" s="42" t="str">
        <f>IFERROR(__xludf.DUMMYFUNCTION("""COMPUTED_VALUE"""),"DHBA")</f>
        <v>DHBA</v>
      </c>
      <c r="AD988" s="42"/>
      <c r="AE988" s="42"/>
      <c r="AF988" s="9"/>
      <c r="AG988" s="9"/>
      <c r="AH988" s="42"/>
      <c r="AI988" s="42"/>
      <c r="AJ988" s="42"/>
      <c r="AK988" s="42"/>
      <c r="AL988" s="42"/>
      <c r="AM988" s="42"/>
      <c r="AN988" s="42"/>
      <c r="AO988" s="63" t="str">
        <f>IFERROR(__xludf.DUMMYFUNCTION("IF(ISBLANK(A988),,IF(ISBLANK(S988), A988&amp;"";"", TEXTJOIN(CHAR(10), TRUE, A988&amp;"";"", ARRAYFORMULA(VLOOKUP(SPLIT(S988, "";"" &amp; CHAR(10)), $A:$AO, 41, FALSE)))))"),"S1tr3;")</f>
        <v>S1tr3;</v>
      </c>
      <c r="AP988" s="89"/>
    </row>
    <row r="989">
      <c r="A989" s="151" t="str">
        <f>IFERROR(__xludf.DUMMYFUNCTION("""COMPUTED_VALUE"""),"S1tr4")</f>
        <v>S1tr4</v>
      </c>
      <c r="B989" s="42" t="str">
        <f>IFERROR(__xludf.DUMMYFUNCTION("""COMPUTED_VALUE"""),"DHBA")</f>
        <v>DHBA</v>
      </c>
      <c r="C989" s="42" t="str">
        <f>IFERROR(__xludf.DUMMYFUNCTION("""COMPUTED_VALUE"""),"layer IV of area S1tr")</f>
        <v>layer IV of area S1tr</v>
      </c>
      <c r="D989" s="42">
        <f>IFERROR(__xludf.DUMMYFUNCTION("""COMPUTED_VALUE"""),932.0)</f>
        <v>932</v>
      </c>
      <c r="E989" s="39" t="str">
        <f>IFERROR(__xludf.DUMMYFUNCTION("""COMPUTED_VALUE"""),"layer IV of area S1tr")</f>
        <v>layer IV of area S1tr</v>
      </c>
      <c r="F989" s="9" t="str">
        <f>IFERROR(__xludf.DUMMYFUNCTION("""COMPUTED_VALUE"""),"Br")</f>
        <v>Br</v>
      </c>
      <c r="G989" s="9" t="str">
        <f>IFERROR(__xludf.DUMMYFUNCTION("""COMPUTED_VALUE"""),"F")</f>
        <v>F</v>
      </c>
      <c r="H989" s="9" t="str">
        <f>IFERROR(__xludf.DUMMYFUNCTION("""COMPUTED_VALUE"""),"FGM")</f>
        <v>FGM</v>
      </c>
      <c r="I989" s="9" t="str">
        <f>IFERROR(__xludf.DUMMYFUNCTION("""COMPUTED_VALUE"""),"Tel")</f>
        <v>Tel</v>
      </c>
      <c r="J989" s="9" t="str">
        <f>IFERROR(__xludf.DUMMYFUNCTION("""COMPUTED_VALUE"""),"Cx")</f>
        <v>Cx</v>
      </c>
      <c r="K989" s="9" t="str">
        <f>IFERROR(__xludf.DUMMYFUNCTION("""COMPUTED_VALUE"""),"NCx")</f>
        <v>NCx</v>
      </c>
      <c r="L989" s="9" t="str">
        <f>IFERROR(__xludf.DUMMYFUNCTION("""COMPUTED_VALUE"""),"PCx")</f>
        <v>PCx</v>
      </c>
      <c r="M989" s="9" t="str">
        <f>IFERROR(__xludf.DUMMYFUNCTION("""COMPUTED_VALUE"""),"S1C")</f>
        <v>S1C</v>
      </c>
      <c r="N989" s="9" t="str">
        <f>IFERROR(__xludf.DUMMYFUNCTION("""COMPUTED_VALUE"""),"S1tr")</f>
        <v>S1tr</v>
      </c>
      <c r="O989" s="9" t="str">
        <f>IFERROR(__xludf.DUMMYFUNCTION("""COMPUTED_VALUE"""),"S1tr4")</f>
        <v>S1tr4</v>
      </c>
      <c r="P989" s="9"/>
      <c r="Q989" s="9"/>
      <c r="R989" s="9"/>
      <c r="S989" s="42"/>
      <c r="T989" s="42"/>
      <c r="U989" s="42"/>
      <c r="V989" s="42"/>
      <c r="W989" s="42"/>
      <c r="X989" s="42"/>
      <c r="Y989" s="42"/>
      <c r="Z989" s="42"/>
      <c r="AA989" s="42"/>
      <c r="AB989" s="42" t="str">
        <f>IFERROR(__xludf.DUMMYFUNCTION("""COMPUTED_VALUE"""),"allen institute")</f>
        <v>allen institute</v>
      </c>
      <c r="AC989" s="42" t="str">
        <f>IFERROR(__xludf.DUMMYFUNCTION("""COMPUTED_VALUE"""),"DHBA")</f>
        <v>DHBA</v>
      </c>
      <c r="AD989" s="42"/>
      <c r="AE989" s="42"/>
      <c r="AF989" s="9"/>
      <c r="AG989" s="9"/>
      <c r="AH989" s="42"/>
      <c r="AI989" s="42"/>
      <c r="AJ989" s="42"/>
      <c r="AK989" s="42"/>
      <c r="AL989" s="42"/>
      <c r="AM989" s="42"/>
      <c r="AN989" s="42"/>
      <c r="AO989" s="63" t="str">
        <f>IFERROR(__xludf.DUMMYFUNCTION("IF(ISBLANK(A989),,IF(ISBLANK(S989), A989&amp;"";"", TEXTJOIN(CHAR(10), TRUE, A989&amp;"";"", ARRAYFORMULA(VLOOKUP(SPLIT(S989, "";"" &amp; CHAR(10)), $A:$AO, 41, FALSE)))))"),"S1tr4;")</f>
        <v>S1tr4;</v>
      </c>
      <c r="AP989" s="89"/>
    </row>
    <row r="990">
      <c r="A990" s="151" t="str">
        <f>IFERROR(__xludf.DUMMYFUNCTION("""COMPUTED_VALUE"""),"S1tr5")</f>
        <v>S1tr5</v>
      </c>
      <c r="B990" s="42" t="str">
        <f>IFERROR(__xludf.DUMMYFUNCTION("""COMPUTED_VALUE"""),"DHBA")</f>
        <v>DHBA</v>
      </c>
      <c r="C990" s="42" t="str">
        <f>IFERROR(__xludf.DUMMYFUNCTION("""COMPUTED_VALUE"""),"layer V of area S1tr")</f>
        <v>layer V of area S1tr</v>
      </c>
      <c r="D990" s="42">
        <f>IFERROR(__xludf.DUMMYFUNCTION("""COMPUTED_VALUE"""),933.0)</f>
        <v>933</v>
      </c>
      <c r="E990" s="39" t="str">
        <f>IFERROR(__xludf.DUMMYFUNCTION("""COMPUTED_VALUE"""),"layer V of area S1tr")</f>
        <v>layer V of area S1tr</v>
      </c>
      <c r="F990" s="9" t="str">
        <f>IFERROR(__xludf.DUMMYFUNCTION("""COMPUTED_VALUE"""),"Br")</f>
        <v>Br</v>
      </c>
      <c r="G990" s="9" t="str">
        <f>IFERROR(__xludf.DUMMYFUNCTION("""COMPUTED_VALUE"""),"F")</f>
        <v>F</v>
      </c>
      <c r="H990" s="9" t="str">
        <f>IFERROR(__xludf.DUMMYFUNCTION("""COMPUTED_VALUE"""),"FGM")</f>
        <v>FGM</v>
      </c>
      <c r="I990" s="9" t="str">
        <f>IFERROR(__xludf.DUMMYFUNCTION("""COMPUTED_VALUE"""),"Tel")</f>
        <v>Tel</v>
      </c>
      <c r="J990" s="9" t="str">
        <f>IFERROR(__xludf.DUMMYFUNCTION("""COMPUTED_VALUE"""),"Cx")</f>
        <v>Cx</v>
      </c>
      <c r="K990" s="9" t="str">
        <f>IFERROR(__xludf.DUMMYFUNCTION("""COMPUTED_VALUE"""),"NCx")</f>
        <v>NCx</v>
      </c>
      <c r="L990" s="9" t="str">
        <f>IFERROR(__xludf.DUMMYFUNCTION("""COMPUTED_VALUE"""),"PCx")</f>
        <v>PCx</v>
      </c>
      <c r="M990" s="9" t="str">
        <f>IFERROR(__xludf.DUMMYFUNCTION("""COMPUTED_VALUE"""),"S1C")</f>
        <v>S1C</v>
      </c>
      <c r="N990" s="9" t="str">
        <f>IFERROR(__xludf.DUMMYFUNCTION("""COMPUTED_VALUE"""),"S1tr")</f>
        <v>S1tr</v>
      </c>
      <c r="O990" s="9" t="str">
        <f>IFERROR(__xludf.DUMMYFUNCTION("""COMPUTED_VALUE"""),"S1tr5")</f>
        <v>S1tr5</v>
      </c>
      <c r="P990" s="9"/>
      <c r="Q990" s="9"/>
      <c r="R990" s="9"/>
      <c r="S990" s="42"/>
      <c r="T990" s="42"/>
      <c r="U990" s="159"/>
      <c r="V990" s="42"/>
      <c r="W990" s="42"/>
      <c r="X990" s="42"/>
      <c r="Y990" s="42"/>
      <c r="Z990" s="42"/>
      <c r="AA990" s="42"/>
      <c r="AB990" s="42" t="str">
        <f>IFERROR(__xludf.DUMMYFUNCTION("""COMPUTED_VALUE"""),"allen institute")</f>
        <v>allen institute</v>
      </c>
      <c r="AC990" s="42" t="str">
        <f>IFERROR(__xludf.DUMMYFUNCTION("""COMPUTED_VALUE"""),"DHBA")</f>
        <v>DHBA</v>
      </c>
      <c r="AD990" s="42"/>
      <c r="AE990" s="42"/>
      <c r="AF990" s="9"/>
      <c r="AG990" s="9"/>
      <c r="AH990" s="42"/>
      <c r="AI990" s="42"/>
      <c r="AJ990" s="42"/>
      <c r="AK990" s="42"/>
      <c r="AL990" s="42"/>
      <c r="AM990" s="42"/>
      <c r="AN990" s="42"/>
      <c r="AO990" s="63" t="str">
        <f>IFERROR(__xludf.DUMMYFUNCTION("IF(ISBLANK(A990),,IF(ISBLANK(S990), A990&amp;"";"", TEXTJOIN(CHAR(10), TRUE, A990&amp;"";"", ARRAYFORMULA(VLOOKUP(SPLIT(S990, "";"" &amp; CHAR(10)), $A:$AO, 41, FALSE)))))"),"S1tr5;")</f>
        <v>S1tr5;</v>
      </c>
      <c r="AP990" s="89"/>
    </row>
    <row r="991">
      <c r="A991" s="151" t="str">
        <f>IFERROR(__xludf.DUMMYFUNCTION("""COMPUTED_VALUE"""),"S1tr6")</f>
        <v>S1tr6</v>
      </c>
      <c r="B991" s="42" t="str">
        <f>IFERROR(__xludf.DUMMYFUNCTION("""COMPUTED_VALUE"""),"DHBA")</f>
        <v>DHBA</v>
      </c>
      <c r="C991" s="42" t="str">
        <f>IFERROR(__xludf.DUMMYFUNCTION("""COMPUTED_VALUE"""),"layer VI of area S1tr")</f>
        <v>layer VI of area S1tr</v>
      </c>
      <c r="D991" s="42">
        <f>IFERROR(__xludf.DUMMYFUNCTION("""COMPUTED_VALUE"""),934.0)</f>
        <v>934</v>
      </c>
      <c r="E991" s="39" t="str">
        <f>IFERROR(__xludf.DUMMYFUNCTION("""COMPUTED_VALUE"""),"layer VI of area S1tr")</f>
        <v>layer VI of area S1tr</v>
      </c>
      <c r="F991" s="9" t="str">
        <f>IFERROR(__xludf.DUMMYFUNCTION("""COMPUTED_VALUE"""),"Br")</f>
        <v>Br</v>
      </c>
      <c r="G991" s="9" t="str">
        <f>IFERROR(__xludf.DUMMYFUNCTION("""COMPUTED_VALUE"""),"F")</f>
        <v>F</v>
      </c>
      <c r="H991" s="9" t="str">
        <f>IFERROR(__xludf.DUMMYFUNCTION("""COMPUTED_VALUE"""),"FGM")</f>
        <v>FGM</v>
      </c>
      <c r="I991" s="9" t="str">
        <f>IFERROR(__xludf.DUMMYFUNCTION("""COMPUTED_VALUE"""),"Tel")</f>
        <v>Tel</v>
      </c>
      <c r="J991" s="9" t="str">
        <f>IFERROR(__xludf.DUMMYFUNCTION("""COMPUTED_VALUE"""),"Cx")</f>
        <v>Cx</v>
      </c>
      <c r="K991" s="9" t="str">
        <f>IFERROR(__xludf.DUMMYFUNCTION("""COMPUTED_VALUE"""),"NCx")</f>
        <v>NCx</v>
      </c>
      <c r="L991" s="9" t="str">
        <f>IFERROR(__xludf.DUMMYFUNCTION("""COMPUTED_VALUE"""),"PCx")</f>
        <v>PCx</v>
      </c>
      <c r="M991" s="9" t="str">
        <f>IFERROR(__xludf.DUMMYFUNCTION("""COMPUTED_VALUE"""),"S1C")</f>
        <v>S1C</v>
      </c>
      <c r="N991" s="9" t="str">
        <f>IFERROR(__xludf.DUMMYFUNCTION("""COMPUTED_VALUE"""),"S1tr")</f>
        <v>S1tr</v>
      </c>
      <c r="O991" s="9" t="str">
        <f>IFERROR(__xludf.DUMMYFUNCTION("""COMPUTED_VALUE"""),"S1tr6")</f>
        <v>S1tr6</v>
      </c>
      <c r="P991" s="9"/>
      <c r="Q991" s="9"/>
      <c r="R991" s="9"/>
      <c r="S991" s="42"/>
      <c r="T991" s="42"/>
      <c r="U991" s="159"/>
      <c r="V991" s="42"/>
      <c r="W991" s="42"/>
      <c r="X991" s="42"/>
      <c r="Y991" s="42"/>
      <c r="Z991" s="42"/>
      <c r="AA991" s="42"/>
      <c r="AB991" s="42" t="str">
        <f>IFERROR(__xludf.DUMMYFUNCTION("""COMPUTED_VALUE"""),"allen institute")</f>
        <v>allen institute</v>
      </c>
      <c r="AC991" s="42" t="str">
        <f>IFERROR(__xludf.DUMMYFUNCTION("""COMPUTED_VALUE"""),"DHBA")</f>
        <v>DHBA</v>
      </c>
      <c r="AD991" s="42"/>
      <c r="AE991" s="42"/>
      <c r="AF991" s="9"/>
      <c r="AG991" s="9"/>
      <c r="AH991" s="42"/>
      <c r="AI991" s="42"/>
      <c r="AJ991" s="42"/>
      <c r="AK991" s="42"/>
      <c r="AL991" s="42"/>
      <c r="AM991" s="42"/>
      <c r="AN991" s="42"/>
      <c r="AO991" s="63" t="str">
        <f>IFERROR(__xludf.DUMMYFUNCTION("IF(ISBLANK(A991),,IF(ISBLANK(S991), A991&amp;"";"", TEXTJOIN(CHAR(10), TRUE, A991&amp;"";"", ARRAYFORMULA(VLOOKUP(SPLIT(S991, "";"" &amp; CHAR(10)), $A:$AO, 41, FALSE)))))"),"S1tr6;")</f>
        <v>S1tr6;</v>
      </c>
      <c r="AP991" s="89"/>
    </row>
    <row r="992">
      <c r="A992" s="151" t="str">
        <f>IFERROR(__xludf.DUMMYFUNCTION("""COMPUTED_VALUE"""),"S1lm")</f>
        <v>S1lm</v>
      </c>
      <c r="B992" s="42" t="str">
        <f>IFERROR(__xludf.DUMMYFUNCTION("""COMPUTED_VALUE"""),"DHBA")</f>
        <v>DHBA</v>
      </c>
      <c r="C992" s="42" t="str">
        <f>IFERROR(__xludf.DUMMYFUNCTION("""COMPUTED_VALUE"""),"lower limb region of S1")</f>
        <v>lower limb region of S1</v>
      </c>
      <c r="D992" s="42">
        <f>IFERROR(__xludf.DUMMYFUNCTION("""COMPUTED_VALUE"""),935.0)</f>
        <v>935</v>
      </c>
      <c r="E992" s="39" t="str">
        <f>IFERROR(__xludf.DUMMYFUNCTION("""COMPUTED_VALUE"""),"lower limb region of S1")</f>
        <v>lower limb region of S1</v>
      </c>
      <c r="F992" s="9" t="str">
        <f>IFERROR(__xludf.DUMMYFUNCTION("""COMPUTED_VALUE"""),"Br")</f>
        <v>Br</v>
      </c>
      <c r="G992" s="9" t="str">
        <f>IFERROR(__xludf.DUMMYFUNCTION("""COMPUTED_VALUE"""),"F")</f>
        <v>F</v>
      </c>
      <c r="H992" s="9" t="str">
        <f>IFERROR(__xludf.DUMMYFUNCTION("""COMPUTED_VALUE"""),"FGM")</f>
        <v>FGM</v>
      </c>
      <c r="I992" s="9" t="str">
        <f>IFERROR(__xludf.DUMMYFUNCTION("""COMPUTED_VALUE"""),"Tel")</f>
        <v>Tel</v>
      </c>
      <c r="J992" s="9" t="str">
        <f>IFERROR(__xludf.DUMMYFUNCTION("""COMPUTED_VALUE"""),"Cx")</f>
        <v>Cx</v>
      </c>
      <c r="K992" s="9" t="str">
        <f>IFERROR(__xludf.DUMMYFUNCTION("""COMPUTED_VALUE"""),"NCx")</f>
        <v>NCx</v>
      </c>
      <c r="L992" s="9" t="str">
        <f>IFERROR(__xludf.DUMMYFUNCTION("""COMPUTED_VALUE"""),"PCx")</f>
        <v>PCx</v>
      </c>
      <c r="M992" s="9" t="str">
        <f>IFERROR(__xludf.DUMMYFUNCTION("""COMPUTED_VALUE"""),"S1C")</f>
        <v>S1C</v>
      </c>
      <c r="N992" s="9" t="str">
        <f>IFERROR(__xludf.DUMMYFUNCTION("""COMPUTED_VALUE"""),"S1lm")</f>
        <v>S1lm</v>
      </c>
      <c r="O992" s="9"/>
      <c r="P992" s="9"/>
      <c r="Q992" s="9"/>
      <c r="R992" s="9"/>
      <c r="S992" s="42" t="str">
        <f>IFERROR(__xludf.DUMMYFUNCTION("""COMPUTED_VALUE"""),"S1lm1;
S1lm2;
S1lm3;
S1lm4;
S1lm5;
S1lm6")</f>
        <v>S1lm1;
S1lm2;
S1lm3;
S1lm4;
S1lm5;
S1lm6</v>
      </c>
      <c r="T992" s="42"/>
      <c r="U992" s="159" t="b">
        <f>IFERROR(__xludf.DUMMYFUNCTION("""COMPUTED_VALUE"""),FALSE)</f>
        <v>0</v>
      </c>
      <c r="V992" s="42"/>
      <c r="W992" s="42"/>
      <c r="X992" s="42"/>
      <c r="Y992" s="42"/>
      <c r="Z992" s="42"/>
      <c r="AA992" s="42"/>
      <c r="AB992" s="42" t="str">
        <f>IFERROR(__xludf.DUMMYFUNCTION("""COMPUTED_VALUE"""),"allen institute")</f>
        <v>allen institute</v>
      </c>
      <c r="AC992" s="42" t="str">
        <f>IFERROR(__xludf.DUMMYFUNCTION("""COMPUTED_VALUE"""),"DHBA")</f>
        <v>DHBA</v>
      </c>
      <c r="AD992" s="42"/>
      <c r="AE992" s="42"/>
      <c r="AF992" s="9"/>
      <c r="AG992" s="9"/>
      <c r="AH992" s="42"/>
      <c r="AI992" s="42"/>
      <c r="AJ992" s="42"/>
      <c r="AK992" s="42"/>
      <c r="AL992" s="42"/>
      <c r="AM992" s="42"/>
      <c r="AN992" s="42"/>
      <c r="AO992" s="63" t="str">
        <f>IFERROR(__xludf.DUMMYFUNCTION("IF(ISBLANK(A992),,IF(ISBLANK(S992), A992&amp;"";"", TEXTJOIN(CHAR(10), TRUE, A992&amp;"";"", ARRAYFORMULA(VLOOKUP(SPLIT(S992, "";"" &amp; CHAR(10)), $A:$AO, 41, FALSE)))))"),"S1lm;
S1lm1;
S1lm2;
S1lm3;
S1lm4;
S1lm5;
S1lm6;")</f>
        <v>S1lm;
S1lm1;
S1lm2;
S1lm3;
S1lm4;
S1lm5;
S1lm6;</v>
      </c>
      <c r="AP992" s="89"/>
    </row>
    <row r="993">
      <c r="A993" s="151" t="str">
        <f>IFERROR(__xludf.DUMMYFUNCTION("""COMPUTED_VALUE"""),"S1lm1")</f>
        <v>S1lm1</v>
      </c>
      <c r="B993" s="42" t="str">
        <f>IFERROR(__xludf.DUMMYFUNCTION("""COMPUTED_VALUE"""),"DHBA")</f>
        <v>DHBA</v>
      </c>
      <c r="C993" s="42" t="str">
        <f>IFERROR(__xludf.DUMMYFUNCTION("""COMPUTED_VALUE"""),"layer I of area S1lm")</f>
        <v>layer I of area S1lm</v>
      </c>
      <c r="D993" s="42">
        <f>IFERROR(__xludf.DUMMYFUNCTION("""COMPUTED_VALUE"""),936.0)</f>
        <v>936</v>
      </c>
      <c r="E993" s="39" t="str">
        <f>IFERROR(__xludf.DUMMYFUNCTION("""COMPUTED_VALUE"""),"layer I of area S1lm")</f>
        <v>layer I of area S1lm</v>
      </c>
      <c r="F993" s="9" t="str">
        <f>IFERROR(__xludf.DUMMYFUNCTION("""COMPUTED_VALUE"""),"Br")</f>
        <v>Br</v>
      </c>
      <c r="G993" s="9" t="str">
        <f>IFERROR(__xludf.DUMMYFUNCTION("""COMPUTED_VALUE"""),"F")</f>
        <v>F</v>
      </c>
      <c r="H993" s="9" t="str">
        <f>IFERROR(__xludf.DUMMYFUNCTION("""COMPUTED_VALUE"""),"FGM")</f>
        <v>FGM</v>
      </c>
      <c r="I993" s="9" t="str">
        <f>IFERROR(__xludf.DUMMYFUNCTION("""COMPUTED_VALUE"""),"Tel")</f>
        <v>Tel</v>
      </c>
      <c r="J993" s="9" t="str">
        <f>IFERROR(__xludf.DUMMYFUNCTION("""COMPUTED_VALUE"""),"Cx")</f>
        <v>Cx</v>
      </c>
      <c r="K993" s="9" t="str">
        <f>IFERROR(__xludf.DUMMYFUNCTION("""COMPUTED_VALUE"""),"NCx")</f>
        <v>NCx</v>
      </c>
      <c r="L993" s="9" t="str">
        <f>IFERROR(__xludf.DUMMYFUNCTION("""COMPUTED_VALUE"""),"PCx")</f>
        <v>PCx</v>
      </c>
      <c r="M993" s="9" t="str">
        <f>IFERROR(__xludf.DUMMYFUNCTION("""COMPUTED_VALUE"""),"S1C")</f>
        <v>S1C</v>
      </c>
      <c r="N993" s="9" t="str">
        <f>IFERROR(__xludf.DUMMYFUNCTION("""COMPUTED_VALUE"""),"S1lm")</f>
        <v>S1lm</v>
      </c>
      <c r="O993" s="9" t="str">
        <f>IFERROR(__xludf.DUMMYFUNCTION("""COMPUTED_VALUE"""),"S1lm1")</f>
        <v>S1lm1</v>
      </c>
      <c r="P993" s="9"/>
      <c r="Q993" s="9"/>
      <c r="R993" s="9"/>
      <c r="S993" s="42"/>
      <c r="T993" s="42"/>
      <c r="U993" s="159"/>
      <c r="V993" s="42"/>
      <c r="W993" s="42"/>
      <c r="X993" s="42"/>
      <c r="Y993" s="42"/>
      <c r="Z993" s="42"/>
      <c r="AA993" s="42"/>
      <c r="AB993" s="42" t="str">
        <f>IFERROR(__xludf.DUMMYFUNCTION("""COMPUTED_VALUE"""),"allen institute")</f>
        <v>allen institute</v>
      </c>
      <c r="AC993" s="42" t="str">
        <f>IFERROR(__xludf.DUMMYFUNCTION("""COMPUTED_VALUE"""),"DHBA")</f>
        <v>DHBA</v>
      </c>
      <c r="AD993" s="42"/>
      <c r="AE993" s="42"/>
      <c r="AF993" s="9"/>
      <c r="AG993" s="9"/>
      <c r="AH993" s="42"/>
      <c r="AI993" s="42"/>
      <c r="AJ993" s="42"/>
      <c r="AK993" s="42"/>
      <c r="AL993" s="42"/>
      <c r="AM993" s="42"/>
      <c r="AN993" s="42"/>
      <c r="AO993" s="63" t="str">
        <f>IFERROR(__xludf.DUMMYFUNCTION("IF(ISBLANK(A993),,IF(ISBLANK(S993), A993&amp;"";"", TEXTJOIN(CHAR(10), TRUE, A993&amp;"";"", ARRAYFORMULA(VLOOKUP(SPLIT(S993, "";"" &amp; CHAR(10)), $A:$AO, 41, FALSE)))))"),"S1lm1;")</f>
        <v>S1lm1;</v>
      </c>
      <c r="AP993" s="89"/>
    </row>
    <row r="994">
      <c r="A994" s="151" t="str">
        <f>IFERROR(__xludf.DUMMYFUNCTION("""COMPUTED_VALUE"""),"S1lm2")</f>
        <v>S1lm2</v>
      </c>
      <c r="B994" s="42" t="str">
        <f>IFERROR(__xludf.DUMMYFUNCTION("""COMPUTED_VALUE"""),"DHBA")</f>
        <v>DHBA</v>
      </c>
      <c r="C994" s="42" t="str">
        <f>IFERROR(__xludf.DUMMYFUNCTION("""COMPUTED_VALUE"""),"layer II of area S1lm")</f>
        <v>layer II of area S1lm</v>
      </c>
      <c r="D994" s="42">
        <f>IFERROR(__xludf.DUMMYFUNCTION("""COMPUTED_VALUE"""),937.0)</f>
        <v>937</v>
      </c>
      <c r="E994" s="39" t="str">
        <f>IFERROR(__xludf.DUMMYFUNCTION("""COMPUTED_VALUE"""),"layer II of area S1lm")</f>
        <v>layer II of area S1lm</v>
      </c>
      <c r="F994" s="9" t="str">
        <f>IFERROR(__xludf.DUMMYFUNCTION("""COMPUTED_VALUE"""),"Br")</f>
        <v>Br</v>
      </c>
      <c r="G994" s="9" t="str">
        <f>IFERROR(__xludf.DUMMYFUNCTION("""COMPUTED_VALUE"""),"F")</f>
        <v>F</v>
      </c>
      <c r="H994" s="9" t="str">
        <f>IFERROR(__xludf.DUMMYFUNCTION("""COMPUTED_VALUE"""),"FGM")</f>
        <v>FGM</v>
      </c>
      <c r="I994" s="9" t="str">
        <f>IFERROR(__xludf.DUMMYFUNCTION("""COMPUTED_VALUE"""),"Tel")</f>
        <v>Tel</v>
      </c>
      <c r="J994" s="9" t="str">
        <f>IFERROR(__xludf.DUMMYFUNCTION("""COMPUTED_VALUE"""),"Cx")</f>
        <v>Cx</v>
      </c>
      <c r="K994" s="9" t="str">
        <f>IFERROR(__xludf.DUMMYFUNCTION("""COMPUTED_VALUE"""),"NCx")</f>
        <v>NCx</v>
      </c>
      <c r="L994" s="9" t="str">
        <f>IFERROR(__xludf.DUMMYFUNCTION("""COMPUTED_VALUE"""),"PCx")</f>
        <v>PCx</v>
      </c>
      <c r="M994" s="9" t="str">
        <f>IFERROR(__xludf.DUMMYFUNCTION("""COMPUTED_VALUE"""),"S1C")</f>
        <v>S1C</v>
      </c>
      <c r="N994" s="9" t="str">
        <f>IFERROR(__xludf.DUMMYFUNCTION("""COMPUTED_VALUE"""),"S1lm")</f>
        <v>S1lm</v>
      </c>
      <c r="O994" s="9" t="str">
        <f>IFERROR(__xludf.DUMMYFUNCTION("""COMPUTED_VALUE"""),"S1lm2")</f>
        <v>S1lm2</v>
      </c>
      <c r="P994" s="9"/>
      <c r="Q994" s="9"/>
      <c r="R994" s="9"/>
      <c r="S994" s="42"/>
      <c r="T994" s="42"/>
      <c r="U994" s="159"/>
      <c r="V994" s="42"/>
      <c r="W994" s="42"/>
      <c r="X994" s="42"/>
      <c r="Y994" s="42"/>
      <c r="Z994" s="42"/>
      <c r="AA994" s="42"/>
      <c r="AB994" s="42" t="str">
        <f>IFERROR(__xludf.DUMMYFUNCTION("""COMPUTED_VALUE"""),"allen institute")</f>
        <v>allen institute</v>
      </c>
      <c r="AC994" s="42" t="str">
        <f>IFERROR(__xludf.DUMMYFUNCTION("""COMPUTED_VALUE"""),"DHBA")</f>
        <v>DHBA</v>
      </c>
      <c r="AD994" s="42"/>
      <c r="AE994" s="42"/>
      <c r="AF994" s="9"/>
      <c r="AG994" s="9"/>
      <c r="AH994" s="42"/>
      <c r="AI994" s="42"/>
      <c r="AJ994" s="42"/>
      <c r="AK994" s="42"/>
      <c r="AL994" s="42"/>
      <c r="AM994" s="42"/>
      <c r="AN994" s="42"/>
      <c r="AO994" s="63" t="str">
        <f>IFERROR(__xludf.DUMMYFUNCTION("IF(ISBLANK(A994),,IF(ISBLANK(S994), A994&amp;"";"", TEXTJOIN(CHAR(10), TRUE, A994&amp;"";"", ARRAYFORMULA(VLOOKUP(SPLIT(S994, "";"" &amp; CHAR(10)), $A:$AO, 41, FALSE)))))"),"S1lm2;")</f>
        <v>S1lm2;</v>
      </c>
      <c r="AP994" s="89"/>
    </row>
    <row r="995">
      <c r="A995" s="151" t="str">
        <f>IFERROR(__xludf.DUMMYFUNCTION("""COMPUTED_VALUE"""),"S1lm3")</f>
        <v>S1lm3</v>
      </c>
      <c r="B995" s="42" t="str">
        <f>IFERROR(__xludf.DUMMYFUNCTION("""COMPUTED_VALUE"""),"DHBA")</f>
        <v>DHBA</v>
      </c>
      <c r="C995" s="42" t="str">
        <f>IFERROR(__xludf.DUMMYFUNCTION("""COMPUTED_VALUE"""),"layer III of area S1lm")</f>
        <v>layer III of area S1lm</v>
      </c>
      <c r="D995" s="42">
        <f>IFERROR(__xludf.DUMMYFUNCTION("""COMPUTED_VALUE"""),938.0)</f>
        <v>938</v>
      </c>
      <c r="E995" s="39" t="str">
        <f>IFERROR(__xludf.DUMMYFUNCTION("""COMPUTED_VALUE"""),"layer III of area S1lm")</f>
        <v>layer III of area S1lm</v>
      </c>
      <c r="F995" s="9" t="str">
        <f>IFERROR(__xludf.DUMMYFUNCTION("""COMPUTED_VALUE"""),"Br")</f>
        <v>Br</v>
      </c>
      <c r="G995" s="9" t="str">
        <f>IFERROR(__xludf.DUMMYFUNCTION("""COMPUTED_VALUE"""),"F")</f>
        <v>F</v>
      </c>
      <c r="H995" s="9" t="str">
        <f>IFERROR(__xludf.DUMMYFUNCTION("""COMPUTED_VALUE"""),"FGM")</f>
        <v>FGM</v>
      </c>
      <c r="I995" s="9" t="str">
        <f>IFERROR(__xludf.DUMMYFUNCTION("""COMPUTED_VALUE"""),"Tel")</f>
        <v>Tel</v>
      </c>
      <c r="J995" s="9" t="str">
        <f>IFERROR(__xludf.DUMMYFUNCTION("""COMPUTED_VALUE"""),"Cx")</f>
        <v>Cx</v>
      </c>
      <c r="K995" s="9" t="str">
        <f>IFERROR(__xludf.DUMMYFUNCTION("""COMPUTED_VALUE"""),"NCx")</f>
        <v>NCx</v>
      </c>
      <c r="L995" s="9" t="str">
        <f>IFERROR(__xludf.DUMMYFUNCTION("""COMPUTED_VALUE"""),"PCx")</f>
        <v>PCx</v>
      </c>
      <c r="M995" s="9" t="str">
        <f>IFERROR(__xludf.DUMMYFUNCTION("""COMPUTED_VALUE"""),"S1C")</f>
        <v>S1C</v>
      </c>
      <c r="N995" s="9" t="str">
        <f>IFERROR(__xludf.DUMMYFUNCTION("""COMPUTED_VALUE"""),"S1lm")</f>
        <v>S1lm</v>
      </c>
      <c r="O995" s="9" t="str">
        <f>IFERROR(__xludf.DUMMYFUNCTION("""COMPUTED_VALUE"""),"S1lm3")</f>
        <v>S1lm3</v>
      </c>
      <c r="P995" s="9"/>
      <c r="Q995" s="9"/>
      <c r="R995" s="9"/>
      <c r="S995" s="42"/>
      <c r="T995" s="42"/>
      <c r="U995" s="159"/>
      <c r="V995" s="42"/>
      <c r="W995" s="42"/>
      <c r="X995" s="42"/>
      <c r="Y995" s="42"/>
      <c r="Z995" s="42"/>
      <c r="AA995" s="42"/>
      <c r="AB995" s="42" t="str">
        <f>IFERROR(__xludf.DUMMYFUNCTION("""COMPUTED_VALUE"""),"allen institute")</f>
        <v>allen institute</v>
      </c>
      <c r="AC995" s="42" t="str">
        <f>IFERROR(__xludf.DUMMYFUNCTION("""COMPUTED_VALUE"""),"DHBA")</f>
        <v>DHBA</v>
      </c>
      <c r="AD995" s="42"/>
      <c r="AE995" s="42"/>
      <c r="AF995" s="9"/>
      <c r="AG995" s="9"/>
      <c r="AH995" s="42"/>
      <c r="AI995" s="42"/>
      <c r="AJ995" s="42"/>
      <c r="AK995" s="42"/>
      <c r="AL995" s="42"/>
      <c r="AM995" s="42"/>
      <c r="AN995" s="42"/>
      <c r="AO995" s="63" t="str">
        <f>IFERROR(__xludf.DUMMYFUNCTION("IF(ISBLANK(A995),,IF(ISBLANK(S995), A995&amp;"";"", TEXTJOIN(CHAR(10), TRUE, A995&amp;"";"", ARRAYFORMULA(VLOOKUP(SPLIT(S995, "";"" &amp; CHAR(10)), $A:$AO, 41, FALSE)))))"),"S1lm3;")</f>
        <v>S1lm3;</v>
      </c>
      <c r="AP995" s="89"/>
    </row>
    <row r="996">
      <c r="A996" s="151" t="str">
        <f>IFERROR(__xludf.DUMMYFUNCTION("""COMPUTED_VALUE"""),"S1lm4")</f>
        <v>S1lm4</v>
      </c>
      <c r="B996" s="42" t="str">
        <f>IFERROR(__xludf.DUMMYFUNCTION("""COMPUTED_VALUE"""),"DHBA")</f>
        <v>DHBA</v>
      </c>
      <c r="C996" s="42" t="str">
        <f>IFERROR(__xludf.DUMMYFUNCTION("""COMPUTED_VALUE"""),"layer IV of area S1lm")</f>
        <v>layer IV of area S1lm</v>
      </c>
      <c r="D996" s="42">
        <f>IFERROR(__xludf.DUMMYFUNCTION("""COMPUTED_VALUE"""),939.0)</f>
        <v>939</v>
      </c>
      <c r="E996" s="39" t="str">
        <f>IFERROR(__xludf.DUMMYFUNCTION("""COMPUTED_VALUE"""),"layer IV of area S1lm")</f>
        <v>layer IV of area S1lm</v>
      </c>
      <c r="F996" s="9" t="str">
        <f>IFERROR(__xludf.DUMMYFUNCTION("""COMPUTED_VALUE"""),"Br")</f>
        <v>Br</v>
      </c>
      <c r="G996" s="9" t="str">
        <f>IFERROR(__xludf.DUMMYFUNCTION("""COMPUTED_VALUE"""),"F")</f>
        <v>F</v>
      </c>
      <c r="H996" s="9" t="str">
        <f>IFERROR(__xludf.DUMMYFUNCTION("""COMPUTED_VALUE"""),"FGM")</f>
        <v>FGM</v>
      </c>
      <c r="I996" s="9" t="str">
        <f>IFERROR(__xludf.DUMMYFUNCTION("""COMPUTED_VALUE"""),"Tel")</f>
        <v>Tel</v>
      </c>
      <c r="J996" s="9" t="str">
        <f>IFERROR(__xludf.DUMMYFUNCTION("""COMPUTED_VALUE"""),"Cx")</f>
        <v>Cx</v>
      </c>
      <c r="K996" s="9" t="str">
        <f>IFERROR(__xludf.DUMMYFUNCTION("""COMPUTED_VALUE"""),"NCx")</f>
        <v>NCx</v>
      </c>
      <c r="L996" s="9" t="str">
        <f>IFERROR(__xludf.DUMMYFUNCTION("""COMPUTED_VALUE"""),"PCx")</f>
        <v>PCx</v>
      </c>
      <c r="M996" s="9" t="str">
        <f>IFERROR(__xludf.DUMMYFUNCTION("""COMPUTED_VALUE"""),"S1C")</f>
        <v>S1C</v>
      </c>
      <c r="N996" s="9" t="str">
        <f>IFERROR(__xludf.DUMMYFUNCTION("""COMPUTED_VALUE"""),"S1lm")</f>
        <v>S1lm</v>
      </c>
      <c r="O996" s="9" t="str">
        <f>IFERROR(__xludf.DUMMYFUNCTION("""COMPUTED_VALUE"""),"S1lm4")</f>
        <v>S1lm4</v>
      </c>
      <c r="P996" s="9"/>
      <c r="Q996" s="9"/>
      <c r="R996" s="9"/>
      <c r="S996" s="42"/>
      <c r="T996" s="42"/>
      <c r="U996" s="159"/>
      <c r="V996" s="42"/>
      <c r="W996" s="42"/>
      <c r="X996" s="42"/>
      <c r="Y996" s="42"/>
      <c r="Z996" s="42"/>
      <c r="AA996" s="42"/>
      <c r="AB996" s="42" t="str">
        <f>IFERROR(__xludf.DUMMYFUNCTION("""COMPUTED_VALUE"""),"allen institute")</f>
        <v>allen institute</v>
      </c>
      <c r="AC996" s="42" t="str">
        <f>IFERROR(__xludf.DUMMYFUNCTION("""COMPUTED_VALUE"""),"DHBA")</f>
        <v>DHBA</v>
      </c>
      <c r="AD996" s="42"/>
      <c r="AE996" s="42"/>
      <c r="AF996" s="9"/>
      <c r="AG996" s="9"/>
      <c r="AH996" s="42"/>
      <c r="AI996" s="42"/>
      <c r="AJ996" s="42"/>
      <c r="AK996" s="42"/>
      <c r="AL996" s="42"/>
      <c r="AM996" s="42"/>
      <c r="AN996" s="42"/>
      <c r="AO996" s="63" t="str">
        <f>IFERROR(__xludf.DUMMYFUNCTION("IF(ISBLANK(A996),,IF(ISBLANK(S996), A996&amp;"";"", TEXTJOIN(CHAR(10), TRUE, A996&amp;"";"", ARRAYFORMULA(VLOOKUP(SPLIT(S996, "";"" &amp; CHAR(10)), $A:$AO, 41, FALSE)))))"),"S1lm4;")</f>
        <v>S1lm4;</v>
      </c>
      <c r="AP996" s="89"/>
    </row>
    <row r="997">
      <c r="A997" s="151" t="str">
        <f>IFERROR(__xludf.DUMMYFUNCTION("""COMPUTED_VALUE"""),"S1lm5")</f>
        <v>S1lm5</v>
      </c>
      <c r="B997" s="42" t="str">
        <f>IFERROR(__xludf.DUMMYFUNCTION("""COMPUTED_VALUE"""),"DHBA")</f>
        <v>DHBA</v>
      </c>
      <c r="C997" s="42" t="str">
        <f>IFERROR(__xludf.DUMMYFUNCTION("""COMPUTED_VALUE"""),"layer V of area S1lm")</f>
        <v>layer V of area S1lm</v>
      </c>
      <c r="D997" s="42">
        <f>IFERROR(__xludf.DUMMYFUNCTION("""COMPUTED_VALUE"""),940.0)</f>
        <v>940</v>
      </c>
      <c r="E997" s="39" t="str">
        <f>IFERROR(__xludf.DUMMYFUNCTION("""COMPUTED_VALUE"""),"layer V of area S1lm")</f>
        <v>layer V of area S1lm</v>
      </c>
      <c r="F997" s="9" t="str">
        <f>IFERROR(__xludf.DUMMYFUNCTION("""COMPUTED_VALUE"""),"Br")</f>
        <v>Br</v>
      </c>
      <c r="G997" s="9" t="str">
        <f>IFERROR(__xludf.DUMMYFUNCTION("""COMPUTED_VALUE"""),"F")</f>
        <v>F</v>
      </c>
      <c r="H997" s="9" t="str">
        <f>IFERROR(__xludf.DUMMYFUNCTION("""COMPUTED_VALUE"""),"FGM")</f>
        <v>FGM</v>
      </c>
      <c r="I997" s="9" t="str">
        <f>IFERROR(__xludf.DUMMYFUNCTION("""COMPUTED_VALUE"""),"Tel")</f>
        <v>Tel</v>
      </c>
      <c r="J997" s="9" t="str">
        <f>IFERROR(__xludf.DUMMYFUNCTION("""COMPUTED_VALUE"""),"Cx")</f>
        <v>Cx</v>
      </c>
      <c r="K997" s="9" t="str">
        <f>IFERROR(__xludf.DUMMYFUNCTION("""COMPUTED_VALUE"""),"NCx")</f>
        <v>NCx</v>
      </c>
      <c r="L997" s="9" t="str">
        <f>IFERROR(__xludf.DUMMYFUNCTION("""COMPUTED_VALUE"""),"PCx")</f>
        <v>PCx</v>
      </c>
      <c r="M997" s="9" t="str">
        <f>IFERROR(__xludf.DUMMYFUNCTION("""COMPUTED_VALUE"""),"S1C")</f>
        <v>S1C</v>
      </c>
      <c r="N997" s="9" t="str">
        <f>IFERROR(__xludf.DUMMYFUNCTION("""COMPUTED_VALUE"""),"S1lm")</f>
        <v>S1lm</v>
      </c>
      <c r="O997" s="9" t="str">
        <f>IFERROR(__xludf.DUMMYFUNCTION("""COMPUTED_VALUE"""),"S1lm5")</f>
        <v>S1lm5</v>
      </c>
      <c r="P997" s="9"/>
      <c r="Q997" s="9"/>
      <c r="R997" s="9"/>
      <c r="S997" s="42"/>
      <c r="T997" s="42"/>
      <c r="U997" s="159"/>
      <c r="V997" s="42"/>
      <c r="W997" s="42"/>
      <c r="X997" s="42"/>
      <c r="Y997" s="42"/>
      <c r="Z997" s="42"/>
      <c r="AA997" s="42"/>
      <c r="AB997" s="42" t="str">
        <f>IFERROR(__xludf.DUMMYFUNCTION("""COMPUTED_VALUE"""),"allen institute")</f>
        <v>allen institute</v>
      </c>
      <c r="AC997" s="42" t="str">
        <f>IFERROR(__xludf.DUMMYFUNCTION("""COMPUTED_VALUE"""),"DHBA")</f>
        <v>DHBA</v>
      </c>
      <c r="AD997" s="42"/>
      <c r="AE997" s="42"/>
      <c r="AF997" s="9"/>
      <c r="AG997" s="9"/>
      <c r="AH997" s="42"/>
      <c r="AI997" s="42"/>
      <c r="AJ997" s="42"/>
      <c r="AK997" s="42"/>
      <c r="AL997" s="42"/>
      <c r="AM997" s="42"/>
      <c r="AN997" s="42"/>
      <c r="AO997" s="63" t="str">
        <f>IFERROR(__xludf.DUMMYFUNCTION("IF(ISBLANK(A997),,IF(ISBLANK(S997), A997&amp;"";"", TEXTJOIN(CHAR(10), TRUE, A997&amp;"";"", ARRAYFORMULA(VLOOKUP(SPLIT(S997, "";"" &amp; CHAR(10)), $A:$AO, 41, FALSE)))))"),"S1lm5;")</f>
        <v>S1lm5;</v>
      </c>
      <c r="AP997" s="89"/>
    </row>
    <row r="998">
      <c r="A998" s="151" t="str">
        <f>IFERROR(__xludf.DUMMYFUNCTION("""COMPUTED_VALUE"""),"S1lm6")</f>
        <v>S1lm6</v>
      </c>
      <c r="B998" s="42" t="str">
        <f>IFERROR(__xludf.DUMMYFUNCTION("""COMPUTED_VALUE"""),"DHBA")</f>
        <v>DHBA</v>
      </c>
      <c r="C998" s="42" t="str">
        <f>IFERROR(__xludf.DUMMYFUNCTION("""COMPUTED_VALUE"""),"layer VI of area S1lm")</f>
        <v>layer VI of area S1lm</v>
      </c>
      <c r="D998" s="42">
        <f>IFERROR(__xludf.DUMMYFUNCTION("""COMPUTED_VALUE"""),941.0)</f>
        <v>941</v>
      </c>
      <c r="E998" s="39" t="str">
        <f>IFERROR(__xludf.DUMMYFUNCTION("""COMPUTED_VALUE"""),"layer VI of area S1lm")</f>
        <v>layer VI of area S1lm</v>
      </c>
      <c r="F998" s="9" t="str">
        <f>IFERROR(__xludf.DUMMYFUNCTION("""COMPUTED_VALUE"""),"Br")</f>
        <v>Br</v>
      </c>
      <c r="G998" s="9" t="str">
        <f>IFERROR(__xludf.DUMMYFUNCTION("""COMPUTED_VALUE"""),"F")</f>
        <v>F</v>
      </c>
      <c r="H998" s="9" t="str">
        <f>IFERROR(__xludf.DUMMYFUNCTION("""COMPUTED_VALUE"""),"FGM")</f>
        <v>FGM</v>
      </c>
      <c r="I998" s="9" t="str">
        <f>IFERROR(__xludf.DUMMYFUNCTION("""COMPUTED_VALUE"""),"Tel")</f>
        <v>Tel</v>
      </c>
      <c r="J998" s="9" t="str">
        <f>IFERROR(__xludf.DUMMYFUNCTION("""COMPUTED_VALUE"""),"Cx")</f>
        <v>Cx</v>
      </c>
      <c r="K998" s="9" t="str">
        <f>IFERROR(__xludf.DUMMYFUNCTION("""COMPUTED_VALUE"""),"NCx")</f>
        <v>NCx</v>
      </c>
      <c r="L998" s="9" t="str">
        <f>IFERROR(__xludf.DUMMYFUNCTION("""COMPUTED_VALUE"""),"PCx")</f>
        <v>PCx</v>
      </c>
      <c r="M998" s="9" t="str">
        <f>IFERROR(__xludf.DUMMYFUNCTION("""COMPUTED_VALUE"""),"S1C")</f>
        <v>S1C</v>
      </c>
      <c r="N998" s="9" t="str">
        <f>IFERROR(__xludf.DUMMYFUNCTION("""COMPUTED_VALUE"""),"S1lm")</f>
        <v>S1lm</v>
      </c>
      <c r="O998" s="9" t="str">
        <f>IFERROR(__xludf.DUMMYFUNCTION("""COMPUTED_VALUE"""),"S1lm6")</f>
        <v>S1lm6</v>
      </c>
      <c r="P998" s="9"/>
      <c r="Q998" s="9"/>
      <c r="R998" s="9"/>
      <c r="S998" s="42"/>
      <c r="T998" s="42"/>
      <c r="U998" s="159"/>
      <c r="V998" s="42"/>
      <c r="W998" s="42"/>
      <c r="X998" s="42"/>
      <c r="Y998" s="42"/>
      <c r="Z998" s="42"/>
      <c r="AA998" s="42"/>
      <c r="AB998" s="42" t="str">
        <f>IFERROR(__xludf.DUMMYFUNCTION("""COMPUTED_VALUE"""),"allen institute")</f>
        <v>allen institute</v>
      </c>
      <c r="AC998" s="42" t="str">
        <f>IFERROR(__xludf.DUMMYFUNCTION("""COMPUTED_VALUE"""),"DHBA")</f>
        <v>DHBA</v>
      </c>
      <c r="AD998" s="42"/>
      <c r="AE998" s="42"/>
      <c r="AF998" s="9"/>
      <c r="AG998" s="9"/>
      <c r="AH998" s="42"/>
      <c r="AI998" s="42"/>
      <c r="AJ998" s="42"/>
      <c r="AK998" s="42"/>
      <c r="AL998" s="42"/>
      <c r="AM998" s="42"/>
      <c r="AN998" s="42"/>
      <c r="AO998" s="63" t="str">
        <f>IFERROR(__xludf.DUMMYFUNCTION("IF(ISBLANK(A998),,IF(ISBLANK(S998), A998&amp;"";"", TEXTJOIN(CHAR(10), TRUE, A998&amp;"";"", ARRAYFORMULA(VLOOKUP(SPLIT(S998, "";"" &amp; CHAR(10)), $A:$AO, 41, FALSE)))))"),"S1lm6;")</f>
        <v>S1lm6;</v>
      </c>
      <c r="AP998" s="89"/>
    </row>
    <row r="999">
      <c r="A999" s="151" t="str">
        <f>IFERROR(__xludf.DUMMYFUNCTION("""COMPUTED_VALUE"""),"ScC")</f>
        <v>ScC</v>
      </c>
      <c r="B999" s="42" t="str">
        <f>IFERROR(__xludf.DUMMYFUNCTION("""COMPUTED_VALUE"""),"DHBA")</f>
        <v>DHBA</v>
      </c>
      <c r="C999" s="42" t="str">
        <f>IFERROR(__xludf.DUMMYFUNCTION("""COMPUTED_VALUE"""),"subcentral cortex (gustatory cortex, area 43)")</f>
        <v>subcentral cortex (gustatory cortex, area 43)</v>
      </c>
      <c r="D999" s="42">
        <f>IFERROR(__xludf.DUMMYFUNCTION("""COMPUTED_VALUE"""),942.0)</f>
        <v>942</v>
      </c>
      <c r="E999" s="39" t="str">
        <f>IFERROR(__xludf.DUMMYFUNCTION("""COMPUTED_VALUE"""),"subcentral cortex (gustatory cortex, area 43)")</f>
        <v>subcentral cortex (gustatory cortex, area 43)</v>
      </c>
      <c r="F999" s="9" t="str">
        <f>IFERROR(__xludf.DUMMYFUNCTION("""COMPUTED_VALUE"""),"Br")</f>
        <v>Br</v>
      </c>
      <c r="G999" s="9" t="str">
        <f>IFERROR(__xludf.DUMMYFUNCTION("""COMPUTED_VALUE"""),"F")</f>
        <v>F</v>
      </c>
      <c r="H999" s="9" t="str">
        <f>IFERROR(__xludf.DUMMYFUNCTION("""COMPUTED_VALUE"""),"FGM")</f>
        <v>FGM</v>
      </c>
      <c r="I999" s="9" t="str">
        <f>IFERROR(__xludf.DUMMYFUNCTION("""COMPUTED_VALUE"""),"Tel")</f>
        <v>Tel</v>
      </c>
      <c r="J999" s="9" t="str">
        <f>IFERROR(__xludf.DUMMYFUNCTION("""COMPUTED_VALUE"""),"Cx")</f>
        <v>Cx</v>
      </c>
      <c r="K999" s="9" t="str">
        <f>IFERROR(__xludf.DUMMYFUNCTION("""COMPUTED_VALUE"""),"NCx")</f>
        <v>NCx</v>
      </c>
      <c r="L999" s="9" t="str">
        <f>IFERROR(__xludf.DUMMYFUNCTION("""COMPUTED_VALUE"""),"PCx")</f>
        <v>PCx</v>
      </c>
      <c r="M999" s="9" t="str">
        <f>IFERROR(__xludf.DUMMYFUNCTION("""COMPUTED_VALUE"""),"ScC")</f>
        <v>ScC</v>
      </c>
      <c r="N999" s="9"/>
      <c r="O999" s="9"/>
      <c r="P999" s="9"/>
      <c r="Q999" s="9"/>
      <c r="R999" s="9"/>
      <c r="S999" s="42"/>
      <c r="T999" s="42"/>
      <c r="U999" s="42"/>
      <c r="V999" s="42"/>
      <c r="W999" s="42"/>
      <c r="X999" s="42"/>
      <c r="Y999" s="42"/>
      <c r="Z999" s="42"/>
      <c r="AA999" s="42"/>
      <c r="AB999" s="42" t="str">
        <f>IFERROR(__xludf.DUMMYFUNCTION("""COMPUTED_VALUE"""),"allen institute")</f>
        <v>allen institute</v>
      </c>
      <c r="AC999" s="42" t="str">
        <f>IFERROR(__xludf.DUMMYFUNCTION("""COMPUTED_VALUE"""),"DHBA")</f>
        <v>DHBA</v>
      </c>
      <c r="AD999" s="42"/>
      <c r="AE999" s="42"/>
      <c r="AF999" s="9"/>
      <c r="AG999" s="9"/>
      <c r="AH999" s="42"/>
      <c r="AI999" s="42"/>
      <c r="AJ999" s="42"/>
      <c r="AK999" s="42"/>
      <c r="AL999" s="42"/>
      <c r="AM999" s="42"/>
      <c r="AN999" s="42"/>
      <c r="AO999" s="63" t="str">
        <f>IFERROR(__xludf.DUMMYFUNCTION("IF(ISBLANK(A999),,IF(ISBLANK(S999), A999&amp;"";"", TEXTJOIN(CHAR(10), TRUE, A999&amp;"";"", ARRAYFORMULA(VLOOKUP(SPLIT(S999, "";"" &amp; CHAR(10)), $A:$AO, 41, FALSE)))))"),"ScC;")</f>
        <v>ScC;</v>
      </c>
      <c r="AP999" s="89"/>
    </row>
    <row r="1000">
      <c r="A1000" s="151" t="str">
        <f>IFERROR(__xludf.DUMMYFUNCTION("""COMPUTED_VALUE"""),"PoPC")</f>
        <v>PoPC</v>
      </c>
      <c r="B1000" s="42" t="str">
        <f>IFERROR(__xludf.DUMMYFUNCTION("""COMPUTED_VALUE"""),"DHBA")</f>
        <v>DHBA</v>
      </c>
      <c r="C1000" s="42" t="str">
        <f>IFERROR(__xludf.DUMMYFUNCTION("""COMPUTED_VALUE"""),"posterior parietal cortex")</f>
        <v>posterior parietal cortex</v>
      </c>
      <c r="D1000" s="42">
        <f>IFERROR(__xludf.DUMMYFUNCTION("""COMPUTED_VALUE"""),943.0)</f>
        <v>943</v>
      </c>
      <c r="E1000" s="39" t="str">
        <f>IFERROR(__xludf.DUMMYFUNCTION("""COMPUTED_VALUE"""),"posterior parietal cortex")</f>
        <v>posterior parietal cortex</v>
      </c>
      <c r="F1000" s="9" t="str">
        <f>IFERROR(__xludf.DUMMYFUNCTION("""COMPUTED_VALUE"""),"Br")</f>
        <v>Br</v>
      </c>
      <c r="G1000" s="9" t="str">
        <f>IFERROR(__xludf.DUMMYFUNCTION("""COMPUTED_VALUE"""),"F")</f>
        <v>F</v>
      </c>
      <c r="H1000" s="9" t="str">
        <f>IFERROR(__xludf.DUMMYFUNCTION("""COMPUTED_VALUE"""),"FGM")</f>
        <v>FGM</v>
      </c>
      <c r="I1000" s="9" t="str">
        <f>IFERROR(__xludf.DUMMYFUNCTION("""COMPUTED_VALUE"""),"Tel")</f>
        <v>Tel</v>
      </c>
      <c r="J1000" s="9" t="str">
        <f>IFERROR(__xludf.DUMMYFUNCTION("""COMPUTED_VALUE"""),"Cx")</f>
        <v>Cx</v>
      </c>
      <c r="K1000" s="9" t="str">
        <f>IFERROR(__xludf.DUMMYFUNCTION("""COMPUTED_VALUE"""),"NCx")</f>
        <v>NCx</v>
      </c>
      <c r="L1000" s="9" t="str">
        <f>IFERROR(__xludf.DUMMYFUNCTION("""COMPUTED_VALUE"""),"PCx")</f>
        <v>PCx</v>
      </c>
      <c r="M1000" s="9" t="str">
        <f>IFERROR(__xludf.DUMMYFUNCTION("""COMPUTED_VALUE"""),"PoPC")</f>
        <v>PoPC</v>
      </c>
      <c r="N1000" s="9"/>
      <c r="O1000" s="9"/>
      <c r="P1000" s="9"/>
      <c r="Q1000" s="9"/>
      <c r="R1000" s="9"/>
      <c r="S1000" s="42" t="str">
        <f>IFERROR(__xludf.DUMMYFUNCTION("""COMPUTED_VALUE"""),"SPC;
IPC")</f>
        <v>SPC;
IPC</v>
      </c>
      <c r="T1000" s="42"/>
      <c r="U1000" s="42" t="b">
        <f>IFERROR(__xludf.DUMMYFUNCTION("""COMPUTED_VALUE"""),FALSE)</f>
        <v>0</v>
      </c>
      <c r="V1000" s="42"/>
      <c r="W1000" s="42"/>
      <c r="X1000" s="42"/>
      <c r="Y1000" s="42"/>
      <c r="Z1000" s="42"/>
      <c r="AA1000" s="42"/>
      <c r="AB1000" s="42" t="str">
        <f>IFERROR(__xludf.DUMMYFUNCTION("""COMPUTED_VALUE"""),"allen institute")</f>
        <v>allen institute</v>
      </c>
      <c r="AC1000" s="42" t="str">
        <f>IFERROR(__xludf.DUMMYFUNCTION("""COMPUTED_VALUE"""),"DHBA")</f>
        <v>DHBA</v>
      </c>
      <c r="AD1000" s="42"/>
      <c r="AE1000" s="42"/>
      <c r="AF1000" s="9"/>
      <c r="AG1000" s="9"/>
      <c r="AH1000" s="42"/>
      <c r="AI1000" s="42"/>
      <c r="AJ1000" s="42"/>
      <c r="AK1000" s="42"/>
      <c r="AL1000" s="42"/>
      <c r="AM1000" s="42"/>
      <c r="AN1000" s="42"/>
      <c r="AO1000" s="63" t="str">
        <f>IFERROR(__xludf.DUMMYFUNCTION("IF(ISBLANK(A1000),,IF(ISBLANK(S1000), A1000&amp;"";"", TEXTJOIN(CHAR(10), TRUE, A1000&amp;"";"", ARRAYFORMULA(VLOOKUP(SPLIT(S1000, "";"" &amp; CHAR(10)), $A:$AO, 41, FALSE)))))"),"#N/A")</f>
        <v>#N/A</v>
      </c>
      <c r="AP1000" s="89"/>
    </row>
    <row r="1001">
      <c r="A1001" s="151" t="str">
        <f>IFERROR(__xludf.DUMMYFUNCTION("""COMPUTED_VALUE"""),"SPC")</f>
        <v>SPC</v>
      </c>
      <c r="B1001" s="42" t="str">
        <f>IFERROR(__xludf.DUMMYFUNCTION("""COMPUTED_VALUE"""),"DHBA")</f>
        <v>DHBA</v>
      </c>
      <c r="C1001" s="42" t="str">
        <f>IFERROR(__xludf.DUMMYFUNCTION("""COMPUTED_VALUE"""),"posterodorsal (superior) parietal cortex")</f>
        <v>posterodorsal (superior) parietal cortex</v>
      </c>
      <c r="D1001" s="42">
        <f>IFERROR(__xludf.DUMMYFUNCTION("""COMPUTED_VALUE"""),944.0)</f>
        <v>944</v>
      </c>
      <c r="E1001" s="39" t="str">
        <f>IFERROR(__xludf.DUMMYFUNCTION("""COMPUTED_VALUE"""),"posterodorsal (superior) parietal cortex")</f>
        <v>posterodorsal (superior) parietal cortex</v>
      </c>
      <c r="F1001" s="9" t="str">
        <f>IFERROR(__xludf.DUMMYFUNCTION("""COMPUTED_VALUE"""),"Br")</f>
        <v>Br</v>
      </c>
      <c r="G1001" s="9" t="str">
        <f>IFERROR(__xludf.DUMMYFUNCTION("""COMPUTED_VALUE"""),"F")</f>
        <v>F</v>
      </c>
      <c r="H1001" s="9" t="str">
        <f>IFERROR(__xludf.DUMMYFUNCTION("""COMPUTED_VALUE"""),"FGM")</f>
        <v>FGM</v>
      </c>
      <c r="I1001" s="9" t="str">
        <f>IFERROR(__xludf.DUMMYFUNCTION("""COMPUTED_VALUE"""),"Tel")</f>
        <v>Tel</v>
      </c>
      <c r="J1001" s="9" t="str">
        <f>IFERROR(__xludf.DUMMYFUNCTION("""COMPUTED_VALUE"""),"Cx")</f>
        <v>Cx</v>
      </c>
      <c r="K1001" s="9" t="str">
        <f>IFERROR(__xludf.DUMMYFUNCTION("""COMPUTED_VALUE"""),"NCx")</f>
        <v>NCx</v>
      </c>
      <c r="L1001" s="9" t="str">
        <f>IFERROR(__xludf.DUMMYFUNCTION("""COMPUTED_VALUE"""),"PCx")</f>
        <v>PCx</v>
      </c>
      <c r="M1001" s="9" t="str">
        <f>IFERROR(__xludf.DUMMYFUNCTION("""COMPUTED_VALUE"""),"PoPC")</f>
        <v>PoPC</v>
      </c>
      <c r="N1001" s="9" t="str">
        <f>IFERROR(__xludf.DUMMYFUNCTION("""COMPUTED_VALUE"""),"SPC")</f>
        <v>SPC</v>
      </c>
      <c r="O1001" s="9"/>
      <c r="P1001" s="9"/>
      <c r="Q1001" s="9"/>
      <c r="R1001" s="9"/>
      <c r="S1001" s="42" t="str">
        <f>IFERROR(__xludf.DUMMYFUNCTION("""COMPUTED_VALUE"""),"A5;
A7")</f>
        <v>A5;
A7</v>
      </c>
      <c r="T1001" s="42"/>
      <c r="U1001" s="42" t="b">
        <f>IFERROR(__xludf.DUMMYFUNCTION("""COMPUTED_VALUE"""),FALSE)</f>
        <v>0</v>
      </c>
      <c r="V1001" s="42"/>
      <c r="W1001" s="42"/>
      <c r="X1001" s="42"/>
      <c r="Y1001" s="42"/>
      <c r="Z1001" s="42"/>
      <c r="AA1001" s="42"/>
      <c r="AB1001" s="42" t="str">
        <f>IFERROR(__xludf.DUMMYFUNCTION("""COMPUTED_VALUE"""),"allen institute")</f>
        <v>allen institute</v>
      </c>
      <c r="AC1001" s="42" t="str">
        <f>IFERROR(__xludf.DUMMYFUNCTION("""COMPUTED_VALUE"""),"DHBA")</f>
        <v>DHBA</v>
      </c>
      <c r="AD1001" s="42"/>
      <c r="AE1001" s="42"/>
      <c r="AF1001" s="9"/>
      <c r="AG1001" s="9"/>
      <c r="AH1001" s="42"/>
      <c r="AI1001" s="42"/>
      <c r="AJ1001" s="42"/>
      <c r="AK1001" s="42"/>
      <c r="AL1001" s="42"/>
      <c r="AM1001" s="42"/>
      <c r="AN1001" s="42"/>
      <c r="AO1001" s="63" t="str">
        <f>IFERROR(__xludf.DUMMYFUNCTION("IF(ISBLANK(A1001),,IF(ISBLANK(S1001), A1001&amp;"";"", TEXTJOIN(CHAR(10), TRUE, A1001&amp;"";"", ARRAYFORMULA(VLOOKUP(SPLIT(S1001, "";"" &amp; CHAR(10)), $A:$AO, 41, FALSE)))))"),"SPC;
A5;
A5ci;
A5ci1;
A5ci2;
A5ci3;
A5ci4;
A5ci5;
A5ci6;
A5l;
A5l1;
A5l2;
A5l3;
A5l4;
A5l5;
A5l6;
A5m;
A5m1;
A5m2;
A5m3;
A5m4;
A5m5;
A5m6;
A7;
A7r;
A7r1;
A7r2;
A7r3;
A7r4;
A7r5;
A7r6;
A7m;
A7m1;
A7m2;
A7m3;
A7m4;
A7m5;
A7m6;
A7c;
A7c1;
A7c2;
A7c3;
A7c4;
A"&amp;"7c5;
A7c6;
A7pc;
A7pc1;
A7pc2;
A7pc3;
A7pc4;
A7pc5;
A7pc6;
A7ip;
A7ipr;
A7ipr1;
A7ipr2;
A7ipr3;
A7ipr4;
A7ipr5;
A7ipr6;
A7ipc;
A7ipc1;
A7ipc2;
A7ipc3;
A7ipc4;
A7ipc5;
A7ipc6;")</f>
        <v>SPC;
A5;
A5ci;
A5ci1;
A5ci2;
A5ci3;
A5ci4;
A5ci5;
A5ci6;
A5l;
A5l1;
A5l2;
A5l3;
A5l4;
A5l5;
A5l6;
A5m;
A5m1;
A5m2;
A5m3;
A5m4;
A5m5;
A5m6;
A7;
A7r;
A7r1;
A7r2;
A7r3;
A7r4;
A7r5;
A7r6;
A7m;
A7m1;
A7m2;
A7m3;
A7m4;
A7m5;
A7m6;
A7c;
A7c1;
A7c2;
A7c3;
A7c4;
A7c5;
A7c6;
A7pc;
A7pc1;
A7pc2;
A7pc3;
A7pc4;
A7pc5;
A7pc6;
A7ip;
A7ipr;
A7ipr1;
A7ipr2;
A7ipr3;
A7ipr4;
A7ipr5;
A7ipr6;
A7ipc;
A7ipc1;
A7ipc2;
A7ipc3;
A7ipc4;
A7ipc5;
A7ipc6;</v>
      </c>
      <c r="AP1001" s="89"/>
    </row>
    <row r="1002">
      <c r="A1002" s="151" t="str">
        <f>IFERROR(__xludf.DUMMYFUNCTION("""COMPUTED_VALUE"""),"A5")</f>
        <v>A5</v>
      </c>
      <c r="B1002" s="42" t="str">
        <f>IFERROR(__xludf.DUMMYFUNCTION("""COMPUTED_VALUE"""),"DHBA")</f>
        <v>DHBA</v>
      </c>
      <c r="C1002" s="42" t="str">
        <f>IFERROR(__xludf.DUMMYFUNCTION("""COMPUTED_VALUE"""),"rostral division of SPC (area 5)")</f>
        <v>rostral division of SPC (area 5)</v>
      </c>
      <c r="D1002" s="42">
        <f>IFERROR(__xludf.DUMMYFUNCTION("""COMPUTED_VALUE"""),945.0)</f>
        <v>945</v>
      </c>
      <c r="E1002" s="39" t="str">
        <f>IFERROR(__xludf.DUMMYFUNCTION("""COMPUTED_VALUE"""),"rostral division of SPC (area 5)")</f>
        <v>rostral division of SPC (area 5)</v>
      </c>
      <c r="F1002" s="9" t="str">
        <f>IFERROR(__xludf.DUMMYFUNCTION("""COMPUTED_VALUE"""),"Br")</f>
        <v>Br</v>
      </c>
      <c r="G1002" s="9" t="str">
        <f>IFERROR(__xludf.DUMMYFUNCTION("""COMPUTED_VALUE"""),"F")</f>
        <v>F</v>
      </c>
      <c r="H1002" s="9" t="str">
        <f>IFERROR(__xludf.DUMMYFUNCTION("""COMPUTED_VALUE"""),"FGM")</f>
        <v>FGM</v>
      </c>
      <c r="I1002" s="9" t="str">
        <f>IFERROR(__xludf.DUMMYFUNCTION("""COMPUTED_VALUE"""),"Tel")</f>
        <v>Tel</v>
      </c>
      <c r="J1002" s="9" t="str">
        <f>IFERROR(__xludf.DUMMYFUNCTION("""COMPUTED_VALUE"""),"Cx")</f>
        <v>Cx</v>
      </c>
      <c r="K1002" s="9" t="str">
        <f>IFERROR(__xludf.DUMMYFUNCTION("""COMPUTED_VALUE"""),"NCx")</f>
        <v>NCx</v>
      </c>
      <c r="L1002" s="9" t="str">
        <f>IFERROR(__xludf.DUMMYFUNCTION("""COMPUTED_VALUE"""),"PCx")</f>
        <v>PCx</v>
      </c>
      <c r="M1002" s="9" t="str">
        <f>IFERROR(__xludf.DUMMYFUNCTION("""COMPUTED_VALUE"""),"PoPC")</f>
        <v>PoPC</v>
      </c>
      <c r="N1002" s="9" t="str">
        <f>IFERROR(__xludf.DUMMYFUNCTION("""COMPUTED_VALUE"""),"SPC")</f>
        <v>SPC</v>
      </c>
      <c r="O1002" s="9" t="str">
        <f>IFERROR(__xludf.DUMMYFUNCTION("""COMPUTED_VALUE"""),"A5")</f>
        <v>A5</v>
      </c>
      <c r="P1002" s="9"/>
      <c r="Q1002" s="9"/>
      <c r="R1002" s="9"/>
      <c r="S1002" s="42" t="str">
        <f>IFERROR(__xludf.DUMMYFUNCTION("""COMPUTED_VALUE"""),"A5ci;
A5l;
A5m")</f>
        <v>A5ci;
A5l;
A5m</v>
      </c>
      <c r="T1002" s="42"/>
      <c r="U1002" s="42" t="b">
        <f>IFERROR(__xludf.DUMMYFUNCTION("""COMPUTED_VALUE"""),FALSE)</f>
        <v>0</v>
      </c>
      <c r="V1002" s="42"/>
      <c r="W1002" s="42"/>
      <c r="X1002" s="42"/>
      <c r="Y1002" s="42"/>
      <c r="Z1002" s="42"/>
      <c r="AA1002" s="42"/>
      <c r="AB1002" s="42" t="str">
        <f>IFERROR(__xludf.DUMMYFUNCTION("""COMPUTED_VALUE"""),"allen institute")</f>
        <v>allen institute</v>
      </c>
      <c r="AC1002" s="42" t="str">
        <f>IFERROR(__xludf.DUMMYFUNCTION("""COMPUTED_VALUE"""),"DHBA")</f>
        <v>DHBA</v>
      </c>
      <c r="AD1002" s="42"/>
      <c r="AE1002" s="42"/>
      <c r="AF1002" s="9"/>
      <c r="AG1002" s="9"/>
      <c r="AH1002" s="42"/>
      <c r="AI1002" s="42"/>
      <c r="AJ1002" s="42"/>
      <c r="AK1002" s="42"/>
      <c r="AL1002" s="42"/>
      <c r="AM1002" s="42"/>
      <c r="AN1002" s="42"/>
      <c r="AO1002" s="63" t="str">
        <f>IFERROR(__xludf.DUMMYFUNCTION("IF(ISBLANK(A1002),,IF(ISBLANK(S1002), A1002&amp;"";"", TEXTJOIN(CHAR(10), TRUE, A1002&amp;"";"", ARRAYFORMULA(VLOOKUP(SPLIT(S1002, "";"" &amp; CHAR(10)), $A:$AO, 41, FALSE)))))"),"A5;
A5ci;
A5ci1;
A5ci2;
A5ci3;
A5ci4;
A5ci5;
A5ci6;
A5l;
A5l1;
A5l2;
A5l3;
A5l4;
A5l5;
A5l6;
A5m;
A5m1;
A5m2;
A5m3;
A5m4;
A5m5;
A5m6;")</f>
        <v>A5;
A5ci;
A5ci1;
A5ci2;
A5ci3;
A5ci4;
A5ci5;
A5ci6;
A5l;
A5l1;
A5l2;
A5l3;
A5l4;
A5l5;
A5l6;
A5m;
A5m1;
A5m2;
A5m3;
A5m4;
A5m5;
A5m6;</v>
      </c>
      <c r="AP1002" s="89"/>
    </row>
    <row r="1003">
      <c r="A1003" s="151" t="str">
        <f>IFERROR(__xludf.DUMMYFUNCTION("""COMPUTED_VALUE"""),"A5ci")</f>
        <v>A5ci</v>
      </c>
      <c r="B1003" s="42" t="str">
        <f>IFERROR(__xludf.DUMMYFUNCTION("""COMPUTED_VALUE"""),"DHBA")</f>
        <v>DHBA</v>
      </c>
      <c r="C1003" s="42" t="str">
        <f>IFERROR(__xludf.DUMMYFUNCTION("""COMPUTED_VALUE"""),"cingulate subdivision of area 5")</f>
        <v>cingulate subdivision of area 5</v>
      </c>
      <c r="D1003" s="42">
        <f>IFERROR(__xludf.DUMMYFUNCTION("""COMPUTED_VALUE"""),946.0)</f>
        <v>946</v>
      </c>
      <c r="E1003" s="39" t="str">
        <f>IFERROR(__xludf.DUMMYFUNCTION("""COMPUTED_VALUE"""),"cingulate subdivision of area 5")</f>
        <v>cingulate subdivision of area 5</v>
      </c>
      <c r="F1003" s="9" t="str">
        <f>IFERROR(__xludf.DUMMYFUNCTION("""COMPUTED_VALUE"""),"Br")</f>
        <v>Br</v>
      </c>
      <c r="G1003" s="9" t="str">
        <f>IFERROR(__xludf.DUMMYFUNCTION("""COMPUTED_VALUE"""),"F")</f>
        <v>F</v>
      </c>
      <c r="H1003" s="9" t="str">
        <f>IFERROR(__xludf.DUMMYFUNCTION("""COMPUTED_VALUE"""),"FGM")</f>
        <v>FGM</v>
      </c>
      <c r="I1003" s="9" t="str">
        <f>IFERROR(__xludf.DUMMYFUNCTION("""COMPUTED_VALUE"""),"Tel")</f>
        <v>Tel</v>
      </c>
      <c r="J1003" s="9" t="str">
        <f>IFERROR(__xludf.DUMMYFUNCTION("""COMPUTED_VALUE"""),"Cx")</f>
        <v>Cx</v>
      </c>
      <c r="K1003" s="9" t="str">
        <f>IFERROR(__xludf.DUMMYFUNCTION("""COMPUTED_VALUE"""),"NCx")</f>
        <v>NCx</v>
      </c>
      <c r="L1003" s="9" t="str">
        <f>IFERROR(__xludf.DUMMYFUNCTION("""COMPUTED_VALUE"""),"PCx")</f>
        <v>PCx</v>
      </c>
      <c r="M1003" s="9" t="str">
        <f>IFERROR(__xludf.DUMMYFUNCTION("""COMPUTED_VALUE"""),"PoPC")</f>
        <v>PoPC</v>
      </c>
      <c r="N1003" s="9" t="str">
        <f>IFERROR(__xludf.DUMMYFUNCTION("""COMPUTED_VALUE"""),"SPC")</f>
        <v>SPC</v>
      </c>
      <c r="O1003" s="9" t="str">
        <f>IFERROR(__xludf.DUMMYFUNCTION("""COMPUTED_VALUE"""),"A5")</f>
        <v>A5</v>
      </c>
      <c r="P1003" s="9" t="str">
        <f>IFERROR(__xludf.DUMMYFUNCTION("""COMPUTED_VALUE"""),"A5ci")</f>
        <v>A5ci</v>
      </c>
      <c r="Q1003" s="9"/>
      <c r="R1003" s="9"/>
      <c r="S1003" s="42" t="str">
        <f>IFERROR(__xludf.DUMMYFUNCTION("""COMPUTED_VALUE"""),"A5ci1;
A5ci2;
A5ci3;
A5ci4;
A5ci5;
A5ci6")</f>
        <v>A5ci1;
A5ci2;
A5ci3;
A5ci4;
A5ci5;
A5ci6</v>
      </c>
      <c r="T1003" s="42"/>
      <c r="U1003" s="42" t="b">
        <f>IFERROR(__xludf.DUMMYFUNCTION("""COMPUTED_VALUE"""),FALSE)</f>
        <v>0</v>
      </c>
      <c r="V1003" s="42"/>
      <c r="W1003" s="42"/>
      <c r="X1003" s="42"/>
      <c r="Y1003" s="42"/>
      <c r="Z1003" s="42"/>
      <c r="AA1003" s="42"/>
      <c r="AB1003" s="42" t="str">
        <f>IFERROR(__xludf.DUMMYFUNCTION("""COMPUTED_VALUE"""),"allen institute")</f>
        <v>allen institute</v>
      </c>
      <c r="AC1003" s="42" t="str">
        <f>IFERROR(__xludf.DUMMYFUNCTION("""COMPUTED_VALUE"""),"DHBA")</f>
        <v>DHBA</v>
      </c>
      <c r="AD1003" s="42"/>
      <c r="AE1003" s="42"/>
      <c r="AF1003" s="9"/>
      <c r="AG1003" s="9"/>
      <c r="AH1003" s="42"/>
      <c r="AI1003" s="42"/>
      <c r="AJ1003" s="42"/>
      <c r="AK1003" s="42"/>
      <c r="AL1003" s="42"/>
      <c r="AM1003" s="42"/>
      <c r="AN1003" s="42"/>
      <c r="AO1003" s="63" t="str">
        <f>IFERROR(__xludf.DUMMYFUNCTION("IF(ISBLANK(A1003),,IF(ISBLANK(S1003), A1003&amp;"";"", TEXTJOIN(CHAR(10), TRUE, A1003&amp;"";"", ARRAYFORMULA(VLOOKUP(SPLIT(S1003, "";"" &amp; CHAR(10)), $A:$AO, 41, FALSE)))))"),"A5ci;
A5ci1;
A5ci2;
A5ci3;
A5ci4;
A5ci5;
A5ci6;")</f>
        <v>A5ci;
A5ci1;
A5ci2;
A5ci3;
A5ci4;
A5ci5;
A5ci6;</v>
      </c>
      <c r="AP1003" s="89"/>
    </row>
    <row r="1004">
      <c r="A1004" s="151" t="str">
        <f>IFERROR(__xludf.DUMMYFUNCTION("""COMPUTED_VALUE"""),"A5ci1")</f>
        <v>A5ci1</v>
      </c>
      <c r="B1004" s="42" t="str">
        <f>IFERROR(__xludf.DUMMYFUNCTION("""COMPUTED_VALUE"""),"DHBA")</f>
        <v>DHBA</v>
      </c>
      <c r="C1004" s="42" t="str">
        <f>IFERROR(__xludf.DUMMYFUNCTION("""COMPUTED_VALUE"""),"layer I of area 5ci")</f>
        <v>layer I of area 5ci</v>
      </c>
      <c r="D1004" s="42">
        <f>IFERROR(__xludf.DUMMYFUNCTION("""COMPUTED_VALUE"""),947.0)</f>
        <v>947</v>
      </c>
      <c r="E1004" s="39" t="str">
        <f>IFERROR(__xludf.DUMMYFUNCTION("""COMPUTED_VALUE"""),"layer I of area 5ci")</f>
        <v>layer I of area 5ci</v>
      </c>
      <c r="F1004" s="9" t="str">
        <f>IFERROR(__xludf.DUMMYFUNCTION("""COMPUTED_VALUE"""),"Br")</f>
        <v>Br</v>
      </c>
      <c r="G1004" s="9" t="str">
        <f>IFERROR(__xludf.DUMMYFUNCTION("""COMPUTED_VALUE"""),"F")</f>
        <v>F</v>
      </c>
      <c r="H1004" s="9" t="str">
        <f>IFERROR(__xludf.DUMMYFUNCTION("""COMPUTED_VALUE"""),"FGM")</f>
        <v>FGM</v>
      </c>
      <c r="I1004" s="9" t="str">
        <f>IFERROR(__xludf.DUMMYFUNCTION("""COMPUTED_VALUE"""),"Tel")</f>
        <v>Tel</v>
      </c>
      <c r="J1004" s="9" t="str">
        <f>IFERROR(__xludf.DUMMYFUNCTION("""COMPUTED_VALUE"""),"Cx")</f>
        <v>Cx</v>
      </c>
      <c r="K1004" s="9" t="str">
        <f>IFERROR(__xludf.DUMMYFUNCTION("""COMPUTED_VALUE"""),"NCx")</f>
        <v>NCx</v>
      </c>
      <c r="L1004" s="9" t="str">
        <f>IFERROR(__xludf.DUMMYFUNCTION("""COMPUTED_VALUE"""),"PCx")</f>
        <v>PCx</v>
      </c>
      <c r="M1004" s="9" t="str">
        <f>IFERROR(__xludf.DUMMYFUNCTION("""COMPUTED_VALUE"""),"PoPC")</f>
        <v>PoPC</v>
      </c>
      <c r="N1004" s="9" t="str">
        <f>IFERROR(__xludf.DUMMYFUNCTION("""COMPUTED_VALUE"""),"SPC")</f>
        <v>SPC</v>
      </c>
      <c r="O1004" s="9" t="str">
        <f>IFERROR(__xludf.DUMMYFUNCTION("""COMPUTED_VALUE"""),"A5")</f>
        <v>A5</v>
      </c>
      <c r="P1004" s="9" t="str">
        <f>IFERROR(__xludf.DUMMYFUNCTION("""COMPUTED_VALUE"""),"A5ci")</f>
        <v>A5ci</v>
      </c>
      <c r="Q1004" s="9" t="str">
        <f>IFERROR(__xludf.DUMMYFUNCTION("""COMPUTED_VALUE"""),"A5ci1")</f>
        <v>A5ci1</v>
      </c>
      <c r="R1004" s="9"/>
      <c r="S1004" s="42"/>
      <c r="T1004" s="42"/>
      <c r="U1004" s="42"/>
      <c r="V1004" s="42"/>
      <c r="W1004" s="42"/>
      <c r="X1004" s="42"/>
      <c r="Y1004" s="42"/>
      <c r="Z1004" s="42"/>
      <c r="AA1004" s="42"/>
      <c r="AB1004" s="42" t="str">
        <f>IFERROR(__xludf.DUMMYFUNCTION("""COMPUTED_VALUE"""),"allen institute")</f>
        <v>allen institute</v>
      </c>
      <c r="AC1004" s="42" t="str">
        <f>IFERROR(__xludf.DUMMYFUNCTION("""COMPUTED_VALUE"""),"DHBA")</f>
        <v>DHBA</v>
      </c>
      <c r="AD1004" s="42"/>
      <c r="AE1004" s="42"/>
      <c r="AF1004" s="9"/>
      <c r="AG1004" s="9"/>
      <c r="AH1004" s="42"/>
      <c r="AI1004" s="42"/>
      <c r="AJ1004" s="42"/>
      <c r="AK1004" s="42"/>
      <c r="AL1004" s="42"/>
      <c r="AM1004" s="42"/>
      <c r="AN1004" s="42"/>
      <c r="AO1004" s="63" t="str">
        <f>IFERROR(__xludf.DUMMYFUNCTION("IF(ISBLANK(A1004),,IF(ISBLANK(S1004), A1004&amp;"";"", TEXTJOIN(CHAR(10), TRUE, A1004&amp;"";"", ARRAYFORMULA(VLOOKUP(SPLIT(S1004, "";"" &amp; CHAR(10)), $A:$AO, 41, FALSE)))))"),"A5ci1;")</f>
        <v>A5ci1;</v>
      </c>
      <c r="AP1004" s="89"/>
    </row>
    <row r="1005">
      <c r="A1005" s="151" t="str">
        <f>IFERROR(__xludf.DUMMYFUNCTION("""COMPUTED_VALUE"""),"A5ci2")</f>
        <v>A5ci2</v>
      </c>
      <c r="B1005" s="42" t="str">
        <f>IFERROR(__xludf.DUMMYFUNCTION("""COMPUTED_VALUE"""),"DHBA")</f>
        <v>DHBA</v>
      </c>
      <c r="C1005" s="42" t="str">
        <f>IFERROR(__xludf.DUMMYFUNCTION("""COMPUTED_VALUE"""),"layer II of area 5ci")</f>
        <v>layer II of area 5ci</v>
      </c>
      <c r="D1005" s="42">
        <f>IFERROR(__xludf.DUMMYFUNCTION("""COMPUTED_VALUE"""),948.0)</f>
        <v>948</v>
      </c>
      <c r="E1005" s="39" t="str">
        <f>IFERROR(__xludf.DUMMYFUNCTION("""COMPUTED_VALUE"""),"layer II of area 5ci")</f>
        <v>layer II of area 5ci</v>
      </c>
      <c r="F1005" s="9" t="str">
        <f>IFERROR(__xludf.DUMMYFUNCTION("""COMPUTED_VALUE"""),"Br")</f>
        <v>Br</v>
      </c>
      <c r="G1005" s="9" t="str">
        <f>IFERROR(__xludf.DUMMYFUNCTION("""COMPUTED_VALUE"""),"F")</f>
        <v>F</v>
      </c>
      <c r="H1005" s="9" t="str">
        <f>IFERROR(__xludf.DUMMYFUNCTION("""COMPUTED_VALUE"""),"FGM")</f>
        <v>FGM</v>
      </c>
      <c r="I1005" s="9" t="str">
        <f>IFERROR(__xludf.DUMMYFUNCTION("""COMPUTED_VALUE"""),"Tel")</f>
        <v>Tel</v>
      </c>
      <c r="J1005" s="9" t="str">
        <f>IFERROR(__xludf.DUMMYFUNCTION("""COMPUTED_VALUE"""),"Cx")</f>
        <v>Cx</v>
      </c>
      <c r="K1005" s="9" t="str">
        <f>IFERROR(__xludf.DUMMYFUNCTION("""COMPUTED_VALUE"""),"NCx")</f>
        <v>NCx</v>
      </c>
      <c r="L1005" s="9" t="str">
        <f>IFERROR(__xludf.DUMMYFUNCTION("""COMPUTED_VALUE"""),"PCx")</f>
        <v>PCx</v>
      </c>
      <c r="M1005" s="9" t="str">
        <f>IFERROR(__xludf.DUMMYFUNCTION("""COMPUTED_VALUE"""),"PoPC")</f>
        <v>PoPC</v>
      </c>
      <c r="N1005" s="9" t="str">
        <f>IFERROR(__xludf.DUMMYFUNCTION("""COMPUTED_VALUE"""),"SPC")</f>
        <v>SPC</v>
      </c>
      <c r="O1005" s="9" t="str">
        <f>IFERROR(__xludf.DUMMYFUNCTION("""COMPUTED_VALUE"""),"A5")</f>
        <v>A5</v>
      </c>
      <c r="P1005" s="9" t="str">
        <f>IFERROR(__xludf.DUMMYFUNCTION("""COMPUTED_VALUE"""),"A5ci")</f>
        <v>A5ci</v>
      </c>
      <c r="Q1005" s="9" t="str">
        <f>IFERROR(__xludf.DUMMYFUNCTION("""COMPUTED_VALUE"""),"A5ci2")</f>
        <v>A5ci2</v>
      </c>
      <c r="R1005" s="9"/>
      <c r="S1005" s="42"/>
      <c r="T1005" s="42"/>
      <c r="U1005" s="42"/>
      <c r="V1005" s="42"/>
      <c r="W1005" s="42"/>
      <c r="X1005" s="42"/>
      <c r="Y1005" s="42"/>
      <c r="Z1005" s="42"/>
      <c r="AA1005" s="42"/>
      <c r="AB1005" s="42" t="str">
        <f>IFERROR(__xludf.DUMMYFUNCTION("""COMPUTED_VALUE"""),"allen institute")</f>
        <v>allen institute</v>
      </c>
      <c r="AC1005" s="42" t="str">
        <f>IFERROR(__xludf.DUMMYFUNCTION("""COMPUTED_VALUE"""),"DHBA")</f>
        <v>DHBA</v>
      </c>
      <c r="AD1005" s="42"/>
      <c r="AE1005" s="42"/>
      <c r="AF1005" s="9"/>
      <c r="AG1005" s="9"/>
      <c r="AH1005" s="42"/>
      <c r="AI1005" s="42"/>
      <c r="AJ1005" s="42"/>
      <c r="AK1005" s="42"/>
      <c r="AL1005" s="42"/>
      <c r="AM1005" s="42"/>
      <c r="AN1005" s="42"/>
      <c r="AO1005" s="63" t="str">
        <f>IFERROR(__xludf.DUMMYFUNCTION("IF(ISBLANK(A1005),,IF(ISBLANK(S1005), A1005&amp;"";"", TEXTJOIN(CHAR(10), TRUE, A1005&amp;"";"", ARRAYFORMULA(VLOOKUP(SPLIT(S1005, "";"" &amp; CHAR(10)), $A:$AO, 41, FALSE)))))"),"A5ci2;")</f>
        <v>A5ci2;</v>
      </c>
      <c r="AP1005" s="89"/>
    </row>
    <row r="1006">
      <c r="A1006" s="151" t="str">
        <f>IFERROR(__xludf.DUMMYFUNCTION("""COMPUTED_VALUE"""),"A5ci3")</f>
        <v>A5ci3</v>
      </c>
      <c r="B1006" s="42" t="str">
        <f>IFERROR(__xludf.DUMMYFUNCTION("""COMPUTED_VALUE"""),"DHBA")</f>
        <v>DHBA</v>
      </c>
      <c r="C1006" s="42" t="str">
        <f>IFERROR(__xludf.DUMMYFUNCTION("""COMPUTED_VALUE"""),"layer III of area 5ci")</f>
        <v>layer III of area 5ci</v>
      </c>
      <c r="D1006" s="42">
        <f>IFERROR(__xludf.DUMMYFUNCTION("""COMPUTED_VALUE"""),949.0)</f>
        <v>949</v>
      </c>
      <c r="E1006" s="39" t="str">
        <f>IFERROR(__xludf.DUMMYFUNCTION("""COMPUTED_VALUE"""),"layer III of area 5ci")</f>
        <v>layer III of area 5ci</v>
      </c>
      <c r="F1006" s="9" t="str">
        <f>IFERROR(__xludf.DUMMYFUNCTION("""COMPUTED_VALUE"""),"Br")</f>
        <v>Br</v>
      </c>
      <c r="G1006" s="9" t="str">
        <f>IFERROR(__xludf.DUMMYFUNCTION("""COMPUTED_VALUE"""),"F")</f>
        <v>F</v>
      </c>
      <c r="H1006" s="9" t="str">
        <f>IFERROR(__xludf.DUMMYFUNCTION("""COMPUTED_VALUE"""),"FGM")</f>
        <v>FGM</v>
      </c>
      <c r="I1006" s="9" t="str">
        <f>IFERROR(__xludf.DUMMYFUNCTION("""COMPUTED_VALUE"""),"Tel")</f>
        <v>Tel</v>
      </c>
      <c r="J1006" s="9" t="str">
        <f>IFERROR(__xludf.DUMMYFUNCTION("""COMPUTED_VALUE"""),"Cx")</f>
        <v>Cx</v>
      </c>
      <c r="K1006" s="9" t="str">
        <f>IFERROR(__xludf.DUMMYFUNCTION("""COMPUTED_VALUE"""),"NCx")</f>
        <v>NCx</v>
      </c>
      <c r="L1006" s="9" t="str">
        <f>IFERROR(__xludf.DUMMYFUNCTION("""COMPUTED_VALUE"""),"PCx")</f>
        <v>PCx</v>
      </c>
      <c r="M1006" s="9" t="str">
        <f>IFERROR(__xludf.DUMMYFUNCTION("""COMPUTED_VALUE"""),"PoPC")</f>
        <v>PoPC</v>
      </c>
      <c r="N1006" s="9" t="str">
        <f>IFERROR(__xludf.DUMMYFUNCTION("""COMPUTED_VALUE"""),"SPC")</f>
        <v>SPC</v>
      </c>
      <c r="O1006" s="9" t="str">
        <f>IFERROR(__xludf.DUMMYFUNCTION("""COMPUTED_VALUE"""),"A5")</f>
        <v>A5</v>
      </c>
      <c r="P1006" s="9" t="str">
        <f>IFERROR(__xludf.DUMMYFUNCTION("""COMPUTED_VALUE"""),"A5ci")</f>
        <v>A5ci</v>
      </c>
      <c r="Q1006" s="9" t="str">
        <f>IFERROR(__xludf.DUMMYFUNCTION("""COMPUTED_VALUE"""),"A5ci3")</f>
        <v>A5ci3</v>
      </c>
      <c r="R1006" s="9"/>
      <c r="S1006" s="42"/>
      <c r="T1006" s="42"/>
      <c r="U1006" s="42"/>
      <c r="V1006" s="42"/>
      <c r="W1006" s="42"/>
      <c r="X1006" s="42"/>
      <c r="Y1006" s="42"/>
      <c r="Z1006" s="42"/>
      <c r="AA1006" s="42"/>
      <c r="AB1006" s="42" t="str">
        <f>IFERROR(__xludf.DUMMYFUNCTION("""COMPUTED_VALUE"""),"allen institute")</f>
        <v>allen institute</v>
      </c>
      <c r="AC1006" s="42" t="str">
        <f>IFERROR(__xludf.DUMMYFUNCTION("""COMPUTED_VALUE"""),"DHBA")</f>
        <v>DHBA</v>
      </c>
      <c r="AD1006" s="42"/>
      <c r="AE1006" s="42"/>
      <c r="AF1006" s="9"/>
      <c r="AG1006" s="9"/>
      <c r="AH1006" s="42"/>
      <c r="AI1006" s="42"/>
      <c r="AJ1006" s="42"/>
      <c r="AK1006" s="42"/>
      <c r="AL1006" s="42"/>
      <c r="AM1006" s="42"/>
      <c r="AN1006" s="42"/>
      <c r="AO1006" s="63" t="str">
        <f>IFERROR(__xludf.DUMMYFUNCTION("IF(ISBLANK(A1006),,IF(ISBLANK(S1006), A1006&amp;"";"", TEXTJOIN(CHAR(10), TRUE, A1006&amp;"";"", ARRAYFORMULA(VLOOKUP(SPLIT(S1006, "";"" &amp; CHAR(10)), $A:$AO, 41, FALSE)))))"),"A5ci3;")</f>
        <v>A5ci3;</v>
      </c>
      <c r="AP1006" s="89"/>
    </row>
    <row r="1007">
      <c r="A1007" s="151" t="str">
        <f>IFERROR(__xludf.DUMMYFUNCTION("""COMPUTED_VALUE"""),"A5ci4")</f>
        <v>A5ci4</v>
      </c>
      <c r="B1007" s="42" t="str">
        <f>IFERROR(__xludf.DUMMYFUNCTION("""COMPUTED_VALUE"""),"DHBA")</f>
        <v>DHBA</v>
      </c>
      <c r="C1007" s="42" t="str">
        <f>IFERROR(__xludf.DUMMYFUNCTION("""COMPUTED_VALUE"""),"layer IV of area 5ci")</f>
        <v>layer IV of area 5ci</v>
      </c>
      <c r="D1007" s="42">
        <f>IFERROR(__xludf.DUMMYFUNCTION("""COMPUTED_VALUE"""),950.0)</f>
        <v>950</v>
      </c>
      <c r="E1007" s="39" t="str">
        <f>IFERROR(__xludf.DUMMYFUNCTION("""COMPUTED_VALUE"""),"layer IV of area 5ci")</f>
        <v>layer IV of area 5ci</v>
      </c>
      <c r="F1007" s="9" t="str">
        <f>IFERROR(__xludf.DUMMYFUNCTION("""COMPUTED_VALUE"""),"Br")</f>
        <v>Br</v>
      </c>
      <c r="G1007" s="9" t="str">
        <f>IFERROR(__xludf.DUMMYFUNCTION("""COMPUTED_VALUE"""),"F")</f>
        <v>F</v>
      </c>
      <c r="H1007" s="9" t="str">
        <f>IFERROR(__xludf.DUMMYFUNCTION("""COMPUTED_VALUE"""),"FGM")</f>
        <v>FGM</v>
      </c>
      <c r="I1007" s="9" t="str">
        <f>IFERROR(__xludf.DUMMYFUNCTION("""COMPUTED_VALUE"""),"Tel")</f>
        <v>Tel</v>
      </c>
      <c r="J1007" s="9" t="str">
        <f>IFERROR(__xludf.DUMMYFUNCTION("""COMPUTED_VALUE"""),"Cx")</f>
        <v>Cx</v>
      </c>
      <c r="K1007" s="9" t="str">
        <f>IFERROR(__xludf.DUMMYFUNCTION("""COMPUTED_VALUE"""),"NCx")</f>
        <v>NCx</v>
      </c>
      <c r="L1007" s="9" t="str">
        <f>IFERROR(__xludf.DUMMYFUNCTION("""COMPUTED_VALUE"""),"PCx")</f>
        <v>PCx</v>
      </c>
      <c r="M1007" s="9" t="str">
        <f>IFERROR(__xludf.DUMMYFUNCTION("""COMPUTED_VALUE"""),"PoPC")</f>
        <v>PoPC</v>
      </c>
      <c r="N1007" s="9" t="str">
        <f>IFERROR(__xludf.DUMMYFUNCTION("""COMPUTED_VALUE"""),"SPC")</f>
        <v>SPC</v>
      </c>
      <c r="O1007" s="9" t="str">
        <f>IFERROR(__xludf.DUMMYFUNCTION("""COMPUTED_VALUE"""),"A5")</f>
        <v>A5</v>
      </c>
      <c r="P1007" s="9" t="str">
        <f>IFERROR(__xludf.DUMMYFUNCTION("""COMPUTED_VALUE"""),"A5ci")</f>
        <v>A5ci</v>
      </c>
      <c r="Q1007" s="9" t="str">
        <f>IFERROR(__xludf.DUMMYFUNCTION("""COMPUTED_VALUE"""),"A5ci4")</f>
        <v>A5ci4</v>
      </c>
      <c r="R1007" s="9"/>
      <c r="S1007" s="42"/>
      <c r="T1007" s="42"/>
      <c r="U1007" s="42"/>
      <c r="V1007" s="42"/>
      <c r="W1007" s="42"/>
      <c r="X1007" s="42"/>
      <c r="Y1007" s="42"/>
      <c r="Z1007" s="42"/>
      <c r="AA1007" s="42"/>
      <c r="AB1007" s="42" t="str">
        <f>IFERROR(__xludf.DUMMYFUNCTION("""COMPUTED_VALUE"""),"allen institute")</f>
        <v>allen institute</v>
      </c>
      <c r="AC1007" s="42" t="str">
        <f>IFERROR(__xludf.DUMMYFUNCTION("""COMPUTED_VALUE"""),"DHBA")</f>
        <v>DHBA</v>
      </c>
      <c r="AD1007" s="42"/>
      <c r="AE1007" s="42"/>
      <c r="AF1007" s="9"/>
      <c r="AG1007" s="9"/>
      <c r="AH1007" s="42"/>
      <c r="AI1007" s="42"/>
      <c r="AJ1007" s="42"/>
      <c r="AK1007" s="42"/>
      <c r="AL1007" s="42"/>
      <c r="AM1007" s="42"/>
      <c r="AN1007" s="42"/>
      <c r="AO1007" s="63" t="str">
        <f>IFERROR(__xludf.DUMMYFUNCTION("IF(ISBLANK(A1007),,IF(ISBLANK(S1007), A1007&amp;"";"", TEXTJOIN(CHAR(10), TRUE, A1007&amp;"";"", ARRAYFORMULA(VLOOKUP(SPLIT(S1007, "";"" &amp; CHAR(10)), $A:$AO, 41, FALSE)))))"),"A5ci4;")</f>
        <v>A5ci4;</v>
      </c>
      <c r="AP1007" s="89"/>
    </row>
    <row r="1008">
      <c r="A1008" s="151" t="str">
        <f>IFERROR(__xludf.DUMMYFUNCTION("""COMPUTED_VALUE"""),"A5ci5")</f>
        <v>A5ci5</v>
      </c>
      <c r="B1008" s="42" t="str">
        <f>IFERROR(__xludf.DUMMYFUNCTION("""COMPUTED_VALUE"""),"DHBA")</f>
        <v>DHBA</v>
      </c>
      <c r="C1008" s="42" t="str">
        <f>IFERROR(__xludf.DUMMYFUNCTION("""COMPUTED_VALUE"""),"layer V of area 5ci")</f>
        <v>layer V of area 5ci</v>
      </c>
      <c r="D1008" s="42">
        <f>IFERROR(__xludf.DUMMYFUNCTION("""COMPUTED_VALUE"""),951.0)</f>
        <v>951</v>
      </c>
      <c r="E1008" s="39" t="str">
        <f>IFERROR(__xludf.DUMMYFUNCTION("""COMPUTED_VALUE"""),"layer V of area 5ci")</f>
        <v>layer V of area 5ci</v>
      </c>
      <c r="F1008" s="9" t="str">
        <f>IFERROR(__xludf.DUMMYFUNCTION("""COMPUTED_VALUE"""),"Br")</f>
        <v>Br</v>
      </c>
      <c r="G1008" s="9" t="str">
        <f>IFERROR(__xludf.DUMMYFUNCTION("""COMPUTED_VALUE"""),"F")</f>
        <v>F</v>
      </c>
      <c r="H1008" s="9" t="str">
        <f>IFERROR(__xludf.DUMMYFUNCTION("""COMPUTED_VALUE"""),"FGM")</f>
        <v>FGM</v>
      </c>
      <c r="I1008" s="9" t="str">
        <f>IFERROR(__xludf.DUMMYFUNCTION("""COMPUTED_VALUE"""),"Tel")</f>
        <v>Tel</v>
      </c>
      <c r="J1008" s="9" t="str">
        <f>IFERROR(__xludf.DUMMYFUNCTION("""COMPUTED_VALUE"""),"Cx")</f>
        <v>Cx</v>
      </c>
      <c r="K1008" s="9" t="str">
        <f>IFERROR(__xludf.DUMMYFUNCTION("""COMPUTED_VALUE"""),"NCx")</f>
        <v>NCx</v>
      </c>
      <c r="L1008" s="9" t="str">
        <f>IFERROR(__xludf.DUMMYFUNCTION("""COMPUTED_VALUE"""),"PCx")</f>
        <v>PCx</v>
      </c>
      <c r="M1008" s="9" t="str">
        <f>IFERROR(__xludf.DUMMYFUNCTION("""COMPUTED_VALUE"""),"PoPC")</f>
        <v>PoPC</v>
      </c>
      <c r="N1008" s="9" t="str">
        <f>IFERROR(__xludf.DUMMYFUNCTION("""COMPUTED_VALUE"""),"SPC")</f>
        <v>SPC</v>
      </c>
      <c r="O1008" s="9" t="str">
        <f>IFERROR(__xludf.DUMMYFUNCTION("""COMPUTED_VALUE"""),"A5")</f>
        <v>A5</v>
      </c>
      <c r="P1008" s="9" t="str">
        <f>IFERROR(__xludf.DUMMYFUNCTION("""COMPUTED_VALUE"""),"A5ci")</f>
        <v>A5ci</v>
      </c>
      <c r="Q1008" s="9" t="str">
        <f>IFERROR(__xludf.DUMMYFUNCTION("""COMPUTED_VALUE"""),"A5ci5")</f>
        <v>A5ci5</v>
      </c>
      <c r="R1008" s="9"/>
      <c r="S1008" s="42"/>
      <c r="T1008" s="42"/>
      <c r="U1008" s="42"/>
      <c r="V1008" s="42"/>
      <c r="W1008" s="42"/>
      <c r="X1008" s="42"/>
      <c r="Y1008" s="42"/>
      <c r="Z1008" s="42"/>
      <c r="AA1008" s="42"/>
      <c r="AB1008" s="42" t="str">
        <f>IFERROR(__xludf.DUMMYFUNCTION("""COMPUTED_VALUE"""),"allen institute")</f>
        <v>allen institute</v>
      </c>
      <c r="AC1008" s="42" t="str">
        <f>IFERROR(__xludf.DUMMYFUNCTION("""COMPUTED_VALUE"""),"DHBA")</f>
        <v>DHBA</v>
      </c>
      <c r="AD1008" s="42"/>
      <c r="AE1008" s="42"/>
      <c r="AF1008" s="9"/>
      <c r="AG1008" s="9"/>
      <c r="AH1008" s="42"/>
      <c r="AI1008" s="42"/>
      <c r="AJ1008" s="42"/>
      <c r="AK1008" s="42"/>
      <c r="AL1008" s="42"/>
      <c r="AM1008" s="42"/>
      <c r="AN1008" s="42"/>
      <c r="AO1008" s="63" t="str">
        <f>IFERROR(__xludf.DUMMYFUNCTION("IF(ISBLANK(A1008),,IF(ISBLANK(S1008), A1008&amp;"";"", TEXTJOIN(CHAR(10), TRUE, A1008&amp;"";"", ARRAYFORMULA(VLOOKUP(SPLIT(S1008, "";"" &amp; CHAR(10)), $A:$AO, 41, FALSE)))))"),"A5ci5;")</f>
        <v>A5ci5;</v>
      </c>
      <c r="AP1008" s="89"/>
    </row>
    <row r="1009">
      <c r="A1009" s="151" t="str">
        <f>IFERROR(__xludf.DUMMYFUNCTION("""COMPUTED_VALUE"""),"A5ci6")</f>
        <v>A5ci6</v>
      </c>
      <c r="B1009" s="42" t="str">
        <f>IFERROR(__xludf.DUMMYFUNCTION("""COMPUTED_VALUE"""),"DHBA")</f>
        <v>DHBA</v>
      </c>
      <c r="C1009" s="42" t="str">
        <f>IFERROR(__xludf.DUMMYFUNCTION("""COMPUTED_VALUE"""),"layer VI of area 5ci")</f>
        <v>layer VI of area 5ci</v>
      </c>
      <c r="D1009" s="42">
        <f>IFERROR(__xludf.DUMMYFUNCTION("""COMPUTED_VALUE"""),952.0)</f>
        <v>952</v>
      </c>
      <c r="E1009" s="39" t="str">
        <f>IFERROR(__xludf.DUMMYFUNCTION("""COMPUTED_VALUE"""),"layer VI of area 5ci")</f>
        <v>layer VI of area 5ci</v>
      </c>
      <c r="F1009" s="9" t="str">
        <f>IFERROR(__xludf.DUMMYFUNCTION("""COMPUTED_VALUE"""),"Br")</f>
        <v>Br</v>
      </c>
      <c r="G1009" s="9" t="str">
        <f>IFERROR(__xludf.DUMMYFUNCTION("""COMPUTED_VALUE"""),"F")</f>
        <v>F</v>
      </c>
      <c r="H1009" s="9" t="str">
        <f>IFERROR(__xludf.DUMMYFUNCTION("""COMPUTED_VALUE"""),"FGM")</f>
        <v>FGM</v>
      </c>
      <c r="I1009" s="9" t="str">
        <f>IFERROR(__xludf.DUMMYFUNCTION("""COMPUTED_VALUE"""),"Tel")</f>
        <v>Tel</v>
      </c>
      <c r="J1009" s="9" t="str">
        <f>IFERROR(__xludf.DUMMYFUNCTION("""COMPUTED_VALUE"""),"Cx")</f>
        <v>Cx</v>
      </c>
      <c r="K1009" s="9" t="str">
        <f>IFERROR(__xludf.DUMMYFUNCTION("""COMPUTED_VALUE"""),"NCx")</f>
        <v>NCx</v>
      </c>
      <c r="L1009" s="9" t="str">
        <f>IFERROR(__xludf.DUMMYFUNCTION("""COMPUTED_VALUE"""),"PCx")</f>
        <v>PCx</v>
      </c>
      <c r="M1009" s="9" t="str">
        <f>IFERROR(__xludf.DUMMYFUNCTION("""COMPUTED_VALUE"""),"PoPC")</f>
        <v>PoPC</v>
      </c>
      <c r="N1009" s="9" t="str">
        <f>IFERROR(__xludf.DUMMYFUNCTION("""COMPUTED_VALUE"""),"SPC")</f>
        <v>SPC</v>
      </c>
      <c r="O1009" s="9" t="str">
        <f>IFERROR(__xludf.DUMMYFUNCTION("""COMPUTED_VALUE"""),"A5")</f>
        <v>A5</v>
      </c>
      <c r="P1009" s="9" t="str">
        <f>IFERROR(__xludf.DUMMYFUNCTION("""COMPUTED_VALUE"""),"A5ci")</f>
        <v>A5ci</v>
      </c>
      <c r="Q1009" s="9" t="str">
        <f>IFERROR(__xludf.DUMMYFUNCTION("""COMPUTED_VALUE"""),"A5ci6")</f>
        <v>A5ci6</v>
      </c>
      <c r="R1009" s="9"/>
      <c r="S1009" s="42"/>
      <c r="T1009" s="42"/>
      <c r="U1009" s="42"/>
      <c r="V1009" s="42"/>
      <c r="W1009" s="42"/>
      <c r="X1009" s="42"/>
      <c r="Y1009" s="42"/>
      <c r="Z1009" s="42"/>
      <c r="AA1009" s="42"/>
      <c r="AB1009" s="42" t="str">
        <f>IFERROR(__xludf.DUMMYFUNCTION("""COMPUTED_VALUE"""),"allen institute")</f>
        <v>allen institute</v>
      </c>
      <c r="AC1009" s="42" t="str">
        <f>IFERROR(__xludf.DUMMYFUNCTION("""COMPUTED_VALUE"""),"DHBA")</f>
        <v>DHBA</v>
      </c>
      <c r="AD1009" s="42"/>
      <c r="AE1009" s="42"/>
      <c r="AF1009" s="9"/>
      <c r="AG1009" s="9"/>
      <c r="AH1009" s="42"/>
      <c r="AI1009" s="42"/>
      <c r="AJ1009" s="42"/>
      <c r="AK1009" s="42"/>
      <c r="AL1009" s="42"/>
      <c r="AM1009" s="42"/>
      <c r="AN1009" s="42"/>
      <c r="AO1009" s="63" t="str">
        <f>IFERROR(__xludf.DUMMYFUNCTION("IF(ISBLANK(A1009),,IF(ISBLANK(S1009), A1009&amp;"";"", TEXTJOIN(CHAR(10), TRUE, A1009&amp;"";"", ARRAYFORMULA(VLOOKUP(SPLIT(S1009, "";"" &amp; CHAR(10)), $A:$AO, 41, FALSE)))))"),"A5ci6;")</f>
        <v>A5ci6;</v>
      </c>
      <c r="AP1009" s="89"/>
    </row>
    <row r="1010">
      <c r="A1010" s="151" t="str">
        <f>IFERROR(__xludf.DUMMYFUNCTION("""COMPUTED_VALUE"""),"A5l")</f>
        <v>A5l</v>
      </c>
      <c r="B1010" s="42" t="str">
        <f>IFERROR(__xludf.DUMMYFUNCTION("""COMPUTED_VALUE"""),"DHBA")</f>
        <v>DHBA</v>
      </c>
      <c r="C1010" s="42" t="str">
        <f>IFERROR(__xludf.DUMMYFUNCTION("""COMPUTED_VALUE"""),"lateral subdivision of area 5")</f>
        <v>lateral subdivision of area 5</v>
      </c>
      <c r="D1010" s="42">
        <f>IFERROR(__xludf.DUMMYFUNCTION("""COMPUTED_VALUE"""),953.0)</f>
        <v>953</v>
      </c>
      <c r="E1010" s="39" t="str">
        <f>IFERROR(__xludf.DUMMYFUNCTION("""COMPUTED_VALUE"""),"lateral subdivision of area 5")</f>
        <v>lateral subdivision of area 5</v>
      </c>
      <c r="F1010" s="9" t="str">
        <f>IFERROR(__xludf.DUMMYFUNCTION("""COMPUTED_VALUE"""),"Br")</f>
        <v>Br</v>
      </c>
      <c r="G1010" s="9" t="str">
        <f>IFERROR(__xludf.DUMMYFUNCTION("""COMPUTED_VALUE"""),"F")</f>
        <v>F</v>
      </c>
      <c r="H1010" s="9" t="str">
        <f>IFERROR(__xludf.DUMMYFUNCTION("""COMPUTED_VALUE"""),"FGM")</f>
        <v>FGM</v>
      </c>
      <c r="I1010" s="9" t="str">
        <f>IFERROR(__xludf.DUMMYFUNCTION("""COMPUTED_VALUE"""),"Tel")</f>
        <v>Tel</v>
      </c>
      <c r="J1010" s="9" t="str">
        <f>IFERROR(__xludf.DUMMYFUNCTION("""COMPUTED_VALUE"""),"Cx")</f>
        <v>Cx</v>
      </c>
      <c r="K1010" s="9" t="str">
        <f>IFERROR(__xludf.DUMMYFUNCTION("""COMPUTED_VALUE"""),"NCx")</f>
        <v>NCx</v>
      </c>
      <c r="L1010" s="9" t="str">
        <f>IFERROR(__xludf.DUMMYFUNCTION("""COMPUTED_VALUE"""),"PCx")</f>
        <v>PCx</v>
      </c>
      <c r="M1010" s="9" t="str">
        <f>IFERROR(__xludf.DUMMYFUNCTION("""COMPUTED_VALUE"""),"PoPC")</f>
        <v>PoPC</v>
      </c>
      <c r="N1010" s="9" t="str">
        <f>IFERROR(__xludf.DUMMYFUNCTION("""COMPUTED_VALUE"""),"SPC")</f>
        <v>SPC</v>
      </c>
      <c r="O1010" s="9" t="str">
        <f>IFERROR(__xludf.DUMMYFUNCTION("""COMPUTED_VALUE"""),"A5")</f>
        <v>A5</v>
      </c>
      <c r="P1010" s="9" t="str">
        <f>IFERROR(__xludf.DUMMYFUNCTION("""COMPUTED_VALUE"""),"A5l")</f>
        <v>A5l</v>
      </c>
      <c r="Q1010" s="9"/>
      <c r="R1010" s="9"/>
      <c r="S1010" s="42" t="str">
        <f>IFERROR(__xludf.DUMMYFUNCTION("""COMPUTED_VALUE"""),"A5l1;
A5l2;
A5l3;
A5l4;
A5l5;
A5l6")</f>
        <v>A5l1;
A5l2;
A5l3;
A5l4;
A5l5;
A5l6</v>
      </c>
      <c r="T1010" s="42"/>
      <c r="U1010" s="42" t="b">
        <f>IFERROR(__xludf.DUMMYFUNCTION("""COMPUTED_VALUE"""),FALSE)</f>
        <v>0</v>
      </c>
      <c r="V1010" s="42"/>
      <c r="W1010" s="42"/>
      <c r="X1010" s="42"/>
      <c r="Y1010" s="42"/>
      <c r="Z1010" s="42"/>
      <c r="AA1010" s="42"/>
      <c r="AB1010" s="42" t="str">
        <f>IFERROR(__xludf.DUMMYFUNCTION("""COMPUTED_VALUE"""),"allen institute")</f>
        <v>allen institute</v>
      </c>
      <c r="AC1010" s="42" t="str">
        <f>IFERROR(__xludf.DUMMYFUNCTION("""COMPUTED_VALUE"""),"DHBA")</f>
        <v>DHBA</v>
      </c>
      <c r="AD1010" s="42"/>
      <c r="AE1010" s="42"/>
      <c r="AF1010" s="9"/>
      <c r="AG1010" s="9"/>
      <c r="AH1010" s="42"/>
      <c r="AI1010" s="42"/>
      <c r="AJ1010" s="42"/>
      <c r="AK1010" s="42"/>
      <c r="AL1010" s="42"/>
      <c r="AM1010" s="42"/>
      <c r="AN1010" s="42"/>
      <c r="AO1010" s="63" t="str">
        <f>IFERROR(__xludf.DUMMYFUNCTION("IF(ISBLANK(A1010),,IF(ISBLANK(S1010), A1010&amp;"";"", TEXTJOIN(CHAR(10), TRUE, A1010&amp;"";"", ARRAYFORMULA(VLOOKUP(SPLIT(S1010, "";"" &amp; CHAR(10)), $A:$AO, 41, FALSE)))))"),"A5l;
A5l1;
A5l2;
A5l3;
A5l4;
A5l5;
A5l6;")</f>
        <v>A5l;
A5l1;
A5l2;
A5l3;
A5l4;
A5l5;
A5l6;</v>
      </c>
      <c r="AP1010" s="89"/>
    </row>
    <row r="1011">
      <c r="A1011" s="151" t="str">
        <f>IFERROR(__xludf.DUMMYFUNCTION("""COMPUTED_VALUE"""),"A5l1")</f>
        <v>A5l1</v>
      </c>
      <c r="B1011" s="42" t="str">
        <f>IFERROR(__xludf.DUMMYFUNCTION("""COMPUTED_VALUE"""),"DHBA")</f>
        <v>DHBA</v>
      </c>
      <c r="C1011" s="42" t="str">
        <f>IFERROR(__xludf.DUMMYFUNCTION("""COMPUTED_VALUE"""),"layer I of area 5l")</f>
        <v>layer I of area 5l</v>
      </c>
      <c r="D1011" s="42">
        <f>IFERROR(__xludf.DUMMYFUNCTION("""COMPUTED_VALUE"""),954.0)</f>
        <v>954</v>
      </c>
      <c r="E1011" s="39" t="str">
        <f>IFERROR(__xludf.DUMMYFUNCTION("""COMPUTED_VALUE"""),"layer I of area 5l")</f>
        <v>layer I of area 5l</v>
      </c>
      <c r="F1011" s="9" t="str">
        <f>IFERROR(__xludf.DUMMYFUNCTION("""COMPUTED_VALUE"""),"Br")</f>
        <v>Br</v>
      </c>
      <c r="G1011" s="9" t="str">
        <f>IFERROR(__xludf.DUMMYFUNCTION("""COMPUTED_VALUE"""),"F")</f>
        <v>F</v>
      </c>
      <c r="H1011" s="9" t="str">
        <f>IFERROR(__xludf.DUMMYFUNCTION("""COMPUTED_VALUE"""),"FGM")</f>
        <v>FGM</v>
      </c>
      <c r="I1011" s="9" t="str">
        <f>IFERROR(__xludf.DUMMYFUNCTION("""COMPUTED_VALUE"""),"Tel")</f>
        <v>Tel</v>
      </c>
      <c r="J1011" s="9" t="str">
        <f>IFERROR(__xludf.DUMMYFUNCTION("""COMPUTED_VALUE"""),"Cx")</f>
        <v>Cx</v>
      </c>
      <c r="K1011" s="9" t="str">
        <f>IFERROR(__xludf.DUMMYFUNCTION("""COMPUTED_VALUE"""),"NCx")</f>
        <v>NCx</v>
      </c>
      <c r="L1011" s="9" t="str">
        <f>IFERROR(__xludf.DUMMYFUNCTION("""COMPUTED_VALUE"""),"PCx")</f>
        <v>PCx</v>
      </c>
      <c r="M1011" s="9" t="str">
        <f>IFERROR(__xludf.DUMMYFUNCTION("""COMPUTED_VALUE"""),"PoPC")</f>
        <v>PoPC</v>
      </c>
      <c r="N1011" s="9" t="str">
        <f>IFERROR(__xludf.DUMMYFUNCTION("""COMPUTED_VALUE"""),"SPC")</f>
        <v>SPC</v>
      </c>
      <c r="O1011" s="9" t="str">
        <f>IFERROR(__xludf.DUMMYFUNCTION("""COMPUTED_VALUE"""),"A5")</f>
        <v>A5</v>
      </c>
      <c r="P1011" s="9" t="str">
        <f>IFERROR(__xludf.DUMMYFUNCTION("""COMPUTED_VALUE"""),"A5l")</f>
        <v>A5l</v>
      </c>
      <c r="Q1011" s="9" t="str">
        <f>IFERROR(__xludf.DUMMYFUNCTION("""COMPUTED_VALUE"""),"A5l1")</f>
        <v>A5l1</v>
      </c>
      <c r="R1011" s="9"/>
      <c r="S1011" s="42"/>
      <c r="T1011" s="42"/>
      <c r="U1011" s="42"/>
      <c r="V1011" s="42"/>
      <c r="W1011" s="42"/>
      <c r="X1011" s="42"/>
      <c r="Y1011" s="42"/>
      <c r="Z1011" s="42"/>
      <c r="AA1011" s="42"/>
      <c r="AB1011" s="42" t="str">
        <f>IFERROR(__xludf.DUMMYFUNCTION("""COMPUTED_VALUE"""),"allen institute")</f>
        <v>allen institute</v>
      </c>
      <c r="AC1011" s="42" t="str">
        <f>IFERROR(__xludf.DUMMYFUNCTION("""COMPUTED_VALUE"""),"DHBA")</f>
        <v>DHBA</v>
      </c>
      <c r="AD1011" s="42"/>
      <c r="AE1011" s="42"/>
      <c r="AF1011" s="9"/>
      <c r="AG1011" s="9"/>
      <c r="AH1011" s="42"/>
      <c r="AI1011" s="42"/>
      <c r="AJ1011" s="42"/>
      <c r="AK1011" s="42"/>
      <c r="AL1011" s="42"/>
      <c r="AM1011" s="42"/>
      <c r="AN1011" s="42"/>
      <c r="AO1011" s="63" t="str">
        <f>IFERROR(__xludf.DUMMYFUNCTION("IF(ISBLANK(A1011),,IF(ISBLANK(S1011), A1011&amp;"";"", TEXTJOIN(CHAR(10), TRUE, A1011&amp;"";"", ARRAYFORMULA(VLOOKUP(SPLIT(S1011, "";"" &amp; CHAR(10)), $A:$AO, 41, FALSE)))))"),"A5l1;")</f>
        <v>A5l1;</v>
      </c>
      <c r="AP1011" s="89"/>
    </row>
    <row r="1012">
      <c r="A1012" s="151" t="str">
        <f>IFERROR(__xludf.DUMMYFUNCTION("""COMPUTED_VALUE"""),"A5l2")</f>
        <v>A5l2</v>
      </c>
      <c r="B1012" s="42" t="str">
        <f>IFERROR(__xludf.DUMMYFUNCTION("""COMPUTED_VALUE"""),"DHBA")</f>
        <v>DHBA</v>
      </c>
      <c r="C1012" s="42" t="str">
        <f>IFERROR(__xludf.DUMMYFUNCTION("""COMPUTED_VALUE"""),"layer II of area 5l")</f>
        <v>layer II of area 5l</v>
      </c>
      <c r="D1012" s="42">
        <f>IFERROR(__xludf.DUMMYFUNCTION("""COMPUTED_VALUE"""),955.0)</f>
        <v>955</v>
      </c>
      <c r="E1012" s="39" t="str">
        <f>IFERROR(__xludf.DUMMYFUNCTION("""COMPUTED_VALUE"""),"layer II of area 5l")</f>
        <v>layer II of area 5l</v>
      </c>
      <c r="F1012" s="9" t="str">
        <f>IFERROR(__xludf.DUMMYFUNCTION("""COMPUTED_VALUE"""),"Br")</f>
        <v>Br</v>
      </c>
      <c r="G1012" s="9" t="str">
        <f>IFERROR(__xludf.DUMMYFUNCTION("""COMPUTED_VALUE"""),"F")</f>
        <v>F</v>
      </c>
      <c r="H1012" s="9" t="str">
        <f>IFERROR(__xludf.DUMMYFUNCTION("""COMPUTED_VALUE"""),"FGM")</f>
        <v>FGM</v>
      </c>
      <c r="I1012" s="9" t="str">
        <f>IFERROR(__xludf.DUMMYFUNCTION("""COMPUTED_VALUE"""),"Tel")</f>
        <v>Tel</v>
      </c>
      <c r="J1012" s="9" t="str">
        <f>IFERROR(__xludf.DUMMYFUNCTION("""COMPUTED_VALUE"""),"Cx")</f>
        <v>Cx</v>
      </c>
      <c r="K1012" s="9" t="str">
        <f>IFERROR(__xludf.DUMMYFUNCTION("""COMPUTED_VALUE"""),"NCx")</f>
        <v>NCx</v>
      </c>
      <c r="L1012" s="9" t="str">
        <f>IFERROR(__xludf.DUMMYFUNCTION("""COMPUTED_VALUE"""),"PCx")</f>
        <v>PCx</v>
      </c>
      <c r="M1012" s="9" t="str">
        <f>IFERROR(__xludf.DUMMYFUNCTION("""COMPUTED_VALUE"""),"PoPC")</f>
        <v>PoPC</v>
      </c>
      <c r="N1012" s="9" t="str">
        <f>IFERROR(__xludf.DUMMYFUNCTION("""COMPUTED_VALUE"""),"SPC")</f>
        <v>SPC</v>
      </c>
      <c r="O1012" s="9" t="str">
        <f>IFERROR(__xludf.DUMMYFUNCTION("""COMPUTED_VALUE"""),"A5")</f>
        <v>A5</v>
      </c>
      <c r="P1012" s="9" t="str">
        <f>IFERROR(__xludf.DUMMYFUNCTION("""COMPUTED_VALUE"""),"A5l")</f>
        <v>A5l</v>
      </c>
      <c r="Q1012" s="9" t="str">
        <f>IFERROR(__xludf.DUMMYFUNCTION("""COMPUTED_VALUE"""),"A5l2")</f>
        <v>A5l2</v>
      </c>
      <c r="R1012" s="9"/>
      <c r="S1012" s="42"/>
      <c r="T1012" s="42"/>
      <c r="U1012" s="42"/>
      <c r="V1012" s="42"/>
      <c r="W1012" s="42"/>
      <c r="X1012" s="42"/>
      <c r="Y1012" s="42"/>
      <c r="Z1012" s="42"/>
      <c r="AA1012" s="42"/>
      <c r="AB1012" s="42" t="str">
        <f>IFERROR(__xludf.DUMMYFUNCTION("""COMPUTED_VALUE"""),"allen institute")</f>
        <v>allen institute</v>
      </c>
      <c r="AC1012" s="42" t="str">
        <f>IFERROR(__xludf.DUMMYFUNCTION("""COMPUTED_VALUE"""),"DHBA")</f>
        <v>DHBA</v>
      </c>
      <c r="AD1012" s="42"/>
      <c r="AE1012" s="42"/>
      <c r="AF1012" s="9"/>
      <c r="AG1012" s="9"/>
      <c r="AH1012" s="42"/>
      <c r="AI1012" s="42"/>
      <c r="AJ1012" s="42"/>
      <c r="AK1012" s="42"/>
      <c r="AL1012" s="42"/>
      <c r="AM1012" s="42"/>
      <c r="AN1012" s="42"/>
      <c r="AO1012" s="63" t="str">
        <f>IFERROR(__xludf.DUMMYFUNCTION("IF(ISBLANK(A1012),,IF(ISBLANK(S1012), A1012&amp;"";"", TEXTJOIN(CHAR(10), TRUE, A1012&amp;"";"", ARRAYFORMULA(VLOOKUP(SPLIT(S1012, "";"" &amp; CHAR(10)), $A:$AO, 41, FALSE)))))"),"A5l2;")</f>
        <v>A5l2;</v>
      </c>
      <c r="AP1012" s="89"/>
    </row>
    <row r="1013">
      <c r="A1013" s="151" t="str">
        <f>IFERROR(__xludf.DUMMYFUNCTION("""COMPUTED_VALUE"""),"A5l3")</f>
        <v>A5l3</v>
      </c>
      <c r="B1013" s="42" t="str">
        <f>IFERROR(__xludf.DUMMYFUNCTION("""COMPUTED_VALUE"""),"DHBA")</f>
        <v>DHBA</v>
      </c>
      <c r="C1013" s="42" t="str">
        <f>IFERROR(__xludf.DUMMYFUNCTION("""COMPUTED_VALUE"""),"layer III of area 5l")</f>
        <v>layer III of area 5l</v>
      </c>
      <c r="D1013" s="42">
        <f>IFERROR(__xludf.DUMMYFUNCTION("""COMPUTED_VALUE"""),956.0)</f>
        <v>956</v>
      </c>
      <c r="E1013" s="39" t="str">
        <f>IFERROR(__xludf.DUMMYFUNCTION("""COMPUTED_VALUE"""),"layer III of area 5l")</f>
        <v>layer III of area 5l</v>
      </c>
      <c r="F1013" s="9" t="str">
        <f>IFERROR(__xludf.DUMMYFUNCTION("""COMPUTED_VALUE"""),"Br")</f>
        <v>Br</v>
      </c>
      <c r="G1013" s="9" t="str">
        <f>IFERROR(__xludf.DUMMYFUNCTION("""COMPUTED_VALUE"""),"F")</f>
        <v>F</v>
      </c>
      <c r="H1013" s="9" t="str">
        <f>IFERROR(__xludf.DUMMYFUNCTION("""COMPUTED_VALUE"""),"FGM")</f>
        <v>FGM</v>
      </c>
      <c r="I1013" s="9" t="str">
        <f>IFERROR(__xludf.DUMMYFUNCTION("""COMPUTED_VALUE"""),"Tel")</f>
        <v>Tel</v>
      </c>
      <c r="J1013" s="9" t="str">
        <f>IFERROR(__xludf.DUMMYFUNCTION("""COMPUTED_VALUE"""),"Cx")</f>
        <v>Cx</v>
      </c>
      <c r="K1013" s="9" t="str">
        <f>IFERROR(__xludf.DUMMYFUNCTION("""COMPUTED_VALUE"""),"NCx")</f>
        <v>NCx</v>
      </c>
      <c r="L1013" s="9" t="str">
        <f>IFERROR(__xludf.DUMMYFUNCTION("""COMPUTED_VALUE"""),"PCx")</f>
        <v>PCx</v>
      </c>
      <c r="M1013" s="9" t="str">
        <f>IFERROR(__xludf.DUMMYFUNCTION("""COMPUTED_VALUE"""),"PoPC")</f>
        <v>PoPC</v>
      </c>
      <c r="N1013" s="9" t="str">
        <f>IFERROR(__xludf.DUMMYFUNCTION("""COMPUTED_VALUE"""),"SPC")</f>
        <v>SPC</v>
      </c>
      <c r="O1013" s="9" t="str">
        <f>IFERROR(__xludf.DUMMYFUNCTION("""COMPUTED_VALUE"""),"A5")</f>
        <v>A5</v>
      </c>
      <c r="P1013" s="9" t="str">
        <f>IFERROR(__xludf.DUMMYFUNCTION("""COMPUTED_VALUE"""),"A5l")</f>
        <v>A5l</v>
      </c>
      <c r="Q1013" s="9" t="str">
        <f>IFERROR(__xludf.DUMMYFUNCTION("""COMPUTED_VALUE"""),"A5l3")</f>
        <v>A5l3</v>
      </c>
      <c r="R1013" s="9"/>
      <c r="S1013" s="42"/>
      <c r="T1013" s="42"/>
      <c r="U1013" s="42"/>
      <c r="V1013" s="42"/>
      <c r="W1013" s="42"/>
      <c r="X1013" s="42"/>
      <c r="Y1013" s="42"/>
      <c r="Z1013" s="42"/>
      <c r="AA1013" s="42"/>
      <c r="AB1013" s="42" t="str">
        <f>IFERROR(__xludf.DUMMYFUNCTION("""COMPUTED_VALUE"""),"allen institute")</f>
        <v>allen institute</v>
      </c>
      <c r="AC1013" s="42" t="str">
        <f>IFERROR(__xludf.DUMMYFUNCTION("""COMPUTED_VALUE"""),"DHBA")</f>
        <v>DHBA</v>
      </c>
      <c r="AD1013" s="42"/>
      <c r="AE1013" s="42"/>
      <c r="AF1013" s="9"/>
      <c r="AG1013" s="9"/>
      <c r="AH1013" s="42"/>
      <c r="AI1013" s="42"/>
      <c r="AJ1013" s="42"/>
      <c r="AK1013" s="42"/>
      <c r="AL1013" s="42"/>
      <c r="AM1013" s="42"/>
      <c r="AN1013" s="42"/>
      <c r="AO1013" s="63" t="str">
        <f>IFERROR(__xludf.DUMMYFUNCTION("IF(ISBLANK(A1013),,IF(ISBLANK(S1013), A1013&amp;"";"", TEXTJOIN(CHAR(10), TRUE, A1013&amp;"";"", ARRAYFORMULA(VLOOKUP(SPLIT(S1013, "";"" &amp; CHAR(10)), $A:$AO, 41, FALSE)))))"),"A5l3;")</f>
        <v>A5l3;</v>
      </c>
      <c r="AP1013" s="89"/>
    </row>
    <row r="1014">
      <c r="A1014" s="151" t="str">
        <f>IFERROR(__xludf.DUMMYFUNCTION("""COMPUTED_VALUE"""),"A5l4")</f>
        <v>A5l4</v>
      </c>
      <c r="B1014" s="42" t="str">
        <f>IFERROR(__xludf.DUMMYFUNCTION("""COMPUTED_VALUE"""),"DHBA")</f>
        <v>DHBA</v>
      </c>
      <c r="C1014" s="42" t="str">
        <f>IFERROR(__xludf.DUMMYFUNCTION("""COMPUTED_VALUE"""),"layer IV of area 5l")</f>
        <v>layer IV of area 5l</v>
      </c>
      <c r="D1014" s="42">
        <f>IFERROR(__xludf.DUMMYFUNCTION("""COMPUTED_VALUE"""),957.0)</f>
        <v>957</v>
      </c>
      <c r="E1014" s="39" t="str">
        <f>IFERROR(__xludf.DUMMYFUNCTION("""COMPUTED_VALUE"""),"layer IV of area 5l")</f>
        <v>layer IV of area 5l</v>
      </c>
      <c r="F1014" s="9" t="str">
        <f>IFERROR(__xludf.DUMMYFUNCTION("""COMPUTED_VALUE"""),"Br")</f>
        <v>Br</v>
      </c>
      <c r="G1014" s="9" t="str">
        <f>IFERROR(__xludf.DUMMYFUNCTION("""COMPUTED_VALUE"""),"F")</f>
        <v>F</v>
      </c>
      <c r="H1014" s="9" t="str">
        <f>IFERROR(__xludf.DUMMYFUNCTION("""COMPUTED_VALUE"""),"FGM")</f>
        <v>FGM</v>
      </c>
      <c r="I1014" s="9" t="str">
        <f>IFERROR(__xludf.DUMMYFUNCTION("""COMPUTED_VALUE"""),"Tel")</f>
        <v>Tel</v>
      </c>
      <c r="J1014" s="9" t="str">
        <f>IFERROR(__xludf.DUMMYFUNCTION("""COMPUTED_VALUE"""),"Cx")</f>
        <v>Cx</v>
      </c>
      <c r="K1014" s="9" t="str">
        <f>IFERROR(__xludf.DUMMYFUNCTION("""COMPUTED_VALUE"""),"NCx")</f>
        <v>NCx</v>
      </c>
      <c r="L1014" s="9" t="str">
        <f>IFERROR(__xludf.DUMMYFUNCTION("""COMPUTED_VALUE"""),"PCx")</f>
        <v>PCx</v>
      </c>
      <c r="M1014" s="9" t="str">
        <f>IFERROR(__xludf.DUMMYFUNCTION("""COMPUTED_VALUE"""),"PoPC")</f>
        <v>PoPC</v>
      </c>
      <c r="N1014" s="9" t="str">
        <f>IFERROR(__xludf.DUMMYFUNCTION("""COMPUTED_VALUE"""),"SPC")</f>
        <v>SPC</v>
      </c>
      <c r="O1014" s="9" t="str">
        <f>IFERROR(__xludf.DUMMYFUNCTION("""COMPUTED_VALUE"""),"A5")</f>
        <v>A5</v>
      </c>
      <c r="P1014" s="9" t="str">
        <f>IFERROR(__xludf.DUMMYFUNCTION("""COMPUTED_VALUE"""),"A5l")</f>
        <v>A5l</v>
      </c>
      <c r="Q1014" s="9" t="str">
        <f>IFERROR(__xludf.DUMMYFUNCTION("""COMPUTED_VALUE"""),"A5l4")</f>
        <v>A5l4</v>
      </c>
      <c r="R1014" s="9"/>
      <c r="S1014" s="42"/>
      <c r="T1014" s="42"/>
      <c r="U1014" s="42"/>
      <c r="V1014" s="42"/>
      <c r="W1014" s="42"/>
      <c r="X1014" s="42"/>
      <c r="Y1014" s="42"/>
      <c r="Z1014" s="42"/>
      <c r="AA1014" s="42"/>
      <c r="AB1014" s="42" t="str">
        <f>IFERROR(__xludf.DUMMYFUNCTION("""COMPUTED_VALUE"""),"allen institute")</f>
        <v>allen institute</v>
      </c>
      <c r="AC1014" s="42" t="str">
        <f>IFERROR(__xludf.DUMMYFUNCTION("""COMPUTED_VALUE"""),"DHBA")</f>
        <v>DHBA</v>
      </c>
      <c r="AD1014" s="42"/>
      <c r="AE1014" s="42"/>
      <c r="AF1014" s="9"/>
      <c r="AG1014" s="9"/>
      <c r="AH1014" s="42"/>
      <c r="AI1014" s="42"/>
      <c r="AJ1014" s="42"/>
      <c r="AK1014" s="42"/>
      <c r="AL1014" s="42"/>
      <c r="AM1014" s="42"/>
      <c r="AN1014" s="42"/>
      <c r="AO1014" s="63" t="str">
        <f>IFERROR(__xludf.DUMMYFUNCTION("IF(ISBLANK(A1014),,IF(ISBLANK(S1014), A1014&amp;"";"", TEXTJOIN(CHAR(10), TRUE, A1014&amp;"";"", ARRAYFORMULA(VLOOKUP(SPLIT(S1014, "";"" &amp; CHAR(10)), $A:$AO, 41, FALSE)))))"),"A5l4;")</f>
        <v>A5l4;</v>
      </c>
      <c r="AP1014" s="89"/>
    </row>
    <row r="1015">
      <c r="A1015" s="151" t="str">
        <f>IFERROR(__xludf.DUMMYFUNCTION("""COMPUTED_VALUE"""),"A5l5")</f>
        <v>A5l5</v>
      </c>
      <c r="B1015" s="42" t="str">
        <f>IFERROR(__xludf.DUMMYFUNCTION("""COMPUTED_VALUE"""),"DHBA")</f>
        <v>DHBA</v>
      </c>
      <c r="C1015" s="42" t="str">
        <f>IFERROR(__xludf.DUMMYFUNCTION("""COMPUTED_VALUE"""),"layer V of area 5l")</f>
        <v>layer V of area 5l</v>
      </c>
      <c r="D1015" s="42">
        <f>IFERROR(__xludf.DUMMYFUNCTION("""COMPUTED_VALUE"""),958.0)</f>
        <v>958</v>
      </c>
      <c r="E1015" s="39" t="str">
        <f>IFERROR(__xludf.DUMMYFUNCTION("""COMPUTED_VALUE"""),"layer V of area 5l")</f>
        <v>layer V of area 5l</v>
      </c>
      <c r="F1015" s="9" t="str">
        <f>IFERROR(__xludf.DUMMYFUNCTION("""COMPUTED_VALUE"""),"Br")</f>
        <v>Br</v>
      </c>
      <c r="G1015" s="9" t="str">
        <f>IFERROR(__xludf.DUMMYFUNCTION("""COMPUTED_VALUE"""),"F")</f>
        <v>F</v>
      </c>
      <c r="H1015" s="9" t="str">
        <f>IFERROR(__xludf.DUMMYFUNCTION("""COMPUTED_VALUE"""),"FGM")</f>
        <v>FGM</v>
      </c>
      <c r="I1015" s="9" t="str">
        <f>IFERROR(__xludf.DUMMYFUNCTION("""COMPUTED_VALUE"""),"Tel")</f>
        <v>Tel</v>
      </c>
      <c r="J1015" s="9" t="str">
        <f>IFERROR(__xludf.DUMMYFUNCTION("""COMPUTED_VALUE"""),"Cx")</f>
        <v>Cx</v>
      </c>
      <c r="K1015" s="9" t="str">
        <f>IFERROR(__xludf.DUMMYFUNCTION("""COMPUTED_VALUE"""),"NCx")</f>
        <v>NCx</v>
      </c>
      <c r="L1015" s="9" t="str">
        <f>IFERROR(__xludf.DUMMYFUNCTION("""COMPUTED_VALUE"""),"PCx")</f>
        <v>PCx</v>
      </c>
      <c r="M1015" s="9" t="str">
        <f>IFERROR(__xludf.DUMMYFUNCTION("""COMPUTED_VALUE"""),"PoPC")</f>
        <v>PoPC</v>
      </c>
      <c r="N1015" s="9" t="str">
        <f>IFERROR(__xludf.DUMMYFUNCTION("""COMPUTED_VALUE"""),"SPC")</f>
        <v>SPC</v>
      </c>
      <c r="O1015" s="9" t="str">
        <f>IFERROR(__xludf.DUMMYFUNCTION("""COMPUTED_VALUE"""),"A5")</f>
        <v>A5</v>
      </c>
      <c r="P1015" s="9" t="str">
        <f>IFERROR(__xludf.DUMMYFUNCTION("""COMPUTED_VALUE"""),"A5l")</f>
        <v>A5l</v>
      </c>
      <c r="Q1015" s="9" t="str">
        <f>IFERROR(__xludf.DUMMYFUNCTION("""COMPUTED_VALUE"""),"A5l5")</f>
        <v>A5l5</v>
      </c>
      <c r="R1015" s="9"/>
      <c r="S1015" s="42"/>
      <c r="T1015" s="42"/>
      <c r="U1015" s="42"/>
      <c r="V1015" s="42"/>
      <c r="W1015" s="42"/>
      <c r="X1015" s="42"/>
      <c r="Y1015" s="42"/>
      <c r="Z1015" s="42"/>
      <c r="AA1015" s="42"/>
      <c r="AB1015" s="42" t="str">
        <f>IFERROR(__xludf.DUMMYFUNCTION("""COMPUTED_VALUE"""),"allen institute")</f>
        <v>allen institute</v>
      </c>
      <c r="AC1015" s="42" t="str">
        <f>IFERROR(__xludf.DUMMYFUNCTION("""COMPUTED_VALUE"""),"DHBA")</f>
        <v>DHBA</v>
      </c>
      <c r="AD1015" s="42"/>
      <c r="AE1015" s="42"/>
      <c r="AF1015" s="9"/>
      <c r="AG1015" s="9"/>
      <c r="AH1015" s="42"/>
      <c r="AI1015" s="42"/>
      <c r="AJ1015" s="42"/>
      <c r="AK1015" s="42"/>
      <c r="AL1015" s="42"/>
      <c r="AM1015" s="42"/>
      <c r="AN1015" s="42"/>
      <c r="AO1015" s="63" t="str">
        <f>IFERROR(__xludf.DUMMYFUNCTION("IF(ISBLANK(A1015),,IF(ISBLANK(S1015), A1015&amp;"";"", TEXTJOIN(CHAR(10), TRUE, A1015&amp;"";"", ARRAYFORMULA(VLOOKUP(SPLIT(S1015, "";"" &amp; CHAR(10)), $A:$AO, 41, FALSE)))))"),"A5l5;")</f>
        <v>A5l5;</v>
      </c>
      <c r="AP1015" s="89"/>
    </row>
    <row r="1016">
      <c r="A1016" s="151" t="str">
        <f>IFERROR(__xludf.DUMMYFUNCTION("""COMPUTED_VALUE"""),"A5l6")</f>
        <v>A5l6</v>
      </c>
      <c r="B1016" s="42" t="str">
        <f>IFERROR(__xludf.DUMMYFUNCTION("""COMPUTED_VALUE"""),"DHBA")</f>
        <v>DHBA</v>
      </c>
      <c r="C1016" s="42" t="str">
        <f>IFERROR(__xludf.DUMMYFUNCTION("""COMPUTED_VALUE"""),"layer VI of area 5l")</f>
        <v>layer VI of area 5l</v>
      </c>
      <c r="D1016" s="42">
        <f>IFERROR(__xludf.DUMMYFUNCTION("""COMPUTED_VALUE"""),959.0)</f>
        <v>959</v>
      </c>
      <c r="E1016" s="39" t="str">
        <f>IFERROR(__xludf.DUMMYFUNCTION("""COMPUTED_VALUE"""),"layer VI of area 5l")</f>
        <v>layer VI of area 5l</v>
      </c>
      <c r="F1016" s="9" t="str">
        <f>IFERROR(__xludf.DUMMYFUNCTION("""COMPUTED_VALUE"""),"Br")</f>
        <v>Br</v>
      </c>
      <c r="G1016" s="9" t="str">
        <f>IFERROR(__xludf.DUMMYFUNCTION("""COMPUTED_VALUE"""),"F")</f>
        <v>F</v>
      </c>
      <c r="H1016" s="9" t="str">
        <f>IFERROR(__xludf.DUMMYFUNCTION("""COMPUTED_VALUE"""),"FGM")</f>
        <v>FGM</v>
      </c>
      <c r="I1016" s="9" t="str">
        <f>IFERROR(__xludf.DUMMYFUNCTION("""COMPUTED_VALUE"""),"Tel")</f>
        <v>Tel</v>
      </c>
      <c r="J1016" s="9" t="str">
        <f>IFERROR(__xludf.DUMMYFUNCTION("""COMPUTED_VALUE"""),"Cx")</f>
        <v>Cx</v>
      </c>
      <c r="K1016" s="9" t="str">
        <f>IFERROR(__xludf.DUMMYFUNCTION("""COMPUTED_VALUE"""),"NCx")</f>
        <v>NCx</v>
      </c>
      <c r="L1016" s="9" t="str">
        <f>IFERROR(__xludf.DUMMYFUNCTION("""COMPUTED_VALUE"""),"PCx")</f>
        <v>PCx</v>
      </c>
      <c r="M1016" s="9" t="str">
        <f>IFERROR(__xludf.DUMMYFUNCTION("""COMPUTED_VALUE"""),"PoPC")</f>
        <v>PoPC</v>
      </c>
      <c r="N1016" s="9" t="str">
        <f>IFERROR(__xludf.DUMMYFUNCTION("""COMPUTED_VALUE"""),"SPC")</f>
        <v>SPC</v>
      </c>
      <c r="O1016" s="9" t="str">
        <f>IFERROR(__xludf.DUMMYFUNCTION("""COMPUTED_VALUE"""),"A5")</f>
        <v>A5</v>
      </c>
      <c r="P1016" s="9" t="str">
        <f>IFERROR(__xludf.DUMMYFUNCTION("""COMPUTED_VALUE"""),"A5l")</f>
        <v>A5l</v>
      </c>
      <c r="Q1016" s="9" t="str">
        <f>IFERROR(__xludf.DUMMYFUNCTION("""COMPUTED_VALUE"""),"A5l6")</f>
        <v>A5l6</v>
      </c>
      <c r="R1016" s="9"/>
      <c r="S1016" s="42"/>
      <c r="T1016" s="42"/>
      <c r="U1016" s="42"/>
      <c r="V1016" s="42"/>
      <c r="W1016" s="42"/>
      <c r="X1016" s="42"/>
      <c r="Y1016" s="42"/>
      <c r="Z1016" s="42"/>
      <c r="AA1016" s="42"/>
      <c r="AB1016" s="42" t="str">
        <f>IFERROR(__xludf.DUMMYFUNCTION("""COMPUTED_VALUE"""),"allen institute")</f>
        <v>allen institute</v>
      </c>
      <c r="AC1016" s="42" t="str">
        <f>IFERROR(__xludf.DUMMYFUNCTION("""COMPUTED_VALUE"""),"DHBA")</f>
        <v>DHBA</v>
      </c>
      <c r="AD1016" s="42"/>
      <c r="AE1016" s="42"/>
      <c r="AF1016" s="9"/>
      <c r="AG1016" s="9"/>
      <c r="AH1016" s="42"/>
      <c r="AI1016" s="42"/>
      <c r="AJ1016" s="42"/>
      <c r="AK1016" s="42"/>
      <c r="AL1016" s="42"/>
      <c r="AM1016" s="42"/>
      <c r="AN1016" s="42"/>
      <c r="AO1016" s="63" t="str">
        <f>IFERROR(__xludf.DUMMYFUNCTION("IF(ISBLANK(A1016),,IF(ISBLANK(S1016), A1016&amp;"";"", TEXTJOIN(CHAR(10), TRUE, A1016&amp;"";"", ARRAYFORMULA(VLOOKUP(SPLIT(S1016, "";"" &amp; CHAR(10)), $A:$AO, 41, FALSE)))))"),"A5l6;")</f>
        <v>A5l6;</v>
      </c>
      <c r="AP1016" s="89"/>
    </row>
    <row r="1017">
      <c r="A1017" s="151" t="str">
        <f>IFERROR(__xludf.DUMMYFUNCTION("""COMPUTED_VALUE"""),"A5m")</f>
        <v>A5m</v>
      </c>
      <c r="B1017" s="42" t="str">
        <f>IFERROR(__xludf.DUMMYFUNCTION("""COMPUTED_VALUE"""),"DHBA")</f>
        <v>DHBA</v>
      </c>
      <c r="C1017" s="42" t="str">
        <f>IFERROR(__xludf.DUMMYFUNCTION("""COMPUTED_VALUE"""),"medial subdivision of area 5")</f>
        <v>medial subdivision of area 5</v>
      </c>
      <c r="D1017" s="42">
        <f>IFERROR(__xludf.DUMMYFUNCTION("""COMPUTED_VALUE"""),960.0)</f>
        <v>960</v>
      </c>
      <c r="E1017" s="39" t="str">
        <f>IFERROR(__xludf.DUMMYFUNCTION("""COMPUTED_VALUE"""),"medial subdivision of area 5")</f>
        <v>medial subdivision of area 5</v>
      </c>
      <c r="F1017" s="9" t="str">
        <f>IFERROR(__xludf.DUMMYFUNCTION("""COMPUTED_VALUE"""),"Br")</f>
        <v>Br</v>
      </c>
      <c r="G1017" s="9" t="str">
        <f>IFERROR(__xludf.DUMMYFUNCTION("""COMPUTED_VALUE"""),"F")</f>
        <v>F</v>
      </c>
      <c r="H1017" s="9" t="str">
        <f>IFERROR(__xludf.DUMMYFUNCTION("""COMPUTED_VALUE"""),"FGM")</f>
        <v>FGM</v>
      </c>
      <c r="I1017" s="9" t="str">
        <f>IFERROR(__xludf.DUMMYFUNCTION("""COMPUTED_VALUE"""),"Tel")</f>
        <v>Tel</v>
      </c>
      <c r="J1017" s="9" t="str">
        <f>IFERROR(__xludf.DUMMYFUNCTION("""COMPUTED_VALUE"""),"Cx")</f>
        <v>Cx</v>
      </c>
      <c r="K1017" s="9" t="str">
        <f>IFERROR(__xludf.DUMMYFUNCTION("""COMPUTED_VALUE"""),"NCx")</f>
        <v>NCx</v>
      </c>
      <c r="L1017" s="9" t="str">
        <f>IFERROR(__xludf.DUMMYFUNCTION("""COMPUTED_VALUE"""),"PCx")</f>
        <v>PCx</v>
      </c>
      <c r="M1017" s="9" t="str">
        <f>IFERROR(__xludf.DUMMYFUNCTION("""COMPUTED_VALUE"""),"PoPC")</f>
        <v>PoPC</v>
      </c>
      <c r="N1017" s="9" t="str">
        <f>IFERROR(__xludf.DUMMYFUNCTION("""COMPUTED_VALUE"""),"SPC")</f>
        <v>SPC</v>
      </c>
      <c r="O1017" s="9" t="str">
        <f>IFERROR(__xludf.DUMMYFUNCTION("""COMPUTED_VALUE"""),"A5")</f>
        <v>A5</v>
      </c>
      <c r="P1017" s="9" t="str">
        <f>IFERROR(__xludf.DUMMYFUNCTION("""COMPUTED_VALUE"""),"A5m")</f>
        <v>A5m</v>
      </c>
      <c r="Q1017" s="9"/>
      <c r="R1017" s="9"/>
      <c r="S1017" s="42" t="str">
        <f>IFERROR(__xludf.DUMMYFUNCTION("""COMPUTED_VALUE"""),"A5m1;
A5m2;
A5m3;
A5m4;
A5m5;
A5m6")</f>
        <v>A5m1;
A5m2;
A5m3;
A5m4;
A5m5;
A5m6</v>
      </c>
      <c r="T1017" s="42"/>
      <c r="U1017" s="42" t="b">
        <f>IFERROR(__xludf.DUMMYFUNCTION("""COMPUTED_VALUE"""),FALSE)</f>
        <v>0</v>
      </c>
      <c r="V1017" s="42"/>
      <c r="W1017" s="42"/>
      <c r="X1017" s="42"/>
      <c r="Y1017" s="42"/>
      <c r="Z1017" s="42"/>
      <c r="AA1017" s="42"/>
      <c r="AB1017" s="42" t="str">
        <f>IFERROR(__xludf.DUMMYFUNCTION("""COMPUTED_VALUE"""),"allen institute")</f>
        <v>allen institute</v>
      </c>
      <c r="AC1017" s="42" t="str">
        <f>IFERROR(__xludf.DUMMYFUNCTION("""COMPUTED_VALUE"""),"DHBA")</f>
        <v>DHBA</v>
      </c>
      <c r="AD1017" s="42"/>
      <c r="AE1017" s="42"/>
      <c r="AF1017" s="9"/>
      <c r="AG1017" s="9"/>
      <c r="AH1017" s="42"/>
      <c r="AI1017" s="42"/>
      <c r="AJ1017" s="42"/>
      <c r="AK1017" s="42"/>
      <c r="AL1017" s="42"/>
      <c r="AM1017" s="42"/>
      <c r="AN1017" s="42"/>
      <c r="AO1017" s="63" t="str">
        <f>IFERROR(__xludf.DUMMYFUNCTION("IF(ISBLANK(A1017),,IF(ISBLANK(S1017), A1017&amp;"";"", TEXTJOIN(CHAR(10), TRUE, A1017&amp;"";"", ARRAYFORMULA(VLOOKUP(SPLIT(S1017, "";"" &amp; CHAR(10)), $A:$AO, 41, FALSE)))))"),"A5m;
A5m1;
A5m2;
A5m3;
A5m4;
A5m5;
A5m6;")</f>
        <v>A5m;
A5m1;
A5m2;
A5m3;
A5m4;
A5m5;
A5m6;</v>
      </c>
      <c r="AP1017" s="89"/>
    </row>
    <row r="1018">
      <c r="A1018" s="151" t="str">
        <f>IFERROR(__xludf.DUMMYFUNCTION("""COMPUTED_VALUE"""),"A5m1")</f>
        <v>A5m1</v>
      </c>
      <c r="B1018" s="42" t="str">
        <f>IFERROR(__xludf.DUMMYFUNCTION("""COMPUTED_VALUE"""),"DHBA")</f>
        <v>DHBA</v>
      </c>
      <c r="C1018" s="42" t="str">
        <f>IFERROR(__xludf.DUMMYFUNCTION("""COMPUTED_VALUE"""),"layer I of area 5m")</f>
        <v>layer I of area 5m</v>
      </c>
      <c r="D1018" s="42">
        <f>IFERROR(__xludf.DUMMYFUNCTION("""COMPUTED_VALUE"""),961.0)</f>
        <v>961</v>
      </c>
      <c r="E1018" s="39" t="str">
        <f>IFERROR(__xludf.DUMMYFUNCTION("""COMPUTED_VALUE"""),"layer I of area 5m")</f>
        <v>layer I of area 5m</v>
      </c>
      <c r="F1018" s="9" t="str">
        <f>IFERROR(__xludf.DUMMYFUNCTION("""COMPUTED_VALUE"""),"Br")</f>
        <v>Br</v>
      </c>
      <c r="G1018" s="9" t="str">
        <f>IFERROR(__xludf.DUMMYFUNCTION("""COMPUTED_VALUE"""),"F")</f>
        <v>F</v>
      </c>
      <c r="H1018" s="9" t="str">
        <f>IFERROR(__xludf.DUMMYFUNCTION("""COMPUTED_VALUE"""),"FGM")</f>
        <v>FGM</v>
      </c>
      <c r="I1018" s="9" t="str">
        <f>IFERROR(__xludf.DUMMYFUNCTION("""COMPUTED_VALUE"""),"Tel")</f>
        <v>Tel</v>
      </c>
      <c r="J1018" s="9" t="str">
        <f>IFERROR(__xludf.DUMMYFUNCTION("""COMPUTED_VALUE"""),"Cx")</f>
        <v>Cx</v>
      </c>
      <c r="K1018" s="9" t="str">
        <f>IFERROR(__xludf.DUMMYFUNCTION("""COMPUTED_VALUE"""),"NCx")</f>
        <v>NCx</v>
      </c>
      <c r="L1018" s="9" t="str">
        <f>IFERROR(__xludf.DUMMYFUNCTION("""COMPUTED_VALUE"""),"PCx")</f>
        <v>PCx</v>
      </c>
      <c r="M1018" s="9" t="str">
        <f>IFERROR(__xludf.DUMMYFUNCTION("""COMPUTED_VALUE"""),"PoPC")</f>
        <v>PoPC</v>
      </c>
      <c r="N1018" s="9" t="str">
        <f>IFERROR(__xludf.DUMMYFUNCTION("""COMPUTED_VALUE"""),"SPC")</f>
        <v>SPC</v>
      </c>
      <c r="O1018" s="9" t="str">
        <f>IFERROR(__xludf.DUMMYFUNCTION("""COMPUTED_VALUE"""),"A5")</f>
        <v>A5</v>
      </c>
      <c r="P1018" s="9" t="str">
        <f>IFERROR(__xludf.DUMMYFUNCTION("""COMPUTED_VALUE"""),"A5m")</f>
        <v>A5m</v>
      </c>
      <c r="Q1018" s="9" t="str">
        <f>IFERROR(__xludf.DUMMYFUNCTION("""COMPUTED_VALUE"""),"A5m1")</f>
        <v>A5m1</v>
      </c>
      <c r="R1018" s="9"/>
      <c r="S1018" s="42"/>
      <c r="T1018" s="42"/>
      <c r="U1018" s="42"/>
      <c r="V1018" s="42"/>
      <c r="W1018" s="42"/>
      <c r="X1018" s="42"/>
      <c r="Y1018" s="42"/>
      <c r="Z1018" s="42"/>
      <c r="AA1018" s="42"/>
      <c r="AB1018" s="42" t="str">
        <f>IFERROR(__xludf.DUMMYFUNCTION("""COMPUTED_VALUE"""),"allen institute")</f>
        <v>allen institute</v>
      </c>
      <c r="AC1018" s="42" t="str">
        <f>IFERROR(__xludf.DUMMYFUNCTION("""COMPUTED_VALUE"""),"DHBA")</f>
        <v>DHBA</v>
      </c>
      <c r="AD1018" s="42"/>
      <c r="AE1018" s="42"/>
      <c r="AF1018" s="9"/>
      <c r="AG1018" s="9"/>
      <c r="AH1018" s="42"/>
      <c r="AI1018" s="42"/>
      <c r="AJ1018" s="42"/>
      <c r="AK1018" s="42"/>
      <c r="AL1018" s="42"/>
      <c r="AM1018" s="42"/>
      <c r="AN1018" s="42"/>
      <c r="AO1018" s="63" t="str">
        <f>IFERROR(__xludf.DUMMYFUNCTION("IF(ISBLANK(A1018),,IF(ISBLANK(S1018), A1018&amp;"";"", TEXTJOIN(CHAR(10), TRUE, A1018&amp;"";"", ARRAYFORMULA(VLOOKUP(SPLIT(S1018, "";"" &amp; CHAR(10)), $A:$AO, 41, FALSE)))))"),"A5m1;")</f>
        <v>A5m1;</v>
      </c>
      <c r="AP1018" s="89"/>
    </row>
    <row r="1019">
      <c r="A1019" s="151" t="str">
        <f>IFERROR(__xludf.DUMMYFUNCTION("""COMPUTED_VALUE"""),"A5m2")</f>
        <v>A5m2</v>
      </c>
      <c r="B1019" s="42" t="str">
        <f>IFERROR(__xludf.DUMMYFUNCTION("""COMPUTED_VALUE"""),"DHBA")</f>
        <v>DHBA</v>
      </c>
      <c r="C1019" s="42" t="str">
        <f>IFERROR(__xludf.DUMMYFUNCTION("""COMPUTED_VALUE"""),"layer II of area 5m")</f>
        <v>layer II of area 5m</v>
      </c>
      <c r="D1019" s="42">
        <f>IFERROR(__xludf.DUMMYFUNCTION("""COMPUTED_VALUE"""),962.0)</f>
        <v>962</v>
      </c>
      <c r="E1019" s="39" t="str">
        <f>IFERROR(__xludf.DUMMYFUNCTION("""COMPUTED_VALUE"""),"layer II of area 5m")</f>
        <v>layer II of area 5m</v>
      </c>
      <c r="F1019" s="9" t="str">
        <f>IFERROR(__xludf.DUMMYFUNCTION("""COMPUTED_VALUE"""),"Br")</f>
        <v>Br</v>
      </c>
      <c r="G1019" s="9" t="str">
        <f>IFERROR(__xludf.DUMMYFUNCTION("""COMPUTED_VALUE"""),"F")</f>
        <v>F</v>
      </c>
      <c r="H1019" s="9" t="str">
        <f>IFERROR(__xludf.DUMMYFUNCTION("""COMPUTED_VALUE"""),"FGM")</f>
        <v>FGM</v>
      </c>
      <c r="I1019" s="9" t="str">
        <f>IFERROR(__xludf.DUMMYFUNCTION("""COMPUTED_VALUE"""),"Tel")</f>
        <v>Tel</v>
      </c>
      <c r="J1019" s="9" t="str">
        <f>IFERROR(__xludf.DUMMYFUNCTION("""COMPUTED_VALUE"""),"Cx")</f>
        <v>Cx</v>
      </c>
      <c r="K1019" s="9" t="str">
        <f>IFERROR(__xludf.DUMMYFUNCTION("""COMPUTED_VALUE"""),"NCx")</f>
        <v>NCx</v>
      </c>
      <c r="L1019" s="9" t="str">
        <f>IFERROR(__xludf.DUMMYFUNCTION("""COMPUTED_VALUE"""),"PCx")</f>
        <v>PCx</v>
      </c>
      <c r="M1019" s="9" t="str">
        <f>IFERROR(__xludf.DUMMYFUNCTION("""COMPUTED_VALUE"""),"PoPC")</f>
        <v>PoPC</v>
      </c>
      <c r="N1019" s="9" t="str">
        <f>IFERROR(__xludf.DUMMYFUNCTION("""COMPUTED_VALUE"""),"SPC")</f>
        <v>SPC</v>
      </c>
      <c r="O1019" s="9" t="str">
        <f>IFERROR(__xludf.DUMMYFUNCTION("""COMPUTED_VALUE"""),"A5")</f>
        <v>A5</v>
      </c>
      <c r="P1019" s="9" t="str">
        <f>IFERROR(__xludf.DUMMYFUNCTION("""COMPUTED_VALUE"""),"A5m")</f>
        <v>A5m</v>
      </c>
      <c r="Q1019" s="9" t="str">
        <f>IFERROR(__xludf.DUMMYFUNCTION("""COMPUTED_VALUE"""),"A5m2")</f>
        <v>A5m2</v>
      </c>
      <c r="R1019" s="9"/>
      <c r="S1019" s="42"/>
      <c r="T1019" s="42"/>
      <c r="U1019" s="42"/>
      <c r="V1019" s="42"/>
      <c r="W1019" s="42"/>
      <c r="X1019" s="42"/>
      <c r="Y1019" s="42"/>
      <c r="Z1019" s="42"/>
      <c r="AA1019" s="42"/>
      <c r="AB1019" s="42" t="str">
        <f>IFERROR(__xludf.DUMMYFUNCTION("""COMPUTED_VALUE"""),"allen institute")</f>
        <v>allen institute</v>
      </c>
      <c r="AC1019" s="42" t="str">
        <f>IFERROR(__xludf.DUMMYFUNCTION("""COMPUTED_VALUE"""),"DHBA")</f>
        <v>DHBA</v>
      </c>
      <c r="AD1019" s="42"/>
      <c r="AE1019" s="42"/>
      <c r="AF1019" s="9"/>
      <c r="AG1019" s="9"/>
      <c r="AH1019" s="42"/>
      <c r="AI1019" s="42"/>
      <c r="AJ1019" s="42"/>
      <c r="AK1019" s="42"/>
      <c r="AL1019" s="42"/>
      <c r="AM1019" s="42"/>
      <c r="AN1019" s="42"/>
      <c r="AO1019" s="63" t="str">
        <f>IFERROR(__xludf.DUMMYFUNCTION("IF(ISBLANK(A1019),,IF(ISBLANK(S1019), A1019&amp;"";"", TEXTJOIN(CHAR(10), TRUE, A1019&amp;"";"", ARRAYFORMULA(VLOOKUP(SPLIT(S1019, "";"" &amp; CHAR(10)), $A:$AO, 41, FALSE)))))"),"A5m2;")</f>
        <v>A5m2;</v>
      </c>
      <c r="AP1019" s="89"/>
    </row>
    <row r="1020">
      <c r="A1020" s="151" t="str">
        <f>IFERROR(__xludf.DUMMYFUNCTION("""COMPUTED_VALUE"""),"A5m3")</f>
        <v>A5m3</v>
      </c>
      <c r="B1020" s="42" t="str">
        <f>IFERROR(__xludf.DUMMYFUNCTION("""COMPUTED_VALUE"""),"DHBA")</f>
        <v>DHBA</v>
      </c>
      <c r="C1020" s="42" t="str">
        <f>IFERROR(__xludf.DUMMYFUNCTION("""COMPUTED_VALUE"""),"layer III of area 5m")</f>
        <v>layer III of area 5m</v>
      </c>
      <c r="D1020" s="42">
        <f>IFERROR(__xludf.DUMMYFUNCTION("""COMPUTED_VALUE"""),963.0)</f>
        <v>963</v>
      </c>
      <c r="E1020" s="39" t="str">
        <f>IFERROR(__xludf.DUMMYFUNCTION("""COMPUTED_VALUE"""),"layer III of area 5m")</f>
        <v>layer III of area 5m</v>
      </c>
      <c r="F1020" s="9" t="str">
        <f>IFERROR(__xludf.DUMMYFUNCTION("""COMPUTED_VALUE"""),"Br")</f>
        <v>Br</v>
      </c>
      <c r="G1020" s="9" t="str">
        <f>IFERROR(__xludf.DUMMYFUNCTION("""COMPUTED_VALUE"""),"F")</f>
        <v>F</v>
      </c>
      <c r="H1020" s="9" t="str">
        <f>IFERROR(__xludf.DUMMYFUNCTION("""COMPUTED_VALUE"""),"FGM")</f>
        <v>FGM</v>
      </c>
      <c r="I1020" s="9" t="str">
        <f>IFERROR(__xludf.DUMMYFUNCTION("""COMPUTED_VALUE"""),"Tel")</f>
        <v>Tel</v>
      </c>
      <c r="J1020" s="9" t="str">
        <f>IFERROR(__xludf.DUMMYFUNCTION("""COMPUTED_VALUE"""),"Cx")</f>
        <v>Cx</v>
      </c>
      <c r="K1020" s="9" t="str">
        <f>IFERROR(__xludf.DUMMYFUNCTION("""COMPUTED_VALUE"""),"NCx")</f>
        <v>NCx</v>
      </c>
      <c r="L1020" s="9" t="str">
        <f>IFERROR(__xludf.DUMMYFUNCTION("""COMPUTED_VALUE"""),"PCx")</f>
        <v>PCx</v>
      </c>
      <c r="M1020" s="9" t="str">
        <f>IFERROR(__xludf.DUMMYFUNCTION("""COMPUTED_VALUE"""),"PoPC")</f>
        <v>PoPC</v>
      </c>
      <c r="N1020" s="9" t="str">
        <f>IFERROR(__xludf.DUMMYFUNCTION("""COMPUTED_VALUE"""),"SPC")</f>
        <v>SPC</v>
      </c>
      <c r="O1020" s="9" t="str">
        <f>IFERROR(__xludf.DUMMYFUNCTION("""COMPUTED_VALUE"""),"A5")</f>
        <v>A5</v>
      </c>
      <c r="P1020" s="9" t="str">
        <f>IFERROR(__xludf.DUMMYFUNCTION("""COMPUTED_VALUE"""),"A5m")</f>
        <v>A5m</v>
      </c>
      <c r="Q1020" s="9" t="str">
        <f>IFERROR(__xludf.DUMMYFUNCTION("""COMPUTED_VALUE"""),"A5m3")</f>
        <v>A5m3</v>
      </c>
      <c r="R1020" s="9"/>
      <c r="S1020" s="42"/>
      <c r="T1020" s="42"/>
      <c r="U1020" s="42"/>
      <c r="V1020" s="42"/>
      <c r="W1020" s="42"/>
      <c r="X1020" s="42"/>
      <c r="Y1020" s="42"/>
      <c r="Z1020" s="42"/>
      <c r="AA1020" s="42"/>
      <c r="AB1020" s="42" t="str">
        <f>IFERROR(__xludf.DUMMYFUNCTION("""COMPUTED_VALUE"""),"allen institute")</f>
        <v>allen institute</v>
      </c>
      <c r="AC1020" s="42" t="str">
        <f>IFERROR(__xludf.DUMMYFUNCTION("""COMPUTED_VALUE"""),"DHBA")</f>
        <v>DHBA</v>
      </c>
      <c r="AD1020" s="42"/>
      <c r="AE1020" s="42"/>
      <c r="AF1020" s="9"/>
      <c r="AG1020" s="9"/>
      <c r="AH1020" s="42"/>
      <c r="AI1020" s="42"/>
      <c r="AJ1020" s="42"/>
      <c r="AK1020" s="42"/>
      <c r="AL1020" s="42"/>
      <c r="AM1020" s="42"/>
      <c r="AN1020" s="42"/>
      <c r="AO1020" s="63" t="str">
        <f>IFERROR(__xludf.DUMMYFUNCTION("IF(ISBLANK(A1020),,IF(ISBLANK(S1020), A1020&amp;"";"", TEXTJOIN(CHAR(10), TRUE, A1020&amp;"";"", ARRAYFORMULA(VLOOKUP(SPLIT(S1020, "";"" &amp; CHAR(10)), $A:$AO, 41, FALSE)))))"),"A5m3;")</f>
        <v>A5m3;</v>
      </c>
      <c r="AP1020" s="89"/>
    </row>
    <row r="1021">
      <c r="A1021" s="151" t="str">
        <f>IFERROR(__xludf.DUMMYFUNCTION("""COMPUTED_VALUE"""),"A5m4")</f>
        <v>A5m4</v>
      </c>
      <c r="B1021" s="42" t="str">
        <f>IFERROR(__xludf.DUMMYFUNCTION("""COMPUTED_VALUE"""),"DHBA")</f>
        <v>DHBA</v>
      </c>
      <c r="C1021" s="42" t="str">
        <f>IFERROR(__xludf.DUMMYFUNCTION("""COMPUTED_VALUE"""),"layer IV of area 5m")</f>
        <v>layer IV of area 5m</v>
      </c>
      <c r="D1021" s="42">
        <f>IFERROR(__xludf.DUMMYFUNCTION("""COMPUTED_VALUE"""),964.0)</f>
        <v>964</v>
      </c>
      <c r="E1021" s="39" t="str">
        <f>IFERROR(__xludf.DUMMYFUNCTION("""COMPUTED_VALUE"""),"layer IV of area 5m")</f>
        <v>layer IV of area 5m</v>
      </c>
      <c r="F1021" s="9" t="str">
        <f>IFERROR(__xludf.DUMMYFUNCTION("""COMPUTED_VALUE"""),"Br")</f>
        <v>Br</v>
      </c>
      <c r="G1021" s="9" t="str">
        <f>IFERROR(__xludf.DUMMYFUNCTION("""COMPUTED_VALUE"""),"F")</f>
        <v>F</v>
      </c>
      <c r="H1021" s="9" t="str">
        <f>IFERROR(__xludf.DUMMYFUNCTION("""COMPUTED_VALUE"""),"FGM")</f>
        <v>FGM</v>
      </c>
      <c r="I1021" s="9" t="str">
        <f>IFERROR(__xludf.DUMMYFUNCTION("""COMPUTED_VALUE"""),"Tel")</f>
        <v>Tel</v>
      </c>
      <c r="J1021" s="9" t="str">
        <f>IFERROR(__xludf.DUMMYFUNCTION("""COMPUTED_VALUE"""),"Cx")</f>
        <v>Cx</v>
      </c>
      <c r="K1021" s="9" t="str">
        <f>IFERROR(__xludf.DUMMYFUNCTION("""COMPUTED_VALUE"""),"NCx")</f>
        <v>NCx</v>
      </c>
      <c r="L1021" s="9" t="str">
        <f>IFERROR(__xludf.DUMMYFUNCTION("""COMPUTED_VALUE"""),"PCx")</f>
        <v>PCx</v>
      </c>
      <c r="M1021" s="9" t="str">
        <f>IFERROR(__xludf.DUMMYFUNCTION("""COMPUTED_VALUE"""),"PoPC")</f>
        <v>PoPC</v>
      </c>
      <c r="N1021" s="9" t="str">
        <f>IFERROR(__xludf.DUMMYFUNCTION("""COMPUTED_VALUE"""),"SPC")</f>
        <v>SPC</v>
      </c>
      <c r="O1021" s="9" t="str">
        <f>IFERROR(__xludf.DUMMYFUNCTION("""COMPUTED_VALUE"""),"A5")</f>
        <v>A5</v>
      </c>
      <c r="P1021" s="9" t="str">
        <f>IFERROR(__xludf.DUMMYFUNCTION("""COMPUTED_VALUE"""),"A5m")</f>
        <v>A5m</v>
      </c>
      <c r="Q1021" s="9" t="str">
        <f>IFERROR(__xludf.DUMMYFUNCTION("""COMPUTED_VALUE"""),"A5m4")</f>
        <v>A5m4</v>
      </c>
      <c r="R1021" s="9"/>
      <c r="S1021" s="42"/>
      <c r="T1021" s="42"/>
      <c r="U1021" s="42"/>
      <c r="V1021" s="42"/>
      <c r="W1021" s="42"/>
      <c r="X1021" s="42"/>
      <c r="Y1021" s="42"/>
      <c r="Z1021" s="42"/>
      <c r="AA1021" s="42"/>
      <c r="AB1021" s="42" t="str">
        <f>IFERROR(__xludf.DUMMYFUNCTION("""COMPUTED_VALUE"""),"allen institute")</f>
        <v>allen institute</v>
      </c>
      <c r="AC1021" s="42" t="str">
        <f>IFERROR(__xludf.DUMMYFUNCTION("""COMPUTED_VALUE"""),"DHBA")</f>
        <v>DHBA</v>
      </c>
      <c r="AD1021" s="42"/>
      <c r="AE1021" s="42"/>
      <c r="AF1021" s="9"/>
      <c r="AG1021" s="9"/>
      <c r="AH1021" s="42"/>
      <c r="AI1021" s="42"/>
      <c r="AJ1021" s="42"/>
      <c r="AK1021" s="42"/>
      <c r="AL1021" s="42"/>
      <c r="AM1021" s="42"/>
      <c r="AN1021" s="42"/>
      <c r="AO1021" s="63" t="str">
        <f>IFERROR(__xludf.DUMMYFUNCTION("IF(ISBLANK(A1021),,IF(ISBLANK(S1021), A1021&amp;"";"", TEXTJOIN(CHAR(10), TRUE, A1021&amp;"";"", ARRAYFORMULA(VLOOKUP(SPLIT(S1021, "";"" &amp; CHAR(10)), $A:$AO, 41, FALSE)))))"),"A5m4;")</f>
        <v>A5m4;</v>
      </c>
      <c r="AP1021" s="89"/>
    </row>
    <row r="1022">
      <c r="A1022" s="151" t="str">
        <f>IFERROR(__xludf.DUMMYFUNCTION("""COMPUTED_VALUE"""),"A5m5")</f>
        <v>A5m5</v>
      </c>
      <c r="B1022" s="42" t="str">
        <f>IFERROR(__xludf.DUMMYFUNCTION("""COMPUTED_VALUE"""),"DHBA")</f>
        <v>DHBA</v>
      </c>
      <c r="C1022" s="42" t="str">
        <f>IFERROR(__xludf.DUMMYFUNCTION("""COMPUTED_VALUE"""),"layer V of area 5m")</f>
        <v>layer V of area 5m</v>
      </c>
      <c r="D1022" s="42">
        <f>IFERROR(__xludf.DUMMYFUNCTION("""COMPUTED_VALUE"""),965.0)</f>
        <v>965</v>
      </c>
      <c r="E1022" s="39" t="str">
        <f>IFERROR(__xludf.DUMMYFUNCTION("""COMPUTED_VALUE"""),"layer V of area 5m")</f>
        <v>layer V of area 5m</v>
      </c>
      <c r="F1022" s="9" t="str">
        <f>IFERROR(__xludf.DUMMYFUNCTION("""COMPUTED_VALUE"""),"Br")</f>
        <v>Br</v>
      </c>
      <c r="G1022" s="9" t="str">
        <f>IFERROR(__xludf.DUMMYFUNCTION("""COMPUTED_VALUE"""),"F")</f>
        <v>F</v>
      </c>
      <c r="H1022" s="9" t="str">
        <f>IFERROR(__xludf.DUMMYFUNCTION("""COMPUTED_VALUE"""),"FGM")</f>
        <v>FGM</v>
      </c>
      <c r="I1022" s="9" t="str">
        <f>IFERROR(__xludf.DUMMYFUNCTION("""COMPUTED_VALUE"""),"Tel")</f>
        <v>Tel</v>
      </c>
      <c r="J1022" s="9" t="str">
        <f>IFERROR(__xludf.DUMMYFUNCTION("""COMPUTED_VALUE"""),"Cx")</f>
        <v>Cx</v>
      </c>
      <c r="K1022" s="9" t="str">
        <f>IFERROR(__xludf.DUMMYFUNCTION("""COMPUTED_VALUE"""),"NCx")</f>
        <v>NCx</v>
      </c>
      <c r="L1022" s="9" t="str">
        <f>IFERROR(__xludf.DUMMYFUNCTION("""COMPUTED_VALUE"""),"PCx")</f>
        <v>PCx</v>
      </c>
      <c r="M1022" s="9" t="str">
        <f>IFERROR(__xludf.DUMMYFUNCTION("""COMPUTED_VALUE"""),"PoPC")</f>
        <v>PoPC</v>
      </c>
      <c r="N1022" s="9" t="str">
        <f>IFERROR(__xludf.DUMMYFUNCTION("""COMPUTED_VALUE"""),"SPC")</f>
        <v>SPC</v>
      </c>
      <c r="O1022" s="9" t="str">
        <f>IFERROR(__xludf.DUMMYFUNCTION("""COMPUTED_VALUE"""),"A5")</f>
        <v>A5</v>
      </c>
      <c r="P1022" s="9" t="str">
        <f>IFERROR(__xludf.DUMMYFUNCTION("""COMPUTED_VALUE"""),"A5m")</f>
        <v>A5m</v>
      </c>
      <c r="Q1022" s="9" t="str">
        <f>IFERROR(__xludf.DUMMYFUNCTION("""COMPUTED_VALUE"""),"A5m5")</f>
        <v>A5m5</v>
      </c>
      <c r="R1022" s="9"/>
      <c r="S1022" s="42"/>
      <c r="T1022" s="42"/>
      <c r="U1022" s="42"/>
      <c r="V1022" s="42"/>
      <c r="W1022" s="42"/>
      <c r="X1022" s="42"/>
      <c r="Y1022" s="42"/>
      <c r="Z1022" s="42"/>
      <c r="AA1022" s="42"/>
      <c r="AB1022" s="42" t="str">
        <f>IFERROR(__xludf.DUMMYFUNCTION("""COMPUTED_VALUE"""),"allen institute")</f>
        <v>allen institute</v>
      </c>
      <c r="AC1022" s="42" t="str">
        <f>IFERROR(__xludf.DUMMYFUNCTION("""COMPUTED_VALUE"""),"DHBA")</f>
        <v>DHBA</v>
      </c>
      <c r="AD1022" s="42"/>
      <c r="AE1022" s="42"/>
      <c r="AF1022" s="9"/>
      <c r="AG1022" s="9"/>
      <c r="AH1022" s="42"/>
      <c r="AI1022" s="42"/>
      <c r="AJ1022" s="42"/>
      <c r="AK1022" s="42"/>
      <c r="AL1022" s="42"/>
      <c r="AM1022" s="42"/>
      <c r="AN1022" s="42"/>
      <c r="AO1022" s="63" t="str">
        <f>IFERROR(__xludf.DUMMYFUNCTION("IF(ISBLANK(A1022),,IF(ISBLANK(S1022), A1022&amp;"";"", TEXTJOIN(CHAR(10), TRUE, A1022&amp;"";"", ARRAYFORMULA(VLOOKUP(SPLIT(S1022, "";"" &amp; CHAR(10)), $A:$AO, 41, FALSE)))))"),"A5m5;")</f>
        <v>A5m5;</v>
      </c>
      <c r="AP1022" s="89"/>
    </row>
    <row r="1023">
      <c r="A1023" s="151" t="str">
        <f>IFERROR(__xludf.DUMMYFUNCTION("""COMPUTED_VALUE"""),"A5m6")</f>
        <v>A5m6</v>
      </c>
      <c r="B1023" s="42" t="str">
        <f>IFERROR(__xludf.DUMMYFUNCTION("""COMPUTED_VALUE"""),"DHBA")</f>
        <v>DHBA</v>
      </c>
      <c r="C1023" s="42" t="str">
        <f>IFERROR(__xludf.DUMMYFUNCTION("""COMPUTED_VALUE"""),"layer VI of area 5m")</f>
        <v>layer VI of area 5m</v>
      </c>
      <c r="D1023" s="42">
        <f>IFERROR(__xludf.DUMMYFUNCTION("""COMPUTED_VALUE"""),966.0)</f>
        <v>966</v>
      </c>
      <c r="E1023" s="39" t="str">
        <f>IFERROR(__xludf.DUMMYFUNCTION("""COMPUTED_VALUE"""),"layer VI of area 5m")</f>
        <v>layer VI of area 5m</v>
      </c>
      <c r="F1023" s="9" t="str">
        <f>IFERROR(__xludf.DUMMYFUNCTION("""COMPUTED_VALUE"""),"Br")</f>
        <v>Br</v>
      </c>
      <c r="G1023" s="9" t="str">
        <f>IFERROR(__xludf.DUMMYFUNCTION("""COMPUTED_VALUE"""),"F")</f>
        <v>F</v>
      </c>
      <c r="H1023" s="9" t="str">
        <f>IFERROR(__xludf.DUMMYFUNCTION("""COMPUTED_VALUE"""),"FGM")</f>
        <v>FGM</v>
      </c>
      <c r="I1023" s="9" t="str">
        <f>IFERROR(__xludf.DUMMYFUNCTION("""COMPUTED_VALUE"""),"Tel")</f>
        <v>Tel</v>
      </c>
      <c r="J1023" s="9" t="str">
        <f>IFERROR(__xludf.DUMMYFUNCTION("""COMPUTED_VALUE"""),"Cx")</f>
        <v>Cx</v>
      </c>
      <c r="K1023" s="9" t="str">
        <f>IFERROR(__xludf.DUMMYFUNCTION("""COMPUTED_VALUE"""),"NCx")</f>
        <v>NCx</v>
      </c>
      <c r="L1023" s="9" t="str">
        <f>IFERROR(__xludf.DUMMYFUNCTION("""COMPUTED_VALUE"""),"PCx")</f>
        <v>PCx</v>
      </c>
      <c r="M1023" s="9" t="str">
        <f>IFERROR(__xludf.DUMMYFUNCTION("""COMPUTED_VALUE"""),"PoPC")</f>
        <v>PoPC</v>
      </c>
      <c r="N1023" s="9" t="str">
        <f>IFERROR(__xludf.DUMMYFUNCTION("""COMPUTED_VALUE"""),"SPC")</f>
        <v>SPC</v>
      </c>
      <c r="O1023" s="9" t="str">
        <f>IFERROR(__xludf.DUMMYFUNCTION("""COMPUTED_VALUE"""),"A5")</f>
        <v>A5</v>
      </c>
      <c r="P1023" s="9" t="str">
        <f>IFERROR(__xludf.DUMMYFUNCTION("""COMPUTED_VALUE"""),"A5m")</f>
        <v>A5m</v>
      </c>
      <c r="Q1023" s="9" t="str">
        <f>IFERROR(__xludf.DUMMYFUNCTION("""COMPUTED_VALUE"""),"A5m6")</f>
        <v>A5m6</v>
      </c>
      <c r="R1023" s="9"/>
      <c r="S1023" s="42"/>
      <c r="T1023" s="42"/>
      <c r="U1023" s="42"/>
      <c r="V1023" s="42"/>
      <c r="W1023" s="42"/>
      <c r="X1023" s="42"/>
      <c r="Y1023" s="42"/>
      <c r="Z1023" s="42"/>
      <c r="AA1023" s="42"/>
      <c r="AB1023" s="42" t="str">
        <f>IFERROR(__xludf.DUMMYFUNCTION("""COMPUTED_VALUE"""),"allen institute")</f>
        <v>allen institute</v>
      </c>
      <c r="AC1023" s="42" t="str">
        <f>IFERROR(__xludf.DUMMYFUNCTION("""COMPUTED_VALUE"""),"DHBA")</f>
        <v>DHBA</v>
      </c>
      <c r="AD1023" s="42"/>
      <c r="AE1023" s="42"/>
      <c r="AF1023" s="9"/>
      <c r="AG1023" s="9"/>
      <c r="AH1023" s="42"/>
      <c r="AI1023" s="42"/>
      <c r="AJ1023" s="42"/>
      <c r="AK1023" s="42"/>
      <c r="AL1023" s="42"/>
      <c r="AM1023" s="42"/>
      <c r="AN1023" s="42"/>
      <c r="AO1023" s="63" t="str">
        <f>IFERROR(__xludf.DUMMYFUNCTION("IF(ISBLANK(A1023),,IF(ISBLANK(S1023), A1023&amp;"";"", TEXTJOIN(CHAR(10), TRUE, A1023&amp;"";"", ARRAYFORMULA(VLOOKUP(SPLIT(S1023, "";"" &amp; CHAR(10)), $A:$AO, 41, FALSE)))))"),"A5m6;")</f>
        <v>A5m6;</v>
      </c>
      <c r="AP1023" s="89"/>
    </row>
    <row r="1024">
      <c r="A1024" s="151" t="str">
        <f>IFERROR(__xludf.DUMMYFUNCTION("""COMPUTED_VALUE"""),"A7")</f>
        <v>A7</v>
      </c>
      <c r="B1024" s="42" t="str">
        <f>IFERROR(__xludf.DUMMYFUNCTION("""COMPUTED_VALUE"""),"DHBA")</f>
        <v>DHBA</v>
      </c>
      <c r="C1024" s="42" t="str">
        <f>IFERROR(__xludf.DUMMYFUNCTION("""COMPUTED_VALUE"""),"rostal deivision of SPC (area 7)")</f>
        <v>rostal deivision of SPC (area 7)</v>
      </c>
      <c r="D1024" s="42">
        <f>IFERROR(__xludf.DUMMYFUNCTION("""COMPUTED_VALUE"""),967.0)</f>
        <v>967</v>
      </c>
      <c r="E1024" s="39" t="str">
        <f>IFERROR(__xludf.DUMMYFUNCTION("""COMPUTED_VALUE"""),"caudal division of SPC (area 7)")</f>
        <v>caudal division of SPC (area 7)</v>
      </c>
      <c r="F1024" s="9" t="str">
        <f>IFERROR(__xludf.DUMMYFUNCTION("""COMPUTED_VALUE"""),"Br")</f>
        <v>Br</v>
      </c>
      <c r="G1024" s="9" t="str">
        <f>IFERROR(__xludf.DUMMYFUNCTION("""COMPUTED_VALUE"""),"F")</f>
        <v>F</v>
      </c>
      <c r="H1024" s="9" t="str">
        <f>IFERROR(__xludf.DUMMYFUNCTION("""COMPUTED_VALUE"""),"FGM")</f>
        <v>FGM</v>
      </c>
      <c r="I1024" s="9" t="str">
        <f>IFERROR(__xludf.DUMMYFUNCTION("""COMPUTED_VALUE"""),"Tel")</f>
        <v>Tel</v>
      </c>
      <c r="J1024" s="9" t="str">
        <f>IFERROR(__xludf.DUMMYFUNCTION("""COMPUTED_VALUE"""),"Cx")</f>
        <v>Cx</v>
      </c>
      <c r="K1024" s="9" t="str">
        <f>IFERROR(__xludf.DUMMYFUNCTION("""COMPUTED_VALUE"""),"NCx")</f>
        <v>NCx</v>
      </c>
      <c r="L1024" s="9" t="str">
        <f>IFERROR(__xludf.DUMMYFUNCTION("""COMPUTED_VALUE"""),"PCx")</f>
        <v>PCx</v>
      </c>
      <c r="M1024" s="9" t="str">
        <f>IFERROR(__xludf.DUMMYFUNCTION("""COMPUTED_VALUE"""),"PoPC")</f>
        <v>PoPC</v>
      </c>
      <c r="N1024" s="9" t="str">
        <f>IFERROR(__xludf.DUMMYFUNCTION("""COMPUTED_VALUE"""),"SPC")</f>
        <v>SPC</v>
      </c>
      <c r="O1024" s="9" t="str">
        <f>IFERROR(__xludf.DUMMYFUNCTION("""COMPUTED_VALUE"""),"A7")</f>
        <v>A7</v>
      </c>
      <c r="P1024" s="9"/>
      <c r="Q1024" s="9"/>
      <c r="R1024" s="9"/>
      <c r="S1024" s="42" t="str">
        <f>IFERROR(__xludf.DUMMYFUNCTION("""COMPUTED_VALUE"""),"A7r;
A7m;
A7c;
A7pc;
A7ip")</f>
        <v>A7r;
A7m;
A7c;
A7pc;
A7ip</v>
      </c>
      <c r="T1024" s="42" t="str">
        <f>IFERROR(__xludf.DUMMYFUNCTION("""COMPUTED_VALUE"""),"NCx")</f>
        <v>NCx</v>
      </c>
      <c r="U1024" s="42" t="b">
        <f>IFERROR(__xludf.DUMMYFUNCTION("""COMPUTED_VALUE"""),FALSE)</f>
        <v>0</v>
      </c>
      <c r="V1024" s="42"/>
      <c r="W1024" s="42"/>
      <c r="X1024" s="42"/>
      <c r="Y1024" s="42"/>
      <c r="Z1024" s="42"/>
      <c r="AA1024" s="42"/>
      <c r="AB1024" s="42" t="str">
        <f>IFERROR(__xludf.DUMMYFUNCTION("""COMPUTED_VALUE"""),"allen institute")</f>
        <v>allen institute</v>
      </c>
      <c r="AC1024" s="42" t="str">
        <f>IFERROR(__xludf.DUMMYFUNCTION("""COMPUTED_VALUE"""),"DHBA")</f>
        <v>DHBA</v>
      </c>
      <c r="AD1024" s="42"/>
      <c r="AE1024" s="42"/>
      <c r="AF1024" s="9"/>
      <c r="AG1024" s="9"/>
      <c r="AH1024" s="42"/>
      <c r="AI1024" s="42"/>
      <c r="AJ1024" s="42"/>
      <c r="AK1024" s="42"/>
      <c r="AL1024" s="42"/>
      <c r="AM1024" s="42"/>
      <c r="AN1024" s="42"/>
      <c r="AO1024" s="63" t="str">
        <f>IFERROR(__xludf.DUMMYFUNCTION("IF(ISBLANK(A1024),,IF(ISBLANK(S1024), A1024&amp;"";"", TEXTJOIN(CHAR(10), TRUE, A1024&amp;"";"", ARRAYFORMULA(VLOOKUP(SPLIT(S1024, "";"" &amp; CHAR(10)), $A:$AO, 41, FALSE)))))"),"A7;
A7r;
A7r1;
A7r2;
A7r3;
A7r4;
A7r5;
A7r6;
A7m;
A7m1;
A7m2;
A7m3;
A7m4;
A7m5;
A7m6;
A7c;
A7c1;
A7c2;
A7c3;
A7c4;
A7c5;
A7c6;
A7pc;
A7pc1;
A7pc2;
A7pc3;
A7pc4;
A7pc5;
A7pc6;
A7ip;
A7ipr;
A7ipr1;
A7ipr2;
A7ipr3;
A7ipr4;
A7ipr5;
A7ipr6;
A7ipc;
A7ipc1;
A7ip"&amp;"c2;
A7ipc3;
A7ipc4;
A7ipc5;
A7ipc6;")</f>
        <v>A7;
A7r;
A7r1;
A7r2;
A7r3;
A7r4;
A7r5;
A7r6;
A7m;
A7m1;
A7m2;
A7m3;
A7m4;
A7m5;
A7m6;
A7c;
A7c1;
A7c2;
A7c3;
A7c4;
A7c5;
A7c6;
A7pc;
A7pc1;
A7pc2;
A7pc3;
A7pc4;
A7pc5;
A7pc6;
A7ip;
A7ipr;
A7ipr1;
A7ipr2;
A7ipr3;
A7ipr4;
A7ipr5;
A7ipr6;
A7ipc;
A7ipc1;
A7ipc2;
A7ipc3;
A7ipc4;
A7ipc5;
A7ipc6;</v>
      </c>
      <c r="AP1024" s="89"/>
    </row>
    <row r="1025">
      <c r="A1025" s="151" t="str">
        <f>IFERROR(__xludf.DUMMYFUNCTION("""COMPUTED_VALUE"""),"A7r")</f>
        <v>A7r</v>
      </c>
      <c r="B1025" s="42" t="str">
        <f>IFERROR(__xludf.DUMMYFUNCTION("""COMPUTED_VALUE"""),"DHBA")</f>
        <v>DHBA</v>
      </c>
      <c r="C1025" s="42" t="str">
        <f>IFERROR(__xludf.DUMMYFUNCTION("""COMPUTED_VALUE"""),"rostral subdivision of area 7")</f>
        <v>rostral subdivision of area 7</v>
      </c>
      <c r="D1025" s="42">
        <f>IFERROR(__xludf.DUMMYFUNCTION("""COMPUTED_VALUE"""),968.0)</f>
        <v>968</v>
      </c>
      <c r="E1025" s="39" t="str">
        <f>IFERROR(__xludf.DUMMYFUNCTION("""COMPUTED_VALUE"""),"rostral subdivision of area 7")</f>
        <v>rostral subdivision of area 7</v>
      </c>
      <c r="F1025" s="9" t="str">
        <f>IFERROR(__xludf.DUMMYFUNCTION("""COMPUTED_VALUE"""),"Br")</f>
        <v>Br</v>
      </c>
      <c r="G1025" s="9" t="str">
        <f>IFERROR(__xludf.DUMMYFUNCTION("""COMPUTED_VALUE"""),"F")</f>
        <v>F</v>
      </c>
      <c r="H1025" s="9" t="str">
        <f>IFERROR(__xludf.DUMMYFUNCTION("""COMPUTED_VALUE"""),"FGM")</f>
        <v>FGM</v>
      </c>
      <c r="I1025" s="9" t="str">
        <f>IFERROR(__xludf.DUMMYFUNCTION("""COMPUTED_VALUE"""),"Tel")</f>
        <v>Tel</v>
      </c>
      <c r="J1025" s="9" t="str">
        <f>IFERROR(__xludf.DUMMYFUNCTION("""COMPUTED_VALUE"""),"Cx")</f>
        <v>Cx</v>
      </c>
      <c r="K1025" s="9" t="str">
        <f>IFERROR(__xludf.DUMMYFUNCTION("""COMPUTED_VALUE"""),"NCx")</f>
        <v>NCx</v>
      </c>
      <c r="L1025" s="9" t="str">
        <f>IFERROR(__xludf.DUMMYFUNCTION("""COMPUTED_VALUE"""),"PCx")</f>
        <v>PCx</v>
      </c>
      <c r="M1025" s="9" t="str">
        <f>IFERROR(__xludf.DUMMYFUNCTION("""COMPUTED_VALUE"""),"PoPC")</f>
        <v>PoPC</v>
      </c>
      <c r="N1025" s="9" t="str">
        <f>IFERROR(__xludf.DUMMYFUNCTION("""COMPUTED_VALUE"""),"SPC")</f>
        <v>SPC</v>
      </c>
      <c r="O1025" s="9" t="str">
        <f>IFERROR(__xludf.DUMMYFUNCTION("""COMPUTED_VALUE"""),"A7")</f>
        <v>A7</v>
      </c>
      <c r="P1025" s="9" t="str">
        <f>IFERROR(__xludf.DUMMYFUNCTION("""COMPUTED_VALUE"""),"A7r")</f>
        <v>A7r</v>
      </c>
      <c r="Q1025" s="9"/>
      <c r="R1025" s="9"/>
      <c r="S1025" s="42" t="str">
        <f>IFERROR(__xludf.DUMMYFUNCTION("""COMPUTED_VALUE"""),"A7r1;
A7r2;
A7r3;
A7r4;
A7r5;
A7r6")</f>
        <v>A7r1;
A7r2;
A7r3;
A7r4;
A7r5;
A7r6</v>
      </c>
      <c r="T1025" s="42"/>
      <c r="U1025" s="42" t="b">
        <f>IFERROR(__xludf.DUMMYFUNCTION("""COMPUTED_VALUE"""),FALSE)</f>
        <v>0</v>
      </c>
      <c r="V1025" s="42"/>
      <c r="W1025" s="42"/>
      <c r="X1025" s="42"/>
      <c r="Y1025" s="42"/>
      <c r="Z1025" s="42"/>
      <c r="AA1025" s="42"/>
      <c r="AB1025" s="42" t="str">
        <f>IFERROR(__xludf.DUMMYFUNCTION("""COMPUTED_VALUE"""),"allen institute")</f>
        <v>allen institute</v>
      </c>
      <c r="AC1025" s="42" t="str">
        <f>IFERROR(__xludf.DUMMYFUNCTION("""COMPUTED_VALUE"""),"DHBA")</f>
        <v>DHBA</v>
      </c>
      <c r="AD1025" s="42"/>
      <c r="AE1025" s="42"/>
      <c r="AF1025" s="9"/>
      <c r="AG1025" s="9"/>
      <c r="AH1025" s="42"/>
      <c r="AI1025" s="42"/>
      <c r="AJ1025" s="42"/>
      <c r="AK1025" s="42"/>
      <c r="AL1025" s="42"/>
      <c r="AM1025" s="42"/>
      <c r="AN1025" s="42"/>
      <c r="AO1025" s="63" t="str">
        <f>IFERROR(__xludf.DUMMYFUNCTION("IF(ISBLANK(A1025),,IF(ISBLANK(S1025), A1025&amp;"";"", TEXTJOIN(CHAR(10), TRUE, A1025&amp;"";"", ARRAYFORMULA(VLOOKUP(SPLIT(S1025, "";"" &amp; CHAR(10)), $A:$AO, 41, FALSE)))))"),"A7r;
A7r1;
A7r2;
A7r3;
A7r4;
A7r5;
A7r6;")</f>
        <v>A7r;
A7r1;
A7r2;
A7r3;
A7r4;
A7r5;
A7r6;</v>
      </c>
      <c r="AP1025" s="89"/>
    </row>
    <row r="1026">
      <c r="A1026" s="151" t="str">
        <f>IFERROR(__xludf.DUMMYFUNCTION("""COMPUTED_VALUE"""),"A7r1")</f>
        <v>A7r1</v>
      </c>
      <c r="B1026" s="42" t="str">
        <f>IFERROR(__xludf.DUMMYFUNCTION("""COMPUTED_VALUE"""),"DHBA")</f>
        <v>DHBA</v>
      </c>
      <c r="C1026" s="42" t="str">
        <f>IFERROR(__xludf.DUMMYFUNCTION("""COMPUTED_VALUE"""),"layer I of area 7r")</f>
        <v>layer I of area 7r</v>
      </c>
      <c r="D1026" s="42">
        <f>IFERROR(__xludf.DUMMYFUNCTION("""COMPUTED_VALUE"""),969.0)</f>
        <v>969</v>
      </c>
      <c r="E1026" s="39" t="str">
        <f>IFERROR(__xludf.DUMMYFUNCTION("""COMPUTED_VALUE"""),"layer I of area 7r")</f>
        <v>layer I of area 7r</v>
      </c>
      <c r="F1026" s="9" t="str">
        <f>IFERROR(__xludf.DUMMYFUNCTION("""COMPUTED_VALUE"""),"Br")</f>
        <v>Br</v>
      </c>
      <c r="G1026" s="9" t="str">
        <f>IFERROR(__xludf.DUMMYFUNCTION("""COMPUTED_VALUE"""),"F")</f>
        <v>F</v>
      </c>
      <c r="H1026" s="9" t="str">
        <f>IFERROR(__xludf.DUMMYFUNCTION("""COMPUTED_VALUE"""),"FGM")</f>
        <v>FGM</v>
      </c>
      <c r="I1026" s="9" t="str">
        <f>IFERROR(__xludf.DUMMYFUNCTION("""COMPUTED_VALUE"""),"Tel")</f>
        <v>Tel</v>
      </c>
      <c r="J1026" s="9" t="str">
        <f>IFERROR(__xludf.DUMMYFUNCTION("""COMPUTED_VALUE"""),"Cx")</f>
        <v>Cx</v>
      </c>
      <c r="K1026" s="9" t="str">
        <f>IFERROR(__xludf.DUMMYFUNCTION("""COMPUTED_VALUE"""),"NCx")</f>
        <v>NCx</v>
      </c>
      <c r="L1026" s="9" t="str">
        <f>IFERROR(__xludf.DUMMYFUNCTION("""COMPUTED_VALUE"""),"PCx")</f>
        <v>PCx</v>
      </c>
      <c r="M1026" s="9" t="str">
        <f>IFERROR(__xludf.DUMMYFUNCTION("""COMPUTED_VALUE"""),"PoPC")</f>
        <v>PoPC</v>
      </c>
      <c r="N1026" s="9" t="str">
        <f>IFERROR(__xludf.DUMMYFUNCTION("""COMPUTED_VALUE"""),"SPC")</f>
        <v>SPC</v>
      </c>
      <c r="O1026" s="9" t="str">
        <f>IFERROR(__xludf.DUMMYFUNCTION("""COMPUTED_VALUE"""),"A7")</f>
        <v>A7</v>
      </c>
      <c r="P1026" s="9" t="str">
        <f>IFERROR(__xludf.DUMMYFUNCTION("""COMPUTED_VALUE"""),"A7r")</f>
        <v>A7r</v>
      </c>
      <c r="Q1026" s="9" t="str">
        <f>IFERROR(__xludf.DUMMYFUNCTION("""COMPUTED_VALUE"""),"A7r1")</f>
        <v>A7r1</v>
      </c>
      <c r="R1026" s="9"/>
      <c r="S1026" s="42"/>
      <c r="T1026" s="42"/>
      <c r="U1026" s="42"/>
      <c r="V1026" s="42"/>
      <c r="W1026" s="42"/>
      <c r="X1026" s="42"/>
      <c r="Y1026" s="42"/>
      <c r="Z1026" s="42"/>
      <c r="AA1026" s="42"/>
      <c r="AB1026" s="42" t="str">
        <f>IFERROR(__xludf.DUMMYFUNCTION("""COMPUTED_VALUE"""),"allen institute")</f>
        <v>allen institute</v>
      </c>
      <c r="AC1026" s="42" t="str">
        <f>IFERROR(__xludf.DUMMYFUNCTION("""COMPUTED_VALUE"""),"DHBA")</f>
        <v>DHBA</v>
      </c>
      <c r="AD1026" s="42"/>
      <c r="AE1026" s="42"/>
      <c r="AF1026" s="9"/>
      <c r="AG1026" s="9"/>
      <c r="AH1026" s="42"/>
      <c r="AI1026" s="42"/>
      <c r="AJ1026" s="42"/>
      <c r="AK1026" s="42"/>
      <c r="AL1026" s="42"/>
      <c r="AM1026" s="42"/>
      <c r="AN1026" s="42"/>
      <c r="AO1026" s="63" t="str">
        <f>IFERROR(__xludf.DUMMYFUNCTION("IF(ISBLANK(A1026),,IF(ISBLANK(S1026), A1026&amp;"";"", TEXTJOIN(CHAR(10), TRUE, A1026&amp;"";"", ARRAYFORMULA(VLOOKUP(SPLIT(S1026, "";"" &amp; CHAR(10)), $A:$AO, 41, FALSE)))))"),"A7r1;")</f>
        <v>A7r1;</v>
      </c>
      <c r="AP1026" s="89"/>
    </row>
    <row r="1027">
      <c r="A1027" s="151" t="str">
        <f>IFERROR(__xludf.DUMMYFUNCTION("""COMPUTED_VALUE"""),"A7r2")</f>
        <v>A7r2</v>
      </c>
      <c r="B1027" s="42" t="str">
        <f>IFERROR(__xludf.DUMMYFUNCTION("""COMPUTED_VALUE"""),"DHBA")</f>
        <v>DHBA</v>
      </c>
      <c r="C1027" s="42" t="str">
        <f>IFERROR(__xludf.DUMMYFUNCTION("""COMPUTED_VALUE"""),"layer II of area 7r")</f>
        <v>layer II of area 7r</v>
      </c>
      <c r="D1027" s="42">
        <f>IFERROR(__xludf.DUMMYFUNCTION("""COMPUTED_VALUE"""),970.0)</f>
        <v>970</v>
      </c>
      <c r="E1027" s="39" t="str">
        <f>IFERROR(__xludf.DUMMYFUNCTION("""COMPUTED_VALUE"""),"layer II of area 7r")</f>
        <v>layer II of area 7r</v>
      </c>
      <c r="F1027" s="9" t="str">
        <f>IFERROR(__xludf.DUMMYFUNCTION("""COMPUTED_VALUE"""),"Br")</f>
        <v>Br</v>
      </c>
      <c r="G1027" s="9" t="str">
        <f>IFERROR(__xludf.DUMMYFUNCTION("""COMPUTED_VALUE"""),"F")</f>
        <v>F</v>
      </c>
      <c r="H1027" s="9" t="str">
        <f>IFERROR(__xludf.DUMMYFUNCTION("""COMPUTED_VALUE"""),"FGM")</f>
        <v>FGM</v>
      </c>
      <c r="I1027" s="9" t="str">
        <f>IFERROR(__xludf.DUMMYFUNCTION("""COMPUTED_VALUE"""),"Tel")</f>
        <v>Tel</v>
      </c>
      <c r="J1027" s="9" t="str">
        <f>IFERROR(__xludf.DUMMYFUNCTION("""COMPUTED_VALUE"""),"Cx")</f>
        <v>Cx</v>
      </c>
      <c r="K1027" s="9" t="str">
        <f>IFERROR(__xludf.DUMMYFUNCTION("""COMPUTED_VALUE"""),"NCx")</f>
        <v>NCx</v>
      </c>
      <c r="L1027" s="9" t="str">
        <f>IFERROR(__xludf.DUMMYFUNCTION("""COMPUTED_VALUE"""),"PCx")</f>
        <v>PCx</v>
      </c>
      <c r="M1027" s="9" t="str">
        <f>IFERROR(__xludf.DUMMYFUNCTION("""COMPUTED_VALUE"""),"PoPC")</f>
        <v>PoPC</v>
      </c>
      <c r="N1027" s="9" t="str">
        <f>IFERROR(__xludf.DUMMYFUNCTION("""COMPUTED_VALUE"""),"SPC")</f>
        <v>SPC</v>
      </c>
      <c r="O1027" s="9" t="str">
        <f>IFERROR(__xludf.DUMMYFUNCTION("""COMPUTED_VALUE"""),"A7")</f>
        <v>A7</v>
      </c>
      <c r="P1027" s="9" t="str">
        <f>IFERROR(__xludf.DUMMYFUNCTION("""COMPUTED_VALUE"""),"A7r")</f>
        <v>A7r</v>
      </c>
      <c r="Q1027" s="9" t="str">
        <f>IFERROR(__xludf.DUMMYFUNCTION("""COMPUTED_VALUE"""),"A7r2")</f>
        <v>A7r2</v>
      </c>
      <c r="R1027" s="9"/>
      <c r="S1027" s="42"/>
      <c r="T1027" s="42"/>
      <c r="U1027" s="42"/>
      <c r="V1027" s="42"/>
      <c r="W1027" s="42"/>
      <c r="X1027" s="42"/>
      <c r="Y1027" s="42"/>
      <c r="Z1027" s="42"/>
      <c r="AA1027" s="42"/>
      <c r="AB1027" s="42" t="str">
        <f>IFERROR(__xludf.DUMMYFUNCTION("""COMPUTED_VALUE"""),"allen institute")</f>
        <v>allen institute</v>
      </c>
      <c r="AC1027" s="42" t="str">
        <f>IFERROR(__xludf.DUMMYFUNCTION("""COMPUTED_VALUE"""),"DHBA")</f>
        <v>DHBA</v>
      </c>
      <c r="AD1027" s="42"/>
      <c r="AE1027" s="42"/>
      <c r="AF1027" s="9"/>
      <c r="AG1027" s="9"/>
      <c r="AH1027" s="42"/>
      <c r="AI1027" s="42"/>
      <c r="AJ1027" s="42"/>
      <c r="AK1027" s="42"/>
      <c r="AL1027" s="42"/>
      <c r="AM1027" s="42"/>
      <c r="AN1027" s="42"/>
      <c r="AO1027" s="63" t="str">
        <f>IFERROR(__xludf.DUMMYFUNCTION("IF(ISBLANK(A1027),,IF(ISBLANK(S1027), A1027&amp;"";"", TEXTJOIN(CHAR(10), TRUE, A1027&amp;"";"", ARRAYFORMULA(VLOOKUP(SPLIT(S1027, "";"" &amp; CHAR(10)), $A:$AO, 41, FALSE)))))"),"A7r2;")</f>
        <v>A7r2;</v>
      </c>
      <c r="AP1027" s="89"/>
    </row>
    <row r="1028">
      <c r="A1028" s="151" t="str">
        <f>IFERROR(__xludf.DUMMYFUNCTION("""COMPUTED_VALUE"""),"A7r3")</f>
        <v>A7r3</v>
      </c>
      <c r="B1028" s="42" t="str">
        <f>IFERROR(__xludf.DUMMYFUNCTION("""COMPUTED_VALUE"""),"DHBA")</f>
        <v>DHBA</v>
      </c>
      <c r="C1028" s="42" t="str">
        <f>IFERROR(__xludf.DUMMYFUNCTION("""COMPUTED_VALUE"""),"layer III of area 7r")</f>
        <v>layer III of area 7r</v>
      </c>
      <c r="D1028" s="42">
        <f>IFERROR(__xludf.DUMMYFUNCTION("""COMPUTED_VALUE"""),971.0)</f>
        <v>971</v>
      </c>
      <c r="E1028" s="39" t="str">
        <f>IFERROR(__xludf.DUMMYFUNCTION("""COMPUTED_VALUE"""),"layer III of area 7r")</f>
        <v>layer III of area 7r</v>
      </c>
      <c r="F1028" s="9" t="str">
        <f>IFERROR(__xludf.DUMMYFUNCTION("""COMPUTED_VALUE"""),"Br")</f>
        <v>Br</v>
      </c>
      <c r="G1028" s="9" t="str">
        <f>IFERROR(__xludf.DUMMYFUNCTION("""COMPUTED_VALUE"""),"F")</f>
        <v>F</v>
      </c>
      <c r="H1028" s="9" t="str">
        <f>IFERROR(__xludf.DUMMYFUNCTION("""COMPUTED_VALUE"""),"FGM")</f>
        <v>FGM</v>
      </c>
      <c r="I1028" s="9" t="str">
        <f>IFERROR(__xludf.DUMMYFUNCTION("""COMPUTED_VALUE"""),"Tel")</f>
        <v>Tel</v>
      </c>
      <c r="J1028" s="9" t="str">
        <f>IFERROR(__xludf.DUMMYFUNCTION("""COMPUTED_VALUE"""),"Cx")</f>
        <v>Cx</v>
      </c>
      <c r="K1028" s="9" t="str">
        <f>IFERROR(__xludf.DUMMYFUNCTION("""COMPUTED_VALUE"""),"NCx")</f>
        <v>NCx</v>
      </c>
      <c r="L1028" s="9" t="str">
        <f>IFERROR(__xludf.DUMMYFUNCTION("""COMPUTED_VALUE"""),"PCx")</f>
        <v>PCx</v>
      </c>
      <c r="M1028" s="9" t="str">
        <f>IFERROR(__xludf.DUMMYFUNCTION("""COMPUTED_VALUE"""),"PoPC")</f>
        <v>PoPC</v>
      </c>
      <c r="N1028" s="9" t="str">
        <f>IFERROR(__xludf.DUMMYFUNCTION("""COMPUTED_VALUE"""),"SPC")</f>
        <v>SPC</v>
      </c>
      <c r="O1028" s="9" t="str">
        <f>IFERROR(__xludf.DUMMYFUNCTION("""COMPUTED_VALUE"""),"A7")</f>
        <v>A7</v>
      </c>
      <c r="P1028" s="9" t="str">
        <f>IFERROR(__xludf.DUMMYFUNCTION("""COMPUTED_VALUE"""),"A7r")</f>
        <v>A7r</v>
      </c>
      <c r="Q1028" s="9" t="str">
        <f>IFERROR(__xludf.DUMMYFUNCTION("""COMPUTED_VALUE"""),"A7r3")</f>
        <v>A7r3</v>
      </c>
      <c r="R1028" s="9"/>
      <c r="S1028" s="42"/>
      <c r="T1028" s="42"/>
      <c r="U1028" s="42"/>
      <c r="V1028" s="42"/>
      <c r="W1028" s="42"/>
      <c r="X1028" s="42"/>
      <c r="Y1028" s="42"/>
      <c r="Z1028" s="42"/>
      <c r="AA1028" s="42"/>
      <c r="AB1028" s="42" t="str">
        <f>IFERROR(__xludf.DUMMYFUNCTION("""COMPUTED_VALUE"""),"allen institute")</f>
        <v>allen institute</v>
      </c>
      <c r="AC1028" s="42" t="str">
        <f>IFERROR(__xludf.DUMMYFUNCTION("""COMPUTED_VALUE"""),"DHBA")</f>
        <v>DHBA</v>
      </c>
      <c r="AD1028" s="42"/>
      <c r="AE1028" s="42"/>
      <c r="AF1028" s="9"/>
      <c r="AG1028" s="9"/>
      <c r="AH1028" s="42"/>
      <c r="AI1028" s="42"/>
      <c r="AJ1028" s="42"/>
      <c r="AK1028" s="42"/>
      <c r="AL1028" s="42"/>
      <c r="AM1028" s="42"/>
      <c r="AN1028" s="42"/>
      <c r="AO1028" s="63" t="str">
        <f>IFERROR(__xludf.DUMMYFUNCTION("IF(ISBLANK(A1028),,IF(ISBLANK(S1028), A1028&amp;"";"", TEXTJOIN(CHAR(10), TRUE, A1028&amp;"";"", ARRAYFORMULA(VLOOKUP(SPLIT(S1028, "";"" &amp; CHAR(10)), $A:$AO, 41, FALSE)))))"),"A7r3;")</f>
        <v>A7r3;</v>
      </c>
      <c r="AP1028" s="89"/>
    </row>
    <row r="1029">
      <c r="A1029" s="151" t="str">
        <f>IFERROR(__xludf.DUMMYFUNCTION("""COMPUTED_VALUE"""),"A7r4")</f>
        <v>A7r4</v>
      </c>
      <c r="B1029" s="42" t="str">
        <f>IFERROR(__xludf.DUMMYFUNCTION("""COMPUTED_VALUE"""),"DHBA")</f>
        <v>DHBA</v>
      </c>
      <c r="C1029" s="42" t="str">
        <f>IFERROR(__xludf.DUMMYFUNCTION("""COMPUTED_VALUE"""),"layer IV of area 7r")</f>
        <v>layer IV of area 7r</v>
      </c>
      <c r="D1029" s="42">
        <f>IFERROR(__xludf.DUMMYFUNCTION("""COMPUTED_VALUE"""),972.0)</f>
        <v>972</v>
      </c>
      <c r="E1029" s="39" t="str">
        <f>IFERROR(__xludf.DUMMYFUNCTION("""COMPUTED_VALUE"""),"layer IV of area 7r")</f>
        <v>layer IV of area 7r</v>
      </c>
      <c r="F1029" s="9" t="str">
        <f>IFERROR(__xludf.DUMMYFUNCTION("""COMPUTED_VALUE"""),"Br")</f>
        <v>Br</v>
      </c>
      <c r="G1029" s="9" t="str">
        <f>IFERROR(__xludf.DUMMYFUNCTION("""COMPUTED_VALUE"""),"F")</f>
        <v>F</v>
      </c>
      <c r="H1029" s="9" t="str">
        <f>IFERROR(__xludf.DUMMYFUNCTION("""COMPUTED_VALUE"""),"FGM")</f>
        <v>FGM</v>
      </c>
      <c r="I1029" s="9" t="str">
        <f>IFERROR(__xludf.DUMMYFUNCTION("""COMPUTED_VALUE"""),"Tel")</f>
        <v>Tel</v>
      </c>
      <c r="J1029" s="9" t="str">
        <f>IFERROR(__xludf.DUMMYFUNCTION("""COMPUTED_VALUE"""),"Cx")</f>
        <v>Cx</v>
      </c>
      <c r="K1029" s="9" t="str">
        <f>IFERROR(__xludf.DUMMYFUNCTION("""COMPUTED_VALUE"""),"NCx")</f>
        <v>NCx</v>
      </c>
      <c r="L1029" s="9" t="str">
        <f>IFERROR(__xludf.DUMMYFUNCTION("""COMPUTED_VALUE"""),"PCx")</f>
        <v>PCx</v>
      </c>
      <c r="M1029" s="9" t="str">
        <f>IFERROR(__xludf.DUMMYFUNCTION("""COMPUTED_VALUE"""),"PoPC")</f>
        <v>PoPC</v>
      </c>
      <c r="N1029" s="9" t="str">
        <f>IFERROR(__xludf.DUMMYFUNCTION("""COMPUTED_VALUE"""),"SPC")</f>
        <v>SPC</v>
      </c>
      <c r="O1029" s="9" t="str">
        <f>IFERROR(__xludf.DUMMYFUNCTION("""COMPUTED_VALUE"""),"A7")</f>
        <v>A7</v>
      </c>
      <c r="P1029" s="9" t="str">
        <f>IFERROR(__xludf.DUMMYFUNCTION("""COMPUTED_VALUE"""),"A7r")</f>
        <v>A7r</v>
      </c>
      <c r="Q1029" s="9" t="str">
        <f>IFERROR(__xludf.DUMMYFUNCTION("""COMPUTED_VALUE"""),"A7r4")</f>
        <v>A7r4</v>
      </c>
      <c r="R1029" s="9"/>
      <c r="S1029" s="42"/>
      <c r="T1029" s="42"/>
      <c r="U1029" s="42"/>
      <c r="V1029" s="42"/>
      <c r="W1029" s="42"/>
      <c r="X1029" s="42"/>
      <c r="Y1029" s="42"/>
      <c r="Z1029" s="42"/>
      <c r="AA1029" s="42"/>
      <c r="AB1029" s="42" t="str">
        <f>IFERROR(__xludf.DUMMYFUNCTION("""COMPUTED_VALUE"""),"allen institute")</f>
        <v>allen institute</v>
      </c>
      <c r="AC1029" s="42" t="str">
        <f>IFERROR(__xludf.DUMMYFUNCTION("""COMPUTED_VALUE"""),"DHBA")</f>
        <v>DHBA</v>
      </c>
      <c r="AD1029" s="42"/>
      <c r="AE1029" s="42"/>
      <c r="AF1029" s="9"/>
      <c r="AG1029" s="9"/>
      <c r="AH1029" s="42"/>
      <c r="AI1029" s="42"/>
      <c r="AJ1029" s="42"/>
      <c r="AK1029" s="42"/>
      <c r="AL1029" s="42"/>
      <c r="AM1029" s="42"/>
      <c r="AN1029" s="42"/>
      <c r="AO1029" s="63" t="str">
        <f>IFERROR(__xludf.DUMMYFUNCTION("IF(ISBLANK(A1029),,IF(ISBLANK(S1029), A1029&amp;"";"", TEXTJOIN(CHAR(10), TRUE, A1029&amp;"";"", ARRAYFORMULA(VLOOKUP(SPLIT(S1029, "";"" &amp; CHAR(10)), $A:$AO, 41, FALSE)))))"),"A7r4;")</f>
        <v>A7r4;</v>
      </c>
      <c r="AP1029" s="89"/>
    </row>
    <row r="1030">
      <c r="A1030" s="151" t="str">
        <f>IFERROR(__xludf.DUMMYFUNCTION("""COMPUTED_VALUE"""),"A7r5")</f>
        <v>A7r5</v>
      </c>
      <c r="B1030" s="42" t="str">
        <f>IFERROR(__xludf.DUMMYFUNCTION("""COMPUTED_VALUE"""),"DHBA")</f>
        <v>DHBA</v>
      </c>
      <c r="C1030" s="42" t="str">
        <f>IFERROR(__xludf.DUMMYFUNCTION("""COMPUTED_VALUE"""),"layer V of area 7r")</f>
        <v>layer V of area 7r</v>
      </c>
      <c r="D1030" s="42">
        <f>IFERROR(__xludf.DUMMYFUNCTION("""COMPUTED_VALUE"""),973.0)</f>
        <v>973</v>
      </c>
      <c r="E1030" s="39" t="str">
        <f>IFERROR(__xludf.DUMMYFUNCTION("""COMPUTED_VALUE"""),"layer V of area 7r")</f>
        <v>layer V of area 7r</v>
      </c>
      <c r="F1030" s="9" t="str">
        <f>IFERROR(__xludf.DUMMYFUNCTION("""COMPUTED_VALUE"""),"Br")</f>
        <v>Br</v>
      </c>
      <c r="G1030" s="9" t="str">
        <f>IFERROR(__xludf.DUMMYFUNCTION("""COMPUTED_VALUE"""),"F")</f>
        <v>F</v>
      </c>
      <c r="H1030" s="9" t="str">
        <f>IFERROR(__xludf.DUMMYFUNCTION("""COMPUTED_VALUE"""),"FGM")</f>
        <v>FGM</v>
      </c>
      <c r="I1030" s="9" t="str">
        <f>IFERROR(__xludf.DUMMYFUNCTION("""COMPUTED_VALUE"""),"Tel")</f>
        <v>Tel</v>
      </c>
      <c r="J1030" s="9" t="str">
        <f>IFERROR(__xludf.DUMMYFUNCTION("""COMPUTED_VALUE"""),"Cx")</f>
        <v>Cx</v>
      </c>
      <c r="K1030" s="9" t="str">
        <f>IFERROR(__xludf.DUMMYFUNCTION("""COMPUTED_VALUE"""),"NCx")</f>
        <v>NCx</v>
      </c>
      <c r="L1030" s="9" t="str">
        <f>IFERROR(__xludf.DUMMYFUNCTION("""COMPUTED_VALUE"""),"PCx")</f>
        <v>PCx</v>
      </c>
      <c r="M1030" s="9" t="str">
        <f>IFERROR(__xludf.DUMMYFUNCTION("""COMPUTED_VALUE"""),"PoPC")</f>
        <v>PoPC</v>
      </c>
      <c r="N1030" s="9" t="str">
        <f>IFERROR(__xludf.DUMMYFUNCTION("""COMPUTED_VALUE"""),"SPC")</f>
        <v>SPC</v>
      </c>
      <c r="O1030" s="9" t="str">
        <f>IFERROR(__xludf.DUMMYFUNCTION("""COMPUTED_VALUE"""),"A7")</f>
        <v>A7</v>
      </c>
      <c r="P1030" s="9" t="str">
        <f>IFERROR(__xludf.DUMMYFUNCTION("""COMPUTED_VALUE"""),"A7r")</f>
        <v>A7r</v>
      </c>
      <c r="Q1030" s="9" t="str">
        <f>IFERROR(__xludf.DUMMYFUNCTION("""COMPUTED_VALUE"""),"A7r5")</f>
        <v>A7r5</v>
      </c>
      <c r="R1030" s="9"/>
      <c r="S1030" s="42"/>
      <c r="T1030" s="42"/>
      <c r="U1030" s="159"/>
      <c r="V1030" s="42"/>
      <c r="W1030" s="42"/>
      <c r="X1030" s="42"/>
      <c r="Y1030" s="42"/>
      <c r="Z1030" s="42"/>
      <c r="AA1030" s="42"/>
      <c r="AB1030" s="42" t="str">
        <f>IFERROR(__xludf.DUMMYFUNCTION("""COMPUTED_VALUE"""),"allen institute")</f>
        <v>allen institute</v>
      </c>
      <c r="AC1030" s="42" t="str">
        <f>IFERROR(__xludf.DUMMYFUNCTION("""COMPUTED_VALUE"""),"DHBA")</f>
        <v>DHBA</v>
      </c>
      <c r="AD1030" s="42"/>
      <c r="AE1030" s="42"/>
      <c r="AF1030" s="9"/>
      <c r="AG1030" s="9"/>
      <c r="AH1030" s="42"/>
      <c r="AI1030" s="42"/>
      <c r="AJ1030" s="42"/>
      <c r="AK1030" s="42"/>
      <c r="AL1030" s="42"/>
      <c r="AM1030" s="42"/>
      <c r="AN1030" s="42"/>
      <c r="AO1030" s="63" t="str">
        <f>IFERROR(__xludf.DUMMYFUNCTION("IF(ISBLANK(A1030),,IF(ISBLANK(S1030), A1030&amp;"";"", TEXTJOIN(CHAR(10), TRUE, A1030&amp;"";"", ARRAYFORMULA(VLOOKUP(SPLIT(S1030, "";"" &amp; CHAR(10)), $A:$AO, 41, FALSE)))))"),"A7r5;")</f>
        <v>A7r5;</v>
      </c>
      <c r="AP1030" s="89"/>
    </row>
    <row r="1031">
      <c r="A1031" s="151" t="str">
        <f>IFERROR(__xludf.DUMMYFUNCTION("""COMPUTED_VALUE"""),"A7r6")</f>
        <v>A7r6</v>
      </c>
      <c r="B1031" s="42" t="str">
        <f>IFERROR(__xludf.DUMMYFUNCTION("""COMPUTED_VALUE"""),"DHBA")</f>
        <v>DHBA</v>
      </c>
      <c r="C1031" s="42" t="str">
        <f>IFERROR(__xludf.DUMMYFUNCTION("""COMPUTED_VALUE"""),"layer VI of area 7r")</f>
        <v>layer VI of area 7r</v>
      </c>
      <c r="D1031" s="42">
        <f>IFERROR(__xludf.DUMMYFUNCTION("""COMPUTED_VALUE"""),974.0)</f>
        <v>974</v>
      </c>
      <c r="E1031" s="39" t="str">
        <f>IFERROR(__xludf.DUMMYFUNCTION("""COMPUTED_VALUE"""),"layer VI of area 7r")</f>
        <v>layer VI of area 7r</v>
      </c>
      <c r="F1031" s="9" t="str">
        <f>IFERROR(__xludf.DUMMYFUNCTION("""COMPUTED_VALUE"""),"Br")</f>
        <v>Br</v>
      </c>
      <c r="G1031" s="9" t="str">
        <f>IFERROR(__xludf.DUMMYFUNCTION("""COMPUTED_VALUE"""),"F")</f>
        <v>F</v>
      </c>
      <c r="H1031" s="9" t="str">
        <f>IFERROR(__xludf.DUMMYFUNCTION("""COMPUTED_VALUE"""),"FGM")</f>
        <v>FGM</v>
      </c>
      <c r="I1031" s="9" t="str">
        <f>IFERROR(__xludf.DUMMYFUNCTION("""COMPUTED_VALUE"""),"Tel")</f>
        <v>Tel</v>
      </c>
      <c r="J1031" s="9" t="str">
        <f>IFERROR(__xludf.DUMMYFUNCTION("""COMPUTED_VALUE"""),"Cx")</f>
        <v>Cx</v>
      </c>
      <c r="K1031" s="9" t="str">
        <f>IFERROR(__xludf.DUMMYFUNCTION("""COMPUTED_VALUE"""),"NCx")</f>
        <v>NCx</v>
      </c>
      <c r="L1031" s="9" t="str">
        <f>IFERROR(__xludf.DUMMYFUNCTION("""COMPUTED_VALUE"""),"PCx")</f>
        <v>PCx</v>
      </c>
      <c r="M1031" s="9" t="str">
        <f>IFERROR(__xludf.DUMMYFUNCTION("""COMPUTED_VALUE"""),"PoPC")</f>
        <v>PoPC</v>
      </c>
      <c r="N1031" s="9" t="str">
        <f>IFERROR(__xludf.DUMMYFUNCTION("""COMPUTED_VALUE"""),"SPC")</f>
        <v>SPC</v>
      </c>
      <c r="O1031" s="9" t="str">
        <f>IFERROR(__xludf.DUMMYFUNCTION("""COMPUTED_VALUE"""),"A7")</f>
        <v>A7</v>
      </c>
      <c r="P1031" s="9" t="str">
        <f>IFERROR(__xludf.DUMMYFUNCTION("""COMPUTED_VALUE"""),"A7r")</f>
        <v>A7r</v>
      </c>
      <c r="Q1031" s="9" t="str">
        <f>IFERROR(__xludf.DUMMYFUNCTION("""COMPUTED_VALUE"""),"A7r6")</f>
        <v>A7r6</v>
      </c>
      <c r="R1031" s="9"/>
      <c r="S1031" s="42"/>
      <c r="T1031" s="42"/>
      <c r="U1031" s="42"/>
      <c r="V1031" s="42"/>
      <c r="W1031" s="42"/>
      <c r="X1031" s="42"/>
      <c r="Y1031" s="42"/>
      <c r="Z1031" s="42"/>
      <c r="AA1031" s="42"/>
      <c r="AB1031" s="42" t="str">
        <f>IFERROR(__xludf.DUMMYFUNCTION("""COMPUTED_VALUE"""),"allen institute")</f>
        <v>allen institute</v>
      </c>
      <c r="AC1031" s="42" t="str">
        <f>IFERROR(__xludf.DUMMYFUNCTION("""COMPUTED_VALUE"""),"DHBA")</f>
        <v>DHBA</v>
      </c>
      <c r="AD1031" s="42"/>
      <c r="AE1031" s="42"/>
      <c r="AF1031" s="9"/>
      <c r="AG1031" s="9"/>
      <c r="AH1031" s="42"/>
      <c r="AI1031" s="42"/>
      <c r="AJ1031" s="42"/>
      <c r="AK1031" s="42"/>
      <c r="AL1031" s="42"/>
      <c r="AM1031" s="42"/>
      <c r="AN1031" s="42"/>
      <c r="AO1031" s="63" t="str">
        <f>IFERROR(__xludf.DUMMYFUNCTION("IF(ISBLANK(A1031),,IF(ISBLANK(S1031), A1031&amp;"";"", TEXTJOIN(CHAR(10), TRUE, A1031&amp;"";"", ARRAYFORMULA(VLOOKUP(SPLIT(S1031, "";"" &amp; CHAR(10)), $A:$AO, 41, FALSE)))))"),"A7r6;")</f>
        <v>A7r6;</v>
      </c>
      <c r="AP1031" s="89"/>
    </row>
    <row r="1032">
      <c r="A1032" s="151" t="str">
        <f>IFERROR(__xludf.DUMMYFUNCTION("""COMPUTED_VALUE"""),"A7m")</f>
        <v>A7m</v>
      </c>
      <c r="B1032" s="42" t="str">
        <f>IFERROR(__xludf.DUMMYFUNCTION("""COMPUTED_VALUE"""),"DHBA")</f>
        <v>DHBA</v>
      </c>
      <c r="C1032" s="42" t="str">
        <f>IFERROR(__xludf.DUMMYFUNCTION("""COMPUTED_VALUE"""),"medial subdivision of area 7")</f>
        <v>medial subdivision of area 7</v>
      </c>
      <c r="D1032" s="42">
        <f>IFERROR(__xludf.DUMMYFUNCTION("""COMPUTED_VALUE"""),975.0)</f>
        <v>975</v>
      </c>
      <c r="E1032" s="39" t="str">
        <f>IFERROR(__xludf.DUMMYFUNCTION("""COMPUTED_VALUE"""),"medial subdivision of area 7")</f>
        <v>medial subdivision of area 7</v>
      </c>
      <c r="F1032" s="9" t="str">
        <f>IFERROR(__xludf.DUMMYFUNCTION("""COMPUTED_VALUE"""),"Br")</f>
        <v>Br</v>
      </c>
      <c r="G1032" s="9" t="str">
        <f>IFERROR(__xludf.DUMMYFUNCTION("""COMPUTED_VALUE"""),"F")</f>
        <v>F</v>
      </c>
      <c r="H1032" s="9" t="str">
        <f>IFERROR(__xludf.DUMMYFUNCTION("""COMPUTED_VALUE"""),"FGM")</f>
        <v>FGM</v>
      </c>
      <c r="I1032" s="9" t="str">
        <f>IFERROR(__xludf.DUMMYFUNCTION("""COMPUTED_VALUE"""),"Tel")</f>
        <v>Tel</v>
      </c>
      <c r="J1032" s="9" t="str">
        <f>IFERROR(__xludf.DUMMYFUNCTION("""COMPUTED_VALUE"""),"Cx")</f>
        <v>Cx</v>
      </c>
      <c r="K1032" s="9" t="str">
        <f>IFERROR(__xludf.DUMMYFUNCTION("""COMPUTED_VALUE"""),"NCx")</f>
        <v>NCx</v>
      </c>
      <c r="L1032" s="9" t="str">
        <f>IFERROR(__xludf.DUMMYFUNCTION("""COMPUTED_VALUE"""),"PCx")</f>
        <v>PCx</v>
      </c>
      <c r="M1032" s="9" t="str">
        <f>IFERROR(__xludf.DUMMYFUNCTION("""COMPUTED_VALUE"""),"PoPC")</f>
        <v>PoPC</v>
      </c>
      <c r="N1032" s="9" t="str">
        <f>IFERROR(__xludf.DUMMYFUNCTION("""COMPUTED_VALUE"""),"SPC")</f>
        <v>SPC</v>
      </c>
      <c r="O1032" s="9" t="str">
        <f>IFERROR(__xludf.DUMMYFUNCTION("""COMPUTED_VALUE"""),"A7")</f>
        <v>A7</v>
      </c>
      <c r="P1032" s="9" t="str">
        <f>IFERROR(__xludf.DUMMYFUNCTION("""COMPUTED_VALUE"""),"A7m")</f>
        <v>A7m</v>
      </c>
      <c r="Q1032" s="9"/>
      <c r="R1032" s="9"/>
      <c r="S1032" s="42" t="str">
        <f>IFERROR(__xludf.DUMMYFUNCTION("""COMPUTED_VALUE"""),"A7m1;
A7m2;
A7m3;
A7m4;
A7m5;
A7m6")</f>
        <v>A7m1;
A7m2;
A7m3;
A7m4;
A7m5;
A7m6</v>
      </c>
      <c r="T1032" s="42"/>
      <c r="U1032" s="42" t="b">
        <f>IFERROR(__xludf.DUMMYFUNCTION("""COMPUTED_VALUE"""),FALSE)</f>
        <v>0</v>
      </c>
      <c r="V1032" s="42"/>
      <c r="W1032" s="42"/>
      <c r="X1032" s="42"/>
      <c r="Y1032" s="42"/>
      <c r="Z1032" s="42"/>
      <c r="AA1032" s="42"/>
      <c r="AB1032" s="42" t="str">
        <f>IFERROR(__xludf.DUMMYFUNCTION("""COMPUTED_VALUE"""),"allen institute")</f>
        <v>allen institute</v>
      </c>
      <c r="AC1032" s="42" t="str">
        <f>IFERROR(__xludf.DUMMYFUNCTION("""COMPUTED_VALUE"""),"DHBA")</f>
        <v>DHBA</v>
      </c>
      <c r="AD1032" s="42"/>
      <c r="AE1032" s="42"/>
      <c r="AF1032" s="9"/>
      <c r="AG1032" s="9"/>
      <c r="AH1032" s="42"/>
      <c r="AI1032" s="42"/>
      <c r="AJ1032" s="42"/>
      <c r="AK1032" s="42"/>
      <c r="AL1032" s="42"/>
      <c r="AM1032" s="42"/>
      <c r="AN1032" s="42"/>
      <c r="AO1032" s="63" t="str">
        <f>IFERROR(__xludf.DUMMYFUNCTION("IF(ISBLANK(A1032),,IF(ISBLANK(S1032), A1032&amp;"";"", TEXTJOIN(CHAR(10), TRUE, A1032&amp;"";"", ARRAYFORMULA(VLOOKUP(SPLIT(S1032, "";"" &amp; CHAR(10)), $A:$AO, 41, FALSE)))))"),"A7m;
A7m1;
A7m2;
A7m3;
A7m4;
A7m5;
A7m6;")</f>
        <v>A7m;
A7m1;
A7m2;
A7m3;
A7m4;
A7m5;
A7m6;</v>
      </c>
      <c r="AP1032" s="89"/>
    </row>
    <row r="1033">
      <c r="A1033" s="151" t="str">
        <f>IFERROR(__xludf.DUMMYFUNCTION("""COMPUTED_VALUE"""),"A7m1")</f>
        <v>A7m1</v>
      </c>
      <c r="B1033" s="42" t="str">
        <f>IFERROR(__xludf.DUMMYFUNCTION("""COMPUTED_VALUE"""),"DHBA")</f>
        <v>DHBA</v>
      </c>
      <c r="C1033" s="42" t="str">
        <f>IFERROR(__xludf.DUMMYFUNCTION("""COMPUTED_VALUE"""),"layer I of area 7m")</f>
        <v>layer I of area 7m</v>
      </c>
      <c r="D1033" s="42">
        <f>IFERROR(__xludf.DUMMYFUNCTION("""COMPUTED_VALUE"""),976.0)</f>
        <v>976</v>
      </c>
      <c r="E1033" s="39" t="str">
        <f>IFERROR(__xludf.DUMMYFUNCTION("""COMPUTED_VALUE"""),"layer I of area 7m")</f>
        <v>layer I of area 7m</v>
      </c>
      <c r="F1033" s="9" t="str">
        <f>IFERROR(__xludf.DUMMYFUNCTION("""COMPUTED_VALUE"""),"Br")</f>
        <v>Br</v>
      </c>
      <c r="G1033" s="9" t="str">
        <f>IFERROR(__xludf.DUMMYFUNCTION("""COMPUTED_VALUE"""),"F")</f>
        <v>F</v>
      </c>
      <c r="H1033" s="9" t="str">
        <f>IFERROR(__xludf.DUMMYFUNCTION("""COMPUTED_VALUE"""),"FGM")</f>
        <v>FGM</v>
      </c>
      <c r="I1033" s="9" t="str">
        <f>IFERROR(__xludf.DUMMYFUNCTION("""COMPUTED_VALUE"""),"Tel")</f>
        <v>Tel</v>
      </c>
      <c r="J1033" s="9" t="str">
        <f>IFERROR(__xludf.DUMMYFUNCTION("""COMPUTED_VALUE"""),"Cx")</f>
        <v>Cx</v>
      </c>
      <c r="K1033" s="9" t="str">
        <f>IFERROR(__xludf.DUMMYFUNCTION("""COMPUTED_VALUE"""),"NCx")</f>
        <v>NCx</v>
      </c>
      <c r="L1033" s="9" t="str">
        <f>IFERROR(__xludf.DUMMYFUNCTION("""COMPUTED_VALUE"""),"PCx")</f>
        <v>PCx</v>
      </c>
      <c r="M1033" s="9" t="str">
        <f>IFERROR(__xludf.DUMMYFUNCTION("""COMPUTED_VALUE"""),"PoPC")</f>
        <v>PoPC</v>
      </c>
      <c r="N1033" s="9" t="str">
        <f>IFERROR(__xludf.DUMMYFUNCTION("""COMPUTED_VALUE"""),"SPC")</f>
        <v>SPC</v>
      </c>
      <c r="O1033" s="9" t="str">
        <f>IFERROR(__xludf.DUMMYFUNCTION("""COMPUTED_VALUE"""),"A7")</f>
        <v>A7</v>
      </c>
      <c r="P1033" s="9" t="str">
        <f>IFERROR(__xludf.DUMMYFUNCTION("""COMPUTED_VALUE"""),"A7m")</f>
        <v>A7m</v>
      </c>
      <c r="Q1033" s="9" t="str">
        <f>IFERROR(__xludf.DUMMYFUNCTION("""COMPUTED_VALUE"""),"A7m1")</f>
        <v>A7m1</v>
      </c>
      <c r="R1033" s="9"/>
      <c r="S1033" s="42"/>
      <c r="T1033" s="42"/>
      <c r="U1033" s="42"/>
      <c r="V1033" s="42"/>
      <c r="W1033" s="42"/>
      <c r="X1033" s="42"/>
      <c r="Y1033" s="42"/>
      <c r="Z1033" s="42"/>
      <c r="AA1033" s="42"/>
      <c r="AB1033" s="42" t="str">
        <f>IFERROR(__xludf.DUMMYFUNCTION("""COMPUTED_VALUE"""),"allen institute")</f>
        <v>allen institute</v>
      </c>
      <c r="AC1033" s="42" t="str">
        <f>IFERROR(__xludf.DUMMYFUNCTION("""COMPUTED_VALUE"""),"DHBA")</f>
        <v>DHBA</v>
      </c>
      <c r="AD1033" s="42"/>
      <c r="AE1033" s="42"/>
      <c r="AF1033" s="9"/>
      <c r="AG1033" s="9"/>
      <c r="AH1033" s="42"/>
      <c r="AI1033" s="42"/>
      <c r="AJ1033" s="42"/>
      <c r="AK1033" s="42"/>
      <c r="AL1033" s="42"/>
      <c r="AM1033" s="42"/>
      <c r="AN1033" s="42"/>
      <c r="AO1033" s="63" t="str">
        <f>IFERROR(__xludf.DUMMYFUNCTION("IF(ISBLANK(A1033),,IF(ISBLANK(S1033), A1033&amp;"";"", TEXTJOIN(CHAR(10), TRUE, A1033&amp;"";"", ARRAYFORMULA(VLOOKUP(SPLIT(S1033, "";"" &amp; CHAR(10)), $A:$AO, 41, FALSE)))))"),"A7m1;")</f>
        <v>A7m1;</v>
      </c>
      <c r="AP1033" s="89"/>
    </row>
    <row r="1034">
      <c r="A1034" s="151" t="str">
        <f>IFERROR(__xludf.DUMMYFUNCTION("""COMPUTED_VALUE"""),"A7m2")</f>
        <v>A7m2</v>
      </c>
      <c r="B1034" s="42" t="str">
        <f>IFERROR(__xludf.DUMMYFUNCTION("""COMPUTED_VALUE"""),"DHBA")</f>
        <v>DHBA</v>
      </c>
      <c r="C1034" s="42" t="str">
        <f>IFERROR(__xludf.DUMMYFUNCTION("""COMPUTED_VALUE"""),"layer II of area 7m")</f>
        <v>layer II of area 7m</v>
      </c>
      <c r="D1034" s="42">
        <f>IFERROR(__xludf.DUMMYFUNCTION("""COMPUTED_VALUE"""),977.0)</f>
        <v>977</v>
      </c>
      <c r="E1034" s="39" t="str">
        <f>IFERROR(__xludf.DUMMYFUNCTION("""COMPUTED_VALUE"""),"layer II of area 7m")</f>
        <v>layer II of area 7m</v>
      </c>
      <c r="F1034" s="9" t="str">
        <f>IFERROR(__xludf.DUMMYFUNCTION("""COMPUTED_VALUE"""),"Br")</f>
        <v>Br</v>
      </c>
      <c r="G1034" s="9" t="str">
        <f>IFERROR(__xludf.DUMMYFUNCTION("""COMPUTED_VALUE"""),"F")</f>
        <v>F</v>
      </c>
      <c r="H1034" s="9" t="str">
        <f>IFERROR(__xludf.DUMMYFUNCTION("""COMPUTED_VALUE"""),"FGM")</f>
        <v>FGM</v>
      </c>
      <c r="I1034" s="9" t="str">
        <f>IFERROR(__xludf.DUMMYFUNCTION("""COMPUTED_VALUE"""),"Tel")</f>
        <v>Tel</v>
      </c>
      <c r="J1034" s="9" t="str">
        <f>IFERROR(__xludf.DUMMYFUNCTION("""COMPUTED_VALUE"""),"Cx")</f>
        <v>Cx</v>
      </c>
      <c r="K1034" s="9" t="str">
        <f>IFERROR(__xludf.DUMMYFUNCTION("""COMPUTED_VALUE"""),"NCx")</f>
        <v>NCx</v>
      </c>
      <c r="L1034" s="9" t="str">
        <f>IFERROR(__xludf.DUMMYFUNCTION("""COMPUTED_VALUE"""),"PCx")</f>
        <v>PCx</v>
      </c>
      <c r="M1034" s="9" t="str">
        <f>IFERROR(__xludf.DUMMYFUNCTION("""COMPUTED_VALUE"""),"PoPC")</f>
        <v>PoPC</v>
      </c>
      <c r="N1034" s="9" t="str">
        <f>IFERROR(__xludf.DUMMYFUNCTION("""COMPUTED_VALUE"""),"SPC")</f>
        <v>SPC</v>
      </c>
      <c r="O1034" s="9" t="str">
        <f>IFERROR(__xludf.DUMMYFUNCTION("""COMPUTED_VALUE"""),"A7")</f>
        <v>A7</v>
      </c>
      <c r="P1034" s="9" t="str">
        <f>IFERROR(__xludf.DUMMYFUNCTION("""COMPUTED_VALUE"""),"A7m")</f>
        <v>A7m</v>
      </c>
      <c r="Q1034" s="9" t="str">
        <f>IFERROR(__xludf.DUMMYFUNCTION("""COMPUTED_VALUE"""),"A7m2")</f>
        <v>A7m2</v>
      </c>
      <c r="R1034" s="9"/>
      <c r="S1034" s="42"/>
      <c r="T1034" s="42"/>
      <c r="U1034" s="42"/>
      <c r="V1034" s="42"/>
      <c r="W1034" s="42"/>
      <c r="X1034" s="42"/>
      <c r="Y1034" s="42"/>
      <c r="Z1034" s="42"/>
      <c r="AA1034" s="42"/>
      <c r="AB1034" s="42" t="str">
        <f>IFERROR(__xludf.DUMMYFUNCTION("""COMPUTED_VALUE"""),"allen institute")</f>
        <v>allen institute</v>
      </c>
      <c r="AC1034" s="42" t="str">
        <f>IFERROR(__xludf.DUMMYFUNCTION("""COMPUTED_VALUE"""),"DHBA")</f>
        <v>DHBA</v>
      </c>
      <c r="AD1034" s="42"/>
      <c r="AE1034" s="42"/>
      <c r="AF1034" s="9"/>
      <c r="AG1034" s="9"/>
      <c r="AH1034" s="42"/>
      <c r="AI1034" s="42"/>
      <c r="AJ1034" s="42"/>
      <c r="AK1034" s="42"/>
      <c r="AL1034" s="42"/>
      <c r="AM1034" s="42"/>
      <c r="AN1034" s="42"/>
      <c r="AO1034" s="63" t="str">
        <f>IFERROR(__xludf.DUMMYFUNCTION("IF(ISBLANK(A1034),,IF(ISBLANK(S1034), A1034&amp;"";"", TEXTJOIN(CHAR(10), TRUE, A1034&amp;"";"", ARRAYFORMULA(VLOOKUP(SPLIT(S1034, "";"" &amp; CHAR(10)), $A:$AO, 41, FALSE)))))"),"A7m2;")</f>
        <v>A7m2;</v>
      </c>
      <c r="AP1034" s="89"/>
    </row>
    <row r="1035">
      <c r="A1035" s="151" t="str">
        <f>IFERROR(__xludf.DUMMYFUNCTION("""COMPUTED_VALUE"""),"A7m3")</f>
        <v>A7m3</v>
      </c>
      <c r="B1035" s="42" t="str">
        <f>IFERROR(__xludf.DUMMYFUNCTION("""COMPUTED_VALUE"""),"DHBA")</f>
        <v>DHBA</v>
      </c>
      <c r="C1035" s="42" t="str">
        <f>IFERROR(__xludf.DUMMYFUNCTION("""COMPUTED_VALUE"""),"layer III of area 7m")</f>
        <v>layer III of area 7m</v>
      </c>
      <c r="D1035" s="42">
        <f>IFERROR(__xludf.DUMMYFUNCTION("""COMPUTED_VALUE"""),978.0)</f>
        <v>978</v>
      </c>
      <c r="E1035" s="39" t="str">
        <f>IFERROR(__xludf.DUMMYFUNCTION("""COMPUTED_VALUE"""),"layer III of area 7m")</f>
        <v>layer III of area 7m</v>
      </c>
      <c r="F1035" s="9" t="str">
        <f>IFERROR(__xludf.DUMMYFUNCTION("""COMPUTED_VALUE"""),"Br")</f>
        <v>Br</v>
      </c>
      <c r="G1035" s="9" t="str">
        <f>IFERROR(__xludf.DUMMYFUNCTION("""COMPUTED_VALUE"""),"F")</f>
        <v>F</v>
      </c>
      <c r="H1035" s="9" t="str">
        <f>IFERROR(__xludf.DUMMYFUNCTION("""COMPUTED_VALUE"""),"FGM")</f>
        <v>FGM</v>
      </c>
      <c r="I1035" s="9" t="str">
        <f>IFERROR(__xludf.DUMMYFUNCTION("""COMPUTED_VALUE"""),"Tel")</f>
        <v>Tel</v>
      </c>
      <c r="J1035" s="9" t="str">
        <f>IFERROR(__xludf.DUMMYFUNCTION("""COMPUTED_VALUE"""),"Cx")</f>
        <v>Cx</v>
      </c>
      <c r="K1035" s="9" t="str">
        <f>IFERROR(__xludf.DUMMYFUNCTION("""COMPUTED_VALUE"""),"NCx")</f>
        <v>NCx</v>
      </c>
      <c r="L1035" s="9" t="str">
        <f>IFERROR(__xludf.DUMMYFUNCTION("""COMPUTED_VALUE"""),"PCx")</f>
        <v>PCx</v>
      </c>
      <c r="M1035" s="9" t="str">
        <f>IFERROR(__xludf.DUMMYFUNCTION("""COMPUTED_VALUE"""),"PoPC")</f>
        <v>PoPC</v>
      </c>
      <c r="N1035" s="9" t="str">
        <f>IFERROR(__xludf.DUMMYFUNCTION("""COMPUTED_VALUE"""),"SPC")</f>
        <v>SPC</v>
      </c>
      <c r="O1035" s="9" t="str">
        <f>IFERROR(__xludf.DUMMYFUNCTION("""COMPUTED_VALUE"""),"A7")</f>
        <v>A7</v>
      </c>
      <c r="P1035" s="9" t="str">
        <f>IFERROR(__xludf.DUMMYFUNCTION("""COMPUTED_VALUE"""),"A7m")</f>
        <v>A7m</v>
      </c>
      <c r="Q1035" s="9" t="str">
        <f>IFERROR(__xludf.DUMMYFUNCTION("""COMPUTED_VALUE"""),"A7m3")</f>
        <v>A7m3</v>
      </c>
      <c r="R1035" s="9"/>
      <c r="S1035" s="42"/>
      <c r="T1035" s="42"/>
      <c r="U1035" s="42"/>
      <c r="V1035" s="42"/>
      <c r="W1035" s="42"/>
      <c r="X1035" s="42"/>
      <c r="Y1035" s="42"/>
      <c r="Z1035" s="42"/>
      <c r="AA1035" s="42"/>
      <c r="AB1035" s="42" t="str">
        <f>IFERROR(__xludf.DUMMYFUNCTION("""COMPUTED_VALUE"""),"allen institute")</f>
        <v>allen institute</v>
      </c>
      <c r="AC1035" s="42" t="str">
        <f>IFERROR(__xludf.DUMMYFUNCTION("""COMPUTED_VALUE"""),"DHBA")</f>
        <v>DHBA</v>
      </c>
      <c r="AD1035" s="42"/>
      <c r="AE1035" s="42"/>
      <c r="AF1035" s="9"/>
      <c r="AG1035" s="9"/>
      <c r="AH1035" s="42"/>
      <c r="AI1035" s="42"/>
      <c r="AJ1035" s="42"/>
      <c r="AK1035" s="42"/>
      <c r="AL1035" s="42"/>
      <c r="AM1035" s="42"/>
      <c r="AN1035" s="42"/>
      <c r="AO1035" s="63" t="str">
        <f>IFERROR(__xludf.DUMMYFUNCTION("IF(ISBLANK(A1035),,IF(ISBLANK(S1035), A1035&amp;"";"", TEXTJOIN(CHAR(10), TRUE, A1035&amp;"";"", ARRAYFORMULA(VLOOKUP(SPLIT(S1035, "";"" &amp; CHAR(10)), $A:$AO, 41, FALSE)))))"),"A7m3;")</f>
        <v>A7m3;</v>
      </c>
      <c r="AP1035" s="89"/>
    </row>
    <row r="1036">
      <c r="A1036" s="151" t="str">
        <f>IFERROR(__xludf.DUMMYFUNCTION("""COMPUTED_VALUE"""),"A7m4")</f>
        <v>A7m4</v>
      </c>
      <c r="B1036" s="42" t="str">
        <f>IFERROR(__xludf.DUMMYFUNCTION("""COMPUTED_VALUE"""),"DHBA")</f>
        <v>DHBA</v>
      </c>
      <c r="C1036" s="42" t="str">
        <f>IFERROR(__xludf.DUMMYFUNCTION("""COMPUTED_VALUE"""),"layer IV of area 7m")</f>
        <v>layer IV of area 7m</v>
      </c>
      <c r="D1036" s="42">
        <f>IFERROR(__xludf.DUMMYFUNCTION("""COMPUTED_VALUE"""),979.0)</f>
        <v>979</v>
      </c>
      <c r="E1036" s="39" t="str">
        <f>IFERROR(__xludf.DUMMYFUNCTION("""COMPUTED_VALUE"""),"layer IV of area 7m")</f>
        <v>layer IV of area 7m</v>
      </c>
      <c r="F1036" s="9" t="str">
        <f>IFERROR(__xludf.DUMMYFUNCTION("""COMPUTED_VALUE"""),"Br")</f>
        <v>Br</v>
      </c>
      <c r="G1036" s="9" t="str">
        <f>IFERROR(__xludf.DUMMYFUNCTION("""COMPUTED_VALUE"""),"F")</f>
        <v>F</v>
      </c>
      <c r="H1036" s="9" t="str">
        <f>IFERROR(__xludf.DUMMYFUNCTION("""COMPUTED_VALUE"""),"FGM")</f>
        <v>FGM</v>
      </c>
      <c r="I1036" s="9" t="str">
        <f>IFERROR(__xludf.DUMMYFUNCTION("""COMPUTED_VALUE"""),"Tel")</f>
        <v>Tel</v>
      </c>
      <c r="J1036" s="9" t="str">
        <f>IFERROR(__xludf.DUMMYFUNCTION("""COMPUTED_VALUE"""),"Cx")</f>
        <v>Cx</v>
      </c>
      <c r="K1036" s="9" t="str">
        <f>IFERROR(__xludf.DUMMYFUNCTION("""COMPUTED_VALUE"""),"NCx")</f>
        <v>NCx</v>
      </c>
      <c r="L1036" s="9" t="str">
        <f>IFERROR(__xludf.DUMMYFUNCTION("""COMPUTED_VALUE"""),"PCx")</f>
        <v>PCx</v>
      </c>
      <c r="M1036" s="9" t="str">
        <f>IFERROR(__xludf.DUMMYFUNCTION("""COMPUTED_VALUE"""),"PoPC")</f>
        <v>PoPC</v>
      </c>
      <c r="N1036" s="9" t="str">
        <f>IFERROR(__xludf.DUMMYFUNCTION("""COMPUTED_VALUE"""),"SPC")</f>
        <v>SPC</v>
      </c>
      <c r="O1036" s="9" t="str">
        <f>IFERROR(__xludf.DUMMYFUNCTION("""COMPUTED_VALUE"""),"A7")</f>
        <v>A7</v>
      </c>
      <c r="P1036" s="9" t="str">
        <f>IFERROR(__xludf.DUMMYFUNCTION("""COMPUTED_VALUE"""),"A7m")</f>
        <v>A7m</v>
      </c>
      <c r="Q1036" s="9" t="str">
        <f>IFERROR(__xludf.DUMMYFUNCTION("""COMPUTED_VALUE"""),"A7m4")</f>
        <v>A7m4</v>
      </c>
      <c r="R1036" s="9"/>
      <c r="S1036" s="42"/>
      <c r="T1036" s="42"/>
      <c r="U1036" s="42"/>
      <c r="V1036" s="42"/>
      <c r="W1036" s="42"/>
      <c r="X1036" s="42"/>
      <c r="Y1036" s="42"/>
      <c r="Z1036" s="42"/>
      <c r="AA1036" s="42"/>
      <c r="AB1036" s="42" t="str">
        <f>IFERROR(__xludf.DUMMYFUNCTION("""COMPUTED_VALUE"""),"allen institute")</f>
        <v>allen institute</v>
      </c>
      <c r="AC1036" s="42" t="str">
        <f>IFERROR(__xludf.DUMMYFUNCTION("""COMPUTED_VALUE"""),"DHBA")</f>
        <v>DHBA</v>
      </c>
      <c r="AD1036" s="42"/>
      <c r="AE1036" s="42"/>
      <c r="AF1036" s="9"/>
      <c r="AG1036" s="9"/>
      <c r="AH1036" s="42"/>
      <c r="AI1036" s="42"/>
      <c r="AJ1036" s="42"/>
      <c r="AK1036" s="42"/>
      <c r="AL1036" s="42"/>
      <c r="AM1036" s="42"/>
      <c r="AN1036" s="42"/>
      <c r="AO1036" s="63" t="str">
        <f>IFERROR(__xludf.DUMMYFUNCTION("IF(ISBLANK(A1036),,IF(ISBLANK(S1036), A1036&amp;"";"", TEXTJOIN(CHAR(10), TRUE, A1036&amp;"";"", ARRAYFORMULA(VLOOKUP(SPLIT(S1036, "";"" &amp; CHAR(10)), $A:$AO, 41, FALSE)))))"),"A7m4;")</f>
        <v>A7m4;</v>
      </c>
      <c r="AP1036" s="89"/>
    </row>
    <row r="1037">
      <c r="A1037" s="151" t="str">
        <f>IFERROR(__xludf.DUMMYFUNCTION("""COMPUTED_VALUE"""),"A7m5")</f>
        <v>A7m5</v>
      </c>
      <c r="B1037" s="42" t="str">
        <f>IFERROR(__xludf.DUMMYFUNCTION("""COMPUTED_VALUE"""),"DHBA")</f>
        <v>DHBA</v>
      </c>
      <c r="C1037" s="42" t="str">
        <f>IFERROR(__xludf.DUMMYFUNCTION("""COMPUTED_VALUE"""),"layer V of area 7m")</f>
        <v>layer V of area 7m</v>
      </c>
      <c r="D1037" s="42">
        <f>IFERROR(__xludf.DUMMYFUNCTION("""COMPUTED_VALUE"""),980.0)</f>
        <v>980</v>
      </c>
      <c r="E1037" s="39" t="str">
        <f>IFERROR(__xludf.DUMMYFUNCTION("""COMPUTED_VALUE"""),"layer V of area 7m")</f>
        <v>layer V of area 7m</v>
      </c>
      <c r="F1037" s="9" t="str">
        <f>IFERROR(__xludf.DUMMYFUNCTION("""COMPUTED_VALUE"""),"Br")</f>
        <v>Br</v>
      </c>
      <c r="G1037" s="9" t="str">
        <f>IFERROR(__xludf.DUMMYFUNCTION("""COMPUTED_VALUE"""),"F")</f>
        <v>F</v>
      </c>
      <c r="H1037" s="9" t="str">
        <f>IFERROR(__xludf.DUMMYFUNCTION("""COMPUTED_VALUE"""),"FGM")</f>
        <v>FGM</v>
      </c>
      <c r="I1037" s="9" t="str">
        <f>IFERROR(__xludf.DUMMYFUNCTION("""COMPUTED_VALUE"""),"Tel")</f>
        <v>Tel</v>
      </c>
      <c r="J1037" s="9" t="str">
        <f>IFERROR(__xludf.DUMMYFUNCTION("""COMPUTED_VALUE"""),"Cx")</f>
        <v>Cx</v>
      </c>
      <c r="K1037" s="9" t="str">
        <f>IFERROR(__xludf.DUMMYFUNCTION("""COMPUTED_VALUE"""),"NCx")</f>
        <v>NCx</v>
      </c>
      <c r="L1037" s="9" t="str">
        <f>IFERROR(__xludf.DUMMYFUNCTION("""COMPUTED_VALUE"""),"PCx")</f>
        <v>PCx</v>
      </c>
      <c r="M1037" s="9" t="str">
        <f>IFERROR(__xludf.DUMMYFUNCTION("""COMPUTED_VALUE"""),"PoPC")</f>
        <v>PoPC</v>
      </c>
      <c r="N1037" s="9" t="str">
        <f>IFERROR(__xludf.DUMMYFUNCTION("""COMPUTED_VALUE"""),"SPC")</f>
        <v>SPC</v>
      </c>
      <c r="O1037" s="9" t="str">
        <f>IFERROR(__xludf.DUMMYFUNCTION("""COMPUTED_VALUE"""),"A7")</f>
        <v>A7</v>
      </c>
      <c r="P1037" s="9" t="str">
        <f>IFERROR(__xludf.DUMMYFUNCTION("""COMPUTED_VALUE"""),"A7m")</f>
        <v>A7m</v>
      </c>
      <c r="Q1037" s="9" t="str">
        <f>IFERROR(__xludf.DUMMYFUNCTION("""COMPUTED_VALUE"""),"A7m5")</f>
        <v>A7m5</v>
      </c>
      <c r="R1037" s="9"/>
      <c r="S1037" s="42"/>
      <c r="T1037" s="42"/>
      <c r="U1037" s="42"/>
      <c r="V1037" s="42"/>
      <c r="W1037" s="42"/>
      <c r="X1037" s="42"/>
      <c r="Y1037" s="42"/>
      <c r="Z1037" s="42"/>
      <c r="AA1037" s="42"/>
      <c r="AB1037" s="42" t="str">
        <f>IFERROR(__xludf.DUMMYFUNCTION("""COMPUTED_VALUE"""),"allen institute")</f>
        <v>allen institute</v>
      </c>
      <c r="AC1037" s="42" t="str">
        <f>IFERROR(__xludf.DUMMYFUNCTION("""COMPUTED_VALUE"""),"DHBA")</f>
        <v>DHBA</v>
      </c>
      <c r="AD1037" s="42"/>
      <c r="AE1037" s="42"/>
      <c r="AF1037" s="9"/>
      <c r="AG1037" s="9"/>
      <c r="AH1037" s="42"/>
      <c r="AI1037" s="42"/>
      <c r="AJ1037" s="42"/>
      <c r="AK1037" s="42"/>
      <c r="AL1037" s="42"/>
      <c r="AM1037" s="42"/>
      <c r="AN1037" s="42"/>
      <c r="AO1037" s="63" t="str">
        <f>IFERROR(__xludf.DUMMYFUNCTION("IF(ISBLANK(A1037),,IF(ISBLANK(S1037), A1037&amp;"";"", TEXTJOIN(CHAR(10), TRUE, A1037&amp;"";"", ARRAYFORMULA(VLOOKUP(SPLIT(S1037, "";"" &amp; CHAR(10)), $A:$AO, 41, FALSE)))))"),"A7m5;")</f>
        <v>A7m5;</v>
      </c>
      <c r="AP1037" s="89"/>
    </row>
    <row r="1038">
      <c r="A1038" s="151" t="str">
        <f>IFERROR(__xludf.DUMMYFUNCTION("""COMPUTED_VALUE"""),"A7m6")</f>
        <v>A7m6</v>
      </c>
      <c r="B1038" s="42" t="str">
        <f>IFERROR(__xludf.DUMMYFUNCTION("""COMPUTED_VALUE"""),"DHBA")</f>
        <v>DHBA</v>
      </c>
      <c r="C1038" s="42" t="str">
        <f>IFERROR(__xludf.DUMMYFUNCTION("""COMPUTED_VALUE"""),"layer VI of area 7m")</f>
        <v>layer VI of area 7m</v>
      </c>
      <c r="D1038" s="42">
        <f>IFERROR(__xludf.DUMMYFUNCTION("""COMPUTED_VALUE"""),981.0)</f>
        <v>981</v>
      </c>
      <c r="E1038" s="39" t="str">
        <f>IFERROR(__xludf.DUMMYFUNCTION("""COMPUTED_VALUE"""),"layer VI of area 7m")</f>
        <v>layer VI of area 7m</v>
      </c>
      <c r="F1038" s="9" t="str">
        <f>IFERROR(__xludf.DUMMYFUNCTION("""COMPUTED_VALUE"""),"Br")</f>
        <v>Br</v>
      </c>
      <c r="G1038" s="9" t="str">
        <f>IFERROR(__xludf.DUMMYFUNCTION("""COMPUTED_VALUE"""),"F")</f>
        <v>F</v>
      </c>
      <c r="H1038" s="9" t="str">
        <f>IFERROR(__xludf.DUMMYFUNCTION("""COMPUTED_VALUE"""),"FGM")</f>
        <v>FGM</v>
      </c>
      <c r="I1038" s="9" t="str">
        <f>IFERROR(__xludf.DUMMYFUNCTION("""COMPUTED_VALUE"""),"Tel")</f>
        <v>Tel</v>
      </c>
      <c r="J1038" s="9" t="str">
        <f>IFERROR(__xludf.DUMMYFUNCTION("""COMPUTED_VALUE"""),"Cx")</f>
        <v>Cx</v>
      </c>
      <c r="K1038" s="9" t="str">
        <f>IFERROR(__xludf.DUMMYFUNCTION("""COMPUTED_VALUE"""),"NCx")</f>
        <v>NCx</v>
      </c>
      <c r="L1038" s="9" t="str">
        <f>IFERROR(__xludf.DUMMYFUNCTION("""COMPUTED_VALUE"""),"PCx")</f>
        <v>PCx</v>
      </c>
      <c r="M1038" s="9" t="str">
        <f>IFERROR(__xludf.DUMMYFUNCTION("""COMPUTED_VALUE"""),"PoPC")</f>
        <v>PoPC</v>
      </c>
      <c r="N1038" s="9" t="str">
        <f>IFERROR(__xludf.DUMMYFUNCTION("""COMPUTED_VALUE"""),"SPC")</f>
        <v>SPC</v>
      </c>
      <c r="O1038" s="9" t="str">
        <f>IFERROR(__xludf.DUMMYFUNCTION("""COMPUTED_VALUE"""),"A7")</f>
        <v>A7</v>
      </c>
      <c r="P1038" s="9" t="str">
        <f>IFERROR(__xludf.DUMMYFUNCTION("""COMPUTED_VALUE"""),"A7m")</f>
        <v>A7m</v>
      </c>
      <c r="Q1038" s="9" t="str">
        <f>IFERROR(__xludf.DUMMYFUNCTION("""COMPUTED_VALUE"""),"A7m6")</f>
        <v>A7m6</v>
      </c>
      <c r="R1038" s="9"/>
      <c r="S1038" s="42"/>
      <c r="T1038" s="42"/>
      <c r="U1038" s="42"/>
      <c r="V1038" s="42"/>
      <c r="W1038" s="42"/>
      <c r="X1038" s="42"/>
      <c r="Y1038" s="42"/>
      <c r="Z1038" s="42"/>
      <c r="AA1038" s="42"/>
      <c r="AB1038" s="42" t="str">
        <f>IFERROR(__xludf.DUMMYFUNCTION("""COMPUTED_VALUE"""),"allen institute")</f>
        <v>allen institute</v>
      </c>
      <c r="AC1038" s="42" t="str">
        <f>IFERROR(__xludf.DUMMYFUNCTION("""COMPUTED_VALUE"""),"DHBA")</f>
        <v>DHBA</v>
      </c>
      <c r="AD1038" s="42"/>
      <c r="AE1038" s="42"/>
      <c r="AF1038" s="9"/>
      <c r="AG1038" s="9"/>
      <c r="AH1038" s="42"/>
      <c r="AI1038" s="42"/>
      <c r="AJ1038" s="42"/>
      <c r="AK1038" s="42"/>
      <c r="AL1038" s="42"/>
      <c r="AM1038" s="42"/>
      <c r="AN1038" s="42"/>
      <c r="AO1038" s="63" t="str">
        <f>IFERROR(__xludf.DUMMYFUNCTION("IF(ISBLANK(A1038),,IF(ISBLANK(S1038), A1038&amp;"";"", TEXTJOIN(CHAR(10), TRUE, A1038&amp;"";"", ARRAYFORMULA(VLOOKUP(SPLIT(S1038, "";"" &amp; CHAR(10)), $A:$AO, 41, FALSE)))))"),"A7m6;")</f>
        <v>A7m6;</v>
      </c>
      <c r="AP1038" s="89"/>
    </row>
    <row r="1039">
      <c r="A1039" s="151" t="str">
        <f>IFERROR(__xludf.DUMMYFUNCTION("""COMPUTED_VALUE"""),"A7c")</f>
        <v>A7c</v>
      </c>
      <c r="B1039" s="42" t="str">
        <f>IFERROR(__xludf.DUMMYFUNCTION("""COMPUTED_VALUE"""),"DHBA")</f>
        <v>DHBA</v>
      </c>
      <c r="C1039" s="42" t="str">
        <f>IFERROR(__xludf.DUMMYFUNCTION("""COMPUTED_VALUE"""),"caudal subdivision of area 7")</f>
        <v>caudal subdivision of area 7</v>
      </c>
      <c r="D1039" s="42">
        <f>IFERROR(__xludf.DUMMYFUNCTION("""COMPUTED_VALUE"""),982.0)</f>
        <v>982</v>
      </c>
      <c r="E1039" s="39" t="str">
        <f>IFERROR(__xludf.DUMMYFUNCTION("""COMPUTED_VALUE"""),"caudal subdivision of area 7")</f>
        <v>caudal subdivision of area 7</v>
      </c>
      <c r="F1039" s="9" t="str">
        <f>IFERROR(__xludf.DUMMYFUNCTION("""COMPUTED_VALUE"""),"Br")</f>
        <v>Br</v>
      </c>
      <c r="G1039" s="9" t="str">
        <f>IFERROR(__xludf.DUMMYFUNCTION("""COMPUTED_VALUE"""),"F")</f>
        <v>F</v>
      </c>
      <c r="H1039" s="9" t="str">
        <f>IFERROR(__xludf.DUMMYFUNCTION("""COMPUTED_VALUE"""),"FGM")</f>
        <v>FGM</v>
      </c>
      <c r="I1039" s="9" t="str">
        <f>IFERROR(__xludf.DUMMYFUNCTION("""COMPUTED_VALUE"""),"Tel")</f>
        <v>Tel</v>
      </c>
      <c r="J1039" s="9" t="str">
        <f>IFERROR(__xludf.DUMMYFUNCTION("""COMPUTED_VALUE"""),"Cx")</f>
        <v>Cx</v>
      </c>
      <c r="K1039" s="9" t="str">
        <f>IFERROR(__xludf.DUMMYFUNCTION("""COMPUTED_VALUE"""),"NCx")</f>
        <v>NCx</v>
      </c>
      <c r="L1039" s="9" t="str">
        <f>IFERROR(__xludf.DUMMYFUNCTION("""COMPUTED_VALUE"""),"PCx")</f>
        <v>PCx</v>
      </c>
      <c r="M1039" s="9" t="str">
        <f>IFERROR(__xludf.DUMMYFUNCTION("""COMPUTED_VALUE"""),"PoPC")</f>
        <v>PoPC</v>
      </c>
      <c r="N1039" s="9" t="str">
        <f>IFERROR(__xludf.DUMMYFUNCTION("""COMPUTED_VALUE"""),"SPC")</f>
        <v>SPC</v>
      </c>
      <c r="O1039" s="9" t="str">
        <f>IFERROR(__xludf.DUMMYFUNCTION("""COMPUTED_VALUE"""),"A7")</f>
        <v>A7</v>
      </c>
      <c r="P1039" s="9" t="str">
        <f>IFERROR(__xludf.DUMMYFUNCTION("""COMPUTED_VALUE"""),"A7c")</f>
        <v>A7c</v>
      </c>
      <c r="Q1039" s="9"/>
      <c r="R1039" s="9"/>
      <c r="S1039" s="42" t="str">
        <f>IFERROR(__xludf.DUMMYFUNCTION("""COMPUTED_VALUE"""),"A7c1;
A7c2;
A7c3;
A7c4;
A7c5;
A7c6")</f>
        <v>A7c1;
A7c2;
A7c3;
A7c4;
A7c5;
A7c6</v>
      </c>
      <c r="T1039" s="42"/>
      <c r="U1039" s="42" t="b">
        <f>IFERROR(__xludf.DUMMYFUNCTION("""COMPUTED_VALUE"""),FALSE)</f>
        <v>0</v>
      </c>
      <c r="V1039" s="42"/>
      <c r="W1039" s="42"/>
      <c r="X1039" s="42"/>
      <c r="Y1039" s="42"/>
      <c r="Z1039" s="42"/>
      <c r="AA1039" s="42"/>
      <c r="AB1039" s="42" t="str">
        <f>IFERROR(__xludf.DUMMYFUNCTION("""COMPUTED_VALUE"""),"allen institute")</f>
        <v>allen institute</v>
      </c>
      <c r="AC1039" s="42" t="str">
        <f>IFERROR(__xludf.DUMMYFUNCTION("""COMPUTED_VALUE"""),"DHBA")</f>
        <v>DHBA</v>
      </c>
      <c r="AD1039" s="42"/>
      <c r="AE1039" s="42"/>
      <c r="AF1039" s="9"/>
      <c r="AG1039" s="9"/>
      <c r="AH1039" s="42"/>
      <c r="AI1039" s="42"/>
      <c r="AJ1039" s="42"/>
      <c r="AK1039" s="42"/>
      <c r="AL1039" s="42"/>
      <c r="AM1039" s="42"/>
      <c r="AN1039" s="42"/>
      <c r="AO1039" s="63" t="str">
        <f>IFERROR(__xludf.DUMMYFUNCTION("IF(ISBLANK(A1039),,IF(ISBLANK(S1039), A1039&amp;"";"", TEXTJOIN(CHAR(10), TRUE, A1039&amp;"";"", ARRAYFORMULA(VLOOKUP(SPLIT(S1039, "";"" &amp; CHAR(10)), $A:$AO, 41, FALSE)))))"),"A7c;
A7c1;
A7c2;
A7c3;
A7c4;
A7c5;
A7c6;")</f>
        <v>A7c;
A7c1;
A7c2;
A7c3;
A7c4;
A7c5;
A7c6;</v>
      </c>
      <c r="AP1039" s="89"/>
    </row>
    <row r="1040">
      <c r="A1040" s="151" t="str">
        <f>IFERROR(__xludf.DUMMYFUNCTION("""COMPUTED_VALUE"""),"A7c1")</f>
        <v>A7c1</v>
      </c>
      <c r="B1040" s="42" t="str">
        <f>IFERROR(__xludf.DUMMYFUNCTION("""COMPUTED_VALUE"""),"DHBA")</f>
        <v>DHBA</v>
      </c>
      <c r="C1040" s="42" t="str">
        <f>IFERROR(__xludf.DUMMYFUNCTION("""COMPUTED_VALUE"""),"layer I of area 7c")</f>
        <v>layer I of area 7c</v>
      </c>
      <c r="D1040" s="42">
        <f>IFERROR(__xludf.DUMMYFUNCTION("""COMPUTED_VALUE"""),983.0)</f>
        <v>983</v>
      </c>
      <c r="E1040" s="39" t="str">
        <f>IFERROR(__xludf.DUMMYFUNCTION("""COMPUTED_VALUE"""),"layer I of area 7c")</f>
        <v>layer I of area 7c</v>
      </c>
      <c r="F1040" s="9" t="str">
        <f>IFERROR(__xludf.DUMMYFUNCTION("""COMPUTED_VALUE"""),"Br")</f>
        <v>Br</v>
      </c>
      <c r="G1040" s="9" t="str">
        <f>IFERROR(__xludf.DUMMYFUNCTION("""COMPUTED_VALUE"""),"F")</f>
        <v>F</v>
      </c>
      <c r="H1040" s="9" t="str">
        <f>IFERROR(__xludf.DUMMYFUNCTION("""COMPUTED_VALUE"""),"FGM")</f>
        <v>FGM</v>
      </c>
      <c r="I1040" s="9" t="str">
        <f>IFERROR(__xludf.DUMMYFUNCTION("""COMPUTED_VALUE"""),"Tel")</f>
        <v>Tel</v>
      </c>
      <c r="J1040" s="9" t="str">
        <f>IFERROR(__xludf.DUMMYFUNCTION("""COMPUTED_VALUE"""),"Cx")</f>
        <v>Cx</v>
      </c>
      <c r="K1040" s="9" t="str">
        <f>IFERROR(__xludf.DUMMYFUNCTION("""COMPUTED_VALUE"""),"NCx")</f>
        <v>NCx</v>
      </c>
      <c r="L1040" s="9" t="str">
        <f>IFERROR(__xludf.DUMMYFUNCTION("""COMPUTED_VALUE"""),"PCx")</f>
        <v>PCx</v>
      </c>
      <c r="M1040" s="9" t="str">
        <f>IFERROR(__xludf.DUMMYFUNCTION("""COMPUTED_VALUE"""),"PoPC")</f>
        <v>PoPC</v>
      </c>
      <c r="N1040" s="9" t="str">
        <f>IFERROR(__xludf.DUMMYFUNCTION("""COMPUTED_VALUE"""),"SPC")</f>
        <v>SPC</v>
      </c>
      <c r="O1040" s="9" t="str">
        <f>IFERROR(__xludf.DUMMYFUNCTION("""COMPUTED_VALUE"""),"A7")</f>
        <v>A7</v>
      </c>
      <c r="P1040" s="9" t="str">
        <f>IFERROR(__xludf.DUMMYFUNCTION("""COMPUTED_VALUE"""),"A7c")</f>
        <v>A7c</v>
      </c>
      <c r="Q1040" s="9" t="str">
        <f>IFERROR(__xludf.DUMMYFUNCTION("""COMPUTED_VALUE"""),"A7c1")</f>
        <v>A7c1</v>
      </c>
      <c r="R1040" s="9"/>
      <c r="S1040" s="42"/>
      <c r="T1040" s="42"/>
      <c r="U1040" s="42"/>
      <c r="V1040" s="42"/>
      <c r="W1040" s="42"/>
      <c r="X1040" s="42"/>
      <c r="Y1040" s="42"/>
      <c r="Z1040" s="42"/>
      <c r="AA1040" s="42"/>
      <c r="AB1040" s="42" t="str">
        <f>IFERROR(__xludf.DUMMYFUNCTION("""COMPUTED_VALUE"""),"allen institute")</f>
        <v>allen institute</v>
      </c>
      <c r="AC1040" s="42" t="str">
        <f>IFERROR(__xludf.DUMMYFUNCTION("""COMPUTED_VALUE"""),"DHBA")</f>
        <v>DHBA</v>
      </c>
      <c r="AD1040" s="42"/>
      <c r="AE1040" s="42"/>
      <c r="AF1040" s="9"/>
      <c r="AG1040" s="9"/>
      <c r="AH1040" s="42"/>
      <c r="AI1040" s="42"/>
      <c r="AJ1040" s="42"/>
      <c r="AK1040" s="42"/>
      <c r="AL1040" s="42"/>
      <c r="AM1040" s="42"/>
      <c r="AN1040" s="42"/>
      <c r="AO1040" s="63" t="str">
        <f>IFERROR(__xludf.DUMMYFUNCTION("IF(ISBLANK(A1040),,IF(ISBLANK(S1040), A1040&amp;"";"", TEXTJOIN(CHAR(10), TRUE, A1040&amp;"";"", ARRAYFORMULA(VLOOKUP(SPLIT(S1040, "";"" &amp; CHAR(10)), $A:$AO, 41, FALSE)))))"),"A7c1;")</f>
        <v>A7c1;</v>
      </c>
      <c r="AP1040" s="89"/>
    </row>
    <row r="1041">
      <c r="A1041" s="151" t="str">
        <f>IFERROR(__xludf.DUMMYFUNCTION("""COMPUTED_VALUE"""),"A7c2")</f>
        <v>A7c2</v>
      </c>
      <c r="B1041" s="42" t="str">
        <f>IFERROR(__xludf.DUMMYFUNCTION("""COMPUTED_VALUE"""),"DHBA")</f>
        <v>DHBA</v>
      </c>
      <c r="C1041" s="42" t="str">
        <f>IFERROR(__xludf.DUMMYFUNCTION("""COMPUTED_VALUE"""),"layer II of area 7c")</f>
        <v>layer II of area 7c</v>
      </c>
      <c r="D1041" s="42">
        <f>IFERROR(__xludf.DUMMYFUNCTION("""COMPUTED_VALUE"""),984.0)</f>
        <v>984</v>
      </c>
      <c r="E1041" s="39" t="str">
        <f>IFERROR(__xludf.DUMMYFUNCTION("""COMPUTED_VALUE"""),"layer II of area 7c")</f>
        <v>layer II of area 7c</v>
      </c>
      <c r="F1041" s="9" t="str">
        <f>IFERROR(__xludf.DUMMYFUNCTION("""COMPUTED_VALUE"""),"Br")</f>
        <v>Br</v>
      </c>
      <c r="G1041" s="9" t="str">
        <f>IFERROR(__xludf.DUMMYFUNCTION("""COMPUTED_VALUE"""),"F")</f>
        <v>F</v>
      </c>
      <c r="H1041" s="9" t="str">
        <f>IFERROR(__xludf.DUMMYFUNCTION("""COMPUTED_VALUE"""),"FGM")</f>
        <v>FGM</v>
      </c>
      <c r="I1041" s="9" t="str">
        <f>IFERROR(__xludf.DUMMYFUNCTION("""COMPUTED_VALUE"""),"Tel")</f>
        <v>Tel</v>
      </c>
      <c r="J1041" s="9" t="str">
        <f>IFERROR(__xludf.DUMMYFUNCTION("""COMPUTED_VALUE"""),"Cx")</f>
        <v>Cx</v>
      </c>
      <c r="K1041" s="9" t="str">
        <f>IFERROR(__xludf.DUMMYFUNCTION("""COMPUTED_VALUE"""),"NCx")</f>
        <v>NCx</v>
      </c>
      <c r="L1041" s="9" t="str">
        <f>IFERROR(__xludf.DUMMYFUNCTION("""COMPUTED_VALUE"""),"PCx")</f>
        <v>PCx</v>
      </c>
      <c r="M1041" s="9" t="str">
        <f>IFERROR(__xludf.DUMMYFUNCTION("""COMPUTED_VALUE"""),"PoPC")</f>
        <v>PoPC</v>
      </c>
      <c r="N1041" s="9" t="str">
        <f>IFERROR(__xludf.DUMMYFUNCTION("""COMPUTED_VALUE"""),"SPC")</f>
        <v>SPC</v>
      </c>
      <c r="O1041" s="9" t="str">
        <f>IFERROR(__xludf.DUMMYFUNCTION("""COMPUTED_VALUE"""),"A7")</f>
        <v>A7</v>
      </c>
      <c r="P1041" s="9" t="str">
        <f>IFERROR(__xludf.DUMMYFUNCTION("""COMPUTED_VALUE"""),"A7c")</f>
        <v>A7c</v>
      </c>
      <c r="Q1041" s="9" t="str">
        <f>IFERROR(__xludf.DUMMYFUNCTION("""COMPUTED_VALUE"""),"A7c2")</f>
        <v>A7c2</v>
      </c>
      <c r="R1041" s="9"/>
      <c r="S1041" s="42"/>
      <c r="T1041" s="42"/>
      <c r="U1041" s="42"/>
      <c r="V1041" s="42"/>
      <c r="W1041" s="42"/>
      <c r="X1041" s="42"/>
      <c r="Y1041" s="42"/>
      <c r="Z1041" s="42"/>
      <c r="AA1041" s="42"/>
      <c r="AB1041" s="42" t="str">
        <f>IFERROR(__xludf.DUMMYFUNCTION("""COMPUTED_VALUE"""),"allen institute")</f>
        <v>allen institute</v>
      </c>
      <c r="AC1041" s="42" t="str">
        <f>IFERROR(__xludf.DUMMYFUNCTION("""COMPUTED_VALUE"""),"DHBA")</f>
        <v>DHBA</v>
      </c>
      <c r="AD1041" s="42"/>
      <c r="AE1041" s="42"/>
      <c r="AF1041" s="9"/>
      <c r="AG1041" s="9"/>
      <c r="AH1041" s="42"/>
      <c r="AI1041" s="42"/>
      <c r="AJ1041" s="42"/>
      <c r="AK1041" s="42"/>
      <c r="AL1041" s="42"/>
      <c r="AM1041" s="42"/>
      <c r="AN1041" s="42"/>
      <c r="AO1041" s="63" t="str">
        <f>IFERROR(__xludf.DUMMYFUNCTION("IF(ISBLANK(A1041),,IF(ISBLANK(S1041), A1041&amp;"";"", TEXTJOIN(CHAR(10), TRUE, A1041&amp;"";"", ARRAYFORMULA(VLOOKUP(SPLIT(S1041, "";"" &amp; CHAR(10)), $A:$AO, 41, FALSE)))))"),"A7c2;")</f>
        <v>A7c2;</v>
      </c>
      <c r="AP1041" s="89"/>
    </row>
    <row r="1042">
      <c r="A1042" s="151" t="str">
        <f>IFERROR(__xludf.DUMMYFUNCTION("""COMPUTED_VALUE"""),"A7c3")</f>
        <v>A7c3</v>
      </c>
      <c r="B1042" s="42" t="str">
        <f>IFERROR(__xludf.DUMMYFUNCTION("""COMPUTED_VALUE"""),"DHBA")</f>
        <v>DHBA</v>
      </c>
      <c r="C1042" s="42" t="str">
        <f>IFERROR(__xludf.DUMMYFUNCTION("""COMPUTED_VALUE"""),"layer III of area 7c")</f>
        <v>layer III of area 7c</v>
      </c>
      <c r="D1042" s="42">
        <f>IFERROR(__xludf.DUMMYFUNCTION("""COMPUTED_VALUE"""),985.0)</f>
        <v>985</v>
      </c>
      <c r="E1042" s="39" t="str">
        <f>IFERROR(__xludf.DUMMYFUNCTION("""COMPUTED_VALUE"""),"layer III of area 7c")</f>
        <v>layer III of area 7c</v>
      </c>
      <c r="F1042" s="9" t="str">
        <f>IFERROR(__xludf.DUMMYFUNCTION("""COMPUTED_VALUE"""),"Br")</f>
        <v>Br</v>
      </c>
      <c r="G1042" s="9" t="str">
        <f>IFERROR(__xludf.DUMMYFUNCTION("""COMPUTED_VALUE"""),"F")</f>
        <v>F</v>
      </c>
      <c r="H1042" s="9" t="str">
        <f>IFERROR(__xludf.DUMMYFUNCTION("""COMPUTED_VALUE"""),"FGM")</f>
        <v>FGM</v>
      </c>
      <c r="I1042" s="9" t="str">
        <f>IFERROR(__xludf.DUMMYFUNCTION("""COMPUTED_VALUE"""),"Tel")</f>
        <v>Tel</v>
      </c>
      <c r="J1042" s="9" t="str">
        <f>IFERROR(__xludf.DUMMYFUNCTION("""COMPUTED_VALUE"""),"Cx")</f>
        <v>Cx</v>
      </c>
      <c r="K1042" s="9" t="str">
        <f>IFERROR(__xludf.DUMMYFUNCTION("""COMPUTED_VALUE"""),"NCx")</f>
        <v>NCx</v>
      </c>
      <c r="L1042" s="9" t="str">
        <f>IFERROR(__xludf.DUMMYFUNCTION("""COMPUTED_VALUE"""),"PCx")</f>
        <v>PCx</v>
      </c>
      <c r="M1042" s="9" t="str">
        <f>IFERROR(__xludf.DUMMYFUNCTION("""COMPUTED_VALUE"""),"PoPC")</f>
        <v>PoPC</v>
      </c>
      <c r="N1042" s="9" t="str">
        <f>IFERROR(__xludf.DUMMYFUNCTION("""COMPUTED_VALUE"""),"SPC")</f>
        <v>SPC</v>
      </c>
      <c r="O1042" s="9" t="str">
        <f>IFERROR(__xludf.DUMMYFUNCTION("""COMPUTED_VALUE"""),"A7")</f>
        <v>A7</v>
      </c>
      <c r="P1042" s="9" t="str">
        <f>IFERROR(__xludf.DUMMYFUNCTION("""COMPUTED_VALUE"""),"A7c")</f>
        <v>A7c</v>
      </c>
      <c r="Q1042" s="9" t="str">
        <f>IFERROR(__xludf.DUMMYFUNCTION("""COMPUTED_VALUE"""),"A7c3")</f>
        <v>A7c3</v>
      </c>
      <c r="R1042" s="9"/>
      <c r="S1042" s="42"/>
      <c r="T1042" s="42"/>
      <c r="U1042" s="42"/>
      <c r="V1042" s="42"/>
      <c r="W1042" s="42"/>
      <c r="X1042" s="42"/>
      <c r="Y1042" s="42"/>
      <c r="Z1042" s="42"/>
      <c r="AA1042" s="42"/>
      <c r="AB1042" s="42" t="str">
        <f>IFERROR(__xludf.DUMMYFUNCTION("""COMPUTED_VALUE"""),"allen institute")</f>
        <v>allen institute</v>
      </c>
      <c r="AC1042" s="42" t="str">
        <f>IFERROR(__xludf.DUMMYFUNCTION("""COMPUTED_VALUE"""),"DHBA")</f>
        <v>DHBA</v>
      </c>
      <c r="AD1042" s="42"/>
      <c r="AE1042" s="42"/>
      <c r="AF1042" s="9"/>
      <c r="AG1042" s="9"/>
      <c r="AH1042" s="42"/>
      <c r="AI1042" s="42"/>
      <c r="AJ1042" s="42"/>
      <c r="AK1042" s="42"/>
      <c r="AL1042" s="42"/>
      <c r="AM1042" s="42"/>
      <c r="AN1042" s="42"/>
      <c r="AO1042" s="63" t="str">
        <f>IFERROR(__xludf.DUMMYFUNCTION("IF(ISBLANK(A1042),,IF(ISBLANK(S1042), A1042&amp;"";"", TEXTJOIN(CHAR(10), TRUE, A1042&amp;"";"", ARRAYFORMULA(VLOOKUP(SPLIT(S1042, "";"" &amp; CHAR(10)), $A:$AO, 41, FALSE)))))"),"A7c3;")</f>
        <v>A7c3;</v>
      </c>
      <c r="AP1042" s="89"/>
    </row>
    <row r="1043">
      <c r="A1043" s="151" t="str">
        <f>IFERROR(__xludf.DUMMYFUNCTION("""COMPUTED_VALUE"""),"A7c4")</f>
        <v>A7c4</v>
      </c>
      <c r="B1043" s="42" t="str">
        <f>IFERROR(__xludf.DUMMYFUNCTION("""COMPUTED_VALUE"""),"DHBA")</f>
        <v>DHBA</v>
      </c>
      <c r="C1043" s="42" t="str">
        <f>IFERROR(__xludf.DUMMYFUNCTION("""COMPUTED_VALUE"""),"layer IV of area 7c")</f>
        <v>layer IV of area 7c</v>
      </c>
      <c r="D1043" s="42">
        <f>IFERROR(__xludf.DUMMYFUNCTION("""COMPUTED_VALUE"""),986.0)</f>
        <v>986</v>
      </c>
      <c r="E1043" s="39" t="str">
        <f>IFERROR(__xludf.DUMMYFUNCTION("""COMPUTED_VALUE"""),"layer IV of area 7c")</f>
        <v>layer IV of area 7c</v>
      </c>
      <c r="F1043" s="9" t="str">
        <f>IFERROR(__xludf.DUMMYFUNCTION("""COMPUTED_VALUE"""),"Br")</f>
        <v>Br</v>
      </c>
      <c r="G1043" s="9" t="str">
        <f>IFERROR(__xludf.DUMMYFUNCTION("""COMPUTED_VALUE"""),"F")</f>
        <v>F</v>
      </c>
      <c r="H1043" s="9" t="str">
        <f>IFERROR(__xludf.DUMMYFUNCTION("""COMPUTED_VALUE"""),"FGM")</f>
        <v>FGM</v>
      </c>
      <c r="I1043" s="9" t="str">
        <f>IFERROR(__xludf.DUMMYFUNCTION("""COMPUTED_VALUE"""),"Tel")</f>
        <v>Tel</v>
      </c>
      <c r="J1043" s="9" t="str">
        <f>IFERROR(__xludf.DUMMYFUNCTION("""COMPUTED_VALUE"""),"Cx")</f>
        <v>Cx</v>
      </c>
      <c r="K1043" s="9" t="str">
        <f>IFERROR(__xludf.DUMMYFUNCTION("""COMPUTED_VALUE"""),"NCx")</f>
        <v>NCx</v>
      </c>
      <c r="L1043" s="9" t="str">
        <f>IFERROR(__xludf.DUMMYFUNCTION("""COMPUTED_VALUE"""),"PCx")</f>
        <v>PCx</v>
      </c>
      <c r="M1043" s="9" t="str">
        <f>IFERROR(__xludf.DUMMYFUNCTION("""COMPUTED_VALUE"""),"PoPC")</f>
        <v>PoPC</v>
      </c>
      <c r="N1043" s="9" t="str">
        <f>IFERROR(__xludf.DUMMYFUNCTION("""COMPUTED_VALUE"""),"SPC")</f>
        <v>SPC</v>
      </c>
      <c r="O1043" s="9" t="str">
        <f>IFERROR(__xludf.DUMMYFUNCTION("""COMPUTED_VALUE"""),"A7")</f>
        <v>A7</v>
      </c>
      <c r="P1043" s="9" t="str">
        <f>IFERROR(__xludf.DUMMYFUNCTION("""COMPUTED_VALUE"""),"A7c")</f>
        <v>A7c</v>
      </c>
      <c r="Q1043" s="9" t="str">
        <f>IFERROR(__xludf.DUMMYFUNCTION("""COMPUTED_VALUE"""),"A7c4")</f>
        <v>A7c4</v>
      </c>
      <c r="R1043" s="9"/>
      <c r="S1043" s="42"/>
      <c r="T1043" s="42"/>
      <c r="U1043" s="42"/>
      <c r="V1043" s="42"/>
      <c r="W1043" s="42"/>
      <c r="X1043" s="42"/>
      <c r="Y1043" s="42"/>
      <c r="Z1043" s="42"/>
      <c r="AA1043" s="42"/>
      <c r="AB1043" s="42" t="str">
        <f>IFERROR(__xludf.DUMMYFUNCTION("""COMPUTED_VALUE"""),"allen institute")</f>
        <v>allen institute</v>
      </c>
      <c r="AC1043" s="42" t="str">
        <f>IFERROR(__xludf.DUMMYFUNCTION("""COMPUTED_VALUE"""),"DHBA")</f>
        <v>DHBA</v>
      </c>
      <c r="AD1043" s="42"/>
      <c r="AE1043" s="42"/>
      <c r="AF1043" s="9"/>
      <c r="AG1043" s="9"/>
      <c r="AH1043" s="42"/>
      <c r="AI1043" s="42"/>
      <c r="AJ1043" s="42"/>
      <c r="AK1043" s="42"/>
      <c r="AL1043" s="42"/>
      <c r="AM1043" s="42"/>
      <c r="AN1043" s="42"/>
      <c r="AO1043" s="63" t="str">
        <f>IFERROR(__xludf.DUMMYFUNCTION("IF(ISBLANK(A1043),,IF(ISBLANK(S1043), A1043&amp;"";"", TEXTJOIN(CHAR(10), TRUE, A1043&amp;"";"", ARRAYFORMULA(VLOOKUP(SPLIT(S1043, "";"" &amp; CHAR(10)), $A:$AO, 41, FALSE)))))"),"A7c4;")</f>
        <v>A7c4;</v>
      </c>
      <c r="AP1043" s="89"/>
    </row>
    <row r="1044">
      <c r="A1044" s="151" t="str">
        <f>IFERROR(__xludf.DUMMYFUNCTION("""COMPUTED_VALUE"""),"A7c5")</f>
        <v>A7c5</v>
      </c>
      <c r="B1044" s="42" t="str">
        <f>IFERROR(__xludf.DUMMYFUNCTION("""COMPUTED_VALUE"""),"DHBA")</f>
        <v>DHBA</v>
      </c>
      <c r="C1044" s="42" t="str">
        <f>IFERROR(__xludf.DUMMYFUNCTION("""COMPUTED_VALUE"""),"layer V of area 7c")</f>
        <v>layer V of area 7c</v>
      </c>
      <c r="D1044" s="42">
        <f>IFERROR(__xludf.DUMMYFUNCTION("""COMPUTED_VALUE"""),987.0)</f>
        <v>987</v>
      </c>
      <c r="E1044" s="39" t="str">
        <f>IFERROR(__xludf.DUMMYFUNCTION("""COMPUTED_VALUE"""),"layer V of area 7c")</f>
        <v>layer V of area 7c</v>
      </c>
      <c r="F1044" s="9" t="str">
        <f>IFERROR(__xludf.DUMMYFUNCTION("""COMPUTED_VALUE"""),"Br")</f>
        <v>Br</v>
      </c>
      <c r="G1044" s="9" t="str">
        <f>IFERROR(__xludf.DUMMYFUNCTION("""COMPUTED_VALUE"""),"F")</f>
        <v>F</v>
      </c>
      <c r="H1044" s="9" t="str">
        <f>IFERROR(__xludf.DUMMYFUNCTION("""COMPUTED_VALUE"""),"FGM")</f>
        <v>FGM</v>
      </c>
      <c r="I1044" s="9" t="str">
        <f>IFERROR(__xludf.DUMMYFUNCTION("""COMPUTED_VALUE"""),"Tel")</f>
        <v>Tel</v>
      </c>
      <c r="J1044" s="9" t="str">
        <f>IFERROR(__xludf.DUMMYFUNCTION("""COMPUTED_VALUE"""),"Cx")</f>
        <v>Cx</v>
      </c>
      <c r="K1044" s="9" t="str">
        <f>IFERROR(__xludf.DUMMYFUNCTION("""COMPUTED_VALUE"""),"NCx")</f>
        <v>NCx</v>
      </c>
      <c r="L1044" s="9" t="str">
        <f>IFERROR(__xludf.DUMMYFUNCTION("""COMPUTED_VALUE"""),"PCx")</f>
        <v>PCx</v>
      </c>
      <c r="M1044" s="9" t="str">
        <f>IFERROR(__xludf.DUMMYFUNCTION("""COMPUTED_VALUE"""),"PoPC")</f>
        <v>PoPC</v>
      </c>
      <c r="N1044" s="9" t="str">
        <f>IFERROR(__xludf.DUMMYFUNCTION("""COMPUTED_VALUE"""),"SPC")</f>
        <v>SPC</v>
      </c>
      <c r="O1044" s="9" t="str">
        <f>IFERROR(__xludf.DUMMYFUNCTION("""COMPUTED_VALUE"""),"A7")</f>
        <v>A7</v>
      </c>
      <c r="P1044" s="9" t="str">
        <f>IFERROR(__xludf.DUMMYFUNCTION("""COMPUTED_VALUE"""),"A7c")</f>
        <v>A7c</v>
      </c>
      <c r="Q1044" s="9" t="str">
        <f>IFERROR(__xludf.DUMMYFUNCTION("""COMPUTED_VALUE"""),"A7c5")</f>
        <v>A7c5</v>
      </c>
      <c r="R1044" s="9"/>
      <c r="S1044" s="42"/>
      <c r="T1044" s="42"/>
      <c r="U1044" s="42"/>
      <c r="V1044" s="42"/>
      <c r="W1044" s="42"/>
      <c r="X1044" s="42"/>
      <c r="Y1044" s="42"/>
      <c r="Z1044" s="42"/>
      <c r="AA1044" s="42"/>
      <c r="AB1044" s="42" t="str">
        <f>IFERROR(__xludf.DUMMYFUNCTION("""COMPUTED_VALUE"""),"allen institute")</f>
        <v>allen institute</v>
      </c>
      <c r="AC1044" s="42" t="str">
        <f>IFERROR(__xludf.DUMMYFUNCTION("""COMPUTED_VALUE"""),"DHBA")</f>
        <v>DHBA</v>
      </c>
      <c r="AD1044" s="42"/>
      <c r="AE1044" s="42"/>
      <c r="AF1044" s="9"/>
      <c r="AG1044" s="9"/>
      <c r="AH1044" s="42"/>
      <c r="AI1044" s="42"/>
      <c r="AJ1044" s="42"/>
      <c r="AK1044" s="42"/>
      <c r="AL1044" s="42"/>
      <c r="AM1044" s="42"/>
      <c r="AN1044" s="42"/>
      <c r="AO1044" s="63" t="str">
        <f>IFERROR(__xludf.DUMMYFUNCTION("IF(ISBLANK(A1044),,IF(ISBLANK(S1044), A1044&amp;"";"", TEXTJOIN(CHAR(10), TRUE, A1044&amp;"";"", ARRAYFORMULA(VLOOKUP(SPLIT(S1044, "";"" &amp; CHAR(10)), $A:$AO, 41, FALSE)))))"),"A7c5;")</f>
        <v>A7c5;</v>
      </c>
      <c r="AP1044" s="89"/>
    </row>
    <row r="1045">
      <c r="A1045" s="151" t="str">
        <f>IFERROR(__xludf.DUMMYFUNCTION("""COMPUTED_VALUE"""),"A7c6")</f>
        <v>A7c6</v>
      </c>
      <c r="B1045" s="42" t="str">
        <f>IFERROR(__xludf.DUMMYFUNCTION("""COMPUTED_VALUE"""),"DHBA")</f>
        <v>DHBA</v>
      </c>
      <c r="C1045" s="42" t="str">
        <f>IFERROR(__xludf.DUMMYFUNCTION("""COMPUTED_VALUE"""),"layer VI of area 7c")</f>
        <v>layer VI of area 7c</v>
      </c>
      <c r="D1045" s="42">
        <f>IFERROR(__xludf.DUMMYFUNCTION("""COMPUTED_VALUE"""),988.0)</f>
        <v>988</v>
      </c>
      <c r="E1045" s="39" t="str">
        <f>IFERROR(__xludf.DUMMYFUNCTION("""COMPUTED_VALUE"""),"layer VI of area 7c")</f>
        <v>layer VI of area 7c</v>
      </c>
      <c r="F1045" s="9" t="str">
        <f>IFERROR(__xludf.DUMMYFUNCTION("""COMPUTED_VALUE"""),"Br")</f>
        <v>Br</v>
      </c>
      <c r="G1045" s="9" t="str">
        <f>IFERROR(__xludf.DUMMYFUNCTION("""COMPUTED_VALUE"""),"F")</f>
        <v>F</v>
      </c>
      <c r="H1045" s="9" t="str">
        <f>IFERROR(__xludf.DUMMYFUNCTION("""COMPUTED_VALUE"""),"FGM")</f>
        <v>FGM</v>
      </c>
      <c r="I1045" s="9" t="str">
        <f>IFERROR(__xludf.DUMMYFUNCTION("""COMPUTED_VALUE"""),"Tel")</f>
        <v>Tel</v>
      </c>
      <c r="J1045" s="9" t="str">
        <f>IFERROR(__xludf.DUMMYFUNCTION("""COMPUTED_VALUE"""),"Cx")</f>
        <v>Cx</v>
      </c>
      <c r="K1045" s="9" t="str">
        <f>IFERROR(__xludf.DUMMYFUNCTION("""COMPUTED_VALUE"""),"NCx")</f>
        <v>NCx</v>
      </c>
      <c r="L1045" s="9" t="str">
        <f>IFERROR(__xludf.DUMMYFUNCTION("""COMPUTED_VALUE"""),"PCx")</f>
        <v>PCx</v>
      </c>
      <c r="M1045" s="9" t="str">
        <f>IFERROR(__xludf.DUMMYFUNCTION("""COMPUTED_VALUE"""),"PoPC")</f>
        <v>PoPC</v>
      </c>
      <c r="N1045" s="9" t="str">
        <f>IFERROR(__xludf.DUMMYFUNCTION("""COMPUTED_VALUE"""),"SPC")</f>
        <v>SPC</v>
      </c>
      <c r="O1045" s="9" t="str">
        <f>IFERROR(__xludf.DUMMYFUNCTION("""COMPUTED_VALUE"""),"A7")</f>
        <v>A7</v>
      </c>
      <c r="P1045" s="9" t="str">
        <f>IFERROR(__xludf.DUMMYFUNCTION("""COMPUTED_VALUE"""),"A7c")</f>
        <v>A7c</v>
      </c>
      <c r="Q1045" s="9" t="str">
        <f>IFERROR(__xludf.DUMMYFUNCTION("""COMPUTED_VALUE"""),"A7c6")</f>
        <v>A7c6</v>
      </c>
      <c r="R1045" s="9"/>
      <c r="S1045" s="42"/>
      <c r="T1045" s="42"/>
      <c r="U1045" s="159"/>
      <c r="V1045" s="42"/>
      <c r="W1045" s="42"/>
      <c r="X1045" s="42"/>
      <c r="Y1045" s="42"/>
      <c r="Z1045" s="42"/>
      <c r="AA1045" s="42"/>
      <c r="AB1045" s="42" t="str">
        <f>IFERROR(__xludf.DUMMYFUNCTION("""COMPUTED_VALUE"""),"allen institute")</f>
        <v>allen institute</v>
      </c>
      <c r="AC1045" s="42" t="str">
        <f>IFERROR(__xludf.DUMMYFUNCTION("""COMPUTED_VALUE"""),"DHBA")</f>
        <v>DHBA</v>
      </c>
      <c r="AD1045" s="42"/>
      <c r="AE1045" s="42"/>
      <c r="AF1045" s="9"/>
      <c r="AG1045" s="9"/>
      <c r="AH1045" s="42"/>
      <c r="AI1045" s="42"/>
      <c r="AJ1045" s="42"/>
      <c r="AK1045" s="42"/>
      <c r="AL1045" s="42"/>
      <c r="AM1045" s="42"/>
      <c r="AN1045" s="42"/>
      <c r="AO1045" s="63" t="str">
        <f>IFERROR(__xludf.DUMMYFUNCTION("IF(ISBLANK(A1045),,IF(ISBLANK(S1045), A1045&amp;"";"", TEXTJOIN(CHAR(10), TRUE, A1045&amp;"";"", ARRAYFORMULA(VLOOKUP(SPLIT(S1045, "";"" &amp; CHAR(10)), $A:$AO, 41, FALSE)))))"),"A7c6;")</f>
        <v>A7c6;</v>
      </c>
      <c r="AP1045" s="89"/>
    </row>
    <row r="1046">
      <c r="A1046" s="151" t="str">
        <f>IFERROR(__xludf.DUMMYFUNCTION("""COMPUTED_VALUE"""),"A7pc")</f>
        <v>A7pc</v>
      </c>
      <c r="B1046" s="42" t="str">
        <f>IFERROR(__xludf.DUMMYFUNCTION("""COMPUTED_VALUE"""),"DHBA")</f>
        <v>DHBA</v>
      </c>
      <c r="C1046" s="42" t="str">
        <f>IFERROR(__xludf.DUMMYFUNCTION("""COMPUTED_VALUE"""),"postcentral subdivision of area 7")</f>
        <v>postcentral subdivision of area 7</v>
      </c>
      <c r="D1046" s="42">
        <f>IFERROR(__xludf.DUMMYFUNCTION("""COMPUTED_VALUE"""),989.0)</f>
        <v>989</v>
      </c>
      <c r="E1046" s="39" t="str">
        <f>IFERROR(__xludf.DUMMYFUNCTION("""COMPUTED_VALUE"""),"postcentral subdivision of area 7")</f>
        <v>postcentral subdivision of area 7</v>
      </c>
      <c r="F1046" s="9" t="str">
        <f>IFERROR(__xludf.DUMMYFUNCTION("""COMPUTED_VALUE"""),"Br")</f>
        <v>Br</v>
      </c>
      <c r="G1046" s="9" t="str">
        <f>IFERROR(__xludf.DUMMYFUNCTION("""COMPUTED_VALUE"""),"F")</f>
        <v>F</v>
      </c>
      <c r="H1046" s="9" t="str">
        <f>IFERROR(__xludf.DUMMYFUNCTION("""COMPUTED_VALUE"""),"FGM")</f>
        <v>FGM</v>
      </c>
      <c r="I1046" s="9" t="str">
        <f>IFERROR(__xludf.DUMMYFUNCTION("""COMPUTED_VALUE"""),"Tel")</f>
        <v>Tel</v>
      </c>
      <c r="J1046" s="9" t="str">
        <f>IFERROR(__xludf.DUMMYFUNCTION("""COMPUTED_VALUE"""),"Cx")</f>
        <v>Cx</v>
      </c>
      <c r="K1046" s="9" t="str">
        <f>IFERROR(__xludf.DUMMYFUNCTION("""COMPUTED_VALUE"""),"NCx")</f>
        <v>NCx</v>
      </c>
      <c r="L1046" s="9" t="str">
        <f>IFERROR(__xludf.DUMMYFUNCTION("""COMPUTED_VALUE"""),"PCx")</f>
        <v>PCx</v>
      </c>
      <c r="M1046" s="9" t="str">
        <f>IFERROR(__xludf.DUMMYFUNCTION("""COMPUTED_VALUE"""),"PoPC")</f>
        <v>PoPC</v>
      </c>
      <c r="N1046" s="9" t="str">
        <f>IFERROR(__xludf.DUMMYFUNCTION("""COMPUTED_VALUE"""),"SPC")</f>
        <v>SPC</v>
      </c>
      <c r="O1046" s="9" t="str">
        <f>IFERROR(__xludf.DUMMYFUNCTION("""COMPUTED_VALUE"""),"A7")</f>
        <v>A7</v>
      </c>
      <c r="P1046" s="9" t="str">
        <f>IFERROR(__xludf.DUMMYFUNCTION("""COMPUTED_VALUE"""),"A7pc")</f>
        <v>A7pc</v>
      </c>
      <c r="Q1046" s="9"/>
      <c r="R1046" s="9"/>
      <c r="S1046" s="42" t="str">
        <f>IFERROR(__xludf.DUMMYFUNCTION("""COMPUTED_VALUE"""),"A7pc1;
A7pc2;
A7pc3;
A7pc4;
A7pc5;
A7pc6")</f>
        <v>A7pc1;
A7pc2;
A7pc3;
A7pc4;
A7pc5;
A7pc6</v>
      </c>
      <c r="T1046" s="42"/>
      <c r="U1046" s="42" t="b">
        <f>IFERROR(__xludf.DUMMYFUNCTION("""COMPUTED_VALUE"""),FALSE)</f>
        <v>0</v>
      </c>
      <c r="V1046" s="42"/>
      <c r="W1046" s="42"/>
      <c r="X1046" s="42"/>
      <c r="Y1046" s="42"/>
      <c r="Z1046" s="42"/>
      <c r="AA1046" s="42"/>
      <c r="AB1046" s="42" t="str">
        <f>IFERROR(__xludf.DUMMYFUNCTION("""COMPUTED_VALUE"""),"allen institute")</f>
        <v>allen institute</v>
      </c>
      <c r="AC1046" s="42" t="str">
        <f>IFERROR(__xludf.DUMMYFUNCTION("""COMPUTED_VALUE"""),"DHBA")</f>
        <v>DHBA</v>
      </c>
      <c r="AD1046" s="42"/>
      <c r="AE1046" s="42"/>
      <c r="AF1046" s="9"/>
      <c r="AG1046" s="9"/>
      <c r="AH1046" s="42"/>
      <c r="AI1046" s="42"/>
      <c r="AJ1046" s="42"/>
      <c r="AK1046" s="42"/>
      <c r="AL1046" s="42"/>
      <c r="AM1046" s="42"/>
      <c r="AN1046" s="42"/>
      <c r="AO1046" s="63" t="str">
        <f>IFERROR(__xludf.DUMMYFUNCTION("IF(ISBLANK(A1046),,IF(ISBLANK(S1046), A1046&amp;"";"", TEXTJOIN(CHAR(10), TRUE, A1046&amp;"";"", ARRAYFORMULA(VLOOKUP(SPLIT(S1046, "";"" &amp; CHAR(10)), $A:$AO, 41, FALSE)))))"),"A7pc;
A7pc1;
A7pc2;
A7pc3;
A7pc4;
A7pc5;
A7pc6;")</f>
        <v>A7pc;
A7pc1;
A7pc2;
A7pc3;
A7pc4;
A7pc5;
A7pc6;</v>
      </c>
      <c r="AP1046" s="89"/>
    </row>
    <row r="1047">
      <c r="A1047" s="151" t="str">
        <f>IFERROR(__xludf.DUMMYFUNCTION("""COMPUTED_VALUE"""),"A7pc1")</f>
        <v>A7pc1</v>
      </c>
      <c r="B1047" s="42" t="str">
        <f>IFERROR(__xludf.DUMMYFUNCTION("""COMPUTED_VALUE"""),"DHBA")</f>
        <v>DHBA</v>
      </c>
      <c r="C1047" s="42" t="str">
        <f>IFERROR(__xludf.DUMMYFUNCTION("""COMPUTED_VALUE"""),"layer I of area 7pc")</f>
        <v>layer I of area 7pc</v>
      </c>
      <c r="D1047" s="42">
        <f>IFERROR(__xludf.DUMMYFUNCTION("""COMPUTED_VALUE"""),990.0)</f>
        <v>990</v>
      </c>
      <c r="E1047" s="39" t="str">
        <f>IFERROR(__xludf.DUMMYFUNCTION("""COMPUTED_VALUE"""),"layer I of area 7pc")</f>
        <v>layer I of area 7pc</v>
      </c>
      <c r="F1047" s="9" t="str">
        <f>IFERROR(__xludf.DUMMYFUNCTION("""COMPUTED_VALUE"""),"Br")</f>
        <v>Br</v>
      </c>
      <c r="G1047" s="9" t="str">
        <f>IFERROR(__xludf.DUMMYFUNCTION("""COMPUTED_VALUE"""),"F")</f>
        <v>F</v>
      </c>
      <c r="H1047" s="9" t="str">
        <f>IFERROR(__xludf.DUMMYFUNCTION("""COMPUTED_VALUE"""),"FGM")</f>
        <v>FGM</v>
      </c>
      <c r="I1047" s="9" t="str">
        <f>IFERROR(__xludf.DUMMYFUNCTION("""COMPUTED_VALUE"""),"Tel")</f>
        <v>Tel</v>
      </c>
      <c r="J1047" s="9" t="str">
        <f>IFERROR(__xludf.DUMMYFUNCTION("""COMPUTED_VALUE"""),"Cx")</f>
        <v>Cx</v>
      </c>
      <c r="K1047" s="9" t="str">
        <f>IFERROR(__xludf.DUMMYFUNCTION("""COMPUTED_VALUE"""),"NCx")</f>
        <v>NCx</v>
      </c>
      <c r="L1047" s="9" t="str">
        <f>IFERROR(__xludf.DUMMYFUNCTION("""COMPUTED_VALUE"""),"PCx")</f>
        <v>PCx</v>
      </c>
      <c r="M1047" s="9" t="str">
        <f>IFERROR(__xludf.DUMMYFUNCTION("""COMPUTED_VALUE"""),"PoPC")</f>
        <v>PoPC</v>
      </c>
      <c r="N1047" s="9" t="str">
        <f>IFERROR(__xludf.DUMMYFUNCTION("""COMPUTED_VALUE"""),"SPC")</f>
        <v>SPC</v>
      </c>
      <c r="O1047" s="9" t="str">
        <f>IFERROR(__xludf.DUMMYFUNCTION("""COMPUTED_VALUE"""),"A7")</f>
        <v>A7</v>
      </c>
      <c r="P1047" s="9" t="str">
        <f>IFERROR(__xludf.DUMMYFUNCTION("""COMPUTED_VALUE"""),"A7pc")</f>
        <v>A7pc</v>
      </c>
      <c r="Q1047" s="9" t="str">
        <f>IFERROR(__xludf.DUMMYFUNCTION("""COMPUTED_VALUE"""),"A7pc1")</f>
        <v>A7pc1</v>
      </c>
      <c r="R1047" s="9"/>
      <c r="S1047" s="42"/>
      <c r="T1047" s="42"/>
      <c r="U1047" s="42"/>
      <c r="V1047" s="42"/>
      <c r="W1047" s="42"/>
      <c r="X1047" s="42"/>
      <c r="Y1047" s="42"/>
      <c r="Z1047" s="42"/>
      <c r="AA1047" s="42"/>
      <c r="AB1047" s="42" t="str">
        <f>IFERROR(__xludf.DUMMYFUNCTION("""COMPUTED_VALUE"""),"allen institute")</f>
        <v>allen institute</v>
      </c>
      <c r="AC1047" s="42" t="str">
        <f>IFERROR(__xludf.DUMMYFUNCTION("""COMPUTED_VALUE"""),"DHBA")</f>
        <v>DHBA</v>
      </c>
      <c r="AD1047" s="42"/>
      <c r="AE1047" s="42"/>
      <c r="AF1047" s="9"/>
      <c r="AG1047" s="9"/>
      <c r="AH1047" s="42"/>
      <c r="AI1047" s="42"/>
      <c r="AJ1047" s="42"/>
      <c r="AK1047" s="42"/>
      <c r="AL1047" s="42"/>
      <c r="AM1047" s="42"/>
      <c r="AN1047" s="42"/>
      <c r="AO1047" s="63" t="str">
        <f>IFERROR(__xludf.DUMMYFUNCTION("IF(ISBLANK(A1047),,IF(ISBLANK(S1047), A1047&amp;"";"", TEXTJOIN(CHAR(10), TRUE, A1047&amp;"";"", ARRAYFORMULA(VLOOKUP(SPLIT(S1047, "";"" &amp; CHAR(10)), $A:$AO, 41, FALSE)))))"),"A7pc1;")</f>
        <v>A7pc1;</v>
      </c>
      <c r="AP1047" s="89"/>
    </row>
    <row r="1048">
      <c r="A1048" s="151" t="str">
        <f>IFERROR(__xludf.DUMMYFUNCTION("""COMPUTED_VALUE"""),"A7pc2")</f>
        <v>A7pc2</v>
      </c>
      <c r="B1048" s="42" t="str">
        <f>IFERROR(__xludf.DUMMYFUNCTION("""COMPUTED_VALUE"""),"DHBA")</f>
        <v>DHBA</v>
      </c>
      <c r="C1048" s="42" t="str">
        <f>IFERROR(__xludf.DUMMYFUNCTION("""COMPUTED_VALUE"""),"layer II of area 7pc")</f>
        <v>layer II of area 7pc</v>
      </c>
      <c r="D1048" s="42">
        <f>IFERROR(__xludf.DUMMYFUNCTION("""COMPUTED_VALUE"""),991.0)</f>
        <v>991</v>
      </c>
      <c r="E1048" s="39" t="str">
        <f>IFERROR(__xludf.DUMMYFUNCTION("""COMPUTED_VALUE"""),"layer II of area 7pc")</f>
        <v>layer II of area 7pc</v>
      </c>
      <c r="F1048" s="9" t="str">
        <f>IFERROR(__xludf.DUMMYFUNCTION("""COMPUTED_VALUE"""),"Br")</f>
        <v>Br</v>
      </c>
      <c r="G1048" s="9" t="str">
        <f>IFERROR(__xludf.DUMMYFUNCTION("""COMPUTED_VALUE"""),"F")</f>
        <v>F</v>
      </c>
      <c r="H1048" s="9" t="str">
        <f>IFERROR(__xludf.DUMMYFUNCTION("""COMPUTED_VALUE"""),"FGM")</f>
        <v>FGM</v>
      </c>
      <c r="I1048" s="9" t="str">
        <f>IFERROR(__xludf.DUMMYFUNCTION("""COMPUTED_VALUE"""),"Tel")</f>
        <v>Tel</v>
      </c>
      <c r="J1048" s="9" t="str">
        <f>IFERROR(__xludf.DUMMYFUNCTION("""COMPUTED_VALUE"""),"Cx")</f>
        <v>Cx</v>
      </c>
      <c r="K1048" s="9" t="str">
        <f>IFERROR(__xludf.DUMMYFUNCTION("""COMPUTED_VALUE"""),"NCx")</f>
        <v>NCx</v>
      </c>
      <c r="L1048" s="9" t="str">
        <f>IFERROR(__xludf.DUMMYFUNCTION("""COMPUTED_VALUE"""),"PCx")</f>
        <v>PCx</v>
      </c>
      <c r="M1048" s="9" t="str">
        <f>IFERROR(__xludf.DUMMYFUNCTION("""COMPUTED_VALUE"""),"PoPC")</f>
        <v>PoPC</v>
      </c>
      <c r="N1048" s="9" t="str">
        <f>IFERROR(__xludf.DUMMYFUNCTION("""COMPUTED_VALUE"""),"SPC")</f>
        <v>SPC</v>
      </c>
      <c r="O1048" s="9" t="str">
        <f>IFERROR(__xludf.DUMMYFUNCTION("""COMPUTED_VALUE"""),"A7")</f>
        <v>A7</v>
      </c>
      <c r="P1048" s="9" t="str">
        <f>IFERROR(__xludf.DUMMYFUNCTION("""COMPUTED_VALUE"""),"A7pc")</f>
        <v>A7pc</v>
      </c>
      <c r="Q1048" s="9" t="str">
        <f>IFERROR(__xludf.DUMMYFUNCTION("""COMPUTED_VALUE"""),"A7pc2")</f>
        <v>A7pc2</v>
      </c>
      <c r="R1048" s="9"/>
      <c r="S1048" s="42"/>
      <c r="T1048" s="42"/>
      <c r="U1048" s="42"/>
      <c r="V1048" s="42"/>
      <c r="W1048" s="42"/>
      <c r="X1048" s="42"/>
      <c r="Y1048" s="42"/>
      <c r="Z1048" s="42"/>
      <c r="AA1048" s="42"/>
      <c r="AB1048" s="42" t="str">
        <f>IFERROR(__xludf.DUMMYFUNCTION("""COMPUTED_VALUE"""),"allen institute")</f>
        <v>allen institute</v>
      </c>
      <c r="AC1048" s="42" t="str">
        <f>IFERROR(__xludf.DUMMYFUNCTION("""COMPUTED_VALUE"""),"DHBA")</f>
        <v>DHBA</v>
      </c>
      <c r="AD1048" s="42"/>
      <c r="AE1048" s="42"/>
      <c r="AF1048" s="9"/>
      <c r="AG1048" s="9"/>
      <c r="AH1048" s="42"/>
      <c r="AI1048" s="42"/>
      <c r="AJ1048" s="42"/>
      <c r="AK1048" s="42"/>
      <c r="AL1048" s="42"/>
      <c r="AM1048" s="42"/>
      <c r="AN1048" s="42"/>
      <c r="AO1048" s="63" t="str">
        <f>IFERROR(__xludf.DUMMYFUNCTION("IF(ISBLANK(A1048),,IF(ISBLANK(S1048), A1048&amp;"";"", TEXTJOIN(CHAR(10), TRUE, A1048&amp;"";"", ARRAYFORMULA(VLOOKUP(SPLIT(S1048, "";"" &amp; CHAR(10)), $A:$AO, 41, FALSE)))))"),"A7pc2;")</f>
        <v>A7pc2;</v>
      </c>
      <c r="AP1048" s="89"/>
    </row>
    <row r="1049">
      <c r="A1049" s="151" t="str">
        <f>IFERROR(__xludf.DUMMYFUNCTION("""COMPUTED_VALUE"""),"A7pc3")</f>
        <v>A7pc3</v>
      </c>
      <c r="B1049" s="42" t="str">
        <f>IFERROR(__xludf.DUMMYFUNCTION("""COMPUTED_VALUE"""),"DHBA")</f>
        <v>DHBA</v>
      </c>
      <c r="C1049" s="42" t="str">
        <f>IFERROR(__xludf.DUMMYFUNCTION("""COMPUTED_VALUE"""),"layer III of area 7pc")</f>
        <v>layer III of area 7pc</v>
      </c>
      <c r="D1049" s="42">
        <f>IFERROR(__xludf.DUMMYFUNCTION("""COMPUTED_VALUE"""),992.0)</f>
        <v>992</v>
      </c>
      <c r="E1049" s="39" t="str">
        <f>IFERROR(__xludf.DUMMYFUNCTION("""COMPUTED_VALUE"""),"layer III of area 7pc")</f>
        <v>layer III of area 7pc</v>
      </c>
      <c r="F1049" s="9" t="str">
        <f>IFERROR(__xludf.DUMMYFUNCTION("""COMPUTED_VALUE"""),"Br")</f>
        <v>Br</v>
      </c>
      <c r="G1049" s="9" t="str">
        <f>IFERROR(__xludf.DUMMYFUNCTION("""COMPUTED_VALUE"""),"F")</f>
        <v>F</v>
      </c>
      <c r="H1049" s="9" t="str">
        <f>IFERROR(__xludf.DUMMYFUNCTION("""COMPUTED_VALUE"""),"FGM")</f>
        <v>FGM</v>
      </c>
      <c r="I1049" s="9" t="str">
        <f>IFERROR(__xludf.DUMMYFUNCTION("""COMPUTED_VALUE"""),"Tel")</f>
        <v>Tel</v>
      </c>
      <c r="J1049" s="9" t="str">
        <f>IFERROR(__xludf.DUMMYFUNCTION("""COMPUTED_VALUE"""),"Cx")</f>
        <v>Cx</v>
      </c>
      <c r="K1049" s="9" t="str">
        <f>IFERROR(__xludf.DUMMYFUNCTION("""COMPUTED_VALUE"""),"NCx")</f>
        <v>NCx</v>
      </c>
      <c r="L1049" s="9" t="str">
        <f>IFERROR(__xludf.DUMMYFUNCTION("""COMPUTED_VALUE"""),"PCx")</f>
        <v>PCx</v>
      </c>
      <c r="M1049" s="9" t="str">
        <f>IFERROR(__xludf.DUMMYFUNCTION("""COMPUTED_VALUE"""),"PoPC")</f>
        <v>PoPC</v>
      </c>
      <c r="N1049" s="9" t="str">
        <f>IFERROR(__xludf.DUMMYFUNCTION("""COMPUTED_VALUE"""),"SPC")</f>
        <v>SPC</v>
      </c>
      <c r="O1049" s="9" t="str">
        <f>IFERROR(__xludf.DUMMYFUNCTION("""COMPUTED_VALUE"""),"A7")</f>
        <v>A7</v>
      </c>
      <c r="P1049" s="9" t="str">
        <f>IFERROR(__xludf.DUMMYFUNCTION("""COMPUTED_VALUE"""),"A7pc")</f>
        <v>A7pc</v>
      </c>
      <c r="Q1049" s="9" t="str">
        <f>IFERROR(__xludf.DUMMYFUNCTION("""COMPUTED_VALUE"""),"A7pc3")</f>
        <v>A7pc3</v>
      </c>
      <c r="R1049" s="9"/>
      <c r="S1049" s="42"/>
      <c r="T1049" s="42"/>
      <c r="U1049" s="159"/>
      <c r="V1049" s="42"/>
      <c r="W1049" s="42"/>
      <c r="X1049" s="42"/>
      <c r="Y1049" s="42"/>
      <c r="Z1049" s="42"/>
      <c r="AA1049" s="42"/>
      <c r="AB1049" s="42" t="str">
        <f>IFERROR(__xludf.DUMMYFUNCTION("""COMPUTED_VALUE"""),"allen institute")</f>
        <v>allen institute</v>
      </c>
      <c r="AC1049" s="42" t="str">
        <f>IFERROR(__xludf.DUMMYFUNCTION("""COMPUTED_VALUE"""),"DHBA")</f>
        <v>DHBA</v>
      </c>
      <c r="AD1049" s="42"/>
      <c r="AE1049" s="42"/>
      <c r="AF1049" s="9"/>
      <c r="AG1049" s="9"/>
      <c r="AH1049" s="42"/>
      <c r="AI1049" s="42"/>
      <c r="AJ1049" s="42"/>
      <c r="AK1049" s="42"/>
      <c r="AL1049" s="42"/>
      <c r="AM1049" s="42"/>
      <c r="AN1049" s="42"/>
      <c r="AO1049" s="63" t="str">
        <f>IFERROR(__xludf.DUMMYFUNCTION("IF(ISBLANK(A1049),,IF(ISBLANK(S1049), A1049&amp;"";"", TEXTJOIN(CHAR(10), TRUE, A1049&amp;"";"", ARRAYFORMULA(VLOOKUP(SPLIT(S1049, "";"" &amp; CHAR(10)), $A:$AO, 41, FALSE)))))"),"A7pc3;")</f>
        <v>A7pc3;</v>
      </c>
      <c r="AP1049" s="89"/>
    </row>
    <row r="1050">
      <c r="A1050" s="151" t="str">
        <f>IFERROR(__xludf.DUMMYFUNCTION("""COMPUTED_VALUE"""),"A7pc4")</f>
        <v>A7pc4</v>
      </c>
      <c r="B1050" s="42" t="str">
        <f>IFERROR(__xludf.DUMMYFUNCTION("""COMPUTED_VALUE"""),"DHBA")</f>
        <v>DHBA</v>
      </c>
      <c r="C1050" s="42" t="str">
        <f>IFERROR(__xludf.DUMMYFUNCTION("""COMPUTED_VALUE"""),"layer IV of area 7pc")</f>
        <v>layer IV of area 7pc</v>
      </c>
      <c r="D1050" s="42">
        <f>IFERROR(__xludf.DUMMYFUNCTION("""COMPUTED_VALUE"""),993.0)</f>
        <v>993</v>
      </c>
      <c r="E1050" s="39" t="str">
        <f>IFERROR(__xludf.DUMMYFUNCTION("""COMPUTED_VALUE"""),"layer IV of area 7pc")</f>
        <v>layer IV of area 7pc</v>
      </c>
      <c r="F1050" s="9" t="str">
        <f>IFERROR(__xludf.DUMMYFUNCTION("""COMPUTED_VALUE"""),"Br")</f>
        <v>Br</v>
      </c>
      <c r="G1050" s="9" t="str">
        <f>IFERROR(__xludf.DUMMYFUNCTION("""COMPUTED_VALUE"""),"F")</f>
        <v>F</v>
      </c>
      <c r="H1050" s="9" t="str">
        <f>IFERROR(__xludf.DUMMYFUNCTION("""COMPUTED_VALUE"""),"FGM")</f>
        <v>FGM</v>
      </c>
      <c r="I1050" s="9" t="str">
        <f>IFERROR(__xludf.DUMMYFUNCTION("""COMPUTED_VALUE"""),"Tel")</f>
        <v>Tel</v>
      </c>
      <c r="J1050" s="9" t="str">
        <f>IFERROR(__xludf.DUMMYFUNCTION("""COMPUTED_VALUE"""),"Cx")</f>
        <v>Cx</v>
      </c>
      <c r="K1050" s="9" t="str">
        <f>IFERROR(__xludf.DUMMYFUNCTION("""COMPUTED_VALUE"""),"NCx")</f>
        <v>NCx</v>
      </c>
      <c r="L1050" s="9" t="str">
        <f>IFERROR(__xludf.DUMMYFUNCTION("""COMPUTED_VALUE"""),"PCx")</f>
        <v>PCx</v>
      </c>
      <c r="M1050" s="9" t="str">
        <f>IFERROR(__xludf.DUMMYFUNCTION("""COMPUTED_VALUE"""),"PoPC")</f>
        <v>PoPC</v>
      </c>
      <c r="N1050" s="9" t="str">
        <f>IFERROR(__xludf.DUMMYFUNCTION("""COMPUTED_VALUE"""),"SPC")</f>
        <v>SPC</v>
      </c>
      <c r="O1050" s="9" t="str">
        <f>IFERROR(__xludf.DUMMYFUNCTION("""COMPUTED_VALUE"""),"A7")</f>
        <v>A7</v>
      </c>
      <c r="P1050" s="9" t="str">
        <f>IFERROR(__xludf.DUMMYFUNCTION("""COMPUTED_VALUE"""),"A7pc")</f>
        <v>A7pc</v>
      </c>
      <c r="Q1050" s="9" t="str">
        <f>IFERROR(__xludf.DUMMYFUNCTION("""COMPUTED_VALUE"""),"A7pc4")</f>
        <v>A7pc4</v>
      </c>
      <c r="R1050" s="9"/>
      <c r="S1050" s="42"/>
      <c r="T1050" s="42"/>
      <c r="U1050" s="159"/>
      <c r="V1050" s="42"/>
      <c r="W1050" s="42"/>
      <c r="X1050" s="42"/>
      <c r="Y1050" s="42"/>
      <c r="Z1050" s="42"/>
      <c r="AA1050" s="42"/>
      <c r="AB1050" s="42" t="str">
        <f>IFERROR(__xludf.DUMMYFUNCTION("""COMPUTED_VALUE"""),"allen institute")</f>
        <v>allen institute</v>
      </c>
      <c r="AC1050" s="42" t="str">
        <f>IFERROR(__xludf.DUMMYFUNCTION("""COMPUTED_VALUE"""),"DHBA")</f>
        <v>DHBA</v>
      </c>
      <c r="AD1050" s="42"/>
      <c r="AE1050" s="42"/>
      <c r="AF1050" s="9"/>
      <c r="AG1050" s="9"/>
      <c r="AH1050" s="42"/>
      <c r="AI1050" s="42"/>
      <c r="AJ1050" s="42"/>
      <c r="AK1050" s="42"/>
      <c r="AL1050" s="42"/>
      <c r="AM1050" s="42"/>
      <c r="AN1050" s="42"/>
      <c r="AO1050" s="63" t="str">
        <f>IFERROR(__xludf.DUMMYFUNCTION("IF(ISBLANK(A1050),,IF(ISBLANK(S1050), A1050&amp;"";"", TEXTJOIN(CHAR(10), TRUE, A1050&amp;"";"", ARRAYFORMULA(VLOOKUP(SPLIT(S1050, "";"" &amp; CHAR(10)), $A:$AO, 41, FALSE)))))"),"A7pc4;")</f>
        <v>A7pc4;</v>
      </c>
      <c r="AP1050" s="89"/>
    </row>
    <row r="1051">
      <c r="A1051" s="151" t="str">
        <f>IFERROR(__xludf.DUMMYFUNCTION("""COMPUTED_VALUE"""),"A7pc5")</f>
        <v>A7pc5</v>
      </c>
      <c r="B1051" s="42" t="str">
        <f>IFERROR(__xludf.DUMMYFUNCTION("""COMPUTED_VALUE"""),"DHBA")</f>
        <v>DHBA</v>
      </c>
      <c r="C1051" s="42" t="str">
        <f>IFERROR(__xludf.DUMMYFUNCTION("""COMPUTED_VALUE"""),"layer V of area 7pc")</f>
        <v>layer V of area 7pc</v>
      </c>
      <c r="D1051" s="42">
        <f>IFERROR(__xludf.DUMMYFUNCTION("""COMPUTED_VALUE"""),994.0)</f>
        <v>994</v>
      </c>
      <c r="E1051" s="39" t="str">
        <f>IFERROR(__xludf.DUMMYFUNCTION("""COMPUTED_VALUE"""),"layer V of area 7pc")</f>
        <v>layer V of area 7pc</v>
      </c>
      <c r="F1051" s="9" t="str">
        <f>IFERROR(__xludf.DUMMYFUNCTION("""COMPUTED_VALUE"""),"Br")</f>
        <v>Br</v>
      </c>
      <c r="G1051" s="9" t="str">
        <f>IFERROR(__xludf.DUMMYFUNCTION("""COMPUTED_VALUE"""),"F")</f>
        <v>F</v>
      </c>
      <c r="H1051" s="9" t="str">
        <f>IFERROR(__xludf.DUMMYFUNCTION("""COMPUTED_VALUE"""),"FGM")</f>
        <v>FGM</v>
      </c>
      <c r="I1051" s="9" t="str">
        <f>IFERROR(__xludf.DUMMYFUNCTION("""COMPUTED_VALUE"""),"Tel")</f>
        <v>Tel</v>
      </c>
      <c r="J1051" s="9" t="str">
        <f>IFERROR(__xludf.DUMMYFUNCTION("""COMPUTED_VALUE"""),"Cx")</f>
        <v>Cx</v>
      </c>
      <c r="K1051" s="9" t="str">
        <f>IFERROR(__xludf.DUMMYFUNCTION("""COMPUTED_VALUE"""),"NCx")</f>
        <v>NCx</v>
      </c>
      <c r="L1051" s="9" t="str">
        <f>IFERROR(__xludf.DUMMYFUNCTION("""COMPUTED_VALUE"""),"PCx")</f>
        <v>PCx</v>
      </c>
      <c r="M1051" s="9" t="str">
        <f>IFERROR(__xludf.DUMMYFUNCTION("""COMPUTED_VALUE"""),"PoPC")</f>
        <v>PoPC</v>
      </c>
      <c r="N1051" s="9" t="str">
        <f>IFERROR(__xludf.DUMMYFUNCTION("""COMPUTED_VALUE"""),"SPC")</f>
        <v>SPC</v>
      </c>
      <c r="O1051" s="9" t="str">
        <f>IFERROR(__xludf.DUMMYFUNCTION("""COMPUTED_VALUE"""),"A7")</f>
        <v>A7</v>
      </c>
      <c r="P1051" s="9" t="str">
        <f>IFERROR(__xludf.DUMMYFUNCTION("""COMPUTED_VALUE"""),"A7pc")</f>
        <v>A7pc</v>
      </c>
      <c r="Q1051" s="9" t="str">
        <f>IFERROR(__xludf.DUMMYFUNCTION("""COMPUTED_VALUE"""),"A7pc5")</f>
        <v>A7pc5</v>
      </c>
      <c r="R1051" s="9"/>
      <c r="S1051" s="42"/>
      <c r="T1051" s="42"/>
      <c r="U1051" s="159"/>
      <c r="V1051" s="42"/>
      <c r="W1051" s="42"/>
      <c r="X1051" s="42"/>
      <c r="Y1051" s="42"/>
      <c r="Z1051" s="42"/>
      <c r="AA1051" s="42"/>
      <c r="AB1051" s="42" t="str">
        <f>IFERROR(__xludf.DUMMYFUNCTION("""COMPUTED_VALUE"""),"allen institute")</f>
        <v>allen institute</v>
      </c>
      <c r="AC1051" s="42" t="str">
        <f>IFERROR(__xludf.DUMMYFUNCTION("""COMPUTED_VALUE"""),"DHBA")</f>
        <v>DHBA</v>
      </c>
      <c r="AD1051" s="42"/>
      <c r="AE1051" s="42"/>
      <c r="AF1051" s="9"/>
      <c r="AG1051" s="9"/>
      <c r="AH1051" s="42"/>
      <c r="AI1051" s="42"/>
      <c r="AJ1051" s="42"/>
      <c r="AK1051" s="42"/>
      <c r="AL1051" s="42"/>
      <c r="AM1051" s="42"/>
      <c r="AN1051" s="42"/>
      <c r="AO1051" s="63" t="str">
        <f>IFERROR(__xludf.DUMMYFUNCTION("IF(ISBLANK(A1051),,IF(ISBLANK(S1051), A1051&amp;"";"", TEXTJOIN(CHAR(10), TRUE, A1051&amp;"";"", ARRAYFORMULA(VLOOKUP(SPLIT(S1051, "";"" &amp; CHAR(10)), $A:$AO, 41, FALSE)))))"),"A7pc5;")</f>
        <v>A7pc5;</v>
      </c>
      <c r="AP1051" s="89"/>
    </row>
    <row r="1052">
      <c r="A1052" s="151" t="str">
        <f>IFERROR(__xludf.DUMMYFUNCTION("""COMPUTED_VALUE"""),"A7pc6")</f>
        <v>A7pc6</v>
      </c>
      <c r="B1052" s="42" t="str">
        <f>IFERROR(__xludf.DUMMYFUNCTION("""COMPUTED_VALUE"""),"DHBA")</f>
        <v>DHBA</v>
      </c>
      <c r="C1052" s="42" t="str">
        <f>IFERROR(__xludf.DUMMYFUNCTION("""COMPUTED_VALUE"""),"layer VI of area 7pc")</f>
        <v>layer VI of area 7pc</v>
      </c>
      <c r="D1052" s="42">
        <f>IFERROR(__xludf.DUMMYFUNCTION("""COMPUTED_VALUE"""),995.0)</f>
        <v>995</v>
      </c>
      <c r="E1052" s="39" t="str">
        <f>IFERROR(__xludf.DUMMYFUNCTION("""COMPUTED_VALUE"""),"layer VI of area 7pc")</f>
        <v>layer VI of area 7pc</v>
      </c>
      <c r="F1052" s="9" t="str">
        <f>IFERROR(__xludf.DUMMYFUNCTION("""COMPUTED_VALUE"""),"Br")</f>
        <v>Br</v>
      </c>
      <c r="G1052" s="9" t="str">
        <f>IFERROR(__xludf.DUMMYFUNCTION("""COMPUTED_VALUE"""),"F")</f>
        <v>F</v>
      </c>
      <c r="H1052" s="9" t="str">
        <f>IFERROR(__xludf.DUMMYFUNCTION("""COMPUTED_VALUE"""),"FGM")</f>
        <v>FGM</v>
      </c>
      <c r="I1052" s="9" t="str">
        <f>IFERROR(__xludf.DUMMYFUNCTION("""COMPUTED_VALUE"""),"Tel")</f>
        <v>Tel</v>
      </c>
      <c r="J1052" s="9" t="str">
        <f>IFERROR(__xludf.DUMMYFUNCTION("""COMPUTED_VALUE"""),"Cx")</f>
        <v>Cx</v>
      </c>
      <c r="K1052" s="9" t="str">
        <f>IFERROR(__xludf.DUMMYFUNCTION("""COMPUTED_VALUE"""),"NCx")</f>
        <v>NCx</v>
      </c>
      <c r="L1052" s="9" t="str">
        <f>IFERROR(__xludf.DUMMYFUNCTION("""COMPUTED_VALUE"""),"PCx")</f>
        <v>PCx</v>
      </c>
      <c r="M1052" s="9" t="str">
        <f>IFERROR(__xludf.DUMMYFUNCTION("""COMPUTED_VALUE"""),"PoPC")</f>
        <v>PoPC</v>
      </c>
      <c r="N1052" s="9" t="str">
        <f>IFERROR(__xludf.DUMMYFUNCTION("""COMPUTED_VALUE"""),"SPC")</f>
        <v>SPC</v>
      </c>
      <c r="O1052" s="9" t="str">
        <f>IFERROR(__xludf.DUMMYFUNCTION("""COMPUTED_VALUE"""),"A7")</f>
        <v>A7</v>
      </c>
      <c r="P1052" s="9" t="str">
        <f>IFERROR(__xludf.DUMMYFUNCTION("""COMPUTED_VALUE"""),"A7pc")</f>
        <v>A7pc</v>
      </c>
      <c r="Q1052" s="9" t="str">
        <f>IFERROR(__xludf.DUMMYFUNCTION("""COMPUTED_VALUE"""),"A7pc6")</f>
        <v>A7pc6</v>
      </c>
      <c r="R1052" s="9"/>
      <c r="S1052" s="42"/>
      <c r="T1052" s="42"/>
      <c r="U1052" s="159"/>
      <c r="V1052" s="42"/>
      <c r="W1052" s="42"/>
      <c r="X1052" s="42"/>
      <c r="Y1052" s="42"/>
      <c r="Z1052" s="42"/>
      <c r="AA1052" s="42"/>
      <c r="AB1052" s="42" t="str">
        <f>IFERROR(__xludf.DUMMYFUNCTION("""COMPUTED_VALUE"""),"allen institute")</f>
        <v>allen institute</v>
      </c>
      <c r="AC1052" s="42" t="str">
        <f>IFERROR(__xludf.DUMMYFUNCTION("""COMPUTED_VALUE"""),"DHBA")</f>
        <v>DHBA</v>
      </c>
      <c r="AD1052" s="42"/>
      <c r="AE1052" s="42"/>
      <c r="AF1052" s="9"/>
      <c r="AG1052" s="9"/>
      <c r="AH1052" s="42"/>
      <c r="AI1052" s="42"/>
      <c r="AJ1052" s="42"/>
      <c r="AK1052" s="42"/>
      <c r="AL1052" s="42"/>
      <c r="AM1052" s="42"/>
      <c r="AN1052" s="42"/>
      <c r="AO1052" s="63" t="str">
        <f>IFERROR(__xludf.DUMMYFUNCTION("IF(ISBLANK(A1052),,IF(ISBLANK(S1052), A1052&amp;"";"", TEXTJOIN(CHAR(10), TRUE, A1052&amp;"";"", ARRAYFORMULA(VLOOKUP(SPLIT(S1052, "";"" &amp; CHAR(10)), $A:$AO, 41, FALSE)))))"),"A7pc6;")</f>
        <v>A7pc6;</v>
      </c>
      <c r="AP1052" s="89"/>
    </row>
    <row r="1053">
      <c r="A1053" s="151" t="str">
        <f>IFERROR(__xludf.DUMMYFUNCTION("""COMPUTED_VALUE"""),"A7ip")</f>
        <v>A7ip</v>
      </c>
      <c r="B1053" s="42" t="str">
        <f>IFERROR(__xludf.DUMMYFUNCTION("""COMPUTED_VALUE"""),"DHBA")</f>
        <v>DHBA</v>
      </c>
      <c r="C1053" s="42" t="str">
        <f>IFERROR(__xludf.DUMMYFUNCTION("""COMPUTED_VALUE"""),"intraparietal subdivision of area 7, LIP")</f>
        <v>intraparietal subdivision of area 7, LIP</v>
      </c>
      <c r="D1053" s="42">
        <f>IFERROR(__xludf.DUMMYFUNCTION("""COMPUTED_VALUE"""),996.0)</f>
        <v>996</v>
      </c>
      <c r="E1053" s="39" t="str">
        <f>IFERROR(__xludf.DUMMYFUNCTION("""COMPUTED_VALUE"""),"intraparietal subdivision of area 7 (A7ip)")</f>
        <v>intraparietal subdivision of area 7 (A7ip)</v>
      </c>
      <c r="F1053" s="9" t="str">
        <f>IFERROR(__xludf.DUMMYFUNCTION("""COMPUTED_VALUE"""),"Br")</f>
        <v>Br</v>
      </c>
      <c r="G1053" s="9" t="str">
        <f>IFERROR(__xludf.DUMMYFUNCTION("""COMPUTED_VALUE"""),"F")</f>
        <v>F</v>
      </c>
      <c r="H1053" s="9" t="str">
        <f>IFERROR(__xludf.DUMMYFUNCTION("""COMPUTED_VALUE"""),"FGM")</f>
        <v>FGM</v>
      </c>
      <c r="I1053" s="9" t="str">
        <f>IFERROR(__xludf.DUMMYFUNCTION("""COMPUTED_VALUE"""),"Tel")</f>
        <v>Tel</v>
      </c>
      <c r="J1053" s="9" t="str">
        <f>IFERROR(__xludf.DUMMYFUNCTION("""COMPUTED_VALUE"""),"Cx")</f>
        <v>Cx</v>
      </c>
      <c r="K1053" s="9" t="str">
        <f>IFERROR(__xludf.DUMMYFUNCTION("""COMPUTED_VALUE"""),"NCx")</f>
        <v>NCx</v>
      </c>
      <c r="L1053" s="9" t="str">
        <f>IFERROR(__xludf.DUMMYFUNCTION("""COMPUTED_VALUE"""),"PCx")</f>
        <v>PCx</v>
      </c>
      <c r="M1053" s="9" t="str">
        <f>IFERROR(__xludf.DUMMYFUNCTION("""COMPUTED_VALUE"""),"PoPC")</f>
        <v>PoPC</v>
      </c>
      <c r="N1053" s="9" t="str">
        <f>IFERROR(__xludf.DUMMYFUNCTION("""COMPUTED_VALUE"""),"SPC")</f>
        <v>SPC</v>
      </c>
      <c r="O1053" s="9" t="str">
        <f>IFERROR(__xludf.DUMMYFUNCTION("""COMPUTED_VALUE"""),"A7")</f>
        <v>A7</v>
      </c>
      <c r="P1053" s="9" t="str">
        <f>IFERROR(__xludf.DUMMYFUNCTION("""COMPUTED_VALUE"""),"A7ip")</f>
        <v>A7ip</v>
      </c>
      <c r="Q1053" s="9"/>
      <c r="R1053" s="9"/>
      <c r="S1053" s="42" t="str">
        <f>IFERROR(__xludf.DUMMYFUNCTION("""COMPUTED_VALUE"""),"A7ipr;
A7ipc")</f>
        <v>A7ipr;
A7ipc</v>
      </c>
      <c r="T1053" s="42" t="str">
        <f>IFERROR(__xludf.DUMMYFUNCTION("""COMPUTED_VALUE"""),"NCx")</f>
        <v>NCx</v>
      </c>
      <c r="U1053" s="42" t="b">
        <f>IFERROR(__xludf.DUMMYFUNCTION("""COMPUTED_VALUE"""),FALSE)</f>
        <v>0</v>
      </c>
      <c r="V1053" s="42"/>
      <c r="W1053" s="42"/>
      <c r="X1053" s="42"/>
      <c r="Y1053" s="42"/>
      <c r="Z1053" s="42"/>
      <c r="AA1053" s="42"/>
      <c r="AB1053" s="42" t="str">
        <f>IFERROR(__xludf.DUMMYFUNCTION("""COMPUTED_VALUE"""),"allen institute")</f>
        <v>allen institute</v>
      </c>
      <c r="AC1053" s="42" t="str">
        <f>IFERROR(__xludf.DUMMYFUNCTION("""COMPUTED_VALUE"""),"DHBA")</f>
        <v>DHBA</v>
      </c>
      <c r="AD1053" s="42"/>
      <c r="AE1053" s="42"/>
      <c r="AF1053" s="9"/>
      <c r="AG1053" s="9"/>
      <c r="AH1053" s="42"/>
      <c r="AI1053" s="42"/>
      <c r="AJ1053" s="42"/>
      <c r="AK1053" s="42"/>
      <c r="AL1053" s="42"/>
      <c r="AM1053" s="42"/>
      <c r="AN1053" s="42"/>
      <c r="AO1053" s="63" t="str">
        <f>IFERROR(__xludf.DUMMYFUNCTION("IF(ISBLANK(A1053),,IF(ISBLANK(S1053), A1053&amp;"";"", TEXTJOIN(CHAR(10), TRUE, A1053&amp;"";"", ARRAYFORMULA(VLOOKUP(SPLIT(S1053, "";"" &amp; CHAR(10)), $A:$AO, 41, FALSE)))))"),"A7ip;
A7ipr;
A7ipr1;
A7ipr2;
A7ipr3;
A7ipr4;
A7ipr5;
A7ipr6;
A7ipc;
A7ipc1;
A7ipc2;
A7ipc3;
A7ipc4;
A7ipc5;
A7ipc6;")</f>
        <v>A7ip;
A7ipr;
A7ipr1;
A7ipr2;
A7ipr3;
A7ipr4;
A7ipr5;
A7ipr6;
A7ipc;
A7ipc1;
A7ipc2;
A7ipc3;
A7ipc4;
A7ipc5;
A7ipc6;</v>
      </c>
      <c r="AP1053" s="89"/>
    </row>
    <row r="1054">
      <c r="A1054" s="151" t="str">
        <f>IFERROR(__xludf.DUMMYFUNCTION("""COMPUTED_VALUE"""),"A7ipr")</f>
        <v>A7ipr</v>
      </c>
      <c r="B1054" s="42" t="str">
        <f>IFERROR(__xludf.DUMMYFUNCTION("""COMPUTED_VALUE"""),"DHBA")</f>
        <v>DHBA</v>
      </c>
      <c r="C1054" s="42" t="str">
        <f>IFERROR(__xludf.DUMMYFUNCTION("""COMPUTED_VALUE"""),"area 7ip, rostral part (A7ipr)")</f>
        <v>area 7ip, rostral part (A7ipr)</v>
      </c>
      <c r="D1054" s="42">
        <f>IFERROR(__xludf.DUMMYFUNCTION("""COMPUTED_VALUE"""),997.0)</f>
        <v>997</v>
      </c>
      <c r="E1054" s="39" t="str">
        <f>IFERROR(__xludf.DUMMYFUNCTION("""COMPUTED_VALUE"""),"area 7ip, rostral part (A7ipr)")</f>
        <v>area 7ip, rostral part (A7ipr)</v>
      </c>
      <c r="F1054" s="9" t="str">
        <f>IFERROR(__xludf.DUMMYFUNCTION("""COMPUTED_VALUE"""),"Br")</f>
        <v>Br</v>
      </c>
      <c r="G1054" s="9" t="str">
        <f>IFERROR(__xludf.DUMMYFUNCTION("""COMPUTED_VALUE"""),"F")</f>
        <v>F</v>
      </c>
      <c r="H1054" s="9" t="str">
        <f>IFERROR(__xludf.DUMMYFUNCTION("""COMPUTED_VALUE"""),"FGM")</f>
        <v>FGM</v>
      </c>
      <c r="I1054" s="9" t="str">
        <f>IFERROR(__xludf.DUMMYFUNCTION("""COMPUTED_VALUE"""),"Tel")</f>
        <v>Tel</v>
      </c>
      <c r="J1054" s="9" t="str">
        <f>IFERROR(__xludf.DUMMYFUNCTION("""COMPUTED_VALUE"""),"Cx")</f>
        <v>Cx</v>
      </c>
      <c r="K1054" s="9" t="str">
        <f>IFERROR(__xludf.DUMMYFUNCTION("""COMPUTED_VALUE"""),"NCx")</f>
        <v>NCx</v>
      </c>
      <c r="L1054" s="9" t="str">
        <f>IFERROR(__xludf.DUMMYFUNCTION("""COMPUTED_VALUE"""),"PCx")</f>
        <v>PCx</v>
      </c>
      <c r="M1054" s="9" t="str">
        <f>IFERROR(__xludf.DUMMYFUNCTION("""COMPUTED_VALUE"""),"PoPC")</f>
        <v>PoPC</v>
      </c>
      <c r="N1054" s="9" t="str">
        <f>IFERROR(__xludf.DUMMYFUNCTION("""COMPUTED_VALUE"""),"SPC")</f>
        <v>SPC</v>
      </c>
      <c r="O1054" s="9" t="str">
        <f>IFERROR(__xludf.DUMMYFUNCTION("""COMPUTED_VALUE"""),"A7")</f>
        <v>A7</v>
      </c>
      <c r="P1054" s="9" t="str">
        <f>IFERROR(__xludf.DUMMYFUNCTION("""COMPUTED_VALUE"""),"A7ip")</f>
        <v>A7ip</v>
      </c>
      <c r="Q1054" s="9" t="str">
        <f>IFERROR(__xludf.DUMMYFUNCTION("""COMPUTED_VALUE"""),"A7ipr")</f>
        <v>A7ipr</v>
      </c>
      <c r="R1054" s="9"/>
      <c r="S1054" s="42" t="str">
        <f>IFERROR(__xludf.DUMMYFUNCTION("""COMPUTED_VALUE"""),"A7ipr1;
A7ipr2;
A7ipr3;
A7ipr4;
A7ipr5;
A7ipr6")</f>
        <v>A7ipr1;
A7ipr2;
A7ipr3;
A7ipr4;
A7ipr5;
A7ipr6</v>
      </c>
      <c r="T1054" s="42"/>
      <c r="U1054" s="42" t="b">
        <f>IFERROR(__xludf.DUMMYFUNCTION("""COMPUTED_VALUE"""),FALSE)</f>
        <v>0</v>
      </c>
      <c r="V1054" s="42"/>
      <c r="W1054" s="42"/>
      <c r="X1054" s="42"/>
      <c r="Y1054" s="42"/>
      <c r="Z1054" s="42"/>
      <c r="AA1054" s="42"/>
      <c r="AB1054" s="42" t="str">
        <f>IFERROR(__xludf.DUMMYFUNCTION("""COMPUTED_VALUE"""),"allen institute")</f>
        <v>allen institute</v>
      </c>
      <c r="AC1054" s="42" t="str">
        <f>IFERROR(__xludf.DUMMYFUNCTION("""COMPUTED_VALUE"""),"DHBA")</f>
        <v>DHBA</v>
      </c>
      <c r="AD1054" s="42"/>
      <c r="AE1054" s="42"/>
      <c r="AF1054" s="9"/>
      <c r="AG1054" s="9"/>
      <c r="AH1054" s="42"/>
      <c r="AI1054" s="42"/>
      <c r="AJ1054" s="42"/>
      <c r="AK1054" s="42"/>
      <c r="AL1054" s="42"/>
      <c r="AM1054" s="42"/>
      <c r="AN1054" s="42"/>
      <c r="AO1054" s="63" t="str">
        <f>IFERROR(__xludf.DUMMYFUNCTION("IF(ISBLANK(A1054),,IF(ISBLANK(S1054), A1054&amp;"";"", TEXTJOIN(CHAR(10), TRUE, A1054&amp;"";"", ARRAYFORMULA(VLOOKUP(SPLIT(S1054, "";"" &amp; CHAR(10)), $A:$AO, 41, FALSE)))))"),"A7ipr;
A7ipr1;
A7ipr2;
A7ipr3;
A7ipr4;
A7ipr5;
A7ipr6;")</f>
        <v>A7ipr;
A7ipr1;
A7ipr2;
A7ipr3;
A7ipr4;
A7ipr5;
A7ipr6;</v>
      </c>
      <c r="AP1054" s="89"/>
    </row>
    <row r="1055">
      <c r="A1055" s="151" t="str">
        <f>IFERROR(__xludf.DUMMYFUNCTION("""COMPUTED_VALUE"""),"A7ipr1")</f>
        <v>A7ipr1</v>
      </c>
      <c r="B1055" s="42" t="str">
        <f>IFERROR(__xludf.DUMMYFUNCTION("""COMPUTED_VALUE"""),"DHBA")</f>
        <v>DHBA</v>
      </c>
      <c r="C1055" s="42" t="str">
        <f>IFERROR(__xludf.DUMMYFUNCTION("""COMPUTED_VALUE"""),"layer I of area 7ipr")</f>
        <v>layer I of area 7ipr</v>
      </c>
      <c r="D1055" s="42">
        <f>IFERROR(__xludf.DUMMYFUNCTION("""COMPUTED_VALUE"""),998.0)</f>
        <v>998</v>
      </c>
      <c r="E1055" s="39" t="str">
        <f>IFERROR(__xludf.DUMMYFUNCTION("""COMPUTED_VALUE"""),"layer I of area 7ipr")</f>
        <v>layer I of area 7ipr</v>
      </c>
      <c r="F1055" s="9" t="str">
        <f>IFERROR(__xludf.DUMMYFUNCTION("""COMPUTED_VALUE"""),"Br")</f>
        <v>Br</v>
      </c>
      <c r="G1055" s="9" t="str">
        <f>IFERROR(__xludf.DUMMYFUNCTION("""COMPUTED_VALUE"""),"F")</f>
        <v>F</v>
      </c>
      <c r="H1055" s="9" t="str">
        <f>IFERROR(__xludf.DUMMYFUNCTION("""COMPUTED_VALUE"""),"FGM")</f>
        <v>FGM</v>
      </c>
      <c r="I1055" s="9" t="str">
        <f>IFERROR(__xludf.DUMMYFUNCTION("""COMPUTED_VALUE"""),"Tel")</f>
        <v>Tel</v>
      </c>
      <c r="J1055" s="9" t="str">
        <f>IFERROR(__xludf.DUMMYFUNCTION("""COMPUTED_VALUE"""),"Cx")</f>
        <v>Cx</v>
      </c>
      <c r="K1055" s="9" t="str">
        <f>IFERROR(__xludf.DUMMYFUNCTION("""COMPUTED_VALUE"""),"NCx")</f>
        <v>NCx</v>
      </c>
      <c r="L1055" s="9" t="str">
        <f>IFERROR(__xludf.DUMMYFUNCTION("""COMPUTED_VALUE"""),"PCx")</f>
        <v>PCx</v>
      </c>
      <c r="M1055" s="9" t="str">
        <f>IFERROR(__xludf.DUMMYFUNCTION("""COMPUTED_VALUE"""),"PoPC")</f>
        <v>PoPC</v>
      </c>
      <c r="N1055" s="9" t="str">
        <f>IFERROR(__xludf.DUMMYFUNCTION("""COMPUTED_VALUE"""),"SPC")</f>
        <v>SPC</v>
      </c>
      <c r="O1055" s="9" t="str">
        <f>IFERROR(__xludf.DUMMYFUNCTION("""COMPUTED_VALUE"""),"A7")</f>
        <v>A7</v>
      </c>
      <c r="P1055" s="9" t="str">
        <f>IFERROR(__xludf.DUMMYFUNCTION("""COMPUTED_VALUE"""),"A7ip")</f>
        <v>A7ip</v>
      </c>
      <c r="Q1055" s="9" t="str">
        <f>IFERROR(__xludf.DUMMYFUNCTION("""COMPUTED_VALUE"""),"A7ipr")</f>
        <v>A7ipr</v>
      </c>
      <c r="R1055" s="9" t="str">
        <f>IFERROR(__xludf.DUMMYFUNCTION("""COMPUTED_VALUE"""),"A7ipr1")</f>
        <v>A7ipr1</v>
      </c>
      <c r="S1055" s="42"/>
      <c r="T1055" s="42"/>
      <c r="U1055" s="42"/>
      <c r="V1055" s="42"/>
      <c r="W1055" s="42"/>
      <c r="X1055" s="42"/>
      <c r="Y1055" s="42"/>
      <c r="Z1055" s="42"/>
      <c r="AA1055" s="42"/>
      <c r="AB1055" s="42" t="str">
        <f>IFERROR(__xludf.DUMMYFUNCTION("""COMPUTED_VALUE"""),"allen institute")</f>
        <v>allen institute</v>
      </c>
      <c r="AC1055" s="42" t="str">
        <f>IFERROR(__xludf.DUMMYFUNCTION("""COMPUTED_VALUE"""),"DHBA")</f>
        <v>DHBA</v>
      </c>
      <c r="AD1055" s="42"/>
      <c r="AE1055" s="42"/>
      <c r="AF1055" s="9"/>
      <c r="AG1055" s="9"/>
      <c r="AH1055" s="42"/>
      <c r="AI1055" s="42"/>
      <c r="AJ1055" s="42"/>
      <c r="AK1055" s="42"/>
      <c r="AL1055" s="42"/>
      <c r="AM1055" s="42"/>
      <c r="AN1055" s="42"/>
      <c r="AO1055" s="63" t="str">
        <f>IFERROR(__xludf.DUMMYFUNCTION("IF(ISBLANK(A1055),,IF(ISBLANK(S1055), A1055&amp;"";"", TEXTJOIN(CHAR(10), TRUE, A1055&amp;"";"", ARRAYFORMULA(VLOOKUP(SPLIT(S1055, "";"" &amp; CHAR(10)), $A:$AO, 41, FALSE)))))"),"A7ipr1;")</f>
        <v>A7ipr1;</v>
      </c>
      <c r="AP1055" s="89"/>
    </row>
    <row r="1056">
      <c r="A1056" s="151" t="str">
        <f>IFERROR(__xludf.DUMMYFUNCTION("""COMPUTED_VALUE"""),"A7ipr2")</f>
        <v>A7ipr2</v>
      </c>
      <c r="B1056" s="42" t="str">
        <f>IFERROR(__xludf.DUMMYFUNCTION("""COMPUTED_VALUE"""),"DHBA")</f>
        <v>DHBA</v>
      </c>
      <c r="C1056" s="42" t="str">
        <f>IFERROR(__xludf.DUMMYFUNCTION("""COMPUTED_VALUE"""),"layer II of area 7ipr")</f>
        <v>layer II of area 7ipr</v>
      </c>
      <c r="D1056" s="42">
        <f>IFERROR(__xludf.DUMMYFUNCTION("""COMPUTED_VALUE"""),999.0)</f>
        <v>999</v>
      </c>
      <c r="E1056" s="39" t="str">
        <f>IFERROR(__xludf.DUMMYFUNCTION("""COMPUTED_VALUE"""),"layer II of area 7ipr")</f>
        <v>layer II of area 7ipr</v>
      </c>
      <c r="F1056" s="9" t="str">
        <f>IFERROR(__xludf.DUMMYFUNCTION("""COMPUTED_VALUE"""),"Br")</f>
        <v>Br</v>
      </c>
      <c r="G1056" s="9" t="str">
        <f>IFERROR(__xludf.DUMMYFUNCTION("""COMPUTED_VALUE"""),"F")</f>
        <v>F</v>
      </c>
      <c r="H1056" s="9" t="str">
        <f>IFERROR(__xludf.DUMMYFUNCTION("""COMPUTED_VALUE"""),"FGM")</f>
        <v>FGM</v>
      </c>
      <c r="I1056" s="9" t="str">
        <f>IFERROR(__xludf.DUMMYFUNCTION("""COMPUTED_VALUE"""),"Tel")</f>
        <v>Tel</v>
      </c>
      <c r="J1056" s="9" t="str">
        <f>IFERROR(__xludf.DUMMYFUNCTION("""COMPUTED_VALUE"""),"Cx")</f>
        <v>Cx</v>
      </c>
      <c r="K1056" s="9" t="str">
        <f>IFERROR(__xludf.DUMMYFUNCTION("""COMPUTED_VALUE"""),"NCx")</f>
        <v>NCx</v>
      </c>
      <c r="L1056" s="9" t="str">
        <f>IFERROR(__xludf.DUMMYFUNCTION("""COMPUTED_VALUE"""),"PCx")</f>
        <v>PCx</v>
      </c>
      <c r="M1056" s="9" t="str">
        <f>IFERROR(__xludf.DUMMYFUNCTION("""COMPUTED_VALUE"""),"PoPC")</f>
        <v>PoPC</v>
      </c>
      <c r="N1056" s="9" t="str">
        <f>IFERROR(__xludf.DUMMYFUNCTION("""COMPUTED_VALUE"""),"SPC")</f>
        <v>SPC</v>
      </c>
      <c r="O1056" s="9" t="str">
        <f>IFERROR(__xludf.DUMMYFUNCTION("""COMPUTED_VALUE"""),"A7")</f>
        <v>A7</v>
      </c>
      <c r="P1056" s="9" t="str">
        <f>IFERROR(__xludf.DUMMYFUNCTION("""COMPUTED_VALUE"""),"A7ip")</f>
        <v>A7ip</v>
      </c>
      <c r="Q1056" s="9" t="str">
        <f>IFERROR(__xludf.DUMMYFUNCTION("""COMPUTED_VALUE"""),"A7ipr")</f>
        <v>A7ipr</v>
      </c>
      <c r="R1056" s="9" t="str">
        <f>IFERROR(__xludf.DUMMYFUNCTION("""COMPUTED_VALUE"""),"A7ipr2")</f>
        <v>A7ipr2</v>
      </c>
      <c r="S1056" s="42"/>
      <c r="T1056" s="42"/>
      <c r="U1056" s="42"/>
      <c r="V1056" s="42"/>
      <c r="W1056" s="42"/>
      <c r="X1056" s="42"/>
      <c r="Y1056" s="42"/>
      <c r="Z1056" s="42"/>
      <c r="AA1056" s="42"/>
      <c r="AB1056" s="42" t="str">
        <f>IFERROR(__xludf.DUMMYFUNCTION("""COMPUTED_VALUE"""),"allen institute")</f>
        <v>allen institute</v>
      </c>
      <c r="AC1056" s="42" t="str">
        <f>IFERROR(__xludf.DUMMYFUNCTION("""COMPUTED_VALUE"""),"DHBA")</f>
        <v>DHBA</v>
      </c>
      <c r="AD1056" s="42"/>
      <c r="AE1056" s="42"/>
      <c r="AF1056" s="9"/>
      <c r="AG1056" s="9"/>
      <c r="AH1056" s="42"/>
      <c r="AI1056" s="42"/>
      <c r="AJ1056" s="42"/>
      <c r="AK1056" s="42"/>
      <c r="AL1056" s="42"/>
      <c r="AM1056" s="42"/>
      <c r="AN1056" s="42"/>
      <c r="AO1056" s="63" t="str">
        <f>IFERROR(__xludf.DUMMYFUNCTION("IF(ISBLANK(A1056),,IF(ISBLANK(S1056), A1056&amp;"";"", TEXTJOIN(CHAR(10), TRUE, A1056&amp;"";"", ARRAYFORMULA(VLOOKUP(SPLIT(S1056, "";"" &amp; CHAR(10)), $A:$AO, 41, FALSE)))))"),"A7ipr2;")</f>
        <v>A7ipr2;</v>
      </c>
      <c r="AP1056" s="89"/>
    </row>
    <row r="1057">
      <c r="A1057" s="151" t="str">
        <f>IFERROR(__xludf.DUMMYFUNCTION("""COMPUTED_VALUE"""),"A7ipr3")</f>
        <v>A7ipr3</v>
      </c>
      <c r="B1057" s="42" t="str">
        <f>IFERROR(__xludf.DUMMYFUNCTION("""COMPUTED_VALUE"""),"DHBA")</f>
        <v>DHBA</v>
      </c>
      <c r="C1057" s="42" t="str">
        <f>IFERROR(__xludf.DUMMYFUNCTION("""COMPUTED_VALUE"""),"layer III of area 7ipr")</f>
        <v>layer III of area 7ipr</v>
      </c>
      <c r="D1057" s="42">
        <f>IFERROR(__xludf.DUMMYFUNCTION("""COMPUTED_VALUE"""),1000.0)</f>
        <v>1000</v>
      </c>
      <c r="E1057" s="39" t="str">
        <f>IFERROR(__xludf.DUMMYFUNCTION("""COMPUTED_VALUE"""),"layer III of area 7ipr")</f>
        <v>layer III of area 7ipr</v>
      </c>
      <c r="F1057" s="9" t="str">
        <f>IFERROR(__xludf.DUMMYFUNCTION("""COMPUTED_VALUE"""),"Br")</f>
        <v>Br</v>
      </c>
      <c r="G1057" s="9" t="str">
        <f>IFERROR(__xludf.DUMMYFUNCTION("""COMPUTED_VALUE"""),"F")</f>
        <v>F</v>
      </c>
      <c r="H1057" s="9" t="str">
        <f>IFERROR(__xludf.DUMMYFUNCTION("""COMPUTED_VALUE"""),"FGM")</f>
        <v>FGM</v>
      </c>
      <c r="I1057" s="9" t="str">
        <f>IFERROR(__xludf.DUMMYFUNCTION("""COMPUTED_VALUE"""),"Tel")</f>
        <v>Tel</v>
      </c>
      <c r="J1057" s="9" t="str">
        <f>IFERROR(__xludf.DUMMYFUNCTION("""COMPUTED_VALUE"""),"Cx")</f>
        <v>Cx</v>
      </c>
      <c r="K1057" s="9" t="str">
        <f>IFERROR(__xludf.DUMMYFUNCTION("""COMPUTED_VALUE"""),"NCx")</f>
        <v>NCx</v>
      </c>
      <c r="L1057" s="9" t="str">
        <f>IFERROR(__xludf.DUMMYFUNCTION("""COMPUTED_VALUE"""),"PCx")</f>
        <v>PCx</v>
      </c>
      <c r="M1057" s="9" t="str">
        <f>IFERROR(__xludf.DUMMYFUNCTION("""COMPUTED_VALUE"""),"PoPC")</f>
        <v>PoPC</v>
      </c>
      <c r="N1057" s="9" t="str">
        <f>IFERROR(__xludf.DUMMYFUNCTION("""COMPUTED_VALUE"""),"SPC")</f>
        <v>SPC</v>
      </c>
      <c r="O1057" s="9" t="str">
        <f>IFERROR(__xludf.DUMMYFUNCTION("""COMPUTED_VALUE"""),"A7")</f>
        <v>A7</v>
      </c>
      <c r="P1057" s="9" t="str">
        <f>IFERROR(__xludf.DUMMYFUNCTION("""COMPUTED_VALUE"""),"A7ip")</f>
        <v>A7ip</v>
      </c>
      <c r="Q1057" s="9" t="str">
        <f>IFERROR(__xludf.DUMMYFUNCTION("""COMPUTED_VALUE"""),"A7ipr")</f>
        <v>A7ipr</v>
      </c>
      <c r="R1057" s="9" t="str">
        <f>IFERROR(__xludf.DUMMYFUNCTION("""COMPUTED_VALUE"""),"A7ipr3")</f>
        <v>A7ipr3</v>
      </c>
      <c r="S1057" s="42"/>
      <c r="T1057" s="42"/>
      <c r="U1057" s="42"/>
      <c r="V1057" s="42"/>
      <c r="W1057" s="42"/>
      <c r="X1057" s="42"/>
      <c r="Y1057" s="42"/>
      <c r="Z1057" s="42"/>
      <c r="AA1057" s="42"/>
      <c r="AB1057" s="42" t="str">
        <f>IFERROR(__xludf.DUMMYFUNCTION("""COMPUTED_VALUE"""),"allen institute")</f>
        <v>allen institute</v>
      </c>
      <c r="AC1057" s="42" t="str">
        <f>IFERROR(__xludf.DUMMYFUNCTION("""COMPUTED_VALUE"""),"DHBA")</f>
        <v>DHBA</v>
      </c>
      <c r="AD1057" s="42"/>
      <c r="AE1057" s="42"/>
      <c r="AF1057" s="9"/>
      <c r="AG1057" s="9"/>
      <c r="AH1057" s="42"/>
      <c r="AI1057" s="42"/>
      <c r="AJ1057" s="42"/>
      <c r="AK1057" s="42"/>
      <c r="AL1057" s="42"/>
      <c r="AM1057" s="42"/>
      <c r="AN1057" s="42"/>
      <c r="AO1057" s="63" t="str">
        <f>IFERROR(__xludf.DUMMYFUNCTION("IF(ISBLANK(A1057),,IF(ISBLANK(S1057), A1057&amp;"";"", TEXTJOIN(CHAR(10), TRUE, A1057&amp;"";"", ARRAYFORMULA(VLOOKUP(SPLIT(S1057, "";"" &amp; CHAR(10)), $A:$AO, 41, FALSE)))))"),"A7ipr3;")</f>
        <v>A7ipr3;</v>
      </c>
      <c r="AP1057" s="89"/>
    </row>
    <row r="1058">
      <c r="A1058" s="151" t="str">
        <f>IFERROR(__xludf.DUMMYFUNCTION("""COMPUTED_VALUE"""),"A7ipr4")</f>
        <v>A7ipr4</v>
      </c>
      <c r="B1058" s="42" t="str">
        <f>IFERROR(__xludf.DUMMYFUNCTION("""COMPUTED_VALUE"""),"DHBA")</f>
        <v>DHBA</v>
      </c>
      <c r="C1058" s="42" t="str">
        <f>IFERROR(__xludf.DUMMYFUNCTION("""COMPUTED_VALUE"""),"layer IV of area 7ipr")</f>
        <v>layer IV of area 7ipr</v>
      </c>
      <c r="D1058" s="42">
        <f>IFERROR(__xludf.DUMMYFUNCTION("""COMPUTED_VALUE"""),1001.0)</f>
        <v>1001</v>
      </c>
      <c r="E1058" s="39" t="str">
        <f>IFERROR(__xludf.DUMMYFUNCTION("""COMPUTED_VALUE"""),"layer IV of area 7ipr")</f>
        <v>layer IV of area 7ipr</v>
      </c>
      <c r="F1058" s="9" t="str">
        <f>IFERROR(__xludf.DUMMYFUNCTION("""COMPUTED_VALUE"""),"Br")</f>
        <v>Br</v>
      </c>
      <c r="G1058" s="9" t="str">
        <f>IFERROR(__xludf.DUMMYFUNCTION("""COMPUTED_VALUE"""),"F")</f>
        <v>F</v>
      </c>
      <c r="H1058" s="9" t="str">
        <f>IFERROR(__xludf.DUMMYFUNCTION("""COMPUTED_VALUE"""),"FGM")</f>
        <v>FGM</v>
      </c>
      <c r="I1058" s="9" t="str">
        <f>IFERROR(__xludf.DUMMYFUNCTION("""COMPUTED_VALUE"""),"Tel")</f>
        <v>Tel</v>
      </c>
      <c r="J1058" s="9" t="str">
        <f>IFERROR(__xludf.DUMMYFUNCTION("""COMPUTED_VALUE"""),"Cx")</f>
        <v>Cx</v>
      </c>
      <c r="K1058" s="9" t="str">
        <f>IFERROR(__xludf.DUMMYFUNCTION("""COMPUTED_VALUE"""),"NCx")</f>
        <v>NCx</v>
      </c>
      <c r="L1058" s="9" t="str">
        <f>IFERROR(__xludf.DUMMYFUNCTION("""COMPUTED_VALUE"""),"PCx")</f>
        <v>PCx</v>
      </c>
      <c r="M1058" s="9" t="str">
        <f>IFERROR(__xludf.DUMMYFUNCTION("""COMPUTED_VALUE"""),"PoPC")</f>
        <v>PoPC</v>
      </c>
      <c r="N1058" s="9" t="str">
        <f>IFERROR(__xludf.DUMMYFUNCTION("""COMPUTED_VALUE"""),"SPC")</f>
        <v>SPC</v>
      </c>
      <c r="O1058" s="9" t="str">
        <f>IFERROR(__xludf.DUMMYFUNCTION("""COMPUTED_VALUE"""),"A7")</f>
        <v>A7</v>
      </c>
      <c r="P1058" s="9" t="str">
        <f>IFERROR(__xludf.DUMMYFUNCTION("""COMPUTED_VALUE"""),"A7ip")</f>
        <v>A7ip</v>
      </c>
      <c r="Q1058" s="9" t="str">
        <f>IFERROR(__xludf.DUMMYFUNCTION("""COMPUTED_VALUE"""),"A7ipr")</f>
        <v>A7ipr</v>
      </c>
      <c r="R1058" s="9" t="str">
        <f>IFERROR(__xludf.DUMMYFUNCTION("""COMPUTED_VALUE"""),"A7ipr4")</f>
        <v>A7ipr4</v>
      </c>
      <c r="S1058" s="42"/>
      <c r="T1058" s="42"/>
      <c r="U1058" s="42"/>
      <c r="V1058" s="42"/>
      <c r="W1058" s="42"/>
      <c r="X1058" s="42"/>
      <c r="Y1058" s="42"/>
      <c r="Z1058" s="42"/>
      <c r="AA1058" s="42"/>
      <c r="AB1058" s="42" t="str">
        <f>IFERROR(__xludf.DUMMYFUNCTION("""COMPUTED_VALUE"""),"allen institute")</f>
        <v>allen institute</v>
      </c>
      <c r="AC1058" s="42" t="str">
        <f>IFERROR(__xludf.DUMMYFUNCTION("""COMPUTED_VALUE"""),"DHBA")</f>
        <v>DHBA</v>
      </c>
      <c r="AD1058" s="42"/>
      <c r="AE1058" s="42"/>
      <c r="AF1058" s="9"/>
      <c r="AG1058" s="9"/>
      <c r="AH1058" s="42"/>
      <c r="AI1058" s="42"/>
      <c r="AJ1058" s="42"/>
      <c r="AK1058" s="42"/>
      <c r="AL1058" s="42"/>
      <c r="AM1058" s="42"/>
      <c r="AN1058" s="42"/>
      <c r="AO1058" s="63" t="str">
        <f>IFERROR(__xludf.DUMMYFUNCTION("IF(ISBLANK(A1058),,IF(ISBLANK(S1058), A1058&amp;"";"", TEXTJOIN(CHAR(10), TRUE, A1058&amp;"";"", ARRAYFORMULA(VLOOKUP(SPLIT(S1058, "";"" &amp; CHAR(10)), $A:$AO, 41, FALSE)))))"),"A7ipr4;")</f>
        <v>A7ipr4;</v>
      </c>
      <c r="AP1058" s="89"/>
    </row>
    <row r="1059">
      <c r="A1059" s="151" t="str">
        <f>IFERROR(__xludf.DUMMYFUNCTION("""COMPUTED_VALUE"""),"A7ipr5")</f>
        <v>A7ipr5</v>
      </c>
      <c r="B1059" s="42" t="str">
        <f>IFERROR(__xludf.DUMMYFUNCTION("""COMPUTED_VALUE"""),"DHBA")</f>
        <v>DHBA</v>
      </c>
      <c r="C1059" s="42" t="str">
        <f>IFERROR(__xludf.DUMMYFUNCTION("""COMPUTED_VALUE"""),"layer V of area 7ipr")</f>
        <v>layer V of area 7ipr</v>
      </c>
      <c r="D1059" s="42">
        <f>IFERROR(__xludf.DUMMYFUNCTION("""COMPUTED_VALUE"""),1002.0)</f>
        <v>1002</v>
      </c>
      <c r="E1059" s="39" t="str">
        <f>IFERROR(__xludf.DUMMYFUNCTION("""COMPUTED_VALUE"""),"layer V of area 7ipr")</f>
        <v>layer V of area 7ipr</v>
      </c>
      <c r="F1059" s="9" t="str">
        <f>IFERROR(__xludf.DUMMYFUNCTION("""COMPUTED_VALUE"""),"Br")</f>
        <v>Br</v>
      </c>
      <c r="G1059" s="9" t="str">
        <f>IFERROR(__xludf.DUMMYFUNCTION("""COMPUTED_VALUE"""),"F")</f>
        <v>F</v>
      </c>
      <c r="H1059" s="9" t="str">
        <f>IFERROR(__xludf.DUMMYFUNCTION("""COMPUTED_VALUE"""),"FGM")</f>
        <v>FGM</v>
      </c>
      <c r="I1059" s="9" t="str">
        <f>IFERROR(__xludf.DUMMYFUNCTION("""COMPUTED_VALUE"""),"Tel")</f>
        <v>Tel</v>
      </c>
      <c r="J1059" s="9" t="str">
        <f>IFERROR(__xludf.DUMMYFUNCTION("""COMPUTED_VALUE"""),"Cx")</f>
        <v>Cx</v>
      </c>
      <c r="K1059" s="9" t="str">
        <f>IFERROR(__xludf.DUMMYFUNCTION("""COMPUTED_VALUE"""),"NCx")</f>
        <v>NCx</v>
      </c>
      <c r="L1059" s="9" t="str">
        <f>IFERROR(__xludf.DUMMYFUNCTION("""COMPUTED_VALUE"""),"PCx")</f>
        <v>PCx</v>
      </c>
      <c r="M1059" s="9" t="str">
        <f>IFERROR(__xludf.DUMMYFUNCTION("""COMPUTED_VALUE"""),"PoPC")</f>
        <v>PoPC</v>
      </c>
      <c r="N1059" s="9" t="str">
        <f>IFERROR(__xludf.DUMMYFUNCTION("""COMPUTED_VALUE"""),"SPC")</f>
        <v>SPC</v>
      </c>
      <c r="O1059" s="9" t="str">
        <f>IFERROR(__xludf.DUMMYFUNCTION("""COMPUTED_VALUE"""),"A7")</f>
        <v>A7</v>
      </c>
      <c r="P1059" s="9" t="str">
        <f>IFERROR(__xludf.DUMMYFUNCTION("""COMPUTED_VALUE"""),"A7ip")</f>
        <v>A7ip</v>
      </c>
      <c r="Q1059" s="9" t="str">
        <f>IFERROR(__xludf.DUMMYFUNCTION("""COMPUTED_VALUE"""),"A7ipr")</f>
        <v>A7ipr</v>
      </c>
      <c r="R1059" s="9" t="str">
        <f>IFERROR(__xludf.DUMMYFUNCTION("""COMPUTED_VALUE"""),"A7ipr5")</f>
        <v>A7ipr5</v>
      </c>
      <c r="S1059" s="42"/>
      <c r="T1059" s="42"/>
      <c r="U1059" s="42"/>
      <c r="V1059" s="42"/>
      <c r="W1059" s="42"/>
      <c r="X1059" s="42"/>
      <c r="Y1059" s="42"/>
      <c r="Z1059" s="42"/>
      <c r="AA1059" s="42"/>
      <c r="AB1059" s="42" t="str">
        <f>IFERROR(__xludf.DUMMYFUNCTION("""COMPUTED_VALUE"""),"allen institute")</f>
        <v>allen institute</v>
      </c>
      <c r="AC1059" s="42" t="str">
        <f>IFERROR(__xludf.DUMMYFUNCTION("""COMPUTED_VALUE"""),"DHBA")</f>
        <v>DHBA</v>
      </c>
      <c r="AD1059" s="42"/>
      <c r="AE1059" s="42"/>
      <c r="AF1059" s="9"/>
      <c r="AG1059" s="9"/>
      <c r="AH1059" s="42"/>
      <c r="AI1059" s="42"/>
      <c r="AJ1059" s="42"/>
      <c r="AK1059" s="42"/>
      <c r="AL1059" s="42"/>
      <c r="AM1059" s="42"/>
      <c r="AN1059" s="42"/>
      <c r="AO1059" s="63" t="str">
        <f>IFERROR(__xludf.DUMMYFUNCTION("IF(ISBLANK(A1059),,IF(ISBLANK(S1059), A1059&amp;"";"", TEXTJOIN(CHAR(10), TRUE, A1059&amp;"";"", ARRAYFORMULA(VLOOKUP(SPLIT(S1059, "";"" &amp; CHAR(10)), $A:$AO, 41, FALSE)))))"),"A7ipr5;")</f>
        <v>A7ipr5;</v>
      </c>
      <c r="AP1059" s="89"/>
    </row>
    <row r="1060">
      <c r="A1060" s="151" t="str">
        <f>IFERROR(__xludf.DUMMYFUNCTION("""COMPUTED_VALUE"""),"A7ipr6")</f>
        <v>A7ipr6</v>
      </c>
      <c r="B1060" s="42" t="str">
        <f>IFERROR(__xludf.DUMMYFUNCTION("""COMPUTED_VALUE"""),"DHBA")</f>
        <v>DHBA</v>
      </c>
      <c r="C1060" s="42" t="str">
        <f>IFERROR(__xludf.DUMMYFUNCTION("""COMPUTED_VALUE"""),"layer VI of area 7ipr")</f>
        <v>layer VI of area 7ipr</v>
      </c>
      <c r="D1060" s="42">
        <f>IFERROR(__xludf.DUMMYFUNCTION("""COMPUTED_VALUE"""),1003.0)</f>
        <v>1003</v>
      </c>
      <c r="E1060" s="39" t="str">
        <f>IFERROR(__xludf.DUMMYFUNCTION("""COMPUTED_VALUE"""),"layer VI of area 7ipr")</f>
        <v>layer VI of area 7ipr</v>
      </c>
      <c r="F1060" s="9" t="str">
        <f>IFERROR(__xludf.DUMMYFUNCTION("""COMPUTED_VALUE"""),"Br")</f>
        <v>Br</v>
      </c>
      <c r="G1060" s="9" t="str">
        <f>IFERROR(__xludf.DUMMYFUNCTION("""COMPUTED_VALUE"""),"F")</f>
        <v>F</v>
      </c>
      <c r="H1060" s="9" t="str">
        <f>IFERROR(__xludf.DUMMYFUNCTION("""COMPUTED_VALUE"""),"FGM")</f>
        <v>FGM</v>
      </c>
      <c r="I1060" s="9" t="str">
        <f>IFERROR(__xludf.DUMMYFUNCTION("""COMPUTED_VALUE"""),"Tel")</f>
        <v>Tel</v>
      </c>
      <c r="J1060" s="9" t="str">
        <f>IFERROR(__xludf.DUMMYFUNCTION("""COMPUTED_VALUE"""),"Cx")</f>
        <v>Cx</v>
      </c>
      <c r="K1060" s="9" t="str">
        <f>IFERROR(__xludf.DUMMYFUNCTION("""COMPUTED_VALUE"""),"NCx")</f>
        <v>NCx</v>
      </c>
      <c r="L1060" s="9" t="str">
        <f>IFERROR(__xludf.DUMMYFUNCTION("""COMPUTED_VALUE"""),"PCx")</f>
        <v>PCx</v>
      </c>
      <c r="M1060" s="9" t="str">
        <f>IFERROR(__xludf.DUMMYFUNCTION("""COMPUTED_VALUE"""),"PoPC")</f>
        <v>PoPC</v>
      </c>
      <c r="N1060" s="9" t="str">
        <f>IFERROR(__xludf.DUMMYFUNCTION("""COMPUTED_VALUE"""),"SPC")</f>
        <v>SPC</v>
      </c>
      <c r="O1060" s="9" t="str">
        <f>IFERROR(__xludf.DUMMYFUNCTION("""COMPUTED_VALUE"""),"A7")</f>
        <v>A7</v>
      </c>
      <c r="P1060" s="9" t="str">
        <f>IFERROR(__xludf.DUMMYFUNCTION("""COMPUTED_VALUE"""),"A7ip")</f>
        <v>A7ip</v>
      </c>
      <c r="Q1060" s="9" t="str">
        <f>IFERROR(__xludf.DUMMYFUNCTION("""COMPUTED_VALUE"""),"A7ipr")</f>
        <v>A7ipr</v>
      </c>
      <c r="R1060" s="9" t="str">
        <f>IFERROR(__xludf.DUMMYFUNCTION("""COMPUTED_VALUE"""),"A7ipr6")</f>
        <v>A7ipr6</v>
      </c>
      <c r="S1060" s="42"/>
      <c r="T1060" s="42"/>
      <c r="U1060" s="42"/>
      <c r="V1060" s="42"/>
      <c r="W1060" s="42"/>
      <c r="X1060" s="42"/>
      <c r="Y1060" s="42"/>
      <c r="Z1060" s="42"/>
      <c r="AA1060" s="42"/>
      <c r="AB1060" s="42" t="str">
        <f>IFERROR(__xludf.DUMMYFUNCTION("""COMPUTED_VALUE"""),"allen institute")</f>
        <v>allen institute</v>
      </c>
      <c r="AC1060" s="42" t="str">
        <f>IFERROR(__xludf.DUMMYFUNCTION("""COMPUTED_VALUE"""),"DHBA")</f>
        <v>DHBA</v>
      </c>
      <c r="AD1060" s="42"/>
      <c r="AE1060" s="42"/>
      <c r="AF1060" s="9"/>
      <c r="AG1060" s="9"/>
      <c r="AH1060" s="42"/>
      <c r="AI1060" s="42"/>
      <c r="AJ1060" s="42"/>
      <c r="AK1060" s="42"/>
      <c r="AL1060" s="42"/>
      <c r="AM1060" s="42"/>
      <c r="AN1060" s="42"/>
      <c r="AO1060" s="63" t="str">
        <f>IFERROR(__xludf.DUMMYFUNCTION("IF(ISBLANK(A1060),,IF(ISBLANK(S1060), A1060&amp;"";"", TEXTJOIN(CHAR(10), TRUE, A1060&amp;"";"", ARRAYFORMULA(VLOOKUP(SPLIT(S1060, "";"" &amp; CHAR(10)), $A:$AO, 41, FALSE)))))"),"A7ipr6;")</f>
        <v>A7ipr6;</v>
      </c>
      <c r="AP1060" s="89"/>
    </row>
    <row r="1061">
      <c r="A1061" s="151" t="str">
        <f>IFERROR(__xludf.DUMMYFUNCTION("""COMPUTED_VALUE"""),"A7ipc")</f>
        <v>A7ipc</v>
      </c>
      <c r="B1061" s="42" t="str">
        <f>IFERROR(__xludf.DUMMYFUNCTION("""COMPUTED_VALUE"""),"DHBA")</f>
        <v>DHBA</v>
      </c>
      <c r="C1061" s="42" t="str">
        <f>IFERROR(__xludf.DUMMYFUNCTION("""COMPUTED_VALUE"""),"area 7ip, caudal part (A7ipc)")</f>
        <v>area 7ip, caudal part (A7ipc)</v>
      </c>
      <c r="D1061" s="42">
        <f>IFERROR(__xludf.DUMMYFUNCTION("""COMPUTED_VALUE"""),1004.0)</f>
        <v>1004</v>
      </c>
      <c r="E1061" s="39" t="str">
        <f>IFERROR(__xludf.DUMMYFUNCTION("""COMPUTED_VALUE"""),"area 7ip, caudal part (A7ipc)")</f>
        <v>area 7ip, caudal part (A7ipc)</v>
      </c>
      <c r="F1061" s="9" t="str">
        <f>IFERROR(__xludf.DUMMYFUNCTION("""COMPUTED_VALUE"""),"Br")</f>
        <v>Br</v>
      </c>
      <c r="G1061" s="9" t="str">
        <f>IFERROR(__xludf.DUMMYFUNCTION("""COMPUTED_VALUE"""),"F")</f>
        <v>F</v>
      </c>
      <c r="H1061" s="9" t="str">
        <f>IFERROR(__xludf.DUMMYFUNCTION("""COMPUTED_VALUE"""),"FGM")</f>
        <v>FGM</v>
      </c>
      <c r="I1061" s="9" t="str">
        <f>IFERROR(__xludf.DUMMYFUNCTION("""COMPUTED_VALUE"""),"Tel")</f>
        <v>Tel</v>
      </c>
      <c r="J1061" s="9" t="str">
        <f>IFERROR(__xludf.DUMMYFUNCTION("""COMPUTED_VALUE"""),"Cx")</f>
        <v>Cx</v>
      </c>
      <c r="K1061" s="9" t="str">
        <f>IFERROR(__xludf.DUMMYFUNCTION("""COMPUTED_VALUE"""),"NCx")</f>
        <v>NCx</v>
      </c>
      <c r="L1061" s="9" t="str">
        <f>IFERROR(__xludf.DUMMYFUNCTION("""COMPUTED_VALUE"""),"PCx")</f>
        <v>PCx</v>
      </c>
      <c r="M1061" s="9" t="str">
        <f>IFERROR(__xludf.DUMMYFUNCTION("""COMPUTED_VALUE"""),"PoPC")</f>
        <v>PoPC</v>
      </c>
      <c r="N1061" s="9" t="str">
        <f>IFERROR(__xludf.DUMMYFUNCTION("""COMPUTED_VALUE"""),"SPC")</f>
        <v>SPC</v>
      </c>
      <c r="O1061" s="9" t="str">
        <f>IFERROR(__xludf.DUMMYFUNCTION("""COMPUTED_VALUE"""),"A7")</f>
        <v>A7</v>
      </c>
      <c r="P1061" s="9" t="str">
        <f>IFERROR(__xludf.DUMMYFUNCTION("""COMPUTED_VALUE"""),"A7ip")</f>
        <v>A7ip</v>
      </c>
      <c r="Q1061" s="9" t="str">
        <f>IFERROR(__xludf.DUMMYFUNCTION("""COMPUTED_VALUE"""),"A7ipc")</f>
        <v>A7ipc</v>
      </c>
      <c r="R1061" s="9"/>
      <c r="S1061" s="42" t="str">
        <f>IFERROR(__xludf.DUMMYFUNCTION("""COMPUTED_VALUE"""),"A7ipc1;
A7ipc2;
A7ipc3;
A7ipc4;
A7ipc5;
A7ipc6")</f>
        <v>A7ipc1;
A7ipc2;
A7ipc3;
A7ipc4;
A7ipc5;
A7ipc6</v>
      </c>
      <c r="T1061" s="42"/>
      <c r="U1061" s="42" t="b">
        <f>IFERROR(__xludf.DUMMYFUNCTION("""COMPUTED_VALUE"""),FALSE)</f>
        <v>0</v>
      </c>
      <c r="V1061" s="42"/>
      <c r="W1061" s="42"/>
      <c r="X1061" s="42"/>
      <c r="Y1061" s="42"/>
      <c r="Z1061" s="42"/>
      <c r="AA1061" s="42"/>
      <c r="AB1061" s="42" t="str">
        <f>IFERROR(__xludf.DUMMYFUNCTION("""COMPUTED_VALUE"""),"allen institute")</f>
        <v>allen institute</v>
      </c>
      <c r="AC1061" s="42" t="str">
        <f>IFERROR(__xludf.DUMMYFUNCTION("""COMPUTED_VALUE"""),"DHBA")</f>
        <v>DHBA</v>
      </c>
      <c r="AD1061" s="42"/>
      <c r="AE1061" s="42"/>
      <c r="AF1061" s="9"/>
      <c r="AG1061" s="9"/>
      <c r="AH1061" s="42"/>
      <c r="AI1061" s="42"/>
      <c r="AJ1061" s="42"/>
      <c r="AK1061" s="42"/>
      <c r="AL1061" s="42"/>
      <c r="AM1061" s="42"/>
      <c r="AN1061" s="42"/>
      <c r="AO1061" s="63" t="str">
        <f>IFERROR(__xludf.DUMMYFUNCTION("IF(ISBLANK(A1061),,IF(ISBLANK(S1061), A1061&amp;"";"", TEXTJOIN(CHAR(10), TRUE, A1061&amp;"";"", ARRAYFORMULA(VLOOKUP(SPLIT(S1061, "";"" &amp; CHAR(10)), $A:$AO, 41, FALSE)))))"),"A7ipc;
A7ipc1;
A7ipc2;
A7ipc3;
A7ipc4;
A7ipc5;
A7ipc6;")</f>
        <v>A7ipc;
A7ipc1;
A7ipc2;
A7ipc3;
A7ipc4;
A7ipc5;
A7ipc6;</v>
      </c>
      <c r="AP1061" s="89"/>
    </row>
    <row r="1062">
      <c r="A1062" s="151" t="str">
        <f>IFERROR(__xludf.DUMMYFUNCTION("""COMPUTED_VALUE"""),"A7ipc1")</f>
        <v>A7ipc1</v>
      </c>
      <c r="B1062" s="42" t="str">
        <f>IFERROR(__xludf.DUMMYFUNCTION("""COMPUTED_VALUE"""),"DHBA")</f>
        <v>DHBA</v>
      </c>
      <c r="C1062" s="42" t="str">
        <f>IFERROR(__xludf.DUMMYFUNCTION("""COMPUTED_VALUE"""),"layer I of area 7ipc")</f>
        <v>layer I of area 7ipc</v>
      </c>
      <c r="D1062" s="42">
        <f>IFERROR(__xludf.DUMMYFUNCTION("""COMPUTED_VALUE"""),1005.0)</f>
        <v>1005</v>
      </c>
      <c r="E1062" s="39" t="str">
        <f>IFERROR(__xludf.DUMMYFUNCTION("""COMPUTED_VALUE"""),"layer I of area 7ipc")</f>
        <v>layer I of area 7ipc</v>
      </c>
      <c r="F1062" s="9" t="str">
        <f>IFERROR(__xludf.DUMMYFUNCTION("""COMPUTED_VALUE"""),"Br")</f>
        <v>Br</v>
      </c>
      <c r="G1062" s="9" t="str">
        <f>IFERROR(__xludf.DUMMYFUNCTION("""COMPUTED_VALUE"""),"F")</f>
        <v>F</v>
      </c>
      <c r="H1062" s="9" t="str">
        <f>IFERROR(__xludf.DUMMYFUNCTION("""COMPUTED_VALUE"""),"FGM")</f>
        <v>FGM</v>
      </c>
      <c r="I1062" s="9" t="str">
        <f>IFERROR(__xludf.DUMMYFUNCTION("""COMPUTED_VALUE"""),"Tel")</f>
        <v>Tel</v>
      </c>
      <c r="J1062" s="9" t="str">
        <f>IFERROR(__xludf.DUMMYFUNCTION("""COMPUTED_VALUE"""),"Cx")</f>
        <v>Cx</v>
      </c>
      <c r="K1062" s="9" t="str">
        <f>IFERROR(__xludf.DUMMYFUNCTION("""COMPUTED_VALUE"""),"NCx")</f>
        <v>NCx</v>
      </c>
      <c r="L1062" s="9" t="str">
        <f>IFERROR(__xludf.DUMMYFUNCTION("""COMPUTED_VALUE"""),"PCx")</f>
        <v>PCx</v>
      </c>
      <c r="M1062" s="9" t="str">
        <f>IFERROR(__xludf.DUMMYFUNCTION("""COMPUTED_VALUE"""),"PoPC")</f>
        <v>PoPC</v>
      </c>
      <c r="N1062" s="9" t="str">
        <f>IFERROR(__xludf.DUMMYFUNCTION("""COMPUTED_VALUE"""),"SPC")</f>
        <v>SPC</v>
      </c>
      <c r="O1062" s="9" t="str">
        <f>IFERROR(__xludf.DUMMYFUNCTION("""COMPUTED_VALUE"""),"A7")</f>
        <v>A7</v>
      </c>
      <c r="P1062" s="9" t="str">
        <f>IFERROR(__xludf.DUMMYFUNCTION("""COMPUTED_VALUE"""),"A7ip")</f>
        <v>A7ip</v>
      </c>
      <c r="Q1062" s="9" t="str">
        <f>IFERROR(__xludf.DUMMYFUNCTION("""COMPUTED_VALUE"""),"A7ipc")</f>
        <v>A7ipc</v>
      </c>
      <c r="R1062" s="9" t="str">
        <f>IFERROR(__xludf.DUMMYFUNCTION("""COMPUTED_VALUE"""),"A7ipc1")</f>
        <v>A7ipc1</v>
      </c>
      <c r="S1062" s="42"/>
      <c r="T1062" s="42"/>
      <c r="U1062" s="42"/>
      <c r="V1062" s="42"/>
      <c r="W1062" s="42"/>
      <c r="X1062" s="42"/>
      <c r="Y1062" s="42"/>
      <c r="Z1062" s="42"/>
      <c r="AA1062" s="42"/>
      <c r="AB1062" s="42" t="str">
        <f>IFERROR(__xludf.DUMMYFUNCTION("""COMPUTED_VALUE"""),"allen institute")</f>
        <v>allen institute</v>
      </c>
      <c r="AC1062" s="42" t="str">
        <f>IFERROR(__xludf.DUMMYFUNCTION("""COMPUTED_VALUE"""),"DHBA")</f>
        <v>DHBA</v>
      </c>
      <c r="AD1062" s="42"/>
      <c r="AE1062" s="42"/>
      <c r="AF1062" s="9"/>
      <c r="AG1062" s="9"/>
      <c r="AH1062" s="42"/>
      <c r="AI1062" s="42"/>
      <c r="AJ1062" s="42"/>
      <c r="AK1062" s="42"/>
      <c r="AL1062" s="42"/>
      <c r="AM1062" s="42"/>
      <c r="AN1062" s="42"/>
      <c r="AO1062" s="63" t="str">
        <f>IFERROR(__xludf.DUMMYFUNCTION("IF(ISBLANK(A1062),,IF(ISBLANK(S1062), A1062&amp;"";"", TEXTJOIN(CHAR(10), TRUE, A1062&amp;"";"", ARRAYFORMULA(VLOOKUP(SPLIT(S1062, "";"" &amp; CHAR(10)), $A:$AO, 41, FALSE)))))"),"A7ipc1;")</f>
        <v>A7ipc1;</v>
      </c>
      <c r="AP1062" s="89"/>
    </row>
    <row r="1063">
      <c r="A1063" s="151" t="str">
        <f>IFERROR(__xludf.DUMMYFUNCTION("""COMPUTED_VALUE"""),"A7ipc2")</f>
        <v>A7ipc2</v>
      </c>
      <c r="B1063" s="42" t="str">
        <f>IFERROR(__xludf.DUMMYFUNCTION("""COMPUTED_VALUE"""),"DHBA")</f>
        <v>DHBA</v>
      </c>
      <c r="C1063" s="42" t="str">
        <f>IFERROR(__xludf.DUMMYFUNCTION("""COMPUTED_VALUE"""),"layer II of area 7ipc")</f>
        <v>layer II of area 7ipc</v>
      </c>
      <c r="D1063" s="42">
        <f>IFERROR(__xludf.DUMMYFUNCTION("""COMPUTED_VALUE"""),1006.0)</f>
        <v>1006</v>
      </c>
      <c r="E1063" s="39" t="str">
        <f>IFERROR(__xludf.DUMMYFUNCTION("""COMPUTED_VALUE"""),"layer II of area 7ipc")</f>
        <v>layer II of area 7ipc</v>
      </c>
      <c r="F1063" s="9" t="str">
        <f>IFERROR(__xludf.DUMMYFUNCTION("""COMPUTED_VALUE"""),"Br")</f>
        <v>Br</v>
      </c>
      <c r="G1063" s="9" t="str">
        <f>IFERROR(__xludf.DUMMYFUNCTION("""COMPUTED_VALUE"""),"F")</f>
        <v>F</v>
      </c>
      <c r="H1063" s="9" t="str">
        <f>IFERROR(__xludf.DUMMYFUNCTION("""COMPUTED_VALUE"""),"FGM")</f>
        <v>FGM</v>
      </c>
      <c r="I1063" s="9" t="str">
        <f>IFERROR(__xludf.DUMMYFUNCTION("""COMPUTED_VALUE"""),"Tel")</f>
        <v>Tel</v>
      </c>
      <c r="J1063" s="9" t="str">
        <f>IFERROR(__xludf.DUMMYFUNCTION("""COMPUTED_VALUE"""),"Cx")</f>
        <v>Cx</v>
      </c>
      <c r="K1063" s="9" t="str">
        <f>IFERROR(__xludf.DUMMYFUNCTION("""COMPUTED_VALUE"""),"NCx")</f>
        <v>NCx</v>
      </c>
      <c r="L1063" s="9" t="str">
        <f>IFERROR(__xludf.DUMMYFUNCTION("""COMPUTED_VALUE"""),"PCx")</f>
        <v>PCx</v>
      </c>
      <c r="M1063" s="9" t="str">
        <f>IFERROR(__xludf.DUMMYFUNCTION("""COMPUTED_VALUE"""),"PoPC")</f>
        <v>PoPC</v>
      </c>
      <c r="N1063" s="9" t="str">
        <f>IFERROR(__xludf.DUMMYFUNCTION("""COMPUTED_VALUE"""),"SPC")</f>
        <v>SPC</v>
      </c>
      <c r="O1063" s="9" t="str">
        <f>IFERROR(__xludf.DUMMYFUNCTION("""COMPUTED_VALUE"""),"A7")</f>
        <v>A7</v>
      </c>
      <c r="P1063" s="9" t="str">
        <f>IFERROR(__xludf.DUMMYFUNCTION("""COMPUTED_VALUE"""),"A7ip")</f>
        <v>A7ip</v>
      </c>
      <c r="Q1063" s="9" t="str">
        <f>IFERROR(__xludf.DUMMYFUNCTION("""COMPUTED_VALUE"""),"A7ipc")</f>
        <v>A7ipc</v>
      </c>
      <c r="R1063" s="9" t="str">
        <f>IFERROR(__xludf.DUMMYFUNCTION("""COMPUTED_VALUE"""),"A7ipc2")</f>
        <v>A7ipc2</v>
      </c>
      <c r="S1063" s="42"/>
      <c r="T1063" s="42"/>
      <c r="U1063" s="42"/>
      <c r="V1063" s="42"/>
      <c r="W1063" s="42"/>
      <c r="X1063" s="42"/>
      <c r="Y1063" s="42"/>
      <c r="Z1063" s="42"/>
      <c r="AA1063" s="42"/>
      <c r="AB1063" s="42" t="str">
        <f>IFERROR(__xludf.DUMMYFUNCTION("""COMPUTED_VALUE"""),"allen institute")</f>
        <v>allen institute</v>
      </c>
      <c r="AC1063" s="42" t="str">
        <f>IFERROR(__xludf.DUMMYFUNCTION("""COMPUTED_VALUE"""),"DHBA")</f>
        <v>DHBA</v>
      </c>
      <c r="AD1063" s="42"/>
      <c r="AE1063" s="42"/>
      <c r="AF1063" s="9"/>
      <c r="AG1063" s="9"/>
      <c r="AH1063" s="42"/>
      <c r="AI1063" s="42"/>
      <c r="AJ1063" s="42"/>
      <c r="AK1063" s="42"/>
      <c r="AL1063" s="42"/>
      <c r="AM1063" s="42"/>
      <c r="AN1063" s="42"/>
      <c r="AO1063" s="63" t="str">
        <f>IFERROR(__xludf.DUMMYFUNCTION("IF(ISBLANK(A1063),,IF(ISBLANK(S1063), A1063&amp;"";"", TEXTJOIN(CHAR(10), TRUE, A1063&amp;"";"", ARRAYFORMULA(VLOOKUP(SPLIT(S1063, "";"" &amp; CHAR(10)), $A:$AO, 41, FALSE)))))"),"A7ipc2;")</f>
        <v>A7ipc2;</v>
      </c>
      <c r="AP1063" s="89"/>
    </row>
    <row r="1064">
      <c r="A1064" s="151" t="str">
        <f>IFERROR(__xludf.DUMMYFUNCTION("""COMPUTED_VALUE"""),"A7ipc3")</f>
        <v>A7ipc3</v>
      </c>
      <c r="B1064" s="42" t="str">
        <f>IFERROR(__xludf.DUMMYFUNCTION("""COMPUTED_VALUE"""),"DHBA")</f>
        <v>DHBA</v>
      </c>
      <c r="C1064" s="42" t="str">
        <f>IFERROR(__xludf.DUMMYFUNCTION("""COMPUTED_VALUE"""),"layer III of area 7ipc")</f>
        <v>layer III of area 7ipc</v>
      </c>
      <c r="D1064" s="42">
        <f>IFERROR(__xludf.DUMMYFUNCTION("""COMPUTED_VALUE"""),1007.0)</f>
        <v>1007</v>
      </c>
      <c r="E1064" s="39" t="str">
        <f>IFERROR(__xludf.DUMMYFUNCTION("""COMPUTED_VALUE"""),"layer III of area 7ipc")</f>
        <v>layer III of area 7ipc</v>
      </c>
      <c r="F1064" s="9" t="str">
        <f>IFERROR(__xludf.DUMMYFUNCTION("""COMPUTED_VALUE"""),"Br")</f>
        <v>Br</v>
      </c>
      <c r="G1064" s="9" t="str">
        <f>IFERROR(__xludf.DUMMYFUNCTION("""COMPUTED_VALUE"""),"F")</f>
        <v>F</v>
      </c>
      <c r="H1064" s="9" t="str">
        <f>IFERROR(__xludf.DUMMYFUNCTION("""COMPUTED_VALUE"""),"FGM")</f>
        <v>FGM</v>
      </c>
      <c r="I1064" s="9" t="str">
        <f>IFERROR(__xludf.DUMMYFUNCTION("""COMPUTED_VALUE"""),"Tel")</f>
        <v>Tel</v>
      </c>
      <c r="J1064" s="9" t="str">
        <f>IFERROR(__xludf.DUMMYFUNCTION("""COMPUTED_VALUE"""),"Cx")</f>
        <v>Cx</v>
      </c>
      <c r="K1064" s="9" t="str">
        <f>IFERROR(__xludf.DUMMYFUNCTION("""COMPUTED_VALUE"""),"NCx")</f>
        <v>NCx</v>
      </c>
      <c r="L1064" s="9" t="str">
        <f>IFERROR(__xludf.DUMMYFUNCTION("""COMPUTED_VALUE"""),"PCx")</f>
        <v>PCx</v>
      </c>
      <c r="M1064" s="9" t="str">
        <f>IFERROR(__xludf.DUMMYFUNCTION("""COMPUTED_VALUE"""),"PoPC")</f>
        <v>PoPC</v>
      </c>
      <c r="N1064" s="9" t="str">
        <f>IFERROR(__xludf.DUMMYFUNCTION("""COMPUTED_VALUE"""),"SPC")</f>
        <v>SPC</v>
      </c>
      <c r="O1064" s="9" t="str">
        <f>IFERROR(__xludf.DUMMYFUNCTION("""COMPUTED_VALUE"""),"A7")</f>
        <v>A7</v>
      </c>
      <c r="P1064" s="9" t="str">
        <f>IFERROR(__xludf.DUMMYFUNCTION("""COMPUTED_VALUE"""),"A7ip")</f>
        <v>A7ip</v>
      </c>
      <c r="Q1064" s="9" t="str">
        <f>IFERROR(__xludf.DUMMYFUNCTION("""COMPUTED_VALUE"""),"A7ipc")</f>
        <v>A7ipc</v>
      </c>
      <c r="R1064" s="9" t="str">
        <f>IFERROR(__xludf.DUMMYFUNCTION("""COMPUTED_VALUE"""),"A7ipc3")</f>
        <v>A7ipc3</v>
      </c>
      <c r="S1064" s="42"/>
      <c r="T1064" s="42"/>
      <c r="U1064" s="42"/>
      <c r="V1064" s="42"/>
      <c r="W1064" s="42"/>
      <c r="X1064" s="42"/>
      <c r="Y1064" s="42"/>
      <c r="Z1064" s="42"/>
      <c r="AA1064" s="42"/>
      <c r="AB1064" s="42" t="str">
        <f>IFERROR(__xludf.DUMMYFUNCTION("""COMPUTED_VALUE"""),"allen institute")</f>
        <v>allen institute</v>
      </c>
      <c r="AC1064" s="42" t="str">
        <f>IFERROR(__xludf.DUMMYFUNCTION("""COMPUTED_VALUE"""),"DHBA")</f>
        <v>DHBA</v>
      </c>
      <c r="AD1064" s="42"/>
      <c r="AE1064" s="42"/>
      <c r="AF1064" s="9"/>
      <c r="AG1064" s="9"/>
      <c r="AH1064" s="42"/>
      <c r="AI1064" s="42"/>
      <c r="AJ1064" s="42"/>
      <c r="AK1064" s="42"/>
      <c r="AL1064" s="42"/>
      <c r="AM1064" s="42"/>
      <c r="AN1064" s="42"/>
      <c r="AO1064" s="63" t="str">
        <f>IFERROR(__xludf.DUMMYFUNCTION("IF(ISBLANK(A1064),,IF(ISBLANK(S1064), A1064&amp;"";"", TEXTJOIN(CHAR(10), TRUE, A1064&amp;"";"", ARRAYFORMULA(VLOOKUP(SPLIT(S1064, "";"" &amp; CHAR(10)), $A:$AO, 41, FALSE)))))"),"A7ipc3;")</f>
        <v>A7ipc3;</v>
      </c>
      <c r="AP1064" s="89"/>
    </row>
    <row r="1065">
      <c r="A1065" s="151" t="str">
        <f>IFERROR(__xludf.DUMMYFUNCTION("""COMPUTED_VALUE"""),"A7ipc4")</f>
        <v>A7ipc4</v>
      </c>
      <c r="B1065" s="42" t="str">
        <f>IFERROR(__xludf.DUMMYFUNCTION("""COMPUTED_VALUE"""),"DHBA")</f>
        <v>DHBA</v>
      </c>
      <c r="C1065" s="42" t="str">
        <f>IFERROR(__xludf.DUMMYFUNCTION("""COMPUTED_VALUE"""),"layer IV of area 7ipc")</f>
        <v>layer IV of area 7ipc</v>
      </c>
      <c r="D1065" s="42">
        <f>IFERROR(__xludf.DUMMYFUNCTION("""COMPUTED_VALUE"""),1008.0)</f>
        <v>1008</v>
      </c>
      <c r="E1065" s="39" t="str">
        <f>IFERROR(__xludf.DUMMYFUNCTION("""COMPUTED_VALUE"""),"layer IV of area 7ipc")</f>
        <v>layer IV of area 7ipc</v>
      </c>
      <c r="F1065" s="9" t="str">
        <f>IFERROR(__xludf.DUMMYFUNCTION("""COMPUTED_VALUE"""),"Br")</f>
        <v>Br</v>
      </c>
      <c r="G1065" s="9" t="str">
        <f>IFERROR(__xludf.DUMMYFUNCTION("""COMPUTED_VALUE"""),"F")</f>
        <v>F</v>
      </c>
      <c r="H1065" s="9" t="str">
        <f>IFERROR(__xludf.DUMMYFUNCTION("""COMPUTED_VALUE"""),"FGM")</f>
        <v>FGM</v>
      </c>
      <c r="I1065" s="9" t="str">
        <f>IFERROR(__xludf.DUMMYFUNCTION("""COMPUTED_VALUE"""),"Tel")</f>
        <v>Tel</v>
      </c>
      <c r="J1065" s="9" t="str">
        <f>IFERROR(__xludf.DUMMYFUNCTION("""COMPUTED_VALUE"""),"Cx")</f>
        <v>Cx</v>
      </c>
      <c r="K1065" s="9" t="str">
        <f>IFERROR(__xludf.DUMMYFUNCTION("""COMPUTED_VALUE"""),"NCx")</f>
        <v>NCx</v>
      </c>
      <c r="L1065" s="9" t="str">
        <f>IFERROR(__xludf.DUMMYFUNCTION("""COMPUTED_VALUE"""),"PCx")</f>
        <v>PCx</v>
      </c>
      <c r="M1065" s="9" t="str">
        <f>IFERROR(__xludf.DUMMYFUNCTION("""COMPUTED_VALUE"""),"PoPC")</f>
        <v>PoPC</v>
      </c>
      <c r="N1065" s="9" t="str">
        <f>IFERROR(__xludf.DUMMYFUNCTION("""COMPUTED_VALUE"""),"SPC")</f>
        <v>SPC</v>
      </c>
      <c r="O1065" s="9" t="str">
        <f>IFERROR(__xludf.DUMMYFUNCTION("""COMPUTED_VALUE"""),"A7")</f>
        <v>A7</v>
      </c>
      <c r="P1065" s="9" t="str">
        <f>IFERROR(__xludf.DUMMYFUNCTION("""COMPUTED_VALUE"""),"A7ip")</f>
        <v>A7ip</v>
      </c>
      <c r="Q1065" s="9" t="str">
        <f>IFERROR(__xludf.DUMMYFUNCTION("""COMPUTED_VALUE"""),"A7ipc")</f>
        <v>A7ipc</v>
      </c>
      <c r="R1065" s="9" t="str">
        <f>IFERROR(__xludf.DUMMYFUNCTION("""COMPUTED_VALUE"""),"A7ipc4")</f>
        <v>A7ipc4</v>
      </c>
      <c r="S1065" s="42"/>
      <c r="T1065" s="42"/>
      <c r="U1065" s="42"/>
      <c r="V1065" s="42"/>
      <c r="W1065" s="42"/>
      <c r="X1065" s="42"/>
      <c r="Y1065" s="42"/>
      <c r="Z1065" s="42"/>
      <c r="AA1065" s="42"/>
      <c r="AB1065" s="42" t="str">
        <f>IFERROR(__xludf.DUMMYFUNCTION("""COMPUTED_VALUE"""),"allen institute")</f>
        <v>allen institute</v>
      </c>
      <c r="AC1065" s="42" t="str">
        <f>IFERROR(__xludf.DUMMYFUNCTION("""COMPUTED_VALUE"""),"DHBA")</f>
        <v>DHBA</v>
      </c>
      <c r="AD1065" s="42"/>
      <c r="AE1065" s="42"/>
      <c r="AF1065" s="9"/>
      <c r="AG1065" s="9"/>
      <c r="AH1065" s="42"/>
      <c r="AI1065" s="42"/>
      <c r="AJ1065" s="42"/>
      <c r="AK1065" s="42"/>
      <c r="AL1065" s="42"/>
      <c r="AM1065" s="42"/>
      <c r="AN1065" s="42"/>
      <c r="AO1065" s="63" t="str">
        <f>IFERROR(__xludf.DUMMYFUNCTION("IF(ISBLANK(A1065),,IF(ISBLANK(S1065), A1065&amp;"";"", TEXTJOIN(CHAR(10), TRUE, A1065&amp;"";"", ARRAYFORMULA(VLOOKUP(SPLIT(S1065, "";"" &amp; CHAR(10)), $A:$AO, 41, FALSE)))))"),"A7ipc4;")</f>
        <v>A7ipc4;</v>
      </c>
      <c r="AP1065" s="89"/>
    </row>
    <row r="1066">
      <c r="A1066" s="151" t="str">
        <f>IFERROR(__xludf.DUMMYFUNCTION("""COMPUTED_VALUE"""),"A7ipc5")</f>
        <v>A7ipc5</v>
      </c>
      <c r="B1066" s="42" t="str">
        <f>IFERROR(__xludf.DUMMYFUNCTION("""COMPUTED_VALUE"""),"DHBA")</f>
        <v>DHBA</v>
      </c>
      <c r="C1066" s="42" t="str">
        <f>IFERROR(__xludf.DUMMYFUNCTION("""COMPUTED_VALUE"""),"layer V of area 7ipc")</f>
        <v>layer V of area 7ipc</v>
      </c>
      <c r="D1066" s="42">
        <f>IFERROR(__xludf.DUMMYFUNCTION("""COMPUTED_VALUE"""),1009.0)</f>
        <v>1009</v>
      </c>
      <c r="E1066" s="39" t="str">
        <f>IFERROR(__xludf.DUMMYFUNCTION("""COMPUTED_VALUE"""),"layer V of area 7ipc")</f>
        <v>layer V of area 7ipc</v>
      </c>
      <c r="F1066" s="9" t="str">
        <f>IFERROR(__xludf.DUMMYFUNCTION("""COMPUTED_VALUE"""),"Br")</f>
        <v>Br</v>
      </c>
      <c r="G1066" s="9" t="str">
        <f>IFERROR(__xludf.DUMMYFUNCTION("""COMPUTED_VALUE"""),"F")</f>
        <v>F</v>
      </c>
      <c r="H1066" s="9" t="str">
        <f>IFERROR(__xludf.DUMMYFUNCTION("""COMPUTED_VALUE"""),"FGM")</f>
        <v>FGM</v>
      </c>
      <c r="I1066" s="9" t="str">
        <f>IFERROR(__xludf.DUMMYFUNCTION("""COMPUTED_VALUE"""),"Tel")</f>
        <v>Tel</v>
      </c>
      <c r="J1066" s="9" t="str">
        <f>IFERROR(__xludf.DUMMYFUNCTION("""COMPUTED_VALUE"""),"Cx")</f>
        <v>Cx</v>
      </c>
      <c r="K1066" s="9" t="str">
        <f>IFERROR(__xludf.DUMMYFUNCTION("""COMPUTED_VALUE"""),"NCx")</f>
        <v>NCx</v>
      </c>
      <c r="L1066" s="9" t="str">
        <f>IFERROR(__xludf.DUMMYFUNCTION("""COMPUTED_VALUE"""),"PCx")</f>
        <v>PCx</v>
      </c>
      <c r="M1066" s="9" t="str">
        <f>IFERROR(__xludf.DUMMYFUNCTION("""COMPUTED_VALUE"""),"PoPC")</f>
        <v>PoPC</v>
      </c>
      <c r="N1066" s="9" t="str">
        <f>IFERROR(__xludf.DUMMYFUNCTION("""COMPUTED_VALUE"""),"SPC")</f>
        <v>SPC</v>
      </c>
      <c r="O1066" s="9" t="str">
        <f>IFERROR(__xludf.DUMMYFUNCTION("""COMPUTED_VALUE"""),"A7")</f>
        <v>A7</v>
      </c>
      <c r="P1066" s="9" t="str">
        <f>IFERROR(__xludf.DUMMYFUNCTION("""COMPUTED_VALUE"""),"A7ip")</f>
        <v>A7ip</v>
      </c>
      <c r="Q1066" s="9" t="str">
        <f>IFERROR(__xludf.DUMMYFUNCTION("""COMPUTED_VALUE"""),"A7ipc")</f>
        <v>A7ipc</v>
      </c>
      <c r="R1066" s="9" t="str">
        <f>IFERROR(__xludf.DUMMYFUNCTION("""COMPUTED_VALUE"""),"A7ipc5")</f>
        <v>A7ipc5</v>
      </c>
      <c r="S1066" s="42"/>
      <c r="T1066" s="42"/>
      <c r="U1066" s="42"/>
      <c r="V1066" s="42"/>
      <c r="W1066" s="42"/>
      <c r="X1066" s="42"/>
      <c r="Y1066" s="42"/>
      <c r="Z1066" s="42"/>
      <c r="AA1066" s="42"/>
      <c r="AB1066" s="42" t="str">
        <f>IFERROR(__xludf.DUMMYFUNCTION("""COMPUTED_VALUE"""),"allen institute")</f>
        <v>allen institute</v>
      </c>
      <c r="AC1066" s="42" t="str">
        <f>IFERROR(__xludf.DUMMYFUNCTION("""COMPUTED_VALUE"""),"DHBA")</f>
        <v>DHBA</v>
      </c>
      <c r="AD1066" s="42"/>
      <c r="AE1066" s="42"/>
      <c r="AF1066" s="9"/>
      <c r="AG1066" s="9"/>
      <c r="AH1066" s="42"/>
      <c r="AI1066" s="42"/>
      <c r="AJ1066" s="42"/>
      <c r="AK1066" s="42"/>
      <c r="AL1066" s="42"/>
      <c r="AM1066" s="42"/>
      <c r="AN1066" s="42"/>
      <c r="AO1066" s="63" t="str">
        <f>IFERROR(__xludf.DUMMYFUNCTION("IF(ISBLANK(A1066),,IF(ISBLANK(S1066), A1066&amp;"";"", TEXTJOIN(CHAR(10), TRUE, A1066&amp;"";"", ARRAYFORMULA(VLOOKUP(SPLIT(S1066, "";"" &amp; CHAR(10)), $A:$AO, 41, FALSE)))))"),"A7ipc5;")</f>
        <v>A7ipc5;</v>
      </c>
      <c r="AP1066" s="89"/>
    </row>
    <row r="1067">
      <c r="A1067" s="151" t="str">
        <f>IFERROR(__xludf.DUMMYFUNCTION("""COMPUTED_VALUE"""),"A7ipc6")</f>
        <v>A7ipc6</v>
      </c>
      <c r="B1067" s="42" t="str">
        <f>IFERROR(__xludf.DUMMYFUNCTION("""COMPUTED_VALUE"""),"DHBA")</f>
        <v>DHBA</v>
      </c>
      <c r="C1067" s="42" t="str">
        <f>IFERROR(__xludf.DUMMYFUNCTION("""COMPUTED_VALUE"""),"layer VI of area 7ipc")</f>
        <v>layer VI of area 7ipc</v>
      </c>
      <c r="D1067" s="42">
        <f>IFERROR(__xludf.DUMMYFUNCTION("""COMPUTED_VALUE"""),1010.0)</f>
        <v>1010</v>
      </c>
      <c r="E1067" s="39" t="str">
        <f>IFERROR(__xludf.DUMMYFUNCTION("""COMPUTED_VALUE"""),"layer VI of area 7ipc")</f>
        <v>layer VI of area 7ipc</v>
      </c>
      <c r="F1067" s="9" t="str">
        <f>IFERROR(__xludf.DUMMYFUNCTION("""COMPUTED_VALUE"""),"Br")</f>
        <v>Br</v>
      </c>
      <c r="G1067" s="9" t="str">
        <f>IFERROR(__xludf.DUMMYFUNCTION("""COMPUTED_VALUE"""),"F")</f>
        <v>F</v>
      </c>
      <c r="H1067" s="9" t="str">
        <f>IFERROR(__xludf.DUMMYFUNCTION("""COMPUTED_VALUE"""),"FGM")</f>
        <v>FGM</v>
      </c>
      <c r="I1067" s="9" t="str">
        <f>IFERROR(__xludf.DUMMYFUNCTION("""COMPUTED_VALUE"""),"Tel")</f>
        <v>Tel</v>
      </c>
      <c r="J1067" s="9" t="str">
        <f>IFERROR(__xludf.DUMMYFUNCTION("""COMPUTED_VALUE"""),"Cx")</f>
        <v>Cx</v>
      </c>
      <c r="K1067" s="9" t="str">
        <f>IFERROR(__xludf.DUMMYFUNCTION("""COMPUTED_VALUE"""),"NCx")</f>
        <v>NCx</v>
      </c>
      <c r="L1067" s="9" t="str">
        <f>IFERROR(__xludf.DUMMYFUNCTION("""COMPUTED_VALUE"""),"PCx")</f>
        <v>PCx</v>
      </c>
      <c r="M1067" s="9" t="str">
        <f>IFERROR(__xludf.DUMMYFUNCTION("""COMPUTED_VALUE"""),"PoPC")</f>
        <v>PoPC</v>
      </c>
      <c r="N1067" s="9" t="str">
        <f>IFERROR(__xludf.DUMMYFUNCTION("""COMPUTED_VALUE"""),"SPC")</f>
        <v>SPC</v>
      </c>
      <c r="O1067" s="9" t="str">
        <f>IFERROR(__xludf.DUMMYFUNCTION("""COMPUTED_VALUE"""),"A7")</f>
        <v>A7</v>
      </c>
      <c r="P1067" s="9" t="str">
        <f>IFERROR(__xludf.DUMMYFUNCTION("""COMPUTED_VALUE"""),"A7ip")</f>
        <v>A7ip</v>
      </c>
      <c r="Q1067" s="9" t="str">
        <f>IFERROR(__xludf.DUMMYFUNCTION("""COMPUTED_VALUE"""),"A7ipc")</f>
        <v>A7ipc</v>
      </c>
      <c r="R1067" s="9" t="str">
        <f>IFERROR(__xludf.DUMMYFUNCTION("""COMPUTED_VALUE"""),"A7ipc6")</f>
        <v>A7ipc6</v>
      </c>
      <c r="S1067" s="42"/>
      <c r="T1067" s="42"/>
      <c r="U1067" s="42"/>
      <c r="V1067" s="42"/>
      <c r="W1067" s="42"/>
      <c r="X1067" s="42"/>
      <c r="Y1067" s="42"/>
      <c r="Z1067" s="42"/>
      <c r="AA1067" s="42"/>
      <c r="AB1067" s="42" t="str">
        <f>IFERROR(__xludf.DUMMYFUNCTION("""COMPUTED_VALUE"""),"allen institute")</f>
        <v>allen institute</v>
      </c>
      <c r="AC1067" s="42" t="str">
        <f>IFERROR(__xludf.DUMMYFUNCTION("""COMPUTED_VALUE"""),"DHBA")</f>
        <v>DHBA</v>
      </c>
      <c r="AD1067" s="42"/>
      <c r="AE1067" s="42"/>
      <c r="AF1067" s="9"/>
      <c r="AG1067" s="9"/>
      <c r="AH1067" s="42"/>
      <c r="AI1067" s="42"/>
      <c r="AJ1067" s="42"/>
      <c r="AK1067" s="42"/>
      <c r="AL1067" s="42"/>
      <c r="AM1067" s="42"/>
      <c r="AN1067" s="42"/>
      <c r="AO1067" s="63" t="str">
        <f>IFERROR(__xludf.DUMMYFUNCTION("IF(ISBLANK(A1067),,IF(ISBLANK(S1067), A1067&amp;"";"", TEXTJOIN(CHAR(10), TRUE, A1067&amp;"";"", ARRAYFORMULA(VLOOKUP(SPLIT(S1067, "";"" &amp; CHAR(10)), $A:$AO, 41, FALSE)))))"),"A7ipc6;")</f>
        <v>A7ipc6;</v>
      </c>
      <c r="AP1067" s="89"/>
    </row>
    <row r="1068">
      <c r="A1068" s="151" t="str">
        <f>IFERROR(__xludf.DUMMYFUNCTION("""COMPUTED_VALUE"""),"IPC")</f>
        <v>IPC</v>
      </c>
      <c r="B1068" s="42" t="str">
        <f>IFERROR(__xludf.DUMMYFUNCTION("""COMPUTED_VALUE"""),"DHBA")</f>
        <v>DHBA</v>
      </c>
      <c r="C1068" s="42" t="str">
        <f>IFERROR(__xludf.DUMMYFUNCTION("""COMPUTED_VALUE"""),"posteroventral (inferior) parietal cortex")</f>
        <v>posteroventral (inferior) parietal cortex</v>
      </c>
      <c r="D1068" s="42">
        <f>IFERROR(__xludf.DUMMYFUNCTION("""COMPUTED_VALUE"""),1011.0)</f>
        <v>1011</v>
      </c>
      <c r="E1068" s="39" t="str">
        <f>IFERROR(__xludf.DUMMYFUNCTION("""COMPUTED_VALUE"""),"posteroventral (inferior) parietal cortex")</f>
        <v>posteroventral (inferior) parietal cortex</v>
      </c>
      <c r="F1068" s="9" t="str">
        <f>IFERROR(__xludf.DUMMYFUNCTION("""COMPUTED_VALUE"""),"Br")</f>
        <v>Br</v>
      </c>
      <c r="G1068" s="9" t="str">
        <f>IFERROR(__xludf.DUMMYFUNCTION("""COMPUTED_VALUE"""),"F")</f>
        <v>F</v>
      </c>
      <c r="H1068" s="9" t="str">
        <f>IFERROR(__xludf.DUMMYFUNCTION("""COMPUTED_VALUE"""),"FGM")</f>
        <v>FGM</v>
      </c>
      <c r="I1068" s="9" t="str">
        <f>IFERROR(__xludf.DUMMYFUNCTION("""COMPUTED_VALUE"""),"Tel")</f>
        <v>Tel</v>
      </c>
      <c r="J1068" s="9" t="str">
        <f>IFERROR(__xludf.DUMMYFUNCTION("""COMPUTED_VALUE"""),"Cx")</f>
        <v>Cx</v>
      </c>
      <c r="K1068" s="9" t="str">
        <f>IFERROR(__xludf.DUMMYFUNCTION("""COMPUTED_VALUE"""),"NCx")</f>
        <v>NCx</v>
      </c>
      <c r="L1068" s="9" t="str">
        <f>IFERROR(__xludf.DUMMYFUNCTION("""COMPUTED_VALUE"""),"PCx")</f>
        <v>PCx</v>
      </c>
      <c r="M1068" s="9" t="str">
        <f>IFERROR(__xludf.DUMMYFUNCTION("""COMPUTED_VALUE"""),"PoPC")</f>
        <v>PoPC</v>
      </c>
      <c r="N1068" s="9" t="str">
        <f>IFERROR(__xludf.DUMMYFUNCTION("""COMPUTED_VALUE"""),"IPC")</f>
        <v>IPC</v>
      </c>
      <c r="O1068" s="9"/>
      <c r="P1068" s="9"/>
      <c r="Q1068" s="9"/>
      <c r="R1068" s="9"/>
      <c r="S1068" s="42" t="str">
        <f>IFERROR(__xludf.DUMMYFUNCTION("""COMPUTED_VALUE"""),"A40;
A40_39;
A39;
RI")</f>
        <v>A40;
A40_39;
A39;
RI</v>
      </c>
      <c r="T1068" s="42"/>
      <c r="U1068" s="42" t="b">
        <f>IFERROR(__xludf.DUMMYFUNCTION("""COMPUTED_VALUE"""),FALSE)</f>
        <v>0</v>
      </c>
      <c r="V1068" s="42"/>
      <c r="W1068" s="42"/>
      <c r="X1068" s="42"/>
      <c r="Y1068" s="42"/>
      <c r="Z1068" s="42"/>
      <c r="AA1068" s="42"/>
      <c r="AB1068" s="42" t="str">
        <f>IFERROR(__xludf.DUMMYFUNCTION("""COMPUTED_VALUE"""),"allen institute")</f>
        <v>allen institute</v>
      </c>
      <c r="AC1068" s="42" t="str">
        <f>IFERROR(__xludf.DUMMYFUNCTION("""COMPUTED_VALUE"""),"DHBA")</f>
        <v>DHBA</v>
      </c>
      <c r="AD1068" s="42"/>
      <c r="AE1068" s="42"/>
      <c r="AF1068" s="9"/>
      <c r="AG1068" s="9"/>
      <c r="AH1068" s="42"/>
      <c r="AI1068" s="42"/>
      <c r="AJ1068" s="42"/>
      <c r="AK1068" s="42"/>
      <c r="AL1068" s="42"/>
      <c r="AM1068" s="42"/>
      <c r="AN1068" s="42"/>
      <c r="AO1068" s="63" t="str">
        <f>IFERROR(__xludf.DUMMYFUNCTION("IF(ISBLANK(A1068),,IF(ISBLANK(S1068), A1068&amp;"";"", TEXTJOIN(CHAR(10), TRUE, A1068&amp;"";"", ARRAYFORMULA(VLOOKUP(SPLIT(S1068, "";"" &amp; CHAR(10)), $A:$AO, 41, FALSE)))))"),"#N/A")</f>
        <v>#N/A</v>
      </c>
      <c r="AP1068" s="89"/>
    </row>
    <row r="1069">
      <c r="A1069" s="151" t="str">
        <f>IFERROR(__xludf.DUMMYFUNCTION("""COMPUTED_VALUE"""),"A40")</f>
        <v>A40</v>
      </c>
      <c r="B1069" s="42" t="str">
        <f>IFERROR(__xludf.DUMMYFUNCTION("""COMPUTED_VALUE"""),"DHBA")</f>
        <v>DHBA</v>
      </c>
      <c r="C1069" s="42" t="str">
        <f>IFERROR(__xludf.DUMMYFUNCTION("""COMPUTED_VALUE"""),"rostral division of IPC (area 40)")</f>
        <v>rostral division of IPC (area 40)</v>
      </c>
      <c r="D1069" s="42">
        <f>IFERROR(__xludf.DUMMYFUNCTION("""COMPUTED_VALUE"""),1012.0)</f>
        <v>1012</v>
      </c>
      <c r="E1069" s="39" t="str">
        <f>IFERROR(__xludf.DUMMYFUNCTION("""COMPUTED_VALUE"""),"rostral division of IPC (area 40)")</f>
        <v>rostral division of IPC (area 40)</v>
      </c>
      <c r="F1069" s="9" t="str">
        <f>IFERROR(__xludf.DUMMYFUNCTION("""COMPUTED_VALUE"""),"Br")</f>
        <v>Br</v>
      </c>
      <c r="G1069" s="9" t="str">
        <f>IFERROR(__xludf.DUMMYFUNCTION("""COMPUTED_VALUE"""),"F")</f>
        <v>F</v>
      </c>
      <c r="H1069" s="9" t="str">
        <f>IFERROR(__xludf.DUMMYFUNCTION("""COMPUTED_VALUE"""),"FGM")</f>
        <v>FGM</v>
      </c>
      <c r="I1069" s="9" t="str">
        <f>IFERROR(__xludf.DUMMYFUNCTION("""COMPUTED_VALUE"""),"Tel")</f>
        <v>Tel</v>
      </c>
      <c r="J1069" s="9" t="str">
        <f>IFERROR(__xludf.DUMMYFUNCTION("""COMPUTED_VALUE"""),"Cx")</f>
        <v>Cx</v>
      </c>
      <c r="K1069" s="9" t="str">
        <f>IFERROR(__xludf.DUMMYFUNCTION("""COMPUTED_VALUE"""),"NCx")</f>
        <v>NCx</v>
      </c>
      <c r="L1069" s="9" t="str">
        <f>IFERROR(__xludf.DUMMYFUNCTION("""COMPUTED_VALUE"""),"PCx")</f>
        <v>PCx</v>
      </c>
      <c r="M1069" s="9" t="str">
        <f>IFERROR(__xludf.DUMMYFUNCTION("""COMPUTED_VALUE"""),"PoPC")</f>
        <v>PoPC</v>
      </c>
      <c r="N1069" s="9" t="str">
        <f>IFERROR(__xludf.DUMMYFUNCTION("""COMPUTED_VALUE"""),"IPC")</f>
        <v>IPC</v>
      </c>
      <c r="O1069" s="9" t="str">
        <f>IFERROR(__xludf.DUMMYFUNCTION("""COMPUTED_VALUE"""),"A40")</f>
        <v>A40</v>
      </c>
      <c r="P1069" s="9"/>
      <c r="Q1069" s="9"/>
      <c r="R1069" s="9"/>
      <c r="S1069" s="42" t="str">
        <f>IFERROR(__xludf.DUMMYFUNCTION("""COMPUTED_VALUE"""),"A40rd;
A40rv;
A40in")</f>
        <v>A40rd;
A40rv;
A40in</v>
      </c>
      <c r="T1069" s="42"/>
      <c r="U1069" s="42" t="b">
        <f>IFERROR(__xludf.DUMMYFUNCTION("""COMPUTED_VALUE"""),FALSE)</f>
        <v>0</v>
      </c>
      <c r="V1069" s="42"/>
      <c r="W1069" s="42"/>
      <c r="X1069" s="42"/>
      <c r="Y1069" s="42"/>
      <c r="Z1069" s="42"/>
      <c r="AA1069" s="42"/>
      <c r="AB1069" s="42" t="str">
        <f>IFERROR(__xludf.DUMMYFUNCTION("""COMPUTED_VALUE"""),"allen institute")</f>
        <v>allen institute</v>
      </c>
      <c r="AC1069" s="42" t="str">
        <f>IFERROR(__xludf.DUMMYFUNCTION("""COMPUTED_VALUE"""),"DHBA")</f>
        <v>DHBA</v>
      </c>
      <c r="AD1069" s="42"/>
      <c r="AE1069" s="42"/>
      <c r="AF1069" s="9"/>
      <c r="AG1069" s="9"/>
      <c r="AH1069" s="42"/>
      <c r="AI1069" s="42"/>
      <c r="AJ1069" s="42"/>
      <c r="AK1069" s="42"/>
      <c r="AL1069" s="42"/>
      <c r="AM1069" s="42"/>
      <c r="AN1069" s="42"/>
      <c r="AO1069" s="63" t="str">
        <f>IFERROR(__xludf.DUMMYFUNCTION("IF(ISBLANK(A1069),,IF(ISBLANK(S1069), A1069&amp;"";"", TEXTJOIN(CHAR(10), TRUE, A1069&amp;"";"", ARRAYFORMULA(VLOOKUP(SPLIT(S1069, "";"" &amp; CHAR(10)), $A:$AO, 41, FALSE)))))"),"A40;
A40rd;
A40rd1;
A40rd2;
A40rd3;
A40rd4;
A40rd5;
A40rd6;
A40rv;
A40rv1;
A40rv2;
A40rv3;
A40rv4;
A40rv5;
A40rv6;
A40in;
A40in1;
A40in2;
A40in3;
A40in4;
A40in5;
A40in6;")</f>
        <v>A40;
A40rd;
A40rd1;
A40rd2;
A40rd3;
A40rd4;
A40rd5;
A40rd6;
A40rv;
A40rv1;
A40rv2;
A40rv3;
A40rv4;
A40rv5;
A40rv6;
A40in;
A40in1;
A40in2;
A40in3;
A40in4;
A40in5;
A40in6;</v>
      </c>
      <c r="AP1069" s="89"/>
    </row>
    <row r="1070">
      <c r="A1070" s="151" t="str">
        <f>IFERROR(__xludf.DUMMYFUNCTION("""COMPUTED_VALUE"""),"A40rd")</f>
        <v>A40rd</v>
      </c>
      <c r="B1070" s="42" t="str">
        <f>IFERROR(__xludf.DUMMYFUNCTION("""COMPUTED_VALUE"""),"DHBA")</f>
        <v>DHBA</v>
      </c>
      <c r="C1070" s="42" t="str">
        <f>IFERROR(__xludf.DUMMYFUNCTION("""COMPUTED_VALUE"""),"rostrodorsal subdivision of area 40")</f>
        <v>rostrodorsal subdivision of area 40</v>
      </c>
      <c r="D1070" s="42">
        <f>IFERROR(__xludf.DUMMYFUNCTION("""COMPUTED_VALUE"""),1013.0)</f>
        <v>1013</v>
      </c>
      <c r="E1070" s="39" t="str">
        <f>IFERROR(__xludf.DUMMYFUNCTION("""COMPUTED_VALUE"""),"rostrodorsal subdivision of area 40")</f>
        <v>rostrodorsal subdivision of area 40</v>
      </c>
      <c r="F1070" s="9" t="str">
        <f>IFERROR(__xludf.DUMMYFUNCTION("""COMPUTED_VALUE"""),"Br")</f>
        <v>Br</v>
      </c>
      <c r="G1070" s="9" t="str">
        <f>IFERROR(__xludf.DUMMYFUNCTION("""COMPUTED_VALUE"""),"F")</f>
        <v>F</v>
      </c>
      <c r="H1070" s="9" t="str">
        <f>IFERROR(__xludf.DUMMYFUNCTION("""COMPUTED_VALUE"""),"FGM")</f>
        <v>FGM</v>
      </c>
      <c r="I1070" s="9" t="str">
        <f>IFERROR(__xludf.DUMMYFUNCTION("""COMPUTED_VALUE"""),"Tel")</f>
        <v>Tel</v>
      </c>
      <c r="J1070" s="9" t="str">
        <f>IFERROR(__xludf.DUMMYFUNCTION("""COMPUTED_VALUE"""),"Cx")</f>
        <v>Cx</v>
      </c>
      <c r="K1070" s="9" t="str">
        <f>IFERROR(__xludf.DUMMYFUNCTION("""COMPUTED_VALUE"""),"NCx")</f>
        <v>NCx</v>
      </c>
      <c r="L1070" s="9" t="str">
        <f>IFERROR(__xludf.DUMMYFUNCTION("""COMPUTED_VALUE"""),"PCx")</f>
        <v>PCx</v>
      </c>
      <c r="M1070" s="9" t="str">
        <f>IFERROR(__xludf.DUMMYFUNCTION("""COMPUTED_VALUE"""),"PoPC")</f>
        <v>PoPC</v>
      </c>
      <c r="N1070" s="9" t="str">
        <f>IFERROR(__xludf.DUMMYFUNCTION("""COMPUTED_VALUE"""),"IPC")</f>
        <v>IPC</v>
      </c>
      <c r="O1070" s="9" t="str">
        <f>IFERROR(__xludf.DUMMYFUNCTION("""COMPUTED_VALUE"""),"A40")</f>
        <v>A40</v>
      </c>
      <c r="P1070" s="9" t="str">
        <f>IFERROR(__xludf.DUMMYFUNCTION("""COMPUTED_VALUE"""),"A40rd")</f>
        <v>A40rd</v>
      </c>
      <c r="Q1070" s="9"/>
      <c r="R1070" s="9"/>
      <c r="S1070" s="42" t="str">
        <f>IFERROR(__xludf.DUMMYFUNCTION("""COMPUTED_VALUE"""),"A40rd1;
A40rd2;
A40rd3;
A40rd4;
A40rd5;
A40rd6")</f>
        <v>A40rd1;
A40rd2;
A40rd3;
A40rd4;
A40rd5;
A40rd6</v>
      </c>
      <c r="T1070" s="42"/>
      <c r="U1070" s="42" t="b">
        <f>IFERROR(__xludf.DUMMYFUNCTION("""COMPUTED_VALUE"""),FALSE)</f>
        <v>0</v>
      </c>
      <c r="V1070" s="42"/>
      <c r="W1070" s="42"/>
      <c r="X1070" s="42"/>
      <c r="Y1070" s="42"/>
      <c r="Z1070" s="42"/>
      <c r="AA1070" s="42"/>
      <c r="AB1070" s="42" t="str">
        <f>IFERROR(__xludf.DUMMYFUNCTION("""COMPUTED_VALUE"""),"allen institute")</f>
        <v>allen institute</v>
      </c>
      <c r="AC1070" s="42" t="str">
        <f>IFERROR(__xludf.DUMMYFUNCTION("""COMPUTED_VALUE"""),"DHBA")</f>
        <v>DHBA</v>
      </c>
      <c r="AD1070" s="42"/>
      <c r="AE1070" s="42"/>
      <c r="AF1070" s="9"/>
      <c r="AG1070" s="9"/>
      <c r="AH1070" s="42"/>
      <c r="AI1070" s="42"/>
      <c r="AJ1070" s="42"/>
      <c r="AK1070" s="42"/>
      <c r="AL1070" s="42"/>
      <c r="AM1070" s="42"/>
      <c r="AN1070" s="42"/>
      <c r="AO1070" s="63" t="str">
        <f>IFERROR(__xludf.DUMMYFUNCTION("IF(ISBLANK(A1070),,IF(ISBLANK(S1070), A1070&amp;"";"", TEXTJOIN(CHAR(10), TRUE, A1070&amp;"";"", ARRAYFORMULA(VLOOKUP(SPLIT(S1070, "";"" &amp; CHAR(10)), $A:$AO, 41, FALSE)))))"),"A40rd;
A40rd1;
A40rd2;
A40rd3;
A40rd4;
A40rd5;
A40rd6;")</f>
        <v>A40rd;
A40rd1;
A40rd2;
A40rd3;
A40rd4;
A40rd5;
A40rd6;</v>
      </c>
      <c r="AP1070" s="89"/>
    </row>
    <row r="1071">
      <c r="A1071" s="151" t="str">
        <f>IFERROR(__xludf.DUMMYFUNCTION("""COMPUTED_VALUE"""),"A40rd1")</f>
        <v>A40rd1</v>
      </c>
      <c r="B1071" s="42" t="str">
        <f>IFERROR(__xludf.DUMMYFUNCTION("""COMPUTED_VALUE"""),"DHBA")</f>
        <v>DHBA</v>
      </c>
      <c r="C1071" s="42" t="str">
        <f>IFERROR(__xludf.DUMMYFUNCTION("""COMPUTED_VALUE"""),"layer I of area 40rd")</f>
        <v>layer I of area 40rd</v>
      </c>
      <c r="D1071" s="42">
        <f>IFERROR(__xludf.DUMMYFUNCTION("""COMPUTED_VALUE"""),1014.0)</f>
        <v>1014</v>
      </c>
      <c r="E1071" s="39" t="str">
        <f>IFERROR(__xludf.DUMMYFUNCTION("""COMPUTED_VALUE"""),"layer I of area 40rd")</f>
        <v>layer I of area 40rd</v>
      </c>
      <c r="F1071" s="9" t="str">
        <f>IFERROR(__xludf.DUMMYFUNCTION("""COMPUTED_VALUE"""),"Br")</f>
        <v>Br</v>
      </c>
      <c r="G1071" s="9" t="str">
        <f>IFERROR(__xludf.DUMMYFUNCTION("""COMPUTED_VALUE"""),"F")</f>
        <v>F</v>
      </c>
      <c r="H1071" s="9" t="str">
        <f>IFERROR(__xludf.DUMMYFUNCTION("""COMPUTED_VALUE"""),"FGM")</f>
        <v>FGM</v>
      </c>
      <c r="I1071" s="9" t="str">
        <f>IFERROR(__xludf.DUMMYFUNCTION("""COMPUTED_VALUE"""),"Tel")</f>
        <v>Tel</v>
      </c>
      <c r="J1071" s="9" t="str">
        <f>IFERROR(__xludf.DUMMYFUNCTION("""COMPUTED_VALUE"""),"Cx")</f>
        <v>Cx</v>
      </c>
      <c r="K1071" s="9" t="str">
        <f>IFERROR(__xludf.DUMMYFUNCTION("""COMPUTED_VALUE"""),"NCx")</f>
        <v>NCx</v>
      </c>
      <c r="L1071" s="9" t="str">
        <f>IFERROR(__xludf.DUMMYFUNCTION("""COMPUTED_VALUE"""),"PCx")</f>
        <v>PCx</v>
      </c>
      <c r="M1071" s="9" t="str">
        <f>IFERROR(__xludf.DUMMYFUNCTION("""COMPUTED_VALUE"""),"PoPC")</f>
        <v>PoPC</v>
      </c>
      <c r="N1071" s="9" t="str">
        <f>IFERROR(__xludf.DUMMYFUNCTION("""COMPUTED_VALUE"""),"IPC")</f>
        <v>IPC</v>
      </c>
      <c r="O1071" s="9" t="str">
        <f>IFERROR(__xludf.DUMMYFUNCTION("""COMPUTED_VALUE"""),"A40")</f>
        <v>A40</v>
      </c>
      <c r="P1071" s="9" t="str">
        <f>IFERROR(__xludf.DUMMYFUNCTION("""COMPUTED_VALUE"""),"A40rd")</f>
        <v>A40rd</v>
      </c>
      <c r="Q1071" s="9" t="str">
        <f>IFERROR(__xludf.DUMMYFUNCTION("""COMPUTED_VALUE"""),"A40rd1")</f>
        <v>A40rd1</v>
      </c>
      <c r="R1071" s="9"/>
      <c r="S1071" s="42"/>
      <c r="T1071" s="42"/>
      <c r="U1071" s="42"/>
      <c r="V1071" s="42"/>
      <c r="W1071" s="42"/>
      <c r="X1071" s="42"/>
      <c r="Y1071" s="42"/>
      <c r="Z1071" s="42"/>
      <c r="AA1071" s="42"/>
      <c r="AB1071" s="42" t="str">
        <f>IFERROR(__xludf.DUMMYFUNCTION("""COMPUTED_VALUE"""),"allen institute")</f>
        <v>allen institute</v>
      </c>
      <c r="AC1071" s="42" t="str">
        <f>IFERROR(__xludf.DUMMYFUNCTION("""COMPUTED_VALUE"""),"DHBA")</f>
        <v>DHBA</v>
      </c>
      <c r="AD1071" s="42"/>
      <c r="AE1071" s="42"/>
      <c r="AF1071" s="9"/>
      <c r="AG1071" s="9"/>
      <c r="AH1071" s="42"/>
      <c r="AI1071" s="42"/>
      <c r="AJ1071" s="42"/>
      <c r="AK1071" s="42"/>
      <c r="AL1071" s="42"/>
      <c r="AM1071" s="42"/>
      <c r="AN1071" s="42"/>
      <c r="AO1071" s="63" t="str">
        <f>IFERROR(__xludf.DUMMYFUNCTION("IF(ISBLANK(A1071),,IF(ISBLANK(S1071), A1071&amp;"";"", TEXTJOIN(CHAR(10), TRUE, A1071&amp;"";"", ARRAYFORMULA(VLOOKUP(SPLIT(S1071, "";"" &amp; CHAR(10)), $A:$AO, 41, FALSE)))))"),"A40rd1;")</f>
        <v>A40rd1;</v>
      </c>
      <c r="AP1071" s="89"/>
    </row>
    <row r="1072">
      <c r="A1072" s="151" t="str">
        <f>IFERROR(__xludf.DUMMYFUNCTION("""COMPUTED_VALUE"""),"A40rd2")</f>
        <v>A40rd2</v>
      </c>
      <c r="B1072" s="42" t="str">
        <f>IFERROR(__xludf.DUMMYFUNCTION("""COMPUTED_VALUE"""),"DHBA")</f>
        <v>DHBA</v>
      </c>
      <c r="C1072" s="42" t="str">
        <f>IFERROR(__xludf.DUMMYFUNCTION("""COMPUTED_VALUE"""),"layer II of area 40rd")</f>
        <v>layer II of area 40rd</v>
      </c>
      <c r="D1072" s="42">
        <f>IFERROR(__xludf.DUMMYFUNCTION("""COMPUTED_VALUE"""),1015.0)</f>
        <v>1015</v>
      </c>
      <c r="E1072" s="39" t="str">
        <f>IFERROR(__xludf.DUMMYFUNCTION("""COMPUTED_VALUE"""),"layer II of area 40rd")</f>
        <v>layer II of area 40rd</v>
      </c>
      <c r="F1072" s="9" t="str">
        <f>IFERROR(__xludf.DUMMYFUNCTION("""COMPUTED_VALUE"""),"Br")</f>
        <v>Br</v>
      </c>
      <c r="G1072" s="9" t="str">
        <f>IFERROR(__xludf.DUMMYFUNCTION("""COMPUTED_VALUE"""),"F")</f>
        <v>F</v>
      </c>
      <c r="H1072" s="9" t="str">
        <f>IFERROR(__xludf.DUMMYFUNCTION("""COMPUTED_VALUE"""),"FGM")</f>
        <v>FGM</v>
      </c>
      <c r="I1072" s="9" t="str">
        <f>IFERROR(__xludf.DUMMYFUNCTION("""COMPUTED_VALUE"""),"Tel")</f>
        <v>Tel</v>
      </c>
      <c r="J1072" s="9" t="str">
        <f>IFERROR(__xludf.DUMMYFUNCTION("""COMPUTED_VALUE"""),"Cx")</f>
        <v>Cx</v>
      </c>
      <c r="K1072" s="9" t="str">
        <f>IFERROR(__xludf.DUMMYFUNCTION("""COMPUTED_VALUE"""),"NCx")</f>
        <v>NCx</v>
      </c>
      <c r="L1072" s="9" t="str">
        <f>IFERROR(__xludf.DUMMYFUNCTION("""COMPUTED_VALUE"""),"PCx")</f>
        <v>PCx</v>
      </c>
      <c r="M1072" s="9" t="str">
        <f>IFERROR(__xludf.DUMMYFUNCTION("""COMPUTED_VALUE"""),"PoPC")</f>
        <v>PoPC</v>
      </c>
      <c r="N1072" s="9" t="str">
        <f>IFERROR(__xludf.DUMMYFUNCTION("""COMPUTED_VALUE"""),"IPC")</f>
        <v>IPC</v>
      </c>
      <c r="O1072" s="9" t="str">
        <f>IFERROR(__xludf.DUMMYFUNCTION("""COMPUTED_VALUE"""),"A40")</f>
        <v>A40</v>
      </c>
      <c r="P1072" s="9" t="str">
        <f>IFERROR(__xludf.DUMMYFUNCTION("""COMPUTED_VALUE"""),"A40rd")</f>
        <v>A40rd</v>
      </c>
      <c r="Q1072" s="9" t="str">
        <f>IFERROR(__xludf.DUMMYFUNCTION("""COMPUTED_VALUE"""),"A40rd2")</f>
        <v>A40rd2</v>
      </c>
      <c r="R1072" s="9"/>
      <c r="S1072" s="42"/>
      <c r="T1072" s="42"/>
      <c r="U1072" s="42"/>
      <c r="V1072" s="42"/>
      <c r="W1072" s="42"/>
      <c r="X1072" s="42"/>
      <c r="Y1072" s="42"/>
      <c r="Z1072" s="42"/>
      <c r="AA1072" s="42"/>
      <c r="AB1072" s="42" t="str">
        <f>IFERROR(__xludf.DUMMYFUNCTION("""COMPUTED_VALUE"""),"allen institute")</f>
        <v>allen institute</v>
      </c>
      <c r="AC1072" s="42" t="str">
        <f>IFERROR(__xludf.DUMMYFUNCTION("""COMPUTED_VALUE"""),"DHBA")</f>
        <v>DHBA</v>
      </c>
      <c r="AD1072" s="42"/>
      <c r="AE1072" s="42"/>
      <c r="AF1072" s="9"/>
      <c r="AG1072" s="9"/>
      <c r="AH1072" s="42"/>
      <c r="AI1072" s="42"/>
      <c r="AJ1072" s="42"/>
      <c r="AK1072" s="42"/>
      <c r="AL1072" s="42"/>
      <c r="AM1072" s="42"/>
      <c r="AN1072" s="42"/>
      <c r="AO1072" s="63" t="str">
        <f>IFERROR(__xludf.DUMMYFUNCTION("IF(ISBLANK(A1072),,IF(ISBLANK(S1072), A1072&amp;"";"", TEXTJOIN(CHAR(10), TRUE, A1072&amp;"";"", ARRAYFORMULA(VLOOKUP(SPLIT(S1072, "";"" &amp; CHAR(10)), $A:$AO, 41, FALSE)))))"),"A40rd2;")</f>
        <v>A40rd2;</v>
      </c>
      <c r="AP1072" s="89"/>
    </row>
    <row r="1073">
      <c r="A1073" s="151" t="str">
        <f>IFERROR(__xludf.DUMMYFUNCTION("""COMPUTED_VALUE"""),"A40rd3")</f>
        <v>A40rd3</v>
      </c>
      <c r="B1073" s="42" t="str">
        <f>IFERROR(__xludf.DUMMYFUNCTION("""COMPUTED_VALUE"""),"DHBA")</f>
        <v>DHBA</v>
      </c>
      <c r="C1073" s="42" t="str">
        <f>IFERROR(__xludf.DUMMYFUNCTION("""COMPUTED_VALUE"""),"layer III of area 40rd")</f>
        <v>layer III of area 40rd</v>
      </c>
      <c r="D1073" s="42">
        <f>IFERROR(__xludf.DUMMYFUNCTION("""COMPUTED_VALUE"""),1016.0)</f>
        <v>1016</v>
      </c>
      <c r="E1073" s="39" t="str">
        <f>IFERROR(__xludf.DUMMYFUNCTION("""COMPUTED_VALUE"""),"layer III of area 40rd")</f>
        <v>layer III of area 40rd</v>
      </c>
      <c r="F1073" s="9" t="str">
        <f>IFERROR(__xludf.DUMMYFUNCTION("""COMPUTED_VALUE"""),"Br")</f>
        <v>Br</v>
      </c>
      <c r="G1073" s="9" t="str">
        <f>IFERROR(__xludf.DUMMYFUNCTION("""COMPUTED_VALUE"""),"F")</f>
        <v>F</v>
      </c>
      <c r="H1073" s="9" t="str">
        <f>IFERROR(__xludf.DUMMYFUNCTION("""COMPUTED_VALUE"""),"FGM")</f>
        <v>FGM</v>
      </c>
      <c r="I1073" s="9" t="str">
        <f>IFERROR(__xludf.DUMMYFUNCTION("""COMPUTED_VALUE"""),"Tel")</f>
        <v>Tel</v>
      </c>
      <c r="J1073" s="9" t="str">
        <f>IFERROR(__xludf.DUMMYFUNCTION("""COMPUTED_VALUE"""),"Cx")</f>
        <v>Cx</v>
      </c>
      <c r="K1073" s="9" t="str">
        <f>IFERROR(__xludf.DUMMYFUNCTION("""COMPUTED_VALUE"""),"NCx")</f>
        <v>NCx</v>
      </c>
      <c r="L1073" s="9" t="str">
        <f>IFERROR(__xludf.DUMMYFUNCTION("""COMPUTED_VALUE"""),"PCx")</f>
        <v>PCx</v>
      </c>
      <c r="M1073" s="9" t="str">
        <f>IFERROR(__xludf.DUMMYFUNCTION("""COMPUTED_VALUE"""),"PoPC")</f>
        <v>PoPC</v>
      </c>
      <c r="N1073" s="9" t="str">
        <f>IFERROR(__xludf.DUMMYFUNCTION("""COMPUTED_VALUE"""),"IPC")</f>
        <v>IPC</v>
      </c>
      <c r="O1073" s="9" t="str">
        <f>IFERROR(__xludf.DUMMYFUNCTION("""COMPUTED_VALUE"""),"A40")</f>
        <v>A40</v>
      </c>
      <c r="P1073" s="9" t="str">
        <f>IFERROR(__xludf.DUMMYFUNCTION("""COMPUTED_VALUE"""),"A40rd")</f>
        <v>A40rd</v>
      </c>
      <c r="Q1073" s="9" t="str">
        <f>IFERROR(__xludf.DUMMYFUNCTION("""COMPUTED_VALUE"""),"A40rd3")</f>
        <v>A40rd3</v>
      </c>
      <c r="R1073" s="9"/>
      <c r="S1073" s="42"/>
      <c r="T1073" s="42"/>
      <c r="U1073" s="42"/>
      <c r="V1073" s="42"/>
      <c r="W1073" s="42"/>
      <c r="X1073" s="42"/>
      <c r="Y1073" s="42"/>
      <c r="Z1073" s="42"/>
      <c r="AA1073" s="42"/>
      <c r="AB1073" s="42" t="str">
        <f>IFERROR(__xludf.DUMMYFUNCTION("""COMPUTED_VALUE"""),"allen institute")</f>
        <v>allen institute</v>
      </c>
      <c r="AC1073" s="42" t="str">
        <f>IFERROR(__xludf.DUMMYFUNCTION("""COMPUTED_VALUE"""),"DHBA")</f>
        <v>DHBA</v>
      </c>
      <c r="AD1073" s="42"/>
      <c r="AE1073" s="42"/>
      <c r="AF1073" s="9"/>
      <c r="AG1073" s="9"/>
      <c r="AH1073" s="42"/>
      <c r="AI1073" s="42"/>
      <c r="AJ1073" s="42"/>
      <c r="AK1073" s="42"/>
      <c r="AL1073" s="42"/>
      <c r="AM1073" s="42"/>
      <c r="AN1073" s="42"/>
      <c r="AO1073" s="63" t="str">
        <f>IFERROR(__xludf.DUMMYFUNCTION("IF(ISBLANK(A1073),,IF(ISBLANK(S1073), A1073&amp;"";"", TEXTJOIN(CHAR(10), TRUE, A1073&amp;"";"", ARRAYFORMULA(VLOOKUP(SPLIT(S1073, "";"" &amp; CHAR(10)), $A:$AO, 41, FALSE)))))"),"A40rd3;")</f>
        <v>A40rd3;</v>
      </c>
      <c r="AP1073" s="89"/>
    </row>
    <row r="1074">
      <c r="A1074" s="151" t="str">
        <f>IFERROR(__xludf.DUMMYFUNCTION("""COMPUTED_VALUE"""),"A40rd4")</f>
        <v>A40rd4</v>
      </c>
      <c r="B1074" s="42" t="str">
        <f>IFERROR(__xludf.DUMMYFUNCTION("""COMPUTED_VALUE"""),"DHBA")</f>
        <v>DHBA</v>
      </c>
      <c r="C1074" s="42" t="str">
        <f>IFERROR(__xludf.DUMMYFUNCTION("""COMPUTED_VALUE"""),"layer IV of area 40rd")</f>
        <v>layer IV of area 40rd</v>
      </c>
      <c r="D1074" s="42">
        <f>IFERROR(__xludf.DUMMYFUNCTION("""COMPUTED_VALUE"""),1017.0)</f>
        <v>1017</v>
      </c>
      <c r="E1074" s="39" t="str">
        <f>IFERROR(__xludf.DUMMYFUNCTION("""COMPUTED_VALUE"""),"layer IV of area 40rd")</f>
        <v>layer IV of area 40rd</v>
      </c>
      <c r="F1074" s="9" t="str">
        <f>IFERROR(__xludf.DUMMYFUNCTION("""COMPUTED_VALUE"""),"Br")</f>
        <v>Br</v>
      </c>
      <c r="G1074" s="9" t="str">
        <f>IFERROR(__xludf.DUMMYFUNCTION("""COMPUTED_VALUE"""),"F")</f>
        <v>F</v>
      </c>
      <c r="H1074" s="9" t="str">
        <f>IFERROR(__xludf.DUMMYFUNCTION("""COMPUTED_VALUE"""),"FGM")</f>
        <v>FGM</v>
      </c>
      <c r="I1074" s="9" t="str">
        <f>IFERROR(__xludf.DUMMYFUNCTION("""COMPUTED_VALUE"""),"Tel")</f>
        <v>Tel</v>
      </c>
      <c r="J1074" s="9" t="str">
        <f>IFERROR(__xludf.DUMMYFUNCTION("""COMPUTED_VALUE"""),"Cx")</f>
        <v>Cx</v>
      </c>
      <c r="K1074" s="9" t="str">
        <f>IFERROR(__xludf.DUMMYFUNCTION("""COMPUTED_VALUE"""),"NCx")</f>
        <v>NCx</v>
      </c>
      <c r="L1074" s="9" t="str">
        <f>IFERROR(__xludf.DUMMYFUNCTION("""COMPUTED_VALUE"""),"PCx")</f>
        <v>PCx</v>
      </c>
      <c r="M1074" s="9" t="str">
        <f>IFERROR(__xludf.DUMMYFUNCTION("""COMPUTED_VALUE"""),"PoPC")</f>
        <v>PoPC</v>
      </c>
      <c r="N1074" s="9" t="str">
        <f>IFERROR(__xludf.DUMMYFUNCTION("""COMPUTED_VALUE"""),"IPC")</f>
        <v>IPC</v>
      </c>
      <c r="O1074" s="9" t="str">
        <f>IFERROR(__xludf.DUMMYFUNCTION("""COMPUTED_VALUE"""),"A40")</f>
        <v>A40</v>
      </c>
      <c r="P1074" s="9" t="str">
        <f>IFERROR(__xludf.DUMMYFUNCTION("""COMPUTED_VALUE"""),"A40rd")</f>
        <v>A40rd</v>
      </c>
      <c r="Q1074" s="9" t="str">
        <f>IFERROR(__xludf.DUMMYFUNCTION("""COMPUTED_VALUE"""),"A40rd4")</f>
        <v>A40rd4</v>
      </c>
      <c r="R1074" s="9"/>
      <c r="S1074" s="42"/>
      <c r="T1074" s="42"/>
      <c r="U1074" s="42"/>
      <c r="V1074" s="42"/>
      <c r="W1074" s="42"/>
      <c r="X1074" s="42"/>
      <c r="Y1074" s="42"/>
      <c r="Z1074" s="42"/>
      <c r="AA1074" s="42"/>
      <c r="AB1074" s="42" t="str">
        <f>IFERROR(__xludf.DUMMYFUNCTION("""COMPUTED_VALUE"""),"allen institute")</f>
        <v>allen institute</v>
      </c>
      <c r="AC1074" s="42" t="str">
        <f>IFERROR(__xludf.DUMMYFUNCTION("""COMPUTED_VALUE"""),"DHBA")</f>
        <v>DHBA</v>
      </c>
      <c r="AD1074" s="42"/>
      <c r="AE1074" s="42"/>
      <c r="AF1074" s="9"/>
      <c r="AG1074" s="9"/>
      <c r="AH1074" s="42"/>
      <c r="AI1074" s="42"/>
      <c r="AJ1074" s="42"/>
      <c r="AK1074" s="42"/>
      <c r="AL1074" s="42"/>
      <c r="AM1074" s="42"/>
      <c r="AN1074" s="42"/>
      <c r="AO1074" s="63" t="str">
        <f>IFERROR(__xludf.DUMMYFUNCTION("IF(ISBLANK(A1074),,IF(ISBLANK(S1074), A1074&amp;"";"", TEXTJOIN(CHAR(10), TRUE, A1074&amp;"";"", ARRAYFORMULA(VLOOKUP(SPLIT(S1074, "";"" &amp; CHAR(10)), $A:$AO, 41, FALSE)))))"),"A40rd4;")</f>
        <v>A40rd4;</v>
      </c>
      <c r="AP1074" s="89"/>
    </row>
    <row r="1075">
      <c r="A1075" s="151" t="str">
        <f>IFERROR(__xludf.DUMMYFUNCTION("""COMPUTED_VALUE"""),"A40rd5")</f>
        <v>A40rd5</v>
      </c>
      <c r="B1075" s="42" t="str">
        <f>IFERROR(__xludf.DUMMYFUNCTION("""COMPUTED_VALUE"""),"DHBA")</f>
        <v>DHBA</v>
      </c>
      <c r="C1075" s="42" t="str">
        <f>IFERROR(__xludf.DUMMYFUNCTION("""COMPUTED_VALUE"""),"layer V of area 40rd")</f>
        <v>layer V of area 40rd</v>
      </c>
      <c r="D1075" s="42">
        <f>IFERROR(__xludf.DUMMYFUNCTION("""COMPUTED_VALUE"""),1018.0)</f>
        <v>1018</v>
      </c>
      <c r="E1075" s="39" t="str">
        <f>IFERROR(__xludf.DUMMYFUNCTION("""COMPUTED_VALUE"""),"layer V of area 40rd")</f>
        <v>layer V of area 40rd</v>
      </c>
      <c r="F1075" s="9" t="str">
        <f>IFERROR(__xludf.DUMMYFUNCTION("""COMPUTED_VALUE"""),"Br")</f>
        <v>Br</v>
      </c>
      <c r="G1075" s="9" t="str">
        <f>IFERROR(__xludf.DUMMYFUNCTION("""COMPUTED_VALUE"""),"F")</f>
        <v>F</v>
      </c>
      <c r="H1075" s="9" t="str">
        <f>IFERROR(__xludf.DUMMYFUNCTION("""COMPUTED_VALUE"""),"FGM")</f>
        <v>FGM</v>
      </c>
      <c r="I1075" s="9" t="str">
        <f>IFERROR(__xludf.DUMMYFUNCTION("""COMPUTED_VALUE"""),"Tel")</f>
        <v>Tel</v>
      </c>
      <c r="J1075" s="9" t="str">
        <f>IFERROR(__xludf.DUMMYFUNCTION("""COMPUTED_VALUE"""),"Cx")</f>
        <v>Cx</v>
      </c>
      <c r="K1075" s="9" t="str">
        <f>IFERROR(__xludf.DUMMYFUNCTION("""COMPUTED_VALUE"""),"NCx")</f>
        <v>NCx</v>
      </c>
      <c r="L1075" s="9" t="str">
        <f>IFERROR(__xludf.DUMMYFUNCTION("""COMPUTED_VALUE"""),"PCx")</f>
        <v>PCx</v>
      </c>
      <c r="M1075" s="9" t="str">
        <f>IFERROR(__xludf.DUMMYFUNCTION("""COMPUTED_VALUE"""),"PoPC")</f>
        <v>PoPC</v>
      </c>
      <c r="N1075" s="9" t="str">
        <f>IFERROR(__xludf.DUMMYFUNCTION("""COMPUTED_VALUE"""),"IPC")</f>
        <v>IPC</v>
      </c>
      <c r="O1075" s="9" t="str">
        <f>IFERROR(__xludf.DUMMYFUNCTION("""COMPUTED_VALUE"""),"A40")</f>
        <v>A40</v>
      </c>
      <c r="P1075" s="9" t="str">
        <f>IFERROR(__xludf.DUMMYFUNCTION("""COMPUTED_VALUE"""),"A40rd")</f>
        <v>A40rd</v>
      </c>
      <c r="Q1075" s="9" t="str">
        <f>IFERROR(__xludf.DUMMYFUNCTION("""COMPUTED_VALUE"""),"A40rd5")</f>
        <v>A40rd5</v>
      </c>
      <c r="R1075" s="9"/>
      <c r="S1075" s="42"/>
      <c r="T1075" s="42"/>
      <c r="U1075" s="159"/>
      <c r="V1075" s="42"/>
      <c r="W1075" s="42"/>
      <c r="X1075" s="42"/>
      <c r="Y1075" s="42"/>
      <c r="Z1075" s="42"/>
      <c r="AA1075" s="42"/>
      <c r="AB1075" s="42" t="str">
        <f>IFERROR(__xludf.DUMMYFUNCTION("""COMPUTED_VALUE"""),"allen institute")</f>
        <v>allen institute</v>
      </c>
      <c r="AC1075" s="42" t="str">
        <f>IFERROR(__xludf.DUMMYFUNCTION("""COMPUTED_VALUE"""),"DHBA")</f>
        <v>DHBA</v>
      </c>
      <c r="AD1075" s="42"/>
      <c r="AE1075" s="42"/>
      <c r="AF1075" s="9"/>
      <c r="AG1075" s="9"/>
      <c r="AH1075" s="42"/>
      <c r="AI1075" s="42"/>
      <c r="AJ1075" s="42"/>
      <c r="AK1075" s="42"/>
      <c r="AL1075" s="42"/>
      <c r="AM1075" s="42"/>
      <c r="AN1075" s="42"/>
      <c r="AO1075" s="63" t="str">
        <f>IFERROR(__xludf.DUMMYFUNCTION("IF(ISBLANK(A1075),,IF(ISBLANK(S1075), A1075&amp;"";"", TEXTJOIN(CHAR(10), TRUE, A1075&amp;"";"", ARRAYFORMULA(VLOOKUP(SPLIT(S1075, "";"" &amp; CHAR(10)), $A:$AO, 41, FALSE)))))"),"A40rd5;")</f>
        <v>A40rd5;</v>
      </c>
      <c r="AP1075" s="89"/>
    </row>
    <row r="1076">
      <c r="A1076" s="151" t="str">
        <f>IFERROR(__xludf.DUMMYFUNCTION("""COMPUTED_VALUE"""),"A40rd6")</f>
        <v>A40rd6</v>
      </c>
      <c r="B1076" s="42" t="str">
        <f>IFERROR(__xludf.DUMMYFUNCTION("""COMPUTED_VALUE"""),"DHBA")</f>
        <v>DHBA</v>
      </c>
      <c r="C1076" s="42" t="str">
        <f>IFERROR(__xludf.DUMMYFUNCTION("""COMPUTED_VALUE"""),"layer VI of area 40rd")</f>
        <v>layer VI of area 40rd</v>
      </c>
      <c r="D1076" s="42">
        <f>IFERROR(__xludf.DUMMYFUNCTION("""COMPUTED_VALUE"""),1019.0)</f>
        <v>1019</v>
      </c>
      <c r="E1076" s="39" t="str">
        <f>IFERROR(__xludf.DUMMYFUNCTION("""COMPUTED_VALUE"""),"layer VI of area 40rd")</f>
        <v>layer VI of area 40rd</v>
      </c>
      <c r="F1076" s="9" t="str">
        <f>IFERROR(__xludf.DUMMYFUNCTION("""COMPUTED_VALUE"""),"Br")</f>
        <v>Br</v>
      </c>
      <c r="G1076" s="9" t="str">
        <f>IFERROR(__xludf.DUMMYFUNCTION("""COMPUTED_VALUE"""),"F")</f>
        <v>F</v>
      </c>
      <c r="H1076" s="9" t="str">
        <f>IFERROR(__xludf.DUMMYFUNCTION("""COMPUTED_VALUE"""),"FGM")</f>
        <v>FGM</v>
      </c>
      <c r="I1076" s="9" t="str">
        <f>IFERROR(__xludf.DUMMYFUNCTION("""COMPUTED_VALUE"""),"Tel")</f>
        <v>Tel</v>
      </c>
      <c r="J1076" s="9" t="str">
        <f>IFERROR(__xludf.DUMMYFUNCTION("""COMPUTED_VALUE"""),"Cx")</f>
        <v>Cx</v>
      </c>
      <c r="K1076" s="9" t="str">
        <f>IFERROR(__xludf.DUMMYFUNCTION("""COMPUTED_VALUE"""),"NCx")</f>
        <v>NCx</v>
      </c>
      <c r="L1076" s="9" t="str">
        <f>IFERROR(__xludf.DUMMYFUNCTION("""COMPUTED_VALUE"""),"PCx")</f>
        <v>PCx</v>
      </c>
      <c r="M1076" s="9" t="str">
        <f>IFERROR(__xludf.DUMMYFUNCTION("""COMPUTED_VALUE"""),"PoPC")</f>
        <v>PoPC</v>
      </c>
      <c r="N1076" s="9" t="str">
        <f>IFERROR(__xludf.DUMMYFUNCTION("""COMPUTED_VALUE"""),"IPC")</f>
        <v>IPC</v>
      </c>
      <c r="O1076" s="9" t="str">
        <f>IFERROR(__xludf.DUMMYFUNCTION("""COMPUTED_VALUE"""),"A40")</f>
        <v>A40</v>
      </c>
      <c r="P1076" s="9" t="str">
        <f>IFERROR(__xludf.DUMMYFUNCTION("""COMPUTED_VALUE"""),"A40rd")</f>
        <v>A40rd</v>
      </c>
      <c r="Q1076" s="9" t="str">
        <f>IFERROR(__xludf.DUMMYFUNCTION("""COMPUTED_VALUE"""),"A40rd6")</f>
        <v>A40rd6</v>
      </c>
      <c r="R1076" s="9"/>
      <c r="S1076" s="42"/>
      <c r="T1076" s="42"/>
      <c r="U1076" s="42"/>
      <c r="V1076" s="42"/>
      <c r="W1076" s="42"/>
      <c r="X1076" s="42"/>
      <c r="Y1076" s="42"/>
      <c r="Z1076" s="42"/>
      <c r="AA1076" s="42"/>
      <c r="AB1076" s="42" t="str">
        <f>IFERROR(__xludf.DUMMYFUNCTION("""COMPUTED_VALUE"""),"allen institute")</f>
        <v>allen institute</v>
      </c>
      <c r="AC1076" s="42" t="str">
        <f>IFERROR(__xludf.DUMMYFUNCTION("""COMPUTED_VALUE"""),"DHBA")</f>
        <v>DHBA</v>
      </c>
      <c r="AD1076" s="42"/>
      <c r="AE1076" s="42"/>
      <c r="AF1076" s="9"/>
      <c r="AG1076" s="9"/>
      <c r="AH1076" s="42"/>
      <c r="AI1076" s="42"/>
      <c r="AJ1076" s="42"/>
      <c r="AK1076" s="42"/>
      <c r="AL1076" s="42"/>
      <c r="AM1076" s="42"/>
      <c r="AN1076" s="42"/>
      <c r="AO1076" s="63" t="str">
        <f>IFERROR(__xludf.DUMMYFUNCTION("IF(ISBLANK(A1076),,IF(ISBLANK(S1076), A1076&amp;"";"", TEXTJOIN(CHAR(10), TRUE, A1076&amp;"";"", ARRAYFORMULA(VLOOKUP(SPLIT(S1076, "";"" &amp; CHAR(10)), $A:$AO, 41, FALSE)))))"),"A40rd6;")</f>
        <v>A40rd6;</v>
      </c>
      <c r="AP1076" s="89"/>
    </row>
    <row r="1077">
      <c r="A1077" s="151" t="str">
        <f>IFERROR(__xludf.DUMMYFUNCTION("""COMPUTED_VALUE"""),"A40rv")</f>
        <v>A40rv</v>
      </c>
      <c r="B1077" s="42" t="str">
        <f>IFERROR(__xludf.DUMMYFUNCTION("""COMPUTED_VALUE"""),"DHBA")</f>
        <v>DHBA</v>
      </c>
      <c r="C1077" s="42" t="str">
        <f>IFERROR(__xludf.DUMMYFUNCTION("""COMPUTED_VALUE"""),"rostroventral subdivision of area 40")</f>
        <v>rostroventral subdivision of area 40</v>
      </c>
      <c r="D1077" s="42">
        <f>IFERROR(__xludf.DUMMYFUNCTION("""COMPUTED_VALUE"""),1020.0)</f>
        <v>1020</v>
      </c>
      <c r="E1077" s="39" t="str">
        <f>IFERROR(__xludf.DUMMYFUNCTION("""COMPUTED_VALUE"""),"rostroventral subdivision of area 40")</f>
        <v>rostroventral subdivision of area 40</v>
      </c>
      <c r="F1077" s="9" t="str">
        <f>IFERROR(__xludf.DUMMYFUNCTION("""COMPUTED_VALUE"""),"Br")</f>
        <v>Br</v>
      </c>
      <c r="G1077" s="9" t="str">
        <f>IFERROR(__xludf.DUMMYFUNCTION("""COMPUTED_VALUE"""),"F")</f>
        <v>F</v>
      </c>
      <c r="H1077" s="9" t="str">
        <f>IFERROR(__xludf.DUMMYFUNCTION("""COMPUTED_VALUE"""),"FGM")</f>
        <v>FGM</v>
      </c>
      <c r="I1077" s="9" t="str">
        <f>IFERROR(__xludf.DUMMYFUNCTION("""COMPUTED_VALUE"""),"Tel")</f>
        <v>Tel</v>
      </c>
      <c r="J1077" s="9" t="str">
        <f>IFERROR(__xludf.DUMMYFUNCTION("""COMPUTED_VALUE"""),"Cx")</f>
        <v>Cx</v>
      </c>
      <c r="K1077" s="9" t="str">
        <f>IFERROR(__xludf.DUMMYFUNCTION("""COMPUTED_VALUE"""),"NCx")</f>
        <v>NCx</v>
      </c>
      <c r="L1077" s="9" t="str">
        <f>IFERROR(__xludf.DUMMYFUNCTION("""COMPUTED_VALUE"""),"PCx")</f>
        <v>PCx</v>
      </c>
      <c r="M1077" s="9" t="str">
        <f>IFERROR(__xludf.DUMMYFUNCTION("""COMPUTED_VALUE"""),"PoPC")</f>
        <v>PoPC</v>
      </c>
      <c r="N1077" s="9" t="str">
        <f>IFERROR(__xludf.DUMMYFUNCTION("""COMPUTED_VALUE"""),"IPC")</f>
        <v>IPC</v>
      </c>
      <c r="O1077" s="9" t="str">
        <f>IFERROR(__xludf.DUMMYFUNCTION("""COMPUTED_VALUE"""),"A40")</f>
        <v>A40</v>
      </c>
      <c r="P1077" s="9" t="str">
        <f>IFERROR(__xludf.DUMMYFUNCTION("""COMPUTED_VALUE"""),"A40rv")</f>
        <v>A40rv</v>
      </c>
      <c r="Q1077" s="9"/>
      <c r="R1077" s="9"/>
      <c r="S1077" s="42" t="str">
        <f>IFERROR(__xludf.DUMMYFUNCTION("""COMPUTED_VALUE"""),"A40rv1;
A40rv2;
A40rv3;
A40rv4;
A40rv5;
A40rv6")</f>
        <v>A40rv1;
A40rv2;
A40rv3;
A40rv4;
A40rv5;
A40rv6</v>
      </c>
      <c r="T1077" s="42"/>
      <c r="U1077" s="42" t="b">
        <f>IFERROR(__xludf.DUMMYFUNCTION("""COMPUTED_VALUE"""),FALSE)</f>
        <v>0</v>
      </c>
      <c r="V1077" s="42"/>
      <c r="W1077" s="42"/>
      <c r="X1077" s="42"/>
      <c r="Y1077" s="42"/>
      <c r="Z1077" s="42"/>
      <c r="AA1077" s="42"/>
      <c r="AB1077" s="42" t="str">
        <f>IFERROR(__xludf.DUMMYFUNCTION("""COMPUTED_VALUE"""),"allen institute")</f>
        <v>allen institute</v>
      </c>
      <c r="AC1077" s="42" t="str">
        <f>IFERROR(__xludf.DUMMYFUNCTION("""COMPUTED_VALUE"""),"DHBA")</f>
        <v>DHBA</v>
      </c>
      <c r="AD1077" s="42"/>
      <c r="AE1077" s="42"/>
      <c r="AF1077" s="9"/>
      <c r="AG1077" s="9"/>
      <c r="AH1077" s="42"/>
      <c r="AI1077" s="42"/>
      <c r="AJ1077" s="42"/>
      <c r="AK1077" s="42"/>
      <c r="AL1077" s="42"/>
      <c r="AM1077" s="42"/>
      <c r="AN1077" s="42"/>
      <c r="AO1077" s="63" t="str">
        <f>IFERROR(__xludf.DUMMYFUNCTION("IF(ISBLANK(A1077),,IF(ISBLANK(S1077), A1077&amp;"";"", TEXTJOIN(CHAR(10), TRUE, A1077&amp;"";"", ARRAYFORMULA(VLOOKUP(SPLIT(S1077, "";"" &amp; CHAR(10)), $A:$AO, 41, FALSE)))))"),"A40rv;
A40rv1;
A40rv2;
A40rv3;
A40rv4;
A40rv5;
A40rv6;")</f>
        <v>A40rv;
A40rv1;
A40rv2;
A40rv3;
A40rv4;
A40rv5;
A40rv6;</v>
      </c>
      <c r="AP1077" s="89"/>
    </row>
    <row r="1078">
      <c r="A1078" s="151" t="str">
        <f>IFERROR(__xludf.DUMMYFUNCTION("""COMPUTED_VALUE"""),"A40rv1")</f>
        <v>A40rv1</v>
      </c>
      <c r="B1078" s="42" t="str">
        <f>IFERROR(__xludf.DUMMYFUNCTION("""COMPUTED_VALUE"""),"DHBA")</f>
        <v>DHBA</v>
      </c>
      <c r="C1078" s="42" t="str">
        <f>IFERROR(__xludf.DUMMYFUNCTION("""COMPUTED_VALUE"""),"layer I of area 40rv")</f>
        <v>layer I of area 40rv</v>
      </c>
      <c r="D1078" s="42">
        <f>IFERROR(__xludf.DUMMYFUNCTION("""COMPUTED_VALUE"""),1021.0)</f>
        <v>1021</v>
      </c>
      <c r="E1078" s="39" t="str">
        <f>IFERROR(__xludf.DUMMYFUNCTION("""COMPUTED_VALUE"""),"layer I of area 40rv")</f>
        <v>layer I of area 40rv</v>
      </c>
      <c r="F1078" s="9" t="str">
        <f>IFERROR(__xludf.DUMMYFUNCTION("""COMPUTED_VALUE"""),"Br")</f>
        <v>Br</v>
      </c>
      <c r="G1078" s="9" t="str">
        <f>IFERROR(__xludf.DUMMYFUNCTION("""COMPUTED_VALUE"""),"F")</f>
        <v>F</v>
      </c>
      <c r="H1078" s="9" t="str">
        <f>IFERROR(__xludf.DUMMYFUNCTION("""COMPUTED_VALUE"""),"FGM")</f>
        <v>FGM</v>
      </c>
      <c r="I1078" s="9" t="str">
        <f>IFERROR(__xludf.DUMMYFUNCTION("""COMPUTED_VALUE"""),"Tel")</f>
        <v>Tel</v>
      </c>
      <c r="J1078" s="9" t="str">
        <f>IFERROR(__xludf.DUMMYFUNCTION("""COMPUTED_VALUE"""),"Cx")</f>
        <v>Cx</v>
      </c>
      <c r="K1078" s="9" t="str">
        <f>IFERROR(__xludf.DUMMYFUNCTION("""COMPUTED_VALUE"""),"NCx")</f>
        <v>NCx</v>
      </c>
      <c r="L1078" s="9" t="str">
        <f>IFERROR(__xludf.DUMMYFUNCTION("""COMPUTED_VALUE"""),"PCx")</f>
        <v>PCx</v>
      </c>
      <c r="M1078" s="9" t="str">
        <f>IFERROR(__xludf.DUMMYFUNCTION("""COMPUTED_VALUE"""),"PoPC")</f>
        <v>PoPC</v>
      </c>
      <c r="N1078" s="9" t="str">
        <f>IFERROR(__xludf.DUMMYFUNCTION("""COMPUTED_VALUE"""),"IPC")</f>
        <v>IPC</v>
      </c>
      <c r="O1078" s="9" t="str">
        <f>IFERROR(__xludf.DUMMYFUNCTION("""COMPUTED_VALUE"""),"A40")</f>
        <v>A40</v>
      </c>
      <c r="P1078" s="9" t="str">
        <f>IFERROR(__xludf.DUMMYFUNCTION("""COMPUTED_VALUE"""),"A40rv")</f>
        <v>A40rv</v>
      </c>
      <c r="Q1078" s="9" t="str">
        <f>IFERROR(__xludf.DUMMYFUNCTION("""COMPUTED_VALUE"""),"A40rv1")</f>
        <v>A40rv1</v>
      </c>
      <c r="R1078" s="9"/>
      <c r="S1078" s="42"/>
      <c r="T1078" s="42"/>
      <c r="U1078" s="42"/>
      <c r="V1078" s="42"/>
      <c r="W1078" s="42"/>
      <c r="X1078" s="42"/>
      <c r="Y1078" s="42"/>
      <c r="Z1078" s="42"/>
      <c r="AA1078" s="42"/>
      <c r="AB1078" s="42" t="str">
        <f>IFERROR(__xludf.DUMMYFUNCTION("""COMPUTED_VALUE"""),"allen institute")</f>
        <v>allen institute</v>
      </c>
      <c r="AC1078" s="42" t="str">
        <f>IFERROR(__xludf.DUMMYFUNCTION("""COMPUTED_VALUE"""),"DHBA")</f>
        <v>DHBA</v>
      </c>
      <c r="AD1078" s="42"/>
      <c r="AE1078" s="42"/>
      <c r="AF1078" s="9"/>
      <c r="AG1078" s="9"/>
      <c r="AH1078" s="42"/>
      <c r="AI1078" s="42"/>
      <c r="AJ1078" s="42"/>
      <c r="AK1078" s="42"/>
      <c r="AL1078" s="42"/>
      <c r="AM1078" s="42"/>
      <c r="AN1078" s="42"/>
      <c r="AO1078" s="63" t="str">
        <f>IFERROR(__xludf.DUMMYFUNCTION("IF(ISBLANK(A1078),,IF(ISBLANK(S1078), A1078&amp;"";"", TEXTJOIN(CHAR(10), TRUE, A1078&amp;"";"", ARRAYFORMULA(VLOOKUP(SPLIT(S1078, "";"" &amp; CHAR(10)), $A:$AO, 41, FALSE)))))"),"A40rv1;")</f>
        <v>A40rv1;</v>
      </c>
      <c r="AP1078" s="89"/>
    </row>
    <row r="1079">
      <c r="A1079" s="151" t="str">
        <f>IFERROR(__xludf.DUMMYFUNCTION("""COMPUTED_VALUE"""),"A40rv2")</f>
        <v>A40rv2</v>
      </c>
      <c r="B1079" s="42" t="str">
        <f>IFERROR(__xludf.DUMMYFUNCTION("""COMPUTED_VALUE"""),"DHBA")</f>
        <v>DHBA</v>
      </c>
      <c r="C1079" s="42" t="str">
        <f>IFERROR(__xludf.DUMMYFUNCTION("""COMPUTED_VALUE"""),"layer II of area 40rv")</f>
        <v>layer II of area 40rv</v>
      </c>
      <c r="D1079" s="42">
        <f>IFERROR(__xludf.DUMMYFUNCTION("""COMPUTED_VALUE"""),1022.0)</f>
        <v>1022</v>
      </c>
      <c r="E1079" s="39" t="str">
        <f>IFERROR(__xludf.DUMMYFUNCTION("""COMPUTED_VALUE"""),"layer II of area 40rv")</f>
        <v>layer II of area 40rv</v>
      </c>
      <c r="F1079" s="9" t="str">
        <f>IFERROR(__xludf.DUMMYFUNCTION("""COMPUTED_VALUE"""),"Br")</f>
        <v>Br</v>
      </c>
      <c r="G1079" s="9" t="str">
        <f>IFERROR(__xludf.DUMMYFUNCTION("""COMPUTED_VALUE"""),"F")</f>
        <v>F</v>
      </c>
      <c r="H1079" s="9" t="str">
        <f>IFERROR(__xludf.DUMMYFUNCTION("""COMPUTED_VALUE"""),"FGM")</f>
        <v>FGM</v>
      </c>
      <c r="I1079" s="9" t="str">
        <f>IFERROR(__xludf.DUMMYFUNCTION("""COMPUTED_VALUE"""),"Tel")</f>
        <v>Tel</v>
      </c>
      <c r="J1079" s="9" t="str">
        <f>IFERROR(__xludf.DUMMYFUNCTION("""COMPUTED_VALUE"""),"Cx")</f>
        <v>Cx</v>
      </c>
      <c r="K1079" s="9" t="str">
        <f>IFERROR(__xludf.DUMMYFUNCTION("""COMPUTED_VALUE"""),"NCx")</f>
        <v>NCx</v>
      </c>
      <c r="L1079" s="9" t="str">
        <f>IFERROR(__xludf.DUMMYFUNCTION("""COMPUTED_VALUE"""),"PCx")</f>
        <v>PCx</v>
      </c>
      <c r="M1079" s="9" t="str">
        <f>IFERROR(__xludf.DUMMYFUNCTION("""COMPUTED_VALUE"""),"PoPC")</f>
        <v>PoPC</v>
      </c>
      <c r="N1079" s="9" t="str">
        <f>IFERROR(__xludf.DUMMYFUNCTION("""COMPUTED_VALUE"""),"IPC")</f>
        <v>IPC</v>
      </c>
      <c r="O1079" s="9" t="str">
        <f>IFERROR(__xludf.DUMMYFUNCTION("""COMPUTED_VALUE"""),"A40")</f>
        <v>A40</v>
      </c>
      <c r="P1079" s="9" t="str">
        <f>IFERROR(__xludf.DUMMYFUNCTION("""COMPUTED_VALUE"""),"A40rv")</f>
        <v>A40rv</v>
      </c>
      <c r="Q1079" s="9" t="str">
        <f>IFERROR(__xludf.DUMMYFUNCTION("""COMPUTED_VALUE"""),"A40rv2")</f>
        <v>A40rv2</v>
      </c>
      <c r="R1079" s="9"/>
      <c r="S1079" s="42"/>
      <c r="T1079" s="42"/>
      <c r="U1079" s="42"/>
      <c r="V1079" s="42"/>
      <c r="W1079" s="42"/>
      <c r="X1079" s="42"/>
      <c r="Y1079" s="42"/>
      <c r="Z1079" s="42"/>
      <c r="AA1079" s="42"/>
      <c r="AB1079" s="42" t="str">
        <f>IFERROR(__xludf.DUMMYFUNCTION("""COMPUTED_VALUE"""),"allen institute")</f>
        <v>allen institute</v>
      </c>
      <c r="AC1079" s="42" t="str">
        <f>IFERROR(__xludf.DUMMYFUNCTION("""COMPUTED_VALUE"""),"DHBA")</f>
        <v>DHBA</v>
      </c>
      <c r="AD1079" s="42"/>
      <c r="AE1079" s="42"/>
      <c r="AF1079" s="9"/>
      <c r="AG1079" s="9"/>
      <c r="AH1079" s="42"/>
      <c r="AI1079" s="42"/>
      <c r="AJ1079" s="42"/>
      <c r="AK1079" s="42"/>
      <c r="AL1079" s="42"/>
      <c r="AM1079" s="42"/>
      <c r="AN1079" s="42"/>
      <c r="AO1079" s="63" t="str">
        <f>IFERROR(__xludf.DUMMYFUNCTION("IF(ISBLANK(A1079),,IF(ISBLANK(S1079), A1079&amp;"";"", TEXTJOIN(CHAR(10), TRUE, A1079&amp;"";"", ARRAYFORMULA(VLOOKUP(SPLIT(S1079, "";"" &amp; CHAR(10)), $A:$AO, 41, FALSE)))))"),"A40rv2;")</f>
        <v>A40rv2;</v>
      </c>
      <c r="AP1079" s="89"/>
    </row>
    <row r="1080">
      <c r="A1080" s="151" t="str">
        <f>IFERROR(__xludf.DUMMYFUNCTION("""COMPUTED_VALUE"""),"A40rv3")</f>
        <v>A40rv3</v>
      </c>
      <c r="B1080" s="42" t="str">
        <f>IFERROR(__xludf.DUMMYFUNCTION("""COMPUTED_VALUE"""),"DHBA")</f>
        <v>DHBA</v>
      </c>
      <c r="C1080" s="42" t="str">
        <f>IFERROR(__xludf.DUMMYFUNCTION("""COMPUTED_VALUE"""),"layer III of area 40rv")</f>
        <v>layer III of area 40rv</v>
      </c>
      <c r="D1080" s="42">
        <f>IFERROR(__xludf.DUMMYFUNCTION("""COMPUTED_VALUE"""),1023.0)</f>
        <v>1023</v>
      </c>
      <c r="E1080" s="39" t="str">
        <f>IFERROR(__xludf.DUMMYFUNCTION("""COMPUTED_VALUE"""),"layer III of area 40rv")</f>
        <v>layer III of area 40rv</v>
      </c>
      <c r="F1080" s="9" t="str">
        <f>IFERROR(__xludf.DUMMYFUNCTION("""COMPUTED_VALUE"""),"Br")</f>
        <v>Br</v>
      </c>
      <c r="G1080" s="9" t="str">
        <f>IFERROR(__xludf.DUMMYFUNCTION("""COMPUTED_VALUE"""),"F")</f>
        <v>F</v>
      </c>
      <c r="H1080" s="9" t="str">
        <f>IFERROR(__xludf.DUMMYFUNCTION("""COMPUTED_VALUE"""),"FGM")</f>
        <v>FGM</v>
      </c>
      <c r="I1080" s="9" t="str">
        <f>IFERROR(__xludf.DUMMYFUNCTION("""COMPUTED_VALUE"""),"Tel")</f>
        <v>Tel</v>
      </c>
      <c r="J1080" s="9" t="str">
        <f>IFERROR(__xludf.DUMMYFUNCTION("""COMPUTED_VALUE"""),"Cx")</f>
        <v>Cx</v>
      </c>
      <c r="K1080" s="9" t="str">
        <f>IFERROR(__xludf.DUMMYFUNCTION("""COMPUTED_VALUE"""),"NCx")</f>
        <v>NCx</v>
      </c>
      <c r="L1080" s="9" t="str">
        <f>IFERROR(__xludf.DUMMYFUNCTION("""COMPUTED_VALUE"""),"PCx")</f>
        <v>PCx</v>
      </c>
      <c r="M1080" s="9" t="str">
        <f>IFERROR(__xludf.DUMMYFUNCTION("""COMPUTED_VALUE"""),"PoPC")</f>
        <v>PoPC</v>
      </c>
      <c r="N1080" s="9" t="str">
        <f>IFERROR(__xludf.DUMMYFUNCTION("""COMPUTED_VALUE"""),"IPC")</f>
        <v>IPC</v>
      </c>
      <c r="O1080" s="9" t="str">
        <f>IFERROR(__xludf.DUMMYFUNCTION("""COMPUTED_VALUE"""),"A40")</f>
        <v>A40</v>
      </c>
      <c r="P1080" s="9" t="str">
        <f>IFERROR(__xludf.DUMMYFUNCTION("""COMPUTED_VALUE"""),"A40rv")</f>
        <v>A40rv</v>
      </c>
      <c r="Q1080" s="9" t="str">
        <f>IFERROR(__xludf.DUMMYFUNCTION("""COMPUTED_VALUE"""),"A40rv3")</f>
        <v>A40rv3</v>
      </c>
      <c r="R1080" s="9"/>
      <c r="S1080" s="42"/>
      <c r="T1080" s="42"/>
      <c r="U1080" s="42"/>
      <c r="V1080" s="42"/>
      <c r="W1080" s="42"/>
      <c r="X1080" s="42"/>
      <c r="Y1080" s="42"/>
      <c r="Z1080" s="42"/>
      <c r="AA1080" s="42"/>
      <c r="AB1080" s="42" t="str">
        <f>IFERROR(__xludf.DUMMYFUNCTION("""COMPUTED_VALUE"""),"allen institute")</f>
        <v>allen institute</v>
      </c>
      <c r="AC1080" s="42" t="str">
        <f>IFERROR(__xludf.DUMMYFUNCTION("""COMPUTED_VALUE"""),"DHBA")</f>
        <v>DHBA</v>
      </c>
      <c r="AD1080" s="42"/>
      <c r="AE1080" s="42"/>
      <c r="AF1080" s="9"/>
      <c r="AG1080" s="9"/>
      <c r="AH1080" s="42"/>
      <c r="AI1080" s="42"/>
      <c r="AJ1080" s="42"/>
      <c r="AK1080" s="42"/>
      <c r="AL1080" s="42"/>
      <c r="AM1080" s="42"/>
      <c r="AN1080" s="42"/>
      <c r="AO1080" s="63" t="str">
        <f>IFERROR(__xludf.DUMMYFUNCTION("IF(ISBLANK(A1080),,IF(ISBLANK(S1080), A1080&amp;"";"", TEXTJOIN(CHAR(10), TRUE, A1080&amp;"";"", ARRAYFORMULA(VLOOKUP(SPLIT(S1080, "";"" &amp; CHAR(10)), $A:$AO, 41, FALSE)))))"),"A40rv3;")</f>
        <v>A40rv3;</v>
      </c>
      <c r="AP1080" s="89"/>
    </row>
    <row r="1081">
      <c r="A1081" s="151" t="str">
        <f>IFERROR(__xludf.DUMMYFUNCTION("""COMPUTED_VALUE"""),"A40rv4")</f>
        <v>A40rv4</v>
      </c>
      <c r="B1081" s="42" t="str">
        <f>IFERROR(__xludf.DUMMYFUNCTION("""COMPUTED_VALUE"""),"DHBA")</f>
        <v>DHBA</v>
      </c>
      <c r="C1081" s="42" t="str">
        <f>IFERROR(__xludf.DUMMYFUNCTION("""COMPUTED_VALUE"""),"layer IV of area 40rv")</f>
        <v>layer IV of area 40rv</v>
      </c>
      <c r="D1081" s="42">
        <f>IFERROR(__xludf.DUMMYFUNCTION("""COMPUTED_VALUE"""),1024.0)</f>
        <v>1024</v>
      </c>
      <c r="E1081" s="39" t="str">
        <f>IFERROR(__xludf.DUMMYFUNCTION("""COMPUTED_VALUE"""),"layer IV of area 40rv")</f>
        <v>layer IV of area 40rv</v>
      </c>
      <c r="F1081" s="9" t="str">
        <f>IFERROR(__xludf.DUMMYFUNCTION("""COMPUTED_VALUE"""),"Br")</f>
        <v>Br</v>
      </c>
      <c r="G1081" s="9" t="str">
        <f>IFERROR(__xludf.DUMMYFUNCTION("""COMPUTED_VALUE"""),"F")</f>
        <v>F</v>
      </c>
      <c r="H1081" s="9" t="str">
        <f>IFERROR(__xludf.DUMMYFUNCTION("""COMPUTED_VALUE"""),"FGM")</f>
        <v>FGM</v>
      </c>
      <c r="I1081" s="9" t="str">
        <f>IFERROR(__xludf.DUMMYFUNCTION("""COMPUTED_VALUE"""),"Tel")</f>
        <v>Tel</v>
      </c>
      <c r="J1081" s="9" t="str">
        <f>IFERROR(__xludf.DUMMYFUNCTION("""COMPUTED_VALUE"""),"Cx")</f>
        <v>Cx</v>
      </c>
      <c r="K1081" s="9" t="str">
        <f>IFERROR(__xludf.DUMMYFUNCTION("""COMPUTED_VALUE"""),"NCx")</f>
        <v>NCx</v>
      </c>
      <c r="L1081" s="9" t="str">
        <f>IFERROR(__xludf.DUMMYFUNCTION("""COMPUTED_VALUE"""),"PCx")</f>
        <v>PCx</v>
      </c>
      <c r="M1081" s="9" t="str">
        <f>IFERROR(__xludf.DUMMYFUNCTION("""COMPUTED_VALUE"""),"PoPC")</f>
        <v>PoPC</v>
      </c>
      <c r="N1081" s="9" t="str">
        <f>IFERROR(__xludf.DUMMYFUNCTION("""COMPUTED_VALUE"""),"IPC")</f>
        <v>IPC</v>
      </c>
      <c r="O1081" s="9" t="str">
        <f>IFERROR(__xludf.DUMMYFUNCTION("""COMPUTED_VALUE"""),"A40")</f>
        <v>A40</v>
      </c>
      <c r="P1081" s="9" t="str">
        <f>IFERROR(__xludf.DUMMYFUNCTION("""COMPUTED_VALUE"""),"A40rv")</f>
        <v>A40rv</v>
      </c>
      <c r="Q1081" s="9" t="str">
        <f>IFERROR(__xludf.DUMMYFUNCTION("""COMPUTED_VALUE"""),"A40rv4")</f>
        <v>A40rv4</v>
      </c>
      <c r="R1081" s="9"/>
      <c r="S1081" s="42"/>
      <c r="T1081" s="42"/>
      <c r="U1081" s="42"/>
      <c r="V1081" s="42"/>
      <c r="W1081" s="42"/>
      <c r="X1081" s="42"/>
      <c r="Y1081" s="42"/>
      <c r="Z1081" s="42"/>
      <c r="AA1081" s="42"/>
      <c r="AB1081" s="42" t="str">
        <f>IFERROR(__xludf.DUMMYFUNCTION("""COMPUTED_VALUE"""),"allen institute")</f>
        <v>allen institute</v>
      </c>
      <c r="AC1081" s="42" t="str">
        <f>IFERROR(__xludf.DUMMYFUNCTION("""COMPUTED_VALUE"""),"DHBA")</f>
        <v>DHBA</v>
      </c>
      <c r="AD1081" s="42"/>
      <c r="AE1081" s="42"/>
      <c r="AF1081" s="9"/>
      <c r="AG1081" s="9"/>
      <c r="AH1081" s="42"/>
      <c r="AI1081" s="42"/>
      <c r="AJ1081" s="42"/>
      <c r="AK1081" s="42"/>
      <c r="AL1081" s="42"/>
      <c r="AM1081" s="42"/>
      <c r="AN1081" s="42"/>
      <c r="AO1081" s="63" t="str">
        <f>IFERROR(__xludf.DUMMYFUNCTION("IF(ISBLANK(A1081),,IF(ISBLANK(S1081), A1081&amp;"";"", TEXTJOIN(CHAR(10), TRUE, A1081&amp;"";"", ARRAYFORMULA(VLOOKUP(SPLIT(S1081, "";"" &amp; CHAR(10)), $A:$AO, 41, FALSE)))))"),"A40rv4;")</f>
        <v>A40rv4;</v>
      </c>
      <c r="AP1081" s="89"/>
    </row>
    <row r="1082">
      <c r="A1082" s="151" t="str">
        <f>IFERROR(__xludf.DUMMYFUNCTION("""COMPUTED_VALUE"""),"A40rv5")</f>
        <v>A40rv5</v>
      </c>
      <c r="B1082" s="42" t="str">
        <f>IFERROR(__xludf.DUMMYFUNCTION("""COMPUTED_VALUE"""),"DHBA")</f>
        <v>DHBA</v>
      </c>
      <c r="C1082" s="42" t="str">
        <f>IFERROR(__xludf.DUMMYFUNCTION("""COMPUTED_VALUE"""),"layer V of area 40rv")</f>
        <v>layer V of area 40rv</v>
      </c>
      <c r="D1082" s="42">
        <f>IFERROR(__xludf.DUMMYFUNCTION("""COMPUTED_VALUE"""),1025.0)</f>
        <v>1025</v>
      </c>
      <c r="E1082" s="39" t="str">
        <f>IFERROR(__xludf.DUMMYFUNCTION("""COMPUTED_VALUE"""),"layer V of area 40rv")</f>
        <v>layer V of area 40rv</v>
      </c>
      <c r="F1082" s="9" t="str">
        <f>IFERROR(__xludf.DUMMYFUNCTION("""COMPUTED_VALUE"""),"Br")</f>
        <v>Br</v>
      </c>
      <c r="G1082" s="9" t="str">
        <f>IFERROR(__xludf.DUMMYFUNCTION("""COMPUTED_VALUE"""),"F")</f>
        <v>F</v>
      </c>
      <c r="H1082" s="9" t="str">
        <f>IFERROR(__xludf.DUMMYFUNCTION("""COMPUTED_VALUE"""),"FGM")</f>
        <v>FGM</v>
      </c>
      <c r="I1082" s="9" t="str">
        <f>IFERROR(__xludf.DUMMYFUNCTION("""COMPUTED_VALUE"""),"Tel")</f>
        <v>Tel</v>
      </c>
      <c r="J1082" s="9" t="str">
        <f>IFERROR(__xludf.DUMMYFUNCTION("""COMPUTED_VALUE"""),"Cx")</f>
        <v>Cx</v>
      </c>
      <c r="K1082" s="9" t="str">
        <f>IFERROR(__xludf.DUMMYFUNCTION("""COMPUTED_VALUE"""),"NCx")</f>
        <v>NCx</v>
      </c>
      <c r="L1082" s="9" t="str">
        <f>IFERROR(__xludf.DUMMYFUNCTION("""COMPUTED_VALUE"""),"PCx")</f>
        <v>PCx</v>
      </c>
      <c r="M1082" s="9" t="str">
        <f>IFERROR(__xludf.DUMMYFUNCTION("""COMPUTED_VALUE"""),"PoPC")</f>
        <v>PoPC</v>
      </c>
      <c r="N1082" s="9" t="str">
        <f>IFERROR(__xludf.DUMMYFUNCTION("""COMPUTED_VALUE"""),"IPC")</f>
        <v>IPC</v>
      </c>
      <c r="O1082" s="9" t="str">
        <f>IFERROR(__xludf.DUMMYFUNCTION("""COMPUTED_VALUE"""),"A40")</f>
        <v>A40</v>
      </c>
      <c r="P1082" s="9" t="str">
        <f>IFERROR(__xludf.DUMMYFUNCTION("""COMPUTED_VALUE"""),"A40rv")</f>
        <v>A40rv</v>
      </c>
      <c r="Q1082" s="9" t="str">
        <f>IFERROR(__xludf.DUMMYFUNCTION("""COMPUTED_VALUE"""),"A40rv5")</f>
        <v>A40rv5</v>
      </c>
      <c r="R1082" s="9"/>
      <c r="S1082" s="42"/>
      <c r="T1082" s="42"/>
      <c r="U1082" s="159"/>
      <c r="V1082" s="42"/>
      <c r="W1082" s="42"/>
      <c r="X1082" s="42"/>
      <c r="Y1082" s="42"/>
      <c r="Z1082" s="42"/>
      <c r="AA1082" s="42"/>
      <c r="AB1082" s="42" t="str">
        <f>IFERROR(__xludf.DUMMYFUNCTION("""COMPUTED_VALUE"""),"allen institute")</f>
        <v>allen institute</v>
      </c>
      <c r="AC1082" s="42" t="str">
        <f>IFERROR(__xludf.DUMMYFUNCTION("""COMPUTED_VALUE"""),"DHBA")</f>
        <v>DHBA</v>
      </c>
      <c r="AD1082" s="42"/>
      <c r="AE1082" s="42"/>
      <c r="AF1082" s="9"/>
      <c r="AG1082" s="9"/>
      <c r="AH1082" s="42"/>
      <c r="AI1082" s="42"/>
      <c r="AJ1082" s="42"/>
      <c r="AK1082" s="42"/>
      <c r="AL1082" s="42"/>
      <c r="AM1082" s="42"/>
      <c r="AN1082" s="42"/>
      <c r="AO1082" s="63" t="str">
        <f>IFERROR(__xludf.DUMMYFUNCTION("IF(ISBLANK(A1082),,IF(ISBLANK(S1082), A1082&amp;"";"", TEXTJOIN(CHAR(10), TRUE, A1082&amp;"";"", ARRAYFORMULA(VLOOKUP(SPLIT(S1082, "";"" &amp; CHAR(10)), $A:$AO, 41, FALSE)))))"),"A40rv5;")</f>
        <v>A40rv5;</v>
      </c>
      <c r="AP1082" s="89"/>
    </row>
    <row r="1083">
      <c r="A1083" s="151" t="str">
        <f>IFERROR(__xludf.DUMMYFUNCTION("""COMPUTED_VALUE"""),"A40rv6")</f>
        <v>A40rv6</v>
      </c>
      <c r="B1083" s="42" t="str">
        <f>IFERROR(__xludf.DUMMYFUNCTION("""COMPUTED_VALUE"""),"DHBA")</f>
        <v>DHBA</v>
      </c>
      <c r="C1083" s="42" t="str">
        <f>IFERROR(__xludf.DUMMYFUNCTION("""COMPUTED_VALUE"""),"layer VI of area 40rv")</f>
        <v>layer VI of area 40rv</v>
      </c>
      <c r="D1083" s="42">
        <f>IFERROR(__xludf.DUMMYFUNCTION("""COMPUTED_VALUE"""),1026.0)</f>
        <v>1026</v>
      </c>
      <c r="E1083" s="39" t="str">
        <f>IFERROR(__xludf.DUMMYFUNCTION("""COMPUTED_VALUE"""),"layer VI of area 40rv")</f>
        <v>layer VI of area 40rv</v>
      </c>
      <c r="F1083" s="9" t="str">
        <f>IFERROR(__xludf.DUMMYFUNCTION("""COMPUTED_VALUE"""),"Br")</f>
        <v>Br</v>
      </c>
      <c r="G1083" s="9" t="str">
        <f>IFERROR(__xludf.DUMMYFUNCTION("""COMPUTED_VALUE"""),"F")</f>
        <v>F</v>
      </c>
      <c r="H1083" s="9" t="str">
        <f>IFERROR(__xludf.DUMMYFUNCTION("""COMPUTED_VALUE"""),"FGM")</f>
        <v>FGM</v>
      </c>
      <c r="I1083" s="9" t="str">
        <f>IFERROR(__xludf.DUMMYFUNCTION("""COMPUTED_VALUE"""),"Tel")</f>
        <v>Tel</v>
      </c>
      <c r="J1083" s="9" t="str">
        <f>IFERROR(__xludf.DUMMYFUNCTION("""COMPUTED_VALUE"""),"Cx")</f>
        <v>Cx</v>
      </c>
      <c r="K1083" s="9" t="str">
        <f>IFERROR(__xludf.DUMMYFUNCTION("""COMPUTED_VALUE"""),"NCx")</f>
        <v>NCx</v>
      </c>
      <c r="L1083" s="9" t="str">
        <f>IFERROR(__xludf.DUMMYFUNCTION("""COMPUTED_VALUE"""),"PCx")</f>
        <v>PCx</v>
      </c>
      <c r="M1083" s="9" t="str">
        <f>IFERROR(__xludf.DUMMYFUNCTION("""COMPUTED_VALUE"""),"PoPC")</f>
        <v>PoPC</v>
      </c>
      <c r="N1083" s="9" t="str">
        <f>IFERROR(__xludf.DUMMYFUNCTION("""COMPUTED_VALUE"""),"IPC")</f>
        <v>IPC</v>
      </c>
      <c r="O1083" s="9" t="str">
        <f>IFERROR(__xludf.DUMMYFUNCTION("""COMPUTED_VALUE"""),"A40")</f>
        <v>A40</v>
      </c>
      <c r="P1083" s="9" t="str">
        <f>IFERROR(__xludf.DUMMYFUNCTION("""COMPUTED_VALUE"""),"A40rv")</f>
        <v>A40rv</v>
      </c>
      <c r="Q1083" s="9" t="str">
        <f>IFERROR(__xludf.DUMMYFUNCTION("""COMPUTED_VALUE"""),"A40rv6")</f>
        <v>A40rv6</v>
      </c>
      <c r="R1083" s="9"/>
      <c r="S1083" s="42"/>
      <c r="T1083" s="42"/>
      <c r="U1083" s="159"/>
      <c r="V1083" s="42"/>
      <c r="W1083" s="42"/>
      <c r="X1083" s="42"/>
      <c r="Y1083" s="42"/>
      <c r="Z1083" s="42"/>
      <c r="AA1083" s="42"/>
      <c r="AB1083" s="42" t="str">
        <f>IFERROR(__xludf.DUMMYFUNCTION("""COMPUTED_VALUE"""),"allen institute")</f>
        <v>allen institute</v>
      </c>
      <c r="AC1083" s="42" t="str">
        <f>IFERROR(__xludf.DUMMYFUNCTION("""COMPUTED_VALUE"""),"DHBA")</f>
        <v>DHBA</v>
      </c>
      <c r="AD1083" s="42"/>
      <c r="AE1083" s="42"/>
      <c r="AF1083" s="9"/>
      <c r="AG1083" s="9"/>
      <c r="AH1083" s="42"/>
      <c r="AI1083" s="42"/>
      <c r="AJ1083" s="42"/>
      <c r="AK1083" s="42"/>
      <c r="AL1083" s="42"/>
      <c r="AM1083" s="42"/>
      <c r="AN1083" s="42"/>
      <c r="AO1083" s="63" t="str">
        <f>IFERROR(__xludf.DUMMYFUNCTION("IF(ISBLANK(A1083),,IF(ISBLANK(S1083), A1083&amp;"";"", TEXTJOIN(CHAR(10), TRUE, A1083&amp;"";"", ARRAYFORMULA(VLOOKUP(SPLIT(S1083, "";"" &amp; CHAR(10)), $A:$AO, 41, FALSE)))))"),"A40rv6;")</f>
        <v>A40rv6;</v>
      </c>
      <c r="AP1083" s="89"/>
    </row>
    <row r="1084">
      <c r="A1084" s="151" t="str">
        <f>IFERROR(__xludf.DUMMYFUNCTION("""COMPUTED_VALUE"""),"A40in")</f>
        <v>A40in</v>
      </c>
      <c r="B1084" s="42" t="str">
        <f>IFERROR(__xludf.DUMMYFUNCTION("""COMPUTED_VALUE"""),"DHBA")</f>
        <v>DHBA</v>
      </c>
      <c r="C1084" s="42" t="str">
        <f>IFERROR(__xludf.DUMMYFUNCTION("""COMPUTED_VALUE"""),"inferior subdivision of area 40")</f>
        <v>inferior subdivision of area 40</v>
      </c>
      <c r="D1084" s="42">
        <f>IFERROR(__xludf.DUMMYFUNCTION("""COMPUTED_VALUE"""),1027.0)</f>
        <v>1027</v>
      </c>
      <c r="E1084" s="39" t="str">
        <f>IFERROR(__xludf.DUMMYFUNCTION("""COMPUTED_VALUE"""),"inferior subdivision of area 40")</f>
        <v>inferior subdivision of area 40</v>
      </c>
      <c r="F1084" s="9" t="str">
        <f>IFERROR(__xludf.DUMMYFUNCTION("""COMPUTED_VALUE"""),"Br")</f>
        <v>Br</v>
      </c>
      <c r="G1084" s="9" t="str">
        <f>IFERROR(__xludf.DUMMYFUNCTION("""COMPUTED_VALUE"""),"F")</f>
        <v>F</v>
      </c>
      <c r="H1084" s="9" t="str">
        <f>IFERROR(__xludf.DUMMYFUNCTION("""COMPUTED_VALUE"""),"FGM")</f>
        <v>FGM</v>
      </c>
      <c r="I1084" s="9" t="str">
        <f>IFERROR(__xludf.DUMMYFUNCTION("""COMPUTED_VALUE"""),"Tel")</f>
        <v>Tel</v>
      </c>
      <c r="J1084" s="9" t="str">
        <f>IFERROR(__xludf.DUMMYFUNCTION("""COMPUTED_VALUE"""),"Cx")</f>
        <v>Cx</v>
      </c>
      <c r="K1084" s="9" t="str">
        <f>IFERROR(__xludf.DUMMYFUNCTION("""COMPUTED_VALUE"""),"NCx")</f>
        <v>NCx</v>
      </c>
      <c r="L1084" s="9" t="str">
        <f>IFERROR(__xludf.DUMMYFUNCTION("""COMPUTED_VALUE"""),"PCx")</f>
        <v>PCx</v>
      </c>
      <c r="M1084" s="9" t="str">
        <f>IFERROR(__xludf.DUMMYFUNCTION("""COMPUTED_VALUE"""),"PoPC")</f>
        <v>PoPC</v>
      </c>
      <c r="N1084" s="9" t="str">
        <f>IFERROR(__xludf.DUMMYFUNCTION("""COMPUTED_VALUE"""),"IPC")</f>
        <v>IPC</v>
      </c>
      <c r="O1084" s="9" t="str">
        <f>IFERROR(__xludf.DUMMYFUNCTION("""COMPUTED_VALUE"""),"A40")</f>
        <v>A40</v>
      </c>
      <c r="P1084" s="9" t="str">
        <f>IFERROR(__xludf.DUMMYFUNCTION("""COMPUTED_VALUE"""),"A40in")</f>
        <v>A40in</v>
      </c>
      <c r="Q1084" s="9"/>
      <c r="R1084" s="9"/>
      <c r="S1084" s="42" t="str">
        <f>IFERROR(__xludf.DUMMYFUNCTION("""COMPUTED_VALUE"""),"A40in1;
A40in2;
A40in3;
A40in4;
A40in5;
A40in6")</f>
        <v>A40in1;
A40in2;
A40in3;
A40in4;
A40in5;
A40in6</v>
      </c>
      <c r="T1084" s="42"/>
      <c r="U1084" s="159" t="b">
        <f>IFERROR(__xludf.DUMMYFUNCTION("""COMPUTED_VALUE"""),FALSE)</f>
        <v>0</v>
      </c>
      <c r="V1084" s="42"/>
      <c r="W1084" s="42"/>
      <c r="X1084" s="42"/>
      <c r="Y1084" s="42"/>
      <c r="Z1084" s="42"/>
      <c r="AA1084" s="42"/>
      <c r="AB1084" s="42" t="str">
        <f>IFERROR(__xludf.DUMMYFUNCTION("""COMPUTED_VALUE"""),"allen institute")</f>
        <v>allen institute</v>
      </c>
      <c r="AC1084" s="42" t="str">
        <f>IFERROR(__xludf.DUMMYFUNCTION("""COMPUTED_VALUE"""),"DHBA")</f>
        <v>DHBA</v>
      </c>
      <c r="AD1084" s="42"/>
      <c r="AE1084" s="42"/>
      <c r="AF1084" s="9"/>
      <c r="AG1084" s="9"/>
      <c r="AH1084" s="42"/>
      <c r="AI1084" s="42"/>
      <c r="AJ1084" s="42"/>
      <c r="AK1084" s="42"/>
      <c r="AL1084" s="42"/>
      <c r="AM1084" s="42"/>
      <c r="AN1084" s="42"/>
      <c r="AO1084" s="63" t="str">
        <f>IFERROR(__xludf.DUMMYFUNCTION("IF(ISBLANK(A1084),,IF(ISBLANK(S1084), A1084&amp;"";"", TEXTJOIN(CHAR(10), TRUE, A1084&amp;"";"", ARRAYFORMULA(VLOOKUP(SPLIT(S1084, "";"" &amp; CHAR(10)), $A:$AO, 41, FALSE)))))"),"A40in;
A40in1;
A40in2;
A40in3;
A40in4;
A40in5;
A40in6;")</f>
        <v>A40in;
A40in1;
A40in2;
A40in3;
A40in4;
A40in5;
A40in6;</v>
      </c>
      <c r="AP1084" s="89"/>
    </row>
    <row r="1085">
      <c r="A1085" s="151" t="str">
        <f>IFERROR(__xludf.DUMMYFUNCTION("""COMPUTED_VALUE"""),"A40in1")</f>
        <v>A40in1</v>
      </c>
      <c r="B1085" s="42" t="str">
        <f>IFERROR(__xludf.DUMMYFUNCTION("""COMPUTED_VALUE"""),"DHBA")</f>
        <v>DHBA</v>
      </c>
      <c r="C1085" s="42" t="str">
        <f>IFERROR(__xludf.DUMMYFUNCTION("""COMPUTED_VALUE"""),"layer I of area 40in")</f>
        <v>layer I of area 40in</v>
      </c>
      <c r="D1085" s="42">
        <f>IFERROR(__xludf.DUMMYFUNCTION("""COMPUTED_VALUE"""),1028.0)</f>
        <v>1028</v>
      </c>
      <c r="E1085" s="39" t="str">
        <f>IFERROR(__xludf.DUMMYFUNCTION("""COMPUTED_VALUE"""),"layer I of area 40in")</f>
        <v>layer I of area 40in</v>
      </c>
      <c r="F1085" s="9" t="str">
        <f>IFERROR(__xludf.DUMMYFUNCTION("""COMPUTED_VALUE"""),"Br")</f>
        <v>Br</v>
      </c>
      <c r="G1085" s="9" t="str">
        <f>IFERROR(__xludf.DUMMYFUNCTION("""COMPUTED_VALUE"""),"F")</f>
        <v>F</v>
      </c>
      <c r="H1085" s="9" t="str">
        <f>IFERROR(__xludf.DUMMYFUNCTION("""COMPUTED_VALUE"""),"FGM")</f>
        <v>FGM</v>
      </c>
      <c r="I1085" s="9" t="str">
        <f>IFERROR(__xludf.DUMMYFUNCTION("""COMPUTED_VALUE"""),"Tel")</f>
        <v>Tel</v>
      </c>
      <c r="J1085" s="9" t="str">
        <f>IFERROR(__xludf.DUMMYFUNCTION("""COMPUTED_VALUE"""),"Cx")</f>
        <v>Cx</v>
      </c>
      <c r="K1085" s="9" t="str">
        <f>IFERROR(__xludf.DUMMYFUNCTION("""COMPUTED_VALUE"""),"NCx")</f>
        <v>NCx</v>
      </c>
      <c r="L1085" s="9" t="str">
        <f>IFERROR(__xludf.DUMMYFUNCTION("""COMPUTED_VALUE"""),"PCx")</f>
        <v>PCx</v>
      </c>
      <c r="M1085" s="9" t="str">
        <f>IFERROR(__xludf.DUMMYFUNCTION("""COMPUTED_VALUE"""),"PoPC")</f>
        <v>PoPC</v>
      </c>
      <c r="N1085" s="9" t="str">
        <f>IFERROR(__xludf.DUMMYFUNCTION("""COMPUTED_VALUE"""),"IPC")</f>
        <v>IPC</v>
      </c>
      <c r="O1085" s="9" t="str">
        <f>IFERROR(__xludf.DUMMYFUNCTION("""COMPUTED_VALUE"""),"A40")</f>
        <v>A40</v>
      </c>
      <c r="P1085" s="9" t="str">
        <f>IFERROR(__xludf.DUMMYFUNCTION("""COMPUTED_VALUE"""),"A40in")</f>
        <v>A40in</v>
      </c>
      <c r="Q1085" s="9" t="str">
        <f>IFERROR(__xludf.DUMMYFUNCTION("""COMPUTED_VALUE"""),"A40in1")</f>
        <v>A40in1</v>
      </c>
      <c r="R1085" s="9"/>
      <c r="S1085" s="42"/>
      <c r="T1085" s="42"/>
      <c r="U1085" s="159"/>
      <c r="V1085" s="42"/>
      <c r="W1085" s="42"/>
      <c r="X1085" s="42"/>
      <c r="Y1085" s="42"/>
      <c r="Z1085" s="42"/>
      <c r="AA1085" s="42"/>
      <c r="AB1085" s="42" t="str">
        <f>IFERROR(__xludf.DUMMYFUNCTION("""COMPUTED_VALUE"""),"allen institute")</f>
        <v>allen institute</v>
      </c>
      <c r="AC1085" s="42" t="str">
        <f>IFERROR(__xludf.DUMMYFUNCTION("""COMPUTED_VALUE"""),"DHBA")</f>
        <v>DHBA</v>
      </c>
      <c r="AD1085" s="42"/>
      <c r="AE1085" s="42"/>
      <c r="AF1085" s="9"/>
      <c r="AG1085" s="9"/>
      <c r="AH1085" s="42"/>
      <c r="AI1085" s="42"/>
      <c r="AJ1085" s="42"/>
      <c r="AK1085" s="42"/>
      <c r="AL1085" s="42"/>
      <c r="AM1085" s="42"/>
      <c r="AN1085" s="42"/>
      <c r="AO1085" s="63" t="str">
        <f>IFERROR(__xludf.DUMMYFUNCTION("IF(ISBLANK(A1085),,IF(ISBLANK(S1085), A1085&amp;"";"", TEXTJOIN(CHAR(10), TRUE, A1085&amp;"";"", ARRAYFORMULA(VLOOKUP(SPLIT(S1085, "";"" &amp; CHAR(10)), $A:$AO, 41, FALSE)))))"),"A40in1;")</f>
        <v>A40in1;</v>
      </c>
      <c r="AP1085" s="89"/>
    </row>
    <row r="1086">
      <c r="A1086" s="151" t="str">
        <f>IFERROR(__xludf.DUMMYFUNCTION("""COMPUTED_VALUE"""),"A40in2")</f>
        <v>A40in2</v>
      </c>
      <c r="B1086" s="42" t="str">
        <f>IFERROR(__xludf.DUMMYFUNCTION("""COMPUTED_VALUE"""),"DHBA")</f>
        <v>DHBA</v>
      </c>
      <c r="C1086" s="42" t="str">
        <f>IFERROR(__xludf.DUMMYFUNCTION("""COMPUTED_VALUE"""),"layer II of area 40in")</f>
        <v>layer II of area 40in</v>
      </c>
      <c r="D1086" s="42">
        <f>IFERROR(__xludf.DUMMYFUNCTION("""COMPUTED_VALUE"""),1029.0)</f>
        <v>1029</v>
      </c>
      <c r="E1086" s="39" t="str">
        <f>IFERROR(__xludf.DUMMYFUNCTION("""COMPUTED_VALUE"""),"layer II of area 40in")</f>
        <v>layer II of area 40in</v>
      </c>
      <c r="F1086" s="9" t="str">
        <f>IFERROR(__xludf.DUMMYFUNCTION("""COMPUTED_VALUE"""),"Br")</f>
        <v>Br</v>
      </c>
      <c r="G1086" s="9" t="str">
        <f>IFERROR(__xludf.DUMMYFUNCTION("""COMPUTED_VALUE"""),"F")</f>
        <v>F</v>
      </c>
      <c r="H1086" s="9" t="str">
        <f>IFERROR(__xludf.DUMMYFUNCTION("""COMPUTED_VALUE"""),"FGM")</f>
        <v>FGM</v>
      </c>
      <c r="I1086" s="9" t="str">
        <f>IFERROR(__xludf.DUMMYFUNCTION("""COMPUTED_VALUE"""),"Tel")</f>
        <v>Tel</v>
      </c>
      <c r="J1086" s="9" t="str">
        <f>IFERROR(__xludf.DUMMYFUNCTION("""COMPUTED_VALUE"""),"Cx")</f>
        <v>Cx</v>
      </c>
      <c r="K1086" s="9" t="str">
        <f>IFERROR(__xludf.DUMMYFUNCTION("""COMPUTED_VALUE"""),"NCx")</f>
        <v>NCx</v>
      </c>
      <c r="L1086" s="9" t="str">
        <f>IFERROR(__xludf.DUMMYFUNCTION("""COMPUTED_VALUE"""),"PCx")</f>
        <v>PCx</v>
      </c>
      <c r="M1086" s="9" t="str">
        <f>IFERROR(__xludf.DUMMYFUNCTION("""COMPUTED_VALUE"""),"PoPC")</f>
        <v>PoPC</v>
      </c>
      <c r="N1086" s="9" t="str">
        <f>IFERROR(__xludf.DUMMYFUNCTION("""COMPUTED_VALUE"""),"IPC")</f>
        <v>IPC</v>
      </c>
      <c r="O1086" s="9" t="str">
        <f>IFERROR(__xludf.DUMMYFUNCTION("""COMPUTED_VALUE"""),"A40")</f>
        <v>A40</v>
      </c>
      <c r="P1086" s="9" t="str">
        <f>IFERROR(__xludf.DUMMYFUNCTION("""COMPUTED_VALUE"""),"A40in")</f>
        <v>A40in</v>
      </c>
      <c r="Q1086" s="9" t="str">
        <f>IFERROR(__xludf.DUMMYFUNCTION("""COMPUTED_VALUE"""),"A40in2")</f>
        <v>A40in2</v>
      </c>
      <c r="R1086" s="9"/>
      <c r="S1086" s="42"/>
      <c r="T1086" s="42"/>
      <c r="U1086" s="159"/>
      <c r="V1086" s="42"/>
      <c r="W1086" s="42"/>
      <c r="X1086" s="42"/>
      <c r="Y1086" s="42"/>
      <c r="Z1086" s="42"/>
      <c r="AA1086" s="42"/>
      <c r="AB1086" s="42" t="str">
        <f>IFERROR(__xludf.DUMMYFUNCTION("""COMPUTED_VALUE"""),"allen institute")</f>
        <v>allen institute</v>
      </c>
      <c r="AC1086" s="42" t="str">
        <f>IFERROR(__xludf.DUMMYFUNCTION("""COMPUTED_VALUE"""),"DHBA")</f>
        <v>DHBA</v>
      </c>
      <c r="AD1086" s="42"/>
      <c r="AE1086" s="42"/>
      <c r="AF1086" s="9"/>
      <c r="AG1086" s="9"/>
      <c r="AH1086" s="42"/>
      <c r="AI1086" s="42"/>
      <c r="AJ1086" s="42"/>
      <c r="AK1086" s="42"/>
      <c r="AL1086" s="42"/>
      <c r="AM1086" s="42"/>
      <c r="AN1086" s="42"/>
      <c r="AO1086" s="63" t="str">
        <f>IFERROR(__xludf.DUMMYFUNCTION("IF(ISBLANK(A1086),,IF(ISBLANK(S1086), A1086&amp;"";"", TEXTJOIN(CHAR(10), TRUE, A1086&amp;"";"", ARRAYFORMULA(VLOOKUP(SPLIT(S1086, "";"" &amp; CHAR(10)), $A:$AO, 41, FALSE)))))"),"A40in2;")</f>
        <v>A40in2;</v>
      </c>
      <c r="AP1086" s="89"/>
    </row>
    <row r="1087">
      <c r="A1087" s="151" t="str">
        <f>IFERROR(__xludf.DUMMYFUNCTION("""COMPUTED_VALUE"""),"A40in3")</f>
        <v>A40in3</v>
      </c>
      <c r="B1087" s="42" t="str">
        <f>IFERROR(__xludf.DUMMYFUNCTION("""COMPUTED_VALUE"""),"DHBA")</f>
        <v>DHBA</v>
      </c>
      <c r="C1087" s="42" t="str">
        <f>IFERROR(__xludf.DUMMYFUNCTION("""COMPUTED_VALUE"""),"layer III of area 40in")</f>
        <v>layer III of area 40in</v>
      </c>
      <c r="D1087" s="42">
        <f>IFERROR(__xludf.DUMMYFUNCTION("""COMPUTED_VALUE"""),1030.0)</f>
        <v>1030</v>
      </c>
      <c r="E1087" s="39" t="str">
        <f>IFERROR(__xludf.DUMMYFUNCTION("""COMPUTED_VALUE"""),"layer III of area 40in")</f>
        <v>layer III of area 40in</v>
      </c>
      <c r="F1087" s="9" t="str">
        <f>IFERROR(__xludf.DUMMYFUNCTION("""COMPUTED_VALUE"""),"Br")</f>
        <v>Br</v>
      </c>
      <c r="G1087" s="9" t="str">
        <f>IFERROR(__xludf.DUMMYFUNCTION("""COMPUTED_VALUE"""),"F")</f>
        <v>F</v>
      </c>
      <c r="H1087" s="9" t="str">
        <f>IFERROR(__xludf.DUMMYFUNCTION("""COMPUTED_VALUE"""),"FGM")</f>
        <v>FGM</v>
      </c>
      <c r="I1087" s="9" t="str">
        <f>IFERROR(__xludf.DUMMYFUNCTION("""COMPUTED_VALUE"""),"Tel")</f>
        <v>Tel</v>
      </c>
      <c r="J1087" s="9" t="str">
        <f>IFERROR(__xludf.DUMMYFUNCTION("""COMPUTED_VALUE"""),"Cx")</f>
        <v>Cx</v>
      </c>
      <c r="K1087" s="9" t="str">
        <f>IFERROR(__xludf.DUMMYFUNCTION("""COMPUTED_VALUE"""),"NCx")</f>
        <v>NCx</v>
      </c>
      <c r="L1087" s="9" t="str">
        <f>IFERROR(__xludf.DUMMYFUNCTION("""COMPUTED_VALUE"""),"PCx")</f>
        <v>PCx</v>
      </c>
      <c r="M1087" s="9" t="str">
        <f>IFERROR(__xludf.DUMMYFUNCTION("""COMPUTED_VALUE"""),"PoPC")</f>
        <v>PoPC</v>
      </c>
      <c r="N1087" s="9" t="str">
        <f>IFERROR(__xludf.DUMMYFUNCTION("""COMPUTED_VALUE"""),"IPC")</f>
        <v>IPC</v>
      </c>
      <c r="O1087" s="9" t="str">
        <f>IFERROR(__xludf.DUMMYFUNCTION("""COMPUTED_VALUE"""),"A40")</f>
        <v>A40</v>
      </c>
      <c r="P1087" s="9" t="str">
        <f>IFERROR(__xludf.DUMMYFUNCTION("""COMPUTED_VALUE"""),"A40in")</f>
        <v>A40in</v>
      </c>
      <c r="Q1087" s="9" t="str">
        <f>IFERROR(__xludf.DUMMYFUNCTION("""COMPUTED_VALUE"""),"A40in3")</f>
        <v>A40in3</v>
      </c>
      <c r="R1087" s="9"/>
      <c r="S1087" s="42"/>
      <c r="T1087" s="42"/>
      <c r="U1087" s="159"/>
      <c r="V1087" s="42"/>
      <c r="W1087" s="42"/>
      <c r="X1087" s="42"/>
      <c r="Y1087" s="42"/>
      <c r="Z1087" s="42"/>
      <c r="AA1087" s="42"/>
      <c r="AB1087" s="42" t="str">
        <f>IFERROR(__xludf.DUMMYFUNCTION("""COMPUTED_VALUE"""),"allen institute")</f>
        <v>allen institute</v>
      </c>
      <c r="AC1087" s="42" t="str">
        <f>IFERROR(__xludf.DUMMYFUNCTION("""COMPUTED_VALUE"""),"DHBA")</f>
        <v>DHBA</v>
      </c>
      <c r="AD1087" s="42"/>
      <c r="AE1087" s="42"/>
      <c r="AF1087" s="9"/>
      <c r="AG1087" s="9"/>
      <c r="AH1087" s="42"/>
      <c r="AI1087" s="42"/>
      <c r="AJ1087" s="42"/>
      <c r="AK1087" s="42"/>
      <c r="AL1087" s="42"/>
      <c r="AM1087" s="42"/>
      <c r="AN1087" s="42"/>
      <c r="AO1087" s="63" t="str">
        <f>IFERROR(__xludf.DUMMYFUNCTION("IF(ISBLANK(A1087),,IF(ISBLANK(S1087), A1087&amp;"";"", TEXTJOIN(CHAR(10), TRUE, A1087&amp;"";"", ARRAYFORMULA(VLOOKUP(SPLIT(S1087, "";"" &amp; CHAR(10)), $A:$AO, 41, FALSE)))))"),"A40in3;")</f>
        <v>A40in3;</v>
      </c>
      <c r="AP1087" s="89"/>
    </row>
    <row r="1088">
      <c r="A1088" s="151" t="str">
        <f>IFERROR(__xludf.DUMMYFUNCTION("""COMPUTED_VALUE"""),"A40in4")</f>
        <v>A40in4</v>
      </c>
      <c r="B1088" s="42" t="str">
        <f>IFERROR(__xludf.DUMMYFUNCTION("""COMPUTED_VALUE"""),"DHBA")</f>
        <v>DHBA</v>
      </c>
      <c r="C1088" s="42" t="str">
        <f>IFERROR(__xludf.DUMMYFUNCTION("""COMPUTED_VALUE"""),"layer IV of area 40in")</f>
        <v>layer IV of area 40in</v>
      </c>
      <c r="D1088" s="42">
        <f>IFERROR(__xludf.DUMMYFUNCTION("""COMPUTED_VALUE"""),1031.0)</f>
        <v>1031</v>
      </c>
      <c r="E1088" s="39" t="str">
        <f>IFERROR(__xludf.DUMMYFUNCTION("""COMPUTED_VALUE"""),"layer IV of area 40in")</f>
        <v>layer IV of area 40in</v>
      </c>
      <c r="F1088" s="9" t="str">
        <f>IFERROR(__xludf.DUMMYFUNCTION("""COMPUTED_VALUE"""),"Br")</f>
        <v>Br</v>
      </c>
      <c r="G1088" s="9" t="str">
        <f>IFERROR(__xludf.DUMMYFUNCTION("""COMPUTED_VALUE"""),"F")</f>
        <v>F</v>
      </c>
      <c r="H1088" s="9" t="str">
        <f>IFERROR(__xludf.DUMMYFUNCTION("""COMPUTED_VALUE"""),"FGM")</f>
        <v>FGM</v>
      </c>
      <c r="I1088" s="9" t="str">
        <f>IFERROR(__xludf.DUMMYFUNCTION("""COMPUTED_VALUE"""),"Tel")</f>
        <v>Tel</v>
      </c>
      <c r="J1088" s="9" t="str">
        <f>IFERROR(__xludf.DUMMYFUNCTION("""COMPUTED_VALUE"""),"Cx")</f>
        <v>Cx</v>
      </c>
      <c r="K1088" s="9" t="str">
        <f>IFERROR(__xludf.DUMMYFUNCTION("""COMPUTED_VALUE"""),"NCx")</f>
        <v>NCx</v>
      </c>
      <c r="L1088" s="9" t="str">
        <f>IFERROR(__xludf.DUMMYFUNCTION("""COMPUTED_VALUE"""),"PCx")</f>
        <v>PCx</v>
      </c>
      <c r="M1088" s="9" t="str">
        <f>IFERROR(__xludf.DUMMYFUNCTION("""COMPUTED_VALUE"""),"PoPC")</f>
        <v>PoPC</v>
      </c>
      <c r="N1088" s="9" t="str">
        <f>IFERROR(__xludf.DUMMYFUNCTION("""COMPUTED_VALUE"""),"IPC")</f>
        <v>IPC</v>
      </c>
      <c r="O1088" s="9" t="str">
        <f>IFERROR(__xludf.DUMMYFUNCTION("""COMPUTED_VALUE"""),"A40")</f>
        <v>A40</v>
      </c>
      <c r="P1088" s="9" t="str">
        <f>IFERROR(__xludf.DUMMYFUNCTION("""COMPUTED_VALUE"""),"A40in")</f>
        <v>A40in</v>
      </c>
      <c r="Q1088" s="9" t="str">
        <f>IFERROR(__xludf.DUMMYFUNCTION("""COMPUTED_VALUE"""),"A40in4")</f>
        <v>A40in4</v>
      </c>
      <c r="R1088" s="9"/>
      <c r="S1088" s="42"/>
      <c r="T1088" s="42"/>
      <c r="U1088" s="159"/>
      <c r="V1088" s="42"/>
      <c r="W1088" s="42"/>
      <c r="X1088" s="42"/>
      <c r="Y1088" s="42"/>
      <c r="Z1088" s="42"/>
      <c r="AA1088" s="42"/>
      <c r="AB1088" s="42" t="str">
        <f>IFERROR(__xludf.DUMMYFUNCTION("""COMPUTED_VALUE"""),"allen institute")</f>
        <v>allen institute</v>
      </c>
      <c r="AC1088" s="42" t="str">
        <f>IFERROR(__xludf.DUMMYFUNCTION("""COMPUTED_VALUE"""),"DHBA")</f>
        <v>DHBA</v>
      </c>
      <c r="AD1088" s="42"/>
      <c r="AE1088" s="42"/>
      <c r="AF1088" s="9"/>
      <c r="AG1088" s="9"/>
      <c r="AH1088" s="42"/>
      <c r="AI1088" s="42"/>
      <c r="AJ1088" s="42"/>
      <c r="AK1088" s="42"/>
      <c r="AL1088" s="42"/>
      <c r="AM1088" s="42"/>
      <c r="AN1088" s="42"/>
      <c r="AO1088" s="63" t="str">
        <f>IFERROR(__xludf.DUMMYFUNCTION("IF(ISBLANK(A1088),,IF(ISBLANK(S1088), A1088&amp;"";"", TEXTJOIN(CHAR(10), TRUE, A1088&amp;"";"", ARRAYFORMULA(VLOOKUP(SPLIT(S1088, "";"" &amp; CHAR(10)), $A:$AO, 41, FALSE)))))"),"A40in4;")</f>
        <v>A40in4;</v>
      </c>
      <c r="AP1088" s="89"/>
    </row>
    <row r="1089">
      <c r="A1089" s="151" t="str">
        <f>IFERROR(__xludf.DUMMYFUNCTION("""COMPUTED_VALUE"""),"A40in5")</f>
        <v>A40in5</v>
      </c>
      <c r="B1089" s="42" t="str">
        <f>IFERROR(__xludf.DUMMYFUNCTION("""COMPUTED_VALUE"""),"DHBA")</f>
        <v>DHBA</v>
      </c>
      <c r="C1089" s="42" t="str">
        <f>IFERROR(__xludf.DUMMYFUNCTION("""COMPUTED_VALUE"""),"layer V of area 40in")</f>
        <v>layer V of area 40in</v>
      </c>
      <c r="D1089" s="42">
        <f>IFERROR(__xludf.DUMMYFUNCTION("""COMPUTED_VALUE"""),1032.0)</f>
        <v>1032</v>
      </c>
      <c r="E1089" s="39" t="str">
        <f>IFERROR(__xludf.DUMMYFUNCTION("""COMPUTED_VALUE"""),"layer V of area 40in")</f>
        <v>layer V of area 40in</v>
      </c>
      <c r="F1089" s="9" t="str">
        <f>IFERROR(__xludf.DUMMYFUNCTION("""COMPUTED_VALUE"""),"Br")</f>
        <v>Br</v>
      </c>
      <c r="G1089" s="9" t="str">
        <f>IFERROR(__xludf.DUMMYFUNCTION("""COMPUTED_VALUE"""),"F")</f>
        <v>F</v>
      </c>
      <c r="H1089" s="9" t="str">
        <f>IFERROR(__xludf.DUMMYFUNCTION("""COMPUTED_VALUE"""),"FGM")</f>
        <v>FGM</v>
      </c>
      <c r="I1089" s="9" t="str">
        <f>IFERROR(__xludf.DUMMYFUNCTION("""COMPUTED_VALUE"""),"Tel")</f>
        <v>Tel</v>
      </c>
      <c r="J1089" s="9" t="str">
        <f>IFERROR(__xludf.DUMMYFUNCTION("""COMPUTED_VALUE"""),"Cx")</f>
        <v>Cx</v>
      </c>
      <c r="K1089" s="9" t="str">
        <f>IFERROR(__xludf.DUMMYFUNCTION("""COMPUTED_VALUE"""),"NCx")</f>
        <v>NCx</v>
      </c>
      <c r="L1089" s="9" t="str">
        <f>IFERROR(__xludf.DUMMYFUNCTION("""COMPUTED_VALUE"""),"PCx")</f>
        <v>PCx</v>
      </c>
      <c r="M1089" s="9" t="str">
        <f>IFERROR(__xludf.DUMMYFUNCTION("""COMPUTED_VALUE"""),"PoPC")</f>
        <v>PoPC</v>
      </c>
      <c r="N1089" s="9" t="str">
        <f>IFERROR(__xludf.DUMMYFUNCTION("""COMPUTED_VALUE"""),"IPC")</f>
        <v>IPC</v>
      </c>
      <c r="O1089" s="9" t="str">
        <f>IFERROR(__xludf.DUMMYFUNCTION("""COMPUTED_VALUE"""),"A40")</f>
        <v>A40</v>
      </c>
      <c r="P1089" s="9" t="str">
        <f>IFERROR(__xludf.DUMMYFUNCTION("""COMPUTED_VALUE"""),"A40in")</f>
        <v>A40in</v>
      </c>
      <c r="Q1089" s="9" t="str">
        <f>IFERROR(__xludf.DUMMYFUNCTION("""COMPUTED_VALUE"""),"A40in5")</f>
        <v>A40in5</v>
      </c>
      <c r="R1089" s="9"/>
      <c r="S1089" s="42"/>
      <c r="T1089" s="42"/>
      <c r="U1089" s="159"/>
      <c r="V1089" s="42"/>
      <c r="W1089" s="42"/>
      <c r="X1089" s="42"/>
      <c r="Y1089" s="42"/>
      <c r="Z1089" s="42"/>
      <c r="AA1089" s="42"/>
      <c r="AB1089" s="42" t="str">
        <f>IFERROR(__xludf.DUMMYFUNCTION("""COMPUTED_VALUE"""),"allen institute")</f>
        <v>allen institute</v>
      </c>
      <c r="AC1089" s="42" t="str">
        <f>IFERROR(__xludf.DUMMYFUNCTION("""COMPUTED_VALUE"""),"DHBA")</f>
        <v>DHBA</v>
      </c>
      <c r="AD1089" s="42"/>
      <c r="AE1089" s="42"/>
      <c r="AF1089" s="9"/>
      <c r="AG1089" s="9"/>
      <c r="AH1089" s="42"/>
      <c r="AI1089" s="42"/>
      <c r="AJ1089" s="42"/>
      <c r="AK1089" s="42"/>
      <c r="AL1089" s="42"/>
      <c r="AM1089" s="42"/>
      <c r="AN1089" s="42"/>
      <c r="AO1089" s="63" t="str">
        <f>IFERROR(__xludf.DUMMYFUNCTION("IF(ISBLANK(A1089),,IF(ISBLANK(S1089), A1089&amp;"";"", TEXTJOIN(CHAR(10), TRUE, A1089&amp;"";"", ARRAYFORMULA(VLOOKUP(SPLIT(S1089, "";"" &amp; CHAR(10)), $A:$AO, 41, FALSE)))))"),"A40in5;")</f>
        <v>A40in5;</v>
      </c>
      <c r="AP1089" s="89"/>
    </row>
    <row r="1090">
      <c r="A1090" s="151" t="str">
        <f>IFERROR(__xludf.DUMMYFUNCTION("""COMPUTED_VALUE"""),"A40in6")</f>
        <v>A40in6</v>
      </c>
      <c r="B1090" s="42" t="str">
        <f>IFERROR(__xludf.DUMMYFUNCTION("""COMPUTED_VALUE"""),"DHBA")</f>
        <v>DHBA</v>
      </c>
      <c r="C1090" s="42" t="str">
        <f>IFERROR(__xludf.DUMMYFUNCTION("""COMPUTED_VALUE"""),"layer VI of area 40in")</f>
        <v>layer VI of area 40in</v>
      </c>
      <c r="D1090" s="42">
        <f>IFERROR(__xludf.DUMMYFUNCTION("""COMPUTED_VALUE"""),1033.0)</f>
        <v>1033</v>
      </c>
      <c r="E1090" s="39" t="str">
        <f>IFERROR(__xludf.DUMMYFUNCTION("""COMPUTED_VALUE"""),"layer VI of area 40in")</f>
        <v>layer VI of area 40in</v>
      </c>
      <c r="F1090" s="9" t="str">
        <f>IFERROR(__xludf.DUMMYFUNCTION("""COMPUTED_VALUE"""),"Br")</f>
        <v>Br</v>
      </c>
      <c r="G1090" s="9" t="str">
        <f>IFERROR(__xludf.DUMMYFUNCTION("""COMPUTED_VALUE"""),"F")</f>
        <v>F</v>
      </c>
      <c r="H1090" s="9" t="str">
        <f>IFERROR(__xludf.DUMMYFUNCTION("""COMPUTED_VALUE"""),"FGM")</f>
        <v>FGM</v>
      </c>
      <c r="I1090" s="9" t="str">
        <f>IFERROR(__xludf.DUMMYFUNCTION("""COMPUTED_VALUE"""),"Tel")</f>
        <v>Tel</v>
      </c>
      <c r="J1090" s="9" t="str">
        <f>IFERROR(__xludf.DUMMYFUNCTION("""COMPUTED_VALUE"""),"Cx")</f>
        <v>Cx</v>
      </c>
      <c r="K1090" s="9" t="str">
        <f>IFERROR(__xludf.DUMMYFUNCTION("""COMPUTED_VALUE"""),"NCx")</f>
        <v>NCx</v>
      </c>
      <c r="L1090" s="9" t="str">
        <f>IFERROR(__xludf.DUMMYFUNCTION("""COMPUTED_VALUE"""),"PCx")</f>
        <v>PCx</v>
      </c>
      <c r="M1090" s="9" t="str">
        <f>IFERROR(__xludf.DUMMYFUNCTION("""COMPUTED_VALUE"""),"PoPC")</f>
        <v>PoPC</v>
      </c>
      <c r="N1090" s="9" t="str">
        <f>IFERROR(__xludf.DUMMYFUNCTION("""COMPUTED_VALUE"""),"IPC")</f>
        <v>IPC</v>
      </c>
      <c r="O1090" s="9" t="str">
        <f>IFERROR(__xludf.DUMMYFUNCTION("""COMPUTED_VALUE"""),"A40")</f>
        <v>A40</v>
      </c>
      <c r="P1090" s="9" t="str">
        <f>IFERROR(__xludf.DUMMYFUNCTION("""COMPUTED_VALUE"""),"A40in")</f>
        <v>A40in</v>
      </c>
      <c r="Q1090" s="9" t="str">
        <f>IFERROR(__xludf.DUMMYFUNCTION("""COMPUTED_VALUE"""),"A40in6")</f>
        <v>A40in6</v>
      </c>
      <c r="R1090" s="9"/>
      <c r="S1090" s="42"/>
      <c r="T1090" s="42"/>
      <c r="U1090" s="42"/>
      <c r="V1090" s="42"/>
      <c r="W1090" s="42"/>
      <c r="X1090" s="42"/>
      <c r="Y1090" s="42"/>
      <c r="Z1090" s="42"/>
      <c r="AA1090" s="42"/>
      <c r="AB1090" s="42" t="str">
        <f>IFERROR(__xludf.DUMMYFUNCTION("""COMPUTED_VALUE"""),"allen institute")</f>
        <v>allen institute</v>
      </c>
      <c r="AC1090" s="42" t="str">
        <f>IFERROR(__xludf.DUMMYFUNCTION("""COMPUTED_VALUE"""),"DHBA")</f>
        <v>DHBA</v>
      </c>
      <c r="AD1090" s="42"/>
      <c r="AE1090" s="42"/>
      <c r="AF1090" s="9"/>
      <c r="AG1090" s="9"/>
      <c r="AH1090" s="42"/>
      <c r="AI1090" s="42"/>
      <c r="AJ1090" s="42"/>
      <c r="AK1090" s="42"/>
      <c r="AL1090" s="42"/>
      <c r="AM1090" s="42"/>
      <c r="AN1090" s="42"/>
      <c r="AO1090" s="63" t="str">
        <f>IFERROR(__xludf.DUMMYFUNCTION("IF(ISBLANK(A1090),,IF(ISBLANK(S1090), A1090&amp;"";"", TEXTJOIN(CHAR(10), TRUE, A1090&amp;"";"", ARRAYFORMULA(VLOOKUP(SPLIT(S1090, "";"" &amp; CHAR(10)), $A:$AO, 41, FALSE)))))"),"A40in6;")</f>
        <v>A40in6;</v>
      </c>
      <c r="AP1090" s="89"/>
    </row>
    <row r="1091">
      <c r="A1091" s="151" t="str">
        <f>IFERROR(__xludf.DUMMYFUNCTION("""COMPUTED_VALUE"""),"A40.39")</f>
        <v>A40.39</v>
      </c>
      <c r="B1091" s="42" t="str">
        <f>IFERROR(__xludf.DUMMYFUNCTION("""COMPUTED_VALUE"""),"DHBA")</f>
        <v>DHBA</v>
      </c>
      <c r="C1091" s="42" t="str">
        <f>IFERROR(__xludf.DUMMYFUNCTION("""COMPUTED_VALUE"""),"intermediate division of IPC (area 40/39)")</f>
        <v>intermediate division of IPC (area 40/39)</v>
      </c>
      <c r="D1091" s="42">
        <f>IFERROR(__xludf.DUMMYFUNCTION("""COMPUTED_VALUE"""),1034.0)</f>
        <v>1034</v>
      </c>
      <c r="E1091" s="39" t="str">
        <f>IFERROR(__xludf.DUMMYFUNCTION("""COMPUTED_VALUE"""),"intermediate division of IPC (area 40/39)")</f>
        <v>intermediate division of IPC (area 40/39)</v>
      </c>
      <c r="F1091" s="9" t="str">
        <f>IFERROR(__xludf.DUMMYFUNCTION("""COMPUTED_VALUE"""),"Br")</f>
        <v>Br</v>
      </c>
      <c r="G1091" s="9" t="str">
        <f>IFERROR(__xludf.DUMMYFUNCTION("""COMPUTED_VALUE"""),"F")</f>
        <v>F</v>
      </c>
      <c r="H1091" s="9" t="str">
        <f>IFERROR(__xludf.DUMMYFUNCTION("""COMPUTED_VALUE"""),"FGM")</f>
        <v>FGM</v>
      </c>
      <c r="I1091" s="9" t="str">
        <f>IFERROR(__xludf.DUMMYFUNCTION("""COMPUTED_VALUE"""),"Tel")</f>
        <v>Tel</v>
      </c>
      <c r="J1091" s="9" t="str">
        <f>IFERROR(__xludf.DUMMYFUNCTION("""COMPUTED_VALUE"""),"Cx")</f>
        <v>Cx</v>
      </c>
      <c r="K1091" s="9" t="str">
        <f>IFERROR(__xludf.DUMMYFUNCTION("""COMPUTED_VALUE"""),"NCx")</f>
        <v>NCx</v>
      </c>
      <c r="L1091" s="9" t="str">
        <f>IFERROR(__xludf.DUMMYFUNCTION("""COMPUTED_VALUE"""),"PCx")</f>
        <v>PCx</v>
      </c>
      <c r="M1091" s="9" t="str">
        <f>IFERROR(__xludf.DUMMYFUNCTION("""COMPUTED_VALUE"""),"PoPC")</f>
        <v>PoPC</v>
      </c>
      <c r="N1091" s="9" t="str">
        <f>IFERROR(__xludf.DUMMYFUNCTION("""COMPUTED_VALUE"""),"IPC")</f>
        <v>IPC</v>
      </c>
      <c r="O1091" s="9" t="str">
        <f>IFERROR(__xludf.DUMMYFUNCTION("""COMPUTED_VALUE"""),"A40/39")</f>
        <v>A40/39</v>
      </c>
      <c r="P1091" s="9"/>
      <c r="Q1091" s="9"/>
      <c r="R1091" s="9"/>
      <c r="S1091" s="42"/>
      <c r="T1091" s="42" t="str">
        <f>IFERROR(__xludf.DUMMYFUNCTION("""COMPUTED_VALUE"""),"NCx")</f>
        <v>NCx</v>
      </c>
      <c r="U1091" s="42" t="b">
        <f>IFERROR(__xludf.DUMMYFUNCTION("""COMPUTED_VALUE"""),FALSE)</f>
        <v>0</v>
      </c>
      <c r="V1091" s="42"/>
      <c r="W1091" s="42"/>
      <c r="X1091" s="42"/>
      <c r="Y1091" s="42"/>
      <c r="Z1091" s="42"/>
      <c r="AA1091" s="42"/>
      <c r="AB1091" s="42" t="str">
        <f>IFERROR(__xludf.DUMMYFUNCTION("""COMPUTED_VALUE"""),"allen institute")</f>
        <v>allen institute</v>
      </c>
      <c r="AC1091" s="42" t="str">
        <f>IFERROR(__xludf.DUMMYFUNCTION("""COMPUTED_VALUE"""),"DHBA")</f>
        <v>DHBA</v>
      </c>
      <c r="AD1091" s="42"/>
      <c r="AE1091" s="42"/>
      <c r="AF1091" s="9"/>
      <c r="AG1091" s="9"/>
      <c r="AH1091" s="42"/>
      <c r="AI1091" s="42"/>
      <c r="AJ1091" s="42"/>
      <c r="AK1091" s="42"/>
      <c r="AL1091" s="42"/>
      <c r="AM1091" s="42"/>
      <c r="AN1091" s="42"/>
      <c r="AO1091" s="63" t="str">
        <f>IFERROR(__xludf.DUMMYFUNCTION("IF(ISBLANK(A1091),,IF(ISBLANK(S1091), A1091&amp;"";"", TEXTJOIN(CHAR(10), TRUE, A1091&amp;"";"", ARRAYFORMULA(VLOOKUP(SPLIT(S1091, "";"" &amp; CHAR(10)), $A:$AO, 41, FALSE)))))"),"A40.39;")</f>
        <v>A40.39;</v>
      </c>
      <c r="AP1091" s="89"/>
    </row>
    <row r="1092">
      <c r="A1092" s="151" t="str">
        <f>IFERROR(__xludf.DUMMYFUNCTION("""COMPUTED_VALUE"""),"A40/39r")</f>
        <v>A40/39r</v>
      </c>
      <c r="B1092" s="42" t="str">
        <f>IFERROR(__xludf.DUMMYFUNCTION("""COMPUTED_VALUE"""),"DHBA")</f>
        <v>DHBA</v>
      </c>
      <c r="C1092" s="42" t="str">
        <f>IFERROR(__xludf.DUMMYFUNCTION("""COMPUTED_VALUE"""),"rostral subdivision of area 40/39")</f>
        <v>rostral subdivision of area 40/39</v>
      </c>
      <c r="D1092" s="42">
        <f>IFERROR(__xludf.DUMMYFUNCTION("""COMPUTED_VALUE"""),1035.0)</f>
        <v>1035</v>
      </c>
      <c r="E1092" s="39" t="str">
        <f>IFERROR(__xludf.DUMMYFUNCTION("""COMPUTED_VALUE"""),"rostral subdivision of area 40/39")</f>
        <v>rostral subdivision of area 40/39</v>
      </c>
      <c r="F1092" s="9" t="str">
        <f>IFERROR(__xludf.DUMMYFUNCTION("""COMPUTED_VALUE"""),"Br")</f>
        <v>Br</v>
      </c>
      <c r="G1092" s="9" t="str">
        <f>IFERROR(__xludf.DUMMYFUNCTION("""COMPUTED_VALUE"""),"F")</f>
        <v>F</v>
      </c>
      <c r="H1092" s="9" t="str">
        <f>IFERROR(__xludf.DUMMYFUNCTION("""COMPUTED_VALUE"""),"FGM")</f>
        <v>FGM</v>
      </c>
      <c r="I1092" s="9" t="str">
        <f>IFERROR(__xludf.DUMMYFUNCTION("""COMPUTED_VALUE"""),"Tel")</f>
        <v>Tel</v>
      </c>
      <c r="J1092" s="9" t="str">
        <f>IFERROR(__xludf.DUMMYFUNCTION("""COMPUTED_VALUE"""),"Cx")</f>
        <v>Cx</v>
      </c>
      <c r="K1092" s="9" t="str">
        <f>IFERROR(__xludf.DUMMYFUNCTION("""COMPUTED_VALUE"""),"NCx")</f>
        <v>NCx</v>
      </c>
      <c r="L1092" s="9" t="str">
        <f>IFERROR(__xludf.DUMMYFUNCTION("""COMPUTED_VALUE"""),"PCx")</f>
        <v>PCx</v>
      </c>
      <c r="M1092" s="9" t="str">
        <f>IFERROR(__xludf.DUMMYFUNCTION("""COMPUTED_VALUE"""),"PoPC")</f>
        <v>PoPC</v>
      </c>
      <c r="N1092" s="9" t="str">
        <f>IFERROR(__xludf.DUMMYFUNCTION("""COMPUTED_VALUE"""),"IPC")</f>
        <v>IPC</v>
      </c>
      <c r="O1092" s="9" t="str">
        <f>IFERROR(__xludf.DUMMYFUNCTION("""COMPUTED_VALUE"""),"A40/39")</f>
        <v>A40/39</v>
      </c>
      <c r="P1092" s="9" t="str">
        <f>IFERROR(__xludf.DUMMYFUNCTION("""COMPUTED_VALUE"""),"A40/39r")</f>
        <v>A40/39r</v>
      </c>
      <c r="Q1092" s="9"/>
      <c r="R1092" s="9"/>
      <c r="S1092" s="42"/>
      <c r="T1092" s="42"/>
      <c r="U1092" s="42"/>
      <c r="V1092" s="42"/>
      <c r="W1092" s="42"/>
      <c r="X1092" s="42"/>
      <c r="Y1092" s="42"/>
      <c r="Z1092" s="42"/>
      <c r="AA1092" s="42"/>
      <c r="AB1092" s="42" t="str">
        <f>IFERROR(__xludf.DUMMYFUNCTION("""COMPUTED_VALUE"""),"allen institute")</f>
        <v>allen institute</v>
      </c>
      <c r="AC1092" s="42" t="str">
        <f>IFERROR(__xludf.DUMMYFUNCTION("""COMPUTED_VALUE"""),"DHBA")</f>
        <v>DHBA</v>
      </c>
      <c r="AD1092" s="42"/>
      <c r="AE1092" s="42"/>
      <c r="AF1092" s="9"/>
      <c r="AG1092" s="9"/>
      <c r="AH1092" s="42"/>
      <c r="AI1092" s="42"/>
      <c r="AJ1092" s="42"/>
      <c r="AK1092" s="42"/>
      <c r="AL1092" s="42"/>
      <c r="AM1092" s="42"/>
      <c r="AN1092" s="42"/>
      <c r="AO1092" s="63" t="str">
        <f>IFERROR(__xludf.DUMMYFUNCTION("IF(ISBLANK(A1092),,IF(ISBLANK(S1092), A1092&amp;"";"", TEXTJOIN(CHAR(10), TRUE, A1092&amp;"";"", ARRAYFORMULA(VLOOKUP(SPLIT(S1092, "";"" &amp; CHAR(10)), $A:$AO, 41, FALSE)))))"),"A40/39r;")</f>
        <v>A40/39r;</v>
      </c>
      <c r="AP1092" s="89"/>
    </row>
    <row r="1093">
      <c r="A1093" s="151" t="str">
        <f>IFERROR(__xludf.DUMMYFUNCTION("""COMPUTED_VALUE"""),"A40/39r1")</f>
        <v>A40/39r1</v>
      </c>
      <c r="B1093" s="42" t="str">
        <f>IFERROR(__xludf.DUMMYFUNCTION("""COMPUTED_VALUE"""),"DHBA")</f>
        <v>DHBA</v>
      </c>
      <c r="C1093" s="42" t="str">
        <f>IFERROR(__xludf.DUMMYFUNCTION("""COMPUTED_VALUE"""),"layer I of area 40/39r")</f>
        <v>layer I of area 40/39r</v>
      </c>
      <c r="D1093" s="42">
        <f>IFERROR(__xludf.DUMMYFUNCTION("""COMPUTED_VALUE"""),1036.0)</f>
        <v>1036</v>
      </c>
      <c r="E1093" s="39" t="str">
        <f>IFERROR(__xludf.DUMMYFUNCTION("""COMPUTED_VALUE"""),"layer I of area 40/39r")</f>
        <v>layer I of area 40/39r</v>
      </c>
      <c r="F1093" s="9" t="str">
        <f>IFERROR(__xludf.DUMMYFUNCTION("""COMPUTED_VALUE"""),"Br")</f>
        <v>Br</v>
      </c>
      <c r="G1093" s="9" t="str">
        <f>IFERROR(__xludf.DUMMYFUNCTION("""COMPUTED_VALUE"""),"F")</f>
        <v>F</v>
      </c>
      <c r="H1093" s="9" t="str">
        <f>IFERROR(__xludf.DUMMYFUNCTION("""COMPUTED_VALUE"""),"FGM")</f>
        <v>FGM</v>
      </c>
      <c r="I1093" s="9" t="str">
        <f>IFERROR(__xludf.DUMMYFUNCTION("""COMPUTED_VALUE"""),"Tel")</f>
        <v>Tel</v>
      </c>
      <c r="J1093" s="9" t="str">
        <f>IFERROR(__xludf.DUMMYFUNCTION("""COMPUTED_VALUE"""),"Cx")</f>
        <v>Cx</v>
      </c>
      <c r="K1093" s="9" t="str">
        <f>IFERROR(__xludf.DUMMYFUNCTION("""COMPUTED_VALUE"""),"NCx")</f>
        <v>NCx</v>
      </c>
      <c r="L1093" s="9" t="str">
        <f>IFERROR(__xludf.DUMMYFUNCTION("""COMPUTED_VALUE"""),"PCx")</f>
        <v>PCx</v>
      </c>
      <c r="M1093" s="9" t="str">
        <f>IFERROR(__xludf.DUMMYFUNCTION("""COMPUTED_VALUE"""),"PoPC")</f>
        <v>PoPC</v>
      </c>
      <c r="N1093" s="9" t="str">
        <f>IFERROR(__xludf.DUMMYFUNCTION("""COMPUTED_VALUE"""),"IPC")</f>
        <v>IPC</v>
      </c>
      <c r="O1093" s="9" t="str">
        <f>IFERROR(__xludf.DUMMYFUNCTION("""COMPUTED_VALUE"""),"A40/39")</f>
        <v>A40/39</v>
      </c>
      <c r="P1093" s="9" t="str">
        <f>IFERROR(__xludf.DUMMYFUNCTION("""COMPUTED_VALUE"""),"A40/39r")</f>
        <v>A40/39r</v>
      </c>
      <c r="Q1093" s="9" t="str">
        <f>IFERROR(__xludf.DUMMYFUNCTION("""COMPUTED_VALUE"""),"A40/39r1")</f>
        <v>A40/39r1</v>
      </c>
      <c r="R1093" s="9"/>
      <c r="S1093" s="42"/>
      <c r="T1093" s="42"/>
      <c r="U1093" s="42"/>
      <c r="V1093" s="42"/>
      <c r="W1093" s="42"/>
      <c r="X1093" s="42"/>
      <c r="Y1093" s="42"/>
      <c r="Z1093" s="42"/>
      <c r="AA1093" s="42"/>
      <c r="AB1093" s="42" t="str">
        <f>IFERROR(__xludf.DUMMYFUNCTION("""COMPUTED_VALUE"""),"allen institute")</f>
        <v>allen institute</v>
      </c>
      <c r="AC1093" s="42" t="str">
        <f>IFERROR(__xludf.DUMMYFUNCTION("""COMPUTED_VALUE"""),"DHBA")</f>
        <v>DHBA</v>
      </c>
      <c r="AD1093" s="42"/>
      <c r="AE1093" s="42"/>
      <c r="AF1093" s="9"/>
      <c r="AG1093" s="9"/>
      <c r="AH1093" s="42"/>
      <c r="AI1093" s="42"/>
      <c r="AJ1093" s="42"/>
      <c r="AK1093" s="42"/>
      <c r="AL1093" s="42"/>
      <c r="AM1093" s="42"/>
      <c r="AN1093" s="42"/>
      <c r="AO1093" s="63" t="str">
        <f>IFERROR(__xludf.DUMMYFUNCTION("IF(ISBLANK(A1093),,IF(ISBLANK(S1093), A1093&amp;"";"", TEXTJOIN(CHAR(10), TRUE, A1093&amp;"";"", ARRAYFORMULA(VLOOKUP(SPLIT(S1093, "";"" &amp; CHAR(10)), $A:$AO, 41, FALSE)))))"),"A40/39r1;")</f>
        <v>A40/39r1;</v>
      </c>
      <c r="AP1093" s="89"/>
    </row>
    <row r="1094">
      <c r="A1094" s="151" t="str">
        <f>IFERROR(__xludf.DUMMYFUNCTION("""COMPUTED_VALUE"""),"A40/39r2")</f>
        <v>A40/39r2</v>
      </c>
      <c r="B1094" s="42" t="str">
        <f>IFERROR(__xludf.DUMMYFUNCTION("""COMPUTED_VALUE"""),"DHBA")</f>
        <v>DHBA</v>
      </c>
      <c r="C1094" s="42" t="str">
        <f>IFERROR(__xludf.DUMMYFUNCTION("""COMPUTED_VALUE"""),"layer II of area 40/39r")</f>
        <v>layer II of area 40/39r</v>
      </c>
      <c r="D1094" s="42">
        <f>IFERROR(__xludf.DUMMYFUNCTION("""COMPUTED_VALUE"""),1037.0)</f>
        <v>1037</v>
      </c>
      <c r="E1094" s="39" t="str">
        <f>IFERROR(__xludf.DUMMYFUNCTION("""COMPUTED_VALUE"""),"layer II of area 40/39r")</f>
        <v>layer II of area 40/39r</v>
      </c>
      <c r="F1094" s="9" t="str">
        <f>IFERROR(__xludf.DUMMYFUNCTION("""COMPUTED_VALUE"""),"Br")</f>
        <v>Br</v>
      </c>
      <c r="G1094" s="9" t="str">
        <f>IFERROR(__xludf.DUMMYFUNCTION("""COMPUTED_VALUE"""),"F")</f>
        <v>F</v>
      </c>
      <c r="H1094" s="9" t="str">
        <f>IFERROR(__xludf.DUMMYFUNCTION("""COMPUTED_VALUE"""),"FGM")</f>
        <v>FGM</v>
      </c>
      <c r="I1094" s="9" t="str">
        <f>IFERROR(__xludf.DUMMYFUNCTION("""COMPUTED_VALUE"""),"Tel")</f>
        <v>Tel</v>
      </c>
      <c r="J1094" s="9" t="str">
        <f>IFERROR(__xludf.DUMMYFUNCTION("""COMPUTED_VALUE"""),"Cx")</f>
        <v>Cx</v>
      </c>
      <c r="K1094" s="9" t="str">
        <f>IFERROR(__xludf.DUMMYFUNCTION("""COMPUTED_VALUE"""),"NCx")</f>
        <v>NCx</v>
      </c>
      <c r="L1094" s="9" t="str">
        <f>IFERROR(__xludf.DUMMYFUNCTION("""COMPUTED_VALUE"""),"PCx")</f>
        <v>PCx</v>
      </c>
      <c r="M1094" s="9" t="str">
        <f>IFERROR(__xludf.DUMMYFUNCTION("""COMPUTED_VALUE"""),"PoPC")</f>
        <v>PoPC</v>
      </c>
      <c r="N1094" s="9" t="str">
        <f>IFERROR(__xludf.DUMMYFUNCTION("""COMPUTED_VALUE"""),"IPC")</f>
        <v>IPC</v>
      </c>
      <c r="O1094" s="9" t="str">
        <f>IFERROR(__xludf.DUMMYFUNCTION("""COMPUTED_VALUE"""),"A40/39")</f>
        <v>A40/39</v>
      </c>
      <c r="P1094" s="9" t="str">
        <f>IFERROR(__xludf.DUMMYFUNCTION("""COMPUTED_VALUE"""),"A40/39r")</f>
        <v>A40/39r</v>
      </c>
      <c r="Q1094" s="9" t="str">
        <f>IFERROR(__xludf.DUMMYFUNCTION("""COMPUTED_VALUE"""),"A40/39r2")</f>
        <v>A40/39r2</v>
      </c>
      <c r="R1094" s="9"/>
      <c r="S1094" s="42"/>
      <c r="T1094" s="42"/>
      <c r="U1094" s="42"/>
      <c r="V1094" s="42"/>
      <c r="W1094" s="42"/>
      <c r="X1094" s="42"/>
      <c r="Y1094" s="42"/>
      <c r="Z1094" s="42"/>
      <c r="AA1094" s="42"/>
      <c r="AB1094" s="42" t="str">
        <f>IFERROR(__xludf.DUMMYFUNCTION("""COMPUTED_VALUE"""),"allen institute")</f>
        <v>allen institute</v>
      </c>
      <c r="AC1094" s="42" t="str">
        <f>IFERROR(__xludf.DUMMYFUNCTION("""COMPUTED_VALUE"""),"DHBA")</f>
        <v>DHBA</v>
      </c>
      <c r="AD1094" s="42"/>
      <c r="AE1094" s="42"/>
      <c r="AF1094" s="9"/>
      <c r="AG1094" s="9"/>
      <c r="AH1094" s="42"/>
      <c r="AI1094" s="42"/>
      <c r="AJ1094" s="42"/>
      <c r="AK1094" s="42"/>
      <c r="AL1094" s="42"/>
      <c r="AM1094" s="42"/>
      <c r="AN1094" s="42"/>
      <c r="AO1094" s="63" t="str">
        <f>IFERROR(__xludf.DUMMYFUNCTION("IF(ISBLANK(A1094),,IF(ISBLANK(S1094), A1094&amp;"";"", TEXTJOIN(CHAR(10), TRUE, A1094&amp;"";"", ARRAYFORMULA(VLOOKUP(SPLIT(S1094, "";"" &amp; CHAR(10)), $A:$AO, 41, FALSE)))))"),"A40/39r2;")</f>
        <v>A40/39r2;</v>
      </c>
      <c r="AP1094" s="89"/>
    </row>
    <row r="1095">
      <c r="A1095" s="151" t="str">
        <f>IFERROR(__xludf.DUMMYFUNCTION("""COMPUTED_VALUE"""),"A40/39r3")</f>
        <v>A40/39r3</v>
      </c>
      <c r="B1095" s="42" t="str">
        <f>IFERROR(__xludf.DUMMYFUNCTION("""COMPUTED_VALUE"""),"DHBA")</f>
        <v>DHBA</v>
      </c>
      <c r="C1095" s="42" t="str">
        <f>IFERROR(__xludf.DUMMYFUNCTION("""COMPUTED_VALUE"""),"layer III of area 40/39r")</f>
        <v>layer III of area 40/39r</v>
      </c>
      <c r="D1095" s="42">
        <f>IFERROR(__xludf.DUMMYFUNCTION("""COMPUTED_VALUE"""),1038.0)</f>
        <v>1038</v>
      </c>
      <c r="E1095" s="39" t="str">
        <f>IFERROR(__xludf.DUMMYFUNCTION("""COMPUTED_VALUE"""),"layer III of area 40/39r")</f>
        <v>layer III of area 40/39r</v>
      </c>
      <c r="F1095" s="9" t="str">
        <f>IFERROR(__xludf.DUMMYFUNCTION("""COMPUTED_VALUE"""),"Br")</f>
        <v>Br</v>
      </c>
      <c r="G1095" s="9" t="str">
        <f>IFERROR(__xludf.DUMMYFUNCTION("""COMPUTED_VALUE"""),"F")</f>
        <v>F</v>
      </c>
      <c r="H1095" s="9" t="str">
        <f>IFERROR(__xludf.DUMMYFUNCTION("""COMPUTED_VALUE"""),"FGM")</f>
        <v>FGM</v>
      </c>
      <c r="I1095" s="9" t="str">
        <f>IFERROR(__xludf.DUMMYFUNCTION("""COMPUTED_VALUE"""),"Tel")</f>
        <v>Tel</v>
      </c>
      <c r="J1095" s="9" t="str">
        <f>IFERROR(__xludf.DUMMYFUNCTION("""COMPUTED_VALUE"""),"Cx")</f>
        <v>Cx</v>
      </c>
      <c r="K1095" s="9" t="str">
        <f>IFERROR(__xludf.DUMMYFUNCTION("""COMPUTED_VALUE"""),"NCx")</f>
        <v>NCx</v>
      </c>
      <c r="L1095" s="9" t="str">
        <f>IFERROR(__xludf.DUMMYFUNCTION("""COMPUTED_VALUE"""),"PCx")</f>
        <v>PCx</v>
      </c>
      <c r="M1095" s="9" t="str">
        <f>IFERROR(__xludf.DUMMYFUNCTION("""COMPUTED_VALUE"""),"PoPC")</f>
        <v>PoPC</v>
      </c>
      <c r="N1095" s="9" t="str">
        <f>IFERROR(__xludf.DUMMYFUNCTION("""COMPUTED_VALUE"""),"IPC")</f>
        <v>IPC</v>
      </c>
      <c r="O1095" s="9" t="str">
        <f>IFERROR(__xludf.DUMMYFUNCTION("""COMPUTED_VALUE"""),"A40/39")</f>
        <v>A40/39</v>
      </c>
      <c r="P1095" s="9" t="str">
        <f>IFERROR(__xludf.DUMMYFUNCTION("""COMPUTED_VALUE"""),"A40/39r")</f>
        <v>A40/39r</v>
      </c>
      <c r="Q1095" s="9" t="str">
        <f>IFERROR(__xludf.DUMMYFUNCTION("""COMPUTED_VALUE"""),"A40/39r3")</f>
        <v>A40/39r3</v>
      </c>
      <c r="R1095" s="9"/>
      <c r="S1095" s="42"/>
      <c r="T1095" s="42"/>
      <c r="U1095" s="42"/>
      <c r="V1095" s="42"/>
      <c r="W1095" s="42"/>
      <c r="X1095" s="42"/>
      <c r="Y1095" s="42"/>
      <c r="Z1095" s="42"/>
      <c r="AA1095" s="42"/>
      <c r="AB1095" s="42" t="str">
        <f>IFERROR(__xludf.DUMMYFUNCTION("""COMPUTED_VALUE"""),"allen institute")</f>
        <v>allen institute</v>
      </c>
      <c r="AC1095" s="42" t="str">
        <f>IFERROR(__xludf.DUMMYFUNCTION("""COMPUTED_VALUE"""),"DHBA")</f>
        <v>DHBA</v>
      </c>
      <c r="AD1095" s="42"/>
      <c r="AE1095" s="42"/>
      <c r="AF1095" s="9"/>
      <c r="AG1095" s="9"/>
      <c r="AH1095" s="42"/>
      <c r="AI1095" s="42"/>
      <c r="AJ1095" s="42"/>
      <c r="AK1095" s="42"/>
      <c r="AL1095" s="42"/>
      <c r="AM1095" s="42"/>
      <c r="AN1095" s="42"/>
      <c r="AO1095" s="63" t="str">
        <f>IFERROR(__xludf.DUMMYFUNCTION("IF(ISBLANK(A1095),,IF(ISBLANK(S1095), A1095&amp;"";"", TEXTJOIN(CHAR(10), TRUE, A1095&amp;"";"", ARRAYFORMULA(VLOOKUP(SPLIT(S1095, "";"" &amp; CHAR(10)), $A:$AO, 41, FALSE)))))"),"A40/39r3;")</f>
        <v>A40/39r3;</v>
      </c>
      <c r="AP1095" s="89"/>
    </row>
    <row r="1096">
      <c r="A1096" s="151" t="str">
        <f>IFERROR(__xludf.DUMMYFUNCTION("""COMPUTED_VALUE"""),"A40/39r4")</f>
        <v>A40/39r4</v>
      </c>
      <c r="B1096" s="42" t="str">
        <f>IFERROR(__xludf.DUMMYFUNCTION("""COMPUTED_VALUE"""),"DHBA")</f>
        <v>DHBA</v>
      </c>
      <c r="C1096" s="42" t="str">
        <f>IFERROR(__xludf.DUMMYFUNCTION("""COMPUTED_VALUE"""),"layer IV of area 40/39r")</f>
        <v>layer IV of area 40/39r</v>
      </c>
      <c r="D1096" s="42">
        <f>IFERROR(__xludf.DUMMYFUNCTION("""COMPUTED_VALUE"""),1039.0)</f>
        <v>1039</v>
      </c>
      <c r="E1096" s="39" t="str">
        <f>IFERROR(__xludf.DUMMYFUNCTION("""COMPUTED_VALUE"""),"layer IV of area 40/39r")</f>
        <v>layer IV of area 40/39r</v>
      </c>
      <c r="F1096" s="9" t="str">
        <f>IFERROR(__xludf.DUMMYFUNCTION("""COMPUTED_VALUE"""),"Br")</f>
        <v>Br</v>
      </c>
      <c r="G1096" s="9" t="str">
        <f>IFERROR(__xludf.DUMMYFUNCTION("""COMPUTED_VALUE"""),"F")</f>
        <v>F</v>
      </c>
      <c r="H1096" s="9" t="str">
        <f>IFERROR(__xludf.DUMMYFUNCTION("""COMPUTED_VALUE"""),"FGM")</f>
        <v>FGM</v>
      </c>
      <c r="I1096" s="9" t="str">
        <f>IFERROR(__xludf.DUMMYFUNCTION("""COMPUTED_VALUE"""),"Tel")</f>
        <v>Tel</v>
      </c>
      <c r="J1096" s="9" t="str">
        <f>IFERROR(__xludf.DUMMYFUNCTION("""COMPUTED_VALUE"""),"Cx")</f>
        <v>Cx</v>
      </c>
      <c r="K1096" s="9" t="str">
        <f>IFERROR(__xludf.DUMMYFUNCTION("""COMPUTED_VALUE"""),"NCx")</f>
        <v>NCx</v>
      </c>
      <c r="L1096" s="9" t="str">
        <f>IFERROR(__xludf.DUMMYFUNCTION("""COMPUTED_VALUE"""),"PCx")</f>
        <v>PCx</v>
      </c>
      <c r="M1096" s="9" t="str">
        <f>IFERROR(__xludf.DUMMYFUNCTION("""COMPUTED_VALUE"""),"PoPC")</f>
        <v>PoPC</v>
      </c>
      <c r="N1096" s="9" t="str">
        <f>IFERROR(__xludf.DUMMYFUNCTION("""COMPUTED_VALUE"""),"IPC")</f>
        <v>IPC</v>
      </c>
      <c r="O1096" s="9" t="str">
        <f>IFERROR(__xludf.DUMMYFUNCTION("""COMPUTED_VALUE"""),"A40/39")</f>
        <v>A40/39</v>
      </c>
      <c r="P1096" s="9" t="str">
        <f>IFERROR(__xludf.DUMMYFUNCTION("""COMPUTED_VALUE"""),"A40/39r")</f>
        <v>A40/39r</v>
      </c>
      <c r="Q1096" s="9" t="str">
        <f>IFERROR(__xludf.DUMMYFUNCTION("""COMPUTED_VALUE"""),"A40/39r4")</f>
        <v>A40/39r4</v>
      </c>
      <c r="R1096" s="9"/>
      <c r="S1096" s="42"/>
      <c r="T1096" s="42"/>
      <c r="U1096" s="42"/>
      <c r="V1096" s="42"/>
      <c r="W1096" s="42"/>
      <c r="X1096" s="42"/>
      <c r="Y1096" s="42"/>
      <c r="Z1096" s="42"/>
      <c r="AA1096" s="42"/>
      <c r="AB1096" s="42" t="str">
        <f>IFERROR(__xludf.DUMMYFUNCTION("""COMPUTED_VALUE"""),"allen institute")</f>
        <v>allen institute</v>
      </c>
      <c r="AC1096" s="42" t="str">
        <f>IFERROR(__xludf.DUMMYFUNCTION("""COMPUTED_VALUE"""),"DHBA")</f>
        <v>DHBA</v>
      </c>
      <c r="AD1096" s="42"/>
      <c r="AE1096" s="42"/>
      <c r="AF1096" s="9"/>
      <c r="AG1096" s="9"/>
      <c r="AH1096" s="42"/>
      <c r="AI1096" s="42"/>
      <c r="AJ1096" s="42"/>
      <c r="AK1096" s="42"/>
      <c r="AL1096" s="42"/>
      <c r="AM1096" s="42"/>
      <c r="AN1096" s="42"/>
      <c r="AO1096" s="63" t="str">
        <f>IFERROR(__xludf.DUMMYFUNCTION("IF(ISBLANK(A1096),,IF(ISBLANK(S1096), A1096&amp;"";"", TEXTJOIN(CHAR(10), TRUE, A1096&amp;"";"", ARRAYFORMULA(VLOOKUP(SPLIT(S1096, "";"" &amp; CHAR(10)), $A:$AO, 41, FALSE)))))"),"A40/39r4;")</f>
        <v>A40/39r4;</v>
      </c>
      <c r="AP1096" s="89"/>
    </row>
    <row r="1097">
      <c r="A1097" s="151" t="str">
        <f>IFERROR(__xludf.DUMMYFUNCTION("""COMPUTED_VALUE"""),"A40/39r5")</f>
        <v>A40/39r5</v>
      </c>
      <c r="B1097" s="42" t="str">
        <f>IFERROR(__xludf.DUMMYFUNCTION("""COMPUTED_VALUE"""),"DHBA")</f>
        <v>DHBA</v>
      </c>
      <c r="C1097" s="42" t="str">
        <f>IFERROR(__xludf.DUMMYFUNCTION("""COMPUTED_VALUE"""),"layer V of area 40/39r")</f>
        <v>layer V of area 40/39r</v>
      </c>
      <c r="D1097" s="42">
        <f>IFERROR(__xludf.DUMMYFUNCTION("""COMPUTED_VALUE"""),1040.0)</f>
        <v>1040</v>
      </c>
      <c r="E1097" s="39" t="str">
        <f>IFERROR(__xludf.DUMMYFUNCTION("""COMPUTED_VALUE"""),"layer V of area 40/39r")</f>
        <v>layer V of area 40/39r</v>
      </c>
      <c r="F1097" s="9" t="str">
        <f>IFERROR(__xludf.DUMMYFUNCTION("""COMPUTED_VALUE"""),"Br")</f>
        <v>Br</v>
      </c>
      <c r="G1097" s="9" t="str">
        <f>IFERROR(__xludf.DUMMYFUNCTION("""COMPUTED_VALUE"""),"F")</f>
        <v>F</v>
      </c>
      <c r="H1097" s="9" t="str">
        <f>IFERROR(__xludf.DUMMYFUNCTION("""COMPUTED_VALUE"""),"FGM")</f>
        <v>FGM</v>
      </c>
      <c r="I1097" s="9" t="str">
        <f>IFERROR(__xludf.DUMMYFUNCTION("""COMPUTED_VALUE"""),"Tel")</f>
        <v>Tel</v>
      </c>
      <c r="J1097" s="9" t="str">
        <f>IFERROR(__xludf.DUMMYFUNCTION("""COMPUTED_VALUE"""),"Cx")</f>
        <v>Cx</v>
      </c>
      <c r="K1097" s="9" t="str">
        <f>IFERROR(__xludf.DUMMYFUNCTION("""COMPUTED_VALUE"""),"NCx")</f>
        <v>NCx</v>
      </c>
      <c r="L1097" s="9" t="str">
        <f>IFERROR(__xludf.DUMMYFUNCTION("""COMPUTED_VALUE"""),"PCx")</f>
        <v>PCx</v>
      </c>
      <c r="M1097" s="9" t="str">
        <f>IFERROR(__xludf.DUMMYFUNCTION("""COMPUTED_VALUE"""),"PoPC")</f>
        <v>PoPC</v>
      </c>
      <c r="N1097" s="9" t="str">
        <f>IFERROR(__xludf.DUMMYFUNCTION("""COMPUTED_VALUE"""),"IPC")</f>
        <v>IPC</v>
      </c>
      <c r="O1097" s="9" t="str">
        <f>IFERROR(__xludf.DUMMYFUNCTION("""COMPUTED_VALUE"""),"A40/39")</f>
        <v>A40/39</v>
      </c>
      <c r="P1097" s="9" t="str">
        <f>IFERROR(__xludf.DUMMYFUNCTION("""COMPUTED_VALUE"""),"A40/39r")</f>
        <v>A40/39r</v>
      </c>
      <c r="Q1097" s="9" t="str">
        <f>IFERROR(__xludf.DUMMYFUNCTION("""COMPUTED_VALUE"""),"A40/39r5")</f>
        <v>A40/39r5</v>
      </c>
      <c r="R1097" s="9"/>
      <c r="S1097" s="42"/>
      <c r="T1097" s="42"/>
      <c r="U1097" s="42"/>
      <c r="V1097" s="42"/>
      <c r="W1097" s="42"/>
      <c r="X1097" s="42"/>
      <c r="Y1097" s="42"/>
      <c r="Z1097" s="42"/>
      <c r="AA1097" s="42"/>
      <c r="AB1097" s="42" t="str">
        <f>IFERROR(__xludf.DUMMYFUNCTION("""COMPUTED_VALUE"""),"allen institute")</f>
        <v>allen institute</v>
      </c>
      <c r="AC1097" s="42" t="str">
        <f>IFERROR(__xludf.DUMMYFUNCTION("""COMPUTED_VALUE"""),"DHBA")</f>
        <v>DHBA</v>
      </c>
      <c r="AD1097" s="42"/>
      <c r="AE1097" s="42"/>
      <c r="AF1097" s="9"/>
      <c r="AG1097" s="9"/>
      <c r="AH1097" s="42"/>
      <c r="AI1097" s="42"/>
      <c r="AJ1097" s="42"/>
      <c r="AK1097" s="42"/>
      <c r="AL1097" s="42"/>
      <c r="AM1097" s="42"/>
      <c r="AN1097" s="42"/>
      <c r="AO1097" s="63" t="str">
        <f>IFERROR(__xludf.DUMMYFUNCTION("IF(ISBLANK(A1097),,IF(ISBLANK(S1097), A1097&amp;"";"", TEXTJOIN(CHAR(10), TRUE, A1097&amp;"";"", ARRAYFORMULA(VLOOKUP(SPLIT(S1097, "";"" &amp; CHAR(10)), $A:$AO, 41, FALSE)))))"),"A40/39r5;")</f>
        <v>A40/39r5;</v>
      </c>
      <c r="AP1097" s="89"/>
    </row>
    <row r="1098">
      <c r="A1098" s="151" t="str">
        <f>IFERROR(__xludf.DUMMYFUNCTION("""COMPUTED_VALUE"""),"A40/39r6")</f>
        <v>A40/39r6</v>
      </c>
      <c r="B1098" s="42" t="str">
        <f>IFERROR(__xludf.DUMMYFUNCTION("""COMPUTED_VALUE"""),"DHBA")</f>
        <v>DHBA</v>
      </c>
      <c r="C1098" s="42" t="str">
        <f>IFERROR(__xludf.DUMMYFUNCTION("""COMPUTED_VALUE"""),"layer VI of area 40/39r")</f>
        <v>layer VI of area 40/39r</v>
      </c>
      <c r="D1098" s="42">
        <f>IFERROR(__xludf.DUMMYFUNCTION("""COMPUTED_VALUE"""),1041.0)</f>
        <v>1041</v>
      </c>
      <c r="E1098" s="39" t="str">
        <f>IFERROR(__xludf.DUMMYFUNCTION("""COMPUTED_VALUE"""),"layer VI of area 40/39r")</f>
        <v>layer VI of area 40/39r</v>
      </c>
      <c r="F1098" s="9" t="str">
        <f>IFERROR(__xludf.DUMMYFUNCTION("""COMPUTED_VALUE"""),"Br")</f>
        <v>Br</v>
      </c>
      <c r="G1098" s="9" t="str">
        <f>IFERROR(__xludf.DUMMYFUNCTION("""COMPUTED_VALUE"""),"F")</f>
        <v>F</v>
      </c>
      <c r="H1098" s="9" t="str">
        <f>IFERROR(__xludf.DUMMYFUNCTION("""COMPUTED_VALUE"""),"FGM")</f>
        <v>FGM</v>
      </c>
      <c r="I1098" s="9" t="str">
        <f>IFERROR(__xludf.DUMMYFUNCTION("""COMPUTED_VALUE"""),"Tel")</f>
        <v>Tel</v>
      </c>
      <c r="J1098" s="9" t="str">
        <f>IFERROR(__xludf.DUMMYFUNCTION("""COMPUTED_VALUE"""),"Cx")</f>
        <v>Cx</v>
      </c>
      <c r="K1098" s="9" t="str">
        <f>IFERROR(__xludf.DUMMYFUNCTION("""COMPUTED_VALUE"""),"NCx")</f>
        <v>NCx</v>
      </c>
      <c r="L1098" s="9" t="str">
        <f>IFERROR(__xludf.DUMMYFUNCTION("""COMPUTED_VALUE"""),"PCx")</f>
        <v>PCx</v>
      </c>
      <c r="M1098" s="9" t="str">
        <f>IFERROR(__xludf.DUMMYFUNCTION("""COMPUTED_VALUE"""),"PoPC")</f>
        <v>PoPC</v>
      </c>
      <c r="N1098" s="9" t="str">
        <f>IFERROR(__xludf.DUMMYFUNCTION("""COMPUTED_VALUE"""),"IPC")</f>
        <v>IPC</v>
      </c>
      <c r="O1098" s="9" t="str">
        <f>IFERROR(__xludf.DUMMYFUNCTION("""COMPUTED_VALUE"""),"A40/39")</f>
        <v>A40/39</v>
      </c>
      <c r="P1098" s="9" t="str">
        <f>IFERROR(__xludf.DUMMYFUNCTION("""COMPUTED_VALUE"""),"A40/39r")</f>
        <v>A40/39r</v>
      </c>
      <c r="Q1098" s="9" t="str">
        <f>IFERROR(__xludf.DUMMYFUNCTION("""COMPUTED_VALUE"""),"A40/39r6")</f>
        <v>A40/39r6</v>
      </c>
      <c r="R1098" s="9"/>
      <c r="S1098" s="42"/>
      <c r="T1098" s="42"/>
      <c r="U1098" s="42"/>
      <c r="V1098" s="42"/>
      <c r="W1098" s="42"/>
      <c r="X1098" s="42"/>
      <c r="Y1098" s="42"/>
      <c r="Z1098" s="42"/>
      <c r="AA1098" s="42"/>
      <c r="AB1098" s="42" t="str">
        <f>IFERROR(__xludf.DUMMYFUNCTION("""COMPUTED_VALUE"""),"allen institute")</f>
        <v>allen institute</v>
      </c>
      <c r="AC1098" s="42" t="str">
        <f>IFERROR(__xludf.DUMMYFUNCTION("""COMPUTED_VALUE"""),"DHBA")</f>
        <v>DHBA</v>
      </c>
      <c r="AD1098" s="42"/>
      <c r="AE1098" s="42"/>
      <c r="AF1098" s="9"/>
      <c r="AG1098" s="9"/>
      <c r="AH1098" s="42"/>
      <c r="AI1098" s="42"/>
      <c r="AJ1098" s="42"/>
      <c r="AK1098" s="42"/>
      <c r="AL1098" s="42"/>
      <c r="AM1098" s="42"/>
      <c r="AN1098" s="42"/>
      <c r="AO1098" s="63" t="str">
        <f>IFERROR(__xludf.DUMMYFUNCTION("IF(ISBLANK(A1098),,IF(ISBLANK(S1098), A1098&amp;"";"", TEXTJOIN(CHAR(10), TRUE, A1098&amp;"";"", ARRAYFORMULA(VLOOKUP(SPLIT(S1098, "";"" &amp; CHAR(10)), $A:$AO, 41, FALSE)))))"),"A40/39r6;")</f>
        <v>A40/39r6;</v>
      </c>
      <c r="AP1098" s="89"/>
    </row>
    <row r="1099">
      <c r="A1099" s="151" t="str">
        <f>IFERROR(__xludf.DUMMYFUNCTION("""COMPUTED_VALUE"""),"A40/39c")</f>
        <v>A40/39c</v>
      </c>
      <c r="B1099" s="42" t="str">
        <f>IFERROR(__xludf.DUMMYFUNCTION("""COMPUTED_VALUE"""),"DHBA")</f>
        <v>DHBA</v>
      </c>
      <c r="C1099" s="42" t="str">
        <f>IFERROR(__xludf.DUMMYFUNCTION("""COMPUTED_VALUE"""),"caudal subdivision of area 40/39")</f>
        <v>caudal subdivision of area 40/39</v>
      </c>
      <c r="D1099" s="42">
        <f>IFERROR(__xludf.DUMMYFUNCTION("""COMPUTED_VALUE"""),1042.0)</f>
        <v>1042</v>
      </c>
      <c r="E1099" s="39" t="str">
        <f>IFERROR(__xludf.DUMMYFUNCTION("""COMPUTED_VALUE"""),"caudal subdivision of area 40/39")</f>
        <v>caudal subdivision of area 40/39</v>
      </c>
      <c r="F1099" s="9" t="str">
        <f>IFERROR(__xludf.DUMMYFUNCTION("""COMPUTED_VALUE"""),"Br")</f>
        <v>Br</v>
      </c>
      <c r="G1099" s="9" t="str">
        <f>IFERROR(__xludf.DUMMYFUNCTION("""COMPUTED_VALUE"""),"F")</f>
        <v>F</v>
      </c>
      <c r="H1099" s="9" t="str">
        <f>IFERROR(__xludf.DUMMYFUNCTION("""COMPUTED_VALUE"""),"FGM")</f>
        <v>FGM</v>
      </c>
      <c r="I1099" s="9" t="str">
        <f>IFERROR(__xludf.DUMMYFUNCTION("""COMPUTED_VALUE"""),"Tel")</f>
        <v>Tel</v>
      </c>
      <c r="J1099" s="9" t="str">
        <f>IFERROR(__xludf.DUMMYFUNCTION("""COMPUTED_VALUE"""),"Cx")</f>
        <v>Cx</v>
      </c>
      <c r="K1099" s="9" t="str">
        <f>IFERROR(__xludf.DUMMYFUNCTION("""COMPUTED_VALUE"""),"NCx")</f>
        <v>NCx</v>
      </c>
      <c r="L1099" s="9" t="str">
        <f>IFERROR(__xludf.DUMMYFUNCTION("""COMPUTED_VALUE"""),"PCx")</f>
        <v>PCx</v>
      </c>
      <c r="M1099" s="9" t="str">
        <f>IFERROR(__xludf.DUMMYFUNCTION("""COMPUTED_VALUE"""),"PoPC")</f>
        <v>PoPC</v>
      </c>
      <c r="N1099" s="9" t="str">
        <f>IFERROR(__xludf.DUMMYFUNCTION("""COMPUTED_VALUE"""),"IPC")</f>
        <v>IPC</v>
      </c>
      <c r="O1099" s="9" t="str">
        <f>IFERROR(__xludf.DUMMYFUNCTION("""COMPUTED_VALUE"""),"A40/39")</f>
        <v>A40/39</v>
      </c>
      <c r="P1099" s="9" t="str">
        <f>IFERROR(__xludf.DUMMYFUNCTION("""COMPUTED_VALUE"""),"A40/39c")</f>
        <v>A40/39c</v>
      </c>
      <c r="Q1099" s="9"/>
      <c r="R1099" s="9"/>
      <c r="S1099" s="42"/>
      <c r="T1099" s="42"/>
      <c r="U1099" s="42"/>
      <c r="V1099" s="42"/>
      <c r="W1099" s="42"/>
      <c r="X1099" s="42"/>
      <c r="Y1099" s="42"/>
      <c r="Z1099" s="42"/>
      <c r="AA1099" s="42"/>
      <c r="AB1099" s="42" t="str">
        <f>IFERROR(__xludf.DUMMYFUNCTION("""COMPUTED_VALUE"""),"allen institute")</f>
        <v>allen institute</v>
      </c>
      <c r="AC1099" s="42" t="str">
        <f>IFERROR(__xludf.DUMMYFUNCTION("""COMPUTED_VALUE"""),"DHBA")</f>
        <v>DHBA</v>
      </c>
      <c r="AD1099" s="42"/>
      <c r="AE1099" s="42"/>
      <c r="AF1099" s="9"/>
      <c r="AG1099" s="9"/>
      <c r="AH1099" s="42"/>
      <c r="AI1099" s="42"/>
      <c r="AJ1099" s="42"/>
      <c r="AK1099" s="42"/>
      <c r="AL1099" s="42"/>
      <c r="AM1099" s="42"/>
      <c r="AN1099" s="42"/>
      <c r="AO1099" s="63" t="str">
        <f>IFERROR(__xludf.DUMMYFUNCTION("IF(ISBLANK(A1099),,IF(ISBLANK(S1099), A1099&amp;"";"", TEXTJOIN(CHAR(10), TRUE, A1099&amp;"";"", ARRAYFORMULA(VLOOKUP(SPLIT(S1099, "";"" &amp; CHAR(10)), $A:$AO, 41, FALSE)))))"),"A40/39c;")</f>
        <v>A40/39c;</v>
      </c>
      <c r="AP1099" s="89"/>
    </row>
    <row r="1100">
      <c r="A1100" s="151" t="str">
        <f>IFERROR(__xludf.DUMMYFUNCTION("""COMPUTED_VALUE"""),"A40/39c1")</f>
        <v>A40/39c1</v>
      </c>
      <c r="B1100" s="42" t="str">
        <f>IFERROR(__xludf.DUMMYFUNCTION("""COMPUTED_VALUE"""),"DHBA")</f>
        <v>DHBA</v>
      </c>
      <c r="C1100" s="42" t="str">
        <f>IFERROR(__xludf.DUMMYFUNCTION("""COMPUTED_VALUE"""),"layer I of area 40/39c")</f>
        <v>layer I of area 40/39c</v>
      </c>
      <c r="D1100" s="42">
        <f>IFERROR(__xludf.DUMMYFUNCTION("""COMPUTED_VALUE"""),1043.0)</f>
        <v>1043</v>
      </c>
      <c r="E1100" s="39" t="str">
        <f>IFERROR(__xludf.DUMMYFUNCTION("""COMPUTED_VALUE"""),"layer I of area 40/39c")</f>
        <v>layer I of area 40/39c</v>
      </c>
      <c r="F1100" s="9" t="str">
        <f>IFERROR(__xludf.DUMMYFUNCTION("""COMPUTED_VALUE"""),"Br")</f>
        <v>Br</v>
      </c>
      <c r="G1100" s="9" t="str">
        <f>IFERROR(__xludf.DUMMYFUNCTION("""COMPUTED_VALUE"""),"F")</f>
        <v>F</v>
      </c>
      <c r="H1100" s="9" t="str">
        <f>IFERROR(__xludf.DUMMYFUNCTION("""COMPUTED_VALUE"""),"FGM")</f>
        <v>FGM</v>
      </c>
      <c r="I1100" s="9" t="str">
        <f>IFERROR(__xludf.DUMMYFUNCTION("""COMPUTED_VALUE"""),"Tel")</f>
        <v>Tel</v>
      </c>
      <c r="J1100" s="9" t="str">
        <f>IFERROR(__xludf.DUMMYFUNCTION("""COMPUTED_VALUE"""),"Cx")</f>
        <v>Cx</v>
      </c>
      <c r="K1100" s="9" t="str">
        <f>IFERROR(__xludf.DUMMYFUNCTION("""COMPUTED_VALUE"""),"NCx")</f>
        <v>NCx</v>
      </c>
      <c r="L1100" s="9" t="str">
        <f>IFERROR(__xludf.DUMMYFUNCTION("""COMPUTED_VALUE"""),"PCx")</f>
        <v>PCx</v>
      </c>
      <c r="M1100" s="9" t="str">
        <f>IFERROR(__xludf.DUMMYFUNCTION("""COMPUTED_VALUE"""),"PoPC")</f>
        <v>PoPC</v>
      </c>
      <c r="N1100" s="9" t="str">
        <f>IFERROR(__xludf.DUMMYFUNCTION("""COMPUTED_VALUE"""),"IPC")</f>
        <v>IPC</v>
      </c>
      <c r="O1100" s="9" t="str">
        <f>IFERROR(__xludf.DUMMYFUNCTION("""COMPUTED_VALUE"""),"A40/39")</f>
        <v>A40/39</v>
      </c>
      <c r="P1100" s="9" t="str">
        <f>IFERROR(__xludf.DUMMYFUNCTION("""COMPUTED_VALUE"""),"A40/39c")</f>
        <v>A40/39c</v>
      </c>
      <c r="Q1100" s="9" t="str">
        <f>IFERROR(__xludf.DUMMYFUNCTION("""COMPUTED_VALUE"""),"A40/39c1")</f>
        <v>A40/39c1</v>
      </c>
      <c r="R1100" s="9"/>
      <c r="S1100" s="42"/>
      <c r="T1100" s="42"/>
      <c r="U1100" s="159"/>
      <c r="V1100" s="42"/>
      <c r="W1100" s="42"/>
      <c r="X1100" s="42"/>
      <c r="Y1100" s="42"/>
      <c r="Z1100" s="42"/>
      <c r="AA1100" s="42"/>
      <c r="AB1100" s="42" t="str">
        <f>IFERROR(__xludf.DUMMYFUNCTION("""COMPUTED_VALUE"""),"allen institute")</f>
        <v>allen institute</v>
      </c>
      <c r="AC1100" s="42" t="str">
        <f>IFERROR(__xludf.DUMMYFUNCTION("""COMPUTED_VALUE"""),"DHBA")</f>
        <v>DHBA</v>
      </c>
      <c r="AD1100" s="42"/>
      <c r="AE1100" s="42"/>
      <c r="AF1100" s="9"/>
      <c r="AG1100" s="9"/>
      <c r="AH1100" s="42"/>
      <c r="AI1100" s="42"/>
      <c r="AJ1100" s="42"/>
      <c r="AK1100" s="42"/>
      <c r="AL1100" s="42"/>
      <c r="AM1100" s="42"/>
      <c r="AN1100" s="42"/>
      <c r="AO1100" s="63" t="str">
        <f>IFERROR(__xludf.DUMMYFUNCTION("IF(ISBLANK(A1100),,IF(ISBLANK(S1100), A1100&amp;"";"", TEXTJOIN(CHAR(10), TRUE, A1100&amp;"";"", ARRAYFORMULA(VLOOKUP(SPLIT(S1100, "";"" &amp; CHAR(10)), $A:$AO, 41, FALSE)))))"),"A40/39c1;")</f>
        <v>A40/39c1;</v>
      </c>
      <c r="AP1100" s="89"/>
    </row>
    <row r="1101">
      <c r="A1101" s="151" t="str">
        <f>IFERROR(__xludf.DUMMYFUNCTION("""COMPUTED_VALUE"""),"A40/39c2")</f>
        <v>A40/39c2</v>
      </c>
      <c r="B1101" s="42" t="str">
        <f>IFERROR(__xludf.DUMMYFUNCTION("""COMPUTED_VALUE"""),"DHBA")</f>
        <v>DHBA</v>
      </c>
      <c r="C1101" s="42" t="str">
        <f>IFERROR(__xludf.DUMMYFUNCTION("""COMPUTED_VALUE"""),"layer II of area 40/39c")</f>
        <v>layer II of area 40/39c</v>
      </c>
      <c r="D1101" s="42">
        <f>IFERROR(__xludf.DUMMYFUNCTION("""COMPUTED_VALUE"""),1044.0)</f>
        <v>1044</v>
      </c>
      <c r="E1101" s="39" t="str">
        <f>IFERROR(__xludf.DUMMYFUNCTION("""COMPUTED_VALUE"""),"layer II of area 40/39c")</f>
        <v>layer II of area 40/39c</v>
      </c>
      <c r="F1101" s="9" t="str">
        <f>IFERROR(__xludf.DUMMYFUNCTION("""COMPUTED_VALUE"""),"Br")</f>
        <v>Br</v>
      </c>
      <c r="G1101" s="9" t="str">
        <f>IFERROR(__xludf.DUMMYFUNCTION("""COMPUTED_VALUE"""),"F")</f>
        <v>F</v>
      </c>
      <c r="H1101" s="9" t="str">
        <f>IFERROR(__xludf.DUMMYFUNCTION("""COMPUTED_VALUE"""),"FGM")</f>
        <v>FGM</v>
      </c>
      <c r="I1101" s="9" t="str">
        <f>IFERROR(__xludf.DUMMYFUNCTION("""COMPUTED_VALUE"""),"Tel")</f>
        <v>Tel</v>
      </c>
      <c r="J1101" s="9" t="str">
        <f>IFERROR(__xludf.DUMMYFUNCTION("""COMPUTED_VALUE"""),"Cx")</f>
        <v>Cx</v>
      </c>
      <c r="K1101" s="9" t="str">
        <f>IFERROR(__xludf.DUMMYFUNCTION("""COMPUTED_VALUE"""),"NCx")</f>
        <v>NCx</v>
      </c>
      <c r="L1101" s="9" t="str">
        <f>IFERROR(__xludf.DUMMYFUNCTION("""COMPUTED_VALUE"""),"PCx")</f>
        <v>PCx</v>
      </c>
      <c r="M1101" s="9" t="str">
        <f>IFERROR(__xludf.DUMMYFUNCTION("""COMPUTED_VALUE"""),"PoPC")</f>
        <v>PoPC</v>
      </c>
      <c r="N1101" s="9" t="str">
        <f>IFERROR(__xludf.DUMMYFUNCTION("""COMPUTED_VALUE"""),"IPC")</f>
        <v>IPC</v>
      </c>
      <c r="O1101" s="9" t="str">
        <f>IFERROR(__xludf.DUMMYFUNCTION("""COMPUTED_VALUE"""),"A40/39")</f>
        <v>A40/39</v>
      </c>
      <c r="P1101" s="9" t="str">
        <f>IFERROR(__xludf.DUMMYFUNCTION("""COMPUTED_VALUE"""),"A40/39c")</f>
        <v>A40/39c</v>
      </c>
      <c r="Q1101" s="9" t="str">
        <f>IFERROR(__xludf.DUMMYFUNCTION("""COMPUTED_VALUE"""),"A40/39c2")</f>
        <v>A40/39c2</v>
      </c>
      <c r="R1101" s="9"/>
      <c r="S1101" s="42"/>
      <c r="T1101" s="42"/>
      <c r="U1101" s="42"/>
      <c r="V1101" s="42"/>
      <c r="W1101" s="42"/>
      <c r="X1101" s="42"/>
      <c r="Y1101" s="42"/>
      <c r="Z1101" s="42"/>
      <c r="AA1101" s="42"/>
      <c r="AB1101" s="42" t="str">
        <f>IFERROR(__xludf.DUMMYFUNCTION("""COMPUTED_VALUE"""),"allen institute")</f>
        <v>allen institute</v>
      </c>
      <c r="AC1101" s="42" t="str">
        <f>IFERROR(__xludf.DUMMYFUNCTION("""COMPUTED_VALUE"""),"DHBA")</f>
        <v>DHBA</v>
      </c>
      <c r="AD1101" s="42"/>
      <c r="AE1101" s="42"/>
      <c r="AF1101" s="9"/>
      <c r="AG1101" s="9"/>
      <c r="AH1101" s="42"/>
      <c r="AI1101" s="42"/>
      <c r="AJ1101" s="42"/>
      <c r="AK1101" s="42"/>
      <c r="AL1101" s="42"/>
      <c r="AM1101" s="42"/>
      <c r="AN1101" s="42"/>
      <c r="AO1101" s="63" t="str">
        <f>IFERROR(__xludf.DUMMYFUNCTION("IF(ISBLANK(A1101),,IF(ISBLANK(S1101), A1101&amp;"";"", TEXTJOIN(CHAR(10), TRUE, A1101&amp;"";"", ARRAYFORMULA(VLOOKUP(SPLIT(S1101, "";"" &amp; CHAR(10)), $A:$AO, 41, FALSE)))))"),"A40/39c2;")</f>
        <v>A40/39c2;</v>
      </c>
      <c r="AP1101" s="89"/>
    </row>
    <row r="1102">
      <c r="A1102" s="151" t="str">
        <f>IFERROR(__xludf.DUMMYFUNCTION("""COMPUTED_VALUE"""),"A40/39c3")</f>
        <v>A40/39c3</v>
      </c>
      <c r="B1102" s="42" t="str">
        <f>IFERROR(__xludf.DUMMYFUNCTION("""COMPUTED_VALUE"""),"DHBA")</f>
        <v>DHBA</v>
      </c>
      <c r="C1102" s="42" t="str">
        <f>IFERROR(__xludf.DUMMYFUNCTION("""COMPUTED_VALUE"""),"layer III of area 40/39c")</f>
        <v>layer III of area 40/39c</v>
      </c>
      <c r="D1102" s="42">
        <f>IFERROR(__xludf.DUMMYFUNCTION("""COMPUTED_VALUE"""),1045.0)</f>
        <v>1045</v>
      </c>
      <c r="E1102" s="39" t="str">
        <f>IFERROR(__xludf.DUMMYFUNCTION("""COMPUTED_VALUE"""),"layer III of area 40/39c")</f>
        <v>layer III of area 40/39c</v>
      </c>
      <c r="F1102" s="9" t="str">
        <f>IFERROR(__xludf.DUMMYFUNCTION("""COMPUTED_VALUE"""),"Br")</f>
        <v>Br</v>
      </c>
      <c r="G1102" s="9" t="str">
        <f>IFERROR(__xludf.DUMMYFUNCTION("""COMPUTED_VALUE"""),"F")</f>
        <v>F</v>
      </c>
      <c r="H1102" s="9" t="str">
        <f>IFERROR(__xludf.DUMMYFUNCTION("""COMPUTED_VALUE"""),"FGM")</f>
        <v>FGM</v>
      </c>
      <c r="I1102" s="9" t="str">
        <f>IFERROR(__xludf.DUMMYFUNCTION("""COMPUTED_VALUE"""),"Tel")</f>
        <v>Tel</v>
      </c>
      <c r="J1102" s="9" t="str">
        <f>IFERROR(__xludf.DUMMYFUNCTION("""COMPUTED_VALUE"""),"Cx")</f>
        <v>Cx</v>
      </c>
      <c r="K1102" s="9" t="str">
        <f>IFERROR(__xludf.DUMMYFUNCTION("""COMPUTED_VALUE"""),"NCx")</f>
        <v>NCx</v>
      </c>
      <c r="L1102" s="9" t="str">
        <f>IFERROR(__xludf.DUMMYFUNCTION("""COMPUTED_VALUE"""),"PCx")</f>
        <v>PCx</v>
      </c>
      <c r="M1102" s="9" t="str">
        <f>IFERROR(__xludf.DUMMYFUNCTION("""COMPUTED_VALUE"""),"PoPC")</f>
        <v>PoPC</v>
      </c>
      <c r="N1102" s="9" t="str">
        <f>IFERROR(__xludf.DUMMYFUNCTION("""COMPUTED_VALUE"""),"IPC")</f>
        <v>IPC</v>
      </c>
      <c r="O1102" s="9" t="str">
        <f>IFERROR(__xludf.DUMMYFUNCTION("""COMPUTED_VALUE"""),"A40/39")</f>
        <v>A40/39</v>
      </c>
      <c r="P1102" s="9" t="str">
        <f>IFERROR(__xludf.DUMMYFUNCTION("""COMPUTED_VALUE"""),"A40/39c")</f>
        <v>A40/39c</v>
      </c>
      <c r="Q1102" s="9" t="str">
        <f>IFERROR(__xludf.DUMMYFUNCTION("""COMPUTED_VALUE"""),"A40/39c3")</f>
        <v>A40/39c3</v>
      </c>
      <c r="R1102" s="9"/>
      <c r="S1102" s="42"/>
      <c r="T1102" s="42"/>
      <c r="U1102" s="42"/>
      <c r="V1102" s="42"/>
      <c r="W1102" s="42"/>
      <c r="X1102" s="42"/>
      <c r="Y1102" s="42"/>
      <c r="Z1102" s="42"/>
      <c r="AA1102" s="42"/>
      <c r="AB1102" s="42" t="str">
        <f>IFERROR(__xludf.DUMMYFUNCTION("""COMPUTED_VALUE"""),"allen institute")</f>
        <v>allen institute</v>
      </c>
      <c r="AC1102" s="42" t="str">
        <f>IFERROR(__xludf.DUMMYFUNCTION("""COMPUTED_VALUE"""),"DHBA")</f>
        <v>DHBA</v>
      </c>
      <c r="AD1102" s="42"/>
      <c r="AE1102" s="42"/>
      <c r="AF1102" s="9"/>
      <c r="AG1102" s="9"/>
      <c r="AH1102" s="42"/>
      <c r="AI1102" s="42"/>
      <c r="AJ1102" s="42"/>
      <c r="AK1102" s="42"/>
      <c r="AL1102" s="42"/>
      <c r="AM1102" s="42"/>
      <c r="AN1102" s="42"/>
      <c r="AO1102" s="63" t="str">
        <f>IFERROR(__xludf.DUMMYFUNCTION("IF(ISBLANK(A1102),,IF(ISBLANK(S1102), A1102&amp;"";"", TEXTJOIN(CHAR(10), TRUE, A1102&amp;"";"", ARRAYFORMULA(VLOOKUP(SPLIT(S1102, "";"" &amp; CHAR(10)), $A:$AO, 41, FALSE)))))"),"A40/39c3;")</f>
        <v>A40/39c3;</v>
      </c>
      <c r="AP1102" s="89"/>
    </row>
    <row r="1103">
      <c r="A1103" s="151" t="str">
        <f>IFERROR(__xludf.DUMMYFUNCTION("""COMPUTED_VALUE"""),"A40/39c4")</f>
        <v>A40/39c4</v>
      </c>
      <c r="B1103" s="42" t="str">
        <f>IFERROR(__xludf.DUMMYFUNCTION("""COMPUTED_VALUE"""),"DHBA")</f>
        <v>DHBA</v>
      </c>
      <c r="C1103" s="42" t="str">
        <f>IFERROR(__xludf.DUMMYFUNCTION("""COMPUTED_VALUE"""),"layer IV of area 40/39c")</f>
        <v>layer IV of area 40/39c</v>
      </c>
      <c r="D1103" s="42">
        <f>IFERROR(__xludf.DUMMYFUNCTION("""COMPUTED_VALUE"""),1046.0)</f>
        <v>1046</v>
      </c>
      <c r="E1103" s="39" t="str">
        <f>IFERROR(__xludf.DUMMYFUNCTION("""COMPUTED_VALUE"""),"layer IV of area 40/39c")</f>
        <v>layer IV of area 40/39c</v>
      </c>
      <c r="F1103" s="9" t="str">
        <f>IFERROR(__xludf.DUMMYFUNCTION("""COMPUTED_VALUE"""),"Br")</f>
        <v>Br</v>
      </c>
      <c r="G1103" s="9" t="str">
        <f>IFERROR(__xludf.DUMMYFUNCTION("""COMPUTED_VALUE"""),"F")</f>
        <v>F</v>
      </c>
      <c r="H1103" s="9" t="str">
        <f>IFERROR(__xludf.DUMMYFUNCTION("""COMPUTED_VALUE"""),"FGM")</f>
        <v>FGM</v>
      </c>
      <c r="I1103" s="9" t="str">
        <f>IFERROR(__xludf.DUMMYFUNCTION("""COMPUTED_VALUE"""),"Tel")</f>
        <v>Tel</v>
      </c>
      <c r="J1103" s="9" t="str">
        <f>IFERROR(__xludf.DUMMYFUNCTION("""COMPUTED_VALUE"""),"Cx")</f>
        <v>Cx</v>
      </c>
      <c r="K1103" s="9" t="str">
        <f>IFERROR(__xludf.DUMMYFUNCTION("""COMPUTED_VALUE"""),"NCx")</f>
        <v>NCx</v>
      </c>
      <c r="L1103" s="9" t="str">
        <f>IFERROR(__xludf.DUMMYFUNCTION("""COMPUTED_VALUE"""),"PCx")</f>
        <v>PCx</v>
      </c>
      <c r="M1103" s="9" t="str">
        <f>IFERROR(__xludf.DUMMYFUNCTION("""COMPUTED_VALUE"""),"PoPC")</f>
        <v>PoPC</v>
      </c>
      <c r="N1103" s="9" t="str">
        <f>IFERROR(__xludf.DUMMYFUNCTION("""COMPUTED_VALUE"""),"IPC")</f>
        <v>IPC</v>
      </c>
      <c r="O1103" s="9" t="str">
        <f>IFERROR(__xludf.DUMMYFUNCTION("""COMPUTED_VALUE"""),"A40/39")</f>
        <v>A40/39</v>
      </c>
      <c r="P1103" s="9" t="str">
        <f>IFERROR(__xludf.DUMMYFUNCTION("""COMPUTED_VALUE"""),"A40/39c")</f>
        <v>A40/39c</v>
      </c>
      <c r="Q1103" s="9" t="str">
        <f>IFERROR(__xludf.DUMMYFUNCTION("""COMPUTED_VALUE"""),"A40/39c4")</f>
        <v>A40/39c4</v>
      </c>
      <c r="R1103" s="9"/>
      <c r="S1103" s="42"/>
      <c r="T1103" s="42"/>
      <c r="U1103" s="42"/>
      <c r="V1103" s="42"/>
      <c r="W1103" s="42"/>
      <c r="X1103" s="42"/>
      <c r="Y1103" s="42"/>
      <c r="Z1103" s="42"/>
      <c r="AA1103" s="42"/>
      <c r="AB1103" s="42" t="str">
        <f>IFERROR(__xludf.DUMMYFUNCTION("""COMPUTED_VALUE"""),"allen institute")</f>
        <v>allen institute</v>
      </c>
      <c r="AC1103" s="42" t="str">
        <f>IFERROR(__xludf.DUMMYFUNCTION("""COMPUTED_VALUE"""),"DHBA")</f>
        <v>DHBA</v>
      </c>
      <c r="AD1103" s="42"/>
      <c r="AE1103" s="42"/>
      <c r="AF1103" s="9"/>
      <c r="AG1103" s="9"/>
      <c r="AH1103" s="42"/>
      <c r="AI1103" s="42"/>
      <c r="AJ1103" s="42"/>
      <c r="AK1103" s="42"/>
      <c r="AL1103" s="42"/>
      <c r="AM1103" s="42"/>
      <c r="AN1103" s="42"/>
      <c r="AO1103" s="63" t="str">
        <f>IFERROR(__xludf.DUMMYFUNCTION("IF(ISBLANK(A1103),,IF(ISBLANK(S1103), A1103&amp;"";"", TEXTJOIN(CHAR(10), TRUE, A1103&amp;"";"", ARRAYFORMULA(VLOOKUP(SPLIT(S1103, "";"" &amp; CHAR(10)), $A:$AO, 41, FALSE)))))"),"A40/39c4;")</f>
        <v>A40/39c4;</v>
      </c>
      <c r="AP1103" s="89"/>
    </row>
    <row r="1104">
      <c r="A1104" s="151" t="str">
        <f>IFERROR(__xludf.DUMMYFUNCTION("""COMPUTED_VALUE"""),"A40/39c5")</f>
        <v>A40/39c5</v>
      </c>
      <c r="B1104" s="42" t="str">
        <f>IFERROR(__xludf.DUMMYFUNCTION("""COMPUTED_VALUE"""),"DHBA")</f>
        <v>DHBA</v>
      </c>
      <c r="C1104" s="42" t="str">
        <f>IFERROR(__xludf.DUMMYFUNCTION("""COMPUTED_VALUE"""),"layer V of area 40/39c")</f>
        <v>layer V of area 40/39c</v>
      </c>
      <c r="D1104" s="42">
        <f>IFERROR(__xludf.DUMMYFUNCTION("""COMPUTED_VALUE"""),1047.0)</f>
        <v>1047</v>
      </c>
      <c r="E1104" s="39" t="str">
        <f>IFERROR(__xludf.DUMMYFUNCTION("""COMPUTED_VALUE"""),"layer V of area 40/39c")</f>
        <v>layer V of area 40/39c</v>
      </c>
      <c r="F1104" s="9" t="str">
        <f>IFERROR(__xludf.DUMMYFUNCTION("""COMPUTED_VALUE"""),"Br")</f>
        <v>Br</v>
      </c>
      <c r="G1104" s="9" t="str">
        <f>IFERROR(__xludf.DUMMYFUNCTION("""COMPUTED_VALUE"""),"F")</f>
        <v>F</v>
      </c>
      <c r="H1104" s="9" t="str">
        <f>IFERROR(__xludf.DUMMYFUNCTION("""COMPUTED_VALUE"""),"FGM")</f>
        <v>FGM</v>
      </c>
      <c r="I1104" s="9" t="str">
        <f>IFERROR(__xludf.DUMMYFUNCTION("""COMPUTED_VALUE"""),"Tel")</f>
        <v>Tel</v>
      </c>
      <c r="J1104" s="9" t="str">
        <f>IFERROR(__xludf.DUMMYFUNCTION("""COMPUTED_VALUE"""),"Cx")</f>
        <v>Cx</v>
      </c>
      <c r="K1104" s="9" t="str">
        <f>IFERROR(__xludf.DUMMYFUNCTION("""COMPUTED_VALUE"""),"NCx")</f>
        <v>NCx</v>
      </c>
      <c r="L1104" s="9" t="str">
        <f>IFERROR(__xludf.DUMMYFUNCTION("""COMPUTED_VALUE"""),"PCx")</f>
        <v>PCx</v>
      </c>
      <c r="M1104" s="9" t="str">
        <f>IFERROR(__xludf.DUMMYFUNCTION("""COMPUTED_VALUE"""),"PoPC")</f>
        <v>PoPC</v>
      </c>
      <c r="N1104" s="9" t="str">
        <f>IFERROR(__xludf.DUMMYFUNCTION("""COMPUTED_VALUE"""),"IPC")</f>
        <v>IPC</v>
      </c>
      <c r="O1104" s="9" t="str">
        <f>IFERROR(__xludf.DUMMYFUNCTION("""COMPUTED_VALUE"""),"A40/39")</f>
        <v>A40/39</v>
      </c>
      <c r="P1104" s="9" t="str">
        <f>IFERROR(__xludf.DUMMYFUNCTION("""COMPUTED_VALUE"""),"A40/39c")</f>
        <v>A40/39c</v>
      </c>
      <c r="Q1104" s="9" t="str">
        <f>IFERROR(__xludf.DUMMYFUNCTION("""COMPUTED_VALUE"""),"A40/39c5")</f>
        <v>A40/39c5</v>
      </c>
      <c r="R1104" s="9"/>
      <c r="S1104" s="42"/>
      <c r="T1104" s="42"/>
      <c r="U1104" s="42"/>
      <c r="V1104" s="42"/>
      <c r="W1104" s="42"/>
      <c r="X1104" s="42"/>
      <c r="Y1104" s="42"/>
      <c r="Z1104" s="42"/>
      <c r="AA1104" s="42"/>
      <c r="AB1104" s="42" t="str">
        <f>IFERROR(__xludf.DUMMYFUNCTION("""COMPUTED_VALUE"""),"allen institute")</f>
        <v>allen institute</v>
      </c>
      <c r="AC1104" s="42" t="str">
        <f>IFERROR(__xludf.DUMMYFUNCTION("""COMPUTED_VALUE"""),"DHBA")</f>
        <v>DHBA</v>
      </c>
      <c r="AD1104" s="42"/>
      <c r="AE1104" s="42"/>
      <c r="AF1104" s="9"/>
      <c r="AG1104" s="9"/>
      <c r="AH1104" s="42"/>
      <c r="AI1104" s="42"/>
      <c r="AJ1104" s="42"/>
      <c r="AK1104" s="42"/>
      <c r="AL1104" s="42"/>
      <c r="AM1104" s="42"/>
      <c r="AN1104" s="42"/>
      <c r="AO1104" s="63" t="str">
        <f>IFERROR(__xludf.DUMMYFUNCTION("IF(ISBLANK(A1104),,IF(ISBLANK(S1104), A1104&amp;"";"", TEXTJOIN(CHAR(10), TRUE, A1104&amp;"";"", ARRAYFORMULA(VLOOKUP(SPLIT(S1104, "";"" &amp; CHAR(10)), $A:$AO, 41, FALSE)))))"),"A40/39c5;")</f>
        <v>A40/39c5;</v>
      </c>
      <c r="AP1104" s="89"/>
    </row>
    <row r="1105">
      <c r="A1105" s="151" t="str">
        <f>IFERROR(__xludf.DUMMYFUNCTION("""COMPUTED_VALUE"""),"A40/39c6")</f>
        <v>A40/39c6</v>
      </c>
      <c r="B1105" s="42" t="str">
        <f>IFERROR(__xludf.DUMMYFUNCTION("""COMPUTED_VALUE"""),"DHBA")</f>
        <v>DHBA</v>
      </c>
      <c r="C1105" s="42" t="str">
        <f>IFERROR(__xludf.DUMMYFUNCTION("""COMPUTED_VALUE"""),"layer VI of area 40/39c")</f>
        <v>layer VI of area 40/39c</v>
      </c>
      <c r="D1105" s="42">
        <f>IFERROR(__xludf.DUMMYFUNCTION("""COMPUTED_VALUE"""),1048.0)</f>
        <v>1048</v>
      </c>
      <c r="E1105" s="39" t="str">
        <f>IFERROR(__xludf.DUMMYFUNCTION("""COMPUTED_VALUE"""),"layer VI of area 40/39c")</f>
        <v>layer VI of area 40/39c</v>
      </c>
      <c r="F1105" s="9" t="str">
        <f>IFERROR(__xludf.DUMMYFUNCTION("""COMPUTED_VALUE"""),"Br")</f>
        <v>Br</v>
      </c>
      <c r="G1105" s="9" t="str">
        <f>IFERROR(__xludf.DUMMYFUNCTION("""COMPUTED_VALUE"""),"F")</f>
        <v>F</v>
      </c>
      <c r="H1105" s="9" t="str">
        <f>IFERROR(__xludf.DUMMYFUNCTION("""COMPUTED_VALUE"""),"FGM")</f>
        <v>FGM</v>
      </c>
      <c r="I1105" s="9" t="str">
        <f>IFERROR(__xludf.DUMMYFUNCTION("""COMPUTED_VALUE"""),"Tel")</f>
        <v>Tel</v>
      </c>
      <c r="J1105" s="9" t="str">
        <f>IFERROR(__xludf.DUMMYFUNCTION("""COMPUTED_VALUE"""),"Cx")</f>
        <v>Cx</v>
      </c>
      <c r="K1105" s="9" t="str">
        <f>IFERROR(__xludf.DUMMYFUNCTION("""COMPUTED_VALUE"""),"NCx")</f>
        <v>NCx</v>
      </c>
      <c r="L1105" s="9" t="str">
        <f>IFERROR(__xludf.DUMMYFUNCTION("""COMPUTED_VALUE"""),"PCx")</f>
        <v>PCx</v>
      </c>
      <c r="M1105" s="9" t="str">
        <f>IFERROR(__xludf.DUMMYFUNCTION("""COMPUTED_VALUE"""),"PoPC")</f>
        <v>PoPC</v>
      </c>
      <c r="N1105" s="9" t="str">
        <f>IFERROR(__xludf.DUMMYFUNCTION("""COMPUTED_VALUE"""),"IPC")</f>
        <v>IPC</v>
      </c>
      <c r="O1105" s="9" t="str">
        <f>IFERROR(__xludf.DUMMYFUNCTION("""COMPUTED_VALUE"""),"A40/39")</f>
        <v>A40/39</v>
      </c>
      <c r="P1105" s="9" t="str">
        <f>IFERROR(__xludf.DUMMYFUNCTION("""COMPUTED_VALUE"""),"A40/39c")</f>
        <v>A40/39c</v>
      </c>
      <c r="Q1105" s="9" t="str">
        <f>IFERROR(__xludf.DUMMYFUNCTION("""COMPUTED_VALUE"""),"A40/39c6")</f>
        <v>A40/39c6</v>
      </c>
      <c r="R1105" s="9"/>
      <c r="S1105" s="42"/>
      <c r="T1105" s="42"/>
      <c r="U1105" s="42"/>
      <c r="V1105" s="42"/>
      <c r="W1105" s="42"/>
      <c r="X1105" s="42"/>
      <c r="Y1105" s="42"/>
      <c r="Z1105" s="42"/>
      <c r="AA1105" s="42"/>
      <c r="AB1105" s="42" t="str">
        <f>IFERROR(__xludf.DUMMYFUNCTION("""COMPUTED_VALUE"""),"allen institute")</f>
        <v>allen institute</v>
      </c>
      <c r="AC1105" s="42" t="str">
        <f>IFERROR(__xludf.DUMMYFUNCTION("""COMPUTED_VALUE"""),"DHBA")</f>
        <v>DHBA</v>
      </c>
      <c r="AD1105" s="42"/>
      <c r="AE1105" s="42"/>
      <c r="AF1105" s="9"/>
      <c r="AG1105" s="9"/>
      <c r="AH1105" s="42"/>
      <c r="AI1105" s="42"/>
      <c r="AJ1105" s="42"/>
      <c r="AK1105" s="42"/>
      <c r="AL1105" s="42"/>
      <c r="AM1105" s="42"/>
      <c r="AN1105" s="42"/>
      <c r="AO1105" s="63" t="str">
        <f>IFERROR(__xludf.DUMMYFUNCTION("IF(ISBLANK(A1105),,IF(ISBLANK(S1105), A1105&amp;"";"", TEXTJOIN(CHAR(10), TRUE, A1105&amp;"";"", ARRAYFORMULA(VLOOKUP(SPLIT(S1105, "";"" &amp; CHAR(10)), $A:$AO, 41, FALSE)))))"),"A40/39c6;")</f>
        <v>A40/39c6;</v>
      </c>
      <c r="AP1105" s="89"/>
    </row>
    <row r="1106">
      <c r="A1106" s="151" t="str">
        <f>IFERROR(__xludf.DUMMYFUNCTION("""COMPUTED_VALUE"""),"A39")</f>
        <v>A39</v>
      </c>
      <c r="B1106" s="42" t="str">
        <f>IFERROR(__xludf.DUMMYFUNCTION("""COMPUTED_VALUE"""),"DHBA")</f>
        <v>DHBA</v>
      </c>
      <c r="C1106" s="42" t="str">
        <f>IFERROR(__xludf.DUMMYFUNCTION("""COMPUTED_VALUE"""),"caudal division of IPC (area 39)")</f>
        <v>caudal division of IPC (area 39)</v>
      </c>
      <c r="D1106" s="42">
        <f>IFERROR(__xludf.DUMMYFUNCTION("""COMPUTED_VALUE"""),1049.0)</f>
        <v>1049</v>
      </c>
      <c r="E1106" s="39" t="str">
        <f>IFERROR(__xludf.DUMMYFUNCTION("""COMPUTED_VALUE"""),"caudal division of IPC (area 39)")</f>
        <v>caudal division of IPC (area 39)</v>
      </c>
      <c r="F1106" s="9" t="str">
        <f>IFERROR(__xludf.DUMMYFUNCTION("""COMPUTED_VALUE"""),"Br")</f>
        <v>Br</v>
      </c>
      <c r="G1106" s="9" t="str">
        <f>IFERROR(__xludf.DUMMYFUNCTION("""COMPUTED_VALUE"""),"F")</f>
        <v>F</v>
      </c>
      <c r="H1106" s="9" t="str">
        <f>IFERROR(__xludf.DUMMYFUNCTION("""COMPUTED_VALUE"""),"FGM")</f>
        <v>FGM</v>
      </c>
      <c r="I1106" s="9" t="str">
        <f>IFERROR(__xludf.DUMMYFUNCTION("""COMPUTED_VALUE"""),"Tel")</f>
        <v>Tel</v>
      </c>
      <c r="J1106" s="9" t="str">
        <f>IFERROR(__xludf.DUMMYFUNCTION("""COMPUTED_VALUE"""),"Cx")</f>
        <v>Cx</v>
      </c>
      <c r="K1106" s="9" t="str">
        <f>IFERROR(__xludf.DUMMYFUNCTION("""COMPUTED_VALUE"""),"NCx")</f>
        <v>NCx</v>
      </c>
      <c r="L1106" s="9" t="str">
        <f>IFERROR(__xludf.DUMMYFUNCTION("""COMPUTED_VALUE"""),"PCx")</f>
        <v>PCx</v>
      </c>
      <c r="M1106" s="9" t="str">
        <f>IFERROR(__xludf.DUMMYFUNCTION("""COMPUTED_VALUE"""),"PoPC")</f>
        <v>PoPC</v>
      </c>
      <c r="N1106" s="9" t="str">
        <f>IFERROR(__xludf.DUMMYFUNCTION("""COMPUTED_VALUE"""),"IPC")</f>
        <v>IPC</v>
      </c>
      <c r="O1106" s="9" t="str">
        <f>IFERROR(__xludf.DUMMYFUNCTION("""COMPUTED_VALUE"""),"A39")</f>
        <v>A39</v>
      </c>
      <c r="P1106" s="9"/>
      <c r="Q1106" s="9"/>
      <c r="R1106" s="9"/>
      <c r="S1106" s="42" t="str">
        <f>IFERROR(__xludf.DUMMYFUNCTION("""COMPUTED_VALUE"""),"A39r;
A39c")</f>
        <v>A39r;
A39c</v>
      </c>
      <c r="T1106" s="42"/>
      <c r="U1106" s="42" t="b">
        <f>IFERROR(__xludf.DUMMYFUNCTION("""COMPUTED_VALUE"""),FALSE)</f>
        <v>0</v>
      </c>
      <c r="V1106" s="42"/>
      <c r="W1106" s="42"/>
      <c r="X1106" s="42"/>
      <c r="Y1106" s="42"/>
      <c r="Z1106" s="42"/>
      <c r="AA1106" s="42"/>
      <c r="AB1106" s="42" t="str">
        <f>IFERROR(__xludf.DUMMYFUNCTION("""COMPUTED_VALUE"""),"allen institute")</f>
        <v>allen institute</v>
      </c>
      <c r="AC1106" s="42" t="str">
        <f>IFERROR(__xludf.DUMMYFUNCTION("""COMPUTED_VALUE"""),"DHBA")</f>
        <v>DHBA</v>
      </c>
      <c r="AD1106" s="42"/>
      <c r="AE1106" s="42"/>
      <c r="AF1106" s="9"/>
      <c r="AG1106" s="9"/>
      <c r="AH1106" s="42"/>
      <c r="AI1106" s="42"/>
      <c r="AJ1106" s="42"/>
      <c r="AK1106" s="42"/>
      <c r="AL1106" s="42"/>
      <c r="AM1106" s="42"/>
      <c r="AN1106" s="42"/>
      <c r="AO1106" s="63" t="str">
        <f>IFERROR(__xludf.DUMMYFUNCTION("IF(ISBLANK(A1106),,IF(ISBLANK(S1106), A1106&amp;"";"", TEXTJOIN(CHAR(10), TRUE, A1106&amp;"";"", ARRAYFORMULA(VLOOKUP(SPLIT(S1106, "";"" &amp; CHAR(10)), $A:$AO, 41, FALSE)))))"),"A39;
A39r;
A39r1;
A39r2;
A39r3;
A39r4;
A39r5;
A39r6;
A39c;
A39c1;
A39c2;
A39c3;
A39c4;
A39c5;
A39c6;")</f>
        <v>A39;
A39r;
A39r1;
A39r2;
A39r3;
A39r4;
A39r5;
A39r6;
A39c;
A39c1;
A39c2;
A39c3;
A39c4;
A39c5;
A39c6;</v>
      </c>
      <c r="AP1106" s="89"/>
    </row>
    <row r="1107">
      <c r="A1107" s="151" t="str">
        <f>IFERROR(__xludf.DUMMYFUNCTION("""COMPUTED_VALUE"""),"A39r")</f>
        <v>A39r</v>
      </c>
      <c r="B1107" s="42" t="str">
        <f>IFERROR(__xludf.DUMMYFUNCTION("""COMPUTED_VALUE"""),"DHBA")</f>
        <v>DHBA</v>
      </c>
      <c r="C1107" s="42" t="str">
        <f>IFERROR(__xludf.DUMMYFUNCTION("""COMPUTED_VALUE"""),"rostral subdivision of area 39")</f>
        <v>rostral subdivision of area 39</v>
      </c>
      <c r="D1107" s="42">
        <f>IFERROR(__xludf.DUMMYFUNCTION("""COMPUTED_VALUE"""),1050.0)</f>
        <v>1050</v>
      </c>
      <c r="E1107" s="39" t="str">
        <f>IFERROR(__xludf.DUMMYFUNCTION("""COMPUTED_VALUE"""),"rostral subdivision of area 39")</f>
        <v>rostral subdivision of area 39</v>
      </c>
      <c r="F1107" s="9" t="str">
        <f>IFERROR(__xludf.DUMMYFUNCTION("""COMPUTED_VALUE"""),"Br")</f>
        <v>Br</v>
      </c>
      <c r="G1107" s="9" t="str">
        <f>IFERROR(__xludf.DUMMYFUNCTION("""COMPUTED_VALUE"""),"F")</f>
        <v>F</v>
      </c>
      <c r="H1107" s="9" t="str">
        <f>IFERROR(__xludf.DUMMYFUNCTION("""COMPUTED_VALUE"""),"FGM")</f>
        <v>FGM</v>
      </c>
      <c r="I1107" s="9" t="str">
        <f>IFERROR(__xludf.DUMMYFUNCTION("""COMPUTED_VALUE"""),"Tel")</f>
        <v>Tel</v>
      </c>
      <c r="J1107" s="9" t="str">
        <f>IFERROR(__xludf.DUMMYFUNCTION("""COMPUTED_VALUE"""),"Cx")</f>
        <v>Cx</v>
      </c>
      <c r="K1107" s="9" t="str">
        <f>IFERROR(__xludf.DUMMYFUNCTION("""COMPUTED_VALUE"""),"NCx")</f>
        <v>NCx</v>
      </c>
      <c r="L1107" s="9" t="str">
        <f>IFERROR(__xludf.DUMMYFUNCTION("""COMPUTED_VALUE"""),"PCx")</f>
        <v>PCx</v>
      </c>
      <c r="M1107" s="9" t="str">
        <f>IFERROR(__xludf.DUMMYFUNCTION("""COMPUTED_VALUE"""),"PoPC")</f>
        <v>PoPC</v>
      </c>
      <c r="N1107" s="9" t="str">
        <f>IFERROR(__xludf.DUMMYFUNCTION("""COMPUTED_VALUE"""),"IPC")</f>
        <v>IPC</v>
      </c>
      <c r="O1107" s="9" t="str">
        <f>IFERROR(__xludf.DUMMYFUNCTION("""COMPUTED_VALUE"""),"A39")</f>
        <v>A39</v>
      </c>
      <c r="P1107" s="9" t="str">
        <f>IFERROR(__xludf.DUMMYFUNCTION("""COMPUTED_VALUE"""),"A39r")</f>
        <v>A39r</v>
      </c>
      <c r="Q1107" s="9"/>
      <c r="R1107" s="9"/>
      <c r="S1107" s="42" t="str">
        <f>IFERROR(__xludf.DUMMYFUNCTION("""COMPUTED_VALUE"""),"A39r1;
A39r2;
A39r3;
A39r4;
A39r5;
A39r6")</f>
        <v>A39r1;
A39r2;
A39r3;
A39r4;
A39r5;
A39r6</v>
      </c>
      <c r="T1107" s="42"/>
      <c r="U1107" s="42" t="b">
        <f>IFERROR(__xludf.DUMMYFUNCTION("""COMPUTED_VALUE"""),FALSE)</f>
        <v>0</v>
      </c>
      <c r="V1107" s="42"/>
      <c r="W1107" s="42"/>
      <c r="X1107" s="42"/>
      <c r="Y1107" s="42"/>
      <c r="Z1107" s="42"/>
      <c r="AA1107" s="42"/>
      <c r="AB1107" s="42" t="str">
        <f>IFERROR(__xludf.DUMMYFUNCTION("""COMPUTED_VALUE"""),"allen institute")</f>
        <v>allen institute</v>
      </c>
      <c r="AC1107" s="42" t="str">
        <f>IFERROR(__xludf.DUMMYFUNCTION("""COMPUTED_VALUE"""),"DHBA")</f>
        <v>DHBA</v>
      </c>
      <c r="AD1107" s="42"/>
      <c r="AE1107" s="42"/>
      <c r="AF1107" s="9"/>
      <c r="AG1107" s="9"/>
      <c r="AH1107" s="42"/>
      <c r="AI1107" s="42"/>
      <c r="AJ1107" s="42"/>
      <c r="AK1107" s="42"/>
      <c r="AL1107" s="42"/>
      <c r="AM1107" s="42"/>
      <c r="AN1107" s="42"/>
      <c r="AO1107" s="63" t="str">
        <f>IFERROR(__xludf.DUMMYFUNCTION("IF(ISBLANK(A1107),,IF(ISBLANK(S1107), A1107&amp;"";"", TEXTJOIN(CHAR(10), TRUE, A1107&amp;"";"", ARRAYFORMULA(VLOOKUP(SPLIT(S1107, "";"" &amp; CHAR(10)), $A:$AO, 41, FALSE)))))"),"A39r;
A39r1;
A39r2;
A39r3;
A39r4;
A39r5;
A39r6;")</f>
        <v>A39r;
A39r1;
A39r2;
A39r3;
A39r4;
A39r5;
A39r6;</v>
      </c>
      <c r="AP1107" s="89"/>
    </row>
    <row r="1108">
      <c r="A1108" s="151" t="str">
        <f>IFERROR(__xludf.DUMMYFUNCTION("""COMPUTED_VALUE"""),"A39r1")</f>
        <v>A39r1</v>
      </c>
      <c r="B1108" s="42" t="str">
        <f>IFERROR(__xludf.DUMMYFUNCTION("""COMPUTED_VALUE"""),"DHBA")</f>
        <v>DHBA</v>
      </c>
      <c r="C1108" s="42" t="str">
        <f>IFERROR(__xludf.DUMMYFUNCTION("""COMPUTED_VALUE"""),"layer I of area 39r")</f>
        <v>layer I of area 39r</v>
      </c>
      <c r="D1108" s="42">
        <f>IFERROR(__xludf.DUMMYFUNCTION("""COMPUTED_VALUE"""),1051.0)</f>
        <v>1051</v>
      </c>
      <c r="E1108" s="39" t="str">
        <f>IFERROR(__xludf.DUMMYFUNCTION("""COMPUTED_VALUE"""),"layer I of area 39r")</f>
        <v>layer I of area 39r</v>
      </c>
      <c r="F1108" s="9" t="str">
        <f>IFERROR(__xludf.DUMMYFUNCTION("""COMPUTED_VALUE"""),"Br")</f>
        <v>Br</v>
      </c>
      <c r="G1108" s="9" t="str">
        <f>IFERROR(__xludf.DUMMYFUNCTION("""COMPUTED_VALUE"""),"F")</f>
        <v>F</v>
      </c>
      <c r="H1108" s="9" t="str">
        <f>IFERROR(__xludf.DUMMYFUNCTION("""COMPUTED_VALUE"""),"FGM")</f>
        <v>FGM</v>
      </c>
      <c r="I1108" s="9" t="str">
        <f>IFERROR(__xludf.DUMMYFUNCTION("""COMPUTED_VALUE"""),"Tel")</f>
        <v>Tel</v>
      </c>
      <c r="J1108" s="9" t="str">
        <f>IFERROR(__xludf.DUMMYFUNCTION("""COMPUTED_VALUE"""),"Cx")</f>
        <v>Cx</v>
      </c>
      <c r="K1108" s="9" t="str">
        <f>IFERROR(__xludf.DUMMYFUNCTION("""COMPUTED_VALUE"""),"NCx")</f>
        <v>NCx</v>
      </c>
      <c r="L1108" s="9" t="str">
        <f>IFERROR(__xludf.DUMMYFUNCTION("""COMPUTED_VALUE"""),"PCx")</f>
        <v>PCx</v>
      </c>
      <c r="M1108" s="9" t="str">
        <f>IFERROR(__xludf.DUMMYFUNCTION("""COMPUTED_VALUE"""),"PoPC")</f>
        <v>PoPC</v>
      </c>
      <c r="N1108" s="9" t="str">
        <f>IFERROR(__xludf.DUMMYFUNCTION("""COMPUTED_VALUE"""),"IPC")</f>
        <v>IPC</v>
      </c>
      <c r="O1108" s="9" t="str">
        <f>IFERROR(__xludf.DUMMYFUNCTION("""COMPUTED_VALUE"""),"A39")</f>
        <v>A39</v>
      </c>
      <c r="P1108" s="9" t="str">
        <f>IFERROR(__xludf.DUMMYFUNCTION("""COMPUTED_VALUE"""),"A39r")</f>
        <v>A39r</v>
      </c>
      <c r="Q1108" s="9" t="str">
        <f>IFERROR(__xludf.DUMMYFUNCTION("""COMPUTED_VALUE"""),"A39r1")</f>
        <v>A39r1</v>
      </c>
      <c r="R1108" s="9"/>
      <c r="S1108" s="42"/>
      <c r="T1108" s="42"/>
      <c r="U1108" s="42"/>
      <c r="V1108" s="42"/>
      <c r="W1108" s="42"/>
      <c r="X1108" s="42"/>
      <c r="Y1108" s="42"/>
      <c r="Z1108" s="42"/>
      <c r="AA1108" s="42"/>
      <c r="AB1108" s="42" t="str">
        <f>IFERROR(__xludf.DUMMYFUNCTION("""COMPUTED_VALUE"""),"allen institute")</f>
        <v>allen institute</v>
      </c>
      <c r="AC1108" s="42" t="str">
        <f>IFERROR(__xludf.DUMMYFUNCTION("""COMPUTED_VALUE"""),"DHBA")</f>
        <v>DHBA</v>
      </c>
      <c r="AD1108" s="42"/>
      <c r="AE1108" s="42"/>
      <c r="AF1108" s="9"/>
      <c r="AG1108" s="9"/>
      <c r="AH1108" s="42"/>
      <c r="AI1108" s="42"/>
      <c r="AJ1108" s="42"/>
      <c r="AK1108" s="42"/>
      <c r="AL1108" s="42"/>
      <c r="AM1108" s="42"/>
      <c r="AN1108" s="42"/>
      <c r="AO1108" s="63" t="str">
        <f>IFERROR(__xludf.DUMMYFUNCTION("IF(ISBLANK(A1108),,IF(ISBLANK(S1108), A1108&amp;"";"", TEXTJOIN(CHAR(10), TRUE, A1108&amp;"";"", ARRAYFORMULA(VLOOKUP(SPLIT(S1108, "";"" &amp; CHAR(10)), $A:$AO, 41, FALSE)))))"),"A39r1;")</f>
        <v>A39r1;</v>
      </c>
      <c r="AP1108" s="89"/>
    </row>
    <row r="1109">
      <c r="A1109" s="151" t="str">
        <f>IFERROR(__xludf.DUMMYFUNCTION("""COMPUTED_VALUE"""),"A39r2")</f>
        <v>A39r2</v>
      </c>
      <c r="B1109" s="42" t="str">
        <f>IFERROR(__xludf.DUMMYFUNCTION("""COMPUTED_VALUE"""),"DHBA")</f>
        <v>DHBA</v>
      </c>
      <c r="C1109" s="42" t="str">
        <f>IFERROR(__xludf.DUMMYFUNCTION("""COMPUTED_VALUE"""),"layer II of area 39r")</f>
        <v>layer II of area 39r</v>
      </c>
      <c r="D1109" s="42">
        <f>IFERROR(__xludf.DUMMYFUNCTION("""COMPUTED_VALUE"""),1052.0)</f>
        <v>1052</v>
      </c>
      <c r="E1109" s="39" t="str">
        <f>IFERROR(__xludf.DUMMYFUNCTION("""COMPUTED_VALUE"""),"layer II of area 39r")</f>
        <v>layer II of area 39r</v>
      </c>
      <c r="F1109" s="9" t="str">
        <f>IFERROR(__xludf.DUMMYFUNCTION("""COMPUTED_VALUE"""),"Br")</f>
        <v>Br</v>
      </c>
      <c r="G1109" s="9" t="str">
        <f>IFERROR(__xludf.DUMMYFUNCTION("""COMPUTED_VALUE"""),"F")</f>
        <v>F</v>
      </c>
      <c r="H1109" s="9" t="str">
        <f>IFERROR(__xludf.DUMMYFUNCTION("""COMPUTED_VALUE"""),"FGM")</f>
        <v>FGM</v>
      </c>
      <c r="I1109" s="9" t="str">
        <f>IFERROR(__xludf.DUMMYFUNCTION("""COMPUTED_VALUE"""),"Tel")</f>
        <v>Tel</v>
      </c>
      <c r="J1109" s="9" t="str">
        <f>IFERROR(__xludf.DUMMYFUNCTION("""COMPUTED_VALUE"""),"Cx")</f>
        <v>Cx</v>
      </c>
      <c r="K1109" s="9" t="str">
        <f>IFERROR(__xludf.DUMMYFUNCTION("""COMPUTED_VALUE"""),"NCx")</f>
        <v>NCx</v>
      </c>
      <c r="L1109" s="9" t="str">
        <f>IFERROR(__xludf.DUMMYFUNCTION("""COMPUTED_VALUE"""),"PCx")</f>
        <v>PCx</v>
      </c>
      <c r="M1109" s="9" t="str">
        <f>IFERROR(__xludf.DUMMYFUNCTION("""COMPUTED_VALUE"""),"PoPC")</f>
        <v>PoPC</v>
      </c>
      <c r="N1109" s="9" t="str">
        <f>IFERROR(__xludf.DUMMYFUNCTION("""COMPUTED_VALUE"""),"IPC")</f>
        <v>IPC</v>
      </c>
      <c r="O1109" s="9" t="str">
        <f>IFERROR(__xludf.DUMMYFUNCTION("""COMPUTED_VALUE"""),"A39")</f>
        <v>A39</v>
      </c>
      <c r="P1109" s="9" t="str">
        <f>IFERROR(__xludf.DUMMYFUNCTION("""COMPUTED_VALUE"""),"A39r")</f>
        <v>A39r</v>
      </c>
      <c r="Q1109" s="9" t="str">
        <f>IFERROR(__xludf.DUMMYFUNCTION("""COMPUTED_VALUE"""),"A39r2")</f>
        <v>A39r2</v>
      </c>
      <c r="R1109" s="9"/>
      <c r="S1109" s="42"/>
      <c r="T1109" s="42"/>
      <c r="U1109" s="42"/>
      <c r="V1109" s="42"/>
      <c r="W1109" s="42"/>
      <c r="X1109" s="42"/>
      <c r="Y1109" s="42"/>
      <c r="Z1109" s="42"/>
      <c r="AA1109" s="42"/>
      <c r="AB1109" s="42" t="str">
        <f>IFERROR(__xludf.DUMMYFUNCTION("""COMPUTED_VALUE"""),"allen institute")</f>
        <v>allen institute</v>
      </c>
      <c r="AC1109" s="42" t="str">
        <f>IFERROR(__xludf.DUMMYFUNCTION("""COMPUTED_VALUE"""),"DHBA")</f>
        <v>DHBA</v>
      </c>
      <c r="AD1109" s="42"/>
      <c r="AE1109" s="42"/>
      <c r="AF1109" s="9"/>
      <c r="AG1109" s="9"/>
      <c r="AH1109" s="42"/>
      <c r="AI1109" s="42"/>
      <c r="AJ1109" s="42"/>
      <c r="AK1109" s="42"/>
      <c r="AL1109" s="42"/>
      <c r="AM1109" s="42"/>
      <c r="AN1109" s="42"/>
      <c r="AO1109" s="63" t="str">
        <f>IFERROR(__xludf.DUMMYFUNCTION("IF(ISBLANK(A1109),,IF(ISBLANK(S1109), A1109&amp;"";"", TEXTJOIN(CHAR(10), TRUE, A1109&amp;"";"", ARRAYFORMULA(VLOOKUP(SPLIT(S1109, "";"" &amp; CHAR(10)), $A:$AO, 41, FALSE)))))"),"A39r2;")</f>
        <v>A39r2;</v>
      </c>
      <c r="AP1109" s="89"/>
    </row>
    <row r="1110">
      <c r="A1110" s="151" t="str">
        <f>IFERROR(__xludf.DUMMYFUNCTION("""COMPUTED_VALUE"""),"A39r3")</f>
        <v>A39r3</v>
      </c>
      <c r="B1110" s="42" t="str">
        <f>IFERROR(__xludf.DUMMYFUNCTION("""COMPUTED_VALUE"""),"DHBA")</f>
        <v>DHBA</v>
      </c>
      <c r="C1110" s="42" t="str">
        <f>IFERROR(__xludf.DUMMYFUNCTION("""COMPUTED_VALUE"""),"layer III of area 39r")</f>
        <v>layer III of area 39r</v>
      </c>
      <c r="D1110" s="42">
        <f>IFERROR(__xludf.DUMMYFUNCTION("""COMPUTED_VALUE"""),1053.0)</f>
        <v>1053</v>
      </c>
      <c r="E1110" s="39" t="str">
        <f>IFERROR(__xludf.DUMMYFUNCTION("""COMPUTED_VALUE"""),"layer III of area 39r")</f>
        <v>layer III of area 39r</v>
      </c>
      <c r="F1110" s="9" t="str">
        <f>IFERROR(__xludf.DUMMYFUNCTION("""COMPUTED_VALUE"""),"Br")</f>
        <v>Br</v>
      </c>
      <c r="G1110" s="9" t="str">
        <f>IFERROR(__xludf.DUMMYFUNCTION("""COMPUTED_VALUE"""),"F")</f>
        <v>F</v>
      </c>
      <c r="H1110" s="9" t="str">
        <f>IFERROR(__xludf.DUMMYFUNCTION("""COMPUTED_VALUE"""),"FGM")</f>
        <v>FGM</v>
      </c>
      <c r="I1110" s="9" t="str">
        <f>IFERROR(__xludf.DUMMYFUNCTION("""COMPUTED_VALUE"""),"Tel")</f>
        <v>Tel</v>
      </c>
      <c r="J1110" s="9" t="str">
        <f>IFERROR(__xludf.DUMMYFUNCTION("""COMPUTED_VALUE"""),"Cx")</f>
        <v>Cx</v>
      </c>
      <c r="K1110" s="9" t="str">
        <f>IFERROR(__xludf.DUMMYFUNCTION("""COMPUTED_VALUE"""),"NCx")</f>
        <v>NCx</v>
      </c>
      <c r="L1110" s="9" t="str">
        <f>IFERROR(__xludf.DUMMYFUNCTION("""COMPUTED_VALUE"""),"PCx")</f>
        <v>PCx</v>
      </c>
      <c r="M1110" s="9" t="str">
        <f>IFERROR(__xludf.DUMMYFUNCTION("""COMPUTED_VALUE"""),"PoPC")</f>
        <v>PoPC</v>
      </c>
      <c r="N1110" s="9" t="str">
        <f>IFERROR(__xludf.DUMMYFUNCTION("""COMPUTED_VALUE"""),"IPC")</f>
        <v>IPC</v>
      </c>
      <c r="O1110" s="9" t="str">
        <f>IFERROR(__xludf.DUMMYFUNCTION("""COMPUTED_VALUE"""),"A39")</f>
        <v>A39</v>
      </c>
      <c r="P1110" s="9" t="str">
        <f>IFERROR(__xludf.DUMMYFUNCTION("""COMPUTED_VALUE"""),"A39r")</f>
        <v>A39r</v>
      </c>
      <c r="Q1110" s="9" t="str">
        <f>IFERROR(__xludf.DUMMYFUNCTION("""COMPUTED_VALUE"""),"A39r3")</f>
        <v>A39r3</v>
      </c>
      <c r="R1110" s="9"/>
      <c r="S1110" s="42"/>
      <c r="T1110" s="42"/>
      <c r="U1110" s="42"/>
      <c r="V1110" s="42"/>
      <c r="W1110" s="42"/>
      <c r="X1110" s="42"/>
      <c r="Y1110" s="42"/>
      <c r="Z1110" s="42"/>
      <c r="AA1110" s="42"/>
      <c r="AB1110" s="42" t="str">
        <f>IFERROR(__xludf.DUMMYFUNCTION("""COMPUTED_VALUE"""),"allen institute")</f>
        <v>allen institute</v>
      </c>
      <c r="AC1110" s="42" t="str">
        <f>IFERROR(__xludf.DUMMYFUNCTION("""COMPUTED_VALUE"""),"DHBA")</f>
        <v>DHBA</v>
      </c>
      <c r="AD1110" s="42"/>
      <c r="AE1110" s="42"/>
      <c r="AF1110" s="9"/>
      <c r="AG1110" s="9"/>
      <c r="AH1110" s="42"/>
      <c r="AI1110" s="42"/>
      <c r="AJ1110" s="42"/>
      <c r="AK1110" s="42"/>
      <c r="AL1110" s="42"/>
      <c r="AM1110" s="42"/>
      <c r="AN1110" s="42"/>
      <c r="AO1110" s="63" t="str">
        <f>IFERROR(__xludf.DUMMYFUNCTION("IF(ISBLANK(A1110),,IF(ISBLANK(S1110), A1110&amp;"";"", TEXTJOIN(CHAR(10), TRUE, A1110&amp;"";"", ARRAYFORMULA(VLOOKUP(SPLIT(S1110, "";"" &amp; CHAR(10)), $A:$AO, 41, FALSE)))))"),"A39r3;")</f>
        <v>A39r3;</v>
      </c>
      <c r="AP1110" s="89"/>
    </row>
    <row r="1111">
      <c r="A1111" s="151" t="str">
        <f>IFERROR(__xludf.DUMMYFUNCTION("""COMPUTED_VALUE"""),"A39r4")</f>
        <v>A39r4</v>
      </c>
      <c r="B1111" s="42" t="str">
        <f>IFERROR(__xludf.DUMMYFUNCTION("""COMPUTED_VALUE"""),"DHBA")</f>
        <v>DHBA</v>
      </c>
      <c r="C1111" s="42" t="str">
        <f>IFERROR(__xludf.DUMMYFUNCTION("""COMPUTED_VALUE"""),"layer IV of area 39r")</f>
        <v>layer IV of area 39r</v>
      </c>
      <c r="D1111" s="42">
        <f>IFERROR(__xludf.DUMMYFUNCTION("""COMPUTED_VALUE"""),1054.0)</f>
        <v>1054</v>
      </c>
      <c r="E1111" s="39" t="str">
        <f>IFERROR(__xludf.DUMMYFUNCTION("""COMPUTED_VALUE"""),"layer IV of area 39r")</f>
        <v>layer IV of area 39r</v>
      </c>
      <c r="F1111" s="9" t="str">
        <f>IFERROR(__xludf.DUMMYFUNCTION("""COMPUTED_VALUE"""),"Br")</f>
        <v>Br</v>
      </c>
      <c r="G1111" s="9" t="str">
        <f>IFERROR(__xludf.DUMMYFUNCTION("""COMPUTED_VALUE"""),"F")</f>
        <v>F</v>
      </c>
      <c r="H1111" s="9" t="str">
        <f>IFERROR(__xludf.DUMMYFUNCTION("""COMPUTED_VALUE"""),"FGM")</f>
        <v>FGM</v>
      </c>
      <c r="I1111" s="9" t="str">
        <f>IFERROR(__xludf.DUMMYFUNCTION("""COMPUTED_VALUE"""),"Tel")</f>
        <v>Tel</v>
      </c>
      <c r="J1111" s="9" t="str">
        <f>IFERROR(__xludf.DUMMYFUNCTION("""COMPUTED_VALUE"""),"Cx")</f>
        <v>Cx</v>
      </c>
      <c r="K1111" s="9" t="str">
        <f>IFERROR(__xludf.DUMMYFUNCTION("""COMPUTED_VALUE"""),"NCx")</f>
        <v>NCx</v>
      </c>
      <c r="L1111" s="9" t="str">
        <f>IFERROR(__xludf.DUMMYFUNCTION("""COMPUTED_VALUE"""),"PCx")</f>
        <v>PCx</v>
      </c>
      <c r="M1111" s="9" t="str">
        <f>IFERROR(__xludf.DUMMYFUNCTION("""COMPUTED_VALUE"""),"PoPC")</f>
        <v>PoPC</v>
      </c>
      <c r="N1111" s="9" t="str">
        <f>IFERROR(__xludf.DUMMYFUNCTION("""COMPUTED_VALUE"""),"IPC")</f>
        <v>IPC</v>
      </c>
      <c r="O1111" s="9" t="str">
        <f>IFERROR(__xludf.DUMMYFUNCTION("""COMPUTED_VALUE"""),"A39")</f>
        <v>A39</v>
      </c>
      <c r="P1111" s="9" t="str">
        <f>IFERROR(__xludf.DUMMYFUNCTION("""COMPUTED_VALUE"""),"A39r")</f>
        <v>A39r</v>
      </c>
      <c r="Q1111" s="9" t="str">
        <f>IFERROR(__xludf.DUMMYFUNCTION("""COMPUTED_VALUE"""),"A39r4")</f>
        <v>A39r4</v>
      </c>
      <c r="R1111" s="9"/>
      <c r="S1111" s="42"/>
      <c r="T1111" s="42"/>
      <c r="U1111" s="42"/>
      <c r="V1111" s="42"/>
      <c r="W1111" s="42"/>
      <c r="X1111" s="42"/>
      <c r="Y1111" s="42"/>
      <c r="Z1111" s="42"/>
      <c r="AA1111" s="42"/>
      <c r="AB1111" s="42" t="str">
        <f>IFERROR(__xludf.DUMMYFUNCTION("""COMPUTED_VALUE"""),"allen institute")</f>
        <v>allen institute</v>
      </c>
      <c r="AC1111" s="42" t="str">
        <f>IFERROR(__xludf.DUMMYFUNCTION("""COMPUTED_VALUE"""),"DHBA")</f>
        <v>DHBA</v>
      </c>
      <c r="AD1111" s="42"/>
      <c r="AE1111" s="42"/>
      <c r="AF1111" s="9"/>
      <c r="AG1111" s="9"/>
      <c r="AH1111" s="42"/>
      <c r="AI1111" s="42"/>
      <c r="AJ1111" s="42"/>
      <c r="AK1111" s="42"/>
      <c r="AL1111" s="42"/>
      <c r="AM1111" s="42"/>
      <c r="AN1111" s="42"/>
      <c r="AO1111" s="63" t="str">
        <f>IFERROR(__xludf.DUMMYFUNCTION("IF(ISBLANK(A1111),,IF(ISBLANK(S1111), A1111&amp;"";"", TEXTJOIN(CHAR(10), TRUE, A1111&amp;"";"", ARRAYFORMULA(VLOOKUP(SPLIT(S1111, "";"" &amp; CHAR(10)), $A:$AO, 41, FALSE)))))"),"A39r4;")</f>
        <v>A39r4;</v>
      </c>
      <c r="AP1111" s="89"/>
    </row>
    <row r="1112">
      <c r="A1112" s="151" t="str">
        <f>IFERROR(__xludf.DUMMYFUNCTION("""COMPUTED_VALUE"""),"A39r5")</f>
        <v>A39r5</v>
      </c>
      <c r="B1112" s="42" t="str">
        <f>IFERROR(__xludf.DUMMYFUNCTION("""COMPUTED_VALUE"""),"DHBA")</f>
        <v>DHBA</v>
      </c>
      <c r="C1112" s="42" t="str">
        <f>IFERROR(__xludf.DUMMYFUNCTION("""COMPUTED_VALUE"""),"layer V of area 39r")</f>
        <v>layer V of area 39r</v>
      </c>
      <c r="D1112" s="42">
        <f>IFERROR(__xludf.DUMMYFUNCTION("""COMPUTED_VALUE"""),1055.0)</f>
        <v>1055</v>
      </c>
      <c r="E1112" s="39" t="str">
        <f>IFERROR(__xludf.DUMMYFUNCTION("""COMPUTED_VALUE"""),"layer V of area 39r")</f>
        <v>layer V of area 39r</v>
      </c>
      <c r="F1112" s="9" t="str">
        <f>IFERROR(__xludf.DUMMYFUNCTION("""COMPUTED_VALUE"""),"Br")</f>
        <v>Br</v>
      </c>
      <c r="G1112" s="9" t="str">
        <f>IFERROR(__xludf.DUMMYFUNCTION("""COMPUTED_VALUE"""),"F")</f>
        <v>F</v>
      </c>
      <c r="H1112" s="9" t="str">
        <f>IFERROR(__xludf.DUMMYFUNCTION("""COMPUTED_VALUE"""),"FGM")</f>
        <v>FGM</v>
      </c>
      <c r="I1112" s="9" t="str">
        <f>IFERROR(__xludf.DUMMYFUNCTION("""COMPUTED_VALUE"""),"Tel")</f>
        <v>Tel</v>
      </c>
      <c r="J1112" s="9" t="str">
        <f>IFERROR(__xludf.DUMMYFUNCTION("""COMPUTED_VALUE"""),"Cx")</f>
        <v>Cx</v>
      </c>
      <c r="K1112" s="9" t="str">
        <f>IFERROR(__xludf.DUMMYFUNCTION("""COMPUTED_VALUE"""),"NCx")</f>
        <v>NCx</v>
      </c>
      <c r="L1112" s="9" t="str">
        <f>IFERROR(__xludf.DUMMYFUNCTION("""COMPUTED_VALUE"""),"PCx")</f>
        <v>PCx</v>
      </c>
      <c r="M1112" s="9" t="str">
        <f>IFERROR(__xludf.DUMMYFUNCTION("""COMPUTED_VALUE"""),"PoPC")</f>
        <v>PoPC</v>
      </c>
      <c r="N1112" s="9" t="str">
        <f>IFERROR(__xludf.DUMMYFUNCTION("""COMPUTED_VALUE"""),"IPC")</f>
        <v>IPC</v>
      </c>
      <c r="O1112" s="9" t="str">
        <f>IFERROR(__xludf.DUMMYFUNCTION("""COMPUTED_VALUE"""),"A39")</f>
        <v>A39</v>
      </c>
      <c r="P1112" s="9" t="str">
        <f>IFERROR(__xludf.DUMMYFUNCTION("""COMPUTED_VALUE"""),"A39r")</f>
        <v>A39r</v>
      </c>
      <c r="Q1112" s="9" t="str">
        <f>IFERROR(__xludf.DUMMYFUNCTION("""COMPUTED_VALUE"""),"A39r5")</f>
        <v>A39r5</v>
      </c>
      <c r="R1112" s="9"/>
      <c r="S1112" s="42"/>
      <c r="T1112" s="42"/>
      <c r="U1112" s="42"/>
      <c r="V1112" s="42"/>
      <c r="W1112" s="42"/>
      <c r="X1112" s="42"/>
      <c r="Y1112" s="42"/>
      <c r="Z1112" s="42"/>
      <c r="AA1112" s="42"/>
      <c r="AB1112" s="42" t="str">
        <f>IFERROR(__xludf.DUMMYFUNCTION("""COMPUTED_VALUE"""),"allen institute")</f>
        <v>allen institute</v>
      </c>
      <c r="AC1112" s="42" t="str">
        <f>IFERROR(__xludf.DUMMYFUNCTION("""COMPUTED_VALUE"""),"DHBA")</f>
        <v>DHBA</v>
      </c>
      <c r="AD1112" s="42"/>
      <c r="AE1112" s="42"/>
      <c r="AF1112" s="9"/>
      <c r="AG1112" s="9"/>
      <c r="AH1112" s="42"/>
      <c r="AI1112" s="42"/>
      <c r="AJ1112" s="42"/>
      <c r="AK1112" s="42"/>
      <c r="AL1112" s="42"/>
      <c r="AM1112" s="42"/>
      <c r="AN1112" s="42"/>
      <c r="AO1112" s="63" t="str">
        <f>IFERROR(__xludf.DUMMYFUNCTION("IF(ISBLANK(A1112),,IF(ISBLANK(S1112), A1112&amp;"";"", TEXTJOIN(CHAR(10), TRUE, A1112&amp;"";"", ARRAYFORMULA(VLOOKUP(SPLIT(S1112, "";"" &amp; CHAR(10)), $A:$AO, 41, FALSE)))))"),"A39r5;")</f>
        <v>A39r5;</v>
      </c>
      <c r="AP1112" s="89"/>
    </row>
    <row r="1113">
      <c r="A1113" s="151" t="str">
        <f>IFERROR(__xludf.DUMMYFUNCTION("""COMPUTED_VALUE"""),"A39r6")</f>
        <v>A39r6</v>
      </c>
      <c r="B1113" s="42" t="str">
        <f>IFERROR(__xludf.DUMMYFUNCTION("""COMPUTED_VALUE"""),"DHBA")</f>
        <v>DHBA</v>
      </c>
      <c r="C1113" s="42" t="str">
        <f>IFERROR(__xludf.DUMMYFUNCTION("""COMPUTED_VALUE"""),"layer VI of area 39r")</f>
        <v>layer VI of area 39r</v>
      </c>
      <c r="D1113" s="42">
        <f>IFERROR(__xludf.DUMMYFUNCTION("""COMPUTED_VALUE"""),1056.0)</f>
        <v>1056</v>
      </c>
      <c r="E1113" s="39" t="str">
        <f>IFERROR(__xludf.DUMMYFUNCTION("""COMPUTED_VALUE"""),"layer VI of area 39r")</f>
        <v>layer VI of area 39r</v>
      </c>
      <c r="F1113" s="9" t="str">
        <f>IFERROR(__xludf.DUMMYFUNCTION("""COMPUTED_VALUE"""),"Br")</f>
        <v>Br</v>
      </c>
      <c r="G1113" s="9" t="str">
        <f>IFERROR(__xludf.DUMMYFUNCTION("""COMPUTED_VALUE"""),"F")</f>
        <v>F</v>
      </c>
      <c r="H1113" s="9" t="str">
        <f>IFERROR(__xludf.DUMMYFUNCTION("""COMPUTED_VALUE"""),"FGM")</f>
        <v>FGM</v>
      </c>
      <c r="I1113" s="9" t="str">
        <f>IFERROR(__xludf.DUMMYFUNCTION("""COMPUTED_VALUE"""),"Tel")</f>
        <v>Tel</v>
      </c>
      <c r="J1113" s="9" t="str">
        <f>IFERROR(__xludf.DUMMYFUNCTION("""COMPUTED_VALUE"""),"Cx")</f>
        <v>Cx</v>
      </c>
      <c r="K1113" s="9" t="str">
        <f>IFERROR(__xludf.DUMMYFUNCTION("""COMPUTED_VALUE"""),"NCx")</f>
        <v>NCx</v>
      </c>
      <c r="L1113" s="9" t="str">
        <f>IFERROR(__xludf.DUMMYFUNCTION("""COMPUTED_VALUE"""),"PCx")</f>
        <v>PCx</v>
      </c>
      <c r="M1113" s="9" t="str">
        <f>IFERROR(__xludf.DUMMYFUNCTION("""COMPUTED_VALUE"""),"PoPC")</f>
        <v>PoPC</v>
      </c>
      <c r="N1113" s="9" t="str">
        <f>IFERROR(__xludf.DUMMYFUNCTION("""COMPUTED_VALUE"""),"IPC")</f>
        <v>IPC</v>
      </c>
      <c r="O1113" s="9" t="str">
        <f>IFERROR(__xludf.DUMMYFUNCTION("""COMPUTED_VALUE"""),"A39")</f>
        <v>A39</v>
      </c>
      <c r="P1113" s="9" t="str">
        <f>IFERROR(__xludf.DUMMYFUNCTION("""COMPUTED_VALUE"""),"A39r")</f>
        <v>A39r</v>
      </c>
      <c r="Q1113" s="9" t="str">
        <f>IFERROR(__xludf.DUMMYFUNCTION("""COMPUTED_VALUE"""),"A39r6")</f>
        <v>A39r6</v>
      </c>
      <c r="R1113" s="9"/>
      <c r="S1113" s="42"/>
      <c r="T1113" s="42"/>
      <c r="U1113" s="42"/>
      <c r="V1113" s="42"/>
      <c r="W1113" s="42"/>
      <c r="X1113" s="42"/>
      <c r="Y1113" s="42"/>
      <c r="Z1113" s="42"/>
      <c r="AA1113" s="42"/>
      <c r="AB1113" s="42" t="str">
        <f>IFERROR(__xludf.DUMMYFUNCTION("""COMPUTED_VALUE"""),"allen institute")</f>
        <v>allen institute</v>
      </c>
      <c r="AC1113" s="42" t="str">
        <f>IFERROR(__xludf.DUMMYFUNCTION("""COMPUTED_VALUE"""),"DHBA")</f>
        <v>DHBA</v>
      </c>
      <c r="AD1113" s="42"/>
      <c r="AE1113" s="42"/>
      <c r="AF1113" s="9"/>
      <c r="AG1113" s="9"/>
      <c r="AH1113" s="42"/>
      <c r="AI1113" s="42"/>
      <c r="AJ1113" s="42"/>
      <c r="AK1113" s="42"/>
      <c r="AL1113" s="42"/>
      <c r="AM1113" s="42"/>
      <c r="AN1113" s="42"/>
      <c r="AO1113" s="63" t="str">
        <f>IFERROR(__xludf.DUMMYFUNCTION("IF(ISBLANK(A1113),,IF(ISBLANK(S1113), A1113&amp;"";"", TEXTJOIN(CHAR(10), TRUE, A1113&amp;"";"", ARRAYFORMULA(VLOOKUP(SPLIT(S1113, "";"" &amp; CHAR(10)), $A:$AO, 41, FALSE)))))"),"A39r6;")</f>
        <v>A39r6;</v>
      </c>
      <c r="AP1113" s="89"/>
    </row>
    <row r="1114">
      <c r="A1114" s="151" t="str">
        <f>IFERROR(__xludf.DUMMYFUNCTION("""COMPUTED_VALUE"""),"A39c")</f>
        <v>A39c</v>
      </c>
      <c r="B1114" s="42" t="str">
        <f>IFERROR(__xludf.DUMMYFUNCTION("""COMPUTED_VALUE"""),"DHBA")</f>
        <v>DHBA</v>
      </c>
      <c r="C1114" s="42" t="str">
        <f>IFERROR(__xludf.DUMMYFUNCTION("""COMPUTED_VALUE"""),"caudal subdivision of area 39")</f>
        <v>caudal subdivision of area 39</v>
      </c>
      <c r="D1114" s="42">
        <f>IFERROR(__xludf.DUMMYFUNCTION("""COMPUTED_VALUE"""),1057.0)</f>
        <v>1057</v>
      </c>
      <c r="E1114" s="39" t="str">
        <f>IFERROR(__xludf.DUMMYFUNCTION("""COMPUTED_VALUE"""),"caudal subdivision of area 39")</f>
        <v>caudal subdivision of area 39</v>
      </c>
      <c r="F1114" s="9" t="str">
        <f>IFERROR(__xludf.DUMMYFUNCTION("""COMPUTED_VALUE"""),"Br")</f>
        <v>Br</v>
      </c>
      <c r="G1114" s="9" t="str">
        <f>IFERROR(__xludf.DUMMYFUNCTION("""COMPUTED_VALUE"""),"F")</f>
        <v>F</v>
      </c>
      <c r="H1114" s="9" t="str">
        <f>IFERROR(__xludf.DUMMYFUNCTION("""COMPUTED_VALUE"""),"FGM")</f>
        <v>FGM</v>
      </c>
      <c r="I1114" s="9" t="str">
        <f>IFERROR(__xludf.DUMMYFUNCTION("""COMPUTED_VALUE"""),"Tel")</f>
        <v>Tel</v>
      </c>
      <c r="J1114" s="9" t="str">
        <f>IFERROR(__xludf.DUMMYFUNCTION("""COMPUTED_VALUE"""),"Cx")</f>
        <v>Cx</v>
      </c>
      <c r="K1114" s="9" t="str">
        <f>IFERROR(__xludf.DUMMYFUNCTION("""COMPUTED_VALUE"""),"NCx")</f>
        <v>NCx</v>
      </c>
      <c r="L1114" s="9" t="str">
        <f>IFERROR(__xludf.DUMMYFUNCTION("""COMPUTED_VALUE"""),"PCx")</f>
        <v>PCx</v>
      </c>
      <c r="M1114" s="9" t="str">
        <f>IFERROR(__xludf.DUMMYFUNCTION("""COMPUTED_VALUE"""),"PoPC")</f>
        <v>PoPC</v>
      </c>
      <c r="N1114" s="9" t="str">
        <f>IFERROR(__xludf.DUMMYFUNCTION("""COMPUTED_VALUE"""),"IPC")</f>
        <v>IPC</v>
      </c>
      <c r="O1114" s="9" t="str">
        <f>IFERROR(__xludf.DUMMYFUNCTION("""COMPUTED_VALUE"""),"A39")</f>
        <v>A39</v>
      </c>
      <c r="P1114" s="9" t="str">
        <f>IFERROR(__xludf.DUMMYFUNCTION("""COMPUTED_VALUE"""),"A39c")</f>
        <v>A39c</v>
      </c>
      <c r="Q1114" s="9"/>
      <c r="R1114" s="9"/>
      <c r="S1114" s="42" t="str">
        <f>IFERROR(__xludf.DUMMYFUNCTION("""COMPUTED_VALUE"""),"A39c1;
A39c2;
A39c3;
A39c4;
A39c5;
A39c6")</f>
        <v>A39c1;
A39c2;
A39c3;
A39c4;
A39c5;
A39c6</v>
      </c>
      <c r="T1114" s="42"/>
      <c r="U1114" s="42" t="b">
        <f>IFERROR(__xludf.DUMMYFUNCTION("""COMPUTED_VALUE"""),FALSE)</f>
        <v>0</v>
      </c>
      <c r="V1114" s="42"/>
      <c r="W1114" s="42"/>
      <c r="X1114" s="42"/>
      <c r="Y1114" s="42"/>
      <c r="Z1114" s="42"/>
      <c r="AA1114" s="42"/>
      <c r="AB1114" s="42" t="str">
        <f>IFERROR(__xludf.DUMMYFUNCTION("""COMPUTED_VALUE"""),"allen institute")</f>
        <v>allen institute</v>
      </c>
      <c r="AC1114" s="42" t="str">
        <f>IFERROR(__xludf.DUMMYFUNCTION("""COMPUTED_VALUE"""),"DHBA")</f>
        <v>DHBA</v>
      </c>
      <c r="AD1114" s="42"/>
      <c r="AE1114" s="42"/>
      <c r="AF1114" s="9"/>
      <c r="AG1114" s="9"/>
      <c r="AH1114" s="42"/>
      <c r="AI1114" s="42"/>
      <c r="AJ1114" s="42"/>
      <c r="AK1114" s="42"/>
      <c r="AL1114" s="42"/>
      <c r="AM1114" s="42"/>
      <c r="AN1114" s="42"/>
      <c r="AO1114" s="63" t="str">
        <f>IFERROR(__xludf.DUMMYFUNCTION("IF(ISBLANK(A1114),,IF(ISBLANK(S1114), A1114&amp;"";"", TEXTJOIN(CHAR(10), TRUE, A1114&amp;"";"", ARRAYFORMULA(VLOOKUP(SPLIT(S1114, "";"" &amp; CHAR(10)), $A:$AO, 41, FALSE)))))"),"A39c;
A39c1;
A39c2;
A39c3;
A39c4;
A39c5;
A39c6;")</f>
        <v>A39c;
A39c1;
A39c2;
A39c3;
A39c4;
A39c5;
A39c6;</v>
      </c>
      <c r="AP1114" s="89"/>
    </row>
    <row r="1115">
      <c r="A1115" s="151" t="str">
        <f>IFERROR(__xludf.DUMMYFUNCTION("""COMPUTED_VALUE"""),"A39c1")</f>
        <v>A39c1</v>
      </c>
      <c r="B1115" s="42" t="str">
        <f>IFERROR(__xludf.DUMMYFUNCTION("""COMPUTED_VALUE"""),"DHBA")</f>
        <v>DHBA</v>
      </c>
      <c r="C1115" s="42" t="str">
        <f>IFERROR(__xludf.DUMMYFUNCTION("""COMPUTED_VALUE"""),"layer I of area 39c")</f>
        <v>layer I of area 39c</v>
      </c>
      <c r="D1115" s="42">
        <f>IFERROR(__xludf.DUMMYFUNCTION("""COMPUTED_VALUE"""),1058.0)</f>
        <v>1058</v>
      </c>
      <c r="E1115" s="39" t="str">
        <f>IFERROR(__xludf.DUMMYFUNCTION("""COMPUTED_VALUE"""),"layer I of area 39c")</f>
        <v>layer I of area 39c</v>
      </c>
      <c r="F1115" s="9" t="str">
        <f>IFERROR(__xludf.DUMMYFUNCTION("""COMPUTED_VALUE"""),"Br")</f>
        <v>Br</v>
      </c>
      <c r="G1115" s="9" t="str">
        <f>IFERROR(__xludf.DUMMYFUNCTION("""COMPUTED_VALUE"""),"F")</f>
        <v>F</v>
      </c>
      <c r="H1115" s="9" t="str">
        <f>IFERROR(__xludf.DUMMYFUNCTION("""COMPUTED_VALUE"""),"FGM")</f>
        <v>FGM</v>
      </c>
      <c r="I1115" s="9" t="str">
        <f>IFERROR(__xludf.DUMMYFUNCTION("""COMPUTED_VALUE"""),"Tel")</f>
        <v>Tel</v>
      </c>
      <c r="J1115" s="9" t="str">
        <f>IFERROR(__xludf.DUMMYFUNCTION("""COMPUTED_VALUE"""),"Cx")</f>
        <v>Cx</v>
      </c>
      <c r="K1115" s="9" t="str">
        <f>IFERROR(__xludf.DUMMYFUNCTION("""COMPUTED_VALUE"""),"NCx")</f>
        <v>NCx</v>
      </c>
      <c r="L1115" s="9" t="str">
        <f>IFERROR(__xludf.DUMMYFUNCTION("""COMPUTED_VALUE"""),"PCx")</f>
        <v>PCx</v>
      </c>
      <c r="M1115" s="9" t="str">
        <f>IFERROR(__xludf.DUMMYFUNCTION("""COMPUTED_VALUE"""),"PoPC")</f>
        <v>PoPC</v>
      </c>
      <c r="N1115" s="9" t="str">
        <f>IFERROR(__xludf.DUMMYFUNCTION("""COMPUTED_VALUE"""),"IPC")</f>
        <v>IPC</v>
      </c>
      <c r="O1115" s="9" t="str">
        <f>IFERROR(__xludf.DUMMYFUNCTION("""COMPUTED_VALUE"""),"A39")</f>
        <v>A39</v>
      </c>
      <c r="P1115" s="9" t="str">
        <f>IFERROR(__xludf.DUMMYFUNCTION("""COMPUTED_VALUE"""),"A39c")</f>
        <v>A39c</v>
      </c>
      <c r="Q1115" s="9" t="str">
        <f>IFERROR(__xludf.DUMMYFUNCTION("""COMPUTED_VALUE"""),"A39c1")</f>
        <v>A39c1</v>
      </c>
      <c r="R1115" s="9"/>
      <c r="S1115" s="42"/>
      <c r="T1115" s="42"/>
      <c r="U1115" s="42"/>
      <c r="V1115" s="42"/>
      <c r="W1115" s="42"/>
      <c r="X1115" s="42"/>
      <c r="Y1115" s="42"/>
      <c r="Z1115" s="42"/>
      <c r="AA1115" s="42"/>
      <c r="AB1115" s="42" t="str">
        <f>IFERROR(__xludf.DUMMYFUNCTION("""COMPUTED_VALUE"""),"allen institute")</f>
        <v>allen institute</v>
      </c>
      <c r="AC1115" s="42" t="str">
        <f>IFERROR(__xludf.DUMMYFUNCTION("""COMPUTED_VALUE"""),"DHBA")</f>
        <v>DHBA</v>
      </c>
      <c r="AD1115" s="42"/>
      <c r="AE1115" s="42"/>
      <c r="AF1115" s="9"/>
      <c r="AG1115" s="9"/>
      <c r="AH1115" s="42"/>
      <c r="AI1115" s="42"/>
      <c r="AJ1115" s="42"/>
      <c r="AK1115" s="42"/>
      <c r="AL1115" s="42"/>
      <c r="AM1115" s="42"/>
      <c r="AN1115" s="42"/>
      <c r="AO1115" s="63" t="str">
        <f>IFERROR(__xludf.DUMMYFUNCTION("IF(ISBLANK(A1115),,IF(ISBLANK(S1115), A1115&amp;"";"", TEXTJOIN(CHAR(10), TRUE, A1115&amp;"";"", ARRAYFORMULA(VLOOKUP(SPLIT(S1115, "";"" &amp; CHAR(10)), $A:$AO, 41, FALSE)))))"),"A39c1;")</f>
        <v>A39c1;</v>
      </c>
      <c r="AP1115" s="89"/>
    </row>
    <row r="1116">
      <c r="A1116" s="151" t="str">
        <f>IFERROR(__xludf.DUMMYFUNCTION("""COMPUTED_VALUE"""),"A39c2")</f>
        <v>A39c2</v>
      </c>
      <c r="B1116" s="42" t="str">
        <f>IFERROR(__xludf.DUMMYFUNCTION("""COMPUTED_VALUE"""),"DHBA")</f>
        <v>DHBA</v>
      </c>
      <c r="C1116" s="42" t="str">
        <f>IFERROR(__xludf.DUMMYFUNCTION("""COMPUTED_VALUE"""),"layer II of area 39c")</f>
        <v>layer II of area 39c</v>
      </c>
      <c r="D1116" s="42">
        <f>IFERROR(__xludf.DUMMYFUNCTION("""COMPUTED_VALUE"""),1059.0)</f>
        <v>1059</v>
      </c>
      <c r="E1116" s="39" t="str">
        <f>IFERROR(__xludf.DUMMYFUNCTION("""COMPUTED_VALUE"""),"layer II of area 39c")</f>
        <v>layer II of area 39c</v>
      </c>
      <c r="F1116" s="9" t="str">
        <f>IFERROR(__xludf.DUMMYFUNCTION("""COMPUTED_VALUE"""),"Br")</f>
        <v>Br</v>
      </c>
      <c r="G1116" s="9" t="str">
        <f>IFERROR(__xludf.DUMMYFUNCTION("""COMPUTED_VALUE"""),"F")</f>
        <v>F</v>
      </c>
      <c r="H1116" s="9" t="str">
        <f>IFERROR(__xludf.DUMMYFUNCTION("""COMPUTED_VALUE"""),"FGM")</f>
        <v>FGM</v>
      </c>
      <c r="I1116" s="9" t="str">
        <f>IFERROR(__xludf.DUMMYFUNCTION("""COMPUTED_VALUE"""),"Tel")</f>
        <v>Tel</v>
      </c>
      <c r="J1116" s="9" t="str">
        <f>IFERROR(__xludf.DUMMYFUNCTION("""COMPUTED_VALUE"""),"Cx")</f>
        <v>Cx</v>
      </c>
      <c r="K1116" s="9" t="str">
        <f>IFERROR(__xludf.DUMMYFUNCTION("""COMPUTED_VALUE"""),"NCx")</f>
        <v>NCx</v>
      </c>
      <c r="L1116" s="9" t="str">
        <f>IFERROR(__xludf.DUMMYFUNCTION("""COMPUTED_VALUE"""),"PCx")</f>
        <v>PCx</v>
      </c>
      <c r="M1116" s="9" t="str">
        <f>IFERROR(__xludf.DUMMYFUNCTION("""COMPUTED_VALUE"""),"PoPC")</f>
        <v>PoPC</v>
      </c>
      <c r="N1116" s="9" t="str">
        <f>IFERROR(__xludf.DUMMYFUNCTION("""COMPUTED_VALUE"""),"IPC")</f>
        <v>IPC</v>
      </c>
      <c r="O1116" s="9" t="str">
        <f>IFERROR(__xludf.DUMMYFUNCTION("""COMPUTED_VALUE"""),"A39")</f>
        <v>A39</v>
      </c>
      <c r="P1116" s="9" t="str">
        <f>IFERROR(__xludf.DUMMYFUNCTION("""COMPUTED_VALUE"""),"A39c")</f>
        <v>A39c</v>
      </c>
      <c r="Q1116" s="9" t="str">
        <f>IFERROR(__xludf.DUMMYFUNCTION("""COMPUTED_VALUE"""),"A39c2")</f>
        <v>A39c2</v>
      </c>
      <c r="R1116" s="9"/>
      <c r="S1116" s="42"/>
      <c r="T1116" s="42"/>
      <c r="U1116" s="42"/>
      <c r="V1116" s="42"/>
      <c r="W1116" s="42"/>
      <c r="X1116" s="42"/>
      <c r="Y1116" s="42"/>
      <c r="Z1116" s="42"/>
      <c r="AA1116" s="42"/>
      <c r="AB1116" s="42" t="str">
        <f>IFERROR(__xludf.DUMMYFUNCTION("""COMPUTED_VALUE"""),"allen institute")</f>
        <v>allen institute</v>
      </c>
      <c r="AC1116" s="42" t="str">
        <f>IFERROR(__xludf.DUMMYFUNCTION("""COMPUTED_VALUE"""),"DHBA")</f>
        <v>DHBA</v>
      </c>
      <c r="AD1116" s="42"/>
      <c r="AE1116" s="42"/>
      <c r="AF1116" s="9"/>
      <c r="AG1116" s="9"/>
      <c r="AH1116" s="42"/>
      <c r="AI1116" s="42"/>
      <c r="AJ1116" s="42"/>
      <c r="AK1116" s="42"/>
      <c r="AL1116" s="42"/>
      <c r="AM1116" s="42"/>
      <c r="AN1116" s="42"/>
      <c r="AO1116" s="63" t="str">
        <f>IFERROR(__xludf.DUMMYFUNCTION("IF(ISBLANK(A1116),,IF(ISBLANK(S1116), A1116&amp;"";"", TEXTJOIN(CHAR(10), TRUE, A1116&amp;"";"", ARRAYFORMULA(VLOOKUP(SPLIT(S1116, "";"" &amp; CHAR(10)), $A:$AO, 41, FALSE)))))"),"A39c2;")</f>
        <v>A39c2;</v>
      </c>
      <c r="AP1116" s="89"/>
    </row>
    <row r="1117">
      <c r="A1117" s="151" t="str">
        <f>IFERROR(__xludf.DUMMYFUNCTION("""COMPUTED_VALUE"""),"A39c3")</f>
        <v>A39c3</v>
      </c>
      <c r="B1117" s="42" t="str">
        <f>IFERROR(__xludf.DUMMYFUNCTION("""COMPUTED_VALUE"""),"DHBA")</f>
        <v>DHBA</v>
      </c>
      <c r="C1117" s="42" t="str">
        <f>IFERROR(__xludf.DUMMYFUNCTION("""COMPUTED_VALUE"""),"layer III of area 39c")</f>
        <v>layer III of area 39c</v>
      </c>
      <c r="D1117" s="42">
        <f>IFERROR(__xludf.DUMMYFUNCTION("""COMPUTED_VALUE"""),1060.0)</f>
        <v>1060</v>
      </c>
      <c r="E1117" s="39" t="str">
        <f>IFERROR(__xludf.DUMMYFUNCTION("""COMPUTED_VALUE"""),"layer III of area 39c")</f>
        <v>layer III of area 39c</v>
      </c>
      <c r="F1117" s="9" t="str">
        <f>IFERROR(__xludf.DUMMYFUNCTION("""COMPUTED_VALUE"""),"Br")</f>
        <v>Br</v>
      </c>
      <c r="G1117" s="9" t="str">
        <f>IFERROR(__xludf.DUMMYFUNCTION("""COMPUTED_VALUE"""),"F")</f>
        <v>F</v>
      </c>
      <c r="H1117" s="9" t="str">
        <f>IFERROR(__xludf.DUMMYFUNCTION("""COMPUTED_VALUE"""),"FGM")</f>
        <v>FGM</v>
      </c>
      <c r="I1117" s="9" t="str">
        <f>IFERROR(__xludf.DUMMYFUNCTION("""COMPUTED_VALUE"""),"Tel")</f>
        <v>Tel</v>
      </c>
      <c r="J1117" s="9" t="str">
        <f>IFERROR(__xludf.DUMMYFUNCTION("""COMPUTED_VALUE"""),"Cx")</f>
        <v>Cx</v>
      </c>
      <c r="K1117" s="9" t="str">
        <f>IFERROR(__xludf.DUMMYFUNCTION("""COMPUTED_VALUE"""),"NCx")</f>
        <v>NCx</v>
      </c>
      <c r="L1117" s="9" t="str">
        <f>IFERROR(__xludf.DUMMYFUNCTION("""COMPUTED_VALUE"""),"PCx")</f>
        <v>PCx</v>
      </c>
      <c r="M1117" s="9" t="str">
        <f>IFERROR(__xludf.DUMMYFUNCTION("""COMPUTED_VALUE"""),"PoPC")</f>
        <v>PoPC</v>
      </c>
      <c r="N1117" s="9" t="str">
        <f>IFERROR(__xludf.DUMMYFUNCTION("""COMPUTED_VALUE"""),"IPC")</f>
        <v>IPC</v>
      </c>
      <c r="O1117" s="9" t="str">
        <f>IFERROR(__xludf.DUMMYFUNCTION("""COMPUTED_VALUE"""),"A39")</f>
        <v>A39</v>
      </c>
      <c r="P1117" s="9" t="str">
        <f>IFERROR(__xludf.DUMMYFUNCTION("""COMPUTED_VALUE"""),"A39c")</f>
        <v>A39c</v>
      </c>
      <c r="Q1117" s="9" t="str">
        <f>IFERROR(__xludf.DUMMYFUNCTION("""COMPUTED_VALUE"""),"A39c3")</f>
        <v>A39c3</v>
      </c>
      <c r="R1117" s="9"/>
      <c r="S1117" s="42"/>
      <c r="T1117" s="42"/>
      <c r="U1117" s="42"/>
      <c r="V1117" s="42"/>
      <c r="W1117" s="42"/>
      <c r="X1117" s="42"/>
      <c r="Y1117" s="42"/>
      <c r="Z1117" s="42"/>
      <c r="AA1117" s="42"/>
      <c r="AB1117" s="42" t="str">
        <f>IFERROR(__xludf.DUMMYFUNCTION("""COMPUTED_VALUE"""),"allen institute")</f>
        <v>allen institute</v>
      </c>
      <c r="AC1117" s="42" t="str">
        <f>IFERROR(__xludf.DUMMYFUNCTION("""COMPUTED_VALUE"""),"DHBA")</f>
        <v>DHBA</v>
      </c>
      <c r="AD1117" s="42"/>
      <c r="AE1117" s="42"/>
      <c r="AF1117" s="9"/>
      <c r="AG1117" s="9"/>
      <c r="AH1117" s="42"/>
      <c r="AI1117" s="42"/>
      <c r="AJ1117" s="42"/>
      <c r="AK1117" s="42"/>
      <c r="AL1117" s="42"/>
      <c r="AM1117" s="42"/>
      <c r="AN1117" s="42"/>
      <c r="AO1117" s="63" t="str">
        <f>IFERROR(__xludf.DUMMYFUNCTION("IF(ISBLANK(A1117),,IF(ISBLANK(S1117), A1117&amp;"";"", TEXTJOIN(CHAR(10), TRUE, A1117&amp;"";"", ARRAYFORMULA(VLOOKUP(SPLIT(S1117, "";"" &amp; CHAR(10)), $A:$AO, 41, FALSE)))))"),"A39c3;")</f>
        <v>A39c3;</v>
      </c>
      <c r="AP1117" s="89"/>
    </row>
    <row r="1118">
      <c r="A1118" s="151" t="str">
        <f>IFERROR(__xludf.DUMMYFUNCTION("""COMPUTED_VALUE"""),"A39c4")</f>
        <v>A39c4</v>
      </c>
      <c r="B1118" s="42" t="str">
        <f>IFERROR(__xludf.DUMMYFUNCTION("""COMPUTED_VALUE"""),"DHBA")</f>
        <v>DHBA</v>
      </c>
      <c r="C1118" s="42" t="str">
        <f>IFERROR(__xludf.DUMMYFUNCTION("""COMPUTED_VALUE"""),"layer IV of area 39c")</f>
        <v>layer IV of area 39c</v>
      </c>
      <c r="D1118" s="42">
        <f>IFERROR(__xludf.DUMMYFUNCTION("""COMPUTED_VALUE"""),1061.0)</f>
        <v>1061</v>
      </c>
      <c r="E1118" s="39" t="str">
        <f>IFERROR(__xludf.DUMMYFUNCTION("""COMPUTED_VALUE"""),"layer IV of area 39c")</f>
        <v>layer IV of area 39c</v>
      </c>
      <c r="F1118" s="9" t="str">
        <f>IFERROR(__xludf.DUMMYFUNCTION("""COMPUTED_VALUE"""),"Br")</f>
        <v>Br</v>
      </c>
      <c r="G1118" s="9" t="str">
        <f>IFERROR(__xludf.DUMMYFUNCTION("""COMPUTED_VALUE"""),"F")</f>
        <v>F</v>
      </c>
      <c r="H1118" s="9" t="str">
        <f>IFERROR(__xludf.DUMMYFUNCTION("""COMPUTED_VALUE"""),"FGM")</f>
        <v>FGM</v>
      </c>
      <c r="I1118" s="9" t="str">
        <f>IFERROR(__xludf.DUMMYFUNCTION("""COMPUTED_VALUE"""),"Tel")</f>
        <v>Tel</v>
      </c>
      <c r="J1118" s="9" t="str">
        <f>IFERROR(__xludf.DUMMYFUNCTION("""COMPUTED_VALUE"""),"Cx")</f>
        <v>Cx</v>
      </c>
      <c r="K1118" s="9" t="str">
        <f>IFERROR(__xludf.DUMMYFUNCTION("""COMPUTED_VALUE"""),"NCx")</f>
        <v>NCx</v>
      </c>
      <c r="L1118" s="9" t="str">
        <f>IFERROR(__xludf.DUMMYFUNCTION("""COMPUTED_VALUE"""),"PCx")</f>
        <v>PCx</v>
      </c>
      <c r="M1118" s="9" t="str">
        <f>IFERROR(__xludf.DUMMYFUNCTION("""COMPUTED_VALUE"""),"PoPC")</f>
        <v>PoPC</v>
      </c>
      <c r="N1118" s="9" t="str">
        <f>IFERROR(__xludf.DUMMYFUNCTION("""COMPUTED_VALUE"""),"IPC")</f>
        <v>IPC</v>
      </c>
      <c r="O1118" s="9" t="str">
        <f>IFERROR(__xludf.DUMMYFUNCTION("""COMPUTED_VALUE"""),"A39")</f>
        <v>A39</v>
      </c>
      <c r="P1118" s="9" t="str">
        <f>IFERROR(__xludf.DUMMYFUNCTION("""COMPUTED_VALUE"""),"A39c")</f>
        <v>A39c</v>
      </c>
      <c r="Q1118" s="9" t="str">
        <f>IFERROR(__xludf.DUMMYFUNCTION("""COMPUTED_VALUE"""),"A39c4")</f>
        <v>A39c4</v>
      </c>
      <c r="R1118" s="9"/>
      <c r="S1118" s="42"/>
      <c r="T1118" s="42"/>
      <c r="U1118" s="42"/>
      <c r="V1118" s="42"/>
      <c r="W1118" s="42"/>
      <c r="X1118" s="42"/>
      <c r="Y1118" s="42"/>
      <c r="Z1118" s="42"/>
      <c r="AA1118" s="42"/>
      <c r="AB1118" s="42" t="str">
        <f>IFERROR(__xludf.DUMMYFUNCTION("""COMPUTED_VALUE"""),"allen institute")</f>
        <v>allen institute</v>
      </c>
      <c r="AC1118" s="42" t="str">
        <f>IFERROR(__xludf.DUMMYFUNCTION("""COMPUTED_VALUE"""),"DHBA")</f>
        <v>DHBA</v>
      </c>
      <c r="AD1118" s="42"/>
      <c r="AE1118" s="42"/>
      <c r="AF1118" s="9"/>
      <c r="AG1118" s="9"/>
      <c r="AH1118" s="42"/>
      <c r="AI1118" s="42"/>
      <c r="AJ1118" s="42"/>
      <c r="AK1118" s="42"/>
      <c r="AL1118" s="42"/>
      <c r="AM1118" s="42"/>
      <c r="AN1118" s="42"/>
      <c r="AO1118" s="63" t="str">
        <f>IFERROR(__xludf.DUMMYFUNCTION("IF(ISBLANK(A1118),,IF(ISBLANK(S1118), A1118&amp;"";"", TEXTJOIN(CHAR(10), TRUE, A1118&amp;"";"", ARRAYFORMULA(VLOOKUP(SPLIT(S1118, "";"" &amp; CHAR(10)), $A:$AO, 41, FALSE)))))"),"A39c4;")</f>
        <v>A39c4;</v>
      </c>
      <c r="AP1118" s="89"/>
    </row>
    <row r="1119">
      <c r="A1119" s="151" t="str">
        <f>IFERROR(__xludf.DUMMYFUNCTION("""COMPUTED_VALUE"""),"A39c5")</f>
        <v>A39c5</v>
      </c>
      <c r="B1119" s="42" t="str">
        <f>IFERROR(__xludf.DUMMYFUNCTION("""COMPUTED_VALUE"""),"DHBA")</f>
        <v>DHBA</v>
      </c>
      <c r="C1119" s="42" t="str">
        <f>IFERROR(__xludf.DUMMYFUNCTION("""COMPUTED_VALUE"""),"layer V of area 39c")</f>
        <v>layer V of area 39c</v>
      </c>
      <c r="D1119" s="42">
        <f>IFERROR(__xludf.DUMMYFUNCTION("""COMPUTED_VALUE"""),1062.0)</f>
        <v>1062</v>
      </c>
      <c r="E1119" s="39" t="str">
        <f>IFERROR(__xludf.DUMMYFUNCTION("""COMPUTED_VALUE"""),"layer V of area 39c")</f>
        <v>layer V of area 39c</v>
      </c>
      <c r="F1119" s="9" t="str">
        <f>IFERROR(__xludf.DUMMYFUNCTION("""COMPUTED_VALUE"""),"Br")</f>
        <v>Br</v>
      </c>
      <c r="G1119" s="9" t="str">
        <f>IFERROR(__xludf.DUMMYFUNCTION("""COMPUTED_VALUE"""),"F")</f>
        <v>F</v>
      </c>
      <c r="H1119" s="9" t="str">
        <f>IFERROR(__xludf.DUMMYFUNCTION("""COMPUTED_VALUE"""),"FGM")</f>
        <v>FGM</v>
      </c>
      <c r="I1119" s="9" t="str">
        <f>IFERROR(__xludf.DUMMYFUNCTION("""COMPUTED_VALUE"""),"Tel")</f>
        <v>Tel</v>
      </c>
      <c r="J1119" s="9" t="str">
        <f>IFERROR(__xludf.DUMMYFUNCTION("""COMPUTED_VALUE"""),"Cx")</f>
        <v>Cx</v>
      </c>
      <c r="K1119" s="9" t="str">
        <f>IFERROR(__xludf.DUMMYFUNCTION("""COMPUTED_VALUE"""),"NCx")</f>
        <v>NCx</v>
      </c>
      <c r="L1119" s="9" t="str">
        <f>IFERROR(__xludf.DUMMYFUNCTION("""COMPUTED_VALUE"""),"PCx")</f>
        <v>PCx</v>
      </c>
      <c r="M1119" s="9" t="str">
        <f>IFERROR(__xludf.DUMMYFUNCTION("""COMPUTED_VALUE"""),"PoPC")</f>
        <v>PoPC</v>
      </c>
      <c r="N1119" s="9" t="str">
        <f>IFERROR(__xludf.DUMMYFUNCTION("""COMPUTED_VALUE"""),"IPC")</f>
        <v>IPC</v>
      </c>
      <c r="O1119" s="9" t="str">
        <f>IFERROR(__xludf.DUMMYFUNCTION("""COMPUTED_VALUE"""),"A39")</f>
        <v>A39</v>
      </c>
      <c r="P1119" s="9" t="str">
        <f>IFERROR(__xludf.DUMMYFUNCTION("""COMPUTED_VALUE"""),"A39c")</f>
        <v>A39c</v>
      </c>
      <c r="Q1119" s="9" t="str">
        <f>IFERROR(__xludf.DUMMYFUNCTION("""COMPUTED_VALUE"""),"A39c5")</f>
        <v>A39c5</v>
      </c>
      <c r="R1119" s="9"/>
      <c r="S1119" s="42"/>
      <c r="T1119" s="42"/>
      <c r="U1119" s="42"/>
      <c r="V1119" s="42"/>
      <c r="W1119" s="42"/>
      <c r="X1119" s="42"/>
      <c r="Y1119" s="42"/>
      <c r="Z1119" s="42"/>
      <c r="AA1119" s="42"/>
      <c r="AB1119" s="42" t="str">
        <f>IFERROR(__xludf.DUMMYFUNCTION("""COMPUTED_VALUE"""),"allen institute")</f>
        <v>allen institute</v>
      </c>
      <c r="AC1119" s="42" t="str">
        <f>IFERROR(__xludf.DUMMYFUNCTION("""COMPUTED_VALUE"""),"DHBA")</f>
        <v>DHBA</v>
      </c>
      <c r="AD1119" s="42"/>
      <c r="AE1119" s="42"/>
      <c r="AF1119" s="9"/>
      <c r="AG1119" s="9"/>
      <c r="AH1119" s="42"/>
      <c r="AI1119" s="42"/>
      <c r="AJ1119" s="42"/>
      <c r="AK1119" s="42"/>
      <c r="AL1119" s="42"/>
      <c r="AM1119" s="42"/>
      <c r="AN1119" s="42"/>
      <c r="AO1119" s="63" t="str">
        <f>IFERROR(__xludf.DUMMYFUNCTION("IF(ISBLANK(A1119),,IF(ISBLANK(S1119), A1119&amp;"";"", TEXTJOIN(CHAR(10), TRUE, A1119&amp;"";"", ARRAYFORMULA(VLOOKUP(SPLIT(S1119, "";"" &amp; CHAR(10)), $A:$AO, 41, FALSE)))))"),"A39c5;")</f>
        <v>A39c5;</v>
      </c>
      <c r="AP1119" s="89"/>
    </row>
    <row r="1120">
      <c r="A1120" s="151" t="str">
        <f>IFERROR(__xludf.DUMMYFUNCTION("""COMPUTED_VALUE"""),"A39c6")</f>
        <v>A39c6</v>
      </c>
      <c r="B1120" s="42" t="str">
        <f>IFERROR(__xludf.DUMMYFUNCTION("""COMPUTED_VALUE"""),"DHBA")</f>
        <v>DHBA</v>
      </c>
      <c r="C1120" s="42" t="str">
        <f>IFERROR(__xludf.DUMMYFUNCTION("""COMPUTED_VALUE"""),"layer VI of area 39c")</f>
        <v>layer VI of area 39c</v>
      </c>
      <c r="D1120" s="42">
        <f>IFERROR(__xludf.DUMMYFUNCTION("""COMPUTED_VALUE"""),1063.0)</f>
        <v>1063</v>
      </c>
      <c r="E1120" s="39" t="str">
        <f>IFERROR(__xludf.DUMMYFUNCTION("""COMPUTED_VALUE"""),"layer VI of area 39c")</f>
        <v>layer VI of area 39c</v>
      </c>
      <c r="F1120" s="9" t="str">
        <f>IFERROR(__xludf.DUMMYFUNCTION("""COMPUTED_VALUE"""),"Br")</f>
        <v>Br</v>
      </c>
      <c r="G1120" s="9" t="str">
        <f>IFERROR(__xludf.DUMMYFUNCTION("""COMPUTED_VALUE"""),"F")</f>
        <v>F</v>
      </c>
      <c r="H1120" s="9" t="str">
        <f>IFERROR(__xludf.DUMMYFUNCTION("""COMPUTED_VALUE"""),"FGM")</f>
        <v>FGM</v>
      </c>
      <c r="I1120" s="9" t="str">
        <f>IFERROR(__xludf.DUMMYFUNCTION("""COMPUTED_VALUE"""),"Tel")</f>
        <v>Tel</v>
      </c>
      <c r="J1120" s="9" t="str">
        <f>IFERROR(__xludf.DUMMYFUNCTION("""COMPUTED_VALUE"""),"Cx")</f>
        <v>Cx</v>
      </c>
      <c r="K1120" s="9" t="str">
        <f>IFERROR(__xludf.DUMMYFUNCTION("""COMPUTED_VALUE"""),"NCx")</f>
        <v>NCx</v>
      </c>
      <c r="L1120" s="9" t="str">
        <f>IFERROR(__xludf.DUMMYFUNCTION("""COMPUTED_VALUE"""),"PCx")</f>
        <v>PCx</v>
      </c>
      <c r="M1120" s="9" t="str">
        <f>IFERROR(__xludf.DUMMYFUNCTION("""COMPUTED_VALUE"""),"PoPC")</f>
        <v>PoPC</v>
      </c>
      <c r="N1120" s="9" t="str">
        <f>IFERROR(__xludf.DUMMYFUNCTION("""COMPUTED_VALUE"""),"IPC")</f>
        <v>IPC</v>
      </c>
      <c r="O1120" s="9" t="str">
        <f>IFERROR(__xludf.DUMMYFUNCTION("""COMPUTED_VALUE"""),"A39")</f>
        <v>A39</v>
      </c>
      <c r="P1120" s="9" t="str">
        <f>IFERROR(__xludf.DUMMYFUNCTION("""COMPUTED_VALUE"""),"A39c")</f>
        <v>A39c</v>
      </c>
      <c r="Q1120" s="9" t="str">
        <f>IFERROR(__xludf.DUMMYFUNCTION("""COMPUTED_VALUE"""),"A39c6")</f>
        <v>A39c6</v>
      </c>
      <c r="R1120" s="9"/>
      <c r="S1120" s="42"/>
      <c r="T1120" s="42"/>
      <c r="U1120" s="159"/>
      <c r="V1120" s="42"/>
      <c r="W1120" s="42"/>
      <c r="X1120" s="42"/>
      <c r="Y1120" s="42"/>
      <c r="Z1120" s="42"/>
      <c r="AA1120" s="42"/>
      <c r="AB1120" s="42" t="str">
        <f>IFERROR(__xludf.DUMMYFUNCTION("""COMPUTED_VALUE"""),"allen institute")</f>
        <v>allen institute</v>
      </c>
      <c r="AC1120" s="42" t="str">
        <f>IFERROR(__xludf.DUMMYFUNCTION("""COMPUTED_VALUE"""),"DHBA")</f>
        <v>DHBA</v>
      </c>
      <c r="AD1120" s="42"/>
      <c r="AE1120" s="42"/>
      <c r="AF1120" s="9"/>
      <c r="AG1120" s="9"/>
      <c r="AH1120" s="42"/>
      <c r="AI1120" s="42"/>
      <c r="AJ1120" s="42"/>
      <c r="AK1120" s="42"/>
      <c r="AL1120" s="42"/>
      <c r="AM1120" s="42"/>
      <c r="AN1120" s="42"/>
      <c r="AO1120" s="63" t="str">
        <f>IFERROR(__xludf.DUMMYFUNCTION("IF(ISBLANK(A1120),,IF(ISBLANK(S1120), A1120&amp;"";"", TEXTJOIN(CHAR(10), TRUE, A1120&amp;"";"", ARRAYFORMULA(VLOOKUP(SPLIT(S1120, "";"" &amp; CHAR(10)), $A:$AO, 41, FALSE)))))"),"A39c6;")</f>
        <v>A39c6;</v>
      </c>
      <c r="AP1120" s="89"/>
    </row>
    <row r="1121">
      <c r="A1121" s="151" t="str">
        <f>IFERROR(__xludf.DUMMYFUNCTION("""COMPUTED_VALUE"""),"RI")</f>
        <v>RI</v>
      </c>
      <c r="B1121" s="42" t="str">
        <f>IFERROR(__xludf.DUMMYFUNCTION("""COMPUTED_VALUE"""),"DHBA")</f>
        <v>DHBA</v>
      </c>
      <c r="C1121" s="42" t="str">
        <f>IFERROR(__xludf.DUMMYFUNCTION("""COMPUTED_VALUE"""),"retroinsular cortex")</f>
        <v>retroinsular cortex</v>
      </c>
      <c r="D1121" s="42">
        <f>IFERROR(__xludf.DUMMYFUNCTION("""COMPUTED_VALUE"""),1064.0)</f>
        <v>1064</v>
      </c>
      <c r="E1121" s="39" t="str">
        <f>IFERROR(__xludf.DUMMYFUNCTION("""COMPUTED_VALUE"""),"retroinsular cortex")</f>
        <v>retroinsular cortex</v>
      </c>
      <c r="F1121" s="9" t="str">
        <f>IFERROR(__xludf.DUMMYFUNCTION("""COMPUTED_VALUE"""),"Br")</f>
        <v>Br</v>
      </c>
      <c r="G1121" s="9" t="str">
        <f>IFERROR(__xludf.DUMMYFUNCTION("""COMPUTED_VALUE"""),"F")</f>
        <v>F</v>
      </c>
      <c r="H1121" s="9" t="str">
        <f>IFERROR(__xludf.DUMMYFUNCTION("""COMPUTED_VALUE"""),"FGM")</f>
        <v>FGM</v>
      </c>
      <c r="I1121" s="9" t="str">
        <f>IFERROR(__xludf.DUMMYFUNCTION("""COMPUTED_VALUE"""),"Tel")</f>
        <v>Tel</v>
      </c>
      <c r="J1121" s="9" t="str">
        <f>IFERROR(__xludf.DUMMYFUNCTION("""COMPUTED_VALUE"""),"Cx")</f>
        <v>Cx</v>
      </c>
      <c r="K1121" s="9" t="str">
        <f>IFERROR(__xludf.DUMMYFUNCTION("""COMPUTED_VALUE"""),"NCx")</f>
        <v>NCx</v>
      </c>
      <c r="L1121" s="9" t="str">
        <f>IFERROR(__xludf.DUMMYFUNCTION("""COMPUTED_VALUE"""),"PCx")</f>
        <v>PCx</v>
      </c>
      <c r="M1121" s="9" t="str">
        <f>IFERROR(__xludf.DUMMYFUNCTION("""COMPUTED_VALUE"""),"PoPC")</f>
        <v>PoPC</v>
      </c>
      <c r="N1121" s="9" t="str">
        <f>IFERROR(__xludf.DUMMYFUNCTION("""COMPUTED_VALUE"""),"IPC")</f>
        <v>IPC</v>
      </c>
      <c r="O1121" s="9" t="str">
        <f>IFERROR(__xludf.DUMMYFUNCTION("""COMPUTED_VALUE"""),"RI")</f>
        <v>RI</v>
      </c>
      <c r="P1121" s="9"/>
      <c r="Q1121" s="9"/>
      <c r="R1121" s="9"/>
      <c r="S1121" s="42"/>
      <c r="T1121" s="42"/>
      <c r="U1121" s="159"/>
      <c r="V1121" s="42"/>
      <c r="W1121" s="42"/>
      <c r="X1121" s="42"/>
      <c r="Y1121" s="42"/>
      <c r="Z1121" s="42"/>
      <c r="AA1121" s="42"/>
      <c r="AB1121" s="42" t="str">
        <f>IFERROR(__xludf.DUMMYFUNCTION("""COMPUTED_VALUE"""),"allen institute")</f>
        <v>allen institute</v>
      </c>
      <c r="AC1121" s="42" t="str">
        <f>IFERROR(__xludf.DUMMYFUNCTION("""COMPUTED_VALUE"""),"DHBA")</f>
        <v>DHBA</v>
      </c>
      <c r="AD1121" s="42"/>
      <c r="AE1121" s="42"/>
      <c r="AF1121" s="9"/>
      <c r="AG1121" s="9"/>
      <c r="AH1121" s="42"/>
      <c r="AI1121" s="42"/>
      <c r="AJ1121" s="42"/>
      <c r="AK1121" s="42"/>
      <c r="AL1121" s="42"/>
      <c r="AM1121" s="42"/>
      <c r="AN1121" s="42"/>
      <c r="AO1121" s="63" t="str">
        <f>IFERROR(__xludf.DUMMYFUNCTION("IF(ISBLANK(A1121),,IF(ISBLANK(S1121), A1121&amp;"";"", TEXTJOIN(CHAR(10), TRUE, A1121&amp;"";"", ARRAYFORMULA(VLOOKUP(SPLIT(S1121, "";"" &amp; CHAR(10)), $A:$AO, 41, FALSE)))))"),"RI;")</f>
        <v>RI;</v>
      </c>
      <c r="AP1121" s="89"/>
    </row>
    <row r="1122">
      <c r="A1122" s="151" t="str">
        <f>IFERROR(__xludf.DUMMYFUNCTION("""COMPUTED_VALUE"""),"TCx")</f>
        <v>TCx</v>
      </c>
      <c r="B1122" s="42" t="str">
        <f>IFERROR(__xludf.DUMMYFUNCTION("""COMPUTED_VALUE"""),"DHBA")</f>
        <v>DHBA</v>
      </c>
      <c r="C1122" s="42" t="str">
        <f>IFERROR(__xludf.DUMMYFUNCTION("""COMPUTED_VALUE"""),"Temporal neocortex")</f>
        <v>Temporal neocortex</v>
      </c>
      <c r="D1122" s="42">
        <f>IFERROR(__xludf.DUMMYFUNCTION("""COMPUTED_VALUE"""),1065.0)</f>
        <v>1065</v>
      </c>
      <c r="E1122" s="39" t="str">
        <f>IFERROR(__xludf.DUMMYFUNCTION("""COMPUTED_VALUE"""),"temporal neocortex")</f>
        <v>temporal neocortex</v>
      </c>
      <c r="F1122" s="9" t="str">
        <f>IFERROR(__xludf.DUMMYFUNCTION("""COMPUTED_VALUE"""),"Br")</f>
        <v>Br</v>
      </c>
      <c r="G1122" s="9" t="str">
        <f>IFERROR(__xludf.DUMMYFUNCTION("""COMPUTED_VALUE"""),"F")</f>
        <v>F</v>
      </c>
      <c r="H1122" s="9" t="str">
        <f>IFERROR(__xludf.DUMMYFUNCTION("""COMPUTED_VALUE"""),"FGM")</f>
        <v>FGM</v>
      </c>
      <c r="I1122" s="9" t="str">
        <f>IFERROR(__xludf.DUMMYFUNCTION("""COMPUTED_VALUE"""),"Tel")</f>
        <v>Tel</v>
      </c>
      <c r="J1122" s="9" t="str">
        <f>IFERROR(__xludf.DUMMYFUNCTION("""COMPUTED_VALUE"""),"Cx")</f>
        <v>Cx</v>
      </c>
      <c r="K1122" s="9" t="str">
        <f>IFERROR(__xludf.DUMMYFUNCTION("""COMPUTED_VALUE"""),"NCx")</f>
        <v>NCx</v>
      </c>
      <c r="L1122" s="9" t="str">
        <f>IFERROR(__xludf.DUMMYFUNCTION("""COMPUTED_VALUE"""),"TCx")</f>
        <v>TCx</v>
      </c>
      <c r="M1122" s="9"/>
      <c r="N1122" s="9"/>
      <c r="O1122" s="9"/>
      <c r="P1122" s="9"/>
      <c r="Q1122" s="9"/>
      <c r="R1122" s="9"/>
      <c r="S1122" s="42" t="str">
        <f>IFERROR(__xludf.DUMMYFUNCTION("""COMPUTED_VALUE"""),"DLTC;
VLTC;
PPHC;
TFO;
A37;
A38;
V5_MT;
LO")</f>
        <v>DLTC;
VLTC;
PPHC;
TFO;
A37;
A38;
V5_MT;
LO</v>
      </c>
      <c r="T1122" s="42"/>
      <c r="U1122" s="159" t="b">
        <f>IFERROR(__xludf.DUMMYFUNCTION("""COMPUTED_VALUE"""),FALSE)</f>
        <v>0</v>
      </c>
      <c r="V1122" s="42"/>
      <c r="W1122" s="42"/>
      <c r="X1122" s="42"/>
      <c r="Y1122" s="42"/>
      <c r="Z1122" s="42"/>
      <c r="AA1122" s="42"/>
      <c r="AB1122" s="42" t="str">
        <f>IFERROR(__xludf.DUMMYFUNCTION("""COMPUTED_VALUE"""),"allen institute")</f>
        <v>allen institute</v>
      </c>
      <c r="AC1122" s="42" t="str">
        <f>IFERROR(__xludf.DUMMYFUNCTION("""COMPUTED_VALUE"""),"DHBA")</f>
        <v>DHBA</v>
      </c>
      <c r="AD1122" s="42"/>
      <c r="AE1122" s="42"/>
      <c r="AF1122" s="9"/>
      <c r="AG1122" s="9"/>
      <c r="AH1122" s="42"/>
      <c r="AI1122" s="42"/>
      <c r="AJ1122" s="42"/>
      <c r="AK1122" s="42"/>
      <c r="AL1122" s="42"/>
      <c r="AM1122" s="42"/>
      <c r="AN1122" s="42"/>
      <c r="AO1122" s="63" t="str">
        <f>IFERROR(__xludf.DUMMYFUNCTION("IF(ISBLANK(A1122),,IF(ISBLANK(S1122), A1122&amp;"";"", TEXTJOIN(CHAR(10), TRUE, A1122&amp;"";"", ARRAYFORMULA(VLOOKUP(SPLIT(S1122, "";"" &amp; CHAR(10)), $A:$AO, 41, FALSE)))))"),"#N/A")</f>
        <v>#N/A</v>
      </c>
      <c r="AP1122" s="89"/>
    </row>
    <row r="1123">
      <c r="A1123" s="151" t="str">
        <f>IFERROR(__xludf.DUMMYFUNCTION("""COMPUTED_VALUE"""),"DLTC")</f>
        <v>DLTC</v>
      </c>
      <c r="B1123" s="42" t="str">
        <f>IFERROR(__xludf.DUMMYFUNCTION("""COMPUTED_VALUE"""),"DHBA")</f>
        <v>DHBA</v>
      </c>
      <c r="C1123" s="42" t="str">
        <f>IFERROR(__xludf.DUMMYFUNCTION("""COMPUTED_VALUE"""),"dorsolateral temporal neocortex")</f>
        <v>dorsolateral temporal neocortex</v>
      </c>
      <c r="D1123" s="42">
        <f>IFERROR(__xludf.DUMMYFUNCTION("""COMPUTED_VALUE"""),1066.0)</f>
        <v>1066</v>
      </c>
      <c r="E1123" s="39" t="str">
        <f>IFERROR(__xludf.DUMMYFUNCTION("""COMPUTED_VALUE"""),"dorsolateral temporal neocortex")</f>
        <v>dorsolateral temporal neocortex</v>
      </c>
      <c r="F1123" s="9" t="str">
        <f>IFERROR(__xludf.DUMMYFUNCTION("""COMPUTED_VALUE"""),"Br")</f>
        <v>Br</v>
      </c>
      <c r="G1123" s="9" t="str">
        <f>IFERROR(__xludf.DUMMYFUNCTION("""COMPUTED_VALUE"""),"F")</f>
        <v>F</v>
      </c>
      <c r="H1123" s="9" t="str">
        <f>IFERROR(__xludf.DUMMYFUNCTION("""COMPUTED_VALUE"""),"FGM")</f>
        <v>FGM</v>
      </c>
      <c r="I1123" s="9" t="str">
        <f>IFERROR(__xludf.DUMMYFUNCTION("""COMPUTED_VALUE"""),"Tel")</f>
        <v>Tel</v>
      </c>
      <c r="J1123" s="9" t="str">
        <f>IFERROR(__xludf.DUMMYFUNCTION("""COMPUTED_VALUE"""),"Cx")</f>
        <v>Cx</v>
      </c>
      <c r="K1123" s="9" t="str">
        <f>IFERROR(__xludf.DUMMYFUNCTION("""COMPUTED_VALUE"""),"NCx")</f>
        <v>NCx</v>
      </c>
      <c r="L1123" s="9" t="str">
        <f>IFERROR(__xludf.DUMMYFUNCTION("""COMPUTED_VALUE"""),"TCx")</f>
        <v>TCx</v>
      </c>
      <c r="M1123" s="9" t="str">
        <f>IFERROR(__xludf.DUMMYFUNCTION("""COMPUTED_VALUE"""),"DLTC")</f>
        <v>DLTC</v>
      </c>
      <c r="N1123" s="9"/>
      <c r="O1123" s="9"/>
      <c r="P1123" s="9"/>
      <c r="Q1123" s="9"/>
      <c r="R1123" s="9"/>
      <c r="S1123" s="42" t="str">
        <f>IFERROR(__xludf.DUMMYFUNCTION("""COMPUTED_VALUE"""),"A1C;
A42;
SLTC;
PSTC;
PI")</f>
        <v>A1C;
A42;
SLTC;
PSTC;
PI</v>
      </c>
      <c r="T1123" s="42"/>
      <c r="U1123" s="42" t="b">
        <f>IFERROR(__xludf.DUMMYFUNCTION("""COMPUTED_VALUE"""),FALSE)</f>
        <v>0</v>
      </c>
      <c r="V1123" s="42"/>
      <c r="W1123" s="42"/>
      <c r="X1123" s="42"/>
      <c r="Y1123" s="42"/>
      <c r="Z1123" s="42"/>
      <c r="AA1123" s="42"/>
      <c r="AB1123" s="42" t="str">
        <f>IFERROR(__xludf.DUMMYFUNCTION("""COMPUTED_VALUE"""),"allen institute")</f>
        <v>allen institute</v>
      </c>
      <c r="AC1123" s="42" t="str">
        <f>IFERROR(__xludf.DUMMYFUNCTION("""COMPUTED_VALUE"""),"DHBA")</f>
        <v>DHBA</v>
      </c>
      <c r="AD1123" s="42"/>
      <c r="AE1123" s="42"/>
      <c r="AF1123" s="9"/>
      <c r="AG1123" s="9"/>
      <c r="AH1123" s="42"/>
      <c r="AI1123" s="42"/>
      <c r="AJ1123" s="42"/>
      <c r="AK1123" s="42"/>
      <c r="AL1123" s="42"/>
      <c r="AM1123" s="42"/>
      <c r="AN1123" s="42"/>
      <c r="AO1123" s="63" t="str">
        <f>IFERROR(__xludf.DUMMYFUNCTION("IF(ISBLANK(A1123),,IF(ISBLANK(S1123), A1123&amp;"";"", TEXTJOIN(CHAR(10), TRUE, A1123&amp;"";"", ARRAYFORMULA(VLOOKUP(SPLIT(S1123, "";"" &amp; CHAR(10)), $A:$AO, 41, FALSE)))))"),"#N/A")</f>
        <v>#N/A</v>
      </c>
      <c r="AP1123" s="89"/>
    </row>
    <row r="1124">
      <c r="A1124" s="151" t="str">
        <f>IFERROR(__xludf.DUMMYFUNCTION("""COMPUTED_VALUE"""),"AuA1")</f>
        <v>AuA1</v>
      </c>
      <c r="B1124" s="42" t="str">
        <f>IFERROR(__xludf.DUMMYFUNCTION("""COMPUTED_VALUE"""),"[Paxinos, 2012]")</f>
        <v>[Paxinos, 2012]</v>
      </c>
      <c r="C1124" s="42" t="str">
        <f>IFERROR(__xludf.DUMMYFUNCTION("""COMPUTED_VALUE"""),"Caudal core field")</f>
        <v>Caudal core field</v>
      </c>
      <c r="D1124" s="42">
        <f>IFERROR(__xludf.DUMMYFUNCTION("""COMPUTED_VALUE"""),1066.1)</f>
        <v>1066.1</v>
      </c>
      <c r="E1124" s="39" t="str">
        <f>IFERROR(__xludf.DUMMYFUNCTION("""COMPUTED_VALUE"""),"")</f>
        <v/>
      </c>
      <c r="F1124" s="9" t="str">
        <f>IFERROR(__xludf.DUMMYFUNCTION("""COMPUTED_VALUE"""),"")</f>
        <v/>
      </c>
      <c r="G1124" s="9" t="str">
        <f>IFERROR(__xludf.DUMMYFUNCTION("""COMPUTED_VALUE"""),"")</f>
        <v/>
      </c>
      <c r="H1124" s="9" t="str">
        <f>IFERROR(__xludf.DUMMYFUNCTION("""COMPUTED_VALUE"""),"")</f>
        <v/>
      </c>
      <c r="I1124" s="9" t="str">
        <f>IFERROR(__xludf.DUMMYFUNCTION("""COMPUTED_VALUE"""),"")</f>
        <v/>
      </c>
      <c r="J1124" s="9" t="str">
        <f>IFERROR(__xludf.DUMMYFUNCTION("""COMPUTED_VALUE"""),"")</f>
        <v/>
      </c>
      <c r="K1124" s="9" t="str">
        <f>IFERROR(__xludf.DUMMYFUNCTION("""COMPUTED_VALUE"""),"")</f>
        <v/>
      </c>
      <c r="L1124" s="9" t="str">
        <f>IFERROR(__xludf.DUMMYFUNCTION("""COMPUTED_VALUE"""),"")</f>
        <v/>
      </c>
      <c r="M1124" s="9" t="str">
        <f>IFERROR(__xludf.DUMMYFUNCTION("""COMPUTED_VALUE"""),"")</f>
        <v/>
      </c>
      <c r="N1124" s="9" t="str">
        <f>IFERROR(__xludf.DUMMYFUNCTION("""COMPUTED_VALUE"""),"")</f>
        <v/>
      </c>
      <c r="O1124" s="9" t="str">
        <f>IFERROR(__xludf.DUMMYFUNCTION("""COMPUTED_VALUE"""),"")</f>
        <v/>
      </c>
      <c r="P1124" s="9" t="str">
        <f>IFERROR(__xludf.DUMMYFUNCTION("""COMPUTED_VALUE"""),"")</f>
        <v/>
      </c>
      <c r="Q1124" s="9" t="str">
        <f>IFERROR(__xludf.DUMMYFUNCTION("""COMPUTED_VALUE"""),"")</f>
        <v/>
      </c>
      <c r="R1124" s="9" t="str">
        <f>IFERROR(__xludf.DUMMYFUNCTION("""COMPUTED_VALUE"""),"")</f>
        <v/>
      </c>
      <c r="S1124" s="42"/>
      <c r="T1124" s="42" t="str">
        <f>IFERROR(__xludf.DUMMYFUNCTION("""COMPUTED_VALUE"""),"NCx")</f>
        <v>NCx</v>
      </c>
      <c r="U1124" s="42" t="b">
        <f>IFERROR(__xludf.DUMMYFUNCTION("""COMPUTED_VALUE"""),FALSE)</f>
        <v>0</v>
      </c>
      <c r="V1124" s="42"/>
      <c r="W1124" s="42"/>
      <c r="X1124" s="42"/>
      <c r="Y1124" s="42" t="str">
        <f>IFERROR(__xludf.DUMMYFUNCTION("""COMPUTED_VALUE"""),"Early studies demonstrated a role of rostral auditory fields in the comprehension of speech and for caudal fields in the processing of the spatial location of sounds and auditory sensory guidance of speech production [Jasmin, 2019]")</f>
        <v>Early studies demonstrated a role of rostral auditory fields in the comprehension of speech and for caudal fields in the processing of the spatial location of sounds and auditory sensory guidance of speech production [Jasmin, 2019]</v>
      </c>
      <c r="Z1124" s="42"/>
      <c r="AA1124" s="42"/>
      <c r="AB1124" s="42" t="str">
        <f>IFERROR(__xludf.DUMMYFUNCTION("""COMPUTED_VALUE"""),"Hiroshi Yamakawa")</f>
        <v>Hiroshi Yamakawa</v>
      </c>
      <c r="AC1124" s="42" t="str">
        <f>IFERROR(__xludf.DUMMYFUNCTION("""COMPUTED_VALUE"""),"HY22DAA")</f>
        <v>HY22DAA</v>
      </c>
      <c r="AD1124" s="42"/>
      <c r="AE1124" s="42"/>
      <c r="AF1124" s="9"/>
      <c r="AG1124" s="9"/>
      <c r="AH1124" s="42"/>
      <c r="AI1124" s="42"/>
      <c r="AJ1124" s="42"/>
      <c r="AK1124" s="42"/>
      <c r="AL1124" s="42"/>
      <c r="AM1124" s="42"/>
      <c r="AN1124" s="42"/>
      <c r="AO1124" s="63" t="str">
        <f>IFERROR(__xludf.DUMMYFUNCTION("IF(ISBLANK(A1124),,IF(ISBLANK(S1124), A1124&amp;"";"", TEXTJOIN(CHAR(10), TRUE, A1124&amp;"";"", ARRAYFORMULA(VLOOKUP(SPLIT(S1124, "";"" &amp; CHAR(10)), $A:$AO, 41, FALSE)))))"),"AuA1;")</f>
        <v>AuA1;</v>
      </c>
      <c r="AP1124" s="89"/>
    </row>
    <row r="1125">
      <c r="A1125" s="151" t="str">
        <f>IFERROR(__xludf.DUMMYFUNCTION("""COMPUTED_VALUE"""),"AuAL")</f>
        <v>AuAL</v>
      </c>
      <c r="B1125" s="42" t="str">
        <f>IFERROR(__xludf.DUMMYFUNCTION("""COMPUTED_VALUE"""),"[Paxinos, 2012]")</f>
        <v>[Paxinos, 2012]</v>
      </c>
      <c r="C1125" s="42" t="str">
        <f>IFERROR(__xludf.DUMMYFUNCTION("""COMPUTED_VALUE"""),"anterolateral belt")</f>
        <v>anterolateral belt</v>
      </c>
      <c r="D1125" s="42">
        <f>IFERROR(__xludf.DUMMYFUNCTION("""COMPUTED_VALUE"""),1066.1)</f>
        <v>1066.1</v>
      </c>
      <c r="E1125" s="39" t="str">
        <f>IFERROR(__xludf.DUMMYFUNCTION("""COMPUTED_VALUE"""),"")</f>
        <v/>
      </c>
      <c r="F1125" s="9" t="str">
        <f>IFERROR(__xludf.DUMMYFUNCTION("""COMPUTED_VALUE"""),"")</f>
        <v/>
      </c>
      <c r="G1125" s="9" t="str">
        <f>IFERROR(__xludf.DUMMYFUNCTION("""COMPUTED_VALUE"""),"")</f>
        <v/>
      </c>
      <c r="H1125" s="9" t="str">
        <f>IFERROR(__xludf.DUMMYFUNCTION("""COMPUTED_VALUE"""),"")</f>
        <v/>
      </c>
      <c r="I1125" s="9" t="str">
        <f>IFERROR(__xludf.DUMMYFUNCTION("""COMPUTED_VALUE"""),"")</f>
        <v/>
      </c>
      <c r="J1125" s="9" t="str">
        <f>IFERROR(__xludf.DUMMYFUNCTION("""COMPUTED_VALUE"""),"")</f>
        <v/>
      </c>
      <c r="K1125" s="9" t="str">
        <f>IFERROR(__xludf.DUMMYFUNCTION("""COMPUTED_VALUE"""),"")</f>
        <v/>
      </c>
      <c r="L1125" s="9" t="str">
        <f>IFERROR(__xludf.DUMMYFUNCTION("""COMPUTED_VALUE"""),"")</f>
        <v/>
      </c>
      <c r="M1125" s="9" t="str">
        <f>IFERROR(__xludf.DUMMYFUNCTION("""COMPUTED_VALUE"""),"")</f>
        <v/>
      </c>
      <c r="N1125" s="9" t="str">
        <f>IFERROR(__xludf.DUMMYFUNCTION("""COMPUTED_VALUE"""),"")</f>
        <v/>
      </c>
      <c r="O1125" s="9" t="str">
        <f>IFERROR(__xludf.DUMMYFUNCTION("""COMPUTED_VALUE"""),"")</f>
        <v/>
      </c>
      <c r="P1125" s="9" t="str">
        <f>IFERROR(__xludf.DUMMYFUNCTION("""COMPUTED_VALUE"""),"")</f>
        <v/>
      </c>
      <c r="Q1125" s="9" t="str">
        <f>IFERROR(__xludf.DUMMYFUNCTION("""COMPUTED_VALUE"""),"")</f>
        <v/>
      </c>
      <c r="R1125" s="9" t="str">
        <f>IFERROR(__xludf.DUMMYFUNCTION("""COMPUTED_VALUE"""),"")</f>
        <v/>
      </c>
      <c r="S1125" s="42"/>
      <c r="T1125" s="42" t="str">
        <f>IFERROR(__xludf.DUMMYFUNCTION("""COMPUTED_VALUE"""),"NCx")</f>
        <v>NCx</v>
      </c>
      <c r="U1125" s="42" t="b">
        <f>IFERROR(__xludf.DUMMYFUNCTION("""COMPUTED_VALUE"""),FALSE)</f>
        <v>0</v>
      </c>
      <c r="V1125" s="42"/>
      <c r="W1125" s="42"/>
      <c r="X1125" s="42"/>
      <c r="Y1125" s="42"/>
      <c r="Z1125" s="42"/>
      <c r="AA1125" s="42"/>
      <c r="AB1125" s="42" t="str">
        <f>IFERROR(__xludf.DUMMYFUNCTION("""COMPUTED_VALUE"""),"Hiroshi Yamakawa")</f>
        <v>Hiroshi Yamakawa</v>
      </c>
      <c r="AC1125" s="42" t="str">
        <f>IFERROR(__xludf.DUMMYFUNCTION("""COMPUTED_VALUE"""),"HY22DAA")</f>
        <v>HY22DAA</v>
      </c>
      <c r="AD1125" s="42"/>
      <c r="AE1125" s="42"/>
      <c r="AF1125" s="9"/>
      <c r="AG1125" s="9"/>
      <c r="AH1125" s="42"/>
      <c r="AI1125" s="42"/>
      <c r="AJ1125" s="42"/>
      <c r="AK1125" s="42"/>
      <c r="AL1125" s="42"/>
      <c r="AM1125" s="42"/>
      <c r="AN1125" s="42"/>
      <c r="AO1125" s="63" t="str">
        <f>IFERROR(__xludf.DUMMYFUNCTION("IF(ISBLANK(A1125),,IF(ISBLANK(S1125), A1125&amp;"";"", TEXTJOIN(CHAR(10), TRUE, A1125&amp;"";"", ARRAYFORMULA(VLOOKUP(SPLIT(S1125, "";"" &amp; CHAR(10)), $A:$AO, 41, FALSE)))))"),"AuAL;")</f>
        <v>AuAL;</v>
      </c>
      <c r="AP1125" s="89"/>
    </row>
    <row r="1126">
      <c r="A1126" s="151" t="str">
        <f>IFERROR(__xludf.DUMMYFUNCTION("""COMPUTED_VALUE"""),"AuCL")</f>
        <v>AuCL</v>
      </c>
      <c r="B1126" s="42" t="str">
        <f>IFERROR(__xludf.DUMMYFUNCTION("""COMPUTED_VALUE"""),"[Paxinos, 2012]")</f>
        <v>[Paxinos, 2012]</v>
      </c>
      <c r="C1126" s="42" t="str">
        <f>IFERROR(__xludf.DUMMYFUNCTION("""COMPUTED_VALUE"""),"caudolateral belt")</f>
        <v>caudolateral belt</v>
      </c>
      <c r="D1126" s="42">
        <f>IFERROR(__xludf.DUMMYFUNCTION("""COMPUTED_VALUE"""),1066.1)</f>
        <v>1066.1</v>
      </c>
      <c r="E1126" s="39" t="str">
        <f>IFERROR(__xludf.DUMMYFUNCTION("""COMPUTED_VALUE"""),"")</f>
        <v/>
      </c>
      <c r="F1126" s="9" t="str">
        <f>IFERROR(__xludf.DUMMYFUNCTION("""COMPUTED_VALUE"""),"")</f>
        <v/>
      </c>
      <c r="G1126" s="9" t="str">
        <f>IFERROR(__xludf.DUMMYFUNCTION("""COMPUTED_VALUE"""),"")</f>
        <v/>
      </c>
      <c r="H1126" s="9" t="str">
        <f>IFERROR(__xludf.DUMMYFUNCTION("""COMPUTED_VALUE"""),"")</f>
        <v/>
      </c>
      <c r="I1126" s="9" t="str">
        <f>IFERROR(__xludf.DUMMYFUNCTION("""COMPUTED_VALUE"""),"")</f>
        <v/>
      </c>
      <c r="J1126" s="9" t="str">
        <f>IFERROR(__xludf.DUMMYFUNCTION("""COMPUTED_VALUE"""),"")</f>
        <v/>
      </c>
      <c r="K1126" s="9" t="str">
        <f>IFERROR(__xludf.DUMMYFUNCTION("""COMPUTED_VALUE"""),"")</f>
        <v/>
      </c>
      <c r="L1126" s="9" t="str">
        <f>IFERROR(__xludf.DUMMYFUNCTION("""COMPUTED_VALUE"""),"")</f>
        <v/>
      </c>
      <c r="M1126" s="9" t="str">
        <f>IFERROR(__xludf.DUMMYFUNCTION("""COMPUTED_VALUE"""),"")</f>
        <v/>
      </c>
      <c r="N1126" s="9" t="str">
        <f>IFERROR(__xludf.DUMMYFUNCTION("""COMPUTED_VALUE"""),"")</f>
        <v/>
      </c>
      <c r="O1126" s="9" t="str">
        <f>IFERROR(__xludf.DUMMYFUNCTION("""COMPUTED_VALUE"""),"")</f>
        <v/>
      </c>
      <c r="P1126" s="9" t="str">
        <f>IFERROR(__xludf.DUMMYFUNCTION("""COMPUTED_VALUE"""),"")</f>
        <v/>
      </c>
      <c r="Q1126" s="9" t="str">
        <f>IFERROR(__xludf.DUMMYFUNCTION("""COMPUTED_VALUE"""),"")</f>
        <v/>
      </c>
      <c r="R1126" s="9" t="str">
        <f>IFERROR(__xludf.DUMMYFUNCTION("""COMPUTED_VALUE"""),"")</f>
        <v/>
      </c>
      <c r="S1126" s="42"/>
      <c r="T1126" s="42" t="str">
        <f>IFERROR(__xludf.DUMMYFUNCTION("""COMPUTED_VALUE"""),"NCx")</f>
        <v>NCx</v>
      </c>
      <c r="U1126" s="42" t="b">
        <f>IFERROR(__xludf.DUMMYFUNCTION("""COMPUTED_VALUE"""),FALSE)</f>
        <v>0</v>
      </c>
      <c r="V1126" s="42"/>
      <c r="W1126" s="42"/>
      <c r="X1126" s="42"/>
      <c r="Y1126" s="42"/>
      <c r="Z1126" s="42"/>
      <c r="AA1126" s="42"/>
      <c r="AB1126" s="42" t="str">
        <f>IFERROR(__xludf.DUMMYFUNCTION("""COMPUTED_VALUE"""),"Hiroshi Yamakawa")</f>
        <v>Hiroshi Yamakawa</v>
      </c>
      <c r="AC1126" s="42" t="str">
        <f>IFERROR(__xludf.DUMMYFUNCTION("""COMPUTED_VALUE"""),"HY22DAA")</f>
        <v>HY22DAA</v>
      </c>
      <c r="AD1126" s="42"/>
      <c r="AE1126" s="42"/>
      <c r="AF1126" s="9"/>
      <c r="AG1126" s="9"/>
      <c r="AH1126" s="42"/>
      <c r="AI1126" s="42"/>
      <c r="AJ1126" s="42"/>
      <c r="AK1126" s="42"/>
      <c r="AL1126" s="42"/>
      <c r="AM1126" s="42"/>
      <c r="AN1126" s="42"/>
      <c r="AO1126" s="63" t="str">
        <f>IFERROR(__xludf.DUMMYFUNCTION("IF(ISBLANK(A1126),,IF(ISBLANK(S1126), A1126&amp;"";"", TEXTJOIN(CHAR(10), TRUE, A1126&amp;"";"", ARRAYFORMULA(VLOOKUP(SPLIT(S1126, "";"" &amp; CHAR(10)), $A:$AO, 41, FALSE)))))"),"AuCL;")</f>
        <v>AuCL;</v>
      </c>
      <c r="AP1126" s="89"/>
    </row>
    <row r="1127">
      <c r="A1127" s="151" t="str">
        <f>IFERROR(__xludf.DUMMYFUNCTION("""COMPUTED_VALUE"""),"AuCM")</f>
        <v>AuCM</v>
      </c>
      <c r="B1127" s="42" t="str">
        <f>IFERROR(__xludf.DUMMYFUNCTION("""COMPUTED_VALUE"""),"[Paxinos, 2012]")</f>
        <v>[Paxinos, 2012]</v>
      </c>
      <c r="C1127" s="42" t="str">
        <f>IFERROR(__xludf.DUMMYFUNCTION("""COMPUTED_VALUE"""),"caudomedial belt")</f>
        <v>caudomedial belt</v>
      </c>
      <c r="D1127" s="42">
        <f>IFERROR(__xludf.DUMMYFUNCTION("""COMPUTED_VALUE"""),1066.1)</f>
        <v>1066.1</v>
      </c>
      <c r="E1127" s="39" t="str">
        <f>IFERROR(__xludf.DUMMYFUNCTION("""COMPUTED_VALUE"""),"")</f>
        <v/>
      </c>
      <c r="F1127" s="9" t="str">
        <f>IFERROR(__xludf.DUMMYFUNCTION("""COMPUTED_VALUE"""),"")</f>
        <v/>
      </c>
      <c r="G1127" s="9" t="str">
        <f>IFERROR(__xludf.DUMMYFUNCTION("""COMPUTED_VALUE"""),"")</f>
        <v/>
      </c>
      <c r="H1127" s="9" t="str">
        <f>IFERROR(__xludf.DUMMYFUNCTION("""COMPUTED_VALUE"""),"")</f>
        <v/>
      </c>
      <c r="I1127" s="9" t="str">
        <f>IFERROR(__xludf.DUMMYFUNCTION("""COMPUTED_VALUE"""),"")</f>
        <v/>
      </c>
      <c r="J1127" s="9" t="str">
        <f>IFERROR(__xludf.DUMMYFUNCTION("""COMPUTED_VALUE"""),"")</f>
        <v/>
      </c>
      <c r="K1127" s="9" t="str">
        <f>IFERROR(__xludf.DUMMYFUNCTION("""COMPUTED_VALUE"""),"")</f>
        <v/>
      </c>
      <c r="L1127" s="9" t="str">
        <f>IFERROR(__xludf.DUMMYFUNCTION("""COMPUTED_VALUE"""),"")</f>
        <v/>
      </c>
      <c r="M1127" s="9" t="str">
        <f>IFERROR(__xludf.DUMMYFUNCTION("""COMPUTED_VALUE"""),"")</f>
        <v/>
      </c>
      <c r="N1127" s="9" t="str">
        <f>IFERROR(__xludf.DUMMYFUNCTION("""COMPUTED_VALUE"""),"")</f>
        <v/>
      </c>
      <c r="O1127" s="9" t="str">
        <f>IFERROR(__xludf.DUMMYFUNCTION("""COMPUTED_VALUE"""),"")</f>
        <v/>
      </c>
      <c r="P1127" s="9" t="str">
        <f>IFERROR(__xludf.DUMMYFUNCTION("""COMPUTED_VALUE"""),"")</f>
        <v/>
      </c>
      <c r="Q1127" s="9" t="str">
        <f>IFERROR(__xludf.DUMMYFUNCTION("""COMPUTED_VALUE"""),"")</f>
        <v/>
      </c>
      <c r="R1127" s="9" t="str">
        <f>IFERROR(__xludf.DUMMYFUNCTION("""COMPUTED_VALUE"""),"")</f>
        <v/>
      </c>
      <c r="S1127" s="42"/>
      <c r="T1127" s="42" t="str">
        <f>IFERROR(__xludf.DUMMYFUNCTION("""COMPUTED_VALUE"""),"NCx")</f>
        <v>NCx</v>
      </c>
      <c r="U1127" s="42" t="b">
        <f>IFERROR(__xludf.DUMMYFUNCTION("""COMPUTED_VALUE"""),FALSE)</f>
        <v>0</v>
      </c>
      <c r="V1127" s="42"/>
      <c r="W1127" s="42"/>
      <c r="X1127" s="42"/>
      <c r="Y1127" s="42"/>
      <c r="Z1127" s="42"/>
      <c r="AA1127" s="42"/>
      <c r="AB1127" s="42" t="str">
        <f>IFERROR(__xludf.DUMMYFUNCTION("""COMPUTED_VALUE"""),"Hiroshi Yamakawa")</f>
        <v>Hiroshi Yamakawa</v>
      </c>
      <c r="AC1127" s="42" t="str">
        <f>IFERROR(__xludf.DUMMYFUNCTION("""COMPUTED_VALUE"""),"HY22DAA")</f>
        <v>HY22DAA</v>
      </c>
      <c r="AD1127" s="42"/>
      <c r="AE1127" s="42"/>
      <c r="AF1127" s="9"/>
      <c r="AG1127" s="9"/>
      <c r="AH1127" s="42"/>
      <c r="AI1127" s="42"/>
      <c r="AJ1127" s="42"/>
      <c r="AK1127" s="42"/>
      <c r="AL1127" s="42"/>
      <c r="AM1127" s="42"/>
      <c r="AN1127" s="42"/>
      <c r="AO1127" s="63" t="str">
        <f>IFERROR(__xludf.DUMMYFUNCTION("IF(ISBLANK(A1127),,IF(ISBLANK(S1127), A1127&amp;"";"", TEXTJOIN(CHAR(10), TRUE, A1127&amp;"";"", ARRAYFORMULA(VLOOKUP(SPLIT(S1127, "";"" &amp; CHAR(10)), $A:$AO, 41, FALSE)))))"),"AuCM;")</f>
        <v>AuCM;</v>
      </c>
      <c r="AP1127" s="89"/>
    </row>
    <row r="1128">
      <c r="A1128" s="151" t="str">
        <f>IFERROR(__xludf.DUMMYFUNCTION("""COMPUTED_VALUE"""),"AuML")</f>
        <v>AuML</v>
      </c>
      <c r="B1128" s="42" t="str">
        <f>IFERROR(__xludf.DUMMYFUNCTION("""COMPUTED_VALUE"""),"[Paxinos, 2012]")</f>
        <v>[Paxinos, 2012]</v>
      </c>
      <c r="C1128" s="42" t="str">
        <f>IFERROR(__xludf.DUMMYFUNCTION("""COMPUTED_VALUE"""),"middle lateral belt")</f>
        <v>middle lateral belt</v>
      </c>
      <c r="D1128" s="42">
        <f>IFERROR(__xludf.DUMMYFUNCTION("""COMPUTED_VALUE"""),1066.1)</f>
        <v>1066.1</v>
      </c>
      <c r="E1128" s="39" t="str">
        <f>IFERROR(__xludf.DUMMYFUNCTION("""COMPUTED_VALUE"""),"")</f>
        <v/>
      </c>
      <c r="F1128" s="9" t="str">
        <f>IFERROR(__xludf.DUMMYFUNCTION("""COMPUTED_VALUE"""),"")</f>
        <v/>
      </c>
      <c r="G1128" s="9" t="str">
        <f>IFERROR(__xludf.DUMMYFUNCTION("""COMPUTED_VALUE"""),"")</f>
        <v/>
      </c>
      <c r="H1128" s="9" t="str">
        <f>IFERROR(__xludf.DUMMYFUNCTION("""COMPUTED_VALUE"""),"")</f>
        <v/>
      </c>
      <c r="I1128" s="9" t="str">
        <f>IFERROR(__xludf.DUMMYFUNCTION("""COMPUTED_VALUE"""),"")</f>
        <v/>
      </c>
      <c r="J1128" s="9" t="str">
        <f>IFERROR(__xludf.DUMMYFUNCTION("""COMPUTED_VALUE"""),"")</f>
        <v/>
      </c>
      <c r="K1128" s="9" t="str">
        <f>IFERROR(__xludf.DUMMYFUNCTION("""COMPUTED_VALUE"""),"")</f>
        <v/>
      </c>
      <c r="L1128" s="9" t="str">
        <f>IFERROR(__xludf.DUMMYFUNCTION("""COMPUTED_VALUE"""),"")</f>
        <v/>
      </c>
      <c r="M1128" s="9" t="str">
        <f>IFERROR(__xludf.DUMMYFUNCTION("""COMPUTED_VALUE"""),"")</f>
        <v/>
      </c>
      <c r="N1128" s="9" t="str">
        <f>IFERROR(__xludf.DUMMYFUNCTION("""COMPUTED_VALUE"""),"")</f>
        <v/>
      </c>
      <c r="O1128" s="9" t="str">
        <f>IFERROR(__xludf.DUMMYFUNCTION("""COMPUTED_VALUE"""),"")</f>
        <v/>
      </c>
      <c r="P1128" s="9" t="str">
        <f>IFERROR(__xludf.DUMMYFUNCTION("""COMPUTED_VALUE"""),"")</f>
        <v/>
      </c>
      <c r="Q1128" s="9" t="str">
        <f>IFERROR(__xludf.DUMMYFUNCTION("""COMPUTED_VALUE"""),"")</f>
        <v/>
      </c>
      <c r="R1128" s="9" t="str">
        <f>IFERROR(__xludf.DUMMYFUNCTION("""COMPUTED_VALUE"""),"")</f>
        <v/>
      </c>
      <c r="S1128" s="42"/>
      <c r="T1128" s="42" t="str">
        <f>IFERROR(__xludf.DUMMYFUNCTION("""COMPUTED_VALUE"""),"NCx")</f>
        <v>NCx</v>
      </c>
      <c r="U1128" s="42" t="b">
        <f>IFERROR(__xludf.DUMMYFUNCTION("""COMPUTED_VALUE"""),FALSE)</f>
        <v>0</v>
      </c>
      <c r="V1128" s="42"/>
      <c r="W1128" s="42"/>
      <c r="X1128" s="42"/>
      <c r="Y1128" s="42"/>
      <c r="Z1128" s="42"/>
      <c r="AA1128" s="42"/>
      <c r="AB1128" s="42" t="str">
        <f>IFERROR(__xludf.DUMMYFUNCTION("""COMPUTED_VALUE"""),"Hiroshi Yamakawa")</f>
        <v>Hiroshi Yamakawa</v>
      </c>
      <c r="AC1128" s="42" t="str">
        <f>IFERROR(__xludf.DUMMYFUNCTION("""COMPUTED_VALUE"""),"HY22DAA")</f>
        <v>HY22DAA</v>
      </c>
      <c r="AD1128" s="42"/>
      <c r="AE1128" s="42"/>
      <c r="AF1128" s="9"/>
      <c r="AG1128" s="9"/>
      <c r="AH1128" s="42"/>
      <c r="AI1128" s="42"/>
      <c r="AJ1128" s="42"/>
      <c r="AK1128" s="42"/>
      <c r="AL1128" s="42"/>
      <c r="AM1128" s="42"/>
      <c r="AN1128" s="42"/>
      <c r="AO1128" s="63" t="str">
        <f>IFERROR(__xludf.DUMMYFUNCTION("IF(ISBLANK(A1128),,IF(ISBLANK(S1128), A1128&amp;"";"", TEXTJOIN(CHAR(10), TRUE, A1128&amp;"";"", ARRAYFORMULA(VLOOKUP(SPLIT(S1128, "";"" &amp; CHAR(10)), $A:$AO, 41, FALSE)))))"),"AuML;")</f>
        <v>AuML;</v>
      </c>
      <c r="AP1128" s="89"/>
    </row>
    <row r="1129">
      <c r="A1129" s="151" t="str">
        <f>IFERROR(__xludf.DUMMYFUNCTION("""COMPUTED_VALUE"""),"AuMM")</f>
        <v>AuMM</v>
      </c>
      <c r="B1129" s="42" t="str">
        <f>IFERROR(__xludf.DUMMYFUNCTION("""COMPUTED_VALUE"""),"[Paxinos, 2012]")</f>
        <v>[Paxinos, 2012]</v>
      </c>
      <c r="C1129" s="42" t="str">
        <f>IFERROR(__xludf.DUMMYFUNCTION("""COMPUTED_VALUE"""),"middle medial belt")</f>
        <v>middle medial belt</v>
      </c>
      <c r="D1129" s="42">
        <f>IFERROR(__xludf.DUMMYFUNCTION("""COMPUTED_VALUE"""),1066.1)</f>
        <v>1066.1</v>
      </c>
      <c r="E1129" s="39" t="str">
        <f>IFERROR(__xludf.DUMMYFUNCTION("""COMPUTED_VALUE"""),"")</f>
        <v/>
      </c>
      <c r="F1129" s="9" t="str">
        <f>IFERROR(__xludf.DUMMYFUNCTION("""COMPUTED_VALUE"""),"")</f>
        <v/>
      </c>
      <c r="G1129" s="9" t="str">
        <f>IFERROR(__xludf.DUMMYFUNCTION("""COMPUTED_VALUE"""),"")</f>
        <v/>
      </c>
      <c r="H1129" s="9" t="str">
        <f>IFERROR(__xludf.DUMMYFUNCTION("""COMPUTED_VALUE"""),"")</f>
        <v/>
      </c>
      <c r="I1129" s="9" t="str">
        <f>IFERROR(__xludf.DUMMYFUNCTION("""COMPUTED_VALUE"""),"")</f>
        <v/>
      </c>
      <c r="J1129" s="9" t="str">
        <f>IFERROR(__xludf.DUMMYFUNCTION("""COMPUTED_VALUE"""),"")</f>
        <v/>
      </c>
      <c r="K1129" s="9" t="str">
        <f>IFERROR(__xludf.DUMMYFUNCTION("""COMPUTED_VALUE"""),"")</f>
        <v/>
      </c>
      <c r="L1129" s="9" t="str">
        <f>IFERROR(__xludf.DUMMYFUNCTION("""COMPUTED_VALUE"""),"")</f>
        <v/>
      </c>
      <c r="M1129" s="9" t="str">
        <f>IFERROR(__xludf.DUMMYFUNCTION("""COMPUTED_VALUE"""),"")</f>
        <v/>
      </c>
      <c r="N1129" s="9" t="str">
        <f>IFERROR(__xludf.DUMMYFUNCTION("""COMPUTED_VALUE"""),"")</f>
        <v/>
      </c>
      <c r="O1129" s="9" t="str">
        <f>IFERROR(__xludf.DUMMYFUNCTION("""COMPUTED_VALUE"""),"")</f>
        <v/>
      </c>
      <c r="P1129" s="9" t="str">
        <f>IFERROR(__xludf.DUMMYFUNCTION("""COMPUTED_VALUE"""),"")</f>
        <v/>
      </c>
      <c r="Q1129" s="9" t="str">
        <f>IFERROR(__xludf.DUMMYFUNCTION("""COMPUTED_VALUE"""),"")</f>
        <v/>
      </c>
      <c r="R1129" s="9" t="str">
        <f>IFERROR(__xludf.DUMMYFUNCTION("""COMPUTED_VALUE"""),"")</f>
        <v/>
      </c>
      <c r="S1129" s="42"/>
      <c r="T1129" s="42" t="str">
        <f>IFERROR(__xludf.DUMMYFUNCTION("""COMPUTED_VALUE"""),"NCx")</f>
        <v>NCx</v>
      </c>
      <c r="U1129" s="42" t="b">
        <f>IFERROR(__xludf.DUMMYFUNCTION("""COMPUTED_VALUE"""),FALSE)</f>
        <v>0</v>
      </c>
      <c r="V1129" s="42"/>
      <c r="W1129" s="42"/>
      <c r="X1129" s="42"/>
      <c r="Y1129" s="42"/>
      <c r="Z1129" s="42"/>
      <c r="AA1129" s="42"/>
      <c r="AB1129" s="42" t="str">
        <f>IFERROR(__xludf.DUMMYFUNCTION("""COMPUTED_VALUE"""),"Hiroshi Yamakawa")</f>
        <v>Hiroshi Yamakawa</v>
      </c>
      <c r="AC1129" s="42" t="str">
        <f>IFERROR(__xludf.DUMMYFUNCTION("""COMPUTED_VALUE"""),"HY22DAA")</f>
        <v>HY22DAA</v>
      </c>
      <c r="AD1129" s="42"/>
      <c r="AE1129" s="42"/>
      <c r="AF1129" s="9"/>
      <c r="AG1129" s="9"/>
      <c r="AH1129" s="42"/>
      <c r="AI1129" s="42"/>
      <c r="AJ1129" s="42"/>
      <c r="AK1129" s="42"/>
      <c r="AL1129" s="42"/>
      <c r="AM1129" s="42"/>
      <c r="AN1129" s="42"/>
      <c r="AO1129" s="63" t="str">
        <f>IFERROR(__xludf.DUMMYFUNCTION("IF(ISBLANK(A1129),,IF(ISBLANK(S1129), A1129&amp;"";"", TEXTJOIN(CHAR(10), TRUE, A1129&amp;"";"", ARRAYFORMULA(VLOOKUP(SPLIT(S1129, "";"" &amp; CHAR(10)), $A:$AO, 41, FALSE)))))"),"AuMM;")</f>
        <v>AuMM;</v>
      </c>
      <c r="AP1129" s="89"/>
    </row>
    <row r="1130">
      <c r="A1130" s="151" t="str">
        <f>IFERROR(__xludf.DUMMYFUNCTION("""COMPUTED_VALUE"""),"AuR")</f>
        <v>AuR</v>
      </c>
      <c r="B1130" s="42" t="str">
        <f>IFERROR(__xludf.DUMMYFUNCTION("""COMPUTED_VALUE"""),"[Paxinos, 2012]")</f>
        <v>[Paxinos, 2012]</v>
      </c>
      <c r="C1130" s="42" t="str">
        <f>IFERROR(__xludf.DUMMYFUNCTION("""COMPUTED_VALUE"""),"rostral auditory core field")</f>
        <v>rostral auditory core field</v>
      </c>
      <c r="D1130" s="42">
        <f>IFERROR(__xludf.DUMMYFUNCTION("""COMPUTED_VALUE"""),1066.1)</f>
        <v>1066.1</v>
      </c>
      <c r="E1130" s="39" t="str">
        <f>IFERROR(__xludf.DUMMYFUNCTION("""COMPUTED_VALUE"""),"")</f>
        <v/>
      </c>
      <c r="F1130" s="9" t="str">
        <f>IFERROR(__xludf.DUMMYFUNCTION("""COMPUTED_VALUE"""),"")</f>
        <v/>
      </c>
      <c r="G1130" s="9" t="str">
        <f>IFERROR(__xludf.DUMMYFUNCTION("""COMPUTED_VALUE"""),"")</f>
        <v/>
      </c>
      <c r="H1130" s="9" t="str">
        <f>IFERROR(__xludf.DUMMYFUNCTION("""COMPUTED_VALUE"""),"")</f>
        <v/>
      </c>
      <c r="I1130" s="9" t="str">
        <f>IFERROR(__xludf.DUMMYFUNCTION("""COMPUTED_VALUE"""),"")</f>
        <v/>
      </c>
      <c r="J1130" s="9" t="str">
        <f>IFERROR(__xludf.DUMMYFUNCTION("""COMPUTED_VALUE"""),"")</f>
        <v/>
      </c>
      <c r="K1130" s="9" t="str">
        <f>IFERROR(__xludf.DUMMYFUNCTION("""COMPUTED_VALUE"""),"")</f>
        <v/>
      </c>
      <c r="L1130" s="9" t="str">
        <f>IFERROR(__xludf.DUMMYFUNCTION("""COMPUTED_VALUE"""),"")</f>
        <v/>
      </c>
      <c r="M1130" s="9" t="str">
        <f>IFERROR(__xludf.DUMMYFUNCTION("""COMPUTED_VALUE"""),"")</f>
        <v/>
      </c>
      <c r="N1130" s="9" t="str">
        <f>IFERROR(__xludf.DUMMYFUNCTION("""COMPUTED_VALUE"""),"")</f>
        <v/>
      </c>
      <c r="O1130" s="9" t="str">
        <f>IFERROR(__xludf.DUMMYFUNCTION("""COMPUTED_VALUE"""),"")</f>
        <v/>
      </c>
      <c r="P1130" s="9" t="str">
        <f>IFERROR(__xludf.DUMMYFUNCTION("""COMPUTED_VALUE"""),"")</f>
        <v/>
      </c>
      <c r="Q1130" s="9" t="str">
        <f>IFERROR(__xludf.DUMMYFUNCTION("""COMPUTED_VALUE"""),"")</f>
        <v/>
      </c>
      <c r="R1130" s="9" t="str">
        <f>IFERROR(__xludf.DUMMYFUNCTION("""COMPUTED_VALUE"""),"")</f>
        <v/>
      </c>
      <c r="S1130" s="42"/>
      <c r="T1130" s="42" t="str">
        <f>IFERROR(__xludf.DUMMYFUNCTION("""COMPUTED_VALUE"""),"NCx")</f>
        <v>NCx</v>
      </c>
      <c r="U1130" s="42" t="b">
        <f>IFERROR(__xludf.DUMMYFUNCTION("""COMPUTED_VALUE"""),FALSE)</f>
        <v>0</v>
      </c>
      <c r="V1130" s="42"/>
      <c r="W1130" s="42"/>
      <c r="X1130" s="42"/>
      <c r="Y1130" s="42"/>
      <c r="Z1130" s="42"/>
      <c r="AA1130" s="42"/>
      <c r="AB1130" s="42" t="str">
        <f>IFERROR(__xludf.DUMMYFUNCTION("""COMPUTED_VALUE"""),"Hiroshi Yamakawa")</f>
        <v>Hiroshi Yamakawa</v>
      </c>
      <c r="AC1130" s="42" t="str">
        <f>IFERROR(__xludf.DUMMYFUNCTION("""COMPUTED_VALUE"""),"HY22DAA")</f>
        <v>HY22DAA</v>
      </c>
      <c r="AD1130" s="42"/>
      <c r="AE1130" s="42"/>
      <c r="AF1130" s="9"/>
      <c r="AG1130" s="9"/>
      <c r="AH1130" s="42"/>
      <c r="AI1130" s="42"/>
      <c r="AJ1130" s="42"/>
      <c r="AK1130" s="42"/>
      <c r="AL1130" s="42"/>
      <c r="AM1130" s="42"/>
      <c r="AN1130" s="42"/>
      <c r="AO1130" s="63" t="str">
        <f>IFERROR(__xludf.DUMMYFUNCTION("IF(ISBLANK(A1130),,IF(ISBLANK(S1130), A1130&amp;"";"", TEXTJOIN(CHAR(10), TRUE, A1130&amp;"";"", ARRAYFORMULA(VLOOKUP(SPLIT(S1130, "";"" &amp; CHAR(10)), $A:$AO, 41, FALSE)))))"),"AuR;")</f>
        <v>AuR;</v>
      </c>
      <c r="AP1130" s="89"/>
    </row>
    <row r="1131">
      <c r="A1131" s="151" t="str">
        <f>IFERROR(__xludf.DUMMYFUNCTION("""COMPUTED_VALUE"""),"AuRM")</f>
        <v>AuRM</v>
      </c>
      <c r="B1131" s="42" t="str">
        <f>IFERROR(__xludf.DUMMYFUNCTION("""COMPUTED_VALUE"""),"[Paxinos, 2012]")</f>
        <v>[Paxinos, 2012]</v>
      </c>
      <c r="C1131" s="42" t="str">
        <f>IFERROR(__xludf.DUMMYFUNCTION("""COMPUTED_VALUE"""),"rostromedial belt")</f>
        <v>rostromedial belt</v>
      </c>
      <c r="D1131" s="42">
        <f>IFERROR(__xludf.DUMMYFUNCTION("""COMPUTED_VALUE"""),1066.1)</f>
        <v>1066.1</v>
      </c>
      <c r="E1131" s="39" t="str">
        <f>IFERROR(__xludf.DUMMYFUNCTION("""COMPUTED_VALUE"""),"")</f>
        <v/>
      </c>
      <c r="F1131" s="9" t="str">
        <f>IFERROR(__xludf.DUMMYFUNCTION("""COMPUTED_VALUE"""),"")</f>
        <v/>
      </c>
      <c r="G1131" s="9" t="str">
        <f>IFERROR(__xludf.DUMMYFUNCTION("""COMPUTED_VALUE"""),"")</f>
        <v/>
      </c>
      <c r="H1131" s="9" t="str">
        <f>IFERROR(__xludf.DUMMYFUNCTION("""COMPUTED_VALUE"""),"")</f>
        <v/>
      </c>
      <c r="I1131" s="9" t="str">
        <f>IFERROR(__xludf.DUMMYFUNCTION("""COMPUTED_VALUE"""),"")</f>
        <v/>
      </c>
      <c r="J1131" s="9" t="str">
        <f>IFERROR(__xludf.DUMMYFUNCTION("""COMPUTED_VALUE"""),"")</f>
        <v/>
      </c>
      <c r="K1131" s="9" t="str">
        <f>IFERROR(__xludf.DUMMYFUNCTION("""COMPUTED_VALUE"""),"")</f>
        <v/>
      </c>
      <c r="L1131" s="9" t="str">
        <f>IFERROR(__xludf.DUMMYFUNCTION("""COMPUTED_VALUE"""),"")</f>
        <v/>
      </c>
      <c r="M1131" s="9" t="str">
        <f>IFERROR(__xludf.DUMMYFUNCTION("""COMPUTED_VALUE"""),"")</f>
        <v/>
      </c>
      <c r="N1131" s="9" t="str">
        <f>IFERROR(__xludf.DUMMYFUNCTION("""COMPUTED_VALUE"""),"")</f>
        <v/>
      </c>
      <c r="O1131" s="9" t="str">
        <f>IFERROR(__xludf.DUMMYFUNCTION("""COMPUTED_VALUE"""),"")</f>
        <v/>
      </c>
      <c r="P1131" s="9" t="str">
        <f>IFERROR(__xludf.DUMMYFUNCTION("""COMPUTED_VALUE"""),"")</f>
        <v/>
      </c>
      <c r="Q1131" s="9" t="str">
        <f>IFERROR(__xludf.DUMMYFUNCTION("""COMPUTED_VALUE"""),"")</f>
        <v/>
      </c>
      <c r="R1131" s="9" t="str">
        <f>IFERROR(__xludf.DUMMYFUNCTION("""COMPUTED_VALUE"""),"")</f>
        <v/>
      </c>
      <c r="S1131" s="42"/>
      <c r="T1131" s="42" t="str">
        <f>IFERROR(__xludf.DUMMYFUNCTION("""COMPUTED_VALUE"""),"NCx")</f>
        <v>NCx</v>
      </c>
      <c r="U1131" s="42" t="b">
        <f>IFERROR(__xludf.DUMMYFUNCTION("""COMPUTED_VALUE"""),FALSE)</f>
        <v>0</v>
      </c>
      <c r="V1131" s="42"/>
      <c r="W1131" s="42"/>
      <c r="X1131" s="42"/>
      <c r="Y1131" s="42"/>
      <c r="Z1131" s="42"/>
      <c r="AA1131" s="42"/>
      <c r="AB1131" s="42" t="str">
        <f>IFERROR(__xludf.DUMMYFUNCTION("""COMPUTED_VALUE"""),"Hiroshi Yamakawa")</f>
        <v>Hiroshi Yamakawa</v>
      </c>
      <c r="AC1131" s="42" t="str">
        <f>IFERROR(__xludf.DUMMYFUNCTION("""COMPUTED_VALUE"""),"HY22DAA")</f>
        <v>HY22DAA</v>
      </c>
      <c r="AD1131" s="42"/>
      <c r="AE1131" s="42"/>
      <c r="AF1131" s="9"/>
      <c r="AG1131" s="9"/>
      <c r="AH1131" s="42"/>
      <c r="AI1131" s="42"/>
      <c r="AJ1131" s="42"/>
      <c r="AK1131" s="42"/>
      <c r="AL1131" s="42"/>
      <c r="AM1131" s="42"/>
      <c r="AN1131" s="42"/>
      <c r="AO1131" s="63" t="str">
        <f>IFERROR(__xludf.DUMMYFUNCTION("IF(ISBLANK(A1131),,IF(ISBLANK(S1131), A1131&amp;"";"", TEXTJOIN(CHAR(10), TRUE, A1131&amp;"";"", ARRAYFORMULA(VLOOKUP(SPLIT(S1131, "";"" &amp; CHAR(10)), $A:$AO, 41, FALSE)))))"),"AuRM;")</f>
        <v>AuRM;</v>
      </c>
      <c r="AP1131" s="89"/>
    </row>
    <row r="1132">
      <c r="A1132" s="151" t="str">
        <f>IFERROR(__xludf.DUMMYFUNCTION("""COMPUTED_VALUE"""),"AuRTL")</f>
        <v>AuRTL</v>
      </c>
      <c r="B1132" s="42" t="str">
        <f>IFERROR(__xludf.DUMMYFUNCTION("""COMPUTED_VALUE"""),"[Paxinos, 2012]")</f>
        <v>[Paxinos, 2012]</v>
      </c>
      <c r="C1132" s="42" t="str">
        <f>IFERROR(__xludf.DUMMYFUNCTION("""COMPUTED_VALUE"""),"rostrotemporal-lateral belt")</f>
        <v>rostrotemporal-lateral belt</v>
      </c>
      <c r="D1132" s="42">
        <f>IFERROR(__xludf.DUMMYFUNCTION("""COMPUTED_VALUE"""),1066.1)</f>
        <v>1066.1</v>
      </c>
      <c r="E1132" s="39" t="str">
        <f>IFERROR(__xludf.DUMMYFUNCTION("""COMPUTED_VALUE"""),"")</f>
        <v/>
      </c>
      <c r="F1132" s="9" t="str">
        <f>IFERROR(__xludf.DUMMYFUNCTION("""COMPUTED_VALUE"""),"")</f>
        <v/>
      </c>
      <c r="G1132" s="9" t="str">
        <f>IFERROR(__xludf.DUMMYFUNCTION("""COMPUTED_VALUE"""),"")</f>
        <v/>
      </c>
      <c r="H1132" s="9" t="str">
        <f>IFERROR(__xludf.DUMMYFUNCTION("""COMPUTED_VALUE"""),"")</f>
        <v/>
      </c>
      <c r="I1132" s="9" t="str">
        <f>IFERROR(__xludf.DUMMYFUNCTION("""COMPUTED_VALUE"""),"")</f>
        <v/>
      </c>
      <c r="J1132" s="9" t="str">
        <f>IFERROR(__xludf.DUMMYFUNCTION("""COMPUTED_VALUE"""),"")</f>
        <v/>
      </c>
      <c r="K1132" s="9" t="str">
        <f>IFERROR(__xludf.DUMMYFUNCTION("""COMPUTED_VALUE"""),"")</f>
        <v/>
      </c>
      <c r="L1132" s="9" t="str">
        <f>IFERROR(__xludf.DUMMYFUNCTION("""COMPUTED_VALUE"""),"")</f>
        <v/>
      </c>
      <c r="M1132" s="9" t="str">
        <f>IFERROR(__xludf.DUMMYFUNCTION("""COMPUTED_VALUE"""),"")</f>
        <v/>
      </c>
      <c r="N1132" s="9" t="str">
        <f>IFERROR(__xludf.DUMMYFUNCTION("""COMPUTED_VALUE"""),"")</f>
        <v/>
      </c>
      <c r="O1132" s="9" t="str">
        <f>IFERROR(__xludf.DUMMYFUNCTION("""COMPUTED_VALUE"""),"")</f>
        <v/>
      </c>
      <c r="P1132" s="9" t="str">
        <f>IFERROR(__xludf.DUMMYFUNCTION("""COMPUTED_VALUE"""),"")</f>
        <v/>
      </c>
      <c r="Q1132" s="9" t="str">
        <f>IFERROR(__xludf.DUMMYFUNCTION("""COMPUTED_VALUE"""),"")</f>
        <v/>
      </c>
      <c r="R1132" s="9" t="str">
        <f>IFERROR(__xludf.DUMMYFUNCTION("""COMPUTED_VALUE"""),"")</f>
        <v/>
      </c>
      <c r="S1132" s="42"/>
      <c r="T1132" s="42" t="str">
        <f>IFERROR(__xludf.DUMMYFUNCTION("""COMPUTED_VALUE"""),"NCx")</f>
        <v>NCx</v>
      </c>
      <c r="U1132" s="42" t="b">
        <f>IFERROR(__xludf.DUMMYFUNCTION("""COMPUTED_VALUE"""),FALSE)</f>
        <v>0</v>
      </c>
      <c r="V1132" s="42"/>
      <c r="W1132" s="42"/>
      <c r="X1132" s="42"/>
      <c r="Y1132" s="42"/>
      <c r="Z1132" s="42"/>
      <c r="AA1132" s="42"/>
      <c r="AB1132" s="42" t="str">
        <f>IFERROR(__xludf.DUMMYFUNCTION("""COMPUTED_VALUE"""),"Hiroshi Yamakawa")</f>
        <v>Hiroshi Yamakawa</v>
      </c>
      <c r="AC1132" s="42" t="str">
        <f>IFERROR(__xludf.DUMMYFUNCTION("""COMPUTED_VALUE"""),"HY22DAA")</f>
        <v>HY22DAA</v>
      </c>
      <c r="AD1132" s="42"/>
      <c r="AE1132" s="42"/>
      <c r="AF1132" s="9"/>
      <c r="AG1132" s="9"/>
      <c r="AH1132" s="42"/>
      <c r="AI1132" s="42"/>
      <c r="AJ1132" s="42"/>
      <c r="AK1132" s="42"/>
      <c r="AL1132" s="42"/>
      <c r="AM1132" s="42"/>
      <c r="AN1132" s="42"/>
      <c r="AO1132" s="63" t="str">
        <f>IFERROR(__xludf.DUMMYFUNCTION("IF(ISBLANK(A1132),,IF(ISBLANK(S1132), A1132&amp;"";"", TEXTJOIN(CHAR(10), TRUE, A1132&amp;"";"", ARRAYFORMULA(VLOOKUP(SPLIT(S1132, "";"" &amp; CHAR(10)), $A:$AO, 41, FALSE)))))"),"AuRTL;")</f>
        <v>AuRTL;</v>
      </c>
      <c r="AP1132" s="89"/>
    </row>
    <row r="1133">
      <c r="A1133" s="151" t="str">
        <f>IFERROR(__xludf.DUMMYFUNCTION("""COMPUTED_VALUE"""),"AuRTM")</f>
        <v>AuRTM</v>
      </c>
      <c r="B1133" s="42" t="str">
        <f>IFERROR(__xludf.DUMMYFUNCTION("""COMPUTED_VALUE"""),"[Paxinos, 2012]")</f>
        <v>[Paxinos, 2012]</v>
      </c>
      <c r="C1133" s="42" t="str">
        <f>IFERROR(__xludf.DUMMYFUNCTION("""COMPUTED_VALUE"""),"rostrotemporal-medial belt")</f>
        <v>rostrotemporal-medial belt</v>
      </c>
      <c r="D1133" s="42">
        <f>IFERROR(__xludf.DUMMYFUNCTION("""COMPUTED_VALUE"""),1066.1)</f>
        <v>1066.1</v>
      </c>
      <c r="E1133" s="39" t="str">
        <f>IFERROR(__xludf.DUMMYFUNCTION("""COMPUTED_VALUE"""),"")</f>
        <v/>
      </c>
      <c r="F1133" s="9" t="str">
        <f>IFERROR(__xludf.DUMMYFUNCTION("""COMPUTED_VALUE"""),"")</f>
        <v/>
      </c>
      <c r="G1133" s="9" t="str">
        <f>IFERROR(__xludf.DUMMYFUNCTION("""COMPUTED_VALUE"""),"")</f>
        <v/>
      </c>
      <c r="H1133" s="9" t="str">
        <f>IFERROR(__xludf.DUMMYFUNCTION("""COMPUTED_VALUE"""),"")</f>
        <v/>
      </c>
      <c r="I1133" s="9" t="str">
        <f>IFERROR(__xludf.DUMMYFUNCTION("""COMPUTED_VALUE"""),"")</f>
        <v/>
      </c>
      <c r="J1133" s="9" t="str">
        <f>IFERROR(__xludf.DUMMYFUNCTION("""COMPUTED_VALUE"""),"")</f>
        <v/>
      </c>
      <c r="K1133" s="9" t="str">
        <f>IFERROR(__xludf.DUMMYFUNCTION("""COMPUTED_VALUE"""),"")</f>
        <v/>
      </c>
      <c r="L1133" s="9" t="str">
        <f>IFERROR(__xludf.DUMMYFUNCTION("""COMPUTED_VALUE"""),"")</f>
        <v/>
      </c>
      <c r="M1133" s="9" t="str">
        <f>IFERROR(__xludf.DUMMYFUNCTION("""COMPUTED_VALUE"""),"")</f>
        <v/>
      </c>
      <c r="N1133" s="9" t="str">
        <f>IFERROR(__xludf.DUMMYFUNCTION("""COMPUTED_VALUE"""),"")</f>
        <v/>
      </c>
      <c r="O1133" s="9" t="str">
        <f>IFERROR(__xludf.DUMMYFUNCTION("""COMPUTED_VALUE"""),"")</f>
        <v/>
      </c>
      <c r="P1133" s="9" t="str">
        <f>IFERROR(__xludf.DUMMYFUNCTION("""COMPUTED_VALUE"""),"")</f>
        <v/>
      </c>
      <c r="Q1133" s="9" t="str">
        <f>IFERROR(__xludf.DUMMYFUNCTION("""COMPUTED_VALUE"""),"")</f>
        <v/>
      </c>
      <c r="R1133" s="9" t="str">
        <f>IFERROR(__xludf.DUMMYFUNCTION("""COMPUTED_VALUE"""),"")</f>
        <v/>
      </c>
      <c r="S1133" s="42"/>
      <c r="T1133" s="42" t="str">
        <f>IFERROR(__xludf.DUMMYFUNCTION("""COMPUTED_VALUE"""),"NCx")</f>
        <v>NCx</v>
      </c>
      <c r="U1133" s="42" t="b">
        <f>IFERROR(__xludf.DUMMYFUNCTION("""COMPUTED_VALUE"""),FALSE)</f>
        <v>0</v>
      </c>
      <c r="V1133" s="42"/>
      <c r="W1133" s="42"/>
      <c r="X1133" s="42"/>
      <c r="Y1133" s="42"/>
      <c r="Z1133" s="42"/>
      <c r="AA1133" s="42"/>
      <c r="AB1133" s="42" t="str">
        <f>IFERROR(__xludf.DUMMYFUNCTION("""COMPUTED_VALUE"""),"Hiroshi Yamakawa")</f>
        <v>Hiroshi Yamakawa</v>
      </c>
      <c r="AC1133" s="42" t="str">
        <f>IFERROR(__xludf.DUMMYFUNCTION("""COMPUTED_VALUE"""),"HY22DAA")</f>
        <v>HY22DAA</v>
      </c>
      <c r="AD1133" s="42"/>
      <c r="AE1133" s="42"/>
      <c r="AF1133" s="9"/>
      <c r="AG1133" s="9"/>
      <c r="AH1133" s="42"/>
      <c r="AI1133" s="42"/>
      <c r="AJ1133" s="42"/>
      <c r="AK1133" s="42"/>
      <c r="AL1133" s="42"/>
      <c r="AM1133" s="42"/>
      <c r="AN1133" s="42"/>
      <c r="AO1133" s="63" t="str">
        <f>IFERROR(__xludf.DUMMYFUNCTION("IF(ISBLANK(A1133),,IF(ISBLANK(S1133), A1133&amp;"";"", TEXTJOIN(CHAR(10), TRUE, A1133&amp;"";"", ARRAYFORMULA(VLOOKUP(SPLIT(S1133, "";"" &amp; CHAR(10)), $A:$AO, 41, FALSE)))))"),"AuRTM;")</f>
        <v>AuRTM;</v>
      </c>
      <c r="AP1133" s="89"/>
    </row>
    <row r="1134">
      <c r="A1134" s="151" t="str">
        <f>IFERROR(__xludf.DUMMYFUNCTION("""COMPUTED_VALUE"""),"A1C")</f>
        <v>A1C</v>
      </c>
      <c r="B1134" s="42" t="str">
        <f>IFERROR(__xludf.DUMMYFUNCTION("""COMPUTED_VALUE"""),"DHBA")</f>
        <v>DHBA</v>
      </c>
      <c r="C1134" s="42" t="str">
        <f>IFERROR(__xludf.DUMMYFUNCTION("""COMPUTED_VALUE"""),"primary auditory cortex(core)")</f>
        <v>primary auditory cortex(core)</v>
      </c>
      <c r="D1134" s="42">
        <f>IFERROR(__xludf.DUMMYFUNCTION("""COMPUTED_VALUE"""),1067.0)</f>
        <v>1067</v>
      </c>
      <c r="E1134" s="39" t="str">
        <f>IFERROR(__xludf.DUMMYFUNCTION("""COMPUTED_VALUE"""),"primary auditory cortex (core)")</f>
        <v>primary auditory cortex (core)</v>
      </c>
      <c r="F1134" s="9" t="str">
        <f>IFERROR(__xludf.DUMMYFUNCTION("""COMPUTED_VALUE"""),"Br")</f>
        <v>Br</v>
      </c>
      <c r="G1134" s="9" t="str">
        <f>IFERROR(__xludf.DUMMYFUNCTION("""COMPUTED_VALUE"""),"F")</f>
        <v>F</v>
      </c>
      <c r="H1134" s="9" t="str">
        <f>IFERROR(__xludf.DUMMYFUNCTION("""COMPUTED_VALUE"""),"FGM")</f>
        <v>FGM</v>
      </c>
      <c r="I1134" s="9" t="str">
        <f>IFERROR(__xludf.DUMMYFUNCTION("""COMPUTED_VALUE"""),"Tel")</f>
        <v>Tel</v>
      </c>
      <c r="J1134" s="9" t="str">
        <f>IFERROR(__xludf.DUMMYFUNCTION("""COMPUTED_VALUE"""),"Cx")</f>
        <v>Cx</v>
      </c>
      <c r="K1134" s="9" t="str">
        <f>IFERROR(__xludf.DUMMYFUNCTION("""COMPUTED_VALUE"""),"NCx")</f>
        <v>NCx</v>
      </c>
      <c r="L1134" s="9" t="str">
        <f>IFERROR(__xludf.DUMMYFUNCTION("""COMPUTED_VALUE"""),"TCx")</f>
        <v>TCx</v>
      </c>
      <c r="M1134" s="9" t="str">
        <f>IFERROR(__xludf.DUMMYFUNCTION("""COMPUTED_VALUE"""),"DLTC")</f>
        <v>DLTC</v>
      </c>
      <c r="N1134" s="9" t="str">
        <f>IFERROR(__xludf.DUMMYFUNCTION("""COMPUTED_VALUE"""),"A1C")</f>
        <v>A1C</v>
      </c>
      <c r="O1134" s="9"/>
      <c r="P1134" s="9"/>
      <c r="Q1134" s="9"/>
      <c r="R1134" s="9"/>
      <c r="S1134" s="42" t="str">
        <f>IFERROR(__xludf.DUMMYFUNCTION("""COMPUTED_VALUE"""),"A41;
A1Cr")</f>
        <v>A41;
A1Cr</v>
      </c>
      <c r="T1134" s="42" t="str">
        <f>IFERROR(__xludf.DUMMYFUNCTION("""COMPUTED_VALUE"""),"NCx")</f>
        <v>NCx</v>
      </c>
      <c r="U1134" s="42" t="b">
        <f>IFERROR(__xludf.DUMMYFUNCTION("""COMPUTED_VALUE"""),FALSE)</f>
        <v>0</v>
      </c>
      <c r="V1134" s="42"/>
      <c r="W1134" s="42"/>
      <c r="X1134" s="42"/>
      <c r="Y1134" s="42"/>
      <c r="Z1134" s="42"/>
      <c r="AA1134" s="42"/>
      <c r="AB1134" s="42" t="str">
        <f>IFERROR(__xludf.DUMMYFUNCTION("""COMPUTED_VALUE"""),"allen institute")</f>
        <v>allen institute</v>
      </c>
      <c r="AC1134" s="42" t="str">
        <f>IFERROR(__xludf.DUMMYFUNCTION("""COMPUTED_VALUE"""),"DHBA")</f>
        <v>DHBA</v>
      </c>
      <c r="AD1134" s="42"/>
      <c r="AE1134" s="42"/>
      <c r="AF1134" s="9"/>
      <c r="AG1134" s="9"/>
      <c r="AH1134" s="42"/>
      <c r="AI1134" s="42"/>
      <c r="AJ1134" s="42"/>
      <c r="AK1134" s="42"/>
      <c r="AL1134" s="42"/>
      <c r="AM1134" s="42"/>
      <c r="AN1134" s="42"/>
      <c r="AO1134" s="63" t="str">
        <f>IFERROR(__xludf.DUMMYFUNCTION("IF(ISBLANK(A1134),,IF(ISBLANK(S1134), A1134&amp;"";"", TEXTJOIN(CHAR(10), TRUE, A1134&amp;"";"", ARRAYFORMULA(VLOOKUP(SPLIT(S1134, "";"" &amp; CHAR(10)), $A:$AO, 41, FALSE)))))"),"#N/A")</f>
        <v>#N/A</v>
      </c>
      <c r="AP1134" s="89"/>
    </row>
    <row r="1135">
      <c r="A1135" s="151" t="str">
        <f>IFERROR(__xludf.DUMMYFUNCTION("""COMPUTED_VALUE"""),"A41")</f>
        <v>A41</v>
      </c>
      <c r="B1135" s="42" t="str">
        <f>IFERROR(__xludf.DUMMYFUNCTION("""COMPUTED_VALUE"""),"DHBA")</f>
        <v>DHBA</v>
      </c>
      <c r="C1135" s="42" t="str">
        <f>IFERROR(__xludf.DUMMYFUNCTION("""COMPUTED_VALUE"""),"main portion of A1C(area TC, area 41)")</f>
        <v>main portion of A1C(area TC, area 41)</v>
      </c>
      <c r="D1135" s="42">
        <f>IFERROR(__xludf.DUMMYFUNCTION("""COMPUTED_VALUE"""),1068.0)</f>
        <v>1068</v>
      </c>
      <c r="E1135" s="39" t="str">
        <f>IFERROR(__xludf.DUMMYFUNCTION("""COMPUTED_VALUE"""),"main portion of A1C (area TC, area 41)")</f>
        <v>main portion of A1C (area TC, area 41)</v>
      </c>
      <c r="F1135" s="9" t="str">
        <f>IFERROR(__xludf.DUMMYFUNCTION("""COMPUTED_VALUE"""),"Br")</f>
        <v>Br</v>
      </c>
      <c r="G1135" s="9" t="str">
        <f>IFERROR(__xludf.DUMMYFUNCTION("""COMPUTED_VALUE"""),"F")</f>
        <v>F</v>
      </c>
      <c r="H1135" s="9" t="str">
        <f>IFERROR(__xludf.DUMMYFUNCTION("""COMPUTED_VALUE"""),"FGM")</f>
        <v>FGM</v>
      </c>
      <c r="I1135" s="9" t="str">
        <f>IFERROR(__xludf.DUMMYFUNCTION("""COMPUTED_VALUE"""),"Tel")</f>
        <v>Tel</v>
      </c>
      <c r="J1135" s="9" t="str">
        <f>IFERROR(__xludf.DUMMYFUNCTION("""COMPUTED_VALUE"""),"Cx")</f>
        <v>Cx</v>
      </c>
      <c r="K1135" s="9" t="str">
        <f>IFERROR(__xludf.DUMMYFUNCTION("""COMPUTED_VALUE"""),"NCx")</f>
        <v>NCx</v>
      </c>
      <c r="L1135" s="9" t="str">
        <f>IFERROR(__xludf.DUMMYFUNCTION("""COMPUTED_VALUE"""),"TCx")</f>
        <v>TCx</v>
      </c>
      <c r="M1135" s="9" t="str">
        <f>IFERROR(__xludf.DUMMYFUNCTION("""COMPUTED_VALUE"""),"DLTC")</f>
        <v>DLTC</v>
      </c>
      <c r="N1135" s="9" t="str">
        <f>IFERROR(__xludf.DUMMYFUNCTION("""COMPUTED_VALUE"""),"A1C")</f>
        <v>A1C</v>
      </c>
      <c r="O1135" s="9" t="str">
        <f>IFERROR(__xludf.DUMMYFUNCTION("""COMPUTED_VALUE"""),"A41")</f>
        <v>A41</v>
      </c>
      <c r="P1135" s="9"/>
      <c r="Q1135" s="9"/>
      <c r="R1135" s="9"/>
      <c r="S1135" s="42" t="str">
        <f>IFERROR(__xludf.DUMMYFUNCTION("""COMPUTED_VALUE"""),"A1;
R;
A41_1;
A41_2;
A41_3;
A41_4;
A41_5;
A41_6")</f>
        <v>A1;
R;
A41_1;
A41_2;
A41_3;
A41_4;
A41_5;
A41_6</v>
      </c>
      <c r="T1135" s="42" t="str">
        <f>IFERROR(__xludf.DUMMYFUNCTION("""COMPUTED_VALUE"""),"NCx")</f>
        <v>NCx</v>
      </c>
      <c r="U1135" s="42" t="b">
        <f>IFERROR(__xludf.DUMMYFUNCTION("""COMPUTED_VALUE"""),FALSE)</f>
        <v>0</v>
      </c>
      <c r="V1135" s="42"/>
      <c r="W1135" s="42"/>
      <c r="X1135" s="42"/>
      <c r="Y1135" s="42"/>
      <c r="Z1135" s="42"/>
      <c r="AA1135" s="42"/>
      <c r="AB1135" s="42" t="str">
        <f>IFERROR(__xludf.DUMMYFUNCTION("""COMPUTED_VALUE"""),"allen institute")</f>
        <v>allen institute</v>
      </c>
      <c r="AC1135" s="42" t="str">
        <f>IFERROR(__xludf.DUMMYFUNCTION("""COMPUTED_VALUE"""),"DHBA")</f>
        <v>DHBA</v>
      </c>
      <c r="AD1135" s="42"/>
      <c r="AE1135" s="42"/>
      <c r="AF1135" s="9"/>
      <c r="AG1135" s="9"/>
      <c r="AH1135" s="42"/>
      <c r="AI1135" s="42"/>
      <c r="AJ1135" s="42"/>
      <c r="AK1135" s="42"/>
      <c r="AL1135" s="42"/>
      <c r="AM1135" s="42"/>
      <c r="AN1135" s="42"/>
      <c r="AO1135" s="63" t="str">
        <f>IFERROR(__xludf.DUMMYFUNCTION("IF(ISBLANK(A1135),,IF(ISBLANK(S1135), A1135&amp;"";"", TEXTJOIN(CHAR(10), TRUE, A1135&amp;"";"", ARRAYFORMULA(VLOOKUP(SPLIT(S1135, "";"" &amp; CHAR(10)), $A:$AO, 41, FALSE)))))"),"#N/A")</f>
        <v>#N/A</v>
      </c>
      <c r="AP1135" s="89"/>
    </row>
    <row r="1136">
      <c r="A1136" s="151" t="str">
        <f>IFERROR(__xludf.DUMMYFUNCTION("""COMPUTED_VALUE"""),"A41-1")</f>
        <v>A41-1</v>
      </c>
      <c r="B1136" s="42" t="str">
        <f>IFERROR(__xludf.DUMMYFUNCTION("""COMPUTED_VALUE"""),"DHBA")</f>
        <v>DHBA</v>
      </c>
      <c r="C1136" s="42" t="str">
        <f>IFERROR(__xludf.DUMMYFUNCTION("""COMPUTED_VALUE"""),"layer I of area 41")</f>
        <v>layer I of area 41</v>
      </c>
      <c r="D1136" s="42">
        <f>IFERROR(__xludf.DUMMYFUNCTION("""COMPUTED_VALUE"""),1069.0)</f>
        <v>1069</v>
      </c>
      <c r="E1136" s="39" t="str">
        <f>IFERROR(__xludf.DUMMYFUNCTION("""COMPUTED_VALUE"""),"layer I of area 41")</f>
        <v>layer I of area 41</v>
      </c>
      <c r="F1136" s="9" t="str">
        <f>IFERROR(__xludf.DUMMYFUNCTION("""COMPUTED_VALUE"""),"Br")</f>
        <v>Br</v>
      </c>
      <c r="G1136" s="9" t="str">
        <f>IFERROR(__xludf.DUMMYFUNCTION("""COMPUTED_VALUE"""),"F")</f>
        <v>F</v>
      </c>
      <c r="H1136" s="9" t="str">
        <f>IFERROR(__xludf.DUMMYFUNCTION("""COMPUTED_VALUE"""),"FGM")</f>
        <v>FGM</v>
      </c>
      <c r="I1136" s="9" t="str">
        <f>IFERROR(__xludf.DUMMYFUNCTION("""COMPUTED_VALUE"""),"Tel")</f>
        <v>Tel</v>
      </c>
      <c r="J1136" s="9" t="str">
        <f>IFERROR(__xludf.DUMMYFUNCTION("""COMPUTED_VALUE"""),"Cx")</f>
        <v>Cx</v>
      </c>
      <c r="K1136" s="9" t="str">
        <f>IFERROR(__xludf.DUMMYFUNCTION("""COMPUTED_VALUE"""),"NCx")</f>
        <v>NCx</v>
      </c>
      <c r="L1136" s="9" t="str">
        <f>IFERROR(__xludf.DUMMYFUNCTION("""COMPUTED_VALUE"""),"TCx")</f>
        <v>TCx</v>
      </c>
      <c r="M1136" s="9" t="str">
        <f>IFERROR(__xludf.DUMMYFUNCTION("""COMPUTED_VALUE"""),"DLTC")</f>
        <v>DLTC</v>
      </c>
      <c r="N1136" s="9" t="str">
        <f>IFERROR(__xludf.DUMMYFUNCTION("""COMPUTED_VALUE"""),"A1C")</f>
        <v>A1C</v>
      </c>
      <c r="O1136" s="9" t="str">
        <f>IFERROR(__xludf.DUMMYFUNCTION("""COMPUTED_VALUE"""),"A41")</f>
        <v>A41</v>
      </c>
      <c r="P1136" s="9" t="str">
        <f>IFERROR(__xludf.DUMMYFUNCTION("""COMPUTED_VALUE"""),"A41-1")</f>
        <v>A41-1</v>
      </c>
      <c r="Q1136" s="9"/>
      <c r="R1136" s="9"/>
      <c r="S1136" s="42"/>
      <c r="T1136" s="42"/>
      <c r="U1136" s="42"/>
      <c r="V1136" s="42"/>
      <c r="W1136" s="42"/>
      <c r="X1136" s="42"/>
      <c r="Y1136" s="42"/>
      <c r="Z1136" s="42"/>
      <c r="AA1136" s="42"/>
      <c r="AB1136" s="42" t="str">
        <f>IFERROR(__xludf.DUMMYFUNCTION("""COMPUTED_VALUE"""),"allen institute")</f>
        <v>allen institute</v>
      </c>
      <c r="AC1136" s="42" t="str">
        <f>IFERROR(__xludf.DUMMYFUNCTION("""COMPUTED_VALUE"""),"DHBA")</f>
        <v>DHBA</v>
      </c>
      <c r="AD1136" s="42"/>
      <c r="AE1136" s="42"/>
      <c r="AF1136" s="9"/>
      <c r="AG1136" s="9"/>
      <c r="AH1136" s="42"/>
      <c r="AI1136" s="42"/>
      <c r="AJ1136" s="42"/>
      <c r="AK1136" s="42"/>
      <c r="AL1136" s="42"/>
      <c r="AM1136" s="42"/>
      <c r="AN1136" s="42"/>
      <c r="AO1136" s="63" t="str">
        <f>IFERROR(__xludf.DUMMYFUNCTION("IF(ISBLANK(A1136),,IF(ISBLANK(S1136), A1136&amp;"";"", TEXTJOIN(CHAR(10), TRUE, A1136&amp;"";"", ARRAYFORMULA(VLOOKUP(SPLIT(S1136, "";"" &amp; CHAR(10)), $A:$AO, 41, FALSE)))))"),"A41-1;")</f>
        <v>A41-1;</v>
      </c>
      <c r="AP1136" s="89"/>
    </row>
    <row r="1137">
      <c r="A1137" s="151" t="str">
        <f>IFERROR(__xludf.DUMMYFUNCTION("""COMPUTED_VALUE"""),"A41-2")</f>
        <v>A41-2</v>
      </c>
      <c r="B1137" s="42" t="str">
        <f>IFERROR(__xludf.DUMMYFUNCTION("""COMPUTED_VALUE"""),"DHBA")</f>
        <v>DHBA</v>
      </c>
      <c r="C1137" s="42" t="str">
        <f>IFERROR(__xludf.DUMMYFUNCTION("""COMPUTED_VALUE"""),"layer II of area 41")</f>
        <v>layer II of area 41</v>
      </c>
      <c r="D1137" s="42">
        <f>IFERROR(__xludf.DUMMYFUNCTION("""COMPUTED_VALUE"""),1070.0)</f>
        <v>1070</v>
      </c>
      <c r="E1137" s="39" t="str">
        <f>IFERROR(__xludf.DUMMYFUNCTION("""COMPUTED_VALUE"""),"layer II of area 41")</f>
        <v>layer II of area 41</v>
      </c>
      <c r="F1137" s="9" t="str">
        <f>IFERROR(__xludf.DUMMYFUNCTION("""COMPUTED_VALUE"""),"Br")</f>
        <v>Br</v>
      </c>
      <c r="G1137" s="9" t="str">
        <f>IFERROR(__xludf.DUMMYFUNCTION("""COMPUTED_VALUE"""),"F")</f>
        <v>F</v>
      </c>
      <c r="H1137" s="9" t="str">
        <f>IFERROR(__xludf.DUMMYFUNCTION("""COMPUTED_VALUE"""),"FGM")</f>
        <v>FGM</v>
      </c>
      <c r="I1137" s="9" t="str">
        <f>IFERROR(__xludf.DUMMYFUNCTION("""COMPUTED_VALUE"""),"Tel")</f>
        <v>Tel</v>
      </c>
      <c r="J1137" s="9" t="str">
        <f>IFERROR(__xludf.DUMMYFUNCTION("""COMPUTED_VALUE"""),"Cx")</f>
        <v>Cx</v>
      </c>
      <c r="K1137" s="9" t="str">
        <f>IFERROR(__xludf.DUMMYFUNCTION("""COMPUTED_VALUE"""),"NCx")</f>
        <v>NCx</v>
      </c>
      <c r="L1137" s="9" t="str">
        <f>IFERROR(__xludf.DUMMYFUNCTION("""COMPUTED_VALUE"""),"TCx")</f>
        <v>TCx</v>
      </c>
      <c r="M1137" s="9" t="str">
        <f>IFERROR(__xludf.DUMMYFUNCTION("""COMPUTED_VALUE"""),"DLTC")</f>
        <v>DLTC</v>
      </c>
      <c r="N1137" s="9" t="str">
        <f>IFERROR(__xludf.DUMMYFUNCTION("""COMPUTED_VALUE"""),"A1C")</f>
        <v>A1C</v>
      </c>
      <c r="O1137" s="9" t="str">
        <f>IFERROR(__xludf.DUMMYFUNCTION("""COMPUTED_VALUE"""),"A41")</f>
        <v>A41</v>
      </c>
      <c r="P1137" s="9" t="str">
        <f>IFERROR(__xludf.DUMMYFUNCTION("""COMPUTED_VALUE"""),"A41-2")</f>
        <v>A41-2</v>
      </c>
      <c r="Q1137" s="9"/>
      <c r="R1137" s="9"/>
      <c r="S1137" s="42"/>
      <c r="T1137" s="42"/>
      <c r="U1137" s="42"/>
      <c r="V1137" s="42"/>
      <c r="W1137" s="42"/>
      <c r="X1137" s="42"/>
      <c r="Y1137" s="42"/>
      <c r="Z1137" s="42"/>
      <c r="AA1137" s="42"/>
      <c r="AB1137" s="42" t="str">
        <f>IFERROR(__xludf.DUMMYFUNCTION("""COMPUTED_VALUE"""),"allen institute")</f>
        <v>allen institute</v>
      </c>
      <c r="AC1137" s="42" t="str">
        <f>IFERROR(__xludf.DUMMYFUNCTION("""COMPUTED_VALUE"""),"DHBA")</f>
        <v>DHBA</v>
      </c>
      <c r="AD1137" s="42"/>
      <c r="AE1137" s="42"/>
      <c r="AF1137" s="9"/>
      <c r="AG1137" s="9"/>
      <c r="AH1137" s="42"/>
      <c r="AI1137" s="42"/>
      <c r="AJ1137" s="42"/>
      <c r="AK1137" s="42"/>
      <c r="AL1137" s="42"/>
      <c r="AM1137" s="42"/>
      <c r="AN1137" s="42"/>
      <c r="AO1137" s="63" t="str">
        <f>IFERROR(__xludf.DUMMYFUNCTION("IF(ISBLANK(A1137),,IF(ISBLANK(S1137), A1137&amp;"";"", TEXTJOIN(CHAR(10), TRUE, A1137&amp;"";"", ARRAYFORMULA(VLOOKUP(SPLIT(S1137, "";"" &amp; CHAR(10)), $A:$AO, 41, FALSE)))))"),"A41-2;")</f>
        <v>A41-2;</v>
      </c>
      <c r="AP1137" s="89"/>
    </row>
    <row r="1138">
      <c r="A1138" s="151" t="str">
        <f>IFERROR(__xludf.DUMMYFUNCTION("""COMPUTED_VALUE"""),"A41-3")</f>
        <v>A41-3</v>
      </c>
      <c r="B1138" s="42" t="str">
        <f>IFERROR(__xludf.DUMMYFUNCTION("""COMPUTED_VALUE"""),"DHBA")</f>
        <v>DHBA</v>
      </c>
      <c r="C1138" s="42" t="str">
        <f>IFERROR(__xludf.DUMMYFUNCTION("""COMPUTED_VALUE"""),"layer III of area 41")</f>
        <v>layer III of area 41</v>
      </c>
      <c r="D1138" s="42">
        <f>IFERROR(__xludf.DUMMYFUNCTION("""COMPUTED_VALUE"""),1071.0)</f>
        <v>1071</v>
      </c>
      <c r="E1138" s="39" t="str">
        <f>IFERROR(__xludf.DUMMYFUNCTION("""COMPUTED_VALUE"""),"layer III of area 41")</f>
        <v>layer III of area 41</v>
      </c>
      <c r="F1138" s="9" t="str">
        <f>IFERROR(__xludf.DUMMYFUNCTION("""COMPUTED_VALUE"""),"Br")</f>
        <v>Br</v>
      </c>
      <c r="G1138" s="9" t="str">
        <f>IFERROR(__xludf.DUMMYFUNCTION("""COMPUTED_VALUE"""),"F")</f>
        <v>F</v>
      </c>
      <c r="H1138" s="9" t="str">
        <f>IFERROR(__xludf.DUMMYFUNCTION("""COMPUTED_VALUE"""),"FGM")</f>
        <v>FGM</v>
      </c>
      <c r="I1138" s="9" t="str">
        <f>IFERROR(__xludf.DUMMYFUNCTION("""COMPUTED_VALUE"""),"Tel")</f>
        <v>Tel</v>
      </c>
      <c r="J1138" s="9" t="str">
        <f>IFERROR(__xludf.DUMMYFUNCTION("""COMPUTED_VALUE"""),"Cx")</f>
        <v>Cx</v>
      </c>
      <c r="K1138" s="9" t="str">
        <f>IFERROR(__xludf.DUMMYFUNCTION("""COMPUTED_VALUE"""),"NCx")</f>
        <v>NCx</v>
      </c>
      <c r="L1138" s="9" t="str">
        <f>IFERROR(__xludf.DUMMYFUNCTION("""COMPUTED_VALUE"""),"TCx")</f>
        <v>TCx</v>
      </c>
      <c r="M1138" s="9" t="str">
        <f>IFERROR(__xludf.DUMMYFUNCTION("""COMPUTED_VALUE"""),"DLTC")</f>
        <v>DLTC</v>
      </c>
      <c r="N1138" s="9" t="str">
        <f>IFERROR(__xludf.DUMMYFUNCTION("""COMPUTED_VALUE"""),"A1C")</f>
        <v>A1C</v>
      </c>
      <c r="O1138" s="9" t="str">
        <f>IFERROR(__xludf.DUMMYFUNCTION("""COMPUTED_VALUE"""),"A41")</f>
        <v>A41</v>
      </c>
      <c r="P1138" s="9" t="str">
        <f>IFERROR(__xludf.DUMMYFUNCTION("""COMPUTED_VALUE"""),"A41-3")</f>
        <v>A41-3</v>
      </c>
      <c r="Q1138" s="9"/>
      <c r="R1138" s="9"/>
      <c r="S1138" s="42"/>
      <c r="T1138" s="42"/>
      <c r="U1138" s="42"/>
      <c r="V1138" s="42"/>
      <c r="W1138" s="42"/>
      <c r="X1138" s="42"/>
      <c r="Y1138" s="42"/>
      <c r="Z1138" s="42"/>
      <c r="AA1138" s="42"/>
      <c r="AB1138" s="42" t="str">
        <f>IFERROR(__xludf.DUMMYFUNCTION("""COMPUTED_VALUE"""),"allen institute")</f>
        <v>allen institute</v>
      </c>
      <c r="AC1138" s="42" t="str">
        <f>IFERROR(__xludf.DUMMYFUNCTION("""COMPUTED_VALUE"""),"DHBA")</f>
        <v>DHBA</v>
      </c>
      <c r="AD1138" s="42"/>
      <c r="AE1138" s="42"/>
      <c r="AF1138" s="9"/>
      <c r="AG1138" s="9"/>
      <c r="AH1138" s="42"/>
      <c r="AI1138" s="42"/>
      <c r="AJ1138" s="42"/>
      <c r="AK1138" s="42"/>
      <c r="AL1138" s="42"/>
      <c r="AM1138" s="42"/>
      <c r="AN1138" s="42"/>
      <c r="AO1138" s="63" t="str">
        <f>IFERROR(__xludf.DUMMYFUNCTION("IF(ISBLANK(A1138),,IF(ISBLANK(S1138), A1138&amp;"";"", TEXTJOIN(CHAR(10), TRUE, A1138&amp;"";"", ARRAYFORMULA(VLOOKUP(SPLIT(S1138, "";"" &amp; CHAR(10)), $A:$AO, 41, FALSE)))))"),"A41-3;")</f>
        <v>A41-3;</v>
      </c>
      <c r="AP1138" s="89"/>
    </row>
    <row r="1139">
      <c r="A1139" s="151" t="str">
        <f>IFERROR(__xludf.DUMMYFUNCTION("""COMPUTED_VALUE"""),"A41-4")</f>
        <v>A41-4</v>
      </c>
      <c r="B1139" s="42" t="str">
        <f>IFERROR(__xludf.DUMMYFUNCTION("""COMPUTED_VALUE"""),"DHBA")</f>
        <v>DHBA</v>
      </c>
      <c r="C1139" s="42" t="str">
        <f>IFERROR(__xludf.DUMMYFUNCTION("""COMPUTED_VALUE"""),"layer IV of area 41")</f>
        <v>layer IV of area 41</v>
      </c>
      <c r="D1139" s="42">
        <f>IFERROR(__xludf.DUMMYFUNCTION("""COMPUTED_VALUE"""),1072.0)</f>
        <v>1072</v>
      </c>
      <c r="E1139" s="39" t="str">
        <f>IFERROR(__xludf.DUMMYFUNCTION("""COMPUTED_VALUE"""),"layer IV of area 41")</f>
        <v>layer IV of area 41</v>
      </c>
      <c r="F1139" s="9" t="str">
        <f>IFERROR(__xludf.DUMMYFUNCTION("""COMPUTED_VALUE"""),"Br")</f>
        <v>Br</v>
      </c>
      <c r="G1139" s="9" t="str">
        <f>IFERROR(__xludf.DUMMYFUNCTION("""COMPUTED_VALUE"""),"F")</f>
        <v>F</v>
      </c>
      <c r="H1139" s="9" t="str">
        <f>IFERROR(__xludf.DUMMYFUNCTION("""COMPUTED_VALUE"""),"FGM")</f>
        <v>FGM</v>
      </c>
      <c r="I1139" s="9" t="str">
        <f>IFERROR(__xludf.DUMMYFUNCTION("""COMPUTED_VALUE"""),"Tel")</f>
        <v>Tel</v>
      </c>
      <c r="J1139" s="9" t="str">
        <f>IFERROR(__xludf.DUMMYFUNCTION("""COMPUTED_VALUE"""),"Cx")</f>
        <v>Cx</v>
      </c>
      <c r="K1139" s="9" t="str">
        <f>IFERROR(__xludf.DUMMYFUNCTION("""COMPUTED_VALUE"""),"NCx")</f>
        <v>NCx</v>
      </c>
      <c r="L1139" s="9" t="str">
        <f>IFERROR(__xludf.DUMMYFUNCTION("""COMPUTED_VALUE"""),"TCx")</f>
        <v>TCx</v>
      </c>
      <c r="M1139" s="9" t="str">
        <f>IFERROR(__xludf.DUMMYFUNCTION("""COMPUTED_VALUE"""),"DLTC")</f>
        <v>DLTC</v>
      </c>
      <c r="N1139" s="9" t="str">
        <f>IFERROR(__xludf.DUMMYFUNCTION("""COMPUTED_VALUE"""),"A1C")</f>
        <v>A1C</v>
      </c>
      <c r="O1139" s="9" t="str">
        <f>IFERROR(__xludf.DUMMYFUNCTION("""COMPUTED_VALUE"""),"A41")</f>
        <v>A41</v>
      </c>
      <c r="P1139" s="9" t="str">
        <f>IFERROR(__xludf.DUMMYFUNCTION("""COMPUTED_VALUE"""),"A41-4")</f>
        <v>A41-4</v>
      </c>
      <c r="Q1139" s="9"/>
      <c r="R1139" s="9"/>
      <c r="S1139" s="42"/>
      <c r="T1139" s="42"/>
      <c r="U1139" s="42"/>
      <c r="V1139" s="42"/>
      <c r="W1139" s="42"/>
      <c r="X1139" s="42"/>
      <c r="Y1139" s="42"/>
      <c r="Z1139" s="42"/>
      <c r="AA1139" s="42"/>
      <c r="AB1139" s="42" t="str">
        <f>IFERROR(__xludf.DUMMYFUNCTION("""COMPUTED_VALUE"""),"allen institute")</f>
        <v>allen institute</v>
      </c>
      <c r="AC1139" s="42" t="str">
        <f>IFERROR(__xludf.DUMMYFUNCTION("""COMPUTED_VALUE"""),"DHBA")</f>
        <v>DHBA</v>
      </c>
      <c r="AD1139" s="42"/>
      <c r="AE1139" s="42"/>
      <c r="AF1139" s="9"/>
      <c r="AG1139" s="9"/>
      <c r="AH1139" s="42"/>
      <c r="AI1139" s="42"/>
      <c r="AJ1139" s="42"/>
      <c r="AK1139" s="42"/>
      <c r="AL1139" s="42"/>
      <c r="AM1139" s="42"/>
      <c r="AN1139" s="42"/>
      <c r="AO1139" s="63" t="str">
        <f>IFERROR(__xludf.DUMMYFUNCTION("IF(ISBLANK(A1139),,IF(ISBLANK(S1139), A1139&amp;"";"", TEXTJOIN(CHAR(10), TRUE, A1139&amp;"";"", ARRAYFORMULA(VLOOKUP(SPLIT(S1139, "";"" &amp; CHAR(10)), $A:$AO, 41, FALSE)))))"),"A41-4;")</f>
        <v>A41-4;</v>
      </c>
      <c r="AP1139" s="89"/>
    </row>
    <row r="1140">
      <c r="A1140" s="151" t="str">
        <f>IFERROR(__xludf.DUMMYFUNCTION("""COMPUTED_VALUE"""),"A41-5")</f>
        <v>A41-5</v>
      </c>
      <c r="B1140" s="42" t="str">
        <f>IFERROR(__xludf.DUMMYFUNCTION("""COMPUTED_VALUE"""),"DHBA")</f>
        <v>DHBA</v>
      </c>
      <c r="C1140" s="42" t="str">
        <f>IFERROR(__xludf.DUMMYFUNCTION("""COMPUTED_VALUE"""),"layer V of area 41")</f>
        <v>layer V of area 41</v>
      </c>
      <c r="D1140" s="42">
        <f>IFERROR(__xludf.DUMMYFUNCTION("""COMPUTED_VALUE"""),1073.0)</f>
        <v>1073</v>
      </c>
      <c r="E1140" s="39" t="str">
        <f>IFERROR(__xludf.DUMMYFUNCTION("""COMPUTED_VALUE"""),"layer V of area 41")</f>
        <v>layer V of area 41</v>
      </c>
      <c r="F1140" s="9" t="str">
        <f>IFERROR(__xludf.DUMMYFUNCTION("""COMPUTED_VALUE"""),"Br")</f>
        <v>Br</v>
      </c>
      <c r="G1140" s="9" t="str">
        <f>IFERROR(__xludf.DUMMYFUNCTION("""COMPUTED_VALUE"""),"F")</f>
        <v>F</v>
      </c>
      <c r="H1140" s="9" t="str">
        <f>IFERROR(__xludf.DUMMYFUNCTION("""COMPUTED_VALUE"""),"FGM")</f>
        <v>FGM</v>
      </c>
      <c r="I1140" s="9" t="str">
        <f>IFERROR(__xludf.DUMMYFUNCTION("""COMPUTED_VALUE"""),"Tel")</f>
        <v>Tel</v>
      </c>
      <c r="J1140" s="9" t="str">
        <f>IFERROR(__xludf.DUMMYFUNCTION("""COMPUTED_VALUE"""),"Cx")</f>
        <v>Cx</v>
      </c>
      <c r="K1140" s="9" t="str">
        <f>IFERROR(__xludf.DUMMYFUNCTION("""COMPUTED_VALUE"""),"NCx")</f>
        <v>NCx</v>
      </c>
      <c r="L1140" s="9" t="str">
        <f>IFERROR(__xludf.DUMMYFUNCTION("""COMPUTED_VALUE"""),"TCx")</f>
        <v>TCx</v>
      </c>
      <c r="M1140" s="9" t="str">
        <f>IFERROR(__xludf.DUMMYFUNCTION("""COMPUTED_VALUE"""),"DLTC")</f>
        <v>DLTC</v>
      </c>
      <c r="N1140" s="9" t="str">
        <f>IFERROR(__xludf.DUMMYFUNCTION("""COMPUTED_VALUE"""),"A1C")</f>
        <v>A1C</v>
      </c>
      <c r="O1140" s="9" t="str">
        <f>IFERROR(__xludf.DUMMYFUNCTION("""COMPUTED_VALUE"""),"A41")</f>
        <v>A41</v>
      </c>
      <c r="P1140" s="9" t="str">
        <f>IFERROR(__xludf.DUMMYFUNCTION("""COMPUTED_VALUE"""),"A41-5")</f>
        <v>A41-5</v>
      </c>
      <c r="Q1140" s="9"/>
      <c r="R1140" s="9"/>
      <c r="S1140" s="42"/>
      <c r="T1140" s="42"/>
      <c r="U1140" s="42"/>
      <c r="V1140" s="42"/>
      <c r="W1140" s="42"/>
      <c r="X1140" s="42"/>
      <c r="Y1140" s="42"/>
      <c r="Z1140" s="42"/>
      <c r="AA1140" s="42"/>
      <c r="AB1140" s="42" t="str">
        <f>IFERROR(__xludf.DUMMYFUNCTION("""COMPUTED_VALUE"""),"allen institute")</f>
        <v>allen institute</v>
      </c>
      <c r="AC1140" s="42" t="str">
        <f>IFERROR(__xludf.DUMMYFUNCTION("""COMPUTED_VALUE"""),"DHBA")</f>
        <v>DHBA</v>
      </c>
      <c r="AD1140" s="42"/>
      <c r="AE1140" s="42"/>
      <c r="AF1140" s="9"/>
      <c r="AG1140" s="9"/>
      <c r="AH1140" s="42"/>
      <c r="AI1140" s="42"/>
      <c r="AJ1140" s="42"/>
      <c r="AK1140" s="42"/>
      <c r="AL1140" s="42"/>
      <c r="AM1140" s="42"/>
      <c r="AN1140" s="42"/>
      <c r="AO1140" s="63" t="str">
        <f>IFERROR(__xludf.DUMMYFUNCTION("IF(ISBLANK(A1140),,IF(ISBLANK(S1140), A1140&amp;"";"", TEXTJOIN(CHAR(10), TRUE, A1140&amp;"";"", ARRAYFORMULA(VLOOKUP(SPLIT(S1140, "";"" &amp; CHAR(10)), $A:$AO, 41, FALSE)))))"),"A41-5;")</f>
        <v>A41-5;</v>
      </c>
      <c r="AP1140" s="89"/>
    </row>
    <row r="1141">
      <c r="A1141" s="151" t="str">
        <f>IFERROR(__xludf.DUMMYFUNCTION("""COMPUTED_VALUE"""),"A41-6")</f>
        <v>A41-6</v>
      </c>
      <c r="B1141" s="42" t="str">
        <f>IFERROR(__xludf.DUMMYFUNCTION("""COMPUTED_VALUE"""),"DHBA")</f>
        <v>DHBA</v>
      </c>
      <c r="C1141" s="42" t="str">
        <f>IFERROR(__xludf.DUMMYFUNCTION("""COMPUTED_VALUE"""),"layer VI of area 41")</f>
        <v>layer VI of area 41</v>
      </c>
      <c r="D1141" s="42">
        <f>IFERROR(__xludf.DUMMYFUNCTION("""COMPUTED_VALUE"""),1074.0)</f>
        <v>1074</v>
      </c>
      <c r="E1141" s="39" t="str">
        <f>IFERROR(__xludf.DUMMYFUNCTION("""COMPUTED_VALUE"""),"layer VI of area 41")</f>
        <v>layer VI of area 41</v>
      </c>
      <c r="F1141" s="9" t="str">
        <f>IFERROR(__xludf.DUMMYFUNCTION("""COMPUTED_VALUE"""),"Br")</f>
        <v>Br</v>
      </c>
      <c r="G1141" s="9" t="str">
        <f>IFERROR(__xludf.DUMMYFUNCTION("""COMPUTED_VALUE"""),"F")</f>
        <v>F</v>
      </c>
      <c r="H1141" s="9" t="str">
        <f>IFERROR(__xludf.DUMMYFUNCTION("""COMPUTED_VALUE"""),"FGM")</f>
        <v>FGM</v>
      </c>
      <c r="I1141" s="9" t="str">
        <f>IFERROR(__xludf.DUMMYFUNCTION("""COMPUTED_VALUE"""),"Tel")</f>
        <v>Tel</v>
      </c>
      <c r="J1141" s="9" t="str">
        <f>IFERROR(__xludf.DUMMYFUNCTION("""COMPUTED_VALUE"""),"Cx")</f>
        <v>Cx</v>
      </c>
      <c r="K1141" s="9" t="str">
        <f>IFERROR(__xludf.DUMMYFUNCTION("""COMPUTED_VALUE"""),"NCx")</f>
        <v>NCx</v>
      </c>
      <c r="L1141" s="9" t="str">
        <f>IFERROR(__xludf.DUMMYFUNCTION("""COMPUTED_VALUE"""),"TCx")</f>
        <v>TCx</v>
      </c>
      <c r="M1141" s="9" t="str">
        <f>IFERROR(__xludf.DUMMYFUNCTION("""COMPUTED_VALUE"""),"DLTC")</f>
        <v>DLTC</v>
      </c>
      <c r="N1141" s="9" t="str">
        <f>IFERROR(__xludf.DUMMYFUNCTION("""COMPUTED_VALUE"""),"A1C")</f>
        <v>A1C</v>
      </c>
      <c r="O1141" s="9" t="str">
        <f>IFERROR(__xludf.DUMMYFUNCTION("""COMPUTED_VALUE"""),"A41")</f>
        <v>A41</v>
      </c>
      <c r="P1141" s="9" t="str">
        <f>IFERROR(__xludf.DUMMYFUNCTION("""COMPUTED_VALUE"""),"A41-6")</f>
        <v>A41-6</v>
      </c>
      <c r="Q1141" s="9"/>
      <c r="R1141" s="9"/>
      <c r="S1141" s="42"/>
      <c r="T1141" s="42"/>
      <c r="U1141" s="42"/>
      <c r="V1141" s="42"/>
      <c r="W1141" s="42"/>
      <c r="X1141" s="42"/>
      <c r="Y1141" s="42"/>
      <c r="Z1141" s="42"/>
      <c r="AA1141" s="42"/>
      <c r="AB1141" s="42" t="str">
        <f>IFERROR(__xludf.DUMMYFUNCTION("""COMPUTED_VALUE"""),"allen institute")</f>
        <v>allen institute</v>
      </c>
      <c r="AC1141" s="42" t="str">
        <f>IFERROR(__xludf.DUMMYFUNCTION("""COMPUTED_VALUE"""),"DHBA")</f>
        <v>DHBA</v>
      </c>
      <c r="AD1141" s="42"/>
      <c r="AE1141" s="42"/>
      <c r="AF1141" s="9"/>
      <c r="AG1141" s="9"/>
      <c r="AH1141" s="42"/>
      <c r="AI1141" s="42"/>
      <c r="AJ1141" s="42"/>
      <c r="AK1141" s="42"/>
      <c r="AL1141" s="42"/>
      <c r="AM1141" s="42"/>
      <c r="AN1141" s="42"/>
      <c r="AO1141" s="63" t="str">
        <f>IFERROR(__xludf.DUMMYFUNCTION("IF(ISBLANK(A1141),,IF(ISBLANK(S1141), A1141&amp;"";"", TEXTJOIN(CHAR(10), TRUE, A1141&amp;"";"", ARRAYFORMULA(VLOOKUP(SPLIT(S1141, "";"" &amp; CHAR(10)), $A:$AO, 41, FALSE)))))"),"A41-6;")</f>
        <v>A41-6;</v>
      </c>
      <c r="AP1141" s="89"/>
    </row>
    <row r="1142">
      <c r="A1142" s="151" t="str">
        <f>IFERROR(__xludf.DUMMYFUNCTION("""COMPUTED_VALUE"""),"A1Cr")</f>
        <v>A1Cr</v>
      </c>
      <c r="B1142" s="42" t="str">
        <f>IFERROR(__xludf.DUMMYFUNCTION("""COMPUTED_VALUE"""),"DHBA")</f>
        <v>DHBA</v>
      </c>
      <c r="C1142" s="42" t="str">
        <f>IFERROR(__xludf.DUMMYFUNCTION("""COMPUTED_VALUE"""),"rostal portion of A1C; RT; AuRT")</f>
        <v>rostal portion of A1C; RT; AuRT</v>
      </c>
      <c r="D1142" s="42">
        <f>IFERROR(__xludf.DUMMYFUNCTION("""COMPUTED_VALUE"""),1075.0)</f>
        <v>1075</v>
      </c>
      <c r="E1142" s="39" t="str">
        <f>IFERROR(__xludf.DUMMYFUNCTION("""COMPUTED_VALUE"""),"rostral portion of A1C")</f>
        <v>rostral portion of A1C</v>
      </c>
      <c r="F1142" s="9" t="str">
        <f>IFERROR(__xludf.DUMMYFUNCTION("""COMPUTED_VALUE"""),"Br")</f>
        <v>Br</v>
      </c>
      <c r="G1142" s="9" t="str">
        <f>IFERROR(__xludf.DUMMYFUNCTION("""COMPUTED_VALUE"""),"F")</f>
        <v>F</v>
      </c>
      <c r="H1142" s="9" t="str">
        <f>IFERROR(__xludf.DUMMYFUNCTION("""COMPUTED_VALUE"""),"FGM")</f>
        <v>FGM</v>
      </c>
      <c r="I1142" s="9" t="str">
        <f>IFERROR(__xludf.DUMMYFUNCTION("""COMPUTED_VALUE"""),"Tel")</f>
        <v>Tel</v>
      </c>
      <c r="J1142" s="9" t="str">
        <f>IFERROR(__xludf.DUMMYFUNCTION("""COMPUTED_VALUE"""),"Cx")</f>
        <v>Cx</v>
      </c>
      <c r="K1142" s="9" t="str">
        <f>IFERROR(__xludf.DUMMYFUNCTION("""COMPUTED_VALUE"""),"NCx")</f>
        <v>NCx</v>
      </c>
      <c r="L1142" s="9" t="str">
        <f>IFERROR(__xludf.DUMMYFUNCTION("""COMPUTED_VALUE"""),"TCx")</f>
        <v>TCx</v>
      </c>
      <c r="M1142" s="9" t="str">
        <f>IFERROR(__xludf.DUMMYFUNCTION("""COMPUTED_VALUE"""),"DLTC")</f>
        <v>DLTC</v>
      </c>
      <c r="N1142" s="9" t="str">
        <f>IFERROR(__xludf.DUMMYFUNCTION("""COMPUTED_VALUE"""),"A1C")</f>
        <v>A1C</v>
      </c>
      <c r="O1142" s="9" t="str">
        <f>IFERROR(__xludf.DUMMYFUNCTION("""COMPUTED_VALUE"""),"A1Cr")</f>
        <v>A1Cr</v>
      </c>
      <c r="P1142" s="9"/>
      <c r="Q1142" s="9"/>
      <c r="R1142" s="9"/>
      <c r="S1142" s="42" t="str">
        <f>IFERROR(__xludf.DUMMYFUNCTION("""COMPUTED_VALUE"""),"A1Cr1;
A1Cr2;
A1Cr3;
A1Cr4;
A1Cr5;
A1Cr6")</f>
        <v>A1Cr1;
A1Cr2;
A1Cr3;
A1Cr4;
A1Cr5;
A1Cr6</v>
      </c>
      <c r="T1142" s="42" t="str">
        <f>IFERROR(__xludf.DUMMYFUNCTION("""COMPUTED_VALUE"""),"NCx")</f>
        <v>NCx</v>
      </c>
      <c r="U1142" s="42" t="b">
        <f>IFERROR(__xludf.DUMMYFUNCTION("""COMPUTED_VALUE"""),FALSE)</f>
        <v>0</v>
      </c>
      <c r="V1142" s="42"/>
      <c r="W1142" s="42"/>
      <c r="X1142" s="42"/>
      <c r="Y1142" s="42" t="str">
        <f>IFERROR(__xludf.DUMMYFUNCTION("""COMPUTED_VALUE"""),"Early studies demonstrated a role of rostral auditory fields in the comprehension of speech and for caudal fields in the processing of the spatial location of sounds and auditory sensory guidance of speech production [Jasmin, 2019]")</f>
        <v>Early studies demonstrated a role of rostral auditory fields in the comprehension of speech and for caudal fields in the processing of the spatial location of sounds and auditory sensory guidance of speech production [Jasmin, 2019]</v>
      </c>
      <c r="Z1142" s="42"/>
      <c r="AA1142" s="42"/>
      <c r="AB1142" s="42" t="str">
        <f>IFERROR(__xludf.DUMMYFUNCTION("""COMPUTED_VALUE"""),"allen institute")</f>
        <v>allen institute</v>
      </c>
      <c r="AC1142" s="42" t="str">
        <f>IFERROR(__xludf.DUMMYFUNCTION("""COMPUTED_VALUE"""),"DHBA")</f>
        <v>DHBA</v>
      </c>
      <c r="AD1142" s="42"/>
      <c r="AE1142" s="42"/>
      <c r="AF1142" s="9"/>
      <c r="AG1142" s="9"/>
      <c r="AH1142" s="42"/>
      <c r="AI1142" s="42"/>
      <c r="AJ1142" s="42"/>
      <c r="AK1142" s="42"/>
      <c r="AL1142" s="42"/>
      <c r="AM1142" s="42"/>
      <c r="AN1142" s="42"/>
      <c r="AO1142" s="63" t="str">
        <f>IFERROR(__xludf.DUMMYFUNCTION("IF(ISBLANK(A1142),,IF(ISBLANK(S1142), A1142&amp;"";"", TEXTJOIN(CHAR(10), TRUE, A1142&amp;"";"", ARRAYFORMULA(VLOOKUP(SPLIT(S1142, "";"" &amp; CHAR(10)), $A:$AO, 41, FALSE)))))"),"A1Cr;
A1Cr1;
A1Cr2;
A1Cr3;
A1Cr4;
A1Cr5;
A1Cr6;")</f>
        <v>A1Cr;
A1Cr1;
A1Cr2;
A1Cr3;
A1Cr4;
A1Cr5;
A1Cr6;</v>
      </c>
      <c r="AP1142" s="89"/>
    </row>
    <row r="1143">
      <c r="A1143" s="151" t="str">
        <f>IFERROR(__xludf.DUMMYFUNCTION("""COMPUTED_VALUE"""),"A1Cr1")</f>
        <v>A1Cr1</v>
      </c>
      <c r="B1143" s="42" t="str">
        <f>IFERROR(__xludf.DUMMYFUNCTION("""COMPUTED_VALUE"""),"DHBA")</f>
        <v>DHBA</v>
      </c>
      <c r="C1143" s="42" t="str">
        <f>IFERROR(__xludf.DUMMYFUNCTION("""COMPUTED_VALUE"""),"layer I of rostral primary auditory cortex")</f>
        <v>layer I of rostral primary auditory cortex</v>
      </c>
      <c r="D1143" s="42">
        <f>IFERROR(__xludf.DUMMYFUNCTION("""COMPUTED_VALUE"""),1076.0)</f>
        <v>1076</v>
      </c>
      <c r="E1143" s="39" t="str">
        <f>IFERROR(__xludf.DUMMYFUNCTION("""COMPUTED_VALUE"""),"layer I of rostral primary auditory cortex")</f>
        <v>layer I of rostral primary auditory cortex</v>
      </c>
      <c r="F1143" s="9" t="str">
        <f>IFERROR(__xludf.DUMMYFUNCTION("""COMPUTED_VALUE"""),"Br")</f>
        <v>Br</v>
      </c>
      <c r="G1143" s="9" t="str">
        <f>IFERROR(__xludf.DUMMYFUNCTION("""COMPUTED_VALUE"""),"F")</f>
        <v>F</v>
      </c>
      <c r="H1143" s="9" t="str">
        <f>IFERROR(__xludf.DUMMYFUNCTION("""COMPUTED_VALUE"""),"FGM")</f>
        <v>FGM</v>
      </c>
      <c r="I1143" s="9" t="str">
        <f>IFERROR(__xludf.DUMMYFUNCTION("""COMPUTED_VALUE"""),"Tel")</f>
        <v>Tel</v>
      </c>
      <c r="J1143" s="9" t="str">
        <f>IFERROR(__xludf.DUMMYFUNCTION("""COMPUTED_VALUE"""),"Cx")</f>
        <v>Cx</v>
      </c>
      <c r="K1143" s="9" t="str">
        <f>IFERROR(__xludf.DUMMYFUNCTION("""COMPUTED_VALUE"""),"NCx")</f>
        <v>NCx</v>
      </c>
      <c r="L1143" s="9" t="str">
        <f>IFERROR(__xludf.DUMMYFUNCTION("""COMPUTED_VALUE"""),"TCx")</f>
        <v>TCx</v>
      </c>
      <c r="M1143" s="9" t="str">
        <f>IFERROR(__xludf.DUMMYFUNCTION("""COMPUTED_VALUE"""),"DLTC")</f>
        <v>DLTC</v>
      </c>
      <c r="N1143" s="9" t="str">
        <f>IFERROR(__xludf.DUMMYFUNCTION("""COMPUTED_VALUE"""),"A1C")</f>
        <v>A1C</v>
      </c>
      <c r="O1143" s="9" t="str">
        <f>IFERROR(__xludf.DUMMYFUNCTION("""COMPUTED_VALUE"""),"A1Cr")</f>
        <v>A1Cr</v>
      </c>
      <c r="P1143" s="9" t="str">
        <f>IFERROR(__xludf.DUMMYFUNCTION("""COMPUTED_VALUE"""),"A1Cr1")</f>
        <v>A1Cr1</v>
      </c>
      <c r="Q1143" s="9"/>
      <c r="R1143" s="9"/>
      <c r="S1143" s="42"/>
      <c r="T1143" s="42"/>
      <c r="U1143" s="42"/>
      <c r="V1143" s="42"/>
      <c r="W1143" s="42"/>
      <c r="X1143" s="42"/>
      <c r="Y1143" s="42"/>
      <c r="Z1143" s="42"/>
      <c r="AA1143" s="42"/>
      <c r="AB1143" s="42" t="str">
        <f>IFERROR(__xludf.DUMMYFUNCTION("""COMPUTED_VALUE"""),"allen institute")</f>
        <v>allen institute</v>
      </c>
      <c r="AC1143" s="42" t="str">
        <f>IFERROR(__xludf.DUMMYFUNCTION("""COMPUTED_VALUE"""),"DHBA")</f>
        <v>DHBA</v>
      </c>
      <c r="AD1143" s="42"/>
      <c r="AE1143" s="42"/>
      <c r="AF1143" s="9"/>
      <c r="AG1143" s="9"/>
      <c r="AH1143" s="42"/>
      <c r="AI1143" s="42"/>
      <c r="AJ1143" s="42"/>
      <c r="AK1143" s="42"/>
      <c r="AL1143" s="42"/>
      <c r="AM1143" s="42"/>
      <c r="AN1143" s="42"/>
      <c r="AO1143" s="63" t="str">
        <f>IFERROR(__xludf.DUMMYFUNCTION("IF(ISBLANK(A1143),,IF(ISBLANK(S1143), A1143&amp;"";"", TEXTJOIN(CHAR(10), TRUE, A1143&amp;"";"", ARRAYFORMULA(VLOOKUP(SPLIT(S1143, "";"" &amp; CHAR(10)), $A:$AO, 41, FALSE)))))"),"A1Cr1;")</f>
        <v>A1Cr1;</v>
      </c>
      <c r="AP1143" s="89"/>
    </row>
    <row r="1144">
      <c r="A1144" s="151" t="str">
        <f>IFERROR(__xludf.DUMMYFUNCTION("""COMPUTED_VALUE"""),"A1Cr2")</f>
        <v>A1Cr2</v>
      </c>
      <c r="B1144" s="42" t="str">
        <f>IFERROR(__xludf.DUMMYFUNCTION("""COMPUTED_VALUE"""),"DHBA")</f>
        <v>DHBA</v>
      </c>
      <c r="C1144" s="42" t="str">
        <f>IFERROR(__xludf.DUMMYFUNCTION("""COMPUTED_VALUE"""),"layer II of rostral primary auditory cortex")</f>
        <v>layer II of rostral primary auditory cortex</v>
      </c>
      <c r="D1144" s="42">
        <f>IFERROR(__xludf.DUMMYFUNCTION("""COMPUTED_VALUE"""),1077.0)</f>
        <v>1077</v>
      </c>
      <c r="E1144" s="39" t="str">
        <f>IFERROR(__xludf.DUMMYFUNCTION("""COMPUTED_VALUE"""),"layer II of rostral primary auditory cortex")</f>
        <v>layer II of rostral primary auditory cortex</v>
      </c>
      <c r="F1144" s="9" t="str">
        <f>IFERROR(__xludf.DUMMYFUNCTION("""COMPUTED_VALUE"""),"Br")</f>
        <v>Br</v>
      </c>
      <c r="G1144" s="9" t="str">
        <f>IFERROR(__xludf.DUMMYFUNCTION("""COMPUTED_VALUE"""),"F")</f>
        <v>F</v>
      </c>
      <c r="H1144" s="9" t="str">
        <f>IFERROR(__xludf.DUMMYFUNCTION("""COMPUTED_VALUE"""),"FGM")</f>
        <v>FGM</v>
      </c>
      <c r="I1144" s="9" t="str">
        <f>IFERROR(__xludf.DUMMYFUNCTION("""COMPUTED_VALUE"""),"Tel")</f>
        <v>Tel</v>
      </c>
      <c r="J1144" s="9" t="str">
        <f>IFERROR(__xludf.DUMMYFUNCTION("""COMPUTED_VALUE"""),"Cx")</f>
        <v>Cx</v>
      </c>
      <c r="K1144" s="9" t="str">
        <f>IFERROR(__xludf.DUMMYFUNCTION("""COMPUTED_VALUE"""),"NCx")</f>
        <v>NCx</v>
      </c>
      <c r="L1144" s="9" t="str">
        <f>IFERROR(__xludf.DUMMYFUNCTION("""COMPUTED_VALUE"""),"TCx")</f>
        <v>TCx</v>
      </c>
      <c r="M1144" s="9" t="str">
        <f>IFERROR(__xludf.DUMMYFUNCTION("""COMPUTED_VALUE"""),"DLTC")</f>
        <v>DLTC</v>
      </c>
      <c r="N1144" s="9" t="str">
        <f>IFERROR(__xludf.DUMMYFUNCTION("""COMPUTED_VALUE"""),"A1C")</f>
        <v>A1C</v>
      </c>
      <c r="O1144" s="9" t="str">
        <f>IFERROR(__xludf.DUMMYFUNCTION("""COMPUTED_VALUE"""),"A1Cr")</f>
        <v>A1Cr</v>
      </c>
      <c r="P1144" s="9" t="str">
        <f>IFERROR(__xludf.DUMMYFUNCTION("""COMPUTED_VALUE"""),"A1Cr2")</f>
        <v>A1Cr2</v>
      </c>
      <c r="Q1144" s="9"/>
      <c r="R1144" s="9"/>
      <c r="S1144" s="42"/>
      <c r="T1144" s="42"/>
      <c r="U1144" s="42"/>
      <c r="V1144" s="42"/>
      <c r="W1144" s="42"/>
      <c r="X1144" s="42"/>
      <c r="Y1144" s="42"/>
      <c r="Z1144" s="42"/>
      <c r="AA1144" s="42"/>
      <c r="AB1144" s="42" t="str">
        <f>IFERROR(__xludf.DUMMYFUNCTION("""COMPUTED_VALUE"""),"allen institute")</f>
        <v>allen institute</v>
      </c>
      <c r="AC1144" s="42" t="str">
        <f>IFERROR(__xludf.DUMMYFUNCTION("""COMPUTED_VALUE"""),"DHBA")</f>
        <v>DHBA</v>
      </c>
      <c r="AD1144" s="42"/>
      <c r="AE1144" s="42"/>
      <c r="AF1144" s="9"/>
      <c r="AG1144" s="9"/>
      <c r="AH1144" s="42"/>
      <c r="AI1144" s="42"/>
      <c r="AJ1144" s="42"/>
      <c r="AK1144" s="42"/>
      <c r="AL1144" s="42"/>
      <c r="AM1144" s="42"/>
      <c r="AN1144" s="42"/>
      <c r="AO1144" s="63" t="str">
        <f>IFERROR(__xludf.DUMMYFUNCTION("IF(ISBLANK(A1144),,IF(ISBLANK(S1144), A1144&amp;"";"", TEXTJOIN(CHAR(10), TRUE, A1144&amp;"";"", ARRAYFORMULA(VLOOKUP(SPLIT(S1144, "";"" &amp; CHAR(10)), $A:$AO, 41, FALSE)))))"),"A1Cr2;")</f>
        <v>A1Cr2;</v>
      </c>
      <c r="AP1144" s="89"/>
    </row>
    <row r="1145">
      <c r="A1145" s="151" t="str">
        <f>IFERROR(__xludf.DUMMYFUNCTION("""COMPUTED_VALUE"""),"A1Cr3")</f>
        <v>A1Cr3</v>
      </c>
      <c r="B1145" s="42" t="str">
        <f>IFERROR(__xludf.DUMMYFUNCTION("""COMPUTED_VALUE"""),"DHBA")</f>
        <v>DHBA</v>
      </c>
      <c r="C1145" s="42" t="str">
        <f>IFERROR(__xludf.DUMMYFUNCTION("""COMPUTED_VALUE"""),"layer III of rostral primary auditory cortex")</f>
        <v>layer III of rostral primary auditory cortex</v>
      </c>
      <c r="D1145" s="42">
        <f>IFERROR(__xludf.DUMMYFUNCTION("""COMPUTED_VALUE"""),1078.0)</f>
        <v>1078</v>
      </c>
      <c r="E1145" s="39" t="str">
        <f>IFERROR(__xludf.DUMMYFUNCTION("""COMPUTED_VALUE"""),"layer III of rostral primary auditory cortex")</f>
        <v>layer III of rostral primary auditory cortex</v>
      </c>
      <c r="F1145" s="9" t="str">
        <f>IFERROR(__xludf.DUMMYFUNCTION("""COMPUTED_VALUE"""),"Br")</f>
        <v>Br</v>
      </c>
      <c r="G1145" s="9" t="str">
        <f>IFERROR(__xludf.DUMMYFUNCTION("""COMPUTED_VALUE"""),"F")</f>
        <v>F</v>
      </c>
      <c r="H1145" s="9" t="str">
        <f>IFERROR(__xludf.DUMMYFUNCTION("""COMPUTED_VALUE"""),"FGM")</f>
        <v>FGM</v>
      </c>
      <c r="I1145" s="9" t="str">
        <f>IFERROR(__xludf.DUMMYFUNCTION("""COMPUTED_VALUE"""),"Tel")</f>
        <v>Tel</v>
      </c>
      <c r="J1145" s="9" t="str">
        <f>IFERROR(__xludf.DUMMYFUNCTION("""COMPUTED_VALUE"""),"Cx")</f>
        <v>Cx</v>
      </c>
      <c r="K1145" s="9" t="str">
        <f>IFERROR(__xludf.DUMMYFUNCTION("""COMPUTED_VALUE"""),"NCx")</f>
        <v>NCx</v>
      </c>
      <c r="L1145" s="9" t="str">
        <f>IFERROR(__xludf.DUMMYFUNCTION("""COMPUTED_VALUE"""),"TCx")</f>
        <v>TCx</v>
      </c>
      <c r="M1145" s="9" t="str">
        <f>IFERROR(__xludf.DUMMYFUNCTION("""COMPUTED_VALUE"""),"DLTC")</f>
        <v>DLTC</v>
      </c>
      <c r="N1145" s="9" t="str">
        <f>IFERROR(__xludf.DUMMYFUNCTION("""COMPUTED_VALUE"""),"A1C")</f>
        <v>A1C</v>
      </c>
      <c r="O1145" s="9" t="str">
        <f>IFERROR(__xludf.DUMMYFUNCTION("""COMPUTED_VALUE"""),"A1Cr")</f>
        <v>A1Cr</v>
      </c>
      <c r="P1145" s="9" t="str">
        <f>IFERROR(__xludf.DUMMYFUNCTION("""COMPUTED_VALUE"""),"A1Cr3")</f>
        <v>A1Cr3</v>
      </c>
      <c r="Q1145" s="9"/>
      <c r="R1145" s="9"/>
      <c r="S1145" s="42"/>
      <c r="T1145" s="42"/>
      <c r="U1145" s="42"/>
      <c r="V1145" s="42"/>
      <c r="W1145" s="42"/>
      <c r="X1145" s="42"/>
      <c r="Y1145" s="42"/>
      <c r="Z1145" s="42"/>
      <c r="AA1145" s="42"/>
      <c r="AB1145" s="42" t="str">
        <f>IFERROR(__xludf.DUMMYFUNCTION("""COMPUTED_VALUE"""),"allen institute")</f>
        <v>allen institute</v>
      </c>
      <c r="AC1145" s="42" t="str">
        <f>IFERROR(__xludf.DUMMYFUNCTION("""COMPUTED_VALUE"""),"DHBA")</f>
        <v>DHBA</v>
      </c>
      <c r="AD1145" s="42"/>
      <c r="AE1145" s="42"/>
      <c r="AF1145" s="9"/>
      <c r="AG1145" s="9"/>
      <c r="AH1145" s="42"/>
      <c r="AI1145" s="42"/>
      <c r="AJ1145" s="42"/>
      <c r="AK1145" s="42"/>
      <c r="AL1145" s="42"/>
      <c r="AM1145" s="42"/>
      <c r="AN1145" s="42"/>
      <c r="AO1145" s="63" t="str">
        <f>IFERROR(__xludf.DUMMYFUNCTION("IF(ISBLANK(A1145),,IF(ISBLANK(S1145), A1145&amp;"";"", TEXTJOIN(CHAR(10), TRUE, A1145&amp;"";"", ARRAYFORMULA(VLOOKUP(SPLIT(S1145, "";"" &amp; CHAR(10)), $A:$AO, 41, FALSE)))))"),"A1Cr3;")</f>
        <v>A1Cr3;</v>
      </c>
      <c r="AP1145" s="89"/>
    </row>
    <row r="1146">
      <c r="A1146" s="151" t="str">
        <f>IFERROR(__xludf.DUMMYFUNCTION("""COMPUTED_VALUE"""),"A1Cr4")</f>
        <v>A1Cr4</v>
      </c>
      <c r="B1146" s="42" t="str">
        <f>IFERROR(__xludf.DUMMYFUNCTION("""COMPUTED_VALUE"""),"DHBA")</f>
        <v>DHBA</v>
      </c>
      <c r="C1146" s="42" t="str">
        <f>IFERROR(__xludf.DUMMYFUNCTION("""COMPUTED_VALUE"""),"layer IV of rostral primary auditory cortex")</f>
        <v>layer IV of rostral primary auditory cortex</v>
      </c>
      <c r="D1146" s="42">
        <f>IFERROR(__xludf.DUMMYFUNCTION("""COMPUTED_VALUE"""),1079.0)</f>
        <v>1079</v>
      </c>
      <c r="E1146" s="39" t="str">
        <f>IFERROR(__xludf.DUMMYFUNCTION("""COMPUTED_VALUE"""),"layer IV of rostral primary auditory cortex")</f>
        <v>layer IV of rostral primary auditory cortex</v>
      </c>
      <c r="F1146" s="9" t="str">
        <f>IFERROR(__xludf.DUMMYFUNCTION("""COMPUTED_VALUE"""),"Br")</f>
        <v>Br</v>
      </c>
      <c r="G1146" s="9" t="str">
        <f>IFERROR(__xludf.DUMMYFUNCTION("""COMPUTED_VALUE"""),"F")</f>
        <v>F</v>
      </c>
      <c r="H1146" s="9" t="str">
        <f>IFERROR(__xludf.DUMMYFUNCTION("""COMPUTED_VALUE"""),"FGM")</f>
        <v>FGM</v>
      </c>
      <c r="I1146" s="9" t="str">
        <f>IFERROR(__xludf.DUMMYFUNCTION("""COMPUTED_VALUE"""),"Tel")</f>
        <v>Tel</v>
      </c>
      <c r="J1146" s="9" t="str">
        <f>IFERROR(__xludf.DUMMYFUNCTION("""COMPUTED_VALUE"""),"Cx")</f>
        <v>Cx</v>
      </c>
      <c r="K1146" s="9" t="str">
        <f>IFERROR(__xludf.DUMMYFUNCTION("""COMPUTED_VALUE"""),"NCx")</f>
        <v>NCx</v>
      </c>
      <c r="L1146" s="9" t="str">
        <f>IFERROR(__xludf.DUMMYFUNCTION("""COMPUTED_VALUE"""),"TCx")</f>
        <v>TCx</v>
      </c>
      <c r="M1146" s="9" t="str">
        <f>IFERROR(__xludf.DUMMYFUNCTION("""COMPUTED_VALUE"""),"DLTC")</f>
        <v>DLTC</v>
      </c>
      <c r="N1146" s="9" t="str">
        <f>IFERROR(__xludf.DUMMYFUNCTION("""COMPUTED_VALUE"""),"A1C")</f>
        <v>A1C</v>
      </c>
      <c r="O1146" s="9" t="str">
        <f>IFERROR(__xludf.DUMMYFUNCTION("""COMPUTED_VALUE"""),"A1Cr")</f>
        <v>A1Cr</v>
      </c>
      <c r="P1146" s="9" t="str">
        <f>IFERROR(__xludf.DUMMYFUNCTION("""COMPUTED_VALUE"""),"A1Cr4")</f>
        <v>A1Cr4</v>
      </c>
      <c r="Q1146" s="9"/>
      <c r="R1146" s="9"/>
      <c r="S1146" s="42"/>
      <c r="T1146" s="42"/>
      <c r="U1146" s="42"/>
      <c r="V1146" s="42"/>
      <c r="W1146" s="42"/>
      <c r="X1146" s="42"/>
      <c r="Y1146" s="42"/>
      <c r="Z1146" s="42"/>
      <c r="AA1146" s="42"/>
      <c r="AB1146" s="42" t="str">
        <f>IFERROR(__xludf.DUMMYFUNCTION("""COMPUTED_VALUE"""),"allen institute")</f>
        <v>allen institute</v>
      </c>
      <c r="AC1146" s="42" t="str">
        <f>IFERROR(__xludf.DUMMYFUNCTION("""COMPUTED_VALUE"""),"DHBA")</f>
        <v>DHBA</v>
      </c>
      <c r="AD1146" s="42"/>
      <c r="AE1146" s="42"/>
      <c r="AF1146" s="9"/>
      <c r="AG1146" s="9"/>
      <c r="AH1146" s="42"/>
      <c r="AI1146" s="42"/>
      <c r="AJ1146" s="42"/>
      <c r="AK1146" s="42"/>
      <c r="AL1146" s="42"/>
      <c r="AM1146" s="42"/>
      <c r="AN1146" s="42"/>
      <c r="AO1146" s="63" t="str">
        <f>IFERROR(__xludf.DUMMYFUNCTION("IF(ISBLANK(A1146),,IF(ISBLANK(S1146), A1146&amp;"";"", TEXTJOIN(CHAR(10), TRUE, A1146&amp;"";"", ARRAYFORMULA(VLOOKUP(SPLIT(S1146, "";"" &amp; CHAR(10)), $A:$AO, 41, FALSE)))))"),"A1Cr4;")</f>
        <v>A1Cr4;</v>
      </c>
      <c r="AP1146" s="89"/>
    </row>
    <row r="1147">
      <c r="A1147" s="151" t="str">
        <f>IFERROR(__xludf.DUMMYFUNCTION("""COMPUTED_VALUE"""),"A1Cr5")</f>
        <v>A1Cr5</v>
      </c>
      <c r="B1147" s="42" t="str">
        <f>IFERROR(__xludf.DUMMYFUNCTION("""COMPUTED_VALUE"""),"DHBA")</f>
        <v>DHBA</v>
      </c>
      <c r="C1147" s="42" t="str">
        <f>IFERROR(__xludf.DUMMYFUNCTION("""COMPUTED_VALUE"""),"layer V of rostral primary auditory cortex")</f>
        <v>layer V of rostral primary auditory cortex</v>
      </c>
      <c r="D1147" s="42">
        <f>IFERROR(__xludf.DUMMYFUNCTION("""COMPUTED_VALUE"""),1080.0)</f>
        <v>1080</v>
      </c>
      <c r="E1147" s="39" t="str">
        <f>IFERROR(__xludf.DUMMYFUNCTION("""COMPUTED_VALUE"""),"layer V of rostral primary auditory cortex")</f>
        <v>layer V of rostral primary auditory cortex</v>
      </c>
      <c r="F1147" s="9" t="str">
        <f>IFERROR(__xludf.DUMMYFUNCTION("""COMPUTED_VALUE"""),"Br")</f>
        <v>Br</v>
      </c>
      <c r="G1147" s="9" t="str">
        <f>IFERROR(__xludf.DUMMYFUNCTION("""COMPUTED_VALUE"""),"F")</f>
        <v>F</v>
      </c>
      <c r="H1147" s="9" t="str">
        <f>IFERROR(__xludf.DUMMYFUNCTION("""COMPUTED_VALUE"""),"FGM")</f>
        <v>FGM</v>
      </c>
      <c r="I1147" s="9" t="str">
        <f>IFERROR(__xludf.DUMMYFUNCTION("""COMPUTED_VALUE"""),"Tel")</f>
        <v>Tel</v>
      </c>
      <c r="J1147" s="9" t="str">
        <f>IFERROR(__xludf.DUMMYFUNCTION("""COMPUTED_VALUE"""),"Cx")</f>
        <v>Cx</v>
      </c>
      <c r="K1147" s="9" t="str">
        <f>IFERROR(__xludf.DUMMYFUNCTION("""COMPUTED_VALUE"""),"NCx")</f>
        <v>NCx</v>
      </c>
      <c r="L1147" s="9" t="str">
        <f>IFERROR(__xludf.DUMMYFUNCTION("""COMPUTED_VALUE"""),"TCx")</f>
        <v>TCx</v>
      </c>
      <c r="M1147" s="9" t="str">
        <f>IFERROR(__xludf.DUMMYFUNCTION("""COMPUTED_VALUE"""),"DLTC")</f>
        <v>DLTC</v>
      </c>
      <c r="N1147" s="9" t="str">
        <f>IFERROR(__xludf.DUMMYFUNCTION("""COMPUTED_VALUE"""),"A1C")</f>
        <v>A1C</v>
      </c>
      <c r="O1147" s="9" t="str">
        <f>IFERROR(__xludf.DUMMYFUNCTION("""COMPUTED_VALUE"""),"A1Cr")</f>
        <v>A1Cr</v>
      </c>
      <c r="P1147" s="9" t="str">
        <f>IFERROR(__xludf.DUMMYFUNCTION("""COMPUTED_VALUE"""),"A1Cr5")</f>
        <v>A1Cr5</v>
      </c>
      <c r="Q1147" s="9"/>
      <c r="R1147" s="9"/>
      <c r="S1147" s="42"/>
      <c r="T1147" s="42"/>
      <c r="U1147" s="42"/>
      <c r="V1147" s="42"/>
      <c r="W1147" s="42"/>
      <c r="X1147" s="42"/>
      <c r="Y1147" s="42"/>
      <c r="Z1147" s="42"/>
      <c r="AA1147" s="42"/>
      <c r="AB1147" s="42" t="str">
        <f>IFERROR(__xludf.DUMMYFUNCTION("""COMPUTED_VALUE"""),"allen institute")</f>
        <v>allen institute</v>
      </c>
      <c r="AC1147" s="42" t="str">
        <f>IFERROR(__xludf.DUMMYFUNCTION("""COMPUTED_VALUE"""),"DHBA")</f>
        <v>DHBA</v>
      </c>
      <c r="AD1147" s="42"/>
      <c r="AE1147" s="42"/>
      <c r="AF1147" s="9"/>
      <c r="AG1147" s="9"/>
      <c r="AH1147" s="42"/>
      <c r="AI1147" s="42"/>
      <c r="AJ1147" s="42"/>
      <c r="AK1147" s="42"/>
      <c r="AL1147" s="42"/>
      <c r="AM1147" s="42"/>
      <c r="AN1147" s="42"/>
      <c r="AO1147" s="63" t="str">
        <f>IFERROR(__xludf.DUMMYFUNCTION("IF(ISBLANK(A1147),,IF(ISBLANK(S1147), A1147&amp;"";"", TEXTJOIN(CHAR(10), TRUE, A1147&amp;"";"", ARRAYFORMULA(VLOOKUP(SPLIT(S1147, "";"" &amp; CHAR(10)), $A:$AO, 41, FALSE)))))"),"A1Cr5;")</f>
        <v>A1Cr5;</v>
      </c>
      <c r="AP1147" s="89"/>
    </row>
    <row r="1148">
      <c r="A1148" s="151" t="str">
        <f>IFERROR(__xludf.DUMMYFUNCTION("""COMPUTED_VALUE"""),"A1Cr6")</f>
        <v>A1Cr6</v>
      </c>
      <c r="B1148" s="42" t="str">
        <f>IFERROR(__xludf.DUMMYFUNCTION("""COMPUTED_VALUE"""),"DHBA")</f>
        <v>DHBA</v>
      </c>
      <c r="C1148" s="42" t="str">
        <f>IFERROR(__xludf.DUMMYFUNCTION("""COMPUTED_VALUE"""),"layer VI of rostral primary auditory cortex")</f>
        <v>layer VI of rostral primary auditory cortex</v>
      </c>
      <c r="D1148" s="42">
        <f>IFERROR(__xludf.DUMMYFUNCTION("""COMPUTED_VALUE"""),1081.0)</f>
        <v>1081</v>
      </c>
      <c r="E1148" s="39" t="str">
        <f>IFERROR(__xludf.DUMMYFUNCTION("""COMPUTED_VALUE"""),"layer VI of rostral primary auditory cortex")</f>
        <v>layer VI of rostral primary auditory cortex</v>
      </c>
      <c r="F1148" s="9" t="str">
        <f>IFERROR(__xludf.DUMMYFUNCTION("""COMPUTED_VALUE"""),"Br")</f>
        <v>Br</v>
      </c>
      <c r="G1148" s="9" t="str">
        <f>IFERROR(__xludf.DUMMYFUNCTION("""COMPUTED_VALUE"""),"F")</f>
        <v>F</v>
      </c>
      <c r="H1148" s="9" t="str">
        <f>IFERROR(__xludf.DUMMYFUNCTION("""COMPUTED_VALUE"""),"FGM")</f>
        <v>FGM</v>
      </c>
      <c r="I1148" s="9" t="str">
        <f>IFERROR(__xludf.DUMMYFUNCTION("""COMPUTED_VALUE"""),"Tel")</f>
        <v>Tel</v>
      </c>
      <c r="J1148" s="9" t="str">
        <f>IFERROR(__xludf.DUMMYFUNCTION("""COMPUTED_VALUE"""),"Cx")</f>
        <v>Cx</v>
      </c>
      <c r="K1148" s="9" t="str">
        <f>IFERROR(__xludf.DUMMYFUNCTION("""COMPUTED_VALUE"""),"NCx")</f>
        <v>NCx</v>
      </c>
      <c r="L1148" s="9" t="str">
        <f>IFERROR(__xludf.DUMMYFUNCTION("""COMPUTED_VALUE"""),"TCx")</f>
        <v>TCx</v>
      </c>
      <c r="M1148" s="9" t="str">
        <f>IFERROR(__xludf.DUMMYFUNCTION("""COMPUTED_VALUE"""),"DLTC")</f>
        <v>DLTC</v>
      </c>
      <c r="N1148" s="9" t="str">
        <f>IFERROR(__xludf.DUMMYFUNCTION("""COMPUTED_VALUE"""),"A1C")</f>
        <v>A1C</v>
      </c>
      <c r="O1148" s="9" t="str">
        <f>IFERROR(__xludf.DUMMYFUNCTION("""COMPUTED_VALUE"""),"A1Cr")</f>
        <v>A1Cr</v>
      </c>
      <c r="P1148" s="9" t="str">
        <f>IFERROR(__xludf.DUMMYFUNCTION("""COMPUTED_VALUE"""),"A1Cr6")</f>
        <v>A1Cr6</v>
      </c>
      <c r="Q1148" s="9"/>
      <c r="R1148" s="9"/>
      <c r="S1148" s="42"/>
      <c r="T1148" s="42"/>
      <c r="U1148" s="42"/>
      <c r="V1148" s="42"/>
      <c r="W1148" s="42"/>
      <c r="X1148" s="42"/>
      <c r="Y1148" s="42"/>
      <c r="Z1148" s="42"/>
      <c r="AA1148" s="42"/>
      <c r="AB1148" s="42" t="str">
        <f>IFERROR(__xludf.DUMMYFUNCTION("""COMPUTED_VALUE"""),"allen institute")</f>
        <v>allen institute</v>
      </c>
      <c r="AC1148" s="42" t="str">
        <f>IFERROR(__xludf.DUMMYFUNCTION("""COMPUTED_VALUE"""),"DHBA")</f>
        <v>DHBA</v>
      </c>
      <c r="AD1148" s="42"/>
      <c r="AE1148" s="42"/>
      <c r="AF1148" s="9"/>
      <c r="AG1148" s="9"/>
      <c r="AH1148" s="42"/>
      <c r="AI1148" s="42"/>
      <c r="AJ1148" s="42"/>
      <c r="AK1148" s="42"/>
      <c r="AL1148" s="42"/>
      <c r="AM1148" s="42"/>
      <c r="AN1148" s="42"/>
      <c r="AO1148" s="63" t="str">
        <f>IFERROR(__xludf.DUMMYFUNCTION("IF(ISBLANK(A1148),,IF(ISBLANK(S1148), A1148&amp;"";"", TEXTJOIN(CHAR(10), TRUE, A1148&amp;"";"", ARRAYFORMULA(VLOOKUP(SPLIT(S1148, "";"" &amp; CHAR(10)), $A:$AO, 41, FALSE)))))"),"A1Cr6;")</f>
        <v>A1Cr6;</v>
      </c>
      <c r="AP1148" s="89"/>
    </row>
    <row r="1149">
      <c r="A1149" s="151" t="str">
        <f>IFERROR(__xludf.DUMMYFUNCTION("""COMPUTED_VALUE"""),"A42")</f>
        <v>A42</v>
      </c>
      <c r="B1149" s="42" t="str">
        <f>IFERROR(__xludf.DUMMYFUNCTION("""COMPUTED_VALUE"""),"DHBA")</f>
        <v>DHBA</v>
      </c>
      <c r="C1149" s="42" t="str">
        <f>IFERROR(__xludf.DUMMYFUNCTION("""COMPUTED_VALUE"""),"secodary auditory cortex (belt, area 42)")</f>
        <v>secodary auditory cortex (belt, area 42)</v>
      </c>
      <c r="D1149" s="42">
        <f>IFERROR(__xludf.DUMMYFUNCTION("""COMPUTED_VALUE"""),1082.0)</f>
        <v>1082</v>
      </c>
      <c r="E1149" s="39" t="str">
        <f>IFERROR(__xludf.DUMMYFUNCTION("""COMPUTED_VALUE"""),"secondary auditory cortex (belt, area 42)")</f>
        <v>secondary auditory cortex (belt, area 42)</v>
      </c>
      <c r="F1149" s="9" t="str">
        <f>IFERROR(__xludf.DUMMYFUNCTION("""COMPUTED_VALUE"""),"Br")</f>
        <v>Br</v>
      </c>
      <c r="G1149" s="9" t="str">
        <f>IFERROR(__xludf.DUMMYFUNCTION("""COMPUTED_VALUE"""),"F")</f>
        <v>F</v>
      </c>
      <c r="H1149" s="9" t="str">
        <f>IFERROR(__xludf.DUMMYFUNCTION("""COMPUTED_VALUE"""),"FGM")</f>
        <v>FGM</v>
      </c>
      <c r="I1149" s="9" t="str">
        <f>IFERROR(__xludf.DUMMYFUNCTION("""COMPUTED_VALUE"""),"Tel")</f>
        <v>Tel</v>
      </c>
      <c r="J1149" s="9" t="str">
        <f>IFERROR(__xludf.DUMMYFUNCTION("""COMPUTED_VALUE"""),"Cx")</f>
        <v>Cx</v>
      </c>
      <c r="K1149" s="9" t="str">
        <f>IFERROR(__xludf.DUMMYFUNCTION("""COMPUTED_VALUE"""),"NCx")</f>
        <v>NCx</v>
      </c>
      <c r="L1149" s="9" t="str">
        <f>IFERROR(__xludf.DUMMYFUNCTION("""COMPUTED_VALUE"""),"TCx")</f>
        <v>TCx</v>
      </c>
      <c r="M1149" s="9" t="str">
        <f>IFERROR(__xludf.DUMMYFUNCTION("""COMPUTED_VALUE"""),"DLTC")</f>
        <v>DLTC</v>
      </c>
      <c r="N1149" s="9" t="str">
        <f>IFERROR(__xludf.DUMMYFUNCTION("""COMPUTED_VALUE"""),"A42")</f>
        <v>A42</v>
      </c>
      <c r="O1149" s="9"/>
      <c r="P1149" s="9"/>
      <c r="Q1149" s="9"/>
      <c r="R1149" s="9"/>
      <c r="S1149" s="42" t="str">
        <f>IFERROR(__xludf.DUMMYFUNCTION("""COMPUTED_VALUE"""),"AuRTL;
AuRTM;
AL;
RM;
ML;
MM;
CL;
CM;
A42_1;
A42_2;
A42_3;
A42_4;
A42_5;
A42_6")</f>
        <v>AuRTL;
AuRTM;
AL;
RM;
ML;
MM;
CL;
CM;
A42_1;
A42_2;
A42_3;
A42_4;
A42_5;
A42_6</v>
      </c>
      <c r="T1149" s="42" t="str">
        <f>IFERROR(__xludf.DUMMYFUNCTION("""COMPUTED_VALUE"""),"NCx")</f>
        <v>NCx</v>
      </c>
      <c r="U1149" s="42" t="b">
        <f>IFERROR(__xludf.DUMMYFUNCTION("""COMPUTED_VALUE"""),FALSE)</f>
        <v>0</v>
      </c>
      <c r="V1149" s="42"/>
      <c r="W1149" s="42"/>
      <c r="X1149" s="42"/>
      <c r="Y1149" s="42"/>
      <c r="Z1149" s="42"/>
      <c r="AA1149" s="42"/>
      <c r="AB1149" s="42" t="str">
        <f>IFERROR(__xludf.DUMMYFUNCTION("""COMPUTED_VALUE"""),"allen institute")</f>
        <v>allen institute</v>
      </c>
      <c r="AC1149" s="42" t="str">
        <f>IFERROR(__xludf.DUMMYFUNCTION("""COMPUTED_VALUE"""),"DHBA")</f>
        <v>DHBA</v>
      </c>
      <c r="AD1149" s="42"/>
      <c r="AE1149" s="42"/>
      <c r="AF1149" s="9"/>
      <c r="AG1149" s="9"/>
      <c r="AH1149" s="42"/>
      <c r="AI1149" s="42"/>
      <c r="AJ1149" s="42"/>
      <c r="AK1149" s="42"/>
      <c r="AL1149" s="42"/>
      <c r="AM1149" s="42"/>
      <c r="AN1149" s="42"/>
      <c r="AO1149" s="63" t="str">
        <f>IFERROR(__xludf.DUMMYFUNCTION("IF(ISBLANK(A1149),,IF(ISBLANK(S1149), A1149&amp;"";"", TEXTJOIN(CHAR(10), TRUE, A1149&amp;"";"", ARRAYFORMULA(VLOOKUP(SPLIT(S1149, "";"" &amp; CHAR(10)), $A:$AO, 41, FALSE)))))"),"#N/A")</f>
        <v>#N/A</v>
      </c>
      <c r="AP1149" s="89"/>
    </row>
    <row r="1150">
      <c r="A1150" s="151" t="str">
        <f>IFERROR(__xludf.DUMMYFUNCTION("""COMPUTED_VALUE"""),"A42-1")</f>
        <v>A42-1</v>
      </c>
      <c r="B1150" s="42" t="str">
        <f>IFERROR(__xludf.DUMMYFUNCTION("""COMPUTED_VALUE"""),"DHBA")</f>
        <v>DHBA</v>
      </c>
      <c r="C1150" s="42" t="str">
        <f>IFERROR(__xludf.DUMMYFUNCTION("""COMPUTED_VALUE"""),"layer I of area 42")</f>
        <v>layer I of area 42</v>
      </c>
      <c r="D1150" s="42">
        <f>IFERROR(__xludf.DUMMYFUNCTION("""COMPUTED_VALUE"""),1083.0)</f>
        <v>1083</v>
      </c>
      <c r="E1150" s="39" t="str">
        <f>IFERROR(__xludf.DUMMYFUNCTION("""COMPUTED_VALUE"""),"layer I of area 42")</f>
        <v>layer I of area 42</v>
      </c>
      <c r="F1150" s="9" t="str">
        <f>IFERROR(__xludf.DUMMYFUNCTION("""COMPUTED_VALUE"""),"Br")</f>
        <v>Br</v>
      </c>
      <c r="G1150" s="9" t="str">
        <f>IFERROR(__xludf.DUMMYFUNCTION("""COMPUTED_VALUE"""),"F")</f>
        <v>F</v>
      </c>
      <c r="H1150" s="9" t="str">
        <f>IFERROR(__xludf.DUMMYFUNCTION("""COMPUTED_VALUE"""),"FGM")</f>
        <v>FGM</v>
      </c>
      <c r="I1150" s="9" t="str">
        <f>IFERROR(__xludf.DUMMYFUNCTION("""COMPUTED_VALUE"""),"Tel")</f>
        <v>Tel</v>
      </c>
      <c r="J1150" s="9" t="str">
        <f>IFERROR(__xludf.DUMMYFUNCTION("""COMPUTED_VALUE"""),"Cx")</f>
        <v>Cx</v>
      </c>
      <c r="K1150" s="9" t="str">
        <f>IFERROR(__xludf.DUMMYFUNCTION("""COMPUTED_VALUE"""),"NCx")</f>
        <v>NCx</v>
      </c>
      <c r="L1150" s="9" t="str">
        <f>IFERROR(__xludf.DUMMYFUNCTION("""COMPUTED_VALUE"""),"TCx")</f>
        <v>TCx</v>
      </c>
      <c r="M1150" s="9" t="str">
        <f>IFERROR(__xludf.DUMMYFUNCTION("""COMPUTED_VALUE"""),"DLTC")</f>
        <v>DLTC</v>
      </c>
      <c r="N1150" s="9" t="str">
        <f>IFERROR(__xludf.DUMMYFUNCTION("""COMPUTED_VALUE"""),"A42")</f>
        <v>A42</v>
      </c>
      <c r="O1150" s="9" t="str">
        <f>IFERROR(__xludf.DUMMYFUNCTION("""COMPUTED_VALUE"""),"A42-1")</f>
        <v>A42-1</v>
      </c>
      <c r="P1150" s="9"/>
      <c r="Q1150" s="9"/>
      <c r="R1150" s="9"/>
      <c r="S1150" s="42"/>
      <c r="T1150" s="42"/>
      <c r="U1150" s="42"/>
      <c r="V1150" s="42"/>
      <c r="W1150" s="42"/>
      <c r="X1150" s="42"/>
      <c r="Y1150" s="42"/>
      <c r="Z1150" s="42"/>
      <c r="AA1150" s="42"/>
      <c r="AB1150" s="42" t="str">
        <f>IFERROR(__xludf.DUMMYFUNCTION("""COMPUTED_VALUE"""),"allen institute")</f>
        <v>allen institute</v>
      </c>
      <c r="AC1150" s="42" t="str">
        <f>IFERROR(__xludf.DUMMYFUNCTION("""COMPUTED_VALUE"""),"DHBA")</f>
        <v>DHBA</v>
      </c>
      <c r="AD1150" s="42"/>
      <c r="AE1150" s="42"/>
      <c r="AF1150" s="9"/>
      <c r="AG1150" s="9"/>
      <c r="AH1150" s="42"/>
      <c r="AI1150" s="42"/>
      <c r="AJ1150" s="42"/>
      <c r="AK1150" s="42"/>
      <c r="AL1150" s="42"/>
      <c r="AM1150" s="42"/>
      <c r="AN1150" s="42"/>
      <c r="AO1150" s="63" t="str">
        <f>IFERROR(__xludf.DUMMYFUNCTION("IF(ISBLANK(A1150),,IF(ISBLANK(S1150), A1150&amp;"";"", TEXTJOIN(CHAR(10), TRUE, A1150&amp;"";"", ARRAYFORMULA(VLOOKUP(SPLIT(S1150, "";"" &amp; CHAR(10)), $A:$AO, 41, FALSE)))))"),"A42-1;")</f>
        <v>A42-1;</v>
      </c>
      <c r="AP1150" s="89"/>
    </row>
    <row r="1151">
      <c r="A1151" s="151" t="str">
        <f>IFERROR(__xludf.DUMMYFUNCTION("""COMPUTED_VALUE"""),"A42-2")</f>
        <v>A42-2</v>
      </c>
      <c r="B1151" s="42" t="str">
        <f>IFERROR(__xludf.DUMMYFUNCTION("""COMPUTED_VALUE"""),"DHBA")</f>
        <v>DHBA</v>
      </c>
      <c r="C1151" s="42" t="str">
        <f>IFERROR(__xludf.DUMMYFUNCTION("""COMPUTED_VALUE"""),"layer II of area 42")</f>
        <v>layer II of area 42</v>
      </c>
      <c r="D1151" s="42">
        <f>IFERROR(__xludf.DUMMYFUNCTION("""COMPUTED_VALUE"""),1084.0)</f>
        <v>1084</v>
      </c>
      <c r="E1151" s="39" t="str">
        <f>IFERROR(__xludf.DUMMYFUNCTION("""COMPUTED_VALUE"""),"layer II of area 42")</f>
        <v>layer II of area 42</v>
      </c>
      <c r="F1151" s="9" t="str">
        <f>IFERROR(__xludf.DUMMYFUNCTION("""COMPUTED_VALUE"""),"Br")</f>
        <v>Br</v>
      </c>
      <c r="G1151" s="9" t="str">
        <f>IFERROR(__xludf.DUMMYFUNCTION("""COMPUTED_VALUE"""),"F")</f>
        <v>F</v>
      </c>
      <c r="H1151" s="9" t="str">
        <f>IFERROR(__xludf.DUMMYFUNCTION("""COMPUTED_VALUE"""),"FGM")</f>
        <v>FGM</v>
      </c>
      <c r="I1151" s="9" t="str">
        <f>IFERROR(__xludf.DUMMYFUNCTION("""COMPUTED_VALUE"""),"Tel")</f>
        <v>Tel</v>
      </c>
      <c r="J1151" s="9" t="str">
        <f>IFERROR(__xludf.DUMMYFUNCTION("""COMPUTED_VALUE"""),"Cx")</f>
        <v>Cx</v>
      </c>
      <c r="K1151" s="9" t="str">
        <f>IFERROR(__xludf.DUMMYFUNCTION("""COMPUTED_VALUE"""),"NCx")</f>
        <v>NCx</v>
      </c>
      <c r="L1151" s="9" t="str">
        <f>IFERROR(__xludf.DUMMYFUNCTION("""COMPUTED_VALUE"""),"TCx")</f>
        <v>TCx</v>
      </c>
      <c r="M1151" s="9" t="str">
        <f>IFERROR(__xludf.DUMMYFUNCTION("""COMPUTED_VALUE"""),"DLTC")</f>
        <v>DLTC</v>
      </c>
      <c r="N1151" s="9" t="str">
        <f>IFERROR(__xludf.DUMMYFUNCTION("""COMPUTED_VALUE"""),"A42")</f>
        <v>A42</v>
      </c>
      <c r="O1151" s="9" t="str">
        <f>IFERROR(__xludf.DUMMYFUNCTION("""COMPUTED_VALUE"""),"A42-2")</f>
        <v>A42-2</v>
      </c>
      <c r="P1151" s="9"/>
      <c r="Q1151" s="9"/>
      <c r="R1151" s="9"/>
      <c r="S1151" s="42"/>
      <c r="T1151" s="42"/>
      <c r="U1151" s="42"/>
      <c r="V1151" s="42"/>
      <c r="W1151" s="42"/>
      <c r="X1151" s="42"/>
      <c r="Y1151" s="42"/>
      <c r="Z1151" s="42"/>
      <c r="AA1151" s="42"/>
      <c r="AB1151" s="42" t="str">
        <f>IFERROR(__xludf.DUMMYFUNCTION("""COMPUTED_VALUE"""),"allen institute")</f>
        <v>allen institute</v>
      </c>
      <c r="AC1151" s="42" t="str">
        <f>IFERROR(__xludf.DUMMYFUNCTION("""COMPUTED_VALUE"""),"DHBA")</f>
        <v>DHBA</v>
      </c>
      <c r="AD1151" s="42"/>
      <c r="AE1151" s="42"/>
      <c r="AF1151" s="9"/>
      <c r="AG1151" s="9"/>
      <c r="AH1151" s="42"/>
      <c r="AI1151" s="42"/>
      <c r="AJ1151" s="42"/>
      <c r="AK1151" s="42"/>
      <c r="AL1151" s="42"/>
      <c r="AM1151" s="42"/>
      <c r="AN1151" s="42"/>
      <c r="AO1151" s="63" t="str">
        <f>IFERROR(__xludf.DUMMYFUNCTION("IF(ISBLANK(A1151),,IF(ISBLANK(S1151), A1151&amp;"";"", TEXTJOIN(CHAR(10), TRUE, A1151&amp;"";"", ARRAYFORMULA(VLOOKUP(SPLIT(S1151, "";"" &amp; CHAR(10)), $A:$AO, 41, FALSE)))))"),"A42-2;")</f>
        <v>A42-2;</v>
      </c>
      <c r="AP1151" s="89"/>
    </row>
    <row r="1152">
      <c r="A1152" s="151" t="str">
        <f>IFERROR(__xludf.DUMMYFUNCTION("""COMPUTED_VALUE"""),"A42-3")</f>
        <v>A42-3</v>
      </c>
      <c r="B1152" s="42" t="str">
        <f>IFERROR(__xludf.DUMMYFUNCTION("""COMPUTED_VALUE"""),"DHBA")</f>
        <v>DHBA</v>
      </c>
      <c r="C1152" s="42" t="str">
        <f>IFERROR(__xludf.DUMMYFUNCTION("""COMPUTED_VALUE"""),"layer III of area 42")</f>
        <v>layer III of area 42</v>
      </c>
      <c r="D1152" s="42">
        <f>IFERROR(__xludf.DUMMYFUNCTION("""COMPUTED_VALUE"""),1085.0)</f>
        <v>1085</v>
      </c>
      <c r="E1152" s="39" t="str">
        <f>IFERROR(__xludf.DUMMYFUNCTION("""COMPUTED_VALUE"""),"layer III of area 42")</f>
        <v>layer III of area 42</v>
      </c>
      <c r="F1152" s="9" t="str">
        <f>IFERROR(__xludf.DUMMYFUNCTION("""COMPUTED_VALUE"""),"Br")</f>
        <v>Br</v>
      </c>
      <c r="G1152" s="9" t="str">
        <f>IFERROR(__xludf.DUMMYFUNCTION("""COMPUTED_VALUE"""),"F")</f>
        <v>F</v>
      </c>
      <c r="H1152" s="9" t="str">
        <f>IFERROR(__xludf.DUMMYFUNCTION("""COMPUTED_VALUE"""),"FGM")</f>
        <v>FGM</v>
      </c>
      <c r="I1152" s="9" t="str">
        <f>IFERROR(__xludf.DUMMYFUNCTION("""COMPUTED_VALUE"""),"Tel")</f>
        <v>Tel</v>
      </c>
      <c r="J1152" s="9" t="str">
        <f>IFERROR(__xludf.DUMMYFUNCTION("""COMPUTED_VALUE"""),"Cx")</f>
        <v>Cx</v>
      </c>
      <c r="K1152" s="9" t="str">
        <f>IFERROR(__xludf.DUMMYFUNCTION("""COMPUTED_VALUE"""),"NCx")</f>
        <v>NCx</v>
      </c>
      <c r="L1152" s="9" t="str">
        <f>IFERROR(__xludf.DUMMYFUNCTION("""COMPUTED_VALUE"""),"TCx")</f>
        <v>TCx</v>
      </c>
      <c r="M1152" s="9" t="str">
        <f>IFERROR(__xludf.DUMMYFUNCTION("""COMPUTED_VALUE"""),"DLTC")</f>
        <v>DLTC</v>
      </c>
      <c r="N1152" s="9" t="str">
        <f>IFERROR(__xludf.DUMMYFUNCTION("""COMPUTED_VALUE"""),"A42")</f>
        <v>A42</v>
      </c>
      <c r="O1152" s="9" t="str">
        <f>IFERROR(__xludf.DUMMYFUNCTION("""COMPUTED_VALUE"""),"A42-3")</f>
        <v>A42-3</v>
      </c>
      <c r="P1152" s="9"/>
      <c r="Q1152" s="9"/>
      <c r="R1152" s="9"/>
      <c r="S1152" s="42"/>
      <c r="T1152" s="42"/>
      <c r="U1152" s="42"/>
      <c r="V1152" s="42"/>
      <c r="W1152" s="42"/>
      <c r="X1152" s="42"/>
      <c r="Y1152" s="42"/>
      <c r="Z1152" s="42"/>
      <c r="AA1152" s="42"/>
      <c r="AB1152" s="42" t="str">
        <f>IFERROR(__xludf.DUMMYFUNCTION("""COMPUTED_VALUE"""),"allen institute")</f>
        <v>allen institute</v>
      </c>
      <c r="AC1152" s="42" t="str">
        <f>IFERROR(__xludf.DUMMYFUNCTION("""COMPUTED_VALUE"""),"DHBA")</f>
        <v>DHBA</v>
      </c>
      <c r="AD1152" s="42"/>
      <c r="AE1152" s="42"/>
      <c r="AF1152" s="9"/>
      <c r="AG1152" s="9"/>
      <c r="AH1152" s="42"/>
      <c r="AI1152" s="42"/>
      <c r="AJ1152" s="42"/>
      <c r="AK1152" s="42"/>
      <c r="AL1152" s="42"/>
      <c r="AM1152" s="42"/>
      <c r="AN1152" s="42"/>
      <c r="AO1152" s="63" t="str">
        <f>IFERROR(__xludf.DUMMYFUNCTION("IF(ISBLANK(A1152),,IF(ISBLANK(S1152), A1152&amp;"";"", TEXTJOIN(CHAR(10), TRUE, A1152&amp;"";"", ARRAYFORMULA(VLOOKUP(SPLIT(S1152, "";"" &amp; CHAR(10)), $A:$AO, 41, FALSE)))))"),"A42-3;")</f>
        <v>A42-3;</v>
      </c>
      <c r="AP1152" s="89"/>
    </row>
    <row r="1153">
      <c r="A1153" s="151" t="str">
        <f>IFERROR(__xludf.DUMMYFUNCTION("""COMPUTED_VALUE"""),"A42-4")</f>
        <v>A42-4</v>
      </c>
      <c r="B1153" s="42" t="str">
        <f>IFERROR(__xludf.DUMMYFUNCTION("""COMPUTED_VALUE"""),"DHBA")</f>
        <v>DHBA</v>
      </c>
      <c r="C1153" s="42" t="str">
        <f>IFERROR(__xludf.DUMMYFUNCTION("""COMPUTED_VALUE"""),"layer IV of area 42")</f>
        <v>layer IV of area 42</v>
      </c>
      <c r="D1153" s="42">
        <f>IFERROR(__xludf.DUMMYFUNCTION("""COMPUTED_VALUE"""),1086.0)</f>
        <v>1086</v>
      </c>
      <c r="E1153" s="39" t="str">
        <f>IFERROR(__xludf.DUMMYFUNCTION("""COMPUTED_VALUE"""),"layer IV of area 42")</f>
        <v>layer IV of area 42</v>
      </c>
      <c r="F1153" s="9" t="str">
        <f>IFERROR(__xludf.DUMMYFUNCTION("""COMPUTED_VALUE"""),"Br")</f>
        <v>Br</v>
      </c>
      <c r="G1153" s="9" t="str">
        <f>IFERROR(__xludf.DUMMYFUNCTION("""COMPUTED_VALUE"""),"F")</f>
        <v>F</v>
      </c>
      <c r="H1153" s="9" t="str">
        <f>IFERROR(__xludf.DUMMYFUNCTION("""COMPUTED_VALUE"""),"FGM")</f>
        <v>FGM</v>
      </c>
      <c r="I1153" s="9" t="str">
        <f>IFERROR(__xludf.DUMMYFUNCTION("""COMPUTED_VALUE"""),"Tel")</f>
        <v>Tel</v>
      </c>
      <c r="J1153" s="9" t="str">
        <f>IFERROR(__xludf.DUMMYFUNCTION("""COMPUTED_VALUE"""),"Cx")</f>
        <v>Cx</v>
      </c>
      <c r="K1153" s="9" t="str">
        <f>IFERROR(__xludf.DUMMYFUNCTION("""COMPUTED_VALUE"""),"NCx")</f>
        <v>NCx</v>
      </c>
      <c r="L1153" s="9" t="str">
        <f>IFERROR(__xludf.DUMMYFUNCTION("""COMPUTED_VALUE"""),"TCx")</f>
        <v>TCx</v>
      </c>
      <c r="M1153" s="9" t="str">
        <f>IFERROR(__xludf.DUMMYFUNCTION("""COMPUTED_VALUE"""),"DLTC")</f>
        <v>DLTC</v>
      </c>
      <c r="N1153" s="9" t="str">
        <f>IFERROR(__xludf.DUMMYFUNCTION("""COMPUTED_VALUE"""),"A42")</f>
        <v>A42</v>
      </c>
      <c r="O1153" s="9" t="str">
        <f>IFERROR(__xludf.DUMMYFUNCTION("""COMPUTED_VALUE"""),"A42-4")</f>
        <v>A42-4</v>
      </c>
      <c r="P1153" s="9"/>
      <c r="Q1153" s="9"/>
      <c r="R1153" s="9"/>
      <c r="S1153" s="42"/>
      <c r="T1153" s="42"/>
      <c r="U1153" s="42"/>
      <c r="V1153" s="42"/>
      <c r="W1153" s="42"/>
      <c r="X1153" s="42"/>
      <c r="Y1153" s="42"/>
      <c r="Z1153" s="42"/>
      <c r="AA1153" s="42"/>
      <c r="AB1153" s="42" t="str">
        <f>IFERROR(__xludf.DUMMYFUNCTION("""COMPUTED_VALUE"""),"allen institute")</f>
        <v>allen institute</v>
      </c>
      <c r="AC1153" s="42" t="str">
        <f>IFERROR(__xludf.DUMMYFUNCTION("""COMPUTED_VALUE"""),"DHBA")</f>
        <v>DHBA</v>
      </c>
      <c r="AD1153" s="42"/>
      <c r="AE1153" s="42"/>
      <c r="AF1153" s="9"/>
      <c r="AG1153" s="9"/>
      <c r="AH1153" s="42"/>
      <c r="AI1153" s="42"/>
      <c r="AJ1153" s="42"/>
      <c r="AK1153" s="42"/>
      <c r="AL1153" s="42"/>
      <c r="AM1153" s="42"/>
      <c r="AN1153" s="42"/>
      <c r="AO1153" s="63" t="str">
        <f>IFERROR(__xludf.DUMMYFUNCTION("IF(ISBLANK(A1153),,IF(ISBLANK(S1153), A1153&amp;"";"", TEXTJOIN(CHAR(10), TRUE, A1153&amp;"";"", ARRAYFORMULA(VLOOKUP(SPLIT(S1153, "";"" &amp; CHAR(10)), $A:$AO, 41, FALSE)))))"),"A42-4;")</f>
        <v>A42-4;</v>
      </c>
      <c r="AP1153" s="89"/>
    </row>
    <row r="1154">
      <c r="A1154" s="151" t="str">
        <f>IFERROR(__xludf.DUMMYFUNCTION("""COMPUTED_VALUE"""),"A42-5")</f>
        <v>A42-5</v>
      </c>
      <c r="B1154" s="42" t="str">
        <f>IFERROR(__xludf.DUMMYFUNCTION("""COMPUTED_VALUE"""),"DHBA")</f>
        <v>DHBA</v>
      </c>
      <c r="C1154" s="42" t="str">
        <f>IFERROR(__xludf.DUMMYFUNCTION("""COMPUTED_VALUE"""),"layer V of area 42")</f>
        <v>layer V of area 42</v>
      </c>
      <c r="D1154" s="42">
        <f>IFERROR(__xludf.DUMMYFUNCTION("""COMPUTED_VALUE"""),1087.0)</f>
        <v>1087</v>
      </c>
      <c r="E1154" s="39" t="str">
        <f>IFERROR(__xludf.DUMMYFUNCTION("""COMPUTED_VALUE"""),"layer V of area 42")</f>
        <v>layer V of area 42</v>
      </c>
      <c r="F1154" s="9" t="str">
        <f>IFERROR(__xludf.DUMMYFUNCTION("""COMPUTED_VALUE"""),"Br")</f>
        <v>Br</v>
      </c>
      <c r="G1154" s="9" t="str">
        <f>IFERROR(__xludf.DUMMYFUNCTION("""COMPUTED_VALUE"""),"F")</f>
        <v>F</v>
      </c>
      <c r="H1154" s="9" t="str">
        <f>IFERROR(__xludf.DUMMYFUNCTION("""COMPUTED_VALUE"""),"FGM")</f>
        <v>FGM</v>
      </c>
      <c r="I1154" s="9" t="str">
        <f>IFERROR(__xludf.DUMMYFUNCTION("""COMPUTED_VALUE"""),"Tel")</f>
        <v>Tel</v>
      </c>
      <c r="J1154" s="9" t="str">
        <f>IFERROR(__xludf.DUMMYFUNCTION("""COMPUTED_VALUE"""),"Cx")</f>
        <v>Cx</v>
      </c>
      <c r="K1154" s="9" t="str">
        <f>IFERROR(__xludf.DUMMYFUNCTION("""COMPUTED_VALUE"""),"NCx")</f>
        <v>NCx</v>
      </c>
      <c r="L1154" s="9" t="str">
        <f>IFERROR(__xludf.DUMMYFUNCTION("""COMPUTED_VALUE"""),"TCx")</f>
        <v>TCx</v>
      </c>
      <c r="M1154" s="9" t="str">
        <f>IFERROR(__xludf.DUMMYFUNCTION("""COMPUTED_VALUE"""),"DLTC")</f>
        <v>DLTC</v>
      </c>
      <c r="N1154" s="9" t="str">
        <f>IFERROR(__xludf.DUMMYFUNCTION("""COMPUTED_VALUE"""),"A42")</f>
        <v>A42</v>
      </c>
      <c r="O1154" s="9" t="str">
        <f>IFERROR(__xludf.DUMMYFUNCTION("""COMPUTED_VALUE"""),"A42-5")</f>
        <v>A42-5</v>
      </c>
      <c r="P1154" s="9"/>
      <c r="Q1154" s="9"/>
      <c r="R1154" s="9"/>
      <c r="S1154" s="42"/>
      <c r="T1154" s="42"/>
      <c r="U1154" s="42"/>
      <c r="V1154" s="42"/>
      <c r="W1154" s="42"/>
      <c r="X1154" s="42"/>
      <c r="Y1154" s="42"/>
      <c r="Z1154" s="42"/>
      <c r="AA1154" s="42"/>
      <c r="AB1154" s="42" t="str">
        <f>IFERROR(__xludf.DUMMYFUNCTION("""COMPUTED_VALUE"""),"allen institute")</f>
        <v>allen institute</v>
      </c>
      <c r="AC1154" s="42" t="str">
        <f>IFERROR(__xludf.DUMMYFUNCTION("""COMPUTED_VALUE"""),"DHBA")</f>
        <v>DHBA</v>
      </c>
      <c r="AD1154" s="42"/>
      <c r="AE1154" s="42"/>
      <c r="AF1154" s="9"/>
      <c r="AG1154" s="9"/>
      <c r="AH1154" s="42"/>
      <c r="AI1154" s="42"/>
      <c r="AJ1154" s="42"/>
      <c r="AK1154" s="42"/>
      <c r="AL1154" s="42"/>
      <c r="AM1154" s="42"/>
      <c r="AN1154" s="42"/>
      <c r="AO1154" s="63" t="str">
        <f>IFERROR(__xludf.DUMMYFUNCTION("IF(ISBLANK(A1154),,IF(ISBLANK(S1154), A1154&amp;"";"", TEXTJOIN(CHAR(10), TRUE, A1154&amp;"";"", ARRAYFORMULA(VLOOKUP(SPLIT(S1154, "";"" &amp; CHAR(10)), $A:$AO, 41, FALSE)))))"),"A42-5;")</f>
        <v>A42-5;</v>
      </c>
      <c r="AP1154" s="89"/>
    </row>
    <row r="1155">
      <c r="A1155" s="151" t="str">
        <f>IFERROR(__xludf.DUMMYFUNCTION("""COMPUTED_VALUE"""),"A42-6")</f>
        <v>A42-6</v>
      </c>
      <c r="B1155" s="42" t="str">
        <f>IFERROR(__xludf.DUMMYFUNCTION("""COMPUTED_VALUE"""),"DHBA")</f>
        <v>DHBA</v>
      </c>
      <c r="C1155" s="42" t="str">
        <f>IFERROR(__xludf.DUMMYFUNCTION("""COMPUTED_VALUE"""),"layer VI of area 42")</f>
        <v>layer VI of area 42</v>
      </c>
      <c r="D1155" s="42">
        <f>IFERROR(__xludf.DUMMYFUNCTION("""COMPUTED_VALUE"""),1088.0)</f>
        <v>1088</v>
      </c>
      <c r="E1155" s="39" t="str">
        <f>IFERROR(__xludf.DUMMYFUNCTION("""COMPUTED_VALUE"""),"layer VI of area 42")</f>
        <v>layer VI of area 42</v>
      </c>
      <c r="F1155" s="9" t="str">
        <f>IFERROR(__xludf.DUMMYFUNCTION("""COMPUTED_VALUE"""),"Br")</f>
        <v>Br</v>
      </c>
      <c r="G1155" s="9" t="str">
        <f>IFERROR(__xludf.DUMMYFUNCTION("""COMPUTED_VALUE"""),"F")</f>
        <v>F</v>
      </c>
      <c r="H1155" s="9" t="str">
        <f>IFERROR(__xludf.DUMMYFUNCTION("""COMPUTED_VALUE"""),"FGM")</f>
        <v>FGM</v>
      </c>
      <c r="I1155" s="9" t="str">
        <f>IFERROR(__xludf.DUMMYFUNCTION("""COMPUTED_VALUE"""),"Tel")</f>
        <v>Tel</v>
      </c>
      <c r="J1155" s="9" t="str">
        <f>IFERROR(__xludf.DUMMYFUNCTION("""COMPUTED_VALUE"""),"Cx")</f>
        <v>Cx</v>
      </c>
      <c r="K1155" s="9" t="str">
        <f>IFERROR(__xludf.DUMMYFUNCTION("""COMPUTED_VALUE"""),"NCx")</f>
        <v>NCx</v>
      </c>
      <c r="L1155" s="9" t="str">
        <f>IFERROR(__xludf.DUMMYFUNCTION("""COMPUTED_VALUE"""),"TCx")</f>
        <v>TCx</v>
      </c>
      <c r="M1155" s="9" t="str">
        <f>IFERROR(__xludf.DUMMYFUNCTION("""COMPUTED_VALUE"""),"DLTC")</f>
        <v>DLTC</v>
      </c>
      <c r="N1155" s="9" t="str">
        <f>IFERROR(__xludf.DUMMYFUNCTION("""COMPUTED_VALUE"""),"A42")</f>
        <v>A42</v>
      </c>
      <c r="O1155" s="9" t="str">
        <f>IFERROR(__xludf.DUMMYFUNCTION("""COMPUTED_VALUE"""),"A42-6")</f>
        <v>A42-6</v>
      </c>
      <c r="P1155" s="9"/>
      <c r="Q1155" s="9"/>
      <c r="R1155" s="9"/>
      <c r="S1155" s="42"/>
      <c r="T1155" s="42"/>
      <c r="U1155" s="42"/>
      <c r="V1155" s="42"/>
      <c r="W1155" s="42"/>
      <c r="X1155" s="42"/>
      <c r="Y1155" s="42"/>
      <c r="Z1155" s="42"/>
      <c r="AA1155" s="42"/>
      <c r="AB1155" s="42" t="str">
        <f>IFERROR(__xludf.DUMMYFUNCTION("""COMPUTED_VALUE"""),"allen institute")</f>
        <v>allen institute</v>
      </c>
      <c r="AC1155" s="42" t="str">
        <f>IFERROR(__xludf.DUMMYFUNCTION("""COMPUTED_VALUE"""),"DHBA")</f>
        <v>DHBA</v>
      </c>
      <c r="AD1155" s="42"/>
      <c r="AE1155" s="42"/>
      <c r="AF1155" s="9"/>
      <c r="AG1155" s="9"/>
      <c r="AH1155" s="42"/>
      <c r="AI1155" s="42"/>
      <c r="AJ1155" s="42"/>
      <c r="AK1155" s="42"/>
      <c r="AL1155" s="42"/>
      <c r="AM1155" s="42"/>
      <c r="AN1155" s="42"/>
      <c r="AO1155" s="63" t="str">
        <f>IFERROR(__xludf.DUMMYFUNCTION("IF(ISBLANK(A1155),,IF(ISBLANK(S1155), A1155&amp;"";"", TEXTJOIN(CHAR(10), TRUE, A1155&amp;"";"", ARRAYFORMULA(VLOOKUP(SPLIT(S1155, "";"" &amp; CHAR(10)), $A:$AO, 41, FALSE)))))"),"A42-6;")</f>
        <v>A42-6;</v>
      </c>
      <c r="AP1155" s="89"/>
    </row>
    <row r="1156">
      <c r="A1156" s="151" t="str">
        <f>IFERROR(__xludf.DUMMYFUNCTION("""COMPUTED_VALUE"""),"SLTC")</f>
        <v>SLTC</v>
      </c>
      <c r="B1156" s="42" t="str">
        <f>IFERROR(__xludf.DUMMYFUNCTION("""COMPUTED_VALUE"""),"DHBA")</f>
        <v>DHBA</v>
      </c>
      <c r="C1156" s="42" t="str">
        <f>IFERROR(__xludf.DUMMYFUNCTION("""COMPUTED_VALUE"""),"superolateral temporal cortex")</f>
        <v>superolateral temporal cortex</v>
      </c>
      <c r="D1156" s="42">
        <f>IFERROR(__xludf.DUMMYFUNCTION("""COMPUTED_VALUE"""),1089.0)</f>
        <v>1089</v>
      </c>
      <c r="E1156" s="39" t="str">
        <f>IFERROR(__xludf.DUMMYFUNCTION("""COMPUTED_VALUE"""),"superolateral temporal cortex")</f>
        <v>superolateral temporal cortex</v>
      </c>
      <c r="F1156" s="9" t="str">
        <f>IFERROR(__xludf.DUMMYFUNCTION("""COMPUTED_VALUE"""),"Br")</f>
        <v>Br</v>
      </c>
      <c r="G1156" s="9" t="str">
        <f>IFERROR(__xludf.DUMMYFUNCTION("""COMPUTED_VALUE"""),"F")</f>
        <v>F</v>
      </c>
      <c r="H1156" s="9" t="str">
        <f>IFERROR(__xludf.DUMMYFUNCTION("""COMPUTED_VALUE"""),"FGM")</f>
        <v>FGM</v>
      </c>
      <c r="I1156" s="9" t="str">
        <f>IFERROR(__xludf.DUMMYFUNCTION("""COMPUTED_VALUE"""),"Tel")</f>
        <v>Tel</v>
      </c>
      <c r="J1156" s="9" t="str">
        <f>IFERROR(__xludf.DUMMYFUNCTION("""COMPUTED_VALUE"""),"Cx")</f>
        <v>Cx</v>
      </c>
      <c r="K1156" s="9" t="str">
        <f>IFERROR(__xludf.DUMMYFUNCTION("""COMPUTED_VALUE"""),"NCx")</f>
        <v>NCx</v>
      </c>
      <c r="L1156" s="9" t="str">
        <f>IFERROR(__xludf.DUMMYFUNCTION("""COMPUTED_VALUE"""),"TCx")</f>
        <v>TCx</v>
      </c>
      <c r="M1156" s="9" t="str">
        <f>IFERROR(__xludf.DUMMYFUNCTION("""COMPUTED_VALUE"""),"DLTC")</f>
        <v>DLTC</v>
      </c>
      <c r="N1156" s="9" t="str">
        <f>IFERROR(__xludf.DUMMYFUNCTION("""COMPUTED_VALUE"""),"SLTC")</f>
        <v>SLTC</v>
      </c>
      <c r="O1156" s="9"/>
      <c r="P1156" s="9"/>
      <c r="Q1156" s="9"/>
      <c r="R1156" s="9"/>
      <c r="S1156" s="42" t="str">
        <f>IFERROR(__xludf.DUMMYFUNCTION("""COMPUTED_VALUE"""),"ASTC;
ISTC;
STC")</f>
        <v>ASTC;
ISTC;
STC</v>
      </c>
      <c r="T1156" s="42"/>
      <c r="U1156" s="42" t="b">
        <f>IFERROR(__xludf.DUMMYFUNCTION("""COMPUTED_VALUE"""),FALSE)</f>
        <v>0</v>
      </c>
      <c r="V1156" s="42"/>
      <c r="W1156" s="42"/>
      <c r="X1156" s="42"/>
      <c r="Y1156" s="42"/>
      <c r="Z1156" s="42"/>
      <c r="AA1156" s="42"/>
      <c r="AB1156" s="42" t="str">
        <f>IFERROR(__xludf.DUMMYFUNCTION("""COMPUTED_VALUE"""),"allen institute")</f>
        <v>allen institute</v>
      </c>
      <c r="AC1156" s="42" t="str">
        <f>IFERROR(__xludf.DUMMYFUNCTION("""COMPUTED_VALUE"""),"DHBA")</f>
        <v>DHBA</v>
      </c>
      <c r="AD1156" s="42"/>
      <c r="AE1156" s="42"/>
      <c r="AF1156" s="9"/>
      <c r="AG1156" s="9"/>
      <c r="AH1156" s="42"/>
      <c r="AI1156" s="42"/>
      <c r="AJ1156" s="42"/>
      <c r="AK1156" s="42"/>
      <c r="AL1156" s="42"/>
      <c r="AM1156" s="42"/>
      <c r="AN1156" s="42"/>
      <c r="AO1156" s="63" t="str">
        <f>IFERROR(__xludf.DUMMYFUNCTION("IF(ISBLANK(A1156),,IF(ISBLANK(S1156), A1156&amp;"";"", TEXTJOIN(CHAR(10), TRUE, A1156&amp;"";"", ARRAYFORMULA(VLOOKUP(SPLIT(S1156, "";"" &amp; CHAR(10)), $A:$AO, 41, FALSE)))))"),"SLTC;
ASTC;
A22r1;
A22r2;
A22r3;
A22r4;
A22r5;
A22r6;
ISTC;
A22i1;
A22i2;
A22i3;
A22i4;
A22i5;
A22i6;
STC;
A22c1;
A22c2;
A22c3;
A22c4;
A22c5;
A22c6;")</f>
        <v>SLTC;
ASTC;
A22r1;
A22r2;
A22r3;
A22r4;
A22r5;
A22r6;
ISTC;
A22i1;
A22i2;
A22i3;
A22i4;
A22i5;
A22i6;
STC;
A22c1;
A22c2;
A22c3;
A22c4;
A22c5;
A22c6;</v>
      </c>
      <c r="AP1156" s="89"/>
    </row>
    <row r="1157">
      <c r="A1157" s="151" t="str">
        <f>IFERROR(__xludf.DUMMYFUNCTION("""COMPUTED_VALUE"""),"ASTC")</f>
        <v>ASTC</v>
      </c>
      <c r="B1157" s="42" t="str">
        <f>IFERROR(__xludf.DUMMYFUNCTION("""COMPUTED_VALUE"""),"DHBA")</f>
        <v>DHBA</v>
      </c>
      <c r="C1157" s="42" t="str">
        <f>IFERROR(__xludf.DUMMYFUNCTION("""COMPUTED_VALUE"""),"anterior (rostral) superior temporal cortex (area 22r), RTp")</f>
        <v>anterior (rostral) superior temporal cortex (area 22r), RTp</v>
      </c>
      <c r="D1157" s="42">
        <f>IFERROR(__xludf.DUMMYFUNCTION("""COMPUTED_VALUE"""),1090.0)</f>
        <v>1090</v>
      </c>
      <c r="E1157" s="39" t="str">
        <f>IFERROR(__xludf.DUMMYFUNCTION("""COMPUTED_VALUE"""),"anterior (rostral) superior temporal cortex (area 22r)")</f>
        <v>anterior (rostral) superior temporal cortex (area 22r)</v>
      </c>
      <c r="F1157" s="9" t="str">
        <f>IFERROR(__xludf.DUMMYFUNCTION("""COMPUTED_VALUE"""),"Br")</f>
        <v>Br</v>
      </c>
      <c r="G1157" s="9" t="str">
        <f>IFERROR(__xludf.DUMMYFUNCTION("""COMPUTED_VALUE"""),"F")</f>
        <v>F</v>
      </c>
      <c r="H1157" s="9" t="str">
        <f>IFERROR(__xludf.DUMMYFUNCTION("""COMPUTED_VALUE"""),"FGM")</f>
        <v>FGM</v>
      </c>
      <c r="I1157" s="9" t="str">
        <f>IFERROR(__xludf.DUMMYFUNCTION("""COMPUTED_VALUE"""),"Tel")</f>
        <v>Tel</v>
      </c>
      <c r="J1157" s="9" t="str">
        <f>IFERROR(__xludf.DUMMYFUNCTION("""COMPUTED_VALUE"""),"Cx")</f>
        <v>Cx</v>
      </c>
      <c r="K1157" s="9" t="str">
        <f>IFERROR(__xludf.DUMMYFUNCTION("""COMPUTED_VALUE"""),"NCx")</f>
        <v>NCx</v>
      </c>
      <c r="L1157" s="9" t="str">
        <f>IFERROR(__xludf.DUMMYFUNCTION("""COMPUTED_VALUE"""),"TCx")</f>
        <v>TCx</v>
      </c>
      <c r="M1157" s="9" t="str">
        <f>IFERROR(__xludf.DUMMYFUNCTION("""COMPUTED_VALUE"""),"DLTC")</f>
        <v>DLTC</v>
      </c>
      <c r="N1157" s="9" t="str">
        <f>IFERROR(__xludf.DUMMYFUNCTION("""COMPUTED_VALUE"""),"SLTC")</f>
        <v>SLTC</v>
      </c>
      <c r="O1157" s="9" t="str">
        <f>IFERROR(__xludf.DUMMYFUNCTION("""COMPUTED_VALUE"""),"ASTC")</f>
        <v>ASTC</v>
      </c>
      <c r="P1157" s="9"/>
      <c r="Q1157" s="9"/>
      <c r="R1157" s="9"/>
      <c r="S1157" s="42" t="str">
        <f>IFERROR(__xludf.DUMMYFUNCTION("""COMPUTED_VALUE"""),"A22r1;
A22r2;
A22r3;
A22r4;
A22r5;
A22r6")</f>
        <v>A22r1;
A22r2;
A22r3;
A22r4;
A22r5;
A22r6</v>
      </c>
      <c r="T1157" s="42" t="str">
        <f>IFERROR(__xludf.DUMMYFUNCTION("""COMPUTED_VALUE"""),"NCx")</f>
        <v>NCx</v>
      </c>
      <c r="U1157" s="42" t="b">
        <f>IFERROR(__xludf.DUMMYFUNCTION("""COMPUTED_VALUE"""),FALSE)</f>
        <v>0</v>
      </c>
      <c r="V1157" s="42"/>
      <c r="W1157" s="42"/>
      <c r="X1157" s="42"/>
      <c r="Y1157" s="42" t="str">
        <f>IFERROR(__xludf.DUMMYFUNCTION("""COMPUTED_VALUE""")," ")</f>
        <v> </v>
      </c>
      <c r="Z1157" s="42"/>
      <c r="AA1157" s="42"/>
      <c r="AB1157" s="42" t="str">
        <f>IFERROR(__xludf.DUMMYFUNCTION("""COMPUTED_VALUE"""),"allen institute")</f>
        <v>allen institute</v>
      </c>
      <c r="AC1157" s="42" t="str">
        <f>IFERROR(__xludf.DUMMYFUNCTION("""COMPUTED_VALUE"""),"DHBA")</f>
        <v>DHBA</v>
      </c>
      <c r="AD1157" s="42"/>
      <c r="AE1157" s="42"/>
      <c r="AF1157" s="9"/>
      <c r="AG1157" s="9"/>
      <c r="AH1157" s="42"/>
      <c r="AI1157" s="42"/>
      <c r="AJ1157" s="42"/>
      <c r="AK1157" s="42"/>
      <c r="AL1157" s="42"/>
      <c r="AM1157" s="42"/>
      <c r="AN1157" s="42"/>
      <c r="AO1157" s="63" t="str">
        <f>IFERROR(__xludf.DUMMYFUNCTION("IF(ISBLANK(A1157),,IF(ISBLANK(S1157), A1157&amp;"";"", TEXTJOIN(CHAR(10), TRUE, A1157&amp;"";"", ARRAYFORMULA(VLOOKUP(SPLIT(S1157, "";"" &amp; CHAR(10)), $A:$AO, 41, FALSE)))))"),"ASTC;
A22r1;
A22r2;
A22r3;
A22r4;
A22r5;
A22r6;")</f>
        <v>ASTC;
A22r1;
A22r2;
A22r3;
A22r4;
A22r5;
A22r6;</v>
      </c>
      <c r="AP1157" s="89"/>
    </row>
    <row r="1158">
      <c r="A1158" s="151" t="str">
        <f>IFERROR(__xludf.DUMMYFUNCTION("""COMPUTED_VALUE"""),"A22r1")</f>
        <v>A22r1</v>
      </c>
      <c r="B1158" s="42" t="str">
        <f>IFERROR(__xludf.DUMMYFUNCTION("""COMPUTED_VALUE"""),"DHBA")</f>
        <v>DHBA</v>
      </c>
      <c r="C1158" s="42" t="str">
        <f>IFERROR(__xludf.DUMMYFUNCTION("""COMPUTED_VALUE"""),"layer I of area 22r")</f>
        <v>layer I of area 22r</v>
      </c>
      <c r="D1158" s="42">
        <f>IFERROR(__xludf.DUMMYFUNCTION("""COMPUTED_VALUE"""),1091.0)</f>
        <v>1091</v>
      </c>
      <c r="E1158" s="39" t="str">
        <f>IFERROR(__xludf.DUMMYFUNCTION("""COMPUTED_VALUE"""),"layer I of area 22r")</f>
        <v>layer I of area 22r</v>
      </c>
      <c r="F1158" s="9" t="str">
        <f>IFERROR(__xludf.DUMMYFUNCTION("""COMPUTED_VALUE"""),"Br")</f>
        <v>Br</v>
      </c>
      <c r="G1158" s="9" t="str">
        <f>IFERROR(__xludf.DUMMYFUNCTION("""COMPUTED_VALUE"""),"F")</f>
        <v>F</v>
      </c>
      <c r="H1158" s="9" t="str">
        <f>IFERROR(__xludf.DUMMYFUNCTION("""COMPUTED_VALUE"""),"FGM")</f>
        <v>FGM</v>
      </c>
      <c r="I1158" s="9" t="str">
        <f>IFERROR(__xludf.DUMMYFUNCTION("""COMPUTED_VALUE"""),"Tel")</f>
        <v>Tel</v>
      </c>
      <c r="J1158" s="9" t="str">
        <f>IFERROR(__xludf.DUMMYFUNCTION("""COMPUTED_VALUE"""),"Cx")</f>
        <v>Cx</v>
      </c>
      <c r="K1158" s="9" t="str">
        <f>IFERROR(__xludf.DUMMYFUNCTION("""COMPUTED_VALUE"""),"NCx")</f>
        <v>NCx</v>
      </c>
      <c r="L1158" s="9" t="str">
        <f>IFERROR(__xludf.DUMMYFUNCTION("""COMPUTED_VALUE"""),"TCx")</f>
        <v>TCx</v>
      </c>
      <c r="M1158" s="9" t="str">
        <f>IFERROR(__xludf.DUMMYFUNCTION("""COMPUTED_VALUE"""),"DLTC")</f>
        <v>DLTC</v>
      </c>
      <c r="N1158" s="9" t="str">
        <f>IFERROR(__xludf.DUMMYFUNCTION("""COMPUTED_VALUE"""),"SLTC")</f>
        <v>SLTC</v>
      </c>
      <c r="O1158" s="9" t="str">
        <f>IFERROR(__xludf.DUMMYFUNCTION("""COMPUTED_VALUE"""),"ASTC")</f>
        <v>ASTC</v>
      </c>
      <c r="P1158" s="9" t="str">
        <f>IFERROR(__xludf.DUMMYFUNCTION("""COMPUTED_VALUE"""),"A22r1")</f>
        <v>A22r1</v>
      </c>
      <c r="Q1158" s="9"/>
      <c r="R1158" s="9"/>
      <c r="S1158" s="42"/>
      <c r="T1158" s="42"/>
      <c r="U1158" s="42"/>
      <c r="V1158" s="42"/>
      <c r="W1158" s="42"/>
      <c r="X1158" s="42"/>
      <c r="Y1158" s="42"/>
      <c r="Z1158" s="42"/>
      <c r="AA1158" s="42"/>
      <c r="AB1158" s="42" t="str">
        <f>IFERROR(__xludf.DUMMYFUNCTION("""COMPUTED_VALUE"""),"allen institute")</f>
        <v>allen institute</v>
      </c>
      <c r="AC1158" s="42" t="str">
        <f>IFERROR(__xludf.DUMMYFUNCTION("""COMPUTED_VALUE"""),"DHBA")</f>
        <v>DHBA</v>
      </c>
      <c r="AD1158" s="42"/>
      <c r="AE1158" s="42"/>
      <c r="AF1158" s="9"/>
      <c r="AG1158" s="9"/>
      <c r="AH1158" s="42"/>
      <c r="AI1158" s="42"/>
      <c r="AJ1158" s="42"/>
      <c r="AK1158" s="42"/>
      <c r="AL1158" s="42"/>
      <c r="AM1158" s="42"/>
      <c r="AN1158" s="42"/>
      <c r="AO1158" s="63" t="str">
        <f>IFERROR(__xludf.DUMMYFUNCTION("IF(ISBLANK(A1158),,IF(ISBLANK(S1158), A1158&amp;"";"", TEXTJOIN(CHAR(10), TRUE, A1158&amp;"";"", ARRAYFORMULA(VLOOKUP(SPLIT(S1158, "";"" &amp; CHAR(10)), $A:$AO, 41, FALSE)))))"),"A22r1;")</f>
        <v>A22r1;</v>
      </c>
      <c r="AP1158" s="89"/>
    </row>
    <row r="1159">
      <c r="A1159" s="151" t="str">
        <f>IFERROR(__xludf.DUMMYFUNCTION("""COMPUTED_VALUE"""),"A22r2")</f>
        <v>A22r2</v>
      </c>
      <c r="B1159" s="42" t="str">
        <f>IFERROR(__xludf.DUMMYFUNCTION("""COMPUTED_VALUE"""),"DHBA")</f>
        <v>DHBA</v>
      </c>
      <c r="C1159" s="42" t="str">
        <f>IFERROR(__xludf.DUMMYFUNCTION("""COMPUTED_VALUE"""),"layer II of area 22r")</f>
        <v>layer II of area 22r</v>
      </c>
      <c r="D1159" s="42">
        <f>IFERROR(__xludf.DUMMYFUNCTION("""COMPUTED_VALUE"""),1092.0)</f>
        <v>1092</v>
      </c>
      <c r="E1159" s="39" t="str">
        <f>IFERROR(__xludf.DUMMYFUNCTION("""COMPUTED_VALUE"""),"layer II of area 22r")</f>
        <v>layer II of area 22r</v>
      </c>
      <c r="F1159" s="9" t="str">
        <f>IFERROR(__xludf.DUMMYFUNCTION("""COMPUTED_VALUE"""),"Br")</f>
        <v>Br</v>
      </c>
      <c r="G1159" s="9" t="str">
        <f>IFERROR(__xludf.DUMMYFUNCTION("""COMPUTED_VALUE"""),"F")</f>
        <v>F</v>
      </c>
      <c r="H1159" s="9" t="str">
        <f>IFERROR(__xludf.DUMMYFUNCTION("""COMPUTED_VALUE"""),"FGM")</f>
        <v>FGM</v>
      </c>
      <c r="I1159" s="9" t="str">
        <f>IFERROR(__xludf.DUMMYFUNCTION("""COMPUTED_VALUE"""),"Tel")</f>
        <v>Tel</v>
      </c>
      <c r="J1159" s="9" t="str">
        <f>IFERROR(__xludf.DUMMYFUNCTION("""COMPUTED_VALUE"""),"Cx")</f>
        <v>Cx</v>
      </c>
      <c r="K1159" s="9" t="str">
        <f>IFERROR(__xludf.DUMMYFUNCTION("""COMPUTED_VALUE"""),"NCx")</f>
        <v>NCx</v>
      </c>
      <c r="L1159" s="9" t="str">
        <f>IFERROR(__xludf.DUMMYFUNCTION("""COMPUTED_VALUE"""),"TCx")</f>
        <v>TCx</v>
      </c>
      <c r="M1159" s="9" t="str">
        <f>IFERROR(__xludf.DUMMYFUNCTION("""COMPUTED_VALUE"""),"DLTC")</f>
        <v>DLTC</v>
      </c>
      <c r="N1159" s="9" t="str">
        <f>IFERROR(__xludf.DUMMYFUNCTION("""COMPUTED_VALUE"""),"SLTC")</f>
        <v>SLTC</v>
      </c>
      <c r="O1159" s="9" t="str">
        <f>IFERROR(__xludf.DUMMYFUNCTION("""COMPUTED_VALUE"""),"ASTC")</f>
        <v>ASTC</v>
      </c>
      <c r="P1159" s="9" t="str">
        <f>IFERROR(__xludf.DUMMYFUNCTION("""COMPUTED_VALUE"""),"A22r2")</f>
        <v>A22r2</v>
      </c>
      <c r="Q1159" s="9"/>
      <c r="R1159" s="9"/>
      <c r="S1159" s="42"/>
      <c r="T1159" s="42"/>
      <c r="U1159" s="42"/>
      <c r="V1159" s="42"/>
      <c r="W1159" s="42"/>
      <c r="X1159" s="42"/>
      <c r="Y1159" s="42"/>
      <c r="Z1159" s="42"/>
      <c r="AA1159" s="42"/>
      <c r="AB1159" s="42" t="str">
        <f>IFERROR(__xludf.DUMMYFUNCTION("""COMPUTED_VALUE"""),"allen institute")</f>
        <v>allen institute</v>
      </c>
      <c r="AC1159" s="42" t="str">
        <f>IFERROR(__xludf.DUMMYFUNCTION("""COMPUTED_VALUE"""),"DHBA")</f>
        <v>DHBA</v>
      </c>
      <c r="AD1159" s="42"/>
      <c r="AE1159" s="42"/>
      <c r="AF1159" s="9"/>
      <c r="AG1159" s="9"/>
      <c r="AH1159" s="42"/>
      <c r="AI1159" s="42"/>
      <c r="AJ1159" s="42"/>
      <c r="AK1159" s="42"/>
      <c r="AL1159" s="42"/>
      <c r="AM1159" s="42"/>
      <c r="AN1159" s="42"/>
      <c r="AO1159" s="63" t="str">
        <f>IFERROR(__xludf.DUMMYFUNCTION("IF(ISBLANK(A1159),,IF(ISBLANK(S1159), A1159&amp;"";"", TEXTJOIN(CHAR(10), TRUE, A1159&amp;"";"", ARRAYFORMULA(VLOOKUP(SPLIT(S1159, "";"" &amp; CHAR(10)), $A:$AO, 41, FALSE)))))"),"A22r2;")</f>
        <v>A22r2;</v>
      </c>
      <c r="AP1159" s="89"/>
    </row>
    <row r="1160">
      <c r="A1160" s="151" t="str">
        <f>IFERROR(__xludf.DUMMYFUNCTION("""COMPUTED_VALUE"""),"A22r3")</f>
        <v>A22r3</v>
      </c>
      <c r="B1160" s="42" t="str">
        <f>IFERROR(__xludf.DUMMYFUNCTION("""COMPUTED_VALUE"""),"DHBA")</f>
        <v>DHBA</v>
      </c>
      <c r="C1160" s="42" t="str">
        <f>IFERROR(__xludf.DUMMYFUNCTION("""COMPUTED_VALUE"""),"layer III of area 22r")</f>
        <v>layer III of area 22r</v>
      </c>
      <c r="D1160" s="42">
        <f>IFERROR(__xludf.DUMMYFUNCTION("""COMPUTED_VALUE"""),1093.0)</f>
        <v>1093</v>
      </c>
      <c r="E1160" s="39" t="str">
        <f>IFERROR(__xludf.DUMMYFUNCTION("""COMPUTED_VALUE"""),"layer III of area 22r")</f>
        <v>layer III of area 22r</v>
      </c>
      <c r="F1160" s="9" t="str">
        <f>IFERROR(__xludf.DUMMYFUNCTION("""COMPUTED_VALUE"""),"Br")</f>
        <v>Br</v>
      </c>
      <c r="G1160" s="9" t="str">
        <f>IFERROR(__xludf.DUMMYFUNCTION("""COMPUTED_VALUE"""),"F")</f>
        <v>F</v>
      </c>
      <c r="H1160" s="9" t="str">
        <f>IFERROR(__xludf.DUMMYFUNCTION("""COMPUTED_VALUE"""),"FGM")</f>
        <v>FGM</v>
      </c>
      <c r="I1160" s="9" t="str">
        <f>IFERROR(__xludf.DUMMYFUNCTION("""COMPUTED_VALUE"""),"Tel")</f>
        <v>Tel</v>
      </c>
      <c r="J1160" s="9" t="str">
        <f>IFERROR(__xludf.DUMMYFUNCTION("""COMPUTED_VALUE"""),"Cx")</f>
        <v>Cx</v>
      </c>
      <c r="K1160" s="9" t="str">
        <f>IFERROR(__xludf.DUMMYFUNCTION("""COMPUTED_VALUE"""),"NCx")</f>
        <v>NCx</v>
      </c>
      <c r="L1160" s="9" t="str">
        <f>IFERROR(__xludf.DUMMYFUNCTION("""COMPUTED_VALUE"""),"TCx")</f>
        <v>TCx</v>
      </c>
      <c r="M1160" s="9" t="str">
        <f>IFERROR(__xludf.DUMMYFUNCTION("""COMPUTED_VALUE"""),"DLTC")</f>
        <v>DLTC</v>
      </c>
      <c r="N1160" s="9" t="str">
        <f>IFERROR(__xludf.DUMMYFUNCTION("""COMPUTED_VALUE"""),"SLTC")</f>
        <v>SLTC</v>
      </c>
      <c r="O1160" s="9" t="str">
        <f>IFERROR(__xludf.DUMMYFUNCTION("""COMPUTED_VALUE"""),"ASTC")</f>
        <v>ASTC</v>
      </c>
      <c r="P1160" s="9" t="str">
        <f>IFERROR(__xludf.DUMMYFUNCTION("""COMPUTED_VALUE"""),"A22r3")</f>
        <v>A22r3</v>
      </c>
      <c r="Q1160" s="9"/>
      <c r="R1160" s="9"/>
      <c r="S1160" s="42"/>
      <c r="T1160" s="42"/>
      <c r="U1160" s="42"/>
      <c r="V1160" s="42"/>
      <c r="W1160" s="42"/>
      <c r="X1160" s="42"/>
      <c r="Y1160" s="42"/>
      <c r="Z1160" s="42"/>
      <c r="AA1160" s="42"/>
      <c r="AB1160" s="42" t="str">
        <f>IFERROR(__xludf.DUMMYFUNCTION("""COMPUTED_VALUE"""),"allen institute")</f>
        <v>allen institute</v>
      </c>
      <c r="AC1160" s="42" t="str">
        <f>IFERROR(__xludf.DUMMYFUNCTION("""COMPUTED_VALUE"""),"DHBA")</f>
        <v>DHBA</v>
      </c>
      <c r="AD1160" s="42"/>
      <c r="AE1160" s="42"/>
      <c r="AF1160" s="9"/>
      <c r="AG1160" s="9"/>
      <c r="AH1160" s="42"/>
      <c r="AI1160" s="42"/>
      <c r="AJ1160" s="42"/>
      <c r="AK1160" s="42"/>
      <c r="AL1160" s="42"/>
      <c r="AM1160" s="42"/>
      <c r="AN1160" s="42"/>
      <c r="AO1160" s="63" t="str">
        <f>IFERROR(__xludf.DUMMYFUNCTION("IF(ISBLANK(A1160),,IF(ISBLANK(S1160), A1160&amp;"";"", TEXTJOIN(CHAR(10), TRUE, A1160&amp;"";"", ARRAYFORMULA(VLOOKUP(SPLIT(S1160, "";"" &amp; CHAR(10)), $A:$AO, 41, FALSE)))))"),"A22r3;")</f>
        <v>A22r3;</v>
      </c>
      <c r="AP1160" s="89"/>
    </row>
    <row r="1161">
      <c r="A1161" s="151" t="str">
        <f>IFERROR(__xludf.DUMMYFUNCTION("""COMPUTED_VALUE"""),"A22r4")</f>
        <v>A22r4</v>
      </c>
      <c r="B1161" s="42" t="str">
        <f>IFERROR(__xludf.DUMMYFUNCTION("""COMPUTED_VALUE"""),"DHBA")</f>
        <v>DHBA</v>
      </c>
      <c r="C1161" s="42" t="str">
        <f>IFERROR(__xludf.DUMMYFUNCTION("""COMPUTED_VALUE"""),"layer IV of area 22r")</f>
        <v>layer IV of area 22r</v>
      </c>
      <c r="D1161" s="42">
        <f>IFERROR(__xludf.DUMMYFUNCTION("""COMPUTED_VALUE"""),1094.0)</f>
        <v>1094</v>
      </c>
      <c r="E1161" s="39" t="str">
        <f>IFERROR(__xludf.DUMMYFUNCTION("""COMPUTED_VALUE"""),"layer IV of area 22r")</f>
        <v>layer IV of area 22r</v>
      </c>
      <c r="F1161" s="9" t="str">
        <f>IFERROR(__xludf.DUMMYFUNCTION("""COMPUTED_VALUE"""),"Br")</f>
        <v>Br</v>
      </c>
      <c r="G1161" s="9" t="str">
        <f>IFERROR(__xludf.DUMMYFUNCTION("""COMPUTED_VALUE"""),"F")</f>
        <v>F</v>
      </c>
      <c r="H1161" s="9" t="str">
        <f>IFERROR(__xludf.DUMMYFUNCTION("""COMPUTED_VALUE"""),"FGM")</f>
        <v>FGM</v>
      </c>
      <c r="I1161" s="9" t="str">
        <f>IFERROR(__xludf.DUMMYFUNCTION("""COMPUTED_VALUE"""),"Tel")</f>
        <v>Tel</v>
      </c>
      <c r="J1161" s="9" t="str">
        <f>IFERROR(__xludf.DUMMYFUNCTION("""COMPUTED_VALUE"""),"Cx")</f>
        <v>Cx</v>
      </c>
      <c r="K1161" s="9" t="str">
        <f>IFERROR(__xludf.DUMMYFUNCTION("""COMPUTED_VALUE"""),"NCx")</f>
        <v>NCx</v>
      </c>
      <c r="L1161" s="9" t="str">
        <f>IFERROR(__xludf.DUMMYFUNCTION("""COMPUTED_VALUE"""),"TCx")</f>
        <v>TCx</v>
      </c>
      <c r="M1161" s="9" t="str">
        <f>IFERROR(__xludf.DUMMYFUNCTION("""COMPUTED_VALUE"""),"DLTC")</f>
        <v>DLTC</v>
      </c>
      <c r="N1161" s="9" t="str">
        <f>IFERROR(__xludf.DUMMYFUNCTION("""COMPUTED_VALUE"""),"SLTC")</f>
        <v>SLTC</v>
      </c>
      <c r="O1161" s="9" t="str">
        <f>IFERROR(__xludf.DUMMYFUNCTION("""COMPUTED_VALUE"""),"ASTC")</f>
        <v>ASTC</v>
      </c>
      <c r="P1161" s="9" t="str">
        <f>IFERROR(__xludf.DUMMYFUNCTION("""COMPUTED_VALUE"""),"A22r4")</f>
        <v>A22r4</v>
      </c>
      <c r="Q1161" s="9"/>
      <c r="R1161" s="9"/>
      <c r="S1161" s="42"/>
      <c r="T1161" s="42"/>
      <c r="U1161" s="42"/>
      <c r="V1161" s="42"/>
      <c r="W1161" s="42"/>
      <c r="X1161" s="42"/>
      <c r="Y1161" s="42"/>
      <c r="Z1161" s="42"/>
      <c r="AA1161" s="42"/>
      <c r="AB1161" s="42" t="str">
        <f>IFERROR(__xludf.DUMMYFUNCTION("""COMPUTED_VALUE"""),"allen institute")</f>
        <v>allen institute</v>
      </c>
      <c r="AC1161" s="42" t="str">
        <f>IFERROR(__xludf.DUMMYFUNCTION("""COMPUTED_VALUE"""),"DHBA")</f>
        <v>DHBA</v>
      </c>
      <c r="AD1161" s="42"/>
      <c r="AE1161" s="42"/>
      <c r="AF1161" s="9"/>
      <c r="AG1161" s="9"/>
      <c r="AH1161" s="42"/>
      <c r="AI1161" s="42"/>
      <c r="AJ1161" s="42"/>
      <c r="AK1161" s="42"/>
      <c r="AL1161" s="42"/>
      <c r="AM1161" s="42"/>
      <c r="AN1161" s="42"/>
      <c r="AO1161" s="63" t="str">
        <f>IFERROR(__xludf.DUMMYFUNCTION("IF(ISBLANK(A1161),,IF(ISBLANK(S1161), A1161&amp;"";"", TEXTJOIN(CHAR(10), TRUE, A1161&amp;"";"", ARRAYFORMULA(VLOOKUP(SPLIT(S1161, "";"" &amp; CHAR(10)), $A:$AO, 41, FALSE)))))"),"A22r4;")</f>
        <v>A22r4;</v>
      </c>
      <c r="AP1161" s="89"/>
    </row>
    <row r="1162">
      <c r="A1162" s="151" t="str">
        <f>IFERROR(__xludf.DUMMYFUNCTION("""COMPUTED_VALUE"""),"A22r5")</f>
        <v>A22r5</v>
      </c>
      <c r="B1162" s="42" t="str">
        <f>IFERROR(__xludf.DUMMYFUNCTION("""COMPUTED_VALUE"""),"DHBA")</f>
        <v>DHBA</v>
      </c>
      <c r="C1162" s="42" t="str">
        <f>IFERROR(__xludf.DUMMYFUNCTION("""COMPUTED_VALUE"""),"layer V of area 22r")</f>
        <v>layer V of area 22r</v>
      </c>
      <c r="D1162" s="42">
        <f>IFERROR(__xludf.DUMMYFUNCTION("""COMPUTED_VALUE"""),1095.0)</f>
        <v>1095</v>
      </c>
      <c r="E1162" s="39" t="str">
        <f>IFERROR(__xludf.DUMMYFUNCTION("""COMPUTED_VALUE"""),"layer V of area 22r")</f>
        <v>layer V of area 22r</v>
      </c>
      <c r="F1162" s="9" t="str">
        <f>IFERROR(__xludf.DUMMYFUNCTION("""COMPUTED_VALUE"""),"Br")</f>
        <v>Br</v>
      </c>
      <c r="G1162" s="9" t="str">
        <f>IFERROR(__xludf.DUMMYFUNCTION("""COMPUTED_VALUE"""),"F")</f>
        <v>F</v>
      </c>
      <c r="H1162" s="9" t="str">
        <f>IFERROR(__xludf.DUMMYFUNCTION("""COMPUTED_VALUE"""),"FGM")</f>
        <v>FGM</v>
      </c>
      <c r="I1162" s="9" t="str">
        <f>IFERROR(__xludf.DUMMYFUNCTION("""COMPUTED_VALUE"""),"Tel")</f>
        <v>Tel</v>
      </c>
      <c r="J1162" s="9" t="str">
        <f>IFERROR(__xludf.DUMMYFUNCTION("""COMPUTED_VALUE"""),"Cx")</f>
        <v>Cx</v>
      </c>
      <c r="K1162" s="9" t="str">
        <f>IFERROR(__xludf.DUMMYFUNCTION("""COMPUTED_VALUE"""),"NCx")</f>
        <v>NCx</v>
      </c>
      <c r="L1162" s="9" t="str">
        <f>IFERROR(__xludf.DUMMYFUNCTION("""COMPUTED_VALUE"""),"TCx")</f>
        <v>TCx</v>
      </c>
      <c r="M1162" s="9" t="str">
        <f>IFERROR(__xludf.DUMMYFUNCTION("""COMPUTED_VALUE"""),"DLTC")</f>
        <v>DLTC</v>
      </c>
      <c r="N1162" s="9" t="str">
        <f>IFERROR(__xludf.DUMMYFUNCTION("""COMPUTED_VALUE"""),"SLTC")</f>
        <v>SLTC</v>
      </c>
      <c r="O1162" s="9" t="str">
        <f>IFERROR(__xludf.DUMMYFUNCTION("""COMPUTED_VALUE"""),"ASTC")</f>
        <v>ASTC</v>
      </c>
      <c r="P1162" s="9" t="str">
        <f>IFERROR(__xludf.DUMMYFUNCTION("""COMPUTED_VALUE"""),"A22r5")</f>
        <v>A22r5</v>
      </c>
      <c r="Q1162" s="9"/>
      <c r="R1162" s="9"/>
      <c r="S1162" s="42"/>
      <c r="T1162" s="42"/>
      <c r="U1162" s="42"/>
      <c r="V1162" s="42"/>
      <c r="W1162" s="42"/>
      <c r="X1162" s="42"/>
      <c r="Y1162" s="42"/>
      <c r="Z1162" s="42"/>
      <c r="AA1162" s="42"/>
      <c r="AB1162" s="42" t="str">
        <f>IFERROR(__xludf.DUMMYFUNCTION("""COMPUTED_VALUE"""),"allen institute")</f>
        <v>allen institute</v>
      </c>
      <c r="AC1162" s="42" t="str">
        <f>IFERROR(__xludf.DUMMYFUNCTION("""COMPUTED_VALUE"""),"DHBA")</f>
        <v>DHBA</v>
      </c>
      <c r="AD1162" s="42"/>
      <c r="AE1162" s="42"/>
      <c r="AF1162" s="9"/>
      <c r="AG1162" s="9"/>
      <c r="AH1162" s="42"/>
      <c r="AI1162" s="42"/>
      <c r="AJ1162" s="42"/>
      <c r="AK1162" s="42"/>
      <c r="AL1162" s="42"/>
      <c r="AM1162" s="42"/>
      <c r="AN1162" s="42"/>
      <c r="AO1162" s="63" t="str">
        <f>IFERROR(__xludf.DUMMYFUNCTION("IF(ISBLANK(A1162),,IF(ISBLANK(S1162), A1162&amp;"";"", TEXTJOIN(CHAR(10), TRUE, A1162&amp;"";"", ARRAYFORMULA(VLOOKUP(SPLIT(S1162, "";"" &amp; CHAR(10)), $A:$AO, 41, FALSE)))))"),"A22r5;")</f>
        <v>A22r5;</v>
      </c>
      <c r="AP1162" s="89"/>
    </row>
    <row r="1163">
      <c r="A1163" s="151" t="str">
        <f>IFERROR(__xludf.DUMMYFUNCTION("""COMPUTED_VALUE"""),"A22r6")</f>
        <v>A22r6</v>
      </c>
      <c r="B1163" s="42" t="str">
        <f>IFERROR(__xludf.DUMMYFUNCTION("""COMPUTED_VALUE"""),"DHBA")</f>
        <v>DHBA</v>
      </c>
      <c r="C1163" s="42" t="str">
        <f>IFERROR(__xludf.DUMMYFUNCTION("""COMPUTED_VALUE"""),"layer VI of area 22r")</f>
        <v>layer VI of area 22r</v>
      </c>
      <c r="D1163" s="42">
        <f>IFERROR(__xludf.DUMMYFUNCTION("""COMPUTED_VALUE"""),1096.0)</f>
        <v>1096</v>
      </c>
      <c r="E1163" s="39" t="str">
        <f>IFERROR(__xludf.DUMMYFUNCTION("""COMPUTED_VALUE"""),"layer VI of area 22r")</f>
        <v>layer VI of area 22r</v>
      </c>
      <c r="F1163" s="9" t="str">
        <f>IFERROR(__xludf.DUMMYFUNCTION("""COMPUTED_VALUE"""),"Br")</f>
        <v>Br</v>
      </c>
      <c r="G1163" s="9" t="str">
        <f>IFERROR(__xludf.DUMMYFUNCTION("""COMPUTED_VALUE"""),"F")</f>
        <v>F</v>
      </c>
      <c r="H1163" s="9" t="str">
        <f>IFERROR(__xludf.DUMMYFUNCTION("""COMPUTED_VALUE"""),"FGM")</f>
        <v>FGM</v>
      </c>
      <c r="I1163" s="9" t="str">
        <f>IFERROR(__xludf.DUMMYFUNCTION("""COMPUTED_VALUE"""),"Tel")</f>
        <v>Tel</v>
      </c>
      <c r="J1163" s="9" t="str">
        <f>IFERROR(__xludf.DUMMYFUNCTION("""COMPUTED_VALUE"""),"Cx")</f>
        <v>Cx</v>
      </c>
      <c r="K1163" s="9" t="str">
        <f>IFERROR(__xludf.DUMMYFUNCTION("""COMPUTED_VALUE"""),"NCx")</f>
        <v>NCx</v>
      </c>
      <c r="L1163" s="9" t="str">
        <f>IFERROR(__xludf.DUMMYFUNCTION("""COMPUTED_VALUE"""),"TCx")</f>
        <v>TCx</v>
      </c>
      <c r="M1163" s="9" t="str">
        <f>IFERROR(__xludf.DUMMYFUNCTION("""COMPUTED_VALUE"""),"DLTC")</f>
        <v>DLTC</v>
      </c>
      <c r="N1163" s="9" t="str">
        <f>IFERROR(__xludf.DUMMYFUNCTION("""COMPUTED_VALUE"""),"SLTC")</f>
        <v>SLTC</v>
      </c>
      <c r="O1163" s="9" t="str">
        <f>IFERROR(__xludf.DUMMYFUNCTION("""COMPUTED_VALUE"""),"ASTC")</f>
        <v>ASTC</v>
      </c>
      <c r="P1163" s="9" t="str">
        <f>IFERROR(__xludf.DUMMYFUNCTION("""COMPUTED_VALUE"""),"A22r6")</f>
        <v>A22r6</v>
      </c>
      <c r="Q1163" s="9"/>
      <c r="R1163" s="9"/>
      <c r="S1163" s="42"/>
      <c r="T1163" s="42"/>
      <c r="U1163" s="42"/>
      <c r="V1163" s="42"/>
      <c r="W1163" s="42"/>
      <c r="X1163" s="42"/>
      <c r="Y1163" s="42"/>
      <c r="Z1163" s="42"/>
      <c r="AA1163" s="42"/>
      <c r="AB1163" s="42" t="str">
        <f>IFERROR(__xludf.DUMMYFUNCTION("""COMPUTED_VALUE"""),"allen institute")</f>
        <v>allen institute</v>
      </c>
      <c r="AC1163" s="42" t="str">
        <f>IFERROR(__xludf.DUMMYFUNCTION("""COMPUTED_VALUE"""),"DHBA")</f>
        <v>DHBA</v>
      </c>
      <c r="AD1163" s="42"/>
      <c r="AE1163" s="42"/>
      <c r="AF1163" s="9"/>
      <c r="AG1163" s="9"/>
      <c r="AH1163" s="42"/>
      <c r="AI1163" s="42"/>
      <c r="AJ1163" s="42"/>
      <c r="AK1163" s="42"/>
      <c r="AL1163" s="42"/>
      <c r="AM1163" s="42"/>
      <c r="AN1163" s="42"/>
      <c r="AO1163" s="63" t="str">
        <f>IFERROR(__xludf.DUMMYFUNCTION("IF(ISBLANK(A1163),,IF(ISBLANK(S1163), A1163&amp;"";"", TEXTJOIN(CHAR(10), TRUE, A1163&amp;"";"", ARRAYFORMULA(VLOOKUP(SPLIT(S1163, "";"" &amp; CHAR(10)), $A:$AO, 41, FALSE)))))"),"A22r6;")</f>
        <v>A22r6;</v>
      </c>
      <c r="AP1163" s="89"/>
    </row>
    <row r="1164">
      <c r="A1164" s="151" t="str">
        <f>IFERROR(__xludf.DUMMYFUNCTION("""COMPUTED_VALUE"""),"ISTC")</f>
        <v>ISTC</v>
      </c>
      <c r="B1164" s="42" t="str">
        <f>IFERROR(__xludf.DUMMYFUNCTION("""COMPUTED_VALUE"""),"DHBA")</f>
        <v>DHBA</v>
      </c>
      <c r="C1164" s="42" t="str">
        <f>IFERROR(__xludf.DUMMYFUNCTION("""COMPUTED_VALUE"""),"intermdiate superior temporal cortex (area 22i), RPB")</f>
        <v>intermdiate superior temporal cortex (area 22i), RPB</v>
      </c>
      <c r="D1164" s="42">
        <f>IFERROR(__xludf.DUMMYFUNCTION("""COMPUTED_VALUE"""),1097.0)</f>
        <v>1097</v>
      </c>
      <c r="E1164" s="39" t="str">
        <f>IFERROR(__xludf.DUMMYFUNCTION("""COMPUTED_VALUE"""),"intermediate superior temporal cortex (area 22i)")</f>
        <v>intermediate superior temporal cortex (area 22i)</v>
      </c>
      <c r="F1164" s="9" t="str">
        <f>IFERROR(__xludf.DUMMYFUNCTION("""COMPUTED_VALUE"""),"Br")</f>
        <v>Br</v>
      </c>
      <c r="G1164" s="9" t="str">
        <f>IFERROR(__xludf.DUMMYFUNCTION("""COMPUTED_VALUE"""),"F")</f>
        <v>F</v>
      </c>
      <c r="H1164" s="9" t="str">
        <f>IFERROR(__xludf.DUMMYFUNCTION("""COMPUTED_VALUE"""),"FGM")</f>
        <v>FGM</v>
      </c>
      <c r="I1164" s="9" t="str">
        <f>IFERROR(__xludf.DUMMYFUNCTION("""COMPUTED_VALUE"""),"Tel")</f>
        <v>Tel</v>
      </c>
      <c r="J1164" s="9" t="str">
        <f>IFERROR(__xludf.DUMMYFUNCTION("""COMPUTED_VALUE"""),"Cx")</f>
        <v>Cx</v>
      </c>
      <c r="K1164" s="9" t="str">
        <f>IFERROR(__xludf.DUMMYFUNCTION("""COMPUTED_VALUE"""),"NCx")</f>
        <v>NCx</v>
      </c>
      <c r="L1164" s="9" t="str">
        <f>IFERROR(__xludf.DUMMYFUNCTION("""COMPUTED_VALUE"""),"TCx")</f>
        <v>TCx</v>
      </c>
      <c r="M1164" s="9" t="str">
        <f>IFERROR(__xludf.DUMMYFUNCTION("""COMPUTED_VALUE"""),"DLTC")</f>
        <v>DLTC</v>
      </c>
      <c r="N1164" s="9" t="str">
        <f>IFERROR(__xludf.DUMMYFUNCTION("""COMPUTED_VALUE"""),"SLTC")</f>
        <v>SLTC</v>
      </c>
      <c r="O1164" s="9" t="str">
        <f>IFERROR(__xludf.DUMMYFUNCTION("""COMPUTED_VALUE"""),"ISTC")</f>
        <v>ISTC</v>
      </c>
      <c r="P1164" s="9"/>
      <c r="Q1164" s="9"/>
      <c r="R1164" s="9"/>
      <c r="S1164" s="42" t="str">
        <f>IFERROR(__xludf.DUMMYFUNCTION("""COMPUTED_VALUE"""),"A22i1;
A22i2;
A22i3;
A22i4;
A22i5;
A22i6")</f>
        <v>A22i1;
A22i2;
A22i3;
A22i4;
A22i5;
A22i6</v>
      </c>
      <c r="T1164" s="42" t="str">
        <f>IFERROR(__xludf.DUMMYFUNCTION("""COMPUTED_VALUE"""),"NCx")</f>
        <v>NCx</v>
      </c>
      <c r="U1164" s="42" t="b">
        <f>IFERROR(__xludf.DUMMYFUNCTION("""COMPUTED_VALUE"""),FALSE)</f>
        <v>0</v>
      </c>
      <c r="V1164" s="42"/>
      <c r="W1164" s="42"/>
      <c r="X1164" s="42"/>
      <c r="Y1164" s="42"/>
      <c r="Z1164" s="42"/>
      <c r="AA1164" s="42"/>
      <c r="AB1164" s="42" t="str">
        <f>IFERROR(__xludf.DUMMYFUNCTION("""COMPUTED_VALUE"""),"allen institute")</f>
        <v>allen institute</v>
      </c>
      <c r="AC1164" s="42" t="str">
        <f>IFERROR(__xludf.DUMMYFUNCTION("""COMPUTED_VALUE"""),"DHBA")</f>
        <v>DHBA</v>
      </c>
      <c r="AD1164" s="42"/>
      <c r="AE1164" s="42"/>
      <c r="AF1164" s="9"/>
      <c r="AG1164" s="9"/>
      <c r="AH1164" s="42"/>
      <c r="AI1164" s="42"/>
      <c r="AJ1164" s="42"/>
      <c r="AK1164" s="42"/>
      <c r="AL1164" s="42"/>
      <c r="AM1164" s="42"/>
      <c r="AN1164" s="42"/>
      <c r="AO1164" s="63" t="str">
        <f>IFERROR(__xludf.DUMMYFUNCTION("IF(ISBLANK(A1164),,IF(ISBLANK(S1164), A1164&amp;"";"", TEXTJOIN(CHAR(10), TRUE, A1164&amp;"";"", ARRAYFORMULA(VLOOKUP(SPLIT(S1164, "";"" &amp; CHAR(10)), $A:$AO, 41, FALSE)))))"),"ISTC;
A22i1;
A22i2;
A22i3;
A22i4;
A22i5;
A22i6;")</f>
        <v>ISTC;
A22i1;
A22i2;
A22i3;
A22i4;
A22i5;
A22i6;</v>
      </c>
      <c r="AP1164" s="89"/>
    </row>
    <row r="1165">
      <c r="A1165" s="151" t="str">
        <f>IFERROR(__xludf.DUMMYFUNCTION("""COMPUTED_VALUE"""),"A22i1")</f>
        <v>A22i1</v>
      </c>
      <c r="B1165" s="42" t="str">
        <f>IFERROR(__xludf.DUMMYFUNCTION("""COMPUTED_VALUE"""),"DHBA")</f>
        <v>DHBA</v>
      </c>
      <c r="C1165" s="42" t="str">
        <f>IFERROR(__xludf.DUMMYFUNCTION("""COMPUTED_VALUE"""),"layer I of area 22i")</f>
        <v>layer I of area 22i</v>
      </c>
      <c r="D1165" s="42">
        <f>IFERROR(__xludf.DUMMYFUNCTION("""COMPUTED_VALUE"""),1098.0)</f>
        <v>1098</v>
      </c>
      <c r="E1165" s="39" t="str">
        <f>IFERROR(__xludf.DUMMYFUNCTION("""COMPUTED_VALUE"""),"layer I of area 22i")</f>
        <v>layer I of area 22i</v>
      </c>
      <c r="F1165" s="9" t="str">
        <f>IFERROR(__xludf.DUMMYFUNCTION("""COMPUTED_VALUE"""),"Br")</f>
        <v>Br</v>
      </c>
      <c r="G1165" s="9" t="str">
        <f>IFERROR(__xludf.DUMMYFUNCTION("""COMPUTED_VALUE"""),"F")</f>
        <v>F</v>
      </c>
      <c r="H1165" s="9" t="str">
        <f>IFERROR(__xludf.DUMMYFUNCTION("""COMPUTED_VALUE"""),"FGM")</f>
        <v>FGM</v>
      </c>
      <c r="I1165" s="9" t="str">
        <f>IFERROR(__xludf.DUMMYFUNCTION("""COMPUTED_VALUE"""),"Tel")</f>
        <v>Tel</v>
      </c>
      <c r="J1165" s="9" t="str">
        <f>IFERROR(__xludf.DUMMYFUNCTION("""COMPUTED_VALUE"""),"Cx")</f>
        <v>Cx</v>
      </c>
      <c r="K1165" s="9" t="str">
        <f>IFERROR(__xludf.DUMMYFUNCTION("""COMPUTED_VALUE"""),"NCx")</f>
        <v>NCx</v>
      </c>
      <c r="L1165" s="9" t="str">
        <f>IFERROR(__xludf.DUMMYFUNCTION("""COMPUTED_VALUE"""),"TCx")</f>
        <v>TCx</v>
      </c>
      <c r="M1165" s="9" t="str">
        <f>IFERROR(__xludf.DUMMYFUNCTION("""COMPUTED_VALUE"""),"DLTC")</f>
        <v>DLTC</v>
      </c>
      <c r="N1165" s="9" t="str">
        <f>IFERROR(__xludf.DUMMYFUNCTION("""COMPUTED_VALUE"""),"SLTC")</f>
        <v>SLTC</v>
      </c>
      <c r="O1165" s="9" t="str">
        <f>IFERROR(__xludf.DUMMYFUNCTION("""COMPUTED_VALUE"""),"ISTC")</f>
        <v>ISTC</v>
      </c>
      <c r="P1165" s="9" t="str">
        <f>IFERROR(__xludf.DUMMYFUNCTION("""COMPUTED_VALUE"""),"A22i1")</f>
        <v>A22i1</v>
      </c>
      <c r="Q1165" s="9"/>
      <c r="R1165" s="9"/>
      <c r="S1165" s="42"/>
      <c r="T1165" s="42"/>
      <c r="U1165" s="42"/>
      <c r="V1165" s="42"/>
      <c r="W1165" s="42"/>
      <c r="X1165" s="42"/>
      <c r="Y1165" s="42"/>
      <c r="Z1165" s="42"/>
      <c r="AA1165" s="42"/>
      <c r="AB1165" s="42" t="str">
        <f>IFERROR(__xludf.DUMMYFUNCTION("""COMPUTED_VALUE"""),"allen institute")</f>
        <v>allen institute</v>
      </c>
      <c r="AC1165" s="42" t="str">
        <f>IFERROR(__xludf.DUMMYFUNCTION("""COMPUTED_VALUE"""),"DHBA")</f>
        <v>DHBA</v>
      </c>
      <c r="AD1165" s="42"/>
      <c r="AE1165" s="42"/>
      <c r="AF1165" s="9"/>
      <c r="AG1165" s="9"/>
      <c r="AH1165" s="42"/>
      <c r="AI1165" s="42"/>
      <c r="AJ1165" s="42"/>
      <c r="AK1165" s="42"/>
      <c r="AL1165" s="42"/>
      <c r="AM1165" s="42"/>
      <c r="AN1165" s="42"/>
      <c r="AO1165" s="63" t="str">
        <f>IFERROR(__xludf.DUMMYFUNCTION("IF(ISBLANK(A1165),,IF(ISBLANK(S1165), A1165&amp;"";"", TEXTJOIN(CHAR(10), TRUE, A1165&amp;"";"", ARRAYFORMULA(VLOOKUP(SPLIT(S1165, "";"" &amp; CHAR(10)), $A:$AO, 41, FALSE)))))"),"A22i1;")</f>
        <v>A22i1;</v>
      </c>
      <c r="AP1165" s="89"/>
    </row>
    <row r="1166">
      <c r="A1166" s="151" t="str">
        <f>IFERROR(__xludf.DUMMYFUNCTION("""COMPUTED_VALUE"""),"A22i2")</f>
        <v>A22i2</v>
      </c>
      <c r="B1166" s="42" t="str">
        <f>IFERROR(__xludf.DUMMYFUNCTION("""COMPUTED_VALUE"""),"DHBA")</f>
        <v>DHBA</v>
      </c>
      <c r="C1166" s="42" t="str">
        <f>IFERROR(__xludf.DUMMYFUNCTION("""COMPUTED_VALUE"""),"layer II of area 22i")</f>
        <v>layer II of area 22i</v>
      </c>
      <c r="D1166" s="42">
        <f>IFERROR(__xludf.DUMMYFUNCTION("""COMPUTED_VALUE"""),1099.0)</f>
        <v>1099</v>
      </c>
      <c r="E1166" s="39" t="str">
        <f>IFERROR(__xludf.DUMMYFUNCTION("""COMPUTED_VALUE"""),"layer II of area 22i")</f>
        <v>layer II of area 22i</v>
      </c>
      <c r="F1166" s="9" t="str">
        <f>IFERROR(__xludf.DUMMYFUNCTION("""COMPUTED_VALUE"""),"Br")</f>
        <v>Br</v>
      </c>
      <c r="G1166" s="9" t="str">
        <f>IFERROR(__xludf.DUMMYFUNCTION("""COMPUTED_VALUE"""),"F")</f>
        <v>F</v>
      </c>
      <c r="H1166" s="9" t="str">
        <f>IFERROR(__xludf.DUMMYFUNCTION("""COMPUTED_VALUE"""),"FGM")</f>
        <v>FGM</v>
      </c>
      <c r="I1166" s="9" t="str">
        <f>IFERROR(__xludf.DUMMYFUNCTION("""COMPUTED_VALUE"""),"Tel")</f>
        <v>Tel</v>
      </c>
      <c r="J1166" s="9" t="str">
        <f>IFERROR(__xludf.DUMMYFUNCTION("""COMPUTED_VALUE"""),"Cx")</f>
        <v>Cx</v>
      </c>
      <c r="K1166" s="9" t="str">
        <f>IFERROR(__xludf.DUMMYFUNCTION("""COMPUTED_VALUE"""),"NCx")</f>
        <v>NCx</v>
      </c>
      <c r="L1166" s="9" t="str">
        <f>IFERROR(__xludf.DUMMYFUNCTION("""COMPUTED_VALUE"""),"TCx")</f>
        <v>TCx</v>
      </c>
      <c r="M1166" s="9" t="str">
        <f>IFERROR(__xludf.DUMMYFUNCTION("""COMPUTED_VALUE"""),"DLTC")</f>
        <v>DLTC</v>
      </c>
      <c r="N1166" s="9" t="str">
        <f>IFERROR(__xludf.DUMMYFUNCTION("""COMPUTED_VALUE"""),"SLTC")</f>
        <v>SLTC</v>
      </c>
      <c r="O1166" s="9" t="str">
        <f>IFERROR(__xludf.DUMMYFUNCTION("""COMPUTED_VALUE"""),"ISTC")</f>
        <v>ISTC</v>
      </c>
      <c r="P1166" s="9" t="str">
        <f>IFERROR(__xludf.DUMMYFUNCTION("""COMPUTED_VALUE"""),"A22i2")</f>
        <v>A22i2</v>
      </c>
      <c r="Q1166" s="9"/>
      <c r="R1166" s="9"/>
      <c r="S1166" s="42"/>
      <c r="T1166" s="42"/>
      <c r="U1166" s="42"/>
      <c r="V1166" s="42"/>
      <c r="W1166" s="42"/>
      <c r="X1166" s="42"/>
      <c r="Y1166" s="42"/>
      <c r="Z1166" s="42"/>
      <c r="AA1166" s="42"/>
      <c r="AB1166" s="42" t="str">
        <f>IFERROR(__xludf.DUMMYFUNCTION("""COMPUTED_VALUE"""),"allen institute")</f>
        <v>allen institute</v>
      </c>
      <c r="AC1166" s="42" t="str">
        <f>IFERROR(__xludf.DUMMYFUNCTION("""COMPUTED_VALUE"""),"DHBA")</f>
        <v>DHBA</v>
      </c>
      <c r="AD1166" s="42"/>
      <c r="AE1166" s="42"/>
      <c r="AF1166" s="9"/>
      <c r="AG1166" s="9"/>
      <c r="AH1166" s="42"/>
      <c r="AI1166" s="42"/>
      <c r="AJ1166" s="42"/>
      <c r="AK1166" s="42"/>
      <c r="AL1166" s="42"/>
      <c r="AM1166" s="42"/>
      <c r="AN1166" s="42"/>
      <c r="AO1166" s="63" t="str">
        <f>IFERROR(__xludf.DUMMYFUNCTION("IF(ISBLANK(A1166),,IF(ISBLANK(S1166), A1166&amp;"";"", TEXTJOIN(CHAR(10), TRUE, A1166&amp;"";"", ARRAYFORMULA(VLOOKUP(SPLIT(S1166, "";"" &amp; CHAR(10)), $A:$AO, 41, FALSE)))))"),"A22i2;")</f>
        <v>A22i2;</v>
      </c>
      <c r="AP1166" s="89"/>
    </row>
    <row r="1167">
      <c r="A1167" s="151" t="str">
        <f>IFERROR(__xludf.DUMMYFUNCTION("""COMPUTED_VALUE"""),"A22i3")</f>
        <v>A22i3</v>
      </c>
      <c r="B1167" s="42" t="str">
        <f>IFERROR(__xludf.DUMMYFUNCTION("""COMPUTED_VALUE"""),"DHBA")</f>
        <v>DHBA</v>
      </c>
      <c r="C1167" s="42" t="str">
        <f>IFERROR(__xludf.DUMMYFUNCTION("""COMPUTED_VALUE"""),"layer III of area 22i")</f>
        <v>layer III of area 22i</v>
      </c>
      <c r="D1167" s="42">
        <f>IFERROR(__xludf.DUMMYFUNCTION("""COMPUTED_VALUE"""),1100.0)</f>
        <v>1100</v>
      </c>
      <c r="E1167" s="39" t="str">
        <f>IFERROR(__xludf.DUMMYFUNCTION("""COMPUTED_VALUE"""),"layer III of area 22i")</f>
        <v>layer III of area 22i</v>
      </c>
      <c r="F1167" s="9" t="str">
        <f>IFERROR(__xludf.DUMMYFUNCTION("""COMPUTED_VALUE"""),"Br")</f>
        <v>Br</v>
      </c>
      <c r="G1167" s="9" t="str">
        <f>IFERROR(__xludf.DUMMYFUNCTION("""COMPUTED_VALUE"""),"F")</f>
        <v>F</v>
      </c>
      <c r="H1167" s="9" t="str">
        <f>IFERROR(__xludf.DUMMYFUNCTION("""COMPUTED_VALUE"""),"FGM")</f>
        <v>FGM</v>
      </c>
      <c r="I1167" s="9" t="str">
        <f>IFERROR(__xludf.DUMMYFUNCTION("""COMPUTED_VALUE"""),"Tel")</f>
        <v>Tel</v>
      </c>
      <c r="J1167" s="9" t="str">
        <f>IFERROR(__xludf.DUMMYFUNCTION("""COMPUTED_VALUE"""),"Cx")</f>
        <v>Cx</v>
      </c>
      <c r="K1167" s="9" t="str">
        <f>IFERROR(__xludf.DUMMYFUNCTION("""COMPUTED_VALUE"""),"NCx")</f>
        <v>NCx</v>
      </c>
      <c r="L1167" s="9" t="str">
        <f>IFERROR(__xludf.DUMMYFUNCTION("""COMPUTED_VALUE"""),"TCx")</f>
        <v>TCx</v>
      </c>
      <c r="M1167" s="9" t="str">
        <f>IFERROR(__xludf.DUMMYFUNCTION("""COMPUTED_VALUE"""),"DLTC")</f>
        <v>DLTC</v>
      </c>
      <c r="N1167" s="9" t="str">
        <f>IFERROR(__xludf.DUMMYFUNCTION("""COMPUTED_VALUE"""),"SLTC")</f>
        <v>SLTC</v>
      </c>
      <c r="O1167" s="9" t="str">
        <f>IFERROR(__xludf.DUMMYFUNCTION("""COMPUTED_VALUE"""),"ISTC")</f>
        <v>ISTC</v>
      </c>
      <c r="P1167" s="9" t="str">
        <f>IFERROR(__xludf.DUMMYFUNCTION("""COMPUTED_VALUE"""),"A22i3")</f>
        <v>A22i3</v>
      </c>
      <c r="Q1167" s="9"/>
      <c r="R1167" s="9"/>
      <c r="S1167" s="42"/>
      <c r="T1167" s="42"/>
      <c r="U1167" s="42"/>
      <c r="V1167" s="42"/>
      <c r="W1167" s="42"/>
      <c r="X1167" s="42"/>
      <c r="Y1167" s="42"/>
      <c r="Z1167" s="42"/>
      <c r="AA1167" s="42"/>
      <c r="AB1167" s="42" t="str">
        <f>IFERROR(__xludf.DUMMYFUNCTION("""COMPUTED_VALUE"""),"allen institute")</f>
        <v>allen institute</v>
      </c>
      <c r="AC1167" s="42" t="str">
        <f>IFERROR(__xludf.DUMMYFUNCTION("""COMPUTED_VALUE"""),"DHBA")</f>
        <v>DHBA</v>
      </c>
      <c r="AD1167" s="42"/>
      <c r="AE1167" s="42"/>
      <c r="AF1167" s="9"/>
      <c r="AG1167" s="9"/>
      <c r="AH1167" s="42"/>
      <c r="AI1167" s="42"/>
      <c r="AJ1167" s="42"/>
      <c r="AK1167" s="42"/>
      <c r="AL1167" s="42"/>
      <c r="AM1167" s="42"/>
      <c r="AN1167" s="42"/>
      <c r="AO1167" s="63" t="str">
        <f>IFERROR(__xludf.DUMMYFUNCTION("IF(ISBLANK(A1167),,IF(ISBLANK(S1167), A1167&amp;"";"", TEXTJOIN(CHAR(10), TRUE, A1167&amp;"";"", ARRAYFORMULA(VLOOKUP(SPLIT(S1167, "";"" &amp; CHAR(10)), $A:$AO, 41, FALSE)))))"),"A22i3;")</f>
        <v>A22i3;</v>
      </c>
      <c r="AP1167" s="89"/>
    </row>
    <row r="1168">
      <c r="A1168" s="151" t="str">
        <f>IFERROR(__xludf.DUMMYFUNCTION("""COMPUTED_VALUE"""),"A22i4")</f>
        <v>A22i4</v>
      </c>
      <c r="B1168" s="42" t="str">
        <f>IFERROR(__xludf.DUMMYFUNCTION("""COMPUTED_VALUE"""),"DHBA")</f>
        <v>DHBA</v>
      </c>
      <c r="C1168" s="42" t="str">
        <f>IFERROR(__xludf.DUMMYFUNCTION("""COMPUTED_VALUE"""),"layer IV of area 22i")</f>
        <v>layer IV of area 22i</v>
      </c>
      <c r="D1168" s="42">
        <f>IFERROR(__xludf.DUMMYFUNCTION("""COMPUTED_VALUE"""),1101.0)</f>
        <v>1101</v>
      </c>
      <c r="E1168" s="39" t="str">
        <f>IFERROR(__xludf.DUMMYFUNCTION("""COMPUTED_VALUE"""),"layer IV of area 22i")</f>
        <v>layer IV of area 22i</v>
      </c>
      <c r="F1168" s="9" t="str">
        <f>IFERROR(__xludf.DUMMYFUNCTION("""COMPUTED_VALUE"""),"Br")</f>
        <v>Br</v>
      </c>
      <c r="G1168" s="9" t="str">
        <f>IFERROR(__xludf.DUMMYFUNCTION("""COMPUTED_VALUE"""),"F")</f>
        <v>F</v>
      </c>
      <c r="H1168" s="9" t="str">
        <f>IFERROR(__xludf.DUMMYFUNCTION("""COMPUTED_VALUE"""),"FGM")</f>
        <v>FGM</v>
      </c>
      <c r="I1168" s="9" t="str">
        <f>IFERROR(__xludf.DUMMYFUNCTION("""COMPUTED_VALUE"""),"Tel")</f>
        <v>Tel</v>
      </c>
      <c r="J1168" s="9" t="str">
        <f>IFERROR(__xludf.DUMMYFUNCTION("""COMPUTED_VALUE"""),"Cx")</f>
        <v>Cx</v>
      </c>
      <c r="K1168" s="9" t="str">
        <f>IFERROR(__xludf.DUMMYFUNCTION("""COMPUTED_VALUE"""),"NCx")</f>
        <v>NCx</v>
      </c>
      <c r="L1168" s="9" t="str">
        <f>IFERROR(__xludf.DUMMYFUNCTION("""COMPUTED_VALUE"""),"TCx")</f>
        <v>TCx</v>
      </c>
      <c r="M1168" s="9" t="str">
        <f>IFERROR(__xludf.DUMMYFUNCTION("""COMPUTED_VALUE"""),"DLTC")</f>
        <v>DLTC</v>
      </c>
      <c r="N1168" s="9" t="str">
        <f>IFERROR(__xludf.DUMMYFUNCTION("""COMPUTED_VALUE"""),"SLTC")</f>
        <v>SLTC</v>
      </c>
      <c r="O1168" s="9" t="str">
        <f>IFERROR(__xludf.DUMMYFUNCTION("""COMPUTED_VALUE"""),"ISTC")</f>
        <v>ISTC</v>
      </c>
      <c r="P1168" s="9" t="str">
        <f>IFERROR(__xludf.DUMMYFUNCTION("""COMPUTED_VALUE"""),"A22i4")</f>
        <v>A22i4</v>
      </c>
      <c r="Q1168" s="9"/>
      <c r="R1168" s="9"/>
      <c r="S1168" s="42"/>
      <c r="T1168" s="42"/>
      <c r="U1168" s="42"/>
      <c r="V1168" s="42"/>
      <c r="W1168" s="42"/>
      <c r="X1168" s="42"/>
      <c r="Y1168" s="42"/>
      <c r="Z1168" s="42"/>
      <c r="AA1168" s="42"/>
      <c r="AB1168" s="42" t="str">
        <f>IFERROR(__xludf.DUMMYFUNCTION("""COMPUTED_VALUE"""),"allen institute")</f>
        <v>allen institute</v>
      </c>
      <c r="AC1168" s="42" t="str">
        <f>IFERROR(__xludf.DUMMYFUNCTION("""COMPUTED_VALUE"""),"DHBA")</f>
        <v>DHBA</v>
      </c>
      <c r="AD1168" s="42"/>
      <c r="AE1168" s="42"/>
      <c r="AF1168" s="9"/>
      <c r="AG1168" s="9"/>
      <c r="AH1168" s="42"/>
      <c r="AI1168" s="42"/>
      <c r="AJ1168" s="42"/>
      <c r="AK1168" s="42"/>
      <c r="AL1168" s="42"/>
      <c r="AM1168" s="42"/>
      <c r="AN1168" s="42"/>
      <c r="AO1168" s="63" t="str">
        <f>IFERROR(__xludf.DUMMYFUNCTION("IF(ISBLANK(A1168),,IF(ISBLANK(S1168), A1168&amp;"";"", TEXTJOIN(CHAR(10), TRUE, A1168&amp;"";"", ARRAYFORMULA(VLOOKUP(SPLIT(S1168, "";"" &amp; CHAR(10)), $A:$AO, 41, FALSE)))))"),"A22i4;")</f>
        <v>A22i4;</v>
      </c>
      <c r="AP1168" s="89"/>
    </row>
    <row r="1169">
      <c r="A1169" s="151" t="str">
        <f>IFERROR(__xludf.DUMMYFUNCTION("""COMPUTED_VALUE"""),"A22i5")</f>
        <v>A22i5</v>
      </c>
      <c r="B1169" s="42" t="str">
        <f>IFERROR(__xludf.DUMMYFUNCTION("""COMPUTED_VALUE"""),"DHBA")</f>
        <v>DHBA</v>
      </c>
      <c r="C1169" s="42" t="str">
        <f>IFERROR(__xludf.DUMMYFUNCTION("""COMPUTED_VALUE"""),"layer V of area 22i")</f>
        <v>layer V of area 22i</v>
      </c>
      <c r="D1169" s="42">
        <f>IFERROR(__xludf.DUMMYFUNCTION("""COMPUTED_VALUE"""),1102.0)</f>
        <v>1102</v>
      </c>
      <c r="E1169" s="39" t="str">
        <f>IFERROR(__xludf.DUMMYFUNCTION("""COMPUTED_VALUE"""),"layer V of area 22i")</f>
        <v>layer V of area 22i</v>
      </c>
      <c r="F1169" s="9" t="str">
        <f>IFERROR(__xludf.DUMMYFUNCTION("""COMPUTED_VALUE"""),"Br")</f>
        <v>Br</v>
      </c>
      <c r="G1169" s="9" t="str">
        <f>IFERROR(__xludf.DUMMYFUNCTION("""COMPUTED_VALUE"""),"F")</f>
        <v>F</v>
      </c>
      <c r="H1169" s="9" t="str">
        <f>IFERROR(__xludf.DUMMYFUNCTION("""COMPUTED_VALUE"""),"FGM")</f>
        <v>FGM</v>
      </c>
      <c r="I1169" s="9" t="str">
        <f>IFERROR(__xludf.DUMMYFUNCTION("""COMPUTED_VALUE"""),"Tel")</f>
        <v>Tel</v>
      </c>
      <c r="J1169" s="9" t="str">
        <f>IFERROR(__xludf.DUMMYFUNCTION("""COMPUTED_VALUE"""),"Cx")</f>
        <v>Cx</v>
      </c>
      <c r="K1169" s="9" t="str">
        <f>IFERROR(__xludf.DUMMYFUNCTION("""COMPUTED_VALUE"""),"NCx")</f>
        <v>NCx</v>
      </c>
      <c r="L1169" s="9" t="str">
        <f>IFERROR(__xludf.DUMMYFUNCTION("""COMPUTED_VALUE"""),"TCx")</f>
        <v>TCx</v>
      </c>
      <c r="M1169" s="9" t="str">
        <f>IFERROR(__xludf.DUMMYFUNCTION("""COMPUTED_VALUE"""),"DLTC")</f>
        <v>DLTC</v>
      </c>
      <c r="N1169" s="9" t="str">
        <f>IFERROR(__xludf.DUMMYFUNCTION("""COMPUTED_VALUE"""),"SLTC")</f>
        <v>SLTC</v>
      </c>
      <c r="O1169" s="9" t="str">
        <f>IFERROR(__xludf.DUMMYFUNCTION("""COMPUTED_VALUE"""),"ISTC")</f>
        <v>ISTC</v>
      </c>
      <c r="P1169" s="9" t="str">
        <f>IFERROR(__xludf.DUMMYFUNCTION("""COMPUTED_VALUE"""),"A22i5")</f>
        <v>A22i5</v>
      </c>
      <c r="Q1169" s="9"/>
      <c r="R1169" s="9"/>
      <c r="S1169" s="42"/>
      <c r="T1169" s="42"/>
      <c r="U1169" s="42"/>
      <c r="V1169" s="42"/>
      <c r="W1169" s="42"/>
      <c r="X1169" s="42"/>
      <c r="Y1169" s="42"/>
      <c r="Z1169" s="42"/>
      <c r="AA1169" s="42"/>
      <c r="AB1169" s="42" t="str">
        <f>IFERROR(__xludf.DUMMYFUNCTION("""COMPUTED_VALUE"""),"allen institute")</f>
        <v>allen institute</v>
      </c>
      <c r="AC1169" s="42" t="str">
        <f>IFERROR(__xludf.DUMMYFUNCTION("""COMPUTED_VALUE"""),"DHBA")</f>
        <v>DHBA</v>
      </c>
      <c r="AD1169" s="42"/>
      <c r="AE1169" s="42"/>
      <c r="AF1169" s="9"/>
      <c r="AG1169" s="9"/>
      <c r="AH1169" s="42"/>
      <c r="AI1169" s="42"/>
      <c r="AJ1169" s="42"/>
      <c r="AK1169" s="42"/>
      <c r="AL1169" s="42"/>
      <c r="AM1169" s="42"/>
      <c r="AN1169" s="42"/>
      <c r="AO1169" s="63" t="str">
        <f>IFERROR(__xludf.DUMMYFUNCTION("IF(ISBLANK(A1169),,IF(ISBLANK(S1169), A1169&amp;"";"", TEXTJOIN(CHAR(10), TRUE, A1169&amp;"";"", ARRAYFORMULA(VLOOKUP(SPLIT(S1169, "";"" &amp; CHAR(10)), $A:$AO, 41, FALSE)))))"),"A22i5;")</f>
        <v>A22i5;</v>
      </c>
      <c r="AP1169" s="89"/>
    </row>
    <row r="1170">
      <c r="A1170" s="151" t="str">
        <f>IFERROR(__xludf.DUMMYFUNCTION("""COMPUTED_VALUE"""),"A22i6")</f>
        <v>A22i6</v>
      </c>
      <c r="B1170" s="42" t="str">
        <f>IFERROR(__xludf.DUMMYFUNCTION("""COMPUTED_VALUE"""),"DHBA")</f>
        <v>DHBA</v>
      </c>
      <c r="C1170" s="42" t="str">
        <f>IFERROR(__xludf.DUMMYFUNCTION("""COMPUTED_VALUE"""),"layer VI of area 22i")</f>
        <v>layer VI of area 22i</v>
      </c>
      <c r="D1170" s="42">
        <f>IFERROR(__xludf.DUMMYFUNCTION("""COMPUTED_VALUE"""),1103.0)</f>
        <v>1103</v>
      </c>
      <c r="E1170" s="39" t="str">
        <f>IFERROR(__xludf.DUMMYFUNCTION("""COMPUTED_VALUE"""),"layer VI of area 22i")</f>
        <v>layer VI of area 22i</v>
      </c>
      <c r="F1170" s="9" t="str">
        <f>IFERROR(__xludf.DUMMYFUNCTION("""COMPUTED_VALUE"""),"Br")</f>
        <v>Br</v>
      </c>
      <c r="G1170" s="9" t="str">
        <f>IFERROR(__xludf.DUMMYFUNCTION("""COMPUTED_VALUE"""),"F")</f>
        <v>F</v>
      </c>
      <c r="H1170" s="9" t="str">
        <f>IFERROR(__xludf.DUMMYFUNCTION("""COMPUTED_VALUE"""),"FGM")</f>
        <v>FGM</v>
      </c>
      <c r="I1170" s="9" t="str">
        <f>IFERROR(__xludf.DUMMYFUNCTION("""COMPUTED_VALUE"""),"Tel")</f>
        <v>Tel</v>
      </c>
      <c r="J1170" s="9" t="str">
        <f>IFERROR(__xludf.DUMMYFUNCTION("""COMPUTED_VALUE"""),"Cx")</f>
        <v>Cx</v>
      </c>
      <c r="K1170" s="9" t="str">
        <f>IFERROR(__xludf.DUMMYFUNCTION("""COMPUTED_VALUE"""),"NCx")</f>
        <v>NCx</v>
      </c>
      <c r="L1170" s="9" t="str">
        <f>IFERROR(__xludf.DUMMYFUNCTION("""COMPUTED_VALUE"""),"TCx")</f>
        <v>TCx</v>
      </c>
      <c r="M1170" s="9" t="str">
        <f>IFERROR(__xludf.DUMMYFUNCTION("""COMPUTED_VALUE"""),"DLTC")</f>
        <v>DLTC</v>
      </c>
      <c r="N1170" s="9" t="str">
        <f>IFERROR(__xludf.DUMMYFUNCTION("""COMPUTED_VALUE"""),"SLTC")</f>
        <v>SLTC</v>
      </c>
      <c r="O1170" s="9" t="str">
        <f>IFERROR(__xludf.DUMMYFUNCTION("""COMPUTED_VALUE"""),"ISTC")</f>
        <v>ISTC</v>
      </c>
      <c r="P1170" s="9" t="str">
        <f>IFERROR(__xludf.DUMMYFUNCTION("""COMPUTED_VALUE"""),"A22i6")</f>
        <v>A22i6</v>
      </c>
      <c r="Q1170" s="9"/>
      <c r="R1170" s="9"/>
      <c r="S1170" s="42"/>
      <c r="T1170" s="42"/>
      <c r="U1170" s="42"/>
      <c r="V1170" s="42"/>
      <c r="W1170" s="42"/>
      <c r="X1170" s="42"/>
      <c r="Y1170" s="42"/>
      <c r="Z1170" s="42"/>
      <c r="AA1170" s="42"/>
      <c r="AB1170" s="42" t="str">
        <f>IFERROR(__xludf.DUMMYFUNCTION("""COMPUTED_VALUE"""),"allen institute")</f>
        <v>allen institute</v>
      </c>
      <c r="AC1170" s="42" t="str">
        <f>IFERROR(__xludf.DUMMYFUNCTION("""COMPUTED_VALUE"""),"DHBA")</f>
        <v>DHBA</v>
      </c>
      <c r="AD1170" s="42"/>
      <c r="AE1170" s="42"/>
      <c r="AF1170" s="9"/>
      <c r="AG1170" s="9"/>
      <c r="AH1170" s="42"/>
      <c r="AI1170" s="42"/>
      <c r="AJ1170" s="42"/>
      <c r="AK1170" s="42"/>
      <c r="AL1170" s="42"/>
      <c r="AM1170" s="42"/>
      <c r="AN1170" s="42"/>
      <c r="AO1170" s="63" t="str">
        <f>IFERROR(__xludf.DUMMYFUNCTION("IF(ISBLANK(A1170),,IF(ISBLANK(S1170), A1170&amp;"";"", TEXTJOIN(CHAR(10), TRUE, A1170&amp;"";"", ARRAYFORMULA(VLOOKUP(SPLIT(S1170, "";"" &amp; CHAR(10)), $A:$AO, 41, FALSE)))))"),"A22i6;")</f>
        <v>A22i6;</v>
      </c>
      <c r="AP1170" s="89"/>
    </row>
    <row r="1171">
      <c r="A1171" s="151" t="str">
        <f>IFERROR(__xludf.DUMMYFUNCTION("""COMPUTED_VALUE"""),"STC")</f>
        <v>STC</v>
      </c>
      <c r="B1171" s="42" t="str">
        <f>IFERROR(__xludf.DUMMYFUNCTION("""COMPUTED_VALUE"""),"DHBA")</f>
        <v>DHBA</v>
      </c>
      <c r="C1171" s="42" t="str">
        <f>IFERROR(__xludf.DUMMYFUNCTION("""COMPUTED_VALUE"""),"posterior (caudal) superior temporal cortex (area 22c), CPB")</f>
        <v>posterior (caudal) superior temporal cortex (area 22c), CPB</v>
      </c>
      <c r="D1171" s="42">
        <f>IFERROR(__xludf.DUMMYFUNCTION("""COMPUTED_VALUE"""),1104.0)</f>
        <v>1104</v>
      </c>
      <c r="E1171" s="39" t="str">
        <f>IFERROR(__xludf.DUMMYFUNCTION("""COMPUTED_VALUE"""),"posterior (caudal) superior temporal cortex (area 22c)")</f>
        <v>posterior (caudal) superior temporal cortex (area 22c)</v>
      </c>
      <c r="F1171" s="9" t="str">
        <f>IFERROR(__xludf.DUMMYFUNCTION("""COMPUTED_VALUE"""),"Br")</f>
        <v>Br</v>
      </c>
      <c r="G1171" s="9" t="str">
        <f>IFERROR(__xludf.DUMMYFUNCTION("""COMPUTED_VALUE"""),"F")</f>
        <v>F</v>
      </c>
      <c r="H1171" s="9" t="str">
        <f>IFERROR(__xludf.DUMMYFUNCTION("""COMPUTED_VALUE"""),"FGM")</f>
        <v>FGM</v>
      </c>
      <c r="I1171" s="9" t="str">
        <f>IFERROR(__xludf.DUMMYFUNCTION("""COMPUTED_VALUE"""),"Tel")</f>
        <v>Tel</v>
      </c>
      <c r="J1171" s="9" t="str">
        <f>IFERROR(__xludf.DUMMYFUNCTION("""COMPUTED_VALUE"""),"Cx")</f>
        <v>Cx</v>
      </c>
      <c r="K1171" s="9" t="str">
        <f>IFERROR(__xludf.DUMMYFUNCTION("""COMPUTED_VALUE"""),"NCx")</f>
        <v>NCx</v>
      </c>
      <c r="L1171" s="9" t="str">
        <f>IFERROR(__xludf.DUMMYFUNCTION("""COMPUTED_VALUE"""),"TCx")</f>
        <v>TCx</v>
      </c>
      <c r="M1171" s="9" t="str">
        <f>IFERROR(__xludf.DUMMYFUNCTION("""COMPUTED_VALUE"""),"DLTC")</f>
        <v>DLTC</v>
      </c>
      <c r="N1171" s="9" t="str">
        <f>IFERROR(__xludf.DUMMYFUNCTION("""COMPUTED_VALUE"""),"SLTC")</f>
        <v>SLTC</v>
      </c>
      <c r="O1171" s="9" t="str">
        <f>IFERROR(__xludf.DUMMYFUNCTION("""COMPUTED_VALUE"""),"STC")</f>
        <v>STC</v>
      </c>
      <c r="P1171" s="9"/>
      <c r="Q1171" s="9"/>
      <c r="R1171" s="9"/>
      <c r="S1171" s="42" t="str">
        <f>IFERROR(__xludf.DUMMYFUNCTION("""COMPUTED_VALUE"""),"A22c1;
A22c2;
A22c3;
A22c4;
A22c5;
A22c6")</f>
        <v>A22c1;
A22c2;
A22c3;
A22c4;
A22c5;
A22c6</v>
      </c>
      <c r="T1171" s="42" t="str">
        <f>IFERROR(__xludf.DUMMYFUNCTION("""COMPUTED_VALUE"""),"NCx")</f>
        <v>NCx</v>
      </c>
      <c r="U1171" s="42" t="b">
        <f>IFERROR(__xludf.DUMMYFUNCTION("""COMPUTED_VALUE"""),FALSE)</f>
        <v>0</v>
      </c>
      <c r="V1171" s="42"/>
      <c r="W1171" s="42"/>
      <c r="X1171" s="42"/>
      <c r="Y1171" s="42"/>
      <c r="Z1171" s="42"/>
      <c r="AA1171" s="42"/>
      <c r="AB1171" s="42" t="str">
        <f>IFERROR(__xludf.DUMMYFUNCTION("""COMPUTED_VALUE"""),"allen institute")</f>
        <v>allen institute</v>
      </c>
      <c r="AC1171" s="42" t="str">
        <f>IFERROR(__xludf.DUMMYFUNCTION("""COMPUTED_VALUE"""),"DHBA")</f>
        <v>DHBA</v>
      </c>
      <c r="AD1171" s="42"/>
      <c r="AE1171" s="42"/>
      <c r="AF1171" s="9"/>
      <c r="AG1171" s="9"/>
      <c r="AH1171" s="42"/>
      <c r="AI1171" s="42"/>
      <c r="AJ1171" s="42"/>
      <c r="AK1171" s="42"/>
      <c r="AL1171" s="42"/>
      <c r="AM1171" s="42"/>
      <c r="AN1171" s="42"/>
      <c r="AO1171" s="63" t="str">
        <f>IFERROR(__xludf.DUMMYFUNCTION("IF(ISBLANK(A1171),,IF(ISBLANK(S1171), A1171&amp;"";"", TEXTJOIN(CHAR(10), TRUE, A1171&amp;"";"", ARRAYFORMULA(VLOOKUP(SPLIT(S1171, "";"" &amp; CHAR(10)), $A:$AO, 41, FALSE)))))"),"STC;
A22c1;
A22c2;
A22c3;
A22c4;
A22c5;
A22c6;")</f>
        <v>STC;
A22c1;
A22c2;
A22c3;
A22c4;
A22c5;
A22c6;</v>
      </c>
      <c r="AP1171" s="89"/>
    </row>
    <row r="1172">
      <c r="A1172" s="151" t="str">
        <f>IFERROR(__xludf.DUMMYFUNCTION("""COMPUTED_VALUE"""),"A22c1")</f>
        <v>A22c1</v>
      </c>
      <c r="B1172" s="42" t="str">
        <f>IFERROR(__xludf.DUMMYFUNCTION("""COMPUTED_VALUE"""),"DHBA")</f>
        <v>DHBA</v>
      </c>
      <c r="C1172" s="42" t="str">
        <f>IFERROR(__xludf.DUMMYFUNCTION("""COMPUTED_VALUE"""),"layer I of area 22c")</f>
        <v>layer I of area 22c</v>
      </c>
      <c r="D1172" s="42">
        <f>IFERROR(__xludf.DUMMYFUNCTION("""COMPUTED_VALUE"""),1105.0)</f>
        <v>1105</v>
      </c>
      <c r="E1172" s="39" t="str">
        <f>IFERROR(__xludf.DUMMYFUNCTION("""COMPUTED_VALUE"""),"layer I of area 22c")</f>
        <v>layer I of area 22c</v>
      </c>
      <c r="F1172" s="9" t="str">
        <f>IFERROR(__xludf.DUMMYFUNCTION("""COMPUTED_VALUE"""),"Br")</f>
        <v>Br</v>
      </c>
      <c r="G1172" s="9" t="str">
        <f>IFERROR(__xludf.DUMMYFUNCTION("""COMPUTED_VALUE"""),"F")</f>
        <v>F</v>
      </c>
      <c r="H1172" s="9" t="str">
        <f>IFERROR(__xludf.DUMMYFUNCTION("""COMPUTED_VALUE"""),"FGM")</f>
        <v>FGM</v>
      </c>
      <c r="I1172" s="9" t="str">
        <f>IFERROR(__xludf.DUMMYFUNCTION("""COMPUTED_VALUE"""),"Tel")</f>
        <v>Tel</v>
      </c>
      <c r="J1172" s="9" t="str">
        <f>IFERROR(__xludf.DUMMYFUNCTION("""COMPUTED_VALUE"""),"Cx")</f>
        <v>Cx</v>
      </c>
      <c r="K1172" s="9" t="str">
        <f>IFERROR(__xludf.DUMMYFUNCTION("""COMPUTED_VALUE"""),"NCx")</f>
        <v>NCx</v>
      </c>
      <c r="L1172" s="9" t="str">
        <f>IFERROR(__xludf.DUMMYFUNCTION("""COMPUTED_VALUE"""),"TCx")</f>
        <v>TCx</v>
      </c>
      <c r="M1172" s="9" t="str">
        <f>IFERROR(__xludf.DUMMYFUNCTION("""COMPUTED_VALUE"""),"DLTC")</f>
        <v>DLTC</v>
      </c>
      <c r="N1172" s="9" t="str">
        <f>IFERROR(__xludf.DUMMYFUNCTION("""COMPUTED_VALUE"""),"SLTC")</f>
        <v>SLTC</v>
      </c>
      <c r="O1172" s="9" t="str">
        <f>IFERROR(__xludf.DUMMYFUNCTION("""COMPUTED_VALUE"""),"STC")</f>
        <v>STC</v>
      </c>
      <c r="P1172" s="9" t="str">
        <f>IFERROR(__xludf.DUMMYFUNCTION("""COMPUTED_VALUE"""),"A22c1")</f>
        <v>A22c1</v>
      </c>
      <c r="Q1172" s="9"/>
      <c r="R1172" s="9"/>
      <c r="S1172" s="42"/>
      <c r="T1172" s="42"/>
      <c r="U1172" s="42"/>
      <c r="V1172" s="42"/>
      <c r="W1172" s="42"/>
      <c r="X1172" s="42"/>
      <c r="Y1172" s="42"/>
      <c r="Z1172" s="42"/>
      <c r="AA1172" s="42"/>
      <c r="AB1172" s="42" t="str">
        <f>IFERROR(__xludf.DUMMYFUNCTION("""COMPUTED_VALUE"""),"allen institute")</f>
        <v>allen institute</v>
      </c>
      <c r="AC1172" s="42" t="str">
        <f>IFERROR(__xludf.DUMMYFUNCTION("""COMPUTED_VALUE"""),"DHBA")</f>
        <v>DHBA</v>
      </c>
      <c r="AD1172" s="42"/>
      <c r="AE1172" s="42"/>
      <c r="AF1172" s="9"/>
      <c r="AG1172" s="9"/>
      <c r="AH1172" s="42"/>
      <c r="AI1172" s="42"/>
      <c r="AJ1172" s="42"/>
      <c r="AK1172" s="42"/>
      <c r="AL1172" s="42"/>
      <c r="AM1172" s="42"/>
      <c r="AN1172" s="42"/>
      <c r="AO1172" s="63" t="str">
        <f>IFERROR(__xludf.DUMMYFUNCTION("IF(ISBLANK(A1172),,IF(ISBLANK(S1172), A1172&amp;"";"", TEXTJOIN(CHAR(10), TRUE, A1172&amp;"";"", ARRAYFORMULA(VLOOKUP(SPLIT(S1172, "";"" &amp; CHAR(10)), $A:$AO, 41, FALSE)))))"),"A22c1;")</f>
        <v>A22c1;</v>
      </c>
      <c r="AP1172" s="89"/>
    </row>
    <row r="1173">
      <c r="A1173" s="151" t="str">
        <f>IFERROR(__xludf.DUMMYFUNCTION("""COMPUTED_VALUE"""),"A22c2")</f>
        <v>A22c2</v>
      </c>
      <c r="B1173" s="42" t="str">
        <f>IFERROR(__xludf.DUMMYFUNCTION("""COMPUTED_VALUE"""),"DHBA")</f>
        <v>DHBA</v>
      </c>
      <c r="C1173" s="42" t="str">
        <f>IFERROR(__xludf.DUMMYFUNCTION("""COMPUTED_VALUE"""),"layer II of area 22c")</f>
        <v>layer II of area 22c</v>
      </c>
      <c r="D1173" s="42">
        <f>IFERROR(__xludf.DUMMYFUNCTION("""COMPUTED_VALUE"""),1106.0)</f>
        <v>1106</v>
      </c>
      <c r="E1173" s="39" t="str">
        <f>IFERROR(__xludf.DUMMYFUNCTION("""COMPUTED_VALUE"""),"layer II of area 22c")</f>
        <v>layer II of area 22c</v>
      </c>
      <c r="F1173" s="9" t="str">
        <f>IFERROR(__xludf.DUMMYFUNCTION("""COMPUTED_VALUE"""),"Br")</f>
        <v>Br</v>
      </c>
      <c r="G1173" s="9" t="str">
        <f>IFERROR(__xludf.DUMMYFUNCTION("""COMPUTED_VALUE"""),"F")</f>
        <v>F</v>
      </c>
      <c r="H1173" s="9" t="str">
        <f>IFERROR(__xludf.DUMMYFUNCTION("""COMPUTED_VALUE"""),"FGM")</f>
        <v>FGM</v>
      </c>
      <c r="I1173" s="9" t="str">
        <f>IFERROR(__xludf.DUMMYFUNCTION("""COMPUTED_VALUE"""),"Tel")</f>
        <v>Tel</v>
      </c>
      <c r="J1173" s="9" t="str">
        <f>IFERROR(__xludf.DUMMYFUNCTION("""COMPUTED_VALUE"""),"Cx")</f>
        <v>Cx</v>
      </c>
      <c r="K1173" s="9" t="str">
        <f>IFERROR(__xludf.DUMMYFUNCTION("""COMPUTED_VALUE"""),"NCx")</f>
        <v>NCx</v>
      </c>
      <c r="L1173" s="9" t="str">
        <f>IFERROR(__xludf.DUMMYFUNCTION("""COMPUTED_VALUE"""),"TCx")</f>
        <v>TCx</v>
      </c>
      <c r="M1173" s="9" t="str">
        <f>IFERROR(__xludf.DUMMYFUNCTION("""COMPUTED_VALUE"""),"DLTC")</f>
        <v>DLTC</v>
      </c>
      <c r="N1173" s="9" t="str">
        <f>IFERROR(__xludf.DUMMYFUNCTION("""COMPUTED_VALUE"""),"SLTC")</f>
        <v>SLTC</v>
      </c>
      <c r="O1173" s="9" t="str">
        <f>IFERROR(__xludf.DUMMYFUNCTION("""COMPUTED_VALUE"""),"STC")</f>
        <v>STC</v>
      </c>
      <c r="P1173" s="9" t="str">
        <f>IFERROR(__xludf.DUMMYFUNCTION("""COMPUTED_VALUE"""),"A22c2")</f>
        <v>A22c2</v>
      </c>
      <c r="Q1173" s="9"/>
      <c r="R1173" s="9"/>
      <c r="S1173" s="42"/>
      <c r="T1173" s="42"/>
      <c r="U1173" s="42"/>
      <c r="V1173" s="42"/>
      <c r="W1173" s="42"/>
      <c r="X1173" s="42"/>
      <c r="Y1173" s="42"/>
      <c r="Z1173" s="42"/>
      <c r="AA1173" s="42"/>
      <c r="AB1173" s="42" t="str">
        <f>IFERROR(__xludf.DUMMYFUNCTION("""COMPUTED_VALUE"""),"allen institute")</f>
        <v>allen institute</v>
      </c>
      <c r="AC1173" s="42" t="str">
        <f>IFERROR(__xludf.DUMMYFUNCTION("""COMPUTED_VALUE"""),"DHBA")</f>
        <v>DHBA</v>
      </c>
      <c r="AD1173" s="42"/>
      <c r="AE1173" s="42"/>
      <c r="AF1173" s="9"/>
      <c r="AG1173" s="9"/>
      <c r="AH1173" s="42"/>
      <c r="AI1173" s="42"/>
      <c r="AJ1173" s="42"/>
      <c r="AK1173" s="42"/>
      <c r="AL1173" s="42"/>
      <c r="AM1173" s="42"/>
      <c r="AN1173" s="42"/>
      <c r="AO1173" s="63" t="str">
        <f>IFERROR(__xludf.DUMMYFUNCTION("IF(ISBLANK(A1173),,IF(ISBLANK(S1173), A1173&amp;"";"", TEXTJOIN(CHAR(10), TRUE, A1173&amp;"";"", ARRAYFORMULA(VLOOKUP(SPLIT(S1173, "";"" &amp; CHAR(10)), $A:$AO, 41, FALSE)))))"),"A22c2;")</f>
        <v>A22c2;</v>
      </c>
      <c r="AP1173" s="89"/>
    </row>
    <row r="1174">
      <c r="A1174" s="151" t="str">
        <f>IFERROR(__xludf.DUMMYFUNCTION("""COMPUTED_VALUE"""),"A22c3")</f>
        <v>A22c3</v>
      </c>
      <c r="B1174" s="42" t="str">
        <f>IFERROR(__xludf.DUMMYFUNCTION("""COMPUTED_VALUE"""),"DHBA")</f>
        <v>DHBA</v>
      </c>
      <c r="C1174" s="42" t="str">
        <f>IFERROR(__xludf.DUMMYFUNCTION("""COMPUTED_VALUE"""),"layer III of area 22c")</f>
        <v>layer III of area 22c</v>
      </c>
      <c r="D1174" s="42">
        <f>IFERROR(__xludf.DUMMYFUNCTION("""COMPUTED_VALUE"""),1107.0)</f>
        <v>1107</v>
      </c>
      <c r="E1174" s="39" t="str">
        <f>IFERROR(__xludf.DUMMYFUNCTION("""COMPUTED_VALUE"""),"layer III of area 22c")</f>
        <v>layer III of area 22c</v>
      </c>
      <c r="F1174" s="9" t="str">
        <f>IFERROR(__xludf.DUMMYFUNCTION("""COMPUTED_VALUE"""),"Br")</f>
        <v>Br</v>
      </c>
      <c r="G1174" s="9" t="str">
        <f>IFERROR(__xludf.DUMMYFUNCTION("""COMPUTED_VALUE"""),"F")</f>
        <v>F</v>
      </c>
      <c r="H1174" s="9" t="str">
        <f>IFERROR(__xludf.DUMMYFUNCTION("""COMPUTED_VALUE"""),"FGM")</f>
        <v>FGM</v>
      </c>
      <c r="I1174" s="9" t="str">
        <f>IFERROR(__xludf.DUMMYFUNCTION("""COMPUTED_VALUE"""),"Tel")</f>
        <v>Tel</v>
      </c>
      <c r="J1174" s="9" t="str">
        <f>IFERROR(__xludf.DUMMYFUNCTION("""COMPUTED_VALUE"""),"Cx")</f>
        <v>Cx</v>
      </c>
      <c r="K1174" s="9" t="str">
        <f>IFERROR(__xludf.DUMMYFUNCTION("""COMPUTED_VALUE"""),"NCx")</f>
        <v>NCx</v>
      </c>
      <c r="L1174" s="9" t="str">
        <f>IFERROR(__xludf.DUMMYFUNCTION("""COMPUTED_VALUE"""),"TCx")</f>
        <v>TCx</v>
      </c>
      <c r="M1174" s="9" t="str">
        <f>IFERROR(__xludf.DUMMYFUNCTION("""COMPUTED_VALUE"""),"DLTC")</f>
        <v>DLTC</v>
      </c>
      <c r="N1174" s="9" t="str">
        <f>IFERROR(__xludf.DUMMYFUNCTION("""COMPUTED_VALUE"""),"SLTC")</f>
        <v>SLTC</v>
      </c>
      <c r="O1174" s="9" t="str">
        <f>IFERROR(__xludf.DUMMYFUNCTION("""COMPUTED_VALUE"""),"STC")</f>
        <v>STC</v>
      </c>
      <c r="P1174" s="9" t="str">
        <f>IFERROR(__xludf.DUMMYFUNCTION("""COMPUTED_VALUE"""),"A22c3")</f>
        <v>A22c3</v>
      </c>
      <c r="Q1174" s="9"/>
      <c r="R1174" s="9"/>
      <c r="S1174" s="42"/>
      <c r="T1174" s="42"/>
      <c r="U1174" s="42"/>
      <c r="V1174" s="42"/>
      <c r="W1174" s="42"/>
      <c r="X1174" s="42"/>
      <c r="Y1174" s="42"/>
      <c r="Z1174" s="42"/>
      <c r="AA1174" s="42"/>
      <c r="AB1174" s="42" t="str">
        <f>IFERROR(__xludf.DUMMYFUNCTION("""COMPUTED_VALUE"""),"allen institute")</f>
        <v>allen institute</v>
      </c>
      <c r="AC1174" s="42" t="str">
        <f>IFERROR(__xludf.DUMMYFUNCTION("""COMPUTED_VALUE"""),"DHBA")</f>
        <v>DHBA</v>
      </c>
      <c r="AD1174" s="42"/>
      <c r="AE1174" s="42"/>
      <c r="AF1174" s="9"/>
      <c r="AG1174" s="9"/>
      <c r="AH1174" s="42"/>
      <c r="AI1174" s="42"/>
      <c r="AJ1174" s="42"/>
      <c r="AK1174" s="42"/>
      <c r="AL1174" s="42"/>
      <c r="AM1174" s="42"/>
      <c r="AN1174" s="42"/>
      <c r="AO1174" s="63" t="str">
        <f>IFERROR(__xludf.DUMMYFUNCTION("IF(ISBLANK(A1174),,IF(ISBLANK(S1174), A1174&amp;"";"", TEXTJOIN(CHAR(10), TRUE, A1174&amp;"";"", ARRAYFORMULA(VLOOKUP(SPLIT(S1174, "";"" &amp; CHAR(10)), $A:$AO, 41, FALSE)))))"),"A22c3;")</f>
        <v>A22c3;</v>
      </c>
      <c r="AP1174" s="89"/>
    </row>
    <row r="1175">
      <c r="A1175" s="151" t="str">
        <f>IFERROR(__xludf.DUMMYFUNCTION("""COMPUTED_VALUE"""),"A22c4")</f>
        <v>A22c4</v>
      </c>
      <c r="B1175" s="42" t="str">
        <f>IFERROR(__xludf.DUMMYFUNCTION("""COMPUTED_VALUE"""),"DHBA")</f>
        <v>DHBA</v>
      </c>
      <c r="C1175" s="42" t="str">
        <f>IFERROR(__xludf.DUMMYFUNCTION("""COMPUTED_VALUE"""),"layer IV of area 22c")</f>
        <v>layer IV of area 22c</v>
      </c>
      <c r="D1175" s="42">
        <f>IFERROR(__xludf.DUMMYFUNCTION("""COMPUTED_VALUE"""),1108.0)</f>
        <v>1108</v>
      </c>
      <c r="E1175" s="39" t="str">
        <f>IFERROR(__xludf.DUMMYFUNCTION("""COMPUTED_VALUE"""),"layer IV of area 22c")</f>
        <v>layer IV of area 22c</v>
      </c>
      <c r="F1175" s="9" t="str">
        <f>IFERROR(__xludf.DUMMYFUNCTION("""COMPUTED_VALUE"""),"Br")</f>
        <v>Br</v>
      </c>
      <c r="G1175" s="9" t="str">
        <f>IFERROR(__xludf.DUMMYFUNCTION("""COMPUTED_VALUE"""),"F")</f>
        <v>F</v>
      </c>
      <c r="H1175" s="9" t="str">
        <f>IFERROR(__xludf.DUMMYFUNCTION("""COMPUTED_VALUE"""),"FGM")</f>
        <v>FGM</v>
      </c>
      <c r="I1175" s="9" t="str">
        <f>IFERROR(__xludf.DUMMYFUNCTION("""COMPUTED_VALUE"""),"Tel")</f>
        <v>Tel</v>
      </c>
      <c r="J1175" s="9" t="str">
        <f>IFERROR(__xludf.DUMMYFUNCTION("""COMPUTED_VALUE"""),"Cx")</f>
        <v>Cx</v>
      </c>
      <c r="K1175" s="9" t="str">
        <f>IFERROR(__xludf.DUMMYFUNCTION("""COMPUTED_VALUE"""),"NCx")</f>
        <v>NCx</v>
      </c>
      <c r="L1175" s="9" t="str">
        <f>IFERROR(__xludf.DUMMYFUNCTION("""COMPUTED_VALUE"""),"TCx")</f>
        <v>TCx</v>
      </c>
      <c r="M1175" s="9" t="str">
        <f>IFERROR(__xludf.DUMMYFUNCTION("""COMPUTED_VALUE"""),"DLTC")</f>
        <v>DLTC</v>
      </c>
      <c r="N1175" s="9" t="str">
        <f>IFERROR(__xludf.DUMMYFUNCTION("""COMPUTED_VALUE"""),"SLTC")</f>
        <v>SLTC</v>
      </c>
      <c r="O1175" s="9" t="str">
        <f>IFERROR(__xludf.DUMMYFUNCTION("""COMPUTED_VALUE"""),"STC")</f>
        <v>STC</v>
      </c>
      <c r="P1175" s="9" t="str">
        <f>IFERROR(__xludf.DUMMYFUNCTION("""COMPUTED_VALUE"""),"A22c4")</f>
        <v>A22c4</v>
      </c>
      <c r="Q1175" s="9"/>
      <c r="R1175" s="9"/>
      <c r="S1175" s="42"/>
      <c r="T1175" s="42"/>
      <c r="U1175" s="42"/>
      <c r="V1175" s="42"/>
      <c r="W1175" s="42"/>
      <c r="X1175" s="42"/>
      <c r="Y1175" s="42"/>
      <c r="Z1175" s="42"/>
      <c r="AA1175" s="42"/>
      <c r="AB1175" s="42" t="str">
        <f>IFERROR(__xludf.DUMMYFUNCTION("""COMPUTED_VALUE"""),"allen institute")</f>
        <v>allen institute</v>
      </c>
      <c r="AC1175" s="42" t="str">
        <f>IFERROR(__xludf.DUMMYFUNCTION("""COMPUTED_VALUE"""),"DHBA")</f>
        <v>DHBA</v>
      </c>
      <c r="AD1175" s="42"/>
      <c r="AE1175" s="42"/>
      <c r="AF1175" s="9"/>
      <c r="AG1175" s="9"/>
      <c r="AH1175" s="42"/>
      <c r="AI1175" s="42"/>
      <c r="AJ1175" s="42"/>
      <c r="AK1175" s="42"/>
      <c r="AL1175" s="42"/>
      <c r="AM1175" s="42"/>
      <c r="AN1175" s="42"/>
      <c r="AO1175" s="63" t="str">
        <f>IFERROR(__xludf.DUMMYFUNCTION("IF(ISBLANK(A1175),,IF(ISBLANK(S1175), A1175&amp;"";"", TEXTJOIN(CHAR(10), TRUE, A1175&amp;"";"", ARRAYFORMULA(VLOOKUP(SPLIT(S1175, "";"" &amp; CHAR(10)), $A:$AO, 41, FALSE)))))"),"A22c4;")</f>
        <v>A22c4;</v>
      </c>
      <c r="AP1175" s="89"/>
    </row>
    <row r="1176">
      <c r="A1176" s="151" t="str">
        <f>IFERROR(__xludf.DUMMYFUNCTION("""COMPUTED_VALUE"""),"A22c5")</f>
        <v>A22c5</v>
      </c>
      <c r="B1176" s="42" t="str">
        <f>IFERROR(__xludf.DUMMYFUNCTION("""COMPUTED_VALUE"""),"DHBA")</f>
        <v>DHBA</v>
      </c>
      <c r="C1176" s="42" t="str">
        <f>IFERROR(__xludf.DUMMYFUNCTION("""COMPUTED_VALUE"""),"layer V of area 22c")</f>
        <v>layer V of area 22c</v>
      </c>
      <c r="D1176" s="42">
        <f>IFERROR(__xludf.DUMMYFUNCTION("""COMPUTED_VALUE"""),1109.0)</f>
        <v>1109</v>
      </c>
      <c r="E1176" s="39" t="str">
        <f>IFERROR(__xludf.DUMMYFUNCTION("""COMPUTED_VALUE"""),"layer V of area 22c")</f>
        <v>layer V of area 22c</v>
      </c>
      <c r="F1176" s="9" t="str">
        <f>IFERROR(__xludf.DUMMYFUNCTION("""COMPUTED_VALUE"""),"Br")</f>
        <v>Br</v>
      </c>
      <c r="G1176" s="9" t="str">
        <f>IFERROR(__xludf.DUMMYFUNCTION("""COMPUTED_VALUE"""),"F")</f>
        <v>F</v>
      </c>
      <c r="H1176" s="9" t="str">
        <f>IFERROR(__xludf.DUMMYFUNCTION("""COMPUTED_VALUE"""),"FGM")</f>
        <v>FGM</v>
      </c>
      <c r="I1176" s="9" t="str">
        <f>IFERROR(__xludf.DUMMYFUNCTION("""COMPUTED_VALUE"""),"Tel")</f>
        <v>Tel</v>
      </c>
      <c r="J1176" s="9" t="str">
        <f>IFERROR(__xludf.DUMMYFUNCTION("""COMPUTED_VALUE"""),"Cx")</f>
        <v>Cx</v>
      </c>
      <c r="K1176" s="9" t="str">
        <f>IFERROR(__xludf.DUMMYFUNCTION("""COMPUTED_VALUE"""),"NCx")</f>
        <v>NCx</v>
      </c>
      <c r="L1176" s="9" t="str">
        <f>IFERROR(__xludf.DUMMYFUNCTION("""COMPUTED_VALUE"""),"TCx")</f>
        <v>TCx</v>
      </c>
      <c r="M1176" s="9" t="str">
        <f>IFERROR(__xludf.DUMMYFUNCTION("""COMPUTED_VALUE"""),"DLTC")</f>
        <v>DLTC</v>
      </c>
      <c r="N1176" s="9" t="str">
        <f>IFERROR(__xludf.DUMMYFUNCTION("""COMPUTED_VALUE"""),"SLTC")</f>
        <v>SLTC</v>
      </c>
      <c r="O1176" s="9" t="str">
        <f>IFERROR(__xludf.DUMMYFUNCTION("""COMPUTED_VALUE"""),"STC")</f>
        <v>STC</v>
      </c>
      <c r="P1176" s="9" t="str">
        <f>IFERROR(__xludf.DUMMYFUNCTION("""COMPUTED_VALUE"""),"A22c5")</f>
        <v>A22c5</v>
      </c>
      <c r="Q1176" s="9"/>
      <c r="R1176" s="9"/>
      <c r="S1176" s="42"/>
      <c r="T1176" s="42"/>
      <c r="U1176" s="42"/>
      <c r="V1176" s="42"/>
      <c r="W1176" s="42"/>
      <c r="X1176" s="42"/>
      <c r="Y1176" s="42"/>
      <c r="Z1176" s="42"/>
      <c r="AA1176" s="42"/>
      <c r="AB1176" s="42" t="str">
        <f>IFERROR(__xludf.DUMMYFUNCTION("""COMPUTED_VALUE"""),"allen institute")</f>
        <v>allen institute</v>
      </c>
      <c r="AC1176" s="42" t="str">
        <f>IFERROR(__xludf.DUMMYFUNCTION("""COMPUTED_VALUE"""),"DHBA")</f>
        <v>DHBA</v>
      </c>
      <c r="AD1176" s="42"/>
      <c r="AE1176" s="42"/>
      <c r="AF1176" s="9"/>
      <c r="AG1176" s="9"/>
      <c r="AH1176" s="42"/>
      <c r="AI1176" s="42"/>
      <c r="AJ1176" s="42"/>
      <c r="AK1176" s="42"/>
      <c r="AL1176" s="42"/>
      <c r="AM1176" s="42"/>
      <c r="AN1176" s="42"/>
      <c r="AO1176" s="63" t="str">
        <f>IFERROR(__xludf.DUMMYFUNCTION("IF(ISBLANK(A1176),,IF(ISBLANK(S1176), A1176&amp;"";"", TEXTJOIN(CHAR(10), TRUE, A1176&amp;"";"", ARRAYFORMULA(VLOOKUP(SPLIT(S1176, "";"" &amp; CHAR(10)), $A:$AO, 41, FALSE)))))"),"A22c5;")</f>
        <v>A22c5;</v>
      </c>
      <c r="AP1176" s="89"/>
    </row>
    <row r="1177">
      <c r="A1177" s="151" t="str">
        <f>IFERROR(__xludf.DUMMYFUNCTION("""COMPUTED_VALUE"""),"A22c6")</f>
        <v>A22c6</v>
      </c>
      <c r="B1177" s="42" t="str">
        <f>IFERROR(__xludf.DUMMYFUNCTION("""COMPUTED_VALUE"""),"DHBA")</f>
        <v>DHBA</v>
      </c>
      <c r="C1177" s="42" t="str">
        <f>IFERROR(__xludf.DUMMYFUNCTION("""COMPUTED_VALUE"""),"layer VI of area 22c")</f>
        <v>layer VI of area 22c</v>
      </c>
      <c r="D1177" s="42">
        <f>IFERROR(__xludf.DUMMYFUNCTION("""COMPUTED_VALUE"""),1110.0)</f>
        <v>1110</v>
      </c>
      <c r="E1177" s="39" t="str">
        <f>IFERROR(__xludf.DUMMYFUNCTION("""COMPUTED_VALUE"""),"layer VI of area 22c")</f>
        <v>layer VI of area 22c</v>
      </c>
      <c r="F1177" s="9" t="str">
        <f>IFERROR(__xludf.DUMMYFUNCTION("""COMPUTED_VALUE"""),"Br")</f>
        <v>Br</v>
      </c>
      <c r="G1177" s="9" t="str">
        <f>IFERROR(__xludf.DUMMYFUNCTION("""COMPUTED_VALUE"""),"F")</f>
        <v>F</v>
      </c>
      <c r="H1177" s="9" t="str">
        <f>IFERROR(__xludf.DUMMYFUNCTION("""COMPUTED_VALUE"""),"FGM")</f>
        <v>FGM</v>
      </c>
      <c r="I1177" s="9" t="str">
        <f>IFERROR(__xludf.DUMMYFUNCTION("""COMPUTED_VALUE"""),"Tel")</f>
        <v>Tel</v>
      </c>
      <c r="J1177" s="9" t="str">
        <f>IFERROR(__xludf.DUMMYFUNCTION("""COMPUTED_VALUE"""),"Cx")</f>
        <v>Cx</v>
      </c>
      <c r="K1177" s="9" t="str">
        <f>IFERROR(__xludf.DUMMYFUNCTION("""COMPUTED_VALUE"""),"NCx")</f>
        <v>NCx</v>
      </c>
      <c r="L1177" s="9" t="str">
        <f>IFERROR(__xludf.DUMMYFUNCTION("""COMPUTED_VALUE"""),"TCx")</f>
        <v>TCx</v>
      </c>
      <c r="M1177" s="9" t="str">
        <f>IFERROR(__xludf.DUMMYFUNCTION("""COMPUTED_VALUE"""),"DLTC")</f>
        <v>DLTC</v>
      </c>
      <c r="N1177" s="9" t="str">
        <f>IFERROR(__xludf.DUMMYFUNCTION("""COMPUTED_VALUE"""),"SLTC")</f>
        <v>SLTC</v>
      </c>
      <c r="O1177" s="9" t="str">
        <f>IFERROR(__xludf.DUMMYFUNCTION("""COMPUTED_VALUE"""),"STC")</f>
        <v>STC</v>
      </c>
      <c r="P1177" s="9" t="str">
        <f>IFERROR(__xludf.DUMMYFUNCTION("""COMPUTED_VALUE"""),"A22c6")</f>
        <v>A22c6</v>
      </c>
      <c r="Q1177" s="9"/>
      <c r="R1177" s="9"/>
      <c r="S1177" s="42"/>
      <c r="T1177" s="42"/>
      <c r="U1177" s="159"/>
      <c r="V1177" s="42"/>
      <c r="W1177" s="42"/>
      <c r="X1177" s="42"/>
      <c r="Y1177" s="42"/>
      <c r="Z1177" s="42"/>
      <c r="AA1177" s="42"/>
      <c r="AB1177" s="42" t="str">
        <f>IFERROR(__xludf.DUMMYFUNCTION("""COMPUTED_VALUE"""),"allen institute")</f>
        <v>allen institute</v>
      </c>
      <c r="AC1177" s="42" t="str">
        <f>IFERROR(__xludf.DUMMYFUNCTION("""COMPUTED_VALUE"""),"DHBA")</f>
        <v>DHBA</v>
      </c>
      <c r="AD1177" s="42"/>
      <c r="AE1177" s="42"/>
      <c r="AF1177" s="9"/>
      <c r="AG1177" s="9"/>
      <c r="AH1177" s="42"/>
      <c r="AI1177" s="42"/>
      <c r="AJ1177" s="42"/>
      <c r="AK1177" s="42"/>
      <c r="AL1177" s="42"/>
      <c r="AM1177" s="42"/>
      <c r="AN1177" s="42"/>
      <c r="AO1177" s="63" t="str">
        <f>IFERROR(__xludf.DUMMYFUNCTION("IF(ISBLANK(A1177),,IF(ISBLANK(S1177), A1177&amp;"";"", TEXTJOIN(CHAR(10), TRUE, A1177&amp;"";"", ARRAYFORMULA(VLOOKUP(SPLIT(S1177, "";"" &amp; CHAR(10)), $A:$AO, 41, FALSE)))))"),"A22c6;")</f>
        <v>A22c6;</v>
      </c>
      <c r="AP1177" s="89"/>
    </row>
    <row r="1178">
      <c r="A1178" s="151" t="str">
        <f>IFERROR(__xludf.DUMMYFUNCTION("""COMPUTED_VALUE"""),"PSTC")</f>
        <v>PSTC</v>
      </c>
      <c r="B1178" s="42" t="str">
        <f>IFERROR(__xludf.DUMMYFUNCTION("""COMPUTED_VALUE"""),"DHBA")</f>
        <v>DHBA</v>
      </c>
      <c r="C1178" s="42" t="str">
        <f>IFERROR(__xludf.DUMMYFUNCTION("""COMPUTED_VALUE"""),"polysensory temporal coretex (area 22p); STS")</f>
        <v>polysensory temporal coretex (area 22p); STS</v>
      </c>
      <c r="D1178" s="42">
        <f>IFERROR(__xludf.DUMMYFUNCTION("""COMPUTED_VALUE"""),1111.0)</f>
        <v>1111</v>
      </c>
      <c r="E1178" s="39" t="str">
        <f>IFERROR(__xludf.DUMMYFUNCTION("""COMPUTED_VALUE"""),"polysensory temporal cortex (area 22p)")</f>
        <v>polysensory temporal cortex (area 22p)</v>
      </c>
      <c r="F1178" s="9" t="str">
        <f>IFERROR(__xludf.DUMMYFUNCTION("""COMPUTED_VALUE"""),"Br")</f>
        <v>Br</v>
      </c>
      <c r="G1178" s="9" t="str">
        <f>IFERROR(__xludf.DUMMYFUNCTION("""COMPUTED_VALUE"""),"F")</f>
        <v>F</v>
      </c>
      <c r="H1178" s="9" t="str">
        <f>IFERROR(__xludf.DUMMYFUNCTION("""COMPUTED_VALUE"""),"FGM")</f>
        <v>FGM</v>
      </c>
      <c r="I1178" s="9" t="str">
        <f>IFERROR(__xludf.DUMMYFUNCTION("""COMPUTED_VALUE"""),"Tel")</f>
        <v>Tel</v>
      </c>
      <c r="J1178" s="9" t="str">
        <f>IFERROR(__xludf.DUMMYFUNCTION("""COMPUTED_VALUE"""),"Cx")</f>
        <v>Cx</v>
      </c>
      <c r="K1178" s="9" t="str">
        <f>IFERROR(__xludf.DUMMYFUNCTION("""COMPUTED_VALUE"""),"NCx")</f>
        <v>NCx</v>
      </c>
      <c r="L1178" s="9" t="str">
        <f>IFERROR(__xludf.DUMMYFUNCTION("""COMPUTED_VALUE"""),"TCx")</f>
        <v>TCx</v>
      </c>
      <c r="M1178" s="9" t="str">
        <f>IFERROR(__xludf.DUMMYFUNCTION("""COMPUTED_VALUE"""),"DLTC")</f>
        <v>DLTC</v>
      </c>
      <c r="N1178" s="9" t="str">
        <f>IFERROR(__xludf.DUMMYFUNCTION("""COMPUTED_VALUE"""),"PSTC")</f>
        <v>PSTC</v>
      </c>
      <c r="O1178" s="9"/>
      <c r="P1178" s="9"/>
      <c r="Q1178" s="9"/>
      <c r="R1178" s="9"/>
      <c r="S1178" s="42" t="str">
        <f>IFERROR(__xludf.DUMMYFUNCTION("""COMPUTED_VALUE"""),"A22pr;
A22pi;
A22pc")</f>
        <v>A22pr;
A22pi;
A22pc</v>
      </c>
      <c r="T1178" s="42" t="str">
        <f>IFERROR(__xludf.DUMMYFUNCTION("""COMPUTED_VALUE"""),"NCx")</f>
        <v>NCx</v>
      </c>
      <c r="U1178" s="159" t="b">
        <f>IFERROR(__xludf.DUMMYFUNCTION("""COMPUTED_VALUE"""),FALSE)</f>
        <v>0</v>
      </c>
      <c r="V1178" s="42"/>
      <c r="W1178" s="42"/>
      <c r="X1178" s="42"/>
      <c r="Y1178" s="42"/>
      <c r="Z1178" s="42"/>
      <c r="AA1178" s="42"/>
      <c r="AB1178" s="42" t="str">
        <f>IFERROR(__xludf.DUMMYFUNCTION("""COMPUTED_VALUE"""),"allen institute")</f>
        <v>allen institute</v>
      </c>
      <c r="AC1178" s="42" t="str">
        <f>IFERROR(__xludf.DUMMYFUNCTION("""COMPUTED_VALUE"""),"DHBA")</f>
        <v>DHBA</v>
      </c>
      <c r="AD1178" s="42"/>
      <c r="AE1178" s="42"/>
      <c r="AF1178" s="9"/>
      <c r="AG1178" s="9"/>
      <c r="AH1178" s="42"/>
      <c r="AI1178" s="42"/>
      <c r="AJ1178" s="42"/>
      <c r="AK1178" s="42"/>
      <c r="AL1178" s="42"/>
      <c r="AM1178" s="42"/>
      <c r="AN1178" s="42"/>
      <c r="AO1178" s="63" t="str">
        <f>IFERROR(__xludf.DUMMYFUNCTION("IF(ISBLANK(A1178),,IF(ISBLANK(S1178), A1178&amp;"";"", TEXTJOIN(CHAR(10), TRUE, A1178&amp;"";"", ARRAYFORMULA(VLOOKUP(SPLIT(S1178, "";"" &amp; CHAR(10)), $A:$AO, 41, FALSE)))))"),"PSTC;
A22pr;
A22pr1;
A22pr2;
A22pr3;
A22pr4;
A22pr5;
A22pr6;
A22pi;
A22pi1;
A22pi2;
A22pi3;
A22pi4;
A22pi5;
A22pi6;
A22pc;
A22pc1;
A22pc2;
A22pc3;
A22pc4;
A22pc5;
A22pc6;")</f>
        <v>PSTC;
A22pr;
A22pr1;
A22pr2;
A22pr3;
A22pr4;
A22pr5;
A22pr6;
A22pi;
A22pi1;
A22pi2;
A22pi3;
A22pi4;
A22pi5;
A22pi6;
A22pc;
A22pc1;
A22pc2;
A22pc3;
A22pc4;
A22pc5;
A22pc6;</v>
      </c>
      <c r="AP1178" s="89"/>
    </row>
    <row r="1179">
      <c r="A1179" s="151" t="str">
        <f>IFERROR(__xludf.DUMMYFUNCTION("""COMPUTED_VALUE"""),"A22pr")</f>
        <v>A22pr</v>
      </c>
      <c r="B1179" s="42" t="str">
        <f>IFERROR(__xludf.DUMMYFUNCTION("""COMPUTED_VALUE"""),"DHBA")</f>
        <v>DHBA</v>
      </c>
      <c r="C1179" s="42" t="str">
        <f>IFERROR(__xludf.DUMMYFUNCTION("""COMPUTED_VALUE"""),"rostral division of 22p (area 22pr)")</f>
        <v>rostral division of 22p (area 22pr)</v>
      </c>
      <c r="D1179" s="42">
        <f>IFERROR(__xludf.DUMMYFUNCTION("""COMPUTED_VALUE"""),1112.0)</f>
        <v>1112</v>
      </c>
      <c r="E1179" s="39" t="str">
        <f>IFERROR(__xludf.DUMMYFUNCTION("""COMPUTED_VALUE"""),"rostral division of 22p (area 22pr)")</f>
        <v>rostral division of 22p (area 22pr)</v>
      </c>
      <c r="F1179" s="9" t="str">
        <f>IFERROR(__xludf.DUMMYFUNCTION("""COMPUTED_VALUE"""),"Br")</f>
        <v>Br</v>
      </c>
      <c r="G1179" s="9" t="str">
        <f>IFERROR(__xludf.DUMMYFUNCTION("""COMPUTED_VALUE"""),"F")</f>
        <v>F</v>
      </c>
      <c r="H1179" s="9" t="str">
        <f>IFERROR(__xludf.DUMMYFUNCTION("""COMPUTED_VALUE"""),"FGM")</f>
        <v>FGM</v>
      </c>
      <c r="I1179" s="9" t="str">
        <f>IFERROR(__xludf.DUMMYFUNCTION("""COMPUTED_VALUE"""),"Tel")</f>
        <v>Tel</v>
      </c>
      <c r="J1179" s="9" t="str">
        <f>IFERROR(__xludf.DUMMYFUNCTION("""COMPUTED_VALUE"""),"Cx")</f>
        <v>Cx</v>
      </c>
      <c r="K1179" s="9" t="str">
        <f>IFERROR(__xludf.DUMMYFUNCTION("""COMPUTED_VALUE"""),"NCx")</f>
        <v>NCx</v>
      </c>
      <c r="L1179" s="9" t="str">
        <f>IFERROR(__xludf.DUMMYFUNCTION("""COMPUTED_VALUE"""),"TCx")</f>
        <v>TCx</v>
      </c>
      <c r="M1179" s="9" t="str">
        <f>IFERROR(__xludf.DUMMYFUNCTION("""COMPUTED_VALUE"""),"DLTC")</f>
        <v>DLTC</v>
      </c>
      <c r="N1179" s="9" t="str">
        <f>IFERROR(__xludf.DUMMYFUNCTION("""COMPUTED_VALUE"""),"PSTC")</f>
        <v>PSTC</v>
      </c>
      <c r="O1179" s="9" t="str">
        <f>IFERROR(__xludf.DUMMYFUNCTION("""COMPUTED_VALUE"""),"A22pr")</f>
        <v>A22pr</v>
      </c>
      <c r="P1179" s="9"/>
      <c r="Q1179" s="9"/>
      <c r="R1179" s="9"/>
      <c r="S1179" s="42" t="str">
        <f>IFERROR(__xludf.DUMMYFUNCTION("""COMPUTED_VALUE"""),"A22pr1;
A22pr2;
A22pr3;
A22pr4;
A22pr5;
A22pr6")</f>
        <v>A22pr1;
A22pr2;
A22pr3;
A22pr4;
A22pr5;
A22pr6</v>
      </c>
      <c r="T1179" s="42"/>
      <c r="U1179" s="159" t="b">
        <f>IFERROR(__xludf.DUMMYFUNCTION("""COMPUTED_VALUE"""),FALSE)</f>
        <v>0</v>
      </c>
      <c r="V1179" s="42"/>
      <c r="W1179" s="42"/>
      <c r="X1179" s="42"/>
      <c r="Y1179" s="42"/>
      <c r="Z1179" s="42"/>
      <c r="AA1179" s="42"/>
      <c r="AB1179" s="42" t="str">
        <f>IFERROR(__xludf.DUMMYFUNCTION("""COMPUTED_VALUE"""),"allen institute")</f>
        <v>allen institute</v>
      </c>
      <c r="AC1179" s="42" t="str">
        <f>IFERROR(__xludf.DUMMYFUNCTION("""COMPUTED_VALUE"""),"DHBA")</f>
        <v>DHBA</v>
      </c>
      <c r="AD1179" s="42"/>
      <c r="AE1179" s="42"/>
      <c r="AF1179" s="9"/>
      <c r="AG1179" s="9"/>
      <c r="AH1179" s="42"/>
      <c r="AI1179" s="42"/>
      <c r="AJ1179" s="42"/>
      <c r="AK1179" s="42"/>
      <c r="AL1179" s="42"/>
      <c r="AM1179" s="42"/>
      <c r="AN1179" s="42"/>
      <c r="AO1179" s="63" t="str">
        <f>IFERROR(__xludf.DUMMYFUNCTION("IF(ISBLANK(A1179),,IF(ISBLANK(S1179), A1179&amp;"";"", TEXTJOIN(CHAR(10), TRUE, A1179&amp;"";"", ARRAYFORMULA(VLOOKUP(SPLIT(S1179, "";"" &amp; CHAR(10)), $A:$AO, 41, FALSE)))))"),"A22pr;
A22pr1;
A22pr2;
A22pr3;
A22pr4;
A22pr5;
A22pr6;")</f>
        <v>A22pr;
A22pr1;
A22pr2;
A22pr3;
A22pr4;
A22pr5;
A22pr6;</v>
      </c>
      <c r="AP1179" s="89"/>
    </row>
    <row r="1180">
      <c r="A1180" s="151" t="str">
        <f>IFERROR(__xludf.DUMMYFUNCTION("""COMPUTED_VALUE"""),"A22pr1")</f>
        <v>A22pr1</v>
      </c>
      <c r="B1180" s="42" t="str">
        <f>IFERROR(__xludf.DUMMYFUNCTION("""COMPUTED_VALUE"""),"DHBA")</f>
        <v>DHBA</v>
      </c>
      <c r="C1180" s="42" t="str">
        <f>IFERROR(__xludf.DUMMYFUNCTION("""COMPUTED_VALUE"""),"layer I of area 22pr")</f>
        <v>layer I of area 22pr</v>
      </c>
      <c r="D1180" s="42">
        <f>IFERROR(__xludf.DUMMYFUNCTION("""COMPUTED_VALUE"""),1113.0)</f>
        <v>1113</v>
      </c>
      <c r="E1180" s="39" t="str">
        <f>IFERROR(__xludf.DUMMYFUNCTION("""COMPUTED_VALUE"""),"layer I of area 22pr")</f>
        <v>layer I of area 22pr</v>
      </c>
      <c r="F1180" s="9" t="str">
        <f>IFERROR(__xludf.DUMMYFUNCTION("""COMPUTED_VALUE"""),"Br")</f>
        <v>Br</v>
      </c>
      <c r="G1180" s="9" t="str">
        <f>IFERROR(__xludf.DUMMYFUNCTION("""COMPUTED_VALUE"""),"F")</f>
        <v>F</v>
      </c>
      <c r="H1180" s="9" t="str">
        <f>IFERROR(__xludf.DUMMYFUNCTION("""COMPUTED_VALUE"""),"FGM")</f>
        <v>FGM</v>
      </c>
      <c r="I1180" s="9" t="str">
        <f>IFERROR(__xludf.DUMMYFUNCTION("""COMPUTED_VALUE"""),"Tel")</f>
        <v>Tel</v>
      </c>
      <c r="J1180" s="9" t="str">
        <f>IFERROR(__xludf.DUMMYFUNCTION("""COMPUTED_VALUE"""),"Cx")</f>
        <v>Cx</v>
      </c>
      <c r="K1180" s="9" t="str">
        <f>IFERROR(__xludf.DUMMYFUNCTION("""COMPUTED_VALUE"""),"NCx")</f>
        <v>NCx</v>
      </c>
      <c r="L1180" s="9" t="str">
        <f>IFERROR(__xludf.DUMMYFUNCTION("""COMPUTED_VALUE"""),"TCx")</f>
        <v>TCx</v>
      </c>
      <c r="M1180" s="9" t="str">
        <f>IFERROR(__xludf.DUMMYFUNCTION("""COMPUTED_VALUE"""),"DLTC")</f>
        <v>DLTC</v>
      </c>
      <c r="N1180" s="9" t="str">
        <f>IFERROR(__xludf.DUMMYFUNCTION("""COMPUTED_VALUE"""),"PSTC")</f>
        <v>PSTC</v>
      </c>
      <c r="O1180" s="9" t="str">
        <f>IFERROR(__xludf.DUMMYFUNCTION("""COMPUTED_VALUE"""),"A22pr")</f>
        <v>A22pr</v>
      </c>
      <c r="P1180" s="9" t="str">
        <f>IFERROR(__xludf.DUMMYFUNCTION("""COMPUTED_VALUE"""),"A22pr1")</f>
        <v>A22pr1</v>
      </c>
      <c r="Q1180" s="9"/>
      <c r="R1180" s="9"/>
      <c r="S1180" s="42"/>
      <c r="T1180" s="42"/>
      <c r="U1180" s="42"/>
      <c r="V1180" s="42"/>
      <c r="W1180" s="42"/>
      <c r="X1180" s="42"/>
      <c r="Y1180" s="42"/>
      <c r="Z1180" s="42"/>
      <c r="AA1180" s="42"/>
      <c r="AB1180" s="42" t="str">
        <f>IFERROR(__xludf.DUMMYFUNCTION("""COMPUTED_VALUE"""),"allen institute")</f>
        <v>allen institute</v>
      </c>
      <c r="AC1180" s="42" t="str">
        <f>IFERROR(__xludf.DUMMYFUNCTION("""COMPUTED_VALUE"""),"DHBA")</f>
        <v>DHBA</v>
      </c>
      <c r="AD1180" s="42"/>
      <c r="AE1180" s="42"/>
      <c r="AF1180" s="9"/>
      <c r="AG1180" s="9"/>
      <c r="AH1180" s="42"/>
      <c r="AI1180" s="42"/>
      <c r="AJ1180" s="42"/>
      <c r="AK1180" s="42"/>
      <c r="AL1180" s="42"/>
      <c r="AM1180" s="42"/>
      <c r="AN1180" s="42"/>
      <c r="AO1180" s="63" t="str">
        <f>IFERROR(__xludf.DUMMYFUNCTION("IF(ISBLANK(A1180),,IF(ISBLANK(S1180), A1180&amp;"";"", TEXTJOIN(CHAR(10), TRUE, A1180&amp;"";"", ARRAYFORMULA(VLOOKUP(SPLIT(S1180, "";"" &amp; CHAR(10)), $A:$AO, 41, FALSE)))))"),"A22pr1;")</f>
        <v>A22pr1;</v>
      </c>
      <c r="AP1180" s="89"/>
    </row>
    <row r="1181">
      <c r="A1181" s="151" t="str">
        <f>IFERROR(__xludf.DUMMYFUNCTION("""COMPUTED_VALUE"""),"A22pr2")</f>
        <v>A22pr2</v>
      </c>
      <c r="B1181" s="42" t="str">
        <f>IFERROR(__xludf.DUMMYFUNCTION("""COMPUTED_VALUE"""),"DHBA")</f>
        <v>DHBA</v>
      </c>
      <c r="C1181" s="42" t="str">
        <f>IFERROR(__xludf.DUMMYFUNCTION("""COMPUTED_VALUE"""),"layer II of area 22pr")</f>
        <v>layer II of area 22pr</v>
      </c>
      <c r="D1181" s="42">
        <f>IFERROR(__xludf.DUMMYFUNCTION("""COMPUTED_VALUE"""),1114.0)</f>
        <v>1114</v>
      </c>
      <c r="E1181" s="39" t="str">
        <f>IFERROR(__xludf.DUMMYFUNCTION("""COMPUTED_VALUE"""),"layer II of area 22pr")</f>
        <v>layer II of area 22pr</v>
      </c>
      <c r="F1181" s="9" t="str">
        <f>IFERROR(__xludf.DUMMYFUNCTION("""COMPUTED_VALUE"""),"Br")</f>
        <v>Br</v>
      </c>
      <c r="G1181" s="9" t="str">
        <f>IFERROR(__xludf.DUMMYFUNCTION("""COMPUTED_VALUE"""),"F")</f>
        <v>F</v>
      </c>
      <c r="H1181" s="9" t="str">
        <f>IFERROR(__xludf.DUMMYFUNCTION("""COMPUTED_VALUE"""),"FGM")</f>
        <v>FGM</v>
      </c>
      <c r="I1181" s="9" t="str">
        <f>IFERROR(__xludf.DUMMYFUNCTION("""COMPUTED_VALUE"""),"Tel")</f>
        <v>Tel</v>
      </c>
      <c r="J1181" s="9" t="str">
        <f>IFERROR(__xludf.DUMMYFUNCTION("""COMPUTED_VALUE"""),"Cx")</f>
        <v>Cx</v>
      </c>
      <c r="K1181" s="9" t="str">
        <f>IFERROR(__xludf.DUMMYFUNCTION("""COMPUTED_VALUE"""),"NCx")</f>
        <v>NCx</v>
      </c>
      <c r="L1181" s="9" t="str">
        <f>IFERROR(__xludf.DUMMYFUNCTION("""COMPUTED_VALUE"""),"TCx")</f>
        <v>TCx</v>
      </c>
      <c r="M1181" s="9" t="str">
        <f>IFERROR(__xludf.DUMMYFUNCTION("""COMPUTED_VALUE"""),"DLTC")</f>
        <v>DLTC</v>
      </c>
      <c r="N1181" s="9" t="str">
        <f>IFERROR(__xludf.DUMMYFUNCTION("""COMPUTED_VALUE"""),"PSTC")</f>
        <v>PSTC</v>
      </c>
      <c r="O1181" s="9" t="str">
        <f>IFERROR(__xludf.DUMMYFUNCTION("""COMPUTED_VALUE"""),"A22pr")</f>
        <v>A22pr</v>
      </c>
      <c r="P1181" s="9" t="str">
        <f>IFERROR(__xludf.DUMMYFUNCTION("""COMPUTED_VALUE"""),"A22pr2")</f>
        <v>A22pr2</v>
      </c>
      <c r="Q1181" s="9"/>
      <c r="R1181" s="9"/>
      <c r="S1181" s="42"/>
      <c r="T1181" s="42"/>
      <c r="U1181" s="42"/>
      <c r="V1181" s="42"/>
      <c r="W1181" s="42"/>
      <c r="X1181" s="42"/>
      <c r="Y1181" s="42"/>
      <c r="Z1181" s="42"/>
      <c r="AA1181" s="42"/>
      <c r="AB1181" s="42" t="str">
        <f>IFERROR(__xludf.DUMMYFUNCTION("""COMPUTED_VALUE"""),"allen institute")</f>
        <v>allen institute</v>
      </c>
      <c r="AC1181" s="42" t="str">
        <f>IFERROR(__xludf.DUMMYFUNCTION("""COMPUTED_VALUE"""),"DHBA")</f>
        <v>DHBA</v>
      </c>
      <c r="AD1181" s="42"/>
      <c r="AE1181" s="42"/>
      <c r="AF1181" s="9"/>
      <c r="AG1181" s="9"/>
      <c r="AH1181" s="42"/>
      <c r="AI1181" s="42"/>
      <c r="AJ1181" s="42"/>
      <c r="AK1181" s="42"/>
      <c r="AL1181" s="42"/>
      <c r="AM1181" s="42"/>
      <c r="AN1181" s="42"/>
      <c r="AO1181" s="63" t="str">
        <f>IFERROR(__xludf.DUMMYFUNCTION("IF(ISBLANK(A1181),,IF(ISBLANK(S1181), A1181&amp;"";"", TEXTJOIN(CHAR(10), TRUE, A1181&amp;"";"", ARRAYFORMULA(VLOOKUP(SPLIT(S1181, "";"" &amp; CHAR(10)), $A:$AO, 41, FALSE)))))"),"A22pr2;")</f>
        <v>A22pr2;</v>
      </c>
      <c r="AP1181" s="89"/>
    </row>
    <row r="1182">
      <c r="A1182" s="151" t="str">
        <f>IFERROR(__xludf.DUMMYFUNCTION("""COMPUTED_VALUE"""),"A22pr3")</f>
        <v>A22pr3</v>
      </c>
      <c r="B1182" s="42" t="str">
        <f>IFERROR(__xludf.DUMMYFUNCTION("""COMPUTED_VALUE"""),"DHBA")</f>
        <v>DHBA</v>
      </c>
      <c r="C1182" s="42" t="str">
        <f>IFERROR(__xludf.DUMMYFUNCTION("""COMPUTED_VALUE"""),"layer III of area 22pr")</f>
        <v>layer III of area 22pr</v>
      </c>
      <c r="D1182" s="42">
        <f>IFERROR(__xludf.DUMMYFUNCTION("""COMPUTED_VALUE"""),1115.0)</f>
        <v>1115</v>
      </c>
      <c r="E1182" s="39" t="str">
        <f>IFERROR(__xludf.DUMMYFUNCTION("""COMPUTED_VALUE"""),"layer III of area 22pr")</f>
        <v>layer III of area 22pr</v>
      </c>
      <c r="F1182" s="9" t="str">
        <f>IFERROR(__xludf.DUMMYFUNCTION("""COMPUTED_VALUE"""),"Br")</f>
        <v>Br</v>
      </c>
      <c r="G1182" s="9" t="str">
        <f>IFERROR(__xludf.DUMMYFUNCTION("""COMPUTED_VALUE"""),"F")</f>
        <v>F</v>
      </c>
      <c r="H1182" s="9" t="str">
        <f>IFERROR(__xludf.DUMMYFUNCTION("""COMPUTED_VALUE"""),"FGM")</f>
        <v>FGM</v>
      </c>
      <c r="I1182" s="9" t="str">
        <f>IFERROR(__xludf.DUMMYFUNCTION("""COMPUTED_VALUE"""),"Tel")</f>
        <v>Tel</v>
      </c>
      <c r="J1182" s="9" t="str">
        <f>IFERROR(__xludf.DUMMYFUNCTION("""COMPUTED_VALUE"""),"Cx")</f>
        <v>Cx</v>
      </c>
      <c r="K1182" s="9" t="str">
        <f>IFERROR(__xludf.DUMMYFUNCTION("""COMPUTED_VALUE"""),"NCx")</f>
        <v>NCx</v>
      </c>
      <c r="L1182" s="9" t="str">
        <f>IFERROR(__xludf.DUMMYFUNCTION("""COMPUTED_VALUE"""),"TCx")</f>
        <v>TCx</v>
      </c>
      <c r="M1182" s="9" t="str">
        <f>IFERROR(__xludf.DUMMYFUNCTION("""COMPUTED_VALUE"""),"DLTC")</f>
        <v>DLTC</v>
      </c>
      <c r="N1182" s="9" t="str">
        <f>IFERROR(__xludf.DUMMYFUNCTION("""COMPUTED_VALUE"""),"PSTC")</f>
        <v>PSTC</v>
      </c>
      <c r="O1182" s="9" t="str">
        <f>IFERROR(__xludf.DUMMYFUNCTION("""COMPUTED_VALUE"""),"A22pr")</f>
        <v>A22pr</v>
      </c>
      <c r="P1182" s="9" t="str">
        <f>IFERROR(__xludf.DUMMYFUNCTION("""COMPUTED_VALUE"""),"A22pr3")</f>
        <v>A22pr3</v>
      </c>
      <c r="Q1182" s="9"/>
      <c r="R1182" s="9"/>
      <c r="S1182" s="42"/>
      <c r="T1182" s="42"/>
      <c r="U1182" s="42"/>
      <c r="V1182" s="42"/>
      <c r="W1182" s="42"/>
      <c r="X1182" s="42"/>
      <c r="Y1182" s="42"/>
      <c r="Z1182" s="42"/>
      <c r="AA1182" s="42"/>
      <c r="AB1182" s="42" t="str">
        <f>IFERROR(__xludf.DUMMYFUNCTION("""COMPUTED_VALUE"""),"allen institute")</f>
        <v>allen institute</v>
      </c>
      <c r="AC1182" s="42" t="str">
        <f>IFERROR(__xludf.DUMMYFUNCTION("""COMPUTED_VALUE"""),"DHBA")</f>
        <v>DHBA</v>
      </c>
      <c r="AD1182" s="42"/>
      <c r="AE1182" s="42"/>
      <c r="AF1182" s="9"/>
      <c r="AG1182" s="9"/>
      <c r="AH1182" s="42"/>
      <c r="AI1182" s="42"/>
      <c r="AJ1182" s="42"/>
      <c r="AK1182" s="42"/>
      <c r="AL1182" s="42"/>
      <c r="AM1182" s="42"/>
      <c r="AN1182" s="42"/>
      <c r="AO1182" s="63" t="str">
        <f>IFERROR(__xludf.DUMMYFUNCTION("IF(ISBLANK(A1182),,IF(ISBLANK(S1182), A1182&amp;"";"", TEXTJOIN(CHAR(10), TRUE, A1182&amp;"";"", ARRAYFORMULA(VLOOKUP(SPLIT(S1182, "";"" &amp; CHAR(10)), $A:$AO, 41, FALSE)))))"),"A22pr3;")</f>
        <v>A22pr3;</v>
      </c>
      <c r="AP1182" s="89"/>
    </row>
    <row r="1183">
      <c r="A1183" s="151" t="str">
        <f>IFERROR(__xludf.DUMMYFUNCTION("""COMPUTED_VALUE"""),"A22pr4")</f>
        <v>A22pr4</v>
      </c>
      <c r="B1183" s="42" t="str">
        <f>IFERROR(__xludf.DUMMYFUNCTION("""COMPUTED_VALUE"""),"DHBA")</f>
        <v>DHBA</v>
      </c>
      <c r="C1183" s="42" t="str">
        <f>IFERROR(__xludf.DUMMYFUNCTION("""COMPUTED_VALUE"""),"layer IV of area 22pr")</f>
        <v>layer IV of area 22pr</v>
      </c>
      <c r="D1183" s="42">
        <f>IFERROR(__xludf.DUMMYFUNCTION("""COMPUTED_VALUE"""),1116.0)</f>
        <v>1116</v>
      </c>
      <c r="E1183" s="39" t="str">
        <f>IFERROR(__xludf.DUMMYFUNCTION("""COMPUTED_VALUE"""),"layer IV of area 22pr")</f>
        <v>layer IV of area 22pr</v>
      </c>
      <c r="F1183" s="9" t="str">
        <f>IFERROR(__xludf.DUMMYFUNCTION("""COMPUTED_VALUE"""),"Br")</f>
        <v>Br</v>
      </c>
      <c r="G1183" s="9" t="str">
        <f>IFERROR(__xludf.DUMMYFUNCTION("""COMPUTED_VALUE"""),"F")</f>
        <v>F</v>
      </c>
      <c r="H1183" s="9" t="str">
        <f>IFERROR(__xludf.DUMMYFUNCTION("""COMPUTED_VALUE"""),"FGM")</f>
        <v>FGM</v>
      </c>
      <c r="I1183" s="9" t="str">
        <f>IFERROR(__xludf.DUMMYFUNCTION("""COMPUTED_VALUE"""),"Tel")</f>
        <v>Tel</v>
      </c>
      <c r="J1183" s="9" t="str">
        <f>IFERROR(__xludf.DUMMYFUNCTION("""COMPUTED_VALUE"""),"Cx")</f>
        <v>Cx</v>
      </c>
      <c r="K1183" s="9" t="str">
        <f>IFERROR(__xludf.DUMMYFUNCTION("""COMPUTED_VALUE"""),"NCx")</f>
        <v>NCx</v>
      </c>
      <c r="L1183" s="9" t="str">
        <f>IFERROR(__xludf.DUMMYFUNCTION("""COMPUTED_VALUE"""),"TCx")</f>
        <v>TCx</v>
      </c>
      <c r="M1183" s="9" t="str">
        <f>IFERROR(__xludf.DUMMYFUNCTION("""COMPUTED_VALUE"""),"DLTC")</f>
        <v>DLTC</v>
      </c>
      <c r="N1183" s="9" t="str">
        <f>IFERROR(__xludf.DUMMYFUNCTION("""COMPUTED_VALUE"""),"PSTC")</f>
        <v>PSTC</v>
      </c>
      <c r="O1183" s="9" t="str">
        <f>IFERROR(__xludf.DUMMYFUNCTION("""COMPUTED_VALUE"""),"A22pr")</f>
        <v>A22pr</v>
      </c>
      <c r="P1183" s="9" t="str">
        <f>IFERROR(__xludf.DUMMYFUNCTION("""COMPUTED_VALUE"""),"A22pr4")</f>
        <v>A22pr4</v>
      </c>
      <c r="Q1183" s="9"/>
      <c r="R1183" s="9"/>
      <c r="S1183" s="42"/>
      <c r="T1183" s="42"/>
      <c r="U1183" s="42"/>
      <c r="V1183" s="42"/>
      <c r="W1183" s="42"/>
      <c r="X1183" s="42"/>
      <c r="Y1183" s="42"/>
      <c r="Z1183" s="42"/>
      <c r="AA1183" s="42"/>
      <c r="AB1183" s="42" t="str">
        <f>IFERROR(__xludf.DUMMYFUNCTION("""COMPUTED_VALUE"""),"allen institute")</f>
        <v>allen institute</v>
      </c>
      <c r="AC1183" s="42" t="str">
        <f>IFERROR(__xludf.DUMMYFUNCTION("""COMPUTED_VALUE"""),"DHBA")</f>
        <v>DHBA</v>
      </c>
      <c r="AD1183" s="42"/>
      <c r="AE1183" s="42"/>
      <c r="AF1183" s="9"/>
      <c r="AG1183" s="9"/>
      <c r="AH1183" s="42"/>
      <c r="AI1183" s="42"/>
      <c r="AJ1183" s="42"/>
      <c r="AK1183" s="42"/>
      <c r="AL1183" s="42"/>
      <c r="AM1183" s="42"/>
      <c r="AN1183" s="42"/>
      <c r="AO1183" s="63" t="str">
        <f>IFERROR(__xludf.DUMMYFUNCTION("IF(ISBLANK(A1183),,IF(ISBLANK(S1183), A1183&amp;"";"", TEXTJOIN(CHAR(10), TRUE, A1183&amp;"";"", ARRAYFORMULA(VLOOKUP(SPLIT(S1183, "";"" &amp; CHAR(10)), $A:$AO, 41, FALSE)))))"),"A22pr4;")</f>
        <v>A22pr4;</v>
      </c>
      <c r="AP1183" s="89"/>
    </row>
    <row r="1184">
      <c r="A1184" s="151" t="str">
        <f>IFERROR(__xludf.DUMMYFUNCTION("""COMPUTED_VALUE"""),"A22pr5")</f>
        <v>A22pr5</v>
      </c>
      <c r="B1184" s="42" t="str">
        <f>IFERROR(__xludf.DUMMYFUNCTION("""COMPUTED_VALUE"""),"DHBA")</f>
        <v>DHBA</v>
      </c>
      <c r="C1184" s="42" t="str">
        <f>IFERROR(__xludf.DUMMYFUNCTION("""COMPUTED_VALUE"""),"layer V of area 22pr")</f>
        <v>layer V of area 22pr</v>
      </c>
      <c r="D1184" s="42">
        <f>IFERROR(__xludf.DUMMYFUNCTION("""COMPUTED_VALUE"""),1117.0)</f>
        <v>1117</v>
      </c>
      <c r="E1184" s="39" t="str">
        <f>IFERROR(__xludf.DUMMYFUNCTION("""COMPUTED_VALUE"""),"layer V of area 22pr")</f>
        <v>layer V of area 22pr</v>
      </c>
      <c r="F1184" s="9" t="str">
        <f>IFERROR(__xludf.DUMMYFUNCTION("""COMPUTED_VALUE"""),"Br")</f>
        <v>Br</v>
      </c>
      <c r="G1184" s="9" t="str">
        <f>IFERROR(__xludf.DUMMYFUNCTION("""COMPUTED_VALUE"""),"F")</f>
        <v>F</v>
      </c>
      <c r="H1184" s="9" t="str">
        <f>IFERROR(__xludf.DUMMYFUNCTION("""COMPUTED_VALUE"""),"FGM")</f>
        <v>FGM</v>
      </c>
      <c r="I1184" s="9" t="str">
        <f>IFERROR(__xludf.DUMMYFUNCTION("""COMPUTED_VALUE"""),"Tel")</f>
        <v>Tel</v>
      </c>
      <c r="J1184" s="9" t="str">
        <f>IFERROR(__xludf.DUMMYFUNCTION("""COMPUTED_VALUE"""),"Cx")</f>
        <v>Cx</v>
      </c>
      <c r="K1184" s="9" t="str">
        <f>IFERROR(__xludf.DUMMYFUNCTION("""COMPUTED_VALUE"""),"NCx")</f>
        <v>NCx</v>
      </c>
      <c r="L1184" s="9" t="str">
        <f>IFERROR(__xludf.DUMMYFUNCTION("""COMPUTED_VALUE"""),"TCx")</f>
        <v>TCx</v>
      </c>
      <c r="M1184" s="9" t="str">
        <f>IFERROR(__xludf.DUMMYFUNCTION("""COMPUTED_VALUE"""),"DLTC")</f>
        <v>DLTC</v>
      </c>
      <c r="N1184" s="9" t="str">
        <f>IFERROR(__xludf.DUMMYFUNCTION("""COMPUTED_VALUE"""),"PSTC")</f>
        <v>PSTC</v>
      </c>
      <c r="O1184" s="9" t="str">
        <f>IFERROR(__xludf.DUMMYFUNCTION("""COMPUTED_VALUE"""),"A22pr")</f>
        <v>A22pr</v>
      </c>
      <c r="P1184" s="9" t="str">
        <f>IFERROR(__xludf.DUMMYFUNCTION("""COMPUTED_VALUE"""),"A22pr5")</f>
        <v>A22pr5</v>
      </c>
      <c r="Q1184" s="9"/>
      <c r="R1184" s="9"/>
      <c r="S1184" s="42"/>
      <c r="T1184" s="42"/>
      <c r="U1184" s="42"/>
      <c r="V1184" s="42"/>
      <c r="W1184" s="42"/>
      <c r="X1184" s="42"/>
      <c r="Y1184" s="42"/>
      <c r="Z1184" s="42"/>
      <c r="AA1184" s="42"/>
      <c r="AB1184" s="42" t="str">
        <f>IFERROR(__xludf.DUMMYFUNCTION("""COMPUTED_VALUE"""),"allen institute")</f>
        <v>allen institute</v>
      </c>
      <c r="AC1184" s="42" t="str">
        <f>IFERROR(__xludf.DUMMYFUNCTION("""COMPUTED_VALUE"""),"DHBA")</f>
        <v>DHBA</v>
      </c>
      <c r="AD1184" s="42"/>
      <c r="AE1184" s="42"/>
      <c r="AF1184" s="9"/>
      <c r="AG1184" s="9"/>
      <c r="AH1184" s="42"/>
      <c r="AI1184" s="42"/>
      <c r="AJ1184" s="42"/>
      <c r="AK1184" s="42"/>
      <c r="AL1184" s="42"/>
      <c r="AM1184" s="42"/>
      <c r="AN1184" s="42"/>
      <c r="AO1184" s="63" t="str">
        <f>IFERROR(__xludf.DUMMYFUNCTION("IF(ISBLANK(A1184),,IF(ISBLANK(S1184), A1184&amp;"";"", TEXTJOIN(CHAR(10), TRUE, A1184&amp;"";"", ARRAYFORMULA(VLOOKUP(SPLIT(S1184, "";"" &amp; CHAR(10)), $A:$AO, 41, FALSE)))))"),"A22pr5;")</f>
        <v>A22pr5;</v>
      </c>
      <c r="AP1184" s="89"/>
    </row>
    <row r="1185">
      <c r="A1185" s="151" t="str">
        <f>IFERROR(__xludf.DUMMYFUNCTION("""COMPUTED_VALUE"""),"A22pr6")</f>
        <v>A22pr6</v>
      </c>
      <c r="B1185" s="42" t="str">
        <f>IFERROR(__xludf.DUMMYFUNCTION("""COMPUTED_VALUE"""),"DHBA")</f>
        <v>DHBA</v>
      </c>
      <c r="C1185" s="42" t="str">
        <f>IFERROR(__xludf.DUMMYFUNCTION("""COMPUTED_VALUE"""),"layer VI of area 22pr")</f>
        <v>layer VI of area 22pr</v>
      </c>
      <c r="D1185" s="42">
        <f>IFERROR(__xludf.DUMMYFUNCTION("""COMPUTED_VALUE"""),1118.0)</f>
        <v>1118</v>
      </c>
      <c r="E1185" s="39" t="str">
        <f>IFERROR(__xludf.DUMMYFUNCTION("""COMPUTED_VALUE"""),"layer VI of area 22pr")</f>
        <v>layer VI of area 22pr</v>
      </c>
      <c r="F1185" s="9" t="str">
        <f>IFERROR(__xludf.DUMMYFUNCTION("""COMPUTED_VALUE"""),"Br")</f>
        <v>Br</v>
      </c>
      <c r="G1185" s="9" t="str">
        <f>IFERROR(__xludf.DUMMYFUNCTION("""COMPUTED_VALUE"""),"F")</f>
        <v>F</v>
      </c>
      <c r="H1185" s="9" t="str">
        <f>IFERROR(__xludf.DUMMYFUNCTION("""COMPUTED_VALUE"""),"FGM")</f>
        <v>FGM</v>
      </c>
      <c r="I1185" s="9" t="str">
        <f>IFERROR(__xludf.DUMMYFUNCTION("""COMPUTED_VALUE"""),"Tel")</f>
        <v>Tel</v>
      </c>
      <c r="J1185" s="9" t="str">
        <f>IFERROR(__xludf.DUMMYFUNCTION("""COMPUTED_VALUE"""),"Cx")</f>
        <v>Cx</v>
      </c>
      <c r="K1185" s="9" t="str">
        <f>IFERROR(__xludf.DUMMYFUNCTION("""COMPUTED_VALUE"""),"NCx")</f>
        <v>NCx</v>
      </c>
      <c r="L1185" s="9" t="str">
        <f>IFERROR(__xludf.DUMMYFUNCTION("""COMPUTED_VALUE"""),"TCx")</f>
        <v>TCx</v>
      </c>
      <c r="M1185" s="9" t="str">
        <f>IFERROR(__xludf.DUMMYFUNCTION("""COMPUTED_VALUE"""),"DLTC")</f>
        <v>DLTC</v>
      </c>
      <c r="N1185" s="9" t="str">
        <f>IFERROR(__xludf.DUMMYFUNCTION("""COMPUTED_VALUE"""),"PSTC")</f>
        <v>PSTC</v>
      </c>
      <c r="O1185" s="9" t="str">
        <f>IFERROR(__xludf.DUMMYFUNCTION("""COMPUTED_VALUE"""),"A22pr")</f>
        <v>A22pr</v>
      </c>
      <c r="P1185" s="9" t="str">
        <f>IFERROR(__xludf.DUMMYFUNCTION("""COMPUTED_VALUE"""),"A22pr6")</f>
        <v>A22pr6</v>
      </c>
      <c r="Q1185" s="9"/>
      <c r="R1185" s="9"/>
      <c r="S1185" s="42"/>
      <c r="T1185" s="42"/>
      <c r="U1185" s="159"/>
      <c r="V1185" s="42"/>
      <c r="W1185" s="42"/>
      <c r="X1185" s="42"/>
      <c r="Y1185" s="42"/>
      <c r="Z1185" s="42"/>
      <c r="AA1185" s="42"/>
      <c r="AB1185" s="42" t="str">
        <f>IFERROR(__xludf.DUMMYFUNCTION("""COMPUTED_VALUE"""),"allen institute")</f>
        <v>allen institute</v>
      </c>
      <c r="AC1185" s="42" t="str">
        <f>IFERROR(__xludf.DUMMYFUNCTION("""COMPUTED_VALUE"""),"DHBA")</f>
        <v>DHBA</v>
      </c>
      <c r="AD1185" s="42"/>
      <c r="AE1185" s="42"/>
      <c r="AF1185" s="9"/>
      <c r="AG1185" s="9"/>
      <c r="AH1185" s="42"/>
      <c r="AI1185" s="42"/>
      <c r="AJ1185" s="42"/>
      <c r="AK1185" s="42"/>
      <c r="AL1185" s="42"/>
      <c r="AM1185" s="42"/>
      <c r="AN1185" s="42"/>
      <c r="AO1185" s="63" t="str">
        <f>IFERROR(__xludf.DUMMYFUNCTION("IF(ISBLANK(A1185),,IF(ISBLANK(S1185), A1185&amp;"";"", TEXTJOIN(CHAR(10), TRUE, A1185&amp;"";"", ARRAYFORMULA(VLOOKUP(SPLIT(S1185, "";"" &amp; CHAR(10)), $A:$AO, 41, FALSE)))))"),"A22pr6;")</f>
        <v>A22pr6;</v>
      </c>
      <c r="AP1185" s="89"/>
    </row>
    <row r="1186">
      <c r="A1186" s="151" t="str">
        <f>IFERROR(__xludf.DUMMYFUNCTION("""COMPUTED_VALUE"""),"A22pi")</f>
        <v>A22pi</v>
      </c>
      <c r="B1186" s="42" t="str">
        <f>IFERROR(__xludf.DUMMYFUNCTION("""COMPUTED_VALUE"""),"DHBA")</f>
        <v>DHBA</v>
      </c>
      <c r="C1186" s="42" t="str">
        <f>IFERROR(__xludf.DUMMYFUNCTION("""COMPUTED_VALUE"""),"intermediate division of 22p (area 22pi)")</f>
        <v>intermediate division of 22p (area 22pi)</v>
      </c>
      <c r="D1186" s="42">
        <f>IFERROR(__xludf.DUMMYFUNCTION("""COMPUTED_VALUE"""),1119.0)</f>
        <v>1119</v>
      </c>
      <c r="E1186" s="39" t="str">
        <f>IFERROR(__xludf.DUMMYFUNCTION("""COMPUTED_VALUE"""),"intermediate division of 22p (area 22pi)")</f>
        <v>intermediate division of 22p (area 22pi)</v>
      </c>
      <c r="F1186" s="9" t="str">
        <f>IFERROR(__xludf.DUMMYFUNCTION("""COMPUTED_VALUE"""),"Br")</f>
        <v>Br</v>
      </c>
      <c r="G1186" s="9" t="str">
        <f>IFERROR(__xludf.DUMMYFUNCTION("""COMPUTED_VALUE"""),"F")</f>
        <v>F</v>
      </c>
      <c r="H1186" s="9" t="str">
        <f>IFERROR(__xludf.DUMMYFUNCTION("""COMPUTED_VALUE"""),"FGM")</f>
        <v>FGM</v>
      </c>
      <c r="I1186" s="9" t="str">
        <f>IFERROR(__xludf.DUMMYFUNCTION("""COMPUTED_VALUE"""),"Tel")</f>
        <v>Tel</v>
      </c>
      <c r="J1186" s="9" t="str">
        <f>IFERROR(__xludf.DUMMYFUNCTION("""COMPUTED_VALUE"""),"Cx")</f>
        <v>Cx</v>
      </c>
      <c r="K1186" s="9" t="str">
        <f>IFERROR(__xludf.DUMMYFUNCTION("""COMPUTED_VALUE"""),"NCx")</f>
        <v>NCx</v>
      </c>
      <c r="L1186" s="9" t="str">
        <f>IFERROR(__xludf.DUMMYFUNCTION("""COMPUTED_VALUE"""),"TCx")</f>
        <v>TCx</v>
      </c>
      <c r="M1186" s="9" t="str">
        <f>IFERROR(__xludf.DUMMYFUNCTION("""COMPUTED_VALUE"""),"DLTC")</f>
        <v>DLTC</v>
      </c>
      <c r="N1186" s="9" t="str">
        <f>IFERROR(__xludf.DUMMYFUNCTION("""COMPUTED_VALUE"""),"PSTC")</f>
        <v>PSTC</v>
      </c>
      <c r="O1186" s="9" t="str">
        <f>IFERROR(__xludf.DUMMYFUNCTION("""COMPUTED_VALUE"""),"A22pi")</f>
        <v>A22pi</v>
      </c>
      <c r="P1186" s="9"/>
      <c r="Q1186" s="9"/>
      <c r="R1186" s="9"/>
      <c r="S1186" s="42" t="str">
        <f>IFERROR(__xludf.DUMMYFUNCTION("""COMPUTED_VALUE"""),"A22pi1;
A22pi2;
A22pi3;
A22pi4;
A22pi5;
A22pi6")</f>
        <v>A22pi1;
A22pi2;
A22pi3;
A22pi4;
A22pi5;
A22pi6</v>
      </c>
      <c r="T1186" s="42"/>
      <c r="U1186" s="42" t="b">
        <f>IFERROR(__xludf.DUMMYFUNCTION("""COMPUTED_VALUE"""),FALSE)</f>
        <v>0</v>
      </c>
      <c r="V1186" s="42"/>
      <c r="W1186" s="42"/>
      <c r="X1186" s="42"/>
      <c r="Y1186" s="42"/>
      <c r="Z1186" s="42"/>
      <c r="AA1186" s="42"/>
      <c r="AB1186" s="42" t="str">
        <f>IFERROR(__xludf.DUMMYFUNCTION("""COMPUTED_VALUE"""),"allen institute")</f>
        <v>allen institute</v>
      </c>
      <c r="AC1186" s="42" t="str">
        <f>IFERROR(__xludf.DUMMYFUNCTION("""COMPUTED_VALUE"""),"DHBA")</f>
        <v>DHBA</v>
      </c>
      <c r="AD1186" s="42"/>
      <c r="AE1186" s="42"/>
      <c r="AF1186" s="9"/>
      <c r="AG1186" s="9"/>
      <c r="AH1186" s="42"/>
      <c r="AI1186" s="42"/>
      <c r="AJ1186" s="42"/>
      <c r="AK1186" s="42"/>
      <c r="AL1186" s="42"/>
      <c r="AM1186" s="42"/>
      <c r="AN1186" s="42"/>
      <c r="AO1186" s="63" t="str">
        <f>IFERROR(__xludf.DUMMYFUNCTION("IF(ISBLANK(A1186),,IF(ISBLANK(S1186), A1186&amp;"";"", TEXTJOIN(CHAR(10), TRUE, A1186&amp;"";"", ARRAYFORMULA(VLOOKUP(SPLIT(S1186, "";"" &amp; CHAR(10)), $A:$AO, 41, FALSE)))))"),"A22pi;
A22pi1;
A22pi2;
A22pi3;
A22pi4;
A22pi5;
A22pi6;")</f>
        <v>A22pi;
A22pi1;
A22pi2;
A22pi3;
A22pi4;
A22pi5;
A22pi6;</v>
      </c>
      <c r="AP1186" s="89"/>
    </row>
    <row r="1187">
      <c r="A1187" s="151" t="str">
        <f>IFERROR(__xludf.DUMMYFUNCTION("""COMPUTED_VALUE"""),"A22pi1")</f>
        <v>A22pi1</v>
      </c>
      <c r="B1187" s="42" t="str">
        <f>IFERROR(__xludf.DUMMYFUNCTION("""COMPUTED_VALUE"""),"DHBA")</f>
        <v>DHBA</v>
      </c>
      <c r="C1187" s="42" t="str">
        <f>IFERROR(__xludf.DUMMYFUNCTION("""COMPUTED_VALUE"""),"layer I of area 22pi")</f>
        <v>layer I of area 22pi</v>
      </c>
      <c r="D1187" s="42">
        <f>IFERROR(__xludf.DUMMYFUNCTION("""COMPUTED_VALUE"""),1120.0)</f>
        <v>1120</v>
      </c>
      <c r="E1187" s="39" t="str">
        <f>IFERROR(__xludf.DUMMYFUNCTION("""COMPUTED_VALUE"""),"layer I of area 22pi")</f>
        <v>layer I of area 22pi</v>
      </c>
      <c r="F1187" s="9" t="str">
        <f>IFERROR(__xludf.DUMMYFUNCTION("""COMPUTED_VALUE"""),"Br")</f>
        <v>Br</v>
      </c>
      <c r="G1187" s="9" t="str">
        <f>IFERROR(__xludf.DUMMYFUNCTION("""COMPUTED_VALUE"""),"F")</f>
        <v>F</v>
      </c>
      <c r="H1187" s="9" t="str">
        <f>IFERROR(__xludf.DUMMYFUNCTION("""COMPUTED_VALUE"""),"FGM")</f>
        <v>FGM</v>
      </c>
      <c r="I1187" s="9" t="str">
        <f>IFERROR(__xludf.DUMMYFUNCTION("""COMPUTED_VALUE"""),"Tel")</f>
        <v>Tel</v>
      </c>
      <c r="J1187" s="9" t="str">
        <f>IFERROR(__xludf.DUMMYFUNCTION("""COMPUTED_VALUE"""),"Cx")</f>
        <v>Cx</v>
      </c>
      <c r="K1187" s="9" t="str">
        <f>IFERROR(__xludf.DUMMYFUNCTION("""COMPUTED_VALUE"""),"NCx")</f>
        <v>NCx</v>
      </c>
      <c r="L1187" s="9" t="str">
        <f>IFERROR(__xludf.DUMMYFUNCTION("""COMPUTED_VALUE"""),"TCx")</f>
        <v>TCx</v>
      </c>
      <c r="M1187" s="9" t="str">
        <f>IFERROR(__xludf.DUMMYFUNCTION("""COMPUTED_VALUE"""),"DLTC")</f>
        <v>DLTC</v>
      </c>
      <c r="N1187" s="9" t="str">
        <f>IFERROR(__xludf.DUMMYFUNCTION("""COMPUTED_VALUE"""),"PSTC")</f>
        <v>PSTC</v>
      </c>
      <c r="O1187" s="9" t="str">
        <f>IFERROR(__xludf.DUMMYFUNCTION("""COMPUTED_VALUE"""),"A22pi")</f>
        <v>A22pi</v>
      </c>
      <c r="P1187" s="9" t="str">
        <f>IFERROR(__xludf.DUMMYFUNCTION("""COMPUTED_VALUE"""),"A22pi1")</f>
        <v>A22pi1</v>
      </c>
      <c r="Q1187" s="9"/>
      <c r="R1187" s="9"/>
      <c r="S1187" s="42"/>
      <c r="T1187" s="42"/>
      <c r="U1187" s="42"/>
      <c r="V1187" s="42"/>
      <c r="W1187" s="42"/>
      <c r="X1187" s="42"/>
      <c r="Y1187" s="42"/>
      <c r="Z1187" s="42"/>
      <c r="AA1187" s="42"/>
      <c r="AB1187" s="42" t="str">
        <f>IFERROR(__xludf.DUMMYFUNCTION("""COMPUTED_VALUE"""),"allen institute")</f>
        <v>allen institute</v>
      </c>
      <c r="AC1187" s="42" t="str">
        <f>IFERROR(__xludf.DUMMYFUNCTION("""COMPUTED_VALUE"""),"DHBA")</f>
        <v>DHBA</v>
      </c>
      <c r="AD1187" s="42"/>
      <c r="AE1187" s="42"/>
      <c r="AF1187" s="9"/>
      <c r="AG1187" s="9"/>
      <c r="AH1187" s="42"/>
      <c r="AI1187" s="42"/>
      <c r="AJ1187" s="42"/>
      <c r="AK1187" s="42"/>
      <c r="AL1187" s="42"/>
      <c r="AM1187" s="42"/>
      <c r="AN1187" s="42"/>
      <c r="AO1187" s="63" t="str">
        <f>IFERROR(__xludf.DUMMYFUNCTION("IF(ISBLANK(A1187),,IF(ISBLANK(S1187), A1187&amp;"";"", TEXTJOIN(CHAR(10), TRUE, A1187&amp;"";"", ARRAYFORMULA(VLOOKUP(SPLIT(S1187, "";"" &amp; CHAR(10)), $A:$AO, 41, FALSE)))))"),"A22pi1;")</f>
        <v>A22pi1;</v>
      </c>
      <c r="AP1187" s="89"/>
    </row>
    <row r="1188">
      <c r="A1188" s="151" t="str">
        <f>IFERROR(__xludf.DUMMYFUNCTION("""COMPUTED_VALUE"""),"A22pi2")</f>
        <v>A22pi2</v>
      </c>
      <c r="B1188" s="42" t="str">
        <f>IFERROR(__xludf.DUMMYFUNCTION("""COMPUTED_VALUE"""),"DHBA")</f>
        <v>DHBA</v>
      </c>
      <c r="C1188" s="42" t="str">
        <f>IFERROR(__xludf.DUMMYFUNCTION("""COMPUTED_VALUE"""),"layer II of area 22pi")</f>
        <v>layer II of area 22pi</v>
      </c>
      <c r="D1188" s="42">
        <f>IFERROR(__xludf.DUMMYFUNCTION("""COMPUTED_VALUE"""),1121.0)</f>
        <v>1121</v>
      </c>
      <c r="E1188" s="39" t="str">
        <f>IFERROR(__xludf.DUMMYFUNCTION("""COMPUTED_VALUE"""),"layer II of area 22pi")</f>
        <v>layer II of area 22pi</v>
      </c>
      <c r="F1188" s="9" t="str">
        <f>IFERROR(__xludf.DUMMYFUNCTION("""COMPUTED_VALUE"""),"Br")</f>
        <v>Br</v>
      </c>
      <c r="G1188" s="9" t="str">
        <f>IFERROR(__xludf.DUMMYFUNCTION("""COMPUTED_VALUE"""),"F")</f>
        <v>F</v>
      </c>
      <c r="H1188" s="9" t="str">
        <f>IFERROR(__xludf.DUMMYFUNCTION("""COMPUTED_VALUE"""),"FGM")</f>
        <v>FGM</v>
      </c>
      <c r="I1188" s="9" t="str">
        <f>IFERROR(__xludf.DUMMYFUNCTION("""COMPUTED_VALUE"""),"Tel")</f>
        <v>Tel</v>
      </c>
      <c r="J1188" s="9" t="str">
        <f>IFERROR(__xludf.DUMMYFUNCTION("""COMPUTED_VALUE"""),"Cx")</f>
        <v>Cx</v>
      </c>
      <c r="K1188" s="9" t="str">
        <f>IFERROR(__xludf.DUMMYFUNCTION("""COMPUTED_VALUE"""),"NCx")</f>
        <v>NCx</v>
      </c>
      <c r="L1188" s="9" t="str">
        <f>IFERROR(__xludf.DUMMYFUNCTION("""COMPUTED_VALUE"""),"TCx")</f>
        <v>TCx</v>
      </c>
      <c r="M1188" s="9" t="str">
        <f>IFERROR(__xludf.DUMMYFUNCTION("""COMPUTED_VALUE"""),"DLTC")</f>
        <v>DLTC</v>
      </c>
      <c r="N1188" s="9" t="str">
        <f>IFERROR(__xludf.DUMMYFUNCTION("""COMPUTED_VALUE"""),"PSTC")</f>
        <v>PSTC</v>
      </c>
      <c r="O1188" s="9" t="str">
        <f>IFERROR(__xludf.DUMMYFUNCTION("""COMPUTED_VALUE"""),"A22pi")</f>
        <v>A22pi</v>
      </c>
      <c r="P1188" s="9" t="str">
        <f>IFERROR(__xludf.DUMMYFUNCTION("""COMPUTED_VALUE"""),"A22pi2")</f>
        <v>A22pi2</v>
      </c>
      <c r="Q1188" s="9"/>
      <c r="R1188" s="9"/>
      <c r="S1188" s="42"/>
      <c r="T1188" s="42"/>
      <c r="U1188" s="42"/>
      <c r="V1188" s="42"/>
      <c r="W1188" s="42"/>
      <c r="X1188" s="42"/>
      <c r="Y1188" s="42"/>
      <c r="Z1188" s="42"/>
      <c r="AA1188" s="42"/>
      <c r="AB1188" s="42" t="str">
        <f>IFERROR(__xludf.DUMMYFUNCTION("""COMPUTED_VALUE"""),"allen institute")</f>
        <v>allen institute</v>
      </c>
      <c r="AC1188" s="42" t="str">
        <f>IFERROR(__xludf.DUMMYFUNCTION("""COMPUTED_VALUE"""),"DHBA")</f>
        <v>DHBA</v>
      </c>
      <c r="AD1188" s="42"/>
      <c r="AE1188" s="42"/>
      <c r="AF1188" s="9"/>
      <c r="AG1188" s="9"/>
      <c r="AH1188" s="42"/>
      <c r="AI1188" s="42"/>
      <c r="AJ1188" s="42"/>
      <c r="AK1188" s="42"/>
      <c r="AL1188" s="42"/>
      <c r="AM1188" s="42"/>
      <c r="AN1188" s="42"/>
      <c r="AO1188" s="63" t="str">
        <f>IFERROR(__xludf.DUMMYFUNCTION("IF(ISBLANK(A1188),,IF(ISBLANK(S1188), A1188&amp;"";"", TEXTJOIN(CHAR(10), TRUE, A1188&amp;"";"", ARRAYFORMULA(VLOOKUP(SPLIT(S1188, "";"" &amp; CHAR(10)), $A:$AO, 41, FALSE)))))"),"A22pi2;")</f>
        <v>A22pi2;</v>
      </c>
      <c r="AP1188" s="89"/>
    </row>
    <row r="1189">
      <c r="A1189" s="151" t="str">
        <f>IFERROR(__xludf.DUMMYFUNCTION("""COMPUTED_VALUE"""),"A22pi3")</f>
        <v>A22pi3</v>
      </c>
      <c r="B1189" s="42" t="str">
        <f>IFERROR(__xludf.DUMMYFUNCTION("""COMPUTED_VALUE"""),"DHBA")</f>
        <v>DHBA</v>
      </c>
      <c r="C1189" s="42" t="str">
        <f>IFERROR(__xludf.DUMMYFUNCTION("""COMPUTED_VALUE"""),"layer III of area 22pi")</f>
        <v>layer III of area 22pi</v>
      </c>
      <c r="D1189" s="42">
        <f>IFERROR(__xludf.DUMMYFUNCTION("""COMPUTED_VALUE"""),1122.0)</f>
        <v>1122</v>
      </c>
      <c r="E1189" s="39" t="str">
        <f>IFERROR(__xludf.DUMMYFUNCTION("""COMPUTED_VALUE"""),"layer III of area 22pi")</f>
        <v>layer III of area 22pi</v>
      </c>
      <c r="F1189" s="9" t="str">
        <f>IFERROR(__xludf.DUMMYFUNCTION("""COMPUTED_VALUE"""),"Br")</f>
        <v>Br</v>
      </c>
      <c r="G1189" s="9" t="str">
        <f>IFERROR(__xludf.DUMMYFUNCTION("""COMPUTED_VALUE"""),"F")</f>
        <v>F</v>
      </c>
      <c r="H1189" s="9" t="str">
        <f>IFERROR(__xludf.DUMMYFUNCTION("""COMPUTED_VALUE"""),"FGM")</f>
        <v>FGM</v>
      </c>
      <c r="I1189" s="9" t="str">
        <f>IFERROR(__xludf.DUMMYFUNCTION("""COMPUTED_VALUE"""),"Tel")</f>
        <v>Tel</v>
      </c>
      <c r="J1189" s="9" t="str">
        <f>IFERROR(__xludf.DUMMYFUNCTION("""COMPUTED_VALUE"""),"Cx")</f>
        <v>Cx</v>
      </c>
      <c r="K1189" s="9" t="str">
        <f>IFERROR(__xludf.DUMMYFUNCTION("""COMPUTED_VALUE"""),"NCx")</f>
        <v>NCx</v>
      </c>
      <c r="L1189" s="9" t="str">
        <f>IFERROR(__xludf.DUMMYFUNCTION("""COMPUTED_VALUE"""),"TCx")</f>
        <v>TCx</v>
      </c>
      <c r="M1189" s="9" t="str">
        <f>IFERROR(__xludf.DUMMYFUNCTION("""COMPUTED_VALUE"""),"DLTC")</f>
        <v>DLTC</v>
      </c>
      <c r="N1189" s="9" t="str">
        <f>IFERROR(__xludf.DUMMYFUNCTION("""COMPUTED_VALUE"""),"PSTC")</f>
        <v>PSTC</v>
      </c>
      <c r="O1189" s="9" t="str">
        <f>IFERROR(__xludf.DUMMYFUNCTION("""COMPUTED_VALUE"""),"A22pi")</f>
        <v>A22pi</v>
      </c>
      <c r="P1189" s="9" t="str">
        <f>IFERROR(__xludf.DUMMYFUNCTION("""COMPUTED_VALUE"""),"A22pi3")</f>
        <v>A22pi3</v>
      </c>
      <c r="Q1189" s="9"/>
      <c r="R1189" s="9"/>
      <c r="S1189" s="42"/>
      <c r="T1189" s="42"/>
      <c r="U1189" s="159"/>
      <c r="V1189" s="42"/>
      <c r="W1189" s="42"/>
      <c r="X1189" s="42"/>
      <c r="Y1189" s="42"/>
      <c r="Z1189" s="42"/>
      <c r="AA1189" s="42"/>
      <c r="AB1189" s="42" t="str">
        <f>IFERROR(__xludf.DUMMYFUNCTION("""COMPUTED_VALUE"""),"allen institute")</f>
        <v>allen institute</v>
      </c>
      <c r="AC1189" s="42" t="str">
        <f>IFERROR(__xludf.DUMMYFUNCTION("""COMPUTED_VALUE"""),"DHBA")</f>
        <v>DHBA</v>
      </c>
      <c r="AD1189" s="42"/>
      <c r="AE1189" s="42"/>
      <c r="AF1189" s="9"/>
      <c r="AG1189" s="9"/>
      <c r="AH1189" s="42"/>
      <c r="AI1189" s="42"/>
      <c r="AJ1189" s="42"/>
      <c r="AK1189" s="42"/>
      <c r="AL1189" s="42"/>
      <c r="AM1189" s="42"/>
      <c r="AN1189" s="42"/>
      <c r="AO1189" s="63" t="str">
        <f>IFERROR(__xludf.DUMMYFUNCTION("IF(ISBLANK(A1189),,IF(ISBLANK(S1189), A1189&amp;"";"", TEXTJOIN(CHAR(10), TRUE, A1189&amp;"";"", ARRAYFORMULA(VLOOKUP(SPLIT(S1189, "";"" &amp; CHAR(10)), $A:$AO, 41, FALSE)))))"),"A22pi3;")</f>
        <v>A22pi3;</v>
      </c>
      <c r="AP1189" s="89"/>
    </row>
    <row r="1190">
      <c r="A1190" s="151" t="str">
        <f>IFERROR(__xludf.DUMMYFUNCTION("""COMPUTED_VALUE"""),"A22pi4")</f>
        <v>A22pi4</v>
      </c>
      <c r="B1190" s="42" t="str">
        <f>IFERROR(__xludf.DUMMYFUNCTION("""COMPUTED_VALUE"""),"DHBA")</f>
        <v>DHBA</v>
      </c>
      <c r="C1190" s="42" t="str">
        <f>IFERROR(__xludf.DUMMYFUNCTION("""COMPUTED_VALUE"""),"layer IV of area 22pi")</f>
        <v>layer IV of area 22pi</v>
      </c>
      <c r="D1190" s="42">
        <f>IFERROR(__xludf.DUMMYFUNCTION("""COMPUTED_VALUE"""),1123.0)</f>
        <v>1123</v>
      </c>
      <c r="E1190" s="39" t="str">
        <f>IFERROR(__xludf.DUMMYFUNCTION("""COMPUTED_VALUE"""),"layer IV of area 22pi")</f>
        <v>layer IV of area 22pi</v>
      </c>
      <c r="F1190" s="9" t="str">
        <f>IFERROR(__xludf.DUMMYFUNCTION("""COMPUTED_VALUE"""),"Br")</f>
        <v>Br</v>
      </c>
      <c r="G1190" s="9" t="str">
        <f>IFERROR(__xludf.DUMMYFUNCTION("""COMPUTED_VALUE"""),"F")</f>
        <v>F</v>
      </c>
      <c r="H1190" s="9" t="str">
        <f>IFERROR(__xludf.DUMMYFUNCTION("""COMPUTED_VALUE"""),"FGM")</f>
        <v>FGM</v>
      </c>
      <c r="I1190" s="9" t="str">
        <f>IFERROR(__xludf.DUMMYFUNCTION("""COMPUTED_VALUE"""),"Tel")</f>
        <v>Tel</v>
      </c>
      <c r="J1190" s="9" t="str">
        <f>IFERROR(__xludf.DUMMYFUNCTION("""COMPUTED_VALUE"""),"Cx")</f>
        <v>Cx</v>
      </c>
      <c r="K1190" s="9" t="str">
        <f>IFERROR(__xludf.DUMMYFUNCTION("""COMPUTED_VALUE"""),"NCx")</f>
        <v>NCx</v>
      </c>
      <c r="L1190" s="9" t="str">
        <f>IFERROR(__xludf.DUMMYFUNCTION("""COMPUTED_VALUE"""),"TCx")</f>
        <v>TCx</v>
      </c>
      <c r="M1190" s="9" t="str">
        <f>IFERROR(__xludf.DUMMYFUNCTION("""COMPUTED_VALUE"""),"DLTC")</f>
        <v>DLTC</v>
      </c>
      <c r="N1190" s="9" t="str">
        <f>IFERROR(__xludf.DUMMYFUNCTION("""COMPUTED_VALUE"""),"PSTC")</f>
        <v>PSTC</v>
      </c>
      <c r="O1190" s="9" t="str">
        <f>IFERROR(__xludf.DUMMYFUNCTION("""COMPUTED_VALUE"""),"A22pi")</f>
        <v>A22pi</v>
      </c>
      <c r="P1190" s="9" t="str">
        <f>IFERROR(__xludf.DUMMYFUNCTION("""COMPUTED_VALUE"""),"A22pi4")</f>
        <v>A22pi4</v>
      </c>
      <c r="Q1190" s="9"/>
      <c r="R1190" s="9"/>
      <c r="S1190" s="42"/>
      <c r="T1190" s="42"/>
      <c r="U1190" s="42"/>
      <c r="V1190" s="42"/>
      <c r="W1190" s="42"/>
      <c r="X1190" s="42"/>
      <c r="Y1190" s="42"/>
      <c r="Z1190" s="42"/>
      <c r="AA1190" s="42"/>
      <c r="AB1190" s="42" t="str">
        <f>IFERROR(__xludf.DUMMYFUNCTION("""COMPUTED_VALUE"""),"allen institute")</f>
        <v>allen institute</v>
      </c>
      <c r="AC1190" s="42" t="str">
        <f>IFERROR(__xludf.DUMMYFUNCTION("""COMPUTED_VALUE"""),"DHBA")</f>
        <v>DHBA</v>
      </c>
      <c r="AD1190" s="42"/>
      <c r="AE1190" s="42"/>
      <c r="AF1190" s="9"/>
      <c r="AG1190" s="9"/>
      <c r="AH1190" s="42"/>
      <c r="AI1190" s="42"/>
      <c r="AJ1190" s="42"/>
      <c r="AK1190" s="42"/>
      <c r="AL1190" s="42"/>
      <c r="AM1190" s="42"/>
      <c r="AN1190" s="42"/>
      <c r="AO1190" s="63" t="str">
        <f>IFERROR(__xludf.DUMMYFUNCTION("IF(ISBLANK(A1190),,IF(ISBLANK(S1190), A1190&amp;"";"", TEXTJOIN(CHAR(10), TRUE, A1190&amp;"";"", ARRAYFORMULA(VLOOKUP(SPLIT(S1190, "";"" &amp; CHAR(10)), $A:$AO, 41, FALSE)))))"),"A22pi4;")</f>
        <v>A22pi4;</v>
      </c>
      <c r="AP1190" s="89"/>
    </row>
    <row r="1191">
      <c r="A1191" s="151" t="str">
        <f>IFERROR(__xludf.DUMMYFUNCTION("""COMPUTED_VALUE"""),"A22pi5")</f>
        <v>A22pi5</v>
      </c>
      <c r="B1191" s="42" t="str">
        <f>IFERROR(__xludf.DUMMYFUNCTION("""COMPUTED_VALUE"""),"DHBA")</f>
        <v>DHBA</v>
      </c>
      <c r="C1191" s="42" t="str">
        <f>IFERROR(__xludf.DUMMYFUNCTION("""COMPUTED_VALUE"""),"layer V of area 22pi")</f>
        <v>layer V of area 22pi</v>
      </c>
      <c r="D1191" s="42">
        <f>IFERROR(__xludf.DUMMYFUNCTION("""COMPUTED_VALUE"""),1124.0)</f>
        <v>1124</v>
      </c>
      <c r="E1191" s="39" t="str">
        <f>IFERROR(__xludf.DUMMYFUNCTION("""COMPUTED_VALUE"""),"layer V of area 22pi")</f>
        <v>layer V of area 22pi</v>
      </c>
      <c r="F1191" s="9" t="str">
        <f>IFERROR(__xludf.DUMMYFUNCTION("""COMPUTED_VALUE"""),"Br")</f>
        <v>Br</v>
      </c>
      <c r="G1191" s="9" t="str">
        <f>IFERROR(__xludf.DUMMYFUNCTION("""COMPUTED_VALUE"""),"F")</f>
        <v>F</v>
      </c>
      <c r="H1191" s="9" t="str">
        <f>IFERROR(__xludf.DUMMYFUNCTION("""COMPUTED_VALUE"""),"FGM")</f>
        <v>FGM</v>
      </c>
      <c r="I1191" s="9" t="str">
        <f>IFERROR(__xludf.DUMMYFUNCTION("""COMPUTED_VALUE"""),"Tel")</f>
        <v>Tel</v>
      </c>
      <c r="J1191" s="9" t="str">
        <f>IFERROR(__xludf.DUMMYFUNCTION("""COMPUTED_VALUE"""),"Cx")</f>
        <v>Cx</v>
      </c>
      <c r="K1191" s="9" t="str">
        <f>IFERROR(__xludf.DUMMYFUNCTION("""COMPUTED_VALUE"""),"NCx")</f>
        <v>NCx</v>
      </c>
      <c r="L1191" s="9" t="str">
        <f>IFERROR(__xludf.DUMMYFUNCTION("""COMPUTED_VALUE"""),"TCx")</f>
        <v>TCx</v>
      </c>
      <c r="M1191" s="9" t="str">
        <f>IFERROR(__xludf.DUMMYFUNCTION("""COMPUTED_VALUE"""),"DLTC")</f>
        <v>DLTC</v>
      </c>
      <c r="N1191" s="9" t="str">
        <f>IFERROR(__xludf.DUMMYFUNCTION("""COMPUTED_VALUE"""),"PSTC")</f>
        <v>PSTC</v>
      </c>
      <c r="O1191" s="9" t="str">
        <f>IFERROR(__xludf.DUMMYFUNCTION("""COMPUTED_VALUE"""),"A22pi")</f>
        <v>A22pi</v>
      </c>
      <c r="P1191" s="9" t="str">
        <f>IFERROR(__xludf.DUMMYFUNCTION("""COMPUTED_VALUE"""),"A22pi5")</f>
        <v>A22pi5</v>
      </c>
      <c r="Q1191" s="9"/>
      <c r="R1191" s="9"/>
      <c r="S1191" s="42"/>
      <c r="T1191" s="42"/>
      <c r="U1191" s="42"/>
      <c r="V1191" s="42"/>
      <c r="W1191" s="42"/>
      <c r="X1191" s="42"/>
      <c r="Y1191" s="42"/>
      <c r="Z1191" s="42"/>
      <c r="AA1191" s="42"/>
      <c r="AB1191" s="42" t="str">
        <f>IFERROR(__xludf.DUMMYFUNCTION("""COMPUTED_VALUE"""),"allen institute")</f>
        <v>allen institute</v>
      </c>
      <c r="AC1191" s="42" t="str">
        <f>IFERROR(__xludf.DUMMYFUNCTION("""COMPUTED_VALUE"""),"DHBA")</f>
        <v>DHBA</v>
      </c>
      <c r="AD1191" s="42"/>
      <c r="AE1191" s="42"/>
      <c r="AF1191" s="9"/>
      <c r="AG1191" s="9"/>
      <c r="AH1191" s="42"/>
      <c r="AI1191" s="42"/>
      <c r="AJ1191" s="42"/>
      <c r="AK1191" s="42"/>
      <c r="AL1191" s="42"/>
      <c r="AM1191" s="42"/>
      <c r="AN1191" s="42"/>
      <c r="AO1191" s="63" t="str">
        <f>IFERROR(__xludf.DUMMYFUNCTION("IF(ISBLANK(A1191),,IF(ISBLANK(S1191), A1191&amp;"";"", TEXTJOIN(CHAR(10), TRUE, A1191&amp;"";"", ARRAYFORMULA(VLOOKUP(SPLIT(S1191, "";"" &amp; CHAR(10)), $A:$AO, 41, FALSE)))))"),"A22pi5;")</f>
        <v>A22pi5;</v>
      </c>
      <c r="AP1191" s="89"/>
    </row>
    <row r="1192">
      <c r="A1192" s="151" t="str">
        <f>IFERROR(__xludf.DUMMYFUNCTION("""COMPUTED_VALUE"""),"A22pi6")</f>
        <v>A22pi6</v>
      </c>
      <c r="B1192" s="42" t="str">
        <f>IFERROR(__xludf.DUMMYFUNCTION("""COMPUTED_VALUE"""),"DHBA")</f>
        <v>DHBA</v>
      </c>
      <c r="C1192" s="42" t="str">
        <f>IFERROR(__xludf.DUMMYFUNCTION("""COMPUTED_VALUE"""),"layer VI of area 22pi")</f>
        <v>layer VI of area 22pi</v>
      </c>
      <c r="D1192" s="42">
        <f>IFERROR(__xludf.DUMMYFUNCTION("""COMPUTED_VALUE"""),1125.0)</f>
        <v>1125</v>
      </c>
      <c r="E1192" s="39" t="str">
        <f>IFERROR(__xludf.DUMMYFUNCTION("""COMPUTED_VALUE"""),"layer VI of area 22pi")</f>
        <v>layer VI of area 22pi</v>
      </c>
      <c r="F1192" s="9" t="str">
        <f>IFERROR(__xludf.DUMMYFUNCTION("""COMPUTED_VALUE"""),"Br")</f>
        <v>Br</v>
      </c>
      <c r="G1192" s="9" t="str">
        <f>IFERROR(__xludf.DUMMYFUNCTION("""COMPUTED_VALUE"""),"F")</f>
        <v>F</v>
      </c>
      <c r="H1192" s="9" t="str">
        <f>IFERROR(__xludf.DUMMYFUNCTION("""COMPUTED_VALUE"""),"FGM")</f>
        <v>FGM</v>
      </c>
      <c r="I1192" s="9" t="str">
        <f>IFERROR(__xludf.DUMMYFUNCTION("""COMPUTED_VALUE"""),"Tel")</f>
        <v>Tel</v>
      </c>
      <c r="J1192" s="9" t="str">
        <f>IFERROR(__xludf.DUMMYFUNCTION("""COMPUTED_VALUE"""),"Cx")</f>
        <v>Cx</v>
      </c>
      <c r="K1192" s="9" t="str">
        <f>IFERROR(__xludf.DUMMYFUNCTION("""COMPUTED_VALUE"""),"NCx")</f>
        <v>NCx</v>
      </c>
      <c r="L1192" s="9" t="str">
        <f>IFERROR(__xludf.DUMMYFUNCTION("""COMPUTED_VALUE"""),"TCx")</f>
        <v>TCx</v>
      </c>
      <c r="M1192" s="9" t="str">
        <f>IFERROR(__xludf.DUMMYFUNCTION("""COMPUTED_VALUE"""),"DLTC")</f>
        <v>DLTC</v>
      </c>
      <c r="N1192" s="9" t="str">
        <f>IFERROR(__xludf.DUMMYFUNCTION("""COMPUTED_VALUE"""),"PSTC")</f>
        <v>PSTC</v>
      </c>
      <c r="O1192" s="9" t="str">
        <f>IFERROR(__xludf.DUMMYFUNCTION("""COMPUTED_VALUE"""),"A22pi")</f>
        <v>A22pi</v>
      </c>
      <c r="P1192" s="9" t="str">
        <f>IFERROR(__xludf.DUMMYFUNCTION("""COMPUTED_VALUE"""),"A22pi6")</f>
        <v>A22pi6</v>
      </c>
      <c r="Q1192" s="9"/>
      <c r="R1192" s="9"/>
      <c r="S1192" s="42"/>
      <c r="T1192" s="42"/>
      <c r="U1192" s="42"/>
      <c r="V1192" s="42"/>
      <c r="W1192" s="42"/>
      <c r="X1192" s="42"/>
      <c r="Y1192" s="42"/>
      <c r="Z1192" s="42"/>
      <c r="AA1192" s="42"/>
      <c r="AB1192" s="42" t="str">
        <f>IFERROR(__xludf.DUMMYFUNCTION("""COMPUTED_VALUE"""),"allen institute")</f>
        <v>allen institute</v>
      </c>
      <c r="AC1192" s="42" t="str">
        <f>IFERROR(__xludf.DUMMYFUNCTION("""COMPUTED_VALUE"""),"DHBA")</f>
        <v>DHBA</v>
      </c>
      <c r="AD1192" s="42"/>
      <c r="AE1192" s="42"/>
      <c r="AF1192" s="9"/>
      <c r="AG1192" s="9"/>
      <c r="AH1192" s="42"/>
      <c r="AI1192" s="42"/>
      <c r="AJ1192" s="42"/>
      <c r="AK1192" s="42"/>
      <c r="AL1192" s="42"/>
      <c r="AM1192" s="42"/>
      <c r="AN1192" s="42"/>
      <c r="AO1192" s="63" t="str">
        <f>IFERROR(__xludf.DUMMYFUNCTION("IF(ISBLANK(A1192),,IF(ISBLANK(S1192), A1192&amp;"";"", TEXTJOIN(CHAR(10), TRUE, A1192&amp;"";"", ARRAYFORMULA(VLOOKUP(SPLIT(S1192, "";"" &amp; CHAR(10)), $A:$AO, 41, FALSE)))))"),"A22pi6;")</f>
        <v>A22pi6;</v>
      </c>
      <c r="AP1192" s="89"/>
    </row>
    <row r="1193">
      <c r="A1193" s="151" t="str">
        <f>IFERROR(__xludf.DUMMYFUNCTION("""COMPUTED_VALUE"""),"A22pc")</f>
        <v>A22pc</v>
      </c>
      <c r="B1193" s="42" t="str">
        <f>IFERROR(__xludf.DUMMYFUNCTION("""COMPUTED_VALUE"""),"DHBA")</f>
        <v>DHBA</v>
      </c>
      <c r="C1193" s="42" t="str">
        <f>IFERROR(__xludf.DUMMYFUNCTION("""COMPUTED_VALUE"""),"caudal division of 22p (area 22pc)")</f>
        <v>caudal division of 22p (area 22pc)</v>
      </c>
      <c r="D1193" s="42">
        <f>IFERROR(__xludf.DUMMYFUNCTION("""COMPUTED_VALUE"""),1126.0)</f>
        <v>1126</v>
      </c>
      <c r="E1193" s="39" t="str">
        <f>IFERROR(__xludf.DUMMYFUNCTION("""COMPUTED_VALUE"""),"caudal division of 22p (area 22pc)")</f>
        <v>caudal division of 22p (area 22pc)</v>
      </c>
      <c r="F1193" s="9" t="str">
        <f>IFERROR(__xludf.DUMMYFUNCTION("""COMPUTED_VALUE"""),"Br")</f>
        <v>Br</v>
      </c>
      <c r="G1193" s="9" t="str">
        <f>IFERROR(__xludf.DUMMYFUNCTION("""COMPUTED_VALUE"""),"F")</f>
        <v>F</v>
      </c>
      <c r="H1193" s="9" t="str">
        <f>IFERROR(__xludf.DUMMYFUNCTION("""COMPUTED_VALUE"""),"FGM")</f>
        <v>FGM</v>
      </c>
      <c r="I1193" s="9" t="str">
        <f>IFERROR(__xludf.DUMMYFUNCTION("""COMPUTED_VALUE"""),"Tel")</f>
        <v>Tel</v>
      </c>
      <c r="J1193" s="9" t="str">
        <f>IFERROR(__xludf.DUMMYFUNCTION("""COMPUTED_VALUE"""),"Cx")</f>
        <v>Cx</v>
      </c>
      <c r="K1193" s="9" t="str">
        <f>IFERROR(__xludf.DUMMYFUNCTION("""COMPUTED_VALUE"""),"NCx")</f>
        <v>NCx</v>
      </c>
      <c r="L1193" s="9" t="str">
        <f>IFERROR(__xludf.DUMMYFUNCTION("""COMPUTED_VALUE"""),"TCx")</f>
        <v>TCx</v>
      </c>
      <c r="M1193" s="9" t="str">
        <f>IFERROR(__xludf.DUMMYFUNCTION("""COMPUTED_VALUE"""),"DLTC")</f>
        <v>DLTC</v>
      </c>
      <c r="N1193" s="9" t="str">
        <f>IFERROR(__xludf.DUMMYFUNCTION("""COMPUTED_VALUE"""),"PSTC")</f>
        <v>PSTC</v>
      </c>
      <c r="O1193" s="9" t="str">
        <f>IFERROR(__xludf.DUMMYFUNCTION("""COMPUTED_VALUE"""),"A22pc")</f>
        <v>A22pc</v>
      </c>
      <c r="P1193" s="9"/>
      <c r="Q1193" s="9"/>
      <c r="R1193" s="9"/>
      <c r="S1193" s="42" t="str">
        <f>IFERROR(__xludf.DUMMYFUNCTION("""COMPUTED_VALUE"""),"A22pc1;
A22pc2;
A22pc3;
A22pc4;
A22pc5;
A22pc6")</f>
        <v>A22pc1;
A22pc2;
A22pc3;
A22pc4;
A22pc5;
A22pc6</v>
      </c>
      <c r="T1193" s="42"/>
      <c r="U1193" s="42" t="b">
        <f>IFERROR(__xludf.DUMMYFUNCTION("""COMPUTED_VALUE"""),FALSE)</f>
        <v>0</v>
      </c>
      <c r="V1193" s="42"/>
      <c r="W1193" s="42"/>
      <c r="X1193" s="42"/>
      <c r="Y1193" s="42"/>
      <c r="Z1193" s="42"/>
      <c r="AA1193" s="42"/>
      <c r="AB1193" s="42" t="str">
        <f>IFERROR(__xludf.DUMMYFUNCTION("""COMPUTED_VALUE"""),"allen institute")</f>
        <v>allen institute</v>
      </c>
      <c r="AC1193" s="42" t="str">
        <f>IFERROR(__xludf.DUMMYFUNCTION("""COMPUTED_VALUE"""),"DHBA")</f>
        <v>DHBA</v>
      </c>
      <c r="AD1193" s="42"/>
      <c r="AE1193" s="42"/>
      <c r="AF1193" s="9"/>
      <c r="AG1193" s="9"/>
      <c r="AH1193" s="42"/>
      <c r="AI1193" s="42"/>
      <c r="AJ1193" s="42"/>
      <c r="AK1193" s="42"/>
      <c r="AL1193" s="42"/>
      <c r="AM1193" s="42"/>
      <c r="AN1193" s="42"/>
      <c r="AO1193" s="63" t="str">
        <f>IFERROR(__xludf.DUMMYFUNCTION("IF(ISBLANK(A1193),,IF(ISBLANK(S1193), A1193&amp;"";"", TEXTJOIN(CHAR(10), TRUE, A1193&amp;"";"", ARRAYFORMULA(VLOOKUP(SPLIT(S1193, "";"" &amp; CHAR(10)), $A:$AO, 41, FALSE)))))"),"A22pc;
A22pc1;
A22pc2;
A22pc3;
A22pc4;
A22pc5;
A22pc6;")</f>
        <v>A22pc;
A22pc1;
A22pc2;
A22pc3;
A22pc4;
A22pc5;
A22pc6;</v>
      </c>
      <c r="AP1193" s="89"/>
    </row>
    <row r="1194">
      <c r="A1194" s="151" t="str">
        <f>IFERROR(__xludf.DUMMYFUNCTION("""COMPUTED_VALUE"""),"A22pc1")</f>
        <v>A22pc1</v>
      </c>
      <c r="B1194" s="42" t="str">
        <f>IFERROR(__xludf.DUMMYFUNCTION("""COMPUTED_VALUE"""),"DHBA")</f>
        <v>DHBA</v>
      </c>
      <c r="C1194" s="42" t="str">
        <f>IFERROR(__xludf.DUMMYFUNCTION("""COMPUTED_VALUE"""),"layer I of area 22pc")</f>
        <v>layer I of area 22pc</v>
      </c>
      <c r="D1194" s="42">
        <f>IFERROR(__xludf.DUMMYFUNCTION("""COMPUTED_VALUE"""),1127.0)</f>
        <v>1127</v>
      </c>
      <c r="E1194" s="39" t="str">
        <f>IFERROR(__xludf.DUMMYFUNCTION("""COMPUTED_VALUE"""),"layer I of area 22pc")</f>
        <v>layer I of area 22pc</v>
      </c>
      <c r="F1194" s="9" t="str">
        <f>IFERROR(__xludf.DUMMYFUNCTION("""COMPUTED_VALUE"""),"Br")</f>
        <v>Br</v>
      </c>
      <c r="G1194" s="9" t="str">
        <f>IFERROR(__xludf.DUMMYFUNCTION("""COMPUTED_VALUE"""),"F")</f>
        <v>F</v>
      </c>
      <c r="H1194" s="9" t="str">
        <f>IFERROR(__xludf.DUMMYFUNCTION("""COMPUTED_VALUE"""),"FGM")</f>
        <v>FGM</v>
      </c>
      <c r="I1194" s="9" t="str">
        <f>IFERROR(__xludf.DUMMYFUNCTION("""COMPUTED_VALUE"""),"Tel")</f>
        <v>Tel</v>
      </c>
      <c r="J1194" s="9" t="str">
        <f>IFERROR(__xludf.DUMMYFUNCTION("""COMPUTED_VALUE"""),"Cx")</f>
        <v>Cx</v>
      </c>
      <c r="K1194" s="9" t="str">
        <f>IFERROR(__xludf.DUMMYFUNCTION("""COMPUTED_VALUE"""),"NCx")</f>
        <v>NCx</v>
      </c>
      <c r="L1194" s="9" t="str">
        <f>IFERROR(__xludf.DUMMYFUNCTION("""COMPUTED_VALUE"""),"TCx")</f>
        <v>TCx</v>
      </c>
      <c r="M1194" s="9" t="str">
        <f>IFERROR(__xludf.DUMMYFUNCTION("""COMPUTED_VALUE"""),"DLTC")</f>
        <v>DLTC</v>
      </c>
      <c r="N1194" s="9" t="str">
        <f>IFERROR(__xludf.DUMMYFUNCTION("""COMPUTED_VALUE"""),"PSTC")</f>
        <v>PSTC</v>
      </c>
      <c r="O1194" s="9" t="str">
        <f>IFERROR(__xludf.DUMMYFUNCTION("""COMPUTED_VALUE"""),"A22pc")</f>
        <v>A22pc</v>
      </c>
      <c r="P1194" s="9" t="str">
        <f>IFERROR(__xludf.DUMMYFUNCTION("""COMPUTED_VALUE"""),"A22pc1")</f>
        <v>A22pc1</v>
      </c>
      <c r="Q1194" s="9"/>
      <c r="R1194" s="9"/>
      <c r="S1194" s="42"/>
      <c r="T1194" s="42"/>
      <c r="U1194" s="159"/>
      <c r="V1194" s="42"/>
      <c r="W1194" s="42"/>
      <c r="X1194" s="42"/>
      <c r="Y1194" s="42"/>
      <c r="Z1194" s="42"/>
      <c r="AA1194" s="42"/>
      <c r="AB1194" s="42" t="str">
        <f>IFERROR(__xludf.DUMMYFUNCTION("""COMPUTED_VALUE"""),"allen institute")</f>
        <v>allen institute</v>
      </c>
      <c r="AC1194" s="42" t="str">
        <f>IFERROR(__xludf.DUMMYFUNCTION("""COMPUTED_VALUE"""),"DHBA")</f>
        <v>DHBA</v>
      </c>
      <c r="AD1194" s="42"/>
      <c r="AE1194" s="42"/>
      <c r="AF1194" s="9"/>
      <c r="AG1194" s="9"/>
      <c r="AH1194" s="42"/>
      <c r="AI1194" s="42"/>
      <c r="AJ1194" s="42"/>
      <c r="AK1194" s="42"/>
      <c r="AL1194" s="42"/>
      <c r="AM1194" s="42"/>
      <c r="AN1194" s="42"/>
      <c r="AO1194" s="63" t="str">
        <f>IFERROR(__xludf.DUMMYFUNCTION("IF(ISBLANK(A1194),,IF(ISBLANK(S1194), A1194&amp;"";"", TEXTJOIN(CHAR(10), TRUE, A1194&amp;"";"", ARRAYFORMULA(VLOOKUP(SPLIT(S1194, "";"" &amp; CHAR(10)), $A:$AO, 41, FALSE)))))"),"A22pc1;")</f>
        <v>A22pc1;</v>
      </c>
      <c r="AP1194" s="89"/>
    </row>
    <row r="1195">
      <c r="A1195" s="151" t="str">
        <f>IFERROR(__xludf.DUMMYFUNCTION("""COMPUTED_VALUE"""),"A22pc2")</f>
        <v>A22pc2</v>
      </c>
      <c r="B1195" s="42" t="str">
        <f>IFERROR(__xludf.DUMMYFUNCTION("""COMPUTED_VALUE"""),"DHBA")</f>
        <v>DHBA</v>
      </c>
      <c r="C1195" s="42" t="str">
        <f>IFERROR(__xludf.DUMMYFUNCTION("""COMPUTED_VALUE"""),"layer II of area 22pc")</f>
        <v>layer II of area 22pc</v>
      </c>
      <c r="D1195" s="42">
        <f>IFERROR(__xludf.DUMMYFUNCTION("""COMPUTED_VALUE"""),1128.0)</f>
        <v>1128</v>
      </c>
      <c r="E1195" s="39" t="str">
        <f>IFERROR(__xludf.DUMMYFUNCTION("""COMPUTED_VALUE"""),"layer II of area 22pc")</f>
        <v>layer II of area 22pc</v>
      </c>
      <c r="F1195" s="9" t="str">
        <f>IFERROR(__xludf.DUMMYFUNCTION("""COMPUTED_VALUE"""),"Br")</f>
        <v>Br</v>
      </c>
      <c r="G1195" s="9" t="str">
        <f>IFERROR(__xludf.DUMMYFUNCTION("""COMPUTED_VALUE"""),"F")</f>
        <v>F</v>
      </c>
      <c r="H1195" s="9" t="str">
        <f>IFERROR(__xludf.DUMMYFUNCTION("""COMPUTED_VALUE"""),"FGM")</f>
        <v>FGM</v>
      </c>
      <c r="I1195" s="9" t="str">
        <f>IFERROR(__xludf.DUMMYFUNCTION("""COMPUTED_VALUE"""),"Tel")</f>
        <v>Tel</v>
      </c>
      <c r="J1195" s="9" t="str">
        <f>IFERROR(__xludf.DUMMYFUNCTION("""COMPUTED_VALUE"""),"Cx")</f>
        <v>Cx</v>
      </c>
      <c r="K1195" s="9" t="str">
        <f>IFERROR(__xludf.DUMMYFUNCTION("""COMPUTED_VALUE"""),"NCx")</f>
        <v>NCx</v>
      </c>
      <c r="L1195" s="9" t="str">
        <f>IFERROR(__xludf.DUMMYFUNCTION("""COMPUTED_VALUE"""),"TCx")</f>
        <v>TCx</v>
      </c>
      <c r="M1195" s="9" t="str">
        <f>IFERROR(__xludf.DUMMYFUNCTION("""COMPUTED_VALUE"""),"DLTC")</f>
        <v>DLTC</v>
      </c>
      <c r="N1195" s="9" t="str">
        <f>IFERROR(__xludf.DUMMYFUNCTION("""COMPUTED_VALUE"""),"PSTC")</f>
        <v>PSTC</v>
      </c>
      <c r="O1195" s="9" t="str">
        <f>IFERROR(__xludf.DUMMYFUNCTION("""COMPUTED_VALUE"""),"A22pc")</f>
        <v>A22pc</v>
      </c>
      <c r="P1195" s="9" t="str">
        <f>IFERROR(__xludf.DUMMYFUNCTION("""COMPUTED_VALUE"""),"A22pc2")</f>
        <v>A22pc2</v>
      </c>
      <c r="Q1195" s="9"/>
      <c r="R1195" s="9"/>
      <c r="S1195" s="42"/>
      <c r="T1195" s="42"/>
      <c r="U1195" s="159"/>
      <c r="V1195" s="42"/>
      <c r="W1195" s="42"/>
      <c r="X1195" s="42"/>
      <c r="Y1195" s="42"/>
      <c r="Z1195" s="42"/>
      <c r="AA1195" s="42"/>
      <c r="AB1195" s="42" t="str">
        <f>IFERROR(__xludf.DUMMYFUNCTION("""COMPUTED_VALUE"""),"allen institute")</f>
        <v>allen institute</v>
      </c>
      <c r="AC1195" s="42" t="str">
        <f>IFERROR(__xludf.DUMMYFUNCTION("""COMPUTED_VALUE"""),"DHBA")</f>
        <v>DHBA</v>
      </c>
      <c r="AD1195" s="42"/>
      <c r="AE1195" s="42"/>
      <c r="AF1195" s="9"/>
      <c r="AG1195" s="9"/>
      <c r="AH1195" s="42"/>
      <c r="AI1195" s="42"/>
      <c r="AJ1195" s="42"/>
      <c r="AK1195" s="42"/>
      <c r="AL1195" s="42"/>
      <c r="AM1195" s="42"/>
      <c r="AN1195" s="42"/>
      <c r="AO1195" s="63" t="str">
        <f>IFERROR(__xludf.DUMMYFUNCTION("IF(ISBLANK(A1195),,IF(ISBLANK(S1195), A1195&amp;"";"", TEXTJOIN(CHAR(10), TRUE, A1195&amp;"";"", ARRAYFORMULA(VLOOKUP(SPLIT(S1195, "";"" &amp; CHAR(10)), $A:$AO, 41, FALSE)))))"),"A22pc2;")</f>
        <v>A22pc2;</v>
      </c>
      <c r="AP1195" s="89"/>
    </row>
    <row r="1196">
      <c r="A1196" s="151" t="str">
        <f>IFERROR(__xludf.DUMMYFUNCTION("""COMPUTED_VALUE"""),"A22pc3")</f>
        <v>A22pc3</v>
      </c>
      <c r="B1196" s="42" t="str">
        <f>IFERROR(__xludf.DUMMYFUNCTION("""COMPUTED_VALUE"""),"DHBA")</f>
        <v>DHBA</v>
      </c>
      <c r="C1196" s="42" t="str">
        <f>IFERROR(__xludf.DUMMYFUNCTION("""COMPUTED_VALUE"""),"layer III of area 22pc")</f>
        <v>layer III of area 22pc</v>
      </c>
      <c r="D1196" s="42">
        <f>IFERROR(__xludf.DUMMYFUNCTION("""COMPUTED_VALUE"""),1129.0)</f>
        <v>1129</v>
      </c>
      <c r="E1196" s="39" t="str">
        <f>IFERROR(__xludf.DUMMYFUNCTION("""COMPUTED_VALUE"""),"layer III of area 22pc")</f>
        <v>layer III of area 22pc</v>
      </c>
      <c r="F1196" s="9" t="str">
        <f>IFERROR(__xludf.DUMMYFUNCTION("""COMPUTED_VALUE"""),"Br")</f>
        <v>Br</v>
      </c>
      <c r="G1196" s="9" t="str">
        <f>IFERROR(__xludf.DUMMYFUNCTION("""COMPUTED_VALUE"""),"F")</f>
        <v>F</v>
      </c>
      <c r="H1196" s="9" t="str">
        <f>IFERROR(__xludf.DUMMYFUNCTION("""COMPUTED_VALUE"""),"FGM")</f>
        <v>FGM</v>
      </c>
      <c r="I1196" s="9" t="str">
        <f>IFERROR(__xludf.DUMMYFUNCTION("""COMPUTED_VALUE"""),"Tel")</f>
        <v>Tel</v>
      </c>
      <c r="J1196" s="9" t="str">
        <f>IFERROR(__xludf.DUMMYFUNCTION("""COMPUTED_VALUE"""),"Cx")</f>
        <v>Cx</v>
      </c>
      <c r="K1196" s="9" t="str">
        <f>IFERROR(__xludf.DUMMYFUNCTION("""COMPUTED_VALUE"""),"NCx")</f>
        <v>NCx</v>
      </c>
      <c r="L1196" s="9" t="str">
        <f>IFERROR(__xludf.DUMMYFUNCTION("""COMPUTED_VALUE"""),"TCx")</f>
        <v>TCx</v>
      </c>
      <c r="M1196" s="9" t="str">
        <f>IFERROR(__xludf.DUMMYFUNCTION("""COMPUTED_VALUE"""),"DLTC")</f>
        <v>DLTC</v>
      </c>
      <c r="N1196" s="9" t="str">
        <f>IFERROR(__xludf.DUMMYFUNCTION("""COMPUTED_VALUE"""),"PSTC")</f>
        <v>PSTC</v>
      </c>
      <c r="O1196" s="9" t="str">
        <f>IFERROR(__xludf.DUMMYFUNCTION("""COMPUTED_VALUE"""),"A22pc")</f>
        <v>A22pc</v>
      </c>
      <c r="P1196" s="9" t="str">
        <f>IFERROR(__xludf.DUMMYFUNCTION("""COMPUTED_VALUE"""),"A22pc3")</f>
        <v>A22pc3</v>
      </c>
      <c r="Q1196" s="9"/>
      <c r="R1196" s="9"/>
      <c r="S1196" s="42"/>
      <c r="T1196" s="42"/>
      <c r="U1196" s="159"/>
      <c r="V1196" s="42"/>
      <c r="W1196" s="42"/>
      <c r="X1196" s="42"/>
      <c r="Y1196" s="42"/>
      <c r="Z1196" s="42"/>
      <c r="AA1196" s="42"/>
      <c r="AB1196" s="42" t="str">
        <f>IFERROR(__xludf.DUMMYFUNCTION("""COMPUTED_VALUE"""),"allen institute")</f>
        <v>allen institute</v>
      </c>
      <c r="AC1196" s="42" t="str">
        <f>IFERROR(__xludf.DUMMYFUNCTION("""COMPUTED_VALUE"""),"DHBA")</f>
        <v>DHBA</v>
      </c>
      <c r="AD1196" s="42"/>
      <c r="AE1196" s="42"/>
      <c r="AF1196" s="9"/>
      <c r="AG1196" s="9"/>
      <c r="AH1196" s="42"/>
      <c r="AI1196" s="42"/>
      <c r="AJ1196" s="42"/>
      <c r="AK1196" s="42"/>
      <c r="AL1196" s="42"/>
      <c r="AM1196" s="42"/>
      <c r="AN1196" s="42"/>
      <c r="AO1196" s="63" t="str">
        <f>IFERROR(__xludf.DUMMYFUNCTION("IF(ISBLANK(A1196),,IF(ISBLANK(S1196), A1196&amp;"";"", TEXTJOIN(CHAR(10), TRUE, A1196&amp;"";"", ARRAYFORMULA(VLOOKUP(SPLIT(S1196, "";"" &amp; CHAR(10)), $A:$AO, 41, FALSE)))))"),"A22pc3;")</f>
        <v>A22pc3;</v>
      </c>
      <c r="AP1196" s="89"/>
    </row>
    <row r="1197">
      <c r="A1197" s="151" t="str">
        <f>IFERROR(__xludf.DUMMYFUNCTION("""COMPUTED_VALUE"""),"A22pc4")</f>
        <v>A22pc4</v>
      </c>
      <c r="B1197" s="42" t="str">
        <f>IFERROR(__xludf.DUMMYFUNCTION("""COMPUTED_VALUE"""),"DHBA")</f>
        <v>DHBA</v>
      </c>
      <c r="C1197" s="42" t="str">
        <f>IFERROR(__xludf.DUMMYFUNCTION("""COMPUTED_VALUE"""),"layer IV of area 22pc")</f>
        <v>layer IV of area 22pc</v>
      </c>
      <c r="D1197" s="42">
        <f>IFERROR(__xludf.DUMMYFUNCTION("""COMPUTED_VALUE"""),1130.0)</f>
        <v>1130</v>
      </c>
      <c r="E1197" s="39" t="str">
        <f>IFERROR(__xludf.DUMMYFUNCTION("""COMPUTED_VALUE"""),"layer IV of area 22pc")</f>
        <v>layer IV of area 22pc</v>
      </c>
      <c r="F1197" s="9" t="str">
        <f>IFERROR(__xludf.DUMMYFUNCTION("""COMPUTED_VALUE"""),"Br")</f>
        <v>Br</v>
      </c>
      <c r="G1197" s="9" t="str">
        <f>IFERROR(__xludf.DUMMYFUNCTION("""COMPUTED_VALUE"""),"F")</f>
        <v>F</v>
      </c>
      <c r="H1197" s="9" t="str">
        <f>IFERROR(__xludf.DUMMYFUNCTION("""COMPUTED_VALUE"""),"FGM")</f>
        <v>FGM</v>
      </c>
      <c r="I1197" s="9" t="str">
        <f>IFERROR(__xludf.DUMMYFUNCTION("""COMPUTED_VALUE"""),"Tel")</f>
        <v>Tel</v>
      </c>
      <c r="J1197" s="9" t="str">
        <f>IFERROR(__xludf.DUMMYFUNCTION("""COMPUTED_VALUE"""),"Cx")</f>
        <v>Cx</v>
      </c>
      <c r="K1197" s="9" t="str">
        <f>IFERROR(__xludf.DUMMYFUNCTION("""COMPUTED_VALUE"""),"NCx")</f>
        <v>NCx</v>
      </c>
      <c r="L1197" s="9" t="str">
        <f>IFERROR(__xludf.DUMMYFUNCTION("""COMPUTED_VALUE"""),"TCx")</f>
        <v>TCx</v>
      </c>
      <c r="M1197" s="9" t="str">
        <f>IFERROR(__xludf.DUMMYFUNCTION("""COMPUTED_VALUE"""),"DLTC")</f>
        <v>DLTC</v>
      </c>
      <c r="N1197" s="9" t="str">
        <f>IFERROR(__xludf.DUMMYFUNCTION("""COMPUTED_VALUE"""),"PSTC")</f>
        <v>PSTC</v>
      </c>
      <c r="O1197" s="9" t="str">
        <f>IFERROR(__xludf.DUMMYFUNCTION("""COMPUTED_VALUE"""),"A22pc")</f>
        <v>A22pc</v>
      </c>
      <c r="P1197" s="9" t="str">
        <f>IFERROR(__xludf.DUMMYFUNCTION("""COMPUTED_VALUE"""),"A22pc4")</f>
        <v>A22pc4</v>
      </c>
      <c r="Q1197" s="9"/>
      <c r="R1197" s="9"/>
      <c r="S1197" s="42"/>
      <c r="T1197" s="42"/>
      <c r="U1197" s="42"/>
      <c r="V1197" s="42"/>
      <c r="W1197" s="42"/>
      <c r="X1197" s="42"/>
      <c r="Y1197" s="42"/>
      <c r="Z1197" s="42"/>
      <c r="AA1197" s="42"/>
      <c r="AB1197" s="42" t="str">
        <f>IFERROR(__xludf.DUMMYFUNCTION("""COMPUTED_VALUE"""),"allen institute")</f>
        <v>allen institute</v>
      </c>
      <c r="AC1197" s="42" t="str">
        <f>IFERROR(__xludf.DUMMYFUNCTION("""COMPUTED_VALUE"""),"DHBA")</f>
        <v>DHBA</v>
      </c>
      <c r="AD1197" s="42"/>
      <c r="AE1197" s="42"/>
      <c r="AF1197" s="9"/>
      <c r="AG1197" s="9"/>
      <c r="AH1197" s="42"/>
      <c r="AI1197" s="42"/>
      <c r="AJ1197" s="42"/>
      <c r="AK1197" s="42"/>
      <c r="AL1197" s="42"/>
      <c r="AM1197" s="42"/>
      <c r="AN1197" s="42"/>
      <c r="AO1197" s="63" t="str">
        <f>IFERROR(__xludf.DUMMYFUNCTION("IF(ISBLANK(A1197),,IF(ISBLANK(S1197), A1197&amp;"";"", TEXTJOIN(CHAR(10), TRUE, A1197&amp;"";"", ARRAYFORMULA(VLOOKUP(SPLIT(S1197, "";"" &amp; CHAR(10)), $A:$AO, 41, FALSE)))))"),"A22pc4;")</f>
        <v>A22pc4;</v>
      </c>
      <c r="AP1197" s="89"/>
    </row>
    <row r="1198">
      <c r="A1198" s="151" t="str">
        <f>IFERROR(__xludf.DUMMYFUNCTION("""COMPUTED_VALUE"""),"A22pc5")</f>
        <v>A22pc5</v>
      </c>
      <c r="B1198" s="42" t="str">
        <f>IFERROR(__xludf.DUMMYFUNCTION("""COMPUTED_VALUE"""),"DHBA")</f>
        <v>DHBA</v>
      </c>
      <c r="C1198" s="42" t="str">
        <f>IFERROR(__xludf.DUMMYFUNCTION("""COMPUTED_VALUE"""),"layer V of area 22pc")</f>
        <v>layer V of area 22pc</v>
      </c>
      <c r="D1198" s="42">
        <f>IFERROR(__xludf.DUMMYFUNCTION("""COMPUTED_VALUE"""),1131.0)</f>
        <v>1131</v>
      </c>
      <c r="E1198" s="39" t="str">
        <f>IFERROR(__xludf.DUMMYFUNCTION("""COMPUTED_VALUE"""),"layer V of area 22pc")</f>
        <v>layer V of area 22pc</v>
      </c>
      <c r="F1198" s="9" t="str">
        <f>IFERROR(__xludf.DUMMYFUNCTION("""COMPUTED_VALUE"""),"Br")</f>
        <v>Br</v>
      </c>
      <c r="G1198" s="9" t="str">
        <f>IFERROR(__xludf.DUMMYFUNCTION("""COMPUTED_VALUE"""),"F")</f>
        <v>F</v>
      </c>
      <c r="H1198" s="9" t="str">
        <f>IFERROR(__xludf.DUMMYFUNCTION("""COMPUTED_VALUE"""),"FGM")</f>
        <v>FGM</v>
      </c>
      <c r="I1198" s="9" t="str">
        <f>IFERROR(__xludf.DUMMYFUNCTION("""COMPUTED_VALUE"""),"Tel")</f>
        <v>Tel</v>
      </c>
      <c r="J1198" s="9" t="str">
        <f>IFERROR(__xludf.DUMMYFUNCTION("""COMPUTED_VALUE"""),"Cx")</f>
        <v>Cx</v>
      </c>
      <c r="K1198" s="9" t="str">
        <f>IFERROR(__xludf.DUMMYFUNCTION("""COMPUTED_VALUE"""),"NCx")</f>
        <v>NCx</v>
      </c>
      <c r="L1198" s="9" t="str">
        <f>IFERROR(__xludf.DUMMYFUNCTION("""COMPUTED_VALUE"""),"TCx")</f>
        <v>TCx</v>
      </c>
      <c r="M1198" s="9" t="str">
        <f>IFERROR(__xludf.DUMMYFUNCTION("""COMPUTED_VALUE"""),"DLTC")</f>
        <v>DLTC</v>
      </c>
      <c r="N1198" s="9" t="str">
        <f>IFERROR(__xludf.DUMMYFUNCTION("""COMPUTED_VALUE"""),"PSTC")</f>
        <v>PSTC</v>
      </c>
      <c r="O1198" s="9" t="str">
        <f>IFERROR(__xludf.DUMMYFUNCTION("""COMPUTED_VALUE"""),"A22pc")</f>
        <v>A22pc</v>
      </c>
      <c r="P1198" s="9" t="str">
        <f>IFERROR(__xludf.DUMMYFUNCTION("""COMPUTED_VALUE"""),"A22pc5")</f>
        <v>A22pc5</v>
      </c>
      <c r="Q1198" s="9"/>
      <c r="R1198" s="9"/>
      <c r="S1198" s="42"/>
      <c r="T1198" s="42"/>
      <c r="U1198" s="42"/>
      <c r="V1198" s="42"/>
      <c r="W1198" s="42"/>
      <c r="X1198" s="42"/>
      <c r="Y1198" s="42"/>
      <c r="Z1198" s="42"/>
      <c r="AA1198" s="42"/>
      <c r="AB1198" s="42" t="str">
        <f>IFERROR(__xludf.DUMMYFUNCTION("""COMPUTED_VALUE"""),"allen institute")</f>
        <v>allen institute</v>
      </c>
      <c r="AC1198" s="42" t="str">
        <f>IFERROR(__xludf.DUMMYFUNCTION("""COMPUTED_VALUE"""),"DHBA")</f>
        <v>DHBA</v>
      </c>
      <c r="AD1198" s="42"/>
      <c r="AE1198" s="42"/>
      <c r="AF1198" s="9"/>
      <c r="AG1198" s="9"/>
      <c r="AH1198" s="42"/>
      <c r="AI1198" s="42"/>
      <c r="AJ1198" s="42"/>
      <c r="AK1198" s="42"/>
      <c r="AL1198" s="42"/>
      <c r="AM1198" s="42"/>
      <c r="AN1198" s="42"/>
      <c r="AO1198" s="63" t="str">
        <f>IFERROR(__xludf.DUMMYFUNCTION("IF(ISBLANK(A1198),,IF(ISBLANK(S1198), A1198&amp;"";"", TEXTJOIN(CHAR(10), TRUE, A1198&amp;"";"", ARRAYFORMULA(VLOOKUP(SPLIT(S1198, "";"" &amp; CHAR(10)), $A:$AO, 41, FALSE)))))"),"A22pc5;")</f>
        <v>A22pc5;</v>
      </c>
      <c r="AP1198" s="89"/>
    </row>
    <row r="1199">
      <c r="A1199" s="151" t="str">
        <f>IFERROR(__xludf.DUMMYFUNCTION("""COMPUTED_VALUE"""),"A22pc6")</f>
        <v>A22pc6</v>
      </c>
      <c r="B1199" s="42" t="str">
        <f>IFERROR(__xludf.DUMMYFUNCTION("""COMPUTED_VALUE"""),"DHBA")</f>
        <v>DHBA</v>
      </c>
      <c r="C1199" s="42" t="str">
        <f>IFERROR(__xludf.DUMMYFUNCTION("""COMPUTED_VALUE"""),"layer VI of area 22pc")</f>
        <v>layer VI of area 22pc</v>
      </c>
      <c r="D1199" s="42">
        <f>IFERROR(__xludf.DUMMYFUNCTION("""COMPUTED_VALUE"""),1132.0)</f>
        <v>1132</v>
      </c>
      <c r="E1199" s="39" t="str">
        <f>IFERROR(__xludf.DUMMYFUNCTION("""COMPUTED_VALUE"""),"layer VI of area 22pc")</f>
        <v>layer VI of area 22pc</v>
      </c>
      <c r="F1199" s="9" t="str">
        <f>IFERROR(__xludf.DUMMYFUNCTION("""COMPUTED_VALUE"""),"Br")</f>
        <v>Br</v>
      </c>
      <c r="G1199" s="9" t="str">
        <f>IFERROR(__xludf.DUMMYFUNCTION("""COMPUTED_VALUE"""),"F")</f>
        <v>F</v>
      </c>
      <c r="H1199" s="9" t="str">
        <f>IFERROR(__xludf.DUMMYFUNCTION("""COMPUTED_VALUE"""),"FGM")</f>
        <v>FGM</v>
      </c>
      <c r="I1199" s="9" t="str">
        <f>IFERROR(__xludf.DUMMYFUNCTION("""COMPUTED_VALUE"""),"Tel")</f>
        <v>Tel</v>
      </c>
      <c r="J1199" s="9" t="str">
        <f>IFERROR(__xludf.DUMMYFUNCTION("""COMPUTED_VALUE"""),"Cx")</f>
        <v>Cx</v>
      </c>
      <c r="K1199" s="9" t="str">
        <f>IFERROR(__xludf.DUMMYFUNCTION("""COMPUTED_VALUE"""),"NCx")</f>
        <v>NCx</v>
      </c>
      <c r="L1199" s="9" t="str">
        <f>IFERROR(__xludf.DUMMYFUNCTION("""COMPUTED_VALUE"""),"TCx")</f>
        <v>TCx</v>
      </c>
      <c r="M1199" s="9" t="str">
        <f>IFERROR(__xludf.DUMMYFUNCTION("""COMPUTED_VALUE"""),"DLTC")</f>
        <v>DLTC</v>
      </c>
      <c r="N1199" s="9" t="str">
        <f>IFERROR(__xludf.DUMMYFUNCTION("""COMPUTED_VALUE"""),"PSTC")</f>
        <v>PSTC</v>
      </c>
      <c r="O1199" s="9" t="str">
        <f>IFERROR(__xludf.DUMMYFUNCTION("""COMPUTED_VALUE"""),"A22pc")</f>
        <v>A22pc</v>
      </c>
      <c r="P1199" s="9" t="str">
        <f>IFERROR(__xludf.DUMMYFUNCTION("""COMPUTED_VALUE"""),"A22pc6")</f>
        <v>A22pc6</v>
      </c>
      <c r="Q1199" s="9"/>
      <c r="R1199" s="9"/>
      <c r="S1199" s="42"/>
      <c r="T1199" s="42"/>
      <c r="U1199" s="42"/>
      <c r="V1199" s="42"/>
      <c r="W1199" s="42"/>
      <c r="X1199" s="42"/>
      <c r="Y1199" s="42"/>
      <c r="Z1199" s="42"/>
      <c r="AA1199" s="42"/>
      <c r="AB1199" s="42" t="str">
        <f>IFERROR(__xludf.DUMMYFUNCTION("""COMPUTED_VALUE"""),"allen institute")</f>
        <v>allen institute</v>
      </c>
      <c r="AC1199" s="42" t="str">
        <f>IFERROR(__xludf.DUMMYFUNCTION("""COMPUTED_VALUE"""),"DHBA")</f>
        <v>DHBA</v>
      </c>
      <c r="AD1199" s="42"/>
      <c r="AE1199" s="42"/>
      <c r="AF1199" s="9"/>
      <c r="AG1199" s="9"/>
      <c r="AH1199" s="42"/>
      <c r="AI1199" s="42"/>
      <c r="AJ1199" s="42"/>
      <c r="AK1199" s="42"/>
      <c r="AL1199" s="42"/>
      <c r="AM1199" s="42"/>
      <c r="AN1199" s="42"/>
      <c r="AO1199" s="63" t="str">
        <f>IFERROR(__xludf.DUMMYFUNCTION("IF(ISBLANK(A1199),,IF(ISBLANK(S1199), A1199&amp;"";"", TEXTJOIN(CHAR(10), TRUE, A1199&amp;"";"", ARRAYFORMULA(VLOOKUP(SPLIT(S1199, "";"" &amp; CHAR(10)), $A:$AO, 41, FALSE)))))"),"A22pc6;")</f>
        <v>A22pc6;</v>
      </c>
      <c r="AP1199" s="89"/>
    </row>
    <row r="1200">
      <c r="A1200" s="151" t="str">
        <f>IFERROR(__xludf.DUMMYFUNCTION("""COMPUTED_VALUE"""),"PI")</f>
        <v>PI</v>
      </c>
      <c r="B1200" s="42" t="str">
        <f>IFERROR(__xludf.DUMMYFUNCTION("""COMPUTED_VALUE"""),"DHBA")</f>
        <v>DHBA</v>
      </c>
      <c r="C1200" s="42" t="str">
        <f>IFERROR(__xludf.DUMMYFUNCTION("""COMPUTED_VALUE"""),"parainsular cortex")</f>
        <v>parainsular cortex</v>
      </c>
      <c r="D1200" s="42">
        <f>IFERROR(__xludf.DUMMYFUNCTION("""COMPUTED_VALUE"""),1133.0)</f>
        <v>1133</v>
      </c>
      <c r="E1200" s="39" t="str">
        <f>IFERROR(__xludf.DUMMYFUNCTION("""COMPUTED_VALUE"""),"parainsular cortex")</f>
        <v>parainsular cortex</v>
      </c>
      <c r="F1200" s="9" t="str">
        <f>IFERROR(__xludf.DUMMYFUNCTION("""COMPUTED_VALUE"""),"Br")</f>
        <v>Br</v>
      </c>
      <c r="G1200" s="9" t="str">
        <f>IFERROR(__xludf.DUMMYFUNCTION("""COMPUTED_VALUE"""),"F")</f>
        <v>F</v>
      </c>
      <c r="H1200" s="9" t="str">
        <f>IFERROR(__xludf.DUMMYFUNCTION("""COMPUTED_VALUE"""),"FGM")</f>
        <v>FGM</v>
      </c>
      <c r="I1200" s="9" t="str">
        <f>IFERROR(__xludf.DUMMYFUNCTION("""COMPUTED_VALUE"""),"Tel")</f>
        <v>Tel</v>
      </c>
      <c r="J1200" s="9" t="str">
        <f>IFERROR(__xludf.DUMMYFUNCTION("""COMPUTED_VALUE"""),"Cx")</f>
        <v>Cx</v>
      </c>
      <c r="K1200" s="9" t="str">
        <f>IFERROR(__xludf.DUMMYFUNCTION("""COMPUTED_VALUE"""),"NCx")</f>
        <v>NCx</v>
      </c>
      <c r="L1200" s="9" t="str">
        <f>IFERROR(__xludf.DUMMYFUNCTION("""COMPUTED_VALUE"""),"TCx")</f>
        <v>TCx</v>
      </c>
      <c r="M1200" s="9" t="str">
        <f>IFERROR(__xludf.DUMMYFUNCTION("""COMPUTED_VALUE"""),"DLTC")</f>
        <v>DLTC</v>
      </c>
      <c r="N1200" s="9" t="str">
        <f>IFERROR(__xludf.DUMMYFUNCTION("""COMPUTED_VALUE"""),"PI")</f>
        <v>PI</v>
      </c>
      <c r="O1200" s="9"/>
      <c r="P1200" s="9"/>
      <c r="Q1200" s="9"/>
      <c r="R1200" s="9"/>
      <c r="S1200" s="42" t="str">
        <f>IFERROR(__xludf.DUMMYFUNCTION("""COMPUTED_VALUE"""),"PI1;
PI2;
PI3;
PI4;
PI5;
PI6")</f>
        <v>PI1;
PI2;
PI3;
PI4;
PI5;
PI6</v>
      </c>
      <c r="T1200" s="42"/>
      <c r="U1200" s="42" t="b">
        <f>IFERROR(__xludf.DUMMYFUNCTION("""COMPUTED_VALUE"""),FALSE)</f>
        <v>0</v>
      </c>
      <c r="V1200" s="42"/>
      <c r="W1200" s="42"/>
      <c r="X1200" s="42"/>
      <c r="Y1200" s="42"/>
      <c r="Z1200" s="42"/>
      <c r="AA1200" s="42"/>
      <c r="AB1200" s="42" t="str">
        <f>IFERROR(__xludf.DUMMYFUNCTION("""COMPUTED_VALUE"""),"allen institute")</f>
        <v>allen institute</v>
      </c>
      <c r="AC1200" s="42" t="str">
        <f>IFERROR(__xludf.DUMMYFUNCTION("""COMPUTED_VALUE"""),"DHBA")</f>
        <v>DHBA</v>
      </c>
      <c r="AD1200" s="42"/>
      <c r="AE1200" s="42"/>
      <c r="AF1200" s="9"/>
      <c r="AG1200" s="9"/>
      <c r="AH1200" s="42"/>
      <c r="AI1200" s="42"/>
      <c r="AJ1200" s="42"/>
      <c r="AK1200" s="42"/>
      <c r="AL1200" s="42"/>
      <c r="AM1200" s="42"/>
      <c r="AN1200" s="42"/>
      <c r="AO1200" s="63" t="str">
        <f>IFERROR(__xludf.DUMMYFUNCTION("IF(ISBLANK(A1200),,IF(ISBLANK(S1200), A1200&amp;"";"", TEXTJOIN(CHAR(10), TRUE, A1200&amp;"";"", ARRAYFORMULA(VLOOKUP(SPLIT(S1200, "";"" &amp; CHAR(10)), $A:$AO, 41, FALSE)))))"),"PI;
PI1;
PI2;
PI3;
PI4;
PI5;
PI6;")</f>
        <v>PI;
PI1;
PI2;
PI3;
PI4;
PI5;
PI6;</v>
      </c>
      <c r="AP1200" s="89"/>
    </row>
    <row r="1201">
      <c r="A1201" s="151" t="str">
        <f>IFERROR(__xludf.DUMMYFUNCTION("""COMPUTED_VALUE"""),"PI1")</f>
        <v>PI1</v>
      </c>
      <c r="B1201" s="42" t="str">
        <f>IFERROR(__xludf.DUMMYFUNCTION("""COMPUTED_VALUE"""),"DHBA")</f>
        <v>DHBA</v>
      </c>
      <c r="C1201" s="42" t="str">
        <f>IFERROR(__xludf.DUMMYFUNCTION("""COMPUTED_VALUE"""),"layer I of parainsular cortex")</f>
        <v>layer I of parainsular cortex</v>
      </c>
      <c r="D1201" s="42">
        <f>IFERROR(__xludf.DUMMYFUNCTION("""COMPUTED_VALUE"""),1134.0)</f>
        <v>1134</v>
      </c>
      <c r="E1201" s="39" t="str">
        <f>IFERROR(__xludf.DUMMYFUNCTION("""COMPUTED_VALUE"""),"layer I of parainsular cortex")</f>
        <v>layer I of parainsular cortex</v>
      </c>
      <c r="F1201" s="9" t="str">
        <f>IFERROR(__xludf.DUMMYFUNCTION("""COMPUTED_VALUE"""),"Br")</f>
        <v>Br</v>
      </c>
      <c r="G1201" s="9" t="str">
        <f>IFERROR(__xludf.DUMMYFUNCTION("""COMPUTED_VALUE"""),"F")</f>
        <v>F</v>
      </c>
      <c r="H1201" s="9" t="str">
        <f>IFERROR(__xludf.DUMMYFUNCTION("""COMPUTED_VALUE"""),"FGM")</f>
        <v>FGM</v>
      </c>
      <c r="I1201" s="9" t="str">
        <f>IFERROR(__xludf.DUMMYFUNCTION("""COMPUTED_VALUE"""),"Tel")</f>
        <v>Tel</v>
      </c>
      <c r="J1201" s="9" t="str">
        <f>IFERROR(__xludf.DUMMYFUNCTION("""COMPUTED_VALUE"""),"Cx")</f>
        <v>Cx</v>
      </c>
      <c r="K1201" s="9" t="str">
        <f>IFERROR(__xludf.DUMMYFUNCTION("""COMPUTED_VALUE"""),"NCx")</f>
        <v>NCx</v>
      </c>
      <c r="L1201" s="9" t="str">
        <f>IFERROR(__xludf.DUMMYFUNCTION("""COMPUTED_VALUE"""),"TCx")</f>
        <v>TCx</v>
      </c>
      <c r="M1201" s="9" t="str">
        <f>IFERROR(__xludf.DUMMYFUNCTION("""COMPUTED_VALUE"""),"DLTC")</f>
        <v>DLTC</v>
      </c>
      <c r="N1201" s="9" t="str">
        <f>IFERROR(__xludf.DUMMYFUNCTION("""COMPUTED_VALUE"""),"PI")</f>
        <v>PI</v>
      </c>
      <c r="O1201" s="9" t="str">
        <f>IFERROR(__xludf.DUMMYFUNCTION("""COMPUTED_VALUE"""),"PI1")</f>
        <v>PI1</v>
      </c>
      <c r="P1201" s="9"/>
      <c r="Q1201" s="9"/>
      <c r="R1201" s="9"/>
      <c r="S1201" s="42"/>
      <c r="T1201" s="42"/>
      <c r="U1201" s="42"/>
      <c r="V1201" s="42"/>
      <c r="W1201" s="42"/>
      <c r="X1201" s="42"/>
      <c r="Y1201" s="42"/>
      <c r="Z1201" s="42"/>
      <c r="AA1201" s="42"/>
      <c r="AB1201" s="42" t="str">
        <f>IFERROR(__xludf.DUMMYFUNCTION("""COMPUTED_VALUE"""),"allen institute")</f>
        <v>allen institute</v>
      </c>
      <c r="AC1201" s="42" t="str">
        <f>IFERROR(__xludf.DUMMYFUNCTION("""COMPUTED_VALUE"""),"DHBA")</f>
        <v>DHBA</v>
      </c>
      <c r="AD1201" s="42"/>
      <c r="AE1201" s="42"/>
      <c r="AF1201" s="9"/>
      <c r="AG1201" s="9"/>
      <c r="AH1201" s="42"/>
      <c r="AI1201" s="42"/>
      <c r="AJ1201" s="42"/>
      <c r="AK1201" s="42"/>
      <c r="AL1201" s="42"/>
      <c r="AM1201" s="42"/>
      <c r="AN1201" s="42"/>
      <c r="AO1201" s="63" t="str">
        <f>IFERROR(__xludf.DUMMYFUNCTION("IF(ISBLANK(A1201),,IF(ISBLANK(S1201), A1201&amp;"";"", TEXTJOIN(CHAR(10), TRUE, A1201&amp;"";"", ARRAYFORMULA(VLOOKUP(SPLIT(S1201, "";"" &amp; CHAR(10)), $A:$AO, 41, FALSE)))))"),"PI1;")</f>
        <v>PI1;</v>
      </c>
      <c r="AP1201" s="89"/>
    </row>
    <row r="1202">
      <c r="A1202" s="151" t="str">
        <f>IFERROR(__xludf.DUMMYFUNCTION("""COMPUTED_VALUE"""),"PI2")</f>
        <v>PI2</v>
      </c>
      <c r="B1202" s="42" t="str">
        <f>IFERROR(__xludf.DUMMYFUNCTION("""COMPUTED_VALUE"""),"DHBA")</f>
        <v>DHBA</v>
      </c>
      <c r="C1202" s="42" t="str">
        <f>IFERROR(__xludf.DUMMYFUNCTION("""COMPUTED_VALUE"""),"layer II of parainsular cortex")</f>
        <v>layer II of parainsular cortex</v>
      </c>
      <c r="D1202" s="42">
        <f>IFERROR(__xludf.DUMMYFUNCTION("""COMPUTED_VALUE"""),1135.0)</f>
        <v>1135</v>
      </c>
      <c r="E1202" s="39" t="str">
        <f>IFERROR(__xludf.DUMMYFUNCTION("""COMPUTED_VALUE"""),"layer II of parainsular cortex")</f>
        <v>layer II of parainsular cortex</v>
      </c>
      <c r="F1202" s="9" t="str">
        <f>IFERROR(__xludf.DUMMYFUNCTION("""COMPUTED_VALUE"""),"Br")</f>
        <v>Br</v>
      </c>
      <c r="G1202" s="9" t="str">
        <f>IFERROR(__xludf.DUMMYFUNCTION("""COMPUTED_VALUE"""),"F")</f>
        <v>F</v>
      </c>
      <c r="H1202" s="9" t="str">
        <f>IFERROR(__xludf.DUMMYFUNCTION("""COMPUTED_VALUE"""),"FGM")</f>
        <v>FGM</v>
      </c>
      <c r="I1202" s="9" t="str">
        <f>IFERROR(__xludf.DUMMYFUNCTION("""COMPUTED_VALUE"""),"Tel")</f>
        <v>Tel</v>
      </c>
      <c r="J1202" s="9" t="str">
        <f>IFERROR(__xludf.DUMMYFUNCTION("""COMPUTED_VALUE"""),"Cx")</f>
        <v>Cx</v>
      </c>
      <c r="K1202" s="9" t="str">
        <f>IFERROR(__xludf.DUMMYFUNCTION("""COMPUTED_VALUE"""),"NCx")</f>
        <v>NCx</v>
      </c>
      <c r="L1202" s="9" t="str">
        <f>IFERROR(__xludf.DUMMYFUNCTION("""COMPUTED_VALUE"""),"TCx")</f>
        <v>TCx</v>
      </c>
      <c r="M1202" s="9" t="str">
        <f>IFERROR(__xludf.DUMMYFUNCTION("""COMPUTED_VALUE"""),"DLTC")</f>
        <v>DLTC</v>
      </c>
      <c r="N1202" s="9" t="str">
        <f>IFERROR(__xludf.DUMMYFUNCTION("""COMPUTED_VALUE"""),"PI")</f>
        <v>PI</v>
      </c>
      <c r="O1202" s="9" t="str">
        <f>IFERROR(__xludf.DUMMYFUNCTION("""COMPUTED_VALUE"""),"PI2")</f>
        <v>PI2</v>
      </c>
      <c r="P1202" s="9"/>
      <c r="Q1202" s="9"/>
      <c r="R1202" s="9"/>
      <c r="S1202" s="42"/>
      <c r="T1202" s="42"/>
      <c r="U1202" s="42"/>
      <c r="V1202" s="42"/>
      <c r="W1202" s="42"/>
      <c r="X1202" s="42"/>
      <c r="Y1202" s="42"/>
      <c r="Z1202" s="42"/>
      <c r="AA1202" s="42"/>
      <c r="AB1202" s="42" t="str">
        <f>IFERROR(__xludf.DUMMYFUNCTION("""COMPUTED_VALUE"""),"allen institute")</f>
        <v>allen institute</v>
      </c>
      <c r="AC1202" s="42" t="str">
        <f>IFERROR(__xludf.DUMMYFUNCTION("""COMPUTED_VALUE"""),"DHBA")</f>
        <v>DHBA</v>
      </c>
      <c r="AD1202" s="42"/>
      <c r="AE1202" s="42"/>
      <c r="AF1202" s="9"/>
      <c r="AG1202" s="9"/>
      <c r="AH1202" s="42"/>
      <c r="AI1202" s="42"/>
      <c r="AJ1202" s="42"/>
      <c r="AK1202" s="42"/>
      <c r="AL1202" s="42"/>
      <c r="AM1202" s="42"/>
      <c r="AN1202" s="42"/>
      <c r="AO1202" s="63" t="str">
        <f>IFERROR(__xludf.DUMMYFUNCTION("IF(ISBLANK(A1202),,IF(ISBLANK(S1202), A1202&amp;"";"", TEXTJOIN(CHAR(10), TRUE, A1202&amp;"";"", ARRAYFORMULA(VLOOKUP(SPLIT(S1202, "";"" &amp; CHAR(10)), $A:$AO, 41, FALSE)))))"),"PI2;")</f>
        <v>PI2;</v>
      </c>
      <c r="AP1202" s="89"/>
    </row>
    <row r="1203">
      <c r="A1203" s="151" t="str">
        <f>IFERROR(__xludf.DUMMYFUNCTION("""COMPUTED_VALUE"""),"PI3")</f>
        <v>PI3</v>
      </c>
      <c r="B1203" s="42" t="str">
        <f>IFERROR(__xludf.DUMMYFUNCTION("""COMPUTED_VALUE"""),"DHBA")</f>
        <v>DHBA</v>
      </c>
      <c r="C1203" s="42" t="str">
        <f>IFERROR(__xludf.DUMMYFUNCTION("""COMPUTED_VALUE"""),"layer III of parainsular cortex")</f>
        <v>layer III of parainsular cortex</v>
      </c>
      <c r="D1203" s="42">
        <f>IFERROR(__xludf.DUMMYFUNCTION("""COMPUTED_VALUE"""),1136.0)</f>
        <v>1136</v>
      </c>
      <c r="E1203" s="39" t="str">
        <f>IFERROR(__xludf.DUMMYFUNCTION("""COMPUTED_VALUE"""),"layer III of parainsular cortex")</f>
        <v>layer III of parainsular cortex</v>
      </c>
      <c r="F1203" s="9" t="str">
        <f>IFERROR(__xludf.DUMMYFUNCTION("""COMPUTED_VALUE"""),"Br")</f>
        <v>Br</v>
      </c>
      <c r="G1203" s="9" t="str">
        <f>IFERROR(__xludf.DUMMYFUNCTION("""COMPUTED_VALUE"""),"F")</f>
        <v>F</v>
      </c>
      <c r="H1203" s="9" t="str">
        <f>IFERROR(__xludf.DUMMYFUNCTION("""COMPUTED_VALUE"""),"FGM")</f>
        <v>FGM</v>
      </c>
      <c r="I1203" s="9" t="str">
        <f>IFERROR(__xludf.DUMMYFUNCTION("""COMPUTED_VALUE"""),"Tel")</f>
        <v>Tel</v>
      </c>
      <c r="J1203" s="9" t="str">
        <f>IFERROR(__xludf.DUMMYFUNCTION("""COMPUTED_VALUE"""),"Cx")</f>
        <v>Cx</v>
      </c>
      <c r="K1203" s="9" t="str">
        <f>IFERROR(__xludf.DUMMYFUNCTION("""COMPUTED_VALUE"""),"NCx")</f>
        <v>NCx</v>
      </c>
      <c r="L1203" s="9" t="str">
        <f>IFERROR(__xludf.DUMMYFUNCTION("""COMPUTED_VALUE"""),"TCx")</f>
        <v>TCx</v>
      </c>
      <c r="M1203" s="9" t="str">
        <f>IFERROR(__xludf.DUMMYFUNCTION("""COMPUTED_VALUE"""),"DLTC")</f>
        <v>DLTC</v>
      </c>
      <c r="N1203" s="9" t="str">
        <f>IFERROR(__xludf.DUMMYFUNCTION("""COMPUTED_VALUE"""),"PI")</f>
        <v>PI</v>
      </c>
      <c r="O1203" s="9" t="str">
        <f>IFERROR(__xludf.DUMMYFUNCTION("""COMPUTED_VALUE"""),"PI3")</f>
        <v>PI3</v>
      </c>
      <c r="P1203" s="9"/>
      <c r="Q1203" s="9"/>
      <c r="R1203" s="9"/>
      <c r="S1203" s="42"/>
      <c r="T1203" s="42"/>
      <c r="U1203" s="42"/>
      <c r="V1203" s="42"/>
      <c r="W1203" s="42"/>
      <c r="X1203" s="42"/>
      <c r="Y1203" s="42"/>
      <c r="Z1203" s="42"/>
      <c r="AA1203" s="42"/>
      <c r="AB1203" s="42" t="str">
        <f>IFERROR(__xludf.DUMMYFUNCTION("""COMPUTED_VALUE"""),"allen institute")</f>
        <v>allen institute</v>
      </c>
      <c r="AC1203" s="42" t="str">
        <f>IFERROR(__xludf.DUMMYFUNCTION("""COMPUTED_VALUE"""),"DHBA")</f>
        <v>DHBA</v>
      </c>
      <c r="AD1203" s="42"/>
      <c r="AE1203" s="42"/>
      <c r="AF1203" s="9"/>
      <c r="AG1203" s="9"/>
      <c r="AH1203" s="42"/>
      <c r="AI1203" s="42"/>
      <c r="AJ1203" s="42"/>
      <c r="AK1203" s="42"/>
      <c r="AL1203" s="42"/>
      <c r="AM1203" s="42"/>
      <c r="AN1203" s="42"/>
      <c r="AO1203" s="63" t="str">
        <f>IFERROR(__xludf.DUMMYFUNCTION("IF(ISBLANK(A1203),,IF(ISBLANK(S1203), A1203&amp;"";"", TEXTJOIN(CHAR(10), TRUE, A1203&amp;"";"", ARRAYFORMULA(VLOOKUP(SPLIT(S1203, "";"" &amp; CHAR(10)), $A:$AO, 41, FALSE)))))"),"PI3;")</f>
        <v>PI3;</v>
      </c>
      <c r="AP1203" s="89"/>
    </row>
    <row r="1204">
      <c r="A1204" s="151" t="str">
        <f>IFERROR(__xludf.DUMMYFUNCTION("""COMPUTED_VALUE"""),"PI4")</f>
        <v>PI4</v>
      </c>
      <c r="B1204" s="42" t="str">
        <f>IFERROR(__xludf.DUMMYFUNCTION("""COMPUTED_VALUE"""),"DHBA")</f>
        <v>DHBA</v>
      </c>
      <c r="C1204" s="42" t="str">
        <f>IFERROR(__xludf.DUMMYFUNCTION("""COMPUTED_VALUE"""),"layer IV of parainsular cortex")</f>
        <v>layer IV of parainsular cortex</v>
      </c>
      <c r="D1204" s="42">
        <f>IFERROR(__xludf.DUMMYFUNCTION("""COMPUTED_VALUE"""),1137.0)</f>
        <v>1137</v>
      </c>
      <c r="E1204" s="39" t="str">
        <f>IFERROR(__xludf.DUMMYFUNCTION("""COMPUTED_VALUE"""),"layer IV of parainsular cortex")</f>
        <v>layer IV of parainsular cortex</v>
      </c>
      <c r="F1204" s="9" t="str">
        <f>IFERROR(__xludf.DUMMYFUNCTION("""COMPUTED_VALUE"""),"Br")</f>
        <v>Br</v>
      </c>
      <c r="G1204" s="9" t="str">
        <f>IFERROR(__xludf.DUMMYFUNCTION("""COMPUTED_VALUE"""),"F")</f>
        <v>F</v>
      </c>
      <c r="H1204" s="9" t="str">
        <f>IFERROR(__xludf.DUMMYFUNCTION("""COMPUTED_VALUE"""),"FGM")</f>
        <v>FGM</v>
      </c>
      <c r="I1204" s="9" t="str">
        <f>IFERROR(__xludf.DUMMYFUNCTION("""COMPUTED_VALUE"""),"Tel")</f>
        <v>Tel</v>
      </c>
      <c r="J1204" s="9" t="str">
        <f>IFERROR(__xludf.DUMMYFUNCTION("""COMPUTED_VALUE"""),"Cx")</f>
        <v>Cx</v>
      </c>
      <c r="K1204" s="9" t="str">
        <f>IFERROR(__xludf.DUMMYFUNCTION("""COMPUTED_VALUE"""),"NCx")</f>
        <v>NCx</v>
      </c>
      <c r="L1204" s="9" t="str">
        <f>IFERROR(__xludf.DUMMYFUNCTION("""COMPUTED_VALUE"""),"TCx")</f>
        <v>TCx</v>
      </c>
      <c r="M1204" s="9" t="str">
        <f>IFERROR(__xludf.DUMMYFUNCTION("""COMPUTED_VALUE"""),"DLTC")</f>
        <v>DLTC</v>
      </c>
      <c r="N1204" s="9" t="str">
        <f>IFERROR(__xludf.DUMMYFUNCTION("""COMPUTED_VALUE"""),"PI")</f>
        <v>PI</v>
      </c>
      <c r="O1204" s="9" t="str">
        <f>IFERROR(__xludf.DUMMYFUNCTION("""COMPUTED_VALUE"""),"PI4")</f>
        <v>PI4</v>
      </c>
      <c r="P1204" s="9"/>
      <c r="Q1204" s="9"/>
      <c r="R1204" s="9"/>
      <c r="S1204" s="42"/>
      <c r="T1204" s="42"/>
      <c r="U1204" s="42"/>
      <c r="V1204" s="42"/>
      <c r="W1204" s="42"/>
      <c r="X1204" s="42"/>
      <c r="Y1204" s="42"/>
      <c r="Z1204" s="42"/>
      <c r="AA1204" s="42"/>
      <c r="AB1204" s="42" t="str">
        <f>IFERROR(__xludf.DUMMYFUNCTION("""COMPUTED_VALUE"""),"allen institute")</f>
        <v>allen institute</v>
      </c>
      <c r="AC1204" s="42" t="str">
        <f>IFERROR(__xludf.DUMMYFUNCTION("""COMPUTED_VALUE"""),"DHBA")</f>
        <v>DHBA</v>
      </c>
      <c r="AD1204" s="42"/>
      <c r="AE1204" s="42"/>
      <c r="AF1204" s="9"/>
      <c r="AG1204" s="9"/>
      <c r="AH1204" s="42"/>
      <c r="AI1204" s="42"/>
      <c r="AJ1204" s="42"/>
      <c r="AK1204" s="42"/>
      <c r="AL1204" s="42"/>
      <c r="AM1204" s="42"/>
      <c r="AN1204" s="42"/>
      <c r="AO1204" s="63" t="str">
        <f>IFERROR(__xludf.DUMMYFUNCTION("IF(ISBLANK(A1204),,IF(ISBLANK(S1204), A1204&amp;"";"", TEXTJOIN(CHAR(10), TRUE, A1204&amp;"";"", ARRAYFORMULA(VLOOKUP(SPLIT(S1204, "";"" &amp; CHAR(10)), $A:$AO, 41, FALSE)))))"),"PI4;")</f>
        <v>PI4;</v>
      </c>
      <c r="AP1204" s="89"/>
    </row>
    <row r="1205">
      <c r="A1205" s="151" t="str">
        <f>IFERROR(__xludf.DUMMYFUNCTION("""COMPUTED_VALUE"""),"PI5")</f>
        <v>PI5</v>
      </c>
      <c r="B1205" s="42" t="str">
        <f>IFERROR(__xludf.DUMMYFUNCTION("""COMPUTED_VALUE"""),"DHBA")</f>
        <v>DHBA</v>
      </c>
      <c r="C1205" s="42" t="str">
        <f>IFERROR(__xludf.DUMMYFUNCTION("""COMPUTED_VALUE"""),"layer V of parainsular cortex")</f>
        <v>layer V of parainsular cortex</v>
      </c>
      <c r="D1205" s="42">
        <f>IFERROR(__xludf.DUMMYFUNCTION("""COMPUTED_VALUE"""),1138.0)</f>
        <v>1138</v>
      </c>
      <c r="E1205" s="39" t="str">
        <f>IFERROR(__xludf.DUMMYFUNCTION("""COMPUTED_VALUE"""),"layer V of parainsular cortex")</f>
        <v>layer V of parainsular cortex</v>
      </c>
      <c r="F1205" s="9" t="str">
        <f>IFERROR(__xludf.DUMMYFUNCTION("""COMPUTED_VALUE"""),"Br")</f>
        <v>Br</v>
      </c>
      <c r="G1205" s="9" t="str">
        <f>IFERROR(__xludf.DUMMYFUNCTION("""COMPUTED_VALUE"""),"F")</f>
        <v>F</v>
      </c>
      <c r="H1205" s="9" t="str">
        <f>IFERROR(__xludf.DUMMYFUNCTION("""COMPUTED_VALUE"""),"FGM")</f>
        <v>FGM</v>
      </c>
      <c r="I1205" s="9" t="str">
        <f>IFERROR(__xludf.DUMMYFUNCTION("""COMPUTED_VALUE"""),"Tel")</f>
        <v>Tel</v>
      </c>
      <c r="J1205" s="9" t="str">
        <f>IFERROR(__xludf.DUMMYFUNCTION("""COMPUTED_VALUE"""),"Cx")</f>
        <v>Cx</v>
      </c>
      <c r="K1205" s="9" t="str">
        <f>IFERROR(__xludf.DUMMYFUNCTION("""COMPUTED_VALUE"""),"NCx")</f>
        <v>NCx</v>
      </c>
      <c r="L1205" s="9" t="str">
        <f>IFERROR(__xludf.DUMMYFUNCTION("""COMPUTED_VALUE"""),"TCx")</f>
        <v>TCx</v>
      </c>
      <c r="M1205" s="9" t="str">
        <f>IFERROR(__xludf.DUMMYFUNCTION("""COMPUTED_VALUE"""),"DLTC")</f>
        <v>DLTC</v>
      </c>
      <c r="N1205" s="9" t="str">
        <f>IFERROR(__xludf.DUMMYFUNCTION("""COMPUTED_VALUE"""),"PI")</f>
        <v>PI</v>
      </c>
      <c r="O1205" s="9" t="str">
        <f>IFERROR(__xludf.DUMMYFUNCTION("""COMPUTED_VALUE"""),"PI5")</f>
        <v>PI5</v>
      </c>
      <c r="P1205" s="9"/>
      <c r="Q1205" s="9"/>
      <c r="R1205" s="9"/>
      <c r="S1205" s="42"/>
      <c r="T1205" s="42"/>
      <c r="U1205" s="42"/>
      <c r="V1205" s="42"/>
      <c r="W1205" s="42"/>
      <c r="X1205" s="42"/>
      <c r="Y1205" s="42"/>
      <c r="Z1205" s="42"/>
      <c r="AA1205" s="42"/>
      <c r="AB1205" s="42" t="str">
        <f>IFERROR(__xludf.DUMMYFUNCTION("""COMPUTED_VALUE"""),"allen institute")</f>
        <v>allen institute</v>
      </c>
      <c r="AC1205" s="42" t="str">
        <f>IFERROR(__xludf.DUMMYFUNCTION("""COMPUTED_VALUE"""),"DHBA")</f>
        <v>DHBA</v>
      </c>
      <c r="AD1205" s="42"/>
      <c r="AE1205" s="42"/>
      <c r="AF1205" s="9"/>
      <c r="AG1205" s="9"/>
      <c r="AH1205" s="42"/>
      <c r="AI1205" s="42"/>
      <c r="AJ1205" s="42"/>
      <c r="AK1205" s="42"/>
      <c r="AL1205" s="42"/>
      <c r="AM1205" s="42"/>
      <c r="AN1205" s="42"/>
      <c r="AO1205" s="63" t="str">
        <f>IFERROR(__xludf.DUMMYFUNCTION("IF(ISBLANK(A1205),,IF(ISBLANK(S1205), A1205&amp;"";"", TEXTJOIN(CHAR(10), TRUE, A1205&amp;"";"", ARRAYFORMULA(VLOOKUP(SPLIT(S1205, "";"" &amp; CHAR(10)), $A:$AO, 41, FALSE)))))"),"PI5;")</f>
        <v>PI5;</v>
      </c>
      <c r="AP1205" s="89"/>
    </row>
    <row r="1206">
      <c r="A1206" s="151" t="str">
        <f>IFERROR(__xludf.DUMMYFUNCTION("""COMPUTED_VALUE"""),"PI6")</f>
        <v>PI6</v>
      </c>
      <c r="B1206" s="42" t="str">
        <f>IFERROR(__xludf.DUMMYFUNCTION("""COMPUTED_VALUE"""),"DHBA")</f>
        <v>DHBA</v>
      </c>
      <c r="C1206" s="42" t="str">
        <f>IFERROR(__xludf.DUMMYFUNCTION("""COMPUTED_VALUE"""),"layer VI of parainsular cortex")</f>
        <v>layer VI of parainsular cortex</v>
      </c>
      <c r="D1206" s="42">
        <f>IFERROR(__xludf.DUMMYFUNCTION("""COMPUTED_VALUE"""),1139.0)</f>
        <v>1139</v>
      </c>
      <c r="E1206" s="39" t="str">
        <f>IFERROR(__xludf.DUMMYFUNCTION("""COMPUTED_VALUE"""),"layer VI of parainsular cortex")</f>
        <v>layer VI of parainsular cortex</v>
      </c>
      <c r="F1206" s="9" t="str">
        <f>IFERROR(__xludf.DUMMYFUNCTION("""COMPUTED_VALUE"""),"Br")</f>
        <v>Br</v>
      </c>
      <c r="G1206" s="9" t="str">
        <f>IFERROR(__xludf.DUMMYFUNCTION("""COMPUTED_VALUE"""),"F")</f>
        <v>F</v>
      </c>
      <c r="H1206" s="9" t="str">
        <f>IFERROR(__xludf.DUMMYFUNCTION("""COMPUTED_VALUE"""),"FGM")</f>
        <v>FGM</v>
      </c>
      <c r="I1206" s="9" t="str">
        <f>IFERROR(__xludf.DUMMYFUNCTION("""COMPUTED_VALUE"""),"Tel")</f>
        <v>Tel</v>
      </c>
      <c r="J1206" s="9" t="str">
        <f>IFERROR(__xludf.DUMMYFUNCTION("""COMPUTED_VALUE"""),"Cx")</f>
        <v>Cx</v>
      </c>
      <c r="K1206" s="9" t="str">
        <f>IFERROR(__xludf.DUMMYFUNCTION("""COMPUTED_VALUE"""),"NCx")</f>
        <v>NCx</v>
      </c>
      <c r="L1206" s="9" t="str">
        <f>IFERROR(__xludf.DUMMYFUNCTION("""COMPUTED_VALUE"""),"TCx")</f>
        <v>TCx</v>
      </c>
      <c r="M1206" s="9" t="str">
        <f>IFERROR(__xludf.DUMMYFUNCTION("""COMPUTED_VALUE"""),"DLTC")</f>
        <v>DLTC</v>
      </c>
      <c r="N1206" s="9" t="str">
        <f>IFERROR(__xludf.DUMMYFUNCTION("""COMPUTED_VALUE"""),"PI")</f>
        <v>PI</v>
      </c>
      <c r="O1206" s="9" t="str">
        <f>IFERROR(__xludf.DUMMYFUNCTION("""COMPUTED_VALUE"""),"PI6")</f>
        <v>PI6</v>
      </c>
      <c r="P1206" s="9"/>
      <c r="Q1206" s="9"/>
      <c r="R1206" s="9"/>
      <c r="S1206" s="42"/>
      <c r="T1206" s="42"/>
      <c r="U1206" s="42"/>
      <c r="V1206" s="42"/>
      <c r="W1206" s="42"/>
      <c r="X1206" s="42"/>
      <c r="Y1206" s="42"/>
      <c r="Z1206" s="42"/>
      <c r="AA1206" s="42"/>
      <c r="AB1206" s="42" t="str">
        <f>IFERROR(__xludf.DUMMYFUNCTION("""COMPUTED_VALUE"""),"allen institute")</f>
        <v>allen institute</v>
      </c>
      <c r="AC1206" s="42" t="str">
        <f>IFERROR(__xludf.DUMMYFUNCTION("""COMPUTED_VALUE"""),"DHBA")</f>
        <v>DHBA</v>
      </c>
      <c r="AD1206" s="42"/>
      <c r="AE1206" s="42"/>
      <c r="AF1206" s="9"/>
      <c r="AG1206" s="9"/>
      <c r="AH1206" s="42"/>
      <c r="AI1206" s="42"/>
      <c r="AJ1206" s="42"/>
      <c r="AK1206" s="42"/>
      <c r="AL1206" s="42"/>
      <c r="AM1206" s="42"/>
      <c r="AN1206" s="42"/>
      <c r="AO1206" s="63" t="str">
        <f>IFERROR(__xludf.DUMMYFUNCTION("IF(ISBLANK(A1206),,IF(ISBLANK(S1206), A1206&amp;"";"", TEXTJOIN(CHAR(10), TRUE, A1206&amp;"";"", ARRAYFORMULA(VLOOKUP(SPLIT(S1206, "";"" &amp; CHAR(10)), $A:$AO, 41, FALSE)))))"),"PI6;")</f>
        <v>PI6;</v>
      </c>
      <c r="AP1206" s="89"/>
    </row>
    <row r="1207">
      <c r="A1207" s="151" t="str">
        <f>IFERROR(__xludf.DUMMYFUNCTION("""COMPUTED_VALUE"""),"VLTC")</f>
        <v>VLTC</v>
      </c>
      <c r="B1207" s="42" t="str">
        <f>IFERROR(__xludf.DUMMYFUNCTION("""COMPUTED_VALUE"""),"DHBA")</f>
        <v>DHBA</v>
      </c>
      <c r="C1207" s="42" t="str">
        <f>IFERROR(__xludf.DUMMYFUNCTION("""COMPUTED_VALUE"""),"ventrolateral temporal neocortex")</f>
        <v>ventrolateral temporal neocortex</v>
      </c>
      <c r="D1207" s="42">
        <f>IFERROR(__xludf.DUMMYFUNCTION("""COMPUTED_VALUE"""),1140.0)</f>
        <v>1140</v>
      </c>
      <c r="E1207" s="39" t="str">
        <f>IFERROR(__xludf.DUMMYFUNCTION("""COMPUTED_VALUE"""),"ventrolateral temporal neocortex")</f>
        <v>ventrolateral temporal neocortex</v>
      </c>
      <c r="F1207" s="9" t="str">
        <f>IFERROR(__xludf.DUMMYFUNCTION("""COMPUTED_VALUE"""),"Br")</f>
        <v>Br</v>
      </c>
      <c r="G1207" s="9" t="str">
        <f>IFERROR(__xludf.DUMMYFUNCTION("""COMPUTED_VALUE"""),"F")</f>
        <v>F</v>
      </c>
      <c r="H1207" s="9" t="str">
        <f>IFERROR(__xludf.DUMMYFUNCTION("""COMPUTED_VALUE"""),"FGM")</f>
        <v>FGM</v>
      </c>
      <c r="I1207" s="9" t="str">
        <f>IFERROR(__xludf.DUMMYFUNCTION("""COMPUTED_VALUE"""),"Tel")</f>
        <v>Tel</v>
      </c>
      <c r="J1207" s="9" t="str">
        <f>IFERROR(__xludf.DUMMYFUNCTION("""COMPUTED_VALUE"""),"Cx")</f>
        <v>Cx</v>
      </c>
      <c r="K1207" s="9" t="str">
        <f>IFERROR(__xludf.DUMMYFUNCTION("""COMPUTED_VALUE"""),"NCx")</f>
        <v>NCx</v>
      </c>
      <c r="L1207" s="9" t="str">
        <f>IFERROR(__xludf.DUMMYFUNCTION("""COMPUTED_VALUE"""),"TCx")</f>
        <v>TCx</v>
      </c>
      <c r="M1207" s="9" t="str">
        <f>IFERROR(__xludf.DUMMYFUNCTION("""COMPUTED_VALUE"""),"VLTC")</f>
        <v>VLTC</v>
      </c>
      <c r="N1207" s="9"/>
      <c r="O1207" s="9"/>
      <c r="P1207" s="9"/>
      <c r="Q1207" s="9"/>
      <c r="R1207" s="9"/>
      <c r="S1207" s="42" t="str">
        <f>IFERROR(__xludf.DUMMYFUNCTION("""COMPUTED_VALUE"""),"MTC;
ITC;
MITC")</f>
        <v>MTC;
ITC;
MITC</v>
      </c>
      <c r="T1207" s="42"/>
      <c r="U1207" s="42" t="b">
        <f>IFERROR(__xludf.DUMMYFUNCTION("""COMPUTED_VALUE"""),FALSE)</f>
        <v>0</v>
      </c>
      <c r="V1207" s="42"/>
      <c r="W1207" s="42"/>
      <c r="X1207" s="42"/>
      <c r="Y1207" s="42"/>
      <c r="Z1207" s="42"/>
      <c r="AA1207" s="42"/>
      <c r="AB1207" s="42" t="str">
        <f>IFERROR(__xludf.DUMMYFUNCTION("""COMPUTED_VALUE"""),"allen institute")</f>
        <v>allen institute</v>
      </c>
      <c r="AC1207" s="42" t="str">
        <f>IFERROR(__xludf.DUMMYFUNCTION("""COMPUTED_VALUE"""),"DHBA")</f>
        <v>DHBA</v>
      </c>
      <c r="AD1207" s="42"/>
      <c r="AE1207" s="42"/>
      <c r="AF1207" s="9"/>
      <c r="AG1207" s="9"/>
      <c r="AH1207" s="42"/>
      <c r="AI1207" s="42"/>
      <c r="AJ1207" s="42"/>
      <c r="AK1207" s="42"/>
      <c r="AL1207" s="42"/>
      <c r="AM1207" s="42"/>
      <c r="AN1207" s="42"/>
      <c r="AO1207" s="63" t="str">
        <f>IFERROR(__xludf.DUMMYFUNCTION("IF(ISBLANK(A1207),,IF(ISBLANK(S1207), A1207&amp;"";"", TEXTJOIN(CHAR(10), TRUE, A1207&amp;"";"", ARRAYFORMULA(VLOOKUP(SPLIT(S1207, "";"" &amp; CHAR(10)), $A:$AO, 41, FALSE)))))"),"VLTC;
MTC;
A21r;
A21r1;
A21r2;
A21r3;
A21r4;
A21r5;
A21r6;
A21i;
A21i1;
A21i2;
A21i3;
A21i4;
A21i5;
A21i6;
A21c;
A21c1;
A21c2;
A21c3;
A21c4;
A21c5;
A21c6;
ITC;
A20r;
A20r1;
A20r2;
A20r3;
A20r4;
A20r5;
A20r6;
A20i;
A20i1;
A20i2;
A20i3;
A20i4;
A20i5;
A20i6;"&amp;"
A20c;
A20c1;
A20c2;
A20c3;
A20c4;
A20c5;
A20c6;
MITC;
A36;
A36r;
A36r1;
A36r2;
A36r3;
A36r4;
A36r5;
A36r6;
A36c;
A36c1;
A36c2;
A36c3;
A36c4;
A36c5;
A36c6;
TF;
TF1;
TF2;
TF3;
TF4;
TF5;
TF6;")</f>
        <v>VLTC;
MTC;
A21r;
A21r1;
A21r2;
A21r3;
A21r4;
A21r5;
A21r6;
A21i;
A21i1;
A21i2;
A21i3;
A21i4;
A21i5;
A21i6;
A21c;
A21c1;
A21c2;
A21c3;
A21c4;
A21c5;
A21c6;
ITC;
A20r;
A20r1;
A20r2;
A20r3;
A20r4;
A20r5;
A20r6;
A20i;
A20i1;
A20i2;
A20i3;
A20i4;
A20i5;
A20i6;
A20c;
A20c1;
A20c2;
A20c3;
A20c4;
A20c5;
A20c6;
MITC;
A36;
A36r;
A36r1;
A36r2;
A36r3;
A36r4;
A36r5;
A36r6;
A36c;
A36c1;
A36c2;
A36c3;
A36c4;
A36c5;
A36c6;
TF;
TF1;
TF2;
TF3;
TF4;
TF5;
TF6;</v>
      </c>
      <c r="AP1207" s="89"/>
    </row>
    <row r="1208">
      <c r="A1208" s="151" t="str">
        <f>IFERROR(__xludf.DUMMYFUNCTION("""COMPUTED_VALUE"""),"MTC")</f>
        <v>MTC</v>
      </c>
      <c r="B1208" s="42" t="str">
        <f>IFERROR(__xludf.DUMMYFUNCTION("""COMPUTED_VALUE"""),"DHBA")</f>
        <v>DHBA</v>
      </c>
      <c r="C1208" s="42" t="str">
        <f>IFERROR(__xludf.DUMMYFUNCTION("""COMPUTED_VALUE"""),"midlateral temporal cortex (area TEd, area 21)")</f>
        <v>midlateral temporal cortex (area TEd, area 21)</v>
      </c>
      <c r="D1208" s="42">
        <f>IFERROR(__xludf.DUMMYFUNCTION("""COMPUTED_VALUE"""),1141.0)</f>
        <v>1141</v>
      </c>
      <c r="E1208" s="39" t="str">
        <f>IFERROR(__xludf.DUMMYFUNCTION("""COMPUTED_VALUE"""),"midlateral temporal cortex (area TEd, area 21)")</f>
        <v>midlateral temporal cortex (area TEd, area 21)</v>
      </c>
      <c r="F1208" s="9" t="str">
        <f>IFERROR(__xludf.DUMMYFUNCTION("""COMPUTED_VALUE"""),"Br")</f>
        <v>Br</v>
      </c>
      <c r="G1208" s="9" t="str">
        <f>IFERROR(__xludf.DUMMYFUNCTION("""COMPUTED_VALUE"""),"F")</f>
        <v>F</v>
      </c>
      <c r="H1208" s="9" t="str">
        <f>IFERROR(__xludf.DUMMYFUNCTION("""COMPUTED_VALUE"""),"FGM")</f>
        <v>FGM</v>
      </c>
      <c r="I1208" s="9" t="str">
        <f>IFERROR(__xludf.DUMMYFUNCTION("""COMPUTED_VALUE"""),"Tel")</f>
        <v>Tel</v>
      </c>
      <c r="J1208" s="9" t="str">
        <f>IFERROR(__xludf.DUMMYFUNCTION("""COMPUTED_VALUE"""),"Cx")</f>
        <v>Cx</v>
      </c>
      <c r="K1208" s="9" t="str">
        <f>IFERROR(__xludf.DUMMYFUNCTION("""COMPUTED_VALUE"""),"NCx")</f>
        <v>NCx</v>
      </c>
      <c r="L1208" s="9" t="str">
        <f>IFERROR(__xludf.DUMMYFUNCTION("""COMPUTED_VALUE"""),"TCx")</f>
        <v>TCx</v>
      </c>
      <c r="M1208" s="9" t="str">
        <f>IFERROR(__xludf.DUMMYFUNCTION("""COMPUTED_VALUE"""),"VLTC")</f>
        <v>VLTC</v>
      </c>
      <c r="N1208" s="9" t="str">
        <f>IFERROR(__xludf.DUMMYFUNCTION("""COMPUTED_VALUE"""),"MTC")</f>
        <v>MTC</v>
      </c>
      <c r="O1208" s="9"/>
      <c r="P1208" s="9"/>
      <c r="Q1208" s="9"/>
      <c r="R1208" s="9"/>
      <c r="S1208" s="42" t="str">
        <f>IFERROR(__xludf.DUMMYFUNCTION("""COMPUTED_VALUE"""),"A21r;
A21i;
A21c")</f>
        <v>A21r;
A21i;
A21c</v>
      </c>
      <c r="T1208" s="42"/>
      <c r="U1208" s="42" t="b">
        <f>IFERROR(__xludf.DUMMYFUNCTION("""COMPUTED_VALUE"""),FALSE)</f>
        <v>0</v>
      </c>
      <c r="V1208" s="42"/>
      <c r="W1208" s="42"/>
      <c r="X1208" s="42"/>
      <c r="Y1208" s="42"/>
      <c r="Z1208" s="42"/>
      <c r="AA1208" s="42"/>
      <c r="AB1208" s="42" t="str">
        <f>IFERROR(__xludf.DUMMYFUNCTION("""COMPUTED_VALUE"""),"allen institute")</f>
        <v>allen institute</v>
      </c>
      <c r="AC1208" s="42" t="str">
        <f>IFERROR(__xludf.DUMMYFUNCTION("""COMPUTED_VALUE"""),"DHBA")</f>
        <v>DHBA</v>
      </c>
      <c r="AD1208" s="42"/>
      <c r="AE1208" s="42"/>
      <c r="AF1208" s="9"/>
      <c r="AG1208" s="9"/>
      <c r="AH1208" s="42"/>
      <c r="AI1208" s="42"/>
      <c r="AJ1208" s="42"/>
      <c r="AK1208" s="42"/>
      <c r="AL1208" s="42"/>
      <c r="AM1208" s="42"/>
      <c r="AN1208" s="42"/>
      <c r="AO1208" s="63" t="str">
        <f>IFERROR(__xludf.DUMMYFUNCTION("IF(ISBLANK(A1208),,IF(ISBLANK(S1208), A1208&amp;"";"", TEXTJOIN(CHAR(10), TRUE, A1208&amp;"";"", ARRAYFORMULA(VLOOKUP(SPLIT(S1208, "";"" &amp; CHAR(10)), $A:$AO, 41, FALSE)))))"),"MTC;
A21r;
A21r1;
A21r2;
A21r3;
A21r4;
A21r5;
A21r6;
A21i;
A21i1;
A21i2;
A21i3;
A21i4;
A21i5;
A21i6;
A21c;
A21c1;
A21c2;
A21c3;
A21c4;
A21c5;
A21c6;")</f>
        <v>MTC;
A21r;
A21r1;
A21r2;
A21r3;
A21r4;
A21r5;
A21r6;
A21i;
A21i1;
A21i2;
A21i3;
A21i4;
A21i5;
A21i6;
A21c;
A21c1;
A21c2;
A21c3;
A21c4;
A21c5;
A21c6;</v>
      </c>
      <c r="AP1208" s="89"/>
    </row>
    <row r="1209">
      <c r="A1209" s="151" t="str">
        <f>IFERROR(__xludf.DUMMYFUNCTION("""COMPUTED_VALUE"""),"A21r")</f>
        <v>A21r</v>
      </c>
      <c r="B1209" s="42" t="str">
        <f>IFERROR(__xludf.DUMMYFUNCTION("""COMPUTED_VALUE"""),"DHBA")</f>
        <v>DHBA</v>
      </c>
      <c r="C1209" s="42" t="str">
        <f>IFERROR(__xludf.DUMMYFUNCTION("""COMPUTED_VALUE"""),"rostral subdivision of area 21")</f>
        <v>rostral subdivision of area 21</v>
      </c>
      <c r="D1209" s="42">
        <f>IFERROR(__xludf.DUMMYFUNCTION("""COMPUTED_VALUE"""),1142.0)</f>
        <v>1142</v>
      </c>
      <c r="E1209" s="39" t="str">
        <f>IFERROR(__xludf.DUMMYFUNCTION("""COMPUTED_VALUE"""),"rostral subdivision of area 21")</f>
        <v>rostral subdivision of area 21</v>
      </c>
      <c r="F1209" s="9" t="str">
        <f>IFERROR(__xludf.DUMMYFUNCTION("""COMPUTED_VALUE"""),"Br")</f>
        <v>Br</v>
      </c>
      <c r="G1209" s="9" t="str">
        <f>IFERROR(__xludf.DUMMYFUNCTION("""COMPUTED_VALUE"""),"F")</f>
        <v>F</v>
      </c>
      <c r="H1209" s="9" t="str">
        <f>IFERROR(__xludf.DUMMYFUNCTION("""COMPUTED_VALUE"""),"FGM")</f>
        <v>FGM</v>
      </c>
      <c r="I1209" s="9" t="str">
        <f>IFERROR(__xludf.DUMMYFUNCTION("""COMPUTED_VALUE"""),"Tel")</f>
        <v>Tel</v>
      </c>
      <c r="J1209" s="9" t="str">
        <f>IFERROR(__xludf.DUMMYFUNCTION("""COMPUTED_VALUE"""),"Cx")</f>
        <v>Cx</v>
      </c>
      <c r="K1209" s="9" t="str">
        <f>IFERROR(__xludf.DUMMYFUNCTION("""COMPUTED_VALUE"""),"NCx")</f>
        <v>NCx</v>
      </c>
      <c r="L1209" s="9" t="str">
        <f>IFERROR(__xludf.DUMMYFUNCTION("""COMPUTED_VALUE"""),"TCx")</f>
        <v>TCx</v>
      </c>
      <c r="M1209" s="9" t="str">
        <f>IFERROR(__xludf.DUMMYFUNCTION("""COMPUTED_VALUE"""),"VLTC")</f>
        <v>VLTC</v>
      </c>
      <c r="N1209" s="9" t="str">
        <f>IFERROR(__xludf.DUMMYFUNCTION("""COMPUTED_VALUE"""),"MTC")</f>
        <v>MTC</v>
      </c>
      <c r="O1209" s="9" t="str">
        <f>IFERROR(__xludf.DUMMYFUNCTION("""COMPUTED_VALUE"""),"A21r")</f>
        <v>A21r</v>
      </c>
      <c r="P1209" s="9"/>
      <c r="Q1209" s="9"/>
      <c r="R1209" s="9"/>
      <c r="S1209" s="42" t="str">
        <f>IFERROR(__xludf.DUMMYFUNCTION("""COMPUTED_VALUE"""),"A21r1;
A21r2;
A21r3;
A21r4;
A21r5;
A21r6")</f>
        <v>A21r1;
A21r2;
A21r3;
A21r4;
A21r5;
A21r6</v>
      </c>
      <c r="T1209" s="42"/>
      <c r="U1209" s="42" t="b">
        <f>IFERROR(__xludf.DUMMYFUNCTION("""COMPUTED_VALUE"""),FALSE)</f>
        <v>0</v>
      </c>
      <c r="V1209" s="42"/>
      <c r="W1209" s="42"/>
      <c r="X1209" s="42"/>
      <c r="Y1209" s="42"/>
      <c r="Z1209" s="42"/>
      <c r="AA1209" s="42"/>
      <c r="AB1209" s="42" t="str">
        <f>IFERROR(__xludf.DUMMYFUNCTION("""COMPUTED_VALUE"""),"allen institute")</f>
        <v>allen institute</v>
      </c>
      <c r="AC1209" s="42" t="str">
        <f>IFERROR(__xludf.DUMMYFUNCTION("""COMPUTED_VALUE"""),"DHBA")</f>
        <v>DHBA</v>
      </c>
      <c r="AD1209" s="42"/>
      <c r="AE1209" s="42"/>
      <c r="AF1209" s="9"/>
      <c r="AG1209" s="9"/>
      <c r="AH1209" s="42"/>
      <c r="AI1209" s="42"/>
      <c r="AJ1209" s="42"/>
      <c r="AK1209" s="42"/>
      <c r="AL1209" s="42"/>
      <c r="AM1209" s="42"/>
      <c r="AN1209" s="42"/>
      <c r="AO1209" s="63" t="str">
        <f>IFERROR(__xludf.DUMMYFUNCTION("IF(ISBLANK(A1209),,IF(ISBLANK(S1209), A1209&amp;"";"", TEXTJOIN(CHAR(10), TRUE, A1209&amp;"";"", ARRAYFORMULA(VLOOKUP(SPLIT(S1209, "";"" &amp; CHAR(10)), $A:$AO, 41, FALSE)))))"),"A21r;
A21r1;
A21r2;
A21r3;
A21r4;
A21r5;
A21r6;")</f>
        <v>A21r;
A21r1;
A21r2;
A21r3;
A21r4;
A21r5;
A21r6;</v>
      </c>
      <c r="AP1209" s="89"/>
    </row>
    <row r="1210">
      <c r="A1210" s="151" t="str">
        <f>IFERROR(__xludf.DUMMYFUNCTION("""COMPUTED_VALUE"""),"A21r1")</f>
        <v>A21r1</v>
      </c>
      <c r="B1210" s="42" t="str">
        <f>IFERROR(__xludf.DUMMYFUNCTION("""COMPUTED_VALUE"""),"DHBA")</f>
        <v>DHBA</v>
      </c>
      <c r="C1210" s="42" t="str">
        <f>IFERROR(__xludf.DUMMYFUNCTION("""COMPUTED_VALUE"""),"layer I of area 21r")</f>
        <v>layer I of area 21r</v>
      </c>
      <c r="D1210" s="42">
        <f>IFERROR(__xludf.DUMMYFUNCTION("""COMPUTED_VALUE"""),1143.0)</f>
        <v>1143</v>
      </c>
      <c r="E1210" s="39" t="str">
        <f>IFERROR(__xludf.DUMMYFUNCTION("""COMPUTED_VALUE"""),"layer I of area 21r")</f>
        <v>layer I of area 21r</v>
      </c>
      <c r="F1210" s="9" t="str">
        <f>IFERROR(__xludf.DUMMYFUNCTION("""COMPUTED_VALUE"""),"Br")</f>
        <v>Br</v>
      </c>
      <c r="G1210" s="9" t="str">
        <f>IFERROR(__xludf.DUMMYFUNCTION("""COMPUTED_VALUE"""),"F")</f>
        <v>F</v>
      </c>
      <c r="H1210" s="9" t="str">
        <f>IFERROR(__xludf.DUMMYFUNCTION("""COMPUTED_VALUE"""),"FGM")</f>
        <v>FGM</v>
      </c>
      <c r="I1210" s="9" t="str">
        <f>IFERROR(__xludf.DUMMYFUNCTION("""COMPUTED_VALUE"""),"Tel")</f>
        <v>Tel</v>
      </c>
      <c r="J1210" s="9" t="str">
        <f>IFERROR(__xludf.DUMMYFUNCTION("""COMPUTED_VALUE"""),"Cx")</f>
        <v>Cx</v>
      </c>
      <c r="K1210" s="9" t="str">
        <f>IFERROR(__xludf.DUMMYFUNCTION("""COMPUTED_VALUE"""),"NCx")</f>
        <v>NCx</v>
      </c>
      <c r="L1210" s="9" t="str">
        <f>IFERROR(__xludf.DUMMYFUNCTION("""COMPUTED_VALUE"""),"TCx")</f>
        <v>TCx</v>
      </c>
      <c r="M1210" s="9" t="str">
        <f>IFERROR(__xludf.DUMMYFUNCTION("""COMPUTED_VALUE"""),"VLTC")</f>
        <v>VLTC</v>
      </c>
      <c r="N1210" s="9" t="str">
        <f>IFERROR(__xludf.DUMMYFUNCTION("""COMPUTED_VALUE"""),"MTC")</f>
        <v>MTC</v>
      </c>
      <c r="O1210" s="9" t="str">
        <f>IFERROR(__xludf.DUMMYFUNCTION("""COMPUTED_VALUE"""),"A21r")</f>
        <v>A21r</v>
      </c>
      <c r="P1210" s="9" t="str">
        <f>IFERROR(__xludf.DUMMYFUNCTION("""COMPUTED_VALUE"""),"A21r1")</f>
        <v>A21r1</v>
      </c>
      <c r="Q1210" s="9"/>
      <c r="R1210" s="9"/>
      <c r="S1210" s="42"/>
      <c r="T1210" s="42"/>
      <c r="U1210" s="42"/>
      <c r="V1210" s="42"/>
      <c r="W1210" s="42"/>
      <c r="X1210" s="42"/>
      <c r="Y1210" s="42"/>
      <c r="Z1210" s="42"/>
      <c r="AA1210" s="42"/>
      <c r="AB1210" s="42" t="str">
        <f>IFERROR(__xludf.DUMMYFUNCTION("""COMPUTED_VALUE"""),"allen institute")</f>
        <v>allen institute</v>
      </c>
      <c r="AC1210" s="42" t="str">
        <f>IFERROR(__xludf.DUMMYFUNCTION("""COMPUTED_VALUE"""),"DHBA")</f>
        <v>DHBA</v>
      </c>
      <c r="AD1210" s="42"/>
      <c r="AE1210" s="42"/>
      <c r="AF1210" s="9"/>
      <c r="AG1210" s="9"/>
      <c r="AH1210" s="42"/>
      <c r="AI1210" s="42"/>
      <c r="AJ1210" s="42"/>
      <c r="AK1210" s="42"/>
      <c r="AL1210" s="42"/>
      <c r="AM1210" s="42"/>
      <c r="AN1210" s="42"/>
      <c r="AO1210" s="63" t="str">
        <f>IFERROR(__xludf.DUMMYFUNCTION("IF(ISBLANK(A1210),,IF(ISBLANK(S1210), A1210&amp;"";"", TEXTJOIN(CHAR(10), TRUE, A1210&amp;"";"", ARRAYFORMULA(VLOOKUP(SPLIT(S1210, "";"" &amp; CHAR(10)), $A:$AO, 41, FALSE)))))"),"A21r1;")</f>
        <v>A21r1;</v>
      </c>
      <c r="AP1210" s="89"/>
    </row>
    <row r="1211">
      <c r="A1211" s="151" t="str">
        <f>IFERROR(__xludf.DUMMYFUNCTION("""COMPUTED_VALUE"""),"A21r2")</f>
        <v>A21r2</v>
      </c>
      <c r="B1211" s="42" t="str">
        <f>IFERROR(__xludf.DUMMYFUNCTION("""COMPUTED_VALUE"""),"DHBA")</f>
        <v>DHBA</v>
      </c>
      <c r="C1211" s="42" t="str">
        <f>IFERROR(__xludf.DUMMYFUNCTION("""COMPUTED_VALUE"""),"layer II of area 21r")</f>
        <v>layer II of area 21r</v>
      </c>
      <c r="D1211" s="42">
        <f>IFERROR(__xludf.DUMMYFUNCTION("""COMPUTED_VALUE"""),1144.0)</f>
        <v>1144</v>
      </c>
      <c r="E1211" s="39" t="str">
        <f>IFERROR(__xludf.DUMMYFUNCTION("""COMPUTED_VALUE"""),"layer II of area 21r")</f>
        <v>layer II of area 21r</v>
      </c>
      <c r="F1211" s="9" t="str">
        <f>IFERROR(__xludf.DUMMYFUNCTION("""COMPUTED_VALUE"""),"Br")</f>
        <v>Br</v>
      </c>
      <c r="G1211" s="9" t="str">
        <f>IFERROR(__xludf.DUMMYFUNCTION("""COMPUTED_VALUE"""),"F")</f>
        <v>F</v>
      </c>
      <c r="H1211" s="9" t="str">
        <f>IFERROR(__xludf.DUMMYFUNCTION("""COMPUTED_VALUE"""),"FGM")</f>
        <v>FGM</v>
      </c>
      <c r="I1211" s="9" t="str">
        <f>IFERROR(__xludf.DUMMYFUNCTION("""COMPUTED_VALUE"""),"Tel")</f>
        <v>Tel</v>
      </c>
      <c r="J1211" s="9" t="str">
        <f>IFERROR(__xludf.DUMMYFUNCTION("""COMPUTED_VALUE"""),"Cx")</f>
        <v>Cx</v>
      </c>
      <c r="K1211" s="9" t="str">
        <f>IFERROR(__xludf.DUMMYFUNCTION("""COMPUTED_VALUE"""),"NCx")</f>
        <v>NCx</v>
      </c>
      <c r="L1211" s="9" t="str">
        <f>IFERROR(__xludf.DUMMYFUNCTION("""COMPUTED_VALUE"""),"TCx")</f>
        <v>TCx</v>
      </c>
      <c r="M1211" s="9" t="str">
        <f>IFERROR(__xludf.DUMMYFUNCTION("""COMPUTED_VALUE"""),"VLTC")</f>
        <v>VLTC</v>
      </c>
      <c r="N1211" s="9" t="str">
        <f>IFERROR(__xludf.DUMMYFUNCTION("""COMPUTED_VALUE"""),"MTC")</f>
        <v>MTC</v>
      </c>
      <c r="O1211" s="9" t="str">
        <f>IFERROR(__xludf.DUMMYFUNCTION("""COMPUTED_VALUE"""),"A21r")</f>
        <v>A21r</v>
      </c>
      <c r="P1211" s="9" t="str">
        <f>IFERROR(__xludf.DUMMYFUNCTION("""COMPUTED_VALUE"""),"A21r2")</f>
        <v>A21r2</v>
      </c>
      <c r="Q1211" s="9"/>
      <c r="R1211" s="9"/>
      <c r="S1211" s="42"/>
      <c r="T1211" s="42"/>
      <c r="U1211" s="42"/>
      <c r="V1211" s="42"/>
      <c r="W1211" s="42"/>
      <c r="X1211" s="42"/>
      <c r="Y1211" s="42"/>
      <c r="Z1211" s="42"/>
      <c r="AA1211" s="42"/>
      <c r="AB1211" s="42" t="str">
        <f>IFERROR(__xludf.DUMMYFUNCTION("""COMPUTED_VALUE"""),"allen institute")</f>
        <v>allen institute</v>
      </c>
      <c r="AC1211" s="42" t="str">
        <f>IFERROR(__xludf.DUMMYFUNCTION("""COMPUTED_VALUE"""),"DHBA")</f>
        <v>DHBA</v>
      </c>
      <c r="AD1211" s="42"/>
      <c r="AE1211" s="42"/>
      <c r="AF1211" s="9"/>
      <c r="AG1211" s="9"/>
      <c r="AH1211" s="42"/>
      <c r="AI1211" s="42"/>
      <c r="AJ1211" s="42"/>
      <c r="AK1211" s="42"/>
      <c r="AL1211" s="42"/>
      <c r="AM1211" s="42"/>
      <c r="AN1211" s="42"/>
      <c r="AO1211" s="63" t="str">
        <f>IFERROR(__xludf.DUMMYFUNCTION("IF(ISBLANK(A1211),,IF(ISBLANK(S1211), A1211&amp;"";"", TEXTJOIN(CHAR(10), TRUE, A1211&amp;"";"", ARRAYFORMULA(VLOOKUP(SPLIT(S1211, "";"" &amp; CHAR(10)), $A:$AO, 41, FALSE)))))"),"A21r2;")</f>
        <v>A21r2;</v>
      </c>
      <c r="AP1211" s="89"/>
    </row>
    <row r="1212">
      <c r="A1212" s="151" t="str">
        <f>IFERROR(__xludf.DUMMYFUNCTION("""COMPUTED_VALUE"""),"A21r3")</f>
        <v>A21r3</v>
      </c>
      <c r="B1212" s="42" t="str">
        <f>IFERROR(__xludf.DUMMYFUNCTION("""COMPUTED_VALUE"""),"DHBA")</f>
        <v>DHBA</v>
      </c>
      <c r="C1212" s="42" t="str">
        <f>IFERROR(__xludf.DUMMYFUNCTION("""COMPUTED_VALUE"""),"layer III of area 21r")</f>
        <v>layer III of area 21r</v>
      </c>
      <c r="D1212" s="42">
        <f>IFERROR(__xludf.DUMMYFUNCTION("""COMPUTED_VALUE"""),1145.0)</f>
        <v>1145</v>
      </c>
      <c r="E1212" s="39" t="str">
        <f>IFERROR(__xludf.DUMMYFUNCTION("""COMPUTED_VALUE"""),"layer III of area 21r")</f>
        <v>layer III of area 21r</v>
      </c>
      <c r="F1212" s="9" t="str">
        <f>IFERROR(__xludf.DUMMYFUNCTION("""COMPUTED_VALUE"""),"Br")</f>
        <v>Br</v>
      </c>
      <c r="G1212" s="9" t="str">
        <f>IFERROR(__xludf.DUMMYFUNCTION("""COMPUTED_VALUE"""),"F")</f>
        <v>F</v>
      </c>
      <c r="H1212" s="9" t="str">
        <f>IFERROR(__xludf.DUMMYFUNCTION("""COMPUTED_VALUE"""),"FGM")</f>
        <v>FGM</v>
      </c>
      <c r="I1212" s="9" t="str">
        <f>IFERROR(__xludf.DUMMYFUNCTION("""COMPUTED_VALUE"""),"Tel")</f>
        <v>Tel</v>
      </c>
      <c r="J1212" s="9" t="str">
        <f>IFERROR(__xludf.DUMMYFUNCTION("""COMPUTED_VALUE"""),"Cx")</f>
        <v>Cx</v>
      </c>
      <c r="K1212" s="9" t="str">
        <f>IFERROR(__xludf.DUMMYFUNCTION("""COMPUTED_VALUE"""),"NCx")</f>
        <v>NCx</v>
      </c>
      <c r="L1212" s="9" t="str">
        <f>IFERROR(__xludf.DUMMYFUNCTION("""COMPUTED_VALUE"""),"TCx")</f>
        <v>TCx</v>
      </c>
      <c r="M1212" s="9" t="str">
        <f>IFERROR(__xludf.DUMMYFUNCTION("""COMPUTED_VALUE"""),"VLTC")</f>
        <v>VLTC</v>
      </c>
      <c r="N1212" s="9" t="str">
        <f>IFERROR(__xludf.DUMMYFUNCTION("""COMPUTED_VALUE"""),"MTC")</f>
        <v>MTC</v>
      </c>
      <c r="O1212" s="9" t="str">
        <f>IFERROR(__xludf.DUMMYFUNCTION("""COMPUTED_VALUE"""),"A21r")</f>
        <v>A21r</v>
      </c>
      <c r="P1212" s="9" t="str">
        <f>IFERROR(__xludf.DUMMYFUNCTION("""COMPUTED_VALUE"""),"A21r3")</f>
        <v>A21r3</v>
      </c>
      <c r="Q1212" s="9"/>
      <c r="R1212" s="9"/>
      <c r="S1212" s="42"/>
      <c r="T1212" s="42"/>
      <c r="U1212" s="42"/>
      <c r="V1212" s="42"/>
      <c r="W1212" s="42"/>
      <c r="X1212" s="42"/>
      <c r="Y1212" s="42"/>
      <c r="Z1212" s="42"/>
      <c r="AA1212" s="42"/>
      <c r="AB1212" s="42" t="str">
        <f>IFERROR(__xludf.DUMMYFUNCTION("""COMPUTED_VALUE"""),"allen institute")</f>
        <v>allen institute</v>
      </c>
      <c r="AC1212" s="42" t="str">
        <f>IFERROR(__xludf.DUMMYFUNCTION("""COMPUTED_VALUE"""),"DHBA")</f>
        <v>DHBA</v>
      </c>
      <c r="AD1212" s="42"/>
      <c r="AE1212" s="42"/>
      <c r="AF1212" s="9"/>
      <c r="AG1212" s="9"/>
      <c r="AH1212" s="42"/>
      <c r="AI1212" s="42"/>
      <c r="AJ1212" s="42"/>
      <c r="AK1212" s="42"/>
      <c r="AL1212" s="42"/>
      <c r="AM1212" s="42"/>
      <c r="AN1212" s="42"/>
      <c r="AO1212" s="63" t="str">
        <f>IFERROR(__xludf.DUMMYFUNCTION("IF(ISBLANK(A1212),,IF(ISBLANK(S1212), A1212&amp;"";"", TEXTJOIN(CHAR(10), TRUE, A1212&amp;"";"", ARRAYFORMULA(VLOOKUP(SPLIT(S1212, "";"" &amp; CHAR(10)), $A:$AO, 41, FALSE)))))"),"A21r3;")</f>
        <v>A21r3;</v>
      </c>
      <c r="AP1212" s="89"/>
    </row>
    <row r="1213">
      <c r="A1213" s="151" t="str">
        <f>IFERROR(__xludf.DUMMYFUNCTION("""COMPUTED_VALUE"""),"A21r4")</f>
        <v>A21r4</v>
      </c>
      <c r="B1213" s="42" t="str">
        <f>IFERROR(__xludf.DUMMYFUNCTION("""COMPUTED_VALUE"""),"DHBA")</f>
        <v>DHBA</v>
      </c>
      <c r="C1213" s="42" t="str">
        <f>IFERROR(__xludf.DUMMYFUNCTION("""COMPUTED_VALUE"""),"layer IV of area 21r")</f>
        <v>layer IV of area 21r</v>
      </c>
      <c r="D1213" s="42">
        <f>IFERROR(__xludf.DUMMYFUNCTION("""COMPUTED_VALUE"""),1146.0)</f>
        <v>1146</v>
      </c>
      <c r="E1213" s="39" t="str">
        <f>IFERROR(__xludf.DUMMYFUNCTION("""COMPUTED_VALUE"""),"layer IV of area 21r")</f>
        <v>layer IV of area 21r</v>
      </c>
      <c r="F1213" s="9" t="str">
        <f>IFERROR(__xludf.DUMMYFUNCTION("""COMPUTED_VALUE"""),"Br")</f>
        <v>Br</v>
      </c>
      <c r="G1213" s="9" t="str">
        <f>IFERROR(__xludf.DUMMYFUNCTION("""COMPUTED_VALUE"""),"F")</f>
        <v>F</v>
      </c>
      <c r="H1213" s="9" t="str">
        <f>IFERROR(__xludf.DUMMYFUNCTION("""COMPUTED_VALUE"""),"FGM")</f>
        <v>FGM</v>
      </c>
      <c r="I1213" s="9" t="str">
        <f>IFERROR(__xludf.DUMMYFUNCTION("""COMPUTED_VALUE"""),"Tel")</f>
        <v>Tel</v>
      </c>
      <c r="J1213" s="9" t="str">
        <f>IFERROR(__xludf.DUMMYFUNCTION("""COMPUTED_VALUE"""),"Cx")</f>
        <v>Cx</v>
      </c>
      <c r="K1213" s="9" t="str">
        <f>IFERROR(__xludf.DUMMYFUNCTION("""COMPUTED_VALUE"""),"NCx")</f>
        <v>NCx</v>
      </c>
      <c r="L1213" s="9" t="str">
        <f>IFERROR(__xludf.DUMMYFUNCTION("""COMPUTED_VALUE"""),"TCx")</f>
        <v>TCx</v>
      </c>
      <c r="M1213" s="9" t="str">
        <f>IFERROR(__xludf.DUMMYFUNCTION("""COMPUTED_VALUE"""),"VLTC")</f>
        <v>VLTC</v>
      </c>
      <c r="N1213" s="9" t="str">
        <f>IFERROR(__xludf.DUMMYFUNCTION("""COMPUTED_VALUE"""),"MTC")</f>
        <v>MTC</v>
      </c>
      <c r="O1213" s="9" t="str">
        <f>IFERROR(__xludf.DUMMYFUNCTION("""COMPUTED_VALUE"""),"A21r")</f>
        <v>A21r</v>
      </c>
      <c r="P1213" s="9" t="str">
        <f>IFERROR(__xludf.DUMMYFUNCTION("""COMPUTED_VALUE"""),"A21r4")</f>
        <v>A21r4</v>
      </c>
      <c r="Q1213" s="9"/>
      <c r="R1213" s="9"/>
      <c r="S1213" s="42"/>
      <c r="T1213" s="42"/>
      <c r="U1213" s="42"/>
      <c r="V1213" s="42"/>
      <c r="W1213" s="42"/>
      <c r="X1213" s="42"/>
      <c r="Y1213" s="42"/>
      <c r="Z1213" s="42"/>
      <c r="AA1213" s="42"/>
      <c r="AB1213" s="42" t="str">
        <f>IFERROR(__xludf.DUMMYFUNCTION("""COMPUTED_VALUE"""),"allen institute")</f>
        <v>allen institute</v>
      </c>
      <c r="AC1213" s="42" t="str">
        <f>IFERROR(__xludf.DUMMYFUNCTION("""COMPUTED_VALUE"""),"DHBA")</f>
        <v>DHBA</v>
      </c>
      <c r="AD1213" s="42"/>
      <c r="AE1213" s="42"/>
      <c r="AF1213" s="9"/>
      <c r="AG1213" s="9"/>
      <c r="AH1213" s="42"/>
      <c r="AI1213" s="42"/>
      <c r="AJ1213" s="42"/>
      <c r="AK1213" s="42"/>
      <c r="AL1213" s="42"/>
      <c r="AM1213" s="42"/>
      <c r="AN1213" s="42"/>
      <c r="AO1213" s="63" t="str">
        <f>IFERROR(__xludf.DUMMYFUNCTION("IF(ISBLANK(A1213),,IF(ISBLANK(S1213), A1213&amp;"";"", TEXTJOIN(CHAR(10), TRUE, A1213&amp;"";"", ARRAYFORMULA(VLOOKUP(SPLIT(S1213, "";"" &amp; CHAR(10)), $A:$AO, 41, FALSE)))))"),"A21r4;")</f>
        <v>A21r4;</v>
      </c>
      <c r="AP1213" s="89"/>
    </row>
    <row r="1214">
      <c r="A1214" s="151" t="str">
        <f>IFERROR(__xludf.DUMMYFUNCTION("""COMPUTED_VALUE"""),"A21r5")</f>
        <v>A21r5</v>
      </c>
      <c r="B1214" s="42" t="str">
        <f>IFERROR(__xludf.DUMMYFUNCTION("""COMPUTED_VALUE"""),"DHBA")</f>
        <v>DHBA</v>
      </c>
      <c r="C1214" s="42" t="str">
        <f>IFERROR(__xludf.DUMMYFUNCTION("""COMPUTED_VALUE"""),"layer V of area 21r")</f>
        <v>layer V of area 21r</v>
      </c>
      <c r="D1214" s="42">
        <f>IFERROR(__xludf.DUMMYFUNCTION("""COMPUTED_VALUE"""),1147.0)</f>
        <v>1147</v>
      </c>
      <c r="E1214" s="39" t="str">
        <f>IFERROR(__xludf.DUMMYFUNCTION("""COMPUTED_VALUE"""),"layer V of area 21r")</f>
        <v>layer V of area 21r</v>
      </c>
      <c r="F1214" s="9" t="str">
        <f>IFERROR(__xludf.DUMMYFUNCTION("""COMPUTED_VALUE"""),"Br")</f>
        <v>Br</v>
      </c>
      <c r="G1214" s="9" t="str">
        <f>IFERROR(__xludf.DUMMYFUNCTION("""COMPUTED_VALUE"""),"F")</f>
        <v>F</v>
      </c>
      <c r="H1214" s="9" t="str">
        <f>IFERROR(__xludf.DUMMYFUNCTION("""COMPUTED_VALUE"""),"FGM")</f>
        <v>FGM</v>
      </c>
      <c r="I1214" s="9" t="str">
        <f>IFERROR(__xludf.DUMMYFUNCTION("""COMPUTED_VALUE"""),"Tel")</f>
        <v>Tel</v>
      </c>
      <c r="J1214" s="9" t="str">
        <f>IFERROR(__xludf.DUMMYFUNCTION("""COMPUTED_VALUE"""),"Cx")</f>
        <v>Cx</v>
      </c>
      <c r="K1214" s="9" t="str">
        <f>IFERROR(__xludf.DUMMYFUNCTION("""COMPUTED_VALUE"""),"NCx")</f>
        <v>NCx</v>
      </c>
      <c r="L1214" s="9" t="str">
        <f>IFERROR(__xludf.DUMMYFUNCTION("""COMPUTED_VALUE"""),"TCx")</f>
        <v>TCx</v>
      </c>
      <c r="M1214" s="9" t="str">
        <f>IFERROR(__xludf.DUMMYFUNCTION("""COMPUTED_VALUE"""),"VLTC")</f>
        <v>VLTC</v>
      </c>
      <c r="N1214" s="9" t="str">
        <f>IFERROR(__xludf.DUMMYFUNCTION("""COMPUTED_VALUE"""),"MTC")</f>
        <v>MTC</v>
      </c>
      <c r="O1214" s="9" t="str">
        <f>IFERROR(__xludf.DUMMYFUNCTION("""COMPUTED_VALUE"""),"A21r")</f>
        <v>A21r</v>
      </c>
      <c r="P1214" s="9" t="str">
        <f>IFERROR(__xludf.DUMMYFUNCTION("""COMPUTED_VALUE"""),"A21r5")</f>
        <v>A21r5</v>
      </c>
      <c r="Q1214" s="9"/>
      <c r="R1214" s="9"/>
      <c r="S1214" s="42"/>
      <c r="T1214" s="42"/>
      <c r="U1214" s="42"/>
      <c r="V1214" s="42"/>
      <c r="W1214" s="42"/>
      <c r="X1214" s="42"/>
      <c r="Y1214" s="42"/>
      <c r="Z1214" s="42"/>
      <c r="AA1214" s="42"/>
      <c r="AB1214" s="42" t="str">
        <f>IFERROR(__xludf.DUMMYFUNCTION("""COMPUTED_VALUE"""),"allen institute")</f>
        <v>allen institute</v>
      </c>
      <c r="AC1214" s="42" t="str">
        <f>IFERROR(__xludf.DUMMYFUNCTION("""COMPUTED_VALUE"""),"DHBA")</f>
        <v>DHBA</v>
      </c>
      <c r="AD1214" s="42"/>
      <c r="AE1214" s="42"/>
      <c r="AF1214" s="9"/>
      <c r="AG1214" s="9"/>
      <c r="AH1214" s="42"/>
      <c r="AI1214" s="42"/>
      <c r="AJ1214" s="42"/>
      <c r="AK1214" s="42"/>
      <c r="AL1214" s="42"/>
      <c r="AM1214" s="42"/>
      <c r="AN1214" s="42"/>
      <c r="AO1214" s="63" t="str">
        <f>IFERROR(__xludf.DUMMYFUNCTION("IF(ISBLANK(A1214),,IF(ISBLANK(S1214), A1214&amp;"";"", TEXTJOIN(CHAR(10), TRUE, A1214&amp;"";"", ARRAYFORMULA(VLOOKUP(SPLIT(S1214, "";"" &amp; CHAR(10)), $A:$AO, 41, FALSE)))))"),"A21r5;")</f>
        <v>A21r5;</v>
      </c>
      <c r="AP1214" s="89"/>
    </row>
    <row r="1215">
      <c r="A1215" s="151" t="str">
        <f>IFERROR(__xludf.DUMMYFUNCTION("""COMPUTED_VALUE"""),"A21r6")</f>
        <v>A21r6</v>
      </c>
      <c r="B1215" s="42" t="str">
        <f>IFERROR(__xludf.DUMMYFUNCTION("""COMPUTED_VALUE"""),"DHBA")</f>
        <v>DHBA</v>
      </c>
      <c r="C1215" s="42" t="str">
        <f>IFERROR(__xludf.DUMMYFUNCTION("""COMPUTED_VALUE"""),"layer VI of area 21r")</f>
        <v>layer VI of area 21r</v>
      </c>
      <c r="D1215" s="42">
        <f>IFERROR(__xludf.DUMMYFUNCTION("""COMPUTED_VALUE"""),1148.0)</f>
        <v>1148</v>
      </c>
      <c r="E1215" s="39" t="str">
        <f>IFERROR(__xludf.DUMMYFUNCTION("""COMPUTED_VALUE"""),"layer VI of area 21r")</f>
        <v>layer VI of area 21r</v>
      </c>
      <c r="F1215" s="9" t="str">
        <f>IFERROR(__xludf.DUMMYFUNCTION("""COMPUTED_VALUE"""),"Br")</f>
        <v>Br</v>
      </c>
      <c r="G1215" s="9" t="str">
        <f>IFERROR(__xludf.DUMMYFUNCTION("""COMPUTED_VALUE"""),"F")</f>
        <v>F</v>
      </c>
      <c r="H1215" s="9" t="str">
        <f>IFERROR(__xludf.DUMMYFUNCTION("""COMPUTED_VALUE"""),"FGM")</f>
        <v>FGM</v>
      </c>
      <c r="I1215" s="9" t="str">
        <f>IFERROR(__xludf.DUMMYFUNCTION("""COMPUTED_VALUE"""),"Tel")</f>
        <v>Tel</v>
      </c>
      <c r="J1215" s="9" t="str">
        <f>IFERROR(__xludf.DUMMYFUNCTION("""COMPUTED_VALUE"""),"Cx")</f>
        <v>Cx</v>
      </c>
      <c r="K1215" s="9" t="str">
        <f>IFERROR(__xludf.DUMMYFUNCTION("""COMPUTED_VALUE"""),"NCx")</f>
        <v>NCx</v>
      </c>
      <c r="L1215" s="9" t="str">
        <f>IFERROR(__xludf.DUMMYFUNCTION("""COMPUTED_VALUE"""),"TCx")</f>
        <v>TCx</v>
      </c>
      <c r="M1215" s="9" t="str">
        <f>IFERROR(__xludf.DUMMYFUNCTION("""COMPUTED_VALUE"""),"VLTC")</f>
        <v>VLTC</v>
      </c>
      <c r="N1215" s="9" t="str">
        <f>IFERROR(__xludf.DUMMYFUNCTION("""COMPUTED_VALUE"""),"MTC")</f>
        <v>MTC</v>
      </c>
      <c r="O1215" s="9" t="str">
        <f>IFERROR(__xludf.DUMMYFUNCTION("""COMPUTED_VALUE"""),"A21r")</f>
        <v>A21r</v>
      </c>
      <c r="P1215" s="9" t="str">
        <f>IFERROR(__xludf.DUMMYFUNCTION("""COMPUTED_VALUE"""),"A21r6")</f>
        <v>A21r6</v>
      </c>
      <c r="Q1215" s="9"/>
      <c r="R1215" s="9"/>
      <c r="S1215" s="42"/>
      <c r="T1215" s="42"/>
      <c r="U1215" s="42"/>
      <c r="V1215" s="42"/>
      <c r="W1215" s="42"/>
      <c r="X1215" s="42"/>
      <c r="Y1215" s="42"/>
      <c r="Z1215" s="42"/>
      <c r="AA1215" s="42"/>
      <c r="AB1215" s="42" t="str">
        <f>IFERROR(__xludf.DUMMYFUNCTION("""COMPUTED_VALUE"""),"allen institute")</f>
        <v>allen institute</v>
      </c>
      <c r="AC1215" s="42" t="str">
        <f>IFERROR(__xludf.DUMMYFUNCTION("""COMPUTED_VALUE"""),"DHBA")</f>
        <v>DHBA</v>
      </c>
      <c r="AD1215" s="42"/>
      <c r="AE1215" s="42"/>
      <c r="AF1215" s="9"/>
      <c r="AG1215" s="9"/>
      <c r="AH1215" s="42"/>
      <c r="AI1215" s="42"/>
      <c r="AJ1215" s="42"/>
      <c r="AK1215" s="42"/>
      <c r="AL1215" s="42"/>
      <c r="AM1215" s="42"/>
      <c r="AN1215" s="42"/>
      <c r="AO1215" s="63" t="str">
        <f>IFERROR(__xludf.DUMMYFUNCTION("IF(ISBLANK(A1215),,IF(ISBLANK(S1215), A1215&amp;"";"", TEXTJOIN(CHAR(10), TRUE, A1215&amp;"";"", ARRAYFORMULA(VLOOKUP(SPLIT(S1215, "";"" &amp; CHAR(10)), $A:$AO, 41, FALSE)))))"),"A21r6;")</f>
        <v>A21r6;</v>
      </c>
      <c r="AP1215" s="89"/>
    </row>
    <row r="1216">
      <c r="A1216" s="151" t="str">
        <f>IFERROR(__xludf.DUMMYFUNCTION("""COMPUTED_VALUE"""),"A21i")</f>
        <v>A21i</v>
      </c>
      <c r="B1216" s="42" t="str">
        <f>IFERROR(__xludf.DUMMYFUNCTION("""COMPUTED_VALUE"""),"DHBA")</f>
        <v>DHBA</v>
      </c>
      <c r="C1216" s="42" t="str">
        <f>IFERROR(__xludf.DUMMYFUNCTION("""COMPUTED_VALUE"""),"intermediate subdivision of area 21")</f>
        <v>intermediate subdivision of area 21</v>
      </c>
      <c r="D1216" s="42">
        <f>IFERROR(__xludf.DUMMYFUNCTION("""COMPUTED_VALUE"""),1149.0)</f>
        <v>1149</v>
      </c>
      <c r="E1216" s="39" t="str">
        <f>IFERROR(__xludf.DUMMYFUNCTION("""COMPUTED_VALUE"""),"intermediate subdivision of area 21")</f>
        <v>intermediate subdivision of area 21</v>
      </c>
      <c r="F1216" s="9" t="str">
        <f>IFERROR(__xludf.DUMMYFUNCTION("""COMPUTED_VALUE"""),"Br")</f>
        <v>Br</v>
      </c>
      <c r="G1216" s="9" t="str">
        <f>IFERROR(__xludf.DUMMYFUNCTION("""COMPUTED_VALUE"""),"F")</f>
        <v>F</v>
      </c>
      <c r="H1216" s="9" t="str">
        <f>IFERROR(__xludf.DUMMYFUNCTION("""COMPUTED_VALUE"""),"FGM")</f>
        <v>FGM</v>
      </c>
      <c r="I1216" s="9" t="str">
        <f>IFERROR(__xludf.DUMMYFUNCTION("""COMPUTED_VALUE"""),"Tel")</f>
        <v>Tel</v>
      </c>
      <c r="J1216" s="9" t="str">
        <f>IFERROR(__xludf.DUMMYFUNCTION("""COMPUTED_VALUE"""),"Cx")</f>
        <v>Cx</v>
      </c>
      <c r="K1216" s="9" t="str">
        <f>IFERROR(__xludf.DUMMYFUNCTION("""COMPUTED_VALUE"""),"NCx")</f>
        <v>NCx</v>
      </c>
      <c r="L1216" s="9" t="str">
        <f>IFERROR(__xludf.DUMMYFUNCTION("""COMPUTED_VALUE"""),"TCx")</f>
        <v>TCx</v>
      </c>
      <c r="M1216" s="9" t="str">
        <f>IFERROR(__xludf.DUMMYFUNCTION("""COMPUTED_VALUE"""),"VLTC")</f>
        <v>VLTC</v>
      </c>
      <c r="N1216" s="9" t="str">
        <f>IFERROR(__xludf.DUMMYFUNCTION("""COMPUTED_VALUE"""),"MTC")</f>
        <v>MTC</v>
      </c>
      <c r="O1216" s="9" t="str">
        <f>IFERROR(__xludf.DUMMYFUNCTION("""COMPUTED_VALUE"""),"A21i")</f>
        <v>A21i</v>
      </c>
      <c r="P1216" s="9"/>
      <c r="Q1216" s="9"/>
      <c r="R1216" s="9"/>
      <c r="S1216" s="42" t="str">
        <f>IFERROR(__xludf.DUMMYFUNCTION("""COMPUTED_VALUE"""),"A21i1;
A21i2;
A21i3;
A21i4;
A21i5;
A21i6")</f>
        <v>A21i1;
A21i2;
A21i3;
A21i4;
A21i5;
A21i6</v>
      </c>
      <c r="T1216" s="42"/>
      <c r="U1216" s="42" t="b">
        <f>IFERROR(__xludf.DUMMYFUNCTION("""COMPUTED_VALUE"""),FALSE)</f>
        <v>0</v>
      </c>
      <c r="V1216" s="42"/>
      <c r="W1216" s="42"/>
      <c r="X1216" s="42"/>
      <c r="Y1216" s="42"/>
      <c r="Z1216" s="42"/>
      <c r="AA1216" s="42"/>
      <c r="AB1216" s="42" t="str">
        <f>IFERROR(__xludf.DUMMYFUNCTION("""COMPUTED_VALUE"""),"allen institute")</f>
        <v>allen institute</v>
      </c>
      <c r="AC1216" s="42" t="str">
        <f>IFERROR(__xludf.DUMMYFUNCTION("""COMPUTED_VALUE"""),"DHBA")</f>
        <v>DHBA</v>
      </c>
      <c r="AD1216" s="42"/>
      <c r="AE1216" s="42"/>
      <c r="AF1216" s="9"/>
      <c r="AG1216" s="9"/>
      <c r="AH1216" s="42"/>
      <c r="AI1216" s="42"/>
      <c r="AJ1216" s="42"/>
      <c r="AK1216" s="42"/>
      <c r="AL1216" s="42"/>
      <c r="AM1216" s="42"/>
      <c r="AN1216" s="42"/>
      <c r="AO1216" s="63" t="str">
        <f>IFERROR(__xludf.DUMMYFUNCTION("IF(ISBLANK(A1216),,IF(ISBLANK(S1216), A1216&amp;"";"", TEXTJOIN(CHAR(10), TRUE, A1216&amp;"";"", ARRAYFORMULA(VLOOKUP(SPLIT(S1216, "";"" &amp; CHAR(10)), $A:$AO, 41, FALSE)))))"),"A21i;
A21i1;
A21i2;
A21i3;
A21i4;
A21i5;
A21i6;")</f>
        <v>A21i;
A21i1;
A21i2;
A21i3;
A21i4;
A21i5;
A21i6;</v>
      </c>
      <c r="AP1216" s="89"/>
    </row>
    <row r="1217">
      <c r="A1217" s="151" t="str">
        <f>IFERROR(__xludf.DUMMYFUNCTION("""COMPUTED_VALUE"""),"A21i1")</f>
        <v>A21i1</v>
      </c>
      <c r="B1217" s="42" t="str">
        <f>IFERROR(__xludf.DUMMYFUNCTION("""COMPUTED_VALUE"""),"DHBA")</f>
        <v>DHBA</v>
      </c>
      <c r="C1217" s="42" t="str">
        <f>IFERROR(__xludf.DUMMYFUNCTION("""COMPUTED_VALUE"""),"layer I of area 21i")</f>
        <v>layer I of area 21i</v>
      </c>
      <c r="D1217" s="42">
        <f>IFERROR(__xludf.DUMMYFUNCTION("""COMPUTED_VALUE"""),1150.0)</f>
        <v>1150</v>
      </c>
      <c r="E1217" s="39" t="str">
        <f>IFERROR(__xludf.DUMMYFUNCTION("""COMPUTED_VALUE"""),"layer I of area 21i")</f>
        <v>layer I of area 21i</v>
      </c>
      <c r="F1217" s="9" t="str">
        <f>IFERROR(__xludf.DUMMYFUNCTION("""COMPUTED_VALUE"""),"Br")</f>
        <v>Br</v>
      </c>
      <c r="G1217" s="9" t="str">
        <f>IFERROR(__xludf.DUMMYFUNCTION("""COMPUTED_VALUE"""),"F")</f>
        <v>F</v>
      </c>
      <c r="H1217" s="9" t="str">
        <f>IFERROR(__xludf.DUMMYFUNCTION("""COMPUTED_VALUE"""),"FGM")</f>
        <v>FGM</v>
      </c>
      <c r="I1217" s="9" t="str">
        <f>IFERROR(__xludf.DUMMYFUNCTION("""COMPUTED_VALUE"""),"Tel")</f>
        <v>Tel</v>
      </c>
      <c r="J1217" s="9" t="str">
        <f>IFERROR(__xludf.DUMMYFUNCTION("""COMPUTED_VALUE"""),"Cx")</f>
        <v>Cx</v>
      </c>
      <c r="K1217" s="9" t="str">
        <f>IFERROR(__xludf.DUMMYFUNCTION("""COMPUTED_VALUE"""),"NCx")</f>
        <v>NCx</v>
      </c>
      <c r="L1217" s="9" t="str">
        <f>IFERROR(__xludf.DUMMYFUNCTION("""COMPUTED_VALUE"""),"TCx")</f>
        <v>TCx</v>
      </c>
      <c r="M1217" s="9" t="str">
        <f>IFERROR(__xludf.DUMMYFUNCTION("""COMPUTED_VALUE"""),"VLTC")</f>
        <v>VLTC</v>
      </c>
      <c r="N1217" s="9" t="str">
        <f>IFERROR(__xludf.DUMMYFUNCTION("""COMPUTED_VALUE"""),"MTC")</f>
        <v>MTC</v>
      </c>
      <c r="O1217" s="9" t="str">
        <f>IFERROR(__xludf.DUMMYFUNCTION("""COMPUTED_VALUE"""),"A21i")</f>
        <v>A21i</v>
      </c>
      <c r="P1217" s="9" t="str">
        <f>IFERROR(__xludf.DUMMYFUNCTION("""COMPUTED_VALUE"""),"A21i1")</f>
        <v>A21i1</v>
      </c>
      <c r="Q1217" s="9"/>
      <c r="R1217" s="9"/>
      <c r="S1217" s="42"/>
      <c r="T1217" s="42"/>
      <c r="U1217" s="42"/>
      <c r="V1217" s="42"/>
      <c r="W1217" s="42"/>
      <c r="X1217" s="42"/>
      <c r="Y1217" s="42"/>
      <c r="Z1217" s="42"/>
      <c r="AA1217" s="42"/>
      <c r="AB1217" s="42" t="str">
        <f>IFERROR(__xludf.DUMMYFUNCTION("""COMPUTED_VALUE"""),"allen institute")</f>
        <v>allen institute</v>
      </c>
      <c r="AC1217" s="42" t="str">
        <f>IFERROR(__xludf.DUMMYFUNCTION("""COMPUTED_VALUE"""),"DHBA")</f>
        <v>DHBA</v>
      </c>
      <c r="AD1217" s="42"/>
      <c r="AE1217" s="42"/>
      <c r="AF1217" s="9"/>
      <c r="AG1217" s="9"/>
      <c r="AH1217" s="42"/>
      <c r="AI1217" s="42"/>
      <c r="AJ1217" s="42"/>
      <c r="AK1217" s="42"/>
      <c r="AL1217" s="42"/>
      <c r="AM1217" s="42"/>
      <c r="AN1217" s="42"/>
      <c r="AO1217" s="63" t="str">
        <f>IFERROR(__xludf.DUMMYFUNCTION("IF(ISBLANK(A1217),,IF(ISBLANK(S1217), A1217&amp;"";"", TEXTJOIN(CHAR(10), TRUE, A1217&amp;"";"", ARRAYFORMULA(VLOOKUP(SPLIT(S1217, "";"" &amp; CHAR(10)), $A:$AO, 41, FALSE)))))"),"A21i1;")</f>
        <v>A21i1;</v>
      </c>
      <c r="AP1217" s="89"/>
    </row>
    <row r="1218">
      <c r="A1218" s="151" t="str">
        <f>IFERROR(__xludf.DUMMYFUNCTION("""COMPUTED_VALUE"""),"A21i2")</f>
        <v>A21i2</v>
      </c>
      <c r="B1218" s="42" t="str">
        <f>IFERROR(__xludf.DUMMYFUNCTION("""COMPUTED_VALUE"""),"DHBA")</f>
        <v>DHBA</v>
      </c>
      <c r="C1218" s="42" t="str">
        <f>IFERROR(__xludf.DUMMYFUNCTION("""COMPUTED_VALUE"""),"layer II of area 21i")</f>
        <v>layer II of area 21i</v>
      </c>
      <c r="D1218" s="42">
        <f>IFERROR(__xludf.DUMMYFUNCTION("""COMPUTED_VALUE"""),1151.0)</f>
        <v>1151</v>
      </c>
      <c r="E1218" s="39" t="str">
        <f>IFERROR(__xludf.DUMMYFUNCTION("""COMPUTED_VALUE"""),"layer II of area 21i")</f>
        <v>layer II of area 21i</v>
      </c>
      <c r="F1218" s="9" t="str">
        <f>IFERROR(__xludf.DUMMYFUNCTION("""COMPUTED_VALUE"""),"Br")</f>
        <v>Br</v>
      </c>
      <c r="G1218" s="9" t="str">
        <f>IFERROR(__xludf.DUMMYFUNCTION("""COMPUTED_VALUE"""),"F")</f>
        <v>F</v>
      </c>
      <c r="H1218" s="9" t="str">
        <f>IFERROR(__xludf.DUMMYFUNCTION("""COMPUTED_VALUE"""),"FGM")</f>
        <v>FGM</v>
      </c>
      <c r="I1218" s="9" t="str">
        <f>IFERROR(__xludf.DUMMYFUNCTION("""COMPUTED_VALUE"""),"Tel")</f>
        <v>Tel</v>
      </c>
      <c r="J1218" s="9" t="str">
        <f>IFERROR(__xludf.DUMMYFUNCTION("""COMPUTED_VALUE"""),"Cx")</f>
        <v>Cx</v>
      </c>
      <c r="K1218" s="9" t="str">
        <f>IFERROR(__xludf.DUMMYFUNCTION("""COMPUTED_VALUE"""),"NCx")</f>
        <v>NCx</v>
      </c>
      <c r="L1218" s="9" t="str">
        <f>IFERROR(__xludf.DUMMYFUNCTION("""COMPUTED_VALUE"""),"TCx")</f>
        <v>TCx</v>
      </c>
      <c r="M1218" s="9" t="str">
        <f>IFERROR(__xludf.DUMMYFUNCTION("""COMPUTED_VALUE"""),"VLTC")</f>
        <v>VLTC</v>
      </c>
      <c r="N1218" s="9" t="str">
        <f>IFERROR(__xludf.DUMMYFUNCTION("""COMPUTED_VALUE"""),"MTC")</f>
        <v>MTC</v>
      </c>
      <c r="O1218" s="9" t="str">
        <f>IFERROR(__xludf.DUMMYFUNCTION("""COMPUTED_VALUE"""),"A21i")</f>
        <v>A21i</v>
      </c>
      <c r="P1218" s="9" t="str">
        <f>IFERROR(__xludf.DUMMYFUNCTION("""COMPUTED_VALUE"""),"A21i2")</f>
        <v>A21i2</v>
      </c>
      <c r="Q1218" s="9"/>
      <c r="R1218" s="9"/>
      <c r="S1218" s="42"/>
      <c r="T1218" s="42"/>
      <c r="U1218" s="42"/>
      <c r="V1218" s="42"/>
      <c r="W1218" s="42"/>
      <c r="X1218" s="42"/>
      <c r="Y1218" s="42"/>
      <c r="Z1218" s="42"/>
      <c r="AA1218" s="42"/>
      <c r="AB1218" s="42" t="str">
        <f>IFERROR(__xludf.DUMMYFUNCTION("""COMPUTED_VALUE"""),"allen institute")</f>
        <v>allen institute</v>
      </c>
      <c r="AC1218" s="42" t="str">
        <f>IFERROR(__xludf.DUMMYFUNCTION("""COMPUTED_VALUE"""),"DHBA")</f>
        <v>DHBA</v>
      </c>
      <c r="AD1218" s="42"/>
      <c r="AE1218" s="42"/>
      <c r="AF1218" s="9"/>
      <c r="AG1218" s="9"/>
      <c r="AH1218" s="42"/>
      <c r="AI1218" s="42"/>
      <c r="AJ1218" s="42"/>
      <c r="AK1218" s="42"/>
      <c r="AL1218" s="42"/>
      <c r="AM1218" s="42"/>
      <c r="AN1218" s="42"/>
      <c r="AO1218" s="63" t="str">
        <f>IFERROR(__xludf.DUMMYFUNCTION("IF(ISBLANK(A1218),,IF(ISBLANK(S1218), A1218&amp;"";"", TEXTJOIN(CHAR(10), TRUE, A1218&amp;"";"", ARRAYFORMULA(VLOOKUP(SPLIT(S1218, "";"" &amp; CHAR(10)), $A:$AO, 41, FALSE)))))"),"A21i2;")</f>
        <v>A21i2;</v>
      </c>
      <c r="AP1218" s="89"/>
    </row>
    <row r="1219">
      <c r="A1219" s="151" t="str">
        <f>IFERROR(__xludf.DUMMYFUNCTION("""COMPUTED_VALUE"""),"A21i3")</f>
        <v>A21i3</v>
      </c>
      <c r="B1219" s="42" t="str">
        <f>IFERROR(__xludf.DUMMYFUNCTION("""COMPUTED_VALUE"""),"DHBA")</f>
        <v>DHBA</v>
      </c>
      <c r="C1219" s="42" t="str">
        <f>IFERROR(__xludf.DUMMYFUNCTION("""COMPUTED_VALUE"""),"layer III of area 21i")</f>
        <v>layer III of area 21i</v>
      </c>
      <c r="D1219" s="42">
        <f>IFERROR(__xludf.DUMMYFUNCTION("""COMPUTED_VALUE"""),1152.0)</f>
        <v>1152</v>
      </c>
      <c r="E1219" s="39" t="str">
        <f>IFERROR(__xludf.DUMMYFUNCTION("""COMPUTED_VALUE"""),"layer III of area 21i")</f>
        <v>layer III of area 21i</v>
      </c>
      <c r="F1219" s="9" t="str">
        <f>IFERROR(__xludf.DUMMYFUNCTION("""COMPUTED_VALUE"""),"Br")</f>
        <v>Br</v>
      </c>
      <c r="G1219" s="9" t="str">
        <f>IFERROR(__xludf.DUMMYFUNCTION("""COMPUTED_VALUE"""),"F")</f>
        <v>F</v>
      </c>
      <c r="H1219" s="9" t="str">
        <f>IFERROR(__xludf.DUMMYFUNCTION("""COMPUTED_VALUE"""),"FGM")</f>
        <v>FGM</v>
      </c>
      <c r="I1219" s="9" t="str">
        <f>IFERROR(__xludf.DUMMYFUNCTION("""COMPUTED_VALUE"""),"Tel")</f>
        <v>Tel</v>
      </c>
      <c r="J1219" s="9" t="str">
        <f>IFERROR(__xludf.DUMMYFUNCTION("""COMPUTED_VALUE"""),"Cx")</f>
        <v>Cx</v>
      </c>
      <c r="K1219" s="9" t="str">
        <f>IFERROR(__xludf.DUMMYFUNCTION("""COMPUTED_VALUE"""),"NCx")</f>
        <v>NCx</v>
      </c>
      <c r="L1219" s="9" t="str">
        <f>IFERROR(__xludf.DUMMYFUNCTION("""COMPUTED_VALUE"""),"TCx")</f>
        <v>TCx</v>
      </c>
      <c r="M1219" s="9" t="str">
        <f>IFERROR(__xludf.DUMMYFUNCTION("""COMPUTED_VALUE"""),"VLTC")</f>
        <v>VLTC</v>
      </c>
      <c r="N1219" s="9" t="str">
        <f>IFERROR(__xludf.DUMMYFUNCTION("""COMPUTED_VALUE"""),"MTC")</f>
        <v>MTC</v>
      </c>
      <c r="O1219" s="9" t="str">
        <f>IFERROR(__xludf.DUMMYFUNCTION("""COMPUTED_VALUE"""),"A21i")</f>
        <v>A21i</v>
      </c>
      <c r="P1219" s="9" t="str">
        <f>IFERROR(__xludf.DUMMYFUNCTION("""COMPUTED_VALUE"""),"A21i3")</f>
        <v>A21i3</v>
      </c>
      <c r="Q1219" s="9"/>
      <c r="R1219" s="9"/>
      <c r="S1219" s="42"/>
      <c r="T1219" s="42"/>
      <c r="U1219" s="42"/>
      <c r="V1219" s="42"/>
      <c r="W1219" s="42"/>
      <c r="X1219" s="42"/>
      <c r="Y1219" s="42"/>
      <c r="Z1219" s="42"/>
      <c r="AA1219" s="42"/>
      <c r="AB1219" s="42" t="str">
        <f>IFERROR(__xludf.DUMMYFUNCTION("""COMPUTED_VALUE"""),"allen institute")</f>
        <v>allen institute</v>
      </c>
      <c r="AC1219" s="42" t="str">
        <f>IFERROR(__xludf.DUMMYFUNCTION("""COMPUTED_VALUE"""),"DHBA")</f>
        <v>DHBA</v>
      </c>
      <c r="AD1219" s="42"/>
      <c r="AE1219" s="42"/>
      <c r="AF1219" s="9"/>
      <c r="AG1219" s="9"/>
      <c r="AH1219" s="42"/>
      <c r="AI1219" s="42"/>
      <c r="AJ1219" s="42"/>
      <c r="AK1219" s="42"/>
      <c r="AL1219" s="42"/>
      <c r="AM1219" s="42"/>
      <c r="AN1219" s="42"/>
      <c r="AO1219" s="63" t="str">
        <f>IFERROR(__xludf.DUMMYFUNCTION("IF(ISBLANK(A1219),,IF(ISBLANK(S1219), A1219&amp;"";"", TEXTJOIN(CHAR(10), TRUE, A1219&amp;"";"", ARRAYFORMULA(VLOOKUP(SPLIT(S1219, "";"" &amp; CHAR(10)), $A:$AO, 41, FALSE)))))"),"A21i3;")</f>
        <v>A21i3;</v>
      </c>
      <c r="AP1219" s="89"/>
    </row>
    <row r="1220">
      <c r="A1220" s="151" t="str">
        <f>IFERROR(__xludf.DUMMYFUNCTION("""COMPUTED_VALUE"""),"A21i4")</f>
        <v>A21i4</v>
      </c>
      <c r="B1220" s="42" t="str">
        <f>IFERROR(__xludf.DUMMYFUNCTION("""COMPUTED_VALUE"""),"DHBA")</f>
        <v>DHBA</v>
      </c>
      <c r="C1220" s="42" t="str">
        <f>IFERROR(__xludf.DUMMYFUNCTION("""COMPUTED_VALUE"""),"layer IV of area 21i")</f>
        <v>layer IV of area 21i</v>
      </c>
      <c r="D1220" s="42">
        <f>IFERROR(__xludf.DUMMYFUNCTION("""COMPUTED_VALUE"""),1153.0)</f>
        <v>1153</v>
      </c>
      <c r="E1220" s="39" t="str">
        <f>IFERROR(__xludf.DUMMYFUNCTION("""COMPUTED_VALUE"""),"layer IV of area 21i")</f>
        <v>layer IV of area 21i</v>
      </c>
      <c r="F1220" s="9" t="str">
        <f>IFERROR(__xludf.DUMMYFUNCTION("""COMPUTED_VALUE"""),"Br")</f>
        <v>Br</v>
      </c>
      <c r="G1220" s="9" t="str">
        <f>IFERROR(__xludf.DUMMYFUNCTION("""COMPUTED_VALUE"""),"F")</f>
        <v>F</v>
      </c>
      <c r="H1220" s="9" t="str">
        <f>IFERROR(__xludf.DUMMYFUNCTION("""COMPUTED_VALUE"""),"FGM")</f>
        <v>FGM</v>
      </c>
      <c r="I1220" s="9" t="str">
        <f>IFERROR(__xludf.DUMMYFUNCTION("""COMPUTED_VALUE"""),"Tel")</f>
        <v>Tel</v>
      </c>
      <c r="J1220" s="9" t="str">
        <f>IFERROR(__xludf.DUMMYFUNCTION("""COMPUTED_VALUE"""),"Cx")</f>
        <v>Cx</v>
      </c>
      <c r="K1220" s="9" t="str">
        <f>IFERROR(__xludf.DUMMYFUNCTION("""COMPUTED_VALUE"""),"NCx")</f>
        <v>NCx</v>
      </c>
      <c r="L1220" s="9" t="str">
        <f>IFERROR(__xludf.DUMMYFUNCTION("""COMPUTED_VALUE"""),"TCx")</f>
        <v>TCx</v>
      </c>
      <c r="M1220" s="9" t="str">
        <f>IFERROR(__xludf.DUMMYFUNCTION("""COMPUTED_VALUE"""),"VLTC")</f>
        <v>VLTC</v>
      </c>
      <c r="N1220" s="9" t="str">
        <f>IFERROR(__xludf.DUMMYFUNCTION("""COMPUTED_VALUE"""),"MTC")</f>
        <v>MTC</v>
      </c>
      <c r="O1220" s="9" t="str">
        <f>IFERROR(__xludf.DUMMYFUNCTION("""COMPUTED_VALUE"""),"A21i")</f>
        <v>A21i</v>
      </c>
      <c r="P1220" s="9" t="str">
        <f>IFERROR(__xludf.DUMMYFUNCTION("""COMPUTED_VALUE"""),"A21i4")</f>
        <v>A21i4</v>
      </c>
      <c r="Q1220" s="9"/>
      <c r="R1220" s="9"/>
      <c r="S1220" s="42"/>
      <c r="T1220" s="42"/>
      <c r="U1220" s="42"/>
      <c r="V1220" s="42"/>
      <c r="W1220" s="42"/>
      <c r="X1220" s="42"/>
      <c r="Y1220" s="42"/>
      <c r="Z1220" s="42"/>
      <c r="AA1220" s="42"/>
      <c r="AB1220" s="42" t="str">
        <f>IFERROR(__xludf.DUMMYFUNCTION("""COMPUTED_VALUE"""),"allen institute")</f>
        <v>allen institute</v>
      </c>
      <c r="AC1220" s="42" t="str">
        <f>IFERROR(__xludf.DUMMYFUNCTION("""COMPUTED_VALUE"""),"DHBA")</f>
        <v>DHBA</v>
      </c>
      <c r="AD1220" s="42"/>
      <c r="AE1220" s="42"/>
      <c r="AF1220" s="9"/>
      <c r="AG1220" s="9"/>
      <c r="AH1220" s="42"/>
      <c r="AI1220" s="42"/>
      <c r="AJ1220" s="42"/>
      <c r="AK1220" s="42"/>
      <c r="AL1220" s="42"/>
      <c r="AM1220" s="42"/>
      <c r="AN1220" s="42"/>
      <c r="AO1220" s="63" t="str">
        <f>IFERROR(__xludf.DUMMYFUNCTION("IF(ISBLANK(A1220),,IF(ISBLANK(S1220), A1220&amp;"";"", TEXTJOIN(CHAR(10), TRUE, A1220&amp;"";"", ARRAYFORMULA(VLOOKUP(SPLIT(S1220, "";"" &amp; CHAR(10)), $A:$AO, 41, FALSE)))))"),"A21i4;")</f>
        <v>A21i4;</v>
      </c>
      <c r="AP1220" s="89"/>
    </row>
    <row r="1221">
      <c r="A1221" s="151" t="str">
        <f>IFERROR(__xludf.DUMMYFUNCTION("""COMPUTED_VALUE"""),"A21i5")</f>
        <v>A21i5</v>
      </c>
      <c r="B1221" s="42" t="str">
        <f>IFERROR(__xludf.DUMMYFUNCTION("""COMPUTED_VALUE"""),"DHBA")</f>
        <v>DHBA</v>
      </c>
      <c r="C1221" s="42" t="str">
        <f>IFERROR(__xludf.DUMMYFUNCTION("""COMPUTED_VALUE"""),"layer V of area 21i")</f>
        <v>layer V of area 21i</v>
      </c>
      <c r="D1221" s="42">
        <f>IFERROR(__xludf.DUMMYFUNCTION("""COMPUTED_VALUE"""),1154.0)</f>
        <v>1154</v>
      </c>
      <c r="E1221" s="39" t="str">
        <f>IFERROR(__xludf.DUMMYFUNCTION("""COMPUTED_VALUE"""),"layer V of area 21i")</f>
        <v>layer V of area 21i</v>
      </c>
      <c r="F1221" s="9" t="str">
        <f>IFERROR(__xludf.DUMMYFUNCTION("""COMPUTED_VALUE"""),"Br")</f>
        <v>Br</v>
      </c>
      <c r="G1221" s="9" t="str">
        <f>IFERROR(__xludf.DUMMYFUNCTION("""COMPUTED_VALUE"""),"F")</f>
        <v>F</v>
      </c>
      <c r="H1221" s="9" t="str">
        <f>IFERROR(__xludf.DUMMYFUNCTION("""COMPUTED_VALUE"""),"FGM")</f>
        <v>FGM</v>
      </c>
      <c r="I1221" s="9" t="str">
        <f>IFERROR(__xludf.DUMMYFUNCTION("""COMPUTED_VALUE"""),"Tel")</f>
        <v>Tel</v>
      </c>
      <c r="J1221" s="9" t="str">
        <f>IFERROR(__xludf.DUMMYFUNCTION("""COMPUTED_VALUE"""),"Cx")</f>
        <v>Cx</v>
      </c>
      <c r="K1221" s="9" t="str">
        <f>IFERROR(__xludf.DUMMYFUNCTION("""COMPUTED_VALUE"""),"NCx")</f>
        <v>NCx</v>
      </c>
      <c r="L1221" s="9" t="str">
        <f>IFERROR(__xludf.DUMMYFUNCTION("""COMPUTED_VALUE"""),"TCx")</f>
        <v>TCx</v>
      </c>
      <c r="M1221" s="9" t="str">
        <f>IFERROR(__xludf.DUMMYFUNCTION("""COMPUTED_VALUE"""),"VLTC")</f>
        <v>VLTC</v>
      </c>
      <c r="N1221" s="9" t="str">
        <f>IFERROR(__xludf.DUMMYFUNCTION("""COMPUTED_VALUE"""),"MTC")</f>
        <v>MTC</v>
      </c>
      <c r="O1221" s="9" t="str">
        <f>IFERROR(__xludf.DUMMYFUNCTION("""COMPUTED_VALUE"""),"A21i")</f>
        <v>A21i</v>
      </c>
      <c r="P1221" s="9" t="str">
        <f>IFERROR(__xludf.DUMMYFUNCTION("""COMPUTED_VALUE"""),"A21i5")</f>
        <v>A21i5</v>
      </c>
      <c r="Q1221" s="9"/>
      <c r="R1221" s="9"/>
      <c r="S1221" s="42"/>
      <c r="T1221" s="42"/>
      <c r="U1221" s="42"/>
      <c r="V1221" s="42"/>
      <c r="W1221" s="42"/>
      <c r="X1221" s="42"/>
      <c r="Y1221" s="42"/>
      <c r="Z1221" s="42"/>
      <c r="AA1221" s="42"/>
      <c r="AB1221" s="42" t="str">
        <f>IFERROR(__xludf.DUMMYFUNCTION("""COMPUTED_VALUE"""),"allen institute")</f>
        <v>allen institute</v>
      </c>
      <c r="AC1221" s="42" t="str">
        <f>IFERROR(__xludf.DUMMYFUNCTION("""COMPUTED_VALUE"""),"DHBA")</f>
        <v>DHBA</v>
      </c>
      <c r="AD1221" s="42"/>
      <c r="AE1221" s="42"/>
      <c r="AF1221" s="9"/>
      <c r="AG1221" s="9"/>
      <c r="AH1221" s="42"/>
      <c r="AI1221" s="42"/>
      <c r="AJ1221" s="42"/>
      <c r="AK1221" s="42"/>
      <c r="AL1221" s="42"/>
      <c r="AM1221" s="42"/>
      <c r="AN1221" s="42"/>
      <c r="AO1221" s="63" t="str">
        <f>IFERROR(__xludf.DUMMYFUNCTION("IF(ISBLANK(A1221),,IF(ISBLANK(S1221), A1221&amp;"";"", TEXTJOIN(CHAR(10), TRUE, A1221&amp;"";"", ARRAYFORMULA(VLOOKUP(SPLIT(S1221, "";"" &amp; CHAR(10)), $A:$AO, 41, FALSE)))))"),"A21i5;")</f>
        <v>A21i5;</v>
      </c>
      <c r="AP1221" s="89"/>
    </row>
    <row r="1222">
      <c r="A1222" s="151" t="str">
        <f>IFERROR(__xludf.DUMMYFUNCTION("""COMPUTED_VALUE"""),"A21i6")</f>
        <v>A21i6</v>
      </c>
      <c r="B1222" s="42" t="str">
        <f>IFERROR(__xludf.DUMMYFUNCTION("""COMPUTED_VALUE"""),"DHBA")</f>
        <v>DHBA</v>
      </c>
      <c r="C1222" s="42" t="str">
        <f>IFERROR(__xludf.DUMMYFUNCTION("""COMPUTED_VALUE"""),"layer VI of area 21i")</f>
        <v>layer VI of area 21i</v>
      </c>
      <c r="D1222" s="42">
        <f>IFERROR(__xludf.DUMMYFUNCTION("""COMPUTED_VALUE"""),1155.0)</f>
        <v>1155</v>
      </c>
      <c r="E1222" s="39" t="str">
        <f>IFERROR(__xludf.DUMMYFUNCTION("""COMPUTED_VALUE"""),"layer VI of area 21i")</f>
        <v>layer VI of area 21i</v>
      </c>
      <c r="F1222" s="9" t="str">
        <f>IFERROR(__xludf.DUMMYFUNCTION("""COMPUTED_VALUE"""),"Br")</f>
        <v>Br</v>
      </c>
      <c r="G1222" s="9" t="str">
        <f>IFERROR(__xludf.DUMMYFUNCTION("""COMPUTED_VALUE"""),"F")</f>
        <v>F</v>
      </c>
      <c r="H1222" s="9" t="str">
        <f>IFERROR(__xludf.DUMMYFUNCTION("""COMPUTED_VALUE"""),"FGM")</f>
        <v>FGM</v>
      </c>
      <c r="I1222" s="9" t="str">
        <f>IFERROR(__xludf.DUMMYFUNCTION("""COMPUTED_VALUE"""),"Tel")</f>
        <v>Tel</v>
      </c>
      <c r="J1222" s="9" t="str">
        <f>IFERROR(__xludf.DUMMYFUNCTION("""COMPUTED_VALUE"""),"Cx")</f>
        <v>Cx</v>
      </c>
      <c r="K1222" s="9" t="str">
        <f>IFERROR(__xludf.DUMMYFUNCTION("""COMPUTED_VALUE"""),"NCx")</f>
        <v>NCx</v>
      </c>
      <c r="L1222" s="9" t="str">
        <f>IFERROR(__xludf.DUMMYFUNCTION("""COMPUTED_VALUE"""),"TCx")</f>
        <v>TCx</v>
      </c>
      <c r="M1222" s="9" t="str">
        <f>IFERROR(__xludf.DUMMYFUNCTION("""COMPUTED_VALUE"""),"VLTC")</f>
        <v>VLTC</v>
      </c>
      <c r="N1222" s="9" t="str">
        <f>IFERROR(__xludf.DUMMYFUNCTION("""COMPUTED_VALUE"""),"MTC")</f>
        <v>MTC</v>
      </c>
      <c r="O1222" s="9" t="str">
        <f>IFERROR(__xludf.DUMMYFUNCTION("""COMPUTED_VALUE"""),"A21i")</f>
        <v>A21i</v>
      </c>
      <c r="P1222" s="9" t="str">
        <f>IFERROR(__xludf.DUMMYFUNCTION("""COMPUTED_VALUE"""),"A21i6")</f>
        <v>A21i6</v>
      </c>
      <c r="Q1222" s="9"/>
      <c r="R1222" s="9"/>
      <c r="S1222" s="42"/>
      <c r="T1222" s="42"/>
      <c r="U1222" s="159"/>
      <c r="V1222" s="42"/>
      <c r="W1222" s="42"/>
      <c r="X1222" s="42"/>
      <c r="Y1222" s="42"/>
      <c r="Z1222" s="42"/>
      <c r="AA1222" s="42"/>
      <c r="AB1222" s="42" t="str">
        <f>IFERROR(__xludf.DUMMYFUNCTION("""COMPUTED_VALUE"""),"allen institute")</f>
        <v>allen institute</v>
      </c>
      <c r="AC1222" s="42" t="str">
        <f>IFERROR(__xludf.DUMMYFUNCTION("""COMPUTED_VALUE"""),"DHBA")</f>
        <v>DHBA</v>
      </c>
      <c r="AD1222" s="42"/>
      <c r="AE1222" s="42"/>
      <c r="AF1222" s="9"/>
      <c r="AG1222" s="9"/>
      <c r="AH1222" s="42"/>
      <c r="AI1222" s="42"/>
      <c r="AJ1222" s="42"/>
      <c r="AK1222" s="42"/>
      <c r="AL1222" s="42"/>
      <c r="AM1222" s="42"/>
      <c r="AN1222" s="42"/>
      <c r="AO1222" s="63" t="str">
        <f>IFERROR(__xludf.DUMMYFUNCTION("IF(ISBLANK(A1222),,IF(ISBLANK(S1222), A1222&amp;"";"", TEXTJOIN(CHAR(10), TRUE, A1222&amp;"";"", ARRAYFORMULA(VLOOKUP(SPLIT(S1222, "";"" &amp; CHAR(10)), $A:$AO, 41, FALSE)))))"),"A21i6;")</f>
        <v>A21i6;</v>
      </c>
      <c r="AP1222" s="89"/>
    </row>
    <row r="1223">
      <c r="A1223" s="151" t="str">
        <f>IFERROR(__xludf.DUMMYFUNCTION("""COMPUTED_VALUE"""),"A21c")</f>
        <v>A21c</v>
      </c>
      <c r="B1223" s="42" t="str">
        <f>IFERROR(__xludf.DUMMYFUNCTION("""COMPUTED_VALUE"""),"DHBA")</f>
        <v>DHBA</v>
      </c>
      <c r="C1223" s="42" t="str">
        <f>IFERROR(__xludf.DUMMYFUNCTION("""COMPUTED_VALUE"""),"caudal subdivision of area 21")</f>
        <v>caudal subdivision of area 21</v>
      </c>
      <c r="D1223" s="42">
        <f>IFERROR(__xludf.DUMMYFUNCTION("""COMPUTED_VALUE"""),1156.0)</f>
        <v>1156</v>
      </c>
      <c r="E1223" s="39" t="str">
        <f>IFERROR(__xludf.DUMMYFUNCTION("""COMPUTED_VALUE"""),"caudal subdivision of area 21")</f>
        <v>caudal subdivision of area 21</v>
      </c>
      <c r="F1223" s="9" t="str">
        <f>IFERROR(__xludf.DUMMYFUNCTION("""COMPUTED_VALUE"""),"Br")</f>
        <v>Br</v>
      </c>
      <c r="G1223" s="9" t="str">
        <f>IFERROR(__xludf.DUMMYFUNCTION("""COMPUTED_VALUE"""),"F")</f>
        <v>F</v>
      </c>
      <c r="H1223" s="9" t="str">
        <f>IFERROR(__xludf.DUMMYFUNCTION("""COMPUTED_VALUE"""),"FGM")</f>
        <v>FGM</v>
      </c>
      <c r="I1223" s="9" t="str">
        <f>IFERROR(__xludf.DUMMYFUNCTION("""COMPUTED_VALUE"""),"Tel")</f>
        <v>Tel</v>
      </c>
      <c r="J1223" s="9" t="str">
        <f>IFERROR(__xludf.DUMMYFUNCTION("""COMPUTED_VALUE"""),"Cx")</f>
        <v>Cx</v>
      </c>
      <c r="K1223" s="9" t="str">
        <f>IFERROR(__xludf.DUMMYFUNCTION("""COMPUTED_VALUE"""),"NCx")</f>
        <v>NCx</v>
      </c>
      <c r="L1223" s="9" t="str">
        <f>IFERROR(__xludf.DUMMYFUNCTION("""COMPUTED_VALUE"""),"TCx")</f>
        <v>TCx</v>
      </c>
      <c r="M1223" s="9" t="str">
        <f>IFERROR(__xludf.DUMMYFUNCTION("""COMPUTED_VALUE"""),"VLTC")</f>
        <v>VLTC</v>
      </c>
      <c r="N1223" s="9" t="str">
        <f>IFERROR(__xludf.DUMMYFUNCTION("""COMPUTED_VALUE"""),"MTC")</f>
        <v>MTC</v>
      </c>
      <c r="O1223" s="9" t="str">
        <f>IFERROR(__xludf.DUMMYFUNCTION("""COMPUTED_VALUE"""),"A21c")</f>
        <v>A21c</v>
      </c>
      <c r="P1223" s="9"/>
      <c r="Q1223" s="9"/>
      <c r="R1223" s="9"/>
      <c r="S1223" s="42" t="str">
        <f>IFERROR(__xludf.DUMMYFUNCTION("""COMPUTED_VALUE"""),"A21c1;
A21c2;
A21c3;
A21c4;
A21c5;
A21c6")</f>
        <v>A21c1;
A21c2;
A21c3;
A21c4;
A21c5;
A21c6</v>
      </c>
      <c r="T1223" s="42"/>
      <c r="U1223" s="159" t="b">
        <f>IFERROR(__xludf.DUMMYFUNCTION("""COMPUTED_VALUE"""),FALSE)</f>
        <v>0</v>
      </c>
      <c r="V1223" s="42"/>
      <c r="W1223" s="42"/>
      <c r="X1223" s="42"/>
      <c r="Y1223" s="42"/>
      <c r="Z1223" s="42"/>
      <c r="AA1223" s="42"/>
      <c r="AB1223" s="42" t="str">
        <f>IFERROR(__xludf.DUMMYFUNCTION("""COMPUTED_VALUE"""),"allen institute")</f>
        <v>allen institute</v>
      </c>
      <c r="AC1223" s="42" t="str">
        <f>IFERROR(__xludf.DUMMYFUNCTION("""COMPUTED_VALUE"""),"DHBA")</f>
        <v>DHBA</v>
      </c>
      <c r="AD1223" s="42"/>
      <c r="AE1223" s="42"/>
      <c r="AF1223" s="9"/>
      <c r="AG1223" s="9"/>
      <c r="AH1223" s="42"/>
      <c r="AI1223" s="42"/>
      <c r="AJ1223" s="42"/>
      <c r="AK1223" s="42"/>
      <c r="AL1223" s="42"/>
      <c r="AM1223" s="42"/>
      <c r="AN1223" s="42"/>
      <c r="AO1223" s="63" t="str">
        <f>IFERROR(__xludf.DUMMYFUNCTION("IF(ISBLANK(A1223),,IF(ISBLANK(S1223), A1223&amp;"";"", TEXTJOIN(CHAR(10), TRUE, A1223&amp;"";"", ARRAYFORMULA(VLOOKUP(SPLIT(S1223, "";"" &amp; CHAR(10)), $A:$AO, 41, FALSE)))))"),"A21c;
A21c1;
A21c2;
A21c3;
A21c4;
A21c5;
A21c6;")</f>
        <v>A21c;
A21c1;
A21c2;
A21c3;
A21c4;
A21c5;
A21c6;</v>
      </c>
      <c r="AP1223" s="89"/>
    </row>
    <row r="1224">
      <c r="A1224" s="151" t="str">
        <f>IFERROR(__xludf.DUMMYFUNCTION("""COMPUTED_VALUE"""),"A21c1")</f>
        <v>A21c1</v>
      </c>
      <c r="B1224" s="42" t="str">
        <f>IFERROR(__xludf.DUMMYFUNCTION("""COMPUTED_VALUE"""),"DHBA")</f>
        <v>DHBA</v>
      </c>
      <c r="C1224" s="42" t="str">
        <f>IFERROR(__xludf.DUMMYFUNCTION("""COMPUTED_VALUE"""),"layer I of area 21c")</f>
        <v>layer I of area 21c</v>
      </c>
      <c r="D1224" s="42">
        <f>IFERROR(__xludf.DUMMYFUNCTION("""COMPUTED_VALUE"""),1157.0)</f>
        <v>1157</v>
      </c>
      <c r="E1224" s="39" t="str">
        <f>IFERROR(__xludf.DUMMYFUNCTION("""COMPUTED_VALUE"""),"layer I of area 21c")</f>
        <v>layer I of area 21c</v>
      </c>
      <c r="F1224" s="9" t="str">
        <f>IFERROR(__xludf.DUMMYFUNCTION("""COMPUTED_VALUE"""),"Br")</f>
        <v>Br</v>
      </c>
      <c r="G1224" s="9" t="str">
        <f>IFERROR(__xludf.DUMMYFUNCTION("""COMPUTED_VALUE"""),"F")</f>
        <v>F</v>
      </c>
      <c r="H1224" s="9" t="str">
        <f>IFERROR(__xludf.DUMMYFUNCTION("""COMPUTED_VALUE"""),"FGM")</f>
        <v>FGM</v>
      </c>
      <c r="I1224" s="9" t="str">
        <f>IFERROR(__xludf.DUMMYFUNCTION("""COMPUTED_VALUE"""),"Tel")</f>
        <v>Tel</v>
      </c>
      <c r="J1224" s="9" t="str">
        <f>IFERROR(__xludf.DUMMYFUNCTION("""COMPUTED_VALUE"""),"Cx")</f>
        <v>Cx</v>
      </c>
      <c r="K1224" s="9" t="str">
        <f>IFERROR(__xludf.DUMMYFUNCTION("""COMPUTED_VALUE"""),"NCx")</f>
        <v>NCx</v>
      </c>
      <c r="L1224" s="9" t="str">
        <f>IFERROR(__xludf.DUMMYFUNCTION("""COMPUTED_VALUE"""),"TCx")</f>
        <v>TCx</v>
      </c>
      <c r="M1224" s="9" t="str">
        <f>IFERROR(__xludf.DUMMYFUNCTION("""COMPUTED_VALUE"""),"VLTC")</f>
        <v>VLTC</v>
      </c>
      <c r="N1224" s="9" t="str">
        <f>IFERROR(__xludf.DUMMYFUNCTION("""COMPUTED_VALUE"""),"MTC")</f>
        <v>MTC</v>
      </c>
      <c r="O1224" s="9" t="str">
        <f>IFERROR(__xludf.DUMMYFUNCTION("""COMPUTED_VALUE"""),"A21c")</f>
        <v>A21c</v>
      </c>
      <c r="P1224" s="9" t="str">
        <f>IFERROR(__xludf.DUMMYFUNCTION("""COMPUTED_VALUE"""),"A21c1")</f>
        <v>A21c1</v>
      </c>
      <c r="Q1224" s="9"/>
      <c r="R1224" s="9"/>
      <c r="S1224" s="42"/>
      <c r="T1224" s="42"/>
      <c r="U1224" s="159"/>
      <c r="V1224" s="42"/>
      <c r="W1224" s="42"/>
      <c r="X1224" s="42"/>
      <c r="Y1224" s="42"/>
      <c r="Z1224" s="42"/>
      <c r="AA1224" s="42"/>
      <c r="AB1224" s="42" t="str">
        <f>IFERROR(__xludf.DUMMYFUNCTION("""COMPUTED_VALUE"""),"allen institute")</f>
        <v>allen institute</v>
      </c>
      <c r="AC1224" s="42" t="str">
        <f>IFERROR(__xludf.DUMMYFUNCTION("""COMPUTED_VALUE"""),"DHBA")</f>
        <v>DHBA</v>
      </c>
      <c r="AD1224" s="42"/>
      <c r="AE1224" s="42"/>
      <c r="AF1224" s="9"/>
      <c r="AG1224" s="9"/>
      <c r="AH1224" s="42"/>
      <c r="AI1224" s="42"/>
      <c r="AJ1224" s="42"/>
      <c r="AK1224" s="42"/>
      <c r="AL1224" s="42"/>
      <c r="AM1224" s="42"/>
      <c r="AN1224" s="42"/>
      <c r="AO1224" s="63" t="str">
        <f>IFERROR(__xludf.DUMMYFUNCTION("IF(ISBLANK(A1224),,IF(ISBLANK(S1224), A1224&amp;"";"", TEXTJOIN(CHAR(10), TRUE, A1224&amp;"";"", ARRAYFORMULA(VLOOKUP(SPLIT(S1224, "";"" &amp; CHAR(10)), $A:$AO, 41, FALSE)))))"),"A21c1;")</f>
        <v>A21c1;</v>
      </c>
      <c r="AP1224" s="89"/>
    </row>
    <row r="1225">
      <c r="A1225" s="151" t="str">
        <f>IFERROR(__xludf.DUMMYFUNCTION("""COMPUTED_VALUE"""),"A21c2")</f>
        <v>A21c2</v>
      </c>
      <c r="B1225" s="42" t="str">
        <f>IFERROR(__xludf.DUMMYFUNCTION("""COMPUTED_VALUE"""),"DHBA")</f>
        <v>DHBA</v>
      </c>
      <c r="C1225" s="42" t="str">
        <f>IFERROR(__xludf.DUMMYFUNCTION("""COMPUTED_VALUE"""),"layer II of area 21c")</f>
        <v>layer II of area 21c</v>
      </c>
      <c r="D1225" s="42">
        <f>IFERROR(__xludf.DUMMYFUNCTION("""COMPUTED_VALUE"""),1158.0)</f>
        <v>1158</v>
      </c>
      <c r="E1225" s="39" t="str">
        <f>IFERROR(__xludf.DUMMYFUNCTION("""COMPUTED_VALUE"""),"layer II of area 21c")</f>
        <v>layer II of area 21c</v>
      </c>
      <c r="F1225" s="9" t="str">
        <f>IFERROR(__xludf.DUMMYFUNCTION("""COMPUTED_VALUE"""),"Br")</f>
        <v>Br</v>
      </c>
      <c r="G1225" s="9" t="str">
        <f>IFERROR(__xludf.DUMMYFUNCTION("""COMPUTED_VALUE"""),"F")</f>
        <v>F</v>
      </c>
      <c r="H1225" s="9" t="str">
        <f>IFERROR(__xludf.DUMMYFUNCTION("""COMPUTED_VALUE"""),"FGM")</f>
        <v>FGM</v>
      </c>
      <c r="I1225" s="9" t="str">
        <f>IFERROR(__xludf.DUMMYFUNCTION("""COMPUTED_VALUE"""),"Tel")</f>
        <v>Tel</v>
      </c>
      <c r="J1225" s="9" t="str">
        <f>IFERROR(__xludf.DUMMYFUNCTION("""COMPUTED_VALUE"""),"Cx")</f>
        <v>Cx</v>
      </c>
      <c r="K1225" s="9" t="str">
        <f>IFERROR(__xludf.DUMMYFUNCTION("""COMPUTED_VALUE"""),"NCx")</f>
        <v>NCx</v>
      </c>
      <c r="L1225" s="9" t="str">
        <f>IFERROR(__xludf.DUMMYFUNCTION("""COMPUTED_VALUE"""),"TCx")</f>
        <v>TCx</v>
      </c>
      <c r="M1225" s="9" t="str">
        <f>IFERROR(__xludf.DUMMYFUNCTION("""COMPUTED_VALUE"""),"VLTC")</f>
        <v>VLTC</v>
      </c>
      <c r="N1225" s="9" t="str">
        <f>IFERROR(__xludf.DUMMYFUNCTION("""COMPUTED_VALUE"""),"MTC")</f>
        <v>MTC</v>
      </c>
      <c r="O1225" s="9" t="str">
        <f>IFERROR(__xludf.DUMMYFUNCTION("""COMPUTED_VALUE"""),"A21c")</f>
        <v>A21c</v>
      </c>
      <c r="P1225" s="9" t="str">
        <f>IFERROR(__xludf.DUMMYFUNCTION("""COMPUTED_VALUE"""),"A21c2")</f>
        <v>A21c2</v>
      </c>
      <c r="Q1225" s="9"/>
      <c r="R1225" s="9"/>
      <c r="S1225" s="42"/>
      <c r="T1225" s="42"/>
      <c r="U1225" s="159"/>
      <c r="V1225" s="42"/>
      <c r="W1225" s="42"/>
      <c r="X1225" s="42"/>
      <c r="Y1225" s="42"/>
      <c r="Z1225" s="42"/>
      <c r="AA1225" s="42"/>
      <c r="AB1225" s="42" t="str">
        <f>IFERROR(__xludf.DUMMYFUNCTION("""COMPUTED_VALUE"""),"allen institute")</f>
        <v>allen institute</v>
      </c>
      <c r="AC1225" s="42" t="str">
        <f>IFERROR(__xludf.DUMMYFUNCTION("""COMPUTED_VALUE"""),"DHBA")</f>
        <v>DHBA</v>
      </c>
      <c r="AD1225" s="42"/>
      <c r="AE1225" s="42"/>
      <c r="AF1225" s="9"/>
      <c r="AG1225" s="9"/>
      <c r="AH1225" s="42"/>
      <c r="AI1225" s="42"/>
      <c r="AJ1225" s="42"/>
      <c r="AK1225" s="42"/>
      <c r="AL1225" s="42"/>
      <c r="AM1225" s="42"/>
      <c r="AN1225" s="42"/>
      <c r="AO1225" s="63" t="str">
        <f>IFERROR(__xludf.DUMMYFUNCTION("IF(ISBLANK(A1225),,IF(ISBLANK(S1225), A1225&amp;"";"", TEXTJOIN(CHAR(10), TRUE, A1225&amp;"";"", ARRAYFORMULA(VLOOKUP(SPLIT(S1225, "";"" &amp; CHAR(10)), $A:$AO, 41, FALSE)))))"),"A21c2;")</f>
        <v>A21c2;</v>
      </c>
      <c r="AP1225" s="89"/>
    </row>
    <row r="1226">
      <c r="A1226" s="151" t="str">
        <f>IFERROR(__xludf.DUMMYFUNCTION("""COMPUTED_VALUE"""),"A21c3")</f>
        <v>A21c3</v>
      </c>
      <c r="B1226" s="42" t="str">
        <f>IFERROR(__xludf.DUMMYFUNCTION("""COMPUTED_VALUE"""),"DHBA")</f>
        <v>DHBA</v>
      </c>
      <c r="C1226" s="42" t="str">
        <f>IFERROR(__xludf.DUMMYFUNCTION("""COMPUTED_VALUE"""),"layer III of area 21c")</f>
        <v>layer III of area 21c</v>
      </c>
      <c r="D1226" s="42">
        <f>IFERROR(__xludf.DUMMYFUNCTION("""COMPUTED_VALUE"""),1159.0)</f>
        <v>1159</v>
      </c>
      <c r="E1226" s="39" t="str">
        <f>IFERROR(__xludf.DUMMYFUNCTION("""COMPUTED_VALUE"""),"layer III of area 21c")</f>
        <v>layer III of area 21c</v>
      </c>
      <c r="F1226" s="9" t="str">
        <f>IFERROR(__xludf.DUMMYFUNCTION("""COMPUTED_VALUE"""),"Br")</f>
        <v>Br</v>
      </c>
      <c r="G1226" s="9" t="str">
        <f>IFERROR(__xludf.DUMMYFUNCTION("""COMPUTED_VALUE"""),"F")</f>
        <v>F</v>
      </c>
      <c r="H1226" s="9" t="str">
        <f>IFERROR(__xludf.DUMMYFUNCTION("""COMPUTED_VALUE"""),"FGM")</f>
        <v>FGM</v>
      </c>
      <c r="I1226" s="9" t="str">
        <f>IFERROR(__xludf.DUMMYFUNCTION("""COMPUTED_VALUE"""),"Tel")</f>
        <v>Tel</v>
      </c>
      <c r="J1226" s="9" t="str">
        <f>IFERROR(__xludf.DUMMYFUNCTION("""COMPUTED_VALUE"""),"Cx")</f>
        <v>Cx</v>
      </c>
      <c r="K1226" s="9" t="str">
        <f>IFERROR(__xludf.DUMMYFUNCTION("""COMPUTED_VALUE"""),"NCx")</f>
        <v>NCx</v>
      </c>
      <c r="L1226" s="9" t="str">
        <f>IFERROR(__xludf.DUMMYFUNCTION("""COMPUTED_VALUE"""),"TCx")</f>
        <v>TCx</v>
      </c>
      <c r="M1226" s="9" t="str">
        <f>IFERROR(__xludf.DUMMYFUNCTION("""COMPUTED_VALUE"""),"VLTC")</f>
        <v>VLTC</v>
      </c>
      <c r="N1226" s="9" t="str">
        <f>IFERROR(__xludf.DUMMYFUNCTION("""COMPUTED_VALUE"""),"MTC")</f>
        <v>MTC</v>
      </c>
      <c r="O1226" s="9" t="str">
        <f>IFERROR(__xludf.DUMMYFUNCTION("""COMPUTED_VALUE"""),"A21c")</f>
        <v>A21c</v>
      </c>
      <c r="P1226" s="9" t="str">
        <f>IFERROR(__xludf.DUMMYFUNCTION("""COMPUTED_VALUE"""),"A21c3")</f>
        <v>A21c3</v>
      </c>
      <c r="Q1226" s="9"/>
      <c r="R1226" s="9"/>
      <c r="S1226" s="42"/>
      <c r="T1226" s="42"/>
      <c r="U1226" s="159"/>
      <c r="V1226" s="42"/>
      <c r="W1226" s="42"/>
      <c r="X1226" s="42"/>
      <c r="Y1226" s="42"/>
      <c r="Z1226" s="42"/>
      <c r="AA1226" s="42"/>
      <c r="AB1226" s="42" t="str">
        <f>IFERROR(__xludf.DUMMYFUNCTION("""COMPUTED_VALUE"""),"allen institute")</f>
        <v>allen institute</v>
      </c>
      <c r="AC1226" s="42" t="str">
        <f>IFERROR(__xludf.DUMMYFUNCTION("""COMPUTED_VALUE"""),"DHBA")</f>
        <v>DHBA</v>
      </c>
      <c r="AD1226" s="42"/>
      <c r="AE1226" s="42"/>
      <c r="AF1226" s="9"/>
      <c r="AG1226" s="9"/>
      <c r="AH1226" s="42"/>
      <c r="AI1226" s="42"/>
      <c r="AJ1226" s="42"/>
      <c r="AK1226" s="42"/>
      <c r="AL1226" s="42"/>
      <c r="AM1226" s="42"/>
      <c r="AN1226" s="42"/>
      <c r="AO1226" s="63" t="str">
        <f>IFERROR(__xludf.DUMMYFUNCTION("IF(ISBLANK(A1226),,IF(ISBLANK(S1226), A1226&amp;"";"", TEXTJOIN(CHAR(10), TRUE, A1226&amp;"";"", ARRAYFORMULA(VLOOKUP(SPLIT(S1226, "";"" &amp; CHAR(10)), $A:$AO, 41, FALSE)))))"),"A21c3;")</f>
        <v>A21c3;</v>
      </c>
      <c r="AP1226" s="89"/>
    </row>
    <row r="1227">
      <c r="A1227" s="151" t="str">
        <f>IFERROR(__xludf.DUMMYFUNCTION("""COMPUTED_VALUE"""),"A21c4")</f>
        <v>A21c4</v>
      </c>
      <c r="B1227" s="42" t="str">
        <f>IFERROR(__xludf.DUMMYFUNCTION("""COMPUTED_VALUE"""),"DHBA")</f>
        <v>DHBA</v>
      </c>
      <c r="C1227" s="42" t="str">
        <f>IFERROR(__xludf.DUMMYFUNCTION("""COMPUTED_VALUE"""),"layer IV of area 21c")</f>
        <v>layer IV of area 21c</v>
      </c>
      <c r="D1227" s="42">
        <f>IFERROR(__xludf.DUMMYFUNCTION("""COMPUTED_VALUE"""),1160.0)</f>
        <v>1160</v>
      </c>
      <c r="E1227" s="39" t="str">
        <f>IFERROR(__xludf.DUMMYFUNCTION("""COMPUTED_VALUE"""),"layer IV of area 21c")</f>
        <v>layer IV of area 21c</v>
      </c>
      <c r="F1227" s="9" t="str">
        <f>IFERROR(__xludf.DUMMYFUNCTION("""COMPUTED_VALUE"""),"Br")</f>
        <v>Br</v>
      </c>
      <c r="G1227" s="9" t="str">
        <f>IFERROR(__xludf.DUMMYFUNCTION("""COMPUTED_VALUE"""),"F")</f>
        <v>F</v>
      </c>
      <c r="H1227" s="9" t="str">
        <f>IFERROR(__xludf.DUMMYFUNCTION("""COMPUTED_VALUE"""),"FGM")</f>
        <v>FGM</v>
      </c>
      <c r="I1227" s="9" t="str">
        <f>IFERROR(__xludf.DUMMYFUNCTION("""COMPUTED_VALUE"""),"Tel")</f>
        <v>Tel</v>
      </c>
      <c r="J1227" s="9" t="str">
        <f>IFERROR(__xludf.DUMMYFUNCTION("""COMPUTED_VALUE"""),"Cx")</f>
        <v>Cx</v>
      </c>
      <c r="K1227" s="9" t="str">
        <f>IFERROR(__xludf.DUMMYFUNCTION("""COMPUTED_VALUE"""),"NCx")</f>
        <v>NCx</v>
      </c>
      <c r="L1227" s="9" t="str">
        <f>IFERROR(__xludf.DUMMYFUNCTION("""COMPUTED_VALUE"""),"TCx")</f>
        <v>TCx</v>
      </c>
      <c r="M1227" s="9" t="str">
        <f>IFERROR(__xludf.DUMMYFUNCTION("""COMPUTED_VALUE"""),"VLTC")</f>
        <v>VLTC</v>
      </c>
      <c r="N1227" s="9" t="str">
        <f>IFERROR(__xludf.DUMMYFUNCTION("""COMPUTED_VALUE"""),"MTC")</f>
        <v>MTC</v>
      </c>
      <c r="O1227" s="9" t="str">
        <f>IFERROR(__xludf.DUMMYFUNCTION("""COMPUTED_VALUE"""),"A21c")</f>
        <v>A21c</v>
      </c>
      <c r="P1227" s="9" t="str">
        <f>IFERROR(__xludf.DUMMYFUNCTION("""COMPUTED_VALUE"""),"A21c4")</f>
        <v>A21c4</v>
      </c>
      <c r="Q1227" s="9"/>
      <c r="R1227" s="9"/>
      <c r="S1227" s="42"/>
      <c r="T1227" s="42"/>
      <c r="U1227" s="159"/>
      <c r="V1227" s="42"/>
      <c r="W1227" s="42"/>
      <c r="X1227" s="42"/>
      <c r="Y1227" s="42"/>
      <c r="Z1227" s="42"/>
      <c r="AA1227" s="42"/>
      <c r="AB1227" s="42" t="str">
        <f>IFERROR(__xludf.DUMMYFUNCTION("""COMPUTED_VALUE"""),"allen institute")</f>
        <v>allen institute</v>
      </c>
      <c r="AC1227" s="42" t="str">
        <f>IFERROR(__xludf.DUMMYFUNCTION("""COMPUTED_VALUE"""),"DHBA")</f>
        <v>DHBA</v>
      </c>
      <c r="AD1227" s="42"/>
      <c r="AE1227" s="42"/>
      <c r="AF1227" s="9"/>
      <c r="AG1227" s="9"/>
      <c r="AH1227" s="42"/>
      <c r="AI1227" s="42"/>
      <c r="AJ1227" s="42"/>
      <c r="AK1227" s="42"/>
      <c r="AL1227" s="42"/>
      <c r="AM1227" s="42"/>
      <c r="AN1227" s="42"/>
      <c r="AO1227" s="63" t="str">
        <f>IFERROR(__xludf.DUMMYFUNCTION("IF(ISBLANK(A1227),,IF(ISBLANK(S1227), A1227&amp;"";"", TEXTJOIN(CHAR(10), TRUE, A1227&amp;"";"", ARRAYFORMULA(VLOOKUP(SPLIT(S1227, "";"" &amp; CHAR(10)), $A:$AO, 41, FALSE)))))"),"A21c4;")</f>
        <v>A21c4;</v>
      </c>
      <c r="AP1227" s="89"/>
    </row>
    <row r="1228">
      <c r="A1228" s="151" t="str">
        <f>IFERROR(__xludf.DUMMYFUNCTION("""COMPUTED_VALUE"""),"A21c5")</f>
        <v>A21c5</v>
      </c>
      <c r="B1228" s="42" t="str">
        <f>IFERROR(__xludf.DUMMYFUNCTION("""COMPUTED_VALUE"""),"DHBA")</f>
        <v>DHBA</v>
      </c>
      <c r="C1228" s="42" t="str">
        <f>IFERROR(__xludf.DUMMYFUNCTION("""COMPUTED_VALUE"""),"layer V of area 21c")</f>
        <v>layer V of area 21c</v>
      </c>
      <c r="D1228" s="42">
        <f>IFERROR(__xludf.DUMMYFUNCTION("""COMPUTED_VALUE"""),1161.0)</f>
        <v>1161</v>
      </c>
      <c r="E1228" s="39" t="str">
        <f>IFERROR(__xludf.DUMMYFUNCTION("""COMPUTED_VALUE"""),"layer V of area 21c")</f>
        <v>layer V of area 21c</v>
      </c>
      <c r="F1228" s="9" t="str">
        <f>IFERROR(__xludf.DUMMYFUNCTION("""COMPUTED_VALUE"""),"Br")</f>
        <v>Br</v>
      </c>
      <c r="G1228" s="9" t="str">
        <f>IFERROR(__xludf.DUMMYFUNCTION("""COMPUTED_VALUE"""),"F")</f>
        <v>F</v>
      </c>
      <c r="H1228" s="9" t="str">
        <f>IFERROR(__xludf.DUMMYFUNCTION("""COMPUTED_VALUE"""),"FGM")</f>
        <v>FGM</v>
      </c>
      <c r="I1228" s="9" t="str">
        <f>IFERROR(__xludf.DUMMYFUNCTION("""COMPUTED_VALUE"""),"Tel")</f>
        <v>Tel</v>
      </c>
      <c r="J1228" s="9" t="str">
        <f>IFERROR(__xludf.DUMMYFUNCTION("""COMPUTED_VALUE"""),"Cx")</f>
        <v>Cx</v>
      </c>
      <c r="K1228" s="9" t="str">
        <f>IFERROR(__xludf.DUMMYFUNCTION("""COMPUTED_VALUE"""),"NCx")</f>
        <v>NCx</v>
      </c>
      <c r="L1228" s="9" t="str">
        <f>IFERROR(__xludf.DUMMYFUNCTION("""COMPUTED_VALUE"""),"TCx")</f>
        <v>TCx</v>
      </c>
      <c r="M1228" s="9" t="str">
        <f>IFERROR(__xludf.DUMMYFUNCTION("""COMPUTED_VALUE"""),"VLTC")</f>
        <v>VLTC</v>
      </c>
      <c r="N1228" s="9" t="str">
        <f>IFERROR(__xludf.DUMMYFUNCTION("""COMPUTED_VALUE"""),"MTC")</f>
        <v>MTC</v>
      </c>
      <c r="O1228" s="9" t="str">
        <f>IFERROR(__xludf.DUMMYFUNCTION("""COMPUTED_VALUE"""),"A21c")</f>
        <v>A21c</v>
      </c>
      <c r="P1228" s="9" t="str">
        <f>IFERROR(__xludf.DUMMYFUNCTION("""COMPUTED_VALUE"""),"A21c5")</f>
        <v>A21c5</v>
      </c>
      <c r="Q1228" s="9"/>
      <c r="R1228" s="9"/>
      <c r="S1228" s="42"/>
      <c r="T1228" s="42"/>
      <c r="U1228" s="159"/>
      <c r="V1228" s="42"/>
      <c r="W1228" s="42"/>
      <c r="X1228" s="42"/>
      <c r="Y1228" s="42"/>
      <c r="Z1228" s="42"/>
      <c r="AA1228" s="42"/>
      <c r="AB1228" s="42" t="str">
        <f>IFERROR(__xludf.DUMMYFUNCTION("""COMPUTED_VALUE"""),"allen institute")</f>
        <v>allen institute</v>
      </c>
      <c r="AC1228" s="42" t="str">
        <f>IFERROR(__xludf.DUMMYFUNCTION("""COMPUTED_VALUE"""),"DHBA")</f>
        <v>DHBA</v>
      </c>
      <c r="AD1228" s="42"/>
      <c r="AE1228" s="42"/>
      <c r="AF1228" s="9"/>
      <c r="AG1228" s="9"/>
      <c r="AH1228" s="42"/>
      <c r="AI1228" s="42"/>
      <c r="AJ1228" s="42"/>
      <c r="AK1228" s="42"/>
      <c r="AL1228" s="42"/>
      <c r="AM1228" s="42"/>
      <c r="AN1228" s="42"/>
      <c r="AO1228" s="63" t="str">
        <f>IFERROR(__xludf.DUMMYFUNCTION("IF(ISBLANK(A1228),,IF(ISBLANK(S1228), A1228&amp;"";"", TEXTJOIN(CHAR(10), TRUE, A1228&amp;"";"", ARRAYFORMULA(VLOOKUP(SPLIT(S1228, "";"" &amp; CHAR(10)), $A:$AO, 41, FALSE)))))"),"A21c5;")</f>
        <v>A21c5;</v>
      </c>
      <c r="AP1228" s="89"/>
    </row>
    <row r="1229">
      <c r="A1229" s="151" t="str">
        <f>IFERROR(__xludf.DUMMYFUNCTION("""COMPUTED_VALUE"""),"A21c6")</f>
        <v>A21c6</v>
      </c>
      <c r="B1229" s="42" t="str">
        <f>IFERROR(__xludf.DUMMYFUNCTION("""COMPUTED_VALUE"""),"DHBA")</f>
        <v>DHBA</v>
      </c>
      <c r="C1229" s="42" t="str">
        <f>IFERROR(__xludf.DUMMYFUNCTION("""COMPUTED_VALUE"""),"layer VI of area 21c")</f>
        <v>layer VI of area 21c</v>
      </c>
      <c r="D1229" s="42">
        <f>IFERROR(__xludf.DUMMYFUNCTION("""COMPUTED_VALUE"""),1162.0)</f>
        <v>1162</v>
      </c>
      <c r="E1229" s="39" t="str">
        <f>IFERROR(__xludf.DUMMYFUNCTION("""COMPUTED_VALUE"""),"layer VI of area 21c")</f>
        <v>layer VI of area 21c</v>
      </c>
      <c r="F1229" s="9" t="str">
        <f>IFERROR(__xludf.DUMMYFUNCTION("""COMPUTED_VALUE"""),"Br")</f>
        <v>Br</v>
      </c>
      <c r="G1229" s="9" t="str">
        <f>IFERROR(__xludf.DUMMYFUNCTION("""COMPUTED_VALUE"""),"F")</f>
        <v>F</v>
      </c>
      <c r="H1229" s="9" t="str">
        <f>IFERROR(__xludf.DUMMYFUNCTION("""COMPUTED_VALUE"""),"FGM")</f>
        <v>FGM</v>
      </c>
      <c r="I1229" s="9" t="str">
        <f>IFERROR(__xludf.DUMMYFUNCTION("""COMPUTED_VALUE"""),"Tel")</f>
        <v>Tel</v>
      </c>
      <c r="J1229" s="9" t="str">
        <f>IFERROR(__xludf.DUMMYFUNCTION("""COMPUTED_VALUE"""),"Cx")</f>
        <v>Cx</v>
      </c>
      <c r="K1229" s="9" t="str">
        <f>IFERROR(__xludf.DUMMYFUNCTION("""COMPUTED_VALUE"""),"NCx")</f>
        <v>NCx</v>
      </c>
      <c r="L1229" s="9" t="str">
        <f>IFERROR(__xludf.DUMMYFUNCTION("""COMPUTED_VALUE"""),"TCx")</f>
        <v>TCx</v>
      </c>
      <c r="M1229" s="9" t="str">
        <f>IFERROR(__xludf.DUMMYFUNCTION("""COMPUTED_VALUE"""),"VLTC")</f>
        <v>VLTC</v>
      </c>
      <c r="N1229" s="9" t="str">
        <f>IFERROR(__xludf.DUMMYFUNCTION("""COMPUTED_VALUE"""),"MTC")</f>
        <v>MTC</v>
      </c>
      <c r="O1229" s="9" t="str">
        <f>IFERROR(__xludf.DUMMYFUNCTION("""COMPUTED_VALUE"""),"A21c")</f>
        <v>A21c</v>
      </c>
      <c r="P1229" s="9" t="str">
        <f>IFERROR(__xludf.DUMMYFUNCTION("""COMPUTED_VALUE"""),"A21c6")</f>
        <v>A21c6</v>
      </c>
      <c r="Q1229" s="9"/>
      <c r="R1229" s="9"/>
      <c r="S1229" s="42"/>
      <c r="T1229" s="42"/>
      <c r="U1229" s="42"/>
      <c r="V1229" s="42"/>
      <c r="W1229" s="42"/>
      <c r="X1229" s="42"/>
      <c r="Y1229" s="42"/>
      <c r="Z1229" s="42"/>
      <c r="AA1229" s="42"/>
      <c r="AB1229" s="42" t="str">
        <f>IFERROR(__xludf.DUMMYFUNCTION("""COMPUTED_VALUE"""),"allen institute")</f>
        <v>allen institute</v>
      </c>
      <c r="AC1229" s="42" t="str">
        <f>IFERROR(__xludf.DUMMYFUNCTION("""COMPUTED_VALUE"""),"DHBA")</f>
        <v>DHBA</v>
      </c>
      <c r="AD1229" s="42"/>
      <c r="AE1229" s="42"/>
      <c r="AF1229" s="9"/>
      <c r="AG1229" s="9"/>
      <c r="AH1229" s="42"/>
      <c r="AI1229" s="42"/>
      <c r="AJ1229" s="42"/>
      <c r="AK1229" s="42"/>
      <c r="AL1229" s="42"/>
      <c r="AM1229" s="42"/>
      <c r="AN1229" s="42"/>
      <c r="AO1229" s="63" t="str">
        <f>IFERROR(__xludf.DUMMYFUNCTION("IF(ISBLANK(A1229),,IF(ISBLANK(S1229), A1229&amp;"";"", TEXTJOIN(CHAR(10), TRUE, A1229&amp;"";"", ARRAYFORMULA(VLOOKUP(SPLIT(S1229, "";"" &amp; CHAR(10)), $A:$AO, 41, FALSE)))))"),"A21c6;")</f>
        <v>A21c6;</v>
      </c>
      <c r="AP1229" s="89"/>
    </row>
    <row r="1230">
      <c r="A1230" s="151" t="str">
        <f>IFERROR(__xludf.DUMMYFUNCTION("""COMPUTED_VALUE"""),"ITC")</f>
        <v>ITC</v>
      </c>
      <c r="B1230" s="42" t="str">
        <f>IFERROR(__xludf.DUMMYFUNCTION("""COMPUTED_VALUE"""),"DHBA")</f>
        <v>DHBA</v>
      </c>
      <c r="C1230" s="42" t="str">
        <f>IFERROR(__xludf.DUMMYFUNCTION("""COMPUTED_VALUE"""),"inferior temporal cortex (area TEv, area 20)")</f>
        <v>inferior temporal cortex (area TEv, area 20)</v>
      </c>
      <c r="D1230" s="42">
        <f>IFERROR(__xludf.DUMMYFUNCTION("""COMPUTED_VALUE"""),1163.0)</f>
        <v>1163</v>
      </c>
      <c r="E1230" s="39" t="str">
        <f>IFERROR(__xludf.DUMMYFUNCTION("""COMPUTED_VALUE"""),"inferolateral temporal cortex (area TEv, area 20)")</f>
        <v>inferolateral temporal cortex (area TEv, area 20)</v>
      </c>
      <c r="F1230" s="9" t="str">
        <f>IFERROR(__xludf.DUMMYFUNCTION("""COMPUTED_VALUE"""),"Br")</f>
        <v>Br</v>
      </c>
      <c r="G1230" s="9" t="str">
        <f>IFERROR(__xludf.DUMMYFUNCTION("""COMPUTED_VALUE"""),"F")</f>
        <v>F</v>
      </c>
      <c r="H1230" s="9" t="str">
        <f>IFERROR(__xludf.DUMMYFUNCTION("""COMPUTED_VALUE"""),"FGM")</f>
        <v>FGM</v>
      </c>
      <c r="I1230" s="9" t="str">
        <f>IFERROR(__xludf.DUMMYFUNCTION("""COMPUTED_VALUE"""),"Tel")</f>
        <v>Tel</v>
      </c>
      <c r="J1230" s="9" t="str">
        <f>IFERROR(__xludf.DUMMYFUNCTION("""COMPUTED_VALUE"""),"Cx")</f>
        <v>Cx</v>
      </c>
      <c r="K1230" s="9" t="str">
        <f>IFERROR(__xludf.DUMMYFUNCTION("""COMPUTED_VALUE"""),"NCx")</f>
        <v>NCx</v>
      </c>
      <c r="L1230" s="9" t="str">
        <f>IFERROR(__xludf.DUMMYFUNCTION("""COMPUTED_VALUE"""),"TCx")</f>
        <v>TCx</v>
      </c>
      <c r="M1230" s="9" t="str">
        <f>IFERROR(__xludf.DUMMYFUNCTION("""COMPUTED_VALUE"""),"VLTC")</f>
        <v>VLTC</v>
      </c>
      <c r="N1230" s="9" t="str">
        <f>IFERROR(__xludf.DUMMYFUNCTION("""COMPUTED_VALUE"""),"ITC")</f>
        <v>ITC</v>
      </c>
      <c r="O1230" s="9"/>
      <c r="P1230" s="9"/>
      <c r="Q1230" s="9"/>
      <c r="R1230" s="9"/>
      <c r="S1230" s="42" t="str">
        <f>IFERROR(__xludf.DUMMYFUNCTION("""COMPUTED_VALUE"""),"A20r;
A20i;
A20c")</f>
        <v>A20r;
A20i;
A20c</v>
      </c>
      <c r="T1230" s="42" t="str">
        <f>IFERROR(__xludf.DUMMYFUNCTION("""COMPUTED_VALUE"""),"NCx")</f>
        <v>NCx</v>
      </c>
      <c r="U1230" s="42" t="b">
        <f>IFERROR(__xludf.DUMMYFUNCTION("""COMPUTED_VALUE"""),FALSE)</f>
        <v>0</v>
      </c>
      <c r="V1230" s="42"/>
      <c r="W1230" s="42"/>
      <c r="X1230" s="42"/>
      <c r="Y1230" s="42"/>
      <c r="Z1230" s="42"/>
      <c r="AA1230" s="42"/>
      <c r="AB1230" s="42" t="str">
        <f>IFERROR(__xludf.DUMMYFUNCTION("""COMPUTED_VALUE"""),"allen institute")</f>
        <v>allen institute</v>
      </c>
      <c r="AC1230" s="42" t="str">
        <f>IFERROR(__xludf.DUMMYFUNCTION("""COMPUTED_VALUE"""),"DHBA")</f>
        <v>DHBA</v>
      </c>
      <c r="AD1230" s="42"/>
      <c r="AE1230" s="42"/>
      <c r="AF1230" s="9"/>
      <c r="AG1230" s="9"/>
      <c r="AH1230" s="42"/>
      <c r="AI1230" s="42"/>
      <c r="AJ1230" s="42"/>
      <c r="AK1230" s="42"/>
      <c r="AL1230" s="42"/>
      <c r="AM1230" s="42"/>
      <c r="AN1230" s="42"/>
      <c r="AO1230" s="63" t="str">
        <f>IFERROR(__xludf.DUMMYFUNCTION("IF(ISBLANK(A1230),,IF(ISBLANK(S1230), A1230&amp;"";"", TEXTJOIN(CHAR(10), TRUE, A1230&amp;"";"", ARRAYFORMULA(VLOOKUP(SPLIT(S1230, "";"" &amp; CHAR(10)), $A:$AO, 41, FALSE)))))"),"ITC;
A20r;
A20r1;
A20r2;
A20r3;
A20r4;
A20r5;
A20r6;
A20i;
A20i1;
A20i2;
A20i3;
A20i4;
A20i5;
A20i6;
A20c;
A20c1;
A20c2;
A20c3;
A20c4;
A20c5;
A20c6;")</f>
        <v>ITC;
A20r;
A20r1;
A20r2;
A20r3;
A20r4;
A20r5;
A20r6;
A20i;
A20i1;
A20i2;
A20i3;
A20i4;
A20i5;
A20i6;
A20c;
A20c1;
A20c2;
A20c3;
A20c4;
A20c5;
A20c6;</v>
      </c>
      <c r="AP1230" s="89"/>
    </row>
    <row r="1231">
      <c r="A1231" s="151" t="str">
        <f>IFERROR(__xludf.DUMMYFUNCTION("""COMPUTED_VALUE"""),"A20r")</f>
        <v>A20r</v>
      </c>
      <c r="B1231" s="42" t="str">
        <f>IFERROR(__xludf.DUMMYFUNCTION("""COMPUTED_VALUE"""),"DHBA")</f>
        <v>DHBA</v>
      </c>
      <c r="C1231" s="42" t="str">
        <f>IFERROR(__xludf.DUMMYFUNCTION("""COMPUTED_VALUE"""),"rostral subdivision of area 20")</f>
        <v>rostral subdivision of area 20</v>
      </c>
      <c r="D1231" s="42">
        <f>IFERROR(__xludf.DUMMYFUNCTION("""COMPUTED_VALUE"""),1164.0)</f>
        <v>1164</v>
      </c>
      <c r="E1231" s="39" t="str">
        <f>IFERROR(__xludf.DUMMYFUNCTION("""COMPUTED_VALUE"""),"rostral subdivision of area 20")</f>
        <v>rostral subdivision of area 20</v>
      </c>
      <c r="F1231" s="9" t="str">
        <f>IFERROR(__xludf.DUMMYFUNCTION("""COMPUTED_VALUE"""),"Br")</f>
        <v>Br</v>
      </c>
      <c r="G1231" s="9" t="str">
        <f>IFERROR(__xludf.DUMMYFUNCTION("""COMPUTED_VALUE"""),"F")</f>
        <v>F</v>
      </c>
      <c r="H1231" s="9" t="str">
        <f>IFERROR(__xludf.DUMMYFUNCTION("""COMPUTED_VALUE"""),"FGM")</f>
        <v>FGM</v>
      </c>
      <c r="I1231" s="9" t="str">
        <f>IFERROR(__xludf.DUMMYFUNCTION("""COMPUTED_VALUE"""),"Tel")</f>
        <v>Tel</v>
      </c>
      <c r="J1231" s="9" t="str">
        <f>IFERROR(__xludf.DUMMYFUNCTION("""COMPUTED_VALUE"""),"Cx")</f>
        <v>Cx</v>
      </c>
      <c r="K1231" s="9" t="str">
        <f>IFERROR(__xludf.DUMMYFUNCTION("""COMPUTED_VALUE"""),"NCx")</f>
        <v>NCx</v>
      </c>
      <c r="L1231" s="9" t="str">
        <f>IFERROR(__xludf.DUMMYFUNCTION("""COMPUTED_VALUE"""),"TCx")</f>
        <v>TCx</v>
      </c>
      <c r="M1231" s="9" t="str">
        <f>IFERROR(__xludf.DUMMYFUNCTION("""COMPUTED_VALUE"""),"VLTC")</f>
        <v>VLTC</v>
      </c>
      <c r="N1231" s="9" t="str">
        <f>IFERROR(__xludf.DUMMYFUNCTION("""COMPUTED_VALUE"""),"ITC")</f>
        <v>ITC</v>
      </c>
      <c r="O1231" s="9" t="str">
        <f>IFERROR(__xludf.DUMMYFUNCTION("""COMPUTED_VALUE"""),"A20r")</f>
        <v>A20r</v>
      </c>
      <c r="P1231" s="9"/>
      <c r="Q1231" s="9"/>
      <c r="R1231" s="9"/>
      <c r="S1231" s="42" t="str">
        <f>IFERROR(__xludf.DUMMYFUNCTION("""COMPUTED_VALUE"""),"A20r1;
A20r2;
A20r3;
A20r4;
A20r5;
A20r6")</f>
        <v>A20r1;
A20r2;
A20r3;
A20r4;
A20r5;
A20r6</v>
      </c>
      <c r="T1231" s="42"/>
      <c r="U1231" s="159" t="b">
        <f>IFERROR(__xludf.DUMMYFUNCTION("""COMPUTED_VALUE"""),FALSE)</f>
        <v>0</v>
      </c>
      <c r="V1231" s="42"/>
      <c r="W1231" s="42"/>
      <c r="X1231" s="42"/>
      <c r="Y1231" s="42"/>
      <c r="Z1231" s="42"/>
      <c r="AA1231" s="42"/>
      <c r="AB1231" s="42" t="str">
        <f>IFERROR(__xludf.DUMMYFUNCTION("""COMPUTED_VALUE"""),"allen institute")</f>
        <v>allen institute</v>
      </c>
      <c r="AC1231" s="42" t="str">
        <f>IFERROR(__xludf.DUMMYFUNCTION("""COMPUTED_VALUE"""),"DHBA")</f>
        <v>DHBA</v>
      </c>
      <c r="AD1231" s="42"/>
      <c r="AE1231" s="42"/>
      <c r="AF1231" s="9"/>
      <c r="AG1231" s="9"/>
      <c r="AH1231" s="42"/>
      <c r="AI1231" s="42"/>
      <c r="AJ1231" s="42"/>
      <c r="AK1231" s="42"/>
      <c r="AL1231" s="42"/>
      <c r="AM1231" s="42"/>
      <c r="AN1231" s="42"/>
      <c r="AO1231" s="63" t="str">
        <f>IFERROR(__xludf.DUMMYFUNCTION("IF(ISBLANK(A1231),,IF(ISBLANK(S1231), A1231&amp;"";"", TEXTJOIN(CHAR(10), TRUE, A1231&amp;"";"", ARRAYFORMULA(VLOOKUP(SPLIT(S1231, "";"" &amp; CHAR(10)), $A:$AO, 41, FALSE)))))"),"A20r;
A20r1;
A20r2;
A20r3;
A20r4;
A20r5;
A20r6;")</f>
        <v>A20r;
A20r1;
A20r2;
A20r3;
A20r4;
A20r5;
A20r6;</v>
      </c>
      <c r="AP1231" s="89"/>
    </row>
    <row r="1232">
      <c r="A1232" s="151" t="str">
        <f>IFERROR(__xludf.DUMMYFUNCTION("""COMPUTED_VALUE"""),"A20r1")</f>
        <v>A20r1</v>
      </c>
      <c r="B1232" s="42" t="str">
        <f>IFERROR(__xludf.DUMMYFUNCTION("""COMPUTED_VALUE"""),"DHBA")</f>
        <v>DHBA</v>
      </c>
      <c r="C1232" s="42" t="str">
        <f>IFERROR(__xludf.DUMMYFUNCTION("""COMPUTED_VALUE"""),"layer I of area 20r")</f>
        <v>layer I of area 20r</v>
      </c>
      <c r="D1232" s="42">
        <f>IFERROR(__xludf.DUMMYFUNCTION("""COMPUTED_VALUE"""),1165.0)</f>
        <v>1165</v>
      </c>
      <c r="E1232" s="39" t="str">
        <f>IFERROR(__xludf.DUMMYFUNCTION("""COMPUTED_VALUE"""),"layer I of area 20r")</f>
        <v>layer I of area 20r</v>
      </c>
      <c r="F1232" s="9" t="str">
        <f>IFERROR(__xludf.DUMMYFUNCTION("""COMPUTED_VALUE"""),"Br")</f>
        <v>Br</v>
      </c>
      <c r="G1232" s="9" t="str">
        <f>IFERROR(__xludf.DUMMYFUNCTION("""COMPUTED_VALUE"""),"F")</f>
        <v>F</v>
      </c>
      <c r="H1232" s="9" t="str">
        <f>IFERROR(__xludf.DUMMYFUNCTION("""COMPUTED_VALUE"""),"FGM")</f>
        <v>FGM</v>
      </c>
      <c r="I1232" s="9" t="str">
        <f>IFERROR(__xludf.DUMMYFUNCTION("""COMPUTED_VALUE"""),"Tel")</f>
        <v>Tel</v>
      </c>
      <c r="J1232" s="9" t="str">
        <f>IFERROR(__xludf.DUMMYFUNCTION("""COMPUTED_VALUE"""),"Cx")</f>
        <v>Cx</v>
      </c>
      <c r="K1232" s="9" t="str">
        <f>IFERROR(__xludf.DUMMYFUNCTION("""COMPUTED_VALUE"""),"NCx")</f>
        <v>NCx</v>
      </c>
      <c r="L1232" s="9" t="str">
        <f>IFERROR(__xludf.DUMMYFUNCTION("""COMPUTED_VALUE"""),"TCx")</f>
        <v>TCx</v>
      </c>
      <c r="M1232" s="9" t="str">
        <f>IFERROR(__xludf.DUMMYFUNCTION("""COMPUTED_VALUE"""),"VLTC")</f>
        <v>VLTC</v>
      </c>
      <c r="N1232" s="9" t="str">
        <f>IFERROR(__xludf.DUMMYFUNCTION("""COMPUTED_VALUE"""),"ITC")</f>
        <v>ITC</v>
      </c>
      <c r="O1232" s="9" t="str">
        <f>IFERROR(__xludf.DUMMYFUNCTION("""COMPUTED_VALUE"""),"A20r")</f>
        <v>A20r</v>
      </c>
      <c r="P1232" s="9" t="str">
        <f>IFERROR(__xludf.DUMMYFUNCTION("""COMPUTED_VALUE"""),"A20r1")</f>
        <v>A20r1</v>
      </c>
      <c r="Q1232" s="9"/>
      <c r="R1232" s="9"/>
      <c r="S1232" s="42"/>
      <c r="T1232" s="42"/>
      <c r="U1232" s="42"/>
      <c r="V1232" s="42"/>
      <c r="W1232" s="42"/>
      <c r="X1232" s="42"/>
      <c r="Y1232" s="42"/>
      <c r="Z1232" s="42"/>
      <c r="AA1232" s="42"/>
      <c r="AB1232" s="42" t="str">
        <f>IFERROR(__xludf.DUMMYFUNCTION("""COMPUTED_VALUE"""),"allen institute")</f>
        <v>allen institute</v>
      </c>
      <c r="AC1232" s="42" t="str">
        <f>IFERROR(__xludf.DUMMYFUNCTION("""COMPUTED_VALUE"""),"DHBA")</f>
        <v>DHBA</v>
      </c>
      <c r="AD1232" s="42"/>
      <c r="AE1232" s="42"/>
      <c r="AF1232" s="9"/>
      <c r="AG1232" s="9"/>
      <c r="AH1232" s="42"/>
      <c r="AI1232" s="42"/>
      <c r="AJ1232" s="42"/>
      <c r="AK1232" s="42"/>
      <c r="AL1232" s="42"/>
      <c r="AM1232" s="42"/>
      <c r="AN1232" s="42"/>
      <c r="AO1232" s="63" t="str">
        <f>IFERROR(__xludf.DUMMYFUNCTION("IF(ISBLANK(A1232),,IF(ISBLANK(S1232), A1232&amp;"";"", TEXTJOIN(CHAR(10), TRUE, A1232&amp;"";"", ARRAYFORMULA(VLOOKUP(SPLIT(S1232, "";"" &amp; CHAR(10)), $A:$AO, 41, FALSE)))))"),"A20r1;")</f>
        <v>A20r1;</v>
      </c>
      <c r="AP1232" s="89"/>
    </row>
    <row r="1233">
      <c r="A1233" s="151" t="str">
        <f>IFERROR(__xludf.DUMMYFUNCTION("""COMPUTED_VALUE"""),"A20r2")</f>
        <v>A20r2</v>
      </c>
      <c r="B1233" s="42" t="str">
        <f>IFERROR(__xludf.DUMMYFUNCTION("""COMPUTED_VALUE"""),"DHBA")</f>
        <v>DHBA</v>
      </c>
      <c r="C1233" s="42" t="str">
        <f>IFERROR(__xludf.DUMMYFUNCTION("""COMPUTED_VALUE"""),"layer II of area 20r")</f>
        <v>layer II of area 20r</v>
      </c>
      <c r="D1233" s="42">
        <f>IFERROR(__xludf.DUMMYFUNCTION("""COMPUTED_VALUE"""),1166.0)</f>
        <v>1166</v>
      </c>
      <c r="E1233" s="39" t="str">
        <f>IFERROR(__xludf.DUMMYFUNCTION("""COMPUTED_VALUE"""),"layer II of area 20r")</f>
        <v>layer II of area 20r</v>
      </c>
      <c r="F1233" s="9" t="str">
        <f>IFERROR(__xludf.DUMMYFUNCTION("""COMPUTED_VALUE"""),"Br")</f>
        <v>Br</v>
      </c>
      <c r="G1233" s="9" t="str">
        <f>IFERROR(__xludf.DUMMYFUNCTION("""COMPUTED_VALUE"""),"F")</f>
        <v>F</v>
      </c>
      <c r="H1233" s="9" t="str">
        <f>IFERROR(__xludf.DUMMYFUNCTION("""COMPUTED_VALUE"""),"FGM")</f>
        <v>FGM</v>
      </c>
      <c r="I1233" s="9" t="str">
        <f>IFERROR(__xludf.DUMMYFUNCTION("""COMPUTED_VALUE"""),"Tel")</f>
        <v>Tel</v>
      </c>
      <c r="J1233" s="9" t="str">
        <f>IFERROR(__xludf.DUMMYFUNCTION("""COMPUTED_VALUE"""),"Cx")</f>
        <v>Cx</v>
      </c>
      <c r="K1233" s="9" t="str">
        <f>IFERROR(__xludf.DUMMYFUNCTION("""COMPUTED_VALUE"""),"NCx")</f>
        <v>NCx</v>
      </c>
      <c r="L1233" s="9" t="str">
        <f>IFERROR(__xludf.DUMMYFUNCTION("""COMPUTED_VALUE"""),"TCx")</f>
        <v>TCx</v>
      </c>
      <c r="M1233" s="9" t="str">
        <f>IFERROR(__xludf.DUMMYFUNCTION("""COMPUTED_VALUE"""),"VLTC")</f>
        <v>VLTC</v>
      </c>
      <c r="N1233" s="9" t="str">
        <f>IFERROR(__xludf.DUMMYFUNCTION("""COMPUTED_VALUE"""),"ITC")</f>
        <v>ITC</v>
      </c>
      <c r="O1233" s="9" t="str">
        <f>IFERROR(__xludf.DUMMYFUNCTION("""COMPUTED_VALUE"""),"A20r")</f>
        <v>A20r</v>
      </c>
      <c r="P1233" s="9" t="str">
        <f>IFERROR(__xludf.DUMMYFUNCTION("""COMPUTED_VALUE"""),"A20r2")</f>
        <v>A20r2</v>
      </c>
      <c r="Q1233" s="9"/>
      <c r="R1233" s="9"/>
      <c r="S1233" s="42"/>
      <c r="T1233" s="42"/>
      <c r="U1233" s="159"/>
      <c r="V1233" s="42"/>
      <c r="W1233" s="42"/>
      <c r="X1233" s="42"/>
      <c r="Y1233" s="42"/>
      <c r="Z1233" s="42"/>
      <c r="AA1233" s="42"/>
      <c r="AB1233" s="42" t="str">
        <f>IFERROR(__xludf.DUMMYFUNCTION("""COMPUTED_VALUE"""),"allen institute")</f>
        <v>allen institute</v>
      </c>
      <c r="AC1233" s="42" t="str">
        <f>IFERROR(__xludf.DUMMYFUNCTION("""COMPUTED_VALUE"""),"DHBA")</f>
        <v>DHBA</v>
      </c>
      <c r="AD1233" s="42"/>
      <c r="AE1233" s="42"/>
      <c r="AF1233" s="9"/>
      <c r="AG1233" s="9"/>
      <c r="AH1233" s="42"/>
      <c r="AI1233" s="42"/>
      <c r="AJ1233" s="42"/>
      <c r="AK1233" s="42"/>
      <c r="AL1233" s="42"/>
      <c r="AM1233" s="42"/>
      <c r="AN1233" s="42"/>
      <c r="AO1233" s="63" t="str">
        <f>IFERROR(__xludf.DUMMYFUNCTION("IF(ISBLANK(A1233),,IF(ISBLANK(S1233), A1233&amp;"";"", TEXTJOIN(CHAR(10), TRUE, A1233&amp;"";"", ARRAYFORMULA(VLOOKUP(SPLIT(S1233, "";"" &amp; CHAR(10)), $A:$AO, 41, FALSE)))))"),"A20r2;")</f>
        <v>A20r2;</v>
      </c>
      <c r="AP1233" s="89"/>
    </row>
    <row r="1234">
      <c r="A1234" s="151" t="str">
        <f>IFERROR(__xludf.DUMMYFUNCTION("""COMPUTED_VALUE"""),"A20r3")</f>
        <v>A20r3</v>
      </c>
      <c r="B1234" s="42" t="str">
        <f>IFERROR(__xludf.DUMMYFUNCTION("""COMPUTED_VALUE"""),"DHBA")</f>
        <v>DHBA</v>
      </c>
      <c r="C1234" s="42" t="str">
        <f>IFERROR(__xludf.DUMMYFUNCTION("""COMPUTED_VALUE"""),"layer III of area 20r")</f>
        <v>layer III of area 20r</v>
      </c>
      <c r="D1234" s="42">
        <f>IFERROR(__xludf.DUMMYFUNCTION("""COMPUTED_VALUE"""),1167.0)</f>
        <v>1167</v>
      </c>
      <c r="E1234" s="39" t="str">
        <f>IFERROR(__xludf.DUMMYFUNCTION("""COMPUTED_VALUE"""),"layer III of area 20r")</f>
        <v>layer III of area 20r</v>
      </c>
      <c r="F1234" s="9" t="str">
        <f>IFERROR(__xludf.DUMMYFUNCTION("""COMPUTED_VALUE"""),"Br")</f>
        <v>Br</v>
      </c>
      <c r="G1234" s="9" t="str">
        <f>IFERROR(__xludf.DUMMYFUNCTION("""COMPUTED_VALUE"""),"F")</f>
        <v>F</v>
      </c>
      <c r="H1234" s="9" t="str">
        <f>IFERROR(__xludf.DUMMYFUNCTION("""COMPUTED_VALUE"""),"FGM")</f>
        <v>FGM</v>
      </c>
      <c r="I1234" s="9" t="str">
        <f>IFERROR(__xludf.DUMMYFUNCTION("""COMPUTED_VALUE"""),"Tel")</f>
        <v>Tel</v>
      </c>
      <c r="J1234" s="9" t="str">
        <f>IFERROR(__xludf.DUMMYFUNCTION("""COMPUTED_VALUE"""),"Cx")</f>
        <v>Cx</v>
      </c>
      <c r="K1234" s="9" t="str">
        <f>IFERROR(__xludf.DUMMYFUNCTION("""COMPUTED_VALUE"""),"NCx")</f>
        <v>NCx</v>
      </c>
      <c r="L1234" s="9" t="str">
        <f>IFERROR(__xludf.DUMMYFUNCTION("""COMPUTED_VALUE"""),"TCx")</f>
        <v>TCx</v>
      </c>
      <c r="M1234" s="9" t="str">
        <f>IFERROR(__xludf.DUMMYFUNCTION("""COMPUTED_VALUE"""),"VLTC")</f>
        <v>VLTC</v>
      </c>
      <c r="N1234" s="9" t="str">
        <f>IFERROR(__xludf.DUMMYFUNCTION("""COMPUTED_VALUE"""),"ITC")</f>
        <v>ITC</v>
      </c>
      <c r="O1234" s="9" t="str">
        <f>IFERROR(__xludf.DUMMYFUNCTION("""COMPUTED_VALUE"""),"A20r")</f>
        <v>A20r</v>
      </c>
      <c r="P1234" s="9" t="str">
        <f>IFERROR(__xludf.DUMMYFUNCTION("""COMPUTED_VALUE"""),"A20r3")</f>
        <v>A20r3</v>
      </c>
      <c r="Q1234" s="9"/>
      <c r="R1234" s="9"/>
      <c r="S1234" s="42"/>
      <c r="T1234" s="42"/>
      <c r="U1234" s="42"/>
      <c r="V1234" s="42"/>
      <c r="W1234" s="42"/>
      <c r="X1234" s="42"/>
      <c r="Y1234" s="42"/>
      <c r="Z1234" s="42"/>
      <c r="AA1234" s="42"/>
      <c r="AB1234" s="42" t="str">
        <f>IFERROR(__xludf.DUMMYFUNCTION("""COMPUTED_VALUE"""),"allen institute")</f>
        <v>allen institute</v>
      </c>
      <c r="AC1234" s="42" t="str">
        <f>IFERROR(__xludf.DUMMYFUNCTION("""COMPUTED_VALUE"""),"DHBA")</f>
        <v>DHBA</v>
      </c>
      <c r="AD1234" s="42"/>
      <c r="AE1234" s="42"/>
      <c r="AF1234" s="9"/>
      <c r="AG1234" s="9"/>
      <c r="AH1234" s="42"/>
      <c r="AI1234" s="42"/>
      <c r="AJ1234" s="42"/>
      <c r="AK1234" s="42"/>
      <c r="AL1234" s="42"/>
      <c r="AM1234" s="42"/>
      <c r="AN1234" s="42"/>
      <c r="AO1234" s="63" t="str">
        <f>IFERROR(__xludf.DUMMYFUNCTION("IF(ISBLANK(A1234),,IF(ISBLANK(S1234), A1234&amp;"";"", TEXTJOIN(CHAR(10), TRUE, A1234&amp;"";"", ARRAYFORMULA(VLOOKUP(SPLIT(S1234, "";"" &amp; CHAR(10)), $A:$AO, 41, FALSE)))))"),"A20r3;")</f>
        <v>A20r3;</v>
      </c>
      <c r="AP1234" s="89"/>
    </row>
    <row r="1235">
      <c r="A1235" s="151" t="str">
        <f>IFERROR(__xludf.DUMMYFUNCTION("""COMPUTED_VALUE"""),"A20r4")</f>
        <v>A20r4</v>
      </c>
      <c r="B1235" s="42" t="str">
        <f>IFERROR(__xludf.DUMMYFUNCTION("""COMPUTED_VALUE"""),"DHBA")</f>
        <v>DHBA</v>
      </c>
      <c r="C1235" s="42" t="str">
        <f>IFERROR(__xludf.DUMMYFUNCTION("""COMPUTED_VALUE"""),"layer IV of area 20r")</f>
        <v>layer IV of area 20r</v>
      </c>
      <c r="D1235" s="42">
        <f>IFERROR(__xludf.DUMMYFUNCTION("""COMPUTED_VALUE"""),1168.0)</f>
        <v>1168</v>
      </c>
      <c r="E1235" s="39" t="str">
        <f>IFERROR(__xludf.DUMMYFUNCTION("""COMPUTED_VALUE"""),"layer IV of area 20r")</f>
        <v>layer IV of area 20r</v>
      </c>
      <c r="F1235" s="9" t="str">
        <f>IFERROR(__xludf.DUMMYFUNCTION("""COMPUTED_VALUE"""),"Br")</f>
        <v>Br</v>
      </c>
      <c r="G1235" s="9" t="str">
        <f>IFERROR(__xludf.DUMMYFUNCTION("""COMPUTED_VALUE"""),"F")</f>
        <v>F</v>
      </c>
      <c r="H1235" s="9" t="str">
        <f>IFERROR(__xludf.DUMMYFUNCTION("""COMPUTED_VALUE"""),"FGM")</f>
        <v>FGM</v>
      </c>
      <c r="I1235" s="9" t="str">
        <f>IFERROR(__xludf.DUMMYFUNCTION("""COMPUTED_VALUE"""),"Tel")</f>
        <v>Tel</v>
      </c>
      <c r="J1235" s="9" t="str">
        <f>IFERROR(__xludf.DUMMYFUNCTION("""COMPUTED_VALUE"""),"Cx")</f>
        <v>Cx</v>
      </c>
      <c r="K1235" s="9" t="str">
        <f>IFERROR(__xludf.DUMMYFUNCTION("""COMPUTED_VALUE"""),"NCx")</f>
        <v>NCx</v>
      </c>
      <c r="L1235" s="9" t="str">
        <f>IFERROR(__xludf.DUMMYFUNCTION("""COMPUTED_VALUE"""),"TCx")</f>
        <v>TCx</v>
      </c>
      <c r="M1235" s="9" t="str">
        <f>IFERROR(__xludf.DUMMYFUNCTION("""COMPUTED_VALUE"""),"VLTC")</f>
        <v>VLTC</v>
      </c>
      <c r="N1235" s="9" t="str">
        <f>IFERROR(__xludf.DUMMYFUNCTION("""COMPUTED_VALUE"""),"ITC")</f>
        <v>ITC</v>
      </c>
      <c r="O1235" s="9" t="str">
        <f>IFERROR(__xludf.DUMMYFUNCTION("""COMPUTED_VALUE"""),"A20r")</f>
        <v>A20r</v>
      </c>
      <c r="P1235" s="9" t="str">
        <f>IFERROR(__xludf.DUMMYFUNCTION("""COMPUTED_VALUE"""),"A20r4")</f>
        <v>A20r4</v>
      </c>
      <c r="Q1235" s="9"/>
      <c r="R1235" s="9"/>
      <c r="S1235" s="42"/>
      <c r="T1235" s="42"/>
      <c r="U1235" s="42"/>
      <c r="V1235" s="42"/>
      <c r="W1235" s="42"/>
      <c r="X1235" s="42"/>
      <c r="Y1235" s="42"/>
      <c r="Z1235" s="42"/>
      <c r="AA1235" s="42"/>
      <c r="AB1235" s="42" t="str">
        <f>IFERROR(__xludf.DUMMYFUNCTION("""COMPUTED_VALUE"""),"allen institute")</f>
        <v>allen institute</v>
      </c>
      <c r="AC1235" s="42" t="str">
        <f>IFERROR(__xludf.DUMMYFUNCTION("""COMPUTED_VALUE"""),"DHBA")</f>
        <v>DHBA</v>
      </c>
      <c r="AD1235" s="42"/>
      <c r="AE1235" s="42"/>
      <c r="AF1235" s="9"/>
      <c r="AG1235" s="9"/>
      <c r="AH1235" s="42"/>
      <c r="AI1235" s="42"/>
      <c r="AJ1235" s="42"/>
      <c r="AK1235" s="42"/>
      <c r="AL1235" s="42"/>
      <c r="AM1235" s="42"/>
      <c r="AN1235" s="42"/>
      <c r="AO1235" s="63" t="str">
        <f>IFERROR(__xludf.DUMMYFUNCTION("IF(ISBLANK(A1235),,IF(ISBLANK(S1235), A1235&amp;"";"", TEXTJOIN(CHAR(10), TRUE, A1235&amp;"";"", ARRAYFORMULA(VLOOKUP(SPLIT(S1235, "";"" &amp; CHAR(10)), $A:$AO, 41, FALSE)))))"),"A20r4;")</f>
        <v>A20r4;</v>
      </c>
      <c r="AP1235" s="89"/>
    </row>
    <row r="1236">
      <c r="A1236" s="151" t="str">
        <f>IFERROR(__xludf.DUMMYFUNCTION("""COMPUTED_VALUE"""),"A20r5")</f>
        <v>A20r5</v>
      </c>
      <c r="B1236" s="42" t="str">
        <f>IFERROR(__xludf.DUMMYFUNCTION("""COMPUTED_VALUE"""),"DHBA")</f>
        <v>DHBA</v>
      </c>
      <c r="C1236" s="42" t="str">
        <f>IFERROR(__xludf.DUMMYFUNCTION("""COMPUTED_VALUE"""),"layer V of area 20r")</f>
        <v>layer V of area 20r</v>
      </c>
      <c r="D1236" s="42">
        <f>IFERROR(__xludf.DUMMYFUNCTION("""COMPUTED_VALUE"""),1169.0)</f>
        <v>1169</v>
      </c>
      <c r="E1236" s="39" t="str">
        <f>IFERROR(__xludf.DUMMYFUNCTION("""COMPUTED_VALUE"""),"layer V of area 20r")</f>
        <v>layer V of area 20r</v>
      </c>
      <c r="F1236" s="9" t="str">
        <f>IFERROR(__xludf.DUMMYFUNCTION("""COMPUTED_VALUE"""),"Br")</f>
        <v>Br</v>
      </c>
      <c r="G1236" s="9" t="str">
        <f>IFERROR(__xludf.DUMMYFUNCTION("""COMPUTED_VALUE"""),"F")</f>
        <v>F</v>
      </c>
      <c r="H1236" s="9" t="str">
        <f>IFERROR(__xludf.DUMMYFUNCTION("""COMPUTED_VALUE"""),"FGM")</f>
        <v>FGM</v>
      </c>
      <c r="I1236" s="9" t="str">
        <f>IFERROR(__xludf.DUMMYFUNCTION("""COMPUTED_VALUE"""),"Tel")</f>
        <v>Tel</v>
      </c>
      <c r="J1236" s="9" t="str">
        <f>IFERROR(__xludf.DUMMYFUNCTION("""COMPUTED_VALUE"""),"Cx")</f>
        <v>Cx</v>
      </c>
      <c r="K1236" s="9" t="str">
        <f>IFERROR(__xludf.DUMMYFUNCTION("""COMPUTED_VALUE"""),"NCx")</f>
        <v>NCx</v>
      </c>
      <c r="L1236" s="9" t="str">
        <f>IFERROR(__xludf.DUMMYFUNCTION("""COMPUTED_VALUE"""),"TCx")</f>
        <v>TCx</v>
      </c>
      <c r="M1236" s="9" t="str">
        <f>IFERROR(__xludf.DUMMYFUNCTION("""COMPUTED_VALUE"""),"VLTC")</f>
        <v>VLTC</v>
      </c>
      <c r="N1236" s="9" t="str">
        <f>IFERROR(__xludf.DUMMYFUNCTION("""COMPUTED_VALUE"""),"ITC")</f>
        <v>ITC</v>
      </c>
      <c r="O1236" s="9" t="str">
        <f>IFERROR(__xludf.DUMMYFUNCTION("""COMPUTED_VALUE"""),"A20r")</f>
        <v>A20r</v>
      </c>
      <c r="P1236" s="9" t="str">
        <f>IFERROR(__xludf.DUMMYFUNCTION("""COMPUTED_VALUE"""),"A20r5")</f>
        <v>A20r5</v>
      </c>
      <c r="Q1236" s="9"/>
      <c r="R1236" s="9"/>
      <c r="S1236" s="42"/>
      <c r="T1236" s="42"/>
      <c r="U1236" s="159"/>
      <c r="V1236" s="42"/>
      <c r="W1236" s="42"/>
      <c r="X1236" s="42"/>
      <c r="Y1236" s="42"/>
      <c r="Z1236" s="42"/>
      <c r="AA1236" s="42"/>
      <c r="AB1236" s="42" t="str">
        <f>IFERROR(__xludf.DUMMYFUNCTION("""COMPUTED_VALUE"""),"allen institute")</f>
        <v>allen institute</v>
      </c>
      <c r="AC1236" s="42" t="str">
        <f>IFERROR(__xludf.DUMMYFUNCTION("""COMPUTED_VALUE"""),"DHBA")</f>
        <v>DHBA</v>
      </c>
      <c r="AD1236" s="42"/>
      <c r="AE1236" s="42"/>
      <c r="AF1236" s="9"/>
      <c r="AG1236" s="9"/>
      <c r="AH1236" s="42"/>
      <c r="AI1236" s="42"/>
      <c r="AJ1236" s="42"/>
      <c r="AK1236" s="42"/>
      <c r="AL1236" s="42"/>
      <c r="AM1236" s="42"/>
      <c r="AN1236" s="42"/>
      <c r="AO1236" s="63" t="str">
        <f>IFERROR(__xludf.DUMMYFUNCTION("IF(ISBLANK(A1236),,IF(ISBLANK(S1236), A1236&amp;"";"", TEXTJOIN(CHAR(10), TRUE, A1236&amp;"";"", ARRAYFORMULA(VLOOKUP(SPLIT(S1236, "";"" &amp; CHAR(10)), $A:$AO, 41, FALSE)))))"),"A20r5;")</f>
        <v>A20r5;</v>
      </c>
      <c r="AP1236" s="89"/>
    </row>
    <row r="1237">
      <c r="A1237" s="151" t="str">
        <f>IFERROR(__xludf.DUMMYFUNCTION("""COMPUTED_VALUE"""),"A20r6")</f>
        <v>A20r6</v>
      </c>
      <c r="B1237" s="42" t="str">
        <f>IFERROR(__xludf.DUMMYFUNCTION("""COMPUTED_VALUE"""),"DHBA")</f>
        <v>DHBA</v>
      </c>
      <c r="C1237" s="42" t="str">
        <f>IFERROR(__xludf.DUMMYFUNCTION("""COMPUTED_VALUE"""),"layer VI of area 20r")</f>
        <v>layer VI of area 20r</v>
      </c>
      <c r="D1237" s="42">
        <f>IFERROR(__xludf.DUMMYFUNCTION("""COMPUTED_VALUE"""),1170.0)</f>
        <v>1170</v>
      </c>
      <c r="E1237" s="39" t="str">
        <f>IFERROR(__xludf.DUMMYFUNCTION("""COMPUTED_VALUE"""),"layer VI of area 20r")</f>
        <v>layer VI of area 20r</v>
      </c>
      <c r="F1237" s="9" t="str">
        <f>IFERROR(__xludf.DUMMYFUNCTION("""COMPUTED_VALUE"""),"Br")</f>
        <v>Br</v>
      </c>
      <c r="G1237" s="9" t="str">
        <f>IFERROR(__xludf.DUMMYFUNCTION("""COMPUTED_VALUE"""),"F")</f>
        <v>F</v>
      </c>
      <c r="H1237" s="9" t="str">
        <f>IFERROR(__xludf.DUMMYFUNCTION("""COMPUTED_VALUE"""),"FGM")</f>
        <v>FGM</v>
      </c>
      <c r="I1237" s="9" t="str">
        <f>IFERROR(__xludf.DUMMYFUNCTION("""COMPUTED_VALUE"""),"Tel")</f>
        <v>Tel</v>
      </c>
      <c r="J1237" s="9" t="str">
        <f>IFERROR(__xludf.DUMMYFUNCTION("""COMPUTED_VALUE"""),"Cx")</f>
        <v>Cx</v>
      </c>
      <c r="K1237" s="9" t="str">
        <f>IFERROR(__xludf.DUMMYFUNCTION("""COMPUTED_VALUE"""),"NCx")</f>
        <v>NCx</v>
      </c>
      <c r="L1237" s="9" t="str">
        <f>IFERROR(__xludf.DUMMYFUNCTION("""COMPUTED_VALUE"""),"TCx")</f>
        <v>TCx</v>
      </c>
      <c r="M1237" s="9" t="str">
        <f>IFERROR(__xludf.DUMMYFUNCTION("""COMPUTED_VALUE"""),"VLTC")</f>
        <v>VLTC</v>
      </c>
      <c r="N1237" s="9" t="str">
        <f>IFERROR(__xludf.DUMMYFUNCTION("""COMPUTED_VALUE"""),"ITC")</f>
        <v>ITC</v>
      </c>
      <c r="O1237" s="9" t="str">
        <f>IFERROR(__xludf.DUMMYFUNCTION("""COMPUTED_VALUE"""),"A20r")</f>
        <v>A20r</v>
      </c>
      <c r="P1237" s="9" t="str">
        <f>IFERROR(__xludf.DUMMYFUNCTION("""COMPUTED_VALUE"""),"A20r6")</f>
        <v>A20r6</v>
      </c>
      <c r="Q1237" s="9"/>
      <c r="R1237" s="9"/>
      <c r="S1237" s="42"/>
      <c r="T1237" s="42"/>
      <c r="U1237" s="42"/>
      <c r="V1237" s="42"/>
      <c r="W1237" s="42"/>
      <c r="X1237" s="42"/>
      <c r="Y1237" s="42"/>
      <c r="Z1237" s="42"/>
      <c r="AA1237" s="42"/>
      <c r="AB1237" s="42" t="str">
        <f>IFERROR(__xludf.DUMMYFUNCTION("""COMPUTED_VALUE"""),"allen institute")</f>
        <v>allen institute</v>
      </c>
      <c r="AC1237" s="42" t="str">
        <f>IFERROR(__xludf.DUMMYFUNCTION("""COMPUTED_VALUE"""),"DHBA")</f>
        <v>DHBA</v>
      </c>
      <c r="AD1237" s="42"/>
      <c r="AE1237" s="42"/>
      <c r="AF1237" s="9"/>
      <c r="AG1237" s="9"/>
      <c r="AH1237" s="42"/>
      <c r="AI1237" s="42"/>
      <c r="AJ1237" s="42"/>
      <c r="AK1237" s="42"/>
      <c r="AL1237" s="42"/>
      <c r="AM1237" s="42"/>
      <c r="AN1237" s="42"/>
      <c r="AO1237" s="63" t="str">
        <f>IFERROR(__xludf.DUMMYFUNCTION("IF(ISBLANK(A1237),,IF(ISBLANK(S1237), A1237&amp;"";"", TEXTJOIN(CHAR(10), TRUE, A1237&amp;"";"", ARRAYFORMULA(VLOOKUP(SPLIT(S1237, "";"" &amp; CHAR(10)), $A:$AO, 41, FALSE)))))"),"A20r6;")</f>
        <v>A20r6;</v>
      </c>
      <c r="AP1237" s="89"/>
    </row>
    <row r="1238">
      <c r="A1238" s="151" t="str">
        <f>IFERROR(__xludf.DUMMYFUNCTION("""COMPUTED_VALUE"""),"A20i")</f>
        <v>A20i</v>
      </c>
      <c r="B1238" s="42" t="str">
        <f>IFERROR(__xludf.DUMMYFUNCTION("""COMPUTED_VALUE"""),"DHBA")</f>
        <v>DHBA</v>
      </c>
      <c r="C1238" s="42" t="str">
        <f>IFERROR(__xludf.DUMMYFUNCTION("""COMPUTED_VALUE"""),"intermediate subdivision of area 20")</f>
        <v>intermediate subdivision of area 20</v>
      </c>
      <c r="D1238" s="42">
        <f>IFERROR(__xludf.DUMMYFUNCTION("""COMPUTED_VALUE"""),1171.0)</f>
        <v>1171</v>
      </c>
      <c r="E1238" s="39" t="str">
        <f>IFERROR(__xludf.DUMMYFUNCTION("""COMPUTED_VALUE"""),"intermediate subdivision of area 20")</f>
        <v>intermediate subdivision of area 20</v>
      </c>
      <c r="F1238" s="9" t="str">
        <f>IFERROR(__xludf.DUMMYFUNCTION("""COMPUTED_VALUE"""),"Br")</f>
        <v>Br</v>
      </c>
      <c r="G1238" s="9" t="str">
        <f>IFERROR(__xludf.DUMMYFUNCTION("""COMPUTED_VALUE"""),"F")</f>
        <v>F</v>
      </c>
      <c r="H1238" s="9" t="str">
        <f>IFERROR(__xludf.DUMMYFUNCTION("""COMPUTED_VALUE"""),"FGM")</f>
        <v>FGM</v>
      </c>
      <c r="I1238" s="9" t="str">
        <f>IFERROR(__xludf.DUMMYFUNCTION("""COMPUTED_VALUE"""),"Tel")</f>
        <v>Tel</v>
      </c>
      <c r="J1238" s="9" t="str">
        <f>IFERROR(__xludf.DUMMYFUNCTION("""COMPUTED_VALUE"""),"Cx")</f>
        <v>Cx</v>
      </c>
      <c r="K1238" s="9" t="str">
        <f>IFERROR(__xludf.DUMMYFUNCTION("""COMPUTED_VALUE"""),"NCx")</f>
        <v>NCx</v>
      </c>
      <c r="L1238" s="9" t="str">
        <f>IFERROR(__xludf.DUMMYFUNCTION("""COMPUTED_VALUE"""),"TCx")</f>
        <v>TCx</v>
      </c>
      <c r="M1238" s="9" t="str">
        <f>IFERROR(__xludf.DUMMYFUNCTION("""COMPUTED_VALUE"""),"VLTC")</f>
        <v>VLTC</v>
      </c>
      <c r="N1238" s="9" t="str">
        <f>IFERROR(__xludf.DUMMYFUNCTION("""COMPUTED_VALUE"""),"ITC")</f>
        <v>ITC</v>
      </c>
      <c r="O1238" s="9" t="str">
        <f>IFERROR(__xludf.DUMMYFUNCTION("""COMPUTED_VALUE"""),"A20i")</f>
        <v>A20i</v>
      </c>
      <c r="P1238" s="9"/>
      <c r="Q1238" s="9"/>
      <c r="R1238" s="9"/>
      <c r="S1238" s="42" t="str">
        <f>IFERROR(__xludf.DUMMYFUNCTION("""COMPUTED_VALUE"""),"A20i1;
A20i2;
A20i3;
A20i4;
A20i5;
A20i6")</f>
        <v>A20i1;
A20i2;
A20i3;
A20i4;
A20i5;
A20i6</v>
      </c>
      <c r="T1238" s="42"/>
      <c r="U1238" s="159" t="b">
        <f>IFERROR(__xludf.DUMMYFUNCTION("""COMPUTED_VALUE"""),FALSE)</f>
        <v>0</v>
      </c>
      <c r="V1238" s="42"/>
      <c r="W1238" s="42"/>
      <c r="X1238" s="42"/>
      <c r="Y1238" s="42"/>
      <c r="Z1238" s="42"/>
      <c r="AA1238" s="42"/>
      <c r="AB1238" s="42" t="str">
        <f>IFERROR(__xludf.DUMMYFUNCTION("""COMPUTED_VALUE"""),"allen institute")</f>
        <v>allen institute</v>
      </c>
      <c r="AC1238" s="42" t="str">
        <f>IFERROR(__xludf.DUMMYFUNCTION("""COMPUTED_VALUE"""),"DHBA")</f>
        <v>DHBA</v>
      </c>
      <c r="AD1238" s="42"/>
      <c r="AE1238" s="42"/>
      <c r="AF1238" s="9"/>
      <c r="AG1238" s="9"/>
      <c r="AH1238" s="42"/>
      <c r="AI1238" s="42"/>
      <c r="AJ1238" s="42"/>
      <c r="AK1238" s="42"/>
      <c r="AL1238" s="42"/>
      <c r="AM1238" s="42"/>
      <c r="AN1238" s="42"/>
      <c r="AO1238" s="63" t="str">
        <f>IFERROR(__xludf.DUMMYFUNCTION("IF(ISBLANK(A1238),,IF(ISBLANK(S1238), A1238&amp;"";"", TEXTJOIN(CHAR(10), TRUE, A1238&amp;"";"", ARRAYFORMULA(VLOOKUP(SPLIT(S1238, "";"" &amp; CHAR(10)), $A:$AO, 41, FALSE)))))"),"A20i;
A20i1;
A20i2;
A20i3;
A20i4;
A20i5;
A20i6;")</f>
        <v>A20i;
A20i1;
A20i2;
A20i3;
A20i4;
A20i5;
A20i6;</v>
      </c>
      <c r="AP1238" s="89"/>
    </row>
    <row r="1239">
      <c r="A1239" s="151" t="str">
        <f>IFERROR(__xludf.DUMMYFUNCTION("""COMPUTED_VALUE"""),"A20i1")</f>
        <v>A20i1</v>
      </c>
      <c r="B1239" s="42" t="str">
        <f>IFERROR(__xludf.DUMMYFUNCTION("""COMPUTED_VALUE"""),"DHBA")</f>
        <v>DHBA</v>
      </c>
      <c r="C1239" s="42" t="str">
        <f>IFERROR(__xludf.DUMMYFUNCTION("""COMPUTED_VALUE"""),"layer I of area 20i")</f>
        <v>layer I of area 20i</v>
      </c>
      <c r="D1239" s="42">
        <f>IFERROR(__xludf.DUMMYFUNCTION("""COMPUTED_VALUE"""),1172.0)</f>
        <v>1172</v>
      </c>
      <c r="E1239" s="39" t="str">
        <f>IFERROR(__xludf.DUMMYFUNCTION("""COMPUTED_VALUE"""),"layer I of area 20i")</f>
        <v>layer I of area 20i</v>
      </c>
      <c r="F1239" s="9" t="str">
        <f>IFERROR(__xludf.DUMMYFUNCTION("""COMPUTED_VALUE"""),"Br")</f>
        <v>Br</v>
      </c>
      <c r="G1239" s="9" t="str">
        <f>IFERROR(__xludf.DUMMYFUNCTION("""COMPUTED_VALUE"""),"F")</f>
        <v>F</v>
      </c>
      <c r="H1239" s="9" t="str">
        <f>IFERROR(__xludf.DUMMYFUNCTION("""COMPUTED_VALUE"""),"FGM")</f>
        <v>FGM</v>
      </c>
      <c r="I1239" s="9" t="str">
        <f>IFERROR(__xludf.DUMMYFUNCTION("""COMPUTED_VALUE"""),"Tel")</f>
        <v>Tel</v>
      </c>
      <c r="J1239" s="9" t="str">
        <f>IFERROR(__xludf.DUMMYFUNCTION("""COMPUTED_VALUE"""),"Cx")</f>
        <v>Cx</v>
      </c>
      <c r="K1239" s="9" t="str">
        <f>IFERROR(__xludf.DUMMYFUNCTION("""COMPUTED_VALUE"""),"NCx")</f>
        <v>NCx</v>
      </c>
      <c r="L1239" s="9" t="str">
        <f>IFERROR(__xludf.DUMMYFUNCTION("""COMPUTED_VALUE"""),"TCx")</f>
        <v>TCx</v>
      </c>
      <c r="M1239" s="9" t="str">
        <f>IFERROR(__xludf.DUMMYFUNCTION("""COMPUTED_VALUE"""),"VLTC")</f>
        <v>VLTC</v>
      </c>
      <c r="N1239" s="9" t="str">
        <f>IFERROR(__xludf.DUMMYFUNCTION("""COMPUTED_VALUE"""),"ITC")</f>
        <v>ITC</v>
      </c>
      <c r="O1239" s="9" t="str">
        <f>IFERROR(__xludf.DUMMYFUNCTION("""COMPUTED_VALUE"""),"A20i")</f>
        <v>A20i</v>
      </c>
      <c r="P1239" s="9" t="str">
        <f>IFERROR(__xludf.DUMMYFUNCTION("""COMPUTED_VALUE"""),"A20i1")</f>
        <v>A20i1</v>
      </c>
      <c r="Q1239" s="9"/>
      <c r="R1239" s="9"/>
      <c r="S1239" s="42"/>
      <c r="T1239" s="42"/>
      <c r="U1239" s="42"/>
      <c r="V1239" s="42"/>
      <c r="W1239" s="42"/>
      <c r="X1239" s="42"/>
      <c r="Y1239" s="42"/>
      <c r="Z1239" s="42"/>
      <c r="AA1239" s="42"/>
      <c r="AB1239" s="42" t="str">
        <f>IFERROR(__xludf.DUMMYFUNCTION("""COMPUTED_VALUE"""),"allen institute")</f>
        <v>allen institute</v>
      </c>
      <c r="AC1239" s="42" t="str">
        <f>IFERROR(__xludf.DUMMYFUNCTION("""COMPUTED_VALUE"""),"DHBA")</f>
        <v>DHBA</v>
      </c>
      <c r="AD1239" s="42"/>
      <c r="AE1239" s="42"/>
      <c r="AF1239" s="9"/>
      <c r="AG1239" s="9"/>
      <c r="AH1239" s="42"/>
      <c r="AI1239" s="42"/>
      <c r="AJ1239" s="42"/>
      <c r="AK1239" s="42"/>
      <c r="AL1239" s="42"/>
      <c r="AM1239" s="42"/>
      <c r="AN1239" s="42"/>
      <c r="AO1239" s="63" t="str">
        <f>IFERROR(__xludf.DUMMYFUNCTION("IF(ISBLANK(A1239),,IF(ISBLANK(S1239), A1239&amp;"";"", TEXTJOIN(CHAR(10), TRUE, A1239&amp;"";"", ARRAYFORMULA(VLOOKUP(SPLIT(S1239, "";"" &amp; CHAR(10)), $A:$AO, 41, FALSE)))))"),"A20i1;")</f>
        <v>A20i1;</v>
      </c>
      <c r="AP1239" s="89"/>
    </row>
    <row r="1240">
      <c r="A1240" s="151" t="str">
        <f>IFERROR(__xludf.DUMMYFUNCTION("""COMPUTED_VALUE"""),"A20i2")</f>
        <v>A20i2</v>
      </c>
      <c r="B1240" s="42" t="str">
        <f>IFERROR(__xludf.DUMMYFUNCTION("""COMPUTED_VALUE"""),"DHBA")</f>
        <v>DHBA</v>
      </c>
      <c r="C1240" s="42" t="str">
        <f>IFERROR(__xludf.DUMMYFUNCTION("""COMPUTED_VALUE"""),"layer II of area 20i")</f>
        <v>layer II of area 20i</v>
      </c>
      <c r="D1240" s="42">
        <f>IFERROR(__xludf.DUMMYFUNCTION("""COMPUTED_VALUE"""),1173.0)</f>
        <v>1173</v>
      </c>
      <c r="E1240" s="39" t="str">
        <f>IFERROR(__xludf.DUMMYFUNCTION("""COMPUTED_VALUE"""),"layer II of area 20i")</f>
        <v>layer II of area 20i</v>
      </c>
      <c r="F1240" s="9" t="str">
        <f>IFERROR(__xludf.DUMMYFUNCTION("""COMPUTED_VALUE"""),"Br")</f>
        <v>Br</v>
      </c>
      <c r="G1240" s="9" t="str">
        <f>IFERROR(__xludf.DUMMYFUNCTION("""COMPUTED_VALUE"""),"F")</f>
        <v>F</v>
      </c>
      <c r="H1240" s="9" t="str">
        <f>IFERROR(__xludf.DUMMYFUNCTION("""COMPUTED_VALUE"""),"FGM")</f>
        <v>FGM</v>
      </c>
      <c r="I1240" s="9" t="str">
        <f>IFERROR(__xludf.DUMMYFUNCTION("""COMPUTED_VALUE"""),"Tel")</f>
        <v>Tel</v>
      </c>
      <c r="J1240" s="9" t="str">
        <f>IFERROR(__xludf.DUMMYFUNCTION("""COMPUTED_VALUE"""),"Cx")</f>
        <v>Cx</v>
      </c>
      <c r="K1240" s="9" t="str">
        <f>IFERROR(__xludf.DUMMYFUNCTION("""COMPUTED_VALUE"""),"NCx")</f>
        <v>NCx</v>
      </c>
      <c r="L1240" s="9" t="str">
        <f>IFERROR(__xludf.DUMMYFUNCTION("""COMPUTED_VALUE"""),"TCx")</f>
        <v>TCx</v>
      </c>
      <c r="M1240" s="9" t="str">
        <f>IFERROR(__xludf.DUMMYFUNCTION("""COMPUTED_VALUE"""),"VLTC")</f>
        <v>VLTC</v>
      </c>
      <c r="N1240" s="9" t="str">
        <f>IFERROR(__xludf.DUMMYFUNCTION("""COMPUTED_VALUE"""),"ITC")</f>
        <v>ITC</v>
      </c>
      <c r="O1240" s="9" t="str">
        <f>IFERROR(__xludf.DUMMYFUNCTION("""COMPUTED_VALUE"""),"A20i")</f>
        <v>A20i</v>
      </c>
      <c r="P1240" s="9" t="str">
        <f>IFERROR(__xludf.DUMMYFUNCTION("""COMPUTED_VALUE"""),"A20i2")</f>
        <v>A20i2</v>
      </c>
      <c r="Q1240" s="9"/>
      <c r="R1240" s="9"/>
      <c r="S1240" s="42"/>
      <c r="T1240" s="42"/>
      <c r="U1240" s="42"/>
      <c r="V1240" s="42"/>
      <c r="W1240" s="42"/>
      <c r="X1240" s="42"/>
      <c r="Y1240" s="42"/>
      <c r="Z1240" s="42"/>
      <c r="AA1240" s="42"/>
      <c r="AB1240" s="42" t="str">
        <f>IFERROR(__xludf.DUMMYFUNCTION("""COMPUTED_VALUE"""),"allen institute")</f>
        <v>allen institute</v>
      </c>
      <c r="AC1240" s="42" t="str">
        <f>IFERROR(__xludf.DUMMYFUNCTION("""COMPUTED_VALUE"""),"DHBA")</f>
        <v>DHBA</v>
      </c>
      <c r="AD1240" s="42"/>
      <c r="AE1240" s="42"/>
      <c r="AF1240" s="9"/>
      <c r="AG1240" s="9"/>
      <c r="AH1240" s="42"/>
      <c r="AI1240" s="42"/>
      <c r="AJ1240" s="42"/>
      <c r="AK1240" s="42"/>
      <c r="AL1240" s="42"/>
      <c r="AM1240" s="42"/>
      <c r="AN1240" s="42"/>
      <c r="AO1240" s="63" t="str">
        <f>IFERROR(__xludf.DUMMYFUNCTION("IF(ISBLANK(A1240),,IF(ISBLANK(S1240), A1240&amp;"";"", TEXTJOIN(CHAR(10), TRUE, A1240&amp;"";"", ARRAYFORMULA(VLOOKUP(SPLIT(S1240, "";"" &amp; CHAR(10)), $A:$AO, 41, FALSE)))))"),"A20i2;")</f>
        <v>A20i2;</v>
      </c>
      <c r="AP1240" s="89"/>
    </row>
    <row r="1241">
      <c r="A1241" s="151" t="str">
        <f>IFERROR(__xludf.DUMMYFUNCTION("""COMPUTED_VALUE"""),"A20i3")</f>
        <v>A20i3</v>
      </c>
      <c r="B1241" s="42" t="str">
        <f>IFERROR(__xludf.DUMMYFUNCTION("""COMPUTED_VALUE"""),"DHBA")</f>
        <v>DHBA</v>
      </c>
      <c r="C1241" s="42" t="str">
        <f>IFERROR(__xludf.DUMMYFUNCTION("""COMPUTED_VALUE"""),"layer III of area 20i")</f>
        <v>layer III of area 20i</v>
      </c>
      <c r="D1241" s="42">
        <f>IFERROR(__xludf.DUMMYFUNCTION("""COMPUTED_VALUE"""),1174.0)</f>
        <v>1174</v>
      </c>
      <c r="E1241" s="39" t="str">
        <f>IFERROR(__xludf.DUMMYFUNCTION("""COMPUTED_VALUE"""),"layer III of area 20i")</f>
        <v>layer III of area 20i</v>
      </c>
      <c r="F1241" s="9" t="str">
        <f>IFERROR(__xludf.DUMMYFUNCTION("""COMPUTED_VALUE"""),"Br")</f>
        <v>Br</v>
      </c>
      <c r="G1241" s="9" t="str">
        <f>IFERROR(__xludf.DUMMYFUNCTION("""COMPUTED_VALUE"""),"F")</f>
        <v>F</v>
      </c>
      <c r="H1241" s="9" t="str">
        <f>IFERROR(__xludf.DUMMYFUNCTION("""COMPUTED_VALUE"""),"FGM")</f>
        <v>FGM</v>
      </c>
      <c r="I1241" s="9" t="str">
        <f>IFERROR(__xludf.DUMMYFUNCTION("""COMPUTED_VALUE"""),"Tel")</f>
        <v>Tel</v>
      </c>
      <c r="J1241" s="9" t="str">
        <f>IFERROR(__xludf.DUMMYFUNCTION("""COMPUTED_VALUE"""),"Cx")</f>
        <v>Cx</v>
      </c>
      <c r="K1241" s="9" t="str">
        <f>IFERROR(__xludf.DUMMYFUNCTION("""COMPUTED_VALUE"""),"NCx")</f>
        <v>NCx</v>
      </c>
      <c r="L1241" s="9" t="str">
        <f>IFERROR(__xludf.DUMMYFUNCTION("""COMPUTED_VALUE"""),"TCx")</f>
        <v>TCx</v>
      </c>
      <c r="M1241" s="9" t="str">
        <f>IFERROR(__xludf.DUMMYFUNCTION("""COMPUTED_VALUE"""),"VLTC")</f>
        <v>VLTC</v>
      </c>
      <c r="N1241" s="9" t="str">
        <f>IFERROR(__xludf.DUMMYFUNCTION("""COMPUTED_VALUE"""),"ITC")</f>
        <v>ITC</v>
      </c>
      <c r="O1241" s="9" t="str">
        <f>IFERROR(__xludf.DUMMYFUNCTION("""COMPUTED_VALUE"""),"A20i")</f>
        <v>A20i</v>
      </c>
      <c r="P1241" s="9" t="str">
        <f>IFERROR(__xludf.DUMMYFUNCTION("""COMPUTED_VALUE"""),"A20i3")</f>
        <v>A20i3</v>
      </c>
      <c r="Q1241" s="9"/>
      <c r="R1241" s="9"/>
      <c r="S1241" s="42"/>
      <c r="T1241" s="42"/>
      <c r="U1241" s="42"/>
      <c r="V1241" s="42"/>
      <c r="W1241" s="42"/>
      <c r="X1241" s="42"/>
      <c r="Y1241" s="42"/>
      <c r="Z1241" s="42"/>
      <c r="AA1241" s="42"/>
      <c r="AB1241" s="42" t="str">
        <f>IFERROR(__xludf.DUMMYFUNCTION("""COMPUTED_VALUE"""),"allen institute")</f>
        <v>allen institute</v>
      </c>
      <c r="AC1241" s="42" t="str">
        <f>IFERROR(__xludf.DUMMYFUNCTION("""COMPUTED_VALUE"""),"DHBA")</f>
        <v>DHBA</v>
      </c>
      <c r="AD1241" s="42"/>
      <c r="AE1241" s="42"/>
      <c r="AF1241" s="9"/>
      <c r="AG1241" s="9"/>
      <c r="AH1241" s="42"/>
      <c r="AI1241" s="42"/>
      <c r="AJ1241" s="42"/>
      <c r="AK1241" s="42"/>
      <c r="AL1241" s="42"/>
      <c r="AM1241" s="42"/>
      <c r="AN1241" s="42"/>
      <c r="AO1241" s="63" t="str">
        <f>IFERROR(__xludf.DUMMYFUNCTION("IF(ISBLANK(A1241),,IF(ISBLANK(S1241), A1241&amp;"";"", TEXTJOIN(CHAR(10), TRUE, A1241&amp;"";"", ARRAYFORMULA(VLOOKUP(SPLIT(S1241, "";"" &amp; CHAR(10)), $A:$AO, 41, FALSE)))))"),"A20i3;")</f>
        <v>A20i3;</v>
      </c>
      <c r="AP1241" s="89"/>
    </row>
    <row r="1242">
      <c r="A1242" s="151" t="str">
        <f>IFERROR(__xludf.DUMMYFUNCTION("""COMPUTED_VALUE"""),"A20i4")</f>
        <v>A20i4</v>
      </c>
      <c r="B1242" s="42" t="str">
        <f>IFERROR(__xludf.DUMMYFUNCTION("""COMPUTED_VALUE"""),"DHBA")</f>
        <v>DHBA</v>
      </c>
      <c r="C1242" s="42" t="str">
        <f>IFERROR(__xludf.DUMMYFUNCTION("""COMPUTED_VALUE"""),"layer IV of area 20i")</f>
        <v>layer IV of area 20i</v>
      </c>
      <c r="D1242" s="42">
        <f>IFERROR(__xludf.DUMMYFUNCTION("""COMPUTED_VALUE"""),1175.0)</f>
        <v>1175</v>
      </c>
      <c r="E1242" s="39" t="str">
        <f>IFERROR(__xludf.DUMMYFUNCTION("""COMPUTED_VALUE"""),"layer IV of area 20i")</f>
        <v>layer IV of area 20i</v>
      </c>
      <c r="F1242" s="9" t="str">
        <f>IFERROR(__xludf.DUMMYFUNCTION("""COMPUTED_VALUE"""),"Br")</f>
        <v>Br</v>
      </c>
      <c r="G1242" s="9" t="str">
        <f>IFERROR(__xludf.DUMMYFUNCTION("""COMPUTED_VALUE"""),"F")</f>
        <v>F</v>
      </c>
      <c r="H1242" s="9" t="str">
        <f>IFERROR(__xludf.DUMMYFUNCTION("""COMPUTED_VALUE"""),"FGM")</f>
        <v>FGM</v>
      </c>
      <c r="I1242" s="9" t="str">
        <f>IFERROR(__xludf.DUMMYFUNCTION("""COMPUTED_VALUE"""),"Tel")</f>
        <v>Tel</v>
      </c>
      <c r="J1242" s="9" t="str">
        <f>IFERROR(__xludf.DUMMYFUNCTION("""COMPUTED_VALUE"""),"Cx")</f>
        <v>Cx</v>
      </c>
      <c r="K1242" s="9" t="str">
        <f>IFERROR(__xludf.DUMMYFUNCTION("""COMPUTED_VALUE"""),"NCx")</f>
        <v>NCx</v>
      </c>
      <c r="L1242" s="9" t="str">
        <f>IFERROR(__xludf.DUMMYFUNCTION("""COMPUTED_VALUE"""),"TCx")</f>
        <v>TCx</v>
      </c>
      <c r="M1242" s="9" t="str">
        <f>IFERROR(__xludf.DUMMYFUNCTION("""COMPUTED_VALUE"""),"VLTC")</f>
        <v>VLTC</v>
      </c>
      <c r="N1242" s="9" t="str">
        <f>IFERROR(__xludf.DUMMYFUNCTION("""COMPUTED_VALUE"""),"ITC")</f>
        <v>ITC</v>
      </c>
      <c r="O1242" s="9" t="str">
        <f>IFERROR(__xludf.DUMMYFUNCTION("""COMPUTED_VALUE"""),"A20i")</f>
        <v>A20i</v>
      </c>
      <c r="P1242" s="9" t="str">
        <f>IFERROR(__xludf.DUMMYFUNCTION("""COMPUTED_VALUE"""),"A20i4")</f>
        <v>A20i4</v>
      </c>
      <c r="Q1242" s="9"/>
      <c r="R1242" s="9"/>
      <c r="S1242" s="42"/>
      <c r="T1242" s="42"/>
      <c r="U1242" s="42"/>
      <c r="V1242" s="42"/>
      <c r="W1242" s="42"/>
      <c r="X1242" s="42"/>
      <c r="Y1242" s="42"/>
      <c r="Z1242" s="42"/>
      <c r="AA1242" s="42"/>
      <c r="AB1242" s="42" t="str">
        <f>IFERROR(__xludf.DUMMYFUNCTION("""COMPUTED_VALUE"""),"allen institute")</f>
        <v>allen institute</v>
      </c>
      <c r="AC1242" s="42" t="str">
        <f>IFERROR(__xludf.DUMMYFUNCTION("""COMPUTED_VALUE"""),"DHBA")</f>
        <v>DHBA</v>
      </c>
      <c r="AD1242" s="42"/>
      <c r="AE1242" s="42"/>
      <c r="AF1242" s="9"/>
      <c r="AG1242" s="9"/>
      <c r="AH1242" s="42"/>
      <c r="AI1242" s="42"/>
      <c r="AJ1242" s="42"/>
      <c r="AK1242" s="42"/>
      <c r="AL1242" s="42"/>
      <c r="AM1242" s="42"/>
      <c r="AN1242" s="42"/>
      <c r="AO1242" s="63" t="str">
        <f>IFERROR(__xludf.DUMMYFUNCTION("IF(ISBLANK(A1242),,IF(ISBLANK(S1242), A1242&amp;"";"", TEXTJOIN(CHAR(10), TRUE, A1242&amp;"";"", ARRAYFORMULA(VLOOKUP(SPLIT(S1242, "";"" &amp; CHAR(10)), $A:$AO, 41, FALSE)))))"),"A20i4;")</f>
        <v>A20i4;</v>
      </c>
      <c r="AP1242" s="89"/>
    </row>
    <row r="1243">
      <c r="A1243" s="151" t="str">
        <f>IFERROR(__xludf.DUMMYFUNCTION("""COMPUTED_VALUE"""),"A20i5")</f>
        <v>A20i5</v>
      </c>
      <c r="B1243" s="42" t="str">
        <f>IFERROR(__xludf.DUMMYFUNCTION("""COMPUTED_VALUE"""),"DHBA")</f>
        <v>DHBA</v>
      </c>
      <c r="C1243" s="42" t="str">
        <f>IFERROR(__xludf.DUMMYFUNCTION("""COMPUTED_VALUE"""),"layer V of area 20i")</f>
        <v>layer V of area 20i</v>
      </c>
      <c r="D1243" s="42">
        <f>IFERROR(__xludf.DUMMYFUNCTION("""COMPUTED_VALUE"""),1176.0)</f>
        <v>1176</v>
      </c>
      <c r="E1243" s="39" t="str">
        <f>IFERROR(__xludf.DUMMYFUNCTION("""COMPUTED_VALUE"""),"layer V of area 20i")</f>
        <v>layer V of area 20i</v>
      </c>
      <c r="F1243" s="9" t="str">
        <f>IFERROR(__xludf.DUMMYFUNCTION("""COMPUTED_VALUE"""),"Br")</f>
        <v>Br</v>
      </c>
      <c r="G1243" s="9" t="str">
        <f>IFERROR(__xludf.DUMMYFUNCTION("""COMPUTED_VALUE"""),"F")</f>
        <v>F</v>
      </c>
      <c r="H1243" s="9" t="str">
        <f>IFERROR(__xludf.DUMMYFUNCTION("""COMPUTED_VALUE"""),"FGM")</f>
        <v>FGM</v>
      </c>
      <c r="I1243" s="9" t="str">
        <f>IFERROR(__xludf.DUMMYFUNCTION("""COMPUTED_VALUE"""),"Tel")</f>
        <v>Tel</v>
      </c>
      <c r="J1243" s="9" t="str">
        <f>IFERROR(__xludf.DUMMYFUNCTION("""COMPUTED_VALUE"""),"Cx")</f>
        <v>Cx</v>
      </c>
      <c r="K1243" s="9" t="str">
        <f>IFERROR(__xludf.DUMMYFUNCTION("""COMPUTED_VALUE"""),"NCx")</f>
        <v>NCx</v>
      </c>
      <c r="L1243" s="9" t="str">
        <f>IFERROR(__xludf.DUMMYFUNCTION("""COMPUTED_VALUE"""),"TCx")</f>
        <v>TCx</v>
      </c>
      <c r="M1243" s="9" t="str">
        <f>IFERROR(__xludf.DUMMYFUNCTION("""COMPUTED_VALUE"""),"VLTC")</f>
        <v>VLTC</v>
      </c>
      <c r="N1243" s="9" t="str">
        <f>IFERROR(__xludf.DUMMYFUNCTION("""COMPUTED_VALUE"""),"ITC")</f>
        <v>ITC</v>
      </c>
      <c r="O1243" s="9" t="str">
        <f>IFERROR(__xludf.DUMMYFUNCTION("""COMPUTED_VALUE"""),"A20i")</f>
        <v>A20i</v>
      </c>
      <c r="P1243" s="9" t="str">
        <f>IFERROR(__xludf.DUMMYFUNCTION("""COMPUTED_VALUE"""),"A20i5")</f>
        <v>A20i5</v>
      </c>
      <c r="Q1243" s="9"/>
      <c r="R1243" s="9"/>
      <c r="S1243" s="42"/>
      <c r="T1243" s="42"/>
      <c r="U1243" s="42"/>
      <c r="V1243" s="42"/>
      <c r="W1243" s="42"/>
      <c r="X1243" s="42"/>
      <c r="Y1243" s="42"/>
      <c r="Z1243" s="42"/>
      <c r="AA1243" s="42"/>
      <c r="AB1243" s="42" t="str">
        <f>IFERROR(__xludf.DUMMYFUNCTION("""COMPUTED_VALUE"""),"allen institute")</f>
        <v>allen institute</v>
      </c>
      <c r="AC1243" s="42" t="str">
        <f>IFERROR(__xludf.DUMMYFUNCTION("""COMPUTED_VALUE"""),"DHBA")</f>
        <v>DHBA</v>
      </c>
      <c r="AD1243" s="42"/>
      <c r="AE1243" s="42"/>
      <c r="AF1243" s="9"/>
      <c r="AG1243" s="9"/>
      <c r="AH1243" s="42"/>
      <c r="AI1243" s="42"/>
      <c r="AJ1243" s="42"/>
      <c r="AK1243" s="42"/>
      <c r="AL1243" s="42"/>
      <c r="AM1243" s="42"/>
      <c r="AN1243" s="42"/>
      <c r="AO1243" s="63" t="str">
        <f>IFERROR(__xludf.DUMMYFUNCTION("IF(ISBLANK(A1243),,IF(ISBLANK(S1243), A1243&amp;"";"", TEXTJOIN(CHAR(10), TRUE, A1243&amp;"";"", ARRAYFORMULA(VLOOKUP(SPLIT(S1243, "";"" &amp; CHAR(10)), $A:$AO, 41, FALSE)))))"),"A20i5;")</f>
        <v>A20i5;</v>
      </c>
      <c r="AP1243" s="89"/>
    </row>
    <row r="1244">
      <c r="A1244" s="151" t="str">
        <f>IFERROR(__xludf.DUMMYFUNCTION("""COMPUTED_VALUE"""),"A20i6")</f>
        <v>A20i6</v>
      </c>
      <c r="B1244" s="42" t="str">
        <f>IFERROR(__xludf.DUMMYFUNCTION("""COMPUTED_VALUE"""),"DHBA")</f>
        <v>DHBA</v>
      </c>
      <c r="C1244" s="42" t="str">
        <f>IFERROR(__xludf.DUMMYFUNCTION("""COMPUTED_VALUE"""),"layer VI of area 20i")</f>
        <v>layer VI of area 20i</v>
      </c>
      <c r="D1244" s="42">
        <f>IFERROR(__xludf.DUMMYFUNCTION("""COMPUTED_VALUE"""),1177.0)</f>
        <v>1177</v>
      </c>
      <c r="E1244" s="39" t="str">
        <f>IFERROR(__xludf.DUMMYFUNCTION("""COMPUTED_VALUE"""),"layer VI of area 20i")</f>
        <v>layer VI of area 20i</v>
      </c>
      <c r="F1244" s="9" t="str">
        <f>IFERROR(__xludf.DUMMYFUNCTION("""COMPUTED_VALUE"""),"Br")</f>
        <v>Br</v>
      </c>
      <c r="G1244" s="9" t="str">
        <f>IFERROR(__xludf.DUMMYFUNCTION("""COMPUTED_VALUE"""),"F")</f>
        <v>F</v>
      </c>
      <c r="H1244" s="9" t="str">
        <f>IFERROR(__xludf.DUMMYFUNCTION("""COMPUTED_VALUE"""),"FGM")</f>
        <v>FGM</v>
      </c>
      <c r="I1244" s="9" t="str">
        <f>IFERROR(__xludf.DUMMYFUNCTION("""COMPUTED_VALUE"""),"Tel")</f>
        <v>Tel</v>
      </c>
      <c r="J1244" s="9" t="str">
        <f>IFERROR(__xludf.DUMMYFUNCTION("""COMPUTED_VALUE"""),"Cx")</f>
        <v>Cx</v>
      </c>
      <c r="K1244" s="9" t="str">
        <f>IFERROR(__xludf.DUMMYFUNCTION("""COMPUTED_VALUE"""),"NCx")</f>
        <v>NCx</v>
      </c>
      <c r="L1244" s="9" t="str">
        <f>IFERROR(__xludf.DUMMYFUNCTION("""COMPUTED_VALUE"""),"TCx")</f>
        <v>TCx</v>
      </c>
      <c r="M1244" s="9" t="str">
        <f>IFERROR(__xludf.DUMMYFUNCTION("""COMPUTED_VALUE"""),"VLTC")</f>
        <v>VLTC</v>
      </c>
      <c r="N1244" s="9" t="str">
        <f>IFERROR(__xludf.DUMMYFUNCTION("""COMPUTED_VALUE"""),"ITC")</f>
        <v>ITC</v>
      </c>
      <c r="O1244" s="9" t="str">
        <f>IFERROR(__xludf.DUMMYFUNCTION("""COMPUTED_VALUE"""),"A20i")</f>
        <v>A20i</v>
      </c>
      <c r="P1244" s="9" t="str">
        <f>IFERROR(__xludf.DUMMYFUNCTION("""COMPUTED_VALUE"""),"A20i6")</f>
        <v>A20i6</v>
      </c>
      <c r="Q1244" s="9"/>
      <c r="R1244" s="9"/>
      <c r="S1244" s="42"/>
      <c r="T1244" s="42"/>
      <c r="U1244" s="42"/>
      <c r="V1244" s="42"/>
      <c r="W1244" s="42"/>
      <c r="X1244" s="42"/>
      <c r="Y1244" s="42"/>
      <c r="Z1244" s="42"/>
      <c r="AA1244" s="42"/>
      <c r="AB1244" s="42" t="str">
        <f>IFERROR(__xludf.DUMMYFUNCTION("""COMPUTED_VALUE"""),"allen institute")</f>
        <v>allen institute</v>
      </c>
      <c r="AC1244" s="42" t="str">
        <f>IFERROR(__xludf.DUMMYFUNCTION("""COMPUTED_VALUE"""),"DHBA")</f>
        <v>DHBA</v>
      </c>
      <c r="AD1244" s="42"/>
      <c r="AE1244" s="42"/>
      <c r="AF1244" s="9"/>
      <c r="AG1244" s="9"/>
      <c r="AH1244" s="42"/>
      <c r="AI1244" s="42"/>
      <c r="AJ1244" s="42"/>
      <c r="AK1244" s="42"/>
      <c r="AL1244" s="42"/>
      <c r="AM1244" s="42"/>
      <c r="AN1244" s="42"/>
      <c r="AO1244" s="63" t="str">
        <f>IFERROR(__xludf.DUMMYFUNCTION("IF(ISBLANK(A1244),,IF(ISBLANK(S1244), A1244&amp;"";"", TEXTJOIN(CHAR(10), TRUE, A1244&amp;"";"", ARRAYFORMULA(VLOOKUP(SPLIT(S1244, "";"" &amp; CHAR(10)), $A:$AO, 41, FALSE)))))"),"A20i6;")</f>
        <v>A20i6;</v>
      </c>
      <c r="AP1244" s="89"/>
    </row>
    <row r="1245">
      <c r="A1245" s="151" t="str">
        <f>IFERROR(__xludf.DUMMYFUNCTION("""COMPUTED_VALUE"""),"A20c")</f>
        <v>A20c</v>
      </c>
      <c r="B1245" s="42" t="str">
        <f>IFERROR(__xludf.DUMMYFUNCTION("""COMPUTED_VALUE"""),"DHBA")</f>
        <v>DHBA</v>
      </c>
      <c r="C1245" s="42" t="str">
        <f>IFERROR(__xludf.DUMMYFUNCTION("""COMPUTED_VALUE"""),"caudal subdivision of area 20")</f>
        <v>caudal subdivision of area 20</v>
      </c>
      <c r="D1245" s="42">
        <f>IFERROR(__xludf.DUMMYFUNCTION("""COMPUTED_VALUE"""),1178.0)</f>
        <v>1178</v>
      </c>
      <c r="E1245" s="39" t="str">
        <f>IFERROR(__xludf.DUMMYFUNCTION("""COMPUTED_VALUE"""),"caudal subdivision of area 20")</f>
        <v>caudal subdivision of area 20</v>
      </c>
      <c r="F1245" s="9" t="str">
        <f>IFERROR(__xludf.DUMMYFUNCTION("""COMPUTED_VALUE"""),"Br")</f>
        <v>Br</v>
      </c>
      <c r="G1245" s="9" t="str">
        <f>IFERROR(__xludf.DUMMYFUNCTION("""COMPUTED_VALUE"""),"F")</f>
        <v>F</v>
      </c>
      <c r="H1245" s="9" t="str">
        <f>IFERROR(__xludf.DUMMYFUNCTION("""COMPUTED_VALUE"""),"FGM")</f>
        <v>FGM</v>
      </c>
      <c r="I1245" s="9" t="str">
        <f>IFERROR(__xludf.DUMMYFUNCTION("""COMPUTED_VALUE"""),"Tel")</f>
        <v>Tel</v>
      </c>
      <c r="J1245" s="9" t="str">
        <f>IFERROR(__xludf.DUMMYFUNCTION("""COMPUTED_VALUE"""),"Cx")</f>
        <v>Cx</v>
      </c>
      <c r="K1245" s="9" t="str">
        <f>IFERROR(__xludf.DUMMYFUNCTION("""COMPUTED_VALUE"""),"NCx")</f>
        <v>NCx</v>
      </c>
      <c r="L1245" s="9" t="str">
        <f>IFERROR(__xludf.DUMMYFUNCTION("""COMPUTED_VALUE"""),"TCx")</f>
        <v>TCx</v>
      </c>
      <c r="M1245" s="9" t="str">
        <f>IFERROR(__xludf.DUMMYFUNCTION("""COMPUTED_VALUE"""),"VLTC")</f>
        <v>VLTC</v>
      </c>
      <c r="N1245" s="9" t="str">
        <f>IFERROR(__xludf.DUMMYFUNCTION("""COMPUTED_VALUE"""),"ITC")</f>
        <v>ITC</v>
      </c>
      <c r="O1245" s="9" t="str">
        <f>IFERROR(__xludf.DUMMYFUNCTION("""COMPUTED_VALUE"""),"A20c")</f>
        <v>A20c</v>
      </c>
      <c r="P1245" s="9"/>
      <c r="Q1245" s="9"/>
      <c r="R1245" s="9"/>
      <c r="S1245" s="42" t="str">
        <f>IFERROR(__xludf.DUMMYFUNCTION("""COMPUTED_VALUE"""),"A20c1;
A20c2;
A20c3;
A20c4;
A20c5;
A20c6")</f>
        <v>A20c1;
A20c2;
A20c3;
A20c4;
A20c5;
A20c6</v>
      </c>
      <c r="T1245" s="42"/>
      <c r="U1245" s="42" t="b">
        <f>IFERROR(__xludf.DUMMYFUNCTION("""COMPUTED_VALUE"""),FALSE)</f>
        <v>0</v>
      </c>
      <c r="V1245" s="42"/>
      <c r="W1245" s="42"/>
      <c r="X1245" s="42"/>
      <c r="Y1245" s="42"/>
      <c r="Z1245" s="42"/>
      <c r="AA1245" s="42"/>
      <c r="AB1245" s="42" t="str">
        <f>IFERROR(__xludf.DUMMYFUNCTION("""COMPUTED_VALUE"""),"allen institute")</f>
        <v>allen institute</v>
      </c>
      <c r="AC1245" s="42" t="str">
        <f>IFERROR(__xludf.DUMMYFUNCTION("""COMPUTED_VALUE"""),"DHBA")</f>
        <v>DHBA</v>
      </c>
      <c r="AD1245" s="42"/>
      <c r="AE1245" s="42"/>
      <c r="AF1245" s="9"/>
      <c r="AG1245" s="9"/>
      <c r="AH1245" s="42"/>
      <c r="AI1245" s="42"/>
      <c r="AJ1245" s="42"/>
      <c r="AK1245" s="42"/>
      <c r="AL1245" s="42"/>
      <c r="AM1245" s="42"/>
      <c r="AN1245" s="42"/>
      <c r="AO1245" s="63" t="str">
        <f>IFERROR(__xludf.DUMMYFUNCTION("IF(ISBLANK(A1245),,IF(ISBLANK(S1245), A1245&amp;"";"", TEXTJOIN(CHAR(10), TRUE, A1245&amp;"";"", ARRAYFORMULA(VLOOKUP(SPLIT(S1245, "";"" &amp; CHAR(10)), $A:$AO, 41, FALSE)))))"),"A20c;
A20c1;
A20c2;
A20c3;
A20c4;
A20c5;
A20c6;")</f>
        <v>A20c;
A20c1;
A20c2;
A20c3;
A20c4;
A20c5;
A20c6;</v>
      </c>
      <c r="AP1245" s="89"/>
    </row>
    <row r="1246">
      <c r="A1246" s="151" t="str">
        <f>IFERROR(__xludf.DUMMYFUNCTION("""COMPUTED_VALUE"""),"A20c1")</f>
        <v>A20c1</v>
      </c>
      <c r="B1246" s="42" t="str">
        <f>IFERROR(__xludf.DUMMYFUNCTION("""COMPUTED_VALUE"""),"DHBA")</f>
        <v>DHBA</v>
      </c>
      <c r="C1246" s="42" t="str">
        <f>IFERROR(__xludf.DUMMYFUNCTION("""COMPUTED_VALUE"""),"layer I of area 20c")</f>
        <v>layer I of area 20c</v>
      </c>
      <c r="D1246" s="42">
        <f>IFERROR(__xludf.DUMMYFUNCTION("""COMPUTED_VALUE"""),1179.0)</f>
        <v>1179</v>
      </c>
      <c r="E1246" s="39" t="str">
        <f>IFERROR(__xludf.DUMMYFUNCTION("""COMPUTED_VALUE"""),"layer I of area 20c")</f>
        <v>layer I of area 20c</v>
      </c>
      <c r="F1246" s="9" t="str">
        <f>IFERROR(__xludf.DUMMYFUNCTION("""COMPUTED_VALUE"""),"Br")</f>
        <v>Br</v>
      </c>
      <c r="G1246" s="9" t="str">
        <f>IFERROR(__xludf.DUMMYFUNCTION("""COMPUTED_VALUE"""),"F")</f>
        <v>F</v>
      </c>
      <c r="H1246" s="9" t="str">
        <f>IFERROR(__xludf.DUMMYFUNCTION("""COMPUTED_VALUE"""),"FGM")</f>
        <v>FGM</v>
      </c>
      <c r="I1246" s="9" t="str">
        <f>IFERROR(__xludf.DUMMYFUNCTION("""COMPUTED_VALUE"""),"Tel")</f>
        <v>Tel</v>
      </c>
      <c r="J1246" s="9" t="str">
        <f>IFERROR(__xludf.DUMMYFUNCTION("""COMPUTED_VALUE"""),"Cx")</f>
        <v>Cx</v>
      </c>
      <c r="K1246" s="9" t="str">
        <f>IFERROR(__xludf.DUMMYFUNCTION("""COMPUTED_VALUE"""),"NCx")</f>
        <v>NCx</v>
      </c>
      <c r="L1246" s="9" t="str">
        <f>IFERROR(__xludf.DUMMYFUNCTION("""COMPUTED_VALUE"""),"TCx")</f>
        <v>TCx</v>
      </c>
      <c r="M1246" s="9" t="str">
        <f>IFERROR(__xludf.DUMMYFUNCTION("""COMPUTED_VALUE"""),"VLTC")</f>
        <v>VLTC</v>
      </c>
      <c r="N1246" s="9" t="str">
        <f>IFERROR(__xludf.DUMMYFUNCTION("""COMPUTED_VALUE"""),"ITC")</f>
        <v>ITC</v>
      </c>
      <c r="O1246" s="9" t="str">
        <f>IFERROR(__xludf.DUMMYFUNCTION("""COMPUTED_VALUE"""),"A20c")</f>
        <v>A20c</v>
      </c>
      <c r="P1246" s="9" t="str">
        <f>IFERROR(__xludf.DUMMYFUNCTION("""COMPUTED_VALUE"""),"A20c1")</f>
        <v>A20c1</v>
      </c>
      <c r="Q1246" s="9"/>
      <c r="R1246" s="9"/>
      <c r="S1246" s="42"/>
      <c r="T1246" s="42"/>
      <c r="U1246" s="42"/>
      <c r="V1246" s="42"/>
      <c r="W1246" s="42"/>
      <c r="X1246" s="42"/>
      <c r="Y1246" s="42"/>
      <c r="Z1246" s="42"/>
      <c r="AA1246" s="42"/>
      <c r="AB1246" s="42" t="str">
        <f>IFERROR(__xludf.DUMMYFUNCTION("""COMPUTED_VALUE"""),"allen institute")</f>
        <v>allen institute</v>
      </c>
      <c r="AC1246" s="42" t="str">
        <f>IFERROR(__xludf.DUMMYFUNCTION("""COMPUTED_VALUE"""),"DHBA")</f>
        <v>DHBA</v>
      </c>
      <c r="AD1246" s="42"/>
      <c r="AE1246" s="42"/>
      <c r="AF1246" s="9"/>
      <c r="AG1246" s="9"/>
      <c r="AH1246" s="42"/>
      <c r="AI1246" s="42"/>
      <c r="AJ1246" s="42"/>
      <c r="AK1246" s="42"/>
      <c r="AL1246" s="42"/>
      <c r="AM1246" s="42"/>
      <c r="AN1246" s="42"/>
      <c r="AO1246" s="63" t="str">
        <f>IFERROR(__xludf.DUMMYFUNCTION("IF(ISBLANK(A1246),,IF(ISBLANK(S1246), A1246&amp;"";"", TEXTJOIN(CHAR(10), TRUE, A1246&amp;"";"", ARRAYFORMULA(VLOOKUP(SPLIT(S1246, "";"" &amp; CHAR(10)), $A:$AO, 41, FALSE)))))"),"A20c1;")</f>
        <v>A20c1;</v>
      </c>
      <c r="AP1246" s="89"/>
    </row>
    <row r="1247">
      <c r="A1247" s="151" t="str">
        <f>IFERROR(__xludf.DUMMYFUNCTION("""COMPUTED_VALUE"""),"A20c2")</f>
        <v>A20c2</v>
      </c>
      <c r="B1247" s="42" t="str">
        <f>IFERROR(__xludf.DUMMYFUNCTION("""COMPUTED_VALUE"""),"DHBA")</f>
        <v>DHBA</v>
      </c>
      <c r="C1247" s="42" t="str">
        <f>IFERROR(__xludf.DUMMYFUNCTION("""COMPUTED_VALUE"""),"layer II of area 20c")</f>
        <v>layer II of area 20c</v>
      </c>
      <c r="D1247" s="42">
        <f>IFERROR(__xludf.DUMMYFUNCTION("""COMPUTED_VALUE"""),1180.0)</f>
        <v>1180</v>
      </c>
      <c r="E1247" s="39" t="str">
        <f>IFERROR(__xludf.DUMMYFUNCTION("""COMPUTED_VALUE"""),"layer II of area 20c")</f>
        <v>layer II of area 20c</v>
      </c>
      <c r="F1247" s="9" t="str">
        <f>IFERROR(__xludf.DUMMYFUNCTION("""COMPUTED_VALUE"""),"Br")</f>
        <v>Br</v>
      </c>
      <c r="G1247" s="9" t="str">
        <f>IFERROR(__xludf.DUMMYFUNCTION("""COMPUTED_VALUE"""),"F")</f>
        <v>F</v>
      </c>
      <c r="H1247" s="9" t="str">
        <f>IFERROR(__xludf.DUMMYFUNCTION("""COMPUTED_VALUE"""),"FGM")</f>
        <v>FGM</v>
      </c>
      <c r="I1247" s="9" t="str">
        <f>IFERROR(__xludf.DUMMYFUNCTION("""COMPUTED_VALUE"""),"Tel")</f>
        <v>Tel</v>
      </c>
      <c r="J1247" s="9" t="str">
        <f>IFERROR(__xludf.DUMMYFUNCTION("""COMPUTED_VALUE"""),"Cx")</f>
        <v>Cx</v>
      </c>
      <c r="K1247" s="9" t="str">
        <f>IFERROR(__xludf.DUMMYFUNCTION("""COMPUTED_VALUE"""),"NCx")</f>
        <v>NCx</v>
      </c>
      <c r="L1247" s="9" t="str">
        <f>IFERROR(__xludf.DUMMYFUNCTION("""COMPUTED_VALUE"""),"TCx")</f>
        <v>TCx</v>
      </c>
      <c r="M1247" s="9" t="str">
        <f>IFERROR(__xludf.DUMMYFUNCTION("""COMPUTED_VALUE"""),"VLTC")</f>
        <v>VLTC</v>
      </c>
      <c r="N1247" s="9" t="str">
        <f>IFERROR(__xludf.DUMMYFUNCTION("""COMPUTED_VALUE"""),"ITC")</f>
        <v>ITC</v>
      </c>
      <c r="O1247" s="9" t="str">
        <f>IFERROR(__xludf.DUMMYFUNCTION("""COMPUTED_VALUE"""),"A20c")</f>
        <v>A20c</v>
      </c>
      <c r="P1247" s="9" t="str">
        <f>IFERROR(__xludf.DUMMYFUNCTION("""COMPUTED_VALUE"""),"A20c2")</f>
        <v>A20c2</v>
      </c>
      <c r="Q1247" s="9"/>
      <c r="R1247" s="9"/>
      <c r="S1247" s="42"/>
      <c r="T1247" s="42"/>
      <c r="U1247" s="42"/>
      <c r="V1247" s="42"/>
      <c r="W1247" s="42"/>
      <c r="X1247" s="42"/>
      <c r="Y1247" s="42"/>
      <c r="Z1247" s="42"/>
      <c r="AA1247" s="42"/>
      <c r="AB1247" s="42" t="str">
        <f>IFERROR(__xludf.DUMMYFUNCTION("""COMPUTED_VALUE"""),"allen institute")</f>
        <v>allen institute</v>
      </c>
      <c r="AC1247" s="42" t="str">
        <f>IFERROR(__xludf.DUMMYFUNCTION("""COMPUTED_VALUE"""),"DHBA")</f>
        <v>DHBA</v>
      </c>
      <c r="AD1247" s="42"/>
      <c r="AE1247" s="42"/>
      <c r="AF1247" s="9"/>
      <c r="AG1247" s="9"/>
      <c r="AH1247" s="42"/>
      <c r="AI1247" s="42"/>
      <c r="AJ1247" s="42"/>
      <c r="AK1247" s="42"/>
      <c r="AL1247" s="42"/>
      <c r="AM1247" s="42"/>
      <c r="AN1247" s="42"/>
      <c r="AO1247" s="63" t="str">
        <f>IFERROR(__xludf.DUMMYFUNCTION("IF(ISBLANK(A1247),,IF(ISBLANK(S1247), A1247&amp;"";"", TEXTJOIN(CHAR(10), TRUE, A1247&amp;"";"", ARRAYFORMULA(VLOOKUP(SPLIT(S1247, "";"" &amp; CHAR(10)), $A:$AO, 41, FALSE)))))"),"A20c2;")</f>
        <v>A20c2;</v>
      </c>
      <c r="AP1247" s="89"/>
    </row>
    <row r="1248">
      <c r="A1248" s="151" t="str">
        <f>IFERROR(__xludf.DUMMYFUNCTION("""COMPUTED_VALUE"""),"A20c3")</f>
        <v>A20c3</v>
      </c>
      <c r="B1248" s="42" t="str">
        <f>IFERROR(__xludf.DUMMYFUNCTION("""COMPUTED_VALUE"""),"DHBA")</f>
        <v>DHBA</v>
      </c>
      <c r="C1248" s="42" t="str">
        <f>IFERROR(__xludf.DUMMYFUNCTION("""COMPUTED_VALUE"""),"layer III of area 20c")</f>
        <v>layer III of area 20c</v>
      </c>
      <c r="D1248" s="42">
        <f>IFERROR(__xludf.DUMMYFUNCTION("""COMPUTED_VALUE"""),1181.0)</f>
        <v>1181</v>
      </c>
      <c r="E1248" s="39" t="str">
        <f>IFERROR(__xludf.DUMMYFUNCTION("""COMPUTED_VALUE"""),"layer III of area 20c")</f>
        <v>layer III of area 20c</v>
      </c>
      <c r="F1248" s="9" t="str">
        <f>IFERROR(__xludf.DUMMYFUNCTION("""COMPUTED_VALUE"""),"Br")</f>
        <v>Br</v>
      </c>
      <c r="G1248" s="9" t="str">
        <f>IFERROR(__xludf.DUMMYFUNCTION("""COMPUTED_VALUE"""),"F")</f>
        <v>F</v>
      </c>
      <c r="H1248" s="9" t="str">
        <f>IFERROR(__xludf.DUMMYFUNCTION("""COMPUTED_VALUE"""),"FGM")</f>
        <v>FGM</v>
      </c>
      <c r="I1248" s="9" t="str">
        <f>IFERROR(__xludf.DUMMYFUNCTION("""COMPUTED_VALUE"""),"Tel")</f>
        <v>Tel</v>
      </c>
      <c r="J1248" s="9" t="str">
        <f>IFERROR(__xludf.DUMMYFUNCTION("""COMPUTED_VALUE"""),"Cx")</f>
        <v>Cx</v>
      </c>
      <c r="K1248" s="9" t="str">
        <f>IFERROR(__xludf.DUMMYFUNCTION("""COMPUTED_VALUE"""),"NCx")</f>
        <v>NCx</v>
      </c>
      <c r="L1248" s="9" t="str">
        <f>IFERROR(__xludf.DUMMYFUNCTION("""COMPUTED_VALUE"""),"TCx")</f>
        <v>TCx</v>
      </c>
      <c r="M1248" s="9" t="str">
        <f>IFERROR(__xludf.DUMMYFUNCTION("""COMPUTED_VALUE"""),"VLTC")</f>
        <v>VLTC</v>
      </c>
      <c r="N1248" s="9" t="str">
        <f>IFERROR(__xludf.DUMMYFUNCTION("""COMPUTED_VALUE"""),"ITC")</f>
        <v>ITC</v>
      </c>
      <c r="O1248" s="9" t="str">
        <f>IFERROR(__xludf.DUMMYFUNCTION("""COMPUTED_VALUE"""),"A20c")</f>
        <v>A20c</v>
      </c>
      <c r="P1248" s="9" t="str">
        <f>IFERROR(__xludf.DUMMYFUNCTION("""COMPUTED_VALUE"""),"A20c3")</f>
        <v>A20c3</v>
      </c>
      <c r="Q1248" s="9"/>
      <c r="R1248" s="9"/>
      <c r="S1248" s="42"/>
      <c r="T1248" s="42"/>
      <c r="U1248" s="42"/>
      <c r="V1248" s="42"/>
      <c r="W1248" s="42"/>
      <c r="X1248" s="42"/>
      <c r="Y1248" s="42"/>
      <c r="Z1248" s="42"/>
      <c r="AA1248" s="42"/>
      <c r="AB1248" s="42" t="str">
        <f>IFERROR(__xludf.DUMMYFUNCTION("""COMPUTED_VALUE"""),"allen institute")</f>
        <v>allen institute</v>
      </c>
      <c r="AC1248" s="42" t="str">
        <f>IFERROR(__xludf.DUMMYFUNCTION("""COMPUTED_VALUE"""),"DHBA")</f>
        <v>DHBA</v>
      </c>
      <c r="AD1248" s="42"/>
      <c r="AE1248" s="42"/>
      <c r="AF1248" s="9"/>
      <c r="AG1248" s="9"/>
      <c r="AH1248" s="42"/>
      <c r="AI1248" s="42"/>
      <c r="AJ1248" s="42"/>
      <c r="AK1248" s="42"/>
      <c r="AL1248" s="42"/>
      <c r="AM1248" s="42"/>
      <c r="AN1248" s="42"/>
      <c r="AO1248" s="63" t="str">
        <f>IFERROR(__xludf.DUMMYFUNCTION("IF(ISBLANK(A1248),,IF(ISBLANK(S1248), A1248&amp;"";"", TEXTJOIN(CHAR(10), TRUE, A1248&amp;"";"", ARRAYFORMULA(VLOOKUP(SPLIT(S1248, "";"" &amp; CHAR(10)), $A:$AO, 41, FALSE)))))"),"A20c3;")</f>
        <v>A20c3;</v>
      </c>
      <c r="AP1248" s="89"/>
    </row>
    <row r="1249">
      <c r="A1249" s="151" t="str">
        <f>IFERROR(__xludf.DUMMYFUNCTION("""COMPUTED_VALUE"""),"A20c4")</f>
        <v>A20c4</v>
      </c>
      <c r="B1249" s="42" t="str">
        <f>IFERROR(__xludf.DUMMYFUNCTION("""COMPUTED_VALUE"""),"DHBA")</f>
        <v>DHBA</v>
      </c>
      <c r="C1249" s="42" t="str">
        <f>IFERROR(__xludf.DUMMYFUNCTION("""COMPUTED_VALUE"""),"layer IV of area 20c")</f>
        <v>layer IV of area 20c</v>
      </c>
      <c r="D1249" s="42">
        <f>IFERROR(__xludf.DUMMYFUNCTION("""COMPUTED_VALUE"""),1182.0)</f>
        <v>1182</v>
      </c>
      <c r="E1249" s="39" t="str">
        <f>IFERROR(__xludf.DUMMYFUNCTION("""COMPUTED_VALUE"""),"layer IV of area 20c")</f>
        <v>layer IV of area 20c</v>
      </c>
      <c r="F1249" s="9" t="str">
        <f>IFERROR(__xludf.DUMMYFUNCTION("""COMPUTED_VALUE"""),"Br")</f>
        <v>Br</v>
      </c>
      <c r="G1249" s="9" t="str">
        <f>IFERROR(__xludf.DUMMYFUNCTION("""COMPUTED_VALUE"""),"F")</f>
        <v>F</v>
      </c>
      <c r="H1249" s="9" t="str">
        <f>IFERROR(__xludf.DUMMYFUNCTION("""COMPUTED_VALUE"""),"FGM")</f>
        <v>FGM</v>
      </c>
      <c r="I1249" s="9" t="str">
        <f>IFERROR(__xludf.DUMMYFUNCTION("""COMPUTED_VALUE"""),"Tel")</f>
        <v>Tel</v>
      </c>
      <c r="J1249" s="9" t="str">
        <f>IFERROR(__xludf.DUMMYFUNCTION("""COMPUTED_VALUE"""),"Cx")</f>
        <v>Cx</v>
      </c>
      <c r="K1249" s="9" t="str">
        <f>IFERROR(__xludf.DUMMYFUNCTION("""COMPUTED_VALUE"""),"NCx")</f>
        <v>NCx</v>
      </c>
      <c r="L1249" s="9" t="str">
        <f>IFERROR(__xludf.DUMMYFUNCTION("""COMPUTED_VALUE"""),"TCx")</f>
        <v>TCx</v>
      </c>
      <c r="M1249" s="9" t="str">
        <f>IFERROR(__xludf.DUMMYFUNCTION("""COMPUTED_VALUE"""),"VLTC")</f>
        <v>VLTC</v>
      </c>
      <c r="N1249" s="9" t="str">
        <f>IFERROR(__xludf.DUMMYFUNCTION("""COMPUTED_VALUE"""),"ITC")</f>
        <v>ITC</v>
      </c>
      <c r="O1249" s="9" t="str">
        <f>IFERROR(__xludf.DUMMYFUNCTION("""COMPUTED_VALUE"""),"A20c")</f>
        <v>A20c</v>
      </c>
      <c r="P1249" s="9" t="str">
        <f>IFERROR(__xludf.DUMMYFUNCTION("""COMPUTED_VALUE"""),"A20c4")</f>
        <v>A20c4</v>
      </c>
      <c r="Q1249" s="9"/>
      <c r="R1249" s="9"/>
      <c r="S1249" s="42"/>
      <c r="T1249" s="42"/>
      <c r="U1249" s="42"/>
      <c r="V1249" s="42"/>
      <c r="W1249" s="42"/>
      <c r="X1249" s="42"/>
      <c r="Y1249" s="42"/>
      <c r="Z1249" s="42"/>
      <c r="AA1249" s="42"/>
      <c r="AB1249" s="42" t="str">
        <f>IFERROR(__xludf.DUMMYFUNCTION("""COMPUTED_VALUE"""),"allen institute")</f>
        <v>allen institute</v>
      </c>
      <c r="AC1249" s="42" t="str">
        <f>IFERROR(__xludf.DUMMYFUNCTION("""COMPUTED_VALUE"""),"DHBA")</f>
        <v>DHBA</v>
      </c>
      <c r="AD1249" s="42"/>
      <c r="AE1249" s="42"/>
      <c r="AF1249" s="9"/>
      <c r="AG1249" s="9"/>
      <c r="AH1249" s="42"/>
      <c r="AI1249" s="42"/>
      <c r="AJ1249" s="42"/>
      <c r="AK1249" s="42"/>
      <c r="AL1249" s="42"/>
      <c r="AM1249" s="42"/>
      <c r="AN1249" s="42"/>
      <c r="AO1249" s="63" t="str">
        <f>IFERROR(__xludf.DUMMYFUNCTION("IF(ISBLANK(A1249),,IF(ISBLANK(S1249), A1249&amp;"";"", TEXTJOIN(CHAR(10), TRUE, A1249&amp;"";"", ARRAYFORMULA(VLOOKUP(SPLIT(S1249, "";"" &amp; CHAR(10)), $A:$AO, 41, FALSE)))))"),"A20c4;")</f>
        <v>A20c4;</v>
      </c>
      <c r="AP1249" s="89"/>
    </row>
    <row r="1250">
      <c r="A1250" s="151" t="str">
        <f>IFERROR(__xludf.DUMMYFUNCTION("""COMPUTED_VALUE"""),"A20c5")</f>
        <v>A20c5</v>
      </c>
      <c r="B1250" s="42" t="str">
        <f>IFERROR(__xludf.DUMMYFUNCTION("""COMPUTED_VALUE"""),"DHBA")</f>
        <v>DHBA</v>
      </c>
      <c r="C1250" s="42" t="str">
        <f>IFERROR(__xludf.DUMMYFUNCTION("""COMPUTED_VALUE"""),"layer V of area 20c")</f>
        <v>layer V of area 20c</v>
      </c>
      <c r="D1250" s="42">
        <f>IFERROR(__xludf.DUMMYFUNCTION("""COMPUTED_VALUE"""),1183.0)</f>
        <v>1183</v>
      </c>
      <c r="E1250" s="39" t="str">
        <f>IFERROR(__xludf.DUMMYFUNCTION("""COMPUTED_VALUE"""),"layer V of area 20c")</f>
        <v>layer V of area 20c</v>
      </c>
      <c r="F1250" s="9" t="str">
        <f>IFERROR(__xludf.DUMMYFUNCTION("""COMPUTED_VALUE"""),"Br")</f>
        <v>Br</v>
      </c>
      <c r="G1250" s="9" t="str">
        <f>IFERROR(__xludf.DUMMYFUNCTION("""COMPUTED_VALUE"""),"F")</f>
        <v>F</v>
      </c>
      <c r="H1250" s="9" t="str">
        <f>IFERROR(__xludf.DUMMYFUNCTION("""COMPUTED_VALUE"""),"FGM")</f>
        <v>FGM</v>
      </c>
      <c r="I1250" s="9" t="str">
        <f>IFERROR(__xludf.DUMMYFUNCTION("""COMPUTED_VALUE"""),"Tel")</f>
        <v>Tel</v>
      </c>
      <c r="J1250" s="9" t="str">
        <f>IFERROR(__xludf.DUMMYFUNCTION("""COMPUTED_VALUE"""),"Cx")</f>
        <v>Cx</v>
      </c>
      <c r="K1250" s="9" t="str">
        <f>IFERROR(__xludf.DUMMYFUNCTION("""COMPUTED_VALUE"""),"NCx")</f>
        <v>NCx</v>
      </c>
      <c r="L1250" s="9" t="str">
        <f>IFERROR(__xludf.DUMMYFUNCTION("""COMPUTED_VALUE"""),"TCx")</f>
        <v>TCx</v>
      </c>
      <c r="M1250" s="9" t="str">
        <f>IFERROR(__xludf.DUMMYFUNCTION("""COMPUTED_VALUE"""),"VLTC")</f>
        <v>VLTC</v>
      </c>
      <c r="N1250" s="9" t="str">
        <f>IFERROR(__xludf.DUMMYFUNCTION("""COMPUTED_VALUE"""),"ITC")</f>
        <v>ITC</v>
      </c>
      <c r="O1250" s="9" t="str">
        <f>IFERROR(__xludf.DUMMYFUNCTION("""COMPUTED_VALUE"""),"A20c")</f>
        <v>A20c</v>
      </c>
      <c r="P1250" s="9" t="str">
        <f>IFERROR(__xludf.DUMMYFUNCTION("""COMPUTED_VALUE"""),"A20c5")</f>
        <v>A20c5</v>
      </c>
      <c r="Q1250" s="9"/>
      <c r="R1250" s="9"/>
      <c r="S1250" s="42"/>
      <c r="T1250" s="42"/>
      <c r="U1250" s="42"/>
      <c r="V1250" s="42"/>
      <c r="W1250" s="42"/>
      <c r="X1250" s="42"/>
      <c r="Y1250" s="42"/>
      <c r="Z1250" s="42"/>
      <c r="AA1250" s="42"/>
      <c r="AB1250" s="42" t="str">
        <f>IFERROR(__xludf.DUMMYFUNCTION("""COMPUTED_VALUE"""),"allen institute")</f>
        <v>allen institute</v>
      </c>
      <c r="AC1250" s="42" t="str">
        <f>IFERROR(__xludf.DUMMYFUNCTION("""COMPUTED_VALUE"""),"DHBA")</f>
        <v>DHBA</v>
      </c>
      <c r="AD1250" s="42"/>
      <c r="AE1250" s="42"/>
      <c r="AF1250" s="9"/>
      <c r="AG1250" s="9"/>
      <c r="AH1250" s="42"/>
      <c r="AI1250" s="42"/>
      <c r="AJ1250" s="42"/>
      <c r="AK1250" s="42"/>
      <c r="AL1250" s="42"/>
      <c r="AM1250" s="42"/>
      <c r="AN1250" s="42"/>
      <c r="AO1250" s="63" t="str">
        <f>IFERROR(__xludf.DUMMYFUNCTION("IF(ISBLANK(A1250),,IF(ISBLANK(S1250), A1250&amp;"";"", TEXTJOIN(CHAR(10), TRUE, A1250&amp;"";"", ARRAYFORMULA(VLOOKUP(SPLIT(S1250, "";"" &amp; CHAR(10)), $A:$AO, 41, FALSE)))))"),"A20c5;")</f>
        <v>A20c5;</v>
      </c>
      <c r="AP1250" s="89"/>
    </row>
    <row r="1251">
      <c r="A1251" s="151" t="str">
        <f>IFERROR(__xludf.DUMMYFUNCTION("""COMPUTED_VALUE"""),"A20c6")</f>
        <v>A20c6</v>
      </c>
      <c r="B1251" s="42" t="str">
        <f>IFERROR(__xludf.DUMMYFUNCTION("""COMPUTED_VALUE"""),"DHBA")</f>
        <v>DHBA</v>
      </c>
      <c r="C1251" s="42" t="str">
        <f>IFERROR(__xludf.DUMMYFUNCTION("""COMPUTED_VALUE"""),"layer VI of area 20c")</f>
        <v>layer VI of area 20c</v>
      </c>
      <c r="D1251" s="42">
        <f>IFERROR(__xludf.DUMMYFUNCTION("""COMPUTED_VALUE"""),1184.0)</f>
        <v>1184</v>
      </c>
      <c r="E1251" s="39" t="str">
        <f>IFERROR(__xludf.DUMMYFUNCTION("""COMPUTED_VALUE"""),"layer VI of area 20c")</f>
        <v>layer VI of area 20c</v>
      </c>
      <c r="F1251" s="9" t="str">
        <f>IFERROR(__xludf.DUMMYFUNCTION("""COMPUTED_VALUE"""),"Br")</f>
        <v>Br</v>
      </c>
      <c r="G1251" s="9" t="str">
        <f>IFERROR(__xludf.DUMMYFUNCTION("""COMPUTED_VALUE"""),"F")</f>
        <v>F</v>
      </c>
      <c r="H1251" s="9" t="str">
        <f>IFERROR(__xludf.DUMMYFUNCTION("""COMPUTED_VALUE"""),"FGM")</f>
        <v>FGM</v>
      </c>
      <c r="I1251" s="9" t="str">
        <f>IFERROR(__xludf.DUMMYFUNCTION("""COMPUTED_VALUE"""),"Tel")</f>
        <v>Tel</v>
      </c>
      <c r="J1251" s="9" t="str">
        <f>IFERROR(__xludf.DUMMYFUNCTION("""COMPUTED_VALUE"""),"Cx")</f>
        <v>Cx</v>
      </c>
      <c r="K1251" s="9" t="str">
        <f>IFERROR(__xludf.DUMMYFUNCTION("""COMPUTED_VALUE"""),"NCx")</f>
        <v>NCx</v>
      </c>
      <c r="L1251" s="9" t="str">
        <f>IFERROR(__xludf.DUMMYFUNCTION("""COMPUTED_VALUE"""),"TCx")</f>
        <v>TCx</v>
      </c>
      <c r="M1251" s="9" t="str">
        <f>IFERROR(__xludf.DUMMYFUNCTION("""COMPUTED_VALUE"""),"VLTC")</f>
        <v>VLTC</v>
      </c>
      <c r="N1251" s="9" t="str">
        <f>IFERROR(__xludf.DUMMYFUNCTION("""COMPUTED_VALUE"""),"ITC")</f>
        <v>ITC</v>
      </c>
      <c r="O1251" s="9" t="str">
        <f>IFERROR(__xludf.DUMMYFUNCTION("""COMPUTED_VALUE"""),"A20c")</f>
        <v>A20c</v>
      </c>
      <c r="P1251" s="9" t="str">
        <f>IFERROR(__xludf.DUMMYFUNCTION("""COMPUTED_VALUE"""),"A20c6")</f>
        <v>A20c6</v>
      </c>
      <c r="Q1251" s="9"/>
      <c r="R1251" s="9"/>
      <c r="S1251" s="42"/>
      <c r="T1251" s="42"/>
      <c r="U1251" s="42"/>
      <c r="V1251" s="42"/>
      <c r="W1251" s="42"/>
      <c r="X1251" s="42"/>
      <c r="Y1251" s="42"/>
      <c r="Z1251" s="42"/>
      <c r="AA1251" s="42"/>
      <c r="AB1251" s="42" t="str">
        <f>IFERROR(__xludf.DUMMYFUNCTION("""COMPUTED_VALUE"""),"allen institute")</f>
        <v>allen institute</v>
      </c>
      <c r="AC1251" s="42" t="str">
        <f>IFERROR(__xludf.DUMMYFUNCTION("""COMPUTED_VALUE"""),"DHBA")</f>
        <v>DHBA</v>
      </c>
      <c r="AD1251" s="42"/>
      <c r="AE1251" s="42"/>
      <c r="AF1251" s="9"/>
      <c r="AG1251" s="9"/>
      <c r="AH1251" s="42"/>
      <c r="AI1251" s="42"/>
      <c r="AJ1251" s="42"/>
      <c r="AK1251" s="42"/>
      <c r="AL1251" s="42"/>
      <c r="AM1251" s="42"/>
      <c r="AN1251" s="42"/>
      <c r="AO1251" s="63" t="str">
        <f>IFERROR(__xludf.DUMMYFUNCTION("IF(ISBLANK(A1251),,IF(ISBLANK(S1251), A1251&amp;"";"", TEXTJOIN(CHAR(10), TRUE, A1251&amp;"";"", ARRAYFORMULA(VLOOKUP(SPLIT(S1251, "";"" &amp; CHAR(10)), $A:$AO, 41, FALSE)))))"),"A20c6;")</f>
        <v>A20c6;</v>
      </c>
      <c r="AP1251" s="89"/>
    </row>
    <row r="1252">
      <c r="A1252" s="151" t="str">
        <f>IFERROR(__xludf.DUMMYFUNCTION("""COMPUTED_VALUE"""),"MITC")</f>
        <v>MITC</v>
      </c>
      <c r="B1252" s="42" t="str">
        <f>IFERROR(__xludf.DUMMYFUNCTION("""COMPUTED_VALUE"""),"DHBA")</f>
        <v>DHBA</v>
      </c>
      <c r="C1252" s="42" t="str">
        <f>IFERROR(__xludf.DUMMYFUNCTION("""COMPUTED_VALUE"""),"midinferior (fusiform) temporal cortex")</f>
        <v>midinferior (fusiform) temporal cortex</v>
      </c>
      <c r="D1252" s="42">
        <f>IFERROR(__xludf.DUMMYFUNCTION("""COMPUTED_VALUE"""),1185.0)</f>
        <v>1185</v>
      </c>
      <c r="E1252" s="39" t="str">
        <f>IFERROR(__xludf.DUMMYFUNCTION("""COMPUTED_VALUE"""),"midinferior (fusiform) temporal cortex")</f>
        <v>midinferior (fusiform) temporal cortex</v>
      </c>
      <c r="F1252" s="9" t="str">
        <f>IFERROR(__xludf.DUMMYFUNCTION("""COMPUTED_VALUE"""),"Br")</f>
        <v>Br</v>
      </c>
      <c r="G1252" s="9" t="str">
        <f>IFERROR(__xludf.DUMMYFUNCTION("""COMPUTED_VALUE"""),"F")</f>
        <v>F</v>
      </c>
      <c r="H1252" s="9" t="str">
        <f>IFERROR(__xludf.DUMMYFUNCTION("""COMPUTED_VALUE"""),"FGM")</f>
        <v>FGM</v>
      </c>
      <c r="I1252" s="9" t="str">
        <f>IFERROR(__xludf.DUMMYFUNCTION("""COMPUTED_VALUE"""),"Tel")</f>
        <v>Tel</v>
      </c>
      <c r="J1252" s="9" t="str">
        <f>IFERROR(__xludf.DUMMYFUNCTION("""COMPUTED_VALUE"""),"Cx")</f>
        <v>Cx</v>
      </c>
      <c r="K1252" s="9" t="str">
        <f>IFERROR(__xludf.DUMMYFUNCTION("""COMPUTED_VALUE"""),"NCx")</f>
        <v>NCx</v>
      </c>
      <c r="L1252" s="9" t="str">
        <f>IFERROR(__xludf.DUMMYFUNCTION("""COMPUTED_VALUE"""),"TCx")</f>
        <v>TCx</v>
      </c>
      <c r="M1252" s="9" t="str">
        <f>IFERROR(__xludf.DUMMYFUNCTION("""COMPUTED_VALUE"""),"VLTC")</f>
        <v>VLTC</v>
      </c>
      <c r="N1252" s="9" t="str">
        <f>IFERROR(__xludf.DUMMYFUNCTION("""COMPUTED_VALUE"""),"MITC")</f>
        <v>MITC</v>
      </c>
      <c r="O1252" s="9"/>
      <c r="P1252" s="9"/>
      <c r="Q1252" s="9"/>
      <c r="R1252" s="9"/>
      <c r="S1252" s="42" t="str">
        <f>IFERROR(__xludf.DUMMYFUNCTION("""COMPUTED_VALUE"""),"A36;
TF")</f>
        <v>A36;
TF</v>
      </c>
      <c r="T1252" s="42"/>
      <c r="U1252" s="42" t="b">
        <f>IFERROR(__xludf.DUMMYFUNCTION("""COMPUTED_VALUE"""),FALSE)</f>
        <v>0</v>
      </c>
      <c r="V1252" s="42"/>
      <c r="W1252" s="42"/>
      <c r="X1252" s="42"/>
      <c r="Y1252" s="42"/>
      <c r="Z1252" s="42"/>
      <c r="AA1252" s="42"/>
      <c r="AB1252" s="42" t="str">
        <f>IFERROR(__xludf.DUMMYFUNCTION("""COMPUTED_VALUE"""),"allen institute")</f>
        <v>allen institute</v>
      </c>
      <c r="AC1252" s="42" t="str">
        <f>IFERROR(__xludf.DUMMYFUNCTION("""COMPUTED_VALUE"""),"DHBA")</f>
        <v>DHBA</v>
      </c>
      <c r="AD1252" s="42"/>
      <c r="AE1252" s="42"/>
      <c r="AF1252" s="9"/>
      <c r="AG1252" s="9"/>
      <c r="AH1252" s="42"/>
      <c r="AI1252" s="42"/>
      <c r="AJ1252" s="42"/>
      <c r="AK1252" s="42"/>
      <c r="AL1252" s="42"/>
      <c r="AM1252" s="42"/>
      <c r="AN1252" s="42"/>
      <c r="AO1252" s="63" t="str">
        <f>IFERROR(__xludf.DUMMYFUNCTION("IF(ISBLANK(A1252),,IF(ISBLANK(S1252), A1252&amp;"";"", TEXTJOIN(CHAR(10), TRUE, A1252&amp;"";"", ARRAYFORMULA(VLOOKUP(SPLIT(S1252, "";"" &amp; CHAR(10)), $A:$AO, 41, FALSE)))))"),"MITC;
A36;
A36r;
A36r1;
A36r2;
A36r3;
A36r4;
A36r5;
A36r6;
A36c;
A36c1;
A36c2;
A36c3;
A36c4;
A36c5;
A36c6;
TF;
TF1;
TF2;
TF3;
TF4;
TF5;
TF6;")</f>
        <v>MITC;
A36;
A36r;
A36r1;
A36r2;
A36r3;
A36r4;
A36r5;
A36r6;
A36c;
A36c1;
A36c2;
A36c3;
A36c4;
A36c5;
A36c6;
TF;
TF1;
TF2;
TF3;
TF4;
TF5;
TF6;</v>
      </c>
      <c r="AP1252" s="89"/>
    </row>
    <row r="1253">
      <c r="A1253" s="151" t="str">
        <f>IFERROR(__xludf.DUMMYFUNCTION("""COMPUTED_VALUE"""),"A36")</f>
        <v>A36</v>
      </c>
      <c r="B1253" s="42" t="str">
        <f>IFERROR(__xludf.DUMMYFUNCTION("""COMPUTED_VALUE"""),"DHBA")</f>
        <v>DHBA</v>
      </c>
      <c r="C1253" s="42" t="str">
        <f>IFERROR(__xludf.DUMMYFUNCTION("""COMPUTED_VALUE"""),"rostral division of MITC (area 36)")</f>
        <v>rostral division of MITC (area 36)</v>
      </c>
      <c r="D1253" s="42">
        <f>IFERROR(__xludf.DUMMYFUNCTION("""COMPUTED_VALUE"""),1186.0)</f>
        <v>1186</v>
      </c>
      <c r="E1253" s="39" t="str">
        <f>IFERROR(__xludf.DUMMYFUNCTION("""COMPUTED_VALUE"""),"rostral division of MITC (area 36)")</f>
        <v>rostral division of MITC (area 36)</v>
      </c>
      <c r="F1253" s="9" t="str">
        <f>IFERROR(__xludf.DUMMYFUNCTION("""COMPUTED_VALUE"""),"Br")</f>
        <v>Br</v>
      </c>
      <c r="G1253" s="9" t="str">
        <f>IFERROR(__xludf.DUMMYFUNCTION("""COMPUTED_VALUE"""),"F")</f>
        <v>F</v>
      </c>
      <c r="H1253" s="9" t="str">
        <f>IFERROR(__xludf.DUMMYFUNCTION("""COMPUTED_VALUE"""),"FGM")</f>
        <v>FGM</v>
      </c>
      <c r="I1253" s="9" t="str">
        <f>IFERROR(__xludf.DUMMYFUNCTION("""COMPUTED_VALUE"""),"Tel")</f>
        <v>Tel</v>
      </c>
      <c r="J1253" s="9" t="str">
        <f>IFERROR(__xludf.DUMMYFUNCTION("""COMPUTED_VALUE"""),"Cx")</f>
        <v>Cx</v>
      </c>
      <c r="K1253" s="9" t="str">
        <f>IFERROR(__xludf.DUMMYFUNCTION("""COMPUTED_VALUE"""),"NCx")</f>
        <v>NCx</v>
      </c>
      <c r="L1253" s="9" t="str">
        <f>IFERROR(__xludf.DUMMYFUNCTION("""COMPUTED_VALUE"""),"TCx")</f>
        <v>TCx</v>
      </c>
      <c r="M1253" s="9" t="str">
        <f>IFERROR(__xludf.DUMMYFUNCTION("""COMPUTED_VALUE"""),"VLTC")</f>
        <v>VLTC</v>
      </c>
      <c r="N1253" s="9" t="str">
        <f>IFERROR(__xludf.DUMMYFUNCTION("""COMPUTED_VALUE"""),"MITC")</f>
        <v>MITC</v>
      </c>
      <c r="O1253" s="9" t="str">
        <f>IFERROR(__xludf.DUMMYFUNCTION("""COMPUTED_VALUE"""),"A36")</f>
        <v>A36</v>
      </c>
      <c r="P1253" s="9"/>
      <c r="Q1253" s="9"/>
      <c r="R1253" s="9"/>
      <c r="S1253" s="42" t="str">
        <f>IFERROR(__xludf.DUMMYFUNCTION("""COMPUTED_VALUE"""),"A36r;
A36c")</f>
        <v>A36r;
A36c</v>
      </c>
      <c r="T1253" s="42"/>
      <c r="U1253" s="42" t="b">
        <f>IFERROR(__xludf.DUMMYFUNCTION("""COMPUTED_VALUE"""),FALSE)</f>
        <v>0</v>
      </c>
      <c r="V1253" s="42"/>
      <c r="W1253" s="42"/>
      <c r="X1253" s="42"/>
      <c r="Y1253" s="42"/>
      <c r="Z1253" s="42"/>
      <c r="AA1253" s="42"/>
      <c r="AB1253" s="42" t="str">
        <f>IFERROR(__xludf.DUMMYFUNCTION("""COMPUTED_VALUE"""),"allen institute")</f>
        <v>allen institute</v>
      </c>
      <c r="AC1253" s="42" t="str">
        <f>IFERROR(__xludf.DUMMYFUNCTION("""COMPUTED_VALUE"""),"DHBA")</f>
        <v>DHBA</v>
      </c>
      <c r="AD1253" s="42"/>
      <c r="AE1253" s="42"/>
      <c r="AF1253" s="9"/>
      <c r="AG1253" s="9"/>
      <c r="AH1253" s="42"/>
      <c r="AI1253" s="42"/>
      <c r="AJ1253" s="42"/>
      <c r="AK1253" s="42"/>
      <c r="AL1253" s="42"/>
      <c r="AM1253" s="42"/>
      <c r="AN1253" s="42"/>
      <c r="AO1253" s="63" t="str">
        <f>IFERROR(__xludf.DUMMYFUNCTION("IF(ISBLANK(A1253),,IF(ISBLANK(S1253), A1253&amp;"";"", TEXTJOIN(CHAR(10), TRUE, A1253&amp;"";"", ARRAYFORMULA(VLOOKUP(SPLIT(S1253, "";"" &amp; CHAR(10)), $A:$AO, 41, FALSE)))))"),"A36;
A36r;
A36r1;
A36r2;
A36r3;
A36r4;
A36r5;
A36r6;
A36c;
A36c1;
A36c2;
A36c3;
A36c4;
A36c5;
A36c6;")</f>
        <v>A36;
A36r;
A36r1;
A36r2;
A36r3;
A36r4;
A36r5;
A36r6;
A36c;
A36c1;
A36c2;
A36c3;
A36c4;
A36c5;
A36c6;</v>
      </c>
      <c r="AP1253" s="89"/>
    </row>
    <row r="1254">
      <c r="A1254" s="151" t="str">
        <f>IFERROR(__xludf.DUMMYFUNCTION("""COMPUTED_VALUE"""),"A36r")</f>
        <v>A36r</v>
      </c>
      <c r="B1254" s="42" t="str">
        <f>IFERROR(__xludf.DUMMYFUNCTION("""COMPUTED_VALUE"""),"DHBA")</f>
        <v>DHBA</v>
      </c>
      <c r="C1254" s="42" t="str">
        <f>IFERROR(__xludf.DUMMYFUNCTION("""COMPUTED_VALUE"""),"rostral subdivision of area 36")</f>
        <v>rostral subdivision of area 36</v>
      </c>
      <c r="D1254" s="42">
        <f>IFERROR(__xludf.DUMMYFUNCTION("""COMPUTED_VALUE"""),1187.0)</f>
        <v>1187</v>
      </c>
      <c r="E1254" s="39" t="str">
        <f>IFERROR(__xludf.DUMMYFUNCTION("""COMPUTED_VALUE"""),"rostral subdivision of area 36")</f>
        <v>rostral subdivision of area 36</v>
      </c>
      <c r="F1254" s="9" t="str">
        <f>IFERROR(__xludf.DUMMYFUNCTION("""COMPUTED_VALUE"""),"Br")</f>
        <v>Br</v>
      </c>
      <c r="G1254" s="9" t="str">
        <f>IFERROR(__xludf.DUMMYFUNCTION("""COMPUTED_VALUE"""),"F")</f>
        <v>F</v>
      </c>
      <c r="H1254" s="9" t="str">
        <f>IFERROR(__xludf.DUMMYFUNCTION("""COMPUTED_VALUE"""),"FGM")</f>
        <v>FGM</v>
      </c>
      <c r="I1254" s="9" t="str">
        <f>IFERROR(__xludf.DUMMYFUNCTION("""COMPUTED_VALUE"""),"Tel")</f>
        <v>Tel</v>
      </c>
      <c r="J1254" s="9" t="str">
        <f>IFERROR(__xludf.DUMMYFUNCTION("""COMPUTED_VALUE"""),"Cx")</f>
        <v>Cx</v>
      </c>
      <c r="K1254" s="9" t="str">
        <f>IFERROR(__xludf.DUMMYFUNCTION("""COMPUTED_VALUE"""),"NCx")</f>
        <v>NCx</v>
      </c>
      <c r="L1254" s="9" t="str">
        <f>IFERROR(__xludf.DUMMYFUNCTION("""COMPUTED_VALUE"""),"TCx")</f>
        <v>TCx</v>
      </c>
      <c r="M1254" s="9" t="str">
        <f>IFERROR(__xludf.DUMMYFUNCTION("""COMPUTED_VALUE"""),"VLTC")</f>
        <v>VLTC</v>
      </c>
      <c r="N1254" s="9" t="str">
        <f>IFERROR(__xludf.DUMMYFUNCTION("""COMPUTED_VALUE"""),"MITC")</f>
        <v>MITC</v>
      </c>
      <c r="O1254" s="9" t="str">
        <f>IFERROR(__xludf.DUMMYFUNCTION("""COMPUTED_VALUE"""),"A36")</f>
        <v>A36</v>
      </c>
      <c r="P1254" s="9" t="str">
        <f>IFERROR(__xludf.DUMMYFUNCTION("""COMPUTED_VALUE"""),"A36r")</f>
        <v>A36r</v>
      </c>
      <c r="Q1254" s="9"/>
      <c r="R1254" s="9"/>
      <c r="S1254" s="42" t="str">
        <f>IFERROR(__xludf.DUMMYFUNCTION("""COMPUTED_VALUE"""),"A36r1;
A36r2;
A36r3;
A36r4;
A36r5;
A36r6")</f>
        <v>A36r1;
A36r2;
A36r3;
A36r4;
A36r5;
A36r6</v>
      </c>
      <c r="T1254" s="42"/>
      <c r="U1254" s="42" t="b">
        <f>IFERROR(__xludf.DUMMYFUNCTION("""COMPUTED_VALUE"""),FALSE)</f>
        <v>0</v>
      </c>
      <c r="V1254" s="42"/>
      <c r="W1254" s="42"/>
      <c r="X1254" s="42"/>
      <c r="Y1254" s="42"/>
      <c r="Z1254" s="42"/>
      <c r="AA1254" s="42"/>
      <c r="AB1254" s="42" t="str">
        <f>IFERROR(__xludf.DUMMYFUNCTION("""COMPUTED_VALUE"""),"allen institute")</f>
        <v>allen institute</v>
      </c>
      <c r="AC1254" s="42" t="str">
        <f>IFERROR(__xludf.DUMMYFUNCTION("""COMPUTED_VALUE"""),"DHBA")</f>
        <v>DHBA</v>
      </c>
      <c r="AD1254" s="42"/>
      <c r="AE1254" s="42"/>
      <c r="AF1254" s="9"/>
      <c r="AG1254" s="9"/>
      <c r="AH1254" s="42"/>
      <c r="AI1254" s="42"/>
      <c r="AJ1254" s="42"/>
      <c r="AK1254" s="42"/>
      <c r="AL1254" s="42"/>
      <c r="AM1254" s="42"/>
      <c r="AN1254" s="42"/>
      <c r="AO1254" s="63" t="str">
        <f>IFERROR(__xludf.DUMMYFUNCTION("IF(ISBLANK(A1254),,IF(ISBLANK(S1254), A1254&amp;"";"", TEXTJOIN(CHAR(10), TRUE, A1254&amp;"";"", ARRAYFORMULA(VLOOKUP(SPLIT(S1254, "";"" &amp; CHAR(10)), $A:$AO, 41, FALSE)))))"),"A36r;
A36r1;
A36r2;
A36r3;
A36r4;
A36r5;
A36r6;")</f>
        <v>A36r;
A36r1;
A36r2;
A36r3;
A36r4;
A36r5;
A36r6;</v>
      </c>
      <c r="AP1254" s="89"/>
    </row>
    <row r="1255">
      <c r="A1255" s="151" t="str">
        <f>IFERROR(__xludf.DUMMYFUNCTION("""COMPUTED_VALUE"""),"A36r1")</f>
        <v>A36r1</v>
      </c>
      <c r="B1255" s="42" t="str">
        <f>IFERROR(__xludf.DUMMYFUNCTION("""COMPUTED_VALUE"""),"DHBA")</f>
        <v>DHBA</v>
      </c>
      <c r="C1255" s="42" t="str">
        <f>IFERROR(__xludf.DUMMYFUNCTION("""COMPUTED_VALUE"""),"layer I of area 36r")</f>
        <v>layer I of area 36r</v>
      </c>
      <c r="D1255" s="42">
        <f>IFERROR(__xludf.DUMMYFUNCTION("""COMPUTED_VALUE"""),1188.0)</f>
        <v>1188</v>
      </c>
      <c r="E1255" s="39" t="str">
        <f>IFERROR(__xludf.DUMMYFUNCTION("""COMPUTED_VALUE"""),"layer I of area 36r")</f>
        <v>layer I of area 36r</v>
      </c>
      <c r="F1255" s="9" t="str">
        <f>IFERROR(__xludf.DUMMYFUNCTION("""COMPUTED_VALUE"""),"Br")</f>
        <v>Br</v>
      </c>
      <c r="G1255" s="9" t="str">
        <f>IFERROR(__xludf.DUMMYFUNCTION("""COMPUTED_VALUE"""),"F")</f>
        <v>F</v>
      </c>
      <c r="H1255" s="9" t="str">
        <f>IFERROR(__xludf.DUMMYFUNCTION("""COMPUTED_VALUE"""),"FGM")</f>
        <v>FGM</v>
      </c>
      <c r="I1255" s="9" t="str">
        <f>IFERROR(__xludf.DUMMYFUNCTION("""COMPUTED_VALUE"""),"Tel")</f>
        <v>Tel</v>
      </c>
      <c r="J1255" s="9" t="str">
        <f>IFERROR(__xludf.DUMMYFUNCTION("""COMPUTED_VALUE"""),"Cx")</f>
        <v>Cx</v>
      </c>
      <c r="K1255" s="9" t="str">
        <f>IFERROR(__xludf.DUMMYFUNCTION("""COMPUTED_VALUE"""),"NCx")</f>
        <v>NCx</v>
      </c>
      <c r="L1255" s="9" t="str">
        <f>IFERROR(__xludf.DUMMYFUNCTION("""COMPUTED_VALUE"""),"TCx")</f>
        <v>TCx</v>
      </c>
      <c r="M1255" s="9" t="str">
        <f>IFERROR(__xludf.DUMMYFUNCTION("""COMPUTED_VALUE"""),"VLTC")</f>
        <v>VLTC</v>
      </c>
      <c r="N1255" s="9" t="str">
        <f>IFERROR(__xludf.DUMMYFUNCTION("""COMPUTED_VALUE"""),"MITC")</f>
        <v>MITC</v>
      </c>
      <c r="O1255" s="9" t="str">
        <f>IFERROR(__xludf.DUMMYFUNCTION("""COMPUTED_VALUE"""),"A36")</f>
        <v>A36</v>
      </c>
      <c r="P1255" s="9" t="str">
        <f>IFERROR(__xludf.DUMMYFUNCTION("""COMPUTED_VALUE"""),"A36r")</f>
        <v>A36r</v>
      </c>
      <c r="Q1255" s="9" t="str">
        <f>IFERROR(__xludf.DUMMYFUNCTION("""COMPUTED_VALUE"""),"A36r1")</f>
        <v>A36r1</v>
      </c>
      <c r="R1255" s="9"/>
      <c r="S1255" s="42"/>
      <c r="T1255" s="42"/>
      <c r="U1255" s="42"/>
      <c r="V1255" s="42"/>
      <c r="W1255" s="42"/>
      <c r="X1255" s="42"/>
      <c r="Y1255" s="42"/>
      <c r="Z1255" s="42"/>
      <c r="AA1255" s="42"/>
      <c r="AB1255" s="42" t="str">
        <f>IFERROR(__xludf.DUMMYFUNCTION("""COMPUTED_VALUE"""),"allen institute")</f>
        <v>allen institute</v>
      </c>
      <c r="AC1255" s="42" t="str">
        <f>IFERROR(__xludf.DUMMYFUNCTION("""COMPUTED_VALUE"""),"DHBA")</f>
        <v>DHBA</v>
      </c>
      <c r="AD1255" s="42"/>
      <c r="AE1255" s="42"/>
      <c r="AF1255" s="9"/>
      <c r="AG1255" s="9"/>
      <c r="AH1255" s="42"/>
      <c r="AI1255" s="42"/>
      <c r="AJ1255" s="42"/>
      <c r="AK1255" s="42"/>
      <c r="AL1255" s="42"/>
      <c r="AM1255" s="42"/>
      <c r="AN1255" s="42"/>
      <c r="AO1255" s="63" t="str">
        <f>IFERROR(__xludf.DUMMYFUNCTION("IF(ISBLANK(A1255),,IF(ISBLANK(S1255), A1255&amp;"";"", TEXTJOIN(CHAR(10), TRUE, A1255&amp;"";"", ARRAYFORMULA(VLOOKUP(SPLIT(S1255, "";"" &amp; CHAR(10)), $A:$AO, 41, FALSE)))))"),"A36r1;")</f>
        <v>A36r1;</v>
      </c>
      <c r="AP1255" s="89"/>
    </row>
    <row r="1256">
      <c r="A1256" s="151" t="str">
        <f>IFERROR(__xludf.DUMMYFUNCTION("""COMPUTED_VALUE"""),"A36r2")</f>
        <v>A36r2</v>
      </c>
      <c r="B1256" s="42" t="str">
        <f>IFERROR(__xludf.DUMMYFUNCTION("""COMPUTED_VALUE"""),"DHBA")</f>
        <v>DHBA</v>
      </c>
      <c r="C1256" s="42" t="str">
        <f>IFERROR(__xludf.DUMMYFUNCTION("""COMPUTED_VALUE"""),"layer II of area 36r")</f>
        <v>layer II of area 36r</v>
      </c>
      <c r="D1256" s="42">
        <f>IFERROR(__xludf.DUMMYFUNCTION("""COMPUTED_VALUE"""),1189.0)</f>
        <v>1189</v>
      </c>
      <c r="E1256" s="39" t="str">
        <f>IFERROR(__xludf.DUMMYFUNCTION("""COMPUTED_VALUE"""),"layer II of area 36r")</f>
        <v>layer II of area 36r</v>
      </c>
      <c r="F1256" s="9" t="str">
        <f>IFERROR(__xludf.DUMMYFUNCTION("""COMPUTED_VALUE"""),"Br")</f>
        <v>Br</v>
      </c>
      <c r="G1256" s="9" t="str">
        <f>IFERROR(__xludf.DUMMYFUNCTION("""COMPUTED_VALUE"""),"F")</f>
        <v>F</v>
      </c>
      <c r="H1256" s="9" t="str">
        <f>IFERROR(__xludf.DUMMYFUNCTION("""COMPUTED_VALUE"""),"FGM")</f>
        <v>FGM</v>
      </c>
      <c r="I1256" s="9" t="str">
        <f>IFERROR(__xludf.DUMMYFUNCTION("""COMPUTED_VALUE"""),"Tel")</f>
        <v>Tel</v>
      </c>
      <c r="J1256" s="9" t="str">
        <f>IFERROR(__xludf.DUMMYFUNCTION("""COMPUTED_VALUE"""),"Cx")</f>
        <v>Cx</v>
      </c>
      <c r="K1256" s="9" t="str">
        <f>IFERROR(__xludf.DUMMYFUNCTION("""COMPUTED_VALUE"""),"NCx")</f>
        <v>NCx</v>
      </c>
      <c r="L1256" s="9" t="str">
        <f>IFERROR(__xludf.DUMMYFUNCTION("""COMPUTED_VALUE"""),"TCx")</f>
        <v>TCx</v>
      </c>
      <c r="M1256" s="9" t="str">
        <f>IFERROR(__xludf.DUMMYFUNCTION("""COMPUTED_VALUE"""),"VLTC")</f>
        <v>VLTC</v>
      </c>
      <c r="N1256" s="9" t="str">
        <f>IFERROR(__xludf.DUMMYFUNCTION("""COMPUTED_VALUE"""),"MITC")</f>
        <v>MITC</v>
      </c>
      <c r="O1256" s="9" t="str">
        <f>IFERROR(__xludf.DUMMYFUNCTION("""COMPUTED_VALUE"""),"A36")</f>
        <v>A36</v>
      </c>
      <c r="P1256" s="9" t="str">
        <f>IFERROR(__xludf.DUMMYFUNCTION("""COMPUTED_VALUE"""),"A36r")</f>
        <v>A36r</v>
      </c>
      <c r="Q1256" s="9" t="str">
        <f>IFERROR(__xludf.DUMMYFUNCTION("""COMPUTED_VALUE"""),"A36r2")</f>
        <v>A36r2</v>
      </c>
      <c r="R1256" s="9"/>
      <c r="S1256" s="42"/>
      <c r="T1256" s="42"/>
      <c r="U1256" s="42"/>
      <c r="V1256" s="42"/>
      <c r="W1256" s="42"/>
      <c r="X1256" s="42"/>
      <c r="Y1256" s="42"/>
      <c r="Z1256" s="42"/>
      <c r="AA1256" s="42"/>
      <c r="AB1256" s="42" t="str">
        <f>IFERROR(__xludf.DUMMYFUNCTION("""COMPUTED_VALUE"""),"allen institute")</f>
        <v>allen institute</v>
      </c>
      <c r="AC1256" s="42" t="str">
        <f>IFERROR(__xludf.DUMMYFUNCTION("""COMPUTED_VALUE"""),"DHBA")</f>
        <v>DHBA</v>
      </c>
      <c r="AD1256" s="42"/>
      <c r="AE1256" s="42"/>
      <c r="AF1256" s="9"/>
      <c r="AG1256" s="9"/>
      <c r="AH1256" s="42"/>
      <c r="AI1256" s="42"/>
      <c r="AJ1256" s="42"/>
      <c r="AK1256" s="42"/>
      <c r="AL1256" s="42"/>
      <c r="AM1256" s="42"/>
      <c r="AN1256" s="42"/>
      <c r="AO1256" s="63" t="str">
        <f>IFERROR(__xludf.DUMMYFUNCTION("IF(ISBLANK(A1256),,IF(ISBLANK(S1256), A1256&amp;"";"", TEXTJOIN(CHAR(10), TRUE, A1256&amp;"";"", ARRAYFORMULA(VLOOKUP(SPLIT(S1256, "";"" &amp; CHAR(10)), $A:$AO, 41, FALSE)))))"),"A36r2;")</f>
        <v>A36r2;</v>
      </c>
      <c r="AP1256" s="89"/>
    </row>
    <row r="1257">
      <c r="A1257" s="151" t="str">
        <f>IFERROR(__xludf.DUMMYFUNCTION("""COMPUTED_VALUE"""),"A36r3")</f>
        <v>A36r3</v>
      </c>
      <c r="B1257" s="42" t="str">
        <f>IFERROR(__xludf.DUMMYFUNCTION("""COMPUTED_VALUE"""),"DHBA")</f>
        <v>DHBA</v>
      </c>
      <c r="C1257" s="42" t="str">
        <f>IFERROR(__xludf.DUMMYFUNCTION("""COMPUTED_VALUE"""),"layer III of area 36r")</f>
        <v>layer III of area 36r</v>
      </c>
      <c r="D1257" s="42">
        <f>IFERROR(__xludf.DUMMYFUNCTION("""COMPUTED_VALUE"""),1190.0)</f>
        <v>1190</v>
      </c>
      <c r="E1257" s="39" t="str">
        <f>IFERROR(__xludf.DUMMYFUNCTION("""COMPUTED_VALUE"""),"layer III of area 36r")</f>
        <v>layer III of area 36r</v>
      </c>
      <c r="F1257" s="9" t="str">
        <f>IFERROR(__xludf.DUMMYFUNCTION("""COMPUTED_VALUE"""),"Br")</f>
        <v>Br</v>
      </c>
      <c r="G1257" s="9" t="str">
        <f>IFERROR(__xludf.DUMMYFUNCTION("""COMPUTED_VALUE"""),"F")</f>
        <v>F</v>
      </c>
      <c r="H1257" s="9" t="str">
        <f>IFERROR(__xludf.DUMMYFUNCTION("""COMPUTED_VALUE"""),"FGM")</f>
        <v>FGM</v>
      </c>
      <c r="I1257" s="9" t="str">
        <f>IFERROR(__xludf.DUMMYFUNCTION("""COMPUTED_VALUE"""),"Tel")</f>
        <v>Tel</v>
      </c>
      <c r="J1257" s="9" t="str">
        <f>IFERROR(__xludf.DUMMYFUNCTION("""COMPUTED_VALUE"""),"Cx")</f>
        <v>Cx</v>
      </c>
      <c r="K1257" s="9" t="str">
        <f>IFERROR(__xludf.DUMMYFUNCTION("""COMPUTED_VALUE"""),"NCx")</f>
        <v>NCx</v>
      </c>
      <c r="L1257" s="9" t="str">
        <f>IFERROR(__xludf.DUMMYFUNCTION("""COMPUTED_VALUE"""),"TCx")</f>
        <v>TCx</v>
      </c>
      <c r="M1257" s="9" t="str">
        <f>IFERROR(__xludf.DUMMYFUNCTION("""COMPUTED_VALUE"""),"VLTC")</f>
        <v>VLTC</v>
      </c>
      <c r="N1257" s="9" t="str">
        <f>IFERROR(__xludf.DUMMYFUNCTION("""COMPUTED_VALUE"""),"MITC")</f>
        <v>MITC</v>
      </c>
      <c r="O1257" s="9" t="str">
        <f>IFERROR(__xludf.DUMMYFUNCTION("""COMPUTED_VALUE"""),"A36")</f>
        <v>A36</v>
      </c>
      <c r="P1257" s="9" t="str">
        <f>IFERROR(__xludf.DUMMYFUNCTION("""COMPUTED_VALUE"""),"A36r")</f>
        <v>A36r</v>
      </c>
      <c r="Q1257" s="9" t="str">
        <f>IFERROR(__xludf.DUMMYFUNCTION("""COMPUTED_VALUE"""),"A36r3")</f>
        <v>A36r3</v>
      </c>
      <c r="R1257" s="9"/>
      <c r="S1257" s="42"/>
      <c r="T1257" s="42"/>
      <c r="U1257" s="42"/>
      <c r="V1257" s="42"/>
      <c r="W1257" s="42"/>
      <c r="X1257" s="42"/>
      <c r="Y1257" s="42"/>
      <c r="Z1257" s="42"/>
      <c r="AA1257" s="42"/>
      <c r="AB1257" s="42" t="str">
        <f>IFERROR(__xludf.DUMMYFUNCTION("""COMPUTED_VALUE"""),"allen institute")</f>
        <v>allen institute</v>
      </c>
      <c r="AC1257" s="42" t="str">
        <f>IFERROR(__xludf.DUMMYFUNCTION("""COMPUTED_VALUE"""),"DHBA")</f>
        <v>DHBA</v>
      </c>
      <c r="AD1257" s="42"/>
      <c r="AE1257" s="42"/>
      <c r="AF1257" s="9"/>
      <c r="AG1257" s="9"/>
      <c r="AH1257" s="42"/>
      <c r="AI1257" s="42"/>
      <c r="AJ1257" s="42"/>
      <c r="AK1257" s="42"/>
      <c r="AL1257" s="42"/>
      <c r="AM1257" s="42"/>
      <c r="AN1257" s="42"/>
      <c r="AO1257" s="63" t="str">
        <f>IFERROR(__xludf.DUMMYFUNCTION("IF(ISBLANK(A1257),,IF(ISBLANK(S1257), A1257&amp;"";"", TEXTJOIN(CHAR(10), TRUE, A1257&amp;"";"", ARRAYFORMULA(VLOOKUP(SPLIT(S1257, "";"" &amp; CHAR(10)), $A:$AO, 41, FALSE)))))"),"A36r3;")</f>
        <v>A36r3;</v>
      </c>
      <c r="AP1257" s="89"/>
    </row>
    <row r="1258">
      <c r="A1258" s="151" t="str">
        <f>IFERROR(__xludf.DUMMYFUNCTION("""COMPUTED_VALUE"""),"A36r4")</f>
        <v>A36r4</v>
      </c>
      <c r="B1258" s="42" t="str">
        <f>IFERROR(__xludf.DUMMYFUNCTION("""COMPUTED_VALUE"""),"DHBA")</f>
        <v>DHBA</v>
      </c>
      <c r="C1258" s="42" t="str">
        <f>IFERROR(__xludf.DUMMYFUNCTION("""COMPUTED_VALUE"""),"layer IV of area 36r")</f>
        <v>layer IV of area 36r</v>
      </c>
      <c r="D1258" s="42">
        <f>IFERROR(__xludf.DUMMYFUNCTION("""COMPUTED_VALUE"""),1191.0)</f>
        <v>1191</v>
      </c>
      <c r="E1258" s="39" t="str">
        <f>IFERROR(__xludf.DUMMYFUNCTION("""COMPUTED_VALUE"""),"layer IV of area 36r")</f>
        <v>layer IV of area 36r</v>
      </c>
      <c r="F1258" s="9" t="str">
        <f>IFERROR(__xludf.DUMMYFUNCTION("""COMPUTED_VALUE"""),"Br")</f>
        <v>Br</v>
      </c>
      <c r="G1258" s="9" t="str">
        <f>IFERROR(__xludf.DUMMYFUNCTION("""COMPUTED_VALUE"""),"F")</f>
        <v>F</v>
      </c>
      <c r="H1258" s="9" t="str">
        <f>IFERROR(__xludf.DUMMYFUNCTION("""COMPUTED_VALUE"""),"FGM")</f>
        <v>FGM</v>
      </c>
      <c r="I1258" s="9" t="str">
        <f>IFERROR(__xludf.DUMMYFUNCTION("""COMPUTED_VALUE"""),"Tel")</f>
        <v>Tel</v>
      </c>
      <c r="J1258" s="9" t="str">
        <f>IFERROR(__xludf.DUMMYFUNCTION("""COMPUTED_VALUE"""),"Cx")</f>
        <v>Cx</v>
      </c>
      <c r="K1258" s="9" t="str">
        <f>IFERROR(__xludf.DUMMYFUNCTION("""COMPUTED_VALUE"""),"NCx")</f>
        <v>NCx</v>
      </c>
      <c r="L1258" s="9" t="str">
        <f>IFERROR(__xludf.DUMMYFUNCTION("""COMPUTED_VALUE"""),"TCx")</f>
        <v>TCx</v>
      </c>
      <c r="M1258" s="9" t="str">
        <f>IFERROR(__xludf.DUMMYFUNCTION("""COMPUTED_VALUE"""),"VLTC")</f>
        <v>VLTC</v>
      </c>
      <c r="N1258" s="9" t="str">
        <f>IFERROR(__xludf.DUMMYFUNCTION("""COMPUTED_VALUE"""),"MITC")</f>
        <v>MITC</v>
      </c>
      <c r="O1258" s="9" t="str">
        <f>IFERROR(__xludf.DUMMYFUNCTION("""COMPUTED_VALUE"""),"A36")</f>
        <v>A36</v>
      </c>
      <c r="P1258" s="9" t="str">
        <f>IFERROR(__xludf.DUMMYFUNCTION("""COMPUTED_VALUE"""),"A36r")</f>
        <v>A36r</v>
      </c>
      <c r="Q1258" s="9" t="str">
        <f>IFERROR(__xludf.DUMMYFUNCTION("""COMPUTED_VALUE"""),"A36r4")</f>
        <v>A36r4</v>
      </c>
      <c r="R1258" s="9"/>
      <c r="S1258" s="42"/>
      <c r="T1258" s="42"/>
      <c r="U1258" s="42"/>
      <c r="V1258" s="42"/>
      <c r="W1258" s="42"/>
      <c r="X1258" s="42"/>
      <c r="Y1258" s="42"/>
      <c r="Z1258" s="42"/>
      <c r="AA1258" s="42"/>
      <c r="AB1258" s="42" t="str">
        <f>IFERROR(__xludf.DUMMYFUNCTION("""COMPUTED_VALUE"""),"allen institute")</f>
        <v>allen institute</v>
      </c>
      <c r="AC1258" s="42" t="str">
        <f>IFERROR(__xludf.DUMMYFUNCTION("""COMPUTED_VALUE"""),"DHBA")</f>
        <v>DHBA</v>
      </c>
      <c r="AD1258" s="42"/>
      <c r="AE1258" s="42"/>
      <c r="AF1258" s="9"/>
      <c r="AG1258" s="9"/>
      <c r="AH1258" s="42"/>
      <c r="AI1258" s="42"/>
      <c r="AJ1258" s="42"/>
      <c r="AK1258" s="42"/>
      <c r="AL1258" s="42"/>
      <c r="AM1258" s="42"/>
      <c r="AN1258" s="42"/>
      <c r="AO1258" s="63" t="str">
        <f>IFERROR(__xludf.DUMMYFUNCTION("IF(ISBLANK(A1258),,IF(ISBLANK(S1258), A1258&amp;"";"", TEXTJOIN(CHAR(10), TRUE, A1258&amp;"";"", ARRAYFORMULA(VLOOKUP(SPLIT(S1258, "";"" &amp; CHAR(10)), $A:$AO, 41, FALSE)))))"),"A36r4;")</f>
        <v>A36r4;</v>
      </c>
      <c r="AP1258" s="89"/>
    </row>
    <row r="1259">
      <c r="A1259" s="151" t="str">
        <f>IFERROR(__xludf.DUMMYFUNCTION("""COMPUTED_VALUE"""),"A36r5")</f>
        <v>A36r5</v>
      </c>
      <c r="B1259" s="42" t="str">
        <f>IFERROR(__xludf.DUMMYFUNCTION("""COMPUTED_VALUE"""),"DHBA")</f>
        <v>DHBA</v>
      </c>
      <c r="C1259" s="42" t="str">
        <f>IFERROR(__xludf.DUMMYFUNCTION("""COMPUTED_VALUE"""),"layer V of area 36r")</f>
        <v>layer V of area 36r</v>
      </c>
      <c r="D1259" s="42">
        <f>IFERROR(__xludf.DUMMYFUNCTION("""COMPUTED_VALUE"""),1192.0)</f>
        <v>1192</v>
      </c>
      <c r="E1259" s="39" t="str">
        <f>IFERROR(__xludf.DUMMYFUNCTION("""COMPUTED_VALUE"""),"layer V of area 36r")</f>
        <v>layer V of area 36r</v>
      </c>
      <c r="F1259" s="9" t="str">
        <f>IFERROR(__xludf.DUMMYFUNCTION("""COMPUTED_VALUE"""),"Br")</f>
        <v>Br</v>
      </c>
      <c r="G1259" s="9" t="str">
        <f>IFERROR(__xludf.DUMMYFUNCTION("""COMPUTED_VALUE"""),"F")</f>
        <v>F</v>
      </c>
      <c r="H1259" s="9" t="str">
        <f>IFERROR(__xludf.DUMMYFUNCTION("""COMPUTED_VALUE"""),"FGM")</f>
        <v>FGM</v>
      </c>
      <c r="I1259" s="9" t="str">
        <f>IFERROR(__xludf.DUMMYFUNCTION("""COMPUTED_VALUE"""),"Tel")</f>
        <v>Tel</v>
      </c>
      <c r="J1259" s="9" t="str">
        <f>IFERROR(__xludf.DUMMYFUNCTION("""COMPUTED_VALUE"""),"Cx")</f>
        <v>Cx</v>
      </c>
      <c r="K1259" s="9" t="str">
        <f>IFERROR(__xludf.DUMMYFUNCTION("""COMPUTED_VALUE"""),"NCx")</f>
        <v>NCx</v>
      </c>
      <c r="L1259" s="9" t="str">
        <f>IFERROR(__xludf.DUMMYFUNCTION("""COMPUTED_VALUE"""),"TCx")</f>
        <v>TCx</v>
      </c>
      <c r="M1259" s="9" t="str">
        <f>IFERROR(__xludf.DUMMYFUNCTION("""COMPUTED_VALUE"""),"VLTC")</f>
        <v>VLTC</v>
      </c>
      <c r="N1259" s="9" t="str">
        <f>IFERROR(__xludf.DUMMYFUNCTION("""COMPUTED_VALUE"""),"MITC")</f>
        <v>MITC</v>
      </c>
      <c r="O1259" s="9" t="str">
        <f>IFERROR(__xludf.DUMMYFUNCTION("""COMPUTED_VALUE"""),"A36")</f>
        <v>A36</v>
      </c>
      <c r="P1259" s="9" t="str">
        <f>IFERROR(__xludf.DUMMYFUNCTION("""COMPUTED_VALUE"""),"A36r")</f>
        <v>A36r</v>
      </c>
      <c r="Q1259" s="9" t="str">
        <f>IFERROR(__xludf.DUMMYFUNCTION("""COMPUTED_VALUE"""),"A36r5")</f>
        <v>A36r5</v>
      </c>
      <c r="R1259" s="9"/>
      <c r="S1259" s="42"/>
      <c r="T1259" s="42"/>
      <c r="U1259" s="42"/>
      <c r="V1259" s="42"/>
      <c r="W1259" s="42"/>
      <c r="X1259" s="42"/>
      <c r="Y1259" s="42"/>
      <c r="Z1259" s="42"/>
      <c r="AA1259" s="42"/>
      <c r="AB1259" s="42" t="str">
        <f>IFERROR(__xludf.DUMMYFUNCTION("""COMPUTED_VALUE"""),"allen institute")</f>
        <v>allen institute</v>
      </c>
      <c r="AC1259" s="42" t="str">
        <f>IFERROR(__xludf.DUMMYFUNCTION("""COMPUTED_VALUE"""),"DHBA")</f>
        <v>DHBA</v>
      </c>
      <c r="AD1259" s="42"/>
      <c r="AE1259" s="42"/>
      <c r="AF1259" s="9"/>
      <c r="AG1259" s="9"/>
      <c r="AH1259" s="42"/>
      <c r="AI1259" s="42"/>
      <c r="AJ1259" s="42"/>
      <c r="AK1259" s="42"/>
      <c r="AL1259" s="42"/>
      <c r="AM1259" s="42"/>
      <c r="AN1259" s="42"/>
      <c r="AO1259" s="63" t="str">
        <f>IFERROR(__xludf.DUMMYFUNCTION("IF(ISBLANK(A1259),,IF(ISBLANK(S1259), A1259&amp;"";"", TEXTJOIN(CHAR(10), TRUE, A1259&amp;"";"", ARRAYFORMULA(VLOOKUP(SPLIT(S1259, "";"" &amp; CHAR(10)), $A:$AO, 41, FALSE)))))"),"A36r5;")</f>
        <v>A36r5;</v>
      </c>
      <c r="AP1259" s="89"/>
    </row>
    <row r="1260">
      <c r="A1260" s="151" t="str">
        <f>IFERROR(__xludf.DUMMYFUNCTION("""COMPUTED_VALUE"""),"A36r6")</f>
        <v>A36r6</v>
      </c>
      <c r="B1260" s="42" t="str">
        <f>IFERROR(__xludf.DUMMYFUNCTION("""COMPUTED_VALUE"""),"DHBA")</f>
        <v>DHBA</v>
      </c>
      <c r="C1260" s="42" t="str">
        <f>IFERROR(__xludf.DUMMYFUNCTION("""COMPUTED_VALUE"""),"layer VI of area 36r")</f>
        <v>layer VI of area 36r</v>
      </c>
      <c r="D1260" s="42">
        <f>IFERROR(__xludf.DUMMYFUNCTION("""COMPUTED_VALUE"""),1193.0)</f>
        <v>1193</v>
      </c>
      <c r="E1260" s="39" t="str">
        <f>IFERROR(__xludf.DUMMYFUNCTION("""COMPUTED_VALUE"""),"layer VI of area 36r")</f>
        <v>layer VI of area 36r</v>
      </c>
      <c r="F1260" s="9" t="str">
        <f>IFERROR(__xludf.DUMMYFUNCTION("""COMPUTED_VALUE"""),"Br")</f>
        <v>Br</v>
      </c>
      <c r="G1260" s="9" t="str">
        <f>IFERROR(__xludf.DUMMYFUNCTION("""COMPUTED_VALUE"""),"F")</f>
        <v>F</v>
      </c>
      <c r="H1260" s="9" t="str">
        <f>IFERROR(__xludf.DUMMYFUNCTION("""COMPUTED_VALUE"""),"FGM")</f>
        <v>FGM</v>
      </c>
      <c r="I1260" s="9" t="str">
        <f>IFERROR(__xludf.DUMMYFUNCTION("""COMPUTED_VALUE"""),"Tel")</f>
        <v>Tel</v>
      </c>
      <c r="J1260" s="9" t="str">
        <f>IFERROR(__xludf.DUMMYFUNCTION("""COMPUTED_VALUE"""),"Cx")</f>
        <v>Cx</v>
      </c>
      <c r="K1260" s="9" t="str">
        <f>IFERROR(__xludf.DUMMYFUNCTION("""COMPUTED_VALUE"""),"NCx")</f>
        <v>NCx</v>
      </c>
      <c r="L1260" s="9" t="str">
        <f>IFERROR(__xludf.DUMMYFUNCTION("""COMPUTED_VALUE"""),"TCx")</f>
        <v>TCx</v>
      </c>
      <c r="M1260" s="9" t="str">
        <f>IFERROR(__xludf.DUMMYFUNCTION("""COMPUTED_VALUE"""),"VLTC")</f>
        <v>VLTC</v>
      </c>
      <c r="N1260" s="9" t="str">
        <f>IFERROR(__xludf.DUMMYFUNCTION("""COMPUTED_VALUE"""),"MITC")</f>
        <v>MITC</v>
      </c>
      <c r="O1260" s="9" t="str">
        <f>IFERROR(__xludf.DUMMYFUNCTION("""COMPUTED_VALUE"""),"A36")</f>
        <v>A36</v>
      </c>
      <c r="P1260" s="9" t="str">
        <f>IFERROR(__xludf.DUMMYFUNCTION("""COMPUTED_VALUE"""),"A36r")</f>
        <v>A36r</v>
      </c>
      <c r="Q1260" s="9" t="str">
        <f>IFERROR(__xludf.DUMMYFUNCTION("""COMPUTED_VALUE"""),"A36r6")</f>
        <v>A36r6</v>
      </c>
      <c r="R1260" s="9"/>
      <c r="S1260" s="42"/>
      <c r="T1260" s="42"/>
      <c r="U1260" s="159"/>
      <c r="V1260" s="42"/>
      <c r="W1260" s="42"/>
      <c r="X1260" s="42"/>
      <c r="Y1260" s="42"/>
      <c r="Z1260" s="42"/>
      <c r="AA1260" s="42"/>
      <c r="AB1260" s="42" t="str">
        <f>IFERROR(__xludf.DUMMYFUNCTION("""COMPUTED_VALUE"""),"allen institute")</f>
        <v>allen institute</v>
      </c>
      <c r="AC1260" s="42" t="str">
        <f>IFERROR(__xludf.DUMMYFUNCTION("""COMPUTED_VALUE"""),"DHBA")</f>
        <v>DHBA</v>
      </c>
      <c r="AD1260" s="42"/>
      <c r="AE1260" s="42"/>
      <c r="AF1260" s="9"/>
      <c r="AG1260" s="9"/>
      <c r="AH1260" s="42"/>
      <c r="AI1260" s="42"/>
      <c r="AJ1260" s="42"/>
      <c r="AK1260" s="42"/>
      <c r="AL1260" s="42"/>
      <c r="AM1260" s="42"/>
      <c r="AN1260" s="42"/>
      <c r="AO1260" s="63" t="str">
        <f>IFERROR(__xludf.DUMMYFUNCTION("IF(ISBLANK(A1260),,IF(ISBLANK(S1260), A1260&amp;"";"", TEXTJOIN(CHAR(10), TRUE, A1260&amp;"";"", ARRAYFORMULA(VLOOKUP(SPLIT(S1260, "";"" &amp; CHAR(10)), $A:$AO, 41, FALSE)))))"),"A36r6;")</f>
        <v>A36r6;</v>
      </c>
      <c r="AP1260" s="89"/>
    </row>
    <row r="1261">
      <c r="A1261" s="151" t="str">
        <f>IFERROR(__xludf.DUMMYFUNCTION("""COMPUTED_VALUE"""),"A36c")</f>
        <v>A36c</v>
      </c>
      <c r="B1261" s="42" t="str">
        <f>IFERROR(__xludf.DUMMYFUNCTION("""COMPUTED_VALUE"""),"DHBA")</f>
        <v>DHBA</v>
      </c>
      <c r="C1261" s="42" t="str">
        <f>IFERROR(__xludf.DUMMYFUNCTION("""COMPUTED_VALUE"""),"caudal subdivision of area 36")</f>
        <v>caudal subdivision of area 36</v>
      </c>
      <c r="D1261" s="42">
        <f>IFERROR(__xludf.DUMMYFUNCTION("""COMPUTED_VALUE"""),1194.0)</f>
        <v>1194</v>
      </c>
      <c r="E1261" s="39" t="str">
        <f>IFERROR(__xludf.DUMMYFUNCTION("""COMPUTED_VALUE"""),"caudal subdivision of area 36")</f>
        <v>caudal subdivision of area 36</v>
      </c>
      <c r="F1261" s="9" t="str">
        <f>IFERROR(__xludf.DUMMYFUNCTION("""COMPUTED_VALUE"""),"Br")</f>
        <v>Br</v>
      </c>
      <c r="G1261" s="9" t="str">
        <f>IFERROR(__xludf.DUMMYFUNCTION("""COMPUTED_VALUE"""),"F")</f>
        <v>F</v>
      </c>
      <c r="H1261" s="9" t="str">
        <f>IFERROR(__xludf.DUMMYFUNCTION("""COMPUTED_VALUE"""),"FGM")</f>
        <v>FGM</v>
      </c>
      <c r="I1261" s="9" t="str">
        <f>IFERROR(__xludf.DUMMYFUNCTION("""COMPUTED_VALUE"""),"Tel")</f>
        <v>Tel</v>
      </c>
      <c r="J1261" s="9" t="str">
        <f>IFERROR(__xludf.DUMMYFUNCTION("""COMPUTED_VALUE"""),"Cx")</f>
        <v>Cx</v>
      </c>
      <c r="K1261" s="9" t="str">
        <f>IFERROR(__xludf.DUMMYFUNCTION("""COMPUTED_VALUE"""),"NCx")</f>
        <v>NCx</v>
      </c>
      <c r="L1261" s="9" t="str">
        <f>IFERROR(__xludf.DUMMYFUNCTION("""COMPUTED_VALUE"""),"TCx")</f>
        <v>TCx</v>
      </c>
      <c r="M1261" s="9" t="str">
        <f>IFERROR(__xludf.DUMMYFUNCTION("""COMPUTED_VALUE"""),"VLTC")</f>
        <v>VLTC</v>
      </c>
      <c r="N1261" s="9" t="str">
        <f>IFERROR(__xludf.DUMMYFUNCTION("""COMPUTED_VALUE"""),"MITC")</f>
        <v>MITC</v>
      </c>
      <c r="O1261" s="9" t="str">
        <f>IFERROR(__xludf.DUMMYFUNCTION("""COMPUTED_VALUE"""),"A36")</f>
        <v>A36</v>
      </c>
      <c r="P1261" s="9" t="str">
        <f>IFERROR(__xludf.DUMMYFUNCTION("""COMPUTED_VALUE"""),"A36c")</f>
        <v>A36c</v>
      </c>
      <c r="Q1261" s="9"/>
      <c r="R1261" s="9"/>
      <c r="S1261" s="42" t="str">
        <f>IFERROR(__xludf.DUMMYFUNCTION("""COMPUTED_VALUE"""),"A36c1;
A36c2;
A36c3;
A36c4;
A36c5;
A36c6")</f>
        <v>A36c1;
A36c2;
A36c3;
A36c4;
A36c5;
A36c6</v>
      </c>
      <c r="T1261" s="42"/>
      <c r="U1261" s="42" t="b">
        <f>IFERROR(__xludf.DUMMYFUNCTION("""COMPUTED_VALUE"""),FALSE)</f>
        <v>0</v>
      </c>
      <c r="V1261" s="42"/>
      <c r="W1261" s="42"/>
      <c r="X1261" s="42"/>
      <c r="Y1261" s="42"/>
      <c r="Z1261" s="42"/>
      <c r="AA1261" s="42"/>
      <c r="AB1261" s="42" t="str">
        <f>IFERROR(__xludf.DUMMYFUNCTION("""COMPUTED_VALUE"""),"allen institute")</f>
        <v>allen institute</v>
      </c>
      <c r="AC1261" s="42" t="str">
        <f>IFERROR(__xludf.DUMMYFUNCTION("""COMPUTED_VALUE"""),"DHBA")</f>
        <v>DHBA</v>
      </c>
      <c r="AD1261" s="42"/>
      <c r="AE1261" s="42"/>
      <c r="AF1261" s="9"/>
      <c r="AG1261" s="9"/>
      <c r="AH1261" s="42"/>
      <c r="AI1261" s="42"/>
      <c r="AJ1261" s="42"/>
      <c r="AK1261" s="42"/>
      <c r="AL1261" s="42"/>
      <c r="AM1261" s="42"/>
      <c r="AN1261" s="42"/>
      <c r="AO1261" s="63" t="str">
        <f>IFERROR(__xludf.DUMMYFUNCTION("IF(ISBLANK(A1261),,IF(ISBLANK(S1261), A1261&amp;"";"", TEXTJOIN(CHAR(10), TRUE, A1261&amp;"";"", ARRAYFORMULA(VLOOKUP(SPLIT(S1261, "";"" &amp; CHAR(10)), $A:$AO, 41, FALSE)))))"),"A36c;
A36c1;
A36c2;
A36c3;
A36c4;
A36c5;
A36c6;")</f>
        <v>A36c;
A36c1;
A36c2;
A36c3;
A36c4;
A36c5;
A36c6;</v>
      </c>
      <c r="AP1261" s="89"/>
    </row>
    <row r="1262">
      <c r="A1262" s="151" t="str">
        <f>IFERROR(__xludf.DUMMYFUNCTION("""COMPUTED_VALUE"""),"A36c1")</f>
        <v>A36c1</v>
      </c>
      <c r="B1262" s="42" t="str">
        <f>IFERROR(__xludf.DUMMYFUNCTION("""COMPUTED_VALUE"""),"DHBA")</f>
        <v>DHBA</v>
      </c>
      <c r="C1262" s="42" t="str">
        <f>IFERROR(__xludf.DUMMYFUNCTION("""COMPUTED_VALUE"""),"layer I of area 36c")</f>
        <v>layer I of area 36c</v>
      </c>
      <c r="D1262" s="42">
        <f>IFERROR(__xludf.DUMMYFUNCTION("""COMPUTED_VALUE"""),1195.0)</f>
        <v>1195</v>
      </c>
      <c r="E1262" s="39" t="str">
        <f>IFERROR(__xludf.DUMMYFUNCTION("""COMPUTED_VALUE"""),"layer I of area 36c")</f>
        <v>layer I of area 36c</v>
      </c>
      <c r="F1262" s="9" t="str">
        <f>IFERROR(__xludf.DUMMYFUNCTION("""COMPUTED_VALUE"""),"Br")</f>
        <v>Br</v>
      </c>
      <c r="G1262" s="9" t="str">
        <f>IFERROR(__xludf.DUMMYFUNCTION("""COMPUTED_VALUE"""),"F")</f>
        <v>F</v>
      </c>
      <c r="H1262" s="9" t="str">
        <f>IFERROR(__xludf.DUMMYFUNCTION("""COMPUTED_VALUE"""),"FGM")</f>
        <v>FGM</v>
      </c>
      <c r="I1262" s="9" t="str">
        <f>IFERROR(__xludf.DUMMYFUNCTION("""COMPUTED_VALUE"""),"Tel")</f>
        <v>Tel</v>
      </c>
      <c r="J1262" s="9" t="str">
        <f>IFERROR(__xludf.DUMMYFUNCTION("""COMPUTED_VALUE"""),"Cx")</f>
        <v>Cx</v>
      </c>
      <c r="K1262" s="9" t="str">
        <f>IFERROR(__xludf.DUMMYFUNCTION("""COMPUTED_VALUE"""),"NCx")</f>
        <v>NCx</v>
      </c>
      <c r="L1262" s="9" t="str">
        <f>IFERROR(__xludf.DUMMYFUNCTION("""COMPUTED_VALUE"""),"TCx")</f>
        <v>TCx</v>
      </c>
      <c r="M1262" s="9" t="str">
        <f>IFERROR(__xludf.DUMMYFUNCTION("""COMPUTED_VALUE"""),"VLTC")</f>
        <v>VLTC</v>
      </c>
      <c r="N1262" s="9" t="str">
        <f>IFERROR(__xludf.DUMMYFUNCTION("""COMPUTED_VALUE"""),"MITC")</f>
        <v>MITC</v>
      </c>
      <c r="O1262" s="9" t="str">
        <f>IFERROR(__xludf.DUMMYFUNCTION("""COMPUTED_VALUE"""),"A36")</f>
        <v>A36</v>
      </c>
      <c r="P1262" s="9" t="str">
        <f>IFERROR(__xludf.DUMMYFUNCTION("""COMPUTED_VALUE"""),"A36c")</f>
        <v>A36c</v>
      </c>
      <c r="Q1262" s="9" t="str">
        <f>IFERROR(__xludf.DUMMYFUNCTION("""COMPUTED_VALUE"""),"A36c1")</f>
        <v>A36c1</v>
      </c>
      <c r="R1262" s="9"/>
      <c r="S1262" s="42"/>
      <c r="T1262" s="42"/>
      <c r="U1262" s="42"/>
      <c r="V1262" s="42"/>
      <c r="W1262" s="42"/>
      <c r="X1262" s="42"/>
      <c r="Y1262" s="42"/>
      <c r="Z1262" s="42"/>
      <c r="AA1262" s="42"/>
      <c r="AB1262" s="42" t="str">
        <f>IFERROR(__xludf.DUMMYFUNCTION("""COMPUTED_VALUE"""),"allen institute")</f>
        <v>allen institute</v>
      </c>
      <c r="AC1262" s="42" t="str">
        <f>IFERROR(__xludf.DUMMYFUNCTION("""COMPUTED_VALUE"""),"DHBA")</f>
        <v>DHBA</v>
      </c>
      <c r="AD1262" s="42"/>
      <c r="AE1262" s="42"/>
      <c r="AF1262" s="9"/>
      <c r="AG1262" s="9"/>
      <c r="AH1262" s="42"/>
      <c r="AI1262" s="42"/>
      <c r="AJ1262" s="42"/>
      <c r="AK1262" s="42"/>
      <c r="AL1262" s="42"/>
      <c r="AM1262" s="42"/>
      <c r="AN1262" s="42"/>
      <c r="AO1262" s="63" t="str">
        <f>IFERROR(__xludf.DUMMYFUNCTION("IF(ISBLANK(A1262),,IF(ISBLANK(S1262), A1262&amp;"";"", TEXTJOIN(CHAR(10), TRUE, A1262&amp;"";"", ARRAYFORMULA(VLOOKUP(SPLIT(S1262, "";"" &amp; CHAR(10)), $A:$AO, 41, FALSE)))))"),"A36c1;")</f>
        <v>A36c1;</v>
      </c>
      <c r="AP1262" s="89"/>
    </row>
    <row r="1263">
      <c r="A1263" s="151" t="str">
        <f>IFERROR(__xludf.DUMMYFUNCTION("""COMPUTED_VALUE"""),"A36c2")</f>
        <v>A36c2</v>
      </c>
      <c r="B1263" s="42" t="str">
        <f>IFERROR(__xludf.DUMMYFUNCTION("""COMPUTED_VALUE"""),"DHBA")</f>
        <v>DHBA</v>
      </c>
      <c r="C1263" s="42" t="str">
        <f>IFERROR(__xludf.DUMMYFUNCTION("""COMPUTED_VALUE"""),"layer II of area 36c")</f>
        <v>layer II of area 36c</v>
      </c>
      <c r="D1263" s="42">
        <f>IFERROR(__xludf.DUMMYFUNCTION("""COMPUTED_VALUE"""),1196.0)</f>
        <v>1196</v>
      </c>
      <c r="E1263" s="39" t="str">
        <f>IFERROR(__xludf.DUMMYFUNCTION("""COMPUTED_VALUE"""),"layer II of area 36c")</f>
        <v>layer II of area 36c</v>
      </c>
      <c r="F1263" s="9" t="str">
        <f>IFERROR(__xludf.DUMMYFUNCTION("""COMPUTED_VALUE"""),"Br")</f>
        <v>Br</v>
      </c>
      <c r="G1263" s="9" t="str">
        <f>IFERROR(__xludf.DUMMYFUNCTION("""COMPUTED_VALUE"""),"F")</f>
        <v>F</v>
      </c>
      <c r="H1263" s="9" t="str">
        <f>IFERROR(__xludf.DUMMYFUNCTION("""COMPUTED_VALUE"""),"FGM")</f>
        <v>FGM</v>
      </c>
      <c r="I1263" s="9" t="str">
        <f>IFERROR(__xludf.DUMMYFUNCTION("""COMPUTED_VALUE"""),"Tel")</f>
        <v>Tel</v>
      </c>
      <c r="J1263" s="9" t="str">
        <f>IFERROR(__xludf.DUMMYFUNCTION("""COMPUTED_VALUE"""),"Cx")</f>
        <v>Cx</v>
      </c>
      <c r="K1263" s="9" t="str">
        <f>IFERROR(__xludf.DUMMYFUNCTION("""COMPUTED_VALUE"""),"NCx")</f>
        <v>NCx</v>
      </c>
      <c r="L1263" s="9" t="str">
        <f>IFERROR(__xludf.DUMMYFUNCTION("""COMPUTED_VALUE"""),"TCx")</f>
        <v>TCx</v>
      </c>
      <c r="M1263" s="9" t="str">
        <f>IFERROR(__xludf.DUMMYFUNCTION("""COMPUTED_VALUE"""),"VLTC")</f>
        <v>VLTC</v>
      </c>
      <c r="N1263" s="9" t="str">
        <f>IFERROR(__xludf.DUMMYFUNCTION("""COMPUTED_VALUE"""),"MITC")</f>
        <v>MITC</v>
      </c>
      <c r="O1263" s="9" t="str">
        <f>IFERROR(__xludf.DUMMYFUNCTION("""COMPUTED_VALUE"""),"A36")</f>
        <v>A36</v>
      </c>
      <c r="P1263" s="9" t="str">
        <f>IFERROR(__xludf.DUMMYFUNCTION("""COMPUTED_VALUE"""),"A36c")</f>
        <v>A36c</v>
      </c>
      <c r="Q1263" s="9" t="str">
        <f>IFERROR(__xludf.DUMMYFUNCTION("""COMPUTED_VALUE"""),"A36c2")</f>
        <v>A36c2</v>
      </c>
      <c r="R1263" s="9"/>
      <c r="S1263" s="42"/>
      <c r="T1263" s="42"/>
      <c r="U1263" s="42"/>
      <c r="V1263" s="42"/>
      <c r="W1263" s="42"/>
      <c r="X1263" s="42"/>
      <c r="Y1263" s="42"/>
      <c r="Z1263" s="42"/>
      <c r="AA1263" s="42"/>
      <c r="AB1263" s="42" t="str">
        <f>IFERROR(__xludf.DUMMYFUNCTION("""COMPUTED_VALUE"""),"allen institute")</f>
        <v>allen institute</v>
      </c>
      <c r="AC1263" s="42" t="str">
        <f>IFERROR(__xludf.DUMMYFUNCTION("""COMPUTED_VALUE"""),"DHBA")</f>
        <v>DHBA</v>
      </c>
      <c r="AD1263" s="42"/>
      <c r="AE1263" s="42"/>
      <c r="AF1263" s="9"/>
      <c r="AG1263" s="9"/>
      <c r="AH1263" s="42"/>
      <c r="AI1263" s="42"/>
      <c r="AJ1263" s="42"/>
      <c r="AK1263" s="42"/>
      <c r="AL1263" s="42"/>
      <c r="AM1263" s="42"/>
      <c r="AN1263" s="42"/>
      <c r="AO1263" s="63" t="str">
        <f>IFERROR(__xludf.DUMMYFUNCTION("IF(ISBLANK(A1263),,IF(ISBLANK(S1263), A1263&amp;"";"", TEXTJOIN(CHAR(10), TRUE, A1263&amp;"";"", ARRAYFORMULA(VLOOKUP(SPLIT(S1263, "";"" &amp; CHAR(10)), $A:$AO, 41, FALSE)))))"),"A36c2;")</f>
        <v>A36c2;</v>
      </c>
      <c r="AP1263" s="89"/>
    </row>
    <row r="1264">
      <c r="A1264" s="151" t="str">
        <f>IFERROR(__xludf.DUMMYFUNCTION("""COMPUTED_VALUE"""),"A36c3")</f>
        <v>A36c3</v>
      </c>
      <c r="B1264" s="42" t="str">
        <f>IFERROR(__xludf.DUMMYFUNCTION("""COMPUTED_VALUE"""),"DHBA")</f>
        <v>DHBA</v>
      </c>
      <c r="C1264" s="42" t="str">
        <f>IFERROR(__xludf.DUMMYFUNCTION("""COMPUTED_VALUE"""),"layer III of area 36c")</f>
        <v>layer III of area 36c</v>
      </c>
      <c r="D1264" s="42">
        <f>IFERROR(__xludf.DUMMYFUNCTION("""COMPUTED_VALUE"""),1197.0)</f>
        <v>1197</v>
      </c>
      <c r="E1264" s="39" t="str">
        <f>IFERROR(__xludf.DUMMYFUNCTION("""COMPUTED_VALUE"""),"layer III of area 36c")</f>
        <v>layer III of area 36c</v>
      </c>
      <c r="F1264" s="9" t="str">
        <f>IFERROR(__xludf.DUMMYFUNCTION("""COMPUTED_VALUE"""),"Br")</f>
        <v>Br</v>
      </c>
      <c r="G1264" s="9" t="str">
        <f>IFERROR(__xludf.DUMMYFUNCTION("""COMPUTED_VALUE"""),"F")</f>
        <v>F</v>
      </c>
      <c r="H1264" s="9" t="str">
        <f>IFERROR(__xludf.DUMMYFUNCTION("""COMPUTED_VALUE"""),"FGM")</f>
        <v>FGM</v>
      </c>
      <c r="I1264" s="9" t="str">
        <f>IFERROR(__xludf.DUMMYFUNCTION("""COMPUTED_VALUE"""),"Tel")</f>
        <v>Tel</v>
      </c>
      <c r="J1264" s="9" t="str">
        <f>IFERROR(__xludf.DUMMYFUNCTION("""COMPUTED_VALUE"""),"Cx")</f>
        <v>Cx</v>
      </c>
      <c r="K1264" s="9" t="str">
        <f>IFERROR(__xludf.DUMMYFUNCTION("""COMPUTED_VALUE"""),"NCx")</f>
        <v>NCx</v>
      </c>
      <c r="L1264" s="9" t="str">
        <f>IFERROR(__xludf.DUMMYFUNCTION("""COMPUTED_VALUE"""),"TCx")</f>
        <v>TCx</v>
      </c>
      <c r="M1264" s="9" t="str">
        <f>IFERROR(__xludf.DUMMYFUNCTION("""COMPUTED_VALUE"""),"VLTC")</f>
        <v>VLTC</v>
      </c>
      <c r="N1264" s="9" t="str">
        <f>IFERROR(__xludf.DUMMYFUNCTION("""COMPUTED_VALUE"""),"MITC")</f>
        <v>MITC</v>
      </c>
      <c r="O1264" s="9" t="str">
        <f>IFERROR(__xludf.DUMMYFUNCTION("""COMPUTED_VALUE"""),"A36")</f>
        <v>A36</v>
      </c>
      <c r="P1264" s="9" t="str">
        <f>IFERROR(__xludf.DUMMYFUNCTION("""COMPUTED_VALUE"""),"A36c")</f>
        <v>A36c</v>
      </c>
      <c r="Q1264" s="9" t="str">
        <f>IFERROR(__xludf.DUMMYFUNCTION("""COMPUTED_VALUE"""),"A36c3")</f>
        <v>A36c3</v>
      </c>
      <c r="R1264" s="9"/>
      <c r="S1264" s="42"/>
      <c r="T1264" s="42"/>
      <c r="U1264" s="42"/>
      <c r="V1264" s="42"/>
      <c r="W1264" s="42"/>
      <c r="X1264" s="42"/>
      <c r="Y1264" s="42"/>
      <c r="Z1264" s="42"/>
      <c r="AA1264" s="42"/>
      <c r="AB1264" s="42" t="str">
        <f>IFERROR(__xludf.DUMMYFUNCTION("""COMPUTED_VALUE"""),"allen institute")</f>
        <v>allen institute</v>
      </c>
      <c r="AC1264" s="42" t="str">
        <f>IFERROR(__xludf.DUMMYFUNCTION("""COMPUTED_VALUE"""),"DHBA")</f>
        <v>DHBA</v>
      </c>
      <c r="AD1264" s="42"/>
      <c r="AE1264" s="42"/>
      <c r="AF1264" s="9"/>
      <c r="AG1264" s="9"/>
      <c r="AH1264" s="42"/>
      <c r="AI1264" s="42"/>
      <c r="AJ1264" s="42"/>
      <c r="AK1264" s="42"/>
      <c r="AL1264" s="42"/>
      <c r="AM1264" s="42"/>
      <c r="AN1264" s="42"/>
      <c r="AO1264" s="63" t="str">
        <f>IFERROR(__xludf.DUMMYFUNCTION("IF(ISBLANK(A1264),,IF(ISBLANK(S1264), A1264&amp;"";"", TEXTJOIN(CHAR(10), TRUE, A1264&amp;"";"", ARRAYFORMULA(VLOOKUP(SPLIT(S1264, "";"" &amp; CHAR(10)), $A:$AO, 41, FALSE)))))"),"A36c3;")</f>
        <v>A36c3;</v>
      </c>
      <c r="AP1264" s="89"/>
    </row>
    <row r="1265">
      <c r="A1265" s="151" t="str">
        <f>IFERROR(__xludf.DUMMYFUNCTION("""COMPUTED_VALUE"""),"A36c4")</f>
        <v>A36c4</v>
      </c>
      <c r="B1265" s="42" t="str">
        <f>IFERROR(__xludf.DUMMYFUNCTION("""COMPUTED_VALUE"""),"DHBA")</f>
        <v>DHBA</v>
      </c>
      <c r="C1265" s="42" t="str">
        <f>IFERROR(__xludf.DUMMYFUNCTION("""COMPUTED_VALUE"""),"layer IV of area 36c")</f>
        <v>layer IV of area 36c</v>
      </c>
      <c r="D1265" s="42">
        <f>IFERROR(__xludf.DUMMYFUNCTION("""COMPUTED_VALUE"""),1198.0)</f>
        <v>1198</v>
      </c>
      <c r="E1265" s="39" t="str">
        <f>IFERROR(__xludf.DUMMYFUNCTION("""COMPUTED_VALUE"""),"layer IV of area 36c")</f>
        <v>layer IV of area 36c</v>
      </c>
      <c r="F1265" s="9" t="str">
        <f>IFERROR(__xludf.DUMMYFUNCTION("""COMPUTED_VALUE"""),"Br")</f>
        <v>Br</v>
      </c>
      <c r="G1265" s="9" t="str">
        <f>IFERROR(__xludf.DUMMYFUNCTION("""COMPUTED_VALUE"""),"F")</f>
        <v>F</v>
      </c>
      <c r="H1265" s="9" t="str">
        <f>IFERROR(__xludf.DUMMYFUNCTION("""COMPUTED_VALUE"""),"FGM")</f>
        <v>FGM</v>
      </c>
      <c r="I1265" s="9" t="str">
        <f>IFERROR(__xludf.DUMMYFUNCTION("""COMPUTED_VALUE"""),"Tel")</f>
        <v>Tel</v>
      </c>
      <c r="J1265" s="9" t="str">
        <f>IFERROR(__xludf.DUMMYFUNCTION("""COMPUTED_VALUE"""),"Cx")</f>
        <v>Cx</v>
      </c>
      <c r="K1265" s="9" t="str">
        <f>IFERROR(__xludf.DUMMYFUNCTION("""COMPUTED_VALUE"""),"NCx")</f>
        <v>NCx</v>
      </c>
      <c r="L1265" s="9" t="str">
        <f>IFERROR(__xludf.DUMMYFUNCTION("""COMPUTED_VALUE"""),"TCx")</f>
        <v>TCx</v>
      </c>
      <c r="M1265" s="9" t="str">
        <f>IFERROR(__xludf.DUMMYFUNCTION("""COMPUTED_VALUE"""),"VLTC")</f>
        <v>VLTC</v>
      </c>
      <c r="N1265" s="9" t="str">
        <f>IFERROR(__xludf.DUMMYFUNCTION("""COMPUTED_VALUE"""),"MITC")</f>
        <v>MITC</v>
      </c>
      <c r="O1265" s="9" t="str">
        <f>IFERROR(__xludf.DUMMYFUNCTION("""COMPUTED_VALUE"""),"A36")</f>
        <v>A36</v>
      </c>
      <c r="P1265" s="9" t="str">
        <f>IFERROR(__xludf.DUMMYFUNCTION("""COMPUTED_VALUE"""),"A36c")</f>
        <v>A36c</v>
      </c>
      <c r="Q1265" s="9" t="str">
        <f>IFERROR(__xludf.DUMMYFUNCTION("""COMPUTED_VALUE"""),"A36c4")</f>
        <v>A36c4</v>
      </c>
      <c r="R1265" s="9"/>
      <c r="S1265" s="42"/>
      <c r="T1265" s="42"/>
      <c r="U1265" s="42"/>
      <c r="V1265" s="42"/>
      <c r="W1265" s="42"/>
      <c r="X1265" s="42"/>
      <c r="Y1265" s="42"/>
      <c r="Z1265" s="42"/>
      <c r="AA1265" s="42"/>
      <c r="AB1265" s="42" t="str">
        <f>IFERROR(__xludf.DUMMYFUNCTION("""COMPUTED_VALUE"""),"allen institute")</f>
        <v>allen institute</v>
      </c>
      <c r="AC1265" s="42" t="str">
        <f>IFERROR(__xludf.DUMMYFUNCTION("""COMPUTED_VALUE"""),"DHBA")</f>
        <v>DHBA</v>
      </c>
      <c r="AD1265" s="42"/>
      <c r="AE1265" s="42"/>
      <c r="AF1265" s="9"/>
      <c r="AG1265" s="9"/>
      <c r="AH1265" s="42"/>
      <c r="AI1265" s="42"/>
      <c r="AJ1265" s="42"/>
      <c r="AK1265" s="42"/>
      <c r="AL1265" s="42"/>
      <c r="AM1265" s="42"/>
      <c r="AN1265" s="42"/>
      <c r="AO1265" s="63" t="str">
        <f>IFERROR(__xludf.DUMMYFUNCTION("IF(ISBLANK(A1265),,IF(ISBLANK(S1265), A1265&amp;"";"", TEXTJOIN(CHAR(10), TRUE, A1265&amp;"";"", ARRAYFORMULA(VLOOKUP(SPLIT(S1265, "";"" &amp; CHAR(10)), $A:$AO, 41, FALSE)))))"),"A36c4;")</f>
        <v>A36c4;</v>
      </c>
      <c r="AP1265" s="89"/>
    </row>
    <row r="1266">
      <c r="A1266" s="151" t="str">
        <f>IFERROR(__xludf.DUMMYFUNCTION("""COMPUTED_VALUE"""),"A36c5")</f>
        <v>A36c5</v>
      </c>
      <c r="B1266" s="42" t="str">
        <f>IFERROR(__xludf.DUMMYFUNCTION("""COMPUTED_VALUE"""),"DHBA")</f>
        <v>DHBA</v>
      </c>
      <c r="C1266" s="42" t="str">
        <f>IFERROR(__xludf.DUMMYFUNCTION("""COMPUTED_VALUE"""),"layer V of area 36c")</f>
        <v>layer V of area 36c</v>
      </c>
      <c r="D1266" s="42">
        <f>IFERROR(__xludf.DUMMYFUNCTION("""COMPUTED_VALUE"""),1199.0)</f>
        <v>1199</v>
      </c>
      <c r="E1266" s="39" t="str">
        <f>IFERROR(__xludf.DUMMYFUNCTION("""COMPUTED_VALUE"""),"layer V of area 36c")</f>
        <v>layer V of area 36c</v>
      </c>
      <c r="F1266" s="9" t="str">
        <f>IFERROR(__xludf.DUMMYFUNCTION("""COMPUTED_VALUE"""),"Br")</f>
        <v>Br</v>
      </c>
      <c r="G1266" s="9" t="str">
        <f>IFERROR(__xludf.DUMMYFUNCTION("""COMPUTED_VALUE"""),"F")</f>
        <v>F</v>
      </c>
      <c r="H1266" s="9" t="str">
        <f>IFERROR(__xludf.DUMMYFUNCTION("""COMPUTED_VALUE"""),"FGM")</f>
        <v>FGM</v>
      </c>
      <c r="I1266" s="9" t="str">
        <f>IFERROR(__xludf.DUMMYFUNCTION("""COMPUTED_VALUE"""),"Tel")</f>
        <v>Tel</v>
      </c>
      <c r="J1266" s="9" t="str">
        <f>IFERROR(__xludf.DUMMYFUNCTION("""COMPUTED_VALUE"""),"Cx")</f>
        <v>Cx</v>
      </c>
      <c r="K1266" s="9" t="str">
        <f>IFERROR(__xludf.DUMMYFUNCTION("""COMPUTED_VALUE"""),"NCx")</f>
        <v>NCx</v>
      </c>
      <c r="L1266" s="9" t="str">
        <f>IFERROR(__xludf.DUMMYFUNCTION("""COMPUTED_VALUE"""),"TCx")</f>
        <v>TCx</v>
      </c>
      <c r="M1266" s="9" t="str">
        <f>IFERROR(__xludf.DUMMYFUNCTION("""COMPUTED_VALUE"""),"VLTC")</f>
        <v>VLTC</v>
      </c>
      <c r="N1266" s="9" t="str">
        <f>IFERROR(__xludf.DUMMYFUNCTION("""COMPUTED_VALUE"""),"MITC")</f>
        <v>MITC</v>
      </c>
      <c r="O1266" s="9" t="str">
        <f>IFERROR(__xludf.DUMMYFUNCTION("""COMPUTED_VALUE"""),"A36")</f>
        <v>A36</v>
      </c>
      <c r="P1266" s="9" t="str">
        <f>IFERROR(__xludf.DUMMYFUNCTION("""COMPUTED_VALUE"""),"A36c")</f>
        <v>A36c</v>
      </c>
      <c r="Q1266" s="9" t="str">
        <f>IFERROR(__xludf.DUMMYFUNCTION("""COMPUTED_VALUE"""),"A36c5")</f>
        <v>A36c5</v>
      </c>
      <c r="R1266" s="9"/>
      <c r="S1266" s="42"/>
      <c r="T1266" s="42"/>
      <c r="U1266" s="42"/>
      <c r="V1266" s="42"/>
      <c r="W1266" s="42"/>
      <c r="X1266" s="42"/>
      <c r="Y1266" s="42"/>
      <c r="Z1266" s="42"/>
      <c r="AA1266" s="42"/>
      <c r="AB1266" s="42" t="str">
        <f>IFERROR(__xludf.DUMMYFUNCTION("""COMPUTED_VALUE"""),"allen institute")</f>
        <v>allen institute</v>
      </c>
      <c r="AC1266" s="42" t="str">
        <f>IFERROR(__xludf.DUMMYFUNCTION("""COMPUTED_VALUE"""),"DHBA")</f>
        <v>DHBA</v>
      </c>
      <c r="AD1266" s="42"/>
      <c r="AE1266" s="42"/>
      <c r="AF1266" s="9"/>
      <c r="AG1266" s="9"/>
      <c r="AH1266" s="42"/>
      <c r="AI1266" s="42"/>
      <c r="AJ1266" s="42"/>
      <c r="AK1266" s="42"/>
      <c r="AL1266" s="42"/>
      <c r="AM1266" s="42"/>
      <c r="AN1266" s="42"/>
      <c r="AO1266" s="63" t="str">
        <f>IFERROR(__xludf.DUMMYFUNCTION("IF(ISBLANK(A1266),,IF(ISBLANK(S1266), A1266&amp;"";"", TEXTJOIN(CHAR(10), TRUE, A1266&amp;"";"", ARRAYFORMULA(VLOOKUP(SPLIT(S1266, "";"" &amp; CHAR(10)), $A:$AO, 41, FALSE)))))"),"A36c5;")</f>
        <v>A36c5;</v>
      </c>
      <c r="AP1266" s="89"/>
    </row>
    <row r="1267">
      <c r="A1267" s="151" t="str">
        <f>IFERROR(__xludf.DUMMYFUNCTION("""COMPUTED_VALUE"""),"A36c6")</f>
        <v>A36c6</v>
      </c>
      <c r="B1267" s="42" t="str">
        <f>IFERROR(__xludf.DUMMYFUNCTION("""COMPUTED_VALUE"""),"DHBA")</f>
        <v>DHBA</v>
      </c>
      <c r="C1267" s="42" t="str">
        <f>IFERROR(__xludf.DUMMYFUNCTION("""COMPUTED_VALUE"""),"layer VI of area 36c")</f>
        <v>layer VI of area 36c</v>
      </c>
      <c r="D1267" s="42">
        <f>IFERROR(__xludf.DUMMYFUNCTION("""COMPUTED_VALUE"""),1200.0)</f>
        <v>1200</v>
      </c>
      <c r="E1267" s="39" t="str">
        <f>IFERROR(__xludf.DUMMYFUNCTION("""COMPUTED_VALUE"""),"layer VI of area 36c")</f>
        <v>layer VI of area 36c</v>
      </c>
      <c r="F1267" s="9" t="str">
        <f>IFERROR(__xludf.DUMMYFUNCTION("""COMPUTED_VALUE"""),"Br")</f>
        <v>Br</v>
      </c>
      <c r="G1267" s="9" t="str">
        <f>IFERROR(__xludf.DUMMYFUNCTION("""COMPUTED_VALUE"""),"F")</f>
        <v>F</v>
      </c>
      <c r="H1267" s="9" t="str">
        <f>IFERROR(__xludf.DUMMYFUNCTION("""COMPUTED_VALUE"""),"FGM")</f>
        <v>FGM</v>
      </c>
      <c r="I1267" s="9" t="str">
        <f>IFERROR(__xludf.DUMMYFUNCTION("""COMPUTED_VALUE"""),"Tel")</f>
        <v>Tel</v>
      </c>
      <c r="J1267" s="9" t="str">
        <f>IFERROR(__xludf.DUMMYFUNCTION("""COMPUTED_VALUE"""),"Cx")</f>
        <v>Cx</v>
      </c>
      <c r="K1267" s="9" t="str">
        <f>IFERROR(__xludf.DUMMYFUNCTION("""COMPUTED_VALUE"""),"NCx")</f>
        <v>NCx</v>
      </c>
      <c r="L1267" s="9" t="str">
        <f>IFERROR(__xludf.DUMMYFUNCTION("""COMPUTED_VALUE"""),"TCx")</f>
        <v>TCx</v>
      </c>
      <c r="M1267" s="9" t="str">
        <f>IFERROR(__xludf.DUMMYFUNCTION("""COMPUTED_VALUE"""),"VLTC")</f>
        <v>VLTC</v>
      </c>
      <c r="N1267" s="9" t="str">
        <f>IFERROR(__xludf.DUMMYFUNCTION("""COMPUTED_VALUE"""),"MITC")</f>
        <v>MITC</v>
      </c>
      <c r="O1267" s="9" t="str">
        <f>IFERROR(__xludf.DUMMYFUNCTION("""COMPUTED_VALUE"""),"A36")</f>
        <v>A36</v>
      </c>
      <c r="P1267" s="9" t="str">
        <f>IFERROR(__xludf.DUMMYFUNCTION("""COMPUTED_VALUE"""),"A36c")</f>
        <v>A36c</v>
      </c>
      <c r="Q1267" s="9" t="str">
        <f>IFERROR(__xludf.DUMMYFUNCTION("""COMPUTED_VALUE"""),"A36c6")</f>
        <v>A36c6</v>
      </c>
      <c r="R1267" s="9"/>
      <c r="S1267" s="42"/>
      <c r="T1267" s="42"/>
      <c r="U1267" s="42"/>
      <c r="V1267" s="42"/>
      <c r="W1267" s="42"/>
      <c r="X1267" s="42"/>
      <c r="Y1267" s="42"/>
      <c r="Z1267" s="42"/>
      <c r="AA1267" s="42"/>
      <c r="AB1267" s="42" t="str">
        <f>IFERROR(__xludf.DUMMYFUNCTION("""COMPUTED_VALUE"""),"allen institute")</f>
        <v>allen institute</v>
      </c>
      <c r="AC1267" s="42" t="str">
        <f>IFERROR(__xludf.DUMMYFUNCTION("""COMPUTED_VALUE"""),"DHBA")</f>
        <v>DHBA</v>
      </c>
      <c r="AD1267" s="42"/>
      <c r="AE1267" s="42"/>
      <c r="AF1267" s="9"/>
      <c r="AG1267" s="9"/>
      <c r="AH1267" s="42"/>
      <c r="AI1267" s="42"/>
      <c r="AJ1267" s="42"/>
      <c r="AK1267" s="42"/>
      <c r="AL1267" s="42"/>
      <c r="AM1267" s="42"/>
      <c r="AN1267" s="42"/>
      <c r="AO1267" s="63" t="str">
        <f>IFERROR(__xludf.DUMMYFUNCTION("IF(ISBLANK(A1267),,IF(ISBLANK(S1267), A1267&amp;"";"", TEXTJOIN(CHAR(10), TRUE, A1267&amp;"";"", ARRAYFORMULA(VLOOKUP(SPLIT(S1267, "";"" &amp; CHAR(10)), $A:$AO, 41, FALSE)))))"),"A36c6;")</f>
        <v>A36c6;</v>
      </c>
      <c r="AP1267" s="89"/>
    </row>
    <row r="1268">
      <c r="A1268" s="151" t="str">
        <f>IFERROR(__xludf.DUMMYFUNCTION("""COMPUTED_VALUE"""),"TF")</f>
        <v>TF</v>
      </c>
      <c r="B1268" s="42" t="str">
        <f>IFERROR(__xludf.DUMMYFUNCTION("""COMPUTED_VALUE"""),"DHBA")</f>
        <v>DHBA</v>
      </c>
      <c r="C1268" s="42" t="str">
        <f>IFERROR(__xludf.DUMMYFUNCTION("""COMPUTED_VALUE"""),"caudal division of MITC (area TF)")</f>
        <v>caudal division of MITC (area TF)</v>
      </c>
      <c r="D1268" s="42">
        <f>IFERROR(__xludf.DUMMYFUNCTION("""COMPUTED_VALUE"""),1201.0)</f>
        <v>1201</v>
      </c>
      <c r="E1268" s="39" t="str">
        <f>IFERROR(__xludf.DUMMYFUNCTION("""COMPUTED_VALUE"""),"caudal division of MITC (area TF)")</f>
        <v>caudal division of MITC (area TF)</v>
      </c>
      <c r="F1268" s="9" t="str">
        <f>IFERROR(__xludf.DUMMYFUNCTION("""COMPUTED_VALUE"""),"Br")</f>
        <v>Br</v>
      </c>
      <c r="G1268" s="9" t="str">
        <f>IFERROR(__xludf.DUMMYFUNCTION("""COMPUTED_VALUE"""),"F")</f>
        <v>F</v>
      </c>
      <c r="H1268" s="9" t="str">
        <f>IFERROR(__xludf.DUMMYFUNCTION("""COMPUTED_VALUE"""),"FGM")</f>
        <v>FGM</v>
      </c>
      <c r="I1268" s="9" t="str">
        <f>IFERROR(__xludf.DUMMYFUNCTION("""COMPUTED_VALUE"""),"Tel")</f>
        <v>Tel</v>
      </c>
      <c r="J1268" s="9" t="str">
        <f>IFERROR(__xludf.DUMMYFUNCTION("""COMPUTED_VALUE"""),"Cx")</f>
        <v>Cx</v>
      </c>
      <c r="K1268" s="9" t="str">
        <f>IFERROR(__xludf.DUMMYFUNCTION("""COMPUTED_VALUE"""),"NCx")</f>
        <v>NCx</v>
      </c>
      <c r="L1268" s="9" t="str">
        <f>IFERROR(__xludf.DUMMYFUNCTION("""COMPUTED_VALUE"""),"TCx")</f>
        <v>TCx</v>
      </c>
      <c r="M1268" s="9" t="str">
        <f>IFERROR(__xludf.DUMMYFUNCTION("""COMPUTED_VALUE"""),"VLTC")</f>
        <v>VLTC</v>
      </c>
      <c r="N1268" s="9" t="str">
        <f>IFERROR(__xludf.DUMMYFUNCTION("""COMPUTED_VALUE"""),"MITC")</f>
        <v>MITC</v>
      </c>
      <c r="O1268" s="9" t="str">
        <f>IFERROR(__xludf.DUMMYFUNCTION("""COMPUTED_VALUE"""),"TF")</f>
        <v>TF</v>
      </c>
      <c r="P1268" s="9"/>
      <c r="Q1268" s="9"/>
      <c r="R1268" s="9"/>
      <c r="S1268" s="42" t="str">
        <f>IFERROR(__xludf.DUMMYFUNCTION("""COMPUTED_VALUE"""),"TF1;
TF2;
TF3;
TF4;
TF5;
TF6")</f>
        <v>TF1;
TF2;
TF3;
TF4;
TF5;
TF6</v>
      </c>
      <c r="T1268" s="42"/>
      <c r="U1268" s="42" t="b">
        <f>IFERROR(__xludf.DUMMYFUNCTION("""COMPUTED_VALUE"""),FALSE)</f>
        <v>0</v>
      </c>
      <c r="V1268" s="42"/>
      <c r="W1268" s="42"/>
      <c r="X1268" s="42"/>
      <c r="Y1268" s="42"/>
      <c r="Z1268" s="42"/>
      <c r="AA1268" s="42"/>
      <c r="AB1268" s="42" t="str">
        <f>IFERROR(__xludf.DUMMYFUNCTION("""COMPUTED_VALUE"""),"allen institute")</f>
        <v>allen institute</v>
      </c>
      <c r="AC1268" s="42" t="str">
        <f>IFERROR(__xludf.DUMMYFUNCTION("""COMPUTED_VALUE"""),"DHBA")</f>
        <v>DHBA</v>
      </c>
      <c r="AD1268" s="42"/>
      <c r="AE1268" s="42"/>
      <c r="AF1268" s="9"/>
      <c r="AG1268" s="9"/>
      <c r="AH1268" s="42"/>
      <c r="AI1268" s="42"/>
      <c r="AJ1268" s="42"/>
      <c r="AK1268" s="42"/>
      <c r="AL1268" s="42"/>
      <c r="AM1268" s="42"/>
      <c r="AN1268" s="42"/>
      <c r="AO1268" s="63" t="str">
        <f>IFERROR(__xludf.DUMMYFUNCTION("IF(ISBLANK(A1268),,IF(ISBLANK(S1268), A1268&amp;"";"", TEXTJOIN(CHAR(10), TRUE, A1268&amp;"";"", ARRAYFORMULA(VLOOKUP(SPLIT(S1268, "";"" &amp; CHAR(10)), $A:$AO, 41, FALSE)))))"),"TF;
TF1;
TF2;
TF3;
TF4;
TF5;
TF6;")</f>
        <v>TF;
TF1;
TF2;
TF3;
TF4;
TF5;
TF6;</v>
      </c>
      <c r="AP1268" s="89"/>
    </row>
    <row r="1269">
      <c r="A1269" s="151" t="str">
        <f>IFERROR(__xludf.DUMMYFUNCTION("""COMPUTED_VALUE"""),"TF1")</f>
        <v>TF1</v>
      </c>
      <c r="B1269" s="42" t="str">
        <f>IFERROR(__xludf.DUMMYFUNCTION("""COMPUTED_VALUE"""),"DHBA")</f>
        <v>DHBA</v>
      </c>
      <c r="C1269" s="42" t="str">
        <f>IFERROR(__xludf.DUMMYFUNCTION("""COMPUTED_VALUE"""),"layer I of area TF")</f>
        <v>layer I of area TF</v>
      </c>
      <c r="D1269" s="42">
        <f>IFERROR(__xludf.DUMMYFUNCTION("""COMPUTED_VALUE"""),1202.0)</f>
        <v>1202</v>
      </c>
      <c r="E1269" s="39" t="str">
        <f>IFERROR(__xludf.DUMMYFUNCTION("""COMPUTED_VALUE"""),"layer I of area TF")</f>
        <v>layer I of area TF</v>
      </c>
      <c r="F1269" s="9" t="str">
        <f>IFERROR(__xludf.DUMMYFUNCTION("""COMPUTED_VALUE"""),"Br")</f>
        <v>Br</v>
      </c>
      <c r="G1269" s="9" t="str">
        <f>IFERROR(__xludf.DUMMYFUNCTION("""COMPUTED_VALUE"""),"F")</f>
        <v>F</v>
      </c>
      <c r="H1269" s="9" t="str">
        <f>IFERROR(__xludf.DUMMYFUNCTION("""COMPUTED_VALUE"""),"FGM")</f>
        <v>FGM</v>
      </c>
      <c r="I1269" s="9" t="str">
        <f>IFERROR(__xludf.DUMMYFUNCTION("""COMPUTED_VALUE"""),"Tel")</f>
        <v>Tel</v>
      </c>
      <c r="J1269" s="9" t="str">
        <f>IFERROR(__xludf.DUMMYFUNCTION("""COMPUTED_VALUE"""),"Cx")</f>
        <v>Cx</v>
      </c>
      <c r="K1269" s="9" t="str">
        <f>IFERROR(__xludf.DUMMYFUNCTION("""COMPUTED_VALUE"""),"NCx")</f>
        <v>NCx</v>
      </c>
      <c r="L1269" s="9" t="str">
        <f>IFERROR(__xludf.DUMMYFUNCTION("""COMPUTED_VALUE"""),"TCx")</f>
        <v>TCx</v>
      </c>
      <c r="M1269" s="9" t="str">
        <f>IFERROR(__xludf.DUMMYFUNCTION("""COMPUTED_VALUE"""),"VLTC")</f>
        <v>VLTC</v>
      </c>
      <c r="N1269" s="9" t="str">
        <f>IFERROR(__xludf.DUMMYFUNCTION("""COMPUTED_VALUE"""),"MITC")</f>
        <v>MITC</v>
      </c>
      <c r="O1269" s="9" t="str">
        <f>IFERROR(__xludf.DUMMYFUNCTION("""COMPUTED_VALUE"""),"TF")</f>
        <v>TF</v>
      </c>
      <c r="P1269" s="9" t="str">
        <f>IFERROR(__xludf.DUMMYFUNCTION("""COMPUTED_VALUE"""),"TF1")</f>
        <v>TF1</v>
      </c>
      <c r="Q1269" s="9"/>
      <c r="R1269" s="9"/>
      <c r="S1269" s="42"/>
      <c r="T1269" s="42"/>
      <c r="U1269" s="42"/>
      <c r="V1269" s="42"/>
      <c r="W1269" s="42"/>
      <c r="X1269" s="42"/>
      <c r="Y1269" s="42"/>
      <c r="Z1269" s="42"/>
      <c r="AA1269" s="42"/>
      <c r="AB1269" s="42" t="str">
        <f>IFERROR(__xludf.DUMMYFUNCTION("""COMPUTED_VALUE"""),"allen institute")</f>
        <v>allen institute</v>
      </c>
      <c r="AC1269" s="42" t="str">
        <f>IFERROR(__xludf.DUMMYFUNCTION("""COMPUTED_VALUE"""),"DHBA")</f>
        <v>DHBA</v>
      </c>
      <c r="AD1269" s="42"/>
      <c r="AE1269" s="42"/>
      <c r="AF1269" s="9"/>
      <c r="AG1269" s="9"/>
      <c r="AH1269" s="42"/>
      <c r="AI1269" s="42"/>
      <c r="AJ1269" s="42"/>
      <c r="AK1269" s="42"/>
      <c r="AL1269" s="42"/>
      <c r="AM1269" s="42"/>
      <c r="AN1269" s="42"/>
      <c r="AO1269" s="63" t="str">
        <f>IFERROR(__xludf.DUMMYFUNCTION("IF(ISBLANK(A1269),,IF(ISBLANK(S1269), A1269&amp;"";"", TEXTJOIN(CHAR(10), TRUE, A1269&amp;"";"", ARRAYFORMULA(VLOOKUP(SPLIT(S1269, "";"" &amp; CHAR(10)), $A:$AO, 41, FALSE)))))"),"TF1;")</f>
        <v>TF1;</v>
      </c>
      <c r="AP1269" s="89"/>
    </row>
    <row r="1270">
      <c r="A1270" s="151" t="str">
        <f>IFERROR(__xludf.DUMMYFUNCTION("""COMPUTED_VALUE"""),"TF2")</f>
        <v>TF2</v>
      </c>
      <c r="B1270" s="42" t="str">
        <f>IFERROR(__xludf.DUMMYFUNCTION("""COMPUTED_VALUE"""),"DHBA")</f>
        <v>DHBA</v>
      </c>
      <c r="C1270" s="42" t="str">
        <f>IFERROR(__xludf.DUMMYFUNCTION("""COMPUTED_VALUE"""),"layer II of area TF")</f>
        <v>layer II of area TF</v>
      </c>
      <c r="D1270" s="42">
        <f>IFERROR(__xludf.DUMMYFUNCTION("""COMPUTED_VALUE"""),1203.0)</f>
        <v>1203</v>
      </c>
      <c r="E1270" s="39" t="str">
        <f>IFERROR(__xludf.DUMMYFUNCTION("""COMPUTED_VALUE"""),"layer II of area TF")</f>
        <v>layer II of area TF</v>
      </c>
      <c r="F1270" s="9" t="str">
        <f>IFERROR(__xludf.DUMMYFUNCTION("""COMPUTED_VALUE"""),"Br")</f>
        <v>Br</v>
      </c>
      <c r="G1270" s="9" t="str">
        <f>IFERROR(__xludf.DUMMYFUNCTION("""COMPUTED_VALUE"""),"F")</f>
        <v>F</v>
      </c>
      <c r="H1270" s="9" t="str">
        <f>IFERROR(__xludf.DUMMYFUNCTION("""COMPUTED_VALUE"""),"FGM")</f>
        <v>FGM</v>
      </c>
      <c r="I1270" s="9" t="str">
        <f>IFERROR(__xludf.DUMMYFUNCTION("""COMPUTED_VALUE"""),"Tel")</f>
        <v>Tel</v>
      </c>
      <c r="J1270" s="9" t="str">
        <f>IFERROR(__xludf.DUMMYFUNCTION("""COMPUTED_VALUE"""),"Cx")</f>
        <v>Cx</v>
      </c>
      <c r="K1270" s="9" t="str">
        <f>IFERROR(__xludf.DUMMYFUNCTION("""COMPUTED_VALUE"""),"NCx")</f>
        <v>NCx</v>
      </c>
      <c r="L1270" s="9" t="str">
        <f>IFERROR(__xludf.DUMMYFUNCTION("""COMPUTED_VALUE"""),"TCx")</f>
        <v>TCx</v>
      </c>
      <c r="M1270" s="9" t="str">
        <f>IFERROR(__xludf.DUMMYFUNCTION("""COMPUTED_VALUE"""),"VLTC")</f>
        <v>VLTC</v>
      </c>
      <c r="N1270" s="9" t="str">
        <f>IFERROR(__xludf.DUMMYFUNCTION("""COMPUTED_VALUE"""),"MITC")</f>
        <v>MITC</v>
      </c>
      <c r="O1270" s="9" t="str">
        <f>IFERROR(__xludf.DUMMYFUNCTION("""COMPUTED_VALUE"""),"TF")</f>
        <v>TF</v>
      </c>
      <c r="P1270" s="9" t="str">
        <f>IFERROR(__xludf.DUMMYFUNCTION("""COMPUTED_VALUE"""),"TF2")</f>
        <v>TF2</v>
      </c>
      <c r="Q1270" s="9"/>
      <c r="R1270" s="9"/>
      <c r="S1270" s="42"/>
      <c r="T1270" s="42"/>
      <c r="U1270" s="42"/>
      <c r="V1270" s="42"/>
      <c r="W1270" s="42"/>
      <c r="X1270" s="42"/>
      <c r="Y1270" s="42"/>
      <c r="Z1270" s="42"/>
      <c r="AA1270" s="42"/>
      <c r="AB1270" s="42" t="str">
        <f>IFERROR(__xludf.DUMMYFUNCTION("""COMPUTED_VALUE"""),"allen institute")</f>
        <v>allen institute</v>
      </c>
      <c r="AC1270" s="42" t="str">
        <f>IFERROR(__xludf.DUMMYFUNCTION("""COMPUTED_VALUE"""),"DHBA")</f>
        <v>DHBA</v>
      </c>
      <c r="AD1270" s="42"/>
      <c r="AE1270" s="42"/>
      <c r="AF1270" s="9"/>
      <c r="AG1270" s="9"/>
      <c r="AH1270" s="42"/>
      <c r="AI1270" s="42"/>
      <c r="AJ1270" s="42"/>
      <c r="AK1270" s="42"/>
      <c r="AL1270" s="42"/>
      <c r="AM1270" s="42"/>
      <c r="AN1270" s="42"/>
      <c r="AO1270" s="63" t="str">
        <f>IFERROR(__xludf.DUMMYFUNCTION("IF(ISBLANK(A1270),,IF(ISBLANK(S1270), A1270&amp;"";"", TEXTJOIN(CHAR(10), TRUE, A1270&amp;"";"", ARRAYFORMULA(VLOOKUP(SPLIT(S1270, "";"" &amp; CHAR(10)), $A:$AO, 41, FALSE)))))"),"TF2;")</f>
        <v>TF2;</v>
      </c>
      <c r="AP1270" s="89"/>
    </row>
    <row r="1271">
      <c r="A1271" s="151" t="str">
        <f>IFERROR(__xludf.DUMMYFUNCTION("""COMPUTED_VALUE"""),"TF3")</f>
        <v>TF3</v>
      </c>
      <c r="B1271" s="42" t="str">
        <f>IFERROR(__xludf.DUMMYFUNCTION("""COMPUTED_VALUE"""),"DHBA")</f>
        <v>DHBA</v>
      </c>
      <c r="C1271" s="42" t="str">
        <f>IFERROR(__xludf.DUMMYFUNCTION("""COMPUTED_VALUE"""),"layer III of area TF")</f>
        <v>layer III of area TF</v>
      </c>
      <c r="D1271" s="42">
        <f>IFERROR(__xludf.DUMMYFUNCTION("""COMPUTED_VALUE"""),1204.0)</f>
        <v>1204</v>
      </c>
      <c r="E1271" s="39" t="str">
        <f>IFERROR(__xludf.DUMMYFUNCTION("""COMPUTED_VALUE"""),"layer III of area TF")</f>
        <v>layer III of area TF</v>
      </c>
      <c r="F1271" s="9" t="str">
        <f>IFERROR(__xludf.DUMMYFUNCTION("""COMPUTED_VALUE"""),"Br")</f>
        <v>Br</v>
      </c>
      <c r="G1271" s="9" t="str">
        <f>IFERROR(__xludf.DUMMYFUNCTION("""COMPUTED_VALUE"""),"F")</f>
        <v>F</v>
      </c>
      <c r="H1271" s="9" t="str">
        <f>IFERROR(__xludf.DUMMYFUNCTION("""COMPUTED_VALUE"""),"FGM")</f>
        <v>FGM</v>
      </c>
      <c r="I1271" s="9" t="str">
        <f>IFERROR(__xludf.DUMMYFUNCTION("""COMPUTED_VALUE"""),"Tel")</f>
        <v>Tel</v>
      </c>
      <c r="J1271" s="9" t="str">
        <f>IFERROR(__xludf.DUMMYFUNCTION("""COMPUTED_VALUE"""),"Cx")</f>
        <v>Cx</v>
      </c>
      <c r="K1271" s="9" t="str">
        <f>IFERROR(__xludf.DUMMYFUNCTION("""COMPUTED_VALUE"""),"NCx")</f>
        <v>NCx</v>
      </c>
      <c r="L1271" s="9" t="str">
        <f>IFERROR(__xludf.DUMMYFUNCTION("""COMPUTED_VALUE"""),"TCx")</f>
        <v>TCx</v>
      </c>
      <c r="M1271" s="9" t="str">
        <f>IFERROR(__xludf.DUMMYFUNCTION("""COMPUTED_VALUE"""),"VLTC")</f>
        <v>VLTC</v>
      </c>
      <c r="N1271" s="9" t="str">
        <f>IFERROR(__xludf.DUMMYFUNCTION("""COMPUTED_VALUE"""),"MITC")</f>
        <v>MITC</v>
      </c>
      <c r="O1271" s="9" t="str">
        <f>IFERROR(__xludf.DUMMYFUNCTION("""COMPUTED_VALUE"""),"TF")</f>
        <v>TF</v>
      </c>
      <c r="P1271" s="9" t="str">
        <f>IFERROR(__xludf.DUMMYFUNCTION("""COMPUTED_VALUE"""),"TF3")</f>
        <v>TF3</v>
      </c>
      <c r="Q1271" s="9"/>
      <c r="R1271" s="9"/>
      <c r="S1271" s="42"/>
      <c r="T1271" s="42"/>
      <c r="U1271" s="42"/>
      <c r="V1271" s="42"/>
      <c r="W1271" s="42"/>
      <c r="X1271" s="42"/>
      <c r="Y1271" s="42"/>
      <c r="Z1271" s="42"/>
      <c r="AA1271" s="42"/>
      <c r="AB1271" s="42" t="str">
        <f>IFERROR(__xludf.DUMMYFUNCTION("""COMPUTED_VALUE"""),"allen institute")</f>
        <v>allen institute</v>
      </c>
      <c r="AC1271" s="42" t="str">
        <f>IFERROR(__xludf.DUMMYFUNCTION("""COMPUTED_VALUE"""),"DHBA")</f>
        <v>DHBA</v>
      </c>
      <c r="AD1271" s="42"/>
      <c r="AE1271" s="42"/>
      <c r="AF1271" s="9"/>
      <c r="AG1271" s="9"/>
      <c r="AH1271" s="42"/>
      <c r="AI1271" s="42"/>
      <c r="AJ1271" s="42"/>
      <c r="AK1271" s="42"/>
      <c r="AL1271" s="42"/>
      <c r="AM1271" s="42"/>
      <c r="AN1271" s="42"/>
      <c r="AO1271" s="63" t="str">
        <f>IFERROR(__xludf.DUMMYFUNCTION("IF(ISBLANK(A1271),,IF(ISBLANK(S1271), A1271&amp;"";"", TEXTJOIN(CHAR(10), TRUE, A1271&amp;"";"", ARRAYFORMULA(VLOOKUP(SPLIT(S1271, "";"" &amp; CHAR(10)), $A:$AO, 41, FALSE)))))"),"TF3;")</f>
        <v>TF3;</v>
      </c>
      <c r="AP1271" s="89"/>
    </row>
    <row r="1272">
      <c r="A1272" s="151" t="str">
        <f>IFERROR(__xludf.DUMMYFUNCTION("""COMPUTED_VALUE"""),"TF4")</f>
        <v>TF4</v>
      </c>
      <c r="B1272" s="42" t="str">
        <f>IFERROR(__xludf.DUMMYFUNCTION("""COMPUTED_VALUE"""),"DHBA")</f>
        <v>DHBA</v>
      </c>
      <c r="C1272" s="42" t="str">
        <f>IFERROR(__xludf.DUMMYFUNCTION("""COMPUTED_VALUE"""),"layer IV of area TF")</f>
        <v>layer IV of area TF</v>
      </c>
      <c r="D1272" s="42">
        <f>IFERROR(__xludf.DUMMYFUNCTION("""COMPUTED_VALUE"""),1205.0)</f>
        <v>1205</v>
      </c>
      <c r="E1272" s="39" t="str">
        <f>IFERROR(__xludf.DUMMYFUNCTION("""COMPUTED_VALUE"""),"layer IV of area TF")</f>
        <v>layer IV of area TF</v>
      </c>
      <c r="F1272" s="9" t="str">
        <f>IFERROR(__xludf.DUMMYFUNCTION("""COMPUTED_VALUE"""),"Br")</f>
        <v>Br</v>
      </c>
      <c r="G1272" s="9" t="str">
        <f>IFERROR(__xludf.DUMMYFUNCTION("""COMPUTED_VALUE"""),"F")</f>
        <v>F</v>
      </c>
      <c r="H1272" s="9" t="str">
        <f>IFERROR(__xludf.DUMMYFUNCTION("""COMPUTED_VALUE"""),"FGM")</f>
        <v>FGM</v>
      </c>
      <c r="I1272" s="9" t="str">
        <f>IFERROR(__xludf.DUMMYFUNCTION("""COMPUTED_VALUE"""),"Tel")</f>
        <v>Tel</v>
      </c>
      <c r="J1272" s="9" t="str">
        <f>IFERROR(__xludf.DUMMYFUNCTION("""COMPUTED_VALUE"""),"Cx")</f>
        <v>Cx</v>
      </c>
      <c r="K1272" s="9" t="str">
        <f>IFERROR(__xludf.DUMMYFUNCTION("""COMPUTED_VALUE"""),"NCx")</f>
        <v>NCx</v>
      </c>
      <c r="L1272" s="9" t="str">
        <f>IFERROR(__xludf.DUMMYFUNCTION("""COMPUTED_VALUE"""),"TCx")</f>
        <v>TCx</v>
      </c>
      <c r="M1272" s="9" t="str">
        <f>IFERROR(__xludf.DUMMYFUNCTION("""COMPUTED_VALUE"""),"VLTC")</f>
        <v>VLTC</v>
      </c>
      <c r="N1272" s="9" t="str">
        <f>IFERROR(__xludf.DUMMYFUNCTION("""COMPUTED_VALUE"""),"MITC")</f>
        <v>MITC</v>
      </c>
      <c r="O1272" s="9" t="str">
        <f>IFERROR(__xludf.DUMMYFUNCTION("""COMPUTED_VALUE"""),"TF")</f>
        <v>TF</v>
      </c>
      <c r="P1272" s="9" t="str">
        <f>IFERROR(__xludf.DUMMYFUNCTION("""COMPUTED_VALUE"""),"TF4")</f>
        <v>TF4</v>
      </c>
      <c r="Q1272" s="9"/>
      <c r="R1272" s="9"/>
      <c r="S1272" s="42"/>
      <c r="T1272" s="42"/>
      <c r="U1272" s="42"/>
      <c r="V1272" s="42"/>
      <c r="W1272" s="42"/>
      <c r="X1272" s="42"/>
      <c r="Y1272" s="42"/>
      <c r="Z1272" s="42"/>
      <c r="AA1272" s="42"/>
      <c r="AB1272" s="42" t="str">
        <f>IFERROR(__xludf.DUMMYFUNCTION("""COMPUTED_VALUE"""),"allen institute")</f>
        <v>allen institute</v>
      </c>
      <c r="AC1272" s="42" t="str">
        <f>IFERROR(__xludf.DUMMYFUNCTION("""COMPUTED_VALUE"""),"DHBA")</f>
        <v>DHBA</v>
      </c>
      <c r="AD1272" s="42"/>
      <c r="AE1272" s="42"/>
      <c r="AF1272" s="9"/>
      <c r="AG1272" s="9"/>
      <c r="AH1272" s="42"/>
      <c r="AI1272" s="42"/>
      <c r="AJ1272" s="42"/>
      <c r="AK1272" s="42"/>
      <c r="AL1272" s="42"/>
      <c r="AM1272" s="42"/>
      <c r="AN1272" s="42"/>
      <c r="AO1272" s="63" t="str">
        <f>IFERROR(__xludf.DUMMYFUNCTION("IF(ISBLANK(A1272),,IF(ISBLANK(S1272), A1272&amp;"";"", TEXTJOIN(CHAR(10), TRUE, A1272&amp;"";"", ARRAYFORMULA(VLOOKUP(SPLIT(S1272, "";"" &amp; CHAR(10)), $A:$AO, 41, FALSE)))))"),"TF4;")</f>
        <v>TF4;</v>
      </c>
      <c r="AP1272" s="89"/>
    </row>
    <row r="1273">
      <c r="A1273" s="151" t="str">
        <f>IFERROR(__xludf.DUMMYFUNCTION("""COMPUTED_VALUE"""),"TF5")</f>
        <v>TF5</v>
      </c>
      <c r="B1273" s="42" t="str">
        <f>IFERROR(__xludf.DUMMYFUNCTION("""COMPUTED_VALUE"""),"DHBA")</f>
        <v>DHBA</v>
      </c>
      <c r="C1273" s="42" t="str">
        <f>IFERROR(__xludf.DUMMYFUNCTION("""COMPUTED_VALUE"""),"layer V of area TF")</f>
        <v>layer V of area TF</v>
      </c>
      <c r="D1273" s="42">
        <f>IFERROR(__xludf.DUMMYFUNCTION("""COMPUTED_VALUE"""),1206.0)</f>
        <v>1206</v>
      </c>
      <c r="E1273" s="39" t="str">
        <f>IFERROR(__xludf.DUMMYFUNCTION("""COMPUTED_VALUE"""),"layer V of area TF")</f>
        <v>layer V of area TF</v>
      </c>
      <c r="F1273" s="9" t="str">
        <f>IFERROR(__xludf.DUMMYFUNCTION("""COMPUTED_VALUE"""),"Br")</f>
        <v>Br</v>
      </c>
      <c r="G1273" s="9" t="str">
        <f>IFERROR(__xludf.DUMMYFUNCTION("""COMPUTED_VALUE"""),"F")</f>
        <v>F</v>
      </c>
      <c r="H1273" s="9" t="str">
        <f>IFERROR(__xludf.DUMMYFUNCTION("""COMPUTED_VALUE"""),"FGM")</f>
        <v>FGM</v>
      </c>
      <c r="I1273" s="9" t="str">
        <f>IFERROR(__xludf.DUMMYFUNCTION("""COMPUTED_VALUE"""),"Tel")</f>
        <v>Tel</v>
      </c>
      <c r="J1273" s="9" t="str">
        <f>IFERROR(__xludf.DUMMYFUNCTION("""COMPUTED_VALUE"""),"Cx")</f>
        <v>Cx</v>
      </c>
      <c r="K1273" s="9" t="str">
        <f>IFERROR(__xludf.DUMMYFUNCTION("""COMPUTED_VALUE"""),"NCx")</f>
        <v>NCx</v>
      </c>
      <c r="L1273" s="9" t="str">
        <f>IFERROR(__xludf.DUMMYFUNCTION("""COMPUTED_VALUE"""),"TCx")</f>
        <v>TCx</v>
      </c>
      <c r="M1273" s="9" t="str">
        <f>IFERROR(__xludf.DUMMYFUNCTION("""COMPUTED_VALUE"""),"VLTC")</f>
        <v>VLTC</v>
      </c>
      <c r="N1273" s="9" t="str">
        <f>IFERROR(__xludf.DUMMYFUNCTION("""COMPUTED_VALUE"""),"MITC")</f>
        <v>MITC</v>
      </c>
      <c r="O1273" s="9" t="str">
        <f>IFERROR(__xludf.DUMMYFUNCTION("""COMPUTED_VALUE"""),"TF")</f>
        <v>TF</v>
      </c>
      <c r="P1273" s="9" t="str">
        <f>IFERROR(__xludf.DUMMYFUNCTION("""COMPUTED_VALUE"""),"TF5")</f>
        <v>TF5</v>
      </c>
      <c r="Q1273" s="9"/>
      <c r="R1273" s="9"/>
      <c r="S1273" s="42"/>
      <c r="T1273" s="42"/>
      <c r="U1273" s="42"/>
      <c r="V1273" s="42"/>
      <c r="W1273" s="42"/>
      <c r="X1273" s="42"/>
      <c r="Y1273" s="42"/>
      <c r="Z1273" s="42"/>
      <c r="AA1273" s="42"/>
      <c r="AB1273" s="42" t="str">
        <f>IFERROR(__xludf.DUMMYFUNCTION("""COMPUTED_VALUE"""),"allen institute")</f>
        <v>allen institute</v>
      </c>
      <c r="AC1273" s="42" t="str">
        <f>IFERROR(__xludf.DUMMYFUNCTION("""COMPUTED_VALUE"""),"DHBA")</f>
        <v>DHBA</v>
      </c>
      <c r="AD1273" s="42"/>
      <c r="AE1273" s="42"/>
      <c r="AF1273" s="9"/>
      <c r="AG1273" s="9"/>
      <c r="AH1273" s="42"/>
      <c r="AI1273" s="42"/>
      <c r="AJ1273" s="42"/>
      <c r="AK1273" s="42"/>
      <c r="AL1273" s="42"/>
      <c r="AM1273" s="42"/>
      <c r="AN1273" s="42"/>
      <c r="AO1273" s="63" t="str">
        <f>IFERROR(__xludf.DUMMYFUNCTION("IF(ISBLANK(A1273),,IF(ISBLANK(S1273), A1273&amp;"";"", TEXTJOIN(CHAR(10), TRUE, A1273&amp;"";"", ARRAYFORMULA(VLOOKUP(SPLIT(S1273, "";"" &amp; CHAR(10)), $A:$AO, 41, FALSE)))))"),"TF5;")</f>
        <v>TF5;</v>
      </c>
      <c r="AP1273" s="89"/>
    </row>
    <row r="1274">
      <c r="A1274" s="151" t="str">
        <f>IFERROR(__xludf.DUMMYFUNCTION("""COMPUTED_VALUE"""),"TF6")</f>
        <v>TF6</v>
      </c>
      <c r="B1274" s="42" t="str">
        <f>IFERROR(__xludf.DUMMYFUNCTION("""COMPUTED_VALUE"""),"DHBA")</f>
        <v>DHBA</v>
      </c>
      <c r="C1274" s="42" t="str">
        <f>IFERROR(__xludf.DUMMYFUNCTION("""COMPUTED_VALUE"""),"layer VI of area TF")</f>
        <v>layer VI of area TF</v>
      </c>
      <c r="D1274" s="42">
        <f>IFERROR(__xludf.DUMMYFUNCTION("""COMPUTED_VALUE"""),1207.0)</f>
        <v>1207</v>
      </c>
      <c r="E1274" s="39" t="str">
        <f>IFERROR(__xludf.DUMMYFUNCTION("""COMPUTED_VALUE"""),"layer VI of area TF")</f>
        <v>layer VI of area TF</v>
      </c>
      <c r="F1274" s="9" t="str">
        <f>IFERROR(__xludf.DUMMYFUNCTION("""COMPUTED_VALUE"""),"Br")</f>
        <v>Br</v>
      </c>
      <c r="G1274" s="9" t="str">
        <f>IFERROR(__xludf.DUMMYFUNCTION("""COMPUTED_VALUE"""),"F")</f>
        <v>F</v>
      </c>
      <c r="H1274" s="9" t="str">
        <f>IFERROR(__xludf.DUMMYFUNCTION("""COMPUTED_VALUE"""),"FGM")</f>
        <v>FGM</v>
      </c>
      <c r="I1274" s="9" t="str">
        <f>IFERROR(__xludf.DUMMYFUNCTION("""COMPUTED_VALUE"""),"Tel")</f>
        <v>Tel</v>
      </c>
      <c r="J1274" s="9" t="str">
        <f>IFERROR(__xludf.DUMMYFUNCTION("""COMPUTED_VALUE"""),"Cx")</f>
        <v>Cx</v>
      </c>
      <c r="K1274" s="9" t="str">
        <f>IFERROR(__xludf.DUMMYFUNCTION("""COMPUTED_VALUE"""),"NCx")</f>
        <v>NCx</v>
      </c>
      <c r="L1274" s="9" t="str">
        <f>IFERROR(__xludf.DUMMYFUNCTION("""COMPUTED_VALUE"""),"TCx")</f>
        <v>TCx</v>
      </c>
      <c r="M1274" s="9" t="str">
        <f>IFERROR(__xludf.DUMMYFUNCTION("""COMPUTED_VALUE"""),"VLTC")</f>
        <v>VLTC</v>
      </c>
      <c r="N1274" s="9" t="str">
        <f>IFERROR(__xludf.DUMMYFUNCTION("""COMPUTED_VALUE"""),"MITC")</f>
        <v>MITC</v>
      </c>
      <c r="O1274" s="9" t="str">
        <f>IFERROR(__xludf.DUMMYFUNCTION("""COMPUTED_VALUE"""),"TF")</f>
        <v>TF</v>
      </c>
      <c r="P1274" s="9" t="str">
        <f>IFERROR(__xludf.DUMMYFUNCTION("""COMPUTED_VALUE"""),"TF6")</f>
        <v>TF6</v>
      </c>
      <c r="Q1274" s="9"/>
      <c r="R1274" s="9"/>
      <c r="S1274" s="42"/>
      <c r="T1274" s="42"/>
      <c r="U1274" s="42"/>
      <c r="V1274" s="42"/>
      <c r="W1274" s="42"/>
      <c r="X1274" s="42"/>
      <c r="Y1274" s="42"/>
      <c r="Z1274" s="42"/>
      <c r="AA1274" s="42"/>
      <c r="AB1274" s="42" t="str">
        <f>IFERROR(__xludf.DUMMYFUNCTION("""COMPUTED_VALUE"""),"allen institute")</f>
        <v>allen institute</v>
      </c>
      <c r="AC1274" s="42" t="str">
        <f>IFERROR(__xludf.DUMMYFUNCTION("""COMPUTED_VALUE"""),"DHBA")</f>
        <v>DHBA</v>
      </c>
      <c r="AD1274" s="42"/>
      <c r="AE1274" s="42"/>
      <c r="AF1274" s="9"/>
      <c r="AG1274" s="9"/>
      <c r="AH1274" s="42"/>
      <c r="AI1274" s="42"/>
      <c r="AJ1274" s="42"/>
      <c r="AK1274" s="42"/>
      <c r="AL1274" s="42"/>
      <c r="AM1274" s="42"/>
      <c r="AN1274" s="42"/>
      <c r="AO1274" s="63" t="str">
        <f>IFERROR(__xludf.DUMMYFUNCTION("IF(ISBLANK(A1274),,IF(ISBLANK(S1274), A1274&amp;"";"", TEXTJOIN(CHAR(10), TRUE, A1274&amp;"";"", ARRAYFORMULA(VLOOKUP(SPLIT(S1274, "";"" &amp; CHAR(10)), $A:$AO, 41, FALSE)))))"),"TF6;")</f>
        <v>TF6;</v>
      </c>
      <c r="AP1274" s="89"/>
    </row>
    <row r="1275">
      <c r="A1275" s="151" t="str">
        <f>IFERROR(__xludf.DUMMYFUNCTION("""COMPUTED_VALUE"""),"PPHC")</f>
        <v>PPHC</v>
      </c>
      <c r="B1275" s="42" t="str">
        <f>IFERROR(__xludf.DUMMYFUNCTION("""COMPUTED_VALUE"""),"DHBA")</f>
        <v>DHBA</v>
      </c>
      <c r="C1275" s="42" t="str">
        <f>IFERROR(__xludf.DUMMYFUNCTION("""COMPUTED_VALUE"""),"posterior parahippocampal cortex")</f>
        <v>posterior parahippocampal cortex</v>
      </c>
      <c r="D1275" s="42">
        <f>IFERROR(__xludf.DUMMYFUNCTION("""COMPUTED_VALUE"""),1208.0)</f>
        <v>1208</v>
      </c>
      <c r="E1275" s="39" t="str">
        <f>IFERROR(__xludf.DUMMYFUNCTION("""COMPUTED_VALUE"""),"posterior parahippocampal cortex")</f>
        <v>posterior parahippocampal cortex</v>
      </c>
      <c r="F1275" s="9" t="str">
        <f>IFERROR(__xludf.DUMMYFUNCTION("""COMPUTED_VALUE"""),"Br")</f>
        <v>Br</v>
      </c>
      <c r="G1275" s="9" t="str">
        <f>IFERROR(__xludf.DUMMYFUNCTION("""COMPUTED_VALUE"""),"F")</f>
        <v>F</v>
      </c>
      <c r="H1275" s="9" t="str">
        <f>IFERROR(__xludf.DUMMYFUNCTION("""COMPUTED_VALUE"""),"FGM")</f>
        <v>FGM</v>
      </c>
      <c r="I1275" s="9" t="str">
        <f>IFERROR(__xludf.DUMMYFUNCTION("""COMPUTED_VALUE"""),"Tel")</f>
        <v>Tel</v>
      </c>
      <c r="J1275" s="9" t="str">
        <f>IFERROR(__xludf.DUMMYFUNCTION("""COMPUTED_VALUE"""),"Cx")</f>
        <v>Cx</v>
      </c>
      <c r="K1275" s="9" t="str">
        <f>IFERROR(__xludf.DUMMYFUNCTION("""COMPUTED_VALUE"""),"NCx")</f>
        <v>NCx</v>
      </c>
      <c r="L1275" s="9" t="str">
        <f>IFERROR(__xludf.DUMMYFUNCTION("""COMPUTED_VALUE"""),"TCx")</f>
        <v>TCx</v>
      </c>
      <c r="M1275" s="9" t="str">
        <f>IFERROR(__xludf.DUMMYFUNCTION("""COMPUTED_VALUE"""),"PPHC")</f>
        <v>PPHC</v>
      </c>
      <c r="N1275" s="9"/>
      <c r="O1275" s="9"/>
      <c r="P1275" s="9"/>
      <c r="Q1275" s="9"/>
      <c r="R1275" s="9"/>
      <c r="S1275" s="42" t="str">
        <f>IFERROR(__xludf.DUMMYFUNCTION("""COMPUTED_VALUE"""),"TH;
TL")</f>
        <v>TH;
TL</v>
      </c>
      <c r="T1275" s="42"/>
      <c r="U1275" s="42" t="b">
        <f>IFERROR(__xludf.DUMMYFUNCTION("""COMPUTED_VALUE"""),FALSE)</f>
        <v>0</v>
      </c>
      <c r="V1275" s="42"/>
      <c r="W1275" s="42"/>
      <c r="X1275" s="42"/>
      <c r="Y1275" s="42"/>
      <c r="Z1275" s="42"/>
      <c r="AA1275" s="42"/>
      <c r="AB1275" s="42" t="str">
        <f>IFERROR(__xludf.DUMMYFUNCTION("""COMPUTED_VALUE"""),"allen institute")</f>
        <v>allen institute</v>
      </c>
      <c r="AC1275" s="42" t="str">
        <f>IFERROR(__xludf.DUMMYFUNCTION("""COMPUTED_VALUE"""),"DHBA")</f>
        <v>DHBA</v>
      </c>
      <c r="AD1275" s="42"/>
      <c r="AE1275" s="42"/>
      <c r="AF1275" s="9"/>
      <c r="AG1275" s="9"/>
      <c r="AH1275" s="42"/>
      <c r="AI1275" s="42"/>
      <c r="AJ1275" s="42"/>
      <c r="AK1275" s="42"/>
      <c r="AL1275" s="42"/>
      <c r="AM1275" s="42"/>
      <c r="AN1275" s="42"/>
      <c r="AO1275" s="63" t="str">
        <f>IFERROR(__xludf.DUMMYFUNCTION("IF(ISBLANK(A1275),,IF(ISBLANK(S1275), A1275&amp;"";"", TEXTJOIN(CHAR(10), TRUE, A1275&amp;"";"", ARRAYFORMULA(VLOOKUP(SPLIT(S1275, "";"" &amp; CHAR(10)), $A:$AO, 41, FALSE)))))"),"PPHC;
TH;
TH1;
TH2;
TH3;
TH5;
TH6;
TL;
TL1;
TL2;
TL3;
TL4;
TL5;
TL6;")</f>
        <v>PPHC;
TH;
TH1;
TH2;
TH3;
TH5;
TH6;
TL;
TL1;
TL2;
TL3;
TL4;
TL5;
TL6;</v>
      </c>
      <c r="AP1275" s="89"/>
    </row>
    <row r="1276">
      <c r="A1276" s="151" t="str">
        <f>IFERROR(__xludf.DUMMYFUNCTION("""COMPUTED_VALUE"""),"VISpor_uc1")</f>
        <v>VISpor_uc1</v>
      </c>
      <c r="B1276" s="42" t="str">
        <f>IFERROR(__xludf.DUMMYFUNCTION("""COMPUTED_VALUE"""),"makeshift")</f>
        <v>makeshift</v>
      </c>
      <c r="C1276" s="42" t="str">
        <f>IFERROR(__xludf.DUMMYFUNCTION("""COMPUTED_VALUE"""),"postrhinal cortex, uniform circuit 1")</f>
        <v>postrhinal cortex, uniform circuit 1</v>
      </c>
      <c r="D1276" s="42">
        <f>IFERROR(__xludf.DUMMYFUNCTION("""COMPUTED_VALUE"""),1208.1)</f>
        <v>1208.1</v>
      </c>
      <c r="E1276" s="39" t="str">
        <f>IFERROR(__xludf.DUMMYFUNCTION("""COMPUTED_VALUE"""),"")</f>
        <v/>
      </c>
      <c r="F1276" s="9" t="str">
        <f>IFERROR(__xludf.DUMMYFUNCTION("""COMPUTED_VALUE"""),"")</f>
        <v/>
      </c>
      <c r="G1276" s="9" t="str">
        <f>IFERROR(__xludf.DUMMYFUNCTION("""COMPUTED_VALUE"""),"")</f>
        <v/>
      </c>
      <c r="H1276" s="9" t="str">
        <f>IFERROR(__xludf.DUMMYFUNCTION("""COMPUTED_VALUE"""),"")</f>
        <v/>
      </c>
      <c r="I1276" s="9" t="str">
        <f>IFERROR(__xludf.DUMMYFUNCTION("""COMPUTED_VALUE"""),"")</f>
        <v/>
      </c>
      <c r="J1276" s="9" t="str">
        <f>IFERROR(__xludf.DUMMYFUNCTION("""COMPUTED_VALUE"""),"")</f>
        <v/>
      </c>
      <c r="K1276" s="9" t="str">
        <f>IFERROR(__xludf.DUMMYFUNCTION("""COMPUTED_VALUE"""),"")</f>
        <v/>
      </c>
      <c r="L1276" s="9" t="str">
        <f>IFERROR(__xludf.DUMMYFUNCTION("""COMPUTED_VALUE"""),"")</f>
        <v/>
      </c>
      <c r="M1276" s="9" t="str">
        <f>IFERROR(__xludf.DUMMYFUNCTION("""COMPUTED_VALUE"""),"")</f>
        <v/>
      </c>
      <c r="N1276" s="9" t="str">
        <f>IFERROR(__xludf.DUMMYFUNCTION("""COMPUTED_VALUE"""),"")</f>
        <v/>
      </c>
      <c r="O1276" s="9" t="str">
        <f>IFERROR(__xludf.DUMMYFUNCTION("""COMPUTED_VALUE"""),"")</f>
        <v/>
      </c>
      <c r="P1276" s="9" t="str">
        <f>IFERROR(__xludf.DUMMYFUNCTION("""COMPUTED_VALUE"""),"")</f>
        <v/>
      </c>
      <c r="Q1276" s="9" t="str">
        <f>IFERROR(__xludf.DUMMYFUNCTION("""COMPUTED_VALUE"""),"")</f>
        <v/>
      </c>
      <c r="R1276" s="9" t="str">
        <f>IFERROR(__xludf.DUMMYFUNCTION("""COMPUTED_VALUE"""),"")</f>
        <v/>
      </c>
      <c r="S1276" s="42"/>
      <c r="T1276" s="42"/>
      <c r="U1276" s="42" t="b">
        <f>IFERROR(__xludf.DUMMYFUNCTION("""COMPUTED_VALUE"""),TRUE)</f>
        <v>1</v>
      </c>
      <c r="V1276" s="42"/>
      <c r="W1276" s="42"/>
      <c r="X1276" s="42"/>
      <c r="Y1276" s="42"/>
      <c r="Z1276" s="42"/>
      <c r="AA1276" s="42"/>
      <c r="AB1276" s="42" t="str">
        <f>IFERROR(__xludf.DUMMYFUNCTION("""COMPUTED_VALUE"""),"Ayako Fukawa")</f>
        <v>Ayako Fukawa</v>
      </c>
      <c r="AC1276" s="42" t="str">
        <f>IFERROR(__xludf.DUMMYFUNCTION("""COMPUTED_VALUE"""),"AT20HippocampalFormation")</f>
        <v>AT20HippocampalFormation</v>
      </c>
      <c r="AD1276" s="42"/>
      <c r="AE1276" s="42"/>
      <c r="AF1276" s="9"/>
      <c r="AG1276" s="9"/>
      <c r="AH1276" s="42"/>
      <c r="AI1276" s="42"/>
      <c r="AJ1276" s="42"/>
      <c r="AK1276" s="42"/>
      <c r="AL1276" s="42"/>
      <c r="AM1276" s="42"/>
      <c r="AN1276" s="42"/>
      <c r="AO1276" s="63" t="str">
        <f>IFERROR(__xludf.DUMMYFUNCTION("IF(ISBLANK(A1276),,IF(ISBLANK(S1276), A1276&amp;"";"", TEXTJOIN(CHAR(10), TRUE, A1276&amp;"";"", ARRAYFORMULA(VLOOKUP(SPLIT(S1276, "";"" &amp; CHAR(10)), $A:$AO, 41, FALSE)))))"),"VISpor_uc1;")</f>
        <v>VISpor_uc1;</v>
      </c>
      <c r="AP1276" s="89"/>
    </row>
    <row r="1277">
      <c r="A1277" s="151" t="str">
        <f>IFERROR(__xludf.DUMMYFUNCTION("""COMPUTED_VALUE"""),"VISpor_uc2")</f>
        <v>VISpor_uc2</v>
      </c>
      <c r="B1277" s="42" t="str">
        <f>IFERROR(__xludf.DUMMYFUNCTION("""COMPUTED_VALUE"""),"makeshift")</f>
        <v>makeshift</v>
      </c>
      <c r="C1277" s="42" t="str">
        <f>IFERROR(__xludf.DUMMYFUNCTION("""COMPUTED_VALUE"""),"postrhinal cortex, uniform circuit 2")</f>
        <v>postrhinal cortex, uniform circuit 2</v>
      </c>
      <c r="D1277" s="42">
        <f>IFERROR(__xludf.DUMMYFUNCTION("""COMPUTED_VALUE"""),1208.1)</f>
        <v>1208.1</v>
      </c>
      <c r="E1277" s="39" t="str">
        <f>IFERROR(__xludf.DUMMYFUNCTION("""COMPUTED_VALUE"""),"")</f>
        <v/>
      </c>
      <c r="F1277" s="9" t="str">
        <f>IFERROR(__xludf.DUMMYFUNCTION("""COMPUTED_VALUE"""),"")</f>
        <v/>
      </c>
      <c r="G1277" s="9" t="str">
        <f>IFERROR(__xludf.DUMMYFUNCTION("""COMPUTED_VALUE"""),"")</f>
        <v/>
      </c>
      <c r="H1277" s="9" t="str">
        <f>IFERROR(__xludf.DUMMYFUNCTION("""COMPUTED_VALUE"""),"")</f>
        <v/>
      </c>
      <c r="I1277" s="9" t="str">
        <f>IFERROR(__xludf.DUMMYFUNCTION("""COMPUTED_VALUE"""),"")</f>
        <v/>
      </c>
      <c r="J1277" s="9" t="str">
        <f>IFERROR(__xludf.DUMMYFUNCTION("""COMPUTED_VALUE"""),"")</f>
        <v/>
      </c>
      <c r="K1277" s="9" t="str">
        <f>IFERROR(__xludf.DUMMYFUNCTION("""COMPUTED_VALUE"""),"")</f>
        <v/>
      </c>
      <c r="L1277" s="9" t="str">
        <f>IFERROR(__xludf.DUMMYFUNCTION("""COMPUTED_VALUE"""),"")</f>
        <v/>
      </c>
      <c r="M1277" s="9" t="str">
        <f>IFERROR(__xludf.DUMMYFUNCTION("""COMPUTED_VALUE"""),"")</f>
        <v/>
      </c>
      <c r="N1277" s="9" t="str">
        <f>IFERROR(__xludf.DUMMYFUNCTION("""COMPUTED_VALUE"""),"")</f>
        <v/>
      </c>
      <c r="O1277" s="9" t="str">
        <f>IFERROR(__xludf.DUMMYFUNCTION("""COMPUTED_VALUE"""),"")</f>
        <v/>
      </c>
      <c r="P1277" s="9" t="str">
        <f>IFERROR(__xludf.DUMMYFUNCTION("""COMPUTED_VALUE"""),"")</f>
        <v/>
      </c>
      <c r="Q1277" s="9" t="str">
        <f>IFERROR(__xludf.DUMMYFUNCTION("""COMPUTED_VALUE"""),"")</f>
        <v/>
      </c>
      <c r="R1277" s="9" t="str">
        <f>IFERROR(__xludf.DUMMYFUNCTION("""COMPUTED_VALUE"""),"")</f>
        <v/>
      </c>
      <c r="S1277" s="42"/>
      <c r="T1277" s="42"/>
      <c r="U1277" s="42" t="b">
        <f>IFERROR(__xludf.DUMMYFUNCTION("""COMPUTED_VALUE"""),TRUE)</f>
        <v>1</v>
      </c>
      <c r="V1277" s="42"/>
      <c r="W1277" s="42"/>
      <c r="X1277" s="42"/>
      <c r="Y1277" s="42"/>
      <c r="Z1277" s="42"/>
      <c r="AA1277" s="42"/>
      <c r="AB1277" s="42" t="str">
        <f>IFERROR(__xludf.DUMMYFUNCTION("""COMPUTED_VALUE"""),"Ayako Fukawa")</f>
        <v>Ayako Fukawa</v>
      </c>
      <c r="AC1277" s="42" t="str">
        <f>IFERROR(__xludf.DUMMYFUNCTION("""COMPUTED_VALUE"""),"AT20HippocampalFormation")</f>
        <v>AT20HippocampalFormation</v>
      </c>
      <c r="AD1277" s="42"/>
      <c r="AE1277" s="42"/>
      <c r="AF1277" s="9"/>
      <c r="AG1277" s="9"/>
      <c r="AH1277" s="42"/>
      <c r="AI1277" s="42"/>
      <c r="AJ1277" s="42"/>
      <c r="AK1277" s="42"/>
      <c r="AL1277" s="42"/>
      <c r="AM1277" s="42"/>
      <c r="AN1277" s="42"/>
      <c r="AO1277" s="63" t="str">
        <f>IFERROR(__xludf.DUMMYFUNCTION("IF(ISBLANK(A1277),,IF(ISBLANK(S1277), A1277&amp;"";"", TEXTJOIN(CHAR(10), TRUE, A1277&amp;"";"", ARRAYFORMULA(VLOOKUP(SPLIT(S1277, "";"" &amp; CHAR(10)), $A:$AO, 41, FALSE)))))"),"VISpor_uc2;")</f>
        <v>VISpor_uc2;</v>
      </c>
      <c r="AP1277" s="89"/>
    </row>
    <row r="1278">
      <c r="A1278" s="151" t="str">
        <f>IFERROR(__xludf.DUMMYFUNCTION("""COMPUTED_VALUE"""),"VISpor")</f>
        <v>VISpor</v>
      </c>
      <c r="B1278" s="42" t="str">
        <f>IFERROR(__xludf.DUMMYFUNCTION("""COMPUTED_VALUE"""),"MBA")</f>
        <v>MBA</v>
      </c>
      <c r="C1278" s="42" t="str">
        <f>IFERROR(__xludf.DUMMYFUNCTION("""COMPUTED_VALUE"""),"postrhinal area")</f>
        <v>postrhinal area</v>
      </c>
      <c r="D1278" s="42">
        <f>IFERROR(__xludf.DUMMYFUNCTION("""COMPUTED_VALUE"""),1208.1)</f>
        <v>1208.1</v>
      </c>
      <c r="E1278" s="39" t="str">
        <f>IFERROR(__xludf.DUMMYFUNCTION("""COMPUTED_VALUE"""),"")</f>
        <v/>
      </c>
      <c r="F1278" s="9" t="str">
        <f>IFERROR(__xludf.DUMMYFUNCTION("""COMPUTED_VALUE"""),"")</f>
        <v/>
      </c>
      <c r="G1278" s="9" t="str">
        <f>IFERROR(__xludf.DUMMYFUNCTION("""COMPUTED_VALUE"""),"")</f>
        <v/>
      </c>
      <c r="H1278" s="9" t="str">
        <f>IFERROR(__xludf.DUMMYFUNCTION("""COMPUTED_VALUE"""),"")</f>
        <v/>
      </c>
      <c r="I1278" s="9" t="str">
        <f>IFERROR(__xludf.DUMMYFUNCTION("""COMPUTED_VALUE"""),"")</f>
        <v/>
      </c>
      <c r="J1278" s="9" t="str">
        <f>IFERROR(__xludf.DUMMYFUNCTION("""COMPUTED_VALUE"""),"")</f>
        <v/>
      </c>
      <c r="K1278" s="9" t="str">
        <f>IFERROR(__xludf.DUMMYFUNCTION("""COMPUTED_VALUE"""),"")</f>
        <v/>
      </c>
      <c r="L1278" s="9" t="str">
        <f>IFERROR(__xludf.DUMMYFUNCTION("""COMPUTED_VALUE"""),"")</f>
        <v/>
      </c>
      <c r="M1278" s="9" t="str">
        <f>IFERROR(__xludf.DUMMYFUNCTION("""COMPUTED_VALUE"""),"")</f>
        <v/>
      </c>
      <c r="N1278" s="9" t="str">
        <f>IFERROR(__xludf.DUMMYFUNCTION("""COMPUTED_VALUE"""),"")</f>
        <v/>
      </c>
      <c r="O1278" s="9" t="str">
        <f>IFERROR(__xludf.DUMMYFUNCTION("""COMPUTED_VALUE"""),"")</f>
        <v/>
      </c>
      <c r="P1278" s="9" t="str">
        <f>IFERROR(__xludf.DUMMYFUNCTION("""COMPUTED_VALUE"""),"")</f>
        <v/>
      </c>
      <c r="Q1278" s="9" t="str">
        <f>IFERROR(__xludf.DUMMYFUNCTION("""COMPUTED_VALUE"""),"")</f>
        <v/>
      </c>
      <c r="R1278" s="9" t="str">
        <f>IFERROR(__xludf.DUMMYFUNCTION("""COMPUTED_VALUE"""),"")</f>
        <v/>
      </c>
      <c r="S1278" s="42" t="str">
        <f>IFERROR(__xludf.DUMMYFUNCTION("""COMPUTED_VALUE"""),"VISpor_uc1;
VISpor_uc2")</f>
        <v>VISpor_uc1;
VISpor_uc2</v>
      </c>
      <c r="T1278" s="42"/>
      <c r="U1278" s="159" t="b">
        <f>IFERROR(__xludf.DUMMYFUNCTION("""COMPUTED_VALUE"""),FALSE)</f>
        <v>0</v>
      </c>
      <c r="V1278" s="42"/>
      <c r="W1278" s="42"/>
      <c r="X1278" s="42"/>
      <c r="Y1278" s="42"/>
      <c r="Z1278" s="42"/>
      <c r="AA1278" s="42" t="str">
        <f>IFERROR(__xludf.DUMMYFUNCTION("""COMPUTED_VALUE"""),"The POR area in rodents corresponds to humans' Parahippocampal TH/TE area.")</f>
        <v>The POR area in rodents corresponds to humans' Parahippocampal TH/TE area.</v>
      </c>
      <c r="AB1278" s="42" t="str">
        <f>IFERROR(__xludf.DUMMYFUNCTION("""COMPUTED_VALUE"""),"Ayako Fukawa")</f>
        <v>Ayako Fukawa</v>
      </c>
      <c r="AC1278" s="42" t="str">
        <f>IFERROR(__xludf.DUMMYFUNCTION("""COMPUTED_VALUE"""),"AT20HippocampalFormation")</f>
        <v>AT20HippocampalFormation</v>
      </c>
      <c r="AD1278" s="42"/>
      <c r="AE1278" s="42"/>
      <c r="AF1278" s="9"/>
      <c r="AG1278" s="9"/>
      <c r="AH1278" s="42"/>
      <c r="AI1278" s="42"/>
      <c r="AJ1278" s="42"/>
      <c r="AK1278" s="42"/>
      <c r="AL1278" s="42"/>
      <c r="AM1278" s="42"/>
      <c r="AN1278" s="42"/>
      <c r="AO1278" s="63" t="str">
        <f>IFERROR(__xludf.DUMMYFUNCTION("IF(ISBLANK(A1278),,IF(ISBLANK(S1278), A1278&amp;"";"", TEXTJOIN(CHAR(10), TRUE, A1278&amp;"";"", ARRAYFORMULA(VLOOKUP(SPLIT(S1278, "";"" &amp; CHAR(10)), $A:$AO, 41, FALSE)))))"),"VISpor;
VISpor_uc1;
VISpor_uc2;")</f>
        <v>VISpor;
VISpor_uc1;
VISpor_uc2;</v>
      </c>
      <c r="AP1278" s="89"/>
    </row>
    <row r="1279">
      <c r="A1279" s="151" t="str">
        <f>IFERROR(__xludf.DUMMYFUNCTION("""COMPUTED_VALUE"""),"TH")</f>
        <v>TH</v>
      </c>
      <c r="B1279" s="42" t="str">
        <f>IFERROR(__xludf.DUMMYFUNCTION("""COMPUTED_VALUE"""),"DHBA")</f>
        <v>DHBA</v>
      </c>
      <c r="C1279" s="42" t="str">
        <f>IFERROR(__xludf.DUMMYFUNCTION("""COMPUTED_VALUE"""),"medial division of PPHC (area TH)")</f>
        <v>medial division of PPHC (area TH)</v>
      </c>
      <c r="D1279" s="42">
        <f>IFERROR(__xludf.DUMMYFUNCTION("""COMPUTED_VALUE"""),1209.0)</f>
        <v>1209</v>
      </c>
      <c r="E1279" s="39" t="str">
        <f>IFERROR(__xludf.DUMMYFUNCTION("""COMPUTED_VALUE"""),"medial division of PPHC (area TH)")</f>
        <v>medial division of PPHC (area TH)</v>
      </c>
      <c r="F1279" s="9" t="str">
        <f>IFERROR(__xludf.DUMMYFUNCTION("""COMPUTED_VALUE"""),"Br")</f>
        <v>Br</v>
      </c>
      <c r="G1279" s="9" t="str">
        <f>IFERROR(__xludf.DUMMYFUNCTION("""COMPUTED_VALUE"""),"F")</f>
        <v>F</v>
      </c>
      <c r="H1279" s="9" t="str">
        <f>IFERROR(__xludf.DUMMYFUNCTION("""COMPUTED_VALUE"""),"FGM")</f>
        <v>FGM</v>
      </c>
      <c r="I1279" s="9" t="str">
        <f>IFERROR(__xludf.DUMMYFUNCTION("""COMPUTED_VALUE"""),"Tel")</f>
        <v>Tel</v>
      </c>
      <c r="J1279" s="9" t="str">
        <f>IFERROR(__xludf.DUMMYFUNCTION("""COMPUTED_VALUE"""),"Cx")</f>
        <v>Cx</v>
      </c>
      <c r="K1279" s="9" t="str">
        <f>IFERROR(__xludf.DUMMYFUNCTION("""COMPUTED_VALUE"""),"NCx")</f>
        <v>NCx</v>
      </c>
      <c r="L1279" s="9" t="str">
        <f>IFERROR(__xludf.DUMMYFUNCTION("""COMPUTED_VALUE"""),"TCx")</f>
        <v>TCx</v>
      </c>
      <c r="M1279" s="9" t="str">
        <f>IFERROR(__xludf.DUMMYFUNCTION("""COMPUTED_VALUE"""),"PPHC")</f>
        <v>PPHC</v>
      </c>
      <c r="N1279" s="9" t="str">
        <f>IFERROR(__xludf.DUMMYFUNCTION("""COMPUTED_VALUE"""),"TH")</f>
        <v>TH</v>
      </c>
      <c r="O1279" s="9"/>
      <c r="P1279" s="9"/>
      <c r="Q1279" s="9"/>
      <c r="R1279" s="9"/>
      <c r="S1279" s="42" t="str">
        <f>IFERROR(__xludf.DUMMYFUNCTION("""COMPUTED_VALUE"""),"TH1;
TH2;
TH3;
TH5;
TH6")</f>
        <v>TH1;
TH2;
TH3;
TH5;
TH6</v>
      </c>
      <c r="T1279" s="42"/>
      <c r="U1279" s="42" t="b">
        <f>IFERROR(__xludf.DUMMYFUNCTION("""COMPUTED_VALUE"""),FALSE)</f>
        <v>0</v>
      </c>
      <c r="V1279" s="42"/>
      <c r="W1279" s="42"/>
      <c r="X1279" s="42"/>
      <c r="Y1279" s="42"/>
      <c r="Z1279" s="42"/>
      <c r="AA1279" s="42"/>
      <c r="AB1279" s="42" t="str">
        <f>IFERROR(__xludf.DUMMYFUNCTION("""COMPUTED_VALUE"""),"allen institute")</f>
        <v>allen institute</v>
      </c>
      <c r="AC1279" s="42" t="str">
        <f>IFERROR(__xludf.DUMMYFUNCTION("""COMPUTED_VALUE"""),"DHBA")</f>
        <v>DHBA</v>
      </c>
      <c r="AD1279" s="42"/>
      <c r="AE1279" s="42"/>
      <c r="AF1279" s="9"/>
      <c r="AG1279" s="9"/>
      <c r="AH1279" s="42"/>
      <c r="AI1279" s="42"/>
      <c r="AJ1279" s="42"/>
      <c r="AK1279" s="42"/>
      <c r="AL1279" s="42"/>
      <c r="AM1279" s="42"/>
      <c r="AN1279" s="42"/>
      <c r="AO1279" s="63" t="str">
        <f>IFERROR(__xludf.DUMMYFUNCTION("IF(ISBLANK(A1279),,IF(ISBLANK(S1279), A1279&amp;"";"", TEXTJOIN(CHAR(10), TRUE, A1279&amp;"";"", ARRAYFORMULA(VLOOKUP(SPLIT(S1279, "";"" &amp; CHAR(10)), $A:$AO, 41, FALSE)))))"),"TH;
TH1;
TH2;
TH3;
TH5;
TH6;")</f>
        <v>TH;
TH1;
TH2;
TH3;
TH5;
TH6;</v>
      </c>
      <c r="AP1279" s="89"/>
    </row>
    <row r="1280">
      <c r="A1280" s="151" t="str">
        <f>IFERROR(__xludf.DUMMYFUNCTION("""COMPUTED_VALUE"""),"TH1")</f>
        <v>TH1</v>
      </c>
      <c r="B1280" s="42" t="str">
        <f>IFERROR(__xludf.DUMMYFUNCTION("""COMPUTED_VALUE"""),"DHBA")</f>
        <v>DHBA</v>
      </c>
      <c r="C1280" s="42" t="str">
        <f>IFERROR(__xludf.DUMMYFUNCTION("""COMPUTED_VALUE"""),"layer I of area TH")</f>
        <v>layer I of area TH</v>
      </c>
      <c r="D1280" s="42">
        <f>IFERROR(__xludf.DUMMYFUNCTION("""COMPUTED_VALUE"""),1210.0)</f>
        <v>1210</v>
      </c>
      <c r="E1280" s="39" t="str">
        <f>IFERROR(__xludf.DUMMYFUNCTION("""COMPUTED_VALUE"""),"layer I of area TH")</f>
        <v>layer I of area TH</v>
      </c>
      <c r="F1280" s="9" t="str">
        <f>IFERROR(__xludf.DUMMYFUNCTION("""COMPUTED_VALUE"""),"Br")</f>
        <v>Br</v>
      </c>
      <c r="G1280" s="9" t="str">
        <f>IFERROR(__xludf.DUMMYFUNCTION("""COMPUTED_VALUE"""),"F")</f>
        <v>F</v>
      </c>
      <c r="H1280" s="9" t="str">
        <f>IFERROR(__xludf.DUMMYFUNCTION("""COMPUTED_VALUE"""),"FGM")</f>
        <v>FGM</v>
      </c>
      <c r="I1280" s="9" t="str">
        <f>IFERROR(__xludf.DUMMYFUNCTION("""COMPUTED_VALUE"""),"Tel")</f>
        <v>Tel</v>
      </c>
      <c r="J1280" s="9" t="str">
        <f>IFERROR(__xludf.DUMMYFUNCTION("""COMPUTED_VALUE"""),"Cx")</f>
        <v>Cx</v>
      </c>
      <c r="K1280" s="9" t="str">
        <f>IFERROR(__xludf.DUMMYFUNCTION("""COMPUTED_VALUE"""),"NCx")</f>
        <v>NCx</v>
      </c>
      <c r="L1280" s="9" t="str">
        <f>IFERROR(__xludf.DUMMYFUNCTION("""COMPUTED_VALUE"""),"TCx")</f>
        <v>TCx</v>
      </c>
      <c r="M1280" s="9" t="str">
        <f>IFERROR(__xludf.DUMMYFUNCTION("""COMPUTED_VALUE"""),"PPHC")</f>
        <v>PPHC</v>
      </c>
      <c r="N1280" s="9" t="str">
        <f>IFERROR(__xludf.DUMMYFUNCTION("""COMPUTED_VALUE"""),"TH")</f>
        <v>TH</v>
      </c>
      <c r="O1280" s="9" t="str">
        <f>IFERROR(__xludf.DUMMYFUNCTION("""COMPUTED_VALUE"""),"TH1")</f>
        <v>TH1</v>
      </c>
      <c r="P1280" s="9"/>
      <c r="Q1280" s="9"/>
      <c r="R1280" s="9"/>
      <c r="S1280" s="42"/>
      <c r="T1280" s="42"/>
      <c r="U1280" s="159"/>
      <c r="V1280" s="42"/>
      <c r="W1280" s="42"/>
      <c r="X1280" s="42"/>
      <c r="Y1280" s="42"/>
      <c r="Z1280" s="42"/>
      <c r="AA1280" s="42"/>
      <c r="AB1280" s="42" t="str">
        <f>IFERROR(__xludf.DUMMYFUNCTION("""COMPUTED_VALUE"""),"allen institute")</f>
        <v>allen institute</v>
      </c>
      <c r="AC1280" s="42" t="str">
        <f>IFERROR(__xludf.DUMMYFUNCTION("""COMPUTED_VALUE"""),"DHBA")</f>
        <v>DHBA</v>
      </c>
      <c r="AD1280" s="42"/>
      <c r="AE1280" s="42"/>
      <c r="AF1280" s="9"/>
      <c r="AG1280" s="9"/>
      <c r="AH1280" s="42"/>
      <c r="AI1280" s="42"/>
      <c r="AJ1280" s="42"/>
      <c r="AK1280" s="42"/>
      <c r="AL1280" s="42"/>
      <c r="AM1280" s="42"/>
      <c r="AN1280" s="42"/>
      <c r="AO1280" s="63" t="str">
        <f>IFERROR(__xludf.DUMMYFUNCTION("IF(ISBLANK(A1280),,IF(ISBLANK(S1280), A1280&amp;"";"", TEXTJOIN(CHAR(10), TRUE, A1280&amp;"";"", ARRAYFORMULA(VLOOKUP(SPLIT(S1280, "";"" &amp; CHAR(10)), $A:$AO, 41, FALSE)))))"),"TH1;")</f>
        <v>TH1;</v>
      </c>
      <c r="AP1280" s="89"/>
    </row>
    <row r="1281">
      <c r="A1281" s="151" t="str">
        <f>IFERROR(__xludf.DUMMYFUNCTION("""COMPUTED_VALUE"""),"TH2")</f>
        <v>TH2</v>
      </c>
      <c r="B1281" s="42" t="str">
        <f>IFERROR(__xludf.DUMMYFUNCTION("""COMPUTED_VALUE"""),"DHBA")</f>
        <v>DHBA</v>
      </c>
      <c r="C1281" s="42" t="str">
        <f>IFERROR(__xludf.DUMMYFUNCTION("""COMPUTED_VALUE"""),"layer II of area TH")</f>
        <v>layer II of area TH</v>
      </c>
      <c r="D1281" s="42">
        <f>IFERROR(__xludf.DUMMYFUNCTION("""COMPUTED_VALUE"""),1211.0)</f>
        <v>1211</v>
      </c>
      <c r="E1281" s="39" t="str">
        <f>IFERROR(__xludf.DUMMYFUNCTION("""COMPUTED_VALUE"""),"layer II of area TH")</f>
        <v>layer II of area TH</v>
      </c>
      <c r="F1281" s="9" t="str">
        <f>IFERROR(__xludf.DUMMYFUNCTION("""COMPUTED_VALUE"""),"Br")</f>
        <v>Br</v>
      </c>
      <c r="G1281" s="9" t="str">
        <f>IFERROR(__xludf.DUMMYFUNCTION("""COMPUTED_VALUE"""),"F")</f>
        <v>F</v>
      </c>
      <c r="H1281" s="9" t="str">
        <f>IFERROR(__xludf.DUMMYFUNCTION("""COMPUTED_VALUE"""),"FGM")</f>
        <v>FGM</v>
      </c>
      <c r="I1281" s="9" t="str">
        <f>IFERROR(__xludf.DUMMYFUNCTION("""COMPUTED_VALUE"""),"Tel")</f>
        <v>Tel</v>
      </c>
      <c r="J1281" s="9" t="str">
        <f>IFERROR(__xludf.DUMMYFUNCTION("""COMPUTED_VALUE"""),"Cx")</f>
        <v>Cx</v>
      </c>
      <c r="K1281" s="9" t="str">
        <f>IFERROR(__xludf.DUMMYFUNCTION("""COMPUTED_VALUE"""),"NCx")</f>
        <v>NCx</v>
      </c>
      <c r="L1281" s="9" t="str">
        <f>IFERROR(__xludf.DUMMYFUNCTION("""COMPUTED_VALUE"""),"TCx")</f>
        <v>TCx</v>
      </c>
      <c r="M1281" s="9" t="str">
        <f>IFERROR(__xludf.DUMMYFUNCTION("""COMPUTED_VALUE"""),"PPHC")</f>
        <v>PPHC</v>
      </c>
      <c r="N1281" s="9" t="str">
        <f>IFERROR(__xludf.DUMMYFUNCTION("""COMPUTED_VALUE"""),"TH")</f>
        <v>TH</v>
      </c>
      <c r="O1281" s="9" t="str">
        <f>IFERROR(__xludf.DUMMYFUNCTION("""COMPUTED_VALUE"""),"TH2")</f>
        <v>TH2</v>
      </c>
      <c r="P1281" s="9"/>
      <c r="Q1281" s="9"/>
      <c r="R1281" s="9"/>
      <c r="S1281" s="42"/>
      <c r="T1281" s="42"/>
      <c r="U1281" s="159"/>
      <c r="V1281" s="42"/>
      <c r="W1281" s="42"/>
      <c r="X1281" s="42"/>
      <c r="Y1281" s="42"/>
      <c r="Z1281" s="42"/>
      <c r="AA1281" s="42"/>
      <c r="AB1281" s="42" t="str">
        <f>IFERROR(__xludf.DUMMYFUNCTION("""COMPUTED_VALUE"""),"allen institute")</f>
        <v>allen institute</v>
      </c>
      <c r="AC1281" s="42" t="str">
        <f>IFERROR(__xludf.DUMMYFUNCTION("""COMPUTED_VALUE"""),"DHBA")</f>
        <v>DHBA</v>
      </c>
      <c r="AD1281" s="42"/>
      <c r="AE1281" s="42"/>
      <c r="AF1281" s="9"/>
      <c r="AG1281" s="9"/>
      <c r="AH1281" s="42"/>
      <c r="AI1281" s="42"/>
      <c r="AJ1281" s="42"/>
      <c r="AK1281" s="42"/>
      <c r="AL1281" s="42"/>
      <c r="AM1281" s="42"/>
      <c r="AN1281" s="42"/>
      <c r="AO1281" s="63" t="str">
        <f>IFERROR(__xludf.DUMMYFUNCTION("IF(ISBLANK(A1281),,IF(ISBLANK(S1281), A1281&amp;"";"", TEXTJOIN(CHAR(10), TRUE, A1281&amp;"";"", ARRAYFORMULA(VLOOKUP(SPLIT(S1281, "";"" &amp; CHAR(10)), $A:$AO, 41, FALSE)))))"),"TH2;")</f>
        <v>TH2;</v>
      </c>
      <c r="AP1281" s="89"/>
    </row>
    <row r="1282">
      <c r="A1282" s="151" t="str">
        <f>IFERROR(__xludf.DUMMYFUNCTION("""COMPUTED_VALUE"""),"TH3")</f>
        <v>TH3</v>
      </c>
      <c r="B1282" s="42" t="str">
        <f>IFERROR(__xludf.DUMMYFUNCTION("""COMPUTED_VALUE"""),"DHBA")</f>
        <v>DHBA</v>
      </c>
      <c r="C1282" s="42" t="str">
        <f>IFERROR(__xludf.DUMMYFUNCTION("""COMPUTED_VALUE"""),"layer III of area TH")</f>
        <v>layer III of area TH</v>
      </c>
      <c r="D1282" s="42">
        <f>IFERROR(__xludf.DUMMYFUNCTION("""COMPUTED_VALUE"""),1212.0)</f>
        <v>1212</v>
      </c>
      <c r="E1282" s="39" t="str">
        <f>IFERROR(__xludf.DUMMYFUNCTION("""COMPUTED_VALUE"""),"layer III of area TH")</f>
        <v>layer III of area TH</v>
      </c>
      <c r="F1282" s="9" t="str">
        <f>IFERROR(__xludf.DUMMYFUNCTION("""COMPUTED_VALUE"""),"Br")</f>
        <v>Br</v>
      </c>
      <c r="G1282" s="9" t="str">
        <f>IFERROR(__xludf.DUMMYFUNCTION("""COMPUTED_VALUE"""),"F")</f>
        <v>F</v>
      </c>
      <c r="H1282" s="9" t="str">
        <f>IFERROR(__xludf.DUMMYFUNCTION("""COMPUTED_VALUE"""),"FGM")</f>
        <v>FGM</v>
      </c>
      <c r="I1282" s="9" t="str">
        <f>IFERROR(__xludf.DUMMYFUNCTION("""COMPUTED_VALUE"""),"Tel")</f>
        <v>Tel</v>
      </c>
      <c r="J1282" s="9" t="str">
        <f>IFERROR(__xludf.DUMMYFUNCTION("""COMPUTED_VALUE"""),"Cx")</f>
        <v>Cx</v>
      </c>
      <c r="K1282" s="9" t="str">
        <f>IFERROR(__xludf.DUMMYFUNCTION("""COMPUTED_VALUE"""),"NCx")</f>
        <v>NCx</v>
      </c>
      <c r="L1282" s="9" t="str">
        <f>IFERROR(__xludf.DUMMYFUNCTION("""COMPUTED_VALUE"""),"TCx")</f>
        <v>TCx</v>
      </c>
      <c r="M1282" s="9" t="str">
        <f>IFERROR(__xludf.DUMMYFUNCTION("""COMPUTED_VALUE"""),"PPHC")</f>
        <v>PPHC</v>
      </c>
      <c r="N1282" s="9" t="str">
        <f>IFERROR(__xludf.DUMMYFUNCTION("""COMPUTED_VALUE"""),"TH")</f>
        <v>TH</v>
      </c>
      <c r="O1282" s="9" t="str">
        <f>IFERROR(__xludf.DUMMYFUNCTION("""COMPUTED_VALUE"""),"TH3")</f>
        <v>TH3</v>
      </c>
      <c r="P1282" s="9"/>
      <c r="Q1282" s="9"/>
      <c r="R1282" s="9"/>
      <c r="S1282" s="42"/>
      <c r="T1282" s="42"/>
      <c r="U1282" s="42"/>
      <c r="V1282" s="42"/>
      <c r="W1282" s="42"/>
      <c r="X1282" s="42"/>
      <c r="Y1282" s="42"/>
      <c r="Z1282" s="42"/>
      <c r="AA1282" s="42"/>
      <c r="AB1282" s="42" t="str">
        <f>IFERROR(__xludf.DUMMYFUNCTION("""COMPUTED_VALUE"""),"allen institute")</f>
        <v>allen institute</v>
      </c>
      <c r="AC1282" s="42" t="str">
        <f>IFERROR(__xludf.DUMMYFUNCTION("""COMPUTED_VALUE"""),"DHBA")</f>
        <v>DHBA</v>
      </c>
      <c r="AD1282" s="42"/>
      <c r="AE1282" s="42"/>
      <c r="AF1282" s="9"/>
      <c r="AG1282" s="9"/>
      <c r="AH1282" s="42"/>
      <c r="AI1282" s="42"/>
      <c r="AJ1282" s="42"/>
      <c r="AK1282" s="42"/>
      <c r="AL1282" s="42"/>
      <c r="AM1282" s="42"/>
      <c r="AN1282" s="42"/>
      <c r="AO1282" s="63" t="str">
        <f>IFERROR(__xludf.DUMMYFUNCTION("IF(ISBLANK(A1282),,IF(ISBLANK(S1282), A1282&amp;"";"", TEXTJOIN(CHAR(10), TRUE, A1282&amp;"";"", ARRAYFORMULA(VLOOKUP(SPLIT(S1282, "";"" &amp; CHAR(10)), $A:$AO, 41, FALSE)))))"),"TH3;")</f>
        <v>TH3;</v>
      </c>
      <c r="AP1282" s="89"/>
    </row>
    <row r="1283">
      <c r="A1283" s="151" t="str">
        <f>IFERROR(__xludf.DUMMYFUNCTION("""COMPUTED_VALUE"""),"TH5")</f>
        <v>TH5</v>
      </c>
      <c r="B1283" s="42" t="str">
        <f>IFERROR(__xludf.DUMMYFUNCTION("""COMPUTED_VALUE"""),"DHBA")</f>
        <v>DHBA</v>
      </c>
      <c r="C1283" s="42" t="str">
        <f>IFERROR(__xludf.DUMMYFUNCTION("""COMPUTED_VALUE"""),"layer V of area TH")</f>
        <v>layer V of area TH</v>
      </c>
      <c r="D1283" s="42">
        <f>IFERROR(__xludf.DUMMYFUNCTION("""COMPUTED_VALUE"""),1213.0)</f>
        <v>1213</v>
      </c>
      <c r="E1283" s="39" t="str">
        <f>IFERROR(__xludf.DUMMYFUNCTION("""COMPUTED_VALUE"""),"layer V of area TH")</f>
        <v>layer V of area TH</v>
      </c>
      <c r="F1283" s="9" t="str">
        <f>IFERROR(__xludf.DUMMYFUNCTION("""COMPUTED_VALUE"""),"Br")</f>
        <v>Br</v>
      </c>
      <c r="G1283" s="9" t="str">
        <f>IFERROR(__xludf.DUMMYFUNCTION("""COMPUTED_VALUE"""),"F")</f>
        <v>F</v>
      </c>
      <c r="H1283" s="9" t="str">
        <f>IFERROR(__xludf.DUMMYFUNCTION("""COMPUTED_VALUE"""),"FGM")</f>
        <v>FGM</v>
      </c>
      <c r="I1283" s="9" t="str">
        <f>IFERROR(__xludf.DUMMYFUNCTION("""COMPUTED_VALUE"""),"Tel")</f>
        <v>Tel</v>
      </c>
      <c r="J1283" s="9" t="str">
        <f>IFERROR(__xludf.DUMMYFUNCTION("""COMPUTED_VALUE"""),"Cx")</f>
        <v>Cx</v>
      </c>
      <c r="K1283" s="9" t="str">
        <f>IFERROR(__xludf.DUMMYFUNCTION("""COMPUTED_VALUE"""),"NCx")</f>
        <v>NCx</v>
      </c>
      <c r="L1283" s="9" t="str">
        <f>IFERROR(__xludf.DUMMYFUNCTION("""COMPUTED_VALUE"""),"TCx")</f>
        <v>TCx</v>
      </c>
      <c r="M1283" s="9" t="str">
        <f>IFERROR(__xludf.DUMMYFUNCTION("""COMPUTED_VALUE"""),"PPHC")</f>
        <v>PPHC</v>
      </c>
      <c r="N1283" s="9" t="str">
        <f>IFERROR(__xludf.DUMMYFUNCTION("""COMPUTED_VALUE"""),"TH")</f>
        <v>TH</v>
      </c>
      <c r="O1283" s="9" t="str">
        <f>IFERROR(__xludf.DUMMYFUNCTION("""COMPUTED_VALUE"""),"TH5")</f>
        <v>TH5</v>
      </c>
      <c r="P1283" s="9"/>
      <c r="Q1283" s="9"/>
      <c r="R1283" s="9"/>
      <c r="S1283" s="42"/>
      <c r="T1283" s="42"/>
      <c r="U1283" s="42"/>
      <c r="V1283" s="42"/>
      <c r="W1283" s="42"/>
      <c r="X1283" s="42"/>
      <c r="Y1283" s="42"/>
      <c r="Z1283" s="42"/>
      <c r="AA1283" s="42"/>
      <c r="AB1283" s="42" t="str">
        <f>IFERROR(__xludf.DUMMYFUNCTION("""COMPUTED_VALUE"""),"allen institute")</f>
        <v>allen institute</v>
      </c>
      <c r="AC1283" s="42" t="str">
        <f>IFERROR(__xludf.DUMMYFUNCTION("""COMPUTED_VALUE"""),"DHBA")</f>
        <v>DHBA</v>
      </c>
      <c r="AD1283" s="42"/>
      <c r="AE1283" s="42"/>
      <c r="AF1283" s="9"/>
      <c r="AG1283" s="9"/>
      <c r="AH1283" s="42"/>
      <c r="AI1283" s="42"/>
      <c r="AJ1283" s="42"/>
      <c r="AK1283" s="42"/>
      <c r="AL1283" s="42"/>
      <c r="AM1283" s="42"/>
      <c r="AN1283" s="42"/>
      <c r="AO1283" s="63" t="str">
        <f>IFERROR(__xludf.DUMMYFUNCTION("IF(ISBLANK(A1283),,IF(ISBLANK(S1283), A1283&amp;"";"", TEXTJOIN(CHAR(10), TRUE, A1283&amp;"";"", ARRAYFORMULA(VLOOKUP(SPLIT(S1283, "";"" &amp; CHAR(10)), $A:$AO, 41, FALSE)))))"),"TH5;")</f>
        <v>TH5;</v>
      </c>
      <c r="AP1283" s="89"/>
    </row>
    <row r="1284">
      <c r="A1284" s="151" t="str">
        <f>IFERROR(__xludf.DUMMYFUNCTION("""COMPUTED_VALUE"""),"TH6")</f>
        <v>TH6</v>
      </c>
      <c r="B1284" s="42" t="str">
        <f>IFERROR(__xludf.DUMMYFUNCTION("""COMPUTED_VALUE"""),"DHBA")</f>
        <v>DHBA</v>
      </c>
      <c r="C1284" s="42" t="str">
        <f>IFERROR(__xludf.DUMMYFUNCTION("""COMPUTED_VALUE"""),"layer VI of area TH")</f>
        <v>layer VI of area TH</v>
      </c>
      <c r="D1284" s="42">
        <f>IFERROR(__xludf.DUMMYFUNCTION("""COMPUTED_VALUE"""),1214.0)</f>
        <v>1214</v>
      </c>
      <c r="E1284" s="39" t="str">
        <f>IFERROR(__xludf.DUMMYFUNCTION("""COMPUTED_VALUE"""),"layer VI of area TH")</f>
        <v>layer VI of area TH</v>
      </c>
      <c r="F1284" s="9" t="str">
        <f>IFERROR(__xludf.DUMMYFUNCTION("""COMPUTED_VALUE"""),"Br")</f>
        <v>Br</v>
      </c>
      <c r="G1284" s="9" t="str">
        <f>IFERROR(__xludf.DUMMYFUNCTION("""COMPUTED_VALUE"""),"F")</f>
        <v>F</v>
      </c>
      <c r="H1284" s="9" t="str">
        <f>IFERROR(__xludf.DUMMYFUNCTION("""COMPUTED_VALUE"""),"FGM")</f>
        <v>FGM</v>
      </c>
      <c r="I1284" s="9" t="str">
        <f>IFERROR(__xludf.DUMMYFUNCTION("""COMPUTED_VALUE"""),"Tel")</f>
        <v>Tel</v>
      </c>
      <c r="J1284" s="9" t="str">
        <f>IFERROR(__xludf.DUMMYFUNCTION("""COMPUTED_VALUE"""),"Cx")</f>
        <v>Cx</v>
      </c>
      <c r="K1284" s="9" t="str">
        <f>IFERROR(__xludf.DUMMYFUNCTION("""COMPUTED_VALUE"""),"NCx")</f>
        <v>NCx</v>
      </c>
      <c r="L1284" s="9" t="str">
        <f>IFERROR(__xludf.DUMMYFUNCTION("""COMPUTED_VALUE"""),"TCx")</f>
        <v>TCx</v>
      </c>
      <c r="M1284" s="9" t="str">
        <f>IFERROR(__xludf.DUMMYFUNCTION("""COMPUTED_VALUE"""),"PPHC")</f>
        <v>PPHC</v>
      </c>
      <c r="N1284" s="9" t="str">
        <f>IFERROR(__xludf.DUMMYFUNCTION("""COMPUTED_VALUE"""),"TH")</f>
        <v>TH</v>
      </c>
      <c r="O1284" s="9" t="str">
        <f>IFERROR(__xludf.DUMMYFUNCTION("""COMPUTED_VALUE"""),"TH6")</f>
        <v>TH6</v>
      </c>
      <c r="P1284" s="9"/>
      <c r="Q1284" s="9"/>
      <c r="R1284" s="9"/>
      <c r="S1284" s="42"/>
      <c r="T1284" s="42"/>
      <c r="U1284" s="42"/>
      <c r="V1284" s="42"/>
      <c r="W1284" s="42"/>
      <c r="X1284" s="42"/>
      <c r="Y1284" s="42"/>
      <c r="Z1284" s="42"/>
      <c r="AA1284" s="42"/>
      <c r="AB1284" s="42" t="str">
        <f>IFERROR(__xludf.DUMMYFUNCTION("""COMPUTED_VALUE"""),"allen institute")</f>
        <v>allen institute</v>
      </c>
      <c r="AC1284" s="42" t="str">
        <f>IFERROR(__xludf.DUMMYFUNCTION("""COMPUTED_VALUE"""),"DHBA")</f>
        <v>DHBA</v>
      </c>
      <c r="AD1284" s="42"/>
      <c r="AE1284" s="42"/>
      <c r="AF1284" s="9"/>
      <c r="AG1284" s="9"/>
      <c r="AH1284" s="42"/>
      <c r="AI1284" s="42"/>
      <c r="AJ1284" s="42"/>
      <c r="AK1284" s="42"/>
      <c r="AL1284" s="42"/>
      <c r="AM1284" s="42"/>
      <c r="AN1284" s="42"/>
      <c r="AO1284" s="63" t="str">
        <f>IFERROR(__xludf.DUMMYFUNCTION("IF(ISBLANK(A1284),,IF(ISBLANK(S1284), A1284&amp;"";"", TEXTJOIN(CHAR(10), TRUE, A1284&amp;"";"", ARRAYFORMULA(VLOOKUP(SPLIT(S1284, "";"" &amp; CHAR(10)), $A:$AO, 41, FALSE)))))"),"TH6;")</f>
        <v>TH6;</v>
      </c>
      <c r="AP1284" s="89"/>
    </row>
    <row r="1285">
      <c r="A1285" s="151" t="str">
        <f>IFERROR(__xludf.DUMMYFUNCTION("""COMPUTED_VALUE"""),"TL")</f>
        <v>TL</v>
      </c>
      <c r="B1285" s="42" t="str">
        <f>IFERROR(__xludf.DUMMYFUNCTION("""COMPUTED_VALUE"""),"DHBA")</f>
        <v>DHBA</v>
      </c>
      <c r="C1285" s="42" t="str">
        <f>IFERROR(__xludf.DUMMYFUNCTION("""COMPUTED_VALUE"""),"lateral division of PPHC (area TL)")</f>
        <v>lateral division of PPHC (area TL)</v>
      </c>
      <c r="D1285" s="42">
        <f>IFERROR(__xludf.DUMMYFUNCTION("""COMPUTED_VALUE"""),1215.0)</f>
        <v>1215</v>
      </c>
      <c r="E1285" s="39" t="str">
        <f>IFERROR(__xludf.DUMMYFUNCTION("""COMPUTED_VALUE"""),"lateral division of PPHC (area TL)")</f>
        <v>lateral division of PPHC (area TL)</v>
      </c>
      <c r="F1285" s="9" t="str">
        <f>IFERROR(__xludf.DUMMYFUNCTION("""COMPUTED_VALUE"""),"Br")</f>
        <v>Br</v>
      </c>
      <c r="G1285" s="9" t="str">
        <f>IFERROR(__xludf.DUMMYFUNCTION("""COMPUTED_VALUE"""),"F")</f>
        <v>F</v>
      </c>
      <c r="H1285" s="9" t="str">
        <f>IFERROR(__xludf.DUMMYFUNCTION("""COMPUTED_VALUE"""),"FGM")</f>
        <v>FGM</v>
      </c>
      <c r="I1285" s="9" t="str">
        <f>IFERROR(__xludf.DUMMYFUNCTION("""COMPUTED_VALUE"""),"Tel")</f>
        <v>Tel</v>
      </c>
      <c r="J1285" s="9" t="str">
        <f>IFERROR(__xludf.DUMMYFUNCTION("""COMPUTED_VALUE"""),"Cx")</f>
        <v>Cx</v>
      </c>
      <c r="K1285" s="9" t="str">
        <f>IFERROR(__xludf.DUMMYFUNCTION("""COMPUTED_VALUE"""),"NCx")</f>
        <v>NCx</v>
      </c>
      <c r="L1285" s="9" t="str">
        <f>IFERROR(__xludf.DUMMYFUNCTION("""COMPUTED_VALUE"""),"TCx")</f>
        <v>TCx</v>
      </c>
      <c r="M1285" s="9" t="str">
        <f>IFERROR(__xludf.DUMMYFUNCTION("""COMPUTED_VALUE"""),"PPHC")</f>
        <v>PPHC</v>
      </c>
      <c r="N1285" s="9" t="str">
        <f>IFERROR(__xludf.DUMMYFUNCTION("""COMPUTED_VALUE"""),"TL")</f>
        <v>TL</v>
      </c>
      <c r="O1285" s="9"/>
      <c r="P1285" s="9"/>
      <c r="Q1285" s="9"/>
      <c r="R1285" s="9"/>
      <c r="S1285" s="42" t="str">
        <f>IFERROR(__xludf.DUMMYFUNCTION("""COMPUTED_VALUE"""),"TL1;
TL2;
TL3;
TL4;
TL5;
TL6")</f>
        <v>TL1;
TL2;
TL3;
TL4;
TL5;
TL6</v>
      </c>
      <c r="T1285" s="42"/>
      <c r="U1285" s="42" t="b">
        <f>IFERROR(__xludf.DUMMYFUNCTION("""COMPUTED_VALUE"""),FALSE)</f>
        <v>0</v>
      </c>
      <c r="V1285" s="42"/>
      <c r="W1285" s="42"/>
      <c r="X1285" s="42"/>
      <c r="Y1285" s="42"/>
      <c r="Z1285" s="42"/>
      <c r="AA1285" s="42"/>
      <c r="AB1285" s="42" t="str">
        <f>IFERROR(__xludf.DUMMYFUNCTION("""COMPUTED_VALUE"""),"allen institute")</f>
        <v>allen institute</v>
      </c>
      <c r="AC1285" s="42" t="str">
        <f>IFERROR(__xludf.DUMMYFUNCTION("""COMPUTED_VALUE"""),"DHBA")</f>
        <v>DHBA</v>
      </c>
      <c r="AD1285" s="42"/>
      <c r="AE1285" s="42"/>
      <c r="AF1285" s="9"/>
      <c r="AG1285" s="9"/>
      <c r="AH1285" s="42"/>
      <c r="AI1285" s="42"/>
      <c r="AJ1285" s="42"/>
      <c r="AK1285" s="42"/>
      <c r="AL1285" s="42"/>
      <c r="AM1285" s="42"/>
      <c r="AN1285" s="42"/>
      <c r="AO1285" s="63" t="str">
        <f>IFERROR(__xludf.DUMMYFUNCTION("IF(ISBLANK(A1285),,IF(ISBLANK(S1285), A1285&amp;"";"", TEXTJOIN(CHAR(10), TRUE, A1285&amp;"";"", ARRAYFORMULA(VLOOKUP(SPLIT(S1285, "";"" &amp; CHAR(10)), $A:$AO, 41, FALSE)))))"),"TL;
TL1;
TL2;
TL3;
TL4;
TL5;
TL6;")</f>
        <v>TL;
TL1;
TL2;
TL3;
TL4;
TL5;
TL6;</v>
      </c>
      <c r="AP1285" s="89"/>
    </row>
    <row r="1286">
      <c r="A1286" s="151" t="str">
        <f>IFERROR(__xludf.DUMMYFUNCTION("""COMPUTED_VALUE"""),"TL1")</f>
        <v>TL1</v>
      </c>
      <c r="B1286" s="42" t="str">
        <f>IFERROR(__xludf.DUMMYFUNCTION("""COMPUTED_VALUE"""),"DHBA")</f>
        <v>DHBA</v>
      </c>
      <c r="C1286" s="42" t="str">
        <f>IFERROR(__xludf.DUMMYFUNCTION("""COMPUTED_VALUE"""),"layer I of area TL")</f>
        <v>layer I of area TL</v>
      </c>
      <c r="D1286" s="42">
        <f>IFERROR(__xludf.DUMMYFUNCTION("""COMPUTED_VALUE"""),1216.0)</f>
        <v>1216</v>
      </c>
      <c r="E1286" s="39" t="str">
        <f>IFERROR(__xludf.DUMMYFUNCTION("""COMPUTED_VALUE"""),"layer I of area TL")</f>
        <v>layer I of area TL</v>
      </c>
      <c r="F1286" s="9" t="str">
        <f>IFERROR(__xludf.DUMMYFUNCTION("""COMPUTED_VALUE"""),"Br")</f>
        <v>Br</v>
      </c>
      <c r="G1286" s="9" t="str">
        <f>IFERROR(__xludf.DUMMYFUNCTION("""COMPUTED_VALUE"""),"F")</f>
        <v>F</v>
      </c>
      <c r="H1286" s="9" t="str">
        <f>IFERROR(__xludf.DUMMYFUNCTION("""COMPUTED_VALUE"""),"FGM")</f>
        <v>FGM</v>
      </c>
      <c r="I1286" s="9" t="str">
        <f>IFERROR(__xludf.DUMMYFUNCTION("""COMPUTED_VALUE"""),"Tel")</f>
        <v>Tel</v>
      </c>
      <c r="J1286" s="9" t="str">
        <f>IFERROR(__xludf.DUMMYFUNCTION("""COMPUTED_VALUE"""),"Cx")</f>
        <v>Cx</v>
      </c>
      <c r="K1286" s="9" t="str">
        <f>IFERROR(__xludf.DUMMYFUNCTION("""COMPUTED_VALUE"""),"NCx")</f>
        <v>NCx</v>
      </c>
      <c r="L1286" s="9" t="str">
        <f>IFERROR(__xludf.DUMMYFUNCTION("""COMPUTED_VALUE"""),"TCx")</f>
        <v>TCx</v>
      </c>
      <c r="M1286" s="9" t="str">
        <f>IFERROR(__xludf.DUMMYFUNCTION("""COMPUTED_VALUE"""),"PPHC")</f>
        <v>PPHC</v>
      </c>
      <c r="N1286" s="9" t="str">
        <f>IFERROR(__xludf.DUMMYFUNCTION("""COMPUTED_VALUE"""),"TL")</f>
        <v>TL</v>
      </c>
      <c r="O1286" s="9" t="str">
        <f>IFERROR(__xludf.DUMMYFUNCTION("""COMPUTED_VALUE"""),"TL1")</f>
        <v>TL1</v>
      </c>
      <c r="P1286" s="9"/>
      <c r="Q1286" s="9"/>
      <c r="R1286" s="9"/>
      <c r="S1286" s="42"/>
      <c r="T1286" s="42"/>
      <c r="U1286" s="42"/>
      <c r="V1286" s="42"/>
      <c r="W1286" s="42"/>
      <c r="X1286" s="42"/>
      <c r="Y1286" s="42"/>
      <c r="Z1286" s="42"/>
      <c r="AA1286" s="42"/>
      <c r="AB1286" s="42" t="str">
        <f>IFERROR(__xludf.DUMMYFUNCTION("""COMPUTED_VALUE"""),"allen institute")</f>
        <v>allen institute</v>
      </c>
      <c r="AC1286" s="42" t="str">
        <f>IFERROR(__xludf.DUMMYFUNCTION("""COMPUTED_VALUE"""),"DHBA")</f>
        <v>DHBA</v>
      </c>
      <c r="AD1286" s="42"/>
      <c r="AE1286" s="42"/>
      <c r="AF1286" s="9"/>
      <c r="AG1286" s="9"/>
      <c r="AH1286" s="42"/>
      <c r="AI1286" s="42"/>
      <c r="AJ1286" s="42"/>
      <c r="AK1286" s="42"/>
      <c r="AL1286" s="42"/>
      <c r="AM1286" s="42"/>
      <c r="AN1286" s="42"/>
      <c r="AO1286" s="63" t="str">
        <f>IFERROR(__xludf.DUMMYFUNCTION("IF(ISBLANK(A1286),,IF(ISBLANK(S1286), A1286&amp;"";"", TEXTJOIN(CHAR(10), TRUE, A1286&amp;"";"", ARRAYFORMULA(VLOOKUP(SPLIT(S1286, "";"" &amp; CHAR(10)), $A:$AO, 41, FALSE)))))"),"TL1;")</f>
        <v>TL1;</v>
      </c>
      <c r="AP1286" s="89"/>
    </row>
    <row r="1287">
      <c r="A1287" s="151" t="str">
        <f>IFERROR(__xludf.DUMMYFUNCTION("""COMPUTED_VALUE"""),"TL2")</f>
        <v>TL2</v>
      </c>
      <c r="B1287" s="42" t="str">
        <f>IFERROR(__xludf.DUMMYFUNCTION("""COMPUTED_VALUE"""),"DHBA")</f>
        <v>DHBA</v>
      </c>
      <c r="C1287" s="42" t="str">
        <f>IFERROR(__xludf.DUMMYFUNCTION("""COMPUTED_VALUE"""),"layer II of area TL")</f>
        <v>layer II of area TL</v>
      </c>
      <c r="D1287" s="42">
        <f>IFERROR(__xludf.DUMMYFUNCTION("""COMPUTED_VALUE"""),1217.0)</f>
        <v>1217</v>
      </c>
      <c r="E1287" s="39" t="str">
        <f>IFERROR(__xludf.DUMMYFUNCTION("""COMPUTED_VALUE"""),"layer II of area TL")</f>
        <v>layer II of area TL</v>
      </c>
      <c r="F1287" s="9" t="str">
        <f>IFERROR(__xludf.DUMMYFUNCTION("""COMPUTED_VALUE"""),"Br")</f>
        <v>Br</v>
      </c>
      <c r="G1287" s="9" t="str">
        <f>IFERROR(__xludf.DUMMYFUNCTION("""COMPUTED_VALUE"""),"F")</f>
        <v>F</v>
      </c>
      <c r="H1287" s="9" t="str">
        <f>IFERROR(__xludf.DUMMYFUNCTION("""COMPUTED_VALUE"""),"FGM")</f>
        <v>FGM</v>
      </c>
      <c r="I1287" s="9" t="str">
        <f>IFERROR(__xludf.DUMMYFUNCTION("""COMPUTED_VALUE"""),"Tel")</f>
        <v>Tel</v>
      </c>
      <c r="J1287" s="9" t="str">
        <f>IFERROR(__xludf.DUMMYFUNCTION("""COMPUTED_VALUE"""),"Cx")</f>
        <v>Cx</v>
      </c>
      <c r="K1287" s="9" t="str">
        <f>IFERROR(__xludf.DUMMYFUNCTION("""COMPUTED_VALUE"""),"NCx")</f>
        <v>NCx</v>
      </c>
      <c r="L1287" s="9" t="str">
        <f>IFERROR(__xludf.DUMMYFUNCTION("""COMPUTED_VALUE"""),"TCx")</f>
        <v>TCx</v>
      </c>
      <c r="M1287" s="9" t="str">
        <f>IFERROR(__xludf.DUMMYFUNCTION("""COMPUTED_VALUE"""),"PPHC")</f>
        <v>PPHC</v>
      </c>
      <c r="N1287" s="9" t="str">
        <f>IFERROR(__xludf.DUMMYFUNCTION("""COMPUTED_VALUE"""),"TL")</f>
        <v>TL</v>
      </c>
      <c r="O1287" s="9" t="str">
        <f>IFERROR(__xludf.DUMMYFUNCTION("""COMPUTED_VALUE"""),"TL2")</f>
        <v>TL2</v>
      </c>
      <c r="P1287" s="9"/>
      <c r="Q1287" s="9"/>
      <c r="R1287" s="9"/>
      <c r="S1287" s="42"/>
      <c r="T1287" s="42"/>
      <c r="U1287" s="42"/>
      <c r="V1287" s="42"/>
      <c r="W1287" s="42"/>
      <c r="X1287" s="42"/>
      <c r="Y1287" s="42"/>
      <c r="Z1287" s="42"/>
      <c r="AA1287" s="42"/>
      <c r="AB1287" s="42" t="str">
        <f>IFERROR(__xludf.DUMMYFUNCTION("""COMPUTED_VALUE"""),"allen institute")</f>
        <v>allen institute</v>
      </c>
      <c r="AC1287" s="42" t="str">
        <f>IFERROR(__xludf.DUMMYFUNCTION("""COMPUTED_VALUE"""),"DHBA")</f>
        <v>DHBA</v>
      </c>
      <c r="AD1287" s="42"/>
      <c r="AE1287" s="42"/>
      <c r="AF1287" s="9"/>
      <c r="AG1287" s="9"/>
      <c r="AH1287" s="42"/>
      <c r="AI1287" s="42"/>
      <c r="AJ1287" s="42"/>
      <c r="AK1287" s="42"/>
      <c r="AL1287" s="42"/>
      <c r="AM1287" s="42"/>
      <c r="AN1287" s="42"/>
      <c r="AO1287" s="63" t="str">
        <f>IFERROR(__xludf.DUMMYFUNCTION("IF(ISBLANK(A1287),,IF(ISBLANK(S1287), A1287&amp;"";"", TEXTJOIN(CHAR(10), TRUE, A1287&amp;"";"", ARRAYFORMULA(VLOOKUP(SPLIT(S1287, "";"" &amp; CHAR(10)), $A:$AO, 41, FALSE)))))"),"TL2;")</f>
        <v>TL2;</v>
      </c>
      <c r="AP1287" s="89"/>
    </row>
    <row r="1288">
      <c r="A1288" s="151" t="str">
        <f>IFERROR(__xludf.DUMMYFUNCTION("""COMPUTED_VALUE"""),"TL3")</f>
        <v>TL3</v>
      </c>
      <c r="B1288" s="42" t="str">
        <f>IFERROR(__xludf.DUMMYFUNCTION("""COMPUTED_VALUE"""),"DHBA")</f>
        <v>DHBA</v>
      </c>
      <c r="C1288" s="42" t="str">
        <f>IFERROR(__xludf.DUMMYFUNCTION("""COMPUTED_VALUE"""),"layer III of area TL")</f>
        <v>layer III of area TL</v>
      </c>
      <c r="D1288" s="42">
        <f>IFERROR(__xludf.DUMMYFUNCTION("""COMPUTED_VALUE"""),1218.0)</f>
        <v>1218</v>
      </c>
      <c r="E1288" s="39" t="str">
        <f>IFERROR(__xludf.DUMMYFUNCTION("""COMPUTED_VALUE"""),"layer III of area TL")</f>
        <v>layer III of area TL</v>
      </c>
      <c r="F1288" s="9" t="str">
        <f>IFERROR(__xludf.DUMMYFUNCTION("""COMPUTED_VALUE"""),"Br")</f>
        <v>Br</v>
      </c>
      <c r="G1288" s="9" t="str">
        <f>IFERROR(__xludf.DUMMYFUNCTION("""COMPUTED_VALUE"""),"F")</f>
        <v>F</v>
      </c>
      <c r="H1288" s="9" t="str">
        <f>IFERROR(__xludf.DUMMYFUNCTION("""COMPUTED_VALUE"""),"FGM")</f>
        <v>FGM</v>
      </c>
      <c r="I1288" s="9" t="str">
        <f>IFERROR(__xludf.DUMMYFUNCTION("""COMPUTED_VALUE"""),"Tel")</f>
        <v>Tel</v>
      </c>
      <c r="J1288" s="9" t="str">
        <f>IFERROR(__xludf.DUMMYFUNCTION("""COMPUTED_VALUE"""),"Cx")</f>
        <v>Cx</v>
      </c>
      <c r="K1288" s="9" t="str">
        <f>IFERROR(__xludf.DUMMYFUNCTION("""COMPUTED_VALUE"""),"NCx")</f>
        <v>NCx</v>
      </c>
      <c r="L1288" s="9" t="str">
        <f>IFERROR(__xludf.DUMMYFUNCTION("""COMPUTED_VALUE"""),"TCx")</f>
        <v>TCx</v>
      </c>
      <c r="M1288" s="9" t="str">
        <f>IFERROR(__xludf.DUMMYFUNCTION("""COMPUTED_VALUE"""),"PPHC")</f>
        <v>PPHC</v>
      </c>
      <c r="N1288" s="9" t="str">
        <f>IFERROR(__xludf.DUMMYFUNCTION("""COMPUTED_VALUE"""),"TL")</f>
        <v>TL</v>
      </c>
      <c r="O1288" s="9" t="str">
        <f>IFERROR(__xludf.DUMMYFUNCTION("""COMPUTED_VALUE"""),"TL3")</f>
        <v>TL3</v>
      </c>
      <c r="P1288" s="9"/>
      <c r="Q1288" s="9"/>
      <c r="R1288" s="9"/>
      <c r="S1288" s="42"/>
      <c r="T1288" s="42"/>
      <c r="U1288" s="42"/>
      <c r="V1288" s="42"/>
      <c r="W1288" s="42"/>
      <c r="X1288" s="42"/>
      <c r="Y1288" s="42"/>
      <c r="Z1288" s="42"/>
      <c r="AA1288" s="42"/>
      <c r="AB1288" s="42" t="str">
        <f>IFERROR(__xludf.DUMMYFUNCTION("""COMPUTED_VALUE"""),"allen institute")</f>
        <v>allen institute</v>
      </c>
      <c r="AC1288" s="42" t="str">
        <f>IFERROR(__xludf.DUMMYFUNCTION("""COMPUTED_VALUE"""),"DHBA")</f>
        <v>DHBA</v>
      </c>
      <c r="AD1288" s="42"/>
      <c r="AE1288" s="42"/>
      <c r="AF1288" s="9"/>
      <c r="AG1288" s="9"/>
      <c r="AH1288" s="42"/>
      <c r="AI1288" s="42"/>
      <c r="AJ1288" s="42"/>
      <c r="AK1288" s="42"/>
      <c r="AL1288" s="42"/>
      <c r="AM1288" s="42"/>
      <c r="AN1288" s="42"/>
      <c r="AO1288" s="63" t="str">
        <f>IFERROR(__xludf.DUMMYFUNCTION("IF(ISBLANK(A1288),,IF(ISBLANK(S1288), A1288&amp;"";"", TEXTJOIN(CHAR(10), TRUE, A1288&amp;"";"", ARRAYFORMULA(VLOOKUP(SPLIT(S1288, "";"" &amp; CHAR(10)), $A:$AO, 41, FALSE)))))"),"TL3;")</f>
        <v>TL3;</v>
      </c>
      <c r="AP1288" s="89"/>
    </row>
    <row r="1289">
      <c r="A1289" s="151" t="str">
        <f>IFERROR(__xludf.DUMMYFUNCTION("""COMPUTED_VALUE"""),"TL4")</f>
        <v>TL4</v>
      </c>
      <c r="B1289" s="42" t="str">
        <f>IFERROR(__xludf.DUMMYFUNCTION("""COMPUTED_VALUE"""),"DHBA")</f>
        <v>DHBA</v>
      </c>
      <c r="C1289" s="42" t="str">
        <f>IFERROR(__xludf.DUMMYFUNCTION("""COMPUTED_VALUE"""),"layer IV of area TL")</f>
        <v>layer IV of area TL</v>
      </c>
      <c r="D1289" s="42">
        <f>IFERROR(__xludf.DUMMYFUNCTION("""COMPUTED_VALUE"""),1219.0)</f>
        <v>1219</v>
      </c>
      <c r="E1289" s="39" t="str">
        <f>IFERROR(__xludf.DUMMYFUNCTION("""COMPUTED_VALUE"""),"layer IV of area TL")</f>
        <v>layer IV of area TL</v>
      </c>
      <c r="F1289" s="9" t="str">
        <f>IFERROR(__xludf.DUMMYFUNCTION("""COMPUTED_VALUE"""),"Br")</f>
        <v>Br</v>
      </c>
      <c r="G1289" s="9" t="str">
        <f>IFERROR(__xludf.DUMMYFUNCTION("""COMPUTED_VALUE"""),"F")</f>
        <v>F</v>
      </c>
      <c r="H1289" s="9" t="str">
        <f>IFERROR(__xludf.DUMMYFUNCTION("""COMPUTED_VALUE"""),"FGM")</f>
        <v>FGM</v>
      </c>
      <c r="I1289" s="9" t="str">
        <f>IFERROR(__xludf.DUMMYFUNCTION("""COMPUTED_VALUE"""),"Tel")</f>
        <v>Tel</v>
      </c>
      <c r="J1289" s="9" t="str">
        <f>IFERROR(__xludf.DUMMYFUNCTION("""COMPUTED_VALUE"""),"Cx")</f>
        <v>Cx</v>
      </c>
      <c r="K1289" s="9" t="str">
        <f>IFERROR(__xludf.DUMMYFUNCTION("""COMPUTED_VALUE"""),"NCx")</f>
        <v>NCx</v>
      </c>
      <c r="L1289" s="9" t="str">
        <f>IFERROR(__xludf.DUMMYFUNCTION("""COMPUTED_VALUE"""),"TCx")</f>
        <v>TCx</v>
      </c>
      <c r="M1289" s="9" t="str">
        <f>IFERROR(__xludf.DUMMYFUNCTION("""COMPUTED_VALUE"""),"PPHC")</f>
        <v>PPHC</v>
      </c>
      <c r="N1289" s="9" t="str">
        <f>IFERROR(__xludf.DUMMYFUNCTION("""COMPUTED_VALUE"""),"TL")</f>
        <v>TL</v>
      </c>
      <c r="O1289" s="9" t="str">
        <f>IFERROR(__xludf.DUMMYFUNCTION("""COMPUTED_VALUE"""),"TL4")</f>
        <v>TL4</v>
      </c>
      <c r="P1289" s="9"/>
      <c r="Q1289" s="9"/>
      <c r="R1289" s="9"/>
      <c r="S1289" s="42"/>
      <c r="T1289" s="42"/>
      <c r="U1289" s="42"/>
      <c r="V1289" s="42"/>
      <c r="W1289" s="42"/>
      <c r="X1289" s="42"/>
      <c r="Y1289" s="42"/>
      <c r="Z1289" s="42"/>
      <c r="AA1289" s="42"/>
      <c r="AB1289" s="42" t="str">
        <f>IFERROR(__xludf.DUMMYFUNCTION("""COMPUTED_VALUE"""),"allen institute")</f>
        <v>allen institute</v>
      </c>
      <c r="AC1289" s="42" t="str">
        <f>IFERROR(__xludf.DUMMYFUNCTION("""COMPUTED_VALUE"""),"DHBA")</f>
        <v>DHBA</v>
      </c>
      <c r="AD1289" s="42"/>
      <c r="AE1289" s="42"/>
      <c r="AF1289" s="9"/>
      <c r="AG1289" s="9"/>
      <c r="AH1289" s="42"/>
      <c r="AI1289" s="42"/>
      <c r="AJ1289" s="42"/>
      <c r="AK1289" s="42"/>
      <c r="AL1289" s="42"/>
      <c r="AM1289" s="42"/>
      <c r="AN1289" s="42"/>
      <c r="AO1289" s="63" t="str">
        <f>IFERROR(__xludf.DUMMYFUNCTION("IF(ISBLANK(A1289),,IF(ISBLANK(S1289), A1289&amp;"";"", TEXTJOIN(CHAR(10), TRUE, A1289&amp;"";"", ARRAYFORMULA(VLOOKUP(SPLIT(S1289, "";"" &amp; CHAR(10)), $A:$AO, 41, FALSE)))))"),"TL4;")</f>
        <v>TL4;</v>
      </c>
      <c r="AP1289" s="89"/>
    </row>
    <row r="1290">
      <c r="A1290" s="151" t="str">
        <f>IFERROR(__xludf.DUMMYFUNCTION("""COMPUTED_VALUE"""),"TL5")</f>
        <v>TL5</v>
      </c>
      <c r="B1290" s="42" t="str">
        <f>IFERROR(__xludf.DUMMYFUNCTION("""COMPUTED_VALUE"""),"DHBA")</f>
        <v>DHBA</v>
      </c>
      <c r="C1290" s="42" t="str">
        <f>IFERROR(__xludf.DUMMYFUNCTION("""COMPUTED_VALUE"""),"layer V of area TL")</f>
        <v>layer V of area TL</v>
      </c>
      <c r="D1290" s="42">
        <f>IFERROR(__xludf.DUMMYFUNCTION("""COMPUTED_VALUE"""),1220.0)</f>
        <v>1220</v>
      </c>
      <c r="E1290" s="39" t="str">
        <f>IFERROR(__xludf.DUMMYFUNCTION("""COMPUTED_VALUE"""),"layer V of area TL")</f>
        <v>layer V of area TL</v>
      </c>
      <c r="F1290" s="9" t="str">
        <f>IFERROR(__xludf.DUMMYFUNCTION("""COMPUTED_VALUE"""),"Br")</f>
        <v>Br</v>
      </c>
      <c r="G1290" s="9" t="str">
        <f>IFERROR(__xludf.DUMMYFUNCTION("""COMPUTED_VALUE"""),"F")</f>
        <v>F</v>
      </c>
      <c r="H1290" s="9" t="str">
        <f>IFERROR(__xludf.DUMMYFUNCTION("""COMPUTED_VALUE"""),"FGM")</f>
        <v>FGM</v>
      </c>
      <c r="I1290" s="9" t="str">
        <f>IFERROR(__xludf.DUMMYFUNCTION("""COMPUTED_VALUE"""),"Tel")</f>
        <v>Tel</v>
      </c>
      <c r="J1290" s="9" t="str">
        <f>IFERROR(__xludf.DUMMYFUNCTION("""COMPUTED_VALUE"""),"Cx")</f>
        <v>Cx</v>
      </c>
      <c r="K1290" s="9" t="str">
        <f>IFERROR(__xludf.DUMMYFUNCTION("""COMPUTED_VALUE"""),"NCx")</f>
        <v>NCx</v>
      </c>
      <c r="L1290" s="9" t="str">
        <f>IFERROR(__xludf.DUMMYFUNCTION("""COMPUTED_VALUE"""),"TCx")</f>
        <v>TCx</v>
      </c>
      <c r="M1290" s="9" t="str">
        <f>IFERROR(__xludf.DUMMYFUNCTION("""COMPUTED_VALUE"""),"PPHC")</f>
        <v>PPHC</v>
      </c>
      <c r="N1290" s="9" t="str">
        <f>IFERROR(__xludf.DUMMYFUNCTION("""COMPUTED_VALUE"""),"TL")</f>
        <v>TL</v>
      </c>
      <c r="O1290" s="9" t="str">
        <f>IFERROR(__xludf.DUMMYFUNCTION("""COMPUTED_VALUE"""),"TL5")</f>
        <v>TL5</v>
      </c>
      <c r="P1290" s="9"/>
      <c r="Q1290" s="9"/>
      <c r="R1290" s="9"/>
      <c r="S1290" s="42"/>
      <c r="T1290" s="42"/>
      <c r="U1290" s="159"/>
      <c r="V1290" s="42"/>
      <c r="W1290" s="42"/>
      <c r="X1290" s="42"/>
      <c r="Y1290" s="42"/>
      <c r="Z1290" s="42"/>
      <c r="AA1290" s="42"/>
      <c r="AB1290" s="42" t="str">
        <f>IFERROR(__xludf.DUMMYFUNCTION("""COMPUTED_VALUE"""),"allen institute")</f>
        <v>allen institute</v>
      </c>
      <c r="AC1290" s="42" t="str">
        <f>IFERROR(__xludf.DUMMYFUNCTION("""COMPUTED_VALUE"""),"DHBA")</f>
        <v>DHBA</v>
      </c>
      <c r="AD1290" s="42"/>
      <c r="AE1290" s="42"/>
      <c r="AF1290" s="9"/>
      <c r="AG1290" s="9"/>
      <c r="AH1290" s="42"/>
      <c r="AI1290" s="42"/>
      <c r="AJ1290" s="42"/>
      <c r="AK1290" s="42"/>
      <c r="AL1290" s="42"/>
      <c r="AM1290" s="42"/>
      <c r="AN1290" s="42"/>
      <c r="AO1290" s="63" t="str">
        <f>IFERROR(__xludf.DUMMYFUNCTION("IF(ISBLANK(A1290),,IF(ISBLANK(S1290), A1290&amp;"";"", TEXTJOIN(CHAR(10), TRUE, A1290&amp;"";"", ARRAYFORMULA(VLOOKUP(SPLIT(S1290, "";"" &amp; CHAR(10)), $A:$AO, 41, FALSE)))))"),"TL5;")</f>
        <v>TL5;</v>
      </c>
      <c r="AP1290" s="89"/>
    </row>
    <row r="1291">
      <c r="A1291" s="151" t="str">
        <f>IFERROR(__xludf.DUMMYFUNCTION("""COMPUTED_VALUE"""),"TL6")</f>
        <v>TL6</v>
      </c>
      <c r="B1291" s="42" t="str">
        <f>IFERROR(__xludf.DUMMYFUNCTION("""COMPUTED_VALUE"""),"DHBA")</f>
        <v>DHBA</v>
      </c>
      <c r="C1291" s="42" t="str">
        <f>IFERROR(__xludf.DUMMYFUNCTION("""COMPUTED_VALUE"""),"layer VI of area TL")</f>
        <v>layer VI of area TL</v>
      </c>
      <c r="D1291" s="42">
        <f>IFERROR(__xludf.DUMMYFUNCTION("""COMPUTED_VALUE"""),1221.0)</f>
        <v>1221</v>
      </c>
      <c r="E1291" s="39" t="str">
        <f>IFERROR(__xludf.DUMMYFUNCTION("""COMPUTED_VALUE"""),"layer VI of area TL")</f>
        <v>layer VI of area TL</v>
      </c>
      <c r="F1291" s="9" t="str">
        <f>IFERROR(__xludf.DUMMYFUNCTION("""COMPUTED_VALUE"""),"Br")</f>
        <v>Br</v>
      </c>
      <c r="G1291" s="9" t="str">
        <f>IFERROR(__xludf.DUMMYFUNCTION("""COMPUTED_VALUE"""),"F")</f>
        <v>F</v>
      </c>
      <c r="H1291" s="9" t="str">
        <f>IFERROR(__xludf.DUMMYFUNCTION("""COMPUTED_VALUE"""),"FGM")</f>
        <v>FGM</v>
      </c>
      <c r="I1291" s="9" t="str">
        <f>IFERROR(__xludf.DUMMYFUNCTION("""COMPUTED_VALUE"""),"Tel")</f>
        <v>Tel</v>
      </c>
      <c r="J1291" s="9" t="str">
        <f>IFERROR(__xludf.DUMMYFUNCTION("""COMPUTED_VALUE"""),"Cx")</f>
        <v>Cx</v>
      </c>
      <c r="K1291" s="9" t="str">
        <f>IFERROR(__xludf.DUMMYFUNCTION("""COMPUTED_VALUE"""),"NCx")</f>
        <v>NCx</v>
      </c>
      <c r="L1291" s="9" t="str">
        <f>IFERROR(__xludf.DUMMYFUNCTION("""COMPUTED_VALUE"""),"TCx")</f>
        <v>TCx</v>
      </c>
      <c r="M1291" s="9" t="str">
        <f>IFERROR(__xludf.DUMMYFUNCTION("""COMPUTED_VALUE"""),"PPHC")</f>
        <v>PPHC</v>
      </c>
      <c r="N1291" s="9" t="str">
        <f>IFERROR(__xludf.DUMMYFUNCTION("""COMPUTED_VALUE"""),"TL")</f>
        <v>TL</v>
      </c>
      <c r="O1291" s="9" t="str">
        <f>IFERROR(__xludf.DUMMYFUNCTION("""COMPUTED_VALUE"""),"TL6")</f>
        <v>TL6</v>
      </c>
      <c r="P1291" s="9"/>
      <c r="Q1291" s="9"/>
      <c r="R1291" s="9"/>
      <c r="S1291" s="42"/>
      <c r="T1291" s="42"/>
      <c r="U1291" s="159"/>
      <c r="V1291" s="42"/>
      <c r="W1291" s="42"/>
      <c r="X1291" s="42"/>
      <c r="Y1291" s="42"/>
      <c r="Z1291" s="42"/>
      <c r="AA1291" s="42"/>
      <c r="AB1291" s="42" t="str">
        <f>IFERROR(__xludf.DUMMYFUNCTION("""COMPUTED_VALUE"""),"allen institute")</f>
        <v>allen institute</v>
      </c>
      <c r="AC1291" s="42" t="str">
        <f>IFERROR(__xludf.DUMMYFUNCTION("""COMPUTED_VALUE"""),"DHBA")</f>
        <v>DHBA</v>
      </c>
      <c r="AD1291" s="42"/>
      <c r="AE1291" s="42"/>
      <c r="AF1291" s="9"/>
      <c r="AG1291" s="9"/>
      <c r="AH1291" s="42"/>
      <c r="AI1291" s="42"/>
      <c r="AJ1291" s="42"/>
      <c r="AK1291" s="42"/>
      <c r="AL1291" s="42"/>
      <c r="AM1291" s="42"/>
      <c r="AN1291" s="42"/>
      <c r="AO1291" s="63" t="str">
        <f>IFERROR(__xludf.DUMMYFUNCTION("IF(ISBLANK(A1291),,IF(ISBLANK(S1291), A1291&amp;"";"", TEXTJOIN(CHAR(10), TRUE, A1291&amp;"";"", ARRAYFORMULA(VLOOKUP(SPLIT(S1291, "";"" &amp; CHAR(10)), $A:$AO, 41, FALSE)))))"),"TL6;")</f>
        <v>TL6;</v>
      </c>
      <c r="AP1291" s="89"/>
    </row>
    <row r="1292">
      <c r="A1292" s="151" t="str">
        <f>IFERROR(__xludf.DUMMYFUNCTION("""COMPUTED_VALUE"""),"TFO")</f>
        <v>TFO</v>
      </c>
      <c r="B1292" s="42" t="str">
        <f>IFERROR(__xludf.DUMMYFUNCTION("""COMPUTED_VALUE"""),"DHBA")</f>
        <v>DHBA</v>
      </c>
      <c r="C1292" s="42" t="str">
        <f>IFERROR(__xludf.DUMMYFUNCTION("""COMPUTED_VALUE"""),"medial temporal-occipital cortex (area TFO)")</f>
        <v>medial temporal-occipital cortex (area TFO)</v>
      </c>
      <c r="D1292" s="42">
        <f>IFERROR(__xludf.DUMMYFUNCTION("""COMPUTED_VALUE"""),1222.0)</f>
        <v>1222</v>
      </c>
      <c r="E1292" s="39" t="str">
        <f>IFERROR(__xludf.DUMMYFUNCTION("""COMPUTED_VALUE"""),"medial temporal-occipital cortex (area TFO)")</f>
        <v>medial temporal-occipital cortex (area TFO)</v>
      </c>
      <c r="F1292" s="9" t="str">
        <f>IFERROR(__xludf.DUMMYFUNCTION("""COMPUTED_VALUE"""),"Br")</f>
        <v>Br</v>
      </c>
      <c r="G1292" s="9" t="str">
        <f>IFERROR(__xludf.DUMMYFUNCTION("""COMPUTED_VALUE"""),"F")</f>
        <v>F</v>
      </c>
      <c r="H1292" s="9" t="str">
        <f>IFERROR(__xludf.DUMMYFUNCTION("""COMPUTED_VALUE"""),"FGM")</f>
        <v>FGM</v>
      </c>
      <c r="I1292" s="9" t="str">
        <f>IFERROR(__xludf.DUMMYFUNCTION("""COMPUTED_VALUE"""),"Tel")</f>
        <v>Tel</v>
      </c>
      <c r="J1292" s="9" t="str">
        <f>IFERROR(__xludf.DUMMYFUNCTION("""COMPUTED_VALUE"""),"Cx")</f>
        <v>Cx</v>
      </c>
      <c r="K1292" s="9" t="str">
        <f>IFERROR(__xludf.DUMMYFUNCTION("""COMPUTED_VALUE"""),"NCx")</f>
        <v>NCx</v>
      </c>
      <c r="L1292" s="9" t="str">
        <f>IFERROR(__xludf.DUMMYFUNCTION("""COMPUTED_VALUE"""),"TCx")</f>
        <v>TCx</v>
      </c>
      <c r="M1292" s="9" t="str">
        <f>IFERROR(__xludf.DUMMYFUNCTION("""COMPUTED_VALUE"""),"TFO")</f>
        <v>TFO</v>
      </c>
      <c r="N1292" s="9"/>
      <c r="O1292" s="9"/>
      <c r="P1292" s="9"/>
      <c r="Q1292" s="9"/>
      <c r="R1292" s="9"/>
      <c r="S1292" s="42" t="str">
        <f>IFERROR(__xludf.DUMMYFUNCTION("""COMPUTED_VALUE"""),"TFO1;
TFO2;
TFO3;
TFO4;
TFO5;
TFO6")</f>
        <v>TFO1;
TFO2;
TFO3;
TFO4;
TFO5;
TFO6</v>
      </c>
      <c r="T1292" s="42"/>
      <c r="U1292" s="159" t="b">
        <f>IFERROR(__xludf.DUMMYFUNCTION("""COMPUTED_VALUE"""),FALSE)</f>
        <v>0</v>
      </c>
      <c r="V1292" s="42"/>
      <c r="W1292" s="42"/>
      <c r="X1292" s="42"/>
      <c r="Y1292" s="42"/>
      <c r="Z1292" s="42"/>
      <c r="AA1292" s="42"/>
      <c r="AB1292" s="42" t="str">
        <f>IFERROR(__xludf.DUMMYFUNCTION("""COMPUTED_VALUE"""),"allen institute")</f>
        <v>allen institute</v>
      </c>
      <c r="AC1292" s="42" t="str">
        <f>IFERROR(__xludf.DUMMYFUNCTION("""COMPUTED_VALUE"""),"DHBA")</f>
        <v>DHBA</v>
      </c>
      <c r="AD1292" s="42"/>
      <c r="AE1292" s="42"/>
      <c r="AF1292" s="9"/>
      <c r="AG1292" s="9"/>
      <c r="AH1292" s="42"/>
      <c r="AI1292" s="42"/>
      <c r="AJ1292" s="42"/>
      <c r="AK1292" s="42"/>
      <c r="AL1292" s="42"/>
      <c r="AM1292" s="42"/>
      <c r="AN1292" s="42"/>
      <c r="AO1292" s="63" t="str">
        <f>IFERROR(__xludf.DUMMYFUNCTION("IF(ISBLANK(A1292),,IF(ISBLANK(S1292), A1292&amp;"";"", TEXTJOIN(CHAR(10), TRUE, A1292&amp;"";"", ARRAYFORMULA(VLOOKUP(SPLIT(S1292, "";"" &amp; CHAR(10)), $A:$AO, 41, FALSE)))))"),"TFO;
TFO1;
TFO2;
TFO3;
TFO4;
TFO5;
TFO6;")</f>
        <v>TFO;
TFO1;
TFO2;
TFO3;
TFO4;
TFO5;
TFO6;</v>
      </c>
      <c r="AP1292" s="89"/>
    </row>
    <row r="1293">
      <c r="A1293" s="151" t="str">
        <f>IFERROR(__xludf.DUMMYFUNCTION("""COMPUTED_VALUE"""),"TFO1")</f>
        <v>TFO1</v>
      </c>
      <c r="B1293" s="42" t="str">
        <f>IFERROR(__xludf.DUMMYFUNCTION("""COMPUTED_VALUE"""),"DHBA")</f>
        <v>DHBA</v>
      </c>
      <c r="C1293" s="42" t="str">
        <f>IFERROR(__xludf.DUMMYFUNCTION("""COMPUTED_VALUE"""),"layer I of area TFO")</f>
        <v>layer I of area TFO</v>
      </c>
      <c r="D1293" s="42">
        <f>IFERROR(__xludf.DUMMYFUNCTION("""COMPUTED_VALUE"""),1223.0)</f>
        <v>1223</v>
      </c>
      <c r="E1293" s="39" t="str">
        <f>IFERROR(__xludf.DUMMYFUNCTION("""COMPUTED_VALUE"""),"layer I of area TFO")</f>
        <v>layer I of area TFO</v>
      </c>
      <c r="F1293" s="9" t="str">
        <f>IFERROR(__xludf.DUMMYFUNCTION("""COMPUTED_VALUE"""),"Br")</f>
        <v>Br</v>
      </c>
      <c r="G1293" s="9" t="str">
        <f>IFERROR(__xludf.DUMMYFUNCTION("""COMPUTED_VALUE"""),"F")</f>
        <v>F</v>
      </c>
      <c r="H1293" s="9" t="str">
        <f>IFERROR(__xludf.DUMMYFUNCTION("""COMPUTED_VALUE"""),"FGM")</f>
        <v>FGM</v>
      </c>
      <c r="I1293" s="9" t="str">
        <f>IFERROR(__xludf.DUMMYFUNCTION("""COMPUTED_VALUE"""),"Tel")</f>
        <v>Tel</v>
      </c>
      <c r="J1293" s="9" t="str">
        <f>IFERROR(__xludf.DUMMYFUNCTION("""COMPUTED_VALUE"""),"Cx")</f>
        <v>Cx</v>
      </c>
      <c r="K1293" s="9" t="str">
        <f>IFERROR(__xludf.DUMMYFUNCTION("""COMPUTED_VALUE"""),"NCx")</f>
        <v>NCx</v>
      </c>
      <c r="L1293" s="9" t="str">
        <f>IFERROR(__xludf.DUMMYFUNCTION("""COMPUTED_VALUE"""),"TCx")</f>
        <v>TCx</v>
      </c>
      <c r="M1293" s="9" t="str">
        <f>IFERROR(__xludf.DUMMYFUNCTION("""COMPUTED_VALUE"""),"TFO")</f>
        <v>TFO</v>
      </c>
      <c r="N1293" s="9" t="str">
        <f>IFERROR(__xludf.DUMMYFUNCTION("""COMPUTED_VALUE"""),"TFO1")</f>
        <v>TFO1</v>
      </c>
      <c r="O1293" s="9"/>
      <c r="P1293" s="9"/>
      <c r="Q1293" s="9"/>
      <c r="R1293" s="9"/>
      <c r="S1293" s="42"/>
      <c r="T1293" s="42"/>
      <c r="U1293" s="42"/>
      <c r="V1293" s="42"/>
      <c r="W1293" s="42"/>
      <c r="X1293" s="42"/>
      <c r="Y1293" s="42"/>
      <c r="Z1293" s="42"/>
      <c r="AA1293" s="42"/>
      <c r="AB1293" s="42" t="str">
        <f>IFERROR(__xludf.DUMMYFUNCTION("""COMPUTED_VALUE"""),"allen institute")</f>
        <v>allen institute</v>
      </c>
      <c r="AC1293" s="42" t="str">
        <f>IFERROR(__xludf.DUMMYFUNCTION("""COMPUTED_VALUE"""),"DHBA")</f>
        <v>DHBA</v>
      </c>
      <c r="AD1293" s="42"/>
      <c r="AE1293" s="42"/>
      <c r="AF1293" s="9"/>
      <c r="AG1293" s="9"/>
      <c r="AH1293" s="42"/>
      <c r="AI1293" s="42"/>
      <c r="AJ1293" s="42"/>
      <c r="AK1293" s="42"/>
      <c r="AL1293" s="42"/>
      <c r="AM1293" s="42"/>
      <c r="AN1293" s="42"/>
      <c r="AO1293" s="63" t="str">
        <f>IFERROR(__xludf.DUMMYFUNCTION("IF(ISBLANK(A1293),,IF(ISBLANK(S1293), A1293&amp;"";"", TEXTJOIN(CHAR(10), TRUE, A1293&amp;"";"", ARRAYFORMULA(VLOOKUP(SPLIT(S1293, "";"" &amp; CHAR(10)), $A:$AO, 41, FALSE)))))"),"TFO1;")</f>
        <v>TFO1;</v>
      </c>
      <c r="AP1293" s="89"/>
    </row>
    <row r="1294">
      <c r="A1294" s="151" t="str">
        <f>IFERROR(__xludf.DUMMYFUNCTION("""COMPUTED_VALUE"""),"TFO2")</f>
        <v>TFO2</v>
      </c>
      <c r="B1294" s="42" t="str">
        <f>IFERROR(__xludf.DUMMYFUNCTION("""COMPUTED_VALUE"""),"DHBA")</f>
        <v>DHBA</v>
      </c>
      <c r="C1294" s="42" t="str">
        <f>IFERROR(__xludf.DUMMYFUNCTION("""COMPUTED_VALUE"""),"layer II of area TFO")</f>
        <v>layer II of area TFO</v>
      </c>
      <c r="D1294" s="42">
        <f>IFERROR(__xludf.DUMMYFUNCTION("""COMPUTED_VALUE"""),1224.0)</f>
        <v>1224</v>
      </c>
      <c r="E1294" s="39" t="str">
        <f>IFERROR(__xludf.DUMMYFUNCTION("""COMPUTED_VALUE"""),"layer II of area TFO")</f>
        <v>layer II of area TFO</v>
      </c>
      <c r="F1294" s="9" t="str">
        <f>IFERROR(__xludf.DUMMYFUNCTION("""COMPUTED_VALUE"""),"Br")</f>
        <v>Br</v>
      </c>
      <c r="G1294" s="9" t="str">
        <f>IFERROR(__xludf.DUMMYFUNCTION("""COMPUTED_VALUE"""),"F")</f>
        <v>F</v>
      </c>
      <c r="H1294" s="9" t="str">
        <f>IFERROR(__xludf.DUMMYFUNCTION("""COMPUTED_VALUE"""),"FGM")</f>
        <v>FGM</v>
      </c>
      <c r="I1294" s="9" t="str">
        <f>IFERROR(__xludf.DUMMYFUNCTION("""COMPUTED_VALUE"""),"Tel")</f>
        <v>Tel</v>
      </c>
      <c r="J1294" s="9" t="str">
        <f>IFERROR(__xludf.DUMMYFUNCTION("""COMPUTED_VALUE"""),"Cx")</f>
        <v>Cx</v>
      </c>
      <c r="K1294" s="9" t="str">
        <f>IFERROR(__xludf.DUMMYFUNCTION("""COMPUTED_VALUE"""),"NCx")</f>
        <v>NCx</v>
      </c>
      <c r="L1294" s="9" t="str">
        <f>IFERROR(__xludf.DUMMYFUNCTION("""COMPUTED_VALUE"""),"TCx")</f>
        <v>TCx</v>
      </c>
      <c r="M1294" s="9" t="str">
        <f>IFERROR(__xludf.DUMMYFUNCTION("""COMPUTED_VALUE"""),"TFO")</f>
        <v>TFO</v>
      </c>
      <c r="N1294" s="9" t="str">
        <f>IFERROR(__xludf.DUMMYFUNCTION("""COMPUTED_VALUE"""),"TFO2")</f>
        <v>TFO2</v>
      </c>
      <c r="O1294" s="9"/>
      <c r="P1294" s="9"/>
      <c r="Q1294" s="9"/>
      <c r="R1294" s="9"/>
      <c r="S1294" s="42"/>
      <c r="T1294" s="42"/>
      <c r="U1294" s="42"/>
      <c r="V1294" s="42"/>
      <c r="W1294" s="42"/>
      <c r="X1294" s="42"/>
      <c r="Y1294" s="42"/>
      <c r="Z1294" s="42"/>
      <c r="AA1294" s="42"/>
      <c r="AB1294" s="42" t="str">
        <f>IFERROR(__xludf.DUMMYFUNCTION("""COMPUTED_VALUE"""),"allen institute")</f>
        <v>allen institute</v>
      </c>
      <c r="AC1294" s="42" t="str">
        <f>IFERROR(__xludf.DUMMYFUNCTION("""COMPUTED_VALUE"""),"DHBA")</f>
        <v>DHBA</v>
      </c>
      <c r="AD1294" s="42"/>
      <c r="AE1294" s="42"/>
      <c r="AF1294" s="9"/>
      <c r="AG1294" s="9"/>
      <c r="AH1294" s="42"/>
      <c r="AI1294" s="42"/>
      <c r="AJ1294" s="42"/>
      <c r="AK1294" s="42"/>
      <c r="AL1294" s="42"/>
      <c r="AM1294" s="42"/>
      <c r="AN1294" s="42"/>
      <c r="AO1294" s="63" t="str">
        <f>IFERROR(__xludf.DUMMYFUNCTION("IF(ISBLANK(A1294),,IF(ISBLANK(S1294), A1294&amp;"";"", TEXTJOIN(CHAR(10), TRUE, A1294&amp;"";"", ARRAYFORMULA(VLOOKUP(SPLIT(S1294, "";"" &amp; CHAR(10)), $A:$AO, 41, FALSE)))))"),"TFO2;")</f>
        <v>TFO2;</v>
      </c>
      <c r="AP1294" s="89"/>
    </row>
    <row r="1295">
      <c r="A1295" s="151" t="str">
        <f>IFERROR(__xludf.DUMMYFUNCTION("""COMPUTED_VALUE"""),"TFO3")</f>
        <v>TFO3</v>
      </c>
      <c r="B1295" s="42" t="str">
        <f>IFERROR(__xludf.DUMMYFUNCTION("""COMPUTED_VALUE"""),"DHBA")</f>
        <v>DHBA</v>
      </c>
      <c r="C1295" s="42" t="str">
        <f>IFERROR(__xludf.DUMMYFUNCTION("""COMPUTED_VALUE"""),"layer III of area TFO")</f>
        <v>layer III of area TFO</v>
      </c>
      <c r="D1295" s="42">
        <f>IFERROR(__xludf.DUMMYFUNCTION("""COMPUTED_VALUE"""),1225.0)</f>
        <v>1225</v>
      </c>
      <c r="E1295" s="39" t="str">
        <f>IFERROR(__xludf.DUMMYFUNCTION("""COMPUTED_VALUE"""),"layer III of area TFO")</f>
        <v>layer III of area TFO</v>
      </c>
      <c r="F1295" s="9" t="str">
        <f>IFERROR(__xludf.DUMMYFUNCTION("""COMPUTED_VALUE"""),"Br")</f>
        <v>Br</v>
      </c>
      <c r="G1295" s="9" t="str">
        <f>IFERROR(__xludf.DUMMYFUNCTION("""COMPUTED_VALUE"""),"F")</f>
        <v>F</v>
      </c>
      <c r="H1295" s="9" t="str">
        <f>IFERROR(__xludf.DUMMYFUNCTION("""COMPUTED_VALUE"""),"FGM")</f>
        <v>FGM</v>
      </c>
      <c r="I1295" s="9" t="str">
        <f>IFERROR(__xludf.DUMMYFUNCTION("""COMPUTED_VALUE"""),"Tel")</f>
        <v>Tel</v>
      </c>
      <c r="J1295" s="9" t="str">
        <f>IFERROR(__xludf.DUMMYFUNCTION("""COMPUTED_VALUE"""),"Cx")</f>
        <v>Cx</v>
      </c>
      <c r="K1295" s="9" t="str">
        <f>IFERROR(__xludf.DUMMYFUNCTION("""COMPUTED_VALUE"""),"NCx")</f>
        <v>NCx</v>
      </c>
      <c r="L1295" s="9" t="str">
        <f>IFERROR(__xludf.DUMMYFUNCTION("""COMPUTED_VALUE"""),"TCx")</f>
        <v>TCx</v>
      </c>
      <c r="M1295" s="9" t="str">
        <f>IFERROR(__xludf.DUMMYFUNCTION("""COMPUTED_VALUE"""),"TFO")</f>
        <v>TFO</v>
      </c>
      <c r="N1295" s="9" t="str">
        <f>IFERROR(__xludf.DUMMYFUNCTION("""COMPUTED_VALUE"""),"TFO3")</f>
        <v>TFO3</v>
      </c>
      <c r="O1295" s="9"/>
      <c r="P1295" s="9"/>
      <c r="Q1295" s="9"/>
      <c r="R1295" s="9"/>
      <c r="S1295" s="42"/>
      <c r="T1295" s="42"/>
      <c r="U1295" s="42"/>
      <c r="V1295" s="42"/>
      <c r="W1295" s="42"/>
      <c r="X1295" s="42"/>
      <c r="Y1295" s="42"/>
      <c r="Z1295" s="42"/>
      <c r="AA1295" s="42"/>
      <c r="AB1295" s="42" t="str">
        <f>IFERROR(__xludf.DUMMYFUNCTION("""COMPUTED_VALUE"""),"allen institute")</f>
        <v>allen institute</v>
      </c>
      <c r="AC1295" s="42" t="str">
        <f>IFERROR(__xludf.DUMMYFUNCTION("""COMPUTED_VALUE"""),"DHBA")</f>
        <v>DHBA</v>
      </c>
      <c r="AD1295" s="42"/>
      <c r="AE1295" s="42"/>
      <c r="AF1295" s="9"/>
      <c r="AG1295" s="9"/>
      <c r="AH1295" s="42"/>
      <c r="AI1295" s="42"/>
      <c r="AJ1295" s="42"/>
      <c r="AK1295" s="42"/>
      <c r="AL1295" s="42"/>
      <c r="AM1295" s="42"/>
      <c r="AN1295" s="42"/>
      <c r="AO1295" s="63" t="str">
        <f>IFERROR(__xludf.DUMMYFUNCTION("IF(ISBLANK(A1295),,IF(ISBLANK(S1295), A1295&amp;"";"", TEXTJOIN(CHAR(10), TRUE, A1295&amp;"";"", ARRAYFORMULA(VLOOKUP(SPLIT(S1295, "";"" &amp; CHAR(10)), $A:$AO, 41, FALSE)))))"),"TFO3;")</f>
        <v>TFO3;</v>
      </c>
      <c r="AP1295" s="89"/>
    </row>
    <row r="1296">
      <c r="A1296" s="151" t="str">
        <f>IFERROR(__xludf.DUMMYFUNCTION("""COMPUTED_VALUE"""),"TFO4")</f>
        <v>TFO4</v>
      </c>
      <c r="B1296" s="42" t="str">
        <f>IFERROR(__xludf.DUMMYFUNCTION("""COMPUTED_VALUE"""),"DHBA")</f>
        <v>DHBA</v>
      </c>
      <c r="C1296" s="42" t="str">
        <f>IFERROR(__xludf.DUMMYFUNCTION("""COMPUTED_VALUE"""),"layer IV of area TFO")</f>
        <v>layer IV of area TFO</v>
      </c>
      <c r="D1296" s="42">
        <f>IFERROR(__xludf.DUMMYFUNCTION("""COMPUTED_VALUE"""),1226.0)</f>
        <v>1226</v>
      </c>
      <c r="E1296" s="39" t="str">
        <f>IFERROR(__xludf.DUMMYFUNCTION("""COMPUTED_VALUE"""),"layer IV of area TFO")</f>
        <v>layer IV of area TFO</v>
      </c>
      <c r="F1296" s="9" t="str">
        <f>IFERROR(__xludf.DUMMYFUNCTION("""COMPUTED_VALUE"""),"Br")</f>
        <v>Br</v>
      </c>
      <c r="G1296" s="9" t="str">
        <f>IFERROR(__xludf.DUMMYFUNCTION("""COMPUTED_VALUE"""),"F")</f>
        <v>F</v>
      </c>
      <c r="H1296" s="9" t="str">
        <f>IFERROR(__xludf.DUMMYFUNCTION("""COMPUTED_VALUE"""),"FGM")</f>
        <v>FGM</v>
      </c>
      <c r="I1296" s="9" t="str">
        <f>IFERROR(__xludf.DUMMYFUNCTION("""COMPUTED_VALUE"""),"Tel")</f>
        <v>Tel</v>
      </c>
      <c r="J1296" s="9" t="str">
        <f>IFERROR(__xludf.DUMMYFUNCTION("""COMPUTED_VALUE"""),"Cx")</f>
        <v>Cx</v>
      </c>
      <c r="K1296" s="9" t="str">
        <f>IFERROR(__xludf.DUMMYFUNCTION("""COMPUTED_VALUE"""),"NCx")</f>
        <v>NCx</v>
      </c>
      <c r="L1296" s="9" t="str">
        <f>IFERROR(__xludf.DUMMYFUNCTION("""COMPUTED_VALUE"""),"TCx")</f>
        <v>TCx</v>
      </c>
      <c r="M1296" s="9" t="str">
        <f>IFERROR(__xludf.DUMMYFUNCTION("""COMPUTED_VALUE"""),"TFO")</f>
        <v>TFO</v>
      </c>
      <c r="N1296" s="9" t="str">
        <f>IFERROR(__xludf.DUMMYFUNCTION("""COMPUTED_VALUE"""),"TFO4")</f>
        <v>TFO4</v>
      </c>
      <c r="O1296" s="9"/>
      <c r="P1296" s="9"/>
      <c r="Q1296" s="9"/>
      <c r="R1296" s="9"/>
      <c r="S1296" s="42"/>
      <c r="T1296" s="42"/>
      <c r="U1296" s="42"/>
      <c r="V1296" s="42"/>
      <c r="W1296" s="42"/>
      <c r="X1296" s="42"/>
      <c r="Y1296" s="42"/>
      <c r="Z1296" s="42"/>
      <c r="AA1296" s="42"/>
      <c r="AB1296" s="42" t="str">
        <f>IFERROR(__xludf.DUMMYFUNCTION("""COMPUTED_VALUE"""),"allen institute")</f>
        <v>allen institute</v>
      </c>
      <c r="AC1296" s="42" t="str">
        <f>IFERROR(__xludf.DUMMYFUNCTION("""COMPUTED_VALUE"""),"DHBA")</f>
        <v>DHBA</v>
      </c>
      <c r="AD1296" s="42"/>
      <c r="AE1296" s="42"/>
      <c r="AF1296" s="9"/>
      <c r="AG1296" s="9"/>
      <c r="AH1296" s="42"/>
      <c r="AI1296" s="42"/>
      <c r="AJ1296" s="42"/>
      <c r="AK1296" s="42"/>
      <c r="AL1296" s="42"/>
      <c r="AM1296" s="42"/>
      <c r="AN1296" s="42"/>
      <c r="AO1296" s="63" t="str">
        <f>IFERROR(__xludf.DUMMYFUNCTION("IF(ISBLANK(A1296),,IF(ISBLANK(S1296), A1296&amp;"";"", TEXTJOIN(CHAR(10), TRUE, A1296&amp;"";"", ARRAYFORMULA(VLOOKUP(SPLIT(S1296, "";"" &amp; CHAR(10)), $A:$AO, 41, FALSE)))))"),"TFO4;")</f>
        <v>TFO4;</v>
      </c>
      <c r="AP1296" s="89"/>
    </row>
    <row r="1297">
      <c r="A1297" s="151" t="str">
        <f>IFERROR(__xludf.DUMMYFUNCTION("""COMPUTED_VALUE"""),"TFO5")</f>
        <v>TFO5</v>
      </c>
      <c r="B1297" s="42" t="str">
        <f>IFERROR(__xludf.DUMMYFUNCTION("""COMPUTED_VALUE"""),"DHBA")</f>
        <v>DHBA</v>
      </c>
      <c r="C1297" s="42" t="str">
        <f>IFERROR(__xludf.DUMMYFUNCTION("""COMPUTED_VALUE"""),"layer V of area TFO")</f>
        <v>layer V of area TFO</v>
      </c>
      <c r="D1297" s="42">
        <f>IFERROR(__xludf.DUMMYFUNCTION("""COMPUTED_VALUE"""),1227.0)</f>
        <v>1227</v>
      </c>
      <c r="E1297" s="39" t="str">
        <f>IFERROR(__xludf.DUMMYFUNCTION("""COMPUTED_VALUE"""),"layer V of area TFO")</f>
        <v>layer V of area TFO</v>
      </c>
      <c r="F1297" s="9" t="str">
        <f>IFERROR(__xludf.DUMMYFUNCTION("""COMPUTED_VALUE"""),"Br")</f>
        <v>Br</v>
      </c>
      <c r="G1297" s="9" t="str">
        <f>IFERROR(__xludf.DUMMYFUNCTION("""COMPUTED_VALUE"""),"F")</f>
        <v>F</v>
      </c>
      <c r="H1297" s="9" t="str">
        <f>IFERROR(__xludf.DUMMYFUNCTION("""COMPUTED_VALUE"""),"FGM")</f>
        <v>FGM</v>
      </c>
      <c r="I1297" s="9" t="str">
        <f>IFERROR(__xludf.DUMMYFUNCTION("""COMPUTED_VALUE"""),"Tel")</f>
        <v>Tel</v>
      </c>
      <c r="J1297" s="9" t="str">
        <f>IFERROR(__xludf.DUMMYFUNCTION("""COMPUTED_VALUE"""),"Cx")</f>
        <v>Cx</v>
      </c>
      <c r="K1297" s="9" t="str">
        <f>IFERROR(__xludf.DUMMYFUNCTION("""COMPUTED_VALUE"""),"NCx")</f>
        <v>NCx</v>
      </c>
      <c r="L1297" s="9" t="str">
        <f>IFERROR(__xludf.DUMMYFUNCTION("""COMPUTED_VALUE"""),"TCx")</f>
        <v>TCx</v>
      </c>
      <c r="M1297" s="9" t="str">
        <f>IFERROR(__xludf.DUMMYFUNCTION("""COMPUTED_VALUE"""),"TFO")</f>
        <v>TFO</v>
      </c>
      <c r="N1297" s="9" t="str">
        <f>IFERROR(__xludf.DUMMYFUNCTION("""COMPUTED_VALUE"""),"TFO5")</f>
        <v>TFO5</v>
      </c>
      <c r="O1297" s="9"/>
      <c r="P1297" s="9"/>
      <c r="Q1297" s="9"/>
      <c r="R1297" s="9"/>
      <c r="S1297" s="42"/>
      <c r="T1297" s="42"/>
      <c r="U1297" s="42"/>
      <c r="V1297" s="42"/>
      <c r="W1297" s="42"/>
      <c r="X1297" s="42"/>
      <c r="Y1297" s="42"/>
      <c r="Z1297" s="42"/>
      <c r="AA1297" s="42"/>
      <c r="AB1297" s="42" t="str">
        <f>IFERROR(__xludf.DUMMYFUNCTION("""COMPUTED_VALUE"""),"allen institute")</f>
        <v>allen institute</v>
      </c>
      <c r="AC1297" s="42" t="str">
        <f>IFERROR(__xludf.DUMMYFUNCTION("""COMPUTED_VALUE"""),"DHBA")</f>
        <v>DHBA</v>
      </c>
      <c r="AD1297" s="42"/>
      <c r="AE1297" s="42"/>
      <c r="AF1297" s="9"/>
      <c r="AG1297" s="9"/>
      <c r="AH1297" s="42"/>
      <c r="AI1297" s="42"/>
      <c r="AJ1297" s="42"/>
      <c r="AK1297" s="42"/>
      <c r="AL1297" s="42"/>
      <c r="AM1297" s="42"/>
      <c r="AN1297" s="42"/>
      <c r="AO1297" s="63" t="str">
        <f>IFERROR(__xludf.DUMMYFUNCTION("IF(ISBLANK(A1297),,IF(ISBLANK(S1297), A1297&amp;"";"", TEXTJOIN(CHAR(10), TRUE, A1297&amp;"";"", ARRAYFORMULA(VLOOKUP(SPLIT(S1297, "";"" &amp; CHAR(10)), $A:$AO, 41, FALSE)))))"),"TFO5;")</f>
        <v>TFO5;</v>
      </c>
      <c r="AP1297" s="89"/>
    </row>
    <row r="1298">
      <c r="A1298" s="151" t="str">
        <f>IFERROR(__xludf.DUMMYFUNCTION("""COMPUTED_VALUE"""),"TFO6")</f>
        <v>TFO6</v>
      </c>
      <c r="B1298" s="42" t="str">
        <f>IFERROR(__xludf.DUMMYFUNCTION("""COMPUTED_VALUE"""),"DHBA")</f>
        <v>DHBA</v>
      </c>
      <c r="C1298" s="42" t="str">
        <f>IFERROR(__xludf.DUMMYFUNCTION("""COMPUTED_VALUE"""),"layer VI of area TFO")</f>
        <v>layer VI of area TFO</v>
      </c>
      <c r="D1298" s="42">
        <f>IFERROR(__xludf.DUMMYFUNCTION("""COMPUTED_VALUE"""),1228.0)</f>
        <v>1228</v>
      </c>
      <c r="E1298" s="39" t="str">
        <f>IFERROR(__xludf.DUMMYFUNCTION("""COMPUTED_VALUE"""),"layer VI of area TFO")</f>
        <v>layer VI of area TFO</v>
      </c>
      <c r="F1298" s="9" t="str">
        <f>IFERROR(__xludf.DUMMYFUNCTION("""COMPUTED_VALUE"""),"Br")</f>
        <v>Br</v>
      </c>
      <c r="G1298" s="9" t="str">
        <f>IFERROR(__xludf.DUMMYFUNCTION("""COMPUTED_VALUE"""),"F")</f>
        <v>F</v>
      </c>
      <c r="H1298" s="9" t="str">
        <f>IFERROR(__xludf.DUMMYFUNCTION("""COMPUTED_VALUE"""),"FGM")</f>
        <v>FGM</v>
      </c>
      <c r="I1298" s="9" t="str">
        <f>IFERROR(__xludf.DUMMYFUNCTION("""COMPUTED_VALUE"""),"Tel")</f>
        <v>Tel</v>
      </c>
      <c r="J1298" s="9" t="str">
        <f>IFERROR(__xludf.DUMMYFUNCTION("""COMPUTED_VALUE"""),"Cx")</f>
        <v>Cx</v>
      </c>
      <c r="K1298" s="9" t="str">
        <f>IFERROR(__xludf.DUMMYFUNCTION("""COMPUTED_VALUE"""),"NCx")</f>
        <v>NCx</v>
      </c>
      <c r="L1298" s="9" t="str">
        <f>IFERROR(__xludf.DUMMYFUNCTION("""COMPUTED_VALUE"""),"TCx")</f>
        <v>TCx</v>
      </c>
      <c r="M1298" s="9" t="str">
        <f>IFERROR(__xludf.DUMMYFUNCTION("""COMPUTED_VALUE"""),"TFO")</f>
        <v>TFO</v>
      </c>
      <c r="N1298" s="9" t="str">
        <f>IFERROR(__xludf.DUMMYFUNCTION("""COMPUTED_VALUE"""),"TFO6")</f>
        <v>TFO6</v>
      </c>
      <c r="O1298" s="9"/>
      <c r="P1298" s="9"/>
      <c r="Q1298" s="9"/>
      <c r="R1298" s="9"/>
      <c r="S1298" s="42"/>
      <c r="T1298" s="42"/>
      <c r="U1298" s="42"/>
      <c r="V1298" s="42"/>
      <c r="W1298" s="42"/>
      <c r="X1298" s="42"/>
      <c r="Y1298" s="42"/>
      <c r="Z1298" s="42"/>
      <c r="AA1298" s="42"/>
      <c r="AB1298" s="42" t="str">
        <f>IFERROR(__xludf.DUMMYFUNCTION("""COMPUTED_VALUE"""),"allen institute")</f>
        <v>allen institute</v>
      </c>
      <c r="AC1298" s="42" t="str">
        <f>IFERROR(__xludf.DUMMYFUNCTION("""COMPUTED_VALUE"""),"DHBA")</f>
        <v>DHBA</v>
      </c>
      <c r="AD1298" s="42"/>
      <c r="AE1298" s="42"/>
      <c r="AF1298" s="9"/>
      <c r="AG1298" s="9"/>
      <c r="AH1298" s="42"/>
      <c r="AI1298" s="42"/>
      <c r="AJ1298" s="42"/>
      <c r="AK1298" s="42"/>
      <c r="AL1298" s="42"/>
      <c r="AM1298" s="42"/>
      <c r="AN1298" s="42"/>
      <c r="AO1298" s="63" t="str">
        <f>IFERROR(__xludf.DUMMYFUNCTION("IF(ISBLANK(A1298),,IF(ISBLANK(S1298), A1298&amp;"";"", TEXTJOIN(CHAR(10), TRUE, A1298&amp;"";"", ARRAYFORMULA(VLOOKUP(SPLIT(S1298, "";"" &amp; CHAR(10)), $A:$AO, 41, FALSE)))))"),"TFO6;")</f>
        <v>TFO6;</v>
      </c>
      <c r="AP1298" s="89"/>
    </row>
    <row r="1299">
      <c r="A1299" s="151" t="str">
        <f>IFERROR(__xludf.DUMMYFUNCTION("""COMPUTED_VALUE"""),"A37")</f>
        <v>A37</v>
      </c>
      <c r="B1299" s="42" t="str">
        <f>IFERROR(__xludf.DUMMYFUNCTION("""COMPUTED_VALUE"""),"DHBA")</f>
        <v>DHBA</v>
      </c>
      <c r="C1299" s="42" t="str">
        <f>IFERROR(__xludf.DUMMYFUNCTION("""COMPUTED_VALUE"""),"lateral temporal-occipital cortex (area 37)")</f>
        <v>lateral temporal-occipital cortex (area 37)</v>
      </c>
      <c r="D1299" s="42">
        <f>IFERROR(__xludf.DUMMYFUNCTION("""COMPUTED_VALUE"""),1229.0)</f>
        <v>1229</v>
      </c>
      <c r="E1299" s="39" t="str">
        <f>IFERROR(__xludf.DUMMYFUNCTION("""COMPUTED_VALUE"""),"lateral temporal-occipital cortex (area 37)")</f>
        <v>lateral temporal-occipital cortex (area 37)</v>
      </c>
      <c r="F1299" s="9" t="str">
        <f>IFERROR(__xludf.DUMMYFUNCTION("""COMPUTED_VALUE"""),"Br")</f>
        <v>Br</v>
      </c>
      <c r="G1299" s="9" t="str">
        <f>IFERROR(__xludf.DUMMYFUNCTION("""COMPUTED_VALUE"""),"F")</f>
        <v>F</v>
      </c>
      <c r="H1299" s="9" t="str">
        <f>IFERROR(__xludf.DUMMYFUNCTION("""COMPUTED_VALUE"""),"FGM")</f>
        <v>FGM</v>
      </c>
      <c r="I1299" s="9" t="str">
        <f>IFERROR(__xludf.DUMMYFUNCTION("""COMPUTED_VALUE"""),"Tel")</f>
        <v>Tel</v>
      </c>
      <c r="J1299" s="9" t="str">
        <f>IFERROR(__xludf.DUMMYFUNCTION("""COMPUTED_VALUE"""),"Cx")</f>
        <v>Cx</v>
      </c>
      <c r="K1299" s="9" t="str">
        <f>IFERROR(__xludf.DUMMYFUNCTION("""COMPUTED_VALUE"""),"NCx")</f>
        <v>NCx</v>
      </c>
      <c r="L1299" s="9" t="str">
        <f>IFERROR(__xludf.DUMMYFUNCTION("""COMPUTED_VALUE"""),"TCx")</f>
        <v>TCx</v>
      </c>
      <c r="M1299" s="9" t="str">
        <f>IFERROR(__xludf.DUMMYFUNCTION("""COMPUTED_VALUE"""),"A37")</f>
        <v>A37</v>
      </c>
      <c r="N1299" s="9"/>
      <c r="O1299" s="9"/>
      <c r="P1299" s="9"/>
      <c r="Q1299" s="9"/>
      <c r="R1299" s="9"/>
      <c r="S1299" s="42" t="str">
        <f>IFERROR(__xludf.DUMMYFUNCTION("""COMPUTED_VALUE"""),"A37_1;
A37_2;
A37_3;
A37_4;
A37_5;
A37_6")</f>
        <v>A37_1;
A37_2;
A37_3;
A37_4;
A37_5;
A37_6</v>
      </c>
      <c r="T1299" s="42"/>
      <c r="U1299" s="42" t="b">
        <f>IFERROR(__xludf.DUMMYFUNCTION("""COMPUTED_VALUE"""),FALSE)</f>
        <v>0</v>
      </c>
      <c r="V1299" s="42"/>
      <c r="W1299" s="42"/>
      <c r="X1299" s="42"/>
      <c r="Y1299" s="42"/>
      <c r="Z1299" s="42"/>
      <c r="AA1299" s="42"/>
      <c r="AB1299" s="42" t="str">
        <f>IFERROR(__xludf.DUMMYFUNCTION("""COMPUTED_VALUE"""),"allen institute")</f>
        <v>allen institute</v>
      </c>
      <c r="AC1299" s="42" t="str">
        <f>IFERROR(__xludf.DUMMYFUNCTION("""COMPUTED_VALUE"""),"DHBA")</f>
        <v>DHBA</v>
      </c>
      <c r="AD1299" s="42"/>
      <c r="AE1299" s="42"/>
      <c r="AF1299" s="9"/>
      <c r="AG1299" s="9"/>
      <c r="AH1299" s="42"/>
      <c r="AI1299" s="42"/>
      <c r="AJ1299" s="42"/>
      <c r="AK1299" s="42"/>
      <c r="AL1299" s="42"/>
      <c r="AM1299" s="42"/>
      <c r="AN1299" s="42"/>
      <c r="AO1299" s="63" t="str">
        <f>IFERROR(__xludf.DUMMYFUNCTION("IF(ISBLANK(A1299),,IF(ISBLANK(S1299), A1299&amp;"";"", TEXTJOIN(CHAR(10), TRUE, A1299&amp;"";"", ARRAYFORMULA(VLOOKUP(SPLIT(S1299, "";"" &amp; CHAR(10)), $A:$AO, 41, FALSE)))))"),"#N/A")</f>
        <v>#N/A</v>
      </c>
      <c r="AP1299" s="89"/>
    </row>
    <row r="1300">
      <c r="A1300" s="151" t="str">
        <f>IFERROR(__xludf.DUMMYFUNCTION("""COMPUTED_VALUE"""),"A37-1")</f>
        <v>A37-1</v>
      </c>
      <c r="B1300" s="42" t="str">
        <f>IFERROR(__xludf.DUMMYFUNCTION("""COMPUTED_VALUE"""),"DHBA")</f>
        <v>DHBA</v>
      </c>
      <c r="C1300" s="42" t="str">
        <f>IFERROR(__xludf.DUMMYFUNCTION("""COMPUTED_VALUE"""),"layer I of area 37")</f>
        <v>layer I of area 37</v>
      </c>
      <c r="D1300" s="42">
        <f>IFERROR(__xludf.DUMMYFUNCTION("""COMPUTED_VALUE"""),1230.0)</f>
        <v>1230</v>
      </c>
      <c r="E1300" s="39" t="str">
        <f>IFERROR(__xludf.DUMMYFUNCTION("""COMPUTED_VALUE"""),"layer I of area 37")</f>
        <v>layer I of area 37</v>
      </c>
      <c r="F1300" s="9" t="str">
        <f>IFERROR(__xludf.DUMMYFUNCTION("""COMPUTED_VALUE"""),"Br")</f>
        <v>Br</v>
      </c>
      <c r="G1300" s="9" t="str">
        <f>IFERROR(__xludf.DUMMYFUNCTION("""COMPUTED_VALUE"""),"F")</f>
        <v>F</v>
      </c>
      <c r="H1300" s="9" t="str">
        <f>IFERROR(__xludf.DUMMYFUNCTION("""COMPUTED_VALUE"""),"FGM")</f>
        <v>FGM</v>
      </c>
      <c r="I1300" s="9" t="str">
        <f>IFERROR(__xludf.DUMMYFUNCTION("""COMPUTED_VALUE"""),"Tel")</f>
        <v>Tel</v>
      </c>
      <c r="J1300" s="9" t="str">
        <f>IFERROR(__xludf.DUMMYFUNCTION("""COMPUTED_VALUE"""),"Cx")</f>
        <v>Cx</v>
      </c>
      <c r="K1300" s="9" t="str">
        <f>IFERROR(__xludf.DUMMYFUNCTION("""COMPUTED_VALUE"""),"NCx")</f>
        <v>NCx</v>
      </c>
      <c r="L1300" s="9" t="str">
        <f>IFERROR(__xludf.DUMMYFUNCTION("""COMPUTED_VALUE"""),"TCx")</f>
        <v>TCx</v>
      </c>
      <c r="M1300" s="9" t="str">
        <f>IFERROR(__xludf.DUMMYFUNCTION("""COMPUTED_VALUE"""),"A37")</f>
        <v>A37</v>
      </c>
      <c r="N1300" s="9" t="str">
        <f>IFERROR(__xludf.DUMMYFUNCTION("""COMPUTED_VALUE"""),"A37-1")</f>
        <v>A37-1</v>
      </c>
      <c r="O1300" s="9"/>
      <c r="P1300" s="9"/>
      <c r="Q1300" s="9"/>
      <c r="R1300" s="9"/>
      <c r="S1300" s="42"/>
      <c r="T1300" s="42"/>
      <c r="U1300" s="42"/>
      <c r="V1300" s="42"/>
      <c r="W1300" s="42"/>
      <c r="X1300" s="42"/>
      <c r="Y1300" s="42"/>
      <c r="Z1300" s="42"/>
      <c r="AA1300" s="42"/>
      <c r="AB1300" s="42" t="str">
        <f>IFERROR(__xludf.DUMMYFUNCTION("""COMPUTED_VALUE"""),"allen institute")</f>
        <v>allen institute</v>
      </c>
      <c r="AC1300" s="42" t="str">
        <f>IFERROR(__xludf.DUMMYFUNCTION("""COMPUTED_VALUE"""),"DHBA")</f>
        <v>DHBA</v>
      </c>
      <c r="AD1300" s="42"/>
      <c r="AE1300" s="42"/>
      <c r="AF1300" s="9"/>
      <c r="AG1300" s="9"/>
      <c r="AH1300" s="42"/>
      <c r="AI1300" s="42"/>
      <c r="AJ1300" s="42"/>
      <c r="AK1300" s="42"/>
      <c r="AL1300" s="42"/>
      <c r="AM1300" s="42"/>
      <c r="AN1300" s="42"/>
      <c r="AO1300" s="63" t="str">
        <f>IFERROR(__xludf.DUMMYFUNCTION("IF(ISBLANK(A1300),,IF(ISBLANK(S1300), A1300&amp;"";"", TEXTJOIN(CHAR(10), TRUE, A1300&amp;"";"", ARRAYFORMULA(VLOOKUP(SPLIT(S1300, "";"" &amp; CHAR(10)), $A:$AO, 41, FALSE)))))"),"A37-1;")</f>
        <v>A37-1;</v>
      </c>
      <c r="AP1300" s="89"/>
    </row>
    <row r="1301">
      <c r="A1301" s="151" t="str">
        <f>IFERROR(__xludf.DUMMYFUNCTION("""COMPUTED_VALUE"""),"A37-2")</f>
        <v>A37-2</v>
      </c>
      <c r="B1301" s="42" t="str">
        <f>IFERROR(__xludf.DUMMYFUNCTION("""COMPUTED_VALUE"""),"DHBA")</f>
        <v>DHBA</v>
      </c>
      <c r="C1301" s="42" t="str">
        <f>IFERROR(__xludf.DUMMYFUNCTION("""COMPUTED_VALUE"""),"layer II of area 37")</f>
        <v>layer II of area 37</v>
      </c>
      <c r="D1301" s="42">
        <f>IFERROR(__xludf.DUMMYFUNCTION("""COMPUTED_VALUE"""),1231.0)</f>
        <v>1231</v>
      </c>
      <c r="E1301" s="39" t="str">
        <f>IFERROR(__xludf.DUMMYFUNCTION("""COMPUTED_VALUE"""),"layer II of area 37")</f>
        <v>layer II of area 37</v>
      </c>
      <c r="F1301" s="9" t="str">
        <f>IFERROR(__xludf.DUMMYFUNCTION("""COMPUTED_VALUE"""),"Br")</f>
        <v>Br</v>
      </c>
      <c r="G1301" s="9" t="str">
        <f>IFERROR(__xludf.DUMMYFUNCTION("""COMPUTED_VALUE"""),"F")</f>
        <v>F</v>
      </c>
      <c r="H1301" s="9" t="str">
        <f>IFERROR(__xludf.DUMMYFUNCTION("""COMPUTED_VALUE"""),"FGM")</f>
        <v>FGM</v>
      </c>
      <c r="I1301" s="9" t="str">
        <f>IFERROR(__xludf.DUMMYFUNCTION("""COMPUTED_VALUE"""),"Tel")</f>
        <v>Tel</v>
      </c>
      <c r="J1301" s="9" t="str">
        <f>IFERROR(__xludf.DUMMYFUNCTION("""COMPUTED_VALUE"""),"Cx")</f>
        <v>Cx</v>
      </c>
      <c r="K1301" s="9" t="str">
        <f>IFERROR(__xludf.DUMMYFUNCTION("""COMPUTED_VALUE"""),"NCx")</f>
        <v>NCx</v>
      </c>
      <c r="L1301" s="9" t="str">
        <f>IFERROR(__xludf.DUMMYFUNCTION("""COMPUTED_VALUE"""),"TCx")</f>
        <v>TCx</v>
      </c>
      <c r="M1301" s="9" t="str">
        <f>IFERROR(__xludf.DUMMYFUNCTION("""COMPUTED_VALUE"""),"A37")</f>
        <v>A37</v>
      </c>
      <c r="N1301" s="9" t="str">
        <f>IFERROR(__xludf.DUMMYFUNCTION("""COMPUTED_VALUE"""),"A37-2")</f>
        <v>A37-2</v>
      </c>
      <c r="O1301" s="9"/>
      <c r="P1301" s="9"/>
      <c r="Q1301" s="9"/>
      <c r="R1301" s="9"/>
      <c r="S1301" s="42"/>
      <c r="T1301" s="42"/>
      <c r="U1301" s="42"/>
      <c r="V1301" s="42"/>
      <c r="W1301" s="42"/>
      <c r="X1301" s="42"/>
      <c r="Y1301" s="42"/>
      <c r="Z1301" s="42"/>
      <c r="AA1301" s="42"/>
      <c r="AB1301" s="42" t="str">
        <f>IFERROR(__xludf.DUMMYFUNCTION("""COMPUTED_VALUE"""),"allen institute")</f>
        <v>allen institute</v>
      </c>
      <c r="AC1301" s="42" t="str">
        <f>IFERROR(__xludf.DUMMYFUNCTION("""COMPUTED_VALUE"""),"DHBA")</f>
        <v>DHBA</v>
      </c>
      <c r="AD1301" s="42"/>
      <c r="AE1301" s="42"/>
      <c r="AF1301" s="9"/>
      <c r="AG1301" s="9"/>
      <c r="AH1301" s="42"/>
      <c r="AI1301" s="42"/>
      <c r="AJ1301" s="42"/>
      <c r="AK1301" s="42"/>
      <c r="AL1301" s="42"/>
      <c r="AM1301" s="42"/>
      <c r="AN1301" s="42"/>
      <c r="AO1301" s="63" t="str">
        <f>IFERROR(__xludf.DUMMYFUNCTION("IF(ISBLANK(A1301),,IF(ISBLANK(S1301), A1301&amp;"";"", TEXTJOIN(CHAR(10), TRUE, A1301&amp;"";"", ARRAYFORMULA(VLOOKUP(SPLIT(S1301, "";"" &amp; CHAR(10)), $A:$AO, 41, FALSE)))))"),"A37-2;")</f>
        <v>A37-2;</v>
      </c>
      <c r="AP1301" s="89"/>
    </row>
    <row r="1302">
      <c r="A1302" s="151" t="str">
        <f>IFERROR(__xludf.DUMMYFUNCTION("""COMPUTED_VALUE"""),"A37-3")</f>
        <v>A37-3</v>
      </c>
      <c r="B1302" s="42" t="str">
        <f>IFERROR(__xludf.DUMMYFUNCTION("""COMPUTED_VALUE"""),"DHBA")</f>
        <v>DHBA</v>
      </c>
      <c r="C1302" s="42" t="str">
        <f>IFERROR(__xludf.DUMMYFUNCTION("""COMPUTED_VALUE"""),"layer III of area 37")</f>
        <v>layer III of area 37</v>
      </c>
      <c r="D1302" s="42">
        <f>IFERROR(__xludf.DUMMYFUNCTION("""COMPUTED_VALUE"""),1232.0)</f>
        <v>1232</v>
      </c>
      <c r="E1302" s="39" t="str">
        <f>IFERROR(__xludf.DUMMYFUNCTION("""COMPUTED_VALUE"""),"layer III of area 37")</f>
        <v>layer III of area 37</v>
      </c>
      <c r="F1302" s="9" t="str">
        <f>IFERROR(__xludf.DUMMYFUNCTION("""COMPUTED_VALUE"""),"Br")</f>
        <v>Br</v>
      </c>
      <c r="G1302" s="9" t="str">
        <f>IFERROR(__xludf.DUMMYFUNCTION("""COMPUTED_VALUE"""),"F")</f>
        <v>F</v>
      </c>
      <c r="H1302" s="9" t="str">
        <f>IFERROR(__xludf.DUMMYFUNCTION("""COMPUTED_VALUE"""),"FGM")</f>
        <v>FGM</v>
      </c>
      <c r="I1302" s="9" t="str">
        <f>IFERROR(__xludf.DUMMYFUNCTION("""COMPUTED_VALUE"""),"Tel")</f>
        <v>Tel</v>
      </c>
      <c r="J1302" s="9" t="str">
        <f>IFERROR(__xludf.DUMMYFUNCTION("""COMPUTED_VALUE"""),"Cx")</f>
        <v>Cx</v>
      </c>
      <c r="K1302" s="9" t="str">
        <f>IFERROR(__xludf.DUMMYFUNCTION("""COMPUTED_VALUE"""),"NCx")</f>
        <v>NCx</v>
      </c>
      <c r="L1302" s="9" t="str">
        <f>IFERROR(__xludf.DUMMYFUNCTION("""COMPUTED_VALUE"""),"TCx")</f>
        <v>TCx</v>
      </c>
      <c r="M1302" s="9" t="str">
        <f>IFERROR(__xludf.DUMMYFUNCTION("""COMPUTED_VALUE"""),"A37")</f>
        <v>A37</v>
      </c>
      <c r="N1302" s="9" t="str">
        <f>IFERROR(__xludf.DUMMYFUNCTION("""COMPUTED_VALUE"""),"A37-3")</f>
        <v>A37-3</v>
      </c>
      <c r="O1302" s="9"/>
      <c r="P1302" s="9"/>
      <c r="Q1302" s="9"/>
      <c r="R1302" s="9"/>
      <c r="S1302" s="42"/>
      <c r="T1302" s="42"/>
      <c r="U1302" s="159"/>
      <c r="V1302" s="42"/>
      <c r="W1302" s="42"/>
      <c r="X1302" s="42"/>
      <c r="Y1302" s="42"/>
      <c r="Z1302" s="42"/>
      <c r="AA1302" s="42"/>
      <c r="AB1302" s="42" t="str">
        <f>IFERROR(__xludf.DUMMYFUNCTION("""COMPUTED_VALUE"""),"allen institute")</f>
        <v>allen institute</v>
      </c>
      <c r="AC1302" s="42" t="str">
        <f>IFERROR(__xludf.DUMMYFUNCTION("""COMPUTED_VALUE"""),"DHBA")</f>
        <v>DHBA</v>
      </c>
      <c r="AD1302" s="42"/>
      <c r="AE1302" s="42"/>
      <c r="AF1302" s="9"/>
      <c r="AG1302" s="9"/>
      <c r="AH1302" s="42"/>
      <c r="AI1302" s="42"/>
      <c r="AJ1302" s="42"/>
      <c r="AK1302" s="42"/>
      <c r="AL1302" s="42"/>
      <c r="AM1302" s="42"/>
      <c r="AN1302" s="42"/>
      <c r="AO1302" s="63" t="str">
        <f>IFERROR(__xludf.DUMMYFUNCTION("IF(ISBLANK(A1302),,IF(ISBLANK(S1302), A1302&amp;"";"", TEXTJOIN(CHAR(10), TRUE, A1302&amp;"";"", ARRAYFORMULA(VLOOKUP(SPLIT(S1302, "";"" &amp; CHAR(10)), $A:$AO, 41, FALSE)))))"),"A37-3;")</f>
        <v>A37-3;</v>
      </c>
      <c r="AP1302" s="89"/>
    </row>
    <row r="1303">
      <c r="A1303" s="151" t="str">
        <f>IFERROR(__xludf.DUMMYFUNCTION("""COMPUTED_VALUE"""),"A37-4")</f>
        <v>A37-4</v>
      </c>
      <c r="B1303" s="42" t="str">
        <f>IFERROR(__xludf.DUMMYFUNCTION("""COMPUTED_VALUE"""),"DHBA")</f>
        <v>DHBA</v>
      </c>
      <c r="C1303" s="42" t="str">
        <f>IFERROR(__xludf.DUMMYFUNCTION("""COMPUTED_VALUE"""),"layer IV of area 37")</f>
        <v>layer IV of area 37</v>
      </c>
      <c r="D1303" s="42">
        <f>IFERROR(__xludf.DUMMYFUNCTION("""COMPUTED_VALUE"""),1233.0)</f>
        <v>1233</v>
      </c>
      <c r="E1303" s="39" t="str">
        <f>IFERROR(__xludf.DUMMYFUNCTION("""COMPUTED_VALUE"""),"layer IV of area 37")</f>
        <v>layer IV of area 37</v>
      </c>
      <c r="F1303" s="9" t="str">
        <f>IFERROR(__xludf.DUMMYFUNCTION("""COMPUTED_VALUE"""),"Br")</f>
        <v>Br</v>
      </c>
      <c r="G1303" s="9" t="str">
        <f>IFERROR(__xludf.DUMMYFUNCTION("""COMPUTED_VALUE"""),"F")</f>
        <v>F</v>
      </c>
      <c r="H1303" s="9" t="str">
        <f>IFERROR(__xludf.DUMMYFUNCTION("""COMPUTED_VALUE"""),"FGM")</f>
        <v>FGM</v>
      </c>
      <c r="I1303" s="9" t="str">
        <f>IFERROR(__xludf.DUMMYFUNCTION("""COMPUTED_VALUE"""),"Tel")</f>
        <v>Tel</v>
      </c>
      <c r="J1303" s="9" t="str">
        <f>IFERROR(__xludf.DUMMYFUNCTION("""COMPUTED_VALUE"""),"Cx")</f>
        <v>Cx</v>
      </c>
      <c r="K1303" s="9" t="str">
        <f>IFERROR(__xludf.DUMMYFUNCTION("""COMPUTED_VALUE"""),"NCx")</f>
        <v>NCx</v>
      </c>
      <c r="L1303" s="9" t="str">
        <f>IFERROR(__xludf.DUMMYFUNCTION("""COMPUTED_VALUE"""),"TCx")</f>
        <v>TCx</v>
      </c>
      <c r="M1303" s="9" t="str">
        <f>IFERROR(__xludf.DUMMYFUNCTION("""COMPUTED_VALUE"""),"A37")</f>
        <v>A37</v>
      </c>
      <c r="N1303" s="9" t="str">
        <f>IFERROR(__xludf.DUMMYFUNCTION("""COMPUTED_VALUE"""),"A37-4")</f>
        <v>A37-4</v>
      </c>
      <c r="O1303" s="9"/>
      <c r="P1303" s="9"/>
      <c r="Q1303" s="9"/>
      <c r="R1303" s="9"/>
      <c r="S1303" s="42"/>
      <c r="T1303" s="42"/>
      <c r="U1303" s="42"/>
      <c r="V1303" s="42"/>
      <c r="W1303" s="42"/>
      <c r="X1303" s="42"/>
      <c r="Y1303" s="42"/>
      <c r="Z1303" s="42"/>
      <c r="AA1303" s="42"/>
      <c r="AB1303" s="42" t="str">
        <f>IFERROR(__xludf.DUMMYFUNCTION("""COMPUTED_VALUE"""),"allen institute")</f>
        <v>allen institute</v>
      </c>
      <c r="AC1303" s="42" t="str">
        <f>IFERROR(__xludf.DUMMYFUNCTION("""COMPUTED_VALUE"""),"DHBA")</f>
        <v>DHBA</v>
      </c>
      <c r="AD1303" s="42"/>
      <c r="AE1303" s="42"/>
      <c r="AF1303" s="9"/>
      <c r="AG1303" s="9"/>
      <c r="AH1303" s="42"/>
      <c r="AI1303" s="42"/>
      <c r="AJ1303" s="42"/>
      <c r="AK1303" s="42"/>
      <c r="AL1303" s="42"/>
      <c r="AM1303" s="42"/>
      <c r="AN1303" s="42"/>
      <c r="AO1303" s="63" t="str">
        <f>IFERROR(__xludf.DUMMYFUNCTION("IF(ISBLANK(A1303),,IF(ISBLANK(S1303), A1303&amp;"";"", TEXTJOIN(CHAR(10), TRUE, A1303&amp;"";"", ARRAYFORMULA(VLOOKUP(SPLIT(S1303, "";"" &amp; CHAR(10)), $A:$AO, 41, FALSE)))))"),"A37-4;")</f>
        <v>A37-4;</v>
      </c>
      <c r="AP1303" s="89"/>
    </row>
    <row r="1304">
      <c r="A1304" s="151" t="str">
        <f>IFERROR(__xludf.DUMMYFUNCTION("""COMPUTED_VALUE"""),"A37-5")</f>
        <v>A37-5</v>
      </c>
      <c r="B1304" s="42" t="str">
        <f>IFERROR(__xludf.DUMMYFUNCTION("""COMPUTED_VALUE"""),"DHBA")</f>
        <v>DHBA</v>
      </c>
      <c r="C1304" s="42" t="str">
        <f>IFERROR(__xludf.DUMMYFUNCTION("""COMPUTED_VALUE"""),"layer V of area 37")</f>
        <v>layer V of area 37</v>
      </c>
      <c r="D1304" s="42">
        <f>IFERROR(__xludf.DUMMYFUNCTION("""COMPUTED_VALUE"""),1234.0)</f>
        <v>1234</v>
      </c>
      <c r="E1304" s="39" t="str">
        <f>IFERROR(__xludf.DUMMYFUNCTION("""COMPUTED_VALUE"""),"layer V of area 37")</f>
        <v>layer V of area 37</v>
      </c>
      <c r="F1304" s="9" t="str">
        <f>IFERROR(__xludf.DUMMYFUNCTION("""COMPUTED_VALUE"""),"Br")</f>
        <v>Br</v>
      </c>
      <c r="G1304" s="9" t="str">
        <f>IFERROR(__xludf.DUMMYFUNCTION("""COMPUTED_VALUE"""),"F")</f>
        <v>F</v>
      </c>
      <c r="H1304" s="9" t="str">
        <f>IFERROR(__xludf.DUMMYFUNCTION("""COMPUTED_VALUE"""),"FGM")</f>
        <v>FGM</v>
      </c>
      <c r="I1304" s="9" t="str">
        <f>IFERROR(__xludf.DUMMYFUNCTION("""COMPUTED_VALUE"""),"Tel")</f>
        <v>Tel</v>
      </c>
      <c r="J1304" s="9" t="str">
        <f>IFERROR(__xludf.DUMMYFUNCTION("""COMPUTED_VALUE"""),"Cx")</f>
        <v>Cx</v>
      </c>
      <c r="K1304" s="9" t="str">
        <f>IFERROR(__xludf.DUMMYFUNCTION("""COMPUTED_VALUE"""),"NCx")</f>
        <v>NCx</v>
      </c>
      <c r="L1304" s="9" t="str">
        <f>IFERROR(__xludf.DUMMYFUNCTION("""COMPUTED_VALUE"""),"TCx")</f>
        <v>TCx</v>
      </c>
      <c r="M1304" s="9" t="str">
        <f>IFERROR(__xludf.DUMMYFUNCTION("""COMPUTED_VALUE"""),"A37")</f>
        <v>A37</v>
      </c>
      <c r="N1304" s="9" t="str">
        <f>IFERROR(__xludf.DUMMYFUNCTION("""COMPUTED_VALUE"""),"A37-5")</f>
        <v>A37-5</v>
      </c>
      <c r="O1304" s="9"/>
      <c r="P1304" s="9"/>
      <c r="Q1304" s="9"/>
      <c r="R1304" s="9"/>
      <c r="S1304" s="42"/>
      <c r="T1304" s="42"/>
      <c r="U1304" s="42"/>
      <c r="V1304" s="42"/>
      <c r="W1304" s="42"/>
      <c r="X1304" s="42"/>
      <c r="Y1304" s="42"/>
      <c r="Z1304" s="42"/>
      <c r="AA1304" s="42"/>
      <c r="AB1304" s="42" t="str">
        <f>IFERROR(__xludf.DUMMYFUNCTION("""COMPUTED_VALUE"""),"allen institute")</f>
        <v>allen institute</v>
      </c>
      <c r="AC1304" s="42" t="str">
        <f>IFERROR(__xludf.DUMMYFUNCTION("""COMPUTED_VALUE"""),"DHBA")</f>
        <v>DHBA</v>
      </c>
      <c r="AD1304" s="42"/>
      <c r="AE1304" s="42"/>
      <c r="AF1304" s="9"/>
      <c r="AG1304" s="9"/>
      <c r="AH1304" s="42"/>
      <c r="AI1304" s="42"/>
      <c r="AJ1304" s="42"/>
      <c r="AK1304" s="42"/>
      <c r="AL1304" s="42"/>
      <c r="AM1304" s="42"/>
      <c r="AN1304" s="42"/>
      <c r="AO1304" s="63" t="str">
        <f>IFERROR(__xludf.DUMMYFUNCTION("IF(ISBLANK(A1304),,IF(ISBLANK(S1304), A1304&amp;"";"", TEXTJOIN(CHAR(10), TRUE, A1304&amp;"";"", ARRAYFORMULA(VLOOKUP(SPLIT(S1304, "";"" &amp; CHAR(10)), $A:$AO, 41, FALSE)))))"),"A37-5;")</f>
        <v>A37-5;</v>
      </c>
      <c r="AP1304" s="89"/>
    </row>
    <row r="1305">
      <c r="A1305" s="151" t="str">
        <f>IFERROR(__xludf.DUMMYFUNCTION("""COMPUTED_VALUE"""),"A37-6")</f>
        <v>A37-6</v>
      </c>
      <c r="B1305" s="42" t="str">
        <f>IFERROR(__xludf.DUMMYFUNCTION("""COMPUTED_VALUE"""),"DHBA")</f>
        <v>DHBA</v>
      </c>
      <c r="C1305" s="42" t="str">
        <f>IFERROR(__xludf.DUMMYFUNCTION("""COMPUTED_VALUE"""),"layer VI of area 37")</f>
        <v>layer VI of area 37</v>
      </c>
      <c r="D1305" s="42">
        <f>IFERROR(__xludf.DUMMYFUNCTION("""COMPUTED_VALUE"""),1235.0)</f>
        <v>1235</v>
      </c>
      <c r="E1305" s="39" t="str">
        <f>IFERROR(__xludf.DUMMYFUNCTION("""COMPUTED_VALUE"""),"layer VI of area 37")</f>
        <v>layer VI of area 37</v>
      </c>
      <c r="F1305" s="9" t="str">
        <f>IFERROR(__xludf.DUMMYFUNCTION("""COMPUTED_VALUE"""),"Br")</f>
        <v>Br</v>
      </c>
      <c r="G1305" s="9" t="str">
        <f>IFERROR(__xludf.DUMMYFUNCTION("""COMPUTED_VALUE"""),"F")</f>
        <v>F</v>
      </c>
      <c r="H1305" s="9" t="str">
        <f>IFERROR(__xludf.DUMMYFUNCTION("""COMPUTED_VALUE"""),"FGM")</f>
        <v>FGM</v>
      </c>
      <c r="I1305" s="9" t="str">
        <f>IFERROR(__xludf.DUMMYFUNCTION("""COMPUTED_VALUE"""),"Tel")</f>
        <v>Tel</v>
      </c>
      <c r="J1305" s="9" t="str">
        <f>IFERROR(__xludf.DUMMYFUNCTION("""COMPUTED_VALUE"""),"Cx")</f>
        <v>Cx</v>
      </c>
      <c r="K1305" s="9" t="str">
        <f>IFERROR(__xludf.DUMMYFUNCTION("""COMPUTED_VALUE"""),"NCx")</f>
        <v>NCx</v>
      </c>
      <c r="L1305" s="9" t="str">
        <f>IFERROR(__xludf.DUMMYFUNCTION("""COMPUTED_VALUE"""),"TCx")</f>
        <v>TCx</v>
      </c>
      <c r="M1305" s="9" t="str">
        <f>IFERROR(__xludf.DUMMYFUNCTION("""COMPUTED_VALUE"""),"A37")</f>
        <v>A37</v>
      </c>
      <c r="N1305" s="9" t="str">
        <f>IFERROR(__xludf.DUMMYFUNCTION("""COMPUTED_VALUE"""),"A37-6")</f>
        <v>A37-6</v>
      </c>
      <c r="O1305" s="9"/>
      <c r="P1305" s="9"/>
      <c r="Q1305" s="9"/>
      <c r="R1305" s="9"/>
      <c r="S1305" s="42"/>
      <c r="T1305" s="42"/>
      <c r="U1305" s="42"/>
      <c r="V1305" s="42"/>
      <c r="W1305" s="42"/>
      <c r="X1305" s="42"/>
      <c r="Y1305" s="42"/>
      <c r="Z1305" s="42"/>
      <c r="AA1305" s="42"/>
      <c r="AB1305" s="42" t="str">
        <f>IFERROR(__xludf.DUMMYFUNCTION("""COMPUTED_VALUE"""),"allen institute")</f>
        <v>allen institute</v>
      </c>
      <c r="AC1305" s="42" t="str">
        <f>IFERROR(__xludf.DUMMYFUNCTION("""COMPUTED_VALUE"""),"DHBA")</f>
        <v>DHBA</v>
      </c>
      <c r="AD1305" s="42"/>
      <c r="AE1305" s="42"/>
      <c r="AF1305" s="9"/>
      <c r="AG1305" s="9"/>
      <c r="AH1305" s="42"/>
      <c r="AI1305" s="42"/>
      <c r="AJ1305" s="42"/>
      <c r="AK1305" s="42"/>
      <c r="AL1305" s="42"/>
      <c r="AM1305" s="42"/>
      <c r="AN1305" s="42"/>
      <c r="AO1305" s="63" t="str">
        <f>IFERROR(__xludf.DUMMYFUNCTION("IF(ISBLANK(A1305),,IF(ISBLANK(S1305), A1305&amp;"";"", TEXTJOIN(CHAR(10), TRUE, A1305&amp;"";"", ARRAYFORMULA(VLOOKUP(SPLIT(S1305, "";"" &amp; CHAR(10)), $A:$AO, 41, FALSE)))))"),"A37-6;")</f>
        <v>A37-6;</v>
      </c>
      <c r="AP1305" s="89"/>
    </row>
    <row r="1306">
      <c r="A1306" s="151" t="str">
        <f>IFERROR(__xludf.DUMMYFUNCTION("""COMPUTED_VALUE"""),"A38")</f>
        <v>A38</v>
      </c>
      <c r="B1306" s="42" t="str">
        <f>IFERROR(__xludf.DUMMYFUNCTION("""COMPUTED_VALUE"""),"DHBA")</f>
        <v>DHBA</v>
      </c>
      <c r="C1306" s="42" t="str">
        <f>IFERROR(__xludf.DUMMYFUNCTION("""COMPUTED_VALUE"""),"temporal polar cortex")</f>
        <v>temporal polar cortex</v>
      </c>
      <c r="D1306" s="42">
        <f>IFERROR(__xludf.DUMMYFUNCTION("""COMPUTED_VALUE"""),1236.0)</f>
        <v>1236</v>
      </c>
      <c r="E1306" s="39" t="str">
        <f>IFERROR(__xludf.DUMMYFUNCTION("""COMPUTED_VALUE"""),"temporal polar cortex (area TG, area 38)")</f>
        <v>temporal polar cortex (area TG, area 38)</v>
      </c>
      <c r="F1306" s="9" t="str">
        <f>IFERROR(__xludf.DUMMYFUNCTION("""COMPUTED_VALUE"""),"Br")</f>
        <v>Br</v>
      </c>
      <c r="G1306" s="9" t="str">
        <f>IFERROR(__xludf.DUMMYFUNCTION("""COMPUTED_VALUE"""),"F")</f>
        <v>F</v>
      </c>
      <c r="H1306" s="9" t="str">
        <f>IFERROR(__xludf.DUMMYFUNCTION("""COMPUTED_VALUE"""),"FGM")</f>
        <v>FGM</v>
      </c>
      <c r="I1306" s="9" t="str">
        <f>IFERROR(__xludf.DUMMYFUNCTION("""COMPUTED_VALUE"""),"Tel")</f>
        <v>Tel</v>
      </c>
      <c r="J1306" s="9" t="str">
        <f>IFERROR(__xludf.DUMMYFUNCTION("""COMPUTED_VALUE"""),"Cx")</f>
        <v>Cx</v>
      </c>
      <c r="K1306" s="9" t="str">
        <f>IFERROR(__xludf.DUMMYFUNCTION("""COMPUTED_VALUE"""),"NCx")</f>
        <v>NCx</v>
      </c>
      <c r="L1306" s="9" t="str">
        <f>IFERROR(__xludf.DUMMYFUNCTION("""COMPUTED_VALUE"""),"TCx")</f>
        <v>TCx</v>
      </c>
      <c r="M1306" s="9" t="str">
        <f>IFERROR(__xludf.DUMMYFUNCTION("""COMPUTED_VALUE"""),"A38")</f>
        <v>A38</v>
      </c>
      <c r="N1306" s="9"/>
      <c r="O1306" s="9"/>
      <c r="P1306" s="9"/>
      <c r="Q1306" s="9"/>
      <c r="R1306" s="9"/>
      <c r="S1306" s="42" t="str">
        <f>IFERROR(__xludf.DUMMYFUNCTION("""COMPUTED_VALUE"""),"A38_pai;
A38_z;
A38_o;
A38_1;
A38_2;
A38_3;
A38_4;
A38_5;
A38_6")</f>
        <v>A38_pai;
A38_z;
A38_o;
A38_1;
A38_2;
A38_3;
A38_4;
A38_5;
A38_6</v>
      </c>
      <c r="T1306" s="42" t="str">
        <f>IFERROR(__xludf.DUMMYFUNCTION("""COMPUTED_VALUE"""),"NCx")</f>
        <v>NCx</v>
      </c>
      <c r="U1306" s="42" t="b">
        <f>IFERROR(__xludf.DUMMYFUNCTION("""COMPUTED_VALUE"""),FALSE)</f>
        <v>0</v>
      </c>
      <c r="V1306" s="42"/>
      <c r="W1306" s="42"/>
      <c r="X1306" s="42"/>
      <c r="Y1306" s="42"/>
      <c r="Z1306" s="42"/>
      <c r="AA1306" s="42"/>
      <c r="AB1306" s="42" t="str">
        <f>IFERROR(__xludf.DUMMYFUNCTION("""COMPUTED_VALUE"""),"allen institute")</f>
        <v>allen institute</v>
      </c>
      <c r="AC1306" s="42" t="str">
        <f>IFERROR(__xludf.DUMMYFUNCTION("""COMPUTED_VALUE"""),"DHBA")</f>
        <v>DHBA</v>
      </c>
      <c r="AD1306" s="42"/>
      <c r="AE1306" s="42"/>
      <c r="AF1306" s="9"/>
      <c r="AG1306" s="9"/>
      <c r="AH1306" s="42"/>
      <c r="AI1306" s="42"/>
      <c r="AJ1306" s="42"/>
      <c r="AK1306" s="42"/>
      <c r="AL1306" s="42"/>
      <c r="AM1306" s="42"/>
      <c r="AN1306" s="42"/>
      <c r="AO1306" s="63" t="str">
        <f>IFERROR(__xludf.DUMMYFUNCTION("IF(ISBLANK(A1306),,IF(ISBLANK(S1306), A1306&amp;"";"", TEXTJOIN(CHAR(10), TRUE, A1306&amp;"";"", ARRAYFORMULA(VLOOKUP(SPLIT(S1306, "";"" &amp; CHAR(10)), $A:$AO, 41, FALSE)))))"),"#N/A")</f>
        <v>#N/A</v>
      </c>
      <c r="AP1306" s="89"/>
    </row>
    <row r="1307">
      <c r="A1307" s="151" t="str">
        <f>IFERROR(__xludf.DUMMYFUNCTION("""COMPUTED_VALUE"""),"A38_o")</f>
        <v>A38_o</v>
      </c>
      <c r="B1307" s="42" t="str">
        <f>IFERROR(__xludf.DUMMYFUNCTION("""COMPUTED_VALUE"""),"makeshift")</f>
        <v>makeshift</v>
      </c>
      <c r="C1307" s="42"/>
      <c r="D1307" s="42">
        <f>IFERROR(__xludf.DUMMYFUNCTION("""COMPUTED_VALUE"""),1236.1)</f>
        <v>1236.1</v>
      </c>
      <c r="E1307" s="39" t="str">
        <f>IFERROR(__xludf.DUMMYFUNCTION("""COMPUTED_VALUE"""),"")</f>
        <v/>
      </c>
      <c r="F1307" s="9" t="str">
        <f>IFERROR(__xludf.DUMMYFUNCTION("""COMPUTED_VALUE"""),"")</f>
        <v/>
      </c>
      <c r="G1307" s="9" t="str">
        <f>IFERROR(__xludf.DUMMYFUNCTION("""COMPUTED_VALUE"""),"")</f>
        <v/>
      </c>
      <c r="H1307" s="9" t="str">
        <f>IFERROR(__xludf.DUMMYFUNCTION("""COMPUTED_VALUE"""),"")</f>
        <v/>
      </c>
      <c r="I1307" s="9" t="str">
        <f>IFERROR(__xludf.DUMMYFUNCTION("""COMPUTED_VALUE"""),"")</f>
        <v/>
      </c>
      <c r="J1307" s="9" t="str">
        <f>IFERROR(__xludf.DUMMYFUNCTION("""COMPUTED_VALUE"""),"")</f>
        <v/>
      </c>
      <c r="K1307" s="9" t="str">
        <f>IFERROR(__xludf.DUMMYFUNCTION("""COMPUTED_VALUE"""),"")</f>
        <v/>
      </c>
      <c r="L1307" s="9" t="str">
        <f>IFERROR(__xludf.DUMMYFUNCTION("""COMPUTED_VALUE"""),"")</f>
        <v/>
      </c>
      <c r="M1307" s="9" t="str">
        <f>IFERROR(__xludf.DUMMYFUNCTION("""COMPUTED_VALUE"""),"")</f>
        <v/>
      </c>
      <c r="N1307" s="9" t="str">
        <f>IFERROR(__xludf.DUMMYFUNCTION("""COMPUTED_VALUE"""),"")</f>
        <v/>
      </c>
      <c r="O1307" s="9" t="str">
        <f>IFERROR(__xludf.DUMMYFUNCTION("""COMPUTED_VALUE"""),"")</f>
        <v/>
      </c>
      <c r="P1307" s="9" t="str">
        <f>IFERROR(__xludf.DUMMYFUNCTION("""COMPUTED_VALUE"""),"")</f>
        <v/>
      </c>
      <c r="Q1307" s="9" t="str">
        <f>IFERROR(__xludf.DUMMYFUNCTION("""COMPUTED_VALUE"""),"")</f>
        <v/>
      </c>
      <c r="R1307" s="9" t="str">
        <f>IFERROR(__xludf.DUMMYFUNCTION("""COMPUTED_VALUE"""),"")</f>
        <v/>
      </c>
      <c r="S1307" s="42"/>
      <c r="T1307" s="42" t="str">
        <f>IFERROR(__xludf.DUMMYFUNCTION("""COMPUTED_VALUE"""),"NCx")</f>
        <v>NCx</v>
      </c>
      <c r="U1307" s="42" t="b">
        <f>IFERROR(__xludf.DUMMYFUNCTION("""COMPUTED_VALUE"""),FALSE)</f>
        <v>0</v>
      </c>
      <c r="V1307" s="42"/>
      <c r="W1307" s="42"/>
      <c r="X1307" s="42"/>
      <c r="Y1307" s="42"/>
      <c r="Z1307" s="42"/>
      <c r="AA1307" s="42"/>
      <c r="AB1307" s="42" t="str">
        <f>IFERROR(__xludf.DUMMYFUNCTION("""COMPUTED_VALUE"""),"Hiroshi Yamakawa")</f>
        <v>Hiroshi Yamakawa</v>
      </c>
      <c r="AC1307" s="42" t="str">
        <f>IFERROR(__xludf.DUMMYFUNCTION("""COMPUTED_VALUE"""),"HY22DAA")</f>
        <v>HY22DAA</v>
      </c>
      <c r="AD1307" s="42"/>
      <c r="AE1307" s="42"/>
      <c r="AF1307" s="9"/>
      <c r="AG1307" s="9"/>
      <c r="AH1307" s="42"/>
      <c r="AI1307" s="42"/>
      <c r="AJ1307" s="42"/>
      <c r="AK1307" s="42"/>
      <c r="AL1307" s="42"/>
      <c r="AM1307" s="42"/>
      <c r="AN1307" s="42"/>
      <c r="AO1307" s="63" t="str">
        <f>IFERROR(__xludf.DUMMYFUNCTION("IF(ISBLANK(A1307),,IF(ISBLANK(S1307), A1307&amp;"";"", TEXTJOIN(CHAR(10), TRUE, A1307&amp;"";"", ARRAYFORMULA(VLOOKUP(SPLIT(S1307, "";"" &amp; CHAR(10)), $A:$AO, 41, FALSE)))))"),"A38_o;")</f>
        <v>A38_o;</v>
      </c>
      <c r="AP1307" s="89"/>
    </row>
    <row r="1308">
      <c r="A1308" s="151" t="str">
        <f>IFERROR(__xludf.DUMMYFUNCTION("""COMPUTED_VALUE"""),"A38_pai")</f>
        <v>A38_pai</v>
      </c>
      <c r="B1308" s="42" t="str">
        <f>IFERROR(__xludf.DUMMYFUNCTION("""COMPUTED_VALUE"""),"makeshift")</f>
        <v>makeshift</v>
      </c>
      <c r="C1308" s="42"/>
      <c r="D1308" s="42">
        <f>IFERROR(__xludf.DUMMYFUNCTION("""COMPUTED_VALUE"""),1236.1)</f>
        <v>1236.1</v>
      </c>
      <c r="E1308" s="39" t="str">
        <f>IFERROR(__xludf.DUMMYFUNCTION("""COMPUTED_VALUE"""),"")</f>
        <v/>
      </c>
      <c r="F1308" s="9" t="str">
        <f>IFERROR(__xludf.DUMMYFUNCTION("""COMPUTED_VALUE"""),"")</f>
        <v/>
      </c>
      <c r="G1308" s="9" t="str">
        <f>IFERROR(__xludf.DUMMYFUNCTION("""COMPUTED_VALUE"""),"")</f>
        <v/>
      </c>
      <c r="H1308" s="9" t="str">
        <f>IFERROR(__xludf.DUMMYFUNCTION("""COMPUTED_VALUE"""),"")</f>
        <v/>
      </c>
      <c r="I1308" s="9" t="str">
        <f>IFERROR(__xludf.DUMMYFUNCTION("""COMPUTED_VALUE"""),"")</f>
        <v/>
      </c>
      <c r="J1308" s="9" t="str">
        <f>IFERROR(__xludf.DUMMYFUNCTION("""COMPUTED_VALUE"""),"")</f>
        <v/>
      </c>
      <c r="K1308" s="9" t="str">
        <f>IFERROR(__xludf.DUMMYFUNCTION("""COMPUTED_VALUE"""),"")</f>
        <v/>
      </c>
      <c r="L1308" s="9" t="str">
        <f>IFERROR(__xludf.DUMMYFUNCTION("""COMPUTED_VALUE"""),"")</f>
        <v/>
      </c>
      <c r="M1308" s="9" t="str">
        <f>IFERROR(__xludf.DUMMYFUNCTION("""COMPUTED_VALUE"""),"")</f>
        <v/>
      </c>
      <c r="N1308" s="9" t="str">
        <f>IFERROR(__xludf.DUMMYFUNCTION("""COMPUTED_VALUE"""),"")</f>
        <v/>
      </c>
      <c r="O1308" s="9" t="str">
        <f>IFERROR(__xludf.DUMMYFUNCTION("""COMPUTED_VALUE"""),"")</f>
        <v/>
      </c>
      <c r="P1308" s="9" t="str">
        <f>IFERROR(__xludf.DUMMYFUNCTION("""COMPUTED_VALUE"""),"")</f>
        <v/>
      </c>
      <c r="Q1308" s="9" t="str">
        <f>IFERROR(__xludf.DUMMYFUNCTION("""COMPUTED_VALUE"""),"")</f>
        <v/>
      </c>
      <c r="R1308" s="9" t="str">
        <f>IFERROR(__xludf.DUMMYFUNCTION("""COMPUTED_VALUE"""),"")</f>
        <v/>
      </c>
      <c r="S1308" s="42"/>
      <c r="T1308" s="42" t="str">
        <f>IFERROR(__xludf.DUMMYFUNCTION("""COMPUTED_VALUE"""),"NCx")</f>
        <v>NCx</v>
      </c>
      <c r="U1308" s="42" t="b">
        <f>IFERROR(__xludf.DUMMYFUNCTION("""COMPUTED_VALUE"""),FALSE)</f>
        <v>0</v>
      </c>
      <c r="V1308" s="42"/>
      <c r="W1308" s="42"/>
      <c r="X1308" s="42"/>
      <c r="Y1308" s="42"/>
      <c r="Z1308" s="42"/>
      <c r="AA1308" s="42"/>
      <c r="AB1308" s="42" t="str">
        <f>IFERROR(__xludf.DUMMYFUNCTION("""COMPUTED_VALUE"""),"Hiroshi Yamakawa")</f>
        <v>Hiroshi Yamakawa</v>
      </c>
      <c r="AC1308" s="42" t="str">
        <f>IFERROR(__xludf.DUMMYFUNCTION("""COMPUTED_VALUE"""),"HY22DAA")</f>
        <v>HY22DAA</v>
      </c>
      <c r="AD1308" s="42"/>
      <c r="AE1308" s="42"/>
      <c r="AF1308" s="9"/>
      <c r="AG1308" s="9"/>
      <c r="AH1308" s="42"/>
      <c r="AI1308" s="42"/>
      <c r="AJ1308" s="42"/>
      <c r="AK1308" s="42"/>
      <c r="AL1308" s="42"/>
      <c r="AM1308" s="42"/>
      <c r="AN1308" s="42"/>
      <c r="AO1308" s="63" t="str">
        <f>IFERROR(__xludf.DUMMYFUNCTION("IF(ISBLANK(A1308),,IF(ISBLANK(S1308), A1308&amp;"";"", TEXTJOIN(CHAR(10), TRUE, A1308&amp;"";"", ARRAYFORMULA(VLOOKUP(SPLIT(S1308, "";"" &amp; CHAR(10)), $A:$AO, 41, FALSE)))))"),"A38_pai;")</f>
        <v>A38_pai;</v>
      </c>
      <c r="AP1308" s="89"/>
    </row>
    <row r="1309">
      <c r="A1309" s="151" t="str">
        <f>IFERROR(__xludf.DUMMYFUNCTION("""COMPUTED_VALUE"""),"A38_z")</f>
        <v>A38_z</v>
      </c>
      <c r="B1309" s="42" t="str">
        <f>IFERROR(__xludf.DUMMYFUNCTION("""COMPUTED_VALUE"""),"makeshift")</f>
        <v>makeshift</v>
      </c>
      <c r="C1309" s="42"/>
      <c r="D1309" s="42">
        <f>IFERROR(__xludf.DUMMYFUNCTION("""COMPUTED_VALUE"""),1236.1)</f>
        <v>1236.1</v>
      </c>
      <c r="E1309" s="39" t="str">
        <f>IFERROR(__xludf.DUMMYFUNCTION("""COMPUTED_VALUE"""),"")</f>
        <v/>
      </c>
      <c r="F1309" s="9" t="str">
        <f>IFERROR(__xludf.DUMMYFUNCTION("""COMPUTED_VALUE"""),"")</f>
        <v/>
      </c>
      <c r="G1309" s="9" t="str">
        <f>IFERROR(__xludf.DUMMYFUNCTION("""COMPUTED_VALUE"""),"")</f>
        <v/>
      </c>
      <c r="H1309" s="9" t="str">
        <f>IFERROR(__xludf.DUMMYFUNCTION("""COMPUTED_VALUE"""),"")</f>
        <v/>
      </c>
      <c r="I1309" s="9" t="str">
        <f>IFERROR(__xludf.DUMMYFUNCTION("""COMPUTED_VALUE"""),"")</f>
        <v/>
      </c>
      <c r="J1309" s="9" t="str">
        <f>IFERROR(__xludf.DUMMYFUNCTION("""COMPUTED_VALUE"""),"")</f>
        <v/>
      </c>
      <c r="K1309" s="9" t="str">
        <f>IFERROR(__xludf.DUMMYFUNCTION("""COMPUTED_VALUE"""),"")</f>
        <v/>
      </c>
      <c r="L1309" s="9" t="str">
        <f>IFERROR(__xludf.DUMMYFUNCTION("""COMPUTED_VALUE"""),"")</f>
        <v/>
      </c>
      <c r="M1309" s="9" t="str">
        <f>IFERROR(__xludf.DUMMYFUNCTION("""COMPUTED_VALUE"""),"")</f>
        <v/>
      </c>
      <c r="N1309" s="9" t="str">
        <f>IFERROR(__xludf.DUMMYFUNCTION("""COMPUTED_VALUE"""),"")</f>
        <v/>
      </c>
      <c r="O1309" s="9" t="str">
        <f>IFERROR(__xludf.DUMMYFUNCTION("""COMPUTED_VALUE"""),"")</f>
        <v/>
      </c>
      <c r="P1309" s="9" t="str">
        <f>IFERROR(__xludf.DUMMYFUNCTION("""COMPUTED_VALUE"""),"")</f>
        <v/>
      </c>
      <c r="Q1309" s="9" t="str">
        <f>IFERROR(__xludf.DUMMYFUNCTION("""COMPUTED_VALUE"""),"")</f>
        <v/>
      </c>
      <c r="R1309" s="9" t="str">
        <f>IFERROR(__xludf.DUMMYFUNCTION("""COMPUTED_VALUE"""),"")</f>
        <v/>
      </c>
      <c r="S1309" s="42"/>
      <c r="T1309" s="42" t="str">
        <f>IFERROR(__xludf.DUMMYFUNCTION("""COMPUTED_VALUE"""),"NCx")</f>
        <v>NCx</v>
      </c>
      <c r="U1309" s="42" t="b">
        <f>IFERROR(__xludf.DUMMYFUNCTION("""COMPUTED_VALUE"""),FALSE)</f>
        <v>0</v>
      </c>
      <c r="V1309" s="42"/>
      <c r="W1309" s="42"/>
      <c r="X1309" s="42"/>
      <c r="Y1309" s="42"/>
      <c r="Z1309" s="42"/>
      <c r="AA1309" s="42"/>
      <c r="AB1309" s="42" t="str">
        <f>IFERROR(__xludf.DUMMYFUNCTION("""COMPUTED_VALUE"""),"Hiroshi Yamakawa")</f>
        <v>Hiroshi Yamakawa</v>
      </c>
      <c r="AC1309" s="42" t="str">
        <f>IFERROR(__xludf.DUMMYFUNCTION("""COMPUTED_VALUE"""),"HY22DAA")</f>
        <v>HY22DAA</v>
      </c>
      <c r="AD1309" s="42"/>
      <c r="AE1309" s="42"/>
      <c r="AF1309" s="9"/>
      <c r="AG1309" s="9"/>
      <c r="AH1309" s="42"/>
      <c r="AI1309" s="42"/>
      <c r="AJ1309" s="42"/>
      <c r="AK1309" s="42"/>
      <c r="AL1309" s="42"/>
      <c r="AM1309" s="42"/>
      <c r="AN1309" s="42"/>
      <c r="AO1309" s="63" t="str">
        <f>IFERROR(__xludf.DUMMYFUNCTION("IF(ISBLANK(A1309),,IF(ISBLANK(S1309), A1309&amp;"";"", TEXTJOIN(CHAR(10), TRUE, A1309&amp;"";"", ARRAYFORMULA(VLOOKUP(SPLIT(S1309, "";"" &amp; CHAR(10)), $A:$AO, 41, FALSE)))))"),"A38_z;")</f>
        <v>A38_z;</v>
      </c>
      <c r="AP1309" s="89"/>
    </row>
    <row r="1310">
      <c r="A1310" s="151" t="str">
        <f>IFERROR(__xludf.DUMMYFUNCTION("""COMPUTED_VALUE"""),"A38-1")</f>
        <v>A38-1</v>
      </c>
      <c r="B1310" s="42" t="str">
        <f>IFERROR(__xludf.DUMMYFUNCTION("""COMPUTED_VALUE"""),"DHBA")</f>
        <v>DHBA</v>
      </c>
      <c r="C1310" s="42" t="str">
        <f>IFERROR(__xludf.DUMMYFUNCTION("""COMPUTED_VALUE"""),"layer I of area 38")</f>
        <v>layer I of area 38</v>
      </c>
      <c r="D1310" s="42">
        <f>IFERROR(__xludf.DUMMYFUNCTION("""COMPUTED_VALUE"""),1237.0)</f>
        <v>1237</v>
      </c>
      <c r="E1310" s="39" t="str">
        <f>IFERROR(__xludf.DUMMYFUNCTION("""COMPUTED_VALUE"""),"layer I of area 38")</f>
        <v>layer I of area 38</v>
      </c>
      <c r="F1310" s="9" t="str">
        <f>IFERROR(__xludf.DUMMYFUNCTION("""COMPUTED_VALUE"""),"Br")</f>
        <v>Br</v>
      </c>
      <c r="G1310" s="9" t="str">
        <f>IFERROR(__xludf.DUMMYFUNCTION("""COMPUTED_VALUE"""),"F")</f>
        <v>F</v>
      </c>
      <c r="H1310" s="9" t="str">
        <f>IFERROR(__xludf.DUMMYFUNCTION("""COMPUTED_VALUE"""),"FGM")</f>
        <v>FGM</v>
      </c>
      <c r="I1310" s="9" t="str">
        <f>IFERROR(__xludf.DUMMYFUNCTION("""COMPUTED_VALUE"""),"Tel")</f>
        <v>Tel</v>
      </c>
      <c r="J1310" s="9" t="str">
        <f>IFERROR(__xludf.DUMMYFUNCTION("""COMPUTED_VALUE"""),"Cx")</f>
        <v>Cx</v>
      </c>
      <c r="K1310" s="9" t="str">
        <f>IFERROR(__xludf.DUMMYFUNCTION("""COMPUTED_VALUE"""),"NCx")</f>
        <v>NCx</v>
      </c>
      <c r="L1310" s="9" t="str">
        <f>IFERROR(__xludf.DUMMYFUNCTION("""COMPUTED_VALUE"""),"TCx")</f>
        <v>TCx</v>
      </c>
      <c r="M1310" s="9" t="str">
        <f>IFERROR(__xludf.DUMMYFUNCTION("""COMPUTED_VALUE"""),"A38")</f>
        <v>A38</v>
      </c>
      <c r="N1310" s="9" t="str">
        <f>IFERROR(__xludf.DUMMYFUNCTION("""COMPUTED_VALUE"""),"A38-1")</f>
        <v>A38-1</v>
      </c>
      <c r="O1310" s="9"/>
      <c r="P1310" s="9"/>
      <c r="Q1310" s="9"/>
      <c r="R1310" s="9"/>
      <c r="S1310" s="42"/>
      <c r="T1310" s="42"/>
      <c r="U1310" s="42"/>
      <c r="V1310" s="42"/>
      <c r="W1310" s="42"/>
      <c r="X1310" s="42"/>
      <c r="Y1310" s="42"/>
      <c r="Z1310" s="42"/>
      <c r="AA1310" s="42"/>
      <c r="AB1310" s="42" t="str">
        <f>IFERROR(__xludf.DUMMYFUNCTION("""COMPUTED_VALUE"""),"allen institute")</f>
        <v>allen institute</v>
      </c>
      <c r="AC1310" s="42" t="str">
        <f>IFERROR(__xludf.DUMMYFUNCTION("""COMPUTED_VALUE"""),"DHBA")</f>
        <v>DHBA</v>
      </c>
      <c r="AD1310" s="42"/>
      <c r="AE1310" s="42"/>
      <c r="AF1310" s="9"/>
      <c r="AG1310" s="9"/>
      <c r="AH1310" s="42"/>
      <c r="AI1310" s="42"/>
      <c r="AJ1310" s="42"/>
      <c r="AK1310" s="42"/>
      <c r="AL1310" s="42"/>
      <c r="AM1310" s="42"/>
      <c r="AN1310" s="42"/>
      <c r="AO1310" s="63" t="str">
        <f>IFERROR(__xludf.DUMMYFUNCTION("IF(ISBLANK(A1310),,IF(ISBLANK(S1310), A1310&amp;"";"", TEXTJOIN(CHAR(10), TRUE, A1310&amp;"";"", ARRAYFORMULA(VLOOKUP(SPLIT(S1310, "";"" &amp; CHAR(10)), $A:$AO, 41, FALSE)))))"),"A38-1;")</f>
        <v>A38-1;</v>
      </c>
      <c r="AP1310" s="89"/>
    </row>
    <row r="1311">
      <c r="A1311" s="151" t="str">
        <f>IFERROR(__xludf.DUMMYFUNCTION("""COMPUTED_VALUE"""),"A38-2")</f>
        <v>A38-2</v>
      </c>
      <c r="B1311" s="42" t="str">
        <f>IFERROR(__xludf.DUMMYFUNCTION("""COMPUTED_VALUE"""),"DHBA")</f>
        <v>DHBA</v>
      </c>
      <c r="C1311" s="42" t="str">
        <f>IFERROR(__xludf.DUMMYFUNCTION("""COMPUTED_VALUE"""),"layer II of area 38")</f>
        <v>layer II of area 38</v>
      </c>
      <c r="D1311" s="42">
        <f>IFERROR(__xludf.DUMMYFUNCTION("""COMPUTED_VALUE"""),1238.0)</f>
        <v>1238</v>
      </c>
      <c r="E1311" s="39" t="str">
        <f>IFERROR(__xludf.DUMMYFUNCTION("""COMPUTED_VALUE"""),"layer II of area 38")</f>
        <v>layer II of area 38</v>
      </c>
      <c r="F1311" s="9" t="str">
        <f>IFERROR(__xludf.DUMMYFUNCTION("""COMPUTED_VALUE"""),"Br")</f>
        <v>Br</v>
      </c>
      <c r="G1311" s="9" t="str">
        <f>IFERROR(__xludf.DUMMYFUNCTION("""COMPUTED_VALUE"""),"F")</f>
        <v>F</v>
      </c>
      <c r="H1311" s="9" t="str">
        <f>IFERROR(__xludf.DUMMYFUNCTION("""COMPUTED_VALUE"""),"FGM")</f>
        <v>FGM</v>
      </c>
      <c r="I1311" s="9" t="str">
        <f>IFERROR(__xludf.DUMMYFUNCTION("""COMPUTED_VALUE"""),"Tel")</f>
        <v>Tel</v>
      </c>
      <c r="J1311" s="9" t="str">
        <f>IFERROR(__xludf.DUMMYFUNCTION("""COMPUTED_VALUE"""),"Cx")</f>
        <v>Cx</v>
      </c>
      <c r="K1311" s="9" t="str">
        <f>IFERROR(__xludf.DUMMYFUNCTION("""COMPUTED_VALUE"""),"NCx")</f>
        <v>NCx</v>
      </c>
      <c r="L1311" s="9" t="str">
        <f>IFERROR(__xludf.DUMMYFUNCTION("""COMPUTED_VALUE"""),"TCx")</f>
        <v>TCx</v>
      </c>
      <c r="M1311" s="9" t="str">
        <f>IFERROR(__xludf.DUMMYFUNCTION("""COMPUTED_VALUE"""),"A38")</f>
        <v>A38</v>
      </c>
      <c r="N1311" s="9" t="str">
        <f>IFERROR(__xludf.DUMMYFUNCTION("""COMPUTED_VALUE"""),"A38-2")</f>
        <v>A38-2</v>
      </c>
      <c r="O1311" s="9"/>
      <c r="P1311" s="9"/>
      <c r="Q1311" s="9"/>
      <c r="R1311" s="9"/>
      <c r="S1311" s="42"/>
      <c r="T1311" s="42"/>
      <c r="U1311" s="42"/>
      <c r="V1311" s="42"/>
      <c r="W1311" s="42"/>
      <c r="X1311" s="42"/>
      <c r="Y1311" s="42"/>
      <c r="Z1311" s="42"/>
      <c r="AA1311" s="42"/>
      <c r="AB1311" s="42" t="str">
        <f>IFERROR(__xludf.DUMMYFUNCTION("""COMPUTED_VALUE"""),"allen institute")</f>
        <v>allen institute</v>
      </c>
      <c r="AC1311" s="42" t="str">
        <f>IFERROR(__xludf.DUMMYFUNCTION("""COMPUTED_VALUE"""),"DHBA")</f>
        <v>DHBA</v>
      </c>
      <c r="AD1311" s="42"/>
      <c r="AE1311" s="42"/>
      <c r="AF1311" s="9"/>
      <c r="AG1311" s="9"/>
      <c r="AH1311" s="42"/>
      <c r="AI1311" s="42"/>
      <c r="AJ1311" s="42"/>
      <c r="AK1311" s="42"/>
      <c r="AL1311" s="42"/>
      <c r="AM1311" s="42"/>
      <c r="AN1311" s="42"/>
      <c r="AO1311" s="63" t="str">
        <f>IFERROR(__xludf.DUMMYFUNCTION("IF(ISBLANK(A1311),,IF(ISBLANK(S1311), A1311&amp;"";"", TEXTJOIN(CHAR(10), TRUE, A1311&amp;"";"", ARRAYFORMULA(VLOOKUP(SPLIT(S1311, "";"" &amp; CHAR(10)), $A:$AO, 41, FALSE)))))"),"A38-2;")</f>
        <v>A38-2;</v>
      </c>
      <c r="AP1311" s="89"/>
    </row>
    <row r="1312">
      <c r="A1312" s="151" t="str">
        <f>IFERROR(__xludf.DUMMYFUNCTION("""COMPUTED_VALUE"""),"A38-3")</f>
        <v>A38-3</v>
      </c>
      <c r="B1312" s="42" t="str">
        <f>IFERROR(__xludf.DUMMYFUNCTION("""COMPUTED_VALUE"""),"DHBA")</f>
        <v>DHBA</v>
      </c>
      <c r="C1312" s="42" t="str">
        <f>IFERROR(__xludf.DUMMYFUNCTION("""COMPUTED_VALUE"""),"layer III of area 38")</f>
        <v>layer III of area 38</v>
      </c>
      <c r="D1312" s="42">
        <f>IFERROR(__xludf.DUMMYFUNCTION("""COMPUTED_VALUE"""),1239.0)</f>
        <v>1239</v>
      </c>
      <c r="E1312" s="39" t="str">
        <f>IFERROR(__xludf.DUMMYFUNCTION("""COMPUTED_VALUE"""),"layer III of area 38")</f>
        <v>layer III of area 38</v>
      </c>
      <c r="F1312" s="9" t="str">
        <f>IFERROR(__xludf.DUMMYFUNCTION("""COMPUTED_VALUE"""),"Br")</f>
        <v>Br</v>
      </c>
      <c r="G1312" s="9" t="str">
        <f>IFERROR(__xludf.DUMMYFUNCTION("""COMPUTED_VALUE"""),"F")</f>
        <v>F</v>
      </c>
      <c r="H1312" s="9" t="str">
        <f>IFERROR(__xludf.DUMMYFUNCTION("""COMPUTED_VALUE"""),"FGM")</f>
        <v>FGM</v>
      </c>
      <c r="I1312" s="9" t="str">
        <f>IFERROR(__xludf.DUMMYFUNCTION("""COMPUTED_VALUE"""),"Tel")</f>
        <v>Tel</v>
      </c>
      <c r="J1312" s="9" t="str">
        <f>IFERROR(__xludf.DUMMYFUNCTION("""COMPUTED_VALUE"""),"Cx")</f>
        <v>Cx</v>
      </c>
      <c r="K1312" s="9" t="str">
        <f>IFERROR(__xludf.DUMMYFUNCTION("""COMPUTED_VALUE"""),"NCx")</f>
        <v>NCx</v>
      </c>
      <c r="L1312" s="9" t="str">
        <f>IFERROR(__xludf.DUMMYFUNCTION("""COMPUTED_VALUE"""),"TCx")</f>
        <v>TCx</v>
      </c>
      <c r="M1312" s="9" t="str">
        <f>IFERROR(__xludf.DUMMYFUNCTION("""COMPUTED_VALUE"""),"A38")</f>
        <v>A38</v>
      </c>
      <c r="N1312" s="9" t="str">
        <f>IFERROR(__xludf.DUMMYFUNCTION("""COMPUTED_VALUE"""),"A38-3")</f>
        <v>A38-3</v>
      </c>
      <c r="O1312" s="9"/>
      <c r="P1312" s="9"/>
      <c r="Q1312" s="9"/>
      <c r="R1312" s="9"/>
      <c r="S1312" s="42"/>
      <c r="T1312" s="42"/>
      <c r="U1312" s="42"/>
      <c r="V1312" s="42"/>
      <c r="W1312" s="42"/>
      <c r="X1312" s="42"/>
      <c r="Y1312" s="42"/>
      <c r="Z1312" s="42"/>
      <c r="AA1312" s="42"/>
      <c r="AB1312" s="42" t="str">
        <f>IFERROR(__xludf.DUMMYFUNCTION("""COMPUTED_VALUE"""),"allen institute")</f>
        <v>allen institute</v>
      </c>
      <c r="AC1312" s="42" t="str">
        <f>IFERROR(__xludf.DUMMYFUNCTION("""COMPUTED_VALUE"""),"DHBA")</f>
        <v>DHBA</v>
      </c>
      <c r="AD1312" s="42"/>
      <c r="AE1312" s="42"/>
      <c r="AF1312" s="9"/>
      <c r="AG1312" s="9"/>
      <c r="AH1312" s="42"/>
      <c r="AI1312" s="42"/>
      <c r="AJ1312" s="42"/>
      <c r="AK1312" s="42"/>
      <c r="AL1312" s="42"/>
      <c r="AM1312" s="42"/>
      <c r="AN1312" s="42"/>
      <c r="AO1312" s="63" t="str">
        <f>IFERROR(__xludf.DUMMYFUNCTION("IF(ISBLANK(A1312),,IF(ISBLANK(S1312), A1312&amp;"";"", TEXTJOIN(CHAR(10), TRUE, A1312&amp;"";"", ARRAYFORMULA(VLOOKUP(SPLIT(S1312, "";"" &amp; CHAR(10)), $A:$AO, 41, FALSE)))))"),"A38-3;")</f>
        <v>A38-3;</v>
      </c>
      <c r="AP1312" s="89"/>
    </row>
    <row r="1313">
      <c r="A1313" s="151" t="str">
        <f>IFERROR(__xludf.DUMMYFUNCTION("""COMPUTED_VALUE"""),"A38-4")</f>
        <v>A38-4</v>
      </c>
      <c r="B1313" s="42" t="str">
        <f>IFERROR(__xludf.DUMMYFUNCTION("""COMPUTED_VALUE"""),"DHBA")</f>
        <v>DHBA</v>
      </c>
      <c r="C1313" s="42" t="str">
        <f>IFERROR(__xludf.DUMMYFUNCTION("""COMPUTED_VALUE"""),"layer IV of area 38")</f>
        <v>layer IV of area 38</v>
      </c>
      <c r="D1313" s="42">
        <f>IFERROR(__xludf.DUMMYFUNCTION("""COMPUTED_VALUE"""),1240.0)</f>
        <v>1240</v>
      </c>
      <c r="E1313" s="39" t="str">
        <f>IFERROR(__xludf.DUMMYFUNCTION("""COMPUTED_VALUE"""),"layer IV of area 38")</f>
        <v>layer IV of area 38</v>
      </c>
      <c r="F1313" s="9" t="str">
        <f>IFERROR(__xludf.DUMMYFUNCTION("""COMPUTED_VALUE"""),"Br")</f>
        <v>Br</v>
      </c>
      <c r="G1313" s="9" t="str">
        <f>IFERROR(__xludf.DUMMYFUNCTION("""COMPUTED_VALUE"""),"F")</f>
        <v>F</v>
      </c>
      <c r="H1313" s="9" t="str">
        <f>IFERROR(__xludf.DUMMYFUNCTION("""COMPUTED_VALUE"""),"FGM")</f>
        <v>FGM</v>
      </c>
      <c r="I1313" s="9" t="str">
        <f>IFERROR(__xludf.DUMMYFUNCTION("""COMPUTED_VALUE"""),"Tel")</f>
        <v>Tel</v>
      </c>
      <c r="J1313" s="9" t="str">
        <f>IFERROR(__xludf.DUMMYFUNCTION("""COMPUTED_VALUE"""),"Cx")</f>
        <v>Cx</v>
      </c>
      <c r="K1313" s="9" t="str">
        <f>IFERROR(__xludf.DUMMYFUNCTION("""COMPUTED_VALUE"""),"NCx")</f>
        <v>NCx</v>
      </c>
      <c r="L1313" s="9" t="str">
        <f>IFERROR(__xludf.DUMMYFUNCTION("""COMPUTED_VALUE"""),"TCx")</f>
        <v>TCx</v>
      </c>
      <c r="M1313" s="9" t="str">
        <f>IFERROR(__xludf.DUMMYFUNCTION("""COMPUTED_VALUE"""),"A38")</f>
        <v>A38</v>
      </c>
      <c r="N1313" s="9" t="str">
        <f>IFERROR(__xludf.DUMMYFUNCTION("""COMPUTED_VALUE"""),"A38-4")</f>
        <v>A38-4</v>
      </c>
      <c r="O1313" s="9"/>
      <c r="P1313" s="9"/>
      <c r="Q1313" s="9"/>
      <c r="R1313" s="9"/>
      <c r="S1313" s="42"/>
      <c r="T1313" s="42"/>
      <c r="U1313" s="159"/>
      <c r="V1313" s="42"/>
      <c r="W1313" s="42"/>
      <c r="X1313" s="42"/>
      <c r="Y1313" s="42"/>
      <c r="Z1313" s="42"/>
      <c r="AA1313" s="42"/>
      <c r="AB1313" s="42" t="str">
        <f>IFERROR(__xludf.DUMMYFUNCTION("""COMPUTED_VALUE"""),"allen institute")</f>
        <v>allen institute</v>
      </c>
      <c r="AC1313" s="42" t="str">
        <f>IFERROR(__xludf.DUMMYFUNCTION("""COMPUTED_VALUE"""),"DHBA")</f>
        <v>DHBA</v>
      </c>
      <c r="AD1313" s="42"/>
      <c r="AE1313" s="42"/>
      <c r="AF1313" s="9"/>
      <c r="AG1313" s="9"/>
      <c r="AH1313" s="42"/>
      <c r="AI1313" s="42"/>
      <c r="AJ1313" s="42"/>
      <c r="AK1313" s="42"/>
      <c r="AL1313" s="42"/>
      <c r="AM1313" s="42"/>
      <c r="AN1313" s="42"/>
      <c r="AO1313" s="63" t="str">
        <f>IFERROR(__xludf.DUMMYFUNCTION("IF(ISBLANK(A1313),,IF(ISBLANK(S1313), A1313&amp;"";"", TEXTJOIN(CHAR(10), TRUE, A1313&amp;"";"", ARRAYFORMULA(VLOOKUP(SPLIT(S1313, "";"" &amp; CHAR(10)), $A:$AO, 41, FALSE)))))"),"A38-4;")</f>
        <v>A38-4;</v>
      </c>
      <c r="AP1313" s="89"/>
    </row>
    <row r="1314">
      <c r="A1314" s="151" t="str">
        <f>IFERROR(__xludf.DUMMYFUNCTION("""COMPUTED_VALUE"""),"A38-5")</f>
        <v>A38-5</v>
      </c>
      <c r="B1314" s="42" t="str">
        <f>IFERROR(__xludf.DUMMYFUNCTION("""COMPUTED_VALUE"""),"DHBA")</f>
        <v>DHBA</v>
      </c>
      <c r="C1314" s="42" t="str">
        <f>IFERROR(__xludf.DUMMYFUNCTION("""COMPUTED_VALUE"""),"layer V of area 38")</f>
        <v>layer V of area 38</v>
      </c>
      <c r="D1314" s="42">
        <f>IFERROR(__xludf.DUMMYFUNCTION("""COMPUTED_VALUE"""),1241.0)</f>
        <v>1241</v>
      </c>
      <c r="E1314" s="39" t="str">
        <f>IFERROR(__xludf.DUMMYFUNCTION("""COMPUTED_VALUE"""),"layer V of area 38")</f>
        <v>layer V of area 38</v>
      </c>
      <c r="F1314" s="9" t="str">
        <f>IFERROR(__xludf.DUMMYFUNCTION("""COMPUTED_VALUE"""),"Br")</f>
        <v>Br</v>
      </c>
      <c r="G1314" s="9" t="str">
        <f>IFERROR(__xludf.DUMMYFUNCTION("""COMPUTED_VALUE"""),"F")</f>
        <v>F</v>
      </c>
      <c r="H1314" s="9" t="str">
        <f>IFERROR(__xludf.DUMMYFUNCTION("""COMPUTED_VALUE"""),"FGM")</f>
        <v>FGM</v>
      </c>
      <c r="I1314" s="9" t="str">
        <f>IFERROR(__xludf.DUMMYFUNCTION("""COMPUTED_VALUE"""),"Tel")</f>
        <v>Tel</v>
      </c>
      <c r="J1314" s="9" t="str">
        <f>IFERROR(__xludf.DUMMYFUNCTION("""COMPUTED_VALUE"""),"Cx")</f>
        <v>Cx</v>
      </c>
      <c r="K1314" s="9" t="str">
        <f>IFERROR(__xludf.DUMMYFUNCTION("""COMPUTED_VALUE"""),"NCx")</f>
        <v>NCx</v>
      </c>
      <c r="L1314" s="9" t="str">
        <f>IFERROR(__xludf.DUMMYFUNCTION("""COMPUTED_VALUE"""),"TCx")</f>
        <v>TCx</v>
      </c>
      <c r="M1314" s="9" t="str">
        <f>IFERROR(__xludf.DUMMYFUNCTION("""COMPUTED_VALUE"""),"A38")</f>
        <v>A38</v>
      </c>
      <c r="N1314" s="9" t="str">
        <f>IFERROR(__xludf.DUMMYFUNCTION("""COMPUTED_VALUE"""),"A38-5")</f>
        <v>A38-5</v>
      </c>
      <c r="O1314" s="9"/>
      <c r="P1314" s="9"/>
      <c r="Q1314" s="9"/>
      <c r="R1314" s="9"/>
      <c r="S1314" s="42"/>
      <c r="T1314" s="42"/>
      <c r="U1314" s="42"/>
      <c r="V1314" s="42"/>
      <c r="W1314" s="42"/>
      <c r="X1314" s="42"/>
      <c r="Y1314" s="42"/>
      <c r="Z1314" s="42"/>
      <c r="AA1314" s="42"/>
      <c r="AB1314" s="42" t="str">
        <f>IFERROR(__xludf.DUMMYFUNCTION("""COMPUTED_VALUE"""),"allen institute")</f>
        <v>allen institute</v>
      </c>
      <c r="AC1314" s="42" t="str">
        <f>IFERROR(__xludf.DUMMYFUNCTION("""COMPUTED_VALUE"""),"DHBA")</f>
        <v>DHBA</v>
      </c>
      <c r="AD1314" s="42"/>
      <c r="AE1314" s="42"/>
      <c r="AF1314" s="9"/>
      <c r="AG1314" s="9"/>
      <c r="AH1314" s="42"/>
      <c r="AI1314" s="42"/>
      <c r="AJ1314" s="42"/>
      <c r="AK1314" s="42"/>
      <c r="AL1314" s="42"/>
      <c r="AM1314" s="42"/>
      <c r="AN1314" s="42"/>
      <c r="AO1314" s="63" t="str">
        <f>IFERROR(__xludf.DUMMYFUNCTION("IF(ISBLANK(A1314),,IF(ISBLANK(S1314), A1314&amp;"";"", TEXTJOIN(CHAR(10), TRUE, A1314&amp;"";"", ARRAYFORMULA(VLOOKUP(SPLIT(S1314, "";"" &amp; CHAR(10)), $A:$AO, 41, FALSE)))))"),"A38-5;")</f>
        <v>A38-5;</v>
      </c>
      <c r="AP1314" s="89"/>
    </row>
    <row r="1315">
      <c r="A1315" s="151" t="str">
        <f>IFERROR(__xludf.DUMMYFUNCTION("""COMPUTED_VALUE"""),"A38-6")</f>
        <v>A38-6</v>
      </c>
      <c r="B1315" s="42" t="str">
        <f>IFERROR(__xludf.DUMMYFUNCTION("""COMPUTED_VALUE"""),"DHBA")</f>
        <v>DHBA</v>
      </c>
      <c r="C1315" s="42" t="str">
        <f>IFERROR(__xludf.DUMMYFUNCTION("""COMPUTED_VALUE"""),"layer VI of area 38")</f>
        <v>layer VI of area 38</v>
      </c>
      <c r="D1315" s="42">
        <f>IFERROR(__xludf.DUMMYFUNCTION("""COMPUTED_VALUE"""),1242.0)</f>
        <v>1242</v>
      </c>
      <c r="E1315" s="39" t="str">
        <f>IFERROR(__xludf.DUMMYFUNCTION("""COMPUTED_VALUE"""),"layer VI of area 38")</f>
        <v>layer VI of area 38</v>
      </c>
      <c r="F1315" s="9" t="str">
        <f>IFERROR(__xludf.DUMMYFUNCTION("""COMPUTED_VALUE"""),"Br")</f>
        <v>Br</v>
      </c>
      <c r="G1315" s="9" t="str">
        <f>IFERROR(__xludf.DUMMYFUNCTION("""COMPUTED_VALUE"""),"F")</f>
        <v>F</v>
      </c>
      <c r="H1315" s="9" t="str">
        <f>IFERROR(__xludf.DUMMYFUNCTION("""COMPUTED_VALUE"""),"FGM")</f>
        <v>FGM</v>
      </c>
      <c r="I1315" s="9" t="str">
        <f>IFERROR(__xludf.DUMMYFUNCTION("""COMPUTED_VALUE"""),"Tel")</f>
        <v>Tel</v>
      </c>
      <c r="J1315" s="9" t="str">
        <f>IFERROR(__xludf.DUMMYFUNCTION("""COMPUTED_VALUE"""),"Cx")</f>
        <v>Cx</v>
      </c>
      <c r="K1315" s="9" t="str">
        <f>IFERROR(__xludf.DUMMYFUNCTION("""COMPUTED_VALUE"""),"NCx")</f>
        <v>NCx</v>
      </c>
      <c r="L1315" s="9" t="str">
        <f>IFERROR(__xludf.DUMMYFUNCTION("""COMPUTED_VALUE"""),"TCx")</f>
        <v>TCx</v>
      </c>
      <c r="M1315" s="9" t="str">
        <f>IFERROR(__xludf.DUMMYFUNCTION("""COMPUTED_VALUE"""),"A38")</f>
        <v>A38</v>
      </c>
      <c r="N1315" s="9" t="str">
        <f>IFERROR(__xludf.DUMMYFUNCTION("""COMPUTED_VALUE"""),"A38-6")</f>
        <v>A38-6</v>
      </c>
      <c r="O1315" s="9"/>
      <c r="P1315" s="9"/>
      <c r="Q1315" s="9"/>
      <c r="R1315" s="9"/>
      <c r="S1315" s="42"/>
      <c r="T1315" s="42"/>
      <c r="U1315" s="42"/>
      <c r="V1315" s="42"/>
      <c r="W1315" s="42"/>
      <c r="X1315" s="42"/>
      <c r="Y1315" s="42"/>
      <c r="Z1315" s="42"/>
      <c r="AA1315" s="42"/>
      <c r="AB1315" s="42" t="str">
        <f>IFERROR(__xludf.DUMMYFUNCTION("""COMPUTED_VALUE"""),"allen institute")</f>
        <v>allen institute</v>
      </c>
      <c r="AC1315" s="42" t="str">
        <f>IFERROR(__xludf.DUMMYFUNCTION("""COMPUTED_VALUE"""),"DHBA")</f>
        <v>DHBA</v>
      </c>
      <c r="AD1315" s="42"/>
      <c r="AE1315" s="42"/>
      <c r="AF1315" s="9"/>
      <c r="AG1315" s="9"/>
      <c r="AH1315" s="42"/>
      <c r="AI1315" s="42"/>
      <c r="AJ1315" s="42"/>
      <c r="AK1315" s="42"/>
      <c r="AL1315" s="42"/>
      <c r="AM1315" s="42"/>
      <c r="AN1315" s="42"/>
      <c r="AO1315" s="63" t="str">
        <f>IFERROR(__xludf.DUMMYFUNCTION("IF(ISBLANK(A1315),,IF(ISBLANK(S1315), A1315&amp;"";"", TEXTJOIN(CHAR(10), TRUE, A1315&amp;"";"", ARRAYFORMULA(VLOOKUP(SPLIT(S1315, "";"" &amp; CHAR(10)), $A:$AO, 41, FALSE)))))"),"A38-6;")</f>
        <v>A38-6;</v>
      </c>
      <c r="AP1315" s="89"/>
    </row>
    <row r="1316">
      <c r="A1316" s="151" t="str">
        <f>IFERROR(__xludf.DUMMYFUNCTION("""COMPUTED_VALUE"""),"V5/MT")</f>
        <v>V5/MT</v>
      </c>
      <c r="B1316" s="42" t="str">
        <f>IFERROR(__xludf.DUMMYFUNCTION("""COMPUTED_VALUE"""),"DHBA")</f>
        <v>DHBA</v>
      </c>
      <c r="C1316" s="42" t="str">
        <f>IFERROR(__xludf.DUMMYFUNCTION("""COMPUTED_VALUE"""),"area V5 (middle temporal area)")</f>
        <v>area V5 (middle temporal area)</v>
      </c>
      <c r="D1316" s="42">
        <f>IFERROR(__xludf.DUMMYFUNCTION("""COMPUTED_VALUE"""),1243.0)</f>
        <v>1243</v>
      </c>
      <c r="E1316" s="39" t="str">
        <f>IFERROR(__xludf.DUMMYFUNCTION("""COMPUTED_VALUE"""),"area V5 (middle temporal area)")</f>
        <v>area V5 (middle temporal area)</v>
      </c>
      <c r="F1316" s="9" t="str">
        <f>IFERROR(__xludf.DUMMYFUNCTION("""COMPUTED_VALUE"""),"Br")</f>
        <v>Br</v>
      </c>
      <c r="G1316" s="9" t="str">
        <f>IFERROR(__xludf.DUMMYFUNCTION("""COMPUTED_VALUE"""),"F")</f>
        <v>F</v>
      </c>
      <c r="H1316" s="9" t="str">
        <f>IFERROR(__xludf.DUMMYFUNCTION("""COMPUTED_VALUE"""),"FGM")</f>
        <v>FGM</v>
      </c>
      <c r="I1316" s="9" t="str">
        <f>IFERROR(__xludf.DUMMYFUNCTION("""COMPUTED_VALUE"""),"Tel")</f>
        <v>Tel</v>
      </c>
      <c r="J1316" s="9" t="str">
        <f>IFERROR(__xludf.DUMMYFUNCTION("""COMPUTED_VALUE"""),"Cx")</f>
        <v>Cx</v>
      </c>
      <c r="K1316" s="9" t="str">
        <f>IFERROR(__xludf.DUMMYFUNCTION("""COMPUTED_VALUE"""),"NCx")</f>
        <v>NCx</v>
      </c>
      <c r="L1316" s="9" t="str">
        <f>IFERROR(__xludf.DUMMYFUNCTION("""COMPUTED_VALUE"""),"TCx")</f>
        <v>TCx</v>
      </c>
      <c r="M1316" s="9" t="str">
        <f>IFERROR(__xludf.DUMMYFUNCTION("""COMPUTED_VALUE"""),"V5/MT")</f>
        <v>V5/MT</v>
      </c>
      <c r="N1316" s="9"/>
      <c r="O1316" s="9"/>
      <c r="P1316" s="9"/>
      <c r="Q1316" s="9"/>
      <c r="R1316" s="9"/>
      <c r="S1316" s="42"/>
      <c r="T1316" s="42"/>
      <c r="U1316" s="42"/>
      <c r="V1316" s="42"/>
      <c r="W1316" s="42"/>
      <c r="X1316" s="42"/>
      <c r="Y1316" s="42"/>
      <c r="Z1316" s="42"/>
      <c r="AA1316" s="42"/>
      <c r="AB1316" s="42" t="str">
        <f>IFERROR(__xludf.DUMMYFUNCTION("""COMPUTED_VALUE"""),"allen institute")</f>
        <v>allen institute</v>
      </c>
      <c r="AC1316" s="42" t="str">
        <f>IFERROR(__xludf.DUMMYFUNCTION("""COMPUTED_VALUE"""),"DHBA")</f>
        <v>DHBA</v>
      </c>
      <c r="AD1316" s="42"/>
      <c r="AE1316" s="42"/>
      <c r="AF1316" s="9"/>
      <c r="AG1316" s="9"/>
      <c r="AH1316" s="42"/>
      <c r="AI1316" s="42"/>
      <c r="AJ1316" s="42"/>
      <c r="AK1316" s="42"/>
      <c r="AL1316" s="42"/>
      <c r="AM1316" s="42"/>
      <c r="AN1316" s="42"/>
      <c r="AO1316" s="63" t="str">
        <f>IFERROR(__xludf.DUMMYFUNCTION("IF(ISBLANK(A1316),,IF(ISBLANK(S1316), A1316&amp;"";"", TEXTJOIN(CHAR(10), TRUE, A1316&amp;"";"", ARRAYFORMULA(VLOOKUP(SPLIT(S1316, "";"" &amp; CHAR(10)), $A:$AO, 41, FALSE)))))"),"V5/MT;")</f>
        <v>V5/MT;</v>
      </c>
      <c r="AP1316" s="89"/>
    </row>
    <row r="1317">
      <c r="A1317" s="151" t="str">
        <f>IFERROR(__xludf.DUMMYFUNCTION("""COMPUTED_VALUE"""),"V5/MT1")</f>
        <v>V5/MT1</v>
      </c>
      <c r="B1317" s="42" t="str">
        <f>IFERROR(__xludf.DUMMYFUNCTION("""COMPUTED_VALUE"""),"DHBA")</f>
        <v>DHBA</v>
      </c>
      <c r="C1317" s="42" t="str">
        <f>IFERROR(__xludf.DUMMYFUNCTION("""COMPUTED_VALUE"""),"layer I of area V5/MT")</f>
        <v>layer I of area V5/MT</v>
      </c>
      <c r="D1317" s="42">
        <f>IFERROR(__xludf.DUMMYFUNCTION("""COMPUTED_VALUE"""),1244.0)</f>
        <v>1244</v>
      </c>
      <c r="E1317" s="39" t="str">
        <f>IFERROR(__xludf.DUMMYFUNCTION("""COMPUTED_VALUE"""),"layer I of area V5/MT")</f>
        <v>layer I of area V5/MT</v>
      </c>
      <c r="F1317" s="9" t="str">
        <f>IFERROR(__xludf.DUMMYFUNCTION("""COMPUTED_VALUE"""),"Br")</f>
        <v>Br</v>
      </c>
      <c r="G1317" s="9" t="str">
        <f>IFERROR(__xludf.DUMMYFUNCTION("""COMPUTED_VALUE"""),"F")</f>
        <v>F</v>
      </c>
      <c r="H1317" s="9" t="str">
        <f>IFERROR(__xludf.DUMMYFUNCTION("""COMPUTED_VALUE"""),"FGM")</f>
        <v>FGM</v>
      </c>
      <c r="I1317" s="9" t="str">
        <f>IFERROR(__xludf.DUMMYFUNCTION("""COMPUTED_VALUE"""),"Tel")</f>
        <v>Tel</v>
      </c>
      <c r="J1317" s="9" t="str">
        <f>IFERROR(__xludf.DUMMYFUNCTION("""COMPUTED_VALUE"""),"Cx")</f>
        <v>Cx</v>
      </c>
      <c r="K1317" s="9" t="str">
        <f>IFERROR(__xludf.DUMMYFUNCTION("""COMPUTED_VALUE"""),"NCx")</f>
        <v>NCx</v>
      </c>
      <c r="L1317" s="9" t="str">
        <f>IFERROR(__xludf.DUMMYFUNCTION("""COMPUTED_VALUE"""),"TCx")</f>
        <v>TCx</v>
      </c>
      <c r="M1317" s="9" t="str">
        <f>IFERROR(__xludf.DUMMYFUNCTION("""COMPUTED_VALUE"""),"V5/MT")</f>
        <v>V5/MT</v>
      </c>
      <c r="N1317" s="9" t="str">
        <f>IFERROR(__xludf.DUMMYFUNCTION("""COMPUTED_VALUE"""),"V5/MT1")</f>
        <v>V5/MT1</v>
      </c>
      <c r="O1317" s="9"/>
      <c r="P1317" s="9"/>
      <c r="Q1317" s="9"/>
      <c r="R1317" s="9"/>
      <c r="S1317" s="42"/>
      <c r="T1317" s="42"/>
      <c r="U1317" s="42"/>
      <c r="V1317" s="42"/>
      <c r="W1317" s="42"/>
      <c r="X1317" s="42"/>
      <c r="Y1317" s="42"/>
      <c r="Z1317" s="42"/>
      <c r="AA1317" s="42"/>
      <c r="AB1317" s="42" t="str">
        <f>IFERROR(__xludf.DUMMYFUNCTION("""COMPUTED_VALUE"""),"allen institute")</f>
        <v>allen institute</v>
      </c>
      <c r="AC1317" s="42" t="str">
        <f>IFERROR(__xludf.DUMMYFUNCTION("""COMPUTED_VALUE"""),"DHBA")</f>
        <v>DHBA</v>
      </c>
      <c r="AD1317" s="42"/>
      <c r="AE1317" s="42"/>
      <c r="AF1317" s="9"/>
      <c r="AG1317" s="9"/>
      <c r="AH1317" s="42"/>
      <c r="AI1317" s="42"/>
      <c r="AJ1317" s="42"/>
      <c r="AK1317" s="42"/>
      <c r="AL1317" s="42"/>
      <c r="AM1317" s="42"/>
      <c r="AN1317" s="42"/>
      <c r="AO1317" s="63" t="str">
        <f>IFERROR(__xludf.DUMMYFUNCTION("IF(ISBLANK(A1317),,IF(ISBLANK(S1317), A1317&amp;"";"", TEXTJOIN(CHAR(10), TRUE, A1317&amp;"";"", ARRAYFORMULA(VLOOKUP(SPLIT(S1317, "";"" &amp; CHAR(10)), $A:$AO, 41, FALSE)))))"),"V5/MT1;")</f>
        <v>V5/MT1;</v>
      </c>
      <c r="AP1317" s="89"/>
    </row>
    <row r="1318">
      <c r="A1318" s="151" t="str">
        <f>IFERROR(__xludf.DUMMYFUNCTION("""COMPUTED_VALUE"""),"V5/MT2")</f>
        <v>V5/MT2</v>
      </c>
      <c r="B1318" s="42" t="str">
        <f>IFERROR(__xludf.DUMMYFUNCTION("""COMPUTED_VALUE"""),"DHBA")</f>
        <v>DHBA</v>
      </c>
      <c r="C1318" s="42" t="str">
        <f>IFERROR(__xludf.DUMMYFUNCTION("""COMPUTED_VALUE"""),"layer II of area V5/MT")</f>
        <v>layer II of area V5/MT</v>
      </c>
      <c r="D1318" s="42">
        <f>IFERROR(__xludf.DUMMYFUNCTION("""COMPUTED_VALUE"""),1245.0)</f>
        <v>1245</v>
      </c>
      <c r="E1318" s="39" t="str">
        <f>IFERROR(__xludf.DUMMYFUNCTION("""COMPUTED_VALUE"""),"layer II of area V5/MT")</f>
        <v>layer II of area V5/MT</v>
      </c>
      <c r="F1318" s="9" t="str">
        <f>IFERROR(__xludf.DUMMYFUNCTION("""COMPUTED_VALUE"""),"Br")</f>
        <v>Br</v>
      </c>
      <c r="G1318" s="9" t="str">
        <f>IFERROR(__xludf.DUMMYFUNCTION("""COMPUTED_VALUE"""),"F")</f>
        <v>F</v>
      </c>
      <c r="H1318" s="9" t="str">
        <f>IFERROR(__xludf.DUMMYFUNCTION("""COMPUTED_VALUE"""),"FGM")</f>
        <v>FGM</v>
      </c>
      <c r="I1318" s="9" t="str">
        <f>IFERROR(__xludf.DUMMYFUNCTION("""COMPUTED_VALUE"""),"Tel")</f>
        <v>Tel</v>
      </c>
      <c r="J1318" s="9" t="str">
        <f>IFERROR(__xludf.DUMMYFUNCTION("""COMPUTED_VALUE"""),"Cx")</f>
        <v>Cx</v>
      </c>
      <c r="K1318" s="9" t="str">
        <f>IFERROR(__xludf.DUMMYFUNCTION("""COMPUTED_VALUE"""),"NCx")</f>
        <v>NCx</v>
      </c>
      <c r="L1318" s="9" t="str">
        <f>IFERROR(__xludf.DUMMYFUNCTION("""COMPUTED_VALUE"""),"TCx")</f>
        <v>TCx</v>
      </c>
      <c r="M1318" s="9" t="str">
        <f>IFERROR(__xludf.DUMMYFUNCTION("""COMPUTED_VALUE"""),"V5/MT")</f>
        <v>V5/MT</v>
      </c>
      <c r="N1318" s="9" t="str">
        <f>IFERROR(__xludf.DUMMYFUNCTION("""COMPUTED_VALUE"""),"V5/MT2")</f>
        <v>V5/MT2</v>
      </c>
      <c r="O1318" s="9"/>
      <c r="P1318" s="9"/>
      <c r="Q1318" s="9"/>
      <c r="R1318" s="9"/>
      <c r="S1318" s="42"/>
      <c r="T1318" s="42"/>
      <c r="U1318" s="42"/>
      <c r="V1318" s="42"/>
      <c r="W1318" s="42"/>
      <c r="X1318" s="42"/>
      <c r="Y1318" s="42"/>
      <c r="Z1318" s="42"/>
      <c r="AA1318" s="42"/>
      <c r="AB1318" s="42" t="str">
        <f>IFERROR(__xludf.DUMMYFUNCTION("""COMPUTED_VALUE"""),"allen institute")</f>
        <v>allen institute</v>
      </c>
      <c r="AC1318" s="42" t="str">
        <f>IFERROR(__xludf.DUMMYFUNCTION("""COMPUTED_VALUE"""),"DHBA")</f>
        <v>DHBA</v>
      </c>
      <c r="AD1318" s="42"/>
      <c r="AE1318" s="42"/>
      <c r="AF1318" s="9"/>
      <c r="AG1318" s="9"/>
      <c r="AH1318" s="42"/>
      <c r="AI1318" s="42"/>
      <c r="AJ1318" s="42"/>
      <c r="AK1318" s="42"/>
      <c r="AL1318" s="42"/>
      <c r="AM1318" s="42"/>
      <c r="AN1318" s="42"/>
      <c r="AO1318" s="63" t="str">
        <f>IFERROR(__xludf.DUMMYFUNCTION("IF(ISBLANK(A1318),,IF(ISBLANK(S1318), A1318&amp;"";"", TEXTJOIN(CHAR(10), TRUE, A1318&amp;"";"", ARRAYFORMULA(VLOOKUP(SPLIT(S1318, "";"" &amp; CHAR(10)), $A:$AO, 41, FALSE)))))"),"V5/MT2;")</f>
        <v>V5/MT2;</v>
      </c>
      <c r="AP1318" s="89"/>
    </row>
    <row r="1319">
      <c r="A1319" s="151" t="str">
        <f>IFERROR(__xludf.DUMMYFUNCTION("""COMPUTED_VALUE"""),"V5/MT3")</f>
        <v>V5/MT3</v>
      </c>
      <c r="B1319" s="42" t="str">
        <f>IFERROR(__xludf.DUMMYFUNCTION("""COMPUTED_VALUE"""),"DHBA")</f>
        <v>DHBA</v>
      </c>
      <c r="C1319" s="42" t="str">
        <f>IFERROR(__xludf.DUMMYFUNCTION("""COMPUTED_VALUE"""),"layer III of area V5/MT")</f>
        <v>layer III of area V5/MT</v>
      </c>
      <c r="D1319" s="42">
        <f>IFERROR(__xludf.DUMMYFUNCTION("""COMPUTED_VALUE"""),1246.0)</f>
        <v>1246</v>
      </c>
      <c r="E1319" s="39" t="str">
        <f>IFERROR(__xludf.DUMMYFUNCTION("""COMPUTED_VALUE"""),"layer III of area V5/MT")</f>
        <v>layer III of area V5/MT</v>
      </c>
      <c r="F1319" s="9" t="str">
        <f>IFERROR(__xludf.DUMMYFUNCTION("""COMPUTED_VALUE"""),"Br")</f>
        <v>Br</v>
      </c>
      <c r="G1319" s="9" t="str">
        <f>IFERROR(__xludf.DUMMYFUNCTION("""COMPUTED_VALUE"""),"F")</f>
        <v>F</v>
      </c>
      <c r="H1319" s="9" t="str">
        <f>IFERROR(__xludf.DUMMYFUNCTION("""COMPUTED_VALUE"""),"FGM")</f>
        <v>FGM</v>
      </c>
      <c r="I1319" s="9" t="str">
        <f>IFERROR(__xludf.DUMMYFUNCTION("""COMPUTED_VALUE"""),"Tel")</f>
        <v>Tel</v>
      </c>
      <c r="J1319" s="9" t="str">
        <f>IFERROR(__xludf.DUMMYFUNCTION("""COMPUTED_VALUE"""),"Cx")</f>
        <v>Cx</v>
      </c>
      <c r="K1319" s="9" t="str">
        <f>IFERROR(__xludf.DUMMYFUNCTION("""COMPUTED_VALUE"""),"NCx")</f>
        <v>NCx</v>
      </c>
      <c r="L1319" s="9" t="str">
        <f>IFERROR(__xludf.DUMMYFUNCTION("""COMPUTED_VALUE"""),"TCx")</f>
        <v>TCx</v>
      </c>
      <c r="M1319" s="9" t="str">
        <f>IFERROR(__xludf.DUMMYFUNCTION("""COMPUTED_VALUE"""),"V5/MT")</f>
        <v>V5/MT</v>
      </c>
      <c r="N1319" s="9" t="str">
        <f>IFERROR(__xludf.DUMMYFUNCTION("""COMPUTED_VALUE"""),"V5/MT3")</f>
        <v>V5/MT3</v>
      </c>
      <c r="O1319" s="9"/>
      <c r="P1319" s="9"/>
      <c r="Q1319" s="9"/>
      <c r="R1319" s="9"/>
      <c r="S1319" s="42"/>
      <c r="T1319" s="42"/>
      <c r="U1319" s="42"/>
      <c r="V1319" s="42"/>
      <c r="W1319" s="42"/>
      <c r="X1319" s="42"/>
      <c r="Y1319" s="42"/>
      <c r="Z1319" s="42"/>
      <c r="AA1319" s="42"/>
      <c r="AB1319" s="42" t="str">
        <f>IFERROR(__xludf.DUMMYFUNCTION("""COMPUTED_VALUE"""),"allen institute")</f>
        <v>allen institute</v>
      </c>
      <c r="AC1319" s="42" t="str">
        <f>IFERROR(__xludf.DUMMYFUNCTION("""COMPUTED_VALUE"""),"DHBA")</f>
        <v>DHBA</v>
      </c>
      <c r="AD1319" s="42"/>
      <c r="AE1319" s="42"/>
      <c r="AF1319" s="9"/>
      <c r="AG1319" s="9"/>
      <c r="AH1319" s="42"/>
      <c r="AI1319" s="42"/>
      <c r="AJ1319" s="42"/>
      <c r="AK1319" s="42"/>
      <c r="AL1319" s="42"/>
      <c r="AM1319" s="42"/>
      <c r="AN1319" s="42"/>
      <c r="AO1319" s="63" t="str">
        <f>IFERROR(__xludf.DUMMYFUNCTION("IF(ISBLANK(A1319),,IF(ISBLANK(S1319), A1319&amp;"";"", TEXTJOIN(CHAR(10), TRUE, A1319&amp;"";"", ARRAYFORMULA(VLOOKUP(SPLIT(S1319, "";"" &amp; CHAR(10)), $A:$AO, 41, FALSE)))))"),"V5/MT3;")</f>
        <v>V5/MT3;</v>
      </c>
      <c r="AP1319" s="89"/>
    </row>
    <row r="1320">
      <c r="A1320" s="151" t="str">
        <f>IFERROR(__xludf.DUMMYFUNCTION("""COMPUTED_VALUE"""),"V5/MT4")</f>
        <v>V5/MT4</v>
      </c>
      <c r="B1320" s="42" t="str">
        <f>IFERROR(__xludf.DUMMYFUNCTION("""COMPUTED_VALUE"""),"DHBA")</f>
        <v>DHBA</v>
      </c>
      <c r="C1320" s="42" t="str">
        <f>IFERROR(__xludf.DUMMYFUNCTION("""COMPUTED_VALUE"""),"layer IV of area V5/MT")</f>
        <v>layer IV of area V5/MT</v>
      </c>
      <c r="D1320" s="42">
        <f>IFERROR(__xludf.DUMMYFUNCTION("""COMPUTED_VALUE"""),1247.0)</f>
        <v>1247</v>
      </c>
      <c r="E1320" s="39" t="str">
        <f>IFERROR(__xludf.DUMMYFUNCTION("""COMPUTED_VALUE"""),"layer IV of area V5/MT")</f>
        <v>layer IV of area V5/MT</v>
      </c>
      <c r="F1320" s="9" t="str">
        <f>IFERROR(__xludf.DUMMYFUNCTION("""COMPUTED_VALUE"""),"Br")</f>
        <v>Br</v>
      </c>
      <c r="G1320" s="9" t="str">
        <f>IFERROR(__xludf.DUMMYFUNCTION("""COMPUTED_VALUE"""),"F")</f>
        <v>F</v>
      </c>
      <c r="H1320" s="9" t="str">
        <f>IFERROR(__xludf.DUMMYFUNCTION("""COMPUTED_VALUE"""),"FGM")</f>
        <v>FGM</v>
      </c>
      <c r="I1320" s="9" t="str">
        <f>IFERROR(__xludf.DUMMYFUNCTION("""COMPUTED_VALUE"""),"Tel")</f>
        <v>Tel</v>
      </c>
      <c r="J1320" s="9" t="str">
        <f>IFERROR(__xludf.DUMMYFUNCTION("""COMPUTED_VALUE"""),"Cx")</f>
        <v>Cx</v>
      </c>
      <c r="K1320" s="9" t="str">
        <f>IFERROR(__xludf.DUMMYFUNCTION("""COMPUTED_VALUE"""),"NCx")</f>
        <v>NCx</v>
      </c>
      <c r="L1320" s="9" t="str">
        <f>IFERROR(__xludf.DUMMYFUNCTION("""COMPUTED_VALUE"""),"TCx")</f>
        <v>TCx</v>
      </c>
      <c r="M1320" s="9" t="str">
        <f>IFERROR(__xludf.DUMMYFUNCTION("""COMPUTED_VALUE"""),"V5/MT")</f>
        <v>V5/MT</v>
      </c>
      <c r="N1320" s="9" t="str">
        <f>IFERROR(__xludf.DUMMYFUNCTION("""COMPUTED_VALUE"""),"V5/MT4")</f>
        <v>V5/MT4</v>
      </c>
      <c r="O1320" s="9"/>
      <c r="P1320" s="9"/>
      <c r="Q1320" s="9"/>
      <c r="R1320" s="9"/>
      <c r="S1320" s="42"/>
      <c r="T1320" s="42"/>
      <c r="U1320" s="42"/>
      <c r="V1320" s="42"/>
      <c r="W1320" s="42"/>
      <c r="X1320" s="42"/>
      <c r="Y1320" s="42"/>
      <c r="Z1320" s="42"/>
      <c r="AA1320" s="42"/>
      <c r="AB1320" s="42" t="str">
        <f>IFERROR(__xludf.DUMMYFUNCTION("""COMPUTED_VALUE"""),"allen institute")</f>
        <v>allen institute</v>
      </c>
      <c r="AC1320" s="42" t="str">
        <f>IFERROR(__xludf.DUMMYFUNCTION("""COMPUTED_VALUE"""),"DHBA")</f>
        <v>DHBA</v>
      </c>
      <c r="AD1320" s="42"/>
      <c r="AE1320" s="42"/>
      <c r="AF1320" s="9"/>
      <c r="AG1320" s="9"/>
      <c r="AH1320" s="42"/>
      <c r="AI1320" s="42"/>
      <c r="AJ1320" s="42"/>
      <c r="AK1320" s="42"/>
      <c r="AL1320" s="42"/>
      <c r="AM1320" s="42"/>
      <c r="AN1320" s="42"/>
      <c r="AO1320" s="63" t="str">
        <f>IFERROR(__xludf.DUMMYFUNCTION("IF(ISBLANK(A1320),,IF(ISBLANK(S1320), A1320&amp;"";"", TEXTJOIN(CHAR(10), TRUE, A1320&amp;"";"", ARRAYFORMULA(VLOOKUP(SPLIT(S1320, "";"" &amp; CHAR(10)), $A:$AO, 41, FALSE)))))"),"V5/MT4;")</f>
        <v>V5/MT4;</v>
      </c>
      <c r="AP1320" s="89"/>
    </row>
    <row r="1321">
      <c r="A1321" s="151" t="str">
        <f>IFERROR(__xludf.DUMMYFUNCTION("""COMPUTED_VALUE"""),"V5/MT5")</f>
        <v>V5/MT5</v>
      </c>
      <c r="B1321" s="42" t="str">
        <f>IFERROR(__xludf.DUMMYFUNCTION("""COMPUTED_VALUE"""),"DHBA")</f>
        <v>DHBA</v>
      </c>
      <c r="C1321" s="42" t="str">
        <f>IFERROR(__xludf.DUMMYFUNCTION("""COMPUTED_VALUE"""),"layer V of area V5/MT")</f>
        <v>layer V of area V5/MT</v>
      </c>
      <c r="D1321" s="42">
        <f>IFERROR(__xludf.DUMMYFUNCTION("""COMPUTED_VALUE"""),1248.0)</f>
        <v>1248</v>
      </c>
      <c r="E1321" s="39" t="str">
        <f>IFERROR(__xludf.DUMMYFUNCTION("""COMPUTED_VALUE"""),"layer V of area V5/MT")</f>
        <v>layer V of area V5/MT</v>
      </c>
      <c r="F1321" s="9" t="str">
        <f>IFERROR(__xludf.DUMMYFUNCTION("""COMPUTED_VALUE"""),"Br")</f>
        <v>Br</v>
      </c>
      <c r="G1321" s="9" t="str">
        <f>IFERROR(__xludf.DUMMYFUNCTION("""COMPUTED_VALUE"""),"F")</f>
        <v>F</v>
      </c>
      <c r="H1321" s="9" t="str">
        <f>IFERROR(__xludf.DUMMYFUNCTION("""COMPUTED_VALUE"""),"FGM")</f>
        <v>FGM</v>
      </c>
      <c r="I1321" s="9" t="str">
        <f>IFERROR(__xludf.DUMMYFUNCTION("""COMPUTED_VALUE"""),"Tel")</f>
        <v>Tel</v>
      </c>
      <c r="J1321" s="9" t="str">
        <f>IFERROR(__xludf.DUMMYFUNCTION("""COMPUTED_VALUE"""),"Cx")</f>
        <v>Cx</v>
      </c>
      <c r="K1321" s="9" t="str">
        <f>IFERROR(__xludf.DUMMYFUNCTION("""COMPUTED_VALUE"""),"NCx")</f>
        <v>NCx</v>
      </c>
      <c r="L1321" s="9" t="str">
        <f>IFERROR(__xludf.DUMMYFUNCTION("""COMPUTED_VALUE"""),"TCx")</f>
        <v>TCx</v>
      </c>
      <c r="M1321" s="9" t="str">
        <f>IFERROR(__xludf.DUMMYFUNCTION("""COMPUTED_VALUE"""),"V5/MT")</f>
        <v>V5/MT</v>
      </c>
      <c r="N1321" s="9" t="str">
        <f>IFERROR(__xludf.DUMMYFUNCTION("""COMPUTED_VALUE"""),"V5/MT5")</f>
        <v>V5/MT5</v>
      </c>
      <c r="O1321" s="9"/>
      <c r="P1321" s="9"/>
      <c r="Q1321" s="9"/>
      <c r="R1321" s="9"/>
      <c r="S1321" s="42"/>
      <c r="T1321" s="42"/>
      <c r="U1321" s="159"/>
      <c r="V1321" s="42"/>
      <c r="W1321" s="42"/>
      <c r="X1321" s="42"/>
      <c r="Y1321" s="42"/>
      <c r="Z1321" s="42"/>
      <c r="AA1321" s="42"/>
      <c r="AB1321" s="42" t="str">
        <f>IFERROR(__xludf.DUMMYFUNCTION("""COMPUTED_VALUE"""),"allen institute")</f>
        <v>allen institute</v>
      </c>
      <c r="AC1321" s="42" t="str">
        <f>IFERROR(__xludf.DUMMYFUNCTION("""COMPUTED_VALUE"""),"DHBA")</f>
        <v>DHBA</v>
      </c>
      <c r="AD1321" s="42"/>
      <c r="AE1321" s="42"/>
      <c r="AF1321" s="9"/>
      <c r="AG1321" s="9"/>
      <c r="AH1321" s="42"/>
      <c r="AI1321" s="42"/>
      <c r="AJ1321" s="42"/>
      <c r="AK1321" s="42"/>
      <c r="AL1321" s="42"/>
      <c r="AM1321" s="42"/>
      <c r="AN1321" s="42"/>
      <c r="AO1321" s="63" t="str">
        <f>IFERROR(__xludf.DUMMYFUNCTION("IF(ISBLANK(A1321),,IF(ISBLANK(S1321), A1321&amp;"";"", TEXTJOIN(CHAR(10), TRUE, A1321&amp;"";"", ARRAYFORMULA(VLOOKUP(SPLIT(S1321, "";"" &amp; CHAR(10)), $A:$AO, 41, FALSE)))))"),"V5/MT5;")</f>
        <v>V5/MT5;</v>
      </c>
      <c r="AP1321" s="89"/>
    </row>
    <row r="1322">
      <c r="A1322" s="151" t="str">
        <f>IFERROR(__xludf.DUMMYFUNCTION("""COMPUTED_VALUE"""),"V5/MT6")</f>
        <v>V5/MT6</v>
      </c>
      <c r="B1322" s="42" t="str">
        <f>IFERROR(__xludf.DUMMYFUNCTION("""COMPUTED_VALUE"""),"DHBA")</f>
        <v>DHBA</v>
      </c>
      <c r="C1322" s="42" t="str">
        <f>IFERROR(__xludf.DUMMYFUNCTION("""COMPUTED_VALUE"""),"layer VI of area V5/MT")</f>
        <v>layer VI of area V5/MT</v>
      </c>
      <c r="D1322" s="42">
        <f>IFERROR(__xludf.DUMMYFUNCTION("""COMPUTED_VALUE"""),1249.0)</f>
        <v>1249</v>
      </c>
      <c r="E1322" s="39" t="str">
        <f>IFERROR(__xludf.DUMMYFUNCTION("""COMPUTED_VALUE"""),"layer VI of area V5/MT")</f>
        <v>layer VI of area V5/MT</v>
      </c>
      <c r="F1322" s="9" t="str">
        <f>IFERROR(__xludf.DUMMYFUNCTION("""COMPUTED_VALUE"""),"Br")</f>
        <v>Br</v>
      </c>
      <c r="G1322" s="9" t="str">
        <f>IFERROR(__xludf.DUMMYFUNCTION("""COMPUTED_VALUE"""),"F")</f>
        <v>F</v>
      </c>
      <c r="H1322" s="9" t="str">
        <f>IFERROR(__xludf.DUMMYFUNCTION("""COMPUTED_VALUE"""),"FGM")</f>
        <v>FGM</v>
      </c>
      <c r="I1322" s="9" t="str">
        <f>IFERROR(__xludf.DUMMYFUNCTION("""COMPUTED_VALUE"""),"Tel")</f>
        <v>Tel</v>
      </c>
      <c r="J1322" s="9" t="str">
        <f>IFERROR(__xludf.DUMMYFUNCTION("""COMPUTED_VALUE"""),"Cx")</f>
        <v>Cx</v>
      </c>
      <c r="K1322" s="9" t="str">
        <f>IFERROR(__xludf.DUMMYFUNCTION("""COMPUTED_VALUE"""),"NCx")</f>
        <v>NCx</v>
      </c>
      <c r="L1322" s="9" t="str">
        <f>IFERROR(__xludf.DUMMYFUNCTION("""COMPUTED_VALUE"""),"TCx")</f>
        <v>TCx</v>
      </c>
      <c r="M1322" s="9" t="str">
        <f>IFERROR(__xludf.DUMMYFUNCTION("""COMPUTED_VALUE"""),"V5/MT")</f>
        <v>V5/MT</v>
      </c>
      <c r="N1322" s="9" t="str">
        <f>IFERROR(__xludf.DUMMYFUNCTION("""COMPUTED_VALUE"""),"V5/MT6")</f>
        <v>V5/MT6</v>
      </c>
      <c r="O1322" s="9"/>
      <c r="P1322" s="9"/>
      <c r="Q1322" s="9"/>
      <c r="R1322" s="9"/>
      <c r="S1322" s="42"/>
      <c r="T1322" s="42"/>
      <c r="U1322" s="42"/>
      <c r="V1322" s="42"/>
      <c r="W1322" s="42"/>
      <c r="X1322" s="42"/>
      <c r="Y1322" s="42"/>
      <c r="Z1322" s="42"/>
      <c r="AA1322" s="42"/>
      <c r="AB1322" s="42" t="str">
        <f>IFERROR(__xludf.DUMMYFUNCTION("""COMPUTED_VALUE"""),"allen institute")</f>
        <v>allen institute</v>
      </c>
      <c r="AC1322" s="42" t="str">
        <f>IFERROR(__xludf.DUMMYFUNCTION("""COMPUTED_VALUE"""),"DHBA")</f>
        <v>DHBA</v>
      </c>
      <c r="AD1322" s="42"/>
      <c r="AE1322" s="42"/>
      <c r="AF1322" s="9"/>
      <c r="AG1322" s="9"/>
      <c r="AH1322" s="42"/>
      <c r="AI1322" s="42"/>
      <c r="AJ1322" s="42"/>
      <c r="AK1322" s="42"/>
      <c r="AL1322" s="42"/>
      <c r="AM1322" s="42"/>
      <c r="AN1322" s="42"/>
      <c r="AO1322" s="63" t="str">
        <f>IFERROR(__xludf.DUMMYFUNCTION("IF(ISBLANK(A1322),,IF(ISBLANK(S1322), A1322&amp;"";"", TEXTJOIN(CHAR(10), TRUE, A1322&amp;"";"", ARRAYFORMULA(VLOOKUP(SPLIT(S1322, "";"" &amp; CHAR(10)), $A:$AO, 41, FALSE)))))"),"V5/MT6;")</f>
        <v>V5/MT6;</v>
      </c>
      <c r="AP1322" s="89"/>
    </row>
    <row r="1323">
      <c r="A1323" s="151" t="str">
        <f>IFERROR(__xludf.DUMMYFUNCTION("""COMPUTED_VALUE"""),"LO")</f>
        <v>LO</v>
      </c>
      <c r="B1323" s="42" t="str">
        <f>IFERROR(__xludf.DUMMYFUNCTION("""COMPUTED_VALUE"""),"DHBA")</f>
        <v>DHBA</v>
      </c>
      <c r="C1323" s="42" t="str">
        <f>IFERROR(__xludf.DUMMYFUNCTION("""COMPUTED_VALUE"""),"lateral occipito-temporal area")</f>
        <v>lateral occipito-temporal area</v>
      </c>
      <c r="D1323" s="42">
        <f>IFERROR(__xludf.DUMMYFUNCTION("""COMPUTED_VALUE"""),1250.0)</f>
        <v>1250</v>
      </c>
      <c r="E1323" s="39" t="str">
        <f>IFERROR(__xludf.DUMMYFUNCTION("""COMPUTED_VALUE"""),"lateral occipito-temporal area")</f>
        <v>lateral occipito-temporal area</v>
      </c>
      <c r="F1323" s="9" t="str">
        <f>IFERROR(__xludf.DUMMYFUNCTION("""COMPUTED_VALUE"""),"Br")</f>
        <v>Br</v>
      </c>
      <c r="G1323" s="9" t="str">
        <f>IFERROR(__xludf.DUMMYFUNCTION("""COMPUTED_VALUE"""),"F")</f>
        <v>F</v>
      </c>
      <c r="H1323" s="9" t="str">
        <f>IFERROR(__xludf.DUMMYFUNCTION("""COMPUTED_VALUE"""),"FGM")</f>
        <v>FGM</v>
      </c>
      <c r="I1323" s="9" t="str">
        <f>IFERROR(__xludf.DUMMYFUNCTION("""COMPUTED_VALUE"""),"Tel")</f>
        <v>Tel</v>
      </c>
      <c r="J1323" s="9" t="str">
        <f>IFERROR(__xludf.DUMMYFUNCTION("""COMPUTED_VALUE"""),"Cx")</f>
        <v>Cx</v>
      </c>
      <c r="K1323" s="9" t="str">
        <f>IFERROR(__xludf.DUMMYFUNCTION("""COMPUTED_VALUE"""),"NCx")</f>
        <v>NCx</v>
      </c>
      <c r="L1323" s="9" t="str">
        <f>IFERROR(__xludf.DUMMYFUNCTION("""COMPUTED_VALUE"""),"TCx")</f>
        <v>TCx</v>
      </c>
      <c r="M1323" s="9" t="str">
        <f>IFERROR(__xludf.DUMMYFUNCTION("""COMPUTED_VALUE"""),"LO")</f>
        <v>LO</v>
      </c>
      <c r="N1323" s="9"/>
      <c r="O1323" s="9"/>
      <c r="P1323" s="9"/>
      <c r="Q1323" s="9"/>
      <c r="R1323" s="9"/>
      <c r="S1323" s="42" t="str">
        <f>IFERROR(__xludf.DUMMYFUNCTION("""COMPUTED_VALUE"""),"LO1;
LO2;
LO3;
LO4;
LO5;
LO6")</f>
        <v>LO1;
LO2;
LO3;
LO4;
LO5;
LO6</v>
      </c>
      <c r="T1323" s="42"/>
      <c r="U1323" s="42" t="b">
        <f>IFERROR(__xludf.DUMMYFUNCTION("""COMPUTED_VALUE"""),FALSE)</f>
        <v>0</v>
      </c>
      <c r="V1323" s="42"/>
      <c r="W1323" s="42"/>
      <c r="X1323" s="42"/>
      <c r="Y1323" s="42"/>
      <c r="Z1323" s="42"/>
      <c r="AA1323" s="42"/>
      <c r="AB1323" s="42" t="str">
        <f>IFERROR(__xludf.DUMMYFUNCTION("""COMPUTED_VALUE"""),"allen institute")</f>
        <v>allen institute</v>
      </c>
      <c r="AC1323" s="42" t="str">
        <f>IFERROR(__xludf.DUMMYFUNCTION("""COMPUTED_VALUE"""),"DHBA")</f>
        <v>DHBA</v>
      </c>
      <c r="AD1323" s="42"/>
      <c r="AE1323" s="42"/>
      <c r="AF1323" s="9"/>
      <c r="AG1323" s="9"/>
      <c r="AH1323" s="42"/>
      <c r="AI1323" s="42"/>
      <c r="AJ1323" s="42"/>
      <c r="AK1323" s="42"/>
      <c r="AL1323" s="42"/>
      <c r="AM1323" s="42"/>
      <c r="AN1323" s="42"/>
      <c r="AO1323" s="63" t="str">
        <f>IFERROR(__xludf.DUMMYFUNCTION("IF(ISBLANK(A1323),,IF(ISBLANK(S1323), A1323&amp;"";"", TEXTJOIN(CHAR(10), TRUE, A1323&amp;"";"", ARRAYFORMULA(VLOOKUP(SPLIT(S1323, "";"" &amp; CHAR(10)), $A:$AO, 41, FALSE)))))"),"LO;
LO1;
LO2;
LO3;
LO4;
LO5;
LO6;")</f>
        <v>LO;
LO1;
LO2;
LO3;
LO4;
LO5;
LO6;</v>
      </c>
      <c r="AP1323" s="89"/>
    </row>
    <row r="1324">
      <c r="A1324" s="151" t="str">
        <f>IFERROR(__xludf.DUMMYFUNCTION("""COMPUTED_VALUE"""),"LO1")</f>
        <v>LO1</v>
      </c>
      <c r="B1324" s="42" t="str">
        <f>IFERROR(__xludf.DUMMYFUNCTION("""COMPUTED_VALUE"""),"DHBA")</f>
        <v>DHBA</v>
      </c>
      <c r="C1324" s="42" t="str">
        <f>IFERROR(__xludf.DUMMYFUNCTION("""COMPUTED_VALUE"""),"layer I of area LO")</f>
        <v>layer I of area LO</v>
      </c>
      <c r="D1324" s="42">
        <f>IFERROR(__xludf.DUMMYFUNCTION("""COMPUTED_VALUE"""),1251.0)</f>
        <v>1251</v>
      </c>
      <c r="E1324" s="39" t="str">
        <f>IFERROR(__xludf.DUMMYFUNCTION("""COMPUTED_VALUE"""),"layer I of area LO")</f>
        <v>layer I of area LO</v>
      </c>
      <c r="F1324" s="9" t="str">
        <f>IFERROR(__xludf.DUMMYFUNCTION("""COMPUTED_VALUE"""),"Br")</f>
        <v>Br</v>
      </c>
      <c r="G1324" s="9" t="str">
        <f>IFERROR(__xludf.DUMMYFUNCTION("""COMPUTED_VALUE"""),"F")</f>
        <v>F</v>
      </c>
      <c r="H1324" s="9" t="str">
        <f>IFERROR(__xludf.DUMMYFUNCTION("""COMPUTED_VALUE"""),"FGM")</f>
        <v>FGM</v>
      </c>
      <c r="I1324" s="9" t="str">
        <f>IFERROR(__xludf.DUMMYFUNCTION("""COMPUTED_VALUE"""),"Tel")</f>
        <v>Tel</v>
      </c>
      <c r="J1324" s="9" t="str">
        <f>IFERROR(__xludf.DUMMYFUNCTION("""COMPUTED_VALUE"""),"Cx")</f>
        <v>Cx</v>
      </c>
      <c r="K1324" s="9" t="str">
        <f>IFERROR(__xludf.DUMMYFUNCTION("""COMPUTED_VALUE"""),"NCx")</f>
        <v>NCx</v>
      </c>
      <c r="L1324" s="9" t="str">
        <f>IFERROR(__xludf.DUMMYFUNCTION("""COMPUTED_VALUE"""),"TCx")</f>
        <v>TCx</v>
      </c>
      <c r="M1324" s="9" t="str">
        <f>IFERROR(__xludf.DUMMYFUNCTION("""COMPUTED_VALUE"""),"LO")</f>
        <v>LO</v>
      </c>
      <c r="N1324" s="9" t="str">
        <f>IFERROR(__xludf.DUMMYFUNCTION("""COMPUTED_VALUE"""),"LO1")</f>
        <v>LO1</v>
      </c>
      <c r="O1324" s="9"/>
      <c r="P1324" s="9"/>
      <c r="Q1324" s="9"/>
      <c r="R1324" s="9"/>
      <c r="S1324" s="42"/>
      <c r="T1324" s="42"/>
      <c r="U1324" s="42"/>
      <c r="V1324" s="42"/>
      <c r="W1324" s="42"/>
      <c r="X1324" s="42"/>
      <c r="Y1324" s="42"/>
      <c r="Z1324" s="42"/>
      <c r="AA1324" s="42"/>
      <c r="AB1324" s="42" t="str">
        <f>IFERROR(__xludf.DUMMYFUNCTION("""COMPUTED_VALUE"""),"allen institute")</f>
        <v>allen institute</v>
      </c>
      <c r="AC1324" s="42" t="str">
        <f>IFERROR(__xludf.DUMMYFUNCTION("""COMPUTED_VALUE"""),"DHBA")</f>
        <v>DHBA</v>
      </c>
      <c r="AD1324" s="42"/>
      <c r="AE1324" s="42"/>
      <c r="AF1324" s="9"/>
      <c r="AG1324" s="9"/>
      <c r="AH1324" s="42"/>
      <c r="AI1324" s="42"/>
      <c r="AJ1324" s="42"/>
      <c r="AK1324" s="42"/>
      <c r="AL1324" s="42"/>
      <c r="AM1324" s="42"/>
      <c r="AN1324" s="42"/>
      <c r="AO1324" s="63" t="str">
        <f>IFERROR(__xludf.DUMMYFUNCTION("IF(ISBLANK(A1324),,IF(ISBLANK(S1324), A1324&amp;"";"", TEXTJOIN(CHAR(10), TRUE, A1324&amp;"";"", ARRAYFORMULA(VLOOKUP(SPLIT(S1324, "";"" &amp; CHAR(10)), $A:$AO, 41, FALSE)))))"),"LO1;")</f>
        <v>LO1;</v>
      </c>
      <c r="AP1324" s="89"/>
    </row>
    <row r="1325">
      <c r="A1325" s="151" t="str">
        <f>IFERROR(__xludf.DUMMYFUNCTION("""COMPUTED_VALUE"""),"LO2")</f>
        <v>LO2</v>
      </c>
      <c r="B1325" s="42" t="str">
        <f>IFERROR(__xludf.DUMMYFUNCTION("""COMPUTED_VALUE"""),"DHBA")</f>
        <v>DHBA</v>
      </c>
      <c r="C1325" s="42" t="str">
        <f>IFERROR(__xludf.DUMMYFUNCTION("""COMPUTED_VALUE"""),"layer II of area LO")</f>
        <v>layer II of area LO</v>
      </c>
      <c r="D1325" s="42">
        <f>IFERROR(__xludf.DUMMYFUNCTION("""COMPUTED_VALUE"""),1252.0)</f>
        <v>1252</v>
      </c>
      <c r="E1325" s="39" t="str">
        <f>IFERROR(__xludf.DUMMYFUNCTION("""COMPUTED_VALUE"""),"layer II of area LO")</f>
        <v>layer II of area LO</v>
      </c>
      <c r="F1325" s="9" t="str">
        <f>IFERROR(__xludf.DUMMYFUNCTION("""COMPUTED_VALUE"""),"Br")</f>
        <v>Br</v>
      </c>
      <c r="G1325" s="9" t="str">
        <f>IFERROR(__xludf.DUMMYFUNCTION("""COMPUTED_VALUE"""),"F")</f>
        <v>F</v>
      </c>
      <c r="H1325" s="9" t="str">
        <f>IFERROR(__xludf.DUMMYFUNCTION("""COMPUTED_VALUE"""),"FGM")</f>
        <v>FGM</v>
      </c>
      <c r="I1325" s="9" t="str">
        <f>IFERROR(__xludf.DUMMYFUNCTION("""COMPUTED_VALUE"""),"Tel")</f>
        <v>Tel</v>
      </c>
      <c r="J1325" s="9" t="str">
        <f>IFERROR(__xludf.DUMMYFUNCTION("""COMPUTED_VALUE"""),"Cx")</f>
        <v>Cx</v>
      </c>
      <c r="K1325" s="9" t="str">
        <f>IFERROR(__xludf.DUMMYFUNCTION("""COMPUTED_VALUE"""),"NCx")</f>
        <v>NCx</v>
      </c>
      <c r="L1325" s="9" t="str">
        <f>IFERROR(__xludf.DUMMYFUNCTION("""COMPUTED_VALUE"""),"TCx")</f>
        <v>TCx</v>
      </c>
      <c r="M1325" s="9" t="str">
        <f>IFERROR(__xludf.DUMMYFUNCTION("""COMPUTED_VALUE"""),"LO")</f>
        <v>LO</v>
      </c>
      <c r="N1325" s="9" t="str">
        <f>IFERROR(__xludf.DUMMYFUNCTION("""COMPUTED_VALUE"""),"LO2")</f>
        <v>LO2</v>
      </c>
      <c r="O1325" s="9"/>
      <c r="P1325" s="9"/>
      <c r="Q1325" s="9"/>
      <c r="R1325" s="9"/>
      <c r="S1325" s="42"/>
      <c r="T1325" s="42"/>
      <c r="U1325" s="42"/>
      <c r="V1325" s="42"/>
      <c r="W1325" s="42"/>
      <c r="X1325" s="42"/>
      <c r="Y1325" s="42"/>
      <c r="Z1325" s="42"/>
      <c r="AA1325" s="42"/>
      <c r="AB1325" s="42" t="str">
        <f>IFERROR(__xludf.DUMMYFUNCTION("""COMPUTED_VALUE"""),"allen institute")</f>
        <v>allen institute</v>
      </c>
      <c r="AC1325" s="42" t="str">
        <f>IFERROR(__xludf.DUMMYFUNCTION("""COMPUTED_VALUE"""),"DHBA")</f>
        <v>DHBA</v>
      </c>
      <c r="AD1325" s="42"/>
      <c r="AE1325" s="42"/>
      <c r="AF1325" s="9"/>
      <c r="AG1325" s="9"/>
      <c r="AH1325" s="42"/>
      <c r="AI1325" s="42"/>
      <c r="AJ1325" s="42"/>
      <c r="AK1325" s="42"/>
      <c r="AL1325" s="42"/>
      <c r="AM1325" s="42"/>
      <c r="AN1325" s="42"/>
      <c r="AO1325" s="63" t="str">
        <f>IFERROR(__xludf.DUMMYFUNCTION("IF(ISBLANK(A1325),,IF(ISBLANK(S1325), A1325&amp;"";"", TEXTJOIN(CHAR(10), TRUE, A1325&amp;"";"", ARRAYFORMULA(VLOOKUP(SPLIT(S1325, "";"" &amp; CHAR(10)), $A:$AO, 41, FALSE)))))"),"LO2;")</f>
        <v>LO2;</v>
      </c>
      <c r="AP1325" s="89"/>
    </row>
    <row r="1326">
      <c r="A1326" s="151" t="str">
        <f>IFERROR(__xludf.DUMMYFUNCTION("""COMPUTED_VALUE"""),"LO3")</f>
        <v>LO3</v>
      </c>
      <c r="B1326" s="42" t="str">
        <f>IFERROR(__xludf.DUMMYFUNCTION("""COMPUTED_VALUE"""),"DHBA")</f>
        <v>DHBA</v>
      </c>
      <c r="C1326" s="42" t="str">
        <f>IFERROR(__xludf.DUMMYFUNCTION("""COMPUTED_VALUE"""),"layer III of area LO")</f>
        <v>layer III of area LO</v>
      </c>
      <c r="D1326" s="42">
        <f>IFERROR(__xludf.DUMMYFUNCTION("""COMPUTED_VALUE"""),1253.0)</f>
        <v>1253</v>
      </c>
      <c r="E1326" s="39" t="str">
        <f>IFERROR(__xludf.DUMMYFUNCTION("""COMPUTED_VALUE"""),"layer III of area LO")</f>
        <v>layer III of area LO</v>
      </c>
      <c r="F1326" s="9" t="str">
        <f>IFERROR(__xludf.DUMMYFUNCTION("""COMPUTED_VALUE"""),"Br")</f>
        <v>Br</v>
      </c>
      <c r="G1326" s="9" t="str">
        <f>IFERROR(__xludf.DUMMYFUNCTION("""COMPUTED_VALUE"""),"F")</f>
        <v>F</v>
      </c>
      <c r="H1326" s="9" t="str">
        <f>IFERROR(__xludf.DUMMYFUNCTION("""COMPUTED_VALUE"""),"FGM")</f>
        <v>FGM</v>
      </c>
      <c r="I1326" s="9" t="str">
        <f>IFERROR(__xludf.DUMMYFUNCTION("""COMPUTED_VALUE"""),"Tel")</f>
        <v>Tel</v>
      </c>
      <c r="J1326" s="9" t="str">
        <f>IFERROR(__xludf.DUMMYFUNCTION("""COMPUTED_VALUE"""),"Cx")</f>
        <v>Cx</v>
      </c>
      <c r="K1326" s="9" t="str">
        <f>IFERROR(__xludf.DUMMYFUNCTION("""COMPUTED_VALUE"""),"NCx")</f>
        <v>NCx</v>
      </c>
      <c r="L1326" s="9" t="str">
        <f>IFERROR(__xludf.DUMMYFUNCTION("""COMPUTED_VALUE"""),"TCx")</f>
        <v>TCx</v>
      </c>
      <c r="M1326" s="9" t="str">
        <f>IFERROR(__xludf.DUMMYFUNCTION("""COMPUTED_VALUE"""),"LO")</f>
        <v>LO</v>
      </c>
      <c r="N1326" s="9" t="str">
        <f>IFERROR(__xludf.DUMMYFUNCTION("""COMPUTED_VALUE"""),"LO3")</f>
        <v>LO3</v>
      </c>
      <c r="O1326" s="9"/>
      <c r="P1326" s="9"/>
      <c r="Q1326" s="9"/>
      <c r="R1326" s="9"/>
      <c r="S1326" s="42"/>
      <c r="T1326" s="42"/>
      <c r="U1326" s="159"/>
      <c r="V1326" s="42"/>
      <c r="W1326" s="42"/>
      <c r="X1326" s="42"/>
      <c r="Y1326" s="42"/>
      <c r="Z1326" s="42"/>
      <c r="AA1326" s="42"/>
      <c r="AB1326" s="42" t="str">
        <f>IFERROR(__xludf.DUMMYFUNCTION("""COMPUTED_VALUE"""),"allen institute")</f>
        <v>allen institute</v>
      </c>
      <c r="AC1326" s="42" t="str">
        <f>IFERROR(__xludf.DUMMYFUNCTION("""COMPUTED_VALUE"""),"DHBA")</f>
        <v>DHBA</v>
      </c>
      <c r="AD1326" s="42"/>
      <c r="AE1326" s="42"/>
      <c r="AF1326" s="9"/>
      <c r="AG1326" s="9"/>
      <c r="AH1326" s="42"/>
      <c r="AI1326" s="42"/>
      <c r="AJ1326" s="42"/>
      <c r="AK1326" s="42"/>
      <c r="AL1326" s="42"/>
      <c r="AM1326" s="42"/>
      <c r="AN1326" s="42"/>
      <c r="AO1326" s="63" t="str">
        <f>IFERROR(__xludf.DUMMYFUNCTION("IF(ISBLANK(A1326),,IF(ISBLANK(S1326), A1326&amp;"";"", TEXTJOIN(CHAR(10), TRUE, A1326&amp;"";"", ARRAYFORMULA(VLOOKUP(SPLIT(S1326, "";"" &amp; CHAR(10)), $A:$AO, 41, FALSE)))))"),"LO3;")</f>
        <v>LO3;</v>
      </c>
      <c r="AP1326" s="89"/>
    </row>
    <row r="1327">
      <c r="A1327" s="151" t="str">
        <f>IFERROR(__xludf.DUMMYFUNCTION("""COMPUTED_VALUE"""),"LO4")</f>
        <v>LO4</v>
      </c>
      <c r="B1327" s="42" t="str">
        <f>IFERROR(__xludf.DUMMYFUNCTION("""COMPUTED_VALUE"""),"DHBA")</f>
        <v>DHBA</v>
      </c>
      <c r="C1327" s="42" t="str">
        <f>IFERROR(__xludf.DUMMYFUNCTION("""COMPUTED_VALUE"""),"layer IV of area LO")</f>
        <v>layer IV of area LO</v>
      </c>
      <c r="D1327" s="42">
        <f>IFERROR(__xludf.DUMMYFUNCTION("""COMPUTED_VALUE"""),1254.0)</f>
        <v>1254</v>
      </c>
      <c r="E1327" s="39" t="str">
        <f>IFERROR(__xludf.DUMMYFUNCTION("""COMPUTED_VALUE"""),"layer IV of area LO")</f>
        <v>layer IV of area LO</v>
      </c>
      <c r="F1327" s="9" t="str">
        <f>IFERROR(__xludf.DUMMYFUNCTION("""COMPUTED_VALUE"""),"Br")</f>
        <v>Br</v>
      </c>
      <c r="G1327" s="9" t="str">
        <f>IFERROR(__xludf.DUMMYFUNCTION("""COMPUTED_VALUE"""),"F")</f>
        <v>F</v>
      </c>
      <c r="H1327" s="9" t="str">
        <f>IFERROR(__xludf.DUMMYFUNCTION("""COMPUTED_VALUE"""),"FGM")</f>
        <v>FGM</v>
      </c>
      <c r="I1327" s="9" t="str">
        <f>IFERROR(__xludf.DUMMYFUNCTION("""COMPUTED_VALUE"""),"Tel")</f>
        <v>Tel</v>
      </c>
      <c r="J1327" s="9" t="str">
        <f>IFERROR(__xludf.DUMMYFUNCTION("""COMPUTED_VALUE"""),"Cx")</f>
        <v>Cx</v>
      </c>
      <c r="K1327" s="9" t="str">
        <f>IFERROR(__xludf.DUMMYFUNCTION("""COMPUTED_VALUE"""),"NCx")</f>
        <v>NCx</v>
      </c>
      <c r="L1327" s="9" t="str">
        <f>IFERROR(__xludf.DUMMYFUNCTION("""COMPUTED_VALUE"""),"TCx")</f>
        <v>TCx</v>
      </c>
      <c r="M1327" s="9" t="str">
        <f>IFERROR(__xludf.DUMMYFUNCTION("""COMPUTED_VALUE"""),"LO")</f>
        <v>LO</v>
      </c>
      <c r="N1327" s="9" t="str">
        <f>IFERROR(__xludf.DUMMYFUNCTION("""COMPUTED_VALUE"""),"LO4")</f>
        <v>LO4</v>
      </c>
      <c r="O1327" s="9"/>
      <c r="P1327" s="9"/>
      <c r="Q1327" s="9"/>
      <c r="R1327" s="9"/>
      <c r="S1327" s="42"/>
      <c r="T1327" s="42"/>
      <c r="U1327" s="42"/>
      <c r="V1327" s="42"/>
      <c r="W1327" s="42"/>
      <c r="X1327" s="42"/>
      <c r="Y1327" s="42"/>
      <c r="Z1327" s="42"/>
      <c r="AA1327" s="42"/>
      <c r="AB1327" s="42" t="str">
        <f>IFERROR(__xludf.DUMMYFUNCTION("""COMPUTED_VALUE"""),"allen institute")</f>
        <v>allen institute</v>
      </c>
      <c r="AC1327" s="42" t="str">
        <f>IFERROR(__xludf.DUMMYFUNCTION("""COMPUTED_VALUE"""),"DHBA")</f>
        <v>DHBA</v>
      </c>
      <c r="AD1327" s="42"/>
      <c r="AE1327" s="42"/>
      <c r="AF1327" s="9"/>
      <c r="AG1327" s="9"/>
      <c r="AH1327" s="42"/>
      <c r="AI1327" s="42"/>
      <c r="AJ1327" s="42"/>
      <c r="AK1327" s="42"/>
      <c r="AL1327" s="42"/>
      <c r="AM1327" s="42"/>
      <c r="AN1327" s="42"/>
      <c r="AO1327" s="63" t="str">
        <f>IFERROR(__xludf.DUMMYFUNCTION("IF(ISBLANK(A1327),,IF(ISBLANK(S1327), A1327&amp;"";"", TEXTJOIN(CHAR(10), TRUE, A1327&amp;"";"", ARRAYFORMULA(VLOOKUP(SPLIT(S1327, "";"" &amp; CHAR(10)), $A:$AO, 41, FALSE)))))"),"LO4;")</f>
        <v>LO4;</v>
      </c>
      <c r="AP1327" s="89"/>
    </row>
    <row r="1328">
      <c r="A1328" s="151" t="str">
        <f>IFERROR(__xludf.DUMMYFUNCTION("""COMPUTED_VALUE"""),"LO5")</f>
        <v>LO5</v>
      </c>
      <c r="B1328" s="42" t="str">
        <f>IFERROR(__xludf.DUMMYFUNCTION("""COMPUTED_VALUE"""),"DHBA")</f>
        <v>DHBA</v>
      </c>
      <c r="C1328" s="42" t="str">
        <f>IFERROR(__xludf.DUMMYFUNCTION("""COMPUTED_VALUE"""),"layer V of area LO")</f>
        <v>layer V of area LO</v>
      </c>
      <c r="D1328" s="42">
        <f>IFERROR(__xludf.DUMMYFUNCTION("""COMPUTED_VALUE"""),1255.0)</f>
        <v>1255</v>
      </c>
      <c r="E1328" s="39" t="str">
        <f>IFERROR(__xludf.DUMMYFUNCTION("""COMPUTED_VALUE"""),"layer V of area LO")</f>
        <v>layer V of area LO</v>
      </c>
      <c r="F1328" s="9" t="str">
        <f>IFERROR(__xludf.DUMMYFUNCTION("""COMPUTED_VALUE"""),"Br")</f>
        <v>Br</v>
      </c>
      <c r="G1328" s="9" t="str">
        <f>IFERROR(__xludf.DUMMYFUNCTION("""COMPUTED_VALUE"""),"F")</f>
        <v>F</v>
      </c>
      <c r="H1328" s="9" t="str">
        <f>IFERROR(__xludf.DUMMYFUNCTION("""COMPUTED_VALUE"""),"FGM")</f>
        <v>FGM</v>
      </c>
      <c r="I1328" s="9" t="str">
        <f>IFERROR(__xludf.DUMMYFUNCTION("""COMPUTED_VALUE"""),"Tel")</f>
        <v>Tel</v>
      </c>
      <c r="J1328" s="9" t="str">
        <f>IFERROR(__xludf.DUMMYFUNCTION("""COMPUTED_VALUE"""),"Cx")</f>
        <v>Cx</v>
      </c>
      <c r="K1328" s="9" t="str">
        <f>IFERROR(__xludf.DUMMYFUNCTION("""COMPUTED_VALUE"""),"NCx")</f>
        <v>NCx</v>
      </c>
      <c r="L1328" s="9" t="str">
        <f>IFERROR(__xludf.DUMMYFUNCTION("""COMPUTED_VALUE"""),"TCx")</f>
        <v>TCx</v>
      </c>
      <c r="M1328" s="9" t="str">
        <f>IFERROR(__xludf.DUMMYFUNCTION("""COMPUTED_VALUE"""),"LO")</f>
        <v>LO</v>
      </c>
      <c r="N1328" s="9" t="str">
        <f>IFERROR(__xludf.DUMMYFUNCTION("""COMPUTED_VALUE"""),"LO5")</f>
        <v>LO5</v>
      </c>
      <c r="O1328" s="9"/>
      <c r="P1328" s="9"/>
      <c r="Q1328" s="9"/>
      <c r="R1328" s="9"/>
      <c r="S1328" s="42"/>
      <c r="T1328" s="42"/>
      <c r="U1328" s="42"/>
      <c r="V1328" s="42"/>
      <c r="W1328" s="42"/>
      <c r="X1328" s="42"/>
      <c r="Y1328" s="42"/>
      <c r="Z1328" s="42"/>
      <c r="AA1328" s="42"/>
      <c r="AB1328" s="42" t="str">
        <f>IFERROR(__xludf.DUMMYFUNCTION("""COMPUTED_VALUE"""),"allen institute")</f>
        <v>allen institute</v>
      </c>
      <c r="AC1328" s="42" t="str">
        <f>IFERROR(__xludf.DUMMYFUNCTION("""COMPUTED_VALUE"""),"DHBA")</f>
        <v>DHBA</v>
      </c>
      <c r="AD1328" s="42"/>
      <c r="AE1328" s="42"/>
      <c r="AF1328" s="9"/>
      <c r="AG1328" s="9"/>
      <c r="AH1328" s="42"/>
      <c r="AI1328" s="42"/>
      <c r="AJ1328" s="42"/>
      <c r="AK1328" s="42"/>
      <c r="AL1328" s="42"/>
      <c r="AM1328" s="42"/>
      <c r="AN1328" s="42"/>
      <c r="AO1328" s="63" t="str">
        <f>IFERROR(__xludf.DUMMYFUNCTION("IF(ISBLANK(A1328),,IF(ISBLANK(S1328), A1328&amp;"";"", TEXTJOIN(CHAR(10), TRUE, A1328&amp;"";"", ARRAYFORMULA(VLOOKUP(SPLIT(S1328, "";"" &amp; CHAR(10)), $A:$AO, 41, FALSE)))))"),"LO5;")</f>
        <v>LO5;</v>
      </c>
      <c r="AP1328" s="89"/>
    </row>
    <row r="1329">
      <c r="A1329" s="151" t="str">
        <f>IFERROR(__xludf.DUMMYFUNCTION("""COMPUTED_VALUE"""),"LO6")</f>
        <v>LO6</v>
      </c>
      <c r="B1329" s="42" t="str">
        <f>IFERROR(__xludf.DUMMYFUNCTION("""COMPUTED_VALUE"""),"DHBA")</f>
        <v>DHBA</v>
      </c>
      <c r="C1329" s="42" t="str">
        <f>IFERROR(__xludf.DUMMYFUNCTION("""COMPUTED_VALUE"""),"layer VI of area LO")</f>
        <v>layer VI of area LO</v>
      </c>
      <c r="D1329" s="42">
        <f>IFERROR(__xludf.DUMMYFUNCTION("""COMPUTED_VALUE"""),1256.0)</f>
        <v>1256</v>
      </c>
      <c r="E1329" s="39" t="str">
        <f>IFERROR(__xludf.DUMMYFUNCTION("""COMPUTED_VALUE"""),"layer VI of area LO")</f>
        <v>layer VI of area LO</v>
      </c>
      <c r="F1329" s="9" t="str">
        <f>IFERROR(__xludf.DUMMYFUNCTION("""COMPUTED_VALUE"""),"Br")</f>
        <v>Br</v>
      </c>
      <c r="G1329" s="9" t="str">
        <f>IFERROR(__xludf.DUMMYFUNCTION("""COMPUTED_VALUE"""),"F")</f>
        <v>F</v>
      </c>
      <c r="H1329" s="9" t="str">
        <f>IFERROR(__xludf.DUMMYFUNCTION("""COMPUTED_VALUE"""),"FGM")</f>
        <v>FGM</v>
      </c>
      <c r="I1329" s="9" t="str">
        <f>IFERROR(__xludf.DUMMYFUNCTION("""COMPUTED_VALUE"""),"Tel")</f>
        <v>Tel</v>
      </c>
      <c r="J1329" s="9" t="str">
        <f>IFERROR(__xludf.DUMMYFUNCTION("""COMPUTED_VALUE"""),"Cx")</f>
        <v>Cx</v>
      </c>
      <c r="K1329" s="9" t="str">
        <f>IFERROR(__xludf.DUMMYFUNCTION("""COMPUTED_VALUE"""),"NCx")</f>
        <v>NCx</v>
      </c>
      <c r="L1329" s="9" t="str">
        <f>IFERROR(__xludf.DUMMYFUNCTION("""COMPUTED_VALUE"""),"TCx")</f>
        <v>TCx</v>
      </c>
      <c r="M1329" s="9" t="str">
        <f>IFERROR(__xludf.DUMMYFUNCTION("""COMPUTED_VALUE"""),"LO")</f>
        <v>LO</v>
      </c>
      <c r="N1329" s="9" t="str">
        <f>IFERROR(__xludf.DUMMYFUNCTION("""COMPUTED_VALUE"""),"LO6")</f>
        <v>LO6</v>
      </c>
      <c r="O1329" s="9"/>
      <c r="P1329" s="9"/>
      <c r="Q1329" s="9"/>
      <c r="R1329" s="9"/>
      <c r="S1329" s="42"/>
      <c r="T1329" s="42"/>
      <c r="U1329" s="42"/>
      <c r="V1329" s="42"/>
      <c r="W1329" s="42"/>
      <c r="X1329" s="42"/>
      <c r="Y1329" s="42"/>
      <c r="Z1329" s="42"/>
      <c r="AA1329" s="42"/>
      <c r="AB1329" s="42" t="str">
        <f>IFERROR(__xludf.DUMMYFUNCTION("""COMPUTED_VALUE"""),"allen institute")</f>
        <v>allen institute</v>
      </c>
      <c r="AC1329" s="42" t="str">
        <f>IFERROR(__xludf.DUMMYFUNCTION("""COMPUTED_VALUE"""),"DHBA")</f>
        <v>DHBA</v>
      </c>
      <c r="AD1329" s="42"/>
      <c r="AE1329" s="42"/>
      <c r="AF1329" s="9"/>
      <c r="AG1329" s="9"/>
      <c r="AH1329" s="42"/>
      <c r="AI1329" s="42"/>
      <c r="AJ1329" s="42"/>
      <c r="AK1329" s="42"/>
      <c r="AL1329" s="42"/>
      <c r="AM1329" s="42"/>
      <c r="AN1329" s="42"/>
      <c r="AO1329" s="63" t="str">
        <f>IFERROR(__xludf.DUMMYFUNCTION("IF(ISBLANK(A1329),,IF(ISBLANK(S1329), A1329&amp;"";"", TEXTJOIN(CHAR(10), TRUE, A1329&amp;"";"", ARRAYFORMULA(VLOOKUP(SPLIT(S1329, "";"" &amp; CHAR(10)), $A:$AO, 41, FALSE)))))"),"LO6;")</f>
        <v>LO6;</v>
      </c>
      <c r="AP1329" s="89"/>
    </row>
    <row r="1330">
      <c r="A1330" s="151" t="str">
        <f>IFERROR(__xludf.DUMMYFUNCTION("""COMPUTED_VALUE"""),"Ocx")</f>
        <v>Ocx</v>
      </c>
      <c r="B1330" s="42" t="str">
        <f>IFERROR(__xludf.DUMMYFUNCTION("""COMPUTED_VALUE"""),"DHBA")</f>
        <v>DHBA</v>
      </c>
      <c r="C1330" s="42" t="str">
        <f>IFERROR(__xludf.DUMMYFUNCTION("""COMPUTED_VALUE"""),"occipital neocortex")</f>
        <v>occipital neocortex</v>
      </c>
      <c r="D1330" s="42">
        <f>IFERROR(__xludf.DUMMYFUNCTION("""COMPUTED_VALUE"""),1257.0)</f>
        <v>1257</v>
      </c>
      <c r="E1330" s="39" t="str">
        <f>IFERROR(__xludf.DUMMYFUNCTION("""COMPUTED_VALUE"""),"occipital neocortex")</f>
        <v>occipital neocortex</v>
      </c>
      <c r="F1330" s="9" t="str">
        <f>IFERROR(__xludf.DUMMYFUNCTION("""COMPUTED_VALUE"""),"Br")</f>
        <v>Br</v>
      </c>
      <c r="G1330" s="9" t="str">
        <f>IFERROR(__xludf.DUMMYFUNCTION("""COMPUTED_VALUE"""),"F")</f>
        <v>F</v>
      </c>
      <c r="H1330" s="9" t="str">
        <f>IFERROR(__xludf.DUMMYFUNCTION("""COMPUTED_VALUE"""),"FGM")</f>
        <v>FGM</v>
      </c>
      <c r="I1330" s="9" t="str">
        <f>IFERROR(__xludf.DUMMYFUNCTION("""COMPUTED_VALUE"""),"Tel")</f>
        <v>Tel</v>
      </c>
      <c r="J1330" s="9" t="str">
        <f>IFERROR(__xludf.DUMMYFUNCTION("""COMPUTED_VALUE"""),"Cx")</f>
        <v>Cx</v>
      </c>
      <c r="K1330" s="9" t="str">
        <f>IFERROR(__xludf.DUMMYFUNCTION("""COMPUTED_VALUE"""),"NCx")</f>
        <v>NCx</v>
      </c>
      <c r="L1330" s="9" t="str">
        <f>IFERROR(__xludf.DUMMYFUNCTION("""COMPUTED_VALUE"""),"Ocx")</f>
        <v>Ocx</v>
      </c>
      <c r="M1330" s="9"/>
      <c r="N1330" s="9"/>
      <c r="O1330" s="9"/>
      <c r="P1330" s="9"/>
      <c r="Q1330" s="9"/>
      <c r="R1330" s="9"/>
      <c r="S1330" s="42" t="str">
        <f>IFERROR(__xludf.DUMMYFUNCTION("""COMPUTED_VALUE"""),"Pro;
V1C;
ESOC")</f>
        <v>Pro;
V1C;
ESOC</v>
      </c>
      <c r="T1330" s="42" t="str">
        <f>IFERROR(__xludf.DUMMYFUNCTION("""COMPUTED_VALUE"""),"NCx")</f>
        <v>NCx</v>
      </c>
      <c r="U1330" s="42" t="b">
        <f>IFERROR(__xludf.DUMMYFUNCTION("""COMPUTED_VALUE"""),FALSE)</f>
        <v>0</v>
      </c>
      <c r="V1330" s="42"/>
      <c r="W1330" s="42"/>
      <c r="X1330" s="42"/>
      <c r="Y1330" s="42"/>
      <c r="Z1330" s="42"/>
      <c r="AA1330" s="42"/>
      <c r="AB1330" s="42" t="str">
        <f>IFERROR(__xludf.DUMMYFUNCTION("""COMPUTED_VALUE"""),"allen institute")</f>
        <v>allen institute</v>
      </c>
      <c r="AC1330" s="42" t="str">
        <f>IFERROR(__xludf.DUMMYFUNCTION("""COMPUTED_VALUE"""),"DHBA")</f>
        <v>DHBA</v>
      </c>
      <c r="AD1330" s="42"/>
      <c r="AE1330" s="42"/>
      <c r="AF1330" s="9"/>
      <c r="AG1330" s="9"/>
      <c r="AH1330" s="42"/>
      <c r="AI1330" s="42"/>
      <c r="AJ1330" s="42"/>
      <c r="AK1330" s="42"/>
      <c r="AL1330" s="42"/>
      <c r="AM1330" s="42"/>
      <c r="AN1330" s="42"/>
      <c r="AO1330" s="63" t="str">
        <f>IFERROR(__xludf.DUMMYFUNCTION("IF(ISBLANK(A1330),,IF(ISBLANK(S1330), A1330&amp;"";"", TEXTJOIN(CHAR(10), TRUE, A1330&amp;"";"", ARRAYFORMULA(VLOOKUP(SPLIT(S1330, "";"" &amp; CHAR(10)), $A:$AO, 41, FALSE)))))"),"#N/A")</f>
        <v>#N/A</v>
      </c>
      <c r="AP1330" s="89"/>
    </row>
    <row r="1331">
      <c r="A1331" s="151" t="str">
        <f>IFERROR(__xludf.DUMMYFUNCTION("""COMPUTED_VALUE"""),"Pro")</f>
        <v>Pro</v>
      </c>
      <c r="B1331" s="42" t="str">
        <f>IFERROR(__xludf.DUMMYFUNCTION("""COMPUTED_VALUE"""),"DHBA")</f>
        <v>DHBA</v>
      </c>
      <c r="C1331" s="42" t="str">
        <f>IFERROR(__xludf.DUMMYFUNCTION("""COMPUTED_VALUE"""),"area prostriata")</f>
        <v>area prostriata</v>
      </c>
      <c r="D1331" s="42">
        <f>IFERROR(__xludf.DUMMYFUNCTION("""COMPUTED_VALUE"""),1258.0)</f>
        <v>1258</v>
      </c>
      <c r="E1331" s="39" t="str">
        <f>IFERROR(__xludf.DUMMYFUNCTION("""COMPUTED_VALUE"""),"area prostriata")</f>
        <v>area prostriata</v>
      </c>
      <c r="F1331" s="9" t="str">
        <f>IFERROR(__xludf.DUMMYFUNCTION("""COMPUTED_VALUE"""),"Br")</f>
        <v>Br</v>
      </c>
      <c r="G1331" s="9" t="str">
        <f>IFERROR(__xludf.DUMMYFUNCTION("""COMPUTED_VALUE"""),"F")</f>
        <v>F</v>
      </c>
      <c r="H1331" s="9" t="str">
        <f>IFERROR(__xludf.DUMMYFUNCTION("""COMPUTED_VALUE"""),"FGM")</f>
        <v>FGM</v>
      </c>
      <c r="I1331" s="9" t="str">
        <f>IFERROR(__xludf.DUMMYFUNCTION("""COMPUTED_VALUE"""),"Tel")</f>
        <v>Tel</v>
      </c>
      <c r="J1331" s="9" t="str">
        <f>IFERROR(__xludf.DUMMYFUNCTION("""COMPUTED_VALUE"""),"Cx")</f>
        <v>Cx</v>
      </c>
      <c r="K1331" s="9" t="str">
        <f>IFERROR(__xludf.DUMMYFUNCTION("""COMPUTED_VALUE"""),"NCx")</f>
        <v>NCx</v>
      </c>
      <c r="L1331" s="9" t="str">
        <f>IFERROR(__xludf.DUMMYFUNCTION("""COMPUTED_VALUE"""),"Ocx")</f>
        <v>Ocx</v>
      </c>
      <c r="M1331" s="9" t="str">
        <f>IFERROR(__xludf.DUMMYFUNCTION("""COMPUTED_VALUE"""),"Pro")</f>
        <v>Pro</v>
      </c>
      <c r="N1331" s="9"/>
      <c r="O1331" s="9"/>
      <c r="P1331" s="9"/>
      <c r="Q1331" s="9"/>
      <c r="R1331" s="9"/>
      <c r="S1331" s="42" t="str">
        <f>IFERROR(__xludf.DUMMYFUNCTION("""COMPUTED_VALUE"""),"Pro1;
Pro2;
Pro3;
Pro4;
Pro5;
Pro6")</f>
        <v>Pro1;
Pro2;
Pro3;
Pro4;
Pro5;
Pro6</v>
      </c>
      <c r="T1331" s="42"/>
      <c r="U1331" s="42" t="b">
        <f>IFERROR(__xludf.DUMMYFUNCTION("""COMPUTED_VALUE"""),FALSE)</f>
        <v>0</v>
      </c>
      <c r="V1331" s="42"/>
      <c r="W1331" s="42"/>
      <c r="X1331" s="42"/>
      <c r="Y1331" s="42"/>
      <c r="Z1331" s="42"/>
      <c r="AA1331" s="42"/>
      <c r="AB1331" s="42" t="str">
        <f>IFERROR(__xludf.DUMMYFUNCTION("""COMPUTED_VALUE"""),"allen institute")</f>
        <v>allen institute</v>
      </c>
      <c r="AC1331" s="42" t="str">
        <f>IFERROR(__xludf.DUMMYFUNCTION("""COMPUTED_VALUE"""),"DHBA")</f>
        <v>DHBA</v>
      </c>
      <c r="AD1331" s="42"/>
      <c r="AE1331" s="42"/>
      <c r="AF1331" s="9"/>
      <c r="AG1331" s="9"/>
      <c r="AH1331" s="42"/>
      <c r="AI1331" s="42"/>
      <c r="AJ1331" s="42"/>
      <c r="AK1331" s="42"/>
      <c r="AL1331" s="42"/>
      <c r="AM1331" s="42"/>
      <c r="AN1331" s="42"/>
      <c r="AO1331" s="63" t="str">
        <f>IFERROR(__xludf.DUMMYFUNCTION("IF(ISBLANK(A1331),,IF(ISBLANK(S1331), A1331&amp;"";"", TEXTJOIN(CHAR(10), TRUE, A1331&amp;"";"", ARRAYFORMULA(VLOOKUP(SPLIT(S1331, "";"" &amp; CHAR(10)), $A:$AO, 41, FALSE)))))"),"Pro;
Pro1;
Pro2;
Pro3;
Pro4;
Pro5;
Pro6;")</f>
        <v>Pro;
Pro1;
Pro2;
Pro3;
Pro4;
Pro5;
Pro6;</v>
      </c>
      <c r="AP1331" s="89"/>
    </row>
    <row r="1332">
      <c r="A1332" s="151" t="str">
        <f>IFERROR(__xludf.DUMMYFUNCTION("""COMPUTED_VALUE"""),"Pro1")</f>
        <v>Pro1</v>
      </c>
      <c r="B1332" s="42" t="str">
        <f>IFERROR(__xludf.DUMMYFUNCTION("""COMPUTED_VALUE"""),"DHBA")</f>
        <v>DHBA</v>
      </c>
      <c r="C1332" s="42" t="str">
        <f>IFERROR(__xludf.DUMMYFUNCTION("""COMPUTED_VALUE"""),"layer I of area prostriata")</f>
        <v>layer I of area prostriata</v>
      </c>
      <c r="D1332" s="42">
        <f>IFERROR(__xludf.DUMMYFUNCTION("""COMPUTED_VALUE"""),1259.0)</f>
        <v>1259</v>
      </c>
      <c r="E1332" s="39" t="str">
        <f>IFERROR(__xludf.DUMMYFUNCTION("""COMPUTED_VALUE"""),"layer I of area prostriata")</f>
        <v>layer I of area prostriata</v>
      </c>
      <c r="F1332" s="9" t="str">
        <f>IFERROR(__xludf.DUMMYFUNCTION("""COMPUTED_VALUE"""),"Br")</f>
        <v>Br</v>
      </c>
      <c r="G1332" s="9" t="str">
        <f>IFERROR(__xludf.DUMMYFUNCTION("""COMPUTED_VALUE"""),"F")</f>
        <v>F</v>
      </c>
      <c r="H1332" s="9" t="str">
        <f>IFERROR(__xludf.DUMMYFUNCTION("""COMPUTED_VALUE"""),"FGM")</f>
        <v>FGM</v>
      </c>
      <c r="I1332" s="9" t="str">
        <f>IFERROR(__xludf.DUMMYFUNCTION("""COMPUTED_VALUE"""),"Tel")</f>
        <v>Tel</v>
      </c>
      <c r="J1332" s="9" t="str">
        <f>IFERROR(__xludf.DUMMYFUNCTION("""COMPUTED_VALUE"""),"Cx")</f>
        <v>Cx</v>
      </c>
      <c r="K1332" s="9" t="str">
        <f>IFERROR(__xludf.DUMMYFUNCTION("""COMPUTED_VALUE"""),"NCx")</f>
        <v>NCx</v>
      </c>
      <c r="L1332" s="9" t="str">
        <f>IFERROR(__xludf.DUMMYFUNCTION("""COMPUTED_VALUE"""),"Ocx")</f>
        <v>Ocx</v>
      </c>
      <c r="M1332" s="9" t="str">
        <f>IFERROR(__xludf.DUMMYFUNCTION("""COMPUTED_VALUE"""),"Pro")</f>
        <v>Pro</v>
      </c>
      <c r="N1332" s="9" t="str">
        <f>IFERROR(__xludf.DUMMYFUNCTION("""COMPUTED_VALUE"""),"Pro1")</f>
        <v>Pro1</v>
      </c>
      <c r="O1332" s="9"/>
      <c r="P1332" s="9"/>
      <c r="Q1332" s="9"/>
      <c r="R1332" s="9"/>
      <c r="S1332" s="42"/>
      <c r="T1332" s="42"/>
      <c r="U1332" s="42"/>
      <c r="V1332" s="42"/>
      <c r="W1332" s="42"/>
      <c r="X1332" s="42"/>
      <c r="Y1332" s="42"/>
      <c r="Z1332" s="42"/>
      <c r="AA1332" s="42"/>
      <c r="AB1332" s="42" t="str">
        <f>IFERROR(__xludf.DUMMYFUNCTION("""COMPUTED_VALUE"""),"allen institute")</f>
        <v>allen institute</v>
      </c>
      <c r="AC1332" s="42" t="str">
        <f>IFERROR(__xludf.DUMMYFUNCTION("""COMPUTED_VALUE"""),"DHBA")</f>
        <v>DHBA</v>
      </c>
      <c r="AD1332" s="42"/>
      <c r="AE1332" s="42"/>
      <c r="AF1332" s="9"/>
      <c r="AG1332" s="9"/>
      <c r="AH1332" s="42"/>
      <c r="AI1332" s="42"/>
      <c r="AJ1332" s="42"/>
      <c r="AK1332" s="42"/>
      <c r="AL1332" s="42"/>
      <c r="AM1332" s="42"/>
      <c r="AN1332" s="42"/>
      <c r="AO1332" s="63" t="str">
        <f>IFERROR(__xludf.DUMMYFUNCTION("IF(ISBLANK(A1332),,IF(ISBLANK(S1332), A1332&amp;"";"", TEXTJOIN(CHAR(10), TRUE, A1332&amp;"";"", ARRAYFORMULA(VLOOKUP(SPLIT(S1332, "";"" &amp; CHAR(10)), $A:$AO, 41, FALSE)))))"),"Pro1;")</f>
        <v>Pro1;</v>
      </c>
      <c r="AP1332" s="89"/>
    </row>
    <row r="1333">
      <c r="A1333" s="151" t="str">
        <f>IFERROR(__xludf.DUMMYFUNCTION("""COMPUTED_VALUE"""),"Pro2")</f>
        <v>Pro2</v>
      </c>
      <c r="B1333" s="42" t="str">
        <f>IFERROR(__xludf.DUMMYFUNCTION("""COMPUTED_VALUE"""),"DHBA")</f>
        <v>DHBA</v>
      </c>
      <c r="C1333" s="42" t="str">
        <f>IFERROR(__xludf.DUMMYFUNCTION("""COMPUTED_VALUE"""),"layer II of area prostriata")</f>
        <v>layer II of area prostriata</v>
      </c>
      <c r="D1333" s="42">
        <f>IFERROR(__xludf.DUMMYFUNCTION("""COMPUTED_VALUE"""),1260.0)</f>
        <v>1260</v>
      </c>
      <c r="E1333" s="39" t="str">
        <f>IFERROR(__xludf.DUMMYFUNCTION("""COMPUTED_VALUE"""),"layer II of area prostriata")</f>
        <v>layer II of area prostriata</v>
      </c>
      <c r="F1333" s="9" t="str">
        <f>IFERROR(__xludf.DUMMYFUNCTION("""COMPUTED_VALUE"""),"Br")</f>
        <v>Br</v>
      </c>
      <c r="G1333" s="9" t="str">
        <f>IFERROR(__xludf.DUMMYFUNCTION("""COMPUTED_VALUE"""),"F")</f>
        <v>F</v>
      </c>
      <c r="H1333" s="9" t="str">
        <f>IFERROR(__xludf.DUMMYFUNCTION("""COMPUTED_VALUE"""),"FGM")</f>
        <v>FGM</v>
      </c>
      <c r="I1333" s="9" t="str">
        <f>IFERROR(__xludf.DUMMYFUNCTION("""COMPUTED_VALUE"""),"Tel")</f>
        <v>Tel</v>
      </c>
      <c r="J1333" s="9" t="str">
        <f>IFERROR(__xludf.DUMMYFUNCTION("""COMPUTED_VALUE"""),"Cx")</f>
        <v>Cx</v>
      </c>
      <c r="K1333" s="9" t="str">
        <f>IFERROR(__xludf.DUMMYFUNCTION("""COMPUTED_VALUE"""),"NCx")</f>
        <v>NCx</v>
      </c>
      <c r="L1333" s="9" t="str">
        <f>IFERROR(__xludf.DUMMYFUNCTION("""COMPUTED_VALUE"""),"Ocx")</f>
        <v>Ocx</v>
      </c>
      <c r="M1333" s="9" t="str">
        <f>IFERROR(__xludf.DUMMYFUNCTION("""COMPUTED_VALUE"""),"Pro")</f>
        <v>Pro</v>
      </c>
      <c r="N1333" s="9" t="str">
        <f>IFERROR(__xludf.DUMMYFUNCTION("""COMPUTED_VALUE"""),"Pro2")</f>
        <v>Pro2</v>
      </c>
      <c r="O1333" s="9"/>
      <c r="P1333" s="9"/>
      <c r="Q1333" s="9"/>
      <c r="R1333" s="9"/>
      <c r="S1333" s="42"/>
      <c r="T1333" s="42"/>
      <c r="U1333" s="42"/>
      <c r="V1333" s="42"/>
      <c r="W1333" s="42"/>
      <c r="X1333" s="42"/>
      <c r="Y1333" s="42"/>
      <c r="Z1333" s="42"/>
      <c r="AA1333" s="42"/>
      <c r="AB1333" s="42" t="str">
        <f>IFERROR(__xludf.DUMMYFUNCTION("""COMPUTED_VALUE"""),"allen institute")</f>
        <v>allen institute</v>
      </c>
      <c r="AC1333" s="42" t="str">
        <f>IFERROR(__xludf.DUMMYFUNCTION("""COMPUTED_VALUE"""),"DHBA")</f>
        <v>DHBA</v>
      </c>
      <c r="AD1333" s="42"/>
      <c r="AE1333" s="42"/>
      <c r="AF1333" s="9"/>
      <c r="AG1333" s="9"/>
      <c r="AH1333" s="42"/>
      <c r="AI1333" s="42"/>
      <c r="AJ1333" s="42"/>
      <c r="AK1333" s="42"/>
      <c r="AL1333" s="42"/>
      <c r="AM1333" s="42"/>
      <c r="AN1333" s="42"/>
      <c r="AO1333" s="63" t="str">
        <f>IFERROR(__xludf.DUMMYFUNCTION("IF(ISBLANK(A1333),,IF(ISBLANK(S1333), A1333&amp;"";"", TEXTJOIN(CHAR(10), TRUE, A1333&amp;"";"", ARRAYFORMULA(VLOOKUP(SPLIT(S1333, "";"" &amp; CHAR(10)), $A:$AO, 41, FALSE)))))"),"Pro2;")</f>
        <v>Pro2;</v>
      </c>
      <c r="AP1333" s="89"/>
    </row>
    <row r="1334">
      <c r="A1334" s="151" t="str">
        <f>IFERROR(__xludf.DUMMYFUNCTION("""COMPUTED_VALUE"""),"Pro3")</f>
        <v>Pro3</v>
      </c>
      <c r="B1334" s="42" t="str">
        <f>IFERROR(__xludf.DUMMYFUNCTION("""COMPUTED_VALUE"""),"DHBA")</f>
        <v>DHBA</v>
      </c>
      <c r="C1334" s="42" t="str">
        <f>IFERROR(__xludf.DUMMYFUNCTION("""COMPUTED_VALUE"""),"layer III of area prostriata")</f>
        <v>layer III of area prostriata</v>
      </c>
      <c r="D1334" s="42">
        <f>IFERROR(__xludf.DUMMYFUNCTION("""COMPUTED_VALUE"""),1261.0)</f>
        <v>1261</v>
      </c>
      <c r="E1334" s="39" t="str">
        <f>IFERROR(__xludf.DUMMYFUNCTION("""COMPUTED_VALUE"""),"layer III of area prostriata")</f>
        <v>layer III of area prostriata</v>
      </c>
      <c r="F1334" s="9" t="str">
        <f>IFERROR(__xludf.DUMMYFUNCTION("""COMPUTED_VALUE"""),"Br")</f>
        <v>Br</v>
      </c>
      <c r="G1334" s="9" t="str">
        <f>IFERROR(__xludf.DUMMYFUNCTION("""COMPUTED_VALUE"""),"F")</f>
        <v>F</v>
      </c>
      <c r="H1334" s="9" t="str">
        <f>IFERROR(__xludf.DUMMYFUNCTION("""COMPUTED_VALUE"""),"FGM")</f>
        <v>FGM</v>
      </c>
      <c r="I1334" s="9" t="str">
        <f>IFERROR(__xludf.DUMMYFUNCTION("""COMPUTED_VALUE"""),"Tel")</f>
        <v>Tel</v>
      </c>
      <c r="J1334" s="9" t="str">
        <f>IFERROR(__xludf.DUMMYFUNCTION("""COMPUTED_VALUE"""),"Cx")</f>
        <v>Cx</v>
      </c>
      <c r="K1334" s="9" t="str">
        <f>IFERROR(__xludf.DUMMYFUNCTION("""COMPUTED_VALUE"""),"NCx")</f>
        <v>NCx</v>
      </c>
      <c r="L1334" s="9" t="str">
        <f>IFERROR(__xludf.DUMMYFUNCTION("""COMPUTED_VALUE"""),"Ocx")</f>
        <v>Ocx</v>
      </c>
      <c r="M1334" s="9" t="str">
        <f>IFERROR(__xludf.DUMMYFUNCTION("""COMPUTED_VALUE"""),"Pro")</f>
        <v>Pro</v>
      </c>
      <c r="N1334" s="9" t="str">
        <f>IFERROR(__xludf.DUMMYFUNCTION("""COMPUTED_VALUE"""),"Pro3")</f>
        <v>Pro3</v>
      </c>
      <c r="O1334" s="9"/>
      <c r="P1334" s="9"/>
      <c r="Q1334" s="9"/>
      <c r="R1334" s="9"/>
      <c r="S1334" s="42"/>
      <c r="T1334" s="42"/>
      <c r="U1334" s="42"/>
      <c r="V1334" s="42"/>
      <c r="W1334" s="42"/>
      <c r="X1334" s="42"/>
      <c r="Y1334" s="42"/>
      <c r="Z1334" s="42"/>
      <c r="AA1334" s="42"/>
      <c r="AB1334" s="42" t="str">
        <f>IFERROR(__xludf.DUMMYFUNCTION("""COMPUTED_VALUE"""),"allen institute")</f>
        <v>allen institute</v>
      </c>
      <c r="AC1334" s="42" t="str">
        <f>IFERROR(__xludf.DUMMYFUNCTION("""COMPUTED_VALUE"""),"DHBA")</f>
        <v>DHBA</v>
      </c>
      <c r="AD1334" s="42"/>
      <c r="AE1334" s="42"/>
      <c r="AF1334" s="9"/>
      <c r="AG1334" s="9"/>
      <c r="AH1334" s="42"/>
      <c r="AI1334" s="42"/>
      <c r="AJ1334" s="42"/>
      <c r="AK1334" s="42"/>
      <c r="AL1334" s="42"/>
      <c r="AM1334" s="42"/>
      <c r="AN1334" s="42"/>
      <c r="AO1334" s="63" t="str">
        <f>IFERROR(__xludf.DUMMYFUNCTION("IF(ISBLANK(A1334),,IF(ISBLANK(S1334), A1334&amp;"";"", TEXTJOIN(CHAR(10), TRUE, A1334&amp;"";"", ARRAYFORMULA(VLOOKUP(SPLIT(S1334, "";"" &amp; CHAR(10)), $A:$AO, 41, FALSE)))))"),"Pro3;")</f>
        <v>Pro3;</v>
      </c>
      <c r="AP1334" s="89"/>
    </row>
    <row r="1335">
      <c r="A1335" s="151" t="str">
        <f>IFERROR(__xludf.DUMMYFUNCTION("""COMPUTED_VALUE"""),"Pro4")</f>
        <v>Pro4</v>
      </c>
      <c r="B1335" s="42" t="str">
        <f>IFERROR(__xludf.DUMMYFUNCTION("""COMPUTED_VALUE"""),"DHBA")</f>
        <v>DHBA</v>
      </c>
      <c r="C1335" s="42" t="str">
        <f>IFERROR(__xludf.DUMMYFUNCTION("""COMPUTED_VALUE"""),"layer IV of area prostriata")</f>
        <v>layer IV of area prostriata</v>
      </c>
      <c r="D1335" s="42">
        <f>IFERROR(__xludf.DUMMYFUNCTION("""COMPUTED_VALUE"""),1262.0)</f>
        <v>1262</v>
      </c>
      <c r="E1335" s="39" t="str">
        <f>IFERROR(__xludf.DUMMYFUNCTION("""COMPUTED_VALUE"""),"layer IV of area prostriata")</f>
        <v>layer IV of area prostriata</v>
      </c>
      <c r="F1335" s="9" t="str">
        <f>IFERROR(__xludf.DUMMYFUNCTION("""COMPUTED_VALUE"""),"Br")</f>
        <v>Br</v>
      </c>
      <c r="G1335" s="9" t="str">
        <f>IFERROR(__xludf.DUMMYFUNCTION("""COMPUTED_VALUE"""),"F")</f>
        <v>F</v>
      </c>
      <c r="H1335" s="9" t="str">
        <f>IFERROR(__xludf.DUMMYFUNCTION("""COMPUTED_VALUE"""),"FGM")</f>
        <v>FGM</v>
      </c>
      <c r="I1335" s="9" t="str">
        <f>IFERROR(__xludf.DUMMYFUNCTION("""COMPUTED_VALUE"""),"Tel")</f>
        <v>Tel</v>
      </c>
      <c r="J1335" s="9" t="str">
        <f>IFERROR(__xludf.DUMMYFUNCTION("""COMPUTED_VALUE"""),"Cx")</f>
        <v>Cx</v>
      </c>
      <c r="K1335" s="9" t="str">
        <f>IFERROR(__xludf.DUMMYFUNCTION("""COMPUTED_VALUE"""),"NCx")</f>
        <v>NCx</v>
      </c>
      <c r="L1335" s="9" t="str">
        <f>IFERROR(__xludf.DUMMYFUNCTION("""COMPUTED_VALUE"""),"Ocx")</f>
        <v>Ocx</v>
      </c>
      <c r="M1335" s="9" t="str">
        <f>IFERROR(__xludf.DUMMYFUNCTION("""COMPUTED_VALUE"""),"Pro")</f>
        <v>Pro</v>
      </c>
      <c r="N1335" s="9" t="str">
        <f>IFERROR(__xludf.DUMMYFUNCTION("""COMPUTED_VALUE"""),"Pro4")</f>
        <v>Pro4</v>
      </c>
      <c r="O1335" s="9"/>
      <c r="P1335" s="9"/>
      <c r="Q1335" s="9"/>
      <c r="R1335" s="9"/>
      <c r="S1335" s="42"/>
      <c r="T1335" s="42"/>
      <c r="U1335" s="42"/>
      <c r="V1335" s="42"/>
      <c r="W1335" s="42"/>
      <c r="X1335" s="42"/>
      <c r="Y1335" s="42"/>
      <c r="Z1335" s="42"/>
      <c r="AA1335" s="42"/>
      <c r="AB1335" s="42" t="str">
        <f>IFERROR(__xludf.DUMMYFUNCTION("""COMPUTED_VALUE"""),"allen institute")</f>
        <v>allen institute</v>
      </c>
      <c r="AC1335" s="42" t="str">
        <f>IFERROR(__xludf.DUMMYFUNCTION("""COMPUTED_VALUE"""),"DHBA")</f>
        <v>DHBA</v>
      </c>
      <c r="AD1335" s="42"/>
      <c r="AE1335" s="42"/>
      <c r="AF1335" s="9"/>
      <c r="AG1335" s="9"/>
      <c r="AH1335" s="42"/>
      <c r="AI1335" s="42"/>
      <c r="AJ1335" s="42"/>
      <c r="AK1335" s="42"/>
      <c r="AL1335" s="42"/>
      <c r="AM1335" s="42"/>
      <c r="AN1335" s="42"/>
      <c r="AO1335" s="63" t="str">
        <f>IFERROR(__xludf.DUMMYFUNCTION("IF(ISBLANK(A1335),,IF(ISBLANK(S1335), A1335&amp;"";"", TEXTJOIN(CHAR(10), TRUE, A1335&amp;"";"", ARRAYFORMULA(VLOOKUP(SPLIT(S1335, "";"" &amp; CHAR(10)), $A:$AO, 41, FALSE)))))"),"Pro4;")</f>
        <v>Pro4;</v>
      </c>
      <c r="AP1335" s="89"/>
    </row>
    <row r="1336">
      <c r="A1336" s="151" t="str">
        <f>IFERROR(__xludf.DUMMYFUNCTION("""COMPUTED_VALUE"""),"Pro5")</f>
        <v>Pro5</v>
      </c>
      <c r="B1336" s="42" t="str">
        <f>IFERROR(__xludf.DUMMYFUNCTION("""COMPUTED_VALUE"""),"DHBA")</f>
        <v>DHBA</v>
      </c>
      <c r="C1336" s="42" t="str">
        <f>IFERROR(__xludf.DUMMYFUNCTION("""COMPUTED_VALUE"""),"layer V of area prostriata")</f>
        <v>layer V of area prostriata</v>
      </c>
      <c r="D1336" s="42">
        <f>IFERROR(__xludf.DUMMYFUNCTION("""COMPUTED_VALUE"""),1263.0)</f>
        <v>1263</v>
      </c>
      <c r="E1336" s="39" t="str">
        <f>IFERROR(__xludf.DUMMYFUNCTION("""COMPUTED_VALUE"""),"layer V of area prostriata")</f>
        <v>layer V of area prostriata</v>
      </c>
      <c r="F1336" s="9" t="str">
        <f>IFERROR(__xludf.DUMMYFUNCTION("""COMPUTED_VALUE"""),"Br")</f>
        <v>Br</v>
      </c>
      <c r="G1336" s="9" t="str">
        <f>IFERROR(__xludf.DUMMYFUNCTION("""COMPUTED_VALUE"""),"F")</f>
        <v>F</v>
      </c>
      <c r="H1336" s="9" t="str">
        <f>IFERROR(__xludf.DUMMYFUNCTION("""COMPUTED_VALUE"""),"FGM")</f>
        <v>FGM</v>
      </c>
      <c r="I1336" s="9" t="str">
        <f>IFERROR(__xludf.DUMMYFUNCTION("""COMPUTED_VALUE"""),"Tel")</f>
        <v>Tel</v>
      </c>
      <c r="J1336" s="9" t="str">
        <f>IFERROR(__xludf.DUMMYFUNCTION("""COMPUTED_VALUE"""),"Cx")</f>
        <v>Cx</v>
      </c>
      <c r="K1336" s="9" t="str">
        <f>IFERROR(__xludf.DUMMYFUNCTION("""COMPUTED_VALUE"""),"NCx")</f>
        <v>NCx</v>
      </c>
      <c r="L1336" s="9" t="str">
        <f>IFERROR(__xludf.DUMMYFUNCTION("""COMPUTED_VALUE"""),"Ocx")</f>
        <v>Ocx</v>
      </c>
      <c r="M1336" s="9" t="str">
        <f>IFERROR(__xludf.DUMMYFUNCTION("""COMPUTED_VALUE"""),"Pro")</f>
        <v>Pro</v>
      </c>
      <c r="N1336" s="9" t="str">
        <f>IFERROR(__xludf.DUMMYFUNCTION("""COMPUTED_VALUE"""),"Pro5")</f>
        <v>Pro5</v>
      </c>
      <c r="O1336" s="9"/>
      <c r="P1336" s="9"/>
      <c r="Q1336" s="9"/>
      <c r="R1336" s="9"/>
      <c r="S1336" s="42"/>
      <c r="T1336" s="42"/>
      <c r="U1336" s="42"/>
      <c r="V1336" s="42"/>
      <c r="W1336" s="42"/>
      <c r="X1336" s="42"/>
      <c r="Y1336" s="42"/>
      <c r="Z1336" s="42"/>
      <c r="AA1336" s="42"/>
      <c r="AB1336" s="42" t="str">
        <f>IFERROR(__xludf.DUMMYFUNCTION("""COMPUTED_VALUE"""),"allen institute")</f>
        <v>allen institute</v>
      </c>
      <c r="AC1336" s="42" t="str">
        <f>IFERROR(__xludf.DUMMYFUNCTION("""COMPUTED_VALUE"""),"DHBA")</f>
        <v>DHBA</v>
      </c>
      <c r="AD1336" s="42"/>
      <c r="AE1336" s="42"/>
      <c r="AF1336" s="9"/>
      <c r="AG1336" s="9"/>
      <c r="AH1336" s="42"/>
      <c r="AI1336" s="42"/>
      <c r="AJ1336" s="42"/>
      <c r="AK1336" s="42"/>
      <c r="AL1336" s="42"/>
      <c r="AM1336" s="42"/>
      <c r="AN1336" s="42"/>
      <c r="AO1336" s="63" t="str">
        <f>IFERROR(__xludf.DUMMYFUNCTION("IF(ISBLANK(A1336),,IF(ISBLANK(S1336), A1336&amp;"";"", TEXTJOIN(CHAR(10), TRUE, A1336&amp;"";"", ARRAYFORMULA(VLOOKUP(SPLIT(S1336, "";"" &amp; CHAR(10)), $A:$AO, 41, FALSE)))))"),"Pro5;")</f>
        <v>Pro5;</v>
      </c>
      <c r="AP1336" s="89"/>
    </row>
    <row r="1337">
      <c r="A1337" s="151" t="str">
        <f>IFERROR(__xludf.DUMMYFUNCTION("""COMPUTED_VALUE"""),"Pro6")</f>
        <v>Pro6</v>
      </c>
      <c r="B1337" s="42" t="str">
        <f>IFERROR(__xludf.DUMMYFUNCTION("""COMPUTED_VALUE"""),"DHBA")</f>
        <v>DHBA</v>
      </c>
      <c r="C1337" s="42" t="str">
        <f>IFERROR(__xludf.DUMMYFUNCTION("""COMPUTED_VALUE"""),"layer VI of area prostriata")</f>
        <v>layer VI of area prostriata</v>
      </c>
      <c r="D1337" s="42">
        <f>IFERROR(__xludf.DUMMYFUNCTION("""COMPUTED_VALUE"""),1264.0)</f>
        <v>1264</v>
      </c>
      <c r="E1337" s="39" t="str">
        <f>IFERROR(__xludf.DUMMYFUNCTION("""COMPUTED_VALUE"""),"layer VI of area prostriata")</f>
        <v>layer VI of area prostriata</v>
      </c>
      <c r="F1337" s="9" t="str">
        <f>IFERROR(__xludf.DUMMYFUNCTION("""COMPUTED_VALUE"""),"Br")</f>
        <v>Br</v>
      </c>
      <c r="G1337" s="9" t="str">
        <f>IFERROR(__xludf.DUMMYFUNCTION("""COMPUTED_VALUE"""),"F")</f>
        <v>F</v>
      </c>
      <c r="H1337" s="9" t="str">
        <f>IFERROR(__xludf.DUMMYFUNCTION("""COMPUTED_VALUE"""),"FGM")</f>
        <v>FGM</v>
      </c>
      <c r="I1337" s="9" t="str">
        <f>IFERROR(__xludf.DUMMYFUNCTION("""COMPUTED_VALUE"""),"Tel")</f>
        <v>Tel</v>
      </c>
      <c r="J1337" s="9" t="str">
        <f>IFERROR(__xludf.DUMMYFUNCTION("""COMPUTED_VALUE"""),"Cx")</f>
        <v>Cx</v>
      </c>
      <c r="K1337" s="9" t="str">
        <f>IFERROR(__xludf.DUMMYFUNCTION("""COMPUTED_VALUE"""),"NCx")</f>
        <v>NCx</v>
      </c>
      <c r="L1337" s="9" t="str">
        <f>IFERROR(__xludf.DUMMYFUNCTION("""COMPUTED_VALUE"""),"Ocx")</f>
        <v>Ocx</v>
      </c>
      <c r="M1337" s="9" t="str">
        <f>IFERROR(__xludf.DUMMYFUNCTION("""COMPUTED_VALUE"""),"Pro")</f>
        <v>Pro</v>
      </c>
      <c r="N1337" s="9" t="str">
        <f>IFERROR(__xludf.DUMMYFUNCTION("""COMPUTED_VALUE"""),"Pro6")</f>
        <v>Pro6</v>
      </c>
      <c r="O1337" s="9"/>
      <c r="P1337" s="9"/>
      <c r="Q1337" s="9"/>
      <c r="R1337" s="9"/>
      <c r="S1337" s="42"/>
      <c r="T1337" s="42"/>
      <c r="U1337" s="42"/>
      <c r="V1337" s="42"/>
      <c r="W1337" s="42"/>
      <c r="X1337" s="42"/>
      <c r="Y1337" s="42"/>
      <c r="Z1337" s="42"/>
      <c r="AA1337" s="42"/>
      <c r="AB1337" s="42" t="str">
        <f>IFERROR(__xludf.DUMMYFUNCTION("""COMPUTED_VALUE"""),"allen institute")</f>
        <v>allen institute</v>
      </c>
      <c r="AC1337" s="42" t="str">
        <f>IFERROR(__xludf.DUMMYFUNCTION("""COMPUTED_VALUE"""),"DHBA")</f>
        <v>DHBA</v>
      </c>
      <c r="AD1337" s="42"/>
      <c r="AE1337" s="42"/>
      <c r="AF1337" s="9"/>
      <c r="AG1337" s="9"/>
      <c r="AH1337" s="42"/>
      <c r="AI1337" s="42"/>
      <c r="AJ1337" s="42"/>
      <c r="AK1337" s="42"/>
      <c r="AL1337" s="42"/>
      <c r="AM1337" s="42"/>
      <c r="AN1337" s="42"/>
      <c r="AO1337" s="63" t="str">
        <f>IFERROR(__xludf.DUMMYFUNCTION("IF(ISBLANK(A1337),,IF(ISBLANK(S1337), A1337&amp;"";"", TEXTJOIN(CHAR(10), TRUE, A1337&amp;"";"", ARRAYFORMULA(VLOOKUP(SPLIT(S1337, "";"" &amp; CHAR(10)), $A:$AO, 41, FALSE)))))"),"Pro6;")</f>
        <v>Pro6;</v>
      </c>
      <c r="AP1337" s="89"/>
    </row>
    <row r="1338">
      <c r="A1338" s="151" t="str">
        <f>IFERROR(__xludf.DUMMYFUNCTION("""COMPUTED_VALUE"""),"V1C")</f>
        <v>V1C</v>
      </c>
      <c r="B1338" s="42" t="str">
        <f>IFERROR(__xludf.DUMMYFUNCTION("""COMPUTED_VALUE"""),"DHBA")</f>
        <v>DHBA</v>
      </c>
      <c r="C1338" s="42" t="str">
        <f>IFERROR(__xludf.DUMMYFUNCTION("""COMPUTED_VALUE"""),"primary visual cortex (striate cortex, area V1/17)")</f>
        <v>primary visual cortex (striate cortex, area V1/17)</v>
      </c>
      <c r="D1338" s="42">
        <f>IFERROR(__xludf.DUMMYFUNCTION("""COMPUTED_VALUE"""),1265.0)</f>
        <v>1265</v>
      </c>
      <c r="E1338" s="39" t="str">
        <f>IFERROR(__xludf.DUMMYFUNCTION("""COMPUTED_VALUE"""),"primary visual cortex (striate cortex, area V1/17)")</f>
        <v>primary visual cortex (striate cortex, area V1/17)</v>
      </c>
      <c r="F1338" s="9" t="str">
        <f>IFERROR(__xludf.DUMMYFUNCTION("""COMPUTED_VALUE"""),"Br")</f>
        <v>Br</v>
      </c>
      <c r="G1338" s="9" t="str">
        <f>IFERROR(__xludf.DUMMYFUNCTION("""COMPUTED_VALUE"""),"F")</f>
        <v>F</v>
      </c>
      <c r="H1338" s="9" t="str">
        <f>IFERROR(__xludf.DUMMYFUNCTION("""COMPUTED_VALUE"""),"FGM")</f>
        <v>FGM</v>
      </c>
      <c r="I1338" s="9" t="str">
        <f>IFERROR(__xludf.DUMMYFUNCTION("""COMPUTED_VALUE"""),"Tel")</f>
        <v>Tel</v>
      </c>
      <c r="J1338" s="9" t="str">
        <f>IFERROR(__xludf.DUMMYFUNCTION("""COMPUTED_VALUE"""),"Cx")</f>
        <v>Cx</v>
      </c>
      <c r="K1338" s="9" t="str">
        <f>IFERROR(__xludf.DUMMYFUNCTION("""COMPUTED_VALUE"""),"NCx")</f>
        <v>NCx</v>
      </c>
      <c r="L1338" s="9" t="str">
        <f>IFERROR(__xludf.DUMMYFUNCTION("""COMPUTED_VALUE"""),"Ocx")</f>
        <v>Ocx</v>
      </c>
      <c r="M1338" s="9" t="str">
        <f>IFERROR(__xludf.DUMMYFUNCTION("""COMPUTED_VALUE"""),"V1C")</f>
        <v>V1C</v>
      </c>
      <c r="N1338" s="9"/>
      <c r="O1338" s="9"/>
      <c r="P1338" s="9"/>
      <c r="Q1338" s="9"/>
      <c r="R1338" s="9"/>
      <c r="S1338" s="42" t="str">
        <f>IFERROR(__xludf.DUMMYFUNCTION("""COMPUTED_VALUE"""),"V1_1;
V1_2;
V1_3;
V1_4;
V1_5;
V1_6")</f>
        <v>V1_1;
V1_2;
V1_3;
V1_4;
V1_5;
V1_6</v>
      </c>
      <c r="T1338" s="42"/>
      <c r="U1338" s="42" t="b">
        <f>IFERROR(__xludf.DUMMYFUNCTION("""COMPUTED_VALUE"""),FALSE)</f>
        <v>0</v>
      </c>
      <c r="V1338" s="42"/>
      <c r="W1338" s="42"/>
      <c r="X1338" s="42"/>
      <c r="Y1338" s="42"/>
      <c r="Z1338" s="42"/>
      <c r="AA1338" s="42"/>
      <c r="AB1338" s="42" t="str">
        <f>IFERROR(__xludf.DUMMYFUNCTION("""COMPUTED_VALUE"""),"allen institute")</f>
        <v>allen institute</v>
      </c>
      <c r="AC1338" s="42" t="str">
        <f>IFERROR(__xludf.DUMMYFUNCTION("""COMPUTED_VALUE"""),"DHBA")</f>
        <v>DHBA</v>
      </c>
      <c r="AD1338" s="42"/>
      <c r="AE1338" s="42"/>
      <c r="AF1338" s="9"/>
      <c r="AG1338" s="9"/>
      <c r="AH1338" s="42"/>
      <c r="AI1338" s="42"/>
      <c r="AJ1338" s="42"/>
      <c r="AK1338" s="42"/>
      <c r="AL1338" s="42"/>
      <c r="AM1338" s="42"/>
      <c r="AN1338" s="42"/>
      <c r="AO1338" s="63" t="str">
        <f>IFERROR(__xludf.DUMMYFUNCTION("IF(ISBLANK(A1338),,IF(ISBLANK(S1338), A1338&amp;"";"", TEXTJOIN(CHAR(10), TRUE, A1338&amp;"";"", ARRAYFORMULA(VLOOKUP(SPLIT(S1338, "";"" &amp; CHAR(10)), $A:$AO, 41, FALSE)))))"),"#N/A")</f>
        <v>#N/A</v>
      </c>
      <c r="AP1338" s="89"/>
    </row>
    <row r="1339">
      <c r="A1339" s="151" t="str">
        <f>IFERROR(__xludf.DUMMYFUNCTION("""COMPUTED_VALUE"""),"V1-1")</f>
        <v>V1-1</v>
      </c>
      <c r="B1339" s="42" t="str">
        <f>IFERROR(__xludf.DUMMYFUNCTION("""COMPUTED_VALUE"""),"DHBA")</f>
        <v>DHBA</v>
      </c>
      <c r="C1339" s="42" t="str">
        <f>IFERROR(__xludf.DUMMYFUNCTION("""COMPUTED_VALUE"""),"layer I of area 17")</f>
        <v>layer I of area 17</v>
      </c>
      <c r="D1339" s="42">
        <f>IFERROR(__xludf.DUMMYFUNCTION("""COMPUTED_VALUE"""),1266.0)</f>
        <v>1266</v>
      </c>
      <c r="E1339" s="39" t="str">
        <f>IFERROR(__xludf.DUMMYFUNCTION("""COMPUTED_VALUE"""),"layer I of area 17")</f>
        <v>layer I of area 17</v>
      </c>
      <c r="F1339" s="9" t="str">
        <f>IFERROR(__xludf.DUMMYFUNCTION("""COMPUTED_VALUE"""),"Br")</f>
        <v>Br</v>
      </c>
      <c r="G1339" s="9" t="str">
        <f>IFERROR(__xludf.DUMMYFUNCTION("""COMPUTED_VALUE"""),"F")</f>
        <v>F</v>
      </c>
      <c r="H1339" s="9" t="str">
        <f>IFERROR(__xludf.DUMMYFUNCTION("""COMPUTED_VALUE"""),"FGM")</f>
        <v>FGM</v>
      </c>
      <c r="I1339" s="9" t="str">
        <f>IFERROR(__xludf.DUMMYFUNCTION("""COMPUTED_VALUE"""),"Tel")</f>
        <v>Tel</v>
      </c>
      <c r="J1339" s="9" t="str">
        <f>IFERROR(__xludf.DUMMYFUNCTION("""COMPUTED_VALUE"""),"Cx")</f>
        <v>Cx</v>
      </c>
      <c r="K1339" s="9" t="str">
        <f>IFERROR(__xludf.DUMMYFUNCTION("""COMPUTED_VALUE"""),"NCx")</f>
        <v>NCx</v>
      </c>
      <c r="L1339" s="9" t="str">
        <f>IFERROR(__xludf.DUMMYFUNCTION("""COMPUTED_VALUE"""),"Ocx")</f>
        <v>Ocx</v>
      </c>
      <c r="M1339" s="9" t="str">
        <f>IFERROR(__xludf.DUMMYFUNCTION("""COMPUTED_VALUE"""),"V1C")</f>
        <v>V1C</v>
      </c>
      <c r="N1339" s="9" t="str">
        <f>IFERROR(__xludf.DUMMYFUNCTION("""COMPUTED_VALUE"""),"V1-1")</f>
        <v>V1-1</v>
      </c>
      <c r="O1339" s="9"/>
      <c r="P1339" s="9"/>
      <c r="Q1339" s="9"/>
      <c r="R1339" s="9"/>
      <c r="S1339" s="42"/>
      <c r="T1339" s="42"/>
      <c r="U1339" s="42"/>
      <c r="V1339" s="42"/>
      <c r="W1339" s="42"/>
      <c r="X1339" s="42"/>
      <c r="Y1339" s="42"/>
      <c r="Z1339" s="42"/>
      <c r="AA1339" s="42"/>
      <c r="AB1339" s="42" t="str">
        <f>IFERROR(__xludf.DUMMYFUNCTION("""COMPUTED_VALUE"""),"allen institute")</f>
        <v>allen institute</v>
      </c>
      <c r="AC1339" s="42" t="str">
        <f>IFERROR(__xludf.DUMMYFUNCTION("""COMPUTED_VALUE"""),"DHBA")</f>
        <v>DHBA</v>
      </c>
      <c r="AD1339" s="42"/>
      <c r="AE1339" s="42"/>
      <c r="AF1339" s="9"/>
      <c r="AG1339" s="9"/>
      <c r="AH1339" s="42"/>
      <c r="AI1339" s="42"/>
      <c r="AJ1339" s="42"/>
      <c r="AK1339" s="42"/>
      <c r="AL1339" s="42"/>
      <c r="AM1339" s="42"/>
      <c r="AN1339" s="42"/>
      <c r="AO1339" s="63" t="str">
        <f>IFERROR(__xludf.DUMMYFUNCTION("IF(ISBLANK(A1339),,IF(ISBLANK(S1339), A1339&amp;"";"", TEXTJOIN(CHAR(10), TRUE, A1339&amp;"";"", ARRAYFORMULA(VLOOKUP(SPLIT(S1339, "";"" &amp; CHAR(10)), $A:$AO, 41, FALSE)))))"),"V1-1;")</f>
        <v>V1-1;</v>
      </c>
      <c r="AP1339" s="89"/>
    </row>
    <row r="1340">
      <c r="A1340" s="151" t="str">
        <f>IFERROR(__xludf.DUMMYFUNCTION("""COMPUTED_VALUE"""),"V1-2")</f>
        <v>V1-2</v>
      </c>
      <c r="B1340" s="42" t="str">
        <f>IFERROR(__xludf.DUMMYFUNCTION("""COMPUTED_VALUE"""),"DHBA")</f>
        <v>DHBA</v>
      </c>
      <c r="C1340" s="42" t="str">
        <f>IFERROR(__xludf.DUMMYFUNCTION("""COMPUTED_VALUE"""),"layer II of area 17")</f>
        <v>layer II of area 17</v>
      </c>
      <c r="D1340" s="42">
        <f>IFERROR(__xludf.DUMMYFUNCTION("""COMPUTED_VALUE"""),1267.0)</f>
        <v>1267</v>
      </c>
      <c r="E1340" s="39" t="str">
        <f>IFERROR(__xludf.DUMMYFUNCTION("""COMPUTED_VALUE"""),"layer II of area 17")</f>
        <v>layer II of area 17</v>
      </c>
      <c r="F1340" s="9" t="str">
        <f>IFERROR(__xludf.DUMMYFUNCTION("""COMPUTED_VALUE"""),"Br")</f>
        <v>Br</v>
      </c>
      <c r="G1340" s="9" t="str">
        <f>IFERROR(__xludf.DUMMYFUNCTION("""COMPUTED_VALUE"""),"F")</f>
        <v>F</v>
      </c>
      <c r="H1340" s="9" t="str">
        <f>IFERROR(__xludf.DUMMYFUNCTION("""COMPUTED_VALUE"""),"FGM")</f>
        <v>FGM</v>
      </c>
      <c r="I1340" s="9" t="str">
        <f>IFERROR(__xludf.DUMMYFUNCTION("""COMPUTED_VALUE"""),"Tel")</f>
        <v>Tel</v>
      </c>
      <c r="J1340" s="9" t="str">
        <f>IFERROR(__xludf.DUMMYFUNCTION("""COMPUTED_VALUE"""),"Cx")</f>
        <v>Cx</v>
      </c>
      <c r="K1340" s="9" t="str">
        <f>IFERROR(__xludf.DUMMYFUNCTION("""COMPUTED_VALUE"""),"NCx")</f>
        <v>NCx</v>
      </c>
      <c r="L1340" s="9" t="str">
        <f>IFERROR(__xludf.DUMMYFUNCTION("""COMPUTED_VALUE"""),"Ocx")</f>
        <v>Ocx</v>
      </c>
      <c r="M1340" s="9" t="str">
        <f>IFERROR(__xludf.DUMMYFUNCTION("""COMPUTED_VALUE"""),"V1C")</f>
        <v>V1C</v>
      </c>
      <c r="N1340" s="9" t="str">
        <f>IFERROR(__xludf.DUMMYFUNCTION("""COMPUTED_VALUE"""),"V1-2")</f>
        <v>V1-2</v>
      </c>
      <c r="O1340" s="9"/>
      <c r="P1340" s="9"/>
      <c r="Q1340" s="9"/>
      <c r="R1340" s="9"/>
      <c r="S1340" s="42"/>
      <c r="T1340" s="42"/>
      <c r="U1340" s="42"/>
      <c r="V1340" s="42"/>
      <c r="W1340" s="42"/>
      <c r="X1340" s="42"/>
      <c r="Y1340" s="42"/>
      <c r="Z1340" s="42"/>
      <c r="AA1340" s="42"/>
      <c r="AB1340" s="42" t="str">
        <f>IFERROR(__xludf.DUMMYFUNCTION("""COMPUTED_VALUE"""),"allen institute")</f>
        <v>allen institute</v>
      </c>
      <c r="AC1340" s="42" t="str">
        <f>IFERROR(__xludf.DUMMYFUNCTION("""COMPUTED_VALUE"""),"DHBA")</f>
        <v>DHBA</v>
      </c>
      <c r="AD1340" s="42"/>
      <c r="AE1340" s="42"/>
      <c r="AF1340" s="9"/>
      <c r="AG1340" s="9"/>
      <c r="AH1340" s="42"/>
      <c r="AI1340" s="42"/>
      <c r="AJ1340" s="42"/>
      <c r="AK1340" s="42"/>
      <c r="AL1340" s="42"/>
      <c r="AM1340" s="42"/>
      <c r="AN1340" s="42"/>
      <c r="AO1340" s="63" t="str">
        <f>IFERROR(__xludf.DUMMYFUNCTION("IF(ISBLANK(A1340),,IF(ISBLANK(S1340), A1340&amp;"";"", TEXTJOIN(CHAR(10), TRUE, A1340&amp;"";"", ARRAYFORMULA(VLOOKUP(SPLIT(S1340, "";"" &amp; CHAR(10)), $A:$AO, 41, FALSE)))))"),"V1-2;")</f>
        <v>V1-2;</v>
      </c>
      <c r="AP1340" s="89"/>
    </row>
    <row r="1341">
      <c r="A1341" s="151" t="str">
        <f>IFERROR(__xludf.DUMMYFUNCTION("""COMPUTED_VALUE"""),"V1-3")</f>
        <v>V1-3</v>
      </c>
      <c r="B1341" s="42" t="str">
        <f>IFERROR(__xludf.DUMMYFUNCTION("""COMPUTED_VALUE"""),"DHBA")</f>
        <v>DHBA</v>
      </c>
      <c r="C1341" s="42" t="str">
        <f>IFERROR(__xludf.DUMMYFUNCTION("""COMPUTED_VALUE"""),"layer III of area 17")</f>
        <v>layer III of area 17</v>
      </c>
      <c r="D1341" s="42">
        <f>IFERROR(__xludf.DUMMYFUNCTION("""COMPUTED_VALUE"""),1268.0)</f>
        <v>1268</v>
      </c>
      <c r="E1341" s="39" t="str">
        <f>IFERROR(__xludf.DUMMYFUNCTION("""COMPUTED_VALUE"""),"layer III of area 17")</f>
        <v>layer III of area 17</v>
      </c>
      <c r="F1341" s="9" t="str">
        <f>IFERROR(__xludf.DUMMYFUNCTION("""COMPUTED_VALUE"""),"Br")</f>
        <v>Br</v>
      </c>
      <c r="G1341" s="9" t="str">
        <f>IFERROR(__xludf.DUMMYFUNCTION("""COMPUTED_VALUE"""),"F")</f>
        <v>F</v>
      </c>
      <c r="H1341" s="9" t="str">
        <f>IFERROR(__xludf.DUMMYFUNCTION("""COMPUTED_VALUE"""),"FGM")</f>
        <v>FGM</v>
      </c>
      <c r="I1341" s="9" t="str">
        <f>IFERROR(__xludf.DUMMYFUNCTION("""COMPUTED_VALUE"""),"Tel")</f>
        <v>Tel</v>
      </c>
      <c r="J1341" s="9" t="str">
        <f>IFERROR(__xludf.DUMMYFUNCTION("""COMPUTED_VALUE"""),"Cx")</f>
        <v>Cx</v>
      </c>
      <c r="K1341" s="9" t="str">
        <f>IFERROR(__xludf.DUMMYFUNCTION("""COMPUTED_VALUE"""),"NCx")</f>
        <v>NCx</v>
      </c>
      <c r="L1341" s="9" t="str">
        <f>IFERROR(__xludf.DUMMYFUNCTION("""COMPUTED_VALUE"""),"Ocx")</f>
        <v>Ocx</v>
      </c>
      <c r="M1341" s="9" t="str">
        <f>IFERROR(__xludf.DUMMYFUNCTION("""COMPUTED_VALUE"""),"V1C")</f>
        <v>V1C</v>
      </c>
      <c r="N1341" s="9" t="str">
        <f>IFERROR(__xludf.DUMMYFUNCTION("""COMPUTED_VALUE"""),"V1-3")</f>
        <v>V1-3</v>
      </c>
      <c r="O1341" s="9"/>
      <c r="P1341" s="9"/>
      <c r="Q1341" s="9"/>
      <c r="R1341" s="9"/>
      <c r="S1341" s="42"/>
      <c r="T1341" s="42"/>
      <c r="U1341" s="42"/>
      <c r="V1341" s="42"/>
      <c r="W1341" s="42"/>
      <c r="X1341" s="42"/>
      <c r="Y1341" s="42"/>
      <c r="Z1341" s="42"/>
      <c r="AA1341" s="42"/>
      <c r="AB1341" s="42" t="str">
        <f>IFERROR(__xludf.DUMMYFUNCTION("""COMPUTED_VALUE"""),"allen institute")</f>
        <v>allen institute</v>
      </c>
      <c r="AC1341" s="42" t="str">
        <f>IFERROR(__xludf.DUMMYFUNCTION("""COMPUTED_VALUE"""),"DHBA")</f>
        <v>DHBA</v>
      </c>
      <c r="AD1341" s="42"/>
      <c r="AE1341" s="42"/>
      <c r="AF1341" s="9"/>
      <c r="AG1341" s="9"/>
      <c r="AH1341" s="42"/>
      <c r="AI1341" s="42"/>
      <c r="AJ1341" s="42"/>
      <c r="AK1341" s="42"/>
      <c r="AL1341" s="42"/>
      <c r="AM1341" s="42"/>
      <c r="AN1341" s="42"/>
      <c r="AO1341" s="63" t="str">
        <f>IFERROR(__xludf.DUMMYFUNCTION("IF(ISBLANK(A1341),,IF(ISBLANK(S1341), A1341&amp;"";"", TEXTJOIN(CHAR(10), TRUE, A1341&amp;"";"", ARRAYFORMULA(VLOOKUP(SPLIT(S1341, "";"" &amp; CHAR(10)), $A:$AO, 41, FALSE)))))"),"V1-3;")</f>
        <v>V1-3;</v>
      </c>
      <c r="AP1341" s="89"/>
    </row>
    <row r="1342">
      <c r="A1342" s="151" t="str">
        <f>IFERROR(__xludf.DUMMYFUNCTION("""COMPUTED_VALUE"""),"V1-4")</f>
        <v>V1-4</v>
      </c>
      <c r="B1342" s="42" t="str">
        <f>IFERROR(__xludf.DUMMYFUNCTION("""COMPUTED_VALUE"""),"DHBA")</f>
        <v>DHBA</v>
      </c>
      <c r="C1342" s="42" t="str">
        <f>IFERROR(__xludf.DUMMYFUNCTION("""COMPUTED_VALUE"""),"layer IV of area 17")</f>
        <v>layer IV of area 17</v>
      </c>
      <c r="D1342" s="42">
        <f>IFERROR(__xludf.DUMMYFUNCTION("""COMPUTED_VALUE"""),1269.0)</f>
        <v>1269</v>
      </c>
      <c r="E1342" s="39" t="str">
        <f>IFERROR(__xludf.DUMMYFUNCTION("""COMPUTED_VALUE"""),"layer IV of area 17")</f>
        <v>layer IV of area 17</v>
      </c>
      <c r="F1342" s="9" t="str">
        <f>IFERROR(__xludf.DUMMYFUNCTION("""COMPUTED_VALUE"""),"Br")</f>
        <v>Br</v>
      </c>
      <c r="G1342" s="9" t="str">
        <f>IFERROR(__xludf.DUMMYFUNCTION("""COMPUTED_VALUE"""),"F")</f>
        <v>F</v>
      </c>
      <c r="H1342" s="9" t="str">
        <f>IFERROR(__xludf.DUMMYFUNCTION("""COMPUTED_VALUE"""),"FGM")</f>
        <v>FGM</v>
      </c>
      <c r="I1342" s="9" t="str">
        <f>IFERROR(__xludf.DUMMYFUNCTION("""COMPUTED_VALUE"""),"Tel")</f>
        <v>Tel</v>
      </c>
      <c r="J1342" s="9" t="str">
        <f>IFERROR(__xludf.DUMMYFUNCTION("""COMPUTED_VALUE"""),"Cx")</f>
        <v>Cx</v>
      </c>
      <c r="K1342" s="9" t="str">
        <f>IFERROR(__xludf.DUMMYFUNCTION("""COMPUTED_VALUE"""),"NCx")</f>
        <v>NCx</v>
      </c>
      <c r="L1342" s="9" t="str">
        <f>IFERROR(__xludf.DUMMYFUNCTION("""COMPUTED_VALUE"""),"Ocx")</f>
        <v>Ocx</v>
      </c>
      <c r="M1342" s="9" t="str">
        <f>IFERROR(__xludf.DUMMYFUNCTION("""COMPUTED_VALUE"""),"V1C")</f>
        <v>V1C</v>
      </c>
      <c r="N1342" s="9" t="str">
        <f>IFERROR(__xludf.DUMMYFUNCTION("""COMPUTED_VALUE"""),"V1-4")</f>
        <v>V1-4</v>
      </c>
      <c r="O1342" s="9"/>
      <c r="P1342" s="9"/>
      <c r="Q1342" s="9"/>
      <c r="R1342" s="9"/>
      <c r="S1342" s="42"/>
      <c r="T1342" s="42"/>
      <c r="U1342" s="42"/>
      <c r="V1342" s="42"/>
      <c r="W1342" s="42"/>
      <c r="X1342" s="42"/>
      <c r="Y1342" s="42"/>
      <c r="Z1342" s="42"/>
      <c r="AA1342" s="42"/>
      <c r="AB1342" s="42" t="str">
        <f>IFERROR(__xludf.DUMMYFUNCTION("""COMPUTED_VALUE"""),"allen institute")</f>
        <v>allen institute</v>
      </c>
      <c r="AC1342" s="42" t="str">
        <f>IFERROR(__xludf.DUMMYFUNCTION("""COMPUTED_VALUE"""),"DHBA")</f>
        <v>DHBA</v>
      </c>
      <c r="AD1342" s="42"/>
      <c r="AE1342" s="42"/>
      <c r="AF1342" s="9"/>
      <c r="AG1342" s="9"/>
      <c r="AH1342" s="42"/>
      <c r="AI1342" s="42"/>
      <c r="AJ1342" s="42"/>
      <c r="AK1342" s="42"/>
      <c r="AL1342" s="42"/>
      <c r="AM1342" s="42"/>
      <c r="AN1342" s="42"/>
      <c r="AO1342" s="63" t="str">
        <f>IFERROR(__xludf.DUMMYFUNCTION("IF(ISBLANK(A1342),,IF(ISBLANK(S1342), A1342&amp;"";"", TEXTJOIN(CHAR(10), TRUE, A1342&amp;"";"", ARRAYFORMULA(VLOOKUP(SPLIT(S1342, "";"" &amp; CHAR(10)), $A:$AO, 41, FALSE)))))"),"V1-4;")</f>
        <v>V1-4;</v>
      </c>
      <c r="AP1342" s="89"/>
    </row>
    <row r="1343">
      <c r="A1343" s="151" t="str">
        <f>IFERROR(__xludf.DUMMYFUNCTION("""COMPUTED_VALUE"""),"V1-4A")</f>
        <v>V1-4A</v>
      </c>
      <c r="B1343" s="42" t="str">
        <f>IFERROR(__xludf.DUMMYFUNCTION("""COMPUTED_VALUE"""),"DHBA")</f>
        <v>DHBA</v>
      </c>
      <c r="C1343" s="42" t="str">
        <f>IFERROR(__xludf.DUMMYFUNCTION("""COMPUTED_VALUE"""),"layer IVA of area 17")</f>
        <v>layer IVA of area 17</v>
      </c>
      <c r="D1343" s="42">
        <f>IFERROR(__xludf.DUMMYFUNCTION("""COMPUTED_VALUE"""),1270.0)</f>
        <v>1270</v>
      </c>
      <c r="E1343" s="39" t="str">
        <f>IFERROR(__xludf.DUMMYFUNCTION("""COMPUTED_VALUE"""),"layer IVA of area 17")</f>
        <v>layer IVA of area 17</v>
      </c>
      <c r="F1343" s="9" t="str">
        <f>IFERROR(__xludf.DUMMYFUNCTION("""COMPUTED_VALUE"""),"Br")</f>
        <v>Br</v>
      </c>
      <c r="G1343" s="9" t="str">
        <f>IFERROR(__xludf.DUMMYFUNCTION("""COMPUTED_VALUE"""),"F")</f>
        <v>F</v>
      </c>
      <c r="H1343" s="9" t="str">
        <f>IFERROR(__xludf.DUMMYFUNCTION("""COMPUTED_VALUE"""),"FGM")</f>
        <v>FGM</v>
      </c>
      <c r="I1343" s="9" t="str">
        <f>IFERROR(__xludf.DUMMYFUNCTION("""COMPUTED_VALUE"""),"Tel")</f>
        <v>Tel</v>
      </c>
      <c r="J1343" s="9" t="str">
        <f>IFERROR(__xludf.DUMMYFUNCTION("""COMPUTED_VALUE"""),"Cx")</f>
        <v>Cx</v>
      </c>
      <c r="K1343" s="9" t="str">
        <f>IFERROR(__xludf.DUMMYFUNCTION("""COMPUTED_VALUE"""),"NCx")</f>
        <v>NCx</v>
      </c>
      <c r="L1343" s="9" t="str">
        <f>IFERROR(__xludf.DUMMYFUNCTION("""COMPUTED_VALUE"""),"Ocx")</f>
        <v>Ocx</v>
      </c>
      <c r="M1343" s="9" t="str">
        <f>IFERROR(__xludf.DUMMYFUNCTION("""COMPUTED_VALUE"""),"V1C")</f>
        <v>V1C</v>
      </c>
      <c r="N1343" s="9" t="str">
        <f>IFERROR(__xludf.DUMMYFUNCTION("""COMPUTED_VALUE"""),"V1-4")</f>
        <v>V1-4</v>
      </c>
      <c r="O1343" s="9" t="str">
        <f>IFERROR(__xludf.DUMMYFUNCTION("""COMPUTED_VALUE"""),"V1-4A")</f>
        <v>V1-4A</v>
      </c>
      <c r="P1343" s="9"/>
      <c r="Q1343" s="9"/>
      <c r="R1343" s="9"/>
      <c r="S1343" s="42"/>
      <c r="T1343" s="42"/>
      <c r="U1343" s="42"/>
      <c r="V1343" s="42"/>
      <c r="W1343" s="42"/>
      <c r="X1343" s="42"/>
      <c r="Y1343" s="42"/>
      <c r="Z1343" s="42"/>
      <c r="AA1343" s="42"/>
      <c r="AB1343" s="42" t="str">
        <f>IFERROR(__xludf.DUMMYFUNCTION("""COMPUTED_VALUE"""),"allen institute")</f>
        <v>allen institute</v>
      </c>
      <c r="AC1343" s="42" t="str">
        <f>IFERROR(__xludf.DUMMYFUNCTION("""COMPUTED_VALUE"""),"DHBA")</f>
        <v>DHBA</v>
      </c>
      <c r="AD1343" s="42"/>
      <c r="AE1343" s="42"/>
      <c r="AF1343" s="9"/>
      <c r="AG1343" s="9"/>
      <c r="AH1343" s="42"/>
      <c r="AI1343" s="42"/>
      <c r="AJ1343" s="42"/>
      <c r="AK1343" s="42"/>
      <c r="AL1343" s="42"/>
      <c r="AM1343" s="42"/>
      <c r="AN1343" s="42"/>
      <c r="AO1343" s="63" t="str">
        <f>IFERROR(__xludf.DUMMYFUNCTION("IF(ISBLANK(A1343),,IF(ISBLANK(S1343), A1343&amp;"";"", TEXTJOIN(CHAR(10), TRUE, A1343&amp;"";"", ARRAYFORMULA(VLOOKUP(SPLIT(S1343, "";"" &amp; CHAR(10)), $A:$AO, 41, FALSE)))))"),"V1-4A;")</f>
        <v>V1-4A;</v>
      </c>
      <c r="AP1343" s="89"/>
    </row>
    <row r="1344">
      <c r="A1344" s="151" t="str">
        <f>IFERROR(__xludf.DUMMYFUNCTION("""COMPUTED_VALUE"""),"V1-4B")</f>
        <v>V1-4B</v>
      </c>
      <c r="B1344" s="42" t="str">
        <f>IFERROR(__xludf.DUMMYFUNCTION("""COMPUTED_VALUE"""),"DHBA")</f>
        <v>DHBA</v>
      </c>
      <c r="C1344" s="42" t="str">
        <f>IFERROR(__xludf.DUMMYFUNCTION("""COMPUTED_VALUE"""),"layer IVB of area 17")</f>
        <v>layer IVB of area 17</v>
      </c>
      <c r="D1344" s="42">
        <f>IFERROR(__xludf.DUMMYFUNCTION("""COMPUTED_VALUE"""),1271.0)</f>
        <v>1271</v>
      </c>
      <c r="E1344" s="39" t="str">
        <f>IFERROR(__xludf.DUMMYFUNCTION("""COMPUTED_VALUE"""),"layer IVB of area 17")</f>
        <v>layer IVB of area 17</v>
      </c>
      <c r="F1344" s="9" t="str">
        <f>IFERROR(__xludf.DUMMYFUNCTION("""COMPUTED_VALUE"""),"Br")</f>
        <v>Br</v>
      </c>
      <c r="G1344" s="9" t="str">
        <f>IFERROR(__xludf.DUMMYFUNCTION("""COMPUTED_VALUE"""),"F")</f>
        <v>F</v>
      </c>
      <c r="H1344" s="9" t="str">
        <f>IFERROR(__xludf.DUMMYFUNCTION("""COMPUTED_VALUE"""),"FGM")</f>
        <v>FGM</v>
      </c>
      <c r="I1344" s="9" t="str">
        <f>IFERROR(__xludf.DUMMYFUNCTION("""COMPUTED_VALUE"""),"Tel")</f>
        <v>Tel</v>
      </c>
      <c r="J1344" s="9" t="str">
        <f>IFERROR(__xludf.DUMMYFUNCTION("""COMPUTED_VALUE"""),"Cx")</f>
        <v>Cx</v>
      </c>
      <c r="K1344" s="9" t="str">
        <f>IFERROR(__xludf.DUMMYFUNCTION("""COMPUTED_VALUE"""),"NCx")</f>
        <v>NCx</v>
      </c>
      <c r="L1344" s="9" t="str">
        <f>IFERROR(__xludf.DUMMYFUNCTION("""COMPUTED_VALUE"""),"Ocx")</f>
        <v>Ocx</v>
      </c>
      <c r="M1344" s="9" t="str">
        <f>IFERROR(__xludf.DUMMYFUNCTION("""COMPUTED_VALUE"""),"V1C")</f>
        <v>V1C</v>
      </c>
      <c r="N1344" s="9" t="str">
        <f>IFERROR(__xludf.DUMMYFUNCTION("""COMPUTED_VALUE"""),"V1-4")</f>
        <v>V1-4</v>
      </c>
      <c r="O1344" s="9" t="str">
        <f>IFERROR(__xludf.DUMMYFUNCTION("""COMPUTED_VALUE"""),"V1-4B")</f>
        <v>V1-4B</v>
      </c>
      <c r="P1344" s="9"/>
      <c r="Q1344" s="9"/>
      <c r="R1344" s="9"/>
      <c r="S1344" s="42"/>
      <c r="T1344" s="42"/>
      <c r="U1344" s="42"/>
      <c r="V1344" s="42"/>
      <c r="W1344" s="42"/>
      <c r="X1344" s="42"/>
      <c r="Y1344" s="42"/>
      <c r="Z1344" s="42"/>
      <c r="AA1344" s="42"/>
      <c r="AB1344" s="42" t="str">
        <f>IFERROR(__xludf.DUMMYFUNCTION("""COMPUTED_VALUE"""),"allen institute")</f>
        <v>allen institute</v>
      </c>
      <c r="AC1344" s="42" t="str">
        <f>IFERROR(__xludf.DUMMYFUNCTION("""COMPUTED_VALUE"""),"DHBA")</f>
        <v>DHBA</v>
      </c>
      <c r="AD1344" s="42"/>
      <c r="AE1344" s="42"/>
      <c r="AF1344" s="9"/>
      <c r="AG1344" s="9"/>
      <c r="AH1344" s="42"/>
      <c r="AI1344" s="42"/>
      <c r="AJ1344" s="42"/>
      <c r="AK1344" s="42"/>
      <c r="AL1344" s="42"/>
      <c r="AM1344" s="42"/>
      <c r="AN1344" s="42"/>
      <c r="AO1344" s="63" t="str">
        <f>IFERROR(__xludf.DUMMYFUNCTION("IF(ISBLANK(A1344),,IF(ISBLANK(S1344), A1344&amp;"";"", TEXTJOIN(CHAR(10), TRUE, A1344&amp;"";"", ARRAYFORMULA(VLOOKUP(SPLIT(S1344, "";"" &amp; CHAR(10)), $A:$AO, 41, FALSE)))))"),"V1-4B;")</f>
        <v>V1-4B;</v>
      </c>
      <c r="AP1344" s="89"/>
    </row>
    <row r="1345">
      <c r="A1345" s="151" t="str">
        <f>IFERROR(__xludf.DUMMYFUNCTION("""COMPUTED_VALUE"""),"V1-4C")</f>
        <v>V1-4C</v>
      </c>
      <c r="B1345" s="42" t="str">
        <f>IFERROR(__xludf.DUMMYFUNCTION("""COMPUTED_VALUE"""),"DHBA")</f>
        <v>DHBA</v>
      </c>
      <c r="C1345" s="42" t="str">
        <f>IFERROR(__xludf.DUMMYFUNCTION("""COMPUTED_VALUE"""),"layer IVC of area 17")</f>
        <v>layer IVC of area 17</v>
      </c>
      <c r="D1345" s="42">
        <f>IFERROR(__xludf.DUMMYFUNCTION("""COMPUTED_VALUE"""),1272.0)</f>
        <v>1272</v>
      </c>
      <c r="E1345" s="39" t="str">
        <f>IFERROR(__xludf.DUMMYFUNCTION("""COMPUTED_VALUE"""),"layer IVC of area 17")</f>
        <v>layer IVC of area 17</v>
      </c>
      <c r="F1345" s="9" t="str">
        <f>IFERROR(__xludf.DUMMYFUNCTION("""COMPUTED_VALUE"""),"Br")</f>
        <v>Br</v>
      </c>
      <c r="G1345" s="9" t="str">
        <f>IFERROR(__xludf.DUMMYFUNCTION("""COMPUTED_VALUE"""),"F")</f>
        <v>F</v>
      </c>
      <c r="H1345" s="9" t="str">
        <f>IFERROR(__xludf.DUMMYFUNCTION("""COMPUTED_VALUE"""),"FGM")</f>
        <v>FGM</v>
      </c>
      <c r="I1345" s="9" t="str">
        <f>IFERROR(__xludf.DUMMYFUNCTION("""COMPUTED_VALUE"""),"Tel")</f>
        <v>Tel</v>
      </c>
      <c r="J1345" s="9" t="str">
        <f>IFERROR(__xludf.DUMMYFUNCTION("""COMPUTED_VALUE"""),"Cx")</f>
        <v>Cx</v>
      </c>
      <c r="K1345" s="9" t="str">
        <f>IFERROR(__xludf.DUMMYFUNCTION("""COMPUTED_VALUE"""),"NCx")</f>
        <v>NCx</v>
      </c>
      <c r="L1345" s="9" t="str">
        <f>IFERROR(__xludf.DUMMYFUNCTION("""COMPUTED_VALUE"""),"Ocx")</f>
        <v>Ocx</v>
      </c>
      <c r="M1345" s="9" t="str">
        <f>IFERROR(__xludf.DUMMYFUNCTION("""COMPUTED_VALUE"""),"V1C")</f>
        <v>V1C</v>
      </c>
      <c r="N1345" s="9" t="str">
        <f>IFERROR(__xludf.DUMMYFUNCTION("""COMPUTED_VALUE"""),"V1-4")</f>
        <v>V1-4</v>
      </c>
      <c r="O1345" s="9" t="str">
        <f>IFERROR(__xludf.DUMMYFUNCTION("""COMPUTED_VALUE"""),"V1-4C")</f>
        <v>V1-4C</v>
      </c>
      <c r="P1345" s="9"/>
      <c r="Q1345" s="9"/>
      <c r="R1345" s="9"/>
      <c r="S1345" s="42"/>
      <c r="T1345" s="42"/>
      <c r="U1345" s="42"/>
      <c r="V1345" s="42"/>
      <c r="W1345" s="42"/>
      <c r="X1345" s="42"/>
      <c r="Y1345" s="42"/>
      <c r="Z1345" s="42"/>
      <c r="AA1345" s="42"/>
      <c r="AB1345" s="42" t="str">
        <f>IFERROR(__xludf.DUMMYFUNCTION("""COMPUTED_VALUE"""),"allen institute")</f>
        <v>allen institute</v>
      </c>
      <c r="AC1345" s="42" t="str">
        <f>IFERROR(__xludf.DUMMYFUNCTION("""COMPUTED_VALUE"""),"DHBA")</f>
        <v>DHBA</v>
      </c>
      <c r="AD1345" s="42"/>
      <c r="AE1345" s="42"/>
      <c r="AF1345" s="9"/>
      <c r="AG1345" s="9"/>
      <c r="AH1345" s="42"/>
      <c r="AI1345" s="42"/>
      <c r="AJ1345" s="42"/>
      <c r="AK1345" s="42"/>
      <c r="AL1345" s="42"/>
      <c r="AM1345" s="42"/>
      <c r="AN1345" s="42"/>
      <c r="AO1345" s="63" t="str">
        <f>IFERROR(__xludf.DUMMYFUNCTION("IF(ISBLANK(A1345),,IF(ISBLANK(S1345), A1345&amp;"";"", TEXTJOIN(CHAR(10), TRUE, A1345&amp;"";"", ARRAYFORMULA(VLOOKUP(SPLIT(S1345, "";"" &amp; CHAR(10)), $A:$AO, 41, FALSE)))))"),"V1-4C;")</f>
        <v>V1-4C;</v>
      </c>
      <c r="AP1345" s="89"/>
    </row>
    <row r="1346">
      <c r="A1346" s="151" t="str">
        <f>IFERROR(__xludf.DUMMYFUNCTION("""COMPUTED_VALUE"""),"V1-4Ca")</f>
        <v>V1-4Ca</v>
      </c>
      <c r="B1346" s="42" t="str">
        <f>IFERROR(__xludf.DUMMYFUNCTION("""COMPUTED_VALUE"""),"DHBA")</f>
        <v>DHBA</v>
      </c>
      <c r="C1346" s="42" t="str">
        <f>IFERROR(__xludf.DUMMYFUNCTION("""COMPUTED_VALUE"""),"layer IVCa of area 17")</f>
        <v>layer IVCa of area 17</v>
      </c>
      <c r="D1346" s="42">
        <f>IFERROR(__xludf.DUMMYFUNCTION("""COMPUTED_VALUE"""),1273.0)</f>
        <v>1273</v>
      </c>
      <c r="E1346" s="39" t="str">
        <f>IFERROR(__xludf.DUMMYFUNCTION("""COMPUTED_VALUE"""),"layer IVCa of area 17")</f>
        <v>layer IVCa of area 17</v>
      </c>
      <c r="F1346" s="9" t="str">
        <f>IFERROR(__xludf.DUMMYFUNCTION("""COMPUTED_VALUE"""),"Br")</f>
        <v>Br</v>
      </c>
      <c r="G1346" s="9" t="str">
        <f>IFERROR(__xludf.DUMMYFUNCTION("""COMPUTED_VALUE"""),"F")</f>
        <v>F</v>
      </c>
      <c r="H1346" s="9" t="str">
        <f>IFERROR(__xludf.DUMMYFUNCTION("""COMPUTED_VALUE"""),"FGM")</f>
        <v>FGM</v>
      </c>
      <c r="I1346" s="9" t="str">
        <f>IFERROR(__xludf.DUMMYFUNCTION("""COMPUTED_VALUE"""),"Tel")</f>
        <v>Tel</v>
      </c>
      <c r="J1346" s="9" t="str">
        <f>IFERROR(__xludf.DUMMYFUNCTION("""COMPUTED_VALUE"""),"Cx")</f>
        <v>Cx</v>
      </c>
      <c r="K1346" s="9" t="str">
        <f>IFERROR(__xludf.DUMMYFUNCTION("""COMPUTED_VALUE"""),"NCx")</f>
        <v>NCx</v>
      </c>
      <c r="L1346" s="9" t="str">
        <f>IFERROR(__xludf.DUMMYFUNCTION("""COMPUTED_VALUE"""),"Ocx")</f>
        <v>Ocx</v>
      </c>
      <c r="M1346" s="9" t="str">
        <f>IFERROR(__xludf.DUMMYFUNCTION("""COMPUTED_VALUE"""),"V1C")</f>
        <v>V1C</v>
      </c>
      <c r="N1346" s="9" t="str">
        <f>IFERROR(__xludf.DUMMYFUNCTION("""COMPUTED_VALUE"""),"V1-4")</f>
        <v>V1-4</v>
      </c>
      <c r="O1346" s="9" t="str">
        <f>IFERROR(__xludf.DUMMYFUNCTION("""COMPUTED_VALUE"""),"V1-4C")</f>
        <v>V1-4C</v>
      </c>
      <c r="P1346" s="9" t="str">
        <f>IFERROR(__xludf.DUMMYFUNCTION("""COMPUTED_VALUE"""),"V1-4Ca")</f>
        <v>V1-4Ca</v>
      </c>
      <c r="Q1346" s="9"/>
      <c r="R1346" s="9"/>
      <c r="S1346" s="42"/>
      <c r="T1346" s="42"/>
      <c r="U1346" s="42"/>
      <c r="V1346" s="42"/>
      <c r="W1346" s="42"/>
      <c r="X1346" s="42"/>
      <c r="Y1346" s="42"/>
      <c r="Z1346" s="42"/>
      <c r="AA1346" s="42"/>
      <c r="AB1346" s="42" t="str">
        <f>IFERROR(__xludf.DUMMYFUNCTION("""COMPUTED_VALUE"""),"allen institute")</f>
        <v>allen institute</v>
      </c>
      <c r="AC1346" s="42" t="str">
        <f>IFERROR(__xludf.DUMMYFUNCTION("""COMPUTED_VALUE"""),"DHBA")</f>
        <v>DHBA</v>
      </c>
      <c r="AD1346" s="42"/>
      <c r="AE1346" s="42"/>
      <c r="AF1346" s="9"/>
      <c r="AG1346" s="9"/>
      <c r="AH1346" s="42"/>
      <c r="AI1346" s="42"/>
      <c r="AJ1346" s="42"/>
      <c r="AK1346" s="42"/>
      <c r="AL1346" s="42"/>
      <c r="AM1346" s="42"/>
      <c r="AN1346" s="42"/>
      <c r="AO1346" s="63" t="str">
        <f>IFERROR(__xludf.DUMMYFUNCTION("IF(ISBLANK(A1346),,IF(ISBLANK(S1346), A1346&amp;"";"", TEXTJOIN(CHAR(10), TRUE, A1346&amp;"";"", ARRAYFORMULA(VLOOKUP(SPLIT(S1346, "";"" &amp; CHAR(10)), $A:$AO, 41, FALSE)))))"),"V1-4Ca;")</f>
        <v>V1-4Ca;</v>
      </c>
      <c r="AP1346" s="89"/>
    </row>
    <row r="1347">
      <c r="A1347" s="151" t="str">
        <f>IFERROR(__xludf.DUMMYFUNCTION("""COMPUTED_VALUE"""),"V1-4Cb")</f>
        <v>V1-4Cb</v>
      </c>
      <c r="B1347" s="42" t="str">
        <f>IFERROR(__xludf.DUMMYFUNCTION("""COMPUTED_VALUE"""),"DHBA")</f>
        <v>DHBA</v>
      </c>
      <c r="C1347" s="42" t="str">
        <f>IFERROR(__xludf.DUMMYFUNCTION("""COMPUTED_VALUE"""),"layer IVCb of area 17")</f>
        <v>layer IVCb of area 17</v>
      </c>
      <c r="D1347" s="42">
        <f>IFERROR(__xludf.DUMMYFUNCTION("""COMPUTED_VALUE"""),1274.0)</f>
        <v>1274</v>
      </c>
      <c r="E1347" s="39" t="str">
        <f>IFERROR(__xludf.DUMMYFUNCTION("""COMPUTED_VALUE"""),"layer IVCb of area 17")</f>
        <v>layer IVCb of area 17</v>
      </c>
      <c r="F1347" s="9" t="str">
        <f>IFERROR(__xludf.DUMMYFUNCTION("""COMPUTED_VALUE"""),"Br")</f>
        <v>Br</v>
      </c>
      <c r="G1347" s="9" t="str">
        <f>IFERROR(__xludf.DUMMYFUNCTION("""COMPUTED_VALUE"""),"F")</f>
        <v>F</v>
      </c>
      <c r="H1347" s="9" t="str">
        <f>IFERROR(__xludf.DUMMYFUNCTION("""COMPUTED_VALUE"""),"FGM")</f>
        <v>FGM</v>
      </c>
      <c r="I1347" s="9" t="str">
        <f>IFERROR(__xludf.DUMMYFUNCTION("""COMPUTED_VALUE"""),"Tel")</f>
        <v>Tel</v>
      </c>
      <c r="J1347" s="9" t="str">
        <f>IFERROR(__xludf.DUMMYFUNCTION("""COMPUTED_VALUE"""),"Cx")</f>
        <v>Cx</v>
      </c>
      <c r="K1347" s="9" t="str">
        <f>IFERROR(__xludf.DUMMYFUNCTION("""COMPUTED_VALUE"""),"NCx")</f>
        <v>NCx</v>
      </c>
      <c r="L1347" s="9" t="str">
        <f>IFERROR(__xludf.DUMMYFUNCTION("""COMPUTED_VALUE"""),"Ocx")</f>
        <v>Ocx</v>
      </c>
      <c r="M1347" s="9" t="str">
        <f>IFERROR(__xludf.DUMMYFUNCTION("""COMPUTED_VALUE"""),"V1C")</f>
        <v>V1C</v>
      </c>
      <c r="N1347" s="9" t="str">
        <f>IFERROR(__xludf.DUMMYFUNCTION("""COMPUTED_VALUE"""),"V1-4")</f>
        <v>V1-4</v>
      </c>
      <c r="O1347" s="9" t="str">
        <f>IFERROR(__xludf.DUMMYFUNCTION("""COMPUTED_VALUE"""),"V1-4C")</f>
        <v>V1-4C</v>
      </c>
      <c r="P1347" s="9" t="str">
        <f>IFERROR(__xludf.DUMMYFUNCTION("""COMPUTED_VALUE"""),"V1-4Cb")</f>
        <v>V1-4Cb</v>
      </c>
      <c r="Q1347" s="9"/>
      <c r="R1347" s="9"/>
      <c r="S1347" s="42"/>
      <c r="T1347" s="42"/>
      <c r="U1347" s="42"/>
      <c r="V1347" s="42"/>
      <c r="W1347" s="42"/>
      <c r="X1347" s="42"/>
      <c r="Y1347" s="42"/>
      <c r="Z1347" s="42"/>
      <c r="AA1347" s="42"/>
      <c r="AB1347" s="42" t="str">
        <f>IFERROR(__xludf.DUMMYFUNCTION("""COMPUTED_VALUE"""),"allen institute")</f>
        <v>allen institute</v>
      </c>
      <c r="AC1347" s="42" t="str">
        <f>IFERROR(__xludf.DUMMYFUNCTION("""COMPUTED_VALUE"""),"DHBA")</f>
        <v>DHBA</v>
      </c>
      <c r="AD1347" s="42"/>
      <c r="AE1347" s="42"/>
      <c r="AF1347" s="9"/>
      <c r="AG1347" s="9"/>
      <c r="AH1347" s="42"/>
      <c r="AI1347" s="42"/>
      <c r="AJ1347" s="42"/>
      <c r="AK1347" s="42"/>
      <c r="AL1347" s="42"/>
      <c r="AM1347" s="42"/>
      <c r="AN1347" s="42"/>
      <c r="AO1347" s="63" t="str">
        <f>IFERROR(__xludf.DUMMYFUNCTION("IF(ISBLANK(A1347),,IF(ISBLANK(S1347), A1347&amp;"";"", TEXTJOIN(CHAR(10), TRUE, A1347&amp;"";"", ARRAYFORMULA(VLOOKUP(SPLIT(S1347, "";"" &amp; CHAR(10)), $A:$AO, 41, FALSE)))))"),"V1-4Cb;")</f>
        <v>V1-4Cb;</v>
      </c>
      <c r="AP1347" s="89"/>
    </row>
    <row r="1348">
      <c r="A1348" s="151" t="str">
        <f>IFERROR(__xludf.DUMMYFUNCTION("""COMPUTED_VALUE"""),"V1-5")</f>
        <v>V1-5</v>
      </c>
      <c r="B1348" s="42" t="str">
        <f>IFERROR(__xludf.DUMMYFUNCTION("""COMPUTED_VALUE"""),"DHBA")</f>
        <v>DHBA</v>
      </c>
      <c r="C1348" s="42" t="str">
        <f>IFERROR(__xludf.DUMMYFUNCTION("""COMPUTED_VALUE"""),"layer V of area 17")</f>
        <v>layer V of area 17</v>
      </c>
      <c r="D1348" s="42">
        <f>IFERROR(__xludf.DUMMYFUNCTION("""COMPUTED_VALUE"""),1275.0)</f>
        <v>1275</v>
      </c>
      <c r="E1348" s="39" t="str">
        <f>IFERROR(__xludf.DUMMYFUNCTION("""COMPUTED_VALUE"""),"layer V of area 17")</f>
        <v>layer V of area 17</v>
      </c>
      <c r="F1348" s="9" t="str">
        <f>IFERROR(__xludf.DUMMYFUNCTION("""COMPUTED_VALUE"""),"Br")</f>
        <v>Br</v>
      </c>
      <c r="G1348" s="9" t="str">
        <f>IFERROR(__xludf.DUMMYFUNCTION("""COMPUTED_VALUE"""),"F")</f>
        <v>F</v>
      </c>
      <c r="H1348" s="9" t="str">
        <f>IFERROR(__xludf.DUMMYFUNCTION("""COMPUTED_VALUE"""),"FGM")</f>
        <v>FGM</v>
      </c>
      <c r="I1348" s="9" t="str">
        <f>IFERROR(__xludf.DUMMYFUNCTION("""COMPUTED_VALUE"""),"Tel")</f>
        <v>Tel</v>
      </c>
      <c r="J1348" s="9" t="str">
        <f>IFERROR(__xludf.DUMMYFUNCTION("""COMPUTED_VALUE"""),"Cx")</f>
        <v>Cx</v>
      </c>
      <c r="K1348" s="9" t="str">
        <f>IFERROR(__xludf.DUMMYFUNCTION("""COMPUTED_VALUE"""),"NCx")</f>
        <v>NCx</v>
      </c>
      <c r="L1348" s="9" t="str">
        <f>IFERROR(__xludf.DUMMYFUNCTION("""COMPUTED_VALUE"""),"Ocx")</f>
        <v>Ocx</v>
      </c>
      <c r="M1348" s="9" t="str">
        <f>IFERROR(__xludf.DUMMYFUNCTION("""COMPUTED_VALUE"""),"V1C")</f>
        <v>V1C</v>
      </c>
      <c r="N1348" s="9" t="str">
        <f>IFERROR(__xludf.DUMMYFUNCTION("""COMPUTED_VALUE"""),"V1-5")</f>
        <v>V1-5</v>
      </c>
      <c r="O1348" s="9"/>
      <c r="P1348" s="9"/>
      <c r="Q1348" s="9"/>
      <c r="R1348" s="9"/>
      <c r="S1348" s="42"/>
      <c r="T1348" s="42"/>
      <c r="U1348" s="42"/>
      <c r="V1348" s="42"/>
      <c r="W1348" s="42"/>
      <c r="X1348" s="42"/>
      <c r="Y1348" s="42"/>
      <c r="Z1348" s="42"/>
      <c r="AA1348" s="42"/>
      <c r="AB1348" s="42" t="str">
        <f>IFERROR(__xludf.DUMMYFUNCTION("""COMPUTED_VALUE"""),"allen institute")</f>
        <v>allen institute</v>
      </c>
      <c r="AC1348" s="42" t="str">
        <f>IFERROR(__xludf.DUMMYFUNCTION("""COMPUTED_VALUE"""),"DHBA")</f>
        <v>DHBA</v>
      </c>
      <c r="AD1348" s="42"/>
      <c r="AE1348" s="42"/>
      <c r="AF1348" s="9"/>
      <c r="AG1348" s="9"/>
      <c r="AH1348" s="42"/>
      <c r="AI1348" s="42"/>
      <c r="AJ1348" s="42"/>
      <c r="AK1348" s="42"/>
      <c r="AL1348" s="42"/>
      <c r="AM1348" s="42"/>
      <c r="AN1348" s="42"/>
      <c r="AO1348" s="63" t="str">
        <f>IFERROR(__xludf.DUMMYFUNCTION("IF(ISBLANK(A1348),,IF(ISBLANK(S1348), A1348&amp;"";"", TEXTJOIN(CHAR(10), TRUE, A1348&amp;"";"", ARRAYFORMULA(VLOOKUP(SPLIT(S1348, "";"" &amp; CHAR(10)), $A:$AO, 41, FALSE)))))"),"V1-5;")</f>
        <v>V1-5;</v>
      </c>
      <c r="AP1348" s="89"/>
    </row>
    <row r="1349">
      <c r="A1349" s="151" t="str">
        <f>IFERROR(__xludf.DUMMYFUNCTION("""COMPUTED_VALUE"""),"V1-6")</f>
        <v>V1-6</v>
      </c>
      <c r="B1349" s="42" t="str">
        <f>IFERROR(__xludf.DUMMYFUNCTION("""COMPUTED_VALUE"""),"DHBA")</f>
        <v>DHBA</v>
      </c>
      <c r="C1349" s="42" t="str">
        <f>IFERROR(__xludf.DUMMYFUNCTION("""COMPUTED_VALUE"""),"layer VI of area 17")</f>
        <v>layer VI of area 17</v>
      </c>
      <c r="D1349" s="42">
        <f>IFERROR(__xludf.DUMMYFUNCTION("""COMPUTED_VALUE"""),1276.0)</f>
        <v>1276</v>
      </c>
      <c r="E1349" s="39" t="str">
        <f>IFERROR(__xludf.DUMMYFUNCTION("""COMPUTED_VALUE"""),"layer VI of area 17")</f>
        <v>layer VI of area 17</v>
      </c>
      <c r="F1349" s="9" t="str">
        <f>IFERROR(__xludf.DUMMYFUNCTION("""COMPUTED_VALUE"""),"Br")</f>
        <v>Br</v>
      </c>
      <c r="G1349" s="9" t="str">
        <f>IFERROR(__xludf.DUMMYFUNCTION("""COMPUTED_VALUE"""),"F")</f>
        <v>F</v>
      </c>
      <c r="H1349" s="9" t="str">
        <f>IFERROR(__xludf.DUMMYFUNCTION("""COMPUTED_VALUE"""),"FGM")</f>
        <v>FGM</v>
      </c>
      <c r="I1349" s="9" t="str">
        <f>IFERROR(__xludf.DUMMYFUNCTION("""COMPUTED_VALUE"""),"Tel")</f>
        <v>Tel</v>
      </c>
      <c r="J1349" s="9" t="str">
        <f>IFERROR(__xludf.DUMMYFUNCTION("""COMPUTED_VALUE"""),"Cx")</f>
        <v>Cx</v>
      </c>
      <c r="K1349" s="9" t="str">
        <f>IFERROR(__xludf.DUMMYFUNCTION("""COMPUTED_VALUE"""),"NCx")</f>
        <v>NCx</v>
      </c>
      <c r="L1349" s="9" t="str">
        <f>IFERROR(__xludf.DUMMYFUNCTION("""COMPUTED_VALUE"""),"Ocx")</f>
        <v>Ocx</v>
      </c>
      <c r="M1349" s="9" t="str">
        <f>IFERROR(__xludf.DUMMYFUNCTION("""COMPUTED_VALUE"""),"V1C")</f>
        <v>V1C</v>
      </c>
      <c r="N1349" s="9" t="str">
        <f>IFERROR(__xludf.DUMMYFUNCTION("""COMPUTED_VALUE"""),"V1-6")</f>
        <v>V1-6</v>
      </c>
      <c r="O1349" s="9"/>
      <c r="P1349" s="9"/>
      <c r="Q1349" s="9"/>
      <c r="R1349" s="9"/>
      <c r="S1349" s="42"/>
      <c r="T1349" s="42"/>
      <c r="U1349" s="159"/>
      <c r="V1349" s="42"/>
      <c r="W1349" s="42"/>
      <c r="X1349" s="42"/>
      <c r="Y1349" s="42"/>
      <c r="Z1349" s="42"/>
      <c r="AA1349" s="42"/>
      <c r="AB1349" s="42" t="str">
        <f>IFERROR(__xludf.DUMMYFUNCTION("""COMPUTED_VALUE"""),"allen institute")</f>
        <v>allen institute</v>
      </c>
      <c r="AC1349" s="42" t="str">
        <f>IFERROR(__xludf.DUMMYFUNCTION("""COMPUTED_VALUE"""),"DHBA")</f>
        <v>DHBA</v>
      </c>
      <c r="AD1349" s="42"/>
      <c r="AE1349" s="42"/>
      <c r="AF1349" s="9"/>
      <c r="AG1349" s="9"/>
      <c r="AH1349" s="42"/>
      <c r="AI1349" s="42"/>
      <c r="AJ1349" s="42"/>
      <c r="AK1349" s="42"/>
      <c r="AL1349" s="42"/>
      <c r="AM1349" s="42"/>
      <c r="AN1349" s="42"/>
      <c r="AO1349" s="63" t="str">
        <f>IFERROR(__xludf.DUMMYFUNCTION("IF(ISBLANK(A1349),,IF(ISBLANK(S1349), A1349&amp;"";"", TEXTJOIN(CHAR(10), TRUE, A1349&amp;"";"", ARRAYFORMULA(VLOOKUP(SPLIT(S1349, "";"" &amp; CHAR(10)), $A:$AO, 41, FALSE)))))"),"V1-6;")</f>
        <v>V1-6;</v>
      </c>
      <c r="AP1349" s="89"/>
    </row>
    <row r="1350">
      <c r="A1350" s="151" t="str">
        <f>IFERROR(__xludf.DUMMYFUNCTION("""COMPUTED_VALUE"""),"ESOC")</f>
        <v>ESOC</v>
      </c>
      <c r="B1350" s="42" t="str">
        <f>IFERROR(__xludf.DUMMYFUNCTION("""COMPUTED_VALUE"""),"DHBA")</f>
        <v>DHBA</v>
      </c>
      <c r="C1350" s="42" t="str">
        <f>IFERROR(__xludf.DUMMYFUNCTION("""COMPUTED_VALUE"""),"extrastriate occipital cortex")</f>
        <v>extrastriate occipital cortex</v>
      </c>
      <c r="D1350" s="42">
        <f>IFERROR(__xludf.DUMMYFUNCTION("""COMPUTED_VALUE"""),1277.0)</f>
        <v>1277</v>
      </c>
      <c r="E1350" s="39" t="str">
        <f>IFERROR(__xludf.DUMMYFUNCTION("""COMPUTED_VALUE"""),"extrastriate occipital cortex")</f>
        <v>extrastriate occipital cortex</v>
      </c>
      <c r="F1350" s="9" t="str">
        <f>IFERROR(__xludf.DUMMYFUNCTION("""COMPUTED_VALUE"""),"Br")</f>
        <v>Br</v>
      </c>
      <c r="G1350" s="9" t="str">
        <f>IFERROR(__xludf.DUMMYFUNCTION("""COMPUTED_VALUE"""),"F")</f>
        <v>F</v>
      </c>
      <c r="H1350" s="9" t="str">
        <f>IFERROR(__xludf.DUMMYFUNCTION("""COMPUTED_VALUE"""),"FGM")</f>
        <v>FGM</v>
      </c>
      <c r="I1350" s="9" t="str">
        <f>IFERROR(__xludf.DUMMYFUNCTION("""COMPUTED_VALUE"""),"Tel")</f>
        <v>Tel</v>
      </c>
      <c r="J1350" s="9" t="str">
        <f>IFERROR(__xludf.DUMMYFUNCTION("""COMPUTED_VALUE"""),"Cx")</f>
        <v>Cx</v>
      </c>
      <c r="K1350" s="9" t="str">
        <f>IFERROR(__xludf.DUMMYFUNCTION("""COMPUTED_VALUE"""),"NCx")</f>
        <v>NCx</v>
      </c>
      <c r="L1350" s="9" t="str">
        <f>IFERROR(__xludf.DUMMYFUNCTION("""COMPUTED_VALUE"""),"Ocx")</f>
        <v>Ocx</v>
      </c>
      <c r="M1350" s="9" t="str">
        <f>IFERROR(__xludf.DUMMYFUNCTION("""COMPUTED_VALUE"""),"ESOC")</f>
        <v>ESOC</v>
      </c>
      <c r="N1350" s="9"/>
      <c r="O1350" s="9"/>
      <c r="P1350" s="9"/>
      <c r="Q1350" s="9"/>
      <c r="R1350" s="9"/>
      <c r="S1350" s="42" t="str">
        <f>IFERROR(__xludf.DUMMYFUNCTION("""COMPUTED_VALUE"""),"Vx;
V2;
PSC")</f>
        <v>Vx;
V2;
PSC</v>
      </c>
      <c r="T1350" s="42"/>
      <c r="U1350" s="42" t="b">
        <f>IFERROR(__xludf.DUMMYFUNCTION("""COMPUTED_VALUE"""),FALSE)</f>
        <v>0</v>
      </c>
      <c r="V1350" s="42"/>
      <c r="W1350" s="42"/>
      <c r="X1350" s="42"/>
      <c r="Y1350" s="42"/>
      <c r="Z1350" s="42"/>
      <c r="AA1350" s="42"/>
      <c r="AB1350" s="42" t="str">
        <f>IFERROR(__xludf.DUMMYFUNCTION("""COMPUTED_VALUE"""),"allen institute")</f>
        <v>allen institute</v>
      </c>
      <c r="AC1350" s="42" t="str">
        <f>IFERROR(__xludf.DUMMYFUNCTION("""COMPUTED_VALUE"""),"DHBA")</f>
        <v>DHBA</v>
      </c>
      <c r="AD1350" s="42"/>
      <c r="AE1350" s="42"/>
      <c r="AF1350" s="9"/>
      <c r="AG1350" s="9"/>
      <c r="AH1350" s="42"/>
      <c r="AI1350" s="42"/>
      <c r="AJ1350" s="42"/>
      <c r="AK1350" s="42"/>
      <c r="AL1350" s="42"/>
      <c r="AM1350" s="42"/>
      <c r="AN1350" s="42"/>
      <c r="AO1350" s="63" t="str">
        <f>IFERROR(__xludf.DUMMYFUNCTION("IF(ISBLANK(A1350),,IF(ISBLANK(S1350), A1350&amp;"";"", TEXTJOIN(CHAR(10), TRUE, A1350&amp;"";"", ARRAYFORMULA(VLOOKUP(SPLIT(S1350, "";"" &amp; CHAR(10)), $A:$AO, 41, FALSE)))))"),"#N/A")</f>
        <v>#N/A</v>
      </c>
      <c r="AP1350" s="89"/>
    </row>
    <row r="1351">
      <c r="A1351" s="151" t="str">
        <f>IFERROR(__xludf.DUMMYFUNCTION("""COMPUTED_VALUE"""),"Vx")</f>
        <v>Vx</v>
      </c>
      <c r="B1351" s="42" t="str">
        <f>IFERROR(__xludf.DUMMYFUNCTION("""COMPUTED_VALUE"""),"DHBA")</f>
        <v>DHBA</v>
      </c>
      <c r="C1351" s="42" t="str">
        <f>IFERROR(__xludf.DUMMYFUNCTION("""COMPUTED_VALUE"""),"area x of visual cortex")</f>
        <v>area x of visual cortex</v>
      </c>
      <c r="D1351" s="42">
        <f>IFERROR(__xludf.DUMMYFUNCTION("""COMPUTED_VALUE"""),1278.0)</f>
        <v>1278</v>
      </c>
      <c r="E1351" s="39" t="str">
        <f>IFERROR(__xludf.DUMMYFUNCTION("""COMPUTED_VALUE"""),"area x of visual cortex")</f>
        <v>area x of visual cortex</v>
      </c>
      <c r="F1351" s="9" t="str">
        <f>IFERROR(__xludf.DUMMYFUNCTION("""COMPUTED_VALUE"""),"Br")</f>
        <v>Br</v>
      </c>
      <c r="G1351" s="9" t="str">
        <f>IFERROR(__xludf.DUMMYFUNCTION("""COMPUTED_VALUE"""),"F")</f>
        <v>F</v>
      </c>
      <c r="H1351" s="9" t="str">
        <f>IFERROR(__xludf.DUMMYFUNCTION("""COMPUTED_VALUE"""),"FGM")</f>
        <v>FGM</v>
      </c>
      <c r="I1351" s="9" t="str">
        <f>IFERROR(__xludf.DUMMYFUNCTION("""COMPUTED_VALUE"""),"Tel")</f>
        <v>Tel</v>
      </c>
      <c r="J1351" s="9" t="str">
        <f>IFERROR(__xludf.DUMMYFUNCTION("""COMPUTED_VALUE"""),"Cx")</f>
        <v>Cx</v>
      </c>
      <c r="K1351" s="9" t="str">
        <f>IFERROR(__xludf.DUMMYFUNCTION("""COMPUTED_VALUE"""),"NCx")</f>
        <v>NCx</v>
      </c>
      <c r="L1351" s="9" t="str">
        <f>IFERROR(__xludf.DUMMYFUNCTION("""COMPUTED_VALUE"""),"Ocx")</f>
        <v>Ocx</v>
      </c>
      <c r="M1351" s="9" t="str">
        <f>IFERROR(__xludf.DUMMYFUNCTION("""COMPUTED_VALUE"""),"ESOC")</f>
        <v>ESOC</v>
      </c>
      <c r="N1351" s="9" t="str">
        <f>IFERROR(__xludf.DUMMYFUNCTION("""COMPUTED_VALUE"""),"Vx")</f>
        <v>Vx</v>
      </c>
      <c r="O1351" s="9"/>
      <c r="P1351" s="9"/>
      <c r="Q1351" s="9"/>
      <c r="R1351" s="9"/>
      <c r="S1351" s="42"/>
      <c r="T1351" s="42"/>
      <c r="U1351" s="42"/>
      <c r="V1351" s="42"/>
      <c r="W1351" s="42"/>
      <c r="X1351" s="42"/>
      <c r="Y1351" s="42"/>
      <c r="Z1351" s="42"/>
      <c r="AA1351" s="42"/>
      <c r="AB1351" s="42" t="str">
        <f>IFERROR(__xludf.DUMMYFUNCTION("""COMPUTED_VALUE"""),"allen institute")</f>
        <v>allen institute</v>
      </c>
      <c r="AC1351" s="42" t="str">
        <f>IFERROR(__xludf.DUMMYFUNCTION("""COMPUTED_VALUE"""),"DHBA")</f>
        <v>DHBA</v>
      </c>
      <c r="AD1351" s="42"/>
      <c r="AE1351" s="42"/>
      <c r="AF1351" s="9"/>
      <c r="AG1351" s="9"/>
      <c r="AH1351" s="42"/>
      <c r="AI1351" s="42"/>
      <c r="AJ1351" s="42"/>
      <c r="AK1351" s="42"/>
      <c r="AL1351" s="42"/>
      <c r="AM1351" s="42"/>
      <c r="AN1351" s="42"/>
      <c r="AO1351" s="63" t="str">
        <f>IFERROR(__xludf.DUMMYFUNCTION("IF(ISBLANK(A1351),,IF(ISBLANK(S1351), A1351&amp;"";"", TEXTJOIN(CHAR(10), TRUE, A1351&amp;"";"", ARRAYFORMULA(VLOOKUP(SPLIT(S1351, "";"" &amp; CHAR(10)), $A:$AO, 41, FALSE)))))"),"Vx;")</f>
        <v>Vx;</v>
      </c>
      <c r="AP1351" s="89"/>
    </row>
    <row r="1352">
      <c r="A1352" s="151" t="str">
        <f>IFERROR(__xludf.DUMMYFUNCTION("""COMPUTED_VALUE"""),"V2")</f>
        <v>V2</v>
      </c>
      <c r="B1352" s="42" t="str">
        <f>IFERROR(__xludf.DUMMYFUNCTION("""COMPUTED_VALUE"""),"DHBA")</f>
        <v>DHBA</v>
      </c>
      <c r="C1352" s="42" t="str">
        <f>IFERROR(__xludf.DUMMYFUNCTION("""COMPUTED_VALUE"""),"parastriate cortex (area V2, area 18)")</f>
        <v>parastriate cortex (area V2, area 18)</v>
      </c>
      <c r="D1352" s="42">
        <f>IFERROR(__xludf.DUMMYFUNCTION("""COMPUTED_VALUE"""),1279.0)</f>
        <v>1279</v>
      </c>
      <c r="E1352" s="39" t="str">
        <f>IFERROR(__xludf.DUMMYFUNCTION("""COMPUTED_VALUE"""),"parastriate cortex (area V2, area 18)")</f>
        <v>parastriate cortex (area V2, area 18)</v>
      </c>
      <c r="F1352" s="9" t="str">
        <f>IFERROR(__xludf.DUMMYFUNCTION("""COMPUTED_VALUE"""),"Br")</f>
        <v>Br</v>
      </c>
      <c r="G1352" s="9" t="str">
        <f>IFERROR(__xludf.DUMMYFUNCTION("""COMPUTED_VALUE"""),"F")</f>
        <v>F</v>
      </c>
      <c r="H1352" s="9" t="str">
        <f>IFERROR(__xludf.DUMMYFUNCTION("""COMPUTED_VALUE"""),"FGM")</f>
        <v>FGM</v>
      </c>
      <c r="I1352" s="9" t="str">
        <f>IFERROR(__xludf.DUMMYFUNCTION("""COMPUTED_VALUE"""),"Tel")</f>
        <v>Tel</v>
      </c>
      <c r="J1352" s="9" t="str">
        <f>IFERROR(__xludf.DUMMYFUNCTION("""COMPUTED_VALUE"""),"Cx")</f>
        <v>Cx</v>
      </c>
      <c r="K1352" s="9" t="str">
        <f>IFERROR(__xludf.DUMMYFUNCTION("""COMPUTED_VALUE"""),"NCx")</f>
        <v>NCx</v>
      </c>
      <c r="L1352" s="9" t="str">
        <f>IFERROR(__xludf.DUMMYFUNCTION("""COMPUTED_VALUE"""),"Ocx")</f>
        <v>Ocx</v>
      </c>
      <c r="M1352" s="9" t="str">
        <f>IFERROR(__xludf.DUMMYFUNCTION("""COMPUTED_VALUE"""),"ESOC")</f>
        <v>ESOC</v>
      </c>
      <c r="N1352" s="9" t="str">
        <f>IFERROR(__xludf.DUMMYFUNCTION("""COMPUTED_VALUE"""),"V2")</f>
        <v>V2</v>
      </c>
      <c r="O1352" s="9"/>
      <c r="P1352" s="9"/>
      <c r="Q1352" s="9"/>
      <c r="R1352" s="9"/>
      <c r="S1352" s="42" t="str">
        <f>IFERROR(__xludf.DUMMYFUNCTION("""COMPUTED_VALUE"""),"V2_1;
V2_2;
V2_3;
V2_4;
V2_5;
V2_6")</f>
        <v>V2_1;
V2_2;
V2_3;
V2_4;
V2_5;
V2_6</v>
      </c>
      <c r="T1352" s="42"/>
      <c r="U1352" s="42" t="b">
        <f>IFERROR(__xludf.DUMMYFUNCTION("""COMPUTED_VALUE"""),FALSE)</f>
        <v>0</v>
      </c>
      <c r="V1352" s="42"/>
      <c r="W1352" s="42"/>
      <c r="X1352" s="42"/>
      <c r="Y1352" s="42"/>
      <c r="Z1352" s="42"/>
      <c r="AA1352" s="42"/>
      <c r="AB1352" s="42" t="str">
        <f>IFERROR(__xludf.DUMMYFUNCTION("""COMPUTED_VALUE"""),"allen institute")</f>
        <v>allen institute</v>
      </c>
      <c r="AC1352" s="42" t="str">
        <f>IFERROR(__xludf.DUMMYFUNCTION("""COMPUTED_VALUE"""),"DHBA")</f>
        <v>DHBA</v>
      </c>
      <c r="AD1352" s="42"/>
      <c r="AE1352" s="42"/>
      <c r="AF1352" s="9"/>
      <c r="AG1352" s="9"/>
      <c r="AH1352" s="42"/>
      <c r="AI1352" s="42"/>
      <c r="AJ1352" s="42"/>
      <c r="AK1352" s="42"/>
      <c r="AL1352" s="42"/>
      <c r="AM1352" s="42"/>
      <c r="AN1352" s="42"/>
      <c r="AO1352" s="63" t="str">
        <f>IFERROR(__xludf.DUMMYFUNCTION("IF(ISBLANK(A1352),,IF(ISBLANK(S1352), A1352&amp;"";"", TEXTJOIN(CHAR(10), TRUE, A1352&amp;"";"", ARRAYFORMULA(VLOOKUP(SPLIT(S1352, "";"" &amp; CHAR(10)), $A:$AO, 41, FALSE)))))"),"#N/A")</f>
        <v>#N/A</v>
      </c>
      <c r="AP1352" s="89"/>
    </row>
    <row r="1353">
      <c r="A1353" s="151" t="str">
        <f>IFERROR(__xludf.DUMMYFUNCTION("""COMPUTED_VALUE"""),"V2-1")</f>
        <v>V2-1</v>
      </c>
      <c r="B1353" s="42" t="str">
        <f>IFERROR(__xludf.DUMMYFUNCTION("""COMPUTED_VALUE"""),"DHBA")</f>
        <v>DHBA</v>
      </c>
      <c r="C1353" s="42" t="str">
        <f>IFERROR(__xludf.DUMMYFUNCTION("""COMPUTED_VALUE"""),"layer I of area 18")</f>
        <v>layer I of area 18</v>
      </c>
      <c r="D1353" s="42">
        <f>IFERROR(__xludf.DUMMYFUNCTION("""COMPUTED_VALUE"""),1280.0)</f>
        <v>1280</v>
      </c>
      <c r="E1353" s="39" t="str">
        <f>IFERROR(__xludf.DUMMYFUNCTION("""COMPUTED_VALUE"""),"layer I of area 18")</f>
        <v>layer I of area 18</v>
      </c>
      <c r="F1353" s="9" t="str">
        <f>IFERROR(__xludf.DUMMYFUNCTION("""COMPUTED_VALUE"""),"Br")</f>
        <v>Br</v>
      </c>
      <c r="G1353" s="9" t="str">
        <f>IFERROR(__xludf.DUMMYFUNCTION("""COMPUTED_VALUE"""),"F")</f>
        <v>F</v>
      </c>
      <c r="H1353" s="9" t="str">
        <f>IFERROR(__xludf.DUMMYFUNCTION("""COMPUTED_VALUE"""),"FGM")</f>
        <v>FGM</v>
      </c>
      <c r="I1353" s="9" t="str">
        <f>IFERROR(__xludf.DUMMYFUNCTION("""COMPUTED_VALUE"""),"Tel")</f>
        <v>Tel</v>
      </c>
      <c r="J1353" s="9" t="str">
        <f>IFERROR(__xludf.DUMMYFUNCTION("""COMPUTED_VALUE"""),"Cx")</f>
        <v>Cx</v>
      </c>
      <c r="K1353" s="9" t="str">
        <f>IFERROR(__xludf.DUMMYFUNCTION("""COMPUTED_VALUE"""),"NCx")</f>
        <v>NCx</v>
      </c>
      <c r="L1353" s="9" t="str">
        <f>IFERROR(__xludf.DUMMYFUNCTION("""COMPUTED_VALUE"""),"Ocx")</f>
        <v>Ocx</v>
      </c>
      <c r="M1353" s="9" t="str">
        <f>IFERROR(__xludf.DUMMYFUNCTION("""COMPUTED_VALUE"""),"ESOC")</f>
        <v>ESOC</v>
      </c>
      <c r="N1353" s="9" t="str">
        <f>IFERROR(__xludf.DUMMYFUNCTION("""COMPUTED_VALUE"""),"V2")</f>
        <v>V2</v>
      </c>
      <c r="O1353" s="9" t="str">
        <f>IFERROR(__xludf.DUMMYFUNCTION("""COMPUTED_VALUE"""),"V2-1")</f>
        <v>V2-1</v>
      </c>
      <c r="P1353" s="9"/>
      <c r="Q1353" s="9"/>
      <c r="R1353" s="9"/>
      <c r="S1353" s="42"/>
      <c r="T1353" s="42"/>
      <c r="U1353" s="42"/>
      <c r="V1353" s="42"/>
      <c r="W1353" s="42"/>
      <c r="X1353" s="42"/>
      <c r="Y1353" s="42"/>
      <c r="Z1353" s="42"/>
      <c r="AA1353" s="42"/>
      <c r="AB1353" s="42" t="str">
        <f>IFERROR(__xludf.DUMMYFUNCTION("""COMPUTED_VALUE"""),"allen institute")</f>
        <v>allen institute</v>
      </c>
      <c r="AC1353" s="42" t="str">
        <f>IFERROR(__xludf.DUMMYFUNCTION("""COMPUTED_VALUE"""),"DHBA")</f>
        <v>DHBA</v>
      </c>
      <c r="AD1353" s="42"/>
      <c r="AE1353" s="42"/>
      <c r="AF1353" s="9"/>
      <c r="AG1353" s="9"/>
      <c r="AH1353" s="42"/>
      <c r="AI1353" s="42"/>
      <c r="AJ1353" s="42"/>
      <c r="AK1353" s="42"/>
      <c r="AL1353" s="42"/>
      <c r="AM1353" s="42"/>
      <c r="AN1353" s="42"/>
      <c r="AO1353" s="63" t="str">
        <f>IFERROR(__xludf.DUMMYFUNCTION("IF(ISBLANK(A1353),,IF(ISBLANK(S1353), A1353&amp;"";"", TEXTJOIN(CHAR(10), TRUE, A1353&amp;"";"", ARRAYFORMULA(VLOOKUP(SPLIT(S1353, "";"" &amp; CHAR(10)), $A:$AO, 41, FALSE)))))"),"V2-1;")</f>
        <v>V2-1;</v>
      </c>
      <c r="AP1353" s="89"/>
    </row>
    <row r="1354">
      <c r="A1354" s="151" t="str">
        <f>IFERROR(__xludf.DUMMYFUNCTION("""COMPUTED_VALUE"""),"V2-2")</f>
        <v>V2-2</v>
      </c>
      <c r="B1354" s="42" t="str">
        <f>IFERROR(__xludf.DUMMYFUNCTION("""COMPUTED_VALUE"""),"DHBA")</f>
        <v>DHBA</v>
      </c>
      <c r="C1354" s="42" t="str">
        <f>IFERROR(__xludf.DUMMYFUNCTION("""COMPUTED_VALUE"""),"layer II of area 18")</f>
        <v>layer II of area 18</v>
      </c>
      <c r="D1354" s="42">
        <f>IFERROR(__xludf.DUMMYFUNCTION("""COMPUTED_VALUE"""),1281.0)</f>
        <v>1281</v>
      </c>
      <c r="E1354" s="39" t="str">
        <f>IFERROR(__xludf.DUMMYFUNCTION("""COMPUTED_VALUE"""),"layer II of area 18")</f>
        <v>layer II of area 18</v>
      </c>
      <c r="F1354" s="9" t="str">
        <f>IFERROR(__xludf.DUMMYFUNCTION("""COMPUTED_VALUE"""),"Br")</f>
        <v>Br</v>
      </c>
      <c r="G1354" s="9" t="str">
        <f>IFERROR(__xludf.DUMMYFUNCTION("""COMPUTED_VALUE"""),"F")</f>
        <v>F</v>
      </c>
      <c r="H1354" s="9" t="str">
        <f>IFERROR(__xludf.DUMMYFUNCTION("""COMPUTED_VALUE"""),"FGM")</f>
        <v>FGM</v>
      </c>
      <c r="I1354" s="9" t="str">
        <f>IFERROR(__xludf.DUMMYFUNCTION("""COMPUTED_VALUE"""),"Tel")</f>
        <v>Tel</v>
      </c>
      <c r="J1354" s="9" t="str">
        <f>IFERROR(__xludf.DUMMYFUNCTION("""COMPUTED_VALUE"""),"Cx")</f>
        <v>Cx</v>
      </c>
      <c r="K1354" s="9" t="str">
        <f>IFERROR(__xludf.DUMMYFUNCTION("""COMPUTED_VALUE"""),"NCx")</f>
        <v>NCx</v>
      </c>
      <c r="L1354" s="9" t="str">
        <f>IFERROR(__xludf.DUMMYFUNCTION("""COMPUTED_VALUE"""),"Ocx")</f>
        <v>Ocx</v>
      </c>
      <c r="M1354" s="9" t="str">
        <f>IFERROR(__xludf.DUMMYFUNCTION("""COMPUTED_VALUE"""),"ESOC")</f>
        <v>ESOC</v>
      </c>
      <c r="N1354" s="9" t="str">
        <f>IFERROR(__xludf.DUMMYFUNCTION("""COMPUTED_VALUE"""),"V2")</f>
        <v>V2</v>
      </c>
      <c r="O1354" s="9" t="str">
        <f>IFERROR(__xludf.DUMMYFUNCTION("""COMPUTED_VALUE"""),"V2-2")</f>
        <v>V2-2</v>
      </c>
      <c r="P1354" s="9"/>
      <c r="Q1354" s="9"/>
      <c r="R1354" s="9"/>
      <c r="S1354" s="42"/>
      <c r="T1354" s="42"/>
      <c r="U1354" s="42"/>
      <c r="V1354" s="42"/>
      <c r="W1354" s="42"/>
      <c r="X1354" s="42"/>
      <c r="Y1354" s="42"/>
      <c r="Z1354" s="42"/>
      <c r="AA1354" s="42"/>
      <c r="AB1354" s="42" t="str">
        <f>IFERROR(__xludf.DUMMYFUNCTION("""COMPUTED_VALUE"""),"allen institute")</f>
        <v>allen institute</v>
      </c>
      <c r="AC1354" s="42" t="str">
        <f>IFERROR(__xludf.DUMMYFUNCTION("""COMPUTED_VALUE"""),"DHBA")</f>
        <v>DHBA</v>
      </c>
      <c r="AD1354" s="42"/>
      <c r="AE1354" s="42"/>
      <c r="AF1354" s="9"/>
      <c r="AG1354" s="9"/>
      <c r="AH1354" s="42"/>
      <c r="AI1354" s="42"/>
      <c r="AJ1354" s="42"/>
      <c r="AK1354" s="42"/>
      <c r="AL1354" s="42"/>
      <c r="AM1354" s="42"/>
      <c r="AN1354" s="42"/>
      <c r="AO1354" s="63" t="str">
        <f>IFERROR(__xludf.DUMMYFUNCTION("IF(ISBLANK(A1354),,IF(ISBLANK(S1354), A1354&amp;"";"", TEXTJOIN(CHAR(10), TRUE, A1354&amp;"";"", ARRAYFORMULA(VLOOKUP(SPLIT(S1354, "";"" &amp; CHAR(10)), $A:$AO, 41, FALSE)))))"),"V2-2;")</f>
        <v>V2-2;</v>
      </c>
      <c r="AP1354" s="89"/>
    </row>
    <row r="1355">
      <c r="A1355" s="151" t="str">
        <f>IFERROR(__xludf.DUMMYFUNCTION("""COMPUTED_VALUE"""),"V2-3")</f>
        <v>V2-3</v>
      </c>
      <c r="B1355" s="42" t="str">
        <f>IFERROR(__xludf.DUMMYFUNCTION("""COMPUTED_VALUE"""),"DHBA")</f>
        <v>DHBA</v>
      </c>
      <c r="C1355" s="42" t="str">
        <f>IFERROR(__xludf.DUMMYFUNCTION("""COMPUTED_VALUE"""),"layer III of area 18")</f>
        <v>layer III of area 18</v>
      </c>
      <c r="D1355" s="42">
        <f>IFERROR(__xludf.DUMMYFUNCTION("""COMPUTED_VALUE"""),1282.0)</f>
        <v>1282</v>
      </c>
      <c r="E1355" s="39" t="str">
        <f>IFERROR(__xludf.DUMMYFUNCTION("""COMPUTED_VALUE"""),"layer III of area 18")</f>
        <v>layer III of area 18</v>
      </c>
      <c r="F1355" s="9" t="str">
        <f>IFERROR(__xludf.DUMMYFUNCTION("""COMPUTED_VALUE"""),"Br")</f>
        <v>Br</v>
      </c>
      <c r="G1355" s="9" t="str">
        <f>IFERROR(__xludf.DUMMYFUNCTION("""COMPUTED_VALUE"""),"F")</f>
        <v>F</v>
      </c>
      <c r="H1355" s="9" t="str">
        <f>IFERROR(__xludf.DUMMYFUNCTION("""COMPUTED_VALUE"""),"FGM")</f>
        <v>FGM</v>
      </c>
      <c r="I1355" s="9" t="str">
        <f>IFERROR(__xludf.DUMMYFUNCTION("""COMPUTED_VALUE"""),"Tel")</f>
        <v>Tel</v>
      </c>
      <c r="J1355" s="9" t="str">
        <f>IFERROR(__xludf.DUMMYFUNCTION("""COMPUTED_VALUE"""),"Cx")</f>
        <v>Cx</v>
      </c>
      <c r="K1355" s="9" t="str">
        <f>IFERROR(__xludf.DUMMYFUNCTION("""COMPUTED_VALUE"""),"NCx")</f>
        <v>NCx</v>
      </c>
      <c r="L1355" s="9" t="str">
        <f>IFERROR(__xludf.DUMMYFUNCTION("""COMPUTED_VALUE"""),"Ocx")</f>
        <v>Ocx</v>
      </c>
      <c r="M1355" s="9" t="str">
        <f>IFERROR(__xludf.DUMMYFUNCTION("""COMPUTED_VALUE"""),"ESOC")</f>
        <v>ESOC</v>
      </c>
      <c r="N1355" s="9" t="str">
        <f>IFERROR(__xludf.DUMMYFUNCTION("""COMPUTED_VALUE"""),"V2")</f>
        <v>V2</v>
      </c>
      <c r="O1355" s="9" t="str">
        <f>IFERROR(__xludf.DUMMYFUNCTION("""COMPUTED_VALUE"""),"V2-3")</f>
        <v>V2-3</v>
      </c>
      <c r="P1355" s="9"/>
      <c r="Q1355" s="9"/>
      <c r="R1355" s="9"/>
      <c r="S1355" s="42"/>
      <c r="T1355" s="42"/>
      <c r="U1355" s="42"/>
      <c r="V1355" s="42"/>
      <c r="W1355" s="42"/>
      <c r="X1355" s="42"/>
      <c r="Y1355" s="42"/>
      <c r="Z1355" s="42"/>
      <c r="AA1355" s="42"/>
      <c r="AB1355" s="42" t="str">
        <f>IFERROR(__xludf.DUMMYFUNCTION("""COMPUTED_VALUE"""),"allen institute")</f>
        <v>allen institute</v>
      </c>
      <c r="AC1355" s="42" t="str">
        <f>IFERROR(__xludf.DUMMYFUNCTION("""COMPUTED_VALUE"""),"DHBA")</f>
        <v>DHBA</v>
      </c>
      <c r="AD1355" s="42"/>
      <c r="AE1355" s="42"/>
      <c r="AF1355" s="9"/>
      <c r="AG1355" s="9"/>
      <c r="AH1355" s="42"/>
      <c r="AI1355" s="42"/>
      <c r="AJ1355" s="42"/>
      <c r="AK1355" s="42"/>
      <c r="AL1355" s="42"/>
      <c r="AM1355" s="42"/>
      <c r="AN1355" s="42"/>
      <c r="AO1355" s="63" t="str">
        <f>IFERROR(__xludf.DUMMYFUNCTION("IF(ISBLANK(A1355),,IF(ISBLANK(S1355), A1355&amp;"";"", TEXTJOIN(CHAR(10), TRUE, A1355&amp;"";"", ARRAYFORMULA(VLOOKUP(SPLIT(S1355, "";"" &amp; CHAR(10)), $A:$AO, 41, FALSE)))))"),"V2-3;")</f>
        <v>V2-3;</v>
      </c>
      <c r="AP1355" s="89"/>
    </row>
    <row r="1356">
      <c r="A1356" s="151" t="str">
        <f>IFERROR(__xludf.DUMMYFUNCTION("""COMPUTED_VALUE"""),"V2-4")</f>
        <v>V2-4</v>
      </c>
      <c r="B1356" s="42" t="str">
        <f>IFERROR(__xludf.DUMMYFUNCTION("""COMPUTED_VALUE"""),"DHBA")</f>
        <v>DHBA</v>
      </c>
      <c r="C1356" s="42" t="str">
        <f>IFERROR(__xludf.DUMMYFUNCTION("""COMPUTED_VALUE"""),"layer IV of area 18")</f>
        <v>layer IV of area 18</v>
      </c>
      <c r="D1356" s="42">
        <f>IFERROR(__xludf.DUMMYFUNCTION("""COMPUTED_VALUE"""),1283.0)</f>
        <v>1283</v>
      </c>
      <c r="E1356" s="39" t="str">
        <f>IFERROR(__xludf.DUMMYFUNCTION("""COMPUTED_VALUE"""),"layer IV of area 18")</f>
        <v>layer IV of area 18</v>
      </c>
      <c r="F1356" s="9" t="str">
        <f>IFERROR(__xludf.DUMMYFUNCTION("""COMPUTED_VALUE"""),"Br")</f>
        <v>Br</v>
      </c>
      <c r="G1356" s="9" t="str">
        <f>IFERROR(__xludf.DUMMYFUNCTION("""COMPUTED_VALUE"""),"F")</f>
        <v>F</v>
      </c>
      <c r="H1356" s="9" t="str">
        <f>IFERROR(__xludf.DUMMYFUNCTION("""COMPUTED_VALUE"""),"FGM")</f>
        <v>FGM</v>
      </c>
      <c r="I1356" s="9" t="str">
        <f>IFERROR(__xludf.DUMMYFUNCTION("""COMPUTED_VALUE"""),"Tel")</f>
        <v>Tel</v>
      </c>
      <c r="J1356" s="9" t="str">
        <f>IFERROR(__xludf.DUMMYFUNCTION("""COMPUTED_VALUE"""),"Cx")</f>
        <v>Cx</v>
      </c>
      <c r="K1356" s="9" t="str">
        <f>IFERROR(__xludf.DUMMYFUNCTION("""COMPUTED_VALUE"""),"NCx")</f>
        <v>NCx</v>
      </c>
      <c r="L1356" s="9" t="str">
        <f>IFERROR(__xludf.DUMMYFUNCTION("""COMPUTED_VALUE"""),"Ocx")</f>
        <v>Ocx</v>
      </c>
      <c r="M1356" s="9" t="str">
        <f>IFERROR(__xludf.DUMMYFUNCTION("""COMPUTED_VALUE"""),"ESOC")</f>
        <v>ESOC</v>
      </c>
      <c r="N1356" s="9" t="str">
        <f>IFERROR(__xludf.DUMMYFUNCTION("""COMPUTED_VALUE"""),"V2")</f>
        <v>V2</v>
      </c>
      <c r="O1356" s="9" t="str">
        <f>IFERROR(__xludf.DUMMYFUNCTION("""COMPUTED_VALUE"""),"V2-4")</f>
        <v>V2-4</v>
      </c>
      <c r="P1356" s="9"/>
      <c r="Q1356" s="9"/>
      <c r="R1356" s="9"/>
      <c r="S1356" s="42"/>
      <c r="T1356" s="42"/>
      <c r="U1356" s="42"/>
      <c r="V1356" s="42"/>
      <c r="W1356" s="42"/>
      <c r="X1356" s="42"/>
      <c r="Y1356" s="42"/>
      <c r="Z1356" s="42"/>
      <c r="AA1356" s="42"/>
      <c r="AB1356" s="42" t="str">
        <f>IFERROR(__xludf.DUMMYFUNCTION("""COMPUTED_VALUE"""),"allen institute")</f>
        <v>allen institute</v>
      </c>
      <c r="AC1356" s="42" t="str">
        <f>IFERROR(__xludf.DUMMYFUNCTION("""COMPUTED_VALUE"""),"DHBA")</f>
        <v>DHBA</v>
      </c>
      <c r="AD1356" s="42"/>
      <c r="AE1356" s="42"/>
      <c r="AF1356" s="9"/>
      <c r="AG1356" s="9"/>
      <c r="AH1356" s="42"/>
      <c r="AI1356" s="42"/>
      <c r="AJ1356" s="42"/>
      <c r="AK1356" s="42"/>
      <c r="AL1356" s="42"/>
      <c r="AM1356" s="42"/>
      <c r="AN1356" s="42"/>
      <c r="AO1356" s="63" t="str">
        <f>IFERROR(__xludf.DUMMYFUNCTION("IF(ISBLANK(A1356),,IF(ISBLANK(S1356), A1356&amp;"";"", TEXTJOIN(CHAR(10), TRUE, A1356&amp;"";"", ARRAYFORMULA(VLOOKUP(SPLIT(S1356, "";"" &amp; CHAR(10)), $A:$AO, 41, FALSE)))))"),"V2-4;")</f>
        <v>V2-4;</v>
      </c>
      <c r="AP1356" s="89"/>
    </row>
    <row r="1357">
      <c r="A1357" s="151" t="str">
        <f>IFERROR(__xludf.DUMMYFUNCTION("""COMPUTED_VALUE"""),"V2-5")</f>
        <v>V2-5</v>
      </c>
      <c r="B1357" s="42" t="str">
        <f>IFERROR(__xludf.DUMMYFUNCTION("""COMPUTED_VALUE"""),"DHBA")</f>
        <v>DHBA</v>
      </c>
      <c r="C1357" s="42" t="str">
        <f>IFERROR(__xludf.DUMMYFUNCTION("""COMPUTED_VALUE"""),"layer V of area 18")</f>
        <v>layer V of area 18</v>
      </c>
      <c r="D1357" s="42">
        <f>IFERROR(__xludf.DUMMYFUNCTION("""COMPUTED_VALUE"""),1284.0)</f>
        <v>1284</v>
      </c>
      <c r="E1357" s="39" t="str">
        <f>IFERROR(__xludf.DUMMYFUNCTION("""COMPUTED_VALUE"""),"layer V of area 18")</f>
        <v>layer V of area 18</v>
      </c>
      <c r="F1357" s="9" t="str">
        <f>IFERROR(__xludf.DUMMYFUNCTION("""COMPUTED_VALUE"""),"Br")</f>
        <v>Br</v>
      </c>
      <c r="G1357" s="9" t="str">
        <f>IFERROR(__xludf.DUMMYFUNCTION("""COMPUTED_VALUE"""),"F")</f>
        <v>F</v>
      </c>
      <c r="H1357" s="9" t="str">
        <f>IFERROR(__xludf.DUMMYFUNCTION("""COMPUTED_VALUE"""),"FGM")</f>
        <v>FGM</v>
      </c>
      <c r="I1357" s="9" t="str">
        <f>IFERROR(__xludf.DUMMYFUNCTION("""COMPUTED_VALUE"""),"Tel")</f>
        <v>Tel</v>
      </c>
      <c r="J1357" s="9" t="str">
        <f>IFERROR(__xludf.DUMMYFUNCTION("""COMPUTED_VALUE"""),"Cx")</f>
        <v>Cx</v>
      </c>
      <c r="K1357" s="9" t="str">
        <f>IFERROR(__xludf.DUMMYFUNCTION("""COMPUTED_VALUE"""),"NCx")</f>
        <v>NCx</v>
      </c>
      <c r="L1357" s="9" t="str">
        <f>IFERROR(__xludf.DUMMYFUNCTION("""COMPUTED_VALUE"""),"Ocx")</f>
        <v>Ocx</v>
      </c>
      <c r="M1357" s="9" t="str">
        <f>IFERROR(__xludf.DUMMYFUNCTION("""COMPUTED_VALUE"""),"ESOC")</f>
        <v>ESOC</v>
      </c>
      <c r="N1357" s="9" t="str">
        <f>IFERROR(__xludf.DUMMYFUNCTION("""COMPUTED_VALUE"""),"V2")</f>
        <v>V2</v>
      </c>
      <c r="O1357" s="9" t="str">
        <f>IFERROR(__xludf.DUMMYFUNCTION("""COMPUTED_VALUE"""),"V2-5")</f>
        <v>V2-5</v>
      </c>
      <c r="P1357" s="9"/>
      <c r="Q1357" s="9"/>
      <c r="R1357" s="9"/>
      <c r="S1357" s="42"/>
      <c r="T1357" s="42"/>
      <c r="U1357" s="42"/>
      <c r="V1357" s="42"/>
      <c r="W1357" s="42"/>
      <c r="X1357" s="42"/>
      <c r="Y1357" s="42"/>
      <c r="Z1357" s="42"/>
      <c r="AA1357" s="42"/>
      <c r="AB1357" s="42" t="str">
        <f>IFERROR(__xludf.DUMMYFUNCTION("""COMPUTED_VALUE"""),"allen institute")</f>
        <v>allen institute</v>
      </c>
      <c r="AC1357" s="42" t="str">
        <f>IFERROR(__xludf.DUMMYFUNCTION("""COMPUTED_VALUE"""),"DHBA")</f>
        <v>DHBA</v>
      </c>
      <c r="AD1357" s="42"/>
      <c r="AE1357" s="42"/>
      <c r="AF1357" s="9"/>
      <c r="AG1357" s="9"/>
      <c r="AH1357" s="42"/>
      <c r="AI1357" s="42"/>
      <c r="AJ1357" s="42"/>
      <c r="AK1357" s="42"/>
      <c r="AL1357" s="42"/>
      <c r="AM1357" s="42"/>
      <c r="AN1357" s="42"/>
      <c r="AO1357" s="63" t="str">
        <f>IFERROR(__xludf.DUMMYFUNCTION("IF(ISBLANK(A1357),,IF(ISBLANK(S1357), A1357&amp;"";"", TEXTJOIN(CHAR(10), TRUE, A1357&amp;"";"", ARRAYFORMULA(VLOOKUP(SPLIT(S1357, "";"" &amp; CHAR(10)), $A:$AO, 41, FALSE)))))"),"V2-5;")</f>
        <v>V2-5;</v>
      </c>
      <c r="AP1357" s="89"/>
    </row>
    <row r="1358">
      <c r="A1358" s="151" t="str">
        <f>IFERROR(__xludf.DUMMYFUNCTION("""COMPUTED_VALUE"""),"V2-6")</f>
        <v>V2-6</v>
      </c>
      <c r="B1358" s="42" t="str">
        <f>IFERROR(__xludf.DUMMYFUNCTION("""COMPUTED_VALUE"""),"DHBA")</f>
        <v>DHBA</v>
      </c>
      <c r="C1358" s="42" t="str">
        <f>IFERROR(__xludf.DUMMYFUNCTION("""COMPUTED_VALUE"""),"layer VI of area 18")</f>
        <v>layer VI of area 18</v>
      </c>
      <c r="D1358" s="42">
        <f>IFERROR(__xludf.DUMMYFUNCTION("""COMPUTED_VALUE"""),1285.0)</f>
        <v>1285</v>
      </c>
      <c r="E1358" s="39" t="str">
        <f>IFERROR(__xludf.DUMMYFUNCTION("""COMPUTED_VALUE"""),"layer VI of area 18")</f>
        <v>layer VI of area 18</v>
      </c>
      <c r="F1358" s="9" t="str">
        <f>IFERROR(__xludf.DUMMYFUNCTION("""COMPUTED_VALUE"""),"Br")</f>
        <v>Br</v>
      </c>
      <c r="G1358" s="9" t="str">
        <f>IFERROR(__xludf.DUMMYFUNCTION("""COMPUTED_VALUE"""),"F")</f>
        <v>F</v>
      </c>
      <c r="H1358" s="9" t="str">
        <f>IFERROR(__xludf.DUMMYFUNCTION("""COMPUTED_VALUE"""),"FGM")</f>
        <v>FGM</v>
      </c>
      <c r="I1358" s="9" t="str">
        <f>IFERROR(__xludf.DUMMYFUNCTION("""COMPUTED_VALUE"""),"Tel")</f>
        <v>Tel</v>
      </c>
      <c r="J1358" s="9" t="str">
        <f>IFERROR(__xludf.DUMMYFUNCTION("""COMPUTED_VALUE"""),"Cx")</f>
        <v>Cx</v>
      </c>
      <c r="K1358" s="9" t="str">
        <f>IFERROR(__xludf.DUMMYFUNCTION("""COMPUTED_VALUE"""),"NCx")</f>
        <v>NCx</v>
      </c>
      <c r="L1358" s="9" t="str">
        <f>IFERROR(__xludf.DUMMYFUNCTION("""COMPUTED_VALUE"""),"Ocx")</f>
        <v>Ocx</v>
      </c>
      <c r="M1358" s="9" t="str">
        <f>IFERROR(__xludf.DUMMYFUNCTION("""COMPUTED_VALUE"""),"ESOC")</f>
        <v>ESOC</v>
      </c>
      <c r="N1358" s="9" t="str">
        <f>IFERROR(__xludf.DUMMYFUNCTION("""COMPUTED_VALUE"""),"V2")</f>
        <v>V2</v>
      </c>
      <c r="O1358" s="9" t="str">
        <f>IFERROR(__xludf.DUMMYFUNCTION("""COMPUTED_VALUE"""),"V2-6")</f>
        <v>V2-6</v>
      </c>
      <c r="P1358" s="9"/>
      <c r="Q1358" s="9"/>
      <c r="R1358" s="9"/>
      <c r="S1358" s="42"/>
      <c r="T1358" s="42"/>
      <c r="U1358" s="42"/>
      <c r="V1358" s="42"/>
      <c r="W1358" s="42"/>
      <c r="X1358" s="42"/>
      <c r="Y1358" s="42"/>
      <c r="Z1358" s="42"/>
      <c r="AA1358" s="42"/>
      <c r="AB1358" s="42" t="str">
        <f>IFERROR(__xludf.DUMMYFUNCTION("""COMPUTED_VALUE"""),"allen institute")</f>
        <v>allen institute</v>
      </c>
      <c r="AC1358" s="42" t="str">
        <f>IFERROR(__xludf.DUMMYFUNCTION("""COMPUTED_VALUE"""),"DHBA")</f>
        <v>DHBA</v>
      </c>
      <c r="AD1358" s="42"/>
      <c r="AE1358" s="42"/>
      <c r="AF1358" s="9"/>
      <c r="AG1358" s="9"/>
      <c r="AH1358" s="42"/>
      <c r="AI1358" s="42"/>
      <c r="AJ1358" s="42"/>
      <c r="AK1358" s="42"/>
      <c r="AL1358" s="42"/>
      <c r="AM1358" s="42"/>
      <c r="AN1358" s="42"/>
      <c r="AO1358" s="63" t="str">
        <f>IFERROR(__xludf.DUMMYFUNCTION("IF(ISBLANK(A1358),,IF(ISBLANK(S1358), A1358&amp;"";"", TEXTJOIN(CHAR(10), TRUE, A1358&amp;"";"", ARRAYFORMULA(VLOOKUP(SPLIT(S1358, "";"" &amp; CHAR(10)), $A:$AO, 41, FALSE)))))"),"V2-6;")</f>
        <v>V2-6;</v>
      </c>
      <c r="AP1358" s="89"/>
    </row>
    <row r="1359">
      <c r="A1359" s="151" t="str">
        <f>IFERROR(__xludf.DUMMYFUNCTION("""COMPUTED_VALUE"""),"PSC")</f>
        <v>PSC</v>
      </c>
      <c r="B1359" s="42" t="str">
        <f>IFERROR(__xludf.DUMMYFUNCTION("""COMPUTED_VALUE"""),"DHBA")</f>
        <v>DHBA</v>
      </c>
      <c r="C1359" s="42" t="str">
        <f>IFERROR(__xludf.DUMMYFUNCTION("""COMPUTED_VALUE"""),"peristriate cortex (area 19)")</f>
        <v>peristriate cortex (area 19)</v>
      </c>
      <c r="D1359" s="42">
        <f>IFERROR(__xludf.DUMMYFUNCTION("""COMPUTED_VALUE"""),1286.0)</f>
        <v>1286</v>
      </c>
      <c r="E1359" s="39" t="str">
        <f>IFERROR(__xludf.DUMMYFUNCTION("""COMPUTED_VALUE"""),"peristriate cortex (area 19)")</f>
        <v>peristriate cortex (area 19)</v>
      </c>
      <c r="F1359" s="9" t="str">
        <f>IFERROR(__xludf.DUMMYFUNCTION("""COMPUTED_VALUE"""),"Br")</f>
        <v>Br</v>
      </c>
      <c r="G1359" s="9" t="str">
        <f>IFERROR(__xludf.DUMMYFUNCTION("""COMPUTED_VALUE"""),"F")</f>
        <v>F</v>
      </c>
      <c r="H1359" s="9" t="str">
        <f>IFERROR(__xludf.DUMMYFUNCTION("""COMPUTED_VALUE"""),"FGM")</f>
        <v>FGM</v>
      </c>
      <c r="I1359" s="9" t="str">
        <f>IFERROR(__xludf.DUMMYFUNCTION("""COMPUTED_VALUE"""),"Tel")</f>
        <v>Tel</v>
      </c>
      <c r="J1359" s="9" t="str">
        <f>IFERROR(__xludf.DUMMYFUNCTION("""COMPUTED_VALUE"""),"Cx")</f>
        <v>Cx</v>
      </c>
      <c r="K1359" s="9" t="str">
        <f>IFERROR(__xludf.DUMMYFUNCTION("""COMPUTED_VALUE"""),"NCx")</f>
        <v>NCx</v>
      </c>
      <c r="L1359" s="9" t="str">
        <f>IFERROR(__xludf.DUMMYFUNCTION("""COMPUTED_VALUE"""),"Ocx")</f>
        <v>Ocx</v>
      </c>
      <c r="M1359" s="9" t="str">
        <f>IFERROR(__xludf.DUMMYFUNCTION("""COMPUTED_VALUE"""),"ESOC")</f>
        <v>ESOC</v>
      </c>
      <c r="N1359" s="9" t="str">
        <f>IFERROR(__xludf.DUMMYFUNCTION("""COMPUTED_VALUE"""),"PSC")</f>
        <v>PSC</v>
      </c>
      <c r="O1359" s="9"/>
      <c r="P1359" s="9"/>
      <c r="Q1359" s="9"/>
      <c r="R1359" s="9"/>
      <c r="S1359" s="42" t="str">
        <f>IFERROR(__xludf.DUMMYFUNCTION("""COMPUTED_VALUE"""),"V3;
VP;
V3A;
V4;
V3B;
V6;
V6A_PO;
V7")</f>
        <v>V3;
VP;
V3A;
V4;
V3B;
V6;
V6A_PO;
V7</v>
      </c>
      <c r="T1359" s="42"/>
      <c r="U1359" s="42" t="b">
        <f>IFERROR(__xludf.DUMMYFUNCTION("""COMPUTED_VALUE"""),FALSE)</f>
        <v>0</v>
      </c>
      <c r="V1359" s="42"/>
      <c r="W1359" s="42"/>
      <c r="X1359" s="42"/>
      <c r="Y1359" s="42"/>
      <c r="Z1359" s="42"/>
      <c r="AA1359" s="42"/>
      <c r="AB1359" s="42" t="str">
        <f>IFERROR(__xludf.DUMMYFUNCTION("""COMPUTED_VALUE"""),"allen institute")</f>
        <v>allen institute</v>
      </c>
      <c r="AC1359" s="42" t="str">
        <f>IFERROR(__xludf.DUMMYFUNCTION("""COMPUTED_VALUE"""),"DHBA")</f>
        <v>DHBA</v>
      </c>
      <c r="AD1359" s="42"/>
      <c r="AE1359" s="42"/>
      <c r="AF1359" s="9"/>
      <c r="AG1359" s="9"/>
      <c r="AH1359" s="42"/>
      <c r="AI1359" s="42"/>
      <c r="AJ1359" s="42"/>
      <c r="AK1359" s="42"/>
      <c r="AL1359" s="42"/>
      <c r="AM1359" s="42"/>
      <c r="AN1359" s="42"/>
      <c r="AO1359" s="63" t="str">
        <f>IFERROR(__xludf.DUMMYFUNCTION("IF(ISBLANK(A1359),,IF(ISBLANK(S1359), A1359&amp;"";"", TEXTJOIN(CHAR(10), TRUE, A1359&amp;"";"", ARRAYFORMULA(VLOOKUP(SPLIT(S1359, "";"" &amp; CHAR(10)), $A:$AO, 41, FALSE)))))"),"#N/A")</f>
        <v>#N/A</v>
      </c>
      <c r="AP1359" s="89"/>
    </row>
    <row r="1360">
      <c r="A1360" s="151" t="str">
        <f>IFERROR(__xludf.DUMMYFUNCTION("""COMPUTED_VALUE"""),"V3")</f>
        <v>V3</v>
      </c>
      <c r="B1360" s="42" t="str">
        <f>IFERROR(__xludf.DUMMYFUNCTION("""COMPUTED_VALUE"""),"DHBA")</f>
        <v>DHBA</v>
      </c>
      <c r="C1360" s="42" t="str">
        <f>IFERROR(__xludf.DUMMYFUNCTION("""COMPUTED_VALUE"""),"area V3 of peristriate cortex")</f>
        <v>area V3 of peristriate cortex</v>
      </c>
      <c r="D1360" s="42">
        <f>IFERROR(__xludf.DUMMYFUNCTION("""COMPUTED_VALUE"""),1287.0)</f>
        <v>1287</v>
      </c>
      <c r="E1360" s="39" t="str">
        <f>IFERROR(__xludf.DUMMYFUNCTION("""COMPUTED_VALUE"""),"area V3 of peristriate cortex")</f>
        <v>area V3 of peristriate cortex</v>
      </c>
      <c r="F1360" s="9" t="str">
        <f>IFERROR(__xludf.DUMMYFUNCTION("""COMPUTED_VALUE"""),"Br")</f>
        <v>Br</v>
      </c>
      <c r="G1360" s="9" t="str">
        <f>IFERROR(__xludf.DUMMYFUNCTION("""COMPUTED_VALUE"""),"F")</f>
        <v>F</v>
      </c>
      <c r="H1360" s="9" t="str">
        <f>IFERROR(__xludf.DUMMYFUNCTION("""COMPUTED_VALUE"""),"FGM")</f>
        <v>FGM</v>
      </c>
      <c r="I1360" s="9" t="str">
        <f>IFERROR(__xludf.DUMMYFUNCTION("""COMPUTED_VALUE"""),"Tel")</f>
        <v>Tel</v>
      </c>
      <c r="J1360" s="9" t="str">
        <f>IFERROR(__xludf.DUMMYFUNCTION("""COMPUTED_VALUE"""),"Cx")</f>
        <v>Cx</v>
      </c>
      <c r="K1360" s="9" t="str">
        <f>IFERROR(__xludf.DUMMYFUNCTION("""COMPUTED_VALUE"""),"NCx")</f>
        <v>NCx</v>
      </c>
      <c r="L1360" s="9" t="str">
        <f>IFERROR(__xludf.DUMMYFUNCTION("""COMPUTED_VALUE"""),"Ocx")</f>
        <v>Ocx</v>
      </c>
      <c r="M1360" s="9" t="str">
        <f>IFERROR(__xludf.DUMMYFUNCTION("""COMPUTED_VALUE"""),"ESOC")</f>
        <v>ESOC</v>
      </c>
      <c r="N1360" s="9" t="str">
        <f>IFERROR(__xludf.DUMMYFUNCTION("""COMPUTED_VALUE"""),"PSC")</f>
        <v>PSC</v>
      </c>
      <c r="O1360" s="9" t="str">
        <f>IFERROR(__xludf.DUMMYFUNCTION("""COMPUTED_VALUE"""),"V3")</f>
        <v>V3</v>
      </c>
      <c r="P1360" s="9"/>
      <c r="Q1360" s="9"/>
      <c r="R1360" s="9"/>
      <c r="S1360" s="42" t="str">
        <f>IFERROR(__xludf.DUMMYFUNCTION("""COMPUTED_VALUE"""),"V3_1;
V3_2;
V3_3;
V3_4;
V3_5;
V3_6")</f>
        <v>V3_1;
V3_2;
V3_3;
V3_4;
V3_5;
V3_6</v>
      </c>
      <c r="T1360" s="42"/>
      <c r="U1360" s="42" t="b">
        <f>IFERROR(__xludf.DUMMYFUNCTION("""COMPUTED_VALUE"""),FALSE)</f>
        <v>0</v>
      </c>
      <c r="V1360" s="42"/>
      <c r="W1360" s="42"/>
      <c r="X1360" s="42"/>
      <c r="Y1360" s="42"/>
      <c r="Z1360" s="42"/>
      <c r="AA1360" s="42"/>
      <c r="AB1360" s="42" t="str">
        <f>IFERROR(__xludf.DUMMYFUNCTION("""COMPUTED_VALUE"""),"allen institute")</f>
        <v>allen institute</v>
      </c>
      <c r="AC1360" s="42" t="str">
        <f>IFERROR(__xludf.DUMMYFUNCTION("""COMPUTED_VALUE"""),"DHBA")</f>
        <v>DHBA</v>
      </c>
      <c r="AD1360" s="42"/>
      <c r="AE1360" s="42"/>
      <c r="AF1360" s="9"/>
      <c r="AG1360" s="9"/>
      <c r="AH1360" s="42"/>
      <c r="AI1360" s="42"/>
      <c r="AJ1360" s="42"/>
      <c r="AK1360" s="42"/>
      <c r="AL1360" s="42"/>
      <c r="AM1360" s="42"/>
      <c r="AN1360" s="42"/>
      <c r="AO1360" s="63" t="str">
        <f>IFERROR(__xludf.DUMMYFUNCTION("IF(ISBLANK(A1360),,IF(ISBLANK(S1360), A1360&amp;"";"", TEXTJOIN(CHAR(10), TRUE, A1360&amp;"";"", ARRAYFORMULA(VLOOKUP(SPLIT(S1360, "";"" &amp; CHAR(10)), $A:$AO, 41, FALSE)))))"),"#N/A")</f>
        <v>#N/A</v>
      </c>
      <c r="AP1360" s="89"/>
    </row>
    <row r="1361">
      <c r="A1361" s="151" t="str">
        <f>IFERROR(__xludf.DUMMYFUNCTION("""COMPUTED_VALUE"""),"V3-1")</f>
        <v>V3-1</v>
      </c>
      <c r="B1361" s="42" t="str">
        <f>IFERROR(__xludf.DUMMYFUNCTION("""COMPUTED_VALUE"""),"DHBA")</f>
        <v>DHBA</v>
      </c>
      <c r="C1361" s="42" t="str">
        <f>IFERROR(__xludf.DUMMYFUNCTION("""COMPUTED_VALUE"""),"layer I of area V3")</f>
        <v>layer I of area V3</v>
      </c>
      <c r="D1361" s="42">
        <f>IFERROR(__xludf.DUMMYFUNCTION("""COMPUTED_VALUE"""),1288.0)</f>
        <v>1288</v>
      </c>
      <c r="E1361" s="39" t="str">
        <f>IFERROR(__xludf.DUMMYFUNCTION("""COMPUTED_VALUE"""),"layer I of area V3")</f>
        <v>layer I of area V3</v>
      </c>
      <c r="F1361" s="9" t="str">
        <f>IFERROR(__xludf.DUMMYFUNCTION("""COMPUTED_VALUE"""),"Br")</f>
        <v>Br</v>
      </c>
      <c r="G1361" s="9" t="str">
        <f>IFERROR(__xludf.DUMMYFUNCTION("""COMPUTED_VALUE"""),"F")</f>
        <v>F</v>
      </c>
      <c r="H1361" s="9" t="str">
        <f>IFERROR(__xludf.DUMMYFUNCTION("""COMPUTED_VALUE"""),"FGM")</f>
        <v>FGM</v>
      </c>
      <c r="I1361" s="9" t="str">
        <f>IFERROR(__xludf.DUMMYFUNCTION("""COMPUTED_VALUE"""),"Tel")</f>
        <v>Tel</v>
      </c>
      <c r="J1361" s="9" t="str">
        <f>IFERROR(__xludf.DUMMYFUNCTION("""COMPUTED_VALUE"""),"Cx")</f>
        <v>Cx</v>
      </c>
      <c r="K1361" s="9" t="str">
        <f>IFERROR(__xludf.DUMMYFUNCTION("""COMPUTED_VALUE"""),"NCx")</f>
        <v>NCx</v>
      </c>
      <c r="L1361" s="9" t="str">
        <f>IFERROR(__xludf.DUMMYFUNCTION("""COMPUTED_VALUE"""),"Ocx")</f>
        <v>Ocx</v>
      </c>
      <c r="M1361" s="9" t="str">
        <f>IFERROR(__xludf.DUMMYFUNCTION("""COMPUTED_VALUE"""),"ESOC")</f>
        <v>ESOC</v>
      </c>
      <c r="N1361" s="9" t="str">
        <f>IFERROR(__xludf.DUMMYFUNCTION("""COMPUTED_VALUE"""),"PSC")</f>
        <v>PSC</v>
      </c>
      <c r="O1361" s="9" t="str">
        <f>IFERROR(__xludf.DUMMYFUNCTION("""COMPUTED_VALUE"""),"V3")</f>
        <v>V3</v>
      </c>
      <c r="P1361" s="9" t="str">
        <f>IFERROR(__xludf.DUMMYFUNCTION("""COMPUTED_VALUE"""),"V3-1")</f>
        <v>V3-1</v>
      </c>
      <c r="Q1361" s="9"/>
      <c r="R1361" s="9"/>
      <c r="S1361" s="42"/>
      <c r="T1361" s="42"/>
      <c r="U1361" s="42"/>
      <c r="V1361" s="42"/>
      <c r="W1361" s="42"/>
      <c r="X1361" s="42"/>
      <c r="Y1361" s="42"/>
      <c r="Z1361" s="42"/>
      <c r="AA1361" s="42"/>
      <c r="AB1361" s="42" t="str">
        <f>IFERROR(__xludf.DUMMYFUNCTION("""COMPUTED_VALUE"""),"allen institute")</f>
        <v>allen institute</v>
      </c>
      <c r="AC1361" s="42" t="str">
        <f>IFERROR(__xludf.DUMMYFUNCTION("""COMPUTED_VALUE"""),"DHBA")</f>
        <v>DHBA</v>
      </c>
      <c r="AD1361" s="42"/>
      <c r="AE1361" s="42"/>
      <c r="AF1361" s="9"/>
      <c r="AG1361" s="9"/>
      <c r="AH1361" s="42"/>
      <c r="AI1361" s="42"/>
      <c r="AJ1361" s="42"/>
      <c r="AK1361" s="42"/>
      <c r="AL1361" s="42"/>
      <c r="AM1361" s="42"/>
      <c r="AN1361" s="42"/>
      <c r="AO1361" s="63" t="str">
        <f>IFERROR(__xludf.DUMMYFUNCTION("IF(ISBLANK(A1361),,IF(ISBLANK(S1361), A1361&amp;"";"", TEXTJOIN(CHAR(10), TRUE, A1361&amp;"";"", ARRAYFORMULA(VLOOKUP(SPLIT(S1361, "";"" &amp; CHAR(10)), $A:$AO, 41, FALSE)))))"),"V3-1;")</f>
        <v>V3-1;</v>
      </c>
      <c r="AP1361" s="89"/>
    </row>
    <row r="1362">
      <c r="A1362" s="151" t="str">
        <f>IFERROR(__xludf.DUMMYFUNCTION("""COMPUTED_VALUE"""),"V3-2")</f>
        <v>V3-2</v>
      </c>
      <c r="B1362" s="42" t="str">
        <f>IFERROR(__xludf.DUMMYFUNCTION("""COMPUTED_VALUE"""),"DHBA")</f>
        <v>DHBA</v>
      </c>
      <c r="C1362" s="42" t="str">
        <f>IFERROR(__xludf.DUMMYFUNCTION("""COMPUTED_VALUE"""),"layer II of area V3")</f>
        <v>layer II of area V3</v>
      </c>
      <c r="D1362" s="42">
        <f>IFERROR(__xludf.DUMMYFUNCTION("""COMPUTED_VALUE"""),1289.0)</f>
        <v>1289</v>
      </c>
      <c r="E1362" s="39" t="str">
        <f>IFERROR(__xludf.DUMMYFUNCTION("""COMPUTED_VALUE"""),"layer II of area V3")</f>
        <v>layer II of area V3</v>
      </c>
      <c r="F1362" s="9" t="str">
        <f>IFERROR(__xludf.DUMMYFUNCTION("""COMPUTED_VALUE"""),"Br")</f>
        <v>Br</v>
      </c>
      <c r="G1362" s="9" t="str">
        <f>IFERROR(__xludf.DUMMYFUNCTION("""COMPUTED_VALUE"""),"F")</f>
        <v>F</v>
      </c>
      <c r="H1362" s="9" t="str">
        <f>IFERROR(__xludf.DUMMYFUNCTION("""COMPUTED_VALUE"""),"FGM")</f>
        <v>FGM</v>
      </c>
      <c r="I1362" s="9" t="str">
        <f>IFERROR(__xludf.DUMMYFUNCTION("""COMPUTED_VALUE"""),"Tel")</f>
        <v>Tel</v>
      </c>
      <c r="J1362" s="9" t="str">
        <f>IFERROR(__xludf.DUMMYFUNCTION("""COMPUTED_VALUE"""),"Cx")</f>
        <v>Cx</v>
      </c>
      <c r="K1362" s="9" t="str">
        <f>IFERROR(__xludf.DUMMYFUNCTION("""COMPUTED_VALUE"""),"NCx")</f>
        <v>NCx</v>
      </c>
      <c r="L1362" s="9" t="str">
        <f>IFERROR(__xludf.DUMMYFUNCTION("""COMPUTED_VALUE"""),"Ocx")</f>
        <v>Ocx</v>
      </c>
      <c r="M1362" s="9" t="str">
        <f>IFERROR(__xludf.DUMMYFUNCTION("""COMPUTED_VALUE"""),"ESOC")</f>
        <v>ESOC</v>
      </c>
      <c r="N1362" s="9" t="str">
        <f>IFERROR(__xludf.DUMMYFUNCTION("""COMPUTED_VALUE"""),"PSC")</f>
        <v>PSC</v>
      </c>
      <c r="O1362" s="9" t="str">
        <f>IFERROR(__xludf.DUMMYFUNCTION("""COMPUTED_VALUE"""),"V3")</f>
        <v>V3</v>
      </c>
      <c r="P1362" s="9" t="str">
        <f>IFERROR(__xludf.DUMMYFUNCTION("""COMPUTED_VALUE"""),"V3-2")</f>
        <v>V3-2</v>
      </c>
      <c r="Q1362" s="9"/>
      <c r="R1362" s="9"/>
      <c r="S1362" s="42"/>
      <c r="T1362" s="42"/>
      <c r="U1362" s="42"/>
      <c r="V1362" s="42"/>
      <c r="W1362" s="42"/>
      <c r="X1362" s="42"/>
      <c r="Y1362" s="42"/>
      <c r="Z1362" s="42"/>
      <c r="AA1362" s="42"/>
      <c r="AB1362" s="42" t="str">
        <f>IFERROR(__xludf.DUMMYFUNCTION("""COMPUTED_VALUE"""),"allen institute")</f>
        <v>allen institute</v>
      </c>
      <c r="AC1362" s="42" t="str">
        <f>IFERROR(__xludf.DUMMYFUNCTION("""COMPUTED_VALUE"""),"DHBA")</f>
        <v>DHBA</v>
      </c>
      <c r="AD1362" s="42"/>
      <c r="AE1362" s="42"/>
      <c r="AF1362" s="9"/>
      <c r="AG1362" s="9"/>
      <c r="AH1362" s="42"/>
      <c r="AI1362" s="42"/>
      <c r="AJ1362" s="42"/>
      <c r="AK1362" s="42"/>
      <c r="AL1362" s="42"/>
      <c r="AM1362" s="42"/>
      <c r="AN1362" s="42"/>
      <c r="AO1362" s="63" t="str">
        <f>IFERROR(__xludf.DUMMYFUNCTION("IF(ISBLANK(A1362),,IF(ISBLANK(S1362), A1362&amp;"";"", TEXTJOIN(CHAR(10), TRUE, A1362&amp;"";"", ARRAYFORMULA(VLOOKUP(SPLIT(S1362, "";"" &amp; CHAR(10)), $A:$AO, 41, FALSE)))))"),"V3-2;")</f>
        <v>V3-2;</v>
      </c>
      <c r="AP1362" s="89"/>
    </row>
    <row r="1363">
      <c r="A1363" s="151" t="str">
        <f>IFERROR(__xludf.DUMMYFUNCTION("""COMPUTED_VALUE"""),"V3-3")</f>
        <v>V3-3</v>
      </c>
      <c r="B1363" s="42" t="str">
        <f>IFERROR(__xludf.DUMMYFUNCTION("""COMPUTED_VALUE"""),"DHBA")</f>
        <v>DHBA</v>
      </c>
      <c r="C1363" s="42" t="str">
        <f>IFERROR(__xludf.DUMMYFUNCTION("""COMPUTED_VALUE"""),"layer III of area V3")</f>
        <v>layer III of area V3</v>
      </c>
      <c r="D1363" s="42">
        <f>IFERROR(__xludf.DUMMYFUNCTION("""COMPUTED_VALUE"""),1290.0)</f>
        <v>1290</v>
      </c>
      <c r="E1363" s="39" t="str">
        <f>IFERROR(__xludf.DUMMYFUNCTION("""COMPUTED_VALUE"""),"layer III of area V3")</f>
        <v>layer III of area V3</v>
      </c>
      <c r="F1363" s="9" t="str">
        <f>IFERROR(__xludf.DUMMYFUNCTION("""COMPUTED_VALUE"""),"Br")</f>
        <v>Br</v>
      </c>
      <c r="G1363" s="9" t="str">
        <f>IFERROR(__xludf.DUMMYFUNCTION("""COMPUTED_VALUE"""),"F")</f>
        <v>F</v>
      </c>
      <c r="H1363" s="9" t="str">
        <f>IFERROR(__xludf.DUMMYFUNCTION("""COMPUTED_VALUE"""),"FGM")</f>
        <v>FGM</v>
      </c>
      <c r="I1363" s="9" t="str">
        <f>IFERROR(__xludf.DUMMYFUNCTION("""COMPUTED_VALUE"""),"Tel")</f>
        <v>Tel</v>
      </c>
      <c r="J1363" s="9" t="str">
        <f>IFERROR(__xludf.DUMMYFUNCTION("""COMPUTED_VALUE"""),"Cx")</f>
        <v>Cx</v>
      </c>
      <c r="K1363" s="9" t="str">
        <f>IFERROR(__xludf.DUMMYFUNCTION("""COMPUTED_VALUE"""),"NCx")</f>
        <v>NCx</v>
      </c>
      <c r="L1363" s="9" t="str">
        <f>IFERROR(__xludf.DUMMYFUNCTION("""COMPUTED_VALUE"""),"Ocx")</f>
        <v>Ocx</v>
      </c>
      <c r="M1363" s="9" t="str">
        <f>IFERROR(__xludf.DUMMYFUNCTION("""COMPUTED_VALUE"""),"ESOC")</f>
        <v>ESOC</v>
      </c>
      <c r="N1363" s="9" t="str">
        <f>IFERROR(__xludf.DUMMYFUNCTION("""COMPUTED_VALUE"""),"PSC")</f>
        <v>PSC</v>
      </c>
      <c r="O1363" s="9" t="str">
        <f>IFERROR(__xludf.DUMMYFUNCTION("""COMPUTED_VALUE"""),"V3")</f>
        <v>V3</v>
      </c>
      <c r="P1363" s="9" t="str">
        <f>IFERROR(__xludf.DUMMYFUNCTION("""COMPUTED_VALUE"""),"V3-3")</f>
        <v>V3-3</v>
      </c>
      <c r="Q1363" s="9"/>
      <c r="R1363" s="9"/>
      <c r="S1363" s="42"/>
      <c r="T1363" s="42"/>
      <c r="U1363" s="42"/>
      <c r="V1363" s="42"/>
      <c r="W1363" s="42"/>
      <c r="X1363" s="42"/>
      <c r="Y1363" s="42"/>
      <c r="Z1363" s="42"/>
      <c r="AA1363" s="42"/>
      <c r="AB1363" s="42" t="str">
        <f>IFERROR(__xludf.DUMMYFUNCTION("""COMPUTED_VALUE"""),"allen institute")</f>
        <v>allen institute</v>
      </c>
      <c r="AC1363" s="42" t="str">
        <f>IFERROR(__xludf.DUMMYFUNCTION("""COMPUTED_VALUE"""),"DHBA")</f>
        <v>DHBA</v>
      </c>
      <c r="AD1363" s="42"/>
      <c r="AE1363" s="42"/>
      <c r="AF1363" s="9"/>
      <c r="AG1363" s="9"/>
      <c r="AH1363" s="42"/>
      <c r="AI1363" s="42"/>
      <c r="AJ1363" s="42"/>
      <c r="AK1363" s="42"/>
      <c r="AL1363" s="42"/>
      <c r="AM1363" s="42"/>
      <c r="AN1363" s="42"/>
      <c r="AO1363" s="63" t="str">
        <f>IFERROR(__xludf.DUMMYFUNCTION("IF(ISBLANK(A1363),,IF(ISBLANK(S1363), A1363&amp;"";"", TEXTJOIN(CHAR(10), TRUE, A1363&amp;"";"", ARRAYFORMULA(VLOOKUP(SPLIT(S1363, "";"" &amp; CHAR(10)), $A:$AO, 41, FALSE)))))"),"V3-3;")</f>
        <v>V3-3;</v>
      </c>
      <c r="AP1363" s="89"/>
    </row>
    <row r="1364">
      <c r="A1364" s="151" t="str">
        <f>IFERROR(__xludf.DUMMYFUNCTION("""COMPUTED_VALUE"""),"V3-4")</f>
        <v>V3-4</v>
      </c>
      <c r="B1364" s="42" t="str">
        <f>IFERROR(__xludf.DUMMYFUNCTION("""COMPUTED_VALUE"""),"DHBA")</f>
        <v>DHBA</v>
      </c>
      <c r="C1364" s="42" t="str">
        <f>IFERROR(__xludf.DUMMYFUNCTION("""COMPUTED_VALUE"""),"layer IV of area V3")</f>
        <v>layer IV of area V3</v>
      </c>
      <c r="D1364" s="42">
        <f>IFERROR(__xludf.DUMMYFUNCTION("""COMPUTED_VALUE"""),1291.0)</f>
        <v>1291</v>
      </c>
      <c r="E1364" s="39" t="str">
        <f>IFERROR(__xludf.DUMMYFUNCTION("""COMPUTED_VALUE"""),"layer IV of area V3")</f>
        <v>layer IV of area V3</v>
      </c>
      <c r="F1364" s="9" t="str">
        <f>IFERROR(__xludf.DUMMYFUNCTION("""COMPUTED_VALUE"""),"Br")</f>
        <v>Br</v>
      </c>
      <c r="G1364" s="9" t="str">
        <f>IFERROR(__xludf.DUMMYFUNCTION("""COMPUTED_VALUE"""),"F")</f>
        <v>F</v>
      </c>
      <c r="H1364" s="9" t="str">
        <f>IFERROR(__xludf.DUMMYFUNCTION("""COMPUTED_VALUE"""),"FGM")</f>
        <v>FGM</v>
      </c>
      <c r="I1364" s="9" t="str">
        <f>IFERROR(__xludf.DUMMYFUNCTION("""COMPUTED_VALUE"""),"Tel")</f>
        <v>Tel</v>
      </c>
      <c r="J1364" s="9" t="str">
        <f>IFERROR(__xludf.DUMMYFUNCTION("""COMPUTED_VALUE"""),"Cx")</f>
        <v>Cx</v>
      </c>
      <c r="K1364" s="9" t="str">
        <f>IFERROR(__xludf.DUMMYFUNCTION("""COMPUTED_VALUE"""),"NCx")</f>
        <v>NCx</v>
      </c>
      <c r="L1364" s="9" t="str">
        <f>IFERROR(__xludf.DUMMYFUNCTION("""COMPUTED_VALUE"""),"Ocx")</f>
        <v>Ocx</v>
      </c>
      <c r="M1364" s="9" t="str">
        <f>IFERROR(__xludf.DUMMYFUNCTION("""COMPUTED_VALUE"""),"ESOC")</f>
        <v>ESOC</v>
      </c>
      <c r="N1364" s="9" t="str">
        <f>IFERROR(__xludf.DUMMYFUNCTION("""COMPUTED_VALUE"""),"PSC")</f>
        <v>PSC</v>
      </c>
      <c r="O1364" s="9" t="str">
        <f>IFERROR(__xludf.DUMMYFUNCTION("""COMPUTED_VALUE"""),"V3")</f>
        <v>V3</v>
      </c>
      <c r="P1364" s="9" t="str">
        <f>IFERROR(__xludf.DUMMYFUNCTION("""COMPUTED_VALUE"""),"V3-4")</f>
        <v>V3-4</v>
      </c>
      <c r="Q1364" s="9"/>
      <c r="R1364" s="9"/>
      <c r="S1364" s="42"/>
      <c r="T1364" s="42"/>
      <c r="U1364" s="42"/>
      <c r="V1364" s="42"/>
      <c r="W1364" s="42"/>
      <c r="X1364" s="42"/>
      <c r="Y1364" s="42"/>
      <c r="Z1364" s="42"/>
      <c r="AA1364" s="42"/>
      <c r="AB1364" s="42" t="str">
        <f>IFERROR(__xludf.DUMMYFUNCTION("""COMPUTED_VALUE"""),"allen institute")</f>
        <v>allen institute</v>
      </c>
      <c r="AC1364" s="42" t="str">
        <f>IFERROR(__xludf.DUMMYFUNCTION("""COMPUTED_VALUE"""),"DHBA")</f>
        <v>DHBA</v>
      </c>
      <c r="AD1364" s="42"/>
      <c r="AE1364" s="42"/>
      <c r="AF1364" s="9"/>
      <c r="AG1364" s="9"/>
      <c r="AH1364" s="42"/>
      <c r="AI1364" s="42"/>
      <c r="AJ1364" s="42"/>
      <c r="AK1364" s="42"/>
      <c r="AL1364" s="42"/>
      <c r="AM1364" s="42"/>
      <c r="AN1364" s="42"/>
      <c r="AO1364" s="63" t="str">
        <f>IFERROR(__xludf.DUMMYFUNCTION("IF(ISBLANK(A1364),,IF(ISBLANK(S1364), A1364&amp;"";"", TEXTJOIN(CHAR(10), TRUE, A1364&amp;"";"", ARRAYFORMULA(VLOOKUP(SPLIT(S1364, "";"" &amp; CHAR(10)), $A:$AO, 41, FALSE)))))"),"V3-4;")</f>
        <v>V3-4;</v>
      </c>
      <c r="AP1364" s="89"/>
    </row>
    <row r="1365">
      <c r="A1365" s="151" t="str">
        <f>IFERROR(__xludf.DUMMYFUNCTION("""COMPUTED_VALUE"""),"V3-5")</f>
        <v>V3-5</v>
      </c>
      <c r="B1365" s="42" t="str">
        <f>IFERROR(__xludf.DUMMYFUNCTION("""COMPUTED_VALUE"""),"DHBA")</f>
        <v>DHBA</v>
      </c>
      <c r="C1365" s="42" t="str">
        <f>IFERROR(__xludf.DUMMYFUNCTION("""COMPUTED_VALUE"""),"layer V of area V3")</f>
        <v>layer V of area V3</v>
      </c>
      <c r="D1365" s="42">
        <f>IFERROR(__xludf.DUMMYFUNCTION("""COMPUTED_VALUE"""),1292.0)</f>
        <v>1292</v>
      </c>
      <c r="E1365" s="39" t="str">
        <f>IFERROR(__xludf.DUMMYFUNCTION("""COMPUTED_VALUE"""),"layer V of area V3")</f>
        <v>layer V of area V3</v>
      </c>
      <c r="F1365" s="9" t="str">
        <f>IFERROR(__xludf.DUMMYFUNCTION("""COMPUTED_VALUE"""),"Br")</f>
        <v>Br</v>
      </c>
      <c r="G1365" s="9" t="str">
        <f>IFERROR(__xludf.DUMMYFUNCTION("""COMPUTED_VALUE"""),"F")</f>
        <v>F</v>
      </c>
      <c r="H1365" s="9" t="str">
        <f>IFERROR(__xludf.DUMMYFUNCTION("""COMPUTED_VALUE"""),"FGM")</f>
        <v>FGM</v>
      </c>
      <c r="I1365" s="9" t="str">
        <f>IFERROR(__xludf.DUMMYFUNCTION("""COMPUTED_VALUE"""),"Tel")</f>
        <v>Tel</v>
      </c>
      <c r="J1365" s="9" t="str">
        <f>IFERROR(__xludf.DUMMYFUNCTION("""COMPUTED_VALUE"""),"Cx")</f>
        <v>Cx</v>
      </c>
      <c r="K1365" s="9" t="str">
        <f>IFERROR(__xludf.DUMMYFUNCTION("""COMPUTED_VALUE"""),"NCx")</f>
        <v>NCx</v>
      </c>
      <c r="L1365" s="9" t="str">
        <f>IFERROR(__xludf.DUMMYFUNCTION("""COMPUTED_VALUE"""),"Ocx")</f>
        <v>Ocx</v>
      </c>
      <c r="M1365" s="9" t="str">
        <f>IFERROR(__xludf.DUMMYFUNCTION("""COMPUTED_VALUE"""),"ESOC")</f>
        <v>ESOC</v>
      </c>
      <c r="N1365" s="9" t="str">
        <f>IFERROR(__xludf.DUMMYFUNCTION("""COMPUTED_VALUE"""),"PSC")</f>
        <v>PSC</v>
      </c>
      <c r="O1365" s="9" t="str">
        <f>IFERROR(__xludf.DUMMYFUNCTION("""COMPUTED_VALUE"""),"V3")</f>
        <v>V3</v>
      </c>
      <c r="P1365" s="9" t="str">
        <f>IFERROR(__xludf.DUMMYFUNCTION("""COMPUTED_VALUE"""),"V3-5")</f>
        <v>V3-5</v>
      </c>
      <c r="Q1365" s="9"/>
      <c r="R1365" s="9"/>
      <c r="S1365" s="42"/>
      <c r="T1365" s="42"/>
      <c r="U1365" s="42"/>
      <c r="V1365" s="42"/>
      <c r="W1365" s="42"/>
      <c r="X1365" s="42"/>
      <c r="Y1365" s="42"/>
      <c r="Z1365" s="42"/>
      <c r="AA1365" s="42"/>
      <c r="AB1365" s="42" t="str">
        <f>IFERROR(__xludf.DUMMYFUNCTION("""COMPUTED_VALUE"""),"allen institute")</f>
        <v>allen institute</v>
      </c>
      <c r="AC1365" s="42" t="str">
        <f>IFERROR(__xludf.DUMMYFUNCTION("""COMPUTED_VALUE"""),"DHBA")</f>
        <v>DHBA</v>
      </c>
      <c r="AD1365" s="42"/>
      <c r="AE1365" s="42"/>
      <c r="AF1365" s="9"/>
      <c r="AG1365" s="9"/>
      <c r="AH1365" s="42"/>
      <c r="AI1365" s="42"/>
      <c r="AJ1365" s="42"/>
      <c r="AK1365" s="42"/>
      <c r="AL1365" s="42"/>
      <c r="AM1365" s="42"/>
      <c r="AN1365" s="42"/>
      <c r="AO1365" s="63" t="str">
        <f>IFERROR(__xludf.DUMMYFUNCTION("IF(ISBLANK(A1365),,IF(ISBLANK(S1365), A1365&amp;"";"", TEXTJOIN(CHAR(10), TRUE, A1365&amp;"";"", ARRAYFORMULA(VLOOKUP(SPLIT(S1365, "";"" &amp; CHAR(10)), $A:$AO, 41, FALSE)))))"),"V3-5;")</f>
        <v>V3-5;</v>
      </c>
      <c r="AP1365" s="89"/>
    </row>
    <row r="1366">
      <c r="A1366" s="151" t="str">
        <f>IFERROR(__xludf.DUMMYFUNCTION("""COMPUTED_VALUE"""),"V3-6")</f>
        <v>V3-6</v>
      </c>
      <c r="B1366" s="42" t="str">
        <f>IFERROR(__xludf.DUMMYFUNCTION("""COMPUTED_VALUE"""),"DHBA")</f>
        <v>DHBA</v>
      </c>
      <c r="C1366" s="42" t="str">
        <f>IFERROR(__xludf.DUMMYFUNCTION("""COMPUTED_VALUE"""),"layer VI of area V3")</f>
        <v>layer VI of area V3</v>
      </c>
      <c r="D1366" s="42">
        <f>IFERROR(__xludf.DUMMYFUNCTION("""COMPUTED_VALUE"""),1293.0)</f>
        <v>1293</v>
      </c>
      <c r="E1366" s="39" t="str">
        <f>IFERROR(__xludf.DUMMYFUNCTION("""COMPUTED_VALUE"""),"layer VI of area V3")</f>
        <v>layer VI of area V3</v>
      </c>
      <c r="F1366" s="9" t="str">
        <f>IFERROR(__xludf.DUMMYFUNCTION("""COMPUTED_VALUE"""),"Br")</f>
        <v>Br</v>
      </c>
      <c r="G1366" s="9" t="str">
        <f>IFERROR(__xludf.DUMMYFUNCTION("""COMPUTED_VALUE"""),"F")</f>
        <v>F</v>
      </c>
      <c r="H1366" s="9" t="str">
        <f>IFERROR(__xludf.DUMMYFUNCTION("""COMPUTED_VALUE"""),"FGM")</f>
        <v>FGM</v>
      </c>
      <c r="I1366" s="9" t="str">
        <f>IFERROR(__xludf.DUMMYFUNCTION("""COMPUTED_VALUE"""),"Tel")</f>
        <v>Tel</v>
      </c>
      <c r="J1366" s="9" t="str">
        <f>IFERROR(__xludf.DUMMYFUNCTION("""COMPUTED_VALUE"""),"Cx")</f>
        <v>Cx</v>
      </c>
      <c r="K1366" s="9" t="str">
        <f>IFERROR(__xludf.DUMMYFUNCTION("""COMPUTED_VALUE"""),"NCx")</f>
        <v>NCx</v>
      </c>
      <c r="L1366" s="9" t="str">
        <f>IFERROR(__xludf.DUMMYFUNCTION("""COMPUTED_VALUE"""),"Ocx")</f>
        <v>Ocx</v>
      </c>
      <c r="M1366" s="9" t="str">
        <f>IFERROR(__xludf.DUMMYFUNCTION("""COMPUTED_VALUE"""),"ESOC")</f>
        <v>ESOC</v>
      </c>
      <c r="N1366" s="9" t="str">
        <f>IFERROR(__xludf.DUMMYFUNCTION("""COMPUTED_VALUE"""),"PSC")</f>
        <v>PSC</v>
      </c>
      <c r="O1366" s="9" t="str">
        <f>IFERROR(__xludf.DUMMYFUNCTION("""COMPUTED_VALUE"""),"V3")</f>
        <v>V3</v>
      </c>
      <c r="P1366" s="9" t="str">
        <f>IFERROR(__xludf.DUMMYFUNCTION("""COMPUTED_VALUE"""),"V3-6")</f>
        <v>V3-6</v>
      </c>
      <c r="Q1366" s="9"/>
      <c r="R1366" s="9"/>
      <c r="S1366" s="42"/>
      <c r="T1366" s="42"/>
      <c r="U1366" s="42"/>
      <c r="V1366" s="42"/>
      <c r="W1366" s="42"/>
      <c r="X1366" s="42"/>
      <c r="Y1366" s="42"/>
      <c r="Z1366" s="42"/>
      <c r="AA1366" s="42"/>
      <c r="AB1366" s="42" t="str">
        <f>IFERROR(__xludf.DUMMYFUNCTION("""COMPUTED_VALUE"""),"allen institute")</f>
        <v>allen institute</v>
      </c>
      <c r="AC1366" s="42" t="str">
        <f>IFERROR(__xludf.DUMMYFUNCTION("""COMPUTED_VALUE"""),"DHBA")</f>
        <v>DHBA</v>
      </c>
      <c r="AD1366" s="42"/>
      <c r="AE1366" s="42"/>
      <c r="AF1366" s="9"/>
      <c r="AG1366" s="9"/>
      <c r="AH1366" s="42"/>
      <c r="AI1366" s="42"/>
      <c r="AJ1366" s="42"/>
      <c r="AK1366" s="42"/>
      <c r="AL1366" s="42"/>
      <c r="AM1366" s="42"/>
      <c r="AN1366" s="42"/>
      <c r="AO1366" s="63" t="str">
        <f>IFERROR(__xludf.DUMMYFUNCTION("IF(ISBLANK(A1366),,IF(ISBLANK(S1366), A1366&amp;"";"", TEXTJOIN(CHAR(10), TRUE, A1366&amp;"";"", ARRAYFORMULA(VLOOKUP(SPLIT(S1366, "";"" &amp; CHAR(10)), $A:$AO, 41, FALSE)))))"),"V3-6;")</f>
        <v>V3-6;</v>
      </c>
      <c r="AP1366" s="89"/>
    </row>
    <row r="1367">
      <c r="A1367" s="151" t="str">
        <f>IFERROR(__xludf.DUMMYFUNCTION("""COMPUTED_VALUE"""),"VP")</f>
        <v>VP</v>
      </c>
      <c r="B1367" s="42" t="str">
        <f>IFERROR(__xludf.DUMMYFUNCTION("""COMPUTED_VALUE"""),"DHBA")</f>
        <v>DHBA</v>
      </c>
      <c r="C1367" s="42" t="str">
        <f>IFERROR(__xludf.DUMMYFUNCTION("""COMPUTED_VALUE"""),"area VP of peristriate cortex")</f>
        <v>area VP of peristriate cortex</v>
      </c>
      <c r="D1367" s="42">
        <f>IFERROR(__xludf.DUMMYFUNCTION("""COMPUTED_VALUE"""),1294.0)</f>
        <v>1294</v>
      </c>
      <c r="E1367" s="39" t="str">
        <f>IFERROR(__xludf.DUMMYFUNCTION("""COMPUTED_VALUE"""),"area VP of peristriate cortex")</f>
        <v>area VP of peristriate cortex</v>
      </c>
      <c r="F1367" s="9" t="str">
        <f>IFERROR(__xludf.DUMMYFUNCTION("""COMPUTED_VALUE"""),"Br")</f>
        <v>Br</v>
      </c>
      <c r="G1367" s="9" t="str">
        <f>IFERROR(__xludf.DUMMYFUNCTION("""COMPUTED_VALUE"""),"F")</f>
        <v>F</v>
      </c>
      <c r="H1367" s="9" t="str">
        <f>IFERROR(__xludf.DUMMYFUNCTION("""COMPUTED_VALUE"""),"FGM")</f>
        <v>FGM</v>
      </c>
      <c r="I1367" s="9" t="str">
        <f>IFERROR(__xludf.DUMMYFUNCTION("""COMPUTED_VALUE"""),"Tel")</f>
        <v>Tel</v>
      </c>
      <c r="J1367" s="9" t="str">
        <f>IFERROR(__xludf.DUMMYFUNCTION("""COMPUTED_VALUE"""),"Cx")</f>
        <v>Cx</v>
      </c>
      <c r="K1367" s="9" t="str">
        <f>IFERROR(__xludf.DUMMYFUNCTION("""COMPUTED_VALUE"""),"NCx")</f>
        <v>NCx</v>
      </c>
      <c r="L1367" s="9" t="str">
        <f>IFERROR(__xludf.DUMMYFUNCTION("""COMPUTED_VALUE"""),"Ocx")</f>
        <v>Ocx</v>
      </c>
      <c r="M1367" s="9" t="str">
        <f>IFERROR(__xludf.DUMMYFUNCTION("""COMPUTED_VALUE"""),"ESOC")</f>
        <v>ESOC</v>
      </c>
      <c r="N1367" s="9" t="str">
        <f>IFERROR(__xludf.DUMMYFUNCTION("""COMPUTED_VALUE"""),"PSC")</f>
        <v>PSC</v>
      </c>
      <c r="O1367" s="9" t="str">
        <f>IFERROR(__xludf.DUMMYFUNCTION("""COMPUTED_VALUE"""),"VP")</f>
        <v>VP</v>
      </c>
      <c r="P1367" s="9"/>
      <c r="Q1367" s="9"/>
      <c r="R1367" s="9"/>
      <c r="S1367" s="42" t="str">
        <f>IFERROR(__xludf.DUMMYFUNCTION("""COMPUTED_VALUE"""),"VP1;
VP2;
VP3;
VP4;
VP5;
VP6")</f>
        <v>VP1;
VP2;
VP3;
VP4;
VP5;
VP6</v>
      </c>
      <c r="T1367" s="42"/>
      <c r="U1367" s="42" t="b">
        <f>IFERROR(__xludf.DUMMYFUNCTION("""COMPUTED_VALUE"""),FALSE)</f>
        <v>0</v>
      </c>
      <c r="V1367" s="42"/>
      <c r="W1367" s="42"/>
      <c r="X1367" s="42"/>
      <c r="Y1367" s="42"/>
      <c r="Z1367" s="42"/>
      <c r="AA1367" s="42"/>
      <c r="AB1367" s="42" t="str">
        <f>IFERROR(__xludf.DUMMYFUNCTION("""COMPUTED_VALUE"""),"allen institute")</f>
        <v>allen institute</v>
      </c>
      <c r="AC1367" s="42" t="str">
        <f>IFERROR(__xludf.DUMMYFUNCTION("""COMPUTED_VALUE"""),"DHBA")</f>
        <v>DHBA</v>
      </c>
      <c r="AD1367" s="42"/>
      <c r="AE1367" s="42"/>
      <c r="AF1367" s="9"/>
      <c r="AG1367" s="9"/>
      <c r="AH1367" s="42"/>
      <c r="AI1367" s="42"/>
      <c r="AJ1367" s="42"/>
      <c r="AK1367" s="42"/>
      <c r="AL1367" s="42"/>
      <c r="AM1367" s="42"/>
      <c r="AN1367" s="42"/>
      <c r="AO1367" s="63" t="str">
        <f>IFERROR(__xludf.DUMMYFUNCTION("IF(ISBLANK(A1367),,IF(ISBLANK(S1367), A1367&amp;"";"", TEXTJOIN(CHAR(10), TRUE, A1367&amp;"";"", ARRAYFORMULA(VLOOKUP(SPLIT(S1367, "";"" &amp; CHAR(10)), $A:$AO, 41, FALSE)))))"),"VP;
VP1;
VP2;
VP3;
VP4;
VP5;
VP6;")</f>
        <v>VP;
VP1;
VP2;
VP3;
VP4;
VP5;
VP6;</v>
      </c>
      <c r="AP1367" s="89"/>
    </row>
    <row r="1368">
      <c r="A1368" s="151" t="str">
        <f>IFERROR(__xludf.DUMMYFUNCTION("""COMPUTED_VALUE"""),"VP1")</f>
        <v>VP1</v>
      </c>
      <c r="B1368" s="42" t="str">
        <f>IFERROR(__xludf.DUMMYFUNCTION("""COMPUTED_VALUE"""),"DHBA")</f>
        <v>DHBA</v>
      </c>
      <c r="C1368" s="42" t="str">
        <f>IFERROR(__xludf.DUMMYFUNCTION("""COMPUTED_VALUE"""),"layer I of area VP")</f>
        <v>layer I of area VP</v>
      </c>
      <c r="D1368" s="42">
        <f>IFERROR(__xludf.DUMMYFUNCTION("""COMPUTED_VALUE"""),1295.0)</f>
        <v>1295</v>
      </c>
      <c r="E1368" s="39" t="str">
        <f>IFERROR(__xludf.DUMMYFUNCTION("""COMPUTED_VALUE"""),"layer I of area VP")</f>
        <v>layer I of area VP</v>
      </c>
      <c r="F1368" s="9" t="str">
        <f>IFERROR(__xludf.DUMMYFUNCTION("""COMPUTED_VALUE"""),"Br")</f>
        <v>Br</v>
      </c>
      <c r="G1368" s="9" t="str">
        <f>IFERROR(__xludf.DUMMYFUNCTION("""COMPUTED_VALUE"""),"F")</f>
        <v>F</v>
      </c>
      <c r="H1368" s="9" t="str">
        <f>IFERROR(__xludf.DUMMYFUNCTION("""COMPUTED_VALUE"""),"FGM")</f>
        <v>FGM</v>
      </c>
      <c r="I1368" s="9" t="str">
        <f>IFERROR(__xludf.DUMMYFUNCTION("""COMPUTED_VALUE"""),"Tel")</f>
        <v>Tel</v>
      </c>
      <c r="J1368" s="9" t="str">
        <f>IFERROR(__xludf.DUMMYFUNCTION("""COMPUTED_VALUE"""),"Cx")</f>
        <v>Cx</v>
      </c>
      <c r="K1368" s="9" t="str">
        <f>IFERROR(__xludf.DUMMYFUNCTION("""COMPUTED_VALUE"""),"NCx")</f>
        <v>NCx</v>
      </c>
      <c r="L1368" s="9" t="str">
        <f>IFERROR(__xludf.DUMMYFUNCTION("""COMPUTED_VALUE"""),"Ocx")</f>
        <v>Ocx</v>
      </c>
      <c r="M1368" s="9" t="str">
        <f>IFERROR(__xludf.DUMMYFUNCTION("""COMPUTED_VALUE"""),"ESOC")</f>
        <v>ESOC</v>
      </c>
      <c r="N1368" s="9" t="str">
        <f>IFERROR(__xludf.DUMMYFUNCTION("""COMPUTED_VALUE"""),"PSC")</f>
        <v>PSC</v>
      </c>
      <c r="O1368" s="9" t="str">
        <f>IFERROR(__xludf.DUMMYFUNCTION("""COMPUTED_VALUE"""),"VP")</f>
        <v>VP</v>
      </c>
      <c r="P1368" s="9" t="str">
        <f>IFERROR(__xludf.DUMMYFUNCTION("""COMPUTED_VALUE"""),"VP1")</f>
        <v>VP1</v>
      </c>
      <c r="Q1368" s="9"/>
      <c r="R1368" s="9"/>
      <c r="S1368" s="42"/>
      <c r="T1368" s="42"/>
      <c r="U1368" s="42"/>
      <c r="V1368" s="42"/>
      <c r="W1368" s="42"/>
      <c r="X1368" s="42"/>
      <c r="Y1368" s="42"/>
      <c r="Z1368" s="42"/>
      <c r="AA1368" s="42"/>
      <c r="AB1368" s="42" t="str">
        <f>IFERROR(__xludf.DUMMYFUNCTION("""COMPUTED_VALUE"""),"allen institute")</f>
        <v>allen institute</v>
      </c>
      <c r="AC1368" s="42" t="str">
        <f>IFERROR(__xludf.DUMMYFUNCTION("""COMPUTED_VALUE"""),"DHBA")</f>
        <v>DHBA</v>
      </c>
      <c r="AD1368" s="42"/>
      <c r="AE1368" s="42"/>
      <c r="AF1368" s="9"/>
      <c r="AG1368" s="9"/>
      <c r="AH1368" s="42"/>
      <c r="AI1368" s="42"/>
      <c r="AJ1368" s="42"/>
      <c r="AK1368" s="42"/>
      <c r="AL1368" s="42"/>
      <c r="AM1368" s="42"/>
      <c r="AN1368" s="42"/>
      <c r="AO1368" s="63" t="str">
        <f>IFERROR(__xludf.DUMMYFUNCTION("IF(ISBLANK(A1368),,IF(ISBLANK(S1368), A1368&amp;"";"", TEXTJOIN(CHAR(10), TRUE, A1368&amp;"";"", ARRAYFORMULA(VLOOKUP(SPLIT(S1368, "";"" &amp; CHAR(10)), $A:$AO, 41, FALSE)))))"),"VP1;")</f>
        <v>VP1;</v>
      </c>
      <c r="AP1368" s="89"/>
    </row>
    <row r="1369">
      <c r="A1369" s="151" t="str">
        <f>IFERROR(__xludf.DUMMYFUNCTION("""COMPUTED_VALUE"""),"VP2")</f>
        <v>VP2</v>
      </c>
      <c r="B1369" s="42" t="str">
        <f>IFERROR(__xludf.DUMMYFUNCTION("""COMPUTED_VALUE"""),"DHBA")</f>
        <v>DHBA</v>
      </c>
      <c r="C1369" s="42" t="str">
        <f>IFERROR(__xludf.DUMMYFUNCTION("""COMPUTED_VALUE"""),"layer II of area VP")</f>
        <v>layer II of area VP</v>
      </c>
      <c r="D1369" s="42">
        <f>IFERROR(__xludf.DUMMYFUNCTION("""COMPUTED_VALUE"""),1296.0)</f>
        <v>1296</v>
      </c>
      <c r="E1369" s="39" t="str">
        <f>IFERROR(__xludf.DUMMYFUNCTION("""COMPUTED_VALUE"""),"layer II of area VP")</f>
        <v>layer II of area VP</v>
      </c>
      <c r="F1369" s="9" t="str">
        <f>IFERROR(__xludf.DUMMYFUNCTION("""COMPUTED_VALUE"""),"Br")</f>
        <v>Br</v>
      </c>
      <c r="G1369" s="9" t="str">
        <f>IFERROR(__xludf.DUMMYFUNCTION("""COMPUTED_VALUE"""),"F")</f>
        <v>F</v>
      </c>
      <c r="H1369" s="9" t="str">
        <f>IFERROR(__xludf.DUMMYFUNCTION("""COMPUTED_VALUE"""),"FGM")</f>
        <v>FGM</v>
      </c>
      <c r="I1369" s="9" t="str">
        <f>IFERROR(__xludf.DUMMYFUNCTION("""COMPUTED_VALUE"""),"Tel")</f>
        <v>Tel</v>
      </c>
      <c r="J1369" s="9" t="str">
        <f>IFERROR(__xludf.DUMMYFUNCTION("""COMPUTED_VALUE"""),"Cx")</f>
        <v>Cx</v>
      </c>
      <c r="K1369" s="9" t="str">
        <f>IFERROR(__xludf.DUMMYFUNCTION("""COMPUTED_VALUE"""),"NCx")</f>
        <v>NCx</v>
      </c>
      <c r="L1369" s="9" t="str">
        <f>IFERROR(__xludf.DUMMYFUNCTION("""COMPUTED_VALUE"""),"Ocx")</f>
        <v>Ocx</v>
      </c>
      <c r="M1369" s="9" t="str">
        <f>IFERROR(__xludf.DUMMYFUNCTION("""COMPUTED_VALUE"""),"ESOC")</f>
        <v>ESOC</v>
      </c>
      <c r="N1369" s="9" t="str">
        <f>IFERROR(__xludf.DUMMYFUNCTION("""COMPUTED_VALUE"""),"PSC")</f>
        <v>PSC</v>
      </c>
      <c r="O1369" s="9" t="str">
        <f>IFERROR(__xludf.DUMMYFUNCTION("""COMPUTED_VALUE"""),"VP")</f>
        <v>VP</v>
      </c>
      <c r="P1369" s="9" t="str">
        <f>IFERROR(__xludf.DUMMYFUNCTION("""COMPUTED_VALUE"""),"VP2")</f>
        <v>VP2</v>
      </c>
      <c r="Q1369" s="9"/>
      <c r="R1369" s="9"/>
      <c r="S1369" s="42"/>
      <c r="T1369" s="42"/>
      <c r="U1369" s="42"/>
      <c r="V1369" s="42"/>
      <c r="W1369" s="42"/>
      <c r="X1369" s="42"/>
      <c r="Y1369" s="42"/>
      <c r="Z1369" s="42"/>
      <c r="AA1369" s="42"/>
      <c r="AB1369" s="42" t="str">
        <f>IFERROR(__xludf.DUMMYFUNCTION("""COMPUTED_VALUE"""),"allen institute")</f>
        <v>allen institute</v>
      </c>
      <c r="AC1369" s="42" t="str">
        <f>IFERROR(__xludf.DUMMYFUNCTION("""COMPUTED_VALUE"""),"DHBA")</f>
        <v>DHBA</v>
      </c>
      <c r="AD1369" s="42"/>
      <c r="AE1369" s="42"/>
      <c r="AF1369" s="9"/>
      <c r="AG1369" s="9"/>
      <c r="AH1369" s="42"/>
      <c r="AI1369" s="42"/>
      <c r="AJ1369" s="42"/>
      <c r="AK1369" s="42"/>
      <c r="AL1369" s="42"/>
      <c r="AM1369" s="42"/>
      <c r="AN1369" s="42"/>
      <c r="AO1369" s="63" t="str">
        <f>IFERROR(__xludf.DUMMYFUNCTION("IF(ISBLANK(A1369),,IF(ISBLANK(S1369), A1369&amp;"";"", TEXTJOIN(CHAR(10), TRUE, A1369&amp;"";"", ARRAYFORMULA(VLOOKUP(SPLIT(S1369, "";"" &amp; CHAR(10)), $A:$AO, 41, FALSE)))))"),"VP2;")</f>
        <v>VP2;</v>
      </c>
      <c r="AP1369" s="89"/>
    </row>
    <row r="1370">
      <c r="A1370" s="151" t="str">
        <f>IFERROR(__xludf.DUMMYFUNCTION("""COMPUTED_VALUE"""),"VP3")</f>
        <v>VP3</v>
      </c>
      <c r="B1370" s="42" t="str">
        <f>IFERROR(__xludf.DUMMYFUNCTION("""COMPUTED_VALUE"""),"DHBA")</f>
        <v>DHBA</v>
      </c>
      <c r="C1370" s="42" t="str">
        <f>IFERROR(__xludf.DUMMYFUNCTION("""COMPUTED_VALUE"""),"layer III of area VP")</f>
        <v>layer III of area VP</v>
      </c>
      <c r="D1370" s="42">
        <f>IFERROR(__xludf.DUMMYFUNCTION("""COMPUTED_VALUE"""),1297.0)</f>
        <v>1297</v>
      </c>
      <c r="E1370" s="39" t="str">
        <f>IFERROR(__xludf.DUMMYFUNCTION("""COMPUTED_VALUE"""),"layer III of area VP")</f>
        <v>layer III of area VP</v>
      </c>
      <c r="F1370" s="9" t="str">
        <f>IFERROR(__xludf.DUMMYFUNCTION("""COMPUTED_VALUE"""),"Br")</f>
        <v>Br</v>
      </c>
      <c r="G1370" s="9" t="str">
        <f>IFERROR(__xludf.DUMMYFUNCTION("""COMPUTED_VALUE"""),"F")</f>
        <v>F</v>
      </c>
      <c r="H1370" s="9" t="str">
        <f>IFERROR(__xludf.DUMMYFUNCTION("""COMPUTED_VALUE"""),"FGM")</f>
        <v>FGM</v>
      </c>
      <c r="I1370" s="9" t="str">
        <f>IFERROR(__xludf.DUMMYFUNCTION("""COMPUTED_VALUE"""),"Tel")</f>
        <v>Tel</v>
      </c>
      <c r="J1370" s="9" t="str">
        <f>IFERROR(__xludf.DUMMYFUNCTION("""COMPUTED_VALUE"""),"Cx")</f>
        <v>Cx</v>
      </c>
      <c r="K1370" s="9" t="str">
        <f>IFERROR(__xludf.DUMMYFUNCTION("""COMPUTED_VALUE"""),"NCx")</f>
        <v>NCx</v>
      </c>
      <c r="L1370" s="9" t="str">
        <f>IFERROR(__xludf.DUMMYFUNCTION("""COMPUTED_VALUE"""),"Ocx")</f>
        <v>Ocx</v>
      </c>
      <c r="M1370" s="9" t="str">
        <f>IFERROR(__xludf.DUMMYFUNCTION("""COMPUTED_VALUE"""),"ESOC")</f>
        <v>ESOC</v>
      </c>
      <c r="N1370" s="9" t="str">
        <f>IFERROR(__xludf.DUMMYFUNCTION("""COMPUTED_VALUE"""),"PSC")</f>
        <v>PSC</v>
      </c>
      <c r="O1370" s="9" t="str">
        <f>IFERROR(__xludf.DUMMYFUNCTION("""COMPUTED_VALUE"""),"VP")</f>
        <v>VP</v>
      </c>
      <c r="P1370" s="9" t="str">
        <f>IFERROR(__xludf.DUMMYFUNCTION("""COMPUTED_VALUE"""),"VP3")</f>
        <v>VP3</v>
      </c>
      <c r="Q1370" s="9"/>
      <c r="R1370" s="9"/>
      <c r="S1370" s="42"/>
      <c r="T1370" s="42"/>
      <c r="U1370" s="42"/>
      <c r="V1370" s="42"/>
      <c r="W1370" s="42"/>
      <c r="X1370" s="42"/>
      <c r="Y1370" s="42"/>
      <c r="Z1370" s="42"/>
      <c r="AA1370" s="42"/>
      <c r="AB1370" s="42" t="str">
        <f>IFERROR(__xludf.DUMMYFUNCTION("""COMPUTED_VALUE"""),"allen institute")</f>
        <v>allen institute</v>
      </c>
      <c r="AC1370" s="42" t="str">
        <f>IFERROR(__xludf.DUMMYFUNCTION("""COMPUTED_VALUE"""),"DHBA")</f>
        <v>DHBA</v>
      </c>
      <c r="AD1370" s="42"/>
      <c r="AE1370" s="42"/>
      <c r="AF1370" s="9"/>
      <c r="AG1370" s="9"/>
      <c r="AH1370" s="42"/>
      <c r="AI1370" s="42"/>
      <c r="AJ1370" s="42"/>
      <c r="AK1370" s="42"/>
      <c r="AL1370" s="42"/>
      <c r="AM1370" s="42"/>
      <c r="AN1370" s="42"/>
      <c r="AO1370" s="63" t="str">
        <f>IFERROR(__xludf.DUMMYFUNCTION("IF(ISBLANK(A1370),,IF(ISBLANK(S1370), A1370&amp;"";"", TEXTJOIN(CHAR(10), TRUE, A1370&amp;"";"", ARRAYFORMULA(VLOOKUP(SPLIT(S1370, "";"" &amp; CHAR(10)), $A:$AO, 41, FALSE)))))"),"VP3;")</f>
        <v>VP3;</v>
      </c>
      <c r="AP1370" s="89"/>
    </row>
    <row r="1371">
      <c r="A1371" s="151" t="str">
        <f>IFERROR(__xludf.DUMMYFUNCTION("""COMPUTED_VALUE"""),"VP4")</f>
        <v>VP4</v>
      </c>
      <c r="B1371" s="42" t="str">
        <f>IFERROR(__xludf.DUMMYFUNCTION("""COMPUTED_VALUE"""),"DHBA")</f>
        <v>DHBA</v>
      </c>
      <c r="C1371" s="42" t="str">
        <f>IFERROR(__xludf.DUMMYFUNCTION("""COMPUTED_VALUE"""),"layer IV of area VP")</f>
        <v>layer IV of area VP</v>
      </c>
      <c r="D1371" s="42">
        <f>IFERROR(__xludf.DUMMYFUNCTION("""COMPUTED_VALUE"""),1298.0)</f>
        <v>1298</v>
      </c>
      <c r="E1371" s="39" t="str">
        <f>IFERROR(__xludf.DUMMYFUNCTION("""COMPUTED_VALUE"""),"layer IV of area VP")</f>
        <v>layer IV of area VP</v>
      </c>
      <c r="F1371" s="9" t="str">
        <f>IFERROR(__xludf.DUMMYFUNCTION("""COMPUTED_VALUE"""),"Br")</f>
        <v>Br</v>
      </c>
      <c r="G1371" s="9" t="str">
        <f>IFERROR(__xludf.DUMMYFUNCTION("""COMPUTED_VALUE"""),"F")</f>
        <v>F</v>
      </c>
      <c r="H1371" s="9" t="str">
        <f>IFERROR(__xludf.DUMMYFUNCTION("""COMPUTED_VALUE"""),"FGM")</f>
        <v>FGM</v>
      </c>
      <c r="I1371" s="9" t="str">
        <f>IFERROR(__xludf.DUMMYFUNCTION("""COMPUTED_VALUE"""),"Tel")</f>
        <v>Tel</v>
      </c>
      <c r="J1371" s="9" t="str">
        <f>IFERROR(__xludf.DUMMYFUNCTION("""COMPUTED_VALUE"""),"Cx")</f>
        <v>Cx</v>
      </c>
      <c r="K1371" s="9" t="str">
        <f>IFERROR(__xludf.DUMMYFUNCTION("""COMPUTED_VALUE"""),"NCx")</f>
        <v>NCx</v>
      </c>
      <c r="L1371" s="9" t="str">
        <f>IFERROR(__xludf.DUMMYFUNCTION("""COMPUTED_VALUE"""),"Ocx")</f>
        <v>Ocx</v>
      </c>
      <c r="M1371" s="9" t="str">
        <f>IFERROR(__xludf.DUMMYFUNCTION("""COMPUTED_VALUE"""),"ESOC")</f>
        <v>ESOC</v>
      </c>
      <c r="N1371" s="9" t="str">
        <f>IFERROR(__xludf.DUMMYFUNCTION("""COMPUTED_VALUE"""),"PSC")</f>
        <v>PSC</v>
      </c>
      <c r="O1371" s="9" t="str">
        <f>IFERROR(__xludf.DUMMYFUNCTION("""COMPUTED_VALUE"""),"VP")</f>
        <v>VP</v>
      </c>
      <c r="P1371" s="9" t="str">
        <f>IFERROR(__xludf.DUMMYFUNCTION("""COMPUTED_VALUE"""),"VP4")</f>
        <v>VP4</v>
      </c>
      <c r="Q1371" s="9"/>
      <c r="R1371" s="9"/>
      <c r="S1371" s="42"/>
      <c r="T1371" s="42"/>
      <c r="U1371" s="42"/>
      <c r="V1371" s="42"/>
      <c r="W1371" s="42"/>
      <c r="X1371" s="42"/>
      <c r="Y1371" s="42"/>
      <c r="Z1371" s="42"/>
      <c r="AA1371" s="42"/>
      <c r="AB1371" s="42" t="str">
        <f>IFERROR(__xludf.DUMMYFUNCTION("""COMPUTED_VALUE"""),"allen institute")</f>
        <v>allen institute</v>
      </c>
      <c r="AC1371" s="42" t="str">
        <f>IFERROR(__xludf.DUMMYFUNCTION("""COMPUTED_VALUE"""),"DHBA")</f>
        <v>DHBA</v>
      </c>
      <c r="AD1371" s="42"/>
      <c r="AE1371" s="42"/>
      <c r="AF1371" s="9"/>
      <c r="AG1371" s="9"/>
      <c r="AH1371" s="42"/>
      <c r="AI1371" s="42"/>
      <c r="AJ1371" s="42"/>
      <c r="AK1371" s="42"/>
      <c r="AL1371" s="42"/>
      <c r="AM1371" s="42"/>
      <c r="AN1371" s="42"/>
      <c r="AO1371" s="63" t="str">
        <f>IFERROR(__xludf.DUMMYFUNCTION("IF(ISBLANK(A1371),,IF(ISBLANK(S1371), A1371&amp;"";"", TEXTJOIN(CHAR(10), TRUE, A1371&amp;"";"", ARRAYFORMULA(VLOOKUP(SPLIT(S1371, "";"" &amp; CHAR(10)), $A:$AO, 41, FALSE)))))"),"VP4;")</f>
        <v>VP4;</v>
      </c>
      <c r="AP1371" s="89"/>
    </row>
    <row r="1372">
      <c r="A1372" s="151" t="str">
        <f>IFERROR(__xludf.DUMMYFUNCTION("""COMPUTED_VALUE"""),"VP5")</f>
        <v>VP5</v>
      </c>
      <c r="B1372" s="42" t="str">
        <f>IFERROR(__xludf.DUMMYFUNCTION("""COMPUTED_VALUE"""),"DHBA")</f>
        <v>DHBA</v>
      </c>
      <c r="C1372" s="42" t="str">
        <f>IFERROR(__xludf.DUMMYFUNCTION("""COMPUTED_VALUE"""),"layer V of area VP")</f>
        <v>layer V of area VP</v>
      </c>
      <c r="D1372" s="42">
        <f>IFERROR(__xludf.DUMMYFUNCTION("""COMPUTED_VALUE"""),1299.0)</f>
        <v>1299</v>
      </c>
      <c r="E1372" s="39" t="str">
        <f>IFERROR(__xludf.DUMMYFUNCTION("""COMPUTED_VALUE"""),"layer V of area VP")</f>
        <v>layer V of area VP</v>
      </c>
      <c r="F1372" s="9" t="str">
        <f>IFERROR(__xludf.DUMMYFUNCTION("""COMPUTED_VALUE"""),"Br")</f>
        <v>Br</v>
      </c>
      <c r="G1372" s="9" t="str">
        <f>IFERROR(__xludf.DUMMYFUNCTION("""COMPUTED_VALUE"""),"F")</f>
        <v>F</v>
      </c>
      <c r="H1372" s="9" t="str">
        <f>IFERROR(__xludf.DUMMYFUNCTION("""COMPUTED_VALUE"""),"FGM")</f>
        <v>FGM</v>
      </c>
      <c r="I1372" s="9" t="str">
        <f>IFERROR(__xludf.DUMMYFUNCTION("""COMPUTED_VALUE"""),"Tel")</f>
        <v>Tel</v>
      </c>
      <c r="J1372" s="9" t="str">
        <f>IFERROR(__xludf.DUMMYFUNCTION("""COMPUTED_VALUE"""),"Cx")</f>
        <v>Cx</v>
      </c>
      <c r="K1372" s="9" t="str">
        <f>IFERROR(__xludf.DUMMYFUNCTION("""COMPUTED_VALUE"""),"NCx")</f>
        <v>NCx</v>
      </c>
      <c r="L1372" s="9" t="str">
        <f>IFERROR(__xludf.DUMMYFUNCTION("""COMPUTED_VALUE"""),"Ocx")</f>
        <v>Ocx</v>
      </c>
      <c r="M1372" s="9" t="str">
        <f>IFERROR(__xludf.DUMMYFUNCTION("""COMPUTED_VALUE"""),"ESOC")</f>
        <v>ESOC</v>
      </c>
      <c r="N1372" s="9" t="str">
        <f>IFERROR(__xludf.DUMMYFUNCTION("""COMPUTED_VALUE"""),"PSC")</f>
        <v>PSC</v>
      </c>
      <c r="O1372" s="9" t="str">
        <f>IFERROR(__xludf.DUMMYFUNCTION("""COMPUTED_VALUE"""),"VP")</f>
        <v>VP</v>
      </c>
      <c r="P1372" s="9" t="str">
        <f>IFERROR(__xludf.DUMMYFUNCTION("""COMPUTED_VALUE"""),"VP5")</f>
        <v>VP5</v>
      </c>
      <c r="Q1372" s="9"/>
      <c r="R1372" s="9"/>
      <c r="S1372" s="42"/>
      <c r="T1372" s="42"/>
      <c r="U1372" s="42"/>
      <c r="V1372" s="42"/>
      <c r="W1372" s="42"/>
      <c r="X1372" s="42"/>
      <c r="Y1372" s="42"/>
      <c r="Z1372" s="42"/>
      <c r="AA1372" s="42"/>
      <c r="AB1372" s="42" t="str">
        <f>IFERROR(__xludf.DUMMYFUNCTION("""COMPUTED_VALUE"""),"allen institute")</f>
        <v>allen institute</v>
      </c>
      <c r="AC1372" s="42" t="str">
        <f>IFERROR(__xludf.DUMMYFUNCTION("""COMPUTED_VALUE"""),"DHBA")</f>
        <v>DHBA</v>
      </c>
      <c r="AD1372" s="42"/>
      <c r="AE1372" s="42"/>
      <c r="AF1372" s="9"/>
      <c r="AG1372" s="9"/>
      <c r="AH1372" s="42"/>
      <c r="AI1372" s="42"/>
      <c r="AJ1372" s="42"/>
      <c r="AK1372" s="42"/>
      <c r="AL1372" s="42"/>
      <c r="AM1372" s="42"/>
      <c r="AN1372" s="42"/>
      <c r="AO1372" s="63" t="str">
        <f>IFERROR(__xludf.DUMMYFUNCTION("IF(ISBLANK(A1372),,IF(ISBLANK(S1372), A1372&amp;"";"", TEXTJOIN(CHAR(10), TRUE, A1372&amp;"";"", ARRAYFORMULA(VLOOKUP(SPLIT(S1372, "";"" &amp; CHAR(10)), $A:$AO, 41, FALSE)))))"),"VP5;")</f>
        <v>VP5;</v>
      </c>
      <c r="AP1372" s="89"/>
    </row>
    <row r="1373">
      <c r="A1373" s="151" t="str">
        <f>IFERROR(__xludf.DUMMYFUNCTION("""COMPUTED_VALUE"""),"VP6")</f>
        <v>VP6</v>
      </c>
      <c r="B1373" s="42" t="str">
        <f>IFERROR(__xludf.DUMMYFUNCTION("""COMPUTED_VALUE"""),"DHBA")</f>
        <v>DHBA</v>
      </c>
      <c r="C1373" s="42" t="str">
        <f>IFERROR(__xludf.DUMMYFUNCTION("""COMPUTED_VALUE"""),"layer VI of area VP")</f>
        <v>layer VI of area VP</v>
      </c>
      <c r="D1373" s="42">
        <f>IFERROR(__xludf.DUMMYFUNCTION("""COMPUTED_VALUE"""),1300.0)</f>
        <v>1300</v>
      </c>
      <c r="E1373" s="39" t="str">
        <f>IFERROR(__xludf.DUMMYFUNCTION("""COMPUTED_VALUE"""),"layer VI of area VP")</f>
        <v>layer VI of area VP</v>
      </c>
      <c r="F1373" s="9" t="str">
        <f>IFERROR(__xludf.DUMMYFUNCTION("""COMPUTED_VALUE"""),"Br")</f>
        <v>Br</v>
      </c>
      <c r="G1373" s="9" t="str">
        <f>IFERROR(__xludf.DUMMYFUNCTION("""COMPUTED_VALUE"""),"F")</f>
        <v>F</v>
      </c>
      <c r="H1373" s="9" t="str">
        <f>IFERROR(__xludf.DUMMYFUNCTION("""COMPUTED_VALUE"""),"FGM")</f>
        <v>FGM</v>
      </c>
      <c r="I1373" s="9" t="str">
        <f>IFERROR(__xludf.DUMMYFUNCTION("""COMPUTED_VALUE"""),"Tel")</f>
        <v>Tel</v>
      </c>
      <c r="J1373" s="9" t="str">
        <f>IFERROR(__xludf.DUMMYFUNCTION("""COMPUTED_VALUE"""),"Cx")</f>
        <v>Cx</v>
      </c>
      <c r="K1373" s="9" t="str">
        <f>IFERROR(__xludf.DUMMYFUNCTION("""COMPUTED_VALUE"""),"NCx")</f>
        <v>NCx</v>
      </c>
      <c r="L1373" s="9" t="str">
        <f>IFERROR(__xludf.DUMMYFUNCTION("""COMPUTED_VALUE"""),"Ocx")</f>
        <v>Ocx</v>
      </c>
      <c r="M1373" s="9" t="str">
        <f>IFERROR(__xludf.DUMMYFUNCTION("""COMPUTED_VALUE"""),"ESOC")</f>
        <v>ESOC</v>
      </c>
      <c r="N1373" s="9" t="str">
        <f>IFERROR(__xludf.DUMMYFUNCTION("""COMPUTED_VALUE"""),"PSC")</f>
        <v>PSC</v>
      </c>
      <c r="O1373" s="9" t="str">
        <f>IFERROR(__xludf.DUMMYFUNCTION("""COMPUTED_VALUE"""),"VP")</f>
        <v>VP</v>
      </c>
      <c r="P1373" s="9" t="str">
        <f>IFERROR(__xludf.DUMMYFUNCTION("""COMPUTED_VALUE"""),"VP6")</f>
        <v>VP6</v>
      </c>
      <c r="Q1373" s="9"/>
      <c r="R1373" s="9"/>
      <c r="S1373" s="42"/>
      <c r="T1373" s="42"/>
      <c r="U1373" s="42"/>
      <c r="V1373" s="42"/>
      <c r="W1373" s="42"/>
      <c r="X1373" s="42"/>
      <c r="Y1373" s="42"/>
      <c r="Z1373" s="42"/>
      <c r="AA1373" s="42"/>
      <c r="AB1373" s="42" t="str">
        <f>IFERROR(__xludf.DUMMYFUNCTION("""COMPUTED_VALUE"""),"allen institute")</f>
        <v>allen institute</v>
      </c>
      <c r="AC1373" s="42" t="str">
        <f>IFERROR(__xludf.DUMMYFUNCTION("""COMPUTED_VALUE"""),"DHBA")</f>
        <v>DHBA</v>
      </c>
      <c r="AD1373" s="42"/>
      <c r="AE1373" s="42"/>
      <c r="AF1373" s="9"/>
      <c r="AG1373" s="9"/>
      <c r="AH1373" s="42"/>
      <c r="AI1373" s="42"/>
      <c r="AJ1373" s="42"/>
      <c r="AK1373" s="42"/>
      <c r="AL1373" s="42"/>
      <c r="AM1373" s="42"/>
      <c r="AN1373" s="42"/>
      <c r="AO1373" s="63" t="str">
        <f>IFERROR(__xludf.DUMMYFUNCTION("IF(ISBLANK(A1373),,IF(ISBLANK(S1373), A1373&amp;"";"", TEXTJOIN(CHAR(10), TRUE, A1373&amp;"";"", ARRAYFORMULA(VLOOKUP(SPLIT(S1373, "";"" &amp; CHAR(10)), $A:$AO, 41, FALSE)))))"),"VP6;")</f>
        <v>VP6;</v>
      </c>
      <c r="AP1373" s="89"/>
    </row>
    <row r="1374">
      <c r="A1374" s="151" t="str">
        <f>IFERROR(__xludf.DUMMYFUNCTION("""COMPUTED_VALUE"""),"V3A")</f>
        <v>V3A</v>
      </c>
      <c r="B1374" s="42" t="str">
        <f>IFERROR(__xludf.DUMMYFUNCTION("""COMPUTED_VALUE"""),"DHBA")</f>
        <v>DHBA</v>
      </c>
      <c r="C1374" s="42" t="str">
        <f>IFERROR(__xludf.DUMMYFUNCTION("""COMPUTED_VALUE"""),"area V3A of peristriate cortex")</f>
        <v>area V3A of peristriate cortex</v>
      </c>
      <c r="D1374" s="42">
        <f>IFERROR(__xludf.DUMMYFUNCTION("""COMPUTED_VALUE"""),1301.0)</f>
        <v>1301</v>
      </c>
      <c r="E1374" s="39" t="str">
        <f>IFERROR(__xludf.DUMMYFUNCTION("""COMPUTED_VALUE"""),"area V3A of peristriate cortex")</f>
        <v>area V3A of peristriate cortex</v>
      </c>
      <c r="F1374" s="9" t="str">
        <f>IFERROR(__xludf.DUMMYFUNCTION("""COMPUTED_VALUE"""),"Br")</f>
        <v>Br</v>
      </c>
      <c r="G1374" s="9" t="str">
        <f>IFERROR(__xludf.DUMMYFUNCTION("""COMPUTED_VALUE"""),"F")</f>
        <v>F</v>
      </c>
      <c r="H1374" s="9" t="str">
        <f>IFERROR(__xludf.DUMMYFUNCTION("""COMPUTED_VALUE"""),"FGM")</f>
        <v>FGM</v>
      </c>
      <c r="I1374" s="9" t="str">
        <f>IFERROR(__xludf.DUMMYFUNCTION("""COMPUTED_VALUE"""),"Tel")</f>
        <v>Tel</v>
      </c>
      <c r="J1374" s="9" t="str">
        <f>IFERROR(__xludf.DUMMYFUNCTION("""COMPUTED_VALUE"""),"Cx")</f>
        <v>Cx</v>
      </c>
      <c r="K1374" s="9" t="str">
        <f>IFERROR(__xludf.DUMMYFUNCTION("""COMPUTED_VALUE"""),"NCx")</f>
        <v>NCx</v>
      </c>
      <c r="L1374" s="9" t="str">
        <f>IFERROR(__xludf.DUMMYFUNCTION("""COMPUTED_VALUE"""),"Ocx")</f>
        <v>Ocx</v>
      </c>
      <c r="M1374" s="9" t="str">
        <f>IFERROR(__xludf.DUMMYFUNCTION("""COMPUTED_VALUE"""),"ESOC")</f>
        <v>ESOC</v>
      </c>
      <c r="N1374" s="9" t="str">
        <f>IFERROR(__xludf.DUMMYFUNCTION("""COMPUTED_VALUE"""),"PSC")</f>
        <v>PSC</v>
      </c>
      <c r="O1374" s="9" t="str">
        <f>IFERROR(__xludf.DUMMYFUNCTION("""COMPUTED_VALUE"""),"V3A")</f>
        <v>V3A</v>
      </c>
      <c r="P1374" s="9"/>
      <c r="Q1374" s="9"/>
      <c r="R1374" s="9"/>
      <c r="S1374" s="42" t="str">
        <f>IFERROR(__xludf.DUMMYFUNCTION("""COMPUTED_VALUE"""),"V3A_1;
V3A_2;
V3A_3;
V3A_4;
V3A_5;
V3A_6")</f>
        <v>V3A_1;
V3A_2;
V3A_3;
V3A_4;
V3A_5;
V3A_6</v>
      </c>
      <c r="T1374" s="42"/>
      <c r="U1374" s="42" t="b">
        <f>IFERROR(__xludf.DUMMYFUNCTION("""COMPUTED_VALUE"""),FALSE)</f>
        <v>0</v>
      </c>
      <c r="V1374" s="42"/>
      <c r="W1374" s="42"/>
      <c r="X1374" s="42"/>
      <c r="Y1374" s="42"/>
      <c r="Z1374" s="42"/>
      <c r="AA1374" s="42"/>
      <c r="AB1374" s="42" t="str">
        <f>IFERROR(__xludf.DUMMYFUNCTION("""COMPUTED_VALUE"""),"allen institute")</f>
        <v>allen institute</v>
      </c>
      <c r="AC1374" s="42" t="str">
        <f>IFERROR(__xludf.DUMMYFUNCTION("""COMPUTED_VALUE"""),"DHBA")</f>
        <v>DHBA</v>
      </c>
      <c r="AD1374" s="42"/>
      <c r="AE1374" s="42"/>
      <c r="AF1374" s="9"/>
      <c r="AG1374" s="9"/>
      <c r="AH1374" s="42"/>
      <c r="AI1374" s="42"/>
      <c r="AJ1374" s="42"/>
      <c r="AK1374" s="42"/>
      <c r="AL1374" s="42"/>
      <c r="AM1374" s="42"/>
      <c r="AN1374" s="42"/>
      <c r="AO1374" s="63" t="str">
        <f>IFERROR(__xludf.DUMMYFUNCTION("IF(ISBLANK(A1374),,IF(ISBLANK(S1374), A1374&amp;"";"", TEXTJOIN(CHAR(10), TRUE, A1374&amp;"";"", ARRAYFORMULA(VLOOKUP(SPLIT(S1374, "";"" &amp; CHAR(10)), $A:$AO, 41, FALSE)))))"),"#N/A")</f>
        <v>#N/A</v>
      </c>
      <c r="AP1374" s="89"/>
    </row>
    <row r="1375">
      <c r="A1375" s="151" t="str">
        <f>IFERROR(__xludf.DUMMYFUNCTION("""COMPUTED_VALUE"""),"V3A-1")</f>
        <v>V3A-1</v>
      </c>
      <c r="B1375" s="42" t="str">
        <f>IFERROR(__xludf.DUMMYFUNCTION("""COMPUTED_VALUE"""),"DHBA")</f>
        <v>DHBA</v>
      </c>
      <c r="C1375" s="42" t="str">
        <f>IFERROR(__xludf.DUMMYFUNCTION("""COMPUTED_VALUE"""),"layer I of area V3A")</f>
        <v>layer I of area V3A</v>
      </c>
      <c r="D1375" s="42">
        <f>IFERROR(__xludf.DUMMYFUNCTION("""COMPUTED_VALUE"""),1302.0)</f>
        <v>1302</v>
      </c>
      <c r="E1375" s="39" t="str">
        <f>IFERROR(__xludf.DUMMYFUNCTION("""COMPUTED_VALUE"""),"layer I of area V3A")</f>
        <v>layer I of area V3A</v>
      </c>
      <c r="F1375" s="9" t="str">
        <f>IFERROR(__xludf.DUMMYFUNCTION("""COMPUTED_VALUE"""),"Br")</f>
        <v>Br</v>
      </c>
      <c r="G1375" s="9" t="str">
        <f>IFERROR(__xludf.DUMMYFUNCTION("""COMPUTED_VALUE"""),"F")</f>
        <v>F</v>
      </c>
      <c r="H1375" s="9" t="str">
        <f>IFERROR(__xludf.DUMMYFUNCTION("""COMPUTED_VALUE"""),"FGM")</f>
        <v>FGM</v>
      </c>
      <c r="I1375" s="9" t="str">
        <f>IFERROR(__xludf.DUMMYFUNCTION("""COMPUTED_VALUE"""),"Tel")</f>
        <v>Tel</v>
      </c>
      <c r="J1375" s="9" t="str">
        <f>IFERROR(__xludf.DUMMYFUNCTION("""COMPUTED_VALUE"""),"Cx")</f>
        <v>Cx</v>
      </c>
      <c r="K1375" s="9" t="str">
        <f>IFERROR(__xludf.DUMMYFUNCTION("""COMPUTED_VALUE"""),"NCx")</f>
        <v>NCx</v>
      </c>
      <c r="L1375" s="9" t="str">
        <f>IFERROR(__xludf.DUMMYFUNCTION("""COMPUTED_VALUE"""),"Ocx")</f>
        <v>Ocx</v>
      </c>
      <c r="M1375" s="9" t="str">
        <f>IFERROR(__xludf.DUMMYFUNCTION("""COMPUTED_VALUE"""),"ESOC")</f>
        <v>ESOC</v>
      </c>
      <c r="N1375" s="9" t="str">
        <f>IFERROR(__xludf.DUMMYFUNCTION("""COMPUTED_VALUE"""),"PSC")</f>
        <v>PSC</v>
      </c>
      <c r="O1375" s="9" t="str">
        <f>IFERROR(__xludf.DUMMYFUNCTION("""COMPUTED_VALUE"""),"V3A")</f>
        <v>V3A</v>
      </c>
      <c r="P1375" s="9" t="str">
        <f>IFERROR(__xludf.DUMMYFUNCTION("""COMPUTED_VALUE"""),"V3A-1")</f>
        <v>V3A-1</v>
      </c>
      <c r="Q1375" s="9"/>
      <c r="R1375" s="9"/>
      <c r="S1375" s="42"/>
      <c r="T1375" s="42"/>
      <c r="U1375" s="42"/>
      <c r="V1375" s="42"/>
      <c r="W1375" s="42"/>
      <c r="X1375" s="42"/>
      <c r="Y1375" s="42"/>
      <c r="Z1375" s="42"/>
      <c r="AA1375" s="42"/>
      <c r="AB1375" s="42" t="str">
        <f>IFERROR(__xludf.DUMMYFUNCTION("""COMPUTED_VALUE"""),"allen institute")</f>
        <v>allen institute</v>
      </c>
      <c r="AC1375" s="42" t="str">
        <f>IFERROR(__xludf.DUMMYFUNCTION("""COMPUTED_VALUE"""),"DHBA")</f>
        <v>DHBA</v>
      </c>
      <c r="AD1375" s="42"/>
      <c r="AE1375" s="42"/>
      <c r="AF1375" s="9"/>
      <c r="AG1375" s="9"/>
      <c r="AH1375" s="42"/>
      <c r="AI1375" s="42"/>
      <c r="AJ1375" s="42"/>
      <c r="AK1375" s="42"/>
      <c r="AL1375" s="42"/>
      <c r="AM1375" s="42"/>
      <c r="AN1375" s="42"/>
      <c r="AO1375" s="63" t="str">
        <f>IFERROR(__xludf.DUMMYFUNCTION("IF(ISBLANK(A1375),,IF(ISBLANK(S1375), A1375&amp;"";"", TEXTJOIN(CHAR(10), TRUE, A1375&amp;"";"", ARRAYFORMULA(VLOOKUP(SPLIT(S1375, "";"" &amp; CHAR(10)), $A:$AO, 41, FALSE)))))"),"V3A-1;")</f>
        <v>V3A-1;</v>
      </c>
      <c r="AP1375" s="89"/>
    </row>
    <row r="1376">
      <c r="A1376" s="151" t="str">
        <f>IFERROR(__xludf.DUMMYFUNCTION("""COMPUTED_VALUE"""),"V3A-2")</f>
        <v>V3A-2</v>
      </c>
      <c r="B1376" s="42" t="str">
        <f>IFERROR(__xludf.DUMMYFUNCTION("""COMPUTED_VALUE"""),"DHBA")</f>
        <v>DHBA</v>
      </c>
      <c r="C1376" s="42" t="str">
        <f>IFERROR(__xludf.DUMMYFUNCTION("""COMPUTED_VALUE"""),"layer II of area V3A")</f>
        <v>layer II of area V3A</v>
      </c>
      <c r="D1376" s="42">
        <f>IFERROR(__xludf.DUMMYFUNCTION("""COMPUTED_VALUE"""),1303.0)</f>
        <v>1303</v>
      </c>
      <c r="E1376" s="39" t="str">
        <f>IFERROR(__xludf.DUMMYFUNCTION("""COMPUTED_VALUE"""),"layer II of area V3A")</f>
        <v>layer II of area V3A</v>
      </c>
      <c r="F1376" s="9" t="str">
        <f>IFERROR(__xludf.DUMMYFUNCTION("""COMPUTED_VALUE"""),"Br")</f>
        <v>Br</v>
      </c>
      <c r="G1376" s="9" t="str">
        <f>IFERROR(__xludf.DUMMYFUNCTION("""COMPUTED_VALUE"""),"F")</f>
        <v>F</v>
      </c>
      <c r="H1376" s="9" t="str">
        <f>IFERROR(__xludf.DUMMYFUNCTION("""COMPUTED_VALUE"""),"FGM")</f>
        <v>FGM</v>
      </c>
      <c r="I1376" s="9" t="str">
        <f>IFERROR(__xludf.DUMMYFUNCTION("""COMPUTED_VALUE"""),"Tel")</f>
        <v>Tel</v>
      </c>
      <c r="J1376" s="9" t="str">
        <f>IFERROR(__xludf.DUMMYFUNCTION("""COMPUTED_VALUE"""),"Cx")</f>
        <v>Cx</v>
      </c>
      <c r="K1376" s="9" t="str">
        <f>IFERROR(__xludf.DUMMYFUNCTION("""COMPUTED_VALUE"""),"NCx")</f>
        <v>NCx</v>
      </c>
      <c r="L1376" s="9" t="str">
        <f>IFERROR(__xludf.DUMMYFUNCTION("""COMPUTED_VALUE"""),"Ocx")</f>
        <v>Ocx</v>
      </c>
      <c r="M1376" s="9" t="str">
        <f>IFERROR(__xludf.DUMMYFUNCTION("""COMPUTED_VALUE"""),"ESOC")</f>
        <v>ESOC</v>
      </c>
      <c r="N1376" s="9" t="str">
        <f>IFERROR(__xludf.DUMMYFUNCTION("""COMPUTED_VALUE"""),"PSC")</f>
        <v>PSC</v>
      </c>
      <c r="O1376" s="9" t="str">
        <f>IFERROR(__xludf.DUMMYFUNCTION("""COMPUTED_VALUE"""),"V3A")</f>
        <v>V3A</v>
      </c>
      <c r="P1376" s="9" t="str">
        <f>IFERROR(__xludf.DUMMYFUNCTION("""COMPUTED_VALUE"""),"V3A-2")</f>
        <v>V3A-2</v>
      </c>
      <c r="Q1376" s="9"/>
      <c r="R1376" s="9"/>
      <c r="S1376" s="42"/>
      <c r="T1376" s="42"/>
      <c r="U1376" s="42"/>
      <c r="V1376" s="42"/>
      <c r="W1376" s="42"/>
      <c r="X1376" s="42"/>
      <c r="Y1376" s="42"/>
      <c r="Z1376" s="42"/>
      <c r="AA1376" s="42"/>
      <c r="AB1376" s="42" t="str">
        <f>IFERROR(__xludf.DUMMYFUNCTION("""COMPUTED_VALUE"""),"allen institute")</f>
        <v>allen institute</v>
      </c>
      <c r="AC1376" s="42" t="str">
        <f>IFERROR(__xludf.DUMMYFUNCTION("""COMPUTED_VALUE"""),"DHBA")</f>
        <v>DHBA</v>
      </c>
      <c r="AD1376" s="42"/>
      <c r="AE1376" s="42"/>
      <c r="AF1376" s="9"/>
      <c r="AG1376" s="9"/>
      <c r="AH1376" s="42"/>
      <c r="AI1376" s="42"/>
      <c r="AJ1376" s="42"/>
      <c r="AK1376" s="42"/>
      <c r="AL1376" s="42"/>
      <c r="AM1376" s="42"/>
      <c r="AN1376" s="42"/>
      <c r="AO1376" s="63" t="str">
        <f>IFERROR(__xludf.DUMMYFUNCTION("IF(ISBLANK(A1376),,IF(ISBLANK(S1376), A1376&amp;"";"", TEXTJOIN(CHAR(10), TRUE, A1376&amp;"";"", ARRAYFORMULA(VLOOKUP(SPLIT(S1376, "";"" &amp; CHAR(10)), $A:$AO, 41, FALSE)))))"),"V3A-2;")</f>
        <v>V3A-2;</v>
      </c>
      <c r="AP1376" s="89"/>
    </row>
    <row r="1377">
      <c r="A1377" s="151" t="str">
        <f>IFERROR(__xludf.DUMMYFUNCTION("""COMPUTED_VALUE"""),"V3A-3")</f>
        <v>V3A-3</v>
      </c>
      <c r="B1377" s="42" t="str">
        <f>IFERROR(__xludf.DUMMYFUNCTION("""COMPUTED_VALUE"""),"DHBA")</f>
        <v>DHBA</v>
      </c>
      <c r="C1377" s="42" t="str">
        <f>IFERROR(__xludf.DUMMYFUNCTION("""COMPUTED_VALUE"""),"layer III of area V3A")</f>
        <v>layer III of area V3A</v>
      </c>
      <c r="D1377" s="42">
        <f>IFERROR(__xludf.DUMMYFUNCTION("""COMPUTED_VALUE"""),1304.0)</f>
        <v>1304</v>
      </c>
      <c r="E1377" s="39" t="str">
        <f>IFERROR(__xludf.DUMMYFUNCTION("""COMPUTED_VALUE"""),"layer III of area V3A")</f>
        <v>layer III of area V3A</v>
      </c>
      <c r="F1377" s="9" t="str">
        <f>IFERROR(__xludf.DUMMYFUNCTION("""COMPUTED_VALUE"""),"Br")</f>
        <v>Br</v>
      </c>
      <c r="G1377" s="9" t="str">
        <f>IFERROR(__xludf.DUMMYFUNCTION("""COMPUTED_VALUE"""),"F")</f>
        <v>F</v>
      </c>
      <c r="H1377" s="9" t="str">
        <f>IFERROR(__xludf.DUMMYFUNCTION("""COMPUTED_VALUE"""),"FGM")</f>
        <v>FGM</v>
      </c>
      <c r="I1377" s="9" t="str">
        <f>IFERROR(__xludf.DUMMYFUNCTION("""COMPUTED_VALUE"""),"Tel")</f>
        <v>Tel</v>
      </c>
      <c r="J1377" s="9" t="str">
        <f>IFERROR(__xludf.DUMMYFUNCTION("""COMPUTED_VALUE"""),"Cx")</f>
        <v>Cx</v>
      </c>
      <c r="K1377" s="9" t="str">
        <f>IFERROR(__xludf.DUMMYFUNCTION("""COMPUTED_VALUE"""),"NCx")</f>
        <v>NCx</v>
      </c>
      <c r="L1377" s="9" t="str">
        <f>IFERROR(__xludf.DUMMYFUNCTION("""COMPUTED_VALUE"""),"Ocx")</f>
        <v>Ocx</v>
      </c>
      <c r="M1377" s="9" t="str">
        <f>IFERROR(__xludf.DUMMYFUNCTION("""COMPUTED_VALUE"""),"ESOC")</f>
        <v>ESOC</v>
      </c>
      <c r="N1377" s="9" t="str">
        <f>IFERROR(__xludf.DUMMYFUNCTION("""COMPUTED_VALUE"""),"PSC")</f>
        <v>PSC</v>
      </c>
      <c r="O1377" s="9" t="str">
        <f>IFERROR(__xludf.DUMMYFUNCTION("""COMPUTED_VALUE"""),"V3A")</f>
        <v>V3A</v>
      </c>
      <c r="P1377" s="9" t="str">
        <f>IFERROR(__xludf.DUMMYFUNCTION("""COMPUTED_VALUE"""),"V3A-3")</f>
        <v>V3A-3</v>
      </c>
      <c r="Q1377" s="9"/>
      <c r="R1377" s="9"/>
      <c r="S1377" s="42"/>
      <c r="T1377" s="42"/>
      <c r="U1377" s="42"/>
      <c r="V1377" s="42"/>
      <c r="W1377" s="42"/>
      <c r="X1377" s="42"/>
      <c r="Y1377" s="42"/>
      <c r="Z1377" s="42"/>
      <c r="AA1377" s="42"/>
      <c r="AB1377" s="42" t="str">
        <f>IFERROR(__xludf.DUMMYFUNCTION("""COMPUTED_VALUE"""),"allen institute")</f>
        <v>allen institute</v>
      </c>
      <c r="AC1377" s="42" t="str">
        <f>IFERROR(__xludf.DUMMYFUNCTION("""COMPUTED_VALUE"""),"DHBA")</f>
        <v>DHBA</v>
      </c>
      <c r="AD1377" s="42"/>
      <c r="AE1377" s="42"/>
      <c r="AF1377" s="9"/>
      <c r="AG1377" s="9"/>
      <c r="AH1377" s="42"/>
      <c r="AI1377" s="42"/>
      <c r="AJ1377" s="42"/>
      <c r="AK1377" s="42"/>
      <c r="AL1377" s="42"/>
      <c r="AM1377" s="42"/>
      <c r="AN1377" s="42"/>
      <c r="AO1377" s="63" t="str">
        <f>IFERROR(__xludf.DUMMYFUNCTION("IF(ISBLANK(A1377),,IF(ISBLANK(S1377), A1377&amp;"";"", TEXTJOIN(CHAR(10), TRUE, A1377&amp;"";"", ARRAYFORMULA(VLOOKUP(SPLIT(S1377, "";"" &amp; CHAR(10)), $A:$AO, 41, FALSE)))))"),"V3A-3;")</f>
        <v>V3A-3;</v>
      </c>
      <c r="AP1377" s="89"/>
    </row>
    <row r="1378">
      <c r="A1378" s="151" t="str">
        <f>IFERROR(__xludf.DUMMYFUNCTION("""COMPUTED_VALUE"""),"V3A-4")</f>
        <v>V3A-4</v>
      </c>
      <c r="B1378" s="42" t="str">
        <f>IFERROR(__xludf.DUMMYFUNCTION("""COMPUTED_VALUE"""),"DHBA")</f>
        <v>DHBA</v>
      </c>
      <c r="C1378" s="42" t="str">
        <f>IFERROR(__xludf.DUMMYFUNCTION("""COMPUTED_VALUE"""),"layer IV of area V3A")</f>
        <v>layer IV of area V3A</v>
      </c>
      <c r="D1378" s="42">
        <f>IFERROR(__xludf.DUMMYFUNCTION("""COMPUTED_VALUE"""),1305.0)</f>
        <v>1305</v>
      </c>
      <c r="E1378" s="39" t="str">
        <f>IFERROR(__xludf.DUMMYFUNCTION("""COMPUTED_VALUE"""),"layer IV of area V3A")</f>
        <v>layer IV of area V3A</v>
      </c>
      <c r="F1378" s="9" t="str">
        <f>IFERROR(__xludf.DUMMYFUNCTION("""COMPUTED_VALUE"""),"Br")</f>
        <v>Br</v>
      </c>
      <c r="G1378" s="9" t="str">
        <f>IFERROR(__xludf.DUMMYFUNCTION("""COMPUTED_VALUE"""),"F")</f>
        <v>F</v>
      </c>
      <c r="H1378" s="9" t="str">
        <f>IFERROR(__xludf.DUMMYFUNCTION("""COMPUTED_VALUE"""),"FGM")</f>
        <v>FGM</v>
      </c>
      <c r="I1378" s="9" t="str">
        <f>IFERROR(__xludf.DUMMYFUNCTION("""COMPUTED_VALUE"""),"Tel")</f>
        <v>Tel</v>
      </c>
      <c r="J1378" s="9" t="str">
        <f>IFERROR(__xludf.DUMMYFUNCTION("""COMPUTED_VALUE"""),"Cx")</f>
        <v>Cx</v>
      </c>
      <c r="K1378" s="9" t="str">
        <f>IFERROR(__xludf.DUMMYFUNCTION("""COMPUTED_VALUE"""),"NCx")</f>
        <v>NCx</v>
      </c>
      <c r="L1378" s="9" t="str">
        <f>IFERROR(__xludf.DUMMYFUNCTION("""COMPUTED_VALUE"""),"Ocx")</f>
        <v>Ocx</v>
      </c>
      <c r="M1378" s="9" t="str">
        <f>IFERROR(__xludf.DUMMYFUNCTION("""COMPUTED_VALUE"""),"ESOC")</f>
        <v>ESOC</v>
      </c>
      <c r="N1378" s="9" t="str">
        <f>IFERROR(__xludf.DUMMYFUNCTION("""COMPUTED_VALUE"""),"PSC")</f>
        <v>PSC</v>
      </c>
      <c r="O1378" s="9" t="str">
        <f>IFERROR(__xludf.DUMMYFUNCTION("""COMPUTED_VALUE"""),"V3A")</f>
        <v>V3A</v>
      </c>
      <c r="P1378" s="9" t="str">
        <f>IFERROR(__xludf.DUMMYFUNCTION("""COMPUTED_VALUE"""),"V3A-4")</f>
        <v>V3A-4</v>
      </c>
      <c r="Q1378" s="9"/>
      <c r="R1378" s="9"/>
      <c r="S1378" s="42"/>
      <c r="T1378" s="42"/>
      <c r="U1378" s="42"/>
      <c r="V1378" s="42"/>
      <c r="W1378" s="42"/>
      <c r="X1378" s="42"/>
      <c r="Y1378" s="42"/>
      <c r="Z1378" s="42"/>
      <c r="AA1378" s="42"/>
      <c r="AB1378" s="42" t="str">
        <f>IFERROR(__xludf.DUMMYFUNCTION("""COMPUTED_VALUE"""),"allen institute")</f>
        <v>allen institute</v>
      </c>
      <c r="AC1378" s="42" t="str">
        <f>IFERROR(__xludf.DUMMYFUNCTION("""COMPUTED_VALUE"""),"DHBA")</f>
        <v>DHBA</v>
      </c>
      <c r="AD1378" s="42"/>
      <c r="AE1378" s="42"/>
      <c r="AF1378" s="9"/>
      <c r="AG1378" s="9"/>
      <c r="AH1378" s="42"/>
      <c r="AI1378" s="42"/>
      <c r="AJ1378" s="42"/>
      <c r="AK1378" s="42"/>
      <c r="AL1378" s="42"/>
      <c r="AM1378" s="42"/>
      <c r="AN1378" s="42"/>
      <c r="AO1378" s="63" t="str">
        <f>IFERROR(__xludf.DUMMYFUNCTION("IF(ISBLANK(A1378),,IF(ISBLANK(S1378), A1378&amp;"";"", TEXTJOIN(CHAR(10), TRUE, A1378&amp;"";"", ARRAYFORMULA(VLOOKUP(SPLIT(S1378, "";"" &amp; CHAR(10)), $A:$AO, 41, FALSE)))))"),"V3A-4;")</f>
        <v>V3A-4;</v>
      </c>
      <c r="AP1378" s="89"/>
    </row>
    <row r="1379">
      <c r="A1379" s="151" t="str">
        <f>IFERROR(__xludf.DUMMYFUNCTION("""COMPUTED_VALUE"""),"V3A-5")</f>
        <v>V3A-5</v>
      </c>
      <c r="B1379" s="42" t="str">
        <f>IFERROR(__xludf.DUMMYFUNCTION("""COMPUTED_VALUE"""),"DHBA")</f>
        <v>DHBA</v>
      </c>
      <c r="C1379" s="42" t="str">
        <f>IFERROR(__xludf.DUMMYFUNCTION("""COMPUTED_VALUE"""),"layer V of area V3A")</f>
        <v>layer V of area V3A</v>
      </c>
      <c r="D1379" s="42">
        <f>IFERROR(__xludf.DUMMYFUNCTION("""COMPUTED_VALUE"""),1306.0)</f>
        <v>1306</v>
      </c>
      <c r="E1379" s="39" t="str">
        <f>IFERROR(__xludf.DUMMYFUNCTION("""COMPUTED_VALUE"""),"layer V of area V3A")</f>
        <v>layer V of area V3A</v>
      </c>
      <c r="F1379" s="9" t="str">
        <f>IFERROR(__xludf.DUMMYFUNCTION("""COMPUTED_VALUE"""),"Br")</f>
        <v>Br</v>
      </c>
      <c r="G1379" s="9" t="str">
        <f>IFERROR(__xludf.DUMMYFUNCTION("""COMPUTED_VALUE"""),"F")</f>
        <v>F</v>
      </c>
      <c r="H1379" s="9" t="str">
        <f>IFERROR(__xludf.DUMMYFUNCTION("""COMPUTED_VALUE"""),"FGM")</f>
        <v>FGM</v>
      </c>
      <c r="I1379" s="9" t="str">
        <f>IFERROR(__xludf.DUMMYFUNCTION("""COMPUTED_VALUE"""),"Tel")</f>
        <v>Tel</v>
      </c>
      <c r="J1379" s="9" t="str">
        <f>IFERROR(__xludf.DUMMYFUNCTION("""COMPUTED_VALUE"""),"Cx")</f>
        <v>Cx</v>
      </c>
      <c r="K1379" s="9" t="str">
        <f>IFERROR(__xludf.DUMMYFUNCTION("""COMPUTED_VALUE"""),"NCx")</f>
        <v>NCx</v>
      </c>
      <c r="L1379" s="9" t="str">
        <f>IFERROR(__xludf.DUMMYFUNCTION("""COMPUTED_VALUE"""),"Ocx")</f>
        <v>Ocx</v>
      </c>
      <c r="M1379" s="9" t="str">
        <f>IFERROR(__xludf.DUMMYFUNCTION("""COMPUTED_VALUE"""),"ESOC")</f>
        <v>ESOC</v>
      </c>
      <c r="N1379" s="9" t="str">
        <f>IFERROR(__xludf.DUMMYFUNCTION("""COMPUTED_VALUE"""),"PSC")</f>
        <v>PSC</v>
      </c>
      <c r="O1379" s="9" t="str">
        <f>IFERROR(__xludf.DUMMYFUNCTION("""COMPUTED_VALUE"""),"V3A")</f>
        <v>V3A</v>
      </c>
      <c r="P1379" s="9" t="str">
        <f>IFERROR(__xludf.DUMMYFUNCTION("""COMPUTED_VALUE"""),"V3A-5")</f>
        <v>V3A-5</v>
      </c>
      <c r="Q1379" s="9"/>
      <c r="R1379" s="9"/>
      <c r="S1379" s="42"/>
      <c r="T1379" s="42"/>
      <c r="U1379" s="42"/>
      <c r="V1379" s="42"/>
      <c r="W1379" s="42"/>
      <c r="X1379" s="42"/>
      <c r="Y1379" s="42"/>
      <c r="Z1379" s="42"/>
      <c r="AA1379" s="42"/>
      <c r="AB1379" s="42" t="str">
        <f>IFERROR(__xludf.DUMMYFUNCTION("""COMPUTED_VALUE"""),"allen institute")</f>
        <v>allen institute</v>
      </c>
      <c r="AC1379" s="42" t="str">
        <f>IFERROR(__xludf.DUMMYFUNCTION("""COMPUTED_VALUE"""),"DHBA")</f>
        <v>DHBA</v>
      </c>
      <c r="AD1379" s="42"/>
      <c r="AE1379" s="42"/>
      <c r="AF1379" s="9"/>
      <c r="AG1379" s="9"/>
      <c r="AH1379" s="42"/>
      <c r="AI1379" s="42"/>
      <c r="AJ1379" s="42"/>
      <c r="AK1379" s="42"/>
      <c r="AL1379" s="42"/>
      <c r="AM1379" s="42"/>
      <c r="AN1379" s="42"/>
      <c r="AO1379" s="63" t="str">
        <f>IFERROR(__xludf.DUMMYFUNCTION("IF(ISBLANK(A1379),,IF(ISBLANK(S1379), A1379&amp;"";"", TEXTJOIN(CHAR(10), TRUE, A1379&amp;"";"", ARRAYFORMULA(VLOOKUP(SPLIT(S1379, "";"" &amp; CHAR(10)), $A:$AO, 41, FALSE)))))"),"V3A-5;")</f>
        <v>V3A-5;</v>
      </c>
      <c r="AP1379" s="89"/>
    </row>
    <row r="1380">
      <c r="A1380" s="151" t="str">
        <f>IFERROR(__xludf.DUMMYFUNCTION("""COMPUTED_VALUE"""),"V3A-6")</f>
        <v>V3A-6</v>
      </c>
      <c r="B1380" s="42" t="str">
        <f>IFERROR(__xludf.DUMMYFUNCTION("""COMPUTED_VALUE"""),"DHBA")</f>
        <v>DHBA</v>
      </c>
      <c r="C1380" s="42" t="str">
        <f>IFERROR(__xludf.DUMMYFUNCTION("""COMPUTED_VALUE"""),"layer VI of area V3A")</f>
        <v>layer VI of area V3A</v>
      </c>
      <c r="D1380" s="42">
        <f>IFERROR(__xludf.DUMMYFUNCTION("""COMPUTED_VALUE"""),1307.0)</f>
        <v>1307</v>
      </c>
      <c r="E1380" s="39" t="str">
        <f>IFERROR(__xludf.DUMMYFUNCTION("""COMPUTED_VALUE"""),"layer VI of area V3A")</f>
        <v>layer VI of area V3A</v>
      </c>
      <c r="F1380" s="9" t="str">
        <f>IFERROR(__xludf.DUMMYFUNCTION("""COMPUTED_VALUE"""),"Br")</f>
        <v>Br</v>
      </c>
      <c r="G1380" s="9" t="str">
        <f>IFERROR(__xludf.DUMMYFUNCTION("""COMPUTED_VALUE"""),"F")</f>
        <v>F</v>
      </c>
      <c r="H1380" s="9" t="str">
        <f>IFERROR(__xludf.DUMMYFUNCTION("""COMPUTED_VALUE"""),"FGM")</f>
        <v>FGM</v>
      </c>
      <c r="I1380" s="9" t="str">
        <f>IFERROR(__xludf.DUMMYFUNCTION("""COMPUTED_VALUE"""),"Tel")</f>
        <v>Tel</v>
      </c>
      <c r="J1380" s="9" t="str">
        <f>IFERROR(__xludf.DUMMYFUNCTION("""COMPUTED_VALUE"""),"Cx")</f>
        <v>Cx</v>
      </c>
      <c r="K1380" s="9" t="str">
        <f>IFERROR(__xludf.DUMMYFUNCTION("""COMPUTED_VALUE"""),"NCx")</f>
        <v>NCx</v>
      </c>
      <c r="L1380" s="9" t="str">
        <f>IFERROR(__xludf.DUMMYFUNCTION("""COMPUTED_VALUE"""),"Ocx")</f>
        <v>Ocx</v>
      </c>
      <c r="M1380" s="9" t="str">
        <f>IFERROR(__xludf.DUMMYFUNCTION("""COMPUTED_VALUE"""),"ESOC")</f>
        <v>ESOC</v>
      </c>
      <c r="N1380" s="9" t="str">
        <f>IFERROR(__xludf.DUMMYFUNCTION("""COMPUTED_VALUE"""),"PSC")</f>
        <v>PSC</v>
      </c>
      <c r="O1380" s="9" t="str">
        <f>IFERROR(__xludf.DUMMYFUNCTION("""COMPUTED_VALUE"""),"V3A")</f>
        <v>V3A</v>
      </c>
      <c r="P1380" s="9" t="str">
        <f>IFERROR(__xludf.DUMMYFUNCTION("""COMPUTED_VALUE"""),"V3A-6")</f>
        <v>V3A-6</v>
      </c>
      <c r="Q1380" s="9"/>
      <c r="R1380" s="9"/>
      <c r="S1380" s="42"/>
      <c r="T1380" s="42"/>
      <c r="U1380" s="42"/>
      <c r="V1380" s="42"/>
      <c r="W1380" s="42"/>
      <c r="X1380" s="42"/>
      <c r="Y1380" s="42"/>
      <c r="Z1380" s="42"/>
      <c r="AA1380" s="42"/>
      <c r="AB1380" s="42" t="str">
        <f>IFERROR(__xludf.DUMMYFUNCTION("""COMPUTED_VALUE"""),"allen institute")</f>
        <v>allen institute</v>
      </c>
      <c r="AC1380" s="42" t="str">
        <f>IFERROR(__xludf.DUMMYFUNCTION("""COMPUTED_VALUE"""),"DHBA")</f>
        <v>DHBA</v>
      </c>
      <c r="AD1380" s="42"/>
      <c r="AE1380" s="42"/>
      <c r="AF1380" s="9"/>
      <c r="AG1380" s="9"/>
      <c r="AH1380" s="42"/>
      <c r="AI1380" s="42"/>
      <c r="AJ1380" s="42"/>
      <c r="AK1380" s="42"/>
      <c r="AL1380" s="42"/>
      <c r="AM1380" s="42"/>
      <c r="AN1380" s="42"/>
      <c r="AO1380" s="63" t="str">
        <f>IFERROR(__xludf.DUMMYFUNCTION("IF(ISBLANK(A1380),,IF(ISBLANK(S1380), A1380&amp;"";"", TEXTJOIN(CHAR(10), TRUE, A1380&amp;"";"", ARRAYFORMULA(VLOOKUP(SPLIT(S1380, "";"" &amp; CHAR(10)), $A:$AO, 41, FALSE)))))"),"V3A-6;")</f>
        <v>V3A-6;</v>
      </c>
      <c r="AP1380" s="89"/>
    </row>
    <row r="1381">
      <c r="A1381" s="151" t="str">
        <f>IFERROR(__xludf.DUMMYFUNCTION("""COMPUTED_VALUE"""),"V4")</f>
        <v>V4</v>
      </c>
      <c r="B1381" s="42" t="str">
        <f>IFERROR(__xludf.DUMMYFUNCTION("""COMPUTED_VALUE"""),"DHBA")</f>
        <v>DHBA</v>
      </c>
      <c r="C1381" s="42" t="str">
        <f>IFERROR(__xludf.DUMMYFUNCTION("""COMPUTED_VALUE"""),"area V4 of peristriate cortex")</f>
        <v>area V4 of peristriate cortex</v>
      </c>
      <c r="D1381" s="42">
        <f>IFERROR(__xludf.DUMMYFUNCTION("""COMPUTED_VALUE"""),1308.0)</f>
        <v>1308</v>
      </c>
      <c r="E1381" s="39" t="str">
        <f>IFERROR(__xludf.DUMMYFUNCTION("""COMPUTED_VALUE"""),"area V4 of peristriate cortex")</f>
        <v>area V4 of peristriate cortex</v>
      </c>
      <c r="F1381" s="9" t="str">
        <f>IFERROR(__xludf.DUMMYFUNCTION("""COMPUTED_VALUE"""),"Br")</f>
        <v>Br</v>
      </c>
      <c r="G1381" s="9" t="str">
        <f>IFERROR(__xludf.DUMMYFUNCTION("""COMPUTED_VALUE"""),"F")</f>
        <v>F</v>
      </c>
      <c r="H1381" s="9" t="str">
        <f>IFERROR(__xludf.DUMMYFUNCTION("""COMPUTED_VALUE"""),"FGM")</f>
        <v>FGM</v>
      </c>
      <c r="I1381" s="9" t="str">
        <f>IFERROR(__xludf.DUMMYFUNCTION("""COMPUTED_VALUE"""),"Tel")</f>
        <v>Tel</v>
      </c>
      <c r="J1381" s="9" t="str">
        <f>IFERROR(__xludf.DUMMYFUNCTION("""COMPUTED_VALUE"""),"Cx")</f>
        <v>Cx</v>
      </c>
      <c r="K1381" s="9" t="str">
        <f>IFERROR(__xludf.DUMMYFUNCTION("""COMPUTED_VALUE"""),"NCx")</f>
        <v>NCx</v>
      </c>
      <c r="L1381" s="9" t="str">
        <f>IFERROR(__xludf.DUMMYFUNCTION("""COMPUTED_VALUE"""),"Ocx")</f>
        <v>Ocx</v>
      </c>
      <c r="M1381" s="9" t="str">
        <f>IFERROR(__xludf.DUMMYFUNCTION("""COMPUTED_VALUE"""),"ESOC")</f>
        <v>ESOC</v>
      </c>
      <c r="N1381" s="9" t="str">
        <f>IFERROR(__xludf.DUMMYFUNCTION("""COMPUTED_VALUE"""),"PSC")</f>
        <v>PSC</v>
      </c>
      <c r="O1381" s="9" t="str">
        <f>IFERROR(__xludf.DUMMYFUNCTION("""COMPUTED_VALUE"""),"V4")</f>
        <v>V4</v>
      </c>
      <c r="P1381" s="9"/>
      <c r="Q1381" s="9"/>
      <c r="R1381" s="9"/>
      <c r="S1381" s="42" t="str">
        <f>IFERROR(__xludf.DUMMYFUNCTION("""COMPUTED_VALUE"""),"V4_1;
V4_2;
V4_3;
V4_4;
V4_5;
V4_6")</f>
        <v>V4_1;
V4_2;
V4_3;
V4_4;
V4_5;
V4_6</v>
      </c>
      <c r="T1381" s="42"/>
      <c r="U1381" s="42" t="b">
        <f>IFERROR(__xludf.DUMMYFUNCTION("""COMPUTED_VALUE"""),FALSE)</f>
        <v>0</v>
      </c>
      <c r="V1381" s="42"/>
      <c r="W1381" s="42"/>
      <c r="X1381" s="42"/>
      <c r="Y1381" s="42"/>
      <c r="Z1381" s="42"/>
      <c r="AA1381" s="42"/>
      <c r="AB1381" s="42" t="str">
        <f>IFERROR(__xludf.DUMMYFUNCTION("""COMPUTED_VALUE"""),"allen institute")</f>
        <v>allen institute</v>
      </c>
      <c r="AC1381" s="42" t="str">
        <f>IFERROR(__xludf.DUMMYFUNCTION("""COMPUTED_VALUE"""),"DHBA")</f>
        <v>DHBA</v>
      </c>
      <c r="AD1381" s="42"/>
      <c r="AE1381" s="42"/>
      <c r="AF1381" s="9"/>
      <c r="AG1381" s="9"/>
      <c r="AH1381" s="42"/>
      <c r="AI1381" s="42"/>
      <c r="AJ1381" s="42"/>
      <c r="AK1381" s="42"/>
      <c r="AL1381" s="42"/>
      <c r="AM1381" s="42"/>
      <c r="AN1381" s="42"/>
      <c r="AO1381" s="63" t="str">
        <f>IFERROR(__xludf.DUMMYFUNCTION("IF(ISBLANK(A1381),,IF(ISBLANK(S1381), A1381&amp;"";"", TEXTJOIN(CHAR(10), TRUE, A1381&amp;"";"", ARRAYFORMULA(VLOOKUP(SPLIT(S1381, "";"" &amp; CHAR(10)), $A:$AO, 41, FALSE)))))"),"#N/A")</f>
        <v>#N/A</v>
      </c>
      <c r="AP1381" s="89"/>
    </row>
    <row r="1382">
      <c r="A1382" s="151" t="str">
        <f>IFERROR(__xludf.DUMMYFUNCTION("""COMPUTED_VALUE"""),"V4-1")</f>
        <v>V4-1</v>
      </c>
      <c r="B1382" s="42" t="str">
        <f>IFERROR(__xludf.DUMMYFUNCTION("""COMPUTED_VALUE"""),"DHBA")</f>
        <v>DHBA</v>
      </c>
      <c r="C1382" s="42" t="str">
        <f>IFERROR(__xludf.DUMMYFUNCTION("""COMPUTED_VALUE"""),"layer I of area V4")</f>
        <v>layer I of area V4</v>
      </c>
      <c r="D1382" s="42">
        <f>IFERROR(__xludf.DUMMYFUNCTION("""COMPUTED_VALUE"""),1309.0)</f>
        <v>1309</v>
      </c>
      <c r="E1382" s="39" t="str">
        <f>IFERROR(__xludf.DUMMYFUNCTION("""COMPUTED_VALUE"""),"layer I of area V4")</f>
        <v>layer I of area V4</v>
      </c>
      <c r="F1382" s="9" t="str">
        <f>IFERROR(__xludf.DUMMYFUNCTION("""COMPUTED_VALUE"""),"Br")</f>
        <v>Br</v>
      </c>
      <c r="G1382" s="9" t="str">
        <f>IFERROR(__xludf.DUMMYFUNCTION("""COMPUTED_VALUE"""),"F")</f>
        <v>F</v>
      </c>
      <c r="H1382" s="9" t="str">
        <f>IFERROR(__xludf.DUMMYFUNCTION("""COMPUTED_VALUE"""),"FGM")</f>
        <v>FGM</v>
      </c>
      <c r="I1382" s="9" t="str">
        <f>IFERROR(__xludf.DUMMYFUNCTION("""COMPUTED_VALUE"""),"Tel")</f>
        <v>Tel</v>
      </c>
      <c r="J1382" s="9" t="str">
        <f>IFERROR(__xludf.DUMMYFUNCTION("""COMPUTED_VALUE"""),"Cx")</f>
        <v>Cx</v>
      </c>
      <c r="K1382" s="9" t="str">
        <f>IFERROR(__xludf.DUMMYFUNCTION("""COMPUTED_VALUE"""),"NCx")</f>
        <v>NCx</v>
      </c>
      <c r="L1382" s="9" t="str">
        <f>IFERROR(__xludf.DUMMYFUNCTION("""COMPUTED_VALUE"""),"Ocx")</f>
        <v>Ocx</v>
      </c>
      <c r="M1382" s="9" t="str">
        <f>IFERROR(__xludf.DUMMYFUNCTION("""COMPUTED_VALUE"""),"ESOC")</f>
        <v>ESOC</v>
      </c>
      <c r="N1382" s="9" t="str">
        <f>IFERROR(__xludf.DUMMYFUNCTION("""COMPUTED_VALUE"""),"PSC")</f>
        <v>PSC</v>
      </c>
      <c r="O1382" s="9" t="str">
        <f>IFERROR(__xludf.DUMMYFUNCTION("""COMPUTED_VALUE"""),"V4")</f>
        <v>V4</v>
      </c>
      <c r="P1382" s="9" t="str">
        <f>IFERROR(__xludf.DUMMYFUNCTION("""COMPUTED_VALUE"""),"V4-1")</f>
        <v>V4-1</v>
      </c>
      <c r="Q1382" s="9"/>
      <c r="R1382" s="9"/>
      <c r="S1382" s="42"/>
      <c r="T1382" s="42"/>
      <c r="U1382" s="42"/>
      <c r="V1382" s="42"/>
      <c r="W1382" s="42"/>
      <c r="X1382" s="42"/>
      <c r="Y1382" s="42"/>
      <c r="Z1382" s="42"/>
      <c r="AA1382" s="42"/>
      <c r="AB1382" s="42" t="str">
        <f>IFERROR(__xludf.DUMMYFUNCTION("""COMPUTED_VALUE"""),"allen institute")</f>
        <v>allen institute</v>
      </c>
      <c r="AC1382" s="42" t="str">
        <f>IFERROR(__xludf.DUMMYFUNCTION("""COMPUTED_VALUE"""),"DHBA")</f>
        <v>DHBA</v>
      </c>
      <c r="AD1382" s="42"/>
      <c r="AE1382" s="42"/>
      <c r="AF1382" s="9"/>
      <c r="AG1382" s="9"/>
      <c r="AH1382" s="42"/>
      <c r="AI1382" s="42"/>
      <c r="AJ1382" s="42"/>
      <c r="AK1382" s="42"/>
      <c r="AL1382" s="42"/>
      <c r="AM1382" s="42"/>
      <c r="AN1382" s="42"/>
      <c r="AO1382" s="63" t="str">
        <f>IFERROR(__xludf.DUMMYFUNCTION("IF(ISBLANK(A1382),,IF(ISBLANK(S1382), A1382&amp;"";"", TEXTJOIN(CHAR(10), TRUE, A1382&amp;"";"", ARRAYFORMULA(VLOOKUP(SPLIT(S1382, "";"" &amp; CHAR(10)), $A:$AO, 41, FALSE)))))"),"V4-1;")</f>
        <v>V4-1;</v>
      </c>
      <c r="AP1382" s="89"/>
    </row>
    <row r="1383">
      <c r="A1383" s="151" t="str">
        <f>IFERROR(__xludf.DUMMYFUNCTION("""COMPUTED_VALUE"""),"V4-2")</f>
        <v>V4-2</v>
      </c>
      <c r="B1383" s="42" t="str">
        <f>IFERROR(__xludf.DUMMYFUNCTION("""COMPUTED_VALUE"""),"DHBA")</f>
        <v>DHBA</v>
      </c>
      <c r="C1383" s="42" t="str">
        <f>IFERROR(__xludf.DUMMYFUNCTION("""COMPUTED_VALUE"""),"layer II of area V4")</f>
        <v>layer II of area V4</v>
      </c>
      <c r="D1383" s="42">
        <f>IFERROR(__xludf.DUMMYFUNCTION("""COMPUTED_VALUE"""),1310.0)</f>
        <v>1310</v>
      </c>
      <c r="E1383" s="39" t="str">
        <f>IFERROR(__xludf.DUMMYFUNCTION("""COMPUTED_VALUE"""),"layer II of area V4")</f>
        <v>layer II of area V4</v>
      </c>
      <c r="F1383" s="9" t="str">
        <f>IFERROR(__xludf.DUMMYFUNCTION("""COMPUTED_VALUE"""),"Br")</f>
        <v>Br</v>
      </c>
      <c r="G1383" s="9" t="str">
        <f>IFERROR(__xludf.DUMMYFUNCTION("""COMPUTED_VALUE"""),"F")</f>
        <v>F</v>
      </c>
      <c r="H1383" s="9" t="str">
        <f>IFERROR(__xludf.DUMMYFUNCTION("""COMPUTED_VALUE"""),"FGM")</f>
        <v>FGM</v>
      </c>
      <c r="I1383" s="9" t="str">
        <f>IFERROR(__xludf.DUMMYFUNCTION("""COMPUTED_VALUE"""),"Tel")</f>
        <v>Tel</v>
      </c>
      <c r="J1383" s="9" t="str">
        <f>IFERROR(__xludf.DUMMYFUNCTION("""COMPUTED_VALUE"""),"Cx")</f>
        <v>Cx</v>
      </c>
      <c r="K1383" s="9" t="str">
        <f>IFERROR(__xludf.DUMMYFUNCTION("""COMPUTED_VALUE"""),"NCx")</f>
        <v>NCx</v>
      </c>
      <c r="L1383" s="9" t="str">
        <f>IFERROR(__xludf.DUMMYFUNCTION("""COMPUTED_VALUE"""),"Ocx")</f>
        <v>Ocx</v>
      </c>
      <c r="M1383" s="9" t="str">
        <f>IFERROR(__xludf.DUMMYFUNCTION("""COMPUTED_VALUE"""),"ESOC")</f>
        <v>ESOC</v>
      </c>
      <c r="N1383" s="9" t="str">
        <f>IFERROR(__xludf.DUMMYFUNCTION("""COMPUTED_VALUE"""),"PSC")</f>
        <v>PSC</v>
      </c>
      <c r="O1383" s="9" t="str">
        <f>IFERROR(__xludf.DUMMYFUNCTION("""COMPUTED_VALUE"""),"V4")</f>
        <v>V4</v>
      </c>
      <c r="P1383" s="9" t="str">
        <f>IFERROR(__xludf.DUMMYFUNCTION("""COMPUTED_VALUE"""),"V4-2")</f>
        <v>V4-2</v>
      </c>
      <c r="Q1383" s="9"/>
      <c r="R1383" s="9"/>
      <c r="S1383" s="42"/>
      <c r="T1383" s="42"/>
      <c r="U1383" s="42"/>
      <c r="V1383" s="42"/>
      <c r="W1383" s="42"/>
      <c r="X1383" s="42"/>
      <c r="Y1383" s="42"/>
      <c r="Z1383" s="42"/>
      <c r="AA1383" s="42"/>
      <c r="AB1383" s="42" t="str">
        <f>IFERROR(__xludf.DUMMYFUNCTION("""COMPUTED_VALUE"""),"allen institute")</f>
        <v>allen institute</v>
      </c>
      <c r="AC1383" s="42" t="str">
        <f>IFERROR(__xludf.DUMMYFUNCTION("""COMPUTED_VALUE"""),"DHBA")</f>
        <v>DHBA</v>
      </c>
      <c r="AD1383" s="42"/>
      <c r="AE1383" s="42"/>
      <c r="AF1383" s="9"/>
      <c r="AG1383" s="9"/>
      <c r="AH1383" s="42"/>
      <c r="AI1383" s="42"/>
      <c r="AJ1383" s="42"/>
      <c r="AK1383" s="42"/>
      <c r="AL1383" s="42"/>
      <c r="AM1383" s="42"/>
      <c r="AN1383" s="42"/>
      <c r="AO1383" s="63" t="str">
        <f>IFERROR(__xludf.DUMMYFUNCTION("IF(ISBLANK(A1383),,IF(ISBLANK(S1383), A1383&amp;"";"", TEXTJOIN(CHAR(10), TRUE, A1383&amp;"";"", ARRAYFORMULA(VLOOKUP(SPLIT(S1383, "";"" &amp; CHAR(10)), $A:$AO, 41, FALSE)))))"),"V4-2;")</f>
        <v>V4-2;</v>
      </c>
      <c r="AP1383" s="89"/>
    </row>
    <row r="1384">
      <c r="A1384" s="151" t="str">
        <f>IFERROR(__xludf.DUMMYFUNCTION("""COMPUTED_VALUE"""),"V4-3")</f>
        <v>V4-3</v>
      </c>
      <c r="B1384" s="42" t="str">
        <f>IFERROR(__xludf.DUMMYFUNCTION("""COMPUTED_VALUE"""),"DHBA")</f>
        <v>DHBA</v>
      </c>
      <c r="C1384" s="42" t="str">
        <f>IFERROR(__xludf.DUMMYFUNCTION("""COMPUTED_VALUE"""),"layer III of area V4")</f>
        <v>layer III of area V4</v>
      </c>
      <c r="D1384" s="42">
        <f>IFERROR(__xludf.DUMMYFUNCTION("""COMPUTED_VALUE"""),1311.0)</f>
        <v>1311</v>
      </c>
      <c r="E1384" s="39" t="str">
        <f>IFERROR(__xludf.DUMMYFUNCTION("""COMPUTED_VALUE"""),"layer III of area V4")</f>
        <v>layer III of area V4</v>
      </c>
      <c r="F1384" s="9" t="str">
        <f>IFERROR(__xludf.DUMMYFUNCTION("""COMPUTED_VALUE"""),"Br")</f>
        <v>Br</v>
      </c>
      <c r="G1384" s="9" t="str">
        <f>IFERROR(__xludf.DUMMYFUNCTION("""COMPUTED_VALUE"""),"F")</f>
        <v>F</v>
      </c>
      <c r="H1384" s="9" t="str">
        <f>IFERROR(__xludf.DUMMYFUNCTION("""COMPUTED_VALUE"""),"FGM")</f>
        <v>FGM</v>
      </c>
      <c r="I1384" s="9" t="str">
        <f>IFERROR(__xludf.DUMMYFUNCTION("""COMPUTED_VALUE"""),"Tel")</f>
        <v>Tel</v>
      </c>
      <c r="J1384" s="9" t="str">
        <f>IFERROR(__xludf.DUMMYFUNCTION("""COMPUTED_VALUE"""),"Cx")</f>
        <v>Cx</v>
      </c>
      <c r="K1384" s="9" t="str">
        <f>IFERROR(__xludf.DUMMYFUNCTION("""COMPUTED_VALUE"""),"NCx")</f>
        <v>NCx</v>
      </c>
      <c r="L1384" s="9" t="str">
        <f>IFERROR(__xludf.DUMMYFUNCTION("""COMPUTED_VALUE"""),"Ocx")</f>
        <v>Ocx</v>
      </c>
      <c r="M1384" s="9" t="str">
        <f>IFERROR(__xludf.DUMMYFUNCTION("""COMPUTED_VALUE"""),"ESOC")</f>
        <v>ESOC</v>
      </c>
      <c r="N1384" s="9" t="str">
        <f>IFERROR(__xludf.DUMMYFUNCTION("""COMPUTED_VALUE"""),"PSC")</f>
        <v>PSC</v>
      </c>
      <c r="O1384" s="9" t="str">
        <f>IFERROR(__xludf.DUMMYFUNCTION("""COMPUTED_VALUE"""),"V4")</f>
        <v>V4</v>
      </c>
      <c r="P1384" s="9" t="str">
        <f>IFERROR(__xludf.DUMMYFUNCTION("""COMPUTED_VALUE"""),"V4-3")</f>
        <v>V4-3</v>
      </c>
      <c r="Q1384" s="9"/>
      <c r="R1384" s="9"/>
      <c r="S1384" s="42"/>
      <c r="T1384" s="42"/>
      <c r="U1384" s="42"/>
      <c r="V1384" s="42"/>
      <c r="W1384" s="42"/>
      <c r="X1384" s="42"/>
      <c r="Y1384" s="42"/>
      <c r="Z1384" s="42"/>
      <c r="AA1384" s="42"/>
      <c r="AB1384" s="42" t="str">
        <f>IFERROR(__xludf.DUMMYFUNCTION("""COMPUTED_VALUE"""),"allen institute")</f>
        <v>allen institute</v>
      </c>
      <c r="AC1384" s="42" t="str">
        <f>IFERROR(__xludf.DUMMYFUNCTION("""COMPUTED_VALUE"""),"DHBA")</f>
        <v>DHBA</v>
      </c>
      <c r="AD1384" s="42"/>
      <c r="AE1384" s="42"/>
      <c r="AF1384" s="9"/>
      <c r="AG1384" s="9"/>
      <c r="AH1384" s="42"/>
      <c r="AI1384" s="42"/>
      <c r="AJ1384" s="42"/>
      <c r="AK1384" s="42"/>
      <c r="AL1384" s="42"/>
      <c r="AM1384" s="42"/>
      <c r="AN1384" s="42"/>
      <c r="AO1384" s="63" t="str">
        <f>IFERROR(__xludf.DUMMYFUNCTION("IF(ISBLANK(A1384),,IF(ISBLANK(S1384), A1384&amp;"";"", TEXTJOIN(CHAR(10), TRUE, A1384&amp;"";"", ARRAYFORMULA(VLOOKUP(SPLIT(S1384, "";"" &amp; CHAR(10)), $A:$AO, 41, FALSE)))))"),"V4-3;")</f>
        <v>V4-3;</v>
      </c>
      <c r="AP1384" s="89"/>
    </row>
    <row r="1385">
      <c r="A1385" s="151" t="str">
        <f>IFERROR(__xludf.DUMMYFUNCTION("""COMPUTED_VALUE"""),"V4-4")</f>
        <v>V4-4</v>
      </c>
      <c r="B1385" s="42" t="str">
        <f>IFERROR(__xludf.DUMMYFUNCTION("""COMPUTED_VALUE"""),"DHBA")</f>
        <v>DHBA</v>
      </c>
      <c r="C1385" s="42" t="str">
        <f>IFERROR(__xludf.DUMMYFUNCTION("""COMPUTED_VALUE"""),"layer IV of area V4")</f>
        <v>layer IV of area V4</v>
      </c>
      <c r="D1385" s="42">
        <f>IFERROR(__xludf.DUMMYFUNCTION("""COMPUTED_VALUE"""),1312.0)</f>
        <v>1312</v>
      </c>
      <c r="E1385" s="39" t="str">
        <f>IFERROR(__xludf.DUMMYFUNCTION("""COMPUTED_VALUE"""),"layer IV of area V4")</f>
        <v>layer IV of area V4</v>
      </c>
      <c r="F1385" s="9" t="str">
        <f>IFERROR(__xludf.DUMMYFUNCTION("""COMPUTED_VALUE"""),"Br")</f>
        <v>Br</v>
      </c>
      <c r="G1385" s="9" t="str">
        <f>IFERROR(__xludf.DUMMYFUNCTION("""COMPUTED_VALUE"""),"F")</f>
        <v>F</v>
      </c>
      <c r="H1385" s="9" t="str">
        <f>IFERROR(__xludf.DUMMYFUNCTION("""COMPUTED_VALUE"""),"FGM")</f>
        <v>FGM</v>
      </c>
      <c r="I1385" s="9" t="str">
        <f>IFERROR(__xludf.DUMMYFUNCTION("""COMPUTED_VALUE"""),"Tel")</f>
        <v>Tel</v>
      </c>
      <c r="J1385" s="9" t="str">
        <f>IFERROR(__xludf.DUMMYFUNCTION("""COMPUTED_VALUE"""),"Cx")</f>
        <v>Cx</v>
      </c>
      <c r="K1385" s="9" t="str">
        <f>IFERROR(__xludf.DUMMYFUNCTION("""COMPUTED_VALUE"""),"NCx")</f>
        <v>NCx</v>
      </c>
      <c r="L1385" s="9" t="str">
        <f>IFERROR(__xludf.DUMMYFUNCTION("""COMPUTED_VALUE"""),"Ocx")</f>
        <v>Ocx</v>
      </c>
      <c r="M1385" s="9" t="str">
        <f>IFERROR(__xludf.DUMMYFUNCTION("""COMPUTED_VALUE"""),"ESOC")</f>
        <v>ESOC</v>
      </c>
      <c r="N1385" s="9" t="str">
        <f>IFERROR(__xludf.DUMMYFUNCTION("""COMPUTED_VALUE"""),"PSC")</f>
        <v>PSC</v>
      </c>
      <c r="O1385" s="9" t="str">
        <f>IFERROR(__xludf.DUMMYFUNCTION("""COMPUTED_VALUE"""),"V4")</f>
        <v>V4</v>
      </c>
      <c r="P1385" s="9" t="str">
        <f>IFERROR(__xludf.DUMMYFUNCTION("""COMPUTED_VALUE"""),"V4-4")</f>
        <v>V4-4</v>
      </c>
      <c r="Q1385" s="9"/>
      <c r="R1385" s="9"/>
      <c r="S1385" s="42"/>
      <c r="T1385" s="42"/>
      <c r="U1385" s="42"/>
      <c r="V1385" s="42"/>
      <c r="W1385" s="42"/>
      <c r="X1385" s="42"/>
      <c r="Y1385" s="42"/>
      <c r="Z1385" s="42"/>
      <c r="AA1385" s="42"/>
      <c r="AB1385" s="42" t="str">
        <f>IFERROR(__xludf.DUMMYFUNCTION("""COMPUTED_VALUE"""),"allen institute")</f>
        <v>allen institute</v>
      </c>
      <c r="AC1385" s="42" t="str">
        <f>IFERROR(__xludf.DUMMYFUNCTION("""COMPUTED_VALUE"""),"DHBA")</f>
        <v>DHBA</v>
      </c>
      <c r="AD1385" s="42"/>
      <c r="AE1385" s="42"/>
      <c r="AF1385" s="9"/>
      <c r="AG1385" s="9"/>
      <c r="AH1385" s="42"/>
      <c r="AI1385" s="42"/>
      <c r="AJ1385" s="42"/>
      <c r="AK1385" s="42"/>
      <c r="AL1385" s="42"/>
      <c r="AM1385" s="42"/>
      <c r="AN1385" s="42"/>
      <c r="AO1385" s="63" t="str">
        <f>IFERROR(__xludf.DUMMYFUNCTION("IF(ISBLANK(A1385),,IF(ISBLANK(S1385), A1385&amp;"";"", TEXTJOIN(CHAR(10), TRUE, A1385&amp;"";"", ARRAYFORMULA(VLOOKUP(SPLIT(S1385, "";"" &amp; CHAR(10)), $A:$AO, 41, FALSE)))))"),"V4-4;")</f>
        <v>V4-4;</v>
      </c>
      <c r="AP1385" s="89"/>
    </row>
    <row r="1386">
      <c r="A1386" s="151" t="str">
        <f>IFERROR(__xludf.DUMMYFUNCTION("""COMPUTED_VALUE"""),"V4-5")</f>
        <v>V4-5</v>
      </c>
      <c r="B1386" s="42" t="str">
        <f>IFERROR(__xludf.DUMMYFUNCTION("""COMPUTED_VALUE"""),"DHBA")</f>
        <v>DHBA</v>
      </c>
      <c r="C1386" s="42" t="str">
        <f>IFERROR(__xludf.DUMMYFUNCTION("""COMPUTED_VALUE"""),"layer V of area V4")</f>
        <v>layer V of area V4</v>
      </c>
      <c r="D1386" s="42">
        <f>IFERROR(__xludf.DUMMYFUNCTION("""COMPUTED_VALUE"""),1313.0)</f>
        <v>1313</v>
      </c>
      <c r="E1386" s="39" t="str">
        <f>IFERROR(__xludf.DUMMYFUNCTION("""COMPUTED_VALUE"""),"layer V of area V4")</f>
        <v>layer V of area V4</v>
      </c>
      <c r="F1386" s="9" t="str">
        <f>IFERROR(__xludf.DUMMYFUNCTION("""COMPUTED_VALUE"""),"Br")</f>
        <v>Br</v>
      </c>
      <c r="G1386" s="9" t="str">
        <f>IFERROR(__xludf.DUMMYFUNCTION("""COMPUTED_VALUE"""),"F")</f>
        <v>F</v>
      </c>
      <c r="H1386" s="9" t="str">
        <f>IFERROR(__xludf.DUMMYFUNCTION("""COMPUTED_VALUE"""),"FGM")</f>
        <v>FGM</v>
      </c>
      <c r="I1386" s="9" t="str">
        <f>IFERROR(__xludf.DUMMYFUNCTION("""COMPUTED_VALUE"""),"Tel")</f>
        <v>Tel</v>
      </c>
      <c r="J1386" s="9" t="str">
        <f>IFERROR(__xludf.DUMMYFUNCTION("""COMPUTED_VALUE"""),"Cx")</f>
        <v>Cx</v>
      </c>
      <c r="K1386" s="9" t="str">
        <f>IFERROR(__xludf.DUMMYFUNCTION("""COMPUTED_VALUE"""),"NCx")</f>
        <v>NCx</v>
      </c>
      <c r="L1386" s="9" t="str">
        <f>IFERROR(__xludf.DUMMYFUNCTION("""COMPUTED_VALUE"""),"Ocx")</f>
        <v>Ocx</v>
      </c>
      <c r="M1386" s="9" t="str">
        <f>IFERROR(__xludf.DUMMYFUNCTION("""COMPUTED_VALUE"""),"ESOC")</f>
        <v>ESOC</v>
      </c>
      <c r="N1386" s="9" t="str">
        <f>IFERROR(__xludf.DUMMYFUNCTION("""COMPUTED_VALUE"""),"PSC")</f>
        <v>PSC</v>
      </c>
      <c r="O1386" s="9" t="str">
        <f>IFERROR(__xludf.DUMMYFUNCTION("""COMPUTED_VALUE"""),"V4")</f>
        <v>V4</v>
      </c>
      <c r="P1386" s="9" t="str">
        <f>IFERROR(__xludf.DUMMYFUNCTION("""COMPUTED_VALUE"""),"V4-5")</f>
        <v>V4-5</v>
      </c>
      <c r="Q1386" s="9"/>
      <c r="R1386" s="9"/>
      <c r="S1386" s="42"/>
      <c r="T1386" s="42"/>
      <c r="U1386" s="42"/>
      <c r="V1386" s="42"/>
      <c r="W1386" s="42"/>
      <c r="X1386" s="42"/>
      <c r="Y1386" s="42"/>
      <c r="Z1386" s="42"/>
      <c r="AA1386" s="42"/>
      <c r="AB1386" s="42" t="str">
        <f>IFERROR(__xludf.DUMMYFUNCTION("""COMPUTED_VALUE"""),"allen institute")</f>
        <v>allen institute</v>
      </c>
      <c r="AC1386" s="42" t="str">
        <f>IFERROR(__xludf.DUMMYFUNCTION("""COMPUTED_VALUE"""),"DHBA")</f>
        <v>DHBA</v>
      </c>
      <c r="AD1386" s="42"/>
      <c r="AE1386" s="42"/>
      <c r="AF1386" s="9"/>
      <c r="AG1386" s="9"/>
      <c r="AH1386" s="42"/>
      <c r="AI1386" s="42"/>
      <c r="AJ1386" s="42"/>
      <c r="AK1386" s="42"/>
      <c r="AL1386" s="42"/>
      <c r="AM1386" s="42"/>
      <c r="AN1386" s="42"/>
      <c r="AO1386" s="63" t="str">
        <f>IFERROR(__xludf.DUMMYFUNCTION("IF(ISBLANK(A1386),,IF(ISBLANK(S1386), A1386&amp;"";"", TEXTJOIN(CHAR(10), TRUE, A1386&amp;"";"", ARRAYFORMULA(VLOOKUP(SPLIT(S1386, "";"" &amp; CHAR(10)), $A:$AO, 41, FALSE)))))"),"V4-5;")</f>
        <v>V4-5;</v>
      </c>
      <c r="AP1386" s="89"/>
    </row>
    <row r="1387">
      <c r="A1387" s="151" t="str">
        <f>IFERROR(__xludf.DUMMYFUNCTION("""COMPUTED_VALUE"""),"V4-6")</f>
        <v>V4-6</v>
      </c>
      <c r="B1387" s="42" t="str">
        <f>IFERROR(__xludf.DUMMYFUNCTION("""COMPUTED_VALUE"""),"DHBA")</f>
        <v>DHBA</v>
      </c>
      <c r="C1387" s="42" t="str">
        <f>IFERROR(__xludf.DUMMYFUNCTION("""COMPUTED_VALUE"""),"layer VI of area V4")</f>
        <v>layer VI of area V4</v>
      </c>
      <c r="D1387" s="42">
        <f>IFERROR(__xludf.DUMMYFUNCTION("""COMPUTED_VALUE"""),1314.0)</f>
        <v>1314</v>
      </c>
      <c r="E1387" s="39" t="str">
        <f>IFERROR(__xludf.DUMMYFUNCTION("""COMPUTED_VALUE"""),"layer VI of area V4")</f>
        <v>layer VI of area V4</v>
      </c>
      <c r="F1387" s="9" t="str">
        <f>IFERROR(__xludf.DUMMYFUNCTION("""COMPUTED_VALUE"""),"Br")</f>
        <v>Br</v>
      </c>
      <c r="G1387" s="9" t="str">
        <f>IFERROR(__xludf.DUMMYFUNCTION("""COMPUTED_VALUE"""),"F")</f>
        <v>F</v>
      </c>
      <c r="H1387" s="9" t="str">
        <f>IFERROR(__xludf.DUMMYFUNCTION("""COMPUTED_VALUE"""),"FGM")</f>
        <v>FGM</v>
      </c>
      <c r="I1387" s="9" t="str">
        <f>IFERROR(__xludf.DUMMYFUNCTION("""COMPUTED_VALUE"""),"Tel")</f>
        <v>Tel</v>
      </c>
      <c r="J1387" s="9" t="str">
        <f>IFERROR(__xludf.DUMMYFUNCTION("""COMPUTED_VALUE"""),"Cx")</f>
        <v>Cx</v>
      </c>
      <c r="K1387" s="9" t="str">
        <f>IFERROR(__xludf.DUMMYFUNCTION("""COMPUTED_VALUE"""),"NCx")</f>
        <v>NCx</v>
      </c>
      <c r="L1387" s="9" t="str">
        <f>IFERROR(__xludf.DUMMYFUNCTION("""COMPUTED_VALUE"""),"Ocx")</f>
        <v>Ocx</v>
      </c>
      <c r="M1387" s="9" t="str">
        <f>IFERROR(__xludf.DUMMYFUNCTION("""COMPUTED_VALUE"""),"ESOC")</f>
        <v>ESOC</v>
      </c>
      <c r="N1387" s="9" t="str">
        <f>IFERROR(__xludf.DUMMYFUNCTION("""COMPUTED_VALUE"""),"PSC")</f>
        <v>PSC</v>
      </c>
      <c r="O1387" s="9" t="str">
        <f>IFERROR(__xludf.DUMMYFUNCTION("""COMPUTED_VALUE"""),"V4")</f>
        <v>V4</v>
      </c>
      <c r="P1387" s="9" t="str">
        <f>IFERROR(__xludf.DUMMYFUNCTION("""COMPUTED_VALUE"""),"V4-6")</f>
        <v>V4-6</v>
      </c>
      <c r="Q1387" s="9"/>
      <c r="R1387" s="9"/>
      <c r="S1387" s="42"/>
      <c r="T1387" s="42"/>
      <c r="U1387" s="42"/>
      <c r="V1387" s="42"/>
      <c r="W1387" s="42"/>
      <c r="X1387" s="42"/>
      <c r="Y1387" s="42"/>
      <c r="Z1387" s="42"/>
      <c r="AA1387" s="42"/>
      <c r="AB1387" s="42" t="str">
        <f>IFERROR(__xludf.DUMMYFUNCTION("""COMPUTED_VALUE"""),"allen institute")</f>
        <v>allen institute</v>
      </c>
      <c r="AC1387" s="42" t="str">
        <f>IFERROR(__xludf.DUMMYFUNCTION("""COMPUTED_VALUE"""),"DHBA")</f>
        <v>DHBA</v>
      </c>
      <c r="AD1387" s="42"/>
      <c r="AE1387" s="42"/>
      <c r="AF1387" s="9"/>
      <c r="AG1387" s="9"/>
      <c r="AH1387" s="42"/>
      <c r="AI1387" s="42"/>
      <c r="AJ1387" s="42"/>
      <c r="AK1387" s="42"/>
      <c r="AL1387" s="42"/>
      <c r="AM1387" s="42"/>
      <c r="AN1387" s="42"/>
      <c r="AO1387" s="63" t="str">
        <f>IFERROR(__xludf.DUMMYFUNCTION("IF(ISBLANK(A1387),,IF(ISBLANK(S1387), A1387&amp;"";"", TEXTJOIN(CHAR(10), TRUE, A1387&amp;"";"", ARRAYFORMULA(VLOOKUP(SPLIT(S1387, "";"" &amp; CHAR(10)), $A:$AO, 41, FALSE)))))"),"V4-6;")</f>
        <v>V4-6;</v>
      </c>
      <c r="AP1387" s="89"/>
    </row>
    <row r="1388">
      <c r="A1388" s="151" t="str">
        <f>IFERROR(__xludf.DUMMYFUNCTION("""COMPUTED_VALUE"""),"V3B")</f>
        <v>V3B</v>
      </c>
      <c r="B1388" s="42" t="str">
        <f>IFERROR(__xludf.DUMMYFUNCTION("""COMPUTED_VALUE"""),"DHBA")</f>
        <v>DHBA</v>
      </c>
      <c r="C1388" s="42" t="str">
        <f>IFERROR(__xludf.DUMMYFUNCTION("""COMPUTED_VALUE"""),"area V3B of peristriate cortex")</f>
        <v>area V3B of peristriate cortex</v>
      </c>
      <c r="D1388" s="42">
        <f>IFERROR(__xludf.DUMMYFUNCTION("""COMPUTED_VALUE"""),1315.0)</f>
        <v>1315</v>
      </c>
      <c r="E1388" s="39" t="str">
        <f>IFERROR(__xludf.DUMMYFUNCTION("""COMPUTED_VALUE"""),"area V3B of peristriate cortex")</f>
        <v>area V3B of peristriate cortex</v>
      </c>
      <c r="F1388" s="9" t="str">
        <f>IFERROR(__xludf.DUMMYFUNCTION("""COMPUTED_VALUE"""),"Br")</f>
        <v>Br</v>
      </c>
      <c r="G1388" s="9" t="str">
        <f>IFERROR(__xludf.DUMMYFUNCTION("""COMPUTED_VALUE"""),"F")</f>
        <v>F</v>
      </c>
      <c r="H1388" s="9" t="str">
        <f>IFERROR(__xludf.DUMMYFUNCTION("""COMPUTED_VALUE"""),"FGM")</f>
        <v>FGM</v>
      </c>
      <c r="I1388" s="9" t="str">
        <f>IFERROR(__xludf.DUMMYFUNCTION("""COMPUTED_VALUE"""),"Tel")</f>
        <v>Tel</v>
      </c>
      <c r="J1388" s="9" t="str">
        <f>IFERROR(__xludf.DUMMYFUNCTION("""COMPUTED_VALUE"""),"Cx")</f>
        <v>Cx</v>
      </c>
      <c r="K1388" s="9" t="str">
        <f>IFERROR(__xludf.DUMMYFUNCTION("""COMPUTED_VALUE"""),"NCx")</f>
        <v>NCx</v>
      </c>
      <c r="L1388" s="9" t="str">
        <f>IFERROR(__xludf.DUMMYFUNCTION("""COMPUTED_VALUE"""),"Ocx")</f>
        <v>Ocx</v>
      </c>
      <c r="M1388" s="9" t="str">
        <f>IFERROR(__xludf.DUMMYFUNCTION("""COMPUTED_VALUE"""),"ESOC")</f>
        <v>ESOC</v>
      </c>
      <c r="N1388" s="9" t="str">
        <f>IFERROR(__xludf.DUMMYFUNCTION("""COMPUTED_VALUE"""),"PSC")</f>
        <v>PSC</v>
      </c>
      <c r="O1388" s="9" t="str">
        <f>IFERROR(__xludf.DUMMYFUNCTION("""COMPUTED_VALUE"""),"V3B")</f>
        <v>V3B</v>
      </c>
      <c r="P1388" s="9"/>
      <c r="Q1388" s="9"/>
      <c r="R1388" s="9"/>
      <c r="S1388" s="42" t="str">
        <f>IFERROR(__xludf.DUMMYFUNCTION("""COMPUTED_VALUE"""),"V3B1;
V3B2;
V3B3;
V3B4;
V3B5;
V3B6")</f>
        <v>V3B1;
V3B2;
V3B3;
V3B4;
V3B5;
V3B6</v>
      </c>
      <c r="T1388" s="42"/>
      <c r="U1388" s="42" t="b">
        <f>IFERROR(__xludf.DUMMYFUNCTION("""COMPUTED_VALUE"""),FALSE)</f>
        <v>0</v>
      </c>
      <c r="V1388" s="42"/>
      <c r="W1388" s="42"/>
      <c r="X1388" s="42"/>
      <c r="Y1388" s="42"/>
      <c r="Z1388" s="42"/>
      <c r="AA1388" s="42"/>
      <c r="AB1388" s="42" t="str">
        <f>IFERROR(__xludf.DUMMYFUNCTION("""COMPUTED_VALUE"""),"allen institute")</f>
        <v>allen institute</v>
      </c>
      <c r="AC1388" s="42" t="str">
        <f>IFERROR(__xludf.DUMMYFUNCTION("""COMPUTED_VALUE"""),"DHBA")</f>
        <v>DHBA</v>
      </c>
      <c r="AD1388" s="42"/>
      <c r="AE1388" s="42"/>
      <c r="AF1388" s="9"/>
      <c r="AG1388" s="9"/>
      <c r="AH1388" s="42"/>
      <c r="AI1388" s="42"/>
      <c r="AJ1388" s="42"/>
      <c r="AK1388" s="42"/>
      <c r="AL1388" s="42"/>
      <c r="AM1388" s="42"/>
      <c r="AN1388" s="42"/>
      <c r="AO1388" s="63" t="str">
        <f>IFERROR(__xludf.DUMMYFUNCTION("IF(ISBLANK(A1388),,IF(ISBLANK(S1388), A1388&amp;"";"", TEXTJOIN(CHAR(10), TRUE, A1388&amp;"";"", ARRAYFORMULA(VLOOKUP(SPLIT(S1388, "";"" &amp; CHAR(10)), $A:$AO, 41, FALSE)))))"),"V3B;
V3B1;
V3B2;
V3B3;
V3B4;
V3B5;
V3B6;")</f>
        <v>V3B;
V3B1;
V3B2;
V3B3;
V3B4;
V3B5;
V3B6;</v>
      </c>
      <c r="AP1388" s="89"/>
    </row>
    <row r="1389">
      <c r="A1389" s="151" t="str">
        <f>IFERROR(__xludf.DUMMYFUNCTION("""COMPUTED_VALUE"""),"V3B1")</f>
        <v>V3B1</v>
      </c>
      <c r="B1389" s="42" t="str">
        <f>IFERROR(__xludf.DUMMYFUNCTION("""COMPUTED_VALUE"""),"DHBA")</f>
        <v>DHBA</v>
      </c>
      <c r="C1389" s="42" t="str">
        <f>IFERROR(__xludf.DUMMYFUNCTION("""COMPUTED_VALUE"""),"layer I of area V3B")</f>
        <v>layer I of area V3B</v>
      </c>
      <c r="D1389" s="42">
        <f>IFERROR(__xludf.DUMMYFUNCTION("""COMPUTED_VALUE"""),1316.0)</f>
        <v>1316</v>
      </c>
      <c r="E1389" s="39" t="str">
        <f>IFERROR(__xludf.DUMMYFUNCTION("""COMPUTED_VALUE"""),"layer I of area V3B")</f>
        <v>layer I of area V3B</v>
      </c>
      <c r="F1389" s="9" t="str">
        <f>IFERROR(__xludf.DUMMYFUNCTION("""COMPUTED_VALUE"""),"Br")</f>
        <v>Br</v>
      </c>
      <c r="G1389" s="9" t="str">
        <f>IFERROR(__xludf.DUMMYFUNCTION("""COMPUTED_VALUE"""),"F")</f>
        <v>F</v>
      </c>
      <c r="H1389" s="9" t="str">
        <f>IFERROR(__xludf.DUMMYFUNCTION("""COMPUTED_VALUE"""),"FGM")</f>
        <v>FGM</v>
      </c>
      <c r="I1389" s="9" t="str">
        <f>IFERROR(__xludf.DUMMYFUNCTION("""COMPUTED_VALUE"""),"Tel")</f>
        <v>Tel</v>
      </c>
      <c r="J1389" s="9" t="str">
        <f>IFERROR(__xludf.DUMMYFUNCTION("""COMPUTED_VALUE"""),"Cx")</f>
        <v>Cx</v>
      </c>
      <c r="K1389" s="9" t="str">
        <f>IFERROR(__xludf.DUMMYFUNCTION("""COMPUTED_VALUE"""),"NCx")</f>
        <v>NCx</v>
      </c>
      <c r="L1389" s="9" t="str">
        <f>IFERROR(__xludf.DUMMYFUNCTION("""COMPUTED_VALUE"""),"Ocx")</f>
        <v>Ocx</v>
      </c>
      <c r="M1389" s="9" t="str">
        <f>IFERROR(__xludf.DUMMYFUNCTION("""COMPUTED_VALUE"""),"ESOC")</f>
        <v>ESOC</v>
      </c>
      <c r="N1389" s="9" t="str">
        <f>IFERROR(__xludf.DUMMYFUNCTION("""COMPUTED_VALUE"""),"PSC")</f>
        <v>PSC</v>
      </c>
      <c r="O1389" s="9" t="str">
        <f>IFERROR(__xludf.DUMMYFUNCTION("""COMPUTED_VALUE"""),"V3B")</f>
        <v>V3B</v>
      </c>
      <c r="P1389" s="9" t="str">
        <f>IFERROR(__xludf.DUMMYFUNCTION("""COMPUTED_VALUE"""),"V3B1")</f>
        <v>V3B1</v>
      </c>
      <c r="Q1389" s="9"/>
      <c r="R1389" s="9"/>
      <c r="S1389" s="42"/>
      <c r="T1389" s="42"/>
      <c r="U1389" s="42"/>
      <c r="V1389" s="42"/>
      <c r="W1389" s="42"/>
      <c r="X1389" s="42"/>
      <c r="Y1389" s="42"/>
      <c r="Z1389" s="42"/>
      <c r="AA1389" s="42"/>
      <c r="AB1389" s="42" t="str">
        <f>IFERROR(__xludf.DUMMYFUNCTION("""COMPUTED_VALUE"""),"allen institute")</f>
        <v>allen institute</v>
      </c>
      <c r="AC1389" s="42" t="str">
        <f>IFERROR(__xludf.DUMMYFUNCTION("""COMPUTED_VALUE"""),"DHBA")</f>
        <v>DHBA</v>
      </c>
      <c r="AD1389" s="42"/>
      <c r="AE1389" s="42"/>
      <c r="AF1389" s="9"/>
      <c r="AG1389" s="9"/>
      <c r="AH1389" s="42"/>
      <c r="AI1389" s="42"/>
      <c r="AJ1389" s="42"/>
      <c r="AK1389" s="42"/>
      <c r="AL1389" s="42"/>
      <c r="AM1389" s="42"/>
      <c r="AN1389" s="42"/>
      <c r="AO1389" s="63" t="str">
        <f>IFERROR(__xludf.DUMMYFUNCTION("IF(ISBLANK(A1389),,IF(ISBLANK(S1389), A1389&amp;"";"", TEXTJOIN(CHAR(10), TRUE, A1389&amp;"";"", ARRAYFORMULA(VLOOKUP(SPLIT(S1389, "";"" &amp; CHAR(10)), $A:$AO, 41, FALSE)))))"),"V3B1;")</f>
        <v>V3B1;</v>
      </c>
      <c r="AP1389" s="89"/>
    </row>
    <row r="1390">
      <c r="A1390" s="151" t="str">
        <f>IFERROR(__xludf.DUMMYFUNCTION("""COMPUTED_VALUE"""),"V3B2")</f>
        <v>V3B2</v>
      </c>
      <c r="B1390" s="42" t="str">
        <f>IFERROR(__xludf.DUMMYFUNCTION("""COMPUTED_VALUE"""),"DHBA")</f>
        <v>DHBA</v>
      </c>
      <c r="C1390" s="42" t="str">
        <f>IFERROR(__xludf.DUMMYFUNCTION("""COMPUTED_VALUE"""),"layer II of area V3B")</f>
        <v>layer II of area V3B</v>
      </c>
      <c r="D1390" s="42">
        <f>IFERROR(__xludf.DUMMYFUNCTION("""COMPUTED_VALUE"""),1317.0)</f>
        <v>1317</v>
      </c>
      <c r="E1390" s="39" t="str">
        <f>IFERROR(__xludf.DUMMYFUNCTION("""COMPUTED_VALUE"""),"layer II of area V3B")</f>
        <v>layer II of area V3B</v>
      </c>
      <c r="F1390" s="9" t="str">
        <f>IFERROR(__xludf.DUMMYFUNCTION("""COMPUTED_VALUE"""),"Br")</f>
        <v>Br</v>
      </c>
      <c r="G1390" s="9" t="str">
        <f>IFERROR(__xludf.DUMMYFUNCTION("""COMPUTED_VALUE"""),"F")</f>
        <v>F</v>
      </c>
      <c r="H1390" s="9" t="str">
        <f>IFERROR(__xludf.DUMMYFUNCTION("""COMPUTED_VALUE"""),"FGM")</f>
        <v>FGM</v>
      </c>
      <c r="I1390" s="9" t="str">
        <f>IFERROR(__xludf.DUMMYFUNCTION("""COMPUTED_VALUE"""),"Tel")</f>
        <v>Tel</v>
      </c>
      <c r="J1390" s="9" t="str">
        <f>IFERROR(__xludf.DUMMYFUNCTION("""COMPUTED_VALUE"""),"Cx")</f>
        <v>Cx</v>
      </c>
      <c r="K1390" s="9" t="str">
        <f>IFERROR(__xludf.DUMMYFUNCTION("""COMPUTED_VALUE"""),"NCx")</f>
        <v>NCx</v>
      </c>
      <c r="L1390" s="9" t="str">
        <f>IFERROR(__xludf.DUMMYFUNCTION("""COMPUTED_VALUE"""),"Ocx")</f>
        <v>Ocx</v>
      </c>
      <c r="M1390" s="9" t="str">
        <f>IFERROR(__xludf.DUMMYFUNCTION("""COMPUTED_VALUE"""),"ESOC")</f>
        <v>ESOC</v>
      </c>
      <c r="N1390" s="9" t="str">
        <f>IFERROR(__xludf.DUMMYFUNCTION("""COMPUTED_VALUE"""),"PSC")</f>
        <v>PSC</v>
      </c>
      <c r="O1390" s="9" t="str">
        <f>IFERROR(__xludf.DUMMYFUNCTION("""COMPUTED_VALUE"""),"V3B")</f>
        <v>V3B</v>
      </c>
      <c r="P1390" s="9" t="str">
        <f>IFERROR(__xludf.DUMMYFUNCTION("""COMPUTED_VALUE"""),"V3B2")</f>
        <v>V3B2</v>
      </c>
      <c r="Q1390" s="9"/>
      <c r="R1390" s="9"/>
      <c r="S1390" s="42"/>
      <c r="T1390" s="42"/>
      <c r="U1390" s="42"/>
      <c r="V1390" s="42"/>
      <c r="W1390" s="42"/>
      <c r="X1390" s="42"/>
      <c r="Y1390" s="42"/>
      <c r="Z1390" s="42"/>
      <c r="AA1390" s="42"/>
      <c r="AB1390" s="42" t="str">
        <f>IFERROR(__xludf.DUMMYFUNCTION("""COMPUTED_VALUE"""),"allen institute")</f>
        <v>allen institute</v>
      </c>
      <c r="AC1390" s="42" t="str">
        <f>IFERROR(__xludf.DUMMYFUNCTION("""COMPUTED_VALUE"""),"DHBA")</f>
        <v>DHBA</v>
      </c>
      <c r="AD1390" s="42"/>
      <c r="AE1390" s="42"/>
      <c r="AF1390" s="9"/>
      <c r="AG1390" s="9"/>
      <c r="AH1390" s="42"/>
      <c r="AI1390" s="42"/>
      <c r="AJ1390" s="42"/>
      <c r="AK1390" s="42"/>
      <c r="AL1390" s="42"/>
      <c r="AM1390" s="42"/>
      <c r="AN1390" s="42"/>
      <c r="AO1390" s="63" t="str">
        <f>IFERROR(__xludf.DUMMYFUNCTION("IF(ISBLANK(A1390),,IF(ISBLANK(S1390), A1390&amp;"";"", TEXTJOIN(CHAR(10), TRUE, A1390&amp;"";"", ARRAYFORMULA(VLOOKUP(SPLIT(S1390, "";"" &amp; CHAR(10)), $A:$AO, 41, FALSE)))))"),"V3B2;")</f>
        <v>V3B2;</v>
      </c>
      <c r="AP1390" s="89"/>
    </row>
    <row r="1391">
      <c r="A1391" s="151" t="str">
        <f>IFERROR(__xludf.DUMMYFUNCTION("""COMPUTED_VALUE"""),"V3B3")</f>
        <v>V3B3</v>
      </c>
      <c r="B1391" s="42" t="str">
        <f>IFERROR(__xludf.DUMMYFUNCTION("""COMPUTED_VALUE"""),"DHBA")</f>
        <v>DHBA</v>
      </c>
      <c r="C1391" s="42" t="str">
        <f>IFERROR(__xludf.DUMMYFUNCTION("""COMPUTED_VALUE"""),"layer III of area V3B")</f>
        <v>layer III of area V3B</v>
      </c>
      <c r="D1391" s="42">
        <f>IFERROR(__xludf.DUMMYFUNCTION("""COMPUTED_VALUE"""),1318.0)</f>
        <v>1318</v>
      </c>
      <c r="E1391" s="39" t="str">
        <f>IFERROR(__xludf.DUMMYFUNCTION("""COMPUTED_VALUE"""),"layer III of area V3B")</f>
        <v>layer III of area V3B</v>
      </c>
      <c r="F1391" s="9" t="str">
        <f>IFERROR(__xludf.DUMMYFUNCTION("""COMPUTED_VALUE"""),"Br")</f>
        <v>Br</v>
      </c>
      <c r="G1391" s="9" t="str">
        <f>IFERROR(__xludf.DUMMYFUNCTION("""COMPUTED_VALUE"""),"F")</f>
        <v>F</v>
      </c>
      <c r="H1391" s="9" t="str">
        <f>IFERROR(__xludf.DUMMYFUNCTION("""COMPUTED_VALUE"""),"FGM")</f>
        <v>FGM</v>
      </c>
      <c r="I1391" s="9" t="str">
        <f>IFERROR(__xludf.DUMMYFUNCTION("""COMPUTED_VALUE"""),"Tel")</f>
        <v>Tel</v>
      </c>
      <c r="J1391" s="9" t="str">
        <f>IFERROR(__xludf.DUMMYFUNCTION("""COMPUTED_VALUE"""),"Cx")</f>
        <v>Cx</v>
      </c>
      <c r="K1391" s="9" t="str">
        <f>IFERROR(__xludf.DUMMYFUNCTION("""COMPUTED_VALUE"""),"NCx")</f>
        <v>NCx</v>
      </c>
      <c r="L1391" s="9" t="str">
        <f>IFERROR(__xludf.DUMMYFUNCTION("""COMPUTED_VALUE"""),"Ocx")</f>
        <v>Ocx</v>
      </c>
      <c r="M1391" s="9" t="str">
        <f>IFERROR(__xludf.DUMMYFUNCTION("""COMPUTED_VALUE"""),"ESOC")</f>
        <v>ESOC</v>
      </c>
      <c r="N1391" s="9" t="str">
        <f>IFERROR(__xludf.DUMMYFUNCTION("""COMPUTED_VALUE"""),"PSC")</f>
        <v>PSC</v>
      </c>
      <c r="O1391" s="9" t="str">
        <f>IFERROR(__xludf.DUMMYFUNCTION("""COMPUTED_VALUE"""),"V3B")</f>
        <v>V3B</v>
      </c>
      <c r="P1391" s="9" t="str">
        <f>IFERROR(__xludf.DUMMYFUNCTION("""COMPUTED_VALUE"""),"V3B3")</f>
        <v>V3B3</v>
      </c>
      <c r="Q1391" s="9"/>
      <c r="R1391" s="9"/>
      <c r="S1391" s="42"/>
      <c r="T1391" s="42"/>
      <c r="U1391" s="42"/>
      <c r="V1391" s="42"/>
      <c r="W1391" s="42"/>
      <c r="X1391" s="42"/>
      <c r="Y1391" s="42"/>
      <c r="Z1391" s="42"/>
      <c r="AA1391" s="42"/>
      <c r="AB1391" s="42" t="str">
        <f>IFERROR(__xludf.DUMMYFUNCTION("""COMPUTED_VALUE"""),"allen institute")</f>
        <v>allen institute</v>
      </c>
      <c r="AC1391" s="42" t="str">
        <f>IFERROR(__xludf.DUMMYFUNCTION("""COMPUTED_VALUE"""),"DHBA")</f>
        <v>DHBA</v>
      </c>
      <c r="AD1391" s="42"/>
      <c r="AE1391" s="42"/>
      <c r="AF1391" s="9"/>
      <c r="AG1391" s="9"/>
      <c r="AH1391" s="42"/>
      <c r="AI1391" s="42"/>
      <c r="AJ1391" s="42"/>
      <c r="AK1391" s="42"/>
      <c r="AL1391" s="42"/>
      <c r="AM1391" s="42"/>
      <c r="AN1391" s="42"/>
      <c r="AO1391" s="63" t="str">
        <f>IFERROR(__xludf.DUMMYFUNCTION("IF(ISBLANK(A1391),,IF(ISBLANK(S1391), A1391&amp;"";"", TEXTJOIN(CHAR(10), TRUE, A1391&amp;"";"", ARRAYFORMULA(VLOOKUP(SPLIT(S1391, "";"" &amp; CHAR(10)), $A:$AO, 41, FALSE)))))"),"V3B3;")</f>
        <v>V3B3;</v>
      </c>
      <c r="AP1391" s="89"/>
    </row>
    <row r="1392">
      <c r="A1392" s="151" t="str">
        <f>IFERROR(__xludf.DUMMYFUNCTION("""COMPUTED_VALUE"""),"V3B4")</f>
        <v>V3B4</v>
      </c>
      <c r="B1392" s="42" t="str">
        <f>IFERROR(__xludf.DUMMYFUNCTION("""COMPUTED_VALUE"""),"DHBA")</f>
        <v>DHBA</v>
      </c>
      <c r="C1392" s="42" t="str">
        <f>IFERROR(__xludf.DUMMYFUNCTION("""COMPUTED_VALUE"""),"layer IV of area V3B")</f>
        <v>layer IV of area V3B</v>
      </c>
      <c r="D1392" s="42">
        <f>IFERROR(__xludf.DUMMYFUNCTION("""COMPUTED_VALUE"""),1319.0)</f>
        <v>1319</v>
      </c>
      <c r="E1392" s="39" t="str">
        <f>IFERROR(__xludf.DUMMYFUNCTION("""COMPUTED_VALUE"""),"layer IV of area V3B")</f>
        <v>layer IV of area V3B</v>
      </c>
      <c r="F1392" s="9" t="str">
        <f>IFERROR(__xludf.DUMMYFUNCTION("""COMPUTED_VALUE"""),"Br")</f>
        <v>Br</v>
      </c>
      <c r="G1392" s="9" t="str">
        <f>IFERROR(__xludf.DUMMYFUNCTION("""COMPUTED_VALUE"""),"F")</f>
        <v>F</v>
      </c>
      <c r="H1392" s="9" t="str">
        <f>IFERROR(__xludf.DUMMYFUNCTION("""COMPUTED_VALUE"""),"FGM")</f>
        <v>FGM</v>
      </c>
      <c r="I1392" s="9" t="str">
        <f>IFERROR(__xludf.DUMMYFUNCTION("""COMPUTED_VALUE"""),"Tel")</f>
        <v>Tel</v>
      </c>
      <c r="J1392" s="9" t="str">
        <f>IFERROR(__xludf.DUMMYFUNCTION("""COMPUTED_VALUE"""),"Cx")</f>
        <v>Cx</v>
      </c>
      <c r="K1392" s="9" t="str">
        <f>IFERROR(__xludf.DUMMYFUNCTION("""COMPUTED_VALUE"""),"NCx")</f>
        <v>NCx</v>
      </c>
      <c r="L1392" s="9" t="str">
        <f>IFERROR(__xludf.DUMMYFUNCTION("""COMPUTED_VALUE"""),"Ocx")</f>
        <v>Ocx</v>
      </c>
      <c r="M1392" s="9" t="str">
        <f>IFERROR(__xludf.DUMMYFUNCTION("""COMPUTED_VALUE"""),"ESOC")</f>
        <v>ESOC</v>
      </c>
      <c r="N1392" s="9" t="str">
        <f>IFERROR(__xludf.DUMMYFUNCTION("""COMPUTED_VALUE"""),"PSC")</f>
        <v>PSC</v>
      </c>
      <c r="O1392" s="9" t="str">
        <f>IFERROR(__xludf.DUMMYFUNCTION("""COMPUTED_VALUE"""),"V3B")</f>
        <v>V3B</v>
      </c>
      <c r="P1392" s="9" t="str">
        <f>IFERROR(__xludf.DUMMYFUNCTION("""COMPUTED_VALUE"""),"V3B4")</f>
        <v>V3B4</v>
      </c>
      <c r="Q1392" s="9"/>
      <c r="R1392" s="9"/>
      <c r="S1392" s="42"/>
      <c r="T1392" s="42"/>
      <c r="U1392" s="42"/>
      <c r="V1392" s="42"/>
      <c r="W1392" s="42"/>
      <c r="X1392" s="42"/>
      <c r="Y1392" s="42"/>
      <c r="Z1392" s="42"/>
      <c r="AA1392" s="42"/>
      <c r="AB1392" s="42" t="str">
        <f>IFERROR(__xludf.DUMMYFUNCTION("""COMPUTED_VALUE"""),"allen institute")</f>
        <v>allen institute</v>
      </c>
      <c r="AC1392" s="42" t="str">
        <f>IFERROR(__xludf.DUMMYFUNCTION("""COMPUTED_VALUE"""),"DHBA")</f>
        <v>DHBA</v>
      </c>
      <c r="AD1392" s="42"/>
      <c r="AE1392" s="42"/>
      <c r="AF1392" s="9"/>
      <c r="AG1392" s="9"/>
      <c r="AH1392" s="42"/>
      <c r="AI1392" s="42"/>
      <c r="AJ1392" s="42"/>
      <c r="AK1392" s="42"/>
      <c r="AL1392" s="42"/>
      <c r="AM1392" s="42"/>
      <c r="AN1392" s="42"/>
      <c r="AO1392" s="63" t="str">
        <f>IFERROR(__xludf.DUMMYFUNCTION("IF(ISBLANK(A1392),,IF(ISBLANK(S1392), A1392&amp;"";"", TEXTJOIN(CHAR(10), TRUE, A1392&amp;"";"", ARRAYFORMULA(VLOOKUP(SPLIT(S1392, "";"" &amp; CHAR(10)), $A:$AO, 41, FALSE)))))"),"V3B4;")</f>
        <v>V3B4;</v>
      </c>
      <c r="AP1392" s="89"/>
    </row>
    <row r="1393">
      <c r="A1393" s="151" t="str">
        <f>IFERROR(__xludf.DUMMYFUNCTION("""COMPUTED_VALUE"""),"V3B5")</f>
        <v>V3B5</v>
      </c>
      <c r="B1393" s="42" t="str">
        <f>IFERROR(__xludf.DUMMYFUNCTION("""COMPUTED_VALUE"""),"DHBA")</f>
        <v>DHBA</v>
      </c>
      <c r="C1393" s="42" t="str">
        <f>IFERROR(__xludf.DUMMYFUNCTION("""COMPUTED_VALUE"""),"layer V of area V3B")</f>
        <v>layer V of area V3B</v>
      </c>
      <c r="D1393" s="42">
        <f>IFERROR(__xludf.DUMMYFUNCTION("""COMPUTED_VALUE"""),1320.0)</f>
        <v>1320</v>
      </c>
      <c r="E1393" s="39" t="str">
        <f>IFERROR(__xludf.DUMMYFUNCTION("""COMPUTED_VALUE"""),"layer V of area V3B")</f>
        <v>layer V of area V3B</v>
      </c>
      <c r="F1393" s="9" t="str">
        <f>IFERROR(__xludf.DUMMYFUNCTION("""COMPUTED_VALUE"""),"Br")</f>
        <v>Br</v>
      </c>
      <c r="G1393" s="9" t="str">
        <f>IFERROR(__xludf.DUMMYFUNCTION("""COMPUTED_VALUE"""),"F")</f>
        <v>F</v>
      </c>
      <c r="H1393" s="9" t="str">
        <f>IFERROR(__xludf.DUMMYFUNCTION("""COMPUTED_VALUE"""),"FGM")</f>
        <v>FGM</v>
      </c>
      <c r="I1393" s="9" t="str">
        <f>IFERROR(__xludf.DUMMYFUNCTION("""COMPUTED_VALUE"""),"Tel")</f>
        <v>Tel</v>
      </c>
      <c r="J1393" s="9" t="str">
        <f>IFERROR(__xludf.DUMMYFUNCTION("""COMPUTED_VALUE"""),"Cx")</f>
        <v>Cx</v>
      </c>
      <c r="K1393" s="9" t="str">
        <f>IFERROR(__xludf.DUMMYFUNCTION("""COMPUTED_VALUE"""),"NCx")</f>
        <v>NCx</v>
      </c>
      <c r="L1393" s="9" t="str">
        <f>IFERROR(__xludf.DUMMYFUNCTION("""COMPUTED_VALUE"""),"Ocx")</f>
        <v>Ocx</v>
      </c>
      <c r="M1393" s="9" t="str">
        <f>IFERROR(__xludf.DUMMYFUNCTION("""COMPUTED_VALUE"""),"ESOC")</f>
        <v>ESOC</v>
      </c>
      <c r="N1393" s="9" t="str">
        <f>IFERROR(__xludf.DUMMYFUNCTION("""COMPUTED_VALUE"""),"PSC")</f>
        <v>PSC</v>
      </c>
      <c r="O1393" s="9" t="str">
        <f>IFERROR(__xludf.DUMMYFUNCTION("""COMPUTED_VALUE"""),"V3B")</f>
        <v>V3B</v>
      </c>
      <c r="P1393" s="9" t="str">
        <f>IFERROR(__xludf.DUMMYFUNCTION("""COMPUTED_VALUE"""),"V3B5")</f>
        <v>V3B5</v>
      </c>
      <c r="Q1393" s="9"/>
      <c r="R1393" s="9"/>
      <c r="S1393" s="42"/>
      <c r="T1393" s="42"/>
      <c r="U1393" s="42"/>
      <c r="V1393" s="42"/>
      <c r="W1393" s="42"/>
      <c r="X1393" s="42"/>
      <c r="Y1393" s="42"/>
      <c r="Z1393" s="42"/>
      <c r="AA1393" s="42"/>
      <c r="AB1393" s="42" t="str">
        <f>IFERROR(__xludf.DUMMYFUNCTION("""COMPUTED_VALUE"""),"allen institute")</f>
        <v>allen institute</v>
      </c>
      <c r="AC1393" s="42" t="str">
        <f>IFERROR(__xludf.DUMMYFUNCTION("""COMPUTED_VALUE"""),"DHBA")</f>
        <v>DHBA</v>
      </c>
      <c r="AD1393" s="42"/>
      <c r="AE1393" s="42"/>
      <c r="AF1393" s="9"/>
      <c r="AG1393" s="9"/>
      <c r="AH1393" s="42"/>
      <c r="AI1393" s="42"/>
      <c r="AJ1393" s="42"/>
      <c r="AK1393" s="42"/>
      <c r="AL1393" s="42"/>
      <c r="AM1393" s="42"/>
      <c r="AN1393" s="42"/>
      <c r="AO1393" s="63" t="str">
        <f>IFERROR(__xludf.DUMMYFUNCTION("IF(ISBLANK(A1393),,IF(ISBLANK(S1393), A1393&amp;"";"", TEXTJOIN(CHAR(10), TRUE, A1393&amp;"";"", ARRAYFORMULA(VLOOKUP(SPLIT(S1393, "";"" &amp; CHAR(10)), $A:$AO, 41, FALSE)))))"),"V3B5;")</f>
        <v>V3B5;</v>
      </c>
      <c r="AP1393" s="89"/>
    </row>
    <row r="1394">
      <c r="A1394" s="151" t="str">
        <f>IFERROR(__xludf.DUMMYFUNCTION("""COMPUTED_VALUE"""),"V3B6")</f>
        <v>V3B6</v>
      </c>
      <c r="B1394" s="42" t="str">
        <f>IFERROR(__xludf.DUMMYFUNCTION("""COMPUTED_VALUE"""),"DHBA")</f>
        <v>DHBA</v>
      </c>
      <c r="C1394" s="42" t="str">
        <f>IFERROR(__xludf.DUMMYFUNCTION("""COMPUTED_VALUE"""),"layer VI of area V3B")</f>
        <v>layer VI of area V3B</v>
      </c>
      <c r="D1394" s="42">
        <f>IFERROR(__xludf.DUMMYFUNCTION("""COMPUTED_VALUE"""),1321.0)</f>
        <v>1321</v>
      </c>
      <c r="E1394" s="39" t="str">
        <f>IFERROR(__xludf.DUMMYFUNCTION("""COMPUTED_VALUE"""),"layer VI of area V3B")</f>
        <v>layer VI of area V3B</v>
      </c>
      <c r="F1394" s="9" t="str">
        <f>IFERROR(__xludf.DUMMYFUNCTION("""COMPUTED_VALUE"""),"Br")</f>
        <v>Br</v>
      </c>
      <c r="G1394" s="9" t="str">
        <f>IFERROR(__xludf.DUMMYFUNCTION("""COMPUTED_VALUE"""),"F")</f>
        <v>F</v>
      </c>
      <c r="H1394" s="9" t="str">
        <f>IFERROR(__xludf.DUMMYFUNCTION("""COMPUTED_VALUE"""),"FGM")</f>
        <v>FGM</v>
      </c>
      <c r="I1394" s="9" t="str">
        <f>IFERROR(__xludf.DUMMYFUNCTION("""COMPUTED_VALUE"""),"Tel")</f>
        <v>Tel</v>
      </c>
      <c r="J1394" s="9" t="str">
        <f>IFERROR(__xludf.DUMMYFUNCTION("""COMPUTED_VALUE"""),"Cx")</f>
        <v>Cx</v>
      </c>
      <c r="K1394" s="9" t="str">
        <f>IFERROR(__xludf.DUMMYFUNCTION("""COMPUTED_VALUE"""),"NCx")</f>
        <v>NCx</v>
      </c>
      <c r="L1394" s="9" t="str">
        <f>IFERROR(__xludf.DUMMYFUNCTION("""COMPUTED_VALUE"""),"Ocx")</f>
        <v>Ocx</v>
      </c>
      <c r="M1394" s="9" t="str">
        <f>IFERROR(__xludf.DUMMYFUNCTION("""COMPUTED_VALUE"""),"ESOC")</f>
        <v>ESOC</v>
      </c>
      <c r="N1394" s="9" t="str">
        <f>IFERROR(__xludf.DUMMYFUNCTION("""COMPUTED_VALUE"""),"PSC")</f>
        <v>PSC</v>
      </c>
      <c r="O1394" s="9" t="str">
        <f>IFERROR(__xludf.DUMMYFUNCTION("""COMPUTED_VALUE"""),"V3B")</f>
        <v>V3B</v>
      </c>
      <c r="P1394" s="9" t="str">
        <f>IFERROR(__xludf.DUMMYFUNCTION("""COMPUTED_VALUE"""),"V3B6")</f>
        <v>V3B6</v>
      </c>
      <c r="Q1394" s="9"/>
      <c r="R1394" s="9"/>
      <c r="S1394" s="42"/>
      <c r="T1394" s="42"/>
      <c r="U1394" s="42"/>
      <c r="V1394" s="42"/>
      <c r="W1394" s="42"/>
      <c r="X1394" s="42"/>
      <c r="Y1394" s="42"/>
      <c r="Z1394" s="42"/>
      <c r="AA1394" s="42"/>
      <c r="AB1394" s="42" t="str">
        <f>IFERROR(__xludf.DUMMYFUNCTION("""COMPUTED_VALUE"""),"allen institute")</f>
        <v>allen institute</v>
      </c>
      <c r="AC1394" s="42" t="str">
        <f>IFERROR(__xludf.DUMMYFUNCTION("""COMPUTED_VALUE"""),"DHBA")</f>
        <v>DHBA</v>
      </c>
      <c r="AD1394" s="42"/>
      <c r="AE1394" s="42"/>
      <c r="AF1394" s="9"/>
      <c r="AG1394" s="9"/>
      <c r="AH1394" s="42"/>
      <c r="AI1394" s="42"/>
      <c r="AJ1394" s="42"/>
      <c r="AK1394" s="42"/>
      <c r="AL1394" s="42"/>
      <c r="AM1394" s="42"/>
      <c r="AN1394" s="42"/>
      <c r="AO1394" s="63" t="str">
        <f>IFERROR(__xludf.DUMMYFUNCTION("IF(ISBLANK(A1394),,IF(ISBLANK(S1394), A1394&amp;"";"", TEXTJOIN(CHAR(10), TRUE, A1394&amp;"";"", ARRAYFORMULA(VLOOKUP(SPLIT(S1394, "";"" &amp; CHAR(10)), $A:$AO, 41, FALSE)))))"),"V3B6;")</f>
        <v>V3B6;</v>
      </c>
      <c r="AP1394" s="89"/>
    </row>
    <row r="1395">
      <c r="A1395" s="151" t="str">
        <f>IFERROR(__xludf.DUMMYFUNCTION("""COMPUTED_VALUE"""),"V6")</f>
        <v>V6</v>
      </c>
      <c r="B1395" s="42" t="str">
        <f>IFERROR(__xludf.DUMMYFUNCTION("""COMPUTED_VALUE"""),"DHBA")</f>
        <v>DHBA</v>
      </c>
      <c r="C1395" s="42" t="str">
        <f>IFERROR(__xludf.DUMMYFUNCTION("""COMPUTED_VALUE"""),"area V6 of peristriate cortex")</f>
        <v>area V6 of peristriate cortex</v>
      </c>
      <c r="D1395" s="42">
        <f>IFERROR(__xludf.DUMMYFUNCTION("""COMPUTED_VALUE"""),1322.0)</f>
        <v>1322</v>
      </c>
      <c r="E1395" s="39" t="str">
        <f>IFERROR(__xludf.DUMMYFUNCTION("""COMPUTED_VALUE"""),"area V6 of peristriate cortex")</f>
        <v>area V6 of peristriate cortex</v>
      </c>
      <c r="F1395" s="9" t="str">
        <f>IFERROR(__xludf.DUMMYFUNCTION("""COMPUTED_VALUE"""),"Br")</f>
        <v>Br</v>
      </c>
      <c r="G1395" s="9" t="str">
        <f>IFERROR(__xludf.DUMMYFUNCTION("""COMPUTED_VALUE"""),"F")</f>
        <v>F</v>
      </c>
      <c r="H1395" s="9" t="str">
        <f>IFERROR(__xludf.DUMMYFUNCTION("""COMPUTED_VALUE"""),"FGM")</f>
        <v>FGM</v>
      </c>
      <c r="I1395" s="9" t="str">
        <f>IFERROR(__xludf.DUMMYFUNCTION("""COMPUTED_VALUE"""),"Tel")</f>
        <v>Tel</v>
      </c>
      <c r="J1395" s="9" t="str">
        <f>IFERROR(__xludf.DUMMYFUNCTION("""COMPUTED_VALUE"""),"Cx")</f>
        <v>Cx</v>
      </c>
      <c r="K1395" s="9" t="str">
        <f>IFERROR(__xludf.DUMMYFUNCTION("""COMPUTED_VALUE"""),"NCx")</f>
        <v>NCx</v>
      </c>
      <c r="L1395" s="9" t="str">
        <f>IFERROR(__xludf.DUMMYFUNCTION("""COMPUTED_VALUE"""),"Ocx")</f>
        <v>Ocx</v>
      </c>
      <c r="M1395" s="9" t="str">
        <f>IFERROR(__xludf.DUMMYFUNCTION("""COMPUTED_VALUE"""),"ESOC")</f>
        <v>ESOC</v>
      </c>
      <c r="N1395" s="9" t="str">
        <f>IFERROR(__xludf.DUMMYFUNCTION("""COMPUTED_VALUE"""),"PSC")</f>
        <v>PSC</v>
      </c>
      <c r="O1395" s="9" t="str">
        <f>IFERROR(__xludf.DUMMYFUNCTION("""COMPUTED_VALUE"""),"V6")</f>
        <v>V6</v>
      </c>
      <c r="P1395" s="9"/>
      <c r="Q1395" s="9"/>
      <c r="R1395" s="9"/>
      <c r="S1395" s="42" t="str">
        <f>IFERROR(__xludf.DUMMYFUNCTION("""COMPUTED_VALUE"""),"V6_1;
V6_2;
V6_3;
V6_4;
V6_5;
V6_6")</f>
        <v>V6_1;
V6_2;
V6_3;
V6_4;
V6_5;
V6_6</v>
      </c>
      <c r="T1395" s="42"/>
      <c r="U1395" s="42" t="b">
        <f>IFERROR(__xludf.DUMMYFUNCTION("""COMPUTED_VALUE"""),FALSE)</f>
        <v>0</v>
      </c>
      <c r="V1395" s="42"/>
      <c r="W1395" s="42"/>
      <c r="X1395" s="42"/>
      <c r="Y1395" s="42"/>
      <c r="Z1395" s="42"/>
      <c r="AA1395" s="42"/>
      <c r="AB1395" s="42" t="str">
        <f>IFERROR(__xludf.DUMMYFUNCTION("""COMPUTED_VALUE"""),"allen institute")</f>
        <v>allen institute</v>
      </c>
      <c r="AC1395" s="42" t="str">
        <f>IFERROR(__xludf.DUMMYFUNCTION("""COMPUTED_VALUE"""),"DHBA")</f>
        <v>DHBA</v>
      </c>
      <c r="AD1395" s="42"/>
      <c r="AE1395" s="42"/>
      <c r="AF1395" s="9"/>
      <c r="AG1395" s="9"/>
      <c r="AH1395" s="42"/>
      <c r="AI1395" s="42"/>
      <c r="AJ1395" s="42"/>
      <c r="AK1395" s="42"/>
      <c r="AL1395" s="42"/>
      <c r="AM1395" s="42"/>
      <c r="AN1395" s="42"/>
      <c r="AO1395" s="63" t="str">
        <f>IFERROR(__xludf.DUMMYFUNCTION("IF(ISBLANK(A1395),,IF(ISBLANK(S1395), A1395&amp;"";"", TEXTJOIN(CHAR(10), TRUE, A1395&amp;"";"", ARRAYFORMULA(VLOOKUP(SPLIT(S1395, "";"" &amp; CHAR(10)), $A:$AO, 41, FALSE)))))"),"#N/A")</f>
        <v>#N/A</v>
      </c>
      <c r="AP1395" s="89"/>
    </row>
    <row r="1396">
      <c r="A1396" s="151" t="str">
        <f>IFERROR(__xludf.DUMMYFUNCTION("""COMPUTED_VALUE"""),"V6-1")</f>
        <v>V6-1</v>
      </c>
      <c r="B1396" s="42" t="str">
        <f>IFERROR(__xludf.DUMMYFUNCTION("""COMPUTED_VALUE"""),"DHBA")</f>
        <v>DHBA</v>
      </c>
      <c r="C1396" s="42" t="str">
        <f>IFERROR(__xludf.DUMMYFUNCTION("""COMPUTED_VALUE"""),"layer I of area V6")</f>
        <v>layer I of area V6</v>
      </c>
      <c r="D1396" s="42">
        <f>IFERROR(__xludf.DUMMYFUNCTION("""COMPUTED_VALUE"""),1323.0)</f>
        <v>1323</v>
      </c>
      <c r="E1396" s="39" t="str">
        <f>IFERROR(__xludf.DUMMYFUNCTION("""COMPUTED_VALUE"""),"layer I of area V6")</f>
        <v>layer I of area V6</v>
      </c>
      <c r="F1396" s="9" t="str">
        <f>IFERROR(__xludf.DUMMYFUNCTION("""COMPUTED_VALUE"""),"Br")</f>
        <v>Br</v>
      </c>
      <c r="G1396" s="9" t="str">
        <f>IFERROR(__xludf.DUMMYFUNCTION("""COMPUTED_VALUE"""),"F")</f>
        <v>F</v>
      </c>
      <c r="H1396" s="9" t="str">
        <f>IFERROR(__xludf.DUMMYFUNCTION("""COMPUTED_VALUE"""),"FGM")</f>
        <v>FGM</v>
      </c>
      <c r="I1396" s="9" t="str">
        <f>IFERROR(__xludf.DUMMYFUNCTION("""COMPUTED_VALUE"""),"Tel")</f>
        <v>Tel</v>
      </c>
      <c r="J1396" s="9" t="str">
        <f>IFERROR(__xludf.DUMMYFUNCTION("""COMPUTED_VALUE"""),"Cx")</f>
        <v>Cx</v>
      </c>
      <c r="K1396" s="9" t="str">
        <f>IFERROR(__xludf.DUMMYFUNCTION("""COMPUTED_VALUE"""),"NCx")</f>
        <v>NCx</v>
      </c>
      <c r="L1396" s="9" t="str">
        <f>IFERROR(__xludf.DUMMYFUNCTION("""COMPUTED_VALUE"""),"Ocx")</f>
        <v>Ocx</v>
      </c>
      <c r="M1396" s="9" t="str">
        <f>IFERROR(__xludf.DUMMYFUNCTION("""COMPUTED_VALUE"""),"ESOC")</f>
        <v>ESOC</v>
      </c>
      <c r="N1396" s="9" t="str">
        <f>IFERROR(__xludf.DUMMYFUNCTION("""COMPUTED_VALUE"""),"PSC")</f>
        <v>PSC</v>
      </c>
      <c r="O1396" s="9" t="str">
        <f>IFERROR(__xludf.DUMMYFUNCTION("""COMPUTED_VALUE"""),"V6")</f>
        <v>V6</v>
      </c>
      <c r="P1396" s="9" t="str">
        <f>IFERROR(__xludf.DUMMYFUNCTION("""COMPUTED_VALUE"""),"V6-1")</f>
        <v>V6-1</v>
      </c>
      <c r="Q1396" s="9"/>
      <c r="R1396" s="9"/>
      <c r="S1396" s="42"/>
      <c r="T1396" s="42"/>
      <c r="U1396" s="42"/>
      <c r="V1396" s="42"/>
      <c r="W1396" s="42"/>
      <c r="X1396" s="42"/>
      <c r="Y1396" s="42"/>
      <c r="Z1396" s="42"/>
      <c r="AA1396" s="42"/>
      <c r="AB1396" s="42" t="str">
        <f>IFERROR(__xludf.DUMMYFUNCTION("""COMPUTED_VALUE"""),"allen institute")</f>
        <v>allen institute</v>
      </c>
      <c r="AC1396" s="42" t="str">
        <f>IFERROR(__xludf.DUMMYFUNCTION("""COMPUTED_VALUE"""),"DHBA")</f>
        <v>DHBA</v>
      </c>
      <c r="AD1396" s="42"/>
      <c r="AE1396" s="42"/>
      <c r="AF1396" s="9"/>
      <c r="AG1396" s="9"/>
      <c r="AH1396" s="42"/>
      <c r="AI1396" s="42"/>
      <c r="AJ1396" s="42"/>
      <c r="AK1396" s="42"/>
      <c r="AL1396" s="42"/>
      <c r="AM1396" s="42"/>
      <c r="AN1396" s="42"/>
      <c r="AO1396" s="63" t="str">
        <f>IFERROR(__xludf.DUMMYFUNCTION("IF(ISBLANK(A1396),,IF(ISBLANK(S1396), A1396&amp;"";"", TEXTJOIN(CHAR(10), TRUE, A1396&amp;"";"", ARRAYFORMULA(VLOOKUP(SPLIT(S1396, "";"" &amp; CHAR(10)), $A:$AO, 41, FALSE)))))"),"V6-1;")</f>
        <v>V6-1;</v>
      </c>
      <c r="AP1396" s="89"/>
    </row>
    <row r="1397">
      <c r="A1397" s="151" t="str">
        <f>IFERROR(__xludf.DUMMYFUNCTION("""COMPUTED_VALUE"""),"V6-2")</f>
        <v>V6-2</v>
      </c>
      <c r="B1397" s="42" t="str">
        <f>IFERROR(__xludf.DUMMYFUNCTION("""COMPUTED_VALUE"""),"DHBA")</f>
        <v>DHBA</v>
      </c>
      <c r="C1397" s="42" t="str">
        <f>IFERROR(__xludf.DUMMYFUNCTION("""COMPUTED_VALUE"""),"layer II of area V6")</f>
        <v>layer II of area V6</v>
      </c>
      <c r="D1397" s="42">
        <f>IFERROR(__xludf.DUMMYFUNCTION("""COMPUTED_VALUE"""),1324.0)</f>
        <v>1324</v>
      </c>
      <c r="E1397" s="39" t="str">
        <f>IFERROR(__xludf.DUMMYFUNCTION("""COMPUTED_VALUE"""),"layer II of area V6")</f>
        <v>layer II of area V6</v>
      </c>
      <c r="F1397" s="9" t="str">
        <f>IFERROR(__xludf.DUMMYFUNCTION("""COMPUTED_VALUE"""),"Br")</f>
        <v>Br</v>
      </c>
      <c r="G1397" s="9" t="str">
        <f>IFERROR(__xludf.DUMMYFUNCTION("""COMPUTED_VALUE"""),"F")</f>
        <v>F</v>
      </c>
      <c r="H1397" s="9" t="str">
        <f>IFERROR(__xludf.DUMMYFUNCTION("""COMPUTED_VALUE"""),"FGM")</f>
        <v>FGM</v>
      </c>
      <c r="I1397" s="9" t="str">
        <f>IFERROR(__xludf.DUMMYFUNCTION("""COMPUTED_VALUE"""),"Tel")</f>
        <v>Tel</v>
      </c>
      <c r="J1397" s="9" t="str">
        <f>IFERROR(__xludf.DUMMYFUNCTION("""COMPUTED_VALUE"""),"Cx")</f>
        <v>Cx</v>
      </c>
      <c r="K1397" s="9" t="str">
        <f>IFERROR(__xludf.DUMMYFUNCTION("""COMPUTED_VALUE"""),"NCx")</f>
        <v>NCx</v>
      </c>
      <c r="L1397" s="9" t="str">
        <f>IFERROR(__xludf.DUMMYFUNCTION("""COMPUTED_VALUE"""),"Ocx")</f>
        <v>Ocx</v>
      </c>
      <c r="M1397" s="9" t="str">
        <f>IFERROR(__xludf.DUMMYFUNCTION("""COMPUTED_VALUE"""),"ESOC")</f>
        <v>ESOC</v>
      </c>
      <c r="N1397" s="9" t="str">
        <f>IFERROR(__xludf.DUMMYFUNCTION("""COMPUTED_VALUE"""),"PSC")</f>
        <v>PSC</v>
      </c>
      <c r="O1397" s="9" t="str">
        <f>IFERROR(__xludf.DUMMYFUNCTION("""COMPUTED_VALUE"""),"V6")</f>
        <v>V6</v>
      </c>
      <c r="P1397" s="9" t="str">
        <f>IFERROR(__xludf.DUMMYFUNCTION("""COMPUTED_VALUE"""),"V6-2")</f>
        <v>V6-2</v>
      </c>
      <c r="Q1397" s="9"/>
      <c r="R1397" s="9"/>
      <c r="S1397" s="42"/>
      <c r="T1397" s="42"/>
      <c r="U1397" s="42"/>
      <c r="V1397" s="42"/>
      <c r="W1397" s="42"/>
      <c r="X1397" s="42"/>
      <c r="Y1397" s="42"/>
      <c r="Z1397" s="42"/>
      <c r="AA1397" s="42"/>
      <c r="AB1397" s="42" t="str">
        <f>IFERROR(__xludf.DUMMYFUNCTION("""COMPUTED_VALUE"""),"allen institute")</f>
        <v>allen institute</v>
      </c>
      <c r="AC1397" s="42" t="str">
        <f>IFERROR(__xludf.DUMMYFUNCTION("""COMPUTED_VALUE"""),"DHBA")</f>
        <v>DHBA</v>
      </c>
      <c r="AD1397" s="42"/>
      <c r="AE1397" s="42"/>
      <c r="AF1397" s="9"/>
      <c r="AG1397" s="9"/>
      <c r="AH1397" s="42"/>
      <c r="AI1397" s="42"/>
      <c r="AJ1397" s="42"/>
      <c r="AK1397" s="42"/>
      <c r="AL1397" s="42"/>
      <c r="AM1397" s="42"/>
      <c r="AN1397" s="42"/>
      <c r="AO1397" s="63" t="str">
        <f>IFERROR(__xludf.DUMMYFUNCTION("IF(ISBLANK(A1397),,IF(ISBLANK(S1397), A1397&amp;"";"", TEXTJOIN(CHAR(10), TRUE, A1397&amp;"";"", ARRAYFORMULA(VLOOKUP(SPLIT(S1397, "";"" &amp; CHAR(10)), $A:$AO, 41, FALSE)))))"),"V6-2;")</f>
        <v>V6-2;</v>
      </c>
      <c r="AP1397" s="89"/>
    </row>
    <row r="1398">
      <c r="A1398" s="151" t="str">
        <f>IFERROR(__xludf.DUMMYFUNCTION("""COMPUTED_VALUE"""),"V6-3")</f>
        <v>V6-3</v>
      </c>
      <c r="B1398" s="42" t="str">
        <f>IFERROR(__xludf.DUMMYFUNCTION("""COMPUTED_VALUE"""),"DHBA")</f>
        <v>DHBA</v>
      </c>
      <c r="C1398" s="42" t="str">
        <f>IFERROR(__xludf.DUMMYFUNCTION("""COMPUTED_VALUE"""),"layer III of area V6")</f>
        <v>layer III of area V6</v>
      </c>
      <c r="D1398" s="42">
        <f>IFERROR(__xludf.DUMMYFUNCTION("""COMPUTED_VALUE"""),1325.0)</f>
        <v>1325</v>
      </c>
      <c r="E1398" s="39" t="str">
        <f>IFERROR(__xludf.DUMMYFUNCTION("""COMPUTED_VALUE"""),"layer III of area V6")</f>
        <v>layer III of area V6</v>
      </c>
      <c r="F1398" s="9" t="str">
        <f>IFERROR(__xludf.DUMMYFUNCTION("""COMPUTED_VALUE"""),"Br")</f>
        <v>Br</v>
      </c>
      <c r="G1398" s="9" t="str">
        <f>IFERROR(__xludf.DUMMYFUNCTION("""COMPUTED_VALUE"""),"F")</f>
        <v>F</v>
      </c>
      <c r="H1398" s="9" t="str">
        <f>IFERROR(__xludf.DUMMYFUNCTION("""COMPUTED_VALUE"""),"FGM")</f>
        <v>FGM</v>
      </c>
      <c r="I1398" s="9" t="str">
        <f>IFERROR(__xludf.DUMMYFUNCTION("""COMPUTED_VALUE"""),"Tel")</f>
        <v>Tel</v>
      </c>
      <c r="J1398" s="9" t="str">
        <f>IFERROR(__xludf.DUMMYFUNCTION("""COMPUTED_VALUE"""),"Cx")</f>
        <v>Cx</v>
      </c>
      <c r="K1398" s="9" t="str">
        <f>IFERROR(__xludf.DUMMYFUNCTION("""COMPUTED_VALUE"""),"NCx")</f>
        <v>NCx</v>
      </c>
      <c r="L1398" s="9" t="str">
        <f>IFERROR(__xludf.DUMMYFUNCTION("""COMPUTED_VALUE"""),"Ocx")</f>
        <v>Ocx</v>
      </c>
      <c r="M1398" s="9" t="str">
        <f>IFERROR(__xludf.DUMMYFUNCTION("""COMPUTED_VALUE"""),"ESOC")</f>
        <v>ESOC</v>
      </c>
      <c r="N1398" s="9" t="str">
        <f>IFERROR(__xludf.DUMMYFUNCTION("""COMPUTED_VALUE"""),"PSC")</f>
        <v>PSC</v>
      </c>
      <c r="O1398" s="9" t="str">
        <f>IFERROR(__xludf.DUMMYFUNCTION("""COMPUTED_VALUE"""),"V6")</f>
        <v>V6</v>
      </c>
      <c r="P1398" s="9" t="str">
        <f>IFERROR(__xludf.DUMMYFUNCTION("""COMPUTED_VALUE"""),"V6-3")</f>
        <v>V6-3</v>
      </c>
      <c r="Q1398" s="9"/>
      <c r="R1398" s="9"/>
      <c r="S1398" s="42"/>
      <c r="T1398" s="42"/>
      <c r="U1398" s="42"/>
      <c r="V1398" s="42"/>
      <c r="W1398" s="42"/>
      <c r="X1398" s="42"/>
      <c r="Y1398" s="42"/>
      <c r="Z1398" s="42"/>
      <c r="AA1398" s="42"/>
      <c r="AB1398" s="42" t="str">
        <f>IFERROR(__xludf.DUMMYFUNCTION("""COMPUTED_VALUE"""),"allen institute")</f>
        <v>allen institute</v>
      </c>
      <c r="AC1398" s="42" t="str">
        <f>IFERROR(__xludf.DUMMYFUNCTION("""COMPUTED_VALUE"""),"DHBA")</f>
        <v>DHBA</v>
      </c>
      <c r="AD1398" s="42"/>
      <c r="AE1398" s="42"/>
      <c r="AF1398" s="9"/>
      <c r="AG1398" s="9"/>
      <c r="AH1398" s="42"/>
      <c r="AI1398" s="42"/>
      <c r="AJ1398" s="42"/>
      <c r="AK1398" s="42"/>
      <c r="AL1398" s="42"/>
      <c r="AM1398" s="42"/>
      <c r="AN1398" s="42"/>
      <c r="AO1398" s="63" t="str">
        <f>IFERROR(__xludf.DUMMYFUNCTION("IF(ISBLANK(A1398),,IF(ISBLANK(S1398), A1398&amp;"";"", TEXTJOIN(CHAR(10), TRUE, A1398&amp;"";"", ARRAYFORMULA(VLOOKUP(SPLIT(S1398, "";"" &amp; CHAR(10)), $A:$AO, 41, FALSE)))))"),"V6-3;")</f>
        <v>V6-3;</v>
      </c>
      <c r="AP1398" s="89"/>
    </row>
    <row r="1399">
      <c r="A1399" s="151" t="str">
        <f>IFERROR(__xludf.DUMMYFUNCTION("""COMPUTED_VALUE"""),"V6-4")</f>
        <v>V6-4</v>
      </c>
      <c r="B1399" s="42" t="str">
        <f>IFERROR(__xludf.DUMMYFUNCTION("""COMPUTED_VALUE"""),"DHBA")</f>
        <v>DHBA</v>
      </c>
      <c r="C1399" s="42" t="str">
        <f>IFERROR(__xludf.DUMMYFUNCTION("""COMPUTED_VALUE"""),"layer IV of area V6")</f>
        <v>layer IV of area V6</v>
      </c>
      <c r="D1399" s="42">
        <f>IFERROR(__xludf.DUMMYFUNCTION("""COMPUTED_VALUE"""),1326.0)</f>
        <v>1326</v>
      </c>
      <c r="E1399" s="39" t="str">
        <f>IFERROR(__xludf.DUMMYFUNCTION("""COMPUTED_VALUE"""),"layer IV of area V6")</f>
        <v>layer IV of area V6</v>
      </c>
      <c r="F1399" s="9" t="str">
        <f>IFERROR(__xludf.DUMMYFUNCTION("""COMPUTED_VALUE"""),"Br")</f>
        <v>Br</v>
      </c>
      <c r="G1399" s="9" t="str">
        <f>IFERROR(__xludf.DUMMYFUNCTION("""COMPUTED_VALUE"""),"F")</f>
        <v>F</v>
      </c>
      <c r="H1399" s="9" t="str">
        <f>IFERROR(__xludf.DUMMYFUNCTION("""COMPUTED_VALUE"""),"FGM")</f>
        <v>FGM</v>
      </c>
      <c r="I1399" s="9" t="str">
        <f>IFERROR(__xludf.DUMMYFUNCTION("""COMPUTED_VALUE"""),"Tel")</f>
        <v>Tel</v>
      </c>
      <c r="J1399" s="9" t="str">
        <f>IFERROR(__xludf.DUMMYFUNCTION("""COMPUTED_VALUE"""),"Cx")</f>
        <v>Cx</v>
      </c>
      <c r="K1399" s="9" t="str">
        <f>IFERROR(__xludf.DUMMYFUNCTION("""COMPUTED_VALUE"""),"NCx")</f>
        <v>NCx</v>
      </c>
      <c r="L1399" s="9" t="str">
        <f>IFERROR(__xludf.DUMMYFUNCTION("""COMPUTED_VALUE"""),"Ocx")</f>
        <v>Ocx</v>
      </c>
      <c r="M1399" s="9" t="str">
        <f>IFERROR(__xludf.DUMMYFUNCTION("""COMPUTED_VALUE"""),"ESOC")</f>
        <v>ESOC</v>
      </c>
      <c r="N1399" s="9" t="str">
        <f>IFERROR(__xludf.DUMMYFUNCTION("""COMPUTED_VALUE"""),"PSC")</f>
        <v>PSC</v>
      </c>
      <c r="O1399" s="9" t="str">
        <f>IFERROR(__xludf.DUMMYFUNCTION("""COMPUTED_VALUE"""),"V6")</f>
        <v>V6</v>
      </c>
      <c r="P1399" s="9" t="str">
        <f>IFERROR(__xludf.DUMMYFUNCTION("""COMPUTED_VALUE"""),"V6-4")</f>
        <v>V6-4</v>
      </c>
      <c r="Q1399" s="9"/>
      <c r="R1399" s="9"/>
      <c r="S1399" s="42"/>
      <c r="T1399" s="42"/>
      <c r="U1399" s="42"/>
      <c r="V1399" s="42"/>
      <c r="W1399" s="42"/>
      <c r="X1399" s="42"/>
      <c r="Y1399" s="42"/>
      <c r="Z1399" s="42"/>
      <c r="AA1399" s="42"/>
      <c r="AB1399" s="42" t="str">
        <f>IFERROR(__xludf.DUMMYFUNCTION("""COMPUTED_VALUE"""),"allen institute")</f>
        <v>allen institute</v>
      </c>
      <c r="AC1399" s="42" t="str">
        <f>IFERROR(__xludf.DUMMYFUNCTION("""COMPUTED_VALUE"""),"DHBA")</f>
        <v>DHBA</v>
      </c>
      <c r="AD1399" s="42"/>
      <c r="AE1399" s="42"/>
      <c r="AF1399" s="9"/>
      <c r="AG1399" s="9"/>
      <c r="AH1399" s="42"/>
      <c r="AI1399" s="42"/>
      <c r="AJ1399" s="42"/>
      <c r="AK1399" s="42"/>
      <c r="AL1399" s="42"/>
      <c r="AM1399" s="42"/>
      <c r="AN1399" s="42"/>
      <c r="AO1399" s="63" t="str">
        <f>IFERROR(__xludf.DUMMYFUNCTION("IF(ISBLANK(A1399),,IF(ISBLANK(S1399), A1399&amp;"";"", TEXTJOIN(CHAR(10), TRUE, A1399&amp;"";"", ARRAYFORMULA(VLOOKUP(SPLIT(S1399, "";"" &amp; CHAR(10)), $A:$AO, 41, FALSE)))))"),"V6-4;")</f>
        <v>V6-4;</v>
      </c>
      <c r="AP1399" s="89"/>
    </row>
    <row r="1400">
      <c r="A1400" s="151" t="str">
        <f>IFERROR(__xludf.DUMMYFUNCTION("""COMPUTED_VALUE"""),"V6-5")</f>
        <v>V6-5</v>
      </c>
      <c r="B1400" s="42" t="str">
        <f>IFERROR(__xludf.DUMMYFUNCTION("""COMPUTED_VALUE"""),"DHBA")</f>
        <v>DHBA</v>
      </c>
      <c r="C1400" s="42" t="str">
        <f>IFERROR(__xludf.DUMMYFUNCTION("""COMPUTED_VALUE"""),"layer V of area V6")</f>
        <v>layer V of area V6</v>
      </c>
      <c r="D1400" s="42">
        <f>IFERROR(__xludf.DUMMYFUNCTION("""COMPUTED_VALUE"""),1327.0)</f>
        <v>1327</v>
      </c>
      <c r="E1400" s="39" t="str">
        <f>IFERROR(__xludf.DUMMYFUNCTION("""COMPUTED_VALUE"""),"layer V of area V6")</f>
        <v>layer V of area V6</v>
      </c>
      <c r="F1400" s="9" t="str">
        <f>IFERROR(__xludf.DUMMYFUNCTION("""COMPUTED_VALUE"""),"Br")</f>
        <v>Br</v>
      </c>
      <c r="G1400" s="9" t="str">
        <f>IFERROR(__xludf.DUMMYFUNCTION("""COMPUTED_VALUE"""),"F")</f>
        <v>F</v>
      </c>
      <c r="H1400" s="9" t="str">
        <f>IFERROR(__xludf.DUMMYFUNCTION("""COMPUTED_VALUE"""),"FGM")</f>
        <v>FGM</v>
      </c>
      <c r="I1400" s="9" t="str">
        <f>IFERROR(__xludf.DUMMYFUNCTION("""COMPUTED_VALUE"""),"Tel")</f>
        <v>Tel</v>
      </c>
      <c r="J1400" s="9" t="str">
        <f>IFERROR(__xludf.DUMMYFUNCTION("""COMPUTED_VALUE"""),"Cx")</f>
        <v>Cx</v>
      </c>
      <c r="K1400" s="9" t="str">
        <f>IFERROR(__xludf.DUMMYFUNCTION("""COMPUTED_VALUE"""),"NCx")</f>
        <v>NCx</v>
      </c>
      <c r="L1400" s="9" t="str">
        <f>IFERROR(__xludf.DUMMYFUNCTION("""COMPUTED_VALUE"""),"Ocx")</f>
        <v>Ocx</v>
      </c>
      <c r="M1400" s="9" t="str">
        <f>IFERROR(__xludf.DUMMYFUNCTION("""COMPUTED_VALUE"""),"ESOC")</f>
        <v>ESOC</v>
      </c>
      <c r="N1400" s="9" t="str">
        <f>IFERROR(__xludf.DUMMYFUNCTION("""COMPUTED_VALUE"""),"PSC")</f>
        <v>PSC</v>
      </c>
      <c r="O1400" s="9" t="str">
        <f>IFERROR(__xludf.DUMMYFUNCTION("""COMPUTED_VALUE"""),"V6")</f>
        <v>V6</v>
      </c>
      <c r="P1400" s="9" t="str">
        <f>IFERROR(__xludf.DUMMYFUNCTION("""COMPUTED_VALUE"""),"V6-5")</f>
        <v>V6-5</v>
      </c>
      <c r="Q1400" s="9"/>
      <c r="R1400" s="9"/>
      <c r="S1400" s="42"/>
      <c r="T1400" s="42"/>
      <c r="U1400" s="42"/>
      <c r="V1400" s="42"/>
      <c r="W1400" s="42"/>
      <c r="X1400" s="42"/>
      <c r="Y1400" s="42"/>
      <c r="Z1400" s="42"/>
      <c r="AA1400" s="42"/>
      <c r="AB1400" s="42" t="str">
        <f>IFERROR(__xludf.DUMMYFUNCTION("""COMPUTED_VALUE"""),"allen institute")</f>
        <v>allen institute</v>
      </c>
      <c r="AC1400" s="42" t="str">
        <f>IFERROR(__xludf.DUMMYFUNCTION("""COMPUTED_VALUE"""),"DHBA")</f>
        <v>DHBA</v>
      </c>
      <c r="AD1400" s="42"/>
      <c r="AE1400" s="42"/>
      <c r="AF1400" s="9"/>
      <c r="AG1400" s="9"/>
      <c r="AH1400" s="42"/>
      <c r="AI1400" s="42"/>
      <c r="AJ1400" s="42"/>
      <c r="AK1400" s="42"/>
      <c r="AL1400" s="42"/>
      <c r="AM1400" s="42"/>
      <c r="AN1400" s="42"/>
      <c r="AO1400" s="63" t="str">
        <f>IFERROR(__xludf.DUMMYFUNCTION("IF(ISBLANK(A1400),,IF(ISBLANK(S1400), A1400&amp;"";"", TEXTJOIN(CHAR(10), TRUE, A1400&amp;"";"", ARRAYFORMULA(VLOOKUP(SPLIT(S1400, "";"" &amp; CHAR(10)), $A:$AO, 41, FALSE)))))"),"V6-5;")</f>
        <v>V6-5;</v>
      </c>
      <c r="AP1400" s="89"/>
    </row>
    <row r="1401">
      <c r="A1401" s="151" t="str">
        <f>IFERROR(__xludf.DUMMYFUNCTION("""COMPUTED_VALUE"""),"V6-6")</f>
        <v>V6-6</v>
      </c>
      <c r="B1401" s="42" t="str">
        <f>IFERROR(__xludf.DUMMYFUNCTION("""COMPUTED_VALUE"""),"DHBA")</f>
        <v>DHBA</v>
      </c>
      <c r="C1401" s="42" t="str">
        <f>IFERROR(__xludf.DUMMYFUNCTION("""COMPUTED_VALUE"""),"layer VI of area V6")</f>
        <v>layer VI of area V6</v>
      </c>
      <c r="D1401" s="42">
        <f>IFERROR(__xludf.DUMMYFUNCTION("""COMPUTED_VALUE"""),1328.0)</f>
        <v>1328</v>
      </c>
      <c r="E1401" s="39" t="str">
        <f>IFERROR(__xludf.DUMMYFUNCTION("""COMPUTED_VALUE"""),"layer VI of area V6")</f>
        <v>layer VI of area V6</v>
      </c>
      <c r="F1401" s="9" t="str">
        <f>IFERROR(__xludf.DUMMYFUNCTION("""COMPUTED_VALUE"""),"Br")</f>
        <v>Br</v>
      </c>
      <c r="G1401" s="9" t="str">
        <f>IFERROR(__xludf.DUMMYFUNCTION("""COMPUTED_VALUE"""),"F")</f>
        <v>F</v>
      </c>
      <c r="H1401" s="9" t="str">
        <f>IFERROR(__xludf.DUMMYFUNCTION("""COMPUTED_VALUE"""),"FGM")</f>
        <v>FGM</v>
      </c>
      <c r="I1401" s="9" t="str">
        <f>IFERROR(__xludf.DUMMYFUNCTION("""COMPUTED_VALUE"""),"Tel")</f>
        <v>Tel</v>
      </c>
      <c r="J1401" s="9" t="str">
        <f>IFERROR(__xludf.DUMMYFUNCTION("""COMPUTED_VALUE"""),"Cx")</f>
        <v>Cx</v>
      </c>
      <c r="K1401" s="9" t="str">
        <f>IFERROR(__xludf.DUMMYFUNCTION("""COMPUTED_VALUE"""),"NCx")</f>
        <v>NCx</v>
      </c>
      <c r="L1401" s="9" t="str">
        <f>IFERROR(__xludf.DUMMYFUNCTION("""COMPUTED_VALUE"""),"Ocx")</f>
        <v>Ocx</v>
      </c>
      <c r="M1401" s="9" t="str">
        <f>IFERROR(__xludf.DUMMYFUNCTION("""COMPUTED_VALUE"""),"ESOC")</f>
        <v>ESOC</v>
      </c>
      <c r="N1401" s="9" t="str">
        <f>IFERROR(__xludf.DUMMYFUNCTION("""COMPUTED_VALUE"""),"PSC")</f>
        <v>PSC</v>
      </c>
      <c r="O1401" s="9" t="str">
        <f>IFERROR(__xludf.DUMMYFUNCTION("""COMPUTED_VALUE"""),"V6")</f>
        <v>V6</v>
      </c>
      <c r="P1401" s="9" t="str">
        <f>IFERROR(__xludf.DUMMYFUNCTION("""COMPUTED_VALUE"""),"V6-6")</f>
        <v>V6-6</v>
      </c>
      <c r="Q1401" s="9"/>
      <c r="R1401" s="9"/>
      <c r="S1401" s="42"/>
      <c r="T1401" s="42"/>
      <c r="U1401" s="42"/>
      <c r="V1401" s="42"/>
      <c r="W1401" s="42"/>
      <c r="X1401" s="42"/>
      <c r="Y1401" s="42"/>
      <c r="Z1401" s="42"/>
      <c r="AA1401" s="42"/>
      <c r="AB1401" s="42" t="str">
        <f>IFERROR(__xludf.DUMMYFUNCTION("""COMPUTED_VALUE"""),"allen institute")</f>
        <v>allen institute</v>
      </c>
      <c r="AC1401" s="42" t="str">
        <f>IFERROR(__xludf.DUMMYFUNCTION("""COMPUTED_VALUE"""),"DHBA")</f>
        <v>DHBA</v>
      </c>
      <c r="AD1401" s="42"/>
      <c r="AE1401" s="42"/>
      <c r="AF1401" s="9"/>
      <c r="AG1401" s="9"/>
      <c r="AH1401" s="42"/>
      <c r="AI1401" s="42"/>
      <c r="AJ1401" s="42"/>
      <c r="AK1401" s="42"/>
      <c r="AL1401" s="42"/>
      <c r="AM1401" s="42"/>
      <c r="AN1401" s="42"/>
      <c r="AO1401" s="63" t="str">
        <f>IFERROR(__xludf.DUMMYFUNCTION("IF(ISBLANK(A1401),,IF(ISBLANK(S1401), A1401&amp;"";"", TEXTJOIN(CHAR(10), TRUE, A1401&amp;"";"", ARRAYFORMULA(VLOOKUP(SPLIT(S1401, "";"" &amp; CHAR(10)), $A:$AO, 41, FALSE)))))"),"V6-6;")</f>
        <v>V6-6;</v>
      </c>
      <c r="AP1401" s="89"/>
    </row>
    <row r="1402">
      <c r="A1402" s="151" t="str">
        <f>IFERROR(__xludf.DUMMYFUNCTION("""COMPUTED_VALUE"""),"V6A/PO")</f>
        <v>V6A/PO</v>
      </c>
      <c r="B1402" s="42" t="str">
        <f>IFERROR(__xludf.DUMMYFUNCTION("""COMPUTED_VALUE"""),"DHBA")</f>
        <v>DHBA</v>
      </c>
      <c r="C1402" s="42" t="str">
        <f>IFERROR(__xludf.DUMMYFUNCTION("""COMPUTED_VALUE"""),"area V6 of peristriate cortex (parieto-occipital area)")</f>
        <v>area V6 of peristriate cortex (parieto-occipital area)</v>
      </c>
      <c r="D1402" s="42">
        <f>IFERROR(__xludf.DUMMYFUNCTION("""COMPUTED_VALUE"""),1329.0)</f>
        <v>1329</v>
      </c>
      <c r="E1402" s="39" t="str">
        <f>IFERROR(__xludf.DUMMYFUNCTION("""COMPUTED_VALUE"""),"area V6 of peristriate cortex (parieto-occipital area)")</f>
        <v>area V6 of peristriate cortex (parieto-occipital area)</v>
      </c>
      <c r="F1402" s="9" t="str">
        <f>IFERROR(__xludf.DUMMYFUNCTION("""COMPUTED_VALUE"""),"Br")</f>
        <v>Br</v>
      </c>
      <c r="G1402" s="9" t="str">
        <f>IFERROR(__xludf.DUMMYFUNCTION("""COMPUTED_VALUE"""),"F")</f>
        <v>F</v>
      </c>
      <c r="H1402" s="9" t="str">
        <f>IFERROR(__xludf.DUMMYFUNCTION("""COMPUTED_VALUE"""),"FGM")</f>
        <v>FGM</v>
      </c>
      <c r="I1402" s="9" t="str">
        <f>IFERROR(__xludf.DUMMYFUNCTION("""COMPUTED_VALUE"""),"Tel")</f>
        <v>Tel</v>
      </c>
      <c r="J1402" s="9" t="str">
        <f>IFERROR(__xludf.DUMMYFUNCTION("""COMPUTED_VALUE"""),"Cx")</f>
        <v>Cx</v>
      </c>
      <c r="K1402" s="9" t="str">
        <f>IFERROR(__xludf.DUMMYFUNCTION("""COMPUTED_VALUE"""),"NCx")</f>
        <v>NCx</v>
      </c>
      <c r="L1402" s="9" t="str">
        <f>IFERROR(__xludf.DUMMYFUNCTION("""COMPUTED_VALUE"""),"Ocx")</f>
        <v>Ocx</v>
      </c>
      <c r="M1402" s="9" t="str">
        <f>IFERROR(__xludf.DUMMYFUNCTION("""COMPUTED_VALUE"""),"ESOC")</f>
        <v>ESOC</v>
      </c>
      <c r="N1402" s="9" t="str">
        <f>IFERROR(__xludf.DUMMYFUNCTION("""COMPUTED_VALUE"""),"PSC")</f>
        <v>PSC</v>
      </c>
      <c r="O1402" s="9" t="str">
        <f>IFERROR(__xludf.DUMMYFUNCTION("""COMPUTED_VALUE"""),"V6A/PO")</f>
        <v>V6A/PO</v>
      </c>
      <c r="P1402" s="9"/>
      <c r="Q1402" s="9"/>
      <c r="R1402" s="9"/>
      <c r="S1402" s="42"/>
      <c r="T1402" s="42"/>
      <c r="U1402" s="42"/>
      <c r="V1402" s="42"/>
      <c r="W1402" s="42"/>
      <c r="X1402" s="42"/>
      <c r="Y1402" s="42"/>
      <c r="Z1402" s="42"/>
      <c r="AA1402" s="42"/>
      <c r="AB1402" s="42" t="str">
        <f>IFERROR(__xludf.DUMMYFUNCTION("""COMPUTED_VALUE"""),"allen institute")</f>
        <v>allen institute</v>
      </c>
      <c r="AC1402" s="42" t="str">
        <f>IFERROR(__xludf.DUMMYFUNCTION("""COMPUTED_VALUE"""),"DHBA")</f>
        <v>DHBA</v>
      </c>
      <c r="AD1402" s="42"/>
      <c r="AE1402" s="42"/>
      <c r="AF1402" s="9"/>
      <c r="AG1402" s="9"/>
      <c r="AH1402" s="42"/>
      <c r="AI1402" s="42"/>
      <c r="AJ1402" s="42"/>
      <c r="AK1402" s="42"/>
      <c r="AL1402" s="42"/>
      <c r="AM1402" s="42"/>
      <c r="AN1402" s="42"/>
      <c r="AO1402" s="63" t="str">
        <f>IFERROR(__xludf.DUMMYFUNCTION("IF(ISBLANK(A1402),,IF(ISBLANK(S1402), A1402&amp;"";"", TEXTJOIN(CHAR(10), TRUE, A1402&amp;"";"", ARRAYFORMULA(VLOOKUP(SPLIT(S1402, "";"" &amp; CHAR(10)), $A:$AO, 41, FALSE)))))"),"V6A/PO;")</f>
        <v>V6A/PO;</v>
      </c>
      <c r="AP1402" s="89"/>
    </row>
    <row r="1403">
      <c r="A1403" s="151" t="str">
        <f>IFERROR(__xludf.DUMMYFUNCTION("""COMPUTED_VALUE"""),"V6A-1")</f>
        <v>V6A-1</v>
      </c>
      <c r="B1403" s="42" t="str">
        <f>IFERROR(__xludf.DUMMYFUNCTION("""COMPUTED_VALUE"""),"DHBA")</f>
        <v>DHBA</v>
      </c>
      <c r="C1403" s="42" t="str">
        <f>IFERROR(__xludf.DUMMYFUNCTION("""COMPUTED_VALUE"""),"layer I of area V6A")</f>
        <v>layer I of area V6A</v>
      </c>
      <c r="D1403" s="42">
        <f>IFERROR(__xludf.DUMMYFUNCTION("""COMPUTED_VALUE"""),1330.0)</f>
        <v>1330</v>
      </c>
      <c r="E1403" s="39" t="str">
        <f>IFERROR(__xludf.DUMMYFUNCTION("""COMPUTED_VALUE"""),"layer I of area V6A")</f>
        <v>layer I of area V6A</v>
      </c>
      <c r="F1403" s="9" t="str">
        <f>IFERROR(__xludf.DUMMYFUNCTION("""COMPUTED_VALUE"""),"Br")</f>
        <v>Br</v>
      </c>
      <c r="G1403" s="9" t="str">
        <f>IFERROR(__xludf.DUMMYFUNCTION("""COMPUTED_VALUE"""),"F")</f>
        <v>F</v>
      </c>
      <c r="H1403" s="9" t="str">
        <f>IFERROR(__xludf.DUMMYFUNCTION("""COMPUTED_VALUE"""),"FGM")</f>
        <v>FGM</v>
      </c>
      <c r="I1403" s="9" t="str">
        <f>IFERROR(__xludf.DUMMYFUNCTION("""COMPUTED_VALUE"""),"Tel")</f>
        <v>Tel</v>
      </c>
      <c r="J1403" s="9" t="str">
        <f>IFERROR(__xludf.DUMMYFUNCTION("""COMPUTED_VALUE"""),"Cx")</f>
        <v>Cx</v>
      </c>
      <c r="K1403" s="9" t="str">
        <f>IFERROR(__xludf.DUMMYFUNCTION("""COMPUTED_VALUE"""),"NCx")</f>
        <v>NCx</v>
      </c>
      <c r="L1403" s="9" t="str">
        <f>IFERROR(__xludf.DUMMYFUNCTION("""COMPUTED_VALUE"""),"Ocx")</f>
        <v>Ocx</v>
      </c>
      <c r="M1403" s="9" t="str">
        <f>IFERROR(__xludf.DUMMYFUNCTION("""COMPUTED_VALUE"""),"ESOC")</f>
        <v>ESOC</v>
      </c>
      <c r="N1403" s="9" t="str">
        <f>IFERROR(__xludf.DUMMYFUNCTION("""COMPUTED_VALUE"""),"PSC")</f>
        <v>PSC</v>
      </c>
      <c r="O1403" s="9" t="str">
        <f>IFERROR(__xludf.DUMMYFUNCTION("""COMPUTED_VALUE"""),"V6A/PO")</f>
        <v>V6A/PO</v>
      </c>
      <c r="P1403" s="9" t="str">
        <f>IFERROR(__xludf.DUMMYFUNCTION("""COMPUTED_VALUE"""),"V6A-1")</f>
        <v>V6A-1</v>
      </c>
      <c r="Q1403" s="9"/>
      <c r="R1403" s="9"/>
      <c r="S1403" s="42"/>
      <c r="T1403" s="42"/>
      <c r="U1403" s="42"/>
      <c r="V1403" s="42"/>
      <c r="W1403" s="42"/>
      <c r="X1403" s="42"/>
      <c r="Y1403" s="42"/>
      <c r="Z1403" s="42"/>
      <c r="AA1403" s="42"/>
      <c r="AB1403" s="42" t="str">
        <f>IFERROR(__xludf.DUMMYFUNCTION("""COMPUTED_VALUE"""),"allen institute")</f>
        <v>allen institute</v>
      </c>
      <c r="AC1403" s="42" t="str">
        <f>IFERROR(__xludf.DUMMYFUNCTION("""COMPUTED_VALUE"""),"DHBA")</f>
        <v>DHBA</v>
      </c>
      <c r="AD1403" s="42"/>
      <c r="AE1403" s="42"/>
      <c r="AF1403" s="9"/>
      <c r="AG1403" s="9"/>
      <c r="AH1403" s="42"/>
      <c r="AI1403" s="42"/>
      <c r="AJ1403" s="42"/>
      <c r="AK1403" s="42"/>
      <c r="AL1403" s="42"/>
      <c r="AM1403" s="42"/>
      <c r="AN1403" s="42"/>
      <c r="AO1403" s="63" t="str">
        <f>IFERROR(__xludf.DUMMYFUNCTION("IF(ISBLANK(A1403),,IF(ISBLANK(S1403), A1403&amp;"";"", TEXTJOIN(CHAR(10), TRUE, A1403&amp;"";"", ARRAYFORMULA(VLOOKUP(SPLIT(S1403, "";"" &amp; CHAR(10)), $A:$AO, 41, FALSE)))))"),"V6A-1;")</f>
        <v>V6A-1;</v>
      </c>
      <c r="AP1403" s="89"/>
    </row>
    <row r="1404">
      <c r="A1404" s="151" t="str">
        <f>IFERROR(__xludf.DUMMYFUNCTION("""COMPUTED_VALUE"""),"V6A-2")</f>
        <v>V6A-2</v>
      </c>
      <c r="B1404" s="42" t="str">
        <f>IFERROR(__xludf.DUMMYFUNCTION("""COMPUTED_VALUE"""),"DHBA")</f>
        <v>DHBA</v>
      </c>
      <c r="C1404" s="42" t="str">
        <f>IFERROR(__xludf.DUMMYFUNCTION("""COMPUTED_VALUE"""),"layer II of area V6A")</f>
        <v>layer II of area V6A</v>
      </c>
      <c r="D1404" s="42">
        <f>IFERROR(__xludf.DUMMYFUNCTION("""COMPUTED_VALUE"""),1331.0)</f>
        <v>1331</v>
      </c>
      <c r="E1404" s="39" t="str">
        <f>IFERROR(__xludf.DUMMYFUNCTION("""COMPUTED_VALUE"""),"layer II of area V6A")</f>
        <v>layer II of area V6A</v>
      </c>
      <c r="F1404" s="9" t="str">
        <f>IFERROR(__xludf.DUMMYFUNCTION("""COMPUTED_VALUE"""),"Br")</f>
        <v>Br</v>
      </c>
      <c r="G1404" s="9" t="str">
        <f>IFERROR(__xludf.DUMMYFUNCTION("""COMPUTED_VALUE"""),"F")</f>
        <v>F</v>
      </c>
      <c r="H1404" s="9" t="str">
        <f>IFERROR(__xludf.DUMMYFUNCTION("""COMPUTED_VALUE"""),"FGM")</f>
        <v>FGM</v>
      </c>
      <c r="I1404" s="9" t="str">
        <f>IFERROR(__xludf.DUMMYFUNCTION("""COMPUTED_VALUE"""),"Tel")</f>
        <v>Tel</v>
      </c>
      <c r="J1404" s="9" t="str">
        <f>IFERROR(__xludf.DUMMYFUNCTION("""COMPUTED_VALUE"""),"Cx")</f>
        <v>Cx</v>
      </c>
      <c r="K1404" s="9" t="str">
        <f>IFERROR(__xludf.DUMMYFUNCTION("""COMPUTED_VALUE"""),"NCx")</f>
        <v>NCx</v>
      </c>
      <c r="L1404" s="9" t="str">
        <f>IFERROR(__xludf.DUMMYFUNCTION("""COMPUTED_VALUE"""),"Ocx")</f>
        <v>Ocx</v>
      </c>
      <c r="M1404" s="9" t="str">
        <f>IFERROR(__xludf.DUMMYFUNCTION("""COMPUTED_VALUE"""),"ESOC")</f>
        <v>ESOC</v>
      </c>
      <c r="N1404" s="9" t="str">
        <f>IFERROR(__xludf.DUMMYFUNCTION("""COMPUTED_VALUE"""),"PSC")</f>
        <v>PSC</v>
      </c>
      <c r="O1404" s="9" t="str">
        <f>IFERROR(__xludf.DUMMYFUNCTION("""COMPUTED_VALUE"""),"V6A/PO")</f>
        <v>V6A/PO</v>
      </c>
      <c r="P1404" s="9" t="str">
        <f>IFERROR(__xludf.DUMMYFUNCTION("""COMPUTED_VALUE"""),"V6A-2")</f>
        <v>V6A-2</v>
      </c>
      <c r="Q1404" s="9"/>
      <c r="R1404" s="9"/>
      <c r="S1404" s="42"/>
      <c r="T1404" s="42"/>
      <c r="U1404" s="42"/>
      <c r="V1404" s="42"/>
      <c r="W1404" s="42"/>
      <c r="X1404" s="42"/>
      <c r="Y1404" s="42"/>
      <c r="Z1404" s="42"/>
      <c r="AA1404" s="42"/>
      <c r="AB1404" s="42" t="str">
        <f>IFERROR(__xludf.DUMMYFUNCTION("""COMPUTED_VALUE"""),"allen institute")</f>
        <v>allen institute</v>
      </c>
      <c r="AC1404" s="42" t="str">
        <f>IFERROR(__xludf.DUMMYFUNCTION("""COMPUTED_VALUE"""),"DHBA")</f>
        <v>DHBA</v>
      </c>
      <c r="AD1404" s="42"/>
      <c r="AE1404" s="42"/>
      <c r="AF1404" s="9"/>
      <c r="AG1404" s="9"/>
      <c r="AH1404" s="42"/>
      <c r="AI1404" s="42"/>
      <c r="AJ1404" s="42"/>
      <c r="AK1404" s="42"/>
      <c r="AL1404" s="42"/>
      <c r="AM1404" s="42"/>
      <c r="AN1404" s="42"/>
      <c r="AO1404" s="63" t="str">
        <f>IFERROR(__xludf.DUMMYFUNCTION("IF(ISBLANK(A1404),,IF(ISBLANK(S1404), A1404&amp;"";"", TEXTJOIN(CHAR(10), TRUE, A1404&amp;"";"", ARRAYFORMULA(VLOOKUP(SPLIT(S1404, "";"" &amp; CHAR(10)), $A:$AO, 41, FALSE)))))"),"V6A-2;")</f>
        <v>V6A-2;</v>
      </c>
      <c r="AP1404" s="89"/>
    </row>
    <row r="1405">
      <c r="A1405" s="151" t="str">
        <f>IFERROR(__xludf.DUMMYFUNCTION("""COMPUTED_VALUE"""),"V6A-3")</f>
        <v>V6A-3</v>
      </c>
      <c r="B1405" s="42" t="str">
        <f>IFERROR(__xludf.DUMMYFUNCTION("""COMPUTED_VALUE"""),"DHBA")</f>
        <v>DHBA</v>
      </c>
      <c r="C1405" s="42" t="str">
        <f>IFERROR(__xludf.DUMMYFUNCTION("""COMPUTED_VALUE"""),"layer III of area V6A")</f>
        <v>layer III of area V6A</v>
      </c>
      <c r="D1405" s="42">
        <f>IFERROR(__xludf.DUMMYFUNCTION("""COMPUTED_VALUE"""),1332.0)</f>
        <v>1332</v>
      </c>
      <c r="E1405" s="39" t="str">
        <f>IFERROR(__xludf.DUMMYFUNCTION("""COMPUTED_VALUE"""),"layer III of area V6A")</f>
        <v>layer III of area V6A</v>
      </c>
      <c r="F1405" s="9" t="str">
        <f>IFERROR(__xludf.DUMMYFUNCTION("""COMPUTED_VALUE"""),"Br")</f>
        <v>Br</v>
      </c>
      <c r="G1405" s="9" t="str">
        <f>IFERROR(__xludf.DUMMYFUNCTION("""COMPUTED_VALUE"""),"F")</f>
        <v>F</v>
      </c>
      <c r="H1405" s="9" t="str">
        <f>IFERROR(__xludf.DUMMYFUNCTION("""COMPUTED_VALUE"""),"FGM")</f>
        <v>FGM</v>
      </c>
      <c r="I1405" s="9" t="str">
        <f>IFERROR(__xludf.DUMMYFUNCTION("""COMPUTED_VALUE"""),"Tel")</f>
        <v>Tel</v>
      </c>
      <c r="J1405" s="9" t="str">
        <f>IFERROR(__xludf.DUMMYFUNCTION("""COMPUTED_VALUE"""),"Cx")</f>
        <v>Cx</v>
      </c>
      <c r="K1405" s="9" t="str">
        <f>IFERROR(__xludf.DUMMYFUNCTION("""COMPUTED_VALUE"""),"NCx")</f>
        <v>NCx</v>
      </c>
      <c r="L1405" s="9" t="str">
        <f>IFERROR(__xludf.DUMMYFUNCTION("""COMPUTED_VALUE"""),"Ocx")</f>
        <v>Ocx</v>
      </c>
      <c r="M1405" s="9" t="str">
        <f>IFERROR(__xludf.DUMMYFUNCTION("""COMPUTED_VALUE"""),"ESOC")</f>
        <v>ESOC</v>
      </c>
      <c r="N1405" s="9" t="str">
        <f>IFERROR(__xludf.DUMMYFUNCTION("""COMPUTED_VALUE"""),"PSC")</f>
        <v>PSC</v>
      </c>
      <c r="O1405" s="9" t="str">
        <f>IFERROR(__xludf.DUMMYFUNCTION("""COMPUTED_VALUE"""),"V6A/PO")</f>
        <v>V6A/PO</v>
      </c>
      <c r="P1405" s="9" t="str">
        <f>IFERROR(__xludf.DUMMYFUNCTION("""COMPUTED_VALUE"""),"V6A-3")</f>
        <v>V6A-3</v>
      </c>
      <c r="Q1405" s="9"/>
      <c r="R1405" s="9"/>
      <c r="S1405" s="42"/>
      <c r="T1405" s="42"/>
      <c r="U1405" s="42"/>
      <c r="V1405" s="42"/>
      <c r="W1405" s="42"/>
      <c r="X1405" s="42"/>
      <c r="Y1405" s="42"/>
      <c r="Z1405" s="42"/>
      <c r="AA1405" s="42"/>
      <c r="AB1405" s="42" t="str">
        <f>IFERROR(__xludf.DUMMYFUNCTION("""COMPUTED_VALUE"""),"allen institute")</f>
        <v>allen institute</v>
      </c>
      <c r="AC1405" s="42" t="str">
        <f>IFERROR(__xludf.DUMMYFUNCTION("""COMPUTED_VALUE"""),"DHBA")</f>
        <v>DHBA</v>
      </c>
      <c r="AD1405" s="42"/>
      <c r="AE1405" s="42"/>
      <c r="AF1405" s="9"/>
      <c r="AG1405" s="9"/>
      <c r="AH1405" s="42"/>
      <c r="AI1405" s="42"/>
      <c r="AJ1405" s="42"/>
      <c r="AK1405" s="42"/>
      <c r="AL1405" s="42"/>
      <c r="AM1405" s="42"/>
      <c r="AN1405" s="42"/>
      <c r="AO1405" s="63" t="str">
        <f>IFERROR(__xludf.DUMMYFUNCTION("IF(ISBLANK(A1405),,IF(ISBLANK(S1405), A1405&amp;"";"", TEXTJOIN(CHAR(10), TRUE, A1405&amp;"";"", ARRAYFORMULA(VLOOKUP(SPLIT(S1405, "";"" &amp; CHAR(10)), $A:$AO, 41, FALSE)))))"),"V6A-3;")</f>
        <v>V6A-3;</v>
      </c>
      <c r="AP1405" s="89"/>
    </row>
    <row r="1406">
      <c r="A1406" s="151" t="str">
        <f>IFERROR(__xludf.DUMMYFUNCTION("""COMPUTED_VALUE"""),"V6A-4")</f>
        <v>V6A-4</v>
      </c>
      <c r="B1406" s="42" t="str">
        <f>IFERROR(__xludf.DUMMYFUNCTION("""COMPUTED_VALUE"""),"DHBA")</f>
        <v>DHBA</v>
      </c>
      <c r="C1406" s="42" t="str">
        <f>IFERROR(__xludf.DUMMYFUNCTION("""COMPUTED_VALUE"""),"layer IV of area V6A")</f>
        <v>layer IV of area V6A</v>
      </c>
      <c r="D1406" s="42">
        <f>IFERROR(__xludf.DUMMYFUNCTION("""COMPUTED_VALUE"""),1333.0)</f>
        <v>1333</v>
      </c>
      <c r="E1406" s="39" t="str">
        <f>IFERROR(__xludf.DUMMYFUNCTION("""COMPUTED_VALUE"""),"layer IV of area V6A")</f>
        <v>layer IV of area V6A</v>
      </c>
      <c r="F1406" s="9" t="str">
        <f>IFERROR(__xludf.DUMMYFUNCTION("""COMPUTED_VALUE"""),"Br")</f>
        <v>Br</v>
      </c>
      <c r="G1406" s="9" t="str">
        <f>IFERROR(__xludf.DUMMYFUNCTION("""COMPUTED_VALUE"""),"F")</f>
        <v>F</v>
      </c>
      <c r="H1406" s="9" t="str">
        <f>IFERROR(__xludf.DUMMYFUNCTION("""COMPUTED_VALUE"""),"FGM")</f>
        <v>FGM</v>
      </c>
      <c r="I1406" s="9" t="str">
        <f>IFERROR(__xludf.DUMMYFUNCTION("""COMPUTED_VALUE"""),"Tel")</f>
        <v>Tel</v>
      </c>
      <c r="J1406" s="9" t="str">
        <f>IFERROR(__xludf.DUMMYFUNCTION("""COMPUTED_VALUE"""),"Cx")</f>
        <v>Cx</v>
      </c>
      <c r="K1406" s="9" t="str">
        <f>IFERROR(__xludf.DUMMYFUNCTION("""COMPUTED_VALUE"""),"NCx")</f>
        <v>NCx</v>
      </c>
      <c r="L1406" s="9" t="str">
        <f>IFERROR(__xludf.DUMMYFUNCTION("""COMPUTED_VALUE"""),"Ocx")</f>
        <v>Ocx</v>
      </c>
      <c r="M1406" s="9" t="str">
        <f>IFERROR(__xludf.DUMMYFUNCTION("""COMPUTED_VALUE"""),"ESOC")</f>
        <v>ESOC</v>
      </c>
      <c r="N1406" s="9" t="str">
        <f>IFERROR(__xludf.DUMMYFUNCTION("""COMPUTED_VALUE"""),"PSC")</f>
        <v>PSC</v>
      </c>
      <c r="O1406" s="9" t="str">
        <f>IFERROR(__xludf.DUMMYFUNCTION("""COMPUTED_VALUE"""),"V6A/PO")</f>
        <v>V6A/PO</v>
      </c>
      <c r="P1406" s="9" t="str">
        <f>IFERROR(__xludf.DUMMYFUNCTION("""COMPUTED_VALUE"""),"V6A-4")</f>
        <v>V6A-4</v>
      </c>
      <c r="Q1406" s="9"/>
      <c r="R1406" s="9"/>
      <c r="S1406" s="42"/>
      <c r="T1406" s="42"/>
      <c r="U1406" s="42"/>
      <c r="V1406" s="42"/>
      <c r="W1406" s="42"/>
      <c r="X1406" s="42"/>
      <c r="Y1406" s="42"/>
      <c r="Z1406" s="42"/>
      <c r="AA1406" s="42"/>
      <c r="AB1406" s="42" t="str">
        <f>IFERROR(__xludf.DUMMYFUNCTION("""COMPUTED_VALUE"""),"allen institute")</f>
        <v>allen institute</v>
      </c>
      <c r="AC1406" s="42" t="str">
        <f>IFERROR(__xludf.DUMMYFUNCTION("""COMPUTED_VALUE"""),"DHBA")</f>
        <v>DHBA</v>
      </c>
      <c r="AD1406" s="42"/>
      <c r="AE1406" s="42"/>
      <c r="AF1406" s="9"/>
      <c r="AG1406" s="9"/>
      <c r="AH1406" s="42"/>
      <c r="AI1406" s="42"/>
      <c r="AJ1406" s="42"/>
      <c r="AK1406" s="42"/>
      <c r="AL1406" s="42"/>
      <c r="AM1406" s="42"/>
      <c r="AN1406" s="42"/>
      <c r="AO1406" s="63" t="str">
        <f>IFERROR(__xludf.DUMMYFUNCTION("IF(ISBLANK(A1406),,IF(ISBLANK(S1406), A1406&amp;"";"", TEXTJOIN(CHAR(10), TRUE, A1406&amp;"";"", ARRAYFORMULA(VLOOKUP(SPLIT(S1406, "";"" &amp; CHAR(10)), $A:$AO, 41, FALSE)))))"),"V6A-4;")</f>
        <v>V6A-4;</v>
      </c>
      <c r="AP1406" s="89"/>
    </row>
    <row r="1407">
      <c r="A1407" s="151" t="str">
        <f>IFERROR(__xludf.DUMMYFUNCTION("""COMPUTED_VALUE"""),"V6A-5")</f>
        <v>V6A-5</v>
      </c>
      <c r="B1407" s="42" t="str">
        <f>IFERROR(__xludf.DUMMYFUNCTION("""COMPUTED_VALUE"""),"DHBA")</f>
        <v>DHBA</v>
      </c>
      <c r="C1407" s="42" t="str">
        <f>IFERROR(__xludf.DUMMYFUNCTION("""COMPUTED_VALUE"""),"layer V of area V6A")</f>
        <v>layer V of area V6A</v>
      </c>
      <c r="D1407" s="42">
        <f>IFERROR(__xludf.DUMMYFUNCTION("""COMPUTED_VALUE"""),1334.0)</f>
        <v>1334</v>
      </c>
      <c r="E1407" s="39" t="str">
        <f>IFERROR(__xludf.DUMMYFUNCTION("""COMPUTED_VALUE"""),"layer V of area V6A")</f>
        <v>layer V of area V6A</v>
      </c>
      <c r="F1407" s="9" t="str">
        <f>IFERROR(__xludf.DUMMYFUNCTION("""COMPUTED_VALUE"""),"Br")</f>
        <v>Br</v>
      </c>
      <c r="G1407" s="9" t="str">
        <f>IFERROR(__xludf.DUMMYFUNCTION("""COMPUTED_VALUE"""),"F")</f>
        <v>F</v>
      </c>
      <c r="H1407" s="9" t="str">
        <f>IFERROR(__xludf.DUMMYFUNCTION("""COMPUTED_VALUE"""),"FGM")</f>
        <v>FGM</v>
      </c>
      <c r="I1407" s="9" t="str">
        <f>IFERROR(__xludf.DUMMYFUNCTION("""COMPUTED_VALUE"""),"Tel")</f>
        <v>Tel</v>
      </c>
      <c r="J1407" s="9" t="str">
        <f>IFERROR(__xludf.DUMMYFUNCTION("""COMPUTED_VALUE"""),"Cx")</f>
        <v>Cx</v>
      </c>
      <c r="K1407" s="9" t="str">
        <f>IFERROR(__xludf.DUMMYFUNCTION("""COMPUTED_VALUE"""),"NCx")</f>
        <v>NCx</v>
      </c>
      <c r="L1407" s="9" t="str">
        <f>IFERROR(__xludf.DUMMYFUNCTION("""COMPUTED_VALUE"""),"Ocx")</f>
        <v>Ocx</v>
      </c>
      <c r="M1407" s="9" t="str">
        <f>IFERROR(__xludf.DUMMYFUNCTION("""COMPUTED_VALUE"""),"ESOC")</f>
        <v>ESOC</v>
      </c>
      <c r="N1407" s="9" t="str">
        <f>IFERROR(__xludf.DUMMYFUNCTION("""COMPUTED_VALUE"""),"PSC")</f>
        <v>PSC</v>
      </c>
      <c r="O1407" s="9" t="str">
        <f>IFERROR(__xludf.DUMMYFUNCTION("""COMPUTED_VALUE"""),"V6A/PO")</f>
        <v>V6A/PO</v>
      </c>
      <c r="P1407" s="9" t="str">
        <f>IFERROR(__xludf.DUMMYFUNCTION("""COMPUTED_VALUE"""),"V6A-5")</f>
        <v>V6A-5</v>
      </c>
      <c r="Q1407" s="9"/>
      <c r="R1407" s="9"/>
      <c r="S1407" s="42"/>
      <c r="T1407" s="42"/>
      <c r="U1407" s="42"/>
      <c r="V1407" s="42"/>
      <c r="W1407" s="42"/>
      <c r="X1407" s="42"/>
      <c r="Y1407" s="42"/>
      <c r="Z1407" s="42"/>
      <c r="AA1407" s="42"/>
      <c r="AB1407" s="42" t="str">
        <f>IFERROR(__xludf.DUMMYFUNCTION("""COMPUTED_VALUE"""),"allen institute")</f>
        <v>allen institute</v>
      </c>
      <c r="AC1407" s="42" t="str">
        <f>IFERROR(__xludf.DUMMYFUNCTION("""COMPUTED_VALUE"""),"DHBA")</f>
        <v>DHBA</v>
      </c>
      <c r="AD1407" s="42"/>
      <c r="AE1407" s="42"/>
      <c r="AF1407" s="9"/>
      <c r="AG1407" s="9"/>
      <c r="AH1407" s="42"/>
      <c r="AI1407" s="42"/>
      <c r="AJ1407" s="42"/>
      <c r="AK1407" s="42"/>
      <c r="AL1407" s="42"/>
      <c r="AM1407" s="42"/>
      <c r="AN1407" s="42"/>
      <c r="AO1407" s="63" t="str">
        <f>IFERROR(__xludf.DUMMYFUNCTION("IF(ISBLANK(A1407),,IF(ISBLANK(S1407), A1407&amp;"";"", TEXTJOIN(CHAR(10), TRUE, A1407&amp;"";"", ARRAYFORMULA(VLOOKUP(SPLIT(S1407, "";"" &amp; CHAR(10)), $A:$AO, 41, FALSE)))))"),"V6A-5;")</f>
        <v>V6A-5;</v>
      </c>
      <c r="AP1407" s="89"/>
    </row>
    <row r="1408">
      <c r="A1408" s="151" t="str">
        <f>IFERROR(__xludf.DUMMYFUNCTION("""COMPUTED_VALUE"""),"V6A-6")</f>
        <v>V6A-6</v>
      </c>
      <c r="B1408" s="42" t="str">
        <f>IFERROR(__xludf.DUMMYFUNCTION("""COMPUTED_VALUE"""),"DHBA")</f>
        <v>DHBA</v>
      </c>
      <c r="C1408" s="42" t="str">
        <f>IFERROR(__xludf.DUMMYFUNCTION("""COMPUTED_VALUE"""),"layer VI of area V6A")</f>
        <v>layer VI of area V6A</v>
      </c>
      <c r="D1408" s="42">
        <f>IFERROR(__xludf.DUMMYFUNCTION("""COMPUTED_VALUE"""),1335.0)</f>
        <v>1335</v>
      </c>
      <c r="E1408" s="39" t="str">
        <f>IFERROR(__xludf.DUMMYFUNCTION("""COMPUTED_VALUE"""),"layer VI of area V6A")</f>
        <v>layer VI of area V6A</v>
      </c>
      <c r="F1408" s="9" t="str">
        <f>IFERROR(__xludf.DUMMYFUNCTION("""COMPUTED_VALUE"""),"Br")</f>
        <v>Br</v>
      </c>
      <c r="G1408" s="9" t="str">
        <f>IFERROR(__xludf.DUMMYFUNCTION("""COMPUTED_VALUE"""),"F")</f>
        <v>F</v>
      </c>
      <c r="H1408" s="9" t="str">
        <f>IFERROR(__xludf.DUMMYFUNCTION("""COMPUTED_VALUE"""),"FGM")</f>
        <v>FGM</v>
      </c>
      <c r="I1408" s="9" t="str">
        <f>IFERROR(__xludf.DUMMYFUNCTION("""COMPUTED_VALUE"""),"Tel")</f>
        <v>Tel</v>
      </c>
      <c r="J1408" s="9" t="str">
        <f>IFERROR(__xludf.DUMMYFUNCTION("""COMPUTED_VALUE"""),"Cx")</f>
        <v>Cx</v>
      </c>
      <c r="K1408" s="9" t="str">
        <f>IFERROR(__xludf.DUMMYFUNCTION("""COMPUTED_VALUE"""),"NCx")</f>
        <v>NCx</v>
      </c>
      <c r="L1408" s="9" t="str">
        <f>IFERROR(__xludf.DUMMYFUNCTION("""COMPUTED_VALUE"""),"Ocx")</f>
        <v>Ocx</v>
      </c>
      <c r="M1408" s="9" t="str">
        <f>IFERROR(__xludf.DUMMYFUNCTION("""COMPUTED_VALUE"""),"ESOC")</f>
        <v>ESOC</v>
      </c>
      <c r="N1408" s="9" t="str">
        <f>IFERROR(__xludf.DUMMYFUNCTION("""COMPUTED_VALUE"""),"PSC")</f>
        <v>PSC</v>
      </c>
      <c r="O1408" s="9" t="str">
        <f>IFERROR(__xludf.DUMMYFUNCTION("""COMPUTED_VALUE"""),"V6A/PO")</f>
        <v>V6A/PO</v>
      </c>
      <c r="P1408" s="9" t="str">
        <f>IFERROR(__xludf.DUMMYFUNCTION("""COMPUTED_VALUE"""),"V6A-6")</f>
        <v>V6A-6</v>
      </c>
      <c r="Q1408" s="9"/>
      <c r="R1408" s="9"/>
      <c r="S1408" s="42"/>
      <c r="T1408" s="42"/>
      <c r="U1408" s="42"/>
      <c r="V1408" s="42"/>
      <c r="W1408" s="42"/>
      <c r="X1408" s="42"/>
      <c r="Y1408" s="42"/>
      <c r="Z1408" s="42"/>
      <c r="AA1408" s="42"/>
      <c r="AB1408" s="42" t="str">
        <f>IFERROR(__xludf.DUMMYFUNCTION("""COMPUTED_VALUE"""),"allen institute")</f>
        <v>allen institute</v>
      </c>
      <c r="AC1408" s="42" t="str">
        <f>IFERROR(__xludf.DUMMYFUNCTION("""COMPUTED_VALUE"""),"DHBA")</f>
        <v>DHBA</v>
      </c>
      <c r="AD1408" s="42"/>
      <c r="AE1408" s="42"/>
      <c r="AF1408" s="9"/>
      <c r="AG1408" s="9"/>
      <c r="AH1408" s="42"/>
      <c r="AI1408" s="42"/>
      <c r="AJ1408" s="42"/>
      <c r="AK1408" s="42"/>
      <c r="AL1408" s="42"/>
      <c r="AM1408" s="42"/>
      <c r="AN1408" s="42"/>
      <c r="AO1408" s="63" t="str">
        <f>IFERROR(__xludf.DUMMYFUNCTION("IF(ISBLANK(A1408),,IF(ISBLANK(S1408), A1408&amp;"";"", TEXTJOIN(CHAR(10), TRUE, A1408&amp;"";"", ARRAYFORMULA(VLOOKUP(SPLIT(S1408, "";"" &amp; CHAR(10)), $A:$AO, 41, FALSE)))))"),"V6A-6;")</f>
        <v>V6A-6;</v>
      </c>
      <c r="AP1408" s="89"/>
    </row>
    <row r="1409">
      <c r="A1409" s="151" t="str">
        <f>IFERROR(__xludf.DUMMYFUNCTION("""COMPUTED_VALUE"""),"V7")</f>
        <v>V7</v>
      </c>
      <c r="B1409" s="42" t="str">
        <f>IFERROR(__xludf.DUMMYFUNCTION("""COMPUTED_VALUE"""),"DHBA")</f>
        <v>DHBA</v>
      </c>
      <c r="C1409" s="42" t="str">
        <f>IFERROR(__xludf.DUMMYFUNCTION("""COMPUTED_VALUE"""),"area V7 of peristriate cortex")</f>
        <v>area V7 of peristriate cortex</v>
      </c>
      <c r="D1409" s="42">
        <f>IFERROR(__xludf.DUMMYFUNCTION("""COMPUTED_VALUE"""),1336.0)</f>
        <v>1336</v>
      </c>
      <c r="E1409" s="39" t="str">
        <f>IFERROR(__xludf.DUMMYFUNCTION("""COMPUTED_VALUE"""),"area V7 of peristriate cortex")</f>
        <v>area V7 of peristriate cortex</v>
      </c>
      <c r="F1409" s="9" t="str">
        <f>IFERROR(__xludf.DUMMYFUNCTION("""COMPUTED_VALUE"""),"Br")</f>
        <v>Br</v>
      </c>
      <c r="G1409" s="9" t="str">
        <f>IFERROR(__xludf.DUMMYFUNCTION("""COMPUTED_VALUE"""),"F")</f>
        <v>F</v>
      </c>
      <c r="H1409" s="9" t="str">
        <f>IFERROR(__xludf.DUMMYFUNCTION("""COMPUTED_VALUE"""),"FGM")</f>
        <v>FGM</v>
      </c>
      <c r="I1409" s="9" t="str">
        <f>IFERROR(__xludf.DUMMYFUNCTION("""COMPUTED_VALUE"""),"Tel")</f>
        <v>Tel</v>
      </c>
      <c r="J1409" s="9" t="str">
        <f>IFERROR(__xludf.DUMMYFUNCTION("""COMPUTED_VALUE"""),"Cx")</f>
        <v>Cx</v>
      </c>
      <c r="K1409" s="9" t="str">
        <f>IFERROR(__xludf.DUMMYFUNCTION("""COMPUTED_VALUE"""),"NCx")</f>
        <v>NCx</v>
      </c>
      <c r="L1409" s="9" t="str">
        <f>IFERROR(__xludf.DUMMYFUNCTION("""COMPUTED_VALUE"""),"Ocx")</f>
        <v>Ocx</v>
      </c>
      <c r="M1409" s="9" t="str">
        <f>IFERROR(__xludf.DUMMYFUNCTION("""COMPUTED_VALUE"""),"ESOC")</f>
        <v>ESOC</v>
      </c>
      <c r="N1409" s="9" t="str">
        <f>IFERROR(__xludf.DUMMYFUNCTION("""COMPUTED_VALUE"""),"PSC")</f>
        <v>PSC</v>
      </c>
      <c r="O1409" s="9" t="str">
        <f>IFERROR(__xludf.DUMMYFUNCTION("""COMPUTED_VALUE"""),"V7")</f>
        <v>V7</v>
      </c>
      <c r="P1409" s="9"/>
      <c r="Q1409" s="9"/>
      <c r="R1409" s="9"/>
      <c r="S1409" s="42" t="str">
        <f>IFERROR(__xludf.DUMMYFUNCTION("""COMPUTED_VALUE"""),"V7_1;
V7_2;
V7_3;
V7_4;
V7_5;
V7_6")</f>
        <v>V7_1;
V7_2;
V7_3;
V7_4;
V7_5;
V7_6</v>
      </c>
      <c r="T1409" s="42"/>
      <c r="U1409" s="42" t="b">
        <f>IFERROR(__xludf.DUMMYFUNCTION("""COMPUTED_VALUE"""),FALSE)</f>
        <v>0</v>
      </c>
      <c r="V1409" s="42"/>
      <c r="W1409" s="42"/>
      <c r="X1409" s="42"/>
      <c r="Y1409" s="42"/>
      <c r="Z1409" s="42"/>
      <c r="AA1409" s="42"/>
      <c r="AB1409" s="42" t="str">
        <f>IFERROR(__xludf.DUMMYFUNCTION("""COMPUTED_VALUE"""),"allen institute")</f>
        <v>allen institute</v>
      </c>
      <c r="AC1409" s="42" t="str">
        <f>IFERROR(__xludf.DUMMYFUNCTION("""COMPUTED_VALUE"""),"DHBA")</f>
        <v>DHBA</v>
      </c>
      <c r="AD1409" s="42"/>
      <c r="AE1409" s="42"/>
      <c r="AF1409" s="9"/>
      <c r="AG1409" s="9"/>
      <c r="AH1409" s="42"/>
      <c r="AI1409" s="42"/>
      <c r="AJ1409" s="42"/>
      <c r="AK1409" s="42"/>
      <c r="AL1409" s="42"/>
      <c r="AM1409" s="42"/>
      <c r="AN1409" s="42"/>
      <c r="AO1409" s="63" t="str">
        <f>IFERROR(__xludf.DUMMYFUNCTION("IF(ISBLANK(A1409),,IF(ISBLANK(S1409), A1409&amp;"";"", TEXTJOIN(CHAR(10), TRUE, A1409&amp;"";"", ARRAYFORMULA(VLOOKUP(SPLIT(S1409, "";"" &amp; CHAR(10)), $A:$AO, 41, FALSE)))))"),"#N/A")</f>
        <v>#N/A</v>
      </c>
      <c r="AP1409" s="89"/>
    </row>
    <row r="1410">
      <c r="A1410" s="151" t="str">
        <f>IFERROR(__xludf.DUMMYFUNCTION("""COMPUTED_VALUE"""),"V7-1")</f>
        <v>V7-1</v>
      </c>
      <c r="B1410" s="42" t="str">
        <f>IFERROR(__xludf.DUMMYFUNCTION("""COMPUTED_VALUE"""),"DHBA")</f>
        <v>DHBA</v>
      </c>
      <c r="C1410" s="42" t="str">
        <f>IFERROR(__xludf.DUMMYFUNCTION("""COMPUTED_VALUE"""),"layer I of area V7")</f>
        <v>layer I of area V7</v>
      </c>
      <c r="D1410" s="42">
        <f>IFERROR(__xludf.DUMMYFUNCTION("""COMPUTED_VALUE"""),1337.0)</f>
        <v>1337</v>
      </c>
      <c r="E1410" s="39" t="str">
        <f>IFERROR(__xludf.DUMMYFUNCTION("""COMPUTED_VALUE"""),"layer I of area V7")</f>
        <v>layer I of area V7</v>
      </c>
      <c r="F1410" s="9" t="str">
        <f>IFERROR(__xludf.DUMMYFUNCTION("""COMPUTED_VALUE"""),"Br")</f>
        <v>Br</v>
      </c>
      <c r="G1410" s="9" t="str">
        <f>IFERROR(__xludf.DUMMYFUNCTION("""COMPUTED_VALUE"""),"F")</f>
        <v>F</v>
      </c>
      <c r="H1410" s="9" t="str">
        <f>IFERROR(__xludf.DUMMYFUNCTION("""COMPUTED_VALUE"""),"FGM")</f>
        <v>FGM</v>
      </c>
      <c r="I1410" s="9" t="str">
        <f>IFERROR(__xludf.DUMMYFUNCTION("""COMPUTED_VALUE"""),"Tel")</f>
        <v>Tel</v>
      </c>
      <c r="J1410" s="9" t="str">
        <f>IFERROR(__xludf.DUMMYFUNCTION("""COMPUTED_VALUE"""),"Cx")</f>
        <v>Cx</v>
      </c>
      <c r="K1410" s="9" t="str">
        <f>IFERROR(__xludf.DUMMYFUNCTION("""COMPUTED_VALUE"""),"NCx")</f>
        <v>NCx</v>
      </c>
      <c r="L1410" s="9" t="str">
        <f>IFERROR(__xludf.DUMMYFUNCTION("""COMPUTED_VALUE"""),"Ocx")</f>
        <v>Ocx</v>
      </c>
      <c r="M1410" s="9" t="str">
        <f>IFERROR(__xludf.DUMMYFUNCTION("""COMPUTED_VALUE"""),"ESOC")</f>
        <v>ESOC</v>
      </c>
      <c r="N1410" s="9" t="str">
        <f>IFERROR(__xludf.DUMMYFUNCTION("""COMPUTED_VALUE"""),"PSC")</f>
        <v>PSC</v>
      </c>
      <c r="O1410" s="9" t="str">
        <f>IFERROR(__xludf.DUMMYFUNCTION("""COMPUTED_VALUE"""),"V7")</f>
        <v>V7</v>
      </c>
      <c r="P1410" s="9" t="str">
        <f>IFERROR(__xludf.DUMMYFUNCTION("""COMPUTED_VALUE"""),"V7-1")</f>
        <v>V7-1</v>
      </c>
      <c r="Q1410" s="9"/>
      <c r="R1410" s="9"/>
      <c r="S1410" s="42"/>
      <c r="T1410" s="42"/>
      <c r="U1410" s="42"/>
      <c r="V1410" s="42"/>
      <c r="W1410" s="42"/>
      <c r="X1410" s="42"/>
      <c r="Y1410" s="42"/>
      <c r="Z1410" s="42"/>
      <c r="AA1410" s="42"/>
      <c r="AB1410" s="42" t="str">
        <f>IFERROR(__xludf.DUMMYFUNCTION("""COMPUTED_VALUE"""),"allen institute")</f>
        <v>allen institute</v>
      </c>
      <c r="AC1410" s="42" t="str">
        <f>IFERROR(__xludf.DUMMYFUNCTION("""COMPUTED_VALUE"""),"DHBA")</f>
        <v>DHBA</v>
      </c>
      <c r="AD1410" s="42"/>
      <c r="AE1410" s="42"/>
      <c r="AF1410" s="9"/>
      <c r="AG1410" s="9"/>
      <c r="AH1410" s="42"/>
      <c r="AI1410" s="42"/>
      <c r="AJ1410" s="42"/>
      <c r="AK1410" s="42"/>
      <c r="AL1410" s="42"/>
      <c r="AM1410" s="42"/>
      <c r="AN1410" s="42"/>
      <c r="AO1410" s="63" t="str">
        <f>IFERROR(__xludf.DUMMYFUNCTION("IF(ISBLANK(A1410),,IF(ISBLANK(S1410), A1410&amp;"";"", TEXTJOIN(CHAR(10), TRUE, A1410&amp;"";"", ARRAYFORMULA(VLOOKUP(SPLIT(S1410, "";"" &amp; CHAR(10)), $A:$AO, 41, FALSE)))))"),"V7-1;")</f>
        <v>V7-1;</v>
      </c>
      <c r="AP1410" s="89"/>
    </row>
    <row r="1411">
      <c r="A1411" s="151" t="str">
        <f>IFERROR(__xludf.DUMMYFUNCTION("""COMPUTED_VALUE"""),"V7-2")</f>
        <v>V7-2</v>
      </c>
      <c r="B1411" s="42" t="str">
        <f>IFERROR(__xludf.DUMMYFUNCTION("""COMPUTED_VALUE"""),"DHBA")</f>
        <v>DHBA</v>
      </c>
      <c r="C1411" s="42" t="str">
        <f>IFERROR(__xludf.DUMMYFUNCTION("""COMPUTED_VALUE"""),"layer II of area V7")</f>
        <v>layer II of area V7</v>
      </c>
      <c r="D1411" s="42">
        <f>IFERROR(__xludf.DUMMYFUNCTION("""COMPUTED_VALUE"""),1338.0)</f>
        <v>1338</v>
      </c>
      <c r="E1411" s="39" t="str">
        <f>IFERROR(__xludf.DUMMYFUNCTION("""COMPUTED_VALUE"""),"layer II of area V7")</f>
        <v>layer II of area V7</v>
      </c>
      <c r="F1411" s="9" t="str">
        <f>IFERROR(__xludf.DUMMYFUNCTION("""COMPUTED_VALUE"""),"Br")</f>
        <v>Br</v>
      </c>
      <c r="G1411" s="9" t="str">
        <f>IFERROR(__xludf.DUMMYFUNCTION("""COMPUTED_VALUE"""),"F")</f>
        <v>F</v>
      </c>
      <c r="H1411" s="9" t="str">
        <f>IFERROR(__xludf.DUMMYFUNCTION("""COMPUTED_VALUE"""),"FGM")</f>
        <v>FGM</v>
      </c>
      <c r="I1411" s="9" t="str">
        <f>IFERROR(__xludf.DUMMYFUNCTION("""COMPUTED_VALUE"""),"Tel")</f>
        <v>Tel</v>
      </c>
      <c r="J1411" s="9" t="str">
        <f>IFERROR(__xludf.DUMMYFUNCTION("""COMPUTED_VALUE"""),"Cx")</f>
        <v>Cx</v>
      </c>
      <c r="K1411" s="9" t="str">
        <f>IFERROR(__xludf.DUMMYFUNCTION("""COMPUTED_VALUE"""),"NCx")</f>
        <v>NCx</v>
      </c>
      <c r="L1411" s="9" t="str">
        <f>IFERROR(__xludf.DUMMYFUNCTION("""COMPUTED_VALUE"""),"Ocx")</f>
        <v>Ocx</v>
      </c>
      <c r="M1411" s="9" t="str">
        <f>IFERROR(__xludf.DUMMYFUNCTION("""COMPUTED_VALUE"""),"ESOC")</f>
        <v>ESOC</v>
      </c>
      <c r="N1411" s="9" t="str">
        <f>IFERROR(__xludf.DUMMYFUNCTION("""COMPUTED_VALUE"""),"PSC")</f>
        <v>PSC</v>
      </c>
      <c r="O1411" s="9" t="str">
        <f>IFERROR(__xludf.DUMMYFUNCTION("""COMPUTED_VALUE"""),"V7")</f>
        <v>V7</v>
      </c>
      <c r="P1411" s="9" t="str">
        <f>IFERROR(__xludf.DUMMYFUNCTION("""COMPUTED_VALUE"""),"V7-2")</f>
        <v>V7-2</v>
      </c>
      <c r="Q1411" s="9"/>
      <c r="R1411" s="9"/>
      <c r="S1411" s="42"/>
      <c r="T1411" s="42"/>
      <c r="U1411" s="42"/>
      <c r="V1411" s="42"/>
      <c r="W1411" s="42"/>
      <c r="X1411" s="42"/>
      <c r="Y1411" s="42"/>
      <c r="Z1411" s="42"/>
      <c r="AA1411" s="42"/>
      <c r="AB1411" s="42" t="str">
        <f>IFERROR(__xludf.DUMMYFUNCTION("""COMPUTED_VALUE"""),"allen institute")</f>
        <v>allen institute</v>
      </c>
      <c r="AC1411" s="42" t="str">
        <f>IFERROR(__xludf.DUMMYFUNCTION("""COMPUTED_VALUE"""),"DHBA")</f>
        <v>DHBA</v>
      </c>
      <c r="AD1411" s="42"/>
      <c r="AE1411" s="42"/>
      <c r="AF1411" s="9"/>
      <c r="AG1411" s="9"/>
      <c r="AH1411" s="42"/>
      <c r="AI1411" s="42"/>
      <c r="AJ1411" s="42"/>
      <c r="AK1411" s="42"/>
      <c r="AL1411" s="42"/>
      <c r="AM1411" s="42"/>
      <c r="AN1411" s="42"/>
      <c r="AO1411" s="63" t="str">
        <f>IFERROR(__xludf.DUMMYFUNCTION("IF(ISBLANK(A1411),,IF(ISBLANK(S1411), A1411&amp;"";"", TEXTJOIN(CHAR(10), TRUE, A1411&amp;"";"", ARRAYFORMULA(VLOOKUP(SPLIT(S1411, "";"" &amp; CHAR(10)), $A:$AO, 41, FALSE)))))"),"V7-2;")</f>
        <v>V7-2;</v>
      </c>
      <c r="AP1411" s="89"/>
    </row>
    <row r="1412">
      <c r="A1412" s="151" t="str">
        <f>IFERROR(__xludf.DUMMYFUNCTION("""COMPUTED_VALUE"""),"V7-3")</f>
        <v>V7-3</v>
      </c>
      <c r="B1412" s="42" t="str">
        <f>IFERROR(__xludf.DUMMYFUNCTION("""COMPUTED_VALUE"""),"DHBA")</f>
        <v>DHBA</v>
      </c>
      <c r="C1412" s="42" t="str">
        <f>IFERROR(__xludf.DUMMYFUNCTION("""COMPUTED_VALUE"""),"layer III of area V7")</f>
        <v>layer III of area V7</v>
      </c>
      <c r="D1412" s="42">
        <f>IFERROR(__xludf.DUMMYFUNCTION("""COMPUTED_VALUE"""),1339.0)</f>
        <v>1339</v>
      </c>
      <c r="E1412" s="39" t="str">
        <f>IFERROR(__xludf.DUMMYFUNCTION("""COMPUTED_VALUE"""),"layer III of area V7")</f>
        <v>layer III of area V7</v>
      </c>
      <c r="F1412" s="9" t="str">
        <f>IFERROR(__xludf.DUMMYFUNCTION("""COMPUTED_VALUE"""),"Br")</f>
        <v>Br</v>
      </c>
      <c r="G1412" s="9" t="str">
        <f>IFERROR(__xludf.DUMMYFUNCTION("""COMPUTED_VALUE"""),"F")</f>
        <v>F</v>
      </c>
      <c r="H1412" s="9" t="str">
        <f>IFERROR(__xludf.DUMMYFUNCTION("""COMPUTED_VALUE"""),"FGM")</f>
        <v>FGM</v>
      </c>
      <c r="I1412" s="9" t="str">
        <f>IFERROR(__xludf.DUMMYFUNCTION("""COMPUTED_VALUE"""),"Tel")</f>
        <v>Tel</v>
      </c>
      <c r="J1412" s="9" t="str">
        <f>IFERROR(__xludf.DUMMYFUNCTION("""COMPUTED_VALUE"""),"Cx")</f>
        <v>Cx</v>
      </c>
      <c r="K1412" s="9" t="str">
        <f>IFERROR(__xludf.DUMMYFUNCTION("""COMPUTED_VALUE"""),"NCx")</f>
        <v>NCx</v>
      </c>
      <c r="L1412" s="9" t="str">
        <f>IFERROR(__xludf.DUMMYFUNCTION("""COMPUTED_VALUE"""),"Ocx")</f>
        <v>Ocx</v>
      </c>
      <c r="M1412" s="9" t="str">
        <f>IFERROR(__xludf.DUMMYFUNCTION("""COMPUTED_VALUE"""),"ESOC")</f>
        <v>ESOC</v>
      </c>
      <c r="N1412" s="9" t="str">
        <f>IFERROR(__xludf.DUMMYFUNCTION("""COMPUTED_VALUE"""),"PSC")</f>
        <v>PSC</v>
      </c>
      <c r="O1412" s="9" t="str">
        <f>IFERROR(__xludf.DUMMYFUNCTION("""COMPUTED_VALUE"""),"V7")</f>
        <v>V7</v>
      </c>
      <c r="P1412" s="9" t="str">
        <f>IFERROR(__xludf.DUMMYFUNCTION("""COMPUTED_VALUE"""),"V7-3")</f>
        <v>V7-3</v>
      </c>
      <c r="Q1412" s="9"/>
      <c r="R1412" s="9"/>
      <c r="S1412" s="42"/>
      <c r="T1412" s="42"/>
      <c r="U1412" s="42"/>
      <c r="V1412" s="42"/>
      <c r="W1412" s="42"/>
      <c r="X1412" s="42"/>
      <c r="Y1412" s="42"/>
      <c r="Z1412" s="42"/>
      <c r="AA1412" s="42"/>
      <c r="AB1412" s="42" t="str">
        <f>IFERROR(__xludf.DUMMYFUNCTION("""COMPUTED_VALUE"""),"allen institute")</f>
        <v>allen institute</v>
      </c>
      <c r="AC1412" s="42" t="str">
        <f>IFERROR(__xludf.DUMMYFUNCTION("""COMPUTED_VALUE"""),"DHBA")</f>
        <v>DHBA</v>
      </c>
      <c r="AD1412" s="42"/>
      <c r="AE1412" s="42"/>
      <c r="AF1412" s="9"/>
      <c r="AG1412" s="9"/>
      <c r="AH1412" s="42"/>
      <c r="AI1412" s="42"/>
      <c r="AJ1412" s="42"/>
      <c r="AK1412" s="42"/>
      <c r="AL1412" s="42"/>
      <c r="AM1412" s="42"/>
      <c r="AN1412" s="42"/>
      <c r="AO1412" s="63" t="str">
        <f>IFERROR(__xludf.DUMMYFUNCTION("IF(ISBLANK(A1412),,IF(ISBLANK(S1412), A1412&amp;"";"", TEXTJOIN(CHAR(10), TRUE, A1412&amp;"";"", ARRAYFORMULA(VLOOKUP(SPLIT(S1412, "";"" &amp; CHAR(10)), $A:$AO, 41, FALSE)))))"),"V7-3;")</f>
        <v>V7-3;</v>
      </c>
      <c r="AP1412" s="89"/>
    </row>
    <row r="1413">
      <c r="A1413" s="151" t="str">
        <f>IFERROR(__xludf.DUMMYFUNCTION("""COMPUTED_VALUE"""),"V7-4")</f>
        <v>V7-4</v>
      </c>
      <c r="B1413" s="42" t="str">
        <f>IFERROR(__xludf.DUMMYFUNCTION("""COMPUTED_VALUE"""),"DHBA")</f>
        <v>DHBA</v>
      </c>
      <c r="C1413" s="42" t="str">
        <f>IFERROR(__xludf.DUMMYFUNCTION("""COMPUTED_VALUE"""),"layer IV of area V7")</f>
        <v>layer IV of area V7</v>
      </c>
      <c r="D1413" s="42">
        <f>IFERROR(__xludf.DUMMYFUNCTION("""COMPUTED_VALUE"""),1340.0)</f>
        <v>1340</v>
      </c>
      <c r="E1413" s="39" t="str">
        <f>IFERROR(__xludf.DUMMYFUNCTION("""COMPUTED_VALUE"""),"layer IV of area V7")</f>
        <v>layer IV of area V7</v>
      </c>
      <c r="F1413" s="9" t="str">
        <f>IFERROR(__xludf.DUMMYFUNCTION("""COMPUTED_VALUE"""),"Br")</f>
        <v>Br</v>
      </c>
      <c r="G1413" s="9" t="str">
        <f>IFERROR(__xludf.DUMMYFUNCTION("""COMPUTED_VALUE"""),"F")</f>
        <v>F</v>
      </c>
      <c r="H1413" s="9" t="str">
        <f>IFERROR(__xludf.DUMMYFUNCTION("""COMPUTED_VALUE"""),"FGM")</f>
        <v>FGM</v>
      </c>
      <c r="I1413" s="9" t="str">
        <f>IFERROR(__xludf.DUMMYFUNCTION("""COMPUTED_VALUE"""),"Tel")</f>
        <v>Tel</v>
      </c>
      <c r="J1413" s="9" t="str">
        <f>IFERROR(__xludf.DUMMYFUNCTION("""COMPUTED_VALUE"""),"Cx")</f>
        <v>Cx</v>
      </c>
      <c r="K1413" s="9" t="str">
        <f>IFERROR(__xludf.DUMMYFUNCTION("""COMPUTED_VALUE"""),"NCx")</f>
        <v>NCx</v>
      </c>
      <c r="L1413" s="9" t="str">
        <f>IFERROR(__xludf.DUMMYFUNCTION("""COMPUTED_VALUE"""),"Ocx")</f>
        <v>Ocx</v>
      </c>
      <c r="M1413" s="9" t="str">
        <f>IFERROR(__xludf.DUMMYFUNCTION("""COMPUTED_VALUE"""),"ESOC")</f>
        <v>ESOC</v>
      </c>
      <c r="N1413" s="9" t="str">
        <f>IFERROR(__xludf.DUMMYFUNCTION("""COMPUTED_VALUE"""),"PSC")</f>
        <v>PSC</v>
      </c>
      <c r="O1413" s="9" t="str">
        <f>IFERROR(__xludf.DUMMYFUNCTION("""COMPUTED_VALUE"""),"V7")</f>
        <v>V7</v>
      </c>
      <c r="P1413" s="9" t="str">
        <f>IFERROR(__xludf.DUMMYFUNCTION("""COMPUTED_VALUE"""),"V7-4")</f>
        <v>V7-4</v>
      </c>
      <c r="Q1413" s="9"/>
      <c r="R1413" s="9"/>
      <c r="S1413" s="42"/>
      <c r="T1413" s="42"/>
      <c r="U1413" s="42"/>
      <c r="V1413" s="42"/>
      <c r="W1413" s="42"/>
      <c r="X1413" s="42"/>
      <c r="Y1413" s="42"/>
      <c r="Z1413" s="42"/>
      <c r="AA1413" s="42"/>
      <c r="AB1413" s="42" t="str">
        <f>IFERROR(__xludf.DUMMYFUNCTION("""COMPUTED_VALUE"""),"allen institute")</f>
        <v>allen institute</v>
      </c>
      <c r="AC1413" s="42" t="str">
        <f>IFERROR(__xludf.DUMMYFUNCTION("""COMPUTED_VALUE"""),"DHBA")</f>
        <v>DHBA</v>
      </c>
      <c r="AD1413" s="42"/>
      <c r="AE1413" s="42"/>
      <c r="AF1413" s="9"/>
      <c r="AG1413" s="9"/>
      <c r="AH1413" s="42"/>
      <c r="AI1413" s="42"/>
      <c r="AJ1413" s="42"/>
      <c r="AK1413" s="42"/>
      <c r="AL1413" s="42"/>
      <c r="AM1413" s="42"/>
      <c r="AN1413" s="42"/>
      <c r="AO1413" s="63" t="str">
        <f>IFERROR(__xludf.DUMMYFUNCTION("IF(ISBLANK(A1413),,IF(ISBLANK(S1413), A1413&amp;"";"", TEXTJOIN(CHAR(10), TRUE, A1413&amp;"";"", ARRAYFORMULA(VLOOKUP(SPLIT(S1413, "";"" &amp; CHAR(10)), $A:$AO, 41, FALSE)))))"),"V7-4;")</f>
        <v>V7-4;</v>
      </c>
      <c r="AP1413" s="89"/>
    </row>
    <row r="1414">
      <c r="A1414" s="151" t="str">
        <f>IFERROR(__xludf.DUMMYFUNCTION("""COMPUTED_VALUE"""),"V7-5")</f>
        <v>V7-5</v>
      </c>
      <c r="B1414" s="42" t="str">
        <f>IFERROR(__xludf.DUMMYFUNCTION("""COMPUTED_VALUE"""),"DHBA")</f>
        <v>DHBA</v>
      </c>
      <c r="C1414" s="42" t="str">
        <f>IFERROR(__xludf.DUMMYFUNCTION("""COMPUTED_VALUE"""),"layer V of area V7")</f>
        <v>layer V of area V7</v>
      </c>
      <c r="D1414" s="42">
        <f>IFERROR(__xludf.DUMMYFUNCTION("""COMPUTED_VALUE"""),1341.0)</f>
        <v>1341</v>
      </c>
      <c r="E1414" s="39" t="str">
        <f>IFERROR(__xludf.DUMMYFUNCTION("""COMPUTED_VALUE"""),"layer V of area V7")</f>
        <v>layer V of area V7</v>
      </c>
      <c r="F1414" s="9" t="str">
        <f>IFERROR(__xludf.DUMMYFUNCTION("""COMPUTED_VALUE"""),"Br")</f>
        <v>Br</v>
      </c>
      <c r="G1414" s="9" t="str">
        <f>IFERROR(__xludf.DUMMYFUNCTION("""COMPUTED_VALUE"""),"F")</f>
        <v>F</v>
      </c>
      <c r="H1414" s="9" t="str">
        <f>IFERROR(__xludf.DUMMYFUNCTION("""COMPUTED_VALUE"""),"FGM")</f>
        <v>FGM</v>
      </c>
      <c r="I1414" s="9" t="str">
        <f>IFERROR(__xludf.DUMMYFUNCTION("""COMPUTED_VALUE"""),"Tel")</f>
        <v>Tel</v>
      </c>
      <c r="J1414" s="9" t="str">
        <f>IFERROR(__xludf.DUMMYFUNCTION("""COMPUTED_VALUE"""),"Cx")</f>
        <v>Cx</v>
      </c>
      <c r="K1414" s="9" t="str">
        <f>IFERROR(__xludf.DUMMYFUNCTION("""COMPUTED_VALUE"""),"NCx")</f>
        <v>NCx</v>
      </c>
      <c r="L1414" s="9" t="str">
        <f>IFERROR(__xludf.DUMMYFUNCTION("""COMPUTED_VALUE"""),"Ocx")</f>
        <v>Ocx</v>
      </c>
      <c r="M1414" s="9" t="str">
        <f>IFERROR(__xludf.DUMMYFUNCTION("""COMPUTED_VALUE"""),"ESOC")</f>
        <v>ESOC</v>
      </c>
      <c r="N1414" s="9" t="str">
        <f>IFERROR(__xludf.DUMMYFUNCTION("""COMPUTED_VALUE"""),"PSC")</f>
        <v>PSC</v>
      </c>
      <c r="O1414" s="9" t="str">
        <f>IFERROR(__xludf.DUMMYFUNCTION("""COMPUTED_VALUE"""),"V7")</f>
        <v>V7</v>
      </c>
      <c r="P1414" s="9" t="str">
        <f>IFERROR(__xludf.DUMMYFUNCTION("""COMPUTED_VALUE"""),"V7-5")</f>
        <v>V7-5</v>
      </c>
      <c r="Q1414" s="9"/>
      <c r="R1414" s="9"/>
      <c r="S1414" s="42"/>
      <c r="T1414" s="42"/>
      <c r="U1414" s="42"/>
      <c r="V1414" s="42"/>
      <c r="W1414" s="42"/>
      <c r="X1414" s="42"/>
      <c r="Y1414" s="42"/>
      <c r="Z1414" s="42"/>
      <c r="AA1414" s="42"/>
      <c r="AB1414" s="42" t="str">
        <f>IFERROR(__xludf.DUMMYFUNCTION("""COMPUTED_VALUE"""),"allen institute")</f>
        <v>allen institute</v>
      </c>
      <c r="AC1414" s="42" t="str">
        <f>IFERROR(__xludf.DUMMYFUNCTION("""COMPUTED_VALUE"""),"DHBA")</f>
        <v>DHBA</v>
      </c>
      <c r="AD1414" s="42"/>
      <c r="AE1414" s="42"/>
      <c r="AF1414" s="9"/>
      <c r="AG1414" s="9"/>
      <c r="AH1414" s="42"/>
      <c r="AI1414" s="42"/>
      <c r="AJ1414" s="42"/>
      <c r="AK1414" s="42"/>
      <c r="AL1414" s="42"/>
      <c r="AM1414" s="42"/>
      <c r="AN1414" s="42"/>
      <c r="AO1414" s="63" t="str">
        <f>IFERROR(__xludf.DUMMYFUNCTION("IF(ISBLANK(A1414),,IF(ISBLANK(S1414), A1414&amp;"";"", TEXTJOIN(CHAR(10), TRUE, A1414&amp;"";"", ARRAYFORMULA(VLOOKUP(SPLIT(S1414, "";"" &amp; CHAR(10)), $A:$AO, 41, FALSE)))))"),"V7-5;")</f>
        <v>V7-5;</v>
      </c>
      <c r="AP1414" s="89"/>
    </row>
    <row r="1415">
      <c r="A1415" s="151" t="str">
        <f>IFERROR(__xludf.DUMMYFUNCTION("""COMPUTED_VALUE"""),"V7-6")</f>
        <v>V7-6</v>
      </c>
      <c r="B1415" s="42" t="str">
        <f>IFERROR(__xludf.DUMMYFUNCTION("""COMPUTED_VALUE"""),"DHBA")</f>
        <v>DHBA</v>
      </c>
      <c r="C1415" s="42" t="str">
        <f>IFERROR(__xludf.DUMMYFUNCTION("""COMPUTED_VALUE"""),"layer VI of area V7")</f>
        <v>layer VI of area V7</v>
      </c>
      <c r="D1415" s="42">
        <f>IFERROR(__xludf.DUMMYFUNCTION("""COMPUTED_VALUE"""),1342.0)</f>
        <v>1342</v>
      </c>
      <c r="E1415" s="39" t="str">
        <f>IFERROR(__xludf.DUMMYFUNCTION("""COMPUTED_VALUE"""),"layer VI of area V7")</f>
        <v>layer VI of area V7</v>
      </c>
      <c r="F1415" s="9" t="str">
        <f>IFERROR(__xludf.DUMMYFUNCTION("""COMPUTED_VALUE"""),"Br")</f>
        <v>Br</v>
      </c>
      <c r="G1415" s="9" t="str">
        <f>IFERROR(__xludf.DUMMYFUNCTION("""COMPUTED_VALUE"""),"F")</f>
        <v>F</v>
      </c>
      <c r="H1415" s="9" t="str">
        <f>IFERROR(__xludf.DUMMYFUNCTION("""COMPUTED_VALUE"""),"FGM")</f>
        <v>FGM</v>
      </c>
      <c r="I1415" s="9" t="str">
        <f>IFERROR(__xludf.DUMMYFUNCTION("""COMPUTED_VALUE"""),"Tel")</f>
        <v>Tel</v>
      </c>
      <c r="J1415" s="9" t="str">
        <f>IFERROR(__xludf.DUMMYFUNCTION("""COMPUTED_VALUE"""),"Cx")</f>
        <v>Cx</v>
      </c>
      <c r="K1415" s="9" t="str">
        <f>IFERROR(__xludf.DUMMYFUNCTION("""COMPUTED_VALUE"""),"NCx")</f>
        <v>NCx</v>
      </c>
      <c r="L1415" s="9" t="str">
        <f>IFERROR(__xludf.DUMMYFUNCTION("""COMPUTED_VALUE"""),"Ocx")</f>
        <v>Ocx</v>
      </c>
      <c r="M1415" s="9" t="str">
        <f>IFERROR(__xludf.DUMMYFUNCTION("""COMPUTED_VALUE"""),"ESOC")</f>
        <v>ESOC</v>
      </c>
      <c r="N1415" s="9" t="str">
        <f>IFERROR(__xludf.DUMMYFUNCTION("""COMPUTED_VALUE"""),"PSC")</f>
        <v>PSC</v>
      </c>
      <c r="O1415" s="9" t="str">
        <f>IFERROR(__xludf.DUMMYFUNCTION("""COMPUTED_VALUE"""),"V7")</f>
        <v>V7</v>
      </c>
      <c r="P1415" s="9" t="str">
        <f>IFERROR(__xludf.DUMMYFUNCTION("""COMPUTED_VALUE"""),"V7-6")</f>
        <v>V7-6</v>
      </c>
      <c r="Q1415" s="9"/>
      <c r="R1415" s="9"/>
      <c r="S1415" s="42"/>
      <c r="T1415" s="42"/>
      <c r="U1415" s="42"/>
      <c r="V1415" s="42"/>
      <c r="W1415" s="42"/>
      <c r="X1415" s="42"/>
      <c r="Y1415" s="42"/>
      <c r="Z1415" s="42"/>
      <c r="AA1415" s="42"/>
      <c r="AB1415" s="42" t="str">
        <f>IFERROR(__xludf.DUMMYFUNCTION("""COMPUTED_VALUE"""),"allen institute")</f>
        <v>allen institute</v>
      </c>
      <c r="AC1415" s="42" t="str">
        <f>IFERROR(__xludf.DUMMYFUNCTION("""COMPUTED_VALUE"""),"DHBA")</f>
        <v>DHBA</v>
      </c>
      <c r="AD1415" s="42"/>
      <c r="AE1415" s="42"/>
      <c r="AF1415" s="9"/>
      <c r="AG1415" s="9"/>
      <c r="AH1415" s="42"/>
      <c r="AI1415" s="42"/>
      <c r="AJ1415" s="42"/>
      <c r="AK1415" s="42"/>
      <c r="AL1415" s="42"/>
      <c r="AM1415" s="42"/>
      <c r="AN1415" s="42"/>
      <c r="AO1415" s="63" t="str">
        <f>IFERROR(__xludf.DUMMYFUNCTION("IF(ISBLANK(A1415),,IF(ISBLANK(S1415), A1415&amp;"";"", TEXTJOIN(CHAR(10), TRUE, A1415&amp;"";"", ARRAYFORMULA(VLOOKUP(SPLIT(S1415, "";"" &amp; CHAR(10)), $A:$AO, 41, FALSE)))))"),"V7-6;")</f>
        <v>V7-6;</v>
      </c>
      <c r="AP1415" s="89"/>
    </row>
    <row r="1416">
      <c r="A1416" s="151" t="str">
        <f>IFERROR(__xludf.DUMMYFUNCTION("""COMPUTED_VALUE"""),"ICx")</f>
        <v>ICx</v>
      </c>
      <c r="B1416" s="42" t="str">
        <f>IFERROR(__xludf.DUMMYFUNCTION("""COMPUTED_VALUE"""),"DHBA")</f>
        <v>DHBA</v>
      </c>
      <c r="C1416" s="42" t="str">
        <f>IFERROR(__xludf.DUMMYFUNCTION("""COMPUTED_VALUE"""),"insular neocortex")</f>
        <v>insular neocortex</v>
      </c>
      <c r="D1416" s="42">
        <f>IFERROR(__xludf.DUMMYFUNCTION("""COMPUTED_VALUE"""),1343.0)</f>
        <v>1343</v>
      </c>
      <c r="E1416" s="39" t="str">
        <f>IFERROR(__xludf.DUMMYFUNCTION("""COMPUTED_VALUE"""),"insular neocortex")</f>
        <v>insular neocortex</v>
      </c>
      <c r="F1416" s="9" t="str">
        <f>IFERROR(__xludf.DUMMYFUNCTION("""COMPUTED_VALUE"""),"Br")</f>
        <v>Br</v>
      </c>
      <c r="G1416" s="9" t="str">
        <f>IFERROR(__xludf.DUMMYFUNCTION("""COMPUTED_VALUE"""),"F")</f>
        <v>F</v>
      </c>
      <c r="H1416" s="9" t="str">
        <f>IFERROR(__xludf.DUMMYFUNCTION("""COMPUTED_VALUE"""),"FGM")</f>
        <v>FGM</v>
      </c>
      <c r="I1416" s="9" t="str">
        <f>IFERROR(__xludf.DUMMYFUNCTION("""COMPUTED_VALUE"""),"Tel")</f>
        <v>Tel</v>
      </c>
      <c r="J1416" s="9" t="str">
        <f>IFERROR(__xludf.DUMMYFUNCTION("""COMPUTED_VALUE"""),"Cx")</f>
        <v>Cx</v>
      </c>
      <c r="K1416" s="9" t="str">
        <f>IFERROR(__xludf.DUMMYFUNCTION("""COMPUTED_VALUE"""),"NCx")</f>
        <v>NCx</v>
      </c>
      <c r="L1416" s="9" t="str">
        <f>IFERROR(__xludf.DUMMYFUNCTION("""COMPUTED_VALUE"""),"ICx")</f>
        <v>ICx</v>
      </c>
      <c r="M1416" s="9"/>
      <c r="N1416" s="9"/>
      <c r="O1416" s="9"/>
      <c r="P1416" s="9"/>
      <c r="Q1416" s="9"/>
      <c r="R1416" s="9"/>
      <c r="S1416" s="42" t="str">
        <f>IFERROR(__xludf.DUMMYFUNCTION("""COMPUTED_VALUE"""),"AI;
Idg;
Ig")</f>
        <v>AI;
Idg;
Ig</v>
      </c>
      <c r="T1416" s="42" t="str">
        <f>IFERROR(__xludf.DUMMYFUNCTION("""COMPUTED_VALUE"""),"NCx")</f>
        <v>NCx</v>
      </c>
      <c r="U1416" s="42" t="b">
        <f>IFERROR(__xludf.DUMMYFUNCTION("""COMPUTED_VALUE"""),FALSE)</f>
        <v>0</v>
      </c>
      <c r="V1416" s="42"/>
      <c r="W1416" s="42"/>
      <c r="X1416" s="42"/>
      <c r="Y1416" s="42"/>
      <c r="Z1416" s="42"/>
      <c r="AA1416" s="42"/>
      <c r="AB1416" s="42" t="str">
        <f>IFERROR(__xludf.DUMMYFUNCTION("""COMPUTED_VALUE"""),"allen institute")</f>
        <v>allen institute</v>
      </c>
      <c r="AC1416" s="42" t="str">
        <f>IFERROR(__xludf.DUMMYFUNCTION("""COMPUTED_VALUE"""),"DHBA")</f>
        <v>DHBA</v>
      </c>
      <c r="AD1416" s="42"/>
      <c r="AE1416" s="42"/>
      <c r="AF1416" s="9"/>
      <c r="AG1416" s="9"/>
      <c r="AH1416" s="42"/>
      <c r="AI1416" s="42"/>
      <c r="AJ1416" s="42"/>
      <c r="AK1416" s="42"/>
      <c r="AL1416" s="42"/>
      <c r="AM1416" s="42"/>
      <c r="AN1416" s="42"/>
      <c r="AO1416" s="63" t="str">
        <f>IFERROR(__xludf.DUMMYFUNCTION("IF(ISBLANK(A1416),,IF(ISBLANK(S1416), A1416&amp;"";"", TEXTJOIN(CHAR(10), TRUE, A1416&amp;"";"", ARRAYFORMULA(VLOOKUP(SPLIT(S1416, "";"" &amp; CHAR(10)), $A:$AO, 41, FALSE)))))"),"ICx;
AI;
Idg;
RIdg;
RIdg1;
RIdg2;
RIdg3;
RIdg4;
RIdg5;
RIdg6;
CIdg;
CIdg1;
CIdg2;
CIdg3;
CIdg4;
CIdg5;
CIdg6;
Ig;
RIg;
RIg1;
RIg2;
RIg3;
RIg4;
RIg5;
RIg6;
CIg;
CIg1;
CIg2;
CIg3;
CIg4;
CIg5;
CIg6;")</f>
        <v>ICx;
AI;
Idg;
RIdg;
RIdg1;
RIdg2;
RIdg3;
RIdg4;
RIdg5;
RIdg6;
CIdg;
CIdg1;
CIdg2;
CIdg3;
CIdg4;
CIdg5;
CIdg6;
Ig;
RIg;
RIg1;
RIg2;
RIg3;
RIg4;
RIg5;
RIg6;
CIg;
CIg1;
CIg2;
CIg3;
CIg4;
CIg5;
CIg6;</v>
      </c>
      <c r="AP1416" s="89"/>
    </row>
    <row r="1417">
      <c r="A1417" s="151" t="str">
        <f>IFERROR(__xludf.DUMMYFUNCTION("""COMPUTED_VALUE"""),"AI")</f>
        <v>AI</v>
      </c>
      <c r="B1417" s="42" t="str">
        <f>IFERROR(__xludf.DUMMYFUNCTION("""COMPUTED_VALUE"""),"[Krueger, 2019]")</f>
        <v>[Krueger, 2019]</v>
      </c>
      <c r="C1417" s="42" t="str">
        <f>IFERROR(__xludf.DUMMYFUNCTION("""COMPUTED_VALUE"""),"anterior insula")</f>
        <v>anterior insula</v>
      </c>
      <c r="D1417" s="42">
        <f>IFERROR(__xludf.DUMMYFUNCTION("""COMPUTED_VALUE"""),1343.1)</f>
        <v>1343.1</v>
      </c>
      <c r="E1417" s="39" t="str">
        <f>IFERROR(__xludf.DUMMYFUNCTION("""COMPUTED_VALUE"""),"")</f>
        <v/>
      </c>
      <c r="F1417" s="9" t="str">
        <f>IFERROR(__xludf.DUMMYFUNCTION("""COMPUTED_VALUE"""),"")</f>
        <v/>
      </c>
      <c r="G1417" s="9" t="str">
        <f>IFERROR(__xludf.DUMMYFUNCTION("""COMPUTED_VALUE"""),"")</f>
        <v/>
      </c>
      <c r="H1417" s="9" t="str">
        <f>IFERROR(__xludf.DUMMYFUNCTION("""COMPUTED_VALUE"""),"")</f>
        <v/>
      </c>
      <c r="I1417" s="9" t="str">
        <f>IFERROR(__xludf.DUMMYFUNCTION("""COMPUTED_VALUE"""),"")</f>
        <v/>
      </c>
      <c r="J1417" s="9" t="str">
        <f>IFERROR(__xludf.DUMMYFUNCTION("""COMPUTED_VALUE"""),"")</f>
        <v/>
      </c>
      <c r="K1417" s="9" t="str">
        <f>IFERROR(__xludf.DUMMYFUNCTION("""COMPUTED_VALUE"""),"")</f>
        <v/>
      </c>
      <c r="L1417" s="9" t="str">
        <f>IFERROR(__xludf.DUMMYFUNCTION("""COMPUTED_VALUE"""),"")</f>
        <v/>
      </c>
      <c r="M1417" s="9" t="str">
        <f>IFERROR(__xludf.DUMMYFUNCTION("""COMPUTED_VALUE"""),"")</f>
        <v/>
      </c>
      <c r="N1417" s="9" t="str">
        <f>IFERROR(__xludf.DUMMYFUNCTION("""COMPUTED_VALUE"""),"")</f>
        <v/>
      </c>
      <c r="O1417" s="9" t="str">
        <f>IFERROR(__xludf.DUMMYFUNCTION("""COMPUTED_VALUE"""),"")</f>
        <v/>
      </c>
      <c r="P1417" s="9" t="str">
        <f>IFERROR(__xludf.DUMMYFUNCTION("""COMPUTED_VALUE"""),"")</f>
        <v/>
      </c>
      <c r="Q1417" s="9" t="str">
        <f>IFERROR(__xludf.DUMMYFUNCTION("""COMPUTED_VALUE"""),"")</f>
        <v/>
      </c>
      <c r="R1417" s="9" t="str">
        <f>IFERROR(__xludf.DUMMYFUNCTION("""COMPUTED_VALUE"""),"")</f>
        <v/>
      </c>
      <c r="S1417" s="42"/>
      <c r="T1417" s="42" t="str">
        <f>IFERROR(__xludf.DUMMYFUNCTION("""COMPUTED_VALUE"""),"NCx")</f>
        <v>NCx</v>
      </c>
      <c r="U1417" s="42" t="b">
        <f>IFERROR(__xludf.DUMMYFUNCTION("""COMPUTED_VALUE"""),FALSE)</f>
        <v>0</v>
      </c>
      <c r="V1417" s="42"/>
      <c r="W1417" s="42"/>
      <c r="X1417" s="42"/>
      <c r="Y1417" s="42"/>
      <c r="Z1417" s="42"/>
      <c r="AA1417" s="42"/>
      <c r="AB1417" s="42" t="str">
        <f>IFERROR(__xludf.DUMMYFUNCTION("""COMPUTED_VALUE"""),"Hiroshi Yamakawa")</f>
        <v>Hiroshi Yamakawa</v>
      </c>
      <c r="AC1417" s="42" t="str">
        <f>IFERROR(__xludf.DUMMYFUNCTION("""COMPUTED_VALUE"""),"Trust")</f>
        <v>Trust</v>
      </c>
      <c r="AD1417" s="42"/>
      <c r="AE1417" s="42"/>
      <c r="AF1417" s="9"/>
      <c r="AG1417" s="9"/>
      <c r="AH1417" s="42"/>
      <c r="AI1417" s="42"/>
      <c r="AJ1417" s="42"/>
      <c r="AK1417" s="42"/>
      <c r="AL1417" s="42"/>
      <c r="AM1417" s="42"/>
      <c r="AN1417" s="42"/>
      <c r="AO1417" s="63" t="str">
        <f>IFERROR(__xludf.DUMMYFUNCTION("IF(ISBLANK(A1417),,IF(ISBLANK(S1417), A1417&amp;"";"", TEXTJOIN(CHAR(10), TRUE, A1417&amp;"";"", ARRAYFORMULA(VLOOKUP(SPLIT(S1417, "";"" &amp; CHAR(10)), $A:$AO, 41, FALSE)))))"),"AI;")</f>
        <v>AI;</v>
      </c>
      <c r="AP1417" s="89"/>
    </row>
    <row r="1418">
      <c r="A1418" s="151" t="str">
        <f>IFERROR(__xludf.DUMMYFUNCTION("""COMPUTED_VALUE"""),"Idg")</f>
        <v>Idg</v>
      </c>
      <c r="B1418" s="42" t="str">
        <f>IFERROR(__xludf.DUMMYFUNCTION("""COMPUTED_VALUE"""),"DHBA")</f>
        <v>DHBA</v>
      </c>
      <c r="C1418" s="42" t="str">
        <f>IFERROR(__xludf.DUMMYFUNCTION("""COMPUTED_VALUE"""),"dysgranular insular cortex")</f>
        <v>dysgranular insular cortex</v>
      </c>
      <c r="D1418" s="42">
        <f>IFERROR(__xludf.DUMMYFUNCTION("""COMPUTED_VALUE"""),1344.0)</f>
        <v>1344</v>
      </c>
      <c r="E1418" s="39" t="str">
        <f>IFERROR(__xludf.DUMMYFUNCTION("""COMPUTED_VALUE"""),"dysgranular insular cortex")</f>
        <v>dysgranular insular cortex</v>
      </c>
      <c r="F1418" s="9" t="str">
        <f>IFERROR(__xludf.DUMMYFUNCTION("""COMPUTED_VALUE"""),"Br")</f>
        <v>Br</v>
      </c>
      <c r="G1418" s="9" t="str">
        <f>IFERROR(__xludf.DUMMYFUNCTION("""COMPUTED_VALUE"""),"F")</f>
        <v>F</v>
      </c>
      <c r="H1418" s="9" t="str">
        <f>IFERROR(__xludf.DUMMYFUNCTION("""COMPUTED_VALUE"""),"FGM")</f>
        <v>FGM</v>
      </c>
      <c r="I1418" s="9" t="str">
        <f>IFERROR(__xludf.DUMMYFUNCTION("""COMPUTED_VALUE"""),"Tel")</f>
        <v>Tel</v>
      </c>
      <c r="J1418" s="9" t="str">
        <f>IFERROR(__xludf.DUMMYFUNCTION("""COMPUTED_VALUE"""),"Cx")</f>
        <v>Cx</v>
      </c>
      <c r="K1418" s="9" t="str">
        <f>IFERROR(__xludf.DUMMYFUNCTION("""COMPUTED_VALUE"""),"NCx")</f>
        <v>NCx</v>
      </c>
      <c r="L1418" s="9" t="str">
        <f>IFERROR(__xludf.DUMMYFUNCTION("""COMPUTED_VALUE"""),"ICx")</f>
        <v>ICx</v>
      </c>
      <c r="M1418" s="9" t="str">
        <f>IFERROR(__xludf.DUMMYFUNCTION("""COMPUTED_VALUE"""),"Idg")</f>
        <v>Idg</v>
      </c>
      <c r="N1418" s="9"/>
      <c r="O1418" s="9"/>
      <c r="P1418" s="9"/>
      <c r="Q1418" s="9"/>
      <c r="R1418" s="9"/>
      <c r="S1418" s="42" t="str">
        <f>IFERROR(__xludf.DUMMYFUNCTION("""COMPUTED_VALUE"""),"RIdg;
CIdg")</f>
        <v>RIdg;
CIdg</v>
      </c>
      <c r="T1418" s="42"/>
      <c r="U1418" s="42" t="b">
        <f>IFERROR(__xludf.DUMMYFUNCTION("""COMPUTED_VALUE"""),FALSE)</f>
        <v>0</v>
      </c>
      <c r="V1418" s="42"/>
      <c r="W1418" s="42"/>
      <c r="X1418" s="42"/>
      <c r="Y1418" s="42"/>
      <c r="Z1418" s="42"/>
      <c r="AA1418" s="42"/>
      <c r="AB1418" s="42" t="str">
        <f>IFERROR(__xludf.DUMMYFUNCTION("""COMPUTED_VALUE"""),"allen institute")</f>
        <v>allen institute</v>
      </c>
      <c r="AC1418" s="42" t="str">
        <f>IFERROR(__xludf.DUMMYFUNCTION("""COMPUTED_VALUE"""),"DHBA")</f>
        <v>DHBA</v>
      </c>
      <c r="AD1418" s="42"/>
      <c r="AE1418" s="42"/>
      <c r="AF1418" s="9"/>
      <c r="AG1418" s="9"/>
      <c r="AH1418" s="42"/>
      <c r="AI1418" s="42"/>
      <c r="AJ1418" s="42"/>
      <c r="AK1418" s="42"/>
      <c r="AL1418" s="42"/>
      <c r="AM1418" s="42"/>
      <c r="AN1418" s="42"/>
      <c r="AO1418" s="63" t="str">
        <f>IFERROR(__xludf.DUMMYFUNCTION("IF(ISBLANK(A1418),,IF(ISBLANK(S1418), A1418&amp;"";"", TEXTJOIN(CHAR(10), TRUE, A1418&amp;"";"", ARRAYFORMULA(VLOOKUP(SPLIT(S1418, "";"" &amp; CHAR(10)), $A:$AO, 41, FALSE)))))"),"Idg;
RIdg;
RIdg1;
RIdg2;
RIdg3;
RIdg4;
RIdg5;
RIdg6;
CIdg;
CIdg1;
CIdg2;
CIdg3;
CIdg4;
CIdg5;
CIdg6;")</f>
        <v>Idg;
RIdg;
RIdg1;
RIdg2;
RIdg3;
RIdg4;
RIdg5;
RIdg6;
CIdg;
CIdg1;
CIdg2;
CIdg3;
CIdg4;
CIdg5;
CIdg6;</v>
      </c>
      <c r="AP1418" s="89"/>
    </row>
    <row r="1419">
      <c r="A1419" s="151" t="str">
        <f>IFERROR(__xludf.DUMMYFUNCTION("""COMPUTED_VALUE"""),"RIdg")</f>
        <v>RIdg</v>
      </c>
      <c r="B1419" s="42" t="str">
        <f>IFERROR(__xludf.DUMMYFUNCTION("""COMPUTED_VALUE"""),"DHBA")</f>
        <v>DHBA</v>
      </c>
      <c r="C1419" s="42" t="str">
        <f>IFERROR(__xludf.DUMMYFUNCTION("""COMPUTED_VALUE"""),"rostral dysgranular insular cortex")</f>
        <v>rostral dysgranular insular cortex</v>
      </c>
      <c r="D1419" s="42">
        <f>IFERROR(__xludf.DUMMYFUNCTION("""COMPUTED_VALUE"""),1345.0)</f>
        <v>1345</v>
      </c>
      <c r="E1419" s="39" t="str">
        <f>IFERROR(__xludf.DUMMYFUNCTION("""COMPUTED_VALUE"""),"rostral dysgranular insular cortex")</f>
        <v>rostral dysgranular insular cortex</v>
      </c>
      <c r="F1419" s="9" t="str">
        <f>IFERROR(__xludf.DUMMYFUNCTION("""COMPUTED_VALUE"""),"Br")</f>
        <v>Br</v>
      </c>
      <c r="G1419" s="9" t="str">
        <f>IFERROR(__xludf.DUMMYFUNCTION("""COMPUTED_VALUE"""),"F")</f>
        <v>F</v>
      </c>
      <c r="H1419" s="9" t="str">
        <f>IFERROR(__xludf.DUMMYFUNCTION("""COMPUTED_VALUE"""),"FGM")</f>
        <v>FGM</v>
      </c>
      <c r="I1419" s="9" t="str">
        <f>IFERROR(__xludf.DUMMYFUNCTION("""COMPUTED_VALUE"""),"Tel")</f>
        <v>Tel</v>
      </c>
      <c r="J1419" s="9" t="str">
        <f>IFERROR(__xludf.DUMMYFUNCTION("""COMPUTED_VALUE"""),"Cx")</f>
        <v>Cx</v>
      </c>
      <c r="K1419" s="9" t="str">
        <f>IFERROR(__xludf.DUMMYFUNCTION("""COMPUTED_VALUE"""),"NCx")</f>
        <v>NCx</v>
      </c>
      <c r="L1419" s="9" t="str">
        <f>IFERROR(__xludf.DUMMYFUNCTION("""COMPUTED_VALUE"""),"ICx")</f>
        <v>ICx</v>
      </c>
      <c r="M1419" s="9" t="str">
        <f>IFERROR(__xludf.DUMMYFUNCTION("""COMPUTED_VALUE"""),"Idg")</f>
        <v>Idg</v>
      </c>
      <c r="N1419" s="9" t="str">
        <f>IFERROR(__xludf.DUMMYFUNCTION("""COMPUTED_VALUE"""),"RIdg")</f>
        <v>RIdg</v>
      </c>
      <c r="O1419" s="9"/>
      <c r="P1419" s="9"/>
      <c r="Q1419" s="9"/>
      <c r="R1419" s="9"/>
      <c r="S1419" s="42" t="str">
        <f>IFERROR(__xludf.DUMMYFUNCTION("""COMPUTED_VALUE"""),"RIdg1;
RIdg2;
RIdg3;
RIdg4;
RIdg5;
RIdg6")</f>
        <v>RIdg1;
RIdg2;
RIdg3;
RIdg4;
RIdg5;
RIdg6</v>
      </c>
      <c r="T1419" s="42"/>
      <c r="U1419" s="42" t="b">
        <f>IFERROR(__xludf.DUMMYFUNCTION("""COMPUTED_VALUE"""),FALSE)</f>
        <v>0</v>
      </c>
      <c r="V1419" s="42"/>
      <c r="W1419" s="42"/>
      <c r="X1419" s="42"/>
      <c r="Y1419" s="42"/>
      <c r="Z1419" s="42"/>
      <c r="AA1419" s="42"/>
      <c r="AB1419" s="42" t="str">
        <f>IFERROR(__xludf.DUMMYFUNCTION("""COMPUTED_VALUE"""),"allen institute")</f>
        <v>allen institute</v>
      </c>
      <c r="AC1419" s="42" t="str">
        <f>IFERROR(__xludf.DUMMYFUNCTION("""COMPUTED_VALUE"""),"DHBA")</f>
        <v>DHBA</v>
      </c>
      <c r="AD1419" s="42"/>
      <c r="AE1419" s="42"/>
      <c r="AF1419" s="9"/>
      <c r="AG1419" s="9"/>
      <c r="AH1419" s="42"/>
      <c r="AI1419" s="42"/>
      <c r="AJ1419" s="42"/>
      <c r="AK1419" s="42"/>
      <c r="AL1419" s="42"/>
      <c r="AM1419" s="42"/>
      <c r="AN1419" s="42"/>
      <c r="AO1419" s="63" t="str">
        <f>IFERROR(__xludf.DUMMYFUNCTION("IF(ISBLANK(A1419),,IF(ISBLANK(S1419), A1419&amp;"";"", TEXTJOIN(CHAR(10), TRUE, A1419&amp;"";"", ARRAYFORMULA(VLOOKUP(SPLIT(S1419, "";"" &amp; CHAR(10)), $A:$AO, 41, FALSE)))))"),"RIdg;
RIdg1;
RIdg2;
RIdg3;
RIdg4;
RIdg5;
RIdg6;")</f>
        <v>RIdg;
RIdg1;
RIdg2;
RIdg3;
RIdg4;
RIdg5;
RIdg6;</v>
      </c>
      <c r="AP1419" s="89"/>
    </row>
    <row r="1420">
      <c r="A1420" s="151" t="str">
        <f>IFERROR(__xludf.DUMMYFUNCTION("""COMPUTED_VALUE"""),"RIdg1")</f>
        <v>RIdg1</v>
      </c>
      <c r="B1420" s="42" t="str">
        <f>IFERROR(__xludf.DUMMYFUNCTION("""COMPUTED_VALUE"""),"DHBA")</f>
        <v>DHBA</v>
      </c>
      <c r="C1420" s="42" t="str">
        <f>IFERROR(__xludf.DUMMYFUNCTION("""COMPUTED_VALUE"""),"layer I of dysgranular insular cortex")</f>
        <v>layer I of dysgranular insular cortex</v>
      </c>
      <c r="D1420" s="42">
        <f>IFERROR(__xludf.DUMMYFUNCTION("""COMPUTED_VALUE"""),1346.0)</f>
        <v>1346</v>
      </c>
      <c r="E1420" s="39" t="str">
        <f>IFERROR(__xludf.DUMMYFUNCTION("""COMPUTED_VALUE"""),"layer I of dysgranular insular cortex")</f>
        <v>layer I of dysgranular insular cortex</v>
      </c>
      <c r="F1420" s="9" t="str">
        <f>IFERROR(__xludf.DUMMYFUNCTION("""COMPUTED_VALUE"""),"Br")</f>
        <v>Br</v>
      </c>
      <c r="G1420" s="9" t="str">
        <f>IFERROR(__xludf.DUMMYFUNCTION("""COMPUTED_VALUE"""),"F")</f>
        <v>F</v>
      </c>
      <c r="H1420" s="9" t="str">
        <f>IFERROR(__xludf.DUMMYFUNCTION("""COMPUTED_VALUE"""),"FGM")</f>
        <v>FGM</v>
      </c>
      <c r="I1420" s="9" t="str">
        <f>IFERROR(__xludf.DUMMYFUNCTION("""COMPUTED_VALUE"""),"Tel")</f>
        <v>Tel</v>
      </c>
      <c r="J1420" s="9" t="str">
        <f>IFERROR(__xludf.DUMMYFUNCTION("""COMPUTED_VALUE"""),"Cx")</f>
        <v>Cx</v>
      </c>
      <c r="K1420" s="9" t="str">
        <f>IFERROR(__xludf.DUMMYFUNCTION("""COMPUTED_VALUE"""),"NCx")</f>
        <v>NCx</v>
      </c>
      <c r="L1420" s="9" t="str">
        <f>IFERROR(__xludf.DUMMYFUNCTION("""COMPUTED_VALUE"""),"ICx")</f>
        <v>ICx</v>
      </c>
      <c r="M1420" s="9" t="str">
        <f>IFERROR(__xludf.DUMMYFUNCTION("""COMPUTED_VALUE"""),"Idg")</f>
        <v>Idg</v>
      </c>
      <c r="N1420" s="9" t="str">
        <f>IFERROR(__xludf.DUMMYFUNCTION("""COMPUTED_VALUE"""),"RIdg")</f>
        <v>RIdg</v>
      </c>
      <c r="O1420" s="9" t="str">
        <f>IFERROR(__xludf.DUMMYFUNCTION("""COMPUTED_VALUE"""),"RIdg1")</f>
        <v>RIdg1</v>
      </c>
      <c r="P1420" s="9"/>
      <c r="Q1420" s="9"/>
      <c r="R1420" s="9"/>
      <c r="S1420" s="42"/>
      <c r="T1420" s="42"/>
      <c r="U1420" s="42"/>
      <c r="V1420" s="42"/>
      <c r="W1420" s="42"/>
      <c r="X1420" s="42"/>
      <c r="Y1420" s="42"/>
      <c r="Z1420" s="42"/>
      <c r="AA1420" s="42"/>
      <c r="AB1420" s="42" t="str">
        <f>IFERROR(__xludf.DUMMYFUNCTION("""COMPUTED_VALUE"""),"allen institute")</f>
        <v>allen institute</v>
      </c>
      <c r="AC1420" s="42" t="str">
        <f>IFERROR(__xludf.DUMMYFUNCTION("""COMPUTED_VALUE"""),"DHBA")</f>
        <v>DHBA</v>
      </c>
      <c r="AD1420" s="42"/>
      <c r="AE1420" s="42"/>
      <c r="AF1420" s="9"/>
      <c r="AG1420" s="9"/>
      <c r="AH1420" s="42"/>
      <c r="AI1420" s="42"/>
      <c r="AJ1420" s="42"/>
      <c r="AK1420" s="42"/>
      <c r="AL1420" s="42"/>
      <c r="AM1420" s="42"/>
      <c r="AN1420" s="42"/>
      <c r="AO1420" s="63" t="str">
        <f>IFERROR(__xludf.DUMMYFUNCTION("IF(ISBLANK(A1420),,IF(ISBLANK(S1420), A1420&amp;"";"", TEXTJOIN(CHAR(10), TRUE, A1420&amp;"";"", ARRAYFORMULA(VLOOKUP(SPLIT(S1420, "";"" &amp; CHAR(10)), $A:$AO, 41, FALSE)))))"),"RIdg1;")</f>
        <v>RIdg1;</v>
      </c>
      <c r="AP1420" s="89"/>
    </row>
    <row r="1421">
      <c r="A1421" s="151" t="str">
        <f>IFERROR(__xludf.DUMMYFUNCTION("""COMPUTED_VALUE"""),"RIdg2")</f>
        <v>RIdg2</v>
      </c>
      <c r="B1421" s="42" t="str">
        <f>IFERROR(__xludf.DUMMYFUNCTION("""COMPUTED_VALUE"""),"DHBA")</f>
        <v>DHBA</v>
      </c>
      <c r="C1421" s="42" t="str">
        <f>IFERROR(__xludf.DUMMYFUNCTION("""COMPUTED_VALUE"""),"layer II of dysgranular insular cortex")</f>
        <v>layer II of dysgranular insular cortex</v>
      </c>
      <c r="D1421" s="42">
        <f>IFERROR(__xludf.DUMMYFUNCTION("""COMPUTED_VALUE"""),1347.0)</f>
        <v>1347</v>
      </c>
      <c r="E1421" s="39" t="str">
        <f>IFERROR(__xludf.DUMMYFUNCTION("""COMPUTED_VALUE"""),"layer II of dysgranular insular cortex")</f>
        <v>layer II of dysgranular insular cortex</v>
      </c>
      <c r="F1421" s="9" t="str">
        <f>IFERROR(__xludf.DUMMYFUNCTION("""COMPUTED_VALUE"""),"Br")</f>
        <v>Br</v>
      </c>
      <c r="G1421" s="9" t="str">
        <f>IFERROR(__xludf.DUMMYFUNCTION("""COMPUTED_VALUE"""),"F")</f>
        <v>F</v>
      </c>
      <c r="H1421" s="9" t="str">
        <f>IFERROR(__xludf.DUMMYFUNCTION("""COMPUTED_VALUE"""),"FGM")</f>
        <v>FGM</v>
      </c>
      <c r="I1421" s="9" t="str">
        <f>IFERROR(__xludf.DUMMYFUNCTION("""COMPUTED_VALUE"""),"Tel")</f>
        <v>Tel</v>
      </c>
      <c r="J1421" s="9" t="str">
        <f>IFERROR(__xludf.DUMMYFUNCTION("""COMPUTED_VALUE"""),"Cx")</f>
        <v>Cx</v>
      </c>
      <c r="K1421" s="9" t="str">
        <f>IFERROR(__xludf.DUMMYFUNCTION("""COMPUTED_VALUE"""),"NCx")</f>
        <v>NCx</v>
      </c>
      <c r="L1421" s="9" t="str">
        <f>IFERROR(__xludf.DUMMYFUNCTION("""COMPUTED_VALUE"""),"ICx")</f>
        <v>ICx</v>
      </c>
      <c r="M1421" s="9" t="str">
        <f>IFERROR(__xludf.DUMMYFUNCTION("""COMPUTED_VALUE"""),"Idg")</f>
        <v>Idg</v>
      </c>
      <c r="N1421" s="9" t="str">
        <f>IFERROR(__xludf.DUMMYFUNCTION("""COMPUTED_VALUE"""),"RIdg")</f>
        <v>RIdg</v>
      </c>
      <c r="O1421" s="9" t="str">
        <f>IFERROR(__xludf.DUMMYFUNCTION("""COMPUTED_VALUE"""),"RIdg2")</f>
        <v>RIdg2</v>
      </c>
      <c r="P1421" s="9"/>
      <c r="Q1421" s="9"/>
      <c r="R1421" s="9"/>
      <c r="S1421" s="42"/>
      <c r="T1421" s="42"/>
      <c r="U1421" s="42"/>
      <c r="V1421" s="42"/>
      <c r="W1421" s="42"/>
      <c r="X1421" s="42"/>
      <c r="Y1421" s="42"/>
      <c r="Z1421" s="42"/>
      <c r="AA1421" s="42"/>
      <c r="AB1421" s="42" t="str">
        <f>IFERROR(__xludf.DUMMYFUNCTION("""COMPUTED_VALUE"""),"allen institute")</f>
        <v>allen institute</v>
      </c>
      <c r="AC1421" s="42" t="str">
        <f>IFERROR(__xludf.DUMMYFUNCTION("""COMPUTED_VALUE"""),"DHBA")</f>
        <v>DHBA</v>
      </c>
      <c r="AD1421" s="42"/>
      <c r="AE1421" s="42"/>
      <c r="AF1421" s="9"/>
      <c r="AG1421" s="9"/>
      <c r="AH1421" s="42"/>
      <c r="AI1421" s="42"/>
      <c r="AJ1421" s="42"/>
      <c r="AK1421" s="42"/>
      <c r="AL1421" s="42"/>
      <c r="AM1421" s="42"/>
      <c r="AN1421" s="42"/>
      <c r="AO1421" s="63" t="str">
        <f>IFERROR(__xludf.DUMMYFUNCTION("IF(ISBLANK(A1421),,IF(ISBLANK(S1421), A1421&amp;"";"", TEXTJOIN(CHAR(10), TRUE, A1421&amp;"";"", ARRAYFORMULA(VLOOKUP(SPLIT(S1421, "";"" &amp; CHAR(10)), $A:$AO, 41, FALSE)))))"),"RIdg2;")</f>
        <v>RIdg2;</v>
      </c>
      <c r="AP1421" s="89"/>
    </row>
    <row r="1422">
      <c r="A1422" s="151" t="str">
        <f>IFERROR(__xludf.DUMMYFUNCTION("""COMPUTED_VALUE"""),"RIdg3")</f>
        <v>RIdg3</v>
      </c>
      <c r="B1422" s="42" t="str">
        <f>IFERROR(__xludf.DUMMYFUNCTION("""COMPUTED_VALUE"""),"DHBA")</f>
        <v>DHBA</v>
      </c>
      <c r="C1422" s="42" t="str">
        <f>IFERROR(__xludf.DUMMYFUNCTION("""COMPUTED_VALUE"""),"layer III of dysgranular insular cortex")</f>
        <v>layer III of dysgranular insular cortex</v>
      </c>
      <c r="D1422" s="42">
        <f>IFERROR(__xludf.DUMMYFUNCTION("""COMPUTED_VALUE"""),1348.0)</f>
        <v>1348</v>
      </c>
      <c r="E1422" s="39" t="str">
        <f>IFERROR(__xludf.DUMMYFUNCTION("""COMPUTED_VALUE"""),"layer III of dysgranular insular cortex")</f>
        <v>layer III of dysgranular insular cortex</v>
      </c>
      <c r="F1422" s="9" t="str">
        <f>IFERROR(__xludf.DUMMYFUNCTION("""COMPUTED_VALUE"""),"Br")</f>
        <v>Br</v>
      </c>
      <c r="G1422" s="9" t="str">
        <f>IFERROR(__xludf.DUMMYFUNCTION("""COMPUTED_VALUE"""),"F")</f>
        <v>F</v>
      </c>
      <c r="H1422" s="9" t="str">
        <f>IFERROR(__xludf.DUMMYFUNCTION("""COMPUTED_VALUE"""),"FGM")</f>
        <v>FGM</v>
      </c>
      <c r="I1422" s="9" t="str">
        <f>IFERROR(__xludf.DUMMYFUNCTION("""COMPUTED_VALUE"""),"Tel")</f>
        <v>Tel</v>
      </c>
      <c r="J1422" s="9" t="str">
        <f>IFERROR(__xludf.DUMMYFUNCTION("""COMPUTED_VALUE"""),"Cx")</f>
        <v>Cx</v>
      </c>
      <c r="K1422" s="9" t="str">
        <f>IFERROR(__xludf.DUMMYFUNCTION("""COMPUTED_VALUE"""),"NCx")</f>
        <v>NCx</v>
      </c>
      <c r="L1422" s="9" t="str">
        <f>IFERROR(__xludf.DUMMYFUNCTION("""COMPUTED_VALUE"""),"ICx")</f>
        <v>ICx</v>
      </c>
      <c r="M1422" s="9" t="str">
        <f>IFERROR(__xludf.DUMMYFUNCTION("""COMPUTED_VALUE"""),"Idg")</f>
        <v>Idg</v>
      </c>
      <c r="N1422" s="9" t="str">
        <f>IFERROR(__xludf.DUMMYFUNCTION("""COMPUTED_VALUE"""),"RIdg")</f>
        <v>RIdg</v>
      </c>
      <c r="O1422" s="9" t="str">
        <f>IFERROR(__xludf.DUMMYFUNCTION("""COMPUTED_VALUE"""),"RIdg3")</f>
        <v>RIdg3</v>
      </c>
      <c r="P1422" s="9"/>
      <c r="Q1422" s="9"/>
      <c r="R1422" s="9"/>
      <c r="S1422" s="42"/>
      <c r="T1422" s="42"/>
      <c r="U1422" s="42"/>
      <c r="V1422" s="42"/>
      <c r="W1422" s="42"/>
      <c r="X1422" s="42"/>
      <c r="Y1422" s="42"/>
      <c r="Z1422" s="42"/>
      <c r="AA1422" s="42"/>
      <c r="AB1422" s="42" t="str">
        <f>IFERROR(__xludf.DUMMYFUNCTION("""COMPUTED_VALUE"""),"allen institute")</f>
        <v>allen institute</v>
      </c>
      <c r="AC1422" s="42" t="str">
        <f>IFERROR(__xludf.DUMMYFUNCTION("""COMPUTED_VALUE"""),"DHBA")</f>
        <v>DHBA</v>
      </c>
      <c r="AD1422" s="42"/>
      <c r="AE1422" s="42"/>
      <c r="AF1422" s="9"/>
      <c r="AG1422" s="9"/>
      <c r="AH1422" s="42"/>
      <c r="AI1422" s="42"/>
      <c r="AJ1422" s="42"/>
      <c r="AK1422" s="42"/>
      <c r="AL1422" s="42"/>
      <c r="AM1422" s="42"/>
      <c r="AN1422" s="42"/>
      <c r="AO1422" s="63" t="str">
        <f>IFERROR(__xludf.DUMMYFUNCTION("IF(ISBLANK(A1422),,IF(ISBLANK(S1422), A1422&amp;"";"", TEXTJOIN(CHAR(10), TRUE, A1422&amp;"";"", ARRAYFORMULA(VLOOKUP(SPLIT(S1422, "";"" &amp; CHAR(10)), $A:$AO, 41, FALSE)))))"),"RIdg3;")</f>
        <v>RIdg3;</v>
      </c>
      <c r="AP1422" s="89"/>
    </row>
    <row r="1423">
      <c r="A1423" s="151" t="str">
        <f>IFERROR(__xludf.DUMMYFUNCTION("""COMPUTED_VALUE"""),"RIdg4")</f>
        <v>RIdg4</v>
      </c>
      <c r="B1423" s="42" t="str">
        <f>IFERROR(__xludf.DUMMYFUNCTION("""COMPUTED_VALUE"""),"DHBA")</f>
        <v>DHBA</v>
      </c>
      <c r="C1423" s="42" t="str">
        <f>IFERROR(__xludf.DUMMYFUNCTION("""COMPUTED_VALUE"""),"layer IV of dysgranular insular cortex")</f>
        <v>layer IV of dysgranular insular cortex</v>
      </c>
      <c r="D1423" s="42">
        <f>IFERROR(__xludf.DUMMYFUNCTION("""COMPUTED_VALUE"""),1349.0)</f>
        <v>1349</v>
      </c>
      <c r="E1423" s="39" t="str">
        <f>IFERROR(__xludf.DUMMYFUNCTION("""COMPUTED_VALUE"""),"layer IV of dysgranular insular cortex")</f>
        <v>layer IV of dysgranular insular cortex</v>
      </c>
      <c r="F1423" s="9" t="str">
        <f>IFERROR(__xludf.DUMMYFUNCTION("""COMPUTED_VALUE"""),"Br")</f>
        <v>Br</v>
      </c>
      <c r="G1423" s="9" t="str">
        <f>IFERROR(__xludf.DUMMYFUNCTION("""COMPUTED_VALUE"""),"F")</f>
        <v>F</v>
      </c>
      <c r="H1423" s="9" t="str">
        <f>IFERROR(__xludf.DUMMYFUNCTION("""COMPUTED_VALUE"""),"FGM")</f>
        <v>FGM</v>
      </c>
      <c r="I1423" s="9" t="str">
        <f>IFERROR(__xludf.DUMMYFUNCTION("""COMPUTED_VALUE"""),"Tel")</f>
        <v>Tel</v>
      </c>
      <c r="J1423" s="9" t="str">
        <f>IFERROR(__xludf.DUMMYFUNCTION("""COMPUTED_VALUE"""),"Cx")</f>
        <v>Cx</v>
      </c>
      <c r="K1423" s="9" t="str">
        <f>IFERROR(__xludf.DUMMYFUNCTION("""COMPUTED_VALUE"""),"NCx")</f>
        <v>NCx</v>
      </c>
      <c r="L1423" s="9" t="str">
        <f>IFERROR(__xludf.DUMMYFUNCTION("""COMPUTED_VALUE"""),"ICx")</f>
        <v>ICx</v>
      </c>
      <c r="M1423" s="9" t="str">
        <f>IFERROR(__xludf.DUMMYFUNCTION("""COMPUTED_VALUE"""),"Idg")</f>
        <v>Idg</v>
      </c>
      <c r="N1423" s="9" t="str">
        <f>IFERROR(__xludf.DUMMYFUNCTION("""COMPUTED_VALUE"""),"RIdg")</f>
        <v>RIdg</v>
      </c>
      <c r="O1423" s="9" t="str">
        <f>IFERROR(__xludf.DUMMYFUNCTION("""COMPUTED_VALUE"""),"RIdg4")</f>
        <v>RIdg4</v>
      </c>
      <c r="P1423" s="9"/>
      <c r="Q1423" s="9"/>
      <c r="R1423" s="9"/>
      <c r="S1423" s="42"/>
      <c r="T1423" s="42"/>
      <c r="U1423" s="42"/>
      <c r="V1423" s="42"/>
      <c r="W1423" s="42"/>
      <c r="X1423" s="42"/>
      <c r="Y1423" s="42"/>
      <c r="Z1423" s="42"/>
      <c r="AA1423" s="42"/>
      <c r="AB1423" s="42" t="str">
        <f>IFERROR(__xludf.DUMMYFUNCTION("""COMPUTED_VALUE"""),"allen institute")</f>
        <v>allen institute</v>
      </c>
      <c r="AC1423" s="42" t="str">
        <f>IFERROR(__xludf.DUMMYFUNCTION("""COMPUTED_VALUE"""),"DHBA")</f>
        <v>DHBA</v>
      </c>
      <c r="AD1423" s="42"/>
      <c r="AE1423" s="42"/>
      <c r="AF1423" s="9"/>
      <c r="AG1423" s="9"/>
      <c r="AH1423" s="42"/>
      <c r="AI1423" s="42"/>
      <c r="AJ1423" s="42"/>
      <c r="AK1423" s="42"/>
      <c r="AL1423" s="42"/>
      <c r="AM1423" s="42"/>
      <c r="AN1423" s="42"/>
      <c r="AO1423" s="63" t="str">
        <f>IFERROR(__xludf.DUMMYFUNCTION("IF(ISBLANK(A1423),,IF(ISBLANK(S1423), A1423&amp;"";"", TEXTJOIN(CHAR(10), TRUE, A1423&amp;"";"", ARRAYFORMULA(VLOOKUP(SPLIT(S1423, "";"" &amp; CHAR(10)), $A:$AO, 41, FALSE)))))"),"RIdg4;")</f>
        <v>RIdg4;</v>
      </c>
      <c r="AP1423" s="89"/>
    </row>
    <row r="1424">
      <c r="A1424" s="151" t="str">
        <f>IFERROR(__xludf.DUMMYFUNCTION("""COMPUTED_VALUE"""),"RIdg5")</f>
        <v>RIdg5</v>
      </c>
      <c r="B1424" s="42" t="str">
        <f>IFERROR(__xludf.DUMMYFUNCTION("""COMPUTED_VALUE"""),"DHBA")</f>
        <v>DHBA</v>
      </c>
      <c r="C1424" s="42" t="str">
        <f>IFERROR(__xludf.DUMMYFUNCTION("""COMPUTED_VALUE"""),"layer V of dysgranular insular cortex")</f>
        <v>layer V of dysgranular insular cortex</v>
      </c>
      <c r="D1424" s="42">
        <f>IFERROR(__xludf.DUMMYFUNCTION("""COMPUTED_VALUE"""),1350.0)</f>
        <v>1350</v>
      </c>
      <c r="E1424" s="39" t="str">
        <f>IFERROR(__xludf.DUMMYFUNCTION("""COMPUTED_VALUE"""),"layer V of dysgranular insular cortex")</f>
        <v>layer V of dysgranular insular cortex</v>
      </c>
      <c r="F1424" s="9" t="str">
        <f>IFERROR(__xludf.DUMMYFUNCTION("""COMPUTED_VALUE"""),"Br")</f>
        <v>Br</v>
      </c>
      <c r="G1424" s="9" t="str">
        <f>IFERROR(__xludf.DUMMYFUNCTION("""COMPUTED_VALUE"""),"F")</f>
        <v>F</v>
      </c>
      <c r="H1424" s="9" t="str">
        <f>IFERROR(__xludf.DUMMYFUNCTION("""COMPUTED_VALUE"""),"FGM")</f>
        <v>FGM</v>
      </c>
      <c r="I1424" s="9" t="str">
        <f>IFERROR(__xludf.DUMMYFUNCTION("""COMPUTED_VALUE"""),"Tel")</f>
        <v>Tel</v>
      </c>
      <c r="J1424" s="9" t="str">
        <f>IFERROR(__xludf.DUMMYFUNCTION("""COMPUTED_VALUE"""),"Cx")</f>
        <v>Cx</v>
      </c>
      <c r="K1424" s="9" t="str">
        <f>IFERROR(__xludf.DUMMYFUNCTION("""COMPUTED_VALUE"""),"NCx")</f>
        <v>NCx</v>
      </c>
      <c r="L1424" s="9" t="str">
        <f>IFERROR(__xludf.DUMMYFUNCTION("""COMPUTED_VALUE"""),"ICx")</f>
        <v>ICx</v>
      </c>
      <c r="M1424" s="9" t="str">
        <f>IFERROR(__xludf.DUMMYFUNCTION("""COMPUTED_VALUE"""),"Idg")</f>
        <v>Idg</v>
      </c>
      <c r="N1424" s="9" t="str">
        <f>IFERROR(__xludf.DUMMYFUNCTION("""COMPUTED_VALUE"""),"RIdg")</f>
        <v>RIdg</v>
      </c>
      <c r="O1424" s="9" t="str">
        <f>IFERROR(__xludf.DUMMYFUNCTION("""COMPUTED_VALUE"""),"RIdg5")</f>
        <v>RIdg5</v>
      </c>
      <c r="P1424" s="9"/>
      <c r="Q1424" s="9"/>
      <c r="R1424" s="9"/>
      <c r="S1424" s="42"/>
      <c r="T1424" s="42"/>
      <c r="U1424" s="159"/>
      <c r="V1424" s="42"/>
      <c r="W1424" s="42"/>
      <c r="X1424" s="42"/>
      <c r="Y1424" s="42"/>
      <c r="Z1424" s="42"/>
      <c r="AA1424" s="42"/>
      <c r="AB1424" s="42" t="str">
        <f>IFERROR(__xludf.DUMMYFUNCTION("""COMPUTED_VALUE"""),"allen institute")</f>
        <v>allen institute</v>
      </c>
      <c r="AC1424" s="42" t="str">
        <f>IFERROR(__xludf.DUMMYFUNCTION("""COMPUTED_VALUE"""),"DHBA")</f>
        <v>DHBA</v>
      </c>
      <c r="AD1424" s="42"/>
      <c r="AE1424" s="42"/>
      <c r="AF1424" s="9"/>
      <c r="AG1424" s="9"/>
      <c r="AH1424" s="42"/>
      <c r="AI1424" s="42"/>
      <c r="AJ1424" s="42"/>
      <c r="AK1424" s="42"/>
      <c r="AL1424" s="42"/>
      <c r="AM1424" s="42"/>
      <c r="AN1424" s="42"/>
      <c r="AO1424" s="63" t="str">
        <f>IFERROR(__xludf.DUMMYFUNCTION("IF(ISBLANK(A1424),,IF(ISBLANK(S1424), A1424&amp;"";"", TEXTJOIN(CHAR(10), TRUE, A1424&amp;"";"", ARRAYFORMULA(VLOOKUP(SPLIT(S1424, "";"" &amp; CHAR(10)), $A:$AO, 41, FALSE)))))"),"RIdg5;")</f>
        <v>RIdg5;</v>
      </c>
      <c r="AP1424" s="89"/>
    </row>
    <row r="1425">
      <c r="A1425" s="151" t="str">
        <f>IFERROR(__xludf.DUMMYFUNCTION("""COMPUTED_VALUE"""),"RIdg6")</f>
        <v>RIdg6</v>
      </c>
      <c r="B1425" s="42" t="str">
        <f>IFERROR(__xludf.DUMMYFUNCTION("""COMPUTED_VALUE"""),"DHBA")</f>
        <v>DHBA</v>
      </c>
      <c r="C1425" s="42" t="str">
        <f>IFERROR(__xludf.DUMMYFUNCTION("""COMPUTED_VALUE"""),"layer VI of dysgranular insular cortex")</f>
        <v>layer VI of dysgranular insular cortex</v>
      </c>
      <c r="D1425" s="42">
        <f>IFERROR(__xludf.DUMMYFUNCTION("""COMPUTED_VALUE"""),1351.0)</f>
        <v>1351</v>
      </c>
      <c r="E1425" s="39" t="str">
        <f>IFERROR(__xludf.DUMMYFUNCTION("""COMPUTED_VALUE"""),"layer VI of dysgranular insular cortex")</f>
        <v>layer VI of dysgranular insular cortex</v>
      </c>
      <c r="F1425" s="9" t="str">
        <f>IFERROR(__xludf.DUMMYFUNCTION("""COMPUTED_VALUE"""),"Br")</f>
        <v>Br</v>
      </c>
      <c r="G1425" s="9" t="str">
        <f>IFERROR(__xludf.DUMMYFUNCTION("""COMPUTED_VALUE"""),"F")</f>
        <v>F</v>
      </c>
      <c r="H1425" s="9" t="str">
        <f>IFERROR(__xludf.DUMMYFUNCTION("""COMPUTED_VALUE"""),"FGM")</f>
        <v>FGM</v>
      </c>
      <c r="I1425" s="9" t="str">
        <f>IFERROR(__xludf.DUMMYFUNCTION("""COMPUTED_VALUE"""),"Tel")</f>
        <v>Tel</v>
      </c>
      <c r="J1425" s="9" t="str">
        <f>IFERROR(__xludf.DUMMYFUNCTION("""COMPUTED_VALUE"""),"Cx")</f>
        <v>Cx</v>
      </c>
      <c r="K1425" s="9" t="str">
        <f>IFERROR(__xludf.DUMMYFUNCTION("""COMPUTED_VALUE"""),"NCx")</f>
        <v>NCx</v>
      </c>
      <c r="L1425" s="9" t="str">
        <f>IFERROR(__xludf.DUMMYFUNCTION("""COMPUTED_VALUE"""),"ICx")</f>
        <v>ICx</v>
      </c>
      <c r="M1425" s="9" t="str">
        <f>IFERROR(__xludf.DUMMYFUNCTION("""COMPUTED_VALUE"""),"Idg")</f>
        <v>Idg</v>
      </c>
      <c r="N1425" s="9" t="str">
        <f>IFERROR(__xludf.DUMMYFUNCTION("""COMPUTED_VALUE"""),"RIdg")</f>
        <v>RIdg</v>
      </c>
      <c r="O1425" s="9" t="str">
        <f>IFERROR(__xludf.DUMMYFUNCTION("""COMPUTED_VALUE"""),"RIdg6")</f>
        <v>RIdg6</v>
      </c>
      <c r="P1425" s="9"/>
      <c r="Q1425" s="9"/>
      <c r="R1425" s="9"/>
      <c r="S1425" s="42"/>
      <c r="T1425" s="42"/>
      <c r="U1425" s="42"/>
      <c r="V1425" s="42"/>
      <c r="W1425" s="42"/>
      <c r="X1425" s="42"/>
      <c r="Y1425" s="42"/>
      <c r="Z1425" s="42"/>
      <c r="AA1425" s="42"/>
      <c r="AB1425" s="42" t="str">
        <f>IFERROR(__xludf.DUMMYFUNCTION("""COMPUTED_VALUE"""),"allen institute")</f>
        <v>allen institute</v>
      </c>
      <c r="AC1425" s="42" t="str">
        <f>IFERROR(__xludf.DUMMYFUNCTION("""COMPUTED_VALUE"""),"DHBA")</f>
        <v>DHBA</v>
      </c>
      <c r="AD1425" s="42"/>
      <c r="AE1425" s="42"/>
      <c r="AF1425" s="9"/>
      <c r="AG1425" s="9"/>
      <c r="AH1425" s="42"/>
      <c r="AI1425" s="42"/>
      <c r="AJ1425" s="42"/>
      <c r="AK1425" s="42"/>
      <c r="AL1425" s="42"/>
      <c r="AM1425" s="42"/>
      <c r="AN1425" s="42"/>
      <c r="AO1425" s="63" t="str">
        <f>IFERROR(__xludf.DUMMYFUNCTION("IF(ISBLANK(A1425),,IF(ISBLANK(S1425), A1425&amp;"";"", TEXTJOIN(CHAR(10), TRUE, A1425&amp;"";"", ARRAYFORMULA(VLOOKUP(SPLIT(S1425, "";"" &amp; CHAR(10)), $A:$AO, 41, FALSE)))))"),"RIdg6;")</f>
        <v>RIdg6;</v>
      </c>
      <c r="AP1425" s="89"/>
    </row>
    <row r="1426">
      <c r="A1426" s="151" t="str">
        <f>IFERROR(__xludf.DUMMYFUNCTION("""COMPUTED_VALUE"""),"CIdg")</f>
        <v>CIdg</v>
      </c>
      <c r="B1426" s="42" t="str">
        <f>IFERROR(__xludf.DUMMYFUNCTION("""COMPUTED_VALUE"""),"DHBA")</f>
        <v>DHBA</v>
      </c>
      <c r="C1426" s="42" t="str">
        <f>IFERROR(__xludf.DUMMYFUNCTION("""COMPUTED_VALUE"""),"caudal dysgranular insular cortex")</f>
        <v>caudal dysgranular insular cortex</v>
      </c>
      <c r="D1426" s="42">
        <f>IFERROR(__xludf.DUMMYFUNCTION("""COMPUTED_VALUE"""),1352.0)</f>
        <v>1352</v>
      </c>
      <c r="E1426" s="39" t="str">
        <f>IFERROR(__xludf.DUMMYFUNCTION("""COMPUTED_VALUE"""),"caudal dysgranular insular cortex")</f>
        <v>caudal dysgranular insular cortex</v>
      </c>
      <c r="F1426" s="9" t="str">
        <f>IFERROR(__xludf.DUMMYFUNCTION("""COMPUTED_VALUE"""),"Br")</f>
        <v>Br</v>
      </c>
      <c r="G1426" s="9" t="str">
        <f>IFERROR(__xludf.DUMMYFUNCTION("""COMPUTED_VALUE"""),"F")</f>
        <v>F</v>
      </c>
      <c r="H1426" s="9" t="str">
        <f>IFERROR(__xludf.DUMMYFUNCTION("""COMPUTED_VALUE"""),"FGM")</f>
        <v>FGM</v>
      </c>
      <c r="I1426" s="9" t="str">
        <f>IFERROR(__xludf.DUMMYFUNCTION("""COMPUTED_VALUE"""),"Tel")</f>
        <v>Tel</v>
      </c>
      <c r="J1426" s="9" t="str">
        <f>IFERROR(__xludf.DUMMYFUNCTION("""COMPUTED_VALUE"""),"Cx")</f>
        <v>Cx</v>
      </c>
      <c r="K1426" s="9" t="str">
        <f>IFERROR(__xludf.DUMMYFUNCTION("""COMPUTED_VALUE"""),"NCx")</f>
        <v>NCx</v>
      </c>
      <c r="L1426" s="9" t="str">
        <f>IFERROR(__xludf.DUMMYFUNCTION("""COMPUTED_VALUE"""),"ICx")</f>
        <v>ICx</v>
      </c>
      <c r="M1426" s="9" t="str">
        <f>IFERROR(__xludf.DUMMYFUNCTION("""COMPUTED_VALUE"""),"Idg")</f>
        <v>Idg</v>
      </c>
      <c r="N1426" s="9" t="str">
        <f>IFERROR(__xludf.DUMMYFUNCTION("""COMPUTED_VALUE"""),"CIdg")</f>
        <v>CIdg</v>
      </c>
      <c r="O1426" s="9"/>
      <c r="P1426" s="9"/>
      <c r="Q1426" s="9"/>
      <c r="R1426" s="9"/>
      <c r="S1426" s="42" t="str">
        <f>IFERROR(__xludf.DUMMYFUNCTION("""COMPUTED_VALUE"""),"CIdg1;
CIdg2;
CIdg3;
CIdg4;
CIdg5;
CIdg6")</f>
        <v>CIdg1;
CIdg2;
CIdg3;
CIdg4;
CIdg5;
CIdg6</v>
      </c>
      <c r="T1426" s="42"/>
      <c r="U1426" s="42" t="b">
        <f>IFERROR(__xludf.DUMMYFUNCTION("""COMPUTED_VALUE"""),FALSE)</f>
        <v>0</v>
      </c>
      <c r="V1426" s="42"/>
      <c r="W1426" s="42"/>
      <c r="X1426" s="42"/>
      <c r="Y1426" s="42"/>
      <c r="Z1426" s="42"/>
      <c r="AA1426" s="42"/>
      <c r="AB1426" s="42" t="str">
        <f>IFERROR(__xludf.DUMMYFUNCTION("""COMPUTED_VALUE"""),"allen institute")</f>
        <v>allen institute</v>
      </c>
      <c r="AC1426" s="42" t="str">
        <f>IFERROR(__xludf.DUMMYFUNCTION("""COMPUTED_VALUE"""),"DHBA")</f>
        <v>DHBA</v>
      </c>
      <c r="AD1426" s="42"/>
      <c r="AE1426" s="42"/>
      <c r="AF1426" s="9"/>
      <c r="AG1426" s="9"/>
      <c r="AH1426" s="42"/>
      <c r="AI1426" s="42"/>
      <c r="AJ1426" s="42"/>
      <c r="AK1426" s="42"/>
      <c r="AL1426" s="42"/>
      <c r="AM1426" s="42"/>
      <c r="AN1426" s="42"/>
      <c r="AO1426" s="63" t="str">
        <f>IFERROR(__xludf.DUMMYFUNCTION("IF(ISBLANK(A1426),,IF(ISBLANK(S1426), A1426&amp;"";"", TEXTJOIN(CHAR(10), TRUE, A1426&amp;"";"", ARRAYFORMULA(VLOOKUP(SPLIT(S1426, "";"" &amp; CHAR(10)), $A:$AO, 41, FALSE)))))"),"CIdg;
CIdg1;
CIdg2;
CIdg3;
CIdg4;
CIdg5;
CIdg6;")</f>
        <v>CIdg;
CIdg1;
CIdg2;
CIdg3;
CIdg4;
CIdg5;
CIdg6;</v>
      </c>
      <c r="AP1426" s="89"/>
    </row>
    <row r="1427">
      <c r="A1427" s="151" t="str">
        <f>IFERROR(__xludf.DUMMYFUNCTION("""COMPUTED_VALUE"""),"CIdg1")</f>
        <v>CIdg1</v>
      </c>
      <c r="B1427" s="42" t="str">
        <f>IFERROR(__xludf.DUMMYFUNCTION("""COMPUTED_VALUE"""),"DHBA")</f>
        <v>DHBA</v>
      </c>
      <c r="C1427" s="42" t="str">
        <f>IFERROR(__xludf.DUMMYFUNCTION("""COMPUTED_VALUE"""),"layer I of caudal dysgranular insular cortex")</f>
        <v>layer I of caudal dysgranular insular cortex</v>
      </c>
      <c r="D1427" s="42">
        <f>IFERROR(__xludf.DUMMYFUNCTION("""COMPUTED_VALUE"""),1353.0)</f>
        <v>1353</v>
      </c>
      <c r="E1427" s="39" t="str">
        <f>IFERROR(__xludf.DUMMYFUNCTION("""COMPUTED_VALUE"""),"layer I of caudal dysgranular insular cortex")</f>
        <v>layer I of caudal dysgranular insular cortex</v>
      </c>
      <c r="F1427" s="9" t="str">
        <f>IFERROR(__xludf.DUMMYFUNCTION("""COMPUTED_VALUE"""),"Br")</f>
        <v>Br</v>
      </c>
      <c r="G1427" s="9" t="str">
        <f>IFERROR(__xludf.DUMMYFUNCTION("""COMPUTED_VALUE"""),"F")</f>
        <v>F</v>
      </c>
      <c r="H1427" s="9" t="str">
        <f>IFERROR(__xludf.DUMMYFUNCTION("""COMPUTED_VALUE"""),"FGM")</f>
        <v>FGM</v>
      </c>
      <c r="I1427" s="9" t="str">
        <f>IFERROR(__xludf.DUMMYFUNCTION("""COMPUTED_VALUE"""),"Tel")</f>
        <v>Tel</v>
      </c>
      <c r="J1427" s="9" t="str">
        <f>IFERROR(__xludf.DUMMYFUNCTION("""COMPUTED_VALUE"""),"Cx")</f>
        <v>Cx</v>
      </c>
      <c r="K1427" s="9" t="str">
        <f>IFERROR(__xludf.DUMMYFUNCTION("""COMPUTED_VALUE"""),"NCx")</f>
        <v>NCx</v>
      </c>
      <c r="L1427" s="9" t="str">
        <f>IFERROR(__xludf.DUMMYFUNCTION("""COMPUTED_VALUE"""),"ICx")</f>
        <v>ICx</v>
      </c>
      <c r="M1427" s="9" t="str">
        <f>IFERROR(__xludf.DUMMYFUNCTION("""COMPUTED_VALUE"""),"Idg")</f>
        <v>Idg</v>
      </c>
      <c r="N1427" s="9" t="str">
        <f>IFERROR(__xludf.DUMMYFUNCTION("""COMPUTED_VALUE"""),"CIdg")</f>
        <v>CIdg</v>
      </c>
      <c r="O1427" s="9" t="str">
        <f>IFERROR(__xludf.DUMMYFUNCTION("""COMPUTED_VALUE"""),"CIdg1")</f>
        <v>CIdg1</v>
      </c>
      <c r="P1427" s="9"/>
      <c r="Q1427" s="9"/>
      <c r="R1427" s="9"/>
      <c r="S1427" s="42"/>
      <c r="T1427" s="42"/>
      <c r="U1427" s="159"/>
      <c r="V1427" s="42"/>
      <c r="W1427" s="42"/>
      <c r="X1427" s="42"/>
      <c r="Y1427" s="42"/>
      <c r="Z1427" s="42"/>
      <c r="AA1427" s="42"/>
      <c r="AB1427" s="42" t="str">
        <f>IFERROR(__xludf.DUMMYFUNCTION("""COMPUTED_VALUE"""),"allen institute")</f>
        <v>allen institute</v>
      </c>
      <c r="AC1427" s="42" t="str">
        <f>IFERROR(__xludf.DUMMYFUNCTION("""COMPUTED_VALUE"""),"DHBA")</f>
        <v>DHBA</v>
      </c>
      <c r="AD1427" s="42"/>
      <c r="AE1427" s="42"/>
      <c r="AF1427" s="9"/>
      <c r="AG1427" s="9"/>
      <c r="AH1427" s="42"/>
      <c r="AI1427" s="42"/>
      <c r="AJ1427" s="42"/>
      <c r="AK1427" s="42"/>
      <c r="AL1427" s="42"/>
      <c r="AM1427" s="42"/>
      <c r="AN1427" s="42"/>
      <c r="AO1427" s="63" t="str">
        <f>IFERROR(__xludf.DUMMYFUNCTION("IF(ISBLANK(A1427),,IF(ISBLANK(S1427), A1427&amp;"";"", TEXTJOIN(CHAR(10), TRUE, A1427&amp;"";"", ARRAYFORMULA(VLOOKUP(SPLIT(S1427, "";"" &amp; CHAR(10)), $A:$AO, 41, FALSE)))))"),"CIdg1;")</f>
        <v>CIdg1;</v>
      </c>
      <c r="AP1427" s="89"/>
    </row>
    <row r="1428">
      <c r="A1428" s="151" t="str">
        <f>IFERROR(__xludf.DUMMYFUNCTION("""COMPUTED_VALUE"""),"CIdg2")</f>
        <v>CIdg2</v>
      </c>
      <c r="B1428" s="42" t="str">
        <f>IFERROR(__xludf.DUMMYFUNCTION("""COMPUTED_VALUE"""),"DHBA")</f>
        <v>DHBA</v>
      </c>
      <c r="C1428" s="42" t="str">
        <f>IFERROR(__xludf.DUMMYFUNCTION("""COMPUTED_VALUE"""),"layer II of caudal dysgranular insular cortex")</f>
        <v>layer II of caudal dysgranular insular cortex</v>
      </c>
      <c r="D1428" s="42">
        <f>IFERROR(__xludf.DUMMYFUNCTION("""COMPUTED_VALUE"""),1354.0)</f>
        <v>1354</v>
      </c>
      <c r="E1428" s="39" t="str">
        <f>IFERROR(__xludf.DUMMYFUNCTION("""COMPUTED_VALUE"""),"layer II of caudal dysgranular insular cortex")</f>
        <v>layer II of caudal dysgranular insular cortex</v>
      </c>
      <c r="F1428" s="9" t="str">
        <f>IFERROR(__xludf.DUMMYFUNCTION("""COMPUTED_VALUE"""),"Br")</f>
        <v>Br</v>
      </c>
      <c r="G1428" s="9" t="str">
        <f>IFERROR(__xludf.DUMMYFUNCTION("""COMPUTED_VALUE"""),"F")</f>
        <v>F</v>
      </c>
      <c r="H1428" s="9" t="str">
        <f>IFERROR(__xludf.DUMMYFUNCTION("""COMPUTED_VALUE"""),"FGM")</f>
        <v>FGM</v>
      </c>
      <c r="I1428" s="9" t="str">
        <f>IFERROR(__xludf.DUMMYFUNCTION("""COMPUTED_VALUE"""),"Tel")</f>
        <v>Tel</v>
      </c>
      <c r="J1428" s="9" t="str">
        <f>IFERROR(__xludf.DUMMYFUNCTION("""COMPUTED_VALUE"""),"Cx")</f>
        <v>Cx</v>
      </c>
      <c r="K1428" s="9" t="str">
        <f>IFERROR(__xludf.DUMMYFUNCTION("""COMPUTED_VALUE"""),"NCx")</f>
        <v>NCx</v>
      </c>
      <c r="L1428" s="9" t="str">
        <f>IFERROR(__xludf.DUMMYFUNCTION("""COMPUTED_VALUE"""),"ICx")</f>
        <v>ICx</v>
      </c>
      <c r="M1428" s="9" t="str">
        <f>IFERROR(__xludf.DUMMYFUNCTION("""COMPUTED_VALUE"""),"Idg")</f>
        <v>Idg</v>
      </c>
      <c r="N1428" s="9" t="str">
        <f>IFERROR(__xludf.DUMMYFUNCTION("""COMPUTED_VALUE"""),"CIdg")</f>
        <v>CIdg</v>
      </c>
      <c r="O1428" s="9" t="str">
        <f>IFERROR(__xludf.DUMMYFUNCTION("""COMPUTED_VALUE"""),"CIdg2")</f>
        <v>CIdg2</v>
      </c>
      <c r="P1428" s="9"/>
      <c r="Q1428" s="9"/>
      <c r="R1428" s="9"/>
      <c r="S1428" s="42"/>
      <c r="T1428" s="42"/>
      <c r="U1428" s="42"/>
      <c r="V1428" s="42"/>
      <c r="W1428" s="42"/>
      <c r="X1428" s="42"/>
      <c r="Y1428" s="42"/>
      <c r="Z1428" s="42"/>
      <c r="AA1428" s="42"/>
      <c r="AB1428" s="42" t="str">
        <f>IFERROR(__xludf.DUMMYFUNCTION("""COMPUTED_VALUE"""),"allen institute")</f>
        <v>allen institute</v>
      </c>
      <c r="AC1428" s="42" t="str">
        <f>IFERROR(__xludf.DUMMYFUNCTION("""COMPUTED_VALUE"""),"DHBA")</f>
        <v>DHBA</v>
      </c>
      <c r="AD1428" s="42"/>
      <c r="AE1428" s="42"/>
      <c r="AF1428" s="9"/>
      <c r="AG1428" s="9"/>
      <c r="AH1428" s="42"/>
      <c r="AI1428" s="42"/>
      <c r="AJ1428" s="42"/>
      <c r="AK1428" s="42"/>
      <c r="AL1428" s="42"/>
      <c r="AM1428" s="42"/>
      <c r="AN1428" s="42"/>
      <c r="AO1428" s="63" t="str">
        <f>IFERROR(__xludf.DUMMYFUNCTION("IF(ISBLANK(A1428),,IF(ISBLANK(S1428), A1428&amp;"";"", TEXTJOIN(CHAR(10), TRUE, A1428&amp;"";"", ARRAYFORMULA(VLOOKUP(SPLIT(S1428, "";"" &amp; CHAR(10)), $A:$AO, 41, FALSE)))))"),"CIdg2;")</f>
        <v>CIdg2;</v>
      </c>
      <c r="AP1428" s="89"/>
    </row>
    <row r="1429">
      <c r="A1429" s="151" t="str">
        <f>IFERROR(__xludf.DUMMYFUNCTION("""COMPUTED_VALUE"""),"CIdg3")</f>
        <v>CIdg3</v>
      </c>
      <c r="B1429" s="42" t="str">
        <f>IFERROR(__xludf.DUMMYFUNCTION("""COMPUTED_VALUE"""),"DHBA")</f>
        <v>DHBA</v>
      </c>
      <c r="C1429" s="42" t="str">
        <f>IFERROR(__xludf.DUMMYFUNCTION("""COMPUTED_VALUE"""),"layer III of caudal dysgranular insular cortex")</f>
        <v>layer III of caudal dysgranular insular cortex</v>
      </c>
      <c r="D1429" s="42">
        <f>IFERROR(__xludf.DUMMYFUNCTION("""COMPUTED_VALUE"""),1355.0)</f>
        <v>1355</v>
      </c>
      <c r="E1429" s="39" t="str">
        <f>IFERROR(__xludf.DUMMYFUNCTION("""COMPUTED_VALUE"""),"layer III of caudal dysgranular insular cortex")</f>
        <v>layer III of caudal dysgranular insular cortex</v>
      </c>
      <c r="F1429" s="9" t="str">
        <f>IFERROR(__xludf.DUMMYFUNCTION("""COMPUTED_VALUE"""),"Br")</f>
        <v>Br</v>
      </c>
      <c r="G1429" s="9" t="str">
        <f>IFERROR(__xludf.DUMMYFUNCTION("""COMPUTED_VALUE"""),"F")</f>
        <v>F</v>
      </c>
      <c r="H1429" s="9" t="str">
        <f>IFERROR(__xludf.DUMMYFUNCTION("""COMPUTED_VALUE"""),"FGM")</f>
        <v>FGM</v>
      </c>
      <c r="I1429" s="9" t="str">
        <f>IFERROR(__xludf.DUMMYFUNCTION("""COMPUTED_VALUE"""),"Tel")</f>
        <v>Tel</v>
      </c>
      <c r="J1429" s="9" t="str">
        <f>IFERROR(__xludf.DUMMYFUNCTION("""COMPUTED_VALUE"""),"Cx")</f>
        <v>Cx</v>
      </c>
      <c r="K1429" s="9" t="str">
        <f>IFERROR(__xludf.DUMMYFUNCTION("""COMPUTED_VALUE"""),"NCx")</f>
        <v>NCx</v>
      </c>
      <c r="L1429" s="9" t="str">
        <f>IFERROR(__xludf.DUMMYFUNCTION("""COMPUTED_VALUE"""),"ICx")</f>
        <v>ICx</v>
      </c>
      <c r="M1429" s="9" t="str">
        <f>IFERROR(__xludf.DUMMYFUNCTION("""COMPUTED_VALUE"""),"Idg")</f>
        <v>Idg</v>
      </c>
      <c r="N1429" s="9" t="str">
        <f>IFERROR(__xludf.DUMMYFUNCTION("""COMPUTED_VALUE"""),"CIdg")</f>
        <v>CIdg</v>
      </c>
      <c r="O1429" s="9" t="str">
        <f>IFERROR(__xludf.DUMMYFUNCTION("""COMPUTED_VALUE"""),"CIdg3")</f>
        <v>CIdg3</v>
      </c>
      <c r="P1429" s="9"/>
      <c r="Q1429" s="9"/>
      <c r="R1429" s="9"/>
      <c r="S1429" s="42"/>
      <c r="T1429" s="42"/>
      <c r="U1429" s="159"/>
      <c r="V1429" s="42"/>
      <c r="W1429" s="42"/>
      <c r="X1429" s="42"/>
      <c r="Y1429" s="42"/>
      <c r="Z1429" s="42"/>
      <c r="AA1429" s="42"/>
      <c r="AB1429" s="42" t="str">
        <f>IFERROR(__xludf.DUMMYFUNCTION("""COMPUTED_VALUE"""),"allen institute")</f>
        <v>allen institute</v>
      </c>
      <c r="AC1429" s="42" t="str">
        <f>IFERROR(__xludf.DUMMYFUNCTION("""COMPUTED_VALUE"""),"DHBA")</f>
        <v>DHBA</v>
      </c>
      <c r="AD1429" s="42"/>
      <c r="AE1429" s="42"/>
      <c r="AF1429" s="9"/>
      <c r="AG1429" s="9"/>
      <c r="AH1429" s="42"/>
      <c r="AI1429" s="42"/>
      <c r="AJ1429" s="42"/>
      <c r="AK1429" s="42"/>
      <c r="AL1429" s="42"/>
      <c r="AM1429" s="42"/>
      <c r="AN1429" s="42"/>
      <c r="AO1429" s="63" t="str">
        <f>IFERROR(__xludf.DUMMYFUNCTION("IF(ISBLANK(A1429),,IF(ISBLANK(S1429), A1429&amp;"";"", TEXTJOIN(CHAR(10), TRUE, A1429&amp;"";"", ARRAYFORMULA(VLOOKUP(SPLIT(S1429, "";"" &amp; CHAR(10)), $A:$AO, 41, FALSE)))))"),"CIdg3;")</f>
        <v>CIdg3;</v>
      </c>
      <c r="AP1429" s="89"/>
    </row>
    <row r="1430">
      <c r="A1430" s="151" t="str">
        <f>IFERROR(__xludf.DUMMYFUNCTION("""COMPUTED_VALUE"""),"CIdg4")</f>
        <v>CIdg4</v>
      </c>
      <c r="B1430" s="42" t="str">
        <f>IFERROR(__xludf.DUMMYFUNCTION("""COMPUTED_VALUE"""),"DHBA")</f>
        <v>DHBA</v>
      </c>
      <c r="C1430" s="42" t="str">
        <f>IFERROR(__xludf.DUMMYFUNCTION("""COMPUTED_VALUE"""),"layer IV of caudal dysgranular insular cortex")</f>
        <v>layer IV of caudal dysgranular insular cortex</v>
      </c>
      <c r="D1430" s="42">
        <f>IFERROR(__xludf.DUMMYFUNCTION("""COMPUTED_VALUE"""),1356.0)</f>
        <v>1356</v>
      </c>
      <c r="E1430" s="39" t="str">
        <f>IFERROR(__xludf.DUMMYFUNCTION("""COMPUTED_VALUE"""),"layer IV of caudal dysgranular insular cortex")</f>
        <v>layer IV of caudal dysgranular insular cortex</v>
      </c>
      <c r="F1430" s="9" t="str">
        <f>IFERROR(__xludf.DUMMYFUNCTION("""COMPUTED_VALUE"""),"Br")</f>
        <v>Br</v>
      </c>
      <c r="G1430" s="9" t="str">
        <f>IFERROR(__xludf.DUMMYFUNCTION("""COMPUTED_VALUE"""),"F")</f>
        <v>F</v>
      </c>
      <c r="H1430" s="9" t="str">
        <f>IFERROR(__xludf.DUMMYFUNCTION("""COMPUTED_VALUE"""),"FGM")</f>
        <v>FGM</v>
      </c>
      <c r="I1430" s="9" t="str">
        <f>IFERROR(__xludf.DUMMYFUNCTION("""COMPUTED_VALUE"""),"Tel")</f>
        <v>Tel</v>
      </c>
      <c r="J1430" s="9" t="str">
        <f>IFERROR(__xludf.DUMMYFUNCTION("""COMPUTED_VALUE"""),"Cx")</f>
        <v>Cx</v>
      </c>
      <c r="K1430" s="9" t="str">
        <f>IFERROR(__xludf.DUMMYFUNCTION("""COMPUTED_VALUE"""),"NCx")</f>
        <v>NCx</v>
      </c>
      <c r="L1430" s="9" t="str">
        <f>IFERROR(__xludf.DUMMYFUNCTION("""COMPUTED_VALUE"""),"ICx")</f>
        <v>ICx</v>
      </c>
      <c r="M1430" s="9" t="str">
        <f>IFERROR(__xludf.DUMMYFUNCTION("""COMPUTED_VALUE"""),"Idg")</f>
        <v>Idg</v>
      </c>
      <c r="N1430" s="9" t="str">
        <f>IFERROR(__xludf.DUMMYFUNCTION("""COMPUTED_VALUE"""),"CIdg")</f>
        <v>CIdg</v>
      </c>
      <c r="O1430" s="9" t="str">
        <f>IFERROR(__xludf.DUMMYFUNCTION("""COMPUTED_VALUE"""),"CIdg4")</f>
        <v>CIdg4</v>
      </c>
      <c r="P1430" s="9"/>
      <c r="Q1430" s="9"/>
      <c r="R1430" s="9"/>
      <c r="S1430" s="42"/>
      <c r="T1430" s="42"/>
      <c r="U1430" s="42"/>
      <c r="V1430" s="42"/>
      <c r="W1430" s="42"/>
      <c r="X1430" s="42"/>
      <c r="Y1430" s="42"/>
      <c r="Z1430" s="42"/>
      <c r="AA1430" s="42"/>
      <c r="AB1430" s="42" t="str">
        <f>IFERROR(__xludf.DUMMYFUNCTION("""COMPUTED_VALUE"""),"allen institute")</f>
        <v>allen institute</v>
      </c>
      <c r="AC1430" s="42" t="str">
        <f>IFERROR(__xludf.DUMMYFUNCTION("""COMPUTED_VALUE"""),"DHBA")</f>
        <v>DHBA</v>
      </c>
      <c r="AD1430" s="42"/>
      <c r="AE1430" s="42"/>
      <c r="AF1430" s="9"/>
      <c r="AG1430" s="9"/>
      <c r="AH1430" s="42"/>
      <c r="AI1430" s="42"/>
      <c r="AJ1430" s="42"/>
      <c r="AK1430" s="42"/>
      <c r="AL1430" s="42"/>
      <c r="AM1430" s="42"/>
      <c r="AN1430" s="42"/>
      <c r="AO1430" s="63" t="str">
        <f>IFERROR(__xludf.DUMMYFUNCTION("IF(ISBLANK(A1430),,IF(ISBLANK(S1430), A1430&amp;"";"", TEXTJOIN(CHAR(10), TRUE, A1430&amp;"";"", ARRAYFORMULA(VLOOKUP(SPLIT(S1430, "";"" &amp; CHAR(10)), $A:$AO, 41, FALSE)))))"),"CIdg4;")</f>
        <v>CIdg4;</v>
      </c>
      <c r="AP1430" s="89"/>
    </row>
    <row r="1431">
      <c r="A1431" s="151" t="str">
        <f>IFERROR(__xludf.DUMMYFUNCTION("""COMPUTED_VALUE"""),"CIdg5")</f>
        <v>CIdg5</v>
      </c>
      <c r="B1431" s="42" t="str">
        <f>IFERROR(__xludf.DUMMYFUNCTION("""COMPUTED_VALUE"""),"DHBA")</f>
        <v>DHBA</v>
      </c>
      <c r="C1431" s="42" t="str">
        <f>IFERROR(__xludf.DUMMYFUNCTION("""COMPUTED_VALUE"""),"layer V of caudal dysgranular insular cortex")</f>
        <v>layer V of caudal dysgranular insular cortex</v>
      </c>
      <c r="D1431" s="42">
        <f>IFERROR(__xludf.DUMMYFUNCTION("""COMPUTED_VALUE"""),1357.0)</f>
        <v>1357</v>
      </c>
      <c r="E1431" s="39" t="str">
        <f>IFERROR(__xludf.DUMMYFUNCTION("""COMPUTED_VALUE"""),"layer V of caudal dysgranular insular cortex")</f>
        <v>layer V of caudal dysgranular insular cortex</v>
      </c>
      <c r="F1431" s="9" t="str">
        <f>IFERROR(__xludf.DUMMYFUNCTION("""COMPUTED_VALUE"""),"Br")</f>
        <v>Br</v>
      </c>
      <c r="G1431" s="9" t="str">
        <f>IFERROR(__xludf.DUMMYFUNCTION("""COMPUTED_VALUE"""),"F")</f>
        <v>F</v>
      </c>
      <c r="H1431" s="9" t="str">
        <f>IFERROR(__xludf.DUMMYFUNCTION("""COMPUTED_VALUE"""),"FGM")</f>
        <v>FGM</v>
      </c>
      <c r="I1431" s="9" t="str">
        <f>IFERROR(__xludf.DUMMYFUNCTION("""COMPUTED_VALUE"""),"Tel")</f>
        <v>Tel</v>
      </c>
      <c r="J1431" s="9" t="str">
        <f>IFERROR(__xludf.DUMMYFUNCTION("""COMPUTED_VALUE"""),"Cx")</f>
        <v>Cx</v>
      </c>
      <c r="K1431" s="9" t="str">
        <f>IFERROR(__xludf.DUMMYFUNCTION("""COMPUTED_VALUE"""),"NCx")</f>
        <v>NCx</v>
      </c>
      <c r="L1431" s="9" t="str">
        <f>IFERROR(__xludf.DUMMYFUNCTION("""COMPUTED_VALUE"""),"ICx")</f>
        <v>ICx</v>
      </c>
      <c r="M1431" s="9" t="str">
        <f>IFERROR(__xludf.DUMMYFUNCTION("""COMPUTED_VALUE"""),"Idg")</f>
        <v>Idg</v>
      </c>
      <c r="N1431" s="9" t="str">
        <f>IFERROR(__xludf.DUMMYFUNCTION("""COMPUTED_VALUE"""),"CIdg")</f>
        <v>CIdg</v>
      </c>
      <c r="O1431" s="9" t="str">
        <f>IFERROR(__xludf.DUMMYFUNCTION("""COMPUTED_VALUE"""),"CIdg5")</f>
        <v>CIdg5</v>
      </c>
      <c r="P1431" s="9"/>
      <c r="Q1431" s="9"/>
      <c r="R1431" s="9"/>
      <c r="S1431" s="42"/>
      <c r="T1431" s="42"/>
      <c r="U1431" s="42"/>
      <c r="V1431" s="42"/>
      <c r="W1431" s="42"/>
      <c r="X1431" s="42"/>
      <c r="Y1431" s="42"/>
      <c r="Z1431" s="42"/>
      <c r="AA1431" s="42"/>
      <c r="AB1431" s="42" t="str">
        <f>IFERROR(__xludf.DUMMYFUNCTION("""COMPUTED_VALUE"""),"allen institute")</f>
        <v>allen institute</v>
      </c>
      <c r="AC1431" s="42" t="str">
        <f>IFERROR(__xludf.DUMMYFUNCTION("""COMPUTED_VALUE"""),"DHBA")</f>
        <v>DHBA</v>
      </c>
      <c r="AD1431" s="42"/>
      <c r="AE1431" s="42"/>
      <c r="AF1431" s="9"/>
      <c r="AG1431" s="9"/>
      <c r="AH1431" s="42"/>
      <c r="AI1431" s="42"/>
      <c r="AJ1431" s="42"/>
      <c r="AK1431" s="42"/>
      <c r="AL1431" s="42"/>
      <c r="AM1431" s="42"/>
      <c r="AN1431" s="42"/>
      <c r="AO1431" s="63" t="str">
        <f>IFERROR(__xludf.DUMMYFUNCTION("IF(ISBLANK(A1431),,IF(ISBLANK(S1431), A1431&amp;"";"", TEXTJOIN(CHAR(10), TRUE, A1431&amp;"";"", ARRAYFORMULA(VLOOKUP(SPLIT(S1431, "";"" &amp; CHAR(10)), $A:$AO, 41, FALSE)))))"),"CIdg5;")</f>
        <v>CIdg5;</v>
      </c>
      <c r="AP1431" s="89"/>
    </row>
    <row r="1432">
      <c r="A1432" s="151" t="str">
        <f>IFERROR(__xludf.DUMMYFUNCTION("""COMPUTED_VALUE"""),"CIdg6")</f>
        <v>CIdg6</v>
      </c>
      <c r="B1432" s="42" t="str">
        <f>IFERROR(__xludf.DUMMYFUNCTION("""COMPUTED_VALUE"""),"DHBA")</f>
        <v>DHBA</v>
      </c>
      <c r="C1432" s="42" t="str">
        <f>IFERROR(__xludf.DUMMYFUNCTION("""COMPUTED_VALUE"""),"layer VI of caudal dysgranular insular cortex")</f>
        <v>layer VI of caudal dysgranular insular cortex</v>
      </c>
      <c r="D1432" s="42">
        <f>IFERROR(__xludf.DUMMYFUNCTION("""COMPUTED_VALUE"""),1358.0)</f>
        <v>1358</v>
      </c>
      <c r="E1432" s="39" t="str">
        <f>IFERROR(__xludf.DUMMYFUNCTION("""COMPUTED_VALUE"""),"layer VI of caudal dysgranular insular cortex")</f>
        <v>layer VI of caudal dysgranular insular cortex</v>
      </c>
      <c r="F1432" s="9" t="str">
        <f>IFERROR(__xludf.DUMMYFUNCTION("""COMPUTED_VALUE"""),"Br")</f>
        <v>Br</v>
      </c>
      <c r="G1432" s="9" t="str">
        <f>IFERROR(__xludf.DUMMYFUNCTION("""COMPUTED_VALUE"""),"F")</f>
        <v>F</v>
      </c>
      <c r="H1432" s="9" t="str">
        <f>IFERROR(__xludf.DUMMYFUNCTION("""COMPUTED_VALUE"""),"FGM")</f>
        <v>FGM</v>
      </c>
      <c r="I1432" s="9" t="str">
        <f>IFERROR(__xludf.DUMMYFUNCTION("""COMPUTED_VALUE"""),"Tel")</f>
        <v>Tel</v>
      </c>
      <c r="J1432" s="9" t="str">
        <f>IFERROR(__xludf.DUMMYFUNCTION("""COMPUTED_VALUE"""),"Cx")</f>
        <v>Cx</v>
      </c>
      <c r="K1432" s="9" t="str">
        <f>IFERROR(__xludf.DUMMYFUNCTION("""COMPUTED_VALUE"""),"NCx")</f>
        <v>NCx</v>
      </c>
      <c r="L1432" s="9" t="str">
        <f>IFERROR(__xludf.DUMMYFUNCTION("""COMPUTED_VALUE"""),"ICx")</f>
        <v>ICx</v>
      </c>
      <c r="M1432" s="9" t="str">
        <f>IFERROR(__xludf.DUMMYFUNCTION("""COMPUTED_VALUE"""),"Idg")</f>
        <v>Idg</v>
      </c>
      <c r="N1432" s="9" t="str">
        <f>IFERROR(__xludf.DUMMYFUNCTION("""COMPUTED_VALUE"""),"CIdg")</f>
        <v>CIdg</v>
      </c>
      <c r="O1432" s="9" t="str">
        <f>IFERROR(__xludf.DUMMYFUNCTION("""COMPUTED_VALUE"""),"CIdg6")</f>
        <v>CIdg6</v>
      </c>
      <c r="P1432" s="9"/>
      <c r="Q1432" s="9"/>
      <c r="R1432" s="9"/>
      <c r="S1432" s="42"/>
      <c r="T1432" s="42"/>
      <c r="U1432" s="42"/>
      <c r="V1432" s="42"/>
      <c r="W1432" s="42"/>
      <c r="X1432" s="42"/>
      <c r="Y1432" s="42"/>
      <c r="Z1432" s="42"/>
      <c r="AA1432" s="42"/>
      <c r="AB1432" s="42" t="str">
        <f>IFERROR(__xludf.DUMMYFUNCTION("""COMPUTED_VALUE"""),"allen institute")</f>
        <v>allen institute</v>
      </c>
      <c r="AC1432" s="42" t="str">
        <f>IFERROR(__xludf.DUMMYFUNCTION("""COMPUTED_VALUE"""),"DHBA")</f>
        <v>DHBA</v>
      </c>
      <c r="AD1432" s="42"/>
      <c r="AE1432" s="42"/>
      <c r="AF1432" s="9"/>
      <c r="AG1432" s="9"/>
      <c r="AH1432" s="42"/>
      <c r="AI1432" s="42"/>
      <c r="AJ1432" s="42"/>
      <c r="AK1432" s="42"/>
      <c r="AL1432" s="42"/>
      <c r="AM1432" s="42"/>
      <c r="AN1432" s="42"/>
      <c r="AO1432" s="63" t="str">
        <f>IFERROR(__xludf.DUMMYFUNCTION("IF(ISBLANK(A1432),,IF(ISBLANK(S1432), A1432&amp;"";"", TEXTJOIN(CHAR(10), TRUE, A1432&amp;"";"", ARRAYFORMULA(VLOOKUP(SPLIT(S1432, "";"" &amp; CHAR(10)), $A:$AO, 41, FALSE)))))"),"CIdg6;")</f>
        <v>CIdg6;</v>
      </c>
      <c r="AP1432" s="89"/>
    </row>
    <row r="1433">
      <c r="A1433" s="151" t="str">
        <f>IFERROR(__xludf.DUMMYFUNCTION("""COMPUTED_VALUE"""),"Ig")</f>
        <v>Ig</v>
      </c>
      <c r="B1433" s="42" t="str">
        <f>IFERROR(__xludf.DUMMYFUNCTION("""COMPUTED_VALUE"""),"DHBA")</f>
        <v>DHBA</v>
      </c>
      <c r="C1433" s="42" t="str">
        <f>IFERROR(__xludf.DUMMYFUNCTION("""COMPUTED_VALUE"""),"Granular insular cortex, GI")</f>
        <v>Granular insular cortex, GI</v>
      </c>
      <c r="D1433" s="42">
        <f>IFERROR(__xludf.DUMMYFUNCTION("""COMPUTED_VALUE"""),1359.0)</f>
        <v>1359</v>
      </c>
      <c r="E1433" s="39" t="str">
        <f>IFERROR(__xludf.DUMMYFUNCTION("""COMPUTED_VALUE"""),"granular insular cortex")</f>
        <v>granular insular cortex</v>
      </c>
      <c r="F1433" s="9" t="str">
        <f>IFERROR(__xludf.DUMMYFUNCTION("""COMPUTED_VALUE"""),"Br")</f>
        <v>Br</v>
      </c>
      <c r="G1433" s="9" t="str">
        <f>IFERROR(__xludf.DUMMYFUNCTION("""COMPUTED_VALUE"""),"F")</f>
        <v>F</v>
      </c>
      <c r="H1433" s="9" t="str">
        <f>IFERROR(__xludf.DUMMYFUNCTION("""COMPUTED_VALUE"""),"FGM")</f>
        <v>FGM</v>
      </c>
      <c r="I1433" s="9" t="str">
        <f>IFERROR(__xludf.DUMMYFUNCTION("""COMPUTED_VALUE"""),"Tel")</f>
        <v>Tel</v>
      </c>
      <c r="J1433" s="9" t="str">
        <f>IFERROR(__xludf.DUMMYFUNCTION("""COMPUTED_VALUE"""),"Cx")</f>
        <v>Cx</v>
      </c>
      <c r="K1433" s="9" t="str">
        <f>IFERROR(__xludf.DUMMYFUNCTION("""COMPUTED_VALUE"""),"NCx")</f>
        <v>NCx</v>
      </c>
      <c r="L1433" s="9" t="str">
        <f>IFERROR(__xludf.DUMMYFUNCTION("""COMPUTED_VALUE"""),"ICx")</f>
        <v>ICx</v>
      </c>
      <c r="M1433" s="9" t="str">
        <f>IFERROR(__xludf.DUMMYFUNCTION("""COMPUTED_VALUE"""),"Ig")</f>
        <v>Ig</v>
      </c>
      <c r="N1433" s="9"/>
      <c r="O1433" s="9"/>
      <c r="P1433" s="9"/>
      <c r="Q1433" s="9"/>
      <c r="R1433" s="9"/>
      <c r="S1433" s="42" t="str">
        <f>IFERROR(__xludf.DUMMYFUNCTION("""COMPUTED_VALUE"""),"RIg;
CIg")</f>
        <v>RIg;
CIg</v>
      </c>
      <c r="T1433" s="42"/>
      <c r="U1433" s="42" t="b">
        <f>IFERROR(__xludf.DUMMYFUNCTION("""COMPUTED_VALUE"""),FALSE)</f>
        <v>0</v>
      </c>
      <c r="V1433" s="42"/>
      <c r="W1433" s="42"/>
      <c r="X1433" s="42"/>
      <c r="Y1433" s="42"/>
      <c r="Z1433" s="42"/>
      <c r="AA1433" s="42"/>
      <c r="AB1433" s="42" t="str">
        <f>IFERROR(__xludf.DUMMYFUNCTION("""COMPUTED_VALUE"""),"allen institute")</f>
        <v>allen institute</v>
      </c>
      <c r="AC1433" s="42" t="str">
        <f>IFERROR(__xludf.DUMMYFUNCTION("""COMPUTED_VALUE"""),"DHBA")</f>
        <v>DHBA</v>
      </c>
      <c r="AD1433" s="42"/>
      <c r="AE1433" s="42"/>
      <c r="AF1433" s="9"/>
      <c r="AG1433" s="9"/>
      <c r="AH1433" s="42"/>
      <c r="AI1433" s="42"/>
      <c r="AJ1433" s="42"/>
      <c r="AK1433" s="42"/>
      <c r="AL1433" s="42"/>
      <c r="AM1433" s="42"/>
      <c r="AN1433" s="42"/>
      <c r="AO1433" s="63" t="str">
        <f>IFERROR(__xludf.DUMMYFUNCTION("IF(ISBLANK(A1433),,IF(ISBLANK(S1433), A1433&amp;"";"", TEXTJOIN(CHAR(10), TRUE, A1433&amp;"";"", ARRAYFORMULA(VLOOKUP(SPLIT(S1433, "";"" &amp; CHAR(10)), $A:$AO, 41, FALSE)))))"),"Ig;
RIg;
RIg1;
RIg2;
RIg3;
RIg4;
RIg5;
RIg6;
CIg;
CIg1;
CIg2;
CIg3;
CIg4;
CIg5;
CIg6;")</f>
        <v>Ig;
RIg;
RIg1;
RIg2;
RIg3;
RIg4;
RIg5;
RIg6;
CIg;
CIg1;
CIg2;
CIg3;
CIg4;
CIg5;
CIg6;</v>
      </c>
      <c r="AP1433" s="89"/>
    </row>
    <row r="1434">
      <c r="A1434" s="151" t="str">
        <f>IFERROR(__xludf.DUMMYFUNCTION("""COMPUTED_VALUE"""),"RIg")</f>
        <v>RIg</v>
      </c>
      <c r="B1434" s="42" t="str">
        <f>IFERROR(__xludf.DUMMYFUNCTION("""COMPUTED_VALUE"""),"DHBA")</f>
        <v>DHBA</v>
      </c>
      <c r="C1434" s="42" t="str">
        <f>IFERROR(__xludf.DUMMYFUNCTION("""COMPUTED_VALUE"""),"rostral granular insular cortex")</f>
        <v>rostral granular insular cortex</v>
      </c>
      <c r="D1434" s="42">
        <f>IFERROR(__xludf.DUMMYFUNCTION("""COMPUTED_VALUE"""),1360.0)</f>
        <v>1360</v>
      </c>
      <c r="E1434" s="39" t="str">
        <f>IFERROR(__xludf.DUMMYFUNCTION("""COMPUTED_VALUE"""),"rostral granular insular cortex")</f>
        <v>rostral granular insular cortex</v>
      </c>
      <c r="F1434" s="9" t="str">
        <f>IFERROR(__xludf.DUMMYFUNCTION("""COMPUTED_VALUE"""),"Br")</f>
        <v>Br</v>
      </c>
      <c r="G1434" s="9" t="str">
        <f>IFERROR(__xludf.DUMMYFUNCTION("""COMPUTED_VALUE"""),"F")</f>
        <v>F</v>
      </c>
      <c r="H1434" s="9" t="str">
        <f>IFERROR(__xludf.DUMMYFUNCTION("""COMPUTED_VALUE"""),"FGM")</f>
        <v>FGM</v>
      </c>
      <c r="I1434" s="9" t="str">
        <f>IFERROR(__xludf.DUMMYFUNCTION("""COMPUTED_VALUE"""),"Tel")</f>
        <v>Tel</v>
      </c>
      <c r="J1434" s="9" t="str">
        <f>IFERROR(__xludf.DUMMYFUNCTION("""COMPUTED_VALUE"""),"Cx")</f>
        <v>Cx</v>
      </c>
      <c r="K1434" s="9" t="str">
        <f>IFERROR(__xludf.DUMMYFUNCTION("""COMPUTED_VALUE"""),"NCx")</f>
        <v>NCx</v>
      </c>
      <c r="L1434" s="9" t="str">
        <f>IFERROR(__xludf.DUMMYFUNCTION("""COMPUTED_VALUE"""),"ICx")</f>
        <v>ICx</v>
      </c>
      <c r="M1434" s="9" t="str">
        <f>IFERROR(__xludf.DUMMYFUNCTION("""COMPUTED_VALUE"""),"Ig")</f>
        <v>Ig</v>
      </c>
      <c r="N1434" s="9" t="str">
        <f>IFERROR(__xludf.DUMMYFUNCTION("""COMPUTED_VALUE"""),"RIg")</f>
        <v>RIg</v>
      </c>
      <c r="O1434" s="9"/>
      <c r="P1434" s="9"/>
      <c r="Q1434" s="9"/>
      <c r="R1434" s="9"/>
      <c r="S1434" s="42" t="str">
        <f>IFERROR(__xludf.DUMMYFUNCTION("""COMPUTED_VALUE"""),"RIg1;
RIg2;
RIg3;
RIg4;
RIg5;
RIg6")</f>
        <v>RIg1;
RIg2;
RIg3;
RIg4;
RIg5;
RIg6</v>
      </c>
      <c r="T1434" s="42"/>
      <c r="U1434" s="42" t="b">
        <f>IFERROR(__xludf.DUMMYFUNCTION("""COMPUTED_VALUE"""),FALSE)</f>
        <v>0</v>
      </c>
      <c r="V1434" s="42"/>
      <c r="W1434" s="42"/>
      <c r="X1434" s="42"/>
      <c r="Y1434" s="42"/>
      <c r="Z1434" s="42"/>
      <c r="AA1434" s="42"/>
      <c r="AB1434" s="42" t="str">
        <f>IFERROR(__xludf.DUMMYFUNCTION("""COMPUTED_VALUE"""),"allen institute")</f>
        <v>allen institute</v>
      </c>
      <c r="AC1434" s="42" t="str">
        <f>IFERROR(__xludf.DUMMYFUNCTION("""COMPUTED_VALUE"""),"DHBA")</f>
        <v>DHBA</v>
      </c>
      <c r="AD1434" s="42"/>
      <c r="AE1434" s="42"/>
      <c r="AF1434" s="9"/>
      <c r="AG1434" s="9"/>
      <c r="AH1434" s="42"/>
      <c r="AI1434" s="42"/>
      <c r="AJ1434" s="42"/>
      <c r="AK1434" s="42"/>
      <c r="AL1434" s="42"/>
      <c r="AM1434" s="42"/>
      <c r="AN1434" s="42"/>
      <c r="AO1434" s="63" t="str">
        <f>IFERROR(__xludf.DUMMYFUNCTION("IF(ISBLANK(A1434),,IF(ISBLANK(S1434), A1434&amp;"";"", TEXTJOIN(CHAR(10), TRUE, A1434&amp;"";"", ARRAYFORMULA(VLOOKUP(SPLIT(S1434, "";"" &amp; CHAR(10)), $A:$AO, 41, FALSE)))))"),"RIg;
RIg1;
RIg2;
RIg3;
RIg4;
RIg5;
RIg6;")</f>
        <v>RIg;
RIg1;
RIg2;
RIg3;
RIg4;
RIg5;
RIg6;</v>
      </c>
      <c r="AP1434" s="89"/>
    </row>
    <row r="1435">
      <c r="A1435" s="151" t="str">
        <f>IFERROR(__xludf.DUMMYFUNCTION("""COMPUTED_VALUE"""),"RIg1")</f>
        <v>RIg1</v>
      </c>
      <c r="B1435" s="42" t="str">
        <f>IFERROR(__xludf.DUMMYFUNCTION("""COMPUTED_VALUE"""),"DHBA")</f>
        <v>DHBA</v>
      </c>
      <c r="C1435" s="42" t="str">
        <f>IFERROR(__xludf.DUMMYFUNCTION("""COMPUTED_VALUE"""),"layer I of granular insular cortex")</f>
        <v>layer I of granular insular cortex</v>
      </c>
      <c r="D1435" s="42">
        <f>IFERROR(__xludf.DUMMYFUNCTION("""COMPUTED_VALUE"""),1361.0)</f>
        <v>1361</v>
      </c>
      <c r="E1435" s="39" t="str">
        <f>IFERROR(__xludf.DUMMYFUNCTION("""COMPUTED_VALUE"""),"layer I of granular insular cortex")</f>
        <v>layer I of granular insular cortex</v>
      </c>
      <c r="F1435" s="9" t="str">
        <f>IFERROR(__xludf.DUMMYFUNCTION("""COMPUTED_VALUE"""),"Br")</f>
        <v>Br</v>
      </c>
      <c r="G1435" s="9" t="str">
        <f>IFERROR(__xludf.DUMMYFUNCTION("""COMPUTED_VALUE"""),"F")</f>
        <v>F</v>
      </c>
      <c r="H1435" s="9" t="str">
        <f>IFERROR(__xludf.DUMMYFUNCTION("""COMPUTED_VALUE"""),"FGM")</f>
        <v>FGM</v>
      </c>
      <c r="I1435" s="9" t="str">
        <f>IFERROR(__xludf.DUMMYFUNCTION("""COMPUTED_VALUE"""),"Tel")</f>
        <v>Tel</v>
      </c>
      <c r="J1435" s="9" t="str">
        <f>IFERROR(__xludf.DUMMYFUNCTION("""COMPUTED_VALUE"""),"Cx")</f>
        <v>Cx</v>
      </c>
      <c r="K1435" s="9" t="str">
        <f>IFERROR(__xludf.DUMMYFUNCTION("""COMPUTED_VALUE"""),"NCx")</f>
        <v>NCx</v>
      </c>
      <c r="L1435" s="9" t="str">
        <f>IFERROR(__xludf.DUMMYFUNCTION("""COMPUTED_VALUE"""),"ICx")</f>
        <v>ICx</v>
      </c>
      <c r="M1435" s="9" t="str">
        <f>IFERROR(__xludf.DUMMYFUNCTION("""COMPUTED_VALUE"""),"Ig")</f>
        <v>Ig</v>
      </c>
      <c r="N1435" s="9" t="str">
        <f>IFERROR(__xludf.DUMMYFUNCTION("""COMPUTED_VALUE"""),"RIg")</f>
        <v>RIg</v>
      </c>
      <c r="O1435" s="9" t="str">
        <f>IFERROR(__xludf.DUMMYFUNCTION("""COMPUTED_VALUE"""),"RIg1")</f>
        <v>RIg1</v>
      </c>
      <c r="P1435" s="9"/>
      <c r="Q1435" s="9"/>
      <c r="R1435" s="9"/>
      <c r="S1435" s="42"/>
      <c r="T1435" s="42"/>
      <c r="U1435" s="42"/>
      <c r="V1435" s="42"/>
      <c r="W1435" s="42"/>
      <c r="X1435" s="42"/>
      <c r="Y1435" s="42"/>
      <c r="Z1435" s="42"/>
      <c r="AA1435" s="42"/>
      <c r="AB1435" s="42" t="str">
        <f>IFERROR(__xludf.DUMMYFUNCTION("""COMPUTED_VALUE"""),"allen institute")</f>
        <v>allen institute</v>
      </c>
      <c r="AC1435" s="42" t="str">
        <f>IFERROR(__xludf.DUMMYFUNCTION("""COMPUTED_VALUE"""),"DHBA")</f>
        <v>DHBA</v>
      </c>
      <c r="AD1435" s="42"/>
      <c r="AE1435" s="42"/>
      <c r="AF1435" s="9"/>
      <c r="AG1435" s="9"/>
      <c r="AH1435" s="42"/>
      <c r="AI1435" s="42"/>
      <c r="AJ1435" s="42"/>
      <c r="AK1435" s="42"/>
      <c r="AL1435" s="42"/>
      <c r="AM1435" s="42"/>
      <c r="AN1435" s="42"/>
      <c r="AO1435" s="63" t="str">
        <f>IFERROR(__xludf.DUMMYFUNCTION("IF(ISBLANK(A1435),,IF(ISBLANK(S1435), A1435&amp;"";"", TEXTJOIN(CHAR(10), TRUE, A1435&amp;"";"", ARRAYFORMULA(VLOOKUP(SPLIT(S1435, "";"" &amp; CHAR(10)), $A:$AO, 41, FALSE)))))"),"RIg1;")</f>
        <v>RIg1;</v>
      </c>
      <c r="AP1435" s="89"/>
    </row>
    <row r="1436">
      <c r="A1436" s="151" t="str">
        <f>IFERROR(__xludf.DUMMYFUNCTION("""COMPUTED_VALUE"""),"RIg2")</f>
        <v>RIg2</v>
      </c>
      <c r="B1436" s="42" t="str">
        <f>IFERROR(__xludf.DUMMYFUNCTION("""COMPUTED_VALUE"""),"DHBA")</f>
        <v>DHBA</v>
      </c>
      <c r="C1436" s="42" t="str">
        <f>IFERROR(__xludf.DUMMYFUNCTION("""COMPUTED_VALUE"""),"layer II of granular insular cortex")</f>
        <v>layer II of granular insular cortex</v>
      </c>
      <c r="D1436" s="42">
        <f>IFERROR(__xludf.DUMMYFUNCTION("""COMPUTED_VALUE"""),1362.0)</f>
        <v>1362</v>
      </c>
      <c r="E1436" s="39" t="str">
        <f>IFERROR(__xludf.DUMMYFUNCTION("""COMPUTED_VALUE"""),"layer II of granular insular cortex")</f>
        <v>layer II of granular insular cortex</v>
      </c>
      <c r="F1436" s="9" t="str">
        <f>IFERROR(__xludf.DUMMYFUNCTION("""COMPUTED_VALUE"""),"Br")</f>
        <v>Br</v>
      </c>
      <c r="G1436" s="9" t="str">
        <f>IFERROR(__xludf.DUMMYFUNCTION("""COMPUTED_VALUE"""),"F")</f>
        <v>F</v>
      </c>
      <c r="H1436" s="9" t="str">
        <f>IFERROR(__xludf.DUMMYFUNCTION("""COMPUTED_VALUE"""),"FGM")</f>
        <v>FGM</v>
      </c>
      <c r="I1436" s="9" t="str">
        <f>IFERROR(__xludf.DUMMYFUNCTION("""COMPUTED_VALUE"""),"Tel")</f>
        <v>Tel</v>
      </c>
      <c r="J1436" s="9" t="str">
        <f>IFERROR(__xludf.DUMMYFUNCTION("""COMPUTED_VALUE"""),"Cx")</f>
        <v>Cx</v>
      </c>
      <c r="K1436" s="9" t="str">
        <f>IFERROR(__xludf.DUMMYFUNCTION("""COMPUTED_VALUE"""),"NCx")</f>
        <v>NCx</v>
      </c>
      <c r="L1436" s="9" t="str">
        <f>IFERROR(__xludf.DUMMYFUNCTION("""COMPUTED_VALUE"""),"ICx")</f>
        <v>ICx</v>
      </c>
      <c r="M1436" s="9" t="str">
        <f>IFERROR(__xludf.DUMMYFUNCTION("""COMPUTED_VALUE"""),"Ig")</f>
        <v>Ig</v>
      </c>
      <c r="N1436" s="9" t="str">
        <f>IFERROR(__xludf.DUMMYFUNCTION("""COMPUTED_VALUE"""),"RIg")</f>
        <v>RIg</v>
      </c>
      <c r="O1436" s="9" t="str">
        <f>IFERROR(__xludf.DUMMYFUNCTION("""COMPUTED_VALUE"""),"RIg2")</f>
        <v>RIg2</v>
      </c>
      <c r="P1436" s="9"/>
      <c r="Q1436" s="9"/>
      <c r="R1436" s="9"/>
      <c r="S1436" s="42"/>
      <c r="T1436" s="42"/>
      <c r="U1436" s="42"/>
      <c r="V1436" s="42"/>
      <c r="W1436" s="42"/>
      <c r="X1436" s="42"/>
      <c r="Y1436" s="42"/>
      <c r="Z1436" s="42"/>
      <c r="AA1436" s="42"/>
      <c r="AB1436" s="42" t="str">
        <f>IFERROR(__xludf.DUMMYFUNCTION("""COMPUTED_VALUE"""),"allen institute")</f>
        <v>allen institute</v>
      </c>
      <c r="AC1436" s="42" t="str">
        <f>IFERROR(__xludf.DUMMYFUNCTION("""COMPUTED_VALUE"""),"DHBA")</f>
        <v>DHBA</v>
      </c>
      <c r="AD1436" s="42"/>
      <c r="AE1436" s="42"/>
      <c r="AF1436" s="9"/>
      <c r="AG1436" s="9"/>
      <c r="AH1436" s="42"/>
      <c r="AI1436" s="42"/>
      <c r="AJ1436" s="42"/>
      <c r="AK1436" s="42"/>
      <c r="AL1436" s="42"/>
      <c r="AM1436" s="42"/>
      <c r="AN1436" s="42"/>
      <c r="AO1436" s="63" t="str">
        <f>IFERROR(__xludf.DUMMYFUNCTION("IF(ISBLANK(A1436),,IF(ISBLANK(S1436), A1436&amp;"";"", TEXTJOIN(CHAR(10), TRUE, A1436&amp;"";"", ARRAYFORMULA(VLOOKUP(SPLIT(S1436, "";"" &amp; CHAR(10)), $A:$AO, 41, FALSE)))))"),"RIg2;")</f>
        <v>RIg2;</v>
      </c>
      <c r="AP1436" s="89"/>
    </row>
    <row r="1437">
      <c r="A1437" s="151" t="str">
        <f>IFERROR(__xludf.DUMMYFUNCTION("""COMPUTED_VALUE"""),"RIg3")</f>
        <v>RIg3</v>
      </c>
      <c r="B1437" s="42" t="str">
        <f>IFERROR(__xludf.DUMMYFUNCTION("""COMPUTED_VALUE"""),"DHBA")</f>
        <v>DHBA</v>
      </c>
      <c r="C1437" s="42" t="str">
        <f>IFERROR(__xludf.DUMMYFUNCTION("""COMPUTED_VALUE"""),"layer III of granular insular cortex")</f>
        <v>layer III of granular insular cortex</v>
      </c>
      <c r="D1437" s="42">
        <f>IFERROR(__xludf.DUMMYFUNCTION("""COMPUTED_VALUE"""),1363.0)</f>
        <v>1363</v>
      </c>
      <c r="E1437" s="39" t="str">
        <f>IFERROR(__xludf.DUMMYFUNCTION("""COMPUTED_VALUE"""),"layer III of granular insular cortex")</f>
        <v>layer III of granular insular cortex</v>
      </c>
      <c r="F1437" s="9" t="str">
        <f>IFERROR(__xludf.DUMMYFUNCTION("""COMPUTED_VALUE"""),"Br")</f>
        <v>Br</v>
      </c>
      <c r="G1437" s="9" t="str">
        <f>IFERROR(__xludf.DUMMYFUNCTION("""COMPUTED_VALUE"""),"F")</f>
        <v>F</v>
      </c>
      <c r="H1437" s="9" t="str">
        <f>IFERROR(__xludf.DUMMYFUNCTION("""COMPUTED_VALUE"""),"FGM")</f>
        <v>FGM</v>
      </c>
      <c r="I1437" s="9" t="str">
        <f>IFERROR(__xludf.DUMMYFUNCTION("""COMPUTED_VALUE"""),"Tel")</f>
        <v>Tel</v>
      </c>
      <c r="J1437" s="9" t="str">
        <f>IFERROR(__xludf.DUMMYFUNCTION("""COMPUTED_VALUE"""),"Cx")</f>
        <v>Cx</v>
      </c>
      <c r="K1437" s="9" t="str">
        <f>IFERROR(__xludf.DUMMYFUNCTION("""COMPUTED_VALUE"""),"NCx")</f>
        <v>NCx</v>
      </c>
      <c r="L1437" s="9" t="str">
        <f>IFERROR(__xludf.DUMMYFUNCTION("""COMPUTED_VALUE"""),"ICx")</f>
        <v>ICx</v>
      </c>
      <c r="M1437" s="9" t="str">
        <f>IFERROR(__xludf.DUMMYFUNCTION("""COMPUTED_VALUE"""),"Ig")</f>
        <v>Ig</v>
      </c>
      <c r="N1437" s="9" t="str">
        <f>IFERROR(__xludf.DUMMYFUNCTION("""COMPUTED_VALUE"""),"RIg")</f>
        <v>RIg</v>
      </c>
      <c r="O1437" s="9" t="str">
        <f>IFERROR(__xludf.DUMMYFUNCTION("""COMPUTED_VALUE"""),"RIg3")</f>
        <v>RIg3</v>
      </c>
      <c r="P1437" s="9"/>
      <c r="Q1437" s="9"/>
      <c r="R1437" s="9"/>
      <c r="S1437" s="42"/>
      <c r="T1437" s="42"/>
      <c r="U1437" s="159"/>
      <c r="V1437" s="42"/>
      <c r="W1437" s="42"/>
      <c r="X1437" s="42"/>
      <c r="Y1437" s="42"/>
      <c r="Z1437" s="42"/>
      <c r="AA1437" s="42"/>
      <c r="AB1437" s="42" t="str">
        <f>IFERROR(__xludf.DUMMYFUNCTION("""COMPUTED_VALUE"""),"allen institute")</f>
        <v>allen institute</v>
      </c>
      <c r="AC1437" s="42" t="str">
        <f>IFERROR(__xludf.DUMMYFUNCTION("""COMPUTED_VALUE"""),"DHBA")</f>
        <v>DHBA</v>
      </c>
      <c r="AD1437" s="42"/>
      <c r="AE1437" s="42"/>
      <c r="AF1437" s="9"/>
      <c r="AG1437" s="9"/>
      <c r="AH1437" s="42"/>
      <c r="AI1437" s="42"/>
      <c r="AJ1437" s="42"/>
      <c r="AK1437" s="42"/>
      <c r="AL1437" s="42"/>
      <c r="AM1437" s="42"/>
      <c r="AN1437" s="42"/>
      <c r="AO1437" s="63" t="str">
        <f>IFERROR(__xludf.DUMMYFUNCTION("IF(ISBLANK(A1437),,IF(ISBLANK(S1437), A1437&amp;"";"", TEXTJOIN(CHAR(10), TRUE, A1437&amp;"";"", ARRAYFORMULA(VLOOKUP(SPLIT(S1437, "";"" &amp; CHAR(10)), $A:$AO, 41, FALSE)))))"),"RIg3;")</f>
        <v>RIg3;</v>
      </c>
      <c r="AP1437" s="89"/>
    </row>
    <row r="1438">
      <c r="A1438" s="151" t="str">
        <f>IFERROR(__xludf.DUMMYFUNCTION("""COMPUTED_VALUE"""),"RIg4")</f>
        <v>RIg4</v>
      </c>
      <c r="B1438" s="42" t="str">
        <f>IFERROR(__xludf.DUMMYFUNCTION("""COMPUTED_VALUE"""),"DHBA")</f>
        <v>DHBA</v>
      </c>
      <c r="C1438" s="42" t="str">
        <f>IFERROR(__xludf.DUMMYFUNCTION("""COMPUTED_VALUE"""),"layer IV of granular insular cortex")</f>
        <v>layer IV of granular insular cortex</v>
      </c>
      <c r="D1438" s="42">
        <f>IFERROR(__xludf.DUMMYFUNCTION("""COMPUTED_VALUE"""),1364.0)</f>
        <v>1364</v>
      </c>
      <c r="E1438" s="39" t="str">
        <f>IFERROR(__xludf.DUMMYFUNCTION("""COMPUTED_VALUE"""),"layer IV of granular insular cortex")</f>
        <v>layer IV of granular insular cortex</v>
      </c>
      <c r="F1438" s="9" t="str">
        <f>IFERROR(__xludf.DUMMYFUNCTION("""COMPUTED_VALUE"""),"Br")</f>
        <v>Br</v>
      </c>
      <c r="G1438" s="9" t="str">
        <f>IFERROR(__xludf.DUMMYFUNCTION("""COMPUTED_VALUE"""),"F")</f>
        <v>F</v>
      </c>
      <c r="H1438" s="9" t="str">
        <f>IFERROR(__xludf.DUMMYFUNCTION("""COMPUTED_VALUE"""),"FGM")</f>
        <v>FGM</v>
      </c>
      <c r="I1438" s="9" t="str">
        <f>IFERROR(__xludf.DUMMYFUNCTION("""COMPUTED_VALUE"""),"Tel")</f>
        <v>Tel</v>
      </c>
      <c r="J1438" s="9" t="str">
        <f>IFERROR(__xludf.DUMMYFUNCTION("""COMPUTED_VALUE"""),"Cx")</f>
        <v>Cx</v>
      </c>
      <c r="K1438" s="9" t="str">
        <f>IFERROR(__xludf.DUMMYFUNCTION("""COMPUTED_VALUE"""),"NCx")</f>
        <v>NCx</v>
      </c>
      <c r="L1438" s="9" t="str">
        <f>IFERROR(__xludf.DUMMYFUNCTION("""COMPUTED_VALUE"""),"ICx")</f>
        <v>ICx</v>
      </c>
      <c r="M1438" s="9" t="str">
        <f>IFERROR(__xludf.DUMMYFUNCTION("""COMPUTED_VALUE"""),"Ig")</f>
        <v>Ig</v>
      </c>
      <c r="N1438" s="9" t="str">
        <f>IFERROR(__xludf.DUMMYFUNCTION("""COMPUTED_VALUE"""),"RIg")</f>
        <v>RIg</v>
      </c>
      <c r="O1438" s="9" t="str">
        <f>IFERROR(__xludf.DUMMYFUNCTION("""COMPUTED_VALUE"""),"RIg4")</f>
        <v>RIg4</v>
      </c>
      <c r="P1438" s="9"/>
      <c r="Q1438" s="9"/>
      <c r="R1438" s="9"/>
      <c r="S1438" s="42"/>
      <c r="T1438" s="42"/>
      <c r="U1438" s="159"/>
      <c r="V1438" s="42"/>
      <c r="W1438" s="42"/>
      <c r="X1438" s="42"/>
      <c r="Y1438" s="42"/>
      <c r="Z1438" s="42"/>
      <c r="AA1438" s="42"/>
      <c r="AB1438" s="42" t="str">
        <f>IFERROR(__xludf.DUMMYFUNCTION("""COMPUTED_VALUE"""),"allen institute")</f>
        <v>allen institute</v>
      </c>
      <c r="AC1438" s="42" t="str">
        <f>IFERROR(__xludf.DUMMYFUNCTION("""COMPUTED_VALUE"""),"DHBA")</f>
        <v>DHBA</v>
      </c>
      <c r="AD1438" s="42"/>
      <c r="AE1438" s="42"/>
      <c r="AF1438" s="9"/>
      <c r="AG1438" s="9"/>
      <c r="AH1438" s="42"/>
      <c r="AI1438" s="42"/>
      <c r="AJ1438" s="42"/>
      <c r="AK1438" s="42"/>
      <c r="AL1438" s="42"/>
      <c r="AM1438" s="42"/>
      <c r="AN1438" s="42"/>
      <c r="AO1438" s="63" t="str">
        <f>IFERROR(__xludf.DUMMYFUNCTION("IF(ISBLANK(A1438),,IF(ISBLANK(S1438), A1438&amp;"";"", TEXTJOIN(CHAR(10), TRUE, A1438&amp;"";"", ARRAYFORMULA(VLOOKUP(SPLIT(S1438, "";"" &amp; CHAR(10)), $A:$AO, 41, FALSE)))))"),"RIg4;")</f>
        <v>RIg4;</v>
      </c>
      <c r="AP1438" s="89"/>
    </row>
    <row r="1439">
      <c r="A1439" s="151" t="str">
        <f>IFERROR(__xludf.DUMMYFUNCTION("""COMPUTED_VALUE"""),"RIg5")</f>
        <v>RIg5</v>
      </c>
      <c r="B1439" s="42" t="str">
        <f>IFERROR(__xludf.DUMMYFUNCTION("""COMPUTED_VALUE"""),"DHBA")</f>
        <v>DHBA</v>
      </c>
      <c r="C1439" s="42" t="str">
        <f>IFERROR(__xludf.DUMMYFUNCTION("""COMPUTED_VALUE"""),"layer V of granular insular cortex")</f>
        <v>layer V of granular insular cortex</v>
      </c>
      <c r="D1439" s="42">
        <f>IFERROR(__xludf.DUMMYFUNCTION("""COMPUTED_VALUE"""),1365.0)</f>
        <v>1365</v>
      </c>
      <c r="E1439" s="39" t="str">
        <f>IFERROR(__xludf.DUMMYFUNCTION("""COMPUTED_VALUE"""),"layer V of granular insular cortex")</f>
        <v>layer V of granular insular cortex</v>
      </c>
      <c r="F1439" s="9" t="str">
        <f>IFERROR(__xludf.DUMMYFUNCTION("""COMPUTED_VALUE"""),"Br")</f>
        <v>Br</v>
      </c>
      <c r="G1439" s="9" t="str">
        <f>IFERROR(__xludf.DUMMYFUNCTION("""COMPUTED_VALUE"""),"F")</f>
        <v>F</v>
      </c>
      <c r="H1439" s="9" t="str">
        <f>IFERROR(__xludf.DUMMYFUNCTION("""COMPUTED_VALUE"""),"FGM")</f>
        <v>FGM</v>
      </c>
      <c r="I1439" s="9" t="str">
        <f>IFERROR(__xludf.DUMMYFUNCTION("""COMPUTED_VALUE"""),"Tel")</f>
        <v>Tel</v>
      </c>
      <c r="J1439" s="9" t="str">
        <f>IFERROR(__xludf.DUMMYFUNCTION("""COMPUTED_VALUE"""),"Cx")</f>
        <v>Cx</v>
      </c>
      <c r="K1439" s="9" t="str">
        <f>IFERROR(__xludf.DUMMYFUNCTION("""COMPUTED_VALUE"""),"NCx")</f>
        <v>NCx</v>
      </c>
      <c r="L1439" s="9" t="str">
        <f>IFERROR(__xludf.DUMMYFUNCTION("""COMPUTED_VALUE"""),"ICx")</f>
        <v>ICx</v>
      </c>
      <c r="M1439" s="9" t="str">
        <f>IFERROR(__xludf.DUMMYFUNCTION("""COMPUTED_VALUE"""),"Ig")</f>
        <v>Ig</v>
      </c>
      <c r="N1439" s="9" t="str">
        <f>IFERROR(__xludf.DUMMYFUNCTION("""COMPUTED_VALUE"""),"RIg")</f>
        <v>RIg</v>
      </c>
      <c r="O1439" s="9" t="str">
        <f>IFERROR(__xludf.DUMMYFUNCTION("""COMPUTED_VALUE"""),"RIg5")</f>
        <v>RIg5</v>
      </c>
      <c r="P1439" s="9"/>
      <c r="Q1439" s="9"/>
      <c r="R1439" s="9"/>
      <c r="S1439" s="42"/>
      <c r="T1439" s="42"/>
      <c r="U1439" s="159"/>
      <c r="V1439" s="42"/>
      <c r="W1439" s="42"/>
      <c r="X1439" s="42"/>
      <c r="Y1439" s="42"/>
      <c r="Z1439" s="42"/>
      <c r="AA1439" s="42"/>
      <c r="AB1439" s="42" t="str">
        <f>IFERROR(__xludf.DUMMYFUNCTION("""COMPUTED_VALUE"""),"allen institute")</f>
        <v>allen institute</v>
      </c>
      <c r="AC1439" s="42" t="str">
        <f>IFERROR(__xludf.DUMMYFUNCTION("""COMPUTED_VALUE"""),"DHBA")</f>
        <v>DHBA</v>
      </c>
      <c r="AD1439" s="42"/>
      <c r="AE1439" s="42"/>
      <c r="AF1439" s="9"/>
      <c r="AG1439" s="9"/>
      <c r="AH1439" s="42"/>
      <c r="AI1439" s="42"/>
      <c r="AJ1439" s="42"/>
      <c r="AK1439" s="42"/>
      <c r="AL1439" s="42"/>
      <c r="AM1439" s="42"/>
      <c r="AN1439" s="42"/>
      <c r="AO1439" s="63" t="str">
        <f>IFERROR(__xludf.DUMMYFUNCTION("IF(ISBLANK(A1439),,IF(ISBLANK(S1439), A1439&amp;"";"", TEXTJOIN(CHAR(10), TRUE, A1439&amp;"";"", ARRAYFORMULA(VLOOKUP(SPLIT(S1439, "";"" &amp; CHAR(10)), $A:$AO, 41, FALSE)))))"),"RIg5;")</f>
        <v>RIg5;</v>
      </c>
      <c r="AP1439" s="89"/>
    </row>
    <row r="1440">
      <c r="A1440" s="151" t="str">
        <f>IFERROR(__xludf.DUMMYFUNCTION("""COMPUTED_VALUE"""),"RIg6")</f>
        <v>RIg6</v>
      </c>
      <c r="B1440" s="42" t="str">
        <f>IFERROR(__xludf.DUMMYFUNCTION("""COMPUTED_VALUE"""),"DHBA")</f>
        <v>DHBA</v>
      </c>
      <c r="C1440" s="42" t="str">
        <f>IFERROR(__xludf.DUMMYFUNCTION("""COMPUTED_VALUE"""),"layer VI of granular insular cortex")</f>
        <v>layer VI of granular insular cortex</v>
      </c>
      <c r="D1440" s="42">
        <f>IFERROR(__xludf.DUMMYFUNCTION("""COMPUTED_VALUE"""),1366.0)</f>
        <v>1366</v>
      </c>
      <c r="E1440" s="39" t="str">
        <f>IFERROR(__xludf.DUMMYFUNCTION("""COMPUTED_VALUE"""),"layer VI of granular insular cortex")</f>
        <v>layer VI of granular insular cortex</v>
      </c>
      <c r="F1440" s="9" t="str">
        <f>IFERROR(__xludf.DUMMYFUNCTION("""COMPUTED_VALUE"""),"Br")</f>
        <v>Br</v>
      </c>
      <c r="G1440" s="9" t="str">
        <f>IFERROR(__xludf.DUMMYFUNCTION("""COMPUTED_VALUE"""),"F")</f>
        <v>F</v>
      </c>
      <c r="H1440" s="9" t="str">
        <f>IFERROR(__xludf.DUMMYFUNCTION("""COMPUTED_VALUE"""),"FGM")</f>
        <v>FGM</v>
      </c>
      <c r="I1440" s="9" t="str">
        <f>IFERROR(__xludf.DUMMYFUNCTION("""COMPUTED_VALUE"""),"Tel")</f>
        <v>Tel</v>
      </c>
      <c r="J1440" s="9" t="str">
        <f>IFERROR(__xludf.DUMMYFUNCTION("""COMPUTED_VALUE"""),"Cx")</f>
        <v>Cx</v>
      </c>
      <c r="K1440" s="9" t="str">
        <f>IFERROR(__xludf.DUMMYFUNCTION("""COMPUTED_VALUE"""),"NCx")</f>
        <v>NCx</v>
      </c>
      <c r="L1440" s="9" t="str">
        <f>IFERROR(__xludf.DUMMYFUNCTION("""COMPUTED_VALUE"""),"ICx")</f>
        <v>ICx</v>
      </c>
      <c r="M1440" s="9" t="str">
        <f>IFERROR(__xludf.DUMMYFUNCTION("""COMPUTED_VALUE"""),"Ig")</f>
        <v>Ig</v>
      </c>
      <c r="N1440" s="9" t="str">
        <f>IFERROR(__xludf.DUMMYFUNCTION("""COMPUTED_VALUE"""),"RIg")</f>
        <v>RIg</v>
      </c>
      <c r="O1440" s="9" t="str">
        <f>IFERROR(__xludf.DUMMYFUNCTION("""COMPUTED_VALUE"""),"RIg6")</f>
        <v>RIg6</v>
      </c>
      <c r="P1440" s="9"/>
      <c r="Q1440" s="9"/>
      <c r="R1440" s="9"/>
      <c r="S1440" s="42"/>
      <c r="T1440" s="42"/>
      <c r="U1440" s="42"/>
      <c r="V1440" s="42"/>
      <c r="W1440" s="42"/>
      <c r="X1440" s="42"/>
      <c r="Y1440" s="42"/>
      <c r="Z1440" s="42"/>
      <c r="AA1440" s="42"/>
      <c r="AB1440" s="42" t="str">
        <f>IFERROR(__xludf.DUMMYFUNCTION("""COMPUTED_VALUE"""),"allen institute")</f>
        <v>allen institute</v>
      </c>
      <c r="AC1440" s="42" t="str">
        <f>IFERROR(__xludf.DUMMYFUNCTION("""COMPUTED_VALUE"""),"DHBA")</f>
        <v>DHBA</v>
      </c>
      <c r="AD1440" s="42"/>
      <c r="AE1440" s="42"/>
      <c r="AF1440" s="9"/>
      <c r="AG1440" s="9"/>
      <c r="AH1440" s="42"/>
      <c r="AI1440" s="42"/>
      <c r="AJ1440" s="42"/>
      <c r="AK1440" s="42"/>
      <c r="AL1440" s="42"/>
      <c r="AM1440" s="42"/>
      <c r="AN1440" s="42"/>
      <c r="AO1440" s="63" t="str">
        <f>IFERROR(__xludf.DUMMYFUNCTION("IF(ISBLANK(A1440),,IF(ISBLANK(S1440), A1440&amp;"";"", TEXTJOIN(CHAR(10), TRUE, A1440&amp;"";"", ARRAYFORMULA(VLOOKUP(SPLIT(S1440, "";"" &amp; CHAR(10)), $A:$AO, 41, FALSE)))))"),"RIg6;")</f>
        <v>RIg6;</v>
      </c>
      <c r="AP1440" s="89"/>
    </row>
    <row r="1441">
      <c r="A1441" s="151" t="str">
        <f>IFERROR(__xludf.DUMMYFUNCTION("""COMPUTED_VALUE"""),"CIg")</f>
        <v>CIg</v>
      </c>
      <c r="B1441" s="42" t="str">
        <f>IFERROR(__xludf.DUMMYFUNCTION("""COMPUTED_VALUE"""),"DHBA")</f>
        <v>DHBA</v>
      </c>
      <c r="C1441" s="42" t="str">
        <f>IFERROR(__xludf.DUMMYFUNCTION("""COMPUTED_VALUE"""),"caudal granular insular cortex")</f>
        <v>caudal granular insular cortex</v>
      </c>
      <c r="D1441" s="42">
        <f>IFERROR(__xludf.DUMMYFUNCTION("""COMPUTED_VALUE"""),1367.0)</f>
        <v>1367</v>
      </c>
      <c r="E1441" s="39" t="str">
        <f>IFERROR(__xludf.DUMMYFUNCTION("""COMPUTED_VALUE"""),"caudal granular insular cortex")</f>
        <v>caudal granular insular cortex</v>
      </c>
      <c r="F1441" s="9" t="str">
        <f>IFERROR(__xludf.DUMMYFUNCTION("""COMPUTED_VALUE"""),"Br")</f>
        <v>Br</v>
      </c>
      <c r="G1441" s="9" t="str">
        <f>IFERROR(__xludf.DUMMYFUNCTION("""COMPUTED_VALUE"""),"F")</f>
        <v>F</v>
      </c>
      <c r="H1441" s="9" t="str">
        <f>IFERROR(__xludf.DUMMYFUNCTION("""COMPUTED_VALUE"""),"FGM")</f>
        <v>FGM</v>
      </c>
      <c r="I1441" s="9" t="str">
        <f>IFERROR(__xludf.DUMMYFUNCTION("""COMPUTED_VALUE"""),"Tel")</f>
        <v>Tel</v>
      </c>
      <c r="J1441" s="9" t="str">
        <f>IFERROR(__xludf.DUMMYFUNCTION("""COMPUTED_VALUE"""),"Cx")</f>
        <v>Cx</v>
      </c>
      <c r="K1441" s="9" t="str">
        <f>IFERROR(__xludf.DUMMYFUNCTION("""COMPUTED_VALUE"""),"NCx")</f>
        <v>NCx</v>
      </c>
      <c r="L1441" s="9" t="str">
        <f>IFERROR(__xludf.DUMMYFUNCTION("""COMPUTED_VALUE"""),"ICx")</f>
        <v>ICx</v>
      </c>
      <c r="M1441" s="9" t="str">
        <f>IFERROR(__xludf.DUMMYFUNCTION("""COMPUTED_VALUE"""),"Ig")</f>
        <v>Ig</v>
      </c>
      <c r="N1441" s="9" t="str">
        <f>IFERROR(__xludf.DUMMYFUNCTION("""COMPUTED_VALUE"""),"CIg")</f>
        <v>CIg</v>
      </c>
      <c r="O1441" s="9"/>
      <c r="P1441" s="9"/>
      <c r="Q1441" s="9"/>
      <c r="R1441" s="9"/>
      <c r="S1441" s="42" t="str">
        <f>IFERROR(__xludf.DUMMYFUNCTION("""COMPUTED_VALUE"""),"CIg1;
CIg2;
CIg3;
CIg4;
CIg5;
CIg6")</f>
        <v>CIg1;
CIg2;
CIg3;
CIg4;
CIg5;
CIg6</v>
      </c>
      <c r="T1441" s="42"/>
      <c r="U1441" s="42" t="b">
        <f>IFERROR(__xludf.DUMMYFUNCTION("""COMPUTED_VALUE"""),FALSE)</f>
        <v>0</v>
      </c>
      <c r="V1441" s="42"/>
      <c r="W1441" s="42"/>
      <c r="X1441" s="42"/>
      <c r="Y1441" s="42"/>
      <c r="Z1441" s="42"/>
      <c r="AA1441" s="42"/>
      <c r="AB1441" s="42" t="str">
        <f>IFERROR(__xludf.DUMMYFUNCTION("""COMPUTED_VALUE"""),"allen institute")</f>
        <v>allen institute</v>
      </c>
      <c r="AC1441" s="42" t="str">
        <f>IFERROR(__xludf.DUMMYFUNCTION("""COMPUTED_VALUE"""),"DHBA")</f>
        <v>DHBA</v>
      </c>
      <c r="AD1441" s="42"/>
      <c r="AE1441" s="42"/>
      <c r="AF1441" s="9"/>
      <c r="AG1441" s="9"/>
      <c r="AH1441" s="42"/>
      <c r="AI1441" s="42"/>
      <c r="AJ1441" s="42"/>
      <c r="AK1441" s="42"/>
      <c r="AL1441" s="42"/>
      <c r="AM1441" s="42"/>
      <c r="AN1441" s="42"/>
      <c r="AO1441" s="63" t="str">
        <f>IFERROR(__xludf.DUMMYFUNCTION("IF(ISBLANK(A1441),,IF(ISBLANK(S1441), A1441&amp;"";"", TEXTJOIN(CHAR(10), TRUE, A1441&amp;"";"", ARRAYFORMULA(VLOOKUP(SPLIT(S1441, "";"" &amp; CHAR(10)), $A:$AO, 41, FALSE)))))"),"CIg;
CIg1;
CIg2;
CIg3;
CIg4;
CIg5;
CIg6;")</f>
        <v>CIg;
CIg1;
CIg2;
CIg3;
CIg4;
CIg5;
CIg6;</v>
      </c>
      <c r="AP1441" s="89"/>
    </row>
    <row r="1442">
      <c r="A1442" s="151" t="str">
        <f>IFERROR(__xludf.DUMMYFUNCTION("""COMPUTED_VALUE"""),"CIg1")</f>
        <v>CIg1</v>
      </c>
      <c r="B1442" s="42" t="str">
        <f>IFERROR(__xludf.DUMMYFUNCTION("""COMPUTED_VALUE"""),"DHBA")</f>
        <v>DHBA</v>
      </c>
      <c r="C1442" s="42" t="str">
        <f>IFERROR(__xludf.DUMMYFUNCTION("""COMPUTED_VALUE"""),"layer I of caudal granular insular cortex")</f>
        <v>layer I of caudal granular insular cortex</v>
      </c>
      <c r="D1442" s="42">
        <f>IFERROR(__xludf.DUMMYFUNCTION("""COMPUTED_VALUE"""),1368.0)</f>
        <v>1368</v>
      </c>
      <c r="E1442" s="39" t="str">
        <f>IFERROR(__xludf.DUMMYFUNCTION("""COMPUTED_VALUE"""),"layer I of caudal granular insular cortex")</f>
        <v>layer I of caudal granular insular cortex</v>
      </c>
      <c r="F1442" s="9" t="str">
        <f>IFERROR(__xludf.DUMMYFUNCTION("""COMPUTED_VALUE"""),"Br")</f>
        <v>Br</v>
      </c>
      <c r="G1442" s="9" t="str">
        <f>IFERROR(__xludf.DUMMYFUNCTION("""COMPUTED_VALUE"""),"F")</f>
        <v>F</v>
      </c>
      <c r="H1442" s="9" t="str">
        <f>IFERROR(__xludf.DUMMYFUNCTION("""COMPUTED_VALUE"""),"FGM")</f>
        <v>FGM</v>
      </c>
      <c r="I1442" s="9" t="str">
        <f>IFERROR(__xludf.DUMMYFUNCTION("""COMPUTED_VALUE"""),"Tel")</f>
        <v>Tel</v>
      </c>
      <c r="J1442" s="9" t="str">
        <f>IFERROR(__xludf.DUMMYFUNCTION("""COMPUTED_VALUE"""),"Cx")</f>
        <v>Cx</v>
      </c>
      <c r="K1442" s="9" t="str">
        <f>IFERROR(__xludf.DUMMYFUNCTION("""COMPUTED_VALUE"""),"NCx")</f>
        <v>NCx</v>
      </c>
      <c r="L1442" s="9" t="str">
        <f>IFERROR(__xludf.DUMMYFUNCTION("""COMPUTED_VALUE"""),"ICx")</f>
        <v>ICx</v>
      </c>
      <c r="M1442" s="9" t="str">
        <f>IFERROR(__xludf.DUMMYFUNCTION("""COMPUTED_VALUE"""),"Ig")</f>
        <v>Ig</v>
      </c>
      <c r="N1442" s="9" t="str">
        <f>IFERROR(__xludf.DUMMYFUNCTION("""COMPUTED_VALUE"""),"CIg")</f>
        <v>CIg</v>
      </c>
      <c r="O1442" s="9" t="str">
        <f>IFERROR(__xludf.DUMMYFUNCTION("""COMPUTED_VALUE"""),"CIg1")</f>
        <v>CIg1</v>
      </c>
      <c r="P1442" s="9"/>
      <c r="Q1442" s="9"/>
      <c r="R1442" s="9"/>
      <c r="S1442" s="42"/>
      <c r="T1442" s="42"/>
      <c r="U1442" s="159"/>
      <c r="V1442" s="42"/>
      <c r="W1442" s="42"/>
      <c r="X1442" s="42"/>
      <c r="Y1442" s="42"/>
      <c r="Z1442" s="42"/>
      <c r="AA1442" s="42"/>
      <c r="AB1442" s="42" t="str">
        <f>IFERROR(__xludf.DUMMYFUNCTION("""COMPUTED_VALUE"""),"allen institute")</f>
        <v>allen institute</v>
      </c>
      <c r="AC1442" s="42" t="str">
        <f>IFERROR(__xludf.DUMMYFUNCTION("""COMPUTED_VALUE"""),"DHBA")</f>
        <v>DHBA</v>
      </c>
      <c r="AD1442" s="42"/>
      <c r="AE1442" s="42"/>
      <c r="AF1442" s="9"/>
      <c r="AG1442" s="9"/>
      <c r="AH1442" s="42"/>
      <c r="AI1442" s="42"/>
      <c r="AJ1442" s="42"/>
      <c r="AK1442" s="42"/>
      <c r="AL1442" s="42"/>
      <c r="AM1442" s="42"/>
      <c r="AN1442" s="42"/>
      <c r="AO1442" s="63" t="str">
        <f>IFERROR(__xludf.DUMMYFUNCTION("IF(ISBLANK(A1442),,IF(ISBLANK(S1442), A1442&amp;"";"", TEXTJOIN(CHAR(10), TRUE, A1442&amp;"";"", ARRAYFORMULA(VLOOKUP(SPLIT(S1442, "";"" &amp; CHAR(10)), $A:$AO, 41, FALSE)))))"),"CIg1;")</f>
        <v>CIg1;</v>
      </c>
      <c r="AP1442" s="89"/>
    </row>
    <row r="1443">
      <c r="A1443" s="151" t="str">
        <f>IFERROR(__xludf.DUMMYFUNCTION("""COMPUTED_VALUE"""),"CIg2")</f>
        <v>CIg2</v>
      </c>
      <c r="B1443" s="42" t="str">
        <f>IFERROR(__xludf.DUMMYFUNCTION("""COMPUTED_VALUE"""),"DHBA")</f>
        <v>DHBA</v>
      </c>
      <c r="C1443" s="42" t="str">
        <f>IFERROR(__xludf.DUMMYFUNCTION("""COMPUTED_VALUE"""),"layer II of caudal granular insular cortex")</f>
        <v>layer II of caudal granular insular cortex</v>
      </c>
      <c r="D1443" s="42">
        <f>IFERROR(__xludf.DUMMYFUNCTION("""COMPUTED_VALUE"""),1369.0)</f>
        <v>1369</v>
      </c>
      <c r="E1443" s="39" t="str">
        <f>IFERROR(__xludf.DUMMYFUNCTION("""COMPUTED_VALUE"""),"layer II of caudal granular insular cortex")</f>
        <v>layer II of caudal granular insular cortex</v>
      </c>
      <c r="F1443" s="9" t="str">
        <f>IFERROR(__xludf.DUMMYFUNCTION("""COMPUTED_VALUE"""),"Br")</f>
        <v>Br</v>
      </c>
      <c r="G1443" s="9" t="str">
        <f>IFERROR(__xludf.DUMMYFUNCTION("""COMPUTED_VALUE"""),"F")</f>
        <v>F</v>
      </c>
      <c r="H1443" s="9" t="str">
        <f>IFERROR(__xludf.DUMMYFUNCTION("""COMPUTED_VALUE"""),"FGM")</f>
        <v>FGM</v>
      </c>
      <c r="I1443" s="9" t="str">
        <f>IFERROR(__xludf.DUMMYFUNCTION("""COMPUTED_VALUE"""),"Tel")</f>
        <v>Tel</v>
      </c>
      <c r="J1443" s="9" t="str">
        <f>IFERROR(__xludf.DUMMYFUNCTION("""COMPUTED_VALUE"""),"Cx")</f>
        <v>Cx</v>
      </c>
      <c r="K1443" s="9" t="str">
        <f>IFERROR(__xludf.DUMMYFUNCTION("""COMPUTED_VALUE"""),"NCx")</f>
        <v>NCx</v>
      </c>
      <c r="L1443" s="9" t="str">
        <f>IFERROR(__xludf.DUMMYFUNCTION("""COMPUTED_VALUE"""),"ICx")</f>
        <v>ICx</v>
      </c>
      <c r="M1443" s="9" t="str">
        <f>IFERROR(__xludf.DUMMYFUNCTION("""COMPUTED_VALUE"""),"Ig")</f>
        <v>Ig</v>
      </c>
      <c r="N1443" s="9" t="str">
        <f>IFERROR(__xludf.DUMMYFUNCTION("""COMPUTED_VALUE"""),"CIg")</f>
        <v>CIg</v>
      </c>
      <c r="O1443" s="9" t="str">
        <f>IFERROR(__xludf.DUMMYFUNCTION("""COMPUTED_VALUE"""),"CIg2")</f>
        <v>CIg2</v>
      </c>
      <c r="P1443" s="9"/>
      <c r="Q1443" s="9"/>
      <c r="R1443" s="9"/>
      <c r="S1443" s="42"/>
      <c r="T1443" s="42"/>
      <c r="U1443" s="159"/>
      <c r="V1443" s="42"/>
      <c r="W1443" s="42"/>
      <c r="X1443" s="42"/>
      <c r="Y1443" s="42"/>
      <c r="Z1443" s="42"/>
      <c r="AA1443" s="42"/>
      <c r="AB1443" s="42" t="str">
        <f>IFERROR(__xludf.DUMMYFUNCTION("""COMPUTED_VALUE"""),"allen institute")</f>
        <v>allen institute</v>
      </c>
      <c r="AC1443" s="42" t="str">
        <f>IFERROR(__xludf.DUMMYFUNCTION("""COMPUTED_VALUE"""),"DHBA")</f>
        <v>DHBA</v>
      </c>
      <c r="AD1443" s="42"/>
      <c r="AE1443" s="42"/>
      <c r="AF1443" s="9"/>
      <c r="AG1443" s="9"/>
      <c r="AH1443" s="42"/>
      <c r="AI1443" s="42"/>
      <c r="AJ1443" s="42"/>
      <c r="AK1443" s="42"/>
      <c r="AL1443" s="42"/>
      <c r="AM1443" s="42"/>
      <c r="AN1443" s="42"/>
      <c r="AO1443" s="63" t="str">
        <f>IFERROR(__xludf.DUMMYFUNCTION("IF(ISBLANK(A1443),,IF(ISBLANK(S1443), A1443&amp;"";"", TEXTJOIN(CHAR(10), TRUE, A1443&amp;"";"", ARRAYFORMULA(VLOOKUP(SPLIT(S1443, "";"" &amp; CHAR(10)), $A:$AO, 41, FALSE)))))"),"CIg2;")</f>
        <v>CIg2;</v>
      </c>
      <c r="AP1443" s="89"/>
    </row>
    <row r="1444">
      <c r="A1444" s="151" t="str">
        <f>IFERROR(__xludf.DUMMYFUNCTION("""COMPUTED_VALUE"""),"CIg3")</f>
        <v>CIg3</v>
      </c>
      <c r="B1444" s="42" t="str">
        <f>IFERROR(__xludf.DUMMYFUNCTION("""COMPUTED_VALUE"""),"DHBA")</f>
        <v>DHBA</v>
      </c>
      <c r="C1444" s="42" t="str">
        <f>IFERROR(__xludf.DUMMYFUNCTION("""COMPUTED_VALUE"""),"layer III of caudal granular insular cortex")</f>
        <v>layer III of caudal granular insular cortex</v>
      </c>
      <c r="D1444" s="42">
        <f>IFERROR(__xludf.DUMMYFUNCTION("""COMPUTED_VALUE"""),1370.0)</f>
        <v>1370</v>
      </c>
      <c r="E1444" s="39" t="str">
        <f>IFERROR(__xludf.DUMMYFUNCTION("""COMPUTED_VALUE"""),"layer III of caudal granular insular cortex")</f>
        <v>layer III of caudal granular insular cortex</v>
      </c>
      <c r="F1444" s="9" t="str">
        <f>IFERROR(__xludf.DUMMYFUNCTION("""COMPUTED_VALUE"""),"Br")</f>
        <v>Br</v>
      </c>
      <c r="G1444" s="9" t="str">
        <f>IFERROR(__xludf.DUMMYFUNCTION("""COMPUTED_VALUE"""),"F")</f>
        <v>F</v>
      </c>
      <c r="H1444" s="9" t="str">
        <f>IFERROR(__xludf.DUMMYFUNCTION("""COMPUTED_VALUE"""),"FGM")</f>
        <v>FGM</v>
      </c>
      <c r="I1444" s="9" t="str">
        <f>IFERROR(__xludf.DUMMYFUNCTION("""COMPUTED_VALUE"""),"Tel")</f>
        <v>Tel</v>
      </c>
      <c r="J1444" s="9" t="str">
        <f>IFERROR(__xludf.DUMMYFUNCTION("""COMPUTED_VALUE"""),"Cx")</f>
        <v>Cx</v>
      </c>
      <c r="K1444" s="9" t="str">
        <f>IFERROR(__xludf.DUMMYFUNCTION("""COMPUTED_VALUE"""),"NCx")</f>
        <v>NCx</v>
      </c>
      <c r="L1444" s="9" t="str">
        <f>IFERROR(__xludf.DUMMYFUNCTION("""COMPUTED_VALUE"""),"ICx")</f>
        <v>ICx</v>
      </c>
      <c r="M1444" s="9" t="str">
        <f>IFERROR(__xludf.DUMMYFUNCTION("""COMPUTED_VALUE"""),"Ig")</f>
        <v>Ig</v>
      </c>
      <c r="N1444" s="9" t="str">
        <f>IFERROR(__xludf.DUMMYFUNCTION("""COMPUTED_VALUE"""),"CIg")</f>
        <v>CIg</v>
      </c>
      <c r="O1444" s="9" t="str">
        <f>IFERROR(__xludf.DUMMYFUNCTION("""COMPUTED_VALUE"""),"CIg3")</f>
        <v>CIg3</v>
      </c>
      <c r="P1444" s="9"/>
      <c r="Q1444" s="9"/>
      <c r="R1444" s="9"/>
      <c r="S1444" s="42"/>
      <c r="T1444" s="42"/>
      <c r="U1444" s="42"/>
      <c r="V1444" s="42"/>
      <c r="W1444" s="42"/>
      <c r="X1444" s="42"/>
      <c r="Y1444" s="42"/>
      <c r="Z1444" s="42"/>
      <c r="AA1444" s="42"/>
      <c r="AB1444" s="42" t="str">
        <f>IFERROR(__xludf.DUMMYFUNCTION("""COMPUTED_VALUE"""),"allen institute")</f>
        <v>allen institute</v>
      </c>
      <c r="AC1444" s="42" t="str">
        <f>IFERROR(__xludf.DUMMYFUNCTION("""COMPUTED_VALUE"""),"DHBA")</f>
        <v>DHBA</v>
      </c>
      <c r="AD1444" s="42"/>
      <c r="AE1444" s="42"/>
      <c r="AF1444" s="9"/>
      <c r="AG1444" s="9"/>
      <c r="AH1444" s="42"/>
      <c r="AI1444" s="42"/>
      <c r="AJ1444" s="42"/>
      <c r="AK1444" s="42"/>
      <c r="AL1444" s="42"/>
      <c r="AM1444" s="42"/>
      <c r="AN1444" s="42"/>
      <c r="AO1444" s="63" t="str">
        <f>IFERROR(__xludf.DUMMYFUNCTION("IF(ISBLANK(A1444),,IF(ISBLANK(S1444), A1444&amp;"";"", TEXTJOIN(CHAR(10), TRUE, A1444&amp;"";"", ARRAYFORMULA(VLOOKUP(SPLIT(S1444, "";"" &amp; CHAR(10)), $A:$AO, 41, FALSE)))))"),"CIg3;")</f>
        <v>CIg3;</v>
      </c>
      <c r="AP1444" s="89"/>
    </row>
    <row r="1445">
      <c r="A1445" s="151" t="str">
        <f>IFERROR(__xludf.DUMMYFUNCTION("""COMPUTED_VALUE"""),"CIg4")</f>
        <v>CIg4</v>
      </c>
      <c r="B1445" s="42" t="str">
        <f>IFERROR(__xludf.DUMMYFUNCTION("""COMPUTED_VALUE"""),"DHBA")</f>
        <v>DHBA</v>
      </c>
      <c r="C1445" s="42" t="str">
        <f>IFERROR(__xludf.DUMMYFUNCTION("""COMPUTED_VALUE"""),"layer IV of caudal granular insular cortex")</f>
        <v>layer IV of caudal granular insular cortex</v>
      </c>
      <c r="D1445" s="42">
        <f>IFERROR(__xludf.DUMMYFUNCTION("""COMPUTED_VALUE"""),1371.0)</f>
        <v>1371</v>
      </c>
      <c r="E1445" s="39" t="str">
        <f>IFERROR(__xludf.DUMMYFUNCTION("""COMPUTED_VALUE"""),"layer IV of caudal granular insular cortex")</f>
        <v>layer IV of caudal granular insular cortex</v>
      </c>
      <c r="F1445" s="9" t="str">
        <f>IFERROR(__xludf.DUMMYFUNCTION("""COMPUTED_VALUE"""),"Br")</f>
        <v>Br</v>
      </c>
      <c r="G1445" s="9" t="str">
        <f>IFERROR(__xludf.DUMMYFUNCTION("""COMPUTED_VALUE"""),"F")</f>
        <v>F</v>
      </c>
      <c r="H1445" s="9" t="str">
        <f>IFERROR(__xludf.DUMMYFUNCTION("""COMPUTED_VALUE"""),"FGM")</f>
        <v>FGM</v>
      </c>
      <c r="I1445" s="9" t="str">
        <f>IFERROR(__xludf.DUMMYFUNCTION("""COMPUTED_VALUE"""),"Tel")</f>
        <v>Tel</v>
      </c>
      <c r="J1445" s="9" t="str">
        <f>IFERROR(__xludf.DUMMYFUNCTION("""COMPUTED_VALUE"""),"Cx")</f>
        <v>Cx</v>
      </c>
      <c r="K1445" s="9" t="str">
        <f>IFERROR(__xludf.DUMMYFUNCTION("""COMPUTED_VALUE"""),"NCx")</f>
        <v>NCx</v>
      </c>
      <c r="L1445" s="9" t="str">
        <f>IFERROR(__xludf.DUMMYFUNCTION("""COMPUTED_VALUE"""),"ICx")</f>
        <v>ICx</v>
      </c>
      <c r="M1445" s="9" t="str">
        <f>IFERROR(__xludf.DUMMYFUNCTION("""COMPUTED_VALUE"""),"Ig")</f>
        <v>Ig</v>
      </c>
      <c r="N1445" s="9" t="str">
        <f>IFERROR(__xludf.DUMMYFUNCTION("""COMPUTED_VALUE"""),"CIg")</f>
        <v>CIg</v>
      </c>
      <c r="O1445" s="9" t="str">
        <f>IFERROR(__xludf.DUMMYFUNCTION("""COMPUTED_VALUE"""),"CIg4")</f>
        <v>CIg4</v>
      </c>
      <c r="P1445" s="9"/>
      <c r="Q1445" s="9"/>
      <c r="R1445" s="9"/>
      <c r="S1445" s="42"/>
      <c r="T1445" s="42"/>
      <c r="U1445" s="42"/>
      <c r="V1445" s="42"/>
      <c r="W1445" s="42"/>
      <c r="X1445" s="42"/>
      <c r="Y1445" s="42"/>
      <c r="Z1445" s="42"/>
      <c r="AA1445" s="42"/>
      <c r="AB1445" s="42" t="str">
        <f>IFERROR(__xludf.DUMMYFUNCTION("""COMPUTED_VALUE"""),"allen institute")</f>
        <v>allen institute</v>
      </c>
      <c r="AC1445" s="42" t="str">
        <f>IFERROR(__xludf.DUMMYFUNCTION("""COMPUTED_VALUE"""),"DHBA")</f>
        <v>DHBA</v>
      </c>
      <c r="AD1445" s="42"/>
      <c r="AE1445" s="42"/>
      <c r="AF1445" s="9"/>
      <c r="AG1445" s="9"/>
      <c r="AH1445" s="42"/>
      <c r="AI1445" s="42"/>
      <c r="AJ1445" s="42"/>
      <c r="AK1445" s="42"/>
      <c r="AL1445" s="42"/>
      <c r="AM1445" s="42"/>
      <c r="AN1445" s="42"/>
      <c r="AO1445" s="63" t="str">
        <f>IFERROR(__xludf.DUMMYFUNCTION("IF(ISBLANK(A1445),,IF(ISBLANK(S1445), A1445&amp;"";"", TEXTJOIN(CHAR(10), TRUE, A1445&amp;"";"", ARRAYFORMULA(VLOOKUP(SPLIT(S1445, "";"" &amp; CHAR(10)), $A:$AO, 41, FALSE)))))"),"CIg4;")</f>
        <v>CIg4;</v>
      </c>
      <c r="AP1445" s="89"/>
    </row>
    <row r="1446">
      <c r="A1446" s="151" t="str">
        <f>IFERROR(__xludf.DUMMYFUNCTION("""COMPUTED_VALUE"""),"CIg5")</f>
        <v>CIg5</v>
      </c>
      <c r="B1446" s="42" t="str">
        <f>IFERROR(__xludf.DUMMYFUNCTION("""COMPUTED_VALUE"""),"DHBA")</f>
        <v>DHBA</v>
      </c>
      <c r="C1446" s="42" t="str">
        <f>IFERROR(__xludf.DUMMYFUNCTION("""COMPUTED_VALUE"""),"layer V of caudal granular insular cortex")</f>
        <v>layer V of caudal granular insular cortex</v>
      </c>
      <c r="D1446" s="42">
        <f>IFERROR(__xludf.DUMMYFUNCTION("""COMPUTED_VALUE"""),1372.0)</f>
        <v>1372</v>
      </c>
      <c r="E1446" s="39" t="str">
        <f>IFERROR(__xludf.DUMMYFUNCTION("""COMPUTED_VALUE"""),"layer V of caudal granular insular cortex")</f>
        <v>layer V of caudal granular insular cortex</v>
      </c>
      <c r="F1446" s="9" t="str">
        <f>IFERROR(__xludf.DUMMYFUNCTION("""COMPUTED_VALUE"""),"Br")</f>
        <v>Br</v>
      </c>
      <c r="G1446" s="9" t="str">
        <f>IFERROR(__xludf.DUMMYFUNCTION("""COMPUTED_VALUE"""),"F")</f>
        <v>F</v>
      </c>
      <c r="H1446" s="9" t="str">
        <f>IFERROR(__xludf.DUMMYFUNCTION("""COMPUTED_VALUE"""),"FGM")</f>
        <v>FGM</v>
      </c>
      <c r="I1446" s="9" t="str">
        <f>IFERROR(__xludf.DUMMYFUNCTION("""COMPUTED_VALUE"""),"Tel")</f>
        <v>Tel</v>
      </c>
      <c r="J1446" s="9" t="str">
        <f>IFERROR(__xludf.DUMMYFUNCTION("""COMPUTED_VALUE"""),"Cx")</f>
        <v>Cx</v>
      </c>
      <c r="K1446" s="9" t="str">
        <f>IFERROR(__xludf.DUMMYFUNCTION("""COMPUTED_VALUE"""),"NCx")</f>
        <v>NCx</v>
      </c>
      <c r="L1446" s="9" t="str">
        <f>IFERROR(__xludf.DUMMYFUNCTION("""COMPUTED_VALUE"""),"ICx")</f>
        <v>ICx</v>
      </c>
      <c r="M1446" s="9" t="str">
        <f>IFERROR(__xludf.DUMMYFUNCTION("""COMPUTED_VALUE"""),"Ig")</f>
        <v>Ig</v>
      </c>
      <c r="N1446" s="9" t="str">
        <f>IFERROR(__xludf.DUMMYFUNCTION("""COMPUTED_VALUE"""),"CIg")</f>
        <v>CIg</v>
      </c>
      <c r="O1446" s="9" t="str">
        <f>IFERROR(__xludf.DUMMYFUNCTION("""COMPUTED_VALUE"""),"CIg5")</f>
        <v>CIg5</v>
      </c>
      <c r="P1446" s="9"/>
      <c r="Q1446" s="9"/>
      <c r="R1446" s="9"/>
      <c r="S1446" s="42"/>
      <c r="T1446" s="42"/>
      <c r="U1446" s="159"/>
      <c r="V1446" s="42"/>
      <c r="W1446" s="42"/>
      <c r="X1446" s="42"/>
      <c r="Y1446" s="42"/>
      <c r="Z1446" s="42"/>
      <c r="AA1446" s="42"/>
      <c r="AB1446" s="42" t="str">
        <f>IFERROR(__xludf.DUMMYFUNCTION("""COMPUTED_VALUE"""),"allen institute")</f>
        <v>allen institute</v>
      </c>
      <c r="AC1446" s="42" t="str">
        <f>IFERROR(__xludf.DUMMYFUNCTION("""COMPUTED_VALUE"""),"DHBA")</f>
        <v>DHBA</v>
      </c>
      <c r="AD1446" s="42"/>
      <c r="AE1446" s="42"/>
      <c r="AF1446" s="9"/>
      <c r="AG1446" s="9"/>
      <c r="AH1446" s="42"/>
      <c r="AI1446" s="42"/>
      <c r="AJ1446" s="42"/>
      <c r="AK1446" s="42"/>
      <c r="AL1446" s="42"/>
      <c r="AM1446" s="42"/>
      <c r="AN1446" s="42"/>
      <c r="AO1446" s="63" t="str">
        <f>IFERROR(__xludf.DUMMYFUNCTION("IF(ISBLANK(A1446),,IF(ISBLANK(S1446), A1446&amp;"";"", TEXTJOIN(CHAR(10), TRUE, A1446&amp;"";"", ARRAYFORMULA(VLOOKUP(SPLIT(S1446, "";"" &amp; CHAR(10)), $A:$AO, 41, FALSE)))))"),"CIg5;")</f>
        <v>CIg5;</v>
      </c>
      <c r="AP1446" s="89"/>
    </row>
    <row r="1447">
      <c r="A1447" s="151" t="str">
        <f>IFERROR(__xludf.DUMMYFUNCTION("""COMPUTED_VALUE"""),"CIg6")</f>
        <v>CIg6</v>
      </c>
      <c r="B1447" s="42" t="str">
        <f>IFERROR(__xludf.DUMMYFUNCTION("""COMPUTED_VALUE"""),"DHBA")</f>
        <v>DHBA</v>
      </c>
      <c r="C1447" s="42" t="str">
        <f>IFERROR(__xludf.DUMMYFUNCTION("""COMPUTED_VALUE"""),"layer VI of caudal granular insular cortex")</f>
        <v>layer VI of caudal granular insular cortex</v>
      </c>
      <c r="D1447" s="42">
        <f>IFERROR(__xludf.DUMMYFUNCTION("""COMPUTED_VALUE"""),1373.0)</f>
        <v>1373</v>
      </c>
      <c r="E1447" s="39" t="str">
        <f>IFERROR(__xludf.DUMMYFUNCTION("""COMPUTED_VALUE"""),"layer VI of caudal granular insular cortex")</f>
        <v>layer VI of caudal granular insular cortex</v>
      </c>
      <c r="F1447" s="9" t="str">
        <f>IFERROR(__xludf.DUMMYFUNCTION("""COMPUTED_VALUE"""),"Br")</f>
        <v>Br</v>
      </c>
      <c r="G1447" s="9" t="str">
        <f>IFERROR(__xludf.DUMMYFUNCTION("""COMPUTED_VALUE"""),"F")</f>
        <v>F</v>
      </c>
      <c r="H1447" s="9" t="str">
        <f>IFERROR(__xludf.DUMMYFUNCTION("""COMPUTED_VALUE"""),"FGM")</f>
        <v>FGM</v>
      </c>
      <c r="I1447" s="9" t="str">
        <f>IFERROR(__xludf.DUMMYFUNCTION("""COMPUTED_VALUE"""),"Tel")</f>
        <v>Tel</v>
      </c>
      <c r="J1447" s="9" t="str">
        <f>IFERROR(__xludf.DUMMYFUNCTION("""COMPUTED_VALUE"""),"Cx")</f>
        <v>Cx</v>
      </c>
      <c r="K1447" s="9" t="str">
        <f>IFERROR(__xludf.DUMMYFUNCTION("""COMPUTED_VALUE"""),"NCx")</f>
        <v>NCx</v>
      </c>
      <c r="L1447" s="9" t="str">
        <f>IFERROR(__xludf.DUMMYFUNCTION("""COMPUTED_VALUE"""),"ICx")</f>
        <v>ICx</v>
      </c>
      <c r="M1447" s="9" t="str">
        <f>IFERROR(__xludf.DUMMYFUNCTION("""COMPUTED_VALUE"""),"Ig")</f>
        <v>Ig</v>
      </c>
      <c r="N1447" s="9" t="str">
        <f>IFERROR(__xludf.DUMMYFUNCTION("""COMPUTED_VALUE"""),"CIg")</f>
        <v>CIg</v>
      </c>
      <c r="O1447" s="9" t="str">
        <f>IFERROR(__xludf.DUMMYFUNCTION("""COMPUTED_VALUE"""),"CIg6")</f>
        <v>CIg6</v>
      </c>
      <c r="P1447" s="9"/>
      <c r="Q1447" s="9"/>
      <c r="R1447" s="9"/>
      <c r="S1447" s="42"/>
      <c r="T1447" s="42"/>
      <c r="U1447" s="42"/>
      <c r="V1447" s="42"/>
      <c r="W1447" s="42"/>
      <c r="X1447" s="42"/>
      <c r="Y1447" s="42"/>
      <c r="Z1447" s="42"/>
      <c r="AA1447" s="42"/>
      <c r="AB1447" s="42" t="str">
        <f>IFERROR(__xludf.DUMMYFUNCTION("""COMPUTED_VALUE"""),"allen institute")</f>
        <v>allen institute</v>
      </c>
      <c r="AC1447" s="42" t="str">
        <f>IFERROR(__xludf.DUMMYFUNCTION("""COMPUTED_VALUE"""),"DHBA")</f>
        <v>DHBA</v>
      </c>
      <c r="AD1447" s="42"/>
      <c r="AE1447" s="42"/>
      <c r="AF1447" s="9"/>
      <c r="AG1447" s="9"/>
      <c r="AH1447" s="42"/>
      <c r="AI1447" s="42"/>
      <c r="AJ1447" s="42"/>
      <c r="AK1447" s="42"/>
      <c r="AL1447" s="42"/>
      <c r="AM1447" s="42"/>
      <c r="AN1447" s="42"/>
      <c r="AO1447" s="63" t="str">
        <f>IFERROR(__xludf.DUMMYFUNCTION("IF(ISBLANK(A1447),,IF(ISBLANK(S1447), A1447&amp;"";"", TEXTJOIN(CHAR(10), TRUE, A1447&amp;"";"", ARRAYFORMULA(VLOOKUP(SPLIT(S1447, "";"" &amp; CHAR(10)), $A:$AO, 41, FALSE)))))"),"CIg6;")</f>
        <v>CIg6;</v>
      </c>
      <c r="AP1447" s="89"/>
    </row>
    <row r="1448">
      <c r="A1448" s="151" t="str">
        <f>IFERROR(__xludf.DUMMYFUNCTION("""COMPUTED_VALUE"""),"CCx")</f>
        <v>CCx</v>
      </c>
      <c r="B1448" s="42" t="str">
        <f>IFERROR(__xludf.DUMMYFUNCTION("""COMPUTED_VALUE"""),"DHBA")</f>
        <v>DHBA</v>
      </c>
      <c r="C1448" s="42" t="str">
        <f>IFERROR(__xludf.DUMMYFUNCTION("""COMPUTED_VALUE"""),"cingulate neocortex")</f>
        <v>cingulate neocortex</v>
      </c>
      <c r="D1448" s="42">
        <f>IFERROR(__xludf.DUMMYFUNCTION("""COMPUTED_VALUE"""),1374.0)</f>
        <v>1374</v>
      </c>
      <c r="E1448" s="39" t="str">
        <f>IFERROR(__xludf.DUMMYFUNCTION("""COMPUTED_VALUE"""),"cingulate neocortex")</f>
        <v>cingulate neocortex</v>
      </c>
      <c r="F1448" s="9" t="str">
        <f>IFERROR(__xludf.DUMMYFUNCTION("""COMPUTED_VALUE"""),"Br")</f>
        <v>Br</v>
      </c>
      <c r="G1448" s="9" t="str">
        <f>IFERROR(__xludf.DUMMYFUNCTION("""COMPUTED_VALUE"""),"F")</f>
        <v>F</v>
      </c>
      <c r="H1448" s="9" t="str">
        <f>IFERROR(__xludf.DUMMYFUNCTION("""COMPUTED_VALUE"""),"FGM")</f>
        <v>FGM</v>
      </c>
      <c r="I1448" s="9" t="str">
        <f>IFERROR(__xludf.DUMMYFUNCTION("""COMPUTED_VALUE"""),"Tel")</f>
        <v>Tel</v>
      </c>
      <c r="J1448" s="9" t="str">
        <f>IFERROR(__xludf.DUMMYFUNCTION("""COMPUTED_VALUE"""),"Cx")</f>
        <v>Cx</v>
      </c>
      <c r="K1448" s="9" t="str">
        <f>IFERROR(__xludf.DUMMYFUNCTION("""COMPUTED_VALUE"""),"NCx")</f>
        <v>NCx</v>
      </c>
      <c r="L1448" s="9" t="str">
        <f>IFERROR(__xludf.DUMMYFUNCTION("""COMPUTED_VALUE"""),"CCx")</f>
        <v>CCx</v>
      </c>
      <c r="M1448" s="9"/>
      <c r="N1448" s="9"/>
      <c r="O1448" s="9"/>
      <c r="P1448" s="9"/>
      <c r="Q1448" s="9"/>
      <c r="R1448" s="9"/>
      <c r="S1448" s="42" t="str">
        <f>IFERROR(__xludf.DUMMYFUNCTION("""COMPUTED_VALUE"""),"MFC;
MCC;
PCC")</f>
        <v>MFC;
MCC;
PCC</v>
      </c>
      <c r="T1448" s="42"/>
      <c r="U1448" s="42" t="b">
        <f>IFERROR(__xludf.DUMMYFUNCTION("""COMPUTED_VALUE"""),FALSE)</f>
        <v>0</v>
      </c>
      <c r="V1448" s="42"/>
      <c r="W1448" s="42"/>
      <c r="X1448" s="42"/>
      <c r="Y1448" s="42"/>
      <c r="Z1448" s="42"/>
      <c r="AA1448" s="42"/>
      <c r="AB1448" s="42" t="str">
        <f>IFERROR(__xludf.DUMMYFUNCTION("""COMPUTED_VALUE"""),"allen institute")</f>
        <v>allen institute</v>
      </c>
      <c r="AC1448" s="42" t="str">
        <f>IFERROR(__xludf.DUMMYFUNCTION("""COMPUTED_VALUE"""),"DHBA")</f>
        <v>DHBA</v>
      </c>
      <c r="AD1448" s="42"/>
      <c r="AE1448" s="42"/>
      <c r="AF1448" s="9"/>
      <c r="AG1448" s="9"/>
      <c r="AH1448" s="42"/>
      <c r="AI1448" s="42"/>
      <c r="AJ1448" s="42"/>
      <c r="AK1448" s="42"/>
      <c r="AL1448" s="42"/>
      <c r="AM1448" s="42"/>
      <c r="AN1448" s="42"/>
      <c r="AO1448" s="63" t="str">
        <f>IFERROR(__xludf.DUMMYFUNCTION("IF(ISBLANK(A1448),,IF(ISBLANK(S1448), A1448&amp;"";"", TEXTJOIN(CHAR(10), TRUE, A1448&amp;"";"", ARRAYFORMULA(VLOOKUP(SPLIT(S1448, "";"" &amp; CHAR(10)), $A:$AO, 41, FALSE)))))"),"#N/A")</f>
        <v>#N/A</v>
      </c>
      <c r="AP1448" s="89"/>
    </row>
    <row r="1449">
      <c r="A1449" s="151" t="str">
        <f>IFERROR(__xludf.DUMMYFUNCTION("""COMPUTED_VALUE"""),"MFC")</f>
        <v>MFC</v>
      </c>
      <c r="B1449" s="42" t="str">
        <f>IFERROR(__xludf.DUMMYFUNCTION("""COMPUTED_VALUE"""),"DHBA")</f>
        <v>DHBA</v>
      </c>
      <c r="C1449" s="42" t="str">
        <f>IFERROR(__xludf.DUMMYFUNCTION("""COMPUTED_VALUE"""),"anterior cingulate cortex")</f>
        <v>anterior cingulate cortex</v>
      </c>
      <c r="D1449" s="42">
        <f>IFERROR(__xludf.DUMMYFUNCTION("""COMPUTED_VALUE"""),1375.0)</f>
        <v>1375</v>
      </c>
      <c r="E1449" s="39" t="str">
        <f>IFERROR(__xludf.DUMMYFUNCTION("""COMPUTED_VALUE"""),"anterior (rostral) cingulate (medial prefrontal) cortex")</f>
        <v>anterior (rostral) cingulate (medial prefrontal) cortex</v>
      </c>
      <c r="F1449" s="9" t="str">
        <f>IFERROR(__xludf.DUMMYFUNCTION("""COMPUTED_VALUE"""),"Br")</f>
        <v>Br</v>
      </c>
      <c r="G1449" s="9" t="str">
        <f>IFERROR(__xludf.DUMMYFUNCTION("""COMPUTED_VALUE"""),"F")</f>
        <v>F</v>
      </c>
      <c r="H1449" s="9" t="str">
        <f>IFERROR(__xludf.DUMMYFUNCTION("""COMPUTED_VALUE"""),"FGM")</f>
        <v>FGM</v>
      </c>
      <c r="I1449" s="9" t="str">
        <f>IFERROR(__xludf.DUMMYFUNCTION("""COMPUTED_VALUE"""),"Tel")</f>
        <v>Tel</v>
      </c>
      <c r="J1449" s="9" t="str">
        <f>IFERROR(__xludf.DUMMYFUNCTION("""COMPUTED_VALUE"""),"Cx")</f>
        <v>Cx</v>
      </c>
      <c r="K1449" s="9" t="str">
        <f>IFERROR(__xludf.DUMMYFUNCTION("""COMPUTED_VALUE"""),"NCx")</f>
        <v>NCx</v>
      </c>
      <c r="L1449" s="9" t="str">
        <f>IFERROR(__xludf.DUMMYFUNCTION("""COMPUTED_VALUE"""),"CCx")</f>
        <v>CCx</v>
      </c>
      <c r="M1449" s="9" t="str">
        <f>IFERROR(__xludf.DUMMYFUNCTION("""COMPUTED_VALUE"""),"MFC")</f>
        <v>MFC</v>
      </c>
      <c r="N1449" s="9"/>
      <c r="O1449" s="9"/>
      <c r="P1449" s="9"/>
      <c r="Q1449" s="9"/>
      <c r="R1449" s="9"/>
      <c r="S1449" s="42" t="str">
        <f>IFERROR(__xludf.DUMMYFUNCTION("""COMPUTED_VALUE"""),"A24;
A32;
A25;
AC")</f>
        <v>A24;
A32;
A25;
AC</v>
      </c>
      <c r="T1449" s="42" t="str">
        <f>IFERROR(__xludf.DUMMYFUNCTION("""COMPUTED_VALUE"""),"NCx")</f>
        <v>NCx</v>
      </c>
      <c r="U1449" s="42" t="b">
        <f>IFERROR(__xludf.DUMMYFUNCTION("""COMPUTED_VALUE"""),FALSE)</f>
        <v>0</v>
      </c>
      <c r="V1449" s="42"/>
      <c r="W1449" s="42"/>
      <c r="X1449" s="42"/>
      <c r="Y1449" s="42"/>
      <c r="Z1449" s="42"/>
      <c r="AA1449" s="42"/>
      <c r="AB1449" s="42" t="str">
        <f>IFERROR(__xludf.DUMMYFUNCTION("""COMPUTED_VALUE"""),"allen institute")</f>
        <v>allen institute</v>
      </c>
      <c r="AC1449" s="42" t="str">
        <f>IFERROR(__xludf.DUMMYFUNCTION("""COMPUTED_VALUE"""),"DHBA")</f>
        <v>DHBA</v>
      </c>
      <c r="AD1449" s="42"/>
      <c r="AE1449" s="42"/>
      <c r="AF1449" s="9"/>
      <c r="AG1449" s="9"/>
      <c r="AH1449" s="42"/>
      <c r="AI1449" s="42"/>
      <c r="AJ1449" s="42"/>
      <c r="AK1449" s="42"/>
      <c r="AL1449" s="42"/>
      <c r="AM1449" s="42"/>
      <c r="AN1449" s="42"/>
      <c r="AO1449" s="63" t="str">
        <f>IFERROR(__xludf.DUMMYFUNCTION("IF(ISBLANK(A1449),,IF(ISBLANK(S1449), A1449&amp;"";"", TEXTJOIN(CHAR(10), TRUE, A1449&amp;"";"", ARRAYFORMULA(VLOOKUP(SPLIT(S1449, "";"" &amp; CHAR(10)), $A:$AO, 41, FALSE)))))"),"#N/A")</f>
        <v>#N/A</v>
      </c>
      <c r="AP1449" s="89"/>
    </row>
    <row r="1450">
      <c r="A1450" s="151" t="str">
        <f>IFERROR(__xludf.DUMMYFUNCTION("""COMPUTED_VALUE"""),"A24")</f>
        <v>A24</v>
      </c>
      <c r="B1450" s="42" t="str">
        <f>IFERROR(__xludf.DUMMYFUNCTION("""COMPUTED_VALUE"""),"DHBA")</f>
        <v>DHBA</v>
      </c>
      <c r="C1450" s="42" t="str">
        <f>IFERROR(__xludf.DUMMYFUNCTION("""COMPUTED_VALUE"""),"ventral division of MFC (area 24)")</f>
        <v>ventral division of MFC (area 24)</v>
      </c>
      <c r="D1450" s="42">
        <f>IFERROR(__xludf.DUMMYFUNCTION("""COMPUTED_VALUE"""),1376.0)</f>
        <v>1376</v>
      </c>
      <c r="E1450" s="39" t="str">
        <f>IFERROR(__xludf.DUMMYFUNCTION("""COMPUTED_VALUE"""),"ventral division of MFC (area 24)")</f>
        <v>ventral division of MFC (area 24)</v>
      </c>
      <c r="F1450" s="9" t="str">
        <f>IFERROR(__xludf.DUMMYFUNCTION("""COMPUTED_VALUE"""),"Br")</f>
        <v>Br</v>
      </c>
      <c r="G1450" s="9" t="str">
        <f>IFERROR(__xludf.DUMMYFUNCTION("""COMPUTED_VALUE"""),"F")</f>
        <v>F</v>
      </c>
      <c r="H1450" s="9" t="str">
        <f>IFERROR(__xludf.DUMMYFUNCTION("""COMPUTED_VALUE"""),"FGM")</f>
        <v>FGM</v>
      </c>
      <c r="I1450" s="9" t="str">
        <f>IFERROR(__xludf.DUMMYFUNCTION("""COMPUTED_VALUE"""),"Tel")</f>
        <v>Tel</v>
      </c>
      <c r="J1450" s="9" t="str">
        <f>IFERROR(__xludf.DUMMYFUNCTION("""COMPUTED_VALUE"""),"Cx")</f>
        <v>Cx</v>
      </c>
      <c r="K1450" s="9" t="str">
        <f>IFERROR(__xludf.DUMMYFUNCTION("""COMPUTED_VALUE"""),"NCx")</f>
        <v>NCx</v>
      </c>
      <c r="L1450" s="9" t="str">
        <f>IFERROR(__xludf.DUMMYFUNCTION("""COMPUTED_VALUE"""),"CCx")</f>
        <v>CCx</v>
      </c>
      <c r="M1450" s="9" t="str">
        <f>IFERROR(__xludf.DUMMYFUNCTION("""COMPUTED_VALUE"""),"MFC")</f>
        <v>MFC</v>
      </c>
      <c r="N1450" s="9" t="str">
        <f>IFERROR(__xludf.DUMMYFUNCTION("""COMPUTED_VALUE"""),"A24")</f>
        <v>A24</v>
      </c>
      <c r="O1450" s="9"/>
      <c r="P1450" s="9"/>
      <c r="Q1450" s="9"/>
      <c r="R1450" s="9"/>
      <c r="S1450" s="42" t="str">
        <f>IFERROR(__xludf.DUMMYFUNCTION("""COMPUTED_VALUE"""),"A24_1;
A24_2;
A24_3;
A24_5a;
A24_5b;
A24_6")</f>
        <v>A24_1;
A24_2;
A24_3;
A24_5a;
A24_5b;
A24_6</v>
      </c>
      <c r="T1450" s="42" t="str">
        <f>IFERROR(__xludf.DUMMYFUNCTION("""COMPUTED_VALUE"""),"NCx")</f>
        <v>NCx</v>
      </c>
      <c r="U1450" s="42" t="b">
        <f>IFERROR(__xludf.DUMMYFUNCTION("""COMPUTED_VALUE"""),FALSE)</f>
        <v>0</v>
      </c>
      <c r="V1450" s="42"/>
      <c r="W1450" s="42"/>
      <c r="X1450" s="42"/>
      <c r="Y1450" s="42"/>
      <c r="Z1450" s="42"/>
      <c r="AA1450" s="42"/>
      <c r="AB1450" s="42" t="str">
        <f>IFERROR(__xludf.DUMMYFUNCTION("""COMPUTED_VALUE"""),"allen institute")</f>
        <v>allen institute</v>
      </c>
      <c r="AC1450" s="42" t="str">
        <f>IFERROR(__xludf.DUMMYFUNCTION("""COMPUTED_VALUE"""),"DHBA")</f>
        <v>DHBA</v>
      </c>
      <c r="AD1450" s="42"/>
      <c r="AE1450" s="42"/>
      <c r="AF1450" s="9"/>
      <c r="AG1450" s="9"/>
      <c r="AH1450" s="42"/>
      <c r="AI1450" s="42"/>
      <c r="AJ1450" s="42"/>
      <c r="AK1450" s="42"/>
      <c r="AL1450" s="42"/>
      <c r="AM1450" s="42"/>
      <c r="AN1450" s="42"/>
      <c r="AO1450" s="63" t="str">
        <f>IFERROR(__xludf.DUMMYFUNCTION("IF(ISBLANK(A1450),,IF(ISBLANK(S1450), A1450&amp;"";"", TEXTJOIN(CHAR(10), TRUE, A1450&amp;"";"", ARRAYFORMULA(VLOOKUP(SPLIT(S1450, "";"" &amp; CHAR(10)), $A:$AO, 41, FALSE)))))"),"#N/A")</f>
        <v>#N/A</v>
      </c>
      <c r="AP1450" s="89"/>
    </row>
    <row r="1451">
      <c r="A1451" s="151" t="str">
        <f>IFERROR(__xludf.DUMMYFUNCTION("""COMPUTED_VALUE"""),"A24-1")</f>
        <v>A24-1</v>
      </c>
      <c r="B1451" s="42" t="str">
        <f>IFERROR(__xludf.DUMMYFUNCTION("""COMPUTED_VALUE"""),"DHBA")</f>
        <v>DHBA</v>
      </c>
      <c r="C1451" s="42" t="str">
        <f>IFERROR(__xludf.DUMMYFUNCTION("""COMPUTED_VALUE"""),"layer I of area 24")</f>
        <v>layer I of area 24</v>
      </c>
      <c r="D1451" s="42">
        <f>IFERROR(__xludf.DUMMYFUNCTION("""COMPUTED_VALUE"""),1377.0)</f>
        <v>1377</v>
      </c>
      <c r="E1451" s="39" t="str">
        <f>IFERROR(__xludf.DUMMYFUNCTION("""COMPUTED_VALUE"""),"layer I of area 24")</f>
        <v>layer I of area 24</v>
      </c>
      <c r="F1451" s="9" t="str">
        <f>IFERROR(__xludf.DUMMYFUNCTION("""COMPUTED_VALUE"""),"Br")</f>
        <v>Br</v>
      </c>
      <c r="G1451" s="9" t="str">
        <f>IFERROR(__xludf.DUMMYFUNCTION("""COMPUTED_VALUE"""),"F")</f>
        <v>F</v>
      </c>
      <c r="H1451" s="9" t="str">
        <f>IFERROR(__xludf.DUMMYFUNCTION("""COMPUTED_VALUE"""),"FGM")</f>
        <v>FGM</v>
      </c>
      <c r="I1451" s="9" t="str">
        <f>IFERROR(__xludf.DUMMYFUNCTION("""COMPUTED_VALUE"""),"Tel")</f>
        <v>Tel</v>
      </c>
      <c r="J1451" s="9" t="str">
        <f>IFERROR(__xludf.DUMMYFUNCTION("""COMPUTED_VALUE"""),"Cx")</f>
        <v>Cx</v>
      </c>
      <c r="K1451" s="9" t="str">
        <f>IFERROR(__xludf.DUMMYFUNCTION("""COMPUTED_VALUE"""),"NCx")</f>
        <v>NCx</v>
      </c>
      <c r="L1451" s="9" t="str">
        <f>IFERROR(__xludf.DUMMYFUNCTION("""COMPUTED_VALUE"""),"CCx")</f>
        <v>CCx</v>
      </c>
      <c r="M1451" s="9" t="str">
        <f>IFERROR(__xludf.DUMMYFUNCTION("""COMPUTED_VALUE"""),"MFC")</f>
        <v>MFC</v>
      </c>
      <c r="N1451" s="9" t="str">
        <f>IFERROR(__xludf.DUMMYFUNCTION("""COMPUTED_VALUE"""),"A24")</f>
        <v>A24</v>
      </c>
      <c r="O1451" s="9" t="str">
        <f>IFERROR(__xludf.DUMMYFUNCTION("""COMPUTED_VALUE"""),"A24-1")</f>
        <v>A24-1</v>
      </c>
      <c r="P1451" s="9"/>
      <c r="Q1451" s="9"/>
      <c r="R1451" s="9"/>
      <c r="S1451" s="42"/>
      <c r="T1451" s="42"/>
      <c r="U1451" s="42"/>
      <c r="V1451" s="42"/>
      <c r="W1451" s="42"/>
      <c r="X1451" s="42"/>
      <c r="Y1451" s="42"/>
      <c r="Z1451" s="42"/>
      <c r="AA1451" s="42"/>
      <c r="AB1451" s="42" t="str">
        <f>IFERROR(__xludf.DUMMYFUNCTION("""COMPUTED_VALUE"""),"allen institute")</f>
        <v>allen institute</v>
      </c>
      <c r="AC1451" s="42" t="str">
        <f>IFERROR(__xludf.DUMMYFUNCTION("""COMPUTED_VALUE"""),"DHBA")</f>
        <v>DHBA</v>
      </c>
      <c r="AD1451" s="42"/>
      <c r="AE1451" s="42"/>
      <c r="AF1451" s="9"/>
      <c r="AG1451" s="9"/>
      <c r="AH1451" s="42"/>
      <c r="AI1451" s="42"/>
      <c r="AJ1451" s="42"/>
      <c r="AK1451" s="42"/>
      <c r="AL1451" s="42"/>
      <c r="AM1451" s="42"/>
      <c r="AN1451" s="42"/>
      <c r="AO1451" s="63" t="str">
        <f>IFERROR(__xludf.DUMMYFUNCTION("IF(ISBLANK(A1451),,IF(ISBLANK(S1451), A1451&amp;"";"", TEXTJOIN(CHAR(10), TRUE, A1451&amp;"";"", ARRAYFORMULA(VLOOKUP(SPLIT(S1451, "";"" &amp; CHAR(10)), $A:$AO, 41, FALSE)))))"),"A24-1;")</f>
        <v>A24-1;</v>
      </c>
      <c r="AP1451" s="89"/>
    </row>
    <row r="1452">
      <c r="A1452" s="151" t="str">
        <f>IFERROR(__xludf.DUMMYFUNCTION("""COMPUTED_VALUE"""),"A24-2")</f>
        <v>A24-2</v>
      </c>
      <c r="B1452" s="42" t="str">
        <f>IFERROR(__xludf.DUMMYFUNCTION("""COMPUTED_VALUE"""),"DHBA")</f>
        <v>DHBA</v>
      </c>
      <c r="C1452" s="42" t="str">
        <f>IFERROR(__xludf.DUMMYFUNCTION("""COMPUTED_VALUE"""),"layer II of area 24")</f>
        <v>layer II of area 24</v>
      </c>
      <c r="D1452" s="42">
        <f>IFERROR(__xludf.DUMMYFUNCTION("""COMPUTED_VALUE"""),1378.0)</f>
        <v>1378</v>
      </c>
      <c r="E1452" s="39" t="str">
        <f>IFERROR(__xludf.DUMMYFUNCTION("""COMPUTED_VALUE"""),"layer II of area 24")</f>
        <v>layer II of area 24</v>
      </c>
      <c r="F1452" s="9" t="str">
        <f>IFERROR(__xludf.DUMMYFUNCTION("""COMPUTED_VALUE"""),"Br")</f>
        <v>Br</v>
      </c>
      <c r="G1452" s="9" t="str">
        <f>IFERROR(__xludf.DUMMYFUNCTION("""COMPUTED_VALUE"""),"F")</f>
        <v>F</v>
      </c>
      <c r="H1452" s="9" t="str">
        <f>IFERROR(__xludf.DUMMYFUNCTION("""COMPUTED_VALUE"""),"FGM")</f>
        <v>FGM</v>
      </c>
      <c r="I1452" s="9" t="str">
        <f>IFERROR(__xludf.DUMMYFUNCTION("""COMPUTED_VALUE"""),"Tel")</f>
        <v>Tel</v>
      </c>
      <c r="J1452" s="9" t="str">
        <f>IFERROR(__xludf.DUMMYFUNCTION("""COMPUTED_VALUE"""),"Cx")</f>
        <v>Cx</v>
      </c>
      <c r="K1452" s="9" t="str">
        <f>IFERROR(__xludf.DUMMYFUNCTION("""COMPUTED_VALUE"""),"NCx")</f>
        <v>NCx</v>
      </c>
      <c r="L1452" s="9" t="str">
        <f>IFERROR(__xludf.DUMMYFUNCTION("""COMPUTED_VALUE"""),"CCx")</f>
        <v>CCx</v>
      </c>
      <c r="M1452" s="9" t="str">
        <f>IFERROR(__xludf.DUMMYFUNCTION("""COMPUTED_VALUE"""),"MFC")</f>
        <v>MFC</v>
      </c>
      <c r="N1452" s="9" t="str">
        <f>IFERROR(__xludf.DUMMYFUNCTION("""COMPUTED_VALUE"""),"A24")</f>
        <v>A24</v>
      </c>
      <c r="O1452" s="9" t="str">
        <f>IFERROR(__xludf.DUMMYFUNCTION("""COMPUTED_VALUE"""),"A24-2")</f>
        <v>A24-2</v>
      </c>
      <c r="P1452" s="9"/>
      <c r="Q1452" s="9"/>
      <c r="R1452" s="9"/>
      <c r="S1452" s="42"/>
      <c r="T1452" s="42"/>
      <c r="U1452" s="42"/>
      <c r="V1452" s="42"/>
      <c r="W1452" s="42"/>
      <c r="X1452" s="42"/>
      <c r="Y1452" s="42"/>
      <c r="Z1452" s="42"/>
      <c r="AA1452" s="42"/>
      <c r="AB1452" s="42" t="str">
        <f>IFERROR(__xludf.DUMMYFUNCTION("""COMPUTED_VALUE"""),"allen institute")</f>
        <v>allen institute</v>
      </c>
      <c r="AC1452" s="42" t="str">
        <f>IFERROR(__xludf.DUMMYFUNCTION("""COMPUTED_VALUE"""),"DHBA")</f>
        <v>DHBA</v>
      </c>
      <c r="AD1452" s="42"/>
      <c r="AE1452" s="42"/>
      <c r="AF1452" s="9"/>
      <c r="AG1452" s="9"/>
      <c r="AH1452" s="42"/>
      <c r="AI1452" s="42"/>
      <c r="AJ1452" s="42"/>
      <c r="AK1452" s="42"/>
      <c r="AL1452" s="42"/>
      <c r="AM1452" s="42"/>
      <c r="AN1452" s="42"/>
      <c r="AO1452" s="63" t="str">
        <f>IFERROR(__xludf.DUMMYFUNCTION("IF(ISBLANK(A1452),,IF(ISBLANK(S1452), A1452&amp;"";"", TEXTJOIN(CHAR(10), TRUE, A1452&amp;"";"", ARRAYFORMULA(VLOOKUP(SPLIT(S1452, "";"" &amp; CHAR(10)), $A:$AO, 41, FALSE)))))"),"A24-2;")</f>
        <v>A24-2;</v>
      </c>
      <c r="AP1452" s="89"/>
    </row>
    <row r="1453">
      <c r="A1453" s="151" t="str">
        <f>IFERROR(__xludf.DUMMYFUNCTION("""COMPUTED_VALUE"""),"A24-3")</f>
        <v>A24-3</v>
      </c>
      <c r="B1453" s="42" t="str">
        <f>IFERROR(__xludf.DUMMYFUNCTION("""COMPUTED_VALUE"""),"DHBA")</f>
        <v>DHBA</v>
      </c>
      <c r="C1453" s="42" t="str">
        <f>IFERROR(__xludf.DUMMYFUNCTION("""COMPUTED_VALUE"""),"layer III of area 24")</f>
        <v>layer III of area 24</v>
      </c>
      <c r="D1453" s="42">
        <f>IFERROR(__xludf.DUMMYFUNCTION("""COMPUTED_VALUE"""),1379.0)</f>
        <v>1379</v>
      </c>
      <c r="E1453" s="39" t="str">
        <f>IFERROR(__xludf.DUMMYFUNCTION("""COMPUTED_VALUE"""),"layer III of area 24")</f>
        <v>layer III of area 24</v>
      </c>
      <c r="F1453" s="9" t="str">
        <f>IFERROR(__xludf.DUMMYFUNCTION("""COMPUTED_VALUE"""),"Br")</f>
        <v>Br</v>
      </c>
      <c r="G1453" s="9" t="str">
        <f>IFERROR(__xludf.DUMMYFUNCTION("""COMPUTED_VALUE"""),"F")</f>
        <v>F</v>
      </c>
      <c r="H1453" s="9" t="str">
        <f>IFERROR(__xludf.DUMMYFUNCTION("""COMPUTED_VALUE"""),"FGM")</f>
        <v>FGM</v>
      </c>
      <c r="I1453" s="9" t="str">
        <f>IFERROR(__xludf.DUMMYFUNCTION("""COMPUTED_VALUE"""),"Tel")</f>
        <v>Tel</v>
      </c>
      <c r="J1453" s="9" t="str">
        <f>IFERROR(__xludf.DUMMYFUNCTION("""COMPUTED_VALUE"""),"Cx")</f>
        <v>Cx</v>
      </c>
      <c r="K1453" s="9" t="str">
        <f>IFERROR(__xludf.DUMMYFUNCTION("""COMPUTED_VALUE"""),"NCx")</f>
        <v>NCx</v>
      </c>
      <c r="L1453" s="9" t="str">
        <f>IFERROR(__xludf.DUMMYFUNCTION("""COMPUTED_VALUE"""),"CCx")</f>
        <v>CCx</v>
      </c>
      <c r="M1453" s="9" t="str">
        <f>IFERROR(__xludf.DUMMYFUNCTION("""COMPUTED_VALUE"""),"MFC")</f>
        <v>MFC</v>
      </c>
      <c r="N1453" s="9" t="str">
        <f>IFERROR(__xludf.DUMMYFUNCTION("""COMPUTED_VALUE"""),"A24")</f>
        <v>A24</v>
      </c>
      <c r="O1453" s="9" t="str">
        <f>IFERROR(__xludf.DUMMYFUNCTION("""COMPUTED_VALUE"""),"A24-3")</f>
        <v>A24-3</v>
      </c>
      <c r="P1453" s="9"/>
      <c r="Q1453" s="9"/>
      <c r="R1453" s="9"/>
      <c r="S1453" s="42"/>
      <c r="T1453" s="42"/>
      <c r="U1453" s="42"/>
      <c r="V1453" s="42"/>
      <c r="W1453" s="42"/>
      <c r="X1453" s="42"/>
      <c r="Y1453" s="42"/>
      <c r="Z1453" s="42"/>
      <c r="AA1453" s="42"/>
      <c r="AB1453" s="42" t="str">
        <f>IFERROR(__xludf.DUMMYFUNCTION("""COMPUTED_VALUE"""),"allen institute")</f>
        <v>allen institute</v>
      </c>
      <c r="AC1453" s="42" t="str">
        <f>IFERROR(__xludf.DUMMYFUNCTION("""COMPUTED_VALUE"""),"DHBA")</f>
        <v>DHBA</v>
      </c>
      <c r="AD1453" s="42"/>
      <c r="AE1453" s="42"/>
      <c r="AF1453" s="9"/>
      <c r="AG1453" s="9"/>
      <c r="AH1453" s="42"/>
      <c r="AI1453" s="42"/>
      <c r="AJ1453" s="42"/>
      <c r="AK1453" s="42"/>
      <c r="AL1453" s="42"/>
      <c r="AM1453" s="42"/>
      <c r="AN1453" s="42"/>
      <c r="AO1453" s="63" t="str">
        <f>IFERROR(__xludf.DUMMYFUNCTION("IF(ISBLANK(A1453),,IF(ISBLANK(S1453), A1453&amp;"";"", TEXTJOIN(CHAR(10), TRUE, A1453&amp;"";"", ARRAYFORMULA(VLOOKUP(SPLIT(S1453, "";"" &amp; CHAR(10)), $A:$AO, 41, FALSE)))))"),"A24-3;")</f>
        <v>A24-3;</v>
      </c>
      <c r="AP1453" s="89"/>
    </row>
    <row r="1454">
      <c r="A1454" s="151" t="str">
        <f>IFERROR(__xludf.DUMMYFUNCTION("""COMPUTED_VALUE"""),"A24-5a")</f>
        <v>A24-5a</v>
      </c>
      <c r="B1454" s="42" t="str">
        <f>IFERROR(__xludf.DUMMYFUNCTION("""COMPUTED_VALUE"""),"DHBA")</f>
        <v>DHBA</v>
      </c>
      <c r="C1454" s="42" t="str">
        <f>IFERROR(__xludf.DUMMYFUNCTION("""COMPUTED_VALUE"""),"layer Va of area 24")</f>
        <v>layer Va of area 24</v>
      </c>
      <c r="D1454" s="42">
        <f>IFERROR(__xludf.DUMMYFUNCTION("""COMPUTED_VALUE"""),1380.0)</f>
        <v>1380</v>
      </c>
      <c r="E1454" s="39" t="str">
        <f>IFERROR(__xludf.DUMMYFUNCTION("""COMPUTED_VALUE"""),"layer Va of area 24")</f>
        <v>layer Va of area 24</v>
      </c>
      <c r="F1454" s="9" t="str">
        <f>IFERROR(__xludf.DUMMYFUNCTION("""COMPUTED_VALUE"""),"Br")</f>
        <v>Br</v>
      </c>
      <c r="G1454" s="9" t="str">
        <f>IFERROR(__xludf.DUMMYFUNCTION("""COMPUTED_VALUE"""),"F")</f>
        <v>F</v>
      </c>
      <c r="H1454" s="9" t="str">
        <f>IFERROR(__xludf.DUMMYFUNCTION("""COMPUTED_VALUE"""),"FGM")</f>
        <v>FGM</v>
      </c>
      <c r="I1454" s="9" t="str">
        <f>IFERROR(__xludf.DUMMYFUNCTION("""COMPUTED_VALUE"""),"Tel")</f>
        <v>Tel</v>
      </c>
      <c r="J1454" s="9" t="str">
        <f>IFERROR(__xludf.DUMMYFUNCTION("""COMPUTED_VALUE"""),"Cx")</f>
        <v>Cx</v>
      </c>
      <c r="K1454" s="9" t="str">
        <f>IFERROR(__xludf.DUMMYFUNCTION("""COMPUTED_VALUE"""),"NCx")</f>
        <v>NCx</v>
      </c>
      <c r="L1454" s="9" t="str">
        <f>IFERROR(__xludf.DUMMYFUNCTION("""COMPUTED_VALUE"""),"CCx")</f>
        <v>CCx</v>
      </c>
      <c r="M1454" s="9" t="str">
        <f>IFERROR(__xludf.DUMMYFUNCTION("""COMPUTED_VALUE"""),"MFC")</f>
        <v>MFC</v>
      </c>
      <c r="N1454" s="9" t="str">
        <f>IFERROR(__xludf.DUMMYFUNCTION("""COMPUTED_VALUE"""),"A24")</f>
        <v>A24</v>
      </c>
      <c r="O1454" s="9" t="str">
        <f>IFERROR(__xludf.DUMMYFUNCTION("""COMPUTED_VALUE"""),"A24-5a")</f>
        <v>A24-5a</v>
      </c>
      <c r="P1454" s="9"/>
      <c r="Q1454" s="9"/>
      <c r="R1454" s="9"/>
      <c r="S1454" s="42"/>
      <c r="T1454" s="42"/>
      <c r="U1454" s="42"/>
      <c r="V1454" s="42"/>
      <c r="W1454" s="42"/>
      <c r="X1454" s="42"/>
      <c r="Y1454" s="42"/>
      <c r="Z1454" s="42"/>
      <c r="AA1454" s="42"/>
      <c r="AB1454" s="42" t="str">
        <f>IFERROR(__xludf.DUMMYFUNCTION("""COMPUTED_VALUE"""),"allen institute")</f>
        <v>allen institute</v>
      </c>
      <c r="AC1454" s="42" t="str">
        <f>IFERROR(__xludf.DUMMYFUNCTION("""COMPUTED_VALUE"""),"DHBA")</f>
        <v>DHBA</v>
      </c>
      <c r="AD1454" s="42"/>
      <c r="AE1454" s="42"/>
      <c r="AF1454" s="9"/>
      <c r="AG1454" s="9"/>
      <c r="AH1454" s="42"/>
      <c r="AI1454" s="42"/>
      <c r="AJ1454" s="42"/>
      <c r="AK1454" s="42"/>
      <c r="AL1454" s="42"/>
      <c r="AM1454" s="42"/>
      <c r="AN1454" s="42"/>
      <c r="AO1454" s="63" t="str">
        <f>IFERROR(__xludf.DUMMYFUNCTION("IF(ISBLANK(A1454),,IF(ISBLANK(S1454), A1454&amp;"";"", TEXTJOIN(CHAR(10), TRUE, A1454&amp;"";"", ARRAYFORMULA(VLOOKUP(SPLIT(S1454, "";"" &amp; CHAR(10)), $A:$AO, 41, FALSE)))))"),"A24-5a;")</f>
        <v>A24-5a;</v>
      </c>
      <c r="AP1454" s="89"/>
    </row>
    <row r="1455">
      <c r="A1455" s="151" t="str">
        <f>IFERROR(__xludf.DUMMYFUNCTION("""COMPUTED_VALUE"""),"A24-5b")</f>
        <v>A24-5b</v>
      </c>
      <c r="B1455" s="42" t="str">
        <f>IFERROR(__xludf.DUMMYFUNCTION("""COMPUTED_VALUE"""),"DHBA")</f>
        <v>DHBA</v>
      </c>
      <c r="C1455" s="42" t="str">
        <f>IFERROR(__xludf.DUMMYFUNCTION("""COMPUTED_VALUE"""),"layer Vb of area 24")</f>
        <v>layer Vb of area 24</v>
      </c>
      <c r="D1455" s="42">
        <f>IFERROR(__xludf.DUMMYFUNCTION("""COMPUTED_VALUE"""),1381.0)</f>
        <v>1381</v>
      </c>
      <c r="E1455" s="39" t="str">
        <f>IFERROR(__xludf.DUMMYFUNCTION("""COMPUTED_VALUE"""),"layer Vb of area 24")</f>
        <v>layer Vb of area 24</v>
      </c>
      <c r="F1455" s="9" t="str">
        <f>IFERROR(__xludf.DUMMYFUNCTION("""COMPUTED_VALUE"""),"Br")</f>
        <v>Br</v>
      </c>
      <c r="G1455" s="9" t="str">
        <f>IFERROR(__xludf.DUMMYFUNCTION("""COMPUTED_VALUE"""),"F")</f>
        <v>F</v>
      </c>
      <c r="H1455" s="9" t="str">
        <f>IFERROR(__xludf.DUMMYFUNCTION("""COMPUTED_VALUE"""),"FGM")</f>
        <v>FGM</v>
      </c>
      <c r="I1455" s="9" t="str">
        <f>IFERROR(__xludf.DUMMYFUNCTION("""COMPUTED_VALUE"""),"Tel")</f>
        <v>Tel</v>
      </c>
      <c r="J1455" s="9" t="str">
        <f>IFERROR(__xludf.DUMMYFUNCTION("""COMPUTED_VALUE"""),"Cx")</f>
        <v>Cx</v>
      </c>
      <c r="K1455" s="9" t="str">
        <f>IFERROR(__xludf.DUMMYFUNCTION("""COMPUTED_VALUE"""),"NCx")</f>
        <v>NCx</v>
      </c>
      <c r="L1455" s="9" t="str">
        <f>IFERROR(__xludf.DUMMYFUNCTION("""COMPUTED_VALUE"""),"CCx")</f>
        <v>CCx</v>
      </c>
      <c r="M1455" s="9" t="str">
        <f>IFERROR(__xludf.DUMMYFUNCTION("""COMPUTED_VALUE"""),"MFC")</f>
        <v>MFC</v>
      </c>
      <c r="N1455" s="9" t="str">
        <f>IFERROR(__xludf.DUMMYFUNCTION("""COMPUTED_VALUE"""),"A24")</f>
        <v>A24</v>
      </c>
      <c r="O1455" s="9" t="str">
        <f>IFERROR(__xludf.DUMMYFUNCTION("""COMPUTED_VALUE"""),"A24-5b")</f>
        <v>A24-5b</v>
      </c>
      <c r="P1455" s="9"/>
      <c r="Q1455" s="9"/>
      <c r="R1455" s="9"/>
      <c r="S1455" s="42"/>
      <c r="T1455" s="42"/>
      <c r="U1455" s="42"/>
      <c r="V1455" s="42"/>
      <c r="W1455" s="42"/>
      <c r="X1455" s="42"/>
      <c r="Y1455" s="42"/>
      <c r="Z1455" s="42"/>
      <c r="AA1455" s="42"/>
      <c r="AB1455" s="42" t="str">
        <f>IFERROR(__xludf.DUMMYFUNCTION("""COMPUTED_VALUE"""),"allen institute")</f>
        <v>allen institute</v>
      </c>
      <c r="AC1455" s="42" t="str">
        <f>IFERROR(__xludf.DUMMYFUNCTION("""COMPUTED_VALUE"""),"DHBA")</f>
        <v>DHBA</v>
      </c>
      <c r="AD1455" s="42"/>
      <c r="AE1455" s="42"/>
      <c r="AF1455" s="9"/>
      <c r="AG1455" s="9"/>
      <c r="AH1455" s="42"/>
      <c r="AI1455" s="42"/>
      <c r="AJ1455" s="42"/>
      <c r="AK1455" s="42"/>
      <c r="AL1455" s="42"/>
      <c r="AM1455" s="42"/>
      <c r="AN1455" s="42"/>
      <c r="AO1455" s="63" t="str">
        <f>IFERROR(__xludf.DUMMYFUNCTION("IF(ISBLANK(A1455),,IF(ISBLANK(S1455), A1455&amp;"";"", TEXTJOIN(CHAR(10), TRUE, A1455&amp;"";"", ARRAYFORMULA(VLOOKUP(SPLIT(S1455, "";"" &amp; CHAR(10)), $A:$AO, 41, FALSE)))))"),"A24-5b;")</f>
        <v>A24-5b;</v>
      </c>
      <c r="AP1455" s="89"/>
    </row>
    <row r="1456">
      <c r="A1456" s="151" t="str">
        <f>IFERROR(__xludf.DUMMYFUNCTION("""COMPUTED_VALUE"""),"A24-6")</f>
        <v>A24-6</v>
      </c>
      <c r="B1456" s="42" t="str">
        <f>IFERROR(__xludf.DUMMYFUNCTION("""COMPUTED_VALUE"""),"DHBA")</f>
        <v>DHBA</v>
      </c>
      <c r="C1456" s="42" t="str">
        <f>IFERROR(__xludf.DUMMYFUNCTION("""COMPUTED_VALUE"""),"layer VI of area 24")</f>
        <v>layer VI of area 24</v>
      </c>
      <c r="D1456" s="42">
        <f>IFERROR(__xludf.DUMMYFUNCTION("""COMPUTED_VALUE"""),1382.0)</f>
        <v>1382</v>
      </c>
      <c r="E1456" s="39" t="str">
        <f>IFERROR(__xludf.DUMMYFUNCTION("""COMPUTED_VALUE"""),"layer VI of area 24")</f>
        <v>layer VI of area 24</v>
      </c>
      <c r="F1456" s="9" t="str">
        <f>IFERROR(__xludf.DUMMYFUNCTION("""COMPUTED_VALUE"""),"Br")</f>
        <v>Br</v>
      </c>
      <c r="G1456" s="9" t="str">
        <f>IFERROR(__xludf.DUMMYFUNCTION("""COMPUTED_VALUE"""),"F")</f>
        <v>F</v>
      </c>
      <c r="H1456" s="9" t="str">
        <f>IFERROR(__xludf.DUMMYFUNCTION("""COMPUTED_VALUE"""),"FGM")</f>
        <v>FGM</v>
      </c>
      <c r="I1456" s="9" t="str">
        <f>IFERROR(__xludf.DUMMYFUNCTION("""COMPUTED_VALUE"""),"Tel")</f>
        <v>Tel</v>
      </c>
      <c r="J1456" s="9" t="str">
        <f>IFERROR(__xludf.DUMMYFUNCTION("""COMPUTED_VALUE"""),"Cx")</f>
        <v>Cx</v>
      </c>
      <c r="K1456" s="9" t="str">
        <f>IFERROR(__xludf.DUMMYFUNCTION("""COMPUTED_VALUE"""),"NCx")</f>
        <v>NCx</v>
      </c>
      <c r="L1456" s="9" t="str">
        <f>IFERROR(__xludf.DUMMYFUNCTION("""COMPUTED_VALUE"""),"CCx")</f>
        <v>CCx</v>
      </c>
      <c r="M1456" s="9" t="str">
        <f>IFERROR(__xludf.DUMMYFUNCTION("""COMPUTED_VALUE"""),"MFC")</f>
        <v>MFC</v>
      </c>
      <c r="N1456" s="9" t="str">
        <f>IFERROR(__xludf.DUMMYFUNCTION("""COMPUTED_VALUE"""),"A24")</f>
        <v>A24</v>
      </c>
      <c r="O1456" s="9" t="str">
        <f>IFERROR(__xludf.DUMMYFUNCTION("""COMPUTED_VALUE"""),"A24-6")</f>
        <v>A24-6</v>
      </c>
      <c r="P1456" s="9"/>
      <c r="Q1456" s="9"/>
      <c r="R1456" s="9"/>
      <c r="S1456" s="42"/>
      <c r="T1456" s="42"/>
      <c r="U1456" s="42"/>
      <c r="V1456" s="42"/>
      <c r="W1456" s="42"/>
      <c r="X1456" s="42"/>
      <c r="Y1456" s="42"/>
      <c r="Z1456" s="42"/>
      <c r="AA1456" s="42"/>
      <c r="AB1456" s="42" t="str">
        <f>IFERROR(__xludf.DUMMYFUNCTION("""COMPUTED_VALUE"""),"allen institute")</f>
        <v>allen institute</v>
      </c>
      <c r="AC1456" s="42" t="str">
        <f>IFERROR(__xludf.DUMMYFUNCTION("""COMPUTED_VALUE"""),"DHBA")</f>
        <v>DHBA</v>
      </c>
      <c r="AD1456" s="42"/>
      <c r="AE1456" s="42"/>
      <c r="AF1456" s="9"/>
      <c r="AG1456" s="9"/>
      <c r="AH1456" s="42"/>
      <c r="AI1456" s="42"/>
      <c r="AJ1456" s="42"/>
      <c r="AK1456" s="42"/>
      <c r="AL1456" s="42"/>
      <c r="AM1456" s="42"/>
      <c r="AN1456" s="42"/>
      <c r="AO1456" s="63" t="str">
        <f>IFERROR(__xludf.DUMMYFUNCTION("IF(ISBLANK(A1456),,IF(ISBLANK(S1456), A1456&amp;"";"", TEXTJOIN(CHAR(10), TRUE, A1456&amp;"";"", ARRAYFORMULA(VLOOKUP(SPLIT(S1456, "";"" &amp; CHAR(10)), $A:$AO, 41, FALSE)))))"),"A24-6;")</f>
        <v>A24-6;</v>
      </c>
      <c r="AP1456" s="89"/>
    </row>
    <row r="1457">
      <c r="A1457" s="151" t="str">
        <f>IFERROR(__xludf.DUMMYFUNCTION("""COMPUTED_VALUE"""),"A24a")</f>
        <v>A24a</v>
      </c>
      <c r="B1457" s="42" t="str">
        <f>IFERROR(__xludf.DUMMYFUNCTION("""COMPUTED_VALUE"""),"[Paxinos, 2012]")</f>
        <v>[Paxinos, 2012]</v>
      </c>
      <c r="C1457" s="42" t="str">
        <f>IFERROR(__xludf.DUMMYFUNCTION("""COMPUTED_VALUE"""),"area 24a of cortex")</f>
        <v>area 24a of cortex</v>
      </c>
      <c r="D1457" s="42">
        <f>IFERROR(__xludf.DUMMYFUNCTION("""COMPUTED_VALUE"""),1382.1)</f>
        <v>1382.1</v>
      </c>
      <c r="E1457" s="39"/>
      <c r="F1457" s="9"/>
      <c r="G1457" s="9"/>
      <c r="H1457" s="9"/>
      <c r="I1457" s="9"/>
      <c r="J1457" s="9"/>
      <c r="K1457" s="9"/>
      <c r="L1457" s="9"/>
      <c r="M1457" s="9"/>
      <c r="N1457" s="9"/>
      <c r="O1457" s="9"/>
      <c r="P1457" s="9"/>
      <c r="Q1457" s="9"/>
      <c r="R1457" s="9"/>
      <c r="S1457" s="42"/>
      <c r="T1457" s="42" t="str">
        <f>IFERROR(__xludf.DUMMYFUNCTION("""COMPUTED_VALUE"""),"NCx")</f>
        <v>NCx</v>
      </c>
      <c r="U1457" s="42" t="b">
        <f>IFERROR(__xludf.DUMMYFUNCTION("""COMPUTED_VALUE"""),FALSE)</f>
        <v>0</v>
      </c>
      <c r="V1457" s="42"/>
      <c r="W1457" s="42"/>
      <c r="X1457" s="42"/>
      <c r="Y1457" s="42"/>
      <c r="Z1457" s="42"/>
      <c r="AA1457" s="42"/>
      <c r="AB1457" s="42" t="str">
        <f>IFERROR(__xludf.DUMMYFUNCTION("""COMPUTED_VALUE"""),"Yudai Suzuki")</f>
        <v>Yudai Suzuki</v>
      </c>
      <c r="AC1457" s="42" t="str">
        <f>IFERROR(__xludf.DUMMYFUNCTION("""COMPUTED_VALUE"""),"YS21Trust")</f>
        <v>YS21Trust</v>
      </c>
      <c r="AD1457" s="42"/>
      <c r="AE1457" s="42"/>
      <c r="AF1457" s="9"/>
      <c r="AG1457" s="9"/>
      <c r="AH1457" s="42"/>
      <c r="AI1457" s="42"/>
      <c r="AJ1457" s="42"/>
      <c r="AK1457" s="42"/>
      <c r="AL1457" s="42"/>
      <c r="AM1457" s="42"/>
      <c r="AN1457" s="42"/>
      <c r="AO1457" s="63" t="str">
        <f>IFERROR(__xludf.DUMMYFUNCTION("IF(ISBLANK(A1457),,IF(ISBLANK(S1457), A1457&amp;"";"", TEXTJOIN(CHAR(10), TRUE, A1457&amp;"";"", ARRAYFORMULA(VLOOKUP(SPLIT(S1457, "";"" &amp; CHAR(10)), $A:$AO, 41, FALSE)))))"),"A24a;")</f>
        <v>A24a;</v>
      </c>
      <c r="AP1457" s="89"/>
    </row>
    <row r="1458">
      <c r="A1458" s="151" t="str">
        <f>IFERROR(__xludf.DUMMYFUNCTION("""COMPUTED_VALUE"""),"A24b")</f>
        <v>A24b</v>
      </c>
      <c r="B1458" s="42" t="str">
        <f>IFERROR(__xludf.DUMMYFUNCTION("""COMPUTED_VALUE"""),"[Paxinos, 2012]")</f>
        <v>[Paxinos, 2012]</v>
      </c>
      <c r="C1458" s="42" t="str">
        <f>IFERROR(__xludf.DUMMYFUNCTION("""COMPUTED_VALUE"""),"A24b area 24b of cortex")</f>
        <v>A24b area 24b of cortex</v>
      </c>
      <c r="D1458" s="42">
        <f>IFERROR(__xludf.DUMMYFUNCTION("""COMPUTED_VALUE"""),1382.1)</f>
        <v>1382.1</v>
      </c>
      <c r="E1458" s="39"/>
      <c r="F1458" s="9"/>
      <c r="G1458" s="9"/>
      <c r="H1458" s="9"/>
      <c r="I1458" s="9"/>
      <c r="J1458" s="9"/>
      <c r="K1458" s="9"/>
      <c r="L1458" s="9"/>
      <c r="M1458" s="9"/>
      <c r="N1458" s="9"/>
      <c r="O1458" s="9"/>
      <c r="P1458" s="9"/>
      <c r="Q1458" s="9"/>
      <c r="R1458" s="9"/>
      <c r="S1458" s="42"/>
      <c r="T1458" s="42" t="str">
        <f>IFERROR(__xludf.DUMMYFUNCTION("""COMPUTED_VALUE"""),"NCx")</f>
        <v>NCx</v>
      </c>
      <c r="U1458" s="42" t="b">
        <f>IFERROR(__xludf.DUMMYFUNCTION("""COMPUTED_VALUE"""),FALSE)</f>
        <v>0</v>
      </c>
      <c r="V1458" s="42"/>
      <c r="W1458" s="42"/>
      <c r="X1458" s="42"/>
      <c r="Y1458" s="42"/>
      <c r="Z1458" s="42"/>
      <c r="AA1458" s="42"/>
      <c r="AB1458" s="42" t="str">
        <f>IFERROR(__xludf.DUMMYFUNCTION("""COMPUTED_VALUE"""),"Yudai Suzuki")</f>
        <v>Yudai Suzuki</v>
      </c>
      <c r="AC1458" s="42" t="str">
        <f>IFERROR(__xludf.DUMMYFUNCTION("""COMPUTED_VALUE"""),"YS21Trust")</f>
        <v>YS21Trust</v>
      </c>
      <c r="AD1458" s="42"/>
      <c r="AE1458" s="42"/>
      <c r="AF1458" s="9"/>
      <c r="AG1458" s="9"/>
      <c r="AH1458" s="42"/>
      <c r="AI1458" s="42"/>
      <c r="AJ1458" s="42"/>
      <c r="AK1458" s="42"/>
      <c r="AL1458" s="42"/>
      <c r="AM1458" s="42"/>
      <c r="AN1458" s="42"/>
      <c r="AO1458" s="63" t="str">
        <f>IFERROR(__xludf.DUMMYFUNCTION("IF(ISBLANK(A1458),,IF(ISBLANK(S1458), A1458&amp;"";"", TEXTJOIN(CHAR(10), TRUE, A1458&amp;"";"", ARRAYFORMULA(VLOOKUP(SPLIT(S1458, "";"" &amp; CHAR(10)), $A:$AO, 41, FALSE)))))"),"A24b;")</f>
        <v>A24b;</v>
      </c>
      <c r="AP1458" s="89"/>
    </row>
    <row r="1459">
      <c r="A1459" s="151" t="str">
        <f>IFERROR(__xludf.DUMMYFUNCTION("""COMPUTED_VALUE"""),"A24c")</f>
        <v>A24c</v>
      </c>
      <c r="B1459" s="42" t="str">
        <f>IFERROR(__xludf.DUMMYFUNCTION("""COMPUTED_VALUE"""),"[Paxinos, 2012]")</f>
        <v>[Paxinos, 2012]</v>
      </c>
      <c r="C1459" s="42" t="str">
        <f>IFERROR(__xludf.DUMMYFUNCTION("""COMPUTED_VALUE"""),"A24c area 24c of cortex")</f>
        <v>A24c area 24c of cortex</v>
      </c>
      <c r="D1459" s="42">
        <f>IFERROR(__xludf.DUMMYFUNCTION("""COMPUTED_VALUE"""),1382.1)</f>
        <v>1382.1</v>
      </c>
      <c r="E1459" s="39"/>
      <c r="F1459" s="9"/>
      <c r="G1459" s="9"/>
      <c r="H1459" s="9"/>
      <c r="I1459" s="9"/>
      <c r="J1459" s="9"/>
      <c r="K1459" s="9"/>
      <c r="L1459" s="9"/>
      <c r="M1459" s="9"/>
      <c r="N1459" s="9"/>
      <c r="O1459" s="9"/>
      <c r="P1459" s="9"/>
      <c r="Q1459" s="9"/>
      <c r="R1459" s="9"/>
      <c r="S1459" s="42"/>
      <c r="T1459" s="42" t="str">
        <f>IFERROR(__xludf.DUMMYFUNCTION("""COMPUTED_VALUE"""),"NCx")</f>
        <v>NCx</v>
      </c>
      <c r="U1459" s="42" t="b">
        <f>IFERROR(__xludf.DUMMYFUNCTION("""COMPUTED_VALUE"""),FALSE)</f>
        <v>0</v>
      </c>
      <c r="V1459" s="42"/>
      <c r="W1459" s="42"/>
      <c r="X1459" s="42"/>
      <c r="Y1459" s="42"/>
      <c r="Z1459" s="42"/>
      <c r="AA1459" s="42"/>
      <c r="AB1459" s="42" t="str">
        <f>IFERROR(__xludf.DUMMYFUNCTION("""COMPUTED_VALUE"""),"Yudai Suzuki")</f>
        <v>Yudai Suzuki</v>
      </c>
      <c r="AC1459" s="42" t="str">
        <f>IFERROR(__xludf.DUMMYFUNCTION("""COMPUTED_VALUE"""),"YS21Trust")</f>
        <v>YS21Trust</v>
      </c>
      <c r="AD1459" s="42"/>
      <c r="AE1459" s="42"/>
      <c r="AF1459" s="9"/>
      <c r="AG1459" s="9"/>
      <c r="AH1459" s="42"/>
      <c r="AI1459" s="42"/>
      <c r="AJ1459" s="42"/>
      <c r="AK1459" s="42"/>
      <c r="AL1459" s="42"/>
      <c r="AM1459" s="42"/>
      <c r="AN1459" s="42"/>
      <c r="AO1459" s="63" t="str">
        <f>IFERROR(__xludf.DUMMYFUNCTION("IF(ISBLANK(A1459),,IF(ISBLANK(S1459), A1459&amp;"";"", TEXTJOIN(CHAR(10), TRUE, A1459&amp;"";"", ARRAYFORMULA(VLOOKUP(SPLIT(S1459, "";"" &amp; CHAR(10)), $A:$AO, 41, FALSE)))))"),"A24c;")</f>
        <v>A24c;</v>
      </c>
      <c r="AP1459" s="89"/>
    </row>
    <row r="1460">
      <c r="A1460" s="151" t="str">
        <f>IFERROR(__xludf.DUMMYFUNCTION("""COMPUTED_VALUE"""),"A24d")</f>
        <v>A24d</v>
      </c>
      <c r="B1460" s="42" t="str">
        <f>IFERROR(__xludf.DUMMYFUNCTION("""COMPUTED_VALUE"""),"[Paxinos, 2012]")</f>
        <v>[Paxinos, 2012]</v>
      </c>
      <c r="C1460" s="42" t="str">
        <f>IFERROR(__xludf.DUMMYFUNCTION("""COMPUTED_VALUE"""),"A24d area 24d of cortex")</f>
        <v>A24d area 24d of cortex</v>
      </c>
      <c r="D1460" s="42">
        <f>IFERROR(__xludf.DUMMYFUNCTION("""COMPUTED_VALUE"""),1382.1)</f>
        <v>1382.1</v>
      </c>
      <c r="E1460" s="39"/>
      <c r="F1460" s="9"/>
      <c r="G1460" s="9"/>
      <c r="H1460" s="9"/>
      <c r="I1460" s="9"/>
      <c r="J1460" s="9"/>
      <c r="K1460" s="9"/>
      <c r="L1460" s="9"/>
      <c r="M1460" s="9"/>
      <c r="N1460" s="9"/>
      <c r="O1460" s="9"/>
      <c r="P1460" s="9"/>
      <c r="Q1460" s="9"/>
      <c r="R1460" s="9"/>
      <c r="S1460" s="42"/>
      <c r="T1460" s="42" t="str">
        <f>IFERROR(__xludf.DUMMYFUNCTION("""COMPUTED_VALUE"""),"NCx")</f>
        <v>NCx</v>
      </c>
      <c r="U1460" s="42" t="b">
        <f>IFERROR(__xludf.DUMMYFUNCTION("""COMPUTED_VALUE"""),FALSE)</f>
        <v>0</v>
      </c>
      <c r="V1460" s="42"/>
      <c r="W1460" s="42"/>
      <c r="X1460" s="42"/>
      <c r="Y1460" s="42"/>
      <c r="Z1460" s="42"/>
      <c r="AA1460" s="42"/>
      <c r="AB1460" s="42" t="str">
        <f>IFERROR(__xludf.DUMMYFUNCTION("""COMPUTED_VALUE"""),"Yudai Suzuki")</f>
        <v>Yudai Suzuki</v>
      </c>
      <c r="AC1460" s="42" t="str">
        <f>IFERROR(__xludf.DUMMYFUNCTION("""COMPUTED_VALUE"""),"YS21Trust")</f>
        <v>YS21Trust</v>
      </c>
      <c r="AD1460" s="42"/>
      <c r="AE1460" s="42"/>
      <c r="AF1460" s="9"/>
      <c r="AG1460" s="9"/>
      <c r="AH1460" s="42"/>
      <c r="AI1460" s="42"/>
      <c r="AJ1460" s="42"/>
      <c r="AK1460" s="42"/>
      <c r="AL1460" s="42"/>
      <c r="AM1460" s="42"/>
      <c r="AN1460" s="42"/>
      <c r="AO1460" s="63" t="str">
        <f>IFERROR(__xludf.DUMMYFUNCTION("IF(ISBLANK(A1460),,IF(ISBLANK(S1460), A1460&amp;"";"", TEXTJOIN(CHAR(10), TRUE, A1460&amp;"";"", ARRAYFORMULA(VLOOKUP(SPLIT(S1460, "";"" &amp; CHAR(10)), $A:$AO, 41, FALSE)))))"),"A24d;")</f>
        <v>A24d;</v>
      </c>
      <c r="AP1460" s="89"/>
    </row>
    <row r="1461">
      <c r="A1461" s="151" t="str">
        <f>IFERROR(__xludf.DUMMYFUNCTION("""COMPUTED_VALUE"""),"A32")</f>
        <v>A32</v>
      </c>
      <c r="B1461" s="42" t="str">
        <f>IFERROR(__xludf.DUMMYFUNCTION("""COMPUTED_VALUE"""),"DHBA")</f>
        <v>DHBA</v>
      </c>
      <c r="C1461" s="42" t="str">
        <f>IFERROR(__xludf.DUMMYFUNCTION("""COMPUTED_VALUE"""),"dACC, dorsal anterior cingulate cortex")</f>
        <v>dACC, dorsal anterior cingulate cortex</v>
      </c>
      <c r="D1461" s="42">
        <f>IFERROR(__xludf.DUMMYFUNCTION("""COMPUTED_VALUE"""),1383.0)</f>
        <v>1383</v>
      </c>
      <c r="E1461" s="39" t="str">
        <f>IFERROR(__xludf.DUMMYFUNCTION("""COMPUTED_VALUE"""),"dorsorostral division of MFC (area 32)")</f>
        <v>dorsorostral division of MFC (area 32)</v>
      </c>
      <c r="F1461" s="9" t="str">
        <f>IFERROR(__xludf.DUMMYFUNCTION("""COMPUTED_VALUE"""),"Br")</f>
        <v>Br</v>
      </c>
      <c r="G1461" s="9" t="str">
        <f>IFERROR(__xludf.DUMMYFUNCTION("""COMPUTED_VALUE"""),"F")</f>
        <v>F</v>
      </c>
      <c r="H1461" s="9" t="str">
        <f>IFERROR(__xludf.DUMMYFUNCTION("""COMPUTED_VALUE"""),"FGM")</f>
        <v>FGM</v>
      </c>
      <c r="I1461" s="9" t="str">
        <f>IFERROR(__xludf.DUMMYFUNCTION("""COMPUTED_VALUE"""),"Tel")</f>
        <v>Tel</v>
      </c>
      <c r="J1461" s="9" t="str">
        <f>IFERROR(__xludf.DUMMYFUNCTION("""COMPUTED_VALUE"""),"Cx")</f>
        <v>Cx</v>
      </c>
      <c r="K1461" s="9" t="str">
        <f>IFERROR(__xludf.DUMMYFUNCTION("""COMPUTED_VALUE"""),"NCx")</f>
        <v>NCx</v>
      </c>
      <c r="L1461" s="9" t="str">
        <f>IFERROR(__xludf.DUMMYFUNCTION("""COMPUTED_VALUE"""),"CCx")</f>
        <v>CCx</v>
      </c>
      <c r="M1461" s="9" t="str">
        <f>IFERROR(__xludf.DUMMYFUNCTION("""COMPUTED_VALUE"""),"MFC")</f>
        <v>MFC</v>
      </c>
      <c r="N1461" s="9" t="str">
        <f>IFERROR(__xludf.DUMMYFUNCTION("""COMPUTED_VALUE"""),"A32")</f>
        <v>A32</v>
      </c>
      <c r="O1461" s="9"/>
      <c r="P1461" s="9"/>
      <c r="Q1461" s="9"/>
      <c r="R1461" s="9"/>
      <c r="S1461" s="42" t="str">
        <f>IFERROR(__xludf.DUMMYFUNCTION("""COMPUTED_VALUE"""),"A32_1;
A32_2;
A32_3;
A32_4;
A32_5;
A32_6")</f>
        <v>A32_1;
A32_2;
A32_3;
A32_4;
A32_5;
A32_6</v>
      </c>
      <c r="T1461" s="42" t="str">
        <f>IFERROR(__xludf.DUMMYFUNCTION("""COMPUTED_VALUE"""),"NCx")</f>
        <v>NCx</v>
      </c>
      <c r="U1461" s="42" t="b">
        <f>IFERROR(__xludf.DUMMYFUNCTION("""COMPUTED_VALUE"""),FALSE)</f>
        <v>0</v>
      </c>
      <c r="V1461" s="42"/>
      <c r="W1461" s="42"/>
      <c r="X1461" s="42"/>
      <c r="Y1461" s="42"/>
      <c r="Z1461" s="42"/>
      <c r="AA1461" s="42"/>
      <c r="AB1461" s="42" t="str">
        <f>IFERROR(__xludf.DUMMYFUNCTION("""COMPUTED_VALUE"""),"allen institute")</f>
        <v>allen institute</v>
      </c>
      <c r="AC1461" s="42" t="str">
        <f>IFERROR(__xludf.DUMMYFUNCTION("""COMPUTED_VALUE"""),"DHBA")</f>
        <v>DHBA</v>
      </c>
      <c r="AD1461" s="42"/>
      <c r="AE1461" s="42"/>
      <c r="AF1461" s="9"/>
      <c r="AG1461" s="9"/>
      <c r="AH1461" s="42"/>
      <c r="AI1461" s="42"/>
      <c r="AJ1461" s="42"/>
      <c r="AK1461" s="42"/>
      <c r="AL1461" s="42"/>
      <c r="AM1461" s="42"/>
      <c r="AN1461" s="42"/>
      <c r="AO1461" s="63" t="str">
        <f>IFERROR(__xludf.DUMMYFUNCTION("IF(ISBLANK(A1461),,IF(ISBLANK(S1461), A1461&amp;"";"", TEXTJOIN(CHAR(10), TRUE, A1461&amp;"";"", ARRAYFORMULA(VLOOKUP(SPLIT(S1461, "";"" &amp; CHAR(10)), $A:$AO, 41, FALSE)))))"),"#N/A")</f>
        <v>#N/A</v>
      </c>
      <c r="AP1461" s="89"/>
    </row>
    <row r="1462">
      <c r="A1462" s="151" t="str">
        <f>IFERROR(__xludf.DUMMYFUNCTION("""COMPUTED_VALUE"""),"A32.L5PT")</f>
        <v>A32.L5PT</v>
      </c>
      <c r="B1462" s="42" t="str">
        <f>IFERROR(__xludf.DUMMYFUNCTION("""COMPUTED_VALUE"""),"makeshift")</f>
        <v>makeshift</v>
      </c>
      <c r="C1462" s="42" t="str">
        <f>IFERROR(__xludf.DUMMYFUNCTION("""COMPUTED_VALUE"""),"dorsorostal division of MFC (area 32), pyramidal tract neurons in layer 5")</f>
        <v>dorsorostal division of MFC (area 32), pyramidal tract neurons in layer 5</v>
      </c>
      <c r="D1462" s="42">
        <f>IFERROR(__xludf.DUMMYFUNCTION("""COMPUTED_VALUE"""),1383.1)</f>
        <v>1383.1</v>
      </c>
      <c r="E1462" s="39" t="str">
        <f>IFERROR(__xludf.DUMMYFUNCTION("""COMPUTED_VALUE"""),"")</f>
        <v/>
      </c>
      <c r="F1462" s="9" t="str">
        <f>IFERROR(__xludf.DUMMYFUNCTION("""COMPUTED_VALUE"""),"")</f>
        <v/>
      </c>
      <c r="G1462" s="9" t="str">
        <f>IFERROR(__xludf.DUMMYFUNCTION("""COMPUTED_VALUE"""),"")</f>
        <v/>
      </c>
      <c r="H1462" s="9" t="str">
        <f>IFERROR(__xludf.DUMMYFUNCTION("""COMPUTED_VALUE"""),"")</f>
        <v/>
      </c>
      <c r="I1462" s="9" t="str">
        <f>IFERROR(__xludf.DUMMYFUNCTION("""COMPUTED_VALUE"""),"")</f>
        <v/>
      </c>
      <c r="J1462" s="9" t="str">
        <f>IFERROR(__xludf.DUMMYFUNCTION("""COMPUTED_VALUE"""),"")</f>
        <v/>
      </c>
      <c r="K1462" s="9" t="str">
        <f>IFERROR(__xludf.DUMMYFUNCTION("""COMPUTED_VALUE"""),"")</f>
        <v/>
      </c>
      <c r="L1462" s="9" t="str">
        <f>IFERROR(__xludf.DUMMYFUNCTION("""COMPUTED_VALUE"""),"")</f>
        <v/>
      </c>
      <c r="M1462" s="9" t="str">
        <f>IFERROR(__xludf.DUMMYFUNCTION("""COMPUTED_VALUE"""),"")</f>
        <v/>
      </c>
      <c r="N1462" s="9" t="str">
        <f>IFERROR(__xludf.DUMMYFUNCTION("""COMPUTED_VALUE"""),"")</f>
        <v/>
      </c>
      <c r="O1462" s="9" t="str">
        <f>IFERROR(__xludf.DUMMYFUNCTION("""COMPUTED_VALUE"""),"")</f>
        <v/>
      </c>
      <c r="P1462" s="9" t="str">
        <f>IFERROR(__xludf.DUMMYFUNCTION("""COMPUTED_VALUE"""),"")</f>
        <v/>
      </c>
      <c r="Q1462" s="9" t="str">
        <f>IFERROR(__xludf.DUMMYFUNCTION("""COMPUTED_VALUE"""),"")</f>
        <v/>
      </c>
      <c r="R1462" s="9" t="str">
        <f>IFERROR(__xludf.DUMMYFUNCTION("""COMPUTED_VALUE"""),"")</f>
        <v/>
      </c>
      <c r="S1462" s="42" t="str">
        <f>IFERROR(__xludf.DUMMYFUNCTION("""COMPUTED_VALUE"""),"L5PT")</f>
        <v>L5PT</v>
      </c>
      <c r="T1462" s="42" t="str">
        <f>IFERROR(__xludf.DUMMYFUNCTION("""COMPUTED_VALUE"""),"L5PT")</f>
        <v>L5PT</v>
      </c>
      <c r="U1462" s="42" t="b">
        <f>IFERROR(__xludf.DUMMYFUNCTION("""COMPUTED_VALUE"""),TRUE)</f>
        <v>1</v>
      </c>
      <c r="V1462" s="42" t="str">
        <f>IFERROR(__xludf.DUMMYFUNCTION("""COMPUTED_VALUE"""),"Glutamate")</f>
        <v>Glutamate</v>
      </c>
      <c r="W1462" s="42" t="str">
        <f>IFERROR(__xludf.DUMMYFUNCTION("""COMPUTED_VALUE"""),"Excitatory")</f>
        <v>Excitatory</v>
      </c>
      <c r="X1462" s="42"/>
      <c r="Y1462" s="42"/>
      <c r="Z1462" s="42"/>
      <c r="AA1462" s="42"/>
      <c r="AB1462" s="42" t="str">
        <f>IFERROR(__xludf.DUMMYFUNCTION("""COMPUTED_VALUE"""),"Yuske Shibata")</f>
        <v>Yuske Shibata</v>
      </c>
      <c r="AC1462" s="42" t="str">
        <f>IFERROR(__xludf.DUMMYFUNCTION("""COMPUTED_VALUE"""),"YS21BgLoop")</f>
        <v>YS21BgLoop</v>
      </c>
      <c r="AD1462" s="42"/>
      <c r="AE1462" s="42"/>
      <c r="AF1462" s="9"/>
      <c r="AG1462" s="9"/>
      <c r="AH1462" s="42"/>
      <c r="AI1462" s="42"/>
      <c r="AJ1462" s="42"/>
      <c r="AK1462" s="42"/>
      <c r="AL1462" s="42"/>
      <c r="AM1462" s="42"/>
      <c r="AN1462" s="42"/>
      <c r="AO1462" s="63" t="str">
        <f>IFERROR(__xludf.DUMMYFUNCTION("IF(ISBLANK(A1462),,IF(ISBLANK(S1462), A1462&amp;"";"", TEXTJOIN(CHAR(10), TRUE, A1462&amp;"";"", ARRAYFORMULA(VLOOKUP(SPLIT(S1462, "";"" &amp; CHAR(10)), $A:$AO, 41, FALSE)))))"),"#N/A")</f>
        <v>#N/A</v>
      </c>
      <c r="AP1462" s="89"/>
    </row>
    <row r="1463">
      <c r="A1463" s="151" t="str">
        <f>IFERROR(__xludf.DUMMYFUNCTION("""COMPUTED_VALUE"""),"A32V")</f>
        <v>A32V</v>
      </c>
      <c r="B1463" s="42" t="str">
        <f>IFERROR(__xludf.DUMMYFUNCTION("""COMPUTED_VALUE"""),"[Paxinos, 2012]")</f>
        <v>[Paxinos, 2012]</v>
      </c>
      <c r="C1463" s="42" t="str">
        <f>IFERROR(__xludf.DUMMYFUNCTION("""COMPUTED_VALUE"""),"area 32 of cortexventral part")</f>
        <v>area 32 of cortexventral part</v>
      </c>
      <c r="D1463" s="42">
        <f>IFERROR(__xludf.DUMMYFUNCTION("""COMPUTED_VALUE"""),1383.2)</f>
        <v>1383.2</v>
      </c>
      <c r="E1463" s="39"/>
      <c r="F1463" s="9"/>
      <c r="G1463" s="9"/>
      <c r="H1463" s="9"/>
      <c r="I1463" s="9"/>
      <c r="J1463" s="9"/>
      <c r="K1463" s="9"/>
      <c r="L1463" s="9"/>
      <c r="M1463" s="9"/>
      <c r="N1463" s="9"/>
      <c r="O1463" s="9"/>
      <c r="P1463" s="9"/>
      <c r="Q1463" s="9"/>
      <c r="R1463" s="9"/>
      <c r="S1463" s="42"/>
      <c r="T1463" s="42" t="str">
        <f>IFERROR(__xludf.DUMMYFUNCTION("""COMPUTED_VALUE"""),"NCx")</f>
        <v>NCx</v>
      </c>
      <c r="U1463" s="42" t="b">
        <f>IFERROR(__xludf.DUMMYFUNCTION("""COMPUTED_VALUE"""),FALSE)</f>
        <v>0</v>
      </c>
      <c r="V1463" s="42"/>
      <c r="W1463" s="42"/>
      <c r="X1463" s="42"/>
      <c r="Y1463" s="42"/>
      <c r="Z1463" s="42"/>
      <c r="AA1463" s="42"/>
      <c r="AB1463" s="42" t="str">
        <f>IFERROR(__xludf.DUMMYFUNCTION("""COMPUTED_VALUE"""),"Yudai Suzuki")</f>
        <v>Yudai Suzuki</v>
      </c>
      <c r="AC1463" s="42" t="str">
        <f>IFERROR(__xludf.DUMMYFUNCTION("""COMPUTED_VALUE"""),"YS21Trust")</f>
        <v>YS21Trust</v>
      </c>
      <c r="AD1463" s="42"/>
      <c r="AE1463" s="42"/>
      <c r="AF1463" s="9"/>
      <c r="AG1463" s="9"/>
      <c r="AH1463" s="42"/>
      <c r="AI1463" s="42"/>
      <c r="AJ1463" s="42"/>
      <c r="AK1463" s="42"/>
      <c r="AL1463" s="42"/>
      <c r="AM1463" s="42"/>
      <c r="AN1463" s="42"/>
      <c r="AO1463" s="63" t="str">
        <f>IFERROR(__xludf.DUMMYFUNCTION("IF(ISBLANK(A1463),,IF(ISBLANK(S1463), A1463&amp;"";"", TEXTJOIN(CHAR(10), TRUE, A1463&amp;"";"", ARRAYFORMULA(VLOOKUP(SPLIT(S1463, "";"" &amp; CHAR(10)), $A:$AO, 41, FALSE)))))"),"A32V;")</f>
        <v>A32V;</v>
      </c>
      <c r="AP1463" s="89"/>
    </row>
    <row r="1464">
      <c r="A1464" s="151" t="str">
        <f>IFERROR(__xludf.DUMMYFUNCTION("""COMPUTED_VALUE"""),"A32p")</f>
        <v>A32p</v>
      </c>
      <c r="B1464" s="42" t="str">
        <f>IFERROR(__xludf.DUMMYFUNCTION("""COMPUTED_VALUE"""),"makeshift")</f>
        <v>makeshift</v>
      </c>
      <c r="C1464" s="42"/>
      <c r="D1464" s="42">
        <f>IFERROR(__xludf.DUMMYFUNCTION("""COMPUTED_VALUE"""),1383.2)</f>
        <v>1383.2</v>
      </c>
      <c r="E1464" s="39"/>
      <c r="F1464" s="9"/>
      <c r="G1464" s="9"/>
      <c r="H1464" s="9"/>
      <c r="I1464" s="9"/>
      <c r="J1464" s="9"/>
      <c r="K1464" s="9"/>
      <c r="L1464" s="9"/>
      <c r="M1464" s="9"/>
      <c r="N1464" s="9"/>
      <c r="O1464" s="9"/>
      <c r="P1464" s="9"/>
      <c r="Q1464" s="9"/>
      <c r="R1464" s="9"/>
      <c r="S1464" s="42"/>
      <c r="T1464" s="42" t="str">
        <f>IFERROR(__xludf.DUMMYFUNCTION("""COMPUTED_VALUE"""),"NCx")</f>
        <v>NCx</v>
      </c>
      <c r="U1464" s="42" t="b">
        <f>IFERROR(__xludf.DUMMYFUNCTION("""COMPUTED_VALUE"""),FALSE)</f>
        <v>0</v>
      </c>
      <c r="V1464" s="42"/>
      <c r="W1464" s="42"/>
      <c r="X1464" s="42"/>
      <c r="Y1464" s="42"/>
      <c r="Z1464" s="42"/>
      <c r="AA1464" s="42"/>
      <c r="AB1464" s="42" t="str">
        <f>IFERROR(__xludf.DUMMYFUNCTION("""COMPUTED_VALUE"""),"Yudai Suzuki")</f>
        <v>Yudai Suzuki</v>
      </c>
      <c r="AC1464" s="42" t="str">
        <f>IFERROR(__xludf.DUMMYFUNCTION("""COMPUTED_VALUE"""),"YS21Trust")</f>
        <v>YS21Trust</v>
      </c>
      <c r="AD1464" s="42"/>
      <c r="AE1464" s="42"/>
      <c r="AF1464" s="9"/>
      <c r="AG1464" s="9"/>
      <c r="AH1464" s="42"/>
      <c r="AI1464" s="42"/>
      <c r="AJ1464" s="42"/>
      <c r="AK1464" s="42"/>
      <c r="AL1464" s="42"/>
      <c r="AM1464" s="42"/>
      <c r="AN1464" s="42"/>
      <c r="AO1464" s="63" t="str">
        <f>IFERROR(__xludf.DUMMYFUNCTION("IF(ISBLANK(A1464),,IF(ISBLANK(S1464), A1464&amp;"";"", TEXTJOIN(CHAR(10), TRUE, A1464&amp;"";"", ARRAYFORMULA(VLOOKUP(SPLIT(S1464, "";"" &amp; CHAR(10)), $A:$AO, 41, FALSE)))))"),"A32p;")</f>
        <v>A32p;</v>
      </c>
      <c r="AP1464" s="89"/>
    </row>
    <row r="1465">
      <c r="A1465" s="151" t="str">
        <f>IFERROR(__xludf.DUMMYFUNCTION("""COMPUTED_VALUE"""),"A32sg")</f>
        <v>A32sg</v>
      </c>
      <c r="B1465" s="42" t="str">
        <f>IFERROR(__xludf.DUMMYFUNCTION("""COMPUTED_VALUE"""),"makeshift")</f>
        <v>makeshift</v>
      </c>
      <c r="C1465" s="42"/>
      <c r="D1465" s="42">
        <f>IFERROR(__xludf.DUMMYFUNCTION("""COMPUTED_VALUE"""),1383.2)</f>
        <v>1383.2</v>
      </c>
      <c r="E1465" s="39"/>
      <c r="F1465" s="9"/>
      <c r="G1465" s="9"/>
      <c r="H1465" s="9"/>
      <c r="I1465" s="9"/>
      <c r="J1465" s="9"/>
      <c r="K1465" s="9"/>
      <c r="L1465" s="9"/>
      <c r="M1465" s="9"/>
      <c r="N1465" s="9"/>
      <c r="O1465" s="9"/>
      <c r="P1465" s="9"/>
      <c r="Q1465" s="9"/>
      <c r="R1465" s="9"/>
      <c r="S1465" s="42"/>
      <c r="T1465" s="42" t="str">
        <f>IFERROR(__xludf.DUMMYFUNCTION("""COMPUTED_VALUE"""),"NCx")</f>
        <v>NCx</v>
      </c>
      <c r="U1465" s="42" t="b">
        <f>IFERROR(__xludf.DUMMYFUNCTION("""COMPUTED_VALUE"""),FALSE)</f>
        <v>0</v>
      </c>
      <c r="V1465" s="42"/>
      <c r="W1465" s="42"/>
      <c r="X1465" s="42"/>
      <c r="Y1465" s="42"/>
      <c r="Z1465" s="42"/>
      <c r="AA1465" s="42"/>
      <c r="AB1465" s="42" t="str">
        <f>IFERROR(__xludf.DUMMYFUNCTION("""COMPUTED_VALUE"""),"Yudai Suzuki")</f>
        <v>Yudai Suzuki</v>
      </c>
      <c r="AC1465" s="42" t="str">
        <f>IFERROR(__xludf.DUMMYFUNCTION("""COMPUTED_VALUE"""),"YS21Trust")</f>
        <v>YS21Trust</v>
      </c>
      <c r="AD1465" s="42"/>
      <c r="AE1465" s="42"/>
      <c r="AF1465" s="9"/>
      <c r="AG1465" s="9"/>
      <c r="AH1465" s="42"/>
      <c r="AI1465" s="42"/>
      <c r="AJ1465" s="42"/>
      <c r="AK1465" s="42"/>
      <c r="AL1465" s="42"/>
      <c r="AM1465" s="42"/>
      <c r="AN1465" s="42"/>
      <c r="AO1465" s="63" t="str">
        <f>IFERROR(__xludf.DUMMYFUNCTION("IF(ISBLANK(A1465),,IF(ISBLANK(S1465), A1465&amp;"";"", TEXTJOIN(CHAR(10), TRUE, A1465&amp;"";"", ARRAYFORMULA(VLOOKUP(SPLIT(S1465, "";"" &amp; CHAR(10)), $A:$AO, 41, FALSE)))))"),"A32sg;")</f>
        <v>A32sg;</v>
      </c>
      <c r="AP1465" s="89"/>
    </row>
    <row r="1466">
      <c r="A1466" s="151" t="str">
        <f>IFERROR(__xludf.DUMMYFUNCTION("""COMPUTED_VALUE"""),"A32-1")</f>
        <v>A32-1</v>
      </c>
      <c r="B1466" s="42" t="str">
        <f>IFERROR(__xludf.DUMMYFUNCTION("""COMPUTED_VALUE"""),"DHBA")</f>
        <v>DHBA</v>
      </c>
      <c r="C1466" s="42" t="str">
        <f>IFERROR(__xludf.DUMMYFUNCTION("""COMPUTED_VALUE"""),"layer I of area 32")</f>
        <v>layer I of area 32</v>
      </c>
      <c r="D1466" s="42">
        <f>IFERROR(__xludf.DUMMYFUNCTION("""COMPUTED_VALUE"""),1384.0)</f>
        <v>1384</v>
      </c>
      <c r="E1466" s="39" t="str">
        <f>IFERROR(__xludf.DUMMYFUNCTION("""COMPUTED_VALUE"""),"layer I of area 32")</f>
        <v>layer I of area 32</v>
      </c>
      <c r="F1466" s="9" t="str">
        <f>IFERROR(__xludf.DUMMYFUNCTION("""COMPUTED_VALUE"""),"Br")</f>
        <v>Br</v>
      </c>
      <c r="G1466" s="9" t="str">
        <f>IFERROR(__xludf.DUMMYFUNCTION("""COMPUTED_VALUE"""),"F")</f>
        <v>F</v>
      </c>
      <c r="H1466" s="9" t="str">
        <f>IFERROR(__xludf.DUMMYFUNCTION("""COMPUTED_VALUE"""),"FGM")</f>
        <v>FGM</v>
      </c>
      <c r="I1466" s="9" t="str">
        <f>IFERROR(__xludf.DUMMYFUNCTION("""COMPUTED_VALUE"""),"Tel")</f>
        <v>Tel</v>
      </c>
      <c r="J1466" s="9" t="str">
        <f>IFERROR(__xludf.DUMMYFUNCTION("""COMPUTED_VALUE"""),"Cx")</f>
        <v>Cx</v>
      </c>
      <c r="K1466" s="9" t="str">
        <f>IFERROR(__xludf.DUMMYFUNCTION("""COMPUTED_VALUE"""),"NCx")</f>
        <v>NCx</v>
      </c>
      <c r="L1466" s="9" t="str">
        <f>IFERROR(__xludf.DUMMYFUNCTION("""COMPUTED_VALUE"""),"CCx")</f>
        <v>CCx</v>
      </c>
      <c r="M1466" s="9" t="str">
        <f>IFERROR(__xludf.DUMMYFUNCTION("""COMPUTED_VALUE"""),"MFC")</f>
        <v>MFC</v>
      </c>
      <c r="N1466" s="9" t="str">
        <f>IFERROR(__xludf.DUMMYFUNCTION("""COMPUTED_VALUE"""),"A32")</f>
        <v>A32</v>
      </c>
      <c r="O1466" s="9" t="str">
        <f>IFERROR(__xludf.DUMMYFUNCTION("""COMPUTED_VALUE"""),"A32-1")</f>
        <v>A32-1</v>
      </c>
      <c r="P1466" s="9"/>
      <c r="Q1466" s="9"/>
      <c r="R1466" s="9"/>
      <c r="S1466" s="42"/>
      <c r="T1466" s="42"/>
      <c r="U1466" s="42"/>
      <c r="V1466" s="42"/>
      <c r="W1466" s="42"/>
      <c r="X1466" s="42"/>
      <c r="Y1466" s="42"/>
      <c r="Z1466" s="42"/>
      <c r="AA1466" s="42"/>
      <c r="AB1466" s="42" t="str">
        <f>IFERROR(__xludf.DUMMYFUNCTION("""COMPUTED_VALUE"""),"allen institute")</f>
        <v>allen institute</v>
      </c>
      <c r="AC1466" s="42" t="str">
        <f>IFERROR(__xludf.DUMMYFUNCTION("""COMPUTED_VALUE"""),"DHBA")</f>
        <v>DHBA</v>
      </c>
      <c r="AD1466" s="42"/>
      <c r="AE1466" s="42"/>
      <c r="AF1466" s="9"/>
      <c r="AG1466" s="9"/>
      <c r="AH1466" s="42"/>
      <c r="AI1466" s="42"/>
      <c r="AJ1466" s="42"/>
      <c r="AK1466" s="42"/>
      <c r="AL1466" s="42"/>
      <c r="AM1466" s="42"/>
      <c r="AN1466" s="42"/>
      <c r="AO1466" s="63" t="str">
        <f>IFERROR(__xludf.DUMMYFUNCTION("IF(ISBLANK(A1466),,IF(ISBLANK(S1466), A1466&amp;"";"", TEXTJOIN(CHAR(10), TRUE, A1466&amp;"";"", ARRAYFORMULA(VLOOKUP(SPLIT(S1466, "";"" &amp; CHAR(10)), $A:$AO, 41, FALSE)))))"),"A32-1;")</f>
        <v>A32-1;</v>
      </c>
      <c r="AP1466" s="89"/>
    </row>
    <row r="1467">
      <c r="A1467" s="151" t="str">
        <f>IFERROR(__xludf.DUMMYFUNCTION("""COMPUTED_VALUE"""),"A32-2")</f>
        <v>A32-2</v>
      </c>
      <c r="B1467" s="42" t="str">
        <f>IFERROR(__xludf.DUMMYFUNCTION("""COMPUTED_VALUE"""),"DHBA")</f>
        <v>DHBA</v>
      </c>
      <c r="C1467" s="42" t="str">
        <f>IFERROR(__xludf.DUMMYFUNCTION("""COMPUTED_VALUE"""),"layer II of area 32")</f>
        <v>layer II of area 32</v>
      </c>
      <c r="D1467" s="42">
        <f>IFERROR(__xludf.DUMMYFUNCTION("""COMPUTED_VALUE"""),1385.0)</f>
        <v>1385</v>
      </c>
      <c r="E1467" s="39" t="str">
        <f>IFERROR(__xludf.DUMMYFUNCTION("""COMPUTED_VALUE"""),"layer II of area 32")</f>
        <v>layer II of area 32</v>
      </c>
      <c r="F1467" s="9" t="str">
        <f>IFERROR(__xludf.DUMMYFUNCTION("""COMPUTED_VALUE"""),"Br")</f>
        <v>Br</v>
      </c>
      <c r="G1467" s="9" t="str">
        <f>IFERROR(__xludf.DUMMYFUNCTION("""COMPUTED_VALUE"""),"F")</f>
        <v>F</v>
      </c>
      <c r="H1467" s="9" t="str">
        <f>IFERROR(__xludf.DUMMYFUNCTION("""COMPUTED_VALUE"""),"FGM")</f>
        <v>FGM</v>
      </c>
      <c r="I1467" s="9" t="str">
        <f>IFERROR(__xludf.DUMMYFUNCTION("""COMPUTED_VALUE"""),"Tel")</f>
        <v>Tel</v>
      </c>
      <c r="J1467" s="9" t="str">
        <f>IFERROR(__xludf.DUMMYFUNCTION("""COMPUTED_VALUE"""),"Cx")</f>
        <v>Cx</v>
      </c>
      <c r="K1467" s="9" t="str">
        <f>IFERROR(__xludf.DUMMYFUNCTION("""COMPUTED_VALUE"""),"NCx")</f>
        <v>NCx</v>
      </c>
      <c r="L1467" s="9" t="str">
        <f>IFERROR(__xludf.DUMMYFUNCTION("""COMPUTED_VALUE"""),"CCx")</f>
        <v>CCx</v>
      </c>
      <c r="M1467" s="9" t="str">
        <f>IFERROR(__xludf.DUMMYFUNCTION("""COMPUTED_VALUE"""),"MFC")</f>
        <v>MFC</v>
      </c>
      <c r="N1467" s="9" t="str">
        <f>IFERROR(__xludf.DUMMYFUNCTION("""COMPUTED_VALUE"""),"A32")</f>
        <v>A32</v>
      </c>
      <c r="O1467" s="9" t="str">
        <f>IFERROR(__xludf.DUMMYFUNCTION("""COMPUTED_VALUE"""),"A32-2")</f>
        <v>A32-2</v>
      </c>
      <c r="P1467" s="9"/>
      <c r="Q1467" s="9"/>
      <c r="R1467" s="9"/>
      <c r="S1467" s="42"/>
      <c r="T1467" s="42"/>
      <c r="U1467" s="42"/>
      <c r="V1467" s="42"/>
      <c r="W1467" s="42"/>
      <c r="X1467" s="42"/>
      <c r="Y1467" s="42"/>
      <c r="Z1467" s="42"/>
      <c r="AA1467" s="42"/>
      <c r="AB1467" s="42" t="str">
        <f>IFERROR(__xludf.DUMMYFUNCTION("""COMPUTED_VALUE"""),"allen institute")</f>
        <v>allen institute</v>
      </c>
      <c r="AC1467" s="42" t="str">
        <f>IFERROR(__xludf.DUMMYFUNCTION("""COMPUTED_VALUE"""),"DHBA")</f>
        <v>DHBA</v>
      </c>
      <c r="AD1467" s="42"/>
      <c r="AE1467" s="42"/>
      <c r="AF1467" s="9"/>
      <c r="AG1467" s="9"/>
      <c r="AH1467" s="42"/>
      <c r="AI1467" s="42"/>
      <c r="AJ1467" s="42"/>
      <c r="AK1467" s="42"/>
      <c r="AL1467" s="42"/>
      <c r="AM1467" s="42"/>
      <c r="AN1467" s="42"/>
      <c r="AO1467" s="63" t="str">
        <f>IFERROR(__xludf.DUMMYFUNCTION("IF(ISBLANK(A1467),,IF(ISBLANK(S1467), A1467&amp;"";"", TEXTJOIN(CHAR(10), TRUE, A1467&amp;"";"", ARRAYFORMULA(VLOOKUP(SPLIT(S1467, "";"" &amp; CHAR(10)), $A:$AO, 41, FALSE)))))"),"A32-2;")</f>
        <v>A32-2;</v>
      </c>
      <c r="AP1467" s="89"/>
    </row>
    <row r="1468">
      <c r="A1468" s="151" t="str">
        <f>IFERROR(__xludf.DUMMYFUNCTION("""COMPUTED_VALUE"""),"A32-3")</f>
        <v>A32-3</v>
      </c>
      <c r="B1468" s="42" t="str">
        <f>IFERROR(__xludf.DUMMYFUNCTION("""COMPUTED_VALUE"""),"DHBA")</f>
        <v>DHBA</v>
      </c>
      <c r="C1468" s="42" t="str">
        <f>IFERROR(__xludf.DUMMYFUNCTION("""COMPUTED_VALUE"""),"layer III of area 32")</f>
        <v>layer III of area 32</v>
      </c>
      <c r="D1468" s="42">
        <f>IFERROR(__xludf.DUMMYFUNCTION("""COMPUTED_VALUE"""),1386.0)</f>
        <v>1386</v>
      </c>
      <c r="E1468" s="39" t="str">
        <f>IFERROR(__xludf.DUMMYFUNCTION("""COMPUTED_VALUE"""),"layer III of area 32")</f>
        <v>layer III of area 32</v>
      </c>
      <c r="F1468" s="9" t="str">
        <f>IFERROR(__xludf.DUMMYFUNCTION("""COMPUTED_VALUE"""),"Br")</f>
        <v>Br</v>
      </c>
      <c r="G1468" s="9" t="str">
        <f>IFERROR(__xludf.DUMMYFUNCTION("""COMPUTED_VALUE"""),"F")</f>
        <v>F</v>
      </c>
      <c r="H1468" s="9" t="str">
        <f>IFERROR(__xludf.DUMMYFUNCTION("""COMPUTED_VALUE"""),"FGM")</f>
        <v>FGM</v>
      </c>
      <c r="I1468" s="9" t="str">
        <f>IFERROR(__xludf.DUMMYFUNCTION("""COMPUTED_VALUE"""),"Tel")</f>
        <v>Tel</v>
      </c>
      <c r="J1468" s="9" t="str">
        <f>IFERROR(__xludf.DUMMYFUNCTION("""COMPUTED_VALUE"""),"Cx")</f>
        <v>Cx</v>
      </c>
      <c r="K1468" s="9" t="str">
        <f>IFERROR(__xludf.DUMMYFUNCTION("""COMPUTED_VALUE"""),"NCx")</f>
        <v>NCx</v>
      </c>
      <c r="L1468" s="9" t="str">
        <f>IFERROR(__xludf.DUMMYFUNCTION("""COMPUTED_VALUE"""),"CCx")</f>
        <v>CCx</v>
      </c>
      <c r="M1468" s="9" t="str">
        <f>IFERROR(__xludf.DUMMYFUNCTION("""COMPUTED_VALUE"""),"MFC")</f>
        <v>MFC</v>
      </c>
      <c r="N1468" s="9" t="str">
        <f>IFERROR(__xludf.DUMMYFUNCTION("""COMPUTED_VALUE"""),"A32")</f>
        <v>A32</v>
      </c>
      <c r="O1468" s="9" t="str">
        <f>IFERROR(__xludf.DUMMYFUNCTION("""COMPUTED_VALUE"""),"A32-3")</f>
        <v>A32-3</v>
      </c>
      <c r="P1468" s="9"/>
      <c r="Q1468" s="9"/>
      <c r="R1468" s="9"/>
      <c r="S1468" s="42"/>
      <c r="T1468" s="42"/>
      <c r="U1468" s="42"/>
      <c r="V1468" s="42"/>
      <c r="W1468" s="42"/>
      <c r="X1468" s="42"/>
      <c r="Y1468" s="42"/>
      <c r="Z1468" s="42"/>
      <c r="AA1468" s="42"/>
      <c r="AB1468" s="42" t="str">
        <f>IFERROR(__xludf.DUMMYFUNCTION("""COMPUTED_VALUE"""),"allen institute")</f>
        <v>allen institute</v>
      </c>
      <c r="AC1468" s="42" t="str">
        <f>IFERROR(__xludf.DUMMYFUNCTION("""COMPUTED_VALUE"""),"DHBA")</f>
        <v>DHBA</v>
      </c>
      <c r="AD1468" s="42"/>
      <c r="AE1468" s="42"/>
      <c r="AF1468" s="9"/>
      <c r="AG1468" s="9"/>
      <c r="AH1468" s="42"/>
      <c r="AI1468" s="42"/>
      <c r="AJ1468" s="42"/>
      <c r="AK1468" s="42"/>
      <c r="AL1468" s="42"/>
      <c r="AM1468" s="42"/>
      <c r="AN1468" s="42"/>
      <c r="AO1468" s="63" t="str">
        <f>IFERROR(__xludf.DUMMYFUNCTION("IF(ISBLANK(A1468),,IF(ISBLANK(S1468), A1468&amp;"";"", TEXTJOIN(CHAR(10), TRUE, A1468&amp;"";"", ARRAYFORMULA(VLOOKUP(SPLIT(S1468, "";"" &amp; CHAR(10)), $A:$AO, 41, FALSE)))))"),"A32-3;")</f>
        <v>A32-3;</v>
      </c>
      <c r="AP1468" s="89"/>
    </row>
    <row r="1469">
      <c r="A1469" s="151" t="str">
        <f>IFERROR(__xludf.DUMMYFUNCTION("""COMPUTED_VALUE"""),"A32-4")</f>
        <v>A32-4</v>
      </c>
      <c r="B1469" s="42" t="str">
        <f>IFERROR(__xludf.DUMMYFUNCTION("""COMPUTED_VALUE"""),"DHBA")</f>
        <v>DHBA</v>
      </c>
      <c r="C1469" s="42" t="str">
        <f>IFERROR(__xludf.DUMMYFUNCTION("""COMPUTED_VALUE"""),"layer IV of area 32")</f>
        <v>layer IV of area 32</v>
      </c>
      <c r="D1469" s="42">
        <f>IFERROR(__xludf.DUMMYFUNCTION("""COMPUTED_VALUE"""),1387.0)</f>
        <v>1387</v>
      </c>
      <c r="E1469" s="39" t="str">
        <f>IFERROR(__xludf.DUMMYFUNCTION("""COMPUTED_VALUE"""),"layer IV of area 32")</f>
        <v>layer IV of area 32</v>
      </c>
      <c r="F1469" s="9" t="str">
        <f>IFERROR(__xludf.DUMMYFUNCTION("""COMPUTED_VALUE"""),"Br")</f>
        <v>Br</v>
      </c>
      <c r="G1469" s="9" t="str">
        <f>IFERROR(__xludf.DUMMYFUNCTION("""COMPUTED_VALUE"""),"F")</f>
        <v>F</v>
      </c>
      <c r="H1469" s="9" t="str">
        <f>IFERROR(__xludf.DUMMYFUNCTION("""COMPUTED_VALUE"""),"FGM")</f>
        <v>FGM</v>
      </c>
      <c r="I1469" s="9" t="str">
        <f>IFERROR(__xludf.DUMMYFUNCTION("""COMPUTED_VALUE"""),"Tel")</f>
        <v>Tel</v>
      </c>
      <c r="J1469" s="9" t="str">
        <f>IFERROR(__xludf.DUMMYFUNCTION("""COMPUTED_VALUE"""),"Cx")</f>
        <v>Cx</v>
      </c>
      <c r="K1469" s="9" t="str">
        <f>IFERROR(__xludf.DUMMYFUNCTION("""COMPUTED_VALUE"""),"NCx")</f>
        <v>NCx</v>
      </c>
      <c r="L1469" s="9" t="str">
        <f>IFERROR(__xludf.DUMMYFUNCTION("""COMPUTED_VALUE"""),"CCx")</f>
        <v>CCx</v>
      </c>
      <c r="M1469" s="9" t="str">
        <f>IFERROR(__xludf.DUMMYFUNCTION("""COMPUTED_VALUE"""),"MFC")</f>
        <v>MFC</v>
      </c>
      <c r="N1469" s="9" t="str">
        <f>IFERROR(__xludf.DUMMYFUNCTION("""COMPUTED_VALUE"""),"A32")</f>
        <v>A32</v>
      </c>
      <c r="O1469" s="9" t="str">
        <f>IFERROR(__xludf.DUMMYFUNCTION("""COMPUTED_VALUE"""),"A32-4")</f>
        <v>A32-4</v>
      </c>
      <c r="P1469" s="9"/>
      <c r="Q1469" s="9"/>
      <c r="R1469" s="9"/>
      <c r="S1469" s="42"/>
      <c r="T1469" s="42"/>
      <c r="U1469" s="42"/>
      <c r="V1469" s="42"/>
      <c r="W1469" s="42"/>
      <c r="X1469" s="42"/>
      <c r="Y1469" s="42"/>
      <c r="Z1469" s="42"/>
      <c r="AA1469" s="42"/>
      <c r="AB1469" s="42" t="str">
        <f>IFERROR(__xludf.DUMMYFUNCTION("""COMPUTED_VALUE"""),"allen institute")</f>
        <v>allen institute</v>
      </c>
      <c r="AC1469" s="42" t="str">
        <f>IFERROR(__xludf.DUMMYFUNCTION("""COMPUTED_VALUE"""),"DHBA")</f>
        <v>DHBA</v>
      </c>
      <c r="AD1469" s="42"/>
      <c r="AE1469" s="42"/>
      <c r="AF1469" s="9"/>
      <c r="AG1469" s="9"/>
      <c r="AH1469" s="42"/>
      <c r="AI1469" s="42"/>
      <c r="AJ1469" s="42"/>
      <c r="AK1469" s="42"/>
      <c r="AL1469" s="42"/>
      <c r="AM1469" s="42"/>
      <c r="AN1469" s="42"/>
      <c r="AO1469" s="63" t="str">
        <f>IFERROR(__xludf.DUMMYFUNCTION("IF(ISBLANK(A1469),,IF(ISBLANK(S1469), A1469&amp;"";"", TEXTJOIN(CHAR(10), TRUE, A1469&amp;"";"", ARRAYFORMULA(VLOOKUP(SPLIT(S1469, "";"" &amp; CHAR(10)), $A:$AO, 41, FALSE)))))"),"A32-4;")</f>
        <v>A32-4;</v>
      </c>
      <c r="AP1469" s="89"/>
    </row>
    <row r="1470">
      <c r="A1470" s="151" t="str">
        <f>IFERROR(__xludf.DUMMYFUNCTION("""COMPUTED_VALUE"""),"A32-5")</f>
        <v>A32-5</v>
      </c>
      <c r="B1470" s="42" t="str">
        <f>IFERROR(__xludf.DUMMYFUNCTION("""COMPUTED_VALUE"""),"DHBA")</f>
        <v>DHBA</v>
      </c>
      <c r="C1470" s="42" t="str">
        <f>IFERROR(__xludf.DUMMYFUNCTION("""COMPUTED_VALUE"""),"layer V of area 32")</f>
        <v>layer V of area 32</v>
      </c>
      <c r="D1470" s="42">
        <f>IFERROR(__xludf.DUMMYFUNCTION("""COMPUTED_VALUE"""),1388.0)</f>
        <v>1388</v>
      </c>
      <c r="E1470" s="39" t="str">
        <f>IFERROR(__xludf.DUMMYFUNCTION("""COMPUTED_VALUE"""),"layer V of area 32")</f>
        <v>layer V of area 32</v>
      </c>
      <c r="F1470" s="9" t="str">
        <f>IFERROR(__xludf.DUMMYFUNCTION("""COMPUTED_VALUE"""),"Br")</f>
        <v>Br</v>
      </c>
      <c r="G1470" s="9" t="str">
        <f>IFERROR(__xludf.DUMMYFUNCTION("""COMPUTED_VALUE"""),"F")</f>
        <v>F</v>
      </c>
      <c r="H1470" s="9" t="str">
        <f>IFERROR(__xludf.DUMMYFUNCTION("""COMPUTED_VALUE"""),"FGM")</f>
        <v>FGM</v>
      </c>
      <c r="I1470" s="9" t="str">
        <f>IFERROR(__xludf.DUMMYFUNCTION("""COMPUTED_VALUE"""),"Tel")</f>
        <v>Tel</v>
      </c>
      <c r="J1470" s="9" t="str">
        <f>IFERROR(__xludf.DUMMYFUNCTION("""COMPUTED_VALUE"""),"Cx")</f>
        <v>Cx</v>
      </c>
      <c r="K1470" s="9" t="str">
        <f>IFERROR(__xludf.DUMMYFUNCTION("""COMPUTED_VALUE"""),"NCx")</f>
        <v>NCx</v>
      </c>
      <c r="L1470" s="9" t="str">
        <f>IFERROR(__xludf.DUMMYFUNCTION("""COMPUTED_VALUE"""),"CCx")</f>
        <v>CCx</v>
      </c>
      <c r="M1470" s="9" t="str">
        <f>IFERROR(__xludf.DUMMYFUNCTION("""COMPUTED_VALUE"""),"MFC")</f>
        <v>MFC</v>
      </c>
      <c r="N1470" s="9" t="str">
        <f>IFERROR(__xludf.DUMMYFUNCTION("""COMPUTED_VALUE"""),"A32")</f>
        <v>A32</v>
      </c>
      <c r="O1470" s="9" t="str">
        <f>IFERROR(__xludf.DUMMYFUNCTION("""COMPUTED_VALUE"""),"A32-5")</f>
        <v>A32-5</v>
      </c>
      <c r="P1470" s="9"/>
      <c r="Q1470" s="9"/>
      <c r="R1470" s="9"/>
      <c r="S1470" s="42"/>
      <c r="T1470" s="42"/>
      <c r="U1470" s="42"/>
      <c r="V1470" s="42"/>
      <c r="W1470" s="42"/>
      <c r="X1470" s="42"/>
      <c r="Y1470" s="42"/>
      <c r="Z1470" s="42"/>
      <c r="AA1470" s="42"/>
      <c r="AB1470" s="42" t="str">
        <f>IFERROR(__xludf.DUMMYFUNCTION("""COMPUTED_VALUE"""),"allen institute")</f>
        <v>allen institute</v>
      </c>
      <c r="AC1470" s="42" t="str">
        <f>IFERROR(__xludf.DUMMYFUNCTION("""COMPUTED_VALUE"""),"DHBA")</f>
        <v>DHBA</v>
      </c>
      <c r="AD1470" s="42"/>
      <c r="AE1470" s="42"/>
      <c r="AF1470" s="9"/>
      <c r="AG1470" s="9"/>
      <c r="AH1470" s="42"/>
      <c r="AI1470" s="42"/>
      <c r="AJ1470" s="42"/>
      <c r="AK1470" s="42"/>
      <c r="AL1470" s="42"/>
      <c r="AM1470" s="42"/>
      <c r="AN1470" s="42"/>
      <c r="AO1470" s="63" t="str">
        <f>IFERROR(__xludf.DUMMYFUNCTION("IF(ISBLANK(A1470),,IF(ISBLANK(S1470), A1470&amp;"";"", TEXTJOIN(CHAR(10), TRUE, A1470&amp;"";"", ARRAYFORMULA(VLOOKUP(SPLIT(S1470, "";"" &amp; CHAR(10)), $A:$AO, 41, FALSE)))))"),"A32-5;")</f>
        <v>A32-5;</v>
      </c>
      <c r="AP1470" s="89"/>
    </row>
    <row r="1471">
      <c r="A1471" s="151" t="str">
        <f>IFERROR(__xludf.DUMMYFUNCTION("""COMPUTED_VALUE"""),"A32-6")</f>
        <v>A32-6</v>
      </c>
      <c r="B1471" s="42" t="str">
        <f>IFERROR(__xludf.DUMMYFUNCTION("""COMPUTED_VALUE"""),"DHBA")</f>
        <v>DHBA</v>
      </c>
      <c r="C1471" s="42" t="str">
        <f>IFERROR(__xludf.DUMMYFUNCTION("""COMPUTED_VALUE"""),"layer VI of area 32")</f>
        <v>layer VI of area 32</v>
      </c>
      <c r="D1471" s="42">
        <f>IFERROR(__xludf.DUMMYFUNCTION("""COMPUTED_VALUE"""),1389.0)</f>
        <v>1389</v>
      </c>
      <c r="E1471" s="39" t="str">
        <f>IFERROR(__xludf.DUMMYFUNCTION("""COMPUTED_VALUE"""),"layer VI of area 32")</f>
        <v>layer VI of area 32</v>
      </c>
      <c r="F1471" s="9" t="str">
        <f>IFERROR(__xludf.DUMMYFUNCTION("""COMPUTED_VALUE"""),"Br")</f>
        <v>Br</v>
      </c>
      <c r="G1471" s="9" t="str">
        <f>IFERROR(__xludf.DUMMYFUNCTION("""COMPUTED_VALUE"""),"F")</f>
        <v>F</v>
      </c>
      <c r="H1471" s="9" t="str">
        <f>IFERROR(__xludf.DUMMYFUNCTION("""COMPUTED_VALUE"""),"FGM")</f>
        <v>FGM</v>
      </c>
      <c r="I1471" s="9" t="str">
        <f>IFERROR(__xludf.DUMMYFUNCTION("""COMPUTED_VALUE"""),"Tel")</f>
        <v>Tel</v>
      </c>
      <c r="J1471" s="9" t="str">
        <f>IFERROR(__xludf.DUMMYFUNCTION("""COMPUTED_VALUE"""),"Cx")</f>
        <v>Cx</v>
      </c>
      <c r="K1471" s="9" t="str">
        <f>IFERROR(__xludf.DUMMYFUNCTION("""COMPUTED_VALUE"""),"NCx")</f>
        <v>NCx</v>
      </c>
      <c r="L1471" s="9" t="str">
        <f>IFERROR(__xludf.DUMMYFUNCTION("""COMPUTED_VALUE"""),"CCx")</f>
        <v>CCx</v>
      </c>
      <c r="M1471" s="9" t="str">
        <f>IFERROR(__xludf.DUMMYFUNCTION("""COMPUTED_VALUE"""),"MFC")</f>
        <v>MFC</v>
      </c>
      <c r="N1471" s="9" t="str">
        <f>IFERROR(__xludf.DUMMYFUNCTION("""COMPUTED_VALUE"""),"A32")</f>
        <v>A32</v>
      </c>
      <c r="O1471" s="9" t="str">
        <f>IFERROR(__xludf.DUMMYFUNCTION("""COMPUTED_VALUE"""),"A32-6")</f>
        <v>A32-6</v>
      </c>
      <c r="P1471" s="9"/>
      <c r="Q1471" s="9"/>
      <c r="R1471" s="9"/>
      <c r="S1471" s="42"/>
      <c r="T1471" s="42"/>
      <c r="U1471" s="159"/>
      <c r="V1471" s="42"/>
      <c r="W1471" s="42"/>
      <c r="X1471" s="42"/>
      <c r="Y1471" s="42"/>
      <c r="Z1471" s="42"/>
      <c r="AA1471" s="42"/>
      <c r="AB1471" s="42" t="str">
        <f>IFERROR(__xludf.DUMMYFUNCTION("""COMPUTED_VALUE"""),"allen institute")</f>
        <v>allen institute</v>
      </c>
      <c r="AC1471" s="42" t="str">
        <f>IFERROR(__xludf.DUMMYFUNCTION("""COMPUTED_VALUE"""),"DHBA")</f>
        <v>DHBA</v>
      </c>
      <c r="AD1471" s="42"/>
      <c r="AE1471" s="42"/>
      <c r="AF1471" s="9"/>
      <c r="AG1471" s="9"/>
      <c r="AH1471" s="42"/>
      <c r="AI1471" s="42"/>
      <c r="AJ1471" s="42"/>
      <c r="AK1471" s="42"/>
      <c r="AL1471" s="42"/>
      <c r="AM1471" s="42"/>
      <c r="AN1471" s="42"/>
      <c r="AO1471" s="63" t="str">
        <f>IFERROR(__xludf.DUMMYFUNCTION("IF(ISBLANK(A1471),,IF(ISBLANK(S1471), A1471&amp;"";"", TEXTJOIN(CHAR(10), TRUE, A1471&amp;"";"", ARRAYFORMULA(VLOOKUP(SPLIT(S1471, "";"" &amp; CHAR(10)), $A:$AO, 41, FALSE)))))"),"A32-6;")</f>
        <v>A32-6;</v>
      </c>
      <c r="AP1471" s="89"/>
    </row>
    <row r="1472">
      <c r="A1472" s="151" t="str">
        <f>IFERROR(__xludf.DUMMYFUNCTION("""COMPUTED_VALUE"""),"A25")</f>
        <v>A25</v>
      </c>
      <c r="B1472" s="42" t="str">
        <f>IFERROR(__xludf.DUMMYFUNCTION("""COMPUTED_VALUE"""),"DHBA")</f>
        <v>DHBA</v>
      </c>
      <c r="C1472" s="42" t="str">
        <f>IFERROR(__xludf.DUMMYFUNCTION("""COMPUTED_VALUE"""),"subgenual (subcallosal) division of MFC (area 25)")</f>
        <v>subgenual (subcallosal) division of MFC (area 25)</v>
      </c>
      <c r="D1472" s="42">
        <f>IFERROR(__xludf.DUMMYFUNCTION("""COMPUTED_VALUE"""),1390.0)</f>
        <v>1390</v>
      </c>
      <c r="E1472" s="39" t="str">
        <f>IFERROR(__xludf.DUMMYFUNCTION("""COMPUTED_VALUE"""),"subgenual (subcallosal) division of MFC (area 25)")</f>
        <v>subgenual (subcallosal) division of MFC (area 25)</v>
      </c>
      <c r="F1472" s="9" t="str">
        <f>IFERROR(__xludf.DUMMYFUNCTION("""COMPUTED_VALUE"""),"Br")</f>
        <v>Br</v>
      </c>
      <c r="G1472" s="9" t="str">
        <f>IFERROR(__xludf.DUMMYFUNCTION("""COMPUTED_VALUE"""),"F")</f>
        <v>F</v>
      </c>
      <c r="H1472" s="9" t="str">
        <f>IFERROR(__xludf.DUMMYFUNCTION("""COMPUTED_VALUE"""),"FGM")</f>
        <v>FGM</v>
      </c>
      <c r="I1472" s="9" t="str">
        <f>IFERROR(__xludf.DUMMYFUNCTION("""COMPUTED_VALUE"""),"Tel")</f>
        <v>Tel</v>
      </c>
      <c r="J1472" s="9" t="str">
        <f>IFERROR(__xludf.DUMMYFUNCTION("""COMPUTED_VALUE"""),"Cx")</f>
        <v>Cx</v>
      </c>
      <c r="K1472" s="9" t="str">
        <f>IFERROR(__xludf.DUMMYFUNCTION("""COMPUTED_VALUE"""),"NCx")</f>
        <v>NCx</v>
      </c>
      <c r="L1472" s="9" t="str">
        <f>IFERROR(__xludf.DUMMYFUNCTION("""COMPUTED_VALUE"""),"CCx")</f>
        <v>CCx</v>
      </c>
      <c r="M1472" s="9" t="str">
        <f>IFERROR(__xludf.DUMMYFUNCTION("""COMPUTED_VALUE"""),"MFC")</f>
        <v>MFC</v>
      </c>
      <c r="N1472" s="9" t="str">
        <f>IFERROR(__xludf.DUMMYFUNCTION("""COMPUTED_VALUE"""),"A25")</f>
        <v>A25</v>
      </c>
      <c r="O1472" s="9"/>
      <c r="P1472" s="9"/>
      <c r="Q1472" s="9"/>
      <c r="R1472" s="9"/>
      <c r="S1472" s="42" t="str">
        <f>IFERROR(__xludf.DUMMYFUNCTION("""COMPUTED_VALUE"""),"A25_1;
A25_2;
A25_3;
A25_5;
A25_6")</f>
        <v>A25_1;
A25_2;
A25_3;
A25_5;
A25_6</v>
      </c>
      <c r="T1472" s="42" t="str">
        <f>IFERROR(__xludf.DUMMYFUNCTION("""COMPUTED_VALUE"""),"NCx")</f>
        <v>NCx</v>
      </c>
      <c r="U1472" s="159" t="b">
        <f>IFERROR(__xludf.DUMMYFUNCTION("""COMPUTED_VALUE"""),FALSE)</f>
        <v>0</v>
      </c>
      <c r="V1472" s="42"/>
      <c r="W1472" s="42"/>
      <c r="X1472" s="42"/>
      <c r="Y1472" s="42"/>
      <c r="Z1472" s="42"/>
      <c r="AA1472" s="42"/>
      <c r="AB1472" s="42" t="str">
        <f>IFERROR(__xludf.DUMMYFUNCTION("""COMPUTED_VALUE"""),"allen institute")</f>
        <v>allen institute</v>
      </c>
      <c r="AC1472" s="42" t="str">
        <f>IFERROR(__xludf.DUMMYFUNCTION("""COMPUTED_VALUE"""),"DHBA")</f>
        <v>DHBA</v>
      </c>
      <c r="AD1472" s="42"/>
      <c r="AE1472" s="42"/>
      <c r="AF1472" s="9"/>
      <c r="AG1472" s="9"/>
      <c r="AH1472" s="42"/>
      <c r="AI1472" s="42"/>
      <c r="AJ1472" s="42"/>
      <c r="AK1472" s="42"/>
      <c r="AL1472" s="42"/>
      <c r="AM1472" s="42"/>
      <c r="AN1472" s="42"/>
      <c r="AO1472" s="63" t="str">
        <f>IFERROR(__xludf.DUMMYFUNCTION("IF(ISBLANK(A1472),,IF(ISBLANK(S1472), A1472&amp;"";"", TEXTJOIN(CHAR(10), TRUE, A1472&amp;"";"", ARRAYFORMULA(VLOOKUP(SPLIT(S1472, "";"" &amp; CHAR(10)), $A:$AO, 41, FALSE)))))"),"#N/A")</f>
        <v>#N/A</v>
      </c>
      <c r="AP1472" s="89"/>
    </row>
    <row r="1473">
      <c r="A1473" s="151" t="str">
        <f>IFERROR(__xludf.DUMMYFUNCTION("""COMPUTED_VALUE"""),"A25-1")</f>
        <v>A25-1</v>
      </c>
      <c r="B1473" s="42" t="str">
        <f>IFERROR(__xludf.DUMMYFUNCTION("""COMPUTED_VALUE"""),"DHBA")</f>
        <v>DHBA</v>
      </c>
      <c r="C1473" s="42" t="str">
        <f>IFERROR(__xludf.DUMMYFUNCTION("""COMPUTED_VALUE"""),"layer I of area 25")</f>
        <v>layer I of area 25</v>
      </c>
      <c r="D1473" s="42">
        <f>IFERROR(__xludf.DUMMYFUNCTION("""COMPUTED_VALUE"""),1391.0)</f>
        <v>1391</v>
      </c>
      <c r="E1473" s="39" t="str">
        <f>IFERROR(__xludf.DUMMYFUNCTION("""COMPUTED_VALUE"""),"layer I of area 25")</f>
        <v>layer I of area 25</v>
      </c>
      <c r="F1473" s="9" t="str">
        <f>IFERROR(__xludf.DUMMYFUNCTION("""COMPUTED_VALUE"""),"Br")</f>
        <v>Br</v>
      </c>
      <c r="G1473" s="9" t="str">
        <f>IFERROR(__xludf.DUMMYFUNCTION("""COMPUTED_VALUE"""),"F")</f>
        <v>F</v>
      </c>
      <c r="H1473" s="9" t="str">
        <f>IFERROR(__xludf.DUMMYFUNCTION("""COMPUTED_VALUE"""),"FGM")</f>
        <v>FGM</v>
      </c>
      <c r="I1473" s="9" t="str">
        <f>IFERROR(__xludf.DUMMYFUNCTION("""COMPUTED_VALUE"""),"Tel")</f>
        <v>Tel</v>
      </c>
      <c r="J1473" s="9" t="str">
        <f>IFERROR(__xludf.DUMMYFUNCTION("""COMPUTED_VALUE"""),"Cx")</f>
        <v>Cx</v>
      </c>
      <c r="K1473" s="9" t="str">
        <f>IFERROR(__xludf.DUMMYFUNCTION("""COMPUTED_VALUE"""),"NCx")</f>
        <v>NCx</v>
      </c>
      <c r="L1473" s="9" t="str">
        <f>IFERROR(__xludf.DUMMYFUNCTION("""COMPUTED_VALUE"""),"CCx")</f>
        <v>CCx</v>
      </c>
      <c r="M1473" s="9" t="str">
        <f>IFERROR(__xludf.DUMMYFUNCTION("""COMPUTED_VALUE"""),"MFC")</f>
        <v>MFC</v>
      </c>
      <c r="N1473" s="9" t="str">
        <f>IFERROR(__xludf.DUMMYFUNCTION("""COMPUTED_VALUE"""),"A25")</f>
        <v>A25</v>
      </c>
      <c r="O1473" s="9" t="str">
        <f>IFERROR(__xludf.DUMMYFUNCTION("""COMPUTED_VALUE"""),"A25-1")</f>
        <v>A25-1</v>
      </c>
      <c r="P1473" s="9"/>
      <c r="Q1473" s="9"/>
      <c r="R1473" s="9"/>
      <c r="S1473" s="42"/>
      <c r="T1473" s="42"/>
      <c r="U1473" s="159"/>
      <c r="V1473" s="42"/>
      <c r="W1473" s="42"/>
      <c r="X1473" s="42"/>
      <c r="Y1473" s="42"/>
      <c r="Z1473" s="42"/>
      <c r="AA1473" s="42"/>
      <c r="AB1473" s="42" t="str">
        <f>IFERROR(__xludf.DUMMYFUNCTION("""COMPUTED_VALUE"""),"allen institute")</f>
        <v>allen institute</v>
      </c>
      <c r="AC1473" s="42" t="str">
        <f>IFERROR(__xludf.DUMMYFUNCTION("""COMPUTED_VALUE"""),"DHBA")</f>
        <v>DHBA</v>
      </c>
      <c r="AD1473" s="42"/>
      <c r="AE1473" s="42"/>
      <c r="AF1473" s="9"/>
      <c r="AG1473" s="9"/>
      <c r="AH1473" s="42"/>
      <c r="AI1473" s="42"/>
      <c r="AJ1473" s="42"/>
      <c r="AK1473" s="42"/>
      <c r="AL1473" s="42"/>
      <c r="AM1473" s="42"/>
      <c r="AN1473" s="42"/>
      <c r="AO1473" s="63" t="str">
        <f>IFERROR(__xludf.DUMMYFUNCTION("IF(ISBLANK(A1473),,IF(ISBLANK(S1473), A1473&amp;"";"", TEXTJOIN(CHAR(10), TRUE, A1473&amp;"";"", ARRAYFORMULA(VLOOKUP(SPLIT(S1473, "";"" &amp; CHAR(10)), $A:$AO, 41, FALSE)))))"),"A25-1;")</f>
        <v>A25-1;</v>
      </c>
      <c r="AP1473" s="89"/>
    </row>
    <row r="1474">
      <c r="A1474" s="151" t="str">
        <f>IFERROR(__xludf.DUMMYFUNCTION("""COMPUTED_VALUE"""),"A25-2")</f>
        <v>A25-2</v>
      </c>
      <c r="B1474" s="42" t="str">
        <f>IFERROR(__xludf.DUMMYFUNCTION("""COMPUTED_VALUE"""),"DHBA")</f>
        <v>DHBA</v>
      </c>
      <c r="C1474" s="42" t="str">
        <f>IFERROR(__xludf.DUMMYFUNCTION("""COMPUTED_VALUE"""),"layer II of area 25")</f>
        <v>layer II of area 25</v>
      </c>
      <c r="D1474" s="42">
        <f>IFERROR(__xludf.DUMMYFUNCTION("""COMPUTED_VALUE"""),1392.0)</f>
        <v>1392</v>
      </c>
      <c r="E1474" s="39" t="str">
        <f>IFERROR(__xludf.DUMMYFUNCTION("""COMPUTED_VALUE"""),"layer II of area 25")</f>
        <v>layer II of area 25</v>
      </c>
      <c r="F1474" s="9" t="str">
        <f>IFERROR(__xludf.DUMMYFUNCTION("""COMPUTED_VALUE"""),"Br")</f>
        <v>Br</v>
      </c>
      <c r="G1474" s="9" t="str">
        <f>IFERROR(__xludf.DUMMYFUNCTION("""COMPUTED_VALUE"""),"F")</f>
        <v>F</v>
      </c>
      <c r="H1474" s="9" t="str">
        <f>IFERROR(__xludf.DUMMYFUNCTION("""COMPUTED_VALUE"""),"FGM")</f>
        <v>FGM</v>
      </c>
      <c r="I1474" s="9" t="str">
        <f>IFERROR(__xludf.DUMMYFUNCTION("""COMPUTED_VALUE"""),"Tel")</f>
        <v>Tel</v>
      </c>
      <c r="J1474" s="9" t="str">
        <f>IFERROR(__xludf.DUMMYFUNCTION("""COMPUTED_VALUE"""),"Cx")</f>
        <v>Cx</v>
      </c>
      <c r="K1474" s="9" t="str">
        <f>IFERROR(__xludf.DUMMYFUNCTION("""COMPUTED_VALUE"""),"NCx")</f>
        <v>NCx</v>
      </c>
      <c r="L1474" s="9" t="str">
        <f>IFERROR(__xludf.DUMMYFUNCTION("""COMPUTED_VALUE"""),"CCx")</f>
        <v>CCx</v>
      </c>
      <c r="M1474" s="9" t="str">
        <f>IFERROR(__xludf.DUMMYFUNCTION("""COMPUTED_VALUE"""),"MFC")</f>
        <v>MFC</v>
      </c>
      <c r="N1474" s="9" t="str">
        <f>IFERROR(__xludf.DUMMYFUNCTION("""COMPUTED_VALUE"""),"A25")</f>
        <v>A25</v>
      </c>
      <c r="O1474" s="9" t="str">
        <f>IFERROR(__xludf.DUMMYFUNCTION("""COMPUTED_VALUE"""),"A25-2")</f>
        <v>A25-2</v>
      </c>
      <c r="P1474" s="9"/>
      <c r="Q1474" s="9"/>
      <c r="R1474" s="9"/>
      <c r="S1474" s="42"/>
      <c r="T1474" s="42"/>
      <c r="U1474" s="159"/>
      <c r="V1474" s="42"/>
      <c r="W1474" s="42"/>
      <c r="X1474" s="42"/>
      <c r="Y1474" s="42"/>
      <c r="Z1474" s="42"/>
      <c r="AA1474" s="42"/>
      <c r="AB1474" s="42" t="str">
        <f>IFERROR(__xludf.DUMMYFUNCTION("""COMPUTED_VALUE"""),"allen institute")</f>
        <v>allen institute</v>
      </c>
      <c r="AC1474" s="42" t="str">
        <f>IFERROR(__xludf.DUMMYFUNCTION("""COMPUTED_VALUE"""),"DHBA")</f>
        <v>DHBA</v>
      </c>
      <c r="AD1474" s="42"/>
      <c r="AE1474" s="42"/>
      <c r="AF1474" s="9"/>
      <c r="AG1474" s="9"/>
      <c r="AH1474" s="42"/>
      <c r="AI1474" s="42"/>
      <c r="AJ1474" s="42"/>
      <c r="AK1474" s="42"/>
      <c r="AL1474" s="42"/>
      <c r="AM1474" s="42"/>
      <c r="AN1474" s="42"/>
      <c r="AO1474" s="63" t="str">
        <f>IFERROR(__xludf.DUMMYFUNCTION("IF(ISBLANK(A1474),,IF(ISBLANK(S1474), A1474&amp;"";"", TEXTJOIN(CHAR(10), TRUE, A1474&amp;"";"", ARRAYFORMULA(VLOOKUP(SPLIT(S1474, "";"" &amp; CHAR(10)), $A:$AO, 41, FALSE)))))"),"A25-2;")</f>
        <v>A25-2;</v>
      </c>
      <c r="AP1474" s="89"/>
    </row>
    <row r="1475">
      <c r="A1475" s="151" t="str">
        <f>IFERROR(__xludf.DUMMYFUNCTION("""COMPUTED_VALUE"""),"A25-3")</f>
        <v>A25-3</v>
      </c>
      <c r="B1475" s="42" t="str">
        <f>IFERROR(__xludf.DUMMYFUNCTION("""COMPUTED_VALUE"""),"DHBA")</f>
        <v>DHBA</v>
      </c>
      <c r="C1475" s="42" t="str">
        <f>IFERROR(__xludf.DUMMYFUNCTION("""COMPUTED_VALUE"""),"layer III of area 25")</f>
        <v>layer III of area 25</v>
      </c>
      <c r="D1475" s="42">
        <f>IFERROR(__xludf.DUMMYFUNCTION("""COMPUTED_VALUE"""),1393.0)</f>
        <v>1393</v>
      </c>
      <c r="E1475" s="39" t="str">
        <f>IFERROR(__xludf.DUMMYFUNCTION("""COMPUTED_VALUE"""),"layer III of area 25")</f>
        <v>layer III of area 25</v>
      </c>
      <c r="F1475" s="9" t="str">
        <f>IFERROR(__xludf.DUMMYFUNCTION("""COMPUTED_VALUE"""),"Br")</f>
        <v>Br</v>
      </c>
      <c r="G1475" s="9" t="str">
        <f>IFERROR(__xludf.DUMMYFUNCTION("""COMPUTED_VALUE"""),"F")</f>
        <v>F</v>
      </c>
      <c r="H1475" s="9" t="str">
        <f>IFERROR(__xludf.DUMMYFUNCTION("""COMPUTED_VALUE"""),"FGM")</f>
        <v>FGM</v>
      </c>
      <c r="I1475" s="9" t="str">
        <f>IFERROR(__xludf.DUMMYFUNCTION("""COMPUTED_VALUE"""),"Tel")</f>
        <v>Tel</v>
      </c>
      <c r="J1475" s="9" t="str">
        <f>IFERROR(__xludf.DUMMYFUNCTION("""COMPUTED_VALUE"""),"Cx")</f>
        <v>Cx</v>
      </c>
      <c r="K1475" s="9" t="str">
        <f>IFERROR(__xludf.DUMMYFUNCTION("""COMPUTED_VALUE"""),"NCx")</f>
        <v>NCx</v>
      </c>
      <c r="L1475" s="9" t="str">
        <f>IFERROR(__xludf.DUMMYFUNCTION("""COMPUTED_VALUE"""),"CCx")</f>
        <v>CCx</v>
      </c>
      <c r="M1475" s="9" t="str">
        <f>IFERROR(__xludf.DUMMYFUNCTION("""COMPUTED_VALUE"""),"MFC")</f>
        <v>MFC</v>
      </c>
      <c r="N1475" s="9" t="str">
        <f>IFERROR(__xludf.DUMMYFUNCTION("""COMPUTED_VALUE"""),"A25")</f>
        <v>A25</v>
      </c>
      <c r="O1475" s="9" t="str">
        <f>IFERROR(__xludf.DUMMYFUNCTION("""COMPUTED_VALUE"""),"A25-3")</f>
        <v>A25-3</v>
      </c>
      <c r="P1475" s="9"/>
      <c r="Q1475" s="9"/>
      <c r="R1475" s="9"/>
      <c r="S1475" s="42"/>
      <c r="T1475" s="42"/>
      <c r="U1475" s="159"/>
      <c r="V1475" s="42"/>
      <c r="W1475" s="42"/>
      <c r="X1475" s="42"/>
      <c r="Y1475" s="42"/>
      <c r="Z1475" s="42"/>
      <c r="AA1475" s="42"/>
      <c r="AB1475" s="42" t="str">
        <f>IFERROR(__xludf.DUMMYFUNCTION("""COMPUTED_VALUE"""),"allen institute")</f>
        <v>allen institute</v>
      </c>
      <c r="AC1475" s="42" t="str">
        <f>IFERROR(__xludf.DUMMYFUNCTION("""COMPUTED_VALUE"""),"DHBA")</f>
        <v>DHBA</v>
      </c>
      <c r="AD1475" s="42"/>
      <c r="AE1475" s="42"/>
      <c r="AF1475" s="9"/>
      <c r="AG1475" s="9"/>
      <c r="AH1475" s="42"/>
      <c r="AI1475" s="42"/>
      <c r="AJ1475" s="42"/>
      <c r="AK1475" s="42"/>
      <c r="AL1475" s="42"/>
      <c r="AM1475" s="42"/>
      <c r="AN1475" s="42"/>
      <c r="AO1475" s="63" t="str">
        <f>IFERROR(__xludf.DUMMYFUNCTION("IF(ISBLANK(A1475),,IF(ISBLANK(S1475), A1475&amp;"";"", TEXTJOIN(CHAR(10), TRUE, A1475&amp;"";"", ARRAYFORMULA(VLOOKUP(SPLIT(S1475, "";"" &amp; CHAR(10)), $A:$AO, 41, FALSE)))))"),"A25-3;")</f>
        <v>A25-3;</v>
      </c>
      <c r="AP1475" s="89"/>
    </row>
    <row r="1476">
      <c r="A1476" s="151" t="str">
        <f>IFERROR(__xludf.DUMMYFUNCTION("""COMPUTED_VALUE"""),"A25-5")</f>
        <v>A25-5</v>
      </c>
      <c r="B1476" s="42" t="str">
        <f>IFERROR(__xludf.DUMMYFUNCTION("""COMPUTED_VALUE"""),"DHBA")</f>
        <v>DHBA</v>
      </c>
      <c r="C1476" s="42" t="str">
        <f>IFERROR(__xludf.DUMMYFUNCTION("""COMPUTED_VALUE"""),"layer V of area 25")</f>
        <v>layer V of area 25</v>
      </c>
      <c r="D1476" s="42">
        <f>IFERROR(__xludf.DUMMYFUNCTION("""COMPUTED_VALUE"""),1394.0)</f>
        <v>1394</v>
      </c>
      <c r="E1476" s="39" t="str">
        <f>IFERROR(__xludf.DUMMYFUNCTION("""COMPUTED_VALUE"""),"layer V of area 25")</f>
        <v>layer V of area 25</v>
      </c>
      <c r="F1476" s="9" t="str">
        <f>IFERROR(__xludf.DUMMYFUNCTION("""COMPUTED_VALUE"""),"Br")</f>
        <v>Br</v>
      </c>
      <c r="G1476" s="9" t="str">
        <f>IFERROR(__xludf.DUMMYFUNCTION("""COMPUTED_VALUE"""),"F")</f>
        <v>F</v>
      </c>
      <c r="H1476" s="9" t="str">
        <f>IFERROR(__xludf.DUMMYFUNCTION("""COMPUTED_VALUE"""),"FGM")</f>
        <v>FGM</v>
      </c>
      <c r="I1476" s="9" t="str">
        <f>IFERROR(__xludf.DUMMYFUNCTION("""COMPUTED_VALUE"""),"Tel")</f>
        <v>Tel</v>
      </c>
      <c r="J1476" s="9" t="str">
        <f>IFERROR(__xludf.DUMMYFUNCTION("""COMPUTED_VALUE"""),"Cx")</f>
        <v>Cx</v>
      </c>
      <c r="K1476" s="9" t="str">
        <f>IFERROR(__xludf.DUMMYFUNCTION("""COMPUTED_VALUE"""),"NCx")</f>
        <v>NCx</v>
      </c>
      <c r="L1476" s="9" t="str">
        <f>IFERROR(__xludf.DUMMYFUNCTION("""COMPUTED_VALUE"""),"CCx")</f>
        <v>CCx</v>
      </c>
      <c r="M1476" s="9" t="str">
        <f>IFERROR(__xludf.DUMMYFUNCTION("""COMPUTED_VALUE"""),"MFC")</f>
        <v>MFC</v>
      </c>
      <c r="N1476" s="9" t="str">
        <f>IFERROR(__xludf.DUMMYFUNCTION("""COMPUTED_VALUE"""),"A25")</f>
        <v>A25</v>
      </c>
      <c r="O1476" s="9" t="str">
        <f>IFERROR(__xludf.DUMMYFUNCTION("""COMPUTED_VALUE"""),"A25-5")</f>
        <v>A25-5</v>
      </c>
      <c r="P1476" s="9"/>
      <c r="Q1476" s="9"/>
      <c r="R1476" s="9"/>
      <c r="S1476" s="42"/>
      <c r="T1476" s="42"/>
      <c r="U1476" s="42"/>
      <c r="V1476" s="42"/>
      <c r="W1476" s="42"/>
      <c r="X1476" s="42"/>
      <c r="Y1476" s="42"/>
      <c r="Z1476" s="42"/>
      <c r="AA1476" s="42"/>
      <c r="AB1476" s="42" t="str">
        <f>IFERROR(__xludf.DUMMYFUNCTION("""COMPUTED_VALUE"""),"allen institute")</f>
        <v>allen institute</v>
      </c>
      <c r="AC1476" s="42" t="str">
        <f>IFERROR(__xludf.DUMMYFUNCTION("""COMPUTED_VALUE"""),"DHBA")</f>
        <v>DHBA</v>
      </c>
      <c r="AD1476" s="42"/>
      <c r="AE1476" s="42"/>
      <c r="AF1476" s="9"/>
      <c r="AG1476" s="9"/>
      <c r="AH1476" s="42"/>
      <c r="AI1476" s="42"/>
      <c r="AJ1476" s="42"/>
      <c r="AK1476" s="42"/>
      <c r="AL1476" s="42"/>
      <c r="AM1476" s="42"/>
      <c r="AN1476" s="42"/>
      <c r="AO1476" s="63" t="str">
        <f>IFERROR(__xludf.DUMMYFUNCTION("IF(ISBLANK(A1476),,IF(ISBLANK(S1476), A1476&amp;"";"", TEXTJOIN(CHAR(10), TRUE, A1476&amp;"";"", ARRAYFORMULA(VLOOKUP(SPLIT(S1476, "";"" &amp; CHAR(10)), $A:$AO, 41, FALSE)))))"),"A25-5;")</f>
        <v>A25-5;</v>
      </c>
      <c r="AP1476" s="89"/>
    </row>
    <row r="1477">
      <c r="A1477" s="151" t="str">
        <f>IFERROR(__xludf.DUMMYFUNCTION("""COMPUTED_VALUE"""),"A25-6")</f>
        <v>A25-6</v>
      </c>
      <c r="B1477" s="42" t="str">
        <f>IFERROR(__xludf.DUMMYFUNCTION("""COMPUTED_VALUE"""),"DHBA")</f>
        <v>DHBA</v>
      </c>
      <c r="C1477" s="42" t="str">
        <f>IFERROR(__xludf.DUMMYFUNCTION("""COMPUTED_VALUE"""),"layer VI of area 25")</f>
        <v>layer VI of area 25</v>
      </c>
      <c r="D1477" s="42">
        <f>IFERROR(__xludf.DUMMYFUNCTION("""COMPUTED_VALUE"""),1395.0)</f>
        <v>1395</v>
      </c>
      <c r="E1477" s="39" t="str">
        <f>IFERROR(__xludf.DUMMYFUNCTION("""COMPUTED_VALUE"""),"layer VI of area 25")</f>
        <v>layer VI of area 25</v>
      </c>
      <c r="F1477" s="9" t="str">
        <f>IFERROR(__xludf.DUMMYFUNCTION("""COMPUTED_VALUE"""),"Br")</f>
        <v>Br</v>
      </c>
      <c r="G1477" s="9" t="str">
        <f>IFERROR(__xludf.DUMMYFUNCTION("""COMPUTED_VALUE"""),"F")</f>
        <v>F</v>
      </c>
      <c r="H1477" s="9" t="str">
        <f>IFERROR(__xludf.DUMMYFUNCTION("""COMPUTED_VALUE"""),"FGM")</f>
        <v>FGM</v>
      </c>
      <c r="I1477" s="9" t="str">
        <f>IFERROR(__xludf.DUMMYFUNCTION("""COMPUTED_VALUE"""),"Tel")</f>
        <v>Tel</v>
      </c>
      <c r="J1477" s="9" t="str">
        <f>IFERROR(__xludf.DUMMYFUNCTION("""COMPUTED_VALUE"""),"Cx")</f>
        <v>Cx</v>
      </c>
      <c r="K1477" s="9" t="str">
        <f>IFERROR(__xludf.DUMMYFUNCTION("""COMPUTED_VALUE"""),"NCx")</f>
        <v>NCx</v>
      </c>
      <c r="L1477" s="9" t="str">
        <f>IFERROR(__xludf.DUMMYFUNCTION("""COMPUTED_VALUE"""),"CCx")</f>
        <v>CCx</v>
      </c>
      <c r="M1477" s="9" t="str">
        <f>IFERROR(__xludf.DUMMYFUNCTION("""COMPUTED_VALUE"""),"MFC")</f>
        <v>MFC</v>
      </c>
      <c r="N1477" s="9" t="str">
        <f>IFERROR(__xludf.DUMMYFUNCTION("""COMPUTED_VALUE"""),"A25")</f>
        <v>A25</v>
      </c>
      <c r="O1477" s="9" t="str">
        <f>IFERROR(__xludf.DUMMYFUNCTION("""COMPUTED_VALUE"""),"A25-6")</f>
        <v>A25-6</v>
      </c>
      <c r="P1477" s="9"/>
      <c r="Q1477" s="9"/>
      <c r="R1477" s="9"/>
      <c r="S1477" s="42"/>
      <c r="T1477" s="42"/>
      <c r="U1477" s="42"/>
      <c r="V1477" s="42"/>
      <c r="W1477" s="42"/>
      <c r="X1477" s="42"/>
      <c r="Y1477" s="42"/>
      <c r="Z1477" s="42"/>
      <c r="AA1477" s="42"/>
      <c r="AB1477" s="42" t="str">
        <f>IFERROR(__xludf.DUMMYFUNCTION("""COMPUTED_VALUE"""),"allen institute")</f>
        <v>allen institute</v>
      </c>
      <c r="AC1477" s="42" t="str">
        <f>IFERROR(__xludf.DUMMYFUNCTION("""COMPUTED_VALUE"""),"DHBA")</f>
        <v>DHBA</v>
      </c>
      <c r="AD1477" s="42"/>
      <c r="AE1477" s="42"/>
      <c r="AF1477" s="9"/>
      <c r="AG1477" s="9"/>
      <c r="AH1477" s="42"/>
      <c r="AI1477" s="42"/>
      <c r="AJ1477" s="42"/>
      <c r="AK1477" s="42"/>
      <c r="AL1477" s="42"/>
      <c r="AM1477" s="42"/>
      <c r="AN1477" s="42"/>
      <c r="AO1477" s="63" t="str">
        <f>IFERROR(__xludf.DUMMYFUNCTION("IF(ISBLANK(A1477),,IF(ISBLANK(S1477), A1477&amp;"";"", TEXTJOIN(CHAR(10), TRUE, A1477&amp;"";"", ARRAYFORMULA(VLOOKUP(SPLIT(S1477, "";"" &amp; CHAR(10)), $A:$AO, 41, FALSE)))))"),"A25-6;")</f>
        <v>A25-6;</v>
      </c>
      <c r="AP1477" s="89"/>
    </row>
    <row r="1478">
      <c r="A1478" s="151" t="str">
        <f>IFERROR(__xludf.DUMMYFUNCTION("""COMPUTED_VALUE"""),"MCC")</f>
        <v>MCC</v>
      </c>
      <c r="B1478" s="42" t="str">
        <f>IFERROR(__xludf.DUMMYFUNCTION("""COMPUTED_VALUE"""),"DHBA")</f>
        <v>DHBA</v>
      </c>
      <c r="C1478" s="42" t="str">
        <f>IFERROR(__xludf.DUMMYFUNCTION("""COMPUTED_VALUE"""),"midcingulate cortex")</f>
        <v>midcingulate cortex</v>
      </c>
      <c r="D1478" s="42">
        <f>IFERROR(__xludf.DUMMYFUNCTION("""COMPUTED_VALUE"""),1396.0)</f>
        <v>1396</v>
      </c>
      <c r="E1478" s="39" t="str">
        <f>IFERROR(__xludf.DUMMYFUNCTION("""COMPUTED_VALUE"""),"midcingulate cortex")</f>
        <v>midcingulate cortex</v>
      </c>
      <c r="F1478" s="9" t="str">
        <f>IFERROR(__xludf.DUMMYFUNCTION("""COMPUTED_VALUE"""),"Br")</f>
        <v>Br</v>
      </c>
      <c r="G1478" s="9" t="str">
        <f>IFERROR(__xludf.DUMMYFUNCTION("""COMPUTED_VALUE"""),"F")</f>
        <v>F</v>
      </c>
      <c r="H1478" s="9" t="str">
        <f>IFERROR(__xludf.DUMMYFUNCTION("""COMPUTED_VALUE"""),"FGM")</f>
        <v>FGM</v>
      </c>
      <c r="I1478" s="9" t="str">
        <f>IFERROR(__xludf.DUMMYFUNCTION("""COMPUTED_VALUE"""),"Tel")</f>
        <v>Tel</v>
      </c>
      <c r="J1478" s="9" t="str">
        <f>IFERROR(__xludf.DUMMYFUNCTION("""COMPUTED_VALUE"""),"Cx")</f>
        <v>Cx</v>
      </c>
      <c r="K1478" s="9" t="str">
        <f>IFERROR(__xludf.DUMMYFUNCTION("""COMPUTED_VALUE"""),"NCx")</f>
        <v>NCx</v>
      </c>
      <c r="L1478" s="9" t="str">
        <f>IFERROR(__xludf.DUMMYFUNCTION("""COMPUTED_VALUE"""),"CCx")</f>
        <v>CCx</v>
      </c>
      <c r="M1478" s="9" t="str">
        <f>IFERROR(__xludf.DUMMYFUNCTION("""COMPUTED_VALUE"""),"MCC")</f>
        <v>MCC</v>
      </c>
      <c r="N1478" s="9"/>
      <c r="O1478" s="9"/>
      <c r="P1478" s="9"/>
      <c r="Q1478" s="9"/>
      <c r="R1478" s="9"/>
      <c r="S1478" s="42" t="str">
        <f>IFERROR(__xludf.DUMMYFUNCTION("""COMPUTED_VALUE"""),"A24mc;
A32mc")</f>
        <v>A24mc;
A32mc</v>
      </c>
      <c r="T1478" s="42" t="str">
        <f>IFERROR(__xludf.DUMMYFUNCTION("""COMPUTED_VALUE"""),"NCx")</f>
        <v>NCx</v>
      </c>
      <c r="U1478" s="42" t="b">
        <f>IFERROR(__xludf.DUMMYFUNCTION("""COMPUTED_VALUE"""),FALSE)</f>
        <v>0</v>
      </c>
      <c r="V1478" s="42"/>
      <c r="W1478" s="42"/>
      <c r="X1478" s="42"/>
      <c r="Y1478" s="42"/>
      <c r="Z1478" s="42"/>
      <c r="AA1478" s="42"/>
      <c r="AB1478" s="42" t="str">
        <f>IFERROR(__xludf.DUMMYFUNCTION("""COMPUTED_VALUE"""),"allen institute")</f>
        <v>allen institute</v>
      </c>
      <c r="AC1478" s="42" t="str">
        <f>IFERROR(__xludf.DUMMYFUNCTION("""COMPUTED_VALUE"""),"DHBA")</f>
        <v>DHBA</v>
      </c>
      <c r="AD1478" s="42"/>
      <c r="AE1478" s="42"/>
      <c r="AF1478" s="9"/>
      <c r="AG1478" s="9"/>
      <c r="AH1478" s="42"/>
      <c r="AI1478" s="42"/>
      <c r="AJ1478" s="42"/>
      <c r="AK1478" s="42"/>
      <c r="AL1478" s="42"/>
      <c r="AM1478" s="42"/>
      <c r="AN1478" s="42"/>
      <c r="AO1478" s="63" t="str">
        <f>IFERROR(__xludf.DUMMYFUNCTION("IF(ISBLANK(A1478),,IF(ISBLANK(S1478), A1478&amp;"";"", TEXTJOIN(CHAR(10), TRUE, A1478&amp;"";"", ARRAYFORMULA(VLOOKUP(SPLIT(S1478, "";"" &amp; CHAR(10)), $A:$AO, 41, FALSE)))))"),"#N/A")</f>
        <v>#N/A</v>
      </c>
      <c r="AP1478" s="89"/>
    </row>
    <row r="1479">
      <c r="A1479" s="151" t="str">
        <f>IFERROR(__xludf.DUMMYFUNCTION("""COMPUTED_VALUE"""),"A24mc")</f>
        <v>A24mc</v>
      </c>
      <c r="B1479" s="42" t="str">
        <f>IFERROR(__xludf.DUMMYFUNCTION("""COMPUTED_VALUE"""),"DHBA")</f>
        <v>DHBA</v>
      </c>
      <c r="C1479" s="42" t="str">
        <f>IFERROR(__xludf.DUMMYFUNCTION("""COMPUTED_VALUE"""),"ventral division of MCC (area 24mc)")</f>
        <v>ventral division of MCC (area 24mc)</v>
      </c>
      <c r="D1479" s="42">
        <f>IFERROR(__xludf.DUMMYFUNCTION("""COMPUTED_VALUE"""),1397.0)</f>
        <v>1397</v>
      </c>
      <c r="E1479" s="39" t="str">
        <f>IFERROR(__xludf.DUMMYFUNCTION("""COMPUTED_VALUE"""),"ventral division of MCC (area 24mc)")</f>
        <v>ventral division of MCC (area 24mc)</v>
      </c>
      <c r="F1479" s="9" t="str">
        <f>IFERROR(__xludf.DUMMYFUNCTION("""COMPUTED_VALUE"""),"Br")</f>
        <v>Br</v>
      </c>
      <c r="G1479" s="9" t="str">
        <f>IFERROR(__xludf.DUMMYFUNCTION("""COMPUTED_VALUE"""),"F")</f>
        <v>F</v>
      </c>
      <c r="H1479" s="9" t="str">
        <f>IFERROR(__xludf.DUMMYFUNCTION("""COMPUTED_VALUE"""),"FGM")</f>
        <v>FGM</v>
      </c>
      <c r="I1479" s="9" t="str">
        <f>IFERROR(__xludf.DUMMYFUNCTION("""COMPUTED_VALUE"""),"Tel")</f>
        <v>Tel</v>
      </c>
      <c r="J1479" s="9" t="str">
        <f>IFERROR(__xludf.DUMMYFUNCTION("""COMPUTED_VALUE"""),"Cx")</f>
        <v>Cx</v>
      </c>
      <c r="K1479" s="9" t="str">
        <f>IFERROR(__xludf.DUMMYFUNCTION("""COMPUTED_VALUE"""),"NCx")</f>
        <v>NCx</v>
      </c>
      <c r="L1479" s="9" t="str">
        <f>IFERROR(__xludf.DUMMYFUNCTION("""COMPUTED_VALUE"""),"CCx")</f>
        <v>CCx</v>
      </c>
      <c r="M1479" s="9" t="str">
        <f>IFERROR(__xludf.DUMMYFUNCTION("""COMPUTED_VALUE"""),"MCC")</f>
        <v>MCC</v>
      </c>
      <c r="N1479" s="9" t="str">
        <f>IFERROR(__xludf.DUMMYFUNCTION("""COMPUTED_VALUE"""),"A24mc")</f>
        <v>A24mc</v>
      </c>
      <c r="O1479" s="9"/>
      <c r="P1479" s="9"/>
      <c r="Q1479" s="9"/>
      <c r="R1479" s="9"/>
      <c r="S1479" s="42" t="str">
        <f>IFERROR(__xludf.DUMMYFUNCTION("""COMPUTED_VALUE"""),"A24mc_1;
A24mc_2;
A24mc_3;
A24mc_5a;
A24mc_5b;
A24mc_6")</f>
        <v>A24mc_1;
A24mc_2;
A24mc_3;
A24mc_5a;
A24mc_5b;
A24mc_6</v>
      </c>
      <c r="T1479" s="42" t="str">
        <f>IFERROR(__xludf.DUMMYFUNCTION("""COMPUTED_VALUE"""),"NCx")</f>
        <v>NCx</v>
      </c>
      <c r="U1479" s="42" t="b">
        <f>IFERROR(__xludf.DUMMYFUNCTION("""COMPUTED_VALUE"""),FALSE)</f>
        <v>0</v>
      </c>
      <c r="V1479" s="42"/>
      <c r="W1479" s="42"/>
      <c r="X1479" s="42"/>
      <c r="Y1479" s="42"/>
      <c r="Z1479" s="42"/>
      <c r="AA1479" s="42"/>
      <c r="AB1479" s="42" t="str">
        <f>IFERROR(__xludf.DUMMYFUNCTION("""COMPUTED_VALUE"""),"allen institute")</f>
        <v>allen institute</v>
      </c>
      <c r="AC1479" s="42" t="str">
        <f>IFERROR(__xludf.DUMMYFUNCTION("""COMPUTED_VALUE"""),"DHBA")</f>
        <v>DHBA</v>
      </c>
      <c r="AD1479" s="42"/>
      <c r="AE1479" s="42"/>
      <c r="AF1479" s="9"/>
      <c r="AG1479" s="9"/>
      <c r="AH1479" s="42"/>
      <c r="AI1479" s="42"/>
      <c r="AJ1479" s="42"/>
      <c r="AK1479" s="42"/>
      <c r="AL1479" s="42"/>
      <c r="AM1479" s="42"/>
      <c r="AN1479" s="42"/>
      <c r="AO1479" s="63" t="str">
        <f>IFERROR(__xludf.DUMMYFUNCTION("IF(ISBLANK(A1479),,IF(ISBLANK(S1479), A1479&amp;"";"", TEXTJOIN(CHAR(10), TRUE, A1479&amp;"";"", ARRAYFORMULA(VLOOKUP(SPLIT(S1479, "";"" &amp; CHAR(10)), $A:$AO, 41, FALSE)))))"),"#N/A")</f>
        <v>#N/A</v>
      </c>
      <c r="AP1479" s="89"/>
    </row>
    <row r="1480">
      <c r="A1480" s="151" t="str">
        <f>IFERROR(__xludf.DUMMYFUNCTION("""COMPUTED_VALUE"""),"A24mc-1")</f>
        <v>A24mc-1</v>
      </c>
      <c r="B1480" s="42" t="str">
        <f>IFERROR(__xludf.DUMMYFUNCTION("""COMPUTED_VALUE"""),"DHBA")</f>
        <v>DHBA</v>
      </c>
      <c r="C1480" s="42" t="str">
        <f>IFERROR(__xludf.DUMMYFUNCTION("""COMPUTED_VALUE"""),"layer I of area 24mc")</f>
        <v>layer I of area 24mc</v>
      </c>
      <c r="D1480" s="42">
        <f>IFERROR(__xludf.DUMMYFUNCTION("""COMPUTED_VALUE"""),1398.0)</f>
        <v>1398</v>
      </c>
      <c r="E1480" s="39" t="str">
        <f>IFERROR(__xludf.DUMMYFUNCTION("""COMPUTED_VALUE"""),"layer I of area 24mc")</f>
        <v>layer I of area 24mc</v>
      </c>
      <c r="F1480" s="9" t="str">
        <f>IFERROR(__xludf.DUMMYFUNCTION("""COMPUTED_VALUE"""),"Br")</f>
        <v>Br</v>
      </c>
      <c r="G1480" s="9" t="str">
        <f>IFERROR(__xludf.DUMMYFUNCTION("""COMPUTED_VALUE"""),"F")</f>
        <v>F</v>
      </c>
      <c r="H1480" s="9" t="str">
        <f>IFERROR(__xludf.DUMMYFUNCTION("""COMPUTED_VALUE"""),"FGM")</f>
        <v>FGM</v>
      </c>
      <c r="I1480" s="9" t="str">
        <f>IFERROR(__xludf.DUMMYFUNCTION("""COMPUTED_VALUE"""),"Tel")</f>
        <v>Tel</v>
      </c>
      <c r="J1480" s="9" t="str">
        <f>IFERROR(__xludf.DUMMYFUNCTION("""COMPUTED_VALUE"""),"Cx")</f>
        <v>Cx</v>
      </c>
      <c r="K1480" s="9" t="str">
        <f>IFERROR(__xludf.DUMMYFUNCTION("""COMPUTED_VALUE"""),"NCx")</f>
        <v>NCx</v>
      </c>
      <c r="L1480" s="9" t="str">
        <f>IFERROR(__xludf.DUMMYFUNCTION("""COMPUTED_VALUE"""),"CCx")</f>
        <v>CCx</v>
      </c>
      <c r="M1480" s="9" t="str">
        <f>IFERROR(__xludf.DUMMYFUNCTION("""COMPUTED_VALUE"""),"MCC")</f>
        <v>MCC</v>
      </c>
      <c r="N1480" s="9" t="str">
        <f>IFERROR(__xludf.DUMMYFUNCTION("""COMPUTED_VALUE"""),"A24mc")</f>
        <v>A24mc</v>
      </c>
      <c r="O1480" s="9" t="str">
        <f>IFERROR(__xludf.DUMMYFUNCTION("""COMPUTED_VALUE"""),"A24mc-1")</f>
        <v>A24mc-1</v>
      </c>
      <c r="P1480" s="9"/>
      <c r="Q1480" s="9"/>
      <c r="R1480" s="9"/>
      <c r="S1480" s="42"/>
      <c r="T1480" s="42"/>
      <c r="U1480" s="42"/>
      <c r="V1480" s="42"/>
      <c r="W1480" s="42"/>
      <c r="X1480" s="42"/>
      <c r="Y1480" s="42"/>
      <c r="Z1480" s="42"/>
      <c r="AA1480" s="42"/>
      <c r="AB1480" s="42" t="str">
        <f>IFERROR(__xludf.DUMMYFUNCTION("""COMPUTED_VALUE"""),"allen institute")</f>
        <v>allen institute</v>
      </c>
      <c r="AC1480" s="42" t="str">
        <f>IFERROR(__xludf.DUMMYFUNCTION("""COMPUTED_VALUE"""),"DHBA")</f>
        <v>DHBA</v>
      </c>
      <c r="AD1480" s="42"/>
      <c r="AE1480" s="42"/>
      <c r="AF1480" s="9"/>
      <c r="AG1480" s="9"/>
      <c r="AH1480" s="42"/>
      <c r="AI1480" s="42"/>
      <c r="AJ1480" s="42"/>
      <c r="AK1480" s="42"/>
      <c r="AL1480" s="42"/>
      <c r="AM1480" s="42"/>
      <c r="AN1480" s="42"/>
      <c r="AO1480" s="63" t="str">
        <f>IFERROR(__xludf.DUMMYFUNCTION("IF(ISBLANK(A1480),,IF(ISBLANK(S1480), A1480&amp;"";"", TEXTJOIN(CHAR(10), TRUE, A1480&amp;"";"", ARRAYFORMULA(VLOOKUP(SPLIT(S1480, "";"" &amp; CHAR(10)), $A:$AO, 41, FALSE)))))"),"A24mc-1;")</f>
        <v>A24mc-1;</v>
      </c>
      <c r="AP1480" s="89"/>
    </row>
    <row r="1481">
      <c r="A1481" s="151" t="str">
        <f>IFERROR(__xludf.DUMMYFUNCTION("""COMPUTED_VALUE"""),"A24mc-2")</f>
        <v>A24mc-2</v>
      </c>
      <c r="B1481" s="42" t="str">
        <f>IFERROR(__xludf.DUMMYFUNCTION("""COMPUTED_VALUE"""),"DHBA")</f>
        <v>DHBA</v>
      </c>
      <c r="C1481" s="42" t="str">
        <f>IFERROR(__xludf.DUMMYFUNCTION("""COMPUTED_VALUE"""),"layer II of area 24mc")</f>
        <v>layer II of area 24mc</v>
      </c>
      <c r="D1481" s="42">
        <f>IFERROR(__xludf.DUMMYFUNCTION("""COMPUTED_VALUE"""),1399.0)</f>
        <v>1399</v>
      </c>
      <c r="E1481" s="39" t="str">
        <f>IFERROR(__xludf.DUMMYFUNCTION("""COMPUTED_VALUE"""),"layer II of area 24mc")</f>
        <v>layer II of area 24mc</v>
      </c>
      <c r="F1481" s="9" t="str">
        <f>IFERROR(__xludf.DUMMYFUNCTION("""COMPUTED_VALUE"""),"Br")</f>
        <v>Br</v>
      </c>
      <c r="G1481" s="9" t="str">
        <f>IFERROR(__xludf.DUMMYFUNCTION("""COMPUTED_VALUE"""),"F")</f>
        <v>F</v>
      </c>
      <c r="H1481" s="9" t="str">
        <f>IFERROR(__xludf.DUMMYFUNCTION("""COMPUTED_VALUE"""),"FGM")</f>
        <v>FGM</v>
      </c>
      <c r="I1481" s="9" t="str">
        <f>IFERROR(__xludf.DUMMYFUNCTION("""COMPUTED_VALUE"""),"Tel")</f>
        <v>Tel</v>
      </c>
      <c r="J1481" s="9" t="str">
        <f>IFERROR(__xludf.DUMMYFUNCTION("""COMPUTED_VALUE"""),"Cx")</f>
        <v>Cx</v>
      </c>
      <c r="K1481" s="9" t="str">
        <f>IFERROR(__xludf.DUMMYFUNCTION("""COMPUTED_VALUE"""),"NCx")</f>
        <v>NCx</v>
      </c>
      <c r="L1481" s="9" t="str">
        <f>IFERROR(__xludf.DUMMYFUNCTION("""COMPUTED_VALUE"""),"CCx")</f>
        <v>CCx</v>
      </c>
      <c r="M1481" s="9" t="str">
        <f>IFERROR(__xludf.DUMMYFUNCTION("""COMPUTED_VALUE"""),"MCC")</f>
        <v>MCC</v>
      </c>
      <c r="N1481" s="9" t="str">
        <f>IFERROR(__xludf.DUMMYFUNCTION("""COMPUTED_VALUE"""),"A24mc")</f>
        <v>A24mc</v>
      </c>
      <c r="O1481" s="9" t="str">
        <f>IFERROR(__xludf.DUMMYFUNCTION("""COMPUTED_VALUE"""),"A24mc-2")</f>
        <v>A24mc-2</v>
      </c>
      <c r="P1481" s="9"/>
      <c r="Q1481" s="9"/>
      <c r="R1481" s="9"/>
      <c r="S1481" s="42"/>
      <c r="T1481" s="42"/>
      <c r="U1481" s="42"/>
      <c r="V1481" s="42"/>
      <c r="W1481" s="42"/>
      <c r="X1481" s="42"/>
      <c r="Y1481" s="42"/>
      <c r="Z1481" s="42"/>
      <c r="AA1481" s="42"/>
      <c r="AB1481" s="42" t="str">
        <f>IFERROR(__xludf.DUMMYFUNCTION("""COMPUTED_VALUE"""),"allen institute")</f>
        <v>allen institute</v>
      </c>
      <c r="AC1481" s="42" t="str">
        <f>IFERROR(__xludf.DUMMYFUNCTION("""COMPUTED_VALUE"""),"DHBA")</f>
        <v>DHBA</v>
      </c>
      <c r="AD1481" s="42"/>
      <c r="AE1481" s="42"/>
      <c r="AF1481" s="9"/>
      <c r="AG1481" s="9"/>
      <c r="AH1481" s="42"/>
      <c r="AI1481" s="42"/>
      <c r="AJ1481" s="42"/>
      <c r="AK1481" s="42"/>
      <c r="AL1481" s="42"/>
      <c r="AM1481" s="42"/>
      <c r="AN1481" s="42"/>
      <c r="AO1481" s="63" t="str">
        <f>IFERROR(__xludf.DUMMYFUNCTION("IF(ISBLANK(A1481),,IF(ISBLANK(S1481), A1481&amp;"";"", TEXTJOIN(CHAR(10), TRUE, A1481&amp;"";"", ARRAYFORMULA(VLOOKUP(SPLIT(S1481, "";"" &amp; CHAR(10)), $A:$AO, 41, FALSE)))))"),"A24mc-2;")</f>
        <v>A24mc-2;</v>
      </c>
      <c r="AP1481" s="89"/>
    </row>
    <row r="1482">
      <c r="A1482" s="151" t="str">
        <f>IFERROR(__xludf.DUMMYFUNCTION("""COMPUTED_VALUE"""),"A24mc-3")</f>
        <v>A24mc-3</v>
      </c>
      <c r="B1482" s="42" t="str">
        <f>IFERROR(__xludf.DUMMYFUNCTION("""COMPUTED_VALUE"""),"DHBA")</f>
        <v>DHBA</v>
      </c>
      <c r="C1482" s="42" t="str">
        <f>IFERROR(__xludf.DUMMYFUNCTION("""COMPUTED_VALUE"""),"layer III of area 24mc")</f>
        <v>layer III of area 24mc</v>
      </c>
      <c r="D1482" s="42">
        <f>IFERROR(__xludf.DUMMYFUNCTION("""COMPUTED_VALUE"""),1400.0)</f>
        <v>1400</v>
      </c>
      <c r="E1482" s="39" t="str">
        <f>IFERROR(__xludf.DUMMYFUNCTION("""COMPUTED_VALUE"""),"layer III of area 24mc")</f>
        <v>layer III of area 24mc</v>
      </c>
      <c r="F1482" s="9" t="str">
        <f>IFERROR(__xludf.DUMMYFUNCTION("""COMPUTED_VALUE"""),"Br")</f>
        <v>Br</v>
      </c>
      <c r="G1482" s="9" t="str">
        <f>IFERROR(__xludf.DUMMYFUNCTION("""COMPUTED_VALUE"""),"F")</f>
        <v>F</v>
      </c>
      <c r="H1482" s="9" t="str">
        <f>IFERROR(__xludf.DUMMYFUNCTION("""COMPUTED_VALUE"""),"FGM")</f>
        <v>FGM</v>
      </c>
      <c r="I1482" s="9" t="str">
        <f>IFERROR(__xludf.DUMMYFUNCTION("""COMPUTED_VALUE"""),"Tel")</f>
        <v>Tel</v>
      </c>
      <c r="J1482" s="9" t="str">
        <f>IFERROR(__xludf.DUMMYFUNCTION("""COMPUTED_VALUE"""),"Cx")</f>
        <v>Cx</v>
      </c>
      <c r="K1482" s="9" t="str">
        <f>IFERROR(__xludf.DUMMYFUNCTION("""COMPUTED_VALUE"""),"NCx")</f>
        <v>NCx</v>
      </c>
      <c r="L1482" s="9" t="str">
        <f>IFERROR(__xludf.DUMMYFUNCTION("""COMPUTED_VALUE"""),"CCx")</f>
        <v>CCx</v>
      </c>
      <c r="M1482" s="9" t="str">
        <f>IFERROR(__xludf.DUMMYFUNCTION("""COMPUTED_VALUE"""),"MCC")</f>
        <v>MCC</v>
      </c>
      <c r="N1482" s="9" t="str">
        <f>IFERROR(__xludf.DUMMYFUNCTION("""COMPUTED_VALUE"""),"A24mc")</f>
        <v>A24mc</v>
      </c>
      <c r="O1482" s="9" t="str">
        <f>IFERROR(__xludf.DUMMYFUNCTION("""COMPUTED_VALUE"""),"A24mc-3")</f>
        <v>A24mc-3</v>
      </c>
      <c r="P1482" s="9"/>
      <c r="Q1482" s="9"/>
      <c r="R1482" s="9"/>
      <c r="S1482" s="42"/>
      <c r="T1482" s="42"/>
      <c r="U1482" s="42"/>
      <c r="V1482" s="42"/>
      <c r="W1482" s="42"/>
      <c r="X1482" s="42"/>
      <c r="Y1482" s="42"/>
      <c r="Z1482" s="42"/>
      <c r="AA1482" s="42"/>
      <c r="AB1482" s="42" t="str">
        <f>IFERROR(__xludf.DUMMYFUNCTION("""COMPUTED_VALUE"""),"allen institute")</f>
        <v>allen institute</v>
      </c>
      <c r="AC1482" s="42" t="str">
        <f>IFERROR(__xludf.DUMMYFUNCTION("""COMPUTED_VALUE"""),"DHBA")</f>
        <v>DHBA</v>
      </c>
      <c r="AD1482" s="42"/>
      <c r="AE1482" s="42"/>
      <c r="AF1482" s="9"/>
      <c r="AG1482" s="9"/>
      <c r="AH1482" s="42"/>
      <c r="AI1482" s="42"/>
      <c r="AJ1482" s="42"/>
      <c r="AK1482" s="42"/>
      <c r="AL1482" s="42"/>
      <c r="AM1482" s="42"/>
      <c r="AN1482" s="42"/>
      <c r="AO1482" s="63" t="str">
        <f>IFERROR(__xludf.DUMMYFUNCTION("IF(ISBLANK(A1482),,IF(ISBLANK(S1482), A1482&amp;"";"", TEXTJOIN(CHAR(10), TRUE, A1482&amp;"";"", ARRAYFORMULA(VLOOKUP(SPLIT(S1482, "";"" &amp; CHAR(10)), $A:$AO, 41, FALSE)))))"),"A24mc-3;")</f>
        <v>A24mc-3;</v>
      </c>
      <c r="AP1482" s="89"/>
    </row>
    <row r="1483">
      <c r="A1483" s="151" t="str">
        <f>IFERROR(__xludf.DUMMYFUNCTION("""COMPUTED_VALUE"""),"A24mc-5a")</f>
        <v>A24mc-5a</v>
      </c>
      <c r="B1483" s="42" t="str">
        <f>IFERROR(__xludf.DUMMYFUNCTION("""COMPUTED_VALUE"""),"DHBA")</f>
        <v>DHBA</v>
      </c>
      <c r="C1483" s="42" t="str">
        <f>IFERROR(__xludf.DUMMYFUNCTION("""COMPUTED_VALUE"""),"layer Va of area 24mc")</f>
        <v>layer Va of area 24mc</v>
      </c>
      <c r="D1483" s="42">
        <f>IFERROR(__xludf.DUMMYFUNCTION("""COMPUTED_VALUE"""),1401.0)</f>
        <v>1401</v>
      </c>
      <c r="E1483" s="39" t="str">
        <f>IFERROR(__xludf.DUMMYFUNCTION("""COMPUTED_VALUE"""),"layer Va of area 24mc")</f>
        <v>layer Va of area 24mc</v>
      </c>
      <c r="F1483" s="9" t="str">
        <f>IFERROR(__xludf.DUMMYFUNCTION("""COMPUTED_VALUE"""),"Br")</f>
        <v>Br</v>
      </c>
      <c r="G1483" s="9" t="str">
        <f>IFERROR(__xludf.DUMMYFUNCTION("""COMPUTED_VALUE"""),"F")</f>
        <v>F</v>
      </c>
      <c r="H1483" s="9" t="str">
        <f>IFERROR(__xludf.DUMMYFUNCTION("""COMPUTED_VALUE"""),"FGM")</f>
        <v>FGM</v>
      </c>
      <c r="I1483" s="9" t="str">
        <f>IFERROR(__xludf.DUMMYFUNCTION("""COMPUTED_VALUE"""),"Tel")</f>
        <v>Tel</v>
      </c>
      <c r="J1483" s="9" t="str">
        <f>IFERROR(__xludf.DUMMYFUNCTION("""COMPUTED_VALUE"""),"Cx")</f>
        <v>Cx</v>
      </c>
      <c r="K1483" s="9" t="str">
        <f>IFERROR(__xludf.DUMMYFUNCTION("""COMPUTED_VALUE"""),"NCx")</f>
        <v>NCx</v>
      </c>
      <c r="L1483" s="9" t="str">
        <f>IFERROR(__xludf.DUMMYFUNCTION("""COMPUTED_VALUE"""),"CCx")</f>
        <v>CCx</v>
      </c>
      <c r="M1483" s="9" t="str">
        <f>IFERROR(__xludf.DUMMYFUNCTION("""COMPUTED_VALUE"""),"MCC")</f>
        <v>MCC</v>
      </c>
      <c r="N1483" s="9" t="str">
        <f>IFERROR(__xludf.DUMMYFUNCTION("""COMPUTED_VALUE"""),"A24mc")</f>
        <v>A24mc</v>
      </c>
      <c r="O1483" s="9" t="str">
        <f>IFERROR(__xludf.DUMMYFUNCTION("""COMPUTED_VALUE"""),"A24mc-5a")</f>
        <v>A24mc-5a</v>
      </c>
      <c r="P1483" s="9"/>
      <c r="Q1483" s="9"/>
      <c r="R1483" s="9"/>
      <c r="S1483" s="42"/>
      <c r="T1483" s="42"/>
      <c r="U1483" s="42"/>
      <c r="V1483" s="42"/>
      <c r="W1483" s="42"/>
      <c r="X1483" s="42"/>
      <c r="Y1483" s="42"/>
      <c r="Z1483" s="42"/>
      <c r="AA1483" s="42"/>
      <c r="AB1483" s="42" t="str">
        <f>IFERROR(__xludf.DUMMYFUNCTION("""COMPUTED_VALUE"""),"allen institute")</f>
        <v>allen institute</v>
      </c>
      <c r="AC1483" s="42" t="str">
        <f>IFERROR(__xludf.DUMMYFUNCTION("""COMPUTED_VALUE"""),"DHBA")</f>
        <v>DHBA</v>
      </c>
      <c r="AD1483" s="42"/>
      <c r="AE1483" s="42"/>
      <c r="AF1483" s="9"/>
      <c r="AG1483" s="9"/>
      <c r="AH1483" s="42"/>
      <c r="AI1483" s="42"/>
      <c r="AJ1483" s="42"/>
      <c r="AK1483" s="42"/>
      <c r="AL1483" s="42"/>
      <c r="AM1483" s="42"/>
      <c r="AN1483" s="42"/>
      <c r="AO1483" s="63" t="str">
        <f>IFERROR(__xludf.DUMMYFUNCTION("IF(ISBLANK(A1483),,IF(ISBLANK(S1483), A1483&amp;"";"", TEXTJOIN(CHAR(10), TRUE, A1483&amp;"";"", ARRAYFORMULA(VLOOKUP(SPLIT(S1483, "";"" &amp; CHAR(10)), $A:$AO, 41, FALSE)))))"),"A24mc-5a;")</f>
        <v>A24mc-5a;</v>
      </c>
      <c r="AP1483" s="89"/>
    </row>
    <row r="1484">
      <c r="A1484" s="151" t="str">
        <f>IFERROR(__xludf.DUMMYFUNCTION("""COMPUTED_VALUE"""),"A24mc-5b")</f>
        <v>A24mc-5b</v>
      </c>
      <c r="B1484" s="42" t="str">
        <f>IFERROR(__xludf.DUMMYFUNCTION("""COMPUTED_VALUE"""),"DHBA")</f>
        <v>DHBA</v>
      </c>
      <c r="C1484" s="42" t="str">
        <f>IFERROR(__xludf.DUMMYFUNCTION("""COMPUTED_VALUE"""),"layer Vb of area 24mc")</f>
        <v>layer Vb of area 24mc</v>
      </c>
      <c r="D1484" s="42">
        <f>IFERROR(__xludf.DUMMYFUNCTION("""COMPUTED_VALUE"""),1402.0)</f>
        <v>1402</v>
      </c>
      <c r="E1484" s="39" t="str">
        <f>IFERROR(__xludf.DUMMYFUNCTION("""COMPUTED_VALUE"""),"layer Vb of area 24mc")</f>
        <v>layer Vb of area 24mc</v>
      </c>
      <c r="F1484" s="9" t="str">
        <f>IFERROR(__xludf.DUMMYFUNCTION("""COMPUTED_VALUE"""),"Br")</f>
        <v>Br</v>
      </c>
      <c r="G1484" s="9" t="str">
        <f>IFERROR(__xludf.DUMMYFUNCTION("""COMPUTED_VALUE"""),"F")</f>
        <v>F</v>
      </c>
      <c r="H1484" s="9" t="str">
        <f>IFERROR(__xludf.DUMMYFUNCTION("""COMPUTED_VALUE"""),"FGM")</f>
        <v>FGM</v>
      </c>
      <c r="I1484" s="9" t="str">
        <f>IFERROR(__xludf.DUMMYFUNCTION("""COMPUTED_VALUE"""),"Tel")</f>
        <v>Tel</v>
      </c>
      <c r="J1484" s="9" t="str">
        <f>IFERROR(__xludf.DUMMYFUNCTION("""COMPUTED_VALUE"""),"Cx")</f>
        <v>Cx</v>
      </c>
      <c r="K1484" s="9" t="str">
        <f>IFERROR(__xludf.DUMMYFUNCTION("""COMPUTED_VALUE"""),"NCx")</f>
        <v>NCx</v>
      </c>
      <c r="L1484" s="9" t="str">
        <f>IFERROR(__xludf.DUMMYFUNCTION("""COMPUTED_VALUE"""),"CCx")</f>
        <v>CCx</v>
      </c>
      <c r="M1484" s="9" t="str">
        <f>IFERROR(__xludf.DUMMYFUNCTION("""COMPUTED_VALUE"""),"MCC")</f>
        <v>MCC</v>
      </c>
      <c r="N1484" s="9" t="str">
        <f>IFERROR(__xludf.DUMMYFUNCTION("""COMPUTED_VALUE"""),"A24mc")</f>
        <v>A24mc</v>
      </c>
      <c r="O1484" s="9" t="str">
        <f>IFERROR(__xludf.DUMMYFUNCTION("""COMPUTED_VALUE"""),"A24mc-5b")</f>
        <v>A24mc-5b</v>
      </c>
      <c r="P1484" s="9"/>
      <c r="Q1484" s="9"/>
      <c r="R1484" s="9"/>
      <c r="S1484" s="42"/>
      <c r="T1484" s="42"/>
      <c r="U1484" s="42"/>
      <c r="V1484" s="42"/>
      <c r="W1484" s="42"/>
      <c r="X1484" s="42"/>
      <c r="Y1484" s="42"/>
      <c r="Z1484" s="42"/>
      <c r="AA1484" s="42"/>
      <c r="AB1484" s="42" t="str">
        <f>IFERROR(__xludf.DUMMYFUNCTION("""COMPUTED_VALUE"""),"allen institute")</f>
        <v>allen institute</v>
      </c>
      <c r="AC1484" s="42" t="str">
        <f>IFERROR(__xludf.DUMMYFUNCTION("""COMPUTED_VALUE"""),"DHBA")</f>
        <v>DHBA</v>
      </c>
      <c r="AD1484" s="42"/>
      <c r="AE1484" s="42"/>
      <c r="AF1484" s="9"/>
      <c r="AG1484" s="9"/>
      <c r="AH1484" s="42"/>
      <c r="AI1484" s="42"/>
      <c r="AJ1484" s="42"/>
      <c r="AK1484" s="42"/>
      <c r="AL1484" s="42"/>
      <c r="AM1484" s="42"/>
      <c r="AN1484" s="42"/>
      <c r="AO1484" s="63" t="str">
        <f>IFERROR(__xludf.DUMMYFUNCTION("IF(ISBLANK(A1484),,IF(ISBLANK(S1484), A1484&amp;"";"", TEXTJOIN(CHAR(10), TRUE, A1484&amp;"";"", ARRAYFORMULA(VLOOKUP(SPLIT(S1484, "";"" &amp; CHAR(10)), $A:$AO, 41, FALSE)))))"),"A24mc-5b;")</f>
        <v>A24mc-5b;</v>
      </c>
      <c r="AP1484" s="89"/>
    </row>
    <row r="1485">
      <c r="A1485" s="151" t="str">
        <f>IFERROR(__xludf.DUMMYFUNCTION("""COMPUTED_VALUE"""),"A24mc-6")</f>
        <v>A24mc-6</v>
      </c>
      <c r="B1485" s="42" t="str">
        <f>IFERROR(__xludf.DUMMYFUNCTION("""COMPUTED_VALUE"""),"DHBA")</f>
        <v>DHBA</v>
      </c>
      <c r="C1485" s="42" t="str">
        <f>IFERROR(__xludf.DUMMYFUNCTION("""COMPUTED_VALUE"""),"layer VI of area 24mc")</f>
        <v>layer VI of area 24mc</v>
      </c>
      <c r="D1485" s="42">
        <f>IFERROR(__xludf.DUMMYFUNCTION("""COMPUTED_VALUE"""),1403.0)</f>
        <v>1403</v>
      </c>
      <c r="E1485" s="39" t="str">
        <f>IFERROR(__xludf.DUMMYFUNCTION("""COMPUTED_VALUE"""),"layer VI of area 24mc")</f>
        <v>layer VI of area 24mc</v>
      </c>
      <c r="F1485" s="9" t="str">
        <f>IFERROR(__xludf.DUMMYFUNCTION("""COMPUTED_VALUE"""),"Br")</f>
        <v>Br</v>
      </c>
      <c r="G1485" s="9" t="str">
        <f>IFERROR(__xludf.DUMMYFUNCTION("""COMPUTED_VALUE"""),"F")</f>
        <v>F</v>
      </c>
      <c r="H1485" s="9" t="str">
        <f>IFERROR(__xludf.DUMMYFUNCTION("""COMPUTED_VALUE"""),"FGM")</f>
        <v>FGM</v>
      </c>
      <c r="I1485" s="9" t="str">
        <f>IFERROR(__xludf.DUMMYFUNCTION("""COMPUTED_VALUE"""),"Tel")</f>
        <v>Tel</v>
      </c>
      <c r="J1485" s="9" t="str">
        <f>IFERROR(__xludf.DUMMYFUNCTION("""COMPUTED_VALUE"""),"Cx")</f>
        <v>Cx</v>
      </c>
      <c r="K1485" s="9" t="str">
        <f>IFERROR(__xludf.DUMMYFUNCTION("""COMPUTED_VALUE"""),"NCx")</f>
        <v>NCx</v>
      </c>
      <c r="L1485" s="9" t="str">
        <f>IFERROR(__xludf.DUMMYFUNCTION("""COMPUTED_VALUE"""),"CCx")</f>
        <v>CCx</v>
      </c>
      <c r="M1485" s="9" t="str">
        <f>IFERROR(__xludf.DUMMYFUNCTION("""COMPUTED_VALUE"""),"MCC")</f>
        <v>MCC</v>
      </c>
      <c r="N1485" s="9" t="str">
        <f>IFERROR(__xludf.DUMMYFUNCTION("""COMPUTED_VALUE"""),"A24mc")</f>
        <v>A24mc</v>
      </c>
      <c r="O1485" s="9" t="str">
        <f>IFERROR(__xludf.DUMMYFUNCTION("""COMPUTED_VALUE"""),"A24mc-6")</f>
        <v>A24mc-6</v>
      </c>
      <c r="P1485" s="9"/>
      <c r="Q1485" s="9"/>
      <c r="R1485" s="9"/>
      <c r="S1485" s="42"/>
      <c r="T1485" s="42"/>
      <c r="U1485" s="159"/>
      <c r="V1485" s="42"/>
      <c r="W1485" s="42"/>
      <c r="X1485" s="42"/>
      <c r="Y1485" s="42"/>
      <c r="Z1485" s="42"/>
      <c r="AA1485" s="42"/>
      <c r="AB1485" s="42" t="str">
        <f>IFERROR(__xludf.DUMMYFUNCTION("""COMPUTED_VALUE"""),"allen institute")</f>
        <v>allen institute</v>
      </c>
      <c r="AC1485" s="42" t="str">
        <f>IFERROR(__xludf.DUMMYFUNCTION("""COMPUTED_VALUE"""),"DHBA")</f>
        <v>DHBA</v>
      </c>
      <c r="AD1485" s="42"/>
      <c r="AE1485" s="42"/>
      <c r="AF1485" s="9"/>
      <c r="AG1485" s="9"/>
      <c r="AH1485" s="42"/>
      <c r="AI1485" s="42"/>
      <c r="AJ1485" s="42"/>
      <c r="AK1485" s="42"/>
      <c r="AL1485" s="42"/>
      <c r="AM1485" s="42"/>
      <c r="AN1485" s="42"/>
      <c r="AO1485" s="63" t="str">
        <f>IFERROR(__xludf.DUMMYFUNCTION("IF(ISBLANK(A1485),,IF(ISBLANK(S1485), A1485&amp;"";"", TEXTJOIN(CHAR(10), TRUE, A1485&amp;"";"", ARRAYFORMULA(VLOOKUP(SPLIT(S1485, "";"" &amp; CHAR(10)), $A:$AO, 41, FALSE)))))"),"A24mc-6;")</f>
        <v>A24mc-6;</v>
      </c>
      <c r="AP1485" s="89"/>
    </row>
    <row r="1486">
      <c r="A1486" s="151" t="str">
        <f>IFERROR(__xludf.DUMMYFUNCTION("""COMPUTED_VALUE"""),"A32mc")</f>
        <v>A32mc</v>
      </c>
      <c r="B1486" s="42" t="str">
        <f>IFERROR(__xludf.DUMMYFUNCTION("""COMPUTED_VALUE"""),"DHBA")</f>
        <v>DHBA</v>
      </c>
      <c r="C1486" s="42" t="str">
        <f>IFERROR(__xludf.DUMMYFUNCTION("""COMPUTED_VALUE"""),"dorsal division of MCC (area 32mc)")</f>
        <v>dorsal division of MCC (area 32mc)</v>
      </c>
      <c r="D1486" s="42">
        <f>IFERROR(__xludf.DUMMYFUNCTION("""COMPUTED_VALUE"""),1404.0)</f>
        <v>1404</v>
      </c>
      <c r="E1486" s="39" t="str">
        <f>IFERROR(__xludf.DUMMYFUNCTION("""COMPUTED_VALUE"""),"dorsal division of MCC (area 32mc)")</f>
        <v>dorsal division of MCC (area 32mc)</v>
      </c>
      <c r="F1486" s="9" t="str">
        <f>IFERROR(__xludf.DUMMYFUNCTION("""COMPUTED_VALUE"""),"Br")</f>
        <v>Br</v>
      </c>
      <c r="G1486" s="9" t="str">
        <f>IFERROR(__xludf.DUMMYFUNCTION("""COMPUTED_VALUE"""),"F")</f>
        <v>F</v>
      </c>
      <c r="H1486" s="9" t="str">
        <f>IFERROR(__xludf.DUMMYFUNCTION("""COMPUTED_VALUE"""),"FGM")</f>
        <v>FGM</v>
      </c>
      <c r="I1486" s="9" t="str">
        <f>IFERROR(__xludf.DUMMYFUNCTION("""COMPUTED_VALUE"""),"Tel")</f>
        <v>Tel</v>
      </c>
      <c r="J1486" s="9" t="str">
        <f>IFERROR(__xludf.DUMMYFUNCTION("""COMPUTED_VALUE"""),"Cx")</f>
        <v>Cx</v>
      </c>
      <c r="K1486" s="9" t="str">
        <f>IFERROR(__xludf.DUMMYFUNCTION("""COMPUTED_VALUE"""),"NCx")</f>
        <v>NCx</v>
      </c>
      <c r="L1486" s="9" t="str">
        <f>IFERROR(__xludf.DUMMYFUNCTION("""COMPUTED_VALUE"""),"CCx")</f>
        <v>CCx</v>
      </c>
      <c r="M1486" s="9" t="str">
        <f>IFERROR(__xludf.DUMMYFUNCTION("""COMPUTED_VALUE"""),"MCC")</f>
        <v>MCC</v>
      </c>
      <c r="N1486" s="9" t="str">
        <f>IFERROR(__xludf.DUMMYFUNCTION("""COMPUTED_VALUE"""),"A32mc")</f>
        <v>A32mc</v>
      </c>
      <c r="O1486" s="9"/>
      <c r="P1486" s="9"/>
      <c r="Q1486" s="9"/>
      <c r="R1486" s="9"/>
      <c r="S1486" s="42" t="str">
        <f>IFERROR(__xludf.DUMMYFUNCTION("""COMPUTED_VALUE"""),"A32mc_1;
A32mc_2;
A32mc_3;
A32mc_4;
A32mc_5;
A32mc_6")</f>
        <v>A32mc_1;
A32mc_2;
A32mc_3;
A32mc_4;
A32mc_5;
A32mc_6</v>
      </c>
      <c r="T1486" s="42" t="str">
        <f>IFERROR(__xludf.DUMMYFUNCTION("""COMPUTED_VALUE"""),"NCx")</f>
        <v>NCx</v>
      </c>
      <c r="U1486" s="42" t="b">
        <f>IFERROR(__xludf.DUMMYFUNCTION("""COMPUTED_VALUE"""),FALSE)</f>
        <v>0</v>
      </c>
      <c r="V1486" s="42"/>
      <c r="W1486" s="42"/>
      <c r="X1486" s="42"/>
      <c r="Y1486" s="42"/>
      <c r="Z1486" s="42"/>
      <c r="AA1486" s="42"/>
      <c r="AB1486" s="42" t="str">
        <f>IFERROR(__xludf.DUMMYFUNCTION("""COMPUTED_VALUE"""),"allen institute")</f>
        <v>allen institute</v>
      </c>
      <c r="AC1486" s="42" t="str">
        <f>IFERROR(__xludf.DUMMYFUNCTION("""COMPUTED_VALUE"""),"DHBA")</f>
        <v>DHBA</v>
      </c>
      <c r="AD1486" s="42"/>
      <c r="AE1486" s="42"/>
      <c r="AF1486" s="9"/>
      <c r="AG1486" s="9"/>
      <c r="AH1486" s="42"/>
      <c r="AI1486" s="42"/>
      <c r="AJ1486" s="42"/>
      <c r="AK1486" s="42"/>
      <c r="AL1486" s="42"/>
      <c r="AM1486" s="42"/>
      <c r="AN1486" s="42"/>
      <c r="AO1486" s="63" t="str">
        <f>IFERROR(__xludf.DUMMYFUNCTION("IF(ISBLANK(A1486),,IF(ISBLANK(S1486), A1486&amp;"";"", TEXTJOIN(CHAR(10), TRUE, A1486&amp;"";"", ARRAYFORMULA(VLOOKUP(SPLIT(S1486, "";"" &amp; CHAR(10)), $A:$AO, 41, FALSE)))))"),"#N/A")</f>
        <v>#N/A</v>
      </c>
      <c r="AP1486" s="89"/>
    </row>
    <row r="1487">
      <c r="A1487" s="151" t="str">
        <f>IFERROR(__xludf.DUMMYFUNCTION("""COMPUTED_VALUE"""),"A32mc-1")</f>
        <v>A32mc-1</v>
      </c>
      <c r="B1487" s="42" t="str">
        <f>IFERROR(__xludf.DUMMYFUNCTION("""COMPUTED_VALUE"""),"DHBA")</f>
        <v>DHBA</v>
      </c>
      <c r="C1487" s="42" t="str">
        <f>IFERROR(__xludf.DUMMYFUNCTION("""COMPUTED_VALUE"""),"layer I of area 32mc")</f>
        <v>layer I of area 32mc</v>
      </c>
      <c r="D1487" s="42">
        <f>IFERROR(__xludf.DUMMYFUNCTION("""COMPUTED_VALUE"""),1405.0)</f>
        <v>1405</v>
      </c>
      <c r="E1487" s="39" t="str">
        <f>IFERROR(__xludf.DUMMYFUNCTION("""COMPUTED_VALUE"""),"layer I of area 32mc")</f>
        <v>layer I of area 32mc</v>
      </c>
      <c r="F1487" s="9" t="str">
        <f>IFERROR(__xludf.DUMMYFUNCTION("""COMPUTED_VALUE"""),"Br")</f>
        <v>Br</v>
      </c>
      <c r="G1487" s="9" t="str">
        <f>IFERROR(__xludf.DUMMYFUNCTION("""COMPUTED_VALUE"""),"F")</f>
        <v>F</v>
      </c>
      <c r="H1487" s="9" t="str">
        <f>IFERROR(__xludf.DUMMYFUNCTION("""COMPUTED_VALUE"""),"FGM")</f>
        <v>FGM</v>
      </c>
      <c r="I1487" s="9" t="str">
        <f>IFERROR(__xludf.DUMMYFUNCTION("""COMPUTED_VALUE"""),"Tel")</f>
        <v>Tel</v>
      </c>
      <c r="J1487" s="9" t="str">
        <f>IFERROR(__xludf.DUMMYFUNCTION("""COMPUTED_VALUE"""),"Cx")</f>
        <v>Cx</v>
      </c>
      <c r="K1487" s="9" t="str">
        <f>IFERROR(__xludf.DUMMYFUNCTION("""COMPUTED_VALUE"""),"NCx")</f>
        <v>NCx</v>
      </c>
      <c r="L1487" s="9" t="str">
        <f>IFERROR(__xludf.DUMMYFUNCTION("""COMPUTED_VALUE"""),"CCx")</f>
        <v>CCx</v>
      </c>
      <c r="M1487" s="9" t="str">
        <f>IFERROR(__xludf.DUMMYFUNCTION("""COMPUTED_VALUE"""),"MCC")</f>
        <v>MCC</v>
      </c>
      <c r="N1487" s="9" t="str">
        <f>IFERROR(__xludf.DUMMYFUNCTION("""COMPUTED_VALUE"""),"A32mc")</f>
        <v>A32mc</v>
      </c>
      <c r="O1487" s="9" t="str">
        <f>IFERROR(__xludf.DUMMYFUNCTION("""COMPUTED_VALUE"""),"A32mc-1")</f>
        <v>A32mc-1</v>
      </c>
      <c r="P1487" s="9"/>
      <c r="Q1487" s="9"/>
      <c r="R1487" s="9"/>
      <c r="S1487" s="42"/>
      <c r="T1487" s="42"/>
      <c r="U1487" s="42"/>
      <c r="V1487" s="42"/>
      <c r="W1487" s="42"/>
      <c r="X1487" s="42"/>
      <c r="Y1487" s="42"/>
      <c r="Z1487" s="42"/>
      <c r="AA1487" s="42"/>
      <c r="AB1487" s="42" t="str">
        <f>IFERROR(__xludf.DUMMYFUNCTION("""COMPUTED_VALUE"""),"allen institute")</f>
        <v>allen institute</v>
      </c>
      <c r="AC1487" s="42" t="str">
        <f>IFERROR(__xludf.DUMMYFUNCTION("""COMPUTED_VALUE"""),"DHBA")</f>
        <v>DHBA</v>
      </c>
      <c r="AD1487" s="42"/>
      <c r="AE1487" s="42"/>
      <c r="AF1487" s="9"/>
      <c r="AG1487" s="9"/>
      <c r="AH1487" s="42"/>
      <c r="AI1487" s="42"/>
      <c r="AJ1487" s="42"/>
      <c r="AK1487" s="42"/>
      <c r="AL1487" s="42"/>
      <c r="AM1487" s="42"/>
      <c r="AN1487" s="42"/>
      <c r="AO1487" s="63" t="str">
        <f>IFERROR(__xludf.DUMMYFUNCTION("IF(ISBLANK(A1487),,IF(ISBLANK(S1487), A1487&amp;"";"", TEXTJOIN(CHAR(10), TRUE, A1487&amp;"";"", ARRAYFORMULA(VLOOKUP(SPLIT(S1487, "";"" &amp; CHAR(10)), $A:$AO, 41, FALSE)))))"),"A32mc-1;")</f>
        <v>A32mc-1;</v>
      </c>
      <c r="AP1487" s="89"/>
    </row>
    <row r="1488">
      <c r="A1488" s="151" t="str">
        <f>IFERROR(__xludf.DUMMYFUNCTION("""COMPUTED_VALUE"""),"A32mc-2")</f>
        <v>A32mc-2</v>
      </c>
      <c r="B1488" s="42" t="str">
        <f>IFERROR(__xludf.DUMMYFUNCTION("""COMPUTED_VALUE"""),"DHBA")</f>
        <v>DHBA</v>
      </c>
      <c r="C1488" s="42" t="str">
        <f>IFERROR(__xludf.DUMMYFUNCTION("""COMPUTED_VALUE"""),"layer II of area 32mc")</f>
        <v>layer II of area 32mc</v>
      </c>
      <c r="D1488" s="42">
        <f>IFERROR(__xludf.DUMMYFUNCTION("""COMPUTED_VALUE"""),1406.0)</f>
        <v>1406</v>
      </c>
      <c r="E1488" s="39" t="str">
        <f>IFERROR(__xludf.DUMMYFUNCTION("""COMPUTED_VALUE"""),"layer II of area 32mc")</f>
        <v>layer II of area 32mc</v>
      </c>
      <c r="F1488" s="9" t="str">
        <f>IFERROR(__xludf.DUMMYFUNCTION("""COMPUTED_VALUE"""),"Br")</f>
        <v>Br</v>
      </c>
      <c r="G1488" s="9" t="str">
        <f>IFERROR(__xludf.DUMMYFUNCTION("""COMPUTED_VALUE"""),"F")</f>
        <v>F</v>
      </c>
      <c r="H1488" s="9" t="str">
        <f>IFERROR(__xludf.DUMMYFUNCTION("""COMPUTED_VALUE"""),"FGM")</f>
        <v>FGM</v>
      </c>
      <c r="I1488" s="9" t="str">
        <f>IFERROR(__xludf.DUMMYFUNCTION("""COMPUTED_VALUE"""),"Tel")</f>
        <v>Tel</v>
      </c>
      <c r="J1488" s="9" t="str">
        <f>IFERROR(__xludf.DUMMYFUNCTION("""COMPUTED_VALUE"""),"Cx")</f>
        <v>Cx</v>
      </c>
      <c r="K1488" s="9" t="str">
        <f>IFERROR(__xludf.DUMMYFUNCTION("""COMPUTED_VALUE"""),"NCx")</f>
        <v>NCx</v>
      </c>
      <c r="L1488" s="9" t="str">
        <f>IFERROR(__xludf.DUMMYFUNCTION("""COMPUTED_VALUE"""),"CCx")</f>
        <v>CCx</v>
      </c>
      <c r="M1488" s="9" t="str">
        <f>IFERROR(__xludf.DUMMYFUNCTION("""COMPUTED_VALUE"""),"MCC")</f>
        <v>MCC</v>
      </c>
      <c r="N1488" s="9" t="str">
        <f>IFERROR(__xludf.DUMMYFUNCTION("""COMPUTED_VALUE"""),"A32mc")</f>
        <v>A32mc</v>
      </c>
      <c r="O1488" s="9" t="str">
        <f>IFERROR(__xludf.DUMMYFUNCTION("""COMPUTED_VALUE"""),"A32mc-2")</f>
        <v>A32mc-2</v>
      </c>
      <c r="P1488" s="9"/>
      <c r="Q1488" s="9"/>
      <c r="R1488" s="9"/>
      <c r="S1488" s="42"/>
      <c r="T1488" s="42"/>
      <c r="U1488" s="42"/>
      <c r="V1488" s="42"/>
      <c r="W1488" s="42"/>
      <c r="X1488" s="42"/>
      <c r="Y1488" s="42"/>
      <c r="Z1488" s="42"/>
      <c r="AA1488" s="42"/>
      <c r="AB1488" s="42" t="str">
        <f>IFERROR(__xludf.DUMMYFUNCTION("""COMPUTED_VALUE"""),"allen institute")</f>
        <v>allen institute</v>
      </c>
      <c r="AC1488" s="42" t="str">
        <f>IFERROR(__xludf.DUMMYFUNCTION("""COMPUTED_VALUE"""),"DHBA")</f>
        <v>DHBA</v>
      </c>
      <c r="AD1488" s="42"/>
      <c r="AE1488" s="42"/>
      <c r="AF1488" s="9"/>
      <c r="AG1488" s="9"/>
      <c r="AH1488" s="42"/>
      <c r="AI1488" s="42"/>
      <c r="AJ1488" s="42"/>
      <c r="AK1488" s="42"/>
      <c r="AL1488" s="42"/>
      <c r="AM1488" s="42"/>
      <c r="AN1488" s="42"/>
      <c r="AO1488" s="63" t="str">
        <f>IFERROR(__xludf.DUMMYFUNCTION("IF(ISBLANK(A1488),,IF(ISBLANK(S1488), A1488&amp;"";"", TEXTJOIN(CHAR(10), TRUE, A1488&amp;"";"", ARRAYFORMULA(VLOOKUP(SPLIT(S1488, "";"" &amp; CHAR(10)), $A:$AO, 41, FALSE)))))"),"A32mc-2;")</f>
        <v>A32mc-2;</v>
      </c>
      <c r="AP1488" s="89"/>
    </row>
    <row r="1489">
      <c r="A1489" s="151" t="str">
        <f>IFERROR(__xludf.DUMMYFUNCTION("""COMPUTED_VALUE"""),"A32mc-3")</f>
        <v>A32mc-3</v>
      </c>
      <c r="B1489" s="42" t="str">
        <f>IFERROR(__xludf.DUMMYFUNCTION("""COMPUTED_VALUE"""),"DHBA")</f>
        <v>DHBA</v>
      </c>
      <c r="C1489" s="42" t="str">
        <f>IFERROR(__xludf.DUMMYFUNCTION("""COMPUTED_VALUE"""),"layer III of area 32mc")</f>
        <v>layer III of area 32mc</v>
      </c>
      <c r="D1489" s="42">
        <f>IFERROR(__xludf.DUMMYFUNCTION("""COMPUTED_VALUE"""),1407.0)</f>
        <v>1407</v>
      </c>
      <c r="E1489" s="39" t="str">
        <f>IFERROR(__xludf.DUMMYFUNCTION("""COMPUTED_VALUE"""),"layer III of area 32mc")</f>
        <v>layer III of area 32mc</v>
      </c>
      <c r="F1489" s="9" t="str">
        <f>IFERROR(__xludf.DUMMYFUNCTION("""COMPUTED_VALUE"""),"Br")</f>
        <v>Br</v>
      </c>
      <c r="G1489" s="9" t="str">
        <f>IFERROR(__xludf.DUMMYFUNCTION("""COMPUTED_VALUE"""),"F")</f>
        <v>F</v>
      </c>
      <c r="H1489" s="9" t="str">
        <f>IFERROR(__xludf.DUMMYFUNCTION("""COMPUTED_VALUE"""),"FGM")</f>
        <v>FGM</v>
      </c>
      <c r="I1489" s="9" t="str">
        <f>IFERROR(__xludf.DUMMYFUNCTION("""COMPUTED_VALUE"""),"Tel")</f>
        <v>Tel</v>
      </c>
      <c r="J1489" s="9" t="str">
        <f>IFERROR(__xludf.DUMMYFUNCTION("""COMPUTED_VALUE"""),"Cx")</f>
        <v>Cx</v>
      </c>
      <c r="K1489" s="9" t="str">
        <f>IFERROR(__xludf.DUMMYFUNCTION("""COMPUTED_VALUE"""),"NCx")</f>
        <v>NCx</v>
      </c>
      <c r="L1489" s="9" t="str">
        <f>IFERROR(__xludf.DUMMYFUNCTION("""COMPUTED_VALUE"""),"CCx")</f>
        <v>CCx</v>
      </c>
      <c r="M1489" s="9" t="str">
        <f>IFERROR(__xludf.DUMMYFUNCTION("""COMPUTED_VALUE"""),"MCC")</f>
        <v>MCC</v>
      </c>
      <c r="N1489" s="9" t="str">
        <f>IFERROR(__xludf.DUMMYFUNCTION("""COMPUTED_VALUE"""),"A32mc")</f>
        <v>A32mc</v>
      </c>
      <c r="O1489" s="9" t="str">
        <f>IFERROR(__xludf.DUMMYFUNCTION("""COMPUTED_VALUE"""),"A32mc-3")</f>
        <v>A32mc-3</v>
      </c>
      <c r="P1489" s="9"/>
      <c r="Q1489" s="9"/>
      <c r="R1489" s="9"/>
      <c r="S1489" s="42"/>
      <c r="T1489" s="42"/>
      <c r="U1489" s="42"/>
      <c r="V1489" s="42"/>
      <c r="W1489" s="42"/>
      <c r="X1489" s="42"/>
      <c r="Y1489" s="42"/>
      <c r="Z1489" s="42"/>
      <c r="AA1489" s="42"/>
      <c r="AB1489" s="42" t="str">
        <f>IFERROR(__xludf.DUMMYFUNCTION("""COMPUTED_VALUE"""),"allen institute")</f>
        <v>allen institute</v>
      </c>
      <c r="AC1489" s="42" t="str">
        <f>IFERROR(__xludf.DUMMYFUNCTION("""COMPUTED_VALUE"""),"DHBA")</f>
        <v>DHBA</v>
      </c>
      <c r="AD1489" s="42"/>
      <c r="AE1489" s="42"/>
      <c r="AF1489" s="9"/>
      <c r="AG1489" s="9"/>
      <c r="AH1489" s="42"/>
      <c r="AI1489" s="42"/>
      <c r="AJ1489" s="42"/>
      <c r="AK1489" s="42"/>
      <c r="AL1489" s="42"/>
      <c r="AM1489" s="42"/>
      <c r="AN1489" s="42"/>
      <c r="AO1489" s="63" t="str">
        <f>IFERROR(__xludf.DUMMYFUNCTION("IF(ISBLANK(A1489),,IF(ISBLANK(S1489), A1489&amp;"";"", TEXTJOIN(CHAR(10), TRUE, A1489&amp;"";"", ARRAYFORMULA(VLOOKUP(SPLIT(S1489, "";"" &amp; CHAR(10)), $A:$AO, 41, FALSE)))))"),"A32mc-3;")</f>
        <v>A32mc-3;</v>
      </c>
      <c r="AP1489" s="89"/>
    </row>
    <row r="1490">
      <c r="A1490" s="151" t="str">
        <f>IFERROR(__xludf.DUMMYFUNCTION("""COMPUTED_VALUE"""),"A32mc-4")</f>
        <v>A32mc-4</v>
      </c>
      <c r="B1490" s="42" t="str">
        <f>IFERROR(__xludf.DUMMYFUNCTION("""COMPUTED_VALUE"""),"DHBA")</f>
        <v>DHBA</v>
      </c>
      <c r="C1490" s="42" t="str">
        <f>IFERROR(__xludf.DUMMYFUNCTION("""COMPUTED_VALUE"""),"layer IV of area 32mc")</f>
        <v>layer IV of area 32mc</v>
      </c>
      <c r="D1490" s="42">
        <f>IFERROR(__xludf.DUMMYFUNCTION("""COMPUTED_VALUE"""),1408.0)</f>
        <v>1408</v>
      </c>
      <c r="E1490" s="39" t="str">
        <f>IFERROR(__xludf.DUMMYFUNCTION("""COMPUTED_VALUE"""),"layer IV of area 32mc")</f>
        <v>layer IV of area 32mc</v>
      </c>
      <c r="F1490" s="9" t="str">
        <f>IFERROR(__xludf.DUMMYFUNCTION("""COMPUTED_VALUE"""),"Br")</f>
        <v>Br</v>
      </c>
      <c r="G1490" s="9" t="str">
        <f>IFERROR(__xludf.DUMMYFUNCTION("""COMPUTED_VALUE"""),"F")</f>
        <v>F</v>
      </c>
      <c r="H1490" s="9" t="str">
        <f>IFERROR(__xludf.DUMMYFUNCTION("""COMPUTED_VALUE"""),"FGM")</f>
        <v>FGM</v>
      </c>
      <c r="I1490" s="9" t="str">
        <f>IFERROR(__xludf.DUMMYFUNCTION("""COMPUTED_VALUE"""),"Tel")</f>
        <v>Tel</v>
      </c>
      <c r="J1490" s="9" t="str">
        <f>IFERROR(__xludf.DUMMYFUNCTION("""COMPUTED_VALUE"""),"Cx")</f>
        <v>Cx</v>
      </c>
      <c r="K1490" s="9" t="str">
        <f>IFERROR(__xludf.DUMMYFUNCTION("""COMPUTED_VALUE"""),"NCx")</f>
        <v>NCx</v>
      </c>
      <c r="L1490" s="9" t="str">
        <f>IFERROR(__xludf.DUMMYFUNCTION("""COMPUTED_VALUE"""),"CCx")</f>
        <v>CCx</v>
      </c>
      <c r="M1490" s="9" t="str">
        <f>IFERROR(__xludf.DUMMYFUNCTION("""COMPUTED_VALUE"""),"MCC")</f>
        <v>MCC</v>
      </c>
      <c r="N1490" s="9" t="str">
        <f>IFERROR(__xludf.DUMMYFUNCTION("""COMPUTED_VALUE"""),"A32mc")</f>
        <v>A32mc</v>
      </c>
      <c r="O1490" s="9" t="str">
        <f>IFERROR(__xludf.DUMMYFUNCTION("""COMPUTED_VALUE"""),"A32mc-4")</f>
        <v>A32mc-4</v>
      </c>
      <c r="P1490" s="9"/>
      <c r="Q1490" s="9"/>
      <c r="R1490" s="9"/>
      <c r="S1490" s="42"/>
      <c r="T1490" s="42"/>
      <c r="U1490" s="42"/>
      <c r="V1490" s="42"/>
      <c r="W1490" s="42"/>
      <c r="X1490" s="42"/>
      <c r="Y1490" s="42"/>
      <c r="Z1490" s="42"/>
      <c r="AA1490" s="42"/>
      <c r="AB1490" s="42" t="str">
        <f>IFERROR(__xludf.DUMMYFUNCTION("""COMPUTED_VALUE"""),"allen institute")</f>
        <v>allen institute</v>
      </c>
      <c r="AC1490" s="42" t="str">
        <f>IFERROR(__xludf.DUMMYFUNCTION("""COMPUTED_VALUE"""),"DHBA")</f>
        <v>DHBA</v>
      </c>
      <c r="AD1490" s="42"/>
      <c r="AE1490" s="42"/>
      <c r="AF1490" s="9"/>
      <c r="AG1490" s="9"/>
      <c r="AH1490" s="42"/>
      <c r="AI1490" s="42"/>
      <c r="AJ1490" s="42"/>
      <c r="AK1490" s="42"/>
      <c r="AL1490" s="42"/>
      <c r="AM1490" s="42"/>
      <c r="AN1490" s="42"/>
      <c r="AO1490" s="63" t="str">
        <f>IFERROR(__xludf.DUMMYFUNCTION("IF(ISBLANK(A1490),,IF(ISBLANK(S1490), A1490&amp;"";"", TEXTJOIN(CHAR(10), TRUE, A1490&amp;"";"", ARRAYFORMULA(VLOOKUP(SPLIT(S1490, "";"" &amp; CHAR(10)), $A:$AO, 41, FALSE)))))"),"A32mc-4;")</f>
        <v>A32mc-4;</v>
      </c>
      <c r="AP1490" s="89"/>
    </row>
    <row r="1491">
      <c r="A1491" s="151" t="str">
        <f>IFERROR(__xludf.DUMMYFUNCTION("""COMPUTED_VALUE"""),"A32mc-5")</f>
        <v>A32mc-5</v>
      </c>
      <c r="B1491" s="42" t="str">
        <f>IFERROR(__xludf.DUMMYFUNCTION("""COMPUTED_VALUE"""),"DHBA")</f>
        <v>DHBA</v>
      </c>
      <c r="C1491" s="42" t="str">
        <f>IFERROR(__xludf.DUMMYFUNCTION("""COMPUTED_VALUE"""),"layer V of area 32mc")</f>
        <v>layer V of area 32mc</v>
      </c>
      <c r="D1491" s="42">
        <f>IFERROR(__xludf.DUMMYFUNCTION("""COMPUTED_VALUE"""),1409.0)</f>
        <v>1409</v>
      </c>
      <c r="E1491" s="39" t="str">
        <f>IFERROR(__xludf.DUMMYFUNCTION("""COMPUTED_VALUE"""),"layer V of area 32mc")</f>
        <v>layer V of area 32mc</v>
      </c>
      <c r="F1491" s="9" t="str">
        <f>IFERROR(__xludf.DUMMYFUNCTION("""COMPUTED_VALUE"""),"Br")</f>
        <v>Br</v>
      </c>
      <c r="G1491" s="9" t="str">
        <f>IFERROR(__xludf.DUMMYFUNCTION("""COMPUTED_VALUE"""),"F")</f>
        <v>F</v>
      </c>
      <c r="H1491" s="9" t="str">
        <f>IFERROR(__xludf.DUMMYFUNCTION("""COMPUTED_VALUE"""),"FGM")</f>
        <v>FGM</v>
      </c>
      <c r="I1491" s="9" t="str">
        <f>IFERROR(__xludf.DUMMYFUNCTION("""COMPUTED_VALUE"""),"Tel")</f>
        <v>Tel</v>
      </c>
      <c r="J1491" s="9" t="str">
        <f>IFERROR(__xludf.DUMMYFUNCTION("""COMPUTED_VALUE"""),"Cx")</f>
        <v>Cx</v>
      </c>
      <c r="K1491" s="9" t="str">
        <f>IFERROR(__xludf.DUMMYFUNCTION("""COMPUTED_VALUE"""),"NCx")</f>
        <v>NCx</v>
      </c>
      <c r="L1491" s="9" t="str">
        <f>IFERROR(__xludf.DUMMYFUNCTION("""COMPUTED_VALUE"""),"CCx")</f>
        <v>CCx</v>
      </c>
      <c r="M1491" s="9" t="str">
        <f>IFERROR(__xludf.DUMMYFUNCTION("""COMPUTED_VALUE"""),"MCC")</f>
        <v>MCC</v>
      </c>
      <c r="N1491" s="9" t="str">
        <f>IFERROR(__xludf.DUMMYFUNCTION("""COMPUTED_VALUE"""),"A32mc")</f>
        <v>A32mc</v>
      </c>
      <c r="O1491" s="9" t="str">
        <f>IFERROR(__xludf.DUMMYFUNCTION("""COMPUTED_VALUE"""),"A32mc-5")</f>
        <v>A32mc-5</v>
      </c>
      <c r="P1491" s="9"/>
      <c r="Q1491" s="9"/>
      <c r="R1491" s="9"/>
      <c r="S1491" s="42"/>
      <c r="T1491" s="42"/>
      <c r="U1491" s="42"/>
      <c r="V1491" s="42"/>
      <c r="W1491" s="42"/>
      <c r="X1491" s="42"/>
      <c r="Y1491" s="42"/>
      <c r="Z1491" s="42"/>
      <c r="AA1491" s="42"/>
      <c r="AB1491" s="42" t="str">
        <f>IFERROR(__xludf.DUMMYFUNCTION("""COMPUTED_VALUE"""),"allen institute")</f>
        <v>allen institute</v>
      </c>
      <c r="AC1491" s="42" t="str">
        <f>IFERROR(__xludf.DUMMYFUNCTION("""COMPUTED_VALUE"""),"DHBA")</f>
        <v>DHBA</v>
      </c>
      <c r="AD1491" s="42"/>
      <c r="AE1491" s="42"/>
      <c r="AF1491" s="9"/>
      <c r="AG1491" s="9"/>
      <c r="AH1491" s="42"/>
      <c r="AI1491" s="42"/>
      <c r="AJ1491" s="42"/>
      <c r="AK1491" s="42"/>
      <c r="AL1491" s="42"/>
      <c r="AM1491" s="42"/>
      <c r="AN1491" s="42"/>
      <c r="AO1491" s="63" t="str">
        <f>IFERROR(__xludf.DUMMYFUNCTION("IF(ISBLANK(A1491),,IF(ISBLANK(S1491), A1491&amp;"";"", TEXTJOIN(CHAR(10), TRUE, A1491&amp;"";"", ARRAYFORMULA(VLOOKUP(SPLIT(S1491, "";"" &amp; CHAR(10)), $A:$AO, 41, FALSE)))))"),"A32mc-5;")</f>
        <v>A32mc-5;</v>
      </c>
      <c r="AP1491" s="89"/>
    </row>
    <row r="1492">
      <c r="A1492" s="151" t="str">
        <f>IFERROR(__xludf.DUMMYFUNCTION("""COMPUTED_VALUE"""),"A32mc-6")</f>
        <v>A32mc-6</v>
      </c>
      <c r="B1492" s="42" t="str">
        <f>IFERROR(__xludf.DUMMYFUNCTION("""COMPUTED_VALUE"""),"DHBA")</f>
        <v>DHBA</v>
      </c>
      <c r="C1492" s="42" t="str">
        <f>IFERROR(__xludf.DUMMYFUNCTION("""COMPUTED_VALUE"""),"layer VI of area 32mc")</f>
        <v>layer VI of area 32mc</v>
      </c>
      <c r="D1492" s="42">
        <f>IFERROR(__xludf.DUMMYFUNCTION("""COMPUTED_VALUE"""),1410.0)</f>
        <v>1410</v>
      </c>
      <c r="E1492" s="39" t="str">
        <f>IFERROR(__xludf.DUMMYFUNCTION("""COMPUTED_VALUE"""),"layer VI of area 32mc")</f>
        <v>layer VI of area 32mc</v>
      </c>
      <c r="F1492" s="9" t="str">
        <f>IFERROR(__xludf.DUMMYFUNCTION("""COMPUTED_VALUE"""),"Br")</f>
        <v>Br</v>
      </c>
      <c r="G1492" s="9" t="str">
        <f>IFERROR(__xludf.DUMMYFUNCTION("""COMPUTED_VALUE"""),"F")</f>
        <v>F</v>
      </c>
      <c r="H1492" s="9" t="str">
        <f>IFERROR(__xludf.DUMMYFUNCTION("""COMPUTED_VALUE"""),"FGM")</f>
        <v>FGM</v>
      </c>
      <c r="I1492" s="9" t="str">
        <f>IFERROR(__xludf.DUMMYFUNCTION("""COMPUTED_VALUE"""),"Tel")</f>
        <v>Tel</v>
      </c>
      <c r="J1492" s="9" t="str">
        <f>IFERROR(__xludf.DUMMYFUNCTION("""COMPUTED_VALUE"""),"Cx")</f>
        <v>Cx</v>
      </c>
      <c r="K1492" s="9" t="str">
        <f>IFERROR(__xludf.DUMMYFUNCTION("""COMPUTED_VALUE"""),"NCx")</f>
        <v>NCx</v>
      </c>
      <c r="L1492" s="9" t="str">
        <f>IFERROR(__xludf.DUMMYFUNCTION("""COMPUTED_VALUE"""),"CCx")</f>
        <v>CCx</v>
      </c>
      <c r="M1492" s="9" t="str">
        <f>IFERROR(__xludf.DUMMYFUNCTION("""COMPUTED_VALUE"""),"MCC")</f>
        <v>MCC</v>
      </c>
      <c r="N1492" s="9" t="str">
        <f>IFERROR(__xludf.DUMMYFUNCTION("""COMPUTED_VALUE"""),"A32mc")</f>
        <v>A32mc</v>
      </c>
      <c r="O1492" s="9" t="str">
        <f>IFERROR(__xludf.DUMMYFUNCTION("""COMPUTED_VALUE"""),"A32mc-6")</f>
        <v>A32mc-6</v>
      </c>
      <c r="P1492" s="9"/>
      <c r="Q1492" s="9"/>
      <c r="R1492" s="9"/>
      <c r="S1492" s="42"/>
      <c r="T1492" s="42"/>
      <c r="U1492" s="42"/>
      <c r="V1492" s="42"/>
      <c r="W1492" s="42"/>
      <c r="X1492" s="42"/>
      <c r="Y1492" s="42"/>
      <c r="Z1492" s="42"/>
      <c r="AA1492" s="42"/>
      <c r="AB1492" s="42" t="str">
        <f>IFERROR(__xludf.DUMMYFUNCTION("""COMPUTED_VALUE"""),"allen institute")</f>
        <v>allen institute</v>
      </c>
      <c r="AC1492" s="42" t="str">
        <f>IFERROR(__xludf.DUMMYFUNCTION("""COMPUTED_VALUE"""),"DHBA")</f>
        <v>DHBA</v>
      </c>
      <c r="AD1492" s="42"/>
      <c r="AE1492" s="42"/>
      <c r="AF1492" s="9"/>
      <c r="AG1492" s="9"/>
      <c r="AH1492" s="42"/>
      <c r="AI1492" s="42"/>
      <c r="AJ1492" s="42"/>
      <c r="AK1492" s="42"/>
      <c r="AL1492" s="42"/>
      <c r="AM1492" s="42"/>
      <c r="AN1492" s="42"/>
      <c r="AO1492" s="63" t="str">
        <f>IFERROR(__xludf.DUMMYFUNCTION("IF(ISBLANK(A1492),,IF(ISBLANK(S1492), A1492&amp;"";"", TEXTJOIN(CHAR(10), TRUE, A1492&amp;"";"", ARRAYFORMULA(VLOOKUP(SPLIT(S1492, "";"" &amp; CHAR(10)), $A:$AO, 41, FALSE)))))"),"A32mc-6;")</f>
        <v>A32mc-6;</v>
      </c>
      <c r="AP1492" s="89"/>
    </row>
    <row r="1493">
      <c r="A1493" s="151" t="str">
        <f>IFERROR(__xludf.DUMMYFUNCTION("""COMPUTED_VALUE"""),"PCC")</f>
        <v>PCC</v>
      </c>
      <c r="B1493" s="42" t="str">
        <f>IFERROR(__xludf.DUMMYFUNCTION("""COMPUTED_VALUE"""),"DHBA")</f>
        <v>DHBA</v>
      </c>
      <c r="C1493" s="42" t="str">
        <f>IFERROR(__xludf.DUMMYFUNCTION("""COMPUTED_VALUE"""),"posterior cingulate cortex")</f>
        <v>posterior cingulate cortex</v>
      </c>
      <c r="D1493" s="42">
        <f>IFERROR(__xludf.DUMMYFUNCTION("""COMPUTED_VALUE"""),1411.0)</f>
        <v>1411</v>
      </c>
      <c r="E1493" s="39" t="str">
        <f>IFERROR(__xludf.DUMMYFUNCTION("""COMPUTED_VALUE"""),"posterior (caudal) cingulate cortex")</f>
        <v>posterior (caudal) cingulate cortex</v>
      </c>
      <c r="F1493" s="9" t="str">
        <f>IFERROR(__xludf.DUMMYFUNCTION("""COMPUTED_VALUE"""),"Br")</f>
        <v>Br</v>
      </c>
      <c r="G1493" s="9" t="str">
        <f>IFERROR(__xludf.DUMMYFUNCTION("""COMPUTED_VALUE"""),"F")</f>
        <v>F</v>
      </c>
      <c r="H1493" s="9" t="str">
        <f>IFERROR(__xludf.DUMMYFUNCTION("""COMPUTED_VALUE"""),"FGM")</f>
        <v>FGM</v>
      </c>
      <c r="I1493" s="9" t="str">
        <f>IFERROR(__xludf.DUMMYFUNCTION("""COMPUTED_VALUE"""),"Tel")</f>
        <v>Tel</v>
      </c>
      <c r="J1493" s="9" t="str">
        <f>IFERROR(__xludf.DUMMYFUNCTION("""COMPUTED_VALUE"""),"Cx")</f>
        <v>Cx</v>
      </c>
      <c r="K1493" s="9" t="str">
        <f>IFERROR(__xludf.DUMMYFUNCTION("""COMPUTED_VALUE"""),"NCx")</f>
        <v>NCx</v>
      </c>
      <c r="L1493" s="9" t="str">
        <f>IFERROR(__xludf.DUMMYFUNCTION("""COMPUTED_VALUE"""),"CCx")</f>
        <v>CCx</v>
      </c>
      <c r="M1493" s="9" t="str">
        <f>IFERROR(__xludf.DUMMYFUNCTION("""COMPUTED_VALUE"""),"PCC")</f>
        <v>PCC</v>
      </c>
      <c r="N1493" s="9"/>
      <c r="O1493" s="9"/>
      <c r="P1493" s="9"/>
      <c r="Q1493" s="9"/>
      <c r="R1493" s="9"/>
      <c r="S1493" s="42" t="str">
        <f>IFERROR(__xludf.DUMMYFUNCTION("""COMPUTED_VALUE"""),"A23;
A31")</f>
        <v>A23;
A31</v>
      </c>
      <c r="T1493" s="42" t="str">
        <f>IFERROR(__xludf.DUMMYFUNCTION("""COMPUTED_VALUE"""),"NCx")</f>
        <v>NCx</v>
      </c>
      <c r="U1493" s="159" t="b">
        <f>IFERROR(__xludf.DUMMYFUNCTION("""COMPUTED_VALUE"""),FALSE)</f>
        <v>0</v>
      </c>
      <c r="V1493" s="42"/>
      <c r="W1493" s="42"/>
      <c r="X1493" s="42"/>
      <c r="Y1493" s="42"/>
      <c r="Z1493" s="42"/>
      <c r="AA1493" s="42"/>
      <c r="AB1493" s="42" t="str">
        <f>IFERROR(__xludf.DUMMYFUNCTION("""COMPUTED_VALUE"""),"allen institute")</f>
        <v>allen institute</v>
      </c>
      <c r="AC1493" s="42" t="str">
        <f>IFERROR(__xludf.DUMMYFUNCTION("""COMPUTED_VALUE"""),"DHBA")</f>
        <v>DHBA</v>
      </c>
      <c r="AD1493" s="42"/>
      <c r="AE1493" s="42"/>
      <c r="AF1493" s="9"/>
      <c r="AG1493" s="9"/>
      <c r="AH1493" s="42"/>
      <c r="AI1493" s="42"/>
      <c r="AJ1493" s="42"/>
      <c r="AK1493" s="42"/>
      <c r="AL1493" s="42"/>
      <c r="AM1493" s="42"/>
      <c r="AN1493" s="42"/>
      <c r="AO1493" s="63" t="str">
        <f>IFERROR(__xludf.DUMMYFUNCTION("IF(ISBLANK(A1493),,IF(ISBLANK(S1493), A1493&amp;"";"", TEXTJOIN(CHAR(10), TRUE, A1493&amp;"";"", ARRAYFORMULA(VLOOKUP(SPLIT(S1493, "";"" &amp; CHAR(10)), $A:$AO, 41, FALSE)))))"),"#N/A")</f>
        <v>#N/A</v>
      </c>
      <c r="AP1493" s="89"/>
    </row>
    <row r="1494">
      <c r="A1494" s="151" t="str">
        <f>IFERROR(__xludf.DUMMYFUNCTION("""COMPUTED_VALUE"""),"A23")</f>
        <v>A23</v>
      </c>
      <c r="B1494" s="42" t="str">
        <f>IFERROR(__xludf.DUMMYFUNCTION("""COMPUTED_VALUE"""),"DHBA")</f>
        <v>DHBA</v>
      </c>
      <c r="C1494" s="42" t="str">
        <f>IFERROR(__xludf.DUMMYFUNCTION("""COMPUTED_VALUE"""),"ventral division of PCC (area 23)")</f>
        <v>ventral division of PCC (area 23)</v>
      </c>
      <c r="D1494" s="42">
        <f>IFERROR(__xludf.DUMMYFUNCTION("""COMPUTED_VALUE"""),1412.0)</f>
        <v>1412</v>
      </c>
      <c r="E1494" s="39" t="str">
        <f>IFERROR(__xludf.DUMMYFUNCTION("""COMPUTED_VALUE"""),"ventral division of PCC (area 23)")</f>
        <v>ventral division of PCC (area 23)</v>
      </c>
      <c r="F1494" s="9" t="str">
        <f>IFERROR(__xludf.DUMMYFUNCTION("""COMPUTED_VALUE"""),"Br")</f>
        <v>Br</v>
      </c>
      <c r="G1494" s="9" t="str">
        <f>IFERROR(__xludf.DUMMYFUNCTION("""COMPUTED_VALUE"""),"F")</f>
        <v>F</v>
      </c>
      <c r="H1494" s="9" t="str">
        <f>IFERROR(__xludf.DUMMYFUNCTION("""COMPUTED_VALUE"""),"FGM")</f>
        <v>FGM</v>
      </c>
      <c r="I1494" s="9" t="str">
        <f>IFERROR(__xludf.DUMMYFUNCTION("""COMPUTED_VALUE"""),"Tel")</f>
        <v>Tel</v>
      </c>
      <c r="J1494" s="9" t="str">
        <f>IFERROR(__xludf.DUMMYFUNCTION("""COMPUTED_VALUE"""),"Cx")</f>
        <v>Cx</v>
      </c>
      <c r="K1494" s="9" t="str">
        <f>IFERROR(__xludf.DUMMYFUNCTION("""COMPUTED_VALUE"""),"NCx")</f>
        <v>NCx</v>
      </c>
      <c r="L1494" s="9" t="str">
        <f>IFERROR(__xludf.DUMMYFUNCTION("""COMPUTED_VALUE"""),"CCx")</f>
        <v>CCx</v>
      </c>
      <c r="M1494" s="9" t="str">
        <f>IFERROR(__xludf.DUMMYFUNCTION("""COMPUTED_VALUE"""),"PCC")</f>
        <v>PCC</v>
      </c>
      <c r="N1494" s="9" t="str">
        <f>IFERROR(__xludf.DUMMYFUNCTION("""COMPUTED_VALUE"""),"A23")</f>
        <v>A23</v>
      </c>
      <c r="O1494" s="9"/>
      <c r="P1494" s="9"/>
      <c r="Q1494" s="9"/>
      <c r="R1494" s="9"/>
      <c r="S1494" s="42" t="str">
        <f>IFERROR(__xludf.DUMMYFUNCTION("""COMPUTED_VALUE"""),"A23_1;
A23_2;
A23_3;
A23_4;
A23_5;
A23_6")</f>
        <v>A23_1;
A23_2;
A23_3;
A23_4;
A23_5;
A23_6</v>
      </c>
      <c r="T1494" s="42"/>
      <c r="U1494" s="159" t="b">
        <f>IFERROR(__xludf.DUMMYFUNCTION("""COMPUTED_VALUE"""),FALSE)</f>
        <v>0</v>
      </c>
      <c r="V1494" s="42"/>
      <c r="W1494" s="42"/>
      <c r="X1494" s="42"/>
      <c r="Y1494" s="42"/>
      <c r="Z1494" s="42"/>
      <c r="AA1494" s="42"/>
      <c r="AB1494" s="42" t="str">
        <f>IFERROR(__xludf.DUMMYFUNCTION("""COMPUTED_VALUE"""),"allen institute")</f>
        <v>allen institute</v>
      </c>
      <c r="AC1494" s="42" t="str">
        <f>IFERROR(__xludf.DUMMYFUNCTION("""COMPUTED_VALUE"""),"DHBA")</f>
        <v>DHBA</v>
      </c>
      <c r="AD1494" s="42"/>
      <c r="AE1494" s="42"/>
      <c r="AF1494" s="9"/>
      <c r="AG1494" s="9"/>
      <c r="AH1494" s="42"/>
      <c r="AI1494" s="42"/>
      <c r="AJ1494" s="42"/>
      <c r="AK1494" s="42"/>
      <c r="AL1494" s="42"/>
      <c r="AM1494" s="42"/>
      <c r="AN1494" s="42"/>
      <c r="AO1494" s="63" t="str">
        <f>IFERROR(__xludf.DUMMYFUNCTION("IF(ISBLANK(A1494),,IF(ISBLANK(S1494), A1494&amp;"";"", TEXTJOIN(CHAR(10), TRUE, A1494&amp;"";"", ARRAYFORMULA(VLOOKUP(SPLIT(S1494, "";"" &amp; CHAR(10)), $A:$AO, 41, FALSE)))))"),"#N/A")</f>
        <v>#N/A</v>
      </c>
      <c r="AP1494" s="89"/>
    </row>
    <row r="1495">
      <c r="A1495" s="151" t="str">
        <f>IFERROR(__xludf.DUMMYFUNCTION("""COMPUTED_VALUE"""),"A23-1")</f>
        <v>A23-1</v>
      </c>
      <c r="B1495" s="42" t="str">
        <f>IFERROR(__xludf.DUMMYFUNCTION("""COMPUTED_VALUE"""),"DHBA")</f>
        <v>DHBA</v>
      </c>
      <c r="C1495" s="42" t="str">
        <f>IFERROR(__xludf.DUMMYFUNCTION("""COMPUTED_VALUE"""),"layer I of area 23")</f>
        <v>layer I of area 23</v>
      </c>
      <c r="D1495" s="42">
        <f>IFERROR(__xludf.DUMMYFUNCTION("""COMPUTED_VALUE"""),1413.0)</f>
        <v>1413</v>
      </c>
      <c r="E1495" s="39" t="str">
        <f>IFERROR(__xludf.DUMMYFUNCTION("""COMPUTED_VALUE"""),"layer I of area 23")</f>
        <v>layer I of area 23</v>
      </c>
      <c r="F1495" s="9" t="str">
        <f>IFERROR(__xludf.DUMMYFUNCTION("""COMPUTED_VALUE"""),"Br")</f>
        <v>Br</v>
      </c>
      <c r="G1495" s="9" t="str">
        <f>IFERROR(__xludf.DUMMYFUNCTION("""COMPUTED_VALUE"""),"F")</f>
        <v>F</v>
      </c>
      <c r="H1495" s="9" t="str">
        <f>IFERROR(__xludf.DUMMYFUNCTION("""COMPUTED_VALUE"""),"FGM")</f>
        <v>FGM</v>
      </c>
      <c r="I1495" s="9" t="str">
        <f>IFERROR(__xludf.DUMMYFUNCTION("""COMPUTED_VALUE"""),"Tel")</f>
        <v>Tel</v>
      </c>
      <c r="J1495" s="9" t="str">
        <f>IFERROR(__xludf.DUMMYFUNCTION("""COMPUTED_VALUE"""),"Cx")</f>
        <v>Cx</v>
      </c>
      <c r="K1495" s="9" t="str">
        <f>IFERROR(__xludf.DUMMYFUNCTION("""COMPUTED_VALUE"""),"NCx")</f>
        <v>NCx</v>
      </c>
      <c r="L1495" s="9" t="str">
        <f>IFERROR(__xludf.DUMMYFUNCTION("""COMPUTED_VALUE"""),"CCx")</f>
        <v>CCx</v>
      </c>
      <c r="M1495" s="9" t="str">
        <f>IFERROR(__xludf.DUMMYFUNCTION("""COMPUTED_VALUE"""),"PCC")</f>
        <v>PCC</v>
      </c>
      <c r="N1495" s="9" t="str">
        <f>IFERROR(__xludf.DUMMYFUNCTION("""COMPUTED_VALUE"""),"A23")</f>
        <v>A23</v>
      </c>
      <c r="O1495" s="9" t="str">
        <f>IFERROR(__xludf.DUMMYFUNCTION("""COMPUTED_VALUE"""),"A23-1")</f>
        <v>A23-1</v>
      </c>
      <c r="P1495" s="9"/>
      <c r="Q1495" s="9"/>
      <c r="R1495" s="9"/>
      <c r="S1495" s="42"/>
      <c r="T1495" s="42"/>
      <c r="U1495" s="42"/>
      <c r="V1495" s="42"/>
      <c r="W1495" s="42"/>
      <c r="X1495" s="42"/>
      <c r="Y1495" s="42"/>
      <c r="Z1495" s="42"/>
      <c r="AA1495" s="42"/>
      <c r="AB1495" s="42" t="str">
        <f>IFERROR(__xludf.DUMMYFUNCTION("""COMPUTED_VALUE"""),"allen institute")</f>
        <v>allen institute</v>
      </c>
      <c r="AC1495" s="42" t="str">
        <f>IFERROR(__xludf.DUMMYFUNCTION("""COMPUTED_VALUE"""),"DHBA")</f>
        <v>DHBA</v>
      </c>
      <c r="AD1495" s="42"/>
      <c r="AE1495" s="42"/>
      <c r="AF1495" s="9"/>
      <c r="AG1495" s="9"/>
      <c r="AH1495" s="42"/>
      <c r="AI1495" s="42"/>
      <c r="AJ1495" s="42"/>
      <c r="AK1495" s="42"/>
      <c r="AL1495" s="42"/>
      <c r="AM1495" s="42"/>
      <c r="AN1495" s="42"/>
      <c r="AO1495" s="63" t="str">
        <f>IFERROR(__xludf.DUMMYFUNCTION("IF(ISBLANK(A1495),,IF(ISBLANK(S1495), A1495&amp;"";"", TEXTJOIN(CHAR(10), TRUE, A1495&amp;"";"", ARRAYFORMULA(VLOOKUP(SPLIT(S1495, "";"" &amp; CHAR(10)), $A:$AO, 41, FALSE)))))"),"A23-1;")</f>
        <v>A23-1;</v>
      </c>
      <c r="AP1495" s="89"/>
    </row>
    <row r="1496">
      <c r="A1496" s="151" t="str">
        <f>IFERROR(__xludf.DUMMYFUNCTION("""COMPUTED_VALUE"""),"A23-2")</f>
        <v>A23-2</v>
      </c>
      <c r="B1496" s="42" t="str">
        <f>IFERROR(__xludf.DUMMYFUNCTION("""COMPUTED_VALUE"""),"DHBA")</f>
        <v>DHBA</v>
      </c>
      <c r="C1496" s="42" t="str">
        <f>IFERROR(__xludf.DUMMYFUNCTION("""COMPUTED_VALUE"""),"layer II of area 23")</f>
        <v>layer II of area 23</v>
      </c>
      <c r="D1496" s="42">
        <f>IFERROR(__xludf.DUMMYFUNCTION("""COMPUTED_VALUE"""),1414.0)</f>
        <v>1414</v>
      </c>
      <c r="E1496" s="39" t="str">
        <f>IFERROR(__xludf.DUMMYFUNCTION("""COMPUTED_VALUE"""),"layer II of area 23")</f>
        <v>layer II of area 23</v>
      </c>
      <c r="F1496" s="9" t="str">
        <f>IFERROR(__xludf.DUMMYFUNCTION("""COMPUTED_VALUE"""),"Br")</f>
        <v>Br</v>
      </c>
      <c r="G1496" s="9" t="str">
        <f>IFERROR(__xludf.DUMMYFUNCTION("""COMPUTED_VALUE"""),"F")</f>
        <v>F</v>
      </c>
      <c r="H1496" s="9" t="str">
        <f>IFERROR(__xludf.DUMMYFUNCTION("""COMPUTED_VALUE"""),"FGM")</f>
        <v>FGM</v>
      </c>
      <c r="I1496" s="9" t="str">
        <f>IFERROR(__xludf.DUMMYFUNCTION("""COMPUTED_VALUE"""),"Tel")</f>
        <v>Tel</v>
      </c>
      <c r="J1496" s="9" t="str">
        <f>IFERROR(__xludf.DUMMYFUNCTION("""COMPUTED_VALUE"""),"Cx")</f>
        <v>Cx</v>
      </c>
      <c r="K1496" s="9" t="str">
        <f>IFERROR(__xludf.DUMMYFUNCTION("""COMPUTED_VALUE"""),"NCx")</f>
        <v>NCx</v>
      </c>
      <c r="L1496" s="9" t="str">
        <f>IFERROR(__xludf.DUMMYFUNCTION("""COMPUTED_VALUE"""),"CCx")</f>
        <v>CCx</v>
      </c>
      <c r="M1496" s="9" t="str">
        <f>IFERROR(__xludf.DUMMYFUNCTION("""COMPUTED_VALUE"""),"PCC")</f>
        <v>PCC</v>
      </c>
      <c r="N1496" s="9" t="str">
        <f>IFERROR(__xludf.DUMMYFUNCTION("""COMPUTED_VALUE"""),"A23")</f>
        <v>A23</v>
      </c>
      <c r="O1496" s="9" t="str">
        <f>IFERROR(__xludf.DUMMYFUNCTION("""COMPUTED_VALUE"""),"A23-2")</f>
        <v>A23-2</v>
      </c>
      <c r="P1496" s="9"/>
      <c r="Q1496" s="9"/>
      <c r="R1496" s="9"/>
      <c r="S1496" s="42"/>
      <c r="T1496" s="42"/>
      <c r="U1496" s="42"/>
      <c r="V1496" s="42"/>
      <c r="W1496" s="42"/>
      <c r="X1496" s="42"/>
      <c r="Y1496" s="42"/>
      <c r="Z1496" s="42"/>
      <c r="AA1496" s="42"/>
      <c r="AB1496" s="42" t="str">
        <f>IFERROR(__xludf.DUMMYFUNCTION("""COMPUTED_VALUE"""),"allen institute")</f>
        <v>allen institute</v>
      </c>
      <c r="AC1496" s="42" t="str">
        <f>IFERROR(__xludf.DUMMYFUNCTION("""COMPUTED_VALUE"""),"DHBA")</f>
        <v>DHBA</v>
      </c>
      <c r="AD1496" s="42"/>
      <c r="AE1496" s="42"/>
      <c r="AF1496" s="9"/>
      <c r="AG1496" s="9"/>
      <c r="AH1496" s="42"/>
      <c r="AI1496" s="42"/>
      <c r="AJ1496" s="42"/>
      <c r="AK1496" s="42"/>
      <c r="AL1496" s="42"/>
      <c r="AM1496" s="42"/>
      <c r="AN1496" s="42"/>
      <c r="AO1496" s="63" t="str">
        <f>IFERROR(__xludf.DUMMYFUNCTION("IF(ISBLANK(A1496),,IF(ISBLANK(S1496), A1496&amp;"";"", TEXTJOIN(CHAR(10), TRUE, A1496&amp;"";"", ARRAYFORMULA(VLOOKUP(SPLIT(S1496, "";"" &amp; CHAR(10)), $A:$AO, 41, FALSE)))))"),"A23-2;")</f>
        <v>A23-2;</v>
      </c>
      <c r="AP1496" s="89"/>
    </row>
    <row r="1497">
      <c r="A1497" s="151" t="str">
        <f>IFERROR(__xludf.DUMMYFUNCTION("""COMPUTED_VALUE"""),"A23-3")</f>
        <v>A23-3</v>
      </c>
      <c r="B1497" s="42" t="str">
        <f>IFERROR(__xludf.DUMMYFUNCTION("""COMPUTED_VALUE"""),"DHBA")</f>
        <v>DHBA</v>
      </c>
      <c r="C1497" s="42" t="str">
        <f>IFERROR(__xludf.DUMMYFUNCTION("""COMPUTED_VALUE"""),"layer III of area 23")</f>
        <v>layer III of area 23</v>
      </c>
      <c r="D1497" s="42">
        <f>IFERROR(__xludf.DUMMYFUNCTION("""COMPUTED_VALUE"""),1415.0)</f>
        <v>1415</v>
      </c>
      <c r="E1497" s="39" t="str">
        <f>IFERROR(__xludf.DUMMYFUNCTION("""COMPUTED_VALUE"""),"layer III of area 23")</f>
        <v>layer III of area 23</v>
      </c>
      <c r="F1497" s="9" t="str">
        <f>IFERROR(__xludf.DUMMYFUNCTION("""COMPUTED_VALUE"""),"Br")</f>
        <v>Br</v>
      </c>
      <c r="G1497" s="9" t="str">
        <f>IFERROR(__xludf.DUMMYFUNCTION("""COMPUTED_VALUE"""),"F")</f>
        <v>F</v>
      </c>
      <c r="H1497" s="9" t="str">
        <f>IFERROR(__xludf.DUMMYFUNCTION("""COMPUTED_VALUE"""),"FGM")</f>
        <v>FGM</v>
      </c>
      <c r="I1497" s="9" t="str">
        <f>IFERROR(__xludf.DUMMYFUNCTION("""COMPUTED_VALUE"""),"Tel")</f>
        <v>Tel</v>
      </c>
      <c r="J1497" s="9" t="str">
        <f>IFERROR(__xludf.DUMMYFUNCTION("""COMPUTED_VALUE"""),"Cx")</f>
        <v>Cx</v>
      </c>
      <c r="K1497" s="9" t="str">
        <f>IFERROR(__xludf.DUMMYFUNCTION("""COMPUTED_VALUE"""),"NCx")</f>
        <v>NCx</v>
      </c>
      <c r="L1497" s="9" t="str">
        <f>IFERROR(__xludf.DUMMYFUNCTION("""COMPUTED_VALUE"""),"CCx")</f>
        <v>CCx</v>
      </c>
      <c r="M1497" s="9" t="str">
        <f>IFERROR(__xludf.DUMMYFUNCTION("""COMPUTED_VALUE"""),"PCC")</f>
        <v>PCC</v>
      </c>
      <c r="N1497" s="9" t="str">
        <f>IFERROR(__xludf.DUMMYFUNCTION("""COMPUTED_VALUE"""),"A23")</f>
        <v>A23</v>
      </c>
      <c r="O1497" s="9" t="str">
        <f>IFERROR(__xludf.DUMMYFUNCTION("""COMPUTED_VALUE"""),"A23-3")</f>
        <v>A23-3</v>
      </c>
      <c r="P1497" s="9"/>
      <c r="Q1497" s="9"/>
      <c r="R1497" s="9"/>
      <c r="S1497" s="42"/>
      <c r="T1497" s="42"/>
      <c r="U1497" s="42"/>
      <c r="V1497" s="42"/>
      <c r="W1497" s="42"/>
      <c r="X1497" s="42"/>
      <c r="Y1497" s="42"/>
      <c r="Z1497" s="42"/>
      <c r="AA1497" s="42"/>
      <c r="AB1497" s="42" t="str">
        <f>IFERROR(__xludf.DUMMYFUNCTION("""COMPUTED_VALUE"""),"allen institute")</f>
        <v>allen institute</v>
      </c>
      <c r="AC1497" s="42" t="str">
        <f>IFERROR(__xludf.DUMMYFUNCTION("""COMPUTED_VALUE"""),"DHBA")</f>
        <v>DHBA</v>
      </c>
      <c r="AD1497" s="42"/>
      <c r="AE1497" s="42"/>
      <c r="AF1497" s="9"/>
      <c r="AG1497" s="9"/>
      <c r="AH1497" s="42"/>
      <c r="AI1497" s="42"/>
      <c r="AJ1497" s="42"/>
      <c r="AK1497" s="42"/>
      <c r="AL1497" s="42"/>
      <c r="AM1497" s="42"/>
      <c r="AN1497" s="42"/>
      <c r="AO1497" s="63" t="str">
        <f>IFERROR(__xludf.DUMMYFUNCTION("IF(ISBLANK(A1497),,IF(ISBLANK(S1497), A1497&amp;"";"", TEXTJOIN(CHAR(10), TRUE, A1497&amp;"";"", ARRAYFORMULA(VLOOKUP(SPLIT(S1497, "";"" &amp; CHAR(10)), $A:$AO, 41, FALSE)))))"),"A23-3;")</f>
        <v>A23-3;</v>
      </c>
      <c r="AP1497" s="89"/>
    </row>
    <row r="1498">
      <c r="A1498" s="151" t="str">
        <f>IFERROR(__xludf.DUMMYFUNCTION("""COMPUTED_VALUE"""),"A23-4")</f>
        <v>A23-4</v>
      </c>
      <c r="B1498" s="42" t="str">
        <f>IFERROR(__xludf.DUMMYFUNCTION("""COMPUTED_VALUE"""),"DHBA")</f>
        <v>DHBA</v>
      </c>
      <c r="C1498" s="42" t="str">
        <f>IFERROR(__xludf.DUMMYFUNCTION("""COMPUTED_VALUE"""),"layer IV of area 23")</f>
        <v>layer IV of area 23</v>
      </c>
      <c r="D1498" s="42">
        <f>IFERROR(__xludf.DUMMYFUNCTION("""COMPUTED_VALUE"""),1416.0)</f>
        <v>1416</v>
      </c>
      <c r="E1498" s="39" t="str">
        <f>IFERROR(__xludf.DUMMYFUNCTION("""COMPUTED_VALUE"""),"layer IV of area 23")</f>
        <v>layer IV of area 23</v>
      </c>
      <c r="F1498" s="9" t="str">
        <f>IFERROR(__xludf.DUMMYFUNCTION("""COMPUTED_VALUE"""),"Br")</f>
        <v>Br</v>
      </c>
      <c r="G1498" s="9" t="str">
        <f>IFERROR(__xludf.DUMMYFUNCTION("""COMPUTED_VALUE"""),"F")</f>
        <v>F</v>
      </c>
      <c r="H1498" s="9" t="str">
        <f>IFERROR(__xludf.DUMMYFUNCTION("""COMPUTED_VALUE"""),"FGM")</f>
        <v>FGM</v>
      </c>
      <c r="I1498" s="9" t="str">
        <f>IFERROR(__xludf.DUMMYFUNCTION("""COMPUTED_VALUE"""),"Tel")</f>
        <v>Tel</v>
      </c>
      <c r="J1498" s="9" t="str">
        <f>IFERROR(__xludf.DUMMYFUNCTION("""COMPUTED_VALUE"""),"Cx")</f>
        <v>Cx</v>
      </c>
      <c r="K1498" s="9" t="str">
        <f>IFERROR(__xludf.DUMMYFUNCTION("""COMPUTED_VALUE"""),"NCx")</f>
        <v>NCx</v>
      </c>
      <c r="L1498" s="9" t="str">
        <f>IFERROR(__xludf.DUMMYFUNCTION("""COMPUTED_VALUE"""),"CCx")</f>
        <v>CCx</v>
      </c>
      <c r="M1498" s="9" t="str">
        <f>IFERROR(__xludf.DUMMYFUNCTION("""COMPUTED_VALUE"""),"PCC")</f>
        <v>PCC</v>
      </c>
      <c r="N1498" s="9" t="str">
        <f>IFERROR(__xludf.DUMMYFUNCTION("""COMPUTED_VALUE"""),"A23")</f>
        <v>A23</v>
      </c>
      <c r="O1498" s="9" t="str">
        <f>IFERROR(__xludf.DUMMYFUNCTION("""COMPUTED_VALUE"""),"A23-4")</f>
        <v>A23-4</v>
      </c>
      <c r="P1498" s="9"/>
      <c r="Q1498" s="9"/>
      <c r="R1498" s="9"/>
      <c r="S1498" s="42"/>
      <c r="T1498" s="42"/>
      <c r="U1498" s="42"/>
      <c r="V1498" s="42"/>
      <c r="W1498" s="42"/>
      <c r="X1498" s="42"/>
      <c r="Y1498" s="42"/>
      <c r="Z1498" s="42"/>
      <c r="AA1498" s="42"/>
      <c r="AB1498" s="42" t="str">
        <f>IFERROR(__xludf.DUMMYFUNCTION("""COMPUTED_VALUE"""),"allen institute")</f>
        <v>allen institute</v>
      </c>
      <c r="AC1498" s="42" t="str">
        <f>IFERROR(__xludf.DUMMYFUNCTION("""COMPUTED_VALUE"""),"DHBA")</f>
        <v>DHBA</v>
      </c>
      <c r="AD1498" s="42"/>
      <c r="AE1498" s="42"/>
      <c r="AF1498" s="9"/>
      <c r="AG1498" s="9"/>
      <c r="AH1498" s="42"/>
      <c r="AI1498" s="42"/>
      <c r="AJ1498" s="42"/>
      <c r="AK1498" s="42"/>
      <c r="AL1498" s="42"/>
      <c r="AM1498" s="42"/>
      <c r="AN1498" s="42"/>
      <c r="AO1498" s="63" t="str">
        <f>IFERROR(__xludf.DUMMYFUNCTION("IF(ISBLANK(A1498),,IF(ISBLANK(S1498), A1498&amp;"";"", TEXTJOIN(CHAR(10), TRUE, A1498&amp;"";"", ARRAYFORMULA(VLOOKUP(SPLIT(S1498, "";"" &amp; CHAR(10)), $A:$AO, 41, FALSE)))))"),"A23-4;")</f>
        <v>A23-4;</v>
      </c>
      <c r="AP1498" s="89"/>
    </row>
    <row r="1499">
      <c r="A1499" s="151" t="str">
        <f>IFERROR(__xludf.DUMMYFUNCTION("""COMPUTED_VALUE"""),"A23-5")</f>
        <v>A23-5</v>
      </c>
      <c r="B1499" s="42" t="str">
        <f>IFERROR(__xludf.DUMMYFUNCTION("""COMPUTED_VALUE"""),"DHBA")</f>
        <v>DHBA</v>
      </c>
      <c r="C1499" s="42" t="str">
        <f>IFERROR(__xludf.DUMMYFUNCTION("""COMPUTED_VALUE"""),"layer V of area 23")</f>
        <v>layer V of area 23</v>
      </c>
      <c r="D1499" s="42">
        <f>IFERROR(__xludf.DUMMYFUNCTION("""COMPUTED_VALUE"""),1417.0)</f>
        <v>1417</v>
      </c>
      <c r="E1499" s="39" t="str">
        <f>IFERROR(__xludf.DUMMYFUNCTION("""COMPUTED_VALUE"""),"layer V of area 23")</f>
        <v>layer V of area 23</v>
      </c>
      <c r="F1499" s="9" t="str">
        <f>IFERROR(__xludf.DUMMYFUNCTION("""COMPUTED_VALUE"""),"Br")</f>
        <v>Br</v>
      </c>
      <c r="G1499" s="9" t="str">
        <f>IFERROR(__xludf.DUMMYFUNCTION("""COMPUTED_VALUE"""),"F")</f>
        <v>F</v>
      </c>
      <c r="H1499" s="9" t="str">
        <f>IFERROR(__xludf.DUMMYFUNCTION("""COMPUTED_VALUE"""),"FGM")</f>
        <v>FGM</v>
      </c>
      <c r="I1499" s="9" t="str">
        <f>IFERROR(__xludf.DUMMYFUNCTION("""COMPUTED_VALUE"""),"Tel")</f>
        <v>Tel</v>
      </c>
      <c r="J1499" s="9" t="str">
        <f>IFERROR(__xludf.DUMMYFUNCTION("""COMPUTED_VALUE"""),"Cx")</f>
        <v>Cx</v>
      </c>
      <c r="K1499" s="9" t="str">
        <f>IFERROR(__xludf.DUMMYFUNCTION("""COMPUTED_VALUE"""),"NCx")</f>
        <v>NCx</v>
      </c>
      <c r="L1499" s="9" t="str">
        <f>IFERROR(__xludf.DUMMYFUNCTION("""COMPUTED_VALUE"""),"CCx")</f>
        <v>CCx</v>
      </c>
      <c r="M1499" s="9" t="str">
        <f>IFERROR(__xludf.DUMMYFUNCTION("""COMPUTED_VALUE"""),"PCC")</f>
        <v>PCC</v>
      </c>
      <c r="N1499" s="9" t="str">
        <f>IFERROR(__xludf.DUMMYFUNCTION("""COMPUTED_VALUE"""),"A23")</f>
        <v>A23</v>
      </c>
      <c r="O1499" s="9" t="str">
        <f>IFERROR(__xludf.DUMMYFUNCTION("""COMPUTED_VALUE"""),"A23-5")</f>
        <v>A23-5</v>
      </c>
      <c r="P1499" s="9"/>
      <c r="Q1499" s="9"/>
      <c r="R1499" s="9"/>
      <c r="S1499" s="42"/>
      <c r="T1499" s="42"/>
      <c r="U1499" s="42"/>
      <c r="V1499" s="42"/>
      <c r="W1499" s="42"/>
      <c r="X1499" s="42"/>
      <c r="Y1499" s="42"/>
      <c r="Z1499" s="42"/>
      <c r="AA1499" s="42"/>
      <c r="AB1499" s="42" t="str">
        <f>IFERROR(__xludf.DUMMYFUNCTION("""COMPUTED_VALUE"""),"allen institute")</f>
        <v>allen institute</v>
      </c>
      <c r="AC1499" s="42" t="str">
        <f>IFERROR(__xludf.DUMMYFUNCTION("""COMPUTED_VALUE"""),"DHBA")</f>
        <v>DHBA</v>
      </c>
      <c r="AD1499" s="42"/>
      <c r="AE1499" s="42"/>
      <c r="AF1499" s="9"/>
      <c r="AG1499" s="9"/>
      <c r="AH1499" s="42"/>
      <c r="AI1499" s="42"/>
      <c r="AJ1499" s="42"/>
      <c r="AK1499" s="42"/>
      <c r="AL1499" s="42"/>
      <c r="AM1499" s="42"/>
      <c r="AN1499" s="42"/>
      <c r="AO1499" s="63" t="str">
        <f>IFERROR(__xludf.DUMMYFUNCTION("IF(ISBLANK(A1499),,IF(ISBLANK(S1499), A1499&amp;"";"", TEXTJOIN(CHAR(10), TRUE, A1499&amp;"";"", ARRAYFORMULA(VLOOKUP(SPLIT(S1499, "";"" &amp; CHAR(10)), $A:$AO, 41, FALSE)))))"),"A23-5;")</f>
        <v>A23-5;</v>
      </c>
      <c r="AP1499" s="89"/>
    </row>
    <row r="1500">
      <c r="A1500" s="151" t="str">
        <f>IFERROR(__xludf.DUMMYFUNCTION("""COMPUTED_VALUE"""),"A23-6")</f>
        <v>A23-6</v>
      </c>
      <c r="B1500" s="42" t="str">
        <f>IFERROR(__xludf.DUMMYFUNCTION("""COMPUTED_VALUE"""),"DHBA")</f>
        <v>DHBA</v>
      </c>
      <c r="C1500" s="42" t="str">
        <f>IFERROR(__xludf.DUMMYFUNCTION("""COMPUTED_VALUE"""),"layer VI of area 23")</f>
        <v>layer VI of area 23</v>
      </c>
      <c r="D1500" s="42">
        <f>IFERROR(__xludf.DUMMYFUNCTION("""COMPUTED_VALUE"""),1418.0)</f>
        <v>1418</v>
      </c>
      <c r="E1500" s="39" t="str">
        <f>IFERROR(__xludf.DUMMYFUNCTION("""COMPUTED_VALUE"""),"layer VI of area 23")</f>
        <v>layer VI of area 23</v>
      </c>
      <c r="F1500" s="9" t="str">
        <f>IFERROR(__xludf.DUMMYFUNCTION("""COMPUTED_VALUE"""),"Br")</f>
        <v>Br</v>
      </c>
      <c r="G1500" s="9" t="str">
        <f>IFERROR(__xludf.DUMMYFUNCTION("""COMPUTED_VALUE"""),"F")</f>
        <v>F</v>
      </c>
      <c r="H1500" s="9" t="str">
        <f>IFERROR(__xludf.DUMMYFUNCTION("""COMPUTED_VALUE"""),"FGM")</f>
        <v>FGM</v>
      </c>
      <c r="I1500" s="9" t="str">
        <f>IFERROR(__xludf.DUMMYFUNCTION("""COMPUTED_VALUE"""),"Tel")</f>
        <v>Tel</v>
      </c>
      <c r="J1500" s="9" t="str">
        <f>IFERROR(__xludf.DUMMYFUNCTION("""COMPUTED_VALUE"""),"Cx")</f>
        <v>Cx</v>
      </c>
      <c r="K1500" s="9" t="str">
        <f>IFERROR(__xludf.DUMMYFUNCTION("""COMPUTED_VALUE"""),"NCx")</f>
        <v>NCx</v>
      </c>
      <c r="L1500" s="9" t="str">
        <f>IFERROR(__xludf.DUMMYFUNCTION("""COMPUTED_VALUE"""),"CCx")</f>
        <v>CCx</v>
      </c>
      <c r="M1500" s="9" t="str">
        <f>IFERROR(__xludf.DUMMYFUNCTION("""COMPUTED_VALUE"""),"PCC")</f>
        <v>PCC</v>
      </c>
      <c r="N1500" s="9" t="str">
        <f>IFERROR(__xludf.DUMMYFUNCTION("""COMPUTED_VALUE"""),"A23")</f>
        <v>A23</v>
      </c>
      <c r="O1500" s="9" t="str">
        <f>IFERROR(__xludf.DUMMYFUNCTION("""COMPUTED_VALUE"""),"A23-6")</f>
        <v>A23-6</v>
      </c>
      <c r="P1500" s="9"/>
      <c r="Q1500" s="9"/>
      <c r="R1500" s="9"/>
      <c r="S1500" s="42"/>
      <c r="T1500" s="42"/>
      <c r="U1500" s="42"/>
      <c r="V1500" s="42"/>
      <c r="W1500" s="42"/>
      <c r="X1500" s="42"/>
      <c r="Y1500" s="42"/>
      <c r="Z1500" s="42"/>
      <c r="AA1500" s="42"/>
      <c r="AB1500" s="42" t="str">
        <f>IFERROR(__xludf.DUMMYFUNCTION("""COMPUTED_VALUE"""),"allen institute")</f>
        <v>allen institute</v>
      </c>
      <c r="AC1500" s="42" t="str">
        <f>IFERROR(__xludf.DUMMYFUNCTION("""COMPUTED_VALUE"""),"DHBA")</f>
        <v>DHBA</v>
      </c>
      <c r="AD1500" s="42"/>
      <c r="AE1500" s="42"/>
      <c r="AF1500" s="9"/>
      <c r="AG1500" s="9"/>
      <c r="AH1500" s="42"/>
      <c r="AI1500" s="42"/>
      <c r="AJ1500" s="42"/>
      <c r="AK1500" s="42"/>
      <c r="AL1500" s="42"/>
      <c r="AM1500" s="42"/>
      <c r="AN1500" s="42"/>
      <c r="AO1500" s="63" t="str">
        <f>IFERROR(__xludf.DUMMYFUNCTION("IF(ISBLANK(A1500),,IF(ISBLANK(S1500), A1500&amp;"";"", TEXTJOIN(CHAR(10), TRUE, A1500&amp;"";"", ARRAYFORMULA(VLOOKUP(SPLIT(S1500, "";"" &amp; CHAR(10)), $A:$AO, 41, FALSE)))))"),"A23-6;")</f>
        <v>A23-6;</v>
      </c>
      <c r="AP1500" s="89"/>
    </row>
    <row r="1501">
      <c r="A1501" s="151" t="str">
        <f>IFERROR(__xludf.DUMMYFUNCTION("""COMPUTED_VALUE"""),"A31")</f>
        <v>A31</v>
      </c>
      <c r="B1501" s="42" t="str">
        <f>IFERROR(__xludf.DUMMYFUNCTION("""COMPUTED_VALUE"""),"DHBA")</f>
        <v>DHBA</v>
      </c>
      <c r="C1501" s="42" t="str">
        <f>IFERROR(__xludf.DUMMYFUNCTION("""COMPUTED_VALUE"""),"dorsal division of PCC (area 31)")</f>
        <v>dorsal division of PCC (area 31)</v>
      </c>
      <c r="D1501" s="42">
        <f>IFERROR(__xludf.DUMMYFUNCTION("""COMPUTED_VALUE"""),1419.0)</f>
        <v>1419</v>
      </c>
      <c r="E1501" s="39" t="str">
        <f>IFERROR(__xludf.DUMMYFUNCTION("""COMPUTED_VALUE"""),"dorsal division of PCC (area 31)")</f>
        <v>dorsal division of PCC (area 31)</v>
      </c>
      <c r="F1501" s="9" t="str">
        <f>IFERROR(__xludf.DUMMYFUNCTION("""COMPUTED_VALUE"""),"Br")</f>
        <v>Br</v>
      </c>
      <c r="G1501" s="9" t="str">
        <f>IFERROR(__xludf.DUMMYFUNCTION("""COMPUTED_VALUE"""),"F")</f>
        <v>F</v>
      </c>
      <c r="H1501" s="9" t="str">
        <f>IFERROR(__xludf.DUMMYFUNCTION("""COMPUTED_VALUE"""),"FGM")</f>
        <v>FGM</v>
      </c>
      <c r="I1501" s="9" t="str">
        <f>IFERROR(__xludf.DUMMYFUNCTION("""COMPUTED_VALUE"""),"Tel")</f>
        <v>Tel</v>
      </c>
      <c r="J1501" s="9" t="str">
        <f>IFERROR(__xludf.DUMMYFUNCTION("""COMPUTED_VALUE"""),"Cx")</f>
        <v>Cx</v>
      </c>
      <c r="K1501" s="9" t="str">
        <f>IFERROR(__xludf.DUMMYFUNCTION("""COMPUTED_VALUE"""),"NCx")</f>
        <v>NCx</v>
      </c>
      <c r="L1501" s="9" t="str">
        <f>IFERROR(__xludf.DUMMYFUNCTION("""COMPUTED_VALUE"""),"CCx")</f>
        <v>CCx</v>
      </c>
      <c r="M1501" s="9" t="str">
        <f>IFERROR(__xludf.DUMMYFUNCTION("""COMPUTED_VALUE"""),"PCC")</f>
        <v>PCC</v>
      </c>
      <c r="N1501" s="9" t="str">
        <f>IFERROR(__xludf.DUMMYFUNCTION("""COMPUTED_VALUE"""),"A31")</f>
        <v>A31</v>
      </c>
      <c r="O1501" s="9"/>
      <c r="P1501" s="9"/>
      <c r="Q1501" s="9"/>
      <c r="R1501" s="9"/>
      <c r="S1501" s="42" t="str">
        <f>IFERROR(__xludf.DUMMYFUNCTION("""COMPUTED_VALUE"""),"A31_1;
A31_2;
A31_3;
A31_4;
A31_5;
A31_6")</f>
        <v>A31_1;
A31_2;
A31_3;
A31_4;
A31_5;
A31_6</v>
      </c>
      <c r="T1501" s="42"/>
      <c r="U1501" s="42" t="b">
        <f>IFERROR(__xludf.DUMMYFUNCTION("""COMPUTED_VALUE"""),FALSE)</f>
        <v>0</v>
      </c>
      <c r="V1501" s="42"/>
      <c r="W1501" s="42"/>
      <c r="X1501" s="42"/>
      <c r="Y1501" s="42"/>
      <c r="Z1501" s="42"/>
      <c r="AA1501" s="42"/>
      <c r="AB1501" s="42" t="str">
        <f>IFERROR(__xludf.DUMMYFUNCTION("""COMPUTED_VALUE"""),"allen institute")</f>
        <v>allen institute</v>
      </c>
      <c r="AC1501" s="42" t="str">
        <f>IFERROR(__xludf.DUMMYFUNCTION("""COMPUTED_VALUE"""),"DHBA")</f>
        <v>DHBA</v>
      </c>
      <c r="AD1501" s="42"/>
      <c r="AE1501" s="42"/>
      <c r="AF1501" s="9"/>
      <c r="AG1501" s="9"/>
      <c r="AH1501" s="42"/>
      <c r="AI1501" s="42"/>
      <c r="AJ1501" s="42"/>
      <c r="AK1501" s="42"/>
      <c r="AL1501" s="42"/>
      <c r="AM1501" s="42"/>
      <c r="AN1501" s="42"/>
      <c r="AO1501" s="63" t="str">
        <f>IFERROR(__xludf.DUMMYFUNCTION("IF(ISBLANK(A1501),,IF(ISBLANK(S1501), A1501&amp;"";"", TEXTJOIN(CHAR(10), TRUE, A1501&amp;"";"", ARRAYFORMULA(VLOOKUP(SPLIT(S1501, "";"" &amp; CHAR(10)), $A:$AO, 41, FALSE)))))"),"#N/A")</f>
        <v>#N/A</v>
      </c>
      <c r="AP1501" s="89"/>
    </row>
    <row r="1502">
      <c r="A1502" s="151" t="str">
        <f>IFERROR(__xludf.DUMMYFUNCTION("""COMPUTED_VALUE"""),"A31-1")</f>
        <v>A31-1</v>
      </c>
      <c r="B1502" s="42" t="str">
        <f>IFERROR(__xludf.DUMMYFUNCTION("""COMPUTED_VALUE"""),"DHBA")</f>
        <v>DHBA</v>
      </c>
      <c r="C1502" s="42" t="str">
        <f>IFERROR(__xludf.DUMMYFUNCTION("""COMPUTED_VALUE"""),"layer I of area 31")</f>
        <v>layer I of area 31</v>
      </c>
      <c r="D1502" s="42">
        <f>IFERROR(__xludf.DUMMYFUNCTION("""COMPUTED_VALUE"""),1420.0)</f>
        <v>1420</v>
      </c>
      <c r="E1502" s="39" t="str">
        <f>IFERROR(__xludf.DUMMYFUNCTION("""COMPUTED_VALUE"""),"layer I of area 31")</f>
        <v>layer I of area 31</v>
      </c>
      <c r="F1502" s="9" t="str">
        <f>IFERROR(__xludf.DUMMYFUNCTION("""COMPUTED_VALUE"""),"Br")</f>
        <v>Br</v>
      </c>
      <c r="G1502" s="9" t="str">
        <f>IFERROR(__xludf.DUMMYFUNCTION("""COMPUTED_VALUE"""),"F")</f>
        <v>F</v>
      </c>
      <c r="H1502" s="9" t="str">
        <f>IFERROR(__xludf.DUMMYFUNCTION("""COMPUTED_VALUE"""),"FGM")</f>
        <v>FGM</v>
      </c>
      <c r="I1502" s="9" t="str">
        <f>IFERROR(__xludf.DUMMYFUNCTION("""COMPUTED_VALUE"""),"Tel")</f>
        <v>Tel</v>
      </c>
      <c r="J1502" s="9" t="str">
        <f>IFERROR(__xludf.DUMMYFUNCTION("""COMPUTED_VALUE"""),"Cx")</f>
        <v>Cx</v>
      </c>
      <c r="K1502" s="9" t="str">
        <f>IFERROR(__xludf.DUMMYFUNCTION("""COMPUTED_VALUE"""),"NCx")</f>
        <v>NCx</v>
      </c>
      <c r="L1502" s="9" t="str">
        <f>IFERROR(__xludf.DUMMYFUNCTION("""COMPUTED_VALUE"""),"CCx")</f>
        <v>CCx</v>
      </c>
      <c r="M1502" s="9" t="str">
        <f>IFERROR(__xludf.DUMMYFUNCTION("""COMPUTED_VALUE"""),"PCC")</f>
        <v>PCC</v>
      </c>
      <c r="N1502" s="9" t="str">
        <f>IFERROR(__xludf.DUMMYFUNCTION("""COMPUTED_VALUE"""),"A31")</f>
        <v>A31</v>
      </c>
      <c r="O1502" s="9" t="str">
        <f>IFERROR(__xludf.DUMMYFUNCTION("""COMPUTED_VALUE"""),"A31-1")</f>
        <v>A31-1</v>
      </c>
      <c r="P1502" s="9"/>
      <c r="Q1502" s="9"/>
      <c r="R1502" s="9"/>
      <c r="S1502" s="42"/>
      <c r="T1502" s="42"/>
      <c r="U1502" s="159"/>
      <c r="V1502" s="42"/>
      <c r="W1502" s="42"/>
      <c r="X1502" s="42"/>
      <c r="Y1502" s="42"/>
      <c r="Z1502" s="42"/>
      <c r="AA1502" s="42"/>
      <c r="AB1502" s="42" t="str">
        <f>IFERROR(__xludf.DUMMYFUNCTION("""COMPUTED_VALUE"""),"allen institute")</f>
        <v>allen institute</v>
      </c>
      <c r="AC1502" s="42" t="str">
        <f>IFERROR(__xludf.DUMMYFUNCTION("""COMPUTED_VALUE"""),"DHBA")</f>
        <v>DHBA</v>
      </c>
      <c r="AD1502" s="42"/>
      <c r="AE1502" s="42"/>
      <c r="AF1502" s="9"/>
      <c r="AG1502" s="9"/>
      <c r="AH1502" s="42"/>
      <c r="AI1502" s="42"/>
      <c r="AJ1502" s="42"/>
      <c r="AK1502" s="42"/>
      <c r="AL1502" s="42"/>
      <c r="AM1502" s="42"/>
      <c r="AN1502" s="42"/>
      <c r="AO1502" s="63" t="str">
        <f>IFERROR(__xludf.DUMMYFUNCTION("IF(ISBLANK(A1502),,IF(ISBLANK(S1502), A1502&amp;"";"", TEXTJOIN(CHAR(10), TRUE, A1502&amp;"";"", ARRAYFORMULA(VLOOKUP(SPLIT(S1502, "";"" &amp; CHAR(10)), $A:$AO, 41, FALSE)))))"),"A31-1;")</f>
        <v>A31-1;</v>
      </c>
      <c r="AP1502" s="89"/>
    </row>
    <row r="1503">
      <c r="A1503" s="151" t="str">
        <f>IFERROR(__xludf.DUMMYFUNCTION("""COMPUTED_VALUE"""),"A31-2")</f>
        <v>A31-2</v>
      </c>
      <c r="B1503" s="42" t="str">
        <f>IFERROR(__xludf.DUMMYFUNCTION("""COMPUTED_VALUE"""),"DHBA")</f>
        <v>DHBA</v>
      </c>
      <c r="C1503" s="42" t="str">
        <f>IFERROR(__xludf.DUMMYFUNCTION("""COMPUTED_VALUE"""),"layer II of area 31")</f>
        <v>layer II of area 31</v>
      </c>
      <c r="D1503" s="42">
        <f>IFERROR(__xludf.DUMMYFUNCTION("""COMPUTED_VALUE"""),1421.0)</f>
        <v>1421</v>
      </c>
      <c r="E1503" s="39" t="str">
        <f>IFERROR(__xludf.DUMMYFUNCTION("""COMPUTED_VALUE"""),"layer II of area 31")</f>
        <v>layer II of area 31</v>
      </c>
      <c r="F1503" s="9" t="str">
        <f>IFERROR(__xludf.DUMMYFUNCTION("""COMPUTED_VALUE"""),"Br")</f>
        <v>Br</v>
      </c>
      <c r="G1503" s="9" t="str">
        <f>IFERROR(__xludf.DUMMYFUNCTION("""COMPUTED_VALUE"""),"F")</f>
        <v>F</v>
      </c>
      <c r="H1503" s="9" t="str">
        <f>IFERROR(__xludf.DUMMYFUNCTION("""COMPUTED_VALUE"""),"FGM")</f>
        <v>FGM</v>
      </c>
      <c r="I1503" s="9" t="str">
        <f>IFERROR(__xludf.DUMMYFUNCTION("""COMPUTED_VALUE"""),"Tel")</f>
        <v>Tel</v>
      </c>
      <c r="J1503" s="9" t="str">
        <f>IFERROR(__xludf.DUMMYFUNCTION("""COMPUTED_VALUE"""),"Cx")</f>
        <v>Cx</v>
      </c>
      <c r="K1503" s="9" t="str">
        <f>IFERROR(__xludf.DUMMYFUNCTION("""COMPUTED_VALUE"""),"NCx")</f>
        <v>NCx</v>
      </c>
      <c r="L1503" s="9" t="str">
        <f>IFERROR(__xludf.DUMMYFUNCTION("""COMPUTED_VALUE"""),"CCx")</f>
        <v>CCx</v>
      </c>
      <c r="M1503" s="9" t="str">
        <f>IFERROR(__xludf.DUMMYFUNCTION("""COMPUTED_VALUE"""),"PCC")</f>
        <v>PCC</v>
      </c>
      <c r="N1503" s="9" t="str">
        <f>IFERROR(__xludf.DUMMYFUNCTION("""COMPUTED_VALUE"""),"A31")</f>
        <v>A31</v>
      </c>
      <c r="O1503" s="9" t="str">
        <f>IFERROR(__xludf.DUMMYFUNCTION("""COMPUTED_VALUE"""),"A31-2")</f>
        <v>A31-2</v>
      </c>
      <c r="P1503" s="9"/>
      <c r="Q1503" s="9"/>
      <c r="R1503" s="9"/>
      <c r="S1503" s="42"/>
      <c r="T1503" s="42"/>
      <c r="U1503" s="159"/>
      <c r="V1503" s="42"/>
      <c r="W1503" s="42"/>
      <c r="X1503" s="42"/>
      <c r="Y1503" s="42"/>
      <c r="Z1503" s="42"/>
      <c r="AA1503" s="42"/>
      <c r="AB1503" s="42" t="str">
        <f>IFERROR(__xludf.DUMMYFUNCTION("""COMPUTED_VALUE"""),"allen institute")</f>
        <v>allen institute</v>
      </c>
      <c r="AC1503" s="42" t="str">
        <f>IFERROR(__xludf.DUMMYFUNCTION("""COMPUTED_VALUE"""),"DHBA")</f>
        <v>DHBA</v>
      </c>
      <c r="AD1503" s="42"/>
      <c r="AE1503" s="42"/>
      <c r="AF1503" s="9"/>
      <c r="AG1503" s="9"/>
      <c r="AH1503" s="42"/>
      <c r="AI1503" s="42"/>
      <c r="AJ1503" s="42"/>
      <c r="AK1503" s="42"/>
      <c r="AL1503" s="42"/>
      <c r="AM1503" s="42"/>
      <c r="AN1503" s="42"/>
      <c r="AO1503" s="63" t="str">
        <f>IFERROR(__xludf.DUMMYFUNCTION("IF(ISBLANK(A1503),,IF(ISBLANK(S1503), A1503&amp;"";"", TEXTJOIN(CHAR(10), TRUE, A1503&amp;"";"", ARRAYFORMULA(VLOOKUP(SPLIT(S1503, "";"" &amp; CHAR(10)), $A:$AO, 41, FALSE)))))"),"A31-2;")</f>
        <v>A31-2;</v>
      </c>
      <c r="AP1503" s="89"/>
    </row>
    <row r="1504">
      <c r="A1504" s="151" t="str">
        <f>IFERROR(__xludf.DUMMYFUNCTION("""COMPUTED_VALUE"""),"A31-3")</f>
        <v>A31-3</v>
      </c>
      <c r="B1504" s="42" t="str">
        <f>IFERROR(__xludf.DUMMYFUNCTION("""COMPUTED_VALUE"""),"DHBA")</f>
        <v>DHBA</v>
      </c>
      <c r="C1504" s="42" t="str">
        <f>IFERROR(__xludf.DUMMYFUNCTION("""COMPUTED_VALUE"""),"layer III of area 31")</f>
        <v>layer III of area 31</v>
      </c>
      <c r="D1504" s="42">
        <f>IFERROR(__xludf.DUMMYFUNCTION("""COMPUTED_VALUE"""),1422.0)</f>
        <v>1422</v>
      </c>
      <c r="E1504" s="39" t="str">
        <f>IFERROR(__xludf.DUMMYFUNCTION("""COMPUTED_VALUE"""),"layer III of area 31")</f>
        <v>layer III of area 31</v>
      </c>
      <c r="F1504" s="9" t="str">
        <f>IFERROR(__xludf.DUMMYFUNCTION("""COMPUTED_VALUE"""),"Br")</f>
        <v>Br</v>
      </c>
      <c r="G1504" s="9" t="str">
        <f>IFERROR(__xludf.DUMMYFUNCTION("""COMPUTED_VALUE"""),"F")</f>
        <v>F</v>
      </c>
      <c r="H1504" s="9" t="str">
        <f>IFERROR(__xludf.DUMMYFUNCTION("""COMPUTED_VALUE"""),"FGM")</f>
        <v>FGM</v>
      </c>
      <c r="I1504" s="9" t="str">
        <f>IFERROR(__xludf.DUMMYFUNCTION("""COMPUTED_VALUE"""),"Tel")</f>
        <v>Tel</v>
      </c>
      <c r="J1504" s="9" t="str">
        <f>IFERROR(__xludf.DUMMYFUNCTION("""COMPUTED_VALUE"""),"Cx")</f>
        <v>Cx</v>
      </c>
      <c r="K1504" s="9" t="str">
        <f>IFERROR(__xludf.DUMMYFUNCTION("""COMPUTED_VALUE"""),"NCx")</f>
        <v>NCx</v>
      </c>
      <c r="L1504" s="9" t="str">
        <f>IFERROR(__xludf.DUMMYFUNCTION("""COMPUTED_VALUE"""),"CCx")</f>
        <v>CCx</v>
      </c>
      <c r="M1504" s="9" t="str">
        <f>IFERROR(__xludf.DUMMYFUNCTION("""COMPUTED_VALUE"""),"PCC")</f>
        <v>PCC</v>
      </c>
      <c r="N1504" s="9" t="str">
        <f>IFERROR(__xludf.DUMMYFUNCTION("""COMPUTED_VALUE"""),"A31")</f>
        <v>A31</v>
      </c>
      <c r="O1504" s="9" t="str">
        <f>IFERROR(__xludf.DUMMYFUNCTION("""COMPUTED_VALUE"""),"A31-3")</f>
        <v>A31-3</v>
      </c>
      <c r="P1504" s="9"/>
      <c r="Q1504" s="9"/>
      <c r="R1504" s="9"/>
      <c r="S1504" s="42"/>
      <c r="T1504" s="42"/>
      <c r="U1504" s="159"/>
      <c r="V1504" s="42"/>
      <c r="W1504" s="42"/>
      <c r="X1504" s="42"/>
      <c r="Y1504" s="42"/>
      <c r="Z1504" s="42"/>
      <c r="AA1504" s="42"/>
      <c r="AB1504" s="42" t="str">
        <f>IFERROR(__xludf.DUMMYFUNCTION("""COMPUTED_VALUE"""),"allen institute")</f>
        <v>allen institute</v>
      </c>
      <c r="AC1504" s="42" t="str">
        <f>IFERROR(__xludf.DUMMYFUNCTION("""COMPUTED_VALUE"""),"DHBA")</f>
        <v>DHBA</v>
      </c>
      <c r="AD1504" s="42"/>
      <c r="AE1504" s="42"/>
      <c r="AF1504" s="9"/>
      <c r="AG1504" s="9"/>
      <c r="AH1504" s="42"/>
      <c r="AI1504" s="42"/>
      <c r="AJ1504" s="42"/>
      <c r="AK1504" s="42"/>
      <c r="AL1504" s="42"/>
      <c r="AM1504" s="42"/>
      <c r="AN1504" s="42"/>
      <c r="AO1504" s="63" t="str">
        <f>IFERROR(__xludf.DUMMYFUNCTION("IF(ISBLANK(A1504),,IF(ISBLANK(S1504), A1504&amp;"";"", TEXTJOIN(CHAR(10), TRUE, A1504&amp;"";"", ARRAYFORMULA(VLOOKUP(SPLIT(S1504, "";"" &amp; CHAR(10)), $A:$AO, 41, FALSE)))))"),"A31-3;")</f>
        <v>A31-3;</v>
      </c>
      <c r="AP1504" s="89"/>
    </row>
    <row r="1505">
      <c r="A1505" s="151" t="str">
        <f>IFERROR(__xludf.DUMMYFUNCTION("""COMPUTED_VALUE"""),"A31-4")</f>
        <v>A31-4</v>
      </c>
      <c r="B1505" s="42" t="str">
        <f>IFERROR(__xludf.DUMMYFUNCTION("""COMPUTED_VALUE"""),"DHBA")</f>
        <v>DHBA</v>
      </c>
      <c r="C1505" s="42" t="str">
        <f>IFERROR(__xludf.DUMMYFUNCTION("""COMPUTED_VALUE"""),"layer IV of area 31")</f>
        <v>layer IV of area 31</v>
      </c>
      <c r="D1505" s="42">
        <f>IFERROR(__xludf.DUMMYFUNCTION("""COMPUTED_VALUE"""),1423.0)</f>
        <v>1423</v>
      </c>
      <c r="E1505" s="39" t="str">
        <f>IFERROR(__xludf.DUMMYFUNCTION("""COMPUTED_VALUE"""),"layer IV of area 31")</f>
        <v>layer IV of area 31</v>
      </c>
      <c r="F1505" s="9" t="str">
        <f>IFERROR(__xludf.DUMMYFUNCTION("""COMPUTED_VALUE"""),"Br")</f>
        <v>Br</v>
      </c>
      <c r="G1505" s="9" t="str">
        <f>IFERROR(__xludf.DUMMYFUNCTION("""COMPUTED_VALUE"""),"F")</f>
        <v>F</v>
      </c>
      <c r="H1505" s="9" t="str">
        <f>IFERROR(__xludf.DUMMYFUNCTION("""COMPUTED_VALUE"""),"FGM")</f>
        <v>FGM</v>
      </c>
      <c r="I1505" s="9" t="str">
        <f>IFERROR(__xludf.DUMMYFUNCTION("""COMPUTED_VALUE"""),"Tel")</f>
        <v>Tel</v>
      </c>
      <c r="J1505" s="9" t="str">
        <f>IFERROR(__xludf.DUMMYFUNCTION("""COMPUTED_VALUE"""),"Cx")</f>
        <v>Cx</v>
      </c>
      <c r="K1505" s="9" t="str">
        <f>IFERROR(__xludf.DUMMYFUNCTION("""COMPUTED_VALUE"""),"NCx")</f>
        <v>NCx</v>
      </c>
      <c r="L1505" s="9" t="str">
        <f>IFERROR(__xludf.DUMMYFUNCTION("""COMPUTED_VALUE"""),"CCx")</f>
        <v>CCx</v>
      </c>
      <c r="M1505" s="9" t="str">
        <f>IFERROR(__xludf.DUMMYFUNCTION("""COMPUTED_VALUE"""),"PCC")</f>
        <v>PCC</v>
      </c>
      <c r="N1505" s="9" t="str">
        <f>IFERROR(__xludf.DUMMYFUNCTION("""COMPUTED_VALUE"""),"A31")</f>
        <v>A31</v>
      </c>
      <c r="O1505" s="9" t="str">
        <f>IFERROR(__xludf.DUMMYFUNCTION("""COMPUTED_VALUE"""),"A31-4")</f>
        <v>A31-4</v>
      </c>
      <c r="P1505" s="9"/>
      <c r="Q1505" s="9"/>
      <c r="R1505" s="9"/>
      <c r="S1505" s="42"/>
      <c r="T1505" s="42"/>
      <c r="U1505" s="42"/>
      <c r="V1505" s="42"/>
      <c r="W1505" s="42"/>
      <c r="X1505" s="42"/>
      <c r="Y1505" s="42"/>
      <c r="Z1505" s="42"/>
      <c r="AA1505" s="42"/>
      <c r="AB1505" s="42" t="str">
        <f>IFERROR(__xludf.DUMMYFUNCTION("""COMPUTED_VALUE"""),"allen institute")</f>
        <v>allen institute</v>
      </c>
      <c r="AC1505" s="42" t="str">
        <f>IFERROR(__xludf.DUMMYFUNCTION("""COMPUTED_VALUE"""),"DHBA")</f>
        <v>DHBA</v>
      </c>
      <c r="AD1505" s="42"/>
      <c r="AE1505" s="42"/>
      <c r="AF1505" s="9"/>
      <c r="AG1505" s="9"/>
      <c r="AH1505" s="42"/>
      <c r="AI1505" s="42"/>
      <c r="AJ1505" s="42"/>
      <c r="AK1505" s="42"/>
      <c r="AL1505" s="42"/>
      <c r="AM1505" s="42"/>
      <c r="AN1505" s="42"/>
      <c r="AO1505" s="63" t="str">
        <f>IFERROR(__xludf.DUMMYFUNCTION("IF(ISBLANK(A1505),,IF(ISBLANK(S1505), A1505&amp;"";"", TEXTJOIN(CHAR(10), TRUE, A1505&amp;"";"", ARRAYFORMULA(VLOOKUP(SPLIT(S1505, "";"" &amp; CHAR(10)), $A:$AO, 41, FALSE)))))"),"A31-4;")</f>
        <v>A31-4;</v>
      </c>
      <c r="AP1505" s="89"/>
    </row>
    <row r="1506">
      <c r="A1506" s="151" t="str">
        <f>IFERROR(__xludf.DUMMYFUNCTION("""COMPUTED_VALUE"""),"A31-5")</f>
        <v>A31-5</v>
      </c>
      <c r="B1506" s="42" t="str">
        <f>IFERROR(__xludf.DUMMYFUNCTION("""COMPUTED_VALUE"""),"DHBA")</f>
        <v>DHBA</v>
      </c>
      <c r="C1506" s="42" t="str">
        <f>IFERROR(__xludf.DUMMYFUNCTION("""COMPUTED_VALUE"""),"layer V of area 31")</f>
        <v>layer V of area 31</v>
      </c>
      <c r="D1506" s="42">
        <f>IFERROR(__xludf.DUMMYFUNCTION("""COMPUTED_VALUE"""),1424.0)</f>
        <v>1424</v>
      </c>
      <c r="E1506" s="39" t="str">
        <f>IFERROR(__xludf.DUMMYFUNCTION("""COMPUTED_VALUE"""),"layer V of area 31")</f>
        <v>layer V of area 31</v>
      </c>
      <c r="F1506" s="9" t="str">
        <f>IFERROR(__xludf.DUMMYFUNCTION("""COMPUTED_VALUE"""),"Br")</f>
        <v>Br</v>
      </c>
      <c r="G1506" s="9" t="str">
        <f>IFERROR(__xludf.DUMMYFUNCTION("""COMPUTED_VALUE"""),"F")</f>
        <v>F</v>
      </c>
      <c r="H1506" s="9" t="str">
        <f>IFERROR(__xludf.DUMMYFUNCTION("""COMPUTED_VALUE"""),"FGM")</f>
        <v>FGM</v>
      </c>
      <c r="I1506" s="9" t="str">
        <f>IFERROR(__xludf.DUMMYFUNCTION("""COMPUTED_VALUE"""),"Tel")</f>
        <v>Tel</v>
      </c>
      <c r="J1506" s="9" t="str">
        <f>IFERROR(__xludf.DUMMYFUNCTION("""COMPUTED_VALUE"""),"Cx")</f>
        <v>Cx</v>
      </c>
      <c r="K1506" s="9" t="str">
        <f>IFERROR(__xludf.DUMMYFUNCTION("""COMPUTED_VALUE"""),"NCx")</f>
        <v>NCx</v>
      </c>
      <c r="L1506" s="9" t="str">
        <f>IFERROR(__xludf.DUMMYFUNCTION("""COMPUTED_VALUE"""),"CCx")</f>
        <v>CCx</v>
      </c>
      <c r="M1506" s="9" t="str">
        <f>IFERROR(__xludf.DUMMYFUNCTION("""COMPUTED_VALUE"""),"PCC")</f>
        <v>PCC</v>
      </c>
      <c r="N1506" s="9" t="str">
        <f>IFERROR(__xludf.DUMMYFUNCTION("""COMPUTED_VALUE"""),"A31")</f>
        <v>A31</v>
      </c>
      <c r="O1506" s="9" t="str">
        <f>IFERROR(__xludf.DUMMYFUNCTION("""COMPUTED_VALUE"""),"A31-5")</f>
        <v>A31-5</v>
      </c>
      <c r="P1506" s="9"/>
      <c r="Q1506" s="9"/>
      <c r="R1506" s="9"/>
      <c r="S1506" s="42"/>
      <c r="T1506" s="42"/>
      <c r="U1506" s="42"/>
      <c r="V1506" s="42"/>
      <c r="W1506" s="42"/>
      <c r="X1506" s="42"/>
      <c r="Y1506" s="42"/>
      <c r="Z1506" s="42"/>
      <c r="AA1506" s="42"/>
      <c r="AB1506" s="42" t="str">
        <f>IFERROR(__xludf.DUMMYFUNCTION("""COMPUTED_VALUE"""),"allen institute")</f>
        <v>allen institute</v>
      </c>
      <c r="AC1506" s="42" t="str">
        <f>IFERROR(__xludf.DUMMYFUNCTION("""COMPUTED_VALUE"""),"DHBA")</f>
        <v>DHBA</v>
      </c>
      <c r="AD1506" s="42"/>
      <c r="AE1506" s="42"/>
      <c r="AF1506" s="9"/>
      <c r="AG1506" s="9"/>
      <c r="AH1506" s="42"/>
      <c r="AI1506" s="42"/>
      <c r="AJ1506" s="42"/>
      <c r="AK1506" s="42"/>
      <c r="AL1506" s="42"/>
      <c r="AM1506" s="42"/>
      <c r="AN1506" s="42"/>
      <c r="AO1506" s="63" t="str">
        <f>IFERROR(__xludf.DUMMYFUNCTION("IF(ISBLANK(A1506),,IF(ISBLANK(S1506), A1506&amp;"";"", TEXTJOIN(CHAR(10), TRUE, A1506&amp;"";"", ARRAYFORMULA(VLOOKUP(SPLIT(S1506, "";"" &amp; CHAR(10)), $A:$AO, 41, FALSE)))))"),"A31-5;")</f>
        <v>A31-5;</v>
      </c>
      <c r="AP1506" s="89"/>
    </row>
    <row r="1507">
      <c r="A1507" s="151" t="str">
        <f>IFERROR(__xludf.DUMMYFUNCTION("""COMPUTED_VALUE"""),"A31-6")</f>
        <v>A31-6</v>
      </c>
      <c r="B1507" s="42" t="str">
        <f>IFERROR(__xludf.DUMMYFUNCTION("""COMPUTED_VALUE"""),"DHBA")</f>
        <v>DHBA</v>
      </c>
      <c r="C1507" s="42" t="str">
        <f>IFERROR(__xludf.DUMMYFUNCTION("""COMPUTED_VALUE"""),"layer VI of area 31")</f>
        <v>layer VI of area 31</v>
      </c>
      <c r="D1507" s="42">
        <f>IFERROR(__xludf.DUMMYFUNCTION("""COMPUTED_VALUE"""),1425.0)</f>
        <v>1425</v>
      </c>
      <c r="E1507" s="39" t="str">
        <f>IFERROR(__xludf.DUMMYFUNCTION("""COMPUTED_VALUE"""),"layer VI of area 31")</f>
        <v>layer VI of area 31</v>
      </c>
      <c r="F1507" s="9" t="str">
        <f>IFERROR(__xludf.DUMMYFUNCTION("""COMPUTED_VALUE"""),"Br")</f>
        <v>Br</v>
      </c>
      <c r="G1507" s="9" t="str">
        <f>IFERROR(__xludf.DUMMYFUNCTION("""COMPUTED_VALUE"""),"F")</f>
        <v>F</v>
      </c>
      <c r="H1507" s="9" t="str">
        <f>IFERROR(__xludf.DUMMYFUNCTION("""COMPUTED_VALUE"""),"FGM")</f>
        <v>FGM</v>
      </c>
      <c r="I1507" s="9" t="str">
        <f>IFERROR(__xludf.DUMMYFUNCTION("""COMPUTED_VALUE"""),"Tel")</f>
        <v>Tel</v>
      </c>
      <c r="J1507" s="9" t="str">
        <f>IFERROR(__xludf.DUMMYFUNCTION("""COMPUTED_VALUE"""),"Cx")</f>
        <v>Cx</v>
      </c>
      <c r="K1507" s="9" t="str">
        <f>IFERROR(__xludf.DUMMYFUNCTION("""COMPUTED_VALUE"""),"NCx")</f>
        <v>NCx</v>
      </c>
      <c r="L1507" s="9" t="str">
        <f>IFERROR(__xludf.DUMMYFUNCTION("""COMPUTED_VALUE"""),"CCx")</f>
        <v>CCx</v>
      </c>
      <c r="M1507" s="9" t="str">
        <f>IFERROR(__xludf.DUMMYFUNCTION("""COMPUTED_VALUE"""),"PCC")</f>
        <v>PCC</v>
      </c>
      <c r="N1507" s="9" t="str">
        <f>IFERROR(__xludf.DUMMYFUNCTION("""COMPUTED_VALUE"""),"A31")</f>
        <v>A31</v>
      </c>
      <c r="O1507" s="9" t="str">
        <f>IFERROR(__xludf.DUMMYFUNCTION("""COMPUTED_VALUE"""),"A31-6")</f>
        <v>A31-6</v>
      </c>
      <c r="P1507" s="9"/>
      <c r="Q1507" s="9"/>
      <c r="R1507" s="9"/>
      <c r="S1507" s="42"/>
      <c r="T1507" s="42"/>
      <c r="U1507" s="42"/>
      <c r="V1507" s="42"/>
      <c r="W1507" s="42"/>
      <c r="X1507" s="42"/>
      <c r="Y1507" s="42"/>
      <c r="Z1507" s="42"/>
      <c r="AA1507" s="42"/>
      <c r="AB1507" s="42" t="str">
        <f>IFERROR(__xludf.DUMMYFUNCTION("""COMPUTED_VALUE"""),"allen institute")</f>
        <v>allen institute</v>
      </c>
      <c r="AC1507" s="42" t="str">
        <f>IFERROR(__xludf.DUMMYFUNCTION("""COMPUTED_VALUE"""),"DHBA")</f>
        <v>DHBA</v>
      </c>
      <c r="AD1507" s="42"/>
      <c r="AE1507" s="42"/>
      <c r="AF1507" s="9"/>
      <c r="AG1507" s="9"/>
      <c r="AH1507" s="42"/>
      <c r="AI1507" s="42"/>
      <c r="AJ1507" s="42"/>
      <c r="AK1507" s="42"/>
      <c r="AL1507" s="42"/>
      <c r="AM1507" s="42"/>
      <c r="AN1507" s="42"/>
      <c r="AO1507" s="63" t="str">
        <f>IFERROR(__xludf.DUMMYFUNCTION("IF(ISBLANK(A1507),,IF(ISBLANK(S1507), A1507&amp;"";"", TEXTJOIN(CHAR(10), TRUE, A1507&amp;"";"", ARRAYFORMULA(VLOOKUP(SPLIT(S1507, "";"" &amp; CHAR(10)), $A:$AO, 41, FALSE)))))"),"A31-6;")</f>
        <v>A31-6;</v>
      </c>
      <c r="AP1507" s="89"/>
    </row>
    <row r="1508">
      <c r="A1508" s="151" t="str">
        <f>IFERROR(__xludf.DUMMYFUNCTION("""COMPUTED_VALUE"""),"PACx")</f>
        <v>PACx</v>
      </c>
      <c r="B1508" s="42" t="str">
        <f>IFERROR(__xludf.DUMMYFUNCTION("""COMPUTED_VALUE"""),"DHBA")</f>
        <v>DHBA</v>
      </c>
      <c r="C1508" s="42" t="str">
        <f>IFERROR(__xludf.DUMMYFUNCTION("""COMPUTED_VALUE"""),"periallocortex")</f>
        <v>periallocortex</v>
      </c>
      <c r="D1508" s="42">
        <f>IFERROR(__xludf.DUMMYFUNCTION("""COMPUTED_VALUE"""),1426.0)</f>
        <v>1426</v>
      </c>
      <c r="E1508" s="39" t="str">
        <f>IFERROR(__xludf.DUMMYFUNCTION("""COMPUTED_VALUE"""),"periallocortex")</f>
        <v>periallocortex</v>
      </c>
      <c r="F1508" s="9" t="str">
        <f>IFERROR(__xludf.DUMMYFUNCTION("""COMPUTED_VALUE"""),"Br")</f>
        <v>Br</v>
      </c>
      <c r="G1508" s="9" t="str">
        <f>IFERROR(__xludf.DUMMYFUNCTION("""COMPUTED_VALUE"""),"F")</f>
        <v>F</v>
      </c>
      <c r="H1508" s="9" t="str">
        <f>IFERROR(__xludf.DUMMYFUNCTION("""COMPUTED_VALUE"""),"FGM")</f>
        <v>FGM</v>
      </c>
      <c r="I1508" s="9" t="str">
        <f>IFERROR(__xludf.DUMMYFUNCTION("""COMPUTED_VALUE"""),"Tel")</f>
        <v>Tel</v>
      </c>
      <c r="J1508" s="9" t="str">
        <f>IFERROR(__xludf.DUMMYFUNCTION("""COMPUTED_VALUE"""),"Cx")</f>
        <v>Cx</v>
      </c>
      <c r="K1508" s="9" t="str">
        <f>IFERROR(__xludf.DUMMYFUNCTION("""COMPUTED_VALUE"""),"PACx")</f>
        <v>PACx</v>
      </c>
      <c r="L1508" s="9"/>
      <c r="M1508" s="9"/>
      <c r="N1508" s="9"/>
      <c r="O1508" s="9"/>
      <c r="P1508" s="9"/>
      <c r="Q1508" s="9"/>
      <c r="R1508" s="9"/>
      <c r="S1508" s="42" t="str">
        <f>IFERROR(__xludf.DUMMYFUNCTION("""COMPUTED_VALUE"""),"PArCx;
PPCx")</f>
        <v>PArCx;
PPCx</v>
      </c>
      <c r="T1508" s="42"/>
      <c r="U1508" s="42" t="b">
        <f>IFERROR(__xludf.DUMMYFUNCTION("""COMPUTED_VALUE"""),FALSE)</f>
        <v>0</v>
      </c>
      <c r="V1508" s="42"/>
      <c r="W1508" s="42"/>
      <c r="X1508" s="42"/>
      <c r="Y1508" s="42"/>
      <c r="Z1508" s="42"/>
      <c r="AA1508" s="42"/>
      <c r="AB1508" s="42" t="str">
        <f>IFERROR(__xludf.DUMMYFUNCTION("""COMPUTED_VALUE"""),"allen institute")</f>
        <v>allen institute</v>
      </c>
      <c r="AC1508" s="42" t="str">
        <f>IFERROR(__xludf.DUMMYFUNCTION("""COMPUTED_VALUE"""),"DHBA")</f>
        <v>DHBA</v>
      </c>
      <c r="AD1508" s="42"/>
      <c r="AE1508" s="42"/>
      <c r="AF1508" s="9"/>
      <c r="AG1508" s="9"/>
      <c r="AH1508" s="42"/>
      <c r="AI1508" s="42"/>
      <c r="AJ1508" s="42"/>
      <c r="AK1508" s="42"/>
      <c r="AL1508" s="42"/>
      <c r="AM1508" s="42"/>
      <c r="AN1508" s="42"/>
      <c r="AO1508" s="63" t="str">
        <f>IFERROR(__xludf.DUMMYFUNCTION("IF(ISBLANK(A1508),,IF(ISBLANK(S1508), A1508&amp;"";"", TEXTJOIN(CHAR(10), TRUE, A1508&amp;"";"", ARRAYFORMULA(VLOOKUP(SPLIT(S1508, "";"" &amp; CHAR(10)), $A:$AO, 41, FALSE)))))"),"#N/A")</f>
        <v>#N/A</v>
      </c>
      <c r="AP1508" s="89"/>
    </row>
    <row r="1509">
      <c r="A1509" s="151" t="str">
        <f>IFERROR(__xludf.DUMMYFUNCTION("""COMPUTED_VALUE"""),"PArCx")</f>
        <v>PArCx</v>
      </c>
      <c r="B1509" s="42" t="str">
        <f>IFERROR(__xludf.DUMMYFUNCTION("""COMPUTED_VALUE"""),"DHBA")</f>
        <v>DHBA</v>
      </c>
      <c r="C1509" s="42" t="str">
        <f>IFERROR(__xludf.DUMMYFUNCTION("""COMPUTED_VALUE"""),"periarchicortex")</f>
        <v>periarchicortex</v>
      </c>
      <c r="D1509" s="42">
        <f>IFERROR(__xludf.DUMMYFUNCTION("""COMPUTED_VALUE"""),1427.0)</f>
        <v>1427</v>
      </c>
      <c r="E1509" s="39" t="str">
        <f>IFERROR(__xludf.DUMMYFUNCTION("""COMPUTED_VALUE"""),"periarchicortex")</f>
        <v>periarchicortex</v>
      </c>
      <c r="F1509" s="9" t="str">
        <f>IFERROR(__xludf.DUMMYFUNCTION("""COMPUTED_VALUE"""),"Br")</f>
        <v>Br</v>
      </c>
      <c r="G1509" s="9" t="str">
        <f>IFERROR(__xludf.DUMMYFUNCTION("""COMPUTED_VALUE"""),"F")</f>
        <v>F</v>
      </c>
      <c r="H1509" s="9" t="str">
        <f>IFERROR(__xludf.DUMMYFUNCTION("""COMPUTED_VALUE"""),"FGM")</f>
        <v>FGM</v>
      </c>
      <c r="I1509" s="9" t="str">
        <f>IFERROR(__xludf.DUMMYFUNCTION("""COMPUTED_VALUE"""),"Tel")</f>
        <v>Tel</v>
      </c>
      <c r="J1509" s="9" t="str">
        <f>IFERROR(__xludf.DUMMYFUNCTION("""COMPUTED_VALUE"""),"Cx")</f>
        <v>Cx</v>
      </c>
      <c r="K1509" s="9" t="str">
        <f>IFERROR(__xludf.DUMMYFUNCTION("""COMPUTED_VALUE"""),"PACx")</f>
        <v>PACx</v>
      </c>
      <c r="L1509" s="9" t="str">
        <f>IFERROR(__xludf.DUMMYFUNCTION("""COMPUTED_VALUE"""),"PArCx")</f>
        <v>PArCx</v>
      </c>
      <c r="M1509" s="9"/>
      <c r="N1509" s="9"/>
      <c r="O1509" s="9"/>
      <c r="P1509" s="9"/>
      <c r="Q1509" s="9"/>
      <c r="R1509" s="9"/>
      <c r="S1509" s="42" t="str">
        <f>IFERROR(__xludf.DUMMYFUNCTION("""COMPUTED_VALUE"""),"A35;
EC;
PaS;
PrS;
RSC")</f>
        <v>A35;
EC;
PaS;
PrS;
RSC</v>
      </c>
      <c r="T1509" s="42"/>
      <c r="U1509" s="42" t="b">
        <f>IFERROR(__xludf.DUMMYFUNCTION("""COMPUTED_VALUE"""),FALSE)</f>
        <v>0</v>
      </c>
      <c r="V1509" s="42"/>
      <c r="W1509" s="42"/>
      <c r="X1509" s="42"/>
      <c r="Y1509" s="42"/>
      <c r="Z1509" s="42"/>
      <c r="AA1509" s="42"/>
      <c r="AB1509" s="42" t="str">
        <f>IFERROR(__xludf.DUMMYFUNCTION("""COMPUTED_VALUE"""),"allen institute")</f>
        <v>allen institute</v>
      </c>
      <c r="AC1509" s="42" t="str">
        <f>IFERROR(__xludf.DUMMYFUNCTION("""COMPUTED_VALUE"""),"DHBA")</f>
        <v>DHBA</v>
      </c>
      <c r="AD1509" s="42"/>
      <c r="AE1509" s="42"/>
      <c r="AF1509" s="9"/>
      <c r="AG1509" s="9"/>
      <c r="AH1509" s="42"/>
      <c r="AI1509" s="42"/>
      <c r="AJ1509" s="42"/>
      <c r="AK1509" s="42"/>
      <c r="AL1509" s="42"/>
      <c r="AM1509" s="42"/>
      <c r="AN1509" s="42"/>
      <c r="AO1509" s="63" t="str">
        <f>IFERROR(__xludf.DUMMYFUNCTION("IF(ISBLANK(A1509),,IF(ISBLANK(S1509), A1509&amp;"";"", TEXTJOIN(CHAR(10), TRUE, A1509&amp;"";"", ARRAYFORMULA(VLOOKUP(SPLIT(S1509, "";"" &amp; CHAR(10)), $A:$AO, 41, FALSE)))))"),"#N/A")</f>
        <v>#N/A</v>
      </c>
      <c r="AP1509" s="89"/>
    </row>
    <row r="1510">
      <c r="A1510" s="151" t="str">
        <f>IFERROR(__xludf.DUMMYFUNCTION("""COMPUTED_VALUE"""),"A35")</f>
        <v>A35</v>
      </c>
      <c r="B1510" s="42" t="str">
        <f>IFERROR(__xludf.DUMMYFUNCTION("""COMPUTED_VALUE"""),"DHBA")</f>
        <v>DHBA</v>
      </c>
      <c r="C1510" s="42" t="str">
        <f>IFERROR(__xludf.DUMMYFUNCTION("""COMPUTED_VALUE"""),"Perirhinal cortex, PRC")</f>
        <v>Perirhinal cortex, PRC</v>
      </c>
      <c r="D1510" s="42">
        <f>IFERROR(__xludf.DUMMYFUNCTION("""COMPUTED_VALUE"""),1428.0)</f>
        <v>1428</v>
      </c>
      <c r="E1510" s="39" t="str">
        <f>IFERROR(__xludf.DUMMYFUNCTION("""COMPUTED_VALUE"""),"perirhinal cortex (area 35)")</f>
        <v>perirhinal cortex (area 35)</v>
      </c>
      <c r="F1510" s="9" t="str">
        <f>IFERROR(__xludf.DUMMYFUNCTION("""COMPUTED_VALUE"""),"Br")</f>
        <v>Br</v>
      </c>
      <c r="G1510" s="9" t="str">
        <f>IFERROR(__xludf.DUMMYFUNCTION("""COMPUTED_VALUE"""),"F")</f>
        <v>F</v>
      </c>
      <c r="H1510" s="9" t="str">
        <f>IFERROR(__xludf.DUMMYFUNCTION("""COMPUTED_VALUE"""),"FGM")</f>
        <v>FGM</v>
      </c>
      <c r="I1510" s="9" t="str">
        <f>IFERROR(__xludf.DUMMYFUNCTION("""COMPUTED_VALUE"""),"Tel")</f>
        <v>Tel</v>
      </c>
      <c r="J1510" s="9" t="str">
        <f>IFERROR(__xludf.DUMMYFUNCTION("""COMPUTED_VALUE"""),"Cx")</f>
        <v>Cx</v>
      </c>
      <c r="K1510" s="9" t="str">
        <f>IFERROR(__xludf.DUMMYFUNCTION("""COMPUTED_VALUE"""),"PACx")</f>
        <v>PACx</v>
      </c>
      <c r="L1510" s="9" t="str">
        <f>IFERROR(__xludf.DUMMYFUNCTION("""COMPUTED_VALUE"""),"PArCx")</f>
        <v>PArCx</v>
      </c>
      <c r="M1510" s="9" t="str">
        <f>IFERROR(__xludf.DUMMYFUNCTION("""COMPUTED_VALUE"""),"A35")</f>
        <v>A35</v>
      </c>
      <c r="N1510" s="9"/>
      <c r="O1510" s="9"/>
      <c r="P1510" s="9"/>
      <c r="Q1510" s="9"/>
      <c r="R1510" s="9"/>
      <c r="S1510" s="42" t="str">
        <f>IFERROR(__xludf.DUMMYFUNCTION("""COMPUTED_VALUE"""),"PERI_uc1;
PERI_uc3;
A35r;
A35c")</f>
        <v>PERI_uc1;
PERI_uc3;
A35r;
A35c</v>
      </c>
      <c r="T1510" s="42"/>
      <c r="U1510" s="42" t="b">
        <f>IFERROR(__xludf.DUMMYFUNCTION("""COMPUTED_VALUE"""),FALSE)</f>
        <v>0</v>
      </c>
      <c r="V1510" s="42"/>
      <c r="W1510" s="42"/>
      <c r="X1510" s="42"/>
      <c r="Y1510" s="42"/>
      <c r="Z1510" s="42"/>
      <c r="AA1510" s="42"/>
      <c r="AB1510" s="42" t="str">
        <f>IFERROR(__xludf.DUMMYFUNCTION("""COMPUTED_VALUE"""),"allen institute")</f>
        <v>allen institute</v>
      </c>
      <c r="AC1510" s="42" t="str">
        <f>IFERROR(__xludf.DUMMYFUNCTION("""COMPUTED_VALUE"""),"DHBA")</f>
        <v>DHBA</v>
      </c>
      <c r="AD1510" s="42"/>
      <c r="AE1510" s="42"/>
      <c r="AF1510" s="9"/>
      <c r="AG1510" s="9"/>
      <c r="AH1510" s="42"/>
      <c r="AI1510" s="42"/>
      <c r="AJ1510" s="42"/>
      <c r="AK1510" s="42"/>
      <c r="AL1510" s="42"/>
      <c r="AM1510" s="42"/>
      <c r="AN1510" s="42"/>
      <c r="AO1510" s="63" t="str">
        <f>IFERROR(__xludf.DUMMYFUNCTION("IF(ISBLANK(A1510),,IF(ISBLANK(S1510), A1510&amp;"";"", TEXTJOIN(CHAR(10), TRUE, A1510&amp;"";"", ARRAYFORMULA(VLOOKUP(SPLIT(S1510, "";"" &amp; CHAR(10)), $A:$AO, 41, FALSE)))))"),"#N/A")</f>
        <v>#N/A</v>
      </c>
      <c r="AP1510" s="89"/>
    </row>
    <row r="1511">
      <c r="A1511" s="151" t="str">
        <f>IFERROR(__xludf.DUMMYFUNCTION("""COMPUTED_VALUE"""),"A35_uc1")</f>
        <v>A35_uc1</v>
      </c>
      <c r="B1511" s="42" t="str">
        <f>IFERROR(__xludf.DUMMYFUNCTION("""COMPUTED_VALUE"""),"makeshift")</f>
        <v>makeshift</v>
      </c>
      <c r="C1511" s="42" t="str">
        <f>IFERROR(__xludf.DUMMYFUNCTION("""COMPUTED_VALUE"""),"perirhinal cortex, uniform circuit 1")</f>
        <v>perirhinal cortex, uniform circuit 1</v>
      </c>
      <c r="D1511" s="42">
        <f>IFERROR(__xludf.DUMMYFUNCTION("""COMPUTED_VALUE"""),1428.1)</f>
        <v>1428.1</v>
      </c>
      <c r="E1511" s="39" t="str">
        <f>IFERROR(__xludf.DUMMYFUNCTION("""COMPUTED_VALUE"""),"")</f>
        <v/>
      </c>
      <c r="F1511" s="9" t="str">
        <f>IFERROR(__xludf.DUMMYFUNCTION("""COMPUTED_VALUE"""),"")</f>
        <v/>
      </c>
      <c r="G1511" s="9" t="str">
        <f>IFERROR(__xludf.DUMMYFUNCTION("""COMPUTED_VALUE"""),"")</f>
        <v/>
      </c>
      <c r="H1511" s="9" t="str">
        <f>IFERROR(__xludf.DUMMYFUNCTION("""COMPUTED_VALUE"""),"")</f>
        <v/>
      </c>
      <c r="I1511" s="9" t="str">
        <f>IFERROR(__xludf.DUMMYFUNCTION("""COMPUTED_VALUE"""),"")</f>
        <v/>
      </c>
      <c r="J1511" s="9" t="str">
        <f>IFERROR(__xludf.DUMMYFUNCTION("""COMPUTED_VALUE"""),"")</f>
        <v/>
      </c>
      <c r="K1511" s="9" t="str">
        <f>IFERROR(__xludf.DUMMYFUNCTION("""COMPUTED_VALUE"""),"")</f>
        <v/>
      </c>
      <c r="L1511" s="9" t="str">
        <f>IFERROR(__xludf.DUMMYFUNCTION("""COMPUTED_VALUE"""),"")</f>
        <v/>
      </c>
      <c r="M1511" s="9" t="str">
        <f>IFERROR(__xludf.DUMMYFUNCTION("""COMPUTED_VALUE"""),"")</f>
        <v/>
      </c>
      <c r="N1511" s="9" t="str">
        <f>IFERROR(__xludf.DUMMYFUNCTION("""COMPUTED_VALUE"""),"")</f>
        <v/>
      </c>
      <c r="O1511" s="9" t="str">
        <f>IFERROR(__xludf.DUMMYFUNCTION("""COMPUTED_VALUE"""),"")</f>
        <v/>
      </c>
      <c r="P1511" s="9" t="str">
        <f>IFERROR(__xludf.DUMMYFUNCTION("""COMPUTED_VALUE"""),"")</f>
        <v/>
      </c>
      <c r="Q1511" s="9" t="str">
        <f>IFERROR(__xludf.DUMMYFUNCTION("""COMPUTED_VALUE"""),"")</f>
        <v/>
      </c>
      <c r="R1511" s="9" t="str">
        <f>IFERROR(__xludf.DUMMYFUNCTION("""COMPUTED_VALUE"""),"")</f>
        <v/>
      </c>
      <c r="S1511" s="42"/>
      <c r="T1511" s="42"/>
      <c r="U1511" s="42" t="b">
        <f>IFERROR(__xludf.DUMMYFUNCTION("""COMPUTED_VALUE"""),TRUE)</f>
        <v>1</v>
      </c>
      <c r="V1511" s="42"/>
      <c r="W1511" s="42" t="str">
        <f>IFERROR(__xludf.DUMMYFUNCTION("""COMPUTED_VALUE"""),"Excitatory")</f>
        <v>Excitatory</v>
      </c>
      <c r="X1511" s="42"/>
      <c r="Y1511" s="42"/>
      <c r="Z1511" s="42"/>
      <c r="AA1511" s="42"/>
      <c r="AB1511" s="42" t="str">
        <f>IFERROR(__xludf.DUMMYFUNCTION("""COMPUTED_VALUE"""),"Ayako Fukawa")</f>
        <v>Ayako Fukawa</v>
      </c>
      <c r="AC1511" s="42" t="str">
        <f>IFERROR(__xludf.DUMMYFUNCTION("""COMPUTED_VALUE"""),"AT20HippocampalFormation")</f>
        <v>AT20HippocampalFormation</v>
      </c>
      <c r="AD1511" s="42"/>
      <c r="AE1511" s="42"/>
      <c r="AF1511" s="9"/>
      <c r="AG1511" s="9"/>
      <c r="AH1511" s="42"/>
      <c r="AI1511" s="42"/>
      <c r="AJ1511" s="42"/>
      <c r="AK1511" s="42"/>
      <c r="AL1511" s="42"/>
      <c r="AM1511" s="42"/>
      <c r="AN1511" s="42"/>
      <c r="AO1511" s="63" t="str">
        <f>IFERROR(__xludf.DUMMYFUNCTION("IF(ISBLANK(A1511),,IF(ISBLANK(S1511), A1511&amp;"";"", TEXTJOIN(CHAR(10), TRUE, A1511&amp;"";"", ARRAYFORMULA(VLOOKUP(SPLIT(S1511, "";"" &amp; CHAR(10)), $A:$AO, 41, FALSE)))))"),"A35_uc1;")</f>
        <v>A35_uc1;</v>
      </c>
      <c r="AP1511" s="89"/>
    </row>
    <row r="1512">
      <c r="A1512" s="151" t="str">
        <f>IFERROR(__xludf.DUMMYFUNCTION("""COMPUTED_VALUE"""),"A35_uc2")</f>
        <v>A35_uc2</v>
      </c>
      <c r="B1512" s="42" t="str">
        <f>IFERROR(__xludf.DUMMYFUNCTION("""COMPUTED_VALUE"""),"makeshift")</f>
        <v>makeshift</v>
      </c>
      <c r="C1512" s="42" t="str">
        <f>IFERROR(__xludf.DUMMYFUNCTION("""COMPUTED_VALUE"""),"perirhinal cortex, uniform circuit 2")</f>
        <v>perirhinal cortex, uniform circuit 2</v>
      </c>
      <c r="D1512" s="42">
        <f>IFERROR(__xludf.DUMMYFUNCTION("""COMPUTED_VALUE"""),1428.2)</f>
        <v>1428.2</v>
      </c>
      <c r="E1512" s="39" t="str">
        <f>IFERROR(__xludf.DUMMYFUNCTION("""COMPUTED_VALUE"""),"")</f>
        <v/>
      </c>
      <c r="F1512" s="9" t="str">
        <f>IFERROR(__xludf.DUMMYFUNCTION("""COMPUTED_VALUE"""),"")</f>
        <v/>
      </c>
      <c r="G1512" s="9" t="str">
        <f>IFERROR(__xludf.DUMMYFUNCTION("""COMPUTED_VALUE"""),"")</f>
        <v/>
      </c>
      <c r="H1512" s="9" t="str">
        <f>IFERROR(__xludf.DUMMYFUNCTION("""COMPUTED_VALUE"""),"")</f>
        <v/>
      </c>
      <c r="I1512" s="9" t="str">
        <f>IFERROR(__xludf.DUMMYFUNCTION("""COMPUTED_VALUE"""),"")</f>
        <v/>
      </c>
      <c r="J1512" s="9" t="str">
        <f>IFERROR(__xludf.DUMMYFUNCTION("""COMPUTED_VALUE"""),"")</f>
        <v/>
      </c>
      <c r="K1512" s="9" t="str">
        <f>IFERROR(__xludf.DUMMYFUNCTION("""COMPUTED_VALUE"""),"")</f>
        <v/>
      </c>
      <c r="L1512" s="9" t="str">
        <f>IFERROR(__xludf.DUMMYFUNCTION("""COMPUTED_VALUE"""),"")</f>
        <v/>
      </c>
      <c r="M1512" s="9" t="str">
        <f>IFERROR(__xludf.DUMMYFUNCTION("""COMPUTED_VALUE"""),"")</f>
        <v/>
      </c>
      <c r="N1512" s="9" t="str">
        <f>IFERROR(__xludf.DUMMYFUNCTION("""COMPUTED_VALUE"""),"")</f>
        <v/>
      </c>
      <c r="O1512" s="9" t="str">
        <f>IFERROR(__xludf.DUMMYFUNCTION("""COMPUTED_VALUE"""),"")</f>
        <v/>
      </c>
      <c r="P1512" s="9" t="str">
        <f>IFERROR(__xludf.DUMMYFUNCTION("""COMPUTED_VALUE"""),"")</f>
        <v/>
      </c>
      <c r="Q1512" s="9" t="str">
        <f>IFERROR(__xludf.DUMMYFUNCTION("""COMPUTED_VALUE"""),"")</f>
        <v/>
      </c>
      <c r="R1512" s="9" t="str">
        <f>IFERROR(__xludf.DUMMYFUNCTION("""COMPUTED_VALUE"""),"")</f>
        <v/>
      </c>
      <c r="S1512" s="42"/>
      <c r="T1512" s="42"/>
      <c r="U1512" s="42" t="b">
        <f>IFERROR(__xludf.DUMMYFUNCTION("""COMPUTED_VALUE"""),TRUE)</f>
        <v>1</v>
      </c>
      <c r="V1512" s="42"/>
      <c r="W1512" s="42" t="str">
        <f>IFERROR(__xludf.DUMMYFUNCTION("""COMPUTED_VALUE"""),"Excitatory")</f>
        <v>Excitatory</v>
      </c>
      <c r="X1512" s="42"/>
      <c r="Y1512" s="42"/>
      <c r="Z1512" s="42"/>
      <c r="AA1512" s="42"/>
      <c r="AB1512" s="42" t="str">
        <f>IFERROR(__xludf.DUMMYFUNCTION("""COMPUTED_VALUE"""),"Ayako Fukawa")</f>
        <v>Ayako Fukawa</v>
      </c>
      <c r="AC1512" s="42" t="str">
        <f>IFERROR(__xludf.DUMMYFUNCTION("""COMPUTED_VALUE"""),"AT20HippocampalFormation")</f>
        <v>AT20HippocampalFormation</v>
      </c>
      <c r="AD1512" s="42"/>
      <c r="AE1512" s="42"/>
      <c r="AF1512" s="9"/>
      <c r="AG1512" s="9"/>
      <c r="AH1512" s="42"/>
      <c r="AI1512" s="42"/>
      <c r="AJ1512" s="42"/>
      <c r="AK1512" s="42"/>
      <c r="AL1512" s="42"/>
      <c r="AM1512" s="42"/>
      <c r="AN1512" s="42"/>
      <c r="AO1512" s="63" t="str">
        <f>IFERROR(__xludf.DUMMYFUNCTION("IF(ISBLANK(A1512),,IF(ISBLANK(S1512), A1512&amp;"";"", TEXTJOIN(CHAR(10), TRUE, A1512&amp;"";"", ARRAYFORMULA(VLOOKUP(SPLIT(S1512, "";"" &amp; CHAR(10)), $A:$AO, 41, FALSE)))))"),"A35_uc2;")</f>
        <v>A35_uc2;</v>
      </c>
      <c r="AP1512" s="89"/>
    </row>
    <row r="1513">
      <c r="A1513" s="151" t="str">
        <f>IFERROR(__xludf.DUMMYFUNCTION("""COMPUTED_VALUE"""),"A35r")</f>
        <v>A35r</v>
      </c>
      <c r="B1513" s="42" t="str">
        <f>IFERROR(__xludf.DUMMYFUNCTION("""COMPUTED_VALUE"""),"DHBA")</f>
        <v>DHBA</v>
      </c>
      <c r="C1513" s="42" t="str">
        <f>IFERROR(__xludf.DUMMYFUNCTION("""COMPUTED_VALUE"""),"rostral subdivision of area 35")</f>
        <v>rostral subdivision of area 35</v>
      </c>
      <c r="D1513" s="42">
        <f>IFERROR(__xludf.DUMMYFUNCTION("""COMPUTED_VALUE"""),1429.0)</f>
        <v>1429</v>
      </c>
      <c r="E1513" s="39" t="str">
        <f>IFERROR(__xludf.DUMMYFUNCTION("""COMPUTED_VALUE"""),"rostral subdivision of area 35")</f>
        <v>rostral subdivision of area 35</v>
      </c>
      <c r="F1513" s="9" t="str">
        <f>IFERROR(__xludf.DUMMYFUNCTION("""COMPUTED_VALUE"""),"Br")</f>
        <v>Br</v>
      </c>
      <c r="G1513" s="9" t="str">
        <f>IFERROR(__xludf.DUMMYFUNCTION("""COMPUTED_VALUE"""),"F")</f>
        <v>F</v>
      </c>
      <c r="H1513" s="9" t="str">
        <f>IFERROR(__xludf.DUMMYFUNCTION("""COMPUTED_VALUE"""),"FGM")</f>
        <v>FGM</v>
      </c>
      <c r="I1513" s="9" t="str">
        <f>IFERROR(__xludf.DUMMYFUNCTION("""COMPUTED_VALUE"""),"Tel")</f>
        <v>Tel</v>
      </c>
      <c r="J1513" s="9" t="str">
        <f>IFERROR(__xludf.DUMMYFUNCTION("""COMPUTED_VALUE"""),"Cx")</f>
        <v>Cx</v>
      </c>
      <c r="K1513" s="9" t="str">
        <f>IFERROR(__xludf.DUMMYFUNCTION("""COMPUTED_VALUE"""),"PACx")</f>
        <v>PACx</v>
      </c>
      <c r="L1513" s="9" t="str">
        <f>IFERROR(__xludf.DUMMYFUNCTION("""COMPUTED_VALUE"""),"PArCx")</f>
        <v>PArCx</v>
      </c>
      <c r="M1513" s="9" t="str">
        <f>IFERROR(__xludf.DUMMYFUNCTION("""COMPUTED_VALUE"""),"A35")</f>
        <v>A35</v>
      </c>
      <c r="N1513" s="9" t="str">
        <f>IFERROR(__xludf.DUMMYFUNCTION("""COMPUTED_VALUE"""),"A35r")</f>
        <v>A35r</v>
      </c>
      <c r="O1513" s="9"/>
      <c r="P1513" s="9"/>
      <c r="Q1513" s="9"/>
      <c r="R1513" s="9"/>
      <c r="S1513" s="42" t="str">
        <f>IFERROR(__xludf.DUMMYFUNCTION("""COMPUTED_VALUE"""),"A35r1;
A35r2;
A35r3;
A35r3u;
A35r5;
A35r6")</f>
        <v>A35r1;
A35r2;
A35r3;
A35r3u;
A35r5;
A35r6</v>
      </c>
      <c r="T1513" s="42"/>
      <c r="U1513" s="159" t="b">
        <f>IFERROR(__xludf.DUMMYFUNCTION("""COMPUTED_VALUE"""),FALSE)</f>
        <v>0</v>
      </c>
      <c r="V1513" s="42"/>
      <c r="W1513" s="42"/>
      <c r="X1513" s="42"/>
      <c r="Y1513" s="42"/>
      <c r="Z1513" s="42"/>
      <c r="AA1513" s="42"/>
      <c r="AB1513" s="42" t="str">
        <f>IFERROR(__xludf.DUMMYFUNCTION("""COMPUTED_VALUE"""),"allen institute")</f>
        <v>allen institute</v>
      </c>
      <c r="AC1513" s="42" t="str">
        <f>IFERROR(__xludf.DUMMYFUNCTION("""COMPUTED_VALUE"""),"DHBA")</f>
        <v>DHBA</v>
      </c>
      <c r="AD1513" s="42"/>
      <c r="AE1513" s="42"/>
      <c r="AF1513" s="9"/>
      <c r="AG1513" s="9"/>
      <c r="AH1513" s="42"/>
      <c r="AI1513" s="42"/>
      <c r="AJ1513" s="42"/>
      <c r="AK1513" s="42"/>
      <c r="AL1513" s="42"/>
      <c r="AM1513" s="42"/>
      <c r="AN1513" s="42"/>
      <c r="AO1513" s="63" t="str">
        <f>IFERROR(__xludf.DUMMYFUNCTION("IF(ISBLANK(A1513),,IF(ISBLANK(S1513), A1513&amp;"";"", TEXTJOIN(CHAR(10), TRUE, A1513&amp;"";"", ARRAYFORMULA(VLOOKUP(SPLIT(S1513, "";"" &amp; CHAR(10)), $A:$AO, 41, FALSE)))))"),"A35r;
A35r1;
A35r2;
A35r3;
A35r3a;
A35r3b;
A35r3u;
A35r5;
A35r6;")</f>
        <v>A35r;
A35r1;
A35r2;
A35r3;
A35r3a;
A35r3b;
A35r3u;
A35r5;
A35r6;</v>
      </c>
      <c r="AP1513" s="89"/>
    </row>
    <row r="1514">
      <c r="A1514" s="151" t="str">
        <f>IFERROR(__xludf.DUMMYFUNCTION("""COMPUTED_VALUE"""),"A35r1")</f>
        <v>A35r1</v>
      </c>
      <c r="B1514" s="42" t="str">
        <f>IFERROR(__xludf.DUMMYFUNCTION("""COMPUTED_VALUE"""),"DHBA")</f>
        <v>DHBA</v>
      </c>
      <c r="C1514" s="42" t="str">
        <f>IFERROR(__xludf.DUMMYFUNCTION("""COMPUTED_VALUE"""),"layer I of area 35r")</f>
        <v>layer I of area 35r</v>
      </c>
      <c r="D1514" s="42">
        <f>IFERROR(__xludf.DUMMYFUNCTION("""COMPUTED_VALUE"""),1430.0)</f>
        <v>1430</v>
      </c>
      <c r="E1514" s="39" t="str">
        <f>IFERROR(__xludf.DUMMYFUNCTION("""COMPUTED_VALUE"""),"layer I of area 35r")</f>
        <v>layer I of area 35r</v>
      </c>
      <c r="F1514" s="9" t="str">
        <f>IFERROR(__xludf.DUMMYFUNCTION("""COMPUTED_VALUE"""),"Br")</f>
        <v>Br</v>
      </c>
      <c r="G1514" s="9" t="str">
        <f>IFERROR(__xludf.DUMMYFUNCTION("""COMPUTED_VALUE"""),"F")</f>
        <v>F</v>
      </c>
      <c r="H1514" s="9" t="str">
        <f>IFERROR(__xludf.DUMMYFUNCTION("""COMPUTED_VALUE"""),"FGM")</f>
        <v>FGM</v>
      </c>
      <c r="I1514" s="9" t="str">
        <f>IFERROR(__xludf.DUMMYFUNCTION("""COMPUTED_VALUE"""),"Tel")</f>
        <v>Tel</v>
      </c>
      <c r="J1514" s="9" t="str">
        <f>IFERROR(__xludf.DUMMYFUNCTION("""COMPUTED_VALUE"""),"Cx")</f>
        <v>Cx</v>
      </c>
      <c r="K1514" s="9" t="str">
        <f>IFERROR(__xludf.DUMMYFUNCTION("""COMPUTED_VALUE"""),"PACx")</f>
        <v>PACx</v>
      </c>
      <c r="L1514" s="9" t="str">
        <f>IFERROR(__xludf.DUMMYFUNCTION("""COMPUTED_VALUE"""),"PArCx")</f>
        <v>PArCx</v>
      </c>
      <c r="M1514" s="9" t="str">
        <f>IFERROR(__xludf.DUMMYFUNCTION("""COMPUTED_VALUE"""),"A35")</f>
        <v>A35</v>
      </c>
      <c r="N1514" s="9" t="str">
        <f>IFERROR(__xludf.DUMMYFUNCTION("""COMPUTED_VALUE"""),"A35r")</f>
        <v>A35r</v>
      </c>
      <c r="O1514" s="9" t="str">
        <f>IFERROR(__xludf.DUMMYFUNCTION("""COMPUTED_VALUE"""),"A35r1")</f>
        <v>A35r1</v>
      </c>
      <c r="P1514" s="9"/>
      <c r="Q1514" s="9"/>
      <c r="R1514" s="9"/>
      <c r="S1514" s="42"/>
      <c r="T1514" s="42"/>
      <c r="U1514" s="42"/>
      <c r="V1514" s="42"/>
      <c r="W1514" s="42"/>
      <c r="X1514" s="42"/>
      <c r="Y1514" s="42"/>
      <c r="Z1514" s="42"/>
      <c r="AA1514" s="42"/>
      <c r="AB1514" s="42" t="str">
        <f>IFERROR(__xludf.DUMMYFUNCTION("""COMPUTED_VALUE"""),"allen institute")</f>
        <v>allen institute</v>
      </c>
      <c r="AC1514" s="42" t="str">
        <f>IFERROR(__xludf.DUMMYFUNCTION("""COMPUTED_VALUE"""),"DHBA")</f>
        <v>DHBA</v>
      </c>
      <c r="AD1514" s="42"/>
      <c r="AE1514" s="42"/>
      <c r="AF1514" s="9"/>
      <c r="AG1514" s="9"/>
      <c r="AH1514" s="42"/>
      <c r="AI1514" s="42"/>
      <c r="AJ1514" s="42"/>
      <c r="AK1514" s="42"/>
      <c r="AL1514" s="42"/>
      <c r="AM1514" s="42"/>
      <c r="AN1514" s="42"/>
      <c r="AO1514" s="63" t="str">
        <f>IFERROR(__xludf.DUMMYFUNCTION("IF(ISBLANK(A1514),,IF(ISBLANK(S1514), A1514&amp;"";"", TEXTJOIN(CHAR(10), TRUE, A1514&amp;"";"", ARRAYFORMULA(VLOOKUP(SPLIT(S1514, "";"" &amp; CHAR(10)), $A:$AO, 41, FALSE)))))"),"A35r1;")</f>
        <v>A35r1;</v>
      </c>
      <c r="AP1514" s="89"/>
    </row>
    <row r="1515">
      <c r="A1515" s="151" t="str">
        <f>IFERROR(__xludf.DUMMYFUNCTION("""COMPUTED_VALUE"""),"A35r2")</f>
        <v>A35r2</v>
      </c>
      <c r="B1515" s="42" t="str">
        <f>IFERROR(__xludf.DUMMYFUNCTION("""COMPUTED_VALUE"""),"DHBA")</f>
        <v>DHBA</v>
      </c>
      <c r="C1515" s="42" t="str">
        <f>IFERROR(__xludf.DUMMYFUNCTION("""COMPUTED_VALUE"""),"layer II of area 35r")</f>
        <v>layer II of area 35r</v>
      </c>
      <c r="D1515" s="42">
        <f>IFERROR(__xludf.DUMMYFUNCTION("""COMPUTED_VALUE"""),1431.0)</f>
        <v>1431</v>
      </c>
      <c r="E1515" s="39" t="str">
        <f>IFERROR(__xludf.DUMMYFUNCTION("""COMPUTED_VALUE"""),"layer II of area 35r")</f>
        <v>layer II of area 35r</v>
      </c>
      <c r="F1515" s="9" t="str">
        <f>IFERROR(__xludf.DUMMYFUNCTION("""COMPUTED_VALUE"""),"Br")</f>
        <v>Br</v>
      </c>
      <c r="G1515" s="9" t="str">
        <f>IFERROR(__xludf.DUMMYFUNCTION("""COMPUTED_VALUE"""),"F")</f>
        <v>F</v>
      </c>
      <c r="H1515" s="9" t="str">
        <f>IFERROR(__xludf.DUMMYFUNCTION("""COMPUTED_VALUE"""),"FGM")</f>
        <v>FGM</v>
      </c>
      <c r="I1515" s="9" t="str">
        <f>IFERROR(__xludf.DUMMYFUNCTION("""COMPUTED_VALUE"""),"Tel")</f>
        <v>Tel</v>
      </c>
      <c r="J1515" s="9" t="str">
        <f>IFERROR(__xludf.DUMMYFUNCTION("""COMPUTED_VALUE"""),"Cx")</f>
        <v>Cx</v>
      </c>
      <c r="K1515" s="9" t="str">
        <f>IFERROR(__xludf.DUMMYFUNCTION("""COMPUTED_VALUE"""),"PACx")</f>
        <v>PACx</v>
      </c>
      <c r="L1515" s="9" t="str">
        <f>IFERROR(__xludf.DUMMYFUNCTION("""COMPUTED_VALUE"""),"PArCx")</f>
        <v>PArCx</v>
      </c>
      <c r="M1515" s="9" t="str">
        <f>IFERROR(__xludf.DUMMYFUNCTION("""COMPUTED_VALUE"""),"A35")</f>
        <v>A35</v>
      </c>
      <c r="N1515" s="9" t="str">
        <f>IFERROR(__xludf.DUMMYFUNCTION("""COMPUTED_VALUE"""),"A35r")</f>
        <v>A35r</v>
      </c>
      <c r="O1515" s="9" t="str">
        <f>IFERROR(__xludf.DUMMYFUNCTION("""COMPUTED_VALUE"""),"A35r2")</f>
        <v>A35r2</v>
      </c>
      <c r="P1515" s="9"/>
      <c r="Q1515" s="9"/>
      <c r="R1515" s="9"/>
      <c r="S1515" s="42"/>
      <c r="T1515" s="42"/>
      <c r="U1515" s="42"/>
      <c r="V1515" s="42"/>
      <c r="W1515" s="42"/>
      <c r="X1515" s="42"/>
      <c r="Y1515" s="42"/>
      <c r="Z1515" s="42"/>
      <c r="AA1515" s="42"/>
      <c r="AB1515" s="42" t="str">
        <f>IFERROR(__xludf.DUMMYFUNCTION("""COMPUTED_VALUE"""),"allen institute")</f>
        <v>allen institute</v>
      </c>
      <c r="AC1515" s="42" t="str">
        <f>IFERROR(__xludf.DUMMYFUNCTION("""COMPUTED_VALUE"""),"DHBA")</f>
        <v>DHBA</v>
      </c>
      <c r="AD1515" s="42"/>
      <c r="AE1515" s="42"/>
      <c r="AF1515" s="9"/>
      <c r="AG1515" s="9"/>
      <c r="AH1515" s="42"/>
      <c r="AI1515" s="42"/>
      <c r="AJ1515" s="42"/>
      <c r="AK1515" s="42"/>
      <c r="AL1515" s="42"/>
      <c r="AM1515" s="42"/>
      <c r="AN1515" s="42"/>
      <c r="AO1515" s="63" t="str">
        <f>IFERROR(__xludf.DUMMYFUNCTION("IF(ISBLANK(A1515),,IF(ISBLANK(S1515), A1515&amp;"";"", TEXTJOIN(CHAR(10), TRUE, A1515&amp;"";"", ARRAYFORMULA(VLOOKUP(SPLIT(S1515, "";"" &amp; CHAR(10)), $A:$AO, 41, FALSE)))))"),"A35r2;")</f>
        <v>A35r2;</v>
      </c>
      <c r="AP1515" s="89"/>
    </row>
    <row r="1516">
      <c r="A1516" s="151" t="str">
        <f>IFERROR(__xludf.DUMMYFUNCTION("""COMPUTED_VALUE"""),"A35r3")</f>
        <v>A35r3</v>
      </c>
      <c r="B1516" s="42" t="str">
        <f>IFERROR(__xludf.DUMMYFUNCTION("""COMPUTED_VALUE"""),"DHBA")</f>
        <v>DHBA</v>
      </c>
      <c r="C1516" s="42" t="str">
        <f>IFERROR(__xludf.DUMMYFUNCTION("""COMPUTED_VALUE"""),"layer III of area 35r")</f>
        <v>layer III of area 35r</v>
      </c>
      <c r="D1516" s="42">
        <f>IFERROR(__xludf.DUMMYFUNCTION("""COMPUTED_VALUE"""),1432.0)</f>
        <v>1432</v>
      </c>
      <c r="E1516" s="39" t="str">
        <f>IFERROR(__xludf.DUMMYFUNCTION("""COMPUTED_VALUE"""),"layer III of area 35r")</f>
        <v>layer III of area 35r</v>
      </c>
      <c r="F1516" s="9" t="str">
        <f>IFERROR(__xludf.DUMMYFUNCTION("""COMPUTED_VALUE"""),"Br")</f>
        <v>Br</v>
      </c>
      <c r="G1516" s="9" t="str">
        <f>IFERROR(__xludf.DUMMYFUNCTION("""COMPUTED_VALUE"""),"F")</f>
        <v>F</v>
      </c>
      <c r="H1516" s="9" t="str">
        <f>IFERROR(__xludf.DUMMYFUNCTION("""COMPUTED_VALUE"""),"FGM")</f>
        <v>FGM</v>
      </c>
      <c r="I1516" s="9" t="str">
        <f>IFERROR(__xludf.DUMMYFUNCTION("""COMPUTED_VALUE"""),"Tel")</f>
        <v>Tel</v>
      </c>
      <c r="J1516" s="9" t="str">
        <f>IFERROR(__xludf.DUMMYFUNCTION("""COMPUTED_VALUE"""),"Cx")</f>
        <v>Cx</v>
      </c>
      <c r="K1516" s="9" t="str">
        <f>IFERROR(__xludf.DUMMYFUNCTION("""COMPUTED_VALUE"""),"PACx")</f>
        <v>PACx</v>
      </c>
      <c r="L1516" s="9" t="str">
        <f>IFERROR(__xludf.DUMMYFUNCTION("""COMPUTED_VALUE"""),"PArCx")</f>
        <v>PArCx</v>
      </c>
      <c r="M1516" s="9" t="str">
        <f>IFERROR(__xludf.DUMMYFUNCTION("""COMPUTED_VALUE"""),"A35")</f>
        <v>A35</v>
      </c>
      <c r="N1516" s="9" t="str">
        <f>IFERROR(__xludf.DUMMYFUNCTION("""COMPUTED_VALUE"""),"A35r")</f>
        <v>A35r</v>
      </c>
      <c r="O1516" s="9" t="str">
        <f>IFERROR(__xludf.DUMMYFUNCTION("""COMPUTED_VALUE"""),"A35r3")</f>
        <v>A35r3</v>
      </c>
      <c r="P1516" s="9"/>
      <c r="Q1516" s="9"/>
      <c r="R1516" s="9"/>
      <c r="S1516" s="42" t="str">
        <f>IFERROR(__xludf.DUMMYFUNCTION("""COMPUTED_VALUE"""),"A35r3a;
A35r3b")</f>
        <v>A35r3a;
A35r3b</v>
      </c>
      <c r="T1516" s="42"/>
      <c r="U1516" s="42" t="b">
        <f>IFERROR(__xludf.DUMMYFUNCTION("""COMPUTED_VALUE"""),FALSE)</f>
        <v>0</v>
      </c>
      <c r="V1516" s="42"/>
      <c r="W1516" s="42"/>
      <c r="X1516" s="42"/>
      <c r="Y1516" s="42"/>
      <c r="Z1516" s="42"/>
      <c r="AA1516" s="42"/>
      <c r="AB1516" s="42" t="str">
        <f>IFERROR(__xludf.DUMMYFUNCTION("""COMPUTED_VALUE"""),"allen institute")</f>
        <v>allen institute</v>
      </c>
      <c r="AC1516" s="42" t="str">
        <f>IFERROR(__xludf.DUMMYFUNCTION("""COMPUTED_VALUE"""),"DHBA")</f>
        <v>DHBA</v>
      </c>
      <c r="AD1516" s="42"/>
      <c r="AE1516" s="42"/>
      <c r="AF1516" s="9"/>
      <c r="AG1516" s="9"/>
      <c r="AH1516" s="42"/>
      <c r="AI1516" s="42"/>
      <c r="AJ1516" s="42"/>
      <c r="AK1516" s="42"/>
      <c r="AL1516" s="42"/>
      <c r="AM1516" s="42"/>
      <c r="AN1516" s="42"/>
      <c r="AO1516" s="63" t="str">
        <f>IFERROR(__xludf.DUMMYFUNCTION("IF(ISBLANK(A1516),,IF(ISBLANK(S1516), A1516&amp;"";"", TEXTJOIN(CHAR(10), TRUE, A1516&amp;"";"", ARRAYFORMULA(VLOOKUP(SPLIT(S1516, "";"" &amp; CHAR(10)), $A:$AO, 41, FALSE)))))"),"A35r3;
A35r3a;
A35r3b;")</f>
        <v>A35r3;
A35r3a;
A35r3b;</v>
      </c>
      <c r="AP1516" s="89"/>
    </row>
    <row r="1517">
      <c r="A1517" s="151" t="str">
        <f>IFERROR(__xludf.DUMMYFUNCTION("""COMPUTED_VALUE"""),"A35r3a")</f>
        <v>A35r3a</v>
      </c>
      <c r="B1517" s="42" t="str">
        <f>IFERROR(__xludf.DUMMYFUNCTION("""COMPUTED_VALUE"""),"DHBA")</f>
        <v>DHBA</v>
      </c>
      <c r="C1517" s="42" t="str">
        <f>IFERROR(__xludf.DUMMYFUNCTION("""COMPUTED_VALUE"""),"layer IIIa of area 35r")</f>
        <v>layer IIIa of area 35r</v>
      </c>
      <c r="D1517" s="42">
        <f>IFERROR(__xludf.DUMMYFUNCTION("""COMPUTED_VALUE"""),1433.0)</f>
        <v>1433</v>
      </c>
      <c r="E1517" s="39" t="str">
        <f>IFERROR(__xludf.DUMMYFUNCTION("""COMPUTED_VALUE"""),"layer IIIa of area 35r")</f>
        <v>layer IIIa of area 35r</v>
      </c>
      <c r="F1517" s="9" t="str">
        <f>IFERROR(__xludf.DUMMYFUNCTION("""COMPUTED_VALUE"""),"Br")</f>
        <v>Br</v>
      </c>
      <c r="G1517" s="9" t="str">
        <f>IFERROR(__xludf.DUMMYFUNCTION("""COMPUTED_VALUE"""),"F")</f>
        <v>F</v>
      </c>
      <c r="H1517" s="9" t="str">
        <f>IFERROR(__xludf.DUMMYFUNCTION("""COMPUTED_VALUE"""),"FGM")</f>
        <v>FGM</v>
      </c>
      <c r="I1517" s="9" t="str">
        <f>IFERROR(__xludf.DUMMYFUNCTION("""COMPUTED_VALUE"""),"Tel")</f>
        <v>Tel</v>
      </c>
      <c r="J1517" s="9" t="str">
        <f>IFERROR(__xludf.DUMMYFUNCTION("""COMPUTED_VALUE"""),"Cx")</f>
        <v>Cx</v>
      </c>
      <c r="K1517" s="9" t="str">
        <f>IFERROR(__xludf.DUMMYFUNCTION("""COMPUTED_VALUE"""),"PACx")</f>
        <v>PACx</v>
      </c>
      <c r="L1517" s="9" t="str">
        <f>IFERROR(__xludf.DUMMYFUNCTION("""COMPUTED_VALUE"""),"PArCx")</f>
        <v>PArCx</v>
      </c>
      <c r="M1517" s="9" t="str">
        <f>IFERROR(__xludf.DUMMYFUNCTION("""COMPUTED_VALUE"""),"A35")</f>
        <v>A35</v>
      </c>
      <c r="N1517" s="9" t="str">
        <f>IFERROR(__xludf.DUMMYFUNCTION("""COMPUTED_VALUE"""),"A35r")</f>
        <v>A35r</v>
      </c>
      <c r="O1517" s="9" t="str">
        <f>IFERROR(__xludf.DUMMYFUNCTION("""COMPUTED_VALUE"""),"A35r3")</f>
        <v>A35r3</v>
      </c>
      <c r="P1517" s="9" t="str">
        <f>IFERROR(__xludf.DUMMYFUNCTION("""COMPUTED_VALUE"""),"A35r3a")</f>
        <v>A35r3a</v>
      </c>
      <c r="Q1517" s="9"/>
      <c r="R1517" s="9"/>
      <c r="S1517" s="42"/>
      <c r="T1517" s="42"/>
      <c r="U1517" s="42"/>
      <c r="V1517" s="42"/>
      <c r="W1517" s="42"/>
      <c r="X1517" s="42"/>
      <c r="Y1517" s="42"/>
      <c r="Z1517" s="42"/>
      <c r="AA1517" s="42"/>
      <c r="AB1517" s="42" t="str">
        <f>IFERROR(__xludf.DUMMYFUNCTION("""COMPUTED_VALUE"""),"allen institute")</f>
        <v>allen institute</v>
      </c>
      <c r="AC1517" s="42" t="str">
        <f>IFERROR(__xludf.DUMMYFUNCTION("""COMPUTED_VALUE"""),"DHBA")</f>
        <v>DHBA</v>
      </c>
      <c r="AD1517" s="42"/>
      <c r="AE1517" s="42"/>
      <c r="AF1517" s="9"/>
      <c r="AG1517" s="9"/>
      <c r="AH1517" s="42"/>
      <c r="AI1517" s="42"/>
      <c r="AJ1517" s="42"/>
      <c r="AK1517" s="42"/>
      <c r="AL1517" s="42"/>
      <c r="AM1517" s="42"/>
      <c r="AN1517" s="42"/>
      <c r="AO1517" s="63" t="str">
        <f>IFERROR(__xludf.DUMMYFUNCTION("IF(ISBLANK(A1517),,IF(ISBLANK(S1517), A1517&amp;"";"", TEXTJOIN(CHAR(10), TRUE, A1517&amp;"";"", ARRAYFORMULA(VLOOKUP(SPLIT(S1517, "";"" &amp; CHAR(10)), $A:$AO, 41, FALSE)))))"),"A35r3a;")</f>
        <v>A35r3a;</v>
      </c>
      <c r="AP1517" s="89"/>
    </row>
    <row r="1518">
      <c r="A1518" s="151" t="str">
        <f>IFERROR(__xludf.DUMMYFUNCTION("""COMPUTED_VALUE"""),"A35r3b")</f>
        <v>A35r3b</v>
      </c>
      <c r="B1518" s="42" t="str">
        <f>IFERROR(__xludf.DUMMYFUNCTION("""COMPUTED_VALUE"""),"DHBA")</f>
        <v>DHBA</v>
      </c>
      <c r="C1518" s="42" t="str">
        <f>IFERROR(__xludf.DUMMYFUNCTION("""COMPUTED_VALUE"""),"layer IIIb of area 35r")</f>
        <v>layer IIIb of area 35r</v>
      </c>
      <c r="D1518" s="42">
        <f>IFERROR(__xludf.DUMMYFUNCTION("""COMPUTED_VALUE"""),1434.0)</f>
        <v>1434</v>
      </c>
      <c r="E1518" s="39" t="str">
        <f>IFERROR(__xludf.DUMMYFUNCTION("""COMPUTED_VALUE"""),"layer IIIb of area 35r")</f>
        <v>layer IIIb of area 35r</v>
      </c>
      <c r="F1518" s="9" t="str">
        <f>IFERROR(__xludf.DUMMYFUNCTION("""COMPUTED_VALUE"""),"Br")</f>
        <v>Br</v>
      </c>
      <c r="G1518" s="9" t="str">
        <f>IFERROR(__xludf.DUMMYFUNCTION("""COMPUTED_VALUE"""),"F")</f>
        <v>F</v>
      </c>
      <c r="H1518" s="9" t="str">
        <f>IFERROR(__xludf.DUMMYFUNCTION("""COMPUTED_VALUE"""),"FGM")</f>
        <v>FGM</v>
      </c>
      <c r="I1518" s="9" t="str">
        <f>IFERROR(__xludf.DUMMYFUNCTION("""COMPUTED_VALUE"""),"Tel")</f>
        <v>Tel</v>
      </c>
      <c r="J1518" s="9" t="str">
        <f>IFERROR(__xludf.DUMMYFUNCTION("""COMPUTED_VALUE"""),"Cx")</f>
        <v>Cx</v>
      </c>
      <c r="K1518" s="9" t="str">
        <f>IFERROR(__xludf.DUMMYFUNCTION("""COMPUTED_VALUE"""),"PACx")</f>
        <v>PACx</v>
      </c>
      <c r="L1518" s="9" t="str">
        <f>IFERROR(__xludf.DUMMYFUNCTION("""COMPUTED_VALUE"""),"PArCx")</f>
        <v>PArCx</v>
      </c>
      <c r="M1518" s="9" t="str">
        <f>IFERROR(__xludf.DUMMYFUNCTION("""COMPUTED_VALUE"""),"A35")</f>
        <v>A35</v>
      </c>
      <c r="N1518" s="9" t="str">
        <f>IFERROR(__xludf.DUMMYFUNCTION("""COMPUTED_VALUE"""),"A35r")</f>
        <v>A35r</v>
      </c>
      <c r="O1518" s="9" t="str">
        <f>IFERROR(__xludf.DUMMYFUNCTION("""COMPUTED_VALUE"""),"A35r3")</f>
        <v>A35r3</v>
      </c>
      <c r="P1518" s="9" t="str">
        <f>IFERROR(__xludf.DUMMYFUNCTION("""COMPUTED_VALUE"""),"A35r3b")</f>
        <v>A35r3b</v>
      </c>
      <c r="Q1518" s="9"/>
      <c r="R1518" s="9"/>
      <c r="S1518" s="42"/>
      <c r="T1518" s="42"/>
      <c r="U1518" s="42"/>
      <c r="V1518" s="42"/>
      <c r="W1518" s="42"/>
      <c r="X1518" s="42"/>
      <c r="Y1518" s="42"/>
      <c r="Z1518" s="42"/>
      <c r="AA1518" s="42"/>
      <c r="AB1518" s="42" t="str">
        <f>IFERROR(__xludf.DUMMYFUNCTION("""COMPUTED_VALUE"""),"allen institute")</f>
        <v>allen institute</v>
      </c>
      <c r="AC1518" s="42" t="str">
        <f>IFERROR(__xludf.DUMMYFUNCTION("""COMPUTED_VALUE"""),"DHBA")</f>
        <v>DHBA</v>
      </c>
      <c r="AD1518" s="42"/>
      <c r="AE1518" s="42"/>
      <c r="AF1518" s="9"/>
      <c r="AG1518" s="9"/>
      <c r="AH1518" s="42"/>
      <c r="AI1518" s="42"/>
      <c r="AJ1518" s="42"/>
      <c r="AK1518" s="42"/>
      <c r="AL1518" s="42"/>
      <c r="AM1518" s="42"/>
      <c r="AN1518" s="42"/>
      <c r="AO1518" s="63" t="str">
        <f>IFERROR(__xludf.DUMMYFUNCTION("IF(ISBLANK(A1518),,IF(ISBLANK(S1518), A1518&amp;"";"", TEXTJOIN(CHAR(10), TRUE, A1518&amp;"";"", ARRAYFORMULA(VLOOKUP(SPLIT(S1518, "";"" &amp; CHAR(10)), $A:$AO, 41, FALSE)))))"),"A35r3b;")</f>
        <v>A35r3b;</v>
      </c>
      <c r="AP1518" s="89"/>
    </row>
    <row r="1519">
      <c r="A1519" s="151" t="str">
        <f>IFERROR(__xludf.DUMMYFUNCTION("""COMPUTED_VALUE"""),"A35r3u")</f>
        <v>A35r3u</v>
      </c>
      <c r="B1519" s="42" t="str">
        <f>IFERROR(__xludf.DUMMYFUNCTION("""COMPUTED_VALUE"""),"DHBA")</f>
        <v>DHBA</v>
      </c>
      <c r="C1519" s="42" t="str">
        <f>IFERROR(__xludf.DUMMYFUNCTION("""COMPUTED_VALUE"""),"layer IIIu of area 35r")</f>
        <v>layer IIIu of area 35r</v>
      </c>
      <c r="D1519" s="42">
        <f>IFERROR(__xludf.DUMMYFUNCTION("""COMPUTED_VALUE"""),1435.0)</f>
        <v>1435</v>
      </c>
      <c r="E1519" s="39" t="str">
        <f>IFERROR(__xludf.DUMMYFUNCTION("""COMPUTED_VALUE"""),"layer IIIu of area 35r")</f>
        <v>layer IIIu of area 35r</v>
      </c>
      <c r="F1519" s="9" t="str">
        <f>IFERROR(__xludf.DUMMYFUNCTION("""COMPUTED_VALUE"""),"Br")</f>
        <v>Br</v>
      </c>
      <c r="G1519" s="9" t="str">
        <f>IFERROR(__xludf.DUMMYFUNCTION("""COMPUTED_VALUE"""),"F")</f>
        <v>F</v>
      </c>
      <c r="H1519" s="9" t="str">
        <f>IFERROR(__xludf.DUMMYFUNCTION("""COMPUTED_VALUE"""),"FGM")</f>
        <v>FGM</v>
      </c>
      <c r="I1519" s="9" t="str">
        <f>IFERROR(__xludf.DUMMYFUNCTION("""COMPUTED_VALUE"""),"Tel")</f>
        <v>Tel</v>
      </c>
      <c r="J1519" s="9" t="str">
        <f>IFERROR(__xludf.DUMMYFUNCTION("""COMPUTED_VALUE"""),"Cx")</f>
        <v>Cx</v>
      </c>
      <c r="K1519" s="9" t="str">
        <f>IFERROR(__xludf.DUMMYFUNCTION("""COMPUTED_VALUE"""),"PACx")</f>
        <v>PACx</v>
      </c>
      <c r="L1519" s="9" t="str">
        <f>IFERROR(__xludf.DUMMYFUNCTION("""COMPUTED_VALUE"""),"PArCx")</f>
        <v>PArCx</v>
      </c>
      <c r="M1519" s="9" t="str">
        <f>IFERROR(__xludf.DUMMYFUNCTION("""COMPUTED_VALUE"""),"A35")</f>
        <v>A35</v>
      </c>
      <c r="N1519" s="9" t="str">
        <f>IFERROR(__xludf.DUMMYFUNCTION("""COMPUTED_VALUE"""),"A35r")</f>
        <v>A35r</v>
      </c>
      <c r="O1519" s="9" t="str">
        <f>IFERROR(__xludf.DUMMYFUNCTION("""COMPUTED_VALUE"""),"A35r3u")</f>
        <v>A35r3u</v>
      </c>
      <c r="P1519" s="9"/>
      <c r="Q1519" s="9"/>
      <c r="R1519" s="9"/>
      <c r="S1519" s="42"/>
      <c r="T1519" s="42"/>
      <c r="U1519" s="42"/>
      <c r="V1519" s="42"/>
      <c r="W1519" s="42"/>
      <c r="X1519" s="42"/>
      <c r="Y1519" s="42"/>
      <c r="Z1519" s="42"/>
      <c r="AA1519" s="42"/>
      <c r="AB1519" s="42" t="str">
        <f>IFERROR(__xludf.DUMMYFUNCTION("""COMPUTED_VALUE"""),"allen institute")</f>
        <v>allen institute</v>
      </c>
      <c r="AC1519" s="42" t="str">
        <f>IFERROR(__xludf.DUMMYFUNCTION("""COMPUTED_VALUE"""),"DHBA")</f>
        <v>DHBA</v>
      </c>
      <c r="AD1519" s="42"/>
      <c r="AE1519" s="42"/>
      <c r="AF1519" s="9"/>
      <c r="AG1519" s="9"/>
      <c r="AH1519" s="42"/>
      <c r="AI1519" s="42"/>
      <c r="AJ1519" s="42"/>
      <c r="AK1519" s="42"/>
      <c r="AL1519" s="42"/>
      <c r="AM1519" s="42"/>
      <c r="AN1519" s="42"/>
      <c r="AO1519" s="63" t="str">
        <f>IFERROR(__xludf.DUMMYFUNCTION("IF(ISBLANK(A1519),,IF(ISBLANK(S1519), A1519&amp;"";"", TEXTJOIN(CHAR(10), TRUE, A1519&amp;"";"", ARRAYFORMULA(VLOOKUP(SPLIT(S1519, "";"" &amp; CHAR(10)), $A:$AO, 41, FALSE)))))"),"A35r3u;")</f>
        <v>A35r3u;</v>
      </c>
      <c r="AP1519" s="89"/>
    </row>
    <row r="1520">
      <c r="A1520" s="151" t="str">
        <f>IFERROR(__xludf.DUMMYFUNCTION("""COMPUTED_VALUE"""),"A35r5")</f>
        <v>A35r5</v>
      </c>
      <c r="B1520" s="42" t="str">
        <f>IFERROR(__xludf.DUMMYFUNCTION("""COMPUTED_VALUE"""),"DHBA")</f>
        <v>DHBA</v>
      </c>
      <c r="C1520" s="42" t="str">
        <f>IFERROR(__xludf.DUMMYFUNCTION("""COMPUTED_VALUE"""),"layer V of area 35r")</f>
        <v>layer V of area 35r</v>
      </c>
      <c r="D1520" s="42">
        <f>IFERROR(__xludf.DUMMYFUNCTION("""COMPUTED_VALUE"""),1436.0)</f>
        <v>1436</v>
      </c>
      <c r="E1520" s="39" t="str">
        <f>IFERROR(__xludf.DUMMYFUNCTION("""COMPUTED_VALUE"""),"layer V of area 35r")</f>
        <v>layer V of area 35r</v>
      </c>
      <c r="F1520" s="9" t="str">
        <f>IFERROR(__xludf.DUMMYFUNCTION("""COMPUTED_VALUE"""),"Br")</f>
        <v>Br</v>
      </c>
      <c r="G1520" s="9" t="str">
        <f>IFERROR(__xludf.DUMMYFUNCTION("""COMPUTED_VALUE"""),"F")</f>
        <v>F</v>
      </c>
      <c r="H1520" s="9" t="str">
        <f>IFERROR(__xludf.DUMMYFUNCTION("""COMPUTED_VALUE"""),"FGM")</f>
        <v>FGM</v>
      </c>
      <c r="I1520" s="9" t="str">
        <f>IFERROR(__xludf.DUMMYFUNCTION("""COMPUTED_VALUE"""),"Tel")</f>
        <v>Tel</v>
      </c>
      <c r="J1520" s="9" t="str">
        <f>IFERROR(__xludf.DUMMYFUNCTION("""COMPUTED_VALUE"""),"Cx")</f>
        <v>Cx</v>
      </c>
      <c r="K1520" s="9" t="str">
        <f>IFERROR(__xludf.DUMMYFUNCTION("""COMPUTED_VALUE"""),"PACx")</f>
        <v>PACx</v>
      </c>
      <c r="L1520" s="9" t="str">
        <f>IFERROR(__xludf.DUMMYFUNCTION("""COMPUTED_VALUE"""),"PArCx")</f>
        <v>PArCx</v>
      </c>
      <c r="M1520" s="9" t="str">
        <f>IFERROR(__xludf.DUMMYFUNCTION("""COMPUTED_VALUE"""),"A35")</f>
        <v>A35</v>
      </c>
      <c r="N1520" s="9" t="str">
        <f>IFERROR(__xludf.DUMMYFUNCTION("""COMPUTED_VALUE"""),"A35r")</f>
        <v>A35r</v>
      </c>
      <c r="O1520" s="9" t="str">
        <f>IFERROR(__xludf.DUMMYFUNCTION("""COMPUTED_VALUE"""),"A35r5")</f>
        <v>A35r5</v>
      </c>
      <c r="P1520" s="9"/>
      <c r="Q1520" s="9"/>
      <c r="R1520" s="9"/>
      <c r="S1520" s="42"/>
      <c r="T1520" s="42"/>
      <c r="U1520" s="42"/>
      <c r="V1520" s="42"/>
      <c r="W1520" s="42"/>
      <c r="X1520" s="42"/>
      <c r="Y1520" s="42"/>
      <c r="Z1520" s="42"/>
      <c r="AA1520" s="42"/>
      <c r="AB1520" s="42" t="str">
        <f>IFERROR(__xludf.DUMMYFUNCTION("""COMPUTED_VALUE"""),"allen institute")</f>
        <v>allen institute</v>
      </c>
      <c r="AC1520" s="42" t="str">
        <f>IFERROR(__xludf.DUMMYFUNCTION("""COMPUTED_VALUE"""),"DHBA")</f>
        <v>DHBA</v>
      </c>
      <c r="AD1520" s="42"/>
      <c r="AE1520" s="42"/>
      <c r="AF1520" s="9"/>
      <c r="AG1520" s="9"/>
      <c r="AH1520" s="42"/>
      <c r="AI1520" s="42"/>
      <c r="AJ1520" s="42"/>
      <c r="AK1520" s="42"/>
      <c r="AL1520" s="42"/>
      <c r="AM1520" s="42"/>
      <c r="AN1520" s="42"/>
      <c r="AO1520" s="63" t="str">
        <f>IFERROR(__xludf.DUMMYFUNCTION("IF(ISBLANK(A1520),,IF(ISBLANK(S1520), A1520&amp;"";"", TEXTJOIN(CHAR(10), TRUE, A1520&amp;"";"", ARRAYFORMULA(VLOOKUP(SPLIT(S1520, "";"" &amp; CHAR(10)), $A:$AO, 41, FALSE)))))"),"A35r5;")</f>
        <v>A35r5;</v>
      </c>
      <c r="AP1520" s="89"/>
    </row>
    <row r="1521">
      <c r="A1521" s="151" t="str">
        <f>IFERROR(__xludf.DUMMYFUNCTION("""COMPUTED_VALUE"""),"A35r6")</f>
        <v>A35r6</v>
      </c>
      <c r="B1521" s="42" t="str">
        <f>IFERROR(__xludf.DUMMYFUNCTION("""COMPUTED_VALUE"""),"DHBA")</f>
        <v>DHBA</v>
      </c>
      <c r="C1521" s="42" t="str">
        <f>IFERROR(__xludf.DUMMYFUNCTION("""COMPUTED_VALUE"""),"layer VI of area 35r")</f>
        <v>layer VI of area 35r</v>
      </c>
      <c r="D1521" s="42">
        <f>IFERROR(__xludf.DUMMYFUNCTION("""COMPUTED_VALUE"""),1437.0)</f>
        <v>1437</v>
      </c>
      <c r="E1521" s="39" t="str">
        <f>IFERROR(__xludf.DUMMYFUNCTION("""COMPUTED_VALUE"""),"layer VI of area 35r")</f>
        <v>layer VI of area 35r</v>
      </c>
      <c r="F1521" s="9" t="str">
        <f>IFERROR(__xludf.DUMMYFUNCTION("""COMPUTED_VALUE"""),"Br")</f>
        <v>Br</v>
      </c>
      <c r="G1521" s="9" t="str">
        <f>IFERROR(__xludf.DUMMYFUNCTION("""COMPUTED_VALUE"""),"F")</f>
        <v>F</v>
      </c>
      <c r="H1521" s="9" t="str">
        <f>IFERROR(__xludf.DUMMYFUNCTION("""COMPUTED_VALUE"""),"FGM")</f>
        <v>FGM</v>
      </c>
      <c r="I1521" s="9" t="str">
        <f>IFERROR(__xludf.DUMMYFUNCTION("""COMPUTED_VALUE"""),"Tel")</f>
        <v>Tel</v>
      </c>
      <c r="J1521" s="9" t="str">
        <f>IFERROR(__xludf.DUMMYFUNCTION("""COMPUTED_VALUE"""),"Cx")</f>
        <v>Cx</v>
      </c>
      <c r="K1521" s="9" t="str">
        <f>IFERROR(__xludf.DUMMYFUNCTION("""COMPUTED_VALUE"""),"PACx")</f>
        <v>PACx</v>
      </c>
      <c r="L1521" s="9" t="str">
        <f>IFERROR(__xludf.DUMMYFUNCTION("""COMPUTED_VALUE"""),"PArCx")</f>
        <v>PArCx</v>
      </c>
      <c r="M1521" s="9" t="str">
        <f>IFERROR(__xludf.DUMMYFUNCTION("""COMPUTED_VALUE"""),"A35")</f>
        <v>A35</v>
      </c>
      <c r="N1521" s="9" t="str">
        <f>IFERROR(__xludf.DUMMYFUNCTION("""COMPUTED_VALUE"""),"A35r")</f>
        <v>A35r</v>
      </c>
      <c r="O1521" s="9" t="str">
        <f>IFERROR(__xludf.DUMMYFUNCTION("""COMPUTED_VALUE"""),"A35r6")</f>
        <v>A35r6</v>
      </c>
      <c r="P1521" s="9"/>
      <c r="Q1521" s="9"/>
      <c r="R1521" s="9"/>
      <c r="S1521" s="42"/>
      <c r="T1521" s="42"/>
      <c r="U1521" s="42"/>
      <c r="V1521" s="42"/>
      <c r="W1521" s="42"/>
      <c r="X1521" s="42"/>
      <c r="Y1521" s="42"/>
      <c r="Z1521" s="42"/>
      <c r="AA1521" s="42"/>
      <c r="AB1521" s="42" t="str">
        <f>IFERROR(__xludf.DUMMYFUNCTION("""COMPUTED_VALUE"""),"allen institute")</f>
        <v>allen institute</v>
      </c>
      <c r="AC1521" s="42" t="str">
        <f>IFERROR(__xludf.DUMMYFUNCTION("""COMPUTED_VALUE"""),"DHBA")</f>
        <v>DHBA</v>
      </c>
      <c r="AD1521" s="42"/>
      <c r="AE1521" s="42"/>
      <c r="AF1521" s="9"/>
      <c r="AG1521" s="9"/>
      <c r="AH1521" s="42"/>
      <c r="AI1521" s="42"/>
      <c r="AJ1521" s="42"/>
      <c r="AK1521" s="42"/>
      <c r="AL1521" s="42"/>
      <c r="AM1521" s="42"/>
      <c r="AN1521" s="42"/>
      <c r="AO1521" s="63" t="str">
        <f>IFERROR(__xludf.DUMMYFUNCTION("IF(ISBLANK(A1521),,IF(ISBLANK(S1521), A1521&amp;"";"", TEXTJOIN(CHAR(10), TRUE, A1521&amp;"";"", ARRAYFORMULA(VLOOKUP(SPLIT(S1521, "";"" &amp; CHAR(10)), $A:$AO, 41, FALSE)))))"),"A35r6;")</f>
        <v>A35r6;</v>
      </c>
      <c r="AP1521" s="89"/>
    </row>
    <row r="1522">
      <c r="A1522" s="151" t="str">
        <f>IFERROR(__xludf.DUMMYFUNCTION("""COMPUTED_VALUE"""),"A35c")</f>
        <v>A35c</v>
      </c>
      <c r="B1522" s="42" t="str">
        <f>IFERROR(__xludf.DUMMYFUNCTION("""COMPUTED_VALUE"""),"DHBA")</f>
        <v>DHBA</v>
      </c>
      <c r="C1522" s="42" t="str">
        <f>IFERROR(__xludf.DUMMYFUNCTION("""COMPUTED_VALUE"""),"caudal subdivision of area 35")</f>
        <v>caudal subdivision of area 35</v>
      </c>
      <c r="D1522" s="42">
        <f>IFERROR(__xludf.DUMMYFUNCTION("""COMPUTED_VALUE"""),1438.0)</f>
        <v>1438</v>
      </c>
      <c r="E1522" s="39" t="str">
        <f>IFERROR(__xludf.DUMMYFUNCTION("""COMPUTED_VALUE"""),"caudal subdivision of area 35")</f>
        <v>caudal subdivision of area 35</v>
      </c>
      <c r="F1522" s="9" t="str">
        <f>IFERROR(__xludf.DUMMYFUNCTION("""COMPUTED_VALUE"""),"Br")</f>
        <v>Br</v>
      </c>
      <c r="G1522" s="9" t="str">
        <f>IFERROR(__xludf.DUMMYFUNCTION("""COMPUTED_VALUE"""),"F")</f>
        <v>F</v>
      </c>
      <c r="H1522" s="9" t="str">
        <f>IFERROR(__xludf.DUMMYFUNCTION("""COMPUTED_VALUE"""),"FGM")</f>
        <v>FGM</v>
      </c>
      <c r="I1522" s="9" t="str">
        <f>IFERROR(__xludf.DUMMYFUNCTION("""COMPUTED_VALUE"""),"Tel")</f>
        <v>Tel</v>
      </c>
      <c r="J1522" s="9" t="str">
        <f>IFERROR(__xludf.DUMMYFUNCTION("""COMPUTED_VALUE"""),"Cx")</f>
        <v>Cx</v>
      </c>
      <c r="K1522" s="9" t="str">
        <f>IFERROR(__xludf.DUMMYFUNCTION("""COMPUTED_VALUE"""),"PACx")</f>
        <v>PACx</v>
      </c>
      <c r="L1522" s="9" t="str">
        <f>IFERROR(__xludf.DUMMYFUNCTION("""COMPUTED_VALUE"""),"PArCx")</f>
        <v>PArCx</v>
      </c>
      <c r="M1522" s="9" t="str">
        <f>IFERROR(__xludf.DUMMYFUNCTION("""COMPUTED_VALUE"""),"A35")</f>
        <v>A35</v>
      </c>
      <c r="N1522" s="9" t="str">
        <f>IFERROR(__xludf.DUMMYFUNCTION("""COMPUTED_VALUE"""),"A35c")</f>
        <v>A35c</v>
      </c>
      <c r="O1522" s="9"/>
      <c r="P1522" s="9"/>
      <c r="Q1522" s="9"/>
      <c r="R1522" s="9"/>
      <c r="S1522" s="42" t="str">
        <f>IFERROR(__xludf.DUMMYFUNCTION("""COMPUTED_VALUE"""),"A35c1;
A35c2;
A35c3;
A35c3u;
A35c5;
A35c6")</f>
        <v>A35c1;
A35c2;
A35c3;
A35c3u;
A35c5;
A35c6</v>
      </c>
      <c r="T1522" s="42"/>
      <c r="U1522" s="42" t="b">
        <f>IFERROR(__xludf.DUMMYFUNCTION("""COMPUTED_VALUE"""),FALSE)</f>
        <v>0</v>
      </c>
      <c r="V1522" s="42"/>
      <c r="W1522" s="42"/>
      <c r="X1522" s="42"/>
      <c r="Y1522" s="42"/>
      <c r="Z1522" s="42"/>
      <c r="AA1522" s="42"/>
      <c r="AB1522" s="42" t="str">
        <f>IFERROR(__xludf.DUMMYFUNCTION("""COMPUTED_VALUE"""),"allen institute")</f>
        <v>allen institute</v>
      </c>
      <c r="AC1522" s="42" t="str">
        <f>IFERROR(__xludf.DUMMYFUNCTION("""COMPUTED_VALUE"""),"DHBA")</f>
        <v>DHBA</v>
      </c>
      <c r="AD1522" s="42"/>
      <c r="AE1522" s="42"/>
      <c r="AF1522" s="9"/>
      <c r="AG1522" s="9"/>
      <c r="AH1522" s="42"/>
      <c r="AI1522" s="42"/>
      <c r="AJ1522" s="42"/>
      <c r="AK1522" s="42"/>
      <c r="AL1522" s="42"/>
      <c r="AM1522" s="42"/>
      <c r="AN1522" s="42"/>
      <c r="AO1522" s="63" t="str">
        <f>IFERROR(__xludf.DUMMYFUNCTION("IF(ISBLANK(A1522),,IF(ISBLANK(S1522), A1522&amp;"";"", TEXTJOIN(CHAR(10), TRUE, A1522&amp;"";"", ARRAYFORMULA(VLOOKUP(SPLIT(S1522, "";"" &amp; CHAR(10)), $A:$AO, 41, FALSE)))))"),"A35c;
A35c1;
A35c2;
A35c3;
A35c3a;
A35c3b;
A35c3u;
A35c5;
A35c6;")</f>
        <v>A35c;
A35c1;
A35c2;
A35c3;
A35c3a;
A35c3b;
A35c3u;
A35c5;
A35c6;</v>
      </c>
      <c r="AP1522" s="89"/>
    </row>
    <row r="1523">
      <c r="A1523" s="151" t="str">
        <f>IFERROR(__xludf.DUMMYFUNCTION("""COMPUTED_VALUE"""),"A35c1")</f>
        <v>A35c1</v>
      </c>
      <c r="B1523" s="42" t="str">
        <f>IFERROR(__xludf.DUMMYFUNCTION("""COMPUTED_VALUE"""),"DHBA")</f>
        <v>DHBA</v>
      </c>
      <c r="C1523" s="42" t="str">
        <f>IFERROR(__xludf.DUMMYFUNCTION("""COMPUTED_VALUE"""),"layer I of area 35c")</f>
        <v>layer I of area 35c</v>
      </c>
      <c r="D1523" s="42">
        <f>IFERROR(__xludf.DUMMYFUNCTION("""COMPUTED_VALUE"""),1439.0)</f>
        <v>1439</v>
      </c>
      <c r="E1523" s="39" t="str">
        <f>IFERROR(__xludf.DUMMYFUNCTION("""COMPUTED_VALUE"""),"layer I of area 35c")</f>
        <v>layer I of area 35c</v>
      </c>
      <c r="F1523" s="9" t="str">
        <f>IFERROR(__xludf.DUMMYFUNCTION("""COMPUTED_VALUE"""),"Br")</f>
        <v>Br</v>
      </c>
      <c r="G1523" s="9" t="str">
        <f>IFERROR(__xludf.DUMMYFUNCTION("""COMPUTED_VALUE"""),"F")</f>
        <v>F</v>
      </c>
      <c r="H1523" s="9" t="str">
        <f>IFERROR(__xludf.DUMMYFUNCTION("""COMPUTED_VALUE"""),"FGM")</f>
        <v>FGM</v>
      </c>
      <c r="I1523" s="9" t="str">
        <f>IFERROR(__xludf.DUMMYFUNCTION("""COMPUTED_VALUE"""),"Tel")</f>
        <v>Tel</v>
      </c>
      <c r="J1523" s="9" t="str">
        <f>IFERROR(__xludf.DUMMYFUNCTION("""COMPUTED_VALUE"""),"Cx")</f>
        <v>Cx</v>
      </c>
      <c r="K1523" s="9" t="str">
        <f>IFERROR(__xludf.DUMMYFUNCTION("""COMPUTED_VALUE"""),"PACx")</f>
        <v>PACx</v>
      </c>
      <c r="L1523" s="9" t="str">
        <f>IFERROR(__xludf.DUMMYFUNCTION("""COMPUTED_VALUE"""),"PArCx")</f>
        <v>PArCx</v>
      </c>
      <c r="M1523" s="9" t="str">
        <f>IFERROR(__xludf.DUMMYFUNCTION("""COMPUTED_VALUE"""),"A35")</f>
        <v>A35</v>
      </c>
      <c r="N1523" s="9" t="str">
        <f>IFERROR(__xludf.DUMMYFUNCTION("""COMPUTED_VALUE"""),"A35c")</f>
        <v>A35c</v>
      </c>
      <c r="O1523" s="9" t="str">
        <f>IFERROR(__xludf.DUMMYFUNCTION("""COMPUTED_VALUE"""),"A35c1")</f>
        <v>A35c1</v>
      </c>
      <c r="P1523" s="9"/>
      <c r="Q1523" s="9"/>
      <c r="R1523" s="9"/>
      <c r="S1523" s="42"/>
      <c r="T1523" s="42"/>
      <c r="U1523" s="42"/>
      <c r="V1523" s="42"/>
      <c r="W1523" s="42"/>
      <c r="X1523" s="42"/>
      <c r="Y1523" s="42"/>
      <c r="Z1523" s="42"/>
      <c r="AA1523" s="42"/>
      <c r="AB1523" s="42" t="str">
        <f>IFERROR(__xludf.DUMMYFUNCTION("""COMPUTED_VALUE"""),"allen institute")</f>
        <v>allen institute</v>
      </c>
      <c r="AC1523" s="42" t="str">
        <f>IFERROR(__xludf.DUMMYFUNCTION("""COMPUTED_VALUE"""),"DHBA")</f>
        <v>DHBA</v>
      </c>
      <c r="AD1523" s="42"/>
      <c r="AE1523" s="42"/>
      <c r="AF1523" s="9"/>
      <c r="AG1523" s="9"/>
      <c r="AH1523" s="42"/>
      <c r="AI1523" s="42"/>
      <c r="AJ1523" s="42"/>
      <c r="AK1523" s="42"/>
      <c r="AL1523" s="42"/>
      <c r="AM1523" s="42"/>
      <c r="AN1523" s="42"/>
      <c r="AO1523" s="63" t="str">
        <f>IFERROR(__xludf.DUMMYFUNCTION("IF(ISBLANK(A1523),,IF(ISBLANK(S1523), A1523&amp;"";"", TEXTJOIN(CHAR(10), TRUE, A1523&amp;"";"", ARRAYFORMULA(VLOOKUP(SPLIT(S1523, "";"" &amp; CHAR(10)), $A:$AO, 41, FALSE)))))"),"A35c1;")</f>
        <v>A35c1;</v>
      </c>
      <c r="AP1523" s="89"/>
    </row>
    <row r="1524">
      <c r="A1524" s="151" t="str">
        <f>IFERROR(__xludf.DUMMYFUNCTION("""COMPUTED_VALUE"""),"A35c2")</f>
        <v>A35c2</v>
      </c>
      <c r="B1524" s="42" t="str">
        <f>IFERROR(__xludf.DUMMYFUNCTION("""COMPUTED_VALUE"""),"DHBA")</f>
        <v>DHBA</v>
      </c>
      <c r="C1524" s="42" t="str">
        <f>IFERROR(__xludf.DUMMYFUNCTION("""COMPUTED_VALUE"""),"layer II of area 35c")</f>
        <v>layer II of area 35c</v>
      </c>
      <c r="D1524" s="42">
        <f>IFERROR(__xludf.DUMMYFUNCTION("""COMPUTED_VALUE"""),1440.0)</f>
        <v>1440</v>
      </c>
      <c r="E1524" s="39" t="str">
        <f>IFERROR(__xludf.DUMMYFUNCTION("""COMPUTED_VALUE"""),"layer II of area 35c")</f>
        <v>layer II of area 35c</v>
      </c>
      <c r="F1524" s="9" t="str">
        <f>IFERROR(__xludf.DUMMYFUNCTION("""COMPUTED_VALUE"""),"Br")</f>
        <v>Br</v>
      </c>
      <c r="G1524" s="9" t="str">
        <f>IFERROR(__xludf.DUMMYFUNCTION("""COMPUTED_VALUE"""),"F")</f>
        <v>F</v>
      </c>
      <c r="H1524" s="9" t="str">
        <f>IFERROR(__xludf.DUMMYFUNCTION("""COMPUTED_VALUE"""),"FGM")</f>
        <v>FGM</v>
      </c>
      <c r="I1524" s="9" t="str">
        <f>IFERROR(__xludf.DUMMYFUNCTION("""COMPUTED_VALUE"""),"Tel")</f>
        <v>Tel</v>
      </c>
      <c r="J1524" s="9" t="str">
        <f>IFERROR(__xludf.DUMMYFUNCTION("""COMPUTED_VALUE"""),"Cx")</f>
        <v>Cx</v>
      </c>
      <c r="K1524" s="9" t="str">
        <f>IFERROR(__xludf.DUMMYFUNCTION("""COMPUTED_VALUE"""),"PACx")</f>
        <v>PACx</v>
      </c>
      <c r="L1524" s="9" t="str">
        <f>IFERROR(__xludf.DUMMYFUNCTION("""COMPUTED_VALUE"""),"PArCx")</f>
        <v>PArCx</v>
      </c>
      <c r="M1524" s="9" t="str">
        <f>IFERROR(__xludf.DUMMYFUNCTION("""COMPUTED_VALUE"""),"A35")</f>
        <v>A35</v>
      </c>
      <c r="N1524" s="9" t="str">
        <f>IFERROR(__xludf.DUMMYFUNCTION("""COMPUTED_VALUE"""),"A35c")</f>
        <v>A35c</v>
      </c>
      <c r="O1524" s="9" t="str">
        <f>IFERROR(__xludf.DUMMYFUNCTION("""COMPUTED_VALUE"""),"A35c2")</f>
        <v>A35c2</v>
      </c>
      <c r="P1524" s="9"/>
      <c r="Q1524" s="9"/>
      <c r="R1524" s="9"/>
      <c r="S1524" s="42"/>
      <c r="T1524" s="42"/>
      <c r="U1524" s="42"/>
      <c r="V1524" s="42"/>
      <c r="W1524" s="42"/>
      <c r="X1524" s="42"/>
      <c r="Y1524" s="42"/>
      <c r="Z1524" s="42"/>
      <c r="AA1524" s="42"/>
      <c r="AB1524" s="42" t="str">
        <f>IFERROR(__xludf.DUMMYFUNCTION("""COMPUTED_VALUE"""),"allen institute")</f>
        <v>allen institute</v>
      </c>
      <c r="AC1524" s="42" t="str">
        <f>IFERROR(__xludf.DUMMYFUNCTION("""COMPUTED_VALUE"""),"DHBA")</f>
        <v>DHBA</v>
      </c>
      <c r="AD1524" s="42"/>
      <c r="AE1524" s="42"/>
      <c r="AF1524" s="9"/>
      <c r="AG1524" s="9"/>
      <c r="AH1524" s="42"/>
      <c r="AI1524" s="42"/>
      <c r="AJ1524" s="42"/>
      <c r="AK1524" s="42"/>
      <c r="AL1524" s="42"/>
      <c r="AM1524" s="42"/>
      <c r="AN1524" s="42"/>
      <c r="AO1524" s="63" t="str">
        <f>IFERROR(__xludf.DUMMYFUNCTION("IF(ISBLANK(A1524),,IF(ISBLANK(S1524), A1524&amp;"";"", TEXTJOIN(CHAR(10), TRUE, A1524&amp;"";"", ARRAYFORMULA(VLOOKUP(SPLIT(S1524, "";"" &amp; CHAR(10)), $A:$AO, 41, FALSE)))))"),"A35c2;")</f>
        <v>A35c2;</v>
      </c>
      <c r="AP1524" s="89"/>
    </row>
    <row r="1525">
      <c r="A1525" s="151" t="str">
        <f>IFERROR(__xludf.DUMMYFUNCTION("""COMPUTED_VALUE"""),"A35c3")</f>
        <v>A35c3</v>
      </c>
      <c r="B1525" s="42" t="str">
        <f>IFERROR(__xludf.DUMMYFUNCTION("""COMPUTED_VALUE"""),"DHBA")</f>
        <v>DHBA</v>
      </c>
      <c r="C1525" s="42" t="str">
        <f>IFERROR(__xludf.DUMMYFUNCTION("""COMPUTED_VALUE"""),"layer III of area 35c")</f>
        <v>layer III of area 35c</v>
      </c>
      <c r="D1525" s="42">
        <f>IFERROR(__xludf.DUMMYFUNCTION("""COMPUTED_VALUE"""),1441.0)</f>
        <v>1441</v>
      </c>
      <c r="E1525" s="39" t="str">
        <f>IFERROR(__xludf.DUMMYFUNCTION("""COMPUTED_VALUE"""),"layer III of area 35c")</f>
        <v>layer III of area 35c</v>
      </c>
      <c r="F1525" s="9" t="str">
        <f>IFERROR(__xludf.DUMMYFUNCTION("""COMPUTED_VALUE"""),"Br")</f>
        <v>Br</v>
      </c>
      <c r="G1525" s="9" t="str">
        <f>IFERROR(__xludf.DUMMYFUNCTION("""COMPUTED_VALUE"""),"F")</f>
        <v>F</v>
      </c>
      <c r="H1525" s="9" t="str">
        <f>IFERROR(__xludf.DUMMYFUNCTION("""COMPUTED_VALUE"""),"FGM")</f>
        <v>FGM</v>
      </c>
      <c r="I1525" s="9" t="str">
        <f>IFERROR(__xludf.DUMMYFUNCTION("""COMPUTED_VALUE"""),"Tel")</f>
        <v>Tel</v>
      </c>
      <c r="J1525" s="9" t="str">
        <f>IFERROR(__xludf.DUMMYFUNCTION("""COMPUTED_VALUE"""),"Cx")</f>
        <v>Cx</v>
      </c>
      <c r="K1525" s="9" t="str">
        <f>IFERROR(__xludf.DUMMYFUNCTION("""COMPUTED_VALUE"""),"PACx")</f>
        <v>PACx</v>
      </c>
      <c r="L1525" s="9" t="str">
        <f>IFERROR(__xludf.DUMMYFUNCTION("""COMPUTED_VALUE"""),"PArCx")</f>
        <v>PArCx</v>
      </c>
      <c r="M1525" s="9" t="str">
        <f>IFERROR(__xludf.DUMMYFUNCTION("""COMPUTED_VALUE"""),"A35")</f>
        <v>A35</v>
      </c>
      <c r="N1525" s="9" t="str">
        <f>IFERROR(__xludf.DUMMYFUNCTION("""COMPUTED_VALUE"""),"A35c")</f>
        <v>A35c</v>
      </c>
      <c r="O1525" s="9" t="str">
        <f>IFERROR(__xludf.DUMMYFUNCTION("""COMPUTED_VALUE"""),"A35c3")</f>
        <v>A35c3</v>
      </c>
      <c r="P1525" s="9"/>
      <c r="Q1525" s="9"/>
      <c r="R1525" s="9"/>
      <c r="S1525" s="42" t="str">
        <f>IFERROR(__xludf.DUMMYFUNCTION("""COMPUTED_VALUE"""),"A35c3a;
A35c3b")</f>
        <v>A35c3a;
A35c3b</v>
      </c>
      <c r="T1525" s="42"/>
      <c r="U1525" s="42" t="b">
        <f>IFERROR(__xludf.DUMMYFUNCTION("""COMPUTED_VALUE"""),FALSE)</f>
        <v>0</v>
      </c>
      <c r="V1525" s="42"/>
      <c r="W1525" s="42"/>
      <c r="X1525" s="42"/>
      <c r="Y1525" s="42"/>
      <c r="Z1525" s="42"/>
      <c r="AA1525" s="42"/>
      <c r="AB1525" s="42" t="str">
        <f>IFERROR(__xludf.DUMMYFUNCTION("""COMPUTED_VALUE"""),"allen institute")</f>
        <v>allen institute</v>
      </c>
      <c r="AC1525" s="42" t="str">
        <f>IFERROR(__xludf.DUMMYFUNCTION("""COMPUTED_VALUE"""),"DHBA")</f>
        <v>DHBA</v>
      </c>
      <c r="AD1525" s="42"/>
      <c r="AE1525" s="42"/>
      <c r="AF1525" s="9"/>
      <c r="AG1525" s="9"/>
      <c r="AH1525" s="42"/>
      <c r="AI1525" s="42"/>
      <c r="AJ1525" s="42"/>
      <c r="AK1525" s="42"/>
      <c r="AL1525" s="42"/>
      <c r="AM1525" s="42"/>
      <c r="AN1525" s="42"/>
      <c r="AO1525" s="63" t="str">
        <f>IFERROR(__xludf.DUMMYFUNCTION("IF(ISBLANK(A1525),,IF(ISBLANK(S1525), A1525&amp;"";"", TEXTJOIN(CHAR(10), TRUE, A1525&amp;"";"", ARRAYFORMULA(VLOOKUP(SPLIT(S1525, "";"" &amp; CHAR(10)), $A:$AO, 41, FALSE)))))"),"A35c3;
A35c3a;
A35c3b;")</f>
        <v>A35c3;
A35c3a;
A35c3b;</v>
      </c>
      <c r="AP1525" s="89"/>
    </row>
    <row r="1526">
      <c r="A1526" s="151" t="str">
        <f>IFERROR(__xludf.DUMMYFUNCTION("""COMPUTED_VALUE"""),"A35c3a")</f>
        <v>A35c3a</v>
      </c>
      <c r="B1526" s="42" t="str">
        <f>IFERROR(__xludf.DUMMYFUNCTION("""COMPUTED_VALUE"""),"DHBA")</f>
        <v>DHBA</v>
      </c>
      <c r="C1526" s="42" t="str">
        <f>IFERROR(__xludf.DUMMYFUNCTION("""COMPUTED_VALUE"""),"layer IIIa of area 35c")</f>
        <v>layer IIIa of area 35c</v>
      </c>
      <c r="D1526" s="42">
        <f>IFERROR(__xludf.DUMMYFUNCTION("""COMPUTED_VALUE"""),1442.0)</f>
        <v>1442</v>
      </c>
      <c r="E1526" s="39" t="str">
        <f>IFERROR(__xludf.DUMMYFUNCTION("""COMPUTED_VALUE"""),"layer IIIa of area 35c")</f>
        <v>layer IIIa of area 35c</v>
      </c>
      <c r="F1526" s="9" t="str">
        <f>IFERROR(__xludf.DUMMYFUNCTION("""COMPUTED_VALUE"""),"Br")</f>
        <v>Br</v>
      </c>
      <c r="G1526" s="9" t="str">
        <f>IFERROR(__xludf.DUMMYFUNCTION("""COMPUTED_VALUE"""),"F")</f>
        <v>F</v>
      </c>
      <c r="H1526" s="9" t="str">
        <f>IFERROR(__xludf.DUMMYFUNCTION("""COMPUTED_VALUE"""),"FGM")</f>
        <v>FGM</v>
      </c>
      <c r="I1526" s="9" t="str">
        <f>IFERROR(__xludf.DUMMYFUNCTION("""COMPUTED_VALUE"""),"Tel")</f>
        <v>Tel</v>
      </c>
      <c r="J1526" s="9" t="str">
        <f>IFERROR(__xludf.DUMMYFUNCTION("""COMPUTED_VALUE"""),"Cx")</f>
        <v>Cx</v>
      </c>
      <c r="K1526" s="9" t="str">
        <f>IFERROR(__xludf.DUMMYFUNCTION("""COMPUTED_VALUE"""),"PACx")</f>
        <v>PACx</v>
      </c>
      <c r="L1526" s="9" t="str">
        <f>IFERROR(__xludf.DUMMYFUNCTION("""COMPUTED_VALUE"""),"PArCx")</f>
        <v>PArCx</v>
      </c>
      <c r="M1526" s="9" t="str">
        <f>IFERROR(__xludf.DUMMYFUNCTION("""COMPUTED_VALUE"""),"A35")</f>
        <v>A35</v>
      </c>
      <c r="N1526" s="9" t="str">
        <f>IFERROR(__xludf.DUMMYFUNCTION("""COMPUTED_VALUE"""),"A35c")</f>
        <v>A35c</v>
      </c>
      <c r="O1526" s="9" t="str">
        <f>IFERROR(__xludf.DUMMYFUNCTION("""COMPUTED_VALUE"""),"A35c3")</f>
        <v>A35c3</v>
      </c>
      <c r="P1526" s="9" t="str">
        <f>IFERROR(__xludf.DUMMYFUNCTION("""COMPUTED_VALUE"""),"A35c3a")</f>
        <v>A35c3a</v>
      </c>
      <c r="Q1526" s="9"/>
      <c r="R1526" s="9"/>
      <c r="S1526" s="42"/>
      <c r="T1526" s="42"/>
      <c r="U1526" s="42"/>
      <c r="V1526" s="42"/>
      <c r="W1526" s="42"/>
      <c r="X1526" s="42"/>
      <c r="Y1526" s="42"/>
      <c r="Z1526" s="42"/>
      <c r="AA1526" s="42"/>
      <c r="AB1526" s="42" t="str">
        <f>IFERROR(__xludf.DUMMYFUNCTION("""COMPUTED_VALUE"""),"allen institute")</f>
        <v>allen institute</v>
      </c>
      <c r="AC1526" s="42" t="str">
        <f>IFERROR(__xludf.DUMMYFUNCTION("""COMPUTED_VALUE"""),"DHBA")</f>
        <v>DHBA</v>
      </c>
      <c r="AD1526" s="42"/>
      <c r="AE1526" s="42"/>
      <c r="AF1526" s="9"/>
      <c r="AG1526" s="9"/>
      <c r="AH1526" s="42"/>
      <c r="AI1526" s="42"/>
      <c r="AJ1526" s="42"/>
      <c r="AK1526" s="42"/>
      <c r="AL1526" s="42"/>
      <c r="AM1526" s="42"/>
      <c r="AN1526" s="42"/>
      <c r="AO1526" s="63" t="str">
        <f>IFERROR(__xludf.DUMMYFUNCTION("IF(ISBLANK(A1526),,IF(ISBLANK(S1526), A1526&amp;"";"", TEXTJOIN(CHAR(10), TRUE, A1526&amp;"";"", ARRAYFORMULA(VLOOKUP(SPLIT(S1526, "";"" &amp; CHAR(10)), $A:$AO, 41, FALSE)))))"),"A35c3a;")</f>
        <v>A35c3a;</v>
      </c>
      <c r="AP1526" s="89"/>
    </row>
    <row r="1527">
      <c r="A1527" s="151" t="str">
        <f>IFERROR(__xludf.DUMMYFUNCTION("""COMPUTED_VALUE"""),"A35c3b")</f>
        <v>A35c3b</v>
      </c>
      <c r="B1527" s="42" t="str">
        <f>IFERROR(__xludf.DUMMYFUNCTION("""COMPUTED_VALUE"""),"DHBA")</f>
        <v>DHBA</v>
      </c>
      <c r="C1527" s="42" t="str">
        <f>IFERROR(__xludf.DUMMYFUNCTION("""COMPUTED_VALUE"""),"layer IIIb of area 35c")</f>
        <v>layer IIIb of area 35c</v>
      </c>
      <c r="D1527" s="42">
        <f>IFERROR(__xludf.DUMMYFUNCTION("""COMPUTED_VALUE"""),1443.0)</f>
        <v>1443</v>
      </c>
      <c r="E1527" s="39" t="str">
        <f>IFERROR(__xludf.DUMMYFUNCTION("""COMPUTED_VALUE"""),"layer IIIb of area 35c")</f>
        <v>layer IIIb of area 35c</v>
      </c>
      <c r="F1527" s="9" t="str">
        <f>IFERROR(__xludf.DUMMYFUNCTION("""COMPUTED_VALUE"""),"Br")</f>
        <v>Br</v>
      </c>
      <c r="G1527" s="9" t="str">
        <f>IFERROR(__xludf.DUMMYFUNCTION("""COMPUTED_VALUE"""),"F")</f>
        <v>F</v>
      </c>
      <c r="H1527" s="9" t="str">
        <f>IFERROR(__xludf.DUMMYFUNCTION("""COMPUTED_VALUE"""),"FGM")</f>
        <v>FGM</v>
      </c>
      <c r="I1527" s="9" t="str">
        <f>IFERROR(__xludf.DUMMYFUNCTION("""COMPUTED_VALUE"""),"Tel")</f>
        <v>Tel</v>
      </c>
      <c r="J1527" s="9" t="str">
        <f>IFERROR(__xludf.DUMMYFUNCTION("""COMPUTED_VALUE"""),"Cx")</f>
        <v>Cx</v>
      </c>
      <c r="K1527" s="9" t="str">
        <f>IFERROR(__xludf.DUMMYFUNCTION("""COMPUTED_VALUE"""),"PACx")</f>
        <v>PACx</v>
      </c>
      <c r="L1527" s="9" t="str">
        <f>IFERROR(__xludf.DUMMYFUNCTION("""COMPUTED_VALUE"""),"PArCx")</f>
        <v>PArCx</v>
      </c>
      <c r="M1527" s="9" t="str">
        <f>IFERROR(__xludf.DUMMYFUNCTION("""COMPUTED_VALUE"""),"A35")</f>
        <v>A35</v>
      </c>
      <c r="N1527" s="9" t="str">
        <f>IFERROR(__xludf.DUMMYFUNCTION("""COMPUTED_VALUE"""),"A35c")</f>
        <v>A35c</v>
      </c>
      <c r="O1527" s="9" t="str">
        <f>IFERROR(__xludf.DUMMYFUNCTION("""COMPUTED_VALUE"""),"A35c3")</f>
        <v>A35c3</v>
      </c>
      <c r="P1527" s="9" t="str">
        <f>IFERROR(__xludf.DUMMYFUNCTION("""COMPUTED_VALUE"""),"A35c3b")</f>
        <v>A35c3b</v>
      </c>
      <c r="Q1527" s="9"/>
      <c r="R1527" s="9"/>
      <c r="S1527" s="42"/>
      <c r="T1527" s="42"/>
      <c r="U1527" s="42"/>
      <c r="V1527" s="42"/>
      <c r="W1527" s="42"/>
      <c r="X1527" s="42"/>
      <c r="Y1527" s="42"/>
      <c r="Z1527" s="42"/>
      <c r="AA1527" s="42"/>
      <c r="AB1527" s="42" t="str">
        <f>IFERROR(__xludf.DUMMYFUNCTION("""COMPUTED_VALUE"""),"allen institute")</f>
        <v>allen institute</v>
      </c>
      <c r="AC1527" s="42" t="str">
        <f>IFERROR(__xludf.DUMMYFUNCTION("""COMPUTED_VALUE"""),"DHBA")</f>
        <v>DHBA</v>
      </c>
      <c r="AD1527" s="42"/>
      <c r="AE1527" s="42"/>
      <c r="AF1527" s="9"/>
      <c r="AG1527" s="9"/>
      <c r="AH1527" s="42"/>
      <c r="AI1527" s="42"/>
      <c r="AJ1527" s="42"/>
      <c r="AK1527" s="42"/>
      <c r="AL1527" s="42"/>
      <c r="AM1527" s="42"/>
      <c r="AN1527" s="42"/>
      <c r="AO1527" s="63" t="str">
        <f>IFERROR(__xludf.DUMMYFUNCTION("IF(ISBLANK(A1527),,IF(ISBLANK(S1527), A1527&amp;"";"", TEXTJOIN(CHAR(10), TRUE, A1527&amp;"";"", ARRAYFORMULA(VLOOKUP(SPLIT(S1527, "";"" &amp; CHAR(10)), $A:$AO, 41, FALSE)))))"),"A35c3b;")</f>
        <v>A35c3b;</v>
      </c>
      <c r="AP1527" s="89"/>
    </row>
    <row r="1528">
      <c r="A1528" s="151" t="str">
        <f>IFERROR(__xludf.DUMMYFUNCTION("""COMPUTED_VALUE"""),"A35c3u")</f>
        <v>A35c3u</v>
      </c>
      <c r="B1528" s="42" t="str">
        <f>IFERROR(__xludf.DUMMYFUNCTION("""COMPUTED_VALUE"""),"DHBA")</f>
        <v>DHBA</v>
      </c>
      <c r="C1528" s="42" t="str">
        <f>IFERROR(__xludf.DUMMYFUNCTION("""COMPUTED_VALUE"""),"layer IIIu of area 35c")</f>
        <v>layer IIIu of area 35c</v>
      </c>
      <c r="D1528" s="42">
        <f>IFERROR(__xludf.DUMMYFUNCTION("""COMPUTED_VALUE"""),1444.0)</f>
        <v>1444</v>
      </c>
      <c r="E1528" s="39" t="str">
        <f>IFERROR(__xludf.DUMMYFUNCTION("""COMPUTED_VALUE"""),"layer IIIu of area 35c")</f>
        <v>layer IIIu of area 35c</v>
      </c>
      <c r="F1528" s="9" t="str">
        <f>IFERROR(__xludf.DUMMYFUNCTION("""COMPUTED_VALUE"""),"Br")</f>
        <v>Br</v>
      </c>
      <c r="G1528" s="9" t="str">
        <f>IFERROR(__xludf.DUMMYFUNCTION("""COMPUTED_VALUE"""),"F")</f>
        <v>F</v>
      </c>
      <c r="H1528" s="9" t="str">
        <f>IFERROR(__xludf.DUMMYFUNCTION("""COMPUTED_VALUE"""),"FGM")</f>
        <v>FGM</v>
      </c>
      <c r="I1528" s="9" t="str">
        <f>IFERROR(__xludf.DUMMYFUNCTION("""COMPUTED_VALUE"""),"Tel")</f>
        <v>Tel</v>
      </c>
      <c r="J1528" s="9" t="str">
        <f>IFERROR(__xludf.DUMMYFUNCTION("""COMPUTED_VALUE"""),"Cx")</f>
        <v>Cx</v>
      </c>
      <c r="K1528" s="9" t="str">
        <f>IFERROR(__xludf.DUMMYFUNCTION("""COMPUTED_VALUE"""),"PACx")</f>
        <v>PACx</v>
      </c>
      <c r="L1528" s="9" t="str">
        <f>IFERROR(__xludf.DUMMYFUNCTION("""COMPUTED_VALUE"""),"PArCx")</f>
        <v>PArCx</v>
      </c>
      <c r="M1528" s="9" t="str">
        <f>IFERROR(__xludf.DUMMYFUNCTION("""COMPUTED_VALUE"""),"A35")</f>
        <v>A35</v>
      </c>
      <c r="N1528" s="9" t="str">
        <f>IFERROR(__xludf.DUMMYFUNCTION("""COMPUTED_VALUE"""),"A35c")</f>
        <v>A35c</v>
      </c>
      <c r="O1528" s="9" t="str">
        <f>IFERROR(__xludf.DUMMYFUNCTION("""COMPUTED_VALUE"""),"A35c3u")</f>
        <v>A35c3u</v>
      </c>
      <c r="P1528" s="9"/>
      <c r="Q1528" s="9"/>
      <c r="R1528" s="9"/>
      <c r="S1528" s="42"/>
      <c r="T1528" s="42"/>
      <c r="U1528" s="42"/>
      <c r="V1528" s="42"/>
      <c r="W1528" s="42"/>
      <c r="X1528" s="42"/>
      <c r="Y1528" s="42"/>
      <c r="Z1528" s="42"/>
      <c r="AA1528" s="42"/>
      <c r="AB1528" s="42" t="str">
        <f>IFERROR(__xludf.DUMMYFUNCTION("""COMPUTED_VALUE"""),"allen institute")</f>
        <v>allen institute</v>
      </c>
      <c r="AC1528" s="42" t="str">
        <f>IFERROR(__xludf.DUMMYFUNCTION("""COMPUTED_VALUE"""),"DHBA")</f>
        <v>DHBA</v>
      </c>
      <c r="AD1528" s="42"/>
      <c r="AE1528" s="42"/>
      <c r="AF1528" s="9"/>
      <c r="AG1528" s="9"/>
      <c r="AH1528" s="42"/>
      <c r="AI1528" s="42"/>
      <c r="AJ1528" s="42"/>
      <c r="AK1528" s="42"/>
      <c r="AL1528" s="42"/>
      <c r="AM1528" s="42"/>
      <c r="AN1528" s="42"/>
      <c r="AO1528" s="63" t="str">
        <f>IFERROR(__xludf.DUMMYFUNCTION("IF(ISBLANK(A1528),,IF(ISBLANK(S1528), A1528&amp;"";"", TEXTJOIN(CHAR(10), TRUE, A1528&amp;"";"", ARRAYFORMULA(VLOOKUP(SPLIT(S1528, "";"" &amp; CHAR(10)), $A:$AO, 41, FALSE)))))"),"A35c3u;")</f>
        <v>A35c3u;</v>
      </c>
      <c r="AP1528" s="89"/>
    </row>
    <row r="1529">
      <c r="A1529" s="151" t="str">
        <f>IFERROR(__xludf.DUMMYFUNCTION("""COMPUTED_VALUE"""),"A35c5")</f>
        <v>A35c5</v>
      </c>
      <c r="B1529" s="42" t="str">
        <f>IFERROR(__xludf.DUMMYFUNCTION("""COMPUTED_VALUE"""),"DHBA")</f>
        <v>DHBA</v>
      </c>
      <c r="C1529" s="42" t="str">
        <f>IFERROR(__xludf.DUMMYFUNCTION("""COMPUTED_VALUE"""),"layer V of area 35c")</f>
        <v>layer V of area 35c</v>
      </c>
      <c r="D1529" s="42">
        <f>IFERROR(__xludf.DUMMYFUNCTION("""COMPUTED_VALUE"""),1445.0)</f>
        <v>1445</v>
      </c>
      <c r="E1529" s="39" t="str">
        <f>IFERROR(__xludf.DUMMYFUNCTION("""COMPUTED_VALUE"""),"layer V of area 35c")</f>
        <v>layer V of area 35c</v>
      </c>
      <c r="F1529" s="9" t="str">
        <f>IFERROR(__xludf.DUMMYFUNCTION("""COMPUTED_VALUE"""),"Br")</f>
        <v>Br</v>
      </c>
      <c r="G1529" s="9" t="str">
        <f>IFERROR(__xludf.DUMMYFUNCTION("""COMPUTED_VALUE"""),"F")</f>
        <v>F</v>
      </c>
      <c r="H1529" s="9" t="str">
        <f>IFERROR(__xludf.DUMMYFUNCTION("""COMPUTED_VALUE"""),"FGM")</f>
        <v>FGM</v>
      </c>
      <c r="I1529" s="9" t="str">
        <f>IFERROR(__xludf.DUMMYFUNCTION("""COMPUTED_VALUE"""),"Tel")</f>
        <v>Tel</v>
      </c>
      <c r="J1529" s="9" t="str">
        <f>IFERROR(__xludf.DUMMYFUNCTION("""COMPUTED_VALUE"""),"Cx")</f>
        <v>Cx</v>
      </c>
      <c r="K1529" s="9" t="str">
        <f>IFERROR(__xludf.DUMMYFUNCTION("""COMPUTED_VALUE"""),"PACx")</f>
        <v>PACx</v>
      </c>
      <c r="L1529" s="9" t="str">
        <f>IFERROR(__xludf.DUMMYFUNCTION("""COMPUTED_VALUE"""),"PArCx")</f>
        <v>PArCx</v>
      </c>
      <c r="M1529" s="9" t="str">
        <f>IFERROR(__xludf.DUMMYFUNCTION("""COMPUTED_VALUE"""),"A35")</f>
        <v>A35</v>
      </c>
      <c r="N1529" s="9" t="str">
        <f>IFERROR(__xludf.DUMMYFUNCTION("""COMPUTED_VALUE"""),"A35c")</f>
        <v>A35c</v>
      </c>
      <c r="O1529" s="9" t="str">
        <f>IFERROR(__xludf.DUMMYFUNCTION("""COMPUTED_VALUE"""),"A35c5")</f>
        <v>A35c5</v>
      </c>
      <c r="P1529" s="9"/>
      <c r="Q1529" s="9"/>
      <c r="R1529" s="9"/>
      <c r="S1529" s="42"/>
      <c r="T1529" s="42"/>
      <c r="U1529" s="42"/>
      <c r="V1529" s="42"/>
      <c r="W1529" s="42"/>
      <c r="X1529" s="42"/>
      <c r="Y1529" s="42"/>
      <c r="Z1529" s="42"/>
      <c r="AA1529" s="42"/>
      <c r="AB1529" s="42" t="str">
        <f>IFERROR(__xludf.DUMMYFUNCTION("""COMPUTED_VALUE"""),"allen institute")</f>
        <v>allen institute</v>
      </c>
      <c r="AC1529" s="42" t="str">
        <f>IFERROR(__xludf.DUMMYFUNCTION("""COMPUTED_VALUE"""),"DHBA")</f>
        <v>DHBA</v>
      </c>
      <c r="AD1529" s="42"/>
      <c r="AE1529" s="42"/>
      <c r="AF1529" s="9"/>
      <c r="AG1529" s="9"/>
      <c r="AH1529" s="42"/>
      <c r="AI1529" s="42"/>
      <c r="AJ1529" s="42"/>
      <c r="AK1529" s="42"/>
      <c r="AL1529" s="42"/>
      <c r="AM1529" s="42"/>
      <c r="AN1529" s="42"/>
      <c r="AO1529" s="63" t="str">
        <f>IFERROR(__xludf.DUMMYFUNCTION("IF(ISBLANK(A1529),,IF(ISBLANK(S1529), A1529&amp;"";"", TEXTJOIN(CHAR(10), TRUE, A1529&amp;"";"", ARRAYFORMULA(VLOOKUP(SPLIT(S1529, "";"" &amp; CHAR(10)), $A:$AO, 41, FALSE)))))"),"A35c5;")</f>
        <v>A35c5;</v>
      </c>
      <c r="AP1529" s="89"/>
    </row>
    <row r="1530">
      <c r="A1530" s="151" t="str">
        <f>IFERROR(__xludf.DUMMYFUNCTION("""COMPUTED_VALUE"""),"A35c6")</f>
        <v>A35c6</v>
      </c>
      <c r="B1530" s="42" t="str">
        <f>IFERROR(__xludf.DUMMYFUNCTION("""COMPUTED_VALUE"""),"DHBA")</f>
        <v>DHBA</v>
      </c>
      <c r="C1530" s="42" t="str">
        <f>IFERROR(__xludf.DUMMYFUNCTION("""COMPUTED_VALUE"""),"layer VI of area 35c")</f>
        <v>layer VI of area 35c</v>
      </c>
      <c r="D1530" s="42">
        <f>IFERROR(__xludf.DUMMYFUNCTION("""COMPUTED_VALUE"""),1446.0)</f>
        <v>1446</v>
      </c>
      <c r="E1530" s="39" t="str">
        <f>IFERROR(__xludf.DUMMYFUNCTION("""COMPUTED_VALUE"""),"layer VI of area 35c")</f>
        <v>layer VI of area 35c</v>
      </c>
      <c r="F1530" s="9" t="str">
        <f>IFERROR(__xludf.DUMMYFUNCTION("""COMPUTED_VALUE"""),"Br")</f>
        <v>Br</v>
      </c>
      <c r="G1530" s="9" t="str">
        <f>IFERROR(__xludf.DUMMYFUNCTION("""COMPUTED_VALUE"""),"F")</f>
        <v>F</v>
      </c>
      <c r="H1530" s="9" t="str">
        <f>IFERROR(__xludf.DUMMYFUNCTION("""COMPUTED_VALUE"""),"FGM")</f>
        <v>FGM</v>
      </c>
      <c r="I1530" s="9" t="str">
        <f>IFERROR(__xludf.DUMMYFUNCTION("""COMPUTED_VALUE"""),"Tel")</f>
        <v>Tel</v>
      </c>
      <c r="J1530" s="9" t="str">
        <f>IFERROR(__xludf.DUMMYFUNCTION("""COMPUTED_VALUE"""),"Cx")</f>
        <v>Cx</v>
      </c>
      <c r="K1530" s="9" t="str">
        <f>IFERROR(__xludf.DUMMYFUNCTION("""COMPUTED_VALUE"""),"PACx")</f>
        <v>PACx</v>
      </c>
      <c r="L1530" s="9" t="str">
        <f>IFERROR(__xludf.DUMMYFUNCTION("""COMPUTED_VALUE"""),"PArCx")</f>
        <v>PArCx</v>
      </c>
      <c r="M1530" s="9" t="str">
        <f>IFERROR(__xludf.DUMMYFUNCTION("""COMPUTED_VALUE"""),"A35")</f>
        <v>A35</v>
      </c>
      <c r="N1530" s="9" t="str">
        <f>IFERROR(__xludf.DUMMYFUNCTION("""COMPUTED_VALUE"""),"A35c")</f>
        <v>A35c</v>
      </c>
      <c r="O1530" s="9" t="str">
        <f>IFERROR(__xludf.DUMMYFUNCTION("""COMPUTED_VALUE"""),"A35c6")</f>
        <v>A35c6</v>
      </c>
      <c r="P1530" s="9"/>
      <c r="Q1530" s="9"/>
      <c r="R1530" s="9"/>
      <c r="S1530" s="42"/>
      <c r="T1530" s="42"/>
      <c r="U1530" s="42"/>
      <c r="V1530" s="42"/>
      <c r="W1530" s="42"/>
      <c r="X1530" s="42"/>
      <c r="Y1530" s="42"/>
      <c r="Z1530" s="42"/>
      <c r="AA1530" s="42"/>
      <c r="AB1530" s="42" t="str">
        <f>IFERROR(__xludf.DUMMYFUNCTION("""COMPUTED_VALUE"""),"allen institute")</f>
        <v>allen institute</v>
      </c>
      <c r="AC1530" s="42" t="str">
        <f>IFERROR(__xludf.DUMMYFUNCTION("""COMPUTED_VALUE"""),"DHBA")</f>
        <v>DHBA</v>
      </c>
      <c r="AD1530" s="42"/>
      <c r="AE1530" s="42"/>
      <c r="AF1530" s="9"/>
      <c r="AG1530" s="9"/>
      <c r="AH1530" s="42"/>
      <c r="AI1530" s="42"/>
      <c r="AJ1530" s="42"/>
      <c r="AK1530" s="42"/>
      <c r="AL1530" s="42"/>
      <c r="AM1530" s="42"/>
      <c r="AN1530" s="42"/>
      <c r="AO1530" s="63" t="str">
        <f>IFERROR(__xludf.DUMMYFUNCTION("IF(ISBLANK(A1530),,IF(ISBLANK(S1530), A1530&amp;"";"", TEXTJOIN(CHAR(10), TRUE, A1530&amp;"";"", ARRAYFORMULA(VLOOKUP(SPLIT(S1530, "";"" &amp; CHAR(10)), $A:$AO, 41, FALSE)))))"),"A35c6;")</f>
        <v>A35c6;</v>
      </c>
      <c r="AP1530" s="89"/>
    </row>
    <row r="1531">
      <c r="A1531" s="151" t="str">
        <f>IFERROR(__xludf.DUMMYFUNCTION("""COMPUTED_VALUE"""),"EC")</f>
        <v>EC</v>
      </c>
      <c r="B1531" s="42" t="str">
        <f>IFERROR(__xludf.DUMMYFUNCTION("""COMPUTED_VALUE"""),"DHBA")</f>
        <v>DHBA</v>
      </c>
      <c r="C1531" s="42" t="str">
        <f>IFERROR(__xludf.DUMMYFUNCTION("""COMPUTED_VALUE"""),"entorhinal cortex")</f>
        <v>entorhinal cortex</v>
      </c>
      <c r="D1531" s="42">
        <f>IFERROR(__xludf.DUMMYFUNCTION("""COMPUTED_VALUE"""),1447.0)</f>
        <v>1447</v>
      </c>
      <c r="E1531" s="39" t="str">
        <f>IFERROR(__xludf.DUMMYFUNCTION("""COMPUTED_VALUE"""),"entorhinal cortex")</f>
        <v>entorhinal cortex</v>
      </c>
      <c r="F1531" s="9" t="str">
        <f>IFERROR(__xludf.DUMMYFUNCTION("""COMPUTED_VALUE"""),"Br")</f>
        <v>Br</v>
      </c>
      <c r="G1531" s="9" t="str">
        <f>IFERROR(__xludf.DUMMYFUNCTION("""COMPUTED_VALUE"""),"F")</f>
        <v>F</v>
      </c>
      <c r="H1531" s="9" t="str">
        <f>IFERROR(__xludf.DUMMYFUNCTION("""COMPUTED_VALUE"""),"FGM")</f>
        <v>FGM</v>
      </c>
      <c r="I1531" s="9" t="str">
        <f>IFERROR(__xludf.DUMMYFUNCTION("""COMPUTED_VALUE"""),"Tel")</f>
        <v>Tel</v>
      </c>
      <c r="J1531" s="9" t="str">
        <f>IFERROR(__xludf.DUMMYFUNCTION("""COMPUTED_VALUE"""),"Cx")</f>
        <v>Cx</v>
      </c>
      <c r="K1531" s="9" t="str">
        <f>IFERROR(__xludf.DUMMYFUNCTION("""COMPUTED_VALUE"""),"PACx")</f>
        <v>PACx</v>
      </c>
      <c r="L1531" s="9" t="str">
        <f>IFERROR(__xludf.DUMMYFUNCTION("""COMPUTED_VALUE"""),"PArCx")</f>
        <v>PArCx</v>
      </c>
      <c r="M1531" s="9" t="str">
        <f>IFERROR(__xludf.DUMMYFUNCTION("""COMPUTED_VALUE"""),"EC")</f>
        <v>EC</v>
      </c>
      <c r="N1531" s="9"/>
      <c r="O1531" s="9"/>
      <c r="P1531" s="9"/>
      <c r="Q1531" s="9"/>
      <c r="R1531" s="9"/>
      <c r="S1531" s="42" t="str">
        <f>IFERROR(__xludf.DUMMYFUNCTION("""COMPUTED_VALUE"""),"MEC;
LEC")</f>
        <v>MEC;
LEC</v>
      </c>
      <c r="T1531" s="42" t="str">
        <f>IFERROR(__xludf.DUMMYFUNCTION("""COMPUTED_VALUE"""),"Cx")</f>
        <v>Cx</v>
      </c>
      <c r="U1531" s="42" t="b">
        <f>IFERROR(__xludf.DUMMYFUNCTION("""COMPUTED_VALUE"""),FALSE)</f>
        <v>0</v>
      </c>
      <c r="V1531" s="42"/>
      <c r="W1531" s="42"/>
      <c r="X1531" s="42"/>
      <c r="Y1531" s="42"/>
      <c r="Z1531" s="42"/>
      <c r="AA1531" s="42"/>
      <c r="AB1531" s="42" t="str">
        <f>IFERROR(__xludf.DUMMYFUNCTION("""COMPUTED_VALUE"""),"allen institute")</f>
        <v>allen institute</v>
      </c>
      <c r="AC1531" s="42" t="str">
        <f>IFERROR(__xludf.DUMMYFUNCTION("""COMPUTED_VALUE"""),"DHBA")</f>
        <v>DHBA</v>
      </c>
      <c r="AD1531" s="42"/>
      <c r="AE1531" s="42"/>
      <c r="AF1531" s="9"/>
      <c r="AG1531" s="9"/>
      <c r="AH1531" s="42"/>
      <c r="AI1531" s="42"/>
      <c r="AJ1531" s="42"/>
      <c r="AK1531" s="42"/>
      <c r="AL1531" s="42"/>
      <c r="AM1531" s="42"/>
      <c r="AN1531" s="42"/>
      <c r="AO1531" s="63" t="str">
        <f>IFERROR(__xludf.DUMMYFUNCTION("IF(ISBLANK(A1531),,IF(ISBLANK(S1531), A1531&amp;"";"", TEXTJOIN(CHAR(10), TRUE, A1531&amp;"";"", ARRAYFORMULA(VLOOKUP(SPLIT(S1531, "";"" &amp; CHAR(10)), $A:$AO, 41, FALSE)))))"),"#REF!")</f>
        <v>#REF!</v>
      </c>
      <c r="AP1531" s="89"/>
    </row>
    <row r="1532">
      <c r="A1532" s="151" t="str">
        <f>IFERROR(__xludf.DUMMYFUNCTION("""COMPUTED_VALUE"""),"LEC")</f>
        <v>LEC</v>
      </c>
      <c r="B1532" s="42" t="str">
        <f>IFERROR(__xludf.DUMMYFUNCTION("""COMPUTED_VALUE"""),"DHBA")</f>
        <v>DHBA</v>
      </c>
      <c r="C1532" s="42" t="str">
        <f>IFERROR(__xludf.DUMMYFUNCTION("""COMPUTED_VALUE"""),"lateral entorhinal cortex")</f>
        <v>lateral entorhinal cortex</v>
      </c>
      <c r="D1532" s="42">
        <f>IFERROR(__xludf.DUMMYFUNCTION("""COMPUTED_VALUE"""),1448.0)</f>
        <v>1448</v>
      </c>
      <c r="E1532" s="39" t="str">
        <f>IFERROR(__xludf.DUMMYFUNCTION("""COMPUTED_VALUE"""),"lateral (anterior) entorhinal cortex")</f>
        <v>lateral (anterior) entorhinal cortex</v>
      </c>
      <c r="F1532" s="9" t="str">
        <f>IFERROR(__xludf.DUMMYFUNCTION("""COMPUTED_VALUE"""),"Br")</f>
        <v>Br</v>
      </c>
      <c r="G1532" s="9" t="str">
        <f>IFERROR(__xludf.DUMMYFUNCTION("""COMPUTED_VALUE"""),"F")</f>
        <v>F</v>
      </c>
      <c r="H1532" s="9" t="str">
        <f>IFERROR(__xludf.DUMMYFUNCTION("""COMPUTED_VALUE"""),"FGM")</f>
        <v>FGM</v>
      </c>
      <c r="I1532" s="9" t="str">
        <f>IFERROR(__xludf.DUMMYFUNCTION("""COMPUTED_VALUE"""),"Tel")</f>
        <v>Tel</v>
      </c>
      <c r="J1532" s="9" t="str">
        <f>IFERROR(__xludf.DUMMYFUNCTION("""COMPUTED_VALUE"""),"Cx")</f>
        <v>Cx</v>
      </c>
      <c r="K1532" s="9" t="str">
        <f>IFERROR(__xludf.DUMMYFUNCTION("""COMPUTED_VALUE"""),"PACx")</f>
        <v>PACx</v>
      </c>
      <c r="L1532" s="9" t="str">
        <f>IFERROR(__xludf.DUMMYFUNCTION("""COMPUTED_VALUE"""),"PArCx")</f>
        <v>PArCx</v>
      </c>
      <c r="M1532" s="9" t="str">
        <f>IFERROR(__xludf.DUMMYFUNCTION("""COMPUTED_VALUE"""),"EC")</f>
        <v>EC</v>
      </c>
      <c r="N1532" s="9" t="str">
        <f>IFERROR(__xludf.DUMMYFUNCTION("""COMPUTED_VALUE"""),"LEC")</f>
        <v>LEC</v>
      </c>
      <c r="O1532" s="9"/>
      <c r="P1532" s="9"/>
      <c r="Q1532" s="9"/>
      <c r="R1532" s="9"/>
      <c r="S1532" s="42" t="str">
        <f>IFERROR(__xludf.DUMMYFUNCTION("""COMPUTED_VALUE"""),"LEC_I;
LEC_II;
LEC_III;
LEC_V;
LEC_VI;
EO;
ER;
ELR;
EMI")</f>
        <v>LEC_I;
LEC_II;
LEC_III;
LEC_V;
LEC_VI;
EO;
ER;
ELR;
EMI</v>
      </c>
      <c r="T1532" s="42" t="str">
        <f>IFERROR(__xludf.DUMMYFUNCTION("""COMPUTED_VALUE"""),"Cx")</f>
        <v>Cx</v>
      </c>
      <c r="U1532" s="42" t="b">
        <f>IFERROR(__xludf.DUMMYFUNCTION("""COMPUTED_VALUE"""),FALSE)</f>
        <v>0</v>
      </c>
      <c r="V1532" s="42"/>
      <c r="W1532" s="42"/>
      <c r="X1532" s="42"/>
      <c r="Y1532" s="42"/>
      <c r="Z1532" s="42"/>
      <c r="AA1532" s="42"/>
      <c r="AB1532" s="42" t="str">
        <f>IFERROR(__xludf.DUMMYFUNCTION("""COMPUTED_VALUE"""),"allen institute")</f>
        <v>allen institute</v>
      </c>
      <c r="AC1532" s="42" t="str">
        <f>IFERROR(__xludf.DUMMYFUNCTION("""COMPUTED_VALUE"""),"DHBA")</f>
        <v>DHBA</v>
      </c>
      <c r="AD1532" s="42"/>
      <c r="AE1532" s="42"/>
      <c r="AF1532" s="9"/>
      <c r="AG1532" s="9"/>
      <c r="AH1532" s="42"/>
      <c r="AI1532" s="42"/>
      <c r="AJ1532" s="42"/>
      <c r="AK1532" s="42"/>
      <c r="AL1532" s="42"/>
      <c r="AM1532" s="42"/>
      <c r="AN1532" s="42"/>
      <c r="AO1532" s="63" t="str">
        <f>IFERROR(__xludf.DUMMYFUNCTION("IF(ISBLANK(A1532),,IF(ISBLANK(S1532), A1532&amp;"";"", TEXTJOIN(CHAR(10), TRUE, A1532&amp;"";"", ARRAYFORMULA(VLOOKUP(SPLIT(S1532, "";"" &amp; CHAR(10)), $A:$AO, 41, FALSE)))))"),"LEC;
LEC_I;
EO1;
ER1;
ELR1;
EMI1;
LEC_II;
EO2;
ER2;
ELR2;
EMI2;
LEC_III;
EO3;
EO3a;
EO3b;
ER3;
ER3a;
ER3b;
ELR3;
ELR3a;
ELR3b;
EMI3;
EMI3a;
EMI3b;
LEC_V;
EO5;
ER5;
ELR5;
EMI5;
LEC_VI;
EO6;
ER6;
ELR6;
EMI6;
EO;
EO1;
EOs;
EO2;
EO3;
EO3a;
EO3b;
EOld;
EOd;
EO"&amp;"5;
EO6;
ER;
ER1;
ERs;
ER2;
ER3;
ER3a;
ER3b;
ERld;
ERd;
ER5;
ER6;
ELR;
ELR1;
ELRs;
ELR2;
ELR3;
ELR3a;
ELR3b;
ELRld;
ELRd;
ELR5;
ELR6;
EMI;
EMI1;
EMIs;
EMI2;
EMI3;
EMI3a;
EMI3b;
EMIld;
EMId;
EMI5;
EMI6;")</f>
        <v>LEC;
LEC_I;
EO1;
ER1;
ELR1;
EMI1;
LEC_II;
EO2;
ER2;
ELR2;
EMI2;
LEC_III;
EO3;
EO3a;
EO3b;
ER3;
ER3a;
ER3b;
ELR3;
ELR3a;
ELR3b;
EMI3;
EMI3a;
EMI3b;
LEC_V;
EO5;
ER5;
ELR5;
EMI5;
LEC_VI;
EO6;
ER6;
ELR6;
EMI6;
EO;
EO1;
EOs;
EO2;
EO3;
EO3a;
EO3b;
EOld;
EOd;
EO5;
EO6;
ER;
ER1;
ERs;
ER2;
ER3;
ER3a;
ER3b;
ERld;
ERd;
ER5;
ER6;
ELR;
ELR1;
ELRs;
ELR2;
ELR3;
ELR3a;
ELR3b;
ELRld;
ELRd;
ELR5;
ELR6;
EMI;
EMI1;
EMIs;
EMI2;
EMI3;
EMI3a;
EMI3b;
EMIld;
EMId;
EMI5;
EMI6;</v>
      </c>
      <c r="AP1532" s="89"/>
    </row>
    <row r="1533">
      <c r="A1533" s="151" t="str">
        <f>IFERROR(__xludf.DUMMYFUNCTION("""COMPUTED_VALUE"""),"LEC_I")</f>
        <v>LEC_I</v>
      </c>
      <c r="B1533" s="42" t="str">
        <f>IFERROR(__xludf.DUMMYFUNCTION("""COMPUTED_VALUE"""),"collection")</f>
        <v>collection</v>
      </c>
      <c r="C1533" s="42" t="str">
        <f>IFERROR(__xludf.DUMMYFUNCTION("""COMPUTED_VALUE"""),"lateral entorhinal cortex, layer 1")</f>
        <v>lateral entorhinal cortex, layer 1</v>
      </c>
      <c r="D1533" s="42">
        <f>IFERROR(__xludf.DUMMYFUNCTION("""COMPUTED_VALUE"""),1448.1)</f>
        <v>1448.1</v>
      </c>
      <c r="E1533" s="39" t="str">
        <f>IFERROR(__xludf.DUMMYFUNCTION("""COMPUTED_VALUE"""),"")</f>
        <v/>
      </c>
      <c r="F1533" s="9" t="str">
        <f>IFERROR(__xludf.DUMMYFUNCTION("""COMPUTED_VALUE"""),"")</f>
        <v/>
      </c>
      <c r="G1533" s="9" t="str">
        <f>IFERROR(__xludf.DUMMYFUNCTION("""COMPUTED_VALUE"""),"")</f>
        <v/>
      </c>
      <c r="H1533" s="9" t="str">
        <f>IFERROR(__xludf.DUMMYFUNCTION("""COMPUTED_VALUE"""),"")</f>
        <v/>
      </c>
      <c r="I1533" s="9" t="str">
        <f>IFERROR(__xludf.DUMMYFUNCTION("""COMPUTED_VALUE"""),"")</f>
        <v/>
      </c>
      <c r="J1533" s="9" t="str">
        <f>IFERROR(__xludf.DUMMYFUNCTION("""COMPUTED_VALUE"""),"")</f>
        <v/>
      </c>
      <c r="K1533" s="9" t="str">
        <f>IFERROR(__xludf.DUMMYFUNCTION("""COMPUTED_VALUE"""),"")</f>
        <v/>
      </c>
      <c r="L1533" s="9" t="str">
        <f>IFERROR(__xludf.DUMMYFUNCTION("""COMPUTED_VALUE"""),"")</f>
        <v/>
      </c>
      <c r="M1533" s="9" t="str">
        <f>IFERROR(__xludf.DUMMYFUNCTION("""COMPUTED_VALUE"""),"")</f>
        <v/>
      </c>
      <c r="N1533" s="9" t="str">
        <f>IFERROR(__xludf.DUMMYFUNCTION("""COMPUTED_VALUE"""),"")</f>
        <v/>
      </c>
      <c r="O1533" s="9" t="str">
        <f>IFERROR(__xludf.DUMMYFUNCTION("""COMPUTED_VALUE"""),"")</f>
        <v/>
      </c>
      <c r="P1533" s="9" t="str">
        <f>IFERROR(__xludf.DUMMYFUNCTION("""COMPUTED_VALUE"""),"")</f>
        <v/>
      </c>
      <c r="Q1533" s="9" t="str">
        <f>IFERROR(__xludf.DUMMYFUNCTION("""COMPUTED_VALUE"""),"")</f>
        <v/>
      </c>
      <c r="R1533" s="9" t="str">
        <f>IFERROR(__xludf.DUMMYFUNCTION("""COMPUTED_VALUE"""),"")</f>
        <v/>
      </c>
      <c r="S1533" s="42" t="str">
        <f>IFERROR(__xludf.DUMMYFUNCTION("""COMPUTED_VALUE"""),"EO1;
ER1;
ELR1;
EMI1")</f>
        <v>EO1;
ER1;
ELR1;
EMI1</v>
      </c>
      <c r="T1533" s="42" t="str">
        <f>IFERROR(__xludf.DUMMYFUNCTION("""COMPUTED_VALUE"""),"Cx1")</f>
        <v>Cx1</v>
      </c>
      <c r="U1533" s="42"/>
      <c r="V1533" s="42"/>
      <c r="W1533" s="42"/>
      <c r="X1533" s="42"/>
      <c r="Y1533" s="42"/>
      <c r="Z1533" s="42"/>
      <c r="AA1533" s="42"/>
      <c r="AB1533" s="42" t="str">
        <f>IFERROR(__xludf.DUMMYFUNCTION("""COMPUTED_VALUE"""),"Ayako Fukawa")</f>
        <v>Ayako Fukawa</v>
      </c>
      <c r="AC1533" s="42" t="str">
        <f>IFERROR(__xludf.DUMMYFUNCTION("""COMPUTED_VALUE"""),"AT20HippocampalFormation")</f>
        <v>AT20HippocampalFormation</v>
      </c>
      <c r="AD1533" s="42"/>
      <c r="AE1533" s="42"/>
      <c r="AF1533" s="9"/>
      <c r="AG1533" s="9"/>
      <c r="AH1533" s="42"/>
      <c r="AI1533" s="42"/>
      <c r="AJ1533" s="42"/>
      <c r="AK1533" s="42"/>
      <c r="AL1533" s="42"/>
      <c r="AM1533" s="42"/>
      <c r="AN1533" s="42"/>
      <c r="AO1533" s="63" t="str">
        <f>IFERROR(__xludf.DUMMYFUNCTION("IF(ISBLANK(A1533),,IF(ISBLANK(S1533), A1533&amp;"";"", TEXTJOIN(CHAR(10), TRUE, A1533&amp;"";"", ARRAYFORMULA(VLOOKUP(SPLIT(S1533, "";"" &amp; CHAR(10)), $A:$AO, 41, FALSE)))))"),"LEC_I;
EO1;
ER1;
ELR1;
EMI1;")</f>
        <v>LEC_I;
EO1;
ER1;
ELR1;
EMI1;</v>
      </c>
      <c r="AP1533" s="89"/>
    </row>
    <row r="1534">
      <c r="A1534" s="151" t="str">
        <f>IFERROR(__xludf.DUMMYFUNCTION("""COMPUTED_VALUE"""),"LEC_II")</f>
        <v>LEC_II</v>
      </c>
      <c r="B1534" s="42" t="str">
        <f>IFERROR(__xludf.DUMMYFUNCTION("""COMPUTED_VALUE"""),"collection")</f>
        <v>collection</v>
      </c>
      <c r="C1534" s="42" t="str">
        <f>IFERROR(__xludf.DUMMYFUNCTION("""COMPUTED_VALUE"""),"lateral entorhinal cortex, layer 2")</f>
        <v>lateral entorhinal cortex, layer 2</v>
      </c>
      <c r="D1534" s="42">
        <f>IFERROR(__xludf.DUMMYFUNCTION("""COMPUTED_VALUE"""),1448.2)</f>
        <v>1448.2</v>
      </c>
      <c r="E1534" s="39" t="str">
        <f>IFERROR(__xludf.DUMMYFUNCTION("""COMPUTED_VALUE"""),"")</f>
        <v/>
      </c>
      <c r="F1534" s="9" t="str">
        <f>IFERROR(__xludf.DUMMYFUNCTION("""COMPUTED_VALUE"""),"")</f>
        <v/>
      </c>
      <c r="G1534" s="9" t="str">
        <f>IFERROR(__xludf.DUMMYFUNCTION("""COMPUTED_VALUE"""),"")</f>
        <v/>
      </c>
      <c r="H1534" s="9" t="str">
        <f>IFERROR(__xludf.DUMMYFUNCTION("""COMPUTED_VALUE"""),"")</f>
        <v/>
      </c>
      <c r="I1534" s="9" t="str">
        <f>IFERROR(__xludf.DUMMYFUNCTION("""COMPUTED_VALUE"""),"")</f>
        <v/>
      </c>
      <c r="J1534" s="9" t="str">
        <f>IFERROR(__xludf.DUMMYFUNCTION("""COMPUTED_VALUE"""),"")</f>
        <v/>
      </c>
      <c r="K1534" s="9" t="str">
        <f>IFERROR(__xludf.DUMMYFUNCTION("""COMPUTED_VALUE"""),"")</f>
        <v/>
      </c>
      <c r="L1534" s="9" t="str">
        <f>IFERROR(__xludf.DUMMYFUNCTION("""COMPUTED_VALUE"""),"")</f>
        <v/>
      </c>
      <c r="M1534" s="9" t="str">
        <f>IFERROR(__xludf.DUMMYFUNCTION("""COMPUTED_VALUE"""),"")</f>
        <v/>
      </c>
      <c r="N1534" s="9" t="str">
        <f>IFERROR(__xludf.DUMMYFUNCTION("""COMPUTED_VALUE"""),"")</f>
        <v/>
      </c>
      <c r="O1534" s="9" t="str">
        <f>IFERROR(__xludf.DUMMYFUNCTION("""COMPUTED_VALUE"""),"")</f>
        <v/>
      </c>
      <c r="P1534" s="9" t="str">
        <f>IFERROR(__xludf.DUMMYFUNCTION("""COMPUTED_VALUE"""),"")</f>
        <v/>
      </c>
      <c r="Q1534" s="9" t="str">
        <f>IFERROR(__xludf.DUMMYFUNCTION("""COMPUTED_VALUE"""),"")</f>
        <v/>
      </c>
      <c r="R1534" s="9" t="str">
        <f>IFERROR(__xludf.DUMMYFUNCTION("""COMPUTED_VALUE"""),"")</f>
        <v/>
      </c>
      <c r="S1534" s="42" t="str">
        <f>IFERROR(__xludf.DUMMYFUNCTION("""COMPUTED_VALUE"""),"EO2;
ER2;
ELR2;
EMI2")</f>
        <v>EO2;
ER2;
ELR2;
EMI2</v>
      </c>
      <c r="T1534" s="42" t="str">
        <f>IFERROR(__xludf.DUMMYFUNCTION("""COMPUTED_VALUE"""),"Cx2")</f>
        <v>Cx2</v>
      </c>
      <c r="U1534" s="42" t="b">
        <f>IFERROR(__xludf.DUMMYFUNCTION("""COMPUTED_VALUE"""),TRUE)</f>
        <v>1</v>
      </c>
      <c r="V1534" s="42"/>
      <c r="W1534" s="42" t="str">
        <f>IFERROR(__xludf.DUMMYFUNCTION("""COMPUTED_VALUE"""),"Excitatory")</f>
        <v>Excitatory</v>
      </c>
      <c r="X1534" s="42"/>
      <c r="Y1534" s="42"/>
      <c r="Z1534" s="42"/>
      <c r="AA1534" s="42"/>
      <c r="AB1534" s="42" t="str">
        <f>IFERROR(__xludf.DUMMYFUNCTION("""COMPUTED_VALUE"""),"Ayako Fukawa")</f>
        <v>Ayako Fukawa</v>
      </c>
      <c r="AC1534" s="42" t="str">
        <f>IFERROR(__xludf.DUMMYFUNCTION("""COMPUTED_VALUE"""),"AT20HippocampalFormation")</f>
        <v>AT20HippocampalFormation</v>
      </c>
      <c r="AD1534" s="42"/>
      <c r="AE1534" s="42"/>
      <c r="AF1534" s="9"/>
      <c r="AG1534" s="9"/>
      <c r="AH1534" s="42"/>
      <c r="AI1534" s="42"/>
      <c r="AJ1534" s="42"/>
      <c r="AK1534" s="42"/>
      <c r="AL1534" s="42"/>
      <c r="AM1534" s="42"/>
      <c r="AN1534" s="42"/>
      <c r="AO1534" s="63" t="str">
        <f>IFERROR(__xludf.DUMMYFUNCTION("IF(ISBLANK(A1534),,IF(ISBLANK(S1534), A1534&amp;"";"", TEXTJOIN(CHAR(10), TRUE, A1534&amp;"";"", ARRAYFORMULA(VLOOKUP(SPLIT(S1534, "";"" &amp; CHAR(10)), $A:$AO, 41, FALSE)))))"),"LEC_II;
EO2;
ER2;
ELR2;
EMI2;")</f>
        <v>LEC_II;
EO2;
ER2;
ELR2;
EMI2;</v>
      </c>
      <c r="AP1534" s="89"/>
    </row>
    <row r="1535">
      <c r="A1535" s="151" t="str">
        <f>IFERROR(__xludf.DUMMYFUNCTION("""COMPUTED_VALUE"""),"LEC_III")</f>
        <v>LEC_III</v>
      </c>
      <c r="B1535" s="42" t="str">
        <f>IFERROR(__xludf.DUMMYFUNCTION("""COMPUTED_VALUE"""),"collection")</f>
        <v>collection</v>
      </c>
      <c r="C1535" s="42" t="str">
        <f>IFERROR(__xludf.DUMMYFUNCTION("""COMPUTED_VALUE"""),"lateral entorhinal cortex, layer 3")</f>
        <v>lateral entorhinal cortex, layer 3</v>
      </c>
      <c r="D1535" s="42">
        <f>IFERROR(__xludf.DUMMYFUNCTION("""COMPUTED_VALUE"""),1448.3)</f>
        <v>1448.3</v>
      </c>
      <c r="E1535" s="39" t="str">
        <f>IFERROR(__xludf.DUMMYFUNCTION("""COMPUTED_VALUE"""),"")</f>
        <v/>
      </c>
      <c r="F1535" s="9" t="str">
        <f>IFERROR(__xludf.DUMMYFUNCTION("""COMPUTED_VALUE"""),"")</f>
        <v/>
      </c>
      <c r="G1535" s="9" t="str">
        <f>IFERROR(__xludf.DUMMYFUNCTION("""COMPUTED_VALUE"""),"")</f>
        <v/>
      </c>
      <c r="H1535" s="9" t="str">
        <f>IFERROR(__xludf.DUMMYFUNCTION("""COMPUTED_VALUE"""),"")</f>
        <v/>
      </c>
      <c r="I1535" s="9" t="str">
        <f>IFERROR(__xludf.DUMMYFUNCTION("""COMPUTED_VALUE"""),"")</f>
        <v/>
      </c>
      <c r="J1535" s="9" t="str">
        <f>IFERROR(__xludf.DUMMYFUNCTION("""COMPUTED_VALUE"""),"")</f>
        <v/>
      </c>
      <c r="K1535" s="9" t="str">
        <f>IFERROR(__xludf.DUMMYFUNCTION("""COMPUTED_VALUE"""),"")</f>
        <v/>
      </c>
      <c r="L1535" s="9" t="str">
        <f>IFERROR(__xludf.DUMMYFUNCTION("""COMPUTED_VALUE"""),"")</f>
        <v/>
      </c>
      <c r="M1535" s="9" t="str">
        <f>IFERROR(__xludf.DUMMYFUNCTION("""COMPUTED_VALUE"""),"")</f>
        <v/>
      </c>
      <c r="N1535" s="9" t="str">
        <f>IFERROR(__xludf.DUMMYFUNCTION("""COMPUTED_VALUE"""),"")</f>
        <v/>
      </c>
      <c r="O1535" s="9" t="str">
        <f>IFERROR(__xludf.DUMMYFUNCTION("""COMPUTED_VALUE"""),"")</f>
        <v/>
      </c>
      <c r="P1535" s="9" t="str">
        <f>IFERROR(__xludf.DUMMYFUNCTION("""COMPUTED_VALUE"""),"")</f>
        <v/>
      </c>
      <c r="Q1535" s="9" t="str">
        <f>IFERROR(__xludf.DUMMYFUNCTION("""COMPUTED_VALUE"""),"")</f>
        <v/>
      </c>
      <c r="R1535" s="9" t="str">
        <f>IFERROR(__xludf.DUMMYFUNCTION("""COMPUTED_VALUE"""),"")</f>
        <v/>
      </c>
      <c r="S1535" s="42" t="str">
        <f>IFERROR(__xludf.DUMMYFUNCTION("""COMPUTED_VALUE"""),"EO3;
ER3;
ELR3;
EMI3")</f>
        <v>EO3;
ER3;
ELR3;
EMI3</v>
      </c>
      <c r="T1535" s="42" t="str">
        <f>IFERROR(__xludf.DUMMYFUNCTION("""COMPUTED_VALUE"""),"Cx3")</f>
        <v>Cx3</v>
      </c>
      <c r="U1535" s="42" t="b">
        <f>IFERROR(__xludf.DUMMYFUNCTION("""COMPUTED_VALUE"""),TRUE)</f>
        <v>1</v>
      </c>
      <c r="V1535" s="42"/>
      <c r="W1535" s="42" t="str">
        <f>IFERROR(__xludf.DUMMYFUNCTION("""COMPUTED_VALUE"""),"Excitatory")</f>
        <v>Excitatory</v>
      </c>
      <c r="X1535" s="42"/>
      <c r="Y1535" s="42"/>
      <c r="Z1535" s="42"/>
      <c r="AA1535" s="42"/>
      <c r="AB1535" s="42" t="str">
        <f>IFERROR(__xludf.DUMMYFUNCTION("""COMPUTED_VALUE"""),"Ayako Fukawa")</f>
        <v>Ayako Fukawa</v>
      </c>
      <c r="AC1535" s="42" t="str">
        <f>IFERROR(__xludf.DUMMYFUNCTION("""COMPUTED_VALUE"""),"AT20HippocampalFormation")</f>
        <v>AT20HippocampalFormation</v>
      </c>
      <c r="AD1535" s="42"/>
      <c r="AE1535" s="42"/>
      <c r="AF1535" s="9"/>
      <c r="AG1535" s="9"/>
      <c r="AH1535" s="42"/>
      <c r="AI1535" s="42"/>
      <c r="AJ1535" s="42"/>
      <c r="AK1535" s="42"/>
      <c r="AL1535" s="42"/>
      <c r="AM1535" s="42"/>
      <c r="AN1535" s="42"/>
      <c r="AO1535" s="63" t="str">
        <f>IFERROR(__xludf.DUMMYFUNCTION("IF(ISBLANK(A1535),,IF(ISBLANK(S1535), A1535&amp;"";"", TEXTJOIN(CHAR(10), TRUE, A1535&amp;"";"", ARRAYFORMULA(VLOOKUP(SPLIT(S1535, "";"" &amp; CHAR(10)), $A:$AO, 41, FALSE)))))"),"LEC_III;
EO3;
EO3a;
EO3b;
ER3;
ER3a;
ER3b;
ELR3;
ELR3a;
ELR3b;
EMI3;
EMI3a;
EMI3b;")</f>
        <v>LEC_III;
EO3;
EO3a;
EO3b;
ER3;
ER3a;
ER3b;
ELR3;
ELR3a;
ELR3b;
EMI3;
EMI3a;
EMI3b;</v>
      </c>
      <c r="AP1535" s="89"/>
    </row>
    <row r="1536">
      <c r="A1536" s="151" t="str">
        <f>IFERROR(__xludf.DUMMYFUNCTION("""COMPUTED_VALUE"""),"LEC_V")</f>
        <v>LEC_V</v>
      </c>
      <c r="B1536" s="42" t="str">
        <f>IFERROR(__xludf.DUMMYFUNCTION("""COMPUTED_VALUE"""),"collection")</f>
        <v>collection</v>
      </c>
      <c r="C1536" s="42" t="str">
        <f>IFERROR(__xludf.DUMMYFUNCTION("""COMPUTED_VALUE"""),"lateral entorhinal cortex, layer 5")</f>
        <v>lateral entorhinal cortex, layer 5</v>
      </c>
      <c r="D1536" s="42">
        <f>IFERROR(__xludf.DUMMYFUNCTION("""COMPUTED_VALUE"""),1448.5)</f>
        <v>1448.5</v>
      </c>
      <c r="E1536" s="39" t="str">
        <f>IFERROR(__xludf.DUMMYFUNCTION("""COMPUTED_VALUE"""),"")</f>
        <v/>
      </c>
      <c r="F1536" s="9" t="str">
        <f>IFERROR(__xludf.DUMMYFUNCTION("""COMPUTED_VALUE"""),"")</f>
        <v/>
      </c>
      <c r="G1536" s="9" t="str">
        <f>IFERROR(__xludf.DUMMYFUNCTION("""COMPUTED_VALUE"""),"")</f>
        <v/>
      </c>
      <c r="H1536" s="9" t="str">
        <f>IFERROR(__xludf.DUMMYFUNCTION("""COMPUTED_VALUE"""),"")</f>
        <v/>
      </c>
      <c r="I1536" s="9" t="str">
        <f>IFERROR(__xludf.DUMMYFUNCTION("""COMPUTED_VALUE"""),"")</f>
        <v/>
      </c>
      <c r="J1536" s="9" t="str">
        <f>IFERROR(__xludf.DUMMYFUNCTION("""COMPUTED_VALUE"""),"")</f>
        <v/>
      </c>
      <c r="K1536" s="9" t="str">
        <f>IFERROR(__xludf.DUMMYFUNCTION("""COMPUTED_VALUE"""),"")</f>
        <v/>
      </c>
      <c r="L1536" s="9" t="str">
        <f>IFERROR(__xludf.DUMMYFUNCTION("""COMPUTED_VALUE"""),"")</f>
        <v/>
      </c>
      <c r="M1536" s="9" t="str">
        <f>IFERROR(__xludf.DUMMYFUNCTION("""COMPUTED_VALUE"""),"")</f>
        <v/>
      </c>
      <c r="N1536" s="9" t="str">
        <f>IFERROR(__xludf.DUMMYFUNCTION("""COMPUTED_VALUE"""),"")</f>
        <v/>
      </c>
      <c r="O1536" s="9" t="str">
        <f>IFERROR(__xludf.DUMMYFUNCTION("""COMPUTED_VALUE"""),"")</f>
        <v/>
      </c>
      <c r="P1536" s="9" t="str">
        <f>IFERROR(__xludf.DUMMYFUNCTION("""COMPUTED_VALUE"""),"")</f>
        <v/>
      </c>
      <c r="Q1536" s="9" t="str">
        <f>IFERROR(__xludf.DUMMYFUNCTION("""COMPUTED_VALUE"""),"")</f>
        <v/>
      </c>
      <c r="R1536" s="9" t="str">
        <f>IFERROR(__xludf.DUMMYFUNCTION("""COMPUTED_VALUE"""),"")</f>
        <v/>
      </c>
      <c r="S1536" s="42" t="str">
        <f>IFERROR(__xludf.DUMMYFUNCTION("""COMPUTED_VALUE"""),"EO5;
ER5;
ELR5;
EMI5")</f>
        <v>EO5;
ER5;
ELR5;
EMI5</v>
      </c>
      <c r="T1536" s="42" t="str">
        <f>IFERROR(__xludf.DUMMYFUNCTION("""COMPUTED_VALUE"""),"Cx5")</f>
        <v>Cx5</v>
      </c>
      <c r="U1536" s="42"/>
      <c r="V1536" s="42"/>
      <c r="W1536" s="42"/>
      <c r="X1536" s="42"/>
      <c r="Y1536" s="42"/>
      <c r="Z1536" s="42"/>
      <c r="AA1536" s="42"/>
      <c r="AB1536" s="42" t="str">
        <f>IFERROR(__xludf.DUMMYFUNCTION("""COMPUTED_VALUE"""),"Ayako Fukawa")</f>
        <v>Ayako Fukawa</v>
      </c>
      <c r="AC1536" s="42" t="str">
        <f>IFERROR(__xludf.DUMMYFUNCTION("""COMPUTED_VALUE"""),"AT20HippocampalFormation")</f>
        <v>AT20HippocampalFormation</v>
      </c>
      <c r="AD1536" s="42"/>
      <c r="AE1536" s="42"/>
      <c r="AF1536" s="9"/>
      <c r="AG1536" s="9"/>
      <c r="AH1536" s="42"/>
      <c r="AI1536" s="42"/>
      <c r="AJ1536" s="42"/>
      <c r="AK1536" s="42"/>
      <c r="AL1536" s="42"/>
      <c r="AM1536" s="42"/>
      <c r="AN1536" s="42"/>
      <c r="AO1536" s="63" t="str">
        <f>IFERROR(__xludf.DUMMYFUNCTION("IF(ISBLANK(A1536),,IF(ISBLANK(S1536), A1536&amp;"";"", TEXTJOIN(CHAR(10), TRUE, A1536&amp;"";"", ARRAYFORMULA(VLOOKUP(SPLIT(S1536, "";"" &amp; CHAR(10)), $A:$AO, 41, FALSE)))))"),"LEC_V;
EO5;
ER5;
ELR5;
EMI5;")</f>
        <v>LEC_V;
EO5;
ER5;
ELR5;
EMI5;</v>
      </c>
      <c r="AP1536" s="89"/>
    </row>
    <row r="1537">
      <c r="A1537" s="151" t="str">
        <f>IFERROR(__xludf.DUMMYFUNCTION("""COMPUTED_VALUE"""),"LEC_VI")</f>
        <v>LEC_VI</v>
      </c>
      <c r="B1537" s="42" t="str">
        <f>IFERROR(__xludf.DUMMYFUNCTION("""COMPUTED_VALUE"""),"collection")</f>
        <v>collection</v>
      </c>
      <c r="C1537" s="42" t="str">
        <f>IFERROR(__xludf.DUMMYFUNCTION("""COMPUTED_VALUE"""),"lateral entorhinal cortex, layer 6")</f>
        <v>lateral entorhinal cortex, layer 6</v>
      </c>
      <c r="D1537" s="42">
        <f>IFERROR(__xludf.DUMMYFUNCTION("""COMPUTED_VALUE"""),1448.6)</f>
        <v>1448.6</v>
      </c>
      <c r="E1537" s="39" t="str">
        <f>IFERROR(__xludf.DUMMYFUNCTION("""COMPUTED_VALUE"""),"")</f>
        <v/>
      </c>
      <c r="F1537" s="9" t="str">
        <f>IFERROR(__xludf.DUMMYFUNCTION("""COMPUTED_VALUE"""),"")</f>
        <v/>
      </c>
      <c r="G1537" s="9" t="str">
        <f>IFERROR(__xludf.DUMMYFUNCTION("""COMPUTED_VALUE"""),"")</f>
        <v/>
      </c>
      <c r="H1537" s="9" t="str">
        <f>IFERROR(__xludf.DUMMYFUNCTION("""COMPUTED_VALUE"""),"")</f>
        <v/>
      </c>
      <c r="I1537" s="9" t="str">
        <f>IFERROR(__xludf.DUMMYFUNCTION("""COMPUTED_VALUE"""),"")</f>
        <v/>
      </c>
      <c r="J1537" s="9" t="str">
        <f>IFERROR(__xludf.DUMMYFUNCTION("""COMPUTED_VALUE"""),"")</f>
        <v/>
      </c>
      <c r="K1537" s="9" t="str">
        <f>IFERROR(__xludf.DUMMYFUNCTION("""COMPUTED_VALUE"""),"")</f>
        <v/>
      </c>
      <c r="L1537" s="9" t="str">
        <f>IFERROR(__xludf.DUMMYFUNCTION("""COMPUTED_VALUE"""),"")</f>
        <v/>
      </c>
      <c r="M1537" s="9" t="str">
        <f>IFERROR(__xludf.DUMMYFUNCTION("""COMPUTED_VALUE"""),"")</f>
        <v/>
      </c>
      <c r="N1537" s="9" t="str">
        <f>IFERROR(__xludf.DUMMYFUNCTION("""COMPUTED_VALUE"""),"")</f>
        <v/>
      </c>
      <c r="O1537" s="9" t="str">
        <f>IFERROR(__xludf.DUMMYFUNCTION("""COMPUTED_VALUE"""),"")</f>
        <v/>
      </c>
      <c r="P1537" s="9" t="str">
        <f>IFERROR(__xludf.DUMMYFUNCTION("""COMPUTED_VALUE"""),"")</f>
        <v/>
      </c>
      <c r="Q1537" s="9" t="str">
        <f>IFERROR(__xludf.DUMMYFUNCTION("""COMPUTED_VALUE"""),"")</f>
        <v/>
      </c>
      <c r="R1537" s="9" t="str">
        <f>IFERROR(__xludf.DUMMYFUNCTION("""COMPUTED_VALUE"""),"")</f>
        <v/>
      </c>
      <c r="S1537" s="42" t="str">
        <f>IFERROR(__xludf.DUMMYFUNCTION("""COMPUTED_VALUE"""),"EO6;
ER6;
ELR6;
EMI6")</f>
        <v>EO6;
ER6;
ELR6;
EMI6</v>
      </c>
      <c r="T1537" s="42" t="str">
        <f>IFERROR(__xludf.DUMMYFUNCTION("""COMPUTED_VALUE"""),"Cx6")</f>
        <v>Cx6</v>
      </c>
      <c r="U1537" s="42"/>
      <c r="V1537" s="42"/>
      <c r="W1537" s="42"/>
      <c r="X1537" s="42"/>
      <c r="Y1537" s="42"/>
      <c r="Z1537" s="42"/>
      <c r="AA1537" s="42"/>
      <c r="AB1537" s="42" t="str">
        <f>IFERROR(__xludf.DUMMYFUNCTION("""COMPUTED_VALUE"""),"Ayako Fukawa")</f>
        <v>Ayako Fukawa</v>
      </c>
      <c r="AC1537" s="42" t="str">
        <f>IFERROR(__xludf.DUMMYFUNCTION("""COMPUTED_VALUE"""),"AT20HippocampalFormation")</f>
        <v>AT20HippocampalFormation</v>
      </c>
      <c r="AD1537" s="42"/>
      <c r="AE1537" s="42"/>
      <c r="AF1537" s="9"/>
      <c r="AG1537" s="9"/>
      <c r="AH1537" s="42"/>
      <c r="AI1537" s="42"/>
      <c r="AJ1537" s="42"/>
      <c r="AK1537" s="42"/>
      <c r="AL1537" s="42"/>
      <c r="AM1537" s="42"/>
      <c r="AN1537" s="42"/>
      <c r="AO1537" s="63" t="str">
        <f>IFERROR(__xludf.DUMMYFUNCTION("IF(ISBLANK(A1537),,IF(ISBLANK(S1537), A1537&amp;"";"", TEXTJOIN(CHAR(10), TRUE, A1537&amp;"";"", ARRAYFORMULA(VLOOKUP(SPLIT(S1537, "";"" &amp; CHAR(10)), $A:$AO, 41, FALSE)))))"),"LEC_VI;
EO6;
ER6;
ELR6;
EMI6;")</f>
        <v>LEC_VI;
EO6;
ER6;
ELR6;
EMI6;</v>
      </c>
      <c r="AP1537" s="89"/>
    </row>
    <row r="1538">
      <c r="A1538" s="151" t="str">
        <f>IFERROR(__xludf.DUMMYFUNCTION("""COMPUTED_VALUE"""),"LEC_deep")</f>
        <v>LEC_deep</v>
      </c>
      <c r="B1538" s="42" t="str">
        <f>IFERROR(__xludf.DUMMYFUNCTION("""COMPUTED_VALUE"""),"collection")</f>
        <v>collection</v>
      </c>
      <c r="C1538" s="42" t="str">
        <f>IFERROR(__xludf.DUMMYFUNCTION("""COMPUTED_VALUE"""),"deep layer of lateral entorihinal cortex")</f>
        <v>deep layer of lateral entorihinal cortex</v>
      </c>
      <c r="D1538" s="42">
        <f>IFERROR(__xludf.DUMMYFUNCTION("""COMPUTED_VALUE"""),1448.7)</f>
        <v>1448.7</v>
      </c>
      <c r="E1538" s="39" t="str">
        <f>IFERROR(__xludf.DUMMYFUNCTION("""COMPUTED_VALUE"""),"")</f>
        <v/>
      </c>
      <c r="F1538" s="9" t="str">
        <f>IFERROR(__xludf.DUMMYFUNCTION("""COMPUTED_VALUE"""),"")</f>
        <v/>
      </c>
      <c r="G1538" s="9" t="str">
        <f>IFERROR(__xludf.DUMMYFUNCTION("""COMPUTED_VALUE"""),"")</f>
        <v/>
      </c>
      <c r="H1538" s="9" t="str">
        <f>IFERROR(__xludf.DUMMYFUNCTION("""COMPUTED_VALUE"""),"")</f>
        <v/>
      </c>
      <c r="I1538" s="9" t="str">
        <f>IFERROR(__xludf.DUMMYFUNCTION("""COMPUTED_VALUE"""),"")</f>
        <v/>
      </c>
      <c r="J1538" s="9" t="str">
        <f>IFERROR(__xludf.DUMMYFUNCTION("""COMPUTED_VALUE"""),"")</f>
        <v/>
      </c>
      <c r="K1538" s="9" t="str">
        <f>IFERROR(__xludf.DUMMYFUNCTION("""COMPUTED_VALUE"""),"")</f>
        <v/>
      </c>
      <c r="L1538" s="9" t="str">
        <f>IFERROR(__xludf.DUMMYFUNCTION("""COMPUTED_VALUE"""),"")</f>
        <v/>
      </c>
      <c r="M1538" s="9" t="str">
        <f>IFERROR(__xludf.DUMMYFUNCTION("""COMPUTED_VALUE"""),"")</f>
        <v/>
      </c>
      <c r="N1538" s="9" t="str">
        <f>IFERROR(__xludf.DUMMYFUNCTION("""COMPUTED_VALUE"""),"")</f>
        <v/>
      </c>
      <c r="O1538" s="9" t="str">
        <f>IFERROR(__xludf.DUMMYFUNCTION("""COMPUTED_VALUE"""),"")</f>
        <v/>
      </c>
      <c r="P1538" s="9" t="str">
        <f>IFERROR(__xludf.DUMMYFUNCTION("""COMPUTED_VALUE"""),"")</f>
        <v/>
      </c>
      <c r="Q1538" s="9" t="str">
        <f>IFERROR(__xludf.DUMMYFUNCTION("""COMPUTED_VALUE"""),"")</f>
        <v/>
      </c>
      <c r="R1538" s="9" t="str">
        <f>IFERROR(__xludf.DUMMYFUNCTION("""COMPUTED_VALUE"""),"")</f>
        <v/>
      </c>
      <c r="S1538" s="42" t="str">
        <f>IFERROR(__xludf.DUMMYFUNCTION("""COMPUTED_VALUE"""),"LEC_V;
LEC_VI;
LEC_deep_uc1")</f>
        <v>LEC_V;
LEC_VI;
LEC_deep_uc1</v>
      </c>
      <c r="T1538" s="42"/>
      <c r="U1538" s="42" t="b">
        <f>IFERROR(__xludf.DUMMYFUNCTION("""COMPUTED_VALUE"""),FALSE)</f>
        <v>0</v>
      </c>
      <c r="V1538" s="42"/>
      <c r="W1538" s="42"/>
      <c r="X1538" s="42"/>
      <c r="Y1538" s="42"/>
      <c r="Z1538" s="42"/>
      <c r="AA1538" s="42"/>
      <c r="AB1538" s="42" t="str">
        <f>IFERROR(__xludf.DUMMYFUNCTION("""COMPUTED_VALUE"""),"Ayako Fukawa")</f>
        <v>Ayako Fukawa</v>
      </c>
      <c r="AC1538" s="42" t="str">
        <f>IFERROR(__xludf.DUMMYFUNCTION("""COMPUTED_VALUE"""),"AT20HippocampalFormation")</f>
        <v>AT20HippocampalFormation</v>
      </c>
      <c r="AD1538" s="42"/>
      <c r="AE1538" s="42"/>
      <c r="AF1538" s="9"/>
      <c r="AG1538" s="9"/>
      <c r="AH1538" s="42"/>
      <c r="AI1538" s="42"/>
      <c r="AJ1538" s="42"/>
      <c r="AK1538" s="42"/>
      <c r="AL1538" s="42"/>
      <c r="AM1538" s="42"/>
      <c r="AN1538" s="42"/>
      <c r="AO1538" s="63" t="str">
        <f>IFERROR(__xludf.DUMMYFUNCTION("IF(ISBLANK(A1538),,IF(ISBLANK(S1538), A1538&amp;"";"", TEXTJOIN(CHAR(10), TRUE, A1538&amp;"";"", ARRAYFORMULA(VLOOKUP(SPLIT(S1538, "";"" &amp; CHAR(10)), $A:$AO, 41, FALSE)))))"),"LEC_deep;
LEC_V;
EO5;
ER5;
ELR5;
EMI5;
LEC_VI;
EO6;
ER6;
ELR6;
EMI6;
LEC_deep_uc1;")</f>
        <v>LEC_deep;
LEC_V;
EO5;
ER5;
ELR5;
EMI5;
LEC_VI;
EO6;
ER6;
ELR6;
EMI6;
LEC_deep_uc1;</v>
      </c>
      <c r="AP1538" s="89"/>
    </row>
    <row r="1539">
      <c r="A1539" s="151" t="str">
        <f>IFERROR(__xludf.DUMMYFUNCTION("""COMPUTED_VALUE"""),"LEC_deep_uc1")</f>
        <v>LEC_deep_uc1</v>
      </c>
      <c r="B1539" s="42" t="str">
        <f>IFERROR(__xludf.DUMMYFUNCTION("""COMPUTED_VALUE"""),"makeshift")</f>
        <v>makeshift</v>
      </c>
      <c r="C1539" s="42" t="str">
        <f>IFERROR(__xludf.DUMMYFUNCTION("""COMPUTED_VALUE"""),"deep layer of lateral entorihinal cortex, uniform circuit 1")</f>
        <v>deep layer of lateral entorihinal cortex, uniform circuit 1</v>
      </c>
      <c r="D1539" s="42">
        <f>IFERROR(__xludf.DUMMYFUNCTION("""COMPUTED_VALUE"""),1448.8)</f>
        <v>1448.8</v>
      </c>
      <c r="E1539" s="39" t="str">
        <f>IFERROR(__xludf.DUMMYFUNCTION("""COMPUTED_VALUE"""),"")</f>
        <v/>
      </c>
      <c r="F1539" s="9" t="str">
        <f>IFERROR(__xludf.DUMMYFUNCTION("""COMPUTED_VALUE"""),"")</f>
        <v/>
      </c>
      <c r="G1539" s="9" t="str">
        <f>IFERROR(__xludf.DUMMYFUNCTION("""COMPUTED_VALUE"""),"")</f>
        <v/>
      </c>
      <c r="H1539" s="9" t="str">
        <f>IFERROR(__xludf.DUMMYFUNCTION("""COMPUTED_VALUE"""),"")</f>
        <v/>
      </c>
      <c r="I1539" s="9" t="str">
        <f>IFERROR(__xludf.DUMMYFUNCTION("""COMPUTED_VALUE"""),"")</f>
        <v/>
      </c>
      <c r="J1539" s="9" t="str">
        <f>IFERROR(__xludf.DUMMYFUNCTION("""COMPUTED_VALUE"""),"")</f>
        <v/>
      </c>
      <c r="K1539" s="9" t="str">
        <f>IFERROR(__xludf.DUMMYFUNCTION("""COMPUTED_VALUE"""),"")</f>
        <v/>
      </c>
      <c r="L1539" s="9" t="str">
        <f>IFERROR(__xludf.DUMMYFUNCTION("""COMPUTED_VALUE"""),"")</f>
        <v/>
      </c>
      <c r="M1539" s="9" t="str">
        <f>IFERROR(__xludf.DUMMYFUNCTION("""COMPUTED_VALUE"""),"")</f>
        <v/>
      </c>
      <c r="N1539" s="9" t="str">
        <f>IFERROR(__xludf.DUMMYFUNCTION("""COMPUTED_VALUE"""),"")</f>
        <v/>
      </c>
      <c r="O1539" s="9" t="str">
        <f>IFERROR(__xludf.DUMMYFUNCTION("""COMPUTED_VALUE"""),"")</f>
        <v/>
      </c>
      <c r="P1539" s="9" t="str">
        <f>IFERROR(__xludf.DUMMYFUNCTION("""COMPUTED_VALUE"""),"")</f>
        <v/>
      </c>
      <c r="Q1539" s="9" t="str">
        <f>IFERROR(__xludf.DUMMYFUNCTION("""COMPUTED_VALUE"""),"")</f>
        <v/>
      </c>
      <c r="R1539" s="9" t="str">
        <f>IFERROR(__xludf.DUMMYFUNCTION("""COMPUTED_VALUE"""),"")</f>
        <v/>
      </c>
      <c r="S1539" s="42"/>
      <c r="T1539" s="42"/>
      <c r="U1539" s="42" t="b">
        <f>IFERROR(__xludf.DUMMYFUNCTION("""COMPUTED_VALUE"""),TRUE)</f>
        <v>1</v>
      </c>
      <c r="V1539" s="42"/>
      <c r="W1539" s="42" t="str">
        <f>IFERROR(__xludf.DUMMYFUNCTION("""COMPUTED_VALUE"""),"Excitatory")</f>
        <v>Excitatory</v>
      </c>
      <c r="X1539" s="42"/>
      <c r="Y1539" s="42"/>
      <c r="Z1539" s="42"/>
      <c r="AA1539" s="42"/>
      <c r="AB1539" s="42" t="str">
        <f>IFERROR(__xludf.DUMMYFUNCTION("""COMPUTED_VALUE"""),"Ayako Fukawa")</f>
        <v>Ayako Fukawa</v>
      </c>
      <c r="AC1539" s="42" t="str">
        <f>IFERROR(__xludf.DUMMYFUNCTION("""COMPUTED_VALUE"""),"AT20HippocampalFormation")</f>
        <v>AT20HippocampalFormation</v>
      </c>
      <c r="AD1539" s="42"/>
      <c r="AE1539" s="42"/>
      <c r="AF1539" s="9"/>
      <c r="AG1539" s="9"/>
      <c r="AH1539" s="42"/>
      <c r="AI1539" s="42"/>
      <c r="AJ1539" s="42"/>
      <c r="AK1539" s="42"/>
      <c r="AL1539" s="42"/>
      <c r="AM1539" s="42"/>
      <c r="AN1539" s="42"/>
      <c r="AO1539" s="63" t="str">
        <f>IFERROR(__xludf.DUMMYFUNCTION("IF(ISBLANK(A1539),,IF(ISBLANK(S1539), A1539&amp;"";"", TEXTJOIN(CHAR(10), TRUE, A1539&amp;"";"", ARRAYFORMULA(VLOOKUP(SPLIT(S1539, "";"" &amp; CHAR(10)), $A:$AO, 41, FALSE)))))"),"LEC_deep_uc1;")</f>
        <v>LEC_deep_uc1;</v>
      </c>
      <c r="AP1539" s="89"/>
    </row>
    <row r="1540">
      <c r="A1540" s="151" t="str">
        <f>IFERROR(__xludf.DUMMYFUNCTION("""COMPUTED_VALUE"""),"EO")</f>
        <v>EO</v>
      </c>
      <c r="B1540" s="42" t="str">
        <f>IFERROR(__xludf.DUMMYFUNCTION("""COMPUTED_VALUE"""),"DHBA")</f>
        <v>DHBA</v>
      </c>
      <c r="C1540" s="42" t="str">
        <f>IFERROR(__xludf.DUMMYFUNCTION("""COMPUTED_VALUE"""),"olfactory part of entorhinal cortex")</f>
        <v>olfactory part of entorhinal cortex</v>
      </c>
      <c r="D1540" s="42">
        <f>IFERROR(__xludf.DUMMYFUNCTION("""COMPUTED_VALUE"""),1449.0)</f>
        <v>1449</v>
      </c>
      <c r="E1540" s="39" t="str">
        <f>IFERROR(__xludf.DUMMYFUNCTION("""COMPUTED_VALUE"""),"olfactory part of entorhinal cortex")</f>
        <v>olfactory part of entorhinal cortex</v>
      </c>
      <c r="F1540" s="9" t="str">
        <f>IFERROR(__xludf.DUMMYFUNCTION("""COMPUTED_VALUE"""),"Br")</f>
        <v>Br</v>
      </c>
      <c r="G1540" s="9" t="str">
        <f>IFERROR(__xludf.DUMMYFUNCTION("""COMPUTED_VALUE"""),"F")</f>
        <v>F</v>
      </c>
      <c r="H1540" s="9" t="str">
        <f>IFERROR(__xludf.DUMMYFUNCTION("""COMPUTED_VALUE"""),"FGM")</f>
        <v>FGM</v>
      </c>
      <c r="I1540" s="9" t="str">
        <f>IFERROR(__xludf.DUMMYFUNCTION("""COMPUTED_VALUE"""),"Tel")</f>
        <v>Tel</v>
      </c>
      <c r="J1540" s="9" t="str">
        <f>IFERROR(__xludf.DUMMYFUNCTION("""COMPUTED_VALUE"""),"Cx")</f>
        <v>Cx</v>
      </c>
      <c r="K1540" s="9" t="str">
        <f>IFERROR(__xludf.DUMMYFUNCTION("""COMPUTED_VALUE"""),"PACx")</f>
        <v>PACx</v>
      </c>
      <c r="L1540" s="9" t="str">
        <f>IFERROR(__xludf.DUMMYFUNCTION("""COMPUTED_VALUE"""),"PArCx")</f>
        <v>PArCx</v>
      </c>
      <c r="M1540" s="9" t="str">
        <f>IFERROR(__xludf.DUMMYFUNCTION("""COMPUTED_VALUE"""),"EC")</f>
        <v>EC</v>
      </c>
      <c r="N1540" s="9" t="str">
        <f>IFERROR(__xludf.DUMMYFUNCTION("""COMPUTED_VALUE"""),"LEC")</f>
        <v>LEC</v>
      </c>
      <c r="O1540" s="9" t="str">
        <f>IFERROR(__xludf.DUMMYFUNCTION("""COMPUTED_VALUE"""),"EO")</f>
        <v>EO</v>
      </c>
      <c r="P1540" s="9"/>
      <c r="Q1540" s="9"/>
      <c r="R1540" s="9"/>
      <c r="S1540" s="42" t="str">
        <f>IFERROR(__xludf.DUMMYFUNCTION("""COMPUTED_VALUE"""),"EO1;
EOs;
EOld;
EOd")</f>
        <v>EO1;
EOs;
EOld;
EOd</v>
      </c>
      <c r="T1540" s="42"/>
      <c r="U1540" s="42" t="b">
        <f>IFERROR(__xludf.DUMMYFUNCTION("""COMPUTED_VALUE"""),FALSE)</f>
        <v>0</v>
      </c>
      <c r="V1540" s="42"/>
      <c r="W1540" s="42"/>
      <c r="X1540" s="42"/>
      <c r="Y1540" s="42"/>
      <c r="Z1540" s="42"/>
      <c r="AA1540" s="42"/>
      <c r="AB1540" s="42" t="str">
        <f>IFERROR(__xludf.DUMMYFUNCTION("""COMPUTED_VALUE"""),"allen institute")</f>
        <v>allen institute</v>
      </c>
      <c r="AC1540" s="42" t="str">
        <f>IFERROR(__xludf.DUMMYFUNCTION("""COMPUTED_VALUE"""),"DHBA")</f>
        <v>DHBA</v>
      </c>
      <c r="AD1540" s="42"/>
      <c r="AE1540" s="42"/>
      <c r="AF1540" s="9"/>
      <c r="AG1540" s="9"/>
      <c r="AH1540" s="42"/>
      <c r="AI1540" s="42"/>
      <c r="AJ1540" s="42"/>
      <c r="AK1540" s="42"/>
      <c r="AL1540" s="42"/>
      <c r="AM1540" s="42"/>
      <c r="AN1540" s="42"/>
      <c r="AO1540" s="63" t="str">
        <f>IFERROR(__xludf.DUMMYFUNCTION("IF(ISBLANK(A1540),,IF(ISBLANK(S1540), A1540&amp;"";"", TEXTJOIN(CHAR(10), TRUE, A1540&amp;"";"", ARRAYFORMULA(VLOOKUP(SPLIT(S1540, "";"" &amp; CHAR(10)), $A:$AO, 41, FALSE)))))"),"EO;
EO1;
EOs;
EO2;
EO3;
EO3a;
EO3b;
EOld;
EOd;
EO5;
EO6;")</f>
        <v>EO;
EO1;
EOs;
EO2;
EO3;
EO3a;
EO3b;
EOld;
EOd;
EO5;
EO6;</v>
      </c>
      <c r="AP1540" s="89"/>
    </row>
    <row r="1541">
      <c r="A1541" s="151" t="str">
        <f>IFERROR(__xludf.DUMMYFUNCTION("""COMPUTED_VALUE"""),"EO1")</f>
        <v>EO1</v>
      </c>
      <c r="B1541" s="42" t="str">
        <f>IFERROR(__xludf.DUMMYFUNCTION("""COMPUTED_VALUE"""),"DHBA")</f>
        <v>DHBA</v>
      </c>
      <c r="C1541" s="42" t="str">
        <f>IFERROR(__xludf.DUMMYFUNCTION("""COMPUTED_VALUE"""),"layer I of olfactory entorhinal cortex")</f>
        <v>layer I of olfactory entorhinal cortex</v>
      </c>
      <c r="D1541" s="42">
        <f>IFERROR(__xludf.DUMMYFUNCTION("""COMPUTED_VALUE"""),1450.0)</f>
        <v>1450</v>
      </c>
      <c r="E1541" s="39" t="str">
        <f>IFERROR(__xludf.DUMMYFUNCTION("""COMPUTED_VALUE"""),"layer I of olfactory entorhinal cortex")</f>
        <v>layer I of olfactory entorhinal cortex</v>
      </c>
      <c r="F1541" s="9" t="str">
        <f>IFERROR(__xludf.DUMMYFUNCTION("""COMPUTED_VALUE"""),"Br")</f>
        <v>Br</v>
      </c>
      <c r="G1541" s="9" t="str">
        <f>IFERROR(__xludf.DUMMYFUNCTION("""COMPUTED_VALUE"""),"F")</f>
        <v>F</v>
      </c>
      <c r="H1541" s="9" t="str">
        <f>IFERROR(__xludf.DUMMYFUNCTION("""COMPUTED_VALUE"""),"FGM")</f>
        <v>FGM</v>
      </c>
      <c r="I1541" s="9" t="str">
        <f>IFERROR(__xludf.DUMMYFUNCTION("""COMPUTED_VALUE"""),"Tel")</f>
        <v>Tel</v>
      </c>
      <c r="J1541" s="9" t="str">
        <f>IFERROR(__xludf.DUMMYFUNCTION("""COMPUTED_VALUE"""),"Cx")</f>
        <v>Cx</v>
      </c>
      <c r="K1541" s="9" t="str">
        <f>IFERROR(__xludf.DUMMYFUNCTION("""COMPUTED_VALUE"""),"PACx")</f>
        <v>PACx</v>
      </c>
      <c r="L1541" s="9" t="str">
        <f>IFERROR(__xludf.DUMMYFUNCTION("""COMPUTED_VALUE"""),"PArCx")</f>
        <v>PArCx</v>
      </c>
      <c r="M1541" s="9" t="str">
        <f>IFERROR(__xludf.DUMMYFUNCTION("""COMPUTED_VALUE"""),"EC")</f>
        <v>EC</v>
      </c>
      <c r="N1541" s="9" t="str">
        <f>IFERROR(__xludf.DUMMYFUNCTION("""COMPUTED_VALUE"""),"LEC")</f>
        <v>LEC</v>
      </c>
      <c r="O1541" s="9" t="str">
        <f>IFERROR(__xludf.DUMMYFUNCTION("""COMPUTED_VALUE"""),"EO")</f>
        <v>EO</v>
      </c>
      <c r="P1541" s="9" t="str">
        <f>IFERROR(__xludf.DUMMYFUNCTION("""COMPUTED_VALUE"""),"EO1")</f>
        <v>EO1</v>
      </c>
      <c r="Q1541" s="9"/>
      <c r="R1541" s="9"/>
      <c r="S1541" s="42"/>
      <c r="T1541" s="42"/>
      <c r="U1541" s="42"/>
      <c r="V1541" s="42"/>
      <c r="W1541" s="42"/>
      <c r="X1541" s="42"/>
      <c r="Y1541" s="42"/>
      <c r="Z1541" s="42"/>
      <c r="AA1541" s="42"/>
      <c r="AB1541" s="42" t="str">
        <f>IFERROR(__xludf.DUMMYFUNCTION("""COMPUTED_VALUE"""),"allen institute")</f>
        <v>allen institute</v>
      </c>
      <c r="AC1541" s="42" t="str">
        <f>IFERROR(__xludf.DUMMYFUNCTION("""COMPUTED_VALUE"""),"DHBA")</f>
        <v>DHBA</v>
      </c>
      <c r="AD1541" s="42"/>
      <c r="AE1541" s="42"/>
      <c r="AF1541" s="9"/>
      <c r="AG1541" s="9"/>
      <c r="AH1541" s="42"/>
      <c r="AI1541" s="42"/>
      <c r="AJ1541" s="42"/>
      <c r="AK1541" s="42"/>
      <c r="AL1541" s="42"/>
      <c r="AM1541" s="42"/>
      <c r="AN1541" s="42"/>
      <c r="AO1541" s="63" t="str">
        <f>IFERROR(__xludf.DUMMYFUNCTION("IF(ISBLANK(A1541),,IF(ISBLANK(S1541), A1541&amp;"";"", TEXTJOIN(CHAR(10), TRUE, A1541&amp;"";"", ARRAYFORMULA(VLOOKUP(SPLIT(S1541, "";"" &amp; CHAR(10)), $A:$AO, 41, FALSE)))))"),"EO1;")</f>
        <v>EO1;</v>
      </c>
      <c r="AP1541" s="89"/>
    </row>
    <row r="1542">
      <c r="A1542" s="151" t="str">
        <f>IFERROR(__xludf.DUMMYFUNCTION("""COMPUTED_VALUE"""),"EOs")</f>
        <v>EOs</v>
      </c>
      <c r="B1542" s="42" t="str">
        <f>IFERROR(__xludf.DUMMYFUNCTION("""COMPUTED_VALUE"""),"DHBA")</f>
        <v>DHBA</v>
      </c>
      <c r="C1542" s="42" t="str">
        <f>IFERROR(__xludf.DUMMYFUNCTION("""COMPUTED_VALUE"""),"superficial layers of olfactory entorhinal cortex")</f>
        <v>superficial layers of olfactory entorhinal cortex</v>
      </c>
      <c r="D1542" s="42">
        <f>IFERROR(__xludf.DUMMYFUNCTION("""COMPUTED_VALUE"""),1451.0)</f>
        <v>1451</v>
      </c>
      <c r="E1542" s="39" t="str">
        <f>IFERROR(__xludf.DUMMYFUNCTION("""COMPUTED_VALUE"""),"superficial layers of olfactory entorhinal cortex")</f>
        <v>superficial layers of olfactory entorhinal cortex</v>
      </c>
      <c r="F1542" s="9" t="str">
        <f>IFERROR(__xludf.DUMMYFUNCTION("""COMPUTED_VALUE"""),"Br")</f>
        <v>Br</v>
      </c>
      <c r="G1542" s="9" t="str">
        <f>IFERROR(__xludf.DUMMYFUNCTION("""COMPUTED_VALUE"""),"F")</f>
        <v>F</v>
      </c>
      <c r="H1542" s="9" t="str">
        <f>IFERROR(__xludf.DUMMYFUNCTION("""COMPUTED_VALUE"""),"FGM")</f>
        <v>FGM</v>
      </c>
      <c r="I1542" s="9" t="str">
        <f>IFERROR(__xludf.DUMMYFUNCTION("""COMPUTED_VALUE"""),"Tel")</f>
        <v>Tel</v>
      </c>
      <c r="J1542" s="9" t="str">
        <f>IFERROR(__xludf.DUMMYFUNCTION("""COMPUTED_VALUE"""),"Cx")</f>
        <v>Cx</v>
      </c>
      <c r="K1542" s="9" t="str">
        <f>IFERROR(__xludf.DUMMYFUNCTION("""COMPUTED_VALUE"""),"PACx")</f>
        <v>PACx</v>
      </c>
      <c r="L1542" s="9" t="str">
        <f>IFERROR(__xludf.DUMMYFUNCTION("""COMPUTED_VALUE"""),"PArCx")</f>
        <v>PArCx</v>
      </c>
      <c r="M1542" s="9" t="str">
        <f>IFERROR(__xludf.DUMMYFUNCTION("""COMPUTED_VALUE"""),"EC")</f>
        <v>EC</v>
      </c>
      <c r="N1542" s="9" t="str">
        <f>IFERROR(__xludf.DUMMYFUNCTION("""COMPUTED_VALUE"""),"LEC")</f>
        <v>LEC</v>
      </c>
      <c r="O1542" s="9" t="str">
        <f>IFERROR(__xludf.DUMMYFUNCTION("""COMPUTED_VALUE"""),"EO")</f>
        <v>EO</v>
      </c>
      <c r="P1542" s="9" t="str">
        <f>IFERROR(__xludf.DUMMYFUNCTION("""COMPUTED_VALUE"""),"EOs")</f>
        <v>EOs</v>
      </c>
      <c r="Q1542" s="9"/>
      <c r="R1542" s="9"/>
      <c r="S1542" s="42" t="str">
        <f>IFERROR(__xludf.DUMMYFUNCTION("""COMPUTED_VALUE"""),"EO2;
EO3")</f>
        <v>EO2;
EO3</v>
      </c>
      <c r="T1542" s="42"/>
      <c r="U1542" s="42" t="b">
        <f>IFERROR(__xludf.DUMMYFUNCTION("""COMPUTED_VALUE"""),FALSE)</f>
        <v>0</v>
      </c>
      <c r="V1542" s="42"/>
      <c r="W1542" s="42"/>
      <c r="X1542" s="42"/>
      <c r="Y1542" s="42"/>
      <c r="Z1542" s="42"/>
      <c r="AA1542" s="42"/>
      <c r="AB1542" s="42" t="str">
        <f>IFERROR(__xludf.DUMMYFUNCTION("""COMPUTED_VALUE"""),"allen institute")</f>
        <v>allen institute</v>
      </c>
      <c r="AC1542" s="42" t="str">
        <f>IFERROR(__xludf.DUMMYFUNCTION("""COMPUTED_VALUE"""),"DHBA")</f>
        <v>DHBA</v>
      </c>
      <c r="AD1542" s="42"/>
      <c r="AE1542" s="42"/>
      <c r="AF1542" s="9"/>
      <c r="AG1542" s="9"/>
      <c r="AH1542" s="42"/>
      <c r="AI1542" s="42"/>
      <c r="AJ1542" s="42"/>
      <c r="AK1542" s="42"/>
      <c r="AL1542" s="42"/>
      <c r="AM1542" s="42"/>
      <c r="AN1542" s="42"/>
      <c r="AO1542" s="63" t="str">
        <f>IFERROR(__xludf.DUMMYFUNCTION("IF(ISBLANK(A1542),,IF(ISBLANK(S1542), A1542&amp;"";"", TEXTJOIN(CHAR(10), TRUE, A1542&amp;"";"", ARRAYFORMULA(VLOOKUP(SPLIT(S1542, "";"" &amp; CHAR(10)), $A:$AO, 41, FALSE)))))"),"EOs;
EO2;
EO3;
EO3a;
EO3b;")</f>
        <v>EOs;
EO2;
EO3;
EO3a;
EO3b;</v>
      </c>
      <c r="AP1542" s="89"/>
    </row>
    <row r="1543">
      <c r="A1543" s="151" t="str">
        <f>IFERROR(__xludf.DUMMYFUNCTION("""COMPUTED_VALUE"""),"EO2")</f>
        <v>EO2</v>
      </c>
      <c r="B1543" s="42" t="str">
        <f>IFERROR(__xludf.DUMMYFUNCTION("""COMPUTED_VALUE"""),"DHBA")</f>
        <v>DHBA</v>
      </c>
      <c r="C1543" s="42" t="str">
        <f>IFERROR(__xludf.DUMMYFUNCTION("""COMPUTED_VALUE"""),"layer II of olfactory entorhinal cortex")</f>
        <v>layer II of olfactory entorhinal cortex</v>
      </c>
      <c r="D1543" s="42">
        <f>IFERROR(__xludf.DUMMYFUNCTION("""COMPUTED_VALUE"""),1452.0)</f>
        <v>1452</v>
      </c>
      <c r="E1543" s="39" t="str">
        <f>IFERROR(__xludf.DUMMYFUNCTION("""COMPUTED_VALUE"""),"layer II of olfactory entorhinal cortex")</f>
        <v>layer II of olfactory entorhinal cortex</v>
      </c>
      <c r="F1543" s="9" t="str">
        <f>IFERROR(__xludf.DUMMYFUNCTION("""COMPUTED_VALUE"""),"Br")</f>
        <v>Br</v>
      </c>
      <c r="G1543" s="9" t="str">
        <f>IFERROR(__xludf.DUMMYFUNCTION("""COMPUTED_VALUE"""),"F")</f>
        <v>F</v>
      </c>
      <c r="H1543" s="9" t="str">
        <f>IFERROR(__xludf.DUMMYFUNCTION("""COMPUTED_VALUE"""),"FGM")</f>
        <v>FGM</v>
      </c>
      <c r="I1543" s="9" t="str">
        <f>IFERROR(__xludf.DUMMYFUNCTION("""COMPUTED_VALUE"""),"Tel")</f>
        <v>Tel</v>
      </c>
      <c r="J1543" s="9" t="str">
        <f>IFERROR(__xludf.DUMMYFUNCTION("""COMPUTED_VALUE"""),"Cx")</f>
        <v>Cx</v>
      </c>
      <c r="K1543" s="9" t="str">
        <f>IFERROR(__xludf.DUMMYFUNCTION("""COMPUTED_VALUE"""),"PACx")</f>
        <v>PACx</v>
      </c>
      <c r="L1543" s="9" t="str">
        <f>IFERROR(__xludf.DUMMYFUNCTION("""COMPUTED_VALUE"""),"PArCx")</f>
        <v>PArCx</v>
      </c>
      <c r="M1543" s="9" t="str">
        <f>IFERROR(__xludf.DUMMYFUNCTION("""COMPUTED_VALUE"""),"EC")</f>
        <v>EC</v>
      </c>
      <c r="N1543" s="9" t="str">
        <f>IFERROR(__xludf.DUMMYFUNCTION("""COMPUTED_VALUE"""),"LEC")</f>
        <v>LEC</v>
      </c>
      <c r="O1543" s="9" t="str">
        <f>IFERROR(__xludf.DUMMYFUNCTION("""COMPUTED_VALUE"""),"EO")</f>
        <v>EO</v>
      </c>
      <c r="P1543" s="9" t="str">
        <f>IFERROR(__xludf.DUMMYFUNCTION("""COMPUTED_VALUE"""),"EOs")</f>
        <v>EOs</v>
      </c>
      <c r="Q1543" s="9" t="str">
        <f>IFERROR(__xludf.DUMMYFUNCTION("""COMPUTED_VALUE"""),"EO2")</f>
        <v>EO2</v>
      </c>
      <c r="R1543" s="9"/>
      <c r="S1543" s="42"/>
      <c r="T1543" s="42"/>
      <c r="U1543" s="42"/>
      <c r="V1543" s="42"/>
      <c r="W1543" s="42"/>
      <c r="X1543" s="42"/>
      <c r="Y1543" s="42"/>
      <c r="Z1543" s="42"/>
      <c r="AA1543" s="42"/>
      <c r="AB1543" s="42" t="str">
        <f>IFERROR(__xludf.DUMMYFUNCTION("""COMPUTED_VALUE"""),"allen institute")</f>
        <v>allen institute</v>
      </c>
      <c r="AC1543" s="42" t="str">
        <f>IFERROR(__xludf.DUMMYFUNCTION("""COMPUTED_VALUE"""),"DHBA")</f>
        <v>DHBA</v>
      </c>
      <c r="AD1543" s="42"/>
      <c r="AE1543" s="42"/>
      <c r="AF1543" s="9"/>
      <c r="AG1543" s="9"/>
      <c r="AH1543" s="42"/>
      <c r="AI1543" s="42"/>
      <c r="AJ1543" s="42"/>
      <c r="AK1543" s="42"/>
      <c r="AL1543" s="42"/>
      <c r="AM1543" s="42"/>
      <c r="AN1543" s="42"/>
      <c r="AO1543" s="63" t="str">
        <f>IFERROR(__xludf.DUMMYFUNCTION("IF(ISBLANK(A1543),,IF(ISBLANK(S1543), A1543&amp;"";"", TEXTJOIN(CHAR(10), TRUE, A1543&amp;"";"", ARRAYFORMULA(VLOOKUP(SPLIT(S1543, "";"" &amp; CHAR(10)), $A:$AO, 41, FALSE)))))"),"EO2;")</f>
        <v>EO2;</v>
      </c>
      <c r="AP1543" s="89"/>
    </row>
    <row r="1544">
      <c r="A1544" s="151" t="str">
        <f>IFERROR(__xludf.DUMMYFUNCTION("""COMPUTED_VALUE"""),"EO3")</f>
        <v>EO3</v>
      </c>
      <c r="B1544" s="42" t="str">
        <f>IFERROR(__xludf.DUMMYFUNCTION("""COMPUTED_VALUE"""),"DHBA")</f>
        <v>DHBA</v>
      </c>
      <c r="C1544" s="42" t="str">
        <f>IFERROR(__xludf.DUMMYFUNCTION("""COMPUTED_VALUE"""),"layer III of olfactory entorhinal cortex")</f>
        <v>layer III of olfactory entorhinal cortex</v>
      </c>
      <c r="D1544" s="42">
        <f>IFERROR(__xludf.DUMMYFUNCTION("""COMPUTED_VALUE"""),1453.0)</f>
        <v>1453</v>
      </c>
      <c r="E1544" s="39" t="str">
        <f>IFERROR(__xludf.DUMMYFUNCTION("""COMPUTED_VALUE"""),"layer III of olfactory entorhinal cortex")</f>
        <v>layer III of olfactory entorhinal cortex</v>
      </c>
      <c r="F1544" s="9" t="str">
        <f>IFERROR(__xludf.DUMMYFUNCTION("""COMPUTED_VALUE"""),"Br")</f>
        <v>Br</v>
      </c>
      <c r="G1544" s="9" t="str">
        <f>IFERROR(__xludf.DUMMYFUNCTION("""COMPUTED_VALUE"""),"F")</f>
        <v>F</v>
      </c>
      <c r="H1544" s="9" t="str">
        <f>IFERROR(__xludf.DUMMYFUNCTION("""COMPUTED_VALUE"""),"FGM")</f>
        <v>FGM</v>
      </c>
      <c r="I1544" s="9" t="str">
        <f>IFERROR(__xludf.DUMMYFUNCTION("""COMPUTED_VALUE"""),"Tel")</f>
        <v>Tel</v>
      </c>
      <c r="J1544" s="9" t="str">
        <f>IFERROR(__xludf.DUMMYFUNCTION("""COMPUTED_VALUE"""),"Cx")</f>
        <v>Cx</v>
      </c>
      <c r="K1544" s="9" t="str">
        <f>IFERROR(__xludf.DUMMYFUNCTION("""COMPUTED_VALUE"""),"PACx")</f>
        <v>PACx</v>
      </c>
      <c r="L1544" s="9" t="str">
        <f>IFERROR(__xludf.DUMMYFUNCTION("""COMPUTED_VALUE"""),"PArCx")</f>
        <v>PArCx</v>
      </c>
      <c r="M1544" s="9" t="str">
        <f>IFERROR(__xludf.DUMMYFUNCTION("""COMPUTED_VALUE"""),"EC")</f>
        <v>EC</v>
      </c>
      <c r="N1544" s="9" t="str">
        <f>IFERROR(__xludf.DUMMYFUNCTION("""COMPUTED_VALUE"""),"LEC")</f>
        <v>LEC</v>
      </c>
      <c r="O1544" s="9" t="str">
        <f>IFERROR(__xludf.DUMMYFUNCTION("""COMPUTED_VALUE"""),"EO")</f>
        <v>EO</v>
      </c>
      <c r="P1544" s="9" t="str">
        <f>IFERROR(__xludf.DUMMYFUNCTION("""COMPUTED_VALUE"""),"EOs")</f>
        <v>EOs</v>
      </c>
      <c r="Q1544" s="9" t="str">
        <f>IFERROR(__xludf.DUMMYFUNCTION("""COMPUTED_VALUE"""),"EO3")</f>
        <v>EO3</v>
      </c>
      <c r="R1544" s="9"/>
      <c r="S1544" s="42" t="str">
        <f>IFERROR(__xludf.DUMMYFUNCTION("""COMPUTED_VALUE"""),"EO3a;
EO3b")</f>
        <v>EO3a;
EO3b</v>
      </c>
      <c r="T1544" s="42"/>
      <c r="U1544" s="42" t="b">
        <f>IFERROR(__xludf.DUMMYFUNCTION("""COMPUTED_VALUE"""),FALSE)</f>
        <v>0</v>
      </c>
      <c r="V1544" s="42"/>
      <c r="W1544" s="42"/>
      <c r="X1544" s="42"/>
      <c r="Y1544" s="42"/>
      <c r="Z1544" s="42"/>
      <c r="AA1544" s="42"/>
      <c r="AB1544" s="42" t="str">
        <f>IFERROR(__xludf.DUMMYFUNCTION("""COMPUTED_VALUE"""),"allen institute")</f>
        <v>allen institute</v>
      </c>
      <c r="AC1544" s="42" t="str">
        <f>IFERROR(__xludf.DUMMYFUNCTION("""COMPUTED_VALUE"""),"DHBA")</f>
        <v>DHBA</v>
      </c>
      <c r="AD1544" s="42"/>
      <c r="AE1544" s="42"/>
      <c r="AF1544" s="9"/>
      <c r="AG1544" s="9"/>
      <c r="AH1544" s="42"/>
      <c r="AI1544" s="42"/>
      <c r="AJ1544" s="42"/>
      <c r="AK1544" s="42"/>
      <c r="AL1544" s="42"/>
      <c r="AM1544" s="42"/>
      <c r="AN1544" s="42"/>
      <c r="AO1544" s="63" t="str">
        <f>IFERROR(__xludf.DUMMYFUNCTION("IF(ISBLANK(A1544),,IF(ISBLANK(S1544), A1544&amp;"";"", TEXTJOIN(CHAR(10), TRUE, A1544&amp;"";"", ARRAYFORMULA(VLOOKUP(SPLIT(S1544, "";"" &amp; CHAR(10)), $A:$AO, 41, FALSE)))))"),"EO3;
EO3a;
EO3b;")</f>
        <v>EO3;
EO3a;
EO3b;</v>
      </c>
      <c r="AP1544" s="89"/>
    </row>
    <row r="1545">
      <c r="A1545" s="151" t="str">
        <f>IFERROR(__xludf.DUMMYFUNCTION("""COMPUTED_VALUE"""),"EO3a")</f>
        <v>EO3a</v>
      </c>
      <c r="B1545" s="42" t="str">
        <f>IFERROR(__xludf.DUMMYFUNCTION("""COMPUTED_VALUE"""),"DHBA")</f>
        <v>DHBA</v>
      </c>
      <c r="C1545" s="42" t="str">
        <f>IFERROR(__xludf.DUMMYFUNCTION("""COMPUTED_VALUE"""),"layer IIIa of olfactory entorhinal cortex")</f>
        <v>layer IIIa of olfactory entorhinal cortex</v>
      </c>
      <c r="D1545" s="42">
        <f>IFERROR(__xludf.DUMMYFUNCTION("""COMPUTED_VALUE"""),1454.0)</f>
        <v>1454</v>
      </c>
      <c r="E1545" s="39" t="str">
        <f>IFERROR(__xludf.DUMMYFUNCTION("""COMPUTED_VALUE"""),"layer IIIa of olfactory entorhinal cortex")</f>
        <v>layer IIIa of olfactory entorhinal cortex</v>
      </c>
      <c r="F1545" s="9" t="str">
        <f>IFERROR(__xludf.DUMMYFUNCTION("""COMPUTED_VALUE"""),"Br")</f>
        <v>Br</v>
      </c>
      <c r="G1545" s="9" t="str">
        <f>IFERROR(__xludf.DUMMYFUNCTION("""COMPUTED_VALUE"""),"F")</f>
        <v>F</v>
      </c>
      <c r="H1545" s="9" t="str">
        <f>IFERROR(__xludf.DUMMYFUNCTION("""COMPUTED_VALUE"""),"FGM")</f>
        <v>FGM</v>
      </c>
      <c r="I1545" s="9" t="str">
        <f>IFERROR(__xludf.DUMMYFUNCTION("""COMPUTED_VALUE"""),"Tel")</f>
        <v>Tel</v>
      </c>
      <c r="J1545" s="9" t="str">
        <f>IFERROR(__xludf.DUMMYFUNCTION("""COMPUTED_VALUE"""),"Cx")</f>
        <v>Cx</v>
      </c>
      <c r="K1545" s="9" t="str">
        <f>IFERROR(__xludf.DUMMYFUNCTION("""COMPUTED_VALUE"""),"PACx")</f>
        <v>PACx</v>
      </c>
      <c r="L1545" s="9" t="str">
        <f>IFERROR(__xludf.DUMMYFUNCTION("""COMPUTED_VALUE"""),"PArCx")</f>
        <v>PArCx</v>
      </c>
      <c r="M1545" s="9" t="str">
        <f>IFERROR(__xludf.DUMMYFUNCTION("""COMPUTED_VALUE"""),"EC")</f>
        <v>EC</v>
      </c>
      <c r="N1545" s="9" t="str">
        <f>IFERROR(__xludf.DUMMYFUNCTION("""COMPUTED_VALUE"""),"LEC")</f>
        <v>LEC</v>
      </c>
      <c r="O1545" s="9" t="str">
        <f>IFERROR(__xludf.DUMMYFUNCTION("""COMPUTED_VALUE"""),"EO")</f>
        <v>EO</v>
      </c>
      <c r="P1545" s="9" t="str">
        <f>IFERROR(__xludf.DUMMYFUNCTION("""COMPUTED_VALUE"""),"EOs")</f>
        <v>EOs</v>
      </c>
      <c r="Q1545" s="9" t="str">
        <f>IFERROR(__xludf.DUMMYFUNCTION("""COMPUTED_VALUE"""),"EO3")</f>
        <v>EO3</v>
      </c>
      <c r="R1545" s="9" t="str">
        <f>IFERROR(__xludf.DUMMYFUNCTION("""COMPUTED_VALUE"""),"EO3a")</f>
        <v>EO3a</v>
      </c>
      <c r="S1545" s="42"/>
      <c r="T1545" s="42"/>
      <c r="U1545" s="42"/>
      <c r="V1545" s="42"/>
      <c r="W1545" s="42"/>
      <c r="X1545" s="42"/>
      <c r="Y1545" s="42"/>
      <c r="Z1545" s="42"/>
      <c r="AA1545" s="42"/>
      <c r="AB1545" s="42" t="str">
        <f>IFERROR(__xludf.DUMMYFUNCTION("""COMPUTED_VALUE"""),"allen institute")</f>
        <v>allen institute</v>
      </c>
      <c r="AC1545" s="42" t="str">
        <f>IFERROR(__xludf.DUMMYFUNCTION("""COMPUTED_VALUE"""),"DHBA")</f>
        <v>DHBA</v>
      </c>
      <c r="AD1545" s="42"/>
      <c r="AE1545" s="42"/>
      <c r="AF1545" s="9"/>
      <c r="AG1545" s="9"/>
      <c r="AH1545" s="42"/>
      <c r="AI1545" s="42"/>
      <c r="AJ1545" s="42"/>
      <c r="AK1545" s="42"/>
      <c r="AL1545" s="42"/>
      <c r="AM1545" s="42"/>
      <c r="AN1545" s="42"/>
      <c r="AO1545" s="63" t="str">
        <f>IFERROR(__xludf.DUMMYFUNCTION("IF(ISBLANK(A1545),,IF(ISBLANK(S1545), A1545&amp;"";"", TEXTJOIN(CHAR(10), TRUE, A1545&amp;"";"", ARRAYFORMULA(VLOOKUP(SPLIT(S1545, "";"" &amp; CHAR(10)), $A:$AO, 41, FALSE)))))"),"EO3a;")</f>
        <v>EO3a;</v>
      </c>
      <c r="AP1545" s="89"/>
    </row>
    <row r="1546">
      <c r="A1546" s="151" t="str">
        <f>IFERROR(__xludf.DUMMYFUNCTION("""COMPUTED_VALUE"""),"EO3b")</f>
        <v>EO3b</v>
      </c>
      <c r="B1546" s="42" t="str">
        <f>IFERROR(__xludf.DUMMYFUNCTION("""COMPUTED_VALUE"""),"DHBA")</f>
        <v>DHBA</v>
      </c>
      <c r="C1546" s="42" t="str">
        <f>IFERROR(__xludf.DUMMYFUNCTION("""COMPUTED_VALUE"""),"layer IIIb of olfactory entorhinal cortex")</f>
        <v>layer IIIb of olfactory entorhinal cortex</v>
      </c>
      <c r="D1546" s="42">
        <f>IFERROR(__xludf.DUMMYFUNCTION("""COMPUTED_VALUE"""),1455.0)</f>
        <v>1455</v>
      </c>
      <c r="E1546" s="39" t="str">
        <f>IFERROR(__xludf.DUMMYFUNCTION("""COMPUTED_VALUE"""),"layer IIIb of olfactory entorhinal cortex")</f>
        <v>layer IIIb of olfactory entorhinal cortex</v>
      </c>
      <c r="F1546" s="9" t="str">
        <f>IFERROR(__xludf.DUMMYFUNCTION("""COMPUTED_VALUE"""),"Br")</f>
        <v>Br</v>
      </c>
      <c r="G1546" s="9" t="str">
        <f>IFERROR(__xludf.DUMMYFUNCTION("""COMPUTED_VALUE"""),"F")</f>
        <v>F</v>
      </c>
      <c r="H1546" s="9" t="str">
        <f>IFERROR(__xludf.DUMMYFUNCTION("""COMPUTED_VALUE"""),"FGM")</f>
        <v>FGM</v>
      </c>
      <c r="I1546" s="9" t="str">
        <f>IFERROR(__xludf.DUMMYFUNCTION("""COMPUTED_VALUE"""),"Tel")</f>
        <v>Tel</v>
      </c>
      <c r="J1546" s="9" t="str">
        <f>IFERROR(__xludf.DUMMYFUNCTION("""COMPUTED_VALUE"""),"Cx")</f>
        <v>Cx</v>
      </c>
      <c r="K1546" s="9" t="str">
        <f>IFERROR(__xludf.DUMMYFUNCTION("""COMPUTED_VALUE"""),"PACx")</f>
        <v>PACx</v>
      </c>
      <c r="L1546" s="9" t="str">
        <f>IFERROR(__xludf.DUMMYFUNCTION("""COMPUTED_VALUE"""),"PArCx")</f>
        <v>PArCx</v>
      </c>
      <c r="M1546" s="9" t="str">
        <f>IFERROR(__xludf.DUMMYFUNCTION("""COMPUTED_VALUE"""),"EC")</f>
        <v>EC</v>
      </c>
      <c r="N1546" s="9" t="str">
        <f>IFERROR(__xludf.DUMMYFUNCTION("""COMPUTED_VALUE"""),"LEC")</f>
        <v>LEC</v>
      </c>
      <c r="O1546" s="9" t="str">
        <f>IFERROR(__xludf.DUMMYFUNCTION("""COMPUTED_VALUE"""),"EO")</f>
        <v>EO</v>
      </c>
      <c r="P1546" s="9" t="str">
        <f>IFERROR(__xludf.DUMMYFUNCTION("""COMPUTED_VALUE"""),"EOs")</f>
        <v>EOs</v>
      </c>
      <c r="Q1546" s="9" t="str">
        <f>IFERROR(__xludf.DUMMYFUNCTION("""COMPUTED_VALUE"""),"EO3")</f>
        <v>EO3</v>
      </c>
      <c r="R1546" s="9" t="str">
        <f>IFERROR(__xludf.DUMMYFUNCTION("""COMPUTED_VALUE"""),"EO3b")</f>
        <v>EO3b</v>
      </c>
      <c r="S1546" s="42"/>
      <c r="T1546" s="42"/>
      <c r="U1546" s="42"/>
      <c r="V1546" s="42"/>
      <c r="W1546" s="42"/>
      <c r="X1546" s="42"/>
      <c r="Y1546" s="42"/>
      <c r="Z1546" s="42"/>
      <c r="AA1546" s="42"/>
      <c r="AB1546" s="42" t="str">
        <f>IFERROR(__xludf.DUMMYFUNCTION("""COMPUTED_VALUE"""),"allen institute")</f>
        <v>allen institute</v>
      </c>
      <c r="AC1546" s="42" t="str">
        <f>IFERROR(__xludf.DUMMYFUNCTION("""COMPUTED_VALUE"""),"DHBA")</f>
        <v>DHBA</v>
      </c>
      <c r="AD1546" s="42"/>
      <c r="AE1546" s="42"/>
      <c r="AF1546" s="9"/>
      <c r="AG1546" s="9"/>
      <c r="AH1546" s="42"/>
      <c r="AI1546" s="42"/>
      <c r="AJ1546" s="42"/>
      <c r="AK1546" s="42"/>
      <c r="AL1546" s="42"/>
      <c r="AM1546" s="42"/>
      <c r="AN1546" s="42"/>
      <c r="AO1546" s="63" t="str">
        <f>IFERROR(__xludf.DUMMYFUNCTION("IF(ISBLANK(A1546),,IF(ISBLANK(S1546), A1546&amp;"";"", TEXTJOIN(CHAR(10), TRUE, A1546&amp;"";"", ARRAYFORMULA(VLOOKUP(SPLIT(S1546, "";"" &amp; CHAR(10)), $A:$AO, 41, FALSE)))))"),"EO3b;")</f>
        <v>EO3b;</v>
      </c>
      <c r="AP1546" s="89"/>
    </row>
    <row r="1547">
      <c r="A1547" s="151" t="str">
        <f>IFERROR(__xludf.DUMMYFUNCTION("""COMPUTED_VALUE"""),"EOld")</f>
        <v>EOld</v>
      </c>
      <c r="B1547" s="42" t="str">
        <f>IFERROR(__xludf.DUMMYFUNCTION("""COMPUTED_VALUE"""),"DHBA")</f>
        <v>DHBA</v>
      </c>
      <c r="C1547" s="42" t="str">
        <f>IFERROR(__xludf.DUMMYFUNCTION("""COMPUTED_VALUE"""),"lamina dissecans of olfactory entorhinal cortex")</f>
        <v>lamina dissecans of olfactory entorhinal cortex</v>
      </c>
      <c r="D1547" s="42">
        <f>IFERROR(__xludf.DUMMYFUNCTION("""COMPUTED_VALUE"""),1456.0)</f>
        <v>1456</v>
      </c>
      <c r="E1547" s="39" t="str">
        <f>IFERROR(__xludf.DUMMYFUNCTION("""COMPUTED_VALUE"""),"lamina dissecans of olfactory entorhinal cortex")</f>
        <v>lamina dissecans of olfactory entorhinal cortex</v>
      </c>
      <c r="F1547" s="9" t="str">
        <f>IFERROR(__xludf.DUMMYFUNCTION("""COMPUTED_VALUE"""),"Br")</f>
        <v>Br</v>
      </c>
      <c r="G1547" s="9" t="str">
        <f>IFERROR(__xludf.DUMMYFUNCTION("""COMPUTED_VALUE"""),"F")</f>
        <v>F</v>
      </c>
      <c r="H1547" s="9" t="str">
        <f>IFERROR(__xludf.DUMMYFUNCTION("""COMPUTED_VALUE"""),"FGM")</f>
        <v>FGM</v>
      </c>
      <c r="I1547" s="9" t="str">
        <f>IFERROR(__xludf.DUMMYFUNCTION("""COMPUTED_VALUE"""),"Tel")</f>
        <v>Tel</v>
      </c>
      <c r="J1547" s="9" t="str">
        <f>IFERROR(__xludf.DUMMYFUNCTION("""COMPUTED_VALUE"""),"Cx")</f>
        <v>Cx</v>
      </c>
      <c r="K1547" s="9" t="str">
        <f>IFERROR(__xludf.DUMMYFUNCTION("""COMPUTED_VALUE"""),"PACx")</f>
        <v>PACx</v>
      </c>
      <c r="L1547" s="9" t="str">
        <f>IFERROR(__xludf.DUMMYFUNCTION("""COMPUTED_VALUE"""),"PArCx")</f>
        <v>PArCx</v>
      </c>
      <c r="M1547" s="9" t="str">
        <f>IFERROR(__xludf.DUMMYFUNCTION("""COMPUTED_VALUE"""),"EC")</f>
        <v>EC</v>
      </c>
      <c r="N1547" s="9" t="str">
        <f>IFERROR(__xludf.DUMMYFUNCTION("""COMPUTED_VALUE"""),"LEC")</f>
        <v>LEC</v>
      </c>
      <c r="O1547" s="9" t="str">
        <f>IFERROR(__xludf.DUMMYFUNCTION("""COMPUTED_VALUE"""),"EO")</f>
        <v>EO</v>
      </c>
      <c r="P1547" s="9" t="str">
        <f>IFERROR(__xludf.DUMMYFUNCTION("""COMPUTED_VALUE"""),"EOld")</f>
        <v>EOld</v>
      </c>
      <c r="Q1547" s="9"/>
      <c r="R1547" s="9"/>
      <c r="S1547" s="42"/>
      <c r="T1547" s="42"/>
      <c r="U1547" s="42"/>
      <c r="V1547" s="42"/>
      <c r="W1547" s="42"/>
      <c r="X1547" s="42"/>
      <c r="Y1547" s="42"/>
      <c r="Z1547" s="42"/>
      <c r="AA1547" s="42"/>
      <c r="AB1547" s="42" t="str">
        <f>IFERROR(__xludf.DUMMYFUNCTION("""COMPUTED_VALUE"""),"allen institute")</f>
        <v>allen institute</v>
      </c>
      <c r="AC1547" s="42" t="str">
        <f>IFERROR(__xludf.DUMMYFUNCTION("""COMPUTED_VALUE"""),"DHBA")</f>
        <v>DHBA</v>
      </c>
      <c r="AD1547" s="42"/>
      <c r="AE1547" s="42"/>
      <c r="AF1547" s="9"/>
      <c r="AG1547" s="9"/>
      <c r="AH1547" s="42"/>
      <c r="AI1547" s="42"/>
      <c r="AJ1547" s="42"/>
      <c r="AK1547" s="42"/>
      <c r="AL1547" s="42"/>
      <c r="AM1547" s="42"/>
      <c r="AN1547" s="42"/>
      <c r="AO1547" s="63" t="str">
        <f>IFERROR(__xludf.DUMMYFUNCTION("IF(ISBLANK(A1547),,IF(ISBLANK(S1547), A1547&amp;"";"", TEXTJOIN(CHAR(10), TRUE, A1547&amp;"";"", ARRAYFORMULA(VLOOKUP(SPLIT(S1547, "";"" &amp; CHAR(10)), $A:$AO, 41, FALSE)))))"),"EOld;")</f>
        <v>EOld;</v>
      </c>
      <c r="AP1547" s="89"/>
    </row>
    <row r="1548">
      <c r="A1548" s="151" t="str">
        <f>IFERROR(__xludf.DUMMYFUNCTION("""COMPUTED_VALUE"""),"EOd")</f>
        <v>EOd</v>
      </c>
      <c r="B1548" s="42" t="str">
        <f>IFERROR(__xludf.DUMMYFUNCTION("""COMPUTED_VALUE"""),"DHBA")</f>
        <v>DHBA</v>
      </c>
      <c r="C1548" s="42" t="str">
        <f>IFERROR(__xludf.DUMMYFUNCTION("""COMPUTED_VALUE"""),"deep layers of olfactory entorhinal cortex")</f>
        <v>deep layers of olfactory entorhinal cortex</v>
      </c>
      <c r="D1548" s="42">
        <f>IFERROR(__xludf.DUMMYFUNCTION("""COMPUTED_VALUE"""),1457.0)</f>
        <v>1457</v>
      </c>
      <c r="E1548" s="39" t="str">
        <f>IFERROR(__xludf.DUMMYFUNCTION("""COMPUTED_VALUE"""),"deep layers of olfactory entorhinal cortex")</f>
        <v>deep layers of olfactory entorhinal cortex</v>
      </c>
      <c r="F1548" s="9" t="str">
        <f>IFERROR(__xludf.DUMMYFUNCTION("""COMPUTED_VALUE"""),"Br")</f>
        <v>Br</v>
      </c>
      <c r="G1548" s="9" t="str">
        <f>IFERROR(__xludf.DUMMYFUNCTION("""COMPUTED_VALUE"""),"F")</f>
        <v>F</v>
      </c>
      <c r="H1548" s="9" t="str">
        <f>IFERROR(__xludf.DUMMYFUNCTION("""COMPUTED_VALUE"""),"FGM")</f>
        <v>FGM</v>
      </c>
      <c r="I1548" s="9" t="str">
        <f>IFERROR(__xludf.DUMMYFUNCTION("""COMPUTED_VALUE"""),"Tel")</f>
        <v>Tel</v>
      </c>
      <c r="J1548" s="9" t="str">
        <f>IFERROR(__xludf.DUMMYFUNCTION("""COMPUTED_VALUE"""),"Cx")</f>
        <v>Cx</v>
      </c>
      <c r="K1548" s="9" t="str">
        <f>IFERROR(__xludf.DUMMYFUNCTION("""COMPUTED_VALUE"""),"PACx")</f>
        <v>PACx</v>
      </c>
      <c r="L1548" s="9" t="str">
        <f>IFERROR(__xludf.DUMMYFUNCTION("""COMPUTED_VALUE"""),"PArCx")</f>
        <v>PArCx</v>
      </c>
      <c r="M1548" s="9" t="str">
        <f>IFERROR(__xludf.DUMMYFUNCTION("""COMPUTED_VALUE"""),"EC")</f>
        <v>EC</v>
      </c>
      <c r="N1548" s="9" t="str">
        <f>IFERROR(__xludf.DUMMYFUNCTION("""COMPUTED_VALUE"""),"LEC")</f>
        <v>LEC</v>
      </c>
      <c r="O1548" s="9" t="str">
        <f>IFERROR(__xludf.DUMMYFUNCTION("""COMPUTED_VALUE"""),"EO")</f>
        <v>EO</v>
      </c>
      <c r="P1548" s="9" t="str">
        <f>IFERROR(__xludf.DUMMYFUNCTION("""COMPUTED_VALUE"""),"EOd")</f>
        <v>EOd</v>
      </c>
      <c r="Q1548" s="9"/>
      <c r="R1548" s="9"/>
      <c r="S1548" s="42" t="str">
        <f>IFERROR(__xludf.DUMMYFUNCTION("""COMPUTED_VALUE"""),"EO5;
EO6")</f>
        <v>EO5;
EO6</v>
      </c>
      <c r="T1548" s="42"/>
      <c r="U1548" s="42" t="b">
        <f>IFERROR(__xludf.DUMMYFUNCTION("""COMPUTED_VALUE"""),FALSE)</f>
        <v>0</v>
      </c>
      <c r="V1548" s="42"/>
      <c r="W1548" s="42"/>
      <c r="X1548" s="42"/>
      <c r="Y1548" s="42"/>
      <c r="Z1548" s="42"/>
      <c r="AA1548" s="42"/>
      <c r="AB1548" s="42" t="str">
        <f>IFERROR(__xludf.DUMMYFUNCTION("""COMPUTED_VALUE"""),"allen institute")</f>
        <v>allen institute</v>
      </c>
      <c r="AC1548" s="42" t="str">
        <f>IFERROR(__xludf.DUMMYFUNCTION("""COMPUTED_VALUE"""),"DHBA")</f>
        <v>DHBA</v>
      </c>
      <c r="AD1548" s="42"/>
      <c r="AE1548" s="42"/>
      <c r="AF1548" s="9"/>
      <c r="AG1548" s="9"/>
      <c r="AH1548" s="42"/>
      <c r="AI1548" s="42"/>
      <c r="AJ1548" s="42"/>
      <c r="AK1548" s="42"/>
      <c r="AL1548" s="42"/>
      <c r="AM1548" s="42"/>
      <c r="AN1548" s="42"/>
      <c r="AO1548" s="63" t="str">
        <f>IFERROR(__xludf.DUMMYFUNCTION("IF(ISBLANK(A1548),,IF(ISBLANK(S1548), A1548&amp;"";"", TEXTJOIN(CHAR(10), TRUE, A1548&amp;"";"", ARRAYFORMULA(VLOOKUP(SPLIT(S1548, "";"" &amp; CHAR(10)), $A:$AO, 41, FALSE)))))"),"EOd;
EO5;
EO6;")</f>
        <v>EOd;
EO5;
EO6;</v>
      </c>
      <c r="AP1548" s="89"/>
    </row>
    <row r="1549">
      <c r="A1549" s="151" t="str">
        <f>IFERROR(__xludf.DUMMYFUNCTION("""COMPUTED_VALUE"""),"EO5")</f>
        <v>EO5</v>
      </c>
      <c r="B1549" s="42" t="str">
        <f>IFERROR(__xludf.DUMMYFUNCTION("""COMPUTED_VALUE"""),"DHBA")</f>
        <v>DHBA</v>
      </c>
      <c r="C1549" s="42" t="str">
        <f>IFERROR(__xludf.DUMMYFUNCTION("""COMPUTED_VALUE"""),"layer V of olfactory entorhinal cortex")</f>
        <v>layer V of olfactory entorhinal cortex</v>
      </c>
      <c r="D1549" s="42">
        <f>IFERROR(__xludf.DUMMYFUNCTION("""COMPUTED_VALUE"""),1458.0)</f>
        <v>1458</v>
      </c>
      <c r="E1549" s="39" t="str">
        <f>IFERROR(__xludf.DUMMYFUNCTION("""COMPUTED_VALUE"""),"layer V of olfactory entorhinal cortex")</f>
        <v>layer V of olfactory entorhinal cortex</v>
      </c>
      <c r="F1549" s="9" t="str">
        <f>IFERROR(__xludf.DUMMYFUNCTION("""COMPUTED_VALUE"""),"Br")</f>
        <v>Br</v>
      </c>
      <c r="G1549" s="9" t="str">
        <f>IFERROR(__xludf.DUMMYFUNCTION("""COMPUTED_VALUE"""),"F")</f>
        <v>F</v>
      </c>
      <c r="H1549" s="9" t="str">
        <f>IFERROR(__xludf.DUMMYFUNCTION("""COMPUTED_VALUE"""),"FGM")</f>
        <v>FGM</v>
      </c>
      <c r="I1549" s="9" t="str">
        <f>IFERROR(__xludf.DUMMYFUNCTION("""COMPUTED_VALUE"""),"Tel")</f>
        <v>Tel</v>
      </c>
      <c r="J1549" s="9" t="str">
        <f>IFERROR(__xludf.DUMMYFUNCTION("""COMPUTED_VALUE"""),"Cx")</f>
        <v>Cx</v>
      </c>
      <c r="K1549" s="9" t="str">
        <f>IFERROR(__xludf.DUMMYFUNCTION("""COMPUTED_VALUE"""),"PACx")</f>
        <v>PACx</v>
      </c>
      <c r="L1549" s="9" t="str">
        <f>IFERROR(__xludf.DUMMYFUNCTION("""COMPUTED_VALUE"""),"PArCx")</f>
        <v>PArCx</v>
      </c>
      <c r="M1549" s="9" t="str">
        <f>IFERROR(__xludf.DUMMYFUNCTION("""COMPUTED_VALUE"""),"EC")</f>
        <v>EC</v>
      </c>
      <c r="N1549" s="9" t="str">
        <f>IFERROR(__xludf.DUMMYFUNCTION("""COMPUTED_VALUE"""),"LEC")</f>
        <v>LEC</v>
      </c>
      <c r="O1549" s="9" t="str">
        <f>IFERROR(__xludf.DUMMYFUNCTION("""COMPUTED_VALUE"""),"EO")</f>
        <v>EO</v>
      </c>
      <c r="P1549" s="9" t="str">
        <f>IFERROR(__xludf.DUMMYFUNCTION("""COMPUTED_VALUE"""),"EOd")</f>
        <v>EOd</v>
      </c>
      <c r="Q1549" s="9" t="str">
        <f>IFERROR(__xludf.DUMMYFUNCTION("""COMPUTED_VALUE"""),"EO5")</f>
        <v>EO5</v>
      </c>
      <c r="R1549" s="9"/>
      <c r="S1549" s="42"/>
      <c r="T1549" s="42"/>
      <c r="U1549" s="42"/>
      <c r="V1549" s="42"/>
      <c r="W1549" s="42"/>
      <c r="X1549" s="42"/>
      <c r="Y1549" s="42"/>
      <c r="Z1549" s="42"/>
      <c r="AA1549" s="42"/>
      <c r="AB1549" s="42" t="str">
        <f>IFERROR(__xludf.DUMMYFUNCTION("""COMPUTED_VALUE"""),"allen institute")</f>
        <v>allen institute</v>
      </c>
      <c r="AC1549" s="42" t="str">
        <f>IFERROR(__xludf.DUMMYFUNCTION("""COMPUTED_VALUE"""),"DHBA")</f>
        <v>DHBA</v>
      </c>
      <c r="AD1549" s="42"/>
      <c r="AE1549" s="42"/>
      <c r="AF1549" s="9"/>
      <c r="AG1549" s="9"/>
      <c r="AH1549" s="42"/>
      <c r="AI1549" s="42"/>
      <c r="AJ1549" s="42"/>
      <c r="AK1549" s="42"/>
      <c r="AL1549" s="42"/>
      <c r="AM1549" s="42"/>
      <c r="AN1549" s="42"/>
      <c r="AO1549" s="63" t="str">
        <f>IFERROR(__xludf.DUMMYFUNCTION("IF(ISBLANK(A1549),,IF(ISBLANK(S1549), A1549&amp;"";"", TEXTJOIN(CHAR(10), TRUE, A1549&amp;"";"", ARRAYFORMULA(VLOOKUP(SPLIT(S1549, "";"" &amp; CHAR(10)), $A:$AO, 41, FALSE)))))"),"EO5;")</f>
        <v>EO5;</v>
      </c>
      <c r="AP1549" s="89"/>
    </row>
    <row r="1550">
      <c r="A1550" s="151" t="str">
        <f>IFERROR(__xludf.DUMMYFUNCTION("""COMPUTED_VALUE"""),"EO6")</f>
        <v>EO6</v>
      </c>
      <c r="B1550" s="42" t="str">
        <f>IFERROR(__xludf.DUMMYFUNCTION("""COMPUTED_VALUE"""),"DHBA")</f>
        <v>DHBA</v>
      </c>
      <c r="C1550" s="42" t="str">
        <f>IFERROR(__xludf.DUMMYFUNCTION("""COMPUTED_VALUE"""),"layer VI of olfactory entorhinal cortex")</f>
        <v>layer VI of olfactory entorhinal cortex</v>
      </c>
      <c r="D1550" s="42">
        <f>IFERROR(__xludf.DUMMYFUNCTION("""COMPUTED_VALUE"""),1459.0)</f>
        <v>1459</v>
      </c>
      <c r="E1550" s="39" t="str">
        <f>IFERROR(__xludf.DUMMYFUNCTION("""COMPUTED_VALUE"""),"layer VI of olfactory entorhinal cortex")</f>
        <v>layer VI of olfactory entorhinal cortex</v>
      </c>
      <c r="F1550" s="9" t="str">
        <f>IFERROR(__xludf.DUMMYFUNCTION("""COMPUTED_VALUE"""),"Br")</f>
        <v>Br</v>
      </c>
      <c r="G1550" s="9" t="str">
        <f>IFERROR(__xludf.DUMMYFUNCTION("""COMPUTED_VALUE"""),"F")</f>
        <v>F</v>
      </c>
      <c r="H1550" s="9" t="str">
        <f>IFERROR(__xludf.DUMMYFUNCTION("""COMPUTED_VALUE"""),"FGM")</f>
        <v>FGM</v>
      </c>
      <c r="I1550" s="9" t="str">
        <f>IFERROR(__xludf.DUMMYFUNCTION("""COMPUTED_VALUE"""),"Tel")</f>
        <v>Tel</v>
      </c>
      <c r="J1550" s="9" t="str">
        <f>IFERROR(__xludf.DUMMYFUNCTION("""COMPUTED_VALUE"""),"Cx")</f>
        <v>Cx</v>
      </c>
      <c r="K1550" s="9" t="str">
        <f>IFERROR(__xludf.DUMMYFUNCTION("""COMPUTED_VALUE"""),"PACx")</f>
        <v>PACx</v>
      </c>
      <c r="L1550" s="9" t="str">
        <f>IFERROR(__xludf.DUMMYFUNCTION("""COMPUTED_VALUE"""),"PArCx")</f>
        <v>PArCx</v>
      </c>
      <c r="M1550" s="9" t="str">
        <f>IFERROR(__xludf.DUMMYFUNCTION("""COMPUTED_VALUE"""),"EC")</f>
        <v>EC</v>
      </c>
      <c r="N1550" s="9" t="str">
        <f>IFERROR(__xludf.DUMMYFUNCTION("""COMPUTED_VALUE"""),"LEC")</f>
        <v>LEC</v>
      </c>
      <c r="O1550" s="9" t="str">
        <f>IFERROR(__xludf.DUMMYFUNCTION("""COMPUTED_VALUE"""),"EO")</f>
        <v>EO</v>
      </c>
      <c r="P1550" s="9" t="str">
        <f>IFERROR(__xludf.DUMMYFUNCTION("""COMPUTED_VALUE"""),"EOd")</f>
        <v>EOd</v>
      </c>
      <c r="Q1550" s="9" t="str">
        <f>IFERROR(__xludf.DUMMYFUNCTION("""COMPUTED_VALUE"""),"EO6")</f>
        <v>EO6</v>
      </c>
      <c r="R1550" s="9"/>
      <c r="S1550" s="42"/>
      <c r="T1550" s="42"/>
      <c r="U1550" s="42"/>
      <c r="V1550" s="42"/>
      <c r="W1550" s="42"/>
      <c r="X1550" s="42"/>
      <c r="Y1550" s="42"/>
      <c r="Z1550" s="42"/>
      <c r="AA1550" s="42"/>
      <c r="AB1550" s="42" t="str">
        <f>IFERROR(__xludf.DUMMYFUNCTION("""COMPUTED_VALUE"""),"allen institute")</f>
        <v>allen institute</v>
      </c>
      <c r="AC1550" s="42" t="str">
        <f>IFERROR(__xludf.DUMMYFUNCTION("""COMPUTED_VALUE"""),"DHBA")</f>
        <v>DHBA</v>
      </c>
      <c r="AD1550" s="42"/>
      <c r="AE1550" s="42"/>
      <c r="AF1550" s="9"/>
      <c r="AG1550" s="9"/>
      <c r="AH1550" s="42"/>
      <c r="AI1550" s="42"/>
      <c r="AJ1550" s="42"/>
      <c r="AK1550" s="42"/>
      <c r="AL1550" s="42"/>
      <c r="AM1550" s="42"/>
      <c r="AN1550" s="42"/>
      <c r="AO1550" s="63" t="str">
        <f>IFERROR(__xludf.DUMMYFUNCTION("IF(ISBLANK(A1550),,IF(ISBLANK(S1550), A1550&amp;"";"", TEXTJOIN(CHAR(10), TRUE, A1550&amp;"";"", ARRAYFORMULA(VLOOKUP(SPLIT(S1550, "";"" &amp; CHAR(10)), $A:$AO, 41, FALSE)))))"),"EO6;")</f>
        <v>EO6;</v>
      </c>
      <c r="AP1550" s="89"/>
    </row>
    <row r="1551">
      <c r="A1551" s="151" t="str">
        <f>IFERROR(__xludf.DUMMYFUNCTION("""COMPUTED_VALUE"""),"ER")</f>
        <v>ER</v>
      </c>
      <c r="B1551" s="42" t="str">
        <f>IFERROR(__xludf.DUMMYFUNCTION("""COMPUTED_VALUE"""),"DHBA")</f>
        <v>DHBA</v>
      </c>
      <c r="C1551" s="42" t="str">
        <f>IFERROR(__xludf.DUMMYFUNCTION("""COMPUTED_VALUE"""),"rostral part of entorhinal cortex")</f>
        <v>rostral part of entorhinal cortex</v>
      </c>
      <c r="D1551" s="42">
        <f>IFERROR(__xludf.DUMMYFUNCTION("""COMPUTED_VALUE"""),1460.0)</f>
        <v>1460</v>
      </c>
      <c r="E1551" s="39" t="str">
        <f>IFERROR(__xludf.DUMMYFUNCTION("""COMPUTED_VALUE"""),"rostral part of entorhinal cortex")</f>
        <v>rostral part of entorhinal cortex</v>
      </c>
      <c r="F1551" s="9" t="str">
        <f>IFERROR(__xludf.DUMMYFUNCTION("""COMPUTED_VALUE"""),"Br")</f>
        <v>Br</v>
      </c>
      <c r="G1551" s="9" t="str">
        <f>IFERROR(__xludf.DUMMYFUNCTION("""COMPUTED_VALUE"""),"F")</f>
        <v>F</v>
      </c>
      <c r="H1551" s="9" t="str">
        <f>IFERROR(__xludf.DUMMYFUNCTION("""COMPUTED_VALUE"""),"FGM")</f>
        <v>FGM</v>
      </c>
      <c r="I1551" s="9" t="str">
        <f>IFERROR(__xludf.DUMMYFUNCTION("""COMPUTED_VALUE"""),"Tel")</f>
        <v>Tel</v>
      </c>
      <c r="J1551" s="9" t="str">
        <f>IFERROR(__xludf.DUMMYFUNCTION("""COMPUTED_VALUE"""),"Cx")</f>
        <v>Cx</v>
      </c>
      <c r="K1551" s="9" t="str">
        <f>IFERROR(__xludf.DUMMYFUNCTION("""COMPUTED_VALUE"""),"PACx")</f>
        <v>PACx</v>
      </c>
      <c r="L1551" s="9" t="str">
        <f>IFERROR(__xludf.DUMMYFUNCTION("""COMPUTED_VALUE"""),"PArCx")</f>
        <v>PArCx</v>
      </c>
      <c r="M1551" s="9" t="str">
        <f>IFERROR(__xludf.DUMMYFUNCTION("""COMPUTED_VALUE"""),"EC")</f>
        <v>EC</v>
      </c>
      <c r="N1551" s="9" t="str">
        <f>IFERROR(__xludf.DUMMYFUNCTION("""COMPUTED_VALUE"""),"LEC")</f>
        <v>LEC</v>
      </c>
      <c r="O1551" s="9" t="str">
        <f>IFERROR(__xludf.DUMMYFUNCTION("""COMPUTED_VALUE"""),"ER")</f>
        <v>ER</v>
      </c>
      <c r="P1551" s="9"/>
      <c r="Q1551" s="9"/>
      <c r="R1551" s="9"/>
      <c r="S1551" s="42" t="str">
        <f>IFERROR(__xludf.DUMMYFUNCTION("""COMPUTED_VALUE"""),"ER1;
ERs;
ERld;
ERd")</f>
        <v>ER1;
ERs;
ERld;
ERd</v>
      </c>
      <c r="T1551" s="42"/>
      <c r="U1551" s="42" t="b">
        <f>IFERROR(__xludf.DUMMYFUNCTION("""COMPUTED_VALUE"""),FALSE)</f>
        <v>0</v>
      </c>
      <c r="V1551" s="42"/>
      <c r="W1551" s="42"/>
      <c r="X1551" s="42"/>
      <c r="Y1551" s="42"/>
      <c r="Z1551" s="42"/>
      <c r="AA1551" s="42"/>
      <c r="AB1551" s="42" t="str">
        <f>IFERROR(__xludf.DUMMYFUNCTION("""COMPUTED_VALUE"""),"allen institute")</f>
        <v>allen institute</v>
      </c>
      <c r="AC1551" s="42" t="str">
        <f>IFERROR(__xludf.DUMMYFUNCTION("""COMPUTED_VALUE"""),"DHBA")</f>
        <v>DHBA</v>
      </c>
      <c r="AD1551" s="42"/>
      <c r="AE1551" s="42"/>
      <c r="AF1551" s="9"/>
      <c r="AG1551" s="9"/>
      <c r="AH1551" s="42"/>
      <c r="AI1551" s="42"/>
      <c r="AJ1551" s="42"/>
      <c r="AK1551" s="42"/>
      <c r="AL1551" s="42"/>
      <c r="AM1551" s="42"/>
      <c r="AN1551" s="42"/>
      <c r="AO1551" s="63" t="str">
        <f>IFERROR(__xludf.DUMMYFUNCTION("IF(ISBLANK(A1551),,IF(ISBLANK(S1551), A1551&amp;"";"", TEXTJOIN(CHAR(10), TRUE, A1551&amp;"";"", ARRAYFORMULA(VLOOKUP(SPLIT(S1551, "";"" &amp; CHAR(10)), $A:$AO, 41, FALSE)))))"),"ER;
ER1;
ERs;
ER2;
ER3;
ER3a;
ER3b;
ERld;
ERd;
ER5;
ER6;")</f>
        <v>ER;
ER1;
ERs;
ER2;
ER3;
ER3a;
ER3b;
ERld;
ERd;
ER5;
ER6;</v>
      </c>
      <c r="AP1551" s="89"/>
    </row>
    <row r="1552">
      <c r="A1552" s="151" t="str">
        <f>IFERROR(__xludf.DUMMYFUNCTION("""COMPUTED_VALUE"""),"ER1")</f>
        <v>ER1</v>
      </c>
      <c r="B1552" s="42" t="str">
        <f>IFERROR(__xludf.DUMMYFUNCTION("""COMPUTED_VALUE"""),"DHBA")</f>
        <v>DHBA</v>
      </c>
      <c r="C1552" s="42" t="str">
        <f>IFERROR(__xludf.DUMMYFUNCTION("""COMPUTED_VALUE"""),"layer I of rostral entorhinal cortex")</f>
        <v>layer I of rostral entorhinal cortex</v>
      </c>
      <c r="D1552" s="42">
        <f>IFERROR(__xludf.DUMMYFUNCTION("""COMPUTED_VALUE"""),1461.0)</f>
        <v>1461</v>
      </c>
      <c r="E1552" s="39" t="str">
        <f>IFERROR(__xludf.DUMMYFUNCTION("""COMPUTED_VALUE"""),"layer I of rostral entorhinal cortex")</f>
        <v>layer I of rostral entorhinal cortex</v>
      </c>
      <c r="F1552" s="9" t="str">
        <f>IFERROR(__xludf.DUMMYFUNCTION("""COMPUTED_VALUE"""),"Br")</f>
        <v>Br</v>
      </c>
      <c r="G1552" s="9" t="str">
        <f>IFERROR(__xludf.DUMMYFUNCTION("""COMPUTED_VALUE"""),"F")</f>
        <v>F</v>
      </c>
      <c r="H1552" s="9" t="str">
        <f>IFERROR(__xludf.DUMMYFUNCTION("""COMPUTED_VALUE"""),"FGM")</f>
        <v>FGM</v>
      </c>
      <c r="I1552" s="9" t="str">
        <f>IFERROR(__xludf.DUMMYFUNCTION("""COMPUTED_VALUE"""),"Tel")</f>
        <v>Tel</v>
      </c>
      <c r="J1552" s="9" t="str">
        <f>IFERROR(__xludf.DUMMYFUNCTION("""COMPUTED_VALUE"""),"Cx")</f>
        <v>Cx</v>
      </c>
      <c r="K1552" s="9" t="str">
        <f>IFERROR(__xludf.DUMMYFUNCTION("""COMPUTED_VALUE"""),"PACx")</f>
        <v>PACx</v>
      </c>
      <c r="L1552" s="9" t="str">
        <f>IFERROR(__xludf.DUMMYFUNCTION("""COMPUTED_VALUE"""),"PArCx")</f>
        <v>PArCx</v>
      </c>
      <c r="M1552" s="9" t="str">
        <f>IFERROR(__xludf.DUMMYFUNCTION("""COMPUTED_VALUE"""),"EC")</f>
        <v>EC</v>
      </c>
      <c r="N1552" s="9" t="str">
        <f>IFERROR(__xludf.DUMMYFUNCTION("""COMPUTED_VALUE"""),"LEC")</f>
        <v>LEC</v>
      </c>
      <c r="O1552" s="9" t="str">
        <f>IFERROR(__xludf.DUMMYFUNCTION("""COMPUTED_VALUE"""),"ER")</f>
        <v>ER</v>
      </c>
      <c r="P1552" s="9" t="str">
        <f>IFERROR(__xludf.DUMMYFUNCTION("""COMPUTED_VALUE"""),"ER1")</f>
        <v>ER1</v>
      </c>
      <c r="Q1552" s="9"/>
      <c r="R1552" s="9"/>
      <c r="S1552" s="42"/>
      <c r="T1552" s="42"/>
      <c r="U1552" s="42"/>
      <c r="V1552" s="42"/>
      <c r="W1552" s="42"/>
      <c r="X1552" s="42"/>
      <c r="Y1552" s="42"/>
      <c r="Z1552" s="42"/>
      <c r="AA1552" s="42"/>
      <c r="AB1552" s="42" t="str">
        <f>IFERROR(__xludf.DUMMYFUNCTION("""COMPUTED_VALUE"""),"allen institute")</f>
        <v>allen institute</v>
      </c>
      <c r="AC1552" s="42" t="str">
        <f>IFERROR(__xludf.DUMMYFUNCTION("""COMPUTED_VALUE"""),"DHBA")</f>
        <v>DHBA</v>
      </c>
      <c r="AD1552" s="42"/>
      <c r="AE1552" s="42"/>
      <c r="AF1552" s="9"/>
      <c r="AG1552" s="9"/>
      <c r="AH1552" s="42"/>
      <c r="AI1552" s="42"/>
      <c r="AJ1552" s="42"/>
      <c r="AK1552" s="42"/>
      <c r="AL1552" s="42"/>
      <c r="AM1552" s="42"/>
      <c r="AN1552" s="42"/>
      <c r="AO1552" s="63" t="str">
        <f>IFERROR(__xludf.DUMMYFUNCTION("IF(ISBLANK(A1552),,IF(ISBLANK(S1552), A1552&amp;"";"", TEXTJOIN(CHAR(10), TRUE, A1552&amp;"";"", ARRAYFORMULA(VLOOKUP(SPLIT(S1552, "";"" &amp; CHAR(10)), $A:$AO, 41, FALSE)))))"),"ER1;")</f>
        <v>ER1;</v>
      </c>
      <c r="AP1552" s="89"/>
    </row>
    <row r="1553">
      <c r="A1553" s="151" t="str">
        <f>IFERROR(__xludf.DUMMYFUNCTION("""COMPUTED_VALUE"""),"ERs")</f>
        <v>ERs</v>
      </c>
      <c r="B1553" s="42" t="str">
        <f>IFERROR(__xludf.DUMMYFUNCTION("""COMPUTED_VALUE"""),"DHBA")</f>
        <v>DHBA</v>
      </c>
      <c r="C1553" s="42" t="str">
        <f>IFERROR(__xludf.DUMMYFUNCTION("""COMPUTED_VALUE"""),"superficial layers of rostral entorhinal cortex")</f>
        <v>superficial layers of rostral entorhinal cortex</v>
      </c>
      <c r="D1553" s="42">
        <f>IFERROR(__xludf.DUMMYFUNCTION("""COMPUTED_VALUE"""),1462.0)</f>
        <v>1462</v>
      </c>
      <c r="E1553" s="39" t="str">
        <f>IFERROR(__xludf.DUMMYFUNCTION("""COMPUTED_VALUE"""),"superficial layers of rostral entorhinal cortex")</f>
        <v>superficial layers of rostral entorhinal cortex</v>
      </c>
      <c r="F1553" s="9" t="str">
        <f>IFERROR(__xludf.DUMMYFUNCTION("""COMPUTED_VALUE"""),"Br")</f>
        <v>Br</v>
      </c>
      <c r="G1553" s="9" t="str">
        <f>IFERROR(__xludf.DUMMYFUNCTION("""COMPUTED_VALUE"""),"F")</f>
        <v>F</v>
      </c>
      <c r="H1553" s="9" t="str">
        <f>IFERROR(__xludf.DUMMYFUNCTION("""COMPUTED_VALUE"""),"FGM")</f>
        <v>FGM</v>
      </c>
      <c r="I1553" s="9" t="str">
        <f>IFERROR(__xludf.DUMMYFUNCTION("""COMPUTED_VALUE"""),"Tel")</f>
        <v>Tel</v>
      </c>
      <c r="J1553" s="9" t="str">
        <f>IFERROR(__xludf.DUMMYFUNCTION("""COMPUTED_VALUE"""),"Cx")</f>
        <v>Cx</v>
      </c>
      <c r="K1553" s="9" t="str">
        <f>IFERROR(__xludf.DUMMYFUNCTION("""COMPUTED_VALUE"""),"PACx")</f>
        <v>PACx</v>
      </c>
      <c r="L1553" s="9" t="str">
        <f>IFERROR(__xludf.DUMMYFUNCTION("""COMPUTED_VALUE"""),"PArCx")</f>
        <v>PArCx</v>
      </c>
      <c r="M1553" s="9" t="str">
        <f>IFERROR(__xludf.DUMMYFUNCTION("""COMPUTED_VALUE"""),"EC")</f>
        <v>EC</v>
      </c>
      <c r="N1553" s="9" t="str">
        <f>IFERROR(__xludf.DUMMYFUNCTION("""COMPUTED_VALUE"""),"LEC")</f>
        <v>LEC</v>
      </c>
      <c r="O1553" s="9" t="str">
        <f>IFERROR(__xludf.DUMMYFUNCTION("""COMPUTED_VALUE"""),"ER")</f>
        <v>ER</v>
      </c>
      <c r="P1553" s="9" t="str">
        <f>IFERROR(__xludf.DUMMYFUNCTION("""COMPUTED_VALUE"""),"ERs")</f>
        <v>ERs</v>
      </c>
      <c r="Q1553" s="9"/>
      <c r="R1553" s="9"/>
      <c r="S1553" s="42" t="str">
        <f>IFERROR(__xludf.DUMMYFUNCTION("""COMPUTED_VALUE"""),"ER2;
ER3")</f>
        <v>ER2;
ER3</v>
      </c>
      <c r="T1553" s="42" t="str">
        <f>IFERROR(__xludf.DUMMYFUNCTION("""COMPUTED_VALUE"""),"sulcus")</f>
        <v>sulcus</v>
      </c>
      <c r="U1553" s="42" t="b">
        <f>IFERROR(__xludf.DUMMYFUNCTION("""COMPUTED_VALUE"""),FALSE)</f>
        <v>0</v>
      </c>
      <c r="V1553" s="42"/>
      <c r="W1553" s="42"/>
      <c r="X1553" s="42"/>
      <c r="Y1553" s="42"/>
      <c r="Z1553" s="42"/>
      <c r="AA1553" s="42"/>
      <c r="AB1553" s="42" t="str">
        <f>IFERROR(__xludf.DUMMYFUNCTION("""COMPUTED_VALUE"""),"allen institute")</f>
        <v>allen institute</v>
      </c>
      <c r="AC1553" s="42" t="str">
        <f>IFERROR(__xludf.DUMMYFUNCTION("""COMPUTED_VALUE"""),"DHBA")</f>
        <v>DHBA</v>
      </c>
      <c r="AD1553" s="42"/>
      <c r="AE1553" s="42"/>
      <c r="AF1553" s="9"/>
      <c r="AG1553" s="9"/>
      <c r="AH1553" s="42"/>
      <c r="AI1553" s="42"/>
      <c r="AJ1553" s="42"/>
      <c r="AK1553" s="42"/>
      <c r="AL1553" s="42"/>
      <c r="AM1553" s="42"/>
      <c r="AN1553" s="42"/>
      <c r="AO1553" s="63" t="str">
        <f>IFERROR(__xludf.DUMMYFUNCTION("IF(ISBLANK(A1553),,IF(ISBLANK(S1553), A1553&amp;"";"", TEXTJOIN(CHAR(10), TRUE, A1553&amp;"";"", ARRAYFORMULA(VLOOKUP(SPLIT(S1553, "";"" &amp; CHAR(10)), $A:$AO, 41, FALSE)))))"),"ERs;
ER2;
ER3;
ER3a;
ER3b;")</f>
        <v>ERs;
ER2;
ER3;
ER3a;
ER3b;</v>
      </c>
      <c r="AP1553" s="89"/>
    </row>
    <row r="1554">
      <c r="A1554" s="151" t="str">
        <f>IFERROR(__xludf.DUMMYFUNCTION("""COMPUTED_VALUE"""),"ER2")</f>
        <v>ER2</v>
      </c>
      <c r="B1554" s="42" t="str">
        <f>IFERROR(__xludf.DUMMYFUNCTION("""COMPUTED_VALUE"""),"DHBA")</f>
        <v>DHBA</v>
      </c>
      <c r="C1554" s="42" t="str">
        <f>IFERROR(__xludf.DUMMYFUNCTION("""COMPUTED_VALUE"""),"layer II of rostral entorhinal cortex")</f>
        <v>layer II of rostral entorhinal cortex</v>
      </c>
      <c r="D1554" s="42">
        <f>IFERROR(__xludf.DUMMYFUNCTION("""COMPUTED_VALUE"""),1463.0)</f>
        <v>1463</v>
      </c>
      <c r="E1554" s="39" t="str">
        <f>IFERROR(__xludf.DUMMYFUNCTION("""COMPUTED_VALUE"""),"layer II of rostral entorhinal cortex")</f>
        <v>layer II of rostral entorhinal cortex</v>
      </c>
      <c r="F1554" s="9" t="str">
        <f>IFERROR(__xludf.DUMMYFUNCTION("""COMPUTED_VALUE"""),"Br")</f>
        <v>Br</v>
      </c>
      <c r="G1554" s="9" t="str">
        <f>IFERROR(__xludf.DUMMYFUNCTION("""COMPUTED_VALUE"""),"F")</f>
        <v>F</v>
      </c>
      <c r="H1554" s="9" t="str">
        <f>IFERROR(__xludf.DUMMYFUNCTION("""COMPUTED_VALUE"""),"FGM")</f>
        <v>FGM</v>
      </c>
      <c r="I1554" s="9" t="str">
        <f>IFERROR(__xludf.DUMMYFUNCTION("""COMPUTED_VALUE"""),"Tel")</f>
        <v>Tel</v>
      </c>
      <c r="J1554" s="9" t="str">
        <f>IFERROR(__xludf.DUMMYFUNCTION("""COMPUTED_VALUE"""),"Cx")</f>
        <v>Cx</v>
      </c>
      <c r="K1554" s="9" t="str">
        <f>IFERROR(__xludf.DUMMYFUNCTION("""COMPUTED_VALUE"""),"PACx")</f>
        <v>PACx</v>
      </c>
      <c r="L1554" s="9" t="str">
        <f>IFERROR(__xludf.DUMMYFUNCTION("""COMPUTED_VALUE"""),"PArCx")</f>
        <v>PArCx</v>
      </c>
      <c r="M1554" s="9" t="str">
        <f>IFERROR(__xludf.DUMMYFUNCTION("""COMPUTED_VALUE"""),"EC")</f>
        <v>EC</v>
      </c>
      <c r="N1554" s="9" t="str">
        <f>IFERROR(__xludf.DUMMYFUNCTION("""COMPUTED_VALUE"""),"LEC")</f>
        <v>LEC</v>
      </c>
      <c r="O1554" s="9" t="str">
        <f>IFERROR(__xludf.DUMMYFUNCTION("""COMPUTED_VALUE"""),"ER")</f>
        <v>ER</v>
      </c>
      <c r="P1554" s="9" t="str">
        <f>IFERROR(__xludf.DUMMYFUNCTION("""COMPUTED_VALUE"""),"ERs")</f>
        <v>ERs</v>
      </c>
      <c r="Q1554" s="9" t="str">
        <f>IFERROR(__xludf.DUMMYFUNCTION("""COMPUTED_VALUE"""),"ER2")</f>
        <v>ER2</v>
      </c>
      <c r="R1554" s="9"/>
      <c r="S1554" s="42"/>
      <c r="T1554" s="42"/>
      <c r="U1554" s="42"/>
      <c r="V1554" s="42"/>
      <c r="W1554" s="42"/>
      <c r="X1554" s="42"/>
      <c r="Y1554" s="42"/>
      <c r="Z1554" s="42"/>
      <c r="AA1554" s="42"/>
      <c r="AB1554" s="42" t="str">
        <f>IFERROR(__xludf.DUMMYFUNCTION("""COMPUTED_VALUE"""),"allen institute")</f>
        <v>allen institute</v>
      </c>
      <c r="AC1554" s="42" t="str">
        <f>IFERROR(__xludf.DUMMYFUNCTION("""COMPUTED_VALUE"""),"DHBA")</f>
        <v>DHBA</v>
      </c>
      <c r="AD1554" s="42"/>
      <c r="AE1554" s="42"/>
      <c r="AF1554" s="9"/>
      <c r="AG1554" s="9"/>
      <c r="AH1554" s="42"/>
      <c r="AI1554" s="42"/>
      <c r="AJ1554" s="42"/>
      <c r="AK1554" s="42"/>
      <c r="AL1554" s="42"/>
      <c r="AM1554" s="42"/>
      <c r="AN1554" s="42"/>
      <c r="AO1554" s="63" t="str">
        <f>IFERROR(__xludf.DUMMYFUNCTION("IF(ISBLANK(A1554),,IF(ISBLANK(S1554), A1554&amp;"";"", TEXTJOIN(CHAR(10), TRUE, A1554&amp;"";"", ARRAYFORMULA(VLOOKUP(SPLIT(S1554, "";"" &amp; CHAR(10)), $A:$AO, 41, FALSE)))))"),"ER2;")</f>
        <v>ER2;</v>
      </c>
      <c r="AP1554" s="89"/>
    </row>
    <row r="1555">
      <c r="A1555" s="151" t="str">
        <f>IFERROR(__xludf.DUMMYFUNCTION("""COMPUTED_VALUE"""),"ER3")</f>
        <v>ER3</v>
      </c>
      <c r="B1555" s="42" t="str">
        <f>IFERROR(__xludf.DUMMYFUNCTION("""COMPUTED_VALUE"""),"DHBA")</f>
        <v>DHBA</v>
      </c>
      <c r="C1555" s="42" t="str">
        <f>IFERROR(__xludf.DUMMYFUNCTION("""COMPUTED_VALUE"""),"layer III of rostral entorhinal cortex")</f>
        <v>layer III of rostral entorhinal cortex</v>
      </c>
      <c r="D1555" s="42">
        <f>IFERROR(__xludf.DUMMYFUNCTION("""COMPUTED_VALUE"""),1464.0)</f>
        <v>1464</v>
      </c>
      <c r="E1555" s="39" t="str">
        <f>IFERROR(__xludf.DUMMYFUNCTION("""COMPUTED_VALUE"""),"layer III of rostral entorhinal cortex")</f>
        <v>layer III of rostral entorhinal cortex</v>
      </c>
      <c r="F1555" s="9" t="str">
        <f>IFERROR(__xludf.DUMMYFUNCTION("""COMPUTED_VALUE"""),"Br")</f>
        <v>Br</v>
      </c>
      <c r="G1555" s="9" t="str">
        <f>IFERROR(__xludf.DUMMYFUNCTION("""COMPUTED_VALUE"""),"F")</f>
        <v>F</v>
      </c>
      <c r="H1555" s="9" t="str">
        <f>IFERROR(__xludf.DUMMYFUNCTION("""COMPUTED_VALUE"""),"FGM")</f>
        <v>FGM</v>
      </c>
      <c r="I1555" s="9" t="str">
        <f>IFERROR(__xludf.DUMMYFUNCTION("""COMPUTED_VALUE"""),"Tel")</f>
        <v>Tel</v>
      </c>
      <c r="J1555" s="9" t="str">
        <f>IFERROR(__xludf.DUMMYFUNCTION("""COMPUTED_VALUE"""),"Cx")</f>
        <v>Cx</v>
      </c>
      <c r="K1555" s="9" t="str">
        <f>IFERROR(__xludf.DUMMYFUNCTION("""COMPUTED_VALUE"""),"PACx")</f>
        <v>PACx</v>
      </c>
      <c r="L1555" s="9" t="str">
        <f>IFERROR(__xludf.DUMMYFUNCTION("""COMPUTED_VALUE"""),"PArCx")</f>
        <v>PArCx</v>
      </c>
      <c r="M1555" s="9" t="str">
        <f>IFERROR(__xludf.DUMMYFUNCTION("""COMPUTED_VALUE"""),"EC")</f>
        <v>EC</v>
      </c>
      <c r="N1555" s="9" t="str">
        <f>IFERROR(__xludf.DUMMYFUNCTION("""COMPUTED_VALUE"""),"LEC")</f>
        <v>LEC</v>
      </c>
      <c r="O1555" s="9" t="str">
        <f>IFERROR(__xludf.DUMMYFUNCTION("""COMPUTED_VALUE"""),"ER")</f>
        <v>ER</v>
      </c>
      <c r="P1555" s="9" t="str">
        <f>IFERROR(__xludf.DUMMYFUNCTION("""COMPUTED_VALUE"""),"ERs")</f>
        <v>ERs</v>
      </c>
      <c r="Q1555" s="9" t="str">
        <f>IFERROR(__xludf.DUMMYFUNCTION("""COMPUTED_VALUE"""),"ER3")</f>
        <v>ER3</v>
      </c>
      <c r="R1555" s="9"/>
      <c r="S1555" s="42" t="str">
        <f>IFERROR(__xludf.DUMMYFUNCTION("""COMPUTED_VALUE"""),"ER3a;
ER3b")</f>
        <v>ER3a;
ER3b</v>
      </c>
      <c r="T1555" s="42"/>
      <c r="U1555" s="42" t="b">
        <f>IFERROR(__xludf.DUMMYFUNCTION("""COMPUTED_VALUE"""),FALSE)</f>
        <v>0</v>
      </c>
      <c r="V1555" s="42"/>
      <c r="W1555" s="42"/>
      <c r="X1555" s="42"/>
      <c r="Y1555" s="42"/>
      <c r="Z1555" s="42"/>
      <c r="AA1555" s="42"/>
      <c r="AB1555" s="42" t="str">
        <f>IFERROR(__xludf.DUMMYFUNCTION("""COMPUTED_VALUE"""),"allen institute")</f>
        <v>allen institute</v>
      </c>
      <c r="AC1555" s="42" t="str">
        <f>IFERROR(__xludf.DUMMYFUNCTION("""COMPUTED_VALUE"""),"DHBA")</f>
        <v>DHBA</v>
      </c>
      <c r="AD1555" s="42"/>
      <c r="AE1555" s="42"/>
      <c r="AF1555" s="9"/>
      <c r="AG1555" s="9"/>
      <c r="AH1555" s="42"/>
      <c r="AI1555" s="42"/>
      <c r="AJ1555" s="42"/>
      <c r="AK1555" s="42"/>
      <c r="AL1555" s="42"/>
      <c r="AM1555" s="42"/>
      <c r="AN1555" s="42"/>
      <c r="AO1555" s="63" t="str">
        <f>IFERROR(__xludf.DUMMYFUNCTION("IF(ISBLANK(A1555),,IF(ISBLANK(S1555), A1555&amp;"";"", TEXTJOIN(CHAR(10), TRUE, A1555&amp;"";"", ARRAYFORMULA(VLOOKUP(SPLIT(S1555, "";"" &amp; CHAR(10)), $A:$AO, 41, FALSE)))))"),"ER3;
ER3a;
ER3b;")</f>
        <v>ER3;
ER3a;
ER3b;</v>
      </c>
      <c r="AP1555" s="89"/>
    </row>
    <row r="1556">
      <c r="A1556" s="151" t="str">
        <f>IFERROR(__xludf.DUMMYFUNCTION("""COMPUTED_VALUE"""),"ER3a")</f>
        <v>ER3a</v>
      </c>
      <c r="B1556" s="42" t="str">
        <f>IFERROR(__xludf.DUMMYFUNCTION("""COMPUTED_VALUE"""),"DHBA")</f>
        <v>DHBA</v>
      </c>
      <c r="C1556" s="42" t="str">
        <f>IFERROR(__xludf.DUMMYFUNCTION("""COMPUTED_VALUE"""),"layer IIIa of rostral entorhinal cortex")</f>
        <v>layer IIIa of rostral entorhinal cortex</v>
      </c>
      <c r="D1556" s="42">
        <f>IFERROR(__xludf.DUMMYFUNCTION("""COMPUTED_VALUE"""),1465.0)</f>
        <v>1465</v>
      </c>
      <c r="E1556" s="39" t="str">
        <f>IFERROR(__xludf.DUMMYFUNCTION("""COMPUTED_VALUE"""),"layer IIIa of rostral entorhinal cortex")</f>
        <v>layer IIIa of rostral entorhinal cortex</v>
      </c>
      <c r="F1556" s="9" t="str">
        <f>IFERROR(__xludf.DUMMYFUNCTION("""COMPUTED_VALUE"""),"Br")</f>
        <v>Br</v>
      </c>
      <c r="G1556" s="9" t="str">
        <f>IFERROR(__xludf.DUMMYFUNCTION("""COMPUTED_VALUE"""),"F")</f>
        <v>F</v>
      </c>
      <c r="H1556" s="9" t="str">
        <f>IFERROR(__xludf.DUMMYFUNCTION("""COMPUTED_VALUE"""),"FGM")</f>
        <v>FGM</v>
      </c>
      <c r="I1556" s="9" t="str">
        <f>IFERROR(__xludf.DUMMYFUNCTION("""COMPUTED_VALUE"""),"Tel")</f>
        <v>Tel</v>
      </c>
      <c r="J1556" s="9" t="str">
        <f>IFERROR(__xludf.DUMMYFUNCTION("""COMPUTED_VALUE"""),"Cx")</f>
        <v>Cx</v>
      </c>
      <c r="K1556" s="9" t="str">
        <f>IFERROR(__xludf.DUMMYFUNCTION("""COMPUTED_VALUE"""),"PACx")</f>
        <v>PACx</v>
      </c>
      <c r="L1556" s="9" t="str">
        <f>IFERROR(__xludf.DUMMYFUNCTION("""COMPUTED_VALUE"""),"PArCx")</f>
        <v>PArCx</v>
      </c>
      <c r="M1556" s="9" t="str">
        <f>IFERROR(__xludf.DUMMYFUNCTION("""COMPUTED_VALUE"""),"EC")</f>
        <v>EC</v>
      </c>
      <c r="N1556" s="9" t="str">
        <f>IFERROR(__xludf.DUMMYFUNCTION("""COMPUTED_VALUE"""),"LEC")</f>
        <v>LEC</v>
      </c>
      <c r="O1556" s="9" t="str">
        <f>IFERROR(__xludf.DUMMYFUNCTION("""COMPUTED_VALUE"""),"ER")</f>
        <v>ER</v>
      </c>
      <c r="P1556" s="9" t="str">
        <f>IFERROR(__xludf.DUMMYFUNCTION("""COMPUTED_VALUE"""),"ERs")</f>
        <v>ERs</v>
      </c>
      <c r="Q1556" s="9" t="str">
        <f>IFERROR(__xludf.DUMMYFUNCTION("""COMPUTED_VALUE"""),"ER3")</f>
        <v>ER3</v>
      </c>
      <c r="R1556" s="9" t="str">
        <f>IFERROR(__xludf.DUMMYFUNCTION("""COMPUTED_VALUE"""),"ER3a")</f>
        <v>ER3a</v>
      </c>
      <c r="S1556" s="42"/>
      <c r="T1556" s="42"/>
      <c r="U1556" s="42"/>
      <c r="V1556" s="42"/>
      <c r="W1556" s="42"/>
      <c r="X1556" s="42"/>
      <c r="Y1556" s="42"/>
      <c r="Z1556" s="42"/>
      <c r="AA1556" s="42"/>
      <c r="AB1556" s="42" t="str">
        <f>IFERROR(__xludf.DUMMYFUNCTION("""COMPUTED_VALUE"""),"allen institute")</f>
        <v>allen institute</v>
      </c>
      <c r="AC1556" s="42" t="str">
        <f>IFERROR(__xludf.DUMMYFUNCTION("""COMPUTED_VALUE"""),"DHBA")</f>
        <v>DHBA</v>
      </c>
      <c r="AD1556" s="42"/>
      <c r="AE1556" s="42"/>
      <c r="AF1556" s="9"/>
      <c r="AG1556" s="9"/>
      <c r="AH1556" s="42"/>
      <c r="AI1556" s="42"/>
      <c r="AJ1556" s="42"/>
      <c r="AK1556" s="42"/>
      <c r="AL1556" s="42"/>
      <c r="AM1556" s="42"/>
      <c r="AN1556" s="42"/>
      <c r="AO1556" s="63" t="str">
        <f>IFERROR(__xludf.DUMMYFUNCTION("IF(ISBLANK(A1556),,IF(ISBLANK(S1556), A1556&amp;"";"", TEXTJOIN(CHAR(10), TRUE, A1556&amp;"";"", ARRAYFORMULA(VLOOKUP(SPLIT(S1556, "";"" &amp; CHAR(10)), $A:$AO, 41, FALSE)))))"),"ER3a;")</f>
        <v>ER3a;</v>
      </c>
      <c r="AP1556" s="89"/>
    </row>
    <row r="1557">
      <c r="A1557" s="151" t="str">
        <f>IFERROR(__xludf.DUMMYFUNCTION("""COMPUTED_VALUE"""),"ER3b")</f>
        <v>ER3b</v>
      </c>
      <c r="B1557" s="42" t="str">
        <f>IFERROR(__xludf.DUMMYFUNCTION("""COMPUTED_VALUE"""),"DHBA")</f>
        <v>DHBA</v>
      </c>
      <c r="C1557" s="42" t="str">
        <f>IFERROR(__xludf.DUMMYFUNCTION("""COMPUTED_VALUE"""),"layer IIIb of rostral entorhinal cortex")</f>
        <v>layer IIIb of rostral entorhinal cortex</v>
      </c>
      <c r="D1557" s="42">
        <f>IFERROR(__xludf.DUMMYFUNCTION("""COMPUTED_VALUE"""),1466.0)</f>
        <v>1466</v>
      </c>
      <c r="E1557" s="39" t="str">
        <f>IFERROR(__xludf.DUMMYFUNCTION("""COMPUTED_VALUE"""),"layer IIIb of rostral entorhinal cortex")</f>
        <v>layer IIIb of rostral entorhinal cortex</v>
      </c>
      <c r="F1557" s="9" t="str">
        <f>IFERROR(__xludf.DUMMYFUNCTION("""COMPUTED_VALUE"""),"Br")</f>
        <v>Br</v>
      </c>
      <c r="G1557" s="9" t="str">
        <f>IFERROR(__xludf.DUMMYFUNCTION("""COMPUTED_VALUE"""),"F")</f>
        <v>F</v>
      </c>
      <c r="H1557" s="9" t="str">
        <f>IFERROR(__xludf.DUMMYFUNCTION("""COMPUTED_VALUE"""),"FGM")</f>
        <v>FGM</v>
      </c>
      <c r="I1557" s="9" t="str">
        <f>IFERROR(__xludf.DUMMYFUNCTION("""COMPUTED_VALUE"""),"Tel")</f>
        <v>Tel</v>
      </c>
      <c r="J1557" s="9" t="str">
        <f>IFERROR(__xludf.DUMMYFUNCTION("""COMPUTED_VALUE"""),"Cx")</f>
        <v>Cx</v>
      </c>
      <c r="K1557" s="9" t="str">
        <f>IFERROR(__xludf.DUMMYFUNCTION("""COMPUTED_VALUE"""),"PACx")</f>
        <v>PACx</v>
      </c>
      <c r="L1557" s="9" t="str">
        <f>IFERROR(__xludf.DUMMYFUNCTION("""COMPUTED_VALUE"""),"PArCx")</f>
        <v>PArCx</v>
      </c>
      <c r="M1557" s="9" t="str">
        <f>IFERROR(__xludf.DUMMYFUNCTION("""COMPUTED_VALUE"""),"EC")</f>
        <v>EC</v>
      </c>
      <c r="N1557" s="9" t="str">
        <f>IFERROR(__xludf.DUMMYFUNCTION("""COMPUTED_VALUE"""),"LEC")</f>
        <v>LEC</v>
      </c>
      <c r="O1557" s="9" t="str">
        <f>IFERROR(__xludf.DUMMYFUNCTION("""COMPUTED_VALUE"""),"ER")</f>
        <v>ER</v>
      </c>
      <c r="P1557" s="9" t="str">
        <f>IFERROR(__xludf.DUMMYFUNCTION("""COMPUTED_VALUE"""),"ERs")</f>
        <v>ERs</v>
      </c>
      <c r="Q1557" s="9" t="str">
        <f>IFERROR(__xludf.DUMMYFUNCTION("""COMPUTED_VALUE"""),"ER3")</f>
        <v>ER3</v>
      </c>
      <c r="R1557" s="9" t="str">
        <f>IFERROR(__xludf.DUMMYFUNCTION("""COMPUTED_VALUE"""),"ER3b")</f>
        <v>ER3b</v>
      </c>
      <c r="S1557" s="42"/>
      <c r="T1557" s="42"/>
      <c r="U1557" s="42"/>
      <c r="V1557" s="42"/>
      <c r="W1557" s="42"/>
      <c r="X1557" s="42"/>
      <c r="Y1557" s="42"/>
      <c r="Z1557" s="42"/>
      <c r="AA1557" s="42"/>
      <c r="AB1557" s="42" t="str">
        <f>IFERROR(__xludf.DUMMYFUNCTION("""COMPUTED_VALUE"""),"allen institute")</f>
        <v>allen institute</v>
      </c>
      <c r="AC1557" s="42" t="str">
        <f>IFERROR(__xludf.DUMMYFUNCTION("""COMPUTED_VALUE"""),"DHBA")</f>
        <v>DHBA</v>
      </c>
      <c r="AD1557" s="42"/>
      <c r="AE1557" s="42"/>
      <c r="AF1557" s="9"/>
      <c r="AG1557" s="9"/>
      <c r="AH1557" s="42"/>
      <c r="AI1557" s="42"/>
      <c r="AJ1557" s="42"/>
      <c r="AK1557" s="42"/>
      <c r="AL1557" s="42"/>
      <c r="AM1557" s="42"/>
      <c r="AN1557" s="42"/>
      <c r="AO1557" s="63" t="str">
        <f>IFERROR(__xludf.DUMMYFUNCTION("IF(ISBLANK(A1557),,IF(ISBLANK(S1557), A1557&amp;"";"", TEXTJOIN(CHAR(10), TRUE, A1557&amp;"";"", ARRAYFORMULA(VLOOKUP(SPLIT(S1557, "";"" &amp; CHAR(10)), $A:$AO, 41, FALSE)))))"),"ER3b;")</f>
        <v>ER3b;</v>
      </c>
      <c r="AP1557" s="89"/>
    </row>
    <row r="1558">
      <c r="A1558" s="151" t="str">
        <f>IFERROR(__xludf.DUMMYFUNCTION("""COMPUTED_VALUE"""),"ERld")</f>
        <v>ERld</v>
      </c>
      <c r="B1558" s="42" t="str">
        <f>IFERROR(__xludf.DUMMYFUNCTION("""COMPUTED_VALUE"""),"DHBA")</f>
        <v>DHBA</v>
      </c>
      <c r="C1558" s="42" t="str">
        <f>IFERROR(__xludf.DUMMYFUNCTION("""COMPUTED_VALUE"""),"lamina dissecans of rostral entorhinal cortex")</f>
        <v>lamina dissecans of rostral entorhinal cortex</v>
      </c>
      <c r="D1558" s="42">
        <f>IFERROR(__xludf.DUMMYFUNCTION("""COMPUTED_VALUE"""),1467.0)</f>
        <v>1467</v>
      </c>
      <c r="E1558" s="39" t="str">
        <f>IFERROR(__xludf.DUMMYFUNCTION("""COMPUTED_VALUE"""),"lamina dissecans of rostral entorhinal cortex")</f>
        <v>lamina dissecans of rostral entorhinal cortex</v>
      </c>
      <c r="F1558" s="9" t="str">
        <f>IFERROR(__xludf.DUMMYFUNCTION("""COMPUTED_VALUE"""),"Br")</f>
        <v>Br</v>
      </c>
      <c r="G1558" s="9" t="str">
        <f>IFERROR(__xludf.DUMMYFUNCTION("""COMPUTED_VALUE"""),"F")</f>
        <v>F</v>
      </c>
      <c r="H1558" s="9" t="str">
        <f>IFERROR(__xludf.DUMMYFUNCTION("""COMPUTED_VALUE"""),"FGM")</f>
        <v>FGM</v>
      </c>
      <c r="I1558" s="9" t="str">
        <f>IFERROR(__xludf.DUMMYFUNCTION("""COMPUTED_VALUE"""),"Tel")</f>
        <v>Tel</v>
      </c>
      <c r="J1558" s="9" t="str">
        <f>IFERROR(__xludf.DUMMYFUNCTION("""COMPUTED_VALUE"""),"Cx")</f>
        <v>Cx</v>
      </c>
      <c r="K1558" s="9" t="str">
        <f>IFERROR(__xludf.DUMMYFUNCTION("""COMPUTED_VALUE"""),"PACx")</f>
        <v>PACx</v>
      </c>
      <c r="L1558" s="9" t="str">
        <f>IFERROR(__xludf.DUMMYFUNCTION("""COMPUTED_VALUE"""),"PArCx")</f>
        <v>PArCx</v>
      </c>
      <c r="M1558" s="9" t="str">
        <f>IFERROR(__xludf.DUMMYFUNCTION("""COMPUTED_VALUE"""),"EC")</f>
        <v>EC</v>
      </c>
      <c r="N1558" s="9" t="str">
        <f>IFERROR(__xludf.DUMMYFUNCTION("""COMPUTED_VALUE"""),"LEC")</f>
        <v>LEC</v>
      </c>
      <c r="O1558" s="9" t="str">
        <f>IFERROR(__xludf.DUMMYFUNCTION("""COMPUTED_VALUE"""),"ER")</f>
        <v>ER</v>
      </c>
      <c r="P1558" s="9" t="str">
        <f>IFERROR(__xludf.DUMMYFUNCTION("""COMPUTED_VALUE"""),"ERld")</f>
        <v>ERld</v>
      </c>
      <c r="Q1558" s="9"/>
      <c r="R1558" s="9"/>
      <c r="S1558" s="42"/>
      <c r="T1558" s="42"/>
      <c r="U1558" s="42"/>
      <c r="V1558" s="42"/>
      <c r="W1558" s="42"/>
      <c r="X1558" s="42"/>
      <c r="Y1558" s="42"/>
      <c r="Z1558" s="42"/>
      <c r="AA1558" s="42"/>
      <c r="AB1558" s="42" t="str">
        <f>IFERROR(__xludf.DUMMYFUNCTION("""COMPUTED_VALUE"""),"allen institute")</f>
        <v>allen institute</v>
      </c>
      <c r="AC1558" s="42" t="str">
        <f>IFERROR(__xludf.DUMMYFUNCTION("""COMPUTED_VALUE"""),"DHBA")</f>
        <v>DHBA</v>
      </c>
      <c r="AD1558" s="42"/>
      <c r="AE1558" s="42"/>
      <c r="AF1558" s="9"/>
      <c r="AG1558" s="9"/>
      <c r="AH1558" s="42"/>
      <c r="AI1558" s="42"/>
      <c r="AJ1558" s="42"/>
      <c r="AK1558" s="42"/>
      <c r="AL1558" s="42"/>
      <c r="AM1558" s="42"/>
      <c r="AN1558" s="42"/>
      <c r="AO1558" s="63" t="str">
        <f>IFERROR(__xludf.DUMMYFUNCTION("IF(ISBLANK(A1558),,IF(ISBLANK(S1558), A1558&amp;"";"", TEXTJOIN(CHAR(10), TRUE, A1558&amp;"";"", ARRAYFORMULA(VLOOKUP(SPLIT(S1558, "";"" &amp; CHAR(10)), $A:$AO, 41, FALSE)))))"),"ERld;")</f>
        <v>ERld;</v>
      </c>
      <c r="AP1558" s="89"/>
    </row>
    <row r="1559">
      <c r="A1559" s="151" t="str">
        <f>IFERROR(__xludf.DUMMYFUNCTION("""COMPUTED_VALUE"""),"ERd")</f>
        <v>ERd</v>
      </c>
      <c r="B1559" s="42" t="str">
        <f>IFERROR(__xludf.DUMMYFUNCTION("""COMPUTED_VALUE"""),"DHBA")</f>
        <v>DHBA</v>
      </c>
      <c r="C1559" s="42" t="str">
        <f>IFERROR(__xludf.DUMMYFUNCTION("""COMPUTED_VALUE"""),"deep layers of rostral entorhinal cortex")</f>
        <v>deep layers of rostral entorhinal cortex</v>
      </c>
      <c r="D1559" s="42">
        <f>IFERROR(__xludf.DUMMYFUNCTION("""COMPUTED_VALUE"""),1468.0)</f>
        <v>1468</v>
      </c>
      <c r="E1559" s="39" t="str">
        <f>IFERROR(__xludf.DUMMYFUNCTION("""COMPUTED_VALUE"""),"deep layers of rostral entorhinal cortex")</f>
        <v>deep layers of rostral entorhinal cortex</v>
      </c>
      <c r="F1559" s="9" t="str">
        <f>IFERROR(__xludf.DUMMYFUNCTION("""COMPUTED_VALUE"""),"Br")</f>
        <v>Br</v>
      </c>
      <c r="G1559" s="9" t="str">
        <f>IFERROR(__xludf.DUMMYFUNCTION("""COMPUTED_VALUE"""),"F")</f>
        <v>F</v>
      </c>
      <c r="H1559" s="9" t="str">
        <f>IFERROR(__xludf.DUMMYFUNCTION("""COMPUTED_VALUE"""),"FGM")</f>
        <v>FGM</v>
      </c>
      <c r="I1559" s="9" t="str">
        <f>IFERROR(__xludf.DUMMYFUNCTION("""COMPUTED_VALUE"""),"Tel")</f>
        <v>Tel</v>
      </c>
      <c r="J1559" s="9" t="str">
        <f>IFERROR(__xludf.DUMMYFUNCTION("""COMPUTED_VALUE"""),"Cx")</f>
        <v>Cx</v>
      </c>
      <c r="K1559" s="9" t="str">
        <f>IFERROR(__xludf.DUMMYFUNCTION("""COMPUTED_VALUE"""),"PACx")</f>
        <v>PACx</v>
      </c>
      <c r="L1559" s="9" t="str">
        <f>IFERROR(__xludf.DUMMYFUNCTION("""COMPUTED_VALUE"""),"PArCx")</f>
        <v>PArCx</v>
      </c>
      <c r="M1559" s="9" t="str">
        <f>IFERROR(__xludf.DUMMYFUNCTION("""COMPUTED_VALUE"""),"EC")</f>
        <v>EC</v>
      </c>
      <c r="N1559" s="9" t="str">
        <f>IFERROR(__xludf.DUMMYFUNCTION("""COMPUTED_VALUE"""),"LEC")</f>
        <v>LEC</v>
      </c>
      <c r="O1559" s="9" t="str">
        <f>IFERROR(__xludf.DUMMYFUNCTION("""COMPUTED_VALUE"""),"ER")</f>
        <v>ER</v>
      </c>
      <c r="P1559" s="9" t="str">
        <f>IFERROR(__xludf.DUMMYFUNCTION("""COMPUTED_VALUE"""),"ERd")</f>
        <v>ERd</v>
      </c>
      <c r="Q1559" s="9"/>
      <c r="R1559" s="9"/>
      <c r="S1559" s="42" t="str">
        <f>IFERROR(__xludf.DUMMYFUNCTION("""COMPUTED_VALUE"""),"ER5;
ER6")</f>
        <v>ER5;
ER6</v>
      </c>
      <c r="T1559" s="42"/>
      <c r="U1559" s="42" t="b">
        <f>IFERROR(__xludf.DUMMYFUNCTION("""COMPUTED_VALUE"""),FALSE)</f>
        <v>0</v>
      </c>
      <c r="V1559" s="42"/>
      <c r="W1559" s="42"/>
      <c r="X1559" s="42"/>
      <c r="Y1559" s="42"/>
      <c r="Z1559" s="42"/>
      <c r="AA1559" s="42"/>
      <c r="AB1559" s="42" t="str">
        <f>IFERROR(__xludf.DUMMYFUNCTION("""COMPUTED_VALUE"""),"allen institute")</f>
        <v>allen institute</v>
      </c>
      <c r="AC1559" s="42" t="str">
        <f>IFERROR(__xludf.DUMMYFUNCTION("""COMPUTED_VALUE"""),"DHBA")</f>
        <v>DHBA</v>
      </c>
      <c r="AD1559" s="42"/>
      <c r="AE1559" s="42"/>
      <c r="AF1559" s="9"/>
      <c r="AG1559" s="9"/>
      <c r="AH1559" s="42"/>
      <c r="AI1559" s="42"/>
      <c r="AJ1559" s="42"/>
      <c r="AK1559" s="42"/>
      <c r="AL1559" s="42"/>
      <c r="AM1559" s="42"/>
      <c r="AN1559" s="42"/>
      <c r="AO1559" s="63" t="str">
        <f>IFERROR(__xludf.DUMMYFUNCTION("IF(ISBLANK(A1559),,IF(ISBLANK(S1559), A1559&amp;"";"", TEXTJOIN(CHAR(10), TRUE, A1559&amp;"";"", ARRAYFORMULA(VLOOKUP(SPLIT(S1559, "";"" &amp; CHAR(10)), $A:$AO, 41, FALSE)))))"),"ERd;
ER5;
ER6;")</f>
        <v>ERd;
ER5;
ER6;</v>
      </c>
      <c r="AP1559" s="89"/>
    </row>
    <row r="1560">
      <c r="A1560" s="151" t="str">
        <f>IFERROR(__xludf.DUMMYFUNCTION("""COMPUTED_VALUE"""),"ER5")</f>
        <v>ER5</v>
      </c>
      <c r="B1560" s="42" t="str">
        <f>IFERROR(__xludf.DUMMYFUNCTION("""COMPUTED_VALUE"""),"DHBA")</f>
        <v>DHBA</v>
      </c>
      <c r="C1560" s="42" t="str">
        <f>IFERROR(__xludf.DUMMYFUNCTION("""COMPUTED_VALUE"""),"layer V of rostral entorhinal cortex")</f>
        <v>layer V of rostral entorhinal cortex</v>
      </c>
      <c r="D1560" s="42">
        <f>IFERROR(__xludf.DUMMYFUNCTION("""COMPUTED_VALUE"""),1469.0)</f>
        <v>1469</v>
      </c>
      <c r="E1560" s="39" t="str">
        <f>IFERROR(__xludf.DUMMYFUNCTION("""COMPUTED_VALUE"""),"layer V of rostral entorhinal cortex")</f>
        <v>layer V of rostral entorhinal cortex</v>
      </c>
      <c r="F1560" s="9" t="str">
        <f>IFERROR(__xludf.DUMMYFUNCTION("""COMPUTED_VALUE"""),"Br")</f>
        <v>Br</v>
      </c>
      <c r="G1560" s="9" t="str">
        <f>IFERROR(__xludf.DUMMYFUNCTION("""COMPUTED_VALUE"""),"F")</f>
        <v>F</v>
      </c>
      <c r="H1560" s="9" t="str">
        <f>IFERROR(__xludf.DUMMYFUNCTION("""COMPUTED_VALUE"""),"FGM")</f>
        <v>FGM</v>
      </c>
      <c r="I1560" s="9" t="str">
        <f>IFERROR(__xludf.DUMMYFUNCTION("""COMPUTED_VALUE"""),"Tel")</f>
        <v>Tel</v>
      </c>
      <c r="J1560" s="9" t="str">
        <f>IFERROR(__xludf.DUMMYFUNCTION("""COMPUTED_VALUE"""),"Cx")</f>
        <v>Cx</v>
      </c>
      <c r="K1560" s="9" t="str">
        <f>IFERROR(__xludf.DUMMYFUNCTION("""COMPUTED_VALUE"""),"PACx")</f>
        <v>PACx</v>
      </c>
      <c r="L1560" s="9" t="str">
        <f>IFERROR(__xludf.DUMMYFUNCTION("""COMPUTED_VALUE"""),"PArCx")</f>
        <v>PArCx</v>
      </c>
      <c r="M1560" s="9" t="str">
        <f>IFERROR(__xludf.DUMMYFUNCTION("""COMPUTED_VALUE"""),"EC")</f>
        <v>EC</v>
      </c>
      <c r="N1560" s="9" t="str">
        <f>IFERROR(__xludf.DUMMYFUNCTION("""COMPUTED_VALUE"""),"LEC")</f>
        <v>LEC</v>
      </c>
      <c r="O1560" s="9" t="str">
        <f>IFERROR(__xludf.DUMMYFUNCTION("""COMPUTED_VALUE"""),"ER")</f>
        <v>ER</v>
      </c>
      <c r="P1560" s="9" t="str">
        <f>IFERROR(__xludf.DUMMYFUNCTION("""COMPUTED_VALUE"""),"ERd")</f>
        <v>ERd</v>
      </c>
      <c r="Q1560" s="9" t="str">
        <f>IFERROR(__xludf.DUMMYFUNCTION("""COMPUTED_VALUE"""),"ER5")</f>
        <v>ER5</v>
      </c>
      <c r="R1560" s="9"/>
      <c r="S1560" s="42"/>
      <c r="T1560" s="42"/>
      <c r="U1560" s="159"/>
      <c r="V1560" s="42"/>
      <c r="W1560" s="42"/>
      <c r="X1560" s="42"/>
      <c r="Y1560" s="42"/>
      <c r="Z1560" s="42"/>
      <c r="AA1560" s="42"/>
      <c r="AB1560" s="42" t="str">
        <f>IFERROR(__xludf.DUMMYFUNCTION("""COMPUTED_VALUE"""),"allen institute")</f>
        <v>allen institute</v>
      </c>
      <c r="AC1560" s="42" t="str">
        <f>IFERROR(__xludf.DUMMYFUNCTION("""COMPUTED_VALUE"""),"DHBA")</f>
        <v>DHBA</v>
      </c>
      <c r="AD1560" s="42"/>
      <c r="AE1560" s="42"/>
      <c r="AF1560" s="9"/>
      <c r="AG1560" s="9"/>
      <c r="AH1560" s="42"/>
      <c r="AI1560" s="42"/>
      <c r="AJ1560" s="42"/>
      <c r="AK1560" s="42"/>
      <c r="AL1560" s="42"/>
      <c r="AM1560" s="42"/>
      <c r="AN1560" s="42"/>
      <c r="AO1560" s="63" t="str">
        <f>IFERROR(__xludf.DUMMYFUNCTION("IF(ISBLANK(A1560),,IF(ISBLANK(S1560), A1560&amp;"";"", TEXTJOIN(CHAR(10), TRUE, A1560&amp;"";"", ARRAYFORMULA(VLOOKUP(SPLIT(S1560, "";"" &amp; CHAR(10)), $A:$AO, 41, FALSE)))))"),"ER5;")</f>
        <v>ER5;</v>
      </c>
      <c r="AP1560" s="89"/>
    </row>
    <row r="1561">
      <c r="A1561" s="151" t="str">
        <f>IFERROR(__xludf.DUMMYFUNCTION("""COMPUTED_VALUE"""),"ER6")</f>
        <v>ER6</v>
      </c>
      <c r="B1561" s="42" t="str">
        <f>IFERROR(__xludf.DUMMYFUNCTION("""COMPUTED_VALUE"""),"DHBA")</f>
        <v>DHBA</v>
      </c>
      <c r="C1561" s="42" t="str">
        <f>IFERROR(__xludf.DUMMYFUNCTION("""COMPUTED_VALUE"""),"layer VI of rostral entorhinal cortex")</f>
        <v>layer VI of rostral entorhinal cortex</v>
      </c>
      <c r="D1561" s="42">
        <f>IFERROR(__xludf.DUMMYFUNCTION("""COMPUTED_VALUE"""),1470.0)</f>
        <v>1470</v>
      </c>
      <c r="E1561" s="39" t="str">
        <f>IFERROR(__xludf.DUMMYFUNCTION("""COMPUTED_VALUE"""),"layer VI of rostral entorhinal cortex")</f>
        <v>layer VI of rostral entorhinal cortex</v>
      </c>
      <c r="F1561" s="9" t="str">
        <f>IFERROR(__xludf.DUMMYFUNCTION("""COMPUTED_VALUE"""),"Br")</f>
        <v>Br</v>
      </c>
      <c r="G1561" s="9" t="str">
        <f>IFERROR(__xludf.DUMMYFUNCTION("""COMPUTED_VALUE"""),"F")</f>
        <v>F</v>
      </c>
      <c r="H1561" s="9" t="str">
        <f>IFERROR(__xludf.DUMMYFUNCTION("""COMPUTED_VALUE"""),"FGM")</f>
        <v>FGM</v>
      </c>
      <c r="I1561" s="9" t="str">
        <f>IFERROR(__xludf.DUMMYFUNCTION("""COMPUTED_VALUE"""),"Tel")</f>
        <v>Tel</v>
      </c>
      <c r="J1561" s="9" t="str">
        <f>IFERROR(__xludf.DUMMYFUNCTION("""COMPUTED_VALUE"""),"Cx")</f>
        <v>Cx</v>
      </c>
      <c r="K1561" s="9" t="str">
        <f>IFERROR(__xludf.DUMMYFUNCTION("""COMPUTED_VALUE"""),"PACx")</f>
        <v>PACx</v>
      </c>
      <c r="L1561" s="9" t="str">
        <f>IFERROR(__xludf.DUMMYFUNCTION("""COMPUTED_VALUE"""),"PArCx")</f>
        <v>PArCx</v>
      </c>
      <c r="M1561" s="9" t="str">
        <f>IFERROR(__xludf.DUMMYFUNCTION("""COMPUTED_VALUE"""),"EC")</f>
        <v>EC</v>
      </c>
      <c r="N1561" s="9" t="str">
        <f>IFERROR(__xludf.DUMMYFUNCTION("""COMPUTED_VALUE"""),"LEC")</f>
        <v>LEC</v>
      </c>
      <c r="O1561" s="9" t="str">
        <f>IFERROR(__xludf.DUMMYFUNCTION("""COMPUTED_VALUE"""),"ER")</f>
        <v>ER</v>
      </c>
      <c r="P1561" s="9" t="str">
        <f>IFERROR(__xludf.DUMMYFUNCTION("""COMPUTED_VALUE"""),"ERd")</f>
        <v>ERd</v>
      </c>
      <c r="Q1561" s="9" t="str">
        <f>IFERROR(__xludf.DUMMYFUNCTION("""COMPUTED_VALUE"""),"ER6")</f>
        <v>ER6</v>
      </c>
      <c r="R1561" s="9"/>
      <c r="S1561" s="42"/>
      <c r="T1561" s="42"/>
      <c r="U1561" s="159"/>
      <c r="V1561" s="42"/>
      <c r="W1561" s="42"/>
      <c r="X1561" s="42"/>
      <c r="Y1561" s="42"/>
      <c r="Z1561" s="42"/>
      <c r="AA1561" s="42"/>
      <c r="AB1561" s="42" t="str">
        <f>IFERROR(__xludf.DUMMYFUNCTION("""COMPUTED_VALUE"""),"allen institute")</f>
        <v>allen institute</v>
      </c>
      <c r="AC1561" s="42" t="str">
        <f>IFERROR(__xludf.DUMMYFUNCTION("""COMPUTED_VALUE"""),"DHBA")</f>
        <v>DHBA</v>
      </c>
      <c r="AD1561" s="42"/>
      <c r="AE1561" s="42"/>
      <c r="AF1561" s="9"/>
      <c r="AG1561" s="9"/>
      <c r="AH1561" s="42"/>
      <c r="AI1561" s="42"/>
      <c r="AJ1561" s="42"/>
      <c r="AK1561" s="42"/>
      <c r="AL1561" s="42"/>
      <c r="AM1561" s="42"/>
      <c r="AN1561" s="42"/>
      <c r="AO1561" s="63" t="str">
        <f>IFERROR(__xludf.DUMMYFUNCTION("IF(ISBLANK(A1561),,IF(ISBLANK(S1561), A1561&amp;"";"", TEXTJOIN(CHAR(10), TRUE, A1561&amp;"";"", ARRAYFORMULA(VLOOKUP(SPLIT(S1561, "";"" &amp; CHAR(10)), $A:$AO, 41, FALSE)))))"),"ER6;")</f>
        <v>ER6;</v>
      </c>
      <c r="AP1561" s="89"/>
    </row>
    <row r="1562">
      <c r="A1562" s="151" t="str">
        <f>IFERROR(__xludf.DUMMYFUNCTION("""COMPUTED_VALUE"""),"ELR")</f>
        <v>ELR</v>
      </c>
      <c r="B1562" s="42" t="str">
        <f>IFERROR(__xludf.DUMMYFUNCTION("""COMPUTED_VALUE"""),"DHBA")</f>
        <v>DHBA</v>
      </c>
      <c r="C1562" s="42" t="str">
        <f>IFERROR(__xludf.DUMMYFUNCTION("""COMPUTED_VALUE"""),"laterorostral part of entorhinal cortex")</f>
        <v>laterorostral part of entorhinal cortex</v>
      </c>
      <c r="D1562" s="42">
        <f>IFERROR(__xludf.DUMMYFUNCTION("""COMPUTED_VALUE"""),1471.0)</f>
        <v>1471</v>
      </c>
      <c r="E1562" s="39" t="str">
        <f>IFERROR(__xludf.DUMMYFUNCTION("""COMPUTED_VALUE"""),"laterorostral part of entorhinal cortex")</f>
        <v>laterorostral part of entorhinal cortex</v>
      </c>
      <c r="F1562" s="9" t="str">
        <f>IFERROR(__xludf.DUMMYFUNCTION("""COMPUTED_VALUE"""),"Br")</f>
        <v>Br</v>
      </c>
      <c r="G1562" s="9" t="str">
        <f>IFERROR(__xludf.DUMMYFUNCTION("""COMPUTED_VALUE"""),"F")</f>
        <v>F</v>
      </c>
      <c r="H1562" s="9" t="str">
        <f>IFERROR(__xludf.DUMMYFUNCTION("""COMPUTED_VALUE"""),"FGM")</f>
        <v>FGM</v>
      </c>
      <c r="I1562" s="9" t="str">
        <f>IFERROR(__xludf.DUMMYFUNCTION("""COMPUTED_VALUE"""),"Tel")</f>
        <v>Tel</v>
      </c>
      <c r="J1562" s="9" t="str">
        <f>IFERROR(__xludf.DUMMYFUNCTION("""COMPUTED_VALUE"""),"Cx")</f>
        <v>Cx</v>
      </c>
      <c r="K1562" s="9" t="str">
        <f>IFERROR(__xludf.DUMMYFUNCTION("""COMPUTED_VALUE"""),"PACx")</f>
        <v>PACx</v>
      </c>
      <c r="L1562" s="9" t="str">
        <f>IFERROR(__xludf.DUMMYFUNCTION("""COMPUTED_VALUE"""),"PArCx")</f>
        <v>PArCx</v>
      </c>
      <c r="M1562" s="9" t="str">
        <f>IFERROR(__xludf.DUMMYFUNCTION("""COMPUTED_VALUE"""),"EC")</f>
        <v>EC</v>
      </c>
      <c r="N1562" s="9" t="str">
        <f>IFERROR(__xludf.DUMMYFUNCTION("""COMPUTED_VALUE"""),"LEC")</f>
        <v>LEC</v>
      </c>
      <c r="O1562" s="9" t="str">
        <f>IFERROR(__xludf.DUMMYFUNCTION("""COMPUTED_VALUE"""),"ELR")</f>
        <v>ELR</v>
      </c>
      <c r="P1562" s="9"/>
      <c r="Q1562" s="9"/>
      <c r="R1562" s="9"/>
      <c r="S1562" s="42" t="str">
        <f>IFERROR(__xludf.DUMMYFUNCTION("""COMPUTED_VALUE"""),"ELR1;
ELRs;
ELRld;
ELRd")</f>
        <v>ELR1;
ELRs;
ELRld;
ELRd</v>
      </c>
      <c r="T1562" s="42"/>
      <c r="U1562" s="42" t="b">
        <f>IFERROR(__xludf.DUMMYFUNCTION("""COMPUTED_VALUE"""),FALSE)</f>
        <v>0</v>
      </c>
      <c r="V1562" s="42"/>
      <c r="W1562" s="42"/>
      <c r="X1562" s="42"/>
      <c r="Y1562" s="42"/>
      <c r="Z1562" s="42"/>
      <c r="AA1562" s="42"/>
      <c r="AB1562" s="42" t="str">
        <f>IFERROR(__xludf.DUMMYFUNCTION("""COMPUTED_VALUE"""),"allen institute")</f>
        <v>allen institute</v>
      </c>
      <c r="AC1562" s="42" t="str">
        <f>IFERROR(__xludf.DUMMYFUNCTION("""COMPUTED_VALUE"""),"DHBA")</f>
        <v>DHBA</v>
      </c>
      <c r="AD1562" s="42"/>
      <c r="AE1562" s="42"/>
      <c r="AF1562" s="9"/>
      <c r="AG1562" s="9"/>
      <c r="AH1562" s="42"/>
      <c r="AI1562" s="42"/>
      <c r="AJ1562" s="42"/>
      <c r="AK1562" s="42"/>
      <c r="AL1562" s="42"/>
      <c r="AM1562" s="42"/>
      <c r="AN1562" s="42"/>
      <c r="AO1562" s="63" t="str">
        <f>IFERROR(__xludf.DUMMYFUNCTION("IF(ISBLANK(A1562),,IF(ISBLANK(S1562), A1562&amp;"";"", TEXTJOIN(CHAR(10), TRUE, A1562&amp;"";"", ARRAYFORMULA(VLOOKUP(SPLIT(S1562, "";"" &amp; CHAR(10)), $A:$AO, 41, FALSE)))))"),"ELR;
ELR1;
ELRs;
ELR2;
ELR3;
ELR3a;
ELR3b;
ELRld;
ELRd;
ELR5;
ELR6;")</f>
        <v>ELR;
ELR1;
ELRs;
ELR2;
ELR3;
ELR3a;
ELR3b;
ELRld;
ELRd;
ELR5;
ELR6;</v>
      </c>
      <c r="AP1562" s="89"/>
    </row>
    <row r="1563">
      <c r="A1563" s="151" t="str">
        <f>IFERROR(__xludf.DUMMYFUNCTION("""COMPUTED_VALUE"""),"ELR1")</f>
        <v>ELR1</v>
      </c>
      <c r="B1563" s="42" t="str">
        <f>IFERROR(__xludf.DUMMYFUNCTION("""COMPUTED_VALUE"""),"DHBA")</f>
        <v>DHBA</v>
      </c>
      <c r="C1563" s="42" t="str">
        <f>IFERROR(__xludf.DUMMYFUNCTION("""COMPUTED_VALUE"""),"layer I of laterorostral entorhinal cortex")</f>
        <v>layer I of laterorostral entorhinal cortex</v>
      </c>
      <c r="D1563" s="42">
        <f>IFERROR(__xludf.DUMMYFUNCTION("""COMPUTED_VALUE"""),1472.0)</f>
        <v>1472</v>
      </c>
      <c r="E1563" s="39" t="str">
        <f>IFERROR(__xludf.DUMMYFUNCTION("""COMPUTED_VALUE"""),"layer I of laterorostral entorhinal cortex")</f>
        <v>layer I of laterorostral entorhinal cortex</v>
      </c>
      <c r="F1563" s="9" t="str">
        <f>IFERROR(__xludf.DUMMYFUNCTION("""COMPUTED_VALUE"""),"Br")</f>
        <v>Br</v>
      </c>
      <c r="G1563" s="9" t="str">
        <f>IFERROR(__xludf.DUMMYFUNCTION("""COMPUTED_VALUE"""),"F")</f>
        <v>F</v>
      </c>
      <c r="H1563" s="9" t="str">
        <f>IFERROR(__xludf.DUMMYFUNCTION("""COMPUTED_VALUE"""),"FGM")</f>
        <v>FGM</v>
      </c>
      <c r="I1563" s="9" t="str">
        <f>IFERROR(__xludf.DUMMYFUNCTION("""COMPUTED_VALUE"""),"Tel")</f>
        <v>Tel</v>
      </c>
      <c r="J1563" s="9" t="str">
        <f>IFERROR(__xludf.DUMMYFUNCTION("""COMPUTED_VALUE"""),"Cx")</f>
        <v>Cx</v>
      </c>
      <c r="K1563" s="9" t="str">
        <f>IFERROR(__xludf.DUMMYFUNCTION("""COMPUTED_VALUE"""),"PACx")</f>
        <v>PACx</v>
      </c>
      <c r="L1563" s="9" t="str">
        <f>IFERROR(__xludf.DUMMYFUNCTION("""COMPUTED_VALUE"""),"PArCx")</f>
        <v>PArCx</v>
      </c>
      <c r="M1563" s="9" t="str">
        <f>IFERROR(__xludf.DUMMYFUNCTION("""COMPUTED_VALUE"""),"EC")</f>
        <v>EC</v>
      </c>
      <c r="N1563" s="9" t="str">
        <f>IFERROR(__xludf.DUMMYFUNCTION("""COMPUTED_VALUE"""),"LEC")</f>
        <v>LEC</v>
      </c>
      <c r="O1563" s="9" t="str">
        <f>IFERROR(__xludf.DUMMYFUNCTION("""COMPUTED_VALUE"""),"ELR")</f>
        <v>ELR</v>
      </c>
      <c r="P1563" s="9" t="str">
        <f>IFERROR(__xludf.DUMMYFUNCTION("""COMPUTED_VALUE"""),"ELR1")</f>
        <v>ELR1</v>
      </c>
      <c r="Q1563" s="9"/>
      <c r="R1563" s="9"/>
      <c r="S1563" s="42"/>
      <c r="T1563" s="42"/>
      <c r="U1563" s="42"/>
      <c r="V1563" s="42"/>
      <c r="W1563" s="42"/>
      <c r="X1563" s="42"/>
      <c r="Y1563" s="42"/>
      <c r="Z1563" s="42"/>
      <c r="AA1563" s="42"/>
      <c r="AB1563" s="42" t="str">
        <f>IFERROR(__xludf.DUMMYFUNCTION("""COMPUTED_VALUE"""),"allen institute")</f>
        <v>allen institute</v>
      </c>
      <c r="AC1563" s="42" t="str">
        <f>IFERROR(__xludf.DUMMYFUNCTION("""COMPUTED_VALUE"""),"DHBA")</f>
        <v>DHBA</v>
      </c>
      <c r="AD1563" s="42"/>
      <c r="AE1563" s="42"/>
      <c r="AF1563" s="9"/>
      <c r="AG1563" s="9"/>
      <c r="AH1563" s="42"/>
      <c r="AI1563" s="42"/>
      <c r="AJ1563" s="42"/>
      <c r="AK1563" s="42"/>
      <c r="AL1563" s="42"/>
      <c r="AM1563" s="42"/>
      <c r="AN1563" s="42"/>
      <c r="AO1563" s="63" t="str">
        <f>IFERROR(__xludf.DUMMYFUNCTION("IF(ISBLANK(A1563),,IF(ISBLANK(S1563), A1563&amp;"";"", TEXTJOIN(CHAR(10), TRUE, A1563&amp;"";"", ARRAYFORMULA(VLOOKUP(SPLIT(S1563, "";"" &amp; CHAR(10)), $A:$AO, 41, FALSE)))))"),"ELR1;")</f>
        <v>ELR1;</v>
      </c>
      <c r="AP1563" s="89"/>
    </row>
    <row r="1564">
      <c r="A1564" s="151" t="str">
        <f>IFERROR(__xludf.DUMMYFUNCTION("""COMPUTED_VALUE"""),"ELRs")</f>
        <v>ELRs</v>
      </c>
      <c r="B1564" s="42" t="str">
        <f>IFERROR(__xludf.DUMMYFUNCTION("""COMPUTED_VALUE"""),"DHBA")</f>
        <v>DHBA</v>
      </c>
      <c r="C1564" s="42" t="str">
        <f>IFERROR(__xludf.DUMMYFUNCTION("""COMPUTED_VALUE"""),"superficial layers of laterorostral entorhinal cortex")</f>
        <v>superficial layers of laterorostral entorhinal cortex</v>
      </c>
      <c r="D1564" s="42">
        <f>IFERROR(__xludf.DUMMYFUNCTION("""COMPUTED_VALUE"""),1473.0)</f>
        <v>1473</v>
      </c>
      <c r="E1564" s="39" t="str">
        <f>IFERROR(__xludf.DUMMYFUNCTION("""COMPUTED_VALUE"""),"superficial layers of laterorostral entorhinal cortex")</f>
        <v>superficial layers of laterorostral entorhinal cortex</v>
      </c>
      <c r="F1564" s="9" t="str">
        <f>IFERROR(__xludf.DUMMYFUNCTION("""COMPUTED_VALUE"""),"Br")</f>
        <v>Br</v>
      </c>
      <c r="G1564" s="9" t="str">
        <f>IFERROR(__xludf.DUMMYFUNCTION("""COMPUTED_VALUE"""),"F")</f>
        <v>F</v>
      </c>
      <c r="H1564" s="9" t="str">
        <f>IFERROR(__xludf.DUMMYFUNCTION("""COMPUTED_VALUE"""),"FGM")</f>
        <v>FGM</v>
      </c>
      <c r="I1564" s="9" t="str">
        <f>IFERROR(__xludf.DUMMYFUNCTION("""COMPUTED_VALUE"""),"Tel")</f>
        <v>Tel</v>
      </c>
      <c r="J1564" s="9" t="str">
        <f>IFERROR(__xludf.DUMMYFUNCTION("""COMPUTED_VALUE"""),"Cx")</f>
        <v>Cx</v>
      </c>
      <c r="K1564" s="9" t="str">
        <f>IFERROR(__xludf.DUMMYFUNCTION("""COMPUTED_VALUE"""),"PACx")</f>
        <v>PACx</v>
      </c>
      <c r="L1564" s="9" t="str">
        <f>IFERROR(__xludf.DUMMYFUNCTION("""COMPUTED_VALUE"""),"PArCx")</f>
        <v>PArCx</v>
      </c>
      <c r="M1564" s="9" t="str">
        <f>IFERROR(__xludf.DUMMYFUNCTION("""COMPUTED_VALUE"""),"EC")</f>
        <v>EC</v>
      </c>
      <c r="N1564" s="9" t="str">
        <f>IFERROR(__xludf.DUMMYFUNCTION("""COMPUTED_VALUE"""),"LEC")</f>
        <v>LEC</v>
      </c>
      <c r="O1564" s="9" t="str">
        <f>IFERROR(__xludf.DUMMYFUNCTION("""COMPUTED_VALUE"""),"ELR")</f>
        <v>ELR</v>
      </c>
      <c r="P1564" s="9" t="str">
        <f>IFERROR(__xludf.DUMMYFUNCTION("""COMPUTED_VALUE"""),"ELRs")</f>
        <v>ELRs</v>
      </c>
      <c r="Q1564" s="9"/>
      <c r="R1564" s="9"/>
      <c r="S1564" s="42" t="str">
        <f>IFERROR(__xludf.DUMMYFUNCTION("""COMPUTED_VALUE"""),"ELR2;
ELR3")</f>
        <v>ELR2;
ELR3</v>
      </c>
      <c r="T1564" s="42"/>
      <c r="U1564" s="42" t="b">
        <f>IFERROR(__xludf.DUMMYFUNCTION("""COMPUTED_VALUE"""),FALSE)</f>
        <v>0</v>
      </c>
      <c r="V1564" s="42"/>
      <c r="W1564" s="42"/>
      <c r="X1564" s="42"/>
      <c r="Y1564" s="42"/>
      <c r="Z1564" s="42"/>
      <c r="AA1564" s="42"/>
      <c r="AB1564" s="42" t="str">
        <f>IFERROR(__xludf.DUMMYFUNCTION("""COMPUTED_VALUE"""),"allen institute")</f>
        <v>allen institute</v>
      </c>
      <c r="AC1564" s="42" t="str">
        <f>IFERROR(__xludf.DUMMYFUNCTION("""COMPUTED_VALUE"""),"DHBA")</f>
        <v>DHBA</v>
      </c>
      <c r="AD1564" s="42"/>
      <c r="AE1564" s="42"/>
      <c r="AF1564" s="9"/>
      <c r="AG1564" s="9"/>
      <c r="AH1564" s="42"/>
      <c r="AI1564" s="42"/>
      <c r="AJ1564" s="42"/>
      <c r="AK1564" s="42"/>
      <c r="AL1564" s="42"/>
      <c r="AM1564" s="42"/>
      <c r="AN1564" s="42"/>
      <c r="AO1564" s="63" t="str">
        <f>IFERROR(__xludf.DUMMYFUNCTION("IF(ISBLANK(A1564),,IF(ISBLANK(S1564), A1564&amp;"";"", TEXTJOIN(CHAR(10), TRUE, A1564&amp;"";"", ARRAYFORMULA(VLOOKUP(SPLIT(S1564, "";"" &amp; CHAR(10)), $A:$AO, 41, FALSE)))))"),"ELRs;
ELR2;
ELR3;
ELR3a;
ELR3b;")</f>
        <v>ELRs;
ELR2;
ELR3;
ELR3a;
ELR3b;</v>
      </c>
      <c r="AP1564" s="89"/>
    </row>
    <row r="1565">
      <c r="A1565" s="151" t="str">
        <f>IFERROR(__xludf.DUMMYFUNCTION("""COMPUTED_VALUE"""),"ELR2")</f>
        <v>ELR2</v>
      </c>
      <c r="B1565" s="42" t="str">
        <f>IFERROR(__xludf.DUMMYFUNCTION("""COMPUTED_VALUE"""),"DHBA")</f>
        <v>DHBA</v>
      </c>
      <c r="C1565" s="42" t="str">
        <f>IFERROR(__xludf.DUMMYFUNCTION("""COMPUTED_VALUE"""),"layer II of laterorostral entorhinal cortex")</f>
        <v>layer II of laterorostral entorhinal cortex</v>
      </c>
      <c r="D1565" s="42">
        <f>IFERROR(__xludf.DUMMYFUNCTION("""COMPUTED_VALUE"""),1474.0)</f>
        <v>1474</v>
      </c>
      <c r="E1565" s="39" t="str">
        <f>IFERROR(__xludf.DUMMYFUNCTION("""COMPUTED_VALUE"""),"layer II of laterorostral entorhinal cortex")</f>
        <v>layer II of laterorostral entorhinal cortex</v>
      </c>
      <c r="F1565" s="9" t="str">
        <f>IFERROR(__xludf.DUMMYFUNCTION("""COMPUTED_VALUE"""),"Br")</f>
        <v>Br</v>
      </c>
      <c r="G1565" s="9" t="str">
        <f>IFERROR(__xludf.DUMMYFUNCTION("""COMPUTED_VALUE"""),"F")</f>
        <v>F</v>
      </c>
      <c r="H1565" s="9" t="str">
        <f>IFERROR(__xludf.DUMMYFUNCTION("""COMPUTED_VALUE"""),"FGM")</f>
        <v>FGM</v>
      </c>
      <c r="I1565" s="9" t="str">
        <f>IFERROR(__xludf.DUMMYFUNCTION("""COMPUTED_VALUE"""),"Tel")</f>
        <v>Tel</v>
      </c>
      <c r="J1565" s="9" t="str">
        <f>IFERROR(__xludf.DUMMYFUNCTION("""COMPUTED_VALUE"""),"Cx")</f>
        <v>Cx</v>
      </c>
      <c r="K1565" s="9" t="str">
        <f>IFERROR(__xludf.DUMMYFUNCTION("""COMPUTED_VALUE"""),"PACx")</f>
        <v>PACx</v>
      </c>
      <c r="L1565" s="9" t="str">
        <f>IFERROR(__xludf.DUMMYFUNCTION("""COMPUTED_VALUE"""),"PArCx")</f>
        <v>PArCx</v>
      </c>
      <c r="M1565" s="9" t="str">
        <f>IFERROR(__xludf.DUMMYFUNCTION("""COMPUTED_VALUE"""),"EC")</f>
        <v>EC</v>
      </c>
      <c r="N1565" s="9" t="str">
        <f>IFERROR(__xludf.DUMMYFUNCTION("""COMPUTED_VALUE"""),"LEC")</f>
        <v>LEC</v>
      </c>
      <c r="O1565" s="9" t="str">
        <f>IFERROR(__xludf.DUMMYFUNCTION("""COMPUTED_VALUE"""),"ELR")</f>
        <v>ELR</v>
      </c>
      <c r="P1565" s="9" t="str">
        <f>IFERROR(__xludf.DUMMYFUNCTION("""COMPUTED_VALUE"""),"ELRs")</f>
        <v>ELRs</v>
      </c>
      <c r="Q1565" s="9" t="str">
        <f>IFERROR(__xludf.DUMMYFUNCTION("""COMPUTED_VALUE"""),"ELR2")</f>
        <v>ELR2</v>
      </c>
      <c r="R1565" s="9"/>
      <c r="S1565" s="42"/>
      <c r="T1565" s="42"/>
      <c r="U1565" s="42"/>
      <c r="V1565" s="42"/>
      <c r="W1565" s="42"/>
      <c r="X1565" s="42"/>
      <c r="Y1565" s="42"/>
      <c r="Z1565" s="42"/>
      <c r="AA1565" s="42"/>
      <c r="AB1565" s="42" t="str">
        <f>IFERROR(__xludf.DUMMYFUNCTION("""COMPUTED_VALUE"""),"allen institute")</f>
        <v>allen institute</v>
      </c>
      <c r="AC1565" s="42" t="str">
        <f>IFERROR(__xludf.DUMMYFUNCTION("""COMPUTED_VALUE"""),"DHBA")</f>
        <v>DHBA</v>
      </c>
      <c r="AD1565" s="42"/>
      <c r="AE1565" s="42"/>
      <c r="AF1565" s="9"/>
      <c r="AG1565" s="9"/>
      <c r="AH1565" s="42"/>
      <c r="AI1565" s="42"/>
      <c r="AJ1565" s="42"/>
      <c r="AK1565" s="42"/>
      <c r="AL1565" s="42"/>
      <c r="AM1565" s="42"/>
      <c r="AN1565" s="42"/>
      <c r="AO1565" s="63" t="str">
        <f>IFERROR(__xludf.DUMMYFUNCTION("IF(ISBLANK(A1565),,IF(ISBLANK(S1565), A1565&amp;"";"", TEXTJOIN(CHAR(10), TRUE, A1565&amp;"";"", ARRAYFORMULA(VLOOKUP(SPLIT(S1565, "";"" &amp; CHAR(10)), $A:$AO, 41, FALSE)))))"),"ELR2;")</f>
        <v>ELR2;</v>
      </c>
      <c r="AP1565" s="89"/>
    </row>
    <row r="1566">
      <c r="A1566" s="151" t="str">
        <f>IFERROR(__xludf.DUMMYFUNCTION("""COMPUTED_VALUE"""),"ELR3")</f>
        <v>ELR3</v>
      </c>
      <c r="B1566" s="42" t="str">
        <f>IFERROR(__xludf.DUMMYFUNCTION("""COMPUTED_VALUE"""),"DHBA")</f>
        <v>DHBA</v>
      </c>
      <c r="C1566" s="42" t="str">
        <f>IFERROR(__xludf.DUMMYFUNCTION("""COMPUTED_VALUE"""),"layer III of laterorostral entorhinal cortex")</f>
        <v>layer III of laterorostral entorhinal cortex</v>
      </c>
      <c r="D1566" s="42">
        <f>IFERROR(__xludf.DUMMYFUNCTION("""COMPUTED_VALUE"""),1475.0)</f>
        <v>1475</v>
      </c>
      <c r="E1566" s="39" t="str">
        <f>IFERROR(__xludf.DUMMYFUNCTION("""COMPUTED_VALUE"""),"layer III of laterorostral entorhinal cortex")</f>
        <v>layer III of laterorostral entorhinal cortex</v>
      </c>
      <c r="F1566" s="9" t="str">
        <f>IFERROR(__xludf.DUMMYFUNCTION("""COMPUTED_VALUE"""),"Br")</f>
        <v>Br</v>
      </c>
      <c r="G1566" s="9" t="str">
        <f>IFERROR(__xludf.DUMMYFUNCTION("""COMPUTED_VALUE"""),"F")</f>
        <v>F</v>
      </c>
      <c r="H1566" s="9" t="str">
        <f>IFERROR(__xludf.DUMMYFUNCTION("""COMPUTED_VALUE"""),"FGM")</f>
        <v>FGM</v>
      </c>
      <c r="I1566" s="9" t="str">
        <f>IFERROR(__xludf.DUMMYFUNCTION("""COMPUTED_VALUE"""),"Tel")</f>
        <v>Tel</v>
      </c>
      <c r="J1566" s="9" t="str">
        <f>IFERROR(__xludf.DUMMYFUNCTION("""COMPUTED_VALUE"""),"Cx")</f>
        <v>Cx</v>
      </c>
      <c r="K1566" s="9" t="str">
        <f>IFERROR(__xludf.DUMMYFUNCTION("""COMPUTED_VALUE"""),"PACx")</f>
        <v>PACx</v>
      </c>
      <c r="L1566" s="9" t="str">
        <f>IFERROR(__xludf.DUMMYFUNCTION("""COMPUTED_VALUE"""),"PArCx")</f>
        <v>PArCx</v>
      </c>
      <c r="M1566" s="9" t="str">
        <f>IFERROR(__xludf.DUMMYFUNCTION("""COMPUTED_VALUE"""),"EC")</f>
        <v>EC</v>
      </c>
      <c r="N1566" s="9" t="str">
        <f>IFERROR(__xludf.DUMMYFUNCTION("""COMPUTED_VALUE"""),"LEC")</f>
        <v>LEC</v>
      </c>
      <c r="O1566" s="9" t="str">
        <f>IFERROR(__xludf.DUMMYFUNCTION("""COMPUTED_VALUE"""),"ELR")</f>
        <v>ELR</v>
      </c>
      <c r="P1566" s="9" t="str">
        <f>IFERROR(__xludf.DUMMYFUNCTION("""COMPUTED_VALUE"""),"ELRs")</f>
        <v>ELRs</v>
      </c>
      <c r="Q1566" s="9" t="str">
        <f>IFERROR(__xludf.DUMMYFUNCTION("""COMPUTED_VALUE"""),"ELR3")</f>
        <v>ELR3</v>
      </c>
      <c r="R1566" s="9"/>
      <c r="S1566" s="42" t="str">
        <f>IFERROR(__xludf.DUMMYFUNCTION("""COMPUTED_VALUE"""),"ELR3a;
ELR3b")</f>
        <v>ELR3a;
ELR3b</v>
      </c>
      <c r="T1566" s="42"/>
      <c r="U1566" s="42" t="b">
        <f>IFERROR(__xludf.DUMMYFUNCTION("""COMPUTED_VALUE"""),FALSE)</f>
        <v>0</v>
      </c>
      <c r="V1566" s="42"/>
      <c r="W1566" s="42"/>
      <c r="X1566" s="42"/>
      <c r="Y1566" s="42"/>
      <c r="Z1566" s="42"/>
      <c r="AA1566" s="42"/>
      <c r="AB1566" s="42" t="str">
        <f>IFERROR(__xludf.DUMMYFUNCTION("""COMPUTED_VALUE"""),"allen institute")</f>
        <v>allen institute</v>
      </c>
      <c r="AC1566" s="42" t="str">
        <f>IFERROR(__xludf.DUMMYFUNCTION("""COMPUTED_VALUE"""),"DHBA")</f>
        <v>DHBA</v>
      </c>
      <c r="AD1566" s="42"/>
      <c r="AE1566" s="42"/>
      <c r="AF1566" s="9"/>
      <c r="AG1566" s="9"/>
      <c r="AH1566" s="42"/>
      <c r="AI1566" s="42"/>
      <c r="AJ1566" s="42"/>
      <c r="AK1566" s="42"/>
      <c r="AL1566" s="42"/>
      <c r="AM1566" s="42"/>
      <c r="AN1566" s="42"/>
      <c r="AO1566" s="63" t="str">
        <f>IFERROR(__xludf.DUMMYFUNCTION("IF(ISBLANK(A1566),,IF(ISBLANK(S1566), A1566&amp;"";"", TEXTJOIN(CHAR(10), TRUE, A1566&amp;"";"", ARRAYFORMULA(VLOOKUP(SPLIT(S1566, "";"" &amp; CHAR(10)), $A:$AO, 41, FALSE)))))"),"ELR3;
ELR3a;
ELR3b;")</f>
        <v>ELR3;
ELR3a;
ELR3b;</v>
      </c>
      <c r="AP1566" s="89"/>
    </row>
    <row r="1567">
      <c r="A1567" s="151" t="str">
        <f>IFERROR(__xludf.DUMMYFUNCTION("""COMPUTED_VALUE"""),"ELR3a")</f>
        <v>ELR3a</v>
      </c>
      <c r="B1567" s="42" t="str">
        <f>IFERROR(__xludf.DUMMYFUNCTION("""COMPUTED_VALUE"""),"DHBA")</f>
        <v>DHBA</v>
      </c>
      <c r="C1567" s="42" t="str">
        <f>IFERROR(__xludf.DUMMYFUNCTION("""COMPUTED_VALUE"""),"layer IIIa of laterorostral entorhinal cortex")</f>
        <v>layer IIIa of laterorostral entorhinal cortex</v>
      </c>
      <c r="D1567" s="42">
        <f>IFERROR(__xludf.DUMMYFUNCTION("""COMPUTED_VALUE"""),1476.0)</f>
        <v>1476</v>
      </c>
      <c r="E1567" s="39" t="str">
        <f>IFERROR(__xludf.DUMMYFUNCTION("""COMPUTED_VALUE"""),"layer IIIa of laterorostral entorhinal cortex")</f>
        <v>layer IIIa of laterorostral entorhinal cortex</v>
      </c>
      <c r="F1567" s="9" t="str">
        <f>IFERROR(__xludf.DUMMYFUNCTION("""COMPUTED_VALUE"""),"Br")</f>
        <v>Br</v>
      </c>
      <c r="G1567" s="9" t="str">
        <f>IFERROR(__xludf.DUMMYFUNCTION("""COMPUTED_VALUE"""),"F")</f>
        <v>F</v>
      </c>
      <c r="H1567" s="9" t="str">
        <f>IFERROR(__xludf.DUMMYFUNCTION("""COMPUTED_VALUE"""),"FGM")</f>
        <v>FGM</v>
      </c>
      <c r="I1567" s="9" t="str">
        <f>IFERROR(__xludf.DUMMYFUNCTION("""COMPUTED_VALUE"""),"Tel")</f>
        <v>Tel</v>
      </c>
      <c r="J1567" s="9" t="str">
        <f>IFERROR(__xludf.DUMMYFUNCTION("""COMPUTED_VALUE"""),"Cx")</f>
        <v>Cx</v>
      </c>
      <c r="K1567" s="9" t="str">
        <f>IFERROR(__xludf.DUMMYFUNCTION("""COMPUTED_VALUE"""),"PACx")</f>
        <v>PACx</v>
      </c>
      <c r="L1567" s="9" t="str">
        <f>IFERROR(__xludf.DUMMYFUNCTION("""COMPUTED_VALUE"""),"PArCx")</f>
        <v>PArCx</v>
      </c>
      <c r="M1567" s="9" t="str">
        <f>IFERROR(__xludf.DUMMYFUNCTION("""COMPUTED_VALUE"""),"EC")</f>
        <v>EC</v>
      </c>
      <c r="N1567" s="9" t="str">
        <f>IFERROR(__xludf.DUMMYFUNCTION("""COMPUTED_VALUE"""),"LEC")</f>
        <v>LEC</v>
      </c>
      <c r="O1567" s="9" t="str">
        <f>IFERROR(__xludf.DUMMYFUNCTION("""COMPUTED_VALUE"""),"ELR")</f>
        <v>ELR</v>
      </c>
      <c r="P1567" s="9" t="str">
        <f>IFERROR(__xludf.DUMMYFUNCTION("""COMPUTED_VALUE"""),"ELRs")</f>
        <v>ELRs</v>
      </c>
      <c r="Q1567" s="9" t="str">
        <f>IFERROR(__xludf.DUMMYFUNCTION("""COMPUTED_VALUE"""),"ELR3")</f>
        <v>ELR3</v>
      </c>
      <c r="R1567" s="9" t="str">
        <f>IFERROR(__xludf.DUMMYFUNCTION("""COMPUTED_VALUE"""),"ELR3a")</f>
        <v>ELR3a</v>
      </c>
      <c r="S1567" s="42"/>
      <c r="T1567" s="42"/>
      <c r="U1567" s="42"/>
      <c r="V1567" s="42"/>
      <c r="W1567" s="42"/>
      <c r="X1567" s="42"/>
      <c r="Y1567" s="42"/>
      <c r="Z1567" s="42"/>
      <c r="AA1567" s="42"/>
      <c r="AB1567" s="42" t="str">
        <f>IFERROR(__xludf.DUMMYFUNCTION("""COMPUTED_VALUE"""),"allen institute")</f>
        <v>allen institute</v>
      </c>
      <c r="AC1567" s="42" t="str">
        <f>IFERROR(__xludf.DUMMYFUNCTION("""COMPUTED_VALUE"""),"DHBA")</f>
        <v>DHBA</v>
      </c>
      <c r="AD1567" s="42"/>
      <c r="AE1567" s="42"/>
      <c r="AF1567" s="9"/>
      <c r="AG1567" s="9"/>
      <c r="AH1567" s="42"/>
      <c r="AI1567" s="42"/>
      <c r="AJ1567" s="42"/>
      <c r="AK1567" s="42"/>
      <c r="AL1567" s="42"/>
      <c r="AM1567" s="42"/>
      <c r="AN1567" s="42"/>
      <c r="AO1567" s="63" t="str">
        <f>IFERROR(__xludf.DUMMYFUNCTION("IF(ISBLANK(A1567),,IF(ISBLANK(S1567), A1567&amp;"";"", TEXTJOIN(CHAR(10), TRUE, A1567&amp;"";"", ARRAYFORMULA(VLOOKUP(SPLIT(S1567, "";"" &amp; CHAR(10)), $A:$AO, 41, FALSE)))))"),"ELR3a;")</f>
        <v>ELR3a;</v>
      </c>
      <c r="AP1567" s="89"/>
    </row>
    <row r="1568">
      <c r="A1568" s="151" t="str">
        <f>IFERROR(__xludf.DUMMYFUNCTION("""COMPUTED_VALUE"""),"ELR3b")</f>
        <v>ELR3b</v>
      </c>
      <c r="B1568" s="42" t="str">
        <f>IFERROR(__xludf.DUMMYFUNCTION("""COMPUTED_VALUE"""),"DHBA")</f>
        <v>DHBA</v>
      </c>
      <c r="C1568" s="42" t="str">
        <f>IFERROR(__xludf.DUMMYFUNCTION("""COMPUTED_VALUE"""),"layer IIIb of laterorostral entorhinal cortex")</f>
        <v>layer IIIb of laterorostral entorhinal cortex</v>
      </c>
      <c r="D1568" s="42">
        <f>IFERROR(__xludf.DUMMYFUNCTION("""COMPUTED_VALUE"""),1477.0)</f>
        <v>1477</v>
      </c>
      <c r="E1568" s="39" t="str">
        <f>IFERROR(__xludf.DUMMYFUNCTION("""COMPUTED_VALUE"""),"layer IIIb of laterorostral entorhinal cortex")</f>
        <v>layer IIIb of laterorostral entorhinal cortex</v>
      </c>
      <c r="F1568" s="9" t="str">
        <f>IFERROR(__xludf.DUMMYFUNCTION("""COMPUTED_VALUE"""),"Br")</f>
        <v>Br</v>
      </c>
      <c r="G1568" s="9" t="str">
        <f>IFERROR(__xludf.DUMMYFUNCTION("""COMPUTED_VALUE"""),"F")</f>
        <v>F</v>
      </c>
      <c r="H1568" s="9" t="str">
        <f>IFERROR(__xludf.DUMMYFUNCTION("""COMPUTED_VALUE"""),"FGM")</f>
        <v>FGM</v>
      </c>
      <c r="I1568" s="9" t="str">
        <f>IFERROR(__xludf.DUMMYFUNCTION("""COMPUTED_VALUE"""),"Tel")</f>
        <v>Tel</v>
      </c>
      <c r="J1568" s="9" t="str">
        <f>IFERROR(__xludf.DUMMYFUNCTION("""COMPUTED_VALUE"""),"Cx")</f>
        <v>Cx</v>
      </c>
      <c r="K1568" s="9" t="str">
        <f>IFERROR(__xludf.DUMMYFUNCTION("""COMPUTED_VALUE"""),"PACx")</f>
        <v>PACx</v>
      </c>
      <c r="L1568" s="9" t="str">
        <f>IFERROR(__xludf.DUMMYFUNCTION("""COMPUTED_VALUE"""),"PArCx")</f>
        <v>PArCx</v>
      </c>
      <c r="M1568" s="9" t="str">
        <f>IFERROR(__xludf.DUMMYFUNCTION("""COMPUTED_VALUE"""),"EC")</f>
        <v>EC</v>
      </c>
      <c r="N1568" s="9" t="str">
        <f>IFERROR(__xludf.DUMMYFUNCTION("""COMPUTED_VALUE"""),"LEC")</f>
        <v>LEC</v>
      </c>
      <c r="O1568" s="9" t="str">
        <f>IFERROR(__xludf.DUMMYFUNCTION("""COMPUTED_VALUE"""),"ELR")</f>
        <v>ELR</v>
      </c>
      <c r="P1568" s="9" t="str">
        <f>IFERROR(__xludf.DUMMYFUNCTION("""COMPUTED_VALUE"""),"ELRs")</f>
        <v>ELRs</v>
      </c>
      <c r="Q1568" s="9" t="str">
        <f>IFERROR(__xludf.DUMMYFUNCTION("""COMPUTED_VALUE"""),"ELR3")</f>
        <v>ELR3</v>
      </c>
      <c r="R1568" s="9" t="str">
        <f>IFERROR(__xludf.DUMMYFUNCTION("""COMPUTED_VALUE"""),"ELR3b")</f>
        <v>ELR3b</v>
      </c>
      <c r="S1568" s="42"/>
      <c r="T1568" s="42"/>
      <c r="U1568" s="42"/>
      <c r="V1568" s="42"/>
      <c r="W1568" s="42"/>
      <c r="X1568" s="42"/>
      <c r="Y1568" s="42"/>
      <c r="Z1568" s="42"/>
      <c r="AA1568" s="42"/>
      <c r="AB1568" s="42" t="str">
        <f>IFERROR(__xludf.DUMMYFUNCTION("""COMPUTED_VALUE"""),"allen institute")</f>
        <v>allen institute</v>
      </c>
      <c r="AC1568" s="42" t="str">
        <f>IFERROR(__xludf.DUMMYFUNCTION("""COMPUTED_VALUE"""),"DHBA")</f>
        <v>DHBA</v>
      </c>
      <c r="AD1568" s="42"/>
      <c r="AE1568" s="42"/>
      <c r="AF1568" s="9"/>
      <c r="AG1568" s="9"/>
      <c r="AH1568" s="42"/>
      <c r="AI1568" s="42"/>
      <c r="AJ1568" s="42"/>
      <c r="AK1568" s="42"/>
      <c r="AL1568" s="42"/>
      <c r="AM1568" s="42"/>
      <c r="AN1568" s="42"/>
      <c r="AO1568" s="63" t="str">
        <f>IFERROR(__xludf.DUMMYFUNCTION("IF(ISBLANK(A1568),,IF(ISBLANK(S1568), A1568&amp;"";"", TEXTJOIN(CHAR(10), TRUE, A1568&amp;"";"", ARRAYFORMULA(VLOOKUP(SPLIT(S1568, "";"" &amp; CHAR(10)), $A:$AO, 41, FALSE)))))"),"ELR3b;")</f>
        <v>ELR3b;</v>
      </c>
      <c r="AP1568" s="89"/>
    </row>
    <row r="1569">
      <c r="A1569" s="151" t="str">
        <f>IFERROR(__xludf.DUMMYFUNCTION("""COMPUTED_VALUE"""),"ELRld")</f>
        <v>ELRld</v>
      </c>
      <c r="B1569" s="42" t="str">
        <f>IFERROR(__xludf.DUMMYFUNCTION("""COMPUTED_VALUE"""),"DHBA")</f>
        <v>DHBA</v>
      </c>
      <c r="C1569" s="42" t="str">
        <f>IFERROR(__xludf.DUMMYFUNCTION("""COMPUTED_VALUE"""),"lamina dissecans of laterorostral entorhinal cortex")</f>
        <v>lamina dissecans of laterorostral entorhinal cortex</v>
      </c>
      <c r="D1569" s="42">
        <f>IFERROR(__xludf.DUMMYFUNCTION("""COMPUTED_VALUE"""),1478.0)</f>
        <v>1478</v>
      </c>
      <c r="E1569" s="39" t="str">
        <f>IFERROR(__xludf.DUMMYFUNCTION("""COMPUTED_VALUE"""),"lamina dissecans of laterorostral entorhinal cortex")</f>
        <v>lamina dissecans of laterorostral entorhinal cortex</v>
      </c>
      <c r="F1569" s="9" t="str">
        <f>IFERROR(__xludf.DUMMYFUNCTION("""COMPUTED_VALUE"""),"Br")</f>
        <v>Br</v>
      </c>
      <c r="G1569" s="9" t="str">
        <f>IFERROR(__xludf.DUMMYFUNCTION("""COMPUTED_VALUE"""),"F")</f>
        <v>F</v>
      </c>
      <c r="H1569" s="9" t="str">
        <f>IFERROR(__xludf.DUMMYFUNCTION("""COMPUTED_VALUE"""),"FGM")</f>
        <v>FGM</v>
      </c>
      <c r="I1569" s="9" t="str">
        <f>IFERROR(__xludf.DUMMYFUNCTION("""COMPUTED_VALUE"""),"Tel")</f>
        <v>Tel</v>
      </c>
      <c r="J1569" s="9" t="str">
        <f>IFERROR(__xludf.DUMMYFUNCTION("""COMPUTED_VALUE"""),"Cx")</f>
        <v>Cx</v>
      </c>
      <c r="K1569" s="9" t="str">
        <f>IFERROR(__xludf.DUMMYFUNCTION("""COMPUTED_VALUE"""),"PACx")</f>
        <v>PACx</v>
      </c>
      <c r="L1569" s="9" t="str">
        <f>IFERROR(__xludf.DUMMYFUNCTION("""COMPUTED_VALUE"""),"PArCx")</f>
        <v>PArCx</v>
      </c>
      <c r="M1569" s="9" t="str">
        <f>IFERROR(__xludf.DUMMYFUNCTION("""COMPUTED_VALUE"""),"EC")</f>
        <v>EC</v>
      </c>
      <c r="N1569" s="9" t="str">
        <f>IFERROR(__xludf.DUMMYFUNCTION("""COMPUTED_VALUE"""),"LEC")</f>
        <v>LEC</v>
      </c>
      <c r="O1569" s="9" t="str">
        <f>IFERROR(__xludf.DUMMYFUNCTION("""COMPUTED_VALUE"""),"ELR")</f>
        <v>ELR</v>
      </c>
      <c r="P1569" s="9" t="str">
        <f>IFERROR(__xludf.DUMMYFUNCTION("""COMPUTED_VALUE"""),"ELRld")</f>
        <v>ELRld</v>
      </c>
      <c r="Q1569" s="9"/>
      <c r="R1569" s="9"/>
      <c r="S1569" s="42"/>
      <c r="T1569" s="42"/>
      <c r="U1569" s="42"/>
      <c r="V1569" s="42"/>
      <c r="W1569" s="42"/>
      <c r="X1569" s="42"/>
      <c r="Y1569" s="42"/>
      <c r="Z1569" s="42"/>
      <c r="AA1569" s="42"/>
      <c r="AB1569" s="42" t="str">
        <f>IFERROR(__xludf.DUMMYFUNCTION("""COMPUTED_VALUE"""),"allen institute")</f>
        <v>allen institute</v>
      </c>
      <c r="AC1569" s="42" t="str">
        <f>IFERROR(__xludf.DUMMYFUNCTION("""COMPUTED_VALUE"""),"DHBA")</f>
        <v>DHBA</v>
      </c>
      <c r="AD1569" s="42"/>
      <c r="AE1569" s="42"/>
      <c r="AF1569" s="9"/>
      <c r="AG1569" s="9"/>
      <c r="AH1569" s="42"/>
      <c r="AI1569" s="42"/>
      <c r="AJ1569" s="42"/>
      <c r="AK1569" s="42"/>
      <c r="AL1569" s="42"/>
      <c r="AM1569" s="42"/>
      <c r="AN1569" s="42"/>
      <c r="AO1569" s="63" t="str">
        <f>IFERROR(__xludf.DUMMYFUNCTION("IF(ISBLANK(A1569),,IF(ISBLANK(S1569), A1569&amp;"";"", TEXTJOIN(CHAR(10), TRUE, A1569&amp;"";"", ARRAYFORMULA(VLOOKUP(SPLIT(S1569, "";"" &amp; CHAR(10)), $A:$AO, 41, FALSE)))))"),"ELRld;")</f>
        <v>ELRld;</v>
      </c>
      <c r="AP1569" s="89"/>
    </row>
    <row r="1570">
      <c r="A1570" s="151" t="str">
        <f>IFERROR(__xludf.DUMMYFUNCTION("""COMPUTED_VALUE"""),"ELRd")</f>
        <v>ELRd</v>
      </c>
      <c r="B1570" s="42" t="str">
        <f>IFERROR(__xludf.DUMMYFUNCTION("""COMPUTED_VALUE"""),"DHBA")</f>
        <v>DHBA</v>
      </c>
      <c r="C1570" s="42" t="str">
        <f>IFERROR(__xludf.DUMMYFUNCTION("""COMPUTED_VALUE"""),"deep layers of laterorostral entorhinal cortex")</f>
        <v>deep layers of laterorostral entorhinal cortex</v>
      </c>
      <c r="D1570" s="42">
        <f>IFERROR(__xludf.DUMMYFUNCTION("""COMPUTED_VALUE"""),1479.0)</f>
        <v>1479</v>
      </c>
      <c r="E1570" s="39" t="str">
        <f>IFERROR(__xludf.DUMMYFUNCTION("""COMPUTED_VALUE"""),"deep layers of laterorostral entorhinal cortex")</f>
        <v>deep layers of laterorostral entorhinal cortex</v>
      </c>
      <c r="F1570" s="9" t="str">
        <f>IFERROR(__xludf.DUMMYFUNCTION("""COMPUTED_VALUE"""),"Br")</f>
        <v>Br</v>
      </c>
      <c r="G1570" s="9" t="str">
        <f>IFERROR(__xludf.DUMMYFUNCTION("""COMPUTED_VALUE"""),"F")</f>
        <v>F</v>
      </c>
      <c r="H1570" s="9" t="str">
        <f>IFERROR(__xludf.DUMMYFUNCTION("""COMPUTED_VALUE"""),"FGM")</f>
        <v>FGM</v>
      </c>
      <c r="I1570" s="9" t="str">
        <f>IFERROR(__xludf.DUMMYFUNCTION("""COMPUTED_VALUE"""),"Tel")</f>
        <v>Tel</v>
      </c>
      <c r="J1570" s="9" t="str">
        <f>IFERROR(__xludf.DUMMYFUNCTION("""COMPUTED_VALUE"""),"Cx")</f>
        <v>Cx</v>
      </c>
      <c r="K1570" s="9" t="str">
        <f>IFERROR(__xludf.DUMMYFUNCTION("""COMPUTED_VALUE"""),"PACx")</f>
        <v>PACx</v>
      </c>
      <c r="L1570" s="9" t="str">
        <f>IFERROR(__xludf.DUMMYFUNCTION("""COMPUTED_VALUE"""),"PArCx")</f>
        <v>PArCx</v>
      </c>
      <c r="M1570" s="9" t="str">
        <f>IFERROR(__xludf.DUMMYFUNCTION("""COMPUTED_VALUE"""),"EC")</f>
        <v>EC</v>
      </c>
      <c r="N1570" s="9" t="str">
        <f>IFERROR(__xludf.DUMMYFUNCTION("""COMPUTED_VALUE"""),"LEC")</f>
        <v>LEC</v>
      </c>
      <c r="O1570" s="9" t="str">
        <f>IFERROR(__xludf.DUMMYFUNCTION("""COMPUTED_VALUE"""),"ELR")</f>
        <v>ELR</v>
      </c>
      <c r="P1570" s="9" t="str">
        <f>IFERROR(__xludf.DUMMYFUNCTION("""COMPUTED_VALUE"""),"ELRd")</f>
        <v>ELRd</v>
      </c>
      <c r="Q1570" s="9"/>
      <c r="R1570" s="9"/>
      <c r="S1570" s="42" t="str">
        <f>IFERROR(__xludf.DUMMYFUNCTION("""COMPUTED_VALUE"""),"ELR5;
ELR6")</f>
        <v>ELR5;
ELR6</v>
      </c>
      <c r="T1570" s="42"/>
      <c r="U1570" s="42" t="b">
        <f>IFERROR(__xludf.DUMMYFUNCTION("""COMPUTED_VALUE"""),FALSE)</f>
        <v>0</v>
      </c>
      <c r="V1570" s="42"/>
      <c r="W1570" s="42"/>
      <c r="X1570" s="42"/>
      <c r="Y1570" s="42"/>
      <c r="Z1570" s="42"/>
      <c r="AA1570" s="42"/>
      <c r="AB1570" s="42" t="str">
        <f>IFERROR(__xludf.DUMMYFUNCTION("""COMPUTED_VALUE"""),"allen institute")</f>
        <v>allen institute</v>
      </c>
      <c r="AC1570" s="42" t="str">
        <f>IFERROR(__xludf.DUMMYFUNCTION("""COMPUTED_VALUE"""),"DHBA")</f>
        <v>DHBA</v>
      </c>
      <c r="AD1570" s="42"/>
      <c r="AE1570" s="42"/>
      <c r="AF1570" s="9"/>
      <c r="AG1570" s="9"/>
      <c r="AH1570" s="42"/>
      <c r="AI1570" s="42"/>
      <c r="AJ1570" s="42"/>
      <c r="AK1570" s="42"/>
      <c r="AL1570" s="42"/>
      <c r="AM1570" s="42"/>
      <c r="AN1570" s="42"/>
      <c r="AO1570" s="63" t="str">
        <f>IFERROR(__xludf.DUMMYFUNCTION("IF(ISBLANK(A1570),,IF(ISBLANK(S1570), A1570&amp;"";"", TEXTJOIN(CHAR(10), TRUE, A1570&amp;"";"", ARRAYFORMULA(VLOOKUP(SPLIT(S1570, "";"" &amp; CHAR(10)), $A:$AO, 41, FALSE)))))"),"ELRd;
ELR5;
ELR6;")</f>
        <v>ELRd;
ELR5;
ELR6;</v>
      </c>
      <c r="AP1570" s="89"/>
    </row>
    <row r="1571">
      <c r="A1571" s="151" t="str">
        <f>IFERROR(__xludf.DUMMYFUNCTION("""COMPUTED_VALUE"""),"ELR5")</f>
        <v>ELR5</v>
      </c>
      <c r="B1571" s="42" t="str">
        <f>IFERROR(__xludf.DUMMYFUNCTION("""COMPUTED_VALUE"""),"DHBA")</f>
        <v>DHBA</v>
      </c>
      <c r="C1571" s="42" t="str">
        <f>IFERROR(__xludf.DUMMYFUNCTION("""COMPUTED_VALUE"""),"layer V of laterorostral entorhinal cortex")</f>
        <v>layer V of laterorostral entorhinal cortex</v>
      </c>
      <c r="D1571" s="42">
        <f>IFERROR(__xludf.DUMMYFUNCTION("""COMPUTED_VALUE"""),1480.0)</f>
        <v>1480</v>
      </c>
      <c r="E1571" s="39" t="str">
        <f>IFERROR(__xludf.DUMMYFUNCTION("""COMPUTED_VALUE"""),"layer V of laterorostral entorhinal cortex")</f>
        <v>layer V of laterorostral entorhinal cortex</v>
      </c>
      <c r="F1571" s="9" t="str">
        <f>IFERROR(__xludf.DUMMYFUNCTION("""COMPUTED_VALUE"""),"Br")</f>
        <v>Br</v>
      </c>
      <c r="G1571" s="9" t="str">
        <f>IFERROR(__xludf.DUMMYFUNCTION("""COMPUTED_VALUE"""),"F")</f>
        <v>F</v>
      </c>
      <c r="H1571" s="9" t="str">
        <f>IFERROR(__xludf.DUMMYFUNCTION("""COMPUTED_VALUE"""),"FGM")</f>
        <v>FGM</v>
      </c>
      <c r="I1571" s="9" t="str">
        <f>IFERROR(__xludf.DUMMYFUNCTION("""COMPUTED_VALUE"""),"Tel")</f>
        <v>Tel</v>
      </c>
      <c r="J1571" s="9" t="str">
        <f>IFERROR(__xludf.DUMMYFUNCTION("""COMPUTED_VALUE"""),"Cx")</f>
        <v>Cx</v>
      </c>
      <c r="K1571" s="9" t="str">
        <f>IFERROR(__xludf.DUMMYFUNCTION("""COMPUTED_VALUE"""),"PACx")</f>
        <v>PACx</v>
      </c>
      <c r="L1571" s="9" t="str">
        <f>IFERROR(__xludf.DUMMYFUNCTION("""COMPUTED_VALUE"""),"PArCx")</f>
        <v>PArCx</v>
      </c>
      <c r="M1571" s="9" t="str">
        <f>IFERROR(__xludf.DUMMYFUNCTION("""COMPUTED_VALUE"""),"EC")</f>
        <v>EC</v>
      </c>
      <c r="N1571" s="9" t="str">
        <f>IFERROR(__xludf.DUMMYFUNCTION("""COMPUTED_VALUE"""),"LEC")</f>
        <v>LEC</v>
      </c>
      <c r="O1571" s="9" t="str">
        <f>IFERROR(__xludf.DUMMYFUNCTION("""COMPUTED_VALUE"""),"ELR")</f>
        <v>ELR</v>
      </c>
      <c r="P1571" s="9" t="str">
        <f>IFERROR(__xludf.DUMMYFUNCTION("""COMPUTED_VALUE"""),"ELRd")</f>
        <v>ELRd</v>
      </c>
      <c r="Q1571" s="9" t="str">
        <f>IFERROR(__xludf.DUMMYFUNCTION("""COMPUTED_VALUE"""),"ELR5")</f>
        <v>ELR5</v>
      </c>
      <c r="R1571" s="9"/>
      <c r="S1571" s="42"/>
      <c r="T1571" s="42"/>
      <c r="U1571" s="42"/>
      <c r="V1571" s="42"/>
      <c r="W1571" s="42"/>
      <c r="X1571" s="42"/>
      <c r="Y1571" s="42"/>
      <c r="Z1571" s="42"/>
      <c r="AA1571" s="42"/>
      <c r="AB1571" s="42" t="str">
        <f>IFERROR(__xludf.DUMMYFUNCTION("""COMPUTED_VALUE"""),"allen institute")</f>
        <v>allen institute</v>
      </c>
      <c r="AC1571" s="42" t="str">
        <f>IFERROR(__xludf.DUMMYFUNCTION("""COMPUTED_VALUE"""),"DHBA")</f>
        <v>DHBA</v>
      </c>
      <c r="AD1571" s="42"/>
      <c r="AE1571" s="42"/>
      <c r="AF1571" s="9"/>
      <c r="AG1571" s="9"/>
      <c r="AH1571" s="42"/>
      <c r="AI1571" s="42"/>
      <c r="AJ1571" s="42"/>
      <c r="AK1571" s="42"/>
      <c r="AL1571" s="42"/>
      <c r="AM1571" s="42"/>
      <c r="AN1571" s="42"/>
      <c r="AO1571" s="63" t="str">
        <f>IFERROR(__xludf.DUMMYFUNCTION("IF(ISBLANK(A1571),,IF(ISBLANK(S1571), A1571&amp;"";"", TEXTJOIN(CHAR(10), TRUE, A1571&amp;"";"", ARRAYFORMULA(VLOOKUP(SPLIT(S1571, "";"" &amp; CHAR(10)), $A:$AO, 41, FALSE)))))"),"ELR5;")</f>
        <v>ELR5;</v>
      </c>
      <c r="AP1571" s="89"/>
    </row>
    <row r="1572">
      <c r="A1572" s="151" t="str">
        <f>IFERROR(__xludf.DUMMYFUNCTION("""COMPUTED_VALUE"""),"ELR6")</f>
        <v>ELR6</v>
      </c>
      <c r="B1572" s="42" t="str">
        <f>IFERROR(__xludf.DUMMYFUNCTION("""COMPUTED_VALUE"""),"DHBA")</f>
        <v>DHBA</v>
      </c>
      <c r="C1572" s="42" t="str">
        <f>IFERROR(__xludf.DUMMYFUNCTION("""COMPUTED_VALUE"""),"layer VI of laterorostral entorhinal cortex")</f>
        <v>layer VI of laterorostral entorhinal cortex</v>
      </c>
      <c r="D1572" s="42">
        <f>IFERROR(__xludf.DUMMYFUNCTION("""COMPUTED_VALUE"""),1481.0)</f>
        <v>1481</v>
      </c>
      <c r="E1572" s="39" t="str">
        <f>IFERROR(__xludf.DUMMYFUNCTION("""COMPUTED_VALUE"""),"layer VI of laterorostral entorhinal cortex")</f>
        <v>layer VI of laterorostral entorhinal cortex</v>
      </c>
      <c r="F1572" s="9" t="str">
        <f>IFERROR(__xludf.DUMMYFUNCTION("""COMPUTED_VALUE"""),"Br")</f>
        <v>Br</v>
      </c>
      <c r="G1572" s="9" t="str">
        <f>IFERROR(__xludf.DUMMYFUNCTION("""COMPUTED_VALUE"""),"F")</f>
        <v>F</v>
      </c>
      <c r="H1572" s="9" t="str">
        <f>IFERROR(__xludf.DUMMYFUNCTION("""COMPUTED_VALUE"""),"FGM")</f>
        <v>FGM</v>
      </c>
      <c r="I1572" s="9" t="str">
        <f>IFERROR(__xludf.DUMMYFUNCTION("""COMPUTED_VALUE"""),"Tel")</f>
        <v>Tel</v>
      </c>
      <c r="J1572" s="9" t="str">
        <f>IFERROR(__xludf.DUMMYFUNCTION("""COMPUTED_VALUE"""),"Cx")</f>
        <v>Cx</v>
      </c>
      <c r="K1572" s="9" t="str">
        <f>IFERROR(__xludf.DUMMYFUNCTION("""COMPUTED_VALUE"""),"PACx")</f>
        <v>PACx</v>
      </c>
      <c r="L1572" s="9" t="str">
        <f>IFERROR(__xludf.DUMMYFUNCTION("""COMPUTED_VALUE"""),"PArCx")</f>
        <v>PArCx</v>
      </c>
      <c r="M1572" s="9" t="str">
        <f>IFERROR(__xludf.DUMMYFUNCTION("""COMPUTED_VALUE"""),"EC")</f>
        <v>EC</v>
      </c>
      <c r="N1572" s="9" t="str">
        <f>IFERROR(__xludf.DUMMYFUNCTION("""COMPUTED_VALUE"""),"LEC")</f>
        <v>LEC</v>
      </c>
      <c r="O1572" s="9" t="str">
        <f>IFERROR(__xludf.DUMMYFUNCTION("""COMPUTED_VALUE"""),"ELR")</f>
        <v>ELR</v>
      </c>
      <c r="P1572" s="9" t="str">
        <f>IFERROR(__xludf.DUMMYFUNCTION("""COMPUTED_VALUE"""),"ELRd")</f>
        <v>ELRd</v>
      </c>
      <c r="Q1572" s="9" t="str">
        <f>IFERROR(__xludf.DUMMYFUNCTION("""COMPUTED_VALUE"""),"ELR6")</f>
        <v>ELR6</v>
      </c>
      <c r="R1572" s="9"/>
      <c r="S1572" s="42"/>
      <c r="T1572" s="42"/>
      <c r="U1572" s="42"/>
      <c r="V1572" s="42"/>
      <c r="W1572" s="42"/>
      <c r="X1572" s="42"/>
      <c r="Y1572" s="42"/>
      <c r="Z1572" s="42"/>
      <c r="AA1572" s="42"/>
      <c r="AB1572" s="42" t="str">
        <f>IFERROR(__xludf.DUMMYFUNCTION("""COMPUTED_VALUE"""),"allen institute")</f>
        <v>allen institute</v>
      </c>
      <c r="AC1572" s="42" t="str">
        <f>IFERROR(__xludf.DUMMYFUNCTION("""COMPUTED_VALUE"""),"DHBA")</f>
        <v>DHBA</v>
      </c>
      <c r="AD1572" s="42"/>
      <c r="AE1572" s="42"/>
      <c r="AF1572" s="9"/>
      <c r="AG1572" s="9"/>
      <c r="AH1572" s="42"/>
      <c r="AI1572" s="42"/>
      <c r="AJ1572" s="42"/>
      <c r="AK1572" s="42"/>
      <c r="AL1572" s="42"/>
      <c r="AM1572" s="42"/>
      <c r="AN1572" s="42"/>
      <c r="AO1572" s="63" t="str">
        <f>IFERROR(__xludf.DUMMYFUNCTION("IF(ISBLANK(A1572),,IF(ISBLANK(S1572), A1572&amp;"";"", TEXTJOIN(CHAR(10), TRUE, A1572&amp;"";"", ARRAYFORMULA(VLOOKUP(SPLIT(S1572, "";"" &amp; CHAR(10)), $A:$AO, 41, FALSE)))))"),"ELR6;")</f>
        <v>ELR6;</v>
      </c>
      <c r="AP1572" s="89"/>
    </row>
    <row r="1573">
      <c r="A1573" s="151" t="str">
        <f>IFERROR(__xludf.DUMMYFUNCTION("""COMPUTED_VALUE"""),"EMI")</f>
        <v>EMI</v>
      </c>
      <c r="B1573" s="42" t="str">
        <f>IFERROR(__xludf.DUMMYFUNCTION("""COMPUTED_VALUE"""),"DHBA")</f>
        <v>DHBA</v>
      </c>
      <c r="C1573" s="42" t="str">
        <f>IFERROR(__xludf.DUMMYFUNCTION("""COMPUTED_VALUE"""),"medial intermediate part of entorhinal cortex")</f>
        <v>medial intermediate part of entorhinal cortex</v>
      </c>
      <c r="D1573" s="42">
        <f>IFERROR(__xludf.DUMMYFUNCTION("""COMPUTED_VALUE"""),1482.0)</f>
        <v>1482</v>
      </c>
      <c r="E1573" s="39" t="str">
        <f>IFERROR(__xludf.DUMMYFUNCTION("""COMPUTED_VALUE"""),"medial intermediate part of entorhinal cortex")</f>
        <v>medial intermediate part of entorhinal cortex</v>
      </c>
      <c r="F1573" s="9" t="str">
        <f>IFERROR(__xludf.DUMMYFUNCTION("""COMPUTED_VALUE"""),"Br")</f>
        <v>Br</v>
      </c>
      <c r="G1573" s="9" t="str">
        <f>IFERROR(__xludf.DUMMYFUNCTION("""COMPUTED_VALUE"""),"F")</f>
        <v>F</v>
      </c>
      <c r="H1573" s="9" t="str">
        <f>IFERROR(__xludf.DUMMYFUNCTION("""COMPUTED_VALUE"""),"FGM")</f>
        <v>FGM</v>
      </c>
      <c r="I1573" s="9" t="str">
        <f>IFERROR(__xludf.DUMMYFUNCTION("""COMPUTED_VALUE"""),"Tel")</f>
        <v>Tel</v>
      </c>
      <c r="J1573" s="9" t="str">
        <f>IFERROR(__xludf.DUMMYFUNCTION("""COMPUTED_VALUE"""),"Cx")</f>
        <v>Cx</v>
      </c>
      <c r="K1573" s="9" t="str">
        <f>IFERROR(__xludf.DUMMYFUNCTION("""COMPUTED_VALUE"""),"PACx")</f>
        <v>PACx</v>
      </c>
      <c r="L1573" s="9" t="str">
        <f>IFERROR(__xludf.DUMMYFUNCTION("""COMPUTED_VALUE"""),"PArCx")</f>
        <v>PArCx</v>
      </c>
      <c r="M1573" s="9" t="str">
        <f>IFERROR(__xludf.DUMMYFUNCTION("""COMPUTED_VALUE"""),"EC")</f>
        <v>EC</v>
      </c>
      <c r="N1573" s="9" t="str">
        <f>IFERROR(__xludf.DUMMYFUNCTION("""COMPUTED_VALUE"""),"LEC")</f>
        <v>LEC</v>
      </c>
      <c r="O1573" s="9" t="str">
        <f>IFERROR(__xludf.DUMMYFUNCTION("""COMPUTED_VALUE"""),"EMI")</f>
        <v>EMI</v>
      </c>
      <c r="P1573" s="9"/>
      <c r="Q1573" s="9"/>
      <c r="R1573" s="9"/>
      <c r="S1573" s="42" t="str">
        <f>IFERROR(__xludf.DUMMYFUNCTION("""COMPUTED_VALUE"""),"EMI1;
EMIs;
EMIld;
EMId")</f>
        <v>EMI1;
EMIs;
EMIld;
EMId</v>
      </c>
      <c r="T1573" s="42"/>
      <c r="U1573" s="42" t="b">
        <f>IFERROR(__xludf.DUMMYFUNCTION("""COMPUTED_VALUE"""),FALSE)</f>
        <v>0</v>
      </c>
      <c r="V1573" s="42"/>
      <c r="W1573" s="42"/>
      <c r="X1573" s="42"/>
      <c r="Y1573" s="42"/>
      <c r="Z1573" s="42"/>
      <c r="AA1573" s="42"/>
      <c r="AB1573" s="42" t="str">
        <f>IFERROR(__xludf.DUMMYFUNCTION("""COMPUTED_VALUE"""),"allen institute")</f>
        <v>allen institute</v>
      </c>
      <c r="AC1573" s="42" t="str">
        <f>IFERROR(__xludf.DUMMYFUNCTION("""COMPUTED_VALUE"""),"DHBA")</f>
        <v>DHBA</v>
      </c>
      <c r="AD1573" s="42"/>
      <c r="AE1573" s="42"/>
      <c r="AF1573" s="9"/>
      <c r="AG1573" s="9"/>
      <c r="AH1573" s="42"/>
      <c r="AI1573" s="42"/>
      <c r="AJ1573" s="42"/>
      <c r="AK1573" s="42"/>
      <c r="AL1573" s="42"/>
      <c r="AM1573" s="42"/>
      <c r="AN1573" s="42"/>
      <c r="AO1573" s="63" t="str">
        <f>IFERROR(__xludf.DUMMYFUNCTION("IF(ISBLANK(A1573),,IF(ISBLANK(S1573), A1573&amp;"";"", TEXTJOIN(CHAR(10), TRUE, A1573&amp;"";"", ARRAYFORMULA(VLOOKUP(SPLIT(S1573, "";"" &amp; CHAR(10)), $A:$AO, 41, FALSE)))))"),"EMI;
EMI1;
EMIs;
EMI2;
EMI3;
EMI3a;
EMI3b;
EMIld;
EMId;
EMI5;
EMI6;")</f>
        <v>EMI;
EMI1;
EMIs;
EMI2;
EMI3;
EMI3a;
EMI3b;
EMIld;
EMId;
EMI5;
EMI6;</v>
      </c>
      <c r="AP1573" s="89"/>
    </row>
    <row r="1574">
      <c r="A1574" s="151" t="str">
        <f>IFERROR(__xludf.DUMMYFUNCTION("""COMPUTED_VALUE"""),"EMI1")</f>
        <v>EMI1</v>
      </c>
      <c r="B1574" s="42" t="str">
        <f>IFERROR(__xludf.DUMMYFUNCTION("""COMPUTED_VALUE"""),"DHBA")</f>
        <v>DHBA</v>
      </c>
      <c r="C1574" s="42" t="str">
        <f>IFERROR(__xludf.DUMMYFUNCTION("""COMPUTED_VALUE"""),"layer I of medial intermediate entorhinal cortex")</f>
        <v>layer I of medial intermediate entorhinal cortex</v>
      </c>
      <c r="D1574" s="42">
        <f>IFERROR(__xludf.DUMMYFUNCTION("""COMPUTED_VALUE"""),1483.0)</f>
        <v>1483</v>
      </c>
      <c r="E1574" s="39" t="str">
        <f>IFERROR(__xludf.DUMMYFUNCTION("""COMPUTED_VALUE"""),"layer I of medial intermediate entorhinal cortex")</f>
        <v>layer I of medial intermediate entorhinal cortex</v>
      </c>
      <c r="F1574" s="9" t="str">
        <f>IFERROR(__xludf.DUMMYFUNCTION("""COMPUTED_VALUE"""),"Br")</f>
        <v>Br</v>
      </c>
      <c r="G1574" s="9" t="str">
        <f>IFERROR(__xludf.DUMMYFUNCTION("""COMPUTED_VALUE"""),"F")</f>
        <v>F</v>
      </c>
      <c r="H1574" s="9" t="str">
        <f>IFERROR(__xludf.DUMMYFUNCTION("""COMPUTED_VALUE"""),"FGM")</f>
        <v>FGM</v>
      </c>
      <c r="I1574" s="9" t="str">
        <f>IFERROR(__xludf.DUMMYFUNCTION("""COMPUTED_VALUE"""),"Tel")</f>
        <v>Tel</v>
      </c>
      <c r="J1574" s="9" t="str">
        <f>IFERROR(__xludf.DUMMYFUNCTION("""COMPUTED_VALUE"""),"Cx")</f>
        <v>Cx</v>
      </c>
      <c r="K1574" s="9" t="str">
        <f>IFERROR(__xludf.DUMMYFUNCTION("""COMPUTED_VALUE"""),"PACx")</f>
        <v>PACx</v>
      </c>
      <c r="L1574" s="9" t="str">
        <f>IFERROR(__xludf.DUMMYFUNCTION("""COMPUTED_VALUE"""),"PArCx")</f>
        <v>PArCx</v>
      </c>
      <c r="M1574" s="9" t="str">
        <f>IFERROR(__xludf.DUMMYFUNCTION("""COMPUTED_VALUE"""),"EC")</f>
        <v>EC</v>
      </c>
      <c r="N1574" s="9" t="str">
        <f>IFERROR(__xludf.DUMMYFUNCTION("""COMPUTED_VALUE"""),"LEC")</f>
        <v>LEC</v>
      </c>
      <c r="O1574" s="9" t="str">
        <f>IFERROR(__xludf.DUMMYFUNCTION("""COMPUTED_VALUE"""),"EMI")</f>
        <v>EMI</v>
      </c>
      <c r="P1574" s="9" t="str">
        <f>IFERROR(__xludf.DUMMYFUNCTION("""COMPUTED_VALUE"""),"EMI1")</f>
        <v>EMI1</v>
      </c>
      <c r="Q1574" s="9"/>
      <c r="R1574" s="9"/>
      <c r="S1574" s="42"/>
      <c r="T1574" s="42"/>
      <c r="U1574" s="42"/>
      <c r="V1574" s="42"/>
      <c r="W1574" s="42"/>
      <c r="X1574" s="42"/>
      <c r="Y1574" s="42"/>
      <c r="Z1574" s="42"/>
      <c r="AA1574" s="42"/>
      <c r="AB1574" s="42" t="str">
        <f>IFERROR(__xludf.DUMMYFUNCTION("""COMPUTED_VALUE"""),"allen institute")</f>
        <v>allen institute</v>
      </c>
      <c r="AC1574" s="42" t="str">
        <f>IFERROR(__xludf.DUMMYFUNCTION("""COMPUTED_VALUE"""),"DHBA")</f>
        <v>DHBA</v>
      </c>
      <c r="AD1574" s="42"/>
      <c r="AE1574" s="42"/>
      <c r="AF1574" s="9"/>
      <c r="AG1574" s="9"/>
      <c r="AH1574" s="42"/>
      <c r="AI1574" s="42"/>
      <c r="AJ1574" s="42"/>
      <c r="AK1574" s="42"/>
      <c r="AL1574" s="42"/>
      <c r="AM1574" s="42"/>
      <c r="AN1574" s="42"/>
      <c r="AO1574" s="63" t="str">
        <f>IFERROR(__xludf.DUMMYFUNCTION("IF(ISBLANK(A1574),,IF(ISBLANK(S1574), A1574&amp;"";"", TEXTJOIN(CHAR(10), TRUE, A1574&amp;"";"", ARRAYFORMULA(VLOOKUP(SPLIT(S1574, "";"" &amp; CHAR(10)), $A:$AO, 41, FALSE)))))"),"EMI1;")</f>
        <v>EMI1;</v>
      </c>
      <c r="AP1574" s="89"/>
    </row>
    <row r="1575">
      <c r="A1575" s="151" t="str">
        <f>IFERROR(__xludf.DUMMYFUNCTION("""COMPUTED_VALUE"""),"EMIs")</f>
        <v>EMIs</v>
      </c>
      <c r="B1575" s="42" t="str">
        <f>IFERROR(__xludf.DUMMYFUNCTION("""COMPUTED_VALUE"""),"DHBA")</f>
        <v>DHBA</v>
      </c>
      <c r="C1575" s="42" t="str">
        <f>IFERROR(__xludf.DUMMYFUNCTION("""COMPUTED_VALUE"""),"superficial layers of medial intermediate entorhinal cortex")</f>
        <v>superficial layers of medial intermediate entorhinal cortex</v>
      </c>
      <c r="D1575" s="42">
        <f>IFERROR(__xludf.DUMMYFUNCTION("""COMPUTED_VALUE"""),1484.0)</f>
        <v>1484</v>
      </c>
      <c r="E1575" s="39" t="str">
        <f>IFERROR(__xludf.DUMMYFUNCTION("""COMPUTED_VALUE"""),"superficial layers of medial intermediate entorhinal cortex")</f>
        <v>superficial layers of medial intermediate entorhinal cortex</v>
      </c>
      <c r="F1575" s="9" t="str">
        <f>IFERROR(__xludf.DUMMYFUNCTION("""COMPUTED_VALUE"""),"Br")</f>
        <v>Br</v>
      </c>
      <c r="G1575" s="9" t="str">
        <f>IFERROR(__xludf.DUMMYFUNCTION("""COMPUTED_VALUE"""),"F")</f>
        <v>F</v>
      </c>
      <c r="H1575" s="9" t="str">
        <f>IFERROR(__xludf.DUMMYFUNCTION("""COMPUTED_VALUE"""),"FGM")</f>
        <v>FGM</v>
      </c>
      <c r="I1575" s="9" t="str">
        <f>IFERROR(__xludf.DUMMYFUNCTION("""COMPUTED_VALUE"""),"Tel")</f>
        <v>Tel</v>
      </c>
      <c r="J1575" s="9" t="str">
        <f>IFERROR(__xludf.DUMMYFUNCTION("""COMPUTED_VALUE"""),"Cx")</f>
        <v>Cx</v>
      </c>
      <c r="K1575" s="9" t="str">
        <f>IFERROR(__xludf.DUMMYFUNCTION("""COMPUTED_VALUE"""),"PACx")</f>
        <v>PACx</v>
      </c>
      <c r="L1575" s="9" t="str">
        <f>IFERROR(__xludf.DUMMYFUNCTION("""COMPUTED_VALUE"""),"PArCx")</f>
        <v>PArCx</v>
      </c>
      <c r="M1575" s="9" t="str">
        <f>IFERROR(__xludf.DUMMYFUNCTION("""COMPUTED_VALUE"""),"EC")</f>
        <v>EC</v>
      </c>
      <c r="N1575" s="9" t="str">
        <f>IFERROR(__xludf.DUMMYFUNCTION("""COMPUTED_VALUE"""),"LEC")</f>
        <v>LEC</v>
      </c>
      <c r="O1575" s="9" t="str">
        <f>IFERROR(__xludf.DUMMYFUNCTION("""COMPUTED_VALUE"""),"EMI")</f>
        <v>EMI</v>
      </c>
      <c r="P1575" s="9" t="str">
        <f>IFERROR(__xludf.DUMMYFUNCTION("""COMPUTED_VALUE"""),"EMIs")</f>
        <v>EMIs</v>
      </c>
      <c r="Q1575" s="9"/>
      <c r="R1575" s="9"/>
      <c r="S1575" s="42" t="str">
        <f>IFERROR(__xludf.DUMMYFUNCTION("""COMPUTED_VALUE"""),"EMI2;
EMI3")</f>
        <v>EMI2;
EMI3</v>
      </c>
      <c r="T1575" s="42"/>
      <c r="U1575" s="42" t="b">
        <f>IFERROR(__xludf.DUMMYFUNCTION("""COMPUTED_VALUE"""),FALSE)</f>
        <v>0</v>
      </c>
      <c r="V1575" s="42"/>
      <c r="W1575" s="42"/>
      <c r="X1575" s="42"/>
      <c r="Y1575" s="42"/>
      <c r="Z1575" s="42"/>
      <c r="AA1575" s="42"/>
      <c r="AB1575" s="42" t="str">
        <f>IFERROR(__xludf.DUMMYFUNCTION("""COMPUTED_VALUE"""),"allen institute")</f>
        <v>allen institute</v>
      </c>
      <c r="AC1575" s="42" t="str">
        <f>IFERROR(__xludf.DUMMYFUNCTION("""COMPUTED_VALUE"""),"DHBA")</f>
        <v>DHBA</v>
      </c>
      <c r="AD1575" s="42"/>
      <c r="AE1575" s="42"/>
      <c r="AF1575" s="9"/>
      <c r="AG1575" s="9"/>
      <c r="AH1575" s="42"/>
      <c r="AI1575" s="42"/>
      <c r="AJ1575" s="42"/>
      <c r="AK1575" s="42"/>
      <c r="AL1575" s="42"/>
      <c r="AM1575" s="42"/>
      <c r="AN1575" s="42"/>
      <c r="AO1575" s="63" t="str">
        <f>IFERROR(__xludf.DUMMYFUNCTION("IF(ISBLANK(A1575),,IF(ISBLANK(S1575), A1575&amp;"";"", TEXTJOIN(CHAR(10), TRUE, A1575&amp;"";"", ARRAYFORMULA(VLOOKUP(SPLIT(S1575, "";"" &amp; CHAR(10)), $A:$AO, 41, FALSE)))))"),"EMIs;
EMI2;
EMI3;
EMI3a;
EMI3b;")</f>
        <v>EMIs;
EMI2;
EMI3;
EMI3a;
EMI3b;</v>
      </c>
      <c r="AP1575" s="89"/>
    </row>
    <row r="1576">
      <c r="A1576" s="151" t="str">
        <f>IFERROR(__xludf.DUMMYFUNCTION("""COMPUTED_VALUE"""),"EMI2")</f>
        <v>EMI2</v>
      </c>
      <c r="B1576" s="42" t="str">
        <f>IFERROR(__xludf.DUMMYFUNCTION("""COMPUTED_VALUE"""),"DHBA")</f>
        <v>DHBA</v>
      </c>
      <c r="C1576" s="42" t="str">
        <f>IFERROR(__xludf.DUMMYFUNCTION("""COMPUTED_VALUE"""),"layer II of medial intermediate entorhinal cortex")</f>
        <v>layer II of medial intermediate entorhinal cortex</v>
      </c>
      <c r="D1576" s="42">
        <f>IFERROR(__xludf.DUMMYFUNCTION("""COMPUTED_VALUE"""),1485.0)</f>
        <v>1485</v>
      </c>
      <c r="E1576" s="39" t="str">
        <f>IFERROR(__xludf.DUMMYFUNCTION("""COMPUTED_VALUE"""),"layer II of medial intermediate entorhinal cortex")</f>
        <v>layer II of medial intermediate entorhinal cortex</v>
      </c>
      <c r="F1576" s="9" t="str">
        <f>IFERROR(__xludf.DUMMYFUNCTION("""COMPUTED_VALUE"""),"Br")</f>
        <v>Br</v>
      </c>
      <c r="G1576" s="9" t="str">
        <f>IFERROR(__xludf.DUMMYFUNCTION("""COMPUTED_VALUE"""),"F")</f>
        <v>F</v>
      </c>
      <c r="H1576" s="9" t="str">
        <f>IFERROR(__xludf.DUMMYFUNCTION("""COMPUTED_VALUE"""),"FGM")</f>
        <v>FGM</v>
      </c>
      <c r="I1576" s="9" t="str">
        <f>IFERROR(__xludf.DUMMYFUNCTION("""COMPUTED_VALUE"""),"Tel")</f>
        <v>Tel</v>
      </c>
      <c r="J1576" s="9" t="str">
        <f>IFERROR(__xludf.DUMMYFUNCTION("""COMPUTED_VALUE"""),"Cx")</f>
        <v>Cx</v>
      </c>
      <c r="K1576" s="9" t="str">
        <f>IFERROR(__xludf.DUMMYFUNCTION("""COMPUTED_VALUE"""),"PACx")</f>
        <v>PACx</v>
      </c>
      <c r="L1576" s="9" t="str">
        <f>IFERROR(__xludf.DUMMYFUNCTION("""COMPUTED_VALUE"""),"PArCx")</f>
        <v>PArCx</v>
      </c>
      <c r="M1576" s="9" t="str">
        <f>IFERROR(__xludf.DUMMYFUNCTION("""COMPUTED_VALUE"""),"EC")</f>
        <v>EC</v>
      </c>
      <c r="N1576" s="9" t="str">
        <f>IFERROR(__xludf.DUMMYFUNCTION("""COMPUTED_VALUE"""),"LEC")</f>
        <v>LEC</v>
      </c>
      <c r="O1576" s="9" t="str">
        <f>IFERROR(__xludf.DUMMYFUNCTION("""COMPUTED_VALUE"""),"EMI")</f>
        <v>EMI</v>
      </c>
      <c r="P1576" s="9" t="str">
        <f>IFERROR(__xludf.DUMMYFUNCTION("""COMPUTED_VALUE"""),"EMIs")</f>
        <v>EMIs</v>
      </c>
      <c r="Q1576" s="9" t="str">
        <f>IFERROR(__xludf.DUMMYFUNCTION("""COMPUTED_VALUE"""),"EMI2")</f>
        <v>EMI2</v>
      </c>
      <c r="R1576" s="9"/>
      <c r="S1576" s="42"/>
      <c r="T1576" s="42"/>
      <c r="U1576" s="42"/>
      <c r="V1576" s="42"/>
      <c r="W1576" s="42"/>
      <c r="X1576" s="42"/>
      <c r="Y1576" s="42"/>
      <c r="Z1576" s="42"/>
      <c r="AA1576" s="42"/>
      <c r="AB1576" s="42" t="str">
        <f>IFERROR(__xludf.DUMMYFUNCTION("""COMPUTED_VALUE"""),"allen institute")</f>
        <v>allen institute</v>
      </c>
      <c r="AC1576" s="42" t="str">
        <f>IFERROR(__xludf.DUMMYFUNCTION("""COMPUTED_VALUE"""),"DHBA")</f>
        <v>DHBA</v>
      </c>
      <c r="AD1576" s="42"/>
      <c r="AE1576" s="42"/>
      <c r="AF1576" s="9"/>
      <c r="AG1576" s="9"/>
      <c r="AH1576" s="42"/>
      <c r="AI1576" s="42"/>
      <c r="AJ1576" s="42"/>
      <c r="AK1576" s="42"/>
      <c r="AL1576" s="42"/>
      <c r="AM1576" s="42"/>
      <c r="AN1576" s="42"/>
      <c r="AO1576" s="63" t="str">
        <f>IFERROR(__xludf.DUMMYFUNCTION("IF(ISBLANK(A1576),,IF(ISBLANK(S1576), A1576&amp;"";"", TEXTJOIN(CHAR(10), TRUE, A1576&amp;"";"", ARRAYFORMULA(VLOOKUP(SPLIT(S1576, "";"" &amp; CHAR(10)), $A:$AO, 41, FALSE)))))"),"EMI2;")</f>
        <v>EMI2;</v>
      </c>
      <c r="AP1576" s="89"/>
    </row>
    <row r="1577">
      <c r="A1577" s="151" t="str">
        <f>IFERROR(__xludf.DUMMYFUNCTION("""COMPUTED_VALUE"""),"EMI3")</f>
        <v>EMI3</v>
      </c>
      <c r="B1577" s="42" t="str">
        <f>IFERROR(__xludf.DUMMYFUNCTION("""COMPUTED_VALUE"""),"DHBA")</f>
        <v>DHBA</v>
      </c>
      <c r="C1577" s="42" t="str">
        <f>IFERROR(__xludf.DUMMYFUNCTION("""COMPUTED_VALUE"""),"layer III of medial intermediate entorhinal cortex")</f>
        <v>layer III of medial intermediate entorhinal cortex</v>
      </c>
      <c r="D1577" s="42">
        <f>IFERROR(__xludf.DUMMYFUNCTION("""COMPUTED_VALUE"""),1486.0)</f>
        <v>1486</v>
      </c>
      <c r="E1577" s="39" t="str">
        <f>IFERROR(__xludf.DUMMYFUNCTION("""COMPUTED_VALUE"""),"layer III of medial intermediate entorhinal cortex")</f>
        <v>layer III of medial intermediate entorhinal cortex</v>
      </c>
      <c r="F1577" s="9" t="str">
        <f>IFERROR(__xludf.DUMMYFUNCTION("""COMPUTED_VALUE"""),"Br")</f>
        <v>Br</v>
      </c>
      <c r="G1577" s="9" t="str">
        <f>IFERROR(__xludf.DUMMYFUNCTION("""COMPUTED_VALUE"""),"F")</f>
        <v>F</v>
      </c>
      <c r="H1577" s="9" t="str">
        <f>IFERROR(__xludf.DUMMYFUNCTION("""COMPUTED_VALUE"""),"FGM")</f>
        <v>FGM</v>
      </c>
      <c r="I1577" s="9" t="str">
        <f>IFERROR(__xludf.DUMMYFUNCTION("""COMPUTED_VALUE"""),"Tel")</f>
        <v>Tel</v>
      </c>
      <c r="J1577" s="9" t="str">
        <f>IFERROR(__xludf.DUMMYFUNCTION("""COMPUTED_VALUE"""),"Cx")</f>
        <v>Cx</v>
      </c>
      <c r="K1577" s="9" t="str">
        <f>IFERROR(__xludf.DUMMYFUNCTION("""COMPUTED_VALUE"""),"PACx")</f>
        <v>PACx</v>
      </c>
      <c r="L1577" s="9" t="str">
        <f>IFERROR(__xludf.DUMMYFUNCTION("""COMPUTED_VALUE"""),"PArCx")</f>
        <v>PArCx</v>
      </c>
      <c r="M1577" s="9" t="str">
        <f>IFERROR(__xludf.DUMMYFUNCTION("""COMPUTED_VALUE"""),"EC")</f>
        <v>EC</v>
      </c>
      <c r="N1577" s="9" t="str">
        <f>IFERROR(__xludf.DUMMYFUNCTION("""COMPUTED_VALUE"""),"LEC")</f>
        <v>LEC</v>
      </c>
      <c r="O1577" s="9" t="str">
        <f>IFERROR(__xludf.DUMMYFUNCTION("""COMPUTED_VALUE"""),"EMI")</f>
        <v>EMI</v>
      </c>
      <c r="P1577" s="9" t="str">
        <f>IFERROR(__xludf.DUMMYFUNCTION("""COMPUTED_VALUE"""),"EMIs")</f>
        <v>EMIs</v>
      </c>
      <c r="Q1577" s="9" t="str">
        <f>IFERROR(__xludf.DUMMYFUNCTION("""COMPUTED_VALUE"""),"EMI3")</f>
        <v>EMI3</v>
      </c>
      <c r="R1577" s="9"/>
      <c r="S1577" s="42" t="str">
        <f>IFERROR(__xludf.DUMMYFUNCTION("""COMPUTED_VALUE"""),"EMI3a;
EMI3b")</f>
        <v>EMI3a;
EMI3b</v>
      </c>
      <c r="T1577" s="42"/>
      <c r="U1577" s="42" t="b">
        <f>IFERROR(__xludf.DUMMYFUNCTION("""COMPUTED_VALUE"""),FALSE)</f>
        <v>0</v>
      </c>
      <c r="V1577" s="42"/>
      <c r="W1577" s="42"/>
      <c r="X1577" s="42"/>
      <c r="Y1577" s="42"/>
      <c r="Z1577" s="42"/>
      <c r="AA1577" s="42"/>
      <c r="AB1577" s="42" t="str">
        <f>IFERROR(__xludf.DUMMYFUNCTION("""COMPUTED_VALUE"""),"allen institute")</f>
        <v>allen institute</v>
      </c>
      <c r="AC1577" s="42" t="str">
        <f>IFERROR(__xludf.DUMMYFUNCTION("""COMPUTED_VALUE"""),"DHBA")</f>
        <v>DHBA</v>
      </c>
      <c r="AD1577" s="42"/>
      <c r="AE1577" s="42"/>
      <c r="AF1577" s="9"/>
      <c r="AG1577" s="9"/>
      <c r="AH1577" s="42"/>
      <c r="AI1577" s="42"/>
      <c r="AJ1577" s="42"/>
      <c r="AK1577" s="42"/>
      <c r="AL1577" s="42"/>
      <c r="AM1577" s="42"/>
      <c r="AN1577" s="42"/>
      <c r="AO1577" s="63" t="str">
        <f>IFERROR(__xludf.DUMMYFUNCTION("IF(ISBLANK(A1577),,IF(ISBLANK(S1577), A1577&amp;"";"", TEXTJOIN(CHAR(10), TRUE, A1577&amp;"";"", ARRAYFORMULA(VLOOKUP(SPLIT(S1577, "";"" &amp; CHAR(10)), $A:$AO, 41, FALSE)))))"),"EMI3;
EMI3a;
EMI3b;")</f>
        <v>EMI3;
EMI3a;
EMI3b;</v>
      </c>
      <c r="AP1577" s="89"/>
    </row>
    <row r="1578">
      <c r="A1578" s="151" t="str">
        <f>IFERROR(__xludf.DUMMYFUNCTION("""COMPUTED_VALUE"""),"EMI3a")</f>
        <v>EMI3a</v>
      </c>
      <c r="B1578" s="42" t="str">
        <f>IFERROR(__xludf.DUMMYFUNCTION("""COMPUTED_VALUE"""),"DHBA")</f>
        <v>DHBA</v>
      </c>
      <c r="C1578" s="42" t="str">
        <f>IFERROR(__xludf.DUMMYFUNCTION("""COMPUTED_VALUE"""),"layer IIIa of medial intermediate entorhinal cortex")</f>
        <v>layer IIIa of medial intermediate entorhinal cortex</v>
      </c>
      <c r="D1578" s="42">
        <f>IFERROR(__xludf.DUMMYFUNCTION("""COMPUTED_VALUE"""),1487.0)</f>
        <v>1487</v>
      </c>
      <c r="E1578" s="39" t="str">
        <f>IFERROR(__xludf.DUMMYFUNCTION("""COMPUTED_VALUE"""),"layer IIIa of medial intermediate entorhinal cortex")</f>
        <v>layer IIIa of medial intermediate entorhinal cortex</v>
      </c>
      <c r="F1578" s="9" t="str">
        <f>IFERROR(__xludf.DUMMYFUNCTION("""COMPUTED_VALUE"""),"Br")</f>
        <v>Br</v>
      </c>
      <c r="G1578" s="9" t="str">
        <f>IFERROR(__xludf.DUMMYFUNCTION("""COMPUTED_VALUE"""),"F")</f>
        <v>F</v>
      </c>
      <c r="H1578" s="9" t="str">
        <f>IFERROR(__xludf.DUMMYFUNCTION("""COMPUTED_VALUE"""),"FGM")</f>
        <v>FGM</v>
      </c>
      <c r="I1578" s="9" t="str">
        <f>IFERROR(__xludf.DUMMYFUNCTION("""COMPUTED_VALUE"""),"Tel")</f>
        <v>Tel</v>
      </c>
      <c r="J1578" s="9" t="str">
        <f>IFERROR(__xludf.DUMMYFUNCTION("""COMPUTED_VALUE"""),"Cx")</f>
        <v>Cx</v>
      </c>
      <c r="K1578" s="9" t="str">
        <f>IFERROR(__xludf.DUMMYFUNCTION("""COMPUTED_VALUE"""),"PACx")</f>
        <v>PACx</v>
      </c>
      <c r="L1578" s="9" t="str">
        <f>IFERROR(__xludf.DUMMYFUNCTION("""COMPUTED_VALUE"""),"PArCx")</f>
        <v>PArCx</v>
      </c>
      <c r="M1578" s="9" t="str">
        <f>IFERROR(__xludf.DUMMYFUNCTION("""COMPUTED_VALUE"""),"EC")</f>
        <v>EC</v>
      </c>
      <c r="N1578" s="9" t="str">
        <f>IFERROR(__xludf.DUMMYFUNCTION("""COMPUTED_VALUE"""),"LEC")</f>
        <v>LEC</v>
      </c>
      <c r="O1578" s="9" t="str">
        <f>IFERROR(__xludf.DUMMYFUNCTION("""COMPUTED_VALUE"""),"EMI")</f>
        <v>EMI</v>
      </c>
      <c r="P1578" s="9" t="str">
        <f>IFERROR(__xludf.DUMMYFUNCTION("""COMPUTED_VALUE"""),"EMIs")</f>
        <v>EMIs</v>
      </c>
      <c r="Q1578" s="9" t="str">
        <f>IFERROR(__xludf.DUMMYFUNCTION("""COMPUTED_VALUE"""),"EMI3")</f>
        <v>EMI3</v>
      </c>
      <c r="R1578" s="9" t="str">
        <f>IFERROR(__xludf.DUMMYFUNCTION("""COMPUTED_VALUE"""),"EMI3a")</f>
        <v>EMI3a</v>
      </c>
      <c r="S1578" s="42"/>
      <c r="T1578" s="42"/>
      <c r="U1578" s="42"/>
      <c r="V1578" s="42"/>
      <c r="W1578" s="42"/>
      <c r="X1578" s="42"/>
      <c r="Y1578" s="42"/>
      <c r="Z1578" s="42"/>
      <c r="AA1578" s="42"/>
      <c r="AB1578" s="42" t="str">
        <f>IFERROR(__xludf.DUMMYFUNCTION("""COMPUTED_VALUE"""),"allen institute")</f>
        <v>allen institute</v>
      </c>
      <c r="AC1578" s="42" t="str">
        <f>IFERROR(__xludf.DUMMYFUNCTION("""COMPUTED_VALUE"""),"DHBA")</f>
        <v>DHBA</v>
      </c>
      <c r="AD1578" s="42"/>
      <c r="AE1578" s="42"/>
      <c r="AF1578" s="9"/>
      <c r="AG1578" s="9"/>
      <c r="AH1578" s="42"/>
      <c r="AI1578" s="42"/>
      <c r="AJ1578" s="42"/>
      <c r="AK1578" s="42"/>
      <c r="AL1578" s="42"/>
      <c r="AM1578" s="42"/>
      <c r="AN1578" s="42"/>
      <c r="AO1578" s="63" t="str">
        <f>IFERROR(__xludf.DUMMYFUNCTION("IF(ISBLANK(A1578),,IF(ISBLANK(S1578), A1578&amp;"";"", TEXTJOIN(CHAR(10), TRUE, A1578&amp;"";"", ARRAYFORMULA(VLOOKUP(SPLIT(S1578, "";"" &amp; CHAR(10)), $A:$AO, 41, FALSE)))))"),"EMI3a;")</f>
        <v>EMI3a;</v>
      </c>
      <c r="AP1578" s="89"/>
    </row>
    <row r="1579">
      <c r="A1579" s="151" t="str">
        <f>IFERROR(__xludf.DUMMYFUNCTION("""COMPUTED_VALUE"""),"EMI3b")</f>
        <v>EMI3b</v>
      </c>
      <c r="B1579" s="42" t="str">
        <f>IFERROR(__xludf.DUMMYFUNCTION("""COMPUTED_VALUE"""),"DHBA")</f>
        <v>DHBA</v>
      </c>
      <c r="C1579" s="42" t="str">
        <f>IFERROR(__xludf.DUMMYFUNCTION("""COMPUTED_VALUE"""),"layer IIIb of medial intermediate entorhinal cortex")</f>
        <v>layer IIIb of medial intermediate entorhinal cortex</v>
      </c>
      <c r="D1579" s="42">
        <f>IFERROR(__xludf.DUMMYFUNCTION("""COMPUTED_VALUE"""),1488.0)</f>
        <v>1488</v>
      </c>
      <c r="E1579" s="39" t="str">
        <f>IFERROR(__xludf.DUMMYFUNCTION("""COMPUTED_VALUE"""),"layer IIIb of medial intermediate entorhinal cortex")</f>
        <v>layer IIIb of medial intermediate entorhinal cortex</v>
      </c>
      <c r="F1579" s="9" t="str">
        <f>IFERROR(__xludf.DUMMYFUNCTION("""COMPUTED_VALUE"""),"Br")</f>
        <v>Br</v>
      </c>
      <c r="G1579" s="9" t="str">
        <f>IFERROR(__xludf.DUMMYFUNCTION("""COMPUTED_VALUE"""),"F")</f>
        <v>F</v>
      </c>
      <c r="H1579" s="9" t="str">
        <f>IFERROR(__xludf.DUMMYFUNCTION("""COMPUTED_VALUE"""),"FGM")</f>
        <v>FGM</v>
      </c>
      <c r="I1579" s="9" t="str">
        <f>IFERROR(__xludf.DUMMYFUNCTION("""COMPUTED_VALUE"""),"Tel")</f>
        <v>Tel</v>
      </c>
      <c r="J1579" s="9" t="str">
        <f>IFERROR(__xludf.DUMMYFUNCTION("""COMPUTED_VALUE"""),"Cx")</f>
        <v>Cx</v>
      </c>
      <c r="K1579" s="9" t="str">
        <f>IFERROR(__xludf.DUMMYFUNCTION("""COMPUTED_VALUE"""),"PACx")</f>
        <v>PACx</v>
      </c>
      <c r="L1579" s="9" t="str">
        <f>IFERROR(__xludf.DUMMYFUNCTION("""COMPUTED_VALUE"""),"PArCx")</f>
        <v>PArCx</v>
      </c>
      <c r="M1579" s="9" t="str">
        <f>IFERROR(__xludf.DUMMYFUNCTION("""COMPUTED_VALUE"""),"EC")</f>
        <v>EC</v>
      </c>
      <c r="N1579" s="9" t="str">
        <f>IFERROR(__xludf.DUMMYFUNCTION("""COMPUTED_VALUE"""),"LEC")</f>
        <v>LEC</v>
      </c>
      <c r="O1579" s="9" t="str">
        <f>IFERROR(__xludf.DUMMYFUNCTION("""COMPUTED_VALUE"""),"EMI")</f>
        <v>EMI</v>
      </c>
      <c r="P1579" s="9" t="str">
        <f>IFERROR(__xludf.DUMMYFUNCTION("""COMPUTED_VALUE"""),"EMIs")</f>
        <v>EMIs</v>
      </c>
      <c r="Q1579" s="9" t="str">
        <f>IFERROR(__xludf.DUMMYFUNCTION("""COMPUTED_VALUE"""),"EMI3")</f>
        <v>EMI3</v>
      </c>
      <c r="R1579" s="9" t="str">
        <f>IFERROR(__xludf.DUMMYFUNCTION("""COMPUTED_VALUE"""),"EMI3b")</f>
        <v>EMI3b</v>
      </c>
      <c r="S1579" s="42"/>
      <c r="T1579" s="42"/>
      <c r="U1579" s="42"/>
      <c r="V1579" s="42"/>
      <c r="W1579" s="42"/>
      <c r="X1579" s="42"/>
      <c r="Y1579" s="42"/>
      <c r="Z1579" s="42"/>
      <c r="AA1579" s="42"/>
      <c r="AB1579" s="42" t="str">
        <f>IFERROR(__xludf.DUMMYFUNCTION("""COMPUTED_VALUE"""),"allen institute")</f>
        <v>allen institute</v>
      </c>
      <c r="AC1579" s="42" t="str">
        <f>IFERROR(__xludf.DUMMYFUNCTION("""COMPUTED_VALUE"""),"DHBA")</f>
        <v>DHBA</v>
      </c>
      <c r="AD1579" s="42"/>
      <c r="AE1579" s="42"/>
      <c r="AF1579" s="9"/>
      <c r="AG1579" s="9"/>
      <c r="AH1579" s="42"/>
      <c r="AI1579" s="42"/>
      <c r="AJ1579" s="42"/>
      <c r="AK1579" s="42"/>
      <c r="AL1579" s="42"/>
      <c r="AM1579" s="42"/>
      <c r="AN1579" s="42"/>
      <c r="AO1579" s="63" t="str">
        <f>IFERROR(__xludf.DUMMYFUNCTION("IF(ISBLANK(A1579),,IF(ISBLANK(S1579), A1579&amp;"";"", TEXTJOIN(CHAR(10), TRUE, A1579&amp;"";"", ARRAYFORMULA(VLOOKUP(SPLIT(S1579, "";"" &amp; CHAR(10)), $A:$AO, 41, FALSE)))))"),"EMI3b;")</f>
        <v>EMI3b;</v>
      </c>
      <c r="AP1579" s="89"/>
    </row>
    <row r="1580">
      <c r="A1580" s="151" t="str">
        <f>IFERROR(__xludf.DUMMYFUNCTION("""COMPUTED_VALUE"""),"EMIld")</f>
        <v>EMIld</v>
      </c>
      <c r="B1580" s="42" t="str">
        <f>IFERROR(__xludf.DUMMYFUNCTION("""COMPUTED_VALUE"""),"DHBA")</f>
        <v>DHBA</v>
      </c>
      <c r="C1580" s="42" t="str">
        <f>IFERROR(__xludf.DUMMYFUNCTION("""COMPUTED_VALUE"""),"lamina dissecans of medial intermediate entorhinal cortex")</f>
        <v>lamina dissecans of medial intermediate entorhinal cortex</v>
      </c>
      <c r="D1580" s="42">
        <f>IFERROR(__xludf.DUMMYFUNCTION("""COMPUTED_VALUE"""),1489.0)</f>
        <v>1489</v>
      </c>
      <c r="E1580" s="39" t="str">
        <f>IFERROR(__xludf.DUMMYFUNCTION("""COMPUTED_VALUE"""),"lamina dissecans of medial intermediate entorhinal cortex")</f>
        <v>lamina dissecans of medial intermediate entorhinal cortex</v>
      </c>
      <c r="F1580" s="9" t="str">
        <f>IFERROR(__xludf.DUMMYFUNCTION("""COMPUTED_VALUE"""),"Br")</f>
        <v>Br</v>
      </c>
      <c r="G1580" s="9" t="str">
        <f>IFERROR(__xludf.DUMMYFUNCTION("""COMPUTED_VALUE"""),"F")</f>
        <v>F</v>
      </c>
      <c r="H1580" s="9" t="str">
        <f>IFERROR(__xludf.DUMMYFUNCTION("""COMPUTED_VALUE"""),"FGM")</f>
        <v>FGM</v>
      </c>
      <c r="I1580" s="9" t="str">
        <f>IFERROR(__xludf.DUMMYFUNCTION("""COMPUTED_VALUE"""),"Tel")</f>
        <v>Tel</v>
      </c>
      <c r="J1580" s="9" t="str">
        <f>IFERROR(__xludf.DUMMYFUNCTION("""COMPUTED_VALUE"""),"Cx")</f>
        <v>Cx</v>
      </c>
      <c r="K1580" s="9" t="str">
        <f>IFERROR(__xludf.DUMMYFUNCTION("""COMPUTED_VALUE"""),"PACx")</f>
        <v>PACx</v>
      </c>
      <c r="L1580" s="9" t="str">
        <f>IFERROR(__xludf.DUMMYFUNCTION("""COMPUTED_VALUE"""),"PArCx")</f>
        <v>PArCx</v>
      </c>
      <c r="M1580" s="9" t="str">
        <f>IFERROR(__xludf.DUMMYFUNCTION("""COMPUTED_VALUE"""),"EC")</f>
        <v>EC</v>
      </c>
      <c r="N1580" s="9" t="str">
        <f>IFERROR(__xludf.DUMMYFUNCTION("""COMPUTED_VALUE"""),"LEC")</f>
        <v>LEC</v>
      </c>
      <c r="O1580" s="9" t="str">
        <f>IFERROR(__xludf.DUMMYFUNCTION("""COMPUTED_VALUE"""),"EMI")</f>
        <v>EMI</v>
      </c>
      <c r="P1580" s="9" t="str">
        <f>IFERROR(__xludf.DUMMYFUNCTION("""COMPUTED_VALUE"""),"EMIld")</f>
        <v>EMIld</v>
      </c>
      <c r="Q1580" s="9"/>
      <c r="R1580" s="9"/>
      <c r="S1580" s="42"/>
      <c r="T1580" s="42"/>
      <c r="U1580" s="42"/>
      <c r="V1580" s="42"/>
      <c r="W1580" s="42"/>
      <c r="X1580" s="42"/>
      <c r="Y1580" s="42"/>
      <c r="Z1580" s="42"/>
      <c r="AA1580" s="42"/>
      <c r="AB1580" s="42" t="str">
        <f>IFERROR(__xludf.DUMMYFUNCTION("""COMPUTED_VALUE"""),"allen institute")</f>
        <v>allen institute</v>
      </c>
      <c r="AC1580" s="42" t="str">
        <f>IFERROR(__xludf.DUMMYFUNCTION("""COMPUTED_VALUE"""),"DHBA")</f>
        <v>DHBA</v>
      </c>
      <c r="AD1580" s="42"/>
      <c r="AE1580" s="42"/>
      <c r="AF1580" s="9"/>
      <c r="AG1580" s="9"/>
      <c r="AH1580" s="42"/>
      <c r="AI1580" s="42"/>
      <c r="AJ1580" s="42"/>
      <c r="AK1580" s="42"/>
      <c r="AL1580" s="42"/>
      <c r="AM1580" s="42"/>
      <c r="AN1580" s="42"/>
      <c r="AO1580" s="63" t="str">
        <f>IFERROR(__xludf.DUMMYFUNCTION("IF(ISBLANK(A1580),,IF(ISBLANK(S1580), A1580&amp;"";"", TEXTJOIN(CHAR(10), TRUE, A1580&amp;"";"", ARRAYFORMULA(VLOOKUP(SPLIT(S1580, "";"" &amp; CHAR(10)), $A:$AO, 41, FALSE)))))"),"EMIld;")</f>
        <v>EMIld;</v>
      </c>
      <c r="AP1580" s="89"/>
    </row>
    <row r="1581">
      <c r="A1581" s="151" t="str">
        <f>IFERROR(__xludf.DUMMYFUNCTION("""COMPUTED_VALUE"""),"EMId")</f>
        <v>EMId</v>
      </c>
      <c r="B1581" s="42" t="str">
        <f>IFERROR(__xludf.DUMMYFUNCTION("""COMPUTED_VALUE"""),"DHBA")</f>
        <v>DHBA</v>
      </c>
      <c r="C1581" s="42" t="str">
        <f>IFERROR(__xludf.DUMMYFUNCTION("""COMPUTED_VALUE"""),"deep layers of medial intermediate entorhinal cortex")</f>
        <v>deep layers of medial intermediate entorhinal cortex</v>
      </c>
      <c r="D1581" s="42">
        <f>IFERROR(__xludf.DUMMYFUNCTION("""COMPUTED_VALUE"""),1490.0)</f>
        <v>1490</v>
      </c>
      <c r="E1581" s="39" t="str">
        <f>IFERROR(__xludf.DUMMYFUNCTION("""COMPUTED_VALUE"""),"deep layers of medial intermediate entorhinal cortex")</f>
        <v>deep layers of medial intermediate entorhinal cortex</v>
      </c>
      <c r="F1581" s="9" t="str">
        <f>IFERROR(__xludf.DUMMYFUNCTION("""COMPUTED_VALUE"""),"Br")</f>
        <v>Br</v>
      </c>
      <c r="G1581" s="9" t="str">
        <f>IFERROR(__xludf.DUMMYFUNCTION("""COMPUTED_VALUE"""),"F")</f>
        <v>F</v>
      </c>
      <c r="H1581" s="9" t="str">
        <f>IFERROR(__xludf.DUMMYFUNCTION("""COMPUTED_VALUE"""),"FGM")</f>
        <v>FGM</v>
      </c>
      <c r="I1581" s="9" t="str">
        <f>IFERROR(__xludf.DUMMYFUNCTION("""COMPUTED_VALUE"""),"Tel")</f>
        <v>Tel</v>
      </c>
      <c r="J1581" s="9" t="str">
        <f>IFERROR(__xludf.DUMMYFUNCTION("""COMPUTED_VALUE"""),"Cx")</f>
        <v>Cx</v>
      </c>
      <c r="K1581" s="9" t="str">
        <f>IFERROR(__xludf.DUMMYFUNCTION("""COMPUTED_VALUE"""),"PACx")</f>
        <v>PACx</v>
      </c>
      <c r="L1581" s="9" t="str">
        <f>IFERROR(__xludf.DUMMYFUNCTION("""COMPUTED_VALUE"""),"PArCx")</f>
        <v>PArCx</v>
      </c>
      <c r="M1581" s="9" t="str">
        <f>IFERROR(__xludf.DUMMYFUNCTION("""COMPUTED_VALUE"""),"EC")</f>
        <v>EC</v>
      </c>
      <c r="N1581" s="9" t="str">
        <f>IFERROR(__xludf.DUMMYFUNCTION("""COMPUTED_VALUE"""),"LEC")</f>
        <v>LEC</v>
      </c>
      <c r="O1581" s="9" t="str">
        <f>IFERROR(__xludf.DUMMYFUNCTION("""COMPUTED_VALUE"""),"EMI")</f>
        <v>EMI</v>
      </c>
      <c r="P1581" s="9" t="str">
        <f>IFERROR(__xludf.DUMMYFUNCTION("""COMPUTED_VALUE"""),"EMId")</f>
        <v>EMId</v>
      </c>
      <c r="Q1581" s="9"/>
      <c r="R1581" s="9"/>
      <c r="S1581" s="42" t="str">
        <f>IFERROR(__xludf.DUMMYFUNCTION("""COMPUTED_VALUE"""),"EMI5;
EMI6")</f>
        <v>EMI5;
EMI6</v>
      </c>
      <c r="T1581" s="42"/>
      <c r="U1581" s="159" t="b">
        <f>IFERROR(__xludf.DUMMYFUNCTION("""COMPUTED_VALUE"""),FALSE)</f>
        <v>0</v>
      </c>
      <c r="V1581" s="42"/>
      <c r="W1581" s="42"/>
      <c r="X1581" s="42"/>
      <c r="Y1581" s="42"/>
      <c r="Z1581" s="42"/>
      <c r="AA1581" s="42"/>
      <c r="AB1581" s="42" t="str">
        <f>IFERROR(__xludf.DUMMYFUNCTION("""COMPUTED_VALUE"""),"allen institute")</f>
        <v>allen institute</v>
      </c>
      <c r="AC1581" s="42" t="str">
        <f>IFERROR(__xludf.DUMMYFUNCTION("""COMPUTED_VALUE"""),"DHBA")</f>
        <v>DHBA</v>
      </c>
      <c r="AD1581" s="42"/>
      <c r="AE1581" s="42"/>
      <c r="AF1581" s="9"/>
      <c r="AG1581" s="9"/>
      <c r="AH1581" s="42"/>
      <c r="AI1581" s="42"/>
      <c r="AJ1581" s="42"/>
      <c r="AK1581" s="42"/>
      <c r="AL1581" s="42"/>
      <c r="AM1581" s="42"/>
      <c r="AN1581" s="42"/>
      <c r="AO1581" s="63" t="str">
        <f>IFERROR(__xludf.DUMMYFUNCTION("IF(ISBLANK(A1581),,IF(ISBLANK(S1581), A1581&amp;"";"", TEXTJOIN(CHAR(10), TRUE, A1581&amp;"";"", ARRAYFORMULA(VLOOKUP(SPLIT(S1581, "";"" &amp; CHAR(10)), $A:$AO, 41, FALSE)))))"),"EMId;
EMI5;
EMI6;")</f>
        <v>EMId;
EMI5;
EMI6;</v>
      </c>
      <c r="AP1581" s="89"/>
    </row>
    <row r="1582">
      <c r="A1582" s="151" t="str">
        <f>IFERROR(__xludf.DUMMYFUNCTION("""COMPUTED_VALUE"""),"EMI5")</f>
        <v>EMI5</v>
      </c>
      <c r="B1582" s="42" t="str">
        <f>IFERROR(__xludf.DUMMYFUNCTION("""COMPUTED_VALUE"""),"DHBA")</f>
        <v>DHBA</v>
      </c>
      <c r="C1582" s="42" t="str">
        <f>IFERROR(__xludf.DUMMYFUNCTION("""COMPUTED_VALUE"""),"layer V of medial intermediate entorhinal cortex")</f>
        <v>layer V of medial intermediate entorhinal cortex</v>
      </c>
      <c r="D1582" s="42">
        <f>IFERROR(__xludf.DUMMYFUNCTION("""COMPUTED_VALUE"""),1491.0)</f>
        <v>1491</v>
      </c>
      <c r="E1582" s="39" t="str">
        <f>IFERROR(__xludf.DUMMYFUNCTION("""COMPUTED_VALUE"""),"layer V of medial intermediate entorhinal cortex")</f>
        <v>layer V of medial intermediate entorhinal cortex</v>
      </c>
      <c r="F1582" s="9" t="str">
        <f>IFERROR(__xludf.DUMMYFUNCTION("""COMPUTED_VALUE"""),"Br")</f>
        <v>Br</v>
      </c>
      <c r="G1582" s="9" t="str">
        <f>IFERROR(__xludf.DUMMYFUNCTION("""COMPUTED_VALUE"""),"F")</f>
        <v>F</v>
      </c>
      <c r="H1582" s="9" t="str">
        <f>IFERROR(__xludf.DUMMYFUNCTION("""COMPUTED_VALUE"""),"FGM")</f>
        <v>FGM</v>
      </c>
      <c r="I1582" s="9" t="str">
        <f>IFERROR(__xludf.DUMMYFUNCTION("""COMPUTED_VALUE"""),"Tel")</f>
        <v>Tel</v>
      </c>
      <c r="J1582" s="9" t="str">
        <f>IFERROR(__xludf.DUMMYFUNCTION("""COMPUTED_VALUE"""),"Cx")</f>
        <v>Cx</v>
      </c>
      <c r="K1582" s="9" t="str">
        <f>IFERROR(__xludf.DUMMYFUNCTION("""COMPUTED_VALUE"""),"PACx")</f>
        <v>PACx</v>
      </c>
      <c r="L1582" s="9" t="str">
        <f>IFERROR(__xludf.DUMMYFUNCTION("""COMPUTED_VALUE"""),"PArCx")</f>
        <v>PArCx</v>
      </c>
      <c r="M1582" s="9" t="str">
        <f>IFERROR(__xludf.DUMMYFUNCTION("""COMPUTED_VALUE"""),"EC")</f>
        <v>EC</v>
      </c>
      <c r="N1582" s="9" t="str">
        <f>IFERROR(__xludf.DUMMYFUNCTION("""COMPUTED_VALUE"""),"LEC")</f>
        <v>LEC</v>
      </c>
      <c r="O1582" s="9" t="str">
        <f>IFERROR(__xludf.DUMMYFUNCTION("""COMPUTED_VALUE"""),"EMI")</f>
        <v>EMI</v>
      </c>
      <c r="P1582" s="9" t="str">
        <f>IFERROR(__xludf.DUMMYFUNCTION("""COMPUTED_VALUE"""),"EMId")</f>
        <v>EMId</v>
      </c>
      <c r="Q1582" s="9" t="str">
        <f>IFERROR(__xludf.DUMMYFUNCTION("""COMPUTED_VALUE"""),"EMI5")</f>
        <v>EMI5</v>
      </c>
      <c r="R1582" s="9"/>
      <c r="S1582" s="42"/>
      <c r="T1582" s="42"/>
      <c r="U1582" s="42"/>
      <c r="V1582" s="42"/>
      <c r="W1582" s="42"/>
      <c r="X1582" s="42"/>
      <c r="Y1582" s="42"/>
      <c r="Z1582" s="42"/>
      <c r="AA1582" s="42"/>
      <c r="AB1582" s="42" t="str">
        <f>IFERROR(__xludf.DUMMYFUNCTION("""COMPUTED_VALUE"""),"allen institute")</f>
        <v>allen institute</v>
      </c>
      <c r="AC1582" s="42" t="str">
        <f>IFERROR(__xludf.DUMMYFUNCTION("""COMPUTED_VALUE"""),"DHBA")</f>
        <v>DHBA</v>
      </c>
      <c r="AD1582" s="42"/>
      <c r="AE1582" s="42"/>
      <c r="AF1582" s="9"/>
      <c r="AG1582" s="9"/>
      <c r="AH1582" s="42"/>
      <c r="AI1582" s="42"/>
      <c r="AJ1582" s="42"/>
      <c r="AK1582" s="42"/>
      <c r="AL1582" s="42"/>
      <c r="AM1582" s="42"/>
      <c r="AN1582" s="42"/>
      <c r="AO1582" s="63" t="str">
        <f>IFERROR(__xludf.DUMMYFUNCTION("IF(ISBLANK(A1582),,IF(ISBLANK(S1582), A1582&amp;"";"", TEXTJOIN(CHAR(10), TRUE, A1582&amp;"";"", ARRAYFORMULA(VLOOKUP(SPLIT(S1582, "";"" &amp; CHAR(10)), $A:$AO, 41, FALSE)))))"),"EMI5;")</f>
        <v>EMI5;</v>
      </c>
      <c r="AP1582" s="89"/>
    </row>
    <row r="1583">
      <c r="A1583" s="151" t="str">
        <f>IFERROR(__xludf.DUMMYFUNCTION("""COMPUTED_VALUE"""),"EMI6")</f>
        <v>EMI6</v>
      </c>
      <c r="B1583" s="42" t="str">
        <f>IFERROR(__xludf.DUMMYFUNCTION("""COMPUTED_VALUE"""),"DHBA")</f>
        <v>DHBA</v>
      </c>
      <c r="C1583" s="42" t="str">
        <f>IFERROR(__xludf.DUMMYFUNCTION("""COMPUTED_VALUE"""),"layer VI of medial intermediate entorhinal cortex")</f>
        <v>layer VI of medial intermediate entorhinal cortex</v>
      </c>
      <c r="D1583" s="42">
        <f>IFERROR(__xludf.DUMMYFUNCTION("""COMPUTED_VALUE"""),1492.0)</f>
        <v>1492</v>
      </c>
      <c r="E1583" s="39" t="str">
        <f>IFERROR(__xludf.DUMMYFUNCTION("""COMPUTED_VALUE"""),"layer VI of medial intermediate entorhinal cortex")</f>
        <v>layer VI of medial intermediate entorhinal cortex</v>
      </c>
      <c r="F1583" s="9" t="str">
        <f>IFERROR(__xludf.DUMMYFUNCTION("""COMPUTED_VALUE"""),"Br")</f>
        <v>Br</v>
      </c>
      <c r="G1583" s="9" t="str">
        <f>IFERROR(__xludf.DUMMYFUNCTION("""COMPUTED_VALUE"""),"F")</f>
        <v>F</v>
      </c>
      <c r="H1583" s="9" t="str">
        <f>IFERROR(__xludf.DUMMYFUNCTION("""COMPUTED_VALUE"""),"FGM")</f>
        <v>FGM</v>
      </c>
      <c r="I1583" s="9" t="str">
        <f>IFERROR(__xludf.DUMMYFUNCTION("""COMPUTED_VALUE"""),"Tel")</f>
        <v>Tel</v>
      </c>
      <c r="J1583" s="9" t="str">
        <f>IFERROR(__xludf.DUMMYFUNCTION("""COMPUTED_VALUE"""),"Cx")</f>
        <v>Cx</v>
      </c>
      <c r="K1583" s="9" t="str">
        <f>IFERROR(__xludf.DUMMYFUNCTION("""COMPUTED_VALUE"""),"PACx")</f>
        <v>PACx</v>
      </c>
      <c r="L1583" s="9" t="str">
        <f>IFERROR(__xludf.DUMMYFUNCTION("""COMPUTED_VALUE"""),"PArCx")</f>
        <v>PArCx</v>
      </c>
      <c r="M1583" s="9" t="str">
        <f>IFERROR(__xludf.DUMMYFUNCTION("""COMPUTED_VALUE"""),"EC")</f>
        <v>EC</v>
      </c>
      <c r="N1583" s="9" t="str">
        <f>IFERROR(__xludf.DUMMYFUNCTION("""COMPUTED_VALUE"""),"LEC")</f>
        <v>LEC</v>
      </c>
      <c r="O1583" s="9" t="str">
        <f>IFERROR(__xludf.DUMMYFUNCTION("""COMPUTED_VALUE"""),"EMI")</f>
        <v>EMI</v>
      </c>
      <c r="P1583" s="9" t="str">
        <f>IFERROR(__xludf.DUMMYFUNCTION("""COMPUTED_VALUE"""),"EMId")</f>
        <v>EMId</v>
      </c>
      <c r="Q1583" s="9" t="str">
        <f>IFERROR(__xludf.DUMMYFUNCTION("""COMPUTED_VALUE"""),"EMI6")</f>
        <v>EMI6</v>
      </c>
      <c r="R1583" s="9"/>
      <c r="S1583" s="42"/>
      <c r="T1583" s="42"/>
      <c r="U1583" s="42"/>
      <c r="V1583" s="42"/>
      <c r="W1583" s="42"/>
      <c r="X1583" s="42"/>
      <c r="Y1583" s="42"/>
      <c r="Z1583" s="42"/>
      <c r="AA1583" s="42"/>
      <c r="AB1583" s="42" t="str">
        <f>IFERROR(__xludf.DUMMYFUNCTION("""COMPUTED_VALUE"""),"allen institute")</f>
        <v>allen institute</v>
      </c>
      <c r="AC1583" s="42" t="str">
        <f>IFERROR(__xludf.DUMMYFUNCTION("""COMPUTED_VALUE"""),"DHBA")</f>
        <v>DHBA</v>
      </c>
      <c r="AD1583" s="42"/>
      <c r="AE1583" s="42"/>
      <c r="AF1583" s="9"/>
      <c r="AG1583" s="9"/>
      <c r="AH1583" s="42"/>
      <c r="AI1583" s="42"/>
      <c r="AJ1583" s="42"/>
      <c r="AK1583" s="42"/>
      <c r="AL1583" s="42"/>
      <c r="AM1583" s="42"/>
      <c r="AN1583" s="42"/>
      <c r="AO1583" s="63" t="str">
        <f>IFERROR(__xludf.DUMMYFUNCTION("IF(ISBLANK(A1583),,IF(ISBLANK(S1583), A1583&amp;"";"", TEXTJOIN(CHAR(10), TRUE, A1583&amp;"";"", ARRAYFORMULA(VLOOKUP(SPLIT(S1583, "";"" &amp; CHAR(10)), $A:$AO, 41, FALSE)))))"),"EMI6;")</f>
        <v>EMI6;</v>
      </c>
      <c r="AP1583" s="89"/>
    </row>
    <row r="1584">
      <c r="A1584" s="151" t="str">
        <f>IFERROR(__xludf.DUMMYFUNCTION("""COMPUTED_VALUE"""),"MEC")</f>
        <v>MEC</v>
      </c>
      <c r="B1584" s="42" t="str">
        <f>IFERROR(__xludf.DUMMYFUNCTION("""COMPUTED_VALUE"""),"DHBA")</f>
        <v>DHBA</v>
      </c>
      <c r="C1584" s="42" t="str">
        <f>IFERROR(__xludf.DUMMYFUNCTION("""COMPUTED_VALUE"""),"medial entorhinal cortex")</f>
        <v>medial entorhinal cortex</v>
      </c>
      <c r="D1584" s="42">
        <f>IFERROR(__xludf.DUMMYFUNCTION("""COMPUTED_VALUE"""),1493.0)</f>
        <v>1493</v>
      </c>
      <c r="E1584" s="39" t="str">
        <f>IFERROR(__xludf.DUMMYFUNCTION("""COMPUTED_VALUE"""),"medial (posterior) entorhinal cortex")</f>
        <v>medial (posterior) entorhinal cortex</v>
      </c>
      <c r="F1584" s="9" t="str">
        <f>IFERROR(__xludf.DUMMYFUNCTION("""COMPUTED_VALUE"""),"Br")</f>
        <v>Br</v>
      </c>
      <c r="G1584" s="9" t="str">
        <f>IFERROR(__xludf.DUMMYFUNCTION("""COMPUTED_VALUE"""),"F")</f>
        <v>F</v>
      </c>
      <c r="H1584" s="9" t="str">
        <f>IFERROR(__xludf.DUMMYFUNCTION("""COMPUTED_VALUE"""),"FGM")</f>
        <v>FGM</v>
      </c>
      <c r="I1584" s="9" t="str">
        <f>IFERROR(__xludf.DUMMYFUNCTION("""COMPUTED_VALUE"""),"Tel")</f>
        <v>Tel</v>
      </c>
      <c r="J1584" s="9" t="str">
        <f>IFERROR(__xludf.DUMMYFUNCTION("""COMPUTED_VALUE"""),"Cx")</f>
        <v>Cx</v>
      </c>
      <c r="K1584" s="9" t="str">
        <f>IFERROR(__xludf.DUMMYFUNCTION("""COMPUTED_VALUE"""),"PACx")</f>
        <v>PACx</v>
      </c>
      <c r="L1584" s="9" t="str">
        <f>IFERROR(__xludf.DUMMYFUNCTION("""COMPUTED_VALUE"""),"PArCx")</f>
        <v>PArCx</v>
      </c>
      <c r="M1584" s="9" t="str">
        <f>IFERROR(__xludf.DUMMYFUNCTION("""COMPUTED_VALUE"""),"EC")</f>
        <v>EC</v>
      </c>
      <c r="N1584" s="9" t="str">
        <f>IFERROR(__xludf.DUMMYFUNCTION("""COMPUTED_VALUE"""),"MEC")</f>
        <v>MEC</v>
      </c>
      <c r="O1584" s="9"/>
      <c r="P1584" s="9"/>
      <c r="Q1584" s="9"/>
      <c r="R1584" s="9"/>
      <c r="S1584" s="42" t="str">
        <f>IFERROR(__xludf.DUMMYFUNCTION("""COMPUTED_VALUE"""),"MEC_I;
MEC_II;
MEC_III;
MEC_V;
MEC_VI;
ELI;
Ec;
ECL;
ELC")</f>
        <v>MEC_I;
MEC_II;
MEC_III;
MEC_V;
MEC_VI;
ELI;
Ec;
ECL;
ELC</v>
      </c>
      <c r="T1584" s="42" t="str">
        <f>IFERROR(__xludf.DUMMYFUNCTION("""COMPUTED_VALUE"""),"Cx")</f>
        <v>Cx</v>
      </c>
      <c r="U1584" s="42" t="b">
        <f>IFERROR(__xludf.DUMMYFUNCTION("""COMPUTED_VALUE"""),FALSE)</f>
        <v>0</v>
      </c>
      <c r="V1584" s="42"/>
      <c r="W1584" s="42"/>
      <c r="X1584" s="42"/>
      <c r="Y1584" s="42"/>
      <c r="Z1584" s="42"/>
      <c r="AA1584" s="42"/>
      <c r="AB1584" s="42" t="str">
        <f>IFERROR(__xludf.DUMMYFUNCTION("""COMPUTED_VALUE"""),"allen institute")</f>
        <v>allen institute</v>
      </c>
      <c r="AC1584" s="42" t="str">
        <f>IFERROR(__xludf.DUMMYFUNCTION("""COMPUTED_VALUE"""),"DHBA")</f>
        <v>DHBA</v>
      </c>
      <c r="AD1584" s="42"/>
      <c r="AE1584" s="42"/>
      <c r="AF1584" s="9"/>
      <c r="AG1584" s="9"/>
      <c r="AH1584" s="42"/>
      <c r="AI1584" s="42"/>
      <c r="AJ1584" s="42"/>
      <c r="AK1584" s="42"/>
      <c r="AL1584" s="42"/>
      <c r="AM1584" s="42"/>
      <c r="AN1584" s="42"/>
      <c r="AO1584" s="63" t="str">
        <f>IFERROR(__xludf.DUMMYFUNCTION("IF(ISBLANK(A1584),,IF(ISBLANK(S1584), A1584&amp;"";"", TEXTJOIN(CHAR(10), TRUE, A1584&amp;"";"", ARRAYFORMULA(VLOOKUP(SPLIT(S1584, "";"" &amp; CHAR(10)), $A:$AO, 41, FALSE)))))"),"#REF!")</f>
        <v>#REF!</v>
      </c>
      <c r="AP1584" s="89"/>
    </row>
    <row r="1585">
      <c r="A1585" s="151" t="str">
        <f>IFERROR(__xludf.DUMMYFUNCTION("""COMPUTED_VALUE"""),"MEC_I")</f>
        <v>MEC_I</v>
      </c>
      <c r="B1585" s="42" t="str">
        <f>IFERROR(__xludf.DUMMYFUNCTION("""COMPUTED_VALUE"""),"collection")</f>
        <v>collection</v>
      </c>
      <c r="C1585" s="42" t="str">
        <f>IFERROR(__xludf.DUMMYFUNCTION("""COMPUTED_VALUE"""),"medial entorhinal cortex, layer 1")</f>
        <v>medial entorhinal cortex, layer 1</v>
      </c>
      <c r="D1585" s="42">
        <f>IFERROR(__xludf.DUMMYFUNCTION("""COMPUTED_VALUE"""),1493.1)</f>
        <v>1493.1</v>
      </c>
      <c r="E1585" s="39" t="str">
        <f>IFERROR(__xludf.DUMMYFUNCTION("""COMPUTED_VALUE"""),"")</f>
        <v/>
      </c>
      <c r="F1585" s="9" t="str">
        <f>IFERROR(__xludf.DUMMYFUNCTION("""COMPUTED_VALUE"""),"")</f>
        <v/>
      </c>
      <c r="G1585" s="9" t="str">
        <f>IFERROR(__xludf.DUMMYFUNCTION("""COMPUTED_VALUE"""),"")</f>
        <v/>
      </c>
      <c r="H1585" s="9" t="str">
        <f>IFERROR(__xludf.DUMMYFUNCTION("""COMPUTED_VALUE"""),"")</f>
        <v/>
      </c>
      <c r="I1585" s="9" t="str">
        <f>IFERROR(__xludf.DUMMYFUNCTION("""COMPUTED_VALUE"""),"")</f>
        <v/>
      </c>
      <c r="J1585" s="9" t="str">
        <f>IFERROR(__xludf.DUMMYFUNCTION("""COMPUTED_VALUE"""),"")</f>
        <v/>
      </c>
      <c r="K1585" s="9" t="str">
        <f>IFERROR(__xludf.DUMMYFUNCTION("""COMPUTED_VALUE"""),"")</f>
        <v/>
      </c>
      <c r="L1585" s="9" t="str">
        <f>IFERROR(__xludf.DUMMYFUNCTION("""COMPUTED_VALUE"""),"")</f>
        <v/>
      </c>
      <c r="M1585" s="9" t="str">
        <f>IFERROR(__xludf.DUMMYFUNCTION("""COMPUTED_VALUE"""),"")</f>
        <v/>
      </c>
      <c r="N1585" s="9" t="str">
        <f>IFERROR(__xludf.DUMMYFUNCTION("""COMPUTED_VALUE"""),"")</f>
        <v/>
      </c>
      <c r="O1585" s="9" t="str">
        <f>IFERROR(__xludf.DUMMYFUNCTION("""COMPUTED_VALUE"""),"")</f>
        <v/>
      </c>
      <c r="P1585" s="9" t="str">
        <f>IFERROR(__xludf.DUMMYFUNCTION("""COMPUTED_VALUE"""),"")</f>
        <v/>
      </c>
      <c r="Q1585" s="9" t="str">
        <f>IFERROR(__xludf.DUMMYFUNCTION("""COMPUTED_VALUE"""),"")</f>
        <v/>
      </c>
      <c r="R1585" s="9" t="str">
        <f>IFERROR(__xludf.DUMMYFUNCTION("""COMPUTED_VALUE"""),"")</f>
        <v/>
      </c>
      <c r="S1585" s="42" t="str">
        <f>IFERROR(__xludf.DUMMYFUNCTION("""COMPUTED_VALUE"""),"ELI1;
Ec1;
ECL1;
ELC1")</f>
        <v>ELI1;
Ec1;
ECL1;
ELC1</v>
      </c>
      <c r="T1585" s="42" t="str">
        <f>IFERROR(__xludf.DUMMYFUNCTION("""COMPUTED_VALUE"""),"Cx1")</f>
        <v>Cx1</v>
      </c>
      <c r="U1585" s="42" t="b">
        <f>IFERROR(__xludf.DUMMYFUNCTION("""COMPUTED_VALUE"""),FALSE)</f>
        <v>0</v>
      </c>
      <c r="V1585" s="42"/>
      <c r="W1585" s="42"/>
      <c r="X1585" s="42"/>
      <c r="Y1585" s="42"/>
      <c r="Z1585" s="42"/>
      <c r="AA1585" s="42"/>
      <c r="AB1585" s="42" t="str">
        <f>IFERROR(__xludf.DUMMYFUNCTION("""COMPUTED_VALUE"""),"Ayako Fukawa")</f>
        <v>Ayako Fukawa</v>
      </c>
      <c r="AC1585" s="42" t="str">
        <f>IFERROR(__xludf.DUMMYFUNCTION("""COMPUTED_VALUE"""),"AT20HippocampalFormation")</f>
        <v>AT20HippocampalFormation</v>
      </c>
      <c r="AD1585" s="42"/>
      <c r="AE1585" s="42"/>
      <c r="AF1585" s="9"/>
      <c r="AG1585" s="9"/>
      <c r="AH1585" s="42"/>
      <c r="AI1585" s="42"/>
      <c r="AJ1585" s="42"/>
      <c r="AK1585" s="42"/>
      <c r="AL1585" s="42"/>
      <c r="AM1585" s="42"/>
      <c r="AN1585" s="42"/>
      <c r="AO1585" s="63" t="str">
        <f>IFERROR(__xludf.DUMMYFUNCTION("IF(ISBLANK(A1585),,IF(ISBLANK(S1585), A1585&amp;"";"", TEXTJOIN(CHAR(10), TRUE, A1585&amp;"";"", ARRAYFORMULA(VLOOKUP(SPLIT(S1585, "";"" &amp; CHAR(10)), $A:$AO, 41, FALSE)))))"),"MEC_I;
ELI1;
Ec1;
ECL1;
ELC1;")</f>
        <v>MEC_I;
ELI1;
Ec1;
ECL1;
ELC1;</v>
      </c>
      <c r="AP1585" s="89"/>
    </row>
    <row r="1586">
      <c r="A1586" s="151" t="str">
        <f>IFERROR(__xludf.DUMMYFUNCTION("""COMPUTED_VALUE"""),"MEC_deep")</f>
        <v>MEC_deep</v>
      </c>
      <c r="B1586" s="42" t="str">
        <f>IFERROR(__xludf.DUMMYFUNCTION("""COMPUTED_VALUE"""),"collection")</f>
        <v>collection</v>
      </c>
      <c r="C1586" s="42" t="str">
        <f>IFERROR(__xludf.DUMMYFUNCTION("""COMPUTED_VALUE"""),"deep layer of medial entorihinal cortex")</f>
        <v>deep layer of medial entorihinal cortex</v>
      </c>
      <c r="D1586" s="42">
        <f>IFERROR(__xludf.DUMMYFUNCTION("""COMPUTED_VALUE"""),1493.1)</f>
        <v>1493.1</v>
      </c>
      <c r="E1586" s="39" t="str">
        <f>IFERROR(__xludf.DUMMYFUNCTION("""COMPUTED_VALUE"""),"")</f>
        <v/>
      </c>
      <c r="F1586" s="9" t="str">
        <f>IFERROR(__xludf.DUMMYFUNCTION("""COMPUTED_VALUE"""),"")</f>
        <v/>
      </c>
      <c r="G1586" s="9" t="str">
        <f>IFERROR(__xludf.DUMMYFUNCTION("""COMPUTED_VALUE"""),"")</f>
        <v/>
      </c>
      <c r="H1586" s="9" t="str">
        <f>IFERROR(__xludf.DUMMYFUNCTION("""COMPUTED_VALUE"""),"")</f>
        <v/>
      </c>
      <c r="I1586" s="9" t="str">
        <f>IFERROR(__xludf.DUMMYFUNCTION("""COMPUTED_VALUE"""),"")</f>
        <v/>
      </c>
      <c r="J1586" s="9" t="str">
        <f>IFERROR(__xludf.DUMMYFUNCTION("""COMPUTED_VALUE"""),"")</f>
        <v/>
      </c>
      <c r="K1586" s="9" t="str">
        <f>IFERROR(__xludf.DUMMYFUNCTION("""COMPUTED_VALUE"""),"")</f>
        <v/>
      </c>
      <c r="L1586" s="9" t="str">
        <f>IFERROR(__xludf.DUMMYFUNCTION("""COMPUTED_VALUE"""),"")</f>
        <v/>
      </c>
      <c r="M1586" s="9" t="str">
        <f>IFERROR(__xludf.DUMMYFUNCTION("""COMPUTED_VALUE"""),"")</f>
        <v/>
      </c>
      <c r="N1586" s="9" t="str">
        <f>IFERROR(__xludf.DUMMYFUNCTION("""COMPUTED_VALUE"""),"")</f>
        <v/>
      </c>
      <c r="O1586" s="9" t="str">
        <f>IFERROR(__xludf.DUMMYFUNCTION("""COMPUTED_VALUE"""),"")</f>
        <v/>
      </c>
      <c r="P1586" s="9" t="str">
        <f>IFERROR(__xludf.DUMMYFUNCTION("""COMPUTED_VALUE"""),"")</f>
        <v/>
      </c>
      <c r="Q1586" s="9" t="str">
        <f>IFERROR(__xludf.DUMMYFUNCTION("""COMPUTED_VALUE"""),"")</f>
        <v/>
      </c>
      <c r="R1586" s="9" t="str">
        <f>IFERROR(__xludf.DUMMYFUNCTION("""COMPUTED_VALUE"""),"")</f>
        <v/>
      </c>
      <c r="S1586" s="42" t="str">
        <f>IFERROR(__xludf.DUMMYFUNCTION("""COMPUTED_VALUE"""),"MEC_V;
MEC_VI;
MEC_deep_uc1")</f>
        <v>MEC_V;
MEC_VI;
MEC_deep_uc1</v>
      </c>
      <c r="T1586" s="42"/>
      <c r="U1586" s="42" t="b">
        <f>IFERROR(__xludf.DUMMYFUNCTION("""COMPUTED_VALUE"""),FALSE)</f>
        <v>0</v>
      </c>
      <c r="V1586" s="42"/>
      <c r="W1586" s="42"/>
      <c r="X1586" s="42"/>
      <c r="Y1586" s="42"/>
      <c r="Z1586" s="42"/>
      <c r="AA1586" s="42"/>
      <c r="AB1586" s="42" t="str">
        <f>IFERROR(__xludf.DUMMYFUNCTION("""COMPUTED_VALUE"""),"Ayako Fukawa")</f>
        <v>Ayako Fukawa</v>
      </c>
      <c r="AC1586" s="42" t="str">
        <f>IFERROR(__xludf.DUMMYFUNCTION("""COMPUTED_VALUE"""),"AT20HippocampalFormation")</f>
        <v>AT20HippocampalFormation</v>
      </c>
      <c r="AD1586" s="42"/>
      <c r="AE1586" s="42"/>
      <c r="AF1586" s="9"/>
      <c r="AG1586" s="9"/>
      <c r="AH1586" s="42"/>
      <c r="AI1586" s="42"/>
      <c r="AJ1586" s="42"/>
      <c r="AK1586" s="42"/>
      <c r="AL1586" s="42"/>
      <c r="AM1586" s="42"/>
      <c r="AN1586" s="42"/>
      <c r="AO1586" s="63" t="str">
        <f>IFERROR(__xludf.DUMMYFUNCTION("IF(ISBLANK(A1586),,IF(ISBLANK(S1586), A1586&amp;"";"", TEXTJOIN(CHAR(10), TRUE, A1586&amp;"";"", ARRAYFORMULA(VLOOKUP(SPLIT(S1586, "";"" &amp; CHAR(10)), $A:$AO, 41, FALSE)))))"),"#N/A")</f>
        <v>#N/A</v>
      </c>
      <c r="AP1586" s="89"/>
    </row>
    <row r="1587">
      <c r="A1587" s="151" t="str">
        <f>IFERROR(__xludf.DUMMYFUNCTION("""COMPUTED_VALUE"""),"MEC_II")</f>
        <v>MEC_II</v>
      </c>
      <c r="B1587" s="42" t="str">
        <f>IFERROR(__xludf.DUMMYFUNCTION("""COMPUTED_VALUE"""),"collection")</f>
        <v>collection</v>
      </c>
      <c r="C1587" s="42" t="str">
        <f>IFERROR(__xludf.DUMMYFUNCTION("""COMPUTED_VALUE"""),"medial entorhinal cortex, layer 2")</f>
        <v>medial entorhinal cortex, layer 2</v>
      </c>
      <c r="D1587" s="42">
        <f>IFERROR(__xludf.DUMMYFUNCTION("""COMPUTED_VALUE"""),1493.2)</f>
        <v>1493.2</v>
      </c>
      <c r="E1587" s="39" t="str">
        <f>IFERROR(__xludf.DUMMYFUNCTION("""COMPUTED_VALUE"""),"")</f>
        <v/>
      </c>
      <c r="F1587" s="9" t="str">
        <f>IFERROR(__xludf.DUMMYFUNCTION("""COMPUTED_VALUE"""),"")</f>
        <v/>
      </c>
      <c r="G1587" s="9" t="str">
        <f>IFERROR(__xludf.DUMMYFUNCTION("""COMPUTED_VALUE"""),"")</f>
        <v/>
      </c>
      <c r="H1587" s="9" t="str">
        <f>IFERROR(__xludf.DUMMYFUNCTION("""COMPUTED_VALUE"""),"")</f>
        <v/>
      </c>
      <c r="I1587" s="9" t="str">
        <f>IFERROR(__xludf.DUMMYFUNCTION("""COMPUTED_VALUE"""),"")</f>
        <v/>
      </c>
      <c r="J1587" s="9" t="str">
        <f>IFERROR(__xludf.DUMMYFUNCTION("""COMPUTED_VALUE"""),"")</f>
        <v/>
      </c>
      <c r="K1587" s="9" t="str">
        <f>IFERROR(__xludf.DUMMYFUNCTION("""COMPUTED_VALUE"""),"")</f>
        <v/>
      </c>
      <c r="L1587" s="9" t="str">
        <f>IFERROR(__xludf.DUMMYFUNCTION("""COMPUTED_VALUE"""),"")</f>
        <v/>
      </c>
      <c r="M1587" s="9" t="str">
        <f>IFERROR(__xludf.DUMMYFUNCTION("""COMPUTED_VALUE"""),"")</f>
        <v/>
      </c>
      <c r="N1587" s="9" t="str">
        <f>IFERROR(__xludf.DUMMYFUNCTION("""COMPUTED_VALUE"""),"")</f>
        <v/>
      </c>
      <c r="O1587" s="9" t="str">
        <f>IFERROR(__xludf.DUMMYFUNCTION("""COMPUTED_VALUE"""),"")</f>
        <v/>
      </c>
      <c r="P1587" s="9" t="str">
        <f>IFERROR(__xludf.DUMMYFUNCTION("""COMPUTED_VALUE"""),"")</f>
        <v/>
      </c>
      <c r="Q1587" s="9" t="str">
        <f>IFERROR(__xludf.DUMMYFUNCTION("""COMPUTED_VALUE"""),"")</f>
        <v/>
      </c>
      <c r="R1587" s="9" t="str">
        <f>IFERROR(__xludf.DUMMYFUNCTION("""COMPUTED_VALUE"""),"")</f>
        <v/>
      </c>
      <c r="S1587" s="42" t="str">
        <f>IFERROR(__xludf.DUMMYFUNCTION("""COMPUTED_VALUE"""),"ELI2;
Ec2;
ECL2;
ELC2")</f>
        <v>ELI2;
Ec2;
ECL2;
ELC2</v>
      </c>
      <c r="T1587" s="42" t="str">
        <f>IFERROR(__xludf.DUMMYFUNCTION("""COMPUTED_VALUE"""),"Cx2")</f>
        <v>Cx2</v>
      </c>
      <c r="U1587" s="42" t="b">
        <f>IFERROR(__xludf.DUMMYFUNCTION("""COMPUTED_VALUE"""),TRUE)</f>
        <v>1</v>
      </c>
      <c r="V1587" s="42"/>
      <c r="W1587" s="42" t="str">
        <f>IFERROR(__xludf.DUMMYFUNCTION("""COMPUTED_VALUE"""),"Excitatory")</f>
        <v>Excitatory</v>
      </c>
      <c r="X1587" s="42"/>
      <c r="Y1587" s="42" t="str">
        <f>IFERROR(__xludf.DUMMYFUNCTION("""COMPUTED_VALUE"""),"Grid cells, Border cells, path integration  [author, year]
")</f>
        <v>Grid cells, Border cells, path integration  [author, year]
</v>
      </c>
      <c r="Z1587" s="42"/>
      <c r="AA1587" s="42"/>
      <c r="AB1587" s="42" t="str">
        <f>IFERROR(__xludf.DUMMYFUNCTION("""COMPUTED_VALUE"""),"Ayako Fukawa")</f>
        <v>Ayako Fukawa</v>
      </c>
      <c r="AC1587" s="42" t="str">
        <f>IFERROR(__xludf.DUMMYFUNCTION("""COMPUTED_VALUE"""),"AT20HippocampalFormation")</f>
        <v>AT20HippocampalFormation</v>
      </c>
      <c r="AD1587" s="42"/>
      <c r="AE1587" s="42"/>
      <c r="AF1587" s="9"/>
      <c r="AG1587" s="9"/>
      <c r="AH1587" s="42"/>
      <c r="AI1587" s="42"/>
      <c r="AJ1587" s="42"/>
      <c r="AK1587" s="42"/>
      <c r="AL1587" s="42"/>
      <c r="AM1587" s="42"/>
      <c r="AN1587" s="42"/>
      <c r="AO1587" s="63" t="str">
        <f>IFERROR(__xludf.DUMMYFUNCTION("IF(ISBLANK(A1587),,IF(ISBLANK(S1587), A1587&amp;"";"", TEXTJOIN(CHAR(10), TRUE, A1587&amp;"";"", ARRAYFORMULA(VLOOKUP(SPLIT(S1587, "";"" &amp; CHAR(10)), $A:$AO, 41, FALSE)))))"),"MEC_II;
ELI2;
Ec2;
ECL2;
ELC2;")</f>
        <v>MEC_II;
ELI2;
Ec2;
ECL2;
ELC2;</v>
      </c>
      <c r="AP1587" s="89"/>
    </row>
    <row r="1588">
      <c r="A1588" s="151" t="str">
        <f>IFERROR(__xludf.DUMMYFUNCTION("""COMPUTED_VALUE"""),"MEC_III")</f>
        <v>MEC_III</v>
      </c>
      <c r="B1588" s="42" t="str">
        <f>IFERROR(__xludf.DUMMYFUNCTION("""COMPUTED_VALUE"""),"collection")</f>
        <v>collection</v>
      </c>
      <c r="C1588" s="42" t="str">
        <f>IFERROR(__xludf.DUMMYFUNCTION("""COMPUTED_VALUE"""),"medial entorhinal cortex, layer 3")</f>
        <v>medial entorhinal cortex, layer 3</v>
      </c>
      <c r="D1588" s="42">
        <f>IFERROR(__xludf.DUMMYFUNCTION("""COMPUTED_VALUE"""),1493.3)</f>
        <v>1493.3</v>
      </c>
      <c r="E1588" s="39" t="str">
        <f>IFERROR(__xludf.DUMMYFUNCTION("""COMPUTED_VALUE"""),"")</f>
        <v/>
      </c>
      <c r="F1588" s="9" t="str">
        <f>IFERROR(__xludf.DUMMYFUNCTION("""COMPUTED_VALUE"""),"")</f>
        <v/>
      </c>
      <c r="G1588" s="9" t="str">
        <f>IFERROR(__xludf.DUMMYFUNCTION("""COMPUTED_VALUE"""),"")</f>
        <v/>
      </c>
      <c r="H1588" s="9" t="str">
        <f>IFERROR(__xludf.DUMMYFUNCTION("""COMPUTED_VALUE"""),"")</f>
        <v/>
      </c>
      <c r="I1588" s="9" t="str">
        <f>IFERROR(__xludf.DUMMYFUNCTION("""COMPUTED_VALUE"""),"")</f>
        <v/>
      </c>
      <c r="J1588" s="9" t="str">
        <f>IFERROR(__xludf.DUMMYFUNCTION("""COMPUTED_VALUE"""),"")</f>
        <v/>
      </c>
      <c r="K1588" s="9" t="str">
        <f>IFERROR(__xludf.DUMMYFUNCTION("""COMPUTED_VALUE"""),"")</f>
        <v/>
      </c>
      <c r="L1588" s="9" t="str">
        <f>IFERROR(__xludf.DUMMYFUNCTION("""COMPUTED_VALUE"""),"")</f>
        <v/>
      </c>
      <c r="M1588" s="9" t="str">
        <f>IFERROR(__xludf.DUMMYFUNCTION("""COMPUTED_VALUE"""),"")</f>
        <v/>
      </c>
      <c r="N1588" s="9" t="str">
        <f>IFERROR(__xludf.DUMMYFUNCTION("""COMPUTED_VALUE"""),"")</f>
        <v/>
      </c>
      <c r="O1588" s="9" t="str">
        <f>IFERROR(__xludf.DUMMYFUNCTION("""COMPUTED_VALUE"""),"")</f>
        <v/>
      </c>
      <c r="P1588" s="9" t="str">
        <f>IFERROR(__xludf.DUMMYFUNCTION("""COMPUTED_VALUE"""),"")</f>
        <v/>
      </c>
      <c r="Q1588" s="9" t="str">
        <f>IFERROR(__xludf.DUMMYFUNCTION("""COMPUTED_VALUE"""),"")</f>
        <v/>
      </c>
      <c r="R1588" s="9" t="str">
        <f>IFERROR(__xludf.DUMMYFUNCTION("""COMPUTED_VALUE"""),"")</f>
        <v/>
      </c>
      <c r="S1588" s="42" t="str">
        <f>IFERROR(__xludf.DUMMYFUNCTION("""COMPUTED_VALUE"""),"ELI3;
Ec3;
ECL3;
ELC3")</f>
        <v>ELI3;
Ec3;
ECL3;
ELC3</v>
      </c>
      <c r="T1588" s="42" t="str">
        <f>IFERROR(__xludf.DUMMYFUNCTION("""COMPUTED_VALUE"""),"Cx3")</f>
        <v>Cx3</v>
      </c>
      <c r="U1588" s="42" t="b">
        <f>IFERROR(__xludf.DUMMYFUNCTION("""COMPUTED_VALUE"""),TRUE)</f>
        <v>1</v>
      </c>
      <c r="V1588" s="42"/>
      <c r="W1588" s="42" t="str">
        <f>IFERROR(__xludf.DUMMYFUNCTION("""COMPUTED_VALUE"""),"Excitatory")</f>
        <v>Excitatory</v>
      </c>
      <c r="X1588" s="42"/>
      <c r="Y1588" s="42" t="str">
        <f>IFERROR(__xludf.DUMMYFUNCTION("""COMPUTED_VALUE"""),"Grid cells, HD cells, border cells  [author, year]")</f>
        <v>Grid cells, HD cells, border cells  [author, year]</v>
      </c>
      <c r="Z1588" s="42"/>
      <c r="AA1588" s="42"/>
      <c r="AB1588" s="42" t="str">
        <f>IFERROR(__xludf.DUMMYFUNCTION("""COMPUTED_VALUE"""),"Ayako Fukawa")</f>
        <v>Ayako Fukawa</v>
      </c>
      <c r="AC1588" s="42" t="str">
        <f>IFERROR(__xludf.DUMMYFUNCTION("""COMPUTED_VALUE"""),"AT20HippocampalFormation")</f>
        <v>AT20HippocampalFormation</v>
      </c>
      <c r="AD1588" s="42"/>
      <c r="AE1588" s="42"/>
      <c r="AF1588" s="9"/>
      <c r="AG1588" s="9"/>
      <c r="AH1588" s="42"/>
      <c r="AI1588" s="42"/>
      <c r="AJ1588" s="42"/>
      <c r="AK1588" s="42"/>
      <c r="AL1588" s="42"/>
      <c r="AM1588" s="42"/>
      <c r="AN1588" s="42"/>
      <c r="AO1588" s="63" t="str">
        <f>IFERROR(__xludf.DUMMYFUNCTION("IF(ISBLANK(A1588),,IF(ISBLANK(S1588), A1588&amp;"";"", TEXTJOIN(CHAR(10), TRUE, A1588&amp;"";"", ARRAYFORMULA(VLOOKUP(SPLIT(S1588, "";"" &amp; CHAR(10)), $A:$AO, 41, FALSE)))))"),"MEC_III;
ELI3;
ELI3a;
ELI3b;
Ec3;
Ec3a;
Ec3b;
ECL3;
ECL3a;
ECL3b;
ELC3;
ELC3a;
ELC3b;")</f>
        <v>MEC_III;
ELI3;
ELI3a;
ELI3b;
Ec3;
Ec3a;
Ec3b;
ECL3;
ECL3a;
ECL3b;
ELC3;
ELC3a;
ELC3b;</v>
      </c>
      <c r="AP1588" s="89"/>
    </row>
    <row r="1589">
      <c r="A1589" s="151" t="str">
        <f>IFERROR(__xludf.DUMMYFUNCTION("""COMPUTED_VALUE"""),"MEC_V")</f>
        <v>MEC_V</v>
      </c>
      <c r="B1589" s="42" t="str">
        <f>IFERROR(__xludf.DUMMYFUNCTION("""COMPUTED_VALUE"""),"collection")</f>
        <v>collection</v>
      </c>
      <c r="C1589" s="42" t="str">
        <f>IFERROR(__xludf.DUMMYFUNCTION("""COMPUTED_VALUE"""),"medial entorhinal cortex, layer 5")</f>
        <v>medial entorhinal cortex, layer 5</v>
      </c>
      <c r="D1589" s="42">
        <f>IFERROR(__xludf.DUMMYFUNCTION("""COMPUTED_VALUE"""),1493.5)</f>
        <v>1493.5</v>
      </c>
      <c r="E1589" s="39" t="str">
        <f>IFERROR(__xludf.DUMMYFUNCTION("""COMPUTED_VALUE"""),"")</f>
        <v/>
      </c>
      <c r="F1589" s="9" t="str">
        <f>IFERROR(__xludf.DUMMYFUNCTION("""COMPUTED_VALUE"""),"")</f>
        <v/>
      </c>
      <c r="G1589" s="9" t="str">
        <f>IFERROR(__xludf.DUMMYFUNCTION("""COMPUTED_VALUE"""),"")</f>
        <v/>
      </c>
      <c r="H1589" s="9" t="str">
        <f>IFERROR(__xludf.DUMMYFUNCTION("""COMPUTED_VALUE"""),"")</f>
        <v/>
      </c>
      <c r="I1589" s="9" t="str">
        <f>IFERROR(__xludf.DUMMYFUNCTION("""COMPUTED_VALUE"""),"")</f>
        <v/>
      </c>
      <c r="J1589" s="9" t="str">
        <f>IFERROR(__xludf.DUMMYFUNCTION("""COMPUTED_VALUE"""),"")</f>
        <v/>
      </c>
      <c r="K1589" s="9" t="str">
        <f>IFERROR(__xludf.DUMMYFUNCTION("""COMPUTED_VALUE"""),"")</f>
        <v/>
      </c>
      <c r="L1589" s="9" t="str">
        <f>IFERROR(__xludf.DUMMYFUNCTION("""COMPUTED_VALUE"""),"")</f>
        <v/>
      </c>
      <c r="M1589" s="9" t="str">
        <f>IFERROR(__xludf.DUMMYFUNCTION("""COMPUTED_VALUE"""),"")</f>
        <v/>
      </c>
      <c r="N1589" s="9" t="str">
        <f>IFERROR(__xludf.DUMMYFUNCTION("""COMPUTED_VALUE"""),"")</f>
        <v/>
      </c>
      <c r="O1589" s="9" t="str">
        <f>IFERROR(__xludf.DUMMYFUNCTION("""COMPUTED_VALUE"""),"")</f>
        <v/>
      </c>
      <c r="P1589" s="9" t="str">
        <f>IFERROR(__xludf.DUMMYFUNCTION("""COMPUTED_VALUE"""),"")</f>
        <v/>
      </c>
      <c r="Q1589" s="9" t="str">
        <f>IFERROR(__xludf.DUMMYFUNCTION("""COMPUTED_VALUE"""),"")</f>
        <v/>
      </c>
      <c r="R1589" s="9" t="str">
        <f>IFERROR(__xludf.DUMMYFUNCTION("""COMPUTED_VALUE"""),"")</f>
        <v/>
      </c>
      <c r="S1589" s="42" t="str">
        <f>IFERROR(__xludf.DUMMYFUNCTION("""COMPUTED_VALUE"""),"ELI5;
Ec5;
ECL5;
ELC5")</f>
        <v>ELI5;
Ec5;
ECL5;
ELC5</v>
      </c>
      <c r="T1589" s="42" t="str">
        <f>IFERROR(__xludf.DUMMYFUNCTION("""COMPUTED_VALUE"""),"Cx5")</f>
        <v>Cx5</v>
      </c>
      <c r="U1589" s="42"/>
      <c r="V1589" s="42"/>
      <c r="W1589" s="42"/>
      <c r="X1589" s="42"/>
      <c r="Y1589" s="42" t="str">
        <f>IFERROR(__xludf.DUMMYFUNCTION("""COMPUTED_VALUE"""),"prospective speed calculation  [author, year]")</f>
        <v>prospective speed calculation  [author, year]</v>
      </c>
      <c r="Z1589" s="42"/>
      <c r="AA1589" s="42"/>
      <c r="AB1589" s="42" t="str">
        <f>IFERROR(__xludf.DUMMYFUNCTION("""COMPUTED_VALUE"""),"Ayako Fukawa")</f>
        <v>Ayako Fukawa</v>
      </c>
      <c r="AC1589" s="42" t="str">
        <f>IFERROR(__xludf.DUMMYFUNCTION("""COMPUTED_VALUE"""),"AT20HippocampalFormation")</f>
        <v>AT20HippocampalFormation</v>
      </c>
      <c r="AD1589" s="42"/>
      <c r="AE1589" s="42"/>
      <c r="AF1589" s="9"/>
      <c r="AG1589" s="9"/>
      <c r="AH1589" s="42"/>
      <c r="AI1589" s="42"/>
      <c r="AJ1589" s="42"/>
      <c r="AK1589" s="42"/>
      <c r="AL1589" s="42"/>
      <c r="AM1589" s="42"/>
      <c r="AN1589" s="42"/>
      <c r="AO1589" s="63" t="str">
        <f>IFERROR(__xludf.DUMMYFUNCTION("IF(ISBLANK(A1589),,IF(ISBLANK(S1589), A1589&amp;"";"", TEXTJOIN(CHAR(10), TRUE, A1589&amp;"";"", ARRAYFORMULA(VLOOKUP(SPLIT(S1589, "";"" &amp; CHAR(10)), $A:$AO, 41, FALSE)))))"),"MEC_V;
ELI5;
Ec5;
ECL5;
ELC5;")</f>
        <v>MEC_V;
ELI5;
Ec5;
ECL5;
ELC5;</v>
      </c>
      <c r="AP1589" s="89"/>
    </row>
    <row r="1590">
      <c r="A1590" s="151" t="str">
        <f>IFERROR(__xludf.DUMMYFUNCTION("""COMPUTED_VALUE"""),"MEC_VI")</f>
        <v>MEC_VI</v>
      </c>
      <c r="B1590" s="42" t="str">
        <f>IFERROR(__xludf.DUMMYFUNCTION("""COMPUTED_VALUE"""),"collection")</f>
        <v>collection</v>
      </c>
      <c r="C1590" s="42" t="str">
        <f>IFERROR(__xludf.DUMMYFUNCTION("""COMPUTED_VALUE"""),"medial entorhinal cortex, layer 6")</f>
        <v>medial entorhinal cortex, layer 6</v>
      </c>
      <c r="D1590" s="42">
        <f>IFERROR(__xludf.DUMMYFUNCTION("""COMPUTED_VALUE"""),1493.6)</f>
        <v>1493.6</v>
      </c>
      <c r="E1590" s="39" t="str">
        <f>IFERROR(__xludf.DUMMYFUNCTION("""COMPUTED_VALUE"""),"")</f>
        <v/>
      </c>
      <c r="F1590" s="9" t="str">
        <f>IFERROR(__xludf.DUMMYFUNCTION("""COMPUTED_VALUE"""),"")</f>
        <v/>
      </c>
      <c r="G1590" s="9" t="str">
        <f>IFERROR(__xludf.DUMMYFUNCTION("""COMPUTED_VALUE"""),"")</f>
        <v/>
      </c>
      <c r="H1590" s="9" t="str">
        <f>IFERROR(__xludf.DUMMYFUNCTION("""COMPUTED_VALUE"""),"")</f>
        <v/>
      </c>
      <c r="I1590" s="9" t="str">
        <f>IFERROR(__xludf.DUMMYFUNCTION("""COMPUTED_VALUE"""),"")</f>
        <v/>
      </c>
      <c r="J1590" s="9" t="str">
        <f>IFERROR(__xludf.DUMMYFUNCTION("""COMPUTED_VALUE"""),"")</f>
        <v/>
      </c>
      <c r="K1590" s="9" t="str">
        <f>IFERROR(__xludf.DUMMYFUNCTION("""COMPUTED_VALUE"""),"")</f>
        <v/>
      </c>
      <c r="L1590" s="9" t="str">
        <f>IFERROR(__xludf.DUMMYFUNCTION("""COMPUTED_VALUE"""),"")</f>
        <v/>
      </c>
      <c r="M1590" s="9" t="str">
        <f>IFERROR(__xludf.DUMMYFUNCTION("""COMPUTED_VALUE"""),"")</f>
        <v/>
      </c>
      <c r="N1590" s="9" t="str">
        <f>IFERROR(__xludf.DUMMYFUNCTION("""COMPUTED_VALUE"""),"")</f>
        <v/>
      </c>
      <c r="O1590" s="9" t="str">
        <f>IFERROR(__xludf.DUMMYFUNCTION("""COMPUTED_VALUE"""),"")</f>
        <v/>
      </c>
      <c r="P1590" s="9" t="str">
        <f>IFERROR(__xludf.DUMMYFUNCTION("""COMPUTED_VALUE"""),"")</f>
        <v/>
      </c>
      <c r="Q1590" s="9" t="str">
        <f>IFERROR(__xludf.DUMMYFUNCTION("""COMPUTED_VALUE"""),"")</f>
        <v/>
      </c>
      <c r="R1590" s="9" t="str">
        <f>IFERROR(__xludf.DUMMYFUNCTION("""COMPUTED_VALUE"""),"")</f>
        <v/>
      </c>
      <c r="S1590" s="42" t="str">
        <f>IFERROR(__xludf.DUMMYFUNCTION("""COMPUTED_VALUE"""),"ELI6;
Ec6;
ECL6;
ELC6")</f>
        <v>ELI6;
Ec6;
ECL6;
ELC6</v>
      </c>
      <c r="T1590" s="42" t="str">
        <f>IFERROR(__xludf.DUMMYFUNCTION("""COMPUTED_VALUE"""),"Cx6")</f>
        <v>Cx6</v>
      </c>
      <c r="U1590" s="159"/>
      <c r="V1590" s="42"/>
      <c r="W1590" s="42"/>
      <c r="X1590" s="42"/>
      <c r="Y1590" s="42"/>
      <c r="Z1590" s="42"/>
      <c r="AA1590" s="42"/>
      <c r="AB1590" s="42" t="str">
        <f>IFERROR(__xludf.DUMMYFUNCTION("""COMPUTED_VALUE"""),"Ayako Fukawa")</f>
        <v>Ayako Fukawa</v>
      </c>
      <c r="AC1590" s="42" t="str">
        <f>IFERROR(__xludf.DUMMYFUNCTION("""COMPUTED_VALUE"""),"AT20HippocampalFormation")</f>
        <v>AT20HippocampalFormation</v>
      </c>
      <c r="AD1590" s="42"/>
      <c r="AE1590" s="42"/>
      <c r="AF1590" s="9"/>
      <c r="AG1590" s="9"/>
      <c r="AH1590" s="42"/>
      <c r="AI1590" s="42"/>
      <c r="AJ1590" s="42"/>
      <c r="AK1590" s="42"/>
      <c r="AL1590" s="42"/>
      <c r="AM1590" s="42"/>
      <c r="AN1590" s="42"/>
      <c r="AO1590" s="63" t="str">
        <f>IFERROR(__xludf.DUMMYFUNCTION("IF(ISBLANK(A1590),,IF(ISBLANK(S1590), A1590&amp;"";"", TEXTJOIN(CHAR(10), TRUE, A1590&amp;"";"", ARRAYFORMULA(VLOOKUP(SPLIT(S1590, "";"" &amp; CHAR(10)), $A:$AO, 41, FALSE)))))"),"MEC_VI;
ELI6;
Ec6;
ECL6;
ELC6;")</f>
        <v>MEC_VI;
ELI6;
Ec6;
ECL6;
ELC6;</v>
      </c>
      <c r="AP1590" s="89"/>
    </row>
    <row r="1591">
      <c r="A1591" s="151" t="str">
        <f>IFERROR(__xludf.DUMMYFUNCTION("""COMPUTED_VALUE"""),"ELI")</f>
        <v>ELI</v>
      </c>
      <c r="B1591" s="42" t="str">
        <f>IFERROR(__xludf.DUMMYFUNCTION("""COMPUTED_VALUE"""),"DHBA")</f>
        <v>DHBA</v>
      </c>
      <c r="C1591" s="42" t="str">
        <f>IFERROR(__xludf.DUMMYFUNCTION("""COMPUTED_VALUE"""),"lateral intermediate part of entorhinal cortex")</f>
        <v>lateral intermediate part of entorhinal cortex</v>
      </c>
      <c r="D1591" s="42">
        <f>IFERROR(__xludf.DUMMYFUNCTION("""COMPUTED_VALUE"""),1494.0)</f>
        <v>1494</v>
      </c>
      <c r="E1591" s="39" t="str">
        <f>IFERROR(__xludf.DUMMYFUNCTION("""COMPUTED_VALUE"""),"lateral intermediate part of entorhinal cortex")</f>
        <v>lateral intermediate part of entorhinal cortex</v>
      </c>
      <c r="F1591" s="9" t="str">
        <f>IFERROR(__xludf.DUMMYFUNCTION("""COMPUTED_VALUE"""),"Br")</f>
        <v>Br</v>
      </c>
      <c r="G1591" s="9" t="str">
        <f>IFERROR(__xludf.DUMMYFUNCTION("""COMPUTED_VALUE"""),"F")</f>
        <v>F</v>
      </c>
      <c r="H1591" s="9" t="str">
        <f>IFERROR(__xludf.DUMMYFUNCTION("""COMPUTED_VALUE"""),"FGM")</f>
        <v>FGM</v>
      </c>
      <c r="I1591" s="9" t="str">
        <f>IFERROR(__xludf.DUMMYFUNCTION("""COMPUTED_VALUE"""),"Tel")</f>
        <v>Tel</v>
      </c>
      <c r="J1591" s="9" t="str">
        <f>IFERROR(__xludf.DUMMYFUNCTION("""COMPUTED_VALUE"""),"Cx")</f>
        <v>Cx</v>
      </c>
      <c r="K1591" s="9" t="str">
        <f>IFERROR(__xludf.DUMMYFUNCTION("""COMPUTED_VALUE"""),"PACx")</f>
        <v>PACx</v>
      </c>
      <c r="L1591" s="9" t="str">
        <f>IFERROR(__xludf.DUMMYFUNCTION("""COMPUTED_VALUE"""),"PArCx")</f>
        <v>PArCx</v>
      </c>
      <c r="M1591" s="9" t="str">
        <f>IFERROR(__xludf.DUMMYFUNCTION("""COMPUTED_VALUE"""),"EC")</f>
        <v>EC</v>
      </c>
      <c r="N1591" s="9" t="str">
        <f>IFERROR(__xludf.DUMMYFUNCTION("""COMPUTED_VALUE"""),"MEC")</f>
        <v>MEC</v>
      </c>
      <c r="O1591" s="9" t="str">
        <f>IFERROR(__xludf.DUMMYFUNCTION("""COMPUTED_VALUE"""),"ELI")</f>
        <v>ELI</v>
      </c>
      <c r="P1591" s="9"/>
      <c r="Q1591" s="9"/>
      <c r="R1591" s="9"/>
      <c r="S1591" s="42" t="str">
        <f>IFERROR(__xludf.DUMMYFUNCTION("""COMPUTED_VALUE"""),"ELI1;
ELIs;
ELIld;
ELId")</f>
        <v>ELI1;
ELIs;
ELIld;
ELId</v>
      </c>
      <c r="T1591" s="42"/>
      <c r="U1591" s="159" t="b">
        <f>IFERROR(__xludf.DUMMYFUNCTION("""COMPUTED_VALUE"""),FALSE)</f>
        <v>0</v>
      </c>
      <c r="V1591" s="42"/>
      <c r="W1591" s="42"/>
      <c r="X1591" s="42"/>
      <c r="Y1591" s="42"/>
      <c r="Z1591" s="42"/>
      <c r="AA1591" s="42"/>
      <c r="AB1591" s="42" t="str">
        <f>IFERROR(__xludf.DUMMYFUNCTION("""COMPUTED_VALUE"""),"allen institute")</f>
        <v>allen institute</v>
      </c>
      <c r="AC1591" s="42" t="str">
        <f>IFERROR(__xludf.DUMMYFUNCTION("""COMPUTED_VALUE"""),"DHBA")</f>
        <v>DHBA</v>
      </c>
      <c r="AD1591" s="42"/>
      <c r="AE1591" s="42"/>
      <c r="AF1591" s="9"/>
      <c r="AG1591" s="9"/>
      <c r="AH1591" s="42"/>
      <c r="AI1591" s="42"/>
      <c r="AJ1591" s="42"/>
      <c r="AK1591" s="42"/>
      <c r="AL1591" s="42"/>
      <c r="AM1591" s="42"/>
      <c r="AN1591" s="42"/>
      <c r="AO1591" s="63" t="str">
        <f>IFERROR(__xludf.DUMMYFUNCTION("IF(ISBLANK(A1591),,IF(ISBLANK(S1591), A1591&amp;"";"", TEXTJOIN(CHAR(10), TRUE, A1591&amp;"";"", ARRAYFORMULA(VLOOKUP(SPLIT(S1591, "";"" &amp; CHAR(10)), $A:$AO, 41, FALSE)))))"),"ELI;
ELI1;
ELIs;
ELI2;
ELI3;
ELI3a;
ELI3b;
ELIld;
ELId;
ELI5;
ELI6;")</f>
        <v>ELI;
ELI1;
ELIs;
ELI2;
ELI3;
ELI3a;
ELI3b;
ELIld;
ELId;
ELI5;
ELI6;</v>
      </c>
      <c r="AP1591" s="89"/>
    </row>
    <row r="1592">
      <c r="A1592" s="151" t="str">
        <f>IFERROR(__xludf.DUMMYFUNCTION("""COMPUTED_VALUE"""),"ELI1")</f>
        <v>ELI1</v>
      </c>
      <c r="B1592" s="42" t="str">
        <f>IFERROR(__xludf.DUMMYFUNCTION("""COMPUTED_VALUE"""),"DHBA")</f>
        <v>DHBA</v>
      </c>
      <c r="C1592" s="42" t="str">
        <f>IFERROR(__xludf.DUMMYFUNCTION("""COMPUTED_VALUE"""),"layer I of lateral intermediate entorhinal cortex")</f>
        <v>layer I of lateral intermediate entorhinal cortex</v>
      </c>
      <c r="D1592" s="42">
        <f>IFERROR(__xludf.DUMMYFUNCTION("""COMPUTED_VALUE"""),1495.0)</f>
        <v>1495</v>
      </c>
      <c r="E1592" s="39" t="str">
        <f>IFERROR(__xludf.DUMMYFUNCTION("""COMPUTED_VALUE"""),"layer I of lateral intermediate entorhinal cortex")</f>
        <v>layer I of lateral intermediate entorhinal cortex</v>
      </c>
      <c r="F1592" s="9" t="str">
        <f>IFERROR(__xludf.DUMMYFUNCTION("""COMPUTED_VALUE"""),"Br")</f>
        <v>Br</v>
      </c>
      <c r="G1592" s="9" t="str">
        <f>IFERROR(__xludf.DUMMYFUNCTION("""COMPUTED_VALUE"""),"F")</f>
        <v>F</v>
      </c>
      <c r="H1592" s="9" t="str">
        <f>IFERROR(__xludf.DUMMYFUNCTION("""COMPUTED_VALUE"""),"FGM")</f>
        <v>FGM</v>
      </c>
      <c r="I1592" s="9" t="str">
        <f>IFERROR(__xludf.DUMMYFUNCTION("""COMPUTED_VALUE"""),"Tel")</f>
        <v>Tel</v>
      </c>
      <c r="J1592" s="9" t="str">
        <f>IFERROR(__xludf.DUMMYFUNCTION("""COMPUTED_VALUE"""),"Cx")</f>
        <v>Cx</v>
      </c>
      <c r="K1592" s="9" t="str">
        <f>IFERROR(__xludf.DUMMYFUNCTION("""COMPUTED_VALUE"""),"PACx")</f>
        <v>PACx</v>
      </c>
      <c r="L1592" s="9" t="str">
        <f>IFERROR(__xludf.DUMMYFUNCTION("""COMPUTED_VALUE"""),"PArCx")</f>
        <v>PArCx</v>
      </c>
      <c r="M1592" s="9" t="str">
        <f>IFERROR(__xludf.DUMMYFUNCTION("""COMPUTED_VALUE"""),"EC")</f>
        <v>EC</v>
      </c>
      <c r="N1592" s="9" t="str">
        <f>IFERROR(__xludf.DUMMYFUNCTION("""COMPUTED_VALUE"""),"MEC")</f>
        <v>MEC</v>
      </c>
      <c r="O1592" s="9" t="str">
        <f>IFERROR(__xludf.DUMMYFUNCTION("""COMPUTED_VALUE"""),"ELI")</f>
        <v>ELI</v>
      </c>
      <c r="P1592" s="9" t="str">
        <f>IFERROR(__xludf.DUMMYFUNCTION("""COMPUTED_VALUE"""),"ELI1")</f>
        <v>ELI1</v>
      </c>
      <c r="Q1592" s="9"/>
      <c r="R1592" s="9"/>
      <c r="S1592" s="42"/>
      <c r="T1592" s="42"/>
      <c r="U1592" s="42"/>
      <c r="V1592" s="42"/>
      <c r="W1592" s="42"/>
      <c r="X1592" s="42"/>
      <c r="Y1592" s="42"/>
      <c r="Z1592" s="42"/>
      <c r="AA1592" s="42"/>
      <c r="AB1592" s="42" t="str">
        <f>IFERROR(__xludf.DUMMYFUNCTION("""COMPUTED_VALUE"""),"allen institute")</f>
        <v>allen institute</v>
      </c>
      <c r="AC1592" s="42" t="str">
        <f>IFERROR(__xludf.DUMMYFUNCTION("""COMPUTED_VALUE"""),"DHBA")</f>
        <v>DHBA</v>
      </c>
      <c r="AD1592" s="42"/>
      <c r="AE1592" s="42"/>
      <c r="AF1592" s="9"/>
      <c r="AG1592" s="9"/>
      <c r="AH1592" s="42"/>
      <c r="AI1592" s="42"/>
      <c r="AJ1592" s="42"/>
      <c r="AK1592" s="42"/>
      <c r="AL1592" s="42"/>
      <c r="AM1592" s="42"/>
      <c r="AN1592" s="42"/>
      <c r="AO1592" s="63" t="str">
        <f>IFERROR(__xludf.DUMMYFUNCTION("IF(ISBLANK(A1592),,IF(ISBLANK(S1592), A1592&amp;"";"", TEXTJOIN(CHAR(10), TRUE, A1592&amp;"";"", ARRAYFORMULA(VLOOKUP(SPLIT(S1592, "";"" &amp; CHAR(10)), $A:$AO, 41, FALSE)))))"),"ELI1;")</f>
        <v>ELI1;</v>
      </c>
      <c r="AP1592" s="89"/>
    </row>
    <row r="1593">
      <c r="A1593" s="151" t="str">
        <f>IFERROR(__xludf.DUMMYFUNCTION("""COMPUTED_VALUE"""),"ELIs")</f>
        <v>ELIs</v>
      </c>
      <c r="B1593" s="42" t="str">
        <f>IFERROR(__xludf.DUMMYFUNCTION("""COMPUTED_VALUE"""),"DHBA")</f>
        <v>DHBA</v>
      </c>
      <c r="C1593" s="42" t="str">
        <f>IFERROR(__xludf.DUMMYFUNCTION("""COMPUTED_VALUE"""),"superficial layers of lateral intermediate entorhinal cortex")</f>
        <v>superficial layers of lateral intermediate entorhinal cortex</v>
      </c>
      <c r="D1593" s="42">
        <f>IFERROR(__xludf.DUMMYFUNCTION("""COMPUTED_VALUE"""),1496.0)</f>
        <v>1496</v>
      </c>
      <c r="E1593" s="39" t="str">
        <f>IFERROR(__xludf.DUMMYFUNCTION("""COMPUTED_VALUE"""),"superficial layers of lateral intermediate entorhinal cortex")</f>
        <v>superficial layers of lateral intermediate entorhinal cortex</v>
      </c>
      <c r="F1593" s="9" t="str">
        <f>IFERROR(__xludf.DUMMYFUNCTION("""COMPUTED_VALUE"""),"Br")</f>
        <v>Br</v>
      </c>
      <c r="G1593" s="9" t="str">
        <f>IFERROR(__xludf.DUMMYFUNCTION("""COMPUTED_VALUE"""),"F")</f>
        <v>F</v>
      </c>
      <c r="H1593" s="9" t="str">
        <f>IFERROR(__xludf.DUMMYFUNCTION("""COMPUTED_VALUE"""),"FGM")</f>
        <v>FGM</v>
      </c>
      <c r="I1593" s="9" t="str">
        <f>IFERROR(__xludf.DUMMYFUNCTION("""COMPUTED_VALUE"""),"Tel")</f>
        <v>Tel</v>
      </c>
      <c r="J1593" s="9" t="str">
        <f>IFERROR(__xludf.DUMMYFUNCTION("""COMPUTED_VALUE"""),"Cx")</f>
        <v>Cx</v>
      </c>
      <c r="K1593" s="9" t="str">
        <f>IFERROR(__xludf.DUMMYFUNCTION("""COMPUTED_VALUE"""),"PACx")</f>
        <v>PACx</v>
      </c>
      <c r="L1593" s="9" t="str">
        <f>IFERROR(__xludf.DUMMYFUNCTION("""COMPUTED_VALUE"""),"PArCx")</f>
        <v>PArCx</v>
      </c>
      <c r="M1593" s="9" t="str">
        <f>IFERROR(__xludf.DUMMYFUNCTION("""COMPUTED_VALUE"""),"EC")</f>
        <v>EC</v>
      </c>
      <c r="N1593" s="9" t="str">
        <f>IFERROR(__xludf.DUMMYFUNCTION("""COMPUTED_VALUE"""),"MEC")</f>
        <v>MEC</v>
      </c>
      <c r="O1593" s="9" t="str">
        <f>IFERROR(__xludf.DUMMYFUNCTION("""COMPUTED_VALUE"""),"ELI")</f>
        <v>ELI</v>
      </c>
      <c r="P1593" s="9" t="str">
        <f>IFERROR(__xludf.DUMMYFUNCTION("""COMPUTED_VALUE"""),"ELIs")</f>
        <v>ELIs</v>
      </c>
      <c r="Q1593" s="9"/>
      <c r="R1593" s="9"/>
      <c r="S1593" s="42" t="str">
        <f>IFERROR(__xludf.DUMMYFUNCTION("""COMPUTED_VALUE"""),"ELI2;
ELI3")</f>
        <v>ELI2;
ELI3</v>
      </c>
      <c r="T1593" s="42"/>
      <c r="U1593" s="42" t="b">
        <f>IFERROR(__xludf.DUMMYFUNCTION("""COMPUTED_VALUE"""),FALSE)</f>
        <v>0</v>
      </c>
      <c r="V1593" s="42"/>
      <c r="W1593" s="42"/>
      <c r="X1593" s="42"/>
      <c r="Y1593" s="42"/>
      <c r="Z1593" s="42"/>
      <c r="AA1593" s="42"/>
      <c r="AB1593" s="42" t="str">
        <f>IFERROR(__xludf.DUMMYFUNCTION("""COMPUTED_VALUE"""),"allen institute")</f>
        <v>allen institute</v>
      </c>
      <c r="AC1593" s="42" t="str">
        <f>IFERROR(__xludf.DUMMYFUNCTION("""COMPUTED_VALUE"""),"DHBA")</f>
        <v>DHBA</v>
      </c>
      <c r="AD1593" s="42"/>
      <c r="AE1593" s="42"/>
      <c r="AF1593" s="9"/>
      <c r="AG1593" s="9"/>
      <c r="AH1593" s="42"/>
      <c r="AI1593" s="42"/>
      <c r="AJ1593" s="42"/>
      <c r="AK1593" s="42"/>
      <c r="AL1593" s="42"/>
      <c r="AM1593" s="42"/>
      <c r="AN1593" s="42"/>
      <c r="AO1593" s="63" t="str">
        <f>IFERROR(__xludf.DUMMYFUNCTION("IF(ISBLANK(A1593),,IF(ISBLANK(S1593), A1593&amp;"";"", TEXTJOIN(CHAR(10), TRUE, A1593&amp;"";"", ARRAYFORMULA(VLOOKUP(SPLIT(S1593, "";"" &amp; CHAR(10)), $A:$AO, 41, FALSE)))))"),"ELIs;
ELI2;
ELI3;
ELI3a;
ELI3b;")</f>
        <v>ELIs;
ELI2;
ELI3;
ELI3a;
ELI3b;</v>
      </c>
      <c r="AP1593" s="89"/>
    </row>
    <row r="1594">
      <c r="A1594" s="151" t="str">
        <f>IFERROR(__xludf.DUMMYFUNCTION("""COMPUTED_VALUE"""),"ELI2")</f>
        <v>ELI2</v>
      </c>
      <c r="B1594" s="42" t="str">
        <f>IFERROR(__xludf.DUMMYFUNCTION("""COMPUTED_VALUE"""),"DHBA")</f>
        <v>DHBA</v>
      </c>
      <c r="C1594" s="42" t="str">
        <f>IFERROR(__xludf.DUMMYFUNCTION("""COMPUTED_VALUE"""),"layer II of lateral intermediate entorhinal cortex")</f>
        <v>layer II of lateral intermediate entorhinal cortex</v>
      </c>
      <c r="D1594" s="42">
        <f>IFERROR(__xludf.DUMMYFUNCTION("""COMPUTED_VALUE"""),1497.0)</f>
        <v>1497</v>
      </c>
      <c r="E1594" s="39" t="str">
        <f>IFERROR(__xludf.DUMMYFUNCTION("""COMPUTED_VALUE"""),"layer II of lateral intermediate entorhinal cortex")</f>
        <v>layer II of lateral intermediate entorhinal cortex</v>
      </c>
      <c r="F1594" s="9" t="str">
        <f>IFERROR(__xludf.DUMMYFUNCTION("""COMPUTED_VALUE"""),"Br")</f>
        <v>Br</v>
      </c>
      <c r="G1594" s="9" t="str">
        <f>IFERROR(__xludf.DUMMYFUNCTION("""COMPUTED_VALUE"""),"F")</f>
        <v>F</v>
      </c>
      <c r="H1594" s="9" t="str">
        <f>IFERROR(__xludf.DUMMYFUNCTION("""COMPUTED_VALUE"""),"FGM")</f>
        <v>FGM</v>
      </c>
      <c r="I1594" s="9" t="str">
        <f>IFERROR(__xludf.DUMMYFUNCTION("""COMPUTED_VALUE"""),"Tel")</f>
        <v>Tel</v>
      </c>
      <c r="J1594" s="9" t="str">
        <f>IFERROR(__xludf.DUMMYFUNCTION("""COMPUTED_VALUE"""),"Cx")</f>
        <v>Cx</v>
      </c>
      <c r="K1594" s="9" t="str">
        <f>IFERROR(__xludf.DUMMYFUNCTION("""COMPUTED_VALUE"""),"PACx")</f>
        <v>PACx</v>
      </c>
      <c r="L1594" s="9" t="str">
        <f>IFERROR(__xludf.DUMMYFUNCTION("""COMPUTED_VALUE"""),"PArCx")</f>
        <v>PArCx</v>
      </c>
      <c r="M1594" s="9" t="str">
        <f>IFERROR(__xludf.DUMMYFUNCTION("""COMPUTED_VALUE"""),"EC")</f>
        <v>EC</v>
      </c>
      <c r="N1594" s="9" t="str">
        <f>IFERROR(__xludf.DUMMYFUNCTION("""COMPUTED_VALUE"""),"MEC")</f>
        <v>MEC</v>
      </c>
      <c r="O1594" s="9" t="str">
        <f>IFERROR(__xludf.DUMMYFUNCTION("""COMPUTED_VALUE"""),"ELI")</f>
        <v>ELI</v>
      </c>
      <c r="P1594" s="9" t="str">
        <f>IFERROR(__xludf.DUMMYFUNCTION("""COMPUTED_VALUE"""),"ELIs")</f>
        <v>ELIs</v>
      </c>
      <c r="Q1594" s="9" t="str">
        <f>IFERROR(__xludf.DUMMYFUNCTION("""COMPUTED_VALUE"""),"ELI2")</f>
        <v>ELI2</v>
      </c>
      <c r="R1594" s="9"/>
      <c r="S1594" s="42"/>
      <c r="T1594" s="42"/>
      <c r="U1594" s="42"/>
      <c r="V1594" s="42"/>
      <c r="W1594" s="42"/>
      <c r="X1594" s="42"/>
      <c r="Y1594" s="42"/>
      <c r="Z1594" s="42"/>
      <c r="AA1594" s="42"/>
      <c r="AB1594" s="42" t="str">
        <f>IFERROR(__xludf.DUMMYFUNCTION("""COMPUTED_VALUE"""),"allen institute")</f>
        <v>allen institute</v>
      </c>
      <c r="AC1594" s="42" t="str">
        <f>IFERROR(__xludf.DUMMYFUNCTION("""COMPUTED_VALUE"""),"DHBA")</f>
        <v>DHBA</v>
      </c>
      <c r="AD1594" s="42"/>
      <c r="AE1594" s="42"/>
      <c r="AF1594" s="9"/>
      <c r="AG1594" s="9"/>
      <c r="AH1594" s="42"/>
      <c r="AI1594" s="42"/>
      <c r="AJ1594" s="42"/>
      <c r="AK1594" s="42"/>
      <c r="AL1594" s="42"/>
      <c r="AM1594" s="42"/>
      <c r="AN1594" s="42"/>
      <c r="AO1594" s="63" t="str">
        <f>IFERROR(__xludf.DUMMYFUNCTION("IF(ISBLANK(A1594),,IF(ISBLANK(S1594), A1594&amp;"";"", TEXTJOIN(CHAR(10), TRUE, A1594&amp;"";"", ARRAYFORMULA(VLOOKUP(SPLIT(S1594, "";"" &amp; CHAR(10)), $A:$AO, 41, FALSE)))))"),"ELI2;")</f>
        <v>ELI2;</v>
      </c>
      <c r="AP1594" s="89"/>
    </row>
    <row r="1595">
      <c r="A1595" s="151" t="str">
        <f>IFERROR(__xludf.DUMMYFUNCTION("""COMPUTED_VALUE"""),"ELI3")</f>
        <v>ELI3</v>
      </c>
      <c r="B1595" s="42" t="str">
        <f>IFERROR(__xludf.DUMMYFUNCTION("""COMPUTED_VALUE"""),"DHBA")</f>
        <v>DHBA</v>
      </c>
      <c r="C1595" s="42" t="str">
        <f>IFERROR(__xludf.DUMMYFUNCTION("""COMPUTED_VALUE"""),"layer III of lateral intermediate entorhinal cortex")</f>
        <v>layer III of lateral intermediate entorhinal cortex</v>
      </c>
      <c r="D1595" s="42">
        <f>IFERROR(__xludf.DUMMYFUNCTION("""COMPUTED_VALUE"""),1498.0)</f>
        <v>1498</v>
      </c>
      <c r="E1595" s="39" t="str">
        <f>IFERROR(__xludf.DUMMYFUNCTION("""COMPUTED_VALUE"""),"layer III of lateral intermediate entorhinal cortex")</f>
        <v>layer III of lateral intermediate entorhinal cortex</v>
      </c>
      <c r="F1595" s="9" t="str">
        <f>IFERROR(__xludf.DUMMYFUNCTION("""COMPUTED_VALUE"""),"Br")</f>
        <v>Br</v>
      </c>
      <c r="G1595" s="9" t="str">
        <f>IFERROR(__xludf.DUMMYFUNCTION("""COMPUTED_VALUE"""),"F")</f>
        <v>F</v>
      </c>
      <c r="H1595" s="9" t="str">
        <f>IFERROR(__xludf.DUMMYFUNCTION("""COMPUTED_VALUE"""),"FGM")</f>
        <v>FGM</v>
      </c>
      <c r="I1595" s="9" t="str">
        <f>IFERROR(__xludf.DUMMYFUNCTION("""COMPUTED_VALUE"""),"Tel")</f>
        <v>Tel</v>
      </c>
      <c r="J1595" s="9" t="str">
        <f>IFERROR(__xludf.DUMMYFUNCTION("""COMPUTED_VALUE"""),"Cx")</f>
        <v>Cx</v>
      </c>
      <c r="K1595" s="9" t="str">
        <f>IFERROR(__xludf.DUMMYFUNCTION("""COMPUTED_VALUE"""),"PACx")</f>
        <v>PACx</v>
      </c>
      <c r="L1595" s="9" t="str">
        <f>IFERROR(__xludf.DUMMYFUNCTION("""COMPUTED_VALUE"""),"PArCx")</f>
        <v>PArCx</v>
      </c>
      <c r="M1595" s="9" t="str">
        <f>IFERROR(__xludf.DUMMYFUNCTION("""COMPUTED_VALUE"""),"EC")</f>
        <v>EC</v>
      </c>
      <c r="N1595" s="9" t="str">
        <f>IFERROR(__xludf.DUMMYFUNCTION("""COMPUTED_VALUE"""),"MEC")</f>
        <v>MEC</v>
      </c>
      <c r="O1595" s="9" t="str">
        <f>IFERROR(__xludf.DUMMYFUNCTION("""COMPUTED_VALUE"""),"ELI")</f>
        <v>ELI</v>
      </c>
      <c r="P1595" s="9" t="str">
        <f>IFERROR(__xludf.DUMMYFUNCTION("""COMPUTED_VALUE"""),"ELIs")</f>
        <v>ELIs</v>
      </c>
      <c r="Q1595" s="9" t="str">
        <f>IFERROR(__xludf.DUMMYFUNCTION("""COMPUTED_VALUE"""),"ELI3")</f>
        <v>ELI3</v>
      </c>
      <c r="R1595" s="9"/>
      <c r="S1595" s="42" t="str">
        <f>IFERROR(__xludf.DUMMYFUNCTION("""COMPUTED_VALUE"""),"ELI3a;
ELI3b")</f>
        <v>ELI3a;
ELI3b</v>
      </c>
      <c r="T1595" s="42"/>
      <c r="U1595" s="42" t="b">
        <f>IFERROR(__xludf.DUMMYFUNCTION("""COMPUTED_VALUE"""),FALSE)</f>
        <v>0</v>
      </c>
      <c r="V1595" s="42"/>
      <c r="W1595" s="42"/>
      <c r="X1595" s="42"/>
      <c r="Y1595" s="42"/>
      <c r="Z1595" s="42"/>
      <c r="AA1595" s="42"/>
      <c r="AB1595" s="42" t="str">
        <f>IFERROR(__xludf.DUMMYFUNCTION("""COMPUTED_VALUE"""),"allen institute")</f>
        <v>allen institute</v>
      </c>
      <c r="AC1595" s="42" t="str">
        <f>IFERROR(__xludf.DUMMYFUNCTION("""COMPUTED_VALUE"""),"DHBA")</f>
        <v>DHBA</v>
      </c>
      <c r="AD1595" s="42"/>
      <c r="AE1595" s="42"/>
      <c r="AF1595" s="9"/>
      <c r="AG1595" s="9"/>
      <c r="AH1595" s="42"/>
      <c r="AI1595" s="42"/>
      <c r="AJ1595" s="42"/>
      <c r="AK1595" s="42"/>
      <c r="AL1595" s="42"/>
      <c r="AM1595" s="42"/>
      <c r="AN1595" s="42"/>
      <c r="AO1595" s="63" t="str">
        <f>IFERROR(__xludf.DUMMYFUNCTION("IF(ISBLANK(A1595),,IF(ISBLANK(S1595), A1595&amp;"";"", TEXTJOIN(CHAR(10), TRUE, A1595&amp;"";"", ARRAYFORMULA(VLOOKUP(SPLIT(S1595, "";"" &amp; CHAR(10)), $A:$AO, 41, FALSE)))))"),"ELI3;
ELI3a;
ELI3b;")</f>
        <v>ELI3;
ELI3a;
ELI3b;</v>
      </c>
      <c r="AP1595" s="89"/>
    </row>
    <row r="1596">
      <c r="A1596" s="151" t="str">
        <f>IFERROR(__xludf.DUMMYFUNCTION("""COMPUTED_VALUE"""),"ELI3a")</f>
        <v>ELI3a</v>
      </c>
      <c r="B1596" s="42" t="str">
        <f>IFERROR(__xludf.DUMMYFUNCTION("""COMPUTED_VALUE"""),"DHBA")</f>
        <v>DHBA</v>
      </c>
      <c r="C1596" s="42" t="str">
        <f>IFERROR(__xludf.DUMMYFUNCTION("""COMPUTED_VALUE"""),"layer IIIa of lateral intermediate entorhinal cortex")</f>
        <v>layer IIIa of lateral intermediate entorhinal cortex</v>
      </c>
      <c r="D1596" s="42">
        <f>IFERROR(__xludf.DUMMYFUNCTION("""COMPUTED_VALUE"""),1499.0)</f>
        <v>1499</v>
      </c>
      <c r="E1596" s="39" t="str">
        <f>IFERROR(__xludf.DUMMYFUNCTION("""COMPUTED_VALUE"""),"layer IIIa of lateral intermediate entorhinal cortex")</f>
        <v>layer IIIa of lateral intermediate entorhinal cortex</v>
      </c>
      <c r="F1596" s="9" t="str">
        <f>IFERROR(__xludf.DUMMYFUNCTION("""COMPUTED_VALUE"""),"Br")</f>
        <v>Br</v>
      </c>
      <c r="G1596" s="9" t="str">
        <f>IFERROR(__xludf.DUMMYFUNCTION("""COMPUTED_VALUE"""),"F")</f>
        <v>F</v>
      </c>
      <c r="H1596" s="9" t="str">
        <f>IFERROR(__xludf.DUMMYFUNCTION("""COMPUTED_VALUE"""),"FGM")</f>
        <v>FGM</v>
      </c>
      <c r="I1596" s="9" t="str">
        <f>IFERROR(__xludf.DUMMYFUNCTION("""COMPUTED_VALUE"""),"Tel")</f>
        <v>Tel</v>
      </c>
      <c r="J1596" s="9" t="str">
        <f>IFERROR(__xludf.DUMMYFUNCTION("""COMPUTED_VALUE"""),"Cx")</f>
        <v>Cx</v>
      </c>
      <c r="K1596" s="9" t="str">
        <f>IFERROR(__xludf.DUMMYFUNCTION("""COMPUTED_VALUE"""),"PACx")</f>
        <v>PACx</v>
      </c>
      <c r="L1596" s="9" t="str">
        <f>IFERROR(__xludf.DUMMYFUNCTION("""COMPUTED_VALUE"""),"PArCx")</f>
        <v>PArCx</v>
      </c>
      <c r="M1596" s="9" t="str">
        <f>IFERROR(__xludf.DUMMYFUNCTION("""COMPUTED_VALUE"""),"EC")</f>
        <v>EC</v>
      </c>
      <c r="N1596" s="9" t="str">
        <f>IFERROR(__xludf.DUMMYFUNCTION("""COMPUTED_VALUE"""),"MEC")</f>
        <v>MEC</v>
      </c>
      <c r="O1596" s="9" t="str">
        <f>IFERROR(__xludf.DUMMYFUNCTION("""COMPUTED_VALUE"""),"ELI")</f>
        <v>ELI</v>
      </c>
      <c r="P1596" s="9" t="str">
        <f>IFERROR(__xludf.DUMMYFUNCTION("""COMPUTED_VALUE"""),"ELIs")</f>
        <v>ELIs</v>
      </c>
      <c r="Q1596" s="9" t="str">
        <f>IFERROR(__xludf.DUMMYFUNCTION("""COMPUTED_VALUE"""),"ELI3")</f>
        <v>ELI3</v>
      </c>
      <c r="R1596" s="9" t="str">
        <f>IFERROR(__xludf.DUMMYFUNCTION("""COMPUTED_VALUE"""),"ELI3a")</f>
        <v>ELI3a</v>
      </c>
      <c r="S1596" s="42"/>
      <c r="T1596" s="42"/>
      <c r="U1596" s="42"/>
      <c r="V1596" s="42"/>
      <c r="W1596" s="42"/>
      <c r="X1596" s="42"/>
      <c r="Y1596" s="42"/>
      <c r="Z1596" s="42"/>
      <c r="AA1596" s="42"/>
      <c r="AB1596" s="42" t="str">
        <f>IFERROR(__xludf.DUMMYFUNCTION("""COMPUTED_VALUE"""),"allen institute")</f>
        <v>allen institute</v>
      </c>
      <c r="AC1596" s="42" t="str">
        <f>IFERROR(__xludf.DUMMYFUNCTION("""COMPUTED_VALUE"""),"DHBA")</f>
        <v>DHBA</v>
      </c>
      <c r="AD1596" s="42"/>
      <c r="AE1596" s="42"/>
      <c r="AF1596" s="9"/>
      <c r="AG1596" s="9"/>
      <c r="AH1596" s="42"/>
      <c r="AI1596" s="42"/>
      <c r="AJ1596" s="42"/>
      <c r="AK1596" s="42"/>
      <c r="AL1596" s="42"/>
      <c r="AM1596" s="42"/>
      <c r="AN1596" s="42"/>
      <c r="AO1596" s="63" t="str">
        <f>IFERROR(__xludf.DUMMYFUNCTION("IF(ISBLANK(A1596),,IF(ISBLANK(S1596), A1596&amp;"";"", TEXTJOIN(CHAR(10), TRUE, A1596&amp;"";"", ARRAYFORMULA(VLOOKUP(SPLIT(S1596, "";"" &amp; CHAR(10)), $A:$AO, 41, FALSE)))))"),"ELI3a;")</f>
        <v>ELI3a;</v>
      </c>
      <c r="AP1596" s="89"/>
    </row>
    <row r="1597">
      <c r="A1597" s="151" t="str">
        <f>IFERROR(__xludf.DUMMYFUNCTION("""COMPUTED_VALUE"""),"ELI3b")</f>
        <v>ELI3b</v>
      </c>
      <c r="B1597" s="42" t="str">
        <f>IFERROR(__xludf.DUMMYFUNCTION("""COMPUTED_VALUE"""),"DHBA")</f>
        <v>DHBA</v>
      </c>
      <c r="C1597" s="42" t="str">
        <f>IFERROR(__xludf.DUMMYFUNCTION("""COMPUTED_VALUE"""),"layer IIIb of lateral intermediate entorhinal cortex")</f>
        <v>layer IIIb of lateral intermediate entorhinal cortex</v>
      </c>
      <c r="D1597" s="42">
        <f>IFERROR(__xludf.DUMMYFUNCTION("""COMPUTED_VALUE"""),1500.0)</f>
        <v>1500</v>
      </c>
      <c r="E1597" s="39" t="str">
        <f>IFERROR(__xludf.DUMMYFUNCTION("""COMPUTED_VALUE"""),"layer IIIb of lateral intermediate entorhinal cortex")</f>
        <v>layer IIIb of lateral intermediate entorhinal cortex</v>
      </c>
      <c r="F1597" s="9" t="str">
        <f>IFERROR(__xludf.DUMMYFUNCTION("""COMPUTED_VALUE"""),"Br")</f>
        <v>Br</v>
      </c>
      <c r="G1597" s="9" t="str">
        <f>IFERROR(__xludf.DUMMYFUNCTION("""COMPUTED_VALUE"""),"F")</f>
        <v>F</v>
      </c>
      <c r="H1597" s="9" t="str">
        <f>IFERROR(__xludf.DUMMYFUNCTION("""COMPUTED_VALUE"""),"FGM")</f>
        <v>FGM</v>
      </c>
      <c r="I1597" s="9" t="str">
        <f>IFERROR(__xludf.DUMMYFUNCTION("""COMPUTED_VALUE"""),"Tel")</f>
        <v>Tel</v>
      </c>
      <c r="J1597" s="9" t="str">
        <f>IFERROR(__xludf.DUMMYFUNCTION("""COMPUTED_VALUE"""),"Cx")</f>
        <v>Cx</v>
      </c>
      <c r="K1597" s="9" t="str">
        <f>IFERROR(__xludf.DUMMYFUNCTION("""COMPUTED_VALUE"""),"PACx")</f>
        <v>PACx</v>
      </c>
      <c r="L1597" s="9" t="str">
        <f>IFERROR(__xludf.DUMMYFUNCTION("""COMPUTED_VALUE"""),"PArCx")</f>
        <v>PArCx</v>
      </c>
      <c r="M1597" s="9" t="str">
        <f>IFERROR(__xludf.DUMMYFUNCTION("""COMPUTED_VALUE"""),"EC")</f>
        <v>EC</v>
      </c>
      <c r="N1597" s="9" t="str">
        <f>IFERROR(__xludf.DUMMYFUNCTION("""COMPUTED_VALUE"""),"MEC")</f>
        <v>MEC</v>
      </c>
      <c r="O1597" s="9" t="str">
        <f>IFERROR(__xludf.DUMMYFUNCTION("""COMPUTED_VALUE"""),"ELI")</f>
        <v>ELI</v>
      </c>
      <c r="P1597" s="9" t="str">
        <f>IFERROR(__xludf.DUMMYFUNCTION("""COMPUTED_VALUE"""),"ELIs")</f>
        <v>ELIs</v>
      </c>
      <c r="Q1597" s="9" t="str">
        <f>IFERROR(__xludf.DUMMYFUNCTION("""COMPUTED_VALUE"""),"ELI3")</f>
        <v>ELI3</v>
      </c>
      <c r="R1597" s="9" t="str">
        <f>IFERROR(__xludf.DUMMYFUNCTION("""COMPUTED_VALUE"""),"ELI3b")</f>
        <v>ELI3b</v>
      </c>
      <c r="S1597" s="42"/>
      <c r="T1597" s="42"/>
      <c r="U1597" s="42"/>
      <c r="V1597" s="42"/>
      <c r="W1597" s="42"/>
      <c r="X1597" s="42"/>
      <c r="Y1597" s="42"/>
      <c r="Z1597" s="42"/>
      <c r="AA1597" s="42"/>
      <c r="AB1597" s="42" t="str">
        <f>IFERROR(__xludf.DUMMYFUNCTION("""COMPUTED_VALUE"""),"allen institute")</f>
        <v>allen institute</v>
      </c>
      <c r="AC1597" s="42" t="str">
        <f>IFERROR(__xludf.DUMMYFUNCTION("""COMPUTED_VALUE"""),"DHBA")</f>
        <v>DHBA</v>
      </c>
      <c r="AD1597" s="42"/>
      <c r="AE1597" s="42"/>
      <c r="AF1597" s="9"/>
      <c r="AG1597" s="9"/>
      <c r="AH1597" s="42"/>
      <c r="AI1597" s="42"/>
      <c r="AJ1597" s="42"/>
      <c r="AK1597" s="42"/>
      <c r="AL1597" s="42"/>
      <c r="AM1597" s="42"/>
      <c r="AN1597" s="42"/>
      <c r="AO1597" s="63" t="str">
        <f>IFERROR(__xludf.DUMMYFUNCTION("IF(ISBLANK(A1597),,IF(ISBLANK(S1597), A1597&amp;"";"", TEXTJOIN(CHAR(10), TRUE, A1597&amp;"";"", ARRAYFORMULA(VLOOKUP(SPLIT(S1597, "";"" &amp; CHAR(10)), $A:$AO, 41, FALSE)))))"),"ELI3b;")</f>
        <v>ELI3b;</v>
      </c>
      <c r="AP1597" s="89"/>
    </row>
    <row r="1598">
      <c r="A1598" s="151" t="str">
        <f>IFERROR(__xludf.DUMMYFUNCTION("""COMPUTED_VALUE"""),"ELIld")</f>
        <v>ELIld</v>
      </c>
      <c r="B1598" s="42" t="str">
        <f>IFERROR(__xludf.DUMMYFUNCTION("""COMPUTED_VALUE"""),"DHBA")</f>
        <v>DHBA</v>
      </c>
      <c r="C1598" s="42" t="str">
        <f>IFERROR(__xludf.DUMMYFUNCTION("""COMPUTED_VALUE"""),"lamina dissecans of lateral intermediate entorhinal cortex")</f>
        <v>lamina dissecans of lateral intermediate entorhinal cortex</v>
      </c>
      <c r="D1598" s="42">
        <f>IFERROR(__xludf.DUMMYFUNCTION("""COMPUTED_VALUE"""),1501.0)</f>
        <v>1501</v>
      </c>
      <c r="E1598" s="39" t="str">
        <f>IFERROR(__xludf.DUMMYFUNCTION("""COMPUTED_VALUE"""),"lamina dissecans of lateral intermediate entorhinal cortex")</f>
        <v>lamina dissecans of lateral intermediate entorhinal cortex</v>
      </c>
      <c r="F1598" s="9" t="str">
        <f>IFERROR(__xludf.DUMMYFUNCTION("""COMPUTED_VALUE"""),"Br")</f>
        <v>Br</v>
      </c>
      <c r="G1598" s="9" t="str">
        <f>IFERROR(__xludf.DUMMYFUNCTION("""COMPUTED_VALUE"""),"F")</f>
        <v>F</v>
      </c>
      <c r="H1598" s="9" t="str">
        <f>IFERROR(__xludf.DUMMYFUNCTION("""COMPUTED_VALUE"""),"FGM")</f>
        <v>FGM</v>
      </c>
      <c r="I1598" s="9" t="str">
        <f>IFERROR(__xludf.DUMMYFUNCTION("""COMPUTED_VALUE"""),"Tel")</f>
        <v>Tel</v>
      </c>
      <c r="J1598" s="9" t="str">
        <f>IFERROR(__xludf.DUMMYFUNCTION("""COMPUTED_VALUE"""),"Cx")</f>
        <v>Cx</v>
      </c>
      <c r="K1598" s="9" t="str">
        <f>IFERROR(__xludf.DUMMYFUNCTION("""COMPUTED_VALUE"""),"PACx")</f>
        <v>PACx</v>
      </c>
      <c r="L1598" s="9" t="str">
        <f>IFERROR(__xludf.DUMMYFUNCTION("""COMPUTED_VALUE"""),"PArCx")</f>
        <v>PArCx</v>
      </c>
      <c r="M1598" s="9" t="str">
        <f>IFERROR(__xludf.DUMMYFUNCTION("""COMPUTED_VALUE"""),"EC")</f>
        <v>EC</v>
      </c>
      <c r="N1598" s="9" t="str">
        <f>IFERROR(__xludf.DUMMYFUNCTION("""COMPUTED_VALUE"""),"MEC")</f>
        <v>MEC</v>
      </c>
      <c r="O1598" s="9" t="str">
        <f>IFERROR(__xludf.DUMMYFUNCTION("""COMPUTED_VALUE"""),"ELI")</f>
        <v>ELI</v>
      </c>
      <c r="P1598" s="9" t="str">
        <f>IFERROR(__xludf.DUMMYFUNCTION("""COMPUTED_VALUE"""),"ELIld")</f>
        <v>ELIld</v>
      </c>
      <c r="Q1598" s="9"/>
      <c r="R1598" s="9"/>
      <c r="S1598" s="42"/>
      <c r="T1598" s="42"/>
      <c r="U1598" s="42"/>
      <c r="V1598" s="42"/>
      <c r="W1598" s="42"/>
      <c r="X1598" s="42"/>
      <c r="Y1598" s="42"/>
      <c r="Z1598" s="42"/>
      <c r="AA1598" s="42"/>
      <c r="AB1598" s="42" t="str">
        <f>IFERROR(__xludf.DUMMYFUNCTION("""COMPUTED_VALUE"""),"allen institute")</f>
        <v>allen institute</v>
      </c>
      <c r="AC1598" s="42" t="str">
        <f>IFERROR(__xludf.DUMMYFUNCTION("""COMPUTED_VALUE"""),"DHBA")</f>
        <v>DHBA</v>
      </c>
      <c r="AD1598" s="42"/>
      <c r="AE1598" s="42"/>
      <c r="AF1598" s="9"/>
      <c r="AG1598" s="9"/>
      <c r="AH1598" s="42"/>
      <c r="AI1598" s="42"/>
      <c r="AJ1598" s="42"/>
      <c r="AK1598" s="42"/>
      <c r="AL1598" s="42"/>
      <c r="AM1598" s="42"/>
      <c r="AN1598" s="42"/>
      <c r="AO1598" s="63" t="str">
        <f>IFERROR(__xludf.DUMMYFUNCTION("IF(ISBLANK(A1598),,IF(ISBLANK(S1598), A1598&amp;"";"", TEXTJOIN(CHAR(10), TRUE, A1598&amp;"";"", ARRAYFORMULA(VLOOKUP(SPLIT(S1598, "";"" &amp; CHAR(10)), $A:$AO, 41, FALSE)))))"),"ELIld;")</f>
        <v>ELIld;</v>
      </c>
      <c r="AP1598" s="89"/>
    </row>
    <row r="1599">
      <c r="A1599" s="151" t="str">
        <f>IFERROR(__xludf.DUMMYFUNCTION("""COMPUTED_VALUE"""),"ELId")</f>
        <v>ELId</v>
      </c>
      <c r="B1599" s="42" t="str">
        <f>IFERROR(__xludf.DUMMYFUNCTION("""COMPUTED_VALUE"""),"DHBA")</f>
        <v>DHBA</v>
      </c>
      <c r="C1599" s="42" t="str">
        <f>IFERROR(__xludf.DUMMYFUNCTION("""COMPUTED_VALUE"""),"deep layers of lateral intermediate entorhinal cortex")</f>
        <v>deep layers of lateral intermediate entorhinal cortex</v>
      </c>
      <c r="D1599" s="42">
        <f>IFERROR(__xludf.DUMMYFUNCTION("""COMPUTED_VALUE"""),1502.0)</f>
        <v>1502</v>
      </c>
      <c r="E1599" s="39" t="str">
        <f>IFERROR(__xludf.DUMMYFUNCTION("""COMPUTED_VALUE"""),"deep layers of lateral intermediate entorhinal cortex")</f>
        <v>deep layers of lateral intermediate entorhinal cortex</v>
      </c>
      <c r="F1599" s="9" t="str">
        <f>IFERROR(__xludf.DUMMYFUNCTION("""COMPUTED_VALUE"""),"Br")</f>
        <v>Br</v>
      </c>
      <c r="G1599" s="9" t="str">
        <f>IFERROR(__xludf.DUMMYFUNCTION("""COMPUTED_VALUE"""),"F")</f>
        <v>F</v>
      </c>
      <c r="H1599" s="9" t="str">
        <f>IFERROR(__xludf.DUMMYFUNCTION("""COMPUTED_VALUE"""),"FGM")</f>
        <v>FGM</v>
      </c>
      <c r="I1599" s="9" t="str">
        <f>IFERROR(__xludf.DUMMYFUNCTION("""COMPUTED_VALUE"""),"Tel")</f>
        <v>Tel</v>
      </c>
      <c r="J1599" s="9" t="str">
        <f>IFERROR(__xludf.DUMMYFUNCTION("""COMPUTED_VALUE"""),"Cx")</f>
        <v>Cx</v>
      </c>
      <c r="K1599" s="9" t="str">
        <f>IFERROR(__xludf.DUMMYFUNCTION("""COMPUTED_VALUE"""),"PACx")</f>
        <v>PACx</v>
      </c>
      <c r="L1599" s="9" t="str">
        <f>IFERROR(__xludf.DUMMYFUNCTION("""COMPUTED_VALUE"""),"PArCx")</f>
        <v>PArCx</v>
      </c>
      <c r="M1599" s="9" t="str">
        <f>IFERROR(__xludf.DUMMYFUNCTION("""COMPUTED_VALUE"""),"EC")</f>
        <v>EC</v>
      </c>
      <c r="N1599" s="9" t="str">
        <f>IFERROR(__xludf.DUMMYFUNCTION("""COMPUTED_VALUE"""),"MEC")</f>
        <v>MEC</v>
      </c>
      <c r="O1599" s="9" t="str">
        <f>IFERROR(__xludf.DUMMYFUNCTION("""COMPUTED_VALUE"""),"ELI")</f>
        <v>ELI</v>
      </c>
      <c r="P1599" s="9" t="str">
        <f>IFERROR(__xludf.DUMMYFUNCTION("""COMPUTED_VALUE"""),"ELId")</f>
        <v>ELId</v>
      </c>
      <c r="Q1599" s="9"/>
      <c r="R1599" s="9"/>
      <c r="S1599" s="42" t="str">
        <f>IFERROR(__xludf.DUMMYFUNCTION("""COMPUTED_VALUE"""),"ELI5;
ELI6")</f>
        <v>ELI5;
ELI6</v>
      </c>
      <c r="T1599" s="42"/>
      <c r="U1599" s="42" t="b">
        <f>IFERROR(__xludf.DUMMYFUNCTION("""COMPUTED_VALUE"""),FALSE)</f>
        <v>0</v>
      </c>
      <c r="V1599" s="42"/>
      <c r="W1599" s="42"/>
      <c r="X1599" s="42"/>
      <c r="Y1599" s="42"/>
      <c r="Z1599" s="42"/>
      <c r="AA1599" s="42"/>
      <c r="AB1599" s="42" t="str">
        <f>IFERROR(__xludf.DUMMYFUNCTION("""COMPUTED_VALUE"""),"allen institute")</f>
        <v>allen institute</v>
      </c>
      <c r="AC1599" s="42" t="str">
        <f>IFERROR(__xludf.DUMMYFUNCTION("""COMPUTED_VALUE"""),"DHBA")</f>
        <v>DHBA</v>
      </c>
      <c r="AD1599" s="42"/>
      <c r="AE1599" s="42"/>
      <c r="AF1599" s="9"/>
      <c r="AG1599" s="9"/>
      <c r="AH1599" s="42"/>
      <c r="AI1599" s="42"/>
      <c r="AJ1599" s="42"/>
      <c r="AK1599" s="42"/>
      <c r="AL1599" s="42"/>
      <c r="AM1599" s="42"/>
      <c r="AN1599" s="42"/>
      <c r="AO1599" s="63" t="str">
        <f>IFERROR(__xludf.DUMMYFUNCTION("IF(ISBLANK(A1599),,IF(ISBLANK(S1599), A1599&amp;"";"", TEXTJOIN(CHAR(10), TRUE, A1599&amp;"";"", ARRAYFORMULA(VLOOKUP(SPLIT(S1599, "";"" &amp; CHAR(10)), $A:$AO, 41, FALSE)))))"),"ELId;
ELI5;
ELI6;")</f>
        <v>ELId;
ELI5;
ELI6;</v>
      </c>
      <c r="AP1599" s="89"/>
    </row>
    <row r="1600">
      <c r="A1600" s="151" t="str">
        <f>IFERROR(__xludf.DUMMYFUNCTION("""COMPUTED_VALUE"""),"ELI5")</f>
        <v>ELI5</v>
      </c>
      <c r="B1600" s="42" t="str">
        <f>IFERROR(__xludf.DUMMYFUNCTION("""COMPUTED_VALUE"""),"DHBA")</f>
        <v>DHBA</v>
      </c>
      <c r="C1600" s="42" t="str">
        <f>IFERROR(__xludf.DUMMYFUNCTION("""COMPUTED_VALUE"""),"layer V of lateral intermediate entorhinal cortex")</f>
        <v>layer V of lateral intermediate entorhinal cortex</v>
      </c>
      <c r="D1600" s="42">
        <f>IFERROR(__xludf.DUMMYFUNCTION("""COMPUTED_VALUE"""),1503.0)</f>
        <v>1503</v>
      </c>
      <c r="E1600" s="39" t="str">
        <f>IFERROR(__xludf.DUMMYFUNCTION("""COMPUTED_VALUE"""),"layer V of lateral intermediate entorhinal cortex")</f>
        <v>layer V of lateral intermediate entorhinal cortex</v>
      </c>
      <c r="F1600" s="9" t="str">
        <f>IFERROR(__xludf.DUMMYFUNCTION("""COMPUTED_VALUE"""),"Br")</f>
        <v>Br</v>
      </c>
      <c r="G1600" s="9" t="str">
        <f>IFERROR(__xludf.DUMMYFUNCTION("""COMPUTED_VALUE"""),"F")</f>
        <v>F</v>
      </c>
      <c r="H1600" s="9" t="str">
        <f>IFERROR(__xludf.DUMMYFUNCTION("""COMPUTED_VALUE"""),"FGM")</f>
        <v>FGM</v>
      </c>
      <c r="I1600" s="9" t="str">
        <f>IFERROR(__xludf.DUMMYFUNCTION("""COMPUTED_VALUE"""),"Tel")</f>
        <v>Tel</v>
      </c>
      <c r="J1600" s="9" t="str">
        <f>IFERROR(__xludf.DUMMYFUNCTION("""COMPUTED_VALUE"""),"Cx")</f>
        <v>Cx</v>
      </c>
      <c r="K1600" s="9" t="str">
        <f>IFERROR(__xludf.DUMMYFUNCTION("""COMPUTED_VALUE"""),"PACx")</f>
        <v>PACx</v>
      </c>
      <c r="L1600" s="9" t="str">
        <f>IFERROR(__xludf.DUMMYFUNCTION("""COMPUTED_VALUE"""),"PArCx")</f>
        <v>PArCx</v>
      </c>
      <c r="M1600" s="9" t="str">
        <f>IFERROR(__xludf.DUMMYFUNCTION("""COMPUTED_VALUE"""),"EC")</f>
        <v>EC</v>
      </c>
      <c r="N1600" s="9" t="str">
        <f>IFERROR(__xludf.DUMMYFUNCTION("""COMPUTED_VALUE"""),"MEC")</f>
        <v>MEC</v>
      </c>
      <c r="O1600" s="9" t="str">
        <f>IFERROR(__xludf.DUMMYFUNCTION("""COMPUTED_VALUE"""),"ELI")</f>
        <v>ELI</v>
      </c>
      <c r="P1600" s="9" t="str">
        <f>IFERROR(__xludf.DUMMYFUNCTION("""COMPUTED_VALUE"""),"ELId")</f>
        <v>ELId</v>
      </c>
      <c r="Q1600" s="9" t="str">
        <f>IFERROR(__xludf.DUMMYFUNCTION("""COMPUTED_VALUE"""),"ELI5")</f>
        <v>ELI5</v>
      </c>
      <c r="R1600" s="9"/>
      <c r="S1600" s="42"/>
      <c r="T1600" s="42"/>
      <c r="U1600" s="42"/>
      <c r="V1600" s="42"/>
      <c r="W1600" s="42"/>
      <c r="X1600" s="42"/>
      <c r="Y1600" s="42"/>
      <c r="Z1600" s="42"/>
      <c r="AA1600" s="42"/>
      <c r="AB1600" s="42" t="str">
        <f>IFERROR(__xludf.DUMMYFUNCTION("""COMPUTED_VALUE"""),"allen institute")</f>
        <v>allen institute</v>
      </c>
      <c r="AC1600" s="42" t="str">
        <f>IFERROR(__xludf.DUMMYFUNCTION("""COMPUTED_VALUE"""),"DHBA")</f>
        <v>DHBA</v>
      </c>
      <c r="AD1600" s="42"/>
      <c r="AE1600" s="42"/>
      <c r="AF1600" s="9"/>
      <c r="AG1600" s="9"/>
      <c r="AH1600" s="42"/>
      <c r="AI1600" s="42"/>
      <c r="AJ1600" s="42"/>
      <c r="AK1600" s="42"/>
      <c r="AL1600" s="42"/>
      <c r="AM1600" s="42"/>
      <c r="AN1600" s="42"/>
      <c r="AO1600" s="63" t="str">
        <f>IFERROR(__xludf.DUMMYFUNCTION("IF(ISBLANK(A1600),,IF(ISBLANK(S1600), A1600&amp;"";"", TEXTJOIN(CHAR(10), TRUE, A1600&amp;"";"", ARRAYFORMULA(VLOOKUP(SPLIT(S1600, "";"" &amp; CHAR(10)), $A:$AO, 41, FALSE)))))"),"ELI5;")</f>
        <v>ELI5;</v>
      </c>
      <c r="AP1600" s="89"/>
    </row>
    <row r="1601">
      <c r="A1601" s="151" t="str">
        <f>IFERROR(__xludf.DUMMYFUNCTION("""COMPUTED_VALUE"""),"ELI6")</f>
        <v>ELI6</v>
      </c>
      <c r="B1601" s="42" t="str">
        <f>IFERROR(__xludf.DUMMYFUNCTION("""COMPUTED_VALUE"""),"DHBA")</f>
        <v>DHBA</v>
      </c>
      <c r="C1601" s="42" t="str">
        <f>IFERROR(__xludf.DUMMYFUNCTION("""COMPUTED_VALUE"""),"layer VI of lateral intermediate entorhinal cortex")</f>
        <v>layer VI of lateral intermediate entorhinal cortex</v>
      </c>
      <c r="D1601" s="42">
        <f>IFERROR(__xludf.DUMMYFUNCTION("""COMPUTED_VALUE"""),1504.0)</f>
        <v>1504</v>
      </c>
      <c r="E1601" s="39" t="str">
        <f>IFERROR(__xludf.DUMMYFUNCTION("""COMPUTED_VALUE"""),"layer VI of lateral intermediate entorhinal cortex")</f>
        <v>layer VI of lateral intermediate entorhinal cortex</v>
      </c>
      <c r="F1601" s="9" t="str">
        <f>IFERROR(__xludf.DUMMYFUNCTION("""COMPUTED_VALUE"""),"Br")</f>
        <v>Br</v>
      </c>
      <c r="G1601" s="9" t="str">
        <f>IFERROR(__xludf.DUMMYFUNCTION("""COMPUTED_VALUE"""),"F")</f>
        <v>F</v>
      </c>
      <c r="H1601" s="9" t="str">
        <f>IFERROR(__xludf.DUMMYFUNCTION("""COMPUTED_VALUE"""),"FGM")</f>
        <v>FGM</v>
      </c>
      <c r="I1601" s="9" t="str">
        <f>IFERROR(__xludf.DUMMYFUNCTION("""COMPUTED_VALUE"""),"Tel")</f>
        <v>Tel</v>
      </c>
      <c r="J1601" s="9" t="str">
        <f>IFERROR(__xludf.DUMMYFUNCTION("""COMPUTED_VALUE"""),"Cx")</f>
        <v>Cx</v>
      </c>
      <c r="K1601" s="9" t="str">
        <f>IFERROR(__xludf.DUMMYFUNCTION("""COMPUTED_VALUE"""),"PACx")</f>
        <v>PACx</v>
      </c>
      <c r="L1601" s="9" t="str">
        <f>IFERROR(__xludf.DUMMYFUNCTION("""COMPUTED_VALUE"""),"PArCx")</f>
        <v>PArCx</v>
      </c>
      <c r="M1601" s="9" t="str">
        <f>IFERROR(__xludf.DUMMYFUNCTION("""COMPUTED_VALUE"""),"EC")</f>
        <v>EC</v>
      </c>
      <c r="N1601" s="9" t="str">
        <f>IFERROR(__xludf.DUMMYFUNCTION("""COMPUTED_VALUE"""),"MEC")</f>
        <v>MEC</v>
      </c>
      <c r="O1601" s="9" t="str">
        <f>IFERROR(__xludf.DUMMYFUNCTION("""COMPUTED_VALUE"""),"ELI")</f>
        <v>ELI</v>
      </c>
      <c r="P1601" s="9" t="str">
        <f>IFERROR(__xludf.DUMMYFUNCTION("""COMPUTED_VALUE"""),"ELId")</f>
        <v>ELId</v>
      </c>
      <c r="Q1601" s="9" t="str">
        <f>IFERROR(__xludf.DUMMYFUNCTION("""COMPUTED_VALUE"""),"ELI6")</f>
        <v>ELI6</v>
      </c>
      <c r="R1601" s="9"/>
      <c r="S1601" s="42"/>
      <c r="T1601" s="42"/>
      <c r="U1601" s="42"/>
      <c r="V1601" s="42"/>
      <c r="W1601" s="42"/>
      <c r="X1601" s="42"/>
      <c r="Y1601" s="42"/>
      <c r="Z1601" s="42"/>
      <c r="AA1601" s="42"/>
      <c r="AB1601" s="42" t="str">
        <f>IFERROR(__xludf.DUMMYFUNCTION("""COMPUTED_VALUE"""),"allen institute")</f>
        <v>allen institute</v>
      </c>
      <c r="AC1601" s="42" t="str">
        <f>IFERROR(__xludf.DUMMYFUNCTION("""COMPUTED_VALUE"""),"DHBA")</f>
        <v>DHBA</v>
      </c>
      <c r="AD1601" s="42"/>
      <c r="AE1601" s="42"/>
      <c r="AF1601" s="9"/>
      <c r="AG1601" s="9"/>
      <c r="AH1601" s="42"/>
      <c r="AI1601" s="42"/>
      <c r="AJ1601" s="42"/>
      <c r="AK1601" s="42"/>
      <c r="AL1601" s="42"/>
      <c r="AM1601" s="42"/>
      <c r="AN1601" s="42"/>
      <c r="AO1601" s="63" t="str">
        <f>IFERROR(__xludf.DUMMYFUNCTION("IF(ISBLANK(A1601),,IF(ISBLANK(S1601), A1601&amp;"";"", TEXTJOIN(CHAR(10), TRUE, A1601&amp;"";"", ARRAYFORMULA(VLOOKUP(SPLIT(S1601, "";"" &amp; CHAR(10)), $A:$AO, 41, FALSE)))))"),"ELI6;")</f>
        <v>ELI6;</v>
      </c>
      <c r="AP1601" s="89"/>
    </row>
    <row r="1602">
      <c r="A1602" s="151" t="str">
        <f>IFERROR(__xludf.DUMMYFUNCTION("""COMPUTED_VALUE"""),"Ec")</f>
        <v>Ec</v>
      </c>
      <c r="B1602" s="42" t="str">
        <f>IFERROR(__xludf.DUMMYFUNCTION("""COMPUTED_VALUE"""),"DHBA")</f>
        <v>DHBA</v>
      </c>
      <c r="C1602" s="42" t="str">
        <f>IFERROR(__xludf.DUMMYFUNCTION("""COMPUTED_VALUE"""),"caudal part of entorhinal cortex")</f>
        <v>caudal part of entorhinal cortex</v>
      </c>
      <c r="D1602" s="42">
        <f>IFERROR(__xludf.DUMMYFUNCTION("""COMPUTED_VALUE"""),1505.0)</f>
        <v>1505</v>
      </c>
      <c r="E1602" s="39" t="str">
        <f>IFERROR(__xludf.DUMMYFUNCTION("""COMPUTED_VALUE"""),"caudal part of entorhinal cortex")</f>
        <v>caudal part of entorhinal cortex</v>
      </c>
      <c r="F1602" s="9" t="str">
        <f>IFERROR(__xludf.DUMMYFUNCTION("""COMPUTED_VALUE"""),"Br")</f>
        <v>Br</v>
      </c>
      <c r="G1602" s="9" t="str">
        <f>IFERROR(__xludf.DUMMYFUNCTION("""COMPUTED_VALUE"""),"F")</f>
        <v>F</v>
      </c>
      <c r="H1602" s="9" t="str">
        <f>IFERROR(__xludf.DUMMYFUNCTION("""COMPUTED_VALUE"""),"FGM")</f>
        <v>FGM</v>
      </c>
      <c r="I1602" s="9" t="str">
        <f>IFERROR(__xludf.DUMMYFUNCTION("""COMPUTED_VALUE"""),"Tel")</f>
        <v>Tel</v>
      </c>
      <c r="J1602" s="9" t="str">
        <f>IFERROR(__xludf.DUMMYFUNCTION("""COMPUTED_VALUE"""),"Cx")</f>
        <v>Cx</v>
      </c>
      <c r="K1602" s="9" t="str">
        <f>IFERROR(__xludf.DUMMYFUNCTION("""COMPUTED_VALUE"""),"PACx")</f>
        <v>PACx</v>
      </c>
      <c r="L1602" s="9" t="str">
        <f>IFERROR(__xludf.DUMMYFUNCTION("""COMPUTED_VALUE"""),"PArCx")</f>
        <v>PArCx</v>
      </c>
      <c r="M1602" s="9" t="str">
        <f>IFERROR(__xludf.DUMMYFUNCTION("""COMPUTED_VALUE"""),"EC")</f>
        <v>EC</v>
      </c>
      <c r="N1602" s="9" t="str">
        <f>IFERROR(__xludf.DUMMYFUNCTION("""COMPUTED_VALUE"""),"MEC")</f>
        <v>MEC</v>
      </c>
      <c r="O1602" s="9" t="str">
        <f>IFERROR(__xludf.DUMMYFUNCTION("""COMPUTED_VALUE"""),"Ec")</f>
        <v>Ec</v>
      </c>
      <c r="P1602" s="9"/>
      <c r="Q1602" s="9"/>
      <c r="R1602" s="9"/>
      <c r="S1602" s="42" t="str">
        <f>IFERROR(__xludf.DUMMYFUNCTION("""COMPUTED_VALUE"""),"Ec1;
Ecs;
Ecld;
Ecd")</f>
        <v>Ec1;
Ecs;
Ecld;
Ecd</v>
      </c>
      <c r="T1602" s="42"/>
      <c r="U1602" s="42" t="b">
        <f>IFERROR(__xludf.DUMMYFUNCTION("""COMPUTED_VALUE"""),FALSE)</f>
        <v>0</v>
      </c>
      <c r="V1602" s="42"/>
      <c r="W1602" s="42"/>
      <c r="X1602" s="42"/>
      <c r="Y1602" s="42"/>
      <c r="Z1602" s="42"/>
      <c r="AA1602" s="42"/>
      <c r="AB1602" s="42" t="str">
        <f>IFERROR(__xludf.DUMMYFUNCTION("""COMPUTED_VALUE"""),"allen institute")</f>
        <v>allen institute</v>
      </c>
      <c r="AC1602" s="42" t="str">
        <f>IFERROR(__xludf.DUMMYFUNCTION("""COMPUTED_VALUE"""),"DHBA")</f>
        <v>DHBA</v>
      </c>
      <c r="AD1602" s="42"/>
      <c r="AE1602" s="42"/>
      <c r="AF1602" s="9"/>
      <c r="AG1602" s="9"/>
      <c r="AH1602" s="42"/>
      <c r="AI1602" s="42"/>
      <c r="AJ1602" s="42"/>
      <c r="AK1602" s="42"/>
      <c r="AL1602" s="42"/>
      <c r="AM1602" s="42"/>
      <c r="AN1602" s="42"/>
      <c r="AO1602" s="63" t="str">
        <f>IFERROR(__xludf.DUMMYFUNCTION("IF(ISBLANK(A1602),,IF(ISBLANK(S1602), A1602&amp;"";"", TEXTJOIN(CHAR(10), TRUE, A1602&amp;"";"", ARRAYFORMULA(VLOOKUP(SPLIT(S1602, "";"" &amp; CHAR(10)), $A:$AO, 41, FALSE)))))"),"Ec;
Ec1;
Ecs;
Ec2;
Ec3;
Ec3a;
Ec3b;
Ecld;
Ecd;
Ec5;
Ec6;")</f>
        <v>Ec;
Ec1;
Ecs;
Ec2;
Ec3;
Ec3a;
Ec3b;
Ecld;
Ecd;
Ec5;
Ec6;</v>
      </c>
      <c r="AP1602" s="89"/>
    </row>
    <row r="1603">
      <c r="A1603" s="151" t="str">
        <f>IFERROR(__xludf.DUMMYFUNCTION("""COMPUTED_VALUE"""),"Ec1")</f>
        <v>Ec1</v>
      </c>
      <c r="B1603" s="42" t="str">
        <f>IFERROR(__xludf.DUMMYFUNCTION("""COMPUTED_VALUE"""),"DHBA")</f>
        <v>DHBA</v>
      </c>
      <c r="C1603" s="42" t="str">
        <f>IFERROR(__xludf.DUMMYFUNCTION("""COMPUTED_VALUE"""),"layer I of caudal entorhinal cortex")</f>
        <v>layer I of caudal entorhinal cortex</v>
      </c>
      <c r="D1603" s="42">
        <f>IFERROR(__xludf.DUMMYFUNCTION("""COMPUTED_VALUE"""),1506.0)</f>
        <v>1506</v>
      </c>
      <c r="E1603" s="39" t="str">
        <f>IFERROR(__xludf.DUMMYFUNCTION("""COMPUTED_VALUE"""),"layer I of caudal entorhinal cortex")</f>
        <v>layer I of caudal entorhinal cortex</v>
      </c>
      <c r="F1603" s="9" t="str">
        <f>IFERROR(__xludf.DUMMYFUNCTION("""COMPUTED_VALUE"""),"Br")</f>
        <v>Br</v>
      </c>
      <c r="G1603" s="9" t="str">
        <f>IFERROR(__xludf.DUMMYFUNCTION("""COMPUTED_VALUE"""),"F")</f>
        <v>F</v>
      </c>
      <c r="H1603" s="9" t="str">
        <f>IFERROR(__xludf.DUMMYFUNCTION("""COMPUTED_VALUE"""),"FGM")</f>
        <v>FGM</v>
      </c>
      <c r="I1603" s="9" t="str">
        <f>IFERROR(__xludf.DUMMYFUNCTION("""COMPUTED_VALUE"""),"Tel")</f>
        <v>Tel</v>
      </c>
      <c r="J1603" s="9" t="str">
        <f>IFERROR(__xludf.DUMMYFUNCTION("""COMPUTED_VALUE"""),"Cx")</f>
        <v>Cx</v>
      </c>
      <c r="K1603" s="9" t="str">
        <f>IFERROR(__xludf.DUMMYFUNCTION("""COMPUTED_VALUE"""),"PACx")</f>
        <v>PACx</v>
      </c>
      <c r="L1603" s="9" t="str">
        <f>IFERROR(__xludf.DUMMYFUNCTION("""COMPUTED_VALUE"""),"PArCx")</f>
        <v>PArCx</v>
      </c>
      <c r="M1603" s="9" t="str">
        <f>IFERROR(__xludf.DUMMYFUNCTION("""COMPUTED_VALUE"""),"EC")</f>
        <v>EC</v>
      </c>
      <c r="N1603" s="9" t="str">
        <f>IFERROR(__xludf.DUMMYFUNCTION("""COMPUTED_VALUE"""),"MEC")</f>
        <v>MEC</v>
      </c>
      <c r="O1603" s="9" t="str">
        <f>IFERROR(__xludf.DUMMYFUNCTION("""COMPUTED_VALUE"""),"Ec")</f>
        <v>Ec</v>
      </c>
      <c r="P1603" s="9" t="str">
        <f>IFERROR(__xludf.DUMMYFUNCTION("""COMPUTED_VALUE"""),"Ec1")</f>
        <v>Ec1</v>
      </c>
      <c r="Q1603" s="9"/>
      <c r="R1603" s="9"/>
      <c r="S1603" s="42"/>
      <c r="T1603" s="42"/>
      <c r="U1603" s="42"/>
      <c r="V1603" s="42"/>
      <c r="W1603" s="42"/>
      <c r="X1603" s="42"/>
      <c r="Y1603" s="42"/>
      <c r="Z1603" s="42"/>
      <c r="AA1603" s="42"/>
      <c r="AB1603" s="42" t="str">
        <f>IFERROR(__xludf.DUMMYFUNCTION("""COMPUTED_VALUE"""),"allen institute")</f>
        <v>allen institute</v>
      </c>
      <c r="AC1603" s="42" t="str">
        <f>IFERROR(__xludf.DUMMYFUNCTION("""COMPUTED_VALUE"""),"DHBA")</f>
        <v>DHBA</v>
      </c>
      <c r="AD1603" s="42"/>
      <c r="AE1603" s="42"/>
      <c r="AF1603" s="9"/>
      <c r="AG1603" s="9"/>
      <c r="AH1603" s="42"/>
      <c r="AI1603" s="42"/>
      <c r="AJ1603" s="42"/>
      <c r="AK1603" s="42"/>
      <c r="AL1603" s="42"/>
      <c r="AM1603" s="42"/>
      <c r="AN1603" s="42"/>
      <c r="AO1603" s="63" t="str">
        <f>IFERROR(__xludf.DUMMYFUNCTION("IF(ISBLANK(A1603),,IF(ISBLANK(S1603), A1603&amp;"";"", TEXTJOIN(CHAR(10), TRUE, A1603&amp;"";"", ARRAYFORMULA(VLOOKUP(SPLIT(S1603, "";"" &amp; CHAR(10)), $A:$AO, 41, FALSE)))))"),"Ec1;")</f>
        <v>Ec1;</v>
      </c>
      <c r="AP1603" s="89"/>
    </row>
    <row r="1604">
      <c r="A1604" s="151" t="str">
        <f>IFERROR(__xludf.DUMMYFUNCTION("""COMPUTED_VALUE"""),"Ecs")</f>
        <v>Ecs</v>
      </c>
      <c r="B1604" s="42" t="str">
        <f>IFERROR(__xludf.DUMMYFUNCTION("""COMPUTED_VALUE"""),"DHBA")</f>
        <v>DHBA</v>
      </c>
      <c r="C1604" s="42" t="str">
        <f>IFERROR(__xludf.DUMMYFUNCTION("""COMPUTED_VALUE"""),"superficial layers of caudal entorhinal cortex")</f>
        <v>superficial layers of caudal entorhinal cortex</v>
      </c>
      <c r="D1604" s="42">
        <f>IFERROR(__xludf.DUMMYFUNCTION("""COMPUTED_VALUE"""),1507.0)</f>
        <v>1507</v>
      </c>
      <c r="E1604" s="39" t="str">
        <f>IFERROR(__xludf.DUMMYFUNCTION("""COMPUTED_VALUE"""),"superficial layers of caudal entorhinal cortex")</f>
        <v>superficial layers of caudal entorhinal cortex</v>
      </c>
      <c r="F1604" s="9" t="str">
        <f>IFERROR(__xludf.DUMMYFUNCTION("""COMPUTED_VALUE"""),"Br")</f>
        <v>Br</v>
      </c>
      <c r="G1604" s="9" t="str">
        <f>IFERROR(__xludf.DUMMYFUNCTION("""COMPUTED_VALUE"""),"F")</f>
        <v>F</v>
      </c>
      <c r="H1604" s="9" t="str">
        <f>IFERROR(__xludf.DUMMYFUNCTION("""COMPUTED_VALUE"""),"FGM")</f>
        <v>FGM</v>
      </c>
      <c r="I1604" s="9" t="str">
        <f>IFERROR(__xludf.DUMMYFUNCTION("""COMPUTED_VALUE"""),"Tel")</f>
        <v>Tel</v>
      </c>
      <c r="J1604" s="9" t="str">
        <f>IFERROR(__xludf.DUMMYFUNCTION("""COMPUTED_VALUE"""),"Cx")</f>
        <v>Cx</v>
      </c>
      <c r="K1604" s="9" t="str">
        <f>IFERROR(__xludf.DUMMYFUNCTION("""COMPUTED_VALUE"""),"PACx")</f>
        <v>PACx</v>
      </c>
      <c r="L1604" s="9" t="str">
        <f>IFERROR(__xludf.DUMMYFUNCTION("""COMPUTED_VALUE"""),"PArCx")</f>
        <v>PArCx</v>
      </c>
      <c r="M1604" s="9" t="str">
        <f>IFERROR(__xludf.DUMMYFUNCTION("""COMPUTED_VALUE"""),"EC")</f>
        <v>EC</v>
      </c>
      <c r="N1604" s="9" t="str">
        <f>IFERROR(__xludf.DUMMYFUNCTION("""COMPUTED_VALUE"""),"MEC")</f>
        <v>MEC</v>
      </c>
      <c r="O1604" s="9" t="str">
        <f>IFERROR(__xludf.DUMMYFUNCTION("""COMPUTED_VALUE"""),"Ec")</f>
        <v>Ec</v>
      </c>
      <c r="P1604" s="9" t="str">
        <f>IFERROR(__xludf.DUMMYFUNCTION("""COMPUTED_VALUE"""),"Ecs")</f>
        <v>Ecs</v>
      </c>
      <c r="Q1604" s="9"/>
      <c r="R1604" s="9"/>
      <c r="S1604" s="42" t="str">
        <f>IFERROR(__xludf.DUMMYFUNCTION("""COMPUTED_VALUE"""),"Ec2;
Ec3")</f>
        <v>Ec2;
Ec3</v>
      </c>
      <c r="T1604" s="42"/>
      <c r="U1604" s="42" t="b">
        <f>IFERROR(__xludf.DUMMYFUNCTION("""COMPUTED_VALUE"""),FALSE)</f>
        <v>0</v>
      </c>
      <c r="V1604" s="42"/>
      <c r="W1604" s="42"/>
      <c r="X1604" s="42"/>
      <c r="Y1604" s="42"/>
      <c r="Z1604" s="42"/>
      <c r="AA1604" s="42"/>
      <c r="AB1604" s="42" t="str">
        <f>IFERROR(__xludf.DUMMYFUNCTION("""COMPUTED_VALUE"""),"allen institute")</f>
        <v>allen institute</v>
      </c>
      <c r="AC1604" s="42" t="str">
        <f>IFERROR(__xludf.DUMMYFUNCTION("""COMPUTED_VALUE"""),"DHBA")</f>
        <v>DHBA</v>
      </c>
      <c r="AD1604" s="42"/>
      <c r="AE1604" s="42"/>
      <c r="AF1604" s="9"/>
      <c r="AG1604" s="9"/>
      <c r="AH1604" s="42"/>
      <c r="AI1604" s="42"/>
      <c r="AJ1604" s="42"/>
      <c r="AK1604" s="42"/>
      <c r="AL1604" s="42"/>
      <c r="AM1604" s="42"/>
      <c r="AN1604" s="42"/>
      <c r="AO1604" s="63" t="str">
        <f>IFERROR(__xludf.DUMMYFUNCTION("IF(ISBLANK(A1604),,IF(ISBLANK(S1604), A1604&amp;"";"", TEXTJOIN(CHAR(10), TRUE, A1604&amp;"";"", ARRAYFORMULA(VLOOKUP(SPLIT(S1604, "";"" &amp; CHAR(10)), $A:$AO, 41, FALSE)))))"),"Ecs;
Ec2;
Ec3;
Ec3a;
Ec3b;")</f>
        <v>Ecs;
Ec2;
Ec3;
Ec3a;
Ec3b;</v>
      </c>
      <c r="AP1604" s="89"/>
    </row>
    <row r="1605">
      <c r="A1605" s="151" t="str">
        <f>IFERROR(__xludf.DUMMYFUNCTION("""COMPUTED_VALUE"""),"Ec2")</f>
        <v>Ec2</v>
      </c>
      <c r="B1605" s="42" t="str">
        <f>IFERROR(__xludf.DUMMYFUNCTION("""COMPUTED_VALUE"""),"DHBA")</f>
        <v>DHBA</v>
      </c>
      <c r="C1605" s="42" t="str">
        <f>IFERROR(__xludf.DUMMYFUNCTION("""COMPUTED_VALUE"""),"layer II of caudal entorhinal cortex")</f>
        <v>layer II of caudal entorhinal cortex</v>
      </c>
      <c r="D1605" s="42">
        <f>IFERROR(__xludf.DUMMYFUNCTION("""COMPUTED_VALUE"""),1508.0)</f>
        <v>1508</v>
      </c>
      <c r="E1605" s="39" t="str">
        <f>IFERROR(__xludf.DUMMYFUNCTION("""COMPUTED_VALUE"""),"layer II of caudal entorhinal cortex")</f>
        <v>layer II of caudal entorhinal cortex</v>
      </c>
      <c r="F1605" s="9" t="str">
        <f>IFERROR(__xludf.DUMMYFUNCTION("""COMPUTED_VALUE"""),"Br")</f>
        <v>Br</v>
      </c>
      <c r="G1605" s="9" t="str">
        <f>IFERROR(__xludf.DUMMYFUNCTION("""COMPUTED_VALUE"""),"F")</f>
        <v>F</v>
      </c>
      <c r="H1605" s="9" t="str">
        <f>IFERROR(__xludf.DUMMYFUNCTION("""COMPUTED_VALUE"""),"FGM")</f>
        <v>FGM</v>
      </c>
      <c r="I1605" s="9" t="str">
        <f>IFERROR(__xludf.DUMMYFUNCTION("""COMPUTED_VALUE"""),"Tel")</f>
        <v>Tel</v>
      </c>
      <c r="J1605" s="9" t="str">
        <f>IFERROR(__xludf.DUMMYFUNCTION("""COMPUTED_VALUE"""),"Cx")</f>
        <v>Cx</v>
      </c>
      <c r="K1605" s="9" t="str">
        <f>IFERROR(__xludf.DUMMYFUNCTION("""COMPUTED_VALUE"""),"PACx")</f>
        <v>PACx</v>
      </c>
      <c r="L1605" s="9" t="str">
        <f>IFERROR(__xludf.DUMMYFUNCTION("""COMPUTED_VALUE"""),"PArCx")</f>
        <v>PArCx</v>
      </c>
      <c r="M1605" s="9" t="str">
        <f>IFERROR(__xludf.DUMMYFUNCTION("""COMPUTED_VALUE"""),"EC")</f>
        <v>EC</v>
      </c>
      <c r="N1605" s="9" t="str">
        <f>IFERROR(__xludf.DUMMYFUNCTION("""COMPUTED_VALUE"""),"MEC")</f>
        <v>MEC</v>
      </c>
      <c r="O1605" s="9" t="str">
        <f>IFERROR(__xludf.DUMMYFUNCTION("""COMPUTED_VALUE"""),"Ec")</f>
        <v>Ec</v>
      </c>
      <c r="P1605" s="9" t="str">
        <f>IFERROR(__xludf.DUMMYFUNCTION("""COMPUTED_VALUE"""),"Ecs")</f>
        <v>Ecs</v>
      </c>
      <c r="Q1605" s="9" t="str">
        <f>IFERROR(__xludf.DUMMYFUNCTION("""COMPUTED_VALUE"""),"Ec2")</f>
        <v>Ec2</v>
      </c>
      <c r="R1605" s="9"/>
      <c r="S1605" s="42"/>
      <c r="T1605" s="42"/>
      <c r="U1605" s="42"/>
      <c r="V1605" s="42"/>
      <c r="W1605" s="42"/>
      <c r="X1605" s="42"/>
      <c r="Y1605" s="42"/>
      <c r="Z1605" s="42"/>
      <c r="AA1605" s="42"/>
      <c r="AB1605" s="42" t="str">
        <f>IFERROR(__xludf.DUMMYFUNCTION("""COMPUTED_VALUE"""),"allen institute")</f>
        <v>allen institute</v>
      </c>
      <c r="AC1605" s="42" t="str">
        <f>IFERROR(__xludf.DUMMYFUNCTION("""COMPUTED_VALUE"""),"DHBA")</f>
        <v>DHBA</v>
      </c>
      <c r="AD1605" s="42"/>
      <c r="AE1605" s="42"/>
      <c r="AF1605" s="9"/>
      <c r="AG1605" s="9"/>
      <c r="AH1605" s="42"/>
      <c r="AI1605" s="42"/>
      <c r="AJ1605" s="42"/>
      <c r="AK1605" s="42"/>
      <c r="AL1605" s="42"/>
      <c r="AM1605" s="42"/>
      <c r="AN1605" s="42"/>
      <c r="AO1605" s="63" t="str">
        <f>IFERROR(__xludf.DUMMYFUNCTION("IF(ISBLANK(A1605),,IF(ISBLANK(S1605), A1605&amp;"";"", TEXTJOIN(CHAR(10), TRUE, A1605&amp;"";"", ARRAYFORMULA(VLOOKUP(SPLIT(S1605, "";"" &amp; CHAR(10)), $A:$AO, 41, FALSE)))))"),"Ec2;")</f>
        <v>Ec2;</v>
      </c>
      <c r="AP1605" s="89"/>
    </row>
    <row r="1606">
      <c r="A1606" s="151" t="str">
        <f>IFERROR(__xludf.DUMMYFUNCTION("""COMPUTED_VALUE"""),"Ec3")</f>
        <v>Ec3</v>
      </c>
      <c r="B1606" s="42" t="str">
        <f>IFERROR(__xludf.DUMMYFUNCTION("""COMPUTED_VALUE"""),"DHBA")</f>
        <v>DHBA</v>
      </c>
      <c r="C1606" s="42" t="str">
        <f>IFERROR(__xludf.DUMMYFUNCTION("""COMPUTED_VALUE"""),"layer III of caudal entorhinal cortex")</f>
        <v>layer III of caudal entorhinal cortex</v>
      </c>
      <c r="D1606" s="42">
        <f>IFERROR(__xludf.DUMMYFUNCTION("""COMPUTED_VALUE"""),1509.0)</f>
        <v>1509</v>
      </c>
      <c r="E1606" s="39" t="str">
        <f>IFERROR(__xludf.DUMMYFUNCTION("""COMPUTED_VALUE"""),"layer III of caudal entorhinal cortex")</f>
        <v>layer III of caudal entorhinal cortex</v>
      </c>
      <c r="F1606" s="9" t="str">
        <f>IFERROR(__xludf.DUMMYFUNCTION("""COMPUTED_VALUE"""),"Br")</f>
        <v>Br</v>
      </c>
      <c r="G1606" s="9" t="str">
        <f>IFERROR(__xludf.DUMMYFUNCTION("""COMPUTED_VALUE"""),"F")</f>
        <v>F</v>
      </c>
      <c r="H1606" s="9" t="str">
        <f>IFERROR(__xludf.DUMMYFUNCTION("""COMPUTED_VALUE"""),"FGM")</f>
        <v>FGM</v>
      </c>
      <c r="I1606" s="9" t="str">
        <f>IFERROR(__xludf.DUMMYFUNCTION("""COMPUTED_VALUE"""),"Tel")</f>
        <v>Tel</v>
      </c>
      <c r="J1606" s="9" t="str">
        <f>IFERROR(__xludf.DUMMYFUNCTION("""COMPUTED_VALUE"""),"Cx")</f>
        <v>Cx</v>
      </c>
      <c r="K1606" s="9" t="str">
        <f>IFERROR(__xludf.DUMMYFUNCTION("""COMPUTED_VALUE"""),"PACx")</f>
        <v>PACx</v>
      </c>
      <c r="L1606" s="9" t="str">
        <f>IFERROR(__xludf.DUMMYFUNCTION("""COMPUTED_VALUE"""),"PArCx")</f>
        <v>PArCx</v>
      </c>
      <c r="M1606" s="9" t="str">
        <f>IFERROR(__xludf.DUMMYFUNCTION("""COMPUTED_VALUE"""),"EC")</f>
        <v>EC</v>
      </c>
      <c r="N1606" s="9" t="str">
        <f>IFERROR(__xludf.DUMMYFUNCTION("""COMPUTED_VALUE"""),"MEC")</f>
        <v>MEC</v>
      </c>
      <c r="O1606" s="9" t="str">
        <f>IFERROR(__xludf.DUMMYFUNCTION("""COMPUTED_VALUE"""),"Ec")</f>
        <v>Ec</v>
      </c>
      <c r="P1606" s="9" t="str">
        <f>IFERROR(__xludf.DUMMYFUNCTION("""COMPUTED_VALUE"""),"Ecs")</f>
        <v>Ecs</v>
      </c>
      <c r="Q1606" s="9" t="str">
        <f>IFERROR(__xludf.DUMMYFUNCTION("""COMPUTED_VALUE"""),"Ec3")</f>
        <v>Ec3</v>
      </c>
      <c r="R1606" s="9"/>
      <c r="S1606" s="42" t="str">
        <f>IFERROR(__xludf.DUMMYFUNCTION("""COMPUTED_VALUE"""),"Ec3a;
Ec3b")</f>
        <v>Ec3a;
Ec3b</v>
      </c>
      <c r="T1606" s="42"/>
      <c r="U1606" s="42" t="b">
        <f>IFERROR(__xludf.DUMMYFUNCTION("""COMPUTED_VALUE"""),FALSE)</f>
        <v>0</v>
      </c>
      <c r="V1606" s="42"/>
      <c r="W1606" s="42"/>
      <c r="X1606" s="42"/>
      <c r="Y1606" s="42"/>
      <c r="Z1606" s="42"/>
      <c r="AA1606" s="42"/>
      <c r="AB1606" s="42" t="str">
        <f>IFERROR(__xludf.DUMMYFUNCTION("""COMPUTED_VALUE"""),"allen institute")</f>
        <v>allen institute</v>
      </c>
      <c r="AC1606" s="42" t="str">
        <f>IFERROR(__xludf.DUMMYFUNCTION("""COMPUTED_VALUE"""),"DHBA")</f>
        <v>DHBA</v>
      </c>
      <c r="AD1606" s="42"/>
      <c r="AE1606" s="42"/>
      <c r="AF1606" s="9"/>
      <c r="AG1606" s="9"/>
      <c r="AH1606" s="42"/>
      <c r="AI1606" s="42"/>
      <c r="AJ1606" s="42"/>
      <c r="AK1606" s="42"/>
      <c r="AL1606" s="42"/>
      <c r="AM1606" s="42"/>
      <c r="AN1606" s="42"/>
      <c r="AO1606" s="63" t="str">
        <f>IFERROR(__xludf.DUMMYFUNCTION("IF(ISBLANK(A1606),,IF(ISBLANK(S1606), A1606&amp;"";"", TEXTJOIN(CHAR(10), TRUE, A1606&amp;"";"", ARRAYFORMULA(VLOOKUP(SPLIT(S1606, "";"" &amp; CHAR(10)), $A:$AO, 41, FALSE)))))"),"Ec3;
Ec3a;
Ec3b;")</f>
        <v>Ec3;
Ec3a;
Ec3b;</v>
      </c>
      <c r="AP1606" s="89"/>
    </row>
    <row r="1607">
      <c r="A1607" s="151" t="str">
        <f>IFERROR(__xludf.DUMMYFUNCTION("""COMPUTED_VALUE"""),"Ec3a")</f>
        <v>Ec3a</v>
      </c>
      <c r="B1607" s="42" t="str">
        <f>IFERROR(__xludf.DUMMYFUNCTION("""COMPUTED_VALUE"""),"DHBA")</f>
        <v>DHBA</v>
      </c>
      <c r="C1607" s="42" t="str">
        <f>IFERROR(__xludf.DUMMYFUNCTION("""COMPUTED_VALUE"""),"layer IIIa of caudal entorhinal cortex")</f>
        <v>layer IIIa of caudal entorhinal cortex</v>
      </c>
      <c r="D1607" s="42">
        <f>IFERROR(__xludf.DUMMYFUNCTION("""COMPUTED_VALUE"""),1510.0)</f>
        <v>1510</v>
      </c>
      <c r="E1607" s="39" t="str">
        <f>IFERROR(__xludf.DUMMYFUNCTION("""COMPUTED_VALUE"""),"layer IIIa of caudal entorhinal cortex")</f>
        <v>layer IIIa of caudal entorhinal cortex</v>
      </c>
      <c r="F1607" s="9" t="str">
        <f>IFERROR(__xludf.DUMMYFUNCTION("""COMPUTED_VALUE"""),"Br")</f>
        <v>Br</v>
      </c>
      <c r="G1607" s="9" t="str">
        <f>IFERROR(__xludf.DUMMYFUNCTION("""COMPUTED_VALUE"""),"F")</f>
        <v>F</v>
      </c>
      <c r="H1607" s="9" t="str">
        <f>IFERROR(__xludf.DUMMYFUNCTION("""COMPUTED_VALUE"""),"FGM")</f>
        <v>FGM</v>
      </c>
      <c r="I1607" s="9" t="str">
        <f>IFERROR(__xludf.DUMMYFUNCTION("""COMPUTED_VALUE"""),"Tel")</f>
        <v>Tel</v>
      </c>
      <c r="J1607" s="9" t="str">
        <f>IFERROR(__xludf.DUMMYFUNCTION("""COMPUTED_VALUE"""),"Cx")</f>
        <v>Cx</v>
      </c>
      <c r="K1607" s="9" t="str">
        <f>IFERROR(__xludf.DUMMYFUNCTION("""COMPUTED_VALUE"""),"PACx")</f>
        <v>PACx</v>
      </c>
      <c r="L1607" s="9" t="str">
        <f>IFERROR(__xludf.DUMMYFUNCTION("""COMPUTED_VALUE"""),"PArCx")</f>
        <v>PArCx</v>
      </c>
      <c r="M1607" s="9" t="str">
        <f>IFERROR(__xludf.DUMMYFUNCTION("""COMPUTED_VALUE"""),"EC")</f>
        <v>EC</v>
      </c>
      <c r="N1607" s="9" t="str">
        <f>IFERROR(__xludf.DUMMYFUNCTION("""COMPUTED_VALUE"""),"MEC")</f>
        <v>MEC</v>
      </c>
      <c r="O1607" s="9" t="str">
        <f>IFERROR(__xludf.DUMMYFUNCTION("""COMPUTED_VALUE"""),"Ec")</f>
        <v>Ec</v>
      </c>
      <c r="P1607" s="9" t="str">
        <f>IFERROR(__xludf.DUMMYFUNCTION("""COMPUTED_VALUE"""),"Ecs")</f>
        <v>Ecs</v>
      </c>
      <c r="Q1607" s="9" t="str">
        <f>IFERROR(__xludf.DUMMYFUNCTION("""COMPUTED_VALUE"""),"Ec3")</f>
        <v>Ec3</v>
      </c>
      <c r="R1607" s="9" t="str">
        <f>IFERROR(__xludf.DUMMYFUNCTION("""COMPUTED_VALUE"""),"Ec3a")</f>
        <v>Ec3a</v>
      </c>
      <c r="S1607" s="42"/>
      <c r="T1607" s="42"/>
      <c r="U1607" s="42"/>
      <c r="V1607" s="42"/>
      <c r="W1607" s="42"/>
      <c r="X1607" s="42"/>
      <c r="Y1607" s="42"/>
      <c r="Z1607" s="42"/>
      <c r="AA1607" s="42"/>
      <c r="AB1607" s="42" t="str">
        <f>IFERROR(__xludf.DUMMYFUNCTION("""COMPUTED_VALUE"""),"allen institute")</f>
        <v>allen institute</v>
      </c>
      <c r="AC1607" s="42" t="str">
        <f>IFERROR(__xludf.DUMMYFUNCTION("""COMPUTED_VALUE"""),"DHBA")</f>
        <v>DHBA</v>
      </c>
      <c r="AD1607" s="42"/>
      <c r="AE1607" s="42"/>
      <c r="AF1607" s="9"/>
      <c r="AG1607" s="9"/>
      <c r="AH1607" s="42"/>
      <c r="AI1607" s="42"/>
      <c r="AJ1607" s="42"/>
      <c r="AK1607" s="42"/>
      <c r="AL1607" s="42"/>
      <c r="AM1607" s="42"/>
      <c r="AN1607" s="42"/>
      <c r="AO1607" s="63" t="str">
        <f>IFERROR(__xludf.DUMMYFUNCTION("IF(ISBLANK(A1607),,IF(ISBLANK(S1607), A1607&amp;"";"", TEXTJOIN(CHAR(10), TRUE, A1607&amp;"";"", ARRAYFORMULA(VLOOKUP(SPLIT(S1607, "";"" &amp; CHAR(10)), $A:$AO, 41, FALSE)))))"),"Ec3a;")</f>
        <v>Ec3a;</v>
      </c>
      <c r="AP1607" s="89"/>
    </row>
    <row r="1608">
      <c r="A1608" s="151" t="str">
        <f>IFERROR(__xludf.DUMMYFUNCTION("""COMPUTED_VALUE"""),"Ec3b")</f>
        <v>Ec3b</v>
      </c>
      <c r="B1608" s="42" t="str">
        <f>IFERROR(__xludf.DUMMYFUNCTION("""COMPUTED_VALUE"""),"DHBA")</f>
        <v>DHBA</v>
      </c>
      <c r="C1608" s="42" t="str">
        <f>IFERROR(__xludf.DUMMYFUNCTION("""COMPUTED_VALUE"""),"layer IIIb of caudal entorhinal cortex")</f>
        <v>layer IIIb of caudal entorhinal cortex</v>
      </c>
      <c r="D1608" s="42">
        <f>IFERROR(__xludf.DUMMYFUNCTION("""COMPUTED_VALUE"""),1511.0)</f>
        <v>1511</v>
      </c>
      <c r="E1608" s="39" t="str">
        <f>IFERROR(__xludf.DUMMYFUNCTION("""COMPUTED_VALUE"""),"layer IIIb of caudal entorhinal cortex")</f>
        <v>layer IIIb of caudal entorhinal cortex</v>
      </c>
      <c r="F1608" s="9" t="str">
        <f>IFERROR(__xludf.DUMMYFUNCTION("""COMPUTED_VALUE"""),"Br")</f>
        <v>Br</v>
      </c>
      <c r="G1608" s="9" t="str">
        <f>IFERROR(__xludf.DUMMYFUNCTION("""COMPUTED_VALUE"""),"F")</f>
        <v>F</v>
      </c>
      <c r="H1608" s="9" t="str">
        <f>IFERROR(__xludf.DUMMYFUNCTION("""COMPUTED_VALUE"""),"FGM")</f>
        <v>FGM</v>
      </c>
      <c r="I1608" s="9" t="str">
        <f>IFERROR(__xludf.DUMMYFUNCTION("""COMPUTED_VALUE"""),"Tel")</f>
        <v>Tel</v>
      </c>
      <c r="J1608" s="9" t="str">
        <f>IFERROR(__xludf.DUMMYFUNCTION("""COMPUTED_VALUE"""),"Cx")</f>
        <v>Cx</v>
      </c>
      <c r="K1608" s="9" t="str">
        <f>IFERROR(__xludf.DUMMYFUNCTION("""COMPUTED_VALUE"""),"PACx")</f>
        <v>PACx</v>
      </c>
      <c r="L1608" s="9" t="str">
        <f>IFERROR(__xludf.DUMMYFUNCTION("""COMPUTED_VALUE"""),"PArCx")</f>
        <v>PArCx</v>
      </c>
      <c r="M1608" s="9" t="str">
        <f>IFERROR(__xludf.DUMMYFUNCTION("""COMPUTED_VALUE"""),"EC")</f>
        <v>EC</v>
      </c>
      <c r="N1608" s="9" t="str">
        <f>IFERROR(__xludf.DUMMYFUNCTION("""COMPUTED_VALUE"""),"MEC")</f>
        <v>MEC</v>
      </c>
      <c r="O1608" s="9" t="str">
        <f>IFERROR(__xludf.DUMMYFUNCTION("""COMPUTED_VALUE"""),"Ec")</f>
        <v>Ec</v>
      </c>
      <c r="P1608" s="9" t="str">
        <f>IFERROR(__xludf.DUMMYFUNCTION("""COMPUTED_VALUE"""),"Ecs")</f>
        <v>Ecs</v>
      </c>
      <c r="Q1608" s="9" t="str">
        <f>IFERROR(__xludf.DUMMYFUNCTION("""COMPUTED_VALUE"""),"Ec3")</f>
        <v>Ec3</v>
      </c>
      <c r="R1608" s="9" t="str">
        <f>IFERROR(__xludf.DUMMYFUNCTION("""COMPUTED_VALUE"""),"Ec3b")</f>
        <v>Ec3b</v>
      </c>
      <c r="S1608" s="42"/>
      <c r="T1608" s="42"/>
      <c r="U1608" s="42"/>
      <c r="V1608" s="42"/>
      <c r="W1608" s="42"/>
      <c r="X1608" s="42"/>
      <c r="Y1608" s="42"/>
      <c r="Z1608" s="42"/>
      <c r="AA1608" s="42"/>
      <c r="AB1608" s="42" t="str">
        <f>IFERROR(__xludf.DUMMYFUNCTION("""COMPUTED_VALUE"""),"allen institute")</f>
        <v>allen institute</v>
      </c>
      <c r="AC1608" s="42" t="str">
        <f>IFERROR(__xludf.DUMMYFUNCTION("""COMPUTED_VALUE"""),"DHBA")</f>
        <v>DHBA</v>
      </c>
      <c r="AD1608" s="42"/>
      <c r="AE1608" s="42"/>
      <c r="AF1608" s="9"/>
      <c r="AG1608" s="9"/>
      <c r="AH1608" s="42"/>
      <c r="AI1608" s="42"/>
      <c r="AJ1608" s="42"/>
      <c r="AK1608" s="42"/>
      <c r="AL1608" s="42"/>
      <c r="AM1608" s="42"/>
      <c r="AN1608" s="42"/>
      <c r="AO1608" s="63" t="str">
        <f>IFERROR(__xludf.DUMMYFUNCTION("IF(ISBLANK(A1608),,IF(ISBLANK(S1608), A1608&amp;"";"", TEXTJOIN(CHAR(10), TRUE, A1608&amp;"";"", ARRAYFORMULA(VLOOKUP(SPLIT(S1608, "";"" &amp; CHAR(10)), $A:$AO, 41, FALSE)))))"),"Ec3b;")</f>
        <v>Ec3b;</v>
      </c>
      <c r="AP1608" s="89"/>
    </row>
    <row r="1609">
      <c r="A1609" s="151" t="str">
        <f>IFERROR(__xludf.DUMMYFUNCTION("""COMPUTED_VALUE"""),"Ecld")</f>
        <v>Ecld</v>
      </c>
      <c r="B1609" s="42" t="str">
        <f>IFERROR(__xludf.DUMMYFUNCTION("""COMPUTED_VALUE"""),"DHBA")</f>
        <v>DHBA</v>
      </c>
      <c r="C1609" s="42" t="str">
        <f>IFERROR(__xludf.DUMMYFUNCTION("""COMPUTED_VALUE"""),"lamina dissecans of caudal entorhinal cortex")</f>
        <v>lamina dissecans of caudal entorhinal cortex</v>
      </c>
      <c r="D1609" s="42">
        <f>IFERROR(__xludf.DUMMYFUNCTION("""COMPUTED_VALUE"""),1512.0)</f>
        <v>1512</v>
      </c>
      <c r="E1609" s="39" t="str">
        <f>IFERROR(__xludf.DUMMYFUNCTION("""COMPUTED_VALUE"""),"lamina dissecans of caudal entorhinal cortex")</f>
        <v>lamina dissecans of caudal entorhinal cortex</v>
      </c>
      <c r="F1609" s="9" t="str">
        <f>IFERROR(__xludf.DUMMYFUNCTION("""COMPUTED_VALUE"""),"Br")</f>
        <v>Br</v>
      </c>
      <c r="G1609" s="9" t="str">
        <f>IFERROR(__xludf.DUMMYFUNCTION("""COMPUTED_VALUE"""),"F")</f>
        <v>F</v>
      </c>
      <c r="H1609" s="9" t="str">
        <f>IFERROR(__xludf.DUMMYFUNCTION("""COMPUTED_VALUE"""),"FGM")</f>
        <v>FGM</v>
      </c>
      <c r="I1609" s="9" t="str">
        <f>IFERROR(__xludf.DUMMYFUNCTION("""COMPUTED_VALUE"""),"Tel")</f>
        <v>Tel</v>
      </c>
      <c r="J1609" s="9" t="str">
        <f>IFERROR(__xludf.DUMMYFUNCTION("""COMPUTED_VALUE"""),"Cx")</f>
        <v>Cx</v>
      </c>
      <c r="K1609" s="9" t="str">
        <f>IFERROR(__xludf.DUMMYFUNCTION("""COMPUTED_VALUE"""),"PACx")</f>
        <v>PACx</v>
      </c>
      <c r="L1609" s="9" t="str">
        <f>IFERROR(__xludf.DUMMYFUNCTION("""COMPUTED_VALUE"""),"PArCx")</f>
        <v>PArCx</v>
      </c>
      <c r="M1609" s="9" t="str">
        <f>IFERROR(__xludf.DUMMYFUNCTION("""COMPUTED_VALUE"""),"EC")</f>
        <v>EC</v>
      </c>
      <c r="N1609" s="9" t="str">
        <f>IFERROR(__xludf.DUMMYFUNCTION("""COMPUTED_VALUE"""),"MEC")</f>
        <v>MEC</v>
      </c>
      <c r="O1609" s="9" t="str">
        <f>IFERROR(__xludf.DUMMYFUNCTION("""COMPUTED_VALUE"""),"Ec")</f>
        <v>Ec</v>
      </c>
      <c r="P1609" s="9" t="str">
        <f>IFERROR(__xludf.DUMMYFUNCTION("""COMPUTED_VALUE"""),"Ecld")</f>
        <v>Ecld</v>
      </c>
      <c r="Q1609" s="9"/>
      <c r="R1609" s="9"/>
      <c r="S1609" s="42"/>
      <c r="T1609" s="42"/>
      <c r="U1609" s="42"/>
      <c r="V1609" s="42"/>
      <c r="W1609" s="42"/>
      <c r="X1609" s="42"/>
      <c r="Y1609" s="42"/>
      <c r="Z1609" s="42"/>
      <c r="AA1609" s="42"/>
      <c r="AB1609" s="42" t="str">
        <f>IFERROR(__xludf.DUMMYFUNCTION("""COMPUTED_VALUE"""),"allen institute")</f>
        <v>allen institute</v>
      </c>
      <c r="AC1609" s="42" t="str">
        <f>IFERROR(__xludf.DUMMYFUNCTION("""COMPUTED_VALUE"""),"DHBA")</f>
        <v>DHBA</v>
      </c>
      <c r="AD1609" s="42"/>
      <c r="AE1609" s="42"/>
      <c r="AF1609" s="9"/>
      <c r="AG1609" s="9"/>
      <c r="AH1609" s="42"/>
      <c r="AI1609" s="42"/>
      <c r="AJ1609" s="42"/>
      <c r="AK1609" s="42"/>
      <c r="AL1609" s="42"/>
      <c r="AM1609" s="42"/>
      <c r="AN1609" s="42"/>
      <c r="AO1609" s="63" t="str">
        <f>IFERROR(__xludf.DUMMYFUNCTION("IF(ISBLANK(A1609),,IF(ISBLANK(S1609), A1609&amp;"";"", TEXTJOIN(CHAR(10), TRUE, A1609&amp;"";"", ARRAYFORMULA(VLOOKUP(SPLIT(S1609, "";"" &amp; CHAR(10)), $A:$AO, 41, FALSE)))))"),"Ecld;")</f>
        <v>Ecld;</v>
      </c>
      <c r="AP1609" s="89"/>
    </row>
    <row r="1610">
      <c r="A1610" s="151" t="str">
        <f>IFERROR(__xludf.DUMMYFUNCTION("""COMPUTED_VALUE"""),"Ecd")</f>
        <v>Ecd</v>
      </c>
      <c r="B1610" s="42" t="str">
        <f>IFERROR(__xludf.DUMMYFUNCTION("""COMPUTED_VALUE"""),"DHBA")</f>
        <v>DHBA</v>
      </c>
      <c r="C1610" s="42" t="str">
        <f>IFERROR(__xludf.DUMMYFUNCTION("""COMPUTED_VALUE"""),"deep layers of caudal entorhinal cortex")</f>
        <v>deep layers of caudal entorhinal cortex</v>
      </c>
      <c r="D1610" s="42">
        <f>IFERROR(__xludf.DUMMYFUNCTION("""COMPUTED_VALUE"""),1513.0)</f>
        <v>1513</v>
      </c>
      <c r="E1610" s="39" t="str">
        <f>IFERROR(__xludf.DUMMYFUNCTION("""COMPUTED_VALUE"""),"deep layers of caudal entorhinal cortex")</f>
        <v>deep layers of caudal entorhinal cortex</v>
      </c>
      <c r="F1610" s="9" t="str">
        <f>IFERROR(__xludf.DUMMYFUNCTION("""COMPUTED_VALUE"""),"Br")</f>
        <v>Br</v>
      </c>
      <c r="G1610" s="9" t="str">
        <f>IFERROR(__xludf.DUMMYFUNCTION("""COMPUTED_VALUE"""),"F")</f>
        <v>F</v>
      </c>
      <c r="H1610" s="9" t="str">
        <f>IFERROR(__xludf.DUMMYFUNCTION("""COMPUTED_VALUE"""),"FGM")</f>
        <v>FGM</v>
      </c>
      <c r="I1610" s="9" t="str">
        <f>IFERROR(__xludf.DUMMYFUNCTION("""COMPUTED_VALUE"""),"Tel")</f>
        <v>Tel</v>
      </c>
      <c r="J1610" s="9" t="str">
        <f>IFERROR(__xludf.DUMMYFUNCTION("""COMPUTED_VALUE"""),"Cx")</f>
        <v>Cx</v>
      </c>
      <c r="K1610" s="9" t="str">
        <f>IFERROR(__xludf.DUMMYFUNCTION("""COMPUTED_VALUE"""),"PACx")</f>
        <v>PACx</v>
      </c>
      <c r="L1610" s="9" t="str">
        <f>IFERROR(__xludf.DUMMYFUNCTION("""COMPUTED_VALUE"""),"PArCx")</f>
        <v>PArCx</v>
      </c>
      <c r="M1610" s="9" t="str">
        <f>IFERROR(__xludf.DUMMYFUNCTION("""COMPUTED_VALUE"""),"EC")</f>
        <v>EC</v>
      </c>
      <c r="N1610" s="9" t="str">
        <f>IFERROR(__xludf.DUMMYFUNCTION("""COMPUTED_VALUE"""),"MEC")</f>
        <v>MEC</v>
      </c>
      <c r="O1610" s="9" t="str">
        <f>IFERROR(__xludf.DUMMYFUNCTION("""COMPUTED_VALUE"""),"Ec")</f>
        <v>Ec</v>
      </c>
      <c r="P1610" s="9" t="str">
        <f>IFERROR(__xludf.DUMMYFUNCTION("""COMPUTED_VALUE"""),"Ecd")</f>
        <v>Ecd</v>
      </c>
      <c r="Q1610" s="9"/>
      <c r="R1610" s="9"/>
      <c r="S1610" s="42" t="str">
        <f>IFERROR(__xludf.DUMMYFUNCTION("""COMPUTED_VALUE"""),"Ec5;
Ec6")</f>
        <v>Ec5;
Ec6</v>
      </c>
      <c r="T1610" s="42"/>
      <c r="U1610" s="42" t="b">
        <f>IFERROR(__xludf.DUMMYFUNCTION("""COMPUTED_VALUE"""),FALSE)</f>
        <v>0</v>
      </c>
      <c r="V1610" s="42"/>
      <c r="W1610" s="42"/>
      <c r="X1610" s="42"/>
      <c r="Y1610" s="42"/>
      <c r="Z1610" s="42"/>
      <c r="AA1610" s="42"/>
      <c r="AB1610" s="42" t="str">
        <f>IFERROR(__xludf.DUMMYFUNCTION("""COMPUTED_VALUE"""),"allen institute")</f>
        <v>allen institute</v>
      </c>
      <c r="AC1610" s="42" t="str">
        <f>IFERROR(__xludf.DUMMYFUNCTION("""COMPUTED_VALUE"""),"DHBA")</f>
        <v>DHBA</v>
      </c>
      <c r="AD1610" s="42"/>
      <c r="AE1610" s="42"/>
      <c r="AF1610" s="9"/>
      <c r="AG1610" s="9"/>
      <c r="AH1610" s="42"/>
      <c r="AI1610" s="42"/>
      <c r="AJ1610" s="42"/>
      <c r="AK1610" s="42"/>
      <c r="AL1610" s="42"/>
      <c r="AM1610" s="42"/>
      <c r="AN1610" s="42"/>
      <c r="AO1610" s="63" t="str">
        <f>IFERROR(__xludf.DUMMYFUNCTION("IF(ISBLANK(A1610),,IF(ISBLANK(S1610), A1610&amp;"";"", TEXTJOIN(CHAR(10), TRUE, A1610&amp;"";"", ARRAYFORMULA(VLOOKUP(SPLIT(S1610, "";"" &amp; CHAR(10)), $A:$AO, 41, FALSE)))))"),"Ecd;
Ec5;
Ec6;")</f>
        <v>Ecd;
Ec5;
Ec6;</v>
      </c>
      <c r="AP1610" s="89"/>
    </row>
    <row r="1611">
      <c r="A1611" s="151" t="str">
        <f>IFERROR(__xludf.DUMMYFUNCTION("""COMPUTED_VALUE"""),"Ec5")</f>
        <v>Ec5</v>
      </c>
      <c r="B1611" s="42" t="str">
        <f>IFERROR(__xludf.DUMMYFUNCTION("""COMPUTED_VALUE"""),"DHBA")</f>
        <v>DHBA</v>
      </c>
      <c r="C1611" s="42" t="str">
        <f>IFERROR(__xludf.DUMMYFUNCTION("""COMPUTED_VALUE"""),"layer V of caudal entorhinal cortex")</f>
        <v>layer V of caudal entorhinal cortex</v>
      </c>
      <c r="D1611" s="42">
        <f>IFERROR(__xludf.DUMMYFUNCTION("""COMPUTED_VALUE"""),1514.0)</f>
        <v>1514</v>
      </c>
      <c r="E1611" s="39" t="str">
        <f>IFERROR(__xludf.DUMMYFUNCTION("""COMPUTED_VALUE"""),"layer V of caudal entorhinal cortex")</f>
        <v>layer V of caudal entorhinal cortex</v>
      </c>
      <c r="F1611" s="9" t="str">
        <f>IFERROR(__xludf.DUMMYFUNCTION("""COMPUTED_VALUE"""),"Br")</f>
        <v>Br</v>
      </c>
      <c r="G1611" s="9" t="str">
        <f>IFERROR(__xludf.DUMMYFUNCTION("""COMPUTED_VALUE"""),"F")</f>
        <v>F</v>
      </c>
      <c r="H1611" s="9" t="str">
        <f>IFERROR(__xludf.DUMMYFUNCTION("""COMPUTED_VALUE"""),"FGM")</f>
        <v>FGM</v>
      </c>
      <c r="I1611" s="9" t="str">
        <f>IFERROR(__xludf.DUMMYFUNCTION("""COMPUTED_VALUE"""),"Tel")</f>
        <v>Tel</v>
      </c>
      <c r="J1611" s="9" t="str">
        <f>IFERROR(__xludf.DUMMYFUNCTION("""COMPUTED_VALUE"""),"Cx")</f>
        <v>Cx</v>
      </c>
      <c r="K1611" s="9" t="str">
        <f>IFERROR(__xludf.DUMMYFUNCTION("""COMPUTED_VALUE"""),"PACx")</f>
        <v>PACx</v>
      </c>
      <c r="L1611" s="9" t="str">
        <f>IFERROR(__xludf.DUMMYFUNCTION("""COMPUTED_VALUE"""),"PArCx")</f>
        <v>PArCx</v>
      </c>
      <c r="M1611" s="9" t="str">
        <f>IFERROR(__xludf.DUMMYFUNCTION("""COMPUTED_VALUE"""),"EC")</f>
        <v>EC</v>
      </c>
      <c r="N1611" s="9" t="str">
        <f>IFERROR(__xludf.DUMMYFUNCTION("""COMPUTED_VALUE"""),"MEC")</f>
        <v>MEC</v>
      </c>
      <c r="O1611" s="9" t="str">
        <f>IFERROR(__xludf.DUMMYFUNCTION("""COMPUTED_VALUE"""),"Ec")</f>
        <v>Ec</v>
      </c>
      <c r="P1611" s="9" t="str">
        <f>IFERROR(__xludf.DUMMYFUNCTION("""COMPUTED_VALUE"""),"Ecd")</f>
        <v>Ecd</v>
      </c>
      <c r="Q1611" s="9" t="str">
        <f>IFERROR(__xludf.DUMMYFUNCTION("""COMPUTED_VALUE"""),"Ec5")</f>
        <v>Ec5</v>
      </c>
      <c r="R1611" s="9"/>
      <c r="S1611" s="42"/>
      <c r="T1611" s="42"/>
      <c r="U1611" s="42"/>
      <c r="V1611" s="42"/>
      <c r="W1611" s="42"/>
      <c r="X1611" s="42"/>
      <c r="Y1611" s="42"/>
      <c r="Z1611" s="42"/>
      <c r="AA1611" s="42"/>
      <c r="AB1611" s="42" t="str">
        <f>IFERROR(__xludf.DUMMYFUNCTION("""COMPUTED_VALUE"""),"allen institute")</f>
        <v>allen institute</v>
      </c>
      <c r="AC1611" s="42" t="str">
        <f>IFERROR(__xludf.DUMMYFUNCTION("""COMPUTED_VALUE"""),"DHBA")</f>
        <v>DHBA</v>
      </c>
      <c r="AD1611" s="42"/>
      <c r="AE1611" s="42"/>
      <c r="AF1611" s="9"/>
      <c r="AG1611" s="9"/>
      <c r="AH1611" s="42"/>
      <c r="AI1611" s="42"/>
      <c r="AJ1611" s="42"/>
      <c r="AK1611" s="42"/>
      <c r="AL1611" s="42"/>
      <c r="AM1611" s="42"/>
      <c r="AN1611" s="42"/>
      <c r="AO1611" s="63" t="str">
        <f>IFERROR(__xludf.DUMMYFUNCTION("IF(ISBLANK(A1611),,IF(ISBLANK(S1611), A1611&amp;"";"", TEXTJOIN(CHAR(10), TRUE, A1611&amp;"";"", ARRAYFORMULA(VLOOKUP(SPLIT(S1611, "";"" &amp; CHAR(10)), $A:$AO, 41, FALSE)))))"),"Ec5;")</f>
        <v>Ec5;</v>
      </c>
      <c r="AP1611" s="89"/>
    </row>
    <row r="1612">
      <c r="A1612" s="151" t="str">
        <f>IFERROR(__xludf.DUMMYFUNCTION("""COMPUTED_VALUE"""),"Ec6")</f>
        <v>Ec6</v>
      </c>
      <c r="B1612" s="42" t="str">
        <f>IFERROR(__xludf.DUMMYFUNCTION("""COMPUTED_VALUE"""),"DHBA")</f>
        <v>DHBA</v>
      </c>
      <c r="C1612" s="42" t="str">
        <f>IFERROR(__xludf.DUMMYFUNCTION("""COMPUTED_VALUE"""),"layer VI of caudal entorhinal cortex")</f>
        <v>layer VI of caudal entorhinal cortex</v>
      </c>
      <c r="D1612" s="42">
        <f>IFERROR(__xludf.DUMMYFUNCTION("""COMPUTED_VALUE"""),1515.0)</f>
        <v>1515</v>
      </c>
      <c r="E1612" s="39" t="str">
        <f>IFERROR(__xludf.DUMMYFUNCTION("""COMPUTED_VALUE"""),"layer VI of caudal entorhinal cortex")</f>
        <v>layer VI of caudal entorhinal cortex</v>
      </c>
      <c r="F1612" s="9" t="str">
        <f>IFERROR(__xludf.DUMMYFUNCTION("""COMPUTED_VALUE"""),"Br")</f>
        <v>Br</v>
      </c>
      <c r="G1612" s="9" t="str">
        <f>IFERROR(__xludf.DUMMYFUNCTION("""COMPUTED_VALUE"""),"F")</f>
        <v>F</v>
      </c>
      <c r="H1612" s="9" t="str">
        <f>IFERROR(__xludf.DUMMYFUNCTION("""COMPUTED_VALUE"""),"FGM")</f>
        <v>FGM</v>
      </c>
      <c r="I1612" s="9" t="str">
        <f>IFERROR(__xludf.DUMMYFUNCTION("""COMPUTED_VALUE"""),"Tel")</f>
        <v>Tel</v>
      </c>
      <c r="J1612" s="9" t="str">
        <f>IFERROR(__xludf.DUMMYFUNCTION("""COMPUTED_VALUE"""),"Cx")</f>
        <v>Cx</v>
      </c>
      <c r="K1612" s="9" t="str">
        <f>IFERROR(__xludf.DUMMYFUNCTION("""COMPUTED_VALUE"""),"PACx")</f>
        <v>PACx</v>
      </c>
      <c r="L1612" s="9" t="str">
        <f>IFERROR(__xludf.DUMMYFUNCTION("""COMPUTED_VALUE"""),"PArCx")</f>
        <v>PArCx</v>
      </c>
      <c r="M1612" s="9" t="str">
        <f>IFERROR(__xludf.DUMMYFUNCTION("""COMPUTED_VALUE"""),"EC")</f>
        <v>EC</v>
      </c>
      <c r="N1612" s="9" t="str">
        <f>IFERROR(__xludf.DUMMYFUNCTION("""COMPUTED_VALUE"""),"MEC")</f>
        <v>MEC</v>
      </c>
      <c r="O1612" s="9" t="str">
        <f>IFERROR(__xludf.DUMMYFUNCTION("""COMPUTED_VALUE"""),"Ec")</f>
        <v>Ec</v>
      </c>
      <c r="P1612" s="9" t="str">
        <f>IFERROR(__xludf.DUMMYFUNCTION("""COMPUTED_VALUE"""),"Ecd")</f>
        <v>Ecd</v>
      </c>
      <c r="Q1612" s="9" t="str">
        <f>IFERROR(__xludf.DUMMYFUNCTION("""COMPUTED_VALUE"""),"Ec6")</f>
        <v>Ec6</v>
      </c>
      <c r="R1612" s="9"/>
      <c r="S1612" s="42"/>
      <c r="T1612" s="42"/>
      <c r="U1612" s="42"/>
      <c r="V1612" s="42"/>
      <c r="W1612" s="42"/>
      <c r="X1612" s="42"/>
      <c r="Y1612" s="42"/>
      <c r="Z1612" s="42"/>
      <c r="AA1612" s="42"/>
      <c r="AB1612" s="42" t="str">
        <f>IFERROR(__xludf.DUMMYFUNCTION("""COMPUTED_VALUE"""),"allen institute")</f>
        <v>allen institute</v>
      </c>
      <c r="AC1612" s="42" t="str">
        <f>IFERROR(__xludf.DUMMYFUNCTION("""COMPUTED_VALUE"""),"DHBA")</f>
        <v>DHBA</v>
      </c>
      <c r="AD1612" s="42"/>
      <c r="AE1612" s="42"/>
      <c r="AF1612" s="9"/>
      <c r="AG1612" s="9"/>
      <c r="AH1612" s="42"/>
      <c r="AI1612" s="42"/>
      <c r="AJ1612" s="42"/>
      <c r="AK1612" s="42"/>
      <c r="AL1612" s="42"/>
      <c r="AM1612" s="42"/>
      <c r="AN1612" s="42"/>
      <c r="AO1612" s="63" t="str">
        <f>IFERROR(__xludf.DUMMYFUNCTION("IF(ISBLANK(A1612),,IF(ISBLANK(S1612), A1612&amp;"";"", TEXTJOIN(CHAR(10), TRUE, A1612&amp;"";"", ARRAYFORMULA(VLOOKUP(SPLIT(S1612, "";"" &amp; CHAR(10)), $A:$AO, 41, FALSE)))))"),"Ec6;")</f>
        <v>Ec6;</v>
      </c>
      <c r="AP1612" s="89"/>
    </row>
    <row r="1613">
      <c r="A1613" s="151" t="str">
        <f>IFERROR(__xludf.DUMMYFUNCTION("""COMPUTED_VALUE"""),"ECL")</f>
        <v>ECL</v>
      </c>
      <c r="B1613" s="42" t="str">
        <f>IFERROR(__xludf.DUMMYFUNCTION("""COMPUTED_VALUE"""),"DHBA")</f>
        <v>DHBA</v>
      </c>
      <c r="C1613" s="42" t="str">
        <f>IFERROR(__xludf.DUMMYFUNCTION("""COMPUTED_VALUE"""),"caudal limiting part of entorhinal cortex")</f>
        <v>caudal limiting part of entorhinal cortex</v>
      </c>
      <c r="D1613" s="42">
        <f>IFERROR(__xludf.DUMMYFUNCTION("""COMPUTED_VALUE"""),1516.0)</f>
        <v>1516</v>
      </c>
      <c r="E1613" s="39" t="str">
        <f>IFERROR(__xludf.DUMMYFUNCTION("""COMPUTED_VALUE"""),"caudal limiting part of entorhinal cortex")</f>
        <v>caudal limiting part of entorhinal cortex</v>
      </c>
      <c r="F1613" s="9" t="str">
        <f>IFERROR(__xludf.DUMMYFUNCTION("""COMPUTED_VALUE"""),"Br")</f>
        <v>Br</v>
      </c>
      <c r="G1613" s="9" t="str">
        <f>IFERROR(__xludf.DUMMYFUNCTION("""COMPUTED_VALUE"""),"F")</f>
        <v>F</v>
      </c>
      <c r="H1613" s="9" t="str">
        <f>IFERROR(__xludf.DUMMYFUNCTION("""COMPUTED_VALUE"""),"FGM")</f>
        <v>FGM</v>
      </c>
      <c r="I1613" s="9" t="str">
        <f>IFERROR(__xludf.DUMMYFUNCTION("""COMPUTED_VALUE"""),"Tel")</f>
        <v>Tel</v>
      </c>
      <c r="J1613" s="9" t="str">
        <f>IFERROR(__xludf.DUMMYFUNCTION("""COMPUTED_VALUE"""),"Cx")</f>
        <v>Cx</v>
      </c>
      <c r="K1613" s="9" t="str">
        <f>IFERROR(__xludf.DUMMYFUNCTION("""COMPUTED_VALUE"""),"PACx")</f>
        <v>PACx</v>
      </c>
      <c r="L1613" s="9" t="str">
        <f>IFERROR(__xludf.DUMMYFUNCTION("""COMPUTED_VALUE"""),"PArCx")</f>
        <v>PArCx</v>
      </c>
      <c r="M1613" s="9" t="str">
        <f>IFERROR(__xludf.DUMMYFUNCTION("""COMPUTED_VALUE"""),"EC")</f>
        <v>EC</v>
      </c>
      <c r="N1613" s="9" t="str">
        <f>IFERROR(__xludf.DUMMYFUNCTION("""COMPUTED_VALUE"""),"MEC")</f>
        <v>MEC</v>
      </c>
      <c r="O1613" s="9" t="str">
        <f>IFERROR(__xludf.DUMMYFUNCTION("""COMPUTED_VALUE"""),"ECL")</f>
        <v>ECL</v>
      </c>
      <c r="P1613" s="9"/>
      <c r="Q1613" s="9"/>
      <c r="R1613" s="9"/>
      <c r="S1613" s="42" t="str">
        <f>IFERROR(__xludf.DUMMYFUNCTION("""COMPUTED_VALUE"""),"ECL1;
ECLs;
ECLld;
ECLd")</f>
        <v>ECL1;
ECLs;
ECLld;
ECLd</v>
      </c>
      <c r="T1613" s="42"/>
      <c r="U1613" s="159" t="b">
        <f>IFERROR(__xludf.DUMMYFUNCTION("""COMPUTED_VALUE"""),FALSE)</f>
        <v>0</v>
      </c>
      <c r="V1613" s="42"/>
      <c r="W1613" s="42"/>
      <c r="X1613" s="42"/>
      <c r="Y1613" s="42"/>
      <c r="Z1613" s="42"/>
      <c r="AA1613" s="42"/>
      <c r="AB1613" s="42" t="str">
        <f>IFERROR(__xludf.DUMMYFUNCTION("""COMPUTED_VALUE"""),"allen institute")</f>
        <v>allen institute</v>
      </c>
      <c r="AC1613" s="42" t="str">
        <f>IFERROR(__xludf.DUMMYFUNCTION("""COMPUTED_VALUE"""),"DHBA")</f>
        <v>DHBA</v>
      </c>
      <c r="AD1613" s="42"/>
      <c r="AE1613" s="42"/>
      <c r="AF1613" s="9"/>
      <c r="AG1613" s="9"/>
      <c r="AH1613" s="42"/>
      <c r="AI1613" s="42"/>
      <c r="AJ1613" s="42"/>
      <c r="AK1613" s="42"/>
      <c r="AL1613" s="42"/>
      <c r="AM1613" s="42"/>
      <c r="AN1613" s="42"/>
      <c r="AO1613" s="63" t="str">
        <f>IFERROR(__xludf.DUMMYFUNCTION("IF(ISBLANK(A1613),,IF(ISBLANK(S1613), A1613&amp;"";"", TEXTJOIN(CHAR(10), TRUE, A1613&amp;"";"", ARRAYFORMULA(VLOOKUP(SPLIT(S1613, "";"" &amp; CHAR(10)), $A:$AO, 41, FALSE)))))"),"ECL;
ECL1;
ECLs;
ECL2;
ECL3;
ECL3a;
ECL3b;
ECLld;
Ecld;")</f>
        <v>ECL;
ECL1;
ECLs;
ECL2;
ECL3;
ECL3a;
ECL3b;
ECLld;
Ecld;</v>
      </c>
      <c r="AP1613" s="89"/>
    </row>
    <row r="1614">
      <c r="A1614" s="151" t="str">
        <f>IFERROR(__xludf.DUMMYFUNCTION("""COMPUTED_VALUE"""),"ECL1")</f>
        <v>ECL1</v>
      </c>
      <c r="B1614" s="42" t="str">
        <f>IFERROR(__xludf.DUMMYFUNCTION("""COMPUTED_VALUE"""),"DHBA")</f>
        <v>DHBA</v>
      </c>
      <c r="C1614" s="42" t="str">
        <f>IFERROR(__xludf.DUMMYFUNCTION("""COMPUTED_VALUE"""),"layer I of caudal limiting entorhinal cortex")</f>
        <v>layer I of caudal limiting entorhinal cortex</v>
      </c>
      <c r="D1614" s="42">
        <f>IFERROR(__xludf.DUMMYFUNCTION("""COMPUTED_VALUE"""),1517.0)</f>
        <v>1517</v>
      </c>
      <c r="E1614" s="39" t="str">
        <f>IFERROR(__xludf.DUMMYFUNCTION("""COMPUTED_VALUE"""),"layer I of caudal limiting entorhinal cortex")</f>
        <v>layer I of caudal limiting entorhinal cortex</v>
      </c>
      <c r="F1614" s="9" t="str">
        <f>IFERROR(__xludf.DUMMYFUNCTION("""COMPUTED_VALUE"""),"Br")</f>
        <v>Br</v>
      </c>
      <c r="G1614" s="9" t="str">
        <f>IFERROR(__xludf.DUMMYFUNCTION("""COMPUTED_VALUE"""),"F")</f>
        <v>F</v>
      </c>
      <c r="H1614" s="9" t="str">
        <f>IFERROR(__xludf.DUMMYFUNCTION("""COMPUTED_VALUE"""),"FGM")</f>
        <v>FGM</v>
      </c>
      <c r="I1614" s="9" t="str">
        <f>IFERROR(__xludf.DUMMYFUNCTION("""COMPUTED_VALUE"""),"Tel")</f>
        <v>Tel</v>
      </c>
      <c r="J1614" s="9" t="str">
        <f>IFERROR(__xludf.DUMMYFUNCTION("""COMPUTED_VALUE"""),"Cx")</f>
        <v>Cx</v>
      </c>
      <c r="K1614" s="9" t="str">
        <f>IFERROR(__xludf.DUMMYFUNCTION("""COMPUTED_VALUE"""),"PACx")</f>
        <v>PACx</v>
      </c>
      <c r="L1614" s="9" t="str">
        <f>IFERROR(__xludf.DUMMYFUNCTION("""COMPUTED_VALUE"""),"PArCx")</f>
        <v>PArCx</v>
      </c>
      <c r="M1614" s="9" t="str">
        <f>IFERROR(__xludf.DUMMYFUNCTION("""COMPUTED_VALUE"""),"EC")</f>
        <v>EC</v>
      </c>
      <c r="N1614" s="9" t="str">
        <f>IFERROR(__xludf.DUMMYFUNCTION("""COMPUTED_VALUE"""),"MEC")</f>
        <v>MEC</v>
      </c>
      <c r="O1614" s="9" t="str">
        <f>IFERROR(__xludf.DUMMYFUNCTION("""COMPUTED_VALUE"""),"ECL")</f>
        <v>ECL</v>
      </c>
      <c r="P1614" s="9" t="str">
        <f>IFERROR(__xludf.DUMMYFUNCTION("""COMPUTED_VALUE"""),"ECL1")</f>
        <v>ECL1</v>
      </c>
      <c r="Q1614" s="9"/>
      <c r="R1614" s="9"/>
      <c r="S1614" s="42"/>
      <c r="T1614" s="42"/>
      <c r="U1614" s="42"/>
      <c r="V1614" s="42"/>
      <c r="W1614" s="42"/>
      <c r="X1614" s="42"/>
      <c r="Y1614" s="42"/>
      <c r="Z1614" s="42"/>
      <c r="AA1614" s="42"/>
      <c r="AB1614" s="42" t="str">
        <f>IFERROR(__xludf.DUMMYFUNCTION("""COMPUTED_VALUE"""),"allen institute")</f>
        <v>allen institute</v>
      </c>
      <c r="AC1614" s="42" t="str">
        <f>IFERROR(__xludf.DUMMYFUNCTION("""COMPUTED_VALUE"""),"DHBA")</f>
        <v>DHBA</v>
      </c>
      <c r="AD1614" s="42"/>
      <c r="AE1614" s="42"/>
      <c r="AF1614" s="9"/>
      <c r="AG1614" s="9"/>
      <c r="AH1614" s="42"/>
      <c r="AI1614" s="42"/>
      <c r="AJ1614" s="42"/>
      <c r="AK1614" s="42"/>
      <c r="AL1614" s="42"/>
      <c r="AM1614" s="42"/>
      <c r="AN1614" s="42"/>
      <c r="AO1614" s="63" t="str">
        <f>IFERROR(__xludf.DUMMYFUNCTION("IF(ISBLANK(A1614),,IF(ISBLANK(S1614), A1614&amp;"";"", TEXTJOIN(CHAR(10), TRUE, A1614&amp;"";"", ARRAYFORMULA(VLOOKUP(SPLIT(S1614, "";"" &amp; CHAR(10)), $A:$AO, 41, FALSE)))))"),"ECL1;")</f>
        <v>ECL1;</v>
      </c>
      <c r="AP1614" s="89"/>
    </row>
    <row r="1615">
      <c r="A1615" s="151" t="str">
        <f>IFERROR(__xludf.DUMMYFUNCTION("""COMPUTED_VALUE"""),"ECLs")</f>
        <v>ECLs</v>
      </c>
      <c r="B1615" s="42" t="str">
        <f>IFERROR(__xludf.DUMMYFUNCTION("""COMPUTED_VALUE"""),"DHBA")</f>
        <v>DHBA</v>
      </c>
      <c r="C1615" s="42" t="str">
        <f>IFERROR(__xludf.DUMMYFUNCTION("""COMPUTED_VALUE"""),"superficial layers of caudal limiting entorhinal cortex")</f>
        <v>superficial layers of caudal limiting entorhinal cortex</v>
      </c>
      <c r="D1615" s="42">
        <f>IFERROR(__xludf.DUMMYFUNCTION("""COMPUTED_VALUE"""),1518.0)</f>
        <v>1518</v>
      </c>
      <c r="E1615" s="39" t="str">
        <f>IFERROR(__xludf.DUMMYFUNCTION("""COMPUTED_VALUE"""),"superficial layers of caudal limiting entorhinal cortex")</f>
        <v>superficial layers of caudal limiting entorhinal cortex</v>
      </c>
      <c r="F1615" s="9" t="str">
        <f>IFERROR(__xludf.DUMMYFUNCTION("""COMPUTED_VALUE"""),"Br")</f>
        <v>Br</v>
      </c>
      <c r="G1615" s="9" t="str">
        <f>IFERROR(__xludf.DUMMYFUNCTION("""COMPUTED_VALUE"""),"F")</f>
        <v>F</v>
      </c>
      <c r="H1615" s="9" t="str">
        <f>IFERROR(__xludf.DUMMYFUNCTION("""COMPUTED_VALUE"""),"FGM")</f>
        <v>FGM</v>
      </c>
      <c r="I1615" s="9" t="str">
        <f>IFERROR(__xludf.DUMMYFUNCTION("""COMPUTED_VALUE"""),"Tel")</f>
        <v>Tel</v>
      </c>
      <c r="J1615" s="9" t="str">
        <f>IFERROR(__xludf.DUMMYFUNCTION("""COMPUTED_VALUE"""),"Cx")</f>
        <v>Cx</v>
      </c>
      <c r="K1615" s="9" t="str">
        <f>IFERROR(__xludf.DUMMYFUNCTION("""COMPUTED_VALUE"""),"PACx")</f>
        <v>PACx</v>
      </c>
      <c r="L1615" s="9" t="str">
        <f>IFERROR(__xludf.DUMMYFUNCTION("""COMPUTED_VALUE"""),"PArCx")</f>
        <v>PArCx</v>
      </c>
      <c r="M1615" s="9" t="str">
        <f>IFERROR(__xludf.DUMMYFUNCTION("""COMPUTED_VALUE"""),"EC")</f>
        <v>EC</v>
      </c>
      <c r="N1615" s="9" t="str">
        <f>IFERROR(__xludf.DUMMYFUNCTION("""COMPUTED_VALUE"""),"MEC")</f>
        <v>MEC</v>
      </c>
      <c r="O1615" s="9" t="str">
        <f>IFERROR(__xludf.DUMMYFUNCTION("""COMPUTED_VALUE"""),"ECL")</f>
        <v>ECL</v>
      </c>
      <c r="P1615" s="9" t="str">
        <f>IFERROR(__xludf.DUMMYFUNCTION("""COMPUTED_VALUE"""),"ECLs")</f>
        <v>ECLs</v>
      </c>
      <c r="Q1615" s="9"/>
      <c r="R1615" s="9"/>
      <c r="S1615" s="42" t="str">
        <f>IFERROR(__xludf.DUMMYFUNCTION("""COMPUTED_VALUE"""),"ECL2;
ECL3")</f>
        <v>ECL2;
ECL3</v>
      </c>
      <c r="T1615" s="42"/>
      <c r="U1615" s="42" t="b">
        <f>IFERROR(__xludf.DUMMYFUNCTION("""COMPUTED_VALUE"""),FALSE)</f>
        <v>0</v>
      </c>
      <c r="V1615" s="42"/>
      <c r="W1615" s="42"/>
      <c r="X1615" s="42"/>
      <c r="Y1615" s="42"/>
      <c r="Z1615" s="42"/>
      <c r="AA1615" s="42"/>
      <c r="AB1615" s="42" t="str">
        <f>IFERROR(__xludf.DUMMYFUNCTION("""COMPUTED_VALUE"""),"allen institute")</f>
        <v>allen institute</v>
      </c>
      <c r="AC1615" s="42" t="str">
        <f>IFERROR(__xludf.DUMMYFUNCTION("""COMPUTED_VALUE"""),"DHBA")</f>
        <v>DHBA</v>
      </c>
      <c r="AD1615" s="42"/>
      <c r="AE1615" s="42"/>
      <c r="AF1615" s="9"/>
      <c r="AG1615" s="9"/>
      <c r="AH1615" s="42"/>
      <c r="AI1615" s="42"/>
      <c r="AJ1615" s="42"/>
      <c r="AK1615" s="42"/>
      <c r="AL1615" s="42"/>
      <c r="AM1615" s="42"/>
      <c r="AN1615" s="42"/>
      <c r="AO1615" s="63" t="str">
        <f>IFERROR(__xludf.DUMMYFUNCTION("IF(ISBLANK(A1615),,IF(ISBLANK(S1615), A1615&amp;"";"", TEXTJOIN(CHAR(10), TRUE, A1615&amp;"";"", ARRAYFORMULA(VLOOKUP(SPLIT(S1615, "";"" &amp; CHAR(10)), $A:$AO, 41, FALSE)))))"),"ECLs;
ECL2;
ECL3;
ECL3a;
ECL3b;")</f>
        <v>ECLs;
ECL2;
ECL3;
ECL3a;
ECL3b;</v>
      </c>
      <c r="AP1615" s="89"/>
    </row>
    <row r="1616">
      <c r="A1616" s="151" t="str">
        <f>IFERROR(__xludf.DUMMYFUNCTION("""COMPUTED_VALUE"""),"ECL2")</f>
        <v>ECL2</v>
      </c>
      <c r="B1616" s="42" t="str">
        <f>IFERROR(__xludf.DUMMYFUNCTION("""COMPUTED_VALUE"""),"DHBA")</f>
        <v>DHBA</v>
      </c>
      <c r="C1616" s="42" t="str">
        <f>IFERROR(__xludf.DUMMYFUNCTION("""COMPUTED_VALUE"""),"layer II of caudal limiting entorhinal cortex")</f>
        <v>layer II of caudal limiting entorhinal cortex</v>
      </c>
      <c r="D1616" s="42">
        <f>IFERROR(__xludf.DUMMYFUNCTION("""COMPUTED_VALUE"""),1519.0)</f>
        <v>1519</v>
      </c>
      <c r="E1616" s="39" t="str">
        <f>IFERROR(__xludf.DUMMYFUNCTION("""COMPUTED_VALUE"""),"layer II of caudal limiting entorhinal cortex")</f>
        <v>layer II of caudal limiting entorhinal cortex</v>
      </c>
      <c r="F1616" s="9" t="str">
        <f>IFERROR(__xludf.DUMMYFUNCTION("""COMPUTED_VALUE"""),"Br")</f>
        <v>Br</v>
      </c>
      <c r="G1616" s="9" t="str">
        <f>IFERROR(__xludf.DUMMYFUNCTION("""COMPUTED_VALUE"""),"F")</f>
        <v>F</v>
      </c>
      <c r="H1616" s="9" t="str">
        <f>IFERROR(__xludf.DUMMYFUNCTION("""COMPUTED_VALUE"""),"FGM")</f>
        <v>FGM</v>
      </c>
      <c r="I1616" s="9" t="str">
        <f>IFERROR(__xludf.DUMMYFUNCTION("""COMPUTED_VALUE"""),"Tel")</f>
        <v>Tel</v>
      </c>
      <c r="J1616" s="9" t="str">
        <f>IFERROR(__xludf.DUMMYFUNCTION("""COMPUTED_VALUE"""),"Cx")</f>
        <v>Cx</v>
      </c>
      <c r="K1616" s="9" t="str">
        <f>IFERROR(__xludf.DUMMYFUNCTION("""COMPUTED_VALUE"""),"PACx")</f>
        <v>PACx</v>
      </c>
      <c r="L1616" s="9" t="str">
        <f>IFERROR(__xludf.DUMMYFUNCTION("""COMPUTED_VALUE"""),"PArCx")</f>
        <v>PArCx</v>
      </c>
      <c r="M1616" s="9" t="str">
        <f>IFERROR(__xludf.DUMMYFUNCTION("""COMPUTED_VALUE"""),"EC")</f>
        <v>EC</v>
      </c>
      <c r="N1616" s="9" t="str">
        <f>IFERROR(__xludf.DUMMYFUNCTION("""COMPUTED_VALUE"""),"MEC")</f>
        <v>MEC</v>
      </c>
      <c r="O1616" s="9" t="str">
        <f>IFERROR(__xludf.DUMMYFUNCTION("""COMPUTED_VALUE"""),"ECL")</f>
        <v>ECL</v>
      </c>
      <c r="P1616" s="9" t="str">
        <f>IFERROR(__xludf.DUMMYFUNCTION("""COMPUTED_VALUE"""),"ECLs")</f>
        <v>ECLs</v>
      </c>
      <c r="Q1616" s="9" t="str">
        <f>IFERROR(__xludf.DUMMYFUNCTION("""COMPUTED_VALUE"""),"ECL2")</f>
        <v>ECL2</v>
      </c>
      <c r="R1616" s="9"/>
      <c r="S1616" s="42"/>
      <c r="T1616" s="42"/>
      <c r="U1616" s="159"/>
      <c r="V1616" s="42"/>
      <c r="W1616" s="42"/>
      <c r="X1616" s="42"/>
      <c r="Y1616" s="42"/>
      <c r="Z1616" s="42"/>
      <c r="AA1616" s="42"/>
      <c r="AB1616" s="42" t="str">
        <f>IFERROR(__xludf.DUMMYFUNCTION("""COMPUTED_VALUE"""),"allen institute")</f>
        <v>allen institute</v>
      </c>
      <c r="AC1616" s="42" t="str">
        <f>IFERROR(__xludf.DUMMYFUNCTION("""COMPUTED_VALUE"""),"DHBA")</f>
        <v>DHBA</v>
      </c>
      <c r="AD1616" s="42"/>
      <c r="AE1616" s="42"/>
      <c r="AF1616" s="9"/>
      <c r="AG1616" s="9"/>
      <c r="AH1616" s="42"/>
      <c r="AI1616" s="42"/>
      <c r="AJ1616" s="42"/>
      <c r="AK1616" s="42"/>
      <c r="AL1616" s="42"/>
      <c r="AM1616" s="42"/>
      <c r="AN1616" s="42"/>
      <c r="AO1616" s="63" t="str">
        <f>IFERROR(__xludf.DUMMYFUNCTION("IF(ISBLANK(A1616),,IF(ISBLANK(S1616), A1616&amp;"";"", TEXTJOIN(CHAR(10), TRUE, A1616&amp;"";"", ARRAYFORMULA(VLOOKUP(SPLIT(S1616, "";"" &amp; CHAR(10)), $A:$AO, 41, FALSE)))))"),"ECL2;")</f>
        <v>ECL2;</v>
      </c>
      <c r="AP1616" s="89"/>
    </row>
    <row r="1617">
      <c r="A1617" s="151" t="str">
        <f>IFERROR(__xludf.DUMMYFUNCTION("""COMPUTED_VALUE"""),"ECL3")</f>
        <v>ECL3</v>
      </c>
      <c r="B1617" s="42" t="str">
        <f>IFERROR(__xludf.DUMMYFUNCTION("""COMPUTED_VALUE"""),"DHBA")</f>
        <v>DHBA</v>
      </c>
      <c r="C1617" s="42" t="str">
        <f>IFERROR(__xludf.DUMMYFUNCTION("""COMPUTED_VALUE"""),"layer III of caudal limiting entorhinal cortex")</f>
        <v>layer III of caudal limiting entorhinal cortex</v>
      </c>
      <c r="D1617" s="42">
        <f>IFERROR(__xludf.DUMMYFUNCTION("""COMPUTED_VALUE"""),1520.0)</f>
        <v>1520</v>
      </c>
      <c r="E1617" s="39" t="str">
        <f>IFERROR(__xludf.DUMMYFUNCTION("""COMPUTED_VALUE"""),"layer III of caudal limiting entorhinal cortex")</f>
        <v>layer III of caudal limiting entorhinal cortex</v>
      </c>
      <c r="F1617" s="9" t="str">
        <f>IFERROR(__xludf.DUMMYFUNCTION("""COMPUTED_VALUE"""),"Br")</f>
        <v>Br</v>
      </c>
      <c r="G1617" s="9" t="str">
        <f>IFERROR(__xludf.DUMMYFUNCTION("""COMPUTED_VALUE"""),"F")</f>
        <v>F</v>
      </c>
      <c r="H1617" s="9" t="str">
        <f>IFERROR(__xludf.DUMMYFUNCTION("""COMPUTED_VALUE"""),"FGM")</f>
        <v>FGM</v>
      </c>
      <c r="I1617" s="9" t="str">
        <f>IFERROR(__xludf.DUMMYFUNCTION("""COMPUTED_VALUE"""),"Tel")</f>
        <v>Tel</v>
      </c>
      <c r="J1617" s="9" t="str">
        <f>IFERROR(__xludf.DUMMYFUNCTION("""COMPUTED_VALUE"""),"Cx")</f>
        <v>Cx</v>
      </c>
      <c r="K1617" s="9" t="str">
        <f>IFERROR(__xludf.DUMMYFUNCTION("""COMPUTED_VALUE"""),"PACx")</f>
        <v>PACx</v>
      </c>
      <c r="L1617" s="9" t="str">
        <f>IFERROR(__xludf.DUMMYFUNCTION("""COMPUTED_VALUE"""),"PArCx")</f>
        <v>PArCx</v>
      </c>
      <c r="M1617" s="9" t="str">
        <f>IFERROR(__xludf.DUMMYFUNCTION("""COMPUTED_VALUE"""),"EC")</f>
        <v>EC</v>
      </c>
      <c r="N1617" s="9" t="str">
        <f>IFERROR(__xludf.DUMMYFUNCTION("""COMPUTED_VALUE"""),"MEC")</f>
        <v>MEC</v>
      </c>
      <c r="O1617" s="9" t="str">
        <f>IFERROR(__xludf.DUMMYFUNCTION("""COMPUTED_VALUE"""),"ECL")</f>
        <v>ECL</v>
      </c>
      <c r="P1617" s="9" t="str">
        <f>IFERROR(__xludf.DUMMYFUNCTION("""COMPUTED_VALUE"""),"ECLs")</f>
        <v>ECLs</v>
      </c>
      <c r="Q1617" s="9" t="str">
        <f>IFERROR(__xludf.DUMMYFUNCTION("""COMPUTED_VALUE"""),"ECL3")</f>
        <v>ECL3</v>
      </c>
      <c r="R1617" s="9"/>
      <c r="S1617" s="42" t="str">
        <f>IFERROR(__xludf.DUMMYFUNCTION("""COMPUTED_VALUE"""),"ECL3a;
ECL3b")</f>
        <v>ECL3a;
ECL3b</v>
      </c>
      <c r="T1617" s="42"/>
      <c r="U1617" s="159" t="b">
        <f>IFERROR(__xludf.DUMMYFUNCTION("""COMPUTED_VALUE"""),FALSE)</f>
        <v>0</v>
      </c>
      <c r="V1617" s="42"/>
      <c r="W1617" s="42"/>
      <c r="X1617" s="42"/>
      <c r="Y1617" s="42"/>
      <c r="Z1617" s="42"/>
      <c r="AA1617" s="42"/>
      <c r="AB1617" s="42" t="str">
        <f>IFERROR(__xludf.DUMMYFUNCTION("""COMPUTED_VALUE"""),"allen institute")</f>
        <v>allen institute</v>
      </c>
      <c r="AC1617" s="42" t="str">
        <f>IFERROR(__xludf.DUMMYFUNCTION("""COMPUTED_VALUE"""),"DHBA")</f>
        <v>DHBA</v>
      </c>
      <c r="AD1617" s="42"/>
      <c r="AE1617" s="42"/>
      <c r="AF1617" s="9"/>
      <c r="AG1617" s="9"/>
      <c r="AH1617" s="42"/>
      <c r="AI1617" s="42"/>
      <c r="AJ1617" s="42"/>
      <c r="AK1617" s="42"/>
      <c r="AL1617" s="42"/>
      <c r="AM1617" s="42"/>
      <c r="AN1617" s="42"/>
      <c r="AO1617" s="63" t="str">
        <f>IFERROR(__xludf.DUMMYFUNCTION("IF(ISBLANK(A1617),,IF(ISBLANK(S1617), A1617&amp;"";"", TEXTJOIN(CHAR(10), TRUE, A1617&amp;"";"", ARRAYFORMULA(VLOOKUP(SPLIT(S1617, "";"" &amp; CHAR(10)), $A:$AO, 41, FALSE)))))"),"ECL3;
ECL3a;
ECL3b;")</f>
        <v>ECL3;
ECL3a;
ECL3b;</v>
      </c>
      <c r="AP1617" s="89"/>
    </row>
    <row r="1618">
      <c r="A1618" s="151" t="str">
        <f>IFERROR(__xludf.DUMMYFUNCTION("""COMPUTED_VALUE"""),"ECL3a")</f>
        <v>ECL3a</v>
      </c>
      <c r="B1618" s="42" t="str">
        <f>IFERROR(__xludf.DUMMYFUNCTION("""COMPUTED_VALUE"""),"DHBA")</f>
        <v>DHBA</v>
      </c>
      <c r="C1618" s="42" t="str">
        <f>IFERROR(__xludf.DUMMYFUNCTION("""COMPUTED_VALUE"""),"layer IIIa of caudal limiting entorhinal cortex")</f>
        <v>layer IIIa of caudal limiting entorhinal cortex</v>
      </c>
      <c r="D1618" s="42">
        <f>IFERROR(__xludf.DUMMYFUNCTION("""COMPUTED_VALUE"""),1521.0)</f>
        <v>1521</v>
      </c>
      <c r="E1618" s="39" t="str">
        <f>IFERROR(__xludf.DUMMYFUNCTION("""COMPUTED_VALUE"""),"layer IIIa of caudal limiting entorhinal cortex")</f>
        <v>layer IIIa of caudal limiting entorhinal cortex</v>
      </c>
      <c r="F1618" s="9" t="str">
        <f>IFERROR(__xludf.DUMMYFUNCTION("""COMPUTED_VALUE"""),"Br")</f>
        <v>Br</v>
      </c>
      <c r="G1618" s="9" t="str">
        <f>IFERROR(__xludf.DUMMYFUNCTION("""COMPUTED_VALUE"""),"F")</f>
        <v>F</v>
      </c>
      <c r="H1618" s="9" t="str">
        <f>IFERROR(__xludf.DUMMYFUNCTION("""COMPUTED_VALUE"""),"FGM")</f>
        <v>FGM</v>
      </c>
      <c r="I1618" s="9" t="str">
        <f>IFERROR(__xludf.DUMMYFUNCTION("""COMPUTED_VALUE"""),"Tel")</f>
        <v>Tel</v>
      </c>
      <c r="J1618" s="9" t="str">
        <f>IFERROR(__xludf.DUMMYFUNCTION("""COMPUTED_VALUE"""),"Cx")</f>
        <v>Cx</v>
      </c>
      <c r="K1618" s="9" t="str">
        <f>IFERROR(__xludf.DUMMYFUNCTION("""COMPUTED_VALUE"""),"PACx")</f>
        <v>PACx</v>
      </c>
      <c r="L1618" s="9" t="str">
        <f>IFERROR(__xludf.DUMMYFUNCTION("""COMPUTED_VALUE"""),"PArCx")</f>
        <v>PArCx</v>
      </c>
      <c r="M1618" s="9" t="str">
        <f>IFERROR(__xludf.DUMMYFUNCTION("""COMPUTED_VALUE"""),"EC")</f>
        <v>EC</v>
      </c>
      <c r="N1618" s="9" t="str">
        <f>IFERROR(__xludf.DUMMYFUNCTION("""COMPUTED_VALUE"""),"MEC")</f>
        <v>MEC</v>
      </c>
      <c r="O1618" s="9" t="str">
        <f>IFERROR(__xludf.DUMMYFUNCTION("""COMPUTED_VALUE"""),"ECL")</f>
        <v>ECL</v>
      </c>
      <c r="P1618" s="9" t="str">
        <f>IFERROR(__xludf.DUMMYFUNCTION("""COMPUTED_VALUE"""),"ECLs")</f>
        <v>ECLs</v>
      </c>
      <c r="Q1618" s="9" t="str">
        <f>IFERROR(__xludf.DUMMYFUNCTION("""COMPUTED_VALUE"""),"ECL3")</f>
        <v>ECL3</v>
      </c>
      <c r="R1618" s="9" t="str">
        <f>IFERROR(__xludf.DUMMYFUNCTION("""COMPUTED_VALUE"""),"ECL3a")</f>
        <v>ECL3a</v>
      </c>
      <c r="S1618" s="42"/>
      <c r="T1618" s="42"/>
      <c r="U1618" s="42"/>
      <c r="V1618" s="42"/>
      <c r="W1618" s="42"/>
      <c r="X1618" s="42"/>
      <c r="Y1618" s="42"/>
      <c r="Z1618" s="42"/>
      <c r="AA1618" s="42"/>
      <c r="AB1618" s="42" t="str">
        <f>IFERROR(__xludf.DUMMYFUNCTION("""COMPUTED_VALUE"""),"allen institute")</f>
        <v>allen institute</v>
      </c>
      <c r="AC1618" s="42" t="str">
        <f>IFERROR(__xludf.DUMMYFUNCTION("""COMPUTED_VALUE"""),"DHBA")</f>
        <v>DHBA</v>
      </c>
      <c r="AD1618" s="42"/>
      <c r="AE1618" s="42"/>
      <c r="AF1618" s="9"/>
      <c r="AG1618" s="9"/>
      <c r="AH1618" s="42"/>
      <c r="AI1618" s="42"/>
      <c r="AJ1618" s="42"/>
      <c r="AK1618" s="42"/>
      <c r="AL1618" s="42"/>
      <c r="AM1618" s="42"/>
      <c r="AN1618" s="42"/>
      <c r="AO1618" s="63" t="str">
        <f>IFERROR(__xludf.DUMMYFUNCTION("IF(ISBLANK(A1618),,IF(ISBLANK(S1618), A1618&amp;"";"", TEXTJOIN(CHAR(10), TRUE, A1618&amp;"";"", ARRAYFORMULA(VLOOKUP(SPLIT(S1618, "";"" &amp; CHAR(10)), $A:$AO, 41, FALSE)))))"),"ECL3a;")</f>
        <v>ECL3a;</v>
      </c>
      <c r="AP1618" s="89"/>
    </row>
    <row r="1619">
      <c r="A1619" s="151" t="str">
        <f>IFERROR(__xludf.DUMMYFUNCTION("""COMPUTED_VALUE"""),"ECL3b")</f>
        <v>ECL3b</v>
      </c>
      <c r="B1619" s="42" t="str">
        <f>IFERROR(__xludf.DUMMYFUNCTION("""COMPUTED_VALUE"""),"DHBA")</f>
        <v>DHBA</v>
      </c>
      <c r="C1619" s="42" t="str">
        <f>IFERROR(__xludf.DUMMYFUNCTION("""COMPUTED_VALUE"""),"layer IIIb of caudal limiting entorhinal cortex")</f>
        <v>layer IIIb of caudal limiting entorhinal cortex</v>
      </c>
      <c r="D1619" s="42">
        <f>IFERROR(__xludf.DUMMYFUNCTION("""COMPUTED_VALUE"""),1522.0)</f>
        <v>1522</v>
      </c>
      <c r="E1619" s="39" t="str">
        <f>IFERROR(__xludf.DUMMYFUNCTION("""COMPUTED_VALUE"""),"layer IIIb of caudal limiting entorhinal cortex")</f>
        <v>layer IIIb of caudal limiting entorhinal cortex</v>
      </c>
      <c r="F1619" s="9" t="str">
        <f>IFERROR(__xludf.DUMMYFUNCTION("""COMPUTED_VALUE"""),"Br")</f>
        <v>Br</v>
      </c>
      <c r="G1619" s="9" t="str">
        <f>IFERROR(__xludf.DUMMYFUNCTION("""COMPUTED_VALUE"""),"F")</f>
        <v>F</v>
      </c>
      <c r="H1619" s="9" t="str">
        <f>IFERROR(__xludf.DUMMYFUNCTION("""COMPUTED_VALUE"""),"FGM")</f>
        <v>FGM</v>
      </c>
      <c r="I1619" s="9" t="str">
        <f>IFERROR(__xludf.DUMMYFUNCTION("""COMPUTED_VALUE"""),"Tel")</f>
        <v>Tel</v>
      </c>
      <c r="J1619" s="9" t="str">
        <f>IFERROR(__xludf.DUMMYFUNCTION("""COMPUTED_VALUE"""),"Cx")</f>
        <v>Cx</v>
      </c>
      <c r="K1619" s="9" t="str">
        <f>IFERROR(__xludf.DUMMYFUNCTION("""COMPUTED_VALUE"""),"PACx")</f>
        <v>PACx</v>
      </c>
      <c r="L1619" s="9" t="str">
        <f>IFERROR(__xludf.DUMMYFUNCTION("""COMPUTED_VALUE"""),"PArCx")</f>
        <v>PArCx</v>
      </c>
      <c r="M1619" s="9" t="str">
        <f>IFERROR(__xludf.DUMMYFUNCTION("""COMPUTED_VALUE"""),"EC")</f>
        <v>EC</v>
      </c>
      <c r="N1619" s="9" t="str">
        <f>IFERROR(__xludf.DUMMYFUNCTION("""COMPUTED_VALUE"""),"MEC")</f>
        <v>MEC</v>
      </c>
      <c r="O1619" s="9" t="str">
        <f>IFERROR(__xludf.DUMMYFUNCTION("""COMPUTED_VALUE"""),"ECL")</f>
        <v>ECL</v>
      </c>
      <c r="P1619" s="9" t="str">
        <f>IFERROR(__xludf.DUMMYFUNCTION("""COMPUTED_VALUE"""),"ECLs")</f>
        <v>ECLs</v>
      </c>
      <c r="Q1619" s="9" t="str">
        <f>IFERROR(__xludf.DUMMYFUNCTION("""COMPUTED_VALUE"""),"ECL3")</f>
        <v>ECL3</v>
      </c>
      <c r="R1619" s="9" t="str">
        <f>IFERROR(__xludf.DUMMYFUNCTION("""COMPUTED_VALUE"""),"ECL3b")</f>
        <v>ECL3b</v>
      </c>
      <c r="S1619" s="42"/>
      <c r="T1619" s="42"/>
      <c r="U1619" s="42"/>
      <c r="V1619" s="42"/>
      <c r="W1619" s="42"/>
      <c r="X1619" s="42"/>
      <c r="Y1619" s="42"/>
      <c r="Z1619" s="42"/>
      <c r="AA1619" s="42"/>
      <c r="AB1619" s="42" t="str">
        <f>IFERROR(__xludf.DUMMYFUNCTION("""COMPUTED_VALUE"""),"allen institute")</f>
        <v>allen institute</v>
      </c>
      <c r="AC1619" s="42" t="str">
        <f>IFERROR(__xludf.DUMMYFUNCTION("""COMPUTED_VALUE"""),"DHBA")</f>
        <v>DHBA</v>
      </c>
      <c r="AD1619" s="42"/>
      <c r="AE1619" s="42"/>
      <c r="AF1619" s="9"/>
      <c r="AG1619" s="9"/>
      <c r="AH1619" s="42"/>
      <c r="AI1619" s="42"/>
      <c r="AJ1619" s="42"/>
      <c r="AK1619" s="42"/>
      <c r="AL1619" s="42"/>
      <c r="AM1619" s="42"/>
      <c r="AN1619" s="42"/>
      <c r="AO1619" s="63" t="str">
        <f>IFERROR(__xludf.DUMMYFUNCTION("IF(ISBLANK(A1619),,IF(ISBLANK(S1619), A1619&amp;"";"", TEXTJOIN(CHAR(10), TRUE, A1619&amp;"";"", ARRAYFORMULA(VLOOKUP(SPLIT(S1619, "";"" &amp; CHAR(10)), $A:$AO, 41, FALSE)))))"),"ECL3b;")</f>
        <v>ECL3b;</v>
      </c>
      <c r="AP1619" s="89"/>
    </row>
    <row r="1620">
      <c r="A1620" s="151" t="str">
        <f>IFERROR(__xludf.DUMMYFUNCTION("""COMPUTED_VALUE"""),"ECLld")</f>
        <v>ECLld</v>
      </c>
      <c r="B1620" s="42" t="str">
        <f>IFERROR(__xludf.DUMMYFUNCTION("""COMPUTED_VALUE"""),"DHBA")</f>
        <v>DHBA</v>
      </c>
      <c r="C1620" s="42" t="str">
        <f>IFERROR(__xludf.DUMMYFUNCTION("""COMPUTED_VALUE"""),"lamina dissecans of caudal limiting entorhinal cortex")</f>
        <v>lamina dissecans of caudal limiting entorhinal cortex</v>
      </c>
      <c r="D1620" s="42">
        <f>IFERROR(__xludf.DUMMYFUNCTION("""COMPUTED_VALUE"""),1523.0)</f>
        <v>1523</v>
      </c>
      <c r="E1620" s="39" t="str">
        <f>IFERROR(__xludf.DUMMYFUNCTION("""COMPUTED_VALUE"""),"lamina dissecans of caudal limiting entorhinal cortex")</f>
        <v>lamina dissecans of caudal limiting entorhinal cortex</v>
      </c>
      <c r="F1620" s="9" t="str">
        <f>IFERROR(__xludf.DUMMYFUNCTION("""COMPUTED_VALUE"""),"Br")</f>
        <v>Br</v>
      </c>
      <c r="G1620" s="9" t="str">
        <f>IFERROR(__xludf.DUMMYFUNCTION("""COMPUTED_VALUE"""),"F")</f>
        <v>F</v>
      </c>
      <c r="H1620" s="9" t="str">
        <f>IFERROR(__xludf.DUMMYFUNCTION("""COMPUTED_VALUE"""),"FGM")</f>
        <v>FGM</v>
      </c>
      <c r="I1620" s="9" t="str">
        <f>IFERROR(__xludf.DUMMYFUNCTION("""COMPUTED_VALUE"""),"Tel")</f>
        <v>Tel</v>
      </c>
      <c r="J1620" s="9" t="str">
        <f>IFERROR(__xludf.DUMMYFUNCTION("""COMPUTED_VALUE"""),"Cx")</f>
        <v>Cx</v>
      </c>
      <c r="K1620" s="9" t="str">
        <f>IFERROR(__xludf.DUMMYFUNCTION("""COMPUTED_VALUE"""),"PACx")</f>
        <v>PACx</v>
      </c>
      <c r="L1620" s="9" t="str">
        <f>IFERROR(__xludf.DUMMYFUNCTION("""COMPUTED_VALUE"""),"PArCx")</f>
        <v>PArCx</v>
      </c>
      <c r="M1620" s="9" t="str">
        <f>IFERROR(__xludf.DUMMYFUNCTION("""COMPUTED_VALUE"""),"EC")</f>
        <v>EC</v>
      </c>
      <c r="N1620" s="9" t="str">
        <f>IFERROR(__xludf.DUMMYFUNCTION("""COMPUTED_VALUE"""),"MEC")</f>
        <v>MEC</v>
      </c>
      <c r="O1620" s="9" t="str">
        <f>IFERROR(__xludf.DUMMYFUNCTION("""COMPUTED_VALUE"""),"ECL")</f>
        <v>ECL</v>
      </c>
      <c r="P1620" s="9" t="str">
        <f>IFERROR(__xludf.DUMMYFUNCTION("""COMPUTED_VALUE"""),"ECLld")</f>
        <v>ECLld</v>
      </c>
      <c r="Q1620" s="9"/>
      <c r="R1620" s="9"/>
      <c r="S1620" s="42"/>
      <c r="T1620" s="42"/>
      <c r="U1620" s="159"/>
      <c r="V1620" s="42"/>
      <c r="W1620" s="42"/>
      <c r="X1620" s="42"/>
      <c r="Y1620" s="42"/>
      <c r="Z1620" s="42"/>
      <c r="AA1620" s="42"/>
      <c r="AB1620" s="42" t="str">
        <f>IFERROR(__xludf.DUMMYFUNCTION("""COMPUTED_VALUE"""),"allen institute")</f>
        <v>allen institute</v>
      </c>
      <c r="AC1620" s="42" t="str">
        <f>IFERROR(__xludf.DUMMYFUNCTION("""COMPUTED_VALUE"""),"DHBA")</f>
        <v>DHBA</v>
      </c>
      <c r="AD1620" s="42"/>
      <c r="AE1620" s="42"/>
      <c r="AF1620" s="9"/>
      <c r="AG1620" s="9"/>
      <c r="AH1620" s="42"/>
      <c r="AI1620" s="42"/>
      <c r="AJ1620" s="42"/>
      <c r="AK1620" s="42"/>
      <c r="AL1620" s="42"/>
      <c r="AM1620" s="42"/>
      <c r="AN1620" s="42"/>
      <c r="AO1620" s="63" t="str">
        <f>IFERROR(__xludf.DUMMYFUNCTION("IF(ISBLANK(A1620),,IF(ISBLANK(S1620), A1620&amp;"";"", TEXTJOIN(CHAR(10), TRUE, A1620&amp;"";"", ARRAYFORMULA(VLOOKUP(SPLIT(S1620, "";"" &amp; CHAR(10)), $A:$AO, 41, FALSE)))))"),"ECLld;")</f>
        <v>ECLld;</v>
      </c>
      <c r="AP1620" s="89"/>
    </row>
    <row r="1621">
      <c r="A1621" s="151" t="str">
        <f>IFERROR(__xludf.DUMMYFUNCTION("""COMPUTED_VALUE"""),"ECLd")</f>
        <v>ECLd</v>
      </c>
      <c r="B1621" s="42" t="str">
        <f>IFERROR(__xludf.DUMMYFUNCTION("""COMPUTED_VALUE"""),"DHBA")</f>
        <v>DHBA</v>
      </c>
      <c r="C1621" s="42" t="str">
        <f>IFERROR(__xludf.DUMMYFUNCTION("""COMPUTED_VALUE"""),"deep layers of caudal limiting entorhinal cortex")</f>
        <v>deep layers of caudal limiting entorhinal cortex</v>
      </c>
      <c r="D1621" s="42">
        <f>IFERROR(__xludf.DUMMYFUNCTION("""COMPUTED_VALUE"""),1524.0)</f>
        <v>1524</v>
      </c>
      <c r="E1621" s="39" t="str">
        <f>IFERROR(__xludf.DUMMYFUNCTION("""COMPUTED_VALUE"""),"deep layers of caudal limiting entorhinal cortex")</f>
        <v>deep layers of caudal limiting entorhinal cortex</v>
      </c>
      <c r="F1621" s="9" t="str">
        <f>IFERROR(__xludf.DUMMYFUNCTION("""COMPUTED_VALUE"""),"Br")</f>
        <v>Br</v>
      </c>
      <c r="G1621" s="9" t="str">
        <f>IFERROR(__xludf.DUMMYFUNCTION("""COMPUTED_VALUE"""),"F")</f>
        <v>F</v>
      </c>
      <c r="H1621" s="9" t="str">
        <f>IFERROR(__xludf.DUMMYFUNCTION("""COMPUTED_VALUE"""),"FGM")</f>
        <v>FGM</v>
      </c>
      <c r="I1621" s="9" t="str">
        <f>IFERROR(__xludf.DUMMYFUNCTION("""COMPUTED_VALUE"""),"Tel")</f>
        <v>Tel</v>
      </c>
      <c r="J1621" s="9" t="str">
        <f>IFERROR(__xludf.DUMMYFUNCTION("""COMPUTED_VALUE"""),"Cx")</f>
        <v>Cx</v>
      </c>
      <c r="K1621" s="9" t="str">
        <f>IFERROR(__xludf.DUMMYFUNCTION("""COMPUTED_VALUE"""),"PACx")</f>
        <v>PACx</v>
      </c>
      <c r="L1621" s="9" t="str">
        <f>IFERROR(__xludf.DUMMYFUNCTION("""COMPUTED_VALUE"""),"PArCx")</f>
        <v>PArCx</v>
      </c>
      <c r="M1621" s="9" t="str">
        <f>IFERROR(__xludf.DUMMYFUNCTION("""COMPUTED_VALUE"""),"EC")</f>
        <v>EC</v>
      </c>
      <c r="N1621" s="9" t="str">
        <f>IFERROR(__xludf.DUMMYFUNCTION("""COMPUTED_VALUE"""),"MEC")</f>
        <v>MEC</v>
      </c>
      <c r="O1621" s="9" t="str">
        <f>IFERROR(__xludf.DUMMYFUNCTION("""COMPUTED_VALUE"""),"ECL")</f>
        <v>ECL</v>
      </c>
      <c r="P1621" s="9" t="str">
        <f>IFERROR(__xludf.DUMMYFUNCTION("""COMPUTED_VALUE"""),"ECLd")</f>
        <v>ECLd</v>
      </c>
      <c r="Q1621" s="9"/>
      <c r="R1621" s="9"/>
      <c r="S1621" s="42" t="str">
        <f>IFERROR(__xludf.DUMMYFUNCTION("""COMPUTED_VALUE"""),"ECL5;
ECL6")</f>
        <v>ECL5;
ECL6</v>
      </c>
      <c r="T1621" s="42"/>
      <c r="U1621" s="42" t="b">
        <f>IFERROR(__xludf.DUMMYFUNCTION("""COMPUTED_VALUE"""),FALSE)</f>
        <v>0</v>
      </c>
      <c r="V1621" s="42"/>
      <c r="W1621" s="42"/>
      <c r="X1621" s="42"/>
      <c r="Y1621" s="42"/>
      <c r="Z1621" s="42"/>
      <c r="AA1621" s="42"/>
      <c r="AB1621" s="42" t="str">
        <f>IFERROR(__xludf.DUMMYFUNCTION("""COMPUTED_VALUE"""),"allen institute")</f>
        <v>allen institute</v>
      </c>
      <c r="AC1621" s="42" t="str">
        <f>IFERROR(__xludf.DUMMYFUNCTION("""COMPUTED_VALUE"""),"DHBA")</f>
        <v>DHBA</v>
      </c>
      <c r="AD1621" s="42"/>
      <c r="AE1621" s="42"/>
      <c r="AF1621" s="9"/>
      <c r="AG1621" s="9"/>
      <c r="AH1621" s="42"/>
      <c r="AI1621" s="42"/>
      <c r="AJ1621" s="42"/>
      <c r="AK1621" s="42"/>
      <c r="AL1621" s="42"/>
      <c r="AM1621" s="42"/>
      <c r="AN1621" s="42"/>
      <c r="AO1621" s="63" t="str">
        <f>IFERROR(__xludf.DUMMYFUNCTION("IF(ISBLANK(A1621),,IF(ISBLANK(S1621), A1621&amp;"";"", TEXTJOIN(CHAR(10), TRUE, A1621&amp;"";"", ARRAYFORMULA(VLOOKUP(SPLIT(S1621, "";"" &amp; CHAR(10)), $A:$AO, 41, FALSE)))))"),"ECLd;
ECL5;
ECL6;")</f>
        <v>ECLd;
ECL5;
ECL6;</v>
      </c>
      <c r="AP1621" s="89"/>
    </row>
    <row r="1622">
      <c r="A1622" s="151" t="str">
        <f>IFERROR(__xludf.DUMMYFUNCTION("""COMPUTED_VALUE"""),"ECL5")</f>
        <v>ECL5</v>
      </c>
      <c r="B1622" s="42" t="str">
        <f>IFERROR(__xludf.DUMMYFUNCTION("""COMPUTED_VALUE"""),"DHBA")</f>
        <v>DHBA</v>
      </c>
      <c r="C1622" s="42" t="str">
        <f>IFERROR(__xludf.DUMMYFUNCTION("""COMPUTED_VALUE"""),"layer V of caudal limiting entorhinal cortex")</f>
        <v>layer V of caudal limiting entorhinal cortex</v>
      </c>
      <c r="D1622" s="42">
        <f>IFERROR(__xludf.DUMMYFUNCTION("""COMPUTED_VALUE"""),1525.0)</f>
        <v>1525</v>
      </c>
      <c r="E1622" s="39" t="str">
        <f>IFERROR(__xludf.DUMMYFUNCTION("""COMPUTED_VALUE"""),"layer V of caudal limiting entorhinal cortex")</f>
        <v>layer V of caudal limiting entorhinal cortex</v>
      </c>
      <c r="F1622" s="9" t="str">
        <f>IFERROR(__xludf.DUMMYFUNCTION("""COMPUTED_VALUE"""),"Br")</f>
        <v>Br</v>
      </c>
      <c r="G1622" s="9" t="str">
        <f>IFERROR(__xludf.DUMMYFUNCTION("""COMPUTED_VALUE"""),"F")</f>
        <v>F</v>
      </c>
      <c r="H1622" s="9" t="str">
        <f>IFERROR(__xludf.DUMMYFUNCTION("""COMPUTED_VALUE"""),"FGM")</f>
        <v>FGM</v>
      </c>
      <c r="I1622" s="9" t="str">
        <f>IFERROR(__xludf.DUMMYFUNCTION("""COMPUTED_VALUE"""),"Tel")</f>
        <v>Tel</v>
      </c>
      <c r="J1622" s="9" t="str">
        <f>IFERROR(__xludf.DUMMYFUNCTION("""COMPUTED_VALUE"""),"Cx")</f>
        <v>Cx</v>
      </c>
      <c r="K1622" s="9" t="str">
        <f>IFERROR(__xludf.DUMMYFUNCTION("""COMPUTED_VALUE"""),"PACx")</f>
        <v>PACx</v>
      </c>
      <c r="L1622" s="9" t="str">
        <f>IFERROR(__xludf.DUMMYFUNCTION("""COMPUTED_VALUE"""),"PArCx")</f>
        <v>PArCx</v>
      </c>
      <c r="M1622" s="9" t="str">
        <f>IFERROR(__xludf.DUMMYFUNCTION("""COMPUTED_VALUE"""),"EC")</f>
        <v>EC</v>
      </c>
      <c r="N1622" s="9" t="str">
        <f>IFERROR(__xludf.DUMMYFUNCTION("""COMPUTED_VALUE"""),"MEC")</f>
        <v>MEC</v>
      </c>
      <c r="O1622" s="9" t="str">
        <f>IFERROR(__xludf.DUMMYFUNCTION("""COMPUTED_VALUE"""),"ECL")</f>
        <v>ECL</v>
      </c>
      <c r="P1622" s="9" t="str">
        <f>IFERROR(__xludf.DUMMYFUNCTION("""COMPUTED_VALUE"""),"ECLd")</f>
        <v>ECLd</v>
      </c>
      <c r="Q1622" s="9" t="str">
        <f>IFERROR(__xludf.DUMMYFUNCTION("""COMPUTED_VALUE"""),"ECL5")</f>
        <v>ECL5</v>
      </c>
      <c r="R1622" s="9"/>
      <c r="S1622" s="42"/>
      <c r="T1622" s="42"/>
      <c r="U1622" s="42"/>
      <c r="V1622" s="42"/>
      <c r="W1622" s="42"/>
      <c r="X1622" s="42"/>
      <c r="Y1622" s="42"/>
      <c r="Z1622" s="42"/>
      <c r="AA1622" s="42"/>
      <c r="AB1622" s="42" t="str">
        <f>IFERROR(__xludf.DUMMYFUNCTION("""COMPUTED_VALUE"""),"allen institute")</f>
        <v>allen institute</v>
      </c>
      <c r="AC1622" s="42" t="str">
        <f>IFERROR(__xludf.DUMMYFUNCTION("""COMPUTED_VALUE"""),"DHBA")</f>
        <v>DHBA</v>
      </c>
      <c r="AD1622" s="42"/>
      <c r="AE1622" s="42"/>
      <c r="AF1622" s="9"/>
      <c r="AG1622" s="9"/>
      <c r="AH1622" s="42"/>
      <c r="AI1622" s="42"/>
      <c r="AJ1622" s="42"/>
      <c r="AK1622" s="42"/>
      <c r="AL1622" s="42"/>
      <c r="AM1622" s="42"/>
      <c r="AN1622" s="42"/>
      <c r="AO1622" s="63" t="str">
        <f>IFERROR(__xludf.DUMMYFUNCTION("IF(ISBLANK(A1622),,IF(ISBLANK(S1622), A1622&amp;"";"", TEXTJOIN(CHAR(10), TRUE, A1622&amp;"";"", ARRAYFORMULA(VLOOKUP(SPLIT(S1622, "";"" &amp; CHAR(10)), $A:$AO, 41, FALSE)))))"),"ECL5;")</f>
        <v>ECL5;</v>
      </c>
      <c r="AP1622" s="89"/>
    </row>
    <row r="1623">
      <c r="A1623" s="151" t="str">
        <f>IFERROR(__xludf.DUMMYFUNCTION("""COMPUTED_VALUE"""),"ECL6")</f>
        <v>ECL6</v>
      </c>
      <c r="B1623" s="42" t="str">
        <f>IFERROR(__xludf.DUMMYFUNCTION("""COMPUTED_VALUE"""),"DHBA")</f>
        <v>DHBA</v>
      </c>
      <c r="C1623" s="42" t="str">
        <f>IFERROR(__xludf.DUMMYFUNCTION("""COMPUTED_VALUE"""),"layer VI of caudal limiting entorhinal cortex")</f>
        <v>layer VI of caudal limiting entorhinal cortex</v>
      </c>
      <c r="D1623" s="42">
        <f>IFERROR(__xludf.DUMMYFUNCTION("""COMPUTED_VALUE"""),1526.0)</f>
        <v>1526</v>
      </c>
      <c r="E1623" s="39" t="str">
        <f>IFERROR(__xludf.DUMMYFUNCTION("""COMPUTED_VALUE"""),"layer VI of caudal limiting entorhinal cortex")</f>
        <v>layer VI of caudal limiting entorhinal cortex</v>
      </c>
      <c r="F1623" s="9" t="str">
        <f>IFERROR(__xludf.DUMMYFUNCTION("""COMPUTED_VALUE"""),"Br")</f>
        <v>Br</v>
      </c>
      <c r="G1623" s="9" t="str">
        <f>IFERROR(__xludf.DUMMYFUNCTION("""COMPUTED_VALUE"""),"F")</f>
        <v>F</v>
      </c>
      <c r="H1623" s="9" t="str">
        <f>IFERROR(__xludf.DUMMYFUNCTION("""COMPUTED_VALUE"""),"FGM")</f>
        <v>FGM</v>
      </c>
      <c r="I1623" s="9" t="str">
        <f>IFERROR(__xludf.DUMMYFUNCTION("""COMPUTED_VALUE"""),"Tel")</f>
        <v>Tel</v>
      </c>
      <c r="J1623" s="9" t="str">
        <f>IFERROR(__xludf.DUMMYFUNCTION("""COMPUTED_VALUE"""),"Cx")</f>
        <v>Cx</v>
      </c>
      <c r="K1623" s="9" t="str">
        <f>IFERROR(__xludf.DUMMYFUNCTION("""COMPUTED_VALUE"""),"PACx")</f>
        <v>PACx</v>
      </c>
      <c r="L1623" s="9" t="str">
        <f>IFERROR(__xludf.DUMMYFUNCTION("""COMPUTED_VALUE"""),"PArCx")</f>
        <v>PArCx</v>
      </c>
      <c r="M1623" s="9" t="str">
        <f>IFERROR(__xludf.DUMMYFUNCTION("""COMPUTED_VALUE"""),"EC")</f>
        <v>EC</v>
      </c>
      <c r="N1623" s="9" t="str">
        <f>IFERROR(__xludf.DUMMYFUNCTION("""COMPUTED_VALUE"""),"MEC")</f>
        <v>MEC</v>
      </c>
      <c r="O1623" s="9" t="str">
        <f>IFERROR(__xludf.DUMMYFUNCTION("""COMPUTED_VALUE"""),"ECL")</f>
        <v>ECL</v>
      </c>
      <c r="P1623" s="9" t="str">
        <f>IFERROR(__xludf.DUMMYFUNCTION("""COMPUTED_VALUE"""),"ECLd")</f>
        <v>ECLd</v>
      </c>
      <c r="Q1623" s="9" t="str">
        <f>IFERROR(__xludf.DUMMYFUNCTION("""COMPUTED_VALUE"""),"ECL6")</f>
        <v>ECL6</v>
      </c>
      <c r="R1623" s="9"/>
      <c r="S1623" s="42"/>
      <c r="T1623" s="42"/>
      <c r="U1623" s="42"/>
      <c r="V1623" s="42"/>
      <c r="W1623" s="42"/>
      <c r="X1623" s="42"/>
      <c r="Y1623" s="42"/>
      <c r="Z1623" s="42"/>
      <c r="AA1623" s="42"/>
      <c r="AB1623" s="42" t="str">
        <f>IFERROR(__xludf.DUMMYFUNCTION("""COMPUTED_VALUE"""),"allen institute")</f>
        <v>allen institute</v>
      </c>
      <c r="AC1623" s="42" t="str">
        <f>IFERROR(__xludf.DUMMYFUNCTION("""COMPUTED_VALUE"""),"DHBA")</f>
        <v>DHBA</v>
      </c>
      <c r="AD1623" s="42"/>
      <c r="AE1623" s="42"/>
      <c r="AF1623" s="9"/>
      <c r="AG1623" s="9"/>
      <c r="AH1623" s="42"/>
      <c r="AI1623" s="42"/>
      <c r="AJ1623" s="42"/>
      <c r="AK1623" s="42"/>
      <c r="AL1623" s="42"/>
      <c r="AM1623" s="42"/>
      <c r="AN1623" s="42"/>
      <c r="AO1623" s="63" t="str">
        <f>IFERROR(__xludf.DUMMYFUNCTION("IF(ISBLANK(A1623),,IF(ISBLANK(S1623), A1623&amp;"";"", TEXTJOIN(CHAR(10), TRUE, A1623&amp;"";"", ARRAYFORMULA(VLOOKUP(SPLIT(S1623, "";"" &amp; CHAR(10)), $A:$AO, 41, FALSE)))))"),"ECL6;")</f>
        <v>ECL6;</v>
      </c>
      <c r="AP1623" s="89"/>
    </row>
    <row r="1624">
      <c r="A1624" s="151" t="str">
        <f>IFERROR(__xludf.DUMMYFUNCTION("""COMPUTED_VALUE"""),"ELC")</f>
        <v>ELC</v>
      </c>
      <c r="B1624" s="42" t="str">
        <f>IFERROR(__xludf.DUMMYFUNCTION("""COMPUTED_VALUE"""),"DHBA")</f>
        <v>DHBA</v>
      </c>
      <c r="C1624" s="42" t="str">
        <f>IFERROR(__xludf.DUMMYFUNCTION("""COMPUTED_VALUE"""),"laterocaudal part of entorhinal cortex")</f>
        <v>laterocaudal part of entorhinal cortex</v>
      </c>
      <c r="D1624" s="42">
        <f>IFERROR(__xludf.DUMMYFUNCTION("""COMPUTED_VALUE"""),1527.0)</f>
        <v>1527</v>
      </c>
      <c r="E1624" s="39" t="str">
        <f>IFERROR(__xludf.DUMMYFUNCTION("""COMPUTED_VALUE"""),"laterocaudal part of entorhinal cortex")</f>
        <v>laterocaudal part of entorhinal cortex</v>
      </c>
      <c r="F1624" s="9" t="str">
        <f>IFERROR(__xludf.DUMMYFUNCTION("""COMPUTED_VALUE"""),"Br")</f>
        <v>Br</v>
      </c>
      <c r="G1624" s="9" t="str">
        <f>IFERROR(__xludf.DUMMYFUNCTION("""COMPUTED_VALUE"""),"F")</f>
        <v>F</v>
      </c>
      <c r="H1624" s="9" t="str">
        <f>IFERROR(__xludf.DUMMYFUNCTION("""COMPUTED_VALUE"""),"FGM")</f>
        <v>FGM</v>
      </c>
      <c r="I1624" s="9" t="str">
        <f>IFERROR(__xludf.DUMMYFUNCTION("""COMPUTED_VALUE"""),"Tel")</f>
        <v>Tel</v>
      </c>
      <c r="J1624" s="9" t="str">
        <f>IFERROR(__xludf.DUMMYFUNCTION("""COMPUTED_VALUE"""),"Cx")</f>
        <v>Cx</v>
      </c>
      <c r="K1624" s="9" t="str">
        <f>IFERROR(__xludf.DUMMYFUNCTION("""COMPUTED_VALUE"""),"PACx")</f>
        <v>PACx</v>
      </c>
      <c r="L1624" s="9" t="str">
        <f>IFERROR(__xludf.DUMMYFUNCTION("""COMPUTED_VALUE"""),"PArCx")</f>
        <v>PArCx</v>
      </c>
      <c r="M1624" s="9" t="str">
        <f>IFERROR(__xludf.DUMMYFUNCTION("""COMPUTED_VALUE"""),"EC")</f>
        <v>EC</v>
      </c>
      <c r="N1624" s="9" t="str">
        <f>IFERROR(__xludf.DUMMYFUNCTION("""COMPUTED_VALUE"""),"MEC")</f>
        <v>MEC</v>
      </c>
      <c r="O1624" s="9" t="str">
        <f>IFERROR(__xludf.DUMMYFUNCTION("""COMPUTED_VALUE"""),"ELC")</f>
        <v>ELC</v>
      </c>
      <c r="P1624" s="9"/>
      <c r="Q1624" s="9"/>
      <c r="R1624" s="9"/>
      <c r="S1624" s="42" t="str">
        <f>IFERROR(__xludf.DUMMYFUNCTION("""COMPUTED_VALUE"""),"ELC1;
ELCs;
ELCld;
ELCd")</f>
        <v>ELC1;
ELCs;
ELCld;
ELCd</v>
      </c>
      <c r="T1624" s="42"/>
      <c r="U1624" s="42" t="b">
        <f>IFERROR(__xludf.DUMMYFUNCTION("""COMPUTED_VALUE"""),FALSE)</f>
        <v>0</v>
      </c>
      <c r="V1624" s="42"/>
      <c r="W1624" s="42"/>
      <c r="X1624" s="42"/>
      <c r="Y1624" s="42"/>
      <c r="Z1624" s="42"/>
      <c r="AA1624" s="42"/>
      <c r="AB1624" s="42" t="str">
        <f>IFERROR(__xludf.DUMMYFUNCTION("""COMPUTED_VALUE"""),"allen institute")</f>
        <v>allen institute</v>
      </c>
      <c r="AC1624" s="42" t="str">
        <f>IFERROR(__xludf.DUMMYFUNCTION("""COMPUTED_VALUE"""),"DHBA")</f>
        <v>DHBA</v>
      </c>
      <c r="AD1624" s="42"/>
      <c r="AE1624" s="42"/>
      <c r="AF1624" s="9"/>
      <c r="AG1624" s="9"/>
      <c r="AH1624" s="42"/>
      <c r="AI1624" s="42"/>
      <c r="AJ1624" s="42"/>
      <c r="AK1624" s="42"/>
      <c r="AL1624" s="42"/>
      <c r="AM1624" s="42"/>
      <c r="AN1624" s="42"/>
      <c r="AO1624" s="63" t="str">
        <f>IFERROR(__xludf.DUMMYFUNCTION("IF(ISBLANK(A1624),,IF(ISBLANK(S1624), A1624&amp;"";"", TEXTJOIN(CHAR(10), TRUE, A1624&amp;"";"", ARRAYFORMULA(VLOOKUP(SPLIT(S1624, "";"" &amp; CHAR(10)), $A:$AO, 41, FALSE)))))"),"ELC;
ELC1;
ELCs;
ELC2;
ELC3;
ELC3a;
ELC3b;
ELCld;
ELCd;
ELC5;
ELC6;")</f>
        <v>ELC;
ELC1;
ELCs;
ELC2;
ELC3;
ELC3a;
ELC3b;
ELCld;
ELCd;
ELC5;
ELC6;</v>
      </c>
      <c r="AP1624" s="89"/>
    </row>
    <row r="1625">
      <c r="A1625" s="151" t="str">
        <f>IFERROR(__xludf.DUMMYFUNCTION("""COMPUTED_VALUE"""),"ELC1")</f>
        <v>ELC1</v>
      </c>
      <c r="B1625" s="42" t="str">
        <f>IFERROR(__xludf.DUMMYFUNCTION("""COMPUTED_VALUE"""),"DHBA")</f>
        <v>DHBA</v>
      </c>
      <c r="C1625" s="42" t="str">
        <f>IFERROR(__xludf.DUMMYFUNCTION("""COMPUTED_VALUE"""),"layer I of laterocaudal entorhinal cortex")</f>
        <v>layer I of laterocaudal entorhinal cortex</v>
      </c>
      <c r="D1625" s="42">
        <f>IFERROR(__xludf.DUMMYFUNCTION("""COMPUTED_VALUE"""),1528.0)</f>
        <v>1528</v>
      </c>
      <c r="E1625" s="39" t="str">
        <f>IFERROR(__xludf.DUMMYFUNCTION("""COMPUTED_VALUE"""),"layer I of laterocaudal entorhinal cortex")</f>
        <v>layer I of laterocaudal entorhinal cortex</v>
      </c>
      <c r="F1625" s="9" t="str">
        <f>IFERROR(__xludf.DUMMYFUNCTION("""COMPUTED_VALUE"""),"Br")</f>
        <v>Br</v>
      </c>
      <c r="G1625" s="9" t="str">
        <f>IFERROR(__xludf.DUMMYFUNCTION("""COMPUTED_VALUE"""),"F")</f>
        <v>F</v>
      </c>
      <c r="H1625" s="9" t="str">
        <f>IFERROR(__xludf.DUMMYFUNCTION("""COMPUTED_VALUE"""),"FGM")</f>
        <v>FGM</v>
      </c>
      <c r="I1625" s="9" t="str">
        <f>IFERROR(__xludf.DUMMYFUNCTION("""COMPUTED_VALUE"""),"Tel")</f>
        <v>Tel</v>
      </c>
      <c r="J1625" s="9" t="str">
        <f>IFERROR(__xludf.DUMMYFUNCTION("""COMPUTED_VALUE"""),"Cx")</f>
        <v>Cx</v>
      </c>
      <c r="K1625" s="9" t="str">
        <f>IFERROR(__xludf.DUMMYFUNCTION("""COMPUTED_VALUE"""),"PACx")</f>
        <v>PACx</v>
      </c>
      <c r="L1625" s="9" t="str">
        <f>IFERROR(__xludf.DUMMYFUNCTION("""COMPUTED_VALUE"""),"PArCx")</f>
        <v>PArCx</v>
      </c>
      <c r="M1625" s="9" t="str">
        <f>IFERROR(__xludf.DUMMYFUNCTION("""COMPUTED_VALUE"""),"EC")</f>
        <v>EC</v>
      </c>
      <c r="N1625" s="9" t="str">
        <f>IFERROR(__xludf.DUMMYFUNCTION("""COMPUTED_VALUE"""),"MEC")</f>
        <v>MEC</v>
      </c>
      <c r="O1625" s="9" t="str">
        <f>IFERROR(__xludf.DUMMYFUNCTION("""COMPUTED_VALUE"""),"ELC")</f>
        <v>ELC</v>
      </c>
      <c r="P1625" s="9" t="str">
        <f>IFERROR(__xludf.DUMMYFUNCTION("""COMPUTED_VALUE"""),"ELC1")</f>
        <v>ELC1</v>
      </c>
      <c r="Q1625" s="9"/>
      <c r="R1625" s="9"/>
      <c r="S1625" s="42"/>
      <c r="T1625" s="42"/>
      <c r="U1625" s="42"/>
      <c r="V1625" s="42"/>
      <c r="W1625" s="42"/>
      <c r="X1625" s="42"/>
      <c r="Y1625" s="42"/>
      <c r="Z1625" s="42"/>
      <c r="AA1625" s="42"/>
      <c r="AB1625" s="42" t="str">
        <f>IFERROR(__xludf.DUMMYFUNCTION("""COMPUTED_VALUE"""),"allen institute")</f>
        <v>allen institute</v>
      </c>
      <c r="AC1625" s="42" t="str">
        <f>IFERROR(__xludf.DUMMYFUNCTION("""COMPUTED_VALUE"""),"DHBA")</f>
        <v>DHBA</v>
      </c>
      <c r="AD1625" s="42"/>
      <c r="AE1625" s="42"/>
      <c r="AF1625" s="9"/>
      <c r="AG1625" s="9"/>
      <c r="AH1625" s="42"/>
      <c r="AI1625" s="42"/>
      <c r="AJ1625" s="42"/>
      <c r="AK1625" s="42"/>
      <c r="AL1625" s="42"/>
      <c r="AM1625" s="42"/>
      <c r="AN1625" s="42"/>
      <c r="AO1625" s="63" t="str">
        <f>IFERROR(__xludf.DUMMYFUNCTION("IF(ISBLANK(A1625),,IF(ISBLANK(S1625), A1625&amp;"";"", TEXTJOIN(CHAR(10), TRUE, A1625&amp;"";"", ARRAYFORMULA(VLOOKUP(SPLIT(S1625, "";"" &amp; CHAR(10)), $A:$AO, 41, FALSE)))))"),"ELC1;")</f>
        <v>ELC1;</v>
      </c>
      <c r="AP1625" s="89"/>
    </row>
    <row r="1626">
      <c r="A1626" s="151" t="str">
        <f>IFERROR(__xludf.DUMMYFUNCTION("""COMPUTED_VALUE"""),"ELCs")</f>
        <v>ELCs</v>
      </c>
      <c r="B1626" s="42" t="str">
        <f>IFERROR(__xludf.DUMMYFUNCTION("""COMPUTED_VALUE"""),"DHBA")</f>
        <v>DHBA</v>
      </c>
      <c r="C1626" s="42" t="str">
        <f>IFERROR(__xludf.DUMMYFUNCTION("""COMPUTED_VALUE"""),"superficial layers of laterocaudal entorhinal cortex")</f>
        <v>superficial layers of laterocaudal entorhinal cortex</v>
      </c>
      <c r="D1626" s="42">
        <f>IFERROR(__xludf.DUMMYFUNCTION("""COMPUTED_VALUE"""),1529.0)</f>
        <v>1529</v>
      </c>
      <c r="E1626" s="39" t="str">
        <f>IFERROR(__xludf.DUMMYFUNCTION("""COMPUTED_VALUE"""),"superficial layers of laterocaudal entorhinal cortex")</f>
        <v>superficial layers of laterocaudal entorhinal cortex</v>
      </c>
      <c r="F1626" s="9" t="str">
        <f>IFERROR(__xludf.DUMMYFUNCTION("""COMPUTED_VALUE"""),"Br")</f>
        <v>Br</v>
      </c>
      <c r="G1626" s="9" t="str">
        <f>IFERROR(__xludf.DUMMYFUNCTION("""COMPUTED_VALUE"""),"F")</f>
        <v>F</v>
      </c>
      <c r="H1626" s="9" t="str">
        <f>IFERROR(__xludf.DUMMYFUNCTION("""COMPUTED_VALUE"""),"FGM")</f>
        <v>FGM</v>
      </c>
      <c r="I1626" s="9" t="str">
        <f>IFERROR(__xludf.DUMMYFUNCTION("""COMPUTED_VALUE"""),"Tel")</f>
        <v>Tel</v>
      </c>
      <c r="J1626" s="9" t="str">
        <f>IFERROR(__xludf.DUMMYFUNCTION("""COMPUTED_VALUE"""),"Cx")</f>
        <v>Cx</v>
      </c>
      <c r="K1626" s="9" t="str">
        <f>IFERROR(__xludf.DUMMYFUNCTION("""COMPUTED_VALUE"""),"PACx")</f>
        <v>PACx</v>
      </c>
      <c r="L1626" s="9" t="str">
        <f>IFERROR(__xludf.DUMMYFUNCTION("""COMPUTED_VALUE"""),"PArCx")</f>
        <v>PArCx</v>
      </c>
      <c r="M1626" s="9" t="str">
        <f>IFERROR(__xludf.DUMMYFUNCTION("""COMPUTED_VALUE"""),"EC")</f>
        <v>EC</v>
      </c>
      <c r="N1626" s="9" t="str">
        <f>IFERROR(__xludf.DUMMYFUNCTION("""COMPUTED_VALUE"""),"MEC")</f>
        <v>MEC</v>
      </c>
      <c r="O1626" s="9" t="str">
        <f>IFERROR(__xludf.DUMMYFUNCTION("""COMPUTED_VALUE"""),"ELC")</f>
        <v>ELC</v>
      </c>
      <c r="P1626" s="9" t="str">
        <f>IFERROR(__xludf.DUMMYFUNCTION("""COMPUTED_VALUE"""),"ELCs")</f>
        <v>ELCs</v>
      </c>
      <c r="Q1626" s="9"/>
      <c r="R1626" s="9"/>
      <c r="S1626" s="42" t="str">
        <f>IFERROR(__xludf.DUMMYFUNCTION("""COMPUTED_VALUE"""),"ELC2;
ELC3")</f>
        <v>ELC2;
ELC3</v>
      </c>
      <c r="T1626" s="42"/>
      <c r="U1626" s="42" t="b">
        <f>IFERROR(__xludf.DUMMYFUNCTION("""COMPUTED_VALUE"""),FALSE)</f>
        <v>0</v>
      </c>
      <c r="V1626" s="42"/>
      <c r="W1626" s="42"/>
      <c r="X1626" s="42"/>
      <c r="Y1626" s="42"/>
      <c r="Z1626" s="42"/>
      <c r="AA1626" s="42"/>
      <c r="AB1626" s="42" t="str">
        <f>IFERROR(__xludf.DUMMYFUNCTION("""COMPUTED_VALUE"""),"allen institute")</f>
        <v>allen institute</v>
      </c>
      <c r="AC1626" s="42" t="str">
        <f>IFERROR(__xludf.DUMMYFUNCTION("""COMPUTED_VALUE"""),"DHBA")</f>
        <v>DHBA</v>
      </c>
      <c r="AD1626" s="42"/>
      <c r="AE1626" s="42"/>
      <c r="AF1626" s="9"/>
      <c r="AG1626" s="9"/>
      <c r="AH1626" s="42"/>
      <c r="AI1626" s="42"/>
      <c r="AJ1626" s="42"/>
      <c r="AK1626" s="42"/>
      <c r="AL1626" s="42"/>
      <c r="AM1626" s="42"/>
      <c r="AN1626" s="42"/>
      <c r="AO1626" s="63" t="str">
        <f>IFERROR(__xludf.DUMMYFUNCTION("IF(ISBLANK(A1626),,IF(ISBLANK(S1626), A1626&amp;"";"", TEXTJOIN(CHAR(10), TRUE, A1626&amp;"";"", ARRAYFORMULA(VLOOKUP(SPLIT(S1626, "";"" &amp; CHAR(10)), $A:$AO, 41, FALSE)))))"),"ELCs;
ELC2;
ELC3;
ELC3a;
ELC3b;")</f>
        <v>ELCs;
ELC2;
ELC3;
ELC3a;
ELC3b;</v>
      </c>
      <c r="AP1626" s="89"/>
    </row>
    <row r="1627">
      <c r="A1627" s="151" t="str">
        <f>IFERROR(__xludf.DUMMYFUNCTION("""COMPUTED_VALUE"""),"ELC2")</f>
        <v>ELC2</v>
      </c>
      <c r="B1627" s="42" t="str">
        <f>IFERROR(__xludf.DUMMYFUNCTION("""COMPUTED_VALUE"""),"DHBA")</f>
        <v>DHBA</v>
      </c>
      <c r="C1627" s="42" t="str">
        <f>IFERROR(__xludf.DUMMYFUNCTION("""COMPUTED_VALUE"""),"layer II of laterocaudal entorhinal cortex")</f>
        <v>layer II of laterocaudal entorhinal cortex</v>
      </c>
      <c r="D1627" s="42">
        <f>IFERROR(__xludf.DUMMYFUNCTION("""COMPUTED_VALUE"""),1530.0)</f>
        <v>1530</v>
      </c>
      <c r="E1627" s="39" t="str">
        <f>IFERROR(__xludf.DUMMYFUNCTION("""COMPUTED_VALUE"""),"layer II of laterocaudal entorhinal cortex")</f>
        <v>layer II of laterocaudal entorhinal cortex</v>
      </c>
      <c r="F1627" s="9" t="str">
        <f>IFERROR(__xludf.DUMMYFUNCTION("""COMPUTED_VALUE"""),"Br")</f>
        <v>Br</v>
      </c>
      <c r="G1627" s="9" t="str">
        <f>IFERROR(__xludf.DUMMYFUNCTION("""COMPUTED_VALUE"""),"F")</f>
        <v>F</v>
      </c>
      <c r="H1627" s="9" t="str">
        <f>IFERROR(__xludf.DUMMYFUNCTION("""COMPUTED_VALUE"""),"FGM")</f>
        <v>FGM</v>
      </c>
      <c r="I1627" s="9" t="str">
        <f>IFERROR(__xludf.DUMMYFUNCTION("""COMPUTED_VALUE"""),"Tel")</f>
        <v>Tel</v>
      </c>
      <c r="J1627" s="9" t="str">
        <f>IFERROR(__xludf.DUMMYFUNCTION("""COMPUTED_VALUE"""),"Cx")</f>
        <v>Cx</v>
      </c>
      <c r="K1627" s="9" t="str">
        <f>IFERROR(__xludf.DUMMYFUNCTION("""COMPUTED_VALUE"""),"PACx")</f>
        <v>PACx</v>
      </c>
      <c r="L1627" s="9" t="str">
        <f>IFERROR(__xludf.DUMMYFUNCTION("""COMPUTED_VALUE"""),"PArCx")</f>
        <v>PArCx</v>
      </c>
      <c r="M1627" s="9" t="str">
        <f>IFERROR(__xludf.DUMMYFUNCTION("""COMPUTED_VALUE"""),"EC")</f>
        <v>EC</v>
      </c>
      <c r="N1627" s="9" t="str">
        <f>IFERROR(__xludf.DUMMYFUNCTION("""COMPUTED_VALUE"""),"MEC")</f>
        <v>MEC</v>
      </c>
      <c r="O1627" s="9" t="str">
        <f>IFERROR(__xludf.DUMMYFUNCTION("""COMPUTED_VALUE"""),"ELC")</f>
        <v>ELC</v>
      </c>
      <c r="P1627" s="9" t="str">
        <f>IFERROR(__xludf.DUMMYFUNCTION("""COMPUTED_VALUE"""),"ELCs")</f>
        <v>ELCs</v>
      </c>
      <c r="Q1627" s="9" t="str">
        <f>IFERROR(__xludf.DUMMYFUNCTION("""COMPUTED_VALUE"""),"ELC2")</f>
        <v>ELC2</v>
      </c>
      <c r="R1627" s="9"/>
      <c r="S1627" s="42"/>
      <c r="T1627" s="42"/>
      <c r="U1627" s="42"/>
      <c r="V1627" s="42"/>
      <c r="W1627" s="42"/>
      <c r="X1627" s="42"/>
      <c r="Y1627" s="42"/>
      <c r="Z1627" s="42"/>
      <c r="AA1627" s="42"/>
      <c r="AB1627" s="42" t="str">
        <f>IFERROR(__xludf.DUMMYFUNCTION("""COMPUTED_VALUE"""),"allen institute")</f>
        <v>allen institute</v>
      </c>
      <c r="AC1627" s="42" t="str">
        <f>IFERROR(__xludf.DUMMYFUNCTION("""COMPUTED_VALUE"""),"DHBA")</f>
        <v>DHBA</v>
      </c>
      <c r="AD1627" s="42"/>
      <c r="AE1627" s="42"/>
      <c r="AF1627" s="9"/>
      <c r="AG1627" s="9"/>
      <c r="AH1627" s="42"/>
      <c r="AI1627" s="42"/>
      <c r="AJ1627" s="42"/>
      <c r="AK1627" s="42"/>
      <c r="AL1627" s="42"/>
      <c r="AM1627" s="42"/>
      <c r="AN1627" s="42"/>
      <c r="AO1627" s="63" t="str">
        <f>IFERROR(__xludf.DUMMYFUNCTION("IF(ISBLANK(A1627),,IF(ISBLANK(S1627), A1627&amp;"";"", TEXTJOIN(CHAR(10), TRUE, A1627&amp;"";"", ARRAYFORMULA(VLOOKUP(SPLIT(S1627, "";"" &amp; CHAR(10)), $A:$AO, 41, FALSE)))))"),"ELC2;")</f>
        <v>ELC2;</v>
      </c>
      <c r="AP1627" s="89"/>
    </row>
    <row r="1628">
      <c r="A1628" s="151" t="str">
        <f>IFERROR(__xludf.DUMMYFUNCTION("""COMPUTED_VALUE"""),"ELC3")</f>
        <v>ELC3</v>
      </c>
      <c r="B1628" s="42" t="str">
        <f>IFERROR(__xludf.DUMMYFUNCTION("""COMPUTED_VALUE"""),"DHBA")</f>
        <v>DHBA</v>
      </c>
      <c r="C1628" s="42" t="str">
        <f>IFERROR(__xludf.DUMMYFUNCTION("""COMPUTED_VALUE"""),"layer III of laterocaudal entorhinal cortex")</f>
        <v>layer III of laterocaudal entorhinal cortex</v>
      </c>
      <c r="D1628" s="42">
        <f>IFERROR(__xludf.DUMMYFUNCTION("""COMPUTED_VALUE"""),1531.0)</f>
        <v>1531</v>
      </c>
      <c r="E1628" s="39" t="str">
        <f>IFERROR(__xludf.DUMMYFUNCTION("""COMPUTED_VALUE"""),"layer III of laterocaudal entorhinal cortex")</f>
        <v>layer III of laterocaudal entorhinal cortex</v>
      </c>
      <c r="F1628" s="9" t="str">
        <f>IFERROR(__xludf.DUMMYFUNCTION("""COMPUTED_VALUE"""),"Br")</f>
        <v>Br</v>
      </c>
      <c r="G1628" s="9" t="str">
        <f>IFERROR(__xludf.DUMMYFUNCTION("""COMPUTED_VALUE"""),"F")</f>
        <v>F</v>
      </c>
      <c r="H1628" s="9" t="str">
        <f>IFERROR(__xludf.DUMMYFUNCTION("""COMPUTED_VALUE"""),"FGM")</f>
        <v>FGM</v>
      </c>
      <c r="I1628" s="9" t="str">
        <f>IFERROR(__xludf.DUMMYFUNCTION("""COMPUTED_VALUE"""),"Tel")</f>
        <v>Tel</v>
      </c>
      <c r="J1628" s="9" t="str">
        <f>IFERROR(__xludf.DUMMYFUNCTION("""COMPUTED_VALUE"""),"Cx")</f>
        <v>Cx</v>
      </c>
      <c r="K1628" s="9" t="str">
        <f>IFERROR(__xludf.DUMMYFUNCTION("""COMPUTED_VALUE"""),"PACx")</f>
        <v>PACx</v>
      </c>
      <c r="L1628" s="9" t="str">
        <f>IFERROR(__xludf.DUMMYFUNCTION("""COMPUTED_VALUE"""),"PArCx")</f>
        <v>PArCx</v>
      </c>
      <c r="M1628" s="9" t="str">
        <f>IFERROR(__xludf.DUMMYFUNCTION("""COMPUTED_VALUE"""),"EC")</f>
        <v>EC</v>
      </c>
      <c r="N1628" s="9" t="str">
        <f>IFERROR(__xludf.DUMMYFUNCTION("""COMPUTED_VALUE"""),"MEC")</f>
        <v>MEC</v>
      </c>
      <c r="O1628" s="9" t="str">
        <f>IFERROR(__xludf.DUMMYFUNCTION("""COMPUTED_VALUE"""),"ELC")</f>
        <v>ELC</v>
      </c>
      <c r="P1628" s="9" t="str">
        <f>IFERROR(__xludf.DUMMYFUNCTION("""COMPUTED_VALUE"""),"ELCs")</f>
        <v>ELCs</v>
      </c>
      <c r="Q1628" s="9" t="str">
        <f>IFERROR(__xludf.DUMMYFUNCTION("""COMPUTED_VALUE"""),"ELC3")</f>
        <v>ELC3</v>
      </c>
      <c r="R1628" s="9"/>
      <c r="S1628" s="42" t="str">
        <f>IFERROR(__xludf.DUMMYFUNCTION("""COMPUTED_VALUE"""),"ELC3a;
ELC3b")</f>
        <v>ELC3a;
ELC3b</v>
      </c>
      <c r="T1628" s="42"/>
      <c r="U1628" s="42" t="b">
        <f>IFERROR(__xludf.DUMMYFUNCTION("""COMPUTED_VALUE"""),FALSE)</f>
        <v>0</v>
      </c>
      <c r="V1628" s="42"/>
      <c r="W1628" s="42"/>
      <c r="X1628" s="42"/>
      <c r="Y1628" s="42"/>
      <c r="Z1628" s="42"/>
      <c r="AA1628" s="42"/>
      <c r="AB1628" s="42" t="str">
        <f>IFERROR(__xludf.DUMMYFUNCTION("""COMPUTED_VALUE"""),"allen institute")</f>
        <v>allen institute</v>
      </c>
      <c r="AC1628" s="42" t="str">
        <f>IFERROR(__xludf.DUMMYFUNCTION("""COMPUTED_VALUE"""),"DHBA")</f>
        <v>DHBA</v>
      </c>
      <c r="AD1628" s="42"/>
      <c r="AE1628" s="42"/>
      <c r="AF1628" s="9"/>
      <c r="AG1628" s="9"/>
      <c r="AH1628" s="42"/>
      <c r="AI1628" s="42"/>
      <c r="AJ1628" s="42"/>
      <c r="AK1628" s="42"/>
      <c r="AL1628" s="42"/>
      <c r="AM1628" s="42"/>
      <c r="AN1628" s="42"/>
      <c r="AO1628" s="63" t="str">
        <f>IFERROR(__xludf.DUMMYFUNCTION("IF(ISBLANK(A1628),,IF(ISBLANK(S1628), A1628&amp;"";"", TEXTJOIN(CHAR(10), TRUE, A1628&amp;"";"", ARRAYFORMULA(VLOOKUP(SPLIT(S1628, "";"" &amp; CHAR(10)), $A:$AO, 41, FALSE)))))"),"ELC3;
ELC3a;
ELC3b;")</f>
        <v>ELC3;
ELC3a;
ELC3b;</v>
      </c>
      <c r="AP1628" s="89"/>
    </row>
    <row r="1629">
      <c r="A1629" s="151" t="str">
        <f>IFERROR(__xludf.DUMMYFUNCTION("""COMPUTED_VALUE"""),"ELC3a")</f>
        <v>ELC3a</v>
      </c>
      <c r="B1629" s="42" t="str">
        <f>IFERROR(__xludf.DUMMYFUNCTION("""COMPUTED_VALUE"""),"DHBA")</f>
        <v>DHBA</v>
      </c>
      <c r="C1629" s="42" t="str">
        <f>IFERROR(__xludf.DUMMYFUNCTION("""COMPUTED_VALUE"""),"layer IIIa of laterocaudal entorhinal cortex")</f>
        <v>layer IIIa of laterocaudal entorhinal cortex</v>
      </c>
      <c r="D1629" s="42">
        <f>IFERROR(__xludf.DUMMYFUNCTION("""COMPUTED_VALUE"""),1532.0)</f>
        <v>1532</v>
      </c>
      <c r="E1629" s="39" t="str">
        <f>IFERROR(__xludf.DUMMYFUNCTION("""COMPUTED_VALUE"""),"layer IIIa of laterocaudal entorhinal cortex")</f>
        <v>layer IIIa of laterocaudal entorhinal cortex</v>
      </c>
      <c r="F1629" s="9" t="str">
        <f>IFERROR(__xludf.DUMMYFUNCTION("""COMPUTED_VALUE"""),"Br")</f>
        <v>Br</v>
      </c>
      <c r="G1629" s="9" t="str">
        <f>IFERROR(__xludf.DUMMYFUNCTION("""COMPUTED_VALUE"""),"F")</f>
        <v>F</v>
      </c>
      <c r="H1629" s="9" t="str">
        <f>IFERROR(__xludf.DUMMYFUNCTION("""COMPUTED_VALUE"""),"FGM")</f>
        <v>FGM</v>
      </c>
      <c r="I1629" s="9" t="str">
        <f>IFERROR(__xludf.DUMMYFUNCTION("""COMPUTED_VALUE"""),"Tel")</f>
        <v>Tel</v>
      </c>
      <c r="J1629" s="9" t="str">
        <f>IFERROR(__xludf.DUMMYFUNCTION("""COMPUTED_VALUE"""),"Cx")</f>
        <v>Cx</v>
      </c>
      <c r="K1629" s="9" t="str">
        <f>IFERROR(__xludf.DUMMYFUNCTION("""COMPUTED_VALUE"""),"PACx")</f>
        <v>PACx</v>
      </c>
      <c r="L1629" s="9" t="str">
        <f>IFERROR(__xludf.DUMMYFUNCTION("""COMPUTED_VALUE"""),"PArCx")</f>
        <v>PArCx</v>
      </c>
      <c r="M1629" s="9" t="str">
        <f>IFERROR(__xludf.DUMMYFUNCTION("""COMPUTED_VALUE"""),"EC")</f>
        <v>EC</v>
      </c>
      <c r="N1629" s="9" t="str">
        <f>IFERROR(__xludf.DUMMYFUNCTION("""COMPUTED_VALUE"""),"MEC")</f>
        <v>MEC</v>
      </c>
      <c r="O1629" s="9" t="str">
        <f>IFERROR(__xludf.DUMMYFUNCTION("""COMPUTED_VALUE"""),"ELC")</f>
        <v>ELC</v>
      </c>
      <c r="P1629" s="9" t="str">
        <f>IFERROR(__xludf.DUMMYFUNCTION("""COMPUTED_VALUE"""),"ELCs")</f>
        <v>ELCs</v>
      </c>
      <c r="Q1629" s="9" t="str">
        <f>IFERROR(__xludf.DUMMYFUNCTION("""COMPUTED_VALUE"""),"ELC3")</f>
        <v>ELC3</v>
      </c>
      <c r="R1629" s="9" t="str">
        <f>IFERROR(__xludf.DUMMYFUNCTION("""COMPUTED_VALUE"""),"ELC3a")</f>
        <v>ELC3a</v>
      </c>
      <c r="S1629" s="42"/>
      <c r="T1629" s="42"/>
      <c r="U1629" s="42"/>
      <c r="V1629" s="42"/>
      <c r="W1629" s="42"/>
      <c r="X1629" s="42"/>
      <c r="Y1629" s="42"/>
      <c r="Z1629" s="42"/>
      <c r="AA1629" s="42"/>
      <c r="AB1629" s="42" t="str">
        <f>IFERROR(__xludf.DUMMYFUNCTION("""COMPUTED_VALUE"""),"allen institute")</f>
        <v>allen institute</v>
      </c>
      <c r="AC1629" s="42" t="str">
        <f>IFERROR(__xludf.DUMMYFUNCTION("""COMPUTED_VALUE"""),"DHBA")</f>
        <v>DHBA</v>
      </c>
      <c r="AD1629" s="42"/>
      <c r="AE1629" s="42"/>
      <c r="AF1629" s="9"/>
      <c r="AG1629" s="9"/>
      <c r="AH1629" s="42"/>
      <c r="AI1629" s="42"/>
      <c r="AJ1629" s="42"/>
      <c r="AK1629" s="42"/>
      <c r="AL1629" s="42"/>
      <c r="AM1629" s="42"/>
      <c r="AN1629" s="42"/>
      <c r="AO1629" s="63" t="str">
        <f>IFERROR(__xludf.DUMMYFUNCTION("IF(ISBLANK(A1629),,IF(ISBLANK(S1629), A1629&amp;"";"", TEXTJOIN(CHAR(10), TRUE, A1629&amp;"";"", ARRAYFORMULA(VLOOKUP(SPLIT(S1629, "";"" &amp; CHAR(10)), $A:$AO, 41, FALSE)))))"),"ELC3a;")</f>
        <v>ELC3a;</v>
      </c>
      <c r="AP1629" s="89"/>
    </row>
    <row r="1630">
      <c r="A1630" s="151" t="str">
        <f>IFERROR(__xludf.DUMMYFUNCTION("""COMPUTED_VALUE"""),"ELC3b")</f>
        <v>ELC3b</v>
      </c>
      <c r="B1630" s="42" t="str">
        <f>IFERROR(__xludf.DUMMYFUNCTION("""COMPUTED_VALUE"""),"DHBA")</f>
        <v>DHBA</v>
      </c>
      <c r="C1630" s="42" t="str">
        <f>IFERROR(__xludf.DUMMYFUNCTION("""COMPUTED_VALUE"""),"layer IIIb of laterocaudal entorhinal cortex")</f>
        <v>layer IIIb of laterocaudal entorhinal cortex</v>
      </c>
      <c r="D1630" s="42">
        <f>IFERROR(__xludf.DUMMYFUNCTION("""COMPUTED_VALUE"""),1533.0)</f>
        <v>1533</v>
      </c>
      <c r="E1630" s="39" t="str">
        <f>IFERROR(__xludf.DUMMYFUNCTION("""COMPUTED_VALUE"""),"layer IIIb of laterocaudal entorhinal cortex")</f>
        <v>layer IIIb of laterocaudal entorhinal cortex</v>
      </c>
      <c r="F1630" s="9" t="str">
        <f>IFERROR(__xludf.DUMMYFUNCTION("""COMPUTED_VALUE"""),"Br")</f>
        <v>Br</v>
      </c>
      <c r="G1630" s="9" t="str">
        <f>IFERROR(__xludf.DUMMYFUNCTION("""COMPUTED_VALUE"""),"F")</f>
        <v>F</v>
      </c>
      <c r="H1630" s="9" t="str">
        <f>IFERROR(__xludf.DUMMYFUNCTION("""COMPUTED_VALUE"""),"FGM")</f>
        <v>FGM</v>
      </c>
      <c r="I1630" s="9" t="str">
        <f>IFERROR(__xludf.DUMMYFUNCTION("""COMPUTED_VALUE"""),"Tel")</f>
        <v>Tel</v>
      </c>
      <c r="J1630" s="9" t="str">
        <f>IFERROR(__xludf.DUMMYFUNCTION("""COMPUTED_VALUE"""),"Cx")</f>
        <v>Cx</v>
      </c>
      <c r="K1630" s="9" t="str">
        <f>IFERROR(__xludf.DUMMYFUNCTION("""COMPUTED_VALUE"""),"PACx")</f>
        <v>PACx</v>
      </c>
      <c r="L1630" s="9" t="str">
        <f>IFERROR(__xludf.DUMMYFUNCTION("""COMPUTED_VALUE"""),"PArCx")</f>
        <v>PArCx</v>
      </c>
      <c r="M1630" s="9" t="str">
        <f>IFERROR(__xludf.DUMMYFUNCTION("""COMPUTED_VALUE"""),"EC")</f>
        <v>EC</v>
      </c>
      <c r="N1630" s="9" t="str">
        <f>IFERROR(__xludf.DUMMYFUNCTION("""COMPUTED_VALUE"""),"MEC")</f>
        <v>MEC</v>
      </c>
      <c r="O1630" s="9" t="str">
        <f>IFERROR(__xludf.DUMMYFUNCTION("""COMPUTED_VALUE"""),"ELC")</f>
        <v>ELC</v>
      </c>
      <c r="P1630" s="9" t="str">
        <f>IFERROR(__xludf.DUMMYFUNCTION("""COMPUTED_VALUE"""),"ELCs")</f>
        <v>ELCs</v>
      </c>
      <c r="Q1630" s="9" t="str">
        <f>IFERROR(__xludf.DUMMYFUNCTION("""COMPUTED_VALUE"""),"ELC3")</f>
        <v>ELC3</v>
      </c>
      <c r="R1630" s="9" t="str">
        <f>IFERROR(__xludf.DUMMYFUNCTION("""COMPUTED_VALUE"""),"ELC3b")</f>
        <v>ELC3b</v>
      </c>
      <c r="S1630" s="42"/>
      <c r="T1630" s="42"/>
      <c r="U1630" s="42"/>
      <c r="V1630" s="42"/>
      <c r="W1630" s="42"/>
      <c r="X1630" s="42"/>
      <c r="Y1630" s="42"/>
      <c r="Z1630" s="42"/>
      <c r="AA1630" s="42"/>
      <c r="AB1630" s="42" t="str">
        <f>IFERROR(__xludf.DUMMYFUNCTION("""COMPUTED_VALUE"""),"allen institute")</f>
        <v>allen institute</v>
      </c>
      <c r="AC1630" s="42" t="str">
        <f>IFERROR(__xludf.DUMMYFUNCTION("""COMPUTED_VALUE"""),"DHBA")</f>
        <v>DHBA</v>
      </c>
      <c r="AD1630" s="42"/>
      <c r="AE1630" s="42"/>
      <c r="AF1630" s="9"/>
      <c r="AG1630" s="9"/>
      <c r="AH1630" s="42"/>
      <c r="AI1630" s="42"/>
      <c r="AJ1630" s="42"/>
      <c r="AK1630" s="42"/>
      <c r="AL1630" s="42"/>
      <c r="AM1630" s="42"/>
      <c r="AN1630" s="42"/>
      <c r="AO1630" s="63" t="str">
        <f>IFERROR(__xludf.DUMMYFUNCTION("IF(ISBLANK(A1630),,IF(ISBLANK(S1630), A1630&amp;"";"", TEXTJOIN(CHAR(10), TRUE, A1630&amp;"";"", ARRAYFORMULA(VLOOKUP(SPLIT(S1630, "";"" &amp; CHAR(10)), $A:$AO, 41, FALSE)))))"),"ELC3b;")</f>
        <v>ELC3b;</v>
      </c>
      <c r="AP1630" s="89"/>
    </row>
    <row r="1631">
      <c r="A1631" s="151" t="str">
        <f>IFERROR(__xludf.DUMMYFUNCTION("""COMPUTED_VALUE"""),"ELCld")</f>
        <v>ELCld</v>
      </c>
      <c r="B1631" s="42" t="str">
        <f>IFERROR(__xludf.DUMMYFUNCTION("""COMPUTED_VALUE"""),"DHBA")</f>
        <v>DHBA</v>
      </c>
      <c r="C1631" s="42" t="str">
        <f>IFERROR(__xludf.DUMMYFUNCTION("""COMPUTED_VALUE"""),"lamina dissecans of laterocaudal entorhinal cortex")</f>
        <v>lamina dissecans of laterocaudal entorhinal cortex</v>
      </c>
      <c r="D1631" s="42">
        <f>IFERROR(__xludf.DUMMYFUNCTION("""COMPUTED_VALUE"""),1534.0)</f>
        <v>1534</v>
      </c>
      <c r="E1631" s="39" t="str">
        <f>IFERROR(__xludf.DUMMYFUNCTION("""COMPUTED_VALUE"""),"lamina dissecans of laterocaudal entorhinal cortex")</f>
        <v>lamina dissecans of laterocaudal entorhinal cortex</v>
      </c>
      <c r="F1631" s="9" t="str">
        <f>IFERROR(__xludf.DUMMYFUNCTION("""COMPUTED_VALUE"""),"Br")</f>
        <v>Br</v>
      </c>
      <c r="G1631" s="9" t="str">
        <f>IFERROR(__xludf.DUMMYFUNCTION("""COMPUTED_VALUE"""),"F")</f>
        <v>F</v>
      </c>
      <c r="H1631" s="9" t="str">
        <f>IFERROR(__xludf.DUMMYFUNCTION("""COMPUTED_VALUE"""),"FGM")</f>
        <v>FGM</v>
      </c>
      <c r="I1631" s="9" t="str">
        <f>IFERROR(__xludf.DUMMYFUNCTION("""COMPUTED_VALUE"""),"Tel")</f>
        <v>Tel</v>
      </c>
      <c r="J1631" s="9" t="str">
        <f>IFERROR(__xludf.DUMMYFUNCTION("""COMPUTED_VALUE"""),"Cx")</f>
        <v>Cx</v>
      </c>
      <c r="K1631" s="9" t="str">
        <f>IFERROR(__xludf.DUMMYFUNCTION("""COMPUTED_VALUE"""),"PACx")</f>
        <v>PACx</v>
      </c>
      <c r="L1631" s="9" t="str">
        <f>IFERROR(__xludf.DUMMYFUNCTION("""COMPUTED_VALUE"""),"PArCx")</f>
        <v>PArCx</v>
      </c>
      <c r="M1631" s="9" t="str">
        <f>IFERROR(__xludf.DUMMYFUNCTION("""COMPUTED_VALUE"""),"EC")</f>
        <v>EC</v>
      </c>
      <c r="N1631" s="9" t="str">
        <f>IFERROR(__xludf.DUMMYFUNCTION("""COMPUTED_VALUE"""),"MEC")</f>
        <v>MEC</v>
      </c>
      <c r="O1631" s="9" t="str">
        <f>IFERROR(__xludf.DUMMYFUNCTION("""COMPUTED_VALUE"""),"ELC")</f>
        <v>ELC</v>
      </c>
      <c r="P1631" s="9" t="str">
        <f>IFERROR(__xludf.DUMMYFUNCTION("""COMPUTED_VALUE"""),"ELCld")</f>
        <v>ELCld</v>
      </c>
      <c r="Q1631" s="9"/>
      <c r="R1631" s="9"/>
      <c r="S1631" s="42"/>
      <c r="T1631" s="42"/>
      <c r="U1631" s="42"/>
      <c r="V1631" s="42"/>
      <c r="W1631" s="42"/>
      <c r="X1631" s="42"/>
      <c r="Y1631" s="42"/>
      <c r="Z1631" s="42"/>
      <c r="AA1631" s="42"/>
      <c r="AB1631" s="42" t="str">
        <f>IFERROR(__xludf.DUMMYFUNCTION("""COMPUTED_VALUE"""),"allen institute")</f>
        <v>allen institute</v>
      </c>
      <c r="AC1631" s="42" t="str">
        <f>IFERROR(__xludf.DUMMYFUNCTION("""COMPUTED_VALUE"""),"DHBA")</f>
        <v>DHBA</v>
      </c>
      <c r="AD1631" s="42"/>
      <c r="AE1631" s="42"/>
      <c r="AF1631" s="9"/>
      <c r="AG1631" s="9"/>
      <c r="AH1631" s="42"/>
      <c r="AI1631" s="42"/>
      <c r="AJ1631" s="42"/>
      <c r="AK1631" s="42"/>
      <c r="AL1631" s="42"/>
      <c r="AM1631" s="42"/>
      <c r="AN1631" s="42"/>
      <c r="AO1631" s="63" t="str">
        <f>IFERROR(__xludf.DUMMYFUNCTION("IF(ISBLANK(A1631),,IF(ISBLANK(S1631), A1631&amp;"";"", TEXTJOIN(CHAR(10), TRUE, A1631&amp;"";"", ARRAYFORMULA(VLOOKUP(SPLIT(S1631, "";"" &amp; CHAR(10)), $A:$AO, 41, FALSE)))))"),"ELCld;")</f>
        <v>ELCld;</v>
      </c>
      <c r="AP1631" s="89"/>
    </row>
    <row r="1632">
      <c r="A1632" s="151" t="str">
        <f>IFERROR(__xludf.DUMMYFUNCTION("""COMPUTED_VALUE"""),"ELCd")</f>
        <v>ELCd</v>
      </c>
      <c r="B1632" s="42" t="str">
        <f>IFERROR(__xludf.DUMMYFUNCTION("""COMPUTED_VALUE"""),"DHBA")</f>
        <v>DHBA</v>
      </c>
      <c r="C1632" s="42" t="str">
        <f>IFERROR(__xludf.DUMMYFUNCTION("""COMPUTED_VALUE"""),"deep layers of laterocaudal entorhinal cortex")</f>
        <v>deep layers of laterocaudal entorhinal cortex</v>
      </c>
      <c r="D1632" s="42">
        <f>IFERROR(__xludf.DUMMYFUNCTION("""COMPUTED_VALUE"""),1535.0)</f>
        <v>1535</v>
      </c>
      <c r="E1632" s="39" t="str">
        <f>IFERROR(__xludf.DUMMYFUNCTION("""COMPUTED_VALUE"""),"deep layers of laterocaudal entorhinal cortex")</f>
        <v>deep layers of laterocaudal entorhinal cortex</v>
      </c>
      <c r="F1632" s="9" t="str">
        <f>IFERROR(__xludf.DUMMYFUNCTION("""COMPUTED_VALUE"""),"Br")</f>
        <v>Br</v>
      </c>
      <c r="G1632" s="9" t="str">
        <f>IFERROR(__xludf.DUMMYFUNCTION("""COMPUTED_VALUE"""),"F")</f>
        <v>F</v>
      </c>
      <c r="H1632" s="9" t="str">
        <f>IFERROR(__xludf.DUMMYFUNCTION("""COMPUTED_VALUE"""),"FGM")</f>
        <v>FGM</v>
      </c>
      <c r="I1632" s="9" t="str">
        <f>IFERROR(__xludf.DUMMYFUNCTION("""COMPUTED_VALUE"""),"Tel")</f>
        <v>Tel</v>
      </c>
      <c r="J1632" s="9" t="str">
        <f>IFERROR(__xludf.DUMMYFUNCTION("""COMPUTED_VALUE"""),"Cx")</f>
        <v>Cx</v>
      </c>
      <c r="K1632" s="9" t="str">
        <f>IFERROR(__xludf.DUMMYFUNCTION("""COMPUTED_VALUE"""),"PACx")</f>
        <v>PACx</v>
      </c>
      <c r="L1632" s="9" t="str">
        <f>IFERROR(__xludf.DUMMYFUNCTION("""COMPUTED_VALUE"""),"PArCx")</f>
        <v>PArCx</v>
      </c>
      <c r="M1632" s="9" t="str">
        <f>IFERROR(__xludf.DUMMYFUNCTION("""COMPUTED_VALUE"""),"EC")</f>
        <v>EC</v>
      </c>
      <c r="N1632" s="9" t="str">
        <f>IFERROR(__xludf.DUMMYFUNCTION("""COMPUTED_VALUE"""),"MEC")</f>
        <v>MEC</v>
      </c>
      <c r="O1632" s="9" t="str">
        <f>IFERROR(__xludf.DUMMYFUNCTION("""COMPUTED_VALUE"""),"ELC")</f>
        <v>ELC</v>
      </c>
      <c r="P1632" s="9" t="str">
        <f>IFERROR(__xludf.DUMMYFUNCTION("""COMPUTED_VALUE"""),"ELCd")</f>
        <v>ELCd</v>
      </c>
      <c r="Q1632" s="9"/>
      <c r="R1632" s="9"/>
      <c r="S1632" s="42" t="str">
        <f>IFERROR(__xludf.DUMMYFUNCTION("""COMPUTED_VALUE"""),"ELC5;
ELC6")</f>
        <v>ELC5;
ELC6</v>
      </c>
      <c r="T1632" s="42"/>
      <c r="U1632" s="42" t="b">
        <f>IFERROR(__xludf.DUMMYFUNCTION("""COMPUTED_VALUE"""),FALSE)</f>
        <v>0</v>
      </c>
      <c r="V1632" s="42"/>
      <c r="W1632" s="42"/>
      <c r="X1632" s="42"/>
      <c r="Y1632" s="42"/>
      <c r="Z1632" s="42"/>
      <c r="AA1632" s="42"/>
      <c r="AB1632" s="42" t="str">
        <f>IFERROR(__xludf.DUMMYFUNCTION("""COMPUTED_VALUE"""),"allen institute")</f>
        <v>allen institute</v>
      </c>
      <c r="AC1632" s="42" t="str">
        <f>IFERROR(__xludf.DUMMYFUNCTION("""COMPUTED_VALUE"""),"DHBA")</f>
        <v>DHBA</v>
      </c>
      <c r="AD1632" s="42"/>
      <c r="AE1632" s="42"/>
      <c r="AF1632" s="9"/>
      <c r="AG1632" s="9"/>
      <c r="AH1632" s="42"/>
      <c r="AI1632" s="42"/>
      <c r="AJ1632" s="42"/>
      <c r="AK1632" s="42"/>
      <c r="AL1632" s="42"/>
      <c r="AM1632" s="42"/>
      <c r="AN1632" s="42"/>
      <c r="AO1632" s="63" t="str">
        <f>IFERROR(__xludf.DUMMYFUNCTION("IF(ISBLANK(A1632),,IF(ISBLANK(S1632), A1632&amp;"";"", TEXTJOIN(CHAR(10), TRUE, A1632&amp;"";"", ARRAYFORMULA(VLOOKUP(SPLIT(S1632, "";"" &amp; CHAR(10)), $A:$AO, 41, FALSE)))))"),"ELCd;
ELC5;
ELC6;")</f>
        <v>ELCd;
ELC5;
ELC6;</v>
      </c>
      <c r="AP1632" s="89"/>
    </row>
    <row r="1633">
      <c r="A1633" s="151" t="str">
        <f>IFERROR(__xludf.DUMMYFUNCTION("""COMPUTED_VALUE"""),"ELC5")</f>
        <v>ELC5</v>
      </c>
      <c r="B1633" s="42" t="str">
        <f>IFERROR(__xludf.DUMMYFUNCTION("""COMPUTED_VALUE"""),"DHBA")</f>
        <v>DHBA</v>
      </c>
      <c r="C1633" s="42" t="str">
        <f>IFERROR(__xludf.DUMMYFUNCTION("""COMPUTED_VALUE"""),"layer V of laterocaudal entorhinal cortex")</f>
        <v>layer V of laterocaudal entorhinal cortex</v>
      </c>
      <c r="D1633" s="42">
        <f>IFERROR(__xludf.DUMMYFUNCTION("""COMPUTED_VALUE"""),1536.0)</f>
        <v>1536</v>
      </c>
      <c r="E1633" s="39" t="str">
        <f>IFERROR(__xludf.DUMMYFUNCTION("""COMPUTED_VALUE"""),"layer V of laterocaudal entorhinal cortex")</f>
        <v>layer V of laterocaudal entorhinal cortex</v>
      </c>
      <c r="F1633" s="9" t="str">
        <f>IFERROR(__xludf.DUMMYFUNCTION("""COMPUTED_VALUE"""),"Br")</f>
        <v>Br</v>
      </c>
      <c r="G1633" s="9" t="str">
        <f>IFERROR(__xludf.DUMMYFUNCTION("""COMPUTED_VALUE"""),"F")</f>
        <v>F</v>
      </c>
      <c r="H1633" s="9" t="str">
        <f>IFERROR(__xludf.DUMMYFUNCTION("""COMPUTED_VALUE"""),"FGM")</f>
        <v>FGM</v>
      </c>
      <c r="I1633" s="9" t="str">
        <f>IFERROR(__xludf.DUMMYFUNCTION("""COMPUTED_VALUE"""),"Tel")</f>
        <v>Tel</v>
      </c>
      <c r="J1633" s="9" t="str">
        <f>IFERROR(__xludf.DUMMYFUNCTION("""COMPUTED_VALUE"""),"Cx")</f>
        <v>Cx</v>
      </c>
      <c r="K1633" s="9" t="str">
        <f>IFERROR(__xludf.DUMMYFUNCTION("""COMPUTED_VALUE"""),"PACx")</f>
        <v>PACx</v>
      </c>
      <c r="L1633" s="9" t="str">
        <f>IFERROR(__xludf.DUMMYFUNCTION("""COMPUTED_VALUE"""),"PArCx")</f>
        <v>PArCx</v>
      </c>
      <c r="M1633" s="9" t="str">
        <f>IFERROR(__xludf.DUMMYFUNCTION("""COMPUTED_VALUE"""),"EC")</f>
        <v>EC</v>
      </c>
      <c r="N1633" s="9" t="str">
        <f>IFERROR(__xludf.DUMMYFUNCTION("""COMPUTED_VALUE"""),"MEC")</f>
        <v>MEC</v>
      </c>
      <c r="O1633" s="9" t="str">
        <f>IFERROR(__xludf.DUMMYFUNCTION("""COMPUTED_VALUE"""),"ELC")</f>
        <v>ELC</v>
      </c>
      <c r="P1633" s="9" t="str">
        <f>IFERROR(__xludf.DUMMYFUNCTION("""COMPUTED_VALUE"""),"ELCd")</f>
        <v>ELCd</v>
      </c>
      <c r="Q1633" s="9" t="str">
        <f>IFERROR(__xludf.DUMMYFUNCTION("""COMPUTED_VALUE"""),"ELC5")</f>
        <v>ELC5</v>
      </c>
      <c r="R1633" s="9"/>
      <c r="S1633" s="42"/>
      <c r="T1633" s="42"/>
      <c r="U1633" s="42"/>
      <c r="V1633" s="42"/>
      <c r="W1633" s="42"/>
      <c r="X1633" s="42"/>
      <c r="Y1633" s="42"/>
      <c r="Z1633" s="42"/>
      <c r="AA1633" s="42"/>
      <c r="AB1633" s="42" t="str">
        <f>IFERROR(__xludf.DUMMYFUNCTION("""COMPUTED_VALUE"""),"allen institute")</f>
        <v>allen institute</v>
      </c>
      <c r="AC1633" s="42" t="str">
        <f>IFERROR(__xludf.DUMMYFUNCTION("""COMPUTED_VALUE"""),"DHBA")</f>
        <v>DHBA</v>
      </c>
      <c r="AD1633" s="42"/>
      <c r="AE1633" s="42"/>
      <c r="AF1633" s="9"/>
      <c r="AG1633" s="9"/>
      <c r="AH1633" s="42"/>
      <c r="AI1633" s="42"/>
      <c r="AJ1633" s="42"/>
      <c r="AK1633" s="42"/>
      <c r="AL1633" s="42"/>
      <c r="AM1633" s="42"/>
      <c r="AN1633" s="42"/>
      <c r="AO1633" s="63" t="str">
        <f>IFERROR(__xludf.DUMMYFUNCTION("IF(ISBLANK(A1633),,IF(ISBLANK(S1633), A1633&amp;"";"", TEXTJOIN(CHAR(10), TRUE, A1633&amp;"";"", ARRAYFORMULA(VLOOKUP(SPLIT(S1633, "";"" &amp; CHAR(10)), $A:$AO, 41, FALSE)))))"),"ELC5;")</f>
        <v>ELC5;</v>
      </c>
      <c r="AP1633" s="89"/>
    </row>
    <row r="1634">
      <c r="A1634" s="151" t="str">
        <f>IFERROR(__xludf.DUMMYFUNCTION("""COMPUTED_VALUE"""),"ELC6")</f>
        <v>ELC6</v>
      </c>
      <c r="B1634" s="42" t="str">
        <f>IFERROR(__xludf.DUMMYFUNCTION("""COMPUTED_VALUE"""),"DHBA")</f>
        <v>DHBA</v>
      </c>
      <c r="C1634" s="42" t="str">
        <f>IFERROR(__xludf.DUMMYFUNCTION("""COMPUTED_VALUE"""),"layer VI of laterocaudal entorhinal cortex")</f>
        <v>layer VI of laterocaudal entorhinal cortex</v>
      </c>
      <c r="D1634" s="42">
        <f>IFERROR(__xludf.DUMMYFUNCTION("""COMPUTED_VALUE"""),1537.0)</f>
        <v>1537</v>
      </c>
      <c r="E1634" s="39" t="str">
        <f>IFERROR(__xludf.DUMMYFUNCTION("""COMPUTED_VALUE"""),"layer VI of laterocaudal entorhinal cortex")</f>
        <v>layer VI of laterocaudal entorhinal cortex</v>
      </c>
      <c r="F1634" s="9" t="str">
        <f>IFERROR(__xludf.DUMMYFUNCTION("""COMPUTED_VALUE"""),"Br")</f>
        <v>Br</v>
      </c>
      <c r="G1634" s="9" t="str">
        <f>IFERROR(__xludf.DUMMYFUNCTION("""COMPUTED_VALUE"""),"F")</f>
        <v>F</v>
      </c>
      <c r="H1634" s="9" t="str">
        <f>IFERROR(__xludf.DUMMYFUNCTION("""COMPUTED_VALUE"""),"FGM")</f>
        <v>FGM</v>
      </c>
      <c r="I1634" s="9" t="str">
        <f>IFERROR(__xludf.DUMMYFUNCTION("""COMPUTED_VALUE"""),"Tel")</f>
        <v>Tel</v>
      </c>
      <c r="J1634" s="9" t="str">
        <f>IFERROR(__xludf.DUMMYFUNCTION("""COMPUTED_VALUE"""),"Cx")</f>
        <v>Cx</v>
      </c>
      <c r="K1634" s="9" t="str">
        <f>IFERROR(__xludf.DUMMYFUNCTION("""COMPUTED_VALUE"""),"PACx")</f>
        <v>PACx</v>
      </c>
      <c r="L1634" s="9" t="str">
        <f>IFERROR(__xludf.DUMMYFUNCTION("""COMPUTED_VALUE"""),"PArCx")</f>
        <v>PArCx</v>
      </c>
      <c r="M1634" s="9" t="str">
        <f>IFERROR(__xludf.DUMMYFUNCTION("""COMPUTED_VALUE"""),"EC")</f>
        <v>EC</v>
      </c>
      <c r="N1634" s="9" t="str">
        <f>IFERROR(__xludf.DUMMYFUNCTION("""COMPUTED_VALUE"""),"MEC")</f>
        <v>MEC</v>
      </c>
      <c r="O1634" s="9" t="str">
        <f>IFERROR(__xludf.DUMMYFUNCTION("""COMPUTED_VALUE"""),"ELC")</f>
        <v>ELC</v>
      </c>
      <c r="P1634" s="9" t="str">
        <f>IFERROR(__xludf.DUMMYFUNCTION("""COMPUTED_VALUE"""),"ELCd")</f>
        <v>ELCd</v>
      </c>
      <c r="Q1634" s="9" t="str">
        <f>IFERROR(__xludf.DUMMYFUNCTION("""COMPUTED_VALUE"""),"ELC6")</f>
        <v>ELC6</v>
      </c>
      <c r="R1634" s="9"/>
      <c r="S1634" s="42"/>
      <c r="T1634" s="42"/>
      <c r="U1634" s="42"/>
      <c r="V1634" s="42"/>
      <c r="W1634" s="42"/>
      <c r="X1634" s="42"/>
      <c r="Y1634" s="42"/>
      <c r="Z1634" s="42"/>
      <c r="AA1634" s="42"/>
      <c r="AB1634" s="42" t="str">
        <f>IFERROR(__xludf.DUMMYFUNCTION("""COMPUTED_VALUE"""),"allen institute")</f>
        <v>allen institute</v>
      </c>
      <c r="AC1634" s="42" t="str">
        <f>IFERROR(__xludf.DUMMYFUNCTION("""COMPUTED_VALUE"""),"DHBA")</f>
        <v>DHBA</v>
      </c>
      <c r="AD1634" s="42"/>
      <c r="AE1634" s="42"/>
      <c r="AF1634" s="9"/>
      <c r="AG1634" s="9"/>
      <c r="AH1634" s="42"/>
      <c r="AI1634" s="42"/>
      <c r="AJ1634" s="42"/>
      <c r="AK1634" s="42"/>
      <c r="AL1634" s="42"/>
      <c r="AM1634" s="42"/>
      <c r="AN1634" s="42"/>
      <c r="AO1634" s="63" t="str">
        <f>IFERROR(__xludf.DUMMYFUNCTION("IF(ISBLANK(A1634),,IF(ISBLANK(S1634), A1634&amp;"";"", TEXTJOIN(CHAR(10), TRUE, A1634&amp;"";"", ARRAYFORMULA(VLOOKUP(SPLIT(S1634, "";"" &amp; CHAR(10)), $A:$AO, 41, FALSE)))))"),"ELC6;")</f>
        <v>ELC6;</v>
      </c>
      <c r="AP1634" s="89"/>
    </row>
    <row r="1635">
      <c r="A1635" s="151" t="str">
        <f>IFERROR(__xludf.DUMMYFUNCTION("""COMPUTED_VALUE"""),"PaS")</f>
        <v>PaS</v>
      </c>
      <c r="B1635" s="42" t="str">
        <f>IFERROR(__xludf.DUMMYFUNCTION("""COMPUTED_VALUE"""),"DHBA")</f>
        <v>DHBA</v>
      </c>
      <c r="C1635" s="42" t="str">
        <f>IFERROR(__xludf.DUMMYFUNCTION("""COMPUTED_VALUE"""),"parasubiculum")</f>
        <v>parasubiculum</v>
      </c>
      <c r="D1635" s="42">
        <f>IFERROR(__xludf.DUMMYFUNCTION("""COMPUTED_VALUE"""),1538.0)</f>
        <v>1538</v>
      </c>
      <c r="E1635" s="39" t="str">
        <f>IFERROR(__xludf.DUMMYFUNCTION("""COMPUTED_VALUE"""),"parasubicular cortex (parasubiculum)")</f>
        <v>parasubicular cortex (parasubiculum)</v>
      </c>
      <c r="F1635" s="9" t="str">
        <f>IFERROR(__xludf.DUMMYFUNCTION("""COMPUTED_VALUE"""),"Br")</f>
        <v>Br</v>
      </c>
      <c r="G1635" s="9" t="str">
        <f>IFERROR(__xludf.DUMMYFUNCTION("""COMPUTED_VALUE"""),"F")</f>
        <v>F</v>
      </c>
      <c r="H1635" s="9" t="str">
        <f>IFERROR(__xludf.DUMMYFUNCTION("""COMPUTED_VALUE"""),"FGM")</f>
        <v>FGM</v>
      </c>
      <c r="I1635" s="9" t="str">
        <f>IFERROR(__xludf.DUMMYFUNCTION("""COMPUTED_VALUE"""),"Tel")</f>
        <v>Tel</v>
      </c>
      <c r="J1635" s="9" t="str">
        <f>IFERROR(__xludf.DUMMYFUNCTION("""COMPUTED_VALUE"""),"Cx")</f>
        <v>Cx</v>
      </c>
      <c r="K1635" s="9" t="str">
        <f>IFERROR(__xludf.DUMMYFUNCTION("""COMPUTED_VALUE"""),"PACx")</f>
        <v>PACx</v>
      </c>
      <c r="L1635" s="9" t="str">
        <f>IFERROR(__xludf.DUMMYFUNCTION("""COMPUTED_VALUE"""),"PArCx")</f>
        <v>PArCx</v>
      </c>
      <c r="M1635" s="9" t="str">
        <f>IFERROR(__xludf.DUMMYFUNCTION("""COMPUTED_VALUE"""),"PaS")</f>
        <v>PaS</v>
      </c>
      <c r="N1635" s="9"/>
      <c r="O1635" s="9"/>
      <c r="P1635" s="9"/>
      <c r="Q1635" s="9"/>
      <c r="R1635" s="9"/>
      <c r="S1635" s="42" t="str">
        <f>IFERROR(__xludf.DUMMYFUNCTION("""COMPUTED_VALUE"""),"PaS_uc1;
PaSb;
PaSa")</f>
        <v>PaS_uc1;
PaSb;
PaSa</v>
      </c>
      <c r="T1635" s="42"/>
      <c r="U1635" s="159" t="b">
        <f>IFERROR(__xludf.DUMMYFUNCTION("""COMPUTED_VALUE"""),FALSE)</f>
        <v>0</v>
      </c>
      <c r="V1635" s="42"/>
      <c r="W1635" s="42"/>
      <c r="X1635" s="42"/>
      <c r="Y1635" s="42"/>
      <c r="Z1635" s="42"/>
      <c r="AA1635" s="42"/>
      <c r="AB1635" s="42" t="str">
        <f>IFERROR(__xludf.DUMMYFUNCTION("""COMPUTED_VALUE"""),"allen institute")</f>
        <v>allen institute</v>
      </c>
      <c r="AC1635" s="42" t="str">
        <f>IFERROR(__xludf.DUMMYFUNCTION("""COMPUTED_VALUE"""),"DHBA")</f>
        <v>DHBA</v>
      </c>
      <c r="AD1635" s="42"/>
      <c r="AE1635" s="42"/>
      <c r="AF1635" s="9"/>
      <c r="AG1635" s="9"/>
      <c r="AH1635" s="42"/>
      <c r="AI1635" s="42"/>
      <c r="AJ1635" s="42"/>
      <c r="AK1635" s="42"/>
      <c r="AL1635" s="42"/>
      <c r="AM1635" s="42"/>
      <c r="AN1635" s="42"/>
      <c r="AO1635" s="63" t="str">
        <f>IFERROR(__xludf.DUMMYFUNCTION("IF(ISBLANK(A1635),,IF(ISBLANK(S1635), A1635&amp;"";"", TEXTJOIN(CHAR(10), TRUE, A1635&amp;"";"", ARRAYFORMULA(VLOOKUP(SPLIT(S1635, "";"" &amp; CHAR(10)), $A:$AO, 41, FALSE)))))"),"#N/A")</f>
        <v>#N/A</v>
      </c>
      <c r="AP1635" s="89"/>
    </row>
    <row r="1636">
      <c r="A1636" s="151" t="str">
        <f>IFERROR(__xludf.DUMMYFUNCTION("""COMPUTED_VALUE"""),"PaS_uc1")</f>
        <v>PaS_uc1</v>
      </c>
      <c r="B1636" s="42" t="str">
        <f>IFERROR(__xludf.DUMMYFUNCTION("""COMPUTED_VALUE"""),"makeshift")</f>
        <v>makeshift</v>
      </c>
      <c r="C1636" s="42" t="str">
        <f>IFERROR(__xludf.DUMMYFUNCTION("""COMPUTED_VALUE"""),"parasubiculum, uniform circuit 1")</f>
        <v>parasubiculum, uniform circuit 1</v>
      </c>
      <c r="D1636" s="42">
        <f>IFERROR(__xludf.DUMMYFUNCTION("""COMPUTED_VALUE"""),1538.1)</f>
        <v>1538.1</v>
      </c>
      <c r="E1636" s="39" t="str">
        <f>IFERROR(__xludf.DUMMYFUNCTION("""COMPUTED_VALUE"""),"")</f>
        <v/>
      </c>
      <c r="F1636" s="9" t="str">
        <f>IFERROR(__xludf.DUMMYFUNCTION("""COMPUTED_VALUE"""),"")</f>
        <v/>
      </c>
      <c r="G1636" s="9" t="str">
        <f>IFERROR(__xludf.DUMMYFUNCTION("""COMPUTED_VALUE"""),"")</f>
        <v/>
      </c>
      <c r="H1636" s="9" t="str">
        <f>IFERROR(__xludf.DUMMYFUNCTION("""COMPUTED_VALUE"""),"")</f>
        <v/>
      </c>
      <c r="I1636" s="9" t="str">
        <f>IFERROR(__xludf.DUMMYFUNCTION("""COMPUTED_VALUE"""),"")</f>
        <v/>
      </c>
      <c r="J1636" s="9" t="str">
        <f>IFERROR(__xludf.DUMMYFUNCTION("""COMPUTED_VALUE"""),"")</f>
        <v/>
      </c>
      <c r="K1636" s="9" t="str">
        <f>IFERROR(__xludf.DUMMYFUNCTION("""COMPUTED_VALUE"""),"")</f>
        <v/>
      </c>
      <c r="L1636" s="9" t="str">
        <f>IFERROR(__xludf.DUMMYFUNCTION("""COMPUTED_VALUE"""),"")</f>
        <v/>
      </c>
      <c r="M1636" s="9" t="str">
        <f>IFERROR(__xludf.DUMMYFUNCTION("""COMPUTED_VALUE"""),"")</f>
        <v/>
      </c>
      <c r="N1636" s="9" t="str">
        <f>IFERROR(__xludf.DUMMYFUNCTION("""COMPUTED_VALUE"""),"")</f>
        <v/>
      </c>
      <c r="O1636" s="9" t="str">
        <f>IFERROR(__xludf.DUMMYFUNCTION("""COMPUTED_VALUE"""),"")</f>
        <v/>
      </c>
      <c r="P1636" s="9" t="str">
        <f>IFERROR(__xludf.DUMMYFUNCTION("""COMPUTED_VALUE"""),"")</f>
        <v/>
      </c>
      <c r="Q1636" s="9" t="str">
        <f>IFERROR(__xludf.DUMMYFUNCTION("""COMPUTED_VALUE"""),"")</f>
        <v/>
      </c>
      <c r="R1636" s="9" t="str">
        <f>IFERROR(__xludf.DUMMYFUNCTION("""COMPUTED_VALUE"""),"")</f>
        <v/>
      </c>
      <c r="S1636" s="42"/>
      <c r="T1636" s="42"/>
      <c r="U1636" s="42" t="b">
        <f>IFERROR(__xludf.DUMMYFUNCTION("""COMPUTED_VALUE"""),TRUE)</f>
        <v>1</v>
      </c>
      <c r="V1636" s="42"/>
      <c r="W1636" s="42" t="str">
        <f>IFERROR(__xludf.DUMMYFUNCTION("""COMPUTED_VALUE"""),"Excitatory")</f>
        <v>Excitatory</v>
      </c>
      <c r="X1636" s="42"/>
      <c r="Y1636" s="42"/>
      <c r="Z1636" s="42"/>
      <c r="AA1636" s="42"/>
      <c r="AB1636" s="42" t="str">
        <f>IFERROR(__xludf.DUMMYFUNCTION("""COMPUTED_VALUE"""),"Ayako Fukawa")</f>
        <v>Ayako Fukawa</v>
      </c>
      <c r="AC1636" s="42" t="str">
        <f>IFERROR(__xludf.DUMMYFUNCTION("""COMPUTED_VALUE"""),"AT20HippocampalFormation")</f>
        <v>AT20HippocampalFormation</v>
      </c>
      <c r="AD1636" s="42"/>
      <c r="AE1636" s="42"/>
      <c r="AF1636" s="9"/>
      <c r="AG1636" s="9"/>
      <c r="AH1636" s="42"/>
      <c r="AI1636" s="42"/>
      <c r="AJ1636" s="42"/>
      <c r="AK1636" s="42"/>
      <c r="AL1636" s="42"/>
      <c r="AM1636" s="42"/>
      <c r="AN1636" s="42"/>
      <c r="AO1636" s="63" t="str">
        <f>IFERROR(__xludf.DUMMYFUNCTION("IF(ISBLANK(A1636),,IF(ISBLANK(S1636), A1636&amp;"";"", TEXTJOIN(CHAR(10), TRUE, A1636&amp;"";"", ARRAYFORMULA(VLOOKUP(SPLIT(S1636, "";"" &amp; CHAR(10)), $A:$AO, 41, FALSE)))))"),"PaS_uc1;")</f>
        <v>PaS_uc1;</v>
      </c>
      <c r="AP1636" s="89"/>
    </row>
    <row r="1637">
      <c r="A1637" s="151" t="str">
        <f>IFERROR(__xludf.DUMMYFUNCTION("""COMPUTED_VALUE"""),"PaSb")</f>
        <v>PaSb</v>
      </c>
      <c r="B1637" s="42" t="str">
        <f>IFERROR(__xludf.DUMMYFUNCTION("""COMPUTED_VALUE"""),"DHBA")</f>
        <v>DHBA</v>
      </c>
      <c r="C1637" s="42" t="str">
        <f>IFERROR(__xludf.DUMMYFUNCTION("""COMPUTED_VALUE"""),"proximal parasubiculum")</f>
        <v>proximal parasubiculum</v>
      </c>
      <c r="D1637" s="42">
        <f>IFERROR(__xludf.DUMMYFUNCTION("""COMPUTED_VALUE"""),1539.0)</f>
        <v>1539</v>
      </c>
      <c r="E1637" s="39" t="str">
        <f>IFERROR(__xludf.DUMMYFUNCTION("""COMPUTED_VALUE"""),"proximal parasubiculum")</f>
        <v>proximal parasubiculum</v>
      </c>
      <c r="F1637" s="9" t="str">
        <f>IFERROR(__xludf.DUMMYFUNCTION("""COMPUTED_VALUE"""),"Br")</f>
        <v>Br</v>
      </c>
      <c r="G1637" s="9" t="str">
        <f>IFERROR(__xludf.DUMMYFUNCTION("""COMPUTED_VALUE"""),"F")</f>
        <v>F</v>
      </c>
      <c r="H1637" s="9" t="str">
        <f>IFERROR(__xludf.DUMMYFUNCTION("""COMPUTED_VALUE"""),"FGM")</f>
        <v>FGM</v>
      </c>
      <c r="I1637" s="9" t="str">
        <f>IFERROR(__xludf.DUMMYFUNCTION("""COMPUTED_VALUE"""),"Tel")</f>
        <v>Tel</v>
      </c>
      <c r="J1637" s="9" t="str">
        <f>IFERROR(__xludf.DUMMYFUNCTION("""COMPUTED_VALUE"""),"Cx")</f>
        <v>Cx</v>
      </c>
      <c r="K1637" s="9" t="str">
        <f>IFERROR(__xludf.DUMMYFUNCTION("""COMPUTED_VALUE"""),"PACx")</f>
        <v>PACx</v>
      </c>
      <c r="L1637" s="9" t="str">
        <f>IFERROR(__xludf.DUMMYFUNCTION("""COMPUTED_VALUE"""),"PArCx")</f>
        <v>PArCx</v>
      </c>
      <c r="M1637" s="9" t="str">
        <f>IFERROR(__xludf.DUMMYFUNCTION("""COMPUTED_VALUE"""),"PaS")</f>
        <v>PaS</v>
      </c>
      <c r="N1637" s="9" t="str">
        <f>IFERROR(__xludf.DUMMYFUNCTION("""COMPUTED_VALUE"""),"PaSb")</f>
        <v>PaSb</v>
      </c>
      <c r="O1637" s="9"/>
      <c r="P1637" s="9"/>
      <c r="Q1637" s="9"/>
      <c r="R1637" s="9"/>
      <c r="S1637" s="42" t="str">
        <f>IFERROR(__xludf.DUMMYFUNCTION("""COMPUTED_VALUE"""),"PaSb1;
PaSb2_3;
PaSbld;
PaSb5_6")</f>
        <v>PaSb1;
PaSb2_3;
PaSbld;
PaSb5_6</v>
      </c>
      <c r="T1637" s="42"/>
      <c r="U1637" s="42" t="b">
        <f>IFERROR(__xludf.DUMMYFUNCTION("""COMPUTED_VALUE"""),FALSE)</f>
        <v>0</v>
      </c>
      <c r="V1637" s="42"/>
      <c r="W1637" s="42"/>
      <c r="X1637" s="42"/>
      <c r="Y1637" s="42"/>
      <c r="Z1637" s="42"/>
      <c r="AA1637" s="42"/>
      <c r="AB1637" s="42" t="str">
        <f>IFERROR(__xludf.DUMMYFUNCTION("""COMPUTED_VALUE"""),"allen institute")</f>
        <v>allen institute</v>
      </c>
      <c r="AC1637" s="42" t="str">
        <f>IFERROR(__xludf.DUMMYFUNCTION("""COMPUTED_VALUE"""),"DHBA")</f>
        <v>DHBA</v>
      </c>
      <c r="AD1637" s="42"/>
      <c r="AE1637" s="42"/>
      <c r="AF1637" s="9"/>
      <c r="AG1637" s="9"/>
      <c r="AH1637" s="42"/>
      <c r="AI1637" s="42"/>
      <c r="AJ1637" s="42"/>
      <c r="AK1637" s="42"/>
      <c r="AL1637" s="42"/>
      <c r="AM1637" s="42"/>
      <c r="AN1637" s="42"/>
      <c r="AO1637" s="63" t="str">
        <f>IFERROR(__xludf.DUMMYFUNCTION("IF(ISBLANK(A1637),,IF(ISBLANK(S1637), A1637&amp;"";"", TEXTJOIN(CHAR(10), TRUE, A1637&amp;"";"", ARRAYFORMULA(VLOOKUP(SPLIT(S1637, "";"" &amp; CHAR(10)), $A:$AO, 41, FALSE)))))"),"#N/A")</f>
        <v>#N/A</v>
      </c>
      <c r="AP1637" s="89"/>
    </row>
    <row r="1638">
      <c r="A1638" s="151" t="str">
        <f>IFERROR(__xludf.DUMMYFUNCTION("""COMPUTED_VALUE"""),"PaSb1")</f>
        <v>PaSb1</v>
      </c>
      <c r="B1638" s="42" t="str">
        <f>IFERROR(__xludf.DUMMYFUNCTION("""COMPUTED_VALUE"""),"DHBA")</f>
        <v>DHBA</v>
      </c>
      <c r="C1638" s="42" t="str">
        <f>IFERROR(__xludf.DUMMYFUNCTION("""COMPUTED_VALUE"""),"layer I of proximal parasubiculum")</f>
        <v>layer I of proximal parasubiculum</v>
      </c>
      <c r="D1638" s="42">
        <f>IFERROR(__xludf.DUMMYFUNCTION("""COMPUTED_VALUE"""),1540.0)</f>
        <v>1540</v>
      </c>
      <c r="E1638" s="39" t="str">
        <f>IFERROR(__xludf.DUMMYFUNCTION("""COMPUTED_VALUE"""),"layer I of proximal parasubiculum")</f>
        <v>layer I of proximal parasubiculum</v>
      </c>
      <c r="F1638" s="9" t="str">
        <f>IFERROR(__xludf.DUMMYFUNCTION("""COMPUTED_VALUE"""),"Br")</f>
        <v>Br</v>
      </c>
      <c r="G1638" s="9" t="str">
        <f>IFERROR(__xludf.DUMMYFUNCTION("""COMPUTED_VALUE"""),"F")</f>
        <v>F</v>
      </c>
      <c r="H1638" s="9" t="str">
        <f>IFERROR(__xludf.DUMMYFUNCTION("""COMPUTED_VALUE"""),"FGM")</f>
        <v>FGM</v>
      </c>
      <c r="I1638" s="9" t="str">
        <f>IFERROR(__xludf.DUMMYFUNCTION("""COMPUTED_VALUE"""),"Tel")</f>
        <v>Tel</v>
      </c>
      <c r="J1638" s="9" t="str">
        <f>IFERROR(__xludf.DUMMYFUNCTION("""COMPUTED_VALUE"""),"Cx")</f>
        <v>Cx</v>
      </c>
      <c r="K1638" s="9" t="str">
        <f>IFERROR(__xludf.DUMMYFUNCTION("""COMPUTED_VALUE"""),"PACx")</f>
        <v>PACx</v>
      </c>
      <c r="L1638" s="9" t="str">
        <f>IFERROR(__xludf.DUMMYFUNCTION("""COMPUTED_VALUE"""),"PArCx")</f>
        <v>PArCx</v>
      </c>
      <c r="M1638" s="9" t="str">
        <f>IFERROR(__xludf.DUMMYFUNCTION("""COMPUTED_VALUE"""),"PaS")</f>
        <v>PaS</v>
      </c>
      <c r="N1638" s="9" t="str">
        <f>IFERROR(__xludf.DUMMYFUNCTION("""COMPUTED_VALUE"""),"PaSb")</f>
        <v>PaSb</v>
      </c>
      <c r="O1638" s="9" t="str">
        <f>IFERROR(__xludf.DUMMYFUNCTION("""COMPUTED_VALUE"""),"PaSb1")</f>
        <v>PaSb1</v>
      </c>
      <c r="P1638" s="9"/>
      <c r="Q1638" s="9"/>
      <c r="R1638" s="9"/>
      <c r="S1638" s="42"/>
      <c r="T1638" s="42"/>
      <c r="U1638" s="42"/>
      <c r="V1638" s="42"/>
      <c r="W1638" s="42"/>
      <c r="X1638" s="42"/>
      <c r="Y1638" s="42"/>
      <c r="Z1638" s="42"/>
      <c r="AA1638" s="42"/>
      <c r="AB1638" s="42" t="str">
        <f>IFERROR(__xludf.DUMMYFUNCTION("""COMPUTED_VALUE"""),"allen institute")</f>
        <v>allen institute</v>
      </c>
      <c r="AC1638" s="42" t="str">
        <f>IFERROR(__xludf.DUMMYFUNCTION("""COMPUTED_VALUE"""),"DHBA")</f>
        <v>DHBA</v>
      </c>
      <c r="AD1638" s="42"/>
      <c r="AE1638" s="42"/>
      <c r="AF1638" s="9"/>
      <c r="AG1638" s="9"/>
      <c r="AH1638" s="42"/>
      <c r="AI1638" s="42"/>
      <c r="AJ1638" s="42"/>
      <c r="AK1638" s="42"/>
      <c r="AL1638" s="42"/>
      <c r="AM1638" s="42"/>
      <c r="AN1638" s="42"/>
      <c r="AO1638" s="63" t="str">
        <f>IFERROR(__xludf.DUMMYFUNCTION("IF(ISBLANK(A1638),,IF(ISBLANK(S1638), A1638&amp;"";"", TEXTJOIN(CHAR(10), TRUE, A1638&amp;"";"", ARRAYFORMULA(VLOOKUP(SPLIT(S1638, "";"" &amp; CHAR(10)), $A:$AO, 41, FALSE)))))"),"PaSb1;")</f>
        <v>PaSb1;</v>
      </c>
      <c r="AP1638" s="89"/>
    </row>
    <row r="1639">
      <c r="A1639" s="151" t="str">
        <f>IFERROR(__xludf.DUMMYFUNCTION("""COMPUTED_VALUE"""),"PaSb2-3")</f>
        <v>PaSb2-3</v>
      </c>
      <c r="B1639" s="42" t="str">
        <f>IFERROR(__xludf.DUMMYFUNCTION("""COMPUTED_VALUE"""),"DHBA")</f>
        <v>DHBA</v>
      </c>
      <c r="C1639" s="42" t="str">
        <f>IFERROR(__xludf.DUMMYFUNCTION("""COMPUTED_VALUE"""),"layers II/III of proximal parasubiculum")</f>
        <v>layers II/III of proximal parasubiculum</v>
      </c>
      <c r="D1639" s="42">
        <f>IFERROR(__xludf.DUMMYFUNCTION("""COMPUTED_VALUE"""),1541.0)</f>
        <v>1541</v>
      </c>
      <c r="E1639" s="39" t="str">
        <f>IFERROR(__xludf.DUMMYFUNCTION("""COMPUTED_VALUE"""),"layers II/III of proximal parasubiculum")</f>
        <v>layers II/III of proximal parasubiculum</v>
      </c>
      <c r="F1639" s="9" t="str">
        <f>IFERROR(__xludf.DUMMYFUNCTION("""COMPUTED_VALUE"""),"Br")</f>
        <v>Br</v>
      </c>
      <c r="G1639" s="9" t="str">
        <f>IFERROR(__xludf.DUMMYFUNCTION("""COMPUTED_VALUE"""),"F")</f>
        <v>F</v>
      </c>
      <c r="H1639" s="9" t="str">
        <f>IFERROR(__xludf.DUMMYFUNCTION("""COMPUTED_VALUE"""),"FGM")</f>
        <v>FGM</v>
      </c>
      <c r="I1639" s="9" t="str">
        <f>IFERROR(__xludf.DUMMYFUNCTION("""COMPUTED_VALUE"""),"Tel")</f>
        <v>Tel</v>
      </c>
      <c r="J1639" s="9" t="str">
        <f>IFERROR(__xludf.DUMMYFUNCTION("""COMPUTED_VALUE"""),"Cx")</f>
        <v>Cx</v>
      </c>
      <c r="K1639" s="9" t="str">
        <f>IFERROR(__xludf.DUMMYFUNCTION("""COMPUTED_VALUE"""),"PACx")</f>
        <v>PACx</v>
      </c>
      <c r="L1639" s="9" t="str">
        <f>IFERROR(__xludf.DUMMYFUNCTION("""COMPUTED_VALUE"""),"PArCx")</f>
        <v>PArCx</v>
      </c>
      <c r="M1639" s="9" t="str">
        <f>IFERROR(__xludf.DUMMYFUNCTION("""COMPUTED_VALUE"""),"PaS")</f>
        <v>PaS</v>
      </c>
      <c r="N1639" s="9" t="str">
        <f>IFERROR(__xludf.DUMMYFUNCTION("""COMPUTED_VALUE"""),"PaSb")</f>
        <v>PaSb</v>
      </c>
      <c r="O1639" s="9" t="str">
        <f>IFERROR(__xludf.DUMMYFUNCTION("""COMPUTED_VALUE"""),"PaSb2-3")</f>
        <v>PaSb2-3</v>
      </c>
      <c r="P1639" s="9"/>
      <c r="Q1639" s="9"/>
      <c r="R1639" s="9"/>
      <c r="S1639" s="42"/>
      <c r="T1639" s="42"/>
      <c r="U1639" s="42"/>
      <c r="V1639" s="42"/>
      <c r="W1639" s="42"/>
      <c r="X1639" s="42"/>
      <c r="Y1639" s="42"/>
      <c r="Z1639" s="42"/>
      <c r="AA1639" s="42"/>
      <c r="AB1639" s="42" t="str">
        <f>IFERROR(__xludf.DUMMYFUNCTION("""COMPUTED_VALUE"""),"allen institute")</f>
        <v>allen institute</v>
      </c>
      <c r="AC1639" s="42" t="str">
        <f>IFERROR(__xludf.DUMMYFUNCTION("""COMPUTED_VALUE"""),"DHBA")</f>
        <v>DHBA</v>
      </c>
      <c r="AD1639" s="42"/>
      <c r="AE1639" s="42"/>
      <c r="AF1639" s="9"/>
      <c r="AG1639" s="9"/>
      <c r="AH1639" s="42"/>
      <c r="AI1639" s="42"/>
      <c r="AJ1639" s="42"/>
      <c r="AK1639" s="42"/>
      <c r="AL1639" s="42"/>
      <c r="AM1639" s="42"/>
      <c r="AN1639" s="42"/>
      <c r="AO1639" s="63" t="str">
        <f>IFERROR(__xludf.DUMMYFUNCTION("IF(ISBLANK(A1639),,IF(ISBLANK(S1639), A1639&amp;"";"", TEXTJOIN(CHAR(10), TRUE, A1639&amp;"";"", ARRAYFORMULA(VLOOKUP(SPLIT(S1639, "";"" &amp; CHAR(10)), $A:$AO, 41, FALSE)))))"),"PaSb2-3;")</f>
        <v>PaSb2-3;</v>
      </c>
      <c r="AP1639" s="89"/>
    </row>
    <row r="1640">
      <c r="A1640" s="151" t="str">
        <f>IFERROR(__xludf.DUMMYFUNCTION("""COMPUTED_VALUE"""),"PaSbld")</f>
        <v>PaSbld</v>
      </c>
      <c r="B1640" s="42" t="str">
        <f>IFERROR(__xludf.DUMMYFUNCTION("""COMPUTED_VALUE"""),"DHBA")</f>
        <v>DHBA</v>
      </c>
      <c r="C1640" s="42" t="str">
        <f>IFERROR(__xludf.DUMMYFUNCTION("""COMPUTED_VALUE"""),"lamina dissecans of proximal parasubiculum")</f>
        <v>lamina dissecans of proximal parasubiculum</v>
      </c>
      <c r="D1640" s="42">
        <f>IFERROR(__xludf.DUMMYFUNCTION("""COMPUTED_VALUE"""),1542.0)</f>
        <v>1542</v>
      </c>
      <c r="E1640" s="39" t="str">
        <f>IFERROR(__xludf.DUMMYFUNCTION("""COMPUTED_VALUE"""),"lamina dissecans of proximal parasubiculum")</f>
        <v>lamina dissecans of proximal parasubiculum</v>
      </c>
      <c r="F1640" s="9" t="str">
        <f>IFERROR(__xludf.DUMMYFUNCTION("""COMPUTED_VALUE"""),"Br")</f>
        <v>Br</v>
      </c>
      <c r="G1640" s="9" t="str">
        <f>IFERROR(__xludf.DUMMYFUNCTION("""COMPUTED_VALUE"""),"F")</f>
        <v>F</v>
      </c>
      <c r="H1640" s="9" t="str">
        <f>IFERROR(__xludf.DUMMYFUNCTION("""COMPUTED_VALUE"""),"FGM")</f>
        <v>FGM</v>
      </c>
      <c r="I1640" s="9" t="str">
        <f>IFERROR(__xludf.DUMMYFUNCTION("""COMPUTED_VALUE"""),"Tel")</f>
        <v>Tel</v>
      </c>
      <c r="J1640" s="9" t="str">
        <f>IFERROR(__xludf.DUMMYFUNCTION("""COMPUTED_VALUE"""),"Cx")</f>
        <v>Cx</v>
      </c>
      <c r="K1640" s="9" t="str">
        <f>IFERROR(__xludf.DUMMYFUNCTION("""COMPUTED_VALUE"""),"PACx")</f>
        <v>PACx</v>
      </c>
      <c r="L1640" s="9" t="str">
        <f>IFERROR(__xludf.DUMMYFUNCTION("""COMPUTED_VALUE"""),"PArCx")</f>
        <v>PArCx</v>
      </c>
      <c r="M1640" s="9" t="str">
        <f>IFERROR(__xludf.DUMMYFUNCTION("""COMPUTED_VALUE"""),"PaS")</f>
        <v>PaS</v>
      </c>
      <c r="N1640" s="9" t="str">
        <f>IFERROR(__xludf.DUMMYFUNCTION("""COMPUTED_VALUE"""),"PaSb")</f>
        <v>PaSb</v>
      </c>
      <c r="O1640" s="9" t="str">
        <f>IFERROR(__xludf.DUMMYFUNCTION("""COMPUTED_VALUE"""),"PaSbld")</f>
        <v>PaSbld</v>
      </c>
      <c r="P1640" s="9"/>
      <c r="Q1640" s="9"/>
      <c r="R1640" s="9"/>
      <c r="S1640" s="42"/>
      <c r="T1640" s="42"/>
      <c r="U1640" s="42"/>
      <c r="V1640" s="42"/>
      <c r="W1640" s="42"/>
      <c r="X1640" s="42"/>
      <c r="Y1640" s="42"/>
      <c r="Z1640" s="42"/>
      <c r="AA1640" s="42"/>
      <c r="AB1640" s="42" t="str">
        <f>IFERROR(__xludf.DUMMYFUNCTION("""COMPUTED_VALUE"""),"allen institute")</f>
        <v>allen institute</v>
      </c>
      <c r="AC1640" s="42" t="str">
        <f>IFERROR(__xludf.DUMMYFUNCTION("""COMPUTED_VALUE"""),"DHBA")</f>
        <v>DHBA</v>
      </c>
      <c r="AD1640" s="42"/>
      <c r="AE1640" s="42"/>
      <c r="AF1640" s="9"/>
      <c r="AG1640" s="9"/>
      <c r="AH1640" s="42"/>
      <c r="AI1640" s="42"/>
      <c r="AJ1640" s="42"/>
      <c r="AK1640" s="42"/>
      <c r="AL1640" s="42"/>
      <c r="AM1640" s="42"/>
      <c r="AN1640" s="42"/>
      <c r="AO1640" s="63" t="str">
        <f>IFERROR(__xludf.DUMMYFUNCTION("IF(ISBLANK(A1640),,IF(ISBLANK(S1640), A1640&amp;"";"", TEXTJOIN(CHAR(10), TRUE, A1640&amp;"";"", ARRAYFORMULA(VLOOKUP(SPLIT(S1640, "";"" &amp; CHAR(10)), $A:$AO, 41, FALSE)))))"),"PaSbld;")</f>
        <v>PaSbld;</v>
      </c>
      <c r="AP1640" s="89"/>
    </row>
    <row r="1641">
      <c r="A1641" s="151" t="str">
        <f>IFERROR(__xludf.DUMMYFUNCTION("""COMPUTED_VALUE"""),"PaSb5-6")</f>
        <v>PaSb5-6</v>
      </c>
      <c r="B1641" s="42" t="str">
        <f>IFERROR(__xludf.DUMMYFUNCTION("""COMPUTED_VALUE"""),"DHBA")</f>
        <v>DHBA</v>
      </c>
      <c r="C1641" s="42" t="str">
        <f>IFERROR(__xludf.DUMMYFUNCTION("""COMPUTED_VALUE"""),"layers V/VI of proximal parasubiculum")</f>
        <v>layers V/VI of proximal parasubiculum</v>
      </c>
      <c r="D1641" s="42">
        <f>IFERROR(__xludf.DUMMYFUNCTION("""COMPUTED_VALUE"""),1543.0)</f>
        <v>1543</v>
      </c>
      <c r="E1641" s="39" t="str">
        <f>IFERROR(__xludf.DUMMYFUNCTION("""COMPUTED_VALUE"""),"layers V/VI of proximal parasubiculum")</f>
        <v>layers V/VI of proximal parasubiculum</v>
      </c>
      <c r="F1641" s="9" t="str">
        <f>IFERROR(__xludf.DUMMYFUNCTION("""COMPUTED_VALUE"""),"Br")</f>
        <v>Br</v>
      </c>
      <c r="G1641" s="9" t="str">
        <f>IFERROR(__xludf.DUMMYFUNCTION("""COMPUTED_VALUE"""),"F")</f>
        <v>F</v>
      </c>
      <c r="H1641" s="9" t="str">
        <f>IFERROR(__xludf.DUMMYFUNCTION("""COMPUTED_VALUE"""),"FGM")</f>
        <v>FGM</v>
      </c>
      <c r="I1641" s="9" t="str">
        <f>IFERROR(__xludf.DUMMYFUNCTION("""COMPUTED_VALUE"""),"Tel")</f>
        <v>Tel</v>
      </c>
      <c r="J1641" s="9" t="str">
        <f>IFERROR(__xludf.DUMMYFUNCTION("""COMPUTED_VALUE"""),"Cx")</f>
        <v>Cx</v>
      </c>
      <c r="K1641" s="9" t="str">
        <f>IFERROR(__xludf.DUMMYFUNCTION("""COMPUTED_VALUE"""),"PACx")</f>
        <v>PACx</v>
      </c>
      <c r="L1641" s="9" t="str">
        <f>IFERROR(__xludf.DUMMYFUNCTION("""COMPUTED_VALUE"""),"PArCx")</f>
        <v>PArCx</v>
      </c>
      <c r="M1641" s="9" t="str">
        <f>IFERROR(__xludf.DUMMYFUNCTION("""COMPUTED_VALUE"""),"PaS")</f>
        <v>PaS</v>
      </c>
      <c r="N1641" s="9" t="str">
        <f>IFERROR(__xludf.DUMMYFUNCTION("""COMPUTED_VALUE"""),"PaSb")</f>
        <v>PaSb</v>
      </c>
      <c r="O1641" s="9" t="str">
        <f>IFERROR(__xludf.DUMMYFUNCTION("""COMPUTED_VALUE"""),"PaSb5-6")</f>
        <v>PaSb5-6</v>
      </c>
      <c r="P1641" s="9"/>
      <c r="Q1641" s="9"/>
      <c r="R1641" s="9"/>
      <c r="S1641" s="42"/>
      <c r="T1641" s="42"/>
      <c r="U1641" s="42"/>
      <c r="V1641" s="42"/>
      <c r="W1641" s="42"/>
      <c r="X1641" s="42"/>
      <c r="Y1641" s="42"/>
      <c r="Z1641" s="42"/>
      <c r="AA1641" s="42"/>
      <c r="AB1641" s="42" t="str">
        <f>IFERROR(__xludf.DUMMYFUNCTION("""COMPUTED_VALUE"""),"allen institute")</f>
        <v>allen institute</v>
      </c>
      <c r="AC1641" s="42" t="str">
        <f>IFERROR(__xludf.DUMMYFUNCTION("""COMPUTED_VALUE"""),"DHBA")</f>
        <v>DHBA</v>
      </c>
      <c r="AD1641" s="42"/>
      <c r="AE1641" s="42"/>
      <c r="AF1641" s="9"/>
      <c r="AG1641" s="9"/>
      <c r="AH1641" s="42"/>
      <c r="AI1641" s="42"/>
      <c r="AJ1641" s="42"/>
      <c r="AK1641" s="42"/>
      <c r="AL1641" s="42"/>
      <c r="AM1641" s="42"/>
      <c r="AN1641" s="42"/>
      <c r="AO1641" s="63" t="str">
        <f>IFERROR(__xludf.DUMMYFUNCTION("IF(ISBLANK(A1641),,IF(ISBLANK(S1641), A1641&amp;"";"", TEXTJOIN(CHAR(10), TRUE, A1641&amp;"";"", ARRAYFORMULA(VLOOKUP(SPLIT(S1641, "";"" &amp; CHAR(10)), $A:$AO, 41, FALSE)))))"),"PaSb5-6;")</f>
        <v>PaSb5-6;</v>
      </c>
      <c r="AP1641" s="89"/>
    </row>
    <row r="1642">
      <c r="A1642" s="151" t="str">
        <f>IFERROR(__xludf.DUMMYFUNCTION("""COMPUTED_VALUE"""),"PaSa")</f>
        <v>PaSa</v>
      </c>
      <c r="B1642" s="42" t="str">
        <f>IFERROR(__xludf.DUMMYFUNCTION("""COMPUTED_VALUE"""),"DHBA")</f>
        <v>DHBA</v>
      </c>
      <c r="C1642" s="42" t="str">
        <f>IFERROR(__xludf.DUMMYFUNCTION("""COMPUTED_VALUE"""),"distal parasubiculum")</f>
        <v>distal parasubiculum</v>
      </c>
      <c r="D1642" s="42">
        <f>IFERROR(__xludf.DUMMYFUNCTION("""COMPUTED_VALUE"""),1544.0)</f>
        <v>1544</v>
      </c>
      <c r="E1642" s="39" t="str">
        <f>IFERROR(__xludf.DUMMYFUNCTION("""COMPUTED_VALUE"""),"distal parasubiculum")</f>
        <v>distal parasubiculum</v>
      </c>
      <c r="F1642" s="9" t="str">
        <f>IFERROR(__xludf.DUMMYFUNCTION("""COMPUTED_VALUE"""),"Br")</f>
        <v>Br</v>
      </c>
      <c r="G1642" s="9" t="str">
        <f>IFERROR(__xludf.DUMMYFUNCTION("""COMPUTED_VALUE"""),"F")</f>
        <v>F</v>
      </c>
      <c r="H1642" s="9" t="str">
        <f>IFERROR(__xludf.DUMMYFUNCTION("""COMPUTED_VALUE"""),"FGM")</f>
        <v>FGM</v>
      </c>
      <c r="I1642" s="9" t="str">
        <f>IFERROR(__xludf.DUMMYFUNCTION("""COMPUTED_VALUE"""),"Tel")</f>
        <v>Tel</v>
      </c>
      <c r="J1642" s="9" t="str">
        <f>IFERROR(__xludf.DUMMYFUNCTION("""COMPUTED_VALUE"""),"Cx")</f>
        <v>Cx</v>
      </c>
      <c r="K1642" s="9" t="str">
        <f>IFERROR(__xludf.DUMMYFUNCTION("""COMPUTED_VALUE"""),"PACx")</f>
        <v>PACx</v>
      </c>
      <c r="L1642" s="9" t="str">
        <f>IFERROR(__xludf.DUMMYFUNCTION("""COMPUTED_VALUE"""),"PArCx")</f>
        <v>PArCx</v>
      </c>
      <c r="M1642" s="9" t="str">
        <f>IFERROR(__xludf.DUMMYFUNCTION("""COMPUTED_VALUE"""),"PaS")</f>
        <v>PaS</v>
      </c>
      <c r="N1642" s="9" t="str">
        <f>IFERROR(__xludf.DUMMYFUNCTION("""COMPUTED_VALUE"""),"PaSa")</f>
        <v>PaSa</v>
      </c>
      <c r="O1642" s="9"/>
      <c r="P1642" s="9"/>
      <c r="Q1642" s="9"/>
      <c r="R1642" s="9"/>
      <c r="S1642" s="42" t="str">
        <f>IFERROR(__xludf.DUMMYFUNCTION("""COMPUTED_VALUE"""),"PaSa1;
PaSa2_3;
PaSald;
PaSa5_6")</f>
        <v>PaSa1;
PaSa2_3;
PaSald;
PaSa5_6</v>
      </c>
      <c r="T1642" s="42"/>
      <c r="U1642" s="42" t="b">
        <f>IFERROR(__xludf.DUMMYFUNCTION("""COMPUTED_VALUE"""),FALSE)</f>
        <v>0</v>
      </c>
      <c r="V1642" s="42"/>
      <c r="W1642" s="42"/>
      <c r="X1642" s="42"/>
      <c r="Y1642" s="42"/>
      <c r="Z1642" s="42"/>
      <c r="AA1642" s="42"/>
      <c r="AB1642" s="42" t="str">
        <f>IFERROR(__xludf.DUMMYFUNCTION("""COMPUTED_VALUE"""),"allen institute")</f>
        <v>allen institute</v>
      </c>
      <c r="AC1642" s="42" t="str">
        <f>IFERROR(__xludf.DUMMYFUNCTION("""COMPUTED_VALUE"""),"DHBA")</f>
        <v>DHBA</v>
      </c>
      <c r="AD1642" s="42"/>
      <c r="AE1642" s="42"/>
      <c r="AF1642" s="9"/>
      <c r="AG1642" s="9"/>
      <c r="AH1642" s="42"/>
      <c r="AI1642" s="42"/>
      <c r="AJ1642" s="42"/>
      <c r="AK1642" s="42"/>
      <c r="AL1642" s="42"/>
      <c r="AM1642" s="42"/>
      <c r="AN1642" s="42"/>
      <c r="AO1642" s="63" t="str">
        <f>IFERROR(__xludf.DUMMYFUNCTION("IF(ISBLANK(A1642),,IF(ISBLANK(S1642), A1642&amp;"";"", TEXTJOIN(CHAR(10), TRUE, A1642&amp;"";"", ARRAYFORMULA(VLOOKUP(SPLIT(S1642, "";"" &amp; CHAR(10)), $A:$AO, 41, FALSE)))))"),"#N/A")</f>
        <v>#N/A</v>
      </c>
      <c r="AP1642" s="89"/>
    </row>
    <row r="1643">
      <c r="A1643" s="151" t="str">
        <f>IFERROR(__xludf.DUMMYFUNCTION("""COMPUTED_VALUE"""),"PaSa1")</f>
        <v>PaSa1</v>
      </c>
      <c r="B1643" s="42" t="str">
        <f>IFERROR(__xludf.DUMMYFUNCTION("""COMPUTED_VALUE"""),"DHBA")</f>
        <v>DHBA</v>
      </c>
      <c r="C1643" s="42" t="str">
        <f>IFERROR(__xludf.DUMMYFUNCTION("""COMPUTED_VALUE"""),"layer I of distal parasubiculum")</f>
        <v>layer I of distal parasubiculum</v>
      </c>
      <c r="D1643" s="42">
        <f>IFERROR(__xludf.DUMMYFUNCTION("""COMPUTED_VALUE"""),1545.0)</f>
        <v>1545</v>
      </c>
      <c r="E1643" s="39" t="str">
        <f>IFERROR(__xludf.DUMMYFUNCTION("""COMPUTED_VALUE"""),"layer I of distal parasubiculum")</f>
        <v>layer I of distal parasubiculum</v>
      </c>
      <c r="F1643" s="9" t="str">
        <f>IFERROR(__xludf.DUMMYFUNCTION("""COMPUTED_VALUE"""),"Br")</f>
        <v>Br</v>
      </c>
      <c r="G1643" s="9" t="str">
        <f>IFERROR(__xludf.DUMMYFUNCTION("""COMPUTED_VALUE"""),"F")</f>
        <v>F</v>
      </c>
      <c r="H1643" s="9" t="str">
        <f>IFERROR(__xludf.DUMMYFUNCTION("""COMPUTED_VALUE"""),"FGM")</f>
        <v>FGM</v>
      </c>
      <c r="I1643" s="9" t="str">
        <f>IFERROR(__xludf.DUMMYFUNCTION("""COMPUTED_VALUE"""),"Tel")</f>
        <v>Tel</v>
      </c>
      <c r="J1643" s="9" t="str">
        <f>IFERROR(__xludf.DUMMYFUNCTION("""COMPUTED_VALUE"""),"Cx")</f>
        <v>Cx</v>
      </c>
      <c r="K1643" s="9" t="str">
        <f>IFERROR(__xludf.DUMMYFUNCTION("""COMPUTED_VALUE"""),"PACx")</f>
        <v>PACx</v>
      </c>
      <c r="L1643" s="9" t="str">
        <f>IFERROR(__xludf.DUMMYFUNCTION("""COMPUTED_VALUE"""),"PArCx")</f>
        <v>PArCx</v>
      </c>
      <c r="M1643" s="9" t="str">
        <f>IFERROR(__xludf.DUMMYFUNCTION("""COMPUTED_VALUE"""),"PaS")</f>
        <v>PaS</v>
      </c>
      <c r="N1643" s="9" t="str">
        <f>IFERROR(__xludf.DUMMYFUNCTION("""COMPUTED_VALUE"""),"PaSa")</f>
        <v>PaSa</v>
      </c>
      <c r="O1643" s="9" t="str">
        <f>IFERROR(__xludf.DUMMYFUNCTION("""COMPUTED_VALUE"""),"PaSa1")</f>
        <v>PaSa1</v>
      </c>
      <c r="P1643" s="9"/>
      <c r="Q1643" s="9"/>
      <c r="R1643" s="9"/>
      <c r="S1643" s="42"/>
      <c r="T1643" s="42"/>
      <c r="U1643" s="42"/>
      <c r="V1643" s="42"/>
      <c r="W1643" s="42"/>
      <c r="X1643" s="42"/>
      <c r="Y1643" s="42"/>
      <c r="Z1643" s="42"/>
      <c r="AA1643" s="42"/>
      <c r="AB1643" s="42" t="str">
        <f>IFERROR(__xludf.DUMMYFUNCTION("""COMPUTED_VALUE"""),"allen institute")</f>
        <v>allen institute</v>
      </c>
      <c r="AC1643" s="42" t="str">
        <f>IFERROR(__xludf.DUMMYFUNCTION("""COMPUTED_VALUE"""),"DHBA")</f>
        <v>DHBA</v>
      </c>
      <c r="AD1643" s="42"/>
      <c r="AE1643" s="42"/>
      <c r="AF1643" s="9"/>
      <c r="AG1643" s="9"/>
      <c r="AH1643" s="42"/>
      <c r="AI1643" s="42"/>
      <c r="AJ1643" s="42"/>
      <c r="AK1643" s="42"/>
      <c r="AL1643" s="42"/>
      <c r="AM1643" s="42"/>
      <c r="AN1643" s="42"/>
      <c r="AO1643" s="63" t="str">
        <f>IFERROR(__xludf.DUMMYFUNCTION("IF(ISBLANK(A1643),,IF(ISBLANK(S1643), A1643&amp;"";"", TEXTJOIN(CHAR(10), TRUE, A1643&amp;"";"", ARRAYFORMULA(VLOOKUP(SPLIT(S1643, "";"" &amp; CHAR(10)), $A:$AO, 41, FALSE)))))"),"PaSa1;")</f>
        <v>PaSa1;</v>
      </c>
      <c r="AP1643" s="89"/>
    </row>
    <row r="1644">
      <c r="A1644" s="151" t="str">
        <f>IFERROR(__xludf.DUMMYFUNCTION("""COMPUTED_VALUE"""),"PaSa2-3")</f>
        <v>PaSa2-3</v>
      </c>
      <c r="B1644" s="42" t="str">
        <f>IFERROR(__xludf.DUMMYFUNCTION("""COMPUTED_VALUE"""),"DHBA")</f>
        <v>DHBA</v>
      </c>
      <c r="C1644" s="42" t="str">
        <f>IFERROR(__xludf.DUMMYFUNCTION("""COMPUTED_VALUE"""),"layers II/III of distal parasubiculum")</f>
        <v>layers II/III of distal parasubiculum</v>
      </c>
      <c r="D1644" s="42">
        <f>IFERROR(__xludf.DUMMYFUNCTION("""COMPUTED_VALUE"""),1546.0)</f>
        <v>1546</v>
      </c>
      <c r="E1644" s="39" t="str">
        <f>IFERROR(__xludf.DUMMYFUNCTION("""COMPUTED_VALUE"""),"layers II/III of distal parasubiculum")</f>
        <v>layers II/III of distal parasubiculum</v>
      </c>
      <c r="F1644" s="9" t="str">
        <f>IFERROR(__xludf.DUMMYFUNCTION("""COMPUTED_VALUE"""),"Br")</f>
        <v>Br</v>
      </c>
      <c r="G1644" s="9" t="str">
        <f>IFERROR(__xludf.DUMMYFUNCTION("""COMPUTED_VALUE"""),"F")</f>
        <v>F</v>
      </c>
      <c r="H1644" s="9" t="str">
        <f>IFERROR(__xludf.DUMMYFUNCTION("""COMPUTED_VALUE"""),"FGM")</f>
        <v>FGM</v>
      </c>
      <c r="I1644" s="9" t="str">
        <f>IFERROR(__xludf.DUMMYFUNCTION("""COMPUTED_VALUE"""),"Tel")</f>
        <v>Tel</v>
      </c>
      <c r="J1644" s="9" t="str">
        <f>IFERROR(__xludf.DUMMYFUNCTION("""COMPUTED_VALUE"""),"Cx")</f>
        <v>Cx</v>
      </c>
      <c r="K1644" s="9" t="str">
        <f>IFERROR(__xludf.DUMMYFUNCTION("""COMPUTED_VALUE"""),"PACx")</f>
        <v>PACx</v>
      </c>
      <c r="L1644" s="9" t="str">
        <f>IFERROR(__xludf.DUMMYFUNCTION("""COMPUTED_VALUE"""),"PArCx")</f>
        <v>PArCx</v>
      </c>
      <c r="M1644" s="9" t="str">
        <f>IFERROR(__xludf.DUMMYFUNCTION("""COMPUTED_VALUE"""),"PaS")</f>
        <v>PaS</v>
      </c>
      <c r="N1644" s="9" t="str">
        <f>IFERROR(__xludf.DUMMYFUNCTION("""COMPUTED_VALUE"""),"PaSa")</f>
        <v>PaSa</v>
      </c>
      <c r="O1644" s="9" t="str">
        <f>IFERROR(__xludf.DUMMYFUNCTION("""COMPUTED_VALUE"""),"PaSa2-3")</f>
        <v>PaSa2-3</v>
      </c>
      <c r="P1644" s="9"/>
      <c r="Q1644" s="9"/>
      <c r="R1644" s="9"/>
      <c r="S1644" s="42"/>
      <c r="T1644" s="42"/>
      <c r="U1644" s="42"/>
      <c r="V1644" s="42"/>
      <c r="W1644" s="42"/>
      <c r="X1644" s="42"/>
      <c r="Y1644" s="42"/>
      <c r="Z1644" s="42"/>
      <c r="AA1644" s="42"/>
      <c r="AB1644" s="42" t="str">
        <f>IFERROR(__xludf.DUMMYFUNCTION("""COMPUTED_VALUE"""),"allen institute")</f>
        <v>allen institute</v>
      </c>
      <c r="AC1644" s="42" t="str">
        <f>IFERROR(__xludf.DUMMYFUNCTION("""COMPUTED_VALUE"""),"DHBA")</f>
        <v>DHBA</v>
      </c>
      <c r="AD1644" s="42"/>
      <c r="AE1644" s="42"/>
      <c r="AF1644" s="9"/>
      <c r="AG1644" s="9"/>
      <c r="AH1644" s="42"/>
      <c r="AI1644" s="42"/>
      <c r="AJ1644" s="42"/>
      <c r="AK1644" s="42"/>
      <c r="AL1644" s="42"/>
      <c r="AM1644" s="42"/>
      <c r="AN1644" s="42"/>
      <c r="AO1644" s="63" t="str">
        <f>IFERROR(__xludf.DUMMYFUNCTION("IF(ISBLANK(A1644),,IF(ISBLANK(S1644), A1644&amp;"";"", TEXTJOIN(CHAR(10), TRUE, A1644&amp;"";"", ARRAYFORMULA(VLOOKUP(SPLIT(S1644, "";"" &amp; CHAR(10)), $A:$AO, 41, FALSE)))))"),"PaSa2-3;")</f>
        <v>PaSa2-3;</v>
      </c>
      <c r="AP1644" s="89"/>
    </row>
    <row r="1645">
      <c r="A1645" s="151" t="str">
        <f>IFERROR(__xludf.DUMMYFUNCTION("""COMPUTED_VALUE"""),"PaSald")</f>
        <v>PaSald</v>
      </c>
      <c r="B1645" s="42" t="str">
        <f>IFERROR(__xludf.DUMMYFUNCTION("""COMPUTED_VALUE"""),"DHBA")</f>
        <v>DHBA</v>
      </c>
      <c r="C1645" s="42" t="str">
        <f>IFERROR(__xludf.DUMMYFUNCTION("""COMPUTED_VALUE"""),"lamina dissecans of distal parasubiculum")</f>
        <v>lamina dissecans of distal parasubiculum</v>
      </c>
      <c r="D1645" s="42">
        <f>IFERROR(__xludf.DUMMYFUNCTION("""COMPUTED_VALUE"""),1547.0)</f>
        <v>1547</v>
      </c>
      <c r="E1645" s="39" t="str">
        <f>IFERROR(__xludf.DUMMYFUNCTION("""COMPUTED_VALUE"""),"lamina dissecans of distal parasubiculum")</f>
        <v>lamina dissecans of distal parasubiculum</v>
      </c>
      <c r="F1645" s="9" t="str">
        <f>IFERROR(__xludf.DUMMYFUNCTION("""COMPUTED_VALUE"""),"Br")</f>
        <v>Br</v>
      </c>
      <c r="G1645" s="9" t="str">
        <f>IFERROR(__xludf.DUMMYFUNCTION("""COMPUTED_VALUE"""),"F")</f>
        <v>F</v>
      </c>
      <c r="H1645" s="9" t="str">
        <f>IFERROR(__xludf.DUMMYFUNCTION("""COMPUTED_VALUE"""),"FGM")</f>
        <v>FGM</v>
      </c>
      <c r="I1645" s="9" t="str">
        <f>IFERROR(__xludf.DUMMYFUNCTION("""COMPUTED_VALUE"""),"Tel")</f>
        <v>Tel</v>
      </c>
      <c r="J1645" s="9" t="str">
        <f>IFERROR(__xludf.DUMMYFUNCTION("""COMPUTED_VALUE"""),"Cx")</f>
        <v>Cx</v>
      </c>
      <c r="K1645" s="9" t="str">
        <f>IFERROR(__xludf.DUMMYFUNCTION("""COMPUTED_VALUE"""),"PACx")</f>
        <v>PACx</v>
      </c>
      <c r="L1645" s="9" t="str">
        <f>IFERROR(__xludf.DUMMYFUNCTION("""COMPUTED_VALUE"""),"PArCx")</f>
        <v>PArCx</v>
      </c>
      <c r="M1645" s="9" t="str">
        <f>IFERROR(__xludf.DUMMYFUNCTION("""COMPUTED_VALUE"""),"PaS")</f>
        <v>PaS</v>
      </c>
      <c r="N1645" s="9" t="str">
        <f>IFERROR(__xludf.DUMMYFUNCTION("""COMPUTED_VALUE"""),"PaSa")</f>
        <v>PaSa</v>
      </c>
      <c r="O1645" s="9" t="str">
        <f>IFERROR(__xludf.DUMMYFUNCTION("""COMPUTED_VALUE"""),"PaSald")</f>
        <v>PaSald</v>
      </c>
      <c r="P1645" s="9"/>
      <c r="Q1645" s="9"/>
      <c r="R1645" s="9"/>
      <c r="S1645" s="42"/>
      <c r="T1645" s="42"/>
      <c r="U1645" s="42"/>
      <c r="V1645" s="42"/>
      <c r="W1645" s="42"/>
      <c r="X1645" s="42"/>
      <c r="Y1645" s="42"/>
      <c r="Z1645" s="42"/>
      <c r="AA1645" s="42"/>
      <c r="AB1645" s="42" t="str">
        <f>IFERROR(__xludf.DUMMYFUNCTION("""COMPUTED_VALUE"""),"allen institute")</f>
        <v>allen institute</v>
      </c>
      <c r="AC1645" s="42" t="str">
        <f>IFERROR(__xludf.DUMMYFUNCTION("""COMPUTED_VALUE"""),"DHBA")</f>
        <v>DHBA</v>
      </c>
      <c r="AD1645" s="42"/>
      <c r="AE1645" s="42"/>
      <c r="AF1645" s="9"/>
      <c r="AG1645" s="9"/>
      <c r="AH1645" s="42"/>
      <c r="AI1645" s="42"/>
      <c r="AJ1645" s="42"/>
      <c r="AK1645" s="42"/>
      <c r="AL1645" s="42"/>
      <c r="AM1645" s="42"/>
      <c r="AN1645" s="42"/>
      <c r="AO1645" s="63" t="str">
        <f>IFERROR(__xludf.DUMMYFUNCTION("IF(ISBLANK(A1645),,IF(ISBLANK(S1645), A1645&amp;"";"", TEXTJOIN(CHAR(10), TRUE, A1645&amp;"";"", ARRAYFORMULA(VLOOKUP(SPLIT(S1645, "";"" &amp; CHAR(10)), $A:$AO, 41, FALSE)))))"),"PaSald;")</f>
        <v>PaSald;</v>
      </c>
      <c r="AP1645" s="89"/>
    </row>
    <row r="1646">
      <c r="A1646" s="151" t="str">
        <f>IFERROR(__xludf.DUMMYFUNCTION("""COMPUTED_VALUE"""),"PaSa5-6")</f>
        <v>PaSa5-6</v>
      </c>
      <c r="B1646" s="42" t="str">
        <f>IFERROR(__xludf.DUMMYFUNCTION("""COMPUTED_VALUE"""),"DHBA")</f>
        <v>DHBA</v>
      </c>
      <c r="C1646" s="42" t="str">
        <f>IFERROR(__xludf.DUMMYFUNCTION("""COMPUTED_VALUE"""),"layers V/VI of distal parasubiculum")</f>
        <v>layers V/VI of distal parasubiculum</v>
      </c>
      <c r="D1646" s="42">
        <f>IFERROR(__xludf.DUMMYFUNCTION("""COMPUTED_VALUE"""),1548.0)</f>
        <v>1548</v>
      </c>
      <c r="E1646" s="39" t="str">
        <f>IFERROR(__xludf.DUMMYFUNCTION("""COMPUTED_VALUE"""),"layers V/VI of distal parasubiculum")</f>
        <v>layers V/VI of distal parasubiculum</v>
      </c>
      <c r="F1646" s="9" t="str">
        <f>IFERROR(__xludf.DUMMYFUNCTION("""COMPUTED_VALUE"""),"Br")</f>
        <v>Br</v>
      </c>
      <c r="G1646" s="9" t="str">
        <f>IFERROR(__xludf.DUMMYFUNCTION("""COMPUTED_VALUE"""),"F")</f>
        <v>F</v>
      </c>
      <c r="H1646" s="9" t="str">
        <f>IFERROR(__xludf.DUMMYFUNCTION("""COMPUTED_VALUE"""),"FGM")</f>
        <v>FGM</v>
      </c>
      <c r="I1646" s="9" t="str">
        <f>IFERROR(__xludf.DUMMYFUNCTION("""COMPUTED_VALUE"""),"Tel")</f>
        <v>Tel</v>
      </c>
      <c r="J1646" s="9" t="str">
        <f>IFERROR(__xludf.DUMMYFUNCTION("""COMPUTED_VALUE"""),"Cx")</f>
        <v>Cx</v>
      </c>
      <c r="K1646" s="9" t="str">
        <f>IFERROR(__xludf.DUMMYFUNCTION("""COMPUTED_VALUE"""),"PACx")</f>
        <v>PACx</v>
      </c>
      <c r="L1646" s="9" t="str">
        <f>IFERROR(__xludf.DUMMYFUNCTION("""COMPUTED_VALUE"""),"PArCx")</f>
        <v>PArCx</v>
      </c>
      <c r="M1646" s="9" t="str">
        <f>IFERROR(__xludf.DUMMYFUNCTION("""COMPUTED_VALUE"""),"PaS")</f>
        <v>PaS</v>
      </c>
      <c r="N1646" s="9" t="str">
        <f>IFERROR(__xludf.DUMMYFUNCTION("""COMPUTED_VALUE"""),"PaSa")</f>
        <v>PaSa</v>
      </c>
      <c r="O1646" s="9" t="str">
        <f>IFERROR(__xludf.DUMMYFUNCTION("""COMPUTED_VALUE"""),"PaSa5-6")</f>
        <v>PaSa5-6</v>
      </c>
      <c r="P1646" s="9"/>
      <c r="Q1646" s="9"/>
      <c r="R1646" s="9"/>
      <c r="S1646" s="42"/>
      <c r="T1646" s="42"/>
      <c r="U1646" s="42"/>
      <c r="V1646" s="42"/>
      <c r="W1646" s="42"/>
      <c r="X1646" s="42"/>
      <c r="Y1646" s="42"/>
      <c r="Z1646" s="42"/>
      <c r="AA1646" s="42"/>
      <c r="AB1646" s="42" t="str">
        <f>IFERROR(__xludf.DUMMYFUNCTION("""COMPUTED_VALUE"""),"allen institute")</f>
        <v>allen institute</v>
      </c>
      <c r="AC1646" s="42" t="str">
        <f>IFERROR(__xludf.DUMMYFUNCTION("""COMPUTED_VALUE"""),"DHBA")</f>
        <v>DHBA</v>
      </c>
      <c r="AD1646" s="42"/>
      <c r="AE1646" s="42"/>
      <c r="AF1646" s="9"/>
      <c r="AG1646" s="9"/>
      <c r="AH1646" s="42"/>
      <c r="AI1646" s="42"/>
      <c r="AJ1646" s="42"/>
      <c r="AK1646" s="42"/>
      <c r="AL1646" s="42"/>
      <c r="AM1646" s="42"/>
      <c r="AN1646" s="42"/>
      <c r="AO1646" s="63" t="str">
        <f>IFERROR(__xludf.DUMMYFUNCTION("IF(ISBLANK(A1646),,IF(ISBLANK(S1646), A1646&amp;"";"", TEXTJOIN(CHAR(10), TRUE, A1646&amp;"";"", ARRAYFORMULA(VLOOKUP(SPLIT(S1646, "";"" &amp; CHAR(10)), $A:$AO, 41, FALSE)))))"),"PaSa5-6;")</f>
        <v>PaSa5-6;</v>
      </c>
      <c r="AP1646" s="89"/>
    </row>
    <row r="1647">
      <c r="A1647" s="151" t="str">
        <f>IFERROR(__xludf.DUMMYFUNCTION("""COMPUTED_VALUE"""),"PrS")</f>
        <v>PrS</v>
      </c>
      <c r="B1647" s="42" t="str">
        <f>IFERROR(__xludf.DUMMYFUNCTION("""COMPUTED_VALUE"""),"DHBA")</f>
        <v>DHBA</v>
      </c>
      <c r="C1647" s="42" t="str">
        <f>IFERROR(__xludf.DUMMYFUNCTION("""COMPUTED_VALUE"""),"presubiculum")</f>
        <v>presubiculum</v>
      </c>
      <c r="D1647" s="42">
        <f>IFERROR(__xludf.DUMMYFUNCTION("""COMPUTED_VALUE"""),1549.0)</f>
        <v>1549</v>
      </c>
      <c r="E1647" s="39" t="str">
        <f>IFERROR(__xludf.DUMMYFUNCTION("""COMPUTED_VALUE"""),"presubicular cortex (presubiculum)")</f>
        <v>presubicular cortex (presubiculum)</v>
      </c>
      <c r="F1647" s="9" t="str">
        <f>IFERROR(__xludf.DUMMYFUNCTION("""COMPUTED_VALUE"""),"Br")</f>
        <v>Br</v>
      </c>
      <c r="G1647" s="9" t="str">
        <f>IFERROR(__xludf.DUMMYFUNCTION("""COMPUTED_VALUE"""),"F")</f>
        <v>F</v>
      </c>
      <c r="H1647" s="9" t="str">
        <f>IFERROR(__xludf.DUMMYFUNCTION("""COMPUTED_VALUE"""),"FGM")</f>
        <v>FGM</v>
      </c>
      <c r="I1647" s="9" t="str">
        <f>IFERROR(__xludf.DUMMYFUNCTION("""COMPUTED_VALUE"""),"Tel")</f>
        <v>Tel</v>
      </c>
      <c r="J1647" s="9" t="str">
        <f>IFERROR(__xludf.DUMMYFUNCTION("""COMPUTED_VALUE"""),"Cx")</f>
        <v>Cx</v>
      </c>
      <c r="K1647" s="9" t="str">
        <f>IFERROR(__xludf.DUMMYFUNCTION("""COMPUTED_VALUE"""),"PACx")</f>
        <v>PACx</v>
      </c>
      <c r="L1647" s="9" t="str">
        <f>IFERROR(__xludf.DUMMYFUNCTION("""COMPUTED_VALUE"""),"PArCx")</f>
        <v>PArCx</v>
      </c>
      <c r="M1647" s="9" t="str">
        <f>IFERROR(__xludf.DUMMYFUNCTION("""COMPUTED_VALUE"""),"PrS")</f>
        <v>PrS</v>
      </c>
      <c r="N1647" s="9"/>
      <c r="O1647" s="9"/>
      <c r="P1647" s="9"/>
      <c r="Q1647" s="9"/>
      <c r="R1647" s="9"/>
      <c r="S1647" s="42" t="str">
        <f>IFERROR(__xludf.DUMMYFUNCTION("""COMPUTED_VALUE"""),"PrS_uc1;
PrSr;
PrSc")</f>
        <v>PrS_uc1;
PrSr;
PrSc</v>
      </c>
      <c r="T1647" s="42"/>
      <c r="U1647" s="42" t="b">
        <f>IFERROR(__xludf.DUMMYFUNCTION("""COMPUTED_VALUE"""),FALSE)</f>
        <v>0</v>
      </c>
      <c r="V1647" s="42"/>
      <c r="W1647" s="42"/>
      <c r="X1647" s="42"/>
      <c r="Y1647" s="42"/>
      <c r="Z1647" s="42"/>
      <c r="AA1647" s="42"/>
      <c r="AB1647" s="42" t="str">
        <f>IFERROR(__xludf.DUMMYFUNCTION("""COMPUTED_VALUE"""),"allen institute")</f>
        <v>allen institute</v>
      </c>
      <c r="AC1647" s="42" t="str">
        <f>IFERROR(__xludf.DUMMYFUNCTION("""COMPUTED_VALUE"""),"DHBA")</f>
        <v>DHBA</v>
      </c>
      <c r="AD1647" s="42"/>
      <c r="AE1647" s="42"/>
      <c r="AF1647" s="9"/>
      <c r="AG1647" s="9"/>
      <c r="AH1647" s="42"/>
      <c r="AI1647" s="42"/>
      <c r="AJ1647" s="42"/>
      <c r="AK1647" s="42"/>
      <c r="AL1647" s="42"/>
      <c r="AM1647" s="42"/>
      <c r="AN1647" s="42"/>
      <c r="AO1647" s="63" t="str">
        <f>IFERROR(__xludf.DUMMYFUNCTION("IF(ISBLANK(A1647),,IF(ISBLANK(S1647), A1647&amp;"";"", TEXTJOIN(CHAR(10), TRUE, A1647&amp;"";"", ARRAYFORMULA(VLOOKUP(SPLIT(S1647, "";"" &amp; CHAR(10)), $A:$AO, 41, FALSE)))))"),"PrS;
PrS_uc1;
PrSr;
PrSr1;
PrSrs;
PrSr2;
PrSr3;
PrSrld;
PrSrd;
PrSr5;
PrSr6;
PrSc;
PrSc1;
PrScs;
PrSc2;
PrSc3;
PrScld;
PrScd;
PrSc5;
PrSc6;")</f>
        <v>PrS;
PrS_uc1;
PrSr;
PrSr1;
PrSrs;
PrSr2;
PrSr3;
PrSrld;
PrSrd;
PrSr5;
PrSr6;
PrSc;
PrSc1;
PrScs;
PrSc2;
PrSc3;
PrScld;
PrScd;
PrSc5;
PrSc6;</v>
      </c>
      <c r="AP1647" s="89"/>
    </row>
    <row r="1648">
      <c r="A1648" s="151" t="str">
        <f>IFERROR(__xludf.DUMMYFUNCTION("""COMPUTED_VALUE"""),"PrS_uc1")</f>
        <v>PrS_uc1</v>
      </c>
      <c r="B1648" s="42" t="str">
        <f>IFERROR(__xludf.DUMMYFUNCTION("""COMPUTED_VALUE"""),"makeshift")</f>
        <v>makeshift</v>
      </c>
      <c r="C1648" s="42" t="str">
        <f>IFERROR(__xludf.DUMMYFUNCTION("""COMPUTED_VALUE"""),"presubiculum, uniform circuit 1")</f>
        <v>presubiculum, uniform circuit 1</v>
      </c>
      <c r="D1648" s="42">
        <f>IFERROR(__xludf.DUMMYFUNCTION("""COMPUTED_VALUE"""),1549.1)</f>
        <v>1549.1</v>
      </c>
      <c r="E1648" s="39" t="str">
        <f>IFERROR(__xludf.DUMMYFUNCTION("""COMPUTED_VALUE"""),"")</f>
        <v/>
      </c>
      <c r="F1648" s="9" t="str">
        <f>IFERROR(__xludf.DUMMYFUNCTION("""COMPUTED_VALUE"""),"")</f>
        <v/>
      </c>
      <c r="G1648" s="9" t="str">
        <f>IFERROR(__xludf.DUMMYFUNCTION("""COMPUTED_VALUE"""),"")</f>
        <v/>
      </c>
      <c r="H1648" s="9" t="str">
        <f>IFERROR(__xludf.DUMMYFUNCTION("""COMPUTED_VALUE"""),"")</f>
        <v/>
      </c>
      <c r="I1648" s="9" t="str">
        <f>IFERROR(__xludf.DUMMYFUNCTION("""COMPUTED_VALUE"""),"")</f>
        <v/>
      </c>
      <c r="J1648" s="9" t="str">
        <f>IFERROR(__xludf.DUMMYFUNCTION("""COMPUTED_VALUE"""),"")</f>
        <v/>
      </c>
      <c r="K1648" s="9" t="str">
        <f>IFERROR(__xludf.DUMMYFUNCTION("""COMPUTED_VALUE"""),"")</f>
        <v/>
      </c>
      <c r="L1648" s="9" t="str">
        <f>IFERROR(__xludf.DUMMYFUNCTION("""COMPUTED_VALUE"""),"")</f>
        <v/>
      </c>
      <c r="M1648" s="9" t="str">
        <f>IFERROR(__xludf.DUMMYFUNCTION("""COMPUTED_VALUE"""),"")</f>
        <v/>
      </c>
      <c r="N1648" s="9" t="str">
        <f>IFERROR(__xludf.DUMMYFUNCTION("""COMPUTED_VALUE"""),"")</f>
        <v/>
      </c>
      <c r="O1648" s="9" t="str">
        <f>IFERROR(__xludf.DUMMYFUNCTION("""COMPUTED_VALUE"""),"")</f>
        <v/>
      </c>
      <c r="P1648" s="9" t="str">
        <f>IFERROR(__xludf.DUMMYFUNCTION("""COMPUTED_VALUE"""),"")</f>
        <v/>
      </c>
      <c r="Q1648" s="9" t="str">
        <f>IFERROR(__xludf.DUMMYFUNCTION("""COMPUTED_VALUE"""),"")</f>
        <v/>
      </c>
      <c r="R1648" s="9" t="str">
        <f>IFERROR(__xludf.DUMMYFUNCTION("""COMPUTED_VALUE"""),"")</f>
        <v/>
      </c>
      <c r="S1648" s="42"/>
      <c r="T1648" s="42"/>
      <c r="U1648" s="42" t="b">
        <f>IFERROR(__xludf.DUMMYFUNCTION("""COMPUTED_VALUE"""),TRUE)</f>
        <v>1</v>
      </c>
      <c r="V1648" s="42"/>
      <c r="W1648" s="42" t="str">
        <f>IFERROR(__xludf.DUMMYFUNCTION("""COMPUTED_VALUE"""),"Excitatory")</f>
        <v>Excitatory</v>
      </c>
      <c r="X1648" s="42"/>
      <c r="Y1648" s="42"/>
      <c r="Z1648" s="42"/>
      <c r="AA1648" s="42"/>
      <c r="AB1648" s="42" t="str">
        <f>IFERROR(__xludf.DUMMYFUNCTION("""COMPUTED_VALUE"""),"Ayako Fukawa")</f>
        <v>Ayako Fukawa</v>
      </c>
      <c r="AC1648" s="42" t="str">
        <f>IFERROR(__xludf.DUMMYFUNCTION("""COMPUTED_VALUE"""),"AT20HippocampalFormation")</f>
        <v>AT20HippocampalFormation</v>
      </c>
      <c r="AD1648" s="42"/>
      <c r="AE1648" s="42"/>
      <c r="AF1648" s="9"/>
      <c r="AG1648" s="9"/>
      <c r="AH1648" s="42"/>
      <c r="AI1648" s="42"/>
      <c r="AJ1648" s="42"/>
      <c r="AK1648" s="42"/>
      <c r="AL1648" s="42"/>
      <c r="AM1648" s="42"/>
      <c r="AN1648" s="42"/>
      <c r="AO1648" s="63" t="str">
        <f>IFERROR(__xludf.DUMMYFUNCTION("IF(ISBLANK(A1648),,IF(ISBLANK(S1648), A1648&amp;"";"", TEXTJOIN(CHAR(10), TRUE, A1648&amp;"";"", ARRAYFORMULA(VLOOKUP(SPLIT(S1648, "";"" &amp; CHAR(10)), $A:$AO, 41, FALSE)))))"),"PrS_uc1;")</f>
        <v>PrS_uc1;</v>
      </c>
      <c r="AP1648" s="89"/>
    </row>
    <row r="1649">
      <c r="A1649" s="151" t="str">
        <f>IFERROR(__xludf.DUMMYFUNCTION("""COMPUTED_VALUE"""),"PrSr")</f>
        <v>PrSr</v>
      </c>
      <c r="B1649" s="42" t="str">
        <f>IFERROR(__xludf.DUMMYFUNCTION("""COMPUTED_VALUE"""),"DHBA")</f>
        <v>DHBA</v>
      </c>
      <c r="C1649" s="42" t="str">
        <f>IFERROR(__xludf.DUMMYFUNCTION("""COMPUTED_VALUE"""),"rostral presubiculum")</f>
        <v>rostral presubiculum</v>
      </c>
      <c r="D1649" s="42">
        <f>IFERROR(__xludf.DUMMYFUNCTION("""COMPUTED_VALUE"""),1550.0)</f>
        <v>1550</v>
      </c>
      <c r="E1649" s="39" t="str">
        <f>IFERROR(__xludf.DUMMYFUNCTION("""COMPUTED_VALUE"""),"rostral presubiculum")</f>
        <v>rostral presubiculum</v>
      </c>
      <c r="F1649" s="9" t="str">
        <f>IFERROR(__xludf.DUMMYFUNCTION("""COMPUTED_VALUE"""),"Br")</f>
        <v>Br</v>
      </c>
      <c r="G1649" s="9" t="str">
        <f>IFERROR(__xludf.DUMMYFUNCTION("""COMPUTED_VALUE"""),"F")</f>
        <v>F</v>
      </c>
      <c r="H1649" s="9" t="str">
        <f>IFERROR(__xludf.DUMMYFUNCTION("""COMPUTED_VALUE"""),"FGM")</f>
        <v>FGM</v>
      </c>
      <c r="I1649" s="9" t="str">
        <f>IFERROR(__xludf.DUMMYFUNCTION("""COMPUTED_VALUE"""),"Tel")</f>
        <v>Tel</v>
      </c>
      <c r="J1649" s="9" t="str">
        <f>IFERROR(__xludf.DUMMYFUNCTION("""COMPUTED_VALUE"""),"Cx")</f>
        <v>Cx</v>
      </c>
      <c r="K1649" s="9" t="str">
        <f>IFERROR(__xludf.DUMMYFUNCTION("""COMPUTED_VALUE"""),"PACx")</f>
        <v>PACx</v>
      </c>
      <c r="L1649" s="9" t="str">
        <f>IFERROR(__xludf.DUMMYFUNCTION("""COMPUTED_VALUE"""),"PArCx")</f>
        <v>PArCx</v>
      </c>
      <c r="M1649" s="9" t="str">
        <f>IFERROR(__xludf.DUMMYFUNCTION("""COMPUTED_VALUE"""),"PrS")</f>
        <v>PrS</v>
      </c>
      <c r="N1649" s="9" t="str">
        <f>IFERROR(__xludf.DUMMYFUNCTION("""COMPUTED_VALUE"""),"PrSr")</f>
        <v>PrSr</v>
      </c>
      <c r="O1649" s="9"/>
      <c r="P1649" s="9"/>
      <c r="Q1649" s="9"/>
      <c r="R1649" s="9"/>
      <c r="S1649" s="42" t="str">
        <f>IFERROR(__xludf.DUMMYFUNCTION("""COMPUTED_VALUE"""),"PrSr1;
PrSrs;
PrSrld;
PrSrd")</f>
        <v>PrSr1;
PrSrs;
PrSrld;
PrSrd</v>
      </c>
      <c r="T1649" s="42"/>
      <c r="U1649" s="42" t="b">
        <f>IFERROR(__xludf.DUMMYFUNCTION("""COMPUTED_VALUE"""),FALSE)</f>
        <v>0</v>
      </c>
      <c r="V1649" s="42"/>
      <c r="W1649" s="42"/>
      <c r="X1649" s="42"/>
      <c r="Y1649" s="42"/>
      <c r="Z1649" s="42"/>
      <c r="AA1649" s="42"/>
      <c r="AB1649" s="42" t="str">
        <f>IFERROR(__xludf.DUMMYFUNCTION("""COMPUTED_VALUE"""),"allen institute")</f>
        <v>allen institute</v>
      </c>
      <c r="AC1649" s="42" t="str">
        <f>IFERROR(__xludf.DUMMYFUNCTION("""COMPUTED_VALUE"""),"DHBA")</f>
        <v>DHBA</v>
      </c>
      <c r="AD1649" s="42"/>
      <c r="AE1649" s="42"/>
      <c r="AF1649" s="9"/>
      <c r="AG1649" s="9"/>
      <c r="AH1649" s="42"/>
      <c r="AI1649" s="42"/>
      <c r="AJ1649" s="42"/>
      <c r="AK1649" s="42"/>
      <c r="AL1649" s="42"/>
      <c r="AM1649" s="42"/>
      <c r="AN1649" s="42"/>
      <c r="AO1649" s="63" t="str">
        <f>IFERROR(__xludf.DUMMYFUNCTION("IF(ISBLANK(A1649),,IF(ISBLANK(S1649), A1649&amp;"";"", TEXTJOIN(CHAR(10), TRUE, A1649&amp;"";"", ARRAYFORMULA(VLOOKUP(SPLIT(S1649, "";"" &amp; CHAR(10)), $A:$AO, 41, FALSE)))))"),"PrSr;
PrSr1;
PrSrs;
PrSr2;
PrSr3;
PrSrld;
PrSrd;
PrSr5;
PrSr6;")</f>
        <v>PrSr;
PrSr1;
PrSrs;
PrSr2;
PrSr3;
PrSrld;
PrSrd;
PrSr5;
PrSr6;</v>
      </c>
      <c r="AP1649" s="89"/>
    </row>
    <row r="1650">
      <c r="A1650" s="151" t="str">
        <f>IFERROR(__xludf.DUMMYFUNCTION("""COMPUTED_VALUE"""),"PrSr1")</f>
        <v>PrSr1</v>
      </c>
      <c r="B1650" s="42" t="str">
        <f>IFERROR(__xludf.DUMMYFUNCTION("""COMPUTED_VALUE"""),"DHBA")</f>
        <v>DHBA</v>
      </c>
      <c r="C1650" s="42" t="str">
        <f>IFERROR(__xludf.DUMMYFUNCTION("""COMPUTED_VALUE"""),"layer I of rostral presubiculum")</f>
        <v>layer I of rostral presubiculum</v>
      </c>
      <c r="D1650" s="42">
        <f>IFERROR(__xludf.DUMMYFUNCTION("""COMPUTED_VALUE"""),1551.0)</f>
        <v>1551</v>
      </c>
      <c r="E1650" s="39" t="str">
        <f>IFERROR(__xludf.DUMMYFUNCTION("""COMPUTED_VALUE"""),"layer I of rostral presubiculum")</f>
        <v>layer I of rostral presubiculum</v>
      </c>
      <c r="F1650" s="9" t="str">
        <f>IFERROR(__xludf.DUMMYFUNCTION("""COMPUTED_VALUE"""),"Br")</f>
        <v>Br</v>
      </c>
      <c r="G1650" s="9" t="str">
        <f>IFERROR(__xludf.DUMMYFUNCTION("""COMPUTED_VALUE"""),"F")</f>
        <v>F</v>
      </c>
      <c r="H1650" s="9" t="str">
        <f>IFERROR(__xludf.DUMMYFUNCTION("""COMPUTED_VALUE"""),"FGM")</f>
        <v>FGM</v>
      </c>
      <c r="I1650" s="9" t="str">
        <f>IFERROR(__xludf.DUMMYFUNCTION("""COMPUTED_VALUE"""),"Tel")</f>
        <v>Tel</v>
      </c>
      <c r="J1650" s="9" t="str">
        <f>IFERROR(__xludf.DUMMYFUNCTION("""COMPUTED_VALUE"""),"Cx")</f>
        <v>Cx</v>
      </c>
      <c r="K1650" s="9" t="str">
        <f>IFERROR(__xludf.DUMMYFUNCTION("""COMPUTED_VALUE"""),"PACx")</f>
        <v>PACx</v>
      </c>
      <c r="L1650" s="9" t="str">
        <f>IFERROR(__xludf.DUMMYFUNCTION("""COMPUTED_VALUE"""),"PArCx")</f>
        <v>PArCx</v>
      </c>
      <c r="M1650" s="9" t="str">
        <f>IFERROR(__xludf.DUMMYFUNCTION("""COMPUTED_VALUE"""),"PrS")</f>
        <v>PrS</v>
      </c>
      <c r="N1650" s="9" t="str">
        <f>IFERROR(__xludf.DUMMYFUNCTION("""COMPUTED_VALUE"""),"PrSr")</f>
        <v>PrSr</v>
      </c>
      <c r="O1650" s="9" t="str">
        <f>IFERROR(__xludf.DUMMYFUNCTION("""COMPUTED_VALUE"""),"PrSr1")</f>
        <v>PrSr1</v>
      </c>
      <c r="P1650" s="9"/>
      <c r="Q1650" s="9"/>
      <c r="R1650" s="9"/>
      <c r="S1650" s="42"/>
      <c r="T1650" s="42"/>
      <c r="U1650" s="42"/>
      <c r="V1650" s="42"/>
      <c r="W1650" s="42"/>
      <c r="X1650" s="42"/>
      <c r="Y1650" s="42"/>
      <c r="Z1650" s="42"/>
      <c r="AA1650" s="42"/>
      <c r="AB1650" s="42" t="str">
        <f>IFERROR(__xludf.DUMMYFUNCTION("""COMPUTED_VALUE"""),"allen institute")</f>
        <v>allen institute</v>
      </c>
      <c r="AC1650" s="42" t="str">
        <f>IFERROR(__xludf.DUMMYFUNCTION("""COMPUTED_VALUE"""),"DHBA")</f>
        <v>DHBA</v>
      </c>
      <c r="AD1650" s="42"/>
      <c r="AE1650" s="42"/>
      <c r="AF1650" s="9"/>
      <c r="AG1650" s="9"/>
      <c r="AH1650" s="42"/>
      <c r="AI1650" s="42"/>
      <c r="AJ1650" s="42"/>
      <c r="AK1650" s="42"/>
      <c r="AL1650" s="42"/>
      <c r="AM1650" s="42"/>
      <c r="AN1650" s="42"/>
      <c r="AO1650" s="63" t="str">
        <f>IFERROR(__xludf.DUMMYFUNCTION("IF(ISBLANK(A1650),,IF(ISBLANK(S1650), A1650&amp;"";"", TEXTJOIN(CHAR(10), TRUE, A1650&amp;"";"", ARRAYFORMULA(VLOOKUP(SPLIT(S1650, "";"" &amp; CHAR(10)), $A:$AO, 41, FALSE)))))"),"PrSr1;")</f>
        <v>PrSr1;</v>
      </c>
      <c r="AP1650" s="89"/>
    </row>
    <row r="1651">
      <c r="A1651" s="151" t="str">
        <f>IFERROR(__xludf.DUMMYFUNCTION("""COMPUTED_VALUE"""),"PrSrs")</f>
        <v>PrSrs</v>
      </c>
      <c r="B1651" s="42" t="str">
        <f>IFERROR(__xludf.DUMMYFUNCTION("""COMPUTED_VALUE"""),"DHBA")</f>
        <v>DHBA</v>
      </c>
      <c r="C1651" s="42" t="str">
        <f>IFERROR(__xludf.DUMMYFUNCTION("""COMPUTED_VALUE"""),"superficial layers of rostral presubiculum")</f>
        <v>superficial layers of rostral presubiculum</v>
      </c>
      <c r="D1651" s="42">
        <f>IFERROR(__xludf.DUMMYFUNCTION("""COMPUTED_VALUE"""),1552.0)</f>
        <v>1552</v>
      </c>
      <c r="E1651" s="39" t="str">
        <f>IFERROR(__xludf.DUMMYFUNCTION("""COMPUTED_VALUE"""),"superficial layers of rostral presubiculum")</f>
        <v>superficial layers of rostral presubiculum</v>
      </c>
      <c r="F1651" s="9" t="str">
        <f>IFERROR(__xludf.DUMMYFUNCTION("""COMPUTED_VALUE"""),"Br")</f>
        <v>Br</v>
      </c>
      <c r="G1651" s="9" t="str">
        <f>IFERROR(__xludf.DUMMYFUNCTION("""COMPUTED_VALUE"""),"F")</f>
        <v>F</v>
      </c>
      <c r="H1651" s="9" t="str">
        <f>IFERROR(__xludf.DUMMYFUNCTION("""COMPUTED_VALUE"""),"FGM")</f>
        <v>FGM</v>
      </c>
      <c r="I1651" s="9" t="str">
        <f>IFERROR(__xludf.DUMMYFUNCTION("""COMPUTED_VALUE"""),"Tel")</f>
        <v>Tel</v>
      </c>
      <c r="J1651" s="9" t="str">
        <f>IFERROR(__xludf.DUMMYFUNCTION("""COMPUTED_VALUE"""),"Cx")</f>
        <v>Cx</v>
      </c>
      <c r="K1651" s="9" t="str">
        <f>IFERROR(__xludf.DUMMYFUNCTION("""COMPUTED_VALUE"""),"PACx")</f>
        <v>PACx</v>
      </c>
      <c r="L1651" s="9" t="str">
        <f>IFERROR(__xludf.DUMMYFUNCTION("""COMPUTED_VALUE"""),"PArCx")</f>
        <v>PArCx</v>
      </c>
      <c r="M1651" s="9" t="str">
        <f>IFERROR(__xludf.DUMMYFUNCTION("""COMPUTED_VALUE"""),"PrS")</f>
        <v>PrS</v>
      </c>
      <c r="N1651" s="9" t="str">
        <f>IFERROR(__xludf.DUMMYFUNCTION("""COMPUTED_VALUE"""),"PrSr")</f>
        <v>PrSr</v>
      </c>
      <c r="O1651" s="9" t="str">
        <f>IFERROR(__xludf.DUMMYFUNCTION("""COMPUTED_VALUE"""),"PrSrs")</f>
        <v>PrSrs</v>
      </c>
      <c r="P1651" s="9"/>
      <c r="Q1651" s="9"/>
      <c r="R1651" s="9"/>
      <c r="S1651" s="42" t="str">
        <f>IFERROR(__xludf.DUMMYFUNCTION("""COMPUTED_VALUE"""),"PrSr2;
PrSr3")</f>
        <v>PrSr2;
PrSr3</v>
      </c>
      <c r="T1651" s="42"/>
      <c r="U1651" s="42" t="b">
        <f>IFERROR(__xludf.DUMMYFUNCTION("""COMPUTED_VALUE"""),FALSE)</f>
        <v>0</v>
      </c>
      <c r="V1651" s="42"/>
      <c r="W1651" s="42"/>
      <c r="X1651" s="42"/>
      <c r="Y1651" s="42"/>
      <c r="Z1651" s="42"/>
      <c r="AA1651" s="42"/>
      <c r="AB1651" s="42" t="str">
        <f>IFERROR(__xludf.DUMMYFUNCTION("""COMPUTED_VALUE"""),"allen institute")</f>
        <v>allen institute</v>
      </c>
      <c r="AC1651" s="42" t="str">
        <f>IFERROR(__xludf.DUMMYFUNCTION("""COMPUTED_VALUE"""),"DHBA")</f>
        <v>DHBA</v>
      </c>
      <c r="AD1651" s="42"/>
      <c r="AE1651" s="42"/>
      <c r="AF1651" s="9"/>
      <c r="AG1651" s="9"/>
      <c r="AH1651" s="42"/>
      <c r="AI1651" s="42"/>
      <c r="AJ1651" s="42"/>
      <c r="AK1651" s="42"/>
      <c r="AL1651" s="42"/>
      <c r="AM1651" s="42"/>
      <c r="AN1651" s="42"/>
      <c r="AO1651" s="63" t="str">
        <f>IFERROR(__xludf.DUMMYFUNCTION("IF(ISBLANK(A1651),,IF(ISBLANK(S1651), A1651&amp;"";"", TEXTJOIN(CHAR(10), TRUE, A1651&amp;"";"", ARRAYFORMULA(VLOOKUP(SPLIT(S1651, "";"" &amp; CHAR(10)), $A:$AO, 41, FALSE)))))"),"PrSrs;
PrSr2;
PrSr3;")</f>
        <v>PrSrs;
PrSr2;
PrSr3;</v>
      </c>
      <c r="AP1651" s="89"/>
    </row>
    <row r="1652">
      <c r="A1652" s="151" t="str">
        <f>IFERROR(__xludf.DUMMYFUNCTION("""COMPUTED_VALUE"""),"PrSr2")</f>
        <v>PrSr2</v>
      </c>
      <c r="B1652" s="42" t="str">
        <f>IFERROR(__xludf.DUMMYFUNCTION("""COMPUTED_VALUE"""),"DHBA")</f>
        <v>DHBA</v>
      </c>
      <c r="C1652" s="42" t="str">
        <f>IFERROR(__xludf.DUMMYFUNCTION("""COMPUTED_VALUE"""),"layer II of rostral presubiculum")</f>
        <v>layer II of rostral presubiculum</v>
      </c>
      <c r="D1652" s="42">
        <f>IFERROR(__xludf.DUMMYFUNCTION("""COMPUTED_VALUE"""),1553.0)</f>
        <v>1553</v>
      </c>
      <c r="E1652" s="39" t="str">
        <f>IFERROR(__xludf.DUMMYFUNCTION("""COMPUTED_VALUE"""),"layer II of rostral presubiculum")</f>
        <v>layer II of rostral presubiculum</v>
      </c>
      <c r="F1652" s="9" t="str">
        <f>IFERROR(__xludf.DUMMYFUNCTION("""COMPUTED_VALUE"""),"Br")</f>
        <v>Br</v>
      </c>
      <c r="G1652" s="9" t="str">
        <f>IFERROR(__xludf.DUMMYFUNCTION("""COMPUTED_VALUE"""),"F")</f>
        <v>F</v>
      </c>
      <c r="H1652" s="9" t="str">
        <f>IFERROR(__xludf.DUMMYFUNCTION("""COMPUTED_VALUE"""),"FGM")</f>
        <v>FGM</v>
      </c>
      <c r="I1652" s="9" t="str">
        <f>IFERROR(__xludf.DUMMYFUNCTION("""COMPUTED_VALUE"""),"Tel")</f>
        <v>Tel</v>
      </c>
      <c r="J1652" s="9" t="str">
        <f>IFERROR(__xludf.DUMMYFUNCTION("""COMPUTED_VALUE"""),"Cx")</f>
        <v>Cx</v>
      </c>
      <c r="K1652" s="9" t="str">
        <f>IFERROR(__xludf.DUMMYFUNCTION("""COMPUTED_VALUE"""),"PACx")</f>
        <v>PACx</v>
      </c>
      <c r="L1652" s="9" t="str">
        <f>IFERROR(__xludf.DUMMYFUNCTION("""COMPUTED_VALUE"""),"PArCx")</f>
        <v>PArCx</v>
      </c>
      <c r="M1652" s="9" t="str">
        <f>IFERROR(__xludf.DUMMYFUNCTION("""COMPUTED_VALUE"""),"PrS")</f>
        <v>PrS</v>
      </c>
      <c r="N1652" s="9" t="str">
        <f>IFERROR(__xludf.DUMMYFUNCTION("""COMPUTED_VALUE"""),"PrSr")</f>
        <v>PrSr</v>
      </c>
      <c r="O1652" s="9" t="str">
        <f>IFERROR(__xludf.DUMMYFUNCTION("""COMPUTED_VALUE"""),"PrSrs")</f>
        <v>PrSrs</v>
      </c>
      <c r="P1652" s="9" t="str">
        <f>IFERROR(__xludf.DUMMYFUNCTION("""COMPUTED_VALUE"""),"PrSr2")</f>
        <v>PrSr2</v>
      </c>
      <c r="Q1652" s="9"/>
      <c r="R1652" s="9"/>
      <c r="S1652" s="42"/>
      <c r="T1652" s="42"/>
      <c r="U1652" s="159"/>
      <c r="V1652" s="42"/>
      <c r="W1652" s="42"/>
      <c r="X1652" s="42"/>
      <c r="Y1652" s="42"/>
      <c r="Z1652" s="42"/>
      <c r="AA1652" s="42"/>
      <c r="AB1652" s="42" t="str">
        <f>IFERROR(__xludf.DUMMYFUNCTION("""COMPUTED_VALUE"""),"allen institute")</f>
        <v>allen institute</v>
      </c>
      <c r="AC1652" s="42" t="str">
        <f>IFERROR(__xludf.DUMMYFUNCTION("""COMPUTED_VALUE"""),"DHBA")</f>
        <v>DHBA</v>
      </c>
      <c r="AD1652" s="42"/>
      <c r="AE1652" s="42"/>
      <c r="AF1652" s="9"/>
      <c r="AG1652" s="9"/>
      <c r="AH1652" s="42"/>
      <c r="AI1652" s="42"/>
      <c r="AJ1652" s="42"/>
      <c r="AK1652" s="42"/>
      <c r="AL1652" s="42"/>
      <c r="AM1652" s="42"/>
      <c r="AN1652" s="42"/>
      <c r="AO1652" s="63" t="str">
        <f>IFERROR(__xludf.DUMMYFUNCTION("IF(ISBLANK(A1652),,IF(ISBLANK(S1652), A1652&amp;"";"", TEXTJOIN(CHAR(10), TRUE, A1652&amp;"";"", ARRAYFORMULA(VLOOKUP(SPLIT(S1652, "";"" &amp; CHAR(10)), $A:$AO, 41, FALSE)))))"),"PrSr2;")</f>
        <v>PrSr2;</v>
      </c>
      <c r="AP1652" s="89"/>
    </row>
    <row r="1653">
      <c r="A1653" s="151" t="str">
        <f>IFERROR(__xludf.DUMMYFUNCTION("""COMPUTED_VALUE"""),"PrSr3")</f>
        <v>PrSr3</v>
      </c>
      <c r="B1653" s="42" t="str">
        <f>IFERROR(__xludf.DUMMYFUNCTION("""COMPUTED_VALUE"""),"DHBA")</f>
        <v>DHBA</v>
      </c>
      <c r="C1653" s="42" t="str">
        <f>IFERROR(__xludf.DUMMYFUNCTION("""COMPUTED_VALUE"""),"layer III of rostral presubiculum")</f>
        <v>layer III of rostral presubiculum</v>
      </c>
      <c r="D1653" s="42">
        <f>IFERROR(__xludf.DUMMYFUNCTION("""COMPUTED_VALUE"""),1554.0)</f>
        <v>1554</v>
      </c>
      <c r="E1653" s="39" t="str">
        <f>IFERROR(__xludf.DUMMYFUNCTION("""COMPUTED_VALUE"""),"layer III of rostral presubiculum")</f>
        <v>layer III of rostral presubiculum</v>
      </c>
      <c r="F1653" s="9" t="str">
        <f>IFERROR(__xludf.DUMMYFUNCTION("""COMPUTED_VALUE"""),"Br")</f>
        <v>Br</v>
      </c>
      <c r="G1653" s="9" t="str">
        <f>IFERROR(__xludf.DUMMYFUNCTION("""COMPUTED_VALUE"""),"F")</f>
        <v>F</v>
      </c>
      <c r="H1653" s="9" t="str">
        <f>IFERROR(__xludf.DUMMYFUNCTION("""COMPUTED_VALUE"""),"FGM")</f>
        <v>FGM</v>
      </c>
      <c r="I1653" s="9" t="str">
        <f>IFERROR(__xludf.DUMMYFUNCTION("""COMPUTED_VALUE"""),"Tel")</f>
        <v>Tel</v>
      </c>
      <c r="J1653" s="9" t="str">
        <f>IFERROR(__xludf.DUMMYFUNCTION("""COMPUTED_VALUE"""),"Cx")</f>
        <v>Cx</v>
      </c>
      <c r="K1653" s="9" t="str">
        <f>IFERROR(__xludf.DUMMYFUNCTION("""COMPUTED_VALUE"""),"PACx")</f>
        <v>PACx</v>
      </c>
      <c r="L1653" s="9" t="str">
        <f>IFERROR(__xludf.DUMMYFUNCTION("""COMPUTED_VALUE"""),"PArCx")</f>
        <v>PArCx</v>
      </c>
      <c r="M1653" s="9" t="str">
        <f>IFERROR(__xludf.DUMMYFUNCTION("""COMPUTED_VALUE"""),"PrS")</f>
        <v>PrS</v>
      </c>
      <c r="N1653" s="9" t="str">
        <f>IFERROR(__xludf.DUMMYFUNCTION("""COMPUTED_VALUE"""),"PrSr")</f>
        <v>PrSr</v>
      </c>
      <c r="O1653" s="9" t="str">
        <f>IFERROR(__xludf.DUMMYFUNCTION("""COMPUTED_VALUE"""),"PrSrs")</f>
        <v>PrSrs</v>
      </c>
      <c r="P1653" s="9" t="str">
        <f>IFERROR(__xludf.DUMMYFUNCTION("""COMPUTED_VALUE"""),"PrSr3")</f>
        <v>PrSr3</v>
      </c>
      <c r="Q1653" s="9"/>
      <c r="R1653" s="9"/>
      <c r="S1653" s="42"/>
      <c r="T1653" s="42"/>
      <c r="U1653" s="42"/>
      <c r="V1653" s="42"/>
      <c r="W1653" s="42"/>
      <c r="X1653" s="42"/>
      <c r="Y1653" s="42"/>
      <c r="Z1653" s="42"/>
      <c r="AA1653" s="42"/>
      <c r="AB1653" s="42" t="str">
        <f>IFERROR(__xludf.DUMMYFUNCTION("""COMPUTED_VALUE"""),"allen institute")</f>
        <v>allen institute</v>
      </c>
      <c r="AC1653" s="42" t="str">
        <f>IFERROR(__xludf.DUMMYFUNCTION("""COMPUTED_VALUE"""),"DHBA")</f>
        <v>DHBA</v>
      </c>
      <c r="AD1653" s="42"/>
      <c r="AE1653" s="42"/>
      <c r="AF1653" s="9"/>
      <c r="AG1653" s="9"/>
      <c r="AH1653" s="42"/>
      <c r="AI1653" s="42"/>
      <c r="AJ1653" s="42"/>
      <c r="AK1653" s="42"/>
      <c r="AL1653" s="42"/>
      <c r="AM1653" s="42"/>
      <c r="AN1653" s="42"/>
      <c r="AO1653" s="63" t="str">
        <f>IFERROR(__xludf.DUMMYFUNCTION("IF(ISBLANK(A1653),,IF(ISBLANK(S1653), A1653&amp;"";"", TEXTJOIN(CHAR(10), TRUE, A1653&amp;"";"", ARRAYFORMULA(VLOOKUP(SPLIT(S1653, "";"" &amp; CHAR(10)), $A:$AO, 41, FALSE)))))"),"PrSr3;")</f>
        <v>PrSr3;</v>
      </c>
      <c r="AP1653" s="89"/>
    </row>
    <row r="1654">
      <c r="A1654" s="151" t="str">
        <f>IFERROR(__xludf.DUMMYFUNCTION("""COMPUTED_VALUE"""),"PrSrld")</f>
        <v>PrSrld</v>
      </c>
      <c r="B1654" s="42" t="str">
        <f>IFERROR(__xludf.DUMMYFUNCTION("""COMPUTED_VALUE"""),"DHBA")</f>
        <v>DHBA</v>
      </c>
      <c r="C1654" s="42" t="str">
        <f>IFERROR(__xludf.DUMMYFUNCTION("""COMPUTED_VALUE"""),"lamina dissecans of rostral presubiculum")</f>
        <v>lamina dissecans of rostral presubiculum</v>
      </c>
      <c r="D1654" s="42">
        <f>IFERROR(__xludf.DUMMYFUNCTION("""COMPUTED_VALUE"""),1555.0)</f>
        <v>1555</v>
      </c>
      <c r="E1654" s="39" t="str">
        <f>IFERROR(__xludf.DUMMYFUNCTION("""COMPUTED_VALUE"""),"lamina dissecans of rostral presubiculum")</f>
        <v>lamina dissecans of rostral presubiculum</v>
      </c>
      <c r="F1654" s="9" t="str">
        <f>IFERROR(__xludf.DUMMYFUNCTION("""COMPUTED_VALUE"""),"Br")</f>
        <v>Br</v>
      </c>
      <c r="G1654" s="9" t="str">
        <f>IFERROR(__xludf.DUMMYFUNCTION("""COMPUTED_VALUE"""),"F")</f>
        <v>F</v>
      </c>
      <c r="H1654" s="9" t="str">
        <f>IFERROR(__xludf.DUMMYFUNCTION("""COMPUTED_VALUE"""),"FGM")</f>
        <v>FGM</v>
      </c>
      <c r="I1654" s="9" t="str">
        <f>IFERROR(__xludf.DUMMYFUNCTION("""COMPUTED_VALUE"""),"Tel")</f>
        <v>Tel</v>
      </c>
      <c r="J1654" s="9" t="str">
        <f>IFERROR(__xludf.DUMMYFUNCTION("""COMPUTED_VALUE"""),"Cx")</f>
        <v>Cx</v>
      </c>
      <c r="K1654" s="9" t="str">
        <f>IFERROR(__xludf.DUMMYFUNCTION("""COMPUTED_VALUE"""),"PACx")</f>
        <v>PACx</v>
      </c>
      <c r="L1654" s="9" t="str">
        <f>IFERROR(__xludf.DUMMYFUNCTION("""COMPUTED_VALUE"""),"PArCx")</f>
        <v>PArCx</v>
      </c>
      <c r="M1654" s="9" t="str">
        <f>IFERROR(__xludf.DUMMYFUNCTION("""COMPUTED_VALUE"""),"PrS")</f>
        <v>PrS</v>
      </c>
      <c r="N1654" s="9" t="str">
        <f>IFERROR(__xludf.DUMMYFUNCTION("""COMPUTED_VALUE"""),"PrSr")</f>
        <v>PrSr</v>
      </c>
      <c r="O1654" s="9" t="str">
        <f>IFERROR(__xludf.DUMMYFUNCTION("""COMPUTED_VALUE"""),"PrSrld")</f>
        <v>PrSrld</v>
      </c>
      <c r="P1654" s="9"/>
      <c r="Q1654" s="9"/>
      <c r="R1654" s="9"/>
      <c r="S1654" s="42"/>
      <c r="T1654" s="42"/>
      <c r="U1654" s="42"/>
      <c r="V1654" s="42"/>
      <c r="W1654" s="42"/>
      <c r="X1654" s="42"/>
      <c r="Y1654" s="42"/>
      <c r="Z1654" s="42"/>
      <c r="AA1654" s="42"/>
      <c r="AB1654" s="42" t="str">
        <f>IFERROR(__xludf.DUMMYFUNCTION("""COMPUTED_VALUE"""),"allen institute")</f>
        <v>allen institute</v>
      </c>
      <c r="AC1654" s="42" t="str">
        <f>IFERROR(__xludf.DUMMYFUNCTION("""COMPUTED_VALUE"""),"DHBA")</f>
        <v>DHBA</v>
      </c>
      <c r="AD1654" s="42"/>
      <c r="AE1654" s="42"/>
      <c r="AF1654" s="9"/>
      <c r="AG1654" s="9"/>
      <c r="AH1654" s="42"/>
      <c r="AI1654" s="42"/>
      <c r="AJ1654" s="42"/>
      <c r="AK1654" s="42"/>
      <c r="AL1654" s="42"/>
      <c r="AM1654" s="42"/>
      <c r="AN1654" s="42"/>
      <c r="AO1654" s="63" t="str">
        <f>IFERROR(__xludf.DUMMYFUNCTION("IF(ISBLANK(A1654),,IF(ISBLANK(S1654), A1654&amp;"";"", TEXTJOIN(CHAR(10), TRUE, A1654&amp;"";"", ARRAYFORMULA(VLOOKUP(SPLIT(S1654, "";"" &amp; CHAR(10)), $A:$AO, 41, FALSE)))))"),"PrSrld;")</f>
        <v>PrSrld;</v>
      </c>
      <c r="AP1654" s="89"/>
    </row>
    <row r="1655">
      <c r="A1655" s="151" t="str">
        <f>IFERROR(__xludf.DUMMYFUNCTION("""COMPUTED_VALUE"""),"PrSrd")</f>
        <v>PrSrd</v>
      </c>
      <c r="B1655" s="42" t="str">
        <f>IFERROR(__xludf.DUMMYFUNCTION("""COMPUTED_VALUE"""),"DHBA")</f>
        <v>DHBA</v>
      </c>
      <c r="C1655" s="42" t="str">
        <f>IFERROR(__xludf.DUMMYFUNCTION("""COMPUTED_VALUE"""),"deep layers of rostral presubiculum")</f>
        <v>deep layers of rostral presubiculum</v>
      </c>
      <c r="D1655" s="42">
        <f>IFERROR(__xludf.DUMMYFUNCTION("""COMPUTED_VALUE"""),1556.0)</f>
        <v>1556</v>
      </c>
      <c r="E1655" s="39" t="str">
        <f>IFERROR(__xludf.DUMMYFUNCTION("""COMPUTED_VALUE"""),"deep layers of rostral presubiculum")</f>
        <v>deep layers of rostral presubiculum</v>
      </c>
      <c r="F1655" s="9" t="str">
        <f>IFERROR(__xludf.DUMMYFUNCTION("""COMPUTED_VALUE"""),"Br")</f>
        <v>Br</v>
      </c>
      <c r="G1655" s="9" t="str">
        <f>IFERROR(__xludf.DUMMYFUNCTION("""COMPUTED_VALUE"""),"F")</f>
        <v>F</v>
      </c>
      <c r="H1655" s="9" t="str">
        <f>IFERROR(__xludf.DUMMYFUNCTION("""COMPUTED_VALUE"""),"FGM")</f>
        <v>FGM</v>
      </c>
      <c r="I1655" s="9" t="str">
        <f>IFERROR(__xludf.DUMMYFUNCTION("""COMPUTED_VALUE"""),"Tel")</f>
        <v>Tel</v>
      </c>
      <c r="J1655" s="9" t="str">
        <f>IFERROR(__xludf.DUMMYFUNCTION("""COMPUTED_VALUE"""),"Cx")</f>
        <v>Cx</v>
      </c>
      <c r="K1655" s="9" t="str">
        <f>IFERROR(__xludf.DUMMYFUNCTION("""COMPUTED_VALUE"""),"PACx")</f>
        <v>PACx</v>
      </c>
      <c r="L1655" s="9" t="str">
        <f>IFERROR(__xludf.DUMMYFUNCTION("""COMPUTED_VALUE"""),"PArCx")</f>
        <v>PArCx</v>
      </c>
      <c r="M1655" s="9" t="str">
        <f>IFERROR(__xludf.DUMMYFUNCTION("""COMPUTED_VALUE"""),"PrS")</f>
        <v>PrS</v>
      </c>
      <c r="N1655" s="9" t="str">
        <f>IFERROR(__xludf.DUMMYFUNCTION("""COMPUTED_VALUE"""),"PrSr")</f>
        <v>PrSr</v>
      </c>
      <c r="O1655" s="9" t="str">
        <f>IFERROR(__xludf.DUMMYFUNCTION("""COMPUTED_VALUE"""),"PrSrd")</f>
        <v>PrSrd</v>
      </c>
      <c r="P1655" s="9"/>
      <c r="Q1655" s="9"/>
      <c r="R1655" s="9"/>
      <c r="S1655" s="42" t="str">
        <f>IFERROR(__xludf.DUMMYFUNCTION("""COMPUTED_VALUE"""),"PrSr5;
PrSr6")</f>
        <v>PrSr5;
PrSr6</v>
      </c>
      <c r="T1655" s="42"/>
      <c r="U1655" s="42" t="b">
        <f>IFERROR(__xludf.DUMMYFUNCTION("""COMPUTED_VALUE"""),FALSE)</f>
        <v>0</v>
      </c>
      <c r="V1655" s="42"/>
      <c r="W1655" s="42"/>
      <c r="X1655" s="42"/>
      <c r="Y1655" s="42"/>
      <c r="Z1655" s="42"/>
      <c r="AA1655" s="42"/>
      <c r="AB1655" s="42" t="str">
        <f>IFERROR(__xludf.DUMMYFUNCTION("""COMPUTED_VALUE"""),"allen institute")</f>
        <v>allen institute</v>
      </c>
      <c r="AC1655" s="42" t="str">
        <f>IFERROR(__xludf.DUMMYFUNCTION("""COMPUTED_VALUE"""),"DHBA")</f>
        <v>DHBA</v>
      </c>
      <c r="AD1655" s="42"/>
      <c r="AE1655" s="42"/>
      <c r="AF1655" s="9"/>
      <c r="AG1655" s="9"/>
      <c r="AH1655" s="42"/>
      <c r="AI1655" s="42"/>
      <c r="AJ1655" s="42"/>
      <c r="AK1655" s="42"/>
      <c r="AL1655" s="42"/>
      <c r="AM1655" s="42"/>
      <c r="AN1655" s="42"/>
      <c r="AO1655" s="63" t="str">
        <f>IFERROR(__xludf.DUMMYFUNCTION("IF(ISBLANK(A1655),,IF(ISBLANK(S1655), A1655&amp;"";"", TEXTJOIN(CHAR(10), TRUE, A1655&amp;"";"", ARRAYFORMULA(VLOOKUP(SPLIT(S1655, "";"" &amp; CHAR(10)), $A:$AO, 41, FALSE)))))"),"PrSrd;
PrSr5;
PrSr6;")</f>
        <v>PrSrd;
PrSr5;
PrSr6;</v>
      </c>
      <c r="AP1655" s="89"/>
    </row>
    <row r="1656">
      <c r="A1656" s="151" t="str">
        <f>IFERROR(__xludf.DUMMYFUNCTION("""COMPUTED_VALUE"""),"PrSr5")</f>
        <v>PrSr5</v>
      </c>
      <c r="B1656" s="42" t="str">
        <f>IFERROR(__xludf.DUMMYFUNCTION("""COMPUTED_VALUE"""),"DHBA")</f>
        <v>DHBA</v>
      </c>
      <c r="C1656" s="42" t="str">
        <f>IFERROR(__xludf.DUMMYFUNCTION("""COMPUTED_VALUE"""),"layer V of rostral presubiculum")</f>
        <v>layer V of rostral presubiculum</v>
      </c>
      <c r="D1656" s="42">
        <f>IFERROR(__xludf.DUMMYFUNCTION("""COMPUTED_VALUE"""),1557.0)</f>
        <v>1557</v>
      </c>
      <c r="E1656" s="39" t="str">
        <f>IFERROR(__xludf.DUMMYFUNCTION("""COMPUTED_VALUE"""),"layer V of rostral presubiculum")</f>
        <v>layer V of rostral presubiculum</v>
      </c>
      <c r="F1656" s="9" t="str">
        <f>IFERROR(__xludf.DUMMYFUNCTION("""COMPUTED_VALUE"""),"Br")</f>
        <v>Br</v>
      </c>
      <c r="G1656" s="9" t="str">
        <f>IFERROR(__xludf.DUMMYFUNCTION("""COMPUTED_VALUE"""),"F")</f>
        <v>F</v>
      </c>
      <c r="H1656" s="9" t="str">
        <f>IFERROR(__xludf.DUMMYFUNCTION("""COMPUTED_VALUE"""),"FGM")</f>
        <v>FGM</v>
      </c>
      <c r="I1656" s="9" t="str">
        <f>IFERROR(__xludf.DUMMYFUNCTION("""COMPUTED_VALUE"""),"Tel")</f>
        <v>Tel</v>
      </c>
      <c r="J1656" s="9" t="str">
        <f>IFERROR(__xludf.DUMMYFUNCTION("""COMPUTED_VALUE"""),"Cx")</f>
        <v>Cx</v>
      </c>
      <c r="K1656" s="9" t="str">
        <f>IFERROR(__xludf.DUMMYFUNCTION("""COMPUTED_VALUE"""),"PACx")</f>
        <v>PACx</v>
      </c>
      <c r="L1656" s="9" t="str">
        <f>IFERROR(__xludf.DUMMYFUNCTION("""COMPUTED_VALUE"""),"PArCx")</f>
        <v>PArCx</v>
      </c>
      <c r="M1656" s="9" t="str">
        <f>IFERROR(__xludf.DUMMYFUNCTION("""COMPUTED_VALUE"""),"PrS")</f>
        <v>PrS</v>
      </c>
      <c r="N1656" s="9" t="str">
        <f>IFERROR(__xludf.DUMMYFUNCTION("""COMPUTED_VALUE"""),"PrSr")</f>
        <v>PrSr</v>
      </c>
      <c r="O1656" s="9" t="str">
        <f>IFERROR(__xludf.DUMMYFUNCTION("""COMPUTED_VALUE"""),"PrSrd")</f>
        <v>PrSrd</v>
      </c>
      <c r="P1656" s="9" t="str">
        <f>IFERROR(__xludf.DUMMYFUNCTION("""COMPUTED_VALUE"""),"PrSr5")</f>
        <v>PrSr5</v>
      </c>
      <c r="Q1656" s="9"/>
      <c r="R1656" s="9"/>
      <c r="S1656" s="42"/>
      <c r="T1656" s="42"/>
      <c r="U1656" s="42"/>
      <c r="V1656" s="42"/>
      <c r="W1656" s="42"/>
      <c r="X1656" s="42"/>
      <c r="Y1656" s="42"/>
      <c r="Z1656" s="42"/>
      <c r="AA1656" s="42"/>
      <c r="AB1656" s="42" t="str">
        <f>IFERROR(__xludf.DUMMYFUNCTION("""COMPUTED_VALUE"""),"allen institute")</f>
        <v>allen institute</v>
      </c>
      <c r="AC1656" s="42" t="str">
        <f>IFERROR(__xludf.DUMMYFUNCTION("""COMPUTED_VALUE"""),"DHBA")</f>
        <v>DHBA</v>
      </c>
      <c r="AD1656" s="42"/>
      <c r="AE1656" s="42"/>
      <c r="AF1656" s="9"/>
      <c r="AG1656" s="9"/>
      <c r="AH1656" s="42"/>
      <c r="AI1656" s="42"/>
      <c r="AJ1656" s="42"/>
      <c r="AK1656" s="42"/>
      <c r="AL1656" s="42"/>
      <c r="AM1656" s="42"/>
      <c r="AN1656" s="42"/>
      <c r="AO1656" s="63" t="str">
        <f>IFERROR(__xludf.DUMMYFUNCTION("IF(ISBLANK(A1656),,IF(ISBLANK(S1656), A1656&amp;"";"", TEXTJOIN(CHAR(10), TRUE, A1656&amp;"";"", ARRAYFORMULA(VLOOKUP(SPLIT(S1656, "";"" &amp; CHAR(10)), $A:$AO, 41, FALSE)))))"),"PrSr5;")</f>
        <v>PrSr5;</v>
      </c>
      <c r="AP1656" s="89"/>
    </row>
    <row r="1657">
      <c r="A1657" s="151" t="str">
        <f>IFERROR(__xludf.DUMMYFUNCTION("""COMPUTED_VALUE"""),"PrSr6")</f>
        <v>PrSr6</v>
      </c>
      <c r="B1657" s="42" t="str">
        <f>IFERROR(__xludf.DUMMYFUNCTION("""COMPUTED_VALUE"""),"DHBA")</f>
        <v>DHBA</v>
      </c>
      <c r="C1657" s="42" t="str">
        <f>IFERROR(__xludf.DUMMYFUNCTION("""COMPUTED_VALUE"""),"layer VI of rostral presubiculum")</f>
        <v>layer VI of rostral presubiculum</v>
      </c>
      <c r="D1657" s="42">
        <f>IFERROR(__xludf.DUMMYFUNCTION("""COMPUTED_VALUE"""),1558.0)</f>
        <v>1558</v>
      </c>
      <c r="E1657" s="39" t="str">
        <f>IFERROR(__xludf.DUMMYFUNCTION("""COMPUTED_VALUE"""),"layer VI of rostral presubiculum")</f>
        <v>layer VI of rostral presubiculum</v>
      </c>
      <c r="F1657" s="9" t="str">
        <f>IFERROR(__xludf.DUMMYFUNCTION("""COMPUTED_VALUE"""),"Br")</f>
        <v>Br</v>
      </c>
      <c r="G1657" s="9" t="str">
        <f>IFERROR(__xludf.DUMMYFUNCTION("""COMPUTED_VALUE"""),"F")</f>
        <v>F</v>
      </c>
      <c r="H1657" s="9" t="str">
        <f>IFERROR(__xludf.DUMMYFUNCTION("""COMPUTED_VALUE"""),"FGM")</f>
        <v>FGM</v>
      </c>
      <c r="I1657" s="9" t="str">
        <f>IFERROR(__xludf.DUMMYFUNCTION("""COMPUTED_VALUE"""),"Tel")</f>
        <v>Tel</v>
      </c>
      <c r="J1657" s="9" t="str">
        <f>IFERROR(__xludf.DUMMYFUNCTION("""COMPUTED_VALUE"""),"Cx")</f>
        <v>Cx</v>
      </c>
      <c r="K1657" s="9" t="str">
        <f>IFERROR(__xludf.DUMMYFUNCTION("""COMPUTED_VALUE"""),"PACx")</f>
        <v>PACx</v>
      </c>
      <c r="L1657" s="9" t="str">
        <f>IFERROR(__xludf.DUMMYFUNCTION("""COMPUTED_VALUE"""),"PArCx")</f>
        <v>PArCx</v>
      </c>
      <c r="M1657" s="9" t="str">
        <f>IFERROR(__xludf.DUMMYFUNCTION("""COMPUTED_VALUE"""),"PrS")</f>
        <v>PrS</v>
      </c>
      <c r="N1657" s="9" t="str">
        <f>IFERROR(__xludf.DUMMYFUNCTION("""COMPUTED_VALUE"""),"PrSr")</f>
        <v>PrSr</v>
      </c>
      <c r="O1657" s="9" t="str">
        <f>IFERROR(__xludf.DUMMYFUNCTION("""COMPUTED_VALUE"""),"PrSrd")</f>
        <v>PrSrd</v>
      </c>
      <c r="P1657" s="9" t="str">
        <f>IFERROR(__xludf.DUMMYFUNCTION("""COMPUTED_VALUE"""),"PrSr6")</f>
        <v>PrSr6</v>
      </c>
      <c r="Q1657" s="9"/>
      <c r="R1657" s="9"/>
      <c r="S1657" s="42"/>
      <c r="T1657" s="42"/>
      <c r="U1657" s="42"/>
      <c r="V1657" s="42"/>
      <c r="W1657" s="42"/>
      <c r="X1657" s="42"/>
      <c r="Y1657" s="42"/>
      <c r="Z1657" s="42"/>
      <c r="AA1657" s="42"/>
      <c r="AB1657" s="42" t="str">
        <f>IFERROR(__xludf.DUMMYFUNCTION("""COMPUTED_VALUE"""),"allen institute")</f>
        <v>allen institute</v>
      </c>
      <c r="AC1657" s="42" t="str">
        <f>IFERROR(__xludf.DUMMYFUNCTION("""COMPUTED_VALUE"""),"DHBA")</f>
        <v>DHBA</v>
      </c>
      <c r="AD1657" s="42"/>
      <c r="AE1657" s="42"/>
      <c r="AF1657" s="9"/>
      <c r="AG1657" s="9"/>
      <c r="AH1657" s="42"/>
      <c r="AI1657" s="42"/>
      <c r="AJ1657" s="42"/>
      <c r="AK1657" s="42"/>
      <c r="AL1657" s="42"/>
      <c r="AM1657" s="42"/>
      <c r="AN1657" s="42"/>
      <c r="AO1657" s="63" t="str">
        <f>IFERROR(__xludf.DUMMYFUNCTION("IF(ISBLANK(A1657),,IF(ISBLANK(S1657), A1657&amp;"";"", TEXTJOIN(CHAR(10), TRUE, A1657&amp;"";"", ARRAYFORMULA(VLOOKUP(SPLIT(S1657, "";"" &amp; CHAR(10)), $A:$AO, 41, FALSE)))))"),"PrSr6;")</f>
        <v>PrSr6;</v>
      </c>
      <c r="AP1657" s="89"/>
    </row>
    <row r="1658">
      <c r="A1658" s="151" t="str">
        <f>IFERROR(__xludf.DUMMYFUNCTION("""COMPUTED_VALUE"""),"PrSc")</f>
        <v>PrSc</v>
      </c>
      <c r="B1658" s="42" t="str">
        <f>IFERROR(__xludf.DUMMYFUNCTION("""COMPUTED_VALUE"""),"DHBA")</f>
        <v>DHBA</v>
      </c>
      <c r="C1658" s="42" t="str">
        <f>IFERROR(__xludf.DUMMYFUNCTION("""COMPUTED_VALUE"""),"caudal presubiculum (postsubiculum)")</f>
        <v>caudal presubiculum (postsubiculum)</v>
      </c>
      <c r="D1658" s="42">
        <f>IFERROR(__xludf.DUMMYFUNCTION("""COMPUTED_VALUE"""),1559.0)</f>
        <v>1559</v>
      </c>
      <c r="E1658" s="39" t="str">
        <f>IFERROR(__xludf.DUMMYFUNCTION("""COMPUTED_VALUE"""),"caudal presubiculum (postsubiculum)")</f>
        <v>caudal presubiculum (postsubiculum)</v>
      </c>
      <c r="F1658" s="9" t="str">
        <f>IFERROR(__xludf.DUMMYFUNCTION("""COMPUTED_VALUE"""),"Br")</f>
        <v>Br</v>
      </c>
      <c r="G1658" s="9" t="str">
        <f>IFERROR(__xludf.DUMMYFUNCTION("""COMPUTED_VALUE"""),"F")</f>
        <v>F</v>
      </c>
      <c r="H1658" s="9" t="str">
        <f>IFERROR(__xludf.DUMMYFUNCTION("""COMPUTED_VALUE"""),"FGM")</f>
        <v>FGM</v>
      </c>
      <c r="I1658" s="9" t="str">
        <f>IFERROR(__xludf.DUMMYFUNCTION("""COMPUTED_VALUE"""),"Tel")</f>
        <v>Tel</v>
      </c>
      <c r="J1658" s="9" t="str">
        <f>IFERROR(__xludf.DUMMYFUNCTION("""COMPUTED_VALUE"""),"Cx")</f>
        <v>Cx</v>
      </c>
      <c r="K1658" s="9" t="str">
        <f>IFERROR(__xludf.DUMMYFUNCTION("""COMPUTED_VALUE"""),"PACx")</f>
        <v>PACx</v>
      </c>
      <c r="L1658" s="9" t="str">
        <f>IFERROR(__xludf.DUMMYFUNCTION("""COMPUTED_VALUE"""),"PArCx")</f>
        <v>PArCx</v>
      </c>
      <c r="M1658" s="9" t="str">
        <f>IFERROR(__xludf.DUMMYFUNCTION("""COMPUTED_VALUE"""),"PrS")</f>
        <v>PrS</v>
      </c>
      <c r="N1658" s="9" t="str">
        <f>IFERROR(__xludf.DUMMYFUNCTION("""COMPUTED_VALUE"""),"PrSc")</f>
        <v>PrSc</v>
      </c>
      <c r="O1658" s="9"/>
      <c r="P1658" s="9"/>
      <c r="Q1658" s="9"/>
      <c r="R1658" s="9"/>
      <c r="S1658" s="42" t="str">
        <f>IFERROR(__xludf.DUMMYFUNCTION("""COMPUTED_VALUE"""),"PrSc1;
PrScs;
PrScld;
PrScd")</f>
        <v>PrSc1;
PrScs;
PrScld;
PrScd</v>
      </c>
      <c r="T1658" s="42"/>
      <c r="U1658" s="42" t="b">
        <f>IFERROR(__xludf.DUMMYFUNCTION("""COMPUTED_VALUE"""),FALSE)</f>
        <v>0</v>
      </c>
      <c r="V1658" s="42"/>
      <c r="W1658" s="42"/>
      <c r="X1658" s="42"/>
      <c r="Y1658" s="42"/>
      <c r="Z1658" s="42"/>
      <c r="AA1658" s="42"/>
      <c r="AB1658" s="42" t="str">
        <f>IFERROR(__xludf.DUMMYFUNCTION("""COMPUTED_VALUE"""),"allen institute")</f>
        <v>allen institute</v>
      </c>
      <c r="AC1658" s="42" t="str">
        <f>IFERROR(__xludf.DUMMYFUNCTION("""COMPUTED_VALUE"""),"DHBA")</f>
        <v>DHBA</v>
      </c>
      <c r="AD1658" s="42"/>
      <c r="AE1658" s="42"/>
      <c r="AF1658" s="9"/>
      <c r="AG1658" s="9"/>
      <c r="AH1658" s="42"/>
      <c r="AI1658" s="42"/>
      <c r="AJ1658" s="42"/>
      <c r="AK1658" s="42"/>
      <c r="AL1658" s="42"/>
      <c r="AM1658" s="42"/>
      <c r="AN1658" s="42"/>
      <c r="AO1658" s="63" t="str">
        <f>IFERROR(__xludf.DUMMYFUNCTION("IF(ISBLANK(A1658),,IF(ISBLANK(S1658), A1658&amp;"";"", TEXTJOIN(CHAR(10), TRUE, A1658&amp;"";"", ARRAYFORMULA(VLOOKUP(SPLIT(S1658, "";"" &amp; CHAR(10)), $A:$AO, 41, FALSE)))))"),"PrSc;
PrSc1;
PrScs;
PrSc2;
PrSc3;
PrScld;
PrScd;
PrSc5;
PrSc6;")</f>
        <v>PrSc;
PrSc1;
PrScs;
PrSc2;
PrSc3;
PrScld;
PrScd;
PrSc5;
PrSc6;</v>
      </c>
      <c r="AP1658" s="89"/>
    </row>
    <row r="1659">
      <c r="A1659" s="151" t="str">
        <f>IFERROR(__xludf.DUMMYFUNCTION("""COMPUTED_VALUE"""),"PrSc1")</f>
        <v>PrSc1</v>
      </c>
      <c r="B1659" s="42" t="str">
        <f>IFERROR(__xludf.DUMMYFUNCTION("""COMPUTED_VALUE"""),"DHBA")</f>
        <v>DHBA</v>
      </c>
      <c r="C1659" s="42" t="str">
        <f>IFERROR(__xludf.DUMMYFUNCTION("""COMPUTED_VALUE"""),"layer I of caudal presubiculum")</f>
        <v>layer I of caudal presubiculum</v>
      </c>
      <c r="D1659" s="42">
        <f>IFERROR(__xludf.DUMMYFUNCTION("""COMPUTED_VALUE"""),1560.0)</f>
        <v>1560</v>
      </c>
      <c r="E1659" s="39" t="str">
        <f>IFERROR(__xludf.DUMMYFUNCTION("""COMPUTED_VALUE"""),"layer I of caudal presubiculum")</f>
        <v>layer I of caudal presubiculum</v>
      </c>
      <c r="F1659" s="9" t="str">
        <f>IFERROR(__xludf.DUMMYFUNCTION("""COMPUTED_VALUE"""),"Br")</f>
        <v>Br</v>
      </c>
      <c r="G1659" s="9" t="str">
        <f>IFERROR(__xludf.DUMMYFUNCTION("""COMPUTED_VALUE"""),"F")</f>
        <v>F</v>
      </c>
      <c r="H1659" s="9" t="str">
        <f>IFERROR(__xludf.DUMMYFUNCTION("""COMPUTED_VALUE"""),"FGM")</f>
        <v>FGM</v>
      </c>
      <c r="I1659" s="9" t="str">
        <f>IFERROR(__xludf.DUMMYFUNCTION("""COMPUTED_VALUE"""),"Tel")</f>
        <v>Tel</v>
      </c>
      <c r="J1659" s="9" t="str">
        <f>IFERROR(__xludf.DUMMYFUNCTION("""COMPUTED_VALUE"""),"Cx")</f>
        <v>Cx</v>
      </c>
      <c r="K1659" s="9" t="str">
        <f>IFERROR(__xludf.DUMMYFUNCTION("""COMPUTED_VALUE"""),"PACx")</f>
        <v>PACx</v>
      </c>
      <c r="L1659" s="9" t="str">
        <f>IFERROR(__xludf.DUMMYFUNCTION("""COMPUTED_VALUE"""),"PArCx")</f>
        <v>PArCx</v>
      </c>
      <c r="M1659" s="9" t="str">
        <f>IFERROR(__xludf.DUMMYFUNCTION("""COMPUTED_VALUE"""),"PrS")</f>
        <v>PrS</v>
      </c>
      <c r="N1659" s="9" t="str">
        <f>IFERROR(__xludf.DUMMYFUNCTION("""COMPUTED_VALUE"""),"PrSc")</f>
        <v>PrSc</v>
      </c>
      <c r="O1659" s="9" t="str">
        <f>IFERROR(__xludf.DUMMYFUNCTION("""COMPUTED_VALUE"""),"PrSc1")</f>
        <v>PrSc1</v>
      </c>
      <c r="P1659" s="9"/>
      <c r="Q1659" s="9"/>
      <c r="R1659" s="9"/>
      <c r="S1659" s="42"/>
      <c r="T1659" s="42"/>
      <c r="U1659" s="42"/>
      <c r="V1659" s="42"/>
      <c r="W1659" s="42"/>
      <c r="X1659" s="42"/>
      <c r="Y1659" s="42"/>
      <c r="Z1659" s="42"/>
      <c r="AA1659" s="42"/>
      <c r="AB1659" s="42" t="str">
        <f>IFERROR(__xludf.DUMMYFUNCTION("""COMPUTED_VALUE"""),"allen institute")</f>
        <v>allen institute</v>
      </c>
      <c r="AC1659" s="42" t="str">
        <f>IFERROR(__xludf.DUMMYFUNCTION("""COMPUTED_VALUE"""),"DHBA")</f>
        <v>DHBA</v>
      </c>
      <c r="AD1659" s="42"/>
      <c r="AE1659" s="42"/>
      <c r="AF1659" s="9"/>
      <c r="AG1659" s="9"/>
      <c r="AH1659" s="42"/>
      <c r="AI1659" s="42"/>
      <c r="AJ1659" s="42"/>
      <c r="AK1659" s="42"/>
      <c r="AL1659" s="42"/>
      <c r="AM1659" s="42"/>
      <c r="AN1659" s="42"/>
      <c r="AO1659" s="63" t="str">
        <f>IFERROR(__xludf.DUMMYFUNCTION("IF(ISBLANK(A1659),,IF(ISBLANK(S1659), A1659&amp;"";"", TEXTJOIN(CHAR(10), TRUE, A1659&amp;"";"", ARRAYFORMULA(VLOOKUP(SPLIT(S1659, "";"" &amp; CHAR(10)), $A:$AO, 41, FALSE)))))"),"PrSc1;")</f>
        <v>PrSc1;</v>
      </c>
      <c r="AP1659" s="89"/>
    </row>
    <row r="1660">
      <c r="A1660" s="151" t="str">
        <f>IFERROR(__xludf.DUMMYFUNCTION("""COMPUTED_VALUE"""),"PrScs")</f>
        <v>PrScs</v>
      </c>
      <c r="B1660" s="42" t="str">
        <f>IFERROR(__xludf.DUMMYFUNCTION("""COMPUTED_VALUE"""),"DHBA")</f>
        <v>DHBA</v>
      </c>
      <c r="C1660" s="42" t="str">
        <f>IFERROR(__xludf.DUMMYFUNCTION("""COMPUTED_VALUE"""),"superficial layers of caudal presubiculum")</f>
        <v>superficial layers of caudal presubiculum</v>
      </c>
      <c r="D1660" s="42">
        <f>IFERROR(__xludf.DUMMYFUNCTION("""COMPUTED_VALUE"""),1561.0)</f>
        <v>1561</v>
      </c>
      <c r="E1660" s="39" t="str">
        <f>IFERROR(__xludf.DUMMYFUNCTION("""COMPUTED_VALUE"""),"superficial layers of caudal presubiculum")</f>
        <v>superficial layers of caudal presubiculum</v>
      </c>
      <c r="F1660" s="9" t="str">
        <f>IFERROR(__xludf.DUMMYFUNCTION("""COMPUTED_VALUE"""),"Br")</f>
        <v>Br</v>
      </c>
      <c r="G1660" s="9" t="str">
        <f>IFERROR(__xludf.DUMMYFUNCTION("""COMPUTED_VALUE"""),"F")</f>
        <v>F</v>
      </c>
      <c r="H1660" s="9" t="str">
        <f>IFERROR(__xludf.DUMMYFUNCTION("""COMPUTED_VALUE"""),"FGM")</f>
        <v>FGM</v>
      </c>
      <c r="I1660" s="9" t="str">
        <f>IFERROR(__xludf.DUMMYFUNCTION("""COMPUTED_VALUE"""),"Tel")</f>
        <v>Tel</v>
      </c>
      <c r="J1660" s="9" t="str">
        <f>IFERROR(__xludf.DUMMYFUNCTION("""COMPUTED_VALUE"""),"Cx")</f>
        <v>Cx</v>
      </c>
      <c r="K1660" s="9" t="str">
        <f>IFERROR(__xludf.DUMMYFUNCTION("""COMPUTED_VALUE"""),"PACx")</f>
        <v>PACx</v>
      </c>
      <c r="L1660" s="9" t="str">
        <f>IFERROR(__xludf.DUMMYFUNCTION("""COMPUTED_VALUE"""),"PArCx")</f>
        <v>PArCx</v>
      </c>
      <c r="M1660" s="9" t="str">
        <f>IFERROR(__xludf.DUMMYFUNCTION("""COMPUTED_VALUE"""),"PrS")</f>
        <v>PrS</v>
      </c>
      <c r="N1660" s="9" t="str">
        <f>IFERROR(__xludf.DUMMYFUNCTION("""COMPUTED_VALUE"""),"PrSc")</f>
        <v>PrSc</v>
      </c>
      <c r="O1660" s="9" t="str">
        <f>IFERROR(__xludf.DUMMYFUNCTION("""COMPUTED_VALUE"""),"PrScs")</f>
        <v>PrScs</v>
      </c>
      <c r="P1660" s="9"/>
      <c r="Q1660" s="9"/>
      <c r="R1660" s="9"/>
      <c r="S1660" s="42" t="str">
        <f>IFERROR(__xludf.DUMMYFUNCTION("""COMPUTED_VALUE"""),"PrSc2;
PrSc3")</f>
        <v>PrSc2;
PrSc3</v>
      </c>
      <c r="T1660" s="42"/>
      <c r="U1660" s="42" t="b">
        <f>IFERROR(__xludf.DUMMYFUNCTION("""COMPUTED_VALUE"""),FALSE)</f>
        <v>0</v>
      </c>
      <c r="V1660" s="42"/>
      <c r="W1660" s="42"/>
      <c r="X1660" s="42"/>
      <c r="Y1660" s="42"/>
      <c r="Z1660" s="42"/>
      <c r="AA1660" s="42"/>
      <c r="AB1660" s="42" t="str">
        <f>IFERROR(__xludf.DUMMYFUNCTION("""COMPUTED_VALUE"""),"allen institute")</f>
        <v>allen institute</v>
      </c>
      <c r="AC1660" s="42" t="str">
        <f>IFERROR(__xludf.DUMMYFUNCTION("""COMPUTED_VALUE"""),"DHBA")</f>
        <v>DHBA</v>
      </c>
      <c r="AD1660" s="42"/>
      <c r="AE1660" s="42"/>
      <c r="AF1660" s="9"/>
      <c r="AG1660" s="9"/>
      <c r="AH1660" s="42"/>
      <c r="AI1660" s="42"/>
      <c r="AJ1660" s="42"/>
      <c r="AK1660" s="42"/>
      <c r="AL1660" s="42"/>
      <c r="AM1660" s="42"/>
      <c r="AN1660" s="42"/>
      <c r="AO1660" s="63" t="str">
        <f>IFERROR(__xludf.DUMMYFUNCTION("IF(ISBLANK(A1660),,IF(ISBLANK(S1660), A1660&amp;"";"", TEXTJOIN(CHAR(10), TRUE, A1660&amp;"";"", ARRAYFORMULA(VLOOKUP(SPLIT(S1660, "";"" &amp; CHAR(10)), $A:$AO, 41, FALSE)))))"),"PrScs;
PrSc2;
PrSc3;")</f>
        <v>PrScs;
PrSc2;
PrSc3;</v>
      </c>
      <c r="AP1660" s="89"/>
    </row>
    <row r="1661">
      <c r="A1661" s="151" t="str">
        <f>IFERROR(__xludf.DUMMYFUNCTION("""COMPUTED_VALUE"""),"PrSc2")</f>
        <v>PrSc2</v>
      </c>
      <c r="B1661" s="42" t="str">
        <f>IFERROR(__xludf.DUMMYFUNCTION("""COMPUTED_VALUE"""),"DHBA")</f>
        <v>DHBA</v>
      </c>
      <c r="C1661" s="42" t="str">
        <f>IFERROR(__xludf.DUMMYFUNCTION("""COMPUTED_VALUE"""),"layer II of caudal presubiculum")</f>
        <v>layer II of caudal presubiculum</v>
      </c>
      <c r="D1661" s="42">
        <f>IFERROR(__xludf.DUMMYFUNCTION("""COMPUTED_VALUE"""),1562.0)</f>
        <v>1562</v>
      </c>
      <c r="E1661" s="39" t="str">
        <f>IFERROR(__xludf.DUMMYFUNCTION("""COMPUTED_VALUE"""),"layer II of caudal presubiculum")</f>
        <v>layer II of caudal presubiculum</v>
      </c>
      <c r="F1661" s="9" t="str">
        <f>IFERROR(__xludf.DUMMYFUNCTION("""COMPUTED_VALUE"""),"Br")</f>
        <v>Br</v>
      </c>
      <c r="G1661" s="9" t="str">
        <f>IFERROR(__xludf.DUMMYFUNCTION("""COMPUTED_VALUE"""),"F")</f>
        <v>F</v>
      </c>
      <c r="H1661" s="9" t="str">
        <f>IFERROR(__xludf.DUMMYFUNCTION("""COMPUTED_VALUE"""),"FGM")</f>
        <v>FGM</v>
      </c>
      <c r="I1661" s="9" t="str">
        <f>IFERROR(__xludf.DUMMYFUNCTION("""COMPUTED_VALUE"""),"Tel")</f>
        <v>Tel</v>
      </c>
      <c r="J1661" s="9" t="str">
        <f>IFERROR(__xludf.DUMMYFUNCTION("""COMPUTED_VALUE"""),"Cx")</f>
        <v>Cx</v>
      </c>
      <c r="K1661" s="9" t="str">
        <f>IFERROR(__xludf.DUMMYFUNCTION("""COMPUTED_VALUE"""),"PACx")</f>
        <v>PACx</v>
      </c>
      <c r="L1661" s="9" t="str">
        <f>IFERROR(__xludf.DUMMYFUNCTION("""COMPUTED_VALUE"""),"PArCx")</f>
        <v>PArCx</v>
      </c>
      <c r="M1661" s="9" t="str">
        <f>IFERROR(__xludf.DUMMYFUNCTION("""COMPUTED_VALUE"""),"PrS")</f>
        <v>PrS</v>
      </c>
      <c r="N1661" s="9" t="str">
        <f>IFERROR(__xludf.DUMMYFUNCTION("""COMPUTED_VALUE"""),"PrSc")</f>
        <v>PrSc</v>
      </c>
      <c r="O1661" s="9" t="str">
        <f>IFERROR(__xludf.DUMMYFUNCTION("""COMPUTED_VALUE"""),"PrScs")</f>
        <v>PrScs</v>
      </c>
      <c r="P1661" s="9" t="str">
        <f>IFERROR(__xludf.DUMMYFUNCTION("""COMPUTED_VALUE"""),"PrSc2")</f>
        <v>PrSc2</v>
      </c>
      <c r="Q1661" s="9"/>
      <c r="R1661" s="9"/>
      <c r="S1661" s="42"/>
      <c r="T1661" s="42"/>
      <c r="U1661" s="42"/>
      <c r="V1661" s="42"/>
      <c r="W1661" s="42"/>
      <c r="X1661" s="42"/>
      <c r="Y1661" s="42"/>
      <c r="Z1661" s="42"/>
      <c r="AA1661" s="42"/>
      <c r="AB1661" s="42" t="str">
        <f>IFERROR(__xludf.DUMMYFUNCTION("""COMPUTED_VALUE"""),"allen institute")</f>
        <v>allen institute</v>
      </c>
      <c r="AC1661" s="42" t="str">
        <f>IFERROR(__xludf.DUMMYFUNCTION("""COMPUTED_VALUE"""),"DHBA")</f>
        <v>DHBA</v>
      </c>
      <c r="AD1661" s="42"/>
      <c r="AE1661" s="42"/>
      <c r="AF1661" s="9"/>
      <c r="AG1661" s="9"/>
      <c r="AH1661" s="42"/>
      <c r="AI1661" s="42"/>
      <c r="AJ1661" s="42"/>
      <c r="AK1661" s="42"/>
      <c r="AL1661" s="42"/>
      <c r="AM1661" s="42"/>
      <c r="AN1661" s="42"/>
      <c r="AO1661" s="63" t="str">
        <f>IFERROR(__xludf.DUMMYFUNCTION("IF(ISBLANK(A1661),,IF(ISBLANK(S1661), A1661&amp;"";"", TEXTJOIN(CHAR(10), TRUE, A1661&amp;"";"", ARRAYFORMULA(VLOOKUP(SPLIT(S1661, "";"" &amp; CHAR(10)), $A:$AO, 41, FALSE)))))"),"PrSc2;")</f>
        <v>PrSc2;</v>
      </c>
      <c r="AP1661" s="89"/>
    </row>
    <row r="1662">
      <c r="A1662" s="151" t="str">
        <f>IFERROR(__xludf.DUMMYFUNCTION("""COMPUTED_VALUE"""),"PrSc3")</f>
        <v>PrSc3</v>
      </c>
      <c r="B1662" s="42" t="str">
        <f>IFERROR(__xludf.DUMMYFUNCTION("""COMPUTED_VALUE"""),"DHBA")</f>
        <v>DHBA</v>
      </c>
      <c r="C1662" s="42" t="str">
        <f>IFERROR(__xludf.DUMMYFUNCTION("""COMPUTED_VALUE"""),"layer III of caudal presubiculum")</f>
        <v>layer III of caudal presubiculum</v>
      </c>
      <c r="D1662" s="42">
        <f>IFERROR(__xludf.DUMMYFUNCTION("""COMPUTED_VALUE"""),1563.0)</f>
        <v>1563</v>
      </c>
      <c r="E1662" s="39" t="str">
        <f>IFERROR(__xludf.DUMMYFUNCTION("""COMPUTED_VALUE"""),"layer III of caudal presubiculum")</f>
        <v>layer III of caudal presubiculum</v>
      </c>
      <c r="F1662" s="9" t="str">
        <f>IFERROR(__xludf.DUMMYFUNCTION("""COMPUTED_VALUE"""),"Br")</f>
        <v>Br</v>
      </c>
      <c r="G1662" s="9" t="str">
        <f>IFERROR(__xludf.DUMMYFUNCTION("""COMPUTED_VALUE"""),"F")</f>
        <v>F</v>
      </c>
      <c r="H1662" s="9" t="str">
        <f>IFERROR(__xludf.DUMMYFUNCTION("""COMPUTED_VALUE"""),"FGM")</f>
        <v>FGM</v>
      </c>
      <c r="I1662" s="9" t="str">
        <f>IFERROR(__xludf.DUMMYFUNCTION("""COMPUTED_VALUE"""),"Tel")</f>
        <v>Tel</v>
      </c>
      <c r="J1662" s="9" t="str">
        <f>IFERROR(__xludf.DUMMYFUNCTION("""COMPUTED_VALUE"""),"Cx")</f>
        <v>Cx</v>
      </c>
      <c r="K1662" s="9" t="str">
        <f>IFERROR(__xludf.DUMMYFUNCTION("""COMPUTED_VALUE"""),"PACx")</f>
        <v>PACx</v>
      </c>
      <c r="L1662" s="9" t="str">
        <f>IFERROR(__xludf.DUMMYFUNCTION("""COMPUTED_VALUE"""),"PArCx")</f>
        <v>PArCx</v>
      </c>
      <c r="M1662" s="9" t="str">
        <f>IFERROR(__xludf.DUMMYFUNCTION("""COMPUTED_VALUE"""),"PrS")</f>
        <v>PrS</v>
      </c>
      <c r="N1662" s="9" t="str">
        <f>IFERROR(__xludf.DUMMYFUNCTION("""COMPUTED_VALUE"""),"PrSc")</f>
        <v>PrSc</v>
      </c>
      <c r="O1662" s="9" t="str">
        <f>IFERROR(__xludf.DUMMYFUNCTION("""COMPUTED_VALUE"""),"PrScs")</f>
        <v>PrScs</v>
      </c>
      <c r="P1662" s="9" t="str">
        <f>IFERROR(__xludf.DUMMYFUNCTION("""COMPUTED_VALUE"""),"PrSc3")</f>
        <v>PrSc3</v>
      </c>
      <c r="Q1662" s="9"/>
      <c r="R1662" s="9"/>
      <c r="S1662" s="42"/>
      <c r="T1662" s="42"/>
      <c r="U1662" s="42"/>
      <c r="V1662" s="42"/>
      <c r="W1662" s="42"/>
      <c r="X1662" s="42"/>
      <c r="Y1662" s="42"/>
      <c r="Z1662" s="42"/>
      <c r="AA1662" s="42"/>
      <c r="AB1662" s="42" t="str">
        <f>IFERROR(__xludf.DUMMYFUNCTION("""COMPUTED_VALUE"""),"allen institute")</f>
        <v>allen institute</v>
      </c>
      <c r="AC1662" s="42" t="str">
        <f>IFERROR(__xludf.DUMMYFUNCTION("""COMPUTED_VALUE"""),"DHBA")</f>
        <v>DHBA</v>
      </c>
      <c r="AD1662" s="42"/>
      <c r="AE1662" s="42"/>
      <c r="AF1662" s="9"/>
      <c r="AG1662" s="9"/>
      <c r="AH1662" s="42"/>
      <c r="AI1662" s="42"/>
      <c r="AJ1662" s="42"/>
      <c r="AK1662" s="42"/>
      <c r="AL1662" s="42"/>
      <c r="AM1662" s="42"/>
      <c r="AN1662" s="42"/>
      <c r="AO1662" s="63" t="str">
        <f>IFERROR(__xludf.DUMMYFUNCTION("IF(ISBLANK(A1662),,IF(ISBLANK(S1662), A1662&amp;"";"", TEXTJOIN(CHAR(10), TRUE, A1662&amp;"";"", ARRAYFORMULA(VLOOKUP(SPLIT(S1662, "";"" &amp; CHAR(10)), $A:$AO, 41, FALSE)))))"),"PrSc3;")</f>
        <v>PrSc3;</v>
      </c>
      <c r="AP1662" s="89"/>
    </row>
    <row r="1663">
      <c r="A1663" s="151" t="str">
        <f>IFERROR(__xludf.DUMMYFUNCTION("""COMPUTED_VALUE"""),"PrScld")</f>
        <v>PrScld</v>
      </c>
      <c r="B1663" s="42" t="str">
        <f>IFERROR(__xludf.DUMMYFUNCTION("""COMPUTED_VALUE"""),"DHBA")</f>
        <v>DHBA</v>
      </c>
      <c r="C1663" s="42" t="str">
        <f>IFERROR(__xludf.DUMMYFUNCTION("""COMPUTED_VALUE"""),"lamina dissecans of caudal presubiculum")</f>
        <v>lamina dissecans of caudal presubiculum</v>
      </c>
      <c r="D1663" s="42">
        <f>IFERROR(__xludf.DUMMYFUNCTION("""COMPUTED_VALUE"""),1564.0)</f>
        <v>1564</v>
      </c>
      <c r="E1663" s="39" t="str">
        <f>IFERROR(__xludf.DUMMYFUNCTION("""COMPUTED_VALUE"""),"lamina dissecans of caudal presubiculum")</f>
        <v>lamina dissecans of caudal presubiculum</v>
      </c>
      <c r="F1663" s="9" t="str">
        <f>IFERROR(__xludf.DUMMYFUNCTION("""COMPUTED_VALUE"""),"Br")</f>
        <v>Br</v>
      </c>
      <c r="G1663" s="9" t="str">
        <f>IFERROR(__xludf.DUMMYFUNCTION("""COMPUTED_VALUE"""),"F")</f>
        <v>F</v>
      </c>
      <c r="H1663" s="9" t="str">
        <f>IFERROR(__xludf.DUMMYFUNCTION("""COMPUTED_VALUE"""),"FGM")</f>
        <v>FGM</v>
      </c>
      <c r="I1663" s="9" t="str">
        <f>IFERROR(__xludf.DUMMYFUNCTION("""COMPUTED_VALUE"""),"Tel")</f>
        <v>Tel</v>
      </c>
      <c r="J1663" s="9" t="str">
        <f>IFERROR(__xludf.DUMMYFUNCTION("""COMPUTED_VALUE"""),"Cx")</f>
        <v>Cx</v>
      </c>
      <c r="K1663" s="9" t="str">
        <f>IFERROR(__xludf.DUMMYFUNCTION("""COMPUTED_VALUE"""),"PACx")</f>
        <v>PACx</v>
      </c>
      <c r="L1663" s="9" t="str">
        <f>IFERROR(__xludf.DUMMYFUNCTION("""COMPUTED_VALUE"""),"PArCx")</f>
        <v>PArCx</v>
      </c>
      <c r="M1663" s="9" t="str">
        <f>IFERROR(__xludf.DUMMYFUNCTION("""COMPUTED_VALUE"""),"PrS")</f>
        <v>PrS</v>
      </c>
      <c r="N1663" s="9" t="str">
        <f>IFERROR(__xludf.DUMMYFUNCTION("""COMPUTED_VALUE"""),"PrSc")</f>
        <v>PrSc</v>
      </c>
      <c r="O1663" s="9" t="str">
        <f>IFERROR(__xludf.DUMMYFUNCTION("""COMPUTED_VALUE"""),"PrScld")</f>
        <v>PrScld</v>
      </c>
      <c r="P1663" s="9"/>
      <c r="Q1663" s="9"/>
      <c r="R1663" s="9"/>
      <c r="S1663" s="42"/>
      <c r="T1663" s="42"/>
      <c r="U1663" s="42"/>
      <c r="V1663" s="42"/>
      <c r="W1663" s="42"/>
      <c r="X1663" s="42"/>
      <c r="Y1663" s="42"/>
      <c r="Z1663" s="42"/>
      <c r="AA1663" s="42"/>
      <c r="AB1663" s="42" t="str">
        <f>IFERROR(__xludf.DUMMYFUNCTION("""COMPUTED_VALUE"""),"allen institute")</f>
        <v>allen institute</v>
      </c>
      <c r="AC1663" s="42" t="str">
        <f>IFERROR(__xludf.DUMMYFUNCTION("""COMPUTED_VALUE"""),"DHBA")</f>
        <v>DHBA</v>
      </c>
      <c r="AD1663" s="42"/>
      <c r="AE1663" s="42"/>
      <c r="AF1663" s="9"/>
      <c r="AG1663" s="9"/>
      <c r="AH1663" s="42"/>
      <c r="AI1663" s="42"/>
      <c r="AJ1663" s="42"/>
      <c r="AK1663" s="42"/>
      <c r="AL1663" s="42"/>
      <c r="AM1663" s="42"/>
      <c r="AN1663" s="42"/>
      <c r="AO1663" s="63" t="str">
        <f>IFERROR(__xludf.DUMMYFUNCTION("IF(ISBLANK(A1663),,IF(ISBLANK(S1663), A1663&amp;"";"", TEXTJOIN(CHAR(10), TRUE, A1663&amp;"";"", ARRAYFORMULA(VLOOKUP(SPLIT(S1663, "";"" &amp; CHAR(10)), $A:$AO, 41, FALSE)))))"),"PrScld;")</f>
        <v>PrScld;</v>
      </c>
      <c r="AP1663" s="89"/>
    </row>
    <row r="1664">
      <c r="A1664" s="151" t="str">
        <f>IFERROR(__xludf.DUMMYFUNCTION("""COMPUTED_VALUE"""),"PrScd")</f>
        <v>PrScd</v>
      </c>
      <c r="B1664" s="42" t="str">
        <f>IFERROR(__xludf.DUMMYFUNCTION("""COMPUTED_VALUE"""),"DHBA")</f>
        <v>DHBA</v>
      </c>
      <c r="C1664" s="42" t="str">
        <f>IFERROR(__xludf.DUMMYFUNCTION("""COMPUTED_VALUE"""),"deep layers of caudal presubiculum")</f>
        <v>deep layers of caudal presubiculum</v>
      </c>
      <c r="D1664" s="42">
        <f>IFERROR(__xludf.DUMMYFUNCTION("""COMPUTED_VALUE"""),1565.0)</f>
        <v>1565</v>
      </c>
      <c r="E1664" s="39" t="str">
        <f>IFERROR(__xludf.DUMMYFUNCTION("""COMPUTED_VALUE"""),"deep layers of caudal presubiculum")</f>
        <v>deep layers of caudal presubiculum</v>
      </c>
      <c r="F1664" s="9" t="str">
        <f>IFERROR(__xludf.DUMMYFUNCTION("""COMPUTED_VALUE"""),"Br")</f>
        <v>Br</v>
      </c>
      <c r="G1664" s="9" t="str">
        <f>IFERROR(__xludf.DUMMYFUNCTION("""COMPUTED_VALUE"""),"F")</f>
        <v>F</v>
      </c>
      <c r="H1664" s="9" t="str">
        <f>IFERROR(__xludf.DUMMYFUNCTION("""COMPUTED_VALUE"""),"FGM")</f>
        <v>FGM</v>
      </c>
      <c r="I1664" s="9" t="str">
        <f>IFERROR(__xludf.DUMMYFUNCTION("""COMPUTED_VALUE"""),"Tel")</f>
        <v>Tel</v>
      </c>
      <c r="J1664" s="9" t="str">
        <f>IFERROR(__xludf.DUMMYFUNCTION("""COMPUTED_VALUE"""),"Cx")</f>
        <v>Cx</v>
      </c>
      <c r="K1664" s="9" t="str">
        <f>IFERROR(__xludf.DUMMYFUNCTION("""COMPUTED_VALUE"""),"PACx")</f>
        <v>PACx</v>
      </c>
      <c r="L1664" s="9" t="str">
        <f>IFERROR(__xludf.DUMMYFUNCTION("""COMPUTED_VALUE"""),"PArCx")</f>
        <v>PArCx</v>
      </c>
      <c r="M1664" s="9" t="str">
        <f>IFERROR(__xludf.DUMMYFUNCTION("""COMPUTED_VALUE"""),"PrS")</f>
        <v>PrS</v>
      </c>
      <c r="N1664" s="9" t="str">
        <f>IFERROR(__xludf.DUMMYFUNCTION("""COMPUTED_VALUE"""),"PrSc")</f>
        <v>PrSc</v>
      </c>
      <c r="O1664" s="9" t="str">
        <f>IFERROR(__xludf.DUMMYFUNCTION("""COMPUTED_VALUE"""),"PrScd")</f>
        <v>PrScd</v>
      </c>
      <c r="P1664" s="9"/>
      <c r="Q1664" s="9"/>
      <c r="R1664" s="9"/>
      <c r="S1664" s="42" t="str">
        <f>IFERROR(__xludf.DUMMYFUNCTION("""COMPUTED_VALUE"""),"PrSc5;
PrSc6")</f>
        <v>PrSc5;
PrSc6</v>
      </c>
      <c r="T1664" s="42"/>
      <c r="U1664" s="42" t="b">
        <f>IFERROR(__xludf.DUMMYFUNCTION("""COMPUTED_VALUE"""),FALSE)</f>
        <v>0</v>
      </c>
      <c r="V1664" s="42"/>
      <c r="W1664" s="42"/>
      <c r="X1664" s="42"/>
      <c r="Y1664" s="42"/>
      <c r="Z1664" s="42"/>
      <c r="AA1664" s="42"/>
      <c r="AB1664" s="42" t="str">
        <f>IFERROR(__xludf.DUMMYFUNCTION("""COMPUTED_VALUE"""),"allen institute")</f>
        <v>allen institute</v>
      </c>
      <c r="AC1664" s="42" t="str">
        <f>IFERROR(__xludf.DUMMYFUNCTION("""COMPUTED_VALUE"""),"DHBA")</f>
        <v>DHBA</v>
      </c>
      <c r="AD1664" s="42"/>
      <c r="AE1664" s="42"/>
      <c r="AF1664" s="9"/>
      <c r="AG1664" s="9"/>
      <c r="AH1664" s="42"/>
      <c r="AI1664" s="42"/>
      <c r="AJ1664" s="42"/>
      <c r="AK1664" s="42"/>
      <c r="AL1664" s="42"/>
      <c r="AM1664" s="42"/>
      <c r="AN1664" s="42"/>
      <c r="AO1664" s="63" t="str">
        <f>IFERROR(__xludf.DUMMYFUNCTION("IF(ISBLANK(A1664),,IF(ISBLANK(S1664), A1664&amp;"";"", TEXTJOIN(CHAR(10), TRUE, A1664&amp;"";"", ARRAYFORMULA(VLOOKUP(SPLIT(S1664, "";"" &amp; CHAR(10)), $A:$AO, 41, FALSE)))))"),"PrScd;
PrSc5;
PrSc6;")</f>
        <v>PrScd;
PrSc5;
PrSc6;</v>
      </c>
      <c r="AP1664" s="89"/>
    </row>
    <row r="1665">
      <c r="A1665" s="151" t="str">
        <f>IFERROR(__xludf.DUMMYFUNCTION("""COMPUTED_VALUE"""),"PrSc5")</f>
        <v>PrSc5</v>
      </c>
      <c r="B1665" s="42" t="str">
        <f>IFERROR(__xludf.DUMMYFUNCTION("""COMPUTED_VALUE"""),"DHBA")</f>
        <v>DHBA</v>
      </c>
      <c r="C1665" s="42" t="str">
        <f>IFERROR(__xludf.DUMMYFUNCTION("""COMPUTED_VALUE"""),"layer V of caudal presubiculum")</f>
        <v>layer V of caudal presubiculum</v>
      </c>
      <c r="D1665" s="42">
        <f>IFERROR(__xludf.DUMMYFUNCTION("""COMPUTED_VALUE"""),1566.0)</f>
        <v>1566</v>
      </c>
      <c r="E1665" s="39" t="str">
        <f>IFERROR(__xludf.DUMMYFUNCTION("""COMPUTED_VALUE"""),"layer V of caudal presubiculum")</f>
        <v>layer V of caudal presubiculum</v>
      </c>
      <c r="F1665" s="9" t="str">
        <f>IFERROR(__xludf.DUMMYFUNCTION("""COMPUTED_VALUE"""),"Br")</f>
        <v>Br</v>
      </c>
      <c r="G1665" s="9" t="str">
        <f>IFERROR(__xludf.DUMMYFUNCTION("""COMPUTED_VALUE"""),"F")</f>
        <v>F</v>
      </c>
      <c r="H1665" s="9" t="str">
        <f>IFERROR(__xludf.DUMMYFUNCTION("""COMPUTED_VALUE"""),"FGM")</f>
        <v>FGM</v>
      </c>
      <c r="I1665" s="9" t="str">
        <f>IFERROR(__xludf.DUMMYFUNCTION("""COMPUTED_VALUE"""),"Tel")</f>
        <v>Tel</v>
      </c>
      <c r="J1665" s="9" t="str">
        <f>IFERROR(__xludf.DUMMYFUNCTION("""COMPUTED_VALUE"""),"Cx")</f>
        <v>Cx</v>
      </c>
      <c r="K1665" s="9" t="str">
        <f>IFERROR(__xludf.DUMMYFUNCTION("""COMPUTED_VALUE"""),"PACx")</f>
        <v>PACx</v>
      </c>
      <c r="L1665" s="9" t="str">
        <f>IFERROR(__xludf.DUMMYFUNCTION("""COMPUTED_VALUE"""),"PArCx")</f>
        <v>PArCx</v>
      </c>
      <c r="M1665" s="9" t="str">
        <f>IFERROR(__xludf.DUMMYFUNCTION("""COMPUTED_VALUE"""),"PrS")</f>
        <v>PrS</v>
      </c>
      <c r="N1665" s="9" t="str">
        <f>IFERROR(__xludf.DUMMYFUNCTION("""COMPUTED_VALUE"""),"PrSc")</f>
        <v>PrSc</v>
      </c>
      <c r="O1665" s="9" t="str">
        <f>IFERROR(__xludf.DUMMYFUNCTION("""COMPUTED_VALUE"""),"PrScd")</f>
        <v>PrScd</v>
      </c>
      <c r="P1665" s="9" t="str">
        <f>IFERROR(__xludf.DUMMYFUNCTION("""COMPUTED_VALUE"""),"PrSc5")</f>
        <v>PrSc5</v>
      </c>
      <c r="Q1665" s="9"/>
      <c r="R1665" s="9"/>
      <c r="S1665" s="42"/>
      <c r="T1665" s="42"/>
      <c r="U1665" s="159"/>
      <c r="V1665" s="42"/>
      <c r="W1665" s="42"/>
      <c r="X1665" s="42"/>
      <c r="Y1665" s="42"/>
      <c r="Z1665" s="42"/>
      <c r="AA1665" s="42"/>
      <c r="AB1665" s="42" t="str">
        <f>IFERROR(__xludf.DUMMYFUNCTION("""COMPUTED_VALUE"""),"allen institute")</f>
        <v>allen institute</v>
      </c>
      <c r="AC1665" s="42" t="str">
        <f>IFERROR(__xludf.DUMMYFUNCTION("""COMPUTED_VALUE"""),"DHBA")</f>
        <v>DHBA</v>
      </c>
      <c r="AD1665" s="42"/>
      <c r="AE1665" s="42"/>
      <c r="AF1665" s="9"/>
      <c r="AG1665" s="9"/>
      <c r="AH1665" s="42"/>
      <c r="AI1665" s="42"/>
      <c r="AJ1665" s="42"/>
      <c r="AK1665" s="42"/>
      <c r="AL1665" s="42"/>
      <c r="AM1665" s="42"/>
      <c r="AN1665" s="42"/>
      <c r="AO1665" s="63" t="str">
        <f>IFERROR(__xludf.DUMMYFUNCTION("IF(ISBLANK(A1665),,IF(ISBLANK(S1665), A1665&amp;"";"", TEXTJOIN(CHAR(10), TRUE, A1665&amp;"";"", ARRAYFORMULA(VLOOKUP(SPLIT(S1665, "";"" &amp; CHAR(10)), $A:$AO, 41, FALSE)))))"),"PrSc5;")</f>
        <v>PrSc5;</v>
      </c>
      <c r="AP1665" s="89"/>
    </row>
    <row r="1666">
      <c r="A1666" s="151" t="str">
        <f>IFERROR(__xludf.DUMMYFUNCTION("""COMPUTED_VALUE"""),"PrSc6")</f>
        <v>PrSc6</v>
      </c>
      <c r="B1666" s="42" t="str">
        <f>IFERROR(__xludf.DUMMYFUNCTION("""COMPUTED_VALUE"""),"DHBA")</f>
        <v>DHBA</v>
      </c>
      <c r="C1666" s="42" t="str">
        <f>IFERROR(__xludf.DUMMYFUNCTION("""COMPUTED_VALUE"""),"layer VI of caudal presubiculum")</f>
        <v>layer VI of caudal presubiculum</v>
      </c>
      <c r="D1666" s="42">
        <f>IFERROR(__xludf.DUMMYFUNCTION("""COMPUTED_VALUE"""),1567.0)</f>
        <v>1567</v>
      </c>
      <c r="E1666" s="39" t="str">
        <f>IFERROR(__xludf.DUMMYFUNCTION("""COMPUTED_VALUE"""),"layer VI of caudal presubiculum")</f>
        <v>layer VI of caudal presubiculum</v>
      </c>
      <c r="F1666" s="9" t="str">
        <f>IFERROR(__xludf.DUMMYFUNCTION("""COMPUTED_VALUE"""),"Br")</f>
        <v>Br</v>
      </c>
      <c r="G1666" s="9" t="str">
        <f>IFERROR(__xludf.DUMMYFUNCTION("""COMPUTED_VALUE"""),"F")</f>
        <v>F</v>
      </c>
      <c r="H1666" s="9" t="str">
        <f>IFERROR(__xludf.DUMMYFUNCTION("""COMPUTED_VALUE"""),"FGM")</f>
        <v>FGM</v>
      </c>
      <c r="I1666" s="9" t="str">
        <f>IFERROR(__xludf.DUMMYFUNCTION("""COMPUTED_VALUE"""),"Tel")</f>
        <v>Tel</v>
      </c>
      <c r="J1666" s="9" t="str">
        <f>IFERROR(__xludf.DUMMYFUNCTION("""COMPUTED_VALUE"""),"Cx")</f>
        <v>Cx</v>
      </c>
      <c r="K1666" s="9" t="str">
        <f>IFERROR(__xludf.DUMMYFUNCTION("""COMPUTED_VALUE"""),"PACx")</f>
        <v>PACx</v>
      </c>
      <c r="L1666" s="9" t="str">
        <f>IFERROR(__xludf.DUMMYFUNCTION("""COMPUTED_VALUE"""),"PArCx")</f>
        <v>PArCx</v>
      </c>
      <c r="M1666" s="9" t="str">
        <f>IFERROR(__xludf.DUMMYFUNCTION("""COMPUTED_VALUE"""),"PrS")</f>
        <v>PrS</v>
      </c>
      <c r="N1666" s="9" t="str">
        <f>IFERROR(__xludf.DUMMYFUNCTION("""COMPUTED_VALUE"""),"PrSc")</f>
        <v>PrSc</v>
      </c>
      <c r="O1666" s="9" t="str">
        <f>IFERROR(__xludf.DUMMYFUNCTION("""COMPUTED_VALUE"""),"PrScd")</f>
        <v>PrScd</v>
      </c>
      <c r="P1666" s="9" t="str">
        <f>IFERROR(__xludf.DUMMYFUNCTION("""COMPUTED_VALUE"""),"PrSc6")</f>
        <v>PrSc6</v>
      </c>
      <c r="Q1666" s="9"/>
      <c r="R1666" s="9"/>
      <c r="S1666" s="42"/>
      <c r="T1666" s="42"/>
      <c r="U1666" s="42"/>
      <c r="V1666" s="42"/>
      <c r="W1666" s="42"/>
      <c r="X1666" s="42"/>
      <c r="Y1666" s="42"/>
      <c r="Z1666" s="42"/>
      <c r="AA1666" s="42"/>
      <c r="AB1666" s="42" t="str">
        <f>IFERROR(__xludf.DUMMYFUNCTION("""COMPUTED_VALUE"""),"allen institute")</f>
        <v>allen institute</v>
      </c>
      <c r="AC1666" s="42" t="str">
        <f>IFERROR(__xludf.DUMMYFUNCTION("""COMPUTED_VALUE"""),"DHBA")</f>
        <v>DHBA</v>
      </c>
      <c r="AD1666" s="42"/>
      <c r="AE1666" s="42"/>
      <c r="AF1666" s="9"/>
      <c r="AG1666" s="9"/>
      <c r="AH1666" s="42"/>
      <c r="AI1666" s="42"/>
      <c r="AJ1666" s="42"/>
      <c r="AK1666" s="42"/>
      <c r="AL1666" s="42"/>
      <c r="AM1666" s="42"/>
      <c r="AN1666" s="42"/>
      <c r="AO1666" s="63" t="str">
        <f>IFERROR(__xludf.DUMMYFUNCTION("IF(ISBLANK(A1666),,IF(ISBLANK(S1666), A1666&amp;"";"", TEXTJOIN(CHAR(10), TRUE, A1666&amp;"";"", ARRAYFORMULA(VLOOKUP(SPLIT(S1666, "";"" &amp; CHAR(10)), $A:$AO, 41, FALSE)))))"),"PrSc6;")</f>
        <v>PrSc6;</v>
      </c>
      <c r="AP1666" s="89"/>
    </row>
    <row r="1667">
      <c r="A1667" s="151" t="str">
        <f>IFERROR(__xludf.DUMMYFUNCTION("""COMPUTED_VALUE"""),"RSC")</f>
        <v>RSC</v>
      </c>
      <c r="B1667" s="42" t="str">
        <f>IFERROR(__xludf.DUMMYFUNCTION("""COMPUTED_VALUE"""),"DHBA")</f>
        <v>DHBA</v>
      </c>
      <c r="C1667" s="42" t="str">
        <f>IFERROR(__xludf.DUMMYFUNCTION("""COMPUTED_VALUE"""),"retrosphlenial cortex")</f>
        <v>retrosphlenial cortex</v>
      </c>
      <c r="D1667" s="42">
        <f>IFERROR(__xludf.DUMMYFUNCTION("""COMPUTED_VALUE"""),1568.0)</f>
        <v>1568</v>
      </c>
      <c r="E1667" s="39" t="str">
        <f>IFERROR(__xludf.DUMMYFUNCTION("""COMPUTED_VALUE"""),"retrosplenial cortex")</f>
        <v>retrosplenial cortex</v>
      </c>
      <c r="F1667" s="9" t="str">
        <f>IFERROR(__xludf.DUMMYFUNCTION("""COMPUTED_VALUE"""),"Br")</f>
        <v>Br</v>
      </c>
      <c r="G1667" s="9" t="str">
        <f>IFERROR(__xludf.DUMMYFUNCTION("""COMPUTED_VALUE"""),"F")</f>
        <v>F</v>
      </c>
      <c r="H1667" s="9" t="str">
        <f>IFERROR(__xludf.DUMMYFUNCTION("""COMPUTED_VALUE"""),"FGM")</f>
        <v>FGM</v>
      </c>
      <c r="I1667" s="9" t="str">
        <f>IFERROR(__xludf.DUMMYFUNCTION("""COMPUTED_VALUE"""),"Tel")</f>
        <v>Tel</v>
      </c>
      <c r="J1667" s="9" t="str">
        <f>IFERROR(__xludf.DUMMYFUNCTION("""COMPUTED_VALUE"""),"Cx")</f>
        <v>Cx</v>
      </c>
      <c r="K1667" s="9" t="str">
        <f>IFERROR(__xludf.DUMMYFUNCTION("""COMPUTED_VALUE"""),"PACx")</f>
        <v>PACx</v>
      </c>
      <c r="L1667" s="9" t="str">
        <f>IFERROR(__xludf.DUMMYFUNCTION("""COMPUTED_VALUE"""),"PArCx")</f>
        <v>PArCx</v>
      </c>
      <c r="M1667" s="9" t="str">
        <f>IFERROR(__xludf.DUMMYFUNCTION("""COMPUTED_VALUE"""),"RSC")</f>
        <v>RSC</v>
      </c>
      <c r="N1667" s="9"/>
      <c r="O1667" s="9"/>
      <c r="P1667" s="9"/>
      <c r="Q1667" s="9"/>
      <c r="R1667" s="9"/>
      <c r="S1667" s="42" t="str">
        <f>IFERROR(__xludf.DUMMYFUNCTION("""COMPUTED_VALUE"""),"A29;
A30")</f>
        <v>A29;
A30</v>
      </c>
      <c r="T1667" s="42" t="str">
        <f>IFERROR(__xludf.DUMMYFUNCTION("""COMPUTED_VALUE"""),"isocortex")</f>
        <v>isocortex</v>
      </c>
      <c r="U1667" s="42" t="b">
        <f>IFERROR(__xludf.DUMMYFUNCTION("""COMPUTED_VALUE"""),FALSE)</f>
        <v>0</v>
      </c>
      <c r="V1667" s="42"/>
      <c r="W1667" s="42"/>
      <c r="X1667" s="42"/>
      <c r="Y1667" s="42" t="str">
        <f>IFERROR(__xludf.DUMMYFUNCTION("""COMPUTED_VALUE"""),"Head direction signal [author, year]")</f>
        <v>Head direction signal [author, year]</v>
      </c>
      <c r="Z1667" s="42"/>
      <c r="AA1667" s="42"/>
      <c r="AB1667" s="42" t="str">
        <f>IFERROR(__xludf.DUMMYFUNCTION("""COMPUTED_VALUE"""),"allen institute")</f>
        <v>allen institute</v>
      </c>
      <c r="AC1667" s="42" t="str">
        <f>IFERROR(__xludf.DUMMYFUNCTION("""COMPUTED_VALUE"""),"DHBA")</f>
        <v>DHBA</v>
      </c>
      <c r="AD1667" s="42"/>
      <c r="AE1667" s="42"/>
      <c r="AF1667" s="9"/>
      <c r="AG1667" s="9"/>
      <c r="AH1667" s="42"/>
      <c r="AI1667" s="42"/>
      <c r="AJ1667" s="42"/>
      <c r="AK1667" s="42"/>
      <c r="AL1667" s="42"/>
      <c r="AM1667" s="42"/>
      <c r="AN1667" s="42"/>
      <c r="AO1667" s="63" t="str">
        <f>IFERROR(__xludf.DUMMYFUNCTION("IF(ISBLANK(A1667),,IF(ISBLANK(S1667), A1667&amp;"";"", TEXTJOIN(CHAR(10), TRUE, A1667&amp;"";"", ARRAYFORMULA(VLOOKUP(SPLIT(S1667, "";"" &amp; CHAR(10)), $A:$AO, 41, FALSE)))))"),"#N/A")</f>
        <v>#N/A</v>
      </c>
      <c r="AP1667" s="89"/>
    </row>
    <row r="1668">
      <c r="A1668" s="151" t="str">
        <f>IFERROR(__xludf.DUMMYFUNCTION("""COMPUTED_VALUE"""),"RSC_uc1")</f>
        <v>RSC_uc1</v>
      </c>
      <c r="B1668" s="42" t="str">
        <f>IFERROR(__xludf.DUMMYFUNCTION("""COMPUTED_VALUE"""),"makeshift")</f>
        <v>makeshift</v>
      </c>
      <c r="C1668" s="42" t="str">
        <f>IFERROR(__xludf.DUMMYFUNCTION("""COMPUTED_VALUE"""),"retrosphlenial cortex, uniform circit 1")</f>
        <v>retrosphlenial cortex, uniform circit 1</v>
      </c>
      <c r="D1668" s="42">
        <f>IFERROR(__xludf.DUMMYFUNCTION("""COMPUTED_VALUE"""),1568.1)</f>
        <v>1568.1</v>
      </c>
      <c r="E1668" s="39" t="str">
        <f>IFERROR(__xludf.DUMMYFUNCTION("""COMPUTED_VALUE"""),"")</f>
        <v/>
      </c>
      <c r="F1668" s="9" t="str">
        <f>IFERROR(__xludf.DUMMYFUNCTION("""COMPUTED_VALUE"""),"")</f>
        <v/>
      </c>
      <c r="G1668" s="9" t="str">
        <f>IFERROR(__xludf.DUMMYFUNCTION("""COMPUTED_VALUE"""),"")</f>
        <v/>
      </c>
      <c r="H1668" s="9" t="str">
        <f>IFERROR(__xludf.DUMMYFUNCTION("""COMPUTED_VALUE"""),"")</f>
        <v/>
      </c>
      <c r="I1668" s="9" t="str">
        <f>IFERROR(__xludf.DUMMYFUNCTION("""COMPUTED_VALUE"""),"")</f>
        <v/>
      </c>
      <c r="J1668" s="9" t="str">
        <f>IFERROR(__xludf.DUMMYFUNCTION("""COMPUTED_VALUE"""),"")</f>
        <v/>
      </c>
      <c r="K1668" s="9" t="str">
        <f>IFERROR(__xludf.DUMMYFUNCTION("""COMPUTED_VALUE"""),"")</f>
        <v/>
      </c>
      <c r="L1668" s="9" t="str">
        <f>IFERROR(__xludf.DUMMYFUNCTION("""COMPUTED_VALUE"""),"")</f>
        <v/>
      </c>
      <c r="M1668" s="9" t="str">
        <f>IFERROR(__xludf.DUMMYFUNCTION("""COMPUTED_VALUE"""),"")</f>
        <v/>
      </c>
      <c r="N1668" s="9" t="str">
        <f>IFERROR(__xludf.DUMMYFUNCTION("""COMPUTED_VALUE"""),"")</f>
        <v/>
      </c>
      <c r="O1668" s="9" t="str">
        <f>IFERROR(__xludf.DUMMYFUNCTION("""COMPUTED_VALUE"""),"")</f>
        <v/>
      </c>
      <c r="P1668" s="9" t="str">
        <f>IFERROR(__xludf.DUMMYFUNCTION("""COMPUTED_VALUE"""),"")</f>
        <v/>
      </c>
      <c r="Q1668" s="9" t="str">
        <f>IFERROR(__xludf.DUMMYFUNCTION("""COMPUTED_VALUE"""),"")</f>
        <v/>
      </c>
      <c r="R1668" s="9" t="str">
        <f>IFERROR(__xludf.DUMMYFUNCTION("""COMPUTED_VALUE"""),"")</f>
        <v/>
      </c>
      <c r="S1668" s="42"/>
      <c r="T1668" s="42"/>
      <c r="U1668" s="42" t="b">
        <f>IFERROR(__xludf.DUMMYFUNCTION("""COMPUTED_VALUE"""),TRUE)</f>
        <v>1</v>
      </c>
      <c r="V1668" s="42"/>
      <c r="W1668" s="42"/>
      <c r="X1668" s="42"/>
      <c r="Y1668" s="42"/>
      <c r="Z1668" s="42"/>
      <c r="AA1668" s="42"/>
      <c r="AB1668" s="42" t="str">
        <f>IFERROR(__xludf.DUMMYFUNCTION("""COMPUTED_VALUE"""),"Ayako Fukawa")</f>
        <v>Ayako Fukawa</v>
      </c>
      <c r="AC1668" s="42" t="str">
        <f>IFERROR(__xludf.DUMMYFUNCTION("""COMPUTED_VALUE"""),"AT20HippocampalFormation")</f>
        <v>AT20HippocampalFormation</v>
      </c>
      <c r="AD1668" s="42"/>
      <c r="AE1668" s="42"/>
      <c r="AF1668" s="9"/>
      <c r="AG1668" s="9"/>
      <c r="AH1668" s="42"/>
      <c r="AI1668" s="42"/>
      <c r="AJ1668" s="42"/>
      <c r="AK1668" s="42"/>
      <c r="AL1668" s="42"/>
      <c r="AM1668" s="42"/>
      <c r="AN1668" s="42"/>
      <c r="AO1668" s="63" t="str">
        <f>IFERROR(__xludf.DUMMYFUNCTION("IF(ISBLANK(A1668),,IF(ISBLANK(S1668), A1668&amp;"";"", TEXTJOIN(CHAR(10), TRUE, A1668&amp;"";"", ARRAYFORMULA(VLOOKUP(SPLIT(S1668, "";"" &amp; CHAR(10)), $A:$AO, 41, FALSE)))))"),"RSC_uc1;")</f>
        <v>RSC_uc1;</v>
      </c>
      <c r="AP1668" s="89"/>
    </row>
    <row r="1669">
      <c r="A1669" s="151" t="str">
        <f>IFERROR(__xludf.DUMMYFUNCTION("""COMPUTED_VALUE"""),"A29")</f>
        <v>A29</v>
      </c>
      <c r="B1669" s="42" t="str">
        <f>IFERROR(__xludf.DUMMYFUNCTION("""COMPUTED_VALUE"""),"DHBA")</f>
        <v>DHBA</v>
      </c>
      <c r="C1669" s="42" t="str">
        <f>IFERROR(__xludf.DUMMYFUNCTION("""COMPUTED_VALUE"""),"area 29 of retrosplenial cortex")</f>
        <v>area 29 of retrosplenial cortex</v>
      </c>
      <c r="D1669" s="42">
        <f>IFERROR(__xludf.DUMMYFUNCTION("""COMPUTED_VALUE"""),1569.0)</f>
        <v>1569</v>
      </c>
      <c r="E1669" s="39" t="str">
        <f>IFERROR(__xludf.DUMMYFUNCTION("""COMPUTED_VALUE"""),"area 29 of retrosplenial cortex")</f>
        <v>area 29 of retrosplenial cortex</v>
      </c>
      <c r="F1669" s="9" t="str">
        <f>IFERROR(__xludf.DUMMYFUNCTION("""COMPUTED_VALUE"""),"Br")</f>
        <v>Br</v>
      </c>
      <c r="G1669" s="9" t="str">
        <f>IFERROR(__xludf.DUMMYFUNCTION("""COMPUTED_VALUE"""),"F")</f>
        <v>F</v>
      </c>
      <c r="H1669" s="9" t="str">
        <f>IFERROR(__xludf.DUMMYFUNCTION("""COMPUTED_VALUE"""),"FGM")</f>
        <v>FGM</v>
      </c>
      <c r="I1669" s="9" t="str">
        <f>IFERROR(__xludf.DUMMYFUNCTION("""COMPUTED_VALUE"""),"Tel")</f>
        <v>Tel</v>
      </c>
      <c r="J1669" s="9" t="str">
        <f>IFERROR(__xludf.DUMMYFUNCTION("""COMPUTED_VALUE"""),"Cx")</f>
        <v>Cx</v>
      </c>
      <c r="K1669" s="9" t="str">
        <f>IFERROR(__xludf.DUMMYFUNCTION("""COMPUTED_VALUE"""),"PACx")</f>
        <v>PACx</v>
      </c>
      <c r="L1669" s="9" t="str">
        <f>IFERROR(__xludf.DUMMYFUNCTION("""COMPUTED_VALUE"""),"PArCx")</f>
        <v>PArCx</v>
      </c>
      <c r="M1669" s="9" t="str">
        <f>IFERROR(__xludf.DUMMYFUNCTION("""COMPUTED_VALUE"""),"RSC")</f>
        <v>RSC</v>
      </c>
      <c r="N1669" s="9" t="str">
        <f>IFERROR(__xludf.DUMMYFUNCTION("""COMPUTED_VALUE"""),"A29")</f>
        <v>A29</v>
      </c>
      <c r="O1669" s="9"/>
      <c r="P1669" s="9"/>
      <c r="Q1669" s="9"/>
      <c r="R1669" s="9"/>
      <c r="S1669" s="42" t="str">
        <f>IFERROR(__xludf.DUMMYFUNCTION("""COMPUTED_VALUE"""),"A29_1;
A29_2;
A29_3;
A29_5_6")</f>
        <v>A29_1;
A29_2;
A29_3;
A29_5_6</v>
      </c>
      <c r="T1669" s="42"/>
      <c r="U1669" s="159" t="b">
        <f>IFERROR(__xludf.DUMMYFUNCTION("""COMPUTED_VALUE"""),FALSE)</f>
        <v>0</v>
      </c>
      <c r="V1669" s="42"/>
      <c r="W1669" s="42"/>
      <c r="X1669" s="42"/>
      <c r="Y1669" s="42"/>
      <c r="Z1669" s="42"/>
      <c r="AA1669" s="42"/>
      <c r="AB1669" s="42" t="str">
        <f>IFERROR(__xludf.DUMMYFUNCTION("""COMPUTED_VALUE"""),"allen institute")</f>
        <v>allen institute</v>
      </c>
      <c r="AC1669" s="42" t="str">
        <f>IFERROR(__xludf.DUMMYFUNCTION("""COMPUTED_VALUE"""),"DHBA")</f>
        <v>DHBA</v>
      </c>
      <c r="AD1669" s="42"/>
      <c r="AE1669" s="42"/>
      <c r="AF1669" s="9"/>
      <c r="AG1669" s="9"/>
      <c r="AH1669" s="42"/>
      <c r="AI1669" s="42"/>
      <c r="AJ1669" s="42"/>
      <c r="AK1669" s="42"/>
      <c r="AL1669" s="42"/>
      <c r="AM1669" s="42"/>
      <c r="AN1669" s="42"/>
      <c r="AO1669" s="63" t="str">
        <f>IFERROR(__xludf.DUMMYFUNCTION("IF(ISBLANK(A1669),,IF(ISBLANK(S1669), A1669&amp;"";"", TEXTJOIN(CHAR(10), TRUE, A1669&amp;"";"", ARRAYFORMULA(VLOOKUP(SPLIT(S1669, "";"" &amp; CHAR(10)), $A:$AO, 41, FALSE)))))"),"#N/A")</f>
        <v>#N/A</v>
      </c>
      <c r="AP1669" s="89"/>
    </row>
    <row r="1670">
      <c r="A1670" s="151" t="str">
        <f>IFERROR(__xludf.DUMMYFUNCTION("""COMPUTED_VALUE"""),"A29-1")</f>
        <v>A29-1</v>
      </c>
      <c r="B1670" s="42" t="str">
        <f>IFERROR(__xludf.DUMMYFUNCTION("""COMPUTED_VALUE"""),"DHBA")</f>
        <v>DHBA</v>
      </c>
      <c r="C1670" s="42" t="str">
        <f>IFERROR(__xludf.DUMMYFUNCTION("""COMPUTED_VALUE"""),"layer I of area 29")</f>
        <v>layer I of area 29</v>
      </c>
      <c r="D1670" s="42">
        <f>IFERROR(__xludf.DUMMYFUNCTION("""COMPUTED_VALUE"""),1570.0)</f>
        <v>1570</v>
      </c>
      <c r="E1670" s="39" t="str">
        <f>IFERROR(__xludf.DUMMYFUNCTION("""COMPUTED_VALUE"""),"layer I of area 29")</f>
        <v>layer I of area 29</v>
      </c>
      <c r="F1670" s="9" t="str">
        <f>IFERROR(__xludf.DUMMYFUNCTION("""COMPUTED_VALUE"""),"Br")</f>
        <v>Br</v>
      </c>
      <c r="G1670" s="9" t="str">
        <f>IFERROR(__xludf.DUMMYFUNCTION("""COMPUTED_VALUE"""),"F")</f>
        <v>F</v>
      </c>
      <c r="H1670" s="9" t="str">
        <f>IFERROR(__xludf.DUMMYFUNCTION("""COMPUTED_VALUE"""),"FGM")</f>
        <v>FGM</v>
      </c>
      <c r="I1670" s="9" t="str">
        <f>IFERROR(__xludf.DUMMYFUNCTION("""COMPUTED_VALUE"""),"Tel")</f>
        <v>Tel</v>
      </c>
      <c r="J1670" s="9" t="str">
        <f>IFERROR(__xludf.DUMMYFUNCTION("""COMPUTED_VALUE"""),"Cx")</f>
        <v>Cx</v>
      </c>
      <c r="K1670" s="9" t="str">
        <f>IFERROR(__xludf.DUMMYFUNCTION("""COMPUTED_VALUE"""),"PACx")</f>
        <v>PACx</v>
      </c>
      <c r="L1670" s="9" t="str">
        <f>IFERROR(__xludf.DUMMYFUNCTION("""COMPUTED_VALUE"""),"PArCx")</f>
        <v>PArCx</v>
      </c>
      <c r="M1670" s="9" t="str">
        <f>IFERROR(__xludf.DUMMYFUNCTION("""COMPUTED_VALUE"""),"RSC")</f>
        <v>RSC</v>
      </c>
      <c r="N1670" s="9" t="str">
        <f>IFERROR(__xludf.DUMMYFUNCTION("""COMPUTED_VALUE"""),"A29")</f>
        <v>A29</v>
      </c>
      <c r="O1670" s="9" t="str">
        <f>IFERROR(__xludf.DUMMYFUNCTION("""COMPUTED_VALUE"""),"A29-1")</f>
        <v>A29-1</v>
      </c>
      <c r="P1670" s="9"/>
      <c r="Q1670" s="9"/>
      <c r="R1670" s="9"/>
      <c r="S1670" s="42"/>
      <c r="T1670" s="42"/>
      <c r="U1670" s="159"/>
      <c r="V1670" s="42"/>
      <c r="W1670" s="42"/>
      <c r="X1670" s="42"/>
      <c r="Y1670" s="42"/>
      <c r="Z1670" s="42"/>
      <c r="AA1670" s="42"/>
      <c r="AB1670" s="42" t="str">
        <f>IFERROR(__xludf.DUMMYFUNCTION("""COMPUTED_VALUE"""),"allen institute")</f>
        <v>allen institute</v>
      </c>
      <c r="AC1670" s="42" t="str">
        <f>IFERROR(__xludf.DUMMYFUNCTION("""COMPUTED_VALUE"""),"DHBA")</f>
        <v>DHBA</v>
      </c>
      <c r="AD1670" s="42"/>
      <c r="AE1670" s="42"/>
      <c r="AF1670" s="9"/>
      <c r="AG1670" s="9"/>
      <c r="AH1670" s="42"/>
      <c r="AI1670" s="42"/>
      <c r="AJ1670" s="42"/>
      <c r="AK1670" s="42"/>
      <c r="AL1670" s="42"/>
      <c r="AM1670" s="42"/>
      <c r="AN1670" s="42"/>
      <c r="AO1670" s="63" t="str">
        <f>IFERROR(__xludf.DUMMYFUNCTION("IF(ISBLANK(A1670),,IF(ISBLANK(S1670), A1670&amp;"";"", TEXTJOIN(CHAR(10), TRUE, A1670&amp;"";"", ARRAYFORMULA(VLOOKUP(SPLIT(S1670, "";"" &amp; CHAR(10)), $A:$AO, 41, FALSE)))))"),"A29-1;")</f>
        <v>A29-1;</v>
      </c>
      <c r="AP1670" s="89"/>
    </row>
    <row r="1671">
      <c r="A1671" s="151" t="str">
        <f>IFERROR(__xludf.DUMMYFUNCTION("""COMPUTED_VALUE"""),"A29-2")</f>
        <v>A29-2</v>
      </c>
      <c r="B1671" s="42" t="str">
        <f>IFERROR(__xludf.DUMMYFUNCTION("""COMPUTED_VALUE"""),"DHBA")</f>
        <v>DHBA</v>
      </c>
      <c r="C1671" s="42" t="str">
        <f>IFERROR(__xludf.DUMMYFUNCTION("""COMPUTED_VALUE"""),"layer II of area 29")</f>
        <v>layer II of area 29</v>
      </c>
      <c r="D1671" s="42">
        <f>IFERROR(__xludf.DUMMYFUNCTION("""COMPUTED_VALUE"""),1571.0)</f>
        <v>1571</v>
      </c>
      <c r="E1671" s="39" t="str">
        <f>IFERROR(__xludf.DUMMYFUNCTION("""COMPUTED_VALUE"""),"layer II of area 29")</f>
        <v>layer II of area 29</v>
      </c>
      <c r="F1671" s="9" t="str">
        <f>IFERROR(__xludf.DUMMYFUNCTION("""COMPUTED_VALUE"""),"Br")</f>
        <v>Br</v>
      </c>
      <c r="G1671" s="9" t="str">
        <f>IFERROR(__xludf.DUMMYFUNCTION("""COMPUTED_VALUE"""),"F")</f>
        <v>F</v>
      </c>
      <c r="H1671" s="9" t="str">
        <f>IFERROR(__xludf.DUMMYFUNCTION("""COMPUTED_VALUE"""),"FGM")</f>
        <v>FGM</v>
      </c>
      <c r="I1671" s="9" t="str">
        <f>IFERROR(__xludf.DUMMYFUNCTION("""COMPUTED_VALUE"""),"Tel")</f>
        <v>Tel</v>
      </c>
      <c r="J1671" s="9" t="str">
        <f>IFERROR(__xludf.DUMMYFUNCTION("""COMPUTED_VALUE"""),"Cx")</f>
        <v>Cx</v>
      </c>
      <c r="K1671" s="9" t="str">
        <f>IFERROR(__xludf.DUMMYFUNCTION("""COMPUTED_VALUE"""),"PACx")</f>
        <v>PACx</v>
      </c>
      <c r="L1671" s="9" t="str">
        <f>IFERROR(__xludf.DUMMYFUNCTION("""COMPUTED_VALUE"""),"PArCx")</f>
        <v>PArCx</v>
      </c>
      <c r="M1671" s="9" t="str">
        <f>IFERROR(__xludf.DUMMYFUNCTION("""COMPUTED_VALUE"""),"RSC")</f>
        <v>RSC</v>
      </c>
      <c r="N1671" s="9" t="str">
        <f>IFERROR(__xludf.DUMMYFUNCTION("""COMPUTED_VALUE"""),"A29")</f>
        <v>A29</v>
      </c>
      <c r="O1671" s="9" t="str">
        <f>IFERROR(__xludf.DUMMYFUNCTION("""COMPUTED_VALUE"""),"A29-2")</f>
        <v>A29-2</v>
      </c>
      <c r="P1671" s="9"/>
      <c r="Q1671" s="9"/>
      <c r="R1671" s="9"/>
      <c r="S1671" s="42"/>
      <c r="T1671" s="42"/>
      <c r="U1671" s="159"/>
      <c r="V1671" s="42"/>
      <c r="W1671" s="42"/>
      <c r="X1671" s="42"/>
      <c r="Y1671" s="42"/>
      <c r="Z1671" s="42"/>
      <c r="AA1671" s="42"/>
      <c r="AB1671" s="42" t="str">
        <f>IFERROR(__xludf.DUMMYFUNCTION("""COMPUTED_VALUE"""),"allen institute")</f>
        <v>allen institute</v>
      </c>
      <c r="AC1671" s="42" t="str">
        <f>IFERROR(__xludf.DUMMYFUNCTION("""COMPUTED_VALUE"""),"DHBA")</f>
        <v>DHBA</v>
      </c>
      <c r="AD1671" s="42"/>
      <c r="AE1671" s="42"/>
      <c r="AF1671" s="9"/>
      <c r="AG1671" s="9"/>
      <c r="AH1671" s="42"/>
      <c r="AI1671" s="42"/>
      <c r="AJ1671" s="42"/>
      <c r="AK1671" s="42"/>
      <c r="AL1671" s="42"/>
      <c r="AM1671" s="42"/>
      <c r="AN1671" s="42"/>
      <c r="AO1671" s="63" t="str">
        <f>IFERROR(__xludf.DUMMYFUNCTION("IF(ISBLANK(A1671),,IF(ISBLANK(S1671), A1671&amp;"";"", TEXTJOIN(CHAR(10), TRUE, A1671&amp;"";"", ARRAYFORMULA(VLOOKUP(SPLIT(S1671, "";"" &amp; CHAR(10)), $A:$AO, 41, FALSE)))))"),"A29-2;")</f>
        <v>A29-2;</v>
      </c>
      <c r="AP1671" s="89"/>
    </row>
    <row r="1672">
      <c r="A1672" s="151" t="str">
        <f>IFERROR(__xludf.DUMMYFUNCTION("""COMPUTED_VALUE"""),"A29-3")</f>
        <v>A29-3</v>
      </c>
      <c r="B1672" s="42" t="str">
        <f>IFERROR(__xludf.DUMMYFUNCTION("""COMPUTED_VALUE"""),"DHBA")</f>
        <v>DHBA</v>
      </c>
      <c r="C1672" s="42" t="str">
        <f>IFERROR(__xludf.DUMMYFUNCTION("""COMPUTED_VALUE"""),"layer III of area 29")</f>
        <v>layer III of area 29</v>
      </c>
      <c r="D1672" s="42">
        <f>IFERROR(__xludf.DUMMYFUNCTION("""COMPUTED_VALUE"""),1572.0)</f>
        <v>1572</v>
      </c>
      <c r="E1672" s="39" t="str">
        <f>IFERROR(__xludf.DUMMYFUNCTION("""COMPUTED_VALUE"""),"layer III of area 29")</f>
        <v>layer III of area 29</v>
      </c>
      <c r="F1672" s="9" t="str">
        <f>IFERROR(__xludf.DUMMYFUNCTION("""COMPUTED_VALUE"""),"Br")</f>
        <v>Br</v>
      </c>
      <c r="G1672" s="9" t="str">
        <f>IFERROR(__xludf.DUMMYFUNCTION("""COMPUTED_VALUE"""),"F")</f>
        <v>F</v>
      </c>
      <c r="H1672" s="9" t="str">
        <f>IFERROR(__xludf.DUMMYFUNCTION("""COMPUTED_VALUE"""),"FGM")</f>
        <v>FGM</v>
      </c>
      <c r="I1672" s="9" t="str">
        <f>IFERROR(__xludf.DUMMYFUNCTION("""COMPUTED_VALUE"""),"Tel")</f>
        <v>Tel</v>
      </c>
      <c r="J1672" s="9" t="str">
        <f>IFERROR(__xludf.DUMMYFUNCTION("""COMPUTED_VALUE"""),"Cx")</f>
        <v>Cx</v>
      </c>
      <c r="K1672" s="9" t="str">
        <f>IFERROR(__xludf.DUMMYFUNCTION("""COMPUTED_VALUE"""),"PACx")</f>
        <v>PACx</v>
      </c>
      <c r="L1672" s="9" t="str">
        <f>IFERROR(__xludf.DUMMYFUNCTION("""COMPUTED_VALUE"""),"PArCx")</f>
        <v>PArCx</v>
      </c>
      <c r="M1672" s="9" t="str">
        <f>IFERROR(__xludf.DUMMYFUNCTION("""COMPUTED_VALUE"""),"RSC")</f>
        <v>RSC</v>
      </c>
      <c r="N1672" s="9" t="str">
        <f>IFERROR(__xludf.DUMMYFUNCTION("""COMPUTED_VALUE"""),"A29")</f>
        <v>A29</v>
      </c>
      <c r="O1672" s="9" t="str">
        <f>IFERROR(__xludf.DUMMYFUNCTION("""COMPUTED_VALUE"""),"A29-3")</f>
        <v>A29-3</v>
      </c>
      <c r="P1672" s="9"/>
      <c r="Q1672" s="9"/>
      <c r="R1672" s="9"/>
      <c r="S1672" s="42"/>
      <c r="T1672" s="42"/>
      <c r="U1672" s="159"/>
      <c r="V1672" s="42"/>
      <c r="W1672" s="42"/>
      <c r="X1672" s="42"/>
      <c r="Y1672" s="42"/>
      <c r="Z1672" s="42"/>
      <c r="AA1672" s="42"/>
      <c r="AB1672" s="42" t="str">
        <f>IFERROR(__xludf.DUMMYFUNCTION("""COMPUTED_VALUE"""),"allen institute")</f>
        <v>allen institute</v>
      </c>
      <c r="AC1672" s="42" t="str">
        <f>IFERROR(__xludf.DUMMYFUNCTION("""COMPUTED_VALUE"""),"DHBA")</f>
        <v>DHBA</v>
      </c>
      <c r="AD1672" s="42"/>
      <c r="AE1672" s="42"/>
      <c r="AF1672" s="9"/>
      <c r="AG1672" s="9"/>
      <c r="AH1672" s="42"/>
      <c r="AI1672" s="42"/>
      <c r="AJ1672" s="42"/>
      <c r="AK1672" s="42"/>
      <c r="AL1672" s="42"/>
      <c r="AM1672" s="42"/>
      <c r="AN1672" s="42"/>
      <c r="AO1672" s="63" t="str">
        <f>IFERROR(__xludf.DUMMYFUNCTION("IF(ISBLANK(A1672),,IF(ISBLANK(S1672), A1672&amp;"";"", TEXTJOIN(CHAR(10), TRUE, A1672&amp;"";"", ARRAYFORMULA(VLOOKUP(SPLIT(S1672, "";"" &amp; CHAR(10)), $A:$AO, 41, FALSE)))))"),"A29-3;")</f>
        <v>A29-3;</v>
      </c>
      <c r="AP1672" s="89"/>
    </row>
    <row r="1673">
      <c r="A1673" s="151" t="str">
        <f>IFERROR(__xludf.DUMMYFUNCTION("""COMPUTED_VALUE"""),"A29-5-6")</f>
        <v>A29-5-6</v>
      </c>
      <c r="B1673" s="42" t="str">
        <f>IFERROR(__xludf.DUMMYFUNCTION("""COMPUTED_VALUE"""),"DHBA")</f>
        <v>DHBA</v>
      </c>
      <c r="C1673" s="42" t="str">
        <f>IFERROR(__xludf.DUMMYFUNCTION("""COMPUTED_VALUE"""),"layers V/VI of area 29")</f>
        <v>layers V/VI of area 29</v>
      </c>
      <c r="D1673" s="42">
        <f>IFERROR(__xludf.DUMMYFUNCTION("""COMPUTED_VALUE"""),1573.0)</f>
        <v>1573</v>
      </c>
      <c r="E1673" s="39" t="str">
        <f>IFERROR(__xludf.DUMMYFUNCTION("""COMPUTED_VALUE"""),"layers V/VI of area 29")</f>
        <v>layers V/VI of area 29</v>
      </c>
      <c r="F1673" s="9" t="str">
        <f>IFERROR(__xludf.DUMMYFUNCTION("""COMPUTED_VALUE"""),"Br")</f>
        <v>Br</v>
      </c>
      <c r="G1673" s="9" t="str">
        <f>IFERROR(__xludf.DUMMYFUNCTION("""COMPUTED_VALUE"""),"F")</f>
        <v>F</v>
      </c>
      <c r="H1673" s="9" t="str">
        <f>IFERROR(__xludf.DUMMYFUNCTION("""COMPUTED_VALUE"""),"FGM")</f>
        <v>FGM</v>
      </c>
      <c r="I1673" s="9" t="str">
        <f>IFERROR(__xludf.DUMMYFUNCTION("""COMPUTED_VALUE"""),"Tel")</f>
        <v>Tel</v>
      </c>
      <c r="J1673" s="9" t="str">
        <f>IFERROR(__xludf.DUMMYFUNCTION("""COMPUTED_VALUE"""),"Cx")</f>
        <v>Cx</v>
      </c>
      <c r="K1673" s="9" t="str">
        <f>IFERROR(__xludf.DUMMYFUNCTION("""COMPUTED_VALUE"""),"PACx")</f>
        <v>PACx</v>
      </c>
      <c r="L1673" s="9" t="str">
        <f>IFERROR(__xludf.DUMMYFUNCTION("""COMPUTED_VALUE"""),"PArCx")</f>
        <v>PArCx</v>
      </c>
      <c r="M1673" s="9" t="str">
        <f>IFERROR(__xludf.DUMMYFUNCTION("""COMPUTED_VALUE"""),"RSC")</f>
        <v>RSC</v>
      </c>
      <c r="N1673" s="9" t="str">
        <f>IFERROR(__xludf.DUMMYFUNCTION("""COMPUTED_VALUE"""),"A29")</f>
        <v>A29</v>
      </c>
      <c r="O1673" s="9" t="str">
        <f>IFERROR(__xludf.DUMMYFUNCTION("""COMPUTED_VALUE"""),"A29-5-6")</f>
        <v>A29-5-6</v>
      </c>
      <c r="P1673" s="9"/>
      <c r="Q1673" s="9"/>
      <c r="R1673" s="9"/>
      <c r="S1673" s="42"/>
      <c r="T1673" s="42"/>
      <c r="U1673" s="159"/>
      <c r="V1673" s="42"/>
      <c r="W1673" s="42"/>
      <c r="X1673" s="42"/>
      <c r="Y1673" s="42"/>
      <c r="Z1673" s="42"/>
      <c r="AA1673" s="42"/>
      <c r="AB1673" s="42" t="str">
        <f>IFERROR(__xludf.DUMMYFUNCTION("""COMPUTED_VALUE"""),"allen institute")</f>
        <v>allen institute</v>
      </c>
      <c r="AC1673" s="42" t="str">
        <f>IFERROR(__xludf.DUMMYFUNCTION("""COMPUTED_VALUE"""),"DHBA")</f>
        <v>DHBA</v>
      </c>
      <c r="AD1673" s="42"/>
      <c r="AE1673" s="42"/>
      <c r="AF1673" s="9"/>
      <c r="AG1673" s="9"/>
      <c r="AH1673" s="42"/>
      <c r="AI1673" s="42"/>
      <c r="AJ1673" s="42"/>
      <c r="AK1673" s="42"/>
      <c r="AL1673" s="42"/>
      <c r="AM1673" s="42"/>
      <c r="AN1673" s="42"/>
      <c r="AO1673" s="63" t="str">
        <f>IFERROR(__xludf.DUMMYFUNCTION("IF(ISBLANK(A1673),,IF(ISBLANK(S1673), A1673&amp;"";"", TEXTJOIN(CHAR(10), TRUE, A1673&amp;"";"", ARRAYFORMULA(VLOOKUP(SPLIT(S1673, "";"" &amp; CHAR(10)), $A:$AO, 41, FALSE)))))"),"A29-5-6;")</f>
        <v>A29-5-6;</v>
      </c>
      <c r="AP1673" s="89"/>
    </row>
    <row r="1674">
      <c r="A1674" s="151" t="str">
        <f>IFERROR(__xludf.DUMMYFUNCTION("""COMPUTED_VALUE"""),"A30")</f>
        <v>A30</v>
      </c>
      <c r="B1674" s="42" t="str">
        <f>IFERROR(__xludf.DUMMYFUNCTION("""COMPUTED_VALUE"""),"DHBA")</f>
        <v>DHBA</v>
      </c>
      <c r="C1674" s="42" t="str">
        <f>IFERROR(__xludf.DUMMYFUNCTION("""COMPUTED_VALUE"""),"area 30 of retrosplenial cortex")</f>
        <v>area 30 of retrosplenial cortex</v>
      </c>
      <c r="D1674" s="42">
        <f>IFERROR(__xludf.DUMMYFUNCTION("""COMPUTED_VALUE"""),1574.0)</f>
        <v>1574</v>
      </c>
      <c r="E1674" s="39" t="str">
        <f>IFERROR(__xludf.DUMMYFUNCTION("""COMPUTED_VALUE"""),"area 30 of retrosplenial cortex")</f>
        <v>area 30 of retrosplenial cortex</v>
      </c>
      <c r="F1674" s="9" t="str">
        <f>IFERROR(__xludf.DUMMYFUNCTION("""COMPUTED_VALUE"""),"Br")</f>
        <v>Br</v>
      </c>
      <c r="G1674" s="9" t="str">
        <f>IFERROR(__xludf.DUMMYFUNCTION("""COMPUTED_VALUE"""),"F")</f>
        <v>F</v>
      </c>
      <c r="H1674" s="9" t="str">
        <f>IFERROR(__xludf.DUMMYFUNCTION("""COMPUTED_VALUE"""),"FGM")</f>
        <v>FGM</v>
      </c>
      <c r="I1674" s="9" t="str">
        <f>IFERROR(__xludf.DUMMYFUNCTION("""COMPUTED_VALUE"""),"Tel")</f>
        <v>Tel</v>
      </c>
      <c r="J1674" s="9" t="str">
        <f>IFERROR(__xludf.DUMMYFUNCTION("""COMPUTED_VALUE"""),"Cx")</f>
        <v>Cx</v>
      </c>
      <c r="K1674" s="9" t="str">
        <f>IFERROR(__xludf.DUMMYFUNCTION("""COMPUTED_VALUE"""),"PACx")</f>
        <v>PACx</v>
      </c>
      <c r="L1674" s="9" t="str">
        <f>IFERROR(__xludf.DUMMYFUNCTION("""COMPUTED_VALUE"""),"PArCx")</f>
        <v>PArCx</v>
      </c>
      <c r="M1674" s="9" t="str">
        <f>IFERROR(__xludf.DUMMYFUNCTION("""COMPUTED_VALUE"""),"RSC")</f>
        <v>RSC</v>
      </c>
      <c r="N1674" s="9" t="str">
        <f>IFERROR(__xludf.DUMMYFUNCTION("""COMPUTED_VALUE"""),"A30")</f>
        <v>A30</v>
      </c>
      <c r="O1674" s="9"/>
      <c r="P1674" s="9"/>
      <c r="Q1674" s="9"/>
      <c r="R1674" s="9"/>
      <c r="S1674" s="42" t="str">
        <f>IFERROR(__xludf.DUMMYFUNCTION("""COMPUTED_VALUE"""),"A30_1;
A30_2;
A30_3;
A30_5;
A30_6")</f>
        <v>A30_1;
A30_2;
A30_3;
A30_5;
A30_6</v>
      </c>
      <c r="T1674" s="42"/>
      <c r="U1674" s="42" t="b">
        <f>IFERROR(__xludf.DUMMYFUNCTION("""COMPUTED_VALUE"""),FALSE)</f>
        <v>0</v>
      </c>
      <c r="V1674" s="42"/>
      <c r="W1674" s="42"/>
      <c r="X1674" s="42"/>
      <c r="Y1674" s="42"/>
      <c r="Z1674" s="42"/>
      <c r="AA1674" s="42"/>
      <c r="AB1674" s="42" t="str">
        <f>IFERROR(__xludf.DUMMYFUNCTION("""COMPUTED_VALUE"""),"allen institute")</f>
        <v>allen institute</v>
      </c>
      <c r="AC1674" s="42" t="str">
        <f>IFERROR(__xludf.DUMMYFUNCTION("""COMPUTED_VALUE"""),"DHBA")</f>
        <v>DHBA</v>
      </c>
      <c r="AD1674" s="42"/>
      <c r="AE1674" s="42"/>
      <c r="AF1674" s="9"/>
      <c r="AG1674" s="9"/>
      <c r="AH1674" s="42"/>
      <c r="AI1674" s="42"/>
      <c r="AJ1674" s="42"/>
      <c r="AK1674" s="42"/>
      <c r="AL1674" s="42"/>
      <c r="AM1674" s="42"/>
      <c r="AN1674" s="42"/>
      <c r="AO1674" s="63" t="str">
        <f>IFERROR(__xludf.DUMMYFUNCTION("IF(ISBLANK(A1674),,IF(ISBLANK(S1674), A1674&amp;"";"", TEXTJOIN(CHAR(10), TRUE, A1674&amp;"";"", ARRAYFORMULA(VLOOKUP(SPLIT(S1674, "";"" &amp; CHAR(10)), $A:$AO, 41, FALSE)))))"),"#N/A")</f>
        <v>#N/A</v>
      </c>
      <c r="AP1674" s="89"/>
    </row>
    <row r="1675">
      <c r="A1675" s="151" t="str">
        <f>IFERROR(__xludf.DUMMYFUNCTION("""COMPUTED_VALUE"""),"A30-1")</f>
        <v>A30-1</v>
      </c>
      <c r="B1675" s="42" t="str">
        <f>IFERROR(__xludf.DUMMYFUNCTION("""COMPUTED_VALUE"""),"DHBA")</f>
        <v>DHBA</v>
      </c>
      <c r="C1675" s="42" t="str">
        <f>IFERROR(__xludf.DUMMYFUNCTION("""COMPUTED_VALUE"""),"layer I of area 30")</f>
        <v>layer I of area 30</v>
      </c>
      <c r="D1675" s="42">
        <f>IFERROR(__xludf.DUMMYFUNCTION("""COMPUTED_VALUE"""),1575.0)</f>
        <v>1575</v>
      </c>
      <c r="E1675" s="39" t="str">
        <f>IFERROR(__xludf.DUMMYFUNCTION("""COMPUTED_VALUE"""),"layer I of area 30")</f>
        <v>layer I of area 30</v>
      </c>
      <c r="F1675" s="9" t="str">
        <f>IFERROR(__xludf.DUMMYFUNCTION("""COMPUTED_VALUE"""),"Br")</f>
        <v>Br</v>
      </c>
      <c r="G1675" s="9" t="str">
        <f>IFERROR(__xludf.DUMMYFUNCTION("""COMPUTED_VALUE"""),"F")</f>
        <v>F</v>
      </c>
      <c r="H1675" s="9" t="str">
        <f>IFERROR(__xludf.DUMMYFUNCTION("""COMPUTED_VALUE"""),"FGM")</f>
        <v>FGM</v>
      </c>
      <c r="I1675" s="9" t="str">
        <f>IFERROR(__xludf.DUMMYFUNCTION("""COMPUTED_VALUE"""),"Tel")</f>
        <v>Tel</v>
      </c>
      <c r="J1675" s="9" t="str">
        <f>IFERROR(__xludf.DUMMYFUNCTION("""COMPUTED_VALUE"""),"Cx")</f>
        <v>Cx</v>
      </c>
      <c r="K1675" s="9" t="str">
        <f>IFERROR(__xludf.DUMMYFUNCTION("""COMPUTED_VALUE"""),"PACx")</f>
        <v>PACx</v>
      </c>
      <c r="L1675" s="9" t="str">
        <f>IFERROR(__xludf.DUMMYFUNCTION("""COMPUTED_VALUE"""),"PArCx")</f>
        <v>PArCx</v>
      </c>
      <c r="M1675" s="9" t="str">
        <f>IFERROR(__xludf.DUMMYFUNCTION("""COMPUTED_VALUE"""),"RSC")</f>
        <v>RSC</v>
      </c>
      <c r="N1675" s="9" t="str">
        <f>IFERROR(__xludf.DUMMYFUNCTION("""COMPUTED_VALUE"""),"A30")</f>
        <v>A30</v>
      </c>
      <c r="O1675" s="9" t="str">
        <f>IFERROR(__xludf.DUMMYFUNCTION("""COMPUTED_VALUE"""),"A30-1")</f>
        <v>A30-1</v>
      </c>
      <c r="P1675" s="9"/>
      <c r="Q1675" s="9"/>
      <c r="R1675" s="9"/>
      <c r="S1675" s="42"/>
      <c r="T1675" s="42"/>
      <c r="U1675" s="159"/>
      <c r="V1675" s="42"/>
      <c r="W1675" s="42"/>
      <c r="X1675" s="42"/>
      <c r="Y1675" s="42"/>
      <c r="Z1675" s="42"/>
      <c r="AA1675" s="42"/>
      <c r="AB1675" s="42" t="str">
        <f>IFERROR(__xludf.DUMMYFUNCTION("""COMPUTED_VALUE"""),"allen institute")</f>
        <v>allen institute</v>
      </c>
      <c r="AC1675" s="42" t="str">
        <f>IFERROR(__xludf.DUMMYFUNCTION("""COMPUTED_VALUE"""),"DHBA")</f>
        <v>DHBA</v>
      </c>
      <c r="AD1675" s="42"/>
      <c r="AE1675" s="42"/>
      <c r="AF1675" s="9"/>
      <c r="AG1675" s="9"/>
      <c r="AH1675" s="42"/>
      <c r="AI1675" s="42"/>
      <c r="AJ1675" s="42"/>
      <c r="AK1675" s="42"/>
      <c r="AL1675" s="42"/>
      <c r="AM1675" s="42"/>
      <c r="AN1675" s="42"/>
      <c r="AO1675" s="63" t="str">
        <f>IFERROR(__xludf.DUMMYFUNCTION("IF(ISBLANK(A1675),,IF(ISBLANK(S1675), A1675&amp;"";"", TEXTJOIN(CHAR(10), TRUE, A1675&amp;"";"", ARRAYFORMULA(VLOOKUP(SPLIT(S1675, "";"" &amp; CHAR(10)), $A:$AO, 41, FALSE)))))"),"A30-1;")</f>
        <v>A30-1;</v>
      </c>
      <c r="AP1675" s="89"/>
    </row>
    <row r="1676">
      <c r="A1676" s="151" t="str">
        <f>IFERROR(__xludf.DUMMYFUNCTION("""COMPUTED_VALUE"""),"A30-2")</f>
        <v>A30-2</v>
      </c>
      <c r="B1676" s="42" t="str">
        <f>IFERROR(__xludf.DUMMYFUNCTION("""COMPUTED_VALUE"""),"DHBA")</f>
        <v>DHBA</v>
      </c>
      <c r="C1676" s="42" t="str">
        <f>IFERROR(__xludf.DUMMYFUNCTION("""COMPUTED_VALUE"""),"layer II of area 30")</f>
        <v>layer II of area 30</v>
      </c>
      <c r="D1676" s="42">
        <f>IFERROR(__xludf.DUMMYFUNCTION("""COMPUTED_VALUE"""),1576.0)</f>
        <v>1576</v>
      </c>
      <c r="E1676" s="39" t="str">
        <f>IFERROR(__xludf.DUMMYFUNCTION("""COMPUTED_VALUE"""),"layer II of area 30")</f>
        <v>layer II of area 30</v>
      </c>
      <c r="F1676" s="9" t="str">
        <f>IFERROR(__xludf.DUMMYFUNCTION("""COMPUTED_VALUE"""),"Br")</f>
        <v>Br</v>
      </c>
      <c r="G1676" s="9" t="str">
        <f>IFERROR(__xludf.DUMMYFUNCTION("""COMPUTED_VALUE"""),"F")</f>
        <v>F</v>
      </c>
      <c r="H1676" s="9" t="str">
        <f>IFERROR(__xludf.DUMMYFUNCTION("""COMPUTED_VALUE"""),"FGM")</f>
        <v>FGM</v>
      </c>
      <c r="I1676" s="9" t="str">
        <f>IFERROR(__xludf.DUMMYFUNCTION("""COMPUTED_VALUE"""),"Tel")</f>
        <v>Tel</v>
      </c>
      <c r="J1676" s="9" t="str">
        <f>IFERROR(__xludf.DUMMYFUNCTION("""COMPUTED_VALUE"""),"Cx")</f>
        <v>Cx</v>
      </c>
      <c r="K1676" s="9" t="str">
        <f>IFERROR(__xludf.DUMMYFUNCTION("""COMPUTED_VALUE"""),"PACx")</f>
        <v>PACx</v>
      </c>
      <c r="L1676" s="9" t="str">
        <f>IFERROR(__xludf.DUMMYFUNCTION("""COMPUTED_VALUE"""),"PArCx")</f>
        <v>PArCx</v>
      </c>
      <c r="M1676" s="9" t="str">
        <f>IFERROR(__xludf.DUMMYFUNCTION("""COMPUTED_VALUE"""),"RSC")</f>
        <v>RSC</v>
      </c>
      <c r="N1676" s="9" t="str">
        <f>IFERROR(__xludf.DUMMYFUNCTION("""COMPUTED_VALUE"""),"A30")</f>
        <v>A30</v>
      </c>
      <c r="O1676" s="9" t="str">
        <f>IFERROR(__xludf.DUMMYFUNCTION("""COMPUTED_VALUE"""),"A30-2")</f>
        <v>A30-2</v>
      </c>
      <c r="P1676" s="9"/>
      <c r="Q1676" s="9"/>
      <c r="R1676" s="9"/>
      <c r="S1676" s="42"/>
      <c r="T1676" s="42"/>
      <c r="U1676" s="159"/>
      <c r="V1676" s="42"/>
      <c r="W1676" s="42"/>
      <c r="X1676" s="42"/>
      <c r="Y1676" s="42"/>
      <c r="Z1676" s="42"/>
      <c r="AA1676" s="42"/>
      <c r="AB1676" s="42" t="str">
        <f>IFERROR(__xludf.DUMMYFUNCTION("""COMPUTED_VALUE"""),"allen institute")</f>
        <v>allen institute</v>
      </c>
      <c r="AC1676" s="42" t="str">
        <f>IFERROR(__xludf.DUMMYFUNCTION("""COMPUTED_VALUE"""),"DHBA")</f>
        <v>DHBA</v>
      </c>
      <c r="AD1676" s="42"/>
      <c r="AE1676" s="42"/>
      <c r="AF1676" s="9"/>
      <c r="AG1676" s="9"/>
      <c r="AH1676" s="42"/>
      <c r="AI1676" s="42"/>
      <c r="AJ1676" s="42"/>
      <c r="AK1676" s="42"/>
      <c r="AL1676" s="42"/>
      <c r="AM1676" s="42"/>
      <c r="AN1676" s="42"/>
      <c r="AO1676" s="63" t="str">
        <f>IFERROR(__xludf.DUMMYFUNCTION("IF(ISBLANK(A1676),,IF(ISBLANK(S1676), A1676&amp;"";"", TEXTJOIN(CHAR(10), TRUE, A1676&amp;"";"", ARRAYFORMULA(VLOOKUP(SPLIT(S1676, "";"" &amp; CHAR(10)), $A:$AO, 41, FALSE)))))"),"A30-2;")</f>
        <v>A30-2;</v>
      </c>
      <c r="AP1676" s="89"/>
    </row>
    <row r="1677">
      <c r="A1677" s="151" t="str">
        <f>IFERROR(__xludf.DUMMYFUNCTION("""COMPUTED_VALUE"""),"A30-3")</f>
        <v>A30-3</v>
      </c>
      <c r="B1677" s="42" t="str">
        <f>IFERROR(__xludf.DUMMYFUNCTION("""COMPUTED_VALUE"""),"DHBA")</f>
        <v>DHBA</v>
      </c>
      <c r="C1677" s="42" t="str">
        <f>IFERROR(__xludf.DUMMYFUNCTION("""COMPUTED_VALUE"""),"layer III of area 30")</f>
        <v>layer III of area 30</v>
      </c>
      <c r="D1677" s="42">
        <f>IFERROR(__xludf.DUMMYFUNCTION("""COMPUTED_VALUE"""),1577.0)</f>
        <v>1577</v>
      </c>
      <c r="E1677" s="39" t="str">
        <f>IFERROR(__xludf.DUMMYFUNCTION("""COMPUTED_VALUE"""),"layer III of area 30")</f>
        <v>layer III of area 30</v>
      </c>
      <c r="F1677" s="9" t="str">
        <f>IFERROR(__xludf.DUMMYFUNCTION("""COMPUTED_VALUE"""),"Br")</f>
        <v>Br</v>
      </c>
      <c r="G1677" s="9" t="str">
        <f>IFERROR(__xludf.DUMMYFUNCTION("""COMPUTED_VALUE"""),"F")</f>
        <v>F</v>
      </c>
      <c r="H1677" s="9" t="str">
        <f>IFERROR(__xludf.DUMMYFUNCTION("""COMPUTED_VALUE"""),"FGM")</f>
        <v>FGM</v>
      </c>
      <c r="I1677" s="9" t="str">
        <f>IFERROR(__xludf.DUMMYFUNCTION("""COMPUTED_VALUE"""),"Tel")</f>
        <v>Tel</v>
      </c>
      <c r="J1677" s="9" t="str">
        <f>IFERROR(__xludf.DUMMYFUNCTION("""COMPUTED_VALUE"""),"Cx")</f>
        <v>Cx</v>
      </c>
      <c r="K1677" s="9" t="str">
        <f>IFERROR(__xludf.DUMMYFUNCTION("""COMPUTED_VALUE"""),"PACx")</f>
        <v>PACx</v>
      </c>
      <c r="L1677" s="9" t="str">
        <f>IFERROR(__xludf.DUMMYFUNCTION("""COMPUTED_VALUE"""),"PArCx")</f>
        <v>PArCx</v>
      </c>
      <c r="M1677" s="9" t="str">
        <f>IFERROR(__xludf.DUMMYFUNCTION("""COMPUTED_VALUE"""),"RSC")</f>
        <v>RSC</v>
      </c>
      <c r="N1677" s="9" t="str">
        <f>IFERROR(__xludf.DUMMYFUNCTION("""COMPUTED_VALUE"""),"A30")</f>
        <v>A30</v>
      </c>
      <c r="O1677" s="9" t="str">
        <f>IFERROR(__xludf.DUMMYFUNCTION("""COMPUTED_VALUE"""),"A30-3")</f>
        <v>A30-3</v>
      </c>
      <c r="P1677" s="9"/>
      <c r="Q1677" s="9"/>
      <c r="R1677" s="9"/>
      <c r="S1677" s="42"/>
      <c r="T1677" s="42"/>
      <c r="U1677" s="42"/>
      <c r="V1677" s="42"/>
      <c r="W1677" s="42"/>
      <c r="X1677" s="42"/>
      <c r="Y1677" s="42"/>
      <c r="Z1677" s="42"/>
      <c r="AA1677" s="42"/>
      <c r="AB1677" s="42" t="str">
        <f>IFERROR(__xludf.DUMMYFUNCTION("""COMPUTED_VALUE"""),"allen institute")</f>
        <v>allen institute</v>
      </c>
      <c r="AC1677" s="42" t="str">
        <f>IFERROR(__xludf.DUMMYFUNCTION("""COMPUTED_VALUE"""),"DHBA")</f>
        <v>DHBA</v>
      </c>
      <c r="AD1677" s="42"/>
      <c r="AE1677" s="42"/>
      <c r="AF1677" s="9"/>
      <c r="AG1677" s="9"/>
      <c r="AH1677" s="42"/>
      <c r="AI1677" s="42"/>
      <c r="AJ1677" s="42"/>
      <c r="AK1677" s="42"/>
      <c r="AL1677" s="42"/>
      <c r="AM1677" s="42"/>
      <c r="AN1677" s="42"/>
      <c r="AO1677" s="63" t="str">
        <f>IFERROR(__xludf.DUMMYFUNCTION("IF(ISBLANK(A1677),,IF(ISBLANK(S1677), A1677&amp;"";"", TEXTJOIN(CHAR(10), TRUE, A1677&amp;"";"", ARRAYFORMULA(VLOOKUP(SPLIT(S1677, "";"" &amp; CHAR(10)), $A:$AO, 41, FALSE)))))"),"A30-3;")</f>
        <v>A30-3;</v>
      </c>
      <c r="AP1677" s="89"/>
    </row>
    <row r="1678">
      <c r="A1678" s="151" t="str">
        <f>IFERROR(__xludf.DUMMYFUNCTION("""COMPUTED_VALUE"""),"A30-5")</f>
        <v>A30-5</v>
      </c>
      <c r="B1678" s="42" t="str">
        <f>IFERROR(__xludf.DUMMYFUNCTION("""COMPUTED_VALUE"""),"DHBA")</f>
        <v>DHBA</v>
      </c>
      <c r="C1678" s="42" t="str">
        <f>IFERROR(__xludf.DUMMYFUNCTION("""COMPUTED_VALUE"""),"layer V of area 30")</f>
        <v>layer V of area 30</v>
      </c>
      <c r="D1678" s="42">
        <f>IFERROR(__xludf.DUMMYFUNCTION("""COMPUTED_VALUE"""),1578.0)</f>
        <v>1578</v>
      </c>
      <c r="E1678" s="39" t="str">
        <f>IFERROR(__xludf.DUMMYFUNCTION("""COMPUTED_VALUE"""),"layer V of area 30")</f>
        <v>layer V of area 30</v>
      </c>
      <c r="F1678" s="9" t="str">
        <f>IFERROR(__xludf.DUMMYFUNCTION("""COMPUTED_VALUE"""),"Br")</f>
        <v>Br</v>
      </c>
      <c r="G1678" s="9" t="str">
        <f>IFERROR(__xludf.DUMMYFUNCTION("""COMPUTED_VALUE"""),"F")</f>
        <v>F</v>
      </c>
      <c r="H1678" s="9" t="str">
        <f>IFERROR(__xludf.DUMMYFUNCTION("""COMPUTED_VALUE"""),"FGM")</f>
        <v>FGM</v>
      </c>
      <c r="I1678" s="9" t="str">
        <f>IFERROR(__xludf.DUMMYFUNCTION("""COMPUTED_VALUE"""),"Tel")</f>
        <v>Tel</v>
      </c>
      <c r="J1678" s="9" t="str">
        <f>IFERROR(__xludf.DUMMYFUNCTION("""COMPUTED_VALUE"""),"Cx")</f>
        <v>Cx</v>
      </c>
      <c r="K1678" s="9" t="str">
        <f>IFERROR(__xludf.DUMMYFUNCTION("""COMPUTED_VALUE"""),"PACx")</f>
        <v>PACx</v>
      </c>
      <c r="L1678" s="9" t="str">
        <f>IFERROR(__xludf.DUMMYFUNCTION("""COMPUTED_VALUE"""),"PArCx")</f>
        <v>PArCx</v>
      </c>
      <c r="M1678" s="9" t="str">
        <f>IFERROR(__xludf.DUMMYFUNCTION("""COMPUTED_VALUE"""),"RSC")</f>
        <v>RSC</v>
      </c>
      <c r="N1678" s="9" t="str">
        <f>IFERROR(__xludf.DUMMYFUNCTION("""COMPUTED_VALUE"""),"A30")</f>
        <v>A30</v>
      </c>
      <c r="O1678" s="9" t="str">
        <f>IFERROR(__xludf.DUMMYFUNCTION("""COMPUTED_VALUE"""),"A30-5")</f>
        <v>A30-5</v>
      </c>
      <c r="P1678" s="9"/>
      <c r="Q1678" s="9"/>
      <c r="R1678" s="9"/>
      <c r="S1678" s="42"/>
      <c r="T1678" s="42"/>
      <c r="U1678" s="42"/>
      <c r="V1678" s="42"/>
      <c r="W1678" s="42"/>
      <c r="X1678" s="42"/>
      <c r="Y1678" s="42"/>
      <c r="Z1678" s="42"/>
      <c r="AA1678" s="42"/>
      <c r="AB1678" s="42" t="str">
        <f>IFERROR(__xludf.DUMMYFUNCTION("""COMPUTED_VALUE"""),"allen institute")</f>
        <v>allen institute</v>
      </c>
      <c r="AC1678" s="42" t="str">
        <f>IFERROR(__xludf.DUMMYFUNCTION("""COMPUTED_VALUE"""),"DHBA")</f>
        <v>DHBA</v>
      </c>
      <c r="AD1678" s="42"/>
      <c r="AE1678" s="42"/>
      <c r="AF1678" s="9"/>
      <c r="AG1678" s="9"/>
      <c r="AH1678" s="42"/>
      <c r="AI1678" s="42"/>
      <c r="AJ1678" s="42"/>
      <c r="AK1678" s="42"/>
      <c r="AL1678" s="42"/>
      <c r="AM1678" s="42"/>
      <c r="AN1678" s="42"/>
      <c r="AO1678" s="63" t="str">
        <f>IFERROR(__xludf.DUMMYFUNCTION("IF(ISBLANK(A1678),,IF(ISBLANK(S1678), A1678&amp;"";"", TEXTJOIN(CHAR(10), TRUE, A1678&amp;"";"", ARRAYFORMULA(VLOOKUP(SPLIT(S1678, "";"" &amp; CHAR(10)), $A:$AO, 41, FALSE)))))"),"A30-5;")</f>
        <v>A30-5;</v>
      </c>
      <c r="AP1678" s="89"/>
    </row>
    <row r="1679">
      <c r="A1679" s="151" t="str">
        <f>IFERROR(__xludf.DUMMYFUNCTION("""COMPUTED_VALUE"""),"A30-6")</f>
        <v>A30-6</v>
      </c>
      <c r="B1679" s="42" t="str">
        <f>IFERROR(__xludf.DUMMYFUNCTION("""COMPUTED_VALUE"""),"DHBA")</f>
        <v>DHBA</v>
      </c>
      <c r="C1679" s="42" t="str">
        <f>IFERROR(__xludf.DUMMYFUNCTION("""COMPUTED_VALUE"""),"layer VI of area 30")</f>
        <v>layer VI of area 30</v>
      </c>
      <c r="D1679" s="42">
        <f>IFERROR(__xludf.DUMMYFUNCTION("""COMPUTED_VALUE"""),1579.0)</f>
        <v>1579</v>
      </c>
      <c r="E1679" s="39" t="str">
        <f>IFERROR(__xludf.DUMMYFUNCTION("""COMPUTED_VALUE"""),"layer VI of area 30")</f>
        <v>layer VI of area 30</v>
      </c>
      <c r="F1679" s="9" t="str">
        <f>IFERROR(__xludf.DUMMYFUNCTION("""COMPUTED_VALUE"""),"Br")</f>
        <v>Br</v>
      </c>
      <c r="G1679" s="9" t="str">
        <f>IFERROR(__xludf.DUMMYFUNCTION("""COMPUTED_VALUE"""),"F")</f>
        <v>F</v>
      </c>
      <c r="H1679" s="9" t="str">
        <f>IFERROR(__xludf.DUMMYFUNCTION("""COMPUTED_VALUE"""),"FGM")</f>
        <v>FGM</v>
      </c>
      <c r="I1679" s="9" t="str">
        <f>IFERROR(__xludf.DUMMYFUNCTION("""COMPUTED_VALUE"""),"Tel")</f>
        <v>Tel</v>
      </c>
      <c r="J1679" s="9" t="str">
        <f>IFERROR(__xludf.DUMMYFUNCTION("""COMPUTED_VALUE"""),"Cx")</f>
        <v>Cx</v>
      </c>
      <c r="K1679" s="9" t="str">
        <f>IFERROR(__xludf.DUMMYFUNCTION("""COMPUTED_VALUE"""),"PACx")</f>
        <v>PACx</v>
      </c>
      <c r="L1679" s="9" t="str">
        <f>IFERROR(__xludf.DUMMYFUNCTION("""COMPUTED_VALUE"""),"PArCx")</f>
        <v>PArCx</v>
      </c>
      <c r="M1679" s="9" t="str">
        <f>IFERROR(__xludf.DUMMYFUNCTION("""COMPUTED_VALUE"""),"RSC")</f>
        <v>RSC</v>
      </c>
      <c r="N1679" s="9" t="str">
        <f>IFERROR(__xludf.DUMMYFUNCTION("""COMPUTED_VALUE"""),"A30")</f>
        <v>A30</v>
      </c>
      <c r="O1679" s="9" t="str">
        <f>IFERROR(__xludf.DUMMYFUNCTION("""COMPUTED_VALUE"""),"A30-6")</f>
        <v>A30-6</v>
      </c>
      <c r="P1679" s="9"/>
      <c r="Q1679" s="9"/>
      <c r="R1679" s="9"/>
      <c r="S1679" s="42"/>
      <c r="T1679" s="42"/>
      <c r="U1679" s="42"/>
      <c r="V1679" s="42"/>
      <c r="W1679" s="42"/>
      <c r="X1679" s="42"/>
      <c r="Y1679" s="42"/>
      <c r="Z1679" s="42"/>
      <c r="AA1679" s="42"/>
      <c r="AB1679" s="42" t="str">
        <f>IFERROR(__xludf.DUMMYFUNCTION("""COMPUTED_VALUE"""),"allen institute")</f>
        <v>allen institute</v>
      </c>
      <c r="AC1679" s="42" t="str">
        <f>IFERROR(__xludf.DUMMYFUNCTION("""COMPUTED_VALUE"""),"DHBA")</f>
        <v>DHBA</v>
      </c>
      <c r="AD1679" s="42"/>
      <c r="AE1679" s="42"/>
      <c r="AF1679" s="9"/>
      <c r="AG1679" s="9"/>
      <c r="AH1679" s="42"/>
      <c r="AI1679" s="42"/>
      <c r="AJ1679" s="42"/>
      <c r="AK1679" s="42"/>
      <c r="AL1679" s="42"/>
      <c r="AM1679" s="42"/>
      <c r="AN1679" s="42"/>
      <c r="AO1679" s="63" t="str">
        <f>IFERROR(__xludf.DUMMYFUNCTION("IF(ISBLANK(A1679),,IF(ISBLANK(S1679), A1679&amp;"";"", TEXTJOIN(CHAR(10), TRUE, A1679&amp;"";"", ARRAYFORMULA(VLOOKUP(SPLIT(S1679, "";"" &amp; CHAR(10)), $A:$AO, 41, FALSE)))))"),"A30-6;")</f>
        <v>A30-6;</v>
      </c>
      <c r="AP1679" s="89"/>
    </row>
    <row r="1680">
      <c r="A1680" s="151" t="str">
        <f>IFERROR(__xludf.DUMMYFUNCTION("""COMPUTED_VALUE"""),"PPCx")</f>
        <v>PPCx</v>
      </c>
      <c r="B1680" s="42" t="str">
        <f>IFERROR(__xludf.DUMMYFUNCTION("""COMPUTED_VALUE"""),"DHBA")</f>
        <v>DHBA</v>
      </c>
      <c r="C1680" s="42" t="str">
        <f>IFERROR(__xludf.DUMMYFUNCTION("""COMPUTED_VALUE"""),"peripaleocortex")</f>
        <v>peripaleocortex</v>
      </c>
      <c r="D1680" s="42">
        <f>IFERROR(__xludf.DUMMYFUNCTION("""COMPUTED_VALUE"""),1580.0)</f>
        <v>1580</v>
      </c>
      <c r="E1680" s="39" t="str">
        <f>IFERROR(__xludf.DUMMYFUNCTION("""COMPUTED_VALUE"""),"peripaleocortex")</f>
        <v>peripaleocortex</v>
      </c>
      <c r="F1680" s="9" t="str">
        <f>IFERROR(__xludf.DUMMYFUNCTION("""COMPUTED_VALUE"""),"Br")</f>
        <v>Br</v>
      </c>
      <c r="G1680" s="9" t="str">
        <f>IFERROR(__xludf.DUMMYFUNCTION("""COMPUTED_VALUE"""),"F")</f>
        <v>F</v>
      </c>
      <c r="H1680" s="9" t="str">
        <f>IFERROR(__xludf.DUMMYFUNCTION("""COMPUTED_VALUE"""),"FGM")</f>
        <v>FGM</v>
      </c>
      <c r="I1680" s="9" t="str">
        <f>IFERROR(__xludf.DUMMYFUNCTION("""COMPUTED_VALUE"""),"Tel")</f>
        <v>Tel</v>
      </c>
      <c r="J1680" s="9" t="str">
        <f>IFERROR(__xludf.DUMMYFUNCTION("""COMPUTED_VALUE"""),"Cx")</f>
        <v>Cx</v>
      </c>
      <c r="K1680" s="9" t="str">
        <f>IFERROR(__xludf.DUMMYFUNCTION("""COMPUTED_VALUE"""),"PACx")</f>
        <v>PACx</v>
      </c>
      <c r="L1680" s="9" t="str">
        <f>IFERROR(__xludf.DUMMYFUNCTION("""COMPUTED_VALUE"""),"PPCx")</f>
        <v>PPCx</v>
      </c>
      <c r="M1680" s="9"/>
      <c r="N1680" s="9"/>
      <c r="O1680" s="9"/>
      <c r="P1680" s="9"/>
      <c r="Q1680" s="9"/>
      <c r="R1680" s="9"/>
      <c r="S1680" s="42" t="str">
        <f>IFERROR(__xludf.DUMMYFUNCTION("""COMPUTED_VALUE"""),"Iag;
FI;
TI")</f>
        <v>Iag;
FI;
TI</v>
      </c>
      <c r="T1680" s="42"/>
      <c r="U1680" s="42" t="b">
        <f>IFERROR(__xludf.DUMMYFUNCTION("""COMPUTED_VALUE"""),FALSE)</f>
        <v>0</v>
      </c>
      <c r="V1680" s="42"/>
      <c r="W1680" s="42"/>
      <c r="X1680" s="42"/>
      <c r="Y1680" s="42"/>
      <c r="Z1680" s="42"/>
      <c r="AA1680" s="42"/>
      <c r="AB1680" s="42" t="str">
        <f>IFERROR(__xludf.DUMMYFUNCTION("""COMPUTED_VALUE"""),"allen institute")</f>
        <v>allen institute</v>
      </c>
      <c r="AC1680" s="42" t="str">
        <f>IFERROR(__xludf.DUMMYFUNCTION("""COMPUTED_VALUE"""),"DHBA")</f>
        <v>DHBA</v>
      </c>
      <c r="AD1680" s="42"/>
      <c r="AE1680" s="42"/>
      <c r="AF1680" s="9"/>
      <c r="AG1680" s="9"/>
      <c r="AH1680" s="42"/>
      <c r="AI1680" s="42"/>
      <c r="AJ1680" s="42"/>
      <c r="AK1680" s="42"/>
      <c r="AL1680" s="42"/>
      <c r="AM1680" s="42"/>
      <c r="AN1680" s="42"/>
      <c r="AO1680" s="63" t="str">
        <f>IFERROR(__xludf.DUMMYFUNCTION("IF(ISBLANK(A1680),,IF(ISBLANK(S1680), A1680&amp;"";"", TEXTJOIN(CHAR(10), TRUE, A1680&amp;"";"", ARRAYFORMULA(VLOOKUP(SPLIT(S1680, "";"" &amp; CHAR(10)), $A:$AO, 41, FALSE)))))"),"PPCx;
Iag;
Iag1;
Iag2;
Iag3;
Iag5;
Iag6;
FI;
FI1;
FI2;
FI3;
FI5;
FI6;
TI;
TI1;
TI2;
TI3;
TI5;
TI6;")</f>
        <v>PPCx;
Iag;
Iag1;
Iag2;
Iag3;
Iag5;
Iag6;
FI;
FI1;
FI2;
FI3;
FI5;
FI6;
TI;
TI1;
TI2;
TI3;
TI5;
TI6;</v>
      </c>
      <c r="AP1680" s="89"/>
    </row>
    <row r="1681">
      <c r="A1681" s="151" t="str">
        <f>IFERROR(__xludf.DUMMYFUNCTION("""COMPUTED_VALUE"""),"Iag")</f>
        <v>Iag</v>
      </c>
      <c r="B1681" s="42" t="str">
        <f>IFERROR(__xludf.DUMMYFUNCTION("""COMPUTED_VALUE"""),"DHBA")</f>
        <v>DHBA</v>
      </c>
      <c r="C1681" s="42" t="str">
        <f>IFERROR(__xludf.DUMMYFUNCTION("""COMPUTED_VALUE"""),"agranular insular cortex")</f>
        <v>agranular insular cortex</v>
      </c>
      <c r="D1681" s="42">
        <f>IFERROR(__xludf.DUMMYFUNCTION("""COMPUTED_VALUE"""),1581.0)</f>
        <v>1581</v>
      </c>
      <c r="E1681" s="39" t="str">
        <f>IFERROR(__xludf.DUMMYFUNCTION("""COMPUTED_VALUE"""),"agranular insular cortex (area Iag)")</f>
        <v>agranular insular cortex (area Iag)</v>
      </c>
      <c r="F1681" s="9" t="str">
        <f>IFERROR(__xludf.DUMMYFUNCTION("""COMPUTED_VALUE"""),"Br")</f>
        <v>Br</v>
      </c>
      <c r="G1681" s="9" t="str">
        <f>IFERROR(__xludf.DUMMYFUNCTION("""COMPUTED_VALUE"""),"F")</f>
        <v>F</v>
      </c>
      <c r="H1681" s="9" t="str">
        <f>IFERROR(__xludf.DUMMYFUNCTION("""COMPUTED_VALUE"""),"FGM")</f>
        <v>FGM</v>
      </c>
      <c r="I1681" s="9" t="str">
        <f>IFERROR(__xludf.DUMMYFUNCTION("""COMPUTED_VALUE"""),"Tel")</f>
        <v>Tel</v>
      </c>
      <c r="J1681" s="9" t="str">
        <f>IFERROR(__xludf.DUMMYFUNCTION("""COMPUTED_VALUE"""),"Cx")</f>
        <v>Cx</v>
      </c>
      <c r="K1681" s="9" t="str">
        <f>IFERROR(__xludf.DUMMYFUNCTION("""COMPUTED_VALUE"""),"PACx")</f>
        <v>PACx</v>
      </c>
      <c r="L1681" s="9" t="str">
        <f>IFERROR(__xludf.DUMMYFUNCTION("""COMPUTED_VALUE"""),"PPCx")</f>
        <v>PPCx</v>
      </c>
      <c r="M1681" s="9" t="str">
        <f>IFERROR(__xludf.DUMMYFUNCTION("""COMPUTED_VALUE"""),"Iag")</f>
        <v>Iag</v>
      </c>
      <c r="N1681" s="9"/>
      <c r="O1681" s="9"/>
      <c r="P1681" s="9"/>
      <c r="Q1681" s="9"/>
      <c r="R1681" s="9"/>
      <c r="S1681" s="42" t="str">
        <f>IFERROR(__xludf.DUMMYFUNCTION("""COMPUTED_VALUE"""),"Iag1;
Iag2;
Iag3;
Iag5;
Iag6")</f>
        <v>Iag1;
Iag2;
Iag3;
Iag5;
Iag6</v>
      </c>
      <c r="T1681" s="42"/>
      <c r="U1681" s="42" t="b">
        <f>IFERROR(__xludf.DUMMYFUNCTION("""COMPUTED_VALUE"""),FALSE)</f>
        <v>0</v>
      </c>
      <c r="V1681" s="42"/>
      <c r="W1681" s="42"/>
      <c r="X1681" s="42"/>
      <c r="Y1681" s="42"/>
      <c r="Z1681" s="42"/>
      <c r="AA1681" s="42"/>
      <c r="AB1681" s="42" t="str">
        <f>IFERROR(__xludf.DUMMYFUNCTION("""COMPUTED_VALUE"""),"allen institute")</f>
        <v>allen institute</v>
      </c>
      <c r="AC1681" s="42" t="str">
        <f>IFERROR(__xludf.DUMMYFUNCTION("""COMPUTED_VALUE"""),"DHBA")</f>
        <v>DHBA</v>
      </c>
      <c r="AD1681" s="42"/>
      <c r="AE1681" s="42"/>
      <c r="AF1681" s="9"/>
      <c r="AG1681" s="9"/>
      <c r="AH1681" s="42"/>
      <c r="AI1681" s="42"/>
      <c r="AJ1681" s="42"/>
      <c r="AK1681" s="42"/>
      <c r="AL1681" s="42"/>
      <c r="AM1681" s="42"/>
      <c r="AN1681" s="42"/>
      <c r="AO1681" s="63" t="str">
        <f>IFERROR(__xludf.DUMMYFUNCTION("IF(ISBLANK(A1681),,IF(ISBLANK(S1681), A1681&amp;"";"", TEXTJOIN(CHAR(10), TRUE, A1681&amp;"";"", ARRAYFORMULA(VLOOKUP(SPLIT(S1681, "";"" &amp; CHAR(10)), $A:$AO, 41, FALSE)))))"),"Iag;
Iag1;
Iag2;
Iag3;
Iag5;
Iag6;")</f>
        <v>Iag;
Iag1;
Iag2;
Iag3;
Iag5;
Iag6;</v>
      </c>
      <c r="AP1681" s="89"/>
    </row>
    <row r="1682">
      <c r="A1682" s="151" t="str">
        <f>IFERROR(__xludf.DUMMYFUNCTION("""COMPUTED_VALUE"""),"Iag1")</f>
        <v>Iag1</v>
      </c>
      <c r="B1682" s="42" t="str">
        <f>IFERROR(__xludf.DUMMYFUNCTION("""COMPUTED_VALUE"""),"DHBA")</f>
        <v>DHBA</v>
      </c>
      <c r="C1682" s="42" t="str">
        <f>IFERROR(__xludf.DUMMYFUNCTION("""COMPUTED_VALUE"""),"layer I of area Iag")</f>
        <v>layer I of area Iag</v>
      </c>
      <c r="D1682" s="42">
        <f>IFERROR(__xludf.DUMMYFUNCTION("""COMPUTED_VALUE"""),1582.0)</f>
        <v>1582</v>
      </c>
      <c r="E1682" s="39" t="str">
        <f>IFERROR(__xludf.DUMMYFUNCTION("""COMPUTED_VALUE"""),"layer I of area Iag")</f>
        <v>layer I of area Iag</v>
      </c>
      <c r="F1682" s="9" t="str">
        <f>IFERROR(__xludf.DUMMYFUNCTION("""COMPUTED_VALUE"""),"Br")</f>
        <v>Br</v>
      </c>
      <c r="G1682" s="9" t="str">
        <f>IFERROR(__xludf.DUMMYFUNCTION("""COMPUTED_VALUE"""),"F")</f>
        <v>F</v>
      </c>
      <c r="H1682" s="9" t="str">
        <f>IFERROR(__xludf.DUMMYFUNCTION("""COMPUTED_VALUE"""),"FGM")</f>
        <v>FGM</v>
      </c>
      <c r="I1682" s="9" t="str">
        <f>IFERROR(__xludf.DUMMYFUNCTION("""COMPUTED_VALUE"""),"Tel")</f>
        <v>Tel</v>
      </c>
      <c r="J1682" s="9" t="str">
        <f>IFERROR(__xludf.DUMMYFUNCTION("""COMPUTED_VALUE"""),"Cx")</f>
        <v>Cx</v>
      </c>
      <c r="K1682" s="9" t="str">
        <f>IFERROR(__xludf.DUMMYFUNCTION("""COMPUTED_VALUE"""),"PACx")</f>
        <v>PACx</v>
      </c>
      <c r="L1682" s="9" t="str">
        <f>IFERROR(__xludf.DUMMYFUNCTION("""COMPUTED_VALUE"""),"PPCx")</f>
        <v>PPCx</v>
      </c>
      <c r="M1682" s="9" t="str">
        <f>IFERROR(__xludf.DUMMYFUNCTION("""COMPUTED_VALUE"""),"Iag")</f>
        <v>Iag</v>
      </c>
      <c r="N1682" s="9" t="str">
        <f>IFERROR(__xludf.DUMMYFUNCTION("""COMPUTED_VALUE"""),"Iag1")</f>
        <v>Iag1</v>
      </c>
      <c r="O1682" s="9"/>
      <c r="P1682" s="9"/>
      <c r="Q1682" s="9"/>
      <c r="R1682" s="9"/>
      <c r="S1682" s="42"/>
      <c r="T1682" s="42"/>
      <c r="U1682" s="42"/>
      <c r="V1682" s="42"/>
      <c r="W1682" s="42"/>
      <c r="X1682" s="42"/>
      <c r="Y1682" s="42"/>
      <c r="Z1682" s="42"/>
      <c r="AA1682" s="42"/>
      <c r="AB1682" s="42" t="str">
        <f>IFERROR(__xludf.DUMMYFUNCTION("""COMPUTED_VALUE"""),"allen institute")</f>
        <v>allen institute</v>
      </c>
      <c r="AC1682" s="42" t="str">
        <f>IFERROR(__xludf.DUMMYFUNCTION("""COMPUTED_VALUE"""),"DHBA")</f>
        <v>DHBA</v>
      </c>
      <c r="AD1682" s="42"/>
      <c r="AE1682" s="42"/>
      <c r="AF1682" s="9"/>
      <c r="AG1682" s="9"/>
      <c r="AH1682" s="42"/>
      <c r="AI1682" s="42"/>
      <c r="AJ1682" s="42"/>
      <c r="AK1682" s="42"/>
      <c r="AL1682" s="42"/>
      <c r="AM1682" s="42"/>
      <c r="AN1682" s="42"/>
      <c r="AO1682" s="63" t="str">
        <f>IFERROR(__xludf.DUMMYFUNCTION("IF(ISBLANK(A1682),,IF(ISBLANK(S1682), A1682&amp;"";"", TEXTJOIN(CHAR(10), TRUE, A1682&amp;"";"", ARRAYFORMULA(VLOOKUP(SPLIT(S1682, "";"" &amp; CHAR(10)), $A:$AO, 41, FALSE)))))"),"Iag1;")</f>
        <v>Iag1;</v>
      </c>
      <c r="AP1682" s="89"/>
    </row>
    <row r="1683">
      <c r="A1683" s="151" t="str">
        <f>IFERROR(__xludf.DUMMYFUNCTION("""COMPUTED_VALUE"""),"Iag2")</f>
        <v>Iag2</v>
      </c>
      <c r="B1683" s="42" t="str">
        <f>IFERROR(__xludf.DUMMYFUNCTION("""COMPUTED_VALUE"""),"DHBA")</f>
        <v>DHBA</v>
      </c>
      <c r="C1683" s="42" t="str">
        <f>IFERROR(__xludf.DUMMYFUNCTION("""COMPUTED_VALUE"""),"layer II of area Iag")</f>
        <v>layer II of area Iag</v>
      </c>
      <c r="D1683" s="42">
        <f>IFERROR(__xludf.DUMMYFUNCTION("""COMPUTED_VALUE"""),1583.0)</f>
        <v>1583</v>
      </c>
      <c r="E1683" s="39" t="str">
        <f>IFERROR(__xludf.DUMMYFUNCTION("""COMPUTED_VALUE"""),"layer II of area Iag")</f>
        <v>layer II of area Iag</v>
      </c>
      <c r="F1683" s="9" t="str">
        <f>IFERROR(__xludf.DUMMYFUNCTION("""COMPUTED_VALUE"""),"Br")</f>
        <v>Br</v>
      </c>
      <c r="G1683" s="9" t="str">
        <f>IFERROR(__xludf.DUMMYFUNCTION("""COMPUTED_VALUE"""),"F")</f>
        <v>F</v>
      </c>
      <c r="H1683" s="9" t="str">
        <f>IFERROR(__xludf.DUMMYFUNCTION("""COMPUTED_VALUE"""),"FGM")</f>
        <v>FGM</v>
      </c>
      <c r="I1683" s="9" t="str">
        <f>IFERROR(__xludf.DUMMYFUNCTION("""COMPUTED_VALUE"""),"Tel")</f>
        <v>Tel</v>
      </c>
      <c r="J1683" s="9" t="str">
        <f>IFERROR(__xludf.DUMMYFUNCTION("""COMPUTED_VALUE"""),"Cx")</f>
        <v>Cx</v>
      </c>
      <c r="K1683" s="9" t="str">
        <f>IFERROR(__xludf.DUMMYFUNCTION("""COMPUTED_VALUE"""),"PACx")</f>
        <v>PACx</v>
      </c>
      <c r="L1683" s="9" t="str">
        <f>IFERROR(__xludf.DUMMYFUNCTION("""COMPUTED_VALUE"""),"PPCx")</f>
        <v>PPCx</v>
      </c>
      <c r="M1683" s="9" t="str">
        <f>IFERROR(__xludf.DUMMYFUNCTION("""COMPUTED_VALUE"""),"Iag")</f>
        <v>Iag</v>
      </c>
      <c r="N1683" s="9" t="str">
        <f>IFERROR(__xludf.DUMMYFUNCTION("""COMPUTED_VALUE"""),"Iag2")</f>
        <v>Iag2</v>
      </c>
      <c r="O1683" s="9"/>
      <c r="P1683" s="9"/>
      <c r="Q1683" s="9"/>
      <c r="R1683" s="9"/>
      <c r="S1683" s="42"/>
      <c r="T1683" s="42"/>
      <c r="U1683" s="42"/>
      <c r="V1683" s="42"/>
      <c r="W1683" s="42"/>
      <c r="X1683" s="42"/>
      <c r="Y1683" s="42"/>
      <c r="Z1683" s="42"/>
      <c r="AA1683" s="42"/>
      <c r="AB1683" s="42" t="str">
        <f>IFERROR(__xludf.DUMMYFUNCTION("""COMPUTED_VALUE"""),"allen institute")</f>
        <v>allen institute</v>
      </c>
      <c r="AC1683" s="42" t="str">
        <f>IFERROR(__xludf.DUMMYFUNCTION("""COMPUTED_VALUE"""),"DHBA")</f>
        <v>DHBA</v>
      </c>
      <c r="AD1683" s="42"/>
      <c r="AE1683" s="42"/>
      <c r="AF1683" s="9"/>
      <c r="AG1683" s="9"/>
      <c r="AH1683" s="42"/>
      <c r="AI1683" s="42"/>
      <c r="AJ1683" s="42"/>
      <c r="AK1683" s="42"/>
      <c r="AL1683" s="42"/>
      <c r="AM1683" s="42"/>
      <c r="AN1683" s="42"/>
      <c r="AO1683" s="63" t="str">
        <f>IFERROR(__xludf.DUMMYFUNCTION("IF(ISBLANK(A1683),,IF(ISBLANK(S1683), A1683&amp;"";"", TEXTJOIN(CHAR(10), TRUE, A1683&amp;"";"", ARRAYFORMULA(VLOOKUP(SPLIT(S1683, "";"" &amp; CHAR(10)), $A:$AO, 41, FALSE)))))"),"Iag2;")</f>
        <v>Iag2;</v>
      </c>
      <c r="AP1683" s="89"/>
    </row>
    <row r="1684">
      <c r="A1684" s="151" t="str">
        <f>IFERROR(__xludf.DUMMYFUNCTION("""COMPUTED_VALUE"""),"Iag3")</f>
        <v>Iag3</v>
      </c>
      <c r="B1684" s="42" t="str">
        <f>IFERROR(__xludf.DUMMYFUNCTION("""COMPUTED_VALUE"""),"DHBA")</f>
        <v>DHBA</v>
      </c>
      <c r="C1684" s="42" t="str">
        <f>IFERROR(__xludf.DUMMYFUNCTION("""COMPUTED_VALUE"""),"layer III of area Iag")</f>
        <v>layer III of area Iag</v>
      </c>
      <c r="D1684" s="42">
        <f>IFERROR(__xludf.DUMMYFUNCTION("""COMPUTED_VALUE"""),1584.0)</f>
        <v>1584</v>
      </c>
      <c r="E1684" s="39" t="str">
        <f>IFERROR(__xludf.DUMMYFUNCTION("""COMPUTED_VALUE"""),"layer III of area Iag")</f>
        <v>layer III of area Iag</v>
      </c>
      <c r="F1684" s="9" t="str">
        <f>IFERROR(__xludf.DUMMYFUNCTION("""COMPUTED_VALUE"""),"Br")</f>
        <v>Br</v>
      </c>
      <c r="G1684" s="9" t="str">
        <f>IFERROR(__xludf.DUMMYFUNCTION("""COMPUTED_VALUE"""),"F")</f>
        <v>F</v>
      </c>
      <c r="H1684" s="9" t="str">
        <f>IFERROR(__xludf.DUMMYFUNCTION("""COMPUTED_VALUE"""),"FGM")</f>
        <v>FGM</v>
      </c>
      <c r="I1684" s="9" t="str">
        <f>IFERROR(__xludf.DUMMYFUNCTION("""COMPUTED_VALUE"""),"Tel")</f>
        <v>Tel</v>
      </c>
      <c r="J1684" s="9" t="str">
        <f>IFERROR(__xludf.DUMMYFUNCTION("""COMPUTED_VALUE"""),"Cx")</f>
        <v>Cx</v>
      </c>
      <c r="K1684" s="9" t="str">
        <f>IFERROR(__xludf.DUMMYFUNCTION("""COMPUTED_VALUE"""),"PACx")</f>
        <v>PACx</v>
      </c>
      <c r="L1684" s="9" t="str">
        <f>IFERROR(__xludf.DUMMYFUNCTION("""COMPUTED_VALUE"""),"PPCx")</f>
        <v>PPCx</v>
      </c>
      <c r="M1684" s="9" t="str">
        <f>IFERROR(__xludf.DUMMYFUNCTION("""COMPUTED_VALUE"""),"Iag")</f>
        <v>Iag</v>
      </c>
      <c r="N1684" s="9" t="str">
        <f>IFERROR(__xludf.DUMMYFUNCTION("""COMPUTED_VALUE"""),"Iag3")</f>
        <v>Iag3</v>
      </c>
      <c r="O1684" s="9"/>
      <c r="P1684" s="9"/>
      <c r="Q1684" s="9"/>
      <c r="R1684" s="9"/>
      <c r="S1684" s="42"/>
      <c r="T1684" s="42"/>
      <c r="U1684" s="42"/>
      <c r="V1684" s="42"/>
      <c r="W1684" s="42"/>
      <c r="X1684" s="42"/>
      <c r="Y1684" s="42"/>
      <c r="Z1684" s="42"/>
      <c r="AA1684" s="42"/>
      <c r="AB1684" s="42" t="str">
        <f>IFERROR(__xludf.DUMMYFUNCTION("""COMPUTED_VALUE"""),"allen institute")</f>
        <v>allen institute</v>
      </c>
      <c r="AC1684" s="42" t="str">
        <f>IFERROR(__xludf.DUMMYFUNCTION("""COMPUTED_VALUE"""),"DHBA")</f>
        <v>DHBA</v>
      </c>
      <c r="AD1684" s="42"/>
      <c r="AE1684" s="42"/>
      <c r="AF1684" s="9"/>
      <c r="AG1684" s="9"/>
      <c r="AH1684" s="42"/>
      <c r="AI1684" s="42"/>
      <c r="AJ1684" s="42"/>
      <c r="AK1684" s="42"/>
      <c r="AL1684" s="42"/>
      <c r="AM1684" s="42"/>
      <c r="AN1684" s="42"/>
      <c r="AO1684" s="63" t="str">
        <f>IFERROR(__xludf.DUMMYFUNCTION("IF(ISBLANK(A1684),,IF(ISBLANK(S1684), A1684&amp;"";"", TEXTJOIN(CHAR(10), TRUE, A1684&amp;"";"", ARRAYFORMULA(VLOOKUP(SPLIT(S1684, "";"" &amp; CHAR(10)), $A:$AO, 41, FALSE)))))"),"Iag3;")</f>
        <v>Iag3;</v>
      </c>
      <c r="AP1684" s="89"/>
    </row>
    <row r="1685">
      <c r="A1685" s="151" t="str">
        <f>IFERROR(__xludf.DUMMYFUNCTION("""COMPUTED_VALUE"""),"Iag5")</f>
        <v>Iag5</v>
      </c>
      <c r="B1685" s="42" t="str">
        <f>IFERROR(__xludf.DUMMYFUNCTION("""COMPUTED_VALUE"""),"DHBA")</f>
        <v>DHBA</v>
      </c>
      <c r="C1685" s="42" t="str">
        <f>IFERROR(__xludf.DUMMYFUNCTION("""COMPUTED_VALUE"""),"layer V of area Iag")</f>
        <v>layer V of area Iag</v>
      </c>
      <c r="D1685" s="42">
        <f>IFERROR(__xludf.DUMMYFUNCTION("""COMPUTED_VALUE"""),1585.0)</f>
        <v>1585</v>
      </c>
      <c r="E1685" s="39" t="str">
        <f>IFERROR(__xludf.DUMMYFUNCTION("""COMPUTED_VALUE"""),"layer V of area Iag")</f>
        <v>layer V of area Iag</v>
      </c>
      <c r="F1685" s="9" t="str">
        <f>IFERROR(__xludf.DUMMYFUNCTION("""COMPUTED_VALUE"""),"Br")</f>
        <v>Br</v>
      </c>
      <c r="G1685" s="9" t="str">
        <f>IFERROR(__xludf.DUMMYFUNCTION("""COMPUTED_VALUE"""),"F")</f>
        <v>F</v>
      </c>
      <c r="H1685" s="9" t="str">
        <f>IFERROR(__xludf.DUMMYFUNCTION("""COMPUTED_VALUE"""),"FGM")</f>
        <v>FGM</v>
      </c>
      <c r="I1685" s="9" t="str">
        <f>IFERROR(__xludf.DUMMYFUNCTION("""COMPUTED_VALUE"""),"Tel")</f>
        <v>Tel</v>
      </c>
      <c r="J1685" s="9" t="str">
        <f>IFERROR(__xludf.DUMMYFUNCTION("""COMPUTED_VALUE"""),"Cx")</f>
        <v>Cx</v>
      </c>
      <c r="K1685" s="9" t="str">
        <f>IFERROR(__xludf.DUMMYFUNCTION("""COMPUTED_VALUE"""),"PACx")</f>
        <v>PACx</v>
      </c>
      <c r="L1685" s="9" t="str">
        <f>IFERROR(__xludf.DUMMYFUNCTION("""COMPUTED_VALUE"""),"PPCx")</f>
        <v>PPCx</v>
      </c>
      <c r="M1685" s="9" t="str">
        <f>IFERROR(__xludf.DUMMYFUNCTION("""COMPUTED_VALUE"""),"Iag")</f>
        <v>Iag</v>
      </c>
      <c r="N1685" s="9" t="str">
        <f>IFERROR(__xludf.DUMMYFUNCTION("""COMPUTED_VALUE"""),"Iag5")</f>
        <v>Iag5</v>
      </c>
      <c r="O1685" s="9"/>
      <c r="P1685" s="9"/>
      <c r="Q1685" s="9"/>
      <c r="R1685" s="9"/>
      <c r="S1685" s="42"/>
      <c r="T1685" s="42"/>
      <c r="U1685" s="42"/>
      <c r="V1685" s="42"/>
      <c r="W1685" s="42"/>
      <c r="X1685" s="42"/>
      <c r="Y1685" s="42"/>
      <c r="Z1685" s="42"/>
      <c r="AA1685" s="42"/>
      <c r="AB1685" s="42" t="str">
        <f>IFERROR(__xludf.DUMMYFUNCTION("""COMPUTED_VALUE"""),"allen institute")</f>
        <v>allen institute</v>
      </c>
      <c r="AC1685" s="42" t="str">
        <f>IFERROR(__xludf.DUMMYFUNCTION("""COMPUTED_VALUE"""),"DHBA")</f>
        <v>DHBA</v>
      </c>
      <c r="AD1685" s="42"/>
      <c r="AE1685" s="42"/>
      <c r="AF1685" s="9"/>
      <c r="AG1685" s="9"/>
      <c r="AH1685" s="42"/>
      <c r="AI1685" s="42"/>
      <c r="AJ1685" s="42"/>
      <c r="AK1685" s="42"/>
      <c r="AL1685" s="42"/>
      <c r="AM1685" s="42"/>
      <c r="AN1685" s="42"/>
      <c r="AO1685" s="63" t="str">
        <f>IFERROR(__xludf.DUMMYFUNCTION("IF(ISBLANK(A1685),,IF(ISBLANK(S1685), A1685&amp;"";"", TEXTJOIN(CHAR(10), TRUE, A1685&amp;"";"", ARRAYFORMULA(VLOOKUP(SPLIT(S1685, "";"" &amp; CHAR(10)), $A:$AO, 41, FALSE)))))"),"Iag5;")</f>
        <v>Iag5;</v>
      </c>
      <c r="AP1685" s="89"/>
    </row>
    <row r="1686">
      <c r="A1686" s="151" t="str">
        <f>IFERROR(__xludf.DUMMYFUNCTION("""COMPUTED_VALUE"""),"Iag6")</f>
        <v>Iag6</v>
      </c>
      <c r="B1686" s="42" t="str">
        <f>IFERROR(__xludf.DUMMYFUNCTION("""COMPUTED_VALUE"""),"DHBA")</f>
        <v>DHBA</v>
      </c>
      <c r="C1686" s="42" t="str">
        <f>IFERROR(__xludf.DUMMYFUNCTION("""COMPUTED_VALUE"""),"layer VI of area Iag")</f>
        <v>layer VI of area Iag</v>
      </c>
      <c r="D1686" s="42">
        <f>IFERROR(__xludf.DUMMYFUNCTION("""COMPUTED_VALUE"""),1586.0)</f>
        <v>1586</v>
      </c>
      <c r="E1686" s="39" t="str">
        <f>IFERROR(__xludf.DUMMYFUNCTION("""COMPUTED_VALUE"""),"layer VI of area Iag")</f>
        <v>layer VI of area Iag</v>
      </c>
      <c r="F1686" s="9" t="str">
        <f>IFERROR(__xludf.DUMMYFUNCTION("""COMPUTED_VALUE"""),"Br")</f>
        <v>Br</v>
      </c>
      <c r="G1686" s="9" t="str">
        <f>IFERROR(__xludf.DUMMYFUNCTION("""COMPUTED_VALUE"""),"F")</f>
        <v>F</v>
      </c>
      <c r="H1686" s="9" t="str">
        <f>IFERROR(__xludf.DUMMYFUNCTION("""COMPUTED_VALUE"""),"FGM")</f>
        <v>FGM</v>
      </c>
      <c r="I1686" s="9" t="str">
        <f>IFERROR(__xludf.DUMMYFUNCTION("""COMPUTED_VALUE"""),"Tel")</f>
        <v>Tel</v>
      </c>
      <c r="J1686" s="9" t="str">
        <f>IFERROR(__xludf.DUMMYFUNCTION("""COMPUTED_VALUE"""),"Cx")</f>
        <v>Cx</v>
      </c>
      <c r="K1686" s="9" t="str">
        <f>IFERROR(__xludf.DUMMYFUNCTION("""COMPUTED_VALUE"""),"PACx")</f>
        <v>PACx</v>
      </c>
      <c r="L1686" s="9" t="str">
        <f>IFERROR(__xludf.DUMMYFUNCTION("""COMPUTED_VALUE"""),"PPCx")</f>
        <v>PPCx</v>
      </c>
      <c r="M1686" s="9" t="str">
        <f>IFERROR(__xludf.DUMMYFUNCTION("""COMPUTED_VALUE"""),"Iag")</f>
        <v>Iag</v>
      </c>
      <c r="N1686" s="9" t="str">
        <f>IFERROR(__xludf.DUMMYFUNCTION("""COMPUTED_VALUE"""),"Iag6")</f>
        <v>Iag6</v>
      </c>
      <c r="O1686" s="9"/>
      <c r="P1686" s="9"/>
      <c r="Q1686" s="9"/>
      <c r="R1686" s="9"/>
      <c r="S1686" s="42"/>
      <c r="T1686" s="42"/>
      <c r="U1686" s="42"/>
      <c r="V1686" s="42"/>
      <c r="W1686" s="42"/>
      <c r="X1686" s="42"/>
      <c r="Y1686" s="42"/>
      <c r="Z1686" s="42"/>
      <c r="AA1686" s="42"/>
      <c r="AB1686" s="42" t="str">
        <f>IFERROR(__xludf.DUMMYFUNCTION("""COMPUTED_VALUE"""),"allen institute")</f>
        <v>allen institute</v>
      </c>
      <c r="AC1686" s="42" t="str">
        <f>IFERROR(__xludf.DUMMYFUNCTION("""COMPUTED_VALUE"""),"DHBA")</f>
        <v>DHBA</v>
      </c>
      <c r="AD1686" s="42"/>
      <c r="AE1686" s="42"/>
      <c r="AF1686" s="9"/>
      <c r="AG1686" s="9"/>
      <c r="AH1686" s="42"/>
      <c r="AI1686" s="42"/>
      <c r="AJ1686" s="42"/>
      <c r="AK1686" s="42"/>
      <c r="AL1686" s="42"/>
      <c r="AM1686" s="42"/>
      <c r="AN1686" s="42"/>
      <c r="AO1686" s="63" t="str">
        <f>IFERROR(__xludf.DUMMYFUNCTION("IF(ISBLANK(A1686),,IF(ISBLANK(S1686), A1686&amp;"";"", TEXTJOIN(CHAR(10), TRUE, A1686&amp;"";"", ARRAYFORMULA(VLOOKUP(SPLIT(S1686, "";"" &amp; CHAR(10)), $A:$AO, 41, FALSE)))))"),"Iag6;")</f>
        <v>Iag6;</v>
      </c>
      <c r="AP1686" s="89"/>
    </row>
    <row r="1687">
      <c r="A1687" s="151" t="str">
        <f>IFERROR(__xludf.DUMMYFUNCTION("""COMPUTED_VALUE"""),"FI")</f>
        <v>FI</v>
      </c>
      <c r="B1687" s="42" t="str">
        <f>IFERROR(__xludf.DUMMYFUNCTION("""COMPUTED_VALUE"""),"DHBA")</f>
        <v>DHBA</v>
      </c>
      <c r="C1687" s="42" t="str">
        <f>IFERROR(__xludf.DUMMYFUNCTION("""COMPUTED_VALUE"""),"frontal agranular insular cortex (area FI)")</f>
        <v>frontal agranular insular cortex (area FI)</v>
      </c>
      <c r="D1687" s="42">
        <f>IFERROR(__xludf.DUMMYFUNCTION("""COMPUTED_VALUE"""),1587.0)</f>
        <v>1587</v>
      </c>
      <c r="E1687" s="39" t="str">
        <f>IFERROR(__xludf.DUMMYFUNCTION("""COMPUTED_VALUE"""),"frontal agranular insular cortex (area FI)")</f>
        <v>frontal agranular insular cortex (area FI)</v>
      </c>
      <c r="F1687" s="9" t="str">
        <f>IFERROR(__xludf.DUMMYFUNCTION("""COMPUTED_VALUE"""),"Br")</f>
        <v>Br</v>
      </c>
      <c r="G1687" s="9" t="str">
        <f>IFERROR(__xludf.DUMMYFUNCTION("""COMPUTED_VALUE"""),"F")</f>
        <v>F</v>
      </c>
      <c r="H1687" s="9" t="str">
        <f>IFERROR(__xludf.DUMMYFUNCTION("""COMPUTED_VALUE"""),"FGM")</f>
        <v>FGM</v>
      </c>
      <c r="I1687" s="9" t="str">
        <f>IFERROR(__xludf.DUMMYFUNCTION("""COMPUTED_VALUE"""),"Tel")</f>
        <v>Tel</v>
      </c>
      <c r="J1687" s="9" t="str">
        <f>IFERROR(__xludf.DUMMYFUNCTION("""COMPUTED_VALUE"""),"Cx")</f>
        <v>Cx</v>
      </c>
      <c r="K1687" s="9" t="str">
        <f>IFERROR(__xludf.DUMMYFUNCTION("""COMPUTED_VALUE"""),"PACx")</f>
        <v>PACx</v>
      </c>
      <c r="L1687" s="9" t="str">
        <f>IFERROR(__xludf.DUMMYFUNCTION("""COMPUTED_VALUE"""),"PPCx")</f>
        <v>PPCx</v>
      </c>
      <c r="M1687" s="9" t="str">
        <f>IFERROR(__xludf.DUMMYFUNCTION("""COMPUTED_VALUE"""),"FI")</f>
        <v>FI</v>
      </c>
      <c r="N1687" s="9"/>
      <c r="O1687" s="9"/>
      <c r="P1687" s="9"/>
      <c r="Q1687" s="9"/>
      <c r="R1687" s="9"/>
      <c r="S1687" s="42" t="str">
        <f>IFERROR(__xludf.DUMMYFUNCTION("""COMPUTED_VALUE"""),"FI1;
FI2;
FI3;
FI5;
FI6")</f>
        <v>FI1;
FI2;
FI3;
FI5;
FI6</v>
      </c>
      <c r="T1687" s="42"/>
      <c r="U1687" s="42" t="b">
        <f>IFERROR(__xludf.DUMMYFUNCTION("""COMPUTED_VALUE"""),FALSE)</f>
        <v>0</v>
      </c>
      <c r="V1687" s="42"/>
      <c r="W1687" s="42"/>
      <c r="X1687" s="42"/>
      <c r="Y1687" s="42"/>
      <c r="Z1687" s="42"/>
      <c r="AA1687" s="42"/>
      <c r="AB1687" s="42" t="str">
        <f>IFERROR(__xludf.DUMMYFUNCTION("""COMPUTED_VALUE"""),"allen institute")</f>
        <v>allen institute</v>
      </c>
      <c r="AC1687" s="42" t="str">
        <f>IFERROR(__xludf.DUMMYFUNCTION("""COMPUTED_VALUE"""),"DHBA")</f>
        <v>DHBA</v>
      </c>
      <c r="AD1687" s="42"/>
      <c r="AE1687" s="42"/>
      <c r="AF1687" s="9"/>
      <c r="AG1687" s="9"/>
      <c r="AH1687" s="42"/>
      <c r="AI1687" s="42"/>
      <c r="AJ1687" s="42"/>
      <c r="AK1687" s="42"/>
      <c r="AL1687" s="42"/>
      <c r="AM1687" s="42"/>
      <c r="AN1687" s="42"/>
      <c r="AO1687" s="63" t="str">
        <f>IFERROR(__xludf.DUMMYFUNCTION("IF(ISBLANK(A1687),,IF(ISBLANK(S1687), A1687&amp;"";"", TEXTJOIN(CHAR(10), TRUE, A1687&amp;"";"", ARRAYFORMULA(VLOOKUP(SPLIT(S1687, "";"" &amp; CHAR(10)), $A:$AO, 41, FALSE)))))"),"FI;
FI1;
FI2;
FI3;
FI5;
FI6;")</f>
        <v>FI;
FI1;
FI2;
FI3;
FI5;
FI6;</v>
      </c>
      <c r="AP1687" s="89"/>
    </row>
    <row r="1688">
      <c r="A1688" s="151" t="str">
        <f>IFERROR(__xludf.DUMMYFUNCTION("""COMPUTED_VALUE"""),"FI1")</f>
        <v>FI1</v>
      </c>
      <c r="B1688" s="42" t="str">
        <f>IFERROR(__xludf.DUMMYFUNCTION("""COMPUTED_VALUE"""),"DHBA")</f>
        <v>DHBA</v>
      </c>
      <c r="C1688" s="42" t="str">
        <f>IFERROR(__xludf.DUMMYFUNCTION("""COMPUTED_VALUE"""),"layer I of area FI")</f>
        <v>layer I of area FI</v>
      </c>
      <c r="D1688" s="42">
        <f>IFERROR(__xludf.DUMMYFUNCTION("""COMPUTED_VALUE"""),1588.0)</f>
        <v>1588</v>
      </c>
      <c r="E1688" s="39" t="str">
        <f>IFERROR(__xludf.DUMMYFUNCTION("""COMPUTED_VALUE"""),"layer I of area FI")</f>
        <v>layer I of area FI</v>
      </c>
      <c r="F1688" s="9" t="str">
        <f>IFERROR(__xludf.DUMMYFUNCTION("""COMPUTED_VALUE"""),"Br")</f>
        <v>Br</v>
      </c>
      <c r="G1688" s="9" t="str">
        <f>IFERROR(__xludf.DUMMYFUNCTION("""COMPUTED_VALUE"""),"F")</f>
        <v>F</v>
      </c>
      <c r="H1688" s="9" t="str">
        <f>IFERROR(__xludf.DUMMYFUNCTION("""COMPUTED_VALUE"""),"FGM")</f>
        <v>FGM</v>
      </c>
      <c r="I1688" s="9" t="str">
        <f>IFERROR(__xludf.DUMMYFUNCTION("""COMPUTED_VALUE"""),"Tel")</f>
        <v>Tel</v>
      </c>
      <c r="J1688" s="9" t="str">
        <f>IFERROR(__xludf.DUMMYFUNCTION("""COMPUTED_VALUE"""),"Cx")</f>
        <v>Cx</v>
      </c>
      <c r="K1688" s="9" t="str">
        <f>IFERROR(__xludf.DUMMYFUNCTION("""COMPUTED_VALUE"""),"PACx")</f>
        <v>PACx</v>
      </c>
      <c r="L1688" s="9" t="str">
        <f>IFERROR(__xludf.DUMMYFUNCTION("""COMPUTED_VALUE"""),"PPCx")</f>
        <v>PPCx</v>
      </c>
      <c r="M1688" s="9" t="str">
        <f>IFERROR(__xludf.DUMMYFUNCTION("""COMPUTED_VALUE"""),"FI")</f>
        <v>FI</v>
      </c>
      <c r="N1688" s="9" t="str">
        <f>IFERROR(__xludf.DUMMYFUNCTION("""COMPUTED_VALUE"""),"FI1")</f>
        <v>FI1</v>
      </c>
      <c r="O1688" s="9"/>
      <c r="P1688" s="9"/>
      <c r="Q1688" s="9"/>
      <c r="R1688" s="9"/>
      <c r="S1688" s="42"/>
      <c r="T1688" s="42"/>
      <c r="U1688" s="159"/>
      <c r="V1688" s="42"/>
      <c r="W1688" s="42"/>
      <c r="X1688" s="42"/>
      <c r="Y1688" s="42"/>
      <c r="Z1688" s="42"/>
      <c r="AA1688" s="42"/>
      <c r="AB1688" s="42" t="str">
        <f>IFERROR(__xludf.DUMMYFUNCTION("""COMPUTED_VALUE"""),"allen institute")</f>
        <v>allen institute</v>
      </c>
      <c r="AC1688" s="42" t="str">
        <f>IFERROR(__xludf.DUMMYFUNCTION("""COMPUTED_VALUE"""),"DHBA")</f>
        <v>DHBA</v>
      </c>
      <c r="AD1688" s="42"/>
      <c r="AE1688" s="42"/>
      <c r="AF1688" s="9"/>
      <c r="AG1688" s="9"/>
      <c r="AH1688" s="42"/>
      <c r="AI1688" s="42"/>
      <c r="AJ1688" s="42"/>
      <c r="AK1688" s="42"/>
      <c r="AL1688" s="42"/>
      <c r="AM1688" s="42"/>
      <c r="AN1688" s="42"/>
      <c r="AO1688" s="63" t="str">
        <f>IFERROR(__xludf.DUMMYFUNCTION("IF(ISBLANK(A1688),,IF(ISBLANK(S1688), A1688&amp;"";"", TEXTJOIN(CHAR(10), TRUE, A1688&amp;"";"", ARRAYFORMULA(VLOOKUP(SPLIT(S1688, "";"" &amp; CHAR(10)), $A:$AO, 41, FALSE)))))"),"FI1;")</f>
        <v>FI1;</v>
      </c>
      <c r="AP1688" s="89"/>
    </row>
    <row r="1689">
      <c r="A1689" s="151" t="str">
        <f>IFERROR(__xludf.DUMMYFUNCTION("""COMPUTED_VALUE"""),"FI2")</f>
        <v>FI2</v>
      </c>
      <c r="B1689" s="42" t="str">
        <f>IFERROR(__xludf.DUMMYFUNCTION("""COMPUTED_VALUE"""),"DHBA")</f>
        <v>DHBA</v>
      </c>
      <c r="C1689" s="42" t="str">
        <f>IFERROR(__xludf.DUMMYFUNCTION("""COMPUTED_VALUE"""),"layer II of area FI")</f>
        <v>layer II of area FI</v>
      </c>
      <c r="D1689" s="42">
        <f>IFERROR(__xludf.DUMMYFUNCTION("""COMPUTED_VALUE"""),1589.0)</f>
        <v>1589</v>
      </c>
      <c r="E1689" s="39" t="str">
        <f>IFERROR(__xludf.DUMMYFUNCTION("""COMPUTED_VALUE"""),"layer II of area FI")</f>
        <v>layer II of area FI</v>
      </c>
      <c r="F1689" s="9" t="str">
        <f>IFERROR(__xludf.DUMMYFUNCTION("""COMPUTED_VALUE"""),"Br")</f>
        <v>Br</v>
      </c>
      <c r="G1689" s="9" t="str">
        <f>IFERROR(__xludf.DUMMYFUNCTION("""COMPUTED_VALUE"""),"F")</f>
        <v>F</v>
      </c>
      <c r="H1689" s="9" t="str">
        <f>IFERROR(__xludf.DUMMYFUNCTION("""COMPUTED_VALUE"""),"FGM")</f>
        <v>FGM</v>
      </c>
      <c r="I1689" s="9" t="str">
        <f>IFERROR(__xludf.DUMMYFUNCTION("""COMPUTED_VALUE"""),"Tel")</f>
        <v>Tel</v>
      </c>
      <c r="J1689" s="9" t="str">
        <f>IFERROR(__xludf.DUMMYFUNCTION("""COMPUTED_VALUE"""),"Cx")</f>
        <v>Cx</v>
      </c>
      <c r="K1689" s="9" t="str">
        <f>IFERROR(__xludf.DUMMYFUNCTION("""COMPUTED_VALUE"""),"PACx")</f>
        <v>PACx</v>
      </c>
      <c r="L1689" s="9" t="str">
        <f>IFERROR(__xludf.DUMMYFUNCTION("""COMPUTED_VALUE"""),"PPCx")</f>
        <v>PPCx</v>
      </c>
      <c r="M1689" s="9" t="str">
        <f>IFERROR(__xludf.DUMMYFUNCTION("""COMPUTED_VALUE"""),"FI")</f>
        <v>FI</v>
      </c>
      <c r="N1689" s="9" t="str">
        <f>IFERROR(__xludf.DUMMYFUNCTION("""COMPUTED_VALUE"""),"FI2")</f>
        <v>FI2</v>
      </c>
      <c r="O1689" s="9"/>
      <c r="P1689" s="9"/>
      <c r="Q1689" s="9"/>
      <c r="R1689" s="9"/>
      <c r="S1689" s="42"/>
      <c r="T1689" s="42"/>
      <c r="U1689" s="42"/>
      <c r="V1689" s="42"/>
      <c r="W1689" s="42"/>
      <c r="X1689" s="42"/>
      <c r="Y1689" s="42"/>
      <c r="Z1689" s="42"/>
      <c r="AA1689" s="42"/>
      <c r="AB1689" s="42" t="str">
        <f>IFERROR(__xludf.DUMMYFUNCTION("""COMPUTED_VALUE"""),"allen institute")</f>
        <v>allen institute</v>
      </c>
      <c r="AC1689" s="42" t="str">
        <f>IFERROR(__xludf.DUMMYFUNCTION("""COMPUTED_VALUE"""),"DHBA")</f>
        <v>DHBA</v>
      </c>
      <c r="AD1689" s="42"/>
      <c r="AE1689" s="42"/>
      <c r="AF1689" s="9"/>
      <c r="AG1689" s="9"/>
      <c r="AH1689" s="42"/>
      <c r="AI1689" s="42"/>
      <c r="AJ1689" s="42"/>
      <c r="AK1689" s="42"/>
      <c r="AL1689" s="42"/>
      <c r="AM1689" s="42"/>
      <c r="AN1689" s="42"/>
      <c r="AO1689" s="63" t="str">
        <f>IFERROR(__xludf.DUMMYFUNCTION("IF(ISBLANK(A1689),,IF(ISBLANK(S1689), A1689&amp;"";"", TEXTJOIN(CHAR(10), TRUE, A1689&amp;"";"", ARRAYFORMULA(VLOOKUP(SPLIT(S1689, "";"" &amp; CHAR(10)), $A:$AO, 41, FALSE)))))"),"FI2;")</f>
        <v>FI2;</v>
      </c>
      <c r="AP1689" s="89"/>
    </row>
    <row r="1690">
      <c r="A1690" s="151" t="str">
        <f>IFERROR(__xludf.DUMMYFUNCTION("""COMPUTED_VALUE"""),"FI3")</f>
        <v>FI3</v>
      </c>
      <c r="B1690" s="42" t="str">
        <f>IFERROR(__xludf.DUMMYFUNCTION("""COMPUTED_VALUE"""),"DHBA")</f>
        <v>DHBA</v>
      </c>
      <c r="C1690" s="42" t="str">
        <f>IFERROR(__xludf.DUMMYFUNCTION("""COMPUTED_VALUE"""),"layer III of area FI")</f>
        <v>layer III of area FI</v>
      </c>
      <c r="D1690" s="42">
        <f>IFERROR(__xludf.DUMMYFUNCTION("""COMPUTED_VALUE"""),1590.0)</f>
        <v>1590</v>
      </c>
      <c r="E1690" s="39" t="str">
        <f>IFERROR(__xludf.DUMMYFUNCTION("""COMPUTED_VALUE"""),"layer III of area FI")</f>
        <v>layer III of area FI</v>
      </c>
      <c r="F1690" s="9" t="str">
        <f>IFERROR(__xludf.DUMMYFUNCTION("""COMPUTED_VALUE"""),"Br")</f>
        <v>Br</v>
      </c>
      <c r="G1690" s="9" t="str">
        <f>IFERROR(__xludf.DUMMYFUNCTION("""COMPUTED_VALUE"""),"F")</f>
        <v>F</v>
      </c>
      <c r="H1690" s="9" t="str">
        <f>IFERROR(__xludf.DUMMYFUNCTION("""COMPUTED_VALUE"""),"FGM")</f>
        <v>FGM</v>
      </c>
      <c r="I1690" s="9" t="str">
        <f>IFERROR(__xludf.DUMMYFUNCTION("""COMPUTED_VALUE"""),"Tel")</f>
        <v>Tel</v>
      </c>
      <c r="J1690" s="9" t="str">
        <f>IFERROR(__xludf.DUMMYFUNCTION("""COMPUTED_VALUE"""),"Cx")</f>
        <v>Cx</v>
      </c>
      <c r="K1690" s="9" t="str">
        <f>IFERROR(__xludf.DUMMYFUNCTION("""COMPUTED_VALUE"""),"PACx")</f>
        <v>PACx</v>
      </c>
      <c r="L1690" s="9" t="str">
        <f>IFERROR(__xludf.DUMMYFUNCTION("""COMPUTED_VALUE"""),"PPCx")</f>
        <v>PPCx</v>
      </c>
      <c r="M1690" s="9" t="str">
        <f>IFERROR(__xludf.DUMMYFUNCTION("""COMPUTED_VALUE"""),"FI")</f>
        <v>FI</v>
      </c>
      <c r="N1690" s="9" t="str">
        <f>IFERROR(__xludf.DUMMYFUNCTION("""COMPUTED_VALUE"""),"FI3")</f>
        <v>FI3</v>
      </c>
      <c r="O1690" s="9"/>
      <c r="P1690" s="9"/>
      <c r="Q1690" s="9"/>
      <c r="R1690" s="9"/>
      <c r="S1690" s="42"/>
      <c r="T1690" s="42"/>
      <c r="U1690" s="42"/>
      <c r="V1690" s="42"/>
      <c r="W1690" s="42"/>
      <c r="X1690" s="42"/>
      <c r="Y1690" s="42"/>
      <c r="Z1690" s="42"/>
      <c r="AA1690" s="42"/>
      <c r="AB1690" s="42" t="str">
        <f>IFERROR(__xludf.DUMMYFUNCTION("""COMPUTED_VALUE"""),"allen institute")</f>
        <v>allen institute</v>
      </c>
      <c r="AC1690" s="42" t="str">
        <f>IFERROR(__xludf.DUMMYFUNCTION("""COMPUTED_VALUE"""),"DHBA")</f>
        <v>DHBA</v>
      </c>
      <c r="AD1690" s="42"/>
      <c r="AE1690" s="42"/>
      <c r="AF1690" s="9"/>
      <c r="AG1690" s="9"/>
      <c r="AH1690" s="42"/>
      <c r="AI1690" s="42"/>
      <c r="AJ1690" s="42"/>
      <c r="AK1690" s="42"/>
      <c r="AL1690" s="42"/>
      <c r="AM1690" s="42"/>
      <c r="AN1690" s="42"/>
      <c r="AO1690" s="63" t="str">
        <f>IFERROR(__xludf.DUMMYFUNCTION("IF(ISBLANK(A1690),,IF(ISBLANK(S1690), A1690&amp;"";"", TEXTJOIN(CHAR(10), TRUE, A1690&amp;"";"", ARRAYFORMULA(VLOOKUP(SPLIT(S1690, "";"" &amp; CHAR(10)), $A:$AO, 41, FALSE)))))"),"FI3;")</f>
        <v>FI3;</v>
      </c>
      <c r="AP1690" s="89"/>
    </row>
    <row r="1691">
      <c r="A1691" s="151" t="str">
        <f>IFERROR(__xludf.DUMMYFUNCTION("""COMPUTED_VALUE"""),"FI5")</f>
        <v>FI5</v>
      </c>
      <c r="B1691" s="42" t="str">
        <f>IFERROR(__xludf.DUMMYFUNCTION("""COMPUTED_VALUE"""),"DHBA")</f>
        <v>DHBA</v>
      </c>
      <c r="C1691" s="42" t="str">
        <f>IFERROR(__xludf.DUMMYFUNCTION("""COMPUTED_VALUE"""),"layer V of area FI")</f>
        <v>layer V of area FI</v>
      </c>
      <c r="D1691" s="42">
        <f>IFERROR(__xludf.DUMMYFUNCTION("""COMPUTED_VALUE"""),1591.0)</f>
        <v>1591</v>
      </c>
      <c r="E1691" s="39" t="str">
        <f>IFERROR(__xludf.DUMMYFUNCTION("""COMPUTED_VALUE"""),"layer V of area FI")</f>
        <v>layer V of area FI</v>
      </c>
      <c r="F1691" s="9" t="str">
        <f>IFERROR(__xludf.DUMMYFUNCTION("""COMPUTED_VALUE"""),"Br")</f>
        <v>Br</v>
      </c>
      <c r="G1691" s="9" t="str">
        <f>IFERROR(__xludf.DUMMYFUNCTION("""COMPUTED_VALUE"""),"F")</f>
        <v>F</v>
      </c>
      <c r="H1691" s="9" t="str">
        <f>IFERROR(__xludf.DUMMYFUNCTION("""COMPUTED_VALUE"""),"FGM")</f>
        <v>FGM</v>
      </c>
      <c r="I1691" s="9" t="str">
        <f>IFERROR(__xludf.DUMMYFUNCTION("""COMPUTED_VALUE"""),"Tel")</f>
        <v>Tel</v>
      </c>
      <c r="J1691" s="9" t="str">
        <f>IFERROR(__xludf.DUMMYFUNCTION("""COMPUTED_VALUE"""),"Cx")</f>
        <v>Cx</v>
      </c>
      <c r="K1691" s="9" t="str">
        <f>IFERROR(__xludf.DUMMYFUNCTION("""COMPUTED_VALUE"""),"PACx")</f>
        <v>PACx</v>
      </c>
      <c r="L1691" s="9" t="str">
        <f>IFERROR(__xludf.DUMMYFUNCTION("""COMPUTED_VALUE"""),"PPCx")</f>
        <v>PPCx</v>
      </c>
      <c r="M1691" s="9" t="str">
        <f>IFERROR(__xludf.DUMMYFUNCTION("""COMPUTED_VALUE"""),"FI")</f>
        <v>FI</v>
      </c>
      <c r="N1691" s="9" t="str">
        <f>IFERROR(__xludf.DUMMYFUNCTION("""COMPUTED_VALUE"""),"FI5")</f>
        <v>FI5</v>
      </c>
      <c r="O1691" s="9"/>
      <c r="P1691" s="9"/>
      <c r="Q1691" s="9"/>
      <c r="R1691" s="9"/>
      <c r="S1691" s="42"/>
      <c r="T1691" s="42"/>
      <c r="U1691" s="42"/>
      <c r="V1691" s="42"/>
      <c r="W1691" s="42"/>
      <c r="X1691" s="42"/>
      <c r="Y1691" s="42"/>
      <c r="Z1691" s="42"/>
      <c r="AA1691" s="42"/>
      <c r="AB1691" s="42" t="str">
        <f>IFERROR(__xludf.DUMMYFUNCTION("""COMPUTED_VALUE"""),"allen institute")</f>
        <v>allen institute</v>
      </c>
      <c r="AC1691" s="42" t="str">
        <f>IFERROR(__xludf.DUMMYFUNCTION("""COMPUTED_VALUE"""),"DHBA")</f>
        <v>DHBA</v>
      </c>
      <c r="AD1691" s="42"/>
      <c r="AE1691" s="42"/>
      <c r="AF1691" s="9"/>
      <c r="AG1691" s="9"/>
      <c r="AH1691" s="42"/>
      <c r="AI1691" s="42"/>
      <c r="AJ1691" s="42"/>
      <c r="AK1691" s="42"/>
      <c r="AL1691" s="42"/>
      <c r="AM1691" s="42"/>
      <c r="AN1691" s="42"/>
      <c r="AO1691" s="63" t="str">
        <f>IFERROR(__xludf.DUMMYFUNCTION("IF(ISBLANK(A1691),,IF(ISBLANK(S1691), A1691&amp;"";"", TEXTJOIN(CHAR(10), TRUE, A1691&amp;"";"", ARRAYFORMULA(VLOOKUP(SPLIT(S1691, "";"" &amp; CHAR(10)), $A:$AO, 41, FALSE)))))"),"FI5;")</f>
        <v>FI5;</v>
      </c>
      <c r="AP1691" s="89"/>
    </row>
    <row r="1692">
      <c r="A1692" s="151" t="str">
        <f>IFERROR(__xludf.DUMMYFUNCTION("""COMPUTED_VALUE"""),"FI6")</f>
        <v>FI6</v>
      </c>
      <c r="B1692" s="42" t="str">
        <f>IFERROR(__xludf.DUMMYFUNCTION("""COMPUTED_VALUE"""),"DHBA")</f>
        <v>DHBA</v>
      </c>
      <c r="C1692" s="42" t="str">
        <f>IFERROR(__xludf.DUMMYFUNCTION("""COMPUTED_VALUE"""),"layer VI of area FI")</f>
        <v>layer VI of area FI</v>
      </c>
      <c r="D1692" s="42">
        <f>IFERROR(__xludf.DUMMYFUNCTION("""COMPUTED_VALUE"""),1592.0)</f>
        <v>1592</v>
      </c>
      <c r="E1692" s="39" t="str">
        <f>IFERROR(__xludf.DUMMYFUNCTION("""COMPUTED_VALUE"""),"layer VI of area FI")</f>
        <v>layer VI of area FI</v>
      </c>
      <c r="F1692" s="9" t="str">
        <f>IFERROR(__xludf.DUMMYFUNCTION("""COMPUTED_VALUE"""),"Br")</f>
        <v>Br</v>
      </c>
      <c r="G1692" s="9" t="str">
        <f>IFERROR(__xludf.DUMMYFUNCTION("""COMPUTED_VALUE"""),"F")</f>
        <v>F</v>
      </c>
      <c r="H1692" s="9" t="str">
        <f>IFERROR(__xludf.DUMMYFUNCTION("""COMPUTED_VALUE"""),"FGM")</f>
        <v>FGM</v>
      </c>
      <c r="I1692" s="9" t="str">
        <f>IFERROR(__xludf.DUMMYFUNCTION("""COMPUTED_VALUE"""),"Tel")</f>
        <v>Tel</v>
      </c>
      <c r="J1692" s="9" t="str">
        <f>IFERROR(__xludf.DUMMYFUNCTION("""COMPUTED_VALUE"""),"Cx")</f>
        <v>Cx</v>
      </c>
      <c r="K1692" s="9" t="str">
        <f>IFERROR(__xludf.DUMMYFUNCTION("""COMPUTED_VALUE"""),"PACx")</f>
        <v>PACx</v>
      </c>
      <c r="L1692" s="9" t="str">
        <f>IFERROR(__xludf.DUMMYFUNCTION("""COMPUTED_VALUE"""),"PPCx")</f>
        <v>PPCx</v>
      </c>
      <c r="M1692" s="9" t="str">
        <f>IFERROR(__xludf.DUMMYFUNCTION("""COMPUTED_VALUE"""),"FI")</f>
        <v>FI</v>
      </c>
      <c r="N1692" s="9" t="str">
        <f>IFERROR(__xludf.DUMMYFUNCTION("""COMPUTED_VALUE"""),"FI6")</f>
        <v>FI6</v>
      </c>
      <c r="O1692" s="9"/>
      <c r="P1692" s="9"/>
      <c r="Q1692" s="9"/>
      <c r="R1692" s="9"/>
      <c r="S1692" s="42"/>
      <c r="T1692" s="42"/>
      <c r="U1692" s="42"/>
      <c r="V1692" s="42"/>
      <c r="W1692" s="42"/>
      <c r="X1692" s="42"/>
      <c r="Y1692" s="42"/>
      <c r="Z1692" s="42"/>
      <c r="AA1692" s="42"/>
      <c r="AB1692" s="42" t="str">
        <f>IFERROR(__xludf.DUMMYFUNCTION("""COMPUTED_VALUE"""),"allen institute")</f>
        <v>allen institute</v>
      </c>
      <c r="AC1692" s="42" t="str">
        <f>IFERROR(__xludf.DUMMYFUNCTION("""COMPUTED_VALUE"""),"DHBA")</f>
        <v>DHBA</v>
      </c>
      <c r="AD1692" s="42"/>
      <c r="AE1692" s="42"/>
      <c r="AF1692" s="9"/>
      <c r="AG1692" s="9"/>
      <c r="AH1692" s="42"/>
      <c r="AI1692" s="42"/>
      <c r="AJ1692" s="42"/>
      <c r="AK1692" s="42"/>
      <c r="AL1692" s="42"/>
      <c r="AM1692" s="42"/>
      <c r="AN1692" s="42"/>
      <c r="AO1692" s="63" t="str">
        <f>IFERROR(__xludf.DUMMYFUNCTION("IF(ISBLANK(A1692),,IF(ISBLANK(S1692), A1692&amp;"";"", TEXTJOIN(CHAR(10), TRUE, A1692&amp;"";"", ARRAYFORMULA(VLOOKUP(SPLIT(S1692, "";"" &amp; CHAR(10)), $A:$AO, 41, FALSE)))))"),"FI6;")</f>
        <v>FI6;</v>
      </c>
      <c r="AP1692" s="89"/>
    </row>
    <row r="1693">
      <c r="A1693" s="151" t="str">
        <f>IFERROR(__xludf.DUMMYFUNCTION("""COMPUTED_VALUE"""),"TI")</f>
        <v>TI</v>
      </c>
      <c r="B1693" s="42" t="str">
        <f>IFERROR(__xludf.DUMMYFUNCTION("""COMPUTED_VALUE"""),"DHBA")</f>
        <v>DHBA</v>
      </c>
      <c r="C1693" s="42" t="str">
        <f>IFERROR(__xludf.DUMMYFUNCTION("""COMPUTED_VALUE"""),"temporal agranular insular cortex (area TI)")</f>
        <v>temporal agranular insular cortex (area TI)</v>
      </c>
      <c r="D1693" s="42">
        <f>IFERROR(__xludf.DUMMYFUNCTION("""COMPUTED_VALUE"""),1593.0)</f>
        <v>1593</v>
      </c>
      <c r="E1693" s="39" t="str">
        <f>IFERROR(__xludf.DUMMYFUNCTION("""COMPUTED_VALUE"""),"temporal agranular insular cortex (area TI)")</f>
        <v>temporal agranular insular cortex (area TI)</v>
      </c>
      <c r="F1693" s="9" t="str">
        <f>IFERROR(__xludf.DUMMYFUNCTION("""COMPUTED_VALUE"""),"Br")</f>
        <v>Br</v>
      </c>
      <c r="G1693" s="9" t="str">
        <f>IFERROR(__xludf.DUMMYFUNCTION("""COMPUTED_VALUE"""),"F")</f>
        <v>F</v>
      </c>
      <c r="H1693" s="9" t="str">
        <f>IFERROR(__xludf.DUMMYFUNCTION("""COMPUTED_VALUE"""),"FGM")</f>
        <v>FGM</v>
      </c>
      <c r="I1693" s="9" t="str">
        <f>IFERROR(__xludf.DUMMYFUNCTION("""COMPUTED_VALUE"""),"Tel")</f>
        <v>Tel</v>
      </c>
      <c r="J1693" s="9" t="str">
        <f>IFERROR(__xludf.DUMMYFUNCTION("""COMPUTED_VALUE"""),"Cx")</f>
        <v>Cx</v>
      </c>
      <c r="K1693" s="9" t="str">
        <f>IFERROR(__xludf.DUMMYFUNCTION("""COMPUTED_VALUE"""),"PACx")</f>
        <v>PACx</v>
      </c>
      <c r="L1693" s="9" t="str">
        <f>IFERROR(__xludf.DUMMYFUNCTION("""COMPUTED_VALUE"""),"PPCx")</f>
        <v>PPCx</v>
      </c>
      <c r="M1693" s="9" t="str">
        <f>IFERROR(__xludf.DUMMYFUNCTION("""COMPUTED_VALUE"""),"TI")</f>
        <v>TI</v>
      </c>
      <c r="N1693" s="9"/>
      <c r="O1693" s="9"/>
      <c r="P1693" s="9"/>
      <c r="Q1693" s="9"/>
      <c r="R1693" s="9"/>
      <c r="S1693" s="42" t="str">
        <f>IFERROR(__xludf.DUMMYFUNCTION("""COMPUTED_VALUE"""),"TI1;
TI2;
TI3;
TI5;
TI6")</f>
        <v>TI1;
TI2;
TI3;
TI5;
TI6</v>
      </c>
      <c r="T1693" s="42"/>
      <c r="U1693" s="159" t="b">
        <f>IFERROR(__xludf.DUMMYFUNCTION("""COMPUTED_VALUE"""),FALSE)</f>
        <v>0</v>
      </c>
      <c r="V1693" s="42"/>
      <c r="W1693" s="42"/>
      <c r="X1693" s="42"/>
      <c r="Y1693" s="42"/>
      <c r="Z1693" s="42"/>
      <c r="AA1693" s="42"/>
      <c r="AB1693" s="42" t="str">
        <f>IFERROR(__xludf.DUMMYFUNCTION("""COMPUTED_VALUE"""),"allen institute")</f>
        <v>allen institute</v>
      </c>
      <c r="AC1693" s="42" t="str">
        <f>IFERROR(__xludf.DUMMYFUNCTION("""COMPUTED_VALUE"""),"DHBA")</f>
        <v>DHBA</v>
      </c>
      <c r="AD1693" s="42"/>
      <c r="AE1693" s="42"/>
      <c r="AF1693" s="9"/>
      <c r="AG1693" s="9"/>
      <c r="AH1693" s="42"/>
      <c r="AI1693" s="42"/>
      <c r="AJ1693" s="42"/>
      <c r="AK1693" s="42"/>
      <c r="AL1693" s="42"/>
      <c r="AM1693" s="42"/>
      <c r="AN1693" s="42"/>
      <c r="AO1693" s="63" t="str">
        <f>IFERROR(__xludf.DUMMYFUNCTION("IF(ISBLANK(A1693),,IF(ISBLANK(S1693), A1693&amp;"";"", TEXTJOIN(CHAR(10), TRUE, A1693&amp;"";"", ARRAYFORMULA(VLOOKUP(SPLIT(S1693, "";"" &amp; CHAR(10)), $A:$AO, 41, FALSE)))))"),"TI;
TI1;
TI2;
TI3;
TI5;
TI6;")</f>
        <v>TI;
TI1;
TI2;
TI3;
TI5;
TI6;</v>
      </c>
      <c r="AP1693" s="89"/>
    </row>
    <row r="1694">
      <c r="A1694" s="151" t="str">
        <f>IFERROR(__xludf.DUMMYFUNCTION("""COMPUTED_VALUE"""),"TI1")</f>
        <v>TI1</v>
      </c>
      <c r="B1694" s="42" t="str">
        <f>IFERROR(__xludf.DUMMYFUNCTION("""COMPUTED_VALUE"""),"DHBA")</f>
        <v>DHBA</v>
      </c>
      <c r="C1694" s="42" t="str">
        <f>IFERROR(__xludf.DUMMYFUNCTION("""COMPUTED_VALUE"""),"layer I of area TI")</f>
        <v>layer I of area TI</v>
      </c>
      <c r="D1694" s="42">
        <f>IFERROR(__xludf.DUMMYFUNCTION("""COMPUTED_VALUE"""),1594.0)</f>
        <v>1594</v>
      </c>
      <c r="E1694" s="39" t="str">
        <f>IFERROR(__xludf.DUMMYFUNCTION("""COMPUTED_VALUE"""),"layer I of area TI")</f>
        <v>layer I of area TI</v>
      </c>
      <c r="F1694" s="9" t="str">
        <f>IFERROR(__xludf.DUMMYFUNCTION("""COMPUTED_VALUE"""),"Br")</f>
        <v>Br</v>
      </c>
      <c r="G1694" s="9" t="str">
        <f>IFERROR(__xludf.DUMMYFUNCTION("""COMPUTED_VALUE"""),"F")</f>
        <v>F</v>
      </c>
      <c r="H1694" s="9" t="str">
        <f>IFERROR(__xludf.DUMMYFUNCTION("""COMPUTED_VALUE"""),"FGM")</f>
        <v>FGM</v>
      </c>
      <c r="I1694" s="9" t="str">
        <f>IFERROR(__xludf.DUMMYFUNCTION("""COMPUTED_VALUE"""),"Tel")</f>
        <v>Tel</v>
      </c>
      <c r="J1694" s="9" t="str">
        <f>IFERROR(__xludf.DUMMYFUNCTION("""COMPUTED_VALUE"""),"Cx")</f>
        <v>Cx</v>
      </c>
      <c r="K1694" s="9" t="str">
        <f>IFERROR(__xludf.DUMMYFUNCTION("""COMPUTED_VALUE"""),"PACx")</f>
        <v>PACx</v>
      </c>
      <c r="L1694" s="9" t="str">
        <f>IFERROR(__xludf.DUMMYFUNCTION("""COMPUTED_VALUE"""),"PPCx")</f>
        <v>PPCx</v>
      </c>
      <c r="M1694" s="9" t="str">
        <f>IFERROR(__xludf.DUMMYFUNCTION("""COMPUTED_VALUE"""),"TI")</f>
        <v>TI</v>
      </c>
      <c r="N1694" s="9" t="str">
        <f>IFERROR(__xludf.DUMMYFUNCTION("""COMPUTED_VALUE"""),"TI1")</f>
        <v>TI1</v>
      </c>
      <c r="O1694" s="9"/>
      <c r="P1694" s="9"/>
      <c r="Q1694" s="9"/>
      <c r="R1694" s="9"/>
      <c r="S1694" s="42"/>
      <c r="T1694" s="42"/>
      <c r="U1694" s="42"/>
      <c r="V1694" s="42"/>
      <c r="W1694" s="42"/>
      <c r="X1694" s="42"/>
      <c r="Y1694" s="42"/>
      <c r="Z1694" s="42"/>
      <c r="AA1694" s="42"/>
      <c r="AB1694" s="42" t="str">
        <f>IFERROR(__xludf.DUMMYFUNCTION("""COMPUTED_VALUE"""),"allen institute")</f>
        <v>allen institute</v>
      </c>
      <c r="AC1694" s="42" t="str">
        <f>IFERROR(__xludf.DUMMYFUNCTION("""COMPUTED_VALUE"""),"DHBA")</f>
        <v>DHBA</v>
      </c>
      <c r="AD1694" s="42"/>
      <c r="AE1694" s="42"/>
      <c r="AF1694" s="9"/>
      <c r="AG1694" s="9"/>
      <c r="AH1694" s="42"/>
      <c r="AI1694" s="42"/>
      <c r="AJ1694" s="42"/>
      <c r="AK1694" s="42"/>
      <c r="AL1694" s="42"/>
      <c r="AM1694" s="42"/>
      <c r="AN1694" s="42"/>
      <c r="AO1694" s="63" t="str">
        <f>IFERROR(__xludf.DUMMYFUNCTION("IF(ISBLANK(A1694),,IF(ISBLANK(S1694), A1694&amp;"";"", TEXTJOIN(CHAR(10), TRUE, A1694&amp;"";"", ARRAYFORMULA(VLOOKUP(SPLIT(S1694, "";"" &amp; CHAR(10)), $A:$AO, 41, FALSE)))))"),"TI1;")</f>
        <v>TI1;</v>
      </c>
      <c r="AP1694" s="89"/>
    </row>
    <row r="1695">
      <c r="A1695" s="151" t="str">
        <f>IFERROR(__xludf.DUMMYFUNCTION("""COMPUTED_VALUE"""),"TI2")</f>
        <v>TI2</v>
      </c>
      <c r="B1695" s="42" t="str">
        <f>IFERROR(__xludf.DUMMYFUNCTION("""COMPUTED_VALUE"""),"DHBA")</f>
        <v>DHBA</v>
      </c>
      <c r="C1695" s="42" t="str">
        <f>IFERROR(__xludf.DUMMYFUNCTION("""COMPUTED_VALUE"""),"layer II of area TI")</f>
        <v>layer II of area TI</v>
      </c>
      <c r="D1695" s="42">
        <f>IFERROR(__xludf.DUMMYFUNCTION("""COMPUTED_VALUE"""),1595.0)</f>
        <v>1595</v>
      </c>
      <c r="E1695" s="39" t="str">
        <f>IFERROR(__xludf.DUMMYFUNCTION("""COMPUTED_VALUE"""),"layer II of area TI")</f>
        <v>layer II of area TI</v>
      </c>
      <c r="F1695" s="9" t="str">
        <f>IFERROR(__xludf.DUMMYFUNCTION("""COMPUTED_VALUE"""),"Br")</f>
        <v>Br</v>
      </c>
      <c r="G1695" s="9" t="str">
        <f>IFERROR(__xludf.DUMMYFUNCTION("""COMPUTED_VALUE"""),"F")</f>
        <v>F</v>
      </c>
      <c r="H1695" s="9" t="str">
        <f>IFERROR(__xludf.DUMMYFUNCTION("""COMPUTED_VALUE"""),"FGM")</f>
        <v>FGM</v>
      </c>
      <c r="I1695" s="9" t="str">
        <f>IFERROR(__xludf.DUMMYFUNCTION("""COMPUTED_VALUE"""),"Tel")</f>
        <v>Tel</v>
      </c>
      <c r="J1695" s="9" t="str">
        <f>IFERROR(__xludf.DUMMYFUNCTION("""COMPUTED_VALUE"""),"Cx")</f>
        <v>Cx</v>
      </c>
      <c r="K1695" s="9" t="str">
        <f>IFERROR(__xludf.DUMMYFUNCTION("""COMPUTED_VALUE"""),"PACx")</f>
        <v>PACx</v>
      </c>
      <c r="L1695" s="9" t="str">
        <f>IFERROR(__xludf.DUMMYFUNCTION("""COMPUTED_VALUE"""),"PPCx")</f>
        <v>PPCx</v>
      </c>
      <c r="M1695" s="9" t="str">
        <f>IFERROR(__xludf.DUMMYFUNCTION("""COMPUTED_VALUE"""),"TI")</f>
        <v>TI</v>
      </c>
      <c r="N1695" s="9" t="str">
        <f>IFERROR(__xludf.DUMMYFUNCTION("""COMPUTED_VALUE"""),"TI2")</f>
        <v>TI2</v>
      </c>
      <c r="O1695" s="9"/>
      <c r="P1695" s="9"/>
      <c r="Q1695" s="9"/>
      <c r="R1695" s="9"/>
      <c r="S1695" s="42"/>
      <c r="T1695" s="42"/>
      <c r="U1695" s="42"/>
      <c r="V1695" s="42"/>
      <c r="W1695" s="42"/>
      <c r="X1695" s="42"/>
      <c r="Y1695" s="42"/>
      <c r="Z1695" s="42"/>
      <c r="AA1695" s="42"/>
      <c r="AB1695" s="42" t="str">
        <f>IFERROR(__xludf.DUMMYFUNCTION("""COMPUTED_VALUE"""),"allen institute")</f>
        <v>allen institute</v>
      </c>
      <c r="AC1695" s="42" t="str">
        <f>IFERROR(__xludf.DUMMYFUNCTION("""COMPUTED_VALUE"""),"DHBA")</f>
        <v>DHBA</v>
      </c>
      <c r="AD1695" s="42"/>
      <c r="AE1695" s="42"/>
      <c r="AF1695" s="9"/>
      <c r="AG1695" s="9"/>
      <c r="AH1695" s="42"/>
      <c r="AI1695" s="42"/>
      <c r="AJ1695" s="42"/>
      <c r="AK1695" s="42"/>
      <c r="AL1695" s="42"/>
      <c r="AM1695" s="42"/>
      <c r="AN1695" s="42"/>
      <c r="AO1695" s="63" t="str">
        <f>IFERROR(__xludf.DUMMYFUNCTION("IF(ISBLANK(A1695),,IF(ISBLANK(S1695), A1695&amp;"";"", TEXTJOIN(CHAR(10), TRUE, A1695&amp;"";"", ARRAYFORMULA(VLOOKUP(SPLIT(S1695, "";"" &amp; CHAR(10)), $A:$AO, 41, FALSE)))))"),"TI2;")</f>
        <v>TI2;</v>
      </c>
      <c r="AP1695" s="89"/>
    </row>
    <row r="1696">
      <c r="A1696" s="151" t="str">
        <f>IFERROR(__xludf.DUMMYFUNCTION("""COMPUTED_VALUE"""),"TI3")</f>
        <v>TI3</v>
      </c>
      <c r="B1696" s="42" t="str">
        <f>IFERROR(__xludf.DUMMYFUNCTION("""COMPUTED_VALUE"""),"DHBA")</f>
        <v>DHBA</v>
      </c>
      <c r="C1696" s="42" t="str">
        <f>IFERROR(__xludf.DUMMYFUNCTION("""COMPUTED_VALUE"""),"layer III of area TI")</f>
        <v>layer III of area TI</v>
      </c>
      <c r="D1696" s="42">
        <f>IFERROR(__xludf.DUMMYFUNCTION("""COMPUTED_VALUE"""),1596.0)</f>
        <v>1596</v>
      </c>
      <c r="E1696" s="39" t="str">
        <f>IFERROR(__xludf.DUMMYFUNCTION("""COMPUTED_VALUE"""),"layer III of area TI")</f>
        <v>layer III of area TI</v>
      </c>
      <c r="F1696" s="9" t="str">
        <f>IFERROR(__xludf.DUMMYFUNCTION("""COMPUTED_VALUE"""),"Br")</f>
        <v>Br</v>
      </c>
      <c r="G1696" s="9" t="str">
        <f>IFERROR(__xludf.DUMMYFUNCTION("""COMPUTED_VALUE"""),"F")</f>
        <v>F</v>
      </c>
      <c r="H1696" s="9" t="str">
        <f>IFERROR(__xludf.DUMMYFUNCTION("""COMPUTED_VALUE"""),"FGM")</f>
        <v>FGM</v>
      </c>
      <c r="I1696" s="9" t="str">
        <f>IFERROR(__xludf.DUMMYFUNCTION("""COMPUTED_VALUE"""),"Tel")</f>
        <v>Tel</v>
      </c>
      <c r="J1696" s="9" t="str">
        <f>IFERROR(__xludf.DUMMYFUNCTION("""COMPUTED_VALUE"""),"Cx")</f>
        <v>Cx</v>
      </c>
      <c r="K1696" s="9" t="str">
        <f>IFERROR(__xludf.DUMMYFUNCTION("""COMPUTED_VALUE"""),"PACx")</f>
        <v>PACx</v>
      </c>
      <c r="L1696" s="9" t="str">
        <f>IFERROR(__xludf.DUMMYFUNCTION("""COMPUTED_VALUE"""),"PPCx")</f>
        <v>PPCx</v>
      </c>
      <c r="M1696" s="9" t="str">
        <f>IFERROR(__xludf.DUMMYFUNCTION("""COMPUTED_VALUE"""),"TI")</f>
        <v>TI</v>
      </c>
      <c r="N1696" s="9" t="str">
        <f>IFERROR(__xludf.DUMMYFUNCTION("""COMPUTED_VALUE"""),"TI3")</f>
        <v>TI3</v>
      </c>
      <c r="O1696" s="9"/>
      <c r="P1696" s="9"/>
      <c r="Q1696" s="9"/>
      <c r="R1696" s="9"/>
      <c r="S1696" s="42"/>
      <c r="T1696" s="42"/>
      <c r="U1696" s="42"/>
      <c r="V1696" s="42"/>
      <c r="W1696" s="42"/>
      <c r="X1696" s="42"/>
      <c r="Y1696" s="42"/>
      <c r="Z1696" s="42"/>
      <c r="AA1696" s="42"/>
      <c r="AB1696" s="42" t="str">
        <f>IFERROR(__xludf.DUMMYFUNCTION("""COMPUTED_VALUE"""),"allen institute")</f>
        <v>allen institute</v>
      </c>
      <c r="AC1696" s="42" t="str">
        <f>IFERROR(__xludf.DUMMYFUNCTION("""COMPUTED_VALUE"""),"DHBA")</f>
        <v>DHBA</v>
      </c>
      <c r="AD1696" s="42"/>
      <c r="AE1696" s="42"/>
      <c r="AF1696" s="9"/>
      <c r="AG1696" s="9"/>
      <c r="AH1696" s="42"/>
      <c r="AI1696" s="42"/>
      <c r="AJ1696" s="42"/>
      <c r="AK1696" s="42"/>
      <c r="AL1696" s="42"/>
      <c r="AM1696" s="42"/>
      <c r="AN1696" s="42"/>
      <c r="AO1696" s="63" t="str">
        <f>IFERROR(__xludf.DUMMYFUNCTION("IF(ISBLANK(A1696),,IF(ISBLANK(S1696), A1696&amp;"";"", TEXTJOIN(CHAR(10), TRUE, A1696&amp;"";"", ARRAYFORMULA(VLOOKUP(SPLIT(S1696, "";"" &amp; CHAR(10)), $A:$AO, 41, FALSE)))))"),"TI3;")</f>
        <v>TI3;</v>
      </c>
      <c r="AP1696" s="89"/>
    </row>
    <row r="1697">
      <c r="A1697" s="151" t="str">
        <f>IFERROR(__xludf.DUMMYFUNCTION("""COMPUTED_VALUE"""),"TI5")</f>
        <v>TI5</v>
      </c>
      <c r="B1697" s="42" t="str">
        <f>IFERROR(__xludf.DUMMYFUNCTION("""COMPUTED_VALUE"""),"DHBA")</f>
        <v>DHBA</v>
      </c>
      <c r="C1697" s="42" t="str">
        <f>IFERROR(__xludf.DUMMYFUNCTION("""COMPUTED_VALUE"""),"layer V of area TI")</f>
        <v>layer V of area TI</v>
      </c>
      <c r="D1697" s="42">
        <f>IFERROR(__xludf.DUMMYFUNCTION("""COMPUTED_VALUE"""),1597.0)</f>
        <v>1597</v>
      </c>
      <c r="E1697" s="39" t="str">
        <f>IFERROR(__xludf.DUMMYFUNCTION("""COMPUTED_VALUE"""),"layer V of area TI")</f>
        <v>layer V of area TI</v>
      </c>
      <c r="F1697" s="9" t="str">
        <f>IFERROR(__xludf.DUMMYFUNCTION("""COMPUTED_VALUE"""),"Br")</f>
        <v>Br</v>
      </c>
      <c r="G1697" s="9" t="str">
        <f>IFERROR(__xludf.DUMMYFUNCTION("""COMPUTED_VALUE"""),"F")</f>
        <v>F</v>
      </c>
      <c r="H1697" s="9" t="str">
        <f>IFERROR(__xludf.DUMMYFUNCTION("""COMPUTED_VALUE"""),"FGM")</f>
        <v>FGM</v>
      </c>
      <c r="I1697" s="9" t="str">
        <f>IFERROR(__xludf.DUMMYFUNCTION("""COMPUTED_VALUE"""),"Tel")</f>
        <v>Tel</v>
      </c>
      <c r="J1697" s="9" t="str">
        <f>IFERROR(__xludf.DUMMYFUNCTION("""COMPUTED_VALUE"""),"Cx")</f>
        <v>Cx</v>
      </c>
      <c r="K1697" s="9" t="str">
        <f>IFERROR(__xludf.DUMMYFUNCTION("""COMPUTED_VALUE"""),"PACx")</f>
        <v>PACx</v>
      </c>
      <c r="L1697" s="9" t="str">
        <f>IFERROR(__xludf.DUMMYFUNCTION("""COMPUTED_VALUE"""),"PPCx")</f>
        <v>PPCx</v>
      </c>
      <c r="M1697" s="9" t="str">
        <f>IFERROR(__xludf.DUMMYFUNCTION("""COMPUTED_VALUE"""),"TI")</f>
        <v>TI</v>
      </c>
      <c r="N1697" s="9" t="str">
        <f>IFERROR(__xludf.DUMMYFUNCTION("""COMPUTED_VALUE"""),"TI5")</f>
        <v>TI5</v>
      </c>
      <c r="O1697" s="9"/>
      <c r="P1697" s="9"/>
      <c r="Q1697" s="9"/>
      <c r="R1697" s="9"/>
      <c r="S1697" s="42"/>
      <c r="T1697" s="42"/>
      <c r="U1697" s="42"/>
      <c r="V1697" s="42"/>
      <c r="W1697" s="42"/>
      <c r="X1697" s="42"/>
      <c r="Y1697" s="42"/>
      <c r="Z1697" s="42"/>
      <c r="AA1697" s="42"/>
      <c r="AB1697" s="42" t="str">
        <f>IFERROR(__xludf.DUMMYFUNCTION("""COMPUTED_VALUE"""),"allen institute")</f>
        <v>allen institute</v>
      </c>
      <c r="AC1697" s="42" t="str">
        <f>IFERROR(__xludf.DUMMYFUNCTION("""COMPUTED_VALUE"""),"DHBA")</f>
        <v>DHBA</v>
      </c>
      <c r="AD1697" s="42"/>
      <c r="AE1697" s="42"/>
      <c r="AF1697" s="9"/>
      <c r="AG1697" s="9"/>
      <c r="AH1697" s="42"/>
      <c r="AI1697" s="42"/>
      <c r="AJ1697" s="42"/>
      <c r="AK1697" s="42"/>
      <c r="AL1697" s="42"/>
      <c r="AM1697" s="42"/>
      <c r="AN1697" s="42"/>
      <c r="AO1697" s="63" t="str">
        <f>IFERROR(__xludf.DUMMYFUNCTION("IF(ISBLANK(A1697),,IF(ISBLANK(S1697), A1697&amp;"";"", TEXTJOIN(CHAR(10), TRUE, A1697&amp;"";"", ARRAYFORMULA(VLOOKUP(SPLIT(S1697, "";"" &amp; CHAR(10)), $A:$AO, 41, FALSE)))))"),"TI5;")</f>
        <v>TI5;</v>
      </c>
      <c r="AP1697" s="89"/>
    </row>
    <row r="1698">
      <c r="A1698" s="151" t="str">
        <f>IFERROR(__xludf.DUMMYFUNCTION("""COMPUTED_VALUE"""),"TI6")</f>
        <v>TI6</v>
      </c>
      <c r="B1698" s="42" t="str">
        <f>IFERROR(__xludf.DUMMYFUNCTION("""COMPUTED_VALUE"""),"DHBA")</f>
        <v>DHBA</v>
      </c>
      <c r="C1698" s="42" t="str">
        <f>IFERROR(__xludf.DUMMYFUNCTION("""COMPUTED_VALUE"""),"layer VI of area TI")</f>
        <v>layer VI of area TI</v>
      </c>
      <c r="D1698" s="42">
        <f>IFERROR(__xludf.DUMMYFUNCTION("""COMPUTED_VALUE"""),1598.0)</f>
        <v>1598</v>
      </c>
      <c r="E1698" s="39" t="str">
        <f>IFERROR(__xludf.DUMMYFUNCTION("""COMPUTED_VALUE"""),"layer VI of area TI")</f>
        <v>layer VI of area TI</v>
      </c>
      <c r="F1698" s="9" t="str">
        <f>IFERROR(__xludf.DUMMYFUNCTION("""COMPUTED_VALUE"""),"Br")</f>
        <v>Br</v>
      </c>
      <c r="G1698" s="9" t="str">
        <f>IFERROR(__xludf.DUMMYFUNCTION("""COMPUTED_VALUE"""),"F")</f>
        <v>F</v>
      </c>
      <c r="H1698" s="9" t="str">
        <f>IFERROR(__xludf.DUMMYFUNCTION("""COMPUTED_VALUE"""),"FGM")</f>
        <v>FGM</v>
      </c>
      <c r="I1698" s="9" t="str">
        <f>IFERROR(__xludf.DUMMYFUNCTION("""COMPUTED_VALUE"""),"Tel")</f>
        <v>Tel</v>
      </c>
      <c r="J1698" s="9" t="str">
        <f>IFERROR(__xludf.DUMMYFUNCTION("""COMPUTED_VALUE"""),"Cx")</f>
        <v>Cx</v>
      </c>
      <c r="K1698" s="9" t="str">
        <f>IFERROR(__xludf.DUMMYFUNCTION("""COMPUTED_VALUE"""),"PACx")</f>
        <v>PACx</v>
      </c>
      <c r="L1698" s="9" t="str">
        <f>IFERROR(__xludf.DUMMYFUNCTION("""COMPUTED_VALUE"""),"PPCx")</f>
        <v>PPCx</v>
      </c>
      <c r="M1698" s="9" t="str">
        <f>IFERROR(__xludf.DUMMYFUNCTION("""COMPUTED_VALUE"""),"TI")</f>
        <v>TI</v>
      </c>
      <c r="N1698" s="9" t="str">
        <f>IFERROR(__xludf.DUMMYFUNCTION("""COMPUTED_VALUE"""),"TI6")</f>
        <v>TI6</v>
      </c>
      <c r="O1698" s="9"/>
      <c r="P1698" s="9"/>
      <c r="Q1698" s="9"/>
      <c r="R1698" s="9"/>
      <c r="S1698" s="42"/>
      <c r="T1698" s="42"/>
      <c r="U1698" s="42"/>
      <c r="V1698" s="42"/>
      <c r="W1698" s="42"/>
      <c r="X1698" s="42"/>
      <c r="Y1698" s="42"/>
      <c r="Z1698" s="42"/>
      <c r="AA1698" s="42"/>
      <c r="AB1698" s="42" t="str">
        <f>IFERROR(__xludf.DUMMYFUNCTION("""COMPUTED_VALUE"""),"allen institute")</f>
        <v>allen institute</v>
      </c>
      <c r="AC1698" s="42" t="str">
        <f>IFERROR(__xludf.DUMMYFUNCTION("""COMPUTED_VALUE"""),"DHBA")</f>
        <v>DHBA</v>
      </c>
      <c r="AD1698" s="42"/>
      <c r="AE1698" s="42"/>
      <c r="AF1698" s="9"/>
      <c r="AG1698" s="9"/>
      <c r="AH1698" s="42"/>
      <c r="AI1698" s="42"/>
      <c r="AJ1698" s="42"/>
      <c r="AK1698" s="42"/>
      <c r="AL1698" s="42"/>
      <c r="AM1698" s="42"/>
      <c r="AN1698" s="42"/>
      <c r="AO1698" s="63" t="str">
        <f>IFERROR(__xludf.DUMMYFUNCTION("IF(ISBLANK(A1698),,IF(ISBLANK(S1698), A1698&amp;"";"", TEXTJOIN(CHAR(10), TRUE, A1698&amp;"";"", ARRAYFORMULA(VLOOKUP(SPLIT(S1698, "";"" &amp; CHAR(10)), $A:$AO, 41, FALSE)))))"),"TI6;")</f>
        <v>TI6;</v>
      </c>
      <c r="AP1698" s="89"/>
    </row>
    <row r="1699">
      <c r="A1699" s="151" t="str">
        <f>IFERROR(__xludf.DUMMYFUNCTION("""COMPUTED_VALUE"""),"ACx")</f>
        <v>ACx</v>
      </c>
      <c r="B1699" s="42" t="str">
        <f>IFERROR(__xludf.DUMMYFUNCTION("""COMPUTED_VALUE"""),"DHBA")</f>
        <v>DHBA</v>
      </c>
      <c r="C1699" s="42" t="str">
        <f>IFERROR(__xludf.DUMMYFUNCTION("""COMPUTED_VALUE"""),"allocortex")</f>
        <v>allocortex</v>
      </c>
      <c r="D1699" s="42">
        <f>IFERROR(__xludf.DUMMYFUNCTION("""COMPUTED_VALUE"""),1599.0)</f>
        <v>1599</v>
      </c>
      <c r="E1699" s="39" t="str">
        <f>IFERROR(__xludf.DUMMYFUNCTION("""COMPUTED_VALUE"""),"allocortex")</f>
        <v>allocortex</v>
      </c>
      <c r="F1699" s="9" t="str">
        <f>IFERROR(__xludf.DUMMYFUNCTION("""COMPUTED_VALUE"""),"Br")</f>
        <v>Br</v>
      </c>
      <c r="G1699" s="9" t="str">
        <f>IFERROR(__xludf.DUMMYFUNCTION("""COMPUTED_VALUE"""),"F")</f>
        <v>F</v>
      </c>
      <c r="H1699" s="9" t="str">
        <f>IFERROR(__xludf.DUMMYFUNCTION("""COMPUTED_VALUE"""),"FGM")</f>
        <v>FGM</v>
      </c>
      <c r="I1699" s="9" t="str">
        <f>IFERROR(__xludf.DUMMYFUNCTION("""COMPUTED_VALUE"""),"Tel")</f>
        <v>Tel</v>
      </c>
      <c r="J1699" s="9" t="str">
        <f>IFERROR(__xludf.DUMMYFUNCTION("""COMPUTED_VALUE"""),"Cx")</f>
        <v>Cx</v>
      </c>
      <c r="K1699" s="9" t="str">
        <f>IFERROR(__xludf.DUMMYFUNCTION("""COMPUTED_VALUE"""),"ACx")</f>
        <v>ACx</v>
      </c>
      <c r="L1699" s="9"/>
      <c r="M1699" s="9"/>
      <c r="N1699" s="9"/>
      <c r="O1699" s="9"/>
      <c r="P1699" s="9"/>
      <c r="Q1699" s="9"/>
      <c r="R1699" s="9"/>
      <c r="S1699" s="42" t="str">
        <f>IFERROR(__xludf.DUMMYFUNCTION("""COMPUTED_VALUE"""),"ArCx;
PalCx")</f>
        <v>ArCx;
PalCx</v>
      </c>
      <c r="T1699" s="42"/>
      <c r="U1699" s="42" t="b">
        <f>IFERROR(__xludf.DUMMYFUNCTION("""COMPUTED_VALUE"""),FALSE)</f>
        <v>0</v>
      </c>
      <c r="V1699" s="42"/>
      <c r="W1699" s="42"/>
      <c r="X1699" s="42"/>
      <c r="Y1699" s="42"/>
      <c r="Z1699" s="42"/>
      <c r="AA1699" s="42"/>
      <c r="AB1699" s="42" t="str">
        <f>IFERROR(__xludf.DUMMYFUNCTION("""COMPUTED_VALUE"""),"allen institute")</f>
        <v>allen institute</v>
      </c>
      <c r="AC1699" s="42" t="str">
        <f>IFERROR(__xludf.DUMMYFUNCTION("""COMPUTED_VALUE"""),"DHBA")</f>
        <v>DHBA</v>
      </c>
      <c r="AD1699" s="42"/>
      <c r="AE1699" s="42"/>
      <c r="AF1699" s="9"/>
      <c r="AG1699" s="9"/>
      <c r="AH1699" s="42"/>
      <c r="AI1699" s="42"/>
      <c r="AJ1699" s="42"/>
      <c r="AK1699" s="42"/>
      <c r="AL1699" s="42"/>
      <c r="AM1699" s="42"/>
      <c r="AN1699" s="42"/>
      <c r="AO1699" s="63" t="str">
        <f>IFERROR(__xludf.DUMMYFUNCTION("IF(ISBLANK(A1699),,IF(ISBLANK(S1699), A1699&amp;"";"", TEXTJOIN(CHAR(10), TRUE, A1699&amp;"";"", ARRAYFORMULA(VLOOKUP(SPLIT(S1699, "";"" &amp; CHAR(10)), $A:$AO, 41, FALSE)))))"),"#REF!")</f>
        <v>#REF!</v>
      </c>
      <c r="AP1699" s="89"/>
    </row>
    <row r="1700">
      <c r="A1700" s="151" t="str">
        <f>IFERROR(__xludf.DUMMYFUNCTION("""COMPUTED_VALUE"""),"ArCx")</f>
        <v>ArCx</v>
      </c>
      <c r="B1700" s="42" t="str">
        <f>IFERROR(__xludf.DUMMYFUNCTION("""COMPUTED_VALUE"""),"DHBA")</f>
        <v>DHBA</v>
      </c>
      <c r="C1700" s="42" t="str">
        <f>IFERROR(__xludf.DUMMYFUNCTION("""COMPUTED_VALUE"""),"archicortex")</f>
        <v>archicortex</v>
      </c>
      <c r="D1700" s="42">
        <f>IFERROR(__xludf.DUMMYFUNCTION("""COMPUTED_VALUE"""),1600.0)</f>
        <v>1600</v>
      </c>
      <c r="E1700" s="39" t="str">
        <f>IFERROR(__xludf.DUMMYFUNCTION("""COMPUTED_VALUE"""),"archicortex")</f>
        <v>archicortex</v>
      </c>
      <c r="F1700" s="9" t="str">
        <f>IFERROR(__xludf.DUMMYFUNCTION("""COMPUTED_VALUE"""),"Br")</f>
        <v>Br</v>
      </c>
      <c r="G1700" s="9" t="str">
        <f>IFERROR(__xludf.DUMMYFUNCTION("""COMPUTED_VALUE"""),"F")</f>
        <v>F</v>
      </c>
      <c r="H1700" s="9" t="str">
        <f>IFERROR(__xludf.DUMMYFUNCTION("""COMPUTED_VALUE"""),"FGM")</f>
        <v>FGM</v>
      </c>
      <c r="I1700" s="9" t="str">
        <f>IFERROR(__xludf.DUMMYFUNCTION("""COMPUTED_VALUE"""),"Tel")</f>
        <v>Tel</v>
      </c>
      <c r="J1700" s="9" t="str">
        <f>IFERROR(__xludf.DUMMYFUNCTION("""COMPUTED_VALUE"""),"Cx")</f>
        <v>Cx</v>
      </c>
      <c r="K1700" s="9" t="str">
        <f>IFERROR(__xludf.DUMMYFUNCTION("""COMPUTED_VALUE"""),"ACx")</f>
        <v>ACx</v>
      </c>
      <c r="L1700" s="9" t="str">
        <f>IFERROR(__xludf.DUMMYFUNCTION("""COMPUTED_VALUE"""),"ArCx")</f>
        <v>ArCx</v>
      </c>
      <c r="M1700" s="9"/>
      <c r="N1700" s="9"/>
      <c r="O1700" s="9"/>
      <c r="P1700" s="9"/>
      <c r="Q1700" s="9"/>
      <c r="R1700" s="9"/>
      <c r="S1700" s="42" t="str">
        <f>IFERROR(__xludf.DUMMYFUNCTION("""COMPUTED_VALUE"""),"HIP;
IG;
TT")</f>
        <v>HIP;
IG;
TT</v>
      </c>
      <c r="T1700" s="42"/>
      <c r="U1700" s="159" t="b">
        <f>IFERROR(__xludf.DUMMYFUNCTION("""COMPUTED_VALUE"""),FALSE)</f>
        <v>0</v>
      </c>
      <c r="V1700" s="42"/>
      <c r="W1700" s="42"/>
      <c r="X1700" s="42"/>
      <c r="Y1700" s="42"/>
      <c r="Z1700" s="42"/>
      <c r="AA1700" s="42"/>
      <c r="AB1700" s="42" t="str">
        <f>IFERROR(__xludf.DUMMYFUNCTION("""COMPUTED_VALUE"""),"allen institute")</f>
        <v>allen institute</v>
      </c>
      <c r="AC1700" s="42" t="str">
        <f>IFERROR(__xludf.DUMMYFUNCTION("""COMPUTED_VALUE"""),"DHBA")</f>
        <v>DHBA</v>
      </c>
      <c r="AD1700" s="42"/>
      <c r="AE1700" s="42"/>
      <c r="AF1700" s="9"/>
      <c r="AG1700" s="9"/>
      <c r="AH1700" s="42"/>
      <c r="AI1700" s="42"/>
      <c r="AJ1700" s="42"/>
      <c r="AK1700" s="42"/>
      <c r="AL1700" s="42"/>
      <c r="AM1700" s="42"/>
      <c r="AN1700" s="42"/>
      <c r="AO1700" s="63" t="str">
        <f>IFERROR(__xludf.DUMMYFUNCTION("IF(ISBLANK(A1700),,IF(ISBLANK(S1700), A1700&amp;"";"", TEXTJOIN(CHAR(10), TRUE, A1700&amp;"";"", ARRAYFORMULA(VLOOKUP(SPLIT(S1700, "";"" &amp; CHAR(10)), $A:$AO, 41, FALSE)))))"),"#REF!")</f>
        <v>#REF!</v>
      </c>
      <c r="AP1700" s="89"/>
    </row>
    <row r="1701">
      <c r="A1701" s="151" t="str">
        <f>IFERROR(__xludf.DUMMYFUNCTION("""COMPUTED_VALUE"""),"HIP")</f>
        <v>HIP</v>
      </c>
      <c r="B1701" s="42" t="str">
        <f>IFERROR(__xludf.DUMMYFUNCTION("""COMPUTED_VALUE"""),"DHBA")</f>
        <v>DHBA</v>
      </c>
      <c r="C1701" s="42" t="str">
        <f>IFERROR(__xludf.DUMMYFUNCTION("""COMPUTED_VALUE"""),"hippocampus")</f>
        <v>hippocampus</v>
      </c>
      <c r="D1701" s="42">
        <f>IFERROR(__xludf.DUMMYFUNCTION("""COMPUTED_VALUE"""),1601.0)</f>
        <v>1601</v>
      </c>
      <c r="E1701" s="39" t="str">
        <f>IFERROR(__xludf.DUMMYFUNCTION("""COMPUTED_VALUE"""),"hippocampus (hippocampal formation)")</f>
        <v>hippocampus (hippocampal formation)</v>
      </c>
      <c r="F1701" s="9" t="str">
        <f>IFERROR(__xludf.DUMMYFUNCTION("""COMPUTED_VALUE"""),"Br")</f>
        <v>Br</v>
      </c>
      <c r="G1701" s="9" t="str">
        <f>IFERROR(__xludf.DUMMYFUNCTION("""COMPUTED_VALUE"""),"F")</f>
        <v>F</v>
      </c>
      <c r="H1701" s="9" t="str">
        <f>IFERROR(__xludf.DUMMYFUNCTION("""COMPUTED_VALUE"""),"FGM")</f>
        <v>FGM</v>
      </c>
      <c r="I1701" s="9" t="str">
        <f>IFERROR(__xludf.DUMMYFUNCTION("""COMPUTED_VALUE"""),"Tel")</f>
        <v>Tel</v>
      </c>
      <c r="J1701" s="9" t="str">
        <f>IFERROR(__xludf.DUMMYFUNCTION("""COMPUTED_VALUE"""),"Cx")</f>
        <v>Cx</v>
      </c>
      <c r="K1701" s="9" t="str">
        <f>IFERROR(__xludf.DUMMYFUNCTION("""COMPUTED_VALUE"""),"ACx")</f>
        <v>ACx</v>
      </c>
      <c r="L1701" s="9" t="str">
        <f>IFERROR(__xludf.DUMMYFUNCTION("""COMPUTED_VALUE"""),"ArCx")</f>
        <v>ArCx</v>
      </c>
      <c r="M1701" s="9" t="str">
        <f>IFERROR(__xludf.DUMMYFUNCTION("""COMPUTED_VALUE"""),"HIP")</f>
        <v>HIP</v>
      </c>
      <c r="N1701" s="9"/>
      <c r="O1701" s="9"/>
      <c r="P1701" s="9"/>
      <c r="Q1701" s="9"/>
      <c r="R1701" s="9"/>
      <c r="S1701" s="42" t="str">
        <f>IFERROR(__xludf.DUMMYFUNCTION("""COMPUTED_VALUE"""),"Hipp;
LEC;
MEC;
S;
PrS;
PaS;
DG;
Sub")</f>
        <v>Hipp;
LEC;
MEC;
S;
PrS;
PaS;
DG;
Sub</v>
      </c>
      <c r="T1701" s="42"/>
      <c r="U1701" s="42" t="b">
        <f>IFERROR(__xludf.DUMMYFUNCTION("""COMPUTED_VALUE"""),FALSE)</f>
        <v>0</v>
      </c>
      <c r="V1701" s="42"/>
      <c r="W1701" s="42"/>
      <c r="X1701" s="42"/>
      <c r="Y1701" s="42"/>
      <c r="Z1701" s="42"/>
      <c r="AA1701" s="42"/>
      <c r="AB1701" s="42" t="str">
        <f>IFERROR(__xludf.DUMMYFUNCTION("""COMPUTED_VALUE"""),"allen institute")</f>
        <v>allen institute</v>
      </c>
      <c r="AC1701" s="42" t="str">
        <f>IFERROR(__xludf.DUMMYFUNCTION("""COMPUTED_VALUE"""),"DHBA")</f>
        <v>DHBA</v>
      </c>
      <c r="AD1701" s="42"/>
      <c r="AE1701" s="42"/>
      <c r="AF1701" s="9"/>
      <c r="AG1701" s="9"/>
      <c r="AH1701" s="42"/>
      <c r="AI1701" s="42"/>
      <c r="AJ1701" s="42"/>
      <c r="AK1701" s="42"/>
      <c r="AL1701" s="42"/>
      <c r="AM1701" s="42"/>
      <c r="AN1701" s="42"/>
      <c r="AO1701" s="63" t="str">
        <f>IFERROR(__xludf.DUMMYFUNCTION("IF(ISBLANK(A1701),,IF(ISBLANK(S1701), A1701&amp;"";"", TEXTJOIN(CHAR(10), TRUE, A1701&amp;"";"", ARRAYFORMULA(VLOOKUP(SPLIT(S1701, "";"" &amp; CHAR(10)), $A:$AO, 41, FALSE)))))"),"#REF!")</f>
        <v>#REF!</v>
      </c>
      <c r="AP1701" s="89"/>
    </row>
    <row r="1702">
      <c r="A1702" s="151" t="str">
        <f>IFERROR(__xludf.DUMMYFUNCTION("""COMPUTED_VALUE"""),"DG")</f>
        <v>DG</v>
      </c>
      <c r="B1702" s="42" t="str">
        <f>IFERROR(__xludf.DUMMYFUNCTION("""COMPUTED_VALUE"""),"DHBA")</f>
        <v>DHBA</v>
      </c>
      <c r="C1702" s="42" t="str">
        <f>IFERROR(__xludf.DUMMYFUNCTION("""COMPUTED_VALUE"""),"dentate gyrus")</f>
        <v>dentate gyrus</v>
      </c>
      <c r="D1702" s="42">
        <f>IFERROR(__xludf.DUMMYFUNCTION("""COMPUTED_VALUE"""),1602.0)</f>
        <v>1602</v>
      </c>
      <c r="E1702" s="39" t="str">
        <f>IFERROR(__xludf.DUMMYFUNCTION("""COMPUTED_VALUE"""),"dentate area (dentate gyrus)")</f>
        <v>dentate area (dentate gyrus)</v>
      </c>
      <c r="F1702" s="9" t="str">
        <f>IFERROR(__xludf.DUMMYFUNCTION("""COMPUTED_VALUE"""),"Br")</f>
        <v>Br</v>
      </c>
      <c r="G1702" s="9" t="str">
        <f>IFERROR(__xludf.DUMMYFUNCTION("""COMPUTED_VALUE"""),"F")</f>
        <v>F</v>
      </c>
      <c r="H1702" s="9" t="str">
        <f>IFERROR(__xludf.DUMMYFUNCTION("""COMPUTED_VALUE"""),"FGM")</f>
        <v>FGM</v>
      </c>
      <c r="I1702" s="9" t="str">
        <f>IFERROR(__xludf.DUMMYFUNCTION("""COMPUTED_VALUE"""),"Tel")</f>
        <v>Tel</v>
      </c>
      <c r="J1702" s="9" t="str">
        <f>IFERROR(__xludf.DUMMYFUNCTION("""COMPUTED_VALUE"""),"Cx")</f>
        <v>Cx</v>
      </c>
      <c r="K1702" s="9" t="str">
        <f>IFERROR(__xludf.DUMMYFUNCTION("""COMPUTED_VALUE"""),"ACx")</f>
        <v>ACx</v>
      </c>
      <c r="L1702" s="9" t="str">
        <f>IFERROR(__xludf.DUMMYFUNCTION("""COMPUTED_VALUE"""),"ArCx")</f>
        <v>ArCx</v>
      </c>
      <c r="M1702" s="9" t="str">
        <f>IFERROR(__xludf.DUMMYFUNCTION("""COMPUTED_VALUE"""),"HIP")</f>
        <v>HIP</v>
      </c>
      <c r="N1702" s="9" t="str">
        <f>IFERROR(__xludf.DUMMYFUNCTION("""COMPUTED_VALUE"""),"DG")</f>
        <v>DG</v>
      </c>
      <c r="O1702" s="9"/>
      <c r="P1702" s="9"/>
      <c r="Q1702" s="9"/>
      <c r="R1702" s="9"/>
      <c r="S1702" s="42" t="str">
        <f>IFERROR(__xludf.DUMMYFUNCTION("""COMPUTED_VALUE"""),"DGU;
DGR;
DGC")</f>
        <v>DGU;
DGR;
DGC</v>
      </c>
      <c r="T1702" s="42"/>
      <c r="U1702" s="42" t="b">
        <f>IFERROR(__xludf.DUMMYFUNCTION("""COMPUTED_VALUE"""),FALSE)</f>
        <v>0</v>
      </c>
      <c r="V1702" s="42"/>
      <c r="W1702" s="42" t="str">
        <f>IFERROR(__xludf.DUMMYFUNCTION("""COMPUTED_VALUE"""),"Excitatory")</f>
        <v>Excitatory</v>
      </c>
      <c r="X1702" s="42"/>
      <c r="Y1702" s="42" t="str">
        <f>IFERROR(__xludf.DUMMYFUNCTION("""COMPUTED_VALUE"""),"Pattern separation [Kesner, 2007 ][Rolls, 2007]")</f>
        <v>Pattern separation [Kesner, 2007 ][Rolls, 2007]</v>
      </c>
      <c r="Z1702" s="42"/>
      <c r="AA1702" s="42"/>
      <c r="AB1702" s="42" t="str">
        <f>IFERROR(__xludf.DUMMYFUNCTION("""COMPUTED_VALUE"""),"allen institute")</f>
        <v>allen institute</v>
      </c>
      <c r="AC1702" s="42" t="str">
        <f>IFERROR(__xludf.DUMMYFUNCTION("""COMPUTED_VALUE"""),"DHBA")</f>
        <v>DHBA</v>
      </c>
      <c r="AD1702" s="42"/>
      <c r="AE1702" s="42"/>
      <c r="AF1702" s="9"/>
      <c r="AG1702" s="9"/>
      <c r="AH1702" s="42"/>
      <c r="AI1702" s="42"/>
      <c r="AJ1702" s="42"/>
      <c r="AK1702" s="42"/>
      <c r="AL1702" s="42"/>
      <c r="AM1702" s="42"/>
      <c r="AN1702" s="42"/>
      <c r="AO1702" s="63" t="str">
        <f>IFERROR(__xludf.DUMMYFUNCTION("IF(ISBLANK(A1702),,IF(ISBLANK(S1702), A1702&amp;"";"", TEXTJOIN(CHAR(10), TRUE, A1702&amp;"";"", ARRAYFORMULA(VLOOKUP(SPLIT(S1702, "";"" &amp; CHAR(10)), $A:$AO, 41, FALSE)))))"),"DG;
DGU;
DGUmo;
DGUgr;
DGUsg;
DGUpf;
DGR;
DGRmo;
DGRgr;
DGRsg;
DGRpf;
DGC;
DGCmo;
DGCgr;
DGCsg;
DGCpf;")</f>
        <v>DG;
DGU;
DGUmo;
DGUgr;
DGUsg;
DGUpf;
DGR;
DGRmo;
DGRgr;
DGRsg;
DGRpf;
DGC;
DGCmo;
DGCgr;
DGCsg;
DGCpf;</v>
      </c>
      <c r="AP1702" s="89"/>
    </row>
    <row r="1703">
      <c r="A1703" s="151" t="str">
        <f>IFERROR(__xludf.DUMMYFUNCTION("""COMPUTED_VALUE"""),"DGU")</f>
        <v>DGU</v>
      </c>
      <c r="B1703" s="42" t="str">
        <f>IFERROR(__xludf.DUMMYFUNCTION("""COMPUTED_VALUE"""),"DHBA")</f>
        <v>DHBA</v>
      </c>
      <c r="C1703" s="42" t="str">
        <f>IFERROR(__xludf.DUMMYFUNCTION("""COMPUTED_VALUE"""),"uncal dentate gyrus")</f>
        <v>uncal dentate gyrus</v>
      </c>
      <c r="D1703" s="42">
        <f>IFERROR(__xludf.DUMMYFUNCTION("""COMPUTED_VALUE"""),1603.0)</f>
        <v>1603</v>
      </c>
      <c r="E1703" s="39" t="str">
        <f>IFERROR(__xludf.DUMMYFUNCTION("""COMPUTED_VALUE"""),"uncal dentate gyrus")</f>
        <v>uncal dentate gyrus</v>
      </c>
      <c r="F1703" s="9" t="str">
        <f>IFERROR(__xludf.DUMMYFUNCTION("""COMPUTED_VALUE"""),"Br")</f>
        <v>Br</v>
      </c>
      <c r="G1703" s="9" t="str">
        <f>IFERROR(__xludf.DUMMYFUNCTION("""COMPUTED_VALUE"""),"F")</f>
        <v>F</v>
      </c>
      <c r="H1703" s="9" t="str">
        <f>IFERROR(__xludf.DUMMYFUNCTION("""COMPUTED_VALUE"""),"FGM")</f>
        <v>FGM</v>
      </c>
      <c r="I1703" s="9" t="str">
        <f>IFERROR(__xludf.DUMMYFUNCTION("""COMPUTED_VALUE"""),"Tel")</f>
        <v>Tel</v>
      </c>
      <c r="J1703" s="9" t="str">
        <f>IFERROR(__xludf.DUMMYFUNCTION("""COMPUTED_VALUE"""),"Cx")</f>
        <v>Cx</v>
      </c>
      <c r="K1703" s="9" t="str">
        <f>IFERROR(__xludf.DUMMYFUNCTION("""COMPUTED_VALUE"""),"ACx")</f>
        <v>ACx</v>
      </c>
      <c r="L1703" s="9" t="str">
        <f>IFERROR(__xludf.DUMMYFUNCTION("""COMPUTED_VALUE"""),"ArCx")</f>
        <v>ArCx</v>
      </c>
      <c r="M1703" s="9" t="str">
        <f>IFERROR(__xludf.DUMMYFUNCTION("""COMPUTED_VALUE"""),"HIP")</f>
        <v>HIP</v>
      </c>
      <c r="N1703" s="9" t="str">
        <f>IFERROR(__xludf.DUMMYFUNCTION("""COMPUTED_VALUE"""),"DG")</f>
        <v>DG</v>
      </c>
      <c r="O1703" s="9" t="str">
        <f>IFERROR(__xludf.DUMMYFUNCTION("""COMPUTED_VALUE"""),"DGU")</f>
        <v>DGU</v>
      </c>
      <c r="P1703" s="9"/>
      <c r="Q1703" s="9"/>
      <c r="R1703" s="9"/>
      <c r="S1703" s="42" t="str">
        <f>IFERROR(__xludf.DUMMYFUNCTION("""COMPUTED_VALUE"""),"DGUmo;
DGUgr;
DGUsg;
DGUpf")</f>
        <v>DGUmo;
DGUgr;
DGUsg;
DGUpf</v>
      </c>
      <c r="T1703" s="42"/>
      <c r="U1703" s="42" t="b">
        <f>IFERROR(__xludf.DUMMYFUNCTION("""COMPUTED_VALUE"""),FALSE)</f>
        <v>0</v>
      </c>
      <c r="V1703" s="42"/>
      <c r="W1703" s="42"/>
      <c r="X1703" s="42"/>
      <c r="Y1703" s="42"/>
      <c r="Z1703" s="42"/>
      <c r="AA1703" s="42"/>
      <c r="AB1703" s="42" t="str">
        <f>IFERROR(__xludf.DUMMYFUNCTION("""COMPUTED_VALUE"""),"allen institute")</f>
        <v>allen institute</v>
      </c>
      <c r="AC1703" s="42" t="str">
        <f>IFERROR(__xludf.DUMMYFUNCTION("""COMPUTED_VALUE"""),"DHBA")</f>
        <v>DHBA</v>
      </c>
      <c r="AD1703" s="42"/>
      <c r="AE1703" s="42"/>
      <c r="AF1703" s="9"/>
      <c r="AG1703" s="9"/>
      <c r="AH1703" s="42"/>
      <c r="AI1703" s="42"/>
      <c r="AJ1703" s="42"/>
      <c r="AK1703" s="42"/>
      <c r="AL1703" s="42"/>
      <c r="AM1703" s="42"/>
      <c r="AN1703" s="42"/>
      <c r="AO1703" s="63" t="str">
        <f>IFERROR(__xludf.DUMMYFUNCTION("IF(ISBLANK(A1703),,IF(ISBLANK(S1703), A1703&amp;"";"", TEXTJOIN(CHAR(10), TRUE, A1703&amp;"";"", ARRAYFORMULA(VLOOKUP(SPLIT(S1703, "";"" &amp; CHAR(10)), $A:$AO, 41, FALSE)))))"),"DGU;
DGUmo;
DGUgr;
DGUsg;
DGUpf;")</f>
        <v>DGU;
DGUmo;
DGUgr;
DGUsg;
DGUpf;</v>
      </c>
      <c r="AP1703" s="89"/>
    </row>
    <row r="1704">
      <c r="A1704" s="151" t="str">
        <f>IFERROR(__xludf.DUMMYFUNCTION("""COMPUTED_VALUE"""),"DGUmo")</f>
        <v>DGUmo</v>
      </c>
      <c r="B1704" s="42" t="str">
        <f>IFERROR(__xludf.DUMMYFUNCTION("""COMPUTED_VALUE"""),"DHBA")</f>
        <v>DHBA</v>
      </c>
      <c r="C1704" s="42" t="str">
        <f>IFERROR(__xludf.DUMMYFUNCTION("""COMPUTED_VALUE"""),"molecular layer of uncal dentate gyrus")</f>
        <v>molecular layer of uncal dentate gyrus</v>
      </c>
      <c r="D1704" s="42">
        <f>IFERROR(__xludf.DUMMYFUNCTION("""COMPUTED_VALUE"""),1604.0)</f>
        <v>1604</v>
      </c>
      <c r="E1704" s="39" t="str">
        <f>IFERROR(__xludf.DUMMYFUNCTION("""COMPUTED_VALUE"""),"molecular layer of uncal dentate gyrus")</f>
        <v>molecular layer of uncal dentate gyrus</v>
      </c>
      <c r="F1704" s="9" t="str">
        <f>IFERROR(__xludf.DUMMYFUNCTION("""COMPUTED_VALUE"""),"Br")</f>
        <v>Br</v>
      </c>
      <c r="G1704" s="9" t="str">
        <f>IFERROR(__xludf.DUMMYFUNCTION("""COMPUTED_VALUE"""),"F")</f>
        <v>F</v>
      </c>
      <c r="H1704" s="9" t="str">
        <f>IFERROR(__xludf.DUMMYFUNCTION("""COMPUTED_VALUE"""),"FGM")</f>
        <v>FGM</v>
      </c>
      <c r="I1704" s="9" t="str">
        <f>IFERROR(__xludf.DUMMYFUNCTION("""COMPUTED_VALUE"""),"Tel")</f>
        <v>Tel</v>
      </c>
      <c r="J1704" s="9" t="str">
        <f>IFERROR(__xludf.DUMMYFUNCTION("""COMPUTED_VALUE"""),"Cx")</f>
        <v>Cx</v>
      </c>
      <c r="K1704" s="9" t="str">
        <f>IFERROR(__xludf.DUMMYFUNCTION("""COMPUTED_VALUE"""),"ACx")</f>
        <v>ACx</v>
      </c>
      <c r="L1704" s="9" t="str">
        <f>IFERROR(__xludf.DUMMYFUNCTION("""COMPUTED_VALUE"""),"ArCx")</f>
        <v>ArCx</v>
      </c>
      <c r="M1704" s="9" t="str">
        <f>IFERROR(__xludf.DUMMYFUNCTION("""COMPUTED_VALUE"""),"HIP")</f>
        <v>HIP</v>
      </c>
      <c r="N1704" s="9" t="str">
        <f>IFERROR(__xludf.DUMMYFUNCTION("""COMPUTED_VALUE"""),"DG")</f>
        <v>DG</v>
      </c>
      <c r="O1704" s="9" t="str">
        <f>IFERROR(__xludf.DUMMYFUNCTION("""COMPUTED_VALUE"""),"DGU")</f>
        <v>DGU</v>
      </c>
      <c r="P1704" s="9" t="str">
        <f>IFERROR(__xludf.DUMMYFUNCTION("""COMPUTED_VALUE"""),"DGUmo")</f>
        <v>DGUmo</v>
      </c>
      <c r="Q1704" s="9"/>
      <c r="R1704" s="9"/>
      <c r="S1704" s="42"/>
      <c r="T1704" s="42"/>
      <c r="U1704" s="42"/>
      <c r="V1704" s="42"/>
      <c r="W1704" s="42"/>
      <c r="X1704" s="42"/>
      <c r="Y1704" s="42"/>
      <c r="Z1704" s="42"/>
      <c r="AA1704" s="42"/>
      <c r="AB1704" s="42" t="str">
        <f>IFERROR(__xludf.DUMMYFUNCTION("""COMPUTED_VALUE"""),"allen institute")</f>
        <v>allen institute</v>
      </c>
      <c r="AC1704" s="42" t="str">
        <f>IFERROR(__xludf.DUMMYFUNCTION("""COMPUTED_VALUE"""),"DHBA")</f>
        <v>DHBA</v>
      </c>
      <c r="AD1704" s="42"/>
      <c r="AE1704" s="42"/>
      <c r="AF1704" s="9"/>
      <c r="AG1704" s="9"/>
      <c r="AH1704" s="42"/>
      <c r="AI1704" s="42"/>
      <c r="AJ1704" s="42"/>
      <c r="AK1704" s="42"/>
      <c r="AL1704" s="42"/>
      <c r="AM1704" s="42"/>
      <c r="AN1704" s="42"/>
      <c r="AO1704" s="63" t="str">
        <f>IFERROR(__xludf.DUMMYFUNCTION("IF(ISBLANK(A1704),,IF(ISBLANK(S1704), A1704&amp;"";"", TEXTJOIN(CHAR(10), TRUE, A1704&amp;"";"", ARRAYFORMULA(VLOOKUP(SPLIT(S1704, "";"" &amp; CHAR(10)), $A:$AO, 41, FALSE)))))"),"DGUmo;")</f>
        <v>DGUmo;</v>
      </c>
      <c r="AP1704" s="89"/>
    </row>
    <row r="1705">
      <c r="A1705" s="151" t="str">
        <f>IFERROR(__xludf.DUMMYFUNCTION("""COMPUTED_VALUE"""),"DGUgr")</f>
        <v>DGUgr</v>
      </c>
      <c r="B1705" s="42" t="str">
        <f>IFERROR(__xludf.DUMMYFUNCTION("""COMPUTED_VALUE"""),"DHBA")</f>
        <v>DHBA</v>
      </c>
      <c r="C1705" s="42" t="str">
        <f>IFERROR(__xludf.DUMMYFUNCTION("""COMPUTED_VALUE"""),"granular layer of uncal dentate gyrus")</f>
        <v>granular layer of uncal dentate gyrus</v>
      </c>
      <c r="D1705" s="42">
        <f>IFERROR(__xludf.DUMMYFUNCTION("""COMPUTED_VALUE"""),1605.0)</f>
        <v>1605</v>
      </c>
      <c r="E1705" s="39" t="str">
        <f>IFERROR(__xludf.DUMMYFUNCTION("""COMPUTED_VALUE"""),"granular layer of uncal dentate gyrus")</f>
        <v>granular layer of uncal dentate gyrus</v>
      </c>
      <c r="F1705" s="9" t="str">
        <f>IFERROR(__xludf.DUMMYFUNCTION("""COMPUTED_VALUE"""),"Br")</f>
        <v>Br</v>
      </c>
      <c r="G1705" s="9" t="str">
        <f>IFERROR(__xludf.DUMMYFUNCTION("""COMPUTED_VALUE"""),"F")</f>
        <v>F</v>
      </c>
      <c r="H1705" s="9" t="str">
        <f>IFERROR(__xludf.DUMMYFUNCTION("""COMPUTED_VALUE"""),"FGM")</f>
        <v>FGM</v>
      </c>
      <c r="I1705" s="9" t="str">
        <f>IFERROR(__xludf.DUMMYFUNCTION("""COMPUTED_VALUE"""),"Tel")</f>
        <v>Tel</v>
      </c>
      <c r="J1705" s="9" t="str">
        <f>IFERROR(__xludf.DUMMYFUNCTION("""COMPUTED_VALUE"""),"Cx")</f>
        <v>Cx</v>
      </c>
      <c r="K1705" s="9" t="str">
        <f>IFERROR(__xludf.DUMMYFUNCTION("""COMPUTED_VALUE"""),"ACx")</f>
        <v>ACx</v>
      </c>
      <c r="L1705" s="9" t="str">
        <f>IFERROR(__xludf.DUMMYFUNCTION("""COMPUTED_VALUE"""),"ArCx")</f>
        <v>ArCx</v>
      </c>
      <c r="M1705" s="9" t="str">
        <f>IFERROR(__xludf.DUMMYFUNCTION("""COMPUTED_VALUE"""),"HIP")</f>
        <v>HIP</v>
      </c>
      <c r="N1705" s="9" t="str">
        <f>IFERROR(__xludf.DUMMYFUNCTION("""COMPUTED_VALUE"""),"DG")</f>
        <v>DG</v>
      </c>
      <c r="O1705" s="9" t="str">
        <f>IFERROR(__xludf.DUMMYFUNCTION("""COMPUTED_VALUE"""),"DGU")</f>
        <v>DGU</v>
      </c>
      <c r="P1705" s="9" t="str">
        <f>IFERROR(__xludf.DUMMYFUNCTION("""COMPUTED_VALUE"""),"DGUgr")</f>
        <v>DGUgr</v>
      </c>
      <c r="Q1705" s="9"/>
      <c r="R1705" s="9"/>
      <c r="S1705" s="42"/>
      <c r="T1705" s="42"/>
      <c r="U1705" s="42"/>
      <c r="V1705" s="42"/>
      <c r="W1705" s="42"/>
      <c r="X1705" s="42"/>
      <c r="Y1705" s="42"/>
      <c r="Z1705" s="42"/>
      <c r="AA1705" s="42"/>
      <c r="AB1705" s="42" t="str">
        <f>IFERROR(__xludf.DUMMYFUNCTION("""COMPUTED_VALUE"""),"allen institute")</f>
        <v>allen institute</v>
      </c>
      <c r="AC1705" s="42" t="str">
        <f>IFERROR(__xludf.DUMMYFUNCTION("""COMPUTED_VALUE"""),"DHBA")</f>
        <v>DHBA</v>
      </c>
      <c r="AD1705" s="42"/>
      <c r="AE1705" s="42"/>
      <c r="AF1705" s="9"/>
      <c r="AG1705" s="9"/>
      <c r="AH1705" s="42"/>
      <c r="AI1705" s="42"/>
      <c r="AJ1705" s="42"/>
      <c r="AK1705" s="42"/>
      <c r="AL1705" s="42"/>
      <c r="AM1705" s="42"/>
      <c r="AN1705" s="42"/>
      <c r="AO1705" s="63" t="str">
        <f>IFERROR(__xludf.DUMMYFUNCTION("IF(ISBLANK(A1705),,IF(ISBLANK(S1705), A1705&amp;"";"", TEXTJOIN(CHAR(10), TRUE, A1705&amp;"";"", ARRAYFORMULA(VLOOKUP(SPLIT(S1705, "";"" &amp; CHAR(10)), $A:$AO, 41, FALSE)))))"),"DGUgr;")</f>
        <v>DGUgr;</v>
      </c>
      <c r="AP1705" s="89"/>
    </row>
    <row r="1706">
      <c r="A1706" s="151" t="str">
        <f>IFERROR(__xludf.DUMMYFUNCTION("""COMPUTED_VALUE"""),"DGUsg")</f>
        <v>DGUsg</v>
      </c>
      <c r="B1706" s="42" t="str">
        <f>IFERROR(__xludf.DUMMYFUNCTION("""COMPUTED_VALUE"""),"DHBA")</f>
        <v>DHBA</v>
      </c>
      <c r="C1706" s="42" t="str">
        <f>IFERROR(__xludf.DUMMYFUNCTION("""COMPUTED_VALUE"""),"subgranular zone of uncal dentate gyrus")</f>
        <v>subgranular zone of uncal dentate gyrus</v>
      </c>
      <c r="D1706" s="42">
        <f>IFERROR(__xludf.DUMMYFUNCTION("""COMPUTED_VALUE"""),1606.0)</f>
        <v>1606</v>
      </c>
      <c r="E1706" s="39" t="str">
        <f>IFERROR(__xludf.DUMMYFUNCTION("""COMPUTED_VALUE"""),"subgranular zone of uncal dentate gyrus")</f>
        <v>subgranular zone of uncal dentate gyrus</v>
      </c>
      <c r="F1706" s="9" t="str">
        <f>IFERROR(__xludf.DUMMYFUNCTION("""COMPUTED_VALUE"""),"Br")</f>
        <v>Br</v>
      </c>
      <c r="G1706" s="9" t="str">
        <f>IFERROR(__xludf.DUMMYFUNCTION("""COMPUTED_VALUE"""),"F")</f>
        <v>F</v>
      </c>
      <c r="H1706" s="9" t="str">
        <f>IFERROR(__xludf.DUMMYFUNCTION("""COMPUTED_VALUE"""),"FGM")</f>
        <v>FGM</v>
      </c>
      <c r="I1706" s="9" t="str">
        <f>IFERROR(__xludf.DUMMYFUNCTION("""COMPUTED_VALUE"""),"Tel")</f>
        <v>Tel</v>
      </c>
      <c r="J1706" s="9" t="str">
        <f>IFERROR(__xludf.DUMMYFUNCTION("""COMPUTED_VALUE"""),"Cx")</f>
        <v>Cx</v>
      </c>
      <c r="K1706" s="9" t="str">
        <f>IFERROR(__xludf.DUMMYFUNCTION("""COMPUTED_VALUE"""),"ACx")</f>
        <v>ACx</v>
      </c>
      <c r="L1706" s="9" t="str">
        <f>IFERROR(__xludf.DUMMYFUNCTION("""COMPUTED_VALUE"""),"ArCx")</f>
        <v>ArCx</v>
      </c>
      <c r="M1706" s="9" t="str">
        <f>IFERROR(__xludf.DUMMYFUNCTION("""COMPUTED_VALUE"""),"HIP")</f>
        <v>HIP</v>
      </c>
      <c r="N1706" s="9" t="str">
        <f>IFERROR(__xludf.DUMMYFUNCTION("""COMPUTED_VALUE"""),"DG")</f>
        <v>DG</v>
      </c>
      <c r="O1706" s="9" t="str">
        <f>IFERROR(__xludf.DUMMYFUNCTION("""COMPUTED_VALUE"""),"DGU")</f>
        <v>DGU</v>
      </c>
      <c r="P1706" s="9" t="str">
        <f>IFERROR(__xludf.DUMMYFUNCTION("""COMPUTED_VALUE"""),"DGUsg")</f>
        <v>DGUsg</v>
      </c>
      <c r="Q1706" s="9"/>
      <c r="R1706" s="9"/>
      <c r="S1706" s="42"/>
      <c r="T1706" s="42"/>
      <c r="U1706" s="42"/>
      <c r="V1706" s="42"/>
      <c r="W1706" s="42"/>
      <c r="X1706" s="42"/>
      <c r="Y1706" s="42"/>
      <c r="Z1706" s="42"/>
      <c r="AA1706" s="42"/>
      <c r="AB1706" s="42" t="str">
        <f>IFERROR(__xludf.DUMMYFUNCTION("""COMPUTED_VALUE"""),"allen institute")</f>
        <v>allen institute</v>
      </c>
      <c r="AC1706" s="42" t="str">
        <f>IFERROR(__xludf.DUMMYFUNCTION("""COMPUTED_VALUE"""),"DHBA")</f>
        <v>DHBA</v>
      </c>
      <c r="AD1706" s="42"/>
      <c r="AE1706" s="42"/>
      <c r="AF1706" s="9"/>
      <c r="AG1706" s="9"/>
      <c r="AH1706" s="42"/>
      <c r="AI1706" s="42"/>
      <c r="AJ1706" s="42"/>
      <c r="AK1706" s="42"/>
      <c r="AL1706" s="42"/>
      <c r="AM1706" s="42"/>
      <c r="AN1706" s="42"/>
      <c r="AO1706" s="63" t="str">
        <f>IFERROR(__xludf.DUMMYFUNCTION("IF(ISBLANK(A1706),,IF(ISBLANK(S1706), A1706&amp;"";"", TEXTJOIN(CHAR(10), TRUE, A1706&amp;"";"", ARRAYFORMULA(VLOOKUP(SPLIT(S1706, "";"" &amp; CHAR(10)), $A:$AO, 41, FALSE)))))"),"DGUsg;")</f>
        <v>DGUsg;</v>
      </c>
      <c r="AP1706" s="89"/>
    </row>
    <row r="1707">
      <c r="A1707" s="151" t="str">
        <f>IFERROR(__xludf.DUMMYFUNCTION("""COMPUTED_VALUE"""),"DGUpf")</f>
        <v>DGUpf</v>
      </c>
      <c r="B1707" s="42" t="str">
        <f>IFERROR(__xludf.DUMMYFUNCTION("""COMPUTED_VALUE"""),"DHBA")</f>
        <v>DHBA</v>
      </c>
      <c r="C1707" s="42" t="str">
        <f>IFERROR(__xludf.DUMMYFUNCTION("""COMPUTED_VALUE"""),"polyform layer of uncal dentate gyrus")</f>
        <v>polyform layer of uncal dentate gyrus</v>
      </c>
      <c r="D1707" s="42">
        <f>IFERROR(__xludf.DUMMYFUNCTION("""COMPUTED_VALUE"""),1607.0)</f>
        <v>1607</v>
      </c>
      <c r="E1707" s="39" t="str">
        <f>IFERROR(__xludf.DUMMYFUNCTION("""COMPUTED_VALUE"""),"polyform layer of uncal dentate gyrus")</f>
        <v>polyform layer of uncal dentate gyrus</v>
      </c>
      <c r="F1707" s="9" t="str">
        <f>IFERROR(__xludf.DUMMYFUNCTION("""COMPUTED_VALUE"""),"Br")</f>
        <v>Br</v>
      </c>
      <c r="G1707" s="9" t="str">
        <f>IFERROR(__xludf.DUMMYFUNCTION("""COMPUTED_VALUE"""),"F")</f>
        <v>F</v>
      </c>
      <c r="H1707" s="9" t="str">
        <f>IFERROR(__xludf.DUMMYFUNCTION("""COMPUTED_VALUE"""),"FGM")</f>
        <v>FGM</v>
      </c>
      <c r="I1707" s="9" t="str">
        <f>IFERROR(__xludf.DUMMYFUNCTION("""COMPUTED_VALUE"""),"Tel")</f>
        <v>Tel</v>
      </c>
      <c r="J1707" s="9" t="str">
        <f>IFERROR(__xludf.DUMMYFUNCTION("""COMPUTED_VALUE"""),"Cx")</f>
        <v>Cx</v>
      </c>
      <c r="K1707" s="9" t="str">
        <f>IFERROR(__xludf.DUMMYFUNCTION("""COMPUTED_VALUE"""),"ACx")</f>
        <v>ACx</v>
      </c>
      <c r="L1707" s="9" t="str">
        <f>IFERROR(__xludf.DUMMYFUNCTION("""COMPUTED_VALUE"""),"ArCx")</f>
        <v>ArCx</v>
      </c>
      <c r="M1707" s="9" t="str">
        <f>IFERROR(__xludf.DUMMYFUNCTION("""COMPUTED_VALUE"""),"HIP")</f>
        <v>HIP</v>
      </c>
      <c r="N1707" s="9" t="str">
        <f>IFERROR(__xludf.DUMMYFUNCTION("""COMPUTED_VALUE"""),"DG")</f>
        <v>DG</v>
      </c>
      <c r="O1707" s="9" t="str">
        <f>IFERROR(__xludf.DUMMYFUNCTION("""COMPUTED_VALUE"""),"DGU")</f>
        <v>DGU</v>
      </c>
      <c r="P1707" s="9" t="str">
        <f>IFERROR(__xludf.DUMMYFUNCTION("""COMPUTED_VALUE"""),"DGUpf")</f>
        <v>DGUpf</v>
      </c>
      <c r="Q1707" s="9"/>
      <c r="R1707" s="9"/>
      <c r="S1707" s="42"/>
      <c r="T1707" s="42"/>
      <c r="U1707" s="42"/>
      <c r="V1707" s="42"/>
      <c r="W1707" s="42"/>
      <c r="X1707" s="42"/>
      <c r="Y1707" s="42"/>
      <c r="Z1707" s="42"/>
      <c r="AA1707" s="42"/>
      <c r="AB1707" s="42" t="str">
        <f>IFERROR(__xludf.DUMMYFUNCTION("""COMPUTED_VALUE"""),"allen institute")</f>
        <v>allen institute</v>
      </c>
      <c r="AC1707" s="42" t="str">
        <f>IFERROR(__xludf.DUMMYFUNCTION("""COMPUTED_VALUE"""),"DHBA")</f>
        <v>DHBA</v>
      </c>
      <c r="AD1707" s="42"/>
      <c r="AE1707" s="42"/>
      <c r="AF1707" s="9"/>
      <c r="AG1707" s="9"/>
      <c r="AH1707" s="42"/>
      <c r="AI1707" s="42"/>
      <c r="AJ1707" s="42"/>
      <c r="AK1707" s="42"/>
      <c r="AL1707" s="42"/>
      <c r="AM1707" s="42"/>
      <c r="AN1707" s="42"/>
      <c r="AO1707" s="63" t="str">
        <f>IFERROR(__xludf.DUMMYFUNCTION("IF(ISBLANK(A1707),,IF(ISBLANK(S1707), A1707&amp;"";"", TEXTJOIN(CHAR(10), TRUE, A1707&amp;"";"", ARRAYFORMULA(VLOOKUP(SPLIT(S1707, "";"" &amp; CHAR(10)), $A:$AO, 41, FALSE)))))"),"DGUpf;")</f>
        <v>DGUpf;</v>
      </c>
      <c r="AP1707" s="89"/>
    </row>
    <row r="1708">
      <c r="A1708" s="151" t="str">
        <f>IFERROR(__xludf.DUMMYFUNCTION("""COMPUTED_VALUE"""),"DGR")</f>
        <v>DGR</v>
      </c>
      <c r="B1708" s="42" t="str">
        <f>IFERROR(__xludf.DUMMYFUNCTION("""COMPUTED_VALUE"""),"DHBA")</f>
        <v>DHBA</v>
      </c>
      <c r="C1708" s="42" t="str">
        <f>IFERROR(__xludf.DUMMYFUNCTION("""COMPUTED_VALUE"""),"rostral dentate gyrus")</f>
        <v>rostral dentate gyrus</v>
      </c>
      <c r="D1708" s="42">
        <f>IFERROR(__xludf.DUMMYFUNCTION("""COMPUTED_VALUE"""),1608.0)</f>
        <v>1608</v>
      </c>
      <c r="E1708" s="39" t="str">
        <f>IFERROR(__xludf.DUMMYFUNCTION("""COMPUTED_VALUE"""),"rostral dentate gyrus")</f>
        <v>rostral dentate gyrus</v>
      </c>
      <c r="F1708" s="9" t="str">
        <f>IFERROR(__xludf.DUMMYFUNCTION("""COMPUTED_VALUE"""),"Br")</f>
        <v>Br</v>
      </c>
      <c r="G1708" s="9" t="str">
        <f>IFERROR(__xludf.DUMMYFUNCTION("""COMPUTED_VALUE"""),"F")</f>
        <v>F</v>
      </c>
      <c r="H1708" s="9" t="str">
        <f>IFERROR(__xludf.DUMMYFUNCTION("""COMPUTED_VALUE"""),"FGM")</f>
        <v>FGM</v>
      </c>
      <c r="I1708" s="9" t="str">
        <f>IFERROR(__xludf.DUMMYFUNCTION("""COMPUTED_VALUE"""),"Tel")</f>
        <v>Tel</v>
      </c>
      <c r="J1708" s="9" t="str">
        <f>IFERROR(__xludf.DUMMYFUNCTION("""COMPUTED_VALUE"""),"Cx")</f>
        <v>Cx</v>
      </c>
      <c r="K1708" s="9" t="str">
        <f>IFERROR(__xludf.DUMMYFUNCTION("""COMPUTED_VALUE"""),"ACx")</f>
        <v>ACx</v>
      </c>
      <c r="L1708" s="9" t="str">
        <f>IFERROR(__xludf.DUMMYFUNCTION("""COMPUTED_VALUE"""),"ArCx")</f>
        <v>ArCx</v>
      </c>
      <c r="M1708" s="9" t="str">
        <f>IFERROR(__xludf.DUMMYFUNCTION("""COMPUTED_VALUE"""),"HIP")</f>
        <v>HIP</v>
      </c>
      <c r="N1708" s="9" t="str">
        <f>IFERROR(__xludf.DUMMYFUNCTION("""COMPUTED_VALUE"""),"DG")</f>
        <v>DG</v>
      </c>
      <c r="O1708" s="9" t="str">
        <f>IFERROR(__xludf.DUMMYFUNCTION("""COMPUTED_VALUE"""),"DGR")</f>
        <v>DGR</v>
      </c>
      <c r="P1708" s="9"/>
      <c r="Q1708" s="9"/>
      <c r="R1708" s="9"/>
      <c r="S1708" s="42" t="str">
        <f>IFERROR(__xludf.DUMMYFUNCTION("""COMPUTED_VALUE"""),"DGRmo;
DGRgr;
DGRsg;
DGRpf")</f>
        <v>DGRmo;
DGRgr;
DGRsg;
DGRpf</v>
      </c>
      <c r="T1708" s="42"/>
      <c r="U1708" s="42" t="b">
        <f>IFERROR(__xludf.DUMMYFUNCTION("""COMPUTED_VALUE"""),FALSE)</f>
        <v>0</v>
      </c>
      <c r="V1708" s="42"/>
      <c r="W1708" s="42"/>
      <c r="X1708" s="42"/>
      <c r="Y1708" s="42"/>
      <c r="Z1708" s="42"/>
      <c r="AA1708" s="42"/>
      <c r="AB1708" s="42" t="str">
        <f>IFERROR(__xludf.DUMMYFUNCTION("""COMPUTED_VALUE"""),"allen institute")</f>
        <v>allen institute</v>
      </c>
      <c r="AC1708" s="42" t="str">
        <f>IFERROR(__xludf.DUMMYFUNCTION("""COMPUTED_VALUE"""),"DHBA")</f>
        <v>DHBA</v>
      </c>
      <c r="AD1708" s="42"/>
      <c r="AE1708" s="42"/>
      <c r="AF1708" s="9"/>
      <c r="AG1708" s="9"/>
      <c r="AH1708" s="42"/>
      <c r="AI1708" s="42"/>
      <c r="AJ1708" s="42"/>
      <c r="AK1708" s="42"/>
      <c r="AL1708" s="42"/>
      <c r="AM1708" s="42"/>
      <c r="AN1708" s="42"/>
      <c r="AO1708" s="63" t="str">
        <f>IFERROR(__xludf.DUMMYFUNCTION("IF(ISBLANK(A1708),,IF(ISBLANK(S1708), A1708&amp;"";"", TEXTJOIN(CHAR(10), TRUE, A1708&amp;"";"", ARRAYFORMULA(VLOOKUP(SPLIT(S1708, "";"" &amp; CHAR(10)), $A:$AO, 41, FALSE)))))"),"DGR;
DGRmo;
DGRgr;
DGRsg;
DGRpf;")</f>
        <v>DGR;
DGRmo;
DGRgr;
DGRsg;
DGRpf;</v>
      </c>
      <c r="AP1708" s="89"/>
    </row>
    <row r="1709">
      <c r="A1709" s="151" t="str">
        <f>IFERROR(__xludf.DUMMYFUNCTION("""COMPUTED_VALUE"""),"DGRmo")</f>
        <v>DGRmo</v>
      </c>
      <c r="B1709" s="42" t="str">
        <f>IFERROR(__xludf.DUMMYFUNCTION("""COMPUTED_VALUE"""),"DHBA")</f>
        <v>DHBA</v>
      </c>
      <c r="C1709" s="42" t="str">
        <f>IFERROR(__xludf.DUMMYFUNCTION("""COMPUTED_VALUE"""),"molecular layer of rostral dentate gyrus")</f>
        <v>molecular layer of rostral dentate gyrus</v>
      </c>
      <c r="D1709" s="42">
        <f>IFERROR(__xludf.DUMMYFUNCTION("""COMPUTED_VALUE"""),1609.0)</f>
        <v>1609</v>
      </c>
      <c r="E1709" s="39" t="str">
        <f>IFERROR(__xludf.DUMMYFUNCTION("""COMPUTED_VALUE"""),"molecular layer of rostral dentate gyrus")</f>
        <v>molecular layer of rostral dentate gyrus</v>
      </c>
      <c r="F1709" s="9" t="str">
        <f>IFERROR(__xludf.DUMMYFUNCTION("""COMPUTED_VALUE"""),"Br")</f>
        <v>Br</v>
      </c>
      <c r="G1709" s="9" t="str">
        <f>IFERROR(__xludf.DUMMYFUNCTION("""COMPUTED_VALUE"""),"F")</f>
        <v>F</v>
      </c>
      <c r="H1709" s="9" t="str">
        <f>IFERROR(__xludf.DUMMYFUNCTION("""COMPUTED_VALUE"""),"FGM")</f>
        <v>FGM</v>
      </c>
      <c r="I1709" s="9" t="str">
        <f>IFERROR(__xludf.DUMMYFUNCTION("""COMPUTED_VALUE"""),"Tel")</f>
        <v>Tel</v>
      </c>
      <c r="J1709" s="9" t="str">
        <f>IFERROR(__xludf.DUMMYFUNCTION("""COMPUTED_VALUE"""),"Cx")</f>
        <v>Cx</v>
      </c>
      <c r="K1709" s="9" t="str">
        <f>IFERROR(__xludf.DUMMYFUNCTION("""COMPUTED_VALUE"""),"ACx")</f>
        <v>ACx</v>
      </c>
      <c r="L1709" s="9" t="str">
        <f>IFERROR(__xludf.DUMMYFUNCTION("""COMPUTED_VALUE"""),"ArCx")</f>
        <v>ArCx</v>
      </c>
      <c r="M1709" s="9" t="str">
        <f>IFERROR(__xludf.DUMMYFUNCTION("""COMPUTED_VALUE"""),"HIP")</f>
        <v>HIP</v>
      </c>
      <c r="N1709" s="9" t="str">
        <f>IFERROR(__xludf.DUMMYFUNCTION("""COMPUTED_VALUE"""),"DG")</f>
        <v>DG</v>
      </c>
      <c r="O1709" s="9" t="str">
        <f>IFERROR(__xludf.DUMMYFUNCTION("""COMPUTED_VALUE"""),"DGR")</f>
        <v>DGR</v>
      </c>
      <c r="P1709" s="9" t="str">
        <f>IFERROR(__xludf.DUMMYFUNCTION("""COMPUTED_VALUE"""),"DGRmo")</f>
        <v>DGRmo</v>
      </c>
      <c r="Q1709" s="9"/>
      <c r="R1709" s="9"/>
      <c r="S1709" s="42"/>
      <c r="T1709" s="42"/>
      <c r="U1709" s="159"/>
      <c r="V1709" s="42"/>
      <c r="W1709" s="42"/>
      <c r="X1709" s="42"/>
      <c r="Y1709" s="42"/>
      <c r="Z1709" s="42"/>
      <c r="AA1709" s="42"/>
      <c r="AB1709" s="42" t="str">
        <f>IFERROR(__xludf.DUMMYFUNCTION("""COMPUTED_VALUE"""),"allen institute")</f>
        <v>allen institute</v>
      </c>
      <c r="AC1709" s="42" t="str">
        <f>IFERROR(__xludf.DUMMYFUNCTION("""COMPUTED_VALUE"""),"DHBA")</f>
        <v>DHBA</v>
      </c>
      <c r="AD1709" s="42"/>
      <c r="AE1709" s="42"/>
      <c r="AF1709" s="9"/>
      <c r="AG1709" s="9"/>
      <c r="AH1709" s="42"/>
      <c r="AI1709" s="42"/>
      <c r="AJ1709" s="42"/>
      <c r="AK1709" s="42"/>
      <c r="AL1709" s="42"/>
      <c r="AM1709" s="42"/>
      <c r="AN1709" s="42"/>
      <c r="AO1709" s="63" t="str">
        <f>IFERROR(__xludf.DUMMYFUNCTION("IF(ISBLANK(A1709),,IF(ISBLANK(S1709), A1709&amp;"";"", TEXTJOIN(CHAR(10), TRUE, A1709&amp;"";"", ARRAYFORMULA(VLOOKUP(SPLIT(S1709, "";"" &amp; CHAR(10)), $A:$AO, 41, FALSE)))))"),"DGRmo;")</f>
        <v>DGRmo;</v>
      </c>
      <c r="AP1709" s="89"/>
    </row>
    <row r="1710">
      <c r="A1710" s="151" t="str">
        <f>IFERROR(__xludf.DUMMYFUNCTION("""COMPUTED_VALUE"""),"DGRgr")</f>
        <v>DGRgr</v>
      </c>
      <c r="B1710" s="42" t="str">
        <f>IFERROR(__xludf.DUMMYFUNCTION("""COMPUTED_VALUE"""),"DHBA")</f>
        <v>DHBA</v>
      </c>
      <c r="C1710" s="42" t="str">
        <f>IFERROR(__xludf.DUMMYFUNCTION("""COMPUTED_VALUE"""),"granular layer of rostral dentate gyrus")</f>
        <v>granular layer of rostral dentate gyrus</v>
      </c>
      <c r="D1710" s="42">
        <f>IFERROR(__xludf.DUMMYFUNCTION("""COMPUTED_VALUE"""),1610.0)</f>
        <v>1610</v>
      </c>
      <c r="E1710" s="39" t="str">
        <f>IFERROR(__xludf.DUMMYFUNCTION("""COMPUTED_VALUE"""),"granular layer of rostral dentate gyrus")</f>
        <v>granular layer of rostral dentate gyrus</v>
      </c>
      <c r="F1710" s="9" t="str">
        <f>IFERROR(__xludf.DUMMYFUNCTION("""COMPUTED_VALUE"""),"Br")</f>
        <v>Br</v>
      </c>
      <c r="G1710" s="9" t="str">
        <f>IFERROR(__xludf.DUMMYFUNCTION("""COMPUTED_VALUE"""),"F")</f>
        <v>F</v>
      </c>
      <c r="H1710" s="9" t="str">
        <f>IFERROR(__xludf.DUMMYFUNCTION("""COMPUTED_VALUE"""),"FGM")</f>
        <v>FGM</v>
      </c>
      <c r="I1710" s="9" t="str">
        <f>IFERROR(__xludf.DUMMYFUNCTION("""COMPUTED_VALUE"""),"Tel")</f>
        <v>Tel</v>
      </c>
      <c r="J1710" s="9" t="str">
        <f>IFERROR(__xludf.DUMMYFUNCTION("""COMPUTED_VALUE"""),"Cx")</f>
        <v>Cx</v>
      </c>
      <c r="K1710" s="9" t="str">
        <f>IFERROR(__xludf.DUMMYFUNCTION("""COMPUTED_VALUE"""),"ACx")</f>
        <v>ACx</v>
      </c>
      <c r="L1710" s="9" t="str">
        <f>IFERROR(__xludf.DUMMYFUNCTION("""COMPUTED_VALUE"""),"ArCx")</f>
        <v>ArCx</v>
      </c>
      <c r="M1710" s="9" t="str">
        <f>IFERROR(__xludf.DUMMYFUNCTION("""COMPUTED_VALUE"""),"HIP")</f>
        <v>HIP</v>
      </c>
      <c r="N1710" s="9" t="str">
        <f>IFERROR(__xludf.DUMMYFUNCTION("""COMPUTED_VALUE"""),"DG")</f>
        <v>DG</v>
      </c>
      <c r="O1710" s="9" t="str">
        <f>IFERROR(__xludf.DUMMYFUNCTION("""COMPUTED_VALUE"""),"DGR")</f>
        <v>DGR</v>
      </c>
      <c r="P1710" s="9" t="str">
        <f>IFERROR(__xludf.DUMMYFUNCTION("""COMPUTED_VALUE"""),"DGRgr")</f>
        <v>DGRgr</v>
      </c>
      <c r="Q1710" s="9"/>
      <c r="R1710" s="9"/>
      <c r="S1710" s="42"/>
      <c r="T1710" s="42"/>
      <c r="U1710" s="159"/>
      <c r="V1710" s="42"/>
      <c r="W1710" s="42"/>
      <c r="X1710" s="42"/>
      <c r="Y1710" s="42"/>
      <c r="Z1710" s="42"/>
      <c r="AA1710" s="42"/>
      <c r="AB1710" s="42" t="str">
        <f>IFERROR(__xludf.DUMMYFUNCTION("""COMPUTED_VALUE"""),"allen institute")</f>
        <v>allen institute</v>
      </c>
      <c r="AC1710" s="42" t="str">
        <f>IFERROR(__xludf.DUMMYFUNCTION("""COMPUTED_VALUE"""),"DHBA")</f>
        <v>DHBA</v>
      </c>
      <c r="AD1710" s="42"/>
      <c r="AE1710" s="42"/>
      <c r="AF1710" s="9"/>
      <c r="AG1710" s="9"/>
      <c r="AH1710" s="42"/>
      <c r="AI1710" s="42"/>
      <c r="AJ1710" s="42"/>
      <c r="AK1710" s="42"/>
      <c r="AL1710" s="42"/>
      <c r="AM1710" s="42"/>
      <c r="AN1710" s="42"/>
      <c r="AO1710" s="63" t="str">
        <f>IFERROR(__xludf.DUMMYFUNCTION("IF(ISBLANK(A1710),,IF(ISBLANK(S1710), A1710&amp;"";"", TEXTJOIN(CHAR(10), TRUE, A1710&amp;"";"", ARRAYFORMULA(VLOOKUP(SPLIT(S1710, "";"" &amp; CHAR(10)), $A:$AO, 41, FALSE)))))"),"DGRgr;")</f>
        <v>DGRgr;</v>
      </c>
      <c r="AP1710" s="89"/>
    </row>
    <row r="1711">
      <c r="A1711" s="151" t="str">
        <f>IFERROR(__xludf.DUMMYFUNCTION("""COMPUTED_VALUE"""),"DGRsg")</f>
        <v>DGRsg</v>
      </c>
      <c r="B1711" s="42" t="str">
        <f>IFERROR(__xludf.DUMMYFUNCTION("""COMPUTED_VALUE"""),"DHBA")</f>
        <v>DHBA</v>
      </c>
      <c r="C1711" s="42" t="str">
        <f>IFERROR(__xludf.DUMMYFUNCTION("""COMPUTED_VALUE"""),"subgranular zone of rostral dentate gyrus")</f>
        <v>subgranular zone of rostral dentate gyrus</v>
      </c>
      <c r="D1711" s="42">
        <f>IFERROR(__xludf.DUMMYFUNCTION("""COMPUTED_VALUE"""),1611.0)</f>
        <v>1611</v>
      </c>
      <c r="E1711" s="39" t="str">
        <f>IFERROR(__xludf.DUMMYFUNCTION("""COMPUTED_VALUE"""),"subgranular zone of rostral dentate gyrus")</f>
        <v>subgranular zone of rostral dentate gyrus</v>
      </c>
      <c r="F1711" s="9" t="str">
        <f>IFERROR(__xludf.DUMMYFUNCTION("""COMPUTED_VALUE"""),"Br")</f>
        <v>Br</v>
      </c>
      <c r="G1711" s="9" t="str">
        <f>IFERROR(__xludf.DUMMYFUNCTION("""COMPUTED_VALUE"""),"F")</f>
        <v>F</v>
      </c>
      <c r="H1711" s="9" t="str">
        <f>IFERROR(__xludf.DUMMYFUNCTION("""COMPUTED_VALUE"""),"FGM")</f>
        <v>FGM</v>
      </c>
      <c r="I1711" s="9" t="str">
        <f>IFERROR(__xludf.DUMMYFUNCTION("""COMPUTED_VALUE"""),"Tel")</f>
        <v>Tel</v>
      </c>
      <c r="J1711" s="9" t="str">
        <f>IFERROR(__xludf.DUMMYFUNCTION("""COMPUTED_VALUE"""),"Cx")</f>
        <v>Cx</v>
      </c>
      <c r="K1711" s="9" t="str">
        <f>IFERROR(__xludf.DUMMYFUNCTION("""COMPUTED_VALUE"""),"ACx")</f>
        <v>ACx</v>
      </c>
      <c r="L1711" s="9" t="str">
        <f>IFERROR(__xludf.DUMMYFUNCTION("""COMPUTED_VALUE"""),"ArCx")</f>
        <v>ArCx</v>
      </c>
      <c r="M1711" s="9" t="str">
        <f>IFERROR(__xludf.DUMMYFUNCTION("""COMPUTED_VALUE"""),"HIP")</f>
        <v>HIP</v>
      </c>
      <c r="N1711" s="9" t="str">
        <f>IFERROR(__xludf.DUMMYFUNCTION("""COMPUTED_VALUE"""),"DG")</f>
        <v>DG</v>
      </c>
      <c r="O1711" s="9" t="str">
        <f>IFERROR(__xludf.DUMMYFUNCTION("""COMPUTED_VALUE"""),"DGR")</f>
        <v>DGR</v>
      </c>
      <c r="P1711" s="9" t="str">
        <f>IFERROR(__xludf.DUMMYFUNCTION("""COMPUTED_VALUE"""),"DGRsg")</f>
        <v>DGRsg</v>
      </c>
      <c r="Q1711" s="9"/>
      <c r="R1711" s="9"/>
      <c r="S1711" s="42"/>
      <c r="T1711" s="42"/>
      <c r="U1711" s="159"/>
      <c r="V1711" s="42"/>
      <c r="W1711" s="42"/>
      <c r="X1711" s="42"/>
      <c r="Y1711" s="42"/>
      <c r="Z1711" s="42"/>
      <c r="AA1711" s="42"/>
      <c r="AB1711" s="42" t="str">
        <f>IFERROR(__xludf.DUMMYFUNCTION("""COMPUTED_VALUE"""),"allen institute")</f>
        <v>allen institute</v>
      </c>
      <c r="AC1711" s="42" t="str">
        <f>IFERROR(__xludf.DUMMYFUNCTION("""COMPUTED_VALUE"""),"DHBA")</f>
        <v>DHBA</v>
      </c>
      <c r="AD1711" s="42"/>
      <c r="AE1711" s="42"/>
      <c r="AF1711" s="9"/>
      <c r="AG1711" s="9"/>
      <c r="AH1711" s="42"/>
      <c r="AI1711" s="42"/>
      <c r="AJ1711" s="42"/>
      <c r="AK1711" s="42"/>
      <c r="AL1711" s="42"/>
      <c r="AM1711" s="42"/>
      <c r="AN1711" s="42"/>
      <c r="AO1711" s="63" t="str">
        <f>IFERROR(__xludf.DUMMYFUNCTION("IF(ISBLANK(A1711),,IF(ISBLANK(S1711), A1711&amp;"";"", TEXTJOIN(CHAR(10), TRUE, A1711&amp;"";"", ARRAYFORMULA(VLOOKUP(SPLIT(S1711, "";"" &amp; CHAR(10)), $A:$AO, 41, FALSE)))))"),"DGRsg;")</f>
        <v>DGRsg;</v>
      </c>
      <c r="AP1711" s="89"/>
    </row>
    <row r="1712">
      <c r="A1712" s="151" t="str">
        <f>IFERROR(__xludf.DUMMYFUNCTION("""COMPUTED_VALUE"""),"DGRpf")</f>
        <v>DGRpf</v>
      </c>
      <c r="B1712" s="42" t="str">
        <f>IFERROR(__xludf.DUMMYFUNCTION("""COMPUTED_VALUE"""),"DHBA")</f>
        <v>DHBA</v>
      </c>
      <c r="C1712" s="42" t="str">
        <f>IFERROR(__xludf.DUMMYFUNCTION("""COMPUTED_VALUE"""),"polyform layer of rostral dentate gyrus")</f>
        <v>polyform layer of rostral dentate gyrus</v>
      </c>
      <c r="D1712" s="42">
        <f>IFERROR(__xludf.DUMMYFUNCTION("""COMPUTED_VALUE"""),1612.0)</f>
        <v>1612</v>
      </c>
      <c r="E1712" s="39" t="str">
        <f>IFERROR(__xludf.DUMMYFUNCTION("""COMPUTED_VALUE"""),"polyform layer of rostral dentate gyrus")</f>
        <v>polyform layer of rostral dentate gyrus</v>
      </c>
      <c r="F1712" s="9" t="str">
        <f>IFERROR(__xludf.DUMMYFUNCTION("""COMPUTED_VALUE"""),"Br")</f>
        <v>Br</v>
      </c>
      <c r="G1712" s="9" t="str">
        <f>IFERROR(__xludf.DUMMYFUNCTION("""COMPUTED_VALUE"""),"F")</f>
        <v>F</v>
      </c>
      <c r="H1712" s="9" t="str">
        <f>IFERROR(__xludf.DUMMYFUNCTION("""COMPUTED_VALUE"""),"FGM")</f>
        <v>FGM</v>
      </c>
      <c r="I1712" s="9" t="str">
        <f>IFERROR(__xludf.DUMMYFUNCTION("""COMPUTED_VALUE"""),"Tel")</f>
        <v>Tel</v>
      </c>
      <c r="J1712" s="9" t="str">
        <f>IFERROR(__xludf.DUMMYFUNCTION("""COMPUTED_VALUE"""),"Cx")</f>
        <v>Cx</v>
      </c>
      <c r="K1712" s="9" t="str">
        <f>IFERROR(__xludf.DUMMYFUNCTION("""COMPUTED_VALUE"""),"ACx")</f>
        <v>ACx</v>
      </c>
      <c r="L1712" s="9" t="str">
        <f>IFERROR(__xludf.DUMMYFUNCTION("""COMPUTED_VALUE"""),"ArCx")</f>
        <v>ArCx</v>
      </c>
      <c r="M1712" s="9" t="str">
        <f>IFERROR(__xludf.DUMMYFUNCTION("""COMPUTED_VALUE"""),"HIP")</f>
        <v>HIP</v>
      </c>
      <c r="N1712" s="9" t="str">
        <f>IFERROR(__xludf.DUMMYFUNCTION("""COMPUTED_VALUE"""),"DG")</f>
        <v>DG</v>
      </c>
      <c r="O1712" s="9" t="str">
        <f>IFERROR(__xludf.DUMMYFUNCTION("""COMPUTED_VALUE"""),"DGR")</f>
        <v>DGR</v>
      </c>
      <c r="P1712" s="9" t="str">
        <f>IFERROR(__xludf.DUMMYFUNCTION("""COMPUTED_VALUE"""),"DGRpf")</f>
        <v>DGRpf</v>
      </c>
      <c r="Q1712" s="9"/>
      <c r="R1712" s="9"/>
      <c r="S1712" s="42"/>
      <c r="T1712" s="42"/>
      <c r="U1712" s="159"/>
      <c r="V1712" s="42"/>
      <c r="W1712" s="42"/>
      <c r="X1712" s="42"/>
      <c r="Y1712" s="42"/>
      <c r="Z1712" s="42"/>
      <c r="AA1712" s="42"/>
      <c r="AB1712" s="42" t="str">
        <f>IFERROR(__xludf.DUMMYFUNCTION("""COMPUTED_VALUE"""),"allen institute")</f>
        <v>allen institute</v>
      </c>
      <c r="AC1712" s="42" t="str">
        <f>IFERROR(__xludf.DUMMYFUNCTION("""COMPUTED_VALUE"""),"DHBA")</f>
        <v>DHBA</v>
      </c>
      <c r="AD1712" s="42"/>
      <c r="AE1712" s="42"/>
      <c r="AF1712" s="9"/>
      <c r="AG1712" s="9"/>
      <c r="AH1712" s="42"/>
      <c r="AI1712" s="42"/>
      <c r="AJ1712" s="42"/>
      <c r="AK1712" s="42"/>
      <c r="AL1712" s="42"/>
      <c r="AM1712" s="42"/>
      <c r="AN1712" s="42"/>
      <c r="AO1712" s="63" t="str">
        <f>IFERROR(__xludf.DUMMYFUNCTION("IF(ISBLANK(A1712),,IF(ISBLANK(S1712), A1712&amp;"";"", TEXTJOIN(CHAR(10), TRUE, A1712&amp;"";"", ARRAYFORMULA(VLOOKUP(SPLIT(S1712, "";"" &amp; CHAR(10)), $A:$AO, 41, FALSE)))))"),"DGRpf;")</f>
        <v>DGRpf;</v>
      </c>
      <c r="AP1712" s="89"/>
    </row>
    <row r="1713">
      <c r="A1713" s="151" t="str">
        <f>IFERROR(__xludf.DUMMYFUNCTION("""COMPUTED_VALUE"""),"DGC")</f>
        <v>DGC</v>
      </c>
      <c r="B1713" s="42" t="str">
        <f>IFERROR(__xludf.DUMMYFUNCTION("""COMPUTED_VALUE"""),"DHBA")</f>
        <v>DHBA</v>
      </c>
      <c r="C1713" s="42" t="str">
        <f>IFERROR(__xludf.DUMMYFUNCTION("""COMPUTED_VALUE"""),"caudal dentate gyrus")</f>
        <v>caudal dentate gyrus</v>
      </c>
      <c r="D1713" s="42">
        <f>IFERROR(__xludf.DUMMYFUNCTION("""COMPUTED_VALUE"""),1613.0)</f>
        <v>1613</v>
      </c>
      <c r="E1713" s="39" t="str">
        <f>IFERROR(__xludf.DUMMYFUNCTION("""COMPUTED_VALUE"""),"caudal dentate gyrus")</f>
        <v>caudal dentate gyrus</v>
      </c>
      <c r="F1713" s="9" t="str">
        <f>IFERROR(__xludf.DUMMYFUNCTION("""COMPUTED_VALUE"""),"Br")</f>
        <v>Br</v>
      </c>
      <c r="G1713" s="9" t="str">
        <f>IFERROR(__xludf.DUMMYFUNCTION("""COMPUTED_VALUE"""),"F")</f>
        <v>F</v>
      </c>
      <c r="H1713" s="9" t="str">
        <f>IFERROR(__xludf.DUMMYFUNCTION("""COMPUTED_VALUE"""),"FGM")</f>
        <v>FGM</v>
      </c>
      <c r="I1713" s="9" t="str">
        <f>IFERROR(__xludf.DUMMYFUNCTION("""COMPUTED_VALUE"""),"Tel")</f>
        <v>Tel</v>
      </c>
      <c r="J1713" s="9" t="str">
        <f>IFERROR(__xludf.DUMMYFUNCTION("""COMPUTED_VALUE"""),"Cx")</f>
        <v>Cx</v>
      </c>
      <c r="K1713" s="9" t="str">
        <f>IFERROR(__xludf.DUMMYFUNCTION("""COMPUTED_VALUE"""),"ACx")</f>
        <v>ACx</v>
      </c>
      <c r="L1713" s="9" t="str">
        <f>IFERROR(__xludf.DUMMYFUNCTION("""COMPUTED_VALUE"""),"ArCx")</f>
        <v>ArCx</v>
      </c>
      <c r="M1713" s="9" t="str">
        <f>IFERROR(__xludf.DUMMYFUNCTION("""COMPUTED_VALUE"""),"HIP")</f>
        <v>HIP</v>
      </c>
      <c r="N1713" s="9" t="str">
        <f>IFERROR(__xludf.DUMMYFUNCTION("""COMPUTED_VALUE"""),"DG")</f>
        <v>DG</v>
      </c>
      <c r="O1713" s="9" t="str">
        <f>IFERROR(__xludf.DUMMYFUNCTION("""COMPUTED_VALUE"""),"DGC")</f>
        <v>DGC</v>
      </c>
      <c r="P1713" s="9"/>
      <c r="Q1713" s="9"/>
      <c r="R1713" s="9"/>
      <c r="S1713" s="42" t="str">
        <f>IFERROR(__xludf.DUMMYFUNCTION("""COMPUTED_VALUE"""),"DGCmo;
DGCgr;
DGCsg;
DGCpf")</f>
        <v>DGCmo;
DGCgr;
DGCsg;
DGCpf</v>
      </c>
      <c r="T1713" s="42"/>
      <c r="U1713" s="159" t="b">
        <f>IFERROR(__xludf.DUMMYFUNCTION("""COMPUTED_VALUE"""),FALSE)</f>
        <v>0</v>
      </c>
      <c r="V1713" s="42"/>
      <c r="W1713" s="42"/>
      <c r="X1713" s="42"/>
      <c r="Y1713" s="42"/>
      <c r="Z1713" s="42"/>
      <c r="AA1713" s="42"/>
      <c r="AB1713" s="42" t="str">
        <f>IFERROR(__xludf.DUMMYFUNCTION("""COMPUTED_VALUE"""),"allen institute")</f>
        <v>allen institute</v>
      </c>
      <c r="AC1713" s="42" t="str">
        <f>IFERROR(__xludf.DUMMYFUNCTION("""COMPUTED_VALUE"""),"DHBA")</f>
        <v>DHBA</v>
      </c>
      <c r="AD1713" s="42"/>
      <c r="AE1713" s="42"/>
      <c r="AF1713" s="9"/>
      <c r="AG1713" s="9"/>
      <c r="AH1713" s="42"/>
      <c r="AI1713" s="42"/>
      <c r="AJ1713" s="42"/>
      <c r="AK1713" s="42"/>
      <c r="AL1713" s="42"/>
      <c r="AM1713" s="42"/>
      <c r="AN1713" s="42"/>
      <c r="AO1713" s="63" t="str">
        <f>IFERROR(__xludf.DUMMYFUNCTION("IF(ISBLANK(A1713),,IF(ISBLANK(S1713), A1713&amp;"";"", TEXTJOIN(CHAR(10), TRUE, A1713&amp;"";"", ARRAYFORMULA(VLOOKUP(SPLIT(S1713, "";"" &amp; CHAR(10)), $A:$AO, 41, FALSE)))))"),"DGC;
DGCmo;
DGCgr;
DGCsg;
DGCpf;")</f>
        <v>DGC;
DGCmo;
DGCgr;
DGCsg;
DGCpf;</v>
      </c>
      <c r="AP1713" s="89"/>
    </row>
    <row r="1714">
      <c r="A1714" s="151" t="str">
        <f>IFERROR(__xludf.DUMMYFUNCTION("""COMPUTED_VALUE"""),"DGCmo")</f>
        <v>DGCmo</v>
      </c>
      <c r="B1714" s="42" t="str">
        <f>IFERROR(__xludf.DUMMYFUNCTION("""COMPUTED_VALUE"""),"DHBA")</f>
        <v>DHBA</v>
      </c>
      <c r="C1714" s="42" t="str">
        <f>IFERROR(__xludf.DUMMYFUNCTION("""COMPUTED_VALUE"""),"molecular layer of caudal dentate gyrus")</f>
        <v>molecular layer of caudal dentate gyrus</v>
      </c>
      <c r="D1714" s="42">
        <f>IFERROR(__xludf.DUMMYFUNCTION("""COMPUTED_VALUE"""),1614.0)</f>
        <v>1614</v>
      </c>
      <c r="E1714" s="39" t="str">
        <f>IFERROR(__xludf.DUMMYFUNCTION("""COMPUTED_VALUE"""),"molecular layer of caudal dentate gyrus")</f>
        <v>molecular layer of caudal dentate gyrus</v>
      </c>
      <c r="F1714" s="9" t="str">
        <f>IFERROR(__xludf.DUMMYFUNCTION("""COMPUTED_VALUE"""),"Br")</f>
        <v>Br</v>
      </c>
      <c r="G1714" s="9" t="str">
        <f>IFERROR(__xludf.DUMMYFUNCTION("""COMPUTED_VALUE"""),"F")</f>
        <v>F</v>
      </c>
      <c r="H1714" s="9" t="str">
        <f>IFERROR(__xludf.DUMMYFUNCTION("""COMPUTED_VALUE"""),"FGM")</f>
        <v>FGM</v>
      </c>
      <c r="I1714" s="9" t="str">
        <f>IFERROR(__xludf.DUMMYFUNCTION("""COMPUTED_VALUE"""),"Tel")</f>
        <v>Tel</v>
      </c>
      <c r="J1714" s="9" t="str">
        <f>IFERROR(__xludf.DUMMYFUNCTION("""COMPUTED_VALUE"""),"Cx")</f>
        <v>Cx</v>
      </c>
      <c r="K1714" s="9" t="str">
        <f>IFERROR(__xludf.DUMMYFUNCTION("""COMPUTED_VALUE"""),"ACx")</f>
        <v>ACx</v>
      </c>
      <c r="L1714" s="9" t="str">
        <f>IFERROR(__xludf.DUMMYFUNCTION("""COMPUTED_VALUE"""),"ArCx")</f>
        <v>ArCx</v>
      </c>
      <c r="M1714" s="9" t="str">
        <f>IFERROR(__xludf.DUMMYFUNCTION("""COMPUTED_VALUE"""),"HIP")</f>
        <v>HIP</v>
      </c>
      <c r="N1714" s="9" t="str">
        <f>IFERROR(__xludf.DUMMYFUNCTION("""COMPUTED_VALUE"""),"DG")</f>
        <v>DG</v>
      </c>
      <c r="O1714" s="9" t="str">
        <f>IFERROR(__xludf.DUMMYFUNCTION("""COMPUTED_VALUE"""),"DGC")</f>
        <v>DGC</v>
      </c>
      <c r="P1714" s="9" t="str">
        <f>IFERROR(__xludf.DUMMYFUNCTION("""COMPUTED_VALUE"""),"DGCmo")</f>
        <v>DGCmo</v>
      </c>
      <c r="Q1714" s="9"/>
      <c r="R1714" s="9"/>
      <c r="S1714" s="42"/>
      <c r="T1714" s="42"/>
      <c r="U1714" s="42"/>
      <c r="V1714" s="42"/>
      <c r="W1714" s="42"/>
      <c r="X1714" s="42"/>
      <c r="Y1714" s="42"/>
      <c r="Z1714" s="42"/>
      <c r="AA1714" s="42"/>
      <c r="AB1714" s="42" t="str">
        <f>IFERROR(__xludf.DUMMYFUNCTION("""COMPUTED_VALUE"""),"allen institute")</f>
        <v>allen institute</v>
      </c>
      <c r="AC1714" s="42" t="str">
        <f>IFERROR(__xludf.DUMMYFUNCTION("""COMPUTED_VALUE"""),"DHBA")</f>
        <v>DHBA</v>
      </c>
      <c r="AD1714" s="42"/>
      <c r="AE1714" s="42"/>
      <c r="AF1714" s="9"/>
      <c r="AG1714" s="9"/>
      <c r="AH1714" s="42"/>
      <c r="AI1714" s="42"/>
      <c r="AJ1714" s="42"/>
      <c r="AK1714" s="42"/>
      <c r="AL1714" s="42"/>
      <c r="AM1714" s="42"/>
      <c r="AN1714" s="42"/>
      <c r="AO1714" s="63" t="str">
        <f>IFERROR(__xludf.DUMMYFUNCTION("IF(ISBLANK(A1714),,IF(ISBLANK(S1714), A1714&amp;"";"", TEXTJOIN(CHAR(10), TRUE, A1714&amp;"";"", ARRAYFORMULA(VLOOKUP(SPLIT(S1714, "";"" &amp; CHAR(10)), $A:$AO, 41, FALSE)))))"),"DGCmo;")</f>
        <v>DGCmo;</v>
      </c>
      <c r="AP1714" s="89"/>
    </row>
    <row r="1715">
      <c r="A1715" s="151" t="str">
        <f>IFERROR(__xludf.DUMMYFUNCTION("""COMPUTED_VALUE"""),"DGCgr")</f>
        <v>DGCgr</v>
      </c>
      <c r="B1715" s="42" t="str">
        <f>IFERROR(__xludf.DUMMYFUNCTION("""COMPUTED_VALUE"""),"DHBA")</f>
        <v>DHBA</v>
      </c>
      <c r="C1715" s="42" t="str">
        <f>IFERROR(__xludf.DUMMYFUNCTION("""COMPUTED_VALUE"""),"granular layer of caudal dentate gyrus")</f>
        <v>granular layer of caudal dentate gyrus</v>
      </c>
      <c r="D1715" s="42">
        <f>IFERROR(__xludf.DUMMYFUNCTION("""COMPUTED_VALUE"""),1615.0)</f>
        <v>1615</v>
      </c>
      <c r="E1715" s="39" t="str">
        <f>IFERROR(__xludf.DUMMYFUNCTION("""COMPUTED_VALUE"""),"granular layer of caudal dentate gyrus")</f>
        <v>granular layer of caudal dentate gyrus</v>
      </c>
      <c r="F1715" s="9" t="str">
        <f>IFERROR(__xludf.DUMMYFUNCTION("""COMPUTED_VALUE"""),"Br")</f>
        <v>Br</v>
      </c>
      <c r="G1715" s="9" t="str">
        <f>IFERROR(__xludf.DUMMYFUNCTION("""COMPUTED_VALUE"""),"F")</f>
        <v>F</v>
      </c>
      <c r="H1715" s="9" t="str">
        <f>IFERROR(__xludf.DUMMYFUNCTION("""COMPUTED_VALUE"""),"FGM")</f>
        <v>FGM</v>
      </c>
      <c r="I1715" s="9" t="str">
        <f>IFERROR(__xludf.DUMMYFUNCTION("""COMPUTED_VALUE"""),"Tel")</f>
        <v>Tel</v>
      </c>
      <c r="J1715" s="9" t="str">
        <f>IFERROR(__xludf.DUMMYFUNCTION("""COMPUTED_VALUE"""),"Cx")</f>
        <v>Cx</v>
      </c>
      <c r="K1715" s="9" t="str">
        <f>IFERROR(__xludf.DUMMYFUNCTION("""COMPUTED_VALUE"""),"ACx")</f>
        <v>ACx</v>
      </c>
      <c r="L1715" s="9" t="str">
        <f>IFERROR(__xludf.DUMMYFUNCTION("""COMPUTED_VALUE"""),"ArCx")</f>
        <v>ArCx</v>
      </c>
      <c r="M1715" s="9" t="str">
        <f>IFERROR(__xludf.DUMMYFUNCTION("""COMPUTED_VALUE"""),"HIP")</f>
        <v>HIP</v>
      </c>
      <c r="N1715" s="9" t="str">
        <f>IFERROR(__xludf.DUMMYFUNCTION("""COMPUTED_VALUE"""),"DG")</f>
        <v>DG</v>
      </c>
      <c r="O1715" s="9" t="str">
        <f>IFERROR(__xludf.DUMMYFUNCTION("""COMPUTED_VALUE"""),"DGC")</f>
        <v>DGC</v>
      </c>
      <c r="P1715" s="9" t="str">
        <f>IFERROR(__xludf.DUMMYFUNCTION("""COMPUTED_VALUE"""),"DGCgr")</f>
        <v>DGCgr</v>
      </c>
      <c r="Q1715" s="9"/>
      <c r="R1715" s="9"/>
      <c r="S1715" s="42"/>
      <c r="T1715" s="42"/>
      <c r="U1715" s="159"/>
      <c r="V1715" s="42"/>
      <c r="W1715" s="42"/>
      <c r="X1715" s="42"/>
      <c r="Y1715" s="42"/>
      <c r="Z1715" s="42"/>
      <c r="AA1715" s="42"/>
      <c r="AB1715" s="42" t="str">
        <f>IFERROR(__xludf.DUMMYFUNCTION("""COMPUTED_VALUE"""),"allen institute")</f>
        <v>allen institute</v>
      </c>
      <c r="AC1715" s="42" t="str">
        <f>IFERROR(__xludf.DUMMYFUNCTION("""COMPUTED_VALUE"""),"DHBA")</f>
        <v>DHBA</v>
      </c>
      <c r="AD1715" s="42"/>
      <c r="AE1715" s="42"/>
      <c r="AF1715" s="9"/>
      <c r="AG1715" s="9"/>
      <c r="AH1715" s="42"/>
      <c r="AI1715" s="42"/>
      <c r="AJ1715" s="42"/>
      <c r="AK1715" s="42"/>
      <c r="AL1715" s="42"/>
      <c r="AM1715" s="42"/>
      <c r="AN1715" s="42"/>
      <c r="AO1715" s="63" t="str">
        <f>IFERROR(__xludf.DUMMYFUNCTION("IF(ISBLANK(A1715),,IF(ISBLANK(S1715), A1715&amp;"";"", TEXTJOIN(CHAR(10), TRUE, A1715&amp;"";"", ARRAYFORMULA(VLOOKUP(SPLIT(S1715, "";"" &amp; CHAR(10)), $A:$AO, 41, FALSE)))))"),"DGCgr;")</f>
        <v>DGCgr;</v>
      </c>
      <c r="AP1715" s="89"/>
    </row>
    <row r="1716">
      <c r="A1716" s="151" t="str">
        <f>IFERROR(__xludf.DUMMYFUNCTION("""COMPUTED_VALUE"""),"DGCsg")</f>
        <v>DGCsg</v>
      </c>
      <c r="B1716" s="42" t="str">
        <f>IFERROR(__xludf.DUMMYFUNCTION("""COMPUTED_VALUE"""),"DHBA")</f>
        <v>DHBA</v>
      </c>
      <c r="C1716" s="42" t="str">
        <f>IFERROR(__xludf.DUMMYFUNCTION("""COMPUTED_VALUE"""),"subgranular zone of caudal dentate gyrus")</f>
        <v>subgranular zone of caudal dentate gyrus</v>
      </c>
      <c r="D1716" s="42">
        <f>IFERROR(__xludf.DUMMYFUNCTION("""COMPUTED_VALUE"""),1616.0)</f>
        <v>1616</v>
      </c>
      <c r="E1716" s="39" t="str">
        <f>IFERROR(__xludf.DUMMYFUNCTION("""COMPUTED_VALUE"""),"subgranular zone of caudal dentate gyrus")</f>
        <v>subgranular zone of caudal dentate gyrus</v>
      </c>
      <c r="F1716" s="9" t="str">
        <f>IFERROR(__xludf.DUMMYFUNCTION("""COMPUTED_VALUE"""),"Br")</f>
        <v>Br</v>
      </c>
      <c r="G1716" s="9" t="str">
        <f>IFERROR(__xludf.DUMMYFUNCTION("""COMPUTED_VALUE"""),"F")</f>
        <v>F</v>
      </c>
      <c r="H1716" s="9" t="str">
        <f>IFERROR(__xludf.DUMMYFUNCTION("""COMPUTED_VALUE"""),"FGM")</f>
        <v>FGM</v>
      </c>
      <c r="I1716" s="9" t="str">
        <f>IFERROR(__xludf.DUMMYFUNCTION("""COMPUTED_VALUE"""),"Tel")</f>
        <v>Tel</v>
      </c>
      <c r="J1716" s="9" t="str">
        <f>IFERROR(__xludf.DUMMYFUNCTION("""COMPUTED_VALUE"""),"Cx")</f>
        <v>Cx</v>
      </c>
      <c r="K1716" s="9" t="str">
        <f>IFERROR(__xludf.DUMMYFUNCTION("""COMPUTED_VALUE"""),"ACx")</f>
        <v>ACx</v>
      </c>
      <c r="L1716" s="9" t="str">
        <f>IFERROR(__xludf.DUMMYFUNCTION("""COMPUTED_VALUE"""),"ArCx")</f>
        <v>ArCx</v>
      </c>
      <c r="M1716" s="9" t="str">
        <f>IFERROR(__xludf.DUMMYFUNCTION("""COMPUTED_VALUE"""),"HIP")</f>
        <v>HIP</v>
      </c>
      <c r="N1716" s="9" t="str">
        <f>IFERROR(__xludf.DUMMYFUNCTION("""COMPUTED_VALUE"""),"DG")</f>
        <v>DG</v>
      </c>
      <c r="O1716" s="9" t="str">
        <f>IFERROR(__xludf.DUMMYFUNCTION("""COMPUTED_VALUE"""),"DGC")</f>
        <v>DGC</v>
      </c>
      <c r="P1716" s="9" t="str">
        <f>IFERROR(__xludf.DUMMYFUNCTION("""COMPUTED_VALUE"""),"DGCsg")</f>
        <v>DGCsg</v>
      </c>
      <c r="Q1716" s="9"/>
      <c r="R1716" s="9"/>
      <c r="S1716" s="42"/>
      <c r="T1716" s="42"/>
      <c r="U1716" s="42"/>
      <c r="V1716" s="42"/>
      <c r="W1716" s="42"/>
      <c r="X1716" s="42"/>
      <c r="Y1716" s="42"/>
      <c r="Z1716" s="42"/>
      <c r="AA1716" s="42"/>
      <c r="AB1716" s="42" t="str">
        <f>IFERROR(__xludf.DUMMYFUNCTION("""COMPUTED_VALUE"""),"allen institute")</f>
        <v>allen institute</v>
      </c>
      <c r="AC1716" s="42" t="str">
        <f>IFERROR(__xludf.DUMMYFUNCTION("""COMPUTED_VALUE"""),"DHBA")</f>
        <v>DHBA</v>
      </c>
      <c r="AD1716" s="42"/>
      <c r="AE1716" s="42"/>
      <c r="AF1716" s="9"/>
      <c r="AG1716" s="9"/>
      <c r="AH1716" s="42"/>
      <c r="AI1716" s="42"/>
      <c r="AJ1716" s="42"/>
      <c r="AK1716" s="42"/>
      <c r="AL1716" s="42"/>
      <c r="AM1716" s="42"/>
      <c r="AN1716" s="42"/>
      <c r="AO1716" s="63" t="str">
        <f>IFERROR(__xludf.DUMMYFUNCTION("IF(ISBLANK(A1716),,IF(ISBLANK(S1716), A1716&amp;"";"", TEXTJOIN(CHAR(10), TRUE, A1716&amp;"";"", ARRAYFORMULA(VLOOKUP(SPLIT(S1716, "";"" &amp; CHAR(10)), $A:$AO, 41, FALSE)))))"),"DGCsg;")</f>
        <v>DGCsg;</v>
      </c>
      <c r="AP1716" s="89"/>
    </row>
    <row r="1717">
      <c r="A1717" s="151" t="str">
        <f>IFERROR(__xludf.DUMMYFUNCTION("""COMPUTED_VALUE"""),"DGCpf")</f>
        <v>DGCpf</v>
      </c>
      <c r="B1717" s="42" t="str">
        <f>IFERROR(__xludf.DUMMYFUNCTION("""COMPUTED_VALUE"""),"DHBA")</f>
        <v>DHBA</v>
      </c>
      <c r="C1717" s="42" t="str">
        <f>IFERROR(__xludf.DUMMYFUNCTION("""COMPUTED_VALUE"""),"polyform layer of caudal dentate gyrus")</f>
        <v>polyform layer of caudal dentate gyrus</v>
      </c>
      <c r="D1717" s="42">
        <f>IFERROR(__xludf.DUMMYFUNCTION("""COMPUTED_VALUE"""),1617.0)</f>
        <v>1617</v>
      </c>
      <c r="E1717" s="39" t="str">
        <f>IFERROR(__xludf.DUMMYFUNCTION("""COMPUTED_VALUE"""),"polyform layer of caudal dentate gyrus")</f>
        <v>polyform layer of caudal dentate gyrus</v>
      </c>
      <c r="F1717" s="9" t="str">
        <f>IFERROR(__xludf.DUMMYFUNCTION("""COMPUTED_VALUE"""),"Br")</f>
        <v>Br</v>
      </c>
      <c r="G1717" s="9" t="str">
        <f>IFERROR(__xludf.DUMMYFUNCTION("""COMPUTED_VALUE"""),"F")</f>
        <v>F</v>
      </c>
      <c r="H1717" s="9" t="str">
        <f>IFERROR(__xludf.DUMMYFUNCTION("""COMPUTED_VALUE"""),"FGM")</f>
        <v>FGM</v>
      </c>
      <c r="I1717" s="9" t="str">
        <f>IFERROR(__xludf.DUMMYFUNCTION("""COMPUTED_VALUE"""),"Tel")</f>
        <v>Tel</v>
      </c>
      <c r="J1717" s="9" t="str">
        <f>IFERROR(__xludf.DUMMYFUNCTION("""COMPUTED_VALUE"""),"Cx")</f>
        <v>Cx</v>
      </c>
      <c r="K1717" s="9" t="str">
        <f>IFERROR(__xludf.DUMMYFUNCTION("""COMPUTED_VALUE"""),"ACx")</f>
        <v>ACx</v>
      </c>
      <c r="L1717" s="9" t="str">
        <f>IFERROR(__xludf.DUMMYFUNCTION("""COMPUTED_VALUE"""),"ArCx")</f>
        <v>ArCx</v>
      </c>
      <c r="M1717" s="9" t="str">
        <f>IFERROR(__xludf.DUMMYFUNCTION("""COMPUTED_VALUE"""),"HIP")</f>
        <v>HIP</v>
      </c>
      <c r="N1717" s="9" t="str">
        <f>IFERROR(__xludf.DUMMYFUNCTION("""COMPUTED_VALUE"""),"DG")</f>
        <v>DG</v>
      </c>
      <c r="O1717" s="9" t="str">
        <f>IFERROR(__xludf.DUMMYFUNCTION("""COMPUTED_VALUE"""),"DGC")</f>
        <v>DGC</v>
      </c>
      <c r="P1717" s="9" t="str">
        <f>IFERROR(__xludf.DUMMYFUNCTION("""COMPUTED_VALUE"""),"DGCpf")</f>
        <v>DGCpf</v>
      </c>
      <c r="Q1717" s="9"/>
      <c r="R1717" s="9"/>
      <c r="S1717" s="42"/>
      <c r="T1717" s="42"/>
      <c r="U1717" s="159"/>
      <c r="V1717" s="42"/>
      <c r="W1717" s="42"/>
      <c r="X1717" s="42"/>
      <c r="Y1717" s="42"/>
      <c r="Z1717" s="42"/>
      <c r="AA1717" s="42"/>
      <c r="AB1717" s="42" t="str">
        <f>IFERROR(__xludf.DUMMYFUNCTION("""COMPUTED_VALUE"""),"allen institute")</f>
        <v>allen institute</v>
      </c>
      <c r="AC1717" s="42" t="str">
        <f>IFERROR(__xludf.DUMMYFUNCTION("""COMPUTED_VALUE"""),"DHBA")</f>
        <v>DHBA</v>
      </c>
      <c r="AD1717" s="42"/>
      <c r="AE1717" s="42"/>
      <c r="AF1717" s="9"/>
      <c r="AG1717" s="9"/>
      <c r="AH1717" s="42"/>
      <c r="AI1717" s="42"/>
      <c r="AJ1717" s="42"/>
      <c r="AK1717" s="42"/>
      <c r="AL1717" s="42"/>
      <c r="AM1717" s="42"/>
      <c r="AN1717" s="42"/>
      <c r="AO1717" s="63" t="str">
        <f>IFERROR(__xludf.DUMMYFUNCTION("IF(ISBLANK(A1717),,IF(ISBLANK(S1717), A1717&amp;"";"", TEXTJOIN(CHAR(10), TRUE, A1717&amp;"";"", ARRAYFORMULA(VLOOKUP(SPLIT(S1717, "";"" &amp; CHAR(10)), $A:$AO, 41, FALSE)))))"),"DGCpf;")</f>
        <v>DGCpf;</v>
      </c>
      <c r="AP1717" s="89"/>
    </row>
    <row r="1718">
      <c r="A1718" s="151" t="str">
        <f>IFERROR(__xludf.DUMMYFUNCTION("""COMPUTED_VALUE"""),"Hipp")</f>
        <v>Hipp</v>
      </c>
      <c r="B1718" s="42" t="str">
        <f>IFERROR(__xludf.DUMMYFUNCTION("""COMPUTED_VALUE"""),"DHBA")</f>
        <v>DHBA</v>
      </c>
      <c r="C1718" s="42" t="str">
        <f>IFERROR(__xludf.DUMMYFUNCTION("""COMPUTED_VALUE"""),"Hippocampus proper")</f>
        <v>Hippocampus proper</v>
      </c>
      <c r="D1718" s="42">
        <f>IFERROR(__xludf.DUMMYFUNCTION("""COMPUTED_VALUE"""),1618.0)</f>
        <v>1618</v>
      </c>
      <c r="E1718" s="39" t="str">
        <f>IFERROR(__xludf.DUMMYFUNCTION("""COMPUTED_VALUE"""),"hippocampal proper")</f>
        <v>hippocampal proper</v>
      </c>
      <c r="F1718" s="9" t="str">
        <f>IFERROR(__xludf.DUMMYFUNCTION("""COMPUTED_VALUE"""),"Br")</f>
        <v>Br</v>
      </c>
      <c r="G1718" s="9" t="str">
        <f>IFERROR(__xludf.DUMMYFUNCTION("""COMPUTED_VALUE"""),"F")</f>
        <v>F</v>
      </c>
      <c r="H1718" s="9" t="str">
        <f>IFERROR(__xludf.DUMMYFUNCTION("""COMPUTED_VALUE"""),"FGM")</f>
        <v>FGM</v>
      </c>
      <c r="I1718" s="9" t="str">
        <f>IFERROR(__xludf.DUMMYFUNCTION("""COMPUTED_VALUE"""),"Tel")</f>
        <v>Tel</v>
      </c>
      <c r="J1718" s="9" t="str">
        <f>IFERROR(__xludf.DUMMYFUNCTION("""COMPUTED_VALUE"""),"Cx")</f>
        <v>Cx</v>
      </c>
      <c r="K1718" s="9" t="str">
        <f>IFERROR(__xludf.DUMMYFUNCTION("""COMPUTED_VALUE"""),"ACx")</f>
        <v>ACx</v>
      </c>
      <c r="L1718" s="9" t="str">
        <f>IFERROR(__xludf.DUMMYFUNCTION("""COMPUTED_VALUE"""),"ArCx")</f>
        <v>ArCx</v>
      </c>
      <c r="M1718" s="9" t="str">
        <f>IFERROR(__xludf.DUMMYFUNCTION("""COMPUTED_VALUE"""),"HIP")</f>
        <v>HIP</v>
      </c>
      <c r="N1718" s="9" t="str">
        <f>IFERROR(__xludf.DUMMYFUNCTION("""COMPUTED_VALUE"""),"Hipp")</f>
        <v>Hipp</v>
      </c>
      <c r="O1718" s="9"/>
      <c r="P1718" s="9"/>
      <c r="Q1718" s="9"/>
      <c r="R1718" s="9"/>
      <c r="S1718" s="42" t="str">
        <f>IFERROR(__xludf.DUMMYFUNCTION("""COMPUTED_VALUE"""),"CA1;
CA2;
CA3;
CA4")</f>
        <v>CA1;
CA2;
CA3;
CA4</v>
      </c>
      <c r="T1718" s="42"/>
      <c r="U1718" s="42" t="b">
        <f>IFERROR(__xludf.DUMMYFUNCTION("""COMPUTED_VALUE"""),FALSE)</f>
        <v>0</v>
      </c>
      <c r="V1718" s="42"/>
      <c r="W1718" s="42" t="str">
        <f>IFERROR(__xludf.DUMMYFUNCTION("""COMPUTED_VALUE"""),"Excitatory")</f>
        <v>Excitatory</v>
      </c>
      <c r="X1718" s="42"/>
      <c r="Y1718" s="42"/>
      <c r="Z1718" s="42"/>
      <c r="AA1718" s="42"/>
      <c r="AB1718" s="42" t="str">
        <f>IFERROR(__xludf.DUMMYFUNCTION("""COMPUTED_VALUE"""),"allen institute")</f>
        <v>allen institute</v>
      </c>
      <c r="AC1718" s="42" t="str">
        <f>IFERROR(__xludf.DUMMYFUNCTION("""COMPUTED_VALUE"""),"DHBA")</f>
        <v>DHBA</v>
      </c>
      <c r="AD1718" s="42"/>
      <c r="AE1718" s="42"/>
      <c r="AF1718" s="9"/>
      <c r="AG1718" s="9"/>
      <c r="AH1718" s="42"/>
      <c r="AI1718" s="42"/>
      <c r="AJ1718" s="42"/>
      <c r="AK1718" s="42"/>
      <c r="AL1718" s="42"/>
      <c r="AM1718" s="42"/>
      <c r="AN1718" s="42"/>
      <c r="AO1718" s="63" t="str">
        <f>IFERROR(__xludf.DUMMYFUNCTION("IF(ISBLANK(A1718),,IF(ISBLANK(S1718), A1718&amp;"";"", TEXTJOIN(CHAR(10), TRUE, A1718&amp;"";"", ARRAYFORMULA(VLOOKUP(SPLIT(S1718, "";"" &amp; CHAR(10)), $A:$AO, 41, FALSE)))))"),"Hipp;
CA1;
CA1_distal;
CA1_proximal;
CA1U;
CA1Uslm;
CA1Usmo;
CA1Usla;
CA1Usr;
CA1Usp;
CA1Uso;
CA1R;
CA1Rslm;
CA1Rsmo;
CA1Rsla;
CA1Rsr;
CA1Rsp;
CA1Rso;
CA1C;
CA1Cslm;
CA1Csmo;
CA1Csla;
CA1Csr;
CA1Csp;
CA1Cso;
CA2;
CA2U;
CA2Uslm;
CA2Usmo;
CA2Usla;
CA2Usr;
C"&amp;"A2Usp;
CA2Uso;
CA2R;
CA2Rslm;
CA2Rsmo;
CA2Rsla;
CA2Rsr;
CA2Rsp;
CA2Rso;
CA2C;
CA2Cslm;
CA2Csmo;
CA2Csla;
CA2Csr;
CA2Csp;
CA2Cso;
CA3;
CA3U;
CA3Uslm;
CA3Usmo;
CA3Usla;
CA3Usr;
CA3Usl;
CA3Usp;
CA3Uso;
CA3R;
CA3Rslm;
CA3Rsmo;
CA3Rsla;
CA3Rsr;
CA3Rsl;
CA3Rsp;"&amp;"
CA3Rso;
CA3C;
CA3Cslm;
CA3Csmo;
CA3Csla;
CA3Csr;
CA3Csl;
CA3Csp;
CA3Cso;
CA4;
CA4Upy;
CA4Rpy;
CA4Cpy;")</f>
        <v>Hipp;
CA1;
CA1_distal;
CA1_proximal;
CA1U;
CA1Uslm;
CA1Usmo;
CA1Usla;
CA1Usr;
CA1Usp;
CA1Uso;
CA1R;
CA1Rslm;
CA1Rsmo;
CA1Rsla;
CA1Rsr;
CA1Rsp;
CA1Rso;
CA1C;
CA1Cslm;
CA1Csmo;
CA1Csla;
CA1Csr;
CA1Csp;
CA1Cso;
CA2;
CA2U;
CA2Uslm;
CA2Usmo;
CA2Usla;
CA2Usr;
CA2Usp;
CA2Uso;
CA2R;
CA2Rslm;
CA2Rsmo;
CA2Rsla;
CA2Rsr;
CA2Rsp;
CA2Rso;
CA2C;
CA2Cslm;
CA2Csmo;
CA2Csla;
CA2Csr;
CA2Csp;
CA2Cso;
CA3;
CA3U;
CA3Uslm;
CA3Usmo;
CA3Usla;
CA3Usr;
CA3Usl;
CA3Usp;
CA3Uso;
CA3R;
CA3Rslm;
CA3Rsmo;
CA3Rsla;
CA3Rsr;
CA3Rsl;
CA3Rsp;
CA3Rso;
CA3C;
CA3Cslm;
CA3Csmo;
CA3Csla;
CA3Csr;
CA3Csl;
CA3Csp;
CA3Cso;
CA4;
CA4Upy;
CA4Rpy;
CA4Cpy;</v>
      </c>
      <c r="AP1718" s="89"/>
    </row>
    <row r="1719">
      <c r="A1719" s="151" t="str">
        <f>IFERROR(__xludf.DUMMYFUNCTION("""COMPUTED_VALUE"""),"CA1")</f>
        <v>CA1</v>
      </c>
      <c r="B1719" s="42" t="str">
        <f>IFERROR(__xludf.DUMMYFUNCTION("""COMPUTED_VALUE"""),"DHBA")</f>
        <v>DHBA</v>
      </c>
      <c r="C1719" s="42" t="str">
        <f>IFERROR(__xludf.DUMMYFUNCTION("""COMPUTED_VALUE"""),"CA1 region of Hipp, CA1 field of the hippocampus")</f>
        <v>CA1 region of Hipp, CA1 field of the hippocampus</v>
      </c>
      <c r="D1719" s="42">
        <f>IFERROR(__xludf.DUMMYFUNCTION("""COMPUTED_VALUE"""),1619.0)</f>
        <v>1619</v>
      </c>
      <c r="E1719" s="39" t="str">
        <f>IFERROR(__xludf.DUMMYFUNCTION("""COMPUTED_VALUE"""),"CA1 region of Hipp")</f>
        <v>CA1 region of Hipp</v>
      </c>
      <c r="F1719" s="9" t="str">
        <f>IFERROR(__xludf.DUMMYFUNCTION("""COMPUTED_VALUE"""),"Br")</f>
        <v>Br</v>
      </c>
      <c r="G1719" s="9" t="str">
        <f>IFERROR(__xludf.DUMMYFUNCTION("""COMPUTED_VALUE"""),"F")</f>
        <v>F</v>
      </c>
      <c r="H1719" s="9" t="str">
        <f>IFERROR(__xludf.DUMMYFUNCTION("""COMPUTED_VALUE"""),"FGM")</f>
        <v>FGM</v>
      </c>
      <c r="I1719" s="9" t="str">
        <f>IFERROR(__xludf.DUMMYFUNCTION("""COMPUTED_VALUE"""),"Tel")</f>
        <v>Tel</v>
      </c>
      <c r="J1719" s="9" t="str">
        <f>IFERROR(__xludf.DUMMYFUNCTION("""COMPUTED_VALUE"""),"Cx")</f>
        <v>Cx</v>
      </c>
      <c r="K1719" s="9" t="str">
        <f>IFERROR(__xludf.DUMMYFUNCTION("""COMPUTED_VALUE"""),"ACx")</f>
        <v>ACx</v>
      </c>
      <c r="L1719" s="9" t="str">
        <f>IFERROR(__xludf.DUMMYFUNCTION("""COMPUTED_VALUE"""),"ArCx")</f>
        <v>ArCx</v>
      </c>
      <c r="M1719" s="9" t="str">
        <f>IFERROR(__xludf.DUMMYFUNCTION("""COMPUTED_VALUE"""),"HIP")</f>
        <v>HIP</v>
      </c>
      <c r="N1719" s="9" t="str">
        <f>IFERROR(__xludf.DUMMYFUNCTION("""COMPUTED_VALUE"""),"Hipp")</f>
        <v>Hipp</v>
      </c>
      <c r="O1719" s="9" t="str">
        <f>IFERROR(__xludf.DUMMYFUNCTION("""COMPUTED_VALUE"""),"CA1")</f>
        <v>CA1</v>
      </c>
      <c r="P1719" s="9"/>
      <c r="Q1719" s="9"/>
      <c r="R1719" s="9"/>
      <c r="S1719" s="42" t="str">
        <f>IFERROR(__xludf.DUMMYFUNCTION("""COMPUTED_VALUE"""),"CA1_distal;
CA1_proximal;
CA1U;
CA1R;
CA1C")</f>
        <v>CA1_distal;
CA1_proximal;
CA1U;
CA1R;
CA1C</v>
      </c>
      <c r="T1719" s="42"/>
      <c r="U1719" s="42" t="b">
        <f>IFERROR(__xludf.DUMMYFUNCTION("""COMPUTED_VALUE"""),FALSE)</f>
        <v>0</v>
      </c>
      <c r="V1719" s="42"/>
      <c r="W1719" s="42" t="str">
        <f>IFERROR(__xludf.DUMMYFUNCTION("""COMPUTED_VALUE"""),"Excitatory")</f>
        <v>Excitatory</v>
      </c>
      <c r="X1719" s="42"/>
      <c r="Y1719" s="42" t="str">
        <f>IFERROR(__xludf.DUMMYFUNCTION("""COMPUTED_VALUE"""),"Ensemble activity in CA3, but not in CA1, is sensitive to the content of a scene or place in the environment; CA3 supports the retrieval of memories about where an objects is in a scene [Robertson,1998] [Rolls,1998] or where a reward could be found in the"&amp;" environment [Brun, 2002]. ")</f>
        <v>Ensemble activity in CA3, but not in CA1, is sensitive to the content of a scene or place in the environment; CA3 supports the retrieval of memories about where an objects is in a scene [Robertson,1998] [Rolls,1998] or where a reward could be found in the environment [Brun, 2002]. </v>
      </c>
      <c r="Z1719" s="42"/>
      <c r="AA1719" s="42"/>
      <c r="AB1719" s="42" t="str">
        <f>IFERROR(__xludf.DUMMYFUNCTION("""COMPUTED_VALUE"""),"allen institute")</f>
        <v>allen institute</v>
      </c>
      <c r="AC1719" s="42" t="str">
        <f>IFERROR(__xludf.DUMMYFUNCTION("""COMPUTED_VALUE"""),"DHBA")</f>
        <v>DHBA</v>
      </c>
      <c r="AD1719" s="42"/>
      <c r="AE1719" s="42"/>
      <c r="AF1719" s="9"/>
      <c r="AG1719" s="9"/>
      <c r="AH1719" s="42"/>
      <c r="AI1719" s="42"/>
      <c r="AJ1719" s="42"/>
      <c r="AK1719" s="42"/>
      <c r="AL1719" s="42"/>
      <c r="AM1719" s="42"/>
      <c r="AN1719" s="42"/>
      <c r="AO1719" s="63" t="str">
        <f>IFERROR(__xludf.DUMMYFUNCTION("IF(ISBLANK(A1719),,IF(ISBLANK(S1719), A1719&amp;"";"", TEXTJOIN(CHAR(10), TRUE, A1719&amp;"";"", ARRAYFORMULA(VLOOKUP(SPLIT(S1719, "";"" &amp; CHAR(10)), $A:$AO, 41, FALSE)))))"),"CA1;
CA1_distal;
CA1_proximal;
CA1U;
CA1Uslm;
CA1Usmo;
CA1Usla;
CA1Usr;
CA1Usp;
CA1Uso;
CA1R;
CA1Rslm;
CA1Rsmo;
CA1Rsla;
CA1Rsr;
CA1Rsp;
CA1Rso;
CA1C;
CA1Cslm;
CA1Csmo;
CA1Csla;
CA1Csr;
CA1Csp;
CA1Cso;")</f>
        <v>CA1;
CA1_distal;
CA1_proximal;
CA1U;
CA1Uslm;
CA1Usmo;
CA1Usla;
CA1Usr;
CA1Usp;
CA1Uso;
CA1R;
CA1Rslm;
CA1Rsmo;
CA1Rsla;
CA1Rsr;
CA1Rsp;
CA1Rso;
CA1C;
CA1Cslm;
CA1Csmo;
CA1Csla;
CA1Csr;
CA1Csp;
CA1Cso;</v>
      </c>
      <c r="AP1719" s="89"/>
    </row>
    <row r="1720">
      <c r="A1720" s="151" t="str">
        <f>IFERROR(__xludf.DUMMYFUNCTION("""COMPUTED_VALUE"""),"CA1_distal")</f>
        <v>CA1_distal</v>
      </c>
      <c r="B1720" s="42" t="str">
        <f>IFERROR(__xludf.DUMMYFUNCTION("""COMPUTED_VALUE"""),"[Bubb, 2017]")</f>
        <v>[Bubb, 2017]</v>
      </c>
      <c r="C1720" s="42" t="str">
        <f>IFERROR(__xludf.DUMMYFUNCTION("""COMPUTED_VALUE"""),"CA1, distal")</f>
        <v>CA1, distal</v>
      </c>
      <c r="D1720" s="42">
        <f>IFERROR(__xludf.DUMMYFUNCTION("""COMPUTED_VALUE"""),1619.1)</f>
        <v>1619.1</v>
      </c>
      <c r="E1720" s="39" t="str">
        <f>IFERROR(__xludf.DUMMYFUNCTION("""COMPUTED_VALUE"""),"")</f>
        <v/>
      </c>
      <c r="F1720" s="9" t="str">
        <f>IFERROR(__xludf.DUMMYFUNCTION("""COMPUTED_VALUE"""),"")</f>
        <v/>
      </c>
      <c r="G1720" s="9" t="str">
        <f>IFERROR(__xludf.DUMMYFUNCTION("""COMPUTED_VALUE"""),"")</f>
        <v/>
      </c>
      <c r="H1720" s="9" t="str">
        <f>IFERROR(__xludf.DUMMYFUNCTION("""COMPUTED_VALUE"""),"")</f>
        <v/>
      </c>
      <c r="I1720" s="9" t="str">
        <f>IFERROR(__xludf.DUMMYFUNCTION("""COMPUTED_VALUE"""),"")</f>
        <v/>
      </c>
      <c r="J1720" s="9" t="str">
        <f>IFERROR(__xludf.DUMMYFUNCTION("""COMPUTED_VALUE"""),"")</f>
        <v/>
      </c>
      <c r="K1720" s="9" t="str">
        <f>IFERROR(__xludf.DUMMYFUNCTION("""COMPUTED_VALUE"""),"")</f>
        <v/>
      </c>
      <c r="L1720" s="9" t="str">
        <f>IFERROR(__xludf.DUMMYFUNCTION("""COMPUTED_VALUE"""),"")</f>
        <v/>
      </c>
      <c r="M1720" s="9" t="str">
        <f>IFERROR(__xludf.DUMMYFUNCTION("""COMPUTED_VALUE"""),"")</f>
        <v/>
      </c>
      <c r="N1720" s="9" t="str">
        <f>IFERROR(__xludf.DUMMYFUNCTION("""COMPUTED_VALUE"""),"")</f>
        <v/>
      </c>
      <c r="O1720" s="9" t="str">
        <f>IFERROR(__xludf.DUMMYFUNCTION("""COMPUTED_VALUE"""),"")</f>
        <v/>
      </c>
      <c r="P1720" s="9" t="str">
        <f>IFERROR(__xludf.DUMMYFUNCTION("""COMPUTED_VALUE"""),"")</f>
        <v/>
      </c>
      <c r="Q1720" s="9" t="str">
        <f>IFERROR(__xludf.DUMMYFUNCTION("""COMPUTED_VALUE"""),"")</f>
        <v/>
      </c>
      <c r="R1720" s="9" t="str">
        <f>IFERROR(__xludf.DUMMYFUNCTION("""COMPUTED_VALUE"""),"")</f>
        <v/>
      </c>
      <c r="S1720" s="42"/>
      <c r="T1720" s="42"/>
      <c r="U1720" s="42" t="b">
        <f>IFERROR(__xludf.DUMMYFUNCTION("""COMPUTED_VALUE"""),TRUE)</f>
        <v>1</v>
      </c>
      <c r="V1720" s="42"/>
      <c r="W1720" s="42" t="str">
        <f>IFERROR(__xludf.DUMMYFUNCTION("""COMPUTED_VALUE"""),"Excitatory")</f>
        <v>Excitatory</v>
      </c>
      <c r="X1720" s="42"/>
      <c r="Y1720" s="42" t="str">
        <f>IFERROR(__xludf.DUMMYFUNCTION("""COMPUTED_VALUE"""),"Non-spatial semantic memory [author, year]")</f>
        <v>Non-spatial semantic memory [author, year]</v>
      </c>
      <c r="Z1720" s="42"/>
      <c r="AA1720" s="42"/>
      <c r="AB1720" s="42" t="str">
        <f>IFERROR(__xludf.DUMMYFUNCTION("""COMPUTED_VALUE"""),"Ayako Fukawa")</f>
        <v>Ayako Fukawa</v>
      </c>
      <c r="AC1720" s="42" t="str">
        <f>IFERROR(__xludf.DUMMYFUNCTION("""COMPUTED_VALUE"""),"AT20HippocampalFormation")</f>
        <v>AT20HippocampalFormation</v>
      </c>
      <c r="AD1720" s="42"/>
      <c r="AE1720" s="42"/>
      <c r="AF1720" s="9"/>
      <c r="AG1720" s="9"/>
      <c r="AH1720" s="42"/>
      <c r="AI1720" s="42"/>
      <c r="AJ1720" s="42"/>
      <c r="AK1720" s="42"/>
      <c r="AL1720" s="42"/>
      <c r="AM1720" s="42"/>
      <c r="AN1720" s="42"/>
      <c r="AO1720" s="63" t="str">
        <f>IFERROR(__xludf.DUMMYFUNCTION("IF(ISBLANK(A1720),,IF(ISBLANK(S1720), A1720&amp;"";"", TEXTJOIN(CHAR(10), TRUE, A1720&amp;"";"", ARRAYFORMULA(VLOOKUP(SPLIT(S1720, "";"" &amp; CHAR(10)), $A:$AO, 41, FALSE)))))"),"CA1_distal;")</f>
        <v>CA1_distal;</v>
      </c>
      <c r="AP1720" s="89"/>
    </row>
    <row r="1721">
      <c r="A1721" s="151" t="str">
        <f>IFERROR(__xludf.DUMMYFUNCTION("""COMPUTED_VALUE"""),"CA1_proximal")</f>
        <v>CA1_proximal</v>
      </c>
      <c r="B1721" s="42" t="str">
        <f>IFERROR(__xludf.DUMMYFUNCTION("""COMPUTED_VALUE"""),"[Bubb, 2017]")</f>
        <v>[Bubb, 2017]</v>
      </c>
      <c r="C1721" s="42" t="str">
        <f>IFERROR(__xludf.DUMMYFUNCTION("""COMPUTED_VALUE"""),"CA1, proximal")</f>
        <v>CA1, proximal</v>
      </c>
      <c r="D1721" s="42">
        <f>IFERROR(__xludf.DUMMYFUNCTION("""COMPUTED_VALUE"""),1619.2)</f>
        <v>1619.2</v>
      </c>
      <c r="E1721" s="39" t="str">
        <f>IFERROR(__xludf.DUMMYFUNCTION("""COMPUTED_VALUE"""),"")</f>
        <v/>
      </c>
      <c r="F1721" s="9" t="str">
        <f>IFERROR(__xludf.DUMMYFUNCTION("""COMPUTED_VALUE"""),"")</f>
        <v/>
      </c>
      <c r="G1721" s="9" t="str">
        <f>IFERROR(__xludf.DUMMYFUNCTION("""COMPUTED_VALUE"""),"")</f>
        <v/>
      </c>
      <c r="H1721" s="9" t="str">
        <f>IFERROR(__xludf.DUMMYFUNCTION("""COMPUTED_VALUE"""),"")</f>
        <v/>
      </c>
      <c r="I1721" s="9" t="str">
        <f>IFERROR(__xludf.DUMMYFUNCTION("""COMPUTED_VALUE"""),"")</f>
        <v/>
      </c>
      <c r="J1721" s="9" t="str">
        <f>IFERROR(__xludf.DUMMYFUNCTION("""COMPUTED_VALUE"""),"")</f>
        <v/>
      </c>
      <c r="K1721" s="9" t="str">
        <f>IFERROR(__xludf.DUMMYFUNCTION("""COMPUTED_VALUE"""),"")</f>
        <v/>
      </c>
      <c r="L1721" s="9" t="str">
        <f>IFERROR(__xludf.DUMMYFUNCTION("""COMPUTED_VALUE"""),"")</f>
        <v/>
      </c>
      <c r="M1721" s="9" t="str">
        <f>IFERROR(__xludf.DUMMYFUNCTION("""COMPUTED_VALUE"""),"")</f>
        <v/>
      </c>
      <c r="N1721" s="9" t="str">
        <f>IFERROR(__xludf.DUMMYFUNCTION("""COMPUTED_VALUE"""),"")</f>
        <v/>
      </c>
      <c r="O1721" s="9" t="str">
        <f>IFERROR(__xludf.DUMMYFUNCTION("""COMPUTED_VALUE"""),"")</f>
        <v/>
      </c>
      <c r="P1721" s="9" t="str">
        <f>IFERROR(__xludf.DUMMYFUNCTION("""COMPUTED_VALUE"""),"")</f>
        <v/>
      </c>
      <c r="Q1721" s="9" t="str">
        <f>IFERROR(__xludf.DUMMYFUNCTION("""COMPUTED_VALUE"""),"")</f>
        <v/>
      </c>
      <c r="R1721" s="9" t="str">
        <f>IFERROR(__xludf.DUMMYFUNCTION("""COMPUTED_VALUE"""),"")</f>
        <v/>
      </c>
      <c r="S1721" s="42"/>
      <c r="T1721" s="42"/>
      <c r="U1721" s="159" t="b">
        <f>IFERROR(__xludf.DUMMYFUNCTION("""COMPUTED_VALUE"""),TRUE)</f>
        <v>1</v>
      </c>
      <c r="V1721" s="42"/>
      <c r="W1721" s="42" t="str">
        <f>IFERROR(__xludf.DUMMYFUNCTION("""COMPUTED_VALUE"""),"Excitatory")</f>
        <v>Excitatory</v>
      </c>
      <c r="X1721" s="42"/>
      <c r="Y1721" s="42" t="str">
        <f>IFERROR(__xludf.DUMMYFUNCTION("""COMPUTED_VALUE"""),"Place cells [Brun, 2002] [O’Keefe,1976]")</f>
        <v>Place cells [Brun, 2002] [O’Keefe,1976]</v>
      </c>
      <c r="Z1721" s="42"/>
      <c r="AA1721" s="42"/>
      <c r="AB1721" s="42" t="str">
        <f>IFERROR(__xludf.DUMMYFUNCTION("""COMPUTED_VALUE"""),"Ayako Fukawa")</f>
        <v>Ayako Fukawa</v>
      </c>
      <c r="AC1721" s="42" t="str">
        <f>IFERROR(__xludf.DUMMYFUNCTION("""COMPUTED_VALUE"""),"AT20HippocampalFormation")</f>
        <v>AT20HippocampalFormation</v>
      </c>
      <c r="AD1721" s="42"/>
      <c r="AE1721" s="42"/>
      <c r="AF1721" s="9"/>
      <c r="AG1721" s="9"/>
      <c r="AH1721" s="42"/>
      <c r="AI1721" s="42"/>
      <c r="AJ1721" s="42"/>
      <c r="AK1721" s="42"/>
      <c r="AL1721" s="42"/>
      <c r="AM1721" s="42"/>
      <c r="AN1721" s="42"/>
      <c r="AO1721" s="63" t="str">
        <f>IFERROR(__xludf.DUMMYFUNCTION("IF(ISBLANK(A1721),,IF(ISBLANK(S1721), A1721&amp;"";"", TEXTJOIN(CHAR(10), TRUE, A1721&amp;"";"", ARRAYFORMULA(VLOOKUP(SPLIT(S1721, "";"" &amp; CHAR(10)), $A:$AO, 41, FALSE)))))"),"CA1_proximal;")</f>
        <v>CA1_proximal;</v>
      </c>
      <c r="AP1721" s="89"/>
    </row>
    <row r="1722">
      <c r="A1722" s="151" t="str">
        <f>IFERROR(__xludf.DUMMYFUNCTION("""COMPUTED_VALUE"""),"CA1U")</f>
        <v>CA1U</v>
      </c>
      <c r="B1722" s="42" t="str">
        <f>IFERROR(__xludf.DUMMYFUNCTION("""COMPUTED_VALUE"""),"DHBA")</f>
        <v>DHBA</v>
      </c>
      <c r="C1722" s="42" t="str">
        <f>IFERROR(__xludf.DUMMYFUNCTION("""COMPUTED_VALUE"""),"uncal CA1")</f>
        <v>uncal CA1</v>
      </c>
      <c r="D1722" s="42">
        <f>IFERROR(__xludf.DUMMYFUNCTION("""COMPUTED_VALUE"""),1620.0)</f>
        <v>1620</v>
      </c>
      <c r="E1722" s="39" t="str">
        <f>IFERROR(__xludf.DUMMYFUNCTION("""COMPUTED_VALUE"""),"uncal CA1")</f>
        <v>uncal CA1</v>
      </c>
      <c r="F1722" s="9" t="str">
        <f>IFERROR(__xludf.DUMMYFUNCTION("""COMPUTED_VALUE"""),"Br")</f>
        <v>Br</v>
      </c>
      <c r="G1722" s="9" t="str">
        <f>IFERROR(__xludf.DUMMYFUNCTION("""COMPUTED_VALUE"""),"F")</f>
        <v>F</v>
      </c>
      <c r="H1722" s="9" t="str">
        <f>IFERROR(__xludf.DUMMYFUNCTION("""COMPUTED_VALUE"""),"FGM")</f>
        <v>FGM</v>
      </c>
      <c r="I1722" s="9" t="str">
        <f>IFERROR(__xludf.DUMMYFUNCTION("""COMPUTED_VALUE"""),"Tel")</f>
        <v>Tel</v>
      </c>
      <c r="J1722" s="9" t="str">
        <f>IFERROR(__xludf.DUMMYFUNCTION("""COMPUTED_VALUE"""),"Cx")</f>
        <v>Cx</v>
      </c>
      <c r="K1722" s="9" t="str">
        <f>IFERROR(__xludf.DUMMYFUNCTION("""COMPUTED_VALUE"""),"ACx")</f>
        <v>ACx</v>
      </c>
      <c r="L1722" s="9" t="str">
        <f>IFERROR(__xludf.DUMMYFUNCTION("""COMPUTED_VALUE"""),"ArCx")</f>
        <v>ArCx</v>
      </c>
      <c r="M1722" s="9" t="str">
        <f>IFERROR(__xludf.DUMMYFUNCTION("""COMPUTED_VALUE"""),"HIP")</f>
        <v>HIP</v>
      </c>
      <c r="N1722" s="9" t="str">
        <f>IFERROR(__xludf.DUMMYFUNCTION("""COMPUTED_VALUE"""),"Hipp")</f>
        <v>Hipp</v>
      </c>
      <c r="O1722" s="9" t="str">
        <f>IFERROR(__xludf.DUMMYFUNCTION("""COMPUTED_VALUE"""),"CA1")</f>
        <v>CA1</v>
      </c>
      <c r="P1722" s="9" t="str">
        <f>IFERROR(__xludf.DUMMYFUNCTION("""COMPUTED_VALUE"""),"CA1U")</f>
        <v>CA1U</v>
      </c>
      <c r="Q1722" s="9"/>
      <c r="R1722" s="9"/>
      <c r="S1722" s="42" t="str">
        <f>IFERROR(__xludf.DUMMYFUNCTION("""COMPUTED_VALUE"""),"CA1Uslm;
CA1Usr;
CA1Usp;
CA1Uso")</f>
        <v>CA1Uslm;
CA1Usr;
CA1Usp;
CA1Uso</v>
      </c>
      <c r="T1722" s="42"/>
      <c r="U1722" s="42" t="b">
        <f>IFERROR(__xludf.DUMMYFUNCTION("""COMPUTED_VALUE"""),FALSE)</f>
        <v>0</v>
      </c>
      <c r="V1722" s="42"/>
      <c r="W1722" s="42"/>
      <c r="X1722" s="42"/>
      <c r="Y1722" s="42"/>
      <c r="Z1722" s="42"/>
      <c r="AA1722" s="42"/>
      <c r="AB1722" s="42" t="str">
        <f>IFERROR(__xludf.DUMMYFUNCTION("""COMPUTED_VALUE"""),"allen institute")</f>
        <v>allen institute</v>
      </c>
      <c r="AC1722" s="42" t="str">
        <f>IFERROR(__xludf.DUMMYFUNCTION("""COMPUTED_VALUE"""),"DHBA")</f>
        <v>DHBA</v>
      </c>
      <c r="AD1722" s="42"/>
      <c r="AE1722" s="42"/>
      <c r="AF1722" s="9"/>
      <c r="AG1722" s="9"/>
      <c r="AH1722" s="42"/>
      <c r="AI1722" s="42"/>
      <c r="AJ1722" s="42"/>
      <c r="AK1722" s="42"/>
      <c r="AL1722" s="42"/>
      <c r="AM1722" s="42"/>
      <c r="AN1722" s="42"/>
      <c r="AO1722" s="63" t="str">
        <f>IFERROR(__xludf.DUMMYFUNCTION("IF(ISBLANK(A1722),,IF(ISBLANK(S1722), A1722&amp;"";"", TEXTJOIN(CHAR(10), TRUE, A1722&amp;"";"", ARRAYFORMULA(VLOOKUP(SPLIT(S1722, "";"" &amp; CHAR(10)), $A:$AO, 41, FALSE)))))"),"CA1U;
CA1Uslm;
CA1Usmo;
CA1Usla;
CA1Usr;
CA1Usp;
CA1Uso;")</f>
        <v>CA1U;
CA1Uslm;
CA1Usmo;
CA1Usla;
CA1Usr;
CA1Usp;
CA1Uso;</v>
      </c>
      <c r="AP1722" s="89"/>
    </row>
    <row r="1723">
      <c r="A1723" s="151" t="str">
        <f>IFERROR(__xludf.DUMMYFUNCTION("""COMPUTED_VALUE"""),"CA1Uslm")</f>
        <v>CA1Uslm</v>
      </c>
      <c r="B1723" s="42" t="str">
        <f>IFERROR(__xludf.DUMMYFUNCTION("""COMPUTED_VALUE"""),"DHBA")</f>
        <v>DHBA</v>
      </c>
      <c r="C1723" s="42" t="str">
        <f>IFERROR(__xludf.DUMMYFUNCTION("""COMPUTED_VALUE"""),"stratum lacunosum-moleculare of uncal CA1")</f>
        <v>stratum lacunosum-moleculare of uncal CA1</v>
      </c>
      <c r="D1723" s="42">
        <f>IFERROR(__xludf.DUMMYFUNCTION("""COMPUTED_VALUE"""),1621.0)</f>
        <v>1621</v>
      </c>
      <c r="E1723" s="39" t="str">
        <f>IFERROR(__xludf.DUMMYFUNCTION("""COMPUTED_VALUE"""),"stratum lacunosum-moleculare of uncal CA1")</f>
        <v>stratum lacunosum-moleculare of uncal CA1</v>
      </c>
      <c r="F1723" s="9" t="str">
        <f>IFERROR(__xludf.DUMMYFUNCTION("""COMPUTED_VALUE"""),"Br")</f>
        <v>Br</v>
      </c>
      <c r="G1723" s="9" t="str">
        <f>IFERROR(__xludf.DUMMYFUNCTION("""COMPUTED_VALUE"""),"F")</f>
        <v>F</v>
      </c>
      <c r="H1723" s="9" t="str">
        <f>IFERROR(__xludf.DUMMYFUNCTION("""COMPUTED_VALUE"""),"FGM")</f>
        <v>FGM</v>
      </c>
      <c r="I1723" s="9" t="str">
        <f>IFERROR(__xludf.DUMMYFUNCTION("""COMPUTED_VALUE"""),"Tel")</f>
        <v>Tel</v>
      </c>
      <c r="J1723" s="9" t="str">
        <f>IFERROR(__xludf.DUMMYFUNCTION("""COMPUTED_VALUE"""),"Cx")</f>
        <v>Cx</v>
      </c>
      <c r="K1723" s="9" t="str">
        <f>IFERROR(__xludf.DUMMYFUNCTION("""COMPUTED_VALUE"""),"ACx")</f>
        <v>ACx</v>
      </c>
      <c r="L1723" s="9" t="str">
        <f>IFERROR(__xludf.DUMMYFUNCTION("""COMPUTED_VALUE"""),"ArCx")</f>
        <v>ArCx</v>
      </c>
      <c r="M1723" s="9" t="str">
        <f>IFERROR(__xludf.DUMMYFUNCTION("""COMPUTED_VALUE"""),"HIP")</f>
        <v>HIP</v>
      </c>
      <c r="N1723" s="9" t="str">
        <f>IFERROR(__xludf.DUMMYFUNCTION("""COMPUTED_VALUE"""),"Hipp")</f>
        <v>Hipp</v>
      </c>
      <c r="O1723" s="9" t="str">
        <f>IFERROR(__xludf.DUMMYFUNCTION("""COMPUTED_VALUE"""),"CA1")</f>
        <v>CA1</v>
      </c>
      <c r="P1723" s="9" t="str">
        <f>IFERROR(__xludf.DUMMYFUNCTION("""COMPUTED_VALUE"""),"CA1U")</f>
        <v>CA1U</v>
      </c>
      <c r="Q1723" s="9" t="str">
        <f>IFERROR(__xludf.DUMMYFUNCTION("""COMPUTED_VALUE"""),"CA1Uslm")</f>
        <v>CA1Uslm</v>
      </c>
      <c r="R1723" s="9"/>
      <c r="S1723" s="42" t="str">
        <f>IFERROR(__xludf.DUMMYFUNCTION("""COMPUTED_VALUE"""),"CA1Usmo;
CA1Usla")</f>
        <v>CA1Usmo;
CA1Usla</v>
      </c>
      <c r="T1723" s="42"/>
      <c r="U1723" s="42" t="b">
        <f>IFERROR(__xludf.DUMMYFUNCTION("""COMPUTED_VALUE"""),FALSE)</f>
        <v>0</v>
      </c>
      <c r="V1723" s="42"/>
      <c r="W1723" s="42"/>
      <c r="X1723" s="42"/>
      <c r="Y1723" s="42"/>
      <c r="Z1723" s="42"/>
      <c r="AA1723" s="42"/>
      <c r="AB1723" s="42" t="str">
        <f>IFERROR(__xludf.DUMMYFUNCTION("""COMPUTED_VALUE"""),"allen institute")</f>
        <v>allen institute</v>
      </c>
      <c r="AC1723" s="42" t="str">
        <f>IFERROR(__xludf.DUMMYFUNCTION("""COMPUTED_VALUE"""),"DHBA")</f>
        <v>DHBA</v>
      </c>
      <c r="AD1723" s="42"/>
      <c r="AE1723" s="42"/>
      <c r="AF1723" s="9"/>
      <c r="AG1723" s="9"/>
      <c r="AH1723" s="42"/>
      <c r="AI1723" s="42"/>
      <c r="AJ1723" s="42"/>
      <c r="AK1723" s="42"/>
      <c r="AL1723" s="42"/>
      <c r="AM1723" s="42"/>
      <c r="AN1723" s="42"/>
      <c r="AO1723" s="63" t="str">
        <f>IFERROR(__xludf.DUMMYFUNCTION("IF(ISBLANK(A1723),,IF(ISBLANK(S1723), A1723&amp;"";"", TEXTJOIN(CHAR(10), TRUE, A1723&amp;"";"", ARRAYFORMULA(VLOOKUP(SPLIT(S1723, "";"" &amp; CHAR(10)), $A:$AO, 41, FALSE)))))"),"CA1Uslm;
CA1Usmo;
CA1Usla;")</f>
        <v>CA1Uslm;
CA1Usmo;
CA1Usla;</v>
      </c>
      <c r="AP1723" s="89"/>
    </row>
    <row r="1724">
      <c r="A1724" s="151" t="str">
        <f>IFERROR(__xludf.DUMMYFUNCTION("""COMPUTED_VALUE"""),"CA1Usmo")</f>
        <v>CA1Usmo</v>
      </c>
      <c r="B1724" s="42" t="str">
        <f>IFERROR(__xludf.DUMMYFUNCTION("""COMPUTED_VALUE"""),"DHBA")</f>
        <v>DHBA</v>
      </c>
      <c r="C1724" s="42" t="str">
        <f>IFERROR(__xludf.DUMMYFUNCTION("""COMPUTED_VALUE"""),"stratum moleculare of uncal CA1")</f>
        <v>stratum moleculare of uncal CA1</v>
      </c>
      <c r="D1724" s="42">
        <f>IFERROR(__xludf.DUMMYFUNCTION("""COMPUTED_VALUE"""),1622.0)</f>
        <v>1622</v>
      </c>
      <c r="E1724" s="39" t="str">
        <f>IFERROR(__xludf.DUMMYFUNCTION("""COMPUTED_VALUE"""),"stratum moleculare of uncal CA1")</f>
        <v>stratum moleculare of uncal CA1</v>
      </c>
      <c r="F1724" s="9" t="str">
        <f>IFERROR(__xludf.DUMMYFUNCTION("""COMPUTED_VALUE"""),"Br")</f>
        <v>Br</v>
      </c>
      <c r="G1724" s="9" t="str">
        <f>IFERROR(__xludf.DUMMYFUNCTION("""COMPUTED_VALUE"""),"F")</f>
        <v>F</v>
      </c>
      <c r="H1724" s="9" t="str">
        <f>IFERROR(__xludf.DUMMYFUNCTION("""COMPUTED_VALUE"""),"FGM")</f>
        <v>FGM</v>
      </c>
      <c r="I1724" s="9" t="str">
        <f>IFERROR(__xludf.DUMMYFUNCTION("""COMPUTED_VALUE"""),"Tel")</f>
        <v>Tel</v>
      </c>
      <c r="J1724" s="9" t="str">
        <f>IFERROR(__xludf.DUMMYFUNCTION("""COMPUTED_VALUE"""),"Cx")</f>
        <v>Cx</v>
      </c>
      <c r="K1724" s="9" t="str">
        <f>IFERROR(__xludf.DUMMYFUNCTION("""COMPUTED_VALUE"""),"ACx")</f>
        <v>ACx</v>
      </c>
      <c r="L1724" s="9" t="str">
        <f>IFERROR(__xludf.DUMMYFUNCTION("""COMPUTED_VALUE"""),"ArCx")</f>
        <v>ArCx</v>
      </c>
      <c r="M1724" s="9" t="str">
        <f>IFERROR(__xludf.DUMMYFUNCTION("""COMPUTED_VALUE"""),"HIP")</f>
        <v>HIP</v>
      </c>
      <c r="N1724" s="9" t="str">
        <f>IFERROR(__xludf.DUMMYFUNCTION("""COMPUTED_VALUE"""),"Hipp")</f>
        <v>Hipp</v>
      </c>
      <c r="O1724" s="9" t="str">
        <f>IFERROR(__xludf.DUMMYFUNCTION("""COMPUTED_VALUE"""),"CA1")</f>
        <v>CA1</v>
      </c>
      <c r="P1724" s="9" t="str">
        <f>IFERROR(__xludf.DUMMYFUNCTION("""COMPUTED_VALUE"""),"CA1U")</f>
        <v>CA1U</v>
      </c>
      <c r="Q1724" s="9" t="str">
        <f>IFERROR(__xludf.DUMMYFUNCTION("""COMPUTED_VALUE"""),"CA1Uslm")</f>
        <v>CA1Uslm</v>
      </c>
      <c r="R1724" s="9" t="str">
        <f>IFERROR(__xludf.DUMMYFUNCTION("""COMPUTED_VALUE"""),"CA1Usmo")</f>
        <v>CA1Usmo</v>
      </c>
      <c r="S1724" s="42"/>
      <c r="T1724" s="42"/>
      <c r="U1724" s="159"/>
      <c r="V1724" s="42"/>
      <c r="W1724" s="42"/>
      <c r="X1724" s="42"/>
      <c r="Y1724" s="42"/>
      <c r="Z1724" s="42"/>
      <c r="AA1724" s="42"/>
      <c r="AB1724" s="42" t="str">
        <f>IFERROR(__xludf.DUMMYFUNCTION("""COMPUTED_VALUE"""),"allen institute")</f>
        <v>allen institute</v>
      </c>
      <c r="AC1724" s="42" t="str">
        <f>IFERROR(__xludf.DUMMYFUNCTION("""COMPUTED_VALUE"""),"DHBA")</f>
        <v>DHBA</v>
      </c>
      <c r="AD1724" s="42"/>
      <c r="AE1724" s="42"/>
      <c r="AF1724" s="9"/>
      <c r="AG1724" s="9"/>
      <c r="AH1724" s="42"/>
      <c r="AI1724" s="42"/>
      <c r="AJ1724" s="42"/>
      <c r="AK1724" s="42"/>
      <c r="AL1724" s="42"/>
      <c r="AM1724" s="42"/>
      <c r="AN1724" s="42"/>
      <c r="AO1724" s="63" t="str">
        <f>IFERROR(__xludf.DUMMYFUNCTION("IF(ISBLANK(A1724),,IF(ISBLANK(S1724), A1724&amp;"";"", TEXTJOIN(CHAR(10), TRUE, A1724&amp;"";"", ARRAYFORMULA(VLOOKUP(SPLIT(S1724, "";"" &amp; CHAR(10)), $A:$AO, 41, FALSE)))))"),"CA1Usmo;")</f>
        <v>CA1Usmo;</v>
      </c>
      <c r="AP1724" s="89"/>
    </row>
    <row r="1725">
      <c r="A1725" s="151" t="str">
        <f>IFERROR(__xludf.DUMMYFUNCTION("""COMPUTED_VALUE"""),"CA1Usla")</f>
        <v>CA1Usla</v>
      </c>
      <c r="B1725" s="42" t="str">
        <f>IFERROR(__xludf.DUMMYFUNCTION("""COMPUTED_VALUE"""),"DHBA")</f>
        <v>DHBA</v>
      </c>
      <c r="C1725" s="42" t="str">
        <f>IFERROR(__xludf.DUMMYFUNCTION("""COMPUTED_VALUE"""),"stratum lacunosum of uncal CA1")</f>
        <v>stratum lacunosum of uncal CA1</v>
      </c>
      <c r="D1725" s="42">
        <f>IFERROR(__xludf.DUMMYFUNCTION("""COMPUTED_VALUE"""),1623.0)</f>
        <v>1623</v>
      </c>
      <c r="E1725" s="39" t="str">
        <f>IFERROR(__xludf.DUMMYFUNCTION("""COMPUTED_VALUE"""),"stratum lacunosum of uncal CA1")</f>
        <v>stratum lacunosum of uncal CA1</v>
      </c>
      <c r="F1725" s="9" t="str">
        <f>IFERROR(__xludf.DUMMYFUNCTION("""COMPUTED_VALUE"""),"Br")</f>
        <v>Br</v>
      </c>
      <c r="G1725" s="9" t="str">
        <f>IFERROR(__xludf.DUMMYFUNCTION("""COMPUTED_VALUE"""),"F")</f>
        <v>F</v>
      </c>
      <c r="H1725" s="9" t="str">
        <f>IFERROR(__xludf.DUMMYFUNCTION("""COMPUTED_VALUE"""),"FGM")</f>
        <v>FGM</v>
      </c>
      <c r="I1725" s="9" t="str">
        <f>IFERROR(__xludf.DUMMYFUNCTION("""COMPUTED_VALUE"""),"Tel")</f>
        <v>Tel</v>
      </c>
      <c r="J1725" s="9" t="str">
        <f>IFERROR(__xludf.DUMMYFUNCTION("""COMPUTED_VALUE"""),"Cx")</f>
        <v>Cx</v>
      </c>
      <c r="K1725" s="9" t="str">
        <f>IFERROR(__xludf.DUMMYFUNCTION("""COMPUTED_VALUE"""),"ACx")</f>
        <v>ACx</v>
      </c>
      <c r="L1725" s="9" t="str">
        <f>IFERROR(__xludf.DUMMYFUNCTION("""COMPUTED_VALUE"""),"ArCx")</f>
        <v>ArCx</v>
      </c>
      <c r="M1725" s="9" t="str">
        <f>IFERROR(__xludf.DUMMYFUNCTION("""COMPUTED_VALUE"""),"HIP")</f>
        <v>HIP</v>
      </c>
      <c r="N1725" s="9" t="str">
        <f>IFERROR(__xludf.DUMMYFUNCTION("""COMPUTED_VALUE"""),"Hipp")</f>
        <v>Hipp</v>
      </c>
      <c r="O1725" s="9" t="str">
        <f>IFERROR(__xludf.DUMMYFUNCTION("""COMPUTED_VALUE"""),"CA1")</f>
        <v>CA1</v>
      </c>
      <c r="P1725" s="9" t="str">
        <f>IFERROR(__xludf.DUMMYFUNCTION("""COMPUTED_VALUE"""),"CA1U")</f>
        <v>CA1U</v>
      </c>
      <c r="Q1725" s="9" t="str">
        <f>IFERROR(__xludf.DUMMYFUNCTION("""COMPUTED_VALUE"""),"CA1Uslm")</f>
        <v>CA1Uslm</v>
      </c>
      <c r="R1725" s="9" t="str">
        <f>IFERROR(__xludf.DUMMYFUNCTION("""COMPUTED_VALUE"""),"CA1Usla")</f>
        <v>CA1Usla</v>
      </c>
      <c r="S1725" s="42"/>
      <c r="T1725" s="42"/>
      <c r="U1725" s="159"/>
      <c r="V1725" s="42"/>
      <c r="W1725" s="42"/>
      <c r="X1725" s="42"/>
      <c r="Y1725" s="42"/>
      <c r="Z1725" s="42"/>
      <c r="AA1725" s="42"/>
      <c r="AB1725" s="42" t="str">
        <f>IFERROR(__xludf.DUMMYFUNCTION("""COMPUTED_VALUE"""),"allen institute")</f>
        <v>allen institute</v>
      </c>
      <c r="AC1725" s="42" t="str">
        <f>IFERROR(__xludf.DUMMYFUNCTION("""COMPUTED_VALUE"""),"DHBA")</f>
        <v>DHBA</v>
      </c>
      <c r="AD1725" s="42"/>
      <c r="AE1725" s="42"/>
      <c r="AF1725" s="9"/>
      <c r="AG1725" s="9"/>
      <c r="AH1725" s="42"/>
      <c r="AI1725" s="42"/>
      <c r="AJ1725" s="42"/>
      <c r="AK1725" s="42"/>
      <c r="AL1725" s="42"/>
      <c r="AM1725" s="42"/>
      <c r="AN1725" s="42"/>
      <c r="AO1725" s="63" t="str">
        <f>IFERROR(__xludf.DUMMYFUNCTION("IF(ISBLANK(A1725),,IF(ISBLANK(S1725), A1725&amp;"";"", TEXTJOIN(CHAR(10), TRUE, A1725&amp;"";"", ARRAYFORMULA(VLOOKUP(SPLIT(S1725, "";"" &amp; CHAR(10)), $A:$AO, 41, FALSE)))))"),"CA1Usla;")</f>
        <v>CA1Usla;</v>
      </c>
      <c r="AP1725" s="89"/>
    </row>
    <row r="1726">
      <c r="A1726" s="151" t="str">
        <f>IFERROR(__xludf.DUMMYFUNCTION("""COMPUTED_VALUE"""),"CA1Usr")</f>
        <v>CA1Usr</v>
      </c>
      <c r="B1726" s="42" t="str">
        <f>IFERROR(__xludf.DUMMYFUNCTION("""COMPUTED_VALUE"""),"DHBA")</f>
        <v>DHBA</v>
      </c>
      <c r="C1726" s="42" t="str">
        <f>IFERROR(__xludf.DUMMYFUNCTION("""COMPUTED_VALUE"""),"stratum radiatum of uncal CA1")</f>
        <v>stratum radiatum of uncal CA1</v>
      </c>
      <c r="D1726" s="42">
        <f>IFERROR(__xludf.DUMMYFUNCTION("""COMPUTED_VALUE"""),1624.0)</f>
        <v>1624</v>
      </c>
      <c r="E1726" s="39" t="str">
        <f>IFERROR(__xludf.DUMMYFUNCTION("""COMPUTED_VALUE"""),"stratum radiatum of uncal CA1")</f>
        <v>stratum radiatum of uncal CA1</v>
      </c>
      <c r="F1726" s="9" t="str">
        <f>IFERROR(__xludf.DUMMYFUNCTION("""COMPUTED_VALUE"""),"Br")</f>
        <v>Br</v>
      </c>
      <c r="G1726" s="9" t="str">
        <f>IFERROR(__xludf.DUMMYFUNCTION("""COMPUTED_VALUE"""),"F")</f>
        <v>F</v>
      </c>
      <c r="H1726" s="9" t="str">
        <f>IFERROR(__xludf.DUMMYFUNCTION("""COMPUTED_VALUE"""),"FGM")</f>
        <v>FGM</v>
      </c>
      <c r="I1726" s="9" t="str">
        <f>IFERROR(__xludf.DUMMYFUNCTION("""COMPUTED_VALUE"""),"Tel")</f>
        <v>Tel</v>
      </c>
      <c r="J1726" s="9" t="str">
        <f>IFERROR(__xludf.DUMMYFUNCTION("""COMPUTED_VALUE"""),"Cx")</f>
        <v>Cx</v>
      </c>
      <c r="K1726" s="9" t="str">
        <f>IFERROR(__xludf.DUMMYFUNCTION("""COMPUTED_VALUE"""),"ACx")</f>
        <v>ACx</v>
      </c>
      <c r="L1726" s="9" t="str">
        <f>IFERROR(__xludf.DUMMYFUNCTION("""COMPUTED_VALUE"""),"ArCx")</f>
        <v>ArCx</v>
      </c>
      <c r="M1726" s="9" t="str">
        <f>IFERROR(__xludf.DUMMYFUNCTION("""COMPUTED_VALUE"""),"HIP")</f>
        <v>HIP</v>
      </c>
      <c r="N1726" s="9" t="str">
        <f>IFERROR(__xludf.DUMMYFUNCTION("""COMPUTED_VALUE"""),"Hipp")</f>
        <v>Hipp</v>
      </c>
      <c r="O1726" s="9" t="str">
        <f>IFERROR(__xludf.DUMMYFUNCTION("""COMPUTED_VALUE"""),"CA1")</f>
        <v>CA1</v>
      </c>
      <c r="P1726" s="9" t="str">
        <f>IFERROR(__xludf.DUMMYFUNCTION("""COMPUTED_VALUE"""),"CA1U")</f>
        <v>CA1U</v>
      </c>
      <c r="Q1726" s="9" t="str">
        <f>IFERROR(__xludf.DUMMYFUNCTION("""COMPUTED_VALUE"""),"CA1Usr")</f>
        <v>CA1Usr</v>
      </c>
      <c r="R1726" s="9"/>
      <c r="S1726" s="42"/>
      <c r="T1726" s="42"/>
      <c r="U1726" s="159"/>
      <c r="V1726" s="42"/>
      <c r="W1726" s="42"/>
      <c r="X1726" s="42"/>
      <c r="Y1726" s="42"/>
      <c r="Z1726" s="42"/>
      <c r="AA1726" s="42"/>
      <c r="AB1726" s="42" t="str">
        <f>IFERROR(__xludf.DUMMYFUNCTION("""COMPUTED_VALUE"""),"allen institute")</f>
        <v>allen institute</v>
      </c>
      <c r="AC1726" s="42" t="str">
        <f>IFERROR(__xludf.DUMMYFUNCTION("""COMPUTED_VALUE"""),"DHBA")</f>
        <v>DHBA</v>
      </c>
      <c r="AD1726" s="42"/>
      <c r="AE1726" s="42"/>
      <c r="AF1726" s="9"/>
      <c r="AG1726" s="9"/>
      <c r="AH1726" s="42"/>
      <c r="AI1726" s="42"/>
      <c r="AJ1726" s="42"/>
      <c r="AK1726" s="42"/>
      <c r="AL1726" s="42"/>
      <c r="AM1726" s="42"/>
      <c r="AN1726" s="42"/>
      <c r="AO1726" s="63" t="str">
        <f>IFERROR(__xludf.DUMMYFUNCTION("IF(ISBLANK(A1726),,IF(ISBLANK(S1726), A1726&amp;"";"", TEXTJOIN(CHAR(10), TRUE, A1726&amp;"";"", ARRAYFORMULA(VLOOKUP(SPLIT(S1726, "";"" &amp; CHAR(10)), $A:$AO, 41, FALSE)))))"),"CA1Usr;")</f>
        <v>CA1Usr;</v>
      </c>
      <c r="AP1726" s="89"/>
    </row>
    <row r="1727">
      <c r="A1727" s="151" t="str">
        <f>IFERROR(__xludf.DUMMYFUNCTION("""COMPUTED_VALUE"""),"CA1Usp")</f>
        <v>CA1Usp</v>
      </c>
      <c r="B1727" s="42" t="str">
        <f>IFERROR(__xludf.DUMMYFUNCTION("""COMPUTED_VALUE"""),"DHBA")</f>
        <v>DHBA</v>
      </c>
      <c r="C1727" s="42" t="str">
        <f>IFERROR(__xludf.DUMMYFUNCTION("""COMPUTED_VALUE"""),"stratum pyramidale of uncal CA1")</f>
        <v>stratum pyramidale of uncal CA1</v>
      </c>
      <c r="D1727" s="42">
        <f>IFERROR(__xludf.DUMMYFUNCTION("""COMPUTED_VALUE"""),1625.0)</f>
        <v>1625</v>
      </c>
      <c r="E1727" s="39" t="str">
        <f>IFERROR(__xludf.DUMMYFUNCTION("""COMPUTED_VALUE"""),"stratum pyramidale of uncal CA1")</f>
        <v>stratum pyramidale of uncal CA1</v>
      </c>
      <c r="F1727" s="9" t="str">
        <f>IFERROR(__xludf.DUMMYFUNCTION("""COMPUTED_VALUE"""),"Br")</f>
        <v>Br</v>
      </c>
      <c r="G1727" s="9" t="str">
        <f>IFERROR(__xludf.DUMMYFUNCTION("""COMPUTED_VALUE"""),"F")</f>
        <v>F</v>
      </c>
      <c r="H1727" s="9" t="str">
        <f>IFERROR(__xludf.DUMMYFUNCTION("""COMPUTED_VALUE"""),"FGM")</f>
        <v>FGM</v>
      </c>
      <c r="I1727" s="9" t="str">
        <f>IFERROR(__xludf.DUMMYFUNCTION("""COMPUTED_VALUE"""),"Tel")</f>
        <v>Tel</v>
      </c>
      <c r="J1727" s="9" t="str">
        <f>IFERROR(__xludf.DUMMYFUNCTION("""COMPUTED_VALUE"""),"Cx")</f>
        <v>Cx</v>
      </c>
      <c r="K1727" s="9" t="str">
        <f>IFERROR(__xludf.DUMMYFUNCTION("""COMPUTED_VALUE"""),"ACx")</f>
        <v>ACx</v>
      </c>
      <c r="L1727" s="9" t="str">
        <f>IFERROR(__xludf.DUMMYFUNCTION("""COMPUTED_VALUE"""),"ArCx")</f>
        <v>ArCx</v>
      </c>
      <c r="M1727" s="9" t="str">
        <f>IFERROR(__xludf.DUMMYFUNCTION("""COMPUTED_VALUE"""),"HIP")</f>
        <v>HIP</v>
      </c>
      <c r="N1727" s="9" t="str">
        <f>IFERROR(__xludf.DUMMYFUNCTION("""COMPUTED_VALUE"""),"Hipp")</f>
        <v>Hipp</v>
      </c>
      <c r="O1727" s="9" t="str">
        <f>IFERROR(__xludf.DUMMYFUNCTION("""COMPUTED_VALUE"""),"CA1")</f>
        <v>CA1</v>
      </c>
      <c r="P1727" s="9" t="str">
        <f>IFERROR(__xludf.DUMMYFUNCTION("""COMPUTED_VALUE"""),"CA1U")</f>
        <v>CA1U</v>
      </c>
      <c r="Q1727" s="9" t="str">
        <f>IFERROR(__xludf.DUMMYFUNCTION("""COMPUTED_VALUE"""),"CA1Usp")</f>
        <v>CA1Usp</v>
      </c>
      <c r="R1727" s="9"/>
      <c r="S1727" s="42"/>
      <c r="T1727" s="42"/>
      <c r="U1727" s="159"/>
      <c r="V1727" s="42"/>
      <c r="W1727" s="42"/>
      <c r="X1727" s="42"/>
      <c r="Y1727" s="42"/>
      <c r="Z1727" s="42"/>
      <c r="AA1727" s="42"/>
      <c r="AB1727" s="42" t="str">
        <f>IFERROR(__xludf.DUMMYFUNCTION("""COMPUTED_VALUE"""),"allen institute")</f>
        <v>allen institute</v>
      </c>
      <c r="AC1727" s="42" t="str">
        <f>IFERROR(__xludf.DUMMYFUNCTION("""COMPUTED_VALUE"""),"DHBA")</f>
        <v>DHBA</v>
      </c>
      <c r="AD1727" s="42"/>
      <c r="AE1727" s="42"/>
      <c r="AF1727" s="9"/>
      <c r="AG1727" s="9"/>
      <c r="AH1727" s="42"/>
      <c r="AI1727" s="42"/>
      <c r="AJ1727" s="42"/>
      <c r="AK1727" s="42"/>
      <c r="AL1727" s="42"/>
      <c r="AM1727" s="42"/>
      <c r="AN1727" s="42"/>
      <c r="AO1727" s="63" t="str">
        <f>IFERROR(__xludf.DUMMYFUNCTION("IF(ISBLANK(A1727),,IF(ISBLANK(S1727), A1727&amp;"";"", TEXTJOIN(CHAR(10), TRUE, A1727&amp;"";"", ARRAYFORMULA(VLOOKUP(SPLIT(S1727, "";"" &amp; CHAR(10)), $A:$AO, 41, FALSE)))))"),"CA1Usp;")</f>
        <v>CA1Usp;</v>
      </c>
      <c r="AP1727" s="89"/>
    </row>
    <row r="1728">
      <c r="A1728" s="151" t="str">
        <f>IFERROR(__xludf.DUMMYFUNCTION("""COMPUTED_VALUE"""),"CA1Uso")</f>
        <v>CA1Uso</v>
      </c>
      <c r="B1728" s="42" t="str">
        <f>IFERROR(__xludf.DUMMYFUNCTION("""COMPUTED_VALUE"""),"DHBA")</f>
        <v>DHBA</v>
      </c>
      <c r="C1728" s="42" t="str">
        <f>IFERROR(__xludf.DUMMYFUNCTION("""COMPUTED_VALUE"""),"stratum oriens of uncal CA1")</f>
        <v>stratum oriens of uncal CA1</v>
      </c>
      <c r="D1728" s="42">
        <f>IFERROR(__xludf.DUMMYFUNCTION("""COMPUTED_VALUE"""),1626.0)</f>
        <v>1626</v>
      </c>
      <c r="E1728" s="39" t="str">
        <f>IFERROR(__xludf.DUMMYFUNCTION("""COMPUTED_VALUE"""),"stratum oriens of uncal CA1")</f>
        <v>stratum oriens of uncal CA1</v>
      </c>
      <c r="F1728" s="9" t="str">
        <f>IFERROR(__xludf.DUMMYFUNCTION("""COMPUTED_VALUE"""),"Br")</f>
        <v>Br</v>
      </c>
      <c r="G1728" s="9" t="str">
        <f>IFERROR(__xludf.DUMMYFUNCTION("""COMPUTED_VALUE"""),"F")</f>
        <v>F</v>
      </c>
      <c r="H1728" s="9" t="str">
        <f>IFERROR(__xludf.DUMMYFUNCTION("""COMPUTED_VALUE"""),"FGM")</f>
        <v>FGM</v>
      </c>
      <c r="I1728" s="9" t="str">
        <f>IFERROR(__xludf.DUMMYFUNCTION("""COMPUTED_VALUE"""),"Tel")</f>
        <v>Tel</v>
      </c>
      <c r="J1728" s="9" t="str">
        <f>IFERROR(__xludf.DUMMYFUNCTION("""COMPUTED_VALUE"""),"Cx")</f>
        <v>Cx</v>
      </c>
      <c r="K1728" s="9" t="str">
        <f>IFERROR(__xludf.DUMMYFUNCTION("""COMPUTED_VALUE"""),"ACx")</f>
        <v>ACx</v>
      </c>
      <c r="L1728" s="9" t="str">
        <f>IFERROR(__xludf.DUMMYFUNCTION("""COMPUTED_VALUE"""),"ArCx")</f>
        <v>ArCx</v>
      </c>
      <c r="M1728" s="9" t="str">
        <f>IFERROR(__xludf.DUMMYFUNCTION("""COMPUTED_VALUE"""),"HIP")</f>
        <v>HIP</v>
      </c>
      <c r="N1728" s="9" t="str">
        <f>IFERROR(__xludf.DUMMYFUNCTION("""COMPUTED_VALUE"""),"Hipp")</f>
        <v>Hipp</v>
      </c>
      <c r="O1728" s="9" t="str">
        <f>IFERROR(__xludf.DUMMYFUNCTION("""COMPUTED_VALUE"""),"CA1")</f>
        <v>CA1</v>
      </c>
      <c r="P1728" s="9" t="str">
        <f>IFERROR(__xludf.DUMMYFUNCTION("""COMPUTED_VALUE"""),"CA1U")</f>
        <v>CA1U</v>
      </c>
      <c r="Q1728" s="9" t="str">
        <f>IFERROR(__xludf.DUMMYFUNCTION("""COMPUTED_VALUE"""),"CA1Uso")</f>
        <v>CA1Uso</v>
      </c>
      <c r="R1728" s="9"/>
      <c r="S1728" s="42"/>
      <c r="T1728" s="42"/>
      <c r="U1728" s="159"/>
      <c r="V1728" s="42"/>
      <c r="W1728" s="42"/>
      <c r="X1728" s="42"/>
      <c r="Y1728" s="42"/>
      <c r="Z1728" s="42"/>
      <c r="AA1728" s="42"/>
      <c r="AB1728" s="42" t="str">
        <f>IFERROR(__xludf.DUMMYFUNCTION("""COMPUTED_VALUE"""),"allen institute")</f>
        <v>allen institute</v>
      </c>
      <c r="AC1728" s="42" t="str">
        <f>IFERROR(__xludf.DUMMYFUNCTION("""COMPUTED_VALUE"""),"DHBA")</f>
        <v>DHBA</v>
      </c>
      <c r="AD1728" s="42"/>
      <c r="AE1728" s="42"/>
      <c r="AF1728" s="9"/>
      <c r="AG1728" s="9"/>
      <c r="AH1728" s="42"/>
      <c r="AI1728" s="42"/>
      <c r="AJ1728" s="42"/>
      <c r="AK1728" s="42"/>
      <c r="AL1728" s="42"/>
      <c r="AM1728" s="42"/>
      <c r="AN1728" s="42"/>
      <c r="AO1728" s="63" t="str">
        <f>IFERROR(__xludf.DUMMYFUNCTION("IF(ISBLANK(A1728),,IF(ISBLANK(S1728), A1728&amp;"";"", TEXTJOIN(CHAR(10), TRUE, A1728&amp;"";"", ARRAYFORMULA(VLOOKUP(SPLIT(S1728, "";"" &amp; CHAR(10)), $A:$AO, 41, FALSE)))))"),"CA1Uso;")</f>
        <v>CA1Uso;</v>
      </c>
      <c r="AP1728" s="89"/>
    </row>
    <row r="1729">
      <c r="A1729" s="151" t="str">
        <f>IFERROR(__xludf.DUMMYFUNCTION("""COMPUTED_VALUE"""),"CA1R")</f>
        <v>CA1R</v>
      </c>
      <c r="B1729" s="42" t="str">
        <f>IFERROR(__xludf.DUMMYFUNCTION("""COMPUTED_VALUE"""),"DHBA")</f>
        <v>DHBA</v>
      </c>
      <c r="C1729" s="42" t="str">
        <f>IFERROR(__xludf.DUMMYFUNCTION("""COMPUTED_VALUE"""),"rostral CA1")</f>
        <v>rostral CA1</v>
      </c>
      <c r="D1729" s="42">
        <f>IFERROR(__xludf.DUMMYFUNCTION("""COMPUTED_VALUE"""),1627.0)</f>
        <v>1627</v>
      </c>
      <c r="E1729" s="39" t="str">
        <f>IFERROR(__xludf.DUMMYFUNCTION("""COMPUTED_VALUE"""),"rostral CA1")</f>
        <v>rostral CA1</v>
      </c>
      <c r="F1729" s="9" t="str">
        <f>IFERROR(__xludf.DUMMYFUNCTION("""COMPUTED_VALUE"""),"Br")</f>
        <v>Br</v>
      </c>
      <c r="G1729" s="9" t="str">
        <f>IFERROR(__xludf.DUMMYFUNCTION("""COMPUTED_VALUE"""),"F")</f>
        <v>F</v>
      </c>
      <c r="H1729" s="9" t="str">
        <f>IFERROR(__xludf.DUMMYFUNCTION("""COMPUTED_VALUE"""),"FGM")</f>
        <v>FGM</v>
      </c>
      <c r="I1729" s="9" t="str">
        <f>IFERROR(__xludf.DUMMYFUNCTION("""COMPUTED_VALUE"""),"Tel")</f>
        <v>Tel</v>
      </c>
      <c r="J1729" s="9" t="str">
        <f>IFERROR(__xludf.DUMMYFUNCTION("""COMPUTED_VALUE"""),"Cx")</f>
        <v>Cx</v>
      </c>
      <c r="K1729" s="9" t="str">
        <f>IFERROR(__xludf.DUMMYFUNCTION("""COMPUTED_VALUE"""),"ACx")</f>
        <v>ACx</v>
      </c>
      <c r="L1729" s="9" t="str">
        <f>IFERROR(__xludf.DUMMYFUNCTION("""COMPUTED_VALUE"""),"ArCx")</f>
        <v>ArCx</v>
      </c>
      <c r="M1729" s="9" t="str">
        <f>IFERROR(__xludf.DUMMYFUNCTION("""COMPUTED_VALUE"""),"HIP")</f>
        <v>HIP</v>
      </c>
      <c r="N1729" s="9" t="str">
        <f>IFERROR(__xludf.DUMMYFUNCTION("""COMPUTED_VALUE"""),"Hipp")</f>
        <v>Hipp</v>
      </c>
      <c r="O1729" s="9" t="str">
        <f>IFERROR(__xludf.DUMMYFUNCTION("""COMPUTED_VALUE"""),"CA1")</f>
        <v>CA1</v>
      </c>
      <c r="P1729" s="9" t="str">
        <f>IFERROR(__xludf.DUMMYFUNCTION("""COMPUTED_VALUE"""),"CA1R")</f>
        <v>CA1R</v>
      </c>
      <c r="Q1729" s="9"/>
      <c r="R1729" s="9"/>
      <c r="S1729" s="42" t="str">
        <f>IFERROR(__xludf.DUMMYFUNCTION("""COMPUTED_VALUE"""),"CA1Rslm;
CA1Rsr;
CA1Rsp;
CA1Rso")</f>
        <v>CA1Rslm;
CA1Rsr;
CA1Rsp;
CA1Rso</v>
      </c>
      <c r="T1729" s="42"/>
      <c r="U1729" s="159" t="b">
        <f>IFERROR(__xludf.DUMMYFUNCTION("""COMPUTED_VALUE"""),FALSE)</f>
        <v>0</v>
      </c>
      <c r="V1729" s="42"/>
      <c r="W1729" s="42"/>
      <c r="X1729" s="42"/>
      <c r="Y1729" s="42"/>
      <c r="Z1729" s="42"/>
      <c r="AA1729" s="42"/>
      <c r="AB1729" s="42" t="str">
        <f>IFERROR(__xludf.DUMMYFUNCTION("""COMPUTED_VALUE"""),"allen institute")</f>
        <v>allen institute</v>
      </c>
      <c r="AC1729" s="42" t="str">
        <f>IFERROR(__xludf.DUMMYFUNCTION("""COMPUTED_VALUE"""),"DHBA")</f>
        <v>DHBA</v>
      </c>
      <c r="AD1729" s="42"/>
      <c r="AE1729" s="42"/>
      <c r="AF1729" s="9"/>
      <c r="AG1729" s="9"/>
      <c r="AH1729" s="42"/>
      <c r="AI1729" s="42"/>
      <c r="AJ1729" s="42"/>
      <c r="AK1729" s="42"/>
      <c r="AL1729" s="42"/>
      <c r="AM1729" s="42"/>
      <c r="AN1729" s="42"/>
      <c r="AO1729" s="63" t="str">
        <f>IFERROR(__xludf.DUMMYFUNCTION("IF(ISBLANK(A1729),,IF(ISBLANK(S1729), A1729&amp;"";"", TEXTJOIN(CHAR(10), TRUE, A1729&amp;"";"", ARRAYFORMULA(VLOOKUP(SPLIT(S1729, "";"" &amp; CHAR(10)), $A:$AO, 41, FALSE)))))"),"CA1R;
CA1Rslm;
CA1Rsmo;
CA1Rsla;
CA1Rsr;
CA1Rsp;
CA1Rso;")</f>
        <v>CA1R;
CA1Rslm;
CA1Rsmo;
CA1Rsla;
CA1Rsr;
CA1Rsp;
CA1Rso;</v>
      </c>
      <c r="AP1729" s="89"/>
    </row>
    <row r="1730">
      <c r="A1730" s="151" t="str">
        <f>IFERROR(__xludf.DUMMYFUNCTION("""COMPUTED_VALUE"""),"CA1Rslm")</f>
        <v>CA1Rslm</v>
      </c>
      <c r="B1730" s="42" t="str">
        <f>IFERROR(__xludf.DUMMYFUNCTION("""COMPUTED_VALUE"""),"DHBA")</f>
        <v>DHBA</v>
      </c>
      <c r="C1730" s="42" t="str">
        <f>IFERROR(__xludf.DUMMYFUNCTION("""COMPUTED_VALUE"""),"stratum lacunosum-moleculare of rostral CA1")</f>
        <v>stratum lacunosum-moleculare of rostral CA1</v>
      </c>
      <c r="D1730" s="42">
        <f>IFERROR(__xludf.DUMMYFUNCTION("""COMPUTED_VALUE"""),1628.0)</f>
        <v>1628</v>
      </c>
      <c r="E1730" s="39" t="str">
        <f>IFERROR(__xludf.DUMMYFUNCTION("""COMPUTED_VALUE"""),"stratum lacunosum-moleculare of rostral CA1")</f>
        <v>stratum lacunosum-moleculare of rostral CA1</v>
      </c>
      <c r="F1730" s="9" t="str">
        <f>IFERROR(__xludf.DUMMYFUNCTION("""COMPUTED_VALUE"""),"Br")</f>
        <v>Br</v>
      </c>
      <c r="G1730" s="9" t="str">
        <f>IFERROR(__xludf.DUMMYFUNCTION("""COMPUTED_VALUE"""),"F")</f>
        <v>F</v>
      </c>
      <c r="H1730" s="9" t="str">
        <f>IFERROR(__xludf.DUMMYFUNCTION("""COMPUTED_VALUE"""),"FGM")</f>
        <v>FGM</v>
      </c>
      <c r="I1730" s="9" t="str">
        <f>IFERROR(__xludf.DUMMYFUNCTION("""COMPUTED_VALUE"""),"Tel")</f>
        <v>Tel</v>
      </c>
      <c r="J1730" s="9" t="str">
        <f>IFERROR(__xludf.DUMMYFUNCTION("""COMPUTED_VALUE"""),"Cx")</f>
        <v>Cx</v>
      </c>
      <c r="K1730" s="9" t="str">
        <f>IFERROR(__xludf.DUMMYFUNCTION("""COMPUTED_VALUE"""),"ACx")</f>
        <v>ACx</v>
      </c>
      <c r="L1730" s="9" t="str">
        <f>IFERROR(__xludf.DUMMYFUNCTION("""COMPUTED_VALUE"""),"ArCx")</f>
        <v>ArCx</v>
      </c>
      <c r="M1730" s="9" t="str">
        <f>IFERROR(__xludf.DUMMYFUNCTION("""COMPUTED_VALUE"""),"HIP")</f>
        <v>HIP</v>
      </c>
      <c r="N1730" s="9" t="str">
        <f>IFERROR(__xludf.DUMMYFUNCTION("""COMPUTED_VALUE"""),"Hipp")</f>
        <v>Hipp</v>
      </c>
      <c r="O1730" s="9" t="str">
        <f>IFERROR(__xludf.DUMMYFUNCTION("""COMPUTED_VALUE"""),"CA1")</f>
        <v>CA1</v>
      </c>
      <c r="P1730" s="9" t="str">
        <f>IFERROR(__xludf.DUMMYFUNCTION("""COMPUTED_VALUE"""),"CA1R")</f>
        <v>CA1R</v>
      </c>
      <c r="Q1730" s="9" t="str">
        <f>IFERROR(__xludf.DUMMYFUNCTION("""COMPUTED_VALUE"""),"CA1Rslm")</f>
        <v>CA1Rslm</v>
      </c>
      <c r="R1730" s="9"/>
      <c r="S1730" s="42" t="str">
        <f>IFERROR(__xludf.DUMMYFUNCTION("""COMPUTED_VALUE"""),"CA1Rsmo;
CA1Rsla")</f>
        <v>CA1Rsmo;
CA1Rsla</v>
      </c>
      <c r="T1730" s="42"/>
      <c r="U1730" s="159" t="b">
        <f>IFERROR(__xludf.DUMMYFUNCTION("""COMPUTED_VALUE"""),FALSE)</f>
        <v>0</v>
      </c>
      <c r="V1730" s="42"/>
      <c r="W1730" s="42"/>
      <c r="X1730" s="42"/>
      <c r="Y1730" s="42"/>
      <c r="Z1730" s="42"/>
      <c r="AA1730" s="42"/>
      <c r="AB1730" s="42" t="str">
        <f>IFERROR(__xludf.DUMMYFUNCTION("""COMPUTED_VALUE"""),"allen institute")</f>
        <v>allen institute</v>
      </c>
      <c r="AC1730" s="42" t="str">
        <f>IFERROR(__xludf.DUMMYFUNCTION("""COMPUTED_VALUE"""),"DHBA")</f>
        <v>DHBA</v>
      </c>
      <c r="AD1730" s="42"/>
      <c r="AE1730" s="42"/>
      <c r="AF1730" s="9"/>
      <c r="AG1730" s="9"/>
      <c r="AH1730" s="42"/>
      <c r="AI1730" s="42"/>
      <c r="AJ1730" s="42"/>
      <c r="AK1730" s="42"/>
      <c r="AL1730" s="42"/>
      <c r="AM1730" s="42"/>
      <c r="AN1730" s="42"/>
      <c r="AO1730" s="63" t="str">
        <f>IFERROR(__xludf.DUMMYFUNCTION("IF(ISBLANK(A1730),,IF(ISBLANK(S1730), A1730&amp;"";"", TEXTJOIN(CHAR(10), TRUE, A1730&amp;"";"", ARRAYFORMULA(VLOOKUP(SPLIT(S1730, "";"" &amp; CHAR(10)), $A:$AO, 41, FALSE)))))"),"CA1Rslm;
CA1Rsmo;
CA1Rsla;")</f>
        <v>CA1Rslm;
CA1Rsmo;
CA1Rsla;</v>
      </c>
      <c r="AP1730" s="89"/>
    </row>
    <row r="1731">
      <c r="A1731" s="151" t="str">
        <f>IFERROR(__xludf.DUMMYFUNCTION("""COMPUTED_VALUE"""),"CA1Rsmo")</f>
        <v>CA1Rsmo</v>
      </c>
      <c r="B1731" s="42" t="str">
        <f>IFERROR(__xludf.DUMMYFUNCTION("""COMPUTED_VALUE"""),"DHBA")</f>
        <v>DHBA</v>
      </c>
      <c r="C1731" s="42" t="str">
        <f>IFERROR(__xludf.DUMMYFUNCTION("""COMPUTED_VALUE"""),"stratum moleculare of rostral CA1")</f>
        <v>stratum moleculare of rostral CA1</v>
      </c>
      <c r="D1731" s="42">
        <f>IFERROR(__xludf.DUMMYFUNCTION("""COMPUTED_VALUE"""),1629.0)</f>
        <v>1629</v>
      </c>
      <c r="E1731" s="39" t="str">
        <f>IFERROR(__xludf.DUMMYFUNCTION("""COMPUTED_VALUE"""),"stratum moleculare of rostral CA1")</f>
        <v>stratum moleculare of rostral CA1</v>
      </c>
      <c r="F1731" s="9" t="str">
        <f>IFERROR(__xludf.DUMMYFUNCTION("""COMPUTED_VALUE"""),"Br")</f>
        <v>Br</v>
      </c>
      <c r="G1731" s="9" t="str">
        <f>IFERROR(__xludf.DUMMYFUNCTION("""COMPUTED_VALUE"""),"F")</f>
        <v>F</v>
      </c>
      <c r="H1731" s="9" t="str">
        <f>IFERROR(__xludf.DUMMYFUNCTION("""COMPUTED_VALUE"""),"FGM")</f>
        <v>FGM</v>
      </c>
      <c r="I1731" s="9" t="str">
        <f>IFERROR(__xludf.DUMMYFUNCTION("""COMPUTED_VALUE"""),"Tel")</f>
        <v>Tel</v>
      </c>
      <c r="J1731" s="9" t="str">
        <f>IFERROR(__xludf.DUMMYFUNCTION("""COMPUTED_VALUE"""),"Cx")</f>
        <v>Cx</v>
      </c>
      <c r="K1731" s="9" t="str">
        <f>IFERROR(__xludf.DUMMYFUNCTION("""COMPUTED_VALUE"""),"ACx")</f>
        <v>ACx</v>
      </c>
      <c r="L1731" s="9" t="str">
        <f>IFERROR(__xludf.DUMMYFUNCTION("""COMPUTED_VALUE"""),"ArCx")</f>
        <v>ArCx</v>
      </c>
      <c r="M1731" s="9" t="str">
        <f>IFERROR(__xludf.DUMMYFUNCTION("""COMPUTED_VALUE"""),"HIP")</f>
        <v>HIP</v>
      </c>
      <c r="N1731" s="9" t="str">
        <f>IFERROR(__xludf.DUMMYFUNCTION("""COMPUTED_VALUE"""),"Hipp")</f>
        <v>Hipp</v>
      </c>
      <c r="O1731" s="9" t="str">
        <f>IFERROR(__xludf.DUMMYFUNCTION("""COMPUTED_VALUE"""),"CA1")</f>
        <v>CA1</v>
      </c>
      <c r="P1731" s="9" t="str">
        <f>IFERROR(__xludf.DUMMYFUNCTION("""COMPUTED_VALUE"""),"CA1R")</f>
        <v>CA1R</v>
      </c>
      <c r="Q1731" s="9" t="str">
        <f>IFERROR(__xludf.DUMMYFUNCTION("""COMPUTED_VALUE"""),"CA1Rslm")</f>
        <v>CA1Rslm</v>
      </c>
      <c r="R1731" s="9" t="str">
        <f>IFERROR(__xludf.DUMMYFUNCTION("""COMPUTED_VALUE"""),"CA1Rsmo")</f>
        <v>CA1Rsmo</v>
      </c>
      <c r="S1731" s="42"/>
      <c r="T1731" s="42"/>
      <c r="U1731" s="159"/>
      <c r="V1731" s="42"/>
      <c r="W1731" s="42"/>
      <c r="X1731" s="42"/>
      <c r="Y1731" s="42"/>
      <c r="Z1731" s="42"/>
      <c r="AA1731" s="42"/>
      <c r="AB1731" s="42" t="str">
        <f>IFERROR(__xludf.DUMMYFUNCTION("""COMPUTED_VALUE"""),"allen institute")</f>
        <v>allen institute</v>
      </c>
      <c r="AC1731" s="42" t="str">
        <f>IFERROR(__xludf.DUMMYFUNCTION("""COMPUTED_VALUE"""),"DHBA")</f>
        <v>DHBA</v>
      </c>
      <c r="AD1731" s="42"/>
      <c r="AE1731" s="42"/>
      <c r="AF1731" s="9"/>
      <c r="AG1731" s="9"/>
      <c r="AH1731" s="42"/>
      <c r="AI1731" s="42"/>
      <c r="AJ1731" s="42"/>
      <c r="AK1731" s="42"/>
      <c r="AL1731" s="42"/>
      <c r="AM1731" s="42"/>
      <c r="AN1731" s="42"/>
      <c r="AO1731" s="63" t="str">
        <f>IFERROR(__xludf.DUMMYFUNCTION("IF(ISBLANK(A1731),,IF(ISBLANK(S1731), A1731&amp;"";"", TEXTJOIN(CHAR(10), TRUE, A1731&amp;"";"", ARRAYFORMULA(VLOOKUP(SPLIT(S1731, "";"" &amp; CHAR(10)), $A:$AO, 41, FALSE)))))"),"CA1Rsmo;")</f>
        <v>CA1Rsmo;</v>
      </c>
      <c r="AP1731" s="89"/>
    </row>
    <row r="1732">
      <c r="A1732" s="151" t="str">
        <f>IFERROR(__xludf.DUMMYFUNCTION("""COMPUTED_VALUE"""),"CA1Rsla")</f>
        <v>CA1Rsla</v>
      </c>
      <c r="B1732" s="42" t="str">
        <f>IFERROR(__xludf.DUMMYFUNCTION("""COMPUTED_VALUE"""),"DHBA")</f>
        <v>DHBA</v>
      </c>
      <c r="C1732" s="42" t="str">
        <f>IFERROR(__xludf.DUMMYFUNCTION("""COMPUTED_VALUE"""),"stratum lacunosum of rostral CA1")</f>
        <v>stratum lacunosum of rostral CA1</v>
      </c>
      <c r="D1732" s="42">
        <f>IFERROR(__xludf.DUMMYFUNCTION("""COMPUTED_VALUE"""),1630.0)</f>
        <v>1630</v>
      </c>
      <c r="E1732" s="39" t="str">
        <f>IFERROR(__xludf.DUMMYFUNCTION("""COMPUTED_VALUE"""),"stratum lacunosum of rostral CA1")</f>
        <v>stratum lacunosum of rostral CA1</v>
      </c>
      <c r="F1732" s="9" t="str">
        <f>IFERROR(__xludf.DUMMYFUNCTION("""COMPUTED_VALUE"""),"Br")</f>
        <v>Br</v>
      </c>
      <c r="G1732" s="9" t="str">
        <f>IFERROR(__xludf.DUMMYFUNCTION("""COMPUTED_VALUE"""),"F")</f>
        <v>F</v>
      </c>
      <c r="H1732" s="9" t="str">
        <f>IFERROR(__xludf.DUMMYFUNCTION("""COMPUTED_VALUE"""),"FGM")</f>
        <v>FGM</v>
      </c>
      <c r="I1732" s="9" t="str">
        <f>IFERROR(__xludf.DUMMYFUNCTION("""COMPUTED_VALUE"""),"Tel")</f>
        <v>Tel</v>
      </c>
      <c r="J1732" s="9" t="str">
        <f>IFERROR(__xludf.DUMMYFUNCTION("""COMPUTED_VALUE"""),"Cx")</f>
        <v>Cx</v>
      </c>
      <c r="K1732" s="9" t="str">
        <f>IFERROR(__xludf.DUMMYFUNCTION("""COMPUTED_VALUE"""),"ACx")</f>
        <v>ACx</v>
      </c>
      <c r="L1732" s="9" t="str">
        <f>IFERROR(__xludf.DUMMYFUNCTION("""COMPUTED_VALUE"""),"ArCx")</f>
        <v>ArCx</v>
      </c>
      <c r="M1732" s="9" t="str">
        <f>IFERROR(__xludf.DUMMYFUNCTION("""COMPUTED_VALUE"""),"HIP")</f>
        <v>HIP</v>
      </c>
      <c r="N1732" s="9" t="str">
        <f>IFERROR(__xludf.DUMMYFUNCTION("""COMPUTED_VALUE"""),"Hipp")</f>
        <v>Hipp</v>
      </c>
      <c r="O1732" s="9" t="str">
        <f>IFERROR(__xludf.DUMMYFUNCTION("""COMPUTED_VALUE"""),"CA1")</f>
        <v>CA1</v>
      </c>
      <c r="P1732" s="9" t="str">
        <f>IFERROR(__xludf.DUMMYFUNCTION("""COMPUTED_VALUE"""),"CA1R")</f>
        <v>CA1R</v>
      </c>
      <c r="Q1732" s="9" t="str">
        <f>IFERROR(__xludf.DUMMYFUNCTION("""COMPUTED_VALUE"""),"CA1Rslm")</f>
        <v>CA1Rslm</v>
      </c>
      <c r="R1732" s="9" t="str">
        <f>IFERROR(__xludf.DUMMYFUNCTION("""COMPUTED_VALUE"""),"CA1Rsla")</f>
        <v>CA1Rsla</v>
      </c>
      <c r="S1732" s="42"/>
      <c r="T1732" s="42"/>
      <c r="U1732" s="159"/>
      <c r="V1732" s="42"/>
      <c r="W1732" s="42"/>
      <c r="X1732" s="42"/>
      <c r="Y1732" s="42"/>
      <c r="Z1732" s="42"/>
      <c r="AA1732" s="42"/>
      <c r="AB1732" s="42" t="str">
        <f>IFERROR(__xludf.DUMMYFUNCTION("""COMPUTED_VALUE"""),"allen institute")</f>
        <v>allen institute</v>
      </c>
      <c r="AC1732" s="42" t="str">
        <f>IFERROR(__xludf.DUMMYFUNCTION("""COMPUTED_VALUE"""),"DHBA")</f>
        <v>DHBA</v>
      </c>
      <c r="AD1732" s="42"/>
      <c r="AE1732" s="42"/>
      <c r="AF1732" s="9"/>
      <c r="AG1732" s="9"/>
      <c r="AH1732" s="42"/>
      <c r="AI1732" s="42"/>
      <c r="AJ1732" s="42"/>
      <c r="AK1732" s="42"/>
      <c r="AL1732" s="42"/>
      <c r="AM1732" s="42"/>
      <c r="AN1732" s="42"/>
      <c r="AO1732" s="63" t="str">
        <f>IFERROR(__xludf.DUMMYFUNCTION("IF(ISBLANK(A1732),,IF(ISBLANK(S1732), A1732&amp;"";"", TEXTJOIN(CHAR(10), TRUE, A1732&amp;"";"", ARRAYFORMULA(VLOOKUP(SPLIT(S1732, "";"" &amp; CHAR(10)), $A:$AO, 41, FALSE)))))"),"CA1Rsla;")</f>
        <v>CA1Rsla;</v>
      </c>
      <c r="AP1732" s="89"/>
    </row>
    <row r="1733">
      <c r="A1733" s="151" t="str">
        <f>IFERROR(__xludf.DUMMYFUNCTION("""COMPUTED_VALUE"""),"CA1Rsr")</f>
        <v>CA1Rsr</v>
      </c>
      <c r="B1733" s="42" t="str">
        <f>IFERROR(__xludf.DUMMYFUNCTION("""COMPUTED_VALUE"""),"DHBA")</f>
        <v>DHBA</v>
      </c>
      <c r="C1733" s="42" t="str">
        <f>IFERROR(__xludf.DUMMYFUNCTION("""COMPUTED_VALUE"""),"stratum radiatum of rostral CA1")</f>
        <v>stratum radiatum of rostral CA1</v>
      </c>
      <c r="D1733" s="42">
        <f>IFERROR(__xludf.DUMMYFUNCTION("""COMPUTED_VALUE"""),1631.0)</f>
        <v>1631</v>
      </c>
      <c r="E1733" s="39" t="str">
        <f>IFERROR(__xludf.DUMMYFUNCTION("""COMPUTED_VALUE"""),"stratum radiatum of rostral CA1")</f>
        <v>stratum radiatum of rostral CA1</v>
      </c>
      <c r="F1733" s="9" t="str">
        <f>IFERROR(__xludf.DUMMYFUNCTION("""COMPUTED_VALUE"""),"Br")</f>
        <v>Br</v>
      </c>
      <c r="G1733" s="9" t="str">
        <f>IFERROR(__xludf.DUMMYFUNCTION("""COMPUTED_VALUE"""),"F")</f>
        <v>F</v>
      </c>
      <c r="H1733" s="9" t="str">
        <f>IFERROR(__xludf.DUMMYFUNCTION("""COMPUTED_VALUE"""),"FGM")</f>
        <v>FGM</v>
      </c>
      <c r="I1733" s="9" t="str">
        <f>IFERROR(__xludf.DUMMYFUNCTION("""COMPUTED_VALUE"""),"Tel")</f>
        <v>Tel</v>
      </c>
      <c r="J1733" s="9" t="str">
        <f>IFERROR(__xludf.DUMMYFUNCTION("""COMPUTED_VALUE"""),"Cx")</f>
        <v>Cx</v>
      </c>
      <c r="K1733" s="9" t="str">
        <f>IFERROR(__xludf.DUMMYFUNCTION("""COMPUTED_VALUE"""),"ACx")</f>
        <v>ACx</v>
      </c>
      <c r="L1733" s="9" t="str">
        <f>IFERROR(__xludf.DUMMYFUNCTION("""COMPUTED_VALUE"""),"ArCx")</f>
        <v>ArCx</v>
      </c>
      <c r="M1733" s="9" t="str">
        <f>IFERROR(__xludf.DUMMYFUNCTION("""COMPUTED_VALUE"""),"HIP")</f>
        <v>HIP</v>
      </c>
      <c r="N1733" s="9" t="str">
        <f>IFERROR(__xludf.DUMMYFUNCTION("""COMPUTED_VALUE"""),"Hipp")</f>
        <v>Hipp</v>
      </c>
      <c r="O1733" s="9" t="str">
        <f>IFERROR(__xludf.DUMMYFUNCTION("""COMPUTED_VALUE"""),"CA1")</f>
        <v>CA1</v>
      </c>
      <c r="P1733" s="9" t="str">
        <f>IFERROR(__xludf.DUMMYFUNCTION("""COMPUTED_VALUE"""),"CA1R")</f>
        <v>CA1R</v>
      </c>
      <c r="Q1733" s="9" t="str">
        <f>IFERROR(__xludf.DUMMYFUNCTION("""COMPUTED_VALUE"""),"CA1Rsr")</f>
        <v>CA1Rsr</v>
      </c>
      <c r="R1733" s="9"/>
      <c r="S1733" s="42"/>
      <c r="T1733" s="42"/>
      <c r="U1733" s="159"/>
      <c r="V1733" s="42"/>
      <c r="W1733" s="42"/>
      <c r="X1733" s="42"/>
      <c r="Y1733" s="42"/>
      <c r="Z1733" s="42"/>
      <c r="AA1733" s="42"/>
      <c r="AB1733" s="42" t="str">
        <f>IFERROR(__xludf.DUMMYFUNCTION("""COMPUTED_VALUE"""),"allen institute")</f>
        <v>allen institute</v>
      </c>
      <c r="AC1733" s="42" t="str">
        <f>IFERROR(__xludf.DUMMYFUNCTION("""COMPUTED_VALUE"""),"DHBA")</f>
        <v>DHBA</v>
      </c>
      <c r="AD1733" s="42"/>
      <c r="AE1733" s="42"/>
      <c r="AF1733" s="9"/>
      <c r="AG1733" s="9"/>
      <c r="AH1733" s="42"/>
      <c r="AI1733" s="42"/>
      <c r="AJ1733" s="42"/>
      <c r="AK1733" s="42"/>
      <c r="AL1733" s="42"/>
      <c r="AM1733" s="42"/>
      <c r="AN1733" s="42"/>
      <c r="AO1733" s="63" t="str">
        <f>IFERROR(__xludf.DUMMYFUNCTION("IF(ISBLANK(A1733),,IF(ISBLANK(S1733), A1733&amp;"";"", TEXTJOIN(CHAR(10), TRUE, A1733&amp;"";"", ARRAYFORMULA(VLOOKUP(SPLIT(S1733, "";"" &amp; CHAR(10)), $A:$AO, 41, FALSE)))))"),"CA1Rsr;")</f>
        <v>CA1Rsr;</v>
      </c>
      <c r="AP1733" s="89"/>
    </row>
    <row r="1734">
      <c r="A1734" s="151" t="str">
        <f>IFERROR(__xludf.DUMMYFUNCTION("""COMPUTED_VALUE"""),"CA1Rsp")</f>
        <v>CA1Rsp</v>
      </c>
      <c r="B1734" s="42" t="str">
        <f>IFERROR(__xludf.DUMMYFUNCTION("""COMPUTED_VALUE"""),"DHBA")</f>
        <v>DHBA</v>
      </c>
      <c r="C1734" s="42" t="str">
        <f>IFERROR(__xludf.DUMMYFUNCTION("""COMPUTED_VALUE"""),"stratum pyramidale of rostral CA1")</f>
        <v>stratum pyramidale of rostral CA1</v>
      </c>
      <c r="D1734" s="42">
        <f>IFERROR(__xludf.DUMMYFUNCTION("""COMPUTED_VALUE"""),1632.0)</f>
        <v>1632</v>
      </c>
      <c r="E1734" s="39" t="str">
        <f>IFERROR(__xludf.DUMMYFUNCTION("""COMPUTED_VALUE"""),"stratum pyramidale of rostral CA1")</f>
        <v>stratum pyramidale of rostral CA1</v>
      </c>
      <c r="F1734" s="9" t="str">
        <f>IFERROR(__xludf.DUMMYFUNCTION("""COMPUTED_VALUE"""),"Br")</f>
        <v>Br</v>
      </c>
      <c r="G1734" s="9" t="str">
        <f>IFERROR(__xludf.DUMMYFUNCTION("""COMPUTED_VALUE"""),"F")</f>
        <v>F</v>
      </c>
      <c r="H1734" s="9" t="str">
        <f>IFERROR(__xludf.DUMMYFUNCTION("""COMPUTED_VALUE"""),"FGM")</f>
        <v>FGM</v>
      </c>
      <c r="I1734" s="9" t="str">
        <f>IFERROR(__xludf.DUMMYFUNCTION("""COMPUTED_VALUE"""),"Tel")</f>
        <v>Tel</v>
      </c>
      <c r="J1734" s="9" t="str">
        <f>IFERROR(__xludf.DUMMYFUNCTION("""COMPUTED_VALUE"""),"Cx")</f>
        <v>Cx</v>
      </c>
      <c r="K1734" s="9" t="str">
        <f>IFERROR(__xludf.DUMMYFUNCTION("""COMPUTED_VALUE"""),"ACx")</f>
        <v>ACx</v>
      </c>
      <c r="L1734" s="9" t="str">
        <f>IFERROR(__xludf.DUMMYFUNCTION("""COMPUTED_VALUE"""),"ArCx")</f>
        <v>ArCx</v>
      </c>
      <c r="M1734" s="9" t="str">
        <f>IFERROR(__xludf.DUMMYFUNCTION("""COMPUTED_VALUE"""),"HIP")</f>
        <v>HIP</v>
      </c>
      <c r="N1734" s="9" t="str">
        <f>IFERROR(__xludf.DUMMYFUNCTION("""COMPUTED_VALUE"""),"Hipp")</f>
        <v>Hipp</v>
      </c>
      <c r="O1734" s="9" t="str">
        <f>IFERROR(__xludf.DUMMYFUNCTION("""COMPUTED_VALUE"""),"CA1")</f>
        <v>CA1</v>
      </c>
      <c r="P1734" s="9" t="str">
        <f>IFERROR(__xludf.DUMMYFUNCTION("""COMPUTED_VALUE"""),"CA1R")</f>
        <v>CA1R</v>
      </c>
      <c r="Q1734" s="9" t="str">
        <f>IFERROR(__xludf.DUMMYFUNCTION("""COMPUTED_VALUE"""),"CA1Rsp")</f>
        <v>CA1Rsp</v>
      </c>
      <c r="R1734" s="9"/>
      <c r="S1734" s="42"/>
      <c r="T1734" s="42"/>
      <c r="U1734" s="159"/>
      <c r="V1734" s="42"/>
      <c r="W1734" s="42"/>
      <c r="X1734" s="42"/>
      <c r="Y1734" s="42"/>
      <c r="Z1734" s="42"/>
      <c r="AA1734" s="42"/>
      <c r="AB1734" s="42" t="str">
        <f>IFERROR(__xludf.DUMMYFUNCTION("""COMPUTED_VALUE"""),"allen institute")</f>
        <v>allen institute</v>
      </c>
      <c r="AC1734" s="42" t="str">
        <f>IFERROR(__xludf.DUMMYFUNCTION("""COMPUTED_VALUE"""),"DHBA")</f>
        <v>DHBA</v>
      </c>
      <c r="AD1734" s="42"/>
      <c r="AE1734" s="42"/>
      <c r="AF1734" s="9"/>
      <c r="AG1734" s="9"/>
      <c r="AH1734" s="42"/>
      <c r="AI1734" s="42"/>
      <c r="AJ1734" s="42"/>
      <c r="AK1734" s="42"/>
      <c r="AL1734" s="42"/>
      <c r="AM1734" s="42"/>
      <c r="AN1734" s="42"/>
      <c r="AO1734" s="63" t="str">
        <f>IFERROR(__xludf.DUMMYFUNCTION("IF(ISBLANK(A1734),,IF(ISBLANK(S1734), A1734&amp;"";"", TEXTJOIN(CHAR(10), TRUE, A1734&amp;"";"", ARRAYFORMULA(VLOOKUP(SPLIT(S1734, "";"" &amp; CHAR(10)), $A:$AO, 41, FALSE)))))"),"CA1Rsp;")</f>
        <v>CA1Rsp;</v>
      </c>
      <c r="AP1734" s="89"/>
    </row>
    <row r="1735">
      <c r="A1735" s="151" t="str">
        <f>IFERROR(__xludf.DUMMYFUNCTION("""COMPUTED_VALUE"""),"CA1Rso")</f>
        <v>CA1Rso</v>
      </c>
      <c r="B1735" s="42" t="str">
        <f>IFERROR(__xludf.DUMMYFUNCTION("""COMPUTED_VALUE"""),"DHBA")</f>
        <v>DHBA</v>
      </c>
      <c r="C1735" s="42" t="str">
        <f>IFERROR(__xludf.DUMMYFUNCTION("""COMPUTED_VALUE"""),"stratum oriens of rostral CA1")</f>
        <v>stratum oriens of rostral CA1</v>
      </c>
      <c r="D1735" s="42">
        <f>IFERROR(__xludf.DUMMYFUNCTION("""COMPUTED_VALUE"""),1633.0)</f>
        <v>1633</v>
      </c>
      <c r="E1735" s="39" t="str">
        <f>IFERROR(__xludf.DUMMYFUNCTION("""COMPUTED_VALUE"""),"stratum oriens of rostral CA1")</f>
        <v>stratum oriens of rostral CA1</v>
      </c>
      <c r="F1735" s="9" t="str">
        <f>IFERROR(__xludf.DUMMYFUNCTION("""COMPUTED_VALUE"""),"Br")</f>
        <v>Br</v>
      </c>
      <c r="G1735" s="9" t="str">
        <f>IFERROR(__xludf.DUMMYFUNCTION("""COMPUTED_VALUE"""),"F")</f>
        <v>F</v>
      </c>
      <c r="H1735" s="9" t="str">
        <f>IFERROR(__xludf.DUMMYFUNCTION("""COMPUTED_VALUE"""),"FGM")</f>
        <v>FGM</v>
      </c>
      <c r="I1735" s="9" t="str">
        <f>IFERROR(__xludf.DUMMYFUNCTION("""COMPUTED_VALUE"""),"Tel")</f>
        <v>Tel</v>
      </c>
      <c r="J1735" s="9" t="str">
        <f>IFERROR(__xludf.DUMMYFUNCTION("""COMPUTED_VALUE"""),"Cx")</f>
        <v>Cx</v>
      </c>
      <c r="K1735" s="9" t="str">
        <f>IFERROR(__xludf.DUMMYFUNCTION("""COMPUTED_VALUE"""),"ACx")</f>
        <v>ACx</v>
      </c>
      <c r="L1735" s="9" t="str">
        <f>IFERROR(__xludf.DUMMYFUNCTION("""COMPUTED_VALUE"""),"ArCx")</f>
        <v>ArCx</v>
      </c>
      <c r="M1735" s="9" t="str">
        <f>IFERROR(__xludf.DUMMYFUNCTION("""COMPUTED_VALUE"""),"HIP")</f>
        <v>HIP</v>
      </c>
      <c r="N1735" s="9" t="str">
        <f>IFERROR(__xludf.DUMMYFUNCTION("""COMPUTED_VALUE"""),"Hipp")</f>
        <v>Hipp</v>
      </c>
      <c r="O1735" s="9" t="str">
        <f>IFERROR(__xludf.DUMMYFUNCTION("""COMPUTED_VALUE"""),"CA1")</f>
        <v>CA1</v>
      </c>
      <c r="P1735" s="9" t="str">
        <f>IFERROR(__xludf.DUMMYFUNCTION("""COMPUTED_VALUE"""),"CA1R")</f>
        <v>CA1R</v>
      </c>
      <c r="Q1735" s="9" t="str">
        <f>IFERROR(__xludf.DUMMYFUNCTION("""COMPUTED_VALUE"""),"CA1Rso")</f>
        <v>CA1Rso</v>
      </c>
      <c r="R1735" s="9"/>
      <c r="S1735" s="42"/>
      <c r="T1735" s="42"/>
      <c r="U1735" s="159"/>
      <c r="V1735" s="42"/>
      <c r="W1735" s="42"/>
      <c r="X1735" s="42"/>
      <c r="Y1735" s="42"/>
      <c r="Z1735" s="42"/>
      <c r="AA1735" s="42"/>
      <c r="AB1735" s="42" t="str">
        <f>IFERROR(__xludf.DUMMYFUNCTION("""COMPUTED_VALUE"""),"allen institute")</f>
        <v>allen institute</v>
      </c>
      <c r="AC1735" s="42" t="str">
        <f>IFERROR(__xludf.DUMMYFUNCTION("""COMPUTED_VALUE"""),"DHBA")</f>
        <v>DHBA</v>
      </c>
      <c r="AD1735" s="42"/>
      <c r="AE1735" s="42"/>
      <c r="AF1735" s="9"/>
      <c r="AG1735" s="9"/>
      <c r="AH1735" s="42"/>
      <c r="AI1735" s="42"/>
      <c r="AJ1735" s="42"/>
      <c r="AK1735" s="42"/>
      <c r="AL1735" s="42"/>
      <c r="AM1735" s="42"/>
      <c r="AN1735" s="42"/>
      <c r="AO1735" s="63" t="str">
        <f>IFERROR(__xludf.DUMMYFUNCTION("IF(ISBLANK(A1735),,IF(ISBLANK(S1735), A1735&amp;"";"", TEXTJOIN(CHAR(10), TRUE, A1735&amp;"";"", ARRAYFORMULA(VLOOKUP(SPLIT(S1735, "";"" &amp; CHAR(10)), $A:$AO, 41, FALSE)))))"),"CA1Rso;")</f>
        <v>CA1Rso;</v>
      </c>
      <c r="AP1735" s="89"/>
    </row>
    <row r="1736">
      <c r="A1736" s="151" t="str">
        <f>IFERROR(__xludf.DUMMYFUNCTION("""COMPUTED_VALUE"""),"CA1C")</f>
        <v>CA1C</v>
      </c>
      <c r="B1736" s="42" t="str">
        <f>IFERROR(__xludf.DUMMYFUNCTION("""COMPUTED_VALUE"""),"DHBA")</f>
        <v>DHBA</v>
      </c>
      <c r="C1736" s="42" t="str">
        <f>IFERROR(__xludf.DUMMYFUNCTION("""COMPUTED_VALUE"""),"caudal CA1")</f>
        <v>caudal CA1</v>
      </c>
      <c r="D1736" s="42">
        <f>IFERROR(__xludf.DUMMYFUNCTION("""COMPUTED_VALUE"""),1634.0)</f>
        <v>1634</v>
      </c>
      <c r="E1736" s="39" t="str">
        <f>IFERROR(__xludf.DUMMYFUNCTION("""COMPUTED_VALUE"""),"caudal CA1")</f>
        <v>caudal CA1</v>
      </c>
      <c r="F1736" s="9" t="str">
        <f>IFERROR(__xludf.DUMMYFUNCTION("""COMPUTED_VALUE"""),"Br")</f>
        <v>Br</v>
      </c>
      <c r="G1736" s="9" t="str">
        <f>IFERROR(__xludf.DUMMYFUNCTION("""COMPUTED_VALUE"""),"F")</f>
        <v>F</v>
      </c>
      <c r="H1736" s="9" t="str">
        <f>IFERROR(__xludf.DUMMYFUNCTION("""COMPUTED_VALUE"""),"FGM")</f>
        <v>FGM</v>
      </c>
      <c r="I1736" s="9" t="str">
        <f>IFERROR(__xludf.DUMMYFUNCTION("""COMPUTED_VALUE"""),"Tel")</f>
        <v>Tel</v>
      </c>
      <c r="J1736" s="9" t="str">
        <f>IFERROR(__xludf.DUMMYFUNCTION("""COMPUTED_VALUE"""),"Cx")</f>
        <v>Cx</v>
      </c>
      <c r="K1736" s="9" t="str">
        <f>IFERROR(__xludf.DUMMYFUNCTION("""COMPUTED_VALUE"""),"ACx")</f>
        <v>ACx</v>
      </c>
      <c r="L1736" s="9" t="str">
        <f>IFERROR(__xludf.DUMMYFUNCTION("""COMPUTED_VALUE"""),"ArCx")</f>
        <v>ArCx</v>
      </c>
      <c r="M1736" s="9" t="str">
        <f>IFERROR(__xludf.DUMMYFUNCTION("""COMPUTED_VALUE"""),"HIP")</f>
        <v>HIP</v>
      </c>
      <c r="N1736" s="9" t="str">
        <f>IFERROR(__xludf.DUMMYFUNCTION("""COMPUTED_VALUE"""),"Hipp")</f>
        <v>Hipp</v>
      </c>
      <c r="O1736" s="9" t="str">
        <f>IFERROR(__xludf.DUMMYFUNCTION("""COMPUTED_VALUE"""),"CA1")</f>
        <v>CA1</v>
      </c>
      <c r="P1736" s="9" t="str">
        <f>IFERROR(__xludf.DUMMYFUNCTION("""COMPUTED_VALUE"""),"CA1C")</f>
        <v>CA1C</v>
      </c>
      <c r="Q1736" s="9"/>
      <c r="R1736" s="9"/>
      <c r="S1736" s="42" t="str">
        <f>IFERROR(__xludf.DUMMYFUNCTION("""COMPUTED_VALUE"""),"CA1Cslm;
CA1Csr;
CA1Csp;
CA1Cso")</f>
        <v>CA1Cslm;
CA1Csr;
CA1Csp;
CA1Cso</v>
      </c>
      <c r="T1736" s="42"/>
      <c r="U1736" s="159" t="b">
        <f>IFERROR(__xludf.DUMMYFUNCTION("""COMPUTED_VALUE"""),FALSE)</f>
        <v>0</v>
      </c>
      <c r="V1736" s="42"/>
      <c r="W1736" s="42"/>
      <c r="X1736" s="42"/>
      <c r="Y1736" s="42"/>
      <c r="Z1736" s="42"/>
      <c r="AA1736" s="42"/>
      <c r="AB1736" s="42" t="str">
        <f>IFERROR(__xludf.DUMMYFUNCTION("""COMPUTED_VALUE"""),"allen institute")</f>
        <v>allen institute</v>
      </c>
      <c r="AC1736" s="42" t="str">
        <f>IFERROR(__xludf.DUMMYFUNCTION("""COMPUTED_VALUE"""),"DHBA")</f>
        <v>DHBA</v>
      </c>
      <c r="AD1736" s="42"/>
      <c r="AE1736" s="42"/>
      <c r="AF1736" s="9"/>
      <c r="AG1736" s="9"/>
      <c r="AH1736" s="42"/>
      <c r="AI1736" s="42"/>
      <c r="AJ1736" s="42"/>
      <c r="AK1736" s="42"/>
      <c r="AL1736" s="42"/>
      <c r="AM1736" s="42"/>
      <c r="AN1736" s="42"/>
      <c r="AO1736" s="63" t="str">
        <f>IFERROR(__xludf.DUMMYFUNCTION("IF(ISBLANK(A1736),,IF(ISBLANK(S1736), A1736&amp;"";"", TEXTJOIN(CHAR(10), TRUE, A1736&amp;"";"", ARRAYFORMULA(VLOOKUP(SPLIT(S1736, "";"" &amp; CHAR(10)), $A:$AO, 41, FALSE)))))"),"CA1C;
CA1Cslm;
CA1Csmo;
CA1Csla;
CA1Csr;
CA1Csp;
CA1Cso;")</f>
        <v>CA1C;
CA1Cslm;
CA1Csmo;
CA1Csla;
CA1Csr;
CA1Csp;
CA1Cso;</v>
      </c>
      <c r="AP1736" s="89"/>
    </row>
    <row r="1737">
      <c r="A1737" s="151" t="str">
        <f>IFERROR(__xludf.DUMMYFUNCTION("""COMPUTED_VALUE"""),"CA1Cslm")</f>
        <v>CA1Cslm</v>
      </c>
      <c r="B1737" s="42" t="str">
        <f>IFERROR(__xludf.DUMMYFUNCTION("""COMPUTED_VALUE"""),"DHBA")</f>
        <v>DHBA</v>
      </c>
      <c r="C1737" s="42" t="str">
        <f>IFERROR(__xludf.DUMMYFUNCTION("""COMPUTED_VALUE"""),"stratum lacunosum-moleculare of caudal CA1")</f>
        <v>stratum lacunosum-moleculare of caudal CA1</v>
      </c>
      <c r="D1737" s="42">
        <f>IFERROR(__xludf.DUMMYFUNCTION("""COMPUTED_VALUE"""),1635.0)</f>
        <v>1635</v>
      </c>
      <c r="E1737" s="39" t="str">
        <f>IFERROR(__xludf.DUMMYFUNCTION("""COMPUTED_VALUE"""),"stratum lacunosum-moleculare of caudal CA1")</f>
        <v>stratum lacunosum-moleculare of caudal CA1</v>
      </c>
      <c r="F1737" s="9" t="str">
        <f>IFERROR(__xludf.DUMMYFUNCTION("""COMPUTED_VALUE"""),"Br")</f>
        <v>Br</v>
      </c>
      <c r="G1737" s="9" t="str">
        <f>IFERROR(__xludf.DUMMYFUNCTION("""COMPUTED_VALUE"""),"F")</f>
        <v>F</v>
      </c>
      <c r="H1737" s="9" t="str">
        <f>IFERROR(__xludf.DUMMYFUNCTION("""COMPUTED_VALUE"""),"FGM")</f>
        <v>FGM</v>
      </c>
      <c r="I1737" s="9" t="str">
        <f>IFERROR(__xludf.DUMMYFUNCTION("""COMPUTED_VALUE"""),"Tel")</f>
        <v>Tel</v>
      </c>
      <c r="J1737" s="9" t="str">
        <f>IFERROR(__xludf.DUMMYFUNCTION("""COMPUTED_VALUE"""),"Cx")</f>
        <v>Cx</v>
      </c>
      <c r="K1737" s="9" t="str">
        <f>IFERROR(__xludf.DUMMYFUNCTION("""COMPUTED_VALUE"""),"ACx")</f>
        <v>ACx</v>
      </c>
      <c r="L1737" s="9" t="str">
        <f>IFERROR(__xludf.DUMMYFUNCTION("""COMPUTED_VALUE"""),"ArCx")</f>
        <v>ArCx</v>
      </c>
      <c r="M1737" s="9" t="str">
        <f>IFERROR(__xludf.DUMMYFUNCTION("""COMPUTED_VALUE"""),"HIP")</f>
        <v>HIP</v>
      </c>
      <c r="N1737" s="9" t="str">
        <f>IFERROR(__xludf.DUMMYFUNCTION("""COMPUTED_VALUE"""),"Hipp")</f>
        <v>Hipp</v>
      </c>
      <c r="O1737" s="9" t="str">
        <f>IFERROR(__xludf.DUMMYFUNCTION("""COMPUTED_VALUE"""),"CA1")</f>
        <v>CA1</v>
      </c>
      <c r="P1737" s="9" t="str">
        <f>IFERROR(__xludf.DUMMYFUNCTION("""COMPUTED_VALUE"""),"CA1C")</f>
        <v>CA1C</v>
      </c>
      <c r="Q1737" s="9" t="str">
        <f>IFERROR(__xludf.DUMMYFUNCTION("""COMPUTED_VALUE"""),"CA1Cslm")</f>
        <v>CA1Cslm</v>
      </c>
      <c r="R1737" s="9"/>
      <c r="S1737" s="42" t="str">
        <f>IFERROR(__xludf.DUMMYFUNCTION("""COMPUTED_VALUE"""),"CA1Csmo;
CA1Csla")</f>
        <v>CA1Csmo;
CA1Csla</v>
      </c>
      <c r="T1737" s="42"/>
      <c r="U1737" s="159" t="b">
        <f>IFERROR(__xludf.DUMMYFUNCTION("""COMPUTED_VALUE"""),FALSE)</f>
        <v>0</v>
      </c>
      <c r="V1737" s="42"/>
      <c r="W1737" s="42"/>
      <c r="X1737" s="42"/>
      <c r="Y1737" s="42"/>
      <c r="Z1737" s="42"/>
      <c r="AA1737" s="42"/>
      <c r="AB1737" s="42" t="str">
        <f>IFERROR(__xludf.DUMMYFUNCTION("""COMPUTED_VALUE"""),"allen institute")</f>
        <v>allen institute</v>
      </c>
      <c r="AC1737" s="42" t="str">
        <f>IFERROR(__xludf.DUMMYFUNCTION("""COMPUTED_VALUE"""),"DHBA")</f>
        <v>DHBA</v>
      </c>
      <c r="AD1737" s="42"/>
      <c r="AE1737" s="42"/>
      <c r="AF1737" s="9"/>
      <c r="AG1737" s="9"/>
      <c r="AH1737" s="42"/>
      <c r="AI1737" s="42"/>
      <c r="AJ1737" s="42"/>
      <c r="AK1737" s="42"/>
      <c r="AL1737" s="42"/>
      <c r="AM1737" s="42"/>
      <c r="AN1737" s="42"/>
      <c r="AO1737" s="63" t="str">
        <f>IFERROR(__xludf.DUMMYFUNCTION("IF(ISBLANK(A1737),,IF(ISBLANK(S1737), A1737&amp;"";"", TEXTJOIN(CHAR(10), TRUE, A1737&amp;"";"", ARRAYFORMULA(VLOOKUP(SPLIT(S1737, "";"" &amp; CHAR(10)), $A:$AO, 41, FALSE)))))"),"CA1Cslm;
CA1Csmo;
CA1Csla;")</f>
        <v>CA1Cslm;
CA1Csmo;
CA1Csla;</v>
      </c>
      <c r="AP1737" s="89"/>
    </row>
    <row r="1738">
      <c r="A1738" s="151" t="str">
        <f>IFERROR(__xludf.DUMMYFUNCTION("""COMPUTED_VALUE"""),"CA1Csmo")</f>
        <v>CA1Csmo</v>
      </c>
      <c r="B1738" s="42" t="str">
        <f>IFERROR(__xludf.DUMMYFUNCTION("""COMPUTED_VALUE"""),"DHBA")</f>
        <v>DHBA</v>
      </c>
      <c r="C1738" s="42" t="str">
        <f>IFERROR(__xludf.DUMMYFUNCTION("""COMPUTED_VALUE"""),"stratum moleculare of caudal CA1")</f>
        <v>stratum moleculare of caudal CA1</v>
      </c>
      <c r="D1738" s="42">
        <f>IFERROR(__xludf.DUMMYFUNCTION("""COMPUTED_VALUE"""),1636.0)</f>
        <v>1636</v>
      </c>
      <c r="E1738" s="39" t="str">
        <f>IFERROR(__xludf.DUMMYFUNCTION("""COMPUTED_VALUE"""),"stratum moleculare of caudal CA1")</f>
        <v>stratum moleculare of caudal CA1</v>
      </c>
      <c r="F1738" s="9" t="str">
        <f>IFERROR(__xludf.DUMMYFUNCTION("""COMPUTED_VALUE"""),"Br")</f>
        <v>Br</v>
      </c>
      <c r="G1738" s="9" t="str">
        <f>IFERROR(__xludf.DUMMYFUNCTION("""COMPUTED_VALUE"""),"F")</f>
        <v>F</v>
      </c>
      <c r="H1738" s="9" t="str">
        <f>IFERROR(__xludf.DUMMYFUNCTION("""COMPUTED_VALUE"""),"FGM")</f>
        <v>FGM</v>
      </c>
      <c r="I1738" s="9" t="str">
        <f>IFERROR(__xludf.DUMMYFUNCTION("""COMPUTED_VALUE"""),"Tel")</f>
        <v>Tel</v>
      </c>
      <c r="J1738" s="9" t="str">
        <f>IFERROR(__xludf.DUMMYFUNCTION("""COMPUTED_VALUE"""),"Cx")</f>
        <v>Cx</v>
      </c>
      <c r="K1738" s="9" t="str">
        <f>IFERROR(__xludf.DUMMYFUNCTION("""COMPUTED_VALUE"""),"ACx")</f>
        <v>ACx</v>
      </c>
      <c r="L1738" s="9" t="str">
        <f>IFERROR(__xludf.DUMMYFUNCTION("""COMPUTED_VALUE"""),"ArCx")</f>
        <v>ArCx</v>
      </c>
      <c r="M1738" s="9" t="str">
        <f>IFERROR(__xludf.DUMMYFUNCTION("""COMPUTED_VALUE"""),"HIP")</f>
        <v>HIP</v>
      </c>
      <c r="N1738" s="9" t="str">
        <f>IFERROR(__xludf.DUMMYFUNCTION("""COMPUTED_VALUE"""),"Hipp")</f>
        <v>Hipp</v>
      </c>
      <c r="O1738" s="9" t="str">
        <f>IFERROR(__xludf.DUMMYFUNCTION("""COMPUTED_VALUE"""),"CA1")</f>
        <v>CA1</v>
      </c>
      <c r="P1738" s="9" t="str">
        <f>IFERROR(__xludf.DUMMYFUNCTION("""COMPUTED_VALUE"""),"CA1C")</f>
        <v>CA1C</v>
      </c>
      <c r="Q1738" s="9" t="str">
        <f>IFERROR(__xludf.DUMMYFUNCTION("""COMPUTED_VALUE"""),"CA1Cslm")</f>
        <v>CA1Cslm</v>
      </c>
      <c r="R1738" s="9" t="str">
        <f>IFERROR(__xludf.DUMMYFUNCTION("""COMPUTED_VALUE"""),"CA1Csmo")</f>
        <v>CA1Csmo</v>
      </c>
      <c r="S1738" s="42"/>
      <c r="T1738" s="42"/>
      <c r="U1738" s="159"/>
      <c r="V1738" s="42"/>
      <c r="W1738" s="42"/>
      <c r="X1738" s="42"/>
      <c r="Y1738" s="42"/>
      <c r="Z1738" s="42"/>
      <c r="AA1738" s="42"/>
      <c r="AB1738" s="42" t="str">
        <f>IFERROR(__xludf.DUMMYFUNCTION("""COMPUTED_VALUE"""),"allen institute")</f>
        <v>allen institute</v>
      </c>
      <c r="AC1738" s="42" t="str">
        <f>IFERROR(__xludf.DUMMYFUNCTION("""COMPUTED_VALUE"""),"DHBA")</f>
        <v>DHBA</v>
      </c>
      <c r="AD1738" s="42"/>
      <c r="AE1738" s="42"/>
      <c r="AF1738" s="9"/>
      <c r="AG1738" s="9"/>
      <c r="AH1738" s="42"/>
      <c r="AI1738" s="42"/>
      <c r="AJ1738" s="42"/>
      <c r="AK1738" s="42"/>
      <c r="AL1738" s="42"/>
      <c r="AM1738" s="42"/>
      <c r="AN1738" s="42"/>
      <c r="AO1738" s="63" t="str">
        <f>IFERROR(__xludf.DUMMYFUNCTION("IF(ISBLANK(A1738),,IF(ISBLANK(S1738), A1738&amp;"";"", TEXTJOIN(CHAR(10), TRUE, A1738&amp;"";"", ARRAYFORMULA(VLOOKUP(SPLIT(S1738, "";"" &amp; CHAR(10)), $A:$AO, 41, FALSE)))))"),"CA1Csmo;")</f>
        <v>CA1Csmo;</v>
      </c>
      <c r="AP1738" s="89"/>
    </row>
    <row r="1739">
      <c r="A1739" s="151" t="str">
        <f>IFERROR(__xludf.DUMMYFUNCTION("""COMPUTED_VALUE"""),"CA1Csla")</f>
        <v>CA1Csla</v>
      </c>
      <c r="B1739" s="42" t="str">
        <f>IFERROR(__xludf.DUMMYFUNCTION("""COMPUTED_VALUE"""),"DHBA")</f>
        <v>DHBA</v>
      </c>
      <c r="C1739" s="42" t="str">
        <f>IFERROR(__xludf.DUMMYFUNCTION("""COMPUTED_VALUE"""),"stratum lacunosum of caudal CA1")</f>
        <v>stratum lacunosum of caudal CA1</v>
      </c>
      <c r="D1739" s="42">
        <f>IFERROR(__xludf.DUMMYFUNCTION("""COMPUTED_VALUE"""),1637.0)</f>
        <v>1637</v>
      </c>
      <c r="E1739" s="39" t="str">
        <f>IFERROR(__xludf.DUMMYFUNCTION("""COMPUTED_VALUE"""),"stratum lacunosum of caudal CA1")</f>
        <v>stratum lacunosum of caudal CA1</v>
      </c>
      <c r="F1739" s="9" t="str">
        <f>IFERROR(__xludf.DUMMYFUNCTION("""COMPUTED_VALUE"""),"Br")</f>
        <v>Br</v>
      </c>
      <c r="G1739" s="9" t="str">
        <f>IFERROR(__xludf.DUMMYFUNCTION("""COMPUTED_VALUE"""),"F")</f>
        <v>F</v>
      </c>
      <c r="H1739" s="9" t="str">
        <f>IFERROR(__xludf.DUMMYFUNCTION("""COMPUTED_VALUE"""),"FGM")</f>
        <v>FGM</v>
      </c>
      <c r="I1739" s="9" t="str">
        <f>IFERROR(__xludf.DUMMYFUNCTION("""COMPUTED_VALUE"""),"Tel")</f>
        <v>Tel</v>
      </c>
      <c r="J1739" s="9" t="str">
        <f>IFERROR(__xludf.DUMMYFUNCTION("""COMPUTED_VALUE"""),"Cx")</f>
        <v>Cx</v>
      </c>
      <c r="K1739" s="9" t="str">
        <f>IFERROR(__xludf.DUMMYFUNCTION("""COMPUTED_VALUE"""),"ACx")</f>
        <v>ACx</v>
      </c>
      <c r="L1739" s="9" t="str">
        <f>IFERROR(__xludf.DUMMYFUNCTION("""COMPUTED_VALUE"""),"ArCx")</f>
        <v>ArCx</v>
      </c>
      <c r="M1739" s="9" t="str">
        <f>IFERROR(__xludf.DUMMYFUNCTION("""COMPUTED_VALUE"""),"HIP")</f>
        <v>HIP</v>
      </c>
      <c r="N1739" s="9" t="str">
        <f>IFERROR(__xludf.DUMMYFUNCTION("""COMPUTED_VALUE"""),"Hipp")</f>
        <v>Hipp</v>
      </c>
      <c r="O1739" s="9" t="str">
        <f>IFERROR(__xludf.DUMMYFUNCTION("""COMPUTED_VALUE"""),"CA1")</f>
        <v>CA1</v>
      </c>
      <c r="P1739" s="9" t="str">
        <f>IFERROR(__xludf.DUMMYFUNCTION("""COMPUTED_VALUE"""),"CA1C")</f>
        <v>CA1C</v>
      </c>
      <c r="Q1739" s="9" t="str">
        <f>IFERROR(__xludf.DUMMYFUNCTION("""COMPUTED_VALUE"""),"CA1Cslm")</f>
        <v>CA1Cslm</v>
      </c>
      <c r="R1739" s="9" t="str">
        <f>IFERROR(__xludf.DUMMYFUNCTION("""COMPUTED_VALUE"""),"CA1Csla")</f>
        <v>CA1Csla</v>
      </c>
      <c r="S1739" s="42"/>
      <c r="T1739" s="42"/>
      <c r="U1739" s="159"/>
      <c r="V1739" s="42"/>
      <c r="W1739" s="42"/>
      <c r="X1739" s="42"/>
      <c r="Y1739" s="42"/>
      <c r="Z1739" s="42"/>
      <c r="AA1739" s="42"/>
      <c r="AB1739" s="42" t="str">
        <f>IFERROR(__xludf.DUMMYFUNCTION("""COMPUTED_VALUE"""),"allen institute")</f>
        <v>allen institute</v>
      </c>
      <c r="AC1739" s="42" t="str">
        <f>IFERROR(__xludf.DUMMYFUNCTION("""COMPUTED_VALUE"""),"DHBA")</f>
        <v>DHBA</v>
      </c>
      <c r="AD1739" s="42"/>
      <c r="AE1739" s="42"/>
      <c r="AF1739" s="9"/>
      <c r="AG1739" s="9"/>
      <c r="AH1739" s="42"/>
      <c r="AI1739" s="42"/>
      <c r="AJ1739" s="42"/>
      <c r="AK1739" s="42"/>
      <c r="AL1739" s="42"/>
      <c r="AM1739" s="42"/>
      <c r="AN1739" s="42"/>
      <c r="AO1739" s="63" t="str">
        <f>IFERROR(__xludf.DUMMYFUNCTION("IF(ISBLANK(A1739),,IF(ISBLANK(S1739), A1739&amp;"";"", TEXTJOIN(CHAR(10), TRUE, A1739&amp;"";"", ARRAYFORMULA(VLOOKUP(SPLIT(S1739, "";"" &amp; CHAR(10)), $A:$AO, 41, FALSE)))))"),"CA1Csla;")</f>
        <v>CA1Csla;</v>
      </c>
      <c r="AP1739" s="89"/>
    </row>
    <row r="1740">
      <c r="A1740" s="151" t="str">
        <f>IFERROR(__xludf.DUMMYFUNCTION("""COMPUTED_VALUE"""),"CA1Csr")</f>
        <v>CA1Csr</v>
      </c>
      <c r="B1740" s="42" t="str">
        <f>IFERROR(__xludf.DUMMYFUNCTION("""COMPUTED_VALUE"""),"DHBA")</f>
        <v>DHBA</v>
      </c>
      <c r="C1740" s="42" t="str">
        <f>IFERROR(__xludf.DUMMYFUNCTION("""COMPUTED_VALUE"""),"stratum radiatum of caudal CA1")</f>
        <v>stratum radiatum of caudal CA1</v>
      </c>
      <c r="D1740" s="42">
        <f>IFERROR(__xludf.DUMMYFUNCTION("""COMPUTED_VALUE"""),1638.0)</f>
        <v>1638</v>
      </c>
      <c r="E1740" s="39" t="str">
        <f>IFERROR(__xludf.DUMMYFUNCTION("""COMPUTED_VALUE"""),"stratum radiatum of caudal CA1")</f>
        <v>stratum radiatum of caudal CA1</v>
      </c>
      <c r="F1740" s="9" t="str">
        <f>IFERROR(__xludf.DUMMYFUNCTION("""COMPUTED_VALUE"""),"Br")</f>
        <v>Br</v>
      </c>
      <c r="G1740" s="9" t="str">
        <f>IFERROR(__xludf.DUMMYFUNCTION("""COMPUTED_VALUE"""),"F")</f>
        <v>F</v>
      </c>
      <c r="H1740" s="9" t="str">
        <f>IFERROR(__xludf.DUMMYFUNCTION("""COMPUTED_VALUE"""),"FGM")</f>
        <v>FGM</v>
      </c>
      <c r="I1740" s="9" t="str">
        <f>IFERROR(__xludf.DUMMYFUNCTION("""COMPUTED_VALUE"""),"Tel")</f>
        <v>Tel</v>
      </c>
      <c r="J1740" s="9" t="str">
        <f>IFERROR(__xludf.DUMMYFUNCTION("""COMPUTED_VALUE"""),"Cx")</f>
        <v>Cx</v>
      </c>
      <c r="K1740" s="9" t="str">
        <f>IFERROR(__xludf.DUMMYFUNCTION("""COMPUTED_VALUE"""),"ACx")</f>
        <v>ACx</v>
      </c>
      <c r="L1740" s="9" t="str">
        <f>IFERROR(__xludf.DUMMYFUNCTION("""COMPUTED_VALUE"""),"ArCx")</f>
        <v>ArCx</v>
      </c>
      <c r="M1740" s="9" t="str">
        <f>IFERROR(__xludf.DUMMYFUNCTION("""COMPUTED_VALUE"""),"HIP")</f>
        <v>HIP</v>
      </c>
      <c r="N1740" s="9" t="str">
        <f>IFERROR(__xludf.DUMMYFUNCTION("""COMPUTED_VALUE"""),"Hipp")</f>
        <v>Hipp</v>
      </c>
      <c r="O1740" s="9" t="str">
        <f>IFERROR(__xludf.DUMMYFUNCTION("""COMPUTED_VALUE"""),"CA1")</f>
        <v>CA1</v>
      </c>
      <c r="P1740" s="9" t="str">
        <f>IFERROR(__xludf.DUMMYFUNCTION("""COMPUTED_VALUE"""),"CA1C")</f>
        <v>CA1C</v>
      </c>
      <c r="Q1740" s="9" t="str">
        <f>IFERROR(__xludf.DUMMYFUNCTION("""COMPUTED_VALUE"""),"CA1Csr")</f>
        <v>CA1Csr</v>
      </c>
      <c r="R1740" s="9"/>
      <c r="S1740" s="42"/>
      <c r="T1740" s="42"/>
      <c r="U1740" s="159"/>
      <c r="V1740" s="42"/>
      <c r="W1740" s="42"/>
      <c r="X1740" s="42"/>
      <c r="Y1740" s="42"/>
      <c r="Z1740" s="42"/>
      <c r="AA1740" s="42"/>
      <c r="AB1740" s="42" t="str">
        <f>IFERROR(__xludf.DUMMYFUNCTION("""COMPUTED_VALUE"""),"allen institute")</f>
        <v>allen institute</v>
      </c>
      <c r="AC1740" s="42" t="str">
        <f>IFERROR(__xludf.DUMMYFUNCTION("""COMPUTED_VALUE"""),"DHBA")</f>
        <v>DHBA</v>
      </c>
      <c r="AD1740" s="42"/>
      <c r="AE1740" s="42"/>
      <c r="AF1740" s="9"/>
      <c r="AG1740" s="9"/>
      <c r="AH1740" s="42"/>
      <c r="AI1740" s="42"/>
      <c r="AJ1740" s="42"/>
      <c r="AK1740" s="42"/>
      <c r="AL1740" s="42"/>
      <c r="AM1740" s="42"/>
      <c r="AN1740" s="42"/>
      <c r="AO1740" s="63" t="str">
        <f>IFERROR(__xludf.DUMMYFUNCTION("IF(ISBLANK(A1740),,IF(ISBLANK(S1740), A1740&amp;"";"", TEXTJOIN(CHAR(10), TRUE, A1740&amp;"";"", ARRAYFORMULA(VLOOKUP(SPLIT(S1740, "";"" &amp; CHAR(10)), $A:$AO, 41, FALSE)))))"),"CA1Csr;")</f>
        <v>CA1Csr;</v>
      </c>
      <c r="AP1740" s="89"/>
    </row>
    <row r="1741">
      <c r="A1741" s="151" t="str">
        <f>IFERROR(__xludf.DUMMYFUNCTION("""COMPUTED_VALUE"""),"CA1Csp")</f>
        <v>CA1Csp</v>
      </c>
      <c r="B1741" s="42" t="str">
        <f>IFERROR(__xludf.DUMMYFUNCTION("""COMPUTED_VALUE"""),"DHBA")</f>
        <v>DHBA</v>
      </c>
      <c r="C1741" s="42" t="str">
        <f>IFERROR(__xludf.DUMMYFUNCTION("""COMPUTED_VALUE"""),"stratum pyramidale of caudal CA1")</f>
        <v>stratum pyramidale of caudal CA1</v>
      </c>
      <c r="D1741" s="42">
        <f>IFERROR(__xludf.DUMMYFUNCTION("""COMPUTED_VALUE"""),1639.0)</f>
        <v>1639</v>
      </c>
      <c r="E1741" s="39" t="str">
        <f>IFERROR(__xludf.DUMMYFUNCTION("""COMPUTED_VALUE"""),"stratum pyramidale of caudal CA1")</f>
        <v>stratum pyramidale of caudal CA1</v>
      </c>
      <c r="F1741" s="9" t="str">
        <f>IFERROR(__xludf.DUMMYFUNCTION("""COMPUTED_VALUE"""),"Br")</f>
        <v>Br</v>
      </c>
      <c r="G1741" s="9" t="str">
        <f>IFERROR(__xludf.DUMMYFUNCTION("""COMPUTED_VALUE"""),"F")</f>
        <v>F</v>
      </c>
      <c r="H1741" s="9" t="str">
        <f>IFERROR(__xludf.DUMMYFUNCTION("""COMPUTED_VALUE"""),"FGM")</f>
        <v>FGM</v>
      </c>
      <c r="I1741" s="9" t="str">
        <f>IFERROR(__xludf.DUMMYFUNCTION("""COMPUTED_VALUE"""),"Tel")</f>
        <v>Tel</v>
      </c>
      <c r="J1741" s="9" t="str">
        <f>IFERROR(__xludf.DUMMYFUNCTION("""COMPUTED_VALUE"""),"Cx")</f>
        <v>Cx</v>
      </c>
      <c r="K1741" s="9" t="str">
        <f>IFERROR(__xludf.DUMMYFUNCTION("""COMPUTED_VALUE"""),"ACx")</f>
        <v>ACx</v>
      </c>
      <c r="L1741" s="9" t="str">
        <f>IFERROR(__xludf.DUMMYFUNCTION("""COMPUTED_VALUE"""),"ArCx")</f>
        <v>ArCx</v>
      </c>
      <c r="M1741" s="9" t="str">
        <f>IFERROR(__xludf.DUMMYFUNCTION("""COMPUTED_VALUE"""),"HIP")</f>
        <v>HIP</v>
      </c>
      <c r="N1741" s="9" t="str">
        <f>IFERROR(__xludf.DUMMYFUNCTION("""COMPUTED_VALUE"""),"Hipp")</f>
        <v>Hipp</v>
      </c>
      <c r="O1741" s="9" t="str">
        <f>IFERROR(__xludf.DUMMYFUNCTION("""COMPUTED_VALUE"""),"CA1")</f>
        <v>CA1</v>
      </c>
      <c r="P1741" s="9" t="str">
        <f>IFERROR(__xludf.DUMMYFUNCTION("""COMPUTED_VALUE"""),"CA1C")</f>
        <v>CA1C</v>
      </c>
      <c r="Q1741" s="9" t="str">
        <f>IFERROR(__xludf.DUMMYFUNCTION("""COMPUTED_VALUE"""),"CA1Csp")</f>
        <v>CA1Csp</v>
      </c>
      <c r="R1741" s="9"/>
      <c r="S1741" s="42"/>
      <c r="T1741" s="42"/>
      <c r="U1741" s="159"/>
      <c r="V1741" s="42"/>
      <c r="W1741" s="42"/>
      <c r="X1741" s="42"/>
      <c r="Y1741" s="42"/>
      <c r="Z1741" s="42"/>
      <c r="AA1741" s="42"/>
      <c r="AB1741" s="42" t="str">
        <f>IFERROR(__xludf.DUMMYFUNCTION("""COMPUTED_VALUE"""),"allen institute")</f>
        <v>allen institute</v>
      </c>
      <c r="AC1741" s="42" t="str">
        <f>IFERROR(__xludf.DUMMYFUNCTION("""COMPUTED_VALUE"""),"DHBA")</f>
        <v>DHBA</v>
      </c>
      <c r="AD1741" s="42"/>
      <c r="AE1741" s="42"/>
      <c r="AF1741" s="9"/>
      <c r="AG1741" s="9"/>
      <c r="AH1741" s="42"/>
      <c r="AI1741" s="42"/>
      <c r="AJ1741" s="42"/>
      <c r="AK1741" s="42"/>
      <c r="AL1741" s="42"/>
      <c r="AM1741" s="42"/>
      <c r="AN1741" s="42"/>
      <c r="AO1741" s="63" t="str">
        <f>IFERROR(__xludf.DUMMYFUNCTION("IF(ISBLANK(A1741),,IF(ISBLANK(S1741), A1741&amp;"";"", TEXTJOIN(CHAR(10), TRUE, A1741&amp;"";"", ARRAYFORMULA(VLOOKUP(SPLIT(S1741, "";"" &amp; CHAR(10)), $A:$AO, 41, FALSE)))))"),"CA1Csp;")</f>
        <v>CA1Csp;</v>
      </c>
      <c r="AP1741" s="89"/>
    </row>
    <row r="1742">
      <c r="A1742" s="151" t="str">
        <f>IFERROR(__xludf.DUMMYFUNCTION("""COMPUTED_VALUE"""),"CA1Cso")</f>
        <v>CA1Cso</v>
      </c>
      <c r="B1742" s="42" t="str">
        <f>IFERROR(__xludf.DUMMYFUNCTION("""COMPUTED_VALUE"""),"DHBA")</f>
        <v>DHBA</v>
      </c>
      <c r="C1742" s="42" t="str">
        <f>IFERROR(__xludf.DUMMYFUNCTION("""COMPUTED_VALUE"""),"stratum oriens of caudal CA1")</f>
        <v>stratum oriens of caudal CA1</v>
      </c>
      <c r="D1742" s="42">
        <f>IFERROR(__xludf.DUMMYFUNCTION("""COMPUTED_VALUE"""),1640.0)</f>
        <v>1640</v>
      </c>
      <c r="E1742" s="39" t="str">
        <f>IFERROR(__xludf.DUMMYFUNCTION("""COMPUTED_VALUE"""),"stratum oriens of caudal CA1")</f>
        <v>stratum oriens of caudal CA1</v>
      </c>
      <c r="F1742" s="9" t="str">
        <f>IFERROR(__xludf.DUMMYFUNCTION("""COMPUTED_VALUE"""),"Br")</f>
        <v>Br</v>
      </c>
      <c r="G1742" s="9" t="str">
        <f>IFERROR(__xludf.DUMMYFUNCTION("""COMPUTED_VALUE"""),"F")</f>
        <v>F</v>
      </c>
      <c r="H1742" s="9" t="str">
        <f>IFERROR(__xludf.DUMMYFUNCTION("""COMPUTED_VALUE"""),"FGM")</f>
        <v>FGM</v>
      </c>
      <c r="I1742" s="9" t="str">
        <f>IFERROR(__xludf.DUMMYFUNCTION("""COMPUTED_VALUE"""),"Tel")</f>
        <v>Tel</v>
      </c>
      <c r="J1742" s="9" t="str">
        <f>IFERROR(__xludf.DUMMYFUNCTION("""COMPUTED_VALUE"""),"Cx")</f>
        <v>Cx</v>
      </c>
      <c r="K1742" s="9" t="str">
        <f>IFERROR(__xludf.DUMMYFUNCTION("""COMPUTED_VALUE"""),"ACx")</f>
        <v>ACx</v>
      </c>
      <c r="L1742" s="9" t="str">
        <f>IFERROR(__xludf.DUMMYFUNCTION("""COMPUTED_VALUE"""),"ArCx")</f>
        <v>ArCx</v>
      </c>
      <c r="M1742" s="9" t="str">
        <f>IFERROR(__xludf.DUMMYFUNCTION("""COMPUTED_VALUE"""),"HIP")</f>
        <v>HIP</v>
      </c>
      <c r="N1742" s="9" t="str">
        <f>IFERROR(__xludf.DUMMYFUNCTION("""COMPUTED_VALUE"""),"Hipp")</f>
        <v>Hipp</v>
      </c>
      <c r="O1742" s="9" t="str">
        <f>IFERROR(__xludf.DUMMYFUNCTION("""COMPUTED_VALUE"""),"CA1")</f>
        <v>CA1</v>
      </c>
      <c r="P1742" s="9" t="str">
        <f>IFERROR(__xludf.DUMMYFUNCTION("""COMPUTED_VALUE"""),"CA1C")</f>
        <v>CA1C</v>
      </c>
      <c r="Q1742" s="9" t="str">
        <f>IFERROR(__xludf.DUMMYFUNCTION("""COMPUTED_VALUE"""),"CA1Cso")</f>
        <v>CA1Cso</v>
      </c>
      <c r="R1742" s="9"/>
      <c r="S1742" s="42"/>
      <c r="T1742" s="42"/>
      <c r="U1742" s="42"/>
      <c r="V1742" s="42"/>
      <c r="W1742" s="42"/>
      <c r="X1742" s="42"/>
      <c r="Y1742" s="42"/>
      <c r="Z1742" s="42"/>
      <c r="AA1742" s="42"/>
      <c r="AB1742" s="42" t="str">
        <f>IFERROR(__xludf.DUMMYFUNCTION("""COMPUTED_VALUE"""),"allen institute")</f>
        <v>allen institute</v>
      </c>
      <c r="AC1742" s="42" t="str">
        <f>IFERROR(__xludf.DUMMYFUNCTION("""COMPUTED_VALUE"""),"DHBA")</f>
        <v>DHBA</v>
      </c>
      <c r="AD1742" s="42"/>
      <c r="AE1742" s="42"/>
      <c r="AF1742" s="9"/>
      <c r="AG1742" s="9"/>
      <c r="AH1742" s="42"/>
      <c r="AI1742" s="42"/>
      <c r="AJ1742" s="42"/>
      <c r="AK1742" s="42"/>
      <c r="AL1742" s="42"/>
      <c r="AM1742" s="42"/>
      <c r="AN1742" s="42"/>
      <c r="AO1742" s="63" t="str">
        <f>IFERROR(__xludf.DUMMYFUNCTION("IF(ISBLANK(A1742),,IF(ISBLANK(S1742), A1742&amp;"";"", TEXTJOIN(CHAR(10), TRUE, A1742&amp;"";"", ARRAYFORMULA(VLOOKUP(SPLIT(S1742, "";"" &amp; CHAR(10)), $A:$AO, 41, FALSE)))))"),"CA1Cso;")</f>
        <v>CA1Cso;</v>
      </c>
      <c r="AP1742" s="89"/>
    </row>
    <row r="1743">
      <c r="A1743" s="151" t="str">
        <f>IFERROR(__xludf.DUMMYFUNCTION("""COMPUTED_VALUE"""),"CA2")</f>
        <v>CA2</v>
      </c>
      <c r="B1743" s="42" t="str">
        <f>IFERROR(__xludf.DUMMYFUNCTION("""COMPUTED_VALUE"""),"DHBA")</f>
        <v>DHBA</v>
      </c>
      <c r="C1743" s="42" t="str">
        <f>IFERROR(__xludf.DUMMYFUNCTION("""COMPUTED_VALUE"""),"CA2 region of Hipp, CA2 field of the hippocampus")</f>
        <v>CA2 region of Hipp, CA2 field of the hippocampus</v>
      </c>
      <c r="D1743" s="42">
        <f>IFERROR(__xludf.DUMMYFUNCTION("""COMPUTED_VALUE"""),1641.0)</f>
        <v>1641</v>
      </c>
      <c r="E1743" s="39" t="str">
        <f>IFERROR(__xludf.DUMMYFUNCTION("""COMPUTED_VALUE"""),"CA2 region of Hipp")</f>
        <v>CA2 region of Hipp</v>
      </c>
      <c r="F1743" s="9" t="str">
        <f>IFERROR(__xludf.DUMMYFUNCTION("""COMPUTED_VALUE"""),"Br")</f>
        <v>Br</v>
      </c>
      <c r="G1743" s="9" t="str">
        <f>IFERROR(__xludf.DUMMYFUNCTION("""COMPUTED_VALUE"""),"F")</f>
        <v>F</v>
      </c>
      <c r="H1743" s="9" t="str">
        <f>IFERROR(__xludf.DUMMYFUNCTION("""COMPUTED_VALUE"""),"FGM")</f>
        <v>FGM</v>
      </c>
      <c r="I1743" s="9" t="str">
        <f>IFERROR(__xludf.DUMMYFUNCTION("""COMPUTED_VALUE"""),"Tel")</f>
        <v>Tel</v>
      </c>
      <c r="J1743" s="9" t="str">
        <f>IFERROR(__xludf.DUMMYFUNCTION("""COMPUTED_VALUE"""),"Cx")</f>
        <v>Cx</v>
      </c>
      <c r="K1743" s="9" t="str">
        <f>IFERROR(__xludf.DUMMYFUNCTION("""COMPUTED_VALUE"""),"ACx")</f>
        <v>ACx</v>
      </c>
      <c r="L1743" s="9" t="str">
        <f>IFERROR(__xludf.DUMMYFUNCTION("""COMPUTED_VALUE"""),"ArCx")</f>
        <v>ArCx</v>
      </c>
      <c r="M1743" s="9" t="str">
        <f>IFERROR(__xludf.DUMMYFUNCTION("""COMPUTED_VALUE"""),"HIP")</f>
        <v>HIP</v>
      </c>
      <c r="N1743" s="9" t="str">
        <f>IFERROR(__xludf.DUMMYFUNCTION("""COMPUTED_VALUE"""),"Hipp")</f>
        <v>Hipp</v>
      </c>
      <c r="O1743" s="9" t="str">
        <f>IFERROR(__xludf.DUMMYFUNCTION("""COMPUTED_VALUE"""),"CA2")</f>
        <v>CA2</v>
      </c>
      <c r="P1743" s="9"/>
      <c r="Q1743" s="9"/>
      <c r="R1743" s="9"/>
      <c r="S1743" s="42" t="str">
        <f>IFERROR(__xludf.DUMMYFUNCTION("""COMPUTED_VALUE"""),"CA2U;
CA2R;
CA2C")</f>
        <v>CA2U;
CA2R;
CA2C</v>
      </c>
      <c r="T1743" s="42"/>
      <c r="U1743" s="42" t="b">
        <f>IFERROR(__xludf.DUMMYFUNCTION("""COMPUTED_VALUE"""),FALSE)</f>
        <v>0</v>
      </c>
      <c r="V1743" s="42"/>
      <c r="W1743" s="42" t="str">
        <f>IFERROR(__xludf.DUMMYFUNCTION("""COMPUTED_VALUE"""),"Excitatory")</f>
        <v>Excitatory</v>
      </c>
      <c r="X1743" s="42"/>
      <c r="Y1743" s="42"/>
      <c r="Z1743" s="42"/>
      <c r="AA1743" s="42"/>
      <c r="AB1743" s="42" t="str">
        <f>IFERROR(__xludf.DUMMYFUNCTION("""COMPUTED_VALUE"""),"allen institute")</f>
        <v>allen institute</v>
      </c>
      <c r="AC1743" s="42" t="str">
        <f>IFERROR(__xludf.DUMMYFUNCTION("""COMPUTED_VALUE"""),"DHBA")</f>
        <v>DHBA</v>
      </c>
      <c r="AD1743" s="42"/>
      <c r="AE1743" s="42"/>
      <c r="AF1743" s="9"/>
      <c r="AG1743" s="9"/>
      <c r="AH1743" s="42"/>
      <c r="AI1743" s="42"/>
      <c r="AJ1743" s="42"/>
      <c r="AK1743" s="42"/>
      <c r="AL1743" s="42"/>
      <c r="AM1743" s="42"/>
      <c r="AN1743" s="42"/>
      <c r="AO1743" s="63" t="str">
        <f>IFERROR(__xludf.DUMMYFUNCTION("IF(ISBLANK(A1743),,IF(ISBLANK(S1743), A1743&amp;"";"", TEXTJOIN(CHAR(10), TRUE, A1743&amp;"";"", ARRAYFORMULA(VLOOKUP(SPLIT(S1743, "";"" &amp; CHAR(10)), $A:$AO, 41, FALSE)))))"),"CA2;
CA2U;
CA2Uslm;
CA2Usmo;
CA2Usla;
CA2Usr;
CA2Usp;
CA2Uso;
CA2R;
CA2Rslm;
CA2Rsmo;
CA2Rsla;
CA2Rsr;
CA2Rsp;
CA2Rso;
CA2C;
CA2Cslm;
CA2Csmo;
CA2Csla;
CA2Csr;
CA2Csp;
CA2Cso;")</f>
        <v>CA2;
CA2U;
CA2Uslm;
CA2Usmo;
CA2Usla;
CA2Usr;
CA2Usp;
CA2Uso;
CA2R;
CA2Rslm;
CA2Rsmo;
CA2Rsla;
CA2Rsr;
CA2Rsp;
CA2Rso;
CA2C;
CA2Cslm;
CA2Csmo;
CA2Csla;
CA2Csr;
CA2Csp;
CA2Cso;</v>
      </c>
      <c r="AP1743" s="89"/>
    </row>
    <row r="1744">
      <c r="A1744" s="151" t="str">
        <f>IFERROR(__xludf.DUMMYFUNCTION("""COMPUTED_VALUE"""),"CA2U")</f>
        <v>CA2U</v>
      </c>
      <c r="B1744" s="42" t="str">
        <f>IFERROR(__xludf.DUMMYFUNCTION("""COMPUTED_VALUE"""),"DHBA")</f>
        <v>DHBA</v>
      </c>
      <c r="C1744" s="42" t="str">
        <f>IFERROR(__xludf.DUMMYFUNCTION("""COMPUTED_VALUE"""),"uncal CA2")</f>
        <v>uncal CA2</v>
      </c>
      <c r="D1744" s="42">
        <f>IFERROR(__xludf.DUMMYFUNCTION("""COMPUTED_VALUE"""),1642.0)</f>
        <v>1642</v>
      </c>
      <c r="E1744" s="39" t="str">
        <f>IFERROR(__xludf.DUMMYFUNCTION("""COMPUTED_VALUE"""),"uncal CA2")</f>
        <v>uncal CA2</v>
      </c>
      <c r="F1744" s="9" t="str">
        <f>IFERROR(__xludf.DUMMYFUNCTION("""COMPUTED_VALUE"""),"Br")</f>
        <v>Br</v>
      </c>
      <c r="G1744" s="9" t="str">
        <f>IFERROR(__xludf.DUMMYFUNCTION("""COMPUTED_VALUE"""),"F")</f>
        <v>F</v>
      </c>
      <c r="H1744" s="9" t="str">
        <f>IFERROR(__xludf.DUMMYFUNCTION("""COMPUTED_VALUE"""),"FGM")</f>
        <v>FGM</v>
      </c>
      <c r="I1744" s="9" t="str">
        <f>IFERROR(__xludf.DUMMYFUNCTION("""COMPUTED_VALUE"""),"Tel")</f>
        <v>Tel</v>
      </c>
      <c r="J1744" s="9" t="str">
        <f>IFERROR(__xludf.DUMMYFUNCTION("""COMPUTED_VALUE"""),"Cx")</f>
        <v>Cx</v>
      </c>
      <c r="K1744" s="9" t="str">
        <f>IFERROR(__xludf.DUMMYFUNCTION("""COMPUTED_VALUE"""),"ACx")</f>
        <v>ACx</v>
      </c>
      <c r="L1744" s="9" t="str">
        <f>IFERROR(__xludf.DUMMYFUNCTION("""COMPUTED_VALUE"""),"ArCx")</f>
        <v>ArCx</v>
      </c>
      <c r="M1744" s="9" t="str">
        <f>IFERROR(__xludf.DUMMYFUNCTION("""COMPUTED_VALUE"""),"HIP")</f>
        <v>HIP</v>
      </c>
      <c r="N1744" s="9" t="str">
        <f>IFERROR(__xludf.DUMMYFUNCTION("""COMPUTED_VALUE"""),"Hipp")</f>
        <v>Hipp</v>
      </c>
      <c r="O1744" s="9" t="str">
        <f>IFERROR(__xludf.DUMMYFUNCTION("""COMPUTED_VALUE"""),"CA2")</f>
        <v>CA2</v>
      </c>
      <c r="P1744" s="9" t="str">
        <f>IFERROR(__xludf.DUMMYFUNCTION("""COMPUTED_VALUE"""),"CA2U")</f>
        <v>CA2U</v>
      </c>
      <c r="Q1744" s="9"/>
      <c r="R1744" s="9"/>
      <c r="S1744" s="42" t="str">
        <f>IFERROR(__xludf.DUMMYFUNCTION("""COMPUTED_VALUE"""),"CA2Uslm;
CA2Usr;
CA2Usp;
CA2Uso")</f>
        <v>CA2Uslm;
CA2Usr;
CA2Usp;
CA2Uso</v>
      </c>
      <c r="T1744" s="42"/>
      <c r="U1744" s="42" t="b">
        <f>IFERROR(__xludf.DUMMYFUNCTION("""COMPUTED_VALUE"""),FALSE)</f>
        <v>0</v>
      </c>
      <c r="V1744" s="42"/>
      <c r="W1744" s="42"/>
      <c r="X1744" s="42"/>
      <c r="Y1744" s="42"/>
      <c r="Z1744" s="42"/>
      <c r="AA1744" s="42"/>
      <c r="AB1744" s="42" t="str">
        <f>IFERROR(__xludf.DUMMYFUNCTION("""COMPUTED_VALUE"""),"allen institute")</f>
        <v>allen institute</v>
      </c>
      <c r="AC1744" s="42" t="str">
        <f>IFERROR(__xludf.DUMMYFUNCTION("""COMPUTED_VALUE"""),"DHBA")</f>
        <v>DHBA</v>
      </c>
      <c r="AD1744" s="42"/>
      <c r="AE1744" s="42"/>
      <c r="AF1744" s="9"/>
      <c r="AG1744" s="9"/>
      <c r="AH1744" s="42"/>
      <c r="AI1744" s="42"/>
      <c r="AJ1744" s="42"/>
      <c r="AK1744" s="42"/>
      <c r="AL1744" s="42"/>
      <c r="AM1744" s="42"/>
      <c r="AN1744" s="42"/>
      <c r="AO1744" s="63" t="str">
        <f>IFERROR(__xludf.DUMMYFUNCTION("IF(ISBLANK(A1744),,IF(ISBLANK(S1744), A1744&amp;"";"", TEXTJOIN(CHAR(10), TRUE, A1744&amp;"";"", ARRAYFORMULA(VLOOKUP(SPLIT(S1744, "";"" &amp; CHAR(10)), $A:$AO, 41, FALSE)))))"),"CA2U;
CA2Uslm;
CA2Usmo;
CA2Usla;
CA2Usr;
CA2Usp;
CA2Uso;")</f>
        <v>CA2U;
CA2Uslm;
CA2Usmo;
CA2Usla;
CA2Usr;
CA2Usp;
CA2Uso;</v>
      </c>
      <c r="AP1744" s="89"/>
    </row>
    <row r="1745">
      <c r="A1745" s="151" t="str">
        <f>IFERROR(__xludf.DUMMYFUNCTION("""COMPUTED_VALUE"""),"CA2Uslm")</f>
        <v>CA2Uslm</v>
      </c>
      <c r="B1745" s="42" t="str">
        <f>IFERROR(__xludf.DUMMYFUNCTION("""COMPUTED_VALUE"""),"DHBA")</f>
        <v>DHBA</v>
      </c>
      <c r="C1745" s="42" t="str">
        <f>IFERROR(__xludf.DUMMYFUNCTION("""COMPUTED_VALUE"""),"stratum lacunosum-moleculare of uncal CA2")</f>
        <v>stratum lacunosum-moleculare of uncal CA2</v>
      </c>
      <c r="D1745" s="42">
        <f>IFERROR(__xludf.DUMMYFUNCTION("""COMPUTED_VALUE"""),1643.0)</f>
        <v>1643</v>
      </c>
      <c r="E1745" s="39" t="str">
        <f>IFERROR(__xludf.DUMMYFUNCTION("""COMPUTED_VALUE"""),"stratum lacunosum-moleculare of uncal CA2")</f>
        <v>stratum lacunosum-moleculare of uncal CA2</v>
      </c>
      <c r="F1745" s="9" t="str">
        <f>IFERROR(__xludf.DUMMYFUNCTION("""COMPUTED_VALUE"""),"Br")</f>
        <v>Br</v>
      </c>
      <c r="G1745" s="9" t="str">
        <f>IFERROR(__xludf.DUMMYFUNCTION("""COMPUTED_VALUE"""),"F")</f>
        <v>F</v>
      </c>
      <c r="H1745" s="9" t="str">
        <f>IFERROR(__xludf.DUMMYFUNCTION("""COMPUTED_VALUE"""),"FGM")</f>
        <v>FGM</v>
      </c>
      <c r="I1745" s="9" t="str">
        <f>IFERROR(__xludf.DUMMYFUNCTION("""COMPUTED_VALUE"""),"Tel")</f>
        <v>Tel</v>
      </c>
      <c r="J1745" s="9" t="str">
        <f>IFERROR(__xludf.DUMMYFUNCTION("""COMPUTED_VALUE"""),"Cx")</f>
        <v>Cx</v>
      </c>
      <c r="K1745" s="9" t="str">
        <f>IFERROR(__xludf.DUMMYFUNCTION("""COMPUTED_VALUE"""),"ACx")</f>
        <v>ACx</v>
      </c>
      <c r="L1745" s="9" t="str">
        <f>IFERROR(__xludf.DUMMYFUNCTION("""COMPUTED_VALUE"""),"ArCx")</f>
        <v>ArCx</v>
      </c>
      <c r="M1745" s="9" t="str">
        <f>IFERROR(__xludf.DUMMYFUNCTION("""COMPUTED_VALUE"""),"HIP")</f>
        <v>HIP</v>
      </c>
      <c r="N1745" s="9" t="str">
        <f>IFERROR(__xludf.DUMMYFUNCTION("""COMPUTED_VALUE"""),"Hipp")</f>
        <v>Hipp</v>
      </c>
      <c r="O1745" s="9" t="str">
        <f>IFERROR(__xludf.DUMMYFUNCTION("""COMPUTED_VALUE"""),"CA2")</f>
        <v>CA2</v>
      </c>
      <c r="P1745" s="9" t="str">
        <f>IFERROR(__xludf.DUMMYFUNCTION("""COMPUTED_VALUE"""),"CA2U")</f>
        <v>CA2U</v>
      </c>
      <c r="Q1745" s="9" t="str">
        <f>IFERROR(__xludf.DUMMYFUNCTION("""COMPUTED_VALUE"""),"CA2Uslm")</f>
        <v>CA2Uslm</v>
      </c>
      <c r="R1745" s="9"/>
      <c r="S1745" s="42" t="str">
        <f>IFERROR(__xludf.DUMMYFUNCTION("""COMPUTED_VALUE"""),"CA2Usmo;
CA2Usla")</f>
        <v>CA2Usmo;
CA2Usla</v>
      </c>
      <c r="T1745" s="42"/>
      <c r="U1745" s="42" t="b">
        <f>IFERROR(__xludf.DUMMYFUNCTION("""COMPUTED_VALUE"""),FALSE)</f>
        <v>0</v>
      </c>
      <c r="V1745" s="42"/>
      <c r="W1745" s="42"/>
      <c r="X1745" s="42"/>
      <c r="Y1745" s="42"/>
      <c r="Z1745" s="42"/>
      <c r="AA1745" s="42"/>
      <c r="AB1745" s="42" t="str">
        <f>IFERROR(__xludf.DUMMYFUNCTION("""COMPUTED_VALUE"""),"allen institute")</f>
        <v>allen institute</v>
      </c>
      <c r="AC1745" s="42" t="str">
        <f>IFERROR(__xludf.DUMMYFUNCTION("""COMPUTED_VALUE"""),"DHBA")</f>
        <v>DHBA</v>
      </c>
      <c r="AD1745" s="42"/>
      <c r="AE1745" s="42"/>
      <c r="AF1745" s="9"/>
      <c r="AG1745" s="9"/>
      <c r="AH1745" s="42"/>
      <c r="AI1745" s="42"/>
      <c r="AJ1745" s="42"/>
      <c r="AK1745" s="42"/>
      <c r="AL1745" s="42"/>
      <c r="AM1745" s="42"/>
      <c r="AN1745" s="42"/>
      <c r="AO1745" s="63" t="str">
        <f>IFERROR(__xludf.DUMMYFUNCTION("IF(ISBLANK(A1745),,IF(ISBLANK(S1745), A1745&amp;"";"", TEXTJOIN(CHAR(10), TRUE, A1745&amp;"";"", ARRAYFORMULA(VLOOKUP(SPLIT(S1745, "";"" &amp; CHAR(10)), $A:$AO, 41, FALSE)))))"),"CA2Uslm;
CA2Usmo;
CA2Usla;")</f>
        <v>CA2Uslm;
CA2Usmo;
CA2Usla;</v>
      </c>
      <c r="AP1745" s="89"/>
    </row>
    <row r="1746">
      <c r="A1746" s="151" t="str">
        <f>IFERROR(__xludf.DUMMYFUNCTION("""COMPUTED_VALUE"""),"CA2Usmo")</f>
        <v>CA2Usmo</v>
      </c>
      <c r="B1746" s="42" t="str">
        <f>IFERROR(__xludf.DUMMYFUNCTION("""COMPUTED_VALUE"""),"DHBA")</f>
        <v>DHBA</v>
      </c>
      <c r="C1746" s="42" t="str">
        <f>IFERROR(__xludf.DUMMYFUNCTION("""COMPUTED_VALUE"""),"stratum moleculare of uncal CA2")</f>
        <v>stratum moleculare of uncal CA2</v>
      </c>
      <c r="D1746" s="42">
        <f>IFERROR(__xludf.DUMMYFUNCTION("""COMPUTED_VALUE"""),1644.0)</f>
        <v>1644</v>
      </c>
      <c r="E1746" s="39" t="str">
        <f>IFERROR(__xludf.DUMMYFUNCTION("""COMPUTED_VALUE"""),"stratum moleculare of uncal CA2")</f>
        <v>stratum moleculare of uncal CA2</v>
      </c>
      <c r="F1746" s="9" t="str">
        <f>IFERROR(__xludf.DUMMYFUNCTION("""COMPUTED_VALUE"""),"Br")</f>
        <v>Br</v>
      </c>
      <c r="G1746" s="9" t="str">
        <f>IFERROR(__xludf.DUMMYFUNCTION("""COMPUTED_VALUE"""),"F")</f>
        <v>F</v>
      </c>
      <c r="H1746" s="9" t="str">
        <f>IFERROR(__xludf.DUMMYFUNCTION("""COMPUTED_VALUE"""),"FGM")</f>
        <v>FGM</v>
      </c>
      <c r="I1746" s="9" t="str">
        <f>IFERROR(__xludf.DUMMYFUNCTION("""COMPUTED_VALUE"""),"Tel")</f>
        <v>Tel</v>
      </c>
      <c r="J1746" s="9" t="str">
        <f>IFERROR(__xludf.DUMMYFUNCTION("""COMPUTED_VALUE"""),"Cx")</f>
        <v>Cx</v>
      </c>
      <c r="K1746" s="9" t="str">
        <f>IFERROR(__xludf.DUMMYFUNCTION("""COMPUTED_VALUE"""),"ACx")</f>
        <v>ACx</v>
      </c>
      <c r="L1746" s="9" t="str">
        <f>IFERROR(__xludf.DUMMYFUNCTION("""COMPUTED_VALUE"""),"ArCx")</f>
        <v>ArCx</v>
      </c>
      <c r="M1746" s="9" t="str">
        <f>IFERROR(__xludf.DUMMYFUNCTION("""COMPUTED_VALUE"""),"HIP")</f>
        <v>HIP</v>
      </c>
      <c r="N1746" s="9" t="str">
        <f>IFERROR(__xludf.DUMMYFUNCTION("""COMPUTED_VALUE"""),"Hipp")</f>
        <v>Hipp</v>
      </c>
      <c r="O1746" s="9" t="str">
        <f>IFERROR(__xludf.DUMMYFUNCTION("""COMPUTED_VALUE"""),"CA2")</f>
        <v>CA2</v>
      </c>
      <c r="P1746" s="9" t="str">
        <f>IFERROR(__xludf.DUMMYFUNCTION("""COMPUTED_VALUE"""),"CA2U")</f>
        <v>CA2U</v>
      </c>
      <c r="Q1746" s="9" t="str">
        <f>IFERROR(__xludf.DUMMYFUNCTION("""COMPUTED_VALUE"""),"CA2Uslm")</f>
        <v>CA2Uslm</v>
      </c>
      <c r="R1746" s="9" t="str">
        <f>IFERROR(__xludf.DUMMYFUNCTION("""COMPUTED_VALUE"""),"CA2Usmo")</f>
        <v>CA2Usmo</v>
      </c>
      <c r="S1746" s="42"/>
      <c r="T1746" s="42"/>
      <c r="U1746" s="42"/>
      <c r="V1746" s="42"/>
      <c r="W1746" s="42"/>
      <c r="X1746" s="42"/>
      <c r="Y1746" s="42"/>
      <c r="Z1746" s="42"/>
      <c r="AA1746" s="42"/>
      <c r="AB1746" s="42" t="str">
        <f>IFERROR(__xludf.DUMMYFUNCTION("""COMPUTED_VALUE"""),"allen institute")</f>
        <v>allen institute</v>
      </c>
      <c r="AC1746" s="42" t="str">
        <f>IFERROR(__xludf.DUMMYFUNCTION("""COMPUTED_VALUE"""),"DHBA")</f>
        <v>DHBA</v>
      </c>
      <c r="AD1746" s="42"/>
      <c r="AE1746" s="42"/>
      <c r="AF1746" s="9"/>
      <c r="AG1746" s="9"/>
      <c r="AH1746" s="42"/>
      <c r="AI1746" s="42"/>
      <c r="AJ1746" s="42"/>
      <c r="AK1746" s="42"/>
      <c r="AL1746" s="42"/>
      <c r="AM1746" s="42"/>
      <c r="AN1746" s="42"/>
      <c r="AO1746" s="63" t="str">
        <f>IFERROR(__xludf.DUMMYFUNCTION("IF(ISBLANK(A1746),,IF(ISBLANK(S1746), A1746&amp;"";"", TEXTJOIN(CHAR(10), TRUE, A1746&amp;"";"", ARRAYFORMULA(VLOOKUP(SPLIT(S1746, "";"" &amp; CHAR(10)), $A:$AO, 41, FALSE)))))"),"CA2Usmo;")</f>
        <v>CA2Usmo;</v>
      </c>
      <c r="AP1746" s="89"/>
    </row>
    <row r="1747">
      <c r="A1747" s="151" t="str">
        <f>IFERROR(__xludf.DUMMYFUNCTION("""COMPUTED_VALUE"""),"CA2Usla")</f>
        <v>CA2Usla</v>
      </c>
      <c r="B1747" s="42" t="str">
        <f>IFERROR(__xludf.DUMMYFUNCTION("""COMPUTED_VALUE"""),"DHBA")</f>
        <v>DHBA</v>
      </c>
      <c r="C1747" s="42" t="str">
        <f>IFERROR(__xludf.DUMMYFUNCTION("""COMPUTED_VALUE"""),"stratum lacunosum of uncal CA2")</f>
        <v>stratum lacunosum of uncal CA2</v>
      </c>
      <c r="D1747" s="42">
        <f>IFERROR(__xludf.DUMMYFUNCTION("""COMPUTED_VALUE"""),1645.0)</f>
        <v>1645</v>
      </c>
      <c r="E1747" s="39" t="str">
        <f>IFERROR(__xludf.DUMMYFUNCTION("""COMPUTED_VALUE"""),"stratum lacunosum of uncal CA2")</f>
        <v>stratum lacunosum of uncal CA2</v>
      </c>
      <c r="F1747" s="9" t="str">
        <f>IFERROR(__xludf.DUMMYFUNCTION("""COMPUTED_VALUE"""),"Br")</f>
        <v>Br</v>
      </c>
      <c r="G1747" s="9" t="str">
        <f>IFERROR(__xludf.DUMMYFUNCTION("""COMPUTED_VALUE"""),"F")</f>
        <v>F</v>
      </c>
      <c r="H1747" s="9" t="str">
        <f>IFERROR(__xludf.DUMMYFUNCTION("""COMPUTED_VALUE"""),"FGM")</f>
        <v>FGM</v>
      </c>
      <c r="I1747" s="9" t="str">
        <f>IFERROR(__xludf.DUMMYFUNCTION("""COMPUTED_VALUE"""),"Tel")</f>
        <v>Tel</v>
      </c>
      <c r="J1747" s="9" t="str">
        <f>IFERROR(__xludf.DUMMYFUNCTION("""COMPUTED_VALUE"""),"Cx")</f>
        <v>Cx</v>
      </c>
      <c r="K1747" s="9" t="str">
        <f>IFERROR(__xludf.DUMMYFUNCTION("""COMPUTED_VALUE"""),"ACx")</f>
        <v>ACx</v>
      </c>
      <c r="L1747" s="9" t="str">
        <f>IFERROR(__xludf.DUMMYFUNCTION("""COMPUTED_VALUE"""),"ArCx")</f>
        <v>ArCx</v>
      </c>
      <c r="M1747" s="9" t="str">
        <f>IFERROR(__xludf.DUMMYFUNCTION("""COMPUTED_VALUE"""),"HIP")</f>
        <v>HIP</v>
      </c>
      <c r="N1747" s="9" t="str">
        <f>IFERROR(__xludf.DUMMYFUNCTION("""COMPUTED_VALUE"""),"Hipp")</f>
        <v>Hipp</v>
      </c>
      <c r="O1747" s="9" t="str">
        <f>IFERROR(__xludf.DUMMYFUNCTION("""COMPUTED_VALUE"""),"CA2")</f>
        <v>CA2</v>
      </c>
      <c r="P1747" s="9" t="str">
        <f>IFERROR(__xludf.DUMMYFUNCTION("""COMPUTED_VALUE"""),"CA2U")</f>
        <v>CA2U</v>
      </c>
      <c r="Q1747" s="9" t="str">
        <f>IFERROR(__xludf.DUMMYFUNCTION("""COMPUTED_VALUE"""),"CA2Uslm")</f>
        <v>CA2Uslm</v>
      </c>
      <c r="R1747" s="9" t="str">
        <f>IFERROR(__xludf.DUMMYFUNCTION("""COMPUTED_VALUE"""),"CA2Usla")</f>
        <v>CA2Usla</v>
      </c>
      <c r="S1747" s="42"/>
      <c r="T1747" s="42"/>
      <c r="U1747" s="42"/>
      <c r="V1747" s="42"/>
      <c r="W1747" s="42"/>
      <c r="X1747" s="42"/>
      <c r="Y1747" s="42"/>
      <c r="Z1747" s="42"/>
      <c r="AA1747" s="42"/>
      <c r="AB1747" s="42" t="str">
        <f>IFERROR(__xludf.DUMMYFUNCTION("""COMPUTED_VALUE"""),"allen institute")</f>
        <v>allen institute</v>
      </c>
      <c r="AC1747" s="42" t="str">
        <f>IFERROR(__xludf.DUMMYFUNCTION("""COMPUTED_VALUE"""),"DHBA")</f>
        <v>DHBA</v>
      </c>
      <c r="AD1747" s="42"/>
      <c r="AE1747" s="42"/>
      <c r="AF1747" s="9"/>
      <c r="AG1747" s="9"/>
      <c r="AH1747" s="42"/>
      <c r="AI1747" s="42"/>
      <c r="AJ1747" s="42"/>
      <c r="AK1747" s="42"/>
      <c r="AL1747" s="42"/>
      <c r="AM1747" s="42"/>
      <c r="AN1747" s="42"/>
      <c r="AO1747" s="63" t="str">
        <f>IFERROR(__xludf.DUMMYFUNCTION("IF(ISBLANK(A1747),,IF(ISBLANK(S1747), A1747&amp;"";"", TEXTJOIN(CHAR(10), TRUE, A1747&amp;"";"", ARRAYFORMULA(VLOOKUP(SPLIT(S1747, "";"" &amp; CHAR(10)), $A:$AO, 41, FALSE)))))"),"CA2Usla;")</f>
        <v>CA2Usla;</v>
      </c>
      <c r="AP1747" s="89"/>
    </row>
    <row r="1748">
      <c r="A1748" s="151" t="str">
        <f>IFERROR(__xludf.DUMMYFUNCTION("""COMPUTED_VALUE"""),"CA2Usr")</f>
        <v>CA2Usr</v>
      </c>
      <c r="B1748" s="42" t="str">
        <f>IFERROR(__xludf.DUMMYFUNCTION("""COMPUTED_VALUE"""),"DHBA")</f>
        <v>DHBA</v>
      </c>
      <c r="C1748" s="42" t="str">
        <f>IFERROR(__xludf.DUMMYFUNCTION("""COMPUTED_VALUE"""),"stratum radiatum of uncal CA2")</f>
        <v>stratum radiatum of uncal CA2</v>
      </c>
      <c r="D1748" s="42">
        <f>IFERROR(__xludf.DUMMYFUNCTION("""COMPUTED_VALUE"""),1646.0)</f>
        <v>1646</v>
      </c>
      <c r="E1748" s="39" t="str">
        <f>IFERROR(__xludf.DUMMYFUNCTION("""COMPUTED_VALUE"""),"stratum radiatum of uncal CA2")</f>
        <v>stratum radiatum of uncal CA2</v>
      </c>
      <c r="F1748" s="9" t="str">
        <f>IFERROR(__xludf.DUMMYFUNCTION("""COMPUTED_VALUE"""),"Br")</f>
        <v>Br</v>
      </c>
      <c r="G1748" s="9" t="str">
        <f>IFERROR(__xludf.DUMMYFUNCTION("""COMPUTED_VALUE"""),"F")</f>
        <v>F</v>
      </c>
      <c r="H1748" s="9" t="str">
        <f>IFERROR(__xludf.DUMMYFUNCTION("""COMPUTED_VALUE"""),"FGM")</f>
        <v>FGM</v>
      </c>
      <c r="I1748" s="9" t="str">
        <f>IFERROR(__xludf.DUMMYFUNCTION("""COMPUTED_VALUE"""),"Tel")</f>
        <v>Tel</v>
      </c>
      <c r="J1748" s="9" t="str">
        <f>IFERROR(__xludf.DUMMYFUNCTION("""COMPUTED_VALUE"""),"Cx")</f>
        <v>Cx</v>
      </c>
      <c r="K1748" s="9" t="str">
        <f>IFERROR(__xludf.DUMMYFUNCTION("""COMPUTED_VALUE"""),"ACx")</f>
        <v>ACx</v>
      </c>
      <c r="L1748" s="9" t="str">
        <f>IFERROR(__xludf.DUMMYFUNCTION("""COMPUTED_VALUE"""),"ArCx")</f>
        <v>ArCx</v>
      </c>
      <c r="M1748" s="9" t="str">
        <f>IFERROR(__xludf.DUMMYFUNCTION("""COMPUTED_VALUE"""),"HIP")</f>
        <v>HIP</v>
      </c>
      <c r="N1748" s="9" t="str">
        <f>IFERROR(__xludf.DUMMYFUNCTION("""COMPUTED_VALUE"""),"Hipp")</f>
        <v>Hipp</v>
      </c>
      <c r="O1748" s="9" t="str">
        <f>IFERROR(__xludf.DUMMYFUNCTION("""COMPUTED_VALUE"""),"CA2")</f>
        <v>CA2</v>
      </c>
      <c r="P1748" s="9" t="str">
        <f>IFERROR(__xludf.DUMMYFUNCTION("""COMPUTED_VALUE"""),"CA2U")</f>
        <v>CA2U</v>
      </c>
      <c r="Q1748" s="9" t="str">
        <f>IFERROR(__xludf.DUMMYFUNCTION("""COMPUTED_VALUE"""),"CA2Usr")</f>
        <v>CA2Usr</v>
      </c>
      <c r="R1748" s="9"/>
      <c r="S1748" s="42"/>
      <c r="T1748" s="42"/>
      <c r="U1748" s="42"/>
      <c r="V1748" s="42"/>
      <c r="W1748" s="42"/>
      <c r="X1748" s="42"/>
      <c r="Y1748" s="42"/>
      <c r="Z1748" s="42"/>
      <c r="AA1748" s="42"/>
      <c r="AB1748" s="42" t="str">
        <f>IFERROR(__xludf.DUMMYFUNCTION("""COMPUTED_VALUE"""),"allen institute")</f>
        <v>allen institute</v>
      </c>
      <c r="AC1748" s="42" t="str">
        <f>IFERROR(__xludf.DUMMYFUNCTION("""COMPUTED_VALUE"""),"DHBA")</f>
        <v>DHBA</v>
      </c>
      <c r="AD1748" s="42"/>
      <c r="AE1748" s="42"/>
      <c r="AF1748" s="9"/>
      <c r="AG1748" s="9"/>
      <c r="AH1748" s="42"/>
      <c r="AI1748" s="42"/>
      <c r="AJ1748" s="42"/>
      <c r="AK1748" s="42"/>
      <c r="AL1748" s="42"/>
      <c r="AM1748" s="42"/>
      <c r="AN1748" s="42"/>
      <c r="AO1748" s="63" t="str">
        <f>IFERROR(__xludf.DUMMYFUNCTION("IF(ISBLANK(A1748),,IF(ISBLANK(S1748), A1748&amp;"";"", TEXTJOIN(CHAR(10), TRUE, A1748&amp;"";"", ARRAYFORMULA(VLOOKUP(SPLIT(S1748, "";"" &amp; CHAR(10)), $A:$AO, 41, FALSE)))))"),"CA2Usr;")</f>
        <v>CA2Usr;</v>
      </c>
      <c r="AP1748" s="89"/>
    </row>
    <row r="1749">
      <c r="A1749" s="151" t="str">
        <f>IFERROR(__xludf.DUMMYFUNCTION("""COMPUTED_VALUE"""),"CA2Usp")</f>
        <v>CA2Usp</v>
      </c>
      <c r="B1749" s="42" t="str">
        <f>IFERROR(__xludf.DUMMYFUNCTION("""COMPUTED_VALUE"""),"DHBA")</f>
        <v>DHBA</v>
      </c>
      <c r="C1749" s="42" t="str">
        <f>IFERROR(__xludf.DUMMYFUNCTION("""COMPUTED_VALUE"""),"stratum pyramidale of uncal CA2")</f>
        <v>stratum pyramidale of uncal CA2</v>
      </c>
      <c r="D1749" s="42">
        <f>IFERROR(__xludf.DUMMYFUNCTION("""COMPUTED_VALUE"""),1647.0)</f>
        <v>1647</v>
      </c>
      <c r="E1749" s="39" t="str">
        <f>IFERROR(__xludf.DUMMYFUNCTION("""COMPUTED_VALUE"""),"stratum pyramidale of uncal CA2")</f>
        <v>stratum pyramidale of uncal CA2</v>
      </c>
      <c r="F1749" s="9" t="str">
        <f>IFERROR(__xludf.DUMMYFUNCTION("""COMPUTED_VALUE"""),"Br")</f>
        <v>Br</v>
      </c>
      <c r="G1749" s="9" t="str">
        <f>IFERROR(__xludf.DUMMYFUNCTION("""COMPUTED_VALUE"""),"F")</f>
        <v>F</v>
      </c>
      <c r="H1749" s="9" t="str">
        <f>IFERROR(__xludf.DUMMYFUNCTION("""COMPUTED_VALUE"""),"FGM")</f>
        <v>FGM</v>
      </c>
      <c r="I1749" s="9" t="str">
        <f>IFERROR(__xludf.DUMMYFUNCTION("""COMPUTED_VALUE"""),"Tel")</f>
        <v>Tel</v>
      </c>
      <c r="J1749" s="9" t="str">
        <f>IFERROR(__xludf.DUMMYFUNCTION("""COMPUTED_VALUE"""),"Cx")</f>
        <v>Cx</v>
      </c>
      <c r="K1749" s="9" t="str">
        <f>IFERROR(__xludf.DUMMYFUNCTION("""COMPUTED_VALUE"""),"ACx")</f>
        <v>ACx</v>
      </c>
      <c r="L1749" s="9" t="str">
        <f>IFERROR(__xludf.DUMMYFUNCTION("""COMPUTED_VALUE"""),"ArCx")</f>
        <v>ArCx</v>
      </c>
      <c r="M1749" s="9" t="str">
        <f>IFERROR(__xludf.DUMMYFUNCTION("""COMPUTED_VALUE"""),"HIP")</f>
        <v>HIP</v>
      </c>
      <c r="N1749" s="9" t="str">
        <f>IFERROR(__xludf.DUMMYFUNCTION("""COMPUTED_VALUE"""),"Hipp")</f>
        <v>Hipp</v>
      </c>
      <c r="O1749" s="9" t="str">
        <f>IFERROR(__xludf.DUMMYFUNCTION("""COMPUTED_VALUE"""),"CA2")</f>
        <v>CA2</v>
      </c>
      <c r="P1749" s="9" t="str">
        <f>IFERROR(__xludf.DUMMYFUNCTION("""COMPUTED_VALUE"""),"CA2U")</f>
        <v>CA2U</v>
      </c>
      <c r="Q1749" s="9" t="str">
        <f>IFERROR(__xludf.DUMMYFUNCTION("""COMPUTED_VALUE"""),"CA2Usp")</f>
        <v>CA2Usp</v>
      </c>
      <c r="R1749" s="9"/>
      <c r="S1749" s="42"/>
      <c r="T1749" s="42"/>
      <c r="U1749" s="42"/>
      <c r="V1749" s="42"/>
      <c r="W1749" s="42"/>
      <c r="X1749" s="42"/>
      <c r="Y1749" s="42"/>
      <c r="Z1749" s="42"/>
      <c r="AA1749" s="42"/>
      <c r="AB1749" s="42" t="str">
        <f>IFERROR(__xludf.DUMMYFUNCTION("""COMPUTED_VALUE"""),"allen institute")</f>
        <v>allen institute</v>
      </c>
      <c r="AC1749" s="42" t="str">
        <f>IFERROR(__xludf.DUMMYFUNCTION("""COMPUTED_VALUE"""),"DHBA")</f>
        <v>DHBA</v>
      </c>
      <c r="AD1749" s="42"/>
      <c r="AE1749" s="42"/>
      <c r="AF1749" s="9"/>
      <c r="AG1749" s="9"/>
      <c r="AH1749" s="42"/>
      <c r="AI1749" s="42"/>
      <c r="AJ1749" s="42"/>
      <c r="AK1749" s="42"/>
      <c r="AL1749" s="42"/>
      <c r="AM1749" s="42"/>
      <c r="AN1749" s="42"/>
      <c r="AO1749" s="63" t="str">
        <f>IFERROR(__xludf.DUMMYFUNCTION("IF(ISBLANK(A1749),,IF(ISBLANK(S1749), A1749&amp;"";"", TEXTJOIN(CHAR(10), TRUE, A1749&amp;"";"", ARRAYFORMULA(VLOOKUP(SPLIT(S1749, "";"" &amp; CHAR(10)), $A:$AO, 41, FALSE)))))"),"CA2Usp;")</f>
        <v>CA2Usp;</v>
      </c>
      <c r="AP1749" s="89"/>
    </row>
    <row r="1750">
      <c r="A1750" s="151" t="str">
        <f>IFERROR(__xludf.DUMMYFUNCTION("""COMPUTED_VALUE"""),"CA2Uso")</f>
        <v>CA2Uso</v>
      </c>
      <c r="B1750" s="42" t="str">
        <f>IFERROR(__xludf.DUMMYFUNCTION("""COMPUTED_VALUE"""),"DHBA")</f>
        <v>DHBA</v>
      </c>
      <c r="C1750" s="42" t="str">
        <f>IFERROR(__xludf.DUMMYFUNCTION("""COMPUTED_VALUE"""),"stratum oriens of uncal CA2")</f>
        <v>stratum oriens of uncal CA2</v>
      </c>
      <c r="D1750" s="42">
        <f>IFERROR(__xludf.DUMMYFUNCTION("""COMPUTED_VALUE"""),1648.0)</f>
        <v>1648</v>
      </c>
      <c r="E1750" s="39" t="str">
        <f>IFERROR(__xludf.DUMMYFUNCTION("""COMPUTED_VALUE"""),"stratum oriens of uncal CA2")</f>
        <v>stratum oriens of uncal CA2</v>
      </c>
      <c r="F1750" s="9" t="str">
        <f>IFERROR(__xludf.DUMMYFUNCTION("""COMPUTED_VALUE"""),"Br")</f>
        <v>Br</v>
      </c>
      <c r="G1750" s="9" t="str">
        <f>IFERROR(__xludf.DUMMYFUNCTION("""COMPUTED_VALUE"""),"F")</f>
        <v>F</v>
      </c>
      <c r="H1750" s="9" t="str">
        <f>IFERROR(__xludf.DUMMYFUNCTION("""COMPUTED_VALUE"""),"FGM")</f>
        <v>FGM</v>
      </c>
      <c r="I1750" s="9" t="str">
        <f>IFERROR(__xludf.DUMMYFUNCTION("""COMPUTED_VALUE"""),"Tel")</f>
        <v>Tel</v>
      </c>
      <c r="J1750" s="9" t="str">
        <f>IFERROR(__xludf.DUMMYFUNCTION("""COMPUTED_VALUE"""),"Cx")</f>
        <v>Cx</v>
      </c>
      <c r="K1750" s="9" t="str">
        <f>IFERROR(__xludf.DUMMYFUNCTION("""COMPUTED_VALUE"""),"ACx")</f>
        <v>ACx</v>
      </c>
      <c r="L1750" s="9" t="str">
        <f>IFERROR(__xludf.DUMMYFUNCTION("""COMPUTED_VALUE"""),"ArCx")</f>
        <v>ArCx</v>
      </c>
      <c r="M1750" s="9" t="str">
        <f>IFERROR(__xludf.DUMMYFUNCTION("""COMPUTED_VALUE"""),"HIP")</f>
        <v>HIP</v>
      </c>
      <c r="N1750" s="9" t="str">
        <f>IFERROR(__xludf.DUMMYFUNCTION("""COMPUTED_VALUE"""),"Hipp")</f>
        <v>Hipp</v>
      </c>
      <c r="O1750" s="9" t="str">
        <f>IFERROR(__xludf.DUMMYFUNCTION("""COMPUTED_VALUE"""),"CA2")</f>
        <v>CA2</v>
      </c>
      <c r="P1750" s="9" t="str">
        <f>IFERROR(__xludf.DUMMYFUNCTION("""COMPUTED_VALUE"""),"CA2U")</f>
        <v>CA2U</v>
      </c>
      <c r="Q1750" s="9" t="str">
        <f>IFERROR(__xludf.DUMMYFUNCTION("""COMPUTED_VALUE"""),"CA2Uso")</f>
        <v>CA2Uso</v>
      </c>
      <c r="R1750" s="9"/>
      <c r="S1750" s="42"/>
      <c r="T1750" s="42"/>
      <c r="U1750" s="42"/>
      <c r="V1750" s="42"/>
      <c r="W1750" s="42"/>
      <c r="X1750" s="42"/>
      <c r="Y1750" s="42"/>
      <c r="Z1750" s="42"/>
      <c r="AA1750" s="42"/>
      <c r="AB1750" s="42" t="str">
        <f>IFERROR(__xludf.DUMMYFUNCTION("""COMPUTED_VALUE"""),"allen institute")</f>
        <v>allen institute</v>
      </c>
      <c r="AC1750" s="42" t="str">
        <f>IFERROR(__xludf.DUMMYFUNCTION("""COMPUTED_VALUE"""),"DHBA")</f>
        <v>DHBA</v>
      </c>
      <c r="AD1750" s="42"/>
      <c r="AE1750" s="42"/>
      <c r="AF1750" s="9"/>
      <c r="AG1750" s="9"/>
      <c r="AH1750" s="42"/>
      <c r="AI1750" s="42"/>
      <c r="AJ1750" s="42"/>
      <c r="AK1750" s="42"/>
      <c r="AL1750" s="42"/>
      <c r="AM1750" s="42"/>
      <c r="AN1750" s="42"/>
      <c r="AO1750" s="63" t="str">
        <f>IFERROR(__xludf.DUMMYFUNCTION("IF(ISBLANK(A1750),,IF(ISBLANK(S1750), A1750&amp;"";"", TEXTJOIN(CHAR(10), TRUE, A1750&amp;"";"", ARRAYFORMULA(VLOOKUP(SPLIT(S1750, "";"" &amp; CHAR(10)), $A:$AO, 41, FALSE)))))"),"CA2Uso;")</f>
        <v>CA2Uso;</v>
      </c>
      <c r="AP1750" s="89"/>
    </row>
    <row r="1751">
      <c r="A1751" s="151" t="str">
        <f>IFERROR(__xludf.DUMMYFUNCTION("""COMPUTED_VALUE"""),"CA2R")</f>
        <v>CA2R</v>
      </c>
      <c r="B1751" s="42" t="str">
        <f>IFERROR(__xludf.DUMMYFUNCTION("""COMPUTED_VALUE"""),"DHBA")</f>
        <v>DHBA</v>
      </c>
      <c r="C1751" s="42" t="str">
        <f>IFERROR(__xludf.DUMMYFUNCTION("""COMPUTED_VALUE"""),"rostral CA2")</f>
        <v>rostral CA2</v>
      </c>
      <c r="D1751" s="42">
        <f>IFERROR(__xludf.DUMMYFUNCTION("""COMPUTED_VALUE"""),1649.0)</f>
        <v>1649</v>
      </c>
      <c r="E1751" s="39" t="str">
        <f>IFERROR(__xludf.DUMMYFUNCTION("""COMPUTED_VALUE"""),"rostral CA2")</f>
        <v>rostral CA2</v>
      </c>
      <c r="F1751" s="9" t="str">
        <f>IFERROR(__xludf.DUMMYFUNCTION("""COMPUTED_VALUE"""),"Br")</f>
        <v>Br</v>
      </c>
      <c r="G1751" s="9" t="str">
        <f>IFERROR(__xludf.DUMMYFUNCTION("""COMPUTED_VALUE"""),"F")</f>
        <v>F</v>
      </c>
      <c r="H1751" s="9" t="str">
        <f>IFERROR(__xludf.DUMMYFUNCTION("""COMPUTED_VALUE"""),"FGM")</f>
        <v>FGM</v>
      </c>
      <c r="I1751" s="9" t="str">
        <f>IFERROR(__xludf.DUMMYFUNCTION("""COMPUTED_VALUE"""),"Tel")</f>
        <v>Tel</v>
      </c>
      <c r="J1751" s="9" t="str">
        <f>IFERROR(__xludf.DUMMYFUNCTION("""COMPUTED_VALUE"""),"Cx")</f>
        <v>Cx</v>
      </c>
      <c r="K1751" s="9" t="str">
        <f>IFERROR(__xludf.DUMMYFUNCTION("""COMPUTED_VALUE"""),"ACx")</f>
        <v>ACx</v>
      </c>
      <c r="L1751" s="9" t="str">
        <f>IFERROR(__xludf.DUMMYFUNCTION("""COMPUTED_VALUE"""),"ArCx")</f>
        <v>ArCx</v>
      </c>
      <c r="M1751" s="9" t="str">
        <f>IFERROR(__xludf.DUMMYFUNCTION("""COMPUTED_VALUE"""),"HIP")</f>
        <v>HIP</v>
      </c>
      <c r="N1751" s="9" t="str">
        <f>IFERROR(__xludf.DUMMYFUNCTION("""COMPUTED_VALUE"""),"Hipp")</f>
        <v>Hipp</v>
      </c>
      <c r="O1751" s="9" t="str">
        <f>IFERROR(__xludf.DUMMYFUNCTION("""COMPUTED_VALUE"""),"CA2")</f>
        <v>CA2</v>
      </c>
      <c r="P1751" s="9" t="str">
        <f>IFERROR(__xludf.DUMMYFUNCTION("""COMPUTED_VALUE"""),"CA2R")</f>
        <v>CA2R</v>
      </c>
      <c r="Q1751" s="9"/>
      <c r="R1751" s="9"/>
      <c r="S1751" s="42" t="str">
        <f>IFERROR(__xludf.DUMMYFUNCTION("""COMPUTED_VALUE"""),"CA2Rslm;
CA2Rsr;
CA2Rsp;
CA2Rso")</f>
        <v>CA2Rslm;
CA2Rsr;
CA2Rsp;
CA2Rso</v>
      </c>
      <c r="T1751" s="42"/>
      <c r="U1751" s="159" t="b">
        <f>IFERROR(__xludf.DUMMYFUNCTION("""COMPUTED_VALUE"""),FALSE)</f>
        <v>0</v>
      </c>
      <c r="V1751" s="42"/>
      <c r="W1751" s="42"/>
      <c r="X1751" s="42"/>
      <c r="Y1751" s="42"/>
      <c r="Z1751" s="42"/>
      <c r="AA1751" s="42"/>
      <c r="AB1751" s="42" t="str">
        <f>IFERROR(__xludf.DUMMYFUNCTION("""COMPUTED_VALUE"""),"allen institute")</f>
        <v>allen institute</v>
      </c>
      <c r="AC1751" s="42" t="str">
        <f>IFERROR(__xludf.DUMMYFUNCTION("""COMPUTED_VALUE"""),"DHBA")</f>
        <v>DHBA</v>
      </c>
      <c r="AD1751" s="42"/>
      <c r="AE1751" s="42"/>
      <c r="AF1751" s="9"/>
      <c r="AG1751" s="9"/>
      <c r="AH1751" s="42"/>
      <c r="AI1751" s="42"/>
      <c r="AJ1751" s="42"/>
      <c r="AK1751" s="42"/>
      <c r="AL1751" s="42"/>
      <c r="AM1751" s="42"/>
      <c r="AN1751" s="42"/>
      <c r="AO1751" s="63" t="str">
        <f>IFERROR(__xludf.DUMMYFUNCTION("IF(ISBLANK(A1751),,IF(ISBLANK(S1751), A1751&amp;"";"", TEXTJOIN(CHAR(10), TRUE, A1751&amp;"";"", ARRAYFORMULA(VLOOKUP(SPLIT(S1751, "";"" &amp; CHAR(10)), $A:$AO, 41, FALSE)))))"),"CA2R;
CA2Rslm;
CA2Rsmo;
CA2Rsla;
CA2Rsr;
CA2Rsp;
CA2Rso;")</f>
        <v>CA2R;
CA2Rslm;
CA2Rsmo;
CA2Rsla;
CA2Rsr;
CA2Rsp;
CA2Rso;</v>
      </c>
      <c r="AP1751" s="89"/>
    </row>
    <row r="1752">
      <c r="A1752" s="151" t="str">
        <f>IFERROR(__xludf.DUMMYFUNCTION("""COMPUTED_VALUE"""),"CA2Rslm")</f>
        <v>CA2Rslm</v>
      </c>
      <c r="B1752" s="42" t="str">
        <f>IFERROR(__xludf.DUMMYFUNCTION("""COMPUTED_VALUE"""),"DHBA")</f>
        <v>DHBA</v>
      </c>
      <c r="C1752" s="42" t="str">
        <f>IFERROR(__xludf.DUMMYFUNCTION("""COMPUTED_VALUE"""),"stratum lacunosum-moleculare of rostral CA2")</f>
        <v>stratum lacunosum-moleculare of rostral CA2</v>
      </c>
      <c r="D1752" s="42">
        <f>IFERROR(__xludf.DUMMYFUNCTION("""COMPUTED_VALUE"""),1650.0)</f>
        <v>1650</v>
      </c>
      <c r="E1752" s="39" t="str">
        <f>IFERROR(__xludf.DUMMYFUNCTION("""COMPUTED_VALUE"""),"stratum lacunosum-moleculare of rostral CA2")</f>
        <v>stratum lacunosum-moleculare of rostral CA2</v>
      </c>
      <c r="F1752" s="9" t="str">
        <f>IFERROR(__xludf.DUMMYFUNCTION("""COMPUTED_VALUE"""),"Br")</f>
        <v>Br</v>
      </c>
      <c r="G1752" s="9" t="str">
        <f>IFERROR(__xludf.DUMMYFUNCTION("""COMPUTED_VALUE"""),"F")</f>
        <v>F</v>
      </c>
      <c r="H1752" s="9" t="str">
        <f>IFERROR(__xludf.DUMMYFUNCTION("""COMPUTED_VALUE"""),"FGM")</f>
        <v>FGM</v>
      </c>
      <c r="I1752" s="9" t="str">
        <f>IFERROR(__xludf.DUMMYFUNCTION("""COMPUTED_VALUE"""),"Tel")</f>
        <v>Tel</v>
      </c>
      <c r="J1752" s="9" t="str">
        <f>IFERROR(__xludf.DUMMYFUNCTION("""COMPUTED_VALUE"""),"Cx")</f>
        <v>Cx</v>
      </c>
      <c r="K1752" s="9" t="str">
        <f>IFERROR(__xludf.DUMMYFUNCTION("""COMPUTED_VALUE"""),"ACx")</f>
        <v>ACx</v>
      </c>
      <c r="L1752" s="9" t="str">
        <f>IFERROR(__xludf.DUMMYFUNCTION("""COMPUTED_VALUE"""),"ArCx")</f>
        <v>ArCx</v>
      </c>
      <c r="M1752" s="9" t="str">
        <f>IFERROR(__xludf.DUMMYFUNCTION("""COMPUTED_VALUE"""),"HIP")</f>
        <v>HIP</v>
      </c>
      <c r="N1752" s="9" t="str">
        <f>IFERROR(__xludf.DUMMYFUNCTION("""COMPUTED_VALUE"""),"Hipp")</f>
        <v>Hipp</v>
      </c>
      <c r="O1752" s="9" t="str">
        <f>IFERROR(__xludf.DUMMYFUNCTION("""COMPUTED_VALUE"""),"CA2")</f>
        <v>CA2</v>
      </c>
      <c r="P1752" s="9" t="str">
        <f>IFERROR(__xludf.DUMMYFUNCTION("""COMPUTED_VALUE"""),"CA2R")</f>
        <v>CA2R</v>
      </c>
      <c r="Q1752" s="9" t="str">
        <f>IFERROR(__xludf.DUMMYFUNCTION("""COMPUTED_VALUE"""),"CA2Rslm")</f>
        <v>CA2Rslm</v>
      </c>
      <c r="R1752" s="9"/>
      <c r="S1752" s="42" t="str">
        <f>IFERROR(__xludf.DUMMYFUNCTION("""COMPUTED_VALUE"""),"CA2Rsmo;
CA2Rsla")</f>
        <v>CA2Rsmo;
CA2Rsla</v>
      </c>
      <c r="T1752" s="42"/>
      <c r="U1752" s="42" t="b">
        <f>IFERROR(__xludf.DUMMYFUNCTION("""COMPUTED_VALUE"""),FALSE)</f>
        <v>0</v>
      </c>
      <c r="V1752" s="42"/>
      <c r="W1752" s="42"/>
      <c r="X1752" s="42"/>
      <c r="Y1752" s="42"/>
      <c r="Z1752" s="42"/>
      <c r="AA1752" s="42"/>
      <c r="AB1752" s="42" t="str">
        <f>IFERROR(__xludf.DUMMYFUNCTION("""COMPUTED_VALUE"""),"allen institute")</f>
        <v>allen institute</v>
      </c>
      <c r="AC1752" s="42" t="str">
        <f>IFERROR(__xludf.DUMMYFUNCTION("""COMPUTED_VALUE"""),"DHBA")</f>
        <v>DHBA</v>
      </c>
      <c r="AD1752" s="42"/>
      <c r="AE1752" s="42"/>
      <c r="AF1752" s="9"/>
      <c r="AG1752" s="9"/>
      <c r="AH1752" s="42"/>
      <c r="AI1752" s="42"/>
      <c r="AJ1752" s="42"/>
      <c r="AK1752" s="42"/>
      <c r="AL1752" s="42"/>
      <c r="AM1752" s="42"/>
      <c r="AN1752" s="42"/>
      <c r="AO1752" s="63" t="str">
        <f>IFERROR(__xludf.DUMMYFUNCTION("IF(ISBLANK(A1752),,IF(ISBLANK(S1752), A1752&amp;"";"", TEXTJOIN(CHAR(10), TRUE, A1752&amp;"";"", ARRAYFORMULA(VLOOKUP(SPLIT(S1752, "";"" &amp; CHAR(10)), $A:$AO, 41, FALSE)))))"),"CA2Rslm;
CA2Rsmo;
CA2Rsla;")</f>
        <v>CA2Rslm;
CA2Rsmo;
CA2Rsla;</v>
      </c>
      <c r="AP1752" s="89"/>
    </row>
    <row r="1753">
      <c r="A1753" s="151" t="str">
        <f>IFERROR(__xludf.DUMMYFUNCTION("""COMPUTED_VALUE"""),"CA2Rsmo")</f>
        <v>CA2Rsmo</v>
      </c>
      <c r="B1753" s="42" t="str">
        <f>IFERROR(__xludf.DUMMYFUNCTION("""COMPUTED_VALUE"""),"DHBA")</f>
        <v>DHBA</v>
      </c>
      <c r="C1753" s="42" t="str">
        <f>IFERROR(__xludf.DUMMYFUNCTION("""COMPUTED_VALUE"""),"stratum moleculare of rostral CA2")</f>
        <v>stratum moleculare of rostral CA2</v>
      </c>
      <c r="D1753" s="42">
        <f>IFERROR(__xludf.DUMMYFUNCTION("""COMPUTED_VALUE"""),1651.0)</f>
        <v>1651</v>
      </c>
      <c r="E1753" s="39" t="str">
        <f>IFERROR(__xludf.DUMMYFUNCTION("""COMPUTED_VALUE"""),"stratum moleculare of rostral CA2")</f>
        <v>stratum moleculare of rostral CA2</v>
      </c>
      <c r="F1753" s="9" t="str">
        <f>IFERROR(__xludf.DUMMYFUNCTION("""COMPUTED_VALUE"""),"Br")</f>
        <v>Br</v>
      </c>
      <c r="G1753" s="9" t="str">
        <f>IFERROR(__xludf.DUMMYFUNCTION("""COMPUTED_VALUE"""),"F")</f>
        <v>F</v>
      </c>
      <c r="H1753" s="9" t="str">
        <f>IFERROR(__xludf.DUMMYFUNCTION("""COMPUTED_VALUE"""),"FGM")</f>
        <v>FGM</v>
      </c>
      <c r="I1753" s="9" t="str">
        <f>IFERROR(__xludf.DUMMYFUNCTION("""COMPUTED_VALUE"""),"Tel")</f>
        <v>Tel</v>
      </c>
      <c r="J1753" s="9" t="str">
        <f>IFERROR(__xludf.DUMMYFUNCTION("""COMPUTED_VALUE"""),"Cx")</f>
        <v>Cx</v>
      </c>
      <c r="K1753" s="9" t="str">
        <f>IFERROR(__xludf.DUMMYFUNCTION("""COMPUTED_VALUE"""),"ACx")</f>
        <v>ACx</v>
      </c>
      <c r="L1753" s="9" t="str">
        <f>IFERROR(__xludf.DUMMYFUNCTION("""COMPUTED_VALUE"""),"ArCx")</f>
        <v>ArCx</v>
      </c>
      <c r="M1753" s="9" t="str">
        <f>IFERROR(__xludf.DUMMYFUNCTION("""COMPUTED_VALUE"""),"HIP")</f>
        <v>HIP</v>
      </c>
      <c r="N1753" s="9" t="str">
        <f>IFERROR(__xludf.DUMMYFUNCTION("""COMPUTED_VALUE"""),"Hipp")</f>
        <v>Hipp</v>
      </c>
      <c r="O1753" s="9" t="str">
        <f>IFERROR(__xludf.DUMMYFUNCTION("""COMPUTED_VALUE"""),"CA2")</f>
        <v>CA2</v>
      </c>
      <c r="P1753" s="9" t="str">
        <f>IFERROR(__xludf.DUMMYFUNCTION("""COMPUTED_VALUE"""),"CA2R")</f>
        <v>CA2R</v>
      </c>
      <c r="Q1753" s="9" t="str">
        <f>IFERROR(__xludf.DUMMYFUNCTION("""COMPUTED_VALUE"""),"CA2Rslm")</f>
        <v>CA2Rslm</v>
      </c>
      <c r="R1753" s="9" t="str">
        <f>IFERROR(__xludf.DUMMYFUNCTION("""COMPUTED_VALUE"""),"CA2Rsmo")</f>
        <v>CA2Rsmo</v>
      </c>
      <c r="S1753" s="42"/>
      <c r="T1753" s="42"/>
      <c r="U1753" s="42"/>
      <c r="V1753" s="42"/>
      <c r="W1753" s="42"/>
      <c r="X1753" s="42"/>
      <c r="Y1753" s="42"/>
      <c r="Z1753" s="42"/>
      <c r="AA1753" s="42"/>
      <c r="AB1753" s="42" t="str">
        <f>IFERROR(__xludf.DUMMYFUNCTION("""COMPUTED_VALUE"""),"allen institute")</f>
        <v>allen institute</v>
      </c>
      <c r="AC1753" s="42" t="str">
        <f>IFERROR(__xludf.DUMMYFUNCTION("""COMPUTED_VALUE"""),"DHBA")</f>
        <v>DHBA</v>
      </c>
      <c r="AD1753" s="42"/>
      <c r="AE1753" s="42"/>
      <c r="AF1753" s="9"/>
      <c r="AG1753" s="9"/>
      <c r="AH1753" s="42"/>
      <c r="AI1753" s="42"/>
      <c r="AJ1753" s="42"/>
      <c r="AK1753" s="42"/>
      <c r="AL1753" s="42"/>
      <c r="AM1753" s="42"/>
      <c r="AN1753" s="42"/>
      <c r="AO1753" s="63" t="str">
        <f>IFERROR(__xludf.DUMMYFUNCTION("IF(ISBLANK(A1753),,IF(ISBLANK(S1753), A1753&amp;"";"", TEXTJOIN(CHAR(10), TRUE, A1753&amp;"";"", ARRAYFORMULA(VLOOKUP(SPLIT(S1753, "";"" &amp; CHAR(10)), $A:$AO, 41, FALSE)))))"),"CA2Rsmo;")</f>
        <v>CA2Rsmo;</v>
      </c>
      <c r="AP1753" s="89"/>
    </row>
    <row r="1754">
      <c r="A1754" s="151" t="str">
        <f>IFERROR(__xludf.DUMMYFUNCTION("""COMPUTED_VALUE"""),"CA2Rsla")</f>
        <v>CA2Rsla</v>
      </c>
      <c r="B1754" s="42" t="str">
        <f>IFERROR(__xludf.DUMMYFUNCTION("""COMPUTED_VALUE"""),"DHBA")</f>
        <v>DHBA</v>
      </c>
      <c r="C1754" s="42" t="str">
        <f>IFERROR(__xludf.DUMMYFUNCTION("""COMPUTED_VALUE"""),"stratum lacunosum of rostral CA2")</f>
        <v>stratum lacunosum of rostral CA2</v>
      </c>
      <c r="D1754" s="42">
        <f>IFERROR(__xludf.DUMMYFUNCTION("""COMPUTED_VALUE"""),1652.0)</f>
        <v>1652</v>
      </c>
      <c r="E1754" s="39" t="str">
        <f>IFERROR(__xludf.DUMMYFUNCTION("""COMPUTED_VALUE"""),"stratum lacunosum of rostral CA2")</f>
        <v>stratum lacunosum of rostral CA2</v>
      </c>
      <c r="F1754" s="9" t="str">
        <f>IFERROR(__xludf.DUMMYFUNCTION("""COMPUTED_VALUE"""),"Br")</f>
        <v>Br</v>
      </c>
      <c r="G1754" s="9" t="str">
        <f>IFERROR(__xludf.DUMMYFUNCTION("""COMPUTED_VALUE"""),"F")</f>
        <v>F</v>
      </c>
      <c r="H1754" s="9" t="str">
        <f>IFERROR(__xludf.DUMMYFUNCTION("""COMPUTED_VALUE"""),"FGM")</f>
        <v>FGM</v>
      </c>
      <c r="I1754" s="9" t="str">
        <f>IFERROR(__xludf.DUMMYFUNCTION("""COMPUTED_VALUE"""),"Tel")</f>
        <v>Tel</v>
      </c>
      <c r="J1754" s="9" t="str">
        <f>IFERROR(__xludf.DUMMYFUNCTION("""COMPUTED_VALUE"""),"Cx")</f>
        <v>Cx</v>
      </c>
      <c r="K1754" s="9" t="str">
        <f>IFERROR(__xludf.DUMMYFUNCTION("""COMPUTED_VALUE"""),"ACx")</f>
        <v>ACx</v>
      </c>
      <c r="L1754" s="9" t="str">
        <f>IFERROR(__xludf.DUMMYFUNCTION("""COMPUTED_VALUE"""),"ArCx")</f>
        <v>ArCx</v>
      </c>
      <c r="M1754" s="9" t="str">
        <f>IFERROR(__xludf.DUMMYFUNCTION("""COMPUTED_VALUE"""),"HIP")</f>
        <v>HIP</v>
      </c>
      <c r="N1754" s="9" t="str">
        <f>IFERROR(__xludf.DUMMYFUNCTION("""COMPUTED_VALUE"""),"Hipp")</f>
        <v>Hipp</v>
      </c>
      <c r="O1754" s="9" t="str">
        <f>IFERROR(__xludf.DUMMYFUNCTION("""COMPUTED_VALUE"""),"CA2")</f>
        <v>CA2</v>
      </c>
      <c r="P1754" s="9" t="str">
        <f>IFERROR(__xludf.DUMMYFUNCTION("""COMPUTED_VALUE"""),"CA2R")</f>
        <v>CA2R</v>
      </c>
      <c r="Q1754" s="9" t="str">
        <f>IFERROR(__xludf.DUMMYFUNCTION("""COMPUTED_VALUE"""),"CA2Rslm")</f>
        <v>CA2Rslm</v>
      </c>
      <c r="R1754" s="9" t="str">
        <f>IFERROR(__xludf.DUMMYFUNCTION("""COMPUTED_VALUE"""),"CA2Rsla")</f>
        <v>CA2Rsla</v>
      </c>
      <c r="S1754" s="42"/>
      <c r="T1754" s="42"/>
      <c r="U1754" s="159"/>
      <c r="V1754" s="42"/>
      <c r="W1754" s="42"/>
      <c r="X1754" s="42"/>
      <c r="Y1754" s="42"/>
      <c r="Z1754" s="42"/>
      <c r="AA1754" s="42"/>
      <c r="AB1754" s="42" t="str">
        <f>IFERROR(__xludf.DUMMYFUNCTION("""COMPUTED_VALUE"""),"allen institute")</f>
        <v>allen institute</v>
      </c>
      <c r="AC1754" s="42" t="str">
        <f>IFERROR(__xludf.DUMMYFUNCTION("""COMPUTED_VALUE"""),"DHBA")</f>
        <v>DHBA</v>
      </c>
      <c r="AD1754" s="42"/>
      <c r="AE1754" s="42"/>
      <c r="AF1754" s="9"/>
      <c r="AG1754" s="9"/>
      <c r="AH1754" s="42"/>
      <c r="AI1754" s="42"/>
      <c r="AJ1754" s="42"/>
      <c r="AK1754" s="42"/>
      <c r="AL1754" s="42"/>
      <c r="AM1754" s="42"/>
      <c r="AN1754" s="42"/>
      <c r="AO1754" s="63" t="str">
        <f>IFERROR(__xludf.DUMMYFUNCTION("IF(ISBLANK(A1754),,IF(ISBLANK(S1754), A1754&amp;"";"", TEXTJOIN(CHAR(10), TRUE, A1754&amp;"";"", ARRAYFORMULA(VLOOKUP(SPLIT(S1754, "";"" &amp; CHAR(10)), $A:$AO, 41, FALSE)))))"),"CA2Rsla;")</f>
        <v>CA2Rsla;</v>
      </c>
      <c r="AP1754" s="89"/>
    </row>
    <row r="1755">
      <c r="A1755" s="151" t="str">
        <f>IFERROR(__xludf.DUMMYFUNCTION("""COMPUTED_VALUE"""),"CA2Rsr")</f>
        <v>CA2Rsr</v>
      </c>
      <c r="B1755" s="42" t="str">
        <f>IFERROR(__xludf.DUMMYFUNCTION("""COMPUTED_VALUE"""),"DHBA")</f>
        <v>DHBA</v>
      </c>
      <c r="C1755" s="42" t="str">
        <f>IFERROR(__xludf.DUMMYFUNCTION("""COMPUTED_VALUE"""),"stratum radiatum of rostral CA2")</f>
        <v>stratum radiatum of rostral CA2</v>
      </c>
      <c r="D1755" s="42">
        <f>IFERROR(__xludf.DUMMYFUNCTION("""COMPUTED_VALUE"""),1653.0)</f>
        <v>1653</v>
      </c>
      <c r="E1755" s="39" t="str">
        <f>IFERROR(__xludf.DUMMYFUNCTION("""COMPUTED_VALUE"""),"stratum radiatum of rostral CA2")</f>
        <v>stratum radiatum of rostral CA2</v>
      </c>
      <c r="F1755" s="9" t="str">
        <f>IFERROR(__xludf.DUMMYFUNCTION("""COMPUTED_VALUE"""),"Br")</f>
        <v>Br</v>
      </c>
      <c r="G1755" s="9" t="str">
        <f>IFERROR(__xludf.DUMMYFUNCTION("""COMPUTED_VALUE"""),"F")</f>
        <v>F</v>
      </c>
      <c r="H1755" s="9" t="str">
        <f>IFERROR(__xludf.DUMMYFUNCTION("""COMPUTED_VALUE"""),"FGM")</f>
        <v>FGM</v>
      </c>
      <c r="I1755" s="9" t="str">
        <f>IFERROR(__xludf.DUMMYFUNCTION("""COMPUTED_VALUE"""),"Tel")</f>
        <v>Tel</v>
      </c>
      <c r="J1755" s="9" t="str">
        <f>IFERROR(__xludf.DUMMYFUNCTION("""COMPUTED_VALUE"""),"Cx")</f>
        <v>Cx</v>
      </c>
      <c r="K1755" s="9" t="str">
        <f>IFERROR(__xludf.DUMMYFUNCTION("""COMPUTED_VALUE"""),"ACx")</f>
        <v>ACx</v>
      </c>
      <c r="L1755" s="9" t="str">
        <f>IFERROR(__xludf.DUMMYFUNCTION("""COMPUTED_VALUE"""),"ArCx")</f>
        <v>ArCx</v>
      </c>
      <c r="M1755" s="9" t="str">
        <f>IFERROR(__xludf.DUMMYFUNCTION("""COMPUTED_VALUE"""),"HIP")</f>
        <v>HIP</v>
      </c>
      <c r="N1755" s="9" t="str">
        <f>IFERROR(__xludf.DUMMYFUNCTION("""COMPUTED_VALUE"""),"Hipp")</f>
        <v>Hipp</v>
      </c>
      <c r="O1755" s="9" t="str">
        <f>IFERROR(__xludf.DUMMYFUNCTION("""COMPUTED_VALUE"""),"CA2")</f>
        <v>CA2</v>
      </c>
      <c r="P1755" s="9" t="str">
        <f>IFERROR(__xludf.DUMMYFUNCTION("""COMPUTED_VALUE"""),"CA2R")</f>
        <v>CA2R</v>
      </c>
      <c r="Q1755" s="9" t="str">
        <f>IFERROR(__xludf.DUMMYFUNCTION("""COMPUTED_VALUE"""),"CA2Rsr")</f>
        <v>CA2Rsr</v>
      </c>
      <c r="R1755" s="9"/>
      <c r="S1755" s="42"/>
      <c r="T1755" s="42"/>
      <c r="U1755" s="42"/>
      <c r="V1755" s="42"/>
      <c r="W1755" s="42"/>
      <c r="X1755" s="42"/>
      <c r="Y1755" s="42"/>
      <c r="Z1755" s="42"/>
      <c r="AA1755" s="42"/>
      <c r="AB1755" s="42" t="str">
        <f>IFERROR(__xludf.DUMMYFUNCTION("""COMPUTED_VALUE"""),"allen institute")</f>
        <v>allen institute</v>
      </c>
      <c r="AC1755" s="42" t="str">
        <f>IFERROR(__xludf.DUMMYFUNCTION("""COMPUTED_VALUE"""),"DHBA")</f>
        <v>DHBA</v>
      </c>
      <c r="AD1755" s="42"/>
      <c r="AE1755" s="42"/>
      <c r="AF1755" s="9"/>
      <c r="AG1755" s="9"/>
      <c r="AH1755" s="42"/>
      <c r="AI1755" s="42"/>
      <c r="AJ1755" s="42"/>
      <c r="AK1755" s="42"/>
      <c r="AL1755" s="42"/>
      <c r="AM1755" s="42"/>
      <c r="AN1755" s="42"/>
      <c r="AO1755" s="63" t="str">
        <f>IFERROR(__xludf.DUMMYFUNCTION("IF(ISBLANK(A1755),,IF(ISBLANK(S1755), A1755&amp;"";"", TEXTJOIN(CHAR(10), TRUE, A1755&amp;"";"", ARRAYFORMULA(VLOOKUP(SPLIT(S1755, "";"" &amp; CHAR(10)), $A:$AO, 41, FALSE)))))"),"CA2Rsr;")</f>
        <v>CA2Rsr;</v>
      </c>
      <c r="AP1755" s="89"/>
    </row>
    <row r="1756">
      <c r="A1756" s="151" t="str">
        <f>IFERROR(__xludf.DUMMYFUNCTION("""COMPUTED_VALUE"""),"CA2Rsp")</f>
        <v>CA2Rsp</v>
      </c>
      <c r="B1756" s="42" t="str">
        <f>IFERROR(__xludf.DUMMYFUNCTION("""COMPUTED_VALUE"""),"DHBA")</f>
        <v>DHBA</v>
      </c>
      <c r="C1756" s="42" t="str">
        <f>IFERROR(__xludf.DUMMYFUNCTION("""COMPUTED_VALUE"""),"stratum pyramidale of rostral CA2")</f>
        <v>stratum pyramidale of rostral CA2</v>
      </c>
      <c r="D1756" s="42">
        <f>IFERROR(__xludf.DUMMYFUNCTION("""COMPUTED_VALUE"""),1654.0)</f>
        <v>1654</v>
      </c>
      <c r="E1756" s="39" t="str">
        <f>IFERROR(__xludf.DUMMYFUNCTION("""COMPUTED_VALUE"""),"stratum pyramidale of rostral CA2")</f>
        <v>stratum pyramidale of rostral CA2</v>
      </c>
      <c r="F1756" s="9" t="str">
        <f>IFERROR(__xludf.DUMMYFUNCTION("""COMPUTED_VALUE"""),"Br")</f>
        <v>Br</v>
      </c>
      <c r="G1756" s="9" t="str">
        <f>IFERROR(__xludf.DUMMYFUNCTION("""COMPUTED_VALUE"""),"F")</f>
        <v>F</v>
      </c>
      <c r="H1756" s="9" t="str">
        <f>IFERROR(__xludf.DUMMYFUNCTION("""COMPUTED_VALUE"""),"FGM")</f>
        <v>FGM</v>
      </c>
      <c r="I1756" s="9" t="str">
        <f>IFERROR(__xludf.DUMMYFUNCTION("""COMPUTED_VALUE"""),"Tel")</f>
        <v>Tel</v>
      </c>
      <c r="J1756" s="9" t="str">
        <f>IFERROR(__xludf.DUMMYFUNCTION("""COMPUTED_VALUE"""),"Cx")</f>
        <v>Cx</v>
      </c>
      <c r="K1756" s="9" t="str">
        <f>IFERROR(__xludf.DUMMYFUNCTION("""COMPUTED_VALUE"""),"ACx")</f>
        <v>ACx</v>
      </c>
      <c r="L1756" s="9" t="str">
        <f>IFERROR(__xludf.DUMMYFUNCTION("""COMPUTED_VALUE"""),"ArCx")</f>
        <v>ArCx</v>
      </c>
      <c r="M1756" s="9" t="str">
        <f>IFERROR(__xludf.DUMMYFUNCTION("""COMPUTED_VALUE"""),"HIP")</f>
        <v>HIP</v>
      </c>
      <c r="N1756" s="9" t="str">
        <f>IFERROR(__xludf.DUMMYFUNCTION("""COMPUTED_VALUE"""),"Hipp")</f>
        <v>Hipp</v>
      </c>
      <c r="O1756" s="9" t="str">
        <f>IFERROR(__xludf.DUMMYFUNCTION("""COMPUTED_VALUE"""),"CA2")</f>
        <v>CA2</v>
      </c>
      <c r="P1756" s="9" t="str">
        <f>IFERROR(__xludf.DUMMYFUNCTION("""COMPUTED_VALUE"""),"CA2R")</f>
        <v>CA2R</v>
      </c>
      <c r="Q1756" s="9" t="str">
        <f>IFERROR(__xludf.DUMMYFUNCTION("""COMPUTED_VALUE"""),"CA2Rsp")</f>
        <v>CA2Rsp</v>
      </c>
      <c r="R1756" s="9"/>
      <c r="S1756" s="42"/>
      <c r="T1756" s="42"/>
      <c r="U1756" s="42"/>
      <c r="V1756" s="42"/>
      <c r="W1756" s="42"/>
      <c r="X1756" s="42"/>
      <c r="Y1756" s="42"/>
      <c r="Z1756" s="42"/>
      <c r="AA1756" s="42"/>
      <c r="AB1756" s="42" t="str">
        <f>IFERROR(__xludf.DUMMYFUNCTION("""COMPUTED_VALUE"""),"allen institute")</f>
        <v>allen institute</v>
      </c>
      <c r="AC1756" s="42" t="str">
        <f>IFERROR(__xludf.DUMMYFUNCTION("""COMPUTED_VALUE"""),"DHBA")</f>
        <v>DHBA</v>
      </c>
      <c r="AD1756" s="42"/>
      <c r="AE1756" s="42"/>
      <c r="AF1756" s="9"/>
      <c r="AG1756" s="9"/>
      <c r="AH1756" s="42"/>
      <c r="AI1756" s="42"/>
      <c r="AJ1756" s="42"/>
      <c r="AK1756" s="42"/>
      <c r="AL1756" s="42"/>
      <c r="AM1756" s="42"/>
      <c r="AN1756" s="42"/>
      <c r="AO1756" s="63" t="str">
        <f>IFERROR(__xludf.DUMMYFUNCTION("IF(ISBLANK(A1756),,IF(ISBLANK(S1756), A1756&amp;"";"", TEXTJOIN(CHAR(10), TRUE, A1756&amp;"";"", ARRAYFORMULA(VLOOKUP(SPLIT(S1756, "";"" &amp; CHAR(10)), $A:$AO, 41, FALSE)))))"),"CA2Rsp;")</f>
        <v>CA2Rsp;</v>
      </c>
      <c r="AP1756" s="89"/>
    </row>
    <row r="1757">
      <c r="A1757" s="151" t="str">
        <f>IFERROR(__xludf.DUMMYFUNCTION("""COMPUTED_VALUE"""),"CA2Rso")</f>
        <v>CA2Rso</v>
      </c>
      <c r="B1757" s="42" t="str">
        <f>IFERROR(__xludf.DUMMYFUNCTION("""COMPUTED_VALUE"""),"DHBA")</f>
        <v>DHBA</v>
      </c>
      <c r="C1757" s="42" t="str">
        <f>IFERROR(__xludf.DUMMYFUNCTION("""COMPUTED_VALUE"""),"stratum oriens of rostral CA2")</f>
        <v>stratum oriens of rostral CA2</v>
      </c>
      <c r="D1757" s="42">
        <f>IFERROR(__xludf.DUMMYFUNCTION("""COMPUTED_VALUE"""),1655.0)</f>
        <v>1655</v>
      </c>
      <c r="E1757" s="39" t="str">
        <f>IFERROR(__xludf.DUMMYFUNCTION("""COMPUTED_VALUE"""),"stratum oriens of rostral CA2")</f>
        <v>stratum oriens of rostral CA2</v>
      </c>
      <c r="F1757" s="9" t="str">
        <f>IFERROR(__xludf.DUMMYFUNCTION("""COMPUTED_VALUE"""),"Br")</f>
        <v>Br</v>
      </c>
      <c r="G1757" s="9" t="str">
        <f>IFERROR(__xludf.DUMMYFUNCTION("""COMPUTED_VALUE"""),"F")</f>
        <v>F</v>
      </c>
      <c r="H1757" s="9" t="str">
        <f>IFERROR(__xludf.DUMMYFUNCTION("""COMPUTED_VALUE"""),"FGM")</f>
        <v>FGM</v>
      </c>
      <c r="I1757" s="9" t="str">
        <f>IFERROR(__xludf.DUMMYFUNCTION("""COMPUTED_VALUE"""),"Tel")</f>
        <v>Tel</v>
      </c>
      <c r="J1757" s="9" t="str">
        <f>IFERROR(__xludf.DUMMYFUNCTION("""COMPUTED_VALUE"""),"Cx")</f>
        <v>Cx</v>
      </c>
      <c r="K1757" s="9" t="str">
        <f>IFERROR(__xludf.DUMMYFUNCTION("""COMPUTED_VALUE"""),"ACx")</f>
        <v>ACx</v>
      </c>
      <c r="L1757" s="9" t="str">
        <f>IFERROR(__xludf.DUMMYFUNCTION("""COMPUTED_VALUE"""),"ArCx")</f>
        <v>ArCx</v>
      </c>
      <c r="M1757" s="9" t="str">
        <f>IFERROR(__xludf.DUMMYFUNCTION("""COMPUTED_VALUE"""),"HIP")</f>
        <v>HIP</v>
      </c>
      <c r="N1757" s="9" t="str">
        <f>IFERROR(__xludf.DUMMYFUNCTION("""COMPUTED_VALUE"""),"Hipp")</f>
        <v>Hipp</v>
      </c>
      <c r="O1757" s="9" t="str">
        <f>IFERROR(__xludf.DUMMYFUNCTION("""COMPUTED_VALUE"""),"CA2")</f>
        <v>CA2</v>
      </c>
      <c r="P1757" s="9" t="str">
        <f>IFERROR(__xludf.DUMMYFUNCTION("""COMPUTED_VALUE"""),"CA2R")</f>
        <v>CA2R</v>
      </c>
      <c r="Q1757" s="9" t="str">
        <f>IFERROR(__xludf.DUMMYFUNCTION("""COMPUTED_VALUE"""),"CA2Rso")</f>
        <v>CA2Rso</v>
      </c>
      <c r="R1757" s="9"/>
      <c r="S1757" s="42"/>
      <c r="T1757" s="42"/>
      <c r="U1757" s="159"/>
      <c r="V1757" s="42"/>
      <c r="W1757" s="42"/>
      <c r="X1757" s="42"/>
      <c r="Y1757" s="42"/>
      <c r="Z1757" s="42"/>
      <c r="AA1757" s="42"/>
      <c r="AB1757" s="42" t="str">
        <f>IFERROR(__xludf.DUMMYFUNCTION("""COMPUTED_VALUE"""),"allen institute")</f>
        <v>allen institute</v>
      </c>
      <c r="AC1757" s="42" t="str">
        <f>IFERROR(__xludf.DUMMYFUNCTION("""COMPUTED_VALUE"""),"DHBA")</f>
        <v>DHBA</v>
      </c>
      <c r="AD1757" s="42"/>
      <c r="AE1757" s="42"/>
      <c r="AF1757" s="9"/>
      <c r="AG1757" s="9"/>
      <c r="AH1757" s="42"/>
      <c r="AI1757" s="42"/>
      <c r="AJ1757" s="42"/>
      <c r="AK1757" s="42"/>
      <c r="AL1757" s="42"/>
      <c r="AM1757" s="42"/>
      <c r="AN1757" s="42"/>
      <c r="AO1757" s="63" t="str">
        <f>IFERROR(__xludf.DUMMYFUNCTION("IF(ISBLANK(A1757),,IF(ISBLANK(S1757), A1757&amp;"";"", TEXTJOIN(CHAR(10), TRUE, A1757&amp;"";"", ARRAYFORMULA(VLOOKUP(SPLIT(S1757, "";"" &amp; CHAR(10)), $A:$AO, 41, FALSE)))))"),"CA2Rso;")</f>
        <v>CA2Rso;</v>
      </c>
      <c r="AP1757" s="89"/>
    </row>
    <row r="1758">
      <c r="A1758" s="151" t="str">
        <f>IFERROR(__xludf.DUMMYFUNCTION("""COMPUTED_VALUE"""),"CA2C")</f>
        <v>CA2C</v>
      </c>
      <c r="B1758" s="42" t="str">
        <f>IFERROR(__xludf.DUMMYFUNCTION("""COMPUTED_VALUE"""),"DHBA")</f>
        <v>DHBA</v>
      </c>
      <c r="C1758" s="42" t="str">
        <f>IFERROR(__xludf.DUMMYFUNCTION("""COMPUTED_VALUE"""),"caudal CA2")</f>
        <v>caudal CA2</v>
      </c>
      <c r="D1758" s="42">
        <f>IFERROR(__xludf.DUMMYFUNCTION("""COMPUTED_VALUE"""),1656.0)</f>
        <v>1656</v>
      </c>
      <c r="E1758" s="39" t="str">
        <f>IFERROR(__xludf.DUMMYFUNCTION("""COMPUTED_VALUE"""),"caudal CA2")</f>
        <v>caudal CA2</v>
      </c>
      <c r="F1758" s="9" t="str">
        <f>IFERROR(__xludf.DUMMYFUNCTION("""COMPUTED_VALUE"""),"Br")</f>
        <v>Br</v>
      </c>
      <c r="G1758" s="9" t="str">
        <f>IFERROR(__xludf.DUMMYFUNCTION("""COMPUTED_VALUE"""),"F")</f>
        <v>F</v>
      </c>
      <c r="H1758" s="9" t="str">
        <f>IFERROR(__xludf.DUMMYFUNCTION("""COMPUTED_VALUE"""),"FGM")</f>
        <v>FGM</v>
      </c>
      <c r="I1758" s="9" t="str">
        <f>IFERROR(__xludf.DUMMYFUNCTION("""COMPUTED_VALUE"""),"Tel")</f>
        <v>Tel</v>
      </c>
      <c r="J1758" s="9" t="str">
        <f>IFERROR(__xludf.DUMMYFUNCTION("""COMPUTED_VALUE"""),"Cx")</f>
        <v>Cx</v>
      </c>
      <c r="K1758" s="9" t="str">
        <f>IFERROR(__xludf.DUMMYFUNCTION("""COMPUTED_VALUE"""),"ACx")</f>
        <v>ACx</v>
      </c>
      <c r="L1758" s="9" t="str">
        <f>IFERROR(__xludf.DUMMYFUNCTION("""COMPUTED_VALUE"""),"ArCx")</f>
        <v>ArCx</v>
      </c>
      <c r="M1758" s="9" t="str">
        <f>IFERROR(__xludf.DUMMYFUNCTION("""COMPUTED_VALUE"""),"HIP")</f>
        <v>HIP</v>
      </c>
      <c r="N1758" s="9" t="str">
        <f>IFERROR(__xludf.DUMMYFUNCTION("""COMPUTED_VALUE"""),"Hipp")</f>
        <v>Hipp</v>
      </c>
      <c r="O1758" s="9" t="str">
        <f>IFERROR(__xludf.DUMMYFUNCTION("""COMPUTED_VALUE"""),"CA2")</f>
        <v>CA2</v>
      </c>
      <c r="P1758" s="9" t="str">
        <f>IFERROR(__xludf.DUMMYFUNCTION("""COMPUTED_VALUE"""),"CA2C")</f>
        <v>CA2C</v>
      </c>
      <c r="Q1758" s="9"/>
      <c r="R1758" s="9"/>
      <c r="S1758" s="42" t="str">
        <f>IFERROR(__xludf.DUMMYFUNCTION("""COMPUTED_VALUE"""),"CA2Cslm;
CA2Csr;
CA2Csp;
CA2Cso")</f>
        <v>CA2Cslm;
CA2Csr;
CA2Csp;
CA2Cso</v>
      </c>
      <c r="T1758" s="42"/>
      <c r="U1758" s="42" t="b">
        <f>IFERROR(__xludf.DUMMYFUNCTION("""COMPUTED_VALUE"""),FALSE)</f>
        <v>0</v>
      </c>
      <c r="V1758" s="42"/>
      <c r="W1758" s="42"/>
      <c r="X1758" s="42"/>
      <c r="Y1758" s="42"/>
      <c r="Z1758" s="42"/>
      <c r="AA1758" s="42"/>
      <c r="AB1758" s="42" t="str">
        <f>IFERROR(__xludf.DUMMYFUNCTION("""COMPUTED_VALUE"""),"allen institute")</f>
        <v>allen institute</v>
      </c>
      <c r="AC1758" s="42" t="str">
        <f>IFERROR(__xludf.DUMMYFUNCTION("""COMPUTED_VALUE"""),"DHBA")</f>
        <v>DHBA</v>
      </c>
      <c r="AD1758" s="42"/>
      <c r="AE1758" s="42"/>
      <c r="AF1758" s="9"/>
      <c r="AG1758" s="9"/>
      <c r="AH1758" s="42"/>
      <c r="AI1758" s="42"/>
      <c r="AJ1758" s="42"/>
      <c r="AK1758" s="42"/>
      <c r="AL1758" s="42"/>
      <c r="AM1758" s="42"/>
      <c r="AN1758" s="42"/>
      <c r="AO1758" s="63" t="str">
        <f>IFERROR(__xludf.DUMMYFUNCTION("IF(ISBLANK(A1758),,IF(ISBLANK(S1758), A1758&amp;"";"", TEXTJOIN(CHAR(10), TRUE, A1758&amp;"";"", ARRAYFORMULA(VLOOKUP(SPLIT(S1758, "";"" &amp; CHAR(10)), $A:$AO, 41, FALSE)))))"),"CA2C;
CA2Cslm;
CA2Csmo;
CA2Csla;
CA2Csr;
CA2Csp;
CA2Cso;")</f>
        <v>CA2C;
CA2Cslm;
CA2Csmo;
CA2Csla;
CA2Csr;
CA2Csp;
CA2Cso;</v>
      </c>
      <c r="AP1758" s="89"/>
    </row>
    <row r="1759">
      <c r="A1759" s="151" t="str">
        <f>IFERROR(__xludf.DUMMYFUNCTION("""COMPUTED_VALUE"""),"CA2Cslm")</f>
        <v>CA2Cslm</v>
      </c>
      <c r="B1759" s="42" t="str">
        <f>IFERROR(__xludf.DUMMYFUNCTION("""COMPUTED_VALUE"""),"DHBA")</f>
        <v>DHBA</v>
      </c>
      <c r="C1759" s="42" t="str">
        <f>IFERROR(__xludf.DUMMYFUNCTION("""COMPUTED_VALUE"""),"stratum lacunosum-moleculare of caudal CA2")</f>
        <v>stratum lacunosum-moleculare of caudal CA2</v>
      </c>
      <c r="D1759" s="42">
        <f>IFERROR(__xludf.DUMMYFUNCTION("""COMPUTED_VALUE"""),1657.0)</f>
        <v>1657</v>
      </c>
      <c r="E1759" s="39" t="str">
        <f>IFERROR(__xludf.DUMMYFUNCTION("""COMPUTED_VALUE"""),"stratum lacunosum-moleculare of caudal CA2")</f>
        <v>stratum lacunosum-moleculare of caudal CA2</v>
      </c>
      <c r="F1759" s="9" t="str">
        <f>IFERROR(__xludf.DUMMYFUNCTION("""COMPUTED_VALUE"""),"Br")</f>
        <v>Br</v>
      </c>
      <c r="G1759" s="9" t="str">
        <f>IFERROR(__xludf.DUMMYFUNCTION("""COMPUTED_VALUE"""),"F")</f>
        <v>F</v>
      </c>
      <c r="H1759" s="9" t="str">
        <f>IFERROR(__xludf.DUMMYFUNCTION("""COMPUTED_VALUE"""),"FGM")</f>
        <v>FGM</v>
      </c>
      <c r="I1759" s="9" t="str">
        <f>IFERROR(__xludf.DUMMYFUNCTION("""COMPUTED_VALUE"""),"Tel")</f>
        <v>Tel</v>
      </c>
      <c r="J1759" s="9" t="str">
        <f>IFERROR(__xludf.DUMMYFUNCTION("""COMPUTED_VALUE"""),"Cx")</f>
        <v>Cx</v>
      </c>
      <c r="K1759" s="9" t="str">
        <f>IFERROR(__xludf.DUMMYFUNCTION("""COMPUTED_VALUE"""),"ACx")</f>
        <v>ACx</v>
      </c>
      <c r="L1759" s="9" t="str">
        <f>IFERROR(__xludf.DUMMYFUNCTION("""COMPUTED_VALUE"""),"ArCx")</f>
        <v>ArCx</v>
      </c>
      <c r="M1759" s="9" t="str">
        <f>IFERROR(__xludf.DUMMYFUNCTION("""COMPUTED_VALUE"""),"HIP")</f>
        <v>HIP</v>
      </c>
      <c r="N1759" s="9" t="str">
        <f>IFERROR(__xludf.DUMMYFUNCTION("""COMPUTED_VALUE"""),"Hipp")</f>
        <v>Hipp</v>
      </c>
      <c r="O1759" s="9" t="str">
        <f>IFERROR(__xludf.DUMMYFUNCTION("""COMPUTED_VALUE"""),"CA2")</f>
        <v>CA2</v>
      </c>
      <c r="P1759" s="9" t="str">
        <f>IFERROR(__xludf.DUMMYFUNCTION("""COMPUTED_VALUE"""),"CA2C")</f>
        <v>CA2C</v>
      </c>
      <c r="Q1759" s="9" t="str">
        <f>IFERROR(__xludf.DUMMYFUNCTION("""COMPUTED_VALUE"""),"CA2Cslm")</f>
        <v>CA2Cslm</v>
      </c>
      <c r="R1759" s="9"/>
      <c r="S1759" s="42" t="str">
        <f>IFERROR(__xludf.DUMMYFUNCTION("""COMPUTED_VALUE"""),"CA2Csmo;
CA2Csla")</f>
        <v>CA2Csmo;
CA2Csla</v>
      </c>
      <c r="T1759" s="42"/>
      <c r="U1759" s="42" t="b">
        <f>IFERROR(__xludf.DUMMYFUNCTION("""COMPUTED_VALUE"""),FALSE)</f>
        <v>0</v>
      </c>
      <c r="V1759" s="42"/>
      <c r="W1759" s="42"/>
      <c r="X1759" s="42"/>
      <c r="Y1759" s="42"/>
      <c r="Z1759" s="42"/>
      <c r="AA1759" s="42"/>
      <c r="AB1759" s="42" t="str">
        <f>IFERROR(__xludf.DUMMYFUNCTION("""COMPUTED_VALUE"""),"allen institute")</f>
        <v>allen institute</v>
      </c>
      <c r="AC1759" s="42" t="str">
        <f>IFERROR(__xludf.DUMMYFUNCTION("""COMPUTED_VALUE"""),"DHBA")</f>
        <v>DHBA</v>
      </c>
      <c r="AD1759" s="42"/>
      <c r="AE1759" s="42"/>
      <c r="AF1759" s="9"/>
      <c r="AG1759" s="9"/>
      <c r="AH1759" s="42"/>
      <c r="AI1759" s="42"/>
      <c r="AJ1759" s="42"/>
      <c r="AK1759" s="42"/>
      <c r="AL1759" s="42"/>
      <c r="AM1759" s="42"/>
      <c r="AN1759" s="42"/>
      <c r="AO1759" s="63" t="str">
        <f>IFERROR(__xludf.DUMMYFUNCTION("IF(ISBLANK(A1759),,IF(ISBLANK(S1759), A1759&amp;"";"", TEXTJOIN(CHAR(10), TRUE, A1759&amp;"";"", ARRAYFORMULA(VLOOKUP(SPLIT(S1759, "";"" &amp; CHAR(10)), $A:$AO, 41, FALSE)))))"),"CA2Cslm;
CA2Csmo;
CA2Csla;")</f>
        <v>CA2Cslm;
CA2Csmo;
CA2Csla;</v>
      </c>
      <c r="AP1759" s="89"/>
    </row>
    <row r="1760">
      <c r="A1760" s="151" t="str">
        <f>IFERROR(__xludf.DUMMYFUNCTION("""COMPUTED_VALUE"""),"CA2Csmo")</f>
        <v>CA2Csmo</v>
      </c>
      <c r="B1760" s="42" t="str">
        <f>IFERROR(__xludf.DUMMYFUNCTION("""COMPUTED_VALUE"""),"DHBA")</f>
        <v>DHBA</v>
      </c>
      <c r="C1760" s="42" t="str">
        <f>IFERROR(__xludf.DUMMYFUNCTION("""COMPUTED_VALUE"""),"stratum moleculare of caudal CA2")</f>
        <v>stratum moleculare of caudal CA2</v>
      </c>
      <c r="D1760" s="42">
        <f>IFERROR(__xludf.DUMMYFUNCTION("""COMPUTED_VALUE"""),1658.0)</f>
        <v>1658</v>
      </c>
      <c r="E1760" s="39" t="str">
        <f>IFERROR(__xludf.DUMMYFUNCTION("""COMPUTED_VALUE"""),"stratum moleculare of caudal CA2")</f>
        <v>stratum moleculare of caudal CA2</v>
      </c>
      <c r="F1760" s="9" t="str">
        <f>IFERROR(__xludf.DUMMYFUNCTION("""COMPUTED_VALUE"""),"Br")</f>
        <v>Br</v>
      </c>
      <c r="G1760" s="9" t="str">
        <f>IFERROR(__xludf.DUMMYFUNCTION("""COMPUTED_VALUE"""),"F")</f>
        <v>F</v>
      </c>
      <c r="H1760" s="9" t="str">
        <f>IFERROR(__xludf.DUMMYFUNCTION("""COMPUTED_VALUE"""),"FGM")</f>
        <v>FGM</v>
      </c>
      <c r="I1760" s="9" t="str">
        <f>IFERROR(__xludf.DUMMYFUNCTION("""COMPUTED_VALUE"""),"Tel")</f>
        <v>Tel</v>
      </c>
      <c r="J1760" s="9" t="str">
        <f>IFERROR(__xludf.DUMMYFUNCTION("""COMPUTED_VALUE"""),"Cx")</f>
        <v>Cx</v>
      </c>
      <c r="K1760" s="9" t="str">
        <f>IFERROR(__xludf.DUMMYFUNCTION("""COMPUTED_VALUE"""),"ACx")</f>
        <v>ACx</v>
      </c>
      <c r="L1760" s="9" t="str">
        <f>IFERROR(__xludf.DUMMYFUNCTION("""COMPUTED_VALUE"""),"ArCx")</f>
        <v>ArCx</v>
      </c>
      <c r="M1760" s="9" t="str">
        <f>IFERROR(__xludf.DUMMYFUNCTION("""COMPUTED_VALUE"""),"HIP")</f>
        <v>HIP</v>
      </c>
      <c r="N1760" s="9" t="str">
        <f>IFERROR(__xludf.DUMMYFUNCTION("""COMPUTED_VALUE"""),"Hipp")</f>
        <v>Hipp</v>
      </c>
      <c r="O1760" s="9" t="str">
        <f>IFERROR(__xludf.DUMMYFUNCTION("""COMPUTED_VALUE"""),"CA2")</f>
        <v>CA2</v>
      </c>
      <c r="P1760" s="9" t="str">
        <f>IFERROR(__xludf.DUMMYFUNCTION("""COMPUTED_VALUE"""),"CA2C")</f>
        <v>CA2C</v>
      </c>
      <c r="Q1760" s="9" t="str">
        <f>IFERROR(__xludf.DUMMYFUNCTION("""COMPUTED_VALUE"""),"CA2Cslm")</f>
        <v>CA2Cslm</v>
      </c>
      <c r="R1760" s="9" t="str">
        <f>IFERROR(__xludf.DUMMYFUNCTION("""COMPUTED_VALUE"""),"CA2Csmo")</f>
        <v>CA2Csmo</v>
      </c>
      <c r="S1760" s="42"/>
      <c r="T1760" s="42"/>
      <c r="U1760" s="42"/>
      <c r="V1760" s="42"/>
      <c r="W1760" s="42"/>
      <c r="X1760" s="42"/>
      <c r="Y1760" s="42"/>
      <c r="Z1760" s="42"/>
      <c r="AA1760" s="42"/>
      <c r="AB1760" s="42" t="str">
        <f>IFERROR(__xludf.DUMMYFUNCTION("""COMPUTED_VALUE"""),"allen institute")</f>
        <v>allen institute</v>
      </c>
      <c r="AC1760" s="42" t="str">
        <f>IFERROR(__xludf.DUMMYFUNCTION("""COMPUTED_VALUE"""),"DHBA")</f>
        <v>DHBA</v>
      </c>
      <c r="AD1760" s="42"/>
      <c r="AE1760" s="42"/>
      <c r="AF1760" s="9"/>
      <c r="AG1760" s="9"/>
      <c r="AH1760" s="42"/>
      <c r="AI1760" s="42"/>
      <c r="AJ1760" s="42"/>
      <c r="AK1760" s="42"/>
      <c r="AL1760" s="42"/>
      <c r="AM1760" s="42"/>
      <c r="AN1760" s="42"/>
      <c r="AO1760" s="63" t="str">
        <f>IFERROR(__xludf.DUMMYFUNCTION("IF(ISBLANK(A1760),,IF(ISBLANK(S1760), A1760&amp;"";"", TEXTJOIN(CHAR(10), TRUE, A1760&amp;"";"", ARRAYFORMULA(VLOOKUP(SPLIT(S1760, "";"" &amp; CHAR(10)), $A:$AO, 41, FALSE)))))"),"CA2Csmo;")</f>
        <v>CA2Csmo;</v>
      </c>
      <c r="AP1760" s="89"/>
    </row>
    <row r="1761">
      <c r="A1761" s="151" t="str">
        <f>IFERROR(__xludf.DUMMYFUNCTION("""COMPUTED_VALUE"""),"CA2Csla")</f>
        <v>CA2Csla</v>
      </c>
      <c r="B1761" s="42" t="str">
        <f>IFERROR(__xludf.DUMMYFUNCTION("""COMPUTED_VALUE"""),"DHBA")</f>
        <v>DHBA</v>
      </c>
      <c r="C1761" s="42" t="str">
        <f>IFERROR(__xludf.DUMMYFUNCTION("""COMPUTED_VALUE"""),"stratum lacunosum of caudal CA2")</f>
        <v>stratum lacunosum of caudal CA2</v>
      </c>
      <c r="D1761" s="42">
        <f>IFERROR(__xludf.DUMMYFUNCTION("""COMPUTED_VALUE"""),1659.0)</f>
        <v>1659</v>
      </c>
      <c r="E1761" s="39" t="str">
        <f>IFERROR(__xludf.DUMMYFUNCTION("""COMPUTED_VALUE"""),"stratum lacunosum of caudal CA2")</f>
        <v>stratum lacunosum of caudal CA2</v>
      </c>
      <c r="F1761" s="9" t="str">
        <f>IFERROR(__xludf.DUMMYFUNCTION("""COMPUTED_VALUE"""),"Br")</f>
        <v>Br</v>
      </c>
      <c r="G1761" s="9" t="str">
        <f>IFERROR(__xludf.DUMMYFUNCTION("""COMPUTED_VALUE"""),"F")</f>
        <v>F</v>
      </c>
      <c r="H1761" s="9" t="str">
        <f>IFERROR(__xludf.DUMMYFUNCTION("""COMPUTED_VALUE"""),"FGM")</f>
        <v>FGM</v>
      </c>
      <c r="I1761" s="9" t="str">
        <f>IFERROR(__xludf.DUMMYFUNCTION("""COMPUTED_VALUE"""),"Tel")</f>
        <v>Tel</v>
      </c>
      <c r="J1761" s="9" t="str">
        <f>IFERROR(__xludf.DUMMYFUNCTION("""COMPUTED_VALUE"""),"Cx")</f>
        <v>Cx</v>
      </c>
      <c r="K1761" s="9" t="str">
        <f>IFERROR(__xludf.DUMMYFUNCTION("""COMPUTED_VALUE"""),"ACx")</f>
        <v>ACx</v>
      </c>
      <c r="L1761" s="9" t="str">
        <f>IFERROR(__xludf.DUMMYFUNCTION("""COMPUTED_VALUE"""),"ArCx")</f>
        <v>ArCx</v>
      </c>
      <c r="M1761" s="9" t="str">
        <f>IFERROR(__xludf.DUMMYFUNCTION("""COMPUTED_VALUE"""),"HIP")</f>
        <v>HIP</v>
      </c>
      <c r="N1761" s="9" t="str">
        <f>IFERROR(__xludf.DUMMYFUNCTION("""COMPUTED_VALUE"""),"Hipp")</f>
        <v>Hipp</v>
      </c>
      <c r="O1761" s="9" t="str">
        <f>IFERROR(__xludf.DUMMYFUNCTION("""COMPUTED_VALUE"""),"CA2")</f>
        <v>CA2</v>
      </c>
      <c r="P1761" s="9" t="str">
        <f>IFERROR(__xludf.DUMMYFUNCTION("""COMPUTED_VALUE"""),"CA2C")</f>
        <v>CA2C</v>
      </c>
      <c r="Q1761" s="9" t="str">
        <f>IFERROR(__xludf.DUMMYFUNCTION("""COMPUTED_VALUE"""),"CA2Cslm")</f>
        <v>CA2Cslm</v>
      </c>
      <c r="R1761" s="9" t="str">
        <f>IFERROR(__xludf.DUMMYFUNCTION("""COMPUTED_VALUE"""),"CA2Csla")</f>
        <v>CA2Csla</v>
      </c>
      <c r="S1761" s="42"/>
      <c r="T1761" s="42"/>
      <c r="U1761" s="42"/>
      <c r="V1761" s="42"/>
      <c r="W1761" s="42"/>
      <c r="X1761" s="42"/>
      <c r="Y1761" s="42"/>
      <c r="Z1761" s="42"/>
      <c r="AA1761" s="42"/>
      <c r="AB1761" s="42" t="str">
        <f>IFERROR(__xludf.DUMMYFUNCTION("""COMPUTED_VALUE"""),"allen institute")</f>
        <v>allen institute</v>
      </c>
      <c r="AC1761" s="42" t="str">
        <f>IFERROR(__xludf.DUMMYFUNCTION("""COMPUTED_VALUE"""),"DHBA")</f>
        <v>DHBA</v>
      </c>
      <c r="AD1761" s="42"/>
      <c r="AE1761" s="42"/>
      <c r="AF1761" s="9"/>
      <c r="AG1761" s="9"/>
      <c r="AH1761" s="42"/>
      <c r="AI1761" s="42"/>
      <c r="AJ1761" s="42"/>
      <c r="AK1761" s="42"/>
      <c r="AL1761" s="42"/>
      <c r="AM1761" s="42"/>
      <c r="AN1761" s="42"/>
      <c r="AO1761" s="63" t="str">
        <f>IFERROR(__xludf.DUMMYFUNCTION("IF(ISBLANK(A1761),,IF(ISBLANK(S1761), A1761&amp;"";"", TEXTJOIN(CHAR(10), TRUE, A1761&amp;"";"", ARRAYFORMULA(VLOOKUP(SPLIT(S1761, "";"" &amp; CHAR(10)), $A:$AO, 41, FALSE)))))"),"CA2Csla;")</f>
        <v>CA2Csla;</v>
      </c>
      <c r="AP1761" s="89"/>
    </row>
    <row r="1762">
      <c r="A1762" s="151" t="str">
        <f>IFERROR(__xludf.DUMMYFUNCTION("""COMPUTED_VALUE"""),"CA2Csr")</f>
        <v>CA2Csr</v>
      </c>
      <c r="B1762" s="42" t="str">
        <f>IFERROR(__xludf.DUMMYFUNCTION("""COMPUTED_VALUE"""),"DHBA")</f>
        <v>DHBA</v>
      </c>
      <c r="C1762" s="42" t="str">
        <f>IFERROR(__xludf.DUMMYFUNCTION("""COMPUTED_VALUE"""),"stratum radiatum of caudal CA2")</f>
        <v>stratum radiatum of caudal CA2</v>
      </c>
      <c r="D1762" s="42">
        <f>IFERROR(__xludf.DUMMYFUNCTION("""COMPUTED_VALUE"""),1660.0)</f>
        <v>1660</v>
      </c>
      <c r="E1762" s="39" t="str">
        <f>IFERROR(__xludf.DUMMYFUNCTION("""COMPUTED_VALUE"""),"stratum radiatum of caudal CA2")</f>
        <v>stratum radiatum of caudal CA2</v>
      </c>
      <c r="F1762" s="9" t="str">
        <f>IFERROR(__xludf.DUMMYFUNCTION("""COMPUTED_VALUE"""),"Br")</f>
        <v>Br</v>
      </c>
      <c r="G1762" s="9" t="str">
        <f>IFERROR(__xludf.DUMMYFUNCTION("""COMPUTED_VALUE"""),"F")</f>
        <v>F</v>
      </c>
      <c r="H1762" s="9" t="str">
        <f>IFERROR(__xludf.DUMMYFUNCTION("""COMPUTED_VALUE"""),"FGM")</f>
        <v>FGM</v>
      </c>
      <c r="I1762" s="9" t="str">
        <f>IFERROR(__xludf.DUMMYFUNCTION("""COMPUTED_VALUE"""),"Tel")</f>
        <v>Tel</v>
      </c>
      <c r="J1762" s="9" t="str">
        <f>IFERROR(__xludf.DUMMYFUNCTION("""COMPUTED_VALUE"""),"Cx")</f>
        <v>Cx</v>
      </c>
      <c r="K1762" s="9" t="str">
        <f>IFERROR(__xludf.DUMMYFUNCTION("""COMPUTED_VALUE"""),"ACx")</f>
        <v>ACx</v>
      </c>
      <c r="L1762" s="9" t="str">
        <f>IFERROR(__xludf.DUMMYFUNCTION("""COMPUTED_VALUE"""),"ArCx")</f>
        <v>ArCx</v>
      </c>
      <c r="M1762" s="9" t="str">
        <f>IFERROR(__xludf.DUMMYFUNCTION("""COMPUTED_VALUE"""),"HIP")</f>
        <v>HIP</v>
      </c>
      <c r="N1762" s="9" t="str">
        <f>IFERROR(__xludf.DUMMYFUNCTION("""COMPUTED_VALUE"""),"Hipp")</f>
        <v>Hipp</v>
      </c>
      <c r="O1762" s="9" t="str">
        <f>IFERROR(__xludf.DUMMYFUNCTION("""COMPUTED_VALUE"""),"CA2")</f>
        <v>CA2</v>
      </c>
      <c r="P1762" s="9" t="str">
        <f>IFERROR(__xludf.DUMMYFUNCTION("""COMPUTED_VALUE"""),"CA2C")</f>
        <v>CA2C</v>
      </c>
      <c r="Q1762" s="9" t="str">
        <f>IFERROR(__xludf.DUMMYFUNCTION("""COMPUTED_VALUE"""),"CA2Csr")</f>
        <v>CA2Csr</v>
      </c>
      <c r="R1762" s="9"/>
      <c r="S1762" s="42"/>
      <c r="T1762" s="42"/>
      <c r="U1762" s="42"/>
      <c r="V1762" s="42"/>
      <c r="W1762" s="42"/>
      <c r="X1762" s="42"/>
      <c r="Y1762" s="42"/>
      <c r="Z1762" s="42"/>
      <c r="AA1762" s="42"/>
      <c r="AB1762" s="42" t="str">
        <f>IFERROR(__xludf.DUMMYFUNCTION("""COMPUTED_VALUE"""),"allen institute")</f>
        <v>allen institute</v>
      </c>
      <c r="AC1762" s="42" t="str">
        <f>IFERROR(__xludf.DUMMYFUNCTION("""COMPUTED_VALUE"""),"DHBA")</f>
        <v>DHBA</v>
      </c>
      <c r="AD1762" s="42"/>
      <c r="AE1762" s="42"/>
      <c r="AF1762" s="9"/>
      <c r="AG1762" s="9"/>
      <c r="AH1762" s="42"/>
      <c r="AI1762" s="42"/>
      <c r="AJ1762" s="42"/>
      <c r="AK1762" s="42"/>
      <c r="AL1762" s="42"/>
      <c r="AM1762" s="42"/>
      <c r="AN1762" s="42"/>
      <c r="AO1762" s="63" t="str">
        <f>IFERROR(__xludf.DUMMYFUNCTION("IF(ISBLANK(A1762),,IF(ISBLANK(S1762), A1762&amp;"";"", TEXTJOIN(CHAR(10), TRUE, A1762&amp;"";"", ARRAYFORMULA(VLOOKUP(SPLIT(S1762, "";"" &amp; CHAR(10)), $A:$AO, 41, FALSE)))))"),"CA2Csr;")</f>
        <v>CA2Csr;</v>
      </c>
      <c r="AP1762" s="89"/>
    </row>
    <row r="1763">
      <c r="A1763" s="151" t="str">
        <f>IFERROR(__xludf.DUMMYFUNCTION("""COMPUTED_VALUE"""),"CA2Csp")</f>
        <v>CA2Csp</v>
      </c>
      <c r="B1763" s="42" t="str">
        <f>IFERROR(__xludf.DUMMYFUNCTION("""COMPUTED_VALUE"""),"DHBA")</f>
        <v>DHBA</v>
      </c>
      <c r="C1763" s="42" t="str">
        <f>IFERROR(__xludf.DUMMYFUNCTION("""COMPUTED_VALUE"""),"stratum pyramidale of caudal CA2")</f>
        <v>stratum pyramidale of caudal CA2</v>
      </c>
      <c r="D1763" s="42">
        <f>IFERROR(__xludf.DUMMYFUNCTION("""COMPUTED_VALUE"""),1661.0)</f>
        <v>1661</v>
      </c>
      <c r="E1763" s="39" t="str">
        <f>IFERROR(__xludf.DUMMYFUNCTION("""COMPUTED_VALUE"""),"stratum pyramidale of caudal CA2")</f>
        <v>stratum pyramidale of caudal CA2</v>
      </c>
      <c r="F1763" s="9" t="str">
        <f>IFERROR(__xludf.DUMMYFUNCTION("""COMPUTED_VALUE"""),"Br")</f>
        <v>Br</v>
      </c>
      <c r="G1763" s="9" t="str">
        <f>IFERROR(__xludf.DUMMYFUNCTION("""COMPUTED_VALUE"""),"F")</f>
        <v>F</v>
      </c>
      <c r="H1763" s="9" t="str">
        <f>IFERROR(__xludf.DUMMYFUNCTION("""COMPUTED_VALUE"""),"FGM")</f>
        <v>FGM</v>
      </c>
      <c r="I1763" s="9" t="str">
        <f>IFERROR(__xludf.DUMMYFUNCTION("""COMPUTED_VALUE"""),"Tel")</f>
        <v>Tel</v>
      </c>
      <c r="J1763" s="9" t="str">
        <f>IFERROR(__xludf.DUMMYFUNCTION("""COMPUTED_VALUE"""),"Cx")</f>
        <v>Cx</v>
      </c>
      <c r="K1763" s="9" t="str">
        <f>IFERROR(__xludf.DUMMYFUNCTION("""COMPUTED_VALUE"""),"ACx")</f>
        <v>ACx</v>
      </c>
      <c r="L1763" s="9" t="str">
        <f>IFERROR(__xludf.DUMMYFUNCTION("""COMPUTED_VALUE"""),"ArCx")</f>
        <v>ArCx</v>
      </c>
      <c r="M1763" s="9" t="str">
        <f>IFERROR(__xludf.DUMMYFUNCTION("""COMPUTED_VALUE"""),"HIP")</f>
        <v>HIP</v>
      </c>
      <c r="N1763" s="9" t="str">
        <f>IFERROR(__xludf.DUMMYFUNCTION("""COMPUTED_VALUE"""),"Hipp")</f>
        <v>Hipp</v>
      </c>
      <c r="O1763" s="9" t="str">
        <f>IFERROR(__xludf.DUMMYFUNCTION("""COMPUTED_VALUE"""),"CA2")</f>
        <v>CA2</v>
      </c>
      <c r="P1763" s="9" t="str">
        <f>IFERROR(__xludf.DUMMYFUNCTION("""COMPUTED_VALUE"""),"CA2C")</f>
        <v>CA2C</v>
      </c>
      <c r="Q1763" s="9" t="str">
        <f>IFERROR(__xludf.DUMMYFUNCTION("""COMPUTED_VALUE"""),"CA2Csp")</f>
        <v>CA2Csp</v>
      </c>
      <c r="R1763" s="9"/>
      <c r="S1763" s="42"/>
      <c r="T1763" s="42"/>
      <c r="U1763" s="42"/>
      <c r="V1763" s="42"/>
      <c r="W1763" s="42"/>
      <c r="X1763" s="42"/>
      <c r="Y1763" s="42"/>
      <c r="Z1763" s="42"/>
      <c r="AA1763" s="42"/>
      <c r="AB1763" s="42" t="str">
        <f>IFERROR(__xludf.DUMMYFUNCTION("""COMPUTED_VALUE"""),"allen institute")</f>
        <v>allen institute</v>
      </c>
      <c r="AC1763" s="42" t="str">
        <f>IFERROR(__xludf.DUMMYFUNCTION("""COMPUTED_VALUE"""),"DHBA")</f>
        <v>DHBA</v>
      </c>
      <c r="AD1763" s="42"/>
      <c r="AE1763" s="42"/>
      <c r="AF1763" s="9"/>
      <c r="AG1763" s="9"/>
      <c r="AH1763" s="42"/>
      <c r="AI1763" s="42"/>
      <c r="AJ1763" s="42"/>
      <c r="AK1763" s="42"/>
      <c r="AL1763" s="42"/>
      <c r="AM1763" s="42"/>
      <c r="AN1763" s="42"/>
      <c r="AO1763" s="63" t="str">
        <f>IFERROR(__xludf.DUMMYFUNCTION("IF(ISBLANK(A1763),,IF(ISBLANK(S1763), A1763&amp;"";"", TEXTJOIN(CHAR(10), TRUE, A1763&amp;"";"", ARRAYFORMULA(VLOOKUP(SPLIT(S1763, "";"" &amp; CHAR(10)), $A:$AO, 41, FALSE)))))"),"CA2Csp;")</f>
        <v>CA2Csp;</v>
      </c>
      <c r="AP1763" s="89"/>
    </row>
    <row r="1764">
      <c r="A1764" s="151" t="str">
        <f>IFERROR(__xludf.DUMMYFUNCTION("""COMPUTED_VALUE"""),"CA2Cso")</f>
        <v>CA2Cso</v>
      </c>
      <c r="B1764" s="42" t="str">
        <f>IFERROR(__xludf.DUMMYFUNCTION("""COMPUTED_VALUE"""),"DHBA")</f>
        <v>DHBA</v>
      </c>
      <c r="C1764" s="42" t="str">
        <f>IFERROR(__xludf.DUMMYFUNCTION("""COMPUTED_VALUE"""),"stratum oriens of caudal CA2")</f>
        <v>stratum oriens of caudal CA2</v>
      </c>
      <c r="D1764" s="42">
        <f>IFERROR(__xludf.DUMMYFUNCTION("""COMPUTED_VALUE"""),1662.0)</f>
        <v>1662</v>
      </c>
      <c r="E1764" s="39" t="str">
        <f>IFERROR(__xludf.DUMMYFUNCTION("""COMPUTED_VALUE"""),"stratum oriens of caudal CA2")</f>
        <v>stratum oriens of caudal CA2</v>
      </c>
      <c r="F1764" s="9" t="str">
        <f>IFERROR(__xludf.DUMMYFUNCTION("""COMPUTED_VALUE"""),"Br")</f>
        <v>Br</v>
      </c>
      <c r="G1764" s="9" t="str">
        <f>IFERROR(__xludf.DUMMYFUNCTION("""COMPUTED_VALUE"""),"F")</f>
        <v>F</v>
      </c>
      <c r="H1764" s="9" t="str">
        <f>IFERROR(__xludf.DUMMYFUNCTION("""COMPUTED_VALUE"""),"FGM")</f>
        <v>FGM</v>
      </c>
      <c r="I1764" s="9" t="str">
        <f>IFERROR(__xludf.DUMMYFUNCTION("""COMPUTED_VALUE"""),"Tel")</f>
        <v>Tel</v>
      </c>
      <c r="J1764" s="9" t="str">
        <f>IFERROR(__xludf.DUMMYFUNCTION("""COMPUTED_VALUE"""),"Cx")</f>
        <v>Cx</v>
      </c>
      <c r="K1764" s="9" t="str">
        <f>IFERROR(__xludf.DUMMYFUNCTION("""COMPUTED_VALUE"""),"ACx")</f>
        <v>ACx</v>
      </c>
      <c r="L1764" s="9" t="str">
        <f>IFERROR(__xludf.DUMMYFUNCTION("""COMPUTED_VALUE"""),"ArCx")</f>
        <v>ArCx</v>
      </c>
      <c r="M1764" s="9" t="str">
        <f>IFERROR(__xludf.DUMMYFUNCTION("""COMPUTED_VALUE"""),"HIP")</f>
        <v>HIP</v>
      </c>
      <c r="N1764" s="9" t="str">
        <f>IFERROR(__xludf.DUMMYFUNCTION("""COMPUTED_VALUE"""),"Hipp")</f>
        <v>Hipp</v>
      </c>
      <c r="O1764" s="9" t="str">
        <f>IFERROR(__xludf.DUMMYFUNCTION("""COMPUTED_VALUE"""),"CA2")</f>
        <v>CA2</v>
      </c>
      <c r="P1764" s="9" t="str">
        <f>IFERROR(__xludf.DUMMYFUNCTION("""COMPUTED_VALUE"""),"CA2C")</f>
        <v>CA2C</v>
      </c>
      <c r="Q1764" s="9" t="str">
        <f>IFERROR(__xludf.DUMMYFUNCTION("""COMPUTED_VALUE"""),"CA2Cso")</f>
        <v>CA2Cso</v>
      </c>
      <c r="R1764" s="9"/>
      <c r="S1764" s="42"/>
      <c r="T1764" s="42"/>
      <c r="U1764" s="42"/>
      <c r="V1764" s="42"/>
      <c r="W1764" s="42"/>
      <c r="X1764" s="42"/>
      <c r="Y1764" s="42"/>
      <c r="Z1764" s="42"/>
      <c r="AA1764" s="42"/>
      <c r="AB1764" s="42" t="str">
        <f>IFERROR(__xludf.DUMMYFUNCTION("""COMPUTED_VALUE"""),"allen institute")</f>
        <v>allen institute</v>
      </c>
      <c r="AC1764" s="42" t="str">
        <f>IFERROR(__xludf.DUMMYFUNCTION("""COMPUTED_VALUE"""),"DHBA")</f>
        <v>DHBA</v>
      </c>
      <c r="AD1764" s="42"/>
      <c r="AE1764" s="42"/>
      <c r="AF1764" s="9"/>
      <c r="AG1764" s="9"/>
      <c r="AH1764" s="42"/>
      <c r="AI1764" s="42"/>
      <c r="AJ1764" s="42"/>
      <c r="AK1764" s="42"/>
      <c r="AL1764" s="42"/>
      <c r="AM1764" s="42"/>
      <c r="AN1764" s="42"/>
      <c r="AO1764" s="63" t="str">
        <f>IFERROR(__xludf.DUMMYFUNCTION("IF(ISBLANK(A1764),,IF(ISBLANK(S1764), A1764&amp;"";"", TEXTJOIN(CHAR(10), TRUE, A1764&amp;"";"", ARRAYFORMULA(VLOOKUP(SPLIT(S1764, "";"" &amp; CHAR(10)), $A:$AO, 41, FALSE)))))"),"CA2Cso;")</f>
        <v>CA2Cso;</v>
      </c>
      <c r="AP1764" s="89"/>
    </row>
    <row r="1765">
      <c r="A1765" s="151" t="str">
        <f>IFERROR(__xludf.DUMMYFUNCTION("""COMPUTED_VALUE"""),"CA3")</f>
        <v>CA3</v>
      </c>
      <c r="B1765" s="42" t="str">
        <f>IFERROR(__xludf.DUMMYFUNCTION("""COMPUTED_VALUE"""),"DHBA")</f>
        <v>DHBA</v>
      </c>
      <c r="C1765" s="42" t="str">
        <f>IFERROR(__xludf.DUMMYFUNCTION("""COMPUTED_VALUE"""),"cornu Ammonis 3")</f>
        <v>cornu Ammonis 3</v>
      </c>
      <c r="D1765" s="42">
        <f>IFERROR(__xludf.DUMMYFUNCTION("""COMPUTED_VALUE"""),1663.0)</f>
        <v>1663</v>
      </c>
      <c r="E1765" s="39" t="str">
        <f>IFERROR(__xludf.DUMMYFUNCTION("""COMPUTED_VALUE"""),"CA3 region of Hipp")</f>
        <v>CA3 region of Hipp</v>
      </c>
      <c r="F1765" s="9" t="str">
        <f>IFERROR(__xludf.DUMMYFUNCTION("""COMPUTED_VALUE"""),"Br")</f>
        <v>Br</v>
      </c>
      <c r="G1765" s="9" t="str">
        <f>IFERROR(__xludf.DUMMYFUNCTION("""COMPUTED_VALUE"""),"F")</f>
        <v>F</v>
      </c>
      <c r="H1765" s="9" t="str">
        <f>IFERROR(__xludf.DUMMYFUNCTION("""COMPUTED_VALUE"""),"FGM")</f>
        <v>FGM</v>
      </c>
      <c r="I1765" s="9" t="str">
        <f>IFERROR(__xludf.DUMMYFUNCTION("""COMPUTED_VALUE"""),"Tel")</f>
        <v>Tel</v>
      </c>
      <c r="J1765" s="9" t="str">
        <f>IFERROR(__xludf.DUMMYFUNCTION("""COMPUTED_VALUE"""),"Cx")</f>
        <v>Cx</v>
      </c>
      <c r="K1765" s="9" t="str">
        <f>IFERROR(__xludf.DUMMYFUNCTION("""COMPUTED_VALUE"""),"ACx")</f>
        <v>ACx</v>
      </c>
      <c r="L1765" s="9" t="str">
        <f>IFERROR(__xludf.DUMMYFUNCTION("""COMPUTED_VALUE"""),"ArCx")</f>
        <v>ArCx</v>
      </c>
      <c r="M1765" s="9" t="str">
        <f>IFERROR(__xludf.DUMMYFUNCTION("""COMPUTED_VALUE"""),"HIP")</f>
        <v>HIP</v>
      </c>
      <c r="N1765" s="9" t="str">
        <f>IFERROR(__xludf.DUMMYFUNCTION("""COMPUTED_VALUE"""),"Hipp")</f>
        <v>Hipp</v>
      </c>
      <c r="O1765" s="9" t="str">
        <f>IFERROR(__xludf.DUMMYFUNCTION("""COMPUTED_VALUE"""),"CA3")</f>
        <v>CA3</v>
      </c>
      <c r="P1765" s="9"/>
      <c r="Q1765" s="9"/>
      <c r="R1765" s="9"/>
      <c r="S1765" s="42" t="str">
        <f>IFERROR(__xludf.DUMMYFUNCTION("""COMPUTED_VALUE"""),"CA3U;
CA3R;
CA3C")</f>
        <v>CA3U;
CA3R;
CA3C</v>
      </c>
      <c r="T1765" s="42"/>
      <c r="U1765" s="42" t="b">
        <f>IFERROR(__xludf.DUMMYFUNCTION("""COMPUTED_VALUE"""),FALSE)</f>
        <v>0</v>
      </c>
      <c r="V1765" s="42"/>
      <c r="W1765" s="42" t="str">
        <f>IFERROR(__xludf.DUMMYFUNCTION("""COMPUTED_VALUE"""),"Excitatory")</f>
        <v>Excitatory</v>
      </c>
      <c r="X1765" s="42"/>
      <c r="Y1765" s="42" t="str">
        <f>IFERROR(__xludf.DUMMYFUNCTION("""COMPUTED_VALUE"""),"Pattern completion, information integration [Kesner, 2007 ][Rolls, 2007]
")</f>
        <v>Pattern completion, information integration [Kesner, 2007 ][Rolls, 2007]
</v>
      </c>
      <c r="Z1765" s="42"/>
      <c r="AA1765" s="42"/>
      <c r="AB1765" s="42" t="str">
        <f>IFERROR(__xludf.DUMMYFUNCTION("""COMPUTED_VALUE"""),"allen institute")</f>
        <v>allen institute</v>
      </c>
      <c r="AC1765" s="42" t="str">
        <f>IFERROR(__xludf.DUMMYFUNCTION("""COMPUTED_VALUE"""),"DHBA")</f>
        <v>DHBA</v>
      </c>
      <c r="AD1765" s="42"/>
      <c r="AE1765" s="42"/>
      <c r="AF1765" s="9"/>
      <c r="AG1765" s="9"/>
      <c r="AH1765" s="42"/>
      <c r="AI1765" s="42"/>
      <c r="AJ1765" s="42"/>
      <c r="AK1765" s="42"/>
      <c r="AL1765" s="42"/>
      <c r="AM1765" s="42"/>
      <c r="AN1765" s="42"/>
      <c r="AO1765" s="63" t="str">
        <f>IFERROR(__xludf.DUMMYFUNCTION("IF(ISBLANK(A1765),,IF(ISBLANK(S1765), A1765&amp;"";"", TEXTJOIN(CHAR(10), TRUE, A1765&amp;"";"", ARRAYFORMULA(VLOOKUP(SPLIT(S1765, "";"" &amp; CHAR(10)), $A:$AO, 41, FALSE)))))"),"CA3;
CA3U;
CA3Uslm;
CA3Usmo;
CA3Usla;
CA3Usr;
CA3Usl;
CA3Usp;
CA3Uso;
CA3R;
CA3Rslm;
CA3Rsmo;
CA3Rsla;
CA3Rsr;
CA3Rsl;
CA3Rsp;
CA3Rso;
CA3C;
CA3Cslm;
CA3Csmo;
CA3Csla;
CA3Csr;
CA3Csl;
CA3Csp;
CA3Cso;")</f>
        <v>CA3;
CA3U;
CA3Uslm;
CA3Usmo;
CA3Usla;
CA3Usr;
CA3Usl;
CA3Usp;
CA3Uso;
CA3R;
CA3Rslm;
CA3Rsmo;
CA3Rsla;
CA3Rsr;
CA3Rsl;
CA3Rsp;
CA3Rso;
CA3C;
CA3Cslm;
CA3Csmo;
CA3Csla;
CA3Csr;
CA3Csl;
CA3Csp;
CA3Cso;</v>
      </c>
      <c r="AP1765" s="89"/>
    </row>
    <row r="1766">
      <c r="A1766" s="151" t="str">
        <f>IFERROR(__xludf.DUMMYFUNCTION("""COMPUTED_VALUE"""),"CA3U")</f>
        <v>CA3U</v>
      </c>
      <c r="B1766" s="42" t="str">
        <f>IFERROR(__xludf.DUMMYFUNCTION("""COMPUTED_VALUE"""),"DHBA")</f>
        <v>DHBA</v>
      </c>
      <c r="C1766" s="42" t="str">
        <f>IFERROR(__xludf.DUMMYFUNCTION("""COMPUTED_VALUE"""),"uncal CA3")</f>
        <v>uncal CA3</v>
      </c>
      <c r="D1766" s="42">
        <f>IFERROR(__xludf.DUMMYFUNCTION("""COMPUTED_VALUE"""),1664.0)</f>
        <v>1664</v>
      </c>
      <c r="E1766" s="39" t="str">
        <f>IFERROR(__xludf.DUMMYFUNCTION("""COMPUTED_VALUE"""),"uncal CA3")</f>
        <v>uncal CA3</v>
      </c>
      <c r="F1766" s="9" t="str">
        <f>IFERROR(__xludf.DUMMYFUNCTION("""COMPUTED_VALUE"""),"Br")</f>
        <v>Br</v>
      </c>
      <c r="G1766" s="9" t="str">
        <f>IFERROR(__xludf.DUMMYFUNCTION("""COMPUTED_VALUE"""),"F")</f>
        <v>F</v>
      </c>
      <c r="H1766" s="9" t="str">
        <f>IFERROR(__xludf.DUMMYFUNCTION("""COMPUTED_VALUE"""),"FGM")</f>
        <v>FGM</v>
      </c>
      <c r="I1766" s="9" t="str">
        <f>IFERROR(__xludf.DUMMYFUNCTION("""COMPUTED_VALUE"""),"Tel")</f>
        <v>Tel</v>
      </c>
      <c r="J1766" s="9" t="str">
        <f>IFERROR(__xludf.DUMMYFUNCTION("""COMPUTED_VALUE"""),"Cx")</f>
        <v>Cx</v>
      </c>
      <c r="K1766" s="9" t="str">
        <f>IFERROR(__xludf.DUMMYFUNCTION("""COMPUTED_VALUE"""),"ACx")</f>
        <v>ACx</v>
      </c>
      <c r="L1766" s="9" t="str">
        <f>IFERROR(__xludf.DUMMYFUNCTION("""COMPUTED_VALUE"""),"ArCx")</f>
        <v>ArCx</v>
      </c>
      <c r="M1766" s="9" t="str">
        <f>IFERROR(__xludf.DUMMYFUNCTION("""COMPUTED_VALUE"""),"HIP")</f>
        <v>HIP</v>
      </c>
      <c r="N1766" s="9" t="str">
        <f>IFERROR(__xludf.DUMMYFUNCTION("""COMPUTED_VALUE"""),"Hipp")</f>
        <v>Hipp</v>
      </c>
      <c r="O1766" s="9" t="str">
        <f>IFERROR(__xludf.DUMMYFUNCTION("""COMPUTED_VALUE"""),"CA3")</f>
        <v>CA3</v>
      </c>
      <c r="P1766" s="9" t="str">
        <f>IFERROR(__xludf.DUMMYFUNCTION("""COMPUTED_VALUE"""),"CA3U")</f>
        <v>CA3U</v>
      </c>
      <c r="Q1766" s="9"/>
      <c r="R1766" s="9"/>
      <c r="S1766" s="42" t="str">
        <f>IFERROR(__xludf.DUMMYFUNCTION("""COMPUTED_VALUE"""),"CA3Uslm;
CA3Usr;
CA3Usl;
CA3Usp;
CA3Uso")</f>
        <v>CA3Uslm;
CA3Usr;
CA3Usl;
CA3Usp;
CA3Uso</v>
      </c>
      <c r="T1766" s="42"/>
      <c r="U1766" s="42" t="b">
        <f>IFERROR(__xludf.DUMMYFUNCTION("""COMPUTED_VALUE"""),FALSE)</f>
        <v>0</v>
      </c>
      <c r="V1766" s="42"/>
      <c r="W1766" s="42"/>
      <c r="X1766" s="42"/>
      <c r="Y1766" s="42"/>
      <c r="Z1766" s="42"/>
      <c r="AA1766" s="42"/>
      <c r="AB1766" s="42" t="str">
        <f>IFERROR(__xludf.DUMMYFUNCTION("""COMPUTED_VALUE"""),"allen institute")</f>
        <v>allen institute</v>
      </c>
      <c r="AC1766" s="42" t="str">
        <f>IFERROR(__xludf.DUMMYFUNCTION("""COMPUTED_VALUE"""),"DHBA")</f>
        <v>DHBA</v>
      </c>
      <c r="AD1766" s="42"/>
      <c r="AE1766" s="42"/>
      <c r="AF1766" s="9"/>
      <c r="AG1766" s="9"/>
      <c r="AH1766" s="42"/>
      <c r="AI1766" s="42"/>
      <c r="AJ1766" s="42"/>
      <c r="AK1766" s="42"/>
      <c r="AL1766" s="42"/>
      <c r="AM1766" s="42"/>
      <c r="AN1766" s="42"/>
      <c r="AO1766" s="63" t="str">
        <f>IFERROR(__xludf.DUMMYFUNCTION("IF(ISBLANK(A1766),,IF(ISBLANK(S1766), A1766&amp;"";"", TEXTJOIN(CHAR(10), TRUE, A1766&amp;"";"", ARRAYFORMULA(VLOOKUP(SPLIT(S1766, "";"" &amp; CHAR(10)), $A:$AO, 41, FALSE)))))"),"CA3U;
CA3Uslm;
CA3Usmo;
CA3Usla;
CA3Usr;
CA3Usl;
CA3Usp;
CA3Uso;")</f>
        <v>CA3U;
CA3Uslm;
CA3Usmo;
CA3Usla;
CA3Usr;
CA3Usl;
CA3Usp;
CA3Uso;</v>
      </c>
      <c r="AP1766" s="89"/>
    </row>
    <row r="1767">
      <c r="A1767" s="151" t="str">
        <f>IFERROR(__xludf.DUMMYFUNCTION("""COMPUTED_VALUE"""),"CA3Uslm")</f>
        <v>CA3Uslm</v>
      </c>
      <c r="B1767" s="42" t="str">
        <f>IFERROR(__xludf.DUMMYFUNCTION("""COMPUTED_VALUE"""),"DHBA")</f>
        <v>DHBA</v>
      </c>
      <c r="C1767" s="42" t="str">
        <f>IFERROR(__xludf.DUMMYFUNCTION("""COMPUTED_VALUE"""),"stratum lacunosum-moleculare of uncal CA3")</f>
        <v>stratum lacunosum-moleculare of uncal CA3</v>
      </c>
      <c r="D1767" s="42">
        <f>IFERROR(__xludf.DUMMYFUNCTION("""COMPUTED_VALUE"""),1665.0)</f>
        <v>1665</v>
      </c>
      <c r="E1767" s="39" t="str">
        <f>IFERROR(__xludf.DUMMYFUNCTION("""COMPUTED_VALUE"""),"stratum lacunosum-moleculare of uncal CA3")</f>
        <v>stratum lacunosum-moleculare of uncal CA3</v>
      </c>
      <c r="F1767" s="9" t="str">
        <f>IFERROR(__xludf.DUMMYFUNCTION("""COMPUTED_VALUE"""),"Br")</f>
        <v>Br</v>
      </c>
      <c r="G1767" s="9" t="str">
        <f>IFERROR(__xludf.DUMMYFUNCTION("""COMPUTED_VALUE"""),"F")</f>
        <v>F</v>
      </c>
      <c r="H1767" s="9" t="str">
        <f>IFERROR(__xludf.DUMMYFUNCTION("""COMPUTED_VALUE"""),"FGM")</f>
        <v>FGM</v>
      </c>
      <c r="I1767" s="9" t="str">
        <f>IFERROR(__xludf.DUMMYFUNCTION("""COMPUTED_VALUE"""),"Tel")</f>
        <v>Tel</v>
      </c>
      <c r="J1767" s="9" t="str">
        <f>IFERROR(__xludf.DUMMYFUNCTION("""COMPUTED_VALUE"""),"Cx")</f>
        <v>Cx</v>
      </c>
      <c r="K1767" s="9" t="str">
        <f>IFERROR(__xludf.DUMMYFUNCTION("""COMPUTED_VALUE"""),"ACx")</f>
        <v>ACx</v>
      </c>
      <c r="L1767" s="9" t="str">
        <f>IFERROR(__xludf.DUMMYFUNCTION("""COMPUTED_VALUE"""),"ArCx")</f>
        <v>ArCx</v>
      </c>
      <c r="M1767" s="9" t="str">
        <f>IFERROR(__xludf.DUMMYFUNCTION("""COMPUTED_VALUE"""),"HIP")</f>
        <v>HIP</v>
      </c>
      <c r="N1767" s="9" t="str">
        <f>IFERROR(__xludf.DUMMYFUNCTION("""COMPUTED_VALUE"""),"Hipp")</f>
        <v>Hipp</v>
      </c>
      <c r="O1767" s="9" t="str">
        <f>IFERROR(__xludf.DUMMYFUNCTION("""COMPUTED_VALUE"""),"CA3")</f>
        <v>CA3</v>
      </c>
      <c r="P1767" s="9" t="str">
        <f>IFERROR(__xludf.DUMMYFUNCTION("""COMPUTED_VALUE"""),"CA3U")</f>
        <v>CA3U</v>
      </c>
      <c r="Q1767" s="9" t="str">
        <f>IFERROR(__xludf.DUMMYFUNCTION("""COMPUTED_VALUE"""),"CA3Uslm")</f>
        <v>CA3Uslm</v>
      </c>
      <c r="R1767" s="9"/>
      <c r="S1767" s="42" t="str">
        <f>IFERROR(__xludf.DUMMYFUNCTION("""COMPUTED_VALUE"""),"CA3Usmo;
CA3Usla")</f>
        <v>CA3Usmo;
CA3Usla</v>
      </c>
      <c r="T1767" s="42"/>
      <c r="U1767" s="42" t="b">
        <f>IFERROR(__xludf.DUMMYFUNCTION("""COMPUTED_VALUE"""),FALSE)</f>
        <v>0</v>
      </c>
      <c r="V1767" s="42"/>
      <c r="W1767" s="42"/>
      <c r="X1767" s="42"/>
      <c r="Y1767" s="42"/>
      <c r="Z1767" s="42"/>
      <c r="AA1767" s="42"/>
      <c r="AB1767" s="42" t="str">
        <f>IFERROR(__xludf.DUMMYFUNCTION("""COMPUTED_VALUE"""),"allen institute")</f>
        <v>allen institute</v>
      </c>
      <c r="AC1767" s="42" t="str">
        <f>IFERROR(__xludf.DUMMYFUNCTION("""COMPUTED_VALUE"""),"DHBA")</f>
        <v>DHBA</v>
      </c>
      <c r="AD1767" s="42"/>
      <c r="AE1767" s="42"/>
      <c r="AF1767" s="9"/>
      <c r="AG1767" s="9"/>
      <c r="AH1767" s="42"/>
      <c r="AI1767" s="42"/>
      <c r="AJ1767" s="42"/>
      <c r="AK1767" s="42"/>
      <c r="AL1767" s="42"/>
      <c r="AM1767" s="42"/>
      <c r="AN1767" s="42"/>
      <c r="AO1767" s="63" t="str">
        <f>IFERROR(__xludf.DUMMYFUNCTION("IF(ISBLANK(A1767),,IF(ISBLANK(S1767), A1767&amp;"";"", TEXTJOIN(CHAR(10), TRUE, A1767&amp;"";"", ARRAYFORMULA(VLOOKUP(SPLIT(S1767, "";"" &amp; CHAR(10)), $A:$AO, 41, FALSE)))))"),"CA3Uslm;
CA3Usmo;
CA3Usla;")</f>
        <v>CA3Uslm;
CA3Usmo;
CA3Usla;</v>
      </c>
      <c r="AP1767" s="89"/>
    </row>
    <row r="1768">
      <c r="A1768" s="151" t="str">
        <f>IFERROR(__xludf.DUMMYFUNCTION("""COMPUTED_VALUE"""),"CA3Usmo")</f>
        <v>CA3Usmo</v>
      </c>
      <c r="B1768" s="42" t="str">
        <f>IFERROR(__xludf.DUMMYFUNCTION("""COMPUTED_VALUE"""),"DHBA")</f>
        <v>DHBA</v>
      </c>
      <c r="C1768" s="42" t="str">
        <f>IFERROR(__xludf.DUMMYFUNCTION("""COMPUTED_VALUE"""),"stratum moleculare of uncal CA3")</f>
        <v>stratum moleculare of uncal CA3</v>
      </c>
      <c r="D1768" s="42">
        <f>IFERROR(__xludf.DUMMYFUNCTION("""COMPUTED_VALUE"""),1666.0)</f>
        <v>1666</v>
      </c>
      <c r="E1768" s="39" t="str">
        <f>IFERROR(__xludf.DUMMYFUNCTION("""COMPUTED_VALUE"""),"stratum moleculare of uncal CA3")</f>
        <v>stratum moleculare of uncal CA3</v>
      </c>
      <c r="F1768" s="9" t="str">
        <f>IFERROR(__xludf.DUMMYFUNCTION("""COMPUTED_VALUE"""),"Br")</f>
        <v>Br</v>
      </c>
      <c r="G1768" s="9" t="str">
        <f>IFERROR(__xludf.DUMMYFUNCTION("""COMPUTED_VALUE"""),"F")</f>
        <v>F</v>
      </c>
      <c r="H1768" s="9" t="str">
        <f>IFERROR(__xludf.DUMMYFUNCTION("""COMPUTED_VALUE"""),"FGM")</f>
        <v>FGM</v>
      </c>
      <c r="I1768" s="9" t="str">
        <f>IFERROR(__xludf.DUMMYFUNCTION("""COMPUTED_VALUE"""),"Tel")</f>
        <v>Tel</v>
      </c>
      <c r="J1768" s="9" t="str">
        <f>IFERROR(__xludf.DUMMYFUNCTION("""COMPUTED_VALUE"""),"Cx")</f>
        <v>Cx</v>
      </c>
      <c r="K1768" s="9" t="str">
        <f>IFERROR(__xludf.DUMMYFUNCTION("""COMPUTED_VALUE"""),"ACx")</f>
        <v>ACx</v>
      </c>
      <c r="L1768" s="9" t="str">
        <f>IFERROR(__xludf.DUMMYFUNCTION("""COMPUTED_VALUE"""),"ArCx")</f>
        <v>ArCx</v>
      </c>
      <c r="M1768" s="9" t="str">
        <f>IFERROR(__xludf.DUMMYFUNCTION("""COMPUTED_VALUE"""),"HIP")</f>
        <v>HIP</v>
      </c>
      <c r="N1768" s="9" t="str">
        <f>IFERROR(__xludf.DUMMYFUNCTION("""COMPUTED_VALUE"""),"Hipp")</f>
        <v>Hipp</v>
      </c>
      <c r="O1768" s="9" t="str">
        <f>IFERROR(__xludf.DUMMYFUNCTION("""COMPUTED_VALUE"""),"CA3")</f>
        <v>CA3</v>
      </c>
      <c r="P1768" s="9" t="str">
        <f>IFERROR(__xludf.DUMMYFUNCTION("""COMPUTED_VALUE"""),"CA3U")</f>
        <v>CA3U</v>
      </c>
      <c r="Q1768" s="9" t="str">
        <f>IFERROR(__xludf.DUMMYFUNCTION("""COMPUTED_VALUE"""),"CA3Uslm")</f>
        <v>CA3Uslm</v>
      </c>
      <c r="R1768" s="9" t="str">
        <f>IFERROR(__xludf.DUMMYFUNCTION("""COMPUTED_VALUE"""),"CA3Usmo")</f>
        <v>CA3Usmo</v>
      </c>
      <c r="S1768" s="42"/>
      <c r="T1768" s="42"/>
      <c r="U1768" s="42"/>
      <c r="V1768" s="42"/>
      <c r="W1768" s="42"/>
      <c r="X1768" s="42"/>
      <c r="Y1768" s="42"/>
      <c r="Z1768" s="42"/>
      <c r="AA1768" s="42"/>
      <c r="AB1768" s="42" t="str">
        <f>IFERROR(__xludf.DUMMYFUNCTION("""COMPUTED_VALUE"""),"allen institute")</f>
        <v>allen institute</v>
      </c>
      <c r="AC1768" s="42" t="str">
        <f>IFERROR(__xludf.DUMMYFUNCTION("""COMPUTED_VALUE"""),"DHBA")</f>
        <v>DHBA</v>
      </c>
      <c r="AD1768" s="42"/>
      <c r="AE1768" s="42"/>
      <c r="AF1768" s="9"/>
      <c r="AG1768" s="9"/>
      <c r="AH1768" s="42"/>
      <c r="AI1768" s="42"/>
      <c r="AJ1768" s="42"/>
      <c r="AK1768" s="42"/>
      <c r="AL1768" s="42"/>
      <c r="AM1768" s="42"/>
      <c r="AN1768" s="42"/>
      <c r="AO1768" s="63" t="str">
        <f>IFERROR(__xludf.DUMMYFUNCTION("IF(ISBLANK(A1768),,IF(ISBLANK(S1768), A1768&amp;"";"", TEXTJOIN(CHAR(10), TRUE, A1768&amp;"";"", ARRAYFORMULA(VLOOKUP(SPLIT(S1768, "";"" &amp; CHAR(10)), $A:$AO, 41, FALSE)))))"),"CA3Usmo;")</f>
        <v>CA3Usmo;</v>
      </c>
      <c r="AP1768" s="89"/>
    </row>
    <row r="1769">
      <c r="A1769" s="151" t="str">
        <f>IFERROR(__xludf.DUMMYFUNCTION("""COMPUTED_VALUE"""),"CA3Usla")</f>
        <v>CA3Usla</v>
      </c>
      <c r="B1769" s="42" t="str">
        <f>IFERROR(__xludf.DUMMYFUNCTION("""COMPUTED_VALUE"""),"DHBA")</f>
        <v>DHBA</v>
      </c>
      <c r="C1769" s="42" t="str">
        <f>IFERROR(__xludf.DUMMYFUNCTION("""COMPUTED_VALUE"""),"stratum lacunosum of uncal CA3")</f>
        <v>stratum lacunosum of uncal CA3</v>
      </c>
      <c r="D1769" s="42">
        <f>IFERROR(__xludf.DUMMYFUNCTION("""COMPUTED_VALUE"""),1667.0)</f>
        <v>1667</v>
      </c>
      <c r="E1769" s="39" t="str">
        <f>IFERROR(__xludf.DUMMYFUNCTION("""COMPUTED_VALUE"""),"stratum lacunosum of uncal CA3")</f>
        <v>stratum lacunosum of uncal CA3</v>
      </c>
      <c r="F1769" s="9" t="str">
        <f>IFERROR(__xludf.DUMMYFUNCTION("""COMPUTED_VALUE"""),"Br")</f>
        <v>Br</v>
      </c>
      <c r="G1769" s="9" t="str">
        <f>IFERROR(__xludf.DUMMYFUNCTION("""COMPUTED_VALUE"""),"F")</f>
        <v>F</v>
      </c>
      <c r="H1769" s="9" t="str">
        <f>IFERROR(__xludf.DUMMYFUNCTION("""COMPUTED_VALUE"""),"FGM")</f>
        <v>FGM</v>
      </c>
      <c r="I1769" s="9" t="str">
        <f>IFERROR(__xludf.DUMMYFUNCTION("""COMPUTED_VALUE"""),"Tel")</f>
        <v>Tel</v>
      </c>
      <c r="J1769" s="9" t="str">
        <f>IFERROR(__xludf.DUMMYFUNCTION("""COMPUTED_VALUE"""),"Cx")</f>
        <v>Cx</v>
      </c>
      <c r="K1769" s="9" t="str">
        <f>IFERROR(__xludf.DUMMYFUNCTION("""COMPUTED_VALUE"""),"ACx")</f>
        <v>ACx</v>
      </c>
      <c r="L1769" s="9" t="str">
        <f>IFERROR(__xludf.DUMMYFUNCTION("""COMPUTED_VALUE"""),"ArCx")</f>
        <v>ArCx</v>
      </c>
      <c r="M1769" s="9" t="str">
        <f>IFERROR(__xludf.DUMMYFUNCTION("""COMPUTED_VALUE"""),"HIP")</f>
        <v>HIP</v>
      </c>
      <c r="N1769" s="9" t="str">
        <f>IFERROR(__xludf.DUMMYFUNCTION("""COMPUTED_VALUE"""),"Hipp")</f>
        <v>Hipp</v>
      </c>
      <c r="O1769" s="9" t="str">
        <f>IFERROR(__xludf.DUMMYFUNCTION("""COMPUTED_VALUE"""),"CA3")</f>
        <v>CA3</v>
      </c>
      <c r="P1769" s="9" t="str">
        <f>IFERROR(__xludf.DUMMYFUNCTION("""COMPUTED_VALUE"""),"CA3U")</f>
        <v>CA3U</v>
      </c>
      <c r="Q1769" s="9" t="str">
        <f>IFERROR(__xludf.DUMMYFUNCTION("""COMPUTED_VALUE"""),"CA3Uslm")</f>
        <v>CA3Uslm</v>
      </c>
      <c r="R1769" s="9" t="str">
        <f>IFERROR(__xludf.DUMMYFUNCTION("""COMPUTED_VALUE"""),"CA3Usla")</f>
        <v>CA3Usla</v>
      </c>
      <c r="S1769" s="42"/>
      <c r="T1769" s="42"/>
      <c r="U1769" s="42"/>
      <c r="V1769" s="42"/>
      <c r="W1769" s="42"/>
      <c r="X1769" s="42"/>
      <c r="Y1769" s="42"/>
      <c r="Z1769" s="42"/>
      <c r="AA1769" s="42"/>
      <c r="AB1769" s="42" t="str">
        <f>IFERROR(__xludf.DUMMYFUNCTION("""COMPUTED_VALUE"""),"allen institute")</f>
        <v>allen institute</v>
      </c>
      <c r="AC1769" s="42" t="str">
        <f>IFERROR(__xludf.DUMMYFUNCTION("""COMPUTED_VALUE"""),"DHBA")</f>
        <v>DHBA</v>
      </c>
      <c r="AD1769" s="42"/>
      <c r="AE1769" s="42"/>
      <c r="AF1769" s="9"/>
      <c r="AG1769" s="9"/>
      <c r="AH1769" s="42"/>
      <c r="AI1769" s="42"/>
      <c r="AJ1769" s="42"/>
      <c r="AK1769" s="42"/>
      <c r="AL1769" s="42"/>
      <c r="AM1769" s="42"/>
      <c r="AN1769" s="42"/>
      <c r="AO1769" s="63" t="str">
        <f>IFERROR(__xludf.DUMMYFUNCTION("IF(ISBLANK(A1769),,IF(ISBLANK(S1769), A1769&amp;"";"", TEXTJOIN(CHAR(10), TRUE, A1769&amp;"";"", ARRAYFORMULA(VLOOKUP(SPLIT(S1769, "";"" &amp; CHAR(10)), $A:$AO, 41, FALSE)))))"),"CA3Usla;")</f>
        <v>CA3Usla;</v>
      </c>
      <c r="AP1769" s="89"/>
    </row>
    <row r="1770">
      <c r="A1770" s="151" t="str">
        <f>IFERROR(__xludf.DUMMYFUNCTION("""COMPUTED_VALUE"""),"CA3Usr")</f>
        <v>CA3Usr</v>
      </c>
      <c r="B1770" s="42" t="str">
        <f>IFERROR(__xludf.DUMMYFUNCTION("""COMPUTED_VALUE"""),"DHBA")</f>
        <v>DHBA</v>
      </c>
      <c r="C1770" s="42" t="str">
        <f>IFERROR(__xludf.DUMMYFUNCTION("""COMPUTED_VALUE"""),"stratum radiatum of uncal CA3")</f>
        <v>stratum radiatum of uncal CA3</v>
      </c>
      <c r="D1770" s="42">
        <f>IFERROR(__xludf.DUMMYFUNCTION("""COMPUTED_VALUE"""),1668.0)</f>
        <v>1668</v>
      </c>
      <c r="E1770" s="39" t="str">
        <f>IFERROR(__xludf.DUMMYFUNCTION("""COMPUTED_VALUE"""),"stratum radiatum of uncal CA3")</f>
        <v>stratum radiatum of uncal CA3</v>
      </c>
      <c r="F1770" s="9" t="str">
        <f>IFERROR(__xludf.DUMMYFUNCTION("""COMPUTED_VALUE"""),"Br")</f>
        <v>Br</v>
      </c>
      <c r="G1770" s="9" t="str">
        <f>IFERROR(__xludf.DUMMYFUNCTION("""COMPUTED_VALUE"""),"F")</f>
        <v>F</v>
      </c>
      <c r="H1770" s="9" t="str">
        <f>IFERROR(__xludf.DUMMYFUNCTION("""COMPUTED_VALUE"""),"FGM")</f>
        <v>FGM</v>
      </c>
      <c r="I1770" s="9" t="str">
        <f>IFERROR(__xludf.DUMMYFUNCTION("""COMPUTED_VALUE"""),"Tel")</f>
        <v>Tel</v>
      </c>
      <c r="J1770" s="9" t="str">
        <f>IFERROR(__xludf.DUMMYFUNCTION("""COMPUTED_VALUE"""),"Cx")</f>
        <v>Cx</v>
      </c>
      <c r="K1770" s="9" t="str">
        <f>IFERROR(__xludf.DUMMYFUNCTION("""COMPUTED_VALUE"""),"ACx")</f>
        <v>ACx</v>
      </c>
      <c r="L1770" s="9" t="str">
        <f>IFERROR(__xludf.DUMMYFUNCTION("""COMPUTED_VALUE"""),"ArCx")</f>
        <v>ArCx</v>
      </c>
      <c r="M1770" s="9" t="str">
        <f>IFERROR(__xludf.DUMMYFUNCTION("""COMPUTED_VALUE"""),"HIP")</f>
        <v>HIP</v>
      </c>
      <c r="N1770" s="9" t="str">
        <f>IFERROR(__xludf.DUMMYFUNCTION("""COMPUTED_VALUE"""),"Hipp")</f>
        <v>Hipp</v>
      </c>
      <c r="O1770" s="9" t="str">
        <f>IFERROR(__xludf.DUMMYFUNCTION("""COMPUTED_VALUE"""),"CA3")</f>
        <v>CA3</v>
      </c>
      <c r="P1770" s="9" t="str">
        <f>IFERROR(__xludf.DUMMYFUNCTION("""COMPUTED_VALUE"""),"CA3U")</f>
        <v>CA3U</v>
      </c>
      <c r="Q1770" s="9" t="str">
        <f>IFERROR(__xludf.DUMMYFUNCTION("""COMPUTED_VALUE"""),"CA3Usr")</f>
        <v>CA3Usr</v>
      </c>
      <c r="R1770" s="9"/>
      <c r="S1770" s="42"/>
      <c r="T1770" s="42"/>
      <c r="U1770" s="42"/>
      <c r="V1770" s="42"/>
      <c r="W1770" s="42"/>
      <c r="X1770" s="42"/>
      <c r="Y1770" s="42"/>
      <c r="Z1770" s="42"/>
      <c r="AA1770" s="42"/>
      <c r="AB1770" s="42" t="str">
        <f>IFERROR(__xludf.DUMMYFUNCTION("""COMPUTED_VALUE"""),"allen institute")</f>
        <v>allen institute</v>
      </c>
      <c r="AC1770" s="42" t="str">
        <f>IFERROR(__xludf.DUMMYFUNCTION("""COMPUTED_VALUE"""),"DHBA")</f>
        <v>DHBA</v>
      </c>
      <c r="AD1770" s="42"/>
      <c r="AE1770" s="42"/>
      <c r="AF1770" s="9"/>
      <c r="AG1770" s="9"/>
      <c r="AH1770" s="42"/>
      <c r="AI1770" s="42"/>
      <c r="AJ1770" s="42"/>
      <c r="AK1770" s="42"/>
      <c r="AL1770" s="42"/>
      <c r="AM1770" s="42"/>
      <c r="AN1770" s="42"/>
      <c r="AO1770" s="63" t="str">
        <f>IFERROR(__xludf.DUMMYFUNCTION("IF(ISBLANK(A1770),,IF(ISBLANK(S1770), A1770&amp;"";"", TEXTJOIN(CHAR(10), TRUE, A1770&amp;"";"", ARRAYFORMULA(VLOOKUP(SPLIT(S1770, "";"" &amp; CHAR(10)), $A:$AO, 41, FALSE)))))"),"CA3Usr;")</f>
        <v>CA3Usr;</v>
      </c>
      <c r="AP1770" s="89"/>
    </row>
    <row r="1771">
      <c r="A1771" s="151" t="str">
        <f>IFERROR(__xludf.DUMMYFUNCTION("""COMPUTED_VALUE"""),"CA3Usl")</f>
        <v>CA3Usl</v>
      </c>
      <c r="B1771" s="42" t="str">
        <f>IFERROR(__xludf.DUMMYFUNCTION("""COMPUTED_VALUE"""),"DHBA")</f>
        <v>DHBA</v>
      </c>
      <c r="C1771" s="42" t="str">
        <f>IFERROR(__xludf.DUMMYFUNCTION("""COMPUTED_VALUE"""),"stratum lucidum of uncal CA3")</f>
        <v>stratum lucidum of uncal CA3</v>
      </c>
      <c r="D1771" s="42">
        <f>IFERROR(__xludf.DUMMYFUNCTION("""COMPUTED_VALUE"""),1669.0)</f>
        <v>1669</v>
      </c>
      <c r="E1771" s="39" t="str">
        <f>IFERROR(__xludf.DUMMYFUNCTION("""COMPUTED_VALUE"""),"stratum lucidum of uncal CA3")</f>
        <v>stratum lucidum of uncal CA3</v>
      </c>
      <c r="F1771" s="9" t="str">
        <f>IFERROR(__xludf.DUMMYFUNCTION("""COMPUTED_VALUE"""),"Br")</f>
        <v>Br</v>
      </c>
      <c r="G1771" s="9" t="str">
        <f>IFERROR(__xludf.DUMMYFUNCTION("""COMPUTED_VALUE"""),"F")</f>
        <v>F</v>
      </c>
      <c r="H1771" s="9" t="str">
        <f>IFERROR(__xludf.DUMMYFUNCTION("""COMPUTED_VALUE"""),"FGM")</f>
        <v>FGM</v>
      </c>
      <c r="I1771" s="9" t="str">
        <f>IFERROR(__xludf.DUMMYFUNCTION("""COMPUTED_VALUE"""),"Tel")</f>
        <v>Tel</v>
      </c>
      <c r="J1771" s="9" t="str">
        <f>IFERROR(__xludf.DUMMYFUNCTION("""COMPUTED_VALUE"""),"Cx")</f>
        <v>Cx</v>
      </c>
      <c r="K1771" s="9" t="str">
        <f>IFERROR(__xludf.DUMMYFUNCTION("""COMPUTED_VALUE"""),"ACx")</f>
        <v>ACx</v>
      </c>
      <c r="L1771" s="9" t="str">
        <f>IFERROR(__xludf.DUMMYFUNCTION("""COMPUTED_VALUE"""),"ArCx")</f>
        <v>ArCx</v>
      </c>
      <c r="M1771" s="9" t="str">
        <f>IFERROR(__xludf.DUMMYFUNCTION("""COMPUTED_VALUE"""),"HIP")</f>
        <v>HIP</v>
      </c>
      <c r="N1771" s="9" t="str">
        <f>IFERROR(__xludf.DUMMYFUNCTION("""COMPUTED_VALUE"""),"Hipp")</f>
        <v>Hipp</v>
      </c>
      <c r="O1771" s="9" t="str">
        <f>IFERROR(__xludf.DUMMYFUNCTION("""COMPUTED_VALUE"""),"CA3")</f>
        <v>CA3</v>
      </c>
      <c r="P1771" s="9" t="str">
        <f>IFERROR(__xludf.DUMMYFUNCTION("""COMPUTED_VALUE"""),"CA3U")</f>
        <v>CA3U</v>
      </c>
      <c r="Q1771" s="9" t="str">
        <f>IFERROR(__xludf.DUMMYFUNCTION("""COMPUTED_VALUE"""),"CA3Usl")</f>
        <v>CA3Usl</v>
      </c>
      <c r="R1771" s="9"/>
      <c r="S1771" s="42"/>
      <c r="T1771" s="42"/>
      <c r="U1771" s="42"/>
      <c r="V1771" s="42"/>
      <c r="W1771" s="42"/>
      <c r="X1771" s="42"/>
      <c r="Y1771" s="42"/>
      <c r="Z1771" s="42"/>
      <c r="AA1771" s="42"/>
      <c r="AB1771" s="42" t="str">
        <f>IFERROR(__xludf.DUMMYFUNCTION("""COMPUTED_VALUE"""),"allen institute")</f>
        <v>allen institute</v>
      </c>
      <c r="AC1771" s="42" t="str">
        <f>IFERROR(__xludf.DUMMYFUNCTION("""COMPUTED_VALUE"""),"DHBA")</f>
        <v>DHBA</v>
      </c>
      <c r="AD1771" s="42"/>
      <c r="AE1771" s="42"/>
      <c r="AF1771" s="9"/>
      <c r="AG1771" s="9"/>
      <c r="AH1771" s="42"/>
      <c r="AI1771" s="42"/>
      <c r="AJ1771" s="42"/>
      <c r="AK1771" s="42"/>
      <c r="AL1771" s="42"/>
      <c r="AM1771" s="42"/>
      <c r="AN1771" s="42"/>
      <c r="AO1771" s="63" t="str">
        <f>IFERROR(__xludf.DUMMYFUNCTION("IF(ISBLANK(A1771),,IF(ISBLANK(S1771), A1771&amp;"";"", TEXTJOIN(CHAR(10), TRUE, A1771&amp;"";"", ARRAYFORMULA(VLOOKUP(SPLIT(S1771, "";"" &amp; CHAR(10)), $A:$AO, 41, FALSE)))))"),"CA3Usl;")</f>
        <v>CA3Usl;</v>
      </c>
      <c r="AP1771" s="89"/>
    </row>
    <row r="1772">
      <c r="A1772" s="151" t="str">
        <f>IFERROR(__xludf.DUMMYFUNCTION("""COMPUTED_VALUE"""),"CA3Usp")</f>
        <v>CA3Usp</v>
      </c>
      <c r="B1772" s="42" t="str">
        <f>IFERROR(__xludf.DUMMYFUNCTION("""COMPUTED_VALUE"""),"DHBA")</f>
        <v>DHBA</v>
      </c>
      <c r="C1772" s="42" t="str">
        <f>IFERROR(__xludf.DUMMYFUNCTION("""COMPUTED_VALUE"""),"stratum pyramidale of uncal CA3")</f>
        <v>stratum pyramidale of uncal CA3</v>
      </c>
      <c r="D1772" s="42">
        <f>IFERROR(__xludf.DUMMYFUNCTION("""COMPUTED_VALUE"""),1670.0)</f>
        <v>1670</v>
      </c>
      <c r="E1772" s="39" t="str">
        <f>IFERROR(__xludf.DUMMYFUNCTION("""COMPUTED_VALUE"""),"stratum pyramidale of uncal CA3")</f>
        <v>stratum pyramidale of uncal CA3</v>
      </c>
      <c r="F1772" s="9" t="str">
        <f>IFERROR(__xludf.DUMMYFUNCTION("""COMPUTED_VALUE"""),"Br")</f>
        <v>Br</v>
      </c>
      <c r="G1772" s="9" t="str">
        <f>IFERROR(__xludf.DUMMYFUNCTION("""COMPUTED_VALUE"""),"F")</f>
        <v>F</v>
      </c>
      <c r="H1772" s="9" t="str">
        <f>IFERROR(__xludf.DUMMYFUNCTION("""COMPUTED_VALUE"""),"FGM")</f>
        <v>FGM</v>
      </c>
      <c r="I1772" s="9" t="str">
        <f>IFERROR(__xludf.DUMMYFUNCTION("""COMPUTED_VALUE"""),"Tel")</f>
        <v>Tel</v>
      </c>
      <c r="J1772" s="9" t="str">
        <f>IFERROR(__xludf.DUMMYFUNCTION("""COMPUTED_VALUE"""),"Cx")</f>
        <v>Cx</v>
      </c>
      <c r="K1772" s="9" t="str">
        <f>IFERROR(__xludf.DUMMYFUNCTION("""COMPUTED_VALUE"""),"ACx")</f>
        <v>ACx</v>
      </c>
      <c r="L1772" s="9" t="str">
        <f>IFERROR(__xludf.DUMMYFUNCTION("""COMPUTED_VALUE"""),"ArCx")</f>
        <v>ArCx</v>
      </c>
      <c r="M1772" s="9" t="str">
        <f>IFERROR(__xludf.DUMMYFUNCTION("""COMPUTED_VALUE"""),"HIP")</f>
        <v>HIP</v>
      </c>
      <c r="N1772" s="9" t="str">
        <f>IFERROR(__xludf.DUMMYFUNCTION("""COMPUTED_VALUE"""),"Hipp")</f>
        <v>Hipp</v>
      </c>
      <c r="O1772" s="9" t="str">
        <f>IFERROR(__xludf.DUMMYFUNCTION("""COMPUTED_VALUE"""),"CA3")</f>
        <v>CA3</v>
      </c>
      <c r="P1772" s="9" t="str">
        <f>IFERROR(__xludf.DUMMYFUNCTION("""COMPUTED_VALUE"""),"CA3U")</f>
        <v>CA3U</v>
      </c>
      <c r="Q1772" s="9" t="str">
        <f>IFERROR(__xludf.DUMMYFUNCTION("""COMPUTED_VALUE"""),"CA3Usp")</f>
        <v>CA3Usp</v>
      </c>
      <c r="R1772" s="9"/>
      <c r="S1772" s="42"/>
      <c r="T1772" s="42"/>
      <c r="U1772" s="42"/>
      <c r="V1772" s="42"/>
      <c r="W1772" s="42"/>
      <c r="X1772" s="42"/>
      <c r="Y1772" s="42"/>
      <c r="Z1772" s="42"/>
      <c r="AA1772" s="42"/>
      <c r="AB1772" s="42" t="str">
        <f>IFERROR(__xludf.DUMMYFUNCTION("""COMPUTED_VALUE"""),"allen institute")</f>
        <v>allen institute</v>
      </c>
      <c r="AC1772" s="42" t="str">
        <f>IFERROR(__xludf.DUMMYFUNCTION("""COMPUTED_VALUE"""),"DHBA")</f>
        <v>DHBA</v>
      </c>
      <c r="AD1772" s="42"/>
      <c r="AE1772" s="42"/>
      <c r="AF1772" s="9"/>
      <c r="AG1772" s="9"/>
      <c r="AH1772" s="42"/>
      <c r="AI1772" s="42"/>
      <c r="AJ1772" s="42"/>
      <c r="AK1772" s="42"/>
      <c r="AL1772" s="42"/>
      <c r="AM1772" s="42"/>
      <c r="AN1772" s="42"/>
      <c r="AO1772" s="63" t="str">
        <f>IFERROR(__xludf.DUMMYFUNCTION("IF(ISBLANK(A1772),,IF(ISBLANK(S1772), A1772&amp;"";"", TEXTJOIN(CHAR(10), TRUE, A1772&amp;"";"", ARRAYFORMULA(VLOOKUP(SPLIT(S1772, "";"" &amp; CHAR(10)), $A:$AO, 41, FALSE)))))"),"CA3Usp;")</f>
        <v>CA3Usp;</v>
      </c>
      <c r="AP1772" s="89"/>
    </row>
    <row r="1773">
      <c r="A1773" s="151" t="str">
        <f>IFERROR(__xludf.DUMMYFUNCTION("""COMPUTED_VALUE"""),"CA3Uso")</f>
        <v>CA3Uso</v>
      </c>
      <c r="B1773" s="42" t="str">
        <f>IFERROR(__xludf.DUMMYFUNCTION("""COMPUTED_VALUE"""),"DHBA")</f>
        <v>DHBA</v>
      </c>
      <c r="C1773" s="42" t="str">
        <f>IFERROR(__xludf.DUMMYFUNCTION("""COMPUTED_VALUE"""),"stratum oriens of uncal CA3")</f>
        <v>stratum oriens of uncal CA3</v>
      </c>
      <c r="D1773" s="42">
        <f>IFERROR(__xludf.DUMMYFUNCTION("""COMPUTED_VALUE"""),1671.0)</f>
        <v>1671</v>
      </c>
      <c r="E1773" s="39" t="str">
        <f>IFERROR(__xludf.DUMMYFUNCTION("""COMPUTED_VALUE"""),"stratum oriens of uncal CA3")</f>
        <v>stratum oriens of uncal CA3</v>
      </c>
      <c r="F1773" s="9" t="str">
        <f>IFERROR(__xludf.DUMMYFUNCTION("""COMPUTED_VALUE"""),"Br")</f>
        <v>Br</v>
      </c>
      <c r="G1773" s="9" t="str">
        <f>IFERROR(__xludf.DUMMYFUNCTION("""COMPUTED_VALUE"""),"F")</f>
        <v>F</v>
      </c>
      <c r="H1773" s="9" t="str">
        <f>IFERROR(__xludf.DUMMYFUNCTION("""COMPUTED_VALUE"""),"FGM")</f>
        <v>FGM</v>
      </c>
      <c r="I1773" s="9" t="str">
        <f>IFERROR(__xludf.DUMMYFUNCTION("""COMPUTED_VALUE"""),"Tel")</f>
        <v>Tel</v>
      </c>
      <c r="J1773" s="9" t="str">
        <f>IFERROR(__xludf.DUMMYFUNCTION("""COMPUTED_VALUE"""),"Cx")</f>
        <v>Cx</v>
      </c>
      <c r="K1773" s="9" t="str">
        <f>IFERROR(__xludf.DUMMYFUNCTION("""COMPUTED_VALUE"""),"ACx")</f>
        <v>ACx</v>
      </c>
      <c r="L1773" s="9" t="str">
        <f>IFERROR(__xludf.DUMMYFUNCTION("""COMPUTED_VALUE"""),"ArCx")</f>
        <v>ArCx</v>
      </c>
      <c r="M1773" s="9" t="str">
        <f>IFERROR(__xludf.DUMMYFUNCTION("""COMPUTED_VALUE"""),"HIP")</f>
        <v>HIP</v>
      </c>
      <c r="N1773" s="9" t="str">
        <f>IFERROR(__xludf.DUMMYFUNCTION("""COMPUTED_VALUE"""),"Hipp")</f>
        <v>Hipp</v>
      </c>
      <c r="O1773" s="9" t="str">
        <f>IFERROR(__xludf.DUMMYFUNCTION("""COMPUTED_VALUE"""),"CA3")</f>
        <v>CA3</v>
      </c>
      <c r="P1773" s="9" t="str">
        <f>IFERROR(__xludf.DUMMYFUNCTION("""COMPUTED_VALUE"""),"CA3U")</f>
        <v>CA3U</v>
      </c>
      <c r="Q1773" s="9" t="str">
        <f>IFERROR(__xludf.DUMMYFUNCTION("""COMPUTED_VALUE"""),"CA3Uso")</f>
        <v>CA3Uso</v>
      </c>
      <c r="R1773" s="9"/>
      <c r="S1773" s="42"/>
      <c r="T1773" s="42"/>
      <c r="U1773" s="159"/>
      <c r="V1773" s="42"/>
      <c r="W1773" s="42"/>
      <c r="X1773" s="42"/>
      <c r="Y1773" s="42"/>
      <c r="Z1773" s="42"/>
      <c r="AA1773" s="42"/>
      <c r="AB1773" s="42" t="str">
        <f>IFERROR(__xludf.DUMMYFUNCTION("""COMPUTED_VALUE"""),"allen institute")</f>
        <v>allen institute</v>
      </c>
      <c r="AC1773" s="42" t="str">
        <f>IFERROR(__xludf.DUMMYFUNCTION("""COMPUTED_VALUE"""),"DHBA")</f>
        <v>DHBA</v>
      </c>
      <c r="AD1773" s="42"/>
      <c r="AE1773" s="42"/>
      <c r="AF1773" s="9"/>
      <c r="AG1773" s="9"/>
      <c r="AH1773" s="42"/>
      <c r="AI1773" s="42"/>
      <c r="AJ1773" s="42"/>
      <c r="AK1773" s="42"/>
      <c r="AL1773" s="42"/>
      <c r="AM1773" s="42"/>
      <c r="AN1773" s="42"/>
      <c r="AO1773" s="63" t="str">
        <f>IFERROR(__xludf.DUMMYFUNCTION("IF(ISBLANK(A1773),,IF(ISBLANK(S1773), A1773&amp;"";"", TEXTJOIN(CHAR(10), TRUE, A1773&amp;"";"", ARRAYFORMULA(VLOOKUP(SPLIT(S1773, "";"" &amp; CHAR(10)), $A:$AO, 41, FALSE)))))"),"CA3Uso;")</f>
        <v>CA3Uso;</v>
      </c>
      <c r="AP1773" s="89"/>
    </row>
    <row r="1774">
      <c r="A1774" s="151" t="str">
        <f>IFERROR(__xludf.DUMMYFUNCTION("""COMPUTED_VALUE"""),"CA3R")</f>
        <v>CA3R</v>
      </c>
      <c r="B1774" s="42" t="str">
        <f>IFERROR(__xludf.DUMMYFUNCTION("""COMPUTED_VALUE"""),"DHBA")</f>
        <v>DHBA</v>
      </c>
      <c r="C1774" s="42" t="str">
        <f>IFERROR(__xludf.DUMMYFUNCTION("""COMPUTED_VALUE"""),"rostral CA3")</f>
        <v>rostral CA3</v>
      </c>
      <c r="D1774" s="42">
        <f>IFERROR(__xludf.DUMMYFUNCTION("""COMPUTED_VALUE"""),1672.0)</f>
        <v>1672</v>
      </c>
      <c r="E1774" s="39" t="str">
        <f>IFERROR(__xludf.DUMMYFUNCTION("""COMPUTED_VALUE"""),"rostral CA3")</f>
        <v>rostral CA3</v>
      </c>
      <c r="F1774" s="9" t="str">
        <f>IFERROR(__xludf.DUMMYFUNCTION("""COMPUTED_VALUE"""),"Br")</f>
        <v>Br</v>
      </c>
      <c r="G1774" s="9" t="str">
        <f>IFERROR(__xludf.DUMMYFUNCTION("""COMPUTED_VALUE"""),"F")</f>
        <v>F</v>
      </c>
      <c r="H1774" s="9" t="str">
        <f>IFERROR(__xludf.DUMMYFUNCTION("""COMPUTED_VALUE"""),"FGM")</f>
        <v>FGM</v>
      </c>
      <c r="I1774" s="9" t="str">
        <f>IFERROR(__xludf.DUMMYFUNCTION("""COMPUTED_VALUE"""),"Tel")</f>
        <v>Tel</v>
      </c>
      <c r="J1774" s="9" t="str">
        <f>IFERROR(__xludf.DUMMYFUNCTION("""COMPUTED_VALUE"""),"Cx")</f>
        <v>Cx</v>
      </c>
      <c r="K1774" s="9" t="str">
        <f>IFERROR(__xludf.DUMMYFUNCTION("""COMPUTED_VALUE"""),"ACx")</f>
        <v>ACx</v>
      </c>
      <c r="L1774" s="9" t="str">
        <f>IFERROR(__xludf.DUMMYFUNCTION("""COMPUTED_VALUE"""),"ArCx")</f>
        <v>ArCx</v>
      </c>
      <c r="M1774" s="9" t="str">
        <f>IFERROR(__xludf.DUMMYFUNCTION("""COMPUTED_VALUE"""),"HIP")</f>
        <v>HIP</v>
      </c>
      <c r="N1774" s="9" t="str">
        <f>IFERROR(__xludf.DUMMYFUNCTION("""COMPUTED_VALUE"""),"Hipp")</f>
        <v>Hipp</v>
      </c>
      <c r="O1774" s="9" t="str">
        <f>IFERROR(__xludf.DUMMYFUNCTION("""COMPUTED_VALUE"""),"CA3")</f>
        <v>CA3</v>
      </c>
      <c r="P1774" s="9" t="str">
        <f>IFERROR(__xludf.DUMMYFUNCTION("""COMPUTED_VALUE"""),"CA3R")</f>
        <v>CA3R</v>
      </c>
      <c r="Q1774" s="9"/>
      <c r="R1774" s="9"/>
      <c r="S1774" s="42" t="str">
        <f>IFERROR(__xludf.DUMMYFUNCTION("""COMPUTED_VALUE"""),"CA3Rslm;
CA3Rsr;
CA3Rsl;
CA3Rsp;
CA3Rso")</f>
        <v>CA3Rslm;
CA3Rsr;
CA3Rsl;
CA3Rsp;
CA3Rso</v>
      </c>
      <c r="T1774" s="42"/>
      <c r="U1774" s="159" t="b">
        <f>IFERROR(__xludf.DUMMYFUNCTION("""COMPUTED_VALUE"""),FALSE)</f>
        <v>0</v>
      </c>
      <c r="V1774" s="42"/>
      <c r="W1774" s="42"/>
      <c r="X1774" s="42"/>
      <c r="Y1774" s="42"/>
      <c r="Z1774" s="42"/>
      <c r="AA1774" s="42"/>
      <c r="AB1774" s="42" t="str">
        <f>IFERROR(__xludf.DUMMYFUNCTION("""COMPUTED_VALUE"""),"allen institute")</f>
        <v>allen institute</v>
      </c>
      <c r="AC1774" s="42" t="str">
        <f>IFERROR(__xludf.DUMMYFUNCTION("""COMPUTED_VALUE"""),"DHBA")</f>
        <v>DHBA</v>
      </c>
      <c r="AD1774" s="42"/>
      <c r="AE1774" s="42"/>
      <c r="AF1774" s="9"/>
      <c r="AG1774" s="9"/>
      <c r="AH1774" s="42"/>
      <c r="AI1774" s="42"/>
      <c r="AJ1774" s="42"/>
      <c r="AK1774" s="42"/>
      <c r="AL1774" s="42"/>
      <c r="AM1774" s="42"/>
      <c r="AN1774" s="42"/>
      <c r="AO1774" s="63" t="str">
        <f>IFERROR(__xludf.DUMMYFUNCTION("IF(ISBLANK(A1774),,IF(ISBLANK(S1774), A1774&amp;"";"", TEXTJOIN(CHAR(10), TRUE, A1774&amp;"";"", ARRAYFORMULA(VLOOKUP(SPLIT(S1774, "";"" &amp; CHAR(10)), $A:$AO, 41, FALSE)))))"),"CA3R;
CA3Rslm;
CA3Rsmo;
CA3Rsla;
CA3Rsr;
CA3Rsl;
CA3Rsp;
CA3Rso;")</f>
        <v>CA3R;
CA3Rslm;
CA3Rsmo;
CA3Rsla;
CA3Rsr;
CA3Rsl;
CA3Rsp;
CA3Rso;</v>
      </c>
      <c r="AP1774" s="89"/>
    </row>
    <row r="1775">
      <c r="A1775" s="151" t="str">
        <f>IFERROR(__xludf.DUMMYFUNCTION("""COMPUTED_VALUE"""),"CA3Rslm")</f>
        <v>CA3Rslm</v>
      </c>
      <c r="B1775" s="42" t="str">
        <f>IFERROR(__xludf.DUMMYFUNCTION("""COMPUTED_VALUE"""),"DHBA")</f>
        <v>DHBA</v>
      </c>
      <c r="C1775" s="42" t="str">
        <f>IFERROR(__xludf.DUMMYFUNCTION("""COMPUTED_VALUE"""),"stratum lacunosum-moleculare of rostral CA3")</f>
        <v>stratum lacunosum-moleculare of rostral CA3</v>
      </c>
      <c r="D1775" s="42">
        <f>IFERROR(__xludf.DUMMYFUNCTION("""COMPUTED_VALUE"""),1673.0)</f>
        <v>1673</v>
      </c>
      <c r="E1775" s="39" t="str">
        <f>IFERROR(__xludf.DUMMYFUNCTION("""COMPUTED_VALUE"""),"stratum lacunosum-moleculare of rostral CA3")</f>
        <v>stratum lacunosum-moleculare of rostral CA3</v>
      </c>
      <c r="F1775" s="9" t="str">
        <f>IFERROR(__xludf.DUMMYFUNCTION("""COMPUTED_VALUE"""),"Br")</f>
        <v>Br</v>
      </c>
      <c r="G1775" s="9" t="str">
        <f>IFERROR(__xludf.DUMMYFUNCTION("""COMPUTED_VALUE"""),"F")</f>
        <v>F</v>
      </c>
      <c r="H1775" s="9" t="str">
        <f>IFERROR(__xludf.DUMMYFUNCTION("""COMPUTED_VALUE"""),"FGM")</f>
        <v>FGM</v>
      </c>
      <c r="I1775" s="9" t="str">
        <f>IFERROR(__xludf.DUMMYFUNCTION("""COMPUTED_VALUE"""),"Tel")</f>
        <v>Tel</v>
      </c>
      <c r="J1775" s="9" t="str">
        <f>IFERROR(__xludf.DUMMYFUNCTION("""COMPUTED_VALUE"""),"Cx")</f>
        <v>Cx</v>
      </c>
      <c r="K1775" s="9" t="str">
        <f>IFERROR(__xludf.DUMMYFUNCTION("""COMPUTED_VALUE"""),"ACx")</f>
        <v>ACx</v>
      </c>
      <c r="L1775" s="9" t="str">
        <f>IFERROR(__xludf.DUMMYFUNCTION("""COMPUTED_VALUE"""),"ArCx")</f>
        <v>ArCx</v>
      </c>
      <c r="M1775" s="9" t="str">
        <f>IFERROR(__xludf.DUMMYFUNCTION("""COMPUTED_VALUE"""),"HIP")</f>
        <v>HIP</v>
      </c>
      <c r="N1775" s="9" t="str">
        <f>IFERROR(__xludf.DUMMYFUNCTION("""COMPUTED_VALUE"""),"Hipp")</f>
        <v>Hipp</v>
      </c>
      <c r="O1775" s="9" t="str">
        <f>IFERROR(__xludf.DUMMYFUNCTION("""COMPUTED_VALUE"""),"CA3")</f>
        <v>CA3</v>
      </c>
      <c r="P1775" s="9" t="str">
        <f>IFERROR(__xludf.DUMMYFUNCTION("""COMPUTED_VALUE"""),"CA3R")</f>
        <v>CA3R</v>
      </c>
      <c r="Q1775" s="9" t="str">
        <f>IFERROR(__xludf.DUMMYFUNCTION("""COMPUTED_VALUE"""),"CA3Rslm")</f>
        <v>CA3Rslm</v>
      </c>
      <c r="R1775" s="9"/>
      <c r="S1775" s="42" t="str">
        <f>IFERROR(__xludf.DUMMYFUNCTION("""COMPUTED_VALUE"""),"CA3Rsmo;
CA3Rsla")</f>
        <v>CA3Rsmo;
CA3Rsla</v>
      </c>
      <c r="T1775" s="42"/>
      <c r="U1775" s="159" t="b">
        <f>IFERROR(__xludf.DUMMYFUNCTION("""COMPUTED_VALUE"""),FALSE)</f>
        <v>0</v>
      </c>
      <c r="V1775" s="42"/>
      <c r="W1775" s="42"/>
      <c r="X1775" s="42"/>
      <c r="Y1775" s="42"/>
      <c r="Z1775" s="42"/>
      <c r="AA1775" s="42"/>
      <c r="AB1775" s="42" t="str">
        <f>IFERROR(__xludf.DUMMYFUNCTION("""COMPUTED_VALUE"""),"allen institute")</f>
        <v>allen institute</v>
      </c>
      <c r="AC1775" s="42" t="str">
        <f>IFERROR(__xludf.DUMMYFUNCTION("""COMPUTED_VALUE"""),"DHBA")</f>
        <v>DHBA</v>
      </c>
      <c r="AD1775" s="42"/>
      <c r="AE1775" s="42"/>
      <c r="AF1775" s="9"/>
      <c r="AG1775" s="9"/>
      <c r="AH1775" s="42"/>
      <c r="AI1775" s="42"/>
      <c r="AJ1775" s="42"/>
      <c r="AK1775" s="42"/>
      <c r="AL1775" s="42"/>
      <c r="AM1775" s="42"/>
      <c r="AN1775" s="42"/>
      <c r="AO1775" s="63" t="str">
        <f>IFERROR(__xludf.DUMMYFUNCTION("IF(ISBLANK(A1775),,IF(ISBLANK(S1775), A1775&amp;"";"", TEXTJOIN(CHAR(10), TRUE, A1775&amp;"";"", ARRAYFORMULA(VLOOKUP(SPLIT(S1775, "";"" &amp; CHAR(10)), $A:$AO, 41, FALSE)))))"),"CA3Rslm;
CA3Rsmo;
CA3Rsla;")</f>
        <v>CA3Rslm;
CA3Rsmo;
CA3Rsla;</v>
      </c>
      <c r="AP1775" s="89"/>
    </row>
    <row r="1776">
      <c r="A1776" s="151" t="str">
        <f>IFERROR(__xludf.DUMMYFUNCTION("""COMPUTED_VALUE"""),"CA3Rsmo")</f>
        <v>CA3Rsmo</v>
      </c>
      <c r="B1776" s="42" t="str">
        <f>IFERROR(__xludf.DUMMYFUNCTION("""COMPUTED_VALUE"""),"DHBA")</f>
        <v>DHBA</v>
      </c>
      <c r="C1776" s="42" t="str">
        <f>IFERROR(__xludf.DUMMYFUNCTION("""COMPUTED_VALUE"""),"stratum moleculare of rostral CA3")</f>
        <v>stratum moleculare of rostral CA3</v>
      </c>
      <c r="D1776" s="42">
        <f>IFERROR(__xludf.DUMMYFUNCTION("""COMPUTED_VALUE"""),1674.0)</f>
        <v>1674</v>
      </c>
      <c r="E1776" s="39" t="str">
        <f>IFERROR(__xludf.DUMMYFUNCTION("""COMPUTED_VALUE"""),"stratum moleculare of rostral CA3")</f>
        <v>stratum moleculare of rostral CA3</v>
      </c>
      <c r="F1776" s="9" t="str">
        <f>IFERROR(__xludf.DUMMYFUNCTION("""COMPUTED_VALUE"""),"Br")</f>
        <v>Br</v>
      </c>
      <c r="G1776" s="9" t="str">
        <f>IFERROR(__xludf.DUMMYFUNCTION("""COMPUTED_VALUE"""),"F")</f>
        <v>F</v>
      </c>
      <c r="H1776" s="9" t="str">
        <f>IFERROR(__xludf.DUMMYFUNCTION("""COMPUTED_VALUE"""),"FGM")</f>
        <v>FGM</v>
      </c>
      <c r="I1776" s="9" t="str">
        <f>IFERROR(__xludf.DUMMYFUNCTION("""COMPUTED_VALUE"""),"Tel")</f>
        <v>Tel</v>
      </c>
      <c r="J1776" s="9" t="str">
        <f>IFERROR(__xludf.DUMMYFUNCTION("""COMPUTED_VALUE"""),"Cx")</f>
        <v>Cx</v>
      </c>
      <c r="K1776" s="9" t="str">
        <f>IFERROR(__xludf.DUMMYFUNCTION("""COMPUTED_VALUE"""),"ACx")</f>
        <v>ACx</v>
      </c>
      <c r="L1776" s="9" t="str">
        <f>IFERROR(__xludf.DUMMYFUNCTION("""COMPUTED_VALUE"""),"ArCx")</f>
        <v>ArCx</v>
      </c>
      <c r="M1776" s="9" t="str">
        <f>IFERROR(__xludf.DUMMYFUNCTION("""COMPUTED_VALUE"""),"HIP")</f>
        <v>HIP</v>
      </c>
      <c r="N1776" s="9" t="str">
        <f>IFERROR(__xludf.DUMMYFUNCTION("""COMPUTED_VALUE"""),"Hipp")</f>
        <v>Hipp</v>
      </c>
      <c r="O1776" s="9" t="str">
        <f>IFERROR(__xludf.DUMMYFUNCTION("""COMPUTED_VALUE"""),"CA3")</f>
        <v>CA3</v>
      </c>
      <c r="P1776" s="9" t="str">
        <f>IFERROR(__xludf.DUMMYFUNCTION("""COMPUTED_VALUE"""),"CA3R")</f>
        <v>CA3R</v>
      </c>
      <c r="Q1776" s="9" t="str">
        <f>IFERROR(__xludf.DUMMYFUNCTION("""COMPUTED_VALUE"""),"CA3Rslm")</f>
        <v>CA3Rslm</v>
      </c>
      <c r="R1776" s="9" t="str">
        <f>IFERROR(__xludf.DUMMYFUNCTION("""COMPUTED_VALUE"""),"CA3Rsmo")</f>
        <v>CA3Rsmo</v>
      </c>
      <c r="S1776" s="42"/>
      <c r="T1776" s="42"/>
      <c r="U1776" s="42"/>
      <c r="V1776" s="42"/>
      <c r="W1776" s="42"/>
      <c r="X1776" s="42"/>
      <c r="Y1776" s="42"/>
      <c r="Z1776" s="42"/>
      <c r="AA1776" s="42"/>
      <c r="AB1776" s="42" t="str">
        <f>IFERROR(__xludf.DUMMYFUNCTION("""COMPUTED_VALUE"""),"allen institute")</f>
        <v>allen institute</v>
      </c>
      <c r="AC1776" s="42" t="str">
        <f>IFERROR(__xludf.DUMMYFUNCTION("""COMPUTED_VALUE"""),"DHBA")</f>
        <v>DHBA</v>
      </c>
      <c r="AD1776" s="42"/>
      <c r="AE1776" s="42"/>
      <c r="AF1776" s="9"/>
      <c r="AG1776" s="9"/>
      <c r="AH1776" s="42"/>
      <c r="AI1776" s="42"/>
      <c r="AJ1776" s="42"/>
      <c r="AK1776" s="42"/>
      <c r="AL1776" s="42"/>
      <c r="AM1776" s="42"/>
      <c r="AN1776" s="42"/>
      <c r="AO1776" s="63" t="str">
        <f>IFERROR(__xludf.DUMMYFUNCTION("IF(ISBLANK(A1776),,IF(ISBLANK(S1776), A1776&amp;"";"", TEXTJOIN(CHAR(10), TRUE, A1776&amp;"";"", ARRAYFORMULA(VLOOKUP(SPLIT(S1776, "";"" &amp; CHAR(10)), $A:$AO, 41, FALSE)))))"),"CA3Rsmo;")</f>
        <v>CA3Rsmo;</v>
      </c>
      <c r="AP1776" s="89"/>
    </row>
    <row r="1777">
      <c r="A1777" s="151" t="str">
        <f>IFERROR(__xludf.DUMMYFUNCTION("""COMPUTED_VALUE"""),"CA3Rsla")</f>
        <v>CA3Rsla</v>
      </c>
      <c r="B1777" s="42" t="str">
        <f>IFERROR(__xludf.DUMMYFUNCTION("""COMPUTED_VALUE"""),"DHBA")</f>
        <v>DHBA</v>
      </c>
      <c r="C1777" s="42" t="str">
        <f>IFERROR(__xludf.DUMMYFUNCTION("""COMPUTED_VALUE"""),"stratum lacunosum of rostral CA3")</f>
        <v>stratum lacunosum of rostral CA3</v>
      </c>
      <c r="D1777" s="42">
        <f>IFERROR(__xludf.DUMMYFUNCTION("""COMPUTED_VALUE"""),1675.0)</f>
        <v>1675</v>
      </c>
      <c r="E1777" s="39" t="str">
        <f>IFERROR(__xludf.DUMMYFUNCTION("""COMPUTED_VALUE"""),"stratum lacunosum of rostral CA3")</f>
        <v>stratum lacunosum of rostral CA3</v>
      </c>
      <c r="F1777" s="9" t="str">
        <f>IFERROR(__xludf.DUMMYFUNCTION("""COMPUTED_VALUE"""),"Br")</f>
        <v>Br</v>
      </c>
      <c r="G1777" s="9" t="str">
        <f>IFERROR(__xludf.DUMMYFUNCTION("""COMPUTED_VALUE"""),"F")</f>
        <v>F</v>
      </c>
      <c r="H1777" s="9" t="str">
        <f>IFERROR(__xludf.DUMMYFUNCTION("""COMPUTED_VALUE"""),"FGM")</f>
        <v>FGM</v>
      </c>
      <c r="I1777" s="9" t="str">
        <f>IFERROR(__xludf.DUMMYFUNCTION("""COMPUTED_VALUE"""),"Tel")</f>
        <v>Tel</v>
      </c>
      <c r="J1777" s="9" t="str">
        <f>IFERROR(__xludf.DUMMYFUNCTION("""COMPUTED_VALUE"""),"Cx")</f>
        <v>Cx</v>
      </c>
      <c r="K1777" s="9" t="str">
        <f>IFERROR(__xludf.DUMMYFUNCTION("""COMPUTED_VALUE"""),"ACx")</f>
        <v>ACx</v>
      </c>
      <c r="L1777" s="9" t="str">
        <f>IFERROR(__xludf.DUMMYFUNCTION("""COMPUTED_VALUE"""),"ArCx")</f>
        <v>ArCx</v>
      </c>
      <c r="M1777" s="9" t="str">
        <f>IFERROR(__xludf.DUMMYFUNCTION("""COMPUTED_VALUE"""),"HIP")</f>
        <v>HIP</v>
      </c>
      <c r="N1777" s="9" t="str">
        <f>IFERROR(__xludf.DUMMYFUNCTION("""COMPUTED_VALUE"""),"Hipp")</f>
        <v>Hipp</v>
      </c>
      <c r="O1777" s="9" t="str">
        <f>IFERROR(__xludf.DUMMYFUNCTION("""COMPUTED_VALUE"""),"CA3")</f>
        <v>CA3</v>
      </c>
      <c r="P1777" s="9" t="str">
        <f>IFERROR(__xludf.DUMMYFUNCTION("""COMPUTED_VALUE"""),"CA3R")</f>
        <v>CA3R</v>
      </c>
      <c r="Q1777" s="9" t="str">
        <f>IFERROR(__xludf.DUMMYFUNCTION("""COMPUTED_VALUE"""),"CA3Rslm")</f>
        <v>CA3Rslm</v>
      </c>
      <c r="R1777" s="9" t="str">
        <f>IFERROR(__xludf.DUMMYFUNCTION("""COMPUTED_VALUE"""),"CA3Rsla")</f>
        <v>CA3Rsla</v>
      </c>
      <c r="S1777" s="42"/>
      <c r="T1777" s="42"/>
      <c r="U1777" s="159"/>
      <c r="V1777" s="42"/>
      <c r="W1777" s="42"/>
      <c r="X1777" s="42"/>
      <c r="Y1777" s="42"/>
      <c r="Z1777" s="42"/>
      <c r="AA1777" s="42"/>
      <c r="AB1777" s="42" t="str">
        <f>IFERROR(__xludf.DUMMYFUNCTION("""COMPUTED_VALUE"""),"allen institute")</f>
        <v>allen institute</v>
      </c>
      <c r="AC1777" s="42" t="str">
        <f>IFERROR(__xludf.DUMMYFUNCTION("""COMPUTED_VALUE"""),"DHBA")</f>
        <v>DHBA</v>
      </c>
      <c r="AD1777" s="42"/>
      <c r="AE1777" s="42"/>
      <c r="AF1777" s="9"/>
      <c r="AG1777" s="9"/>
      <c r="AH1777" s="42"/>
      <c r="AI1777" s="42"/>
      <c r="AJ1777" s="42"/>
      <c r="AK1777" s="42"/>
      <c r="AL1777" s="42"/>
      <c r="AM1777" s="42"/>
      <c r="AN1777" s="42"/>
      <c r="AO1777" s="63" t="str">
        <f>IFERROR(__xludf.DUMMYFUNCTION("IF(ISBLANK(A1777),,IF(ISBLANK(S1777), A1777&amp;"";"", TEXTJOIN(CHAR(10), TRUE, A1777&amp;"";"", ARRAYFORMULA(VLOOKUP(SPLIT(S1777, "";"" &amp; CHAR(10)), $A:$AO, 41, FALSE)))))"),"CA3Rsla;")</f>
        <v>CA3Rsla;</v>
      </c>
      <c r="AP1777" s="89"/>
    </row>
    <row r="1778">
      <c r="A1778" s="151" t="str">
        <f>IFERROR(__xludf.DUMMYFUNCTION("""COMPUTED_VALUE"""),"CA3Rsr")</f>
        <v>CA3Rsr</v>
      </c>
      <c r="B1778" s="42" t="str">
        <f>IFERROR(__xludf.DUMMYFUNCTION("""COMPUTED_VALUE"""),"DHBA")</f>
        <v>DHBA</v>
      </c>
      <c r="C1778" s="42" t="str">
        <f>IFERROR(__xludf.DUMMYFUNCTION("""COMPUTED_VALUE"""),"stratum radiatum of rostral CA3")</f>
        <v>stratum radiatum of rostral CA3</v>
      </c>
      <c r="D1778" s="42">
        <f>IFERROR(__xludf.DUMMYFUNCTION("""COMPUTED_VALUE"""),1676.0)</f>
        <v>1676</v>
      </c>
      <c r="E1778" s="39" t="str">
        <f>IFERROR(__xludf.DUMMYFUNCTION("""COMPUTED_VALUE"""),"stratum radiatum of rostral CA3")</f>
        <v>stratum radiatum of rostral CA3</v>
      </c>
      <c r="F1778" s="9" t="str">
        <f>IFERROR(__xludf.DUMMYFUNCTION("""COMPUTED_VALUE"""),"Br")</f>
        <v>Br</v>
      </c>
      <c r="G1778" s="9" t="str">
        <f>IFERROR(__xludf.DUMMYFUNCTION("""COMPUTED_VALUE"""),"F")</f>
        <v>F</v>
      </c>
      <c r="H1778" s="9" t="str">
        <f>IFERROR(__xludf.DUMMYFUNCTION("""COMPUTED_VALUE"""),"FGM")</f>
        <v>FGM</v>
      </c>
      <c r="I1778" s="9" t="str">
        <f>IFERROR(__xludf.DUMMYFUNCTION("""COMPUTED_VALUE"""),"Tel")</f>
        <v>Tel</v>
      </c>
      <c r="J1778" s="9" t="str">
        <f>IFERROR(__xludf.DUMMYFUNCTION("""COMPUTED_VALUE"""),"Cx")</f>
        <v>Cx</v>
      </c>
      <c r="K1778" s="9" t="str">
        <f>IFERROR(__xludf.DUMMYFUNCTION("""COMPUTED_VALUE"""),"ACx")</f>
        <v>ACx</v>
      </c>
      <c r="L1778" s="9" t="str">
        <f>IFERROR(__xludf.DUMMYFUNCTION("""COMPUTED_VALUE"""),"ArCx")</f>
        <v>ArCx</v>
      </c>
      <c r="M1778" s="9" t="str">
        <f>IFERROR(__xludf.DUMMYFUNCTION("""COMPUTED_VALUE"""),"HIP")</f>
        <v>HIP</v>
      </c>
      <c r="N1778" s="9" t="str">
        <f>IFERROR(__xludf.DUMMYFUNCTION("""COMPUTED_VALUE"""),"Hipp")</f>
        <v>Hipp</v>
      </c>
      <c r="O1778" s="9" t="str">
        <f>IFERROR(__xludf.DUMMYFUNCTION("""COMPUTED_VALUE"""),"CA3")</f>
        <v>CA3</v>
      </c>
      <c r="P1778" s="9" t="str">
        <f>IFERROR(__xludf.DUMMYFUNCTION("""COMPUTED_VALUE"""),"CA3R")</f>
        <v>CA3R</v>
      </c>
      <c r="Q1778" s="9" t="str">
        <f>IFERROR(__xludf.DUMMYFUNCTION("""COMPUTED_VALUE"""),"CA3Rsr")</f>
        <v>CA3Rsr</v>
      </c>
      <c r="R1778" s="9"/>
      <c r="S1778" s="42"/>
      <c r="T1778" s="42"/>
      <c r="U1778" s="42"/>
      <c r="V1778" s="42"/>
      <c r="W1778" s="42"/>
      <c r="X1778" s="42"/>
      <c r="Y1778" s="42"/>
      <c r="Z1778" s="42"/>
      <c r="AA1778" s="42"/>
      <c r="AB1778" s="42" t="str">
        <f>IFERROR(__xludf.DUMMYFUNCTION("""COMPUTED_VALUE"""),"allen institute")</f>
        <v>allen institute</v>
      </c>
      <c r="AC1778" s="42" t="str">
        <f>IFERROR(__xludf.DUMMYFUNCTION("""COMPUTED_VALUE"""),"DHBA")</f>
        <v>DHBA</v>
      </c>
      <c r="AD1778" s="42"/>
      <c r="AE1778" s="42"/>
      <c r="AF1778" s="9"/>
      <c r="AG1778" s="9"/>
      <c r="AH1778" s="42"/>
      <c r="AI1778" s="42"/>
      <c r="AJ1778" s="42"/>
      <c r="AK1778" s="42"/>
      <c r="AL1778" s="42"/>
      <c r="AM1778" s="42"/>
      <c r="AN1778" s="42"/>
      <c r="AO1778" s="63" t="str">
        <f>IFERROR(__xludf.DUMMYFUNCTION("IF(ISBLANK(A1778),,IF(ISBLANK(S1778), A1778&amp;"";"", TEXTJOIN(CHAR(10), TRUE, A1778&amp;"";"", ARRAYFORMULA(VLOOKUP(SPLIT(S1778, "";"" &amp; CHAR(10)), $A:$AO, 41, FALSE)))))"),"CA3Rsr;")</f>
        <v>CA3Rsr;</v>
      </c>
      <c r="AP1778" s="89"/>
    </row>
    <row r="1779">
      <c r="A1779" s="151" t="str">
        <f>IFERROR(__xludf.DUMMYFUNCTION("""COMPUTED_VALUE"""),"CA3Rsl")</f>
        <v>CA3Rsl</v>
      </c>
      <c r="B1779" s="42" t="str">
        <f>IFERROR(__xludf.DUMMYFUNCTION("""COMPUTED_VALUE"""),"DHBA")</f>
        <v>DHBA</v>
      </c>
      <c r="C1779" s="42" t="str">
        <f>IFERROR(__xludf.DUMMYFUNCTION("""COMPUTED_VALUE"""),"stratum lucidum of rostral CA3")</f>
        <v>stratum lucidum of rostral CA3</v>
      </c>
      <c r="D1779" s="42">
        <f>IFERROR(__xludf.DUMMYFUNCTION("""COMPUTED_VALUE"""),1677.0)</f>
        <v>1677</v>
      </c>
      <c r="E1779" s="39" t="str">
        <f>IFERROR(__xludf.DUMMYFUNCTION("""COMPUTED_VALUE"""),"stratum lucidum of rostral CA3")</f>
        <v>stratum lucidum of rostral CA3</v>
      </c>
      <c r="F1779" s="9" t="str">
        <f>IFERROR(__xludf.DUMMYFUNCTION("""COMPUTED_VALUE"""),"Br")</f>
        <v>Br</v>
      </c>
      <c r="G1779" s="9" t="str">
        <f>IFERROR(__xludf.DUMMYFUNCTION("""COMPUTED_VALUE"""),"F")</f>
        <v>F</v>
      </c>
      <c r="H1779" s="9" t="str">
        <f>IFERROR(__xludf.DUMMYFUNCTION("""COMPUTED_VALUE"""),"FGM")</f>
        <v>FGM</v>
      </c>
      <c r="I1779" s="9" t="str">
        <f>IFERROR(__xludf.DUMMYFUNCTION("""COMPUTED_VALUE"""),"Tel")</f>
        <v>Tel</v>
      </c>
      <c r="J1779" s="9" t="str">
        <f>IFERROR(__xludf.DUMMYFUNCTION("""COMPUTED_VALUE"""),"Cx")</f>
        <v>Cx</v>
      </c>
      <c r="K1779" s="9" t="str">
        <f>IFERROR(__xludf.DUMMYFUNCTION("""COMPUTED_VALUE"""),"ACx")</f>
        <v>ACx</v>
      </c>
      <c r="L1779" s="9" t="str">
        <f>IFERROR(__xludf.DUMMYFUNCTION("""COMPUTED_VALUE"""),"ArCx")</f>
        <v>ArCx</v>
      </c>
      <c r="M1779" s="9" t="str">
        <f>IFERROR(__xludf.DUMMYFUNCTION("""COMPUTED_VALUE"""),"HIP")</f>
        <v>HIP</v>
      </c>
      <c r="N1779" s="9" t="str">
        <f>IFERROR(__xludf.DUMMYFUNCTION("""COMPUTED_VALUE"""),"Hipp")</f>
        <v>Hipp</v>
      </c>
      <c r="O1779" s="9" t="str">
        <f>IFERROR(__xludf.DUMMYFUNCTION("""COMPUTED_VALUE"""),"CA3")</f>
        <v>CA3</v>
      </c>
      <c r="P1779" s="9" t="str">
        <f>IFERROR(__xludf.DUMMYFUNCTION("""COMPUTED_VALUE"""),"CA3R")</f>
        <v>CA3R</v>
      </c>
      <c r="Q1779" s="9" t="str">
        <f>IFERROR(__xludf.DUMMYFUNCTION("""COMPUTED_VALUE"""),"CA3Rsl")</f>
        <v>CA3Rsl</v>
      </c>
      <c r="R1779" s="9"/>
      <c r="S1779" s="42"/>
      <c r="T1779" s="42"/>
      <c r="U1779" s="42"/>
      <c r="V1779" s="42"/>
      <c r="W1779" s="42"/>
      <c r="X1779" s="42"/>
      <c r="Y1779" s="42"/>
      <c r="Z1779" s="42"/>
      <c r="AA1779" s="42"/>
      <c r="AB1779" s="42" t="str">
        <f>IFERROR(__xludf.DUMMYFUNCTION("""COMPUTED_VALUE"""),"allen institute")</f>
        <v>allen institute</v>
      </c>
      <c r="AC1779" s="42" t="str">
        <f>IFERROR(__xludf.DUMMYFUNCTION("""COMPUTED_VALUE"""),"DHBA")</f>
        <v>DHBA</v>
      </c>
      <c r="AD1779" s="42"/>
      <c r="AE1779" s="42"/>
      <c r="AF1779" s="9"/>
      <c r="AG1779" s="9"/>
      <c r="AH1779" s="42"/>
      <c r="AI1779" s="42"/>
      <c r="AJ1779" s="42"/>
      <c r="AK1779" s="42"/>
      <c r="AL1779" s="42"/>
      <c r="AM1779" s="42"/>
      <c r="AN1779" s="42"/>
      <c r="AO1779" s="63" t="str">
        <f>IFERROR(__xludf.DUMMYFUNCTION("IF(ISBLANK(A1779),,IF(ISBLANK(S1779), A1779&amp;"";"", TEXTJOIN(CHAR(10), TRUE, A1779&amp;"";"", ARRAYFORMULA(VLOOKUP(SPLIT(S1779, "";"" &amp; CHAR(10)), $A:$AO, 41, FALSE)))))"),"CA3Rsl;")</f>
        <v>CA3Rsl;</v>
      </c>
      <c r="AP1779" s="89"/>
    </row>
    <row r="1780">
      <c r="A1780" s="151" t="str">
        <f>IFERROR(__xludf.DUMMYFUNCTION("""COMPUTED_VALUE"""),"CA3Rsp")</f>
        <v>CA3Rsp</v>
      </c>
      <c r="B1780" s="42" t="str">
        <f>IFERROR(__xludf.DUMMYFUNCTION("""COMPUTED_VALUE"""),"DHBA")</f>
        <v>DHBA</v>
      </c>
      <c r="C1780" s="42" t="str">
        <f>IFERROR(__xludf.DUMMYFUNCTION("""COMPUTED_VALUE"""),"stratum pyramidale of rostral CA3")</f>
        <v>stratum pyramidale of rostral CA3</v>
      </c>
      <c r="D1780" s="42">
        <f>IFERROR(__xludf.DUMMYFUNCTION("""COMPUTED_VALUE"""),1678.0)</f>
        <v>1678</v>
      </c>
      <c r="E1780" s="39" t="str">
        <f>IFERROR(__xludf.DUMMYFUNCTION("""COMPUTED_VALUE"""),"stratum pyramidale of rostral CA3")</f>
        <v>stratum pyramidale of rostral CA3</v>
      </c>
      <c r="F1780" s="9" t="str">
        <f>IFERROR(__xludf.DUMMYFUNCTION("""COMPUTED_VALUE"""),"Br")</f>
        <v>Br</v>
      </c>
      <c r="G1780" s="9" t="str">
        <f>IFERROR(__xludf.DUMMYFUNCTION("""COMPUTED_VALUE"""),"F")</f>
        <v>F</v>
      </c>
      <c r="H1780" s="9" t="str">
        <f>IFERROR(__xludf.DUMMYFUNCTION("""COMPUTED_VALUE"""),"FGM")</f>
        <v>FGM</v>
      </c>
      <c r="I1780" s="9" t="str">
        <f>IFERROR(__xludf.DUMMYFUNCTION("""COMPUTED_VALUE"""),"Tel")</f>
        <v>Tel</v>
      </c>
      <c r="J1780" s="9" t="str">
        <f>IFERROR(__xludf.DUMMYFUNCTION("""COMPUTED_VALUE"""),"Cx")</f>
        <v>Cx</v>
      </c>
      <c r="K1780" s="9" t="str">
        <f>IFERROR(__xludf.DUMMYFUNCTION("""COMPUTED_VALUE"""),"ACx")</f>
        <v>ACx</v>
      </c>
      <c r="L1780" s="9" t="str">
        <f>IFERROR(__xludf.DUMMYFUNCTION("""COMPUTED_VALUE"""),"ArCx")</f>
        <v>ArCx</v>
      </c>
      <c r="M1780" s="9" t="str">
        <f>IFERROR(__xludf.DUMMYFUNCTION("""COMPUTED_VALUE"""),"HIP")</f>
        <v>HIP</v>
      </c>
      <c r="N1780" s="9" t="str">
        <f>IFERROR(__xludf.DUMMYFUNCTION("""COMPUTED_VALUE"""),"Hipp")</f>
        <v>Hipp</v>
      </c>
      <c r="O1780" s="9" t="str">
        <f>IFERROR(__xludf.DUMMYFUNCTION("""COMPUTED_VALUE"""),"CA3")</f>
        <v>CA3</v>
      </c>
      <c r="P1780" s="9" t="str">
        <f>IFERROR(__xludf.DUMMYFUNCTION("""COMPUTED_VALUE"""),"CA3R")</f>
        <v>CA3R</v>
      </c>
      <c r="Q1780" s="9" t="str">
        <f>IFERROR(__xludf.DUMMYFUNCTION("""COMPUTED_VALUE"""),"CA3Rsp")</f>
        <v>CA3Rsp</v>
      </c>
      <c r="R1780" s="9"/>
      <c r="S1780" s="42"/>
      <c r="T1780" s="42"/>
      <c r="U1780" s="42"/>
      <c r="V1780" s="42"/>
      <c r="W1780" s="42"/>
      <c r="X1780" s="42"/>
      <c r="Y1780" s="42"/>
      <c r="Z1780" s="42"/>
      <c r="AA1780" s="42"/>
      <c r="AB1780" s="42" t="str">
        <f>IFERROR(__xludf.DUMMYFUNCTION("""COMPUTED_VALUE"""),"allen institute")</f>
        <v>allen institute</v>
      </c>
      <c r="AC1780" s="42" t="str">
        <f>IFERROR(__xludf.DUMMYFUNCTION("""COMPUTED_VALUE"""),"DHBA")</f>
        <v>DHBA</v>
      </c>
      <c r="AD1780" s="42"/>
      <c r="AE1780" s="42"/>
      <c r="AF1780" s="9"/>
      <c r="AG1780" s="9"/>
      <c r="AH1780" s="42"/>
      <c r="AI1780" s="42"/>
      <c r="AJ1780" s="42"/>
      <c r="AK1780" s="42"/>
      <c r="AL1780" s="42"/>
      <c r="AM1780" s="42"/>
      <c r="AN1780" s="42"/>
      <c r="AO1780" s="63" t="str">
        <f>IFERROR(__xludf.DUMMYFUNCTION("IF(ISBLANK(A1780),,IF(ISBLANK(S1780), A1780&amp;"";"", TEXTJOIN(CHAR(10), TRUE, A1780&amp;"";"", ARRAYFORMULA(VLOOKUP(SPLIT(S1780, "";"" &amp; CHAR(10)), $A:$AO, 41, FALSE)))))"),"CA3Rsp;")</f>
        <v>CA3Rsp;</v>
      </c>
      <c r="AP1780" s="89"/>
    </row>
    <row r="1781">
      <c r="A1781" s="151" t="str">
        <f>IFERROR(__xludf.DUMMYFUNCTION("""COMPUTED_VALUE"""),"CA3Rso")</f>
        <v>CA3Rso</v>
      </c>
      <c r="B1781" s="42" t="str">
        <f>IFERROR(__xludf.DUMMYFUNCTION("""COMPUTED_VALUE"""),"DHBA")</f>
        <v>DHBA</v>
      </c>
      <c r="C1781" s="42" t="str">
        <f>IFERROR(__xludf.DUMMYFUNCTION("""COMPUTED_VALUE"""),"stratum oriens of rostral CA3")</f>
        <v>stratum oriens of rostral CA3</v>
      </c>
      <c r="D1781" s="42">
        <f>IFERROR(__xludf.DUMMYFUNCTION("""COMPUTED_VALUE"""),1679.0)</f>
        <v>1679</v>
      </c>
      <c r="E1781" s="39" t="str">
        <f>IFERROR(__xludf.DUMMYFUNCTION("""COMPUTED_VALUE"""),"stratum oriens of rostral CA3")</f>
        <v>stratum oriens of rostral CA3</v>
      </c>
      <c r="F1781" s="9" t="str">
        <f>IFERROR(__xludf.DUMMYFUNCTION("""COMPUTED_VALUE"""),"Br")</f>
        <v>Br</v>
      </c>
      <c r="G1781" s="9" t="str">
        <f>IFERROR(__xludf.DUMMYFUNCTION("""COMPUTED_VALUE"""),"F")</f>
        <v>F</v>
      </c>
      <c r="H1781" s="9" t="str">
        <f>IFERROR(__xludf.DUMMYFUNCTION("""COMPUTED_VALUE"""),"FGM")</f>
        <v>FGM</v>
      </c>
      <c r="I1781" s="9" t="str">
        <f>IFERROR(__xludf.DUMMYFUNCTION("""COMPUTED_VALUE"""),"Tel")</f>
        <v>Tel</v>
      </c>
      <c r="J1781" s="9" t="str">
        <f>IFERROR(__xludf.DUMMYFUNCTION("""COMPUTED_VALUE"""),"Cx")</f>
        <v>Cx</v>
      </c>
      <c r="K1781" s="9" t="str">
        <f>IFERROR(__xludf.DUMMYFUNCTION("""COMPUTED_VALUE"""),"ACx")</f>
        <v>ACx</v>
      </c>
      <c r="L1781" s="9" t="str">
        <f>IFERROR(__xludf.DUMMYFUNCTION("""COMPUTED_VALUE"""),"ArCx")</f>
        <v>ArCx</v>
      </c>
      <c r="M1781" s="9" t="str">
        <f>IFERROR(__xludf.DUMMYFUNCTION("""COMPUTED_VALUE"""),"HIP")</f>
        <v>HIP</v>
      </c>
      <c r="N1781" s="9" t="str">
        <f>IFERROR(__xludf.DUMMYFUNCTION("""COMPUTED_VALUE"""),"Hipp")</f>
        <v>Hipp</v>
      </c>
      <c r="O1781" s="9" t="str">
        <f>IFERROR(__xludf.DUMMYFUNCTION("""COMPUTED_VALUE"""),"CA3")</f>
        <v>CA3</v>
      </c>
      <c r="P1781" s="9" t="str">
        <f>IFERROR(__xludf.DUMMYFUNCTION("""COMPUTED_VALUE"""),"CA3R")</f>
        <v>CA3R</v>
      </c>
      <c r="Q1781" s="9" t="str">
        <f>IFERROR(__xludf.DUMMYFUNCTION("""COMPUTED_VALUE"""),"CA3Rso")</f>
        <v>CA3Rso</v>
      </c>
      <c r="R1781" s="9"/>
      <c r="S1781" s="42"/>
      <c r="T1781" s="42"/>
      <c r="U1781" s="42"/>
      <c r="V1781" s="42"/>
      <c r="W1781" s="42"/>
      <c r="X1781" s="42"/>
      <c r="Y1781" s="42"/>
      <c r="Z1781" s="42"/>
      <c r="AA1781" s="42"/>
      <c r="AB1781" s="42" t="str">
        <f>IFERROR(__xludf.DUMMYFUNCTION("""COMPUTED_VALUE"""),"allen institute")</f>
        <v>allen institute</v>
      </c>
      <c r="AC1781" s="42" t="str">
        <f>IFERROR(__xludf.DUMMYFUNCTION("""COMPUTED_VALUE"""),"DHBA")</f>
        <v>DHBA</v>
      </c>
      <c r="AD1781" s="42"/>
      <c r="AE1781" s="42"/>
      <c r="AF1781" s="9"/>
      <c r="AG1781" s="9"/>
      <c r="AH1781" s="42"/>
      <c r="AI1781" s="42"/>
      <c r="AJ1781" s="42"/>
      <c r="AK1781" s="42"/>
      <c r="AL1781" s="42"/>
      <c r="AM1781" s="42"/>
      <c r="AN1781" s="42"/>
      <c r="AO1781" s="63" t="str">
        <f>IFERROR(__xludf.DUMMYFUNCTION("IF(ISBLANK(A1781),,IF(ISBLANK(S1781), A1781&amp;"";"", TEXTJOIN(CHAR(10), TRUE, A1781&amp;"";"", ARRAYFORMULA(VLOOKUP(SPLIT(S1781, "";"" &amp; CHAR(10)), $A:$AO, 41, FALSE)))))"),"CA3Rso;")</f>
        <v>CA3Rso;</v>
      </c>
      <c r="AP1781" s="89"/>
    </row>
    <row r="1782">
      <c r="A1782" s="151" t="str">
        <f>IFERROR(__xludf.DUMMYFUNCTION("""COMPUTED_VALUE"""),"CA3C")</f>
        <v>CA3C</v>
      </c>
      <c r="B1782" s="42" t="str">
        <f>IFERROR(__xludf.DUMMYFUNCTION("""COMPUTED_VALUE"""),"DHBA")</f>
        <v>DHBA</v>
      </c>
      <c r="C1782" s="42" t="str">
        <f>IFERROR(__xludf.DUMMYFUNCTION("""COMPUTED_VALUE"""),"caudal CA3")</f>
        <v>caudal CA3</v>
      </c>
      <c r="D1782" s="42">
        <f>IFERROR(__xludf.DUMMYFUNCTION("""COMPUTED_VALUE"""),1680.0)</f>
        <v>1680</v>
      </c>
      <c r="E1782" s="39" t="str">
        <f>IFERROR(__xludf.DUMMYFUNCTION("""COMPUTED_VALUE"""),"caudal CA3")</f>
        <v>caudal CA3</v>
      </c>
      <c r="F1782" s="9" t="str">
        <f>IFERROR(__xludf.DUMMYFUNCTION("""COMPUTED_VALUE"""),"Br")</f>
        <v>Br</v>
      </c>
      <c r="G1782" s="9" t="str">
        <f>IFERROR(__xludf.DUMMYFUNCTION("""COMPUTED_VALUE"""),"F")</f>
        <v>F</v>
      </c>
      <c r="H1782" s="9" t="str">
        <f>IFERROR(__xludf.DUMMYFUNCTION("""COMPUTED_VALUE"""),"FGM")</f>
        <v>FGM</v>
      </c>
      <c r="I1782" s="9" t="str">
        <f>IFERROR(__xludf.DUMMYFUNCTION("""COMPUTED_VALUE"""),"Tel")</f>
        <v>Tel</v>
      </c>
      <c r="J1782" s="9" t="str">
        <f>IFERROR(__xludf.DUMMYFUNCTION("""COMPUTED_VALUE"""),"Cx")</f>
        <v>Cx</v>
      </c>
      <c r="K1782" s="9" t="str">
        <f>IFERROR(__xludf.DUMMYFUNCTION("""COMPUTED_VALUE"""),"ACx")</f>
        <v>ACx</v>
      </c>
      <c r="L1782" s="9" t="str">
        <f>IFERROR(__xludf.DUMMYFUNCTION("""COMPUTED_VALUE"""),"ArCx")</f>
        <v>ArCx</v>
      </c>
      <c r="M1782" s="9" t="str">
        <f>IFERROR(__xludf.DUMMYFUNCTION("""COMPUTED_VALUE"""),"HIP")</f>
        <v>HIP</v>
      </c>
      <c r="N1782" s="9" t="str">
        <f>IFERROR(__xludf.DUMMYFUNCTION("""COMPUTED_VALUE"""),"Hipp")</f>
        <v>Hipp</v>
      </c>
      <c r="O1782" s="9" t="str">
        <f>IFERROR(__xludf.DUMMYFUNCTION("""COMPUTED_VALUE"""),"CA3")</f>
        <v>CA3</v>
      </c>
      <c r="P1782" s="9" t="str">
        <f>IFERROR(__xludf.DUMMYFUNCTION("""COMPUTED_VALUE"""),"CA3C")</f>
        <v>CA3C</v>
      </c>
      <c r="Q1782" s="9"/>
      <c r="R1782" s="9"/>
      <c r="S1782" s="42" t="str">
        <f>IFERROR(__xludf.DUMMYFUNCTION("""COMPUTED_VALUE"""),"CA3Cslm;
CA3Csr;
CA3Csl;
CA3Csp;
CA3Cso")</f>
        <v>CA3Cslm;
CA3Csr;
CA3Csl;
CA3Csp;
CA3Cso</v>
      </c>
      <c r="T1782" s="42"/>
      <c r="U1782" s="42" t="b">
        <f>IFERROR(__xludf.DUMMYFUNCTION("""COMPUTED_VALUE"""),FALSE)</f>
        <v>0</v>
      </c>
      <c r="V1782" s="42"/>
      <c r="W1782" s="42"/>
      <c r="X1782" s="42"/>
      <c r="Y1782" s="42"/>
      <c r="Z1782" s="42"/>
      <c r="AA1782" s="42"/>
      <c r="AB1782" s="42" t="str">
        <f>IFERROR(__xludf.DUMMYFUNCTION("""COMPUTED_VALUE"""),"allen institute")</f>
        <v>allen institute</v>
      </c>
      <c r="AC1782" s="42" t="str">
        <f>IFERROR(__xludf.DUMMYFUNCTION("""COMPUTED_VALUE"""),"DHBA")</f>
        <v>DHBA</v>
      </c>
      <c r="AD1782" s="42"/>
      <c r="AE1782" s="42"/>
      <c r="AF1782" s="9"/>
      <c r="AG1782" s="9"/>
      <c r="AH1782" s="42"/>
      <c r="AI1782" s="42"/>
      <c r="AJ1782" s="42"/>
      <c r="AK1782" s="42"/>
      <c r="AL1782" s="42"/>
      <c r="AM1782" s="42"/>
      <c r="AN1782" s="42"/>
      <c r="AO1782" s="63" t="str">
        <f>IFERROR(__xludf.DUMMYFUNCTION("IF(ISBLANK(A1782),,IF(ISBLANK(S1782), A1782&amp;"";"", TEXTJOIN(CHAR(10), TRUE, A1782&amp;"";"", ARRAYFORMULA(VLOOKUP(SPLIT(S1782, "";"" &amp; CHAR(10)), $A:$AO, 41, FALSE)))))"),"CA3C;
CA3Cslm;
CA3Csmo;
CA3Csla;
CA3Csr;
CA3Csl;
CA3Csp;
CA3Cso;")</f>
        <v>CA3C;
CA3Cslm;
CA3Csmo;
CA3Csla;
CA3Csr;
CA3Csl;
CA3Csp;
CA3Cso;</v>
      </c>
      <c r="AP1782" s="89"/>
    </row>
    <row r="1783">
      <c r="A1783" s="151" t="str">
        <f>IFERROR(__xludf.DUMMYFUNCTION("""COMPUTED_VALUE"""),"CA3Cslm")</f>
        <v>CA3Cslm</v>
      </c>
      <c r="B1783" s="42" t="str">
        <f>IFERROR(__xludf.DUMMYFUNCTION("""COMPUTED_VALUE"""),"DHBA")</f>
        <v>DHBA</v>
      </c>
      <c r="C1783" s="42" t="str">
        <f>IFERROR(__xludf.DUMMYFUNCTION("""COMPUTED_VALUE"""),"stratum lacunosum-moleculare of caudal CA3")</f>
        <v>stratum lacunosum-moleculare of caudal CA3</v>
      </c>
      <c r="D1783" s="42">
        <f>IFERROR(__xludf.DUMMYFUNCTION("""COMPUTED_VALUE"""),1681.0)</f>
        <v>1681</v>
      </c>
      <c r="E1783" s="39" t="str">
        <f>IFERROR(__xludf.DUMMYFUNCTION("""COMPUTED_VALUE"""),"stratum lacunosum-moleculare of caudal CA3")</f>
        <v>stratum lacunosum-moleculare of caudal CA3</v>
      </c>
      <c r="F1783" s="9" t="str">
        <f>IFERROR(__xludf.DUMMYFUNCTION("""COMPUTED_VALUE"""),"Br")</f>
        <v>Br</v>
      </c>
      <c r="G1783" s="9" t="str">
        <f>IFERROR(__xludf.DUMMYFUNCTION("""COMPUTED_VALUE"""),"F")</f>
        <v>F</v>
      </c>
      <c r="H1783" s="9" t="str">
        <f>IFERROR(__xludf.DUMMYFUNCTION("""COMPUTED_VALUE"""),"FGM")</f>
        <v>FGM</v>
      </c>
      <c r="I1783" s="9" t="str">
        <f>IFERROR(__xludf.DUMMYFUNCTION("""COMPUTED_VALUE"""),"Tel")</f>
        <v>Tel</v>
      </c>
      <c r="J1783" s="9" t="str">
        <f>IFERROR(__xludf.DUMMYFUNCTION("""COMPUTED_VALUE"""),"Cx")</f>
        <v>Cx</v>
      </c>
      <c r="K1783" s="9" t="str">
        <f>IFERROR(__xludf.DUMMYFUNCTION("""COMPUTED_VALUE"""),"ACx")</f>
        <v>ACx</v>
      </c>
      <c r="L1783" s="9" t="str">
        <f>IFERROR(__xludf.DUMMYFUNCTION("""COMPUTED_VALUE"""),"ArCx")</f>
        <v>ArCx</v>
      </c>
      <c r="M1783" s="9" t="str">
        <f>IFERROR(__xludf.DUMMYFUNCTION("""COMPUTED_VALUE"""),"HIP")</f>
        <v>HIP</v>
      </c>
      <c r="N1783" s="9" t="str">
        <f>IFERROR(__xludf.DUMMYFUNCTION("""COMPUTED_VALUE"""),"Hipp")</f>
        <v>Hipp</v>
      </c>
      <c r="O1783" s="9" t="str">
        <f>IFERROR(__xludf.DUMMYFUNCTION("""COMPUTED_VALUE"""),"CA3")</f>
        <v>CA3</v>
      </c>
      <c r="P1783" s="9" t="str">
        <f>IFERROR(__xludf.DUMMYFUNCTION("""COMPUTED_VALUE"""),"CA3C")</f>
        <v>CA3C</v>
      </c>
      <c r="Q1783" s="9" t="str">
        <f>IFERROR(__xludf.DUMMYFUNCTION("""COMPUTED_VALUE"""),"CA3Cslm")</f>
        <v>CA3Cslm</v>
      </c>
      <c r="R1783" s="9"/>
      <c r="S1783" s="42" t="str">
        <f>IFERROR(__xludf.DUMMYFUNCTION("""COMPUTED_VALUE"""),"CA3Csmo;
CA3Csla")</f>
        <v>CA3Csmo;
CA3Csla</v>
      </c>
      <c r="T1783" s="42"/>
      <c r="U1783" s="42" t="b">
        <f>IFERROR(__xludf.DUMMYFUNCTION("""COMPUTED_VALUE"""),FALSE)</f>
        <v>0</v>
      </c>
      <c r="V1783" s="42"/>
      <c r="W1783" s="42"/>
      <c r="X1783" s="42"/>
      <c r="Y1783" s="42"/>
      <c r="Z1783" s="42"/>
      <c r="AA1783" s="42"/>
      <c r="AB1783" s="42" t="str">
        <f>IFERROR(__xludf.DUMMYFUNCTION("""COMPUTED_VALUE"""),"allen institute")</f>
        <v>allen institute</v>
      </c>
      <c r="AC1783" s="42" t="str">
        <f>IFERROR(__xludf.DUMMYFUNCTION("""COMPUTED_VALUE"""),"DHBA")</f>
        <v>DHBA</v>
      </c>
      <c r="AD1783" s="42"/>
      <c r="AE1783" s="42"/>
      <c r="AF1783" s="9"/>
      <c r="AG1783" s="9"/>
      <c r="AH1783" s="42"/>
      <c r="AI1783" s="42"/>
      <c r="AJ1783" s="42"/>
      <c r="AK1783" s="42"/>
      <c r="AL1783" s="42"/>
      <c r="AM1783" s="42"/>
      <c r="AN1783" s="42"/>
      <c r="AO1783" s="63" t="str">
        <f>IFERROR(__xludf.DUMMYFUNCTION("IF(ISBLANK(A1783),,IF(ISBLANK(S1783), A1783&amp;"";"", TEXTJOIN(CHAR(10), TRUE, A1783&amp;"";"", ARRAYFORMULA(VLOOKUP(SPLIT(S1783, "";"" &amp; CHAR(10)), $A:$AO, 41, FALSE)))))"),"CA3Cslm;
CA3Csmo;
CA3Csla;")</f>
        <v>CA3Cslm;
CA3Csmo;
CA3Csla;</v>
      </c>
      <c r="AP1783" s="89"/>
    </row>
    <row r="1784">
      <c r="A1784" s="151" t="str">
        <f>IFERROR(__xludf.DUMMYFUNCTION("""COMPUTED_VALUE"""),"CA3Csmo")</f>
        <v>CA3Csmo</v>
      </c>
      <c r="B1784" s="42" t="str">
        <f>IFERROR(__xludf.DUMMYFUNCTION("""COMPUTED_VALUE"""),"DHBA")</f>
        <v>DHBA</v>
      </c>
      <c r="C1784" s="42" t="str">
        <f>IFERROR(__xludf.DUMMYFUNCTION("""COMPUTED_VALUE"""),"stratum moleculare of caudal CA3")</f>
        <v>stratum moleculare of caudal CA3</v>
      </c>
      <c r="D1784" s="42">
        <f>IFERROR(__xludf.DUMMYFUNCTION("""COMPUTED_VALUE"""),1682.0)</f>
        <v>1682</v>
      </c>
      <c r="E1784" s="39" t="str">
        <f>IFERROR(__xludf.DUMMYFUNCTION("""COMPUTED_VALUE"""),"stratum moleculare of caudal CA3")</f>
        <v>stratum moleculare of caudal CA3</v>
      </c>
      <c r="F1784" s="9" t="str">
        <f>IFERROR(__xludf.DUMMYFUNCTION("""COMPUTED_VALUE"""),"Br")</f>
        <v>Br</v>
      </c>
      <c r="G1784" s="9" t="str">
        <f>IFERROR(__xludf.DUMMYFUNCTION("""COMPUTED_VALUE"""),"F")</f>
        <v>F</v>
      </c>
      <c r="H1784" s="9" t="str">
        <f>IFERROR(__xludf.DUMMYFUNCTION("""COMPUTED_VALUE"""),"FGM")</f>
        <v>FGM</v>
      </c>
      <c r="I1784" s="9" t="str">
        <f>IFERROR(__xludf.DUMMYFUNCTION("""COMPUTED_VALUE"""),"Tel")</f>
        <v>Tel</v>
      </c>
      <c r="J1784" s="9" t="str">
        <f>IFERROR(__xludf.DUMMYFUNCTION("""COMPUTED_VALUE"""),"Cx")</f>
        <v>Cx</v>
      </c>
      <c r="K1784" s="9" t="str">
        <f>IFERROR(__xludf.DUMMYFUNCTION("""COMPUTED_VALUE"""),"ACx")</f>
        <v>ACx</v>
      </c>
      <c r="L1784" s="9" t="str">
        <f>IFERROR(__xludf.DUMMYFUNCTION("""COMPUTED_VALUE"""),"ArCx")</f>
        <v>ArCx</v>
      </c>
      <c r="M1784" s="9" t="str">
        <f>IFERROR(__xludf.DUMMYFUNCTION("""COMPUTED_VALUE"""),"HIP")</f>
        <v>HIP</v>
      </c>
      <c r="N1784" s="9" t="str">
        <f>IFERROR(__xludf.DUMMYFUNCTION("""COMPUTED_VALUE"""),"Hipp")</f>
        <v>Hipp</v>
      </c>
      <c r="O1784" s="9" t="str">
        <f>IFERROR(__xludf.DUMMYFUNCTION("""COMPUTED_VALUE"""),"CA3")</f>
        <v>CA3</v>
      </c>
      <c r="P1784" s="9" t="str">
        <f>IFERROR(__xludf.DUMMYFUNCTION("""COMPUTED_VALUE"""),"CA3C")</f>
        <v>CA3C</v>
      </c>
      <c r="Q1784" s="9" t="str">
        <f>IFERROR(__xludf.DUMMYFUNCTION("""COMPUTED_VALUE"""),"CA3Cslm")</f>
        <v>CA3Cslm</v>
      </c>
      <c r="R1784" s="9" t="str">
        <f>IFERROR(__xludf.DUMMYFUNCTION("""COMPUTED_VALUE"""),"CA3Csmo")</f>
        <v>CA3Csmo</v>
      </c>
      <c r="S1784" s="42"/>
      <c r="T1784" s="42"/>
      <c r="U1784" s="42"/>
      <c r="V1784" s="42"/>
      <c r="W1784" s="42"/>
      <c r="X1784" s="42"/>
      <c r="Y1784" s="42"/>
      <c r="Z1784" s="42"/>
      <c r="AA1784" s="42"/>
      <c r="AB1784" s="42" t="str">
        <f>IFERROR(__xludf.DUMMYFUNCTION("""COMPUTED_VALUE"""),"allen institute")</f>
        <v>allen institute</v>
      </c>
      <c r="AC1784" s="42" t="str">
        <f>IFERROR(__xludf.DUMMYFUNCTION("""COMPUTED_VALUE"""),"DHBA")</f>
        <v>DHBA</v>
      </c>
      <c r="AD1784" s="42"/>
      <c r="AE1784" s="42"/>
      <c r="AF1784" s="9"/>
      <c r="AG1784" s="9"/>
      <c r="AH1784" s="42"/>
      <c r="AI1784" s="42"/>
      <c r="AJ1784" s="42"/>
      <c r="AK1784" s="42"/>
      <c r="AL1784" s="42"/>
      <c r="AM1784" s="42"/>
      <c r="AN1784" s="42"/>
      <c r="AO1784" s="63" t="str">
        <f>IFERROR(__xludf.DUMMYFUNCTION("IF(ISBLANK(A1784),,IF(ISBLANK(S1784), A1784&amp;"";"", TEXTJOIN(CHAR(10), TRUE, A1784&amp;"";"", ARRAYFORMULA(VLOOKUP(SPLIT(S1784, "";"" &amp; CHAR(10)), $A:$AO, 41, FALSE)))))"),"CA3Csmo;")</f>
        <v>CA3Csmo;</v>
      </c>
      <c r="AP1784" s="89"/>
    </row>
    <row r="1785">
      <c r="A1785" s="151" t="str">
        <f>IFERROR(__xludf.DUMMYFUNCTION("""COMPUTED_VALUE"""),"CA3Csla")</f>
        <v>CA3Csla</v>
      </c>
      <c r="B1785" s="42" t="str">
        <f>IFERROR(__xludf.DUMMYFUNCTION("""COMPUTED_VALUE"""),"DHBA")</f>
        <v>DHBA</v>
      </c>
      <c r="C1785" s="42" t="str">
        <f>IFERROR(__xludf.DUMMYFUNCTION("""COMPUTED_VALUE"""),"stratum lacunosum of caudal CA3")</f>
        <v>stratum lacunosum of caudal CA3</v>
      </c>
      <c r="D1785" s="42">
        <f>IFERROR(__xludf.DUMMYFUNCTION("""COMPUTED_VALUE"""),1683.0)</f>
        <v>1683</v>
      </c>
      <c r="E1785" s="39" t="str">
        <f>IFERROR(__xludf.DUMMYFUNCTION("""COMPUTED_VALUE"""),"stratum lacunosum of caudal CA3")</f>
        <v>stratum lacunosum of caudal CA3</v>
      </c>
      <c r="F1785" s="9" t="str">
        <f>IFERROR(__xludf.DUMMYFUNCTION("""COMPUTED_VALUE"""),"Br")</f>
        <v>Br</v>
      </c>
      <c r="G1785" s="9" t="str">
        <f>IFERROR(__xludf.DUMMYFUNCTION("""COMPUTED_VALUE"""),"F")</f>
        <v>F</v>
      </c>
      <c r="H1785" s="9" t="str">
        <f>IFERROR(__xludf.DUMMYFUNCTION("""COMPUTED_VALUE"""),"FGM")</f>
        <v>FGM</v>
      </c>
      <c r="I1785" s="9" t="str">
        <f>IFERROR(__xludf.DUMMYFUNCTION("""COMPUTED_VALUE"""),"Tel")</f>
        <v>Tel</v>
      </c>
      <c r="J1785" s="9" t="str">
        <f>IFERROR(__xludf.DUMMYFUNCTION("""COMPUTED_VALUE"""),"Cx")</f>
        <v>Cx</v>
      </c>
      <c r="K1785" s="9" t="str">
        <f>IFERROR(__xludf.DUMMYFUNCTION("""COMPUTED_VALUE"""),"ACx")</f>
        <v>ACx</v>
      </c>
      <c r="L1785" s="9" t="str">
        <f>IFERROR(__xludf.DUMMYFUNCTION("""COMPUTED_VALUE"""),"ArCx")</f>
        <v>ArCx</v>
      </c>
      <c r="M1785" s="9" t="str">
        <f>IFERROR(__xludf.DUMMYFUNCTION("""COMPUTED_VALUE"""),"HIP")</f>
        <v>HIP</v>
      </c>
      <c r="N1785" s="9" t="str">
        <f>IFERROR(__xludf.DUMMYFUNCTION("""COMPUTED_VALUE"""),"Hipp")</f>
        <v>Hipp</v>
      </c>
      <c r="O1785" s="9" t="str">
        <f>IFERROR(__xludf.DUMMYFUNCTION("""COMPUTED_VALUE"""),"CA3")</f>
        <v>CA3</v>
      </c>
      <c r="P1785" s="9" t="str">
        <f>IFERROR(__xludf.DUMMYFUNCTION("""COMPUTED_VALUE"""),"CA3C")</f>
        <v>CA3C</v>
      </c>
      <c r="Q1785" s="9" t="str">
        <f>IFERROR(__xludf.DUMMYFUNCTION("""COMPUTED_VALUE"""),"CA3Cslm")</f>
        <v>CA3Cslm</v>
      </c>
      <c r="R1785" s="9" t="str">
        <f>IFERROR(__xludf.DUMMYFUNCTION("""COMPUTED_VALUE"""),"CA3Csla")</f>
        <v>CA3Csla</v>
      </c>
      <c r="S1785" s="42"/>
      <c r="T1785" s="42"/>
      <c r="U1785" s="42"/>
      <c r="V1785" s="42"/>
      <c r="W1785" s="42"/>
      <c r="X1785" s="42"/>
      <c r="Y1785" s="42"/>
      <c r="Z1785" s="42"/>
      <c r="AA1785" s="42"/>
      <c r="AB1785" s="42" t="str">
        <f>IFERROR(__xludf.DUMMYFUNCTION("""COMPUTED_VALUE"""),"allen institute")</f>
        <v>allen institute</v>
      </c>
      <c r="AC1785" s="42" t="str">
        <f>IFERROR(__xludf.DUMMYFUNCTION("""COMPUTED_VALUE"""),"DHBA")</f>
        <v>DHBA</v>
      </c>
      <c r="AD1785" s="42"/>
      <c r="AE1785" s="42"/>
      <c r="AF1785" s="9"/>
      <c r="AG1785" s="9"/>
      <c r="AH1785" s="42"/>
      <c r="AI1785" s="42"/>
      <c r="AJ1785" s="42"/>
      <c r="AK1785" s="42"/>
      <c r="AL1785" s="42"/>
      <c r="AM1785" s="42"/>
      <c r="AN1785" s="42"/>
      <c r="AO1785" s="63" t="str">
        <f>IFERROR(__xludf.DUMMYFUNCTION("IF(ISBLANK(A1785),,IF(ISBLANK(S1785), A1785&amp;"";"", TEXTJOIN(CHAR(10), TRUE, A1785&amp;"";"", ARRAYFORMULA(VLOOKUP(SPLIT(S1785, "";"" &amp; CHAR(10)), $A:$AO, 41, FALSE)))))"),"CA3Csla;")</f>
        <v>CA3Csla;</v>
      </c>
      <c r="AP1785" s="89"/>
    </row>
    <row r="1786">
      <c r="A1786" s="151" t="str">
        <f>IFERROR(__xludf.DUMMYFUNCTION("""COMPUTED_VALUE"""),"CA3Csr")</f>
        <v>CA3Csr</v>
      </c>
      <c r="B1786" s="42" t="str">
        <f>IFERROR(__xludf.DUMMYFUNCTION("""COMPUTED_VALUE"""),"DHBA")</f>
        <v>DHBA</v>
      </c>
      <c r="C1786" s="42" t="str">
        <f>IFERROR(__xludf.DUMMYFUNCTION("""COMPUTED_VALUE"""),"stratum radiatum of caudal CA3")</f>
        <v>stratum radiatum of caudal CA3</v>
      </c>
      <c r="D1786" s="42">
        <f>IFERROR(__xludf.DUMMYFUNCTION("""COMPUTED_VALUE"""),1684.0)</f>
        <v>1684</v>
      </c>
      <c r="E1786" s="39" t="str">
        <f>IFERROR(__xludf.DUMMYFUNCTION("""COMPUTED_VALUE"""),"stratum radiatum of caudal CA3")</f>
        <v>stratum radiatum of caudal CA3</v>
      </c>
      <c r="F1786" s="9" t="str">
        <f>IFERROR(__xludf.DUMMYFUNCTION("""COMPUTED_VALUE"""),"Br")</f>
        <v>Br</v>
      </c>
      <c r="G1786" s="9" t="str">
        <f>IFERROR(__xludf.DUMMYFUNCTION("""COMPUTED_VALUE"""),"F")</f>
        <v>F</v>
      </c>
      <c r="H1786" s="9" t="str">
        <f>IFERROR(__xludf.DUMMYFUNCTION("""COMPUTED_VALUE"""),"FGM")</f>
        <v>FGM</v>
      </c>
      <c r="I1786" s="9" t="str">
        <f>IFERROR(__xludf.DUMMYFUNCTION("""COMPUTED_VALUE"""),"Tel")</f>
        <v>Tel</v>
      </c>
      <c r="J1786" s="9" t="str">
        <f>IFERROR(__xludf.DUMMYFUNCTION("""COMPUTED_VALUE"""),"Cx")</f>
        <v>Cx</v>
      </c>
      <c r="K1786" s="9" t="str">
        <f>IFERROR(__xludf.DUMMYFUNCTION("""COMPUTED_VALUE"""),"ACx")</f>
        <v>ACx</v>
      </c>
      <c r="L1786" s="9" t="str">
        <f>IFERROR(__xludf.DUMMYFUNCTION("""COMPUTED_VALUE"""),"ArCx")</f>
        <v>ArCx</v>
      </c>
      <c r="M1786" s="9" t="str">
        <f>IFERROR(__xludf.DUMMYFUNCTION("""COMPUTED_VALUE"""),"HIP")</f>
        <v>HIP</v>
      </c>
      <c r="N1786" s="9" t="str">
        <f>IFERROR(__xludf.DUMMYFUNCTION("""COMPUTED_VALUE"""),"Hipp")</f>
        <v>Hipp</v>
      </c>
      <c r="O1786" s="9" t="str">
        <f>IFERROR(__xludf.DUMMYFUNCTION("""COMPUTED_VALUE"""),"CA3")</f>
        <v>CA3</v>
      </c>
      <c r="P1786" s="9" t="str">
        <f>IFERROR(__xludf.DUMMYFUNCTION("""COMPUTED_VALUE"""),"CA3C")</f>
        <v>CA3C</v>
      </c>
      <c r="Q1786" s="9" t="str">
        <f>IFERROR(__xludf.DUMMYFUNCTION("""COMPUTED_VALUE"""),"CA3Csr")</f>
        <v>CA3Csr</v>
      </c>
      <c r="R1786" s="9"/>
      <c r="S1786" s="42"/>
      <c r="T1786" s="42"/>
      <c r="U1786" s="42"/>
      <c r="V1786" s="42"/>
      <c r="W1786" s="42"/>
      <c r="X1786" s="42"/>
      <c r="Y1786" s="42"/>
      <c r="Z1786" s="42"/>
      <c r="AA1786" s="42"/>
      <c r="AB1786" s="42" t="str">
        <f>IFERROR(__xludf.DUMMYFUNCTION("""COMPUTED_VALUE"""),"allen institute")</f>
        <v>allen institute</v>
      </c>
      <c r="AC1786" s="42" t="str">
        <f>IFERROR(__xludf.DUMMYFUNCTION("""COMPUTED_VALUE"""),"DHBA")</f>
        <v>DHBA</v>
      </c>
      <c r="AD1786" s="42"/>
      <c r="AE1786" s="42"/>
      <c r="AF1786" s="9"/>
      <c r="AG1786" s="9"/>
      <c r="AH1786" s="42"/>
      <c r="AI1786" s="42"/>
      <c r="AJ1786" s="42"/>
      <c r="AK1786" s="42"/>
      <c r="AL1786" s="42"/>
      <c r="AM1786" s="42"/>
      <c r="AN1786" s="42"/>
      <c r="AO1786" s="63" t="str">
        <f>IFERROR(__xludf.DUMMYFUNCTION("IF(ISBLANK(A1786),,IF(ISBLANK(S1786), A1786&amp;"";"", TEXTJOIN(CHAR(10), TRUE, A1786&amp;"";"", ARRAYFORMULA(VLOOKUP(SPLIT(S1786, "";"" &amp; CHAR(10)), $A:$AO, 41, FALSE)))))"),"CA3Csr;")</f>
        <v>CA3Csr;</v>
      </c>
      <c r="AP1786" s="89"/>
    </row>
    <row r="1787">
      <c r="A1787" s="151" t="str">
        <f>IFERROR(__xludf.DUMMYFUNCTION("""COMPUTED_VALUE"""),"CA3Csl")</f>
        <v>CA3Csl</v>
      </c>
      <c r="B1787" s="42" t="str">
        <f>IFERROR(__xludf.DUMMYFUNCTION("""COMPUTED_VALUE"""),"DHBA")</f>
        <v>DHBA</v>
      </c>
      <c r="C1787" s="42" t="str">
        <f>IFERROR(__xludf.DUMMYFUNCTION("""COMPUTED_VALUE"""),"stratum lucidum of caudal CA3")</f>
        <v>stratum lucidum of caudal CA3</v>
      </c>
      <c r="D1787" s="42">
        <f>IFERROR(__xludf.DUMMYFUNCTION("""COMPUTED_VALUE"""),1685.0)</f>
        <v>1685</v>
      </c>
      <c r="E1787" s="39" t="str">
        <f>IFERROR(__xludf.DUMMYFUNCTION("""COMPUTED_VALUE"""),"stratum lucidum of caudal CA3")</f>
        <v>stratum lucidum of caudal CA3</v>
      </c>
      <c r="F1787" s="9" t="str">
        <f>IFERROR(__xludf.DUMMYFUNCTION("""COMPUTED_VALUE"""),"Br")</f>
        <v>Br</v>
      </c>
      <c r="G1787" s="9" t="str">
        <f>IFERROR(__xludf.DUMMYFUNCTION("""COMPUTED_VALUE"""),"F")</f>
        <v>F</v>
      </c>
      <c r="H1787" s="9" t="str">
        <f>IFERROR(__xludf.DUMMYFUNCTION("""COMPUTED_VALUE"""),"FGM")</f>
        <v>FGM</v>
      </c>
      <c r="I1787" s="9" t="str">
        <f>IFERROR(__xludf.DUMMYFUNCTION("""COMPUTED_VALUE"""),"Tel")</f>
        <v>Tel</v>
      </c>
      <c r="J1787" s="9" t="str">
        <f>IFERROR(__xludf.DUMMYFUNCTION("""COMPUTED_VALUE"""),"Cx")</f>
        <v>Cx</v>
      </c>
      <c r="K1787" s="9" t="str">
        <f>IFERROR(__xludf.DUMMYFUNCTION("""COMPUTED_VALUE"""),"ACx")</f>
        <v>ACx</v>
      </c>
      <c r="L1787" s="9" t="str">
        <f>IFERROR(__xludf.DUMMYFUNCTION("""COMPUTED_VALUE"""),"ArCx")</f>
        <v>ArCx</v>
      </c>
      <c r="M1787" s="9" t="str">
        <f>IFERROR(__xludf.DUMMYFUNCTION("""COMPUTED_VALUE"""),"HIP")</f>
        <v>HIP</v>
      </c>
      <c r="N1787" s="9" t="str">
        <f>IFERROR(__xludf.DUMMYFUNCTION("""COMPUTED_VALUE"""),"Hipp")</f>
        <v>Hipp</v>
      </c>
      <c r="O1787" s="9" t="str">
        <f>IFERROR(__xludf.DUMMYFUNCTION("""COMPUTED_VALUE"""),"CA3")</f>
        <v>CA3</v>
      </c>
      <c r="P1787" s="9" t="str">
        <f>IFERROR(__xludf.DUMMYFUNCTION("""COMPUTED_VALUE"""),"CA3C")</f>
        <v>CA3C</v>
      </c>
      <c r="Q1787" s="9" t="str">
        <f>IFERROR(__xludf.DUMMYFUNCTION("""COMPUTED_VALUE"""),"CA3Csl")</f>
        <v>CA3Csl</v>
      </c>
      <c r="R1787" s="9"/>
      <c r="S1787" s="42"/>
      <c r="T1787" s="42"/>
      <c r="U1787" s="42"/>
      <c r="V1787" s="42"/>
      <c r="W1787" s="42"/>
      <c r="X1787" s="42"/>
      <c r="Y1787" s="42"/>
      <c r="Z1787" s="42"/>
      <c r="AA1787" s="42"/>
      <c r="AB1787" s="42" t="str">
        <f>IFERROR(__xludf.DUMMYFUNCTION("""COMPUTED_VALUE"""),"allen institute")</f>
        <v>allen institute</v>
      </c>
      <c r="AC1787" s="42" t="str">
        <f>IFERROR(__xludf.DUMMYFUNCTION("""COMPUTED_VALUE"""),"DHBA")</f>
        <v>DHBA</v>
      </c>
      <c r="AD1787" s="42"/>
      <c r="AE1787" s="42"/>
      <c r="AF1787" s="9"/>
      <c r="AG1787" s="9"/>
      <c r="AH1787" s="42"/>
      <c r="AI1787" s="42"/>
      <c r="AJ1787" s="42"/>
      <c r="AK1787" s="42"/>
      <c r="AL1787" s="42"/>
      <c r="AM1787" s="42"/>
      <c r="AN1787" s="42"/>
      <c r="AO1787" s="63" t="str">
        <f>IFERROR(__xludf.DUMMYFUNCTION("IF(ISBLANK(A1787),,IF(ISBLANK(S1787), A1787&amp;"";"", TEXTJOIN(CHAR(10), TRUE, A1787&amp;"";"", ARRAYFORMULA(VLOOKUP(SPLIT(S1787, "";"" &amp; CHAR(10)), $A:$AO, 41, FALSE)))))"),"CA3Csl;")</f>
        <v>CA3Csl;</v>
      </c>
      <c r="AP1787" s="89"/>
    </row>
    <row r="1788">
      <c r="A1788" s="151" t="str">
        <f>IFERROR(__xludf.DUMMYFUNCTION("""COMPUTED_VALUE"""),"CA3Csp")</f>
        <v>CA3Csp</v>
      </c>
      <c r="B1788" s="42" t="str">
        <f>IFERROR(__xludf.DUMMYFUNCTION("""COMPUTED_VALUE"""),"DHBA")</f>
        <v>DHBA</v>
      </c>
      <c r="C1788" s="42" t="str">
        <f>IFERROR(__xludf.DUMMYFUNCTION("""COMPUTED_VALUE"""),"stratum pyramidale of caudal CA3")</f>
        <v>stratum pyramidale of caudal CA3</v>
      </c>
      <c r="D1788" s="42">
        <f>IFERROR(__xludf.DUMMYFUNCTION("""COMPUTED_VALUE"""),1686.0)</f>
        <v>1686</v>
      </c>
      <c r="E1788" s="39" t="str">
        <f>IFERROR(__xludf.DUMMYFUNCTION("""COMPUTED_VALUE"""),"stratum pyramidale of caudal CA3")</f>
        <v>stratum pyramidale of caudal CA3</v>
      </c>
      <c r="F1788" s="9" t="str">
        <f>IFERROR(__xludf.DUMMYFUNCTION("""COMPUTED_VALUE"""),"Br")</f>
        <v>Br</v>
      </c>
      <c r="G1788" s="9" t="str">
        <f>IFERROR(__xludf.DUMMYFUNCTION("""COMPUTED_VALUE"""),"F")</f>
        <v>F</v>
      </c>
      <c r="H1788" s="9" t="str">
        <f>IFERROR(__xludf.DUMMYFUNCTION("""COMPUTED_VALUE"""),"FGM")</f>
        <v>FGM</v>
      </c>
      <c r="I1788" s="9" t="str">
        <f>IFERROR(__xludf.DUMMYFUNCTION("""COMPUTED_VALUE"""),"Tel")</f>
        <v>Tel</v>
      </c>
      <c r="J1788" s="9" t="str">
        <f>IFERROR(__xludf.DUMMYFUNCTION("""COMPUTED_VALUE"""),"Cx")</f>
        <v>Cx</v>
      </c>
      <c r="K1788" s="9" t="str">
        <f>IFERROR(__xludf.DUMMYFUNCTION("""COMPUTED_VALUE"""),"ACx")</f>
        <v>ACx</v>
      </c>
      <c r="L1788" s="9" t="str">
        <f>IFERROR(__xludf.DUMMYFUNCTION("""COMPUTED_VALUE"""),"ArCx")</f>
        <v>ArCx</v>
      </c>
      <c r="M1788" s="9" t="str">
        <f>IFERROR(__xludf.DUMMYFUNCTION("""COMPUTED_VALUE"""),"HIP")</f>
        <v>HIP</v>
      </c>
      <c r="N1788" s="9" t="str">
        <f>IFERROR(__xludf.DUMMYFUNCTION("""COMPUTED_VALUE"""),"Hipp")</f>
        <v>Hipp</v>
      </c>
      <c r="O1788" s="9" t="str">
        <f>IFERROR(__xludf.DUMMYFUNCTION("""COMPUTED_VALUE"""),"CA3")</f>
        <v>CA3</v>
      </c>
      <c r="P1788" s="9" t="str">
        <f>IFERROR(__xludf.DUMMYFUNCTION("""COMPUTED_VALUE"""),"CA3C")</f>
        <v>CA3C</v>
      </c>
      <c r="Q1788" s="9" t="str">
        <f>IFERROR(__xludf.DUMMYFUNCTION("""COMPUTED_VALUE"""),"CA3Csp")</f>
        <v>CA3Csp</v>
      </c>
      <c r="R1788" s="9"/>
      <c r="S1788" s="42"/>
      <c r="T1788" s="42"/>
      <c r="U1788" s="42"/>
      <c r="V1788" s="42"/>
      <c r="W1788" s="42"/>
      <c r="X1788" s="42"/>
      <c r="Y1788" s="42"/>
      <c r="Z1788" s="42"/>
      <c r="AA1788" s="42"/>
      <c r="AB1788" s="42" t="str">
        <f>IFERROR(__xludf.DUMMYFUNCTION("""COMPUTED_VALUE"""),"allen institute")</f>
        <v>allen institute</v>
      </c>
      <c r="AC1788" s="42" t="str">
        <f>IFERROR(__xludf.DUMMYFUNCTION("""COMPUTED_VALUE"""),"DHBA")</f>
        <v>DHBA</v>
      </c>
      <c r="AD1788" s="42"/>
      <c r="AE1788" s="42"/>
      <c r="AF1788" s="9"/>
      <c r="AG1788" s="9"/>
      <c r="AH1788" s="42"/>
      <c r="AI1788" s="42"/>
      <c r="AJ1788" s="42"/>
      <c r="AK1788" s="42"/>
      <c r="AL1788" s="42"/>
      <c r="AM1788" s="42"/>
      <c r="AN1788" s="42"/>
      <c r="AO1788" s="63" t="str">
        <f>IFERROR(__xludf.DUMMYFUNCTION("IF(ISBLANK(A1788),,IF(ISBLANK(S1788), A1788&amp;"";"", TEXTJOIN(CHAR(10), TRUE, A1788&amp;"";"", ARRAYFORMULA(VLOOKUP(SPLIT(S1788, "";"" &amp; CHAR(10)), $A:$AO, 41, FALSE)))))"),"CA3Csp;")</f>
        <v>CA3Csp;</v>
      </c>
      <c r="AP1788" s="89"/>
    </row>
    <row r="1789">
      <c r="A1789" s="151" t="str">
        <f>IFERROR(__xludf.DUMMYFUNCTION("""COMPUTED_VALUE"""),"CA3Cso")</f>
        <v>CA3Cso</v>
      </c>
      <c r="B1789" s="42" t="str">
        <f>IFERROR(__xludf.DUMMYFUNCTION("""COMPUTED_VALUE"""),"DHBA")</f>
        <v>DHBA</v>
      </c>
      <c r="C1789" s="42" t="str">
        <f>IFERROR(__xludf.DUMMYFUNCTION("""COMPUTED_VALUE"""),"stratum oriens of caudal CA3")</f>
        <v>stratum oriens of caudal CA3</v>
      </c>
      <c r="D1789" s="42">
        <f>IFERROR(__xludf.DUMMYFUNCTION("""COMPUTED_VALUE"""),1687.0)</f>
        <v>1687</v>
      </c>
      <c r="E1789" s="39" t="str">
        <f>IFERROR(__xludf.DUMMYFUNCTION("""COMPUTED_VALUE"""),"stratum oriens of caudal CA3")</f>
        <v>stratum oriens of caudal CA3</v>
      </c>
      <c r="F1789" s="9" t="str">
        <f>IFERROR(__xludf.DUMMYFUNCTION("""COMPUTED_VALUE"""),"Br")</f>
        <v>Br</v>
      </c>
      <c r="G1789" s="9" t="str">
        <f>IFERROR(__xludf.DUMMYFUNCTION("""COMPUTED_VALUE"""),"F")</f>
        <v>F</v>
      </c>
      <c r="H1789" s="9" t="str">
        <f>IFERROR(__xludf.DUMMYFUNCTION("""COMPUTED_VALUE"""),"FGM")</f>
        <v>FGM</v>
      </c>
      <c r="I1789" s="9" t="str">
        <f>IFERROR(__xludf.DUMMYFUNCTION("""COMPUTED_VALUE"""),"Tel")</f>
        <v>Tel</v>
      </c>
      <c r="J1789" s="9" t="str">
        <f>IFERROR(__xludf.DUMMYFUNCTION("""COMPUTED_VALUE"""),"Cx")</f>
        <v>Cx</v>
      </c>
      <c r="K1789" s="9" t="str">
        <f>IFERROR(__xludf.DUMMYFUNCTION("""COMPUTED_VALUE"""),"ACx")</f>
        <v>ACx</v>
      </c>
      <c r="L1789" s="9" t="str">
        <f>IFERROR(__xludf.DUMMYFUNCTION("""COMPUTED_VALUE"""),"ArCx")</f>
        <v>ArCx</v>
      </c>
      <c r="M1789" s="9" t="str">
        <f>IFERROR(__xludf.DUMMYFUNCTION("""COMPUTED_VALUE"""),"HIP")</f>
        <v>HIP</v>
      </c>
      <c r="N1789" s="9" t="str">
        <f>IFERROR(__xludf.DUMMYFUNCTION("""COMPUTED_VALUE"""),"Hipp")</f>
        <v>Hipp</v>
      </c>
      <c r="O1789" s="9" t="str">
        <f>IFERROR(__xludf.DUMMYFUNCTION("""COMPUTED_VALUE"""),"CA3")</f>
        <v>CA3</v>
      </c>
      <c r="P1789" s="9" t="str">
        <f>IFERROR(__xludf.DUMMYFUNCTION("""COMPUTED_VALUE"""),"CA3C")</f>
        <v>CA3C</v>
      </c>
      <c r="Q1789" s="9" t="str">
        <f>IFERROR(__xludf.DUMMYFUNCTION("""COMPUTED_VALUE"""),"CA3Cso")</f>
        <v>CA3Cso</v>
      </c>
      <c r="R1789" s="9"/>
      <c r="S1789" s="42"/>
      <c r="T1789" s="42"/>
      <c r="U1789" s="42"/>
      <c r="V1789" s="42"/>
      <c r="W1789" s="42"/>
      <c r="X1789" s="42"/>
      <c r="Y1789" s="42"/>
      <c r="Z1789" s="42"/>
      <c r="AA1789" s="42"/>
      <c r="AB1789" s="42" t="str">
        <f>IFERROR(__xludf.DUMMYFUNCTION("""COMPUTED_VALUE"""),"allen institute")</f>
        <v>allen institute</v>
      </c>
      <c r="AC1789" s="42" t="str">
        <f>IFERROR(__xludf.DUMMYFUNCTION("""COMPUTED_VALUE"""),"DHBA")</f>
        <v>DHBA</v>
      </c>
      <c r="AD1789" s="42"/>
      <c r="AE1789" s="42"/>
      <c r="AF1789" s="9"/>
      <c r="AG1789" s="9"/>
      <c r="AH1789" s="42"/>
      <c r="AI1789" s="42"/>
      <c r="AJ1789" s="42"/>
      <c r="AK1789" s="42"/>
      <c r="AL1789" s="42"/>
      <c r="AM1789" s="42"/>
      <c r="AN1789" s="42"/>
      <c r="AO1789" s="63" t="str">
        <f>IFERROR(__xludf.DUMMYFUNCTION("IF(ISBLANK(A1789),,IF(ISBLANK(S1789), A1789&amp;"";"", TEXTJOIN(CHAR(10), TRUE, A1789&amp;"";"", ARRAYFORMULA(VLOOKUP(SPLIT(S1789, "";"" &amp; CHAR(10)), $A:$AO, 41, FALSE)))))"),"CA3Cso;")</f>
        <v>CA3Cso;</v>
      </c>
      <c r="AP1789" s="89"/>
    </row>
    <row r="1790">
      <c r="A1790" s="151" t="str">
        <f>IFERROR(__xludf.DUMMYFUNCTION("""COMPUTED_VALUE"""),"CA4")</f>
        <v>CA4</v>
      </c>
      <c r="B1790" s="42" t="str">
        <f>IFERROR(__xludf.DUMMYFUNCTION("""COMPUTED_VALUE"""),"DHBA")</f>
        <v>DHBA</v>
      </c>
      <c r="C1790" s="42" t="str">
        <f>IFERROR(__xludf.DUMMYFUNCTION("""COMPUTED_VALUE"""),"CA4 region of Hipp")</f>
        <v>CA4 region of Hipp</v>
      </c>
      <c r="D1790" s="42">
        <f>IFERROR(__xludf.DUMMYFUNCTION("""COMPUTED_VALUE"""),1688.0)</f>
        <v>1688</v>
      </c>
      <c r="E1790" s="39" t="str">
        <f>IFERROR(__xludf.DUMMYFUNCTION("""COMPUTED_VALUE"""),"CA4 region of Hipp")</f>
        <v>CA4 region of Hipp</v>
      </c>
      <c r="F1790" s="9" t="str">
        <f>IFERROR(__xludf.DUMMYFUNCTION("""COMPUTED_VALUE"""),"Br")</f>
        <v>Br</v>
      </c>
      <c r="G1790" s="9" t="str">
        <f>IFERROR(__xludf.DUMMYFUNCTION("""COMPUTED_VALUE"""),"F")</f>
        <v>F</v>
      </c>
      <c r="H1790" s="9" t="str">
        <f>IFERROR(__xludf.DUMMYFUNCTION("""COMPUTED_VALUE"""),"FGM")</f>
        <v>FGM</v>
      </c>
      <c r="I1790" s="9" t="str">
        <f>IFERROR(__xludf.DUMMYFUNCTION("""COMPUTED_VALUE"""),"Tel")</f>
        <v>Tel</v>
      </c>
      <c r="J1790" s="9" t="str">
        <f>IFERROR(__xludf.DUMMYFUNCTION("""COMPUTED_VALUE"""),"Cx")</f>
        <v>Cx</v>
      </c>
      <c r="K1790" s="9" t="str">
        <f>IFERROR(__xludf.DUMMYFUNCTION("""COMPUTED_VALUE"""),"ACx")</f>
        <v>ACx</v>
      </c>
      <c r="L1790" s="9" t="str">
        <f>IFERROR(__xludf.DUMMYFUNCTION("""COMPUTED_VALUE"""),"ArCx")</f>
        <v>ArCx</v>
      </c>
      <c r="M1790" s="9" t="str">
        <f>IFERROR(__xludf.DUMMYFUNCTION("""COMPUTED_VALUE"""),"HIP")</f>
        <v>HIP</v>
      </c>
      <c r="N1790" s="9" t="str">
        <f>IFERROR(__xludf.DUMMYFUNCTION("""COMPUTED_VALUE"""),"Hipp")</f>
        <v>Hipp</v>
      </c>
      <c r="O1790" s="9" t="str">
        <f>IFERROR(__xludf.DUMMYFUNCTION("""COMPUTED_VALUE"""),"CA4")</f>
        <v>CA4</v>
      </c>
      <c r="P1790" s="9"/>
      <c r="Q1790" s="9"/>
      <c r="R1790" s="9"/>
      <c r="S1790" s="42" t="str">
        <f>IFERROR(__xludf.DUMMYFUNCTION("""COMPUTED_VALUE"""),"CA4Upy;
CA4Rpy;
CA4Cpy")</f>
        <v>CA4Upy;
CA4Rpy;
CA4Cpy</v>
      </c>
      <c r="T1790" s="42"/>
      <c r="U1790" s="42" t="b">
        <f>IFERROR(__xludf.DUMMYFUNCTION("""COMPUTED_VALUE"""),FALSE)</f>
        <v>0</v>
      </c>
      <c r="V1790" s="42"/>
      <c r="W1790" s="42"/>
      <c r="X1790" s="42"/>
      <c r="Y1790" s="42"/>
      <c r="Z1790" s="42"/>
      <c r="AA1790" s="42"/>
      <c r="AB1790" s="42" t="str">
        <f>IFERROR(__xludf.DUMMYFUNCTION("""COMPUTED_VALUE"""),"allen institute")</f>
        <v>allen institute</v>
      </c>
      <c r="AC1790" s="42" t="str">
        <f>IFERROR(__xludf.DUMMYFUNCTION("""COMPUTED_VALUE"""),"DHBA")</f>
        <v>DHBA</v>
      </c>
      <c r="AD1790" s="42"/>
      <c r="AE1790" s="42"/>
      <c r="AF1790" s="9"/>
      <c r="AG1790" s="9"/>
      <c r="AH1790" s="42"/>
      <c r="AI1790" s="42"/>
      <c r="AJ1790" s="42"/>
      <c r="AK1790" s="42"/>
      <c r="AL1790" s="42"/>
      <c r="AM1790" s="42"/>
      <c r="AN1790" s="42"/>
      <c r="AO1790" s="63" t="str">
        <f>IFERROR(__xludf.DUMMYFUNCTION("IF(ISBLANK(A1790),,IF(ISBLANK(S1790), A1790&amp;"";"", TEXTJOIN(CHAR(10), TRUE, A1790&amp;"";"", ARRAYFORMULA(VLOOKUP(SPLIT(S1790, "";"" &amp; CHAR(10)), $A:$AO, 41, FALSE)))))"),"CA4;
CA4Upy;
CA4Rpy;
CA4Cpy;")</f>
        <v>CA4;
CA4Upy;
CA4Rpy;
CA4Cpy;</v>
      </c>
      <c r="AP1790" s="89"/>
    </row>
    <row r="1791">
      <c r="A1791" s="151" t="str">
        <f>IFERROR(__xludf.DUMMYFUNCTION("""COMPUTED_VALUE"""),"CA4Upy")</f>
        <v>CA4Upy</v>
      </c>
      <c r="B1791" s="42" t="str">
        <f>IFERROR(__xludf.DUMMYFUNCTION("""COMPUTED_VALUE"""),"DHBA")</f>
        <v>DHBA</v>
      </c>
      <c r="C1791" s="42" t="str">
        <f>IFERROR(__xludf.DUMMYFUNCTION("""COMPUTED_VALUE"""),"pyramidal cells of uncal CA4")</f>
        <v>pyramidal cells of uncal CA4</v>
      </c>
      <c r="D1791" s="42">
        <f>IFERROR(__xludf.DUMMYFUNCTION("""COMPUTED_VALUE"""),1689.0)</f>
        <v>1689</v>
      </c>
      <c r="E1791" s="39" t="str">
        <f>IFERROR(__xludf.DUMMYFUNCTION("""COMPUTED_VALUE"""),"pyramidal cells of uncal CA4")</f>
        <v>pyramidal cells of uncal CA4</v>
      </c>
      <c r="F1791" s="9" t="str">
        <f>IFERROR(__xludf.DUMMYFUNCTION("""COMPUTED_VALUE"""),"Br")</f>
        <v>Br</v>
      </c>
      <c r="G1791" s="9" t="str">
        <f>IFERROR(__xludf.DUMMYFUNCTION("""COMPUTED_VALUE"""),"F")</f>
        <v>F</v>
      </c>
      <c r="H1791" s="9" t="str">
        <f>IFERROR(__xludf.DUMMYFUNCTION("""COMPUTED_VALUE"""),"FGM")</f>
        <v>FGM</v>
      </c>
      <c r="I1791" s="9" t="str">
        <f>IFERROR(__xludf.DUMMYFUNCTION("""COMPUTED_VALUE"""),"Tel")</f>
        <v>Tel</v>
      </c>
      <c r="J1791" s="9" t="str">
        <f>IFERROR(__xludf.DUMMYFUNCTION("""COMPUTED_VALUE"""),"Cx")</f>
        <v>Cx</v>
      </c>
      <c r="K1791" s="9" t="str">
        <f>IFERROR(__xludf.DUMMYFUNCTION("""COMPUTED_VALUE"""),"ACx")</f>
        <v>ACx</v>
      </c>
      <c r="L1791" s="9" t="str">
        <f>IFERROR(__xludf.DUMMYFUNCTION("""COMPUTED_VALUE"""),"ArCx")</f>
        <v>ArCx</v>
      </c>
      <c r="M1791" s="9" t="str">
        <f>IFERROR(__xludf.DUMMYFUNCTION("""COMPUTED_VALUE"""),"HIP")</f>
        <v>HIP</v>
      </c>
      <c r="N1791" s="9" t="str">
        <f>IFERROR(__xludf.DUMMYFUNCTION("""COMPUTED_VALUE"""),"Hipp")</f>
        <v>Hipp</v>
      </c>
      <c r="O1791" s="9" t="str">
        <f>IFERROR(__xludf.DUMMYFUNCTION("""COMPUTED_VALUE"""),"CA4")</f>
        <v>CA4</v>
      </c>
      <c r="P1791" s="9" t="str">
        <f>IFERROR(__xludf.DUMMYFUNCTION("""COMPUTED_VALUE"""),"CA4Upy")</f>
        <v>CA4Upy</v>
      </c>
      <c r="Q1791" s="9"/>
      <c r="R1791" s="9"/>
      <c r="S1791" s="42"/>
      <c r="T1791" s="42"/>
      <c r="U1791" s="42"/>
      <c r="V1791" s="42"/>
      <c r="W1791" s="42"/>
      <c r="X1791" s="42"/>
      <c r="Y1791" s="42"/>
      <c r="Z1791" s="42"/>
      <c r="AA1791" s="42"/>
      <c r="AB1791" s="42" t="str">
        <f>IFERROR(__xludf.DUMMYFUNCTION("""COMPUTED_VALUE"""),"allen institute")</f>
        <v>allen institute</v>
      </c>
      <c r="AC1791" s="42" t="str">
        <f>IFERROR(__xludf.DUMMYFUNCTION("""COMPUTED_VALUE"""),"DHBA")</f>
        <v>DHBA</v>
      </c>
      <c r="AD1791" s="42"/>
      <c r="AE1791" s="42"/>
      <c r="AF1791" s="9"/>
      <c r="AG1791" s="9"/>
      <c r="AH1791" s="42"/>
      <c r="AI1791" s="42"/>
      <c r="AJ1791" s="42"/>
      <c r="AK1791" s="42"/>
      <c r="AL1791" s="42"/>
      <c r="AM1791" s="42"/>
      <c r="AN1791" s="42"/>
      <c r="AO1791" s="63" t="str">
        <f>IFERROR(__xludf.DUMMYFUNCTION("IF(ISBLANK(A1791),,IF(ISBLANK(S1791), A1791&amp;"";"", TEXTJOIN(CHAR(10), TRUE, A1791&amp;"";"", ARRAYFORMULA(VLOOKUP(SPLIT(S1791, "";"" &amp; CHAR(10)), $A:$AO, 41, FALSE)))))"),"CA4Upy;")</f>
        <v>CA4Upy;</v>
      </c>
      <c r="AP1791" s="89"/>
    </row>
    <row r="1792">
      <c r="A1792" s="151" t="str">
        <f>IFERROR(__xludf.DUMMYFUNCTION("""COMPUTED_VALUE"""),"CA4Rpy")</f>
        <v>CA4Rpy</v>
      </c>
      <c r="B1792" s="42" t="str">
        <f>IFERROR(__xludf.DUMMYFUNCTION("""COMPUTED_VALUE"""),"DHBA")</f>
        <v>DHBA</v>
      </c>
      <c r="C1792" s="42" t="str">
        <f>IFERROR(__xludf.DUMMYFUNCTION("""COMPUTED_VALUE"""),"pyramidal cells of rostral CA4")</f>
        <v>pyramidal cells of rostral CA4</v>
      </c>
      <c r="D1792" s="42">
        <f>IFERROR(__xludf.DUMMYFUNCTION("""COMPUTED_VALUE"""),1690.0)</f>
        <v>1690</v>
      </c>
      <c r="E1792" s="39" t="str">
        <f>IFERROR(__xludf.DUMMYFUNCTION("""COMPUTED_VALUE"""),"pyramidal cells of rostral CA4")</f>
        <v>pyramidal cells of rostral CA4</v>
      </c>
      <c r="F1792" s="9" t="str">
        <f>IFERROR(__xludf.DUMMYFUNCTION("""COMPUTED_VALUE"""),"Br")</f>
        <v>Br</v>
      </c>
      <c r="G1792" s="9" t="str">
        <f>IFERROR(__xludf.DUMMYFUNCTION("""COMPUTED_VALUE"""),"F")</f>
        <v>F</v>
      </c>
      <c r="H1792" s="9" t="str">
        <f>IFERROR(__xludf.DUMMYFUNCTION("""COMPUTED_VALUE"""),"FGM")</f>
        <v>FGM</v>
      </c>
      <c r="I1792" s="9" t="str">
        <f>IFERROR(__xludf.DUMMYFUNCTION("""COMPUTED_VALUE"""),"Tel")</f>
        <v>Tel</v>
      </c>
      <c r="J1792" s="9" t="str">
        <f>IFERROR(__xludf.DUMMYFUNCTION("""COMPUTED_VALUE"""),"Cx")</f>
        <v>Cx</v>
      </c>
      <c r="K1792" s="9" t="str">
        <f>IFERROR(__xludf.DUMMYFUNCTION("""COMPUTED_VALUE"""),"ACx")</f>
        <v>ACx</v>
      </c>
      <c r="L1792" s="9" t="str">
        <f>IFERROR(__xludf.DUMMYFUNCTION("""COMPUTED_VALUE"""),"ArCx")</f>
        <v>ArCx</v>
      </c>
      <c r="M1792" s="9" t="str">
        <f>IFERROR(__xludf.DUMMYFUNCTION("""COMPUTED_VALUE"""),"HIP")</f>
        <v>HIP</v>
      </c>
      <c r="N1792" s="9" t="str">
        <f>IFERROR(__xludf.DUMMYFUNCTION("""COMPUTED_VALUE"""),"Hipp")</f>
        <v>Hipp</v>
      </c>
      <c r="O1792" s="9" t="str">
        <f>IFERROR(__xludf.DUMMYFUNCTION("""COMPUTED_VALUE"""),"CA4")</f>
        <v>CA4</v>
      </c>
      <c r="P1792" s="9" t="str">
        <f>IFERROR(__xludf.DUMMYFUNCTION("""COMPUTED_VALUE"""),"CA4Rpy")</f>
        <v>CA4Rpy</v>
      </c>
      <c r="Q1792" s="9"/>
      <c r="R1792" s="9"/>
      <c r="S1792" s="42"/>
      <c r="T1792" s="42"/>
      <c r="U1792" s="42"/>
      <c r="V1792" s="42"/>
      <c r="W1792" s="42"/>
      <c r="X1792" s="42"/>
      <c r="Y1792" s="42"/>
      <c r="Z1792" s="42"/>
      <c r="AA1792" s="42"/>
      <c r="AB1792" s="42" t="str">
        <f>IFERROR(__xludf.DUMMYFUNCTION("""COMPUTED_VALUE"""),"allen institute")</f>
        <v>allen institute</v>
      </c>
      <c r="AC1792" s="42" t="str">
        <f>IFERROR(__xludf.DUMMYFUNCTION("""COMPUTED_VALUE"""),"DHBA")</f>
        <v>DHBA</v>
      </c>
      <c r="AD1792" s="42"/>
      <c r="AE1792" s="42"/>
      <c r="AF1792" s="9"/>
      <c r="AG1792" s="9"/>
      <c r="AH1792" s="42"/>
      <c r="AI1792" s="42"/>
      <c r="AJ1792" s="42"/>
      <c r="AK1792" s="42"/>
      <c r="AL1792" s="42"/>
      <c r="AM1792" s="42"/>
      <c r="AN1792" s="42"/>
      <c r="AO1792" s="63" t="str">
        <f>IFERROR(__xludf.DUMMYFUNCTION("IF(ISBLANK(A1792),,IF(ISBLANK(S1792), A1792&amp;"";"", TEXTJOIN(CHAR(10), TRUE, A1792&amp;"";"", ARRAYFORMULA(VLOOKUP(SPLIT(S1792, "";"" &amp; CHAR(10)), $A:$AO, 41, FALSE)))))"),"CA4Rpy;")</f>
        <v>CA4Rpy;</v>
      </c>
      <c r="AP1792" s="89"/>
    </row>
    <row r="1793">
      <c r="A1793" s="151" t="str">
        <f>IFERROR(__xludf.DUMMYFUNCTION("""COMPUTED_VALUE"""),"CA4Cpy")</f>
        <v>CA4Cpy</v>
      </c>
      <c r="B1793" s="42" t="str">
        <f>IFERROR(__xludf.DUMMYFUNCTION("""COMPUTED_VALUE"""),"DHBA")</f>
        <v>DHBA</v>
      </c>
      <c r="C1793" s="42" t="str">
        <f>IFERROR(__xludf.DUMMYFUNCTION("""COMPUTED_VALUE"""),"pyramidal cells of caudal CA4")</f>
        <v>pyramidal cells of caudal CA4</v>
      </c>
      <c r="D1793" s="42">
        <f>IFERROR(__xludf.DUMMYFUNCTION("""COMPUTED_VALUE"""),1691.0)</f>
        <v>1691</v>
      </c>
      <c r="E1793" s="39" t="str">
        <f>IFERROR(__xludf.DUMMYFUNCTION("""COMPUTED_VALUE"""),"pyramidal cells of caudal CA4")</f>
        <v>pyramidal cells of caudal CA4</v>
      </c>
      <c r="F1793" s="9" t="str">
        <f>IFERROR(__xludf.DUMMYFUNCTION("""COMPUTED_VALUE"""),"Br")</f>
        <v>Br</v>
      </c>
      <c r="G1793" s="9" t="str">
        <f>IFERROR(__xludf.DUMMYFUNCTION("""COMPUTED_VALUE"""),"F")</f>
        <v>F</v>
      </c>
      <c r="H1793" s="9" t="str">
        <f>IFERROR(__xludf.DUMMYFUNCTION("""COMPUTED_VALUE"""),"FGM")</f>
        <v>FGM</v>
      </c>
      <c r="I1793" s="9" t="str">
        <f>IFERROR(__xludf.DUMMYFUNCTION("""COMPUTED_VALUE"""),"Tel")</f>
        <v>Tel</v>
      </c>
      <c r="J1793" s="9" t="str">
        <f>IFERROR(__xludf.DUMMYFUNCTION("""COMPUTED_VALUE"""),"Cx")</f>
        <v>Cx</v>
      </c>
      <c r="K1793" s="9" t="str">
        <f>IFERROR(__xludf.DUMMYFUNCTION("""COMPUTED_VALUE"""),"ACx")</f>
        <v>ACx</v>
      </c>
      <c r="L1793" s="9" t="str">
        <f>IFERROR(__xludf.DUMMYFUNCTION("""COMPUTED_VALUE"""),"ArCx")</f>
        <v>ArCx</v>
      </c>
      <c r="M1793" s="9" t="str">
        <f>IFERROR(__xludf.DUMMYFUNCTION("""COMPUTED_VALUE"""),"HIP")</f>
        <v>HIP</v>
      </c>
      <c r="N1793" s="9" t="str">
        <f>IFERROR(__xludf.DUMMYFUNCTION("""COMPUTED_VALUE"""),"Hipp")</f>
        <v>Hipp</v>
      </c>
      <c r="O1793" s="9" t="str">
        <f>IFERROR(__xludf.DUMMYFUNCTION("""COMPUTED_VALUE"""),"CA4")</f>
        <v>CA4</v>
      </c>
      <c r="P1793" s="9" t="str">
        <f>IFERROR(__xludf.DUMMYFUNCTION("""COMPUTED_VALUE"""),"CA4Cpy")</f>
        <v>CA4Cpy</v>
      </c>
      <c r="Q1793" s="9"/>
      <c r="R1793" s="9"/>
      <c r="S1793" s="42"/>
      <c r="T1793" s="42"/>
      <c r="U1793" s="42"/>
      <c r="V1793" s="42"/>
      <c r="W1793" s="42"/>
      <c r="X1793" s="42"/>
      <c r="Y1793" s="42"/>
      <c r="Z1793" s="42"/>
      <c r="AA1793" s="42"/>
      <c r="AB1793" s="42" t="str">
        <f>IFERROR(__xludf.DUMMYFUNCTION("""COMPUTED_VALUE"""),"allen institute")</f>
        <v>allen institute</v>
      </c>
      <c r="AC1793" s="42" t="str">
        <f>IFERROR(__xludf.DUMMYFUNCTION("""COMPUTED_VALUE"""),"DHBA")</f>
        <v>DHBA</v>
      </c>
      <c r="AD1793" s="42"/>
      <c r="AE1793" s="42"/>
      <c r="AF1793" s="9"/>
      <c r="AG1793" s="9"/>
      <c r="AH1793" s="42"/>
      <c r="AI1793" s="42"/>
      <c r="AJ1793" s="42"/>
      <c r="AK1793" s="42"/>
      <c r="AL1793" s="42"/>
      <c r="AM1793" s="42"/>
      <c r="AN1793" s="42"/>
      <c r="AO1793" s="63" t="str">
        <f>IFERROR(__xludf.DUMMYFUNCTION("IF(ISBLANK(A1793),,IF(ISBLANK(S1793), A1793&amp;"";"", TEXTJOIN(CHAR(10), TRUE, A1793&amp;"";"", ARRAYFORMULA(VLOOKUP(SPLIT(S1793, "";"" &amp; CHAR(10)), $A:$AO, 41, FALSE)))))"),"CA4Cpy;")</f>
        <v>CA4Cpy;</v>
      </c>
      <c r="AP1793" s="89"/>
    </row>
    <row r="1794">
      <c r="A1794" s="151" t="str">
        <f>IFERROR(__xludf.DUMMYFUNCTION("""COMPUTED_VALUE"""),"Sub")</f>
        <v>Sub</v>
      </c>
      <c r="B1794" s="42" t="str">
        <f>IFERROR(__xludf.DUMMYFUNCTION("""COMPUTED_VALUE"""),"DHBA")</f>
        <v>DHBA</v>
      </c>
      <c r="C1794" s="42" t="str">
        <f>IFERROR(__xludf.DUMMYFUNCTION("""COMPUTED_VALUE"""),"subicular cortex")</f>
        <v>subicular cortex</v>
      </c>
      <c r="D1794" s="42">
        <f>IFERROR(__xludf.DUMMYFUNCTION("""COMPUTED_VALUE"""),1692.0)</f>
        <v>1692</v>
      </c>
      <c r="E1794" s="39" t="str">
        <f>IFERROR(__xludf.DUMMYFUNCTION("""COMPUTED_VALUE"""),"subicular cortex")</f>
        <v>subicular cortex</v>
      </c>
      <c r="F1794" s="9" t="str">
        <f>IFERROR(__xludf.DUMMYFUNCTION("""COMPUTED_VALUE"""),"Br")</f>
        <v>Br</v>
      </c>
      <c r="G1794" s="9" t="str">
        <f>IFERROR(__xludf.DUMMYFUNCTION("""COMPUTED_VALUE"""),"F")</f>
        <v>F</v>
      </c>
      <c r="H1794" s="9" t="str">
        <f>IFERROR(__xludf.DUMMYFUNCTION("""COMPUTED_VALUE"""),"FGM")</f>
        <v>FGM</v>
      </c>
      <c r="I1794" s="9" t="str">
        <f>IFERROR(__xludf.DUMMYFUNCTION("""COMPUTED_VALUE"""),"Tel")</f>
        <v>Tel</v>
      </c>
      <c r="J1794" s="9" t="str">
        <f>IFERROR(__xludf.DUMMYFUNCTION("""COMPUTED_VALUE"""),"Cx")</f>
        <v>Cx</v>
      </c>
      <c r="K1794" s="9" t="str">
        <f>IFERROR(__xludf.DUMMYFUNCTION("""COMPUTED_VALUE"""),"ACx")</f>
        <v>ACx</v>
      </c>
      <c r="L1794" s="9" t="str">
        <f>IFERROR(__xludf.DUMMYFUNCTION("""COMPUTED_VALUE"""),"ArCx")</f>
        <v>ArCx</v>
      </c>
      <c r="M1794" s="9" t="str">
        <f>IFERROR(__xludf.DUMMYFUNCTION("""COMPUTED_VALUE"""),"HIP")</f>
        <v>HIP</v>
      </c>
      <c r="N1794" s="9" t="str">
        <f>IFERROR(__xludf.DUMMYFUNCTION("""COMPUTED_VALUE"""),"Sub")</f>
        <v>Sub</v>
      </c>
      <c r="O1794" s="9"/>
      <c r="P1794" s="9"/>
      <c r="Q1794" s="9"/>
      <c r="R1794" s="9"/>
      <c r="S1794" s="42" t="str">
        <f>IFERROR(__xludf.DUMMYFUNCTION("""COMPUTED_VALUE"""),"S;
ProS;
SuS")</f>
        <v>S;
ProS;
SuS</v>
      </c>
      <c r="T1794" s="42"/>
      <c r="U1794" s="42" t="b">
        <f>IFERROR(__xludf.DUMMYFUNCTION("""COMPUTED_VALUE"""),FALSE)</f>
        <v>0</v>
      </c>
      <c r="V1794" s="42"/>
      <c r="W1794" s="42"/>
      <c r="X1794" s="42"/>
      <c r="Y1794" s="42"/>
      <c r="Z1794" s="42"/>
      <c r="AA1794" s="42"/>
      <c r="AB1794" s="42" t="str">
        <f>IFERROR(__xludf.DUMMYFUNCTION("""COMPUTED_VALUE"""),"allen institute")</f>
        <v>allen institute</v>
      </c>
      <c r="AC1794" s="42" t="str">
        <f>IFERROR(__xludf.DUMMYFUNCTION("""COMPUTED_VALUE"""),"DHBA")</f>
        <v>DHBA</v>
      </c>
      <c r="AD1794" s="42"/>
      <c r="AE1794" s="42"/>
      <c r="AF1794" s="9"/>
      <c r="AG1794" s="9"/>
      <c r="AH1794" s="42"/>
      <c r="AI1794" s="42"/>
      <c r="AJ1794" s="42"/>
      <c r="AK1794" s="42"/>
      <c r="AL1794" s="42"/>
      <c r="AM1794" s="42"/>
      <c r="AN1794" s="42"/>
      <c r="AO1794" s="63" t="str">
        <f>IFERROR(__xludf.DUMMYFUNCTION("IF(ISBLANK(A1794),,IF(ISBLANK(S1794), A1794&amp;"";"", TEXTJOIN(CHAR(10), TRUE, A1794&amp;"";"", ARRAYFORMULA(VLOOKUP(SPLIT(S1794, "";"" &amp; CHAR(10)), $A:$AO, 41, FALSE)))))"),"#N/A")</f>
        <v>#N/A</v>
      </c>
      <c r="AP1794" s="89"/>
    </row>
    <row r="1795">
      <c r="A1795" s="151" t="str">
        <f>IFERROR(__xludf.DUMMYFUNCTION("""COMPUTED_VALUE"""),"S")</f>
        <v>S</v>
      </c>
      <c r="B1795" s="42" t="str">
        <f>IFERROR(__xludf.DUMMYFUNCTION("""COMPUTED_VALUE"""),"DHBA")</f>
        <v>DHBA</v>
      </c>
      <c r="C1795" s="42" t="str">
        <f>IFERROR(__xludf.DUMMYFUNCTION("""COMPUTED_VALUE"""),"subiculum")</f>
        <v>subiculum</v>
      </c>
      <c r="D1795" s="42">
        <f>IFERROR(__xludf.DUMMYFUNCTION("""COMPUTED_VALUE"""),1693.0)</f>
        <v>1693</v>
      </c>
      <c r="E1795" s="39" t="str">
        <f>IFERROR(__xludf.DUMMYFUNCTION("""COMPUTED_VALUE"""),"subiculum")</f>
        <v>subiculum</v>
      </c>
      <c r="F1795" s="9" t="str">
        <f>IFERROR(__xludf.DUMMYFUNCTION("""COMPUTED_VALUE"""),"Br")</f>
        <v>Br</v>
      </c>
      <c r="G1795" s="9" t="str">
        <f>IFERROR(__xludf.DUMMYFUNCTION("""COMPUTED_VALUE"""),"F")</f>
        <v>F</v>
      </c>
      <c r="H1795" s="9" t="str">
        <f>IFERROR(__xludf.DUMMYFUNCTION("""COMPUTED_VALUE"""),"FGM")</f>
        <v>FGM</v>
      </c>
      <c r="I1795" s="9" t="str">
        <f>IFERROR(__xludf.DUMMYFUNCTION("""COMPUTED_VALUE"""),"Tel")</f>
        <v>Tel</v>
      </c>
      <c r="J1795" s="9" t="str">
        <f>IFERROR(__xludf.DUMMYFUNCTION("""COMPUTED_VALUE"""),"Cx")</f>
        <v>Cx</v>
      </c>
      <c r="K1795" s="9" t="str">
        <f>IFERROR(__xludf.DUMMYFUNCTION("""COMPUTED_VALUE"""),"ACx")</f>
        <v>ACx</v>
      </c>
      <c r="L1795" s="9" t="str">
        <f>IFERROR(__xludf.DUMMYFUNCTION("""COMPUTED_VALUE"""),"ArCx")</f>
        <v>ArCx</v>
      </c>
      <c r="M1795" s="9" t="str">
        <f>IFERROR(__xludf.DUMMYFUNCTION("""COMPUTED_VALUE"""),"HIP")</f>
        <v>HIP</v>
      </c>
      <c r="N1795" s="9" t="str">
        <f>IFERROR(__xludf.DUMMYFUNCTION("""COMPUTED_VALUE"""),"Sub")</f>
        <v>Sub</v>
      </c>
      <c r="O1795" s="9" t="str">
        <f>IFERROR(__xludf.DUMMYFUNCTION("""COMPUTED_VALUE"""),"S")</f>
        <v>S</v>
      </c>
      <c r="P1795" s="9"/>
      <c r="Q1795" s="9"/>
      <c r="R1795" s="9"/>
      <c r="S1795" s="42" t="str">
        <f>IFERROR(__xludf.DUMMYFUNCTION("""COMPUTED_VALUE"""),"S_distal;
S_proximal;
S_U;
S_R;
S_C")</f>
        <v>S_distal;
S_proximal;
S_U;
S_R;
S_C</v>
      </c>
      <c r="T1795" s="42"/>
      <c r="U1795" s="42" t="b">
        <f>IFERROR(__xludf.DUMMYFUNCTION("""COMPUTED_VALUE"""),FALSE)</f>
        <v>0</v>
      </c>
      <c r="V1795" s="42"/>
      <c r="W1795" s="42"/>
      <c r="X1795" s="42"/>
      <c r="Y1795" s="42"/>
      <c r="Z1795" s="42"/>
      <c r="AA1795" s="42"/>
      <c r="AB1795" s="42" t="str">
        <f>IFERROR(__xludf.DUMMYFUNCTION("""COMPUTED_VALUE"""),"allen institute")</f>
        <v>allen institute</v>
      </c>
      <c r="AC1795" s="42" t="str">
        <f>IFERROR(__xludf.DUMMYFUNCTION("""COMPUTED_VALUE"""),"DHBA")</f>
        <v>DHBA</v>
      </c>
      <c r="AD1795" s="42"/>
      <c r="AE1795" s="42"/>
      <c r="AF1795" s="9"/>
      <c r="AG1795" s="9"/>
      <c r="AH1795" s="42"/>
      <c r="AI1795" s="42"/>
      <c r="AJ1795" s="42"/>
      <c r="AK1795" s="42"/>
      <c r="AL1795" s="42"/>
      <c r="AM1795" s="42"/>
      <c r="AN1795" s="42"/>
      <c r="AO1795" s="63" t="str">
        <f>IFERROR(__xludf.DUMMYFUNCTION("IF(ISBLANK(A1795),,IF(ISBLANK(S1795), A1795&amp;"";"", TEXTJOIN(CHAR(10), TRUE, A1795&amp;"";"", ARRAYFORMULA(VLOOKUP(SPLIT(S1795, "";"" &amp; CHAR(10)), $A:$AO, 41, FALSE)))))"),"#N/A")</f>
        <v>#N/A</v>
      </c>
      <c r="AP1795" s="89"/>
    </row>
    <row r="1796">
      <c r="A1796" s="151" t="str">
        <f>IFERROR(__xludf.DUMMYFUNCTION("""COMPUTED_VALUE"""),"S_distal")</f>
        <v>S_distal</v>
      </c>
      <c r="B1796" s="42" t="str">
        <f>IFERROR(__xludf.DUMMYFUNCTION("""COMPUTED_VALUE"""),"[Bubb, 2017]")</f>
        <v>[Bubb, 2017]</v>
      </c>
      <c r="C1796" s="42" t="str">
        <f>IFERROR(__xludf.DUMMYFUNCTION("""COMPUTED_VALUE"""),"Subiculum, distal")</f>
        <v>Subiculum, distal</v>
      </c>
      <c r="D1796" s="42">
        <f>IFERROR(__xludf.DUMMYFUNCTION("""COMPUTED_VALUE"""),1693.1)</f>
        <v>1693.1</v>
      </c>
      <c r="E1796" s="39" t="str">
        <f>IFERROR(__xludf.DUMMYFUNCTION("""COMPUTED_VALUE"""),"")</f>
        <v/>
      </c>
      <c r="F1796" s="9" t="str">
        <f>IFERROR(__xludf.DUMMYFUNCTION("""COMPUTED_VALUE"""),"")</f>
        <v/>
      </c>
      <c r="G1796" s="9" t="str">
        <f>IFERROR(__xludf.DUMMYFUNCTION("""COMPUTED_VALUE"""),"")</f>
        <v/>
      </c>
      <c r="H1796" s="9" t="str">
        <f>IFERROR(__xludf.DUMMYFUNCTION("""COMPUTED_VALUE"""),"")</f>
        <v/>
      </c>
      <c r="I1796" s="9" t="str">
        <f>IFERROR(__xludf.DUMMYFUNCTION("""COMPUTED_VALUE"""),"")</f>
        <v/>
      </c>
      <c r="J1796" s="9" t="str">
        <f>IFERROR(__xludf.DUMMYFUNCTION("""COMPUTED_VALUE"""),"")</f>
        <v/>
      </c>
      <c r="K1796" s="9" t="str">
        <f>IFERROR(__xludf.DUMMYFUNCTION("""COMPUTED_VALUE"""),"")</f>
        <v/>
      </c>
      <c r="L1796" s="9" t="str">
        <f>IFERROR(__xludf.DUMMYFUNCTION("""COMPUTED_VALUE"""),"")</f>
        <v/>
      </c>
      <c r="M1796" s="9" t="str">
        <f>IFERROR(__xludf.DUMMYFUNCTION("""COMPUTED_VALUE"""),"")</f>
        <v/>
      </c>
      <c r="N1796" s="9" t="str">
        <f>IFERROR(__xludf.DUMMYFUNCTION("""COMPUTED_VALUE"""),"")</f>
        <v/>
      </c>
      <c r="O1796" s="9" t="str">
        <f>IFERROR(__xludf.DUMMYFUNCTION("""COMPUTED_VALUE"""),"")</f>
        <v/>
      </c>
      <c r="P1796" s="9" t="str">
        <f>IFERROR(__xludf.DUMMYFUNCTION("""COMPUTED_VALUE"""),"")</f>
        <v/>
      </c>
      <c r="Q1796" s="9" t="str">
        <f>IFERROR(__xludf.DUMMYFUNCTION("""COMPUTED_VALUE"""),"")</f>
        <v/>
      </c>
      <c r="R1796" s="9" t="str">
        <f>IFERROR(__xludf.DUMMYFUNCTION("""COMPUTED_VALUE"""),"")</f>
        <v/>
      </c>
      <c r="S1796" s="42"/>
      <c r="T1796" s="42"/>
      <c r="U1796" s="42" t="b">
        <f>IFERROR(__xludf.DUMMYFUNCTION("""COMPUTED_VALUE"""),TRUE)</f>
        <v>1</v>
      </c>
      <c r="V1796" s="42"/>
      <c r="W1796" s="42"/>
      <c r="X1796" s="42"/>
      <c r="Y1796" s="42" t="str">
        <f>IFERROR(__xludf.DUMMYFUNCTION("""COMPUTED_VALUE"""),"State at CA1 proximal with
time delay")</f>
        <v>State at CA1 proximal with
time delay</v>
      </c>
      <c r="Z1796" s="42"/>
      <c r="AA1796" s="42"/>
      <c r="AB1796" s="42" t="str">
        <f>IFERROR(__xludf.DUMMYFUNCTION("""COMPUTED_VALUE"""),"Ayako Fukawa")</f>
        <v>Ayako Fukawa</v>
      </c>
      <c r="AC1796" s="42" t="str">
        <f>IFERROR(__xludf.DUMMYFUNCTION("""COMPUTED_VALUE"""),"AT20HippocampalFormation")</f>
        <v>AT20HippocampalFormation</v>
      </c>
      <c r="AD1796" s="42"/>
      <c r="AE1796" s="42"/>
      <c r="AF1796" s="9"/>
      <c r="AG1796" s="9"/>
      <c r="AH1796" s="42"/>
      <c r="AI1796" s="42"/>
      <c r="AJ1796" s="42"/>
      <c r="AK1796" s="42"/>
      <c r="AL1796" s="42"/>
      <c r="AM1796" s="42"/>
      <c r="AN1796" s="42"/>
      <c r="AO1796" s="63" t="str">
        <f>IFERROR(__xludf.DUMMYFUNCTION("IF(ISBLANK(A1796),,IF(ISBLANK(S1796), A1796&amp;"";"", TEXTJOIN(CHAR(10), TRUE, A1796&amp;"";"", ARRAYFORMULA(VLOOKUP(SPLIT(S1796, "";"" &amp; CHAR(10)), $A:$AO, 41, FALSE)))))"),"S_distal;")</f>
        <v>S_distal;</v>
      </c>
      <c r="AP1796" s="89"/>
    </row>
    <row r="1797">
      <c r="A1797" s="151" t="str">
        <f>IFERROR(__xludf.DUMMYFUNCTION("""COMPUTED_VALUE"""),"S_proximal")</f>
        <v>S_proximal</v>
      </c>
      <c r="B1797" s="42" t="str">
        <f>IFERROR(__xludf.DUMMYFUNCTION("""COMPUTED_VALUE"""),"[Bubb, 2018]")</f>
        <v>[Bubb, 2018]</v>
      </c>
      <c r="C1797" s="42" t="str">
        <f>IFERROR(__xludf.DUMMYFUNCTION("""COMPUTED_VALUE"""),"Subiculum, proximal")</f>
        <v>Subiculum, proximal</v>
      </c>
      <c r="D1797" s="42">
        <f>IFERROR(__xludf.DUMMYFUNCTION("""COMPUTED_VALUE"""),1693.1)</f>
        <v>1693.1</v>
      </c>
      <c r="E1797" s="39" t="str">
        <f>IFERROR(__xludf.DUMMYFUNCTION("""COMPUTED_VALUE"""),"")</f>
        <v/>
      </c>
      <c r="F1797" s="9" t="str">
        <f>IFERROR(__xludf.DUMMYFUNCTION("""COMPUTED_VALUE"""),"")</f>
        <v/>
      </c>
      <c r="G1797" s="9" t="str">
        <f>IFERROR(__xludf.DUMMYFUNCTION("""COMPUTED_VALUE"""),"")</f>
        <v/>
      </c>
      <c r="H1797" s="9" t="str">
        <f>IFERROR(__xludf.DUMMYFUNCTION("""COMPUTED_VALUE"""),"")</f>
        <v/>
      </c>
      <c r="I1797" s="9" t="str">
        <f>IFERROR(__xludf.DUMMYFUNCTION("""COMPUTED_VALUE"""),"")</f>
        <v/>
      </c>
      <c r="J1797" s="9" t="str">
        <f>IFERROR(__xludf.DUMMYFUNCTION("""COMPUTED_VALUE"""),"")</f>
        <v/>
      </c>
      <c r="K1797" s="9" t="str">
        <f>IFERROR(__xludf.DUMMYFUNCTION("""COMPUTED_VALUE"""),"")</f>
        <v/>
      </c>
      <c r="L1797" s="9" t="str">
        <f>IFERROR(__xludf.DUMMYFUNCTION("""COMPUTED_VALUE"""),"")</f>
        <v/>
      </c>
      <c r="M1797" s="9" t="str">
        <f>IFERROR(__xludf.DUMMYFUNCTION("""COMPUTED_VALUE"""),"")</f>
        <v/>
      </c>
      <c r="N1797" s="9" t="str">
        <f>IFERROR(__xludf.DUMMYFUNCTION("""COMPUTED_VALUE"""),"")</f>
        <v/>
      </c>
      <c r="O1797" s="9" t="str">
        <f>IFERROR(__xludf.DUMMYFUNCTION("""COMPUTED_VALUE"""),"")</f>
        <v/>
      </c>
      <c r="P1797" s="9" t="str">
        <f>IFERROR(__xludf.DUMMYFUNCTION("""COMPUTED_VALUE"""),"")</f>
        <v/>
      </c>
      <c r="Q1797" s="9" t="str">
        <f>IFERROR(__xludf.DUMMYFUNCTION("""COMPUTED_VALUE"""),"")</f>
        <v/>
      </c>
      <c r="R1797" s="9" t="str">
        <f>IFERROR(__xludf.DUMMYFUNCTION("""COMPUTED_VALUE"""),"")</f>
        <v/>
      </c>
      <c r="S1797" s="42"/>
      <c r="T1797" s="42"/>
      <c r="U1797" s="42" t="b">
        <f>IFERROR(__xludf.DUMMYFUNCTION("""COMPUTED_VALUE"""),TRUE)</f>
        <v>1</v>
      </c>
      <c r="V1797" s="42"/>
      <c r="W1797" s="42"/>
      <c r="X1797" s="42"/>
      <c r="Y1797" s="42" t="str">
        <f>IFERROR(__xludf.DUMMYFUNCTION("""COMPUTED_VALUE"""),"State at CA1 distal with time
delay")</f>
        <v>State at CA1 distal with time
delay</v>
      </c>
      <c r="Z1797" s="42"/>
      <c r="AA1797" s="42"/>
      <c r="AB1797" s="42" t="str">
        <f>IFERROR(__xludf.DUMMYFUNCTION("""COMPUTED_VALUE"""),"Ayako Fukawa")</f>
        <v>Ayako Fukawa</v>
      </c>
      <c r="AC1797" s="42" t="str">
        <f>IFERROR(__xludf.DUMMYFUNCTION("""COMPUTED_VALUE"""),"AT20HippocampalFormation")</f>
        <v>AT20HippocampalFormation</v>
      </c>
      <c r="AD1797" s="42"/>
      <c r="AE1797" s="42"/>
      <c r="AF1797" s="9"/>
      <c r="AG1797" s="9"/>
      <c r="AH1797" s="42"/>
      <c r="AI1797" s="42"/>
      <c r="AJ1797" s="42"/>
      <c r="AK1797" s="42"/>
      <c r="AL1797" s="42"/>
      <c r="AM1797" s="42"/>
      <c r="AN1797" s="42"/>
      <c r="AO1797" s="63" t="str">
        <f>IFERROR(__xludf.DUMMYFUNCTION("IF(ISBLANK(A1797),,IF(ISBLANK(S1797), A1797&amp;"";"", TEXTJOIN(CHAR(10), TRUE, A1797&amp;"";"", ARRAYFORMULA(VLOOKUP(SPLIT(S1797, "";"" &amp; CHAR(10)), $A:$AO, 41, FALSE)))))"),"S_proximal;")</f>
        <v>S_proximal;</v>
      </c>
      <c r="AP1797" s="89"/>
    </row>
    <row r="1798">
      <c r="A1798" s="151" t="str">
        <f>IFERROR(__xludf.DUMMYFUNCTION("""COMPUTED_VALUE"""),"S-U")</f>
        <v>S-U</v>
      </c>
      <c r="B1798" s="42" t="str">
        <f>IFERROR(__xludf.DUMMYFUNCTION("""COMPUTED_VALUE"""),"DHBA")</f>
        <v>DHBA</v>
      </c>
      <c r="C1798" s="42" t="str">
        <f>IFERROR(__xludf.DUMMYFUNCTION("""COMPUTED_VALUE"""),"uncal subiculum")</f>
        <v>uncal subiculum</v>
      </c>
      <c r="D1798" s="42">
        <f>IFERROR(__xludf.DUMMYFUNCTION("""COMPUTED_VALUE"""),1694.0)</f>
        <v>1694</v>
      </c>
      <c r="E1798" s="39" t="str">
        <f>IFERROR(__xludf.DUMMYFUNCTION("""COMPUTED_VALUE"""),"uncal subiculum")</f>
        <v>uncal subiculum</v>
      </c>
      <c r="F1798" s="9" t="str">
        <f>IFERROR(__xludf.DUMMYFUNCTION("""COMPUTED_VALUE"""),"Br")</f>
        <v>Br</v>
      </c>
      <c r="G1798" s="9" t="str">
        <f>IFERROR(__xludf.DUMMYFUNCTION("""COMPUTED_VALUE"""),"F")</f>
        <v>F</v>
      </c>
      <c r="H1798" s="9" t="str">
        <f>IFERROR(__xludf.DUMMYFUNCTION("""COMPUTED_VALUE"""),"FGM")</f>
        <v>FGM</v>
      </c>
      <c r="I1798" s="9" t="str">
        <f>IFERROR(__xludf.DUMMYFUNCTION("""COMPUTED_VALUE"""),"Tel")</f>
        <v>Tel</v>
      </c>
      <c r="J1798" s="9" t="str">
        <f>IFERROR(__xludf.DUMMYFUNCTION("""COMPUTED_VALUE"""),"Cx")</f>
        <v>Cx</v>
      </c>
      <c r="K1798" s="9" t="str">
        <f>IFERROR(__xludf.DUMMYFUNCTION("""COMPUTED_VALUE"""),"ACx")</f>
        <v>ACx</v>
      </c>
      <c r="L1798" s="9" t="str">
        <f>IFERROR(__xludf.DUMMYFUNCTION("""COMPUTED_VALUE"""),"ArCx")</f>
        <v>ArCx</v>
      </c>
      <c r="M1798" s="9" t="str">
        <f>IFERROR(__xludf.DUMMYFUNCTION("""COMPUTED_VALUE"""),"HIP")</f>
        <v>HIP</v>
      </c>
      <c r="N1798" s="9" t="str">
        <f>IFERROR(__xludf.DUMMYFUNCTION("""COMPUTED_VALUE"""),"Sub")</f>
        <v>Sub</v>
      </c>
      <c r="O1798" s="9" t="str">
        <f>IFERROR(__xludf.DUMMYFUNCTION("""COMPUTED_VALUE"""),"S")</f>
        <v>S</v>
      </c>
      <c r="P1798" s="9" t="str">
        <f>IFERROR(__xludf.DUMMYFUNCTION("""COMPUTED_VALUE"""),"S-U")</f>
        <v>S-U</v>
      </c>
      <c r="Q1798" s="9"/>
      <c r="R1798" s="9"/>
      <c r="S1798" s="42"/>
      <c r="T1798" s="42"/>
      <c r="U1798" s="42"/>
      <c r="V1798" s="42"/>
      <c r="W1798" s="42"/>
      <c r="X1798" s="42"/>
      <c r="Y1798" s="42"/>
      <c r="Z1798" s="42"/>
      <c r="AA1798" s="42"/>
      <c r="AB1798" s="42" t="str">
        <f>IFERROR(__xludf.DUMMYFUNCTION("""COMPUTED_VALUE"""),"allen institute")</f>
        <v>allen institute</v>
      </c>
      <c r="AC1798" s="42" t="str">
        <f>IFERROR(__xludf.DUMMYFUNCTION("""COMPUTED_VALUE"""),"DHBA")</f>
        <v>DHBA</v>
      </c>
      <c r="AD1798" s="42"/>
      <c r="AE1798" s="42"/>
      <c r="AF1798" s="9"/>
      <c r="AG1798" s="9"/>
      <c r="AH1798" s="42"/>
      <c r="AI1798" s="42"/>
      <c r="AJ1798" s="42"/>
      <c r="AK1798" s="42"/>
      <c r="AL1798" s="42"/>
      <c r="AM1798" s="42"/>
      <c r="AN1798" s="42"/>
      <c r="AO1798" s="63" t="str">
        <f>IFERROR(__xludf.DUMMYFUNCTION("IF(ISBLANK(A1798),,IF(ISBLANK(S1798), A1798&amp;"";"", TEXTJOIN(CHAR(10), TRUE, A1798&amp;"";"", ARRAYFORMULA(VLOOKUP(SPLIT(S1798, "";"" &amp; CHAR(10)), $A:$AO, 41, FALSE)))))"),"S-U;")</f>
        <v>S-U;</v>
      </c>
      <c r="AP1798" s="89"/>
    </row>
    <row r="1799">
      <c r="A1799" s="151" t="str">
        <f>IFERROR(__xludf.DUMMYFUNCTION("""COMPUTED_VALUE"""),"SUmo")</f>
        <v>SUmo</v>
      </c>
      <c r="B1799" s="42" t="str">
        <f>IFERROR(__xludf.DUMMYFUNCTION("""COMPUTED_VALUE"""),"DHBA")</f>
        <v>DHBA</v>
      </c>
      <c r="C1799" s="42" t="str">
        <f>IFERROR(__xludf.DUMMYFUNCTION("""COMPUTED_VALUE"""),"molecular layer of uncal subiculum")</f>
        <v>molecular layer of uncal subiculum</v>
      </c>
      <c r="D1799" s="42">
        <f>IFERROR(__xludf.DUMMYFUNCTION("""COMPUTED_VALUE"""),1695.0)</f>
        <v>1695</v>
      </c>
      <c r="E1799" s="39" t="str">
        <f>IFERROR(__xludf.DUMMYFUNCTION("""COMPUTED_VALUE"""),"molecular layer of uncal subiculum")</f>
        <v>molecular layer of uncal subiculum</v>
      </c>
      <c r="F1799" s="9" t="str">
        <f>IFERROR(__xludf.DUMMYFUNCTION("""COMPUTED_VALUE"""),"Br")</f>
        <v>Br</v>
      </c>
      <c r="G1799" s="9" t="str">
        <f>IFERROR(__xludf.DUMMYFUNCTION("""COMPUTED_VALUE"""),"F")</f>
        <v>F</v>
      </c>
      <c r="H1799" s="9" t="str">
        <f>IFERROR(__xludf.DUMMYFUNCTION("""COMPUTED_VALUE"""),"FGM")</f>
        <v>FGM</v>
      </c>
      <c r="I1799" s="9" t="str">
        <f>IFERROR(__xludf.DUMMYFUNCTION("""COMPUTED_VALUE"""),"Tel")</f>
        <v>Tel</v>
      </c>
      <c r="J1799" s="9" t="str">
        <f>IFERROR(__xludf.DUMMYFUNCTION("""COMPUTED_VALUE"""),"Cx")</f>
        <v>Cx</v>
      </c>
      <c r="K1799" s="9" t="str">
        <f>IFERROR(__xludf.DUMMYFUNCTION("""COMPUTED_VALUE"""),"ACx")</f>
        <v>ACx</v>
      </c>
      <c r="L1799" s="9" t="str">
        <f>IFERROR(__xludf.DUMMYFUNCTION("""COMPUTED_VALUE"""),"ArCx")</f>
        <v>ArCx</v>
      </c>
      <c r="M1799" s="9" t="str">
        <f>IFERROR(__xludf.DUMMYFUNCTION("""COMPUTED_VALUE"""),"HIP")</f>
        <v>HIP</v>
      </c>
      <c r="N1799" s="9" t="str">
        <f>IFERROR(__xludf.DUMMYFUNCTION("""COMPUTED_VALUE"""),"Sub")</f>
        <v>Sub</v>
      </c>
      <c r="O1799" s="9" t="str">
        <f>IFERROR(__xludf.DUMMYFUNCTION("""COMPUTED_VALUE"""),"S")</f>
        <v>S</v>
      </c>
      <c r="P1799" s="9" t="str">
        <f>IFERROR(__xludf.DUMMYFUNCTION("""COMPUTED_VALUE"""),"S-U")</f>
        <v>S-U</v>
      </c>
      <c r="Q1799" s="9" t="str">
        <f>IFERROR(__xludf.DUMMYFUNCTION("""COMPUTED_VALUE"""),"SUmo")</f>
        <v>SUmo</v>
      </c>
      <c r="R1799" s="9"/>
      <c r="S1799" s="42"/>
      <c r="T1799" s="42"/>
      <c r="U1799" s="42"/>
      <c r="V1799" s="42"/>
      <c r="W1799" s="42"/>
      <c r="X1799" s="42"/>
      <c r="Y1799" s="42"/>
      <c r="Z1799" s="42"/>
      <c r="AA1799" s="42"/>
      <c r="AB1799" s="42" t="str">
        <f>IFERROR(__xludf.DUMMYFUNCTION("""COMPUTED_VALUE"""),"allen institute")</f>
        <v>allen institute</v>
      </c>
      <c r="AC1799" s="42" t="str">
        <f>IFERROR(__xludf.DUMMYFUNCTION("""COMPUTED_VALUE"""),"DHBA")</f>
        <v>DHBA</v>
      </c>
      <c r="AD1799" s="42"/>
      <c r="AE1799" s="42"/>
      <c r="AF1799" s="9"/>
      <c r="AG1799" s="9"/>
      <c r="AH1799" s="42"/>
      <c r="AI1799" s="42"/>
      <c r="AJ1799" s="42"/>
      <c r="AK1799" s="42"/>
      <c r="AL1799" s="42"/>
      <c r="AM1799" s="42"/>
      <c r="AN1799" s="42"/>
      <c r="AO1799" s="63" t="str">
        <f>IFERROR(__xludf.DUMMYFUNCTION("IF(ISBLANK(A1799),,IF(ISBLANK(S1799), A1799&amp;"";"", TEXTJOIN(CHAR(10), TRUE, A1799&amp;"";"", ARRAYFORMULA(VLOOKUP(SPLIT(S1799, "";"" &amp; CHAR(10)), $A:$AO, 41, FALSE)))))"),"SUmo;")</f>
        <v>SUmo;</v>
      </c>
      <c r="AP1799" s="89"/>
    </row>
    <row r="1800">
      <c r="A1800" s="151" t="str">
        <f>IFERROR(__xludf.DUMMYFUNCTION("""COMPUTED_VALUE"""),"SUpy")</f>
        <v>SUpy</v>
      </c>
      <c r="B1800" s="42" t="str">
        <f>IFERROR(__xludf.DUMMYFUNCTION("""COMPUTED_VALUE"""),"DHBA")</f>
        <v>DHBA</v>
      </c>
      <c r="C1800" s="42" t="str">
        <f>IFERROR(__xludf.DUMMYFUNCTION("""COMPUTED_VALUE"""),"pyramidal layer of uncal subiculum")</f>
        <v>pyramidal layer of uncal subiculum</v>
      </c>
      <c r="D1800" s="42">
        <f>IFERROR(__xludf.DUMMYFUNCTION("""COMPUTED_VALUE"""),1696.0)</f>
        <v>1696</v>
      </c>
      <c r="E1800" s="39" t="str">
        <f>IFERROR(__xludf.DUMMYFUNCTION("""COMPUTED_VALUE"""),"pyramidal layer of uncal subiculum")</f>
        <v>pyramidal layer of uncal subiculum</v>
      </c>
      <c r="F1800" s="9" t="str">
        <f>IFERROR(__xludf.DUMMYFUNCTION("""COMPUTED_VALUE"""),"Br")</f>
        <v>Br</v>
      </c>
      <c r="G1800" s="9" t="str">
        <f>IFERROR(__xludf.DUMMYFUNCTION("""COMPUTED_VALUE"""),"F")</f>
        <v>F</v>
      </c>
      <c r="H1800" s="9" t="str">
        <f>IFERROR(__xludf.DUMMYFUNCTION("""COMPUTED_VALUE"""),"FGM")</f>
        <v>FGM</v>
      </c>
      <c r="I1800" s="9" t="str">
        <f>IFERROR(__xludf.DUMMYFUNCTION("""COMPUTED_VALUE"""),"Tel")</f>
        <v>Tel</v>
      </c>
      <c r="J1800" s="9" t="str">
        <f>IFERROR(__xludf.DUMMYFUNCTION("""COMPUTED_VALUE"""),"Cx")</f>
        <v>Cx</v>
      </c>
      <c r="K1800" s="9" t="str">
        <f>IFERROR(__xludf.DUMMYFUNCTION("""COMPUTED_VALUE"""),"ACx")</f>
        <v>ACx</v>
      </c>
      <c r="L1800" s="9" t="str">
        <f>IFERROR(__xludf.DUMMYFUNCTION("""COMPUTED_VALUE"""),"ArCx")</f>
        <v>ArCx</v>
      </c>
      <c r="M1800" s="9" t="str">
        <f>IFERROR(__xludf.DUMMYFUNCTION("""COMPUTED_VALUE"""),"HIP")</f>
        <v>HIP</v>
      </c>
      <c r="N1800" s="9" t="str">
        <f>IFERROR(__xludf.DUMMYFUNCTION("""COMPUTED_VALUE"""),"Sub")</f>
        <v>Sub</v>
      </c>
      <c r="O1800" s="9" t="str">
        <f>IFERROR(__xludf.DUMMYFUNCTION("""COMPUTED_VALUE"""),"S")</f>
        <v>S</v>
      </c>
      <c r="P1800" s="9" t="str">
        <f>IFERROR(__xludf.DUMMYFUNCTION("""COMPUTED_VALUE"""),"S-U")</f>
        <v>S-U</v>
      </c>
      <c r="Q1800" s="9" t="str">
        <f>IFERROR(__xludf.DUMMYFUNCTION("""COMPUTED_VALUE"""),"SUpy")</f>
        <v>SUpy</v>
      </c>
      <c r="R1800" s="9"/>
      <c r="S1800" s="42"/>
      <c r="T1800" s="42"/>
      <c r="U1800" s="42"/>
      <c r="V1800" s="42"/>
      <c r="W1800" s="42"/>
      <c r="X1800" s="42"/>
      <c r="Y1800" s="42"/>
      <c r="Z1800" s="42"/>
      <c r="AA1800" s="42"/>
      <c r="AB1800" s="42" t="str">
        <f>IFERROR(__xludf.DUMMYFUNCTION("""COMPUTED_VALUE"""),"allen institute")</f>
        <v>allen institute</v>
      </c>
      <c r="AC1800" s="42" t="str">
        <f>IFERROR(__xludf.DUMMYFUNCTION("""COMPUTED_VALUE"""),"DHBA")</f>
        <v>DHBA</v>
      </c>
      <c r="AD1800" s="42"/>
      <c r="AE1800" s="42"/>
      <c r="AF1800" s="9"/>
      <c r="AG1800" s="9"/>
      <c r="AH1800" s="42"/>
      <c r="AI1800" s="42"/>
      <c r="AJ1800" s="42"/>
      <c r="AK1800" s="42"/>
      <c r="AL1800" s="42"/>
      <c r="AM1800" s="42"/>
      <c r="AN1800" s="42"/>
      <c r="AO1800" s="63" t="str">
        <f>IFERROR(__xludf.DUMMYFUNCTION("IF(ISBLANK(A1800),,IF(ISBLANK(S1800), A1800&amp;"";"", TEXTJOIN(CHAR(10), TRUE, A1800&amp;"";"", ARRAYFORMULA(VLOOKUP(SPLIT(S1800, "";"" &amp; CHAR(10)), $A:$AO, 41, FALSE)))))"),"SUpy;")</f>
        <v>SUpy;</v>
      </c>
      <c r="AP1800" s="89"/>
    </row>
    <row r="1801">
      <c r="A1801" s="151" t="str">
        <f>IFERROR(__xludf.DUMMYFUNCTION("""COMPUTED_VALUE"""),"SUpm")</f>
        <v>SUpm</v>
      </c>
      <c r="B1801" s="42" t="str">
        <f>IFERROR(__xludf.DUMMYFUNCTION("""COMPUTED_VALUE"""),"DHBA")</f>
        <v>DHBA</v>
      </c>
      <c r="C1801" s="42" t="str">
        <f>IFERROR(__xludf.DUMMYFUNCTION("""COMPUTED_VALUE"""),"polymorphic layer of uncal subiculum")</f>
        <v>polymorphic layer of uncal subiculum</v>
      </c>
      <c r="D1801" s="42">
        <f>IFERROR(__xludf.DUMMYFUNCTION("""COMPUTED_VALUE"""),1697.0)</f>
        <v>1697</v>
      </c>
      <c r="E1801" s="39" t="str">
        <f>IFERROR(__xludf.DUMMYFUNCTION("""COMPUTED_VALUE"""),"polymorphic layer of uncal subiculum")</f>
        <v>polymorphic layer of uncal subiculum</v>
      </c>
      <c r="F1801" s="9" t="str">
        <f>IFERROR(__xludf.DUMMYFUNCTION("""COMPUTED_VALUE"""),"Br")</f>
        <v>Br</v>
      </c>
      <c r="G1801" s="9" t="str">
        <f>IFERROR(__xludf.DUMMYFUNCTION("""COMPUTED_VALUE"""),"F")</f>
        <v>F</v>
      </c>
      <c r="H1801" s="9" t="str">
        <f>IFERROR(__xludf.DUMMYFUNCTION("""COMPUTED_VALUE"""),"FGM")</f>
        <v>FGM</v>
      </c>
      <c r="I1801" s="9" t="str">
        <f>IFERROR(__xludf.DUMMYFUNCTION("""COMPUTED_VALUE"""),"Tel")</f>
        <v>Tel</v>
      </c>
      <c r="J1801" s="9" t="str">
        <f>IFERROR(__xludf.DUMMYFUNCTION("""COMPUTED_VALUE"""),"Cx")</f>
        <v>Cx</v>
      </c>
      <c r="K1801" s="9" t="str">
        <f>IFERROR(__xludf.DUMMYFUNCTION("""COMPUTED_VALUE"""),"ACx")</f>
        <v>ACx</v>
      </c>
      <c r="L1801" s="9" t="str">
        <f>IFERROR(__xludf.DUMMYFUNCTION("""COMPUTED_VALUE"""),"ArCx")</f>
        <v>ArCx</v>
      </c>
      <c r="M1801" s="9" t="str">
        <f>IFERROR(__xludf.DUMMYFUNCTION("""COMPUTED_VALUE"""),"HIP")</f>
        <v>HIP</v>
      </c>
      <c r="N1801" s="9" t="str">
        <f>IFERROR(__xludf.DUMMYFUNCTION("""COMPUTED_VALUE"""),"Sub")</f>
        <v>Sub</v>
      </c>
      <c r="O1801" s="9" t="str">
        <f>IFERROR(__xludf.DUMMYFUNCTION("""COMPUTED_VALUE"""),"S")</f>
        <v>S</v>
      </c>
      <c r="P1801" s="9" t="str">
        <f>IFERROR(__xludf.DUMMYFUNCTION("""COMPUTED_VALUE"""),"S-U")</f>
        <v>S-U</v>
      </c>
      <c r="Q1801" s="9" t="str">
        <f>IFERROR(__xludf.DUMMYFUNCTION("""COMPUTED_VALUE"""),"SUpm")</f>
        <v>SUpm</v>
      </c>
      <c r="R1801" s="9"/>
      <c r="S1801" s="42"/>
      <c r="T1801" s="42"/>
      <c r="U1801" s="42"/>
      <c r="V1801" s="42"/>
      <c r="W1801" s="42"/>
      <c r="X1801" s="42"/>
      <c r="Y1801" s="42"/>
      <c r="Z1801" s="42"/>
      <c r="AA1801" s="42"/>
      <c r="AB1801" s="42" t="str">
        <f>IFERROR(__xludf.DUMMYFUNCTION("""COMPUTED_VALUE"""),"allen institute")</f>
        <v>allen institute</v>
      </c>
      <c r="AC1801" s="42" t="str">
        <f>IFERROR(__xludf.DUMMYFUNCTION("""COMPUTED_VALUE"""),"DHBA")</f>
        <v>DHBA</v>
      </c>
      <c r="AD1801" s="42"/>
      <c r="AE1801" s="42"/>
      <c r="AF1801" s="9"/>
      <c r="AG1801" s="9"/>
      <c r="AH1801" s="42"/>
      <c r="AI1801" s="42"/>
      <c r="AJ1801" s="42"/>
      <c r="AK1801" s="42"/>
      <c r="AL1801" s="42"/>
      <c r="AM1801" s="42"/>
      <c r="AN1801" s="42"/>
      <c r="AO1801" s="63" t="str">
        <f>IFERROR(__xludf.DUMMYFUNCTION("IF(ISBLANK(A1801),,IF(ISBLANK(S1801), A1801&amp;"";"", TEXTJOIN(CHAR(10), TRUE, A1801&amp;"";"", ARRAYFORMULA(VLOOKUP(SPLIT(S1801, "";"" &amp; CHAR(10)), $A:$AO, 41, FALSE)))))"),"SUpm;")</f>
        <v>SUpm;</v>
      </c>
      <c r="AP1801" s="89"/>
    </row>
    <row r="1802">
      <c r="A1802" s="151" t="str">
        <f>IFERROR(__xludf.DUMMYFUNCTION("""COMPUTED_VALUE"""),"S-R")</f>
        <v>S-R</v>
      </c>
      <c r="B1802" s="42" t="str">
        <f>IFERROR(__xludf.DUMMYFUNCTION("""COMPUTED_VALUE"""),"DHBA")</f>
        <v>DHBA</v>
      </c>
      <c r="C1802" s="42" t="str">
        <f>IFERROR(__xludf.DUMMYFUNCTION("""COMPUTED_VALUE"""),"rostral subiculum")</f>
        <v>rostral subiculum</v>
      </c>
      <c r="D1802" s="42">
        <f>IFERROR(__xludf.DUMMYFUNCTION("""COMPUTED_VALUE"""),1698.0)</f>
        <v>1698</v>
      </c>
      <c r="E1802" s="39" t="str">
        <f>IFERROR(__xludf.DUMMYFUNCTION("""COMPUTED_VALUE"""),"rostral subiculum")</f>
        <v>rostral subiculum</v>
      </c>
      <c r="F1802" s="9" t="str">
        <f>IFERROR(__xludf.DUMMYFUNCTION("""COMPUTED_VALUE"""),"Br")</f>
        <v>Br</v>
      </c>
      <c r="G1802" s="9" t="str">
        <f>IFERROR(__xludf.DUMMYFUNCTION("""COMPUTED_VALUE"""),"F")</f>
        <v>F</v>
      </c>
      <c r="H1802" s="9" t="str">
        <f>IFERROR(__xludf.DUMMYFUNCTION("""COMPUTED_VALUE"""),"FGM")</f>
        <v>FGM</v>
      </c>
      <c r="I1802" s="9" t="str">
        <f>IFERROR(__xludf.DUMMYFUNCTION("""COMPUTED_VALUE"""),"Tel")</f>
        <v>Tel</v>
      </c>
      <c r="J1802" s="9" t="str">
        <f>IFERROR(__xludf.DUMMYFUNCTION("""COMPUTED_VALUE"""),"Cx")</f>
        <v>Cx</v>
      </c>
      <c r="K1802" s="9" t="str">
        <f>IFERROR(__xludf.DUMMYFUNCTION("""COMPUTED_VALUE"""),"ACx")</f>
        <v>ACx</v>
      </c>
      <c r="L1802" s="9" t="str">
        <f>IFERROR(__xludf.DUMMYFUNCTION("""COMPUTED_VALUE"""),"ArCx")</f>
        <v>ArCx</v>
      </c>
      <c r="M1802" s="9" t="str">
        <f>IFERROR(__xludf.DUMMYFUNCTION("""COMPUTED_VALUE"""),"HIP")</f>
        <v>HIP</v>
      </c>
      <c r="N1802" s="9" t="str">
        <f>IFERROR(__xludf.DUMMYFUNCTION("""COMPUTED_VALUE"""),"Sub")</f>
        <v>Sub</v>
      </c>
      <c r="O1802" s="9" t="str">
        <f>IFERROR(__xludf.DUMMYFUNCTION("""COMPUTED_VALUE"""),"S")</f>
        <v>S</v>
      </c>
      <c r="P1802" s="9" t="str">
        <f>IFERROR(__xludf.DUMMYFUNCTION("""COMPUTED_VALUE"""),"S-R")</f>
        <v>S-R</v>
      </c>
      <c r="Q1802" s="9"/>
      <c r="R1802" s="9"/>
      <c r="S1802" s="42"/>
      <c r="T1802" s="42"/>
      <c r="U1802" s="42"/>
      <c r="V1802" s="42"/>
      <c r="W1802" s="42"/>
      <c r="X1802" s="42"/>
      <c r="Y1802" s="42"/>
      <c r="Z1802" s="42"/>
      <c r="AA1802" s="42"/>
      <c r="AB1802" s="42" t="str">
        <f>IFERROR(__xludf.DUMMYFUNCTION("""COMPUTED_VALUE"""),"allen institute")</f>
        <v>allen institute</v>
      </c>
      <c r="AC1802" s="42" t="str">
        <f>IFERROR(__xludf.DUMMYFUNCTION("""COMPUTED_VALUE"""),"DHBA")</f>
        <v>DHBA</v>
      </c>
      <c r="AD1802" s="42"/>
      <c r="AE1802" s="42"/>
      <c r="AF1802" s="9"/>
      <c r="AG1802" s="9"/>
      <c r="AH1802" s="42"/>
      <c r="AI1802" s="42"/>
      <c r="AJ1802" s="42"/>
      <c r="AK1802" s="42"/>
      <c r="AL1802" s="42"/>
      <c r="AM1802" s="42"/>
      <c r="AN1802" s="42"/>
      <c r="AO1802" s="63" t="str">
        <f>IFERROR(__xludf.DUMMYFUNCTION("IF(ISBLANK(A1802),,IF(ISBLANK(S1802), A1802&amp;"";"", TEXTJOIN(CHAR(10), TRUE, A1802&amp;"";"", ARRAYFORMULA(VLOOKUP(SPLIT(S1802, "";"" &amp; CHAR(10)), $A:$AO, 41, FALSE)))))"),"S-R;")</f>
        <v>S-R;</v>
      </c>
      <c r="AP1802" s="89"/>
    </row>
    <row r="1803">
      <c r="A1803" s="151" t="str">
        <f>IFERROR(__xludf.DUMMYFUNCTION("""COMPUTED_VALUE"""),"SRmo")</f>
        <v>SRmo</v>
      </c>
      <c r="B1803" s="42" t="str">
        <f>IFERROR(__xludf.DUMMYFUNCTION("""COMPUTED_VALUE"""),"DHBA")</f>
        <v>DHBA</v>
      </c>
      <c r="C1803" s="42" t="str">
        <f>IFERROR(__xludf.DUMMYFUNCTION("""COMPUTED_VALUE"""),"molecular layer of rostral subiculum")</f>
        <v>molecular layer of rostral subiculum</v>
      </c>
      <c r="D1803" s="42">
        <f>IFERROR(__xludf.DUMMYFUNCTION("""COMPUTED_VALUE"""),1699.0)</f>
        <v>1699</v>
      </c>
      <c r="E1803" s="39" t="str">
        <f>IFERROR(__xludf.DUMMYFUNCTION("""COMPUTED_VALUE"""),"molecular layer of rostral subiculum")</f>
        <v>molecular layer of rostral subiculum</v>
      </c>
      <c r="F1803" s="9" t="str">
        <f>IFERROR(__xludf.DUMMYFUNCTION("""COMPUTED_VALUE"""),"Br")</f>
        <v>Br</v>
      </c>
      <c r="G1803" s="9" t="str">
        <f>IFERROR(__xludf.DUMMYFUNCTION("""COMPUTED_VALUE"""),"F")</f>
        <v>F</v>
      </c>
      <c r="H1803" s="9" t="str">
        <f>IFERROR(__xludf.DUMMYFUNCTION("""COMPUTED_VALUE"""),"FGM")</f>
        <v>FGM</v>
      </c>
      <c r="I1803" s="9" t="str">
        <f>IFERROR(__xludf.DUMMYFUNCTION("""COMPUTED_VALUE"""),"Tel")</f>
        <v>Tel</v>
      </c>
      <c r="J1803" s="9" t="str">
        <f>IFERROR(__xludf.DUMMYFUNCTION("""COMPUTED_VALUE"""),"Cx")</f>
        <v>Cx</v>
      </c>
      <c r="K1803" s="9" t="str">
        <f>IFERROR(__xludf.DUMMYFUNCTION("""COMPUTED_VALUE"""),"ACx")</f>
        <v>ACx</v>
      </c>
      <c r="L1803" s="9" t="str">
        <f>IFERROR(__xludf.DUMMYFUNCTION("""COMPUTED_VALUE"""),"ArCx")</f>
        <v>ArCx</v>
      </c>
      <c r="M1803" s="9" t="str">
        <f>IFERROR(__xludf.DUMMYFUNCTION("""COMPUTED_VALUE"""),"HIP")</f>
        <v>HIP</v>
      </c>
      <c r="N1803" s="9" t="str">
        <f>IFERROR(__xludf.DUMMYFUNCTION("""COMPUTED_VALUE"""),"Sub")</f>
        <v>Sub</v>
      </c>
      <c r="O1803" s="9" t="str">
        <f>IFERROR(__xludf.DUMMYFUNCTION("""COMPUTED_VALUE"""),"S")</f>
        <v>S</v>
      </c>
      <c r="P1803" s="9" t="str">
        <f>IFERROR(__xludf.DUMMYFUNCTION("""COMPUTED_VALUE"""),"S-R")</f>
        <v>S-R</v>
      </c>
      <c r="Q1803" s="9" t="str">
        <f>IFERROR(__xludf.DUMMYFUNCTION("""COMPUTED_VALUE"""),"SRmo")</f>
        <v>SRmo</v>
      </c>
      <c r="R1803" s="9"/>
      <c r="S1803" s="42"/>
      <c r="T1803" s="42"/>
      <c r="U1803" s="42"/>
      <c r="V1803" s="42"/>
      <c r="W1803" s="42"/>
      <c r="X1803" s="42"/>
      <c r="Y1803" s="42"/>
      <c r="Z1803" s="42"/>
      <c r="AA1803" s="42"/>
      <c r="AB1803" s="42" t="str">
        <f>IFERROR(__xludf.DUMMYFUNCTION("""COMPUTED_VALUE"""),"allen institute")</f>
        <v>allen institute</v>
      </c>
      <c r="AC1803" s="42" t="str">
        <f>IFERROR(__xludf.DUMMYFUNCTION("""COMPUTED_VALUE"""),"DHBA")</f>
        <v>DHBA</v>
      </c>
      <c r="AD1803" s="42"/>
      <c r="AE1803" s="42"/>
      <c r="AF1803" s="9"/>
      <c r="AG1803" s="9"/>
      <c r="AH1803" s="42"/>
      <c r="AI1803" s="42"/>
      <c r="AJ1803" s="42"/>
      <c r="AK1803" s="42"/>
      <c r="AL1803" s="42"/>
      <c r="AM1803" s="42"/>
      <c r="AN1803" s="42"/>
      <c r="AO1803" s="63" t="str">
        <f>IFERROR(__xludf.DUMMYFUNCTION("IF(ISBLANK(A1803),,IF(ISBLANK(S1803), A1803&amp;"";"", TEXTJOIN(CHAR(10), TRUE, A1803&amp;"";"", ARRAYFORMULA(VLOOKUP(SPLIT(S1803, "";"" &amp; CHAR(10)), $A:$AO, 41, FALSE)))))"),"SRmo;")</f>
        <v>SRmo;</v>
      </c>
      <c r="AP1803" s="89"/>
    </row>
    <row r="1804">
      <c r="A1804" s="151" t="str">
        <f>IFERROR(__xludf.DUMMYFUNCTION("""COMPUTED_VALUE"""),"SRpy")</f>
        <v>SRpy</v>
      </c>
      <c r="B1804" s="42" t="str">
        <f>IFERROR(__xludf.DUMMYFUNCTION("""COMPUTED_VALUE"""),"DHBA")</f>
        <v>DHBA</v>
      </c>
      <c r="C1804" s="42" t="str">
        <f>IFERROR(__xludf.DUMMYFUNCTION("""COMPUTED_VALUE"""),"pyramidal layer of rostral subiculum")</f>
        <v>pyramidal layer of rostral subiculum</v>
      </c>
      <c r="D1804" s="42">
        <f>IFERROR(__xludf.DUMMYFUNCTION("""COMPUTED_VALUE"""),1700.0)</f>
        <v>1700</v>
      </c>
      <c r="E1804" s="39" t="str">
        <f>IFERROR(__xludf.DUMMYFUNCTION("""COMPUTED_VALUE"""),"pyramidal layer of rostral subiculum")</f>
        <v>pyramidal layer of rostral subiculum</v>
      </c>
      <c r="F1804" s="9" t="str">
        <f>IFERROR(__xludf.DUMMYFUNCTION("""COMPUTED_VALUE"""),"Br")</f>
        <v>Br</v>
      </c>
      <c r="G1804" s="9" t="str">
        <f>IFERROR(__xludf.DUMMYFUNCTION("""COMPUTED_VALUE"""),"F")</f>
        <v>F</v>
      </c>
      <c r="H1804" s="9" t="str">
        <f>IFERROR(__xludf.DUMMYFUNCTION("""COMPUTED_VALUE"""),"FGM")</f>
        <v>FGM</v>
      </c>
      <c r="I1804" s="9" t="str">
        <f>IFERROR(__xludf.DUMMYFUNCTION("""COMPUTED_VALUE"""),"Tel")</f>
        <v>Tel</v>
      </c>
      <c r="J1804" s="9" t="str">
        <f>IFERROR(__xludf.DUMMYFUNCTION("""COMPUTED_VALUE"""),"Cx")</f>
        <v>Cx</v>
      </c>
      <c r="K1804" s="9" t="str">
        <f>IFERROR(__xludf.DUMMYFUNCTION("""COMPUTED_VALUE"""),"ACx")</f>
        <v>ACx</v>
      </c>
      <c r="L1804" s="9" t="str">
        <f>IFERROR(__xludf.DUMMYFUNCTION("""COMPUTED_VALUE"""),"ArCx")</f>
        <v>ArCx</v>
      </c>
      <c r="M1804" s="9" t="str">
        <f>IFERROR(__xludf.DUMMYFUNCTION("""COMPUTED_VALUE"""),"HIP")</f>
        <v>HIP</v>
      </c>
      <c r="N1804" s="9" t="str">
        <f>IFERROR(__xludf.DUMMYFUNCTION("""COMPUTED_VALUE"""),"Sub")</f>
        <v>Sub</v>
      </c>
      <c r="O1804" s="9" t="str">
        <f>IFERROR(__xludf.DUMMYFUNCTION("""COMPUTED_VALUE"""),"S")</f>
        <v>S</v>
      </c>
      <c r="P1804" s="9" t="str">
        <f>IFERROR(__xludf.DUMMYFUNCTION("""COMPUTED_VALUE"""),"S-R")</f>
        <v>S-R</v>
      </c>
      <c r="Q1804" s="9" t="str">
        <f>IFERROR(__xludf.DUMMYFUNCTION("""COMPUTED_VALUE"""),"SRpy")</f>
        <v>SRpy</v>
      </c>
      <c r="R1804" s="9"/>
      <c r="S1804" s="42"/>
      <c r="T1804" s="42"/>
      <c r="U1804" s="42"/>
      <c r="V1804" s="42"/>
      <c r="W1804" s="42"/>
      <c r="X1804" s="42"/>
      <c r="Y1804" s="42"/>
      <c r="Z1804" s="42"/>
      <c r="AA1804" s="42"/>
      <c r="AB1804" s="42" t="str">
        <f>IFERROR(__xludf.DUMMYFUNCTION("""COMPUTED_VALUE"""),"allen institute")</f>
        <v>allen institute</v>
      </c>
      <c r="AC1804" s="42" t="str">
        <f>IFERROR(__xludf.DUMMYFUNCTION("""COMPUTED_VALUE"""),"DHBA")</f>
        <v>DHBA</v>
      </c>
      <c r="AD1804" s="42"/>
      <c r="AE1804" s="42"/>
      <c r="AF1804" s="9"/>
      <c r="AG1804" s="9"/>
      <c r="AH1804" s="42"/>
      <c r="AI1804" s="42"/>
      <c r="AJ1804" s="42"/>
      <c r="AK1804" s="42"/>
      <c r="AL1804" s="42"/>
      <c r="AM1804" s="42"/>
      <c r="AN1804" s="42"/>
      <c r="AO1804" s="63" t="str">
        <f>IFERROR(__xludf.DUMMYFUNCTION("IF(ISBLANK(A1804),,IF(ISBLANK(S1804), A1804&amp;"";"", TEXTJOIN(CHAR(10), TRUE, A1804&amp;"";"", ARRAYFORMULA(VLOOKUP(SPLIT(S1804, "";"" &amp; CHAR(10)), $A:$AO, 41, FALSE)))))"),"SRpy;")</f>
        <v>SRpy;</v>
      </c>
      <c r="AP1804" s="89"/>
    </row>
    <row r="1805">
      <c r="A1805" s="151" t="str">
        <f>IFERROR(__xludf.DUMMYFUNCTION("""COMPUTED_VALUE"""),"SRpf")</f>
        <v>SRpf</v>
      </c>
      <c r="B1805" s="42" t="str">
        <f>IFERROR(__xludf.DUMMYFUNCTION("""COMPUTED_VALUE"""),"DHBA")</f>
        <v>DHBA</v>
      </c>
      <c r="C1805" s="42" t="str">
        <f>IFERROR(__xludf.DUMMYFUNCTION("""COMPUTED_VALUE"""),"polymorphic layer of rostral subiculum")</f>
        <v>polymorphic layer of rostral subiculum</v>
      </c>
      <c r="D1805" s="42">
        <f>IFERROR(__xludf.DUMMYFUNCTION("""COMPUTED_VALUE"""),1701.0)</f>
        <v>1701</v>
      </c>
      <c r="E1805" s="39" t="str">
        <f>IFERROR(__xludf.DUMMYFUNCTION("""COMPUTED_VALUE"""),"polymorphic layer of rostral subiculum")</f>
        <v>polymorphic layer of rostral subiculum</v>
      </c>
      <c r="F1805" s="9" t="str">
        <f>IFERROR(__xludf.DUMMYFUNCTION("""COMPUTED_VALUE"""),"Br")</f>
        <v>Br</v>
      </c>
      <c r="G1805" s="9" t="str">
        <f>IFERROR(__xludf.DUMMYFUNCTION("""COMPUTED_VALUE"""),"F")</f>
        <v>F</v>
      </c>
      <c r="H1805" s="9" t="str">
        <f>IFERROR(__xludf.DUMMYFUNCTION("""COMPUTED_VALUE"""),"FGM")</f>
        <v>FGM</v>
      </c>
      <c r="I1805" s="9" t="str">
        <f>IFERROR(__xludf.DUMMYFUNCTION("""COMPUTED_VALUE"""),"Tel")</f>
        <v>Tel</v>
      </c>
      <c r="J1805" s="9" t="str">
        <f>IFERROR(__xludf.DUMMYFUNCTION("""COMPUTED_VALUE"""),"Cx")</f>
        <v>Cx</v>
      </c>
      <c r="K1805" s="9" t="str">
        <f>IFERROR(__xludf.DUMMYFUNCTION("""COMPUTED_VALUE"""),"ACx")</f>
        <v>ACx</v>
      </c>
      <c r="L1805" s="9" t="str">
        <f>IFERROR(__xludf.DUMMYFUNCTION("""COMPUTED_VALUE"""),"ArCx")</f>
        <v>ArCx</v>
      </c>
      <c r="M1805" s="9" t="str">
        <f>IFERROR(__xludf.DUMMYFUNCTION("""COMPUTED_VALUE"""),"HIP")</f>
        <v>HIP</v>
      </c>
      <c r="N1805" s="9" t="str">
        <f>IFERROR(__xludf.DUMMYFUNCTION("""COMPUTED_VALUE"""),"Sub")</f>
        <v>Sub</v>
      </c>
      <c r="O1805" s="9" t="str">
        <f>IFERROR(__xludf.DUMMYFUNCTION("""COMPUTED_VALUE"""),"S")</f>
        <v>S</v>
      </c>
      <c r="P1805" s="9" t="str">
        <f>IFERROR(__xludf.DUMMYFUNCTION("""COMPUTED_VALUE"""),"S-R")</f>
        <v>S-R</v>
      </c>
      <c r="Q1805" s="9" t="str">
        <f>IFERROR(__xludf.DUMMYFUNCTION("""COMPUTED_VALUE"""),"SRpf")</f>
        <v>SRpf</v>
      </c>
      <c r="R1805" s="9"/>
      <c r="S1805" s="42"/>
      <c r="T1805" s="42"/>
      <c r="U1805" s="42"/>
      <c r="V1805" s="42"/>
      <c r="W1805" s="42"/>
      <c r="X1805" s="42"/>
      <c r="Y1805" s="42"/>
      <c r="Z1805" s="42"/>
      <c r="AA1805" s="42"/>
      <c r="AB1805" s="42" t="str">
        <f>IFERROR(__xludf.DUMMYFUNCTION("""COMPUTED_VALUE"""),"allen institute")</f>
        <v>allen institute</v>
      </c>
      <c r="AC1805" s="42" t="str">
        <f>IFERROR(__xludf.DUMMYFUNCTION("""COMPUTED_VALUE"""),"DHBA")</f>
        <v>DHBA</v>
      </c>
      <c r="AD1805" s="42"/>
      <c r="AE1805" s="42"/>
      <c r="AF1805" s="9"/>
      <c r="AG1805" s="9"/>
      <c r="AH1805" s="42"/>
      <c r="AI1805" s="42"/>
      <c r="AJ1805" s="42"/>
      <c r="AK1805" s="42"/>
      <c r="AL1805" s="42"/>
      <c r="AM1805" s="42"/>
      <c r="AN1805" s="42"/>
      <c r="AO1805" s="63" t="str">
        <f>IFERROR(__xludf.DUMMYFUNCTION("IF(ISBLANK(A1805),,IF(ISBLANK(S1805), A1805&amp;"";"", TEXTJOIN(CHAR(10), TRUE, A1805&amp;"";"", ARRAYFORMULA(VLOOKUP(SPLIT(S1805, "";"" &amp; CHAR(10)), $A:$AO, 41, FALSE)))))"),"SRpf;")</f>
        <v>SRpf;</v>
      </c>
      <c r="AP1805" s="89"/>
    </row>
    <row r="1806">
      <c r="A1806" s="151" t="str">
        <f>IFERROR(__xludf.DUMMYFUNCTION("""COMPUTED_VALUE"""),"S-C")</f>
        <v>S-C</v>
      </c>
      <c r="B1806" s="42" t="str">
        <f>IFERROR(__xludf.DUMMYFUNCTION("""COMPUTED_VALUE"""),"DHBA")</f>
        <v>DHBA</v>
      </c>
      <c r="C1806" s="42" t="str">
        <f>IFERROR(__xludf.DUMMYFUNCTION("""COMPUTED_VALUE"""),"caudal subiculum")</f>
        <v>caudal subiculum</v>
      </c>
      <c r="D1806" s="42">
        <f>IFERROR(__xludf.DUMMYFUNCTION("""COMPUTED_VALUE"""),1702.0)</f>
        <v>1702</v>
      </c>
      <c r="E1806" s="39" t="str">
        <f>IFERROR(__xludf.DUMMYFUNCTION("""COMPUTED_VALUE"""),"caudal subiculum")</f>
        <v>caudal subiculum</v>
      </c>
      <c r="F1806" s="9" t="str">
        <f>IFERROR(__xludf.DUMMYFUNCTION("""COMPUTED_VALUE"""),"Br")</f>
        <v>Br</v>
      </c>
      <c r="G1806" s="9" t="str">
        <f>IFERROR(__xludf.DUMMYFUNCTION("""COMPUTED_VALUE"""),"F")</f>
        <v>F</v>
      </c>
      <c r="H1806" s="9" t="str">
        <f>IFERROR(__xludf.DUMMYFUNCTION("""COMPUTED_VALUE"""),"FGM")</f>
        <v>FGM</v>
      </c>
      <c r="I1806" s="9" t="str">
        <f>IFERROR(__xludf.DUMMYFUNCTION("""COMPUTED_VALUE"""),"Tel")</f>
        <v>Tel</v>
      </c>
      <c r="J1806" s="9" t="str">
        <f>IFERROR(__xludf.DUMMYFUNCTION("""COMPUTED_VALUE"""),"Cx")</f>
        <v>Cx</v>
      </c>
      <c r="K1806" s="9" t="str">
        <f>IFERROR(__xludf.DUMMYFUNCTION("""COMPUTED_VALUE"""),"ACx")</f>
        <v>ACx</v>
      </c>
      <c r="L1806" s="9" t="str">
        <f>IFERROR(__xludf.DUMMYFUNCTION("""COMPUTED_VALUE"""),"ArCx")</f>
        <v>ArCx</v>
      </c>
      <c r="M1806" s="9" t="str">
        <f>IFERROR(__xludf.DUMMYFUNCTION("""COMPUTED_VALUE"""),"HIP")</f>
        <v>HIP</v>
      </c>
      <c r="N1806" s="9" t="str">
        <f>IFERROR(__xludf.DUMMYFUNCTION("""COMPUTED_VALUE"""),"Sub")</f>
        <v>Sub</v>
      </c>
      <c r="O1806" s="9" t="str">
        <f>IFERROR(__xludf.DUMMYFUNCTION("""COMPUTED_VALUE"""),"S")</f>
        <v>S</v>
      </c>
      <c r="P1806" s="9" t="str">
        <f>IFERROR(__xludf.DUMMYFUNCTION("""COMPUTED_VALUE"""),"S-C")</f>
        <v>S-C</v>
      </c>
      <c r="Q1806" s="9"/>
      <c r="R1806" s="9"/>
      <c r="S1806" s="42"/>
      <c r="T1806" s="42"/>
      <c r="U1806" s="42"/>
      <c r="V1806" s="42"/>
      <c r="W1806" s="42"/>
      <c r="X1806" s="42"/>
      <c r="Y1806" s="42"/>
      <c r="Z1806" s="42"/>
      <c r="AA1806" s="42"/>
      <c r="AB1806" s="42" t="str">
        <f>IFERROR(__xludf.DUMMYFUNCTION("""COMPUTED_VALUE"""),"allen institute")</f>
        <v>allen institute</v>
      </c>
      <c r="AC1806" s="42" t="str">
        <f>IFERROR(__xludf.DUMMYFUNCTION("""COMPUTED_VALUE"""),"DHBA")</f>
        <v>DHBA</v>
      </c>
      <c r="AD1806" s="42"/>
      <c r="AE1806" s="42"/>
      <c r="AF1806" s="9"/>
      <c r="AG1806" s="9"/>
      <c r="AH1806" s="42"/>
      <c r="AI1806" s="42"/>
      <c r="AJ1806" s="42"/>
      <c r="AK1806" s="42"/>
      <c r="AL1806" s="42"/>
      <c r="AM1806" s="42"/>
      <c r="AN1806" s="42"/>
      <c r="AO1806" s="63" t="str">
        <f>IFERROR(__xludf.DUMMYFUNCTION("IF(ISBLANK(A1806),,IF(ISBLANK(S1806), A1806&amp;"";"", TEXTJOIN(CHAR(10), TRUE, A1806&amp;"";"", ARRAYFORMULA(VLOOKUP(SPLIT(S1806, "";"" &amp; CHAR(10)), $A:$AO, 41, FALSE)))))"),"S-C;")</f>
        <v>S-C;</v>
      </c>
      <c r="AP1806" s="89"/>
    </row>
    <row r="1807">
      <c r="A1807" s="151" t="str">
        <f>IFERROR(__xludf.DUMMYFUNCTION("""COMPUTED_VALUE"""),"SCmo")</f>
        <v>SCmo</v>
      </c>
      <c r="B1807" s="42" t="str">
        <f>IFERROR(__xludf.DUMMYFUNCTION("""COMPUTED_VALUE"""),"DHBA")</f>
        <v>DHBA</v>
      </c>
      <c r="C1807" s="42" t="str">
        <f>IFERROR(__xludf.DUMMYFUNCTION("""COMPUTED_VALUE"""),"molecular layer of caudal subiculum")</f>
        <v>molecular layer of caudal subiculum</v>
      </c>
      <c r="D1807" s="42">
        <f>IFERROR(__xludf.DUMMYFUNCTION("""COMPUTED_VALUE"""),1703.0)</f>
        <v>1703</v>
      </c>
      <c r="E1807" s="39" t="str">
        <f>IFERROR(__xludf.DUMMYFUNCTION("""COMPUTED_VALUE"""),"molecular layer of caudal subiculum")</f>
        <v>molecular layer of caudal subiculum</v>
      </c>
      <c r="F1807" s="9" t="str">
        <f>IFERROR(__xludf.DUMMYFUNCTION("""COMPUTED_VALUE"""),"Br")</f>
        <v>Br</v>
      </c>
      <c r="G1807" s="9" t="str">
        <f>IFERROR(__xludf.DUMMYFUNCTION("""COMPUTED_VALUE"""),"F")</f>
        <v>F</v>
      </c>
      <c r="H1807" s="9" t="str">
        <f>IFERROR(__xludf.DUMMYFUNCTION("""COMPUTED_VALUE"""),"FGM")</f>
        <v>FGM</v>
      </c>
      <c r="I1807" s="9" t="str">
        <f>IFERROR(__xludf.DUMMYFUNCTION("""COMPUTED_VALUE"""),"Tel")</f>
        <v>Tel</v>
      </c>
      <c r="J1807" s="9" t="str">
        <f>IFERROR(__xludf.DUMMYFUNCTION("""COMPUTED_VALUE"""),"Cx")</f>
        <v>Cx</v>
      </c>
      <c r="K1807" s="9" t="str">
        <f>IFERROR(__xludf.DUMMYFUNCTION("""COMPUTED_VALUE"""),"ACx")</f>
        <v>ACx</v>
      </c>
      <c r="L1807" s="9" t="str">
        <f>IFERROR(__xludf.DUMMYFUNCTION("""COMPUTED_VALUE"""),"ArCx")</f>
        <v>ArCx</v>
      </c>
      <c r="M1807" s="9" t="str">
        <f>IFERROR(__xludf.DUMMYFUNCTION("""COMPUTED_VALUE"""),"HIP")</f>
        <v>HIP</v>
      </c>
      <c r="N1807" s="9" t="str">
        <f>IFERROR(__xludf.DUMMYFUNCTION("""COMPUTED_VALUE"""),"Sub")</f>
        <v>Sub</v>
      </c>
      <c r="O1807" s="9" t="str">
        <f>IFERROR(__xludf.DUMMYFUNCTION("""COMPUTED_VALUE"""),"S")</f>
        <v>S</v>
      </c>
      <c r="P1807" s="9" t="str">
        <f>IFERROR(__xludf.DUMMYFUNCTION("""COMPUTED_VALUE"""),"S-C")</f>
        <v>S-C</v>
      </c>
      <c r="Q1807" s="9" t="str">
        <f>IFERROR(__xludf.DUMMYFUNCTION("""COMPUTED_VALUE"""),"SCmo")</f>
        <v>SCmo</v>
      </c>
      <c r="R1807" s="9"/>
      <c r="S1807" s="42"/>
      <c r="T1807" s="42"/>
      <c r="U1807" s="42"/>
      <c r="V1807" s="42"/>
      <c r="W1807" s="42"/>
      <c r="X1807" s="42"/>
      <c r="Y1807" s="42"/>
      <c r="Z1807" s="42"/>
      <c r="AA1807" s="42"/>
      <c r="AB1807" s="42" t="str">
        <f>IFERROR(__xludf.DUMMYFUNCTION("""COMPUTED_VALUE"""),"allen institute")</f>
        <v>allen institute</v>
      </c>
      <c r="AC1807" s="42" t="str">
        <f>IFERROR(__xludf.DUMMYFUNCTION("""COMPUTED_VALUE"""),"DHBA")</f>
        <v>DHBA</v>
      </c>
      <c r="AD1807" s="42"/>
      <c r="AE1807" s="42"/>
      <c r="AF1807" s="9"/>
      <c r="AG1807" s="9"/>
      <c r="AH1807" s="42"/>
      <c r="AI1807" s="42"/>
      <c r="AJ1807" s="42"/>
      <c r="AK1807" s="42"/>
      <c r="AL1807" s="42"/>
      <c r="AM1807" s="42"/>
      <c r="AN1807" s="42"/>
      <c r="AO1807" s="63" t="str">
        <f>IFERROR(__xludf.DUMMYFUNCTION("IF(ISBLANK(A1807),,IF(ISBLANK(S1807), A1807&amp;"";"", TEXTJOIN(CHAR(10), TRUE, A1807&amp;"";"", ARRAYFORMULA(VLOOKUP(SPLIT(S1807, "";"" &amp; CHAR(10)), $A:$AO, 41, FALSE)))))"),"SCmo;")</f>
        <v>SCmo;</v>
      </c>
      <c r="AP1807" s="89"/>
    </row>
    <row r="1808">
      <c r="A1808" s="151" t="str">
        <f>IFERROR(__xludf.DUMMYFUNCTION("""COMPUTED_VALUE"""),"SCpy")</f>
        <v>SCpy</v>
      </c>
      <c r="B1808" s="42" t="str">
        <f>IFERROR(__xludf.DUMMYFUNCTION("""COMPUTED_VALUE"""),"DHBA")</f>
        <v>DHBA</v>
      </c>
      <c r="C1808" s="42" t="str">
        <f>IFERROR(__xludf.DUMMYFUNCTION("""COMPUTED_VALUE"""),"pyramidal layer of caudal subiculum")</f>
        <v>pyramidal layer of caudal subiculum</v>
      </c>
      <c r="D1808" s="42">
        <f>IFERROR(__xludf.DUMMYFUNCTION("""COMPUTED_VALUE"""),1704.0)</f>
        <v>1704</v>
      </c>
      <c r="E1808" s="39" t="str">
        <f>IFERROR(__xludf.DUMMYFUNCTION("""COMPUTED_VALUE"""),"pyramidal layer of caudal subiculum")</f>
        <v>pyramidal layer of caudal subiculum</v>
      </c>
      <c r="F1808" s="9" t="str">
        <f>IFERROR(__xludf.DUMMYFUNCTION("""COMPUTED_VALUE"""),"Br")</f>
        <v>Br</v>
      </c>
      <c r="G1808" s="9" t="str">
        <f>IFERROR(__xludf.DUMMYFUNCTION("""COMPUTED_VALUE"""),"F")</f>
        <v>F</v>
      </c>
      <c r="H1808" s="9" t="str">
        <f>IFERROR(__xludf.DUMMYFUNCTION("""COMPUTED_VALUE"""),"FGM")</f>
        <v>FGM</v>
      </c>
      <c r="I1808" s="9" t="str">
        <f>IFERROR(__xludf.DUMMYFUNCTION("""COMPUTED_VALUE"""),"Tel")</f>
        <v>Tel</v>
      </c>
      <c r="J1808" s="9" t="str">
        <f>IFERROR(__xludf.DUMMYFUNCTION("""COMPUTED_VALUE"""),"Cx")</f>
        <v>Cx</v>
      </c>
      <c r="K1808" s="9" t="str">
        <f>IFERROR(__xludf.DUMMYFUNCTION("""COMPUTED_VALUE"""),"ACx")</f>
        <v>ACx</v>
      </c>
      <c r="L1808" s="9" t="str">
        <f>IFERROR(__xludf.DUMMYFUNCTION("""COMPUTED_VALUE"""),"ArCx")</f>
        <v>ArCx</v>
      </c>
      <c r="M1808" s="9" t="str">
        <f>IFERROR(__xludf.DUMMYFUNCTION("""COMPUTED_VALUE"""),"HIP")</f>
        <v>HIP</v>
      </c>
      <c r="N1808" s="9" t="str">
        <f>IFERROR(__xludf.DUMMYFUNCTION("""COMPUTED_VALUE"""),"Sub")</f>
        <v>Sub</v>
      </c>
      <c r="O1808" s="9" t="str">
        <f>IFERROR(__xludf.DUMMYFUNCTION("""COMPUTED_VALUE"""),"S")</f>
        <v>S</v>
      </c>
      <c r="P1808" s="9" t="str">
        <f>IFERROR(__xludf.DUMMYFUNCTION("""COMPUTED_VALUE"""),"S-C")</f>
        <v>S-C</v>
      </c>
      <c r="Q1808" s="9" t="str">
        <f>IFERROR(__xludf.DUMMYFUNCTION("""COMPUTED_VALUE"""),"SCpy")</f>
        <v>SCpy</v>
      </c>
      <c r="R1808" s="9"/>
      <c r="S1808" s="42"/>
      <c r="T1808" s="42"/>
      <c r="U1808" s="42"/>
      <c r="V1808" s="42"/>
      <c r="W1808" s="42"/>
      <c r="X1808" s="42"/>
      <c r="Y1808" s="42"/>
      <c r="Z1808" s="42"/>
      <c r="AA1808" s="42"/>
      <c r="AB1808" s="42" t="str">
        <f>IFERROR(__xludf.DUMMYFUNCTION("""COMPUTED_VALUE"""),"allen institute")</f>
        <v>allen institute</v>
      </c>
      <c r="AC1808" s="42" t="str">
        <f>IFERROR(__xludf.DUMMYFUNCTION("""COMPUTED_VALUE"""),"DHBA")</f>
        <v>DHBA</v>
      </c>
      <c r="AD1808" s="42"/>
      <c r="AE1808" s="42"/>
      <c r="AF1808" s="9"/>
      <c r="AG1808" s="9"/>
      <c r="AH1808" s="42"/>
      <c r="AI1808" s="42"/>
      <c r="AJ1808" s="42"/>
      <c r="AK1808" s="42"/>
      <c r="AL1808" s="42"/>
      <c r="AM1808" s="42"/>
      <c r="AN1808" s="42"/>
      <c r="AO1808" s="63" t="str">
        <f>IFERROR(__xludf.DUMMYFUNCTION("IF(ISBLANK(A1808),,IF(ISBLANK(S1808), A1808&amp;"";"", TEXTJOIN(CHAR(10), TRUE, A1808&amp;"";"", ARRAYFORMULA(VLOOKUP(SPLIT(S1808, "";"" &amp; CHAR(10)), $A:$AO, 41, FALSE)))))"),"SCpy;")</f>
        <v>SCpy;</v>
      </c>
      <c r="AP1808" s="89"/>
    </row>
    <row r="1809">
      <c r="A1809" s="151" t="str">
        <f>IFERROR(__xludf.DUMMYFUNCTION("""COMPUTED_VALUE"""),"SCpf")</f>
        <v>SCpf</v>
      </c>
      <c r="B1809" s="42" t="str">
        <f>IFERROR(__xludf.DUMMYFUNCTION("""COMPUTED_VALUE"""),"DHBA")</f>
        <v>DHBA</v>
      </c>
      <c r="C1809" s="42" t="str">
        <f>IFERROR(__xludf.DUMMYFUNCTION("""COMPUTED_VALUE"""),"polymorphic layer of caudal subiculum")</f>
        <v>polymorphic layer of caudal subiculum</v>
      </c>
      <c r="D1809" s="42">
        <f>IFERROR(__xludf.DUMMYFUNCTION("""COMPUTED_VALUE"""),1705.0)</f>
        <v>1705</v>
      </c>
      <c r="E1809" s="39" t="str">
        <f>IFERROR(__xludf.DUMMYFUNCTION("""COMPUTED_VALUE"""),"polymorphic layer of caudal subiculum")</f>
        <v>polymorphic layer of caudal subiculum</v>
      </c>
      <c r="F1809" s="9" t="str">
        <f>IFERROR(__xludf.DUMMYFUNCTION("""COMPUTED_VALUE"""),"Br")</f>
        <v>Br</v>
      </c>
      <c r="G1809" s="9" t="str">
        <f>IFERROR(__xludf.DUMMYFUNCTION("""COMPUTED_VALUE"""),"F")</f>
        <v>F</v>
      </c>
      <c r="H1809" s="9" t="str">
        <f>IFERROR(__xludf.DUMMYFUNCTION("""COMPUTED_VALUE"""),"FGM")</f>
        <v>FGM</v>
      </c>
      <c r="I1809" s="9" t="str">
        <f>IFERROR(__xludf.DUMMYFUNCTION("""COMPUTED_VALUE"""),"Tel")</f>
        <v>Tel</v>
      </c>
      <c r="J1809" s="9" t="str">
        <f>IFERROR(__xludf.DUMMYFUNCTION("""COMPUTED_VALUE"""),"Cx")</f>
        <v>Cx</v>
      </c>
      <c r="K1809" s="9" t="str">
        <f>IFERROR(__xludf.DUMMYFUNCTION("""COMPUTED_VALUE"""),"ACx")</f>
        <v>ACx</v>
      </c>
      <c r="L1809" s="9" t="str">
        <f>IFERROR(__xludf.DUMMYFUNCTION("""COMPUTED_VALUE"""),"ArCx")</f>
        <v>ArCx</v>
      </c>
      <c r="M1809" s="9" t="str">
        <f>IFERROR(__xludf.DUMMYFUNCTION("""COMPUTED_VALUE"""),"HIP")</f>
        <v>HIP</v>
      </c>
      <c r="N1809" s="9" t="str">
        <f>IFERROR(__xludf.DUMMYFUNCTION("""COMPUTED_VALUE"""),"Sub")</f>
        <v>Sub</v>
      </c>
      <c r="O1809" s="9" t="str">
        <f>IFERROR(__xludf.DUMMYFUNCTION("""COMPUTED_VALUE"""),"S")</f>
        <v>S</v>
      </c>
      <c r="P1809" s="9" t="str">
        <f>IFERROR(__xludf.DUMMYFUNCTION("""COMPUTED_VALUE"""),"S-C")</f>
        <v>S-C</v>
      </c>
      <c r="Q1809" s="9" t="str">
        <f>IFERROR(__xludf.DUMMYFUNCTION("""COMPUTED_VALUE"""),"SCpf")</f>
        <v>SCpf</v>
      </c>
      <c r="R1809" s="9"/>
      <c r="S1809" s="42"/>
      <c r="T1809" s="42"/>
      <c r="U1809" s="42"/>
      <c r="V1809" s="42"/>
      <c r="W1809" s="42"/>
      <c r="X1809" s="42"/>
      <c r="Y1809" s="42"/>
      <c r="Z1809" s="42"/>
      <c r="AA1809" s="42"/>
      <c r="AB1809" s="42" t="str">
        <f>IFERROR(__xludf.DUMMYFUNCTION("""COMPUTED_VALUE"""),"allen institute")</f>
        <v>allen institute</v>
      </c>
      <c r="AC1809" s="42" t="str">
        <f>IFERROR(__xludf.DUMMYFUNCTION("""COMPUTED_VALUE"""),"DHBA")</f>
        <v>DHBA</v>
      </c>
      <c r="AD1809" s="42"/>
      <c r="AE1809" s="42"/>
      <c r="AF1809" s="9"/>
      <c r="AG1809" s="9"/>
      <c r="AH1809" s="42"/>
      <c r="AI1809" s="42"/>
      <c r="AJ1809" s="42"/>
      <c r="AK1809" s="42"/>
      <c r="AL1809" s="42"/>
      <c r="AM1809" s="42"/>
      <c r="AN1809" s="42"/>
      <c r="AO1809" s="63" t="str">
        <f>IFERROR(__xludf.DUMMYFUNCTION("IF(ISBLANK(A1809),,IF(ISBLANK(S1809), A1809&amp;"";"", TEXTJOIN(CHAR(10), TRUE, A1809&amp;"";"", ARRAYFORMULA(VLOOKUP(SPLIT(S1809, "";"" &amp; CHAR(10)), $A:$AO, 41, FALSE)))))"),"SCpf;")</f>
        <v>SCpf;</v>
      </c>
      <c r="AP1809" s="89"/>
    </row>
    <row r="1810">
      <c r="A1810" s="151" t="str">
        <f>IFERROR(__xludf.DUMMYFUNCTION("""COMPUTED_VALUE"""),"ProS")</f>
        <v>ProS</v>
      </c>
      <c r="B1810" s="42" t="str">
        <f>IFERROR(__xludf.DUMMYFUNCTION("""COMPUTED_VALUE"""),"DHBA")</f>
        <v>DHBA</v>
      </c>
      <c r="C1810" s="42" t="str">
        <f>IFERROR(__xludf.DUMMYFUNCTION("""COMPUTED_VALUE"""),"prosubiculum")</f>
        <v>prosubiculum</v>
      </c>
      <c r="D1810" s="42">
        <f>IFERROR(__xludf.DUMMYFUNCTION("""COMPUTED_VALUE"""),1706.0)</f>
        <v>1706</v>
      </c>
      <c r="E1810" s="39" t="str">
        <f>IFERROR(__xludf.DUMMYFUNCTION("""COMPUTED_VALUE"""),"prosubiculum")</f>
        <v>prosubiculum</v>
      </c>
      <c r="F1810" s="9" t="str">
        <f>IFERROR(__xludf.DUMMYFUNCTION("""COMPUTED_VALUE"""),"Br")</f>
        <v>Br</v>
      </c>
      <c r="G1810" s="9" t="str">
        <f>IFERROR(__xludf.DUMMYFUNCTION("""COMPUTED_VALUE"""),"F")</f>
        <v>F</v>
      </c>
      <c r="H1810" s="9" t="str">
        <f>IFERROR(__xludf.DUMMYFUNCTION("""COMPUTED_VALUE"""),"FGM")</f>
        <v>FGM</v>
      </c>
      <c r="I1810" s="9" t="str">
        <f>IFERROR(__xludf.DUMMYFUNCTION("""COMPUTED_VALUE"""),"Tel")</f>
        <v>Tel</v>
      </c>
      <c r="J1810" s="9" t="str">
        <f>IFERROR(__xludf.DUMMYFUNCTION("""COMPUTED_VALUE"""),"Cx")</f>
        <v>Cx</v>
      </c>
      <c r="K1810" s="9" t="str">
        <f>IFERROR(__xludf.DUMMYFUNCTION("""COMPUTED_VALUE"""),"ACx")</f>
        <v>ACx</v>
      </c>
      <c r="L1810" s="9" t="str">
        <f>IFERROR(__xludf.DUMMYFUNCTION("""COMPUTED_VALUE"""),"ArCx")</f>
        <v>ArCx</v>
      </c>
      <c r="M1810" s="9" t="str">
        <f>IFERROR(__xludf.DUMMYFUNCTION("""COMPUTED_VALUE"""),"HIP")</f>
        <v>HIP</v>
      </c>
      <c r="N1810" s="9" t="str">
        <f>IFERROR(__xludf.DUMMYFUNCTION("""COMPUTED_VALUE"""),"Sub")</f>
        <v>Sub</v>
      </c>
      <c r="O1810" s="9" t="str">
        <f>IFERROR(__xludf.DUMMYFUNCTION("""COMPUTED_VALUE"""),"ProS")</f>
        <v>ProS</v>
      </c>
      <c r="P1810" s="9"/>
      <c r="Q1810" s="9"/>
      <c r="R1810" s="9"/>
      <c r="S1810" s="42" t="str">
        <f>IFERROR(__xludf.DUMMYFUNCTION("""COMPUTED_VALUE"""),"ProU;
ProR;
ProC")</f>
        <v>ProU;
ProR;
ProC</v>
      </c>
      <c r="T1810" s="42" t="str">
        <f>IFERROR(__xludf.DUMMYFUNCTION("""COMPUTED_VALUE"""),"sulcus")</f>
        <v>sulcus</v>
      </c>
      <c r="U1810" s="42" t="b">
        <f>IFERROR(__xludf.DUMMYFUNCTION("""COMPUTED_VALUE"""),FALSE)</f>
        <v>0</v>
      </c>
      <c r="V1810" s="42"/>
      <c r="W1810" s="42"/>
      <c r="X1810" s="42"/>
      <c r="Y1810" s="42"/>
      <c r="Z1810" s="42"/>
      <c r="AA1810" s="42"/>
      <c r="AB1810" s="42" t="str">
        <f>IFERROR(__xludf.DUMMYFUNCTION("""COMPUTED_VALUE"""),"allen institute")</f>
        <v>allen institute</v>
      </c>
      <c r="AC1810" s="42" t="str">
        <f>IFERROR(__xludf.DUMMYFUNCTION("""COMPUTED_VALUE"""),"DHBA")</f>
        <v>DHBA</v>
      </c>
      <c r="AD1810" s="42"/>
      <c r="AE1810" s="42"/>
      <c r="AF1810" s="9"/>
      <c r="AG1810" s="9"/>
      <c r="AH1810" s="42"/>
      <c r="AI1810" s="42"/>
      <c r="AJ1810" s="42"/>
      <c r="AK1810" s="42"/>
      <c r="AL1810" s="42"/>
      <c r="AM1810" s="42"/>
      <c r="AN1810" s="42"/>
      <c r="AO1810" s="63" t="str">
        <f>IFERROR(__xludf.DUMMYFUNCTION("IF(ISBLANK(A1810),,IF(ISBLANK(S1810), A1810&amp;"";"", TEXTJOIN(CHAR(10), TRUE, A1810&amp;"";"", ARRAYFORMULA(VLOOKUP(SPLIT(S1810, "";"" &amp; CHAR(10)), $A:$AO, 41, FALSE)))))"),"ProS;
ProU;
ProUmo;
ProUsp;
ProUso;
ProR;
ProRmo;
ProRsp;
ProRso;
ProC;
ProCmo;
ProCsp;
ProCso;")</f>
        <v>ProS;
ProU;
ProUmo;
ProUsp;
ProUso;
ProR;
ProRmo;
ProRsp;
ProRso;
ProC;
ProCmo;
ProCsp;
ProCso;</v>
      </c>
      <c r="AP1810" s="89"/>
    </row>
    <row r="1811">
      <c r="A1811" s="151" t="str">
        <f>IFERROR(__xludf.DUMMYFUNCTION("""COMPUTED_VALUE"""),"ProU")</f>
        <v>ProU</v>
      </c>
      <c r="B1811" s="42" t="str">
        <f>IFERROR(__xludf.DUMMYFUNCTION("""COMPUTED_VALUE"""),"DHBA")</f>
        <v>DHBA</v>
      </c>
      <c r="C1811" s="42" t="str">
        <f>IFERROR(__xludf.DUMMYFUNCTION("""COMPUTED_VALUE"""),"uncal prosubiculum")</f>
        <v>uncal prosubiculum</v>
      </c>
      <c r="D1811" s="42">
        <f>IFERROR(__xludf.DUMMYFUNCTION("""COMPUTED_VALUE"""),1707.0)</f>
        <v>1707</v>
      </c>
      <c r="E1811" s="39" t="str">
        <f>IFERROR(__xludf.DUMMYFUNCTION("""COMPUTED_VALUE"""),"uncal prosubiculum")</f>
        <v>uncal prosubiculum</v>
      </c>
      <c r="F1811" s="9" t="str">
        <f>IFERROR(__xludf.DUMMYFUNCTION("""COMPUTED_VALUE"""),"Br")</f>
        <v>Br</v>
      </c>
      <c r="G1811" s="9" t="str">
        <f>IFERROR(__xludf.DUMMYFUNCTION("""COMPUTED_VALUE"""),"F")</f>
        <v>F</v>
      </c>
      <c r="H1811" s="9" t="str">
        <f>IFERROR(__xludf.DUMMYFUNCTION("""COMPUTED_VALUE"""),"FGM")</f>
        <v>FGM</v>
      </c>
      <c r="I1811" s="9" t="str">
        <f>IFERROR(__xludf.DUMMYFUNCTION("""COMPUTED_VALUE"""),"Tel")</f>
        <v>Tel</v>
      </c>
      <c r="J1811" s="9" t="str">
        <f>IFERROR(__xludf.DUMMYFUNCTION("""COMPUTED_VALUE"""),"Cx")</f>
        <v>Cx</v>
      </c>
      <c r="K1811" s="9" t="str">
        <f>IFERROR(__xludf.DUMMYFUNCTION("""COMPUTED_VALUE"""),"ACx")</f>
        <v>ACx</v>
      </c>
      <c r="L1811" s="9" t="str">
        <f>IFERROR(__xludf.DUMMYFUNCTION("""COMPUTED_VALUE"""),"ArCx")</f>
        <v>ArCx</v>
      </c>
      <c r="M1811" s="9" t="str">
        <f>IFERROR(__xludf.DUMMYFUNCTION("""COMPUTED_VALUE"""),"HIP")</f>
        <v>HIP</v>
      </c>
      <c r="N1811" s="9" t="str">
        <f>IFERROR(__xludf.DUMMYFUNCTION("""COMPUTED_VALUE"""),"Sub")</f>
        <v>Sub</v>
      </c>
      <c r="O1811" s="9" t="str">
        <f>IFERROR(__xludf.DUMMYFUNCTION("""COMPUTED_VALUE"""),"ProS")</f>
        <v>ProS</v>
      </c>
      <c r="P1811" s="9" t="str">
        <f>IFERROR(__xludf.DUMMYFUNCTION("""COMPUTED_VALUE"""),"ProU")</f>
        <v>ProU</v>
      </c>
      <c r="Q1811" s="9"/>
      <c r="R1811" s="9"/>
      <c r="S1811" s="42" t="str">
        <f>IFERROR(__xludf.DUMMYFUNCTION("""COMPUTED_VALUE"""),"ProUmo;
ProUsp;
ProUso")</f>
        <v>ProUmo;
ProUsp;
ProUso</v>
      </c>
      <c r="T1811" s="42"/>
      <c r="U1811" s="42" t="b">
        <f>IFERROR(__xludf.DUMMYFUNCTION("""COMPUTED_VALUE"""),FALSE)</f>
        <v>0</v>
      </c>
      <c r="V1811" s="42"/>
      <c r="W1811" s="42"/>
      <c r="X1811" s="42"/>
      <c r="Y1811" s="42"/>
      <c r="Z1811" s="42"/>
      <c r="AA1811" s="42"/>
      <c r="AB1811" s="42" t="str">
        <f>IFERROR(__xludf.DUMMYFUNCTION("""COMPUTED_VALUE"""),"allen institute")</f>
        <v>allen institute</v>
      </c>
      <c r="AC1811" s="42" t="str">
        <f>IFERROR(__xludf.DUMMYFUNCTION("""COMPUTED_VALUE"""),"DHBA")</f>
        <v>DHBA</v>
      </c>
      <c r="AD1811" s="42"/>
      <c r="AE1811" s="42"/>
      <c r="AF1811" s="9"/>
      <c r="AG1811" s="9"/>
      <c r="AH1811" s="42"/>
      <c r="AI1811" s="42"/>
      <c r="AJ1811" s="42"/>
      <c r="AK1811" s="42"/>
      <c r="AL1811" s="42"/>
      <c r="AM1811" s="42"/>
      <c r="AN1811" s="42"/>
      <c r="AO1811" s="63" t="str">
        <f>IFERROR(__xludf.DUMMYFUNCTION("IF(ISBLANK(A1811),,IF(ISBLANK(S1811), A1811&amp;"";"", TEXTJOIN(CHAR(10), TRUE, A1811&amp;"";"", ARRAYFORMULA(VLOOKUP(SPLIT(S1811, "";"" &amp; CHAR(10)), $A:$AO, 41, FALSE)))))"),"ProU;
ProUmo;
ProUsp;
ProUso;")</f>
        <v>ProU;
ProUmo;
ProUsp;
ProUso;</v>
      </c>
      <c r="AP1811" s="89"/>
    </row>
    <row r="1812">
      <c r="A1812" s="151" t="str">
        <f>IFERROR(__xludf.DUMMYFUNCTION("""COMPUTED_VALUE"""),"ProUmo")</f>
        <v>ProUmo</v>
      </c>
      <c r="B1812" s="42" t="str">
        <f>IFERROR(__xludf.DUMMYFUNCTION("""COMPUTED_VALUE"""),"DHBA")</f>
        <v>DHBA</v>
      </c>
      <c r="C1812" s="42" t="str">
        <f>IFERROR(__xludf.DUMMYFUNCTION("""COMPUTED_VALUE"""),"molecular layer of uncal prosubiculum")</f>
        <v>molecular layer of uncal prosubiculum</v>
      </c>
      <c r="D1812" s="42">
        <f>IFERROR(__xludf.DUMMYFUNCTION("""COMPUTED_VALUE"""),1708.0)</f>
        <v>1708</v>
      </c>
      <c r="E1812" s="39" t="str">
        <f>IFERROR(__xludf.DUMMYFUNCTION("""COMPUTED_VALUE"""),"molecular layer of uncal prosubiculum")</f>
        <v>molecular layer of uncal prosubiculum</v>
      </c>
      <c r="F1812" s="9" t="str">
        <f>IFERROR(__xludf.DUMMYFUNCTION("""COMPUTED_VALUE"""),"Br")</f>
        <v>Br</v>
      </c>
      <c r="G1812" s="9" t="str">
        <f>IFERROR(__xludf.DUMMYFUNCTION("""COMPUTED_VALUE"""),"F")</f>
        <v>F</v>
      </c>
      <c r="H1812" s="9" t="str">
        <f>IFERROR(__xludf.DUMMYFUNCTION("""COMPUTED_VALUE"""),"FGM")</f>
        <v>FGM</v>
      </c>
      <c r="I1812" s="9" t="str">
        <f>IFERROR(__xludf.DUMMYFUNCTION("""COMPUTED_VALUE"""),"Tel")</f>
        <v>Tel</v>
      </c>
      <c r="J1812" s="9" t="str">
        <f>IFERROR(__xludf.DUMMYFUNCTION("""COMPUTED_VALUE"""),"Cx")</f>
        <v>Cx</v>
      </c>
      <c r="K1812" s="9" t="str">
        <f>IFERROR(__xludf.DUMMYFUNCTION("""COMPUTED_VALUE"""),"ACx")</f>
        <v>ACx</v>
      </c>
      <c r="L1812" s="9" t="str">
        <f>IFERROR(__xludf.DUMMYFUNCTION("""COMPUTED_VALUE"""),"ArCx")</f>
        <v>ArCx</v>
      </c>
      <c r="M1812" s="9" t="str">
        <f>IFERROR(__xludf.DUMMYFUNCTION("""COMPUTED_VALUE"""),"HIP")</f>
        <v>HIP</v>
      </c>
      <c r="N1812" s="9" t="str">
        <f>IFERROR(__xludf.DUMMYFUNCTION("""COMPUTED_VALUE"""),"Sub")</f>
        <v>Sub</v>
      </c>
      <c r="O1812" s="9" t="str">
        <f>IFERROR(__xludf.DUMMYFUNCTION("""COMPUTED_VALUE"""),"ProS")</f>
        <v>ProS</v>
      </c>
      <c r="P1812" s="9" t="str">
        <f>IFERROR(__xludf.DUMMYFUNCTION("""COMPUTED_VALUE"""),"ProU")</f>
        <v>ProU</v>
      </c>
      <c r="Q1812" s="9" t="str">
        <f>IFERROR(__xludf.DUMMYFUNCTION("""COMPUTED_VALUE"""),"ProUmo")</f>
        <v>ProUmo</v>
      </c>
      <c r="R1812" s="9"/>
      <c r="S1812" s="42"/>
      <c r="T1812" s="42"/>
      <c r="U1812" s="42"/>
      <c r="V1812" s="42"/>
      <c r="W1812" s="42"/>
      <c r="X1812" s="42"/>
      <c r="Y1812" s="42"/>
      <c r="Z1812" s="42"/>
      <c r="AA1812" s="42"/>
      <c r="AB1812" s="42" t="str">
        <f>IFERROR(__xludf.DUMMYFUNCTION("""COMPUTED_VALUE"""),"allen institute")</f>
        <v>allen institute</v>
      </c>
      <c r="AC1812" s="42" t="str">
        <f>IFERROR(__xludf.DUMMYFUNCTION("""COMPUTED_VALUE"""),"DHBA")</f>
        <v>DHBA</v>
      </c>
      <c r="AD1812" s="42"/>
      <c r="AE1812" s="42"/>
      <c r="AF1812" s="9"/>
      <c r="AG1812" s="9"/>
      <c r="AH1812" s="42"/>
      <c r="AI1812" s="42"/>
      <c r="AJ1812" s="42"/>
      <c r="AK1812" s="42"/>
      <c r="AL1812" s="42"/>
      <c r="AM1812" s="42"/>
      <c r="AN1812" s="42"/>
      <c r="AO1812" s="63" t="str">
        <f>IFERROR(__xludf.DUMMYFUNCTION("IF(ISBLANK(A1812),,IF(ISBLANK(S1812), A1812&amp;"";"", TEXTJOIN(CHAR(10), TRUE, A1812&amp;"";"", ARRAYFORMULA(VLOOKUP(SPLIT(S1812, "";"" &amp; CHAR(10)), $A:$AO, 41, FALSE)))))"),"ProUmo;")</f>
        <v>ProUmo;</v>
      </c>
      <c r="AP1812" s="89"/>
    </row>
    <row r="1813">
      <c r="A1813" s="151" t="str">
        <f>IFERROR(__xludf.DUMMYFUNCTION("""COMPUTED_VALUE"""),"ProUsp")</f>
        <v>ProUsp</v>
      </c>
      <c r="B1813" s="42" t="str">
        <f>IFERROR(__xludf.DUMMYFUNCTION("""COMPUTED_VALUE"""),"DHBA")</f>
        <v>DHBA</v>
      </c>
      <c r="C1813" s="42" t="str">
        <f>IFERROR(__xludf.DUMMYFUNCTION("""COMPUTED_VALUE"""),"stratum pyramidale of uncal prosubiculum")</f>
        <v>stratum pyramidale of uncal prosubiculum</v>
      </c>
      <c r="D1813" s="42">
        <f>IFERROR(__xludf.DUMMYFUNCTION("""COMPUTED_VALUE"""),1709.0)</f>
        <v>1709</v>
      </c>
      <c r="E1813" s="39" t="str">
        <f>IFERROR(__xludf.DUMMYFUNCTION("""COMPUTED_VALUE"""),"stratum pyramidale of uncal prosubiculum")</f>
        <v>stratum pyramidale of uncal prosubiculum</v>
      </c>
      <c r="F1813" s="9" t="str">
        <f>IFERROR(__xludf.DUMMYFUNCTION("""COMPUTED_VALUE"""),"Br")</f>
        <v>Br</v>
      </c>
      <c r="G1813" s="9" t="str">
        <f>IFERROR(__xludf.DUMMYFUNCTION("""COMPUTED_VALUE"""),"F")</f>
        <v>F</v>
      </c>
      <c r="H1813" s="9" t="str">
        <f>IFERROR(__xludf.DUMMYFUNCTION("""COMPUTED_VALUE"""),"FGM")</f>
        <v>FGM</v>
      </c>
      <c r="I1813" s="9" t="str">
        <f>IFERROR(__xludf.DUMMYFUNCTION("""COMPUTED_VALUE"""),"Tel")</f>
        <v>Tel</v>
      </c>
      <c r="J1813" s="9" t="str">
        <f>IFERROR(__xludf.DUMMYFUNCTION("""COMPUTED_VALUE"""),"Cx")</f>
        <v>Cx</v>
      </c>
      <c r="K1813" s="9" t="str">
        <f>IFERROR(__xludf.DUMMYFUNCTION("""COMPUTED_VALUE"""),"ACx")</f>
        <v>ACx</v>
      </c>
      <c r="L1813" s="9" t="str">
        <f>IFERROR(__xludf.DUMMYFUNCTION("""COMPUTED_VALUE"""),"ArCx")</f>
        <v>ArCx</v>
      </c>
      <c r="M1813" s="9" t="str">
        <f>IFERROR(__xludf.DUMMYFUNCTION("""COMPUTED_VALUE"""),"HIP")</f>
        <v>HIP</v>
      </c>
      <c r="N1813" s="9" t="str">
        <f>IFERROR(__xludf.DUMMYFUNCTION("""COMPUTED_VALUE"""),"Sub")</f>
        <v>Sub</v>
      </c>
      <c r="O1813" s="9" t="str">
        <f>IFERROR(__xludf.DUMMYFUNCTION("""COMPUTED_VALUE"""),"ProS")</f>
        <v>ProS</v>
      </c>
      <c r="P1813" s="9" t="str">
        <f>IFERROR(__xludf.DUMMYFUNCTION("""COMPUTED_VALUE"""),"ProU")</f>
        <v>ProU</v>
      </c>
      <c r="Q1813" s="9" t="str">
        <f>IFERROR(__xludf.DUMMYFUNCTION("""COMPUTED_VALUE"""),"ProUsp")</f>
        <v>ProUsp</v>
      </c>
      <c r="R1813" s="9"/>
      <c r="S1813" s="42"/>
      <c r="T1813" s="42"/>
      <c r="U1813" s="42"/>
      <c r="V1813" s="42"/>
      <c r="W1813" s="42"/>
      <c r="X1813" s="42"/>
      <c r="Y1813" s="42"/>
      <c r="Z1813" s="42"/>
      <c r="AA1813" s="42"/>
      <c r="AB1813" s="42" t="str">
        <f>IFERROR(__xludf.DUMMYFUNCTION("""COMPUTED_VALUE"""),"allen institute")</f>
        <v>allen institute</v>
      </c>
      <c r="AC1813" s="42" t="str">
        <f>IFERROR(__xludf.DUMMYFUNCTION("""COMPUTED_VALUE"""),"DHBA")</f>
        <v>DHBA</v>
      </c>
      <c r="AD1813" s="42"/>
      <c r="AE1813" s="42"/>
      <c r="AF1813" s="9"/>
      <c r="AG1813" s="9"/>
      <c r="AH1813" s="42"/>
      <c r="AI1813" s="42"/>
      <c r="AJ1813" s="42"/>
      <c r="AK1813" s="42"/>
      <c r="AL1813" s="42"/>
      <c r="AM1813" s="42"/>
      <c r="AN1813" s="42"/>
      <c r="AO1813" s="63" t="str">
        <f>IFERROR(__xludf.DUMMYFUNCTION("IF(ISBLANK(A1813),,IF(ISBLANK(S1813), A1813&amp;"";"", TEXTJOIN(CHAR(10), TRUE, A1813&amp;"";"", ARRAYFORMULA(VLOOKUP(SPLIT(S1813, "";"" &amp; CHAR(10)), $A:$AO, 41, FALSE)))))"),"ProUsp;")</f>
        <v>ProUsp;</v>
      </c>
      <c r="AP1813" s="89"/>
    </row>
    <row r="1814">
      <c r="A1814" s="151" t="str">
        <f>IFERROR(__xludf.DUMMYFUNCTION("""COMPUTED_VALUE"""),"ProUso")</f>
        <v>ProUso</v>
      </c>
      <c r="B1814" s="42" t="str">
        <f>IFERROR(__xludf.DUMMYFUNCTION("""COMPUTED_VALUE"""),"DHBA")</f>
        <v>DHBA</v>
      </c>
      <c r="C1814" s="42" t="str">
        <f>IFERROR(__xludf.DUMMYFUNCTION("""COMPUTED_VALUE"""),"stratum oriens of uncal prosubiculum")</f>
        <v>stratum oriens of uncal prosubiculum</v>
      </c>
      <c r="D1814" s="42">
        <f>IFERROR(__xludf.DUMMYFUNCTION("""COMPUTED_VALUE"""),1710.0)</f>
        <v>1710</v>
      </c>
      <c r="E1814" s="39" t="str">
        <f>IFERROR(__xludf.DUMMYFUNCTION("""COMPUTED_VALUE"""),"stratum oriens of uncal prosubiculum")</f>
        <v>stratum oriens of uncal prosubiculum</v>
      </c>
      <c r="F1814" s="9" t="str">
        <f>IFERROR(__xludf.DUMMYFUNCTION("""COMPUTED_VALUE"""),"Br")</f>
        <v>Br</v>
      </c>
      <c r="G1814" s="9" t="str">
        <f>IFERROR(__xludf.DUMMYFUNCTION("""COMPUTED_VALUE"""),"F")</f>
        <v>F</v>
      </c>
      <c r="H1814" s="9" t="str">
        <f>IFERROR(__xludf.DUMMYFUNCTION("""COMPUTED_VALUE"""),"FGM")</f>
        <v>FGM</v>
      </c>
      <c r="I1814" s="9" t="str">
        <f>IFERROR(__xludf.DUMMYFUNCTION("""COMPUTED_VALUE"""),"Tel")</f>
        <v>Tel</v>
      </c>
      <c r="J1814" s="9" t="str">
        <f>IFERROR(__xludf.DUMMYFUNCTION("""COMPUTED_VALUE"""),"Cx")</f>
        <v>Cx</v>
      </c>
      <c r="K1814" s="9" t="str">
        <f>IFERROR(__xludf.DUMMYFUNCTION("""COMPUTED_VALUE"""),"ACx")</f>
        <v>ACx</v>
      </c>
      <c r="L1814" s="9" t="str">
        <f>IFERROR(__xludf.DUMMYFUNCTION("""COMPUTED_VALUE"""),"ArCx")</f>
        <v>ArCx</v>
      </c>
      <c r="M1814" s="9" t="str">
        <f>IFERROR(__xludf.DUMMYFUNCTION("""COMPUTED_VALUE"""),"HIP")</f>
        <v>HIP</v>
      </c>
      <c r="N1814" s="9" t="str">
        <f>IFERROR(__xludf.DUMMYFUNCTION("""COMPUTED_VALUE"""),"Sub")</f>
        <v>Sub</v>
      </c>
      <c r="O1814" s="9" t="str">
        <f>IFERROR(__xludf.DUMMYFUNCTION("""COMPUTED_VALUE"""),"ProS")</f>
        <v>ProS</v>
      </c>
      <c r="P1814" s="9" t="str">
        <f>IFERROR(__xludf.DUMMYFUNCTION("""COMPUTED_VALUE"""),"ProU")</f>
        <v>ProU</v>
      </c>
      <c r="Q1814" s="9" t="str">
        <f>IFERROR(__xludf.DUMMYFUNCTION("""COMPUTED_VALUE"""),"ProUso")</f>
        <v>ProUso</v>
      </c>
      <c r="R1814" s="9"/>
      <c r="S1814" s="42"/>
      <c r="T1814" s="42"/>
      <c r="U1814" s="42"/>
      <c r="V1814" s="42"/>
      <c r="W1814" s="42"/>
      <c r="X1814" s="42"/>
      <c r="Y1814" s="42"/>
      <c r="Z1814" s="42"/>
      <c r="AA1814" s="42"/>
      <c r="AB1814" s="42" t="str">
        <f>IFERROR(__xludf.DUMMYFUNCTION("""COMPUTED_VALUE"""),"allen institute")</f>
        <v>allen institute</v>
      </c>
      <c r="AC1814" s="42" t="str">
        <f>IFERROR(__xludf.DUMMYFUNCTION("""COMPUTED_VALUE"""),"DHBA")</f>
        <v>DHBA</v>
      </c>
      <c r="AD1814" s="42"/>
      <c r="AE1814" s="42"/>
      <c r="AF1814" s="9"/>
      <c r="AG1814" s="9"/>
      <c r="AH1814" s="42"/>
      <c r="AI1814" s="42"/>
      <c r="AJ1814" s="42"/>
      <c r="AK1814" s="42"/>
      <c r="AL1814" s="42"/>
      <c r="AM1814" s="42"/>
      <c r="AN1814" s="42"/>
      <c r="AO1814" s="63" t="str">
        <f>IFERROR(__xludf.DUMMYFUNCTION("IF(ISBLANK(A1814),,IF(ISBLANK(S1814), A1814&amp;"";"", TEXTJOIN(CHAR(10), TRUE, A1814&amp;"";"", ARRAYFORMULA(VLOOKUP(SPLIT(S1814, "";"" &amp; CHAR(10)), $A:$AO, 41, FALSE)))))"),"ProUso;")</f>
        <v>ProUso;</v>
      </c>
      <c r="AP1814" s="89"/>
    </row>
    <row r="1815">
      <c r="A1815" s="151" t="str">
        <f>IFERROR(__xludf.DUMMYFUNCTION("""COMPUTED_VALUE"""),"ProR")</f>
        <v>ProR</v>
      </c>
      <c r="B1815" s="42" t="str">
        <f>IFERROR(__xludf.DUMMYFUNCTION("""COMPUTED_VALUE"""),"DHBA")</f>
        <v>DHBA</v>
      </c>
      <c r="C1815" s="42" t="str">
        <f>IFERROR(__xludf.DUMMYFUNCTION("""COMPUTED_VALUE"""),"rostral prosubiculum")</f>
        <v>rostral prosubiculum</v>
      </c>
      <c r="D1815" s="42">
        <f>IFERROR(__xludf.DUMMYFUNCTION("""COMPUTED_VALUE"""),1711.0)</f>
        <v>1711</v>
      </c>
      <c r="E1815" s="39" t="str">
        <f>IFERROR(__xludf.DUMMYFUNCTION("""COMPUTED_VALUE"""),"rostral prosubiculum")</f>
        <v>rostral prosubiculum</v>
      </c>
      <c r="F1815" s="9" t="str">
        <f>IFERROR(__xludf.DUMMYFUNCTION("""COMPUTED_VALUE"""),"Br")</f>
        <v>Br</v>
      </c>
      <c r="G1815" s="9" t="str">
        <f>IFERROR(__xludf.DUMMYFUNCTION("""COMPUTED_VALUE"""),"F")</f>
        <v>F</v>
      </c>
      <c r="H1815" s="9" t="str">
        <f>IFERROR(__xludf.DUMMYFUNCTION("""COMPUTED_VALUE"""),"FGM")</f>
        <v>FGM</v>
      </c>
      <c r="I1815" s="9" t="str">
        <f>IFERROR(__xludf.DUMMYFUNCTION("""COMPUTED_VALUE"""),"Tel")</f>
        <v>Tel</v>
      </c>
      <c r="J1815" s="9" t="str">
        <f>IFERROR(__xludf.DUMMYFUNCTION("""COMPUTED_VALUE"""),"Cx")</f>
        <v>Cx</v>
      </c>
      <c r="K1815" s="9" t="str">
        <f>IFERROR(__xludf.DUMMYFUNCTION("""COMPUTED_VALUE"""),"ACx")</f>
        <v>ACx</v>
      </c>
      <c r="L1815" s="9" t="str">
        <f>IFERROR(__xludf.DUMMYFUNCTION("""COMPUTED_VALUE"""),"ArCx")</f>
        <v>ArCx</v>
      </c>
      <c r="M1815" s="9" t="str">
        <f>IFERROR(__xludf.DUMMYFUNCTION("""COMPUTED_VALUE"""),"HIP")</f>
        <v>HIP</v>
      </c>
      <c r="N1815" s="9" t="str">
        <f>IFERROR(__xludf.DUMMYFUNCTION("""COMPUTED_VALUE"""),"Sub")</f>
        <v>Sub</v>
      </c>
      <c r="O1815" s="9" t="str">
        <f>IFERROR(__xludf.DUMMYFUNCTION("""COMPUTED_VALUE"""),"ProS")</f>
        <v>ProS</v>
      </c>
      <c r="P1815" s="9" t="str">
        <f>IFERROR(__xludf.DUMMYFUNCTION("""COMPUTED_VALUE"""),"ProR")</f>
        <v>ProR</v>
      </c>
      <c r="Q1815" s="9"/>
      <c r="R1815" s="9"/>
      <c r="S1815" s="42" t="str">
        <f>IFERROR(__xludf.DUMMYFUNCTION("""COMPUTED_VALUE"""),"ProRmo;
ProRsp;
ProRso")</f>
        <v>ProRmo;
ProRsp;
ProRso</v>
      </c>
      <c r="T1815" s="42"/>
      <c r="U1815" s="159" t="b">
        <f>IFERROR(__xludf.DUMMYFUNCTION("""COMPUTED_VALUE"""),FALSE)</f>
        <v>0</v>
      </c>
      <c r="V1815" s="42"/>
      <c r="W1815" s="42"/>
      <c r="X1815" s="42"/>
      <c r="Y1815" s="42"/>
      <c r="Z1815" s="42"/>
      <c r="AA1815" s="42"/>
      <c r="AB1815" s="42" t="str">
        <f>IFERROR(__xludf.DUMMYFUNCTION("""COMPUTED_VALUE"""),"allen institute")</f>
        <v>allen institute</v>
      </c>
      <c r="AC1815" s="42" t="str">
        <f>IFERROR(__xludf.DUMMYFUNCTION("""COMPUTED_VALUE"""),"DHBA")</f>
        <v>DHBA</v>
      </c>
      <c r="AD1815" s="42"/>
      <c r="AE1815" s="42"/>
      <c r="AF1815" s="9"/>
      <c r="AG1815" s="9"/>
      <c r="AH1815" s="42"/>
      <c r="AI1815" s="42"/>
      <c r="AJ1815" s="42"/>
      <c r="AK1815" s="42"/>
      <c r="AL1815" s="42"/>
      <c r="AM1815" s="42"/>
      <c r="AN1815" s="42"/>
      <c r="AO1815" s="63" t="str">
        <f>IFERROR(__xludf.DUMMYFUNCTION("IF(ISBLANK(A1815),,IF(ISBLANK(S1815), A1815&amp;"";"", TEXTJOIN(CHAR(10), TRUE, A1815&amp;"";"", ARRAYFORMULA(VLOOKUP(SPLIT(S1815, "";"" &amp; CHAR(10)), $A:$AO, 41, FALSE)))))"),"ProR;
ProRmo;
ProRsp;
ProRso;")</f>
        <v>ProR;
ProRmo;
ProRsp;
ProRso;</v>
      </c>
      <c r="AP1815" s="89"/>
    </row>
    <row r="1816">
      <c r="A1816" s="151" t="str">
        <f>IFERROR(__xludf.DUMMYFUNCTION("""COMPUTED_VALUE"""),"ProRmo")</f>
        <v>ProRmo</v>
      </c>
      <c r="B1816" s="42" t="str">
        <f>IFERROR(__xludf.DUMMYFUNCTION("""COMPUTED_VALUE"""),"DHBA")</f>
        <v>DHBA</v>
      </c>
      <c r="C1816" s="42" t="str">
        <f>IFERROR(__xludf.DUMMYFUNCTION("""COMPUTED_VALUE"""),"molecular layer of rostral prosubiculum")</f>
        <v>molecular layer of rostral prosubiculum</v>
      </c>
      <c r="D1816" s="42">
        <f>IFERROR(__xludf.DUMMYFUNCTION("""COMPUTED_VALUE"""),1712.0)</f>
        <v>1712</v>
      </c>
      <c r="E1816" s="39" t="str">
        <f>IFERROR(__xludf.DUMMYFUNCTION("""COMPUTED_VALUE"""),"molecular layer of rostral prosubiculum")</f>
        <v>molecular layer of rostral prosubiculum</v>
      </c>
      <c r="F1816" s="9" t="str">
        <f>IFERROR(__xludf.DUMMYFUNCTION("""COMPUTED_VALUE"""),"Br")</f>
        <v>Br</v>
      </c>
      <c r="G1816" s="9" t="str">
        <f>IFERROR(__xludf.DUMMYFUNCTION("""COMPUTED_VALUE"""),"F")</f>
        <v>F</v>
      </c>
      <c r="H1816" s="9" t="str">
        <f>IFERROR(__xludf.DUMMYFUNCTION("""COMPUTED_VALUE"""),"FGM")</f>
        <v>FGM</v>
      </c>
      <c r="I1816" s="9" t="str">
        <f>IFERROR(__xludf.DUMMYFUNCTION("""COMPUTED_VALUE"""),"Tel")</f>
        <v>Tel</v>
      </c>
      <c r="J1816" s="9" t="str">
        <f>IFERROR(__xludf.DUMMYFUNCTION("""COMPUTED_VALUE"""),"Cx")</f>
        <v>Cx</v>
      </c>
      <c r="K1816" s="9" t="str">
        <f>IFERROR(__xludf.DUMMYFUNCTION("""COMPUTED_VALUE"""),"ACx")</f>
        <v>ACx</v>
      </c>
      <c r="L1816" s="9" t="str">
        <f>IFERROR(__xludf.DUMMYFUNCTION("""COMPUTED_VALUE"""),"ArCx")</f>
        <v>ArCx</v>
      </c>
      <c r="M1816" s="9" t="str">
        <f>IFERROR(__xludf.DUMMYFUNCTION("""COMPUTED_VALUE"""),"HIP")</f>
        <v>HIP</v>
      </c>
      <c r="N1816" s="9" t="str">
        <f>IFERROR(__xludf.DUMMYFUNCTION("""COMPUTED_VALUE"""),"Sub")</f>
        <v>Sub</v>
      </c>
      <c r="O1816" s="9" t="str">
        <f>IFERROR(__xludf.DUMMYFUNCTION("""COMPUTED_VALUE"""),"ProS")</f>
        <v>ProS</v>
      </c>
      <c r="P1816" s="9" t="str">
        <f>IFERROR(__xludf.DUMMYFUNCTION("""COMPUTED_VALUE"""),"ProR")</f>
        <v>ProR</v>
      </c>
      <c r="Q1816" s="9" t="str">
        <f>IFERROR(__xludf.DUMMYFUNCTION("""COMPUTED_VALUE"""),"ProRmo")</f>
        <v>ProRmo</v>
      </c>
      <c r="R1816" s="9"/>
      <c r="S1816" s="42"/>
      <c r="T1816" s="42"/>
      <c r="U1816" s="159"/>
      <c r="V1816" s="42"/>
      <c r="W1816" s="42"/>
      <c r="X1816" s="42"/>
      <c r="Y1816" s="42"/>
      <c r="Z1816" s="42"/>
      <c r="AA1816" s="42"/>
      <c r="AB1816" s="42" t="str">
        <f>IFERROR(__xludf.DUMMYFUNCTION("""COMPUTED_VALUE"""),"allen institute")</f>
        <v>allen institute</v>
      </c>
      <c r="AC1816" s="42" t="str">
        <f>IFERROR(__xludf.DUMMYFUNCTION("""COMPUTED_VALUE"""),"DHBA")</f>
        <v>DHBA</v>
      </c>
      <c r="AD1816" s="42"/>
      <c r="AE1816" s="42"/>
      <c r="AF1816" s="9"/>
      <c r="AG1816" s="9"/>
      <c r="AH1816" s="42"/>
      <c r="AI1816" s="42"/>
      <c r="AJ1816" s="42"/>
      <c r="AK1816" s="42"/>
      <c r="AL1816" s="42"/>
      <c r="AM1816" s="42"/>
      <c r="AN1816" s="42"/>
      <c r="AO1816" s="63" t="str">
        <f>IFERROR(__xludf.DUMMYFUNCTION("IF(ISBLANK(A1816),,IF(ISBLANK(S1816), A1816&amp;"";"", TEXTJOIN(CHAR(10), TRUE, A1816&amp;"";"", ARRAYFORMULA(VLOOKUP(SPLIT(S1816, "";"" &amp; CHAR(10)), $A:$AO, 41, FALSE)))))"),"ProRmo;")</f>
        <v>ProRmo;</v>
      </c>
      <c r="AP1816" s="89"/>
    </row>
    <row r="1817">
      <c r="A1817" s="151" t="str">
        <f>IFERROR(__xludf.DUMMYFUNCTION("""COMPUTED_VALUE"""),"ProRsp")</f>
        <v>ProRsp</v>
      </c>
      <c r="B1817" s="42" t="str">
        <f>IFERROR(__xludf.DUMMYFUNCTION("""COMPUTED_VALUE"""),"DHBA")</f>
        <v>DHBA</v>
      </c>
      <c r="C1817" s="42" t="str">
        <f>IFERROR(__xludf.DUMMYFUNCTION("""COMPUTED_VALUE"""),"stratum pyramidale of rostral prosubiculum")</f>
        <v>stratum pyramidale of rostral prosubiculum</v>
      </c>
      <c r="D1817" s="42">
        <f>IFERROR(__xludf.DUMMYFUNCTION("""COMPUTED_VALUE"""),1713.0)</f>
        <v>1713</v>
      </c>
      <c r="E1817" s="39" t="str">
        <f>IFERROR(__xludf.DUMMYFUNCTION("""COMPUTED_VALUE"""),"stratum pyramidale of rostral prosubiculum")</f>
        <v>stratum pyramidale of rostral prosubiculum</v>
      </c>
      <c r="F1817" s="9" t="str">
        <f>IFERROR(__xludf.DUMMYFUNCTION("""COMPUTED_VALUE"""),"Br")</f>
        <v>Br</v>
      </c>
      <c r="G1817" s="9" t="str">
        <f>IFERROR(__xludf.DUMMYFUNCTION("""COMPUTED_VALUE"""),"F")</f>
        <v>F</v>
      </c>
      <c r="H1817" s="9" t="str">
        <f>IFERROR(__xludf.DUMMYFUNCTION("""COMPUTED_VALUE"""),"FGM")</f>
        <v>FGM</v>
      </c>
      <c r="I1817" s="9" t="str">
        <f>IFERROR(__xludf.DUMMYFUNCTION("""COMPUTED_VALUE"""),"Tel")</f>
        <v>Tel</v>
      </c>
      <c r="J1817" s="9" t="str">
        <f>IFERROR(__xludf.DUMMYFUNCTION("""COMPUTED_VALUE"""),"Cx")</f>
        <v>Cx</v>
      </c>
      <c r="K1817" s="9" t="str">
        <f>IFERROR(__xludf.DUMMYFUNCTION("""COMPUTED_VALUE"""),"ACx")</f>
        <v>ACx</v>
      </c>
      <c r="L1817" s="9" t="str">
        <f>IFERROR(__xludf.DUMMYFUNCTION("""COMPUTED_VALUE"""),"ArCx")</f>
        <v>ArCx</v>
      </c>
      <c r="M1817" s="9" t="str">
        <f>IFERROR(__xludf.DUMMYFUNCTION("""COMPUTED_VALUE"""),"HIP")</f>
        <v>HIP</v>
      </c>
      <c r="N1817" s="9" t="str">
        <f>IFERROR(__xludf.DUMMYFUNCTION("""COMPUTED_VALUE"""),"Sub")</f>
        <v>Sub</v>
      </c>
      <c r="O1817" s="9" t="str">
        <f>IFERROR(__xludf.DUMMYFUNCTION("""COMPUTED_VALUE"""),"ProS")</f>
        <v>ProS</v>
      </c>
      <c r="P1817" s="9" t="str">
        <f>IFERROR(__xludf.DUMMYFUNCTION("""COMPUTED_VALUE"""),"ProR")</f>
        <v>ProR</v>
      </c>
      <c r="Q1817" s="9" t="str">
        <f>IFERROR(__xludf.DUMMYFUNCTION("""COMPUTED_VALUE"""),"ProRsp")</f>
        <v>ProRsp</v>
      </c>
      <c r="R1817" s="9"/>
      <c r="S1817" s="42"/>
      <c r="T1817" s="42"/>
      <c r="U1817" s="159"/>
      <c r="V1817" s="42"/>
      <c r="W1817" s="42"/>
      <c r="X1817" s="42"/>
      <c r="Y1817" s="42"/>
      <c r="Z1817" s="42"/>
      <c r="AA1817" s="42"/>
      <c r="AB1817" s="42" t="str">
        <f>IFERROR(__xludf.DUMMYFUNCTION("""COMPUTED_VALUE"""),"allen institute")</f>
        <v>allen institute</v>
      </c>
      <c r="AC1817" s="42" t="str">
        <f>IFERROR(__xludf.DUMMYFUNCTION("""COMPUTED_VALUE"""),"DHBA")</f>
        <v>DHBA</v>
      </c>
      <c r="AD1817" s="42"/>
      <c r="AE1817" s="42"/>
      <c r="AF1817" s="9"/>
      <c r="AG1817" s="9"/>
      <c r="AH1817" s="42"/>
      <c r="AI1817" s="42"/>
      <c r="AJ1817" s="42"/>
      <c r="AK1817" s="42"/>
      <c r="AL1817" s="42"/>
      <c r="AM1817" s="42"/>
      <c r="AN1817" s="42"/>
      <c r="AO1817" s="63" t="str">
        <f>IFERROR(__xludf.DUMMYFUNCTION("IF(ISBLANK(A1817),,IF(ISBLANK(S1817), A1817&amp;"";"", TEXTJOIN(CHAR(10), TRUE, A1817&amp;"";"", ARRAYFORMULA(VLOOKUP(SPLIT(S1817, "";"" &amp; CHAR(10)), $A:$AO, 41, FALSE)))))"),"ProRsp;")</f>
        <v>ProRsp;</v>
      </c>
      <c r="AP1817" s="89"/>
    </row>
    <row r="1818">
      <c r="A1818" s="151" t="str">
        <f>IFERROR(__xludf.DUMMYFUNCTION("""COMPUTED_VALUE"""),"ProRso")</f>
        <v>ProRso</v>
      </c>
      <c r="B1818" s="42" t="str">
        <f>IFERROR(__xludf.DUMMYFUNCTION("""COMPUTED_VALUE"""),"DHBA")</f>
        <v>DHBA</v>
      </c>
      <c r="C1818" s="42" t="str">
        <f>IFERROR(__xludf.DUMMYFUNCTION("""COMPUTED_VALUE"""),"stratum oriens of rostral prosubiculum")</f>
        <v>stratum oriens of rostral prosubiculum</v>
      </c>
      <c r="D1818" s="42">
        <f>IFERROR(__xludf.DUMMYFUNCTION("""COMPUTED_VALUE"""),1714.0)</f>
        <v>1714</v>
      </c>
      <c r="E1818" s="39" t="str">
        <f>IFERROR(__xludf.DUMMYFUNCTION("""COMPUTED_VALUE"""),"stratum oriens of rostral prosubiculum")</f>
        <v>stratum oriens of rostral prosubiculum</v>
      </c>
      <c r="F1818" s="9" t="str">
        <f>IFERROR(__xludf.DUMMYFUNCTION("""COMPUTED_VALUE"""),"Br")</f>
        <v>Br</v>
      </c>
      <c r="G1818" s="9" t="str">
        <f>IFERROR(__xludf.DUMMYFUNCTION("""COMPUTED_VALUE"""),"F")</f>
        <v>F</v>
      </c>
      <c r="H1818" s="9" t="str">
        <f>IFERROR(__xludf.DUMMYFUNCTION("""COMPUTED_VALUE"""),"FGM")</f>
        <v>FGM</v>
      </c>
      <c r="I1818" s="9" t="str">
        <f>IFERROR(__xludf.DUMMYFUNCTION("""COMPUTED_VALUE"""),"Tel")</f>
        <v>Tel</v>
      </c>
      <c r="J1818" s="9" t="str">
        <f>IFERROR(__xludf.DUMMYFUNCTION("""COMPUTED_VALUE"""),"Cx")</f>
        <v>Cx</v>
      </c>
      <c r="K1818" s="9" t="str">
        <f>IFERROR(__xludf.DUMMYFUNCTION("""COMPUTED_VALUE"""),"ACx")</f>
        <v>ACx</v>
      </c>
      <c r="L1818" s="9" t="str">
        <f>IFERROR(__xludf.DUMMYFUNCTION("""COMPUTED_VALUE"""),"ArCx")</f>
        <v>ArCx</v>
      </c>
      <c r="M1818" s="9" t="str">
        <f>IFERROR(__xludf.DUMMYFUNCTION("""COMPUTED_VALUE"""),"HIP")</f>
        <v>HIP</v>
      </c>
      <c r="N1818" s="9" t="str">
        <f>IFERROR(__xludf.DUMMYFUNCTION("""COMPUTED_VALUE"""),"Sub")</f>
        <v>Sub</v>
      </c>
      <c r="O1818" s="9" t="str">
        <f>IFERROR(__xludf.DUMMYFUNCTION("""COMPUTED_VALUE"""),"ProS")</f>
        <v>ProS</v>
      </c>
      <c r="P1818" s="9" t="str">
        <f>IFERROR(__xludf.DUMMYFUNCTION("""COMPUTED_VALUE"""),"ProR")</f>
        <v>ProR</v>
      </c>
      <c r="Q1818" s="9" t="str">
        <f>IFERROR(__xludf.DUMMYFUNCTION("""COMPUTED_VALUE"""),"ProRso")</f>
        <v>ProRso</v>
      </c>
      <c r="R1818" s="9"/>
      <c r="S1818" s="42"/>
      <c r="T1818" s="42"/>
      <c r="U1818" s="159"/>
      <c r="V1818" s="42"/>
      <c r="W1818" s="42"/>
      <c r="X1818" s="42"/>
      <c r="Y1818" s="42"/>
      <c r="Z1818" s="42"/>
      <c r="AA1818" s="42"/>
      <c r="AB1818" s="42" t="str">
        <f>IFERROR(__xludf.DUMMYFUNCTION("""COMPUTED_VALUE"""),"allen institute")</f>
        <v>allen institute</v>
      </c>
      <c r="AC1818" s="42" t="str">
        <f>IFERROR(__xludf.DUMMYFUNCTION("""COMPUTED_VALUE"""),"DHBA")</f>
        <v>DHBA</v>
      </c>
      <c r="AD1818" s="42"/>
      <c r="AE1818" s="42"/>
      <c r="AF1818" s="9"/>
      <c r="AG1818" s="9"/>
      <c r="AH1818" s="42"/>
      <c r="AI1818" s="42"/>
      <c r="AJ1818" s="42"/>
      <c r="AK1818" s="42"/>
      <c r="AL1818" s="42"/>
      <c r="AM1818" s="42"/>
      <c r="AN1818" s="42"/>
      <c r="AO1818" s="63" t="str">
        <f>IFERROR(__xludf.DUMMYFUNCTION("IF(ISBLANK(A1818),,IF(ISBLANK(S1818), A1818&amp;"";"", TEXTJOIN(CHAR(10), TRUE, A1818&amp;"";"", ARRAYFORMULA(VLOOKUP(SPLIT(S1818, "";"" &amp; CHAR(10)), $A:$AO, 41, FALSE)))))"),"ProRso;")</f>
        <v>ProRso;</v>
      </c>
      <c r="AP1818" s="89"/>
    </row>
    <row r="1819">
      <c r="A1819" s="151" t="str">
        <f>IFERROR(__xludf.DUMMYFUNCTION("""COMPUTED_VALUE"""),"ProC")</f>
        <v>ProC</v>
      </c>
      <c r="B1819" s="42" t="str">
        <f>IFERROR(__xludf.DUMMYFUNCTION("""COMPUTED_VALUE"""),"DHBA")</f>
        <v>DHBA</v>
      </c>
      <c r="C1819" s="42" t="str">
        <f>IFERROR(__xludf.DUMMYFUNCTION("""COMPUTED_VALUE"""),"caudal prosubiculum")</f>
        <v>caudal prosubiculum</v>
      </c>
      <c r="D1819" s="42">
        <f>IFERROR(__xludf.DUMMYFUNCTION("""COMPUTED_VALUE"""),1715.0)</f>
        <v>1715</v>
      </c>
      <c r="E1819" s="39" t="str">
        <f>IFERROR(__xludf.DUMMYFUNCTION("""COMPUTED_VALUE"""),"caudal prosubiculum")</f>
        <v>caudal prosubiculum</v>
      </c>
      <c r="F1819" s="9" t="str">
        <f>IFERROR(__xludf.DUMMYFUNCTION("""COMPUTED_VALUE"""),"Br")</f>
        <v>Br</v>
      </c>
      <c r="G1819" s="9" t="str">
        <f>IFERROR(__xludf.DUMMYFUNCTION("""COMPUTED_VALUE"""),"F")</f>
        <v>F</v>
      </c>
      <c r="H1819" s="9" t="str">
        <f>IFERROR(__xludf.DUMMYFUNCTION("""COMPUTED_VALUE"""),"FGM")</f>
        <v>FGM</v>
      </c>
      <c r="I1819" s="9" t="str">
        <f>IFERROR(__xludf.DUMMYFUNCTION("""COMPUTED_VALUE"""),"Tel")</f>
        <v>Tel</v>
      </c>
      <c r="J1819" s="9" t="str">
        <f>IFERROR(__xludf.DUMMYFUNCTION("""COMPUTED_VALUE"""),"Cx")</f>
        <v>Cx</v>
      </c>
      <c r="K1819" s="9" t="str">
        <f>IFERROR(__xludf.DUMMYFUNCTION("""COMPUTED_VALUE"""),"ACx")</f>
        <v>ACx</v>
      </c>
      <c r="L1819" s="9" t="str">
        <f>IFERROR(__xludf.DUMMYFUNCTION("""COMPUTED_VALUE"""),"ArCx")</f>
        <v>ArCx</v>
      </c>
      <c r="M1819" s="9" t="str">
        <f>IFERROR(__xludf.DUMMYFUNCTION("""COMPUTED_VALUE"""),"HIP")</f>
        <v>HIP</v>
      </c>
      <c r="N1819" s="9" t="str">
        <f>IFERROR(__xludf.DUMMYFUNCTION("""COMPUTED_VALUE"""),"Sub")</f>
        <v>Sub</v>
      </c>
      <c r="O1819" s="9" t="str">
        <f>IFERROR(__xludf.DUMMYFUNCTION("""COMPUTED_VALUE"""),"ProS")</f>
        <v>ProS</v>
      </c>
      <c r="P1819" s="9" t="str">
        <f>IFERROR(__xludf.DUMMYFUNCTION("""COMPUTED_VALUE"""),"ProC")</f>
        <v>ProC</v>
      </c>
      <c r="Q1819" s="9"/>
      <c r="R1819" s="9"/>
      <c r="S1819" s="42" t="str">
        <f>IFERROR(__xludf.DUMMYFUNCTION("""COMPUTED_VALUE"""),"ProCmo;
ProCsp;
ProCso")</f>
        <v>ProCmo;
ProCsp;
ProCso</v>
      </c>
      <c r="T1819" s="42"/>
      <c r="U1819" s="159" t="b">
        <f>IFERROR(__xludf.DUMMYFUNCTION("""COMPUTED_VALUE"""),FALSE)</f>
        <v>0</v>
      </c>
      <c r="V1819" s="42"/>
      <c r="W1819" s="42"/>
      <c r="X1819" s="42"/>
      <c r="Y1819" s="42"/>
      <c r="Z1819" s="42"/>
      <c r="AA1819" s="42"/>
      <c r="AB1819" s="42" t="str">
        <f>IFERROR(__xludf.DUMMYFUNCTION("""COMPUTED_VALUE"""),"allen institute")</f>
        <v>allen institute</v>
      </c>
      <c r="AC1819" s="42" t="str">
        <f>IFERROR(__xludf.DUMMYFUNCTION("""COMPUTED_VALUE"""),"DHBA")</f>
        <v>DHBA</v>
      </c>
      <c r="AD1819" s="42"/>
      <c r="AE1819" s="42"/>
      <c r="AF1819" s="9"/>
      <c r="AG1819" s="9"/>
      <c r="AH1819" s="42"/>
      <c r="AI1819" s="42"/>
      <c r="AJ1819" s="42"/>
      <c r="AK1819" s="42"/>
      <c r="AL1819" s="42"/>
      <c r="AM1819" s="42"/>
      <c r="AN1819" s="42"/>
      <c r="AO1819" s="63" t="str">
        <f>IFERROR(__xludf.DUMMYFUNCTION("IF(ISBLANK(A1819),,IF(ISBLANK(S1819), A1819&amp;"";"", TEXTJOIN(CHAR(10), TRUE, A1819&amp;"";"", ARRAYFORMULA(VLOOKUP(SPLIT(S1819, "";"" &amp; CHAR(10)), $A:$AO, 41, FALSE)))))"),"ProC;
ProCmo;
ProCsp;
ProCso;")</f>
        <v>ProC;
ProCmo;
ProCsp;
ProCso;</v>
      </c>
      <c r="AP1819" s="89"/>
    </row>
    <row r="1820">
      <c r="A1820" s="151" t="str">
        <f>IFERROR(__xludf.DUMMYFUNCTION("""COMPUTED_VALUE"""),"ProCmo")</f>
        <v>ProCmo</v>
      </c>
      <c r="B1820" s="42" t="str">
        <f>IFERROR(__xludf.DUMMYFUNCTION("""COMPUTED_VALUE"""),"DHBA")</f>
        <v>DHBA</v>
      </c>
      <c r="C1820" s="42" t="str">
        <f>IFERROR(__xludf.DUMMYFUNCTION("""COMPUTED_VALUE"""),"molecular layer of caudal prosubiculum")</f>
        <v>molecular layer of caudal prosubiculum</v>
      </c>
      <c r="D1820" s="42">
        <f>IFERROR(__xludf.DUMMYFUNCTION("""COMPUTED_VALUE"""),1716.0)</f>
        <v>1716</v>
      </c>
      <c r="E1820" s="39" t="str">
        <f>IFERROR(__xludf.DUMMYFUNCTION("""COMPUTED_VALUE"""),"molecular layer of caudal prosubiculum")</f>
        <v>molecular layer of caudal prosubiculum</v>
      </c>
      <c r="F1820" s="9" t="str">
        <f>IFERROR(__xludf.DUMMYFUNCTION("""COMPUTED_VALUE"""),"Br")</f>
        <v>Br</v>
      </c>
      <c r="G1820" s="9" t="str">
        <f>IFERROR(__xludf.DUMMYFUNCTION("""COMPUTED_VALUE"""),"F")</f>
        <v>F</v>
      </c>
      <c r="H1820" s="9" t="str">
        <f>IFERROR(__xludf.DUMMYFUNCTION("""COMPUTED_VALUE"""),"FGM")</f>
        <v>FGM</v>
      </c>
      <c r="I1820" s="9" t="str">
        <f>IFERROR(__xludf.DUMMYFUNCTION("""COMPUTED_VALUE"""),"Tel")</f>
        <v>Tel</v>
      </c>
      <c r="J1820" s="9" t="str">
        <f>IFERROR(__xludf.DUMMYFUNCTION("""COMPUTED_VALUE"""),"Cx")</f>
        <v>Cx</v>
      </c>
      <c r="K1820" s="9" t="str">
        <f>IFERROR(__xludf.DUMMYFUNCTION("""COMPUTED_VALUE"""),"ACx")</f>
        <v>ACx</v>
      </c>
      <c r="L1820" s="9" t="str">
        <f>IFERROR(__xludf.DUMMYFUNCTION("""COMPUTED_VALUE"""),"ArCx")</f>
        <v>ArCx</v>
      </c>
      <c r="M1820" s="9" t="str">
        <f>IFERROR(__xludf.DUMMYFUNCTION("""COMPUTED_VALUE"""),"HIP")</f>
        <v>HIP</v>
      </c>
      <c r="N1820" s="9" t="str">
        <f>IFERROR(__xludf.DUMMYFUNCTION("""COMPUTED_VALUE"""),"Sub")</f>
        <v>Sub</v>
      </c>
      <c r="O1820" s="9" t="str">
        <f>IFERROR(__xludf.DUMMYFUNCTION("""COMPUTED_VALUE"""),"ProS")</f>
        <v>ProS</v>
      </c>
      <c r="P1820" s="9" t="str">
        <f>IFERROR(__xludf.DUMMYFUNCTION("""COMPUTED_VALUE"""),"ProC")</f>
        <v>ProC</v>
      </c>
      <c r="Q1820" s="9" t="str">
        <f>IFERROR(__xludf.DUMMYFUNCTION("""COMPUTED_VALUE"""),"ProCmo")</f>
        <v>ProCmo</v>
      </c>
      <c r="R1820" s="9"/>
      <c r="S1820" s="42"/>
      <c r="T1820" s="42"/>
      <c r="U1820" s="159"/>
      <c r="V1820" s="42"/>
      <c r="W1820" s="42"/>
      <c r="X1820" s="42"/>
      <c r="Y1820" s="42"/>
      <c r="Z1820" s="42"/>
      <c r="AA1820" s="42"/>
      <c r="AB1820" s="42" t="str">
        <f>IFERROR(__xludf.DUMMYFUNCTION("""COMPUTED_VALUE"""),"allen institute")</f>
        <v>allen institute</v>
      </c>
      <c r="AC1820" s="42" t="str">
        <f>IFERROR(__xludf.DUMMYFUNCTION("""COMPUTED_VALUE"""),"DHBA")</f>
        <v>DHBA</v>
      </c>
      <c r="AD1820" s="42"/>
      <c r="AE1820" s="42"/>
      <c r="AF1820" s="9"/>
      <c r="AG1820" s="9"/>
      <c r="AH1820" s="42"/>
      <c r="AI1820" s="42"/>
      <c r="AJ1820" s="42"/>
      <c r="AK1820" s="42"/>
      <c r="AL1820" s="42"/>
      <c r="AM1820" s="42"/>
      <c r="AN1820" s="42"/>
      <c r="AO1820" s="63" t="str">
        <f>IFERROR(__xludf.DUMMYFUNCTION("IF(ISBLANK(A1820),,IF(ISBLANK(S1820), A1820&amp;"";"", TEXTJOIN(CHAR(10), TRUE, A1820&amp;"";"", ARRAYFORMULA(VLOOKUP(SPLIT(S1820, "";"" &amp; CHAR(10)), $A:$AO, 41, FALSE)))))"),"ProCmo;")</f>
        <v>ProCmo;</v>
      </c>
      <c r="AP1820" s="89"/>
    </row>
    <row r="1821">
      <c r="A1821" s="151" t="str">
        <f>IFERROR(__xludf.DUMMYFUNCTION("""COMPUTED_VALUE"""),"ProCsp")</f>
        <v>ProCsp</v>
      </c>
      <c r="B1821" s="42" t="str">
        <f>IFERROR(__xludf.DUMMYFUNCTION("""COMPUTED_VALUE"""),"DHBA")</f>
        <v>DHBA</v>
      </c>
      <c r="C1821" s="42" t="str">
        <f>IFERROR(__xludf.DUMMYFUNCTION("""COMPUTED_VALUE"""),"stratum pyramidale of caudal prosubiculum")</f>
        <v>stratum pyramidale of caudal prosubiculum</v>
      </c>
      <c r="D1821" s="42">
        <f>IFERROR(__xludf.DUMMYFUNCTION("""COMPUTED_VALUE"""),1717.0)</f>
        <v>1717</v>
      </c>
      <c r="E1821" s="39" t="str">
        <f>IFERROR(__xludf.DUMMYFUNCTION("""COMPUTED_VALUE"""),"stratum pyramidale of caudal prosubiculum")</f>
        <v>stratum pyramidale of caudal prosubiculum</v>
      </c>
      <c r="F1821" s="9" t="str">
        <f>IFERROR(__xludf.DUMMYFUNCTION("""COMPUTED_VALUE"""),"Br")</f>
        <v>Br</v>
      </c>
      <c r="G1821" s="9" t="str">
        <f>IFERROR(__xludf.DUMMYFUNCTION("""COMPUTED_VALUE"""),"F")</f>
        <v>F</v>
      </c>
      <c r="H1821" s="9" t="str">
        <f>IFERROR(__xludf.DUMMYFUNCTION("""COMPUTED_VALUE"""),"FGM")</f>
        <v>FGM</v>
      </c>
      <c r="I1821" s="9" t="str">
        <f>IFERROR(__xludf.DUMMYFUNCTION("""COMPUTED_VALUE"""),"Tel")</f>
        <v>Tel</v>
      </c>
      <c r="J1821" s="9" t="str">
        <f>IFERROR(__xludf.DUMMYFUNCTION("""COMPUTED_VALUE"""),"Cx")</f>
        <v>Cx</v>
      </c>
      <c r="K1821" s="9" t="str">
        <f>IFERROR(__xludf.DUMMYFUNCTION("""COMPUTED_VALUE"""),"ACx")</f>
        <v>ACx</v>
      </c>
      <c r="L1821" s="9" t="str">
        <f>IFERROR(__xludf.DUMMYFUNCTION("""COMPUTED_VALUE"""),"ArCx")</f>
        <v>ArCx</v>
      </c>
      <c r="M1821" s="9" t="str">
        <f>IFERROR(__xludf.DUMMYFUNCTION("""COMPUTED_VALUE"""),"HIP")</f>
        <v>HIP</v>
      </c>
      <c r="N1821" s="9" t="str">
        <f>IFERROR(__xludf.DUMMYFUNCTION("""COMPUTED_VALUE"""),"Sub")</f>
        <v>Sub</v>
      </c>
      <c r="O1821" s="9" t="str">
        <f>IFERROR(__xludf.DUMMYFUNCTION("""COMPUTED_VALUE"""),"ProS")</f>
        <v>ProS</v>
      </c>
      <c r="P1821" s="9" t="str">
        <f>IFERROR(__xludf.DUMMYFUNCTION("""COMPUTED_VALUE"""),"ProC")</f>
        <v>ProC</v>
      </c>
      <c r="Q1821" s="9" t="str">
        <f>IFERROR(__xludf.DUMMYFUNCTION("""COMPUTED_VALUE"""),"ProCsp")</f>
        <v>ProCsp</v>
      </c>
      <c r="R1821" s="9"/>
      <c r="S1821" s="42"/>
      <c r="T1821" s="42"/>
      <c r="U1821" s="159"/>
      <c r="V1821" s="42"/>
      <c r="W1821" s="42"/>
      <c r="X1821" s="42"/>
      <c r="Y1821" s="42"/>
      <c r="Z1821" s="42"/>
      <c r="AA1821" s="42"/>
      <c r="AB1821" s="42" t="str">
        <f>IFERROR(__xludf.DUMMYFUNCTION("""COMPUTED_VALUE"""),"allen institute")</f>
        <v>allen institute</v>
      </c>
      <c r="AC1821" s="42" t="str">
        <f>IFERROR(__xludf.DUMMYFUNCTION("""COMPUTED_VALUE"""),"DHBA")</f>
        <v>DHBA</v>
      </c>
      <c r="AD1821" s="42"/>
      <c r="AE1821" s="42"/>
      <c r="AF1821" s="9"/>
      <c r="AG1821" s="9"/>
      <c r="AH1821" s="42"/>
      <c r="AI1821" s="42"/>
      <c r="AJ1821" s="42"/>
      <c r="AK1821" s="42"/>
      <c r="AL1821" s="42"/>
      <c r="AM1821" s="42"/>
      <c r="AN1821" s="42"/>
      <c r="AO1821" s="63" t="str">
        <f>IFERROR(__xludf.DUMMYFUNCTION("IF(ISBLANK(A1821),,IF(ISBLANK(S1821), A1821&amp;"";"", TEXTJOIN(CHAR(10), TRUE, A1821&amp;"";"", ARRAYFORMULA(VLOOKUP(SPLIT(S1821, "";"" &amp; CHAR(10)), $A:$AO, 41, FALSE)))))"),"ProCsp;")</f>
        <v>ProCsp;</v>
      </c>
      <c r="AP1821" s="89"/>
    </row>
    <row r="1822">
      <c r="A1822" s="151" t="str">
        <f>IFERROR(__xludf.DUMMYFUNCTION("""COMPUTED_VALUE"""),"ProCso")</f>
        <v>ProCso</v>
      </c>
      <c r="B1822" s="42" t="str">
        <f>IFERROR(__xludf.DUMMYFUNCTION("""COMPUTED_VALUE"""),"DHBA")</f>
        <v>DHBA</v>
      </c>
      <c r="C1822" s="42" t="str">
        <f>IFERROR(__xludf.DUMMYFUNCTION("""COMPUTED_VALUE"""),"stratum oriens of caudal prosubiculum")</f>
        <v>stratum oriens of caudal prosubiculum</v>
      </c>
      <c r="D1822" s="42">
        <f>IFERROR(__xludf.DUMMYFUNCTION("""COMPUTED_VALUE"""),1718.0)</f>
        <v>1718</v>
      </c>
      <c r="E1822" s="39" t="str">
        <f>IFERROR(__xludf.DUMMYFUNCTION("""COMPUTED_VALUE"""),"stratum oriens of caudal prosubiculum")</f>
        <v>stratum oriens of caudal prosubiculum</v>
      </c>
      <c r="F1822" s="9" t="str">
        <f>IFERROR(__xludf.DUMMYFUNCTION("""COMPUTED_VALUE"""),"Br")</f>
        <v>Br</v>
      </c>
      <c r="G1822" s="9" t="str">
        <f>IFERROR(__xludf.DUMMYFUNCTION("""COMPUTED_VALUE"""),"F")</f>
        <v>F</v>
      </c>
      <c r="H1822" s="9" t="str">
        <f>IFERROR(__xludf.DUMMYFUNCTION("""COMPUTED_VALUE"""),"FGM")</f>
        <v>FGM</v>
      </c>
      <c r="I1822" s="9" t="str">
        <f>IFERROR(__xludf.DUMMYFUNCTION("""COMPUTED_VALUE"""),"Tel")</f>
        <v>Tel</v>
      </c>
      <c r="J1822" s="9" t="str">
        <f>IFERROR(__xludf.DUMMYFUNCTION("""COMPUTED_VALUE"""),"Cx")</f>
        <v>Cx</v>
      </c>
      <c r="K1822" s="9" t="str">
        <f>IFERROR(__xludf.DUMMYFUNCTION("""COMPUTED_VALUE"""),"ACx")</f>
        <v>ACx</v>
      </c>
      <c r="L1822" s="9" t="str">
        <f>IFERROR(__xludf.DUMMYFUNCTION("""COMPUTED_VALUE"""),"ArCx")</f>
        <v>ArCx</v>
      </c>
      <c r="M1822" s="9" t="str">
        <f>IFERROR(__xludf.DUMMYFUNCTION("""COMPUTED_VALUE"""),"HIP")</f>
        <v>HIP</v>
      </c>
      <c r="N1822" s="9" t="str">
        <f>IFERROR(__xludf.DUMMYFUNCTION("""COMPUTED_VALUE"""),"Sub")</f>
        <v>Sub</v>
      </c>
      <c r="O1822" s="9" t="str">
        <f>IFERROR(__xludf.DUMMYFUNCTION("""COMPUTED_VALUE"""),"ProS")</f>
        <v>ProS</v>
      </c>
      <c r="P1822" s="9" t="str">
        <f>IFERROR(__xludf.DUMMYFUNCTION("""COMPUTED_VALUE"""),"ProC")</f>
        <v>ProC</v>
      </c>
      <c r="Q1822" s="9" t="str">
        <f>IFERROR(__xludf.DUMMYFUNCTION("""COMPUTED_VALUE"""),"ProCso")</f>
        <v>ProCso</v>
      </c>
      <c r="R1822" s="9"/>
      <c r="S1822" s="42"/>
      <c r="T1822" s="42"/>
      <c r="U1822" s="159"/>
      <c r="V1822" s="42"/>
      <c r="W1822" s="42"/>
      <c r="X1822" s="42"/>
      <c r="Y1822" s="42"/>
      <c r="Z1822" s="42"/>
      <c r="AA1822" s="42"/>
      <c r="AB1822" s="42" t="str">
        <f>IFERROR(__xludf.DUMMYFUNCTION("""COMPUTED_VALUE"""),"allen institute")</f>
        <v>allen institute</v>
      </c>
      <c r="AC1822" s="42" t="str">
        <f>IFERROR(__xludf.DUMMYFUNCTION("""COMPUTED_VALUE"""),"DHBA")</f>
        <v>DHBA</v>
      </c>
      <c r="AD1822" s="42"/>
      <c r="AE1822" s="42"/>
      <c r="AF1822" s="9"/>
      <c r="AG1822" s="9"/>
      <c r="AH1822" s="42"/>
      <c r="AI1822" s="42"/>
      <c r="AJ1822" s="42"/>
      <c r="AK1822" s="42"/>
      <c r="AL1822" s="42"/>
      <c r="AM1822" s="42"/>
      <c r="AN1822" s="42"/>
      <c r="AO1822" s="63" t="str">
        <f>IFERROR(__xludf.DUMMYFUNCTION("IF(ISBLANK(A1822),,IF(ISBLANK(S1822), A1822&amp;"";"", TEXTJOIN(CHAR(10), TRUE, A1822&amp;"";"", ARRAYFORMULA(VLOOKUP(SPLIT(S1822, "";"" &amp; CHAR(10)), $A:$AO, 41, FALSE)))))"),"ProCso;")</f>
        <v>ProCso;</v>
      </c>
      <c r="AP1822" s="89"/>
    </row>
    <row r="1823">
      <c r="A1823" s="151" t="str">
        <f>IFERROR(__xludf.DUMMYFUNCTION("""COMPUTED_VALUE"""),"SuS")</f>
        <v>SuS</v>
      </c>
      <c r="B1823" s="42" t="str">
        <f>IFERROR(__xludf.DUMMYFUNCTION("""COMPUTED_VALUE"""),"DHBA")</f>
        <v>DHBA</v>
      </c>
      <c r="C1823" s="42" t="str">
        <f>IFERROR(__xludf.DUMMYFUNCTION("""COMPUTED_VALUE"""),"supracallosal subiculum")</f>
        <v>supracallosal subiculum</v>
      </c>
      <c r="D1823" s="42">
        <f>IFERROR(__xludf.DUMMYFUNCTION("""COMPUTED_VALUE"""),1719.0)</f>
        <v>1719</v>
      </c>
      <c r="E1823" s="39" t="str">
        <f>IFERROR(__xludf.DUMMYFUNCTION("""COMPUTED_VALUE"""),"supracallosal subiculum")</f>
        <v>supracallosal subiculum</v>
      </c>
      <c r="F1823" s="9" t="str">
        <f>IFERROR(__xludf.DUMMYFUNCTION("""COMPUTED_VALUE"""),"Br")</f>
        <v>Br</v>
      </c>
      <c r="G1823" s="9" t="str">
        <f>IFERROR(__xludf.DUMMYFUNCTION("""COMPUTED_VALUE"""),"F")</f>
        <v>F</v>
      </c>
      <c r="H1823" s="9" t="str">
        <f>IFERROR(__xludf.DUMMYFUNCTION("""COMPUTED_VALUE"""),"FGM")</f>
        <v>FGM</v>
      </c>
      <c r="I1823" s="9" t="str">
        <f>IFERROR(__xludf.DUMMYFUNCTION("""COMPUTED_VALUE"""),"Tel")</f>
        <v>Tel</v>
      </c>
      <c r="J1823" s="9" t="str">
        <f>IFERROR(__xludf.DUMMYFUNCTION("""COMPUTED_VALUE"""),"Cx")</f>
        <v>Cx</v>
      </c>
      <c r="K1823" s="9" t="str">
        <f>IFERROR(__xludf.DUMMYFUNCTION("""COMPUTED_VALUE"""),"ACx")</f>
        <v>ACx</v>
      </c>
      <c r="L1823" s="9" t="str">
        <f>IFERROR(__xludf.DUMMYFUNCTION("""COMPUTED_VALUE"""),"ArCx")</f>
        <v>ArCx</v>
      </c>
      <c r="M1823" s="9" t="str">
        <f>IFERROR(__xludf.DUMMYFUNCTION("""COMPUTED_VALUE"""),"HIP")</f>
        <v>HIP</v>
      </c>
      <c r="N1823" s="9" t="str">
        <f>IFERROR(__xludf.DUMMYFUNCTION("""COMPUTED_VALUE"""),"Sub")</f>
        <v>Sub</v>
      </c>
      <c r="O1823" s="9" t="str">
        <f>IFERROR(__xludf.DUMMYFUNCTION("""COMPUTED_VALUE"""),"SuS")</f>
        <v>SuS</v>
      </c>
      <c r="P1823" s="9"/>
      <c r="Q1823" s="9"/>
      <c r="R1823" s="9"/>
      <c r="S1823" s="42" t="str">
        <f>IFERROR(__xludf.DUMMYFUNCTION("""COMPUTED_VALUE"""),"SuSm;
SuSp;
SuSd")</f>
        <v>SuSm;
SuSp;
SuSd</v>
      </c>
      <c r="T1823" s="42"/>
      <c r="U1823" s="159" t="b">
        <f>IFERROR(__xludf.DUMMYFUNCTION("""COMPUTED_VALUE"""),FALSE)</f>
        <v>0</v>
      </c>
      <c r="V1823" s="42"/>
      <c r="W1823" s="42"/>
      <c r="X1823" s="42"/>
      <c r="Y1823" s="42"/>
      <c r="Z1823" s="42"/>
      <c r="AA1823" s="42"/>
      <c r="AB1823" s="42" t="str">
        <f>IFERROR(__xludf.DUMMYFUNCTION("""COMPUTED_VALUE"""),"allen institute")</f>
        <v>allen institute</v>
      </c>
      <c r="AC1823" s="42" t="str">
        <f>IFERROR(__xludf.DUMMYFUNCTION("""COMPUTED_VALUE"""),"DHBA")</f>
        <v>DHBA</v>
      </c>
      <c r="AD1823" s="42"/>
      <c r="AE1823" s="42"/>
      <c r="AF1823" s="9"/>
      <c r="AG1823" s="9"/>
      <c r="AH1823" s="42"/>
      <c r="AI1823" s="42"/>
      <c r="AJ1823" s="42"/>
      <c r="AK1823" s="42"/>
      <c r="AL1823" s="42"/>
      <c r="AM1823" s="42"/>
      <c r="AN1823" s="42"/>
      <c r="AO1823" s="63" t="str">
        <f>IFERROR(__xludf.DUMMYFUNCTION("IF(ISBLANK(A1823),,IF(ISBLANK(S1823), A1823&amp;"";"", TEXTJOIN(CHAR(10), TRUE, A1823&amp;"";"", ARRAYFORMULA(VLOOKUP(SPLIT(S1823, "";"" &amp; CHAR(10)), $A:$AO, 41, FALSE)))))"),"SuS;
SuSm;
SuSp;
SuSd;")</f>
        <v>SuS;
SuSm;
SuSp;
SuSd;</v>
      </c>
      <c r="AP1823" s="89"/>
    </row>
    <row r="1824">
      <c r="A1824" s="151" t="str">
        <f>IFERROR(__xludf.DUMMYFUNCTION("""COMPUTED_VALUE"""),"SuSm")</f>
        <v>SuSm</v>
      </c>
      <c r="B1824" s="42" t="str">
        <f>IFERROR(__xludf.DUMMYFUNCTION("""COMPUTED_VALUE"""),"DHBA")</f>
        <v>DHBA</v>
      </c>
      <c r="C1824" s="42" t="str">
        <f>IFERROR(__xludf.DUMMYFUNCTION("""COMPUTED_VALUE"""),"marginal layer of SuS")</f>
        <v>marginal layer of SuS</v>
      </c>
      <c r="D1824" s="42">
        <f>IFERROR(__xludf.DUMMYFUNCTION("""COMPUTED_VALUE"""),1720.0)</f>
        <v>1720</v>
      </c>
      <c r="E1824" s="39" t="str">
        <f>IFERROR(__xludf.DUMMYFUNCTION("""COMPUTED_VALUE"""),"marginal layer of SuS")</f>
        <v>marginal layer of SuS</v>
      </c>
      <c r="F1824" s="9" t="str">
        <f>IFERROR(__xludf.DUMMYFUNCTION("""COMPUTED_VALUE"""),"Br")</f>
        <v>Br</v>
      </c>
      <c r="G1824" s="9" t="str">
        <f>IFERROR(__xludf.DUMMYFUNCTION("""COMPUTED_VALUE"""),"F")</f>
        <v>F</v>
      </c>
      <c r="H1824" s="9" t="str">
        <f>IFERROR(__xludf.DUMMYFUNCTION("""COMPUTED_VALUE"""),"FGM")</f>
        <v>FGM</v>
      </c>
      <c r="I1824" s="9" t="str">
        <f>IFERROR(__xludf.DUMMYFUNCTION("""COMPUTED_VALUE"""),"Tel")</f>
        <v>Tel</v>
      </c>
      <c r="J1824" s="9" t="str">
        <f>IFERROR(__xludf.DUMMYFUNCTION("""COMPUTED_VALUE"""),"Cx")</f>
        <v>Cx</v>
      </c>
      <c r="K1824" s="9" t="str">
        <f>IFERROR(__xludf.DUMMYFUNCTION("""COMPUTED_VALUE"""),"ACx")</f>
        <v>ACx</v>
      </c>
      <c r="L1824" s="9" t="str">
        <f>IFERROR(__xludf.DUMMYFUNCTION("""COMPUTED_VALUE"""),"ArCx")</f>
        <v>ArCx</v>
      </c>
      <c r="M1824" s="9" t="str">
        <f>IFERROR(__xludf.DUMMYFUNCTION("""COMPUTED_VALUE"""),"HIP")</f>
        <v>HIP</v>
      </c>
      <c r="N1824" s="9" t="str">
        <f>IFERROR(__xludf.DUMMYFUNCTION("""COMPUTED_VALUE"""),"Sub")</f>
        <v>Sub</v>
      </c>
      <c r="O1824" s="9" t="str">
        <f>IFERROR(__xludf.DUMMYFUNCTION("""COMPUTED_VALUE"""),"SuS")</f>
        <v>SuS</v>
      </c>
      <c r="P1824" s="9" t="str">
        <f>IFERROR(__xludf.DUMMYFUNCTION("""COMPUTED_VALUE"""),"SuSm")</f>
        <v>SuSm</v>
      </c>
      <c r="Q1824" s="9"/>
      <c r="R1824" s="9"/>
      <c r="S1824" s="42"/>
      <c r="T1824" s="42"/>
      <c r="U1824" s="159"/>
      <c r="V1824" s="42"/>
      <c r="W1824" s="42"/>
      <c r="X1824" s="42"/>
      <c r="Y1824" s="42"/>
      <c r="Z1824" s="42"/>
      <c r="AA1824" s="42"/>
      <c r="AB1824" s="42" t="str">
        <f>IFERROR(__xludf.DUMMYFUNCTION("""COMPUTED_VALUE"""),"allen institute")</f>
        <v>allen institute</v>
      </c>
      <c r="AC1824" s="42" t="str">
        <f>IFERROR(__xludf.DUMMYFUNCTION("""COMPUTED_VALUE"""),"DHBA")</f>
        <v>DHBA</v>
      </c>
      <c r="AD1824" s="42"/>
      <c r="AE1824" s="42"/>
      <c r="AF1824" s="9"/>
      <c r="AG1824" s="9"/>
      <c r="AH1824" s="42"/>
      <c r="AI1824" s="42"/>
      <c r="AJ1824" s="42"/>
      <c r="AK1824" s="42"/>
      <c r="AL1824" s="42"/>
      <c r="AM1824" s="42"/>
      <c r="AN1824" s="42"/>
      <c r="AO1824" s="63" t="str">
        <f>IFERROR(__xludf.DUMMYFUNCTION("IF(ISBLANK(A1824),,IF(ISBLANK(S1824), A1824&amp;"";"", TEXTJOIN(CHAR(10), TRUE, A1824&amp;"";"", ARRAYFORMULA(VLOOKUP(SPLIT(S1824, "";"" &amp; CHAR(10)), $A:$AO, 41, FALSE)))))"),"SuSm;")</f>
        <v>SuSm;</v>
      </c>
      <c r="AP1824" s="89"/>
    </row>
    <row r="1825">
      <c r="A1825" s="151" t="str">
        <f>IFERROR(__xludf.DUMMYFUNCTION("""COMPUTED_VALUE"""),"SuSp")</f>
        <v>SuSp</v>
      </c>
      <c r="B1825" s="42" t="str">
        <f>IFERROR(__xludf.DUMMYFUNCTION("""COMPUTED_VALUE"""),"DHBA")</f>
        <v>DHBA</v>
      </c>
      <c r="C1825" s="42" t="str">
        <f>IFERROR(__xludf.DUMMYFUNCTION("""COMPUTED_VALUE"""),"principal layer of SuS")</f>
        <v>principal layer of SuS</v>
      </c>
      <c r="D1825" s="42">
        <f>IFERROR(__xludf.DUMMYFUNCTION("""COMPUTED_VALUE"""),1721.0)</f>
        <v>1721</v>
      </c>
      <c r="E1825" s="39" t="str">
        <f>IFERROR(__xludf.DUMMYFUNCTION("""COMPUTED_VALUE"""),"principal layer of SuS")</f>
        <v>principal layer of SuS</v>
      </c>
      <c r="F1825" s="9" t="str">
        <f>IFERROR(__xludf.DUMMYFUNCTION("""COMPUTED_VALUE"""),"Br")</f>
        <v>Br</v>
      </c>
      <c r="G1825" s="9" t="str">
        <f>IFERROR(__xludf.DUMMYFUNCTION("""COMPUTED_VALUE"""),"F")</f>
        <v>F</v>
      </c>
      <c r="H1825" s="9" t="str">
        <f>IFERROR(__xludf.DUMMYFUNCTION("""COMPUTED_VALUE"""),"FGM")</f>
        <v>FGM</v>
      </c>
      <c r="I1825" s="9" t="str">
        <f>IFERROR(__xludf.DUMMYFUNCTION("""COMPUTED_VALUE"""),"Tel")</f>
        <v>Tel</v>
      </c>
      <c r="J1825" s="9" t="str">
        <f>IFERROR(__xludf.DUMMYFUNCTION("""COMPUTED_VALUE"""),"Cx")</f>
        <v>Cx</v>
      </c>
      <c r="K1825" s="9" t="str">
        <f>IFERROR(__xludf.DUMMYFUNCTION("""COMPUTED_VALUE"""),"ACx")</f>
        <v>ACx</v>
      </c>
      <c r="L1825" s="9" t="str">
        <f>IFERROR(__xludf.DUMMYFUNCTION("""COMPUTED_VALUE"""),"ArCx")</f>
        <v>ArCx</v>
      </c>
      <c r="M1825" s="9" t="str">
        <f>IFERROR(__xludf.DUMMYFUNCTION("""COMPUTED_VALUE"""),"HIP")</f>
        <v>HIP</v>
      </c>
      <c r="N1825" s="9" t="str">
        <f>IFERROR(__xludf.DUMMYFUNCTION("""COMPUTED_VALUE"""),"Sub")</f>
        <v>Sub</v>
      </c>
      <c r="O1825" s="9" t="str">
        <f>IFERROR(__xludf.DUMMYFUNCTION("""COMPUTED_VALUE"""),"SuS")</f>
        <v>SuS</v>
      </c>
      <c r="P1825" s="9" t="str">
        <f>IFERROR(__xludf.DUMMYFUNCTION("""COMPUTED_VALUE"""),"SuSp")</f>
        <v>SuSp</v>
      </c>
      <c r="Q1825" s="9"/>
      <c r="R1825" s="9"/>
      <c r="S1825" s="42"/>
      <c r="T1825" s="42"/>
      <c r="U1825" s="159"/>
      <c r="V1825" s="42"/>
      <c r="W1825" s="42"/>
      <c r="X1825" s="42"/>
      <c r="Y1825" s="42"/>
      <c r="Z1825" s="42"/>
      <c r="AA1825" s="42"/>
      <c r="AB1825" s="42" t="str">
        <f>IFERROR(__xludf.DUMMYFUNCTION("""COMPUTED_VALUE"""),"allen institute")</f>
        <v>allen institute</v>
      </c>
      <c r="AC1825" s="42" t="str">
        <f>IFERROR(__xludf.DUMMYFUNCTION("""COMPUTED_VALUE"""),"DHBA")</f>
        <v>DHBA</v>
      </c>
      <c r="AD1825" s="42"/>
      <c r="AE1825" s="42"/>
      <c r="AF1825" s="9"/>
      <c r="AG1825" s="9"/>
      <c r="AH1825" s="42"/>
      <c r="AI1825" s="42"/>
      <c r="AJ1825" s="42"/>
      <c r="AK1825" s="42"/>
      <c r="AL1825" s="42"/>
      <c r="AM1825" s="42"/>
      <c r="AN1825" s="42"/>
      <c r="AO1825" s="63" t="str">
        <f>IFERROR(__xludf.DUMMYFUNCTION("IF(ISBLANK(A1825),,IF(ISBLANK(S1825), A1825&amp;"";"", TEXTJOIN(CHAR(10), TRUE, A1825&amp;"";"", ARRAYFORMULA(VLOOKUP(SPLIT(S1825, "";"" &amp; CHAR(10)), $A:$AO, 41, FALSE)))))"),"SuSp;")</f>
        <v>SuSp;</v>
      </c>
      <c r="AP1825" s="89"/>
    </row>
    <row r="1826">
      <c r="A1826" s="151" t="str">
        <f>IFERROR(__xludf.DUMMYFUNCTION("""COMPUTED_VALUE"""),"SuSd")</f>
        <v>SuSd</v>
      </c>
      <c r="B1826" s="42" t="str">
        <f>IFERROR(__xludf.DUMMYFUNCTION("""COMPUTED_VALUE"""),"DHBA")</f>
        <v>DHBA</v>
      </c>
      <c r="C1826" s="42" t="str">
        <f>IFERROR(__xludf.DUMMYFUNCTION("""COMPUTED_VALUE"""),"deep (subplate) layer of SuS")</f>
        <v>deep (subplate) layer of SuS</v>
      </c>
      <c r="D1826" s="42">
        <f>IFERROR(__xludf.DUMMYFUNCTION("""COMPUTED_VALUE"""),1722.0)</f>
        <v>1722</v>
      </c>
      <c r="E1826" s="39" t="str">
        <f>IFERROR(__xludf.DUMMYFUNCTION("""COMPUTED_VALUE"""),"deep (subplate) layer of SuS")</f>
        <v>deep (subplate) layer of SuS</v>
      </c>
      <c r="F1826" s="9" t="str">
        <f>IFERROR(__xludf.DUMMYFUNCTION("""COMPUTED_VALUE"""),"Br")</f>
        <v>Br</v>
      </c>
      <c r="G1826" s="9" t="str">
        <f>IFERROR(__xludf.DUMMYFUNCTION("""COMPUTED_VALUE"""),"F")</f>
        <v>F</v>
      </c>
      <c r="H1826" s="9" t="str">
        <f>IFERROR(__xludf.DUMMYFUNCTION("""COMPUTED_VALUE"""),"FGM")</f>
        <v>FGM</v>
      </c>
      <c r="I1826" s="9" t="str">
        <f>IFERROR(__xludf.DUMMYFUNCTION("""COMPUTED_VALUE"""),"Tel")</f>
        <v>Tel</v>
      </c>
      <c r="J1826" s="9" t="str">
        <f>IFERROR(__xludf.DUMMYFUNCTION("""COMPUTED_VALUE"""),"Cx")</f>
        <v>Cx</v>
      </c>
      <c r="K1826" s="9" t="str">
        <f>IFERROR(__xludf.DUMMYFUNCTION("""COMPUTED_VALUE"""),"ACx")</f>
        <v>ACx</v>
      </c>
      <c r="L1826" s="9" t="str">
        <f>IFERROR(__xludf.DUMMYFUNCTION("""COMPUTED_VALUE"""),"ArCx")</f>
        <v>ArCx</v>
      </c>
      <c r="M1826" s="9" t="str">
        <f>IFERROR(__xludf.DUMMYFUNCTION("""COMPUTED_VALUE"""),"HIP")</f>
        <v>HIP</v>
      </c>
      <c r="N1826" s="9" t="str">
        <f>IFERROR(__xludf.DUMMYFUNCTION("""COMPUTED_VALUE"""),"Sub")</f>
        <v>Sub</v>
      </c>
      <c r="O1826" s="9" t="str">
        <f>IFERROR(__xludf.DUMMYFUNCTION("""COMPUTED_VALUE"""),"SuS")</f>
        <v>SuS</v>
      </c>
      <c r="P1826" s="9" t="str">
        <f>IFERROR(__xludf.DUMMYFUNCTION("""COMPUTED_VALUE"""),"SuSd")</f>
        <v>SuSd</v>
      </c>
      <c r="Q1826" s="9"/>
      <c r="R1826" s="9"/>
      <c r="S1826" s="42"/>
      <c r="T1826" s="42"/>
      <c r="U1826" s="159"/>
      <c r="V1826" s="42"/>
      <c r="W1826" s="42"/>
      <c r="X1826" s="42"/>
      <c r="Y1826" s="42"/>
      <c r="Z1826" s="42"/>
      <c r="AA1826" s="42"/>
      <c r="AB1826" s="42" t="str">
        <f>IFERROR(__xludf.DUMMYFUNCTION("""COMPUTED_VALUE"""),"allen institute")</f>
        <v>allen institute</v>
      </c>
      <c r="AC1826" s="42" t="str">
        <f>IFERROR(__xludf.DUMMYFUNCTION("""COMPUTED_VALUE"""),"DHBA")</f>
        <v>DHBA</v>
      </c>
      <c r="AD1826" s="42"/>
      <c r="AE1826" s="42"/>
      <c r="AF1826" s="9"/>
      <c r="AG1826" s="9"/>
      <c r="AH1826" s="42"/>
      <c r="AI1826" s="42"/>
      <c r="AJ1826" s="42"/>
      <c r="AK1826" s="42"/>
      <c r="AL1826" s="42"/>
      <c r="AM1826" s="42"/>
      <c r="AN1826" s="42"/>
      <c r="AO1826" s="63" t="str">
        <f>IFERROR(__xludf.DUMMYFUNCTION("IF(ISBLANK(A1826),,IF(ISBLANK(S1826), A1826&amp;"";"", TEXTJOIN(CHAR(10), TRUE, A1826&amp;"";"", ARRAYFORMULA(VLOOKUP(SPLIT(S1826, "";"" &amp; CHAR(10)), $A:$AO, 41, FALSE)))))"),"SuSd;")</f>
        <v>SuSd;</v>
      </c>
      <c r="AP1826" s="89"/>
    </row>
    <row r="1827">
      <c r="A1827" s="151" t="str">
        <f>IFERROR(__xludf.DUMMYFUNCTION("""COMPUTED_VALUE"""),"IG")</f>
        <v>IG</v>
      </c>
      <c r="B1827" s="42" t="str">
        <f>IFERROR(__xludf.DUMMYFUNCTION("""COMPUTED_VALUE"""),"DHBA")</f>
        <v>DHBA</v>
      </c>
      <c r="C1827" s="42" t="str">
        <f>IFERROR(__xludf.DUMMYFUNCTION("""COMPUTED_VALUE"""),"indusium griseum")</f>
        <v>indusium griseum</v>
      </c>
      <c r="D1827" s="42">
        <f>IFERROR(__xludf.DUMMYFUNCTION("""COMPUTED_VALUE"""),1723.0)</f>
        <v>1723</v>
      </c>
      <c r="E1827" s="39" t="str">
        <f>IFERROR(__xludf.DUMMYFUNCTION("""COMPUTED_VALUE"""),"indusium griseum")</f>
        <v>indusium griseum</v>
      </c>
      <c r="F1827" s="9" t="str">
        <f>IFERROR(__xludf.DUMMYFUNCTION("""COMPUTED_VALUE"""),"Br")</f>
        <v>Br</v>
      </c>
      <c r="G1827" s="9" t="str">
        <f>IFERROR(__xludf.DUMMYFUNCTION("""COMPUTED_VALUE"""),"F")</f>
        <v>F</v>
      </c>
      <c r="H1827" s="9" t="str">
        <f>IFERROR(__xludf.DUMMYFUNCTION("""COMPUTED_VALUE"""),"FGM")</f>
        <v>FGM</v>
      </c>
      <c r="I1827" s="9" t="str">
        <f>IFERROR(__xludf.DUMMYFUNCTION("""COMPUTED_VALUE"""),"Tel")</f>
        <v>Tel</v>
      </c>
      <c r="J1827" s="9" t="str">
        <f>IFERROR(__xludf.DUMMYFUNCTION("""COMPUTED_VALUE"""),"Cx")</f>
        <v>Cx</v>
      </c>
      <c r="K1827" s="9" t="str">
        <f>IFERROR(__xludf.DUMMYFUNCTION("""COMPUTED_VALUE"""),"ACx")</f>
        <v>ACx</v>
      </c>
      <c r="L1827" s="9" t="str">
        <f>IFERROR(__xludf.DUMMYFUNCTION("""COMPUTED_VALUE"""),"ArCx")</f>
        <v>ArCx</v>
      </c>
      <c r="M1827" s="9" t="str">
        <f>IFERROR(__xludf.DUMMYFUNCTION("""COMPUTED_VALUE"""),"IG")</f>
        <v>IG</v>
      </c>
      <c r="N1827" s="9"/>
      <c r="O1827" s="9"/>
      <c r="P1827" s="9"/>
      <c r="Q1827" s="9"/>
      <c r="R1827" s="9"/>
      <c r="S1827" s="42" t="str">
        <f>IFERROR(__xludf.DUMMYFUNCTION("""COMPUTED_VALUE"""),"IGm;
IGp;
IGd")</f>
        <v>IGm;
IGp;
IGd</v>
      </c>
      <c r="T1827" s="42"/>
      <c r="U1827" s="42" t="b">
        <f>IFERROR(__xludf.DUMMYFUNCTION("""COMPUTED_VALUE"""),FALSE)</f>
        <v>0</v>
      </c>
      <c r="V1827" s="42"/>
      <c r="W1827" s="42"/>
      <c r="X1827" s="42"/>
      <c r="Y1827" s="42"/>
      <c r="Z1827" s="42"/>
      <c r="AA1827" s="42"/>
      <c r="AB1827" s="42" t="str">
        <f>IFERROR(__xludf.DUMMYFUNCTION("""COMPUTED_VALUE"""),"allen institute")</f>
        <v>allen institute</v>
      </c>
      <c r="AC1827" s="42" t="str">
        <f>IFERROR(__xludf.DUMMYFUNCTION("""COMPUTED_VALUE"""),"DHBA")</f>
        <v>DHBA</v>
      </c>
      <c r="AD1827" s="42"/>
      <c r="AE1827" s="42"/>
      <c r="AF1827" s="9"/>
      <c r="AG1827" s="9"/>
      <c r="AH1827" s="42"/>
      <c r="AI1827" s="42"/>
      <c r="AJ1827" s="42"/>
      <c r="AK1827" s="42"/>
      <c r="AL1827" s="42"/>
      <c r="AM1827" s="42"/>
      <c r="AN1827" s="42"/>
      <c r="AO1827" s="63" t="str">
        <f>IFERROR(__xludf.DUMMYFUNCTION("IF(ISBLANK(A1827),,IF(ISBLANK(S1827), A1827&amp;"";"", TEXTJOIN(CHAR(10), TRUE, A1827&amp;"";"", ARRAYFORMULA(VLOOKUP(SPLIT(S1827, "";"" &amp; CHAR(10)), $A:$AO, 41, FALSE)))))"),"IG;
IGm;
IGp;
IGd;")</f>
        <v>IG;
IGm;
IGp;
IGd;</v>
      </c>
      <c r="AP1827" s="89"/>
    </row>
    <row r="1828">
      <c r="A1828" s="151" t="str">
        <f>IFERROR(__xludf.DUMMYFUNCTION("""COMPUTED_VALUE"""),"IGm")</f>
        <v>IGm</v>
      </c>
      <c r="B1828" s="42" t="str">
        <f>IFERROR(__xludf.DUMMYFUNCTION("""COMPUTED_VALUE"""),"DHBA")</f>
        <v>DHBA</v>
      </c>
      <c r="C1828" s="42" t="str">
        <f>IFERROR(__xludf.DUMMYFUNCTION("""COMPUTED_VALUE"""),"marginal layer of IG")</f>
        <v>marginal layer of IG</v>
      </c>
      <c r="D1828" s="42">
        <f>IFERROR(__xludf.DUMMYFUNCTION("""COMPUTED_VALUE"""),1724.0)</f>
        <v>1724</v>
      </c>
      <c r="E1828" s="39" t="str">
        <f>IFERROR(__xludf.DUMMYFUNCTION("""COMPUTED_VALUE"""),"marginal layer of IG")</f>
        <v>marginal layer of IG</v>
      </c>
      <c r="F1828" s="9" t="str">
        <f>IFERROR(__xludf.DUMMYFUNCTION("""COMPUTED_VALUE"""),"Br")</f>
        <v>Br</v>
      </c>
      <c r="G1828" s="9" t="str">
        <f>IFERROR(__xludf.DUMMYFUNCTION("""COMPUTED_VALUE"""),"F")</f>
        <v>F</v>
      </c>
      <c r="H1828" s="9" t="str">
        <f>IFERROR(__xludf.DUMMYFUNCTION("""COMPUTED_VALUE"""),"FGM")</f>
        <v>FGM</v>
      </c>
      <c r="I1828" s="9" t="str">
        <f>IFERROR(__xludf.DUMMYFUNCTION("""COMPUTED_VALUE"""),"Tel")</f>
        <v>Tel</v>
      </c>
      <c r="J1828" s="9" t="str">
        <f>IFERROR(__xludf.DUMMYFUNCTION("""COMPUTED_VALUE"""),"Cx")</f>
        <v>Cx</v>
      </c>
      <c r="K1828" s="9" t="str">
        <f>IFERROR(__xludf.DUMMYFUNCTION("""COMPUTED_VALUE"""),"ACx")</f>
        <v>ACx</v>
      </c>
      <c r="L1828" s="9" t="str">
        <f>IFERROR(__xludf.DUMMYFUNCTION("""COMPUTED_VALUE"""),"ArCx")</f>
        <v>ArCx</v>
      </c>
      <c r="M1828" s="9" t="str">
        <f>IFERROR(__xludf.DUMMYFUNCTION("""COMPUTED_VALUE"""),"IG")</f>
        <v>IG</v>
      </c>
      <c r="N1828" s="9" t="str">
        <f>IFERROR(__xludf.DUMMYFUNCTION("""COMPUTED_VALUE"""),"IGm")</f>
        <v>IGm</v>
      </c>
      <c r="O1828" s="9"/>
      <c r="P1828" s="9"/>
      <c r="Q1828" s="9"/>
      <c r="R1828" s="9"/>
      <c r="S1828" s="42"/>
      <c r="T1828" s="42"/>
      <c r="U1828" s="42"/>
      <c r="V1828" s="42"/>
      <c r="W1828" s="42"/>
      <c r="X1828" s="42"/>
      <c r="Y1828" s="42"/>
      <c r="Z1828" s="42"/>
      <c r="AA1828" s="42"/>
      <c r="AB1828" s="42" t="str">
        <f>IFERROR(__xludf.DUMMYFUNCTION("""COMPUTED_VALUE"""),"allen institute")</f>
        <v>allen institute</v>
      </c>
      <c r="AC1828" s="42" t="str">
        <f>IFERROR(__xludf.DUMMYFUNCTION("""COMPUTED_VALUE"""),"DHBA")</f>
        <v>DHBA</v>
      </c>
      <c r="AD1828" s="42"/>
      <c r="AE1828" s="42"/>
      <c r="AF1828" s="9"/>
      <c r="AG1828" s="9"/>
      <c r="AH1828" s="42"/>
      <c r="AI1828" s="42"/>
      <c r="AJ1828" s="42"/>
      <c r="AK1828" s="42"/>
      <c r="AL1828" s="42"/>
      <c r="AM1828" s="42"/>
      <c r="AN1828" s="42"/>
      <c r="AO1828" s="63" t="str">
        <f>IFERROR(__xludf.DUMMYFUNCTION("IF(ISBLANK(A1828),,IF(ISBLANK(S1828), A1828&amp;"";"", TEXTJOIN(CHAR(10), TRUE, A1828&amp;"";"", ARRAYFORMULA(VLOOKUP(SPLIT(S1828, "";"" &amp; CHAR(10)), $A:$AO, 41, FALSE)))))"),"IGm;")</f>
        <v>IGm;</v>
      </c>
      <c r="AP1828" s="89"/>
    </row>
    <row r="1829">
      <c r="A1829" s="151" t="str">
        <f>IFERROR(__xludf.DUMMYFUNCTION("""COMPUTED_VALUE"""),"IGp")</f>
        <v>IGp</v>
      </c>
      <c r="B1829" s="42" t="str">
        <f>IFERROR(__xludf.DUMMYFUNCTION("""COMPUTED_VALUE"""),"DHBA")</f>
        <v>DHBA</v>
      </c>
      <c r="C1829" s="42" t="str">
        <f>IFERROR(__xludf.DUMMYFUNCTION("""COMPUTED_VALUE"""),"principal layer of IG")</f>
        <v>principal layer of IG</v>
      </c>
      <c r="D1829" s="42">
        <f>IFERROR(__xludf.DUMMYFUNCTION("""COMPUTED_VALUE"""),1725.0)</f>
        <v>1725</v>
      </c>
      <c r="E1829" s="39" t="str">
        <f>IFERROR(__xludf.DUMMYFUNCTION("""COMPUTED_VALUE"""),"principal layer of IG")</f>
        <v>principal layer of IG</v>
      </c>
      <c r="F1829" s="9" t="str">
        <f>IFERROR(__xludf.DUMMYFUNCTION("""COMPUTED_VALUE"""),"Br")</f>
        <v>Br</v>
      </c>
      <c r="G1829" s="9" t="str">
        <f>IFERROR(__xludf.DUMMYFUNCTION("""COMPUTED_VALUE"""),"F")</f>
        <v>F</v>
      </c>
      <c r="H1829" s="9" t="str">
        <f>IFERROR(__xludf.DUMMYFUNCTION("""COMPUTED_VALUE"""),"FGM")</f>
        <v>FGM</v>
      </c>
      <c r="I1829" s="9" t="str">
        <f>IFERROR(__xludf.DUMMYFUNCTION("""COMPUTED_VALUE"""),"Tel")</f>
        <v>Tel</v>
      </c>
      <c r="J1829" s="9" t="str">
        <f>IFERROR(__xludf.DUMMYFUNCTION("""COMPUTED_VALUE"""),"Cx")</f>
        <v>Cx</v>
      </c>
      <c r="K1829" s="9" t="str">
        <f>IFERROR(__xludf.DUMMYFUNCTION("""COMPUTED_VALUE"""),"ACx")</f>
        <v>ACx</v>
      </c>
      <c r="L1829" s="9" t="str">
        <f>IFERROR(__xludf.DUMMYFUNCTION("""COMPUTED_VALUE"""),"ArCx")</f>
        <v>ArCx</v>
      </c>
      <c r="M1829" s="9" t="str">
        <f>IFERROR(__xludf.DUMMYFUNCTION("""COMPUTED_VALUE"""),"IG")</f>
        <v>IG</v>
      </c>
      <c r="N1829" s="9" t="str">
        <f>IFERROR(__xludf.DUMMYFUNCTION("""COMPUTED_VALUE"""),"IGp")</f>
        <v>IGp</v>
      </c>
      <c r="O1829" s="9"/>
      <c r="P1829" s="9"/>
      <c r="Q1829" s="9"/>
      <c r="R1829" s="9"/>
      <c r="S1829" s="42"/>
      <c r="T1829" s="42"/>
      <c r="U1829" s="42"/>
      <c r="V1829" s="42"/>
      <c r="W1829" s="42"/>
      <c r="X1829" s="42"/>
      <c r="Y1829" s="42"/>
      <c r="Z1829" s="42"/>
      <c r="AA1829" s="42"/>
      <c r="AB1829" s="42" t="str">
        <f>IFERROR(__xludf.DUMMYFUNCTION("""COMPUTED_VALUE"""),"allen institute")</f>
        <v>allen institute</v>
      </c>
      <c r="AC1829" s="42" t="str">
        <f>IFERROR(__xludf.DUMMYFUNCTION("""COMPUTED_VALUE"""),"DHBA")</f>
        <v>DHBA</v>
      </c>
      <c r="AD1829" s="42"/>
      <c r="AE1829" s="42"/>
      <c r="AF1829" s="9"/>
      <c r="AG1829" s="9"/>
      <c r="AH1829" s="42"/>
      <c r="AI1829" s="42"/>
      <c r="AJ1829" s="42"/>
      <c r="AK1829" s="42"/>
      <c r="AL1829" s="42"/>
      <c r="AM1829" s="42"/>
      <c r="AN1829" s="42"/>
      <c r="AO1829" s="63" t="str">
        <f>IFERROR(__xludf.DUMMYFUNCTION("IF(ISBLANK(A1829),,IF(ISBLANK(S1829), A1829&amp;"";"", TEXTJOIN(CHAR(10), TRUE, A1829&amp;"";"", ARRAYFORMULA(VLOOKUP(SPLIT(S1829, "";"" &amp; CHAR(10)), $A:$AO, 41, FALSE)))))"),"IGp;")</f>
        <v>IGp;</v>
      </c>
      <c r="AP1829" s="89"/>
    </row>
    <row r="1830">
      <c r="A1830" s="151" t="str">
        <f>IFERROR(__xludf.DUMMYFUNCTION("""COMPUTED_VALUE"""),"IGd")</f>
        <v>IGd</v>
      </c>
      <c r="B1830" s="42" t="str">
        <f>IFERROR(__xludf.DUMMYFUNCTION("""COMPUTED_VALUE"""),"DHBA")</f>
        <v>DHBA</v>
      </c>
      <c r="C1830" s="42" t="str">
        <f>IFERROR(__xludf.DUMMYFUNCTION("""COMPUTED_VALUE"""),"deep (subplate) layer of IG")</f>
        <v>deep (subplate) layer of IG</v>
      </c>
      <c r="D1830" s="42">
        <f>IFERROR(__xludf.DUMMYFUNCTION("""COMPUTED_VALUE"""),1726.0)</f>
        <v>1726</v>
      </c>
      <c r="E1830" s="39" t="str">
        <f>IFERROR(__xludf.DUMMYFUNCTION("""COMPUTED_VALUE"""),"deep (subplate) layer of IG")</f>
        <v>deep (subplate) layer of IG</v>
      </c>
      <c r="F1830" s="9" t="str">
        <f>IFERROR(__xludf.DUMMYFUNCTION("""COMPUTED_VALUE"""),"Br")</f>
        <v>Br</v>
      </c>
      <c r="G1830" s="9" t="str">
        <f>IFERROR(__xludf.DUMMYFUNCTION("""COMPUTED_VALUE"""),"F")</f>
        <v>F</v>
      </c>
      <c r="H1830" s="9" t="str">
        <f>IFERROR(__xludf.DUMMYFUNCTION("""COMPUTED_VALUE"""),"FGM")</f>
        <v>FGM</v>
      </c>
      <c r="I1830" s="9" t="str">
        <f>IFERROR(__xludf.DUMMYFUNCTION("""COMPUTED_VALUE"""),"Tel")</f>
        <v>Tel</v>
      </c>
      <c r="J1830" s="9" t="str">
        <f>IFERROR(__xludf.DUMMYFUNCTION("""COMPUTED_VALUE"""),"Cx")</f>
        <v>Cx</v>
      </c>
      <c r="K1830" s="9" t="str">
        <f>IFERROR(__xludf.DUMMYFUNCTION("""COMPUTED_VALUE"""),"ACx")</f>
        <v>ACx</v>
      </c>
      <c r="L1830" s="9" t="str">
        <f>IFERROR(__xludf.DUMMYFUNCTION("""COMPUTED_VALUE"""),"ArCx")</f>
        <v>ArCx</v>
      </c>
      <c r="M1830" s="9" t="str">
        <f>IFERROR(__xludf.DUMMYFUNCTION("""COMPUTED_VALUE"""),"IG")</f>
        <v>IG</v>
      </c>
      <c r="N1830" s="9" t="str">
        <f>IFERROR(__xludf.DUMMYFUNCTION("""COMPUTED_VALUE"""),"IGd")</f>
        <v>IGd</v>
      </c>
      <c r="O1830" s="9"/>
      <c r="P1830" s="9"/>
      <c r="Q1830" s="9"/>
      <c r="R1830" s="9"/>
      <c r="S1830" s="42"/>
      <c r="T1830" s="42"/>
      <c r="U1830" s="42"/>
      <c r="V1830" s="42"/>
      <c r="W1830" s="42"/>
      <c r="X1830" s="42"/>
      <c r="Y1830" s="42"/>
      <c r="Z1830" s="42"/>
      <c r="AA1830" s="42"/>
      <c r="AB1830" s="42" t="str">
        <f>IFERROR(__xludf.DUMMYFUNCTION("""COMPUTED_VALUE"""),"allen institute")</f>
        <v>allen institute</v>
      </c>
      <c r="AC1830" s="42" t="str">
        <f>IFERROR(__xludf.DUMMYFUNCTION("""COMPUTED_VALUE"""),"DHBA")</f>
        <v>DHBA</v>
      </c>
      <c r="AD1830" s="42"/>
      <c r="AE1830" s="42"/>
      <c r="AF1830" s="9"/>
      <c r="AG1830" s="9"/>
      <c r="AH1830" s="42"/>
      <c r="AI1830" s="42"/>
      <c r="AJ1830" s="42"/>
      <c r="AK1830" s="42"/>
      <c r="AL1830" s="42"/>
      <c r="AM1830" s="42"/>
      <c r="AN1830" s="42"/>
      <c r="AO1830" s="63" t="str">
        <f>IFERROR(__xludf.DUMMYFUNCTION("IF(ISBLANK(A1830),,IF(ISBLANK(S1830), A1830&amp;"";"", TEXTJOIN(CHAR(10), TRUE, A1830&amp;"";"", ARRAYFORMULA(VLOOKUP(SPLIT(S1830, "";"" &amp; CHAR(10)), $A:$AO, 41, FALSE)))))"),"IGd;")</f>
        <v>IGd;</v>
      </c>
      <c r="AP1830" s="89"/>
    </row>
    <row r="1831">
      <c r="A1831" s="151" t="str">
        <f>IFERROR(__xludf.DUMMYFUNCTION("""COMPUTED_VALUE"""),"TT")</f>
        <v>TT</v>
      </c>
      <c r="B1831" s="42" t="str">
        <f>IFERROR(__xludf.DUMMYFUNCTION("""COMPUTED_VALUE"""),"DHBA")</f>
        <v>DHBA</v>
      </c>
      <c r="C1831" s="42" t="str">
        <f>IFERROR(__xludf.DUMMYFUNCTION("""COMPUTED_VALUE"""),"taenia tectum")</f>
        <v>taenia tectum</v>
      </c>
      <c r="D1831" s="42">
        <f>IFERROR(__xludf.DUMMYFUNCTION("""COMPUTED_VALUE"""),1727.0)</f>
        <v>1727</v>
      </c>
      <c r="E1831" s="39" t="str">
        <f>IFERROR(__xludf.DUMMYFUNCTION("""COMPUTED_VALUE"""),"taenia tectum")</f>
        <v>taenia tectum</v>
      </c>
      <c r="F1831" s="9" t="str">
        <f>IFERROR(__xludf.DUMMYFUNCTION("""COMPUTED_VALUE"""),"Br")</f>
        <v>Br</v>
      </c>
      <c r="G1831" s="9" t="str">
        <f>IFERROR(__xludf.DUMMYFUNCTION("""COMPUTED_VALUE"""),"F")</f>
        <v>F</v>
      </c>
      <c r="H1831" s="9" t="str">
        <f>IFERROR(__xludf.DUMMYFUNCTION("""COMPUTED_VALUE"""),"FGM")</f>
        <v>FGM</v>
      </c>
      <c r="I1831" s="9" t="str">
        <f>IFERROR(__xludf.DUMMYFUNCTION("""COMPUTED_VALUE"""),"Tel")</f>
        <v>Tel</v>
      </c>
      <c r="J1831" s="9" t="str">
        <f>IFERROR(__xludf.DUMMYFUNCTION("""COMPUTED_VALUE"""),"Cx")</f>
        <v>Cx</v>
      </c>
      <c r="K1831" s="9" t="str">
        <f>IFERROR(__xludf.DUMMYFUNCTION("""COMPUTED_VALUE"""),"ACx")</f>
        <v>ACx</v>
      </c>
      <c r="L1831" s="9" t="str">
        <f>IFERROR(__xludf.DUMMYFUNCTION("""COMPUTED_VALUE"""),"ArCx")</f>
        <v>ArCx</v>
      </c>
      <c r="M1831" s="9" t="str">
        <f>IFERROR(__xludf.DUMMYFUNCTION("""COMPUTED_VALUE"""),"TT")</f>
        <v>TT</v>
      </c>
      <c r="N1831" s="9"/>
      <c r="O1831" s="9"/>
      <c r="P1831" s="9"/>
      <c r="Q1831" s="9"/>
      <c r="R1831" s="9"/>
      <c r="S1831" s="42" t="str">
        <f>IFERROR(__xludf.DUMMYFUNCTION("""COMPUTED_VALUE"""),"TTm;
TTp;
TTd")</f>
        <v>TTm;
TTp;
TTd</v>
      </c>
      <c r="T1831" s="42"/>
      <c r="U1831" s="42" t="b">
        <f>IFERROR(__xludf.DUMMYFUNCTION("""COMPUTED_VALUE"""),FALSE)</f>
        <v>0</v>
      </c>
      <c r="V1831" s="42"/>
      <c r="W1831" s="42"/>
      <c r="X1831" s="42"/>
      <c r="Y1831" s="42"/>
      <c r="Z1831" s="42"/>
      <c r="AA1831" s="42"/>
      <c r="AB1831" s="42" t="str">
        <f>IFERROR(__xludf.DUMMYFUNCTION("""COMPUTED_VALUE"""),"allen institute")</f>
        <v>allen institute</v>
      </c>
      <c r="AC1831" s="42" t="str">
        <f>IFERROR(__xludf.DUMMYFUNCTION("""COMPUTED_VALUE"""),"DHBA")</f>
        <v>DHBA</v>
      </c>
      <c r="AD1831" s="42"/>
      <c r="AE1831" s="42"/>
      <c r="AF1831" s="9"/>
      <c r="AG1831" s="9"/>
      <c r="AH1831" s="42"/>
      <c r="AI1831" s="42"/>
      <c r="AJ1831" s="42"/>
      <c r="AK1831" s="42"/>
      <c r="AL1831" s="42"/>
      <c r="AM1831" s="42"/>
      <c r="AN1831" s="42"/>
      <c r="AO1831" s="63" t="str">
        <f>IFERROR(__xludf.DUMMYFUNCTION("IF(ISBLANK(A1831),,IF(ISBLANK(S1831), A1831&amp;"";"", TEXTJOIN(CHAR(10), TRUE, A1831&amp;"";"", ARRAYFORMULA(VLOOKUP(SPLIT(S1831, "";"" &amp; CHAR(10)), $A:$AO, 41, FALSE)))))"),"TT;
TTm;
TTp;
TTd;")</f>
        <v>TT;
TTm;
TTp;
TTd;</v>
      </c>
      <c r="AP1831" s="89"/>
    </row>
    <row r="1832">
      <c r="A1832" s="151" t="str">
        <f>IFERROR(__xludf.DUMMYFUNCTION("""COMPUTED_VALUE"""),"TTm")</f>
        <v>TTm</v>
      </c>
      <c r="B1832" s="42" t="str">
        <f>IFERROR(__xludf.DUMMYFUNCTION("""COMPUTED_VALUE"""),"DHBA")</f>
        <v>DHBA</v>
      </c>
      <c r="C1832" s="42" t="str">
        <f>IFERROR(__xludf.DUMMYFUNCTION("""COMPUTED_VALUE"""),"marginal layer of TT")</f>
        <v>marginal layer of TT</v>
      </c>
      <c r="D1832" s="42">
        <f>IFERROR(__xludf.DUMMYFUNCTION("""COMPUTED_VALUE"""),1728.0)</f>
        <v>1728</v>
      </c>
      <c r="E1832" s="39" t="str">
        <f>IFERROR(__xludf.DUMMYFUNCTION("""COMPUTED_VALUE"""),"marginal layer of TT")</f>
        <v>marginal layer of TT</v>
      </c>
      <c r="F1832" s="9" t="str">
        <f>IFERROR(__xludf.DUMMYFUNCTION("""COMPUTED_VALUE"""),"Br")</f>
        <v>Br</v>
      </c>
      <c r="G1832" s="9" t="str">
        <f>IFERROR(__xludf.DUMMYFUNCTION("""COMPUTED_VALUE"""),"F")</f>
        <v>F</v>
      </c>
      <c r="H1832" s="9" t="str">
        <f>IFERROR(__xludf.DUMMYFUNCTION("""COMPUTED_VALUE"""),"FGM")</f>
        <v>FGM</v>
      </c>
      <c r="I1832" s="9" t="str">
        <f>IFERROR(__xludf.DUMMYFUNCTION("""COMPUTED_VALUE"""),"Tel")</f>
        <v>Tel</v>
      </c>
      <c r="J1832" s="9" t="str">
        <f>IFERROR(__xludf.DUMMYFUNCTION("""COMPUTED_VALUE"""),"Cx")</f>
        <v>Cx</v>
      </c>
      <c r="K1832" s="9" t="str">
        <f>IFERROR(__xludf.DUMMYFUNCTION("""COMPUTED_VALUE"""),"ACx")</f>
        <v>ACx</v>
      </c>
      <c r="L1832" s="9" t="str">
        <f>IFERROR(__xludf.DUMMYFUNCTION("""COMPUTED_VALUE"""),"ArCx")</f>
        <v>ArCx</v>
      </c>
      <c r="M1832" s="9" t="str">
        <f>IFERROR(__xludf.DUMMYFUNCTION("""COMPUTED_VALUE"""),"TT")</f>
        <v>TT</v>
      </c>
      <c r="N1832" s="9" t="str">
        <f>IFERROR(__xludf.DUMMYFUNCTION("""COMPUTED_VALUE"""),"TTm")</f>
        <v>TTm</v>
      </c>
      <c r="O1832" s="9"/>
      <c r="P1832" s="9"/>
      <c r="Q1832" s="9"/>
      <c r="R1832" s="9"/>
      <c r="S1832" s="42"/>
      <c r="T1832" s="42"/>
      <c r="U1832" s="42"/>
      <c r="V1832" s="42"/>
      <c r="W1832" s="42"/>
      <c r="X1832" s="42"/>
      <c r="Y1832" s="42"/>
      <c r="Z1832" s="42"/>
      <c r="AA1832" s="42"/>
      <c r="AB1832" s="42" t="str">
        <f>IFERROR(__xludf.DUMMYFUNCTION("""COMPUTED_VALUE"""),"allen institute")</f>
        <v>allen institute</v>
      </c>
      <c r="AC1832" s="42" t="str">
        <f>IFERROR(__xludf.DUMMYFUNCTION("""COMPUTED_VALUE"""),"DHBA")</f>
        <v>DHBA</v>
      </c>
      <c r="AD1832" s="42"/>
      <c r="AE1832" s="42"/>
      <c r="AF1832" s="9"/>
      <c r="AG1832" s="9"/>
      <c r="AH1832" s="42"/>
      <c r="AI1832" s="42"/>
      <c r="AJ1832" s="42"/>
      <c r="AK1832" s="42"/>
      <c r="AL1832" s="42"/>
      <c r="AM1832" s="42"/>
      <c r="AN1832" s="42"/>
      <c r="AO1832" s="63" t="str">
        <f>IFERROR(__xludf.DUMMYFUNCTION("IF(ISBLANK(A1832),,IF(ISBLANK(S1832), A1832&amp;"";"", TEXTJOIN(CHAR(10), TRUE, A1832&amp;"";"", ARRAYFORMULA(VLOOKUP(SPLIT(S1832, "";"" &amp; CHAR(10)), $A:$AO, 41, FALSE)))))"),"TTm;")</f>
        <v>TTm;</v>
      </c>
      <c r="AP1832" s="89"/>
    </row>
    <row r="1833">
      <c r="A1833" s="151" t="str">
        <f>IFERROR(__xludf.DUMMYFUNCTION("""COMPUTED_VALUE"""),"TTp")</f>
        <v>TTp</v>
      </c>
      <c r="B1833" s="42" t="str">
        <f>IFERROR(__xludf.DUMMYFUNCTION("""COMPUTED_VALUE"""),"DHBA")</f>
        <v>DHBA</v>
      </c>
      <c r="C1833" s="42" t="str">
        <f>IFERROR(__xludf.DUMMYFUNCTION("""COMPUTED_VALUE"""),"principal layer of TT")</f>
        <v>principal layer of TT</v>
      </c>
      <c r="D1833" s="42">
        <f>IFERROR(__xludf.DUMMYFUNCTION("""COMPUTED_VALUE"""),1729.0)</f>
        <v>1729</v>
      </c>
      <c r="E1833" s="39" t="str">
        <f>IFERROR(__xludf.DUMMYFUNCTION("""COMPUTED_VALUE"""),"principal layer of TT")</f>
        <v>principal layer of TT</v>
      </c>
      <c r="F1833" s="9" t="str">
        <f>IFERROR(__xludf.DUMMYFUNCTION("""COMPUTED_VALUE"""),"Br")</f>
        <v>Br</v>
      </c>
      <c r="G1833" s="9" t="str">
        <f>IFERROR(__xludf.DUMMYFUNCTION("""COMPUTED_VALUE"""),"F")</f>
        <v>F</v>
      </c>
      <c r="H1833" s="9" t="str">
        <f>IFERROR(__xludf.DUMMYFUNCTION("""COMPUTED_VALUE"""),"FGM")</f>
        <v>FGM</v>
      </c>
      <c r="I1833" s="9" t="str">
        <f>IFERROR(__xludf.DUMMYFUNCTION("""COMPUTED_VALUE"""),"Tel")</f>
        <v>Tel</v>
      </c>
      <c r="J1833" s="9" t="str">
        <f>IFERROR(__xludf.DUMMYFUNCTION("""COMPUTED_VALUE"""),"Cx")</f>
        <v>Cx</v>
      </c>
      <c r="K1833" s="9" t="str">
        <f>IFERROR(__xludf.DUMMYFUNCTION("""COMPUTED_VALUE"""),"ACx")</f>
        <v>ACx</v>
      </c>
      <c r="L1833" s="9" t="str">
        <f>IFERROR(__xludf.DUMMYFUNCTION("""COMPUTED_VALUE"""),"ArCx")</f>
        <v>ArCx</v>
      </c>
      <c r="M1833" s="9" t="str">
        <f>IFERROR(__xludf.DUMMYFUNCTION("""COMPUTED_VALUE"""),"TT")</f>
        <v>TT</v>
      </c>
      <c r="N1833" s="9" t="str">
        <f>IFERROR(__xludf.DUMMYFUNCTION("""COMPUTED_VALUE"""),"TTp")</f>
        <v>TTp</v>
      </c>
      <c r="O1833" s="9"/>
      <c r="P1833" s="9"/>
      <c r="Q1833" s="9"/>
      <c r="R1833" s="9"/>
      <c r="S1833" s="42"/>
      <c r="T1833" s="42"/>
      <c r="U1833" s="42"/>
      <c r="V1833" s="42"/>
      <c r="W1833" s="42"/>
      <c r="X1833" s="42"/>
      <c r="Y1833" s="42"/>
      <c r="Z1833" s="42"/>
      <c r="AA1833" s="42"/>
      <c r="AB1833" s="42" t="str">
        <f>IFERROR(__xludf.DUMMYFUNCTION("""COMPUTED_VALUE"""),"allen institute")</f>
        <v>allen institute</v>
      </c>
      <c r="AC1833" s="42" t="str">
        <f>IFERROR(__xludf.DUMMYFUNCTION("""COMPUTED_VALUE"""),"DHBA")</f>
        <v>DHBA</v>
      </c>
      <c r="AD1833" s="42"/>
      <c r="AE1833" s="42"/>
      <c r="AF1833" s="9"/>
      <c r="AG1833" s="9"/>
      <c r="AH1833" s="42"/>
      <c r="AI1833" s="42"/>
      <c r="AJ1833" s="42"/>
      <c r="AK1833" s="42"/>
      <c r="AL1833" s="42"/>
      <c r="AM1833" s="42"/>
      <c r="AN1833" s="42"/>
      <c r="AO1833" s="63" t="str">
        <f>IFERROR(__xludf.DUMMYFUNCTION("IF(ISBLANK(A1833),,IF(ISBLANK(S1833), A1833&amp;"";"", TEXTJOIN(CHAR(10), TRUE, A1833&amp;"";"", ARRAYFORMULA(VLOOKUP(SPLIT(S1833, "";"" &amp; CHAR(10)), $A:$AO, 41, FALSE)))))"),"TTp;")</f>
        <v>TTp;</v>
      </c>
      <c r="AP1833" s="89"/>
    </row>
    <row r="1834">
      <c r="A1834" s="151" t="str">
        <f>IFERROR(__xludf.DUMMYFUNCTION("""COMPUTED_VALUE"""),"TTd")</f>
        <v>TTd</v>
      </c>
      <c r="B1834" s="42" t="str">
        <f>IFERROR(__xludf.DUMMYFUNCTION("""COMPUTED_VALUE"""),"DHBA")</f>
        <v>DHBA</v>
      </c>
      <c r="C1834" s="42" t="str">
        <f>IFERROR(__xludf.DUMMYFUNCTION("""COMPUTED_VALUE"""),"deep (subplate) layer of TT")</f>
        <v>deep (subplate) layer of TT</v>
      </c>
      <c r="D1834" s="42">
        <f>IFERROR(__xludf.DUMMYFUNCTION("""COMPUTED_VALUE"""),1730.0)</f>
        <v>1730</v>
      </c>
      <c r="E1834" s="39" t="str">
        <f>IFERROR(__xludf.DUMMYFUNCTION("""COMPUTED_VALUE"""),"deep (subplate) layer of TT")</f>
        <v>deep (subplate) layer of TT</v>
      </c>
      <c r="F1834" s="9" t="str">
        <f>IFERROR(__xludf.DUMMYFUNCTION("""COMPUTED_VALUE"""),"Br")</f>
        <v>Br</v>
      </c>
      <c r="G1834" s="9" t="str">
        <f>IFERROR(__xludf.DUMMYFUNCTION("""COMPUTED_VALUE"""),"F")</f>
        <v>F</v>
      </c>
      <c r="H1834" s="9" t="str">
        <f>IFERROR(__xludf.DUMMYFUNCTION("""COMPUTED_VALUE"""),"FGM")</f>
        <v>FGM</v>
      </c>
      <c r="I1834" s="9" t="str">
        <f>IFERROR(__xludf.DUMMYFUNCTION("""COMPUTED_VALUE"""),"Tel")</f>
        <v>Tel</v>
      </c>
      <c r="J1834" s="9" t="str">
        <f>IFERROR(__xludf.DUMMYFUNCTION("""COMPUTED_VALUE"""),"Cx")</f>
        <v>Cx</v>
      </c>
      <c r="K1834" s="9" t="str">
        <f>IFERROR(__xludf.DUMMYFUNCTION("""COMPUTED_VALUE"""),"ACx")</f>
        <v>ACx</v>
      </c>
      <c r="L1834" s="9" t="str">
        <f>IFERROR(__xludf.DUMMYFUNCTION("""COMPUTED_VALUE"""),"ArCx")</f>
        <v>ArCx</v>
      </c>
      <c r="M1834" s="9" t="str">
        <f>IFERROR(__xludf.DUMMYFUNCTION("""COMPUTED_VALUE"""),"TT")</f>
        <v>TT</v>
      </c>
      <c r="N1834" s="9" t="str">
        <f>IFERROR(__xludf.DUMMYFUNCTION("""COMPUTED_VALUE"""),"TTd")</f>
        <v>TTd</v>
      </c>
      <c r="O1834" s="9"/>
      <c r="P1834" s="9"/>
      <c r="Q1834" s="9"/>
      <c r="R1834" s="9"/>
      <c r="S1834" s="42"/>
      <c r="T1834" s="42"/>
      <c r="U1834" s="42"/>
      <c r="V1834" s="42"/>
      <c r="W1834" s="42"/>
      <c r="X1834" s="42"/>
      <c r="Y1834" s="42"/>
      <c r="Z1834" s="42"/>
      <c r="AA1834" s="42"/>
      <c r="AB1834" s="42" t="str">
        <f>IFERROR(__xludf.DUMMYFUNCTION("""COMPUTED_VALUE"""),"allen institute")</f>
        <v>allen institute</v>
      </c>
      <c r="AC1834" s="42" t="str">
        <f>IFERROR(__xludf.DUMMYFUNCTION("""COMPUTED_VALUE"""),"DHBA")</f>
        <v>DHBA</v>
      </c>
      <c r="AD1834" s="42"/>
      <c r="AE1834" s="42"/>
      <c r="AF1834" s="9"/>
      <c r="AG1834" s="9"/>
      <c r="AH1834" s="42"/>
      <c r="AI1834" s="42"/>
      <c r="AJ1834" s="42"/>
      <c r="AK1834" s="42"/>
      <c r="AL1834" s="42"/>
      <c r="AM1834" s="42"/>
      <c r="AN1834" s="42"/>
      <c r="AO1834" s="63" t="str">
        <f>IFERROR(__xludf.DUMMYFUNCTION("IF(ISBLANK(A1834),,IF(ISBLANK(S1834), A1834&amp;"";"", TEXTJOIN(CHAR(10), TRUE, A1834&amp;"";"", ARRAYFORMULA(VLOOKUP(SPLIT(S1834, "";"" &amp; CHAR(10)), $A:$AO, 41, FALSE)))))"),"TTd;")</f>
        <v>TTd;</v>
      </c>
      <c r="AP1834" s="89"/>
    </row>
    <row r="1835">
      <c r="A1835" s="151" t="str">
        <f>IFERROR(__xludf.DUMMYFUNCTION("""COMPUTED_VALUE"""),"PalCx")</f>
        <v>PalCx</v>
      </c>
      <c r="B1835" s="42" t="str">
        <f>IFERROR(__xludf.DUMMYFUNCTION("""COMPUTED_VALUE"""),"DHBA")</f>
        <v>DHBA</v>
      </c>
      <c r="C1835" s="42" t="str">
        <f>IFERROR(__xludf.DUMMYFUNCTION("""COMPUTED_VALUE"""),"paleocortex (semicortex)")</f>
        <v>paleocortex (semicortex)</v>
      </c>
      <c r="D1835" s="42">
        <f>IFERROR(__xludf.DUMMYFUNCTION("""COMPUTED_VALUE"""),1731.0)</f>
        <v>1731</v>
      </c>
      <c r="E1835" s="39" t="str">
        <f>IFERROR(__xludf.DUMMYFUNCTION("""COMPUTED_VALUE"""),"paleocortex (semicortex)")</f>
        <v>paleocortex (semicortex)</v>
      </c>
      <c r="F1835" s="9" t="str">
        <f>IFERROR(__xludf.DUMMYFUNCTION("""COMPUTED_VALUE"""),"Br")</f>
        <v>Br</v>
      </c>
      <c r="G1835" s="9" t="str">
        <f>IFERROR(__xludf.DUMMYFUNCTION("""COMPUTED_VALUE"""),"F")</f>
        <v>F</v>
      </c>
      <c r="H1835" s="9" t="str">
        <f>IFERROR(__xludf.DUMMYFUNCTION("""COMPUTED_VALUE"""),"FGM")</f>
        <v>FGM</v>
      </c>
      <c r="I1835" s="9" t="str">
        <f>IFERROR(__xludf.DUMMYFUNCTION("""COMPUTED_VALUE"""),"Tel")</f>
        <v>Tel</v>
      </c>
      <c r="J1835" s="9" t="str">
        <f>IFERROR(__xludf.DUMMYFUNCTION("""COMPUTED_VALUE"""),"Cx")</f>
        <v>Cx</v>
      </c>
      <c r="K1835" s="9" t="str">
        <f>IFERROR(__xludf.DUMMYFUNCTION("""COMPUTED_VALUE"""),"ACx")</f>
        <v>ACx</v>
      </c>
      <c r="L1835" s="9" t="str">
        <f>IFERROR(__xludf.DUMMYFUNCTION("""COMPUTED_VALUE"""),"PalCx")</f>
        <v>PalCx</v>
      </c>
      <c r="M1835" s="9"/>
      <c r="N1835" s="9"/>
      <c r="O1835" s="9"/>
      <c r="P1835" s="9"/>
      <c r="Q1835" s="9"/>
      <c r="R1835" s="9"/>
      <c r="S1835" s="42" t="str">
        <f>IFERROR(__xludf.DUMMYFUNCTION("""COMPUTED_VALUE"""),"OB;
AON;
NLOT;
OT;
LOA;
Pir;
PEA")</f>
        <v>OB;
AON;
NLOT;
OT;
LOA;
Pir;
PEA</v>
      </c>
      <c r="T1835" s="42"/>
      <c r="U1835" s="42" t="b">
        <f>IFERROR(__xludf.DUMMYFUNCTION("""COMPUTED_VALUE"""),FALSE)</f>
        <v>0</v>
      </c>
      <c r="V1835" s="42"/>
      <c r="W1835" s="42"/>
      <c r="X1835" s="42"/>
      <c r="Y1835" s="42"/>
      <c r="Z1835" s="42"/>
      <c r="AA1835" s="42"/>
      <c r="AB1835" s="42" t="str">
        <f>IFERROR(__xludf.DUMMYFUNCTION("""COMPUTED_VALUE"""),"allen institute")</f>
        <v>allen institute</v>
      </c>
      <c r="AC1835" s="42" t="str">
        <f>IFERROR(__xludf.DUMMYFUNCTION("""COMPUTED_VALUE"""),"DHBA")</f>
        <v>DHBA</v>
      </c>
      <c r="AD1835" s="42"/>
      <c r="AE1835" s="42"/>
      <c r="AF1835" s="9"/>
      <c r="AG1835" s="9"/>
      <c r="AH1835" s="42"/>
      <c r="AI1835" s="42"/>
      <c r="AJ1835" s="42"/>
      <c r="AK1835" s="42"/>
      <c r="AL1835" s="42"/>
      <c r="AM1835" s="42"/>
      <c r="AN1835" s="42"/>
      <c r="AO1835" s="63" t="str">
        <f>IFERROR(__xludf.DUMMYFUNCTION("IF(ISBLANK(A1835),,IF(ISBLANK(S1835), A1835&amp;"";"", TEXTJOIN(CHAR(10), TRUE, A1835&amp;"";"", ARRAYFORMULA(VLOOKUP(SPLIT(S1835, "";"" &amp; CHAR(10)), $A:$AO, 41, FALSE)))))"),"PalCx;
OB;
OBonl;
OBglo;
OBopl;
OBmcl;
OBipl;
OBgcl;
AON;
NLOT;
OT;
OT1;
OT2;
OT3;
LOA;
LOA1;
LOA2;
LOA3;
LOAlc;
LOAdc;
Pir;
Pir1;
Pir2;
Pir3;
PEA;
PEA1;
PEA2;
PEA3;")</f>
        <v>PalCx;
OB;
OBonl;
OBglo;
OBopl;
OBmcl;
OBipl;
OBgcl;
AON;
NLOT;
OT;
OT1;
OT2;
OT3;
LOA;
LOA1;
LOA2;
LOA3;
LOAlc;
LOAdc;
Pir;
Pir1;
Pir2;
Pir3;
PEA;
PEA1;
PEA2;
PEA3;</v>
      </c>
      <c r="AP1835" s="89"/>
    </row>
    <row r="1836">
      <c r="A1836" s="151" t="str">
        <f>IFERROR(__xludf.DUMMYFUNCTION("""COMPUTED_VALUE"""),"OB")</f>
        <v>OB</v>
      </c>
      <c r="B1836" s="42" t="str">
        <f>IFERROR(__xludf.DUMMYFUNCTION("""COMPUTED_VALUE"""),"DHBA")</f>
        <v>DHBA</v>
      </c>
      <c r="C1836" s="42" t="str">
        <f>IFERROR(__xludf.DUMMYFUNCTION("""COMPUTED_VALUE"""),"Olfactory bulb")</f>
        <v>Olfactory bulb</v>
      </c>
      <c r="D1836" s="42">
        <f>IFERROR(__xludf.DUMMYFUNCTION("""COMPUTED_VALUE"""),1732.0)</f>
        <v>1732</v>
      </c>
      <c r="E1836" s="39" t="str">
        <f>IFERROR(__xludf.DUMMYFUNCTION("""COMPUTED_VALUE"""),"olfactory bulb")</f>
        <v>olfactory bulb</v>
      </c>
      <c r="F1836" s="9" t="str">
        <f>IFERROR(__xludf.DUMMYFUNCTION("""COMPUTED_VALUE"""),"Br")</f>
        <v>Br</v>
      </c>
      <c r="G1836" s="9" t="str">
        <f>IFERROR(__xludf.DUMMYFUNCTION("""COMPUTED_VALUE"""),"F")</f>
        <v>F</v>
      </c>
      <c r="H1836" s="9" t="str">
        <f>IFERROR(__xludf.DUMMYFUNCTION("""COMPUTED_VALUE"""),"FGM")</f>
        <v>FGM</v>
      </c>
      <c r="I1836" s="9" t="str">
        <f>IFERROR(__xludf.DUMMYFUNCTION("""COMPUTED_VALUE"""),"Tel")</f>
        <v>Tel</v>
      </c>
      <c r="J1836" s="9" t="str">
        <f>IFERROR(__xludf.DUMMYFUNCTION("""COMPUTED_VALUE"""),"Cx")</f>
        <v>Cx</v>
      </c>
      <c r="K1836" s="9" t="str">
        <f>IFERROR(__xludf.DUMMYFUNCTION("""COMPUTED_VALUE"""),"ACx")</f>
        <v>ACx</v>
      </c>
      <c r="L1836" s="9" t="str">
        <f>IFERROR(__xludf.DUMMYFUNCTION("""COMPUTED_VALUE"""),"PalCx")</f>
        <v>PalCx</v>
      </c>
      <c r="M1836" s="9" t="str">
        <f>IFERROR(__xludf.DUMMYFUNCTION("""COMPUTED_VALUE"""),"OB")</f>
        <v>OB</v>
      </c>
      <c r="N1836" s="9"/>
      <c r="O1836" s="9"/>
      <c r="P1836" s="9"/>
      <c r="Q1836" s="9"/>
      <c r="R1836" s="9"/>
      <c r="S1836" s="42" t="str">
        <f>IFERROR(__xludf.DUMMYFUNCTION("""COMPUTED_VALUE"""),"OBonl;
OBglo;
OBopl;
OBmcl;
OBipl;
OBgcl")</f>
        <v>OBonl;
OBglo;
OBopl;
OBmcl;
OBipl;
OBgcl</v>
      </c>
      <c r="T1836" s="42"/>
      <c r="U1836" s="42" t="b">
        <f>IFERROR(__xludf.DUMMYFUNCTION("""COMPUTED_VALUE"""),FALSE)</f>
        <v>0</v>
      </c>
      <c r="V1836" s="42"/>
      <c r="W1836" s="42"/>
      <c r="X1836" s="42"/>
      <c r="Y1836" s="42"/>
      <c r="Z1836" s="42"/>
      <c r="AA1836" s="42"/>
      <c r="AB1836" s="42" t="str">
        <f>IFERROR(__xludf.DUMMYFUNCTION("""COMPUTED_VALUE"""),"allen institute")</f>
        <v>allen institute</v>
      </c>
      <c r="AC1836" s="42" t="str">
        <f>IFERROR(__xludf.DUMMYFUNCTION("""COMPUTED_VALUE"""),"DHBA")</f>
        <v>DHBA</v>
      </c>
      <c r="AD1836" s="42"/>
      <c r="AE1836" s="42"/>
      <c r="AF1836" s="9"/>
      <c r="AG1836" s="9"/>
      <c r="AH1836" s="42"/>
      <c r="AI1836" s="42"/>
      <c r="AJ1836" s="42"/>
      <c r="AK1836" s="42"/>
      <c r="AL1836" s="42"/>
      <c r="AM1836" s="42"/>
      <c r="AN1836" s="42"/>
      <c r="AO1836" s="63" t="str">
        <f>IFERROR(__xludf.DUMMYFUNCTION("IF(ISBLANK(A1836),,IF(ISBLANK(S1836), A1836&amp;"";"", TEXTJOIN(CHAR(10), TRUE, A1836&amp;"";"", ARRAYFORMULA(VLOOKUP(SPLIT(S1836, "";"" &amp; CHAR(10)), $A:$AO, 41, FALSE)))))"),"OB;
OBonl;
OBglo;
OBopl;
OBmcl;
OBipl;
OBgcl;")</f>
        <v>OB;
OBonl;
OBglo;
OBopl;
OBmcl;
OBipl;
OBgcl;</v>
      </c>
      <c r="AP1836" s="89"/>
    </row>
    <row r="1837">
      <c r="A1837" s="151" t="str">
        <f>IFERROR(__xludf.DUMMYFUNCTION("""COMPUTED_VALUE"""),"OBonl")</f>
        <v>OBonl</v>
      </c>
      <c r="B1837" s="42" t="str">
        <f>IFERROR(__xludf.DUMMYFUNCTION("""COMPUTED_VALUE"""),"DHBA")</f>
        <v>DHBA</v>
      </c>
      <c r="C1837" s="42" t="str">
        <f>IFERROR(__xludf.DUMMYFUNCTION("""COMPUTED_VALUE"""),"olfactory nerve layer of olfactory bulb")</f>
        <v>olfactory nerve layer of olfactory bulb</v>
      </c>
      <c r="D1837" s="42">
        <f>IFERROR(__xludf.DUMMYFUNCTION("""COMPUTED_VALUE"""),1733.0)</f>
        <v>1733</v>
      </c>
      <c r="E1837" s="39" t="str">
        <f>IFERROR(__xludf.DUMMYFUNCTION("""COMPUTED_VALUE"""),"olfactory nerve layer of olfactory bulb")</f>
        <v>olfactory nerve layer of olfactory bulb</v>
      </c>
      <c r="F1837" s="9" t="str">
        <f>IFERROR(__xludf.DUMMYFUNCTION("""COMPUTED_VALUE"""),"Br")</f>
        <v>Br</v>
      </c>
      <c r="G1837" s="9" t="str">
        <f>IFERROR(__xludf.DUMMYFUNCTION("""COMPUTED_VALUE"""),"F")</f>
        <v>F</v>
      </c>
      <c r="H1837" s="9" t="str">
        <f>IFERROR(__xludf.DUMMYFUNCTION("""COMPUTED_VALUE"""),"FGM")</f>
        <v>FGM</v>
      </c>
      <c r="I1837" s="9" t="str">
        <f>IFERROR(__xludf.DUMMYFUNCTION("""COMPUTED_VALUE"""),"Tel")</f>
        <v>Tel</v>
      </c>
      <c r="J1837" s="9" t="str">
        <f>IFERROR(__xludf.DUMMYFUNCTION("""COMPUTED_VALUE"""),"Cx")</f>
        <v>Cx</v>
      </c>
      <c r="K1837" s="9" t="str">
        <f>IFERROR(__xludf.DUMMYFUNCTION("""COMPUTED_VALUE"""),"ACx")</f>
        <v>ACx</v>
      </c>
      <c r="L1837" s="9" t="str">
        <f>IFERROR(__xludf.DUMMYFUNCTION("""COMPUTED_VALUE"""),"PalCx")</f>
        <v>PalCx</v>
      </c>
      <c r="M1837" s="9" t="str">
        <f>IFERROR(__xludf.DUMMYFUNCTION("""COMPUTED_VALUE"""),"OB")</f>
        <v>OB</v>
      </c>
      <c r="N1837" s="9" t="str">
        <f>IFERROR(__xludf.DUMMYFUNCTION("""COMPUTED_VALUE"""),"OBonl")</f>
        <v>OBonl</v>
      </c>
      <c r="O1837" s="9"/>
      <c r="P1837" s="9"/>
      <c r="Q1837" s="9"/>
      <c r="R1837" s="9"/>
      <c r="S1837" s="42"/>
      <c r="T1837" s="42"/>
      <c r="U1837" s="42"/>
      <c r="V1837" s="42"/>
      <c r="W1837" s="42"/>
      <c r="X1837" s="42"/>
      <c r="Y1837" s="42"/>
      <c r="Z1837" s="42"/>
      <c r="AA1837" s="42"/>
      <c r="AB1837" s="42" t="str">
        <f>IFERROR(__xludf.DUMMYFUNCTION("""COMPUTED_VALUE"""),"allen institute")</f>
        <v>allen institute</v>
      </c>
      <c r="AC1837" s="42" t="str">
        <f>IFERROR(__xludf.DUMMYFUNCTION("""COMPUTED_VALUE"""),"DHBA")</f>
        <v>DHBA</v>
      </c>
      <c r="AD1837" s="42"/>
      <c r="AE1837" s="42"/>
      <c r="AF1837" s="9"/>
      <c r="AG1837" s="9"/>
      <c r="AH1837" s="42"/>
      <c r="AI1837" s="42"/>
      <c r="AJ1837" s="42"/>
      <c r="AK1837" s="42"/>
      <c r="AL1837" s="42"/>
      <c r="AM1837" s="42"/>
      <c r="AN1837" s="42"/>
      <c r="AO1837" s="63" t="str">
        <f>IFERROR(__xludf.DUMMYFUNCTION("IF(ISBLANK(A1837),,IF(ISBLANK(S1837), A1837&amp;"";"", TEXTJOIN(CHAR(10), TRUE, A1837&amp;"";"", ARRAYFORMULA(VLOOKUP(SPLIT(S1837, "";"" &amp; CHAR(10)), $A:$AO, 41, FALSE)))))"),"OBonl;")</f>
        <v>OBonl;</v>
      </c>
      <c r="AP1837" s="89"/>
    </row>
    <row r="1838">
      <c r="A1838" s="151" t="str">
        <f>IFERROR(__xludf.DUMMYFUNCTION("""COMPUTED_VALUE"""),"OBglo")</f>
        <v>OBglo</v>
      </c>
      <c r="B1838" s="42" t="str">
        <f>IFERROR(__xludf.DUMMYFUNCTION("""COMPUTED_VALUE"""),"DHBA")</f>
        <v>DHBA</v>
      </c>
      <c r="C1838" s="42" t="str">
        <f>IFERROR(__xludf.DUMMYFUNCTION("""COMPUTED_VALUE"""),"glomerular layer of olfactory bulb")</f>
        <v>glomerular layer of olfactory bulb</v>
      </c>
      <c r="D1838" s="42">
        <f>IFERROR(__xludf.DUMMYFUNCTION("""COMPUTED_VALUE"""),1734.0)</f>
        <v>1734</v>
      </c>
      <c r="E1838" s="39" t="str">
        <f>IFERROR(__xludf.DUMMYFUNCTION("""COMPUTED_VALUE"""),"glomerular layer of olfactory bulb")</f>
        <v>glomerular layer of olfactory bulb</v>
      </c>
      <c r="F1838" s="9" t="str">
        <f>IFERROR(__xludf.DUMMYFUNCTION("""COMPUTED_VALUE"""),"Br")</f>
        <v>Br</v>
      </c>
      <c r="G1838" s="9" t="str">
        <f>IFERROR(__xludf.DUMMYFUNCTION("""COMPUTED_VALUE"""),"F")</f>
        <v>F</v>
      </c>
      <c r="H1838" s="9" t="str">
        <f>IFERROR(__xludf.DUMMYFUNCTION("""COMPUTED_VALUE"""),"FGM")</f>
        <v>FGM</v>
      </c>
      <c r="I1838" s="9" t="str">
        <f>IFERROR(__xludf.DUMMYFUNCTION("""COMPUTED_VALUE"""),"Tel")</f>
        <v>Tel</v>
      </c>
      <c r="J1838" s="9" t="str">
        <f>IFERROR(__xludf.DUMMYFUNCTION("""COMPUTED_VALUE"""),"Cx")</f>
        <v>Cx</v>
      </c>
      <c r="K1838" s="9" t="str">
        <f>IFERROR(__xludf.DUMMYFUNCTION("""COMPUTED_VALUE"""),"ACx")</f>
        <v>ACx</v>
      </c>
      <c r="L1838" s="9" t="str">
        <f>IFERROR(__xludf.DUMMYFUNCTION("""COMPUTED_VALUE"""),"PalCx")</f>
        <v>PalCx</v>
      </c>
      <c r="M1838" s="9" t="str">
        <f>IFERROR(__xludf.DUMMYFUNCTION("""COMPUTED_VALUE"""),"OB")</f>
        <v>OB</v>
      </c>
      <c r="N1838" s="9" t="str">
        <f>IFERROR(__xludf.DUMMYFUNCTION("""COMPUTED_VALUE"""),"OBglo")</f>
        <v>OBglo</v>
      </c>
      <c r="O1838" s="9"/>
      <c r="P1838" s="9"/>
      <c r="Q1838" s="9"/>
      <c r="R1838" s="9"/>
      <c r="S1838" s="42"/>
      <c r="T1838" s="42"/>
      <c r="U1838" s="42"/>
      <c r="V1838" s="42"/>
      <c r="W1838" s="42"/>
      <c r="X1838" s="42"/>
      <c r="Y1838" s="42"/>
      <c r="Z1838" s="42"/>
      <c r="AA1838" s="42"/>
      <c r="AB1838" s="42" t="str">
        <f>IFERROR(__xludf.DUMMYFUNCTION("""COMPUTED_VALUE"""),"allen institute")</f>
        <v>allen institute</v>
      </c>
      <c r="AC1838" s="42" t="str">
        <f>IFERROR(__xludf.DUMMYFUNCTION("""COMPUTED_VALUE"""),"DHBA")</f>
        <v>DHBA</v>
      </c>
      <c r="AD1838" s="42"/>
      <c r="AE1838" s="42"/>
      <c r="AF1838" s="9"/>
      <c r="AG1838" s="9"/>
      <c r="AH1838" s="42"/>
      <c r="AI1838" s="42"/>
      <c r="AJ1838" s="42"/>
      <c r="AK1838" s="42"/>
      <c r="AL1838" s="42"/>
      <c r="AM1838" s="42"/>
      <c r="AN1838" s="42"/>
      <c r="AO1838" s="63" t="str">
        <f>IFERROR(__xludf.DUMMYFUNCTION("IF(ISBLANK(A1838),,IF(ISBLANK(S1838), A1838&amp;"";"", TEXTJOIN(CHAR(10), TRUE, A1838&amp;"";"", ARRAYFORMULA(VLOOKUP(SPLIT(S1838, "";"" &amp; CHAR(10)), $A:$AO, 41, FALSE)))))"),"OBglo;")</f>
        <v>OBglo;</v>
      </c>
      <c r="AP1838" s="89"/>
    </row>
    <row r="1839">
      <c r="A1839" s="151" t="str">
        <f>IFERROR(__xludf.DUMMYFUNCTION("""COMPUTED_VALUE"""),"OBopl")</f>
        <v>OBopl</v>
      </c>
      <c r="B1839" s="42" t="str">
        <f>IFERROR(__xludf.DUMMYFUNCTION("""COMPUTED_VALUE"""),"DHBA")</f>
        <v>DHBA</v>
      </c>
      <c r="C1839" s="42" t="str">
        <f>IFERROR(__xludf.DUMMYFUNCTION("""COMPUTED_VALUE"""),"outer plexiform layer of olfactory bulb")</f>
        <v>outer plexiform layer of olfactory bulb</v>
      </c>
      <c r="D1839" s="42">
        <f>IFERROR(__xludf.DUMMYFUNCTION("""COMPUTED_VALUE"""),1735.0)</f>
        <v>1735</v>
      </c>
      <c r="E1839" s="39" t="str">
        <f>IFERROR(__xludf.DUMMYFUNCTION("""COMPUTED_VALUE"""),"outer plexiform layer of olfactory bulb")</f>
        <v>outer plexiform layer of olfactory bulb</v>
      </c>
      <c r="F1839" s="9" t="str">
        <f>IFERROR(__xludf.DUMMYFUNCTION("""COMPUTED_VALUE"""),"Br")</f>
        <v>Br</v>
      </c>
      <c r="G1839" s="9" t="str">
        <f>IFERROR(__xludf.DUMMYFUNCTION("""COMPUTED_VALUE"""),"F")</f>
        <v>F</v>
      </c>
      <c r="H1839" s="9" t="str">
        <f>IFERROR(__xludf.DUMMYFUNCTION("""COMPUTED_VALUE"""),"FGM")</f>
        <v>FGM</v>
      </c>
      <c r="I1839" s="9" t="str">
        <f>IFERROR(__xludf.DUMMYFUNCTION("""COMPUTED_VALUE"""),"Tel")</f>
        <v>Tel</v>
      </c>
      <c r="J1839" s="9" t="str">
        <f>IFERROR(__xludf.DUMMYFUNCTION("""COMPUTED_VALUE"""),"Cx")</f>
        <v>Cx</v>
      </c>
      <c r="K1839" s="9" t="str">
        <f>IFERROR(__xludf.DUMMYFUNCTION("""COMPUTED_VALUE"""),"ACx")</f>
        <v>ACx</v>
      </c>
      <c r="L1839" s="9" t="str">
        <f>IFERROR(__xludf.DUMMYFUNCTION("""COMPUTED_VALUE"""),"PalCx")</f>
        <v>PalCx</v>
      </c>
      <c r="M1839" s="9" t="str">
        <f>IFERROR(__xludf.DUMMYFUNCTION("""COMPUTED_VALUE"""),"OB")</f>
        <v>OB</v>
      </c>
      <c r="N1839" s="9" t="str">
        <f>IFERROR(__xludf.DUMMYFUNCTION("""COMPUTED_VALUE"""),"OBopl")</f>
        <v>OBopl</v>
      </c>
      <c r="O1839" s="9"/>
      <c r="P1839" s="9"/>
      <c r="Q1839" s="9"/>
      <c r="R1839" s="9"/>
      <c r="S1839" s="42"/>
      <c r="T1839" s="42"/>
      <c r="U1839" s="42"/>
      <c r="V1839" s="42"/>
      <c r="W1839" s="42"/>
      <c r="X1839" s="42"/>
      <c r="Y1839" s="42"/>
      <c r="Z1839" s="42"/>
      <c r="AA1839" s="42"/>
      <c r="AB1839" s="42" t="str">
        <f>IFERROR(__xludf.DUMMYFUNCTION("""COMPUTED_VALUE"""),"allen institute")</f>
        <v>allen institute</v>
      </c>
      <c r="AC1839" s="42" t="str">
        <f>IFERROR(__xludf.DUMMYFUNCTION("""COMPUTED_VALUE"""),"DHBA")</f>
        <v>DHBA</v>
      </c>
      <c r="AD1839" s="42"/>
      <c r="AE1839" s="42"/>
      <c r="AF1839" s="9"/>
      <c r="AG1839" s="9"/>
      <c r="AH1839" s="42"/>
      <c r="AI1839" s="42"/>
      <c r="AJ1839" s="42"/>
      <c r="AK1839" s="42"/>
      <c r="AL1839" s="42"/>
      <c r="AM1839" s="42"/>
      <c r="AN1839" s="42"/>
      <c r="AO1839" s="63" t="str">
        <f>IFERROR(__xludf.DUMMYFUNCTION("IF(ISBLANK(A1839),,IF(ISBLANK(S1839), A1839&amp;"";"", TEXTJOIN(CHAR(10), TRUE, A1839&amp;"";"", ARRAYFORMULA(VLOOKUP(SPLIT(S1839, "";"" &amp; CHAR(10)), $A:$AO, 41, FALSE)))))"),"OBopl;")</f>
        <v>OBopl;</v>
      </c>
      <c r="AP1839" s="89"/>
    </row>
    <row r="1840">
      <c r="A1840" s="151" t="str">
        <f>IFERROR(__xludf.DUMMYFUNCTION("""COMPUTED_VALUE"""),"OBmcl")</f>
        <v>OBmcl</v>
      </c>
      <c r="B1840" s="42" t="str">
        <f>IFERROR(__xludf.DUMMYFUNCTION("""COMPUTED_VALUE"""),"DHBA")</f>
        <v>DHBA</v>
      </c>
      <c r="C1840" s="42" t="str">
        <f>IFERROR(__xludf.DUMMYFUNCTION("""COMPUTED_VALUE"""),"mitral cell layer of olfactory bulb")</f>
        <v>mitral cell layer of olfactory bulb</v>
      </c>
      <c r="D1840" s="42">
        <f>IFERROR(__xludf.DUMMYFUNCTION("""COMPUTED_VALUE"""),1736.0)</f>
        <v>1736</v>
      </c>
      <c r="E1840" s="39" t="str">
        <f>IFERROR(__xludf.DUMMYFUNCTION("""COMPUTED_VALUE"""),"mitral cell layer of olfactory bulb")</f>
        <v>mitral cell layer of olfactory bulb</v>
      </c>
      <c r="F1840" s="9" t="str">
        <f>IFERROR(__xludf.DUMMYFUNCTION("""COMPUTED_VALUE"""),"Br")</f>
        <v>Br</v>
      </c>
      <c r="G1840" s="9" t="str">
        <f>IFERROR(__xludf.DUMMYFUNCTION("""COMPUTED_VALUE"""),"F")</f>
        <v>F</v>
      </c>
      <c r="H1840" s="9" t="str">
        <f>IFERROR(__xludf.DUMMYFUNCTION("""COMPUTED_VALUE"""),"FGM")</f>
        <v>FGM</v>
      </c>
      <c r="I1840" s="9" t="str">
        <f>IFERROR(__xludf.DUMMYFUNCTION("""COMPUTED_VALUE"""),"Tel")</f>
        <v>Tel</v>
      </c>
      <c r="J1840" s="9" t="str">
        <f>IFERROR(__xludf.DUMMYFUNCTION("""COMPUTED_VALUE"""),"Cx")</f>
        <v>Cx</v>
      </c>
      <c r="K1840" s="9" t="str">
        <f>IFERROR(__xludf.DUMMYFUNCTION("""COMPUTED_VALUE"""),"ACx")</f>
        <v>ACx</v>
      </c>
      <c r="L1840" s="9" t="str">
        <f>IFERROR(__xludf.DUMMYFUNCTION("""COMPUTED_VALUE"""),"PalCx")</f>
        <v>PalCx</v>
      </c>
      <c r="M1840" s="9" t="str">
        <f>IFERROR(__xludf.DUMMYFUNCTION("""COMPUTED_VALUE"""),"OB")</f>
        <v>OB</v>
      </c>
      <c r="N1840" s="9" t="str">
        <f>IFERROR(__xludf.DUMMYFUNCTION("""COMPUTED_VALUE"""),"OBmcl")</f>
        <v>OBmcl</v>
      </c>
      <c r="O1840" s="9"/>
      <c r="P1840" s="9"/>
      <c r="Q1840" s="9"/>
      <c r="R1840" s="9"/>
      <c r="S1840" s="42"/>
      <c r="T1840" s="42"/>
      <c r="U1840" s="42"/>
      <c r="V1840" s="42"/>
      <c r="W1840" s="42"/>
      <c r="X1840" s="42"/>
      <c r="Y1840" s="42"/>
      <c r="Z1840" s="42"/>
      <c r="AA1840" s="42"/>
      <c r="AB1840" s="42" t="str">
        <f>IFERROR(__xludf.DUMMYFUNCTION("""COMPUTED_VALUE"""),"allen institute")</f>
        <v>allen institute</v>
      </c>
      <c r="AC1840" s="42" t="str">
        <f>IFERROR(__xludf.DUMMYFUNCTION("""COMPUTED_VALUE"""),"DHBA")</f>
        <v>DHBA</v>
      </c>
      <c r="AD1840" s="42"/>
      <c r="AE1840" s="42"/>
      <c r="AF1840" s="9"/>
      <c r="AG1840" s="9"/>
      <c r="AH1840" s="42"/>
      <c r="AI1840" s="42"/>
      <c r="AJ1840" s="42"/>
      <c r="AK1840" s="42"/>
      <c r="AL1840" s="42"/>
      <c r="AM1840" s="42"/>
      <c r="AN1840" s="42"/>
      <c r="AO1840" s="63" t="str">
        <f>IFERROR(__xludf.DUMMYFUNCTION("IF(ISBLANK(A1840),,IF(ISBLANK(S1840), A1840&amp;"";"", TEXTJOIN(CHAR(10), TRUE, A1840&amp;"";"", ARRAYFORMULA(VLOOKUP(SPLIT(S1840, "";"" &amp; CHAR(10)), $A:$AO, 41, FALSE)))))"),"OBmcl;")</f>
        <v>OBmcl;</v>
      </c>
      <c r="AP1840" s="89"/>
    </row>
    <row r="1841">
      <c r="A1841" s="151" t="str">
        <f>IFERROR(__xludf.DUMMYFUNCTION("""COMPUTED_VALUE"""),"OBipl")</f>
        <v>OBipl</v>
      </c>
      <c r="B1841" s="42" t="str">
        <f>IFERROR(__xludf.DUMMYFUNCTION("""COMPUTED_VALUE"""),"DHBA")</f>
        <v>DHBA</v>
      </c>
      <c r="C1841" s="42" t="str">
        <f>IFERROR(__xludf.DUMMYFUNCTION("""COMPUTED_VALUE"""),"inner plexiform layer of olfactory bulb")</f>
        <v>inner plexiform layer of olfactory bulb</v>
      </c>
      <c r="D1841" s="42">
        <f>IFERROR(__xludf.DUMMYFUNCTION("""COMPUTED_VALUE"""),1737.0)</f>
        <v>1737</v>
      </c>
      <c r="E1841" s="39" t="str">
        <f>IFERROR(__xludf.DUMMYFUNCTION("""COMPUTED_VALUE"""),"inner plexiform layer of olfactory bulb")</f>
        <v>inner plexiform layer of olfactory bulb</v>
      </c>
      <c r="F1841" s="9" t="str">
        <f>IFERROR(__xludf.DUMMYFUNCTION("""COMPUTED_VALUE"""),"Br")</f>
        <v>Br</v>
      </c>
      <c r="G1841" s="9" t="str">
        <f>IFERROR(__xludf.DUMMYFUNCTION("""COMPUTED_VALUE"""),"F")</f>
        <v>F</v>
      </c>
      <c r="H1841" s="9" t="str">
        <f>IFERROR(__xludf.DUMMYFUNCTION("""COMPUTED_VALUE"""),"FGM")</f>
        <v>FGM</v>
      </c>
      <c r="I1841" s="9" t="str">
        <f>IFERROR(__xludf.DUMMYFUNCTION("""COMPUTED_VALUE"""),"Tel")</f>
        <v>Tel</v>
      </c>
      <c r="J1841" s="9" t="str">
        <f>IFERROR(__xludf.DUMMYFUNCTION("""COMPUTED_VALUE"""),"Cx")</f>
        <v>Cx</v>
      </c>
      <c r="K1841" s="9" t="str">
        <f>IFERROR(__xludf.DUMMYFUNCTION("""COMPUTED_VALUE"""),"ACx")</f>
        <v>ACx</v>
      </c>
      <c r="L1841" s="9" t="str">
        <f>IFERROR(__xludf.DUMMYFUNCTION("""COMPUTED_VALUE"""),"PalCx")</f>
        <v>PalCx</v>
      </c>
      <c r="M1841" s="9" t="str">
        <f>IFERROR(__xludf.DUMMYFUNCTION("""COMPUTED_VALUE"""),"OB")</f>
        <v>OB</v>
      </c>
      <c r="N1841" s="9" t="str">
        <f>IFERROR(__xludf.DUMMYFUNCTION("""COMPUTED_VALUE"""),"OBipl")</f>
        <v>OBipl</v>
      </c>
      <c r="O1841" s="9"/>
      <c r="P1841" s="9"/>
      <c r="Q1841" s="9"/>
      <c r="R1841" s="9"/>
      <c r="S1841" s="42"/>
      <c r="T1841" s="42"/>
      <c r="U1841" s="42"/>
      <c r="V1841" s="42"/>
      <c r="W1841" s="42"/>
      <c r="X1841" s="42"/>
      <c r="Y1841" s="42"/>
      <c r="Z1841" s="42"/>
      <c r="AA1841" s="42"/>
      <c r="AB1841" s="42" t="str">
        <f>IFERROR(__xludf.DUMMYFUNCTION("""COMPUTED_VALUE"""),"allen institute")</f>
        <v>allen institute</v>
      </c>
      <c r="AC1841" s="42" t="str">
        <f>IFERROR(__xludf.DUMMYFUNCTION("""COMPUTED_VALUE"""),"DHBA")</f>
        <v>DHBA</v>
      </c>
      <c r="AD1841" s="42"/>
      <c r="AE1841" s="42"/>
      <c r="AF1841" s="9"/>
      <c r="AG1841" s="9"/>
      <c r="AH1841" s="42"/>
      <c r="AI1841" s="42"/>
      <c r="AJ1841" s="42"/>
      <c r="AK1841" s="42"/>
      <c r="AL1841" s="42"/>
      <c r="AM1841" s="42"/>
      <c r="AN1841" s="42"/>
      <c r="AO1841" s="63" t="str">
        <f>IFERROR(__xludf.DUMMYFUNCTION("IF(ISBLANK(A1841),,IF(ISBLANK(S1841), A1841&amp;"";"", TEXTJOIN(CHAR(10), TRUE, A1841&amp;"";"", ARRAYFORMULA(VLOOKUP(SPLIT(S1841, "";"" &amp; CHAR(10)), $A:$AO, 41, FALSE)))))"),"OBipl;")</f>
        <v>OBipl;</v>
      </c>
      <c r="AP1841" s="89"/>
    </row>
    <row r="1842">
      <c r="A1842" s="151" t="str">
        <f>IFERROR(__xludf.DUMMYFUNCTION("""COMPUTED_VALUE"""),"OBgcl")</f>
        <v>OBgcl</v>
      </c>
      <c r="B1842" s="42" t="str">
        <f>IFERROR(__xludf.DUMMYFUNCTION("""COMPUTED_VALUE"""),"DHBA")</f>
        <v>DHBA</v>
      </c>
      <c r="C1842" s="42" t="str">
        <f>IFERROR(__xludf.DUMMYFUNCTION("""COMPUTED_VALUE"""),"granular cell layer of olfactory bulb")</f>
        <v>granular cell layer of olfactory bulb</v>
      </c>
      <c r="D1842" s="42">
        <f>IFERROR(__xludf.DUMMYFUNCTION("""COMPUTED_VALUE"""),1738.0)</f>
        <v>1738</v>
      </c>
      <c r="E1842" s="39" t="str">
        <f>IFERROR(__xludf.DUMMYFUNCTION("""COMPUTED_VALUE"""),"granular cell layer of olfactory bulb")</f>
        <v>granular cell layer of olfactory bulb</v>
      </c>
      <c r="F1842" s="9" t="str">
        <f>IFERROR(__xludf.DUMMYFUNCTION("""COMPUTED_VALUE"""),"Br")</f>
        <v>Br</v>
      </c>
      <c r="G1842" s="9" t="str">
        <f>IFERROR(__xludf.DUMMYFUNCTION("""COMPUTED_VALUE"""),"F")</f>
        <v>F</v>
      </c>
      <c r="H1842" s="9" t="str">
        <f>IFERROR(__xludf.DUMMYFUNCTION("""COMPUTED_VALUE"""),"FGM")</f>
        <v>FGM</v>
      </c>
      <c r="I1842" s="9" t="str">
        <f>IFERROR(__xludf.DUMMYFUNCTION("""COMPUTED_VALUE"""),"Tel")</f>
        <v>Tel</v>
      </c>
      <c r="J1842" s="9" t="str">
        <f>IFERROR(__xludf.DUMMYFUNCTION("""COMPUTED_VALUE"""),"Cx")</f>
        <v>Cx</v>
      </c>
      <c r="K1842" s="9" t="str">
        <f>IFERROR(__xludf.DUMMYFUNCTION("""COMPUTED_VALUE"""),"ACx")</f>
        <v>ACx</v>
      </c>
      <c r="L1842" s="9" t="str">
        <f>IFERROR(__xludf.DUMMYFUNCTION("""COMPUTED_VALUE"""),"PalCx")</f>
        <v>PalCx</v>
      </c>
      <c r="M1842" s="9" t="str">
        <f>IFERROR(__xludf.DUMMYFUNCTION("""COMPUTED_VALUE"""),"OB")</f>
        <v>OB</v>
      </c>
      <c r="N1842" s="9" t="str">
        <f>IFERROR(__xludf.DUMMYFUNCTION("""COMPUTED_VALUE"""),"OBgcl")</f>
        <v>OBgcl</v>
      </c>
      <c r="O1842" s="9"/>
      <c r="P1842" s="9"/>
      <c r="Q1842" s="9"/>
      <c r="R1842" s="9"/>
      <c r="S1842" s="42"/>
      <c r="T1842" s="42"/>
      <c r="U1842" s="42"/>
      <c r="V1842" s="42"/>
      <c r="W1842" s="42"/>
      <c r="X1842" s="42"/>
      <c r="Y1842" s="42"/>
      <c r="Z1842" s="42"/>
      <c r="AA1842" s="42"/>
      <c r="AB1842" s="42" t="str">
        <f>IFERROR(__xludf.DUMMYFUNCTION("""COMPUTED_VALUE"""),"allen institute")</f>
        <v>allen institute</v>
      </c>
      <c r="AC1842" s="42" t="str">
        <f>IFERROR(__xludf.DUMMYFUNCTION("""COMPUTED_VALUE"""),"DHBA")</f>
        <v>DHBA</v>
      </c>
      <c r="AD1842" s="42"/>
      <c r="AE1842" s="42"/>
      <c r="AF1842" s="9"/>
      <c r="AG1842" s="9"/>
      <c r="AH1842" s="42"/>
      <c r="AI1842" s="42"/>
      <c r="AJ1842" s="42"/>
      <c r="AK1842" s="42"/>
      <c r="AL1842" s="42"/>
      <c r="AM1842" s="42"/>
      <c r="AN1842" s="42"/>
      <c r="AO1842" s="63" t="str">
        <f>IFERROR(__xludf.DUMMYFUNCTION("IF(ISBLANK(A1842),,IF(ISBLANK(S1842), A1842&amp;"";"", TEXTJOIN(CHAR(10), TRUE, A1842&amp;"";"", ARRAYFORMULA(VLOOKUP(SPLIT(S1842, "";"" &amp; CHAR(10)), $A:$AO, 41, FALSE)))))"),"OBgcl;")</f>
        <v>OBgcl;</v>
      </c>
      <c r="AP1842" s="89"/>
    </row>
    <row r="1843">
      <c r="A1843" s="151" t="str">
        <f>IFERROR(__xludf.DUMMYFUNCTION("""COMPUTED_VALUE"""),"AON")</f>
        <v>AON</v>
      </c>
      <c r="B1843" s="42" t="str">
        <f>IFERROR(__xludf.DUMMYFUNCTION("""COMPUTED_VALUE"""),"DHBA")</f>
        <v>DHBA</v>
      </c>
      <c r="C1843" s="42" t="str">
        <f>IFERROR(__xludf.DUMMYFUNCTION("""COMPUTED_VALUE"""),"Anterior olfactory nucleus")</f>
        <v>Anterior olfactory nucleus</v>
      </c>
      <c r="D1843" s="42">
        <f>IFERROR(__xludf.DUMMYFUNCTION("""COMPUTED_VALUE"""),1739.0)</f>
        <v>1739</v>
      </c>
      <c r="E1843" s="39" t="str">
        <f>IFERROR(__xludf.DUMMYFUNCTION("""COMPUTED_VALUE"""),"anterior olfactory nucleus")</f>
        <v>anterior olfactory nucleus</v>
      </c>
      <c r="F1843" s="9" t="str">
        <f>IFERROR(__xludf.DUMMYFUNCTION("""COMPUTED_VALUE"""),"Br")</f>
        <v>Br</v>
      </c>
      <c r="G1843" s="9" t="str">
        <f>IFERROR(__xludf.DUMMYFUNCTION("""COMPUTED_VALUE"""),"F")</f>
        <v>F</v>
      </c>
      <c r="H1843" s="9" t="str">
        <f>IFERROR(__xludf.DUMMYFUNCTION("""COMPUTED_VALUE"""),"FGM")</f>
        <v>FGM</v>
      </c>
      <c r="I1843" s="9" t="str">
        <f>IFERROR(__xludf.DUMMYFUNCTION("""COMPUTED_VALUE"""),"Tel")</f>
        <v>Tel</v>
      </c>
      <c r="J1843" s="9" t="str">
        <f>IFERROR(__xludf.DUMMYFUNCTION("""COMPUTED_VALUE"""),"Cx")</f>
        <v>Cx</v>
      </c>
      <c r="K1843" s="9" t="str">
        <f>IFERROR(__xludf.DUMMYFUNCTION("""COMPUTED_VALUE"""),"ACx")</f>
        <v>ACx</v>
      </c>
      <c r="L1843" s="9" t="str">
        <f>IFERROR(__xludf.DUMMYFUNCTION("""COMPUTED_VALUE"""),"PalCx")</f>
        <v>PalCx</v>
      </c>
      <c r="M1843" s="9" t="str">
        <f>IFERROR(__xludf.DUMMYFUNCTION("""COMPUTED_VALUE"""),"AON")</f>
        <v>AON</v>
      </c>
      <c r="N1843" s="9"/>
      <c r="O1843" s="9"/>
      <c r="P1843" s="9"/>
      <c r="Q1843" s="9"/>
      <c r="R1843" s="9"/>
      <c r="S1843" s="42"/>
      <c r="T1843" s="42"/>
      <c r="U1843" s="42"/>
      <c r="V1843" s="42"/>
      <c r="W1843" s="42"/>
      <c r="X1843" s="42"/>
      <c r="Y1843" s="42"/>
      <c r="Z1843" s="42"/>
      <c r="AA1843" s="42"/>
      <c r="AB1843" s="42" t="str">
        <f>IFERROR(__xludf.DUMMYFUNCTION("""COMPUTED_VALUE"""),"allen institute")</f>
        <v>allen institute</v>
      </c>
      <c r="AC1843" s="42" t="str">
        <f>IFERROR(__xludf.DUMMYFUNCTION("""COMPUTED_VALUE"""),"DHBA")</f>
        <v>DHBA</v>
      </c>
      <c r="AD1843" s="42"/>
      <c r="AE1843" s="42"/>
      <c r="AF1843" s="9"/>
      <c r="AG1843" s="9"/>
      <c r="AH1843" s="42"/>
      <c r="AI1843" s="42"/>
      <c r="AJ1843" s="42"/>
      <c r="AK1843" s="42"/>
      <c r="AL1843" s="42"/>
      <c r="AM1843" s="42"/>
      <c r="AN1843" s="42"/>
      <c r="AO1843" s="63" t="str">
        <f>IFERROR(__xludf.DUMMYFUNCTION("IF(ISBLANK(A1843),,IF(ISBLANK(S1843), A1843&amp;"";"", TEXTJOIN(CHAR(10), TRUE, A1843&amp;"";"", ARRAYFORMULA(VLOOKUP(SPLIT(S1843, "";"" &amp; CHAR(10)), $A:$AO, 41, FALSE)))))"),"AON;")</f>
        <v>AON;</v>
      </c>
      <c r="AP1843" s="89"/>
    </row>
    <row r="1844">
      <c r="A1844" s="151" t="str">
        <f>IFERROR(__xludf.DUMMYFUNCTION("""COMPUTED_VALUE"""),"NLOT")</f>
        <v>NLOT</v>
      </c>
      <c r="B1844" s="42" t="str">
        <f>IFERROR(__xludf.DUMMYFUNCTION("""COMPUTED_VALUE"""),"DHBA")</f>
        <v>DHBA</v>
      </c>
      <c r="C1844" s="42"/>
      <c r="D1844" s="42">
        <f>IFERROR(__xludf.DUMMYFUNCTION("""COMPUTED_VALUE"""),1740.0)</f>
        <v>1740</v>
      </c>
      <c r="E1844" s="39" t="str">
        <f>IFERROR(__xludf.DUMMYFUNCTION("""COMPUTED_VALUE"""),"nucleus of lateral olfactory tract")</f>
        <v>nucleus of lateral olfactory tract</v>
      </c>
      <c r="F1844" s="9" t="str">
        <f>IFERROR(__xludf.DUMMYFUNCTION("""COMPUTED_VALUE"""),"Br")</f>
        <v>Br</v>
      </c>
      <c r="G1844" s="9" t="str">
        <f>IFERROR(__xludf.DUMMYFUNCTION("""COMPUTED_VALUE"""),"F")</f>
        <v>F</v>
      </c>
      <c r="H1844" s="9" t="str">
        <f>IFERROR(__xludf.DUMMYFUNCTION("""COMPUTED_VALUE"""),"FGM")</f>
        <v>FGM</v>
      </c>
      <c r="I1844" s="9" t="str">
        <f>IFERROR(__xludf.DUMMYFUNCTION("""COMPUTED_VALUE"""),"Tel")</f>
        <v>Tel</v>
      </c>
      <c r="J1844" s="9" t="str">
        <f>IFERROR(__xludf.DUMMYFUNCTION("""COMPUTED_VALUE"""),"Cx")</f>
        <v>Cx</v>
      </c>
      <c r="K1844" s="9" t="str">
        <f>IFERROR(__xludf.DUMMYFUNCTION("""COMPUTED_VALUE"""),"ACx")</f>
        <v>ACx</v>
      </c>
      <c r="L1844" s="9" t="str">
        <f>IFERROR(__xludf.DUMMYFUNCTION("""COMPUTED_VALUE"""),"PalCx")</f>
        <v>PalCx</v>
      </c>
      <c r="M1844" s="9" t="str">
        <f>IFERROR(__xludf.DUMMYFUNCTION("""COMPUTED_VALUE"""),"NLOT")</f>
        <v>NLOT</v>
      </c>
      <c r="N1844" s="9"/>
      <c r="O1844" s="9"/>
      <c r="P1844" s="9"/>
      <c r="Q1844" s="9"/>
      <c r="R1844" s="9"/>
      <c r="S1844" s="42"/>
      <c r="T1844" s="42"/>
      <c r="U1844" s="42"/>
      <c r="V1844" s="42"/>
      <c r="W1844" s="42"/>
      <c r="X1844" s="42"/>
      <c r="Y1844" s="42"/>
      <c r="Z1844" s="42"/>
      <c r="AA1844" s="42"/>
      <c r="AB1844" s="42" t="str">
        <f>IFERROR(__xludf.DUMMYFUNCTION("""COMPUTED_VALUE"""),"allen institute")</f>
        <v>allen institute</v>
      </c>
      <c r="AC1844" s="42" t="str">
        <f>IFERROR(__xludf.DUMMYFUNCTION("""COMPUTED_VALUE"""),"DHBA")</f>
        <v>DHBA</v>
      </c>
      <c r="AD1844" s="42"/>
      <c r="AE1844" s="42"/>
      <c r="AF1844" s="9"/>
      <c r="AG1844" s="9"/>
      <c r="AH1844" s="42"/>
      <c r="AI1844" s="42"/>
      <c r="AJ1844" s="42"/>
      <c r="AK1844" s="42"/>
      <c r="AL1844" s="42"/>
      <c r="AM1844" s="42"/>
      <c r="AN1844" s="42"/>
      <c r="AO1844" s="63" t="str">
        <f>IFERROR(__xludf.DUMMYFUNCTION("IF(ISBLANK(A1844),,IF(ISBLANK(S1844), A1844&amp;"";"", TEXTJOIN(CHAR(10), TRUE, A1844&amp;"";"", ARRAYFORMULA(VLOOKUP(SPLIT(S1844, "";"" &amp; CHAR(10)), $A:$AO, 41, FALSE)))))"),"NLOT;")</f>
        <v>NLOT;</v>
      </c>
      <c r="AP1844" s="89"/>
    </row>
    <row r="1845">
      <c r="A1845" s="151" t="str">
        <f>IFERROR(__xludf.DUMMYFUNCTION("""COMPUTED_VALUE"""),"OT")</f>
        <v>OT</v>
      </c>
      <c r="B1845" s="42" t="str">
        <f>IFERROR(__xludf.DUMMYFUNCTION("""COMPUTED_VALUE"""),"DHBA")</f>
        <v>DHBA</v>
      </c>
      <c r="C1845" s="42" t="str">
        <f>IFERROR(__xludf.DUMMYFUNCTION("""COMPUTED_VALUE"""),"Olfactory tubercle")</f>
        <v>Olfactory tubercle</v>
      </c>
      <c r="D1845" s="42">
        <f>IFERROR(__xludf.DUMMYFUNCTION("""COMPUTED_VALUE"""),1741.0)</f>
        <v>1741</v>
      </c>
      <c r="E1845" s="39" t="str">
        <f>IFERROR(__xludf.DUMMYFUNCTION("""COMPUTED_VALUE"""),"olfactory tubercle")</f>
        <v>olfactory tubercle</v>
      </c>
      <c r="F1845" s="9" t="str">
        <f>IFERROR(__xludf.DUMMYFUNCTION("""COMPUTED_VALUE"""),"Br")</f>
        <v>Br</v>
      </c>
      <c r="G1845" s="9" t="str">
        <f>IFERROR(__xludf.DUMMYFUNCTION("""COMPUTED_VALUE"""),"F")</f>
        <v>F</v>
      </c>
      <c r="H1845" s="9" t="str">
        <f>IFERROR(__xludf.DUMMYFUNCTION("""COMPUTED_VALUE"""),"FGM")</f>
        <v>FGM</v>
      </c>
      <c r="I1845" s="9" t="str">
        <f>IFERROR(__xludf.DUMMYFUNCTION("""COMPUTED_VALUE"""),"Tel")</f>
        <v>Tel</v>
      </c>
      <c r="J1845" s="9" t="str">
        <f>IFERROR(__xludf.DUMMYFUNCTION("""COMPUTED_VALUE"""),"Cx")</f>
        <v>Cx</v>
      </c>
      <c r="K1845" s="9" t="str">
        <f>IFERROR(__xludf.DUMMYFUNCTION("""COMPUTED_VALUE"""),"ACx")</f>
        <v>ACx</v>
      </c>
      <c r="L1845" s="9" t="str">
        <f>IFERROR(__xludf.DUMMYFUNCTION("""COMPUTED_VALUE"""),"PalCx")</f>
        <v>PalCx</v>
      </c>
      <c r="M1845" s="9" t="str">
        <f>IFERROR(__xludf.DUMMYFUNCTION("""COMPUTED_VALUE"""),"OT")</f>
        <v>OT</v>
      </c>
      <c r="N1845" s="9"/>
      <c r="O1845" s="9"/>
      <c r="P1845" s="9"/>
      <c r="Q1845" s="9"/>
      <c r="R1845" s="9"/>
      <c r="S1845" s="42" t="str">
        <f>IFERROR(__xludf.DUMMYFUNCTION("""COMPUTED_VALUE"""),"OT1;
OT2;
OT3")</f>
        <v>OT1;
OT2;
OT3</v>
      </c>
      <c r="T1845" s="42"/>
      <c r="U1845" s="42" t="b">
        <f>IFERROR(__xludf.DUMMYFUNCTION("""COMPUTED_VALUE"""),FALSE)</f>
        <v>0</v>
      </c>
      <c r="V1845" s="42"/>
      <c r="W1845" s="42"/>
      <c r="X1845" s="42"/>
      <c r="Y1845" s="42"/>
      <c r="Z1845" s="42"/>
      <c r="AA1845" s="42"/>
      <c r="AB1845" s="42" t="str">
        <f>IFERROR(__xludf.DUMMYFUNCTION("""COMPUTED_VALUE"""),"allen institute")</f>
        <v>allen institute</v>
      </c>
      <c r="AC1845" s="42" t="str">
        <f>IFERROR(__xludf.DUMMYFUNCTION("""COMPUTED_VALUE"""),"DHBA")</f>
        <v>DHBA</v>
      </c>
      <c r="AD1845" s="42"/>
      <c r="AE1845" s="42"/>
      <c r="AF1845" s="9"/>
      <c r="AG1845" s="9"/>
      <c r="AH1845" s="42"/>
      <c r="AI1845" s="42"/>
      <c r="AJ1845" s="42"/>
      <c r="AK1845" s="42"/>
      <c r="AL1845" s="42"/>
      <c r="AM1845" s="42"/>
      <c r="AN1845" s="42"/>
      <c r="AO1845" s="63" t="str">
        <f>IFERROR(__xludf.DUMMYFUNCTION("IF(ISBLANK(A1845),,IF(ISBLANK(S1845), A1845&amp;"";"", TEXTJOIN(CHAR(10), TRUE, A1845&amp;"";"", ARRAYFORMULA(VLOOKUP(SPLIT(S1845, "";"" &amp; CHAR(10)), $A:$AO, 41, FALSE)))))"),"OT;
OT1;
OT2;
OT3;")</f>
        <v>OT;
OT1;
OT2;
OT3;</v>
      </c>
      <c r="AP1845" s="89"/>
    </row>
    <row r="1846">
      <c r="A1846" s="151" t="str">
        <f>IFERROR(__xludf.DUMMYFUNCTION("""COMPUTED_VALUE"""),"OT1")</f>
        <v>OT1</v>
      </c>
      <c r="B1846" s="42" t="str">
        <f>IFERROR(__xludf.DUMMYFUNCTION("""COMPUTED_VALUE"""),"DHBA")</f>
        <v>DHBA</v>
      </c>
      <c r="C1846" s="42" t="str">
        <f>IFERROR(__xludf.DUMMYFUNCTION("""COMPUTED_VALUE"""),"layer I olfactory tubercle")</f>
        <v>layer I olfactory tubercle</v>
      </c>
      <c r="D1846" s="42">
        <f>IFERROR(__xludf.DUMMYFUNCTION("""COMPUTED_VALUE"""),1742.0)</f>
        <v>1742</v>
      </c>
      <c r="E1846" s="39" t="str">
        <f>IFERROR(__xludf.DUMMYFUNCTION("""COMPUTED_VALUE"""),"layer I olfactory tubercle")</f>
        <v>layer I olfactory tubercle</v>
      </c>
      <c r="F1846" s="9" t="str">
        <f>IFERROR(__xludf.DUMMYFUNCTION("""COMPUTED_VALUE"""),"Br")</f>
        <v>Br</v>
      </c>
      <c r="G1846" s="9" t="str">
        <f>IFERROR(__xludf.DUMMYFUNCTION("""COMPUTED_VALUE"""),"F")</f>
        <v>F</v>
      </c>
      <c r="H1846" s="9" t="str">
        <f>IFERROR(__xludf.DUMMYFUNCTION("""COMPUTED_VALUE"""),"FGM")</f>
        <v>FGM</v>
      </c>
      <c r="I1846" s="9" t="str">
        <f>IFERROR(__xludf.DUMMYFUNCTION("""COMPUTED_VALUE"""),"Tel")</f>
        <v>Tel</v>
      </c>
      <c r="J1846" s="9" t="str">
        <f>IFERROR(__xludf.DUMMYFUNCTION("""COMPUTED_VALUE"""),"Cx")</f>
        <v>Cx</v>
      </c>
      <c r="K1846" s="9" t="str">
        <f>IFERROR(__xludf.DUMMYFUNCTION("""COMPUTED_VALUE"""),"ACx")</f>
        <v>ACx</v>
      </c>
      <c r="L1846" s="9" t="str">
        <f>IFERROR(__xludf.DUMMYFUNCTION("""COMPUTED_VALUE"""),"PalCx")</f>
        <v>PalCx</v>
      </c>
      <c r="M1846" s="9" t="str">
        <f>IFERROR(__xludf.DUMMYFUNCTION("""COMPUTED_VALUE"""),"OT")</f>
        <v>OT</v>
      </c>
      <c r="N1846" s="9" t="str">
        <f>IFERROR(__xludf.DUMMYFUNCTION("""COMPUTED_VALUE"""),"OT1")</f>
        <v>OT1</v>
      </c>
      <c r="O1846" s="9"/>
      <c r="P1846" s="9"/>
      <c r="Q1846" s="9"/>
      <c r="R1846" s="9"/>
      <c r="S1846" s="42"/>
      <c r="T1846" s="42"/>
      <c r="U1846" s="42"/>
      <c r="V1846" s="42"/>
      <c r="W1846" s="42"/>
      <c r="X1846" s="42"/>
      <c r="Y1846" s="42"/>
      <c r="Z1846" s="42"/>
      <c r="AA1846" s="42"/>
      <c r="AB1846" s="42" t="str">
        <f>IFERROR(__xludf.DUMMYFUNCTION("""COMPUTED_VALUE"""),"allen institute")</f>
        <v>allen institute</v>
      </c>
      <c r="AC1846" s="42" t="str">
        <f>IFERROR(__xludf.DUMMYFUNCTION("""COMPUTED_VALUE"""),"DHBA")</f>
        <v>DHBA</v>
      </c>
      <c r="AD1846" s="42"/>
      <c r="AE1846" s="42"/>
      <c r="AF1846" s="9"/>
      <c r="AG1846" s="9"/>
      <c r="AH1846" s="42"/>
      <c r="AI1846" s="42"/>
      <c r="AJ1846" s="42"/>
      <c r="AK1846" s="42"/>
      <c r="AL1846" s="42"/>
      <c r="AM1846" s="42"/>
      <c r="AN1846" s="42"/>
      <c r="AO1846" s="63" t="str">
        <f>IFERROR(__xludf.DUMMYFUNCTION("IF(ISBLANK(A1846),,IF(ISBLANK(S1846), A1846&amp;"";"", TEXTJOIN(CHAR(10), TRUE, A1846&amp;"";"", ARRAYFORMULA(VLOOKUP(SPLIT(S1846, "";"" &amp; CHAR(10)), $A:$AO, 41, FALSE)))))"),"OT1;")</f>
        <v>OT1;</v>
      </c>
      <c r="AP1846" s="89"/>
    </row>
    <row r="1847">
      <c r="A1847" s="151" t="str">
        <f>IFERROR(__xludf.DUMMYFUNCTION("""COMPUTED_VALUE"""),"OT2")</f>
        <v>OT2</v>
      </c>
      <c r="B1847" s="42" t="str">
        <f>IFERROR(__xludf.DUMMYFUNCTION("""COMPUTED_VALUE"""),"DHBA")</f>
        <v>DHBA</v>
      </c>
      <c r="C1847" s="42" t="str">
        <f>IFERROR(__xludf.DUMMYFUNCTION("""COMPUTED_VALUE"""),"layer II olfactory tubercle")</f>
        <v>layer II olfactory tubercle</v>
      </c>
      <c r="D1847" s="42">
        <f>IFERROR(__xludf.DUMMYFUNCTION("""COMPUTED_VALUE"""),1743.0)</f>
        <v>1743</v>
      </c>
      <c r="E1847" s="39" t="str">
        <f>IFERROR(__xludf.DUMMYFUNCTION("""COMPUTED_VALUE"""),"layer II olfactory tubercle")</f>
        <v>layer II olfactory tubercle</v>
      </c>
      <c r="F1847" s="9" t="str">
        <f>IFERROR(__xludf.DUMMYFUNCTION("""COMPUTED_VALUE"""),"Br")</f>
        <v>Br</v>
      </c>
      <c r="G1847" s="9" t="str">
        <f>IFERROR(__xludf.DUMMYFUNCTION("""COMPUTED_VALUE"""),"F")</f>
        <v>F</v>
      </c>
      <c r="H1847" s="9" t="str">
        <f>IFERROR(__xludf.DUMMYFUNCTION("""COMPUTED_VALUE"""),"FGM")</f>
        <v>FGM</v>
      </c>
      <c r="I1847" s="9" t="str">
        <f>IFERROR(__xludf.DUMMYFUNCTION("""COMPUTED_VALUE"""),"Tel")</f>
        <v>Tel</v>
      </c>
      <c r="J1847" s="9" t="str">
        <f>IFERROR(__xludf.DUMMYFUNCTION("""COMPUTED_VALUE"""),"Cx")</f>
        <v>Cx</v>
      </c>
      <c r="K1847" s="9" t="str">
        <f>IFERROR(__xludf.DUMMYFUNCTION("""COMPUTED_VALUE"""),"ACx")</f>
        <v>ACx</v>
      </c>
      <c r="L1847" s="9" t="str">
        <f>IFERROR(__xludf.DUMMYFUNCTION("""COMPUTED_VALUE"""),"PalCx")</f>
        <v>PalCx</v>
      </c>
      <c r="M1847" s="9" t="str">
        <f>IFERROR(__xludf.DUMMYFUNCTION("""COMPUTED_VALUE"""),"OT")</f>
        <v>OT</v>
      </c>
      <c r="N1847" s="9" t="str">
        <f>IFERROR(__xludf.DUMMYFUNCTION("""COMPUTED_VALUE"""),"OT2")</f>
        <v>OT2</v>
      </c>
      <c r="O1847" s="9"/>
      <c r="P1847" s="9"/>
      <c r="Q1847" s="9"/>
      <c r="R1847" s="9"/>
      <c r="S1847" s="42"/>
      <c r="T1847" s="42"/>
      <c r="U1847" s="42"/>
      <c r="V1847" s="42"/>
      <c r="W1847" s="42"/>
      <c r="X1847" s="42"/>
      <c r="Y1847" s="42"/>
      <c r="Z1847" s="42"/>
      <c r="AA1847" s="42"/>
      <c r="AB1847" s="42" t="str">
        <f>IFERROR(__xludf.DUMMYFUNCTION("""COMPUTED_VALUE"""),"allen institute")</f>
        <v>allen institute</v>
      </c>
      <c r="AC1847" s="42" t="str">
        <f>IFERROR(__xludf.DUMMYFUNCTION("""COMPUTED_VALUE"""),"DHBA")</f>
        <v>DHBA</v>
      </c>
      <c r="AD1847" s="42"/>
      <c r="AE1847" s="42"/>
      <c r="AF1847" s="9"/>
      <c r="AG1847" s="9"/>
      <c r="AH1847" s="42"/>
      <c r="AI1847" s="42"/>
      <c r="AJ1847" s="42"/>
      <c r="AK1847" s="42"/>
      <c r="AL1847" s="42"/>
      <c r="AM1847" s="42"/>
      <c r="AN1847" s="42"/>
      <c r="AO1847" s="63" t="str">
        <f>IFERROR(__xludf.DUMMYFUNCTION("IF(ISBLANK(A1847),,IF(ISBLANK(S1847), A1847&amp;"";"", TEXTJOIN(CHAR(10), TRUE, A1847&amp;"";"", ARRAYFORMULA(VLOOKUP(SPLIT(S1847, "";"" &amp; CHAR(10)), $A:$AO, 41, FALSE)))))"),"OT2;")</f>
        <v>OT2;</v>
      </c>
      <c r="AP1847" s="89"/>
    </row>
    <row r="1848">
      <c r="A1848" s="151" t="str">
        <f>IFERROR(__xludf.DUMMYFUNCTION("""COMPUTED_VALUE"""),"OT3")</f>
        <v>OT3</v>
      </c>
      <c r="B1848" s="42" t="str">
        <f>IFERROR(__xludf.DUMMYFUNCTION("""COMPUTED_VALUE"""),"DHBA")</f>
        <v>DHBA</v>
      </c>
      <c r="C1848" s="42" t="str">
        <f>IFERROR(__xludf.DUMMYFUNCTION("""COMPUTED_VALUE"""),"layer III olfactory tubercle")</f>
        <v>layer III olfactory tubercle</v>
      </c>
      <c r="D1848" s="42">
        <f>IFERROR(__xludf.DUMMYFUNCTION("""COMPUTED_VALUE"""),1744.0)</f>
        <v>1744</v>
      </c>
      <c r="E1848" s="39" t="str">
        <f>IFERROR(__xludf.DUMMYFUNCTION("""COMPUTED_VALUE"""),"layer III olfactory tubercle")</f>
        <v>layer III olfactory tubercle</v>
      </c>
      <c r="F1848" s="9" t="str">
        <f>IFERROR(__xludf.DUMMYFUNCTION("""COMPUTED_VALUE"""),"Br")</f>
        <v>Br</v>
      </c>
      <c r="G1848" s="9" t="str">
        <f>IFERROR(__xludf.DUMMYFUNCTION("""COMPUTED_VALUE"""),"F")</f>
        <v>F</v>
      </c>
      <c r="H1848" s="9" t="str">
        <f>IFERROR(__xludf.DUMMYFUNCTION("""COMPUTED_VALUE"""),"FGM")</f>
        <v>FGM</v>
      </c>
      <c r="I1848" s="9" t="str">
        <f>IFERROR(__xludf.DUMMYFUNCTION("""COMPUTED_VALUE"""),"Tel")</f>
        <v>Tel</v>
      </c>
      <c r="J1848" s="9" t="str">
        <f>IFERROR(__xludf.DUMMYFUNCTION("""COMPUTED_VALUE"""),"Cx")</f>
        <v>Cx</v>
      </c>
      <c r="K1848" s="9" t="str">
        <f>IFERROR(__xludf.DUMMYFUNCTION("""COMPUTED_VALUE"""),"ACx")</f>
        <v>ACx</v>
      </c>
      <c r="L1848" s="9" t="str">
        <f>IFERROR(__xludf.DUMMYFUNCTION("""COMPUTED_VALUE"""),"PalCx")</f>
        <v>PalCx</v>
      </c>
      <c r="M1848" s="9" t="str">
        <f>IFERROR(__xludf.DUMMYFUNCTION("""COMPUTED_VALUE"""),"OT")</f>
        <v>OT</v>
      </c>
      <c r="N1848" s="9" t="str">
        <f>IFERROR(__xludf.DUMMYFUNCTION("""COMPUTED_VALUE"""),"OT3")</f>
        <v>OT3</v>
      </c>
      <c r="O1848" s="9"/>
      <c r="P1848" s="9"/>
      <c r="Q1848" s="9"/>
      <c r="R1848" s="9"/>
      <c r="S1848" s="42"/>
      <c r="T1848" s="42"/>
      <c r="U1848" s="42"/>
      <c r="V1848" s="42"/>
      <c r="W1848" s="42"/>
      <c r="X1848" s="42"/>
      <c r="Y1848" s="42"/>
      <c r="Z1848" s="42"/>
      <c r="AA1848" s="42"/>
      <c r="AB1848" s="42" t="str">
        <f>IFERROR(__xludf.DUMMYFUNCTION("""COMPUTED_VALUE"""),"allen institute")</f>
        <v>allen institute</v>
      </c>
      <c r="AC1848" s="42" t="str">
        <f>IFERROR(__xludf.DUMMYFUNCTION("""COMPUTED_VALUE"""),"DHBA")</f>
        <v>DHBA</v>
      </c>
      <c r="AD1848" s="42"/>
      <c r="AE1848" s="42"/>
      <c r="AF1848" s="9"/>
      <c r="AG1848" s="9"/>
      <c r="AH1848" s="42"/>
      <c r="AI1848" s="42"/>
      <c r="AJ1848" s="42"/>
      <c r="AK1848" s="42"/>
      <c r="AL1848" s="42"/>
      <c r="AM1848" s="42"/>
      <c r="AN1848" s="42"/>
      <c r="AO1848" s="63" t="str">
        <f>IFERROR(__xludf.DUMMYFUNCTION("IF(ISBLANK(A1848),,IF(ISBLANK(S1848), A1848&amp;"";"", TEXTJOIN(CHAR(10), TRUE, A1848&amp;"";"", ARRAYFORMULA(VLOOKUP(SPLIT(S1848, "";"" &amp; CHAR(10)), $A:$AO, 41, FALSE)))))"),"OT3;")</f>
        <v>OT3;</v>
      </c>
      <c r="AP1848" s="89"/>
    </row>
    <row r="1849">
      <c r="A1849" s="151" t="str">
        <f>IFERROR(__xludf.DUMMYFUNCTION("""COMPUTED_VALUE"""),"LOA")</f>
        <v>LOA</v>
      </c>
      <c r="B1849" s="42" t="str">
        <f>IFERROR(__xludf.DUMMYFUNCTION("""COMPUTED_VALUE"""),"DHBA")</f>
        <v>DHBA</v>
      </c>
      <c r="C1849" s="42" t="str">
        <f>IFERROR(__xludf.DUMMYFUNCTION("""COMPUTED_VALUE"""),"lateral olfactory area")</f>
        <v>lateral olfactory area</v>
      </c>
      <c r="D1849" s="42">
        <f>IFERROR(__xludf.DUMMYFUNCTION("""COMPUTED_VALUE"""),1745.0)</f>
        <v>1745</v>
      </c>
      <c r="E1849" s="39" t="str">
        <f>IFERROR(__xludf.DUMMYFUNCTION("""COMPUTED_VALUE"""),"lateral olfactory area")</f>
        <v>lateral olfactory area</v>
      </c>
      <c r="F1849" s="9" t="str">
        <f>IFERROR(__xludf.DUMMYFUNCTION("""COMPUTED_VALUE"""),"Br")</f>
        <v>Br</v>
      </c>
      <c r="G1849" s="9" t="str">
        <f>IFERROR(__xludf.DUMMYFUNCTION("""COMPUTED_VALUE"""),"F")</f>
        <v>F</v>
      </c>
      <c r="H1849" s="9" t="str">
        <f>IFERROR(__xludf.DUMMYFUNCTION("""COMPUTED_VALUE"""),"FGM")</f>
        <v>FGM</v>
      </c>
      <c r="I1849" s="9" t="str">
        <f>IFERROR(__xludf.DUMMYFUNCTION("""COMPUTED_VALUE"""),"Tel")</f>
        <v>Tel</v>
      </c>
      <c r="J1849" s="9" t="str">
        <f>IFERROR(__xludf.DUMMYFUNCTION("""COMPUTED_VALUE"""),"Cx")</f>
        <v>Cx</v>
      </c>
      <c r="K1849" s="9" t="str">
        <f>IFERROR(__xludf.DUMMYFUNCTION("""COMPUTED_VALUE"""),"ACx")</f>
        <v>ACx</v>
      </c>
      <c r="L1849" s="9" t="str">
        <f>IFERROR(__xludf.DUMMYFUNCTION("""COMPUTED_VALUE"""),"PalCx")</f>
        <v>PalCx</v>
      </c>
      <c r="M1849" s="9" t="str">
        <f>IFERROR(__xludf.DUMMYFUNCTION("""COMPUTED_VALUE"""),"LOA")</f>
        <v>LOA</v>
      </c>
      <c r="N1849" s="9"/>
      <c r="O1849" s="9"/>
      <c r="P1849" s="9"/>
      <c r="Q1849" s="9"/>
      <c r="R1849" s="9"/>
      <c r="S1849" s="42" t="str">
        <f>IFERROR(__xludf.DUMMYFUNCTION("""COMPUTED_VALUE"""),"LOA1;
LOA2;
LOA3;
LOAlc;
LOAdc")</f>
        <v>LOA1;
LOA2;
LOA3;
LOAlc;
LOAdc</v>
      </c>
      <c r="T1849" s="42"/>
      <c r="U1849" s="42" t="b">
        <f>IFERROR(__xludf.DUMMYFUNCTION("""COMPUTED_VALUE"""),FALSE)</f>
        <v>0</v>
      </c>
      <c r="V1849" s="42"/>
      <c r="W1849" s="42"/>
      <c r="X1849" s="42"/>
      <c r="Y1849" s="42"/>
      <c r="Z1849" s="42"/>
      <c r="AA1849" s="42"/>
      <c r="AB1849" s="42" t="str">
        <f>IFERROR(__xludf.DUMMYFUNCTION("""COMPUTED_VALUE"""),"allen institute")</f>
        <v>allen institute</v>
      </c>
      <c r="AC1849" s="42" t="str">
        <f>IFERROR(__xludf.DUMMYFUNCTION("""COMPUTED_VALUE"""),"DHBA")</f>
        <v>DHBA</v>
      </c>
      <c r="AD1849" s="42"/>
      <c r="AE1849" s="42"/>
      <c r="AF1849" s="9"/>
      <c r="AG1849" s="9"/>
      <c r="AH1849" s="42"/>
      <c r="AI1849" s="42"/>
      <c r="AJ1849" s="42"/>
      <c r="AK1849" s="42"/>
      <c r="AL1849" s="42"/>
      <c r="AM1849" s="42"/>
      <c r="AN1849" s="42"/>
      <c r="AO1849" s="63" t="str">
        <f>IFERROR(__xludf.DUMMYFUNCTION("IF(ISBLANK(A1849),,IF(ISBLANK(S1849), A1849&amp;"";"", TEXTJOIN(CHAR(10), TRUE, A1849&amp;"";"", ARRAYFORMULA(VLOOKUP(SPLIT(S1849, "";"" &amp; CHAR(10)), $A:$AO, 41, FALSE)))))"),"LOA;
LOA1;
LOA2;
LOA3;
LOAlc;
LOAdc;")</f>
        <v>LOA;
LOA1;
LOA2;
LOA3;
LOAlc;
LOAdc;</v>
      </c>
      <c r="AP1849" s="89"/>
    </row>
    <row r="1850">
      <c r="A1850" s="151" t="str">
        <f>IFERROR(__xludf.DUMMYFUNCTION("""COMPUTED_VALUE"""),"LOA1")</f>
        <v>LOA1</v>
      </c>
      <c r="B1850" s="42" t="str">
        <f>IFERROR(__xludf.DUMMYFUNCTION("""COMPUTED_VALUE"""),"DHBA")</f>
        <v>DHBA</v>
      </c>
      <c r="C1850" s="42" t="str">
        <f>IFERROR(__xludf.DUMMYFUNCTION("""COMPUTED_VALUE"""),"layer I of lateral olfactory area")</f>
        <v>layer I of lateral olfactory area</v>
      </c>
      <c r="D1850" s="42">
        <f>IFERROR(__xludf.DUMMYFUNCTION("""COMPUTED_VALUE"""),1746.0)</f>
        <v>1746</v>
      </c>
      <c r="E1850" s="39" t="str">
        <f>IFERROR(__xludf.DUMMYFUNCTION("""COMPUTED_VALUE"""),"layer I of lateral olfactory area")</f>
        <v>layer I of lateral olfactory area</v>
      </c>
      <c r="F1850" s="9" t="str">
        <f>IFERROR(__xludf.DUMMYFUNCTION("""COMPUTED_VALUE"""),"Br")</f>
        <v>Br</v>
      </c>
      <c r="G1850" s="9" t="str">
        <f>IFERROR(__xludf.DUMMYFUNCTION("""COMPUTED_VALUE"""),"F")</f>
        <v>F</v>
      </c>
      <c r="H1850" s="9" t="str">
        <f>IFERROR(__xludf.DUMMYFUNCTION("""COMPUTED_VALUE"""),"FGM")</f>
        <v>FGM</v>
      </c>
      <c r="I1850" s="9" t="str">
        <f>IFERROR(__xludf.DUMMYFUNCTION("""COMPUTED_VALUE"""),"Tel")</f>
        <v>Tel</v>
      </c>
      <c r="J1850" s="9" t="str">
        <f>IFERROR(__xludf.DUMMYFUNCTION("""COMPUTED_VALUE"""),"Cx")</f>
        <v>Cx</v>
      </c>
      <c r="K1850" s="9" t="str">
        <f>IFERROR(__xludf.DUMMYFUNCTION("""COMPUTED_VALUE"""),"ACx")</f>
        <v>ACx</v>
      </c>
      <c r="L1850" s="9" t="str">
        <f>IFERROR(__xludf.DUMMYFUNCTION("""COMPUTED_VALUE"""),"PalCx")</f>
        <v>PalCx</v>
      </c>
      <c r="M1850" s="9" t="str">
        <f>IFERROR(__xludf.DUMMYFUNCTION("""COMPUTED_VALUE"""),"LOA")</f>
        <v>LOA</v>
      </c>
      <c r="N1850" s="9" t="str">
        <f>IFERROR(__xludf.DUMMYFUNCTION("""COMPUTED_VALUE"""),"LOA1")</f>
        <v>LOA1</v>
      </c>
      <c r="O1850" s="9"/>
      <c r="P1850" s="9"/>
      <c r="Q1850" s="9"/>
      <c r="R1850" s="9"/>
      <c r="S1850" s="42"/>
      <c r="T1850" s="42"/>
      <c r="U1850" s="159"/>
      <c r="V1850" s="42"/>
      <c r="W1850" s="42"/>
      <c r="X1850" s="42"/>
      <c r="Y1850" s="42"/>
      <c r="Z1850" s="42"/>
      <c r="AA1850" s="42"/>
      <c r="AB1850" s="42" t="str">
        <f>IFERROR(__xludf.DUMMYFUNCTION("""COMPUTED_VALUE"""),"allen institute")</f>
        <v>allen institute</v>
      </c>
      <c r="AC1850" s="42" t="str">
        <f>IFERROR(__xludf.DUMMYFUNCTION("""COMPUTED_VALUE"""),"DHBA")</f>
        <v>DHBA</v>
      </c>
      <c r="AD1850" s="42"/>
      <c r="AE1850" s="42"/>
      <c r="AF1850" s="9"/>
      <c r="AG1850" s="9"/>
      <c r="AH1850" s="42"/>
      <c r="AI1850" s="42"/>
      <c r="AJ1850" s="42"/>
      <c r="AK1850" s="42"/>
      <c r="AL1850" s="42"/>
      <c r="AM1850" s="42"/>
      <c r="AN1850" s="42"/>
      <c r="AO1850" s="63" t="str">
        <f>IFERROR(__xludf.DUMMYFUNCTION("IF(ISBLANK(A1850),,IF(ISBLANK(S1850), A1850&amp;"";"", TEXTJOIN(CHAR(10), TRUE, A1850&amp;"";"", ARRAYFORMULA(VLOOKUP(SPLIT(S1850, "";"" &amp; CHAR(10)), $A:$AO, 41, FALSE)))))"),"LOA1;")</f>
        <v>LOA1;</v>
      </c>
      <c r="AP1850" s="89"/>
    </row>
    <row r="1851">
      <c r="A1851" s="151" t="str">
        <f>IFERROR(__xludf.DUMMYFUNCTION("""COMPUTED_VALUE"""),"LOA2")</f>
        <v>LOA2</v>
      </c>
      <c r="B1851" s="42" t="str">
        <f>IFERROR(__xludf.DUMMYFUNCTION("""COMPUTED_VALUE"""),"DHBA")</f>
        <v>DHBA</v>
      </c>
      <c r="C1851" s="42" t="str">
        <f>IFERROR(__xludf.DUMMYFUNCTION("""COMPUTED_VALUE"""),"layer II of lateral olfactory area")</f>
        <v>layer II of lateral olfactory area</v>
      </c>
      <c r="D1851" s="42">
        <f>IFERROR(__xludf.DUMMYFUNCTION("""COMPUTED_VALUE"""),1747.0)</f>
        <v>1747</v>
      </c>
      <c r="E1851" s="39" t="str">
        <f>IFERROR(__xludf.DUMMYFUNCTION("""COMPUTED_VALUE"""),"layer II of lateral olfactory area")</f>
        <v>layer II of lateral olfactory area</v>
      </c>
      <c r="F1851" s="9" t="str">
        <f>IFERROR(__xludf.DUMMYFUNCTION("""COMPUTED_VALUE"""),"Br")</f>
        <v>Br</v>
      </c>
      <c r="G1851" s="9" t="str">
        <f>IFERROR(__xludf.DUMMYFUNCTION("""COMPUTED_VALUE"""),"F")</f>
        <v>F</v>
      </c>
      <c r="H1851" s="9" t="str">
        <f>IFERROR(__xludf.DUMMYFUNCTION("""COMPUTED_VALUE"""),"FGM")</f>
        <v>FGM</v>
      </c>
      <c r="I1851" s="9" t="str">
        <f>IFERROR(__xludf.DUMMYFUNCTION("""COMPUTED_VALUE"""),"Tel")</f>
        <v>Tel</v>
      </c>
      <c r="J1851" s="9" t="str">
        <f>IFERROR(__xludf.DUMMYFUNCTION("""COMPUTED_VALUE"""),"Cx")</f>
        <v>Cx</v>
      </c>
      <c r="K1851" s="9" t="str">
        <f>IFERROR(__xludf.DUMMYFUNCTION("""COMPUTED_VALUE"""),"ACx")</f>
        <v>ACx</v>
      </c>
      <c r="L1851" s="9" t="str">
        <f>IFERROR(__xludf.DUMMYFUNCTION("""COMPUTED_VALUE"""),"PalCx")</f>
        <v>PalCx</v>
      </c>
      <c r="M1851" s="9" t="str">
        <f>IFERROR(__xludf.DUMMYFUNCTION("""COMPUTED_VALUE"""),"LOA")</f>
        <v>LOA</v>
      </c>
      <c r="N1851" s="9" t="str">
        <f>IFERROR(__xludf.DUMMYFUNCTION("""COMPUTED_VALUE"""),"LOA2")</f>
        <v>LOA2</v>
      </c>
      <c r="O1851" s="9"/>
      <c r="P1851" s="9"/>
      <c r="Q1851" s="9"/>
      <c r="R1851" s="9"/>
      <c r="S1851" s="42"/>
      <c r="T1851" s="42"/>
      <c r="U1851" s="42"/>
      <c r="V1851" s="42"/>
      <c r="W1851" s="42"/>
      <c r="X1851" s="42"/>
      <c r="Y1851" s="42"/>
      <c r="Z1851" s="42"/>
      <c r="AA1851" s="42"/>
      <c r="AB1851" s="42" t="str">
        <f>IFERROR(__xludf.DUMMYFUNCTION("""COMPUTED_VALUE"""),"allen institute")</f>
        <v>allen institute</v>
      </c>
      <c r="AC1851" s="42" t="str">
        <f>IFERROR(__xludf.DUMMYFUNCTION("""COMPUTED_VALUE"""),"DHBA")</f>
        <v>DHBA</v>
      </c>
      <c r="AD1851" s="42"/>
      <c r="AE1851" s="42"/>
      <c r="AF1851" s="9"/>
      <c r="AG1851" s="9"/>
      <c r="AH1851" s="42"/>
      <c r="AI1851" s="42"/>
      <c r="AJ1851" s="42"/>
      <c r="AK1851" s="42"/>
      <c r="AL1851" s="42"/>
      <c r="AM1851" s="42"/>
      <c r="AN1851" s="42"/>
      <c r="AO1851" s="63" t="str">
        <f>IFERROR(__xludf.DUMMYFUNCTION("IF(ISBLANK(A1851),,IF(ISBLANK(S1851), A1851&amp;"";"", TEXTJOIN(CHAR(10), TRUE, A1851&amp;"";"", ARRAYFORMULA(VLOOKUP(SPLIT(S1851, "";"" &amp; CHAR(10)), $A:$AO, 41, FALSE)))))"),"LOA2;")</f>
        <v>LOA2;</v>
      </c>
      <c r="AP1851" s="89"/>
    </row>
    <row r="1852">
      <c r="A1852" s="151" t="str">
        <f>IFERROR(__xludf.DUMMYFUNCTION("""COMPUTED_VALUE"""),"LOA3")</f>
        <v>LOA3</v>
      </c>
      <c r="B1852" s="42" t="str">
        <f>IFERROR(__xludf.DUMMYFUNCTION("""COMPUTED_VALUE"""),"DHBA")</f>
        <v>DHBA</v>
      </c>
      <c r="C1852" s="42" t="str">
        <f>IFERROR(__xludf.DUMMYFUNCTION("""COMPUTED_VALUE"""),"layer III of lateral olfactory area")</f>
        <v>layer III of lateral olfactory area</v>
      </c>
      <c r="D1852" s="42">
        <f>IFERROR(__xludf.DUMMYFUNCTION("""COMPUTED_VALUE"""),1748.0)</f>
        <v>1748</v>
      </c>
      <c r="E1852" s="39" t="str">
        <f>IFERROR(__xludf.DUMMYFUNCTION("""COMPUTED_VALUE"""),"layer III of lateral olfactory area")</f>
        <v>layer III of lateral olfactory area</v>
      </c>
      <c r="F1852" s="9" t="str">
        <f>IFERROR(__xludf.DUMMYFUNCTION("""COMPUTED_VALUE"""),"Br")</f>
        <v>Br</v>
      </c>
      <c r="G1852" s="9" t="str">
        <f>IFERROR(__xludf.DUMMYFUNCTION("""COMPUTED_VALUE"""),"F")</f>
        <v>F</v>
      </c>
      <c r="H1852" s="9" t="str">
        <f>IFERROR(__xludf.DUMMYFUNCTION("""COMPUTED_VALUE"""),"FGM")</f>
        <v>FGM</v>
      </c>
      <c r="I1852" s="9" t="str">
        <f>IFERROR(__xludf.DUMMYFUNCTION("""COMPUTED_VALUE"""),"Tel")</f>
        <v>Tel</v>
      </c>
      <c r="J1852" s="9" t="str">
        <f>IFERROR(__xludf.DUMMYFUNCTION("""COMPUTED_VALUE"""),"Cx")</f>
        <v>Cx</v>
      </c>
      <c r="K1852" s="9" t="str">
        <f>IFERROR(__xludf.DUMMYFUNCTION("""COMPUTED_VALUE"""),"ACx")</f>
        <v>ACx</v>
      </c>
      <c r="L1852" s="9" t="str">
        <f>IFERROR(__xludf.DUMMYFUNCTION("""COMPUTED_VALUE"""),"PalCx")</f>
        <v>PalCx</v>
      </c>
      <c r="M1852" s="9" t="str">
        <f>IFERROR(__xludf.DUMMYFUNCTION("""COMPUTED_VALUE"""),"LOA")</f>
        <v>LOA</v>
      </c>
      <c r="N1852" s="9" t="str">
        <f>IFERROR(__xludf.DUMMYFUNCTION("""COMPUTED_VALUE"""),"LOA3")</f>
        <v>LOA3</v>
      </c>
      <c r="O1852" s="9"/>
      <c r="P1852" s="9"/>
      <c r="Q1852" s="9"/>
      <c r="R1852" s="9"/>
      <c r="S1852" s="42"/>
      <c r="T1852" s="42"/>
      <c r="U1852" s="42"/>
      <c r="V1852" s="42"/>
      <c r="W1852" s="42"/>
      <c r="X1852" s="42"/>
      <c r="Y1852" s="42"/>
      <c r="Z1852" s="42"/>
      <c r="AA1852" s="42"/>
      <c r="AB1852" s="42" t="str">
        <f>IFERROR(__xludf.DUMMYFUNCTION("""COMPUTED_VALUE"""),"allen institute")</f>
        <v>allen institute</v>
      </c>
      <c r="AC1852" s="42" t="str">
        <f>IFERROR(__xludf.DUMMYFUNCTION("""COMPUTED_VALUE"""),"DHBA")</f>
        <v>DHBA</v>
      </c>
      <c r="AD1852" s="42"/>
      <c r="AE1852" s="42"/>
      <c r="AF1852" s="9"/>
      <c r="AG1852" s="9"/>
      <c r="AH1852" s="42"/>
      <c r="AI1852" s="42"/>
      <c r="AJ1852" s="42"/>
      <c r="AK1852" s="42"/>
      <c r="AL1852" s="42"/>
      <c r="AM1852" s="42"/>
      <c r="AN1852" s="42"/>
      <c r="AO1852" s="63" t="str">
        <f>IFERROR(__xludf.DUMMYFUNCTION("IF(ISBLANK(A1852),,IF(ISBLANK(S1852), A1852&amp;"";"", TEXTJOIN(CHAR(10), TRUE, A1852&amp;"";"", ARRAYFORMULA(VLOOKUP(SPLIT(S1852, "";"" &amp; CHAR(10)), $A:$AO, 41, FALSE)))))"),"LOA3;")</f>
        <v>LOA3;</v>
      </c>
      <c r="AP1852" s="89"/>
    </row>
    <row r="1853">
      <c r="A1853" s="151" t="str">
        <f>IFERROR(__xludf.DUMMYFUNCTION("""COMPUTED_VALUE"""),"LOAlc")</f>
        <v>LOAlc</v>
      </c>
      <c r="B1853" s="42" t="str">
        <f>IFERROR(__xludf.DUMMYFUNCTION("""COMPUTED_VALUE"""),"DHBA")</f>
        <v>DHBA</v>
      </c>
      <c r="C1853" s="42" t="str">
        <f>IFERROR(__xludf.DUMMYFUNCTION("""COMPUTED_VALUE"""),"lightly-stained cell islands of lateral olfactory area")</f>
        <v>lightly-stained cell islands of lateral olfactory area</v>
      </c>
      <c r="D1853" s="42">
        <f>IFERROR(__xludf.DUMMYFUNCTION("""COMPUTED_VALUE"""),1749.0)</f>
        <v>1749</v>
      </c>
      <c r="E1853" s="39" t="str">
        <f>IFERROR(__xludf.DUMMYFUNCTION("""COMPUTED_VALUE"""),"lightly-stained cell islands of lateral olfactory area")</f>
        <v>lightly-stained cell islands of lateral olfactory area</v>
      </c>
      <c r="F1853" s="9" t="str">
        <f>IFERROR(__xludf.DUMMYFUNCTION("""COMPUTED_VALUE"""),"Br")</f>
        <v>Br</v>
      </c>
      <c r="G1853" s="9" t="str">
        <f>IFERROR(__xludf.DUMMYFUNCTION("""COMPUTED_VALUE"""),"F")</f>
        <v>F</v>
      </c>
      <c r="H1853" s="9" t="str">
        <f>IFERROR(__xludf.DUMMYFUNCTION("""COMPUTED_VALUE"""),"FGM")</f>
        <v>FGM</v>
      </c>
      <c r="I1853" s="9" t="str">
        <f>IFERROR(__xludf.DUMMYFUNCTION("""COMPUTED_VALUE"""),"Tel")</f>
        <v>Tel</v>
      </c>
      <c r="J1853" s="9" t="str">
        <f>IFERROR(__xludf.DUMMYFUNCTION("""COMPUTED_VALUE"""),"Cx")</f>
        <v>Cx</v>
      </c>
      <c r="K1853" s="9" t="str">
        <f>IFERROR(__xludf.DUMMYFUNCTION("""COMPUTED_VALUE"""),"ACx")</f>
        <v>ACx</v>
      </c>
      <c r="L1853" s="9" t="str">
        <f>IFERROR(__xludf.DUMMYFUNCTION("""COMPUTED_VALUE"""),"PalCx")</f>
        <v>PalCx</v>
      </c>
      <c r="M1853" s="9" t="str">
        <f>IFERROR(__xludf.DUMMYFUNCTION("""COMPUTED_VALUE"""),"LOA")</f>
        <v>LOA</v>
      </c>
      <c r="N1853" s="9" t="str">
        <f>IFERROR(__xludf.DUMMYFUNCTION("""COMPUTED_VALUE"""),"LOAlc")</f>
        <v>LOAlc</v>
      </c>
      <c r="O1853" s="9"/>
      <c r="P1853" s="9"/>
      <c r="Q1853" s="9"/>
      <c r="R1853" s="9"/>
      <c r="S1853" s="42"/>
      <c r="T1853" s="42"/>
      <c r="U1853" s="42"/>
      <c r="V1853" s="42"/>
      <c r="W1853" s="42"/>
      <c r="X1853" s="42"/>
      <c r="Y1853" s="42"/>
      <c r="Z1853" s="42"/>
      <c r="AA1853" s="42"/>
      <c r="AB1853" s="42" t="str">
        <f>IFERROR(__xludf.DUMMYFUNCTION("""COMPUTED_VALUE"""),"allen institute")</f>
        <v>allen institute</v>
      </c>
      <c r="AC1853" s="42" t="str">
        <f>IFERROR(__xludf.DUMMYFUNCTION("""COMPUTED_VALUE"""),"DHBA")</f>
        <v>DHBA</v>
      </c>
      <c r="AD1853" s="42"/>
      <c r="AE1853" s="42"/>
      <c r="AF1853" s="9"/>
      <c r="AG1853" s="9"/>
      <c r="AH1853" s="42"/>
      <c r="AI1853" s="42"/>
      <c r="AJ1853" s="42"/>
      <c r="AK1853" s="42"/>
      <c r="AL1853" s="42"/>
      <c r="AM1853" s="42"/>
      <c r="AN1853" s="42"/>
      <c r="AO1853" s="63" t="str">
        <f>IFERROR(__xludf.DUMMYFUNCTION("IF(ISBLANK(A1853),,IF(ISBLANK(S1853), A1853&amp;"";"", TEXTJOIN(CHAR(10), TRUE, A1853&amp;"";"", ARRAYFORMULA(VLOOKUP(SPLIT(S1853, "";"" &amp; CHAR(10)), $A:$AO, 41, FALSE)))))"),"LOAlc;")</f>
        <v>LOAlc;</v>
      </c>
      <c r="AP1853" s="89"/>
    </row>
    <row r="1854">
      <c r="A1854" s="151" t="str">
        <f>IFERROR(__xludf.DUMMYFUNCTION("""COMPUTED_VALUE"""),"LOAdc")</f>
        <v>LOAdc</v>
      </c>
      <c r="B1854" s="42" t="str">
        <f>IFERROR(__xludf.DUMMYFUNCTION("""COMPUTED_VALUE"""),"DHBA")</f>
        <v>DHBA</v>
      </c>
      <c r="C1854" s="42" t="str">
        <f>IFERROR(__xludf.DUMMYFUNCTION("""COMPUTED_VALUE"""),"darkly-stained cell islands of lateral olfactory area")</f>
        <v>darkly-stained cell islands of lateral olfactory area</v>
      </c>
      <c r="D1854" s="42">
        <f>IFERROR(__xludf.DUMMYFUNCTION("""COMPUTED_VALUE"""),1750.0)</f>
        <v>1750</v>
      </c>
      <c r="E1854" s="39" t="str">
        <f>IFERROR(__xludf.DUMMYFUNCTION("""COMPUTED_VALUE"""),"darkly-stained cell islands of lateral olfactory area")</f>
        <v>darkly-stained cell islands of lateral olfactory area</v>
      </c>
      <c r="F1854" s="9" t="str">
        <f>IFERROR(__xludf.DUMMYFUNCTION("""COMPUTED_VALUE"""),"Br")</f>
        <v>Br</v>
      </c>
      <c r="G1854" s="9" t="str">
        <f>IFERROR(__xludf.DUMMYFUNCTION("""COMPUTED_VALUE"""),"F")</f>
        <v>F</v>
      </c>
      <c r="H1854" s="9" t="str">
        <f>IFERROR(__xludf.DUMMYFUNCTION("""COMPUTED_VALUE"""),"FGM")</f>
        <v>FGM</v>
      </c>
      <c r="I1854" s="9" t="str">
        <f>IFERROR(__xludf.DUMMYFUNCTION("""COMPUTED_VALUE"""),"Tel")</f>
        <v>Tel</v>
      </c>
      <c r="J1854" s="9" t="str">
        <f>IFERROR(__xludf.DUMMYFUNCTION("""COMPUTED_VALUE"""),"Cx")</f>
        <v>Cx</v>
      </c>
      <c r="K1854" s="9" t="str">
        <f>IFERROR(__xludf.DUMMYFUNCTION("""COMPUTED_VALUE"""),"ACx")</f>
        <v>ACx</v>
      </c>
      <c r="L1854" s="9" t="str">
        <f>IFERROR(__xludf.DUMMYFUNCTION("""COMPUTED_VALUE"""),"PalCx")</f>
        <v>PalCx</v>
      </c>
      <c r="M1854" s="9" t="str">
        <f>IFERROR(__xludf.DUMMYFUNCTION("""COMPUTED_VALUE"""),"LOA")</f>
        <v>LOA</v>
      </c>
      <c r="N1854" s="9" t="str">
        <f>IFERROR(__xludf.DUMMYFUNCTION("""COMPUTED_VALUE"""),"LOAdc")</f>
        <v>LOAdc</v>
      </c>
      <c r="O1854" s="9"/>
      <c r="P1854" s="9"/>
      <c r="Q1854" s="9"/>
      <c r="R1854" s="9"/>
      <c r="S1854" s="42"/>
      <c r="T1854" s="42"/>
      <c r="U1854" s="159"/>
      <c r="V1854" s="42"/>
      <c r="W1854" s="42"/>
      <c r="X1854" s="42"/>
      <c r="Y1854" s="42"/>
      <c r="Z1854" s="42"/>
      <c r="AA1854" s="42"/>
      <c r="AB1854" s="42" t="str">
        <f>IFERROR(__xludf.DUMMYFUNCTION("""COMPUTED_VALUE"""),"allen institute")</f>
        <v>allen institute</v>
      </c>
      <c r="AC1854" s="42" t="str">
        <f>IFERROR(__xludf.DUMMYFUNCTION("""COMPUTED_VALUE"""),"DHBA")</f>
        <v>DHBA</v>
      </c>
      <c r="AD1854" s="42"/>
      <c r="AE1854" s="42"/>
      <c r="AF1854" s="9"/>
      <c r="AG1854" s="9"/>
      <c r="AH1854" s="42"/>
      <c r="AI1854" s="42"/>
      <c r="AJ1854" s="42"/>
      <c r="AK1854" s="42"/>
      <c r="AL1854" s="42"/>
      <c r="AM1854" s="42"/>
      <c r="AN1854" s="42"/>
      <c r="AO1854" s="63" t="str">
        <f>IFERROR(__xludf.DUMMYFUNCTION("IF(ISBLANK(A1854),,IF(ISBLANK(S1854), A1854&amp;"";"", TEXTJOIN(CHAR(10), TRUE, A1854&amp;"";"", ARRAYFORMULA(VLOOKUP(SPLIT(S1854, "";"" &amp; CHAR(10)), $A:$AO, 41, FALSE)))))"),"LOAdc;")</f>
        <v>LOAdc;</v>
      </c>
      <c r="AP1854" s="89"/>
    </row>
    <row r="1855">
      <c r="A1855" s="151" t="str">
        <f>IFERROR(__xludf.DUMMYFUNCTION("""COMPUTED_VALUE"""),"Pir")</f>
        <v>Pir</v>
      </c>
      <c r="B1855" s="42" t="str">
        <f>IFERROR(__xludf.DUMMYFUNCTION("""COMPUTED_VALUE"""),"DHBA")</f>
        <v>DHBA</v>
      </c>
      <c r="C1855" s="42" t="str">
        <f>IFERROR(__xludf.DUMMYFUNCTION("""COMPUTED_VALUE"""),"Piriform cortex, PC")</f>
        <v>Piriform cortex, PC</v>
      </c>
      <c r="D1855" s="42">
        <f>IFERROR(__xludf.DUMMYFUNCTION("""COMPUTED_VALUE"""),1751.0)</f>
        <v>1751</v>
      </c>
      <c r="E1855" s="39" t="str">
        <f>IFERROR(__xludf.DUMMYFUNCTION("""COMPUTED_VALUE"""),"piriform cortex")</f>
        <v>piriform cortex</v>
      </c>
      <c r="F1855" s="9" t="str">
        <f>IFERROR(__xludf.DUMMYFUNCTION("""COMPUTED_VALUE"""),"Br")</f>
        <v>Br</v>
      </c>
      <c r="G1855" s="9" t="str">
        <f>IFERROR(__xludf.DUMMYFUNCTION("""COMPUTED_VALUE"""),"F")</f>
        <v>F</v>
      </c>
      <c r="H1855" s="9" t="str">
        <f>IFERROR(__xludf.DUMMYFUNCTION("""COMPUTED_VALUE"""),"FGM")</f>
        <v>FGM</v>
      </c>
      <c r="I1855" s="9" t="str">
        <f>IFERROR(__xludf.DUMMYFUNCTION("""COMPUTED_VALUE"""),"Tel")</f>
        <v>Tel</v>
      </c>
      <c r="J1855" s="9" t="str">
        <f>IFERROR(__xludf.DUMMYFUNCTION("""COMPUTED_VALUE"""),"Cx")</f>
        <v>Cx</v>
      </c>
      <c r="K1855" s="9" t="str">
        <f>IFERROR(__xludf.DUMMYFUNCTION("""COMPUTED_VALUE"""),"ACx")</f>
        <v>ACx</v>
      </c>
      <c r="L1855" s="9" t="str">
        <f>IFERROR(__xludf.DUMMYFUNCTION("""COMPUTED_VALUE"""),"PalCx")</f>
        <v>PalCx</v>
      </c>
      <c r="M1855" s="9" t="str">
        <f>IFERROR(__xludf.DUMMYFUNCTION("""COMPUTED_VALUE"""),"Pir")</f>
        <v>Pir</v>
      </c>
      <c r="N1855" s="9"/>
      <c r="O1855" s="9"/>
      <c r="P1855" s="9"/>
      <c r="Q1855" s="9"/>
      <c r="R1855" s="9"/>
      <c r="S1855" s="42" t="str">
        <f>IFERROR(__xludf.DUMMYFUNCTION("""COMPUTED_VALUE"""),"Pir1;
Pir2;
Pir3")</f>
        <v>Pir1;
Pir2;
Pir3</v>
      </c>
      <c r="T1855" s="42"/>
      <c r="U1855" s="159" t="b">
        <f>IFERROR(__xludf.DUMMYFUNCTION("""COMPUTED_VALUE"""),FALSE)</f>
        <v>0</v>
      </c>
      <c r="V1855" s="42"/>
      <c r="W1855" s="42"/>
      <c r="X1855" s="42"/>
      <c r="Y1855" s="42"/>
      <c r="Z1855" s="42"/>
      <c r="AA1855" s="42"/>
      <c r="AB1855" s="42" t="str">
        <f>IFERROR(__xludf.DUMMYFUNCTION("""COMPUTED_VALUE"""),"allen institute")</f>
        <v>allen institute</v>
      </c>
      <c r="AC1855" s="42" t="str">
        <f>IFERROR(__xludf.DUMMYFUNCTION("""COMPUTED_VALUE"""),"DHBA")</f>
        <v>DHBA</v>
      </c>
      <c r="AD1855" s="42"/>
      <c r="AE1855" s="42"/>
      <c r="AF1855" s="9"/>
      <c r="AG1855" s="9"/>
      <c r="AH1855" s="42"/>
      <c r="AI1855" s="42"/>
      <c r="AJ1855" s="42"/>
      <c r="AK1855" s="42"/>
      <c r="AL1855" s="42"/>
      <c r="AM1855" s="42"/>
      <c r="AN1855" s="42"/>
      <c r="AO1855" s="63" t="str">
        <f>IFERROR(__xludf.DUMMYFUNCTION("IF(ISBLANK(A1855),,IF(ISBLANK(S1855), A1855&amp;"";"", TEXTJOIN(CHAR(10), TRUE, A1855&amp;"";"", ARRAYFORMULA(VLOOKUP(SPLIT(S1855, "";"" &amp; CHAR(10)), $A:$AO, 41, FALSE)))))"),"Pir;
Pir1;
Pir2;
Pir3;")</f>
        <v>Pir;
Pir1;
Pir2;
Pir3;</v>
      </c>
      <c r="AP1855" s="89"/>
    </row>
    <row r="1856">
      <c r="A1856" s="151" t="str">
        <f>IFERROR(__xludf.DUMMYFUNCTION("""COMPUTED_VALUE"""),"Pir1")</f>
        <v>Pir1</v>
      </c>
      <c r="B1856" s="42" t="str">
        <f>IFERROR(__xludf.DUMMYFUNCTION("""COMPUTED_VALUE"""),"DHBA")</f>
        <v>DHBA</v>
      </c>
      <c r="C1856" s="42" t="str">
        <f>IFERROR(__xludf.DUMMYFUNCTION("""COMPUTED_VALUE"""),"layer I of piriform cortex")</f>
        <v>layer I of piriform cortex</v>
      </c>
      <c r="D1856" s="42">
        <f>IFERROR(__xludf.DUMMYFUNCTION("""COMPUTED_VALUE"""),1752.0)</f>
        <v>1752</v>
      </c>
      <c r="E1856" s="39" t="str">
        <f>IFERROR(__xludf.DUMMYFUNCTION("""COMPUTED_VALUE"""),"layer I of piriform cortex")</f>
        <v>layer I of piriform cortex</v>
      </c>
      <c r="F1856" s="9" t="str">
        <f>IFERROR(__xludf.DUMMYFUNCTION("""COMPUTED_VALUE"""),"Br")</f>
        <v>Br</v>
      </c>
      <c r="G1856" s="9" t="str">
        <f>IFERROR(__xludf.DUMMYFUNCTION("""COMPUTED_VALUE"""),"F")</f>
        <v>F</v>
      </c>
      <c r="H1856" s="9" t="str">
        <f>IFERROR(__xludf.DUMMYFUNCTION("""COMPUTED_VALUE"""),"FGM")</f>
        <v>FGM</v>
      </c>
      <c r="I1856" s="9" t="str">
        <f>IFERROR(__xludf.DUMMYFUNCTION("""COMPUTED_VALUE"""),"Tel")</f>
        <v>Tel</v>
      </c>
      <c r="J1856" s="9" t="str">
        <f>IFERROR(__xludf.DUMMYFUNCTION("""COMPUTED_VALUE"""),"Cx")</f>
        <v>Cx</v>
      </c>
      <c r="K1856" s="9" t="str">
        <f>IFERROR(__xludf.DUMMYFUNCTION("""COMPUTED_VALUE"""),"ACx")</f>
        <v>ACx</v>
      </c>
      <c r="L1856" s="9" t="str">
        <f>IFERROR(__xludf.DUMMYFUNCTION("""COMPUTED_VALUE"""),"PalCx")</f>
        <v>PalCx</v>
      </c>
      <c r="M1856" s="9" t="str">
        <f>IFERROR(__xludf.DUMMYFUNCTION("""COMPUTED_VALUE"""),"Pir")</f>
        <v>Pir</v>
      </c>
      <c r="N1856" s="9" t="str">
        <f>IFERROR(__xludf.DUMMYFUNCTION("""COMPUTED_VALUE"""),"Pir1")</f>
        <v>Pir1</v>
      </c>
      <c r="O1856" s="9"/>
      <c r="P1856" s="9"/>
      <c r="Q1856" s="9"/>
      <c r="R1856" s="9"/>
      <c r="S1856" s="42"/>
      <c r="T1856" s="42"/>
      <c r="U1856" s="159"/>
      <c r="V1856" s="42"/>
      <c r="W1856" s="42"/>
      <c r="X1856" s="42"/>
      <c r="Y1856" s="42"/>
      <c r="Z1856" s="42"/>
      <c r="AA1856" s="42"/>
      <c r="AB1856" s="42" t="str">
        <f>IFERROR(__xludf.DUMMYFUNCTION("""COMPUTED_VALUE"""),"allen institute")</f>
        <v>allen institute</v>
      </c>
      <c r="AC1856" s="42" t="str">
        <f>IFERROR(__xludf.DUMMYFUNCTION("""COMPUTED_VALUE"""),"DHBA")</f>
        <v>DHBA</v>
      </c>
      <c r="AD1856" s="42"/>
      <c r="AE1856" s="42"/>
      <c r="AF1856" s="9"/>
      <c r="AG1856" s="9"/>
      <c r="AH1856" s="42"/>
      <c r="AI1856" s="42"/>
      <c r="AJ1856" s="42"/>
      <c r="AK1856" s="42"/>
      <c r="AL1856" s="42"/>
      <c r="AM1856" s="42"/>
      <c r="AN1856" s="42"/>
      <c r="AO1856" s="63" t="str">
        <f>IFERROR(__xludf.DUMMYFUNCTION("IF(ISBLANK(A1856),,IF(ISBLANK(S1856), A1856&amp;"";"", TEXTJOIN(CHAR(10), TRUE, A1856&amp;"";"", ARRAYFORMULA(VLOOKUP(SPLIT(S1856, "";"" &amp; CHAR(10)), $A:$AO, 41, FALSE)))))"),"Pir1;")</f>
        <v>Pir1;</v>
      </c>
      <c r="AP1856" s="89"/>
    </row>
    <row r="1857">
      <c r="A1857" s="151" t="str">
        <f>IFERROR(__xludf.DUMMYFUNCTION("""COMPUTED_VALUE"""),"Pir2")</f>
        <v>Pir2</v>
      </c>
      <c r="B1857" s="42" t="str">
        <f>IFERROR(__xludf.DUMMYFUNCTION("""COMPUTED_VALUE"""),"DHBA")</f>
        <v>DHBA</v>
      </c>
      <c r="C1857" s="42" t="str">
        <f>IFERROR(__xludf.DUMMYFUNCTION("""COMPUTED_VALUE"""),"layer II of piriform cortex")</f>
        <v>layer II of piriform cortex</v>
      </c>
      <c r="D1857" s="42">
        <f>IFERROR(__xludf.DUMMYFUNCTION("""COMPUTED_VALUE"""),1753.0)</f>
        <v>1753</v>
      </c>
      <c r="E1857" s="39" t="str">
        <f>IFERROR(__xludf.DUMMYFUNCTION("""COMPUTED_VALUE"""),"layer II of piriform cortex")</f>
        <v>layer II of piriform cortex</v>
      </c>
      <c r="F1857" s="9" t="str">
        <f>IFERROR(__xludf.DUMMYFUNCTION("""COMPUTED_VALUE"""),"Br")</f>
        <v>Br</v>
      </c>
      <c r="G1857" s="9" t="str">
        <f>IFERROR(__xludf.DUMMYFUNCTION("""COMPUTED_VALUE"""),"F")</f>
        <v>F</v>
      </c>
      <c r="H1857" s="9" t="str">
        <f>IFERROR(__xludf.DUMMYFUNCTION("""COMPUTED_VALUE"""),"FGM")</f>
        <v>FGM</v>
      </c>
      <c r="I1857" s="9" t="str">
        <f>IFERROR(__xludf.DUMMYFUNCTION("""COMPUTED_VALUE"""),"Tel")</f>
        <v>Tel</v>
      </c>
      <c r="J1857" s="9" t="str">
        <f>IFERROR(__xludf.DUMMYFUNCTION("""COMPUTED_VALUE"""),"Cx")</f>
        <v>Cx</v>
      </c>
      <c r="K1857" s="9" t="str">
        <f>IFERROR(__xludf.DUMMYFUNCTION("""COMPUTED_VALUE"""),"ACx")</f>
        <v>ACx</v>
      </c>
      <c r="L1857" s="9" t="str">
        <f>IFERROR(__xludf.DUMMYFUNCTION("""COMPUTED_VALUE"""),"PalCx")</f>
        <v>PalCx</v>
      </c>
      <c r="M1857" s="9" t="str">
        <f>IFERROR(__xludf.DUMMYFUNCTION("""COMPUTED_VALUE"""),"Pir")</f>
        <v>Pir</v>
      </c>
      <c r="N1857" s="9" t="str">
        <f>IFERROR(__xludf.DUMMYFUNCTION("""COMPUTED_VALUE"""),"Pir2")</f>
        <v>Pir2</v>
      </c>
      <c r="O1857" s="9"/>
      <c r="P1857" s="9"/>
      <c r="Q1857" s="9"/>
      <c r="R1857" s="9"/>
      <c r="S1857" s="42"/>
      <c r="T1857" s="42"/>
      <c r="U1857" s="42"/>
      <c r="V1857" s="42"/>
      <c r="W1857" s="42"/>
      <c r="X1857" s="42"/>
      <c r="Y1857" s="42"/>
      <c r="Z1857" s="42"/>
      <c r="AA1857" s="42"/>
      <c r="AB1857" s="42" t="str">
        <f>IFERROR(__xludf.DUMMYFUNCTION("""COMPUTED_VALUE"""),"allen institute")</f>
        <v>allen institute</v>
      </c>
      <c r="AC1857" s="42" t="str">
        <f>IFERROR(__xludf.DUMMYFUNCTION("""COMPUTED_VALUE"""),"DHBA")</f>
        <v>DHBA</v>
      </c>
      <c r="AD1857" s="42"/>
      <c r="AE1857" s="42"/>
      <c r="AF1857" s="9"/>
      <c r="AG1857" s="9"/>
      <c r="AH1857" s="42"/>
      <c r="AI1857" s="42"/>
      <c r="AJ1857" s="42"/>
      <c r="AK1857" s="42"/>
      <c r="AL1857" s="42"/>
      <c r="AM1857" s="42"/>
      <c r="AN1857" s="42"/>
      <c r="AO1857" s="63" t="str">
        <f>IFERROR(__xludf.DUMMYFUNCTION("IF(ISBLANK(A1857),,IF(ISBLANK(S1857), A1857&amp;"";"", TEXTJOIN(CHAR(10), TRUE, A1857&amp;"";"", ARRAYFORMULA(VLOOKUP(SPLIT(S1857, "";"" &amp; CHAR(10)), $A:$AO, 41, FALSE)))))"),"Pir2;")</f>
        <v>Pir2;</v>
      </c>
      <c r="AP1857" s="89"/>
    </row>
    <row r="1858">
      <c r="A1858" s="151" t="str">
        <f>IFERROR(__xludf.DUMMYFUNCTION("""COMPUTED_VALUE"""),"Pir3")</f>
        <v>Pir3</v>
      </c>
      <c r="B1858" s="42" t="str">
        <f>IFERROR(__xludf.DUMMYFUNCTION("""COMPUTED_VALUE"""),"DHBA")</f>
        <v>DHBA</v>
      </c>
      <c r="C1858" s="42" t="str">
        <f>IFERROR(__xludf.DUMMYFUNCTION("""COMPUTED_VALUE"""),"layer III of piriform cortex")</f>
        <v>layer III of piriform cortex</v>
      </c>
      <c r="D1858" s="42">
        <f>IFERROR(__xludf.DUMMYFUNCTION("""COMPUTED_VALUE"""),1754.0)</f>
        <v>1754</v>
      </c>
      <c r="E1858" s="39" t="str">
        <f>IFERROR(__xludf.DUMMYFUNCTION("""COMPUTED_VALUE"""),"layer III of piriform cortex")</f>
        <v>layer III of piriform cortex</v>
      </c>
      <c r="F1858" s="9" t="str">
        <f>IFERROR(__xludf.DUMMYFUNCTION("""COMPUTED_VALUE"""),"Br")</f>
        <v>Br</v>
      </c>
      <c r="G1858" s="9" t="str">
        <f>IFERROR(__xludf.DUMMYFUNCTION("""COMPUTED_VALUE"""),"F")</f>
        <v>F</v>
      </c>
      <c r="H1858" s="9" t="str">
        <f>IFERROR(__xludf.DUMMYFUNCTION("""COMPUTED_VALUE"""),"FGM")</f>
        <v>FGM</v>
      </c>
      <c r="I1858" s="9" t="str">
        <f>IFERROR(__xludf.DUMMYFUNCTION("""COMPUTED_VALUE"""),"Tel")</f>
        <v>Tel</v>
      </c>
      <c r="J1858" s="9" t="str">
        <f>IFERROR(__xludf.DUMMYFUNCTION("""COMPUTED_VALUE"""),"Cx")</f>
        <v>Cx</v>
      </c>
      <c r="K1858" s="9" t="str">
        <f>IFERROR(__xludf.DUMMYFUNCTION("""COMPUTED_VALUE"""),"ACx")</f>
        <v>ACx</v>
      </c>
      <c r="L1858" s="9" t="str">
        <f>IFERROR(__xludf.DUMMYFUNCTION("""COMPUTED_VALUE"""),"PalCx")</f>
        <v>PalCx</v>
      </c>
      <c r="M1858" s="9" t="str">
        <f>IFERROR(__xludf.DUMMYFUNCTION("""COMPUTED_VALUE"""),"Pir")</f>
        <v>Pir</v>
      </c>
      <c r="N1858" s="9" t="str">
        <f>IFERROR(__xludf.DUMMYFUNCTION("""COMPUTED_VALUE"""),"Pir3")</f>
        <v>Pir3</v>
      </c>
      <c r="O1858" s="9"/>
      <c r="P1858" s="9"/>
      <c r="Q1858" s="9"/>
      <c r="R1858" s="9"/>
      <c r="S1858" s="42"/>
      <c r="T1858" s="42"/>
      <c r="U1858" s="159"/>
      <c r="V1858" s="42"/>
      <c r="W1858" s="42"/>
      <c r="X1858" s="42"/>
      <c r="Y1858" s="42"/>
      <c r="Z1858" s="42"/>
      <c r="AA1858" s="42"/>
      <c r="AB1858" s="42" t="str">
        <f>IFERROR(__xludf.DUMMYFUNCTION("""COMPUTED_VALUE"""),"allen institute")</f>
        <v>allen institute</v>
      </c>
      <c r="AC1858" s="42" t="str">
        <f>IFERROR(__xludf.DUMMYFUNCTION("""COMPUTED_VALUE"""),"DHBA")</f>
        <v>DHBA</v>
      </c>
      <c r="AD1858" s="42"/>
      <c r="AE1858" s="42"/>
      <c r="AF1858" s="9"/>
      <c r="AG1858" s="9"/>
      <c r="AH1858" s="42"/>
      <c r="AI1858" s="42"/>
      <c r="AJ1858" s="42"/>
      <c r="AK1858" s="42"/>
      <c r="AL1858" s="42"/>
      <c r="AM1858" s="42"/>
      <c r="AN1858" s="42"/>
      <c r="AO1858" s="63" t="str">
        <f>IFERROR(__xludf.DUMMYFUNCTION("IF(ISBLANK(A1858),,IF(ISBLANK(S1858), A1858&amp;"";"", TEXTJOIN(CHAR(10), TRUE, A1858&amp;"";"", ARRAYFORMULA(VLOOKUP(SPLIT(S1858, "";"" &amp; CHAR(10)), $A:$AO, 41, FALSE)))))"),"Pir3;")</f>
        <v>Pir3;</v>
      </c>
      <c r="AP1858" s="89"/>
    </row>
    <row r="1859">
      <c r="A1859" s="151" t="str">
        <f>IFERROR(__xludf.DUMMYFUNCTION("""COMPUTED_VALUE"""),"PEA")</f>
        <v>PEA</v>
      </c>
      <c r="B1859" s="42" t="str">
        <f>IFERROR(__xludf.DUMMYFUNCTION("""COMPUTED_VALUE"""),"DHBA")</f>
        <v>DHBA</v>
      </c>
      <c r="C1859" s="42" t="str">
        <f>IFERROR(__xludf.DUMMYFUNCTION("""COMPUTED_VALUE"""),"piriform-entorhinal-amygdaloid area")</f>
        <v>piriform-entorhinal-amygdaloid area</v>
      </c>
      <c r="D1859" s="42">
        <f>IFERROR(__xludf.DUMMYFUNCTION("""COMPUTED_VALUE"""),1755.0)</f>
        <v>1755</v>
      </c>
      <c r="E1859" s="39" t="str">
        <f>IFERROR(__xludf.DUMMYFUNCTION("""COMPUTED_VALUE"""),"piriform-entorhinal-amygdaloid area")</f>
        <v>piriform-entorhinal-amygdaloid area</v>
      </c>
      <c r="F1859" s="9" t="str">
        <f>IFERROR(__xludf.DUMMYFUNCTION("""COMPUTED_VALUE"""),"Br")</f>
        <v>Br</v>
      </c>
      <c r="G1859" s="9" t="str">
        <f>IFERROR(__xludf.DUMMYFUNCTION("""COMPUTED_VALUE"""),"F")</f>
        <v>F</v>
      </c>
      <c r="H1859" s="9" t="str">
        <f>IFERROR(__xludf.DUMMYFUNCTION("""COMPUTED_VALUE"""),"FGM")</f>
        <v>FGM</v>
      </c>
      <c r="I1859" s="9" t="str">
        <f>IFERROR(__xludf.DUMMYFUNCTION("""COMPUTED_VALUE"""),"Tel")</f>
        <v>Tel</v>
      </c>
      <c r="J1859" s="9" t="str">
        <f>IFERROR(__xludf.DUMMYFUNCTION("""COMPUTED_VALUE"""),"Cx")</f>
        <v>Cx</v>
      </c>
      <c r="K1859" s="9" t="str">
        <f>IFERROR(__xludf.DUMMYFUNCTION("""COMPUTED_VALUE"""),"ACx")</f>
        <v>ACx</v>
      </c>
      <c r="L1859" s="9" t="str">
        <f>IFERROR(__xludf.DUMMYFUNCTION("""COMPUTED_VALUE"""),"PalCx")</f>
        <v>PalCx</v>
      </c>
      <c r="M1859" s="9" t="str">
        <f>IFERROR(__xludf.DUMMYFUNCTION("""COMPUTED_VALUE"""),"PEA")</f>
        <v>PEA</v>
      </c>
      <c r="N1859" s="9"/>
      <c r="O1859" s="9"/>
      <c r="P1859" s="9"/>
      <c r="Q1859" s="9"/>
      <c r="R1859" s="9"/>
      <c r="S1859" s="42" t="str">
        <f>IFERROR(__xludf.DUMMYFUNCTION("""COMPUTED_VALUE"""),"PEA1;
PEA2;
PEA3")</f>
        <v>PEA1;
PEA2;
PEA3</v>
      </c>
      <c r="T1859" s="42"/>
      <c r="U1859" s="159" t="b">
        <f>IFERROR(__xludf.DUMMYFUNCTION("""COMPUTED_VALUE"""),FALSE)</f>
        <v>0</v>
      </c>
      <c r="V1859" s="42"/>
      <c r="W1859" s="42"/>
      <c r="X1859" s="42"/>
      <c r="Y1859" s="42"/>
      <c r="Z1859" s="42"/>
      <c r="AA1859" s="42"/>
      <c r="AB1859" s="42" t="str">
        <f>IFERROR(__xludf.DUMMYFUNCTION("""COMPUTED_VALUE"""),"allen institute")</f>
        <v>allen institute</v>
      </c>
      <c r="AC1859" s="42" t="str">
        <f>IFERROR(__xludf.DUMMYFUNCTION("""COMPUTED_VALUE"""),"DHBA")</f>
        <v>DHBA</v>
      </c>
      <c r="AD1859" s="42"/>
      <c r="AE1859" s="42"/>
      <c r="AF1859" s="9"/>
      <c r="AG1859" s="9"/>
      <c r="AH1859" s="42"/>
      <c r="AI1859" s="42"/>
      <c r="AJ1859" s="42"/>
      <c r="AK1859" s="42"/>
      <c r="AL1859" s="42"/>
      <c r="AM1859" s="42"/>
      <c r="AN1859" s="42"/>
      <c r="AO1859" s="63" t="str">
        <f>IFERROR(__xludf.DUMMYFUNCTION("IF(ISBLANK(A1859),,IF(ISBLANK(S1859), A1859&amp;"";"", TEXTJOIN(CHAR(10), TRUE, A1859&amp;"";"", ARRAYFORMULA(VLOOKUP(SPLIT(S1859, "";"" &amp; CHAR(10)), $A:$AO, 41, FALSE)))))"),"PEA;
PEA1;
PEA2;
PEA3;")</f>
        <v>PEA;
PEA1;
PEA2;
PEA3;</v>
      </c>
      <c r="AP1859" s="89"/>
    </row>
    <row r="1860">
      <c r="A1860" s="151" t="str">
        <f>IFERROR(__xludf.DUMMYFUNCTION("""COMPUTED_VALUE"""),"PEA1")</f>
        <v>PEA1</v>
      </c>
      <c r="B1860" s="42" t="str">
        <f>IFERROR(__xludf.DUMMYFUNCTION("""COMPUTED_VALUE"""),"DHBA")</f>
        <v>DHBA</v>
      </c>
      <c r="C1860" s="42" t="str">
        <f>IFERROR(__xludf.DUMMYFUNCTION("""COMPUTED_VALUE"""),"layer I of piriform-entorhinal-amygdaloid area")</f>
        <v>layer I of piriform-entorhinal-amygdaloid area</v>
      </c>
      <c r="D1860" s="42">
        <f>IFERROR(__xludf.DUMMYFUNCTION("""COMPUTED_VALUE"""),1756.0)</f>
        <v>1756</v>
      </c>
      <c r="E1860" s="39" t="str">
        <f>IFERROR(__xludf.DUMMYFUNCTION("""COMPUTED_VALUE"""),"layer I of piriform-entorhinal-amygdaloid area")</f>
        <v>layer I of piriform-entorhinal-amygdaloid area</v>
      </c>
      <c r="F1860" s="9" t="str">
        <f>IFERROR(__xludf.DUMMYFUNCTION("""COMPUTED_VALUE"""),"Br")</f>
        <v>Br</v>
      </c>
      <c r="G1860" s="9" t="str">
        <f>IFERROR(__xludf.DUMMYFUNCTION("""COMPUTED_VALUE"""),"F")</f>
        <v>F</v>
      </c>
      <c r="H1860" s="9" t="str">
        <f>IFERROR(__xludf.DUMMYFUNCTION("""COMPUTED_VALUE"""),"FGM")</f>
        <v>FGM</v>
      </c>
      <c r="I1860" s="9" t="str">
        <f>IFERROR(__xludf.DUMMYFUNCTION("""COMPUTED_VALUE"""),"Tel")</f>
        <v>Tel</v>
      </c>
      <c r="J1860" s="9" t="str">
        <f>IFERROR(__xludf.DUMMYFUNCTION("""COMPUTED_VALUE"""),"Cx")</f>
        <v>Cx</v>
      </c>
      <c r="K1860" s="9" t="str">
        <f>IFERROR(__xludf.DUMMYFUNCTION("""COMPUTED_VALUE"""),"ACx")</f>
        <v>ACx</v>
      </c>
      <c r="L1860" s="9" t="str">
        <f>IFERROR(__xludf.DUMMYFUNCTION("""COMPUTED_VALUE"""),"PalCx")</f>
        <v>PalCx</v>
      </c>
      <c r="M1860" s="9" t="str">
        <f>IFERROR(__xludf.DUMMYFUNCTION("""COMPUTED_VALUE"""),"PEA")</f>
        <v>PEA</v>
      </c>
      <c r="N1860" s="9" t="str">
        <f>IFERROR(__xludf.DUMMYFUNCTION("""COMPUTED_VALUE"""),"PEA1")</f>
        <v>PEA1</v>
      </c>
      <c r="O1860" s="9"/>
      <c r="P1860" s="9"/>
      <c r="Q1860" s="9"/>
      <c r="R1860" s="9"/>
      <c r="S1860" s="42"/>
      <c r="T1860" s="42"/>
      <c r="U1860" s="42"/>
      <c r="V1860" s="42"/>
      <c r="W1860" s="42"/>
      <c r="X1860" s="42"/>
      <c r="Y1860" s="42"/>
      <c r="Z1860" s="42"/>
      <c r="AA1860" s="42"/>
      <c r="AB1860" s="42" t="str">
        <f>IFERROR(__xludf.DUMMYFUNCTION("""COMPUTED_VALUE"""),"allen institute")</f>
        <v>allen institute</v>
      </c>
      <c r="AC1860" s="42" t="str">
        <f>IFERROR(__xludf.DUMMYFUNCTION("""COMPUTED_VALUE"""),"DHBA")</f>
        <v>DHBA</v>
      </c>
      <c r="AD1860" s="42"/>
      <c r="AE1860" s="42"/>
      <c r="AF1860" s="9"/>
      <c r="AG1860" s="9"/>
      <c r="AH1860" s="42"/>
      <c r="AI1860" s="42"/>
      <c r="AJ1860" s="42"/>
      <c r="AK1860" s="42"/>
      <c r="AL1860" s="42"/>
      <c r="AM1860" s="42"/>
      <c r="AN1860" s="42"/>
      <c r="AO1860" s="63" t="str">
        <f>IFERROR(__xludf.DUMMYFUNCTION("IF(ISBLANK(A1860),,IF(ISBLANK(S1860), A1860&amp;"";"", TEXTJOIN(CHAR(10), TRUE, A1860&amp;"";"", ARRAYFORMULA(VLOOKUP(SPLIT(S1860, "";"" &amp; CHAR(10)), $A:$AO, 41, FALSE)))))"),"PEA1;")</f>
        <v>PEA1;</v>
      </c>
      <c r="AP1860" s="89"/>
    </row>
    <row r="1861">
      <c r="A1861" s="151" t="str">
        <f>IFERROR(__xludf.DUMMYFUNCTION("""COMPUTED_VALUE"""),"PEA2")</f>
        <v>PEA2</v>
      </c>
      <c r="B1861" s="42" t="str">
        <f>IFERROR(__xludf.DUMMYFUNCTION("""COMPUTED_VALUE"""),"DHBA")</f>
        <v>DHBA</v>
      </c>
      <c r="C1861" s="42" t="str">
        <f>IFERROR(__xludf.DUMMYFUNCTION("""COMPUTED_VALUE"""),"layer II of piriform-entorhinal-amygdaloid area")</f>
        <v>layer II of piriform-entorhinal-amygdaloid area</v>
      </c>
      <c r="D1861" s="42">
        <f>IFERROR(__xludf.DUMMYFUNCTION("""COMPUTED_VALUE"""),1757.0)</f>
        <v>1757</v>
      </c>
      <c r="E1861" s="39" t="str">
        <f>IFERROR(__xludf.DUMMYFUNCTION("""COMPUTED_VALUE"""),"layer II of piriform-entorhinal-amygdaloid area")</f>
        <v>layer II of piriform-entorhinal-amygdaloid area</v>
      </c>
      <c r="F1861" s="9" t="str">
        <f>IFERROR(__xludf.DUMMYFUNCTION("""COMPUTED_VALUE"""),"Br")</f>
        <v>Br</v>
      </c>
      <c r="G1861" s="9" t="str">
        <f>IFERROR(__xludf.DUMMYFUNCTION("""COMPUTED_VALUE"""),"F")</f>
        <v>F</v>
      </c>
      <c r="H1861" s="9" t="str">
        <f>IFERROR(__xludf.DUMMYFUNCTION("""COMPUTED_VALUE"""),"FGM")</f>
        <v>FGM</v>
      </c>
      <c r="I1861" s="9" t="str">
        <f>IFERROR(__xludf.DUMMYFUNCTION("""COMPUTED_VALUE"""),"Tel")</f>
        <v>Tel</v>
      </c>
      <c r="J1861" s="9" t="str">
        <f>IFERROR(__xludf.DUMMYFUNCTION("""COMPUTED_VALUE"""),"Cx")</f>
        <v>Cx</v>
      </c>
      <c r="K1861" s="9" t="str">
        <f>IFERROR(__xludf.DUMMYFUNCTION("""COMPUTED_VALUE"""),"ACx")</f>
        <v>ACx</v>
      </c>
      <c r="L1861" s="9" t="str">
        <f>IFERROR(__xludf.DUMMYFUNCTION("""COMPUTED_VALUE"""),"PalCx")</f>
        <v>PalCx</v>
      </c>
      <c r="M1861" s="9" t="str">
        <f>IFERROR(__xludf.DUMMYFUNCTION("""COMPUTED_VALUE"""),"PEA")</f>
        <v>PEA</v>
      </c>
      <c r="N1861" s="9" t="str">
        <f>IFERROR(__xludf.DUMMYFUNCTION("""COMPUTED_VALUE"""),"PEA2")</f>
        <v>PEA2</v>
      </c>
      <c r="O1861" s="9"/>
      <c r="P1861" s="9"/>
      <c r="Q1861" s="9"/>
      <c r="R1861" s="9"/>
      <c r="S1861" s="42"/>
      <c r="T1861" s="42"/>
      <c r="U1861" s="42"/>
      <c r="V1861" s="42"/>
      <c r="W1861" s="42"/>
      <c r="X1861" s="42"/>
      <c r="Y1861" s="42"/>
      <c r="Z1861" s="42"/>
      <c r="AA1861" s="42"/>
      <c r="AB1861" s="42" t="str">
        <f>IFERROR(__xludf.DUMMYFUNCTION("""COMPUTED_VALUE"""),"allen institute")</f>
        <v>allen institute</v>
      </c>
      <c r="AC1861" s="42" t="str">
        <f>IFERROR(__xludf.DUMMYFUNCTION("""COMPUTED_VALUE"""),"DHBA")</f>
        <v>DHBA</v>
      </c>
      <c r="AD1861" s="42"/>
      <c r="AE1861" s="42"/>
      <c r="AF1861" s="9"/>
      <c r="AG1861" s="9"/>
      <c r="AH1861" s="42"/>
      <c r="AI1861" s="42"/>
      <c r="AJ1861" s="42"/>
      <c r="AK1861" s="42"/>
      <c r="AL1861" s="42"/>
      <c r="AM1861" s="42"/>
      <c r="AN1861" s="42"/>
      <c r="AO1861" s="63" t="str">
        <f>IFERROR(__xludf.DUMMYFUNCTION("IF(ISBLANK(A1861),,IF(ISBLANK(S1861), A1861&amp;"";"", TEXTJOIN(CHAR(10), TRUE, A1861&amp;"";"", ARRAYFORMULA(VLOOKUP(SPLIT(S1861, "";"" &amp; CHAR(10)), $A:$AO, 41, FALSE)))))"),"PEA2;")</f>
        <v>PEA2;</v>
      </c>
      <c r="AP1861" s="89"/>
    </row>
    <row r="1862">
      <c r="A1862" s="151" t="str">
        <f>IFERROR(__xludf.DUMMYFUNCTION("""COMPUTED_VALUE"""),"PEA3")</f>
        <v>PEA3</v>
      </c>
      <c r="B1862" s="42" t="str">
        <f>IFERROR(__xludf.DUMMYFUNCTION("""COMPUTED_VALUE"""),"DHBA")</f>
        <v>DHBA</v>
      </c>
      <c r="C1862" s="42" t="str">
        <f>IFERROR(__xludf.DUMMYFUNCTION("""COMPUTED_VALUE"""),"layer III of piriform-entorhinal-amygdaloid area")</f>
        <v>layer III of piriform-entorhinal-amygdaloid area</v>
      </c>
      <c r="D1862" s="42">
        <f>IFERROR(__xludf.DUMMYFUNCTION("""COMPUTED_VALUE"""),1758.0)</f>
        <v>1758</v>
      </c>
      <c r="E1862" s="39" t="str">
        <f>IFERROR(__xludf.DUMMYFUNCTION("""COMPUTED_VALUE"""),"layer III of piriform-entorhinal-amygdaloid area")</f>
        <v>layer III of piriform-entorhinal-amygdaloid area</v>
      </c>
      <c r="F1862" s="9" t="str">
        <f>IFERROR(__xludf.DUMMYFUNCTION("""COMPUTED_VALUE"""),"Br")</f>
        <v>Br</v>
      </c>
      <c r="G1862" s="9" t="str">
        <f>IFERROR(__xludf.DUMMYFUNCTION("""COMPUTED_VALUE"""),"F")</f>
        <v>F</v>
      </c>
      <c r="H1862" s="9" t="str">
        <f>IFERROR(__xludf.DUMMYFUNCTION("""COMPUTED_VALUE"""),"FGM")</f>
        <v>FGM</v>
      </c>
      <c r="I1862" s="9" t="str">
        <f>IFERROR(__xludf.DUMMYFUNCTION("""COMPUTED_VALUE"""),"Tel")</f>
        <v>Tel</v>
      </c>
      <c r="J1862" s="9" t="str">
        <f>IFERROR(__xludf.DUMMYFUNCTION("""COMPUTED_VALUE"""),"Cx")</f>
        <v>Cx</v>
      </c>
      <c r="K1862" s="9" t="str">
        <f>IFERROR(__xludf.DUMMYFUNCTION("""COMPUTED_VALUE"""),"ACx")</f>
        <v>ACx</v>
      </c>
      <c r="L1862" s="9" t="str">
        <f>IFERROR(__xludf.DUMMYFUNCTION("""COMPUTED_VALUE"""),"PalCx")</f>
        <v>PalCx</v>
      </c>
      <c r="M1862" s="9" t="str">
        <f>IFERROR(__xludf.DUMMYFUNCTION("""COMPUTED_VALUE"""),"PEA")</f>
        <v>PEA</v>
      </c>
      <c r="N1862" s="9" t="str">
        <f>IFERROR(__xludf.DUMMYFUNCTION("""COMPUTED_VALUE"""),"PEA3")</f>
        <v>PEA3</v>
      </c>
      <c r="O1862" s="9"/>
      <c r="P1862" s="9"/>
      <c r="Q1862" s="9"/>
      <c r="R1862" s="9"/>
      <c r="S1862" s="42"/>
      <c r="T1862" s="42"/>
      <c r="U1862" s="42"/>
      <c r="V1862" s="42"/>
      <c r="W1862" s="42"/>
      <c r="X1862" s="42"/>
      <c r="Y1862" s="42"/>
      <c r="Z1862" s="42"/>
      <c r="AA1862" s="42"/>
      <c r="AB1862" s="42" t="str">
        <f>IFERROR(__xludf.DUMMYFUNCTION("""COMPUTED_VALUE"""),"allen institute")</f>
        <v>allen institute</v>
      </c>
      <c r="AC1862" s="42" t="str">
        <f>IFERROR(__xludf.DUMMYFUNCTION("""COMPUTED_VALUE"""),"DHBA")</f>
        <v>DHBA</v>
      </c>
      <c r="AD1862" s="42"/>
      <c r="AE1862" s="42"/>
      <c r="AF1862" s="9"/>
      <c r="AG1862" s="9"/>
      <c r="AH1862" s="42"/>
      <c r="AI1862" s="42"/>
      <c r="AJ1862" s="42"/>
      <c r="AK1862" s="42"/>
      <c r="AL1862" s="42"/>
      <c r="AM1862" s="42"/>
      <c r="AN1862" s="42"/>
      <c r="AO1862" s="63" t="str">
        <f>IFERROR(__xludf.DUMMYFUNCTION("IF(ISBLANK(A1862),,IF(ISBLANK(S1862), A1862&amp;"";"", TEXTJOIN(CHAR(10), TRUE, A1862&amp;"";"", ARRAYFORMULA(VLOOKUP(SPLIT(S1862, "";"" &amp; CHAR(10)), $A:$AO, 41, FALSE)))))"),"PEA3;")</f>
        <v>PEA3;</v>
      </c>
      <c r="AP1862" s="89"/>
    </row>
    <row r="1863">
      <c r="A1863" s="151" t="str">
        <f>IFERROR(__xludf.DUMMYFUNCTION("""COMPUTED_VALUE"""),"CN")</f>
        <v>CN</v>
      </c>
      <c r="B1863" s="42" t="str">
        <f>IFERROR(__xludf.DUMMYFUNCTION("""COMPUTED_VALUE"""),"DHBA")</f>
        <v>DHBA</v>
      </c>
      <c r="C1863" s="42" t="str">
        <f>IFERROR(__xludf.DUMMYFUNCTION("""COMPUTED_VALUE"""),"cerebral nuclei")</f>
        <v>cerebral nuclei</v>
      </c>
      <c r="D1863" s="42">
        <f>IFERROR(__xludf.DUMMYFUNCTION("""COMPUTED_VALUE"""),1759.0)</f>
        <v>1759</v>
      </c>
      <c r="E1863" s="39" t="str">
        <f>IFERROR(__xludf.DUMMYFUNCTION("""COMPUTED_VALUE"""),"cerebral nuclei")</f>
        <v>cerebral nuclei</v>
      </c>
      <c r="F1863" s="9" t="str">
        <f>IFERROR(__xludf.DUMMYFUNCTION("""COMPUTED_VALUE"""),"Br")</f>
        <v>Br</v>
      </c>
      <c r="G1863" s="9" t="str">
        <f>IFERROR(__xludf.DUMMYFUNCTION("""COMPUTED_VALUE"""),"F")</f>
        <v>F</v>
      </c>
      <c r="H1863" s="9" t="str">
        <f>IFERROR(__xludf.DUMMYFUNCTION("""COMPUTED_VALUE"""),"FGM")</f>
        <v>FGM</v>
      </c>
      <c r="I1863" s="9" t="str">
        <f>IFERROR(__xludf.DUMMYFUNCTION("""COMPUTED_VALUE"""),"Tel")</f>
        <v>Tel</v>
      </c>
      <c r="J1863" s="9" t="str">
        <f>IFERROR(__xludf.DUMMYFUNCTION("""COMPUTED_VALUE"""),"CN")</f>
        <v>CN</v>
      </c>
      <c r="K1863" s="9"/>
      <c r="L1863" s="9"/>
      <c r="M1863" s="9"/>
      <c r="N1863" s="9"/>
      <c r="O1863" s="9"/>
      <c r="P1863" s="9"/>
      <c r="Q1863" s="9"/>
      <c r="R1863" s="9"/>
      <c r="S1863" s="42" t="str">
        <f>IFERROR(__xludf.DUMMYFUNCTION("""COMPUTED_VALUE"""),"AMY;
ATA;
EXA;
BN;
Cla;
BF")</f>
        <v>AMY;
ATA;
EXA;
BN;
Cla;
BF</v>
      </c>
      <c r="T1863" s="42"/>
      <c r="U1863" s="42" t="b">
        <f>IFERROR(__xludf.DUMMYFUNCTION("""COMPUTED_VALUE"""),FALSE)</f>
        <v>0</v>
      </c>
      <c r="V1863" s="42"/>
      <c r="W1863" s="42"/>
      <c r="X1863" s="42"/>
      <c r="Y1863" s="42"/>
      <c r="Z1863" s="42"/>
      <c r="AA1863" s="42"/>
      <c r="AB1863" s="42" t="str">
        <f>IFERROR(__xludf.DUMMYFUNCTION("""COMPUTED_VALUE"""),"allen institute")</f>
        <v>allen institute</v>
      </c>
      <c r="AC1863" s="42" t="str">
        <f>IFERROR(__xludf.DUMMYFUNCTION("""COMPUTED_VALUE"""),"DHBA")</f>
        <v>DHBA</v>
      </c>
      <c r="AD1863" s="42"/>
      <c r="AE1863" s="42"/>
      <c r="AF1863" s="9"/>
      <c r="AG1863" s="9"/>
      <c r="AH1863" s="42"/>
      <c r="AI1863" s="42"/>
      <c r="AJ1863" s="42"/>
      <c r="AK1863" s="42"/>
      <c r="AL1863" s="42"/>
      <c r="AM1863" s="42"/>
      <c r="AN1863" s="42"/>
      <c r="AO1863" s="63" t="str">
        <f>IFERROR(__xludf.DUMMYFUNCTION("IF(ISBLANK(A1863),,IF(ISBLANK(S1863), A1863&amp;"";"", TEXTJOIN(CHAR(10), TRUE, A1863&amp;"";"", ARRAYFORMULA(VLOOKUP(SPLIT(S1863, "";"" &amp; CHAR(10)), $A:$AO, 41, FALSE)))))"),"#N/A")</f>
        <v>#N/A</v>
      </c>
      <c r="AP1863" s="89"/>
    </row>
    <row r="1864">
      <c r="A1864" s="151" t="str">
        <f>IFERROR(__xludf.DUMMYFUNCTION("""COMPUTED_VALUE"""),"AMY")</f>
        <v>AMY</v>
      </c>
      <c r="B1864" s="42" t="str">
        <f>IFERROR(__xludf.DUMMYFUNCTION("""COMPUTED_VALUE"""),"DHBA")</f>
        <v>DHBA</v>
      </c>
      <c r="C1864" s="42" t="str">
        <f>IFERROR(__xludf.DUMMYFUNCTION("""COMPUTED_VALUE"""),"amygdaloid complex
")</f>
        <v>amygdaloid complex
</v>
      </c>
      <c r="D1864" s="42">
        <f>IFERROR(__xludf.DUMMYFUNCTION("""COMPUTED_VALUE"""),1760.0)</f>
        <v>1760</v>
      </c>
      <c r="E1864" s="39" t="str">
        <f>IFERROR(__xludf.DUMMYFUNCTION("""COMPUTED_VALUE"""),"amygdaloid complex")</f>
        <v>amygdaloid complex</v>
      </c>
      <c r="F1864" s="9" t="str">
        <f>IFERROR(__xludf.DUMMYFUNCTION("""COMPUTED_VALUE"""),"Br")</f>
        <v>Br</v>
      </c>
      <c r="G1864" s="9" t="str">
        <f>IFERROR(__xludf.DUMMYFUNCTION("""COMPUTED_VALUE"""),"F")</f>
        <v>F</v>
      </c>
      <c r="H1864" s="9" t="str">
        <f>IFERROR(__xludf.DUMMYFUNCTION("""COMPUTED_VALUE"""),"FGM")</f>
        <v>FGM</v>
      </c>
      <c r="I1864" s="9" t="str">
        <f>IFERROR(__xludf.DUMMYFUNCTION("""COMPUTED_VALUE"""),"Tel")</f>
        <v>Tel</v>
      </c>
      <c r="J1864" s="9" t="str">
        <f>IFERROR(__xludf.DUMMYFUNCTION("""COMPUTED_VALUE"""),"CN")</f>
        <v>CN</v>
      </c>
      <c r="K1864" s="9" t="str">
        <f>IFERROR(__xludf.DUMMYFUNCTION("""COMPUTED_VALUE"""),"AMY")</f>
        <v>AMY</v>
      </c>
      <c r="L1864" s="9"/>
      <c r="M1864" s="9"/>
      <c r="N1864" s="9"/>
      <c r="O1864" s="9"/>
      <c r="P1864" s="9"/>
      <c r="Q1864" s="9"/>
      <c r="R1864" s="9"/>
      <c r="S1864" s="42" t="str">
        <f>IFERROR(__xludf.DUMMYFUNCTION("""COMPUTED_VALUE"""),"AAA;
CEN CMN;
CEN;
CMN;
BLN;
En;
INA;
IMG")</f>
        <v>AAA;
CEN CMN;
CEN;
CMN;
BLN;
En;
INA;
IMG</v>
      </c>
      <c r="T1864" s="42"/>
      <c r="U1864" s="42" t="b">
        <f>IFERROR(__xludf.DUMMYFUNCTION("""COMPUTED_VALUE"""),FALSE)</f>
        <v>0</v>
      </c>
      <c r="V1864" s="42"/>
      <c r="W1864" s="42"/>
      <c r="X1864" s="42"/>
      <c r="Y1864" s="42"/>
      <c r="Z1864" s="42"/>
      <c r="AA1864" s="42"/>
      <c r="AB1864" s="42" t="str">
        <f>IFERROR(__xludf.DUMMYFUNCTION("""COMPUTED_VALUE"""),"allen institute")</f>
        <v>allen institute</v>
      </c>
      <c r="AC1864" s="42" t="str">
        <f>IFERROR(__xludf.DUMMYFUNCTION("""COMPUTED_VALUE"""),"DHBA")</f>
        <v>DHBA</v>
      </c>
      <c r="AD1864" s="42"/>
      <c r="AE1864" s="42"/>
      <c r="AF1864" s="9"/>
      <c r="AG1864" s="9"/>
      <c r="AH1864" s="42"/>
      <c r="AI1864" s="42"/>
      <c r="AJ1864" s="42"/>
      <c r="AK1864" s="42"/>
      <c r="AL1864" s="42"/>
      <c r="AM1864" s="42"/>
      <c r="AN1864" s="42"/>
      <c r="AO1864" s="63" t="str">
        <f>IFERROR(__xludf.DUMMYFUNCTION("IF(ISBLANK(A1864),,IF(ISBLANK(S1864), A1864&amp;"";"", TEXTJOIN(CHAR(10), TRUE, A1864&amp;"";"", ARRAYFORMULA(VLOOKUP(SPLIT(S1864, "";"" &amp; CHAR(10)), $A:$AO, 41, FALSE)))))"),"#N/A")</f>
        <v>#N/A</v>
      </c>
      <c r="AP1864" s="89"/>
    </row>
    <row r="1865">
      <c r="A1865" s="151" t="str">
        <f>IFERROR(__xludf.DUMMYFUNCTION("""COMPUTED_VALUE"""),"AAA")</f>
        <v>AAA</v>
      </c>
      <c r="B1865" s="42" t="str">
        <f>IFERROR(__xludf.DUMMYFUNCTION("""COMPUTED_VALUE"""),"DHBA")</f>
        <v>DHBA</v>
      </c>
      <c r="C1865" s="42" t="str">
        <f>IFERROR(__xludf.DUMMYFUNCTION("""COMPUTED_VALUE"""),"anterior amygdaloid area
")</f>
        <v>anterior amygdaloid area
</v>
      </c>
      <c r="D1865" s="42">
        <f>IFERROR(__xludf.DUMMYFUNCTION("""COMPUTED_VALUE"""),1761.0)</f>
        <v>1761</v>
      </c>
      <c r="E1865" s="39" t="str">
        <f>IFERROR(__xludf.DUMMYFUNCTION("""COMPUTED_VALUE"""),"anterior amygdaloid area")</f>
        <v>anterior amygdaloid area</v>
      </c>
      <c r="F1865" s="9" t="str">
        <f>IFERROR(__xludf.DUMMYFUNCTION("""COMPUTED_VALUE"""),"Br")</f>
        <v>Br</v>
      </c>
      <c r="G1865" s="9" t="str">
        <f>IFERROR(__xludf.DUMMYFUNCTION("""COMPUTED_VALUE"""),"F")</f>
        <v>F</v>
      </c>
      <c r="H1865" s="9" t="str">
        <f>IFERROR(__xludf.DUMMYFUNCTION("""COMPUTED_VALUE"""),"FGM")</f>
        <v>FGM</v>
      </c>
      <c r="I1865" s="9" t="str">
        <f>IFERROR(__xludf.DUMMYFUNCTION("""COMPUTED_VALUE"""),"Tel")</f>
        <v>Tel</v>
      </c>
      <c r="J1865" s="9" t="str">
        <f>IFERROR(__xludf.DUMMYFUNCTION("""COMPUTED_VALUE"""),"CN")</f>
        <v>CN</v>
      </c>
      <c r="K1865" s="9" t="str">
        <f>IFERROR(__xludf.DUMMYFUNCTION("""COMPUTED_VALUE"""),"AMY")</f>
        <v>AMY</v>
      </c>
      <c r="L1865" s="9" t="str">
        <f>IFERROR(__xludf.DUMMYFUNCTION("""COMPUTED_VALUE"""),"AAA")</f>
        <v>AAA</v>
      </c>
      <c r="M1865" s="9"/>
      <c r="N1865" s="9"/>
      <c r="O1865" s="9"/>
      <c r="P1865" s="9"/>
      <c r="Q1865" s="9"/>
      <c r="R1865" s="9"/>
      <c r="S1865" s="42" t="str">
        <f>IFERROR(__xludf.DUMMYFUNCTION("""COMPUTED_VALUE"""),"AAAd;
AAAv")</f>
        <v>AAAd;
AAAv</v>
      </c>
      <c r="T1865" s="42"/>
      <c r="U1865" s="159" t="b">
        <f>IFERROR(__xludf.DUMMYFUNCTION("""COMPUTED_VALUE"""),FALSE)</f>
        <v>0</v>
      </c>
      <c r="V1865" s="42"/>
      <c r="W1865" s="42"/>
      <c r="X1865" s="42"/>
      <c r="Y1865" s="42"/>
      <c r="Z1865" s="42"/>
      <c r="AA1865" s="42"/>
      <c r="AB1865" s="42" t="str">
        <f>IFERROR(__xludf.DUMMYFUNCTION("""COMPUTED_VALUE"""),"allen institute")</f>
        <v>allen institute</v>
      </c>
      <c r="AC1865" s="42" t="str">
        <f>IFERROR(__xludf.DUMMYFUNCTION("""COMPUTED_VALUE"""),"DHBA")</f>
        <v>DHBA</v>
      </c>
      <c r="AD1865" s="42"/>
      <c r="AE1865" s="42"/>
      <c r="AF1865" s="9"/>
      <c r="AG1865" s="9"/>
      <c r="AH1865" s="42"/>
      <c r="AI1865" s="42"/>
      <c r="AJ1865" s="42"/>
      <c r="AK1865" s="42"/>
      <c r="AL1865" s="42"/>
      <c r="AM1865" s="42"/>
      <c r="AN1865" s="42"/>
      <c r="AO1865" s="63" t="str">
        <f>IFERROR(__xludf.DUMMYFUNCTION("IF(ISBLANK(A1865),,IF(ISBLANK(S1865), A1865&amp;"";"", TEXTJOIN(CHAR(10), TRUE, A1865&amp;"";"", ARRAYFORMULA(VLOOKUP(SPLIT(S1865, "";"" &amp; CHAR(10)), $A:$AO, 41, FALSE)))))"),"AAA;
AAAd;
AAAv;")</f>
        <v>AAA;
AAAd;
AAAv;</v>
      </c>
      <c r="AP1865" s="89"/>
    </row>
    <row r="1866">
      <c r="A1866" s="151" t="str">
        <f>IFERROR(__xludf.DUMMYFUNCTION("""COMPUTED_VALUE"""),"AAAd")</f>
        <v>AAAd</v>
      </c>
      <c r="B1866" s="42" t="str">
        <f>IFERROR(__xludf.DUMMYFUNCTION("""COMPUTED_VALUE"""),"DHBA")</f>
        <v>DHBA</v>
      </c>
      <c r="C1866" s="42" t="str">
        <f>IFERROR(__xludf.DUMMYFUNCTION("""COMPUTED_VALUE"""),"dorsal part of AAA")</f>
        <v>dorsal part of AAA</v>
      </c>
      <c r="D1866" s="42">
        <f>IFERROR(__xludf.DUMMYFUNCTION("""COMPUTED_VALUE"""),1762.0)</f>
        <v>1762</v>
      </c>
      <c r="E1866" s="39" t="str">
        <f>IFERROR(__xludf.DUMMYFUNCTION("""COMPUTED_VALUE"""),"dorsal part of AAA")</f>
        <v>dorsal part of AAA</v>
      </c>
      <c r="F1866" s="9" t="str">
        <f>IFERROR(__xludf.DUMMYFUNCTION("""COMPUTED_VALUE"""),"Br")</f>
        <v>Br</v>
      </c>
      <c r="G1866" s="9" t="str">
        <f>IFERROR(__xludf.DUMMYFUNCTION("""COMPUTED_VALUE"""),"F")</f>
        <v>F</v>
      </c>
      <c r="H1866" s="9" t="str">
        <f>IFERROR(__xludf.DUMMYFUNCTION("""COMPUTED_VALUE"""),"FGM")</f>
        <v>FGM</v>
      </c>
      <c r="I1866" s="9" t="str">
        <f>IFERROR(__xludf.DUMMYFUNCTION("""COMPUTED_VALUE"""),"Tel")</f>
        <v>Tel</v>
      </c>
      <c r="J1866" s="9" t="str">
        <f>IFERROR(__xludf.DUMMYFUNCTION("""COMPUTED_VALUE"""),"CN")</f>
        <v>CN</v>
      </c>
      <c r="K1866" s="9" t="str">
        <f>IFERROR(__xludf.DUMMYFUNCTION("""COMPUTED_VALUE"""),"AMY")</f>
        <v>AMY</v>
      </c>
      <c r="L1866" s="9" t="str">
        <f>IFERROR(__xludf.DUMMYFUNCTION("""COMPUTED_VALUE"""),"AAA")</f>
        <v>AAA</v>
      </c>
      <c r="M1866" s="9" t="str">
        <f>IFERROR(__xludf.DUMMYFUNCTION("""COMPUTED_VALUE"""),"AAAd")</f>
        <v>AAAd</v>
      </c>
      <c r="N1866" s="9"/>
      <c r="O1866" s="9"/>
      <c r="P1866" s="9"/>
      <c r="Q1866" s="9"/>
      <c r="R1866" s="9"/>
      <c r="S1866" s="42"/>
      <c r="T1866" s="42"/>
      <c r="U1866" s="42"/>
      <c r="V1866" s="42"/>
      <c r="W1866" s="42"/>
      <c r="X1866" s="42"/>
      <c r="Y1866" s="42"/>
      <c r="Z1866" s="42"/>
      <c r="AA1866" s="42"/>
      <c r="AB1866" s="42" t="str">
        <f>IFERROR(__xludf.DUMMYFUNCTION("""COMPUTED_VALUE"""),"allen institute")</f>
        <v>allen institute</v>
      </c>
      <c r="AC1866" s="42" t="str">
        <f>IFERROR(__xludf.DUMMYFUNCTION("""COMPUTED_VALUE"""),"DHBA")</f>
        <v>DHBA</v>
      </c>
      <c r="AD1866" s="42"/>
      <c r="AE1866" s="42"/>
      <c r="AF1866" s="9"/>
      <c r="AG1866" s="9"/>
      <c r="AH1866" s="42"/>
      <c r="AI1866" s="42"/>
      <c r="AJ1866" s="42"/>
      <c r="AK1866" s="42"/>
      <c r="AL1866" s="42"/>
      <c r="AM1866" s="42"/>
      <c r="AN1866" s="42"/>
      <c r="AO1866" s="63" t="str">
        <f>IFERROR(__xludf.DUMMYFUNCTION("IF(ISBLANK(A1866),,IF(ISBLANK(S1866), A1866&amp;"";"", TEXTJOIN(CHAR(10), TRUE, A1866&amp;"";"", ARRAYFORMULA(VLOOKUP(SPLIT(S1866, "";"" &amp; CHAR(10)), $A:$AO, 41, FALSE)))))"),"AAAd;")</f>
        <v>AAAd;</v>
      </c>
      <c r="AP1866" s="89"/>
    </row>
    <row r="1867">
      <c r="A1867" s="151" t="str">
        <f>IFERROR(__xludf.DUMMYFUNCTION("""COMPUTED_VALUE"""),"AAAv")</f>
        <v>AAAv</v>
      </c>
      <c r="B1867" s="42" t="str">
        <f>IFERROR(__xludf.DUMMYFUNCTION("""COMPUTED_VALUE"""),"DHBA")</f>
        <v>DHBA</v>
      </c>
      <c r="C1867" s="42" t="str">
        <f>IFERROR(__xludf.DUMMYFUNCTION("""COMPUTED_VALUE"""),"ventral part of AAA")</f>
        <v>ventral part of AAA</v>
      </c>
      <c r="D1867" s="42">
        <f>IFERROR(__xludf.DUMMYFUNCTION("""COMPUTED_VALUE"""),1763.0)</f>
        <v>1763</v>
      </c>
      <c r="E1867" s="39" t="str">
        <f>IFERROR(__xludf.DUMMYFUNCTION("""COMPUTED_VALUE"""),"ventral part of AAA")</f>
        <v>ventral part of AAA</v>
      </c>
      <c r="F1867" s="9" t="str">
        <f>IFERROR(__xludf.DUMMYFUNCTION("""COMPUTED_VALUE"""),"Br")</f>
        <v>Br</v>
      </c>
      <c r="G1867" s="9" t="str">
        <f>IFERROR(__xludf.DUMMYFUNCTION("""COMPUTED_VALUE"""),"F")</f>
        <v>F</v>
      </c>
      <c r="H1867" s="9" t="str">
        <f>IFERROR(__xludf.DUMMYFUNCTION("""COMPUTED_VALUE"""),"FGM")</f>
        <v>FGM</v>
      </c>
      <c r="I1867" s="9" t="str">
        <f>IFERROR(__xludf.DUMMYFUNCTION("""COMPUTED_VALUE"""),"Tel")</f>
        <v>Tel</v>
      </c>
      <c r="J1867" s="9" t="str">
        <f>IFERROR(__xludf.DUMMYFUNCTION("""COMPUTED_VALUE"""),"CN")</f>
        <v>CN</v>
      </c>
      <c r="K1867" s="9" t="str">
        <f>IFERROR(__xludf.DUMMYFUNCTION("""COMPUTED_VALUE"""),"AMY")</f>
        <v>AMY</v>
      </c>
      <c r="L1867" s="9" t="str">
        <f>IFERROR(__xludf.DUMMYFUNCTION("""COMPUTED_VALUE"""),"AAA")</f>
        <v>AAA</v>
      </c>
      <c r="M1867" s="9" t="str">
        <f>IFERROR(__xludf.DUMMYFUNCTION("""COMPUTED_VALUE"""),"AAAv")</f>
        <v>AAAv</v>
      </c>
      <c r="N1867" s="9"/>
      <c r="O1867" s="9"/>
      <c r="P1867" s="9"/>
      <c r="Q1867" s="9"/>
      <c r="R1867" s="9"/>
      <c r="S1867" s="42"/>
      <c r="T1867" s="42"/>
      <c r="U1867" s="42"/>
      <c r="V1867" s="42"/>
      <c r="W1867" s="42"/>
      <c r="X1867" s="42"/>
      <c r="Y1867" s="42"/>
      <c r="Z1867" s="42"/>
      <c r="AA1867" s="42"/>
      <c r="AB1867" s="42" t="str">
        <f>IFERROR(__xludf.DUMMYFUNCTION("""COMPUTED_VALUE"""),"allen institute")</f>
        <v>allen institute</v>
      </c>
      <c r="AC1867" s="42" t="str">
        <f>IFERROR(__xludf.DUMMYFUNCTION("""COMPUTED_VALUE"""),"DHBA")</f>
        <v>DHBA</v>
      </c>
      <c r="AD1867" s="42"/>
      <c r="AE1867" s="42"/>
      <c r="AF1867" s="9"/>
      <c r="AG1867" s="9"/>
      <c r="AH1867" s="42"/>
      <c r="AI1867" s="42"/>
      <c r="AJ1867" s="42"/>
      <c r="AK1867" s="42"/>
      <c r="AL1867" s="42"/>
      <c r="AM1867" s="42"/>
      <c r="AN1867" s="42"/>
      <c r="AO1867" s="63" t="str">
        <f>IFERROR(__xludf.DUMMYFUNCTION("IF(ISBLANK(A1867),,IF(ISBLANK(S1867), A1867&amp;"";"", TEXTJOIN(CHAR(10), TRUE, A1867&amp;"";"", ARRAYFORMULA(VLOOKUP(SPLIT(S1867, "";"" &amp; CHAR(10)), $A:$AO, 41, FALSE)))))"),"AAAv;")</f>
        <v>AAAv;</v>
      </c>
      <c r="AP1867" s="89"/>
    </row>
    <row r="1868">
      <c r="A1868" s="151" t="str">
        <f>IFERROR(__xludf.DUMMYFUNCTION("""COMPUTED_VALUE"""),"CEN")</f>
        <v>CEN</v>
      </c>
      <c r="B1868" s="42" t="str">
        <f>IFERROR(__xludf.DUMMYFUNCTION("""COMPUTED_VALUE"""),"DHBA")</f>
        <v>DHBA</v>
      </c>
      <c r="C1868" s="42" t="str">
        <f>IFERROR(__xludf.DUMMYFUNCTION("""COMPUTED_VALUE"""),"central nuclear group, CE, CeA")</f>
        <v>central nuclear group, CE, CeA</v>
      </c>
      <c r="D1868" s="42">
        <f>IFERROR(__xludf.DUMMYFUNCTION("""COMPUTED_VALUE"""),1764.0)</f>
        <v>1764</v>
      </c>
      <c r="E1868" s="39" t="str">
        <f>IFERROR(__xludf.DUMMYFUNCTION("""COMPUTED_VALUE"""),"central nuclear group")</f>
        <v>central nuclear group</v>
      </c>
      <c r="F1868" s="9" t="str">
        <f>IFERROR(__xludf.DUMMYFUNCTION("""COMPUTED_VALUE"""),"Br")</f>
        <v>Br</v>
      </c>
      <c r="G1868" s="9" t="str">
        <f>IFERROR(__xludf.DUMMYFUNCTION("""COMPUTED_VALUE"""),"F")</f>
        <v>F</v>
      </c>
      <c r="H1868" s="9" t="str">
        <f>IFERROR(__xludf.DUMMYFUNCTION("""COMPUTED_VALUE"""),"FGM")</f>
        <v>FGM</v>
      </c>
      <c r="I1868" s="9" t="str">
        <f>IFERROR(__xludf.DUMMYFUNCTION("""COMPUTED_VALUE"""),"Tel")</f>
        <v>Tel</v>
      </c>
      <c r="J1868" s="9" t="str">
        <f>IFERROR(__xludf.DUMMYFUNCTION("""COMPUTED_VALUE"""),"CN")</f>
        <v>CN</v>
      </c>
      <c r="K1868" s="9" t="str">
        <f>IFERROR(__xludf.DUMMYFUNCTION("""COMPUTED_VALUE"""),"AMY")</f>
        <v>AMY</v>
      </c>
      <c r="L1868" s="9" t="str">
        <f>IFERROR(__xludf.DUMMYFUNCTION("""COMPUTED_VALUE"""),"CEN")</f>
        <v>CEN</v>
      </c>
      <c r="M1868" s="9"/>
      <c r="N1868" s="9"/>
      <c r="O1868" s="9"/>
      <c r="P1868" s="9"/>
      <c r="Q1868" s="9"/>
      <c r="R1868" s="9"/>
      <c r="S1868" s="42" t="str">
        <f>IFERROR(__xludf.DUMMYFUNCTION("""COMPUTED_VALUE"""),"CEm;
CEl")</f>
        <v>CEm;
CEl</v>
      </c>
      <c r="T1868" s="42"/>
      <c r="U1868" s="42" t="b">
        <f>IFERROR(__xludf.DUMMYFUNCTION("""COMPUTED_VALUE"""),FALSE)</f>
        <v>0</v>
      </c>
      <c r="V1868" s="42"/>
      <c r="W1868" s="42"/>
      <c r="X1868" s="42"/>
      <c r="Y1868" s="42"/>
      <c r="Z1868" s="42"/>
      <c r="AA1868" s="42"/>
      <c r="AB1868" s="42" t="str">
        <f>IFERROR(__xludf.DUMMYFUNCTION("""COMPUTED_VALUE"""),"allen institute")</f>
        <v>allen institute</v>
      </c>
      <c r="AC1868" s="42" t="str">
        <f>IFERROR(__xludf.DUMMYFUNCTION("""COMPUTED_VALUE"""),"DHBA")</f>
        <v>DHBA</v>
      </c>
      <c r="AD1868" s="42"/>
      <c r="AE1868" s="42"/>
      <c r="AF1868" s="9"/>
      <c r="AG1868" s="9"/>
      <c r="AH1868" s="42"/>
      <c r="AI1868" s="42"/>
      <c r="AJ1868" s="42"/>
      <c r="AK1868" s="42"/>
      <c r="AL1868" s="42"/>
      <c r="AM1868" s="42"/>
      <c r="AN1868" s="42"/>
      <c r="AO1868" s="63" t="str">
        <f>IFERROR(__xludf.DUMMYFUNCTION("IF(ISBLANK(A1868),,IF(ISBLANK(S1868), A1868&amp;"";"", TEXTJOIN(CHAR(10), TRUE, A1868&amp;"";"", ARRAYFORMULA(VLOOKUP(SPLIT(S1868, "";"" &amp; CHAR(10)), $A:$AO, 41, FALSE)))))"),"#N/A")</f>
        <v>#N/A</v>
      </c>
      <c r="AP1868" s="89"/>
    </row>
    <row r="1869">
      <c r="A1869" s="151" t="str">
        <f>IFERROR(__xludf.DUMMYFUNCTION("""COMPUTED_VALUE"""),"CEm")</f>
        <v>CEm</v>
      </c>
      <c r="B1869" s="42" t="str">
        <f>IFERROR(__xludf.DUMMYFUNCTION("""COMPUTED_VALUE"""),"DHBA")</f>
        <v>DHBA</v>
      </c>
      <c r="C1869" s="42" t="str">
        <f>IFERROR(__xludf.DUMMYFUNCTION("""COMPUTED_VALUE"""),"medial subdivision of central nucleus")</f>
        <v>medial subdivision of central nucleus</v>
      </c>
      <c r="D1869" s="42">
        <f>IFERROR(__xludf.DUMMYFUNCTION("""COMPUTED_VALUE"""),1765.0)</f>
        <v>1765</v>
      </c>
      <c r="E1869" s="39" t="str">
        <f>IFERROR(__xludf.DUMMYFUNCTION("""COMPUTED_VALUE"""),"medial subdivision of central nucleus")</f>
        <v>medial subdivision of central nucleus</v>
      </c>
      <c r="F1869" s="9" t="str">
        <f>IFERROR(__xludf.DUMMYFUNCTION("""COMPUTED_VALUE"""),"Br")</f>
        <v>Br</v>
      </c>
      <c r="G1869" s="9" t="str">
        <f>IFERROR(__xludf.DUMMYFUNCTION("""COMPUTED_VALUE"""),"F")</f>
        <v>F</v>
      </c>
      <c r="H1869" s="9" t="str">
        <f>IFERROR(__xludf.DUMMYFUNCTION("""COMPUTED_VALUE"""),"FGM")</f>
        <v>FGM</v>
      </c>
      <c r="I1869" s="9" t="str">
        <f>IFERROR(__xludf.DUMMYFUNCTION("""COMPUTED_VALUE"""),"Tel")</f>
        <v>Tel</v>
      </c>
      <c r="J1869" s="9" t="str">
        <f>IFERROR(__xludf.DUMMYFUNCTION("""COMPUTED_VALUE"""),"CN")</f>
        <v>CN</v>
      </c>
      <c r="K1869" s="9" t="str">
        <f>IFERROR(__xludf.DUMMYFUNCTION("""COMPUTED_VALUE"""),"AMY")</f>
        <v>AMY</v>
      </c>
      <c r="L1869" s="9" t="str">
        <f>IFERROR(__xludf.DUMMYFUNCTION("""COMPUTED_VALUE"""),"CEN")</f>
        <v>CEN</v>
      </c>
      <c r="M1869" s="9" t="str">
        <f>IFERROR(__xludf.DUMMYFUNCTION("""COMPUTED_VALUE"""),"CEm")</f>
        <v>CEm</v>
      </c>
      <c r="N1869" s="9"/>
      <c r="O1869" s="9"/>
      <c r="P1869" s="9"/>
      <c r="Q1869" s="9"/>
      <c r="R1869" s="9"/>
      <c r="S1869" s="42" t="str">
        <f>IFERROR(__xludf.DUMMYFUNCTION("""COMPUTED_VALUE"""),"CEmd;
CEmv")</f>
        <v>CEmd;
CEmv</v>
      </c>
      <c r="T1869" s="42"/>
      <c r="U1869" s="42" t="b">
        <f>IFERROR(__xludf.DUMMYFUNCTION("""COMPUTED_VALUE"""),FALSE)</f>
        <v>0</v>
      </c>
      <c r="V1869" s="42"/>
      <c r="W1869" s="42"/>
      <c r="X1869" s="42"/>
      <c r="Y1869" s="42"/>
      <c r="Z1869" s="42"/>
      <c r="AA1869" s="42"/>
      <c r="AB1869" s="42" t="str">
        <f>IFERROR(__xludf.DUMMYFUNCTION("""COMPUTED_VALUE"""),"allen institute")</f>
        <v>allen institute</v>
      </c>
      <c r="AC1869" s="42" t="str">
        <f>IFERROR(__xludf.DUMMYFUNCTION("""COMPUTED_VALUE"""),"DHBA")</f>
        <v>DHBA</v>
      </c>
      <c r="AD1869" s="42"/>
      <c r="AE1869" s="42"/>
      <c r="AF1869" s="9"/>
      <c r="AG1869" s="9"/>
      <c r="AH1869" s="42"/>
      <c r="AI1869" s="42"/>
      <c r="AJ1869" s="42"/>
      <c r="AK1869" s="42"/>
      <c r="AL1869" s="42"/>
      <c r="AM1869" s="42"/>
      <c r="AN1869" s="42"/>
      <c r="AO1869" s="63" t="str">
        <f>IFERROR(__xludf.DUMMYFUNCTION("IF(ISBLANK(A1869),,IF(ISBLANK(S1869), A1869&amp;"";"", TEXTJOIN(CHAR(10), TRUE, A1869&amp;"";"", ARRAYFORMULA(VLOOKUP(SPLIT(S1869, "";"" &amp; CHAR(10)), $A:$AO, 41, FALSE)))))"),"CEm;
CEmd;
CEmv;")</f>
        <v>CEm;
CEmd;
CEmv;</v>
      </c>
      <c r="AP1869" s="89"/>
    </row>
    <row r="1870">
      <c r="A1870" s="151" t="str">
        <f>IFERROR(__xludf.DUMMYFUNCTION("""COMPUTED_VALUE"""),"CEmd")</f>
        <v>CEmd</v>
      </c>
      <c r="B1870" s="42" t="str">
        <f>IFERROR(__xludf.DUMMYFUNCTION("""COMPUTED_VALUE"""),"DHBA")</f>
        <v>DHBA</v>
      </c>
      <c r="C1870" s="42" t="str">
        <f>IFERROR(__xludf.DUMMYFUNCTION("""COMPUTED_VALUE"""),"dorsal part of CEm")</f>
        <v>dorsal part of CEm</v>
      </c>
      <c r="D1870" s="42">
        <f>IFERROR(__xludf.DUMMYFUNCTION("""COMPUTED_VALUE"""),1766.0)</f>
        <v>1766</v>
      </c>
      <c r="E1870" s="39" t="str">
        <f>IFERROR(__xludf.DUMMYFUNCTION("""COMPUTED_VALUE"""),"dorsal part of CEm")</f>
        <v>dorsal part of CEm</v>
      </c>
      <c r="F1870" s="9" t="str">
        <f>IFERROR(__xludf.DUMMYFUNCTION("""COMPUTED_VALUE"""),"Br")</f>
        <v>Br</v>
      </c>
      <c r="G1870" s="9" t="str">
        <f>IFERROR(__xludf.DUMMYFUNCTION("""COMPUTED_VALUE"""),"F")</f>
        <v>F</v>
      </c>
      <c r="H1870" s="9" t="str">
        <f>IFERROR(__xludf.DUMMYFUNCTION("""COMPUTED_VALUE"""),"FGM")</f>
        <v>FGM</v>
      </c>
      <c r="I1870" s="9" t="str">
        <f>IFERROR(__xludf.DUMMYFUNCTION("""COMPUTED_VALUE"""),"Tel")</f>
        <v>Tel</v>
      </c>
      <c r="J1870" s="9" t="str">
        <f>IFERROR(__xludf.DUMMYFUNCTION("""COMPUTED_VALUE"""),"CN")</f>
        <v>CN</v>
      </c>
      <c r="K1870" s="9" t="str">
        <f>IFERROR(__xludf.DUMMYFUNCTION("""COMPUTED_VALUE"""),"AMY")</f>
        <v>AMY</v>
      </c>
      <c r="L1870" s="9" t="str">
        <f>IFERROR(__xludf.DUMMYFUNCTION("""COMPUTED_VALUE"""),"CEN")</f>
        <v>CEN</v>
      </c>
      <c r="M1870" s="9" t="str">
        <f>IFERROR(__xludf.DUMMYFUNCTION("""COMPUTED_VALUE"""),"CEm")</f>
        <v>CEm</v>
      </c>
      <c r="N1870" s="9" t="str">
        <f>IFERROR(__xludf.DUMMYFUNCTION("""COMPUTED_VALUE"""),"CEmd")</f>
        <v>CEmd</v>
      </c>
      <c r="O1870" s="9"/>
      <c r="P1870" s="9"/>
      <c r="Q1870" s="9"/>
      <c r="R1870" s="9"/>
      <c r="S1870" s="42"/>
      <c r="T1870" s="42"/>
      <c r="U1870" s="42"/>
      <c r="V1870" s="42"/>
      <c r="W1870" s="42"/>
      <c r="X1870" s="42"/>
      <c r="Y1870" s="42"/>
      <c r="Z1870" s="42"/>
      <c r="AA1870" s="42"/>
      <c r="AB1870" s="42" t="str">
        <f>IFERROR(__xludf.DUMMYFUNCTION("""COMPUTED_VALUE"""),"allen institute")</f>
        <v>allen institute</v>
      </c>
      <c r="AC1870" s="42" t="str">
        <f>IFERROR(__xludf.DUMMYFUNCTION("""COMPUTED_VALUE"""),"DHBA")</f>
        <v>DHBA</v>
      </c>
      <c r="AD1870" s="42"/>
      <c r="AE1870" s="42"/>
      <c r="AF1870" s="9"/>
      <c r="AG1870" s="9"/>
      <c r="AH1870" s="42"/>
      <c r="AI1870" s="42"/>
      <c r="AJ1870" s="42"/>
      <c r="AK1870" s="42"/>
      <c r="AL1870" s="42"/>
      <c r="AM1870" s="42"/>
      <c r="AN1870" s="42"/>
      <c r="AO1870" s="63" t="str">
        <f>IFERROR(__xludf.DUMMYFUNCTION("IF(ISBLANK(A1870),,IF(ISBLANK(S1870), A1870&amp;"";"", TEXTJOIN(CHAR(10), TRUE, A1870&amp;"";"", ARRAYFORMULA(VLOOKUP(SPLIT(S1870, "";"" &amp; CHAR(10)), $A:$AO, 41, FALSE)))))"),"CEmd;")</f>
        <v>CEmd;</v>
      </c>
      <c r="AP1870" s="89"/>
    </row>
    <row r="1871">
      <c r="A1871" s="151" t="str">
        <f>IFERROR(__xludf.DUMMYFUNCTION("""COMPUTED_VALUE"""),"CEmv")</f>
        <v>CEmv</v>
      </c>
      <c r="B1871" s="42" t="str">
        <f>IFERROR(__xludf.DUMMYFUNCTION("""COMPUTED_VALUE"""),"DHBA")</f>
        <v>DHBA</v>
      </c>
      <c r="C1871" s="42" t="str">
        <f>IFERROR(__xludf.DUMMYFUNCTION("""COMPUTED_VALUE"""),"ventral part of CEm")</f>
        <v>ventral part of CEm</v>
      </c>
      <c r="D1871" s="42">
        <f>IFERROR(__xludf.DUMMYFUNCTION("""COMPUTED_VALUE"""),1767.0)</f>
        <v>1767</v>
      </c>
      <c r="E1871" s="39" t="str">
        <f>IFERROR(__xludf.DUMMYFUNCTION("""COMPUTED_VALUE"""),"ventral part of CEm")</f>
        <v>ventral part of CEm</v>
      </c>
      <c r="F1871" s="9" t="str">
        <f>IFERROR(__xludf.DUMMYFUNCTION("""COMPUTED_VALUE"""),"Br")</f>
        <v>Br</v>
      </c>
      <c r="G1871" s="9" t="str">
        <f>IFERROR(__xludf.DUMMYFUNCTION("""COMPUTED_VALUE"""),"F")</f>
        <v>F</v>
      </c>
      <c r="H1871" s="9" t="str">
        <f>IFERROR(__xludf.DUMMYFUNCTION("""COMPUTED_VALUE"""),"FGM")</f>
        <v>FGM</v>
      </c>
      <c r="I1871" s="9" t="str">
        <f>IFERROR(__xludf.DUMMYFUNCTION("""COMPUTED_VALUE"""),"Tel")</f>
        <v>Tel</v>
      </c>
      <c r="J1871" s="9" t="str">
        <f>IFERROR(__xludf.DUMMYFUNCTION("""COMPUTED_VALUE"""),"CN")</f>
        <v>CN</v>
      </c>
      <c r="K1871" s="9" t="str">
        <f>IFERROR(__xludf.DUMMYFUNCTION("""COMPUTED_VALUE"""),"AMY")</f>
        <v>AMY</v>
      </c>
      <c r="L1871" s="9" t="str">
        <f>IFERROR(__xludf.DUMMYFUNCTION("""COMPUTED_VALUE"""),"CEN")</f>
        <v>CEN</v>
      </c>
      <c r="M1871" s="9" t="str">
        <f>IFERROR(__xludf.DUMMYFUNCTION("""COMPUTED_VALUE"""),"CEm")</f>
        <v>CEm</v>
      </c>
      <c r="N1871" s="9" t="str">
        <f>IFERROR(__xludf.DUMMYFUNCTION("""COMPUTED_VALUE"""),"CEmv")</f>
        <v>CEmv</v>
      </c>
      <c r="O1871" s="9"/>
      <c r="P1871" s="9"/>
      <c r="Q1871" s="9"/>
      <c r="R1871" s="9"/>
      <c r="S1871" s="42"/>
      <c r="T1871" s="42"/>
      <c r="U1871" s="42"/>
      <c r="V1871" s="42"/>
      <c r="W1871" s="42"/>
      <c r="X1871" s="42"/>
      <c r="Y1871" s="42"/>
      <c r="Z1871" s="42"/>
      <c r="AA1871" s="42"/>
      <c r="AB1871" s="42" t="str">
        <f>IFERROR(__xludf.DUMMYFUNCTION("""COMPUTED_VALUE"""),"allen institute")</f>
        <v>allen institute</v>
      </c>
      <c r="AC1871" s="42" t="str">
        <f>IFERROR(__xludf.DUMMYFUNCTION("""COMPUTED_VALUE"""),"DHBA")</f>
        <v>DHBA</v>
      </c>
      <c r="AD1871" s="42"/>
      <c r="AE1871" s="42"/>
      <c r="AF1871" s="9"/>
      <c r="AG1871" s="9"/>
      <c r="AH1871" s="42"/>
      <c r="AI1871" s="42"/>
      <c r="AJ1871" s="42"/>
      <c r="AK1871" s="42"/>
      <c r="AL1871" s="42"/>
      <c r="AM1871" s="42"/>
      <c r="AN1871" s="42"/>
      <c r="AO1871" s="63" t="str">
        <f>IFERROR(__xludf.DUMMYFUNCTION("IF(ISBLANK(A1871),,IF(ISBLANK(S1871), A1871&amp;"";"", TEXTJOIN(CHAR(10), TRUE, A1871&amp;"";"", ARRAYFORMULA(VLOOKUP(SPLIT(S1871, "";"" &amp; CHAR(10)), $A:$AO, 41, FALSE)))))"),"CEmv;")</f>
        <v>CEmv;</v>
      </c>
      <c r="AP1871" s="89"/>
    </row>
    <row r="1872">
      <c r="A1872" s="151" t="str">
        <f>IFERROR(__xludf.DUMMYFUNCTION("""COMPUTED_VALUE"""),"CEl")</f>
        <v>CEl</v>
      </c>
      <c r="B1872" s="42" t="str">
        <f>IFERROR(__xludf.DUMMYFUNCTION("""COMPUTED_VALUE"""),"DHBA")</f>
        <v>DHBA</v>
      </c>
      <c r="C1872" s="42" t="str">
        <f>IFERROR(__xludf.DUMMYFUNCTION("""COMPUTED_VALUE"""),"lateral subdivision of central nucleus")</f>
        <v>lateral subdivision of central nucleus</v>
      </c>
      <c r="D1872" s="42">
        <f>IFERROR(__xludf.DUMMYFUNCTION("""COMPUTED_VALUE"""),1768.0)</f>
        <v>1768</v>
      </c>
      <c r="E1872" s="39" t="str">
        <f>IFERROR(__xludf.DUMMYFUNCTION("""COMPUTED_VALUE"""),"lateral subdivision of central nucleus")</f>
        <v>lateral subdivision of central nucleus</v>
      </c>
      <c r="F1872" s="9" t="str">
        <f>IFERROR(__xludf.DUMMYFUNCTION("""COMPUTED_VALUE"""),"Br")</f>
        <v>Br</v>
      </c>
      <c r="G1872" s="9" t="str">
        <f>IFERROR(__xludf.DUMMYFUNCTION("""COMPUTED_VALUE"""),"F")</f>
        <v>F</v>
      </c>
      <c r="H1872" s="9" t="str">
        <f>IFERROR(__xludf.DUMMYFUNCTION("""COMPUTED_VALUE"""),"FGM")</f>
        <v>FGM</v>
      </c>
      <c r="I1872" s="9" t="str">
        <f>IFERROR(__xludf.DUMMYFUNCTION("""COMPUTED_VALUE"""),"Tel")</f>
        <v>Tel</v>
      </c>
      <c r="J1872" s="9" t="str">
        <f>IFERROR(__xludf.DUMMYFUNCTION("""COMPUTED_VALUE"""),"CN")</f>
        <v>CN</v>
      </c>
      <c r="K1872" s="9" t="str">
        <f>IFERROR(__xludf.DUMMYFUNCTION("""COMPUTED_VALUE"""),"AMY")</f>
        <v>AMY</v>
      </c>
      <c r="L1872" s="9" t="str">
        <f>IFERROR(__xludf.DUMMYFUNCTION("""COMPUTED_VALUE"""),"CEN")</f>
        <v>CEN</v>
      </c>
      <c r="M1872" s="9" t="str">
        <f>IFERROR(__xludf.DUMMYFUNCTION("""COMPUTED_VALUE"""),"CEl")</f>
        <v>CEl</v>
      </c>
      <c r="N1872" s="9"/>
      <c r="O1872" s="9"/>
      <c r="P1872" s="9"/>
      <c r="Q1872" s="9"/>
      <c r="R1872" s="9"/>
      <c r="S1872" s="42" t="str">
        <f>IFERROR(__xludf.DUMMYFUNCTION("""COMPUTED_VALUE"""),"CElap;
CElca;
CElpc;
CElcn；CEl_on;
CEl_off;
CElcn")</f>
        <v>CElap;
CElca;
CElpc;
CElcn；CEl_on;
CEl_off;
CElcn</v>
      </c>
      <c r="T1872" s="42"/>
      <c r="U1872" s="42" t="b">
        <f>IFERROR(__xludf.DUMMYFUNCTION("""COMPUTED_VALUE"""),FALSE)</f>
        <v>0</v>
      </c>
      <c r="V1872" s="42"/>
      <c r="W1872" s="42"/>
      <c r="X1872" s="42"/>
      <c r="Y1872" s="42"/>
      <c r="Z1872" s="42"/>
      <c r="AA1872" s="42"/>
      <c r="AB1872" s="42" t="str">
        <f>IFERROR(__xludf.DUMMYFUNCTION("""COMPUTED_VALUE"""),"allen institute")</f>
        <v>allen institute</v>
      </c>
      <c r="AC1872" s="42" t="str">
        <f>IFERROR(__xludf.DUMMYFUNCTION("""COMPUTED_VALUE"""),"DHBA")</f>
        <v>DHBA</v>
      </c>
      <c r="AD1872" s="42"/>
      <c r="AE1872" s="42"/>
      <c r="AF1872" s="9"/>
      <c r="AG1872" s="9"/>
      <c r="AH1872" s="42"/>
      <c r="AI1872" s="42"/>
      <c r="AJ1872" s="42"/>
      <c r="AK1872" s="42"/>
      <c r="AL1872" s="42"/>
      <c r="AM1872" s="42"/>
      <c r="AN1872" s="42"/>
      <c r="AO1872" s="63" t="str">
        <f>IFERROR(__xludf.DUMMYFUNCTION("IF(ISBLANK(A1872),,IF(ISBLANK(S1872), A1872&amp;"";"", TEXTJOIN(CHAR(10), TRUE, A1872&amp;"";"", ARRAYFORMULA(VLOOKUP(SPLIT(S1872, "";"" &amp; CHAR(10)), $A:$AO, 41, FALSE)))))"),"#N/A")</f>
        <v>#N/A</v>
      </c>
      <c r="AP1872" s="89"/>
    </row>
    <row r="1873">
      <c r="A1873" s="151" t="str">
        <f>IFERROR(__xludf.DUMMYFUNCTION("""COMPUTED_VALUE"""),"CElap")</f>
        <v>CElap</v>
      </c>
      <c r="B1873" s="42" t="str">
        <f>IFERROR(__xludf.DUMMYFUNCTION("""COMPUTED_VALUE"""),"DHBA")</f>
        <v>DHBA</v>
      </c>
      <c r="C1873" s="42" t="str">
        <f>IFERROR(__xludf.DUMMYFUNCTION("""COMPUTED_VALUE"""),"apical part of CEl")</f>
        <v>apical part of CEl</v>
      </c>
      <c r="D1873" s="42">
        <f>IFERROR(__xludf.DUMMYFUNCTION("""COMPUTED_VALUE"""),1769.0)</f>
        <v>1769</v>
      </c>
      <c r="E1873" s="39" t="str">
        <f>IFERROR(__xludf.DUMMYFUNCTION("""COMPUTED_VALUE"""),"apical part of CEl")</f>
        <v>apical part of CEl</v>
      </c>
      <c r="F1873" s="9" t="str">
        <f>IFERROR(__xludf.DUMMYFUNCTION("""COMPUTED_VALUE"""),"Br")</f>
        <v>Br</v>
      </c>
      <c r="G1873" s="9" t="str">
        <f>IFERROR(__xludf.DUMMYFUNCTION("""COMPUTED_VALUE"""),"F")</f>
        <v>F</v>
      </c>
      <c r="H1873" s="9" t="str">
        <f>IFERROR(__xludf.DUMMYFUNCTION("""COMPUTED_VALUE"""),"FGM")</f>
        <v>FGM</v>
      </c>
      <c r="I1873" s="9" t="str">
        <f>IFERROR(__xludf.DUMMYFUNCTION("""COMPUTED_VALUE"""),"Tel")</f>
        <v>Tel</v>
      </c>
      <c r="J1873" s="9" t="str">
        <f>IFERROR(__xludf.DUMMYFUNCTION("""COMPUTED_VALUE"""),"CN")</f>
        <v>CN</v>
      </c>
      <c r="K1873" s="9" t="str">
        <f>IFERROR(__xludf.DUMMYFUNCTION("""COMPUTED_VALUE"""),"AMY")</f>
        <v>AMY</v>
      </c>
      <c r="L1873" s="9" t="str">
        <f>IFERROR(__xludf.DUMMYFUNCTION("""COMPUTED_VALUE"""),"CEN")</f>
        <v>CEN</v>
      </c>
      <c r="M1873" s="9" t="str">
        <f>IFERROR(__xludf.DUMMYFUNCTION("""COMPUTED_VALUE"""),"CEl")</f>
        <v>CEl</v>
      </c>
      <c r="N1873" s="9" t="str">
        <f>IFERROR(__xludf.DUMMYFUNCTION("""COMPUTED_VALUE"""),"CElap")</f>
        <v>CElap</v>
      </c>
      <c r="O1873" s="9"/>
      <c r="P1873" s="9"/>
      <c r="Q1873" s="9"/>
      <c r="R1873" s="9"/>
      <c r="S1873" s="42"/>
      <c r="T1873" s="42"/>
      <c r="U1873" s="42"/>
      <c r="V1873" s="42"/>
      <c r="W1873" s="42"/>
      <c r="X1873" s="42"/>
      <c r="Y1873" s="42"/>
      <c r="Z1873" s="42"/>
      <c r="AA1873" s="42"/>
      <c r="AB1873" s="42" t="str">
        <f>IFERROR(__xludf.DUMMYFUNCTION("""COMPUTED_VALUE"""),"allen institute")</f>
        <v>allen institute</v>
      </c>
      <c r="AC1873" s="42" t="str">
        <f>IFERROR(__xludf.DUMMYFUNCTION("""COMPUTED_VALUE"""),"DHBA")</f>
        <v>DHBA</v>
      </c>
      <c r="AD1873" s="42"/>
      <c r="AE1873" s="42"/>
      <c r="AF1873" s="9"/>
      <c r="AG1873" s="9"/>
      <c r="AH1873" s="42"/>
      <c r="AI1873" s="42"/>
      <c r="AJ1873" s="42"/>
      <c r="AK1873" s="42"/>
      <c r="AL1873" s="42"/>
      <c r="AM1873" s="42"/>
      <c r="AN1873" s="42"/>
      <c r="AO1873" s="63" t="str">
        <f>IFERROR(__xludf.DUMMYFUNCTION("IF(ISBLANK(A1873),,IF(ISBLANK(S1873), A1873&amp;"";"", TEXTJOIN(CHAR(10), TRUE, A1873&amp;"";"", ARRAYFORMULA(VLOOKUP(SPLIT(S1873, "";"" &amp; CHAR(10)), $A:$AO, 41, FALSE)))))"),"CElap;")</f>
        <v>CElap;</v>
      </c>
      <c r="AP1873" s="89"/>
    </row>
    <row r="1874">
      <c r="A1874" s="151" t="str">
        <f>IFERROR(__xludf.DUMMYFUNCTION("""COMPUTED_VALUE"""),"CElca")</f>
        <v>CElca</v>
      </c>
      <c r="B1874" s="42" t="str">
        <f>IFERROR(__xludf.DUMMYFUNCTION("""COMPUTED_VALUE"""),"DHBA")</f>
        <v>DHBA</v>
      </c>
      <c r="C1874" s="42" t="str">
        <f>IFERROR(__xludf.DUMMYFUNCTION("""COMPUTED_VALUE"""),"capsular part of CEl")</f>
        <v>capsular part of CEl</v>
      </c>
      <c r="D1874" s="42">
        <f>IFERROR(__xludf.DUMMYFUNCTION("""COMPUTED_VALUE"""),1770.0)</f>
        <v>1770</v>
      </c>
      <c r="E1874" s="39" t="str">
        <f>IFERROR(__xludf.DUMMYFUNCTION("""COMPUTED_VALUE"""),"capsular part of CEl")</f>
        <v>capsular part of CEl</v>
      </c>
      <c r="F1874" s="9" t="str">
        <f>IFERROR(__xludf.DUMMYFUNCTION("""COMPUTED_VALUE"""),"Br")</f>
        <v>Br</v>
      </c>
      <c r="G1874" s="9" t="str">
        <f>IFERROR(__xludf.DUMMYFUNCTION("""COMPUTED_VALUE"""),"F")</f>
        <v>F</v>
      </c>
      <c r="H1874" s="9" t="str">
        <f>IFERROR(__xludf.DUMMYFUNCTION("""COMPUTED_VALUE"""),"FGM")</f>
        <v>FGM</v>
      </c>
      <c r="I1874" s="9" t="str">
        <f>IFERROR(__xludf.DUMMYFUNCTION("""COMPUTED_VALUE"""),"Tel")</f>
        <v>Tel</v>
      </c>
      <c r="J1874" s="9" t="str">
        <f>IFERROR(__xludf.DUMMYFUNCTION("""COMPUTED_VALUE"""),"CN")</f>
        <v>CN</v>
      </c>
      <c r="K1874" s="9" t="str">
        <f>IFERROR(__xludf.DUMMYFUNCTION("""COMPUTED_VALUE"""),"AMY")</f>
        <v>AMY</v>
      </c>
      <c r="L1874" s="9" t="str">
        <f>IFERROR(__xludf.DUMMYFUNCTION("""COMPUTED_VALUE"""),"CEN")</f>
        <v>CEN</v>
      </c>
      <c r="M1874" s="9" t="str">
        <f>IFERROR(__xludf.DUMMYFUNCTION("""COMPUTED_VALUE"""),"CEl")</f>
        <v>CEl</v>
      </c>
      <c r="N1874" s="9" t="str">
        <f>IFERROR(__xludf.DUMMYFUNCTION("""COMPUTED_VALUE"""),"CElca")</f>
        <v>CElca</v>
      </c>
      <c r="O1874" s="9"/>
      <c r="P1874" s="9"/>
      <c r="Q1874" s="9"/>
      <c r="R1874" s="9"/>
      <c r="S1874" s="42"/>
      <c r="T1874" s="42"/>
      <c r="U1874" s="42"/>
      <c r="V1874" s="42"/>
      <c r="W1874" s="42"/>
      <c r="X1874" s="42"/>
      <c r="Y1874" s="42"/>
      <c r="Z1874" s="42"/>
      <c r="AA1874" s="42"/>
      <c r="AB1874" s="42" t="str">
        <f>IFERROR(__xludf.DUMMYFUNCTION("""COMPUTED_VALUE"""),"allen institute")</f>
        <v>allen institute</v>
      </c>
      <c r="AC1874" s="42" t="str">
        <f>IFERROR(__xludf.DUMMYFUNCTION("""COMPUTED_VALUE"""),"DHBA")</f>
        <v>DHBA</v>
      </c>
      <c r="AD1874" s="42"/>
      <c r="AE1874" s="42"/>
      <c r="AF1874" s="9"/>
      <c r="AG1874" s="9"/>
      <c r="AH1874" s="42"/>
      <c r="AI1874" s="42"/>
      <c r="AJ1874" s="42"/>
      <c r="AK1874" s="42"/>
      <c r="AL1874" s="42"/>
      <c r="AM1874" s="42"/>
      <c r="AN1874" s="42"/>
      <c r="AO1874" s="63" t="str">
        <f>IFERROR(__xludf.DUMMYFUNCTION("IF(ISBLANK(A1874),,IF(ISBLANK(S1874), A1874&amp;"";"", TEXTJOIN(CHAR(10), TRUE, A1874&amp;"";"", ARRAYFORMULA(VLOOKUP(SPLIT(S1874, "";"" &amp; CHAR(10)), $A:$AO, 41, FALSE)))))"),"CElca;")</f>
        <v>CElca;</v>
      </c>
      <c r="AP1874" s="89"/>
    </row>
    <row r="1875">
      <c r="A1875" s="151" t="str">
        <f>IFERROR(__xludf.DUMMYFUNCTION("""COMPUTED_VALUE"""),"CElpc")</f>
        <v>CElpc</v>
      </c>
      <c r="B1875" s="42" t="str">
        <f>IFERROR(__xludf.DUMMYFUNCTION("""COMPUTED_VALUE"""),"DHBA")</f>
        <v>DHBA</v>
      </c>
      <c r="C1875" s="42" t="str">
        <f>IFERROR(__xludf.DUMMYFUNCTION("""COMPUTED_VALUE"""),"paracapsular part of CEl")</f>
        <v>paracapsular part of CEl</v>
      </c>
      <c r="D1875" s="42">
        <f>IFERROR(__xludf.DUMMYFUNCTION("""COMPUTED_VALUE"""),1771.0)</f>
        <v>1771</v>
      </c>
      <c r="E1875" s="39" t="str">
        <f>IFERROR(__xludf.DUMMYFUNCTION("""COMPUTED_VALUE"""),"paracapsular part of CEl")</f>
        <v>paracapsular part of CEl</v>
      </c>
      <c r="F1875" s="9" t="str">
        <f>IFERROR(__xludf.DUMMYFUNCTION("""COMPUTED_VALUE"""),"Br")</f>
        <v>Br</v>
      </c>
      <c r="G1875" s="9" t="str">
        <f>IFERROR(__xludf.DUMMYFUNCTION("""COMPUTED_VALUE"""),"F")</f>
        <v>F</v>
      </c>
      <c r="H1875" s="9" t="str">
        <f>IFERROR(__xludf.DUMMYFUNCTION("""COMPUTED_VALUE"""),"FGM")</f>
        <v>FGM</v>
      </c>
      <c r="I1875" s="9" t="str">
        <f>IFERROR(__xludf.DUMMYFUNCTION("""COMPUTED_VALUE"""),"Tel")</f>
        <v>Tel</v>
      </c>
      <c r="J1875" s="9" t="str">
        <f>IFERROR(__xludf.DUMMYFUNCTION("""COMPUTED_VALUE"""),"CN")</f>
        <v>CN</v>
      </c>
      <c r="K1875" s="9" t="str">
        <f>IFERROR(__xludf.DUMMYFUNCTION("""COMPUTED_VALUE"""),"AMY")</f>
        <v>AMY</v>
      </c>
      <c r="L1875" s="9" t="str">
        <f>IFERROR(__xludf.DUMMYFUNCTION("""COMPUTED_VALUE"""),"CEN")</f>
        <v>CEN</v>
      </c>
      <c r="M1875" s="9" t="str">
        <f>IFERROR(__xludf.DUMMYFUNCTION("""COMPUTED_VALUE"""),"CEl")</f>
        <v>CEl</v>
      </c>
      <c r="N1875" s="9" t="str">
        <f>IFERROR(__xludf.DUMMYFUNCTION("""COMPUTED_VALUE"""),"CElpc")</f>
        <v>CElpc</v>
      </c>
      <c r="O1875" s="9"/>
      <c r="P1875" s="9"/>
      <c r="Q1875" s="9"/>
      <c r="R1875" s="9"/>
      <c r="S1875" s="42"/>
      <c r="T1875" s="42"/>
      <c r="U1875" s="42"/>
      <c r="V1875" s="42"/>
      <c r="W1875" s="42"/>
      <c r="X1875" s="42"/>
      <c r="Y1875" s="42"/>
      <c r="Z1875" s="42"/>
      <c r="AA1875" s="42"/>
      <c r="AB1875" s="42" t="str">
        <f>IFERROR(__xludf.DUMMYFUNCTION("""COMPUTED_VALUE"""),"allen institute")</f>
        <v>allen institute</v>
      </c>
      <c r="AC1875" s="42" t="str">
        <f>IFERROR(__xludf.DUMMYFUNCTION("""COMPUTED_VALUE"""),"DHBA")</f>
        <v>DHBA</v>
      </c>
      <c r="AD1875" s="42"/>
      <c r="AE1875" s="42"/>
      <c r="AF1875" s="9"/>
      <c r="AG1875" s="9"/>
      <c r="AH1875" s="42"/>
      <c r="AI1875" s="42"/>
      <c r="AJ1875" s="42"/>
      <c r="AK1875" s="42"/>
      <c r="AL1875" s="42"/>
      <c r="AM1875" s="42"/>
      <c r="AN1875" s="42"/>
      <c r="AO1875" s="63" t="str">
        <f>IFERROR(__xludf.DUMMYFUNCTION("IF(ISBLANK(A1875),,IF(ISBLANK(S1875), A1875&amp;"";"", TEXTJOIN(CHAR(10), TRUE, A1875&amp;"";"", ARRAYFORMULA(VLOOKUP(SPLIT(S1875, "";"" &amp; CHAR(10)), $A:$AO, 41, FALSE)))))"),"CElpc;")</f>
        <v>CElpc;</v>
      </c>
      <c r="AP1875" s="89"/>
    </row>
    <row r="1876">
      <c r="A1876" s="151" t="str">
        <f>IFERROR(__xludf.DUMMYFUNCTION("""COMPUTED_VALUE"""),"CElcn")</f>
        <v>CElcn</v>
      </c>
      <c r="B1876" s="42" t="str">
        <f>IFERROR(__xludf.DUMMYFUNCTION("""COMPUTED_VALUE"""),"DHBA")</f>
        <v>DHBA</v>
      </c>
      <c r="C1876" s="42" t="str">
        <f>IFERROR(__xludf.DUMMYFUNCTION("""COMPUTED_VALUE"""),"central part of CEl")</f>
        <v>central part of CEl</v>
      </c>
      <c r="D1876" s="42">
        <f>IFERROR(__xludf.DUMMYFUNCTION("""COMPUTED_VALUE"""),1772.0)</f>
        <v>1772</v>
      </c>
      <c r="E1876" s="39" t="str">
        <f>IFERROR(__xludf.DUMMYFUNCTION("""COMPUTED_VALUE"""),"central part of CEl")</f>
        <v>central part of CEl</v>
      </c>
      <c r="F1876" s="9" t="str">
        <f>IFERROR(__xludf.DUMMYFUNCTION("""COMPUTED_VALUE"""),"Br")</f>
        <v>Br</v>
      </c>
      <c r="G1876" s="9" t="str">
        <f>IFERROR(__xludf.DUMMYFUNCTION("""COMPUTED_VALUE"""),"F")</f>
        <v>F</v>
      </c>
      <c r="H1876" s="9" t="str">
        <f>IFERROR(__xludf.DUMMYFUNCTION("""COMPUTED_VALUE"""),"FGM")</f>
        <v>FGM</v>
      </c>
      <c r="I1876" s="9" t="str">
        <f>IFERROR(__xludf.DUMMYFUNCTION("""COMPUTED_VALUE"""),"Tel")</f>
        <v>Tel</v>
      </c>
      <c r="J1876" s="9" t="str">
        <f>IFERROR(__xludf.DUMMYFUNCTION("""COMPUTED_VALUE"""),"CN")</f>
        <v>CN</v>
      </c>
      <c r="K1876" s="9" t="str">
        <f>IFERROR(__xludf.DUMMYFUNCTION("""COMPUTED_VALUE"""),"AMY")</f>
        <v>AMY</v>
      </c>
      <c r="L1876" s="9" t="str">
        <f>IFERROR(__xludf.DUMMYFUNCTION("""COMPUTED_VALUE"""),"CEN")</f>
        <v>CEN</v>
      </c>
      <c r="M1876" s="9" t="str">
        <f>IFERROR(__xludf.DUMMYFUNCTION("""COMPUTED_VALUE"""),"CEl")</f>
        <v>CEl</v>
      </c>
      <c r="N1876" s="9" t="str">
        <f>IFERROR(__xludf.DUMMYFUNCTION("""COMPUTED_VALUE"""),"CElcn")</f>
        <v>CElcn</v>
      </c>
      <c r="O1876" s="9"/>
      <c r="P1876" s="9"/>
      <c r="Q1876" s="9"/>
      <c r="R1876" s="9"/>
      <c r="S1876" s="42"/>
      <c r="T1876" s="42"/>
      <c r="U1876" s="42"/>
      <c r="V1876" s="42"/>
      <c r="W1876" s="42"/>
      <c r="X1876" s="42"/>
      <c r="Y1876" s="42"/>
      <c r="Z1876" s="42"/>
      <c r="AA1876" s="42"/>
      <c r="AB1876" s="42" t="str">
        <f>IFERROR(__xludf.DUMMYFUNCTION("""COMPUTED_VALUE"""),"allen institute")</f>
        <v>allen institute</v>
      </c>
      <c r="AC1876" s="42" t="str">
        <f>IFERROR(__xludf.DUMMYFUNCTION("""COMPUTED_VALUE"""),"DHBA")</f>
        <v>DHBA</v>
      </c>
      <c r="AD1876" s="42"/>
      <c r="AE1876" s="42"/>
      <c r="AF1876" s="9"/>
      <c r="AG1876" s="9"/>
      <c r="AH1876" s="42"/>
      <c r="AI1876" s="42"/>
      <c r="AJ1876" s="42"/>
      <c r="AK1876" s="42"/>
      <c r="AL1876" s="42"/>
      <c r="AM1876" s="42"/>
      <c r="AN1876" s="42"/>
      <c r="AO1876" s="63" t="str">
        <f>IFERROR(__xludf.DUMMYFUNCTION("IF(ISBLANK(A1876),,IF(ISBLANK(S1876), A1876&amp;"";"", TEXTJOIN(CHAR(10), TRUE, A1876&amp;"";"", ARRAYFORMULA(VLOOKUP(SPLIT(S1876, "";"" &amp; CHAR(10)), $A:$AO, 41, FALSE)))))"),"CElcn;")</f>
        <v>CElcn;</v>
      </c>
      <c r="AP1876" s="89"/>
    </row>
    <row r="1877">
      <c r="A1877" s="151" t="str">
        <f>IFERROR(__xludf.DUMMYFUNCTION("""COMPUTED_VALUE"""),"CMN")</f>
        <v>CMN</v>
      </c>
      <c r="B1877" s="42" t="str">
        <f>IFERROR(__xludf.DUMMYFUNCTION("""COMPUTED_VALUE"""),"DHBA")</f>
        <v>DHBA</v>
      </c>
      <c r="C1877" s="42" t="str">
        <f>IFERROR(__xludf.DUMMYFUNCTION("""COMPUTED_VALUE"""),"corticomedial nuclear group")</f>
        <v>corticomedial nuclear group</v>
      </c>
      <c r="D1877" s="42">
        <f>IFERROR(__xludf.DUMMYFUNCTION("""COMPUTED_VALUE"""),1773.0)</f>
        <v>1773</v>
      </c>
      <c r="E1877" s="39" t="str">
        <f>IFERROR(__xludf.DUMMYFUNCTION("""COMPUTED_VALUE"""),"corticomedial nuclear group")</f>
        <v>corticomedial nuclear group</v>
      </c>
      <c r="F1877" s="9" t="str">
        <f>IFERROR(__xludf.DUMMYFUNCTION("""COMPUTED_VALUE"""),"Br")</f>
        <v>Br</v>
      </c>
      <c r="G1877" s="9" t="str">
        <f>IFERROR(__xludf.DUMMYFUNCTION("""COMPUTED_VALUE"""),"F")</f>
        <v>F</v>
      </c>
      <c r="H1877" s="9" t="str">
        <f>IFERROR(__xludf.DUMMYFUNCTION("""COMPUTED_VALUE"""),"FGM")</f>
        <v>FGM</v>
      </c>
      <c r="I1877" s="9" t="str">
        <f>IFERROR(__xludf.DUMMYFUNCTION("""COMPUTED_VALUE"""),"Tel")</f>
        <v>Tel</v>
      </c>
      <c r="J1877" s="9" t="str">
        <f>IFERROR(__xludf.DUMMYFUNCTION("""COMPUTED_VALUE"""),"CN")</f>
        <v>CN</v>
      </c>
      <c r="K1877" s="9" t="str">
        <f>IFERROR(__xludf.DUMMYFUNCTION("""COMPUTED_VALUE"""),"AMY")</f>
        <v>AMY</v>
      </c>
      <c r="L1877" s="9" t="str">
        <f>IFERROR(__xludf.DUMMYFUNCTION("""COMPUTED_VALUE"""),"CMN")</f>
        <v>CMN</v>
      </c>
      <c r="M1877" s="9"/>
      <c r="N1877" s="9"/>
      <c r="O1877" s="9"/>
      <c r="P1877" s="9"/>
      <c r="Q1877" s="9"/>
      <c r="R1877" s="9"/>
      <c r="S1877" s="42" t="str">
        <f>IFERROR(__xludf.DUMMYFUNCTION("""COMPUTED_VALUE"""),"Co;
Me;
AHA")</f>
        <v>Co;
Me;
AHA</v>
      </c>
      <c r="T1877" s="42"/>
      <c r="U1877" s="42" t="b">
        <f>IFERROR(__xludf.DUMMYFUNCTION("""COMPUTED_VALUE"""),FALSE)</f>
        <v>0</v>
      </c>
      <c r="V1877" s="42"/>
      <c r="W1877" s="42"/>
      <c r="X1877" s="42"/>
      <c r="Y1877" s="42"/>
      <c r="Z1877" s="42"/>
      <c r="AA1877" s="42"/>
      <c r="AB1877" s="42" t="str">
        <f>IFERROR(__xludf.DUMMYFUNCTION("""COMPUTED_VALUE"""),"allen institute")</f>
        <v>allen institute</v>
      </c>
      <c r="AC1877" s="42" t="str">
        <f>IFERROR(__xludf.DUMMYFUNCTION("""COMPUTED_VALUE"""),"DHBA")</f>
        <v>DHBA</v>
      </c>
      <c r="AD1877" s="42"/>
      <c r="AE1877" s="42"/>
      <c r="AF1877" s="9"/>
      <c r="AG1877" s="9"/>
      <c r="AH1877" s="42"/>
      <c r="AI1877" s="42"/>
      <c r="AJ1877" s="42"/>
      <c r="AK1877" s="42"/>
      <c r="AL1877" s="42"/>
      <c r="AM1877" s="42"/>
      <c r="AN1877" s="42"/>
      <c r="AO1877" s="63" t="str">
        <f>IFERROR(__xludf.DUMMYFUNCTION("IF(ISBLANK(A1877),,IF(ISBLANK(S1877), A1877&amp;"";"", TEXTJOIN(CHAR(10), TRUE, A1877&amp;"";"", ARRAYFORMULA(VLOOKUP(SPLIT(S1877, "";"" &amp; CHAR(10)), $A:$AO, 41, FALSE)))))"),"#N/A")</f>
        <v>#N/A</v>
      </c>
      <c r="AP1877" s="89"/>
    </row>
    <row r="1878">
      <c r="A1878" s="151" t="str">
        <f>IFERROR(__xludf.DUMMYFUNCTION("""COMPUTED_VALUE"""),"Co")</f>
        <v>Co</v>
      </c>
      <c r="B1878" s="42" t="str">
        <f>IFERROR(__xludf.DUMMYFUNCTION("""COMPUTED_VALUE"""),"DHBA")</f>
        <v>DHBA</v>
      </c>
      <c r="C1878" s="42" t="str">
        <f>IFERROR(__xludf.DUMMYFUNCTION("""COMPUTED_VALUE"""),"cortical amygdaloid nuclei")</f>
        <v>cortical amygdaloid nuclei</v>
      </c>
      <c r="D1878" s="42">
        <f>IFERROR(__xludf.DUMMYFUNCTION("""COMPUTED_VALUE"""),1774.0)</f>
        <v>1774</v>
      </c>
      <c r="E1878" s="39" t="str">
        <f>IFERROR(__xludf.DUMMYFUNCTION("""COMPUTED_VALUE"""),"cortical amygdaloid nuclei")</f>
        <v>cortical amygdaloid nuclei</v>
      </c>
      <c r="F1878" s="9" t="str">
        <f>IFERROR(__xludf.DUMMYFUNCTION("""COMPUTED_VALUE"""),"Br")</f>
        <v>Br</v>
      </c>
      <c r="G1878" s="9" t="str">
        <f>IFERROR(__xludf.DUMMYFUNCTION("""COMPUTED_VALUE"""),"F")</f>
        <v>F</v>
      </c>
      <c r="H1878" s="9" t="str">
        <f>IFERROR(__xludf.DUMMYFUNCTION("""COMPUTED_VALUE"""),"FGM")</f>
        <v>FGM</v>
      </c>
      <c r="I1878" s="9" t="str">
        <f>IFERROR(__xludf.DUMMYFUNCTION("""COMPUTED_VALUE"""),"Tel")</f>
        <v>Tel</v>
      </c>
      <c r="J1878" s="9" t="str">
        <f>IFERROR(__xludf.DUMMYFUNCTION("""COMPUTED_VALUE"""),"CN")</f>
        <v>CN</v>
      </c>
      <c r="K1878" s="9" t="str">
        <f>IFERROR(__xludf.DUMMYFUNCTION("""COMPUTED_VALUE"""),"AMY")</f>
        <v>AMY</v>
      </c>
      <c r="L1878" s="9" t="str">
        <f>IFERROR(__xludf.DUMMYFUNCTION("""COMPUTED_VALUE"""),"CMN")</f>
        <v>CMN</v>
      </c>
      <c r="M1878" s="9" t="str">
        <f>IFERROR(__xludf.DUMMYFUNCTION("""COMPUTED_VALUE"""),"Co")</f>
        <v>Co</v>
      </c>
      <c r="N1878" s="9"/>
      <c r="O1878" s="9"/>
      <c r="P1878" s="9"/>
      <c r="Q1878" s="9"/>
      <c r="R1878" s="9"/>
      <c r="S1878" s="42" t="str">
        <f>IFERROR(__xludf.DUMMYFUNCTION("""COMPUTED_VALUE"""),"CoA;
CoP")</f>
        <v>CoA;
CoP</v>
      </c>
      <c r="T1878" s="42"/>
      <c r="U1878" s="42" t="b">
        <f>IFERROR(__xludf.DUMMYFUNCTION("""COMPUTED_VALUE"""),FALSE)</f>
        <v>0</v>
      </c>
      <c r="V1878" s="42"/>
      <c r="W1878" s="42"/>
      <c r="X1878" s="42"/>
      <c r="Y1878" s="42"/>
      <c r="Z1878" s="42"/>
      <c r="AA1878" s="42"/>
      <c r="AB1878" s="42" t="str">
        <f>IFERROR(__xludf.DUMMYFUNCTION("""COMPUTED_VALUE"""),"allen institute")</f>
        <v>allen institute</v>
      </c>
      <c r="AC1878" s="42" t="str">
        <f>IFERROR(__xludf.DUMMYFUNCTION("""COMPUTED_VALUE"""),"DHBA")</f>
        <v>DHBA</v>
      </c>
      <c r="AD1878" s="42"/>
      <c r="AE1878" s="42"/>
      <c r="AF1878" s="9"/>
      <c r="AG1878" s="9"/>
      <c r="AH1878" s="42"/>
      <c r="AI1878" s="42"/>
      <c r="AJ1878" s="42"/>
      <c r="AK1878" s="42"/>
      <c r="AL1878" s="42"/>
      <c r="AM1878" s="42"/>
      <c r="AN1878" s="42"/>
      <c r="AO1878" s="63" t="str">
        <f>IFERROR(__xludf.DUMMYFUNCTION("IF(ISBLANK(A1878),,IF(ISBLANK(S1878), A1878&amp;"";"", TEXTJOIN(CHAR(10), TRUE, A1878&amp;"";"", ARRAYFORMULA(VLOOKUP(SPLIT(S1878, "";"" &amp; CHAR(10)), $A:$AO, 41, FALSE)))))"),"#N/A")</f>
        <v>#N/A</v>
      </c>
      <c r="AP1878" s="89"/>
    </row>
    <row r="1879">
      <c r="A1879" s="151" t="str">
        <f>IFERROR(__xludf.DUMMYFUNCTION("""COMPUTED_VALUE"""),"CoA")</f>
        <v>CoA</v>
      </c>
      <c r="B1879" s="42" t="str">
        <f>IFERROR(__xludf.DUMMYFUNCTION("""COMPUTED_VALUE"""),"DHBA")</f>
        <v>DHBA</v>
      </c>
      <c r="C1879" s="42" t="str">
        <f>IFERROR(__xludf.DUMMYFUNCTION("""COMPUTED_VALUE"""),"anterior cortical nuleus")</f>
        <v>anterior cortical nuleus</v>
      </c>
      <c r="D1879" s="42">
        <f>IFERROR(__xludf.DUMMYFUNCTION("""COMPUTED_VALUE"""),1775.0)</f>
        <v>1775</v>
      </c>
      <c r="E1879" s="39" t="str">
        <f>IFERROR(__xludf.DUMMYFUNCTION("""COMPUTED_VALUE"""),"anterior cortical nucleus")</f>
        <v>anterior cortical nucleus</v>
      </c>
      <c r="F1879" s="9" t="str">
        <f>IFERROR(__xludf.DUMMYFUNCTION("""COMPUTED_VALUE"""),"Br")</f>
        <v>Br</v>
      </c>
      <c r="G1879" s="9" t="str">
        <f>IFERROR(__xludf.DUMMYFUNCTION("""COMPUTED_VALUE"""),"F")</f>
        <v>F</v>
      </c>
      <c r="H1879" s="9" t="str">
        <f>IFERROR(__xludf.DUMMYFUNCTION("""COMPUTED_VALUE"""),"FGM")</f>
        <v>FGM</v>
      </c>
      <c r="I1879" s="9" t="str">
        <f>IFERROR(__xludf.DUMMYFUNCTION("""COMPUTED_VALUE"""),"Tel")</f>
        <v>Tel</v>
      </c>
      <c r="J1879" s="9" t="str">
        <f>IFERROR(__xludf.DUMMYFUNCTION("""COMPUTED_VALUE"""),"CN")</f>
        <v>CN</v>
      </c>
      <c r="K1879" s="9" t="str">
        <f>IFERROR(__xludf.DUMMYFUNCTION("""COMPUTED_VALUE"""),"AMY")</f>
        <v>AMY</v>
      </c>
      <c r="L1879" s="9" t="str">
        <f>IFERROR(__xludf.DUMMYFUNCTION("""COMPUTED_VALUE"""),"CMN")</f>
        <v>CMN</v>
      </c>
      <c r="M1879" s="9" t="str">
        <f>IFERROR(__xludf.DUMMYFUNCTION("""COMPUTED_VALUE"""),"Co")</f>
        <v>Co</v>
      </c>
      <c r="N1879" s="9" t="str">
        <f>IFERROR(__xludf.DUMMYFUNCTION("""COMPUTED_VALUE"""),"CoA")</f>
        <v>CoA</v>
      </c>
      <c r="O1879" s="9"/>
      <c r="P1879" s="9"/>
      <c r="Q1879" s="9"/>
      <c r="R1879" s="9"/>
      <c r="S1879" s="42" t="str">
        <f>IFERROR(__xludf.DUMMYFUNCTION("""COMPUTED_VALUE"""),"CoAd;
CoAv;
CoA-in;
CoA_m")</f>
        <v>CoAd;
CoAv;
CoA-in;
CoA_m</v>
      </c>
      <c r="T1879" s="42"/>
      <c r="U1879" s="42" t="b">
        <f>IFERROR(__xludf.DUMMYFUNCTION("""COMPUTED_VALUE"""),FALSE)</f>
        <v>0</v>
      </c>
      <c r="V1879" s="42"/>
      <c r="W1879" s="42"/>
      <c r="X1879" s="42"/>
      <c r="Y1879" s="42"/>
      <c r="Z1879" s="42"/>
      <c r="AA1879" s="42"/>
      <c r="AB1879" s="42" t="str">
        <f>IFERROR(__xludf.DUMMYFUNCTION("""COMPUTED_VALUE"""),"allen institute")</f>
        <v>allen institute</v>
      </c>
      <c r="AC1879" s="42" t="str">
        <f>IFERROR(__xludf.DUMMYFUNCTION("""COMPUTED_VALUE"""),"DHBA")</f>
        <v>DHBA</v>
      </c>
      <c r="AD1879" s="42"/>
      <c r="AE1879" s="42"/>
      <c r="AF1879" s="9"/>
      <c r="AG1879" s="9"/>
      <c r="AH1879" s="42"/>
      <c r="AI1879" s="42"/>
      <c r="AJ1879" s="42"/>
      <c r="AK1879" s="42"/>
      <c r="AL1879" s="42"/>
      <c r="AM1879" s="42"/>
      <c r="AN1879" s="42"/>
      <c r="AO1879" s="63" t="str">
        <f>IFERROR(__xludf.DUMMYFUNCTION("IF(ISBLANK(A1879),,IF(ISBLANK(S1879), A1879&amp;"";"", TEXTJOIN(CHAR(10), TRUE, A1879&amp;"";"", ARRAYFORMULA(VLOOKUP(SPLIT(S1879, "";"" &amp; CHAR(10)), $A:$AO, 41, FALSE)))))"),"#N/A")</f>
        <v>#N/A</v>
      </c>
      <c r="AP1879" s="89"/>
    </row>
    <row r="1880">
      <c r="A1880" s="151" t="str">
        <f>IFERROR(__xludf.DUMMYFUNCTION("""COMPUTED_VALUE"""),"CoAd")</f>
        <v>CoAd</v>
      </c>
      <c r="B1880" s="42" t="str">
        <f>IFERROR(__xludf.DUMMYFUNCTION("""COMPUTED_VALUE"""),"DHBA")</f>
        <v>DHBA</v>
      </c>
      <c r="C1880" s="42" t="str">
        <f>IFERROR(__xludf.DUMMYFUNCTION("""COMPUTED_VALUE"""),"dorsal subdivision of CaA")</f>
        <v>dorsal subdivision of CaA</v>
      </c>
      <c r="D1880" s="42">
        <f>IFERROR(__xludf.DUMMYFUNCTION("""COMPUTED_VALUE"""),1776.0)</f>
        <v>1776</v>
      </c>
      <c r="E1880" s="39" t="str">
        <f>IFERROR(__xludf.DUMMYFUNCTION("""COMPUTED_VALUE"""),"dorsal subdivision of CoA")</f>
        <v>dorsal subdivision of CoA</v>
      </c>
      <c r="F1880" s="9" t="str">
        <f>IFERROR(__xludf.DUMMYFUNCTION("""COMPUTED_VALUE"""),"Br")</f>
        <v>Br</v>
      </c>
      <c r="G1880" s="9" t="str">
        <f>IFERROR(__xludf.DUMMYFUNCTION("""COMPUTED_VALUE"""),"F")</f>
        <v>F</v>
      </c>
      <c r="H1880" s="9" t="str">
        <f>IFERROR(__xludf.DUMMYFUNCTION("""COMPUTED_VALUE"""),"FGM")</f>
        <v>FGM</v>
      </c>
      <c r="I1880" s="9" t="str">
        <f>IFERROR(__xludf.DUMMYFUNCTION("""COMPUTED_VALUE"""),"Tel")</f>
        <v>Tel</v>
      </c>
      <c r="J1880" s="9" t="str">
        <f>IFERROR(__xludf.DUMMYFUNCTION("""COMPUTED_VALUE"""),"CN")</f>
        <v>CN</v>
      </c>
      <c r="K1880" s="9" t="str">
        <f>IFERROR(__xludf.DUMMYFUNCTION("""COMPUTED_VALUE"""),"AMY")</f>
        <v>AMY</v>
      </c>
      <c r="L1880" s="9" t="str">
        <f>IFERROR(__xludf.DUMMYFUNCTION("""COMPUTED_VALUE"""),"CMN")</f>
        <v>CMN</v>
      </c>
      <c r="M1880" s="9" t="str">
        <f>IFERROR(__xludf.DUMMYFUNCTION("""COMPUTED_VALUE"""),"Co")</f>
        <v>Co</v>
      </c>
      <c r="N1880" s="9" t="str">
        <f>IFERROR(__xludf.DUMMYFUNCTION("""COMPUTED_VALUE"""),"CoA")</f>
        <v>CoA</v>
      </c>
      <c r="O1880" s="9" t="str">
        <f>IFERROR(__xludf.DUMMYFUNCTION("""COMPUTED_VALUE"""),"CoAd")</f>
        <v>CoAd</v>
      </c>
      <c r="P1880" s="9"/>
      <c r="Q1880" s="9"/>
      <c r="R1880" s="9"/>
      <c r="S1880" s="42"/>
      <c r="T1880" s="42"/>
      <c r="U1880" s="42"/>
      <c r="V1880" s="42"/>
      <c r="W1880" s="42"/>
      <c r="X1880" s="42"/>
      <c r="Y1880" s="42"/>
      <c r="Z1880" s="42"/>
      <c r="AA1880" s="42"/>
      <c r="AB1880" s="42" t="str">
        <f>IFERROR(__xludf.DUMMYFUNCTION("""COMPUTED_VALUE"""),"allen institute")</f>
        <v>allen institute</v>
      </c>
      <c r="AC1880" s="42" t="str">
        <f>IFERROR(__xludf.DUMMYFUNCTION("""COMPUTED_VALUE"""),"DHBA")</f>
        <v>DHBA</v>
      </c>
      <c r="AD1880" s="42"/>
      <c r="AE1880" s="42"/>
      <c r="AF1880" s="9"/>
      <c r="AG1880" s="9"/>
      <c r="AH1880" s="42"/>
      <c r="AI1880" s="42"/>
      <c r="AJ1880" s="42"/>
      <c r="AK1880" s="42"/>
      <c r="AL1880" s="42"/>
      <c r="AM1880" s="42"/>
      <c r="AN1880" s="42"/>
      <c r="AO1880" s="63" t="str">
        <f>IFERROR(__xludf.DUMMYFUNCTION("IF(ISBLANK(A1880),,IF(ISBLANK(S1880), A1880&amp;"";"", TEXTJOIN(CHAR(10), TRUE, A1880&amp;"";"", ARRAYFORMULA(VLOOKUP(SPLIT(S1880, "";"" &amp; CHAR(10)), $A:$AO, 41, FALSE)))))"),"CoAd;")</f>
        <v>CoAd;</v>
      </c>
      <c r="AP1880" s="89"/>
    </row>
    <row r="1881">
      <c r="A1881" s="151" t="str">
        <f>IFERROR(__xludf.DUMMYFUNCTION("""COMPUTED_VALUE"""),"CoAv")</f>
        <v>CoAv</v>
      </c>
      <c r="B1881" s="42" t="str">
        <f>IFERROR(__xludf.DUMMYFUNCTION("""COMPUTED_VALUE"""),"DHBA")</f>
        <v>DHBA</v>
      </c>
      <c r="C1881" s="42" t="str">
        <f>IFERROR(__xludf.DUMMYFUNCTION("""COMPUTED_VALUE"""),"ventral subdivsion of CoA")</f>
        <v>ventral subdivsion of CoA</v>
      </c>
      <c r="D1881" s="42">
        <f>IFERROR(__xludf.DUMMYFUNCTION("""COMPUTED_VALUE"""),1777.0)</f>
        <v>1777</v>
      </c>
      <c r="E1881" s="39" t="str">
        <f>IFERROR(__xludf.DUMMYFUNCTION("""COMPUTED_VALUE"""),"ventral subdivision of CoA")</f>
        <v>ventral subdivision of CoA</v>
      </c>
      <c r="F1881" s="9" t="str">
        <f>IFERROR(__xludf.DUMMYFUNCTION("""COMPUTED_VALUE"""),"Br")</f>
        <v>Br</v>
      </c>
      <c r="G1881" s="9" t="str">
        <f>IFERROR(__xludf.DUMMYFUNCTION("""COMPUTED_VALUE"""),"F")</f>
        <v>F</v>
      </c>
      <c r="H1881" s="9" t="str">
        <f>IFERROR(__xludf.DUMMYFUNCTION("""COMPUTED_VALUE"""),"FGM")</f>
        <v>FGM</v>
      </c>
      <c r="I1881" s="9" t="str">
        <f>IFERROR(__xludf.DUMMYFUNCTION("""COMPUTED_VALUE"""),"Tel")</f>
        <v>Tel</v>
      </c>
      <c r="J1881" s="9" t="str">
        <f>IFERROR(__xludf.DUMMYFUNCTION("""COMPUTED_VALUE"""),"CN")</f>
        <v>CN</v>
      </c>
      <c r="K1881" s="9" t="str">
        <f>IFERROR(__xludf.DUMMYFUNCTION("""COMPUTED_VALUE"""),"AMY")</f>
        <v>AMY</v>
      </c>
      <c r="L1881" s="9" t="str">
        <f>IFERROR(__xludf.DUMMYFUNCTION("""COMPUTED_VALUE"""),"CMN")</f>
        <v>CMN</v>
      </c>
      <c r="M1881" s="9" t="str">
        <f>IFERROR(__xludf.DUMMYFUNCTION("""COMPUTED_VALUE"""),"Co")</f>
        <v>Co</v>
      </c>
      <c r="N1881" s="9" t="str">
        <f>IFERROR(__xludf.DUMMYFUNCTION("""COMPUTED_VALUE"""),"CoA")</f>
        <v>CoA</v>
      </c>
      <c r="O1881" s="9" t="str">
        <f>IFERROR(__xludf.DUMMYFUNCTION("""COMPUTED_VALUE"""),"CoAv")</f>
        <v>CoAv</v>
      </c>
      <c r="P1881" s="9"/>
      <c r="Q1881" s="9"/>
      <c r="R1881" s="9"/>
      <c r="S1881" s="42"/>
      <c r="T1881" s="42"/>
      <c r="U1881" s="42"/>
      <c r="V1881" s="42"/>
      <c r="W1881" s="42"/>
      <c r="X1881" s="42"/>
      <c r="Y1881" s="42"/>
      <c r="Z1881" s="42"/>
      <c r="AA1881" s="42"/>
      <c r="AB1881" s="42" t="str">
        <f>IFERROR(__xludf.DUMMYFUNCTION("""COMPUTED_VALUE"""),"allen institute")</f>
        <v>allen institute</v>
      </c>
      <c r="AC1881" s="42" t="str">
        <f>IFERROR(__xludf.DUMMYFUNCTION("""COMPUTED_VALUE"""),"DHBA")</f>
        <v>DHBA</v>
      </c>
      <c r="AD1881" s="42"/>
      <c r="AE1881" s="42"/>
      <c r="AF1881" s="9"/>
      <c r="AG1881" s="9"/>
      <c r="AH1881" s="42"/>
      <c r="AI1881" s="42"/>
      <c r="AJ1881" s="42"/>
      <c r="AK1881" s="42"/>
      <c r="AL1881" s="42"/>
      <c r="AM1881" s="42"/>
      <c r="AN1881" s="42"/>
      <c r="AO1881" s="63" t="str">
        <f>IFERROR(__xludf.DUMMYFUNCTION("IF(ISBLANK(A1881),,IF(ISBLANK(S1881), A1881&amp;"";"", TEXTJOIN(CHAR(10), TRUE, A1881&amp;"";"", ARRAYFORMULA(VLOOKUP(SPLIT(S1881, "";"" &amp; CHAR(10)), $A:$AO, 41, FALSE)))))"),"CoAv;")</f>
        <v>CoAv;</v>
      </c>
      <c r="AP1881" s="89"/>
    </row>
    <row r="1882">
      <c r="A1882" s="151" t="str">
        <f>IFERROR(__xludf.DUMMYFUNCTION("""COMPUTED_VALUE"""),"CoA-m")</f>
        <v>CoA-m</v>
      </c>
      <c r="B1882" s="42" t="str">
        <f>IFERROR(__xludf.DUMMYFUNCTION("""COMPUTED_VALUE"""),"DHBA")</f>
        <v>DHBA</v>
      </c>
      <c r="C1882" s="42" t="str">
        <f>IFERROR(__xludf.DUMMYFUNCTION("""COMPUTED_VALUE"""),"marginal layer of anterior cortical nucleus")</f>
        <v>marginal layer of anterior cortical nucleus</v>
      </c>
      <c r="D1882" s="42">
        <f>IFERROR(__xludf.DUMMYFUNCTION("""COMPUTED_VALUE"""),1778.0)</f>
        <v>1778</v>
      </c>
      <c r="E1882" s="39" t="str">
        <f>IFERROR(__xludf.DUMMYFUNCTION("""COMPUTED_VALUE"""),"marginal layer of anterior cortical nucleus")</f>
        <v>marginal layer of anterior cortical nucleus</v>
      </c>
      <c r="F1882" s="9" t="str">
        <f>IFERROR(__xludf.DUMMYFUNCTION("""COMPUTED_VALUE"""),"Br")</f>
        <v>Br</v>
      </c>
      <c r="G1882" s="9" t="str">
        <f>IFERROR(__xludf.DUMMYFUNCTION("""COMPUTED_VALUE"""),"F")</f>
        <v>F</v>
      </c>
      <c r="H1882" s="9" t="str">
        <f>IFERROR(__xludf.DUMMYFUNCTION("""COMPUTED_VALUE"""),"FGM")</f>
        <v>FGM</v>
      </c>
      <c r="I1882" s="9" t="str">
        <f>IFERROR(__xludf.DUMMYFUNCTION("""COMPUTED_VALUE"""),"Tel")</f>
        <v>Tel</v>
      </c>
      <c r="J1882" s="9" t="str">
        <f>IFERROR(__xludf.DUMMYFUNCTION("""COMPUTED_VALUE"""),"CN")</f>
        <v>CN</v>
      </c>
      <c r="K1882" s="9" t="str">
        <f>IFERROR(__xludf.DUMMYFUNCTION("""COMPUTED_VALUE"""),"AMY")</f>
        <v>AMY</v>
      </c>
      <c r="L1882" s="9" t="str">
        <f>IFERROR(__xludf.DUMMYFUNCTION("""COMPUTED_VALUE"""),"CMN")</f>
        <v>CMN</v>
      </c>
      <c r="M1882" s="9" t="str">
        <f>IFERROR(__xludf.DUMMYFUNCTION("""COMPUTED_VALUE"""),"Co")</f>
        <v>Co</v>
      </c>
      <c r="N1882" s="9" t="str">
        <f>IFERROR(__xludf.DUMMYFUNCTION("""COMPUTED_VALUE"""),"CoA")</f>
        <v>CoA</v>
      </c>
      <c r="O1882" s="9" t="str">
        <f>IFERROR(__xludf.DUMMYFUNCTION("""COMPUTED_VALUE"""),"CoA-m")</f>
        <v>CoA-m</v>
      </c>
      <c r="P1882" s="9"/>
      <c r="Q1882" s="9"/>
      <c r="R1882" s="9"/>
      <c r="S1882" s="42"/>
      <c r="T1882" s="42"/>
      <c r="U1882" s="159"/>
      <c r="V1882" s="42"/>
      <c r="W1882" s="42"/>
      <c r="X1882" s="42"/>
      <c r="Y1882" s="42"/>
      <c r="Z1882" s="42"/>
      <c r="AA1882" s="42"/>
      <c r="AB1882" s="42" t="str">
        <f>IFERROR(__xludf.DUMMYFUNCTION("""COMPUTED_VALUE"""),"allen institute")</f>
        <v>allen institute</v>
      </c>
      <c r="AC1882" s="42" t="str">
        <f>IFERROR(__xludf.DUMMYFUNCTION("""COMPUTED_VALUE"""),"DHBA")</f>
        <v>DHBA</v>
      </c>
      <c r="AD1882" s="42"/>
      <c r="AE1882" s="42"/>
      <c r="AF1882" s="9"/>
      <c r="AG1882" s="9"/>
      <c r="AH1882" s="42"/>
      <c r="AI1882" s="42"/>
      <c r="AJ1882" s="42"/>
      <c r="AK1882" s="42"/>
      <c r="AL1882" s="42"/>
      <c r="AM1882" s="42"/>
      <c r="AN1882" s="42"/>
      <c r="AO1882" s="63" t="str">
        <f>IFERROR(__xludf.DUMMYFUNCTION("IF(ISBLANK(A1882),,IF(ISBLANK(S1882), A1882&amp;"";"", TEXTJOIN(CHAR(10), TRUE, A1882&amp;"";"", ARRAYFORMULA(VLOOKUP(SPLIT(S1882, "";"" &amp; CHAR(10)), $A:$AO, 41, FALSE)))))"),"CoA-m;")</f>
        <v>CoA-m;</v>
      </c>
      <c r="AP1882" s="89"/>
    </row>
    <row r="1883">
      <c r="A1883" s="151" t="str">
        <f>IFERROR(__xludf.DUMMYFUNCTION("""COMPUTED_VALUE"""),"CoP")</f>
        <v>CoP</v>
      </c>
      <c r="B1883" s="42" t="str">
        <f>IFERROR(__xludf.DUMMYFUNCTION("""COMPUTED_VALUE"""),"DHBA")</f>
        <v>DHBA</v>
      </c>
      <c r="C1883" s="42" t="str">
        <f>IFERROR(__xludf.DUMMYFUNCTION("""COMPUTED_VALUE"""),"posterior cortical nucleus")</f>
        <v>posterior cortical nucleus</v>
      </c>
      <c r="D1883" s="42">
        <f>IFERROR(__xludf.DUMMYFUNCTION("""COMPUTED_VALUE"""),1779.0)</f>
        <v>1779</v>
      </c>
      <c r="E1883" s="39" t="str">
        <f>IFERROR(__xludf.DUMMYFUNCTION("""COMPUTED_VALUE"""),"posterior cortical nucleus")</f>
        <v>posterior cortical nucleus</v>
      </c>
      <c r="F1883" s="9" t="str">
        <f>IFERROR(__xludf.DUMMYFUNCTION("""COMPUTED_VALUE"""),"Br")</f>
        <v>Br</v>
      </c>
      <c r="G1883" s="9" t="str">
        <f>IFERROR(__xludf.DUMMYFUNCTION("""COMPUTED_VALUE"""),"F")</f>
        <v>F</v>
      </c>
      <c r="H1883" s="9" t="str">
        <f>IFERROR(__xludf.DUMMYFUNCTION("""COMPUTED_VALUE"""),"FGM")</f>
        <v>FGM</v>
      </c>
      <c r="I1883" s="9" t="str">
        <f>IFERROR(__xludf.DUMMYFUNCTION("""COMPUTED_VALUE"""),"Tel")</f>
        <v>Tel</v>
      </c>
      <c r="J1883" s="9" t="str">
        <f>IFERROR(__xludf.DUMMYFUNCTION("""COMPUTED_VALUE"""),"CN")</f>
        <v>CN</v>
      </c>
      <c r="K1883" s="9" t="str">
        <f>IFERROR(__xludf.DUMMYFUNCTION("""COMPUTED_VALUE"""),"AMY")</f>
        <v>AMY</v>
      </c>
      <c r="L1883" s="9" t="str">
        <f>IFERROR(__xludf.DUMMYFUNCTION("""COMPUTED_VALUE"""),"CMN")</f>
        <v>CMN</v>
      </c>
      <c r="M1883" s="9" t="str">
        <f>IFERROR(__xludf.DUMMYFUNCTION("""COMPUTED_VALUE"""),"Co")</f>
        <v>Co</v>
      </c>
      <c r="N1883" s="9" t="str">
        <f>IFERROR(__xludf.DUMMYFUNCTION("""COMPUTED_VALUE"""),"CoP")</f>
        <v>CoP</v>
      </c>
      <c r="O1883" s="9"/>
      <c r="P1883" s="9"/>
      <c r="Q1883" s="9"/>
      <c r="R1883" s="9"/>
      <c r="S1883" s="42" t="str">
        <f>IFERROR(__xludf.DUMMYFUNCTION("""COMPUTED_VALUE"""),"CoPd;
CoPv;
Cop-in;
CoP_m")</f>
        <v>CoPd;
CoPv;
Cop-in;
CoP_m</v>
      </c>
      <c r="T1883" s="42"/>
      <c r="U1883" s="42" t="b">
        <f>IFERROR(__xludf.DUMMYFUNCTION("""COMPUTED_VALUE"""),FALSE)</f>
        <v>0</v>
      </c>
      <c r="V1883" s="42"/>
      <c r="W1883" s="42"/>
      <c r="X1883" s="42"/>
      <c r="Y1883" s="42"/>
      <c r="Z1883" s="42"/>
      <c r="AA1883" s="42"/>
      <c r="AB1883" s="42" t="str">
        <f>IFERROR(__xludf.DUMMYFUNCTION("""COMPUTED_VALUE"""),"allen institute")</f>
        <v>allen institute</v>
      </c>
      <c r="AC1883" s="42" t="str">
        <f>IFERROR(__xludf.DUMMYFUNCTION("""COMPUTED_VALUE"""),"DHBA")</f>
        <v>DHBA</v>
      </c>
      <c r="AD1883" s="42"/>
      <c r="AE1883" s="42"/>
      <c r="AF1883" s="9"/>
      <c r="AG1883" s="9"/>
      <c r="AH1883" s="42"/>
      <c r="AI1883" s="42"/>
      <c r="AJ1883" s="42"/>
      <c r="AK1883" s="42"/>
      <c r="AL1883" s="42"/>
      <c r="AM1883" s="42"/>
      <c r="AN1883" s="42"/>
      <c r="AO1883" s="63" t="str">
        <f>IFERROR(__xludf.DUMMYFUNCTION("IF(ISBLANK(A1883),,IF(ISBLANK(S1883), A1883&amp;"";"", TEXTJOIN(CHAR(10), TRUE, A1883&amp;"";"", ARRAYFORMULA(VLOOKUP(SPLIT(S1883, "";"" &amp; CHAR(10)), $A:$AO, 41, FALSE)))))"),"#N/A")</f>
        <v>#N/A</v>
      </c>
      <c r="AP1883" s="89"/>
    </row>
    <row r="1884">
      <c r="A1884" s="151" t="str">
        <f>IFERROR(__xludf.DUMMYFUNCTION("""COMPUTED_VALUE"""),"CoPd")</f>
        <v>CoPd</v>
      </c>
      <c r="B1884" s="42" t="str">
        <f>IFERROR(__xludf.DUMMYFUNCTION("""COMPUTED_VALUE"""),"DHBA")</f>
        <v>DHBA</v>
      </c>
      <c r="C1884" s="42" t="str">
        <f>IFERROR(__xludf.DUMMYFUNCTION("""COMPUTED_VALUE"""),"dorsal subdivision of CaP")</f>
        <v>dorsal subdivision of CaP</v>
      </c>
      <c r="D1884" s="42">
        <f>IFERROR(__xludf.DUMMYFUNCTION("""COMPUTED_VALUE"""),1780.0)</f>
        <v>1780</v>
      </c>
      <c r="E1884" s="39" t="str">
        <f>IFERROR(__xludf.DUMMYFUNCTION("""COMPUTED_VALUE"""),"dorsal subdivision of CoP")</f>
        <v>dorsal subdivision of CoP</v>
      </c>
      <c r="F1884" s="9" t="str">
        <f>IFERROR(__xludf.DUMMYFUNCTION("""COMPUTED_VALUE"""),"Br")</f>
        <v>Br</v>
      </c>
      <c r="G1884" s="9" t="str">
        <f>IFERROR(__xludf.DUMMYFUNCTION("""COMPUTED_VALUE"""),"F")</f>
        <v>F</v>
      </c>
      <c r="H1884" s="9" t="str">
        <f>IFERROR(__xludf.DUMMYFUNCTION("""COMPUTED_VALUE"""),"FGM")</f>
        <v>FGM</v>
      </c>
      <c r="I1884" s="9" t="str">
        <f>IFERROR(__xludf.DUMMYFUNCTION("""COMPUTED_VALUE"""),"Tel")</f>
        <v>Tel</v>
      </c>
      <c r="J1884" s="9" t="str">
        <f>IFERROR(__xludf.DUMMYFUNCTION("""COMPUTED_VALUE"""),"CN")</f>
        <v>CN</v>
      </c>
      <c r="K1884" s="9" t="str">
        <f>IFERROR(__xludf.DUMMYFUNCTION("""COMPUTED_VALUE"""),"AMY")</f>
        <v>AMY</v>
      </c>
      <c r="L1884" s="9" t="str">
        <f>IFERROR(__xludf.DUMMYFUNCTION("""COMPUTED_VALUE"""),"CMN")</f>
        <v>CMN</v>
      </c>
      <c r="M1884" s="9" t="str">
        <f>IFERROR(__xludf.DUMMYFUNCTION("""COMPUTED_VALUE"""),"Co")</f>
        <v>Co</v>
      </c>
      <c r="N1884" s="9" t="str">
        <f>IFERROR(__xludf.DUMMYFUNCTION("""COMPUTED_VALUE"""),"CoP")</f>
        <v>CoP</v>
      </c>
      <c r="O1884" s="9" t="str">
        <f>IFERROR(__xludf.DUMMYFUNCTION("""COMPUTED_VALUE"""),"CoPd")</f>
        <v>CoPd</v>
      </c>
      <c r="P1884" s="9"/>
      <c r="Q1884" s="9"/>
      <c r="R1884" s="9"/>
      <c r="S1884" s="42"/>
      <c r="T1884" s="42"/>
      <c r="U1884" s="42"/>
      <c r="V1884" s="42"/>
      <c r="W1884" s="42"/>
      <c r="X1884" s="42"/>
      <c r="Y1884" s="42"/>
      <c r="Z1884" s="42"/>
      <c r="AA1884" s="42"/>
      <c r="AB1884" s="42" t="str">
        <f>IFERROR(__xludf.DUMMYFUNCTION("""COMPUTED_VALUE"""),"allen institute")</f>
        <v>allen institute</v>
      </c>
      <c r="AC1884" s="42" t="str">
        <f>IFERROR(__xludf.DUMMYFUNCTION("""COMPUTED_VALUE"""),"DHBA")</f>
        <v>DHBA</v>
      </c>
      <c r="AD1884" s="42"/>
      <c r="AE1884" s="42"/>
      <c r="AF1884" s="9"/>
      <c r="AG1884" s="9"/>
      <c r="AH1884" s="42"/>
      <c r="AI1884" s="42"/>
      <c r="AJ1884" s="42"/>
      <c r="AK1884" s="42"/>
      <c r="AL1884" s="42"/>
      <c r="AM1884" s="42"/>
      <c r="AN1884" s="42"/>
      <c r="AO1884" s="63" t="str">
        <f>IFERROR(__xludf.DUMMYFUNCTION("IF(ISBLANK(A1884),,IF(ISBLANK(S1884), A1884&amp;"";"", TEXTJOIN(CHAR(10), TRUE, A1884&amp;"";"", ARRAYFORMULA(VLOOKUP(SPLIT(S1884, "";"" &amp; CHAR(10)), $A:$AO, 41, FALSE)))))"),"CoPd;")</f>
        <v>CoPd;</v>
      </c>
      <c r="AP1884" s="89"/>
    </row>
    <row r="1885">
      <c r="A1885" s="151" t="str">
        <f>IFERROR(__xludf.DUMMYFUNCTION("""COMPUTED_VALUE"""),"CoPv")</f>
        <v>CoPv</v>
      </c>
      <c r="B1885" s="42" t="str">
        <f>IFERROR(__xludf.DUMMYFUNCTION("""COMPUTED_VALUE"""),"DHBA")</f>
        <v>DHBA</v>
      </c>
      <c r="C1885" s="42" t="str">
        <f>IFERROR(__xludf.DUMMYFUNCTION("""COMPUTED_VALUE"""),"ventral subdivsion of CoP")</f>
        <v>ventral subdivsion of CoP</v>
      </c>
      <c r="D1885" s="42">
        <f>IFERROR(__xludf.DUMMYFUNCTION("""COMPUTED_VALUE"""),1781.0)</f>
        <v>1781</v>
      </c>
      <c r="E1885" s="39" t="str">
        <f>IFERROR(__xludf.DUMMYFUNCTION("""COMPUTED_VALUE"""),"venrtral subdivision of CoP")</f>
        <v>venrtral subdivision of CoP</v>
      </c>
      <c r="F1885" s="9" t="str">
        <f>IFERROR(__xludf.DUMMYFUNCTION("""COMPUTED_VALUE"""),"Br")</f>
        <v>Br</v>
      </c>
      <c r="G1885" s="9" t="str">
        <f>IFERROR(__xludf.DUMMYFUNCTION("""COMPUTED_VALUE"""),"F")</f>
        <v>F</v>
      </c>
      <c r="H1885" s="9" t="str">
        <f>IFERROR(__xludf.DUMMYFUNCTION("""COMPUTED_VALUE"""),"FGM")</f>
        <v>FGM</v>
      </c>
      <c r="I1885" s="9" t="str">
        <f>IFERROR(__xludf.DUMMYFUNCTION("""COMPUTED_VALUE"""),"Tel")</f>
        <v>Tel</v>
      </c>
      <c r="J1885" s="9" t="str">
        <f>IFERROR(__xludf.DUMMYFUNCTION("""COMPUTED_VALUE"""),"CN")</f>
        <v>CN</v>
      </c>
      <c r="K1885" s="9" t="str">
        <f>IFERROR(__xludf.DUMMYFUNCTION("""COMPUTED_VALUE"""),"AMY")</f>
        <v>AMY</v>
      </c>
      <c r="L1885" s="9" t="str">
        <f>IFERROR(__xludf.DUMMYFUNCTION("""COMPUTED_VALUE"""),"CMN")</f>
        <v>CMN</v>
      </c>
      <c r="M1885" s="9" t="str">
        <f>IFERROR(__xludf.DUMMYFUNCTION("""COMPUTED_VALUE"""),"Co")</f>
        <v>Co</v>
      </c>
      <c r="N1885" s="9" t="str">
        <f>IFERROR(__xludf.DUMMYFUNCTION("""COMPUTED_VALUE"""),"CoP")</f>
        <v>CoP</v>
      </c>
      <c r="O1885" s="9" t="str">
        <f>IFERROR(__xludf.DUMMYFUNCTION("""COMPUTED_VALUE"""),"CoPv")</f>
        <v>CoPv</v>
      </c>
      <c r="P1885" s="9"/>
      <c r="Q1885" s="9"/>
      <c r="R1885" s="9"/>
      <c r="S1885" s="42"/>
      <c r="T1885" s="42"/>
      <c r="U1885" s="159"/>
      <c r="V1885" s="42"/>
      <c r="W1885" s="42"/>
      <c r="X1885" s="42"/>
      <c r="Y1885" s="42"/>
      <c r="Z1885" s="42"/>
      <c r="AA1885" s="42"/>
      <c r="AB1885" s="42" t="str">
        <f>IFERROR(__xludf.DUMMYFUNCTION("""COMPUTED_VALUE"""),"allen institute")</f>
        <v>allen institute</v>
      </c>
      <c r="AC1885" s="42" t="str">
        <f>IFERROR(__xludf.DUMMYFUNCTION("""COMPUTED_VALUE"""),"DHBA")</f>
        <v>DHBA</v>
      </c>
      <c r="AD1885" s="42"/>
      <c r="AE1885" s="42"/>
      <c r="AF1885" s="9"/>
      <c r="AG1885" s="9"/>
      <c r="AH1885" s="42"/>
      <c r="AI1885" s="42"/>
      <c r="AJ1885" s="42"/>
      <c r="AK1885" s="42"/>
      <c r="AL1885" s="42"/>
      <c r="AM1885" s="42"/>
      <c r="AN1885" s="42"/>
      <c r="AO1885" s="63" t="str">
        <f>IFERROR(__xludf.DUMMYFUNCTION("IF(ISBLANK(A1885),,IF(ISBLANK(S1885), A1885&amp;"";"", TEXTJOIN(CHAR(10), TRUE, A1885&amp;"";"", ARRAYFORMULA(VLOOKUP(SPLIT(S1885, "";"" &amp; CHAR(10)), $A:$AO, 41, FALSE)))))"),"CoPv;")</f>
        <v>CoPv;</v>
      </c>
      <c r="AP1885" s="89"/>
    </row>
    <row r="1886">
      <c r="A1886" s="151" t="str">
        <f>IFERROR(__xludf.DUMMYFUNCTION("""COMPUTED_VALUE"""),"CoP-m")</f>
        <v>CoP-m</v>
      </c>
      <c r="B1886" s="42" t="str">
        <f>IFERROR(__xludf.DUMMYFUNCTION("""COMPUTED_VALUE"""),"DHBA")</f>
        <v>DHBA</v>
      </c>
      <c r="C1886" s="42" t="str">
        <f>IFERROR(__xludf.DUMMYFUNCTION("""COMPUTED_VALUE"""),"marginal layer of posterior cortical nucleus")</f>
        <v>marginal layer of posterior cortical nucleus</v>
      </c>
      <c r="D1886" s="42">
        <f>IFERROR(__xludf.DUMMYFUNCTION("""COMPUTED_VALUE"""),1782.0)</f>
        <v>1782</v>
      </c>
      <c r="E1886" s="39" t="str">
        <f>IFERROR(__xludf.DUMMYFUNCTION("""COMPUTED_VALUE"""),"marginal layer of posterior cortical nucleus")</f>
        <v>marginal layer of posterior cortical nucleus</v>
      </c>
      <c r="F1886" s="9" t="str">
        <f>IFERROR(__xludf.DUMMYFUNCTION("""COMPUTED_VALUE"""),"Br")</f>
        <v>Br</v>
      </c>
      <c r="G1886" s="9" t="str">
        <f>IFERROR(__xludf.DUMMYFUNCTION("""COMPUTED_VALUE"""),"F")</f>
        <v>F</v>
      </c>
      <c r="H1886" s="9" t="str">
        <f>IFERROR(__xludf.DUMMYFUNCTION("""COMPUTED_VALUE"""),"FGM")</f>
        <v>FGM</v>
      </c>
      <c r="I1886" s="9" t="str">
        <f>IFERROR(__xludf.DUMMYFUNCTION("""COMPUTED_VALUE"""),"Tel")</f>
        <v>Tel</v>
      </c>
      <c r="J1886" s="9" t="str">
        <f>IFERROR(__xludf.DUMMYFUNCTION("""COMPUTED_VALUE"""),"CN")</f>
        <v>CN</v>
      </c>
      <c r="K1886" s="9" t="str">
        <f>IFERROR(__xludf.DUMMYFUNCTION("""COMPUTED_VALUE"""),"AMY")</f>
        <v>AMY</v>
      </c>
      <c r="L1886" s="9" t="str">
        <f>IFERROR(__xludf.DUMMYFUNCTION("""COMPUTED_VALUE"""),"CMN")</f>
        <v>CMN</v>
      </c>
      <c r="M1886" s="9" t="str">
        <f>IFERROR(__xludf.DUMMYFUNCTION("""COMPUTED_VALUE"""),"Co")</f>
        <v>Co</v>
      </c>
      <c r="N1886" s="9" t="str">
        <f>IFERROR(__xludf.DUMMYFUNCTION("""COMPUTED_VALUE"""),"CoP")</f>
        <v>CoP</v>
      </c>
      <c r="O1886" s="9" t="str">
        <f>IFERROR(__xludf.DUMMYFUNCTION("""COMPUTED_VALUE"""),"CoP-m")</f>
        <v>CoP-m</v>
      </c>
      <c r="P1886" s="9"/>
      <c r="Q1886" s="9"/>
      <c r="R1886" s="9"/>
      <c r="S1886" s="42"/>
      <c r="T1886" s="42"/>
      <c r="U1886" s="42"/>
      <c r="V1886" s="42"/>
      <c r="W1886" s="42"/>
      <c r="X1886" s="42"/>
      <c r="Y1886" s="42"/>
      <c r="Z1886" s="42"/>
      <c r="AA1886" s="42"/>
      <c r="AB1886" s="42" t="str">
        <f>IFERROR(__xludf.DUMMYFUNCTION("""COMPUTED_VALUE"""),"allen institute")</f>
        <v>allen institute</v>
      </c>
      <c r="AC1886" s="42" t="str">
        <f>IFERROR(__xludf.DUMMYFUNCTION("""COMPUTED_VALUE"""),"DHBA")</f>
        <v>DHBA</v>
      </c>
      <c r="AD1886" s="42"/>
      <c r="AE1886" s="42"/>
      <c r="AF1886" s="9"/>
      <c r="AG1886" s="9"/>
      <c r="AH1886" s="42"/>
      <c r="AI1886" s="42"/>
      <c r="AJ1886" s="42"/>
      <c r="AK1886" s="42"/>
      <c r="AL1886" s="42"/>
      <c r="AM1886" s="42"/>
      <c r="AN1886" s="42"/>
      <c r="AO1886" s="63" t="str">
        <f>IFERROR(__xludf.DUMMYFUNCTION("IF(ISBLANK(A1886),,IF(ISBLANK(S1886), A1886&amp;"";"", TEXTJOIN(CHAR(10), TRUE, A1886&amp;"";"", ARRAYFORMULA(VLOOKUP(SPLIT(S1886, "";"" &amp; CHAR(10)), $A:$AO, 41, FALSE)))))"),"CoP-m;")</f>
        <v>CoP-m;</v>
      </c>
      <c r="AP1886" s="89"/>
    </row>
    <row r="1887">
      <c r="A1887" s="151" t="str">
        <f>IFERROR(__xludf.DUMMYFUNCTION("""COMPUTED_VALUE"""),"Me")</f>
        <v>Me</v>
      </c>
      <c r="B1887" s="42" t="str">
        <f>IFERROR(__xludf.DUMMYFUNCTION("""COMPUTED_VALUE"""),"DHBA")</f>
        <v>DHBA</v>
      </c>
      <c r="C1887" s="42" t="str">
        <f>IFERROR(__xludf.DUMMYFUNCTION("""COMPUTED_VALUE"""),"medial nucleus, M")</f>
        <v>medial nucleus, M</v>
      </c>
      <c r="D1887" s="42">
        <f>IFERROR(__xludf.DUMMYFUNCTION("""COMPUTED_VALUE"""),1783.0)</f>
        <v>1783</v>
      </c>
      <c r="E1887" s="39" t="str">
        <f>IFERROR(__xludf.DUMMYFUNCTION("""COMPUTED_VALUE"""),"medial nucleus")</f>
        <v>medial nucleus</v>
      </c>
      <c r="F1887" s="9" t="str">
        <f>IFERROR(__xludf.DUMMYFUNCTION("""COMPUTED_VALUE"""),"Br")</f>
        <v>Br</v>
      </c>
      <c r="G1887" s="9" t="str">
        <f>IFERROR(__xludf.DUMMYFUNCTION("""COMPUTED_VALUE"""),"F")</f>
        <v>F</v>
      </c>
      <c r="H1887" s="9" t="str">
        <f>IFERROR(__xludf.DUMMYFUNCTION("""COMPUTED_VALUE"""),"FGM")</f>
        <v>FGM</v>
      </c>
      <c r="I1887" s="9" t="str">
        <f>IFERROR(__xludf.DUMMYFUNCTION("""COMPUTED_VALUE"""),"Tel")</f>
        <v>Tel</v>
      </c>
      <c r="J1887" s="9" t="str">
        <f>IFERROR(__xludf.DUMMYFUNCTION("""COMPUTED_VALUE"""),"CN")</f>
        <v>CN</v>
      </c>
      <c r="K1887" s="9" t="str">
        <f>IFERROR(__xludf.DUMMYFUNCTION("""COMPUTED_VALUE"""),"AMY")</f>
        <v>AMY</v>
      </c>
      <c r="L1887" s="9" t="str">
        <f>IFERROR(__xludf.DUMMYFUNCTION("""COMPUTED_VALUE"""),"CMN")</f>
        <v>CMN</v>
      </c>
      <c r="M1887" s="9" t="str">
        <f>IFERROR(__xludf.DUMMYFUNCTION("""COMPUTED_VALUE"""),"Me")</f>
        <v>Me</v>
      </c>
      <c r="N1887" s="9"/>
      <c r="O1887" s="9"/>
      <c r="P1887" s="9"/>
      <c r="Q1887" s="9"/>
      <c r="R1887" s="9"/>
      <c r="S1887" s="42" t="str">
        <f>IFERROR(__xludf.DUMMYFUNCTION("""COMPUTED_VALUE"""),"MeR;
MeC;
Me-in;
Me_m")</f>
        <v>MeR;
MeC;
Me-in;
Me_m</v>
      </c>
      <c r="T1887" s="42"/>
      <c r="U1887" s="42" t="b">
        <f>IFERROR(__xludf.DUMMYFUNCTION("""COMPUTED_VALUE"""),FALSE)</f>
        <v>0</v>
      </c>
      <c r="V1887" s="42"/>
      <c r="W1887" s="42"/>
      <c r="X1887" s="42"/>
      <c r="Y1887" s="42"/>
      <c r="Z1887" s="42"/>
      <c r="AA1887" s="42"/>
      <c r="AB1887" s="42" t="str">
        <f>IFERROR(__xludf.DUMMYFUNCTION("""COMPUTED_VALUE"""),"allen institute")</f>
        <v>allen institute</v>
      </c>
      <c r="AC1887" s="42" t="str">
        <f>IFERROR(__xludf.DUMMYFUNCTION("""COMPUTED_VALUE"""),"DHBA")</f>
        <v>DHBA</v>
      </c>
      <c r="AD1887" s="42"/>
      <c r="AE1887" s="42"/>
      <c r="AF1887" s="9"/>
      <c r="AG1887" s="9"/>
      <c r="AH1887" s="42"/>
      <c r="AI1887" s="42"/>
      <c r="AJ1887" s="42"/>
      <c r="AK1887" s="42"/>
      <c r="AL1887" s="42"/>
      <c r="AM1887" s="42"/>
      <c r="AN1887" s="42"/>
      <c r="AO1887" s="63" t="str">
        <f>IFERROR(__xludf.DUMMYFUNCTION("IF(ISBLANK(A1887),,IF(ISBLANK(S1887), A1887&amp;"";"", TEXTJOIN(CHAR(10), TRUE, A1887&amp;"";"", ARRAYFORMULA(VLOOKUP(SPLIT(S1887, "";"" &amp; CHAR(10)), $A:$AO, 41, FALSE)))))"),"#REF!")</f>
        <v>#REF!</v>
      </c>
      <c r="AP1887" s="89"/>
    </row>
    <row r="1888">
      <c r="A1888" s="151" t="str">
        <f>IFERROR(__xludf.DUMMYFUNCTION("""COMPUTED_VALUE"""),"MeR")</f>
        <v>MeR</v>
      </c>
      <c r="B1888" s="42" t="str">
        <f>IFERROR(__xludf.DUMMYFUNCTION("""COMPUTED_VALUE"""),"DHBA")</f>
        <v>DHBA</v>
      </c>
      <c r="C1888" s="42" t="str">
        <f>IFERROR(__xludf.DUMMYFUNCTION("""COMPUTED_VALUE"""),"rostral subdivision of medial nucleus")</f>
        <v>rostral subdivision of medial nucleus</v>
      </c>
      <c r="D1888" s="42">
        <f>IFERROR(__xludf.DUMMYFUNCTION("""COMPUTED_VALUE"""),1784.0)</f>
        <v>1784</v>
      </c>
      <c r="E1888" s="39" t="str">
        <f>IFERROR(__xludf.DUMMYFUNCTION("""COMPUTED_VALUE"""),"rostral subdivision of medial nucleus")</f>
        <v>rostral subdivision of medial nucleus</v>
      </c>
      <c r="F1888" s="9" t="str">
        <f>IFERROR(__xludf.DUMMYFUNCTION("""COMPUTED_VALUE"""),"Br")</f>
        <v>Br</v>
      </c>
      <c r="G1888" s="9" t="str">
        <f>IFERROR(__xludf.DUMMYFUNCTION("""COMPUTED_VALUE"""),"F")</f>
        <v>F</v>
      </c>
      <c r="H1888" s="9" t="str">
        <f>IFERROR(__xludf.DUMMYFUNCTION("""COMPUTED_VALUE"""),"FGM")</f>
        <v>FGM</v>
      </c>
      <c r="I1888" s="9" t="str">
        <f>IFERROR(__xludf.DUMMYFUNCTION("""COMPUTED_VALUE"""),"Tel")</f>
        <v>Tel</v>
      </c>
      <c r="J1888" s="9" t="str">
        <f>IFERROR(__xludf.DUMMYFUNCTION("""COMPUTED_VALUE"""),"CN")</f>
        <v>CN</v>
      </c>
      <c r="K1888" s="9" t="str">
        <f>IFERROR(__xludf.DUMMYFUNCTION("""COMPUTED_VALUE"""),"AMY")</f>
        <v>AMY</v>
      </c>
      <c r="L1888" s="9" t="str">
        <f>IFERROR(__xludf.DUMMYFUNCTION("""COMPUTED_VALUE"""),"CMN")</f>
        <v>CMN</v>
      </c>
      <c r="M1888" s="9" t="str">
        <f>IFERROR(__xludf.DUMMYFUNCTION("""COMPUTED_VALUE"""),"Me")</f>
        <v>Me</v>
      </c>
      <c r="N1888" s="9" t="str">
        <f>IFERROR(__xludf.DUMMYFUNCTION("""COMPUTED_VALUE"""),"MeR")</f>
        <v>MeR</v>
      </c>
      <c r="O1888" s="9"/>
      <c r="P1888" s="9"/>
      <c r="Q1888" s="9"/>
      <c r="R1888" s="9"/>
      <c r="S1888" s="42"/>
      <c r="T1888" s="42"/>
      <c r="U1888" s="42"/>
      <c r="V1888" s="42"/>
      <c r="W1888" s="42"/>
      <c r="X1888" s="42"/>
      <c r="Y1888" s="42"/>
      <c r="Z1888" s="42"/>
      <c r="AA1888" s="42"/>
      <c r="AB1888" s="42" t="str">
        <f>IFERROR(__xludf.DUMMYFUNCTION("""COMPUTED_VALUE"""),"allen institute")</f>
        <v>allen institute</v>
      </c>
      <c r="AC1888" s="42" t="str">
        <f>IFERROR(__xludf.DUMMYFUNCTION("""COMPUTED_VALUE"""),"DHBA")</f>
        <v>DHBA</v>
      </c>
      <c r="AD1888" s="42"/>
      <c r="AE1888" s="42"/>
      <c r="AF1888" s="9"/>
      <c r="AG1888" s="9"/>
      <c r="AH1888" s="42"/>
      <c r="AI1888" s="42"/>
      <c r="AJ1888" s="42"/>
      <c r="AK1888" s="42"/>
      <c r="AL1888" s="42"/>
      <c r="AM1888" s="42"/>
      <c r="AN1888" s="42"/>
      <c r="AO1888" s="63" t="str">
        <f>IFERROR(__xludf.DUMMYFUNCTION("IF(ISBLANK(A1888),,IF(ISBLANK(S1888), A1888&amp;"";"", TEXTJOIN(CHAR(10), TRUE, A1888&amp;"";"", ARRAYFORMULA(VLOOKUP(SPLIT(S1888, "";"" &amp; CHAR(10)), $A:$AO, 41, FALSE)))))"),"MeR;")</f>
        <v>MeR;</v>
      </c>
      <c r="AP1888" s="89"/>
    </row>
    <row r="1889">
      <c r="A1889" s="151" t="str">
        <f>IFERROR(__xludf.DUMMYFUNCTION("""COMPUTED_VALUE"""),"MeC")</f>
        <v>MeC</v>
      </c>
      <c r="B1889" s="42" t="str">
        <f>IFERROR(__xludf.DUMMYFUNCTION("""COMPUTED_VALUE"""),"DHBA")</f>
        <v>DHBA</v>
      </c>
      <c r="C1889" s="42" t="str">
        <f>IFERROR(__xludf.DUMMYFUNCTION("""COMPUTED_VALUE"""),"caudal subdivision of medial nucleus")</f>
        <v>caudal subdivision of medial nucleus</v>
      </c>
      <c r="D1889" s="42">
        <f>IFERROR(__xludf.DUMMYFUNCTION("""COMPUTED_VALUE"""),1785.0)</f>
        <v>1785</v>
      </c>
      <c r="E1889" s="39" t="str">
        <f>IFERROR(__xludf.DUMMYFUNCTION("""COMPUTED_VALUE"""),"caudal subdivision of medial nucleus")</f>
        <v>caudal subdivision of medial nucleus</v>
      </c>
      <c r="F1889" s="9" t="str">
        <f>IFERROR(__xludf.DUMMYFUNCTION("""COMPUTED_VALUE"""),"Br")</f>
        <v>Br</v>
      </c>
      <c r="G1889" s="9" t="str">
        <f>IFERROR(__xludf.DUMMYFUNCTION("""COMPUTED_VALUE"""),"F")</f>
        <v>F</v>
      </c>
      <c r="H1889" s="9" t="str">
        <f>IFERROR(__xludf.DUMMYFUNCTION("""COMPUTED_VALUE"""),"FGM")</f>
        <v>FGM</v>
      </c>
      <c r="I1889" s="9" t="str">
        <f>IFERROR(__xludf.DUMMYFUNCTION("""COMPUTED_VALUE"""),"Tel")</f>
        <v>Tel</v>
      </c>
      <c r="J1889" s="9" t="str">
        <f>IFERROR(__xludf.DUMMYFUNCTION("""COMPUTED_VALUE"""),"CN")</f>
        <v>CN</v>
      </c>
      <c r="K1889" s="9" t="str">
        <f>IFERROR(__xludf.DUMMYFUNCTION("""COMPUTED_VALUE"""),"AMY")</f>
        <v>AMY</v>
      </c>
      <c r="L1889" s="9" t="str">
        <f>IFERROR(__xludf.DUMMYFUNCTION("""COMPUTED_VALUE"""),"CMN")</f>
        <v>CMN</v>
      </c>
      <c r="M1889" s="9" t="str">
        <f>IFERROR(__xludf.DUMMYFUNCTION("""COMPUTED_VALUE"""),"Me")</f>
        <v>Me</v>
      </c>
      <c r="N1889" s="9" t="str">
        <f>IFERROR(__xludf.DUMMYFUNCTION("""COMPUTED_VALUE"""),"MeC")</f>
        <v>MeC</v>
      </c>
      <c r="O1889" s="9"/>
      <c r="P1889" s="9"/>
      <c r="Q1889" s="9"/>
      <c r="R1889" s="9"/>
      <c r="S1889" s="42" t="str">
        <f>IFERROR(__xludf.DUMMYFUNCTION("""COMPUTED_VALUE"""),"MeCd;
MeCv")</f>
        <v>MeCd;
MeCv</v>
      </c>
      <c r="T1889" s="42"/>
      <c r="U1889" s="42" t="b">
        <f>IFERROR(__xludf.DUMMYFUNCTION("""COMPUTED_VALUE"""),FALSE)</f>
        <v>0</v>
      </c>
      <c r="V1889" s="42"/>
      <c r="W1889" s="42"/>
      <c r="X1889" s="42"/>
      <c r="Y1889" s="42"/>
      <c r="Z1889" s="42"/>
      <c r="AA1889" s="42"/>
      <c r="AB1889" s="42" t="str">
        <f>IFERROR(__xludf.DUMMYFUNCTION("""COMPUTED_VALUE"""),"allen institute")</f>
        <v>allen institute</v>
      </c>
      <c r="AC1889" s="42" t="str">
        <f>IFERROR(__xludf.DUMMYFUNCTION("""COMPUTED_VALUE"""),"DHBA")</f>
        <v>DHBA</v>
      </c>
      <c r="AD1889" s="42"/>
      <c r="AE1889" s="42"/>
      <c r="AF1889" s="9"/>
      <c r="AG1889" s="9"/>
      <c r="AH1889" s="42"/>
      <c r="AI1889" s="42"/>
      <c r="AJ1889" s="42"/>
      <c r="AK1889" s="42"/>
      <c r="AL1889" s="42"/>
      <c r="AM1889" s="42"/>
      <c r="AN1889" s="42"/>
      <c r="AO1889" s="63" t="str">
        <f>IFERROR(__xludf.DUMMYFUNCTION("IF(ISBLANK(A1889),,IF(ISBLANK(S1889), A1889&amp;"";"", TEXTJOIN(CHAR(10), TRUE, A1889&amp;"";"", ARRAYFORMULA(VLOOKUP(SPLIT(S1889, "";"" &amp; CHAR(10)), $A:$AO, 41, FALSE)))))"),"MeC;
MeCd;
MeCv;")</f>
        <v>MeC;
MeCd;
MeCv;</v>
      </c>
      <c r="AP1889" s="89"/>
    </row>
    <row r="1890">
      <c r="A1890" s="151" t="str">
        <f>IFERROR(__xludf.DUMMYFUNCTION("""COMPUTED_VALUE"""),"MeCd")</f>
        <v>MeCd</v>
      </c>
      <c r="B1890" s="42" t="str">
        <f>IFERROR(__xludf.DUMMYFUNCTION("""COMPUTED_VALUE"""),"DHBA")</f>
        <v>DHBA</v>
      </c>
      <c r="C1890" s="42" t="str">
        <f>IFERROR(__xludf.DUMMYFUNCTION("""COMPUTED_VALUE"""),"dorsal part of caudal medial nucleus")</f>
        <v>dorsal part of caudal medial nucleus</v>
      </c>
      <c r="D1890" s="42">
        <f>IFERROR(__xludf.DUMMYFUNCTION("""COMPUTED_VALUE"""),1786.0)</f>
        <v>1786</v>
      </c>
      <c r="E1890" s="39" t="str">
        <f>IFERROR(__xludf.DUMMYFUNCTION("""COMPUTED_VALUE"""),"dorsal part of caudal medial nucleus")</f>
        <v>dorsal part of caudal medial nucleus</v>
      </c>
      <c r="F1890" s="9" t="str">
        <f>IFERROR(__xludf.DUMMYFUNCTION("""COMPUTED_VALUE"""),"Br")</f>
        <v>Br</v>
      </c>
      <c r="G1890" s="9" t="str">
        <f>IFERROR(__xludf.DUMMYFUNCTION("""COMPUTED_VALUE"""),"F")</f>
        <v>F</v>
      </c>
      <c r="H1890" s="9" t="str">
        <f>IFERROR(__xludf.DUMMYFUNCTION("""COMPUTED_VALUE"""),"FGM")</f>
        <v>FGM</v>
      </c>
      <c r="I1890" s="9" t="str">
        <f>IFERROR(__xludf.DUMMYFUNCTION("""COMPUTED_VALUE"""),"Tel")</f>
        <v>Tel</v>
      </c>
      <c r="J1890" s="9" t="str">
        <f>IFERROR(__xludf.DUMMYFUNCTION("""COMPUTED_VALUE"""),"CN")</f>
        <v>CN</v>
      </c>
      <c r="K1890" s="9" t="str">
        <f>IFERROR(__xludf.DUMMYFUNCTION("""COMPUTED_VALUE"""),"AMY")</f>
        <v>AMY</v>
      </c>
      <c r="L1890" s="9" t="str">
        <f>IFERROR(__xludf.DUMMYFUNCTION("""COMPUTED_VALUE"""),"CMN")</f>
        <v>CMN</v>
      </c>
      <c r="M1890" s="9" t="str">
        <f>IFERROR(__xludf.DUMMYFUNCTION("""COMPUTED_VALUE"""),"Me")</f>
        <v>Me</v>
      </c>
      <c r="N1890" s="9" t="str">
        <f>IFERROR(__xludf.DUMMYFUNCTION("""COMPUTED_VALUE"""),"MeC")</f>
        <v>MeC</v>
      </c>
      <c r="O1890" s="9" t="str">
        <f>IFERROR(__xludf.DUMMYFUNCTION("""COMPUTED_VALUE"""),"MeCd")</f>
        <v>MeCd</v>
      </c>
      <c r="P1890" s="9"/>
      <c r="Q1890" s="9"/>
      <c r="R1890" s="9"/>
      <c r="S1890" s="42"/>
      <c r="T1890" s="42"/>
      <c r="U1890" s="42"/>
      <c r="V1890" s="42"/>
      <c r="W1890" s="42"/>
      <c r="X1890" s="42"/>
      <c r="Y1890" s="42"/>
      <c r="Z1890" s="42"/>
      <c r="AA1890" s="42"/>
      <c r="AB1890" s="42" t="str">
        <f>IFERROR(__xludf.DUMMYFUNCTION("""COMPUTED_VALUE"""),"allen institute")</f>
        <v>allen institute</v>
      </c>
      <c r="AC1890" s="42" t="str">
        <f>IFERROR(__xludf.DUMMYFUNCTION("""COMPUTED_VALUE"""),"DHBA")</f>
        <v>DHBA</v>
      </c>
      <c r="AD1890" s="42"/>
      <c r="AE1890" s="42"/>
      <c r="AF1890" s="9"/>
      <c r="AG1890" s="9"/>
      <c r="AH1890" s="42"/>
      <c r="AI1890" s="42"/>
      <c r="AJ1890" s="42"/>
      <c r="AK1890" s="42"/>
      <c r="AL1890" s="42"/>
      <c r="AM1890" s="42"/>
      <c r="AN1890" s="42"/>
      <c r="AO1890" s="63" t="str">
        <f>IFERROR(__xludf.DUMMYFUNCTION("IF(ISBLANK(A1890),,IF(ISBLANK(S1890), A1890&amp;"";"", TEXTJOIN(CHAR(10), TRUE, A1890&amp;"";"", ARRAYFORMULA(VLOOKUP(SPLIT(S1890, "";"" &amp; CHAR(10)), $A:$AO, 41, FALSE)))))"),"MeCd;")</f>
        <v>MeCd;</v>
      </c>
      <c r="AP1890" s="89"/>
    </row>
    <row r="1891">
      <c r="A1891" s="151" t="str">
        <f>IFERROR(__xludf.DUMMYFUNCTION("""COMPUTED_VALUE"""),"MeCv")</f>
        <v>MeCv</v>
      </c>
      <c r="B1891" s="42" t="str">
        <f>IFERROR(__xludf.DUMMYFUNCTION("""COMPUTED_VALUE"""),"DHBA")</f>
        <v>DHBA</v>
      </c>
      <c r="C1891" s="42" t="str">
        <f>IFERROR(__xludf.DUMMYFUNCTION("""COMPUTED_VALUE"""),"ventral part of caudal medial nucleus")</f>
        <v>ventral part of caudal medial nucleus</v>
      </c>
      <c r="D1891" s="42">
        <f>IFERROR(__xludf.DUMMYFUNCTION("""COMPUTED_VALUE"""),1787.0)</f>
        <v>1787</v>
      </c>
      <c r="E1891" s="39" t="str">
        <f>IFERROR(__xludf.DUMMYFUNCTION("""COMPUTED_VALUE"""),"ventral part of caudal medial nucleus")</f>
        <v>ventral part of caudal medial nucleus</v>
      </c>
      <c r="F1891" s="9" t="str">
        <f>IFERROR(__xludf.DUMMYFUNCTION("""COMPUTED_VALUE"""),"Br")</f>
        <v>Br</v>
      </c>
      <c r="G1891" s="9" t="str">
        <f>IFERROR(__xludf.DUMMYFUNCTION("""COMPUTED_VALUE"""),"F")</f>
        <v>F</v>
      </c>
      <c r="H1891" s="9" t="str">
        <f>IFERROR(__xludf.DUMMYFUNCTION("""COMPUTED_VALUE"""),"FGM")</f>
        <v>FGM</v>
      </c>
      <c r="I1891" s="9" t="str">
        <f>IFERROR(__xludf.DUMMYFUNCTION("""COMPUTED_VALUE"""),"Tel")</f>
        <v>Tel</v>
      </c>
      <c r="J1891" s="9" t="str">
        <f>IFERROR(__xludf.DUMMYFUNCTION("""COMPUTED_VALUE"""),"CN")</f>
        <v>CN</v>
      </c>
      <c r="K1891" s="9" t="str">
        <f>IFERROR(__xludf.DUMMYFUNCTION("""COMPUTED_VALUE"""),"AMY")</f>
        <v>AMY</v>
      </c>
      <c r="L1891" s="9" t="str">
        <f>IFERROR(__xludf.DUMMYFUNCTION("""COMPUTED_VALUE"""),"CMN")</f>
        <v>CMN</v>
      </c>
      <c r="M1891" s="9" t="str">
        <f>IFERROR(__xludf.DUMMYFUNCTION("""COMPUTED_VALUE"""),"Me")</f>
        <v>Me</v>
      </c>
      <c r="N1891" s="9" t="str">
        <f>IFERROR(__xludf.DUMMYFUNCTION("""COMPUTED_VALUE"""),"MeC")</f>
        <v>MeC</v>
      </c>
      <c r="O1891" s="9" t="str">
        <f>IFERROR(__xludf.DUMMYFUNCTION("""COMPUTED_VALUE"""),"MeCv")</f>
        <v>MeCv</v>
      </c>
      <c r="P1891" s="9"/>
      <c r="Q1891" s="9"/>
      <c r="R1891" s="9"/>
      <c r="S1891" s="42"/>
      <c r="T1891" s="42"/>
      <c r="U1891" s="42"/>
      <c r="V1891" s="42"/>
      <c r="W1891" s="42"/>
      <c r="X1891" s="42"/>
      <c r="Y1891" s="42"/>
      <c r="Z1891" s="42"/>
      <c r="AA1891" s="42"/>
      <c r="AB1891" s="42" t="str">
        <f>IFERROR(__xludf.DUMMYFUNCTION("""COMPUTED_VALUE"""),"allen institute")</f>
        <v>allen institute</v>
      </c>
      <c r="AC1891" s="42" t="str">
        <f>IFERROR(__xludf.DUMMYFUNCTION("""COMPUTED_VALUE"""),"DHBA")</f>
        <v>DHBA</v>
      </c>
      <c r="AD1891" s="42"/>
      <c r="AE1891" s="42"/>
      <c r="AF1891" s="9"/>
      <c r="AG1891" s="9"/>
      <c r="AH1891" s="42"/>
      <c r="AI1891" s="42"/>
      <c r="AJ1891" s="42"/>
      <c r="AK1891" s="42"/>
      <c r="AL1891" s="42"/>
      <c r="AM1891" s="42"/>
      <c r="AN1891" s="42"/>
      <c r="AO1891" s="63" t="str">
        <f>IFERROR(__xludf.DUMMYFUNCTION("IF(ISBLANK(A1891),,IF(ISBLANK(S1891), A1891&amp;"";"", TEXTJOIN(CHAR(10), TRUE, A1891&amp;"";"", ARRAYFORMULA(VLOOKUP(SPLIT(S1891, "";"" &amp; CHAR(10)), $A:$AO, 41, FALSE)))))"),"MeCv;")</f>
        <v>MeCv;</v>
      </c>
      <c r="AP1891" s="89"/>
    </row>
    <row r="1892">
      <c r="A1892" s="151" t="str">
        <f>IFERROR(__xludf.DUMMYFUNCTION("""COMPUTED_VALUE"""),"Me-m")</f>
        <v>Me-m</v>
      </c>
      <c r="B1892" s="42" t="str">
        <f>IFERROR(__xludf.DUMMYFUNCTION("""COMPUTED_VALUE"""),"DHBA")</f>
        <v>DHBA</v>
      </c>
      <c r="C1892" s="42" t="str">
        <f>IFERROR(__xludf.DUMMYFUNCTION("""COMPUTED_VALUE"""),"marginal layer of medial amygdaloid nucleus")</f>
        <v>marginal layer of medial amygdaloid nucleus</v>
      </c>
      <c r="D1892" s="42">
        <f>IFERROR(__xludf.DUMMYFUNCTION("""COMPUTED_VALUE"""),1788.0)</f>
        <v>1788</v>
      </c>
      <c r="E1892" s="39" t="str">
        <f>IFERROR(__xludf.DUMMYFUNCTION("""COMPUTED_VALUE"""),"marginal layer of medial amygdaloid nucleus")</f>
        <v>marginal layer of medial amygdaloid nucleus</v>
      </c>
      <c r="F1892" s="9" t="str">
        <f>IFERROR(__xludf.DUMMYFUNCTION("""COMPUTED_VALUE"""),"Br")</f>
        <v>Br</v>
      </c>
      <c r="G1892" s="9" t="str">
        <f>IFERROR(__xludf.DUMMYFUNCTION("""COMPUTED_VALUE"""),"F")</f>
        <v>F</v>
      </c>
      <c r="H1892" s="9" t="str">
        <f>IFERROR(__xludf.DUMMYFUNCTION("""COMPUTED_VALUE"""),"FGM")</f>
        <v>FGM</v>
      </c>
      <c r="I1892" s="9" t="str">
        <f>IFERROR(__xludf.DUMMYFUNCTION("""COMPUTED_VALUE"""),"Tel")</f>
        <v>Tel</v>
      </c>
      <c r="J1892" s="9" t="str">
        <f>IFERROR(__xludf.DUMMYFUNCTION("""COMPUTED_VALUE"""),"CN")</f>
        <v>CN</v>
      </c>
      <c r="K1892" s="9" t="str">
        <f>IFERROR(__xludf.DUMMYFUNCTION("""COMPUTED_VALUE"""),"AMY")</f>
        <v>AMY</v>
      </c>
      <c r="L1892" s="9" t="str">
        <f>IFERROR(__xludf.DUMMYFUNCTION("""COMPUTED_VALUE"""),"CMN")</f>
        <v>CMN</v>
      </c>
      <c r="M1892" s="9" t="str">
        <f>IFERROR(__xludf.DUMMYFUNCTION("""COMPUTED_VALUE"""),"Me")</f>
        <v>Me</v>
      </c>
      <c r="N1892" s="9" t="str">
        <f>IFERROR(__xludf.DUMMYFUNCTION("""COMPUTED_VALUE"""),"Me-m")</f>
        <v>Me-m</v>
      </c>
      <c r="O1892" s="9"/>
      <c r="P1892" s="9"/>
      <c r="Q1892" s="9"/>
      <c r="R1892" s="9"/>
      <c r="S1892" s="42"/>
      <c r="T1892" s="42"/>
      <c r="U1892" s="42"/>
      <c r="V1892" s="42"/>
      <c r="W1892" s="42"/>
      <c r="X1892" s="42"/>
      <c r="Y1892" s="42"/>
      <c r="Z1892" s="42"/>
      <c r="AA1892" s="42"/>
      <c r="AB1892" s="42" t="str">
        <f>IFERROR(__xludf.DUMMYFUNCTION("""COMPUTED_VALUE"""),"allen institute")</f>
        <v>allen institute</v>
      </c>
      <c r="AC1892" s="42" t="str">
        <f>IFERROR(__xludf.DUMMYFUNCTION("""COMPUTED_VALUE"""),"DHBA")</f>
        <v>DHBA</v>
      </c>
      <c r="AD1892" s="42"/>
      <c r="AE1892" s="42"/>
      <c r="AF1892" s="9"/>
      <c r="AG1892" s="9"/>
      <c r="AH1892" s="42"/>
      <c r="AI1892" s="42"/>
      <c r="AJ1892" s="42"/>
      <c r="AK1892" s="42"/>
      <c r="AL1892" s="42"/>
      <c r="AM1892" s="42"/>
      <c r="AN1892" s="42"/>
      <c r="AO1892" s="63" t="str">
        <f>IFERROR(__xludf.DUMMYFUNCTION("IF(ISBLANK(A1892),,IF(ISBLANK(S1892), A1892&amp;"";"", TEXTJOIN(CHAR(10), TRUE, A1892&amp;"";"", ARRAYFORMULA(VLOOKUP(SPLIT(S1892, "";"" &amp; CHAR(10)), $A:$AO, 41, FALSE)))))"),"Me-m;")</f>
        <v>Me-m;</v>
      </c>
      <c r="AP1892" s="89"/>
    </row>
    <row r="1893">
      <c r="A1893" s="151" t="str">
        <f>IFERROR(__xludf.DUMMYFUNCTION("""COMPUTED_VALUE"""),"AHA")</f>
        <v>AHA</v>
      </c>
      <c r="B1893" s="42" t="str">
        <f>IFERROR(__xludf.DUMMYFUNCTION("""COMPUTED_VALUE"""),"DHBA")</f>
        <v>DHBA</v>
      </c>
      <c r="C1893" s="42" t="str">
        <f>IFERROR(__xludf.DUMMYFUNCTION("""COMPUTED_VALUE"""),"amygdalohippocampal area")</f>
        <v>amygdalohippocampal area</v>
      </c>
      <c r="D1893" s="42">
        <f>IFERROR(__xludf.DUMMYFUNCTION("""COMPUTED_VALUE"""),1789.0)</f>
        <v>1789</v>
      </c>
      <c r="E1893" s="39" t="str">
        <f>IFERROR(__xludf.DUMMYFUNCTION("""COMPUTED_VALUE"""),"amygdalohippocampal area")</f>
        <v>amygdalohippocampal area</v>
      </c>
      <c r="F1893" s="9" t="str">
        <f>IFERROR(__xludf.DUMMYFUNCTION("""COMPUTED_VALUE"""),"Br")</f>
        <v>Br</v>
      </c>
      <c r="G1893" s="9" t="str">
        <f>IFERROR(__xludf.DUMMYFUNCTION("""COMPUTED_VALUE"""),"F")</f>
        <v>F</v>
      </c>
      <c r="H1893" s="9" t="str">
        <f>IFERROR(__xludf.DUMMYFUNCTION("""COMPUTED_VALUE"""),"FGM")</f>
        <v>FGM</v>
      </c>
      <c r="I1893" s="9" t="str">
        <f>IFERROR(__xludf.DUMMYFUNCTION("""COMPUTED_VALUE"""),"Tel")</f>
        <v>Tel</v>
      </c>
      <c r="J1893" s="9" t="str">
        <f>IFERROR(__xludf.DUMMYFUNCTION("""COMPUTED_VALUE"""),"CN")</f>
        <v>CN</v>
      </c>
      <c r="K1893" s="9" t="str">
        <f>IFERROR(__xludf.DUMMYFUNCTION("""COMPUTED_VALUE"""),"AMY")</f>
        <v>AMY</v>
      </c>
      <c r="L1893" s="9" t="str">
        <f>IFERROR(__xludf.DUMMYFUNCTION("""COMPUTED_VALUE"""),"CMN")</f>
        <v>CMN</v>
      </c>
      <c r="M1893" s="9" t="str">
        <f>IFERROR(__xludf.DUMMYFUNCTION("""COMPUTED_VALUE"""),"AHA")</f>
        <v>AHA</v>
      </c>
      <c r="N1893" s="9"/>
      <c r="O1893" s="9"/>
      <c r="P1893" s="9"/>
      <c r="Q1893" s="9"/>
      <c r="R1893" s="9"/>
      <c r="S1893" s="42" t="str">
        <f>IFERROR(__xludf.DUMMYFUNCTION("""COMPUTED_VALUE"""),"AHAmc;
AHApc;
AHA-in;
AHA_m")</f>
        <v>AHAmc;
AHApc;
AHA-in;
AHA_m</v>
      </c>
      <c r="T1893" s="42"/>
      <c r="U1893" s="42" t="b">
        <f>IFERROR(__xludf.DUMMYFUNCTION("""COMPUTED_VALUE"""),FALSE)</f>
        <v>0</v>
      </c>
      <c r="V1893" s="42"/>
      <c r="W1893" s="42"/>
      <c r="X1893" s="42"/>
      <c r="Y1893" s="42"/>
      <c r="Z1893" s="42"/>
      <c r="AA1893" s="42"/>
      <c r="AB1893" s="42" t="str">
        <f>IFERROR(__xludf.DUMMYFUNCTION("""COMPUTED_VALUE"""),"allen institute")</f>
        <v>allen institute</v>
      </c>
      <c r="AC1893" s="42" t="str">
        <f>IFERROR(__xludf.DUMMYFUNCTION("""COMPUTED_VALUE"""),"DHBA")</f>
        <v>DHBA</v>
      </c>
      <c r="AD1893" s="42"/>
      <c r="AE1893" s="42"/>
      <c r="AF1893" s="9"/>
      <c r="AG1893" s="9"/>
      <c r="AH1893" s="42"/>
      <c r="AI1893" s="42"/>
      <c r="AJ1893" s="42"/>
      <c r="AK1893" s="42"/>
      <c r="AL1893" s="42"/>
      <c r="AM1893" s="42"/>
      <c r="AN1893" s="42"/>
      <c r="AO1893" s="63" t="str">
        <f>IFERROR(__xludf.DUMMYFUNCTION("IF(ISBLANK(A1893),,IF(ISBLANK(S1893), A1893&amp;"";"", TEXTJOIN(CHAR(10), TRUE, A1893&amp;"";"", ARRAYFORMULA(VLOOKUP(SPLIT(S1893, "";"" &amp; CHAR(10)), $A:$AO, 41, FALSE)))))"),"#N/A")</f>
        <v>#N/A</v>
      </c>
      <c r="AP1893" s="89"/>
    </row>
    <row r="1894">
      <c r="A1894" s="151" t="str">
        <f>IFERROR(__xludf.DUMMYFUNCTION("""COMPUTED_VALUE"""),"AHAmc")</f>
        <v>AHAmc</v>
      </c>
      <c r="B1894" s="42" t="str">
        <f>IFERROR(__xludf.DUMMYFUNCTION("""COMPUTED_VALUE"""),"DHBA")</f>
        <v>DHBA</v>
      </c>
      <c r="C1894" s="42" t="str">
        <f>IFERROR(__xludf.DUMMYFUNCTION("""COMPUTED_VALUE"""),"magnocellular part of amygdalohippocampal area")</f>
        <v>magnocellular part of amygdalohippocampal area</v>
      </c>
      <c r="D1894" s="42">
        <f>IFERROR(__xludf.DUMMYFUNCTION("""COMPUTED_VALUE"""),1790.0)</f>
        <v>1790</v>
      </c>
      <c r="E1894" s="39" t="str">
        <f>IFERROR(__xludf.DUMMYFUNCTION("""COMPUTED_VALUE"""),"magnocellular part of amygdalohippocampal area")</f>
        <v>magnocellular part of amygdalohippocampal area</v>
      </c>
      <c r="F1894" s="9" t="str">
        <f>IFERROR(__xludf.DUMMYFUNCTION("""COMPUTED_VALUE"""),"Br")</f>
        <v>Br</v>
      </c>
      <c r="G1894" s="9" t="str">
        <f>IFERROR(__xludf.DUMMYFUNCTION("""COMPUTED_VALUE"""),"F")</f>
        <v>F</v>
      </c>
      <c r="H1894" s="9" t="str">
        <f>IFERROR(__xludf.DUMMYFUNCTION("""COMPUTED_VALUE"""),"FGM")</f>
        <v>FGM</v>
      </c>
      <c r="I1894" s="9" t="str">
        <f>IFERROR(__xludf.DUMMYFUNCTION("""COMPUTED_VALUE"""),"Tel")</f>
        <v>Tel</v>
      </c>
      <c r="J1894" s="9" t="str">
        <f>IFERROR(__xludf.DUMMYFUNCTION("""COMPUTED_VALUE"""),"CN")</f>
        <v>CN</v>
      </c>
      <c r="K1894" s="9" t="str">
        <f>IFERROR(__xludf.DUMMYFUNCTION("""COMPUTED_VALUE"""),"AMY")</f>
        <v>AMY</v>
      </c>
      <c r="L1894" s="9" t="str">
        <f>IFERROR(__xludf.DUMMYFUNCTION("""COMPUTED_VALUE"""),"CMN")</f>
        <v>CMN</v>
      </c>
      <c r="M1894" s="9" t="str">
        <f>IFERROR(__xludf.DUMMYFUNCTION("""COMPUTED_VALUE"""),"AHA")</f>
        <v>AHA</v>
      </c>
      <c r="N1894" s="9" t="str">
        <f>IFERROR(__xludf.DUMMYFUNCTION("""COMPUTED_VALUE"""),"AHAmc")</f>
        <v>AHAmc</v>
      </c>
      <c r="O1894" s="9"/>
      <c r="P1894" s="9"/>
      <c r="Q1894" s="9"/>
      <c r="R1894" s="9"/>
      <c r="S1894" s="42"/>
      <c r="T1894" s="42"/>
      <c r="U1894" s="42"/>
      <c r="V1894" s="42"/>
      <c r="W1894" s="42"/>
      <c r="X1894" s="42"/>
      <c r="Y1894" s="42"/>
      <c r="Z1894" s="42"/>
      <c r="AA1894" s="42"/>
      <c r="AB1894" s="42" t="str">
        <f>IFERROR(__xludf.DUMMYFUNCTION("""COMPUTED_VALUE"""),"allen institute")</f>
        <v>allen institute</v>
      </c>
      <c r="AC1894" s="42" t="str">
        <f>IFERROR(__xludf.DUMMYFUNCTION("""COMPUTED_VALUE"""),"DHBA")</f>
        <v>DHBA</v>
      </c>
      <c r="AD1894" s="42"/>
      <c r="AE1894" s="42"/>
      <c r="AF1894" s="9"/>
      <c r="AG1894" s="9"/>
      <c r="AH1894" s="42"/>
      <c r="AI1894" s="42"/>
      <c r="AJ1894" s="42"/>
      <c r="AK1894" s="42"/>
      <c r="AL1894" s="42"/>
      <c r="AM1894" s="42"/>
      <c r="AN1894" s="42"/>
      <c r="AO1894" s="63" t="str">
        <f>IFERROR(__xludf.DUMMYFUNCTION("IF(ISBLANK(A1894),,IF(ISBLANK(S1894), A1894&amp;"";"", TEXTJOIN(CHAR(10), TRUE, A1894&amp;"";"", ARRAYFORMULA(VLOOKUP(SPLIT(S1894, "";"" &amp; CHAR(10)), $A:$AO, 41, FALSE)))))"),"AHAmc;")</f>
        <v>AHAmc;</v>
      </c>
      <c r="AP1894" s="89"/>
    </row>
    <row r="1895">
      <c r="A1895" s="151" t="str">
        <f>IFERROR(__xludf.DUMMYFUNCTION("""COMPUTED_VALUE"""),"AHApc")</f>
        <v>AHApc</v>
      </c>
      <c r="B1895" s="42" t="str">
        <f>IFERROR(__xludf.DUMMYFUNCTION("""COMPUTED_VALUE"""),"DHBA")</f>
        <v>DHBA</v>
      </c>
      <c r="C1895" s="42" t="str">
        <f>IFERROR(__xludf.DUMMYFUNCTION("""COMPUTED_VALUE"""),"parvocellular part of amygdalohippocampal area")</f>
        <v>parvocellular part of amygdalohippocampal area</v>
      </c>
      <c r="D1895" s="42">
        <f>IFERROR(__xludf.DUMMYFUNCTION("""COMPUTED_VALUE"""),1791.0)</f>
        <v>1791</v>
      </c>
      <c r="E1895" s="39" t="str">
        <f>IFERROR(__xludf.DUMMYFUNCTION("""COMPUTED_VALUE"""),"parvocellular part of amygdalohippocampal area")</f>
        <v>parvocellular part of amygdalohippocampal area</v>
      </c>
      <c r="F1895" s="9" t="str">
        <f>IFERROR(__xludf.DUMMYFUNCTION("""COMPUTED_VALUE"""),"Br")</f>
        <v>Br</v>
      </c>
      <c r="G1895" s="9" t="str">
        <f>IFERROR(__xludf.DUMMYFUNCTION("""COMPUTED_VALUE"""),"F")</f>
        <v>F</v>
      </c>
      <c r="H1895" s="9" t="str">
        <f>IFERROR(__xludf.DUMMYFUNCTION("""COMPUTED_VALUE"""),"FGM")</f>
        <v>FGM</v>
      </c>
      <c r="I1895" s="9" t="str">
        <f>IFERROR(__xludf.DUMMYFUNCTION("""COMPUTED_VALUE"""),"Tel")</f>
        <v>Tel</v>
      </c>
      <c r="J1895" s="9" t="str">
        <f>IFERROR(__xludf.DUMMYFUNCTION("""COMPUTED_VALUE"""),"CN")</f>
        <v>CN</v>
      </c>
      <c r="K1895" s="9" t="str">
        <f>IFERROR(__xludf.DUMMYFUNCTION("""COMPUTED_VALUE"""),"AMY")</f>
        <v>AMY</v>
      </c>
      <c r="L1895" s="9" t="str">
        <f>IFERROR(__xludf.DUMMYFUNCTION("""COMPUTED_VALUE"""),"CMN")</f>
        <v>CMN</v>
      </c>
      <c r="M1895" s="9" t="str">
        <f>IFERROR(__xludf.DUMMYFUNCTION("""COMPUTED_VALUE"""),"AHA")</f>
        <v>AHA</v>
      </c>
      <c r="N1895" s="9" t="str">
        <f>IFERROR(__xludf.DUMMYFUNCTION("""COMPUTED_VALUE"""),"AHApc")</f>
        <v>AHApc</v>
      </c>
      <c r="O1895" s="9"/>
      <c r="P1895" s="9"/>
      <c r="Q1895" s="9"/>
      <c r="R1895" s="9"/>
      <c r="S1895" s="42"/>
      <c r="T1895" s="42"/>
      <c r="U1895" s="42"/>
      <c r="V1895" s="42"/>
      <c r="W1895" s="42"/>
      <c r="X1895" s="42"/>
      <c r="Y1895" s="42"/>
      <c r="Z1895" s="42"/>
      <c r="AA1895" s="42"/>
      <c r="AB1895" s="42" t="str">
        <f>IFERROR(__xludf.DUMMYFUNCTION("""COMPUTED_VALUE"""),"allen institute")</f>
        <v>allen institute</v>
      </c>
      <c r="AC1895" s="42" t="str">
        <f>IFERROR(__xludf.DUMMYFUNCTION("""COMPUTED_VALUE"""),"DHBA")</f>
        <v>DHBA</v>
      </c>
      <c r="AD1895" s="42"/>
      <c r="AE1895" s="42"/>
      <c r="AF1895" s="9"/>
      <c r="AG1895" s="9"/>
      <c r="AH1895" s="42"/>
      <c r="AI1895" s="42"/>
      <c r="AJ1895" s="42"/>
      <c r="AK1895" s="42"/>
      <c r="AL1895" s="42"/>
      <c r="AM1895" s="42"/>
      <c r="AN1895" s="42"/>
      <c r="AO1895" s="63" t="str">
        <f>IFERROR(__xludf.DUMMYFUNCTION("IF(ISBLANK(A1895),,IF(ISBLANK(S1895), A1895&amp;"";"", TEXTJOIN(CHAR(10), TRUE, A1895&amp;"";"", ARRAYFORMULA(VLOOKUP(SPLIT(S1895, "";"" &amp; CHAR(10)), $A:$AO, 41, FALSE)))))"),"AHApc;")</f>
        <v>AHApc;</v>
      </c>
      <c r="AP1895" s="89"/>
    </row>
    <row r="1896">
      <c r="A1896" s="151" t="str">
        <f>IFERROR(__xludf.DUMMYFUNCTION("""COMPUTED_VALUE"""),"AHA-m")</f>
        <v>AHA-m</v>
      </c>
      <c r="B1896" s="42" t="str">
        <f>IFERROR(__xludf.DUMMYFUNCTION("""COMPUTED_VALUE"""),"DHBA")</f>
        <v>DHBA</v>
      </c>
      <c r="C1896" s="42" t="str">
        <f>IFERROR(__xludf.DUMMYFUNCTION("""COMPUTED_VALUE"""),"marginal layer of amygdalohippocampal area")</f>
        <v>marginal layer of amygdalohippocampal area</v>
      </c>
      <c r="D1896" s="42">
        <f>IFERROR(__xludf.DUMMYFUNCTION("""COMPUTED_VALUE"""),1792.0)</f>
        <v>1792</v>
      </c>
      <c r="E1896" s="39" t="str">
        <f>IFERROR(__xludf.DUMMYFUNCTION("""COMPUTED_VALUE"""),"marginal layer of amygdalohippocampal area")</f>
        <v>marginal layer of amygdalohippocampal area</v>
      </c>
      <c r="F1896" s="9" t="str">
        <f>IFERROR(__xludf.DUMMYFUNCTION("""COMPUTED_VALUE"""),"Br")</f>
        <v>Br</v>
      </c>
      <c r="G1896" s="9" t="str">
        <f>IFERROR(__xludf.DUMMYFUNCTION("""COMPUTED_VALUE"""),"F")</f>
        <v>F</v>
      </c>
      <c r="H1896" s="9" t="str">
        <f>IFERROR(__xludf.DUMMYFUNCTION("""COMPUTED_VALUE"""),"FGM")</f>
        <v>FGM</v>
      </c>
      <c r="I1896" s="9" t="str">
        <f>IFERROR(__xludf.DUMMYFUNCTION("""COMPUTED_VALUE"""),"Tel")</f>
        <v>Tel</v>
      </c>
      <c r="J1896" s="9" t="str">
        <f>IFERROR(__xludf.DUMMYFUNCTION("""COMPUTED_VALUE"""),"CN")</f>
        <v>CN</v>
      </c>
      <c r="K1896" s="9" t="str">
        <f>IFERROR(__xludf.DUMMYFUNCTION("""COMPUTED_VALUE"""),"AMY")</f>
        <v>AMY</v>
      </c>
      <c r="L1896" s="9" t="str">
        <f>IFERROR(__xludf.DUMMYFUNCTION("""COMPUTED_VALUE"""),"CMN")</f>
        <v>CMN</v>
      </c>
      <c r="M1896" s="9" t="str">
        <f>IFERROR(__xludf.DUMMYFUNCTION("""COMPUTED_VALUE"""),"AHA")</f>
        <v>AHA</v>
      </c>
      <c r="N1896" s="9" t="str">
        <f>IFERROR(__xludf.DUMMYFUNCTION("""COMPUTED_VALUE"""),"AHA-m")</f>
        <v>AHA-m</v>
      </c>
      <c r="O1896" s="9"/>
      <c r="P1896" s="9"/>
      <c r="Q1896" s="9"/>
      <c r="R1896" s="9"/>
      <c r="S1896" s="42"/>
      <c r="T1896" s="42"/>
      <c r="U1896" s="42"/>
      <c r="V1896" s="42"/>
      <c r="W1896" s="42"/>
      <c r="X1896" s="42"/>
      <c r="Y1896" s="42"/>
      <c r="Z1896" s="42"/>
      <c r="AA1896" s="42"/>
      <c r="AB1896" s="42" t="str">
        <f>IFERROR(__xludf.DUMMYFUNCTION("""COMPUTED_VALUE"""),"allen institute")</f>
        <v>allen institute</v>
      </c>
      <c r="AC1896" s="42" t="str">
        <f>IFERROR(__xludf.DUMMYFUNCTION("""COMPUTED_VALUE"""),"DHBA")</f>
        <v>DHBA</v>
      </c>
      <c r="AD1896" s="42"/>
      <c r="AE1896" s="42"/>
      <c r="AF1896" s="9"/>
      <c r="AG1896" s="9"/>
      <c r="AH1896" s="42"/>
      <c r="AI1896" s="42"/>
      <c r="AJ1896" s="42"/>
      <c r="AK1896" s="42"/>
      <c r="AL1896" s="42"/>
      <c r="AM1896" s="42"/>
      <c r="AN1896" s="42"/>
      <c r="AO1896" s="63" t="str">
        <f>IFERROR(__xludf.DUMMYFUNCTION("IF(ISBLANK(A1896),,IF(ISBLANK(S1896), A1896&amp;"";"", TEXTJOIN(CHAR(10), TRUE, A1896&amp;"";"", ARRAYFORMULA(VLOOKUP(SPLIT(S1896, "";"" &amp; CHAR(10)), $A:$AO, 41, FALSE)))))"),"AHA-m;")</f>
        <v>AHA-m;</v>
      </c>
      <c r="AP1896" s="89"/>
    </row>
    <row r="1897">
      <c r="A1897" s="151" t="str">
        <f>IFERROR(__xludf.DUMMYFUNCTION("""COMPUTED_VALUE"""),"BLN")</f>
        <v>BLN</v>
      </c>
      <c r="B1897" s="42" t="str">
        <f>IFERROR(__xludf.DUMMYFUNCTION("""COMPUTED_VALUE"""),"DHBA")</f>
        <v>DHBA</v>
      </c>
      <c r="C1897" s="42" t="str">
        <f>IFERROR(__xludf.DUMMYFUNCTION("""COMPUTED_VALUE"""),"basolateral nuclear group, BLA")</f>
        <v>basolateral nuclear group, BLA</v>
      </c>
      <c r="D1897" s="42">
        <f>IFERROR(__xludf.DUMMYFUNCTION("""COMPUTED_VALUE"""),1793.0)</f>
        <v>1793</v>
      </c>
      <c r="E1897" s="39" t="str">
        <f>IFERROR(__xludf.DUMMYFUNCTION("""COMPUTED_VALUE"""),"basolateral nuclear group")</f>
        <v>basolateral nuclear group</v>
      </c>
      <c r="F1897" s="9" t="str">
        <f>IFERROR(__xludf.DUMMYFUNCTION("""COMPUTED_VALUE"""),"Br")</f>
        <v>Br</v>
      </c>
      <c r="G1897" s="9" t="str">
        <f>IFERROR(__xludf.DUMMYFUNCTION("""COMPUTED_VALUE"""),"F")</f>
        <v>F</v>
      </c>
      <c r="H1897" s="9" t="str">
        <f>IFERROR(__xludf.DUMMYFUNCTION("""COMPUTED_VALUE"""),"FGM")</f>
        <v>FGM</v>
      </c>
      <c r="I1897" s="9" t="str">
        <f>IFERROR(__xludf.DUMMYFUNCTION("""COMPUTED_VALUE"""),"Tel")</f>
        <v>Tel</v>
      </c>
      <c r="J1897" s="9" t="str">
        <f>IFERROR(__xludf.DUMMYFUNCTION("""COMPUTED_VALUE"""),"CN")</f>
        <v>CN</v>
      </c>
      <c r="K1897" s="9" t="str">
        <f>IFERROR(__xludf.DUMMYFUNCTION("""COMPUTED_VALUE"""),"AMY")</f>
        <v>AMY</v>
      </c>
      <c r="L1897" s="9" t="str">
        <f>IFERROR(__xludf.DUMMYFUNCTION("""COMPUTED_VALUE"""),"BLN")</f>
        <v>BLN</v>
      </c>
      <c r="M1897" s="9"/>
      <c r="N1897" s="9"/>
      <c r="O1897" s="9"/>
      <c r="P1897" s="9"/>
      <c r="Q1897" s="9"/>
      <c r="R1897" s="9"/>
      <c r="S1897" s="42" t="str">
        <f>IFERROR(__xludf.DUMMYFUNCTION("""COMPUTED_VALUE"""),"La;
BL;
BM;
BV;
PL")</f>
        <v>La;
BL;
BM;
BV;
PL</v>
      </c>
      <c r="T1897" s="42"/>
      <c r="U1897" s="42" t="b">
        <f>IFERROR(__xludf.DUMMYFUNCTION("""COMPUTED_VALUE"""),FALSE)</f>
        <v>0</v>
      </c>
      <c r="V1897" s="42"/>
      <c r="W1897" s="42"/>
      <c r="X1897" s="42"/>
      <c r="Y1897" s="42"/>
      <c r="Z1897" s="42"/>
      <c r="AA1897" s="42"/>
      <c r="AB1897" s="42" t="str">
        <f>IFERROR(__xludf.DUMMYFUNCTION("""COMPUTED_VALUE"""),"allen institute")</f>
        <v>allen institute</v>
      </c>
      <c r="AC1897" s="42" t="str">
        <f>IFERROR(__xludf.DUMMYFUNCTION("""COMPUTED_VALUE"""),"DHBA")</f>
        <v>DHBA</v>
      </c>
      <c r="AD1897" s="42"/>
      <c r="AE1897" s="42"/>
      <c r="AF1897" s="9"/>
      <c r="AG1897" s="9"/>
      <c r="AH1897" s="42"/>
      <c r="AI1897" s="42"/>
      <c r="AJ1897" s="42"/>
      <c r="AK1897" s="42"/>
      <c r="AL1897" s="42"/>
      <c r="AM1897" s="42"/>
      <c r="AN1897" s="42"/>
      <c r="AO1897" s="63" t="str">
        <f>IFERROR(__xludf.DUMMYFUNCTION("IF(ISBLANK(A1897),,IF(ISBLANK(S1897), A1897&amp;"";"", TEXTJOIN(CHAR(10), TRUE, A1897&amp;"";"", ARRAYFORMULA(VLOOKUP(SPLIT(S1897, "";"" &amp; CHAR(10)), $A:$AO, 41, FALSE)))))"),"#N/A")</f>
        <v>#N/A</v>
      </c>
      <c r="AP1897" s="89"/>
    </row>
    <row r="1898">
      <c r="A1898" s="151" t="str">
        <f>IFERROR(__xludf.DUMMYFUNCTION("""COMPUTED_VALUE"""),"La")</f>
        <v>La</v>
      </c>
      <c r="B1898" s="42" t="str">
        <f>IFERROR(__xludf.DUMMYFUNCTION("""COMPUTED_VALUE"""),"DHBA")</f>
        <v>DHBA</v>
      </c>
      <c r="C1898" s="42" t="str">
        <f>IFERROR(__xludf.DUMMYFUNCTION("""COMPUTED_VALUE"""),"lateral nucleus, L")</f>
        <v>lateral nucleus, L</v>
      </c>
      <c r="D1898" s="42">
        <f>IFERROR(__xludf.DUMMYFUNCTION("""COMPUTED_VALUE"""),1794.0)</f>
        <v>1794</v>
      </c>
      <c r="E1898" s="39" t="str">
        <f>IFERROR(__xludf.DUMMYFUNCTION("""COMPUTED_VALUE"""),"lateral nucleus")</f>
        <v>lateral nucleus</v>
      </c>
      <c r="F1898" s="9" t="str">
        <f>IFERROR(__xludf.DUMMYFUNCTION("""COMPUTED_VALUE"""),"Br")</f>
        <v>Br</v>
      </c>
      <c r="G1898" s="9" t="str">
        <f>IFERROR(__xludf.DUMMYFUNCTION("""COMPUTED_VALUE"""),"F")</f>
        <v>F</v>
      </c>
      <c r="H1898" s="9" t="str">
        <f>IFERROR(__xludf.DUMMYFUNCTION("""COMPUTED_VALUE"""),"FGM")</f>
        <v>FGM</v>
      </c>
      <c r="I1898" s="9" t="str">
        <f>IFERROR(__xludf.DUMMYFUNCTION("""COMPUTED_VALUE"""),"Tel")</f>
        <v>Tel</v>
      </c>
      <c r="J1898" s="9" t="str">
        <f>IFERROR(__xludf.DUMMYFUNCTION("""COMPUTED_VALUE"""),"CN")</f>
        <v>CN</v>
      </c>
      <c r="K1898" s="9" t="str">
        <f>IFERROR(__xludf.DUMMYFUNCTION("""COMPUTED_VALUE"""),"AMY")</f>
        <v>AMY</v>
      </c>
      <c r="L1898" s="9" t="str">
        <f>IFERROR(__xludf.DUMMYFUNCTION("""COMPUTED_VALUE"""),"BLN")</f>
        <v>BLN</v>
      </c>
      <c r="M1898" s="9" t="str">
        <f>IFERROR(__xludf.DUMMYFUNCTION("""COMPUTED_VALUE"""),"La")</f>
        <v>La</v>
      </c>
      <c r="N1898" s="9"/>
      <c r="O1898" s="9"/>
      <c r="P1898" s="9"/>
      <c r="Q1898" s="9"/>
      <c r="R1898" s="9"/>
      <c r="S1898" s="42" t="str">
        <f>IFERROR(__xludf.DUMMYFUNCTION("""COMPUTED_VALUE"""),"LaD;
Lal;
LaV;
LaI")</f>
        <v>LaD;
Lal;
LaV;
LaI</v>
      </c>
      <c r="T1898" s="42"/>
      <c r="U1898" s="42" t="b">
        <f>IFERROR(__xludf.DUMMYFUNCTION("""COMPUTED_VALUE"""),FALSE)</f>
        <v>0</v>
      </c>
      <c r="V1898" s="42"/>
      <c r="W1898" s="42"/>
      <c r="X1898" s="42"/>
      <c r="Y1898" s="42"/>
      <c r="Z1898" s="42"/>
      <c r="AA1898" s="42"/>
      <c r="AB1898" s="42" t="str">
        <f>IFERROR(__xludf.DUMMYFUNCTION("""COMPUTED_VALUE"""),"allen institute")</f>
        <v>allen institute</v>
      </c>
      <c r="AC1898" s="42" t="str">
        <f>IFERROR(__xludf.DUMMYFUNCTION("""COMPUTED_VALUE"""),"DHBA")</f>
        <v>DHBA</v>
      </c>
      <c r="AD1898" s="42"/>
      <c r="AE1898" s="42"/>
      <c r="AF1898" s="9"/>
      <c r="AG1898" s="9"/>
      <c r="AH1898" s="42"/>
      <c r="AI1898" s="42"/>
      <c r="AJ1898" s="42"/>
      <c r="AK1898" s="42"/>
      <c r="AL1898" s="42"/>
      <c r="AM1898" s="42"/>
      <c r="AN1898" s="42"/>
      <c r="AO1898" s="63" t="str">
        <f>IFERROR(__xludf.DUMMYFUNCTION("IF(ISBLANK(A1898),,IF(ISBLANK(S1898), A1898&amp;"";"", TEXTJOIN(CHAR(10), TRUE, A1898&amp;"";"", ARRAYFORMULA(VLOOKUP(SPLIT(S1898, "";"" &amp; CHAR(10)), $A:$AO, 41, FALSE)))))"),"#N/A")</f>
        <v>#N/A</v>
      </c>
      <c r="AP1898" s="89"/>
    </row>
    <row r="1899">
      <c r="A1899" s="151" t="str">
        <f>IFERROR(__xludf.DUMMYFUNCTION("""COMPUTED_VALUE"""),"LaD")</f>
        <v>LaD</v>
      </c>
      <c r="B1899" s="42" t="str">
        <f>IFERROR(__xludf.DUMMYFUNCTION("""COMPUTED_VALUE"""),"DHBA")</f>
        <v>DHBA</v>
      </c>
      <c r="C1899" s="42" t="str">
        <f>IFERROR(__xludf.DUMMYFUNCTION("""COMPUTED_VALUE"""),"dorsal division of lateral nucleus")</f>
        <v>dorsal division of lateral nucleus</v>
      </c>
      <c r="D1899" s="42">
        <f>IFERROR(__xludf.DUMMYFUNCTION("""COMPUTED_VALUE"""),1795.0)</f>
        <v>1795</v>
      </c>
      <c r="E1899" s="39" t="str">
        <f>IFERROR(__xludf.DUMMYFUNCTION("""COMPUTED_VALUE"""),"dorsal division of lateral nucleus")</f>
        <v>dorsal division of lateral nucleus</v>
      </c>
      <c r="F1899" s="9" t="str">
        <f>IFERROR(__xludf.DUMMYFUNCTION("""COMPUTED_VALUE"""),"Br")</f>
        <v>Br</v>
      </c>
      <c r="G1899" s="9" t="str">
        <f>IFERROR(__xludf.DUMMYFUNCTION("""COMPUTED_VALUE"""),"F")</f>
        <v>F</v>
      </c>
      <c r="H1899" s="9" t="str">
        <f>IFERROR(__xludf.DUMMYFUNCTION("""COMPUTED_VALUE"""),"FGM")</f>
        <v>FGM</v>
      </c>
      <c r="I1899" s="9" t="str">
        <f>IFERROR(__xludf.DUMMYFUNCTION("""COMPUTED_VALUE"""),"Tel")</f>
        <v>Tel</v>
      </c>
      <c r="J1899" s="9" t="str">
        <f>IFERROR(__xludf.DUMMYFUNCTION("""COMPUTED_VALUE"""),"CN")</f>
        <v>CN</v>
      </c>
      <c r="K1899" s="9" t="str">
        <f>IFERROR(__xludf.DUMMYFUNCTION("""COMPUTED_VALUE"""),"AMY")</f>
        <v>AMY</v>
      </c>
      <c r="L1899" s="9" t="str">
        <f>IFERROR(__xludf.DUMMYFUNCTION("""COMPUTED_VALUE"""),"BLN")</f>
        <v>BLN</v>
      </c>
      <c r="M1899" s="9" t="str">
        <f>IFERROR(__xludf.DUMMYFUNCTION("""COMPUTED_VALUE"""),"La")</f>
        <v>La</v>
      </c>
      <c r="N1899" s="9" t="str">
        <f>IFERROR(__xludf.DUMMYFUNCTION("""COMPUTED_VALUE"""),"LaD")</f>
        <v>LaD</v>
      </c>
      <c r="O1899" s="9"/>
      <c r="P1899" s="9"/>
      <c r="Q1899" s="9"/>
      <c r="R1899" s="9"/>
      <c r="S1899" s="42" t="str">
        <f>IFERROR(__xludf.DUMMYFUNCTION("""COMPUTED_VALUE"""),"LaDr;
LaDl;
LaDm")</f>
        <v>LaDr;
LaDl;
LaDm</v>
      </c>
      <c r="T1899" s="42"/>
      <c r="U1899" s="42" t="b">
        <f>IFERROR(__xludf.DUMMYFUNCTION("""COMPUTED_VALUE"""),FALSE)</f>
        <v>0</v>
      </c>
      <c r="V1899" s="42"/>
      <c r="W1899" s="42"/>
      <c r="X1899" s="42"/>
      <c r="Y1899" s="42"/>
      <c r="Z1899" s="42"/>
      <c r="AA1899" s="42"/>
      <c r="AB1899" s="42" t="str">
        <f>IFERROR(__xludf.DUMMYFUNCTION("""COMPUTED_VALUE"""),"allen institute")</f>
        <v>allen institute</v>
      </c>
      <c r="AC1899" s="42" t="str">
        <f>IFERROR(__xludf.DUMMYFUNCTION("""COMPUTED_VALUE"""),"DHBA")</f>
        <v>DHBA</v>
      </c>
      <c r="AD1899" s="42"/>
      <c r="AE1899" s="42"/>
      <c r="AF1899" s="9"/>
      <c r="AG1899" s="9"/>
      <c r="AH1899" s="42"/>
      <c r="AI1899" s="42"/>
      <c r="AJ1899" s="42"/>
      <c r="AK1899" s="42"/>
      <c r="AL1899" s="42"/>
      <c r="AM1899" s="42"/>
      <c r="AN1899" s="42"/>
      <c r="AO1899" s="63" t="str">
        <f>IFERROR(__xludf.DUMMYFUNCTION("IF(ISBLANK(A1899),,IF(ISBLANK(S1899), A1899&amp;"";"", TEXTJOIN(CHAR(10), TRUE, A1899&amp;"";"", ARRAYFORMULA(VLOOKUP(SPLIT(S1899, "";"" &amp; CHAR(10)), $A:$AO, 41, FALSE)))))"),"LaD;
LaDr;
LaDl;
LaCom;
LaDm;")</f>
        <v>LaD;
LaDr;
LaDl;
LaCom;
LaDm;</v>
      </c>
      <c r="AP1899" s="89"/>
    </row>
    <row r="1900">
      <c r="A1900" s="151" t="str">
        <f>IFERROR(__xludf.DUMMYFUNCTION("""COMPUTED_VALUE"""),"LaDr")</f>
        <v>LaDr</v>
      </c>
      <c r="B1900" s="42" t="str">
        <f>IFERROR(__xludf.DUMMYFUNCTION("""COMPUTED_VALUE"""),"DHBA")</f>
        <v>DHBA</v>
      </c>
      <c r="C1900" s="42" t="str">
        <f>IFERROR(__xludf.DUMMYFUNCTION("""COMPUTED_VALUE"""),"dorsal rostral subdivision of lateral nucleus")</f>
        <v>dorsal rostral subdivision of lateral nucleus</v>
      </c>
      <c r="D1900" s="42">
        <f>IFERROR(__xludf.DUMMYFUNCTION("""COMPUTED_VALUE"""),1796.0)</f>
        <v>1796</v>
      </c>
      <c r="E1900" s="39" t="str">
        <f>IFERROR(__xludf.DUMMYFUNCTION("""COMPUTED_VALUE"""),"dorsal rostral subdivision of lateral nucleus")</f>
        <v>dorsal rostral subdivision of lateral nucleus</v>
      </c>
      <c r="F1900" s="9" t="str">
        <f>IFERROR(__xludf.DUMMYFUNCTION("""COMPUTED_VALUE"""),"Br")</f>
        <v>Br</v>
      </c>
      <c r="G1900" s="9" t="str">
        <f>IFERROR(__xludf.DUMMYFUNCTION("""COMPUTED_VALUE"""),"F")</f>
        <v>F</v>
      </c>
      <c r="H1900" s="9" t="str">
        <f>IFERROR(__xludf.DUMMYFUNCTION("""COMPUTED_VALUE"""),"FGM")</f>
        <v>FGM</v>
      </c>
      <c r="I1900" s="9" t="str">
        <f>IFERROR(__xludf.DUMMYFUNCTION("""COMPUTED_VALUE"""),"Tel")</f>
        <v>Tel</v>
      </c>
      <c r="J1900" s="9" t="str">
        <f>IFERROR(__xludf.DUMMYFUNCTION("""COMPUTED_VALUE"""),"CN")</f>
        <v>CN</v>
      </c>
      <c r="K1900" s="9" t="str">
        <f>IFERROR(__xludf.DUMMYFUNCTION("""COMPUTED_VALUE"""),"AMY")</f>
        <v>AMY</v>
      </c>
      <c r="L1900" s="9" t="str">
        <f>IFERROR(__xludf.DUMMYFUNCTION("""COMPUTED_VALUE"""),"BLN")</f>
        <v>BLN</v>
      </c>
      <c r="M1900" s="9" t="str">
        <f>IFERROR(__xludf.DUMMYFUNCTION("""COMPUTED_VALUE"""),"La")</f>
        <v>La</v>
      </c>
      <c r="N1900" s="9" t="str">
        <f>IFERROR(__xludf.DUMMYFUNCTION("""COMPUTED_VALUE"""),"LaD")</f>
        <v>LaD</v>
      </c>
      <c r="O1900" s="9" t="str">
        <f>IFERROR(__xludf.DUMMYFUNCTION("""COMPUTED_VALUE"""),"LaDr")</f>
        <v>LaDr</v>
      </c>
      <c r="P1900" s="9"/>
      <c r="Q1900" s="9"/>
      <c r="R1900" s="9"/>
      <c r="S1900" s="42"/>
      <c r="T1900" s="42"/>
      <c r="U1900" s="42"/>
      <c r="V1900" s="42"/>
      <c r="W1900" s="42"/>
      <c r="X1900" s="42"/>
      <c r="Y1900" s="42"/>
      <c r="Z1900" s="42"/>
      <c r="AA1900" s="42"/>
      <c r="AB1900" s="42" t="str">
        <f>IFERROR(__xludf.DUMMYFUNCTION("""COMPUTED_VALUE"""),"allen institute")</f>
        <v>allen institute</v>
      </c>
      <c r="AC1900" s="42" t="str">
        <f>IFERROR(__xludf.DUMMYFUNCTION("""COMPUTED_VALUE"""),"DHBA")</f>
        <v>DHBA</v>
      </c>
      <c r="AD1900" s="42"/>
      <c r="AE1900" s="42"/>
      <c r="AF1900" s="9"/>
      <c r="AG1900" s="9"/>
      <c r="AH1900" s="42"/>
      <c r="AI1900" s="42"/>
      <c r="AJ1900" s="42"/>
      <c r="AK1900" s="42"/>
      <c r="AL1900" s="42"/>
      <c r="AM1900" s="42"/>
      <c r="AN1900" s="42"/>
      <c r="AO1900" s="63" t="str">
        <f>IFERROR(__xludf.DUMMYFUNCTION("IF(ISBLANK(A1900),,IF(ISBLANK(S1900), A1900&amp;"";"", TEXTJOIN(CHAR(10), TRUE, A1900&amp;"";"", ARRAYFORMULA(VLOOKUP(SPLIT(S1900, "";"" &amp; CHAR(10)), $A:$AO, 41, FALSE)))))"),"LaDr;")</f>
        <v>LaDr;</v>
      </c>
      <c r="AP1900" s="89"/>
    </row>
    <row r="1901">
      <c r="A1901" s="151" t="str">
        <f>IFERROR(__xludf.DUMMYFUNCTION("""COMPUTED_VALUE"""),"LaDl")</f>
        <v>LaDl</v>
      </c>
      <c r="B1901" s="42" t="str">
        <f>IFERROR(__xludf.DUMMYFUNCTION("""COMPUTED_VALUE"""),"DHBA")</f>
        <v>DHBA</v>
      </c>
      <c r="C1901" s="42" t="str">
        <f>IFERROR(__xludf.DUMMYFUNCTION("""COMPUTED_VALUE"""),"dorsal lateral subdivision of lateral nucleus")</f>
        <v>dorsal lateral subdivision of lateral nucleus</v>
      </c>
      <c r="D1901" s="42">
        <f>IFERROR(__xludf.DUMMYFUNCTION("""COMPUTED_VALUE"""),1797.0)</f>
        <v>1797</v>
      </c>
      <c r="E1901" s="39" t="str">
        <f>IFERROR(__xludf.DUMMYFUNCTION("""COMPUTED_VALUE"""),"dorsal lateral subdivision of lateral nucleus")</f>
        <v>dorsal lateral subdivision of lateral nucleus</v>
      </c>
      <c r="F1901" s="9" t="str">
        <f>IFERROR(__xludf.DUMMYFUNCTION("""COMPUTED_VALUE"""),"Br")</f>
        <v>Br</v>
      </c>
      <c r="G1901" s="9" t="str">
        <f>IFERROR(__xludf.DUMMYFUNCTION("""COMPUTED_VALUE"""),"F")</f>
        <v>F</v>
      </c>
      <c r="H1901" s="9" t="str">
        <f>IFERROR(__xludf.DUMMYFUNCTION("""COMPUTED_VALUE"""),"FGM")</f>
        <v>FGM</v>
      </c>
      <c r="I1901" s="9" t="str">
        <f>IFERROR(__xludf.DUMMYFUNCTION("""COMPUTED_VALUE"""),"Tel")</f>
        <v>Tel</v>
      </c>
      <c r="J1901" s="9" t="str">
        <f>IFERROR(__xludf.DUMMYFUNCTION("""COMPUTED_VALUE"""),"CN")</f>
        <v>CN</v>
      </c>
      <c r="K1901" s="9" t="str">
        <f>IFERROR(__xludf.DUMMYFUNCTION("""COMPUTED_VALUE"""),"AMY")</f>
        <v>AMY</v>
      </c>
      <c r="L1901" s="9" t="str">
        <f>IFERROR(__xludf.DUMMYFUNCTION("""COMPUTED_VALUE"""),"BLN")</f>
        <v>BLN</v>
      </c>
      <c r="M1901" s="9" t="str">
        <f>IFERROR(__xludf.DUMMYFUNCTION("""COMPUTED_VALUE"""),"La")</f>
        <v>La</v>
      </c>
      <c r="N1901" s="9" t="str">
        <f>IFERROR(__xludf.DUMMYFUNCTION("""COMPUTED_VALUE"""),"LaD")</f>
        <v>LaD</v>
      </c>
      <c r="O1901" s="9" t="str">
        <f>IFERROR(__xludf.DUMMYFUNCTION("""COMPUTED_VALUE"""),"LaDl")</f>
        <v>LaDl</v>
      </c>
      <c r="P1901" s="9"/>
      <c r="Q1901" s="9"/>
      <c r="R1901" s="9"/>
      <c r="S1901" s="42" t="str">
        <f>IFERROR(__xludf.DUMMYFUNCTION("""COMPUTED_VALUE"""),"LaCom")</f>
        <v>LaCom</v>
      </c>
      <c r="T1901" s="42"/>
      <c r="U1901" s="42" t="b">
        <f>IFERROR(__xludf.DUMMYFUNCTION("""COMPUTED_VALUE"""),FALSE)</f>
        <v>0</v>
      </c>
      <c r="V1901" s="42"/>
      <c r="W1901" s="42"/>
      <c r="X1901" s="42"/>
      <c r="Y1901" s="42"/>
      <c r="Z1901" s="42"/>
      <c r="AA1901" s="42"/>
      <c r="AB1901" s="42" t="str">
        <f>IFERROR(__xludf.DUMMYFUNCTION("""COMPUTED_VALUE"""),"allen institute")</f>
        <v>allen institute</v>
      </c>
      <c r="AC1901" s="42" t="str">
        <f>IFERROR(__xludf.DUMMYFUNCTION("""COMPUTED_VALUE"""),"DHBA")</f>
        <v>DHBA</v>
      </c>
      <c r="AD1901" s="42"/>
      <c r="AE1901" s="42"/>
      <c r="AF1901" s="9"/>
      <c r="AG1901" s="9"/>
      <c r="AH1901" s="42"/>
      <c r="AI1901" s="42"/>
      <c r="AJ1901" s="42"/>
      <c r="AK1901" s="42"/>
      <c r="AL1901" s="42"/>
      <c r="AM1901" s="42"/>
      <c r="AN1901" s="42"/>
      <c r="AO1901" s="63" t="str">
        <f>IFERROR(__xludf.DUMMYFUNCTION("IF(ISBLANK(A1901),,IF(ISBLANK(S1901), A1901&amp;"";"", TEXTJOIN(CHAR(10), TRUE, A1901&amp;"";"", ARRAYFORMULA(VLOOKUP(SPLIT(S1901, "";"" &amp; CHAR(10)), $A:$AO, 41, FALSE)))))"),"LaDl;
LaCom;")</f>
        <v>LaDl;
LaCom;</v>
      </c>
      <c r="AP1901" s="89"/>
    </row>
    <row r="1902">
      <c r="A1902" s="151" t="str">
        <f>IFERROR(__xludf.DUMMYFUNCTION("""COMPUTED_VALUE"""),"LaCom")</f>
        <v>LaCom</v>
      </c>
      <c r="B1902" s="42" t="str">
        <f>IFERROR(__xludf.DUMMYFUNCTION("""COMPUTED_VALUE"""),"DHBA")</f>
        <v>DHBA</v>
      </c>
      <c r="C1902" s="42" t="str">
        <f>IFERROR(__xludf.DUMMYFUNCTION("""COMPUTED_VALUE"""),"comb-like part of lateral LaDl")</f>
        <v>comb-like part of lateral LaDl</v>
      </c>
      <c r="D1902" s="42">
        <f>IFERROR(__xludf.DUMMYFUNCTION("""COMPUTED_VALUE"""),1798.0)</f>
        <v>1798</v>
      </c>
      <c r="E1902" s="39" t="str">
        <f>IFERROR(__xludf.DUMMYFUNCTION("""COMPUTED_VALUE"""),"comb-like part of LaDl")</f>
        <v>comb-like part of LaDl</v>
      </c>
      <c r="F1902" s="9" t="str">
        <f>IFERROR(__xludf.DUMMYFUNCTION("""COMPUTED_VALUE"""),"Br")</f>
        <v>Br</v>
      </c>
      <c r="G1902" s="9" t="str">
        <f>IFERROR(__xludf.DUMMYFUNCTION("""COMPUTED_VALUE"""),"F")</f>
        <v>F</v>
      </c>
      <c r="H1902" s="9" t="str">
        <f>IFERROR(__xludf.DUMMYFUNCTION("""COMPUTED_VALUE"""),"FGM")</f>
        <v>FGM</v>
      </c>
      <c r="I1902" s="9" t="str">
        <f>IFERROR(__xludf.DUMMYFUNCTION("""COMPUTED_VALUE"""),"Tel")</f>
        <v>Tel</v>
      </c>
      <c r="J1902" s="9" t="str">
        <f>IFERROR(__xludf.DUMMYFUNCTION("""COMPUTED_VALUE"""),"CN")</f>
        <v>CN</v>
      </c>
      <c r="K1902" s="9" t="str">
        <f>IFERROR(__xludf.DUMMYFUNCTION("""COMPUTED_VALUE"""),"AMY")</f>
        <v>AMY</v>
      </c>
      <c r="L1902" s="9" t="str">
        <f>IFERROR(__xludf.DUMMYFUNCTION("""COMPUTED_VALUE"""),"BLN")</f>
        <v>BLN</v>
      </c>
      <c r="M1902" s="9" t="str">
        <f>IFERROR(__xludf.DUMMYFUNCTION("""COMPUTED_VALUE"""),"La")</f>
        <v>La</v>
      </c>
      <c r="N1902" s="9" t="str">
        <f>IFERROR(__xludf.DUMMYFUNCTION("""COMPUTED_VALUE"""),"LaD")</f>
        <v>LaD</v>
      </c>
      <c r="O1902" s="9" t="str">
        <f>IFERROR(__xludf.DUMMYFUNCTION("""COMPUTED_VALUE"""),"LaDl")</f>
        <v>LaDl</v>
      </c>
      <c r="P1902" s="9" t="str">
        <f>IFERROR(__xludf.DUMMYFUNCTION("""COMPUTED_VALUE"""),"LaCom")</f>
        <v>LaCom</v>
      </c>
      <c r="Q1902" s="9"/>
      <c r="R1902" s="9"/>
      <c r="S1902" s="42"/>
      <c r="T1902" s="42"/>
      <c r="U1902" s="42"/>
      <c r="V1902" s="42"/>
      <c r="W1902" s="42"/>
      <c r="X1902" s="42"/>
      <c r="Y1902" s="42"/>
      <c r="Z1902" s="42"/>
      <c r="AA1902" s="42"/>
      <c r="AB1902" s="42" t="str">
        <f>IFERROR(__xludf.DUMMYFUNCTION("""COMPUTED_VALUE"""),"allen institute")</f>
        <v>allen institute</v>
      </c>
      <c r="AC1902" s="42" t="str">
        <f>IFERROR(__xludf.DUMMYFUNCTION("""COMPUTED_VALUE"""),"DHBA")</f>
        <v>DHBA</v>
      </c>
      <c r="AD1902" s="42"/>
      <c r="AE1902" s="42"/>
      <c r="AF1902" s="9"/>
      <c r="AG1902" s="9"/>
      <c r="AH1902" s="42"/>
      <c r="AI1902" s="42"/>
      <c r="AJ1902" s="42"/>
      <c r="AK1902" s="42"/>
      <c r="AL1902" s="42"/>
      <c r="AM1902" s="42"/>
      <c r="AN1902" s="42"/>
      <c r="AO1902" s="63" t="str">
        <f>IFERROR(__xludf.DUMMYFUNCTION("IF(ISBLANK(A1902),,IF(ISBLANK(S1902), A1902&amp;"";"", TEXTJOIN(CHAR(10), TRUE, A1902&amp;"";"", ARRAYFORMULA(VLOOKUP(SPLIT(S1902, "";"" &amp; CHAR(10)), $A:$AO, 41, FALSE)))))"),"LaCom;")</f>
        <v>LaCom;</v>
      </c>
      <c r="AP1902" s="89"/>
    </row>
    <row r="1903">
      <c r="A1903" s="151" t="str">
        <f>IFERROR(__xludf.DUMMYFUNCTION("""COMPUTED_VALUE"""),"LaDm")</f>
        <v>LaDm</v>
      </c>
      <c r="B1903" s="42" t="str">
        <f>IFERROR(__xludf.DUMMYFUNCTION("""COMPUTED_VALUE"""),"DHBA")</f>
        <v>DHBA</v>
      </c>
      <c r="C1903" s="42" t="str">
        <f>IFERROR(__xludf.DUMMYFUNCTION("""COMPUTED_VALUE"""),"dorsal medial subdivision of lateral nucleus")</f>
        <v>dorsal medial subdivision of lateral nucleus</v>
      </c>
      <c r="D1903" s="42">
        <f>IFERROR(__xludf.DUMMYFUNCTION("""COMPUTED_VALUE"""),1799.0)</f>
        <v>1799</v>
      </c>
      <c r="E1903" s="39" t="str">
        <f>IFERROR(__xludf.DUMMYFUNCTION("""COMPUTED_VALUE"""),"dorsal medial subdivision of lateral nucleus")</f>
        <v>dorsal medial subdivision of lateral nucleus</v>
      </c>
      <c r="F1903" s="9" t="str">
        <f>IFERROR(__xludf.DUMMYFUNCTION("""COMPUTED_VALUE"""),"Br")</f>
        <v>Br</v>
      </c>
      <c r="G1903" s="9" t="str">
        <f>IFERROR(__xludf.DUMMYFUNCTION("""COMPUTED_VALUE"""),"F")</f>
        <v>F</v>
      </c>
      <c r="H1903" s="9" t="str">
        <f>IFERROR(__xludf.DUMMYFUNCTION("""COMPUTED_VALUE"""),"FGM")</f>
        <v>FGM</v>
      </c>
      <c r="I1903" s="9" t="str">
        <f>IFERROR(__xludf.DUMMYFUNCTION("""COMPUTED_VALUE"""),"Tel")</f>
        <v>Tel</v>
      </c>
      <c r="J1903" s="9" t="str">
        <f>IFERROR(__xludf.DUMMYFUNCTION("""COMPUTED_VALUE"""),"CN")</f>
        <v>CN</v>
      </c>
      <c r="K1903" s="9" t="str">
        <f>IFERROR(__xludf.DUMMYFUNCTION("""COMPUTED_VALUE"""),"AMY")</f>
        <v>AMY</v>
      </c>
      <c r="L1903" s="9" t="str">
        <f>IFERROR(__xludf.DUMMYFUNCTION("""COMPUTED_VALUE"""),"BLN")</f>
        <v>BLN</v>
      </c>
      <c r="M1903" s="9" t="str">
        <f>IFERROR(__xludf.DUMMYFUNCTION("""COMPUTED_VALUE"""),"La")</f>
        <v>La</v>
      </c>
      <c r="N1903" s="9" t="str">
        <f>IFERROR(__xludf.DUMMYFUNCTION("""COMPUTED_VALUE"""),"LaD")</f>
        <v>LaD</v>
      </c>
      <c r="O1903" s="9" t="str">
        <f>IFERROR(__xludf.DUMMYFUNCTION("""COMPUTED_VALUE"""),"LaDm")</f>
        <v>LaDm</v>
      </c>
      <c r="P1903" s="9"/>
      <c r="Q1903" s="9"/>
      <c r="R1903" s="9"/>
      <c r="S1903" s="42"/>
      <c r="T1903" s="42"/>
      <c r="U1903" s="42"/>
      <c r="V1903" s="42"/>
      <c r="W1903" s="42"/>
      <c r="X1903" s="42"/>
      <c r="Y1903" s="42"/>
      <c r="Z1903" s="42"/>
      <c r="AA1903" s="42"/>
      <c r="AB1903" s="42" t="str">
        <f>IFERROR(__xludf.DUMMYFUNCTION("""COMPUTED_VALUE"""),"allen institute")</f>
        <v>allen institute</v>
      </c>
      <c r="AC1903" s="42" t="str">
        <f>IFERROR(__xludf.DUMMYFUNCTION("""COMPUTED_VALUE"""),"DHBA")</f>
        <v>DHBA</v>
      </c>
      <c r="AD1903" s="42"/>
      <c r="AE1903" s="42"/>
      <c r="AF1903" s="9"/>
      <c r="AG1903" s="9"/>
      <c r="AH1903" s="42"/>
      <c r="AI1903" s="42"/>
      <c r="AJ1903" s="42"/>
      <c r="AK1903" s="42"/>
      <c r="AL1903" s="42"/>
      <c r="AM1903" s="42"/>
      <c r="AN1903" s="42"/>
      <c r="AO1903" s="63" t="str">
        <f>IFERROR(__xludf.DUMMYFUNCTION("IF(ISBLANK(A1903),,IF(ISBLANK(S1903), A1903&amp;"";"", TEXTJOIN(CHAR(10), TRUE, A1903&amp;"";"", ARRAYFORMULA(VLOOKUP(SPLIT(S1903, "";"" &amp; CHAR(10)), $A:$AO, 41, FALSE)))))"),"LaDm;")</f>
        <v>LaDm;</v>
      </c>
      <c r="AP1903" s="89"/>
    </row>
    <row r="1904">
      <c r="A1904" s="151" t="str">
        <f>IFERROR(__xludf.DUMMYFUNCTION("""COMPUTED_VALUE"""),"LaI")</f>
        <v>LaI</v>
      </c>
      <c r="B1904" s="42" t="str">
        <f>IFERROR(__xludf.DUMMYFUNCTION("""COMPUTED_VALUE"""),"DHBA")</f>
        <v>DHBA</v>
      </c>
      <c r="C1904" s="42" t="str">
        <f>IFERROR(__xludf.DUMMYFUNCTION("""COMPUTED_VALUE"""),"intermediate division of lateral nucleus")</f>
        <v>intermediate division of lateral nucleus</v>
      </c>
      <c r="D1904" s="42">
        <f>IFERROR(__xludf.DUMMYFUNCTION("""COMPUTED_VALUE"""),1800.0)</f>
        <v>1800</v>
      </c>
      <c r="E1904" s="39" t="str">
        <f>IFERROR(__xludf.DUMMYFUNCTION("""COMPUTED_VALUE"""),"intermediate division of lateral nucleus")</f>
        <v>intermediate division of lateral nucleus</v>
      </c>
      <c r="F1904" s="9" t="str">
        <f>IFERROR(__xludf.DUMMYFUNCTION("""COMPUTED_VALUE"""),"Br")</f>
        <v>Br</v>
      </c>
      <c r="G1904" s="9" t="str">
        <f>IFERROR(__xludf.DUMMYFUNCTION("""COMPUTED_VALUE"""),"F")</f>
        <v>F</v>
      </c>
      <c r="H1904" s="9" t="str">
        <f>IFERROR(__xludf.DUMMYFUNCTION("""COMPUTED_VALUE"""),"FGM")</f>
        <v>FGM</v>
      </c>
      <c r="I1904" s="9" t="str">
        <f>IFERROR(__xludf.DUMMYFUNCTION("""COMPUTED_VALUE"""),"Tel")</f>
        <v>Tel</v>
      </c>
      <c r="J1904" s="9" t="str">
        <f>IFERROR(__xludf.DUMMYFUNCTION("""COMPUTED_VALUE"""),"CN")</f>
        <v>CN</v>
      </c>
      <c r="K1904" s="9" t="str">
        <f>IFERROR(__xludf.DUMMYFUNCTION("""COMPUTED_VALUE"""),"AMY")</f>
        <v>AMY</v>
      </c>
      <c r="L1904" s="9" t="str">
        <f>IFERROR(__xludf.DUMMYFUNCTION("""COMPUTED_VALUE"""),"BLN")</f>
        <v>BLN</v>
      </c>
      <c r="M1904" s="9" t="str">
        <f>IFERROR(__xludf.DUMMYFUNCTION("""COMPUTED_VALUE"""),"La")</f>
        <v>La</v>
      </c>
      <c r="N1904" s="9" t="str">
        <f>IFERROR(__xludf.DUMMYFUNCTION("""COMPUTED_VALUE"""),"LaI")</f>
        <v>LaI</v>
      </c>
      <c r="O1904" s="9"/>
      <c r="P1904" s="9"/>
      <c r="Q1904" s="9"/>
      <c r="R1904" s="9"/>
      <c r="S1904" s="42"/>
      <c r="T1904" s="42"/>
      <c r="U1904" s="42"/>
      <c r="V1904" s="42"/>
      <c r="W1904" s="42"/>
      <c r="X1904" s="42"/>
      <c r="Y1904" s="42"/>
      <c r="Z1904" s="42"/>
      <c r="AA1904" s="42"/>
      <c r="AB1904" s="42" t="str">
        <f>IFERROR(__xludf.DUMMYFUNCTION("""COMPUTED_VALUE"""),"allen institute")</f>
        <v>allen institute</v>
      </c>
      <c r="AC1904" s="42" t="str">
        <f>IFERROR(__xludf.DUMMYFUNCTION("""COMPUTED_VALUE"""),"DHBA")</f>
        <v>DHBA</v>
      </c>
      <c r="AD1904" s="42"/>
      <c r="AE1904" s="42"/>
      <c r="AF1904" s="9"/>
      <c r="AG1904" s="9"/>
      <c r="AH1904" s="42"/>
      <c r="AI1904" s="42"/>
      <c r="AJ1904" s="42"/>
      <c r="AK1904" s="42"/>
      <c r="AL1904" s="42"/>
      <c r="AM1904" s="42"/>
      <c r="AN1904" s="42"/>
      <c r="AO1904" s="63" t="str">
        <f>IFERROR(__xludf.DUMMYFUNCTION("IF(ISBLANK(A1904),,IF(ISBLANK(S1904), A1904&amp;"";"", TEXTJOIN(CHAR(10), TRUE, A1904&amp;"";"", ARRAYFORMULA(VLOOKUP(SPLIT(S1904, "";"" &amp; CHAR(10)), $A:$AO, 41, FALSE)))))"),"LaI;")</f>
        <v>LaI;</v>
      </c>
      <c r="AP1904" s="89"/>
    </row>
    <row r="1905">
      <c r="A1905" s="151" t="str">
        <f>IFERROR(__xludf.DUMMYFUNCTION("""COMPUTED_VALUE"""),"LaV")</f>
        <v>LaV</v>
      </c>
      <c r="B1905" s="42" t="str">
        <f>IFERROR(__xludf.DUMMYFUNCTION("""COMPUTED_VALUE"""),"DHBA")</f>
        <v>DHBA</v>
      </c>
      <c r="C1905" s="42" t="str">
        <f>IFERROR(__xludf.DUMMYFUNCTION("""COMPUTED_VALUE"""),"ventral division of lateral nucleus")</f>
        <v>ventral division of lateral nucleus</v>
      </c>
      <c r="D1905" s="42">
        <f>IFERROR(__xludf.DUMMYFUNCTION("""COMPUTED_VALUE"""),1801.0)</f>
        <v>1801</v>
      </c>
      <c r="E1905" s="39" t="str">
        <f>IFERROR(__xludf.DUMMYFUNCTION("""COMPUTED_VALUE"""),"ventral division of lateral nucleus")</f>
        <v>ventral division of lateral nucleus</v>
      </c>
      <c r="F1905" s="9" t="str">
        <f>IFERROR(__xludf.DUMMYFUNCTION("""COMPUTED_VALUE"""),"Br")</f>
        <v>Br</v>
      </c>
      <c r="G1905" s="9" t="str">
        <f>IFERROR(__xludf.DUMMYFUNCTION("""COMPUTED_VALUE"""),"F")</f>
        <v>F</v>
      </c>
      <c r="H1905" s="9" t="str">
        <f>IFERROR(__xludf.DUMMYFUNCTION("""COMPUTED_VALUE"""),"FGM")</f>
        <v>FGM</v>
      </c>
      <c r="I1905" s="9" t="str">
        <f>IFERROR(__xludf.DUMMYFUNCTION("""COMPUTED_VALUE"""),"Tel")</f>
        <v>Tel</v>
      </c>
      <c r="J1905" s="9" t="str">
        <f>IFERROR(__xludf.DUMMYFUNCTION("""COMPUTED_VALUE"""),"CN")</f>
        <v>CN</v>
      </c>
      <c r="K1905" s="9" t="str">
        <f>IFERROR(__xludf.DUMMYFUNCTION("""COMPUTED_VALUE"""),"AMY")</f>
        <v>AMY</v>
      </c>
      <c r="L1905" s="9" t="str">
        <f>IFERROR(__xludf.DUMMYFUNCTION("""COMPUTED_VALUE"""),"BLN")</f>
        <v>BLN</v>
      </c>
      <c r="M1905" s="9" t="str">
        <f>IFERROR(__xludf.DUMMYFUNCTION("""COMPUTED_VALUE"""),"La")</f>
        <v>La</v>
      </c>
      <c r="N1905" s="9" t="str">
        <f>IFERROR(__xludf.DUMMYFUNCTION("""COMPUTED_VALUE"""),"LaV")</f>
        <v>LaV</v>
      </c>
      <c r="O1905" s="9"/>
      <c r="P1905" s="9"/>
      <c r="Q1905" s="9"/>
      <c r="R1905" s="9"/>
      <c r="S1905" s="42" t="str">
        <f>IFERROR(__xludf.DUMMYFUNCTION("""COMPUTED_VALUE"""),"LaVl;
LaVm;
LaVglo")</f>
        <v>LaVl;
LaVm;
LaVglo</v>
      </c>
      <c r="T1905" s="42"/>
      <c r="U1905" s="42" t="b">
        <f>IFERROR(__xludf.DUMMYFUNCTION("""COMPUTED_VALUE"""),FALSE)</f>
        <v>0</v>
      </c>
      <c r="V1905" s="42"/>
      <c r="W1905" s="42"/>
      <c r="X1905" s="42"/>
      <c r="Y1905" s="42"/>
      <c r="Z1905" s="42"/>
      <c r="AA1905" s="42"/>
      <c r="AB1905" s="42" t="str">
        <f>IFERROR(__xludf.DUMMYFUNCTION("""COMPUTED_VALUE"""),"allen institute")</f>
        <v>allen institute</v>
      </c>
      <c r="AC1905" s="42" t="str">
        <f>IFERROR(__xludf.DUMMYFUNCTION("""COMPUTED_VALUE"""),"DHBA")</f>
        <v>DHBA</v>
      </c>
      <c r="AD1905" s="42"/>
      <c r="AE1905" s="42"/>
      <c r="AF1905" s="9"/>
      <c r="AG1905" s="9"/>
      <c r="AH1905" s="42"/>
      <c r="AI1905" s="42"/>
      <c r="AJ1905" s="42"/>
      <c r="AK1905" s="42"/>
      <c r="AL1905" s="42"/>
      <c r="AM1905" s="42"/>
      <c r="AN1905" s="42"/>
      <c r="AO1905" s="63" t="str">
        <f>IFERROR(__xludf.DUMMYFUNCTION("IF(ISBLANK(A1905),,IF(ISBLANK(S1905), A1905&amp;"";"", TEXTJOIN(CHAR(10), TRUE, A1905&amp;"";"", ARRAYFORMULA(VLOOKUP(SPLIT(S1905, "";"" &amp; CHAR(10)), $A:$AO, 41, FALSE)))))"),"LaV;
LaVl;
LaVm;
LaVglo;")</f>
        <v>LaV;
LaVl;
LaVm;
LaVglo;</v>
      </c>
      <c r="AP1905" s="89"/>
    </row>
    <row r="1906">
      <c r="A1906" s="151" t="str">
        <f>IFERROR(__xludf.DUMMYFUNCTION("""COMPUTED_VALUE"""),"LaVl")</f>
        <v>LaVl</v>
      </c>
      <c r="B1906" s="42" t="str">
        <f>IFERROR(__xludf.DUMMYFUNCTION("""COMPUTED_VALUE"""),"DHBA")</f>
        <v>DHBA</v>
      </c>
      <c r="C1906" s="42" t="str">
        <f>IFERROR(__xludf.DUMMYFUNCTION("""COMPUTED_VALUE"""),"ventral lateral subdivision of lateral nucleus")</f>
        <v>ventral lateral subdivision of lateral nucleus</v>
      </c>
      <c r="D1906" s="42">
        <f>IFERROR(__xludf.DUMMYFUNCTION("""COMPUTED_VALUE"""),1802.0)</f>
        <v>1802</v>
      </c>
      <c r="E1906" s="39" t="str">
        <f>IFERROR(__xludf.DUMMYFUNCTION("""COMPUTED_VALUE"""),"ventral lateral subdivision of lateral nucleus")</f>
        <v>ventral lateral subdivision of lateral nucleus</v>
      </c>
      <c r="F1906" s="9" t="str">
        <f>IFERROR(__xludf.DUMMYFUNCTION("""COMPUTED_VALUE"""),"Br")</f>
        <v>Br</v>
      </c>
      <c r="G1906" s="9" t="str">
        <f>IFERROR(__xludf.DUMMYFUNCTION("""COMPUTED_VALUE"""),"F")</f>
        <v>F</v>
      </c>
      <c r="H1906" s="9" t="str">
        <f>IFERROR(__xludf.DUMMYFUNCTION("""COMPUTED_VALUE"""),"FGM")</f>
        <v>FGM</v>
      </c>
      <c r="I1906" s="9" t="str">
        <f>IFERROR(__xludf.DUMMYFUNCTION("""COMPUTED_VALUE"""),"Tel")</f>
        <v>Tel</v>
      </c>
      <c r="J1906" s="9" t="str">
        <f>IFERROR(__xludf.DUMMYFUNCTION("""COMPUTED_VALUE"""),"CN")</f>
        <v>CN</v>
      </c>
      <c r="K1906" s="9" t="str">
        <f>IFERROR(__xludf.DUMMYFUNCTION("""COMPUTED_VALUE"""),"AMY")</f>
        <v>AMY</v>
      </c>
      <c r="L1906" s="9" t="str">
        <f>IFERROR(__xludf.DUMMYFUNCTION("""COMPUTED_VALUE"""),"BLN")</f>
        <v>BLN</v>
      </c>
      <c r="M1906" s="9" t="str">
        <f>IFERROR(__xludf.DUMMYFUNCTION("""COMPUTED_VALUE"""),"La")</f>
        <v>La</v>
      </c>
      <c r="N1906" s="9" t="str">
        <f>IFERROR(__xludf.DUMMYFUNCTION("""COMPUTED_VALUE"""),"LaV")</f>
        <v>LaV</v>
      </c>
      <c r="O1906" s="9" t="str">
        <f>IFERROR(__xludf.DUMMYFUNCTION("""COMPUTED_VALUE"""),"LaVl")</f>
        <v>LaVl</v>
      </c>
      <c r="P1906" s="9"/>
      <c r="Q1906" s="9"/>
      <c r="R1906" s="9"/>
      <c r="S1906" s="42"/>
      <c r="T1906" s="42"/>
      <c r="U1906" s="42"/>
      <c r="V1906" s="42"/>
      <c r="W1906" s="42"/>
      <c r="X1906" s="42"/>
      <c r="Y1906" s="42"/>
      <c r="Z1906" s="42"/>
      <c r="AA1906" s="42"/>
      <c r="AB1906" s="42" t="str">
        <f>IFERROR(__xludf.DUMMYFUNCTION("""COMPUTED_VALUE"""),"allen institute")</f>
        <v>allen institute</v>
      </c>
      <c r="AC1906" s="42" t="str">
        <f>IFERROR(__xludf.DUMMYFUNCTION("""COMPUTED_VALUE"""),"DHBA")</f>
        <v>DHBA</v>
      </c>
      <c r="AD1906" s="42"/>
      <c r="AE1906" s="42"/>
      <c r="AF1906" s="9"/>
      <c r="AG1906" s="9"/>
      <c r="AH1906" s="42"/>
      <c r="AI1906" s="42"/>
      <c r="AJ1906" s="42"/>
      <c r="AK1906" s="42"/>
      <c r="AL1906" s="42"/>
      <c r="AM1906" s="42"/>
      <c r="AN1906" s="42"/>
      <c r="AO1906" s="63" t="str">
        <f>IFERROR(__xludf.DUMMYFUNCTION("IF(ISBLANK(A1906),,IF(ISBLANK(S1906), A1906&amp;"";"", TEXTJOIN(CHAR(10), TRUE, A1906&amp;"";"", ARRAYFORMULA(VLOOKUP(SPLIT(S1906, "";"" &amp; CHAR(10)), $A:$AO, 41, FALSE)))))"),"LaVl;")</f>
        <v>LaVl;</v>
      </c>
      <c r="AP1906" s="89"/>
    </row>
    <row r="1907">
      <c r="A1907" s="151" t="str">
        <f>IFERROR(__xludf.DUMMYFUNCTION("""COMPUTED_VALUE"""),"LaVm")</f>
        <v>LaVm</v>
      </c>
      <c r="B1907" s="42" t="str">
        <f>IFERROR(__xludf.DUMMYFUNCTION("""COMPUTED_VALUE"""),"DHBA")</f>
        <v>DHBA</v>
      </c>
      <c r="C1907" s="42" t="str">
        <f>IFERROR(__xludf.DUMMYFUNCTION("""COMPUTED_VALUE"""),"ventral medial subdivision of lateral nucleus")</f>
        <v>ventral medial subdivision of lateral nucleus</v>
      </c>
      <c r="D1907" s="42">
        <f>IFERROR(__xludf.DUMMYFUNCTION("""COMPUTED_VALUE"""),1803.0)</f>
        <v>1803</v>
      </c>
      <c r="E1907" s="39" t="str">
        <f>IFERROR(__xludf.DUMMYFUNCTION("""COMPUTED_VALUE"""),"ventral medial subdivision of lateral nucleus")</f>
        <v>ventral medial subdivision of lateral nucleus</v>
      </c>
      <c r="F1907" s="9" t="str">
        <f>IFERROR(__xludf.DUMMYFUNCTION("""COMPUTED_VALUE"""),"Br")</f>
        <v>Br</v>
      </c>
      <c r="G1907" s="9" t="str">
        <f>IFERROR(__xludf.DUMMYFUNCTION("""COMPUTED_VALUE"""),"F")</f>
        <v>F</v>
      </c>
      <c r="H1907" s="9" t="str">
        <f>IFERROR(__xludf.DUMMYFUNCTION("""COMPUTED_VALUE"""),"FGM")</f>
        <v>FGM</v>
      </c>
      <c r="I1907" s="9" t="str">
        <f>IFERROR(__xludf.DUMMYFUNCTION("""COMPUTED_VALUE"""),"Tel")</f>
        <v>Tel</v>
      </c>
      <c r="J1907" s="9" t="str">
        <f>IFERROR(__xludf.DUMMYFUNCTION("""COMPUTED_VALUE"""),"CN")</f>
        <v>CN</v>
      </c>
      <c r="K1907" s="9" t="str">
        <f>IFERROR(__xludf.DUMMYFUNCTION("""COMPUTED_VALUE"""),"AMY")</f>
        <v>AMY</v>
      </c>
      <c r="L1907" s="9" t="str">
        <f>IFERROR(__xludf.DUMMYFUNCTION("""COMPUTED_VALUE"""),"BLN")</f>
        <v>BLN</v>
      </c>
      <c r="M1907" s="9" t="str">
        <f>IFERROR(__xludf.DUMMYFUNCTION("""COMPUTED_VALUE"""),"La")</f>
        <v>La</v>
      </c>
      <c r="N1907" s="9" t="str">
        <f>IFERROR(__xludf.DUMMYFUNCTION("""COMPUTED_VALUE"""),"LaV")</f>
        <v>LaV</v>
      </c>
      <c r="O1907" s="9" t="str">
        <f>IFERROR(__xludf.DUMMYFUNCTION("""COMPUTED_VALUE"""),"LaVm")</f>
        <v>LaVm</v>
      </c>
      <c r="P1907" s="9"/>
      <c r="Q1907" s="9"/>
      <c r="R1907" s="9"/>
      <c r="S1907" s="42"/>
      <c r="T1907" s="42"/>
      <c r="U1907" s="42"/>
      <c r="V1907" s="42"/>
      <c r="W1907" s="42"/>
      <c r="X1907" s="42"/>
      <c r="Y1907" s="42"/>
      <c r="Z1907" s="42"/>
      <c r="AA1907" s="42"/>
      <c r="AB1907" s="42" t="str">
        <f>IFERROR(__xludf.DUMMYFUNCTION("""COMPUTED_VALUE"""),"allen institute")</f>
        <v>allen institute</v>
      </c>
      <c r="AC1907" s="42" t="str">
        <f>IFERROR(__xludf.DUMMYFUNCTION("""COMPUTED_VALUE"""),"DHBA")</f>
        <v>DHBA</v>
      </c>
      <c r="AD1907" s="42"/>
      <c r="AE1907" s="42"/>
      <c r="AF1907" s="9"/>
      <c r="AG1907" s="9"/>
      <c r="AH1907" s="42"/>
      <c r="AI1907" s="42"/>
      <c r="AJ1907" s="42"/>
      <c r="AK1907" s="42"/>
      <c r="AL1907" s="42"/>
      <c r="AM1907" s="42"/>
      <c r="AN1907" s="42"/>
      <c r="AO1907" s="63" t="str">
        <f>IFERROR(__xludf.DUMMYFUNCTION("IF(ISBLANK(A1907),,IF(ISBLANK(S1907), A1907&amp;"";"", TEXTJOIN(CHAR(10), TRUE, A1907&amp;"";"", ARRAYFORMULA(VLOOKUP(SPLIT(S1907, "";"" &amp; CHAR(10)), $A:$AO, 41, FALSE)))))"),"LaVm;")</f>
        <v>LaVm;</v>
      </c>
      <c r="AP1907" s="89"/>
    </row>
    <row r="1908">
      <c r="A1908" s="151" t="str">
        <f>IFERROR(__xludf.DUMMYFUNCTION("""COMPUTED_VALUE"""),"LaVglo")</f>
        <v>LaVglo</v>
      </c>
      <c r="B1908" s="42" t="str">
        <f>IFERROR(__xludf.DUMMYFUNCTION("""COMPUTED_VALUE"""),"DHBA")</f>
        <v>DHBA</v>
      </c>
      <c r="C1908" s="42" t="str">
        <f>IFERROR(__xludf.DUMMYFUNCTION("""COMPUTED_VALUE"""),"glomerular subdivision of lateral nucleus")</f>
        <v>glomerular subdivision of lateral nucleus</v>
      </c>
      <c r="D1908" s="42">
        <f>IFERROR(__xludf.DUMMYFUNCTION("""COMPUTED_VALUE"""),1804.0)</f>
        <v>1804</v>
      </c>
      <c r="E1908" s="39" t="str">
        <f>IFERROR(__xludf.DUMMYFUNCTION("""COMPUTED_VALUE"""),"glomerular subdivision of lateral nucleus")</f>
        <v>glomerular subdivision of lateral nucleus</v>
      </c>
      <c r="F1908" s="9" t="str">
        <f>IFERROR(__xludf.DUMMYFUNCTION("""COMPUTED_VALUE"""),"Br")</f>
        <v>Br</v>
      </c>
      <c r="G1908" s="9" t="str">
        <f>IFERROR(__xludf.DUMMYFUNCTION("""COMPUTED_VALUE"""),"F")</f>
        <v>F</v>
      </c>
      <c r="H1908" s="9" t="str">
        <f>IFERROR(__xludf.DUMMYFUNCTION("""COMPUTED_VALUE"""),"FGM")</f>
        <v>FGM</v>
      </c>
      <c r="I1908" s="9" t="str">
        <f>IFERROR(__xludf.DUMMYFUNCTION("""COMPUTED_VALUE"""),"Tel")</f>
        <v>Tel</v>
      </c>
      <c r="J1908" s="9" t="str">
        <f>IFERROR(__xludf.DUMMYFUNCTION("""COMPUTED_VALUE"""),"CN")</f>
        <v>CN</v>
      </c>
      <c r="K1908" s="9" t="str">
        <f>IFERROR(__xludf.DUMMYFUNCTION("""COMPUTED_VALUE"""),"AMY")</f>
        <v>AMY</v>
      </c>
      <c r="L1908" s="9" t="str">
        <f>IFERROR(__xludf.DUMMYFUNCTION("""COMPUTED_VALUE"""),"BLN")</f>
        <v>BLN</v>
      </c>
      <c r="M1908" s="9" t="str">
        <f>IFERROR(__xludf.DUMMYFUNCTION("""COMPUTED_VALUE"""),"La")</f>
        <v>La</v>
      </c>
      <c r="N1908" s="9" t="str">
        <f>IFERROR(__xludf.DUMMYFUNCTION("""COMPUTED_VALUE"""),"LaV")</f>
        <v>LaV</v>
      </c>
      <c r="O1908" s="9" t="str">
        <f>IFERROR(__xludf.DUMMYFUNCTION("""COMPUTED_VALUE"""),"LaVglo")</f>
        <v>LaVglo</v>
      </c>
      <c r="P1908" s="9"/>
      <c r="Q1908" s="9"/>
      <c r="R1908" s="9"/>
      <c r="S1908" s="42"/>
      <c r="T1908" s="42"/>
      <c r="U1908" s="42"/>
      <c r="V1908" s="42"/>
      <c r="W1908" s="42"/>
      <c r="X1908" s="42"/>
      <c r="Y1908" s="42"/>
      <c r="Z1908" s="42"/>
      <c r="AA1908" s="42"/>
      <c r="AB1908" s="42" t="str">
        <f>IFERROR(__xludf.DUMMYFUNCTION("""COMPUTED_VALUE"""),"allen institute")</f>
        <v>allen institute</v>
      </c>
      <c r="AC1908" s="42" t="str">
        <f>IFERROR(__xludf.DUMMYFUNCTION("""COMPUTED_VALUE"""),"DHBA")</f>
        <v>DHBA</v>
      </c>
      <c r="AD1908" s="42"/>
      <c r="AE1908" s="42"/>
      <c r="AF1908" s="9"/>
      <c r="AG1908" s="9"/>
      <c r="AH1908" s="42"/>
      <c r="AI1908" s="42"/>
      <c r="AJ1908" s="42"/>
      <c r="AK1908" s="42"/>
      <c r="AL1908" s="42"/>
      <c r="AM1908" s="42"/>
      <c r="AN1908" s="42"/>
      <c r="AO1908" s="63" t="str">
        <f>IFERROR(__xludf.DUMMYFUNCTION("IF(ISBLANK(A1908),,IF(ISBLANK(S1908), A1908&amp;"";"", TEXTJOIN(CHAR(10), TRUE, A1908&amp;"";"", ARRAYFORMULA(VLOOKUP(SPLIT(S1908, "";"" &amp; CHAR(10)), $A:$AO, 41, FALSE)))))"),"LaVglo;")</f>
        <v>LaVglo;</v>
      </c>
      <c r="AP1908" s="89"/>
    </row>
    <row r="1909">
      <c r="A1909" s="151" t="str">
        <f>IFERROR(__xludf.DUMMYFUNCTION("""COMPUTED_VALUE"""),"BL")</f>
        <v>BL</v>
      </c>
      <c r="B1909" s="42" t="str">
        <f>IFERROR(__xludf.DUMMYFUNCTION("""COMPUTED_VALUE"""),"DHBA")</f>
        <v>DHBA</v>
      </c>
      <c r="C1909" s="42" t="str">
        <f>IFERROR(__xludf.DUMMYFUNCTION("""COMPUTED_VALUE"""),"basolateral nucleus (basal nucleus), B, BA")</f>
        <v>basolateral nucleus (basal nucleus), B, BA</v>
      </c>
      <c r="D1909" s="42">
        <f>IFERROR(__xludf.DUMMYFUNCTION("""COMPUTED_VALUE"""),1805.0)</f>
        <v>1805</v>
      </c>
      <c r="E1909" s="39" t="str">
        <f>IFERROR(__xludf.DUMMYFUNCTION("""COMPUTED_VALUE"""),"basolateral nucleus (basal nucleus)")</f>
        <v>basolateral nucleus (basal nucleus)</v>
      </c>
      <c r="F1909" s="9" t="str">
        <f>IFERROR(__xludf.DUMMYFUNCTION("""COMPUTED_VALUE"""),"Br")</f>
        <v>Br</v>
      </c>
      <c r="G1909" s="9" t="str">
        <f>IFERROR(__xludf.DUMMYFUNCTION("""COMPUTED_VALUE"""),"F")</f>
        <v>F</v>
      </c>
      <c r="H1909" s="9" t="str">
        <f>IFERROR(__xludf.DUMMYFUNCTION("""COMPUTED_VALUE"""),"FGM")</f>
        <v>FGM</v>
      </c>
      <c r="I1909" s="9" t="str">
        <f>IFERROR(__xludf.DUMMYFUNCTION("""COMPUTED_VALUE"""),"Tel")</f>
        <v>Tel</v>
      </c>
      <c r="J1909" s="9" t="str">
        <f>IFERROR(__xludf.DUMMYFUNCTION("""COMPUTED_VALUE"""),"CN")</f>
        <v>CN</v>
      </c>
      <c r="K1909" s="9" t="str">
        <f>IFERROR(__xludf.DUMMYFUNCTION("""COMPUTED_VALUE"""),"AMY")</f>
        <v>AMY</v>
      </c>
      <c r="L1909" s="9" t="str">
        <f>IFERROR(__xludf.DUMMYFUNCTION("""COMPUTED_VALUE"""),"BLN")</f>
        <v>BLN</v>
      </c>
      <c r="M1909" s="9" t="str">
        <f>IFERROR(__xludf.DUMMYFUNCTION("""COMPUTED_VALUE"""),"BL")</f>
        <v>BL</v>
      </c>
      <c r="N1909" s="9"/>
      <c r="O1909" s="9"/>
      <c r="P1909" s="9"/>
      <c r="Q1909" s="9"/>
      <c r="R1909" s="9"/>
      <c r="S1909" s="42" t="str">
        <f>IFERROR(__xludf.DUMMYFUNCTION("""COMPUTED_VALUE"""),"BLD;
BLI;
BLV")</f>
        <v>BLD;
BLI;
BLV</v>
      </c>
      <c r="T1909" s="42"/>
      <c r="U1909" s="159" t="b">
        <f>IFERROR(__xludf.DUMMYFUNCTION("""COMPUTED_VALUE"""),FALSE)</f>
        <v>0</v>
      </c>
      <c r="V1909" s="42"/>
      <c r="W1909" s="42"/>
      <c r="X1909" s="42"/>
      <c r="Y1909" s="42"/>
      <c r="Z1909" s="42"/>
      <c r="AA1909" s="42"/>
      <c r="AB1909" s="42" t="str">
        <f>IFERROR(__xludf.DUMMYFUNCTION("""COMPUTED_VALUE"""),"allen institute")</f>
        <v>allen institute</v>
      </c>
      <c r="AC1909" s="42" t="str">
        <f>IFERROR(__xludf.DUMMYFUNCTION("""COMPUTED_VALUE"""),"DHBA")</f>
        <v>DHBA</v>
      </c>
      <c r="AD1909" s="42"/>
      <c r="AE1909" s="42"/>
      <c r="AF1909" s="9"/>
      <c r="AG1909" s="9"/>
      <c r="AH1909" s="42"/>
      <c r="AI1909" s="42"/>
      <c r="AJ1909" s="42"/>
      <c r="AK1909" s="42"/>
      <c r="AL1909" s="42"/>
      <c r="AM1909" s="42"/>
      <c r="AN1909" s="42"/>
      <c r="AO1909" s="63" t="str">
        <f>IFERROR(__xludf.DUMMYFUNCTION("IF(ISBLANK(A1909),,IF(ISBLANK(S1909), A1909&amp;"";"", TEXTJOIN(CHAR(10), TRUE, A1909&amp;"";"", ARRAYFORMULA(VLOOKUP(SPLIT(S1909, "";"" &amp; CHAR(10)), $A:$AO, 41, FALSE)))))"),"BL;
BLD;
BLDl;
BLI;
BLV;
BLVl;
BLVm;")</f>
        <v>BL;
BLD;
BLDl;
BLI;
BLV;
BLVl;
BLVm;</v>
      </c>
      <c r="AP1909" s="89"/>
    </row>
    <row r="1910">
      <c r="A1910" s="151" t="str">
        <f>IFERROR(__xludf.DUMMYFUNCTION("""COMPUTED_VALUE"""),"BLD")</f>
        <v>BLD</v>
      </c>
      <c r="B1910" s="42" t="str">
        <f>IFERROR(__xludf.DUMMYFUNCTION("""COMPUTED_VALUE"""),"DHBA")</f>
        <v>DHBA</v>
      </c>
      <c r="C1910" s="42" t="str">
        <f>IFERROR(__xludf.DUMMYFUNCTION("""COMPUTED_VALUE"""),"dorsal (magnocellular) division of basolateral nucleus")</f>
        <v>dorsal (magnocellular) division of basolateral nucleus</v>
      </c>
      <c r="D1910" s="42">
        <f>IFERROR(__xludf.DUMMYFUNCTION("""COMPUTED_VALUE"""),1806.0)</f>
        <v>1806</v>
      </c>
      <c r="E1910" s="39" t="str">
        <f>IFERROR(__xludf.DUMMYFUNCTION("""COMPUTED_VALUE"""),"dorsal (magnocellular) division of basolateral nucleus")</f>
        <v>dorsal (magnocellular) division of basolateral nucleus</v>
      </c>
      <c r="F1910" s="9" t="str">
        <f>IFERROR(__xludf.DUMMYFUNCTION("""COMPUTED_VALUE"""),"Br")</f>
        <v>Br</v>
      </c>
      <c r="G1910" s="9" t="str">
        <f>IFERROR(__xludf.DUMMYFUNCTION("""COMPUTED_VALUE"""),"F")</f>
        <v>F</v>
      </c>
      <c r="H1910" s="9" t="str">
        <f>IFERROR(__xludf.DUMMYFUNCTION("""COMPUTED_VALUE"""),"FGM")</f>
        <v>FGM</v>
      </c>
      <c r="I1910" s="9" t="str">
        <f>IFERROR(__xludf.DUMMYFUNCTION("""COMPUTED_VALUE"""),"Tel")</f>
        <v>Tel</v>
      </c>
      <c r="J1910" s="9" t="str">
        <f>IFERROR(__xludf.DUMMYFUNCTION("""COMPUTED_VALUE"""),"CN")</f>
        <v>CN</v>
      </c>
      <c r="K1910" s="9" t="str">
        <f>IFERROR(__xludf.DUMMYFUNCTION("""COMPUTED_VALUE"""),"AMY")</f>
        <v>AMY</v>
      </c>
      <c r="L1910" s="9" t="str">
        <f>IFERROR(__xludf.DUMMYFUNCTION("""COMPUTED_VALUE"""),"BLN")</f>
        <v>BLN</v>
      </c>
      <c r="M1910" s="9" t="str">
        <f>IFERROR(__xludf.DUMMYFUNCTION("""COMPUTED_VALUE"""),"BL")</f>
        <v>BL</v>
      </c>
      <c r="N1910" s="9" t="str">
        <f>IFERROR(__xludf.DUMMYFUNCTION("""COMPUTED_VALUE"""),"BLD")</f>
        <v>BLD</v>
      </c>
      <c r="O1910" s="9"/>
      <c r="P1910" s="9"/>
      <c r="Q1910" s="9"/>
      <c r="R1910" s="9"/>
      <c r="S1910" s="42" t="str">
        <f>IFERROR(__xludf.DUMMYFUNCTION("""COMPUTED_VALUE"""),"BLDl")</f>
        <v>BLDl</v>
      </c>
      <c r="T1910" s="42"/>
      <c r="U1910" s="159" t="b">
        <f>IFERROR(__xludf.DUMMYFUNCTION("""COMPUTED_VALUE"""),FALSE)</f>
        <v>0</v>
      </c>
      <c r="V1910" s="42"/>
      <c r="W1910" s="42"/>
      <c r="X1910" s="42"/>
      <c r="Y1910" s="42"/>
      <c r="Z1910" s="42"/>
      <c r="AA1910" s="42"/>
      <c r="AB1910" s="42" t="str">
        <f>IFERROR(__xludf.DUMMYFUNCTION("""COMPUTED_VALUE"""),"allen institute")</f>
        <v>allen institute</v>
      </c>
      <c r="AC1910" s="42" t="str">
        <f>IFERROR(__xludf.DUMMYFUNCTION("""COMPUTED_VALUE"""),"DHBA")</f>
        <v>DHBA</v>
      </c>
      <c r="AD1910" s="42"/>
      <c r="AE1910" s="42"/>
      <c r="AF1910" s="9"/>
      <c r="AG1910" s="9"/>
      <c r="AH1910" s="42"/>
      <c r="AI1910" s="42"/>
      <c r="AJ1910" s="42"/>
      <c r="AK1910" s="42"/>
      <c r="AL1910" s="42"/>
      <c r="AM1910" s="42"/>
      <c r="AN1910" s="42"/>
      <c r="AO1910" s="63" t="str">
        <f>IFERROR(__xludf.DUMMYFUNCTION("IF(ISBLANK(A1910),,IF(ISBLANK(S1910), A1910&amp;"";"", TEXTJOIN(CHAR(10), TRUE, A1910&amp;"";"", ARRAYFORMULA(VLOOKUP(SPLIT(S1910, "";"" &amp; CHAR(10)), $A:$AO, 41, FALSE)))))"),"BLD;
BLDl;")</f>
        <v>BLD;
BLDl;</v>
      </c>
      <c r="AP1910" s="89"/>
    </row>
    <row r="1911">
      <c r="A1911" s="151" t="str">
        <f>IFERROR(__xludf.DUMMYFUNCTION("""COMPUTED_VALUE"""),"BLDl")</f>
        <v>BLDl</v>
      </c>
      <c r="B1911" s="42" t="str">
        <f>IFERROR(__xludf.DUMMYFUNCTION("""COMPUTED_VALUE"""),"DHBA")</f>
        <v>DHBA</v>
      </c>
      <c r="C1911" s="42" t="str">
        <f>IFERROR(__xludf.DUMMYFUNCTION("""COMPUTED_VALUE"""),"dorsal lateral division of basolateral nucleus")</f>
        <v>dorsal lateral division of basolateral nucleus</v>
      </c>
      <c r="D1911" s="42">
        <f>IFERROR(__xludf.DUMMYFUNCTION("""COMPUTED_VALUE"""),1807.0)</f>
        <v>1807</v>
      </c>
      <c r="E1911" s="39" t="str">
        <f>IFERROR(__xludf.DUMMYFUNCTION("""COMPUTED_VALUE"""),"dorsal lateral subdivision of basolateral nucleus")</f>
        <v>dorsal lateral subdivision of basolateral nucleus</v>
      </c>
      <c r="F1911" s="9" t="str">
        <f>IFERROR(__xludf.DUMMYFUNCTION("""COMPUTED_VALUE"""),"Br")</f>
        <v>Br</v>
      </c>
      <c r="G1911" s="9" t="str">
        <f>IFERROR(__xludf.DUMMYFUNCTION("""COMPUTED_VALUE"""),"F")</f>
        <v>F</v>
      </c>
      <c r="H1911" s="9" t="str">
        <f>IFERROR(__xludf.DUMMYFUNCTION("""COMPUTED_VALUE"""),"FGM")</f>
        <v>FGM</v>
      </c>
      <c r="I1911" s="9" t="str">
        <f>IFERROR(__xludf.DUMMYFUNCTION("""COMPUTED_VALUE"""),"Tel")</f>
        <v>Tel</v>
      </c>
      <c r="J1911" s="9" t="str">
        <f>IFERROR(__xludf.DUMMYFUNCTION("""COMPUTED_VALUE"""),"CN")</f>
        <v>CN</v>
      </c>
      <c r="K1911" s="9" t="str">
        <f>IFERROR(__xludf.DUMMYFUNCTION("""COMPUTED_VALUE"""),"AMY")</f>
        <v>AMY</v>
      </c>
      <c r="L1911" s="9" t="str">
        <f>IFERROR(__xludf.DUMMYFUNCTION("""COMPUTED_VALUE"""),"BLN")</f>
        <v>BLN</v>
      </c>
      <c r="M1911" s="9" t="str">
        <f>IFERROR(__xludf.DUMMYFUNCTION("""COMPUTED_VALUE"""),"BL")</f>
        <v>BL</v>
      </c>
      <c r="N1911" s="9" t="str">
        <f>IFERROR(__xludf.DUMMYFUNCTION("""COMPUTED_VALUE"""),"BLD")</f>
        <v>BLD</v>
      </c>
      <c r="O1911" s="9" t="str">
        <f>IFERROR(__xludf.DUMMYFUNCTION("""COMPUTED_VALUE"""),"BLDl")</f>
        <v>BLDl</v>
      </c>
      <c r="P1911" s="9"/>
      <c r="Q1911" s="9"/>
      <c r="R1911" s="9"/>
      <c r="S1911" s="42"/>
      <c r="T1911" s="42"/>
      <c r="U1911" s="42"/>
      <c r="V1911" s="42"/>
      <c r="W1911" s="42"/>
      <c r="X1911" s="42"/>
      <c r="Y1911" s="42"/>
      <c r="Z1911" s="42"/>
      <c r="AA1911" s="42"/>
      <c r="AB1911" s="42" t="str">
        <f>IFERROR(__xludf.DUMMYFUNCTION("""COMPUTED_VALUE"""),"allen institute")</f>
        <v>allen institute</v>
      </c>
      <c r="AC1911" s="42" t="str">
        <f>IFERROR(__xludf.DUMMYFUNCTION("""COMPUTED_VALUE"""),"DHBA")</f>
        <v>DHBA</v>
      </c>
      <c r="AD1911" s="42"/>
      <c r="AE1911" s="42"/>
      <c r="AF1911" s="9"/>
      <c r="AG1911" s="9"/>
      <c r="AH1911" s="42"/>
      <c r="AI1911" s="42"/>
      <c r="AJ1911" s="42"/>
      <c r="AK1911" s="42"/>
      <c r="AL1911" s="42"/>
      <c r="AM1911" s="42"/>
      <c r="AN1911" s="42"/>
      <c r="AO1911" s="63" t="str">
        <f>IFERROR(__xludf.DUMMYFUNCTION("IF(ISBLANK(A1911),,IF(ISBLANK(S1911), A1911&amp;"";"", TEXTJOIN(CHAR(10), TRUE, A1911&amp;"";"", ARRAYFORMULA(VLOOKUP(SPLIT(S1911, "";"" &amp; CHAR(10)), $A:$AO, 41, FALSE)))))"),"BLDl;")</f>
        <v>BLDl;</v>
      </c>
      <c r="AP1911" s="89"/>
    </row>
    <row r="1912">
      <c r="A1912" s="151" t="str">
        <f>IFERROR(__xludf.DUMMYFUNCTION("""COMPUTED_VALUE"""),"BLI")</f>
        <v>BLI</v>
      </c>
      <c r="B1912" s="42" t="str">
        <f>IFERROR(__xludf.DUMMYFUNCTION("""COMPUTED_VALUE"""),"DHBA")</f>
        <v>DHBA</v>
      </c>
      <c r="C1912" s="42" t="str">
        <f>IFERROR(__xludf.DUMMYFUNCTION("""COMPUTED_VALUE"""),"intermediate division of basolateral nucleus")</f>
        <v>intermediate division of basolateral nucleus</v>
      </c>
      <c r="D1912" s="42">
        <f>IFERROR(__xludf.DUMMYFUNCTION("""COMPUTED_VALUE"""),1808.0)</f>
        <v>1808</v>
      </c>
      <c r="E1912" s="39" t="str">
        <f>IFERROR(__xludf.DUMMYFUNCTION("""COMPUTED_VALUE"""),"intermediate division of basolateral nucleus")</f>
        <v>intermediate division of basolateral nucleus</v>
      </c>
      <c r="F1912" s="9" t="str">
        <f>IFERROR(__xludf.DUMMYFUNCTION("""COMPUTED_VALUE"""),"Br")</f>
        <v>Br</v>
      </c>
      <c r="G1912" s="9" t="str">
        <f>IFERROR(__xludf.DUMMYFUNCTION("""COMPUTED_VALUE"""),"F")</f>
        <v>F</v>
      </c>
      <c r="H1912" s="9" t="str">
        <f>IFERROR(__xludf.DUMMYFUNCTION("""COMPUTED_VALUE"""),"FGM")</f>
        <v>FGM</v>
      </c>
      <c r="I1912" s="9" t="str">
        <f>IFERROR(__xludf.DUMMYFUNCTION("""COMPUTED_VALUE"""),"Tel")</f>
        <v>Tel</v>
      </c>
      <c r="J1912" s="9" t="str">
        <f>IFERROR(__xludf.DUMMYFUNCTION("""COMPUTED_VALUE"""),"CN")</f>
        <v>CN</v>
      </c>
      <c r="K1912" s="9" t="str">
        <f>IFERROR(__xludf.DUMMYFUNCTION("""COMPUTED_VALUE"""),"AMY")</f>
        <v>AMY</v>
      </c>
      <c r="L1912" s="9" t="str">
        <f>IFERROR(__xludf.DUMMYFUNCTION("""COMPUTED_VALUE"""),"BLN")</f>
        <v>BLN</v>
      </c>
      <c r="M1912" s="9" t="str">
        <f>IFERROR(__xludf.DUMMYFUNCTION("""COMPUTED_VALUE"""),"BL")</f>
        <v>BL</v>
      </c>
      <c r="N1912" s="9" t="str">
        <f>IFERROR(__xludf.DUMMYFUNCTION("""COMPUTED_VALUE"""),"BLI")</f>
        <v>BLI</v>
      </c>
      <c r="O1912" s="9"/>
      <c r="P1912" s="9"/>
      <c r="Q1912" s="9"/>
      <c r="R1912" s="9"/>
      <c r="S1912" s="42"/>
      <c r="T1912" s="42"/>
      <c r="U1912" s="42"/>
      <c r="V1912" s="42"/>
      <c r="W1912" s="42"/>
      <c r="X1912" s="42"/>
      <c r="Y1912" s="42"/>
      <c r="Z1912" s="42"/>
      <c r="AA1912" s="42"/>
      <c r="AB1912" s="42" t="str">
        <f>IFERROR(__xludf.DUMMYFUNCTION("""COMPUTED_VALUE"""),"allen institute")</f>
        <v>allen institute</v>
      </c>
      <c r="AC1912" s="42" t="str">
        <f>IFERROR(__xludf.DUMMYFUNCTION("""COMPUTED_VALUE"""),"DHBA")</f>
        <v>DHBA</v>
      </c>
      <c r="AD1912" s="42"/>
      <c r="AE1912" s="42"/>
      <c r="AF1912" s="9"/>
      <c r="AG1912" s="9"/>
      <c r="AH1912" s="42"/>
      <c r="AI1912" s="42"/>
      <c r="AJ1912" s="42"/>
      <c r="AK1912" s="42"/>
      <c r="AL1912" s="42"/>
      <c r="AM1912" s="42"/>
      <c r="AN1912" s="42"/>
      <c r="AO1912" s="63" t="str">
        <f>IFERROR(__xludf.DUMMYFUNCTION("IF(ISBLANK(A1912),,IF(ISBLANK(S1912), A1912&amp;"";"", TEXTJOIN(CHAR(10), TRUE, A1912&amp;"";"", ARRAYFORMULA(VLOOKUP(SPLIT(S1912, "";"" &amp; CHAR(10)), $A:$AO, 41, FALSE)))))"),"BLI;")</f>
        <v>BLI;</v>
      </c>
      <c r="AP1912" s="89"/>
    </row>
    <row r="1913">
      <c r="A1913" s="151" t="str">
        <f>IFERROR(__xludf.DUMMYFUNCTION("""COMPUTED_VALUE"""),"BLV")</f>
        <v>BLV</v>
      </c>
      <c r="B1913" s="42" t="str">
        <f>IFERROR(__xludf.DUMMYFUNCTION("""COMPUTED_VALUE"""),"DHBA")</f>
        <v>DHBA</v>
      </c>
      <c r="C1913" s="42" t="str">
        <f>IFERROR(__xludf.DUMMYFUNCTION("""COMPUTED_VALUE"""),"ventral (parvicellular) division of basolateral nucleus")</f>
        <v>ventral (parvicellular) division of basolateral nucleus</v>
      </c>
      <c r="D1913" s="42">
        <f>IFERROR(__xludf.DUMMYFUNCTION("""COMPUTED_VALUE"""),1809.0)</f>
        <v>1809</v>
      </c>
      <c r="E1913" s="39" t="str">
        <f>IFERROR(__xludf.DUMMYFUNCTION("""COMPUTED_VALUE"""),"ventral (parvicellular) division of basolateral nucleus")</f>
        <v>ventral (parvicellular) division of basolateral nucleus</v>
      </c>
      <c r="F1913" s="9" t="str">
        <f>IFERROR(__xludf.DUMMYFUNCTION("""COMPUTED_VALUE"""),"Br")</f>
        <v>Br</v>
      </c>
      <c r="G1913" s="9" t="str">
        <f>IFERROR(__xludf.DUMMYFUNCTION("""COMPUTED_VALUE"""),"F")</f>
        <v>F</v>
      </c>
      <c r="H1913" s="9" t="str">
        <f>IFERROR(__xludf.DUMMYFUNCTION("""COMPUTED_VALUE"""),"FGM")</f>
        <v>FGM</v>
      </c>
      <c r="I1913" s="9" t="str">
        <f>IFERROR(__xludf.DUMMYFUNCTION("""COMPUTED_VALUE"""),"Tel")</f>
        <v>Tel</v>
      </c>
      <c r="J1913" s="9" t="str">
        <f>IFERROR(__xludf.DUMMYFUNCTION("""COMPUTED_VALUE"""),"CN")</f>
        <v>CN</v>
      </c>
      <c r="K1913" s="9" t="str">
        <f>IFERROR(__xludf.DUMMYFUNCTION("""COMPUTED_VALUE"""),"AMY")</f>
        <v>AMY</v>
      </c>
      <c r="L1913" s="9" t="str">
        <f>IFERROR(__xludf.DUMMYFUNCTION("""COMPUTED_VALUE"""),"BLN")</f>
        <v>BLN</v>
      </c>
      <c r="M1913" s="9" t="str">
        <f>IFERROR(__xludf.DUMMYFUNCTION("""COMPUTED_VALUE"""),"BL")</f>
        <v>BL</v>
      </c>
      <c r="N1913" s="9" t="str">
        <f>IFERROR(__xludf.DUMMYFUNCTION("""COMPUTED_VALUE"""),"BLV")</f>
        <v>BLV</v>
      </c>
      <c r="O1913" s="9"/>
      <c r="P1913" s="9"/>
      <c r="Q1913" s="9"/>
      <c r="R1913" s="9"/>
      <c r="S1913" s="42" t="str">
        <f>IFERROR(__xludf.DUMMYFUNCTION("""COMPUTED_VALUE"""),"BLVl;
BLVm")</f>
        <v>BLVl;
BLVm</v>
      </c>
      <c r="T1913" s="42"/>
      <c r="U1913" s="159" t="b">
        <f>IFERROR(__xludf.DUMMYFUNCTION("""COMPUTED_VALUE"""),FALSE)</f>
        <v>0</v>
      </c>
      <c r="V1913" s="42"/>
      <c r="W1913" s="42"/>
      <c r="X1913" s="42"/>
      <c r="Y1913" s="42"/>
      <c r="Z1913" s="42"/>
      <c r="AA1913" s="42"/>
      <c r="AB1913" s="42" t="str">
        <f>IFERROR(__xludf.DUMMYFUNCTION("""COMPUTED_VALUE"""),"allen institute")</f>
        <v>allen institute</v>
      </c>
      <c r="AC1913" s="42" t="str">
        <f>IFERROR(__xludf.DUMMYFUNCTION("""COMPUTED_VALUE"""),"DHBA")</f>
        <v>DHBA</v>
      </c>
      <c r="AD1913" s="42"/>
      <c r="AE1913" s="42"/>
      <c r="AF1913" s="9"/>
      <c r="AG1913" s="9"/>
      <c r="AH1913" s="42"/>
      <c r="AI1913" s="42"/>
      <c r="AJ1913" s="42"/>
      <c r="AK1913" s="42"/>
      <c r="AL1913" s="42"/>
      <c r="AM1913" s="42"/>
      <c r="AN1913" s="42"/>
      <c r="AO1913" s="63" t="str">
        <f>IFERROR(__xludf.DUMMYFUNCTION("IF(ISBLANK(A1913),,IF(ISBLANK(S1913), A1913&amp;"";"", TEXTJOIN(CHAR(10), TRUE, A1913&amp;"";"", ARRAYFORMULA(VLOOKUP(SPLIT(S1913, "";"" &amp; CHAR(10)), $A:$AO, 41, FALSE)))))"),"BLV;
BLVl;
BLVm;")</f>
        <v>BLV;
BLVl;
BLVm;</v>
      </c>
      <c r="AP1913" s="89"/>
    </row>
    <row r="1914">
      <c r="A1914" s="151" t="str">
        <f>IFERROR(__xludf.DUMMYFUNCTION("""COMPUTED_VALUE"""),"BLVl")</f>
        <v>BLVl</v>
      </c>
      <c r="B1914" s="42" t="str">
        <f>IFERROR(__xludf.DUMMYFUNCTION("""COMPUTED_VALUE"""),"DHBA")</f>
        <v>DHBA</v>
      </c>
      <c r="C1914" s="42" t="str">
        <f>IFERROR(__xludf.DUMMYFUNCTION("""COMPUTED_VALUE"""),"ventral lateral division of basolateral nucleus")</f>
        <v>ventral lateral division of basolateral nucleus</v>
      </c>
      <c r="D1914" s="42">
        <f>IFERROR(__xludf.DUMMYFUNCTION("""COMPUTED_VALUE"""),1810.0)</f>
        <v>1810</v>
      </c>
      <c r="E1914" s="39" t="str">
        <f>IFERROR(__xludf.DUMMYFUNCTION("""COMPUTED_VALUE"""),"ventral lateral subdivision of basolateral nucleus")</f>
        <v>ventral lateral subdivision of basolateral nucleus</v>
      </c>
      <c r="F1914" s="9" t="str">
        <f>IFERROR(__xludf.DUMMYFUNCTION("""COMPUTED_VALUE"""),"Br")</f>
        <v>Br</v>
      </c>
      <c r="G1914" s="9" t="str">
        <f>IFERROR(__xludf.DUMMYFUNCTION("""COMPUTED_VALUE"""),"F")</f>
        <v>F</v>
      </c>
      <c r="H1914" s="9" t="str">
        <f>IFERROR(__xludf.DUMMYFUNCTION("""COMPUTED_VALUE"""),"FGM")</f>
        <v>FGM</v>
      </c>
      <c r="I1914" s="9" t="str">
        <f>IFERROR(__xludf.DUMMYFUNCTION("""COMPUTED_VALUE"""),"Tel")</f>
        <v>Tel</v>
      </c>
      <c r="J1914" s="9" t="str">
        <f>IFERROR(__xludf.DUMMYFUNCTION("""COMPUTED_VALUE"""),"CN")</f>
        <v>CN</v>
      </c>
      <c r="K1914" s="9" t="str">
        <f>IFERROR(__xludf.DUMMYFUNCTION("""COMPUTED_VALUE"""),"AMY")</f>
        <v>AMY</v>
      </c>
      <c r="L1914" s="9" t="str">
        <f>IFERROR(__xludf.DUMMYFUNCTION("""COMPUTED_VALUE"""),"BLN")</f>
        <v>BLN</v>
      </c>
      <c r="M1914" s="9" t="str">
        <f>IFERROR(__xludf.DUMMYFUNCTION("""COMPUTED_VALUE"""),"BL")</f>
        <v>BL</v>
      </c>
      <c r="N1914" s="9" t="str">
        <f>IFERROR(__xludf.DUMMYFUNCTION("""COMPUTED_VALUE"""),"BLV")</f>
        <v>BLV</v>
      </c>
      <c r="O1914" s="9" t="str">
        <f>IFERROR(__xludf.DUMMYFUNCTION("""COMPUTED_VALUE"""),"BLVl")</f>
        <v>BLVl</v>
      </c>
      <c r="P1914" s="9"/>
      <c r="Q1914" s="9"/>
      <c r="R1914" s="9"/>
      <c r="S1914" s="42"/>
      <c r="T1914" s="42"/>
      <c r="U1914" s="42"/>
      <c r="V1914" s="42"/>
      <c r="W1914" s="42"/>
      <c r="X1914" s="42"/>
      <c r="Y1914" s="42"/>
      <c r="Z1914" s="42"/>
      <c r="AA1914" s="42"/>
      <c r="AB1914" s="42" t="str">
        <f>IFERROR(__xludf.DUMMYFUNCTION("""COMPUTED_VALUE"""),"allen institute")</f>
        <v>allen institute</v>
      </c>
      <c r="AC1914" s="42" t="str">
        <f>IFERROR(__xludf.DUMMYFUNCTION("""COMPUTED_VALUE"""),"DHBA")</f>
        <v>DHBA</v>
      </c>
      <c r="AD1914" s="42"/>
      <c r="AE1914" s="42"/>
      <c r="AF1914" s="9"/>
      <c r="AG1914" s="9"/>
      <c r="AH1914" s="42"/>
      <c r="AI1914" s="42"/>
      <c r="AJ1914" s="42"/>
      <c r="AK1914" s="42"/>
      <c r="AL1914" s="42"/>
      <c r="AM1914" s="42"/>
      <c r="AN1914" s="42"/>
      <c r="AO1914" s="63" t="str">
        <f>IFERROR(__xludf.DUMMYFUNCTION("IF(ISBLANK(A1914),,IF(ISBLANK(S1914), A1914&amp;"";"", TEXTJOIN(CHAR(10), TRUE, A1914&amp;"";"", ARRAYFORMULA(VLOOKUP(SPLIT(S1914, "";"" &amp; CHAR(10)), $A:$AO, 41, FALSE)))))"),"BLVl;")</f>
        <v>BLVl;</v>
      </c>
      <c r="AP1914" s="89"/>
    </row>
    <row r="1915">
      <c r="A1915" s="151" t="str">
        <f>IFERROR(__xludf.DUMMYFUNCTION("""COMPUTED_VALUE"""),"BLVm")</f>
        <v>BLVm</v>
      </c>
      <c r="B1915" s="42" t="str">
        <f>IFERROR(__xludf.DUMMYFUNCTION("""COMPUTED_VALUE"""),"DHBA")</f>
        <v>DHBA</v>
      </c>
      <c r="C1915" s="42" t="str">
        <f>IFERROR(__xludf.DUMMYFUNCTION("""COMPUTED_VALUE"""),"ventral medial division of basolateral nucleus")</f>
        <v>ventral medial division of basolateral nucleus</v>
      </c>
      <c r="D1915" s="42">
        <f>IFERROR(__xludf.DUMMYFUNCTION("""COMPUTED_VALUE"""),1811.0)</f>
        <v>1811</v>
      </c>
      <c r="E1915" s="39" t="str">
        <f>IFERROR(__xludf.DUMMYFUNCTION("""COMPUTED_VALUE"""),"ventral medial subdivision of basolateral nucleus")</f>
        <v>ventral medial subdivision of basolateral nucleus</v>
      </c>
      <c r="F1915" s="9" t="str">
        <f>IFERROR(__xludf.DUMMYFUNCTION("""COMPUTED_VALUE"""),"Br")</f>
        <v>Br</v>
      </c>
      <c r="G1915" s="9" t="str">
        <f>IFERROR(__xludf.DUMMYFUNCTION("""COMPUTED_VALUE"""),"F")</f>
        <v>F</v>
      </c>
      <c r="H1915" s="9" t="str">
        <f>IFERROR(__xludf.DUMMYFUNCTION("""COMPUTED_VALUE"""),"FGM")</f>
        <v>FGM</v>
      </c>
      <c r="I1915" s="9" t="str">
        <f>IFERROR(__xludf.DUMMYFUNCTION("""COMPUTED_VALUE"""),"Tel")</f>
        <v>Tel</v>
      </c>
      <c r="J1915" s="9" t="str">
        <f>IFERROR(__xludf.DUMMYFUNCTION("""COMPUTED_VALUE"""),"CN")</f>
        <v>CN</v>
      </c>
      <c r="K1915" s="9" t="str">
        <f>IFERROR(__xludf.DUMMYFUNCTION("""COMPUTED_VALUE"""),"AMY")</f>
        <v>AMY</v>
      </c>
      <c r="L1915" s="9" t="str">
        <f>IFERROR(__xludf.DUMMYFUNCTION("""COMPUTED_VALUE"""),"BLN")</f>
        <v>BLN</v>
      </c>
      <c r="M1915" s="9" t="str">
        <f>IFERROR(__xludf.DUMMYFUNCTION("""COMPUTED_VALUE"""),"BL")</f>
        <v>BL</v>
      </c>
      <c r="N1915" s="9" t="str">
        <f>IFERROR(__xludf.DUMMYFUNCTION("""COMPUTED_VALUE"""),"BLV")</f>
        <v>BLV</v>
      </c>
      <c r="O1915" s="9" t="str">
        <f>IFERROR(__xludf.DUMMYFUNCTION("""COMPUTED_VALUE"""),"BLVm")</f>
        <v>BLVm</v>
      </c>
      <c r="P1915" s="9"/>
      <c r="Q1915" s="9"/>
      <c r="R1915" s="9"/>
      <c r="S1915" s="42"/>
      <c r="T1915" s="42"/>
      <c r="U1915" s="42"/>
      <c r="V1915" s="42"/>
      <c r="W1915" s="42"/>
      <c r="X1915" s="42"/>
      <c r="Y1915" s="42"/>
      <c r="Z1915" s="42"/>
      <c r="AA1915" s="42"/>
      <c r="AB1915" s="42" t="str">
        <f>IFERROR(__xludf.DUMMYFUNCTION("""COMPUTED_VALUE"""),"allen institute")</f>
        <v>allen institute</v>
      </c>
      <c r="AC1915" s="42" t="str">
        <f>IFERROR(__xludf.DUMMYFUNCTION("""COMPUTED_VALUE"""),"DHBA")</f>
        <v>DHBA</v>
      </c>
      <c r="AD1915" s="42"/>
      <c r="AE1915" s="42"/>
      <c r="AF1915" s="9"/>
      <c r="AG1915" s="9"/>
      <c r="AH1915" s="42"/>
      <c r="AI1915" s="42"/>
      <c r="AJ1915" s="42"/>
      <c r="AK1915" s="42"/>
      <c r="AL1915" s="42"/>
      <c r="AM1915" s="42"/>
      <c r="AN1915" s="42"/>
      <c r="AO1915" s="63" t="str">
        <f>IFERROR(__xludf.DUMMYFUNCTION("IF(ISBLANK(A1915),,IF(ISBLANK(S1915), A1915&amp;"";"", TEXTJOIN(CHAR(10), TRUE, A1915&amp;"";"", ARRAYFORMULA(VLOOKUP(SPLIT(S1915, "";"" &amp; CHAR(10)), $A:$AO, 41, FALSE)))))"),"BLVm;")</f>
        <v>BLVm;</v>
      </c>
      <c r="AP1915" s="89"/>
    </row>
    <row r="1916">
      <c r="A1916" s="151" t="str">
        <f>IFERROR(__xludf.DUMMYFUNCTION("""COMPUTED_VALUE"""),"BM")</f>
        <v>BM</v>
      </c>
      <c r="B1916" s="42" t="str">
        <f>IFERROR(__xludf.DUMMYFUNCTION("""COMPUTED_VALUE"""),"DHBA")</f>
        <v>DHBA</v>
      </c>
      <c r="C1916" s="42" t="str">
        <f>IFERROR(__xludf.DUMMYFUNCTION("""COMPUTED_VALUE"""),"basomedial nuleus (accessory basal nuleus), AB")</f>
        <v>basomedial nuleus (accessory basal nuleus), AB</v>
      </c>
      <c r="D1916" s="42">
        <f>IFERROR(__xludf.DUMMYFUNCTION("""COMPUTED_VALUE"""),1812.0)</f>
        <v>1812</v>
      </c>
      <c r="E1916" s="39" t="str">
        <f>IFERROR(__xludf.DUMMYFUNCTION("""COMPUTED_VALUE"""),"basomedial nucleus (accessory basal nucleus)")</f>
        <v>basomedial nucleus (accessory basal nucleus)</v>
      </c>
      <c r="F1916" s="9" t="str">
        <f>IFERROR(__xludf.DUMMYFUNCTION("""COMPUTED_VALUE"""),"Br")</f>
        <v>Br</v>
      </c>
      <c r="G1916" s="9" t="str">
        <f>IFERROR(__xludf.DUMMYFUNCTION("""COMPUTED_VALUE"""),"F")</f>
        <v>F</v>
      </c>
      <c r="H1916" s="9" t="str">
        <f>IFERROR(__xludf.DUMMYFUNCTION("""COMPUTED_VALUE"""),"FGM")</f>
        <v>FGM</v>
      </c>
      <c r="I1916" s="9" t="str">
        <f>IFERROR(__xludf.DUMMYFUNCTION("""COMPUTED_VALUE"""),"Tel")</f>
        <v>Tel</v>
      </c>
      <c r="J1916" s="9" t="str">
        <f>IFERROR(__xludf.DUMMYFUNCTION("""COMPUTED_VALUE"""),"CN")</f>
        <v>CN</v>
      </c>
      <c r="K1916" s="9" t="str">
        <f>IFERROR(__xludf.DUMMYFUNCTION("""COMPUTED_VALUE"""),"AMY")</f>
        <v>AMY</v>
      </c>
      <c r="L1916" s="9" t="str">
        <f>IFERROR(__xludf.DUMMYFUNCTION("""COMPUTED_VALUE"""),"BLN")</f>
        <v>BLN</v>
      </c>
      <c r="M1916" s="9" t="str">
        <f>IFERROR(__xludf.DUMMYFUNCTION("""COMPUTED_VALUE"""),"BM")</f>
        <v>BM</v>
      </c>
      <c r="N1916" s="9"/>
      <c r="O1916" s="9"/>
      <c r="P1916" s="9"/>
      <c r="Q1916" s="9"/>
      <c r="R1916" s="9"/>
      <c r="S1916" s="42" t="str">
        <f>IFERROR(__xludf.DUMMYFUNCTION("""COMPUTED_VALUE"""),"BMD;
BMV;
BMm")</f>
        <v>BMD;
BMV;
BMm</v>
      </c>
      <c r="T1916" s="42"/>
      <c r="U1916" s="42" t="b">
        <f>IFERROR(__xludf.DUMMYFUNCTION("""COMPUTED_VALUE"""),FALSE)</f>
        <v>0</v>
      </c>
      <c r="V1916" s="42"/>
      <c r="W1916" s="42"/>
      <c r="X1916" s="42"/>
      <c r="Y1916" s="42"/>
      <c r="Z1916" s="42"/>
      <c r="AA1916" s="42"/>
      <c r="AB1916" s="42" t="str">
        <f>IFERROR(__xludf.DUMMYFUNCTION("""COMPUTED_VALUE"""),"allen institute")</f>
        <v>allen institute</v>
      </c>
      <c r="AC1916" s="42" t="str">
        <f>IFERROR(__xludf.DUMMYFUNCTION("""COMPUTED_VALUE"""),"DHBA")</f>
        <v>DHBA</v>
      </c>
      <c r="AD1916" s="42"/>
      <c r="AE1916" s="42"/>
      <c r="AF1916" s="9"/>
      <c r="AG1916" s="9"/>
      <c r="AH1916" s="42"/>
      <c r="AI1916" s="42"/>
      <c r="AJ1916" s="42"/>
      <c r="AK1916" s="42"/>
      <c r="AL1916" s="42"/>
      <c r="AM1916" s="42"/>
      <c r="AN1916" s="42"/>
      <c r="AO1916" s="63" t="str">
        <f>IFERROR(__xludf.DUMMYFUNCTION("IF(ISBLANK(A1916),,IF(ISBLANK(S1916), A1916&amp;"";"", TEXTJOIN(CHAR(10), TRUE, A1916&amp;"";"", ARRAYFORMULA(VLOOKUP(SPLIT(S1916, "";"" &amp; CHAR(10)), $A:$AO, 41, FALSE)))))"),"BM;
BMD;
BMDl;
BMDm;
BMV;
BMVl;
BMVm;
BMm;")</f>
        <v>BM;
BMD;
BMDl;
BMDm;
BMV;
BMVl;
BMVm;
BMm;</v>
      </c>
      <c r="AP1916" s="89"/>
    </row>
    <row r="1917">
      <c r="A1917" s="151" t="str">
        <f>IFERROR(__xludf.DUMMYFUNCTION("""COMPUTED_VALUE"""),"BMD")</f>
        <v>BMD</v>
      </c>
      <c r="B1917" s="42" t="str">
        <f>IFERROR(__xludf.DUMMYFUNCTION("""COMPUTED_VALUE"""),"DHBA")</f>
        <v>DHBA</v>
      </c>
      <c r="C1917" s="42" t="str">
        <f>IFERROR(__xludf.DUMMYFUNCTION("""COMPUTED_VALUE"""),"dorsal division of basomedial nuleus")</f>
        <v>dorsal division of basomedial nuleus</v>
      </c>
      <c r="D1917" s="42">
        <f>IFERROR(__xludf.DUMMYFUNCTION("""COMPUTED_VALUE"""),1813.0)</f>
        <v>1813</v>
      </c>
      <c r="E1917" s="39" t="str">
        <f>IFERROR(__xludf.DUMMYFUNCTION("""COMPUTED_VALUE"""),"dorsal division of basomedial nucleus")</f>
        <v>dorsal division of basomedial nucleus</v>
      </c>
      <c r="F1917" s="9" t="str">
        <f>IFERROR(__xludf.DUMMYFUNCTION("""COMPUTED_VALUE"""),"Br")</f>
        <v>Br</v>
      </c>
      <c r="G1917" s="9" t="str">
        <f>IFERROR(__xludf.DUMMYFUNCTION("""COMPUTED_VALUE"""),"F")</f>
        <v>F</v>
      </c>
      <c r="H1917" s="9" t="str">
        <f>IFERROR(__xludf.DUMMYFUNCTION("""COMPUTED_VALUE"""),"FGM")</f>
        <v>FGM</v>
      </c>
      <c r="I1917" s="9" t="str">
        <f>IFERROR(__xludf.DUMMYFUNCTION("""COMPUTED_VALUE"""),"Tel")</f>
        <v>Tel</v>
      </c>
      <c r="J1917" s="9" t="str">
        <f>IFERROR(__xludf.DUMMYFUNCTION("""COMPUTED_VALUE"""),"CN")</f>
        <v>CN</v>
      </c>
      <c r="K1917" s="9" t="str">
        <f>IFERROR(__xludf.DUMMYFUNCTION("""COMPUTED_VALUE"""),"AMY")</f>
        <v>AMY</v>
      </c>
      <c r="L1917" s="9" t="str">
        <f>IFERROR(__xludf.DUMMYFUNCTION("""COMPUTED_VALUE"""),"BLN")</f>
        <v>BLN</v>
      </c>
      <c r="M1917" s="9" t="str">
        <f>IFERROR(__xludf.DUMMYFUNCTION("""COMPUTED_VALUE"""),"BM")</f>
        <v>BM</v>
      </c>
      <c r="N1917" s="9" t="str">
        <f>IFERROR(__xludf.DUMMYFUNCTION("""COMPUTED_VALUE"""),"BMD")</f>
        <v>BMD</v>
      </c>
      <c r="O1917" s="9"/>
      <c r="P1917" s="9"/>
      <c r="Q1917" s="9"/>
      <c r="R1917" s="9"/>
      <c r="S1917" s="42" t="str">
        <f>IFERROR(__xludf.DUMMYFUNCTION("""COMPUTED_VALUE"""),"BMDl;
BMDm")</f>
        <v>BMDl;
BMDm</v>
      </c>
      <c r="T1917" s="42"/>
      <c r="U1917" s="42" t="b">
        <f>IFERROR(__xludf.DUMMYFUNCTION("""COMPUTED_VALUE"""),FALSE)</f>
        <v>0</v>
      </c>
      <c r="V1917" s="42"/>
      <c r="W1917" s="42"/>
      <c r="X1917" s="42"/>
      <c r="Y1917" s="42"/>
      <c r="Z1917" s="42"/>
      <c r="AA1917" s="42"/>
      <c r="AB1917" s="42" t="str">
        <f>IFERROR(__xludf.DUMMYFUNCTION("""COMPUTED_VALUE"""),"allen institute")</f>
        <v>allen institute</v>
      </c>
      <c r="AC1917" s="42" t="str">
        <f>IFERROR(__xludf.DUMMYFUNCTION("""COMPUTED_VALUE"""),"DHBA")</f>
        <v>DHBA</v>
      </c>
      <c r="AD1917" s="42"/>
      <c r="AE1917" s="42"/>
      <c r="AF1917" s="9"/>
      <c r="AG1917" s="9"/>
      <c r="AH1917" s="42"/>
      <c r="AI1917" s="42"/>
      <c r="AJ1917" s="42"/>
      <c r="AK1917" s="42"/>
      <c r="AL1917" s="42"/>
      <c r="AM1917" s="42"/>
      <c r="AN1917" s="42"/>
      <c r="AO1917" s="63" t="str">
        <f>IFERROR(__xludf.DUMMYFUNCTION("IF(ISBLANK(A1917),,IF(ISBLANK(S1917), A1917&amp;"";"", TEXTJOIN(CHAR(10), TRUE, A1917&amp;"";"", ARRAYFORMULA(VLOOKUP(SPLIT(S1917, "";"" &amp; CHAR(10)), $A:$AO, 41, FALSE)))))"),"BMD;
BMDl;
BMDm;")</f>
        <v>BMD;
BMDl;
BMDm;</v>
      </c>
      <c r="AP1917" s="89"/>
    </row>
    <row r="1918">
      <c r="A1918" s="151" t="str">
        <f>IFERROR(__xludf.DUMMYFUNCTION("""COMPUTED_VALUE"""),"BMDl")</f>
        <v>BMDl</v>
      </c>
      <c r="B1918" s="42" t="str">
        <f>IFERROR(__xludf.DUMMYFUNCTION("""COMPUTED_VALUE"""),"DHBA")</f>
        <v>DHBA</v>
      </c>
      <c r="C1918" s="42" t="str">
        <f>IFERROR(__xludf.DUMMYFUNCTION("""COMPUTED_VALUE"""),"dorsolateral subdivison of basomedial nuleus")</f>
        <v>dorsolateral subdivison of basomedial nuleus</v>
      </c>
      <c r="D1918" s="42">
        <f>IFERROR(__xludf.DUMMYFUNCTION("""COMPUTED_VALUE"""),1814.0)</f>
        <v>1814</v>
      </c>
      <c r="E1918" s="39" t="str">
        <f>IFERROR(__xludf.DUMMYFUNCTION("""COMPUTED_VALUE"""),"dorsolateral subdivision of basomedial nucleus")</f>
        <v>dorsolateral subdivision of basomedial nucleus</v>
      </c>
      <c r="F1918" s="9" t="str">
        <f>IFERROR(__xludf.DUMMYFUNCTION("""COMPUTED_VALUE"""),"Br")</f>
        <v>Br</v>
      </c>
      <c r="G1918" s="9" t="str">
        <f>IFERROR(__xludf.DUMMYFUNCTION("""COMPUTED_VALUE"""),"F")</f>
        <v>F</v>
      </c>
      <c r="H1918" s="9" t="str">
        <f>IFERROR(__xludf.DUMMYFUNCTION("""COMPUTED_VALUE"""),"FGM")</f>
        <v>FGM</v>
      </c>
      <c r="I1918" s="9" t="str">
        <f>IFERROR(__xludf.DUMMYFUNCTION("""COMPUTED_VALUE"""),"Tel")</f>
        <v>Tel</v>
      </c>
      <c r="J1918" s="9" t="str">
        <f>IFERROR(__xludf.DUMMYFUNCTION("""COMPUTED_VALUE"""),"CN")</f>
        <v>CN</v>
      </c>
      <c r="K1918" s="9" t="str">
        <f>IFERROR(__xludf.DUMMYFUNCTION("""COMPUTED_VALUE"""),"AMY")</f>
        <v>AMY</v>
      </c>
      <c r="L1918" s="9" t="str">
        <f>IFERROR(__xludf.DUMMYFUNCTION("""COMPUTED_VALUE"""),"BLN")</f>
        <v>BLN</v>
      </c>
      <c r="M1918" s="9" t="str">
        <f>IFERROR(__xludf.DUMMYFUNCTION("""COMPUTED_VALUE"""),"BM")</f>
        <v>BM</v>
      </c>
      <c r="N1918" s="9" t="str">
        <f>IFERROR(__xludf.DUMMYFUNCTION("""COMPUTED_VALUE"""),"BMD")</f>
        <v>BMD</v>
      </c>
      <c r="O1918" s="9" t="str">
        <f>IFERROR(__xludf.DUMMYFUNCTION("""COMPUTED_VALUE"""),"BMDl")</f>
        <v>BMDl</v>
      </c>
      <c r="P1918" s="9"/>
      <c r="Q1918" s="9"/>
      <c r="R1918" s="9"/>
      <c r="S1918" s="42"/>
      <c r="T1918" s="42"/>
      <c r="U1918" s="42"/>
      <c r="V1918" s="42"/>
      <c r="W1918" s="42"/>
      <c r="X1918" s="42"/>
      <c r="Y1918" s="42"/>
      <c r="Z1918" s="42"/>
      <c r="AA1918" s="42"/>
      <c r="AB1918" s="42" t="str">
        <f>IFERROR(__xludf.DUMMYFUNCTION("""COMPUTED_VALUE"""),"allen institute")</f>
        <v>allen institute</v>
      </c>
      <c r="AC1918" s="42" t="str">
        <f>IFERROR(__xludf.DUMMYFUNCTION("""COMPUTED_VALUE"""),"DHBA")</f>
        <v>DHBA</v>
      </c>
      <c r="AD1918" s="42"/>
      <c r="AE1918" s="42"/>
      <c r="AF1918" s="9"/>
      <c r="AG1918" s="9"/>
      <c r="AH1918" s="42"/>
      <c r="AI1918" s="42"/>
      <c r="AJ1918" s="42"/>
      <c r="AK1918" s="42"/>
      <c r="AL1918" s="42"/>
      <c r="AM1918" s="42"/>
      <c r="AN1918" s="42"/>
      <c r="AO1918" s="63" t="str">
        <f>IFERROR(__xludf.DUMMYFUNCTION("IF(ISBLANK(A1918),,IF(ISBLANK(S1918), A1918&amp;"";"", TEXTJOIN(CHAR(10), TRUE, A1918&amp;"";"", ARRAYFORMULA(VLOOKUP(SPLIT(S1918, "";"" &amp; CHAR(10)), $A:$AO, 41, FALSE)))))"),"BMDl;")</f>
        <v>BMDl;</v>
      </c>
      <c r="AP1918" s="89"/>
    </row>
    <row r="1919">
      <c r="A1919" s="151" t="str">
        <f>IFERROR(__xludf.DUMMYFUNCTION("""COMPUTED_VALUE"""),"BMDm")</f>
        <v>BMDm</v>
      </c>
      <c r="B1919" s="42" t="str">
        <f>IFERROR(__xludf.DUMMYFUNCTION("""COMPUTED_VALUE"""),"DHBA")</f>
        <v>DHBA</v>
      </c>
      <c r="C1919" s="42" t="str">
        <f>IFERROR(__xludf.DUMMYFUNCTION("""COMPUTED_VALUE"""),"dorsomedial (magnocellular) subdivision of basomedial nuleus")</f>
        <v>dorsomedial (magnocellular) subdivision of basomedial nuleus</v>
      </c>
      <c r="D1919" s="42">
        <f>IFERROR(__xludf.DUMMYFUNCTION("""COMPUTED_VALUE"""),1815.0)</f>
        <v>1815</v>
      </c>
      <c r="E1919" s="39" t="str">
        <f>IFERROR(__xludf.DUMMYFUNCTION("""COMPUTED_VALUE"""),"dorsomedial (magnocellular) subdivsion of basomedial nucleus")</f>
        <v>dorsomedial (magnocellular) subdivsion of basomedial nucleus</v>
      </c>
      <c r="F1919" s="9" t="str">
        <f>IFERROR(__xludf.DUMMYFUNCTION("""COMPUTED_VALUE"""),"Br")</f>
        <v>Br</v>
      </c>
      <c r="G1919" s="9" t="str">
        <f>IFERROR(__xludf.DUMMYFUNCTION("""COMPUTED_VALUE"""),"F")</f>
        <v>F</v>
      </c>
      <c r="H1919" s="9" t="str">
        <f>IFERROR(__xludf.DUMMYFUNCTION("""COMPUTED_VALUE"""),"FGM")</f>
        <v>FGM</v>
      </c>
      <c r="I1919" s="9" t="str">
        <f>IFERROR(__xludf.DUMMYFUNCTION("""COMPUTED_VALUE"""),"Tel")</f>
        <v>Tel</v>
      </c>
      <c r="J1919" s="9" t="str">
        <f>IFERROR(__xludf.DUMMYFUNCTION("""COMPUTED_VALUE"""),"CN")</f>
        <v>CN</v>
      </c>
      <c r="K1919" s="9" t="str">
        <f>IFERROR(__xludf.DUMMYFUNCTION("""COMPUTED_VALUE"""),"AMY")</f>
        <v>AMY</v>
      </c>
      <c r="L1919" s="9" t="str">
        <f>IFERROR(__xludf.DUMMYFUNCTION("""COMPUTED_VALUE"""),"BLN")</f>
        <v>BLN</v>
      </c>
      <c r="M1919" s="9" t="str">
        <f>IFERROR(__xludf.DUMMYFUNCTION("""COMPUTED_VALUE"""),"BM")</f>
        <v>BM</v>
      </c>
      <c r="N1919" s="9" t="str">
        <f>IFERROR(__xludf.DUMMYFUNCTION("""COMPUTED_VALUE"""),"BMD")</f>
        <v>BMD</v>
      </c>
      <c r="O1919" s="9" t="str">
        <f>IFERROR(__xludf.DUMMYFUNCTION("""COMPUTED_VALUE"""),"BMDm")</f>
        <v>BMDm</v>
      </c>
      <c r="P1919" s="9"/>
      <c r="Q1919" s="9"/>
      <c r="R1919" s="9"/>
      <c r="S1919" s="42"/>
      <c r="T1919" s="42"/>
      <c r="U1919" s="42"/>
      <c r="V1919" s="42"/>
      <c r="W1919" s="42"/>
      <c r="X1919" s="42"/>
      <c r="Y1919" s="42"/>
      <c r="Z1919" s="42"/>
      <c r="AA1919" s="42"/>
      <c r="AB1919" s="42" t="str">
        <f>IFERROR(__xludf.DUMMYFUNCTION("""COMPUTED_VALUE"""),"allen institute")</f>
        <v>allen institute</v>
      </c>
      <c r="AC1919" s="42" t="str">
        <f>IFERROR(__xludf.DUMMYFUNCTION("""COMPUTED_VALUE"""),"DHBA")</f>
        <v>DHBA</v>
      </c>
      <c r="AD1919" s="42"/>
      <c r="AE1919" s="42"/>
      <c r="AF1919" s="9"/>
      <c r="AG1919" s="9"/>
      <c r="AH1919" s="42"/>
      <c r="AI1919" s="42"/>
      <c r="AJ1919" s="42"/>
      <c r="AK1919" s="42"/>
      <c r="AL1919" s="42"/>
      <c r="AM1919" s="42"/>
      <c r="AN1919" s="42"/>
      <c r="AO1919" s="63" t="str">
        <f>IFERROR(__xludf.DUMMYFUNCTION("IF(ISBLANK(A1919),,IF(ISBLANK(S1919), A1919&amp;"";"", TEXTJOIN(CHAR(10), TRUE, A1919&amp;"";"", ARRAYFORMULA(VLOOKUP(SPLIT(S1919, "";"" &amp; CHAR(10)), $A:$AO, 41, FALSE)))))"),"BMDm;")</f>
        <v>BMDm;</v>
      </c>
      <c r="AP1919" s="89"/>
    </row>
    <row r="1920">
      <c r="A1920" s="151" t="str">
        <f>IFERROR(__xludf.DUMMYFUNCTION("""COMPUTED_VALUE"""),"BMV")</f>
        <v>BMV</v>
      </c>
      <c r="B1920" s="42" t="str">
        <f>IFERROR(__xludf.DUMMYFUNCTION("""COMPUTED_VALUE"""),"DHBA")</f>
        <v>DHBA</v>
      </c>
      <c r="C1920" s="42" t="str">
        <f>IFERROR(__xludf.DUMMYFUNCTION("""COMPUTED_VALUE"""),"ventral division of basomedial nuleus")</f>
        <v>ventral division of basomedial nuleus</v>
      </c>
      <c r="D1920" s="42">
        <f>IFERROR(__xludf.DUMMYFUNCTION("""COMPUTED_VALUE"""),1816.0)</f>
        <v>1816</v>
      </c>
      <c r="E1920" s="39" t="str">
        <f>IFERROR(__xludf.DUMMYFUNCTION("""COMPUTED_VALUE"""),"ventral division of basomedial nucleus")</f>
        <v>ventral division of basomedial nucleus</v>
      </c>
      <c r="F1920" s="9" t="str">
        <f>IFERROR(__xludf.DUMMYFUNCTION("""COMPUTED_VALUE"""),"Br")</f>
        <v>Br</v>
      </c>
      <c r="G1920" s="9" t="str">
        <f>IFERROR(__xludf.DUMMYFUNCTION("""COMPUTED_VALUE"""),"F")</f>
        <v>F</v>
      </c>
      <c r="H1920" s="9" t="str">
        <f>IFERROR(__xludf.DUMMYFUNCTION("""COMPUTED_VALUE"""),"FGM")</f>
        <v>FGM</v>
      </c>
      <c r="I1920" s="9" t="str">
        <f>IFERROR(__xludf.DUMMYFUNCTION("""COMPUTED_VALUE"""),"Tel")</f>
        <v>Tel</v>
      </c>
      <c r="J1920" s="9" t="str">
        <f>IFERROR(__xludf.DUMMYFUNCTION("""COMPUTED_VALUE"""),"CN")</f>
        <v>CN</v>
      </c>
      <c r="K1920" s="9" t="str">
        <f>IFERROR(__xludf.DUMMYFUNCTION("""COMPUTED_VALUE"""),"AMY")</f>
        <v>AMY</v>
      </c>
      <c r="L1920" s="9" t="str">
        <f>IFERROR(__xludf.DUMMYFUNCTION("""COMPUTED_VALUE"""),"BLN")</f>
        <v>BLN</v>
      </c>
      <c r="M1920" s="9" t="str">
        <f>IFERROR(__xludf.DUMMYFUNCTION("""COMPUTED_VALUE"""),"BM")</f>
        <v>BM</v>
      </c>
      <c r="N1920" s="9" t="str">
        <f>IFERROR(__xludf.DUMMYFUNCTION("""COMPUTED_VALUE"""),"BMV")</f>
        <v>BMV</v>
      </c>
      <c r="O1920" s="9"/>
      <c r="P1920" s="9"/>
      <c r="Q1920" s="9"/>
      <c r="R1920" s="9"/>
      <c r="S1920" s="42" t="str">
        <f>IFERROR(__xludf.DUMMYFUNCTION("""COMPUTED_VALUE"""),"BMVl;
BMVm")</f>
        <v>BMVl;
BMVm</v>
      </c>
      <c r="T1920" s="42"/>
      <c r="U1920" s="42" t="b">
        <f>IFERROR(__xludf.DUMMYFUNCTION("""COMPUTED_VALUE"""),FALSE)</f>
        <v>0</v>
      </c>
      <c r="V1920" s="42"/>
      <c r="W1920" s="42"/>
      <c r="X1920" s="42"/>
      <c r="Y1920" s="42"/>
      <c r="Z1920" s="42"/>
      <c r="AA1920" s="42"/>
      <c r="AB1920" s="42" t="str">
        <f>IFERROR(__xludf.DUMMYFUNCTION("""COMPUTED_VALUE"""),"allen institute")</f>
        <v>allen institute</v>
      </c>
      <c r="AC1920" s="42" t="str">
        <f>IFERROR(__xludf.DUMMYFUNCTION("""COMPUTED_VALUE"""),"DHBA")</f>
        <v>DHBA</v>
      </c>
      <c r="AD1920" s="42"/>
      <c r="AE1920" s="42"/>
      <c r="AF1920" s="9"/>
      <c r="AG1920" s="9"/>
      <c r="AH1920" s="42"/>
      <c r="AI1920" s="42"/>
      <c r="AJ1920" s="42"/>
      <c r="AK1920" s="42"/>
      <c r="AL1920" s="42"/>
      <c r="AM1920" s="42"/>
      <c r="AN1920" s="42"/>
      <c r="AO1920" s="63" t="str">
        <f>IFERROR(__xludf.DUMMYFUNCTION("IF(ISBLANK(A1920),,IF(ISBLANK(S1920), A1920&amp;"";"", TEXTJOIN(CHAR(10), TRUE, A1920&amp;"";"", ARRAYFORMULA(VLOOKUP(SPLIT(S1920, "";"" &amp; CHAR(10)), $A:$AO, 41, FALSE)))))"),"BMV;
BMVl;
BMVm;")</f>
        <v>BMV;
BMVl;
BMVm;</v>
      </c>
      <c r="AP1920" s="89"/>
    </row>
    <row r="1921">
      <c r="A1921" s="151" t="str">
        <f>IFERROR(__xludf.DUMMYFUNCTION("""COMPUTED_VALUE"""),"BMVl")</f>
        <v>BMVl</v>
      </c>
      <c r="B1921" s="42" t="str">
        <f>IFERROR(__xludf.DUMMYFUNCTION("""COMPUTED_VALUE"""),"DHBA")</f>
        <v>DHBA</v>
      </c>
      <c r="C1921" s="42" t="str">
        <f>IFERROR(__xludf.DUMMYFUNCTION("""COMPUTED_VALUE"""),"ventrolateral (parvocellular) subdivision of basomedial nuleus")</f>
        <v>ventrolateral (parvocellular) subdivision of basomedial nuleus</v>
      </c>
      <c r="D1921" s="42">
        <f>IFERROR(__xludf.DUMMYFUNCTION("""COMPUTED_VALUE"""),1817.0)</f>
        <v>1817</v>
      </c>
      <c r="E1921" s="39" t="str">
        <f>IFERROR(__xludf.DUMMYFUNCTION("""COMPUTED_VALUE"""),"ventrolateral (parvocellular) subdivsion of basomedial nucleus")</f>
        <v>ventrolateral (parvocellular) subdivsion of basomedial nucleus</v>
      </c>
      <c r="F1921" s="9" t="str">
        <f>IFERROR(__xludf.DUMMYFUNCTION("""COMPUTED_VALUE"""),"Br")</f>
        <v>Br</v>
      </c>
      <c r="G1921" s="9" t="str">
        <f>IFERROR(__xludf.DUMMYFUNCTION("""COMPUTED_VALUE"""),"F")</f>
        <v>F</v>
      </c>
      <c r="H1921" s="9" t="str">
        <f>IFERROR(__xludf.DUMMYFUNCTION("""COMPUTED_VALUE"""),"FGM")</f>
        <v>FGM</v>
      </c>
      <c r="I1921" s="9" t="str">
        <f>IFERROR(__xludf.DUMMYFUNCTION("""COMPUTED_VALUE"""),"Tel")</f>
        <v>Tel</v>
      </c>
      <c r="J1921" s="9" t="str">
        <f>IFERROR(__xludf.DUMMYFUNCTION("""COMPUTED_VALUE"""),"CN")</f>
        <v>CN</v>
      </c>
      <c r="K1921" s="9" t="str">
        <f>IFERROR(__xludf.DUMMYFUNCTION("""COMPUTED_VALUE"""),"AMY")</f>
        <v>AMY</v>
      </c>
      <c r="L1921" s="9" t="str">
        <f>IFERROR(__xludf.DUMMYFUNCTION("""COMPUTED_VALUE"""),"BLN")</f>
        <v>BLN</v>
      </c>
      <c r="M1921" s="9" t="str">
        <f>IFERROR(__xludf.DUMMYFUNCTION("""COMPUTED_VALUE"""),"BM")</f>
        <v>BM</v>
      </c>
      <c r="N1921" s="9" t="str">
        <f>IFERROR(__xludf.DUMMYFUNCTION("""COMPUTED_VALUE"""),"BMV")</f>
        <v>BMV</v>
      </c>
      <c r="O1921" s="9" t="str">
        <f>IFERROR(__xludf.DUMMYFUNCTION("""COMPUTED_VALUE"""),"BMVl")</f>
        <v>BMVl</v>
      </c>
      <c r="P1921" s="9"/>
      <c r="Q1921" s="9"/>
      <c r="R1921" s="9"/>
      <c r="S1921" s="42"/>
      <c r="T1921" s="42"/>
      <c r="U1921" s="42"/>
      <c r="V1921" s="42"/>
      <c r="W1921" s="42"/>
      <c r="X1921" s="42"/>
      <c r="Y1921" s="42"/>
      <c r="Z1921" s="42"/>
      <c r="AA1921" s="42"/>
      <c r="AB1921" s="42" t="str">
        <f>IFERROR(__xludf.DUMMYFUNCTION("""COMPUTED_VALUE"""),"allen institute")</f>
        <v>allen institute</v>
      </c>
      <c r="AC1921" s="42" t="str">
        <f>IFERROR(__xludf.DUMMYFUNCTION("""COMPUTED_VALUE"""),"DHBA")</f>
        <v>DHBA</v>
      </c>
      <c r="AD1921" s="42"/>
      <c r="AE1921" s="42"/>
      <c r="AF1921" s="9"/>
      <c r="AG1921" s="9"/>
      <c r="AH1921" s="42"/>
      <c r="AI1921" s="42"/>
      <c r="AJ1921" s="42"/>
      <c r="AK1921" s="42"/>
      <c r="AL1921" s="42"/>
      <c r="AM1921" s="42"/>
      <c r="AN1921" s="42"/>
      <c r="AO1921" s="63" t="str">
        <f>IFERROR(__xludf.DUMMYFUNCTION("IF(ISBLANK(A1921),,IF(ISBLANK(S1921), A1921&amp;"";"", TEXTJOIN(CHAR(10), TRUE, A1921&amp;"";"", ARRAYFORMULA(VLOOKUP(SPLIT(S1921, "";"" &amp; CHAR(10)), $A:$AO, 41, FALSE)))))"),"BMVl;")</f>
        <v>BMVl;</v>
      </c>
      <c r="AP1921" s="89"/>
    </row>
    <row r="1922">
      <c r="A1922" s="151" t="str">
        <f>IFERROR(__xludf.DUMMYFUNCTION("""COMPUTED_VALUE"""),"BMVm")</f>
        <v>BMVm</v>
      </c>
      <c r="B1922" s="42" t="str">
        <f>IFERROR(__xludf.DUMMYFUNCTION("""COMPUTED_VALUE"""),"DHBA")</f>
        <v>DHBA</v>
      </c>
      <c r="C1922" s="42" t="str">
        <f>IFERROR(__xludf.DUMMYFUNCTION("""COMPUTED_VALUE"""),"ventromedial subdivision of basomedial nuleus")</f>
        <v>ventromedial subdivision of basomedial nuleus</v>
      </c>
      <c r="D1922" s="42">
        <f>IFERROR(__xludf.DUMMYFUNCTION("""COMPUTED_VALUE"""),1818.0)</f>
        <v>1818</v>
      </c>
      <c r="E1922" s="39" t="str">
        <f>IFERROR(__xludf.DUMMYFUNCTION("""COMPUTED_VALUE"""),"ventromedial subdivsion of basomedial nucleus")</f>
        <v>ventromedial subdivsion of basomedial nucleus</v>
      </c>
      <c r="F1922" s="9" t="str">
        <f>IFERROR(__xludf.DUMMYFUNCTION("""COMPUTED_VALUE"""),"Br")</f>
        <v>Br</v>
      </c>
      <c r="G1922" s="9" t="str">
        <f>IFERROR(__xludf.DUMMYFUNCTION("""COMPUTED_VALUE"""),"F")</f>
        <v>F</v>
      </c>
      <c r="H1922" s="9" t="str">
        <f>IFERROR(__xludf.DUMMYFUNCTION("""COMPUTED_VALUE"""),"FGM")</f>
        <v>FGM</v>
      </c>
      <c r="I1922" s="9" t="str">
        <f>IFERROR(__xludf.DUMMYFUNCTION("""COMPUTED_VALUE"""),"Tel")</f>
        <v>Tel</v>
      </c>
      <c r="J1922" s="9" t="str">
        <f>IFERROR(__xludf.DUMMYFUNCTION("""COMPUTED_VALUE"""),"CN")</f>
        <v>CN</v>
      </c>
      <c r="K1922" s="9" t="str">
        <f>IFERROR(__xludf.DUMMYFUNCTION("""COMPUTED_VALUE"""),"AMY")</f>
        <v>AMY</v>
      </c>
      <c r="L1922" s="9" t="str">
        <f>IFERROR(__xludf.DUMMYFUNCTION("""COMPUTED_VALUE"""),"BLN")</f>
        <v>BLN</v>
      </c>
      <c r="M1922" s="9" t="str">
        <f>IFERROR(__xludf.DUMMYFUNCTION("""COMPUTED_VALUE"""),"BM")</f>
        <v>BM</v>
      </c>
      <c r="N1922" s="9" t="str">
        <f>IFERROR(__xludf.DUMMYFUNCTION("""COMPUTED_VALUE"""),"BMV")</f>
        <v>BMV</v>
      </c>
      <c r="O1922" s="9" t="str">
        <f>IFERROR(__xludf.DUMMYFUNCTION("""COMPUTED_VALUE"""),"BMVm")</f>
        <v>BMVm</v>
      </c>
      <c r="P1922" s="9"/>
      <c r="Q1922" s="9"/>
      <c r="R1922" s="9"/>
      <c r="S1922" s="42"/>
      <c r="T1922" s="42"/>
      <c r="U1922" s="42"/>
      <c r="V1922" s="42"/>
      <c r="W1922" s="42"/>
      <c r="X1922" s="42"/>
      <c r="Y1922" s="42"/>
      <c r="Z1922" s="42"/>
      <c r="AA1922" s="42"/>
      <c r="AB1922" s="42" t="str">
        <f>IFERROR(__xludf.DUMMYFUNCTION("""COMPUTED_VALUE"""),"allen institute")</f>
        <v>allen institute</v>
      </c>
      <c r="AC1922" s="42" t="str">
        <f>IFERROR(__xludf.DUMMYFUNCTION("""COMPUTED_VALUE"""),"DHBA")</f>
        <v>DHBA</v>
      </c>
      <c r="AD1922" s="42"/>
      <c r="AE1922" s="42"/>
      <c r="AF1922" s="9"/>
      <c r="AG1922" s="9"/>
      <c r="AH1922" s="42"/>
      <c r="AI1922" s="42"/>
      <c r="AJ1922" s="42"/>
      <c r="AK1922" s="42"/>
      <c r="AL1922" s="42"/>
      <c r="AM1922" s="42"/>
      <c r="AN1922" s="42"/>
      <c r="AO1922" s="63" t="str">
        <f>IFERROR(__xludf.DUMMYFUNCTION("IF(ISBLANK(A1922),,IF(ISBLANK(S1922), A1922&amp;"";"", TEXTJOIN(CHAR(10), TRUE, A1922&amp;"";"", ARRAYFORMULA(VLOOKUP(SPLIT(S1922, "";"" &amp; CHAR(10)), $A:$AO, 41, FALSE)))))"),"BMVm;")</f>
        <v>BMVm;</v>
      </c>
      <c r="AP1922" s="89"/>
    </row>
    <row r="1923">
      <c r="A1923" s="151" t="str">
        <f>IFERROR(__xludf.DUMMYFUNCTION("""COMPUTED_VALUE"""),"BMm")</f>
        <v>BMm</v>
      </c>
      <c r="B1923" s="42" t="str">
        <f>IFERROR(__xludf.DUMMYFUNCTION("""COMPUTED_VALUE"""),"DHBA")</f>
        <v>DHBA</v>
      </c>
      <c r="C1923" s="42" t="str">
        <f>IFERROR(__xludf.DUMMYFUNCTION("""COMPUTED_VALUE"""),"medial division of basomedial nuleus")</f>
        <v>medial division of basomedial nuleus</v>
      </c>
      <c r="D1923" s="42">
        <f>IFERROR(__xludf.DUMMYFUNCTION("""COMPUTED_VALUE"""),1819.0)</f>
        <v>1819</v>
      </c>
      <c r="E1923" s="39" t="str">
        <f>IFERROR(__xludf.DUMMYFUNCTION("""COMPUTED_VALUE"""),"medial division of basomedial nucleus")</f>
        <v>medial division of basomedial nucleus</v>
      </c>
      <c r="F1923" s="9" t="str">
        <f>IFERROR(__xludf.DUMMYFUNCTION("""COMPUTED_VALUE"""),"Br")</f>
        <v>Br</v>
      </c>
      <c r="G1923" s="9" t="str">
        <f>IFERROR(__xludf.DUMMYFUNCTION("""COMPUTED_VALUE"""),"F")</f>
        <v>F</v>
      </c>
      <c r="H1923" s="9" t="str">
        <f>IFERROR(__xludf.DUMMYFUNCTION("""COMPUTED_VALUE"""),"FGM")</f>
        <v>FGM</v>
      </c>
      <c r="I1923" s="9" t="str">
        <f>IFERROR(__xludf.DUMMYFUNCTION("""COMPUTED_VALUE"""),"Tel")</f>
        <v>Tel</v>
      </c>
      <c r="J1923" s="9" t="str">
        <f>IFERROR(__xludf.DUMMYFUNCTION("""COMPUTED_VALUE"""),"CN")</f>
        <v>CN</v>
      </c>
      <c r="K1923" s="9" t="str">
        <f>IFERROR(__xludf.DUMMYFUNCTION("""COMPUTED_VALUE"""),"AMY")</f>
        <v>AMY</v>
      </c>
      <c r="L1923" s="9" t="str">
        <f>IFERROR(__xludf.DUMMYFUNCTION("""COMPUTED_VALUE"""),"BLN")</f>
        <v>BLN</v>
      </c>
      <c r="M1923" s="9" t="str">
        <f>IFERROR(__xludf.DUMMYFUNCTION("""COMPUTED_VALUE"""),"BM")</f>
        <v>BM</v>
      </c>
      <c r="N1923" s="9" t="str">
        <f>IFERROR(__xludf.DUMMYFUNCTION("""COMPUTED_VALUE"""),"BMm")</f>
        <v>BMm</v>
      </c>
      <c r="O1923" s="9"/>
      <c r="P1923" s="9"/>
      <c r="Q1923" s="9"/>
      <c r="R1923" s="9"/>
      <c r="S1923" s="42"/>
      <c r="T1923" s="42"/>
      <c r="U1923" s="42"/>
      <c r="V1923" s="42"/>
      <c r="W1923" s="42"/>
      <c r="X1923" s="42"/>
      <c r="Y1923" s="42"/>
      <c r="Z1923" s="42"/>
      <c r="AA1923" s="42"/>
      <c r="AB1923" s="42" t="str">
        <f>IFERROR(__xludf.DUMMYFUNCTION("""COMPUTED_VALUE"""),"allen institute")</f>
        <v>allen institute</v>
      </c>
      <c r="AC1923" s="42" t="str">
        <f>IFERROR(__xludf.DUMMYFUNCTION("""COMPUTED_VALUE"""),"DHBA")</f>
        <v>DHBA</v>
      </c>
      <c r="AD1923" s="42"/>
      <c r="AE1923" s="42"/>
      <c r="AF1923" s="9"/>
      <c r="AG1923" s="9"/>
      <c r="AH1923" s="42"/>
      <c r="AI1923" s="42"/>
      <c r="AJ1923" s="42"/>
      <c r="AK1923" s="42"/>
      <c r="AL1923" s="42"/>
      <c r="AM1923" s="42"/>
      <c r="AN1923" s="42"/>
      <c r="AO1923" s="63" t="str">
        <f>IFERROR(__xludf.DUMMYFUNCTION("IF(ISBLANK(A1923),,IF(ISBLANK(S1923), A1923&amp;"";"", TEXTJOIN(CHAR(10), TRUE, A1923&amp;"";"", ARRAYFORMULA(VLOOKUP(SPLIT(S1923, "";"" &amp; CHAR(10)), $A:$AO, 41, FALSE)))))"),"BMm;")</f>
        <v>BMm;</v>
      </c>
      <c r="AP1923" s="89"/>
    </row>
    <row r="1924">
      <c r="A1924" s="151" t="str">
        <f>IFERROR(__xludf.DUMMYFUNCTION("""COMPUTED_VALUE"""),"BV")</f>
        <v>BV</v>
      </c>
      <c r="B1924" s="42" t="str">
        <f>IFERROR(__xludf.DUMMYFUNCTION("""COMPUTED_VALUE"""),"DHBA")</f>
        <v>DHBA</v>
      </c>
      <c r="C1924" s="42" t="str">
        <f>IFERROR(__xludf.DUMMYFUNCTION("""COMPUTED_VALUE"""),"basoventral nuleus")</f>
        <v>basoventral nuleus</v>
      </c>
      <c r="D1924" s="42">
        <f>IFERROR(__xludf.DUMMYFUNCTION("""COMPUTED_VALUE"""),1820.0)</f>
        <v>1820</v>
      </c>
      <c r="E1924" s="39" t="str">
        <f>IFERROR(__xludf.DUMMYFUNCTION("""COMPUTED_VALUE"""),"basoventral nucleus")</f>
        <v>basoventral nucleus</v>
      </c>
      <c r="F1924" s="9" t="str">
        <f>IFERROR(__xludf.DUMMYFUNCTION("""COMPUTED_VALUE"""),"Br")</f>
        <v>Br</v>
      </c>
      <c r="G1924" s="9" t="str">
        <f>IFERROR(__xludf.DUMMYFUNCTION("""COMPUTED_VALUE"""),"F")</f>
        <v>F</v>
      </c>
      <c r="H1924" s="9" t="str">
        <f>IFERROR(__xludf.DUMMYFUNCTION("""COMPUTED_VALUE"""),"FGM")</f>
        <v>FGM</v>
      </c>
      <c r="I1924" s="9" t="str">
        <f>IFERROR(__xludf.DUMMYFUNCTION("""COMPUTED_VALUE"""),"Tel")</f>
        <v>Tel</v>
      </c>
      <c r="J1924" s="9" t="str">
        <f>IFERROR(__xludf.DUMMYFUNCTION("""COMPUTED_VALUE"""),"CN")</f>
        <v>CN</v>
      </c>
      <c r="K1924" s="9" t="str">
        <f>IFERROR(__xludf.DUMMYFUNCTION("""COMPUTED_VALUE"""),"AMY")</f>
        <v>AMY</v>
      </c>
      <c r="L1924" s="9" t="str">
        <f>IFERROR(__xludf.DUMMYFUNCTION("""COMPUTED_VALUE"""),"BLN")</f>
        <v>BLN</v>
      </c>
      <c r="M1924" s="9" t="str">
        <f>IFERROR(__xludf.DUMMYFUNCTION("""COMPUTED_VALUE"""),"BV")</f>
        <v>BV</v>
      </c>
      <c r="N1924" s="9"/>
      <c r="O1924" s="9"/>
      <c r="P1924" s="9"/>
      <c r="Q1924" s="9"/>
      <c r="R1924" s="9"/>
      <c r="S1924" s="42"/>
      <c r="T1924" s="42"/>
      <c r="U1924" s="42"/>
      <c r="V1924" s="42"/>
      <c r="W1924" s="42"/>
      <c r="X1924" s="42"/>
      <c r="Y1924" s="42"/>
      <c r="Z1924" s="42"/>
      <c r="AA1924" s="42"/>
      <c r="AB1924" s="42" t="str">
        <f>IFERROR(__xludf.DUMMYFUNCTION("""COMPUTED_VALUE"""),"allen institute")</f>
        <v>allen institute</v>
      </c>
      <c r="AC1924" s="42" t="str">
        <f>IFERROR(__xludf.DUMMYFUNCTION("""COMPUTED_VALUE"""),"DHBA")</f>
        <v>DHBA</v>
      </c>
      <c r="AD1924" s="42"/>
      <c r="AE1924" s="42"/>
      <c r="AF1924" s="9"/>
      <c r="AG1924" s="9"/>
      <c r="AH1924" s="42"/>
      <c r="AI1924" s="42"/>
      <c r="AJ1924" s="42"/>
      <c r="AK1924" s="42"/>
      <c r="AL1924" s="42"/>
      <c r="AM1924" s="42"/>
      <c r="AN1924" s="42"/>
      <c r="AO1924" s="63" t="str">
        <f>IFERROR(__xludf.DUMMYFUNCTION("IF(ISBLANK(A1924),,IF(ISBLANK(S1924), A1924&amp;"";"", TEXTJOIN(CHAR(10), TRUE, A1924&amp;"";"", ARRAYFORMULA(VLOOKUP(SPLIT(S1924, "";"" &amp; CHAR(10)), $A:$AO, 41, FALSE)))))"),"BV;")</f>
        <v>BV;</v>
      </c>
      <c r="AP1924" s="89"/>
    </row>
    <row r="1925">
      <c r="A1925" s="151" t="str">
        <f>IFERROR(__xludf.DUMMYFUNCTION("""COMPUTED_VALUE"""),"PL")</f>
        <v>PL</v>
      </c>
      <c r="B1925" s="42" t="str">
        <f>IFERROR(__xludf.DUMMYFUNCTION("""COMPUTED_VALUE"""),"DHBA")</f>
        <v>DHBA</v>
      </c>
      <c r="C1925" s="42" t="str">
        <f>IFERROR(__xludf.DUMMYFUNCTION("""COMPUTED_VALUE"""),"paralaminar nucleus")</f>
        <v>paralaminar nucleus</v>
      </c>
      <c r="D1925" s="42">
        <f>IFERROR(__xludf.DUMMYFUNCTION("""COMPUTED_VALUE"""),1821.0)</f>
        <v>1821</v>
      </c>
      <c r="E1925" s="39" t="str">
        <f>IFERROR(__xludf.DUMMYFUNCTION("""COMPUTED_VALUE"""),"paralaminar nucleus")</f>
        <v>paralaminar nucleus</v>
      </c>
      <c r="F1925" s="9" t="str">
        <f>IFERROR(__xludf.DUMMYFUNCTION("""COMPUTED_VALUE"""),"Br")</f>
        <v>Br</v>
      </c>
      <c r="G1925" s="9" t="str">
        <f>IFERROR(__xludf.DUMMYFUNCTION("""COMPUTED_VALUE"""),"F")</f>
        <v>F</v>
      </c>
      <c r="H1925" s="9" t="str">
        <f>IFERROR(__xludf.DUMMYFUNCTION("""COMPUTED_VALUE"""),"FGM")</f>
        <v>FGM</v>
      </c>
      <c r="I1925" s="9" t="str">
        <f>IFERROR(__xludf.DUMMYFUNCTION("""COMPUTED_VALUE"""),"Tel")</f>
        <v>Tel</v>
      </c>
      <c r="J1925" s="9" t="str">
        <f>IFERROR(__xludf.DUMMYFUNCTION("""COMPUTED_VALUE"""),"CN")</f>
        <v>CN</v>
      </c>
      <c r="K1925" s="9" t="str">
        <f>IFERROR(__xludf.DUMMYFUNCTION("""COMPUTED_VALUE"""),"AMY")</f>
        <v>AMY</v>
      </c>
      <c r="L1925" s="9" t="str">
        <f>IFERROR(__xludf.DUMMYFUNCTION("""COMPUTED_VALUE"""),"BLN")</f>
        <v>BLN</v>
      </c>
      <c r="M1925" s="9" t="str">
        <f>IFERROR(__xludf.DUMMYFUNCTION("""COMPUTED_VALUE"""),"PL")</f>
        <v>PL</v>
      </c>
      <c r="N1925" s="9"/>
      <c r="O1925" s="9"/>
      <c r="P1925" s="9"/>
      <c r="Q1925" s="9"/>
      <c r="R1925" s="9"/>
      <c r="S1925" s="42" t="str">
        <f>IFERROR(__xludf.DUMMYFUNCTION("""COMPUTED_VALUE"""),"PLglo")</f>
        <v>PLglo</v>
      </c>
      <c r="T1925" s="42"/>
      <c r="U1925" s="42" t="b">
        <f>IFERROR(__xludf.DUMMYFUNCTION("""COMPUTED_VALUE"""),FALSE)</f>
        <v>0</v>
      </c>
      <c r="V1925" s="42"/>
      <c r="W1925" s="42"/>
      <c r="X1925" s="42"/>
      <c r="Y1925" s="42"/>
      <c r="Z1925" s="42"/>
      <c r="AA1925" s="42"/>
      <c r="AB1925" s="42" t="str">
        <f>IFERROR(__xludf.DUMMYFUNCTION("""COMPUTED_VALUE"""),"allen institute")</f>
        <v>allen institute</v>
      </c>
      <c r="AC1925" s="42" t="str">
        <f>IFERROR(__xludf.DUMMYFUNCTION("""COMPUTED_VALUE"""),"DHBA")</f>
        <v>DHBA</v>
      </c>
      <c r="AD1925" s="42"/>
      <c r="AE1925" s="42"/>
      <c r="AF1925" s="9"/>
      <c r="AG1925" s="9"/>
      <c r="AH1925" s="42"/>
      <c r="AI1925" s="42"/>
      <c r="AJ1925" s="42"/>
      <c r="AK1925" s="42"/>
      <c r="AL1925" s="42"/>
      <c r="AM1925" s="42"/>
      <c r="AN1925" s="42"/>
      <c r="AO1925" s="63" t="str">
        <f>IFERROR(__xludf.DUMMYFUNCTION("IF(ISBLANK(A1925),,IF(ISBLANK(S1925), A1925&amp;"";"", TEXTJOIN(CHAR(10), TRUE, A1925&amp;"";"", ARRAYFORMULA(VLOOKUP(SPLIT(S1925, "";"" &amp; CHAR(10)), $A:$AO, 41, FALSE)))))"),"PL;
PLglo;")</f>
        <v>PL;
PLglo;</v>
      </c>
      <c r="AP1925" s="89"/>
    </row>
    <row r="1926">
      <c r="A1926" s="151" t="str">
        <f>IFERROR(__xludf.DUMMYFUNCTION("""COMPUTED_VALUE"""),"PLglo")</f>
        <v>PLglo</v>
      </c>
      <c r="B1926" s="42" t="str">
        <f>IFERROR(__xludf.DUMMYFUNCTION("""COMPUTED_VALUE"""),"DHBA")</f>
        <v>DHBA</v>
      </c>
      <c r="C1926" s="42" t="str">
        <f>IFERROR(__xludf.DUMMYFUNCTION("""COMPUTED_VALUE"""),"glomerular part of paralaminar nucleus")</f>
        <v>glomerular part of paralaminar nucleus</v>
      </c>
      <c r="D1926" s="42">
        <f>IFERROR(__xludf.DUMMYFUNCTION("""COMPUTED_VALUE"""),1822.0)</f>
        <v>1822</v>
      </c>
      <c r="E1926" s="39" t="str">
        <f>IFERROR(__xludf.DUMMYFUNCTION("""COMPUTED_VALUE"""),"glomerular part of paralaminar nucleus")</f>
        <v>glomerular part of paralaminar nucleus</v>
      </c>
      <c r="F1926" s="9" t="str">
        <f>IFERROR(__xludf.DUMMYFUNCTION("""COMPUTED_VALUE"""),"Br")</f>
        <v>Br</v>
      </c>
      <c r="G1926" s="9" t="str">
        <f>IFERROR(__xludf.DUMMYFUNCTION("""COMPUTED_VALUE"""),"F")</f>
        <v>F</v>
      </c>
      <c r="H1926" s="9" t="str">
        <f>IFERROR(__xludf.DUMMYFUNCTION("""COMPUTED_VALUE"""),"FGM")</f>
        <v>FGM</v>
      </c>
      <c r="I1926" s="9" t="str">
        <f>IFERROR(__xludf.DUMMYFUNCTION("""COMPUTED_VALUE"""),"Tel")</f>
        <v>Tel</v>
      </c>
      <c r="J1926" s="9" t="str">
        <f>IFERROR(__xludf.DUMMYFUNCTION("""COMPUTED_VALUE"""),"CN")</f>
        <v>CN</v>
      </c>
      <c r="K1926" s="9" t="str">
        <f>IFERROR(__xludf.DUMMYFUNCTION("""COMPUTED_VALUE"""),"AMY")</f>
        <v>AMY</v>
      </c>
      <c r="L1926" s="9" t="str">
        <f>IFERROR(__xludf.DUMMYFUNCTION("""COMPUTED_VALUE"""),"BLN")</f>
        <v>BLN</v>
      </c>
      <c r="M1926" s="9" t="str">
        <f>IFERROR(__xludf.DUMMYFUNCTION("""COMPUTED_VALUE"""),"PL")</f>
        <v>PL</v>
      </c>
      <c r="N1926" s="9" t="str">
        <f>IFERROR(__xludf.DUMMYFUNCTION("""COMPUTED_VALUE"""),"PLglo")</f>
        <v>PLglo</v>
      </c>
      <c r="O1926" s="9"/>
      <c r="P1926" s="9"/>
      <c r="Q1926" s="9"/>
      <c r="R1926" s="9"/>
      <c r="S1926" s="42"/>
      <c r="T1926" s="42"/>
      <c r="U1926" s="42"/>
      <c r="V1926" s="42"/>
      <c r="W1926" s="42"/>
      <c r="X1926" s="42"/>
      <c r="Y1926" s="42"/>
      <c r="Z1926" s="42"/>
      <c r="AA1926" s="42"/>
      <c r="AB1926" s="42" t="str">
        <f>IFERROR(__xludf.DUMMYFUNCTION("""COMPUTED_VALUE"""),"allen institute")</f>
        <v>allen institute</v>
      </c>
      <c r="AC1926" s="42" t="str">
        <f>IFERROR(__xludf.DUMMYFUNCTION("""COMPUTED_VALUE"""),"DHBA")</f>
        <v>DHBA</v>
      </c>
      <c r="AD1926" s="42"/>
      <c r="AE1926" s="42"/>
      <c r="AF1926" s="9"/>
      <c r="AG1926" s="9"/>
      <c r="AH1926" s="42"/>
      <c r="AI1926" s="42"/>
      <c r="AJ1926" s="42"/>
      <c r="AK1926" s="42"/>
      <c r="AL1926" s="42"/>
      <c r="AM1926" s="42"/>
      <c r="AN1926" s="42"/>
      <c r="AO1926" s="63" t="str">
        <f>IFERROR(__xludf.DUMMYFUNCTION("IF(ISBLANK(A1926),,IF(ISBLANK(S1926), A1926&amp;"";"", TEXTJOIN(CHAR(10), TRUE, A1926&amp;"";"", ARRAYFORMULA(VLOOKUP(SPLIT(S1926, "";"" &amp; CHAR(10)), $A:$AO, 41, FALSE)))))"),"PLglo;")</f>
        <v>PLglo;</v>
      </c>
      <c r="AP1926" s="89"/>
    </row>
    <row r="1927">
      <c r="A1927" s="151" t="str">
        <f>IFERROR(__xludf.DUMMYFUNCTION("""COMPUTED_VALUE"""),"En")</f>
        <v>En</v>
      </c>
      <c r="B1927" s="42" t="str">
        <f>IFERROR(__xludf.DUMMYFUNCTION("""COMPUTED_VALUE"""),"DHBA")</f>
        <v>DHBA</v>
      </c>
      <c r="C1927" s="42" t="str">
        <f>IFERROR(__xludf.DUMMYFUNCTION("""COMPUTED_VALUE"""),"endopiriform nulceus")</f>
        <v>endopiriform nulceus</v>
      </c>
      <c r="D1927" s="42">
        <f>IFERROR(__xludf.DUMMYFUNCTION("""COMPUTED_VALUE"""),1823.0)</f>
        <v>1823</v>
      </c>
      <c r="E1927" s="39" t="str">
        <f>IFERROR(__xludf.DUMMYFUNCTION("""COMPUTED_VALUE"""),"endopiriform nucleus")</f>
        <v>endopiriform nucleus</v>
      </c>
      <c r="F1927" s="9" t="str">
        <f>IFERROR(__xludf.DUMMYFUNCTION("""COMPUTED_VALUE"""),"Br")</f>
        <v>Br</v>
      </c>
      <c r="G1927" s="9" t="str">
        <f>IFERROR(__xludf.DUMMYFUNCTION("""COMPUTED_VALUE"""),"F")</f>
        <v>F</v>
      </c>
      <c r="H1927" s="9" t="str">
        <f>IFERROR(__xludf.DUMMYFUNCTION("""COMPUTED_VALUE"""),"FGM")</f>
        <v>FGM</v>
      </c>
      <c r="I1927" s="9" t="str">
        <f>IFERROR(__xludf.DUMMYFUNCTION("""COMPUTED_VALUE"""),"Tel")</f>
        <v>Tel</v>
      </c>
      <c r="J1927" s="9" t="str">
        <f>IFERROR(__xludf.DUMMYFUNCTION("""COMPUTED_VALUE"""),"CN")</f>
        <v>CN</v>
      </c>
      <c r="K1927" s="9" t="str">
        <f>IFERROR(__xludf.DUMMYFUNCTION("""COMPUTED_VALUE"""),"AMY")</f>
        <v>AMY</v>
      </c>
      <c r="L1927" s="9" t="str">
        <f>IFERROR(__xludf.DUMMYFUNCTION("""COMPUTED_VALUE"""),"En")</f>
        <v>En</v>
      </c>
      <c r="M1927" s="9"/>
      <c r="N1927" s="9"/>
      <c r="O1927" s="9"/>
      <c r="P1927" s="9"/>
      <c r="Q1927" s="9"/>
      <c r="R1927" s="9"/>
      <c r="S1927" s="42"/>
      <c r="T1927" s="42"/>
      <c r="U1927" s="42"/>
      <c r="V1927" s="42"/>
      <c r="W1927" s="42"/>
      <c r="X1927" s="42"/>
      <c r="Y1927" s="42"/>
      <c r="Z1927" s="42"/>
      <c r="AA1927" s="42"/>
      <c r="AB1927" s="42" t="str">
        <f>IFERROR(__xludf.DUMMYFUNCTION("""COMPUTED_VALUE"""),"allen institute")</f>
        <v>allen institute</v>
      </c>
      <c r="AC1927" s="42" t="str">
        <f>IFERROR(__xludf.DUMMYFUNCTION("""COMPUTED_VALUE"""),"DHBA")</f>
        <v>DHBA</v>
      </c>
      <c r="AD1927" s="42"/>
      <c r="AE1927" s="42"/>
      <c r="AF1927" s="9"/>
      <c r="AG1927" s="9"/>
      <c r="AH1927" s="42"/>
      <c r="AI1927" s="42"/>
      <c r="AJ1927" s="42"/>
      <c r="AK1927" s="42"/>
      <c r="AL1927" s="42"/>
      <c r="AM1927" s="42"/>
      <c r="AN1927" s="42"/>
      <c r="AO1927" s="63" t="str">
        <f>IFERROR(__xludf.DUMMYFUNCTION("IF(ISBLANK(A1927),,IF(ISBLANK(S1927), A1927&amp;"";"", TEXTJOIN(CHAR(10), TRUE, A1927&amp;"";"", ARRAYFORMULA(VLOOKUP(SPLIT(S1927, "";"" &amp; CHAR(10)), $A:$AO, 41, FALSE)))))"),"En;")</f>
        <v>En;</v>
      </c>
      <c r="AP1927" s="89"/>
    </row>
    <row r="1928">
      <c r="A1928" s="151" t="str">
        <f>IFERROR(__xludf.DUMMYFUNCTION("""COMPUTED_VALUE"""),"INA")</f>
        <v>INA</v>
      </c>
      <c r="B1928" s="42" t="str">
        <f>IFERROR(__xludf.DUMMYFUNCTION("""COMPUTED_VALUE"""),"DHBA")</f>
        <v>DHBA</v>
      </c>
      <c r="C1928" s="42" t="str">
        <f>IFERROR(__xludf.DUMMYFUNCTION("""COMPUTED_VALUE"""),"Intercalated nucleus of amygdala (ITC)")</f>
        <v>Intercalated nucleus of amygdala (ITC)</v>
      </c>
      <c r="D1928" s="42">
        <f>IFERROR(__xludf.DUMMYFUNCTION("""COMPUTED_VALUE"""),1824.0)</f>
        <v>1824</v>
      </c>
      <c r="E1928" s="39" t="str">
        <f>IFERROR(__xludf.DUMMYFUNCTION("""COMPUTED_VALUE"""),"Intercalated nucleus of amygdala")</f>
        <v>Intercalated nucleus of amygdala</v>
      </c>
      <c r="F1928" s="9" t="str">
        <f>IFERROR(__xludf.DUMMYFUNCTION("""COMPUTED_VALUE"""),"Br")</f>
        <v>Br</v>
      </c>
      <c r="G1928" s="9" t="str">
        <f>IFERROR(__xludf.DUMMYFUNCTION("""COMPUTED_VALUE"""),"F")</f>
        <v>F</v>
      </c>
      <c r="H1928" s="9" t="str">
        <f>IFERROR(__xludf.DUMMYFUNCTION("""COMPUTED_VALUE"""),"FGM")</f>
        <v>FGM</v>
      </c>
      <c r="I1928" s="9" t="str">
        <f>IFERROR(__xludf.DUMMYFUNCTION("""COMPUTED_VALUE"""),"Tel")</f>
        <v>Tel</v>
      </c>
      <c r="J1928" s="9" t="str">
        <f>IFERROR(__xludf.DUMMYFUNCTION("""COMPUTED_VALUE"""),"CN")</f>
        <v>CN</v>
      </c>
      <c r="K1928" s="9" t="str">
        <f>IFERROR(__xludf.DUMMYFUNCTION("""COMPUTED_VALUE"""),"AMY")</f>
        <v>AMY</v>
      </c>
      <c r="L1928" s="9" t="str">
        <f>IFERROR(__xludf.DUMMYFUNCTION("""COMPUTED_VALUE"""),"INA")</f>
        <v>INA</v>
      </c>
      <c r="M1928" s="9"/>
      <c r="N1928" s="9"/>
      <c r="O1928" s="9"/>
      <c r="P1928" s="9"/>
      <c r="Q1928" s="9"/>
      <c r="R1928" s="9"/>
      <c r="S1928" s="42" t="str">
        <f>IFERROR(__xludf.DUMMYFUNCTION("""COMPUTED_VALUE"""),"INAmd;
INAmv")</f>
        <v>INAmd;
INAmv</v>
      </c>
      <c r="T1928" s="42"/>
      <c r="U1928" s="42"/>
      <c r="V1928" s="42"/>
      <c r="W1928" s="42"/>
      <c r="X1928" s="42"/>
      <c r="Y1928" s="42"/>
      <c r="Z1928" s="42"/>
      <c r="AA1928" s="42"/>
      <c r="AB1928" s="42" t="str">
        <f>IFERROR(__xludf.DUMMYFUNCTION("""COMPUTED_VALUE"""),"allen institute")</f>
        <v>allen institute</v>
      </c>
      <c r="AC1928" s="42" t="str">
        <f>IFERROR(__xludf.DUMMYFUNCTION("""COMPUTED_VALUE"""),"DHBA")</f>
        <v>DHBA</v>
      </c>
      <c r="AD1928" s="42"/>
      <c r="AE1928" s="42"/>
      <c r="AF1928" s="9"/>
      <c r="AG1928" s="9"/>
      <c r="AH1928" s="42"/>
      <c r="AI1928" s="42"/>
      <c r="AJ1928" s="42"/>
      <c r="AK1928" s="42"/>
      <c r="AL1928" s="42"/>
      <c r="AM1928" s="42"/>
      <c r="AN1928" s="42"/>
      <c r="AO1928" s="63" t="str">
        <f>IFERROR(__xludf.DUMMYFUNCTION("IF(ISBLANK(A1928),,IF(ISBLANK(S1928), A1928&amp;"";"", TEXTJOIN(CHAR(10), TRUE, A1928&amp;"";"", ARRAYFORMULA(VLOOKUP(SPLIT(S1928, "";"" &amp; CHAR(10)), $A:$AO, 41, FALSE)))))"),"#N/A")</f>
        <v>#N/A</v>
      </c>
      <c r="AP1928" s="89"/>
    </row>
    <row r="1929">
      <c r="A1929" s="151" t="str">
        <f>IFERROR(__xludf.DUMMYFUNCTION("""COMPUTED_VALUE"""),"IMG")</f>
        <v>IMG</v>
      </c>
      <c r="B1929" s="42" t="str">
        <f>IFERROR(__xludf.DUMMYFUNCTION("""COMPUTED_VALUE"""),"DHBA")</f>
        <v>DHBA</v>
      </c>
      <c r="C1929" s="42" t="str">
        <f>IFERROR(__xludf.DUMMYFUNCTION("""COMPUTED_VALUE"""),"intramedullary gray of the amygdala")</f>
        <v>intramedullary gray of the amygdala</v>
      </c>
      <c r="D1929" s="42">
        <f>IFERROR(__xludf.DUMMYFUNCTION("""COMPUTED_VALUE"""),1825.0)</f>
        <v>1825</v>
      </c>
      <c r="E1929" s="39" t="str">
        <f>IFERROR(__xludf.DUMMYFUNCTION("""COMPUTED_VALUE"""),"intramedullary gray of the amygdala")</f>
        <v>intramedullary gray of the amygdala</v>
      </c>
      <c r="F1929" s="9" t="str">
        <f>IFERROR(__xludf.DUMMYFUNCTION("""COMPUTED_VALUE"""),"Br")</f>
        <v>Br</v>
      </c>
      <c r="G1929" s="9" t="str">
        <f>IFERROR(__xludf.DUMMYFUNCTION("""COMPUTED_VALUE"""),"F")</f>
        <v>F</v>
      </c>
      <c r="H1929" s="9" t="str">
        <f>IFERROR(__xludf.DUMMYFUNCTION("""COMPUTED_VALUE"""),"FGM")</f>
        <v>FGM</v>
      </c>
      <c r="I1929" s="9" t="str">
        <f>IFERROR(__xludf.DUMMYFUNCTION("""COMPUTED_VALUE"""),"Tel")</f>
        <v>Tel</v>
      </c>
      <c r="J1929" s="9" t="str">
        <f>IFERROR(__xludf.DUMMYFUNCTION("""COMPUTED_VALUE"""),"CN")</f>
        <v>CN</v>
      </c>
      <c r="K1929" s="9" t="str">
        <f>IFERROR(__xludf.DUMMYFUNCTION("""COMPUTED_VALUE"""),"AMY")</f>
        <v>AMY</v>
      </c>
      <c r="L1929" s="9" t="str">
        <f>IFERROR(__xludf.DUMMYFUNCTION("""COMPUTED_VALUE"""),"IMG")</f>
        <v>IMG</v>
      </c>
      <c r="M1929" s="9"/>
      <c r="N1929" s="9"/>
      <c r="O1929" s="9"/>
      <c r="P1929" s="9"/>
      <c r="Q1929" s="9"/>
      <c r="R1929" s="9"/>
      <c r="S1929" s="42"/>
      <c r="T1929" s="42"/>
      <c r="U1929" s="42"/>
      <c r="V1929" s="42"/>
      <c r="W1929" s="42"/>
      <c r="X1929" s="42"/>
      <c r="Y1929" s="42"/>
      <c r="Z1929" s="42"/>
      <c r="AA1929" s="42"/>
      <c r="AB1929" s="42" t="str">
        <f>IFERROR(__xludf.DUMMYFUNCTION("""COMPUTED_VALUE"""),"allen institute")</f>
        <v>allen institute</v>
      </c>
      <c r="AC1929" s="42" t="str">
        <f>IFERROR(__xludf.DUMMYFUNCTION("""COMPUTED_VALUE"""),"DHBA")</f>
        <v>DHBA</v>
      </c>
      <c r="AD1929" s="42"/>
      <c r="AE1929" s="42"/>
      <c r="AF1929" s="9"/>
      <c r="AG1929" s="9"/>
      <c r="AH1929" s="42"/>
      <c r="AI1929" s="42"/>
      <c r="AJ1929" s="42"/>
      <c r="AK1929" s="42"/>
      <c r="AL1929" s="42"/>
      <c r="AM1929" s="42"/>
      <c r="AN1929" s="42"/>
      <c r="AO1929" s="63" t="str">
        <f>IFERROR(__xludf.DUMMYFUNCTION("IF(ISBLANK(A1929),,IF(ISBLANK(S1929), A1929&amp;"";"", TEXTJOIN(CHAR(10), TRUE, A1929&amp;"";"", ARRAYFORMULA(VLOOKUP(SPLIT(S1929, "";"" &amp; CHAR(10)), $A:$AO, 41, FALSE)))))"),"IMG;")</f>
        <v>IMG;</v>
      </c>
      <c r="AP1929" s="89"/>
    </row>
    <row r="1930">
      <c r="A1930" s="151" t="str">
        <f>IFERROR(__xludf.DUMMYFUNCTION("""COMPUTED_VALUE"""),"ATA")</f>
        <v>ATA</v>
      </c>
      <c r="B1930" s="42" t="str">
        <f>IFERROR(__xludf.DUMMYFUNCTION("""COMPUTED_VALUE"""),"DHBA")</f>
        <v>DHBA</v>
      </c>
      <c r="C1930" s="42" t="str">
        <f>IFERROR(__xludf.DUMMYFUNCTION("""COMPUTED_VALUE"""),"amygdaloid transition areas")</f>
        <v>amygdaloid transition areas</v>
      </c>
      <c r="D1930" s="42">
        <f>IFERROR(__xludf.DUMMYFUNCTION("""COMPUTED_VALUE"""),1826.0)</f>
        <v>1826</v>
      </c>
      <c r="E1930" s="39" t="str">
        <f>IFERROR(__xludf.DUMMYFUNCTION("""COMPUTED_VALUE"""),"amygdaloid transition areas")</f>
        <v>amygdaloid transition areas</v>
      </c>
      <c r="F1930" s="9" t="str">
        <f>IFERROR(__xludf.DUMMYFUNCTION("""COMPUTED_VALUE"""),"Br")</f>
        <v>Br</v>
      </c>
      <c r="G1930" s="9" t="str">
        <f>IFERROR(__xludf.DUMMYFUNCTION("""COMPUTED_VALUE"""),"F")</f>
        <v>F</v>
      </c>
      <c r="H1930" s="9" t="str">
        <f>IFERROR(__xludf.DUMMYFUNCTION("""COMPUTED_VALUE"""),"FGM")</f>
        <v>FGM</v>
      </c>
      <c r="I1930" s="9" t="str">
        <f>IFERROR(__xludf.DUMMYFUNCTION("""COMPUTED_VALUE"""),"Tel")</f>
        <v>Tel</v>
      </c>
      <c r="J1930" s="9" t="str">
        <f>IFERROR(__xludf.DUMMYFUNCTION("""COMPUTED_VALUE"""),"CN")</f>
        <v>CN</v>
      </c>
      <c r="K1930" s="9" t="str">
        <f>IFERROR(__xludf.DUMMYFUNCTION("""COMPUTED_VALUE"""),"ATA")</f>
        <v>ATA</v>
      </c>
      <c r="L1930" s="9"/>
      <c r="M1930" s="9"/>
      <c r="N1930" s="9"/>
      <c r="O1930" s="9"/>
      <c r="P1930" s="9"/>
      <c r="Q1930" s="9"/>
      <c r="R1930" s="9"/>
      <c r="S1930" s="42" t="str">
        <f>IFERROR(__xludf.DUMMYFUNCTION("""COMPUTED_VALUE"""),"AHTA;
ASTA;
ACTA;
SA")</f>
        <v>AHTA;
ASTA;
ACTA;
SA</v>
      </c>
      <c r="T1930" s="42"/>
      <c r="U1930" s="42" t="b">
        <f>IFERROR(__xludf.DUMMYFUNCTION("""COMPUTED_VALUE"""),FALSE)</f>
        <v>0</v>
      </c>
      <c r="V1930" s="42"/>
      <c r="W1930" s="42"/>
      <c r="X1930" s="42"/>
      <c r="Y1930" s="42"/>
      <c r="Z1930" s="42"/>
      <c r="AA1930" s="42"/>
      <c r="AB1930" s="42" t="str">
        <f>IFERROR(__xludf.DUMMYFUNCTION("""COMPUTED_VALUE"""),"allen institute")</f>
        <v>allen institute</v>
      </c>
      <c r="AC1930" s="42" t="str">
        <f>IFERROR(__xludf.DUMMYFUNCTION("""COMPUTED_VALUE"""),"DHBA")</f>
        <v>DHBA</v>
      </c>
      <c r="AD1930" s="42"/>
      <c r="AE1930" s="42"/>
      <c r="AF1930" s="9"/>
      <c r="AG1930" s="9"/>
      <c r="AH1930" s="42"/>
      <c r="AI1930" s="42"/>
      <c r="AJ1930" s="42"/>
      <c r="AK1930" s="42"/>
      <c r="AL1930" s="42"/>
      <c r="AM1930" s="42"/>
      <c r="AN1930" s="42"/>
      <c r="AO1930" s="63" t="str">
        <f>IFERROR(__xludf.DUMMYFUNCTION("IF(ISBLANK(A1930),,IF(ISBLANK(S1930), A1930&amp;"";"", TEXTJOIN(CHAR(10), TRUE, A1930&amp;"";"", ARRAYFORMULA(VLOOKUP(SPLIT(S1930, "";"" &amp; CHAR(10)), $A:$AO, 41, FALSE)))))"),"#N/A")</f>
        <v>#N/A</v>
      </c>
      <c r="AP1930" s="89"/>
    </row>
    <row r="1931">
      <c r="A1931" s="151" t="str">
        <f>IFERROR(__xludf.DUMMYFUNCTION("""COMPUTED_VALUE"""),"AHTA")</f>
        <v>AHTA</v>
      </c>
      <c r="B1931" s="42" t="str">
        <f>IFERROR(__xludf.DUMMYFUNCTION("""COMPUTED_VALUE"""),"DHBA")</f>
        <v>DHBA</v>
      </c>
      <c r="C1931" s="42" t="str">
        <f>IFERROR(__xludf.DUMMYFUNCTION("""COMPUTED_VALUE"""),"amygdalohippocampal transition area")</f>
        <v>amygdalohippocampal transition area</v>
      </c>
      <c r="D1931" s="42">
        <f>IFERROR(__xludf.DUMMYFUNCTION("""COMPUTED_VALUE"""),1827.0)</f>
        <v>1827</v>
      </c>
      <c r="E1931" s="39" t="str">
        <f>IFERROR(__xludf.DUMMYFUNCTION("""COMPUTED_VALUE"""),"amygdalohippocampal transition area")</f>
        <v>amygdalohippocampal transition area</v>
      </c>
      <c r="F1931" s="9" t="str">
        <f>IFERROR(__xludf.DUMMYFUNCTION("""COMPUTED_VALUE"""),"Br")</f>
        <v>Br</v>
      </c>
      <c r="G1931" s="9" t="str">
        <f>IFERROR(__xludf.DUMMYFUNCTION("""COMPUTED_VALUE"""),"F")</f>
        <v>F</v>
      </c>
      <c r="H1931" s="9" t="str">
        <f>IFERROR(__xludf.DUMMYFUNCTION("""COMPUTED_VALUE"""),"FGM")</f>
        <v>FGM</v>
      </c>
      <c r="I1931" s="9" t="str">
        <f>IFERROR(__xludf.DUMMYFUNCTION("""COMPUTED_VALUE"""),"Tel")</f>
        <v>Tel</v>
      </c>
      <c r="J1931" s="9" t="str">
        <f>IFERROR(__xludf.DUMMYFUNCTION("""COMPUTED_VALUE"""),"CN")</f>
        <v>CN</v>
      </c>
      <c r="K1931" s="9" t="str">
        <f>IFERROR(__xludf.DUMMYFUNCTION("""COMPUTED_VALUE"""),"ATA")</f>
        <v>ATA</v>
      </c>
      <c r="L1931" s="9" t="str">
        <f>IFERROR(__xludf.DUMMYFUNCTION("""COMPUTED_VALUE"""),"AHTA")</f>
        <v>AHTA</v>
      </c>
      <c r="M1931" s="9"/>
      <c r="N1931" s="9"/>
      <c r="O1931" s="9"/>
      <c r="P1931" s="9"/>
      <c r="Q1931" s="9"/>
      <c r="R1931" s="9"/>
      <c r="S1931" s="42" t="str">
        <f>IFERROR(__xludf.DUMMYFUNCTION("""COMPUTED_VALUE"""),"AHTA_m")</f>
        <v>AHTA_m</v>
      </c>
      <c r="T1931" s="42"/>
      <c r="U1931" s="42" t="b">
        <f>IFERROR(__xludf.DUMMYFUNCTION("""COMPUTED_VALUE"""),FALSE)</f>
        <v>0</v>
      </c>
      <c r="V1931" s="42"/>
      <c r="W1931" s="42"/>
      <c r="X1931" s="42"/>
      <c r="Y1931" s="42"/>
      <c r="Z1931" s="42"/>
      <c r="AA1931" s="42"/>
      <c r="AB1931" s="42" t="str">
        <f>IFERROR(__xludf.DUMMYFUNCTION("""COMPUTED_VALUE"""),"allen institute")</f>
        <v>allen institute</v>
      </c>
      <c r="AC1931" s="42" t="str">
        <f>IFERROR(__xludf.DUMMYFUNCTION("""COMPUTED_VALUE"""),"DHBA")</f>
        <v>DHBA</v>
      </c>
      <c r="AD1931" s="42"/>
      <c r="AE1931" s="42"/>
      <c r="AF1931" s="9"/>
      <c r="AG1931" s="9"/>
      <c r="AH1931" s="42"/>
      <c r="AI1931" s="42"/>
      <c r="AJ1931" s="42"/>
      <c r="AK1931" s="42"/>
      <c r="AL1931" s="42"/>
      <c r="AM1931" s="42"/>
      <c r="AN1931" s="42"/>
      <c r="AO1931" s="63" t="str">
        <f>IFERROR(__xludf.DUMMYFUNCTION("IF(ISBLANK(A1931),,IF(ISBLANK(S1931), A1931&amp;"";"", TEXTJOIN(CHAR(10), TRUE, A1931&amp;"";"", ARRAYFORMULA(VLOOKUP(SPLIT(S1931, "";"" &amp; CHAR(10)), $A:$AO, 41, FALSE)))))"),"#N/A")</f>
        <v>#N/A</v>
      </c>
      <c r="AP1931" s="89"/>
    </row>
    <row r="1932">
      <c r="A1932" s="151" t="str">
        <f>IFERROR(__xludf.DUMMYFUNCTION("""COMPUTED_VALUE"""),"AHTA-m")</f>
        <v>AHTA-m</v>
      </c>
      <c r="B1932" s="42" t="str">
        <f>IFERROR(__xludf.DUMMYFUNCTION("""COMPUTED_VALUE"""),"DHBA")</f>
        <v>DHBA</v>
      </c>
      <c r="C1932" s="42" t="str">
        <f>IFERROR(__xludf.DUMMYFUNCTION("""COMPUTED_VALUE"""),"marginal layer of AHTA")</f>
        <v>marginal layer of AHTA</v>
      </c>
      <c r="D1932" s="42">
        <f>IFERROR(__xludf.DUMMYFUNCTION("""COMPUTED_VALUE"""),1828.0)</f>
        <v>1828</v>
      </c>
      <c r="E1932" s="39" t="str">
        <f>IFERROR(__xludf.DUMMYFUNCTION("""COMPUTED_VALUE"""),"marginal layer of AHTA")</f>
        <v>marginal layer of AHTA</v>
      </c>
      <c r="F1932" s="9" t="str">
        <f>IFERROR(__xludf.DUMMYFUNCTION("""COMPUTED_VALUE"""),"Br")</f>
        <v>Br</v>
      </c>
      <c r="G1932" s="9" t="str">
        <f>IFERROR(__xludf.DUMMYFUNCTION("""COMPUTED_VALUE"""),"F")</f>
        <v>F</v>
      </c>
      <c r="H1932" s="9" t="str">
        <f>IFERROR(__xludf.DUMMYFUNCTION("""COMPUTED_VALUE"""),"FGM")</f>
        <v>FGM</v>
      </c>
      <c r="I1932" s="9" t="str">
        <f>IFERROR(__xludf.DUMMYFUNCTION("""COMPUTED_VALUE"""),"Tel")</f>
        <v>Tel</v>
      </c>
      <c r="J1932" s="9" t="str">
        <f>IFERROR(__xludf.DUMMYFUNCTION("""COMPUTED_VALUE"""),"CN")</f>
        <v>CN</v>
      </c>
      <c r="K1932" s="9" t="str">
        <f>IFERROR(__xludf.DUMMYFUNCTION("""COMPUTED_VALUE"""),"ATA")</f>
        <v>ATA</v>
      </c>
      <c r="L1932" s="9" t="str">
        <f>IFERROR(__xludf.DUMMYFUNCTION("""COMPUTED_VALUE"""),"AHTA")</f>
        <v>AHTA</v>
      </c>
      <c r="M1932" s="9" t="str">
        <f>IFERROR(__xludf.DUMMYFUNCTION("""COMPUTED_VALUE"""),"AHTA-m")</f>
        <v>AHTA-m</v>
      </c>
      <c r="N1932" s="9"/>
      <c r="O1932" s="9"/>
      <c r="P1932" s="9"/>
      <c r="Q1932" s="9"/>
      <c r="R1932" s="9"/>
      <c r="S1932" s="42"/>
      <c r="T1932" s="42"/>
      <c r="U1932" s="42"/>
      <c r="V1932" s="42"/>
      <c r="W1932" s="42"/>
      <c r="X1932" s="42"/>
      <c r="Y1932" s="42"/>
      <c r="Z1932" s="42"/>
      <c r="AA1932" s="42"/>
      <c r="AB1932" s="42" t="str">
        <f>IFERROR(__xludf.DUMMYFUNCTION("""COMPUTED_VALUE"""),"allen institute")</f>
        <v>allen institute</v>
      </c>
      <c r="AC1932" s="42" t="str">
        <f>IFERROR(__xludf.DUMMYFUNCTION("""COMPUTED_VALUE"""),"DHBA")</f>
        <v>DHBA</v>
      </c>
      <c r="AD1932" s="42"/>
      <c r="AE1932" s="42"/>
      <c r="AF1932" s="9"/>
      <c r="AG1932" s="9"/>
      <c r="AH1932" s="42"/>
      <c r="AI1932" s="42"/>
      <c r="AJ1932" s="42"/>
      <c r="AK1932" s="42"/>
      <c r="AL1932" s="42"/>
      <c r="AM1932" s="42"/>
      <c r="AN1932" s="42"/>
      <c r="AO1932" s="63" t="str">
        <f>IFERROR(__xludf.DUMMYFUNCTION("IF(ISBLANK(A1932),,IF(ISBLANK(S1932), A1932&amp;"";"", TEXTJOIN(CHAR(10), TRUE, A1932&amp;"";"", ARRAYFORMULA(VLOOKUP(SPLIT(S1932, "";"" &amp; CHAR(10)), $A:$AO, 41, FALSE)))))"),"AHTA-m;")</f>
        <v>AHTA-m;</v>
      </c>
      <c r="AP1932" s="89"/>
    </row>
    <row r="1933">
      <c r="A1933" s="151" t="str">
        <f>IFERROR(__xludf.DUMMYFUNCTION("""COMPUTED_VALUE"""),"ASTA")</f>
        <v>ASTA</v>
      </c>
      <c r="B1933" s="42" t="str">
        <f>IFERROR(__xludf.DUMMYFUNCTION("""COMPUTED_VALUE"""),"DHBA")</f>
        <v>DHBA</v>
      </c>
      <c r="C1933" s="42" t="str">
        <f>IFERROR(__xludf.DUMMYFUNCTION("""COMPUTED_VALUE"""),"amygdalostriatal transition area")</f>
        <v>amygdalostriatal transition area</v>
      </c>
      <c r="D1933" s="42">
        <f>IFERROR(__xludf.DUMMYFUNCTION("""COMPUTED_VALUE"""),1829.0)</f>
        <v>1829</v>
      </c>
      <c r="E1933" s="39" t="str">
        <f>IFERROR(__xludf.DUMMYFUNCTION("""COMPUTED_VALUE"""),"amygdalostriatal transition area")</f>
        <v>amygdalostriatal transition area</v>
      </c>
      <c r="F1933" s="9" t="str">
        <f>IFERROR(__xludf.DUMMYFUNCTION("""COMPUTED_VALUE"""),"Br")</f>
        <v>Br</v>
      </c>
      <c r="G1933" s="9" t="str">
        <f>IFERROR(__xludf.DUMMYFUNCTION("""COMPUTED_VALUE"""),"F")</f>
        <v>F</v>
      </c>
      <c r="H1933" s="9" t="str">
        <f>IFERROR(__xludf.DUMMYFUNCTION("""COMPUTED_VALUE"""),"FGM")</f>
        <v>FGM</v>
      </c>
      <c r="I1933" s="9" t="str">
        <f>IFERROR(__xludf.DUMMYFUNCTION("""COMPUTED_VALUE"""),"Tel")</f>
        <v>Tel</v>
      </c>
      <c r="J1933" s="9" t="str">
        <f>IFERROR(__xludf.DUMMYFUNCTION("""COMPUTED_VALUE"""),"CN")</f>
        <v>CN</v>
      </c>
      <c r="K1933" s="9" t="str">
        <f>IFERROR(__xludf.DUMMYFUNCTION("""COMPUTED_VALUE"""),"ATA")</f>
        <v>ATA</v>
      </c>
      <c r="L1933" s="9" t="str">
        <f>IFERROR(__xludf.DUMMYFUNCTION("""COMPUTED_VALUE"""),"ASTA")</f>
        <v>ASTA</v>
      </c>
      <c r="M1933" s="9"/>
      <c r="N1933" s="9"/>
      <c r="O1933" s="9"/>
      <c r="P1933" s="9"/>
      <c r="Q1933" s="9"/>
      <c r="R1933" s="9"/>
      <c r="S1933" s="42"/>
      <c r="T1933" s="42"/>
      <c r="U1933" s="42"/>
      <c r="V1933" s="42"/>
      <c r="W1933" s="42"/>
      <c r="X1933" s="42"/>
      <c r="Y1933" s="42"/>
      <c r="Z1933" s="42"/>
      <c r="AA1933" s="42"/>
      <c r="AB1933" s="42" t="str">
        <f>IFERROR(__xludf.DUMMYFUNCTION("""COMPUTED_VALUE"""),"allen institute")</f>
        <v>allen institute</v>
      </c>
      <c r="AC1933" s="42" t="str">
        <f>IFERROR(__xludf.DUMMYFUNCTION("""COMPUTED_VALUE"""),"DHBA")</f>
        <v>DHBA</v>
      </c>
      <c r="AD1933" s="42"/>
      <c r="AE1933" s="42"/>
      <c r="AF1933" s="9"/>
      <c r="AG1933" s="9"/>
      <c r="AH1933" s="42"/>
      <c r="AI1933" s="42"/>
      <c r="AJ1933" s="42"/>
      <c r="AK1933" s="42"/>
      <c r="AL1933" s="42"/>
      <c r="AM1933" s="42"/>
      <c r="AN1933" s="42"/>
      <c r="AO1933" s="63" t="str">
        <f>IFERROR(__xludf.DUMMYFUNCTION("IF(ISBLANK(A1933),,IF(ISBLANK(S1933), A1933&amp;"";"", TEXTJOIN(CHAR(10), TRUE, A1933&amp;"";"", ARRAYFORMULA(VLOOKUP(SPLIT(S1933, "";"" &amp; CHAR(10)), $A:$AO, 41, FALSE)))))"),"ASTA;")</f>
        <v>ASTA;</v>
      </c>
      <c r="AP1933" s="89"/>
    </row>
    <row r="1934">
      <c r="A1934" s="151" t="str">
        <f>IFERROR(__xludf.DUMMYFUNCTION("""COMPUTED_VALUE"""),"ACTA")</f>
        <v>ACTA</v>
      </c>
      <c r="B1934" s="42" t="str">
        <f>IFERROR(__xludf.DUMMYFUNCTION("""COMPUTED_VALUE"""),"DHBA")</f>
        <v>DHBA</v>
      </c>
      <c r="C1934" s="42" t="str">
        <f>IFERROR(__xludf.DUMMYFUNCTION("""COMPUTED_VALUE"""),"amygdalocortical (corticoamygdaloid) transition area")</f>
        <v>amygdalocortical (corticoamygdaloid) transition area</v>
      </c>
      <c r="D1934" s="42">
        <f>IFERROR(__xludf.DUMMYFUNCTION("""COMPUTED_VALUE"""),1830.0)</f>
        <v>1830</v>
      </c>
      <c r="E1934" s="39" t="str">
        <f>IFERROR(__xludf.DUMMYFUNCTION("""COMPUTED_VALUE"""),"amygdalocortical (corticoamygdaloid) transition area")</f>
        <v>amygdalocortical (corticoamygdaloid) transition area</v>
      </c>
      <c r="F1934" s="9" t="str">
        <f>IFERROR(__xludf.DUMMYFUNCTION("""COMPUTED_VALUE"""),"Br")</f>
        <v>Br</v>
      </c>
      <c r="G1934" s="9" t="str">
        <f>IFERROR(__xludf.DUMMYFUNCTION("""COMPUTED_VALUE"""),"F")</f>
        <v>F</v>
      </c>
      <c r="H1934" s="9" t="str">
        <f>IFERROR(__xludf.DUMMYFUNCTION("""COMPUTED_VALUE"""),"FGM")</f>
        <v>FGM</v>
      </c>
      <c r="I1934" s="9" t="str">
        <f>IFERROR(__xludf.DUMMYFUNCTION("""COMPUTED_VALUE"""),"Tel")</f>
        <v>Tel</v>
      </c>
      <c r="J1934" s="9" t="str">
        <f>IFERROR(__xludf.DUMMYFUNCTION("""COMPUTED_VALUE"""),"CN")</f>
        <v>CN</v>
      </c>
      <c r="K1934" s="9" t="str">
        <f>IFERROR(__xludf.DUMMYFUNCTION("""COMPUTED_VALUE"""),"ATA")</f>
        <v>ATA</v>
      </c>
      <c r="L1934" s="9" t="str">
        <f>IFERROR(__xludf.DUMMYFUNCTION("""COMPUTED_VALUE"""),"ACTA")</f>
        <v>ACTA</v>
      </c>
      <c r="M1934" s="9"/>
      <c r="N1934" s="9"/>
      <c r="O1934" s="9"/>
      <c r="P1934" s="9"/>
      <c r="Q1934" s="9"/>
      <c r="R1934" s="9"/>
      <c r="S1934" s="42" t="str">
        <f>IFERROR(__xludf.DUMMYFUNCTION("""COMPUTED_VALUE"""),"ACTA_m")</f>
        <v>ACTA_m</v>
      </c>
      <c r="T1934" s="42"/>
      <c r="U1934" s="42" t="b">
        <f>IFERROR(__xludf.DUMMYFUNCTION("""COMPUTED_VALUE"""),FALSE)</f>
        <v>0</v>
      </c>
      <c r="V1934" s="42"/>
      <c r="W1934" s="42"/>
      <c r="X1934" s="42"/>
      <c r="Y1934" s="42"/>
      <c r="Z1934" s="42"/>
      <c r="AA1934" s="42"/>
      <c r="AB1934" s="42" t="str">
        <f>IFERROR(__xludf.DUMMYFUNCTION("""COMPUTED_VALUE"""),"allen institute")</f>
        <v>allen institute</v>
      </c>
      <c r="AC1934" s="42" t="str">
        <f>IFERROR(__xludf.DUMMYFUNCTION("""COMPUTED_VALUE"""),"DHBA")</f>
        <v>DHBA</v>
      </c>
      <c r="AD1934" s="42"/>
      <c r="AE1934" s="42"/>
      <c r="AF1934" s="9"/>
      <c r="AG1934" s="9"/>
      <c r="AH1934" s="42"/>
      <c r="AI1934" s="42"/>
      <c r="AJ1934" s="42"/>
      <c r="AK1934" s="42"/>
      <c r="AL1934" s="42"/>
      <c r="AM1934" s="42"/>
      <c r="AN1934" s="42"/>
      <c r="AO1934" s="63" t="str">
        <f>IFERROR(__xludf.DUMMYFUNCTION("IF(ISBLANK(A1934),,IF(ISBLANK(S1934), A1934&amp;"";"", TEXTJOIN(CHAR(10), TRUE, A1934&amp;"";"", ARRAYFORMULA(VLOOKUP(SPLIT(S1934, "";"" &amp; CHAR(10)), $A:$AO, 41, FALSE)))))"),"#N/A")</f>
        <v>#N/A</v>
      </c>
      <c r="AP1934" s="89"/>
    </row>
    <row r="1935">
      <c r="A1935" s="151" t="str">
        <f>IFERROR(__xludf.DUMMYFUNCTION("""COMPUTED_VALUE"""),"ACTA-m")</f>
        <v>ACTA-m</v>
      </c>
      <c r="B1935" s="42" t="str">
        <f>IFERROR(__xludf.DUMMYFUNCTION("""COMPUTED_VALUE"""),"DHBA")</f>
        <v>DHBA</v>
      </c>
      <c r="C1935" s="42" t="str">
        <f>IFERROR(__xludf.DUMMYFUNCTION("""COMPUTED_VALUE"""),"marginal layer of ACTA")</f>
        <v>marginal layer of ACTA</v>
      </c>
      <c r="D1935" s="42">
        <f>IFERROR(__xludf.DUMMYFUNCTION("""COMPUTED_VALUE"""),1831.0)</f>
        <v>1831</v>
      </c>
      <c r="E1935" s="39" t="str">
        <f>IFERROR(__xludf.DUMMYFUNCTION("""COMPUTED_VALUE"""),"marginal layer of ACTA")</f>
        <v>marginal layer of ACTA</v>
      </c>
      <c r="F1935" s="9" t="str">
        <f>IFERROR(__xludf.DUMMYFUNCTION("""COMPUTED_VALUE"""),"Br")</f>
        <v>Br</v>
      </c>
      <c r="G1935" s="9" t="str">
        <f>IFERROR(__xludf.DUMMYFUNCTION("""COMPUTED_VALUE"""),"F")</f>
        <v>F</v>
      </c>
      <c r="H1935" s="9" t="str">
        <f>IFERROR(__xludf.DUMMYFUNCTION("""COMPUTED_VALUE"""),"FGM")</f>
        <v>FGM</v>
      </c>
      <c r="I1935" s="9" t="str">
        <f>IFERROR(__xludf.DUMMYFUNCTION("""COMPUTED_VALUE"""),"Tel")</f>
        <v>Tel</v>
      </c>
      <c r="J1935" s="9" t="str">
        <f>IFERROR(__xludf.DUMMYFUNCTION("""COMPUTED_VALUE"""),"CN")</f>
        <v>CN</v>
      </c>
      <c r="K1935" s="9" t="str">
        <f>IFERROR(__xludf.DUMMYFUNCTION("""COMPUTED_VALUE"""),"ATA")</f>
        <v>ATA</v>
      </c>
      <c r="L1935" s="9" t="str">
        <f>IFERROR(__xludf.DUMMYFUNCTION("""COMPUTED_VALUE"""),"ACTA")</f>
        <v>ACTA</v>
      </c>
      <c r="M1935" s="9" t="str">
        <f>IFERROR(__xludf.DUMMYFUNCTION("""COMPUTED_VALUE"""),"ACTA-m")</f>
        <v>ACTA-m</v>
      </c>
      <c r="N1935" s="9"/>
      <c r="O1935" s="9"/>
      <c r="P1935" s="9"/>
      <c r="Q1935" s="9"/>
      <c r="R1935" s="9"/>
      <c r="S1935" s="42"/>
      <c r="T1935" s="42"/>
      <c r="U1935" s="42"/>
      <c r="V1935" s="42"/>
      <c r="W1935" s="42"/>
      <c r="X1935" s="42"/>
      <c r="Y1935" s="42"/>
      <c r="Z1935" s="42"/>
      <c r="AA1935" s="42"/>
      <c r="AB1935" s="42" t="str">
        <f>IFERROR(__xludf.DUMMYFUNCTION("""COMPUTED_VALUE"""),"allen institute")</f>
        <v>allen institute</v>
      </c>
      <c r="AC1935" s="42" t="str">
        <f>IFERROR(__xludf.DUMMYFUNCTION("""COMPUTED_VALUE"""),"DHBA")</f>
        <v>DHBA</v>
      </c>
      <c r="AD1935" s="42"/>
      <c r="AE1935" s="42"/>
      <c r="AF1935" s="9"/>
      <c r="AG1935" s="9"/>
      <c r="AH1935" s="42"/>
      <c r="AI1935" s="42"/>
      <c r="AJ1935" s="42"/>
      <c r="AK1935" s="42"/>
      <c r="AL1935" s="42"/>
      <c r="AM1935" s="42"/>
      <c r="AN1935" s="42"/>
      <c r="AO1935" s="63" t="str">
        <f>IFERROR(__xludf.DUMMYFUNCTION("IF(ISBLANK(A1935),,IF(ISBLANK(S1935), A1935&amp;"";"", TEXTJOIN(CHAR(10), TRUE, A1935&amp;"";"", ARRAYFORMULA(VLOOKUP(SPLIT(S1935, "";"" &amp; CHAR(10)), $A:$AO, 41, FALSE)))))"),"ACTA-m;")</f>
        <v>ACTA-m;</v>
      </c>
      <c r="AP1935" s="89"/>
    </row>
    <row r="1936">
      <c r="A1936" s="151" t="str">
        <f>IFERROR(__xludf.DUMMYFUNCTION("""COMPUTED_VALUE"""),"SA")</f>
        <v>SA</v>
      </c>
      <c r="B1936" s="42" t="str">
        <f>IFERROR(__xludf.DUMMYFUNCTION("""COMPUTED_VALUE"""),"DHBA")</f>
        <v>DHBA</v>
      </c>
      <c r="C1936" s="42" t="str">
        <f>IFERROR(__xludf.DUMMYFUNCTION("""COMPUTED_VALUE"""),"supra-amygdaloid area")</f>
        <v>supra-amygdaloid area</v>
      </c>
      <c r="D1936" s="42">
        <f>IFERROR(__xludf.DUMMYFUNCTION("""COMPUTED_VALUE"""),1832.0)</f>
        <v>1832</v>
      </c>
      <c r="E1936" s="39" t="str">
        <f>IFERROR(__xludf.DUMMYFUNCTION("""COMPUTED_VALUE"""),"supra-amygdaloid area")</f>
        <v>supra-amygdaloid area</v>
      </c>
      <c r="F1936" s="9" t="str">
        <f>IFERROR(__xludf.DUMMYFUNCTION("""COMPUTED_VALUE"""),"Br")</f>
        <v>Br</v>
      </c>
      <c r="G1936" s="9" t="str">
        <f>IFERROR(__xludf.DUMMYFUNCTION("""COMPUTED_VALUE"""),"F")</f>
        <v>F</v>
      </c>
      <c r="H1936" s="9" t="str">
        <f>IFERROR(__xludf.DUMMYFUNCTION("""COMPUTED_VALUE"""),"FGM")</f>
        <v>FGM</v>
      </c>
      <c r="I1936" s="9" t="str">
        <f>IFERROR(__xludf.DUMMYFUNCTION("""COMPUTED_VALUE"""),"Tel")</f>
        <v>Tel</v>
      </c>
      <c r="J1936" s="9" t="str">
        <f>IFERROR(__xludf.DUMMYFUNCTION("""COMPUTED_VALUE"""),"CN")</f>
        <v>CN</v>
      </c>
      <c r="K1936" s="9" t="str">
        <f>IFERROR(__xludf.DUMMYFUNCTION("""COMPUTED_VALUE"""),"ATA")</f>
        <v>ATA</v>
      </c>
      <c r="L1936" s="9" t="str">
        <f>IFERROR(__xludf.DUMMYFUNCTION("""COMPUTED_VALUE"""),"SA")</f>
        <v>SA</v>
      </c>
      <c r="M1936" s="9"/>
      <c r="N1936" s="9"/>
      <c r="O1936" s="9"/>
      <c r="P1936" s="9"/>
      <c r="Q1936" s="9"/>
      <c r="R1936" s="9"/>
      <c r="S1936" s="42"/>
      <c r="T1936" s="42"/>
      <c r="U1936" s="42"/>
      <c r="V1936" s="42"/>
      <c r="W1936" s="42"/>
      <c r="X1936" s="42"/>
      <c r="Y1936" s="42"/>
      <c r="Z1936" s="42"/>
      <c r="AA1936" s="42"/>
      <c r="AB1936" s="42" t="str">
        <f>IFERROR(__xludf.DUMMYFUNCTION("""COMPUTED_VALUE"""),"allen institute")</f>
        <v>allen institute</v>
      </c>
      <c r="AC1936" s="42" t="str">
        <f>IFERROR(__xludf.DUMMYFUNCTION("""COMPUTED_VALUE"""),"DHBA")</f>
        <v>DHBA</v>
      </c>
      <c r="AD1936" s="42"/>
      <c r="AE1936" s="42"/>
      <c r="AF1936" s="9"/>
      <c r="AG1936" s="9"/>
      <c r="AH1936" s="42"/>
      <c r="AI1936" s="42"/>
      <c r="AJ1936" s="42"/>
      <c r="AK1936" s="42"/>
      <c r="AL1936" s="42"/>
      <c r="AM1936" s="42"/>
      <c r="AN1936" s="42"/>
      <c r="AO1936" s="63" t="str">
        <f>IFERROR(__xludf.DUMMYFUNCTION("IF(ISBLANK(A1936),,IF(ISBLANK(S1936), A1936&amp;"";"", TEXTJOIN(CHAR(10), TRUE, A1936&amp;"";"", ARRAYFORMULA(VLOOKUP(SPLIT(S1936, "";"" &amp; CHAR(10)), $A:$AO, 41, FALSE)))))"),"SA;")</f>
        <v>SA;</v>
      </c>
      <c r="AP1936" s="89"/>
    </row>
    <row r="1937">
      <c r="A1937" s="151" t="str">
        <f>IFERROR(__xludf.DUMMYFUNCTION("""COMPUTED_VALUE"""),"EXA")</f>
        <v>EXA</v>
      </c>
      <c r="B1937" s="42" t="str">
        <f>IFERROR(__xludf.DUMMYFUNCTION("""COMPUTED_VALUE"""),"DHBA")</f>
        <v>DHBA</v>
      </c>
      <c r="C1937" s="42" t="str">
        <f>IFERROR(__xludf.DUMMYFUNCTION("""COMPUTED_VALUE"""),"extended amygdala")</f>
        <v>extended amygdala</v>
      </c>
      <c r="D1937" s="42">
        <f>IFERROR(__xludf.DUMMYFUNCTION("""COMPUTED_VALUE"""),1833.0)</f>
        <v>1833</v>
      </c>
      <c r="E1937" s="39" t="str">
        <f>IFERROR(__xludf.DUMMYFUNCTION("""COMPUTED_VALUE"""),"extended amygdala")</f>
        <v>extended amygdala</v>
      </c>
      <c r="F1937" s="9" t="str">
        <f>IFERROR(__xludf.DUMMYFUNCTION("""COMPUTED_VALUE"""),"Br")</f>
        <v>Br</v>
      </c>
      <c r="G1937" s="9" t="str">
        <f>IFERROR(__xludf.DUMMYFUNCTION("""COMPUTED_VALUE"""),"F")</f>
        <v>F</v>
      </c>
      <c r="H1937" s="9" t="str">
        <f>IFERROR(__xludf.DUMMYFUNCTION("""COMPUTED_VALUE"""),"FGM")</f>
        <v>FGM</v>
      </c>
      <c r="I1937" s="9" t="str">
        <f>IFERROR(__xludf.DUMMYFUNCTION("""COMPUTED_VALUE"""),"Tel")</f>
        <v>Tel</v>
      </c>
      <c r="J1937" s="9" t="str">
        <f>IFERROR(__xludf.DUMMYFUNCTION("""COMPUTED_VALUE"""),"CN")</f>
        <v>CN</v>
      </c>
      <c r="K1937" s="9" t="str">
        <f>IFERROR(__xludf.DUMMYFUNCTION("""COMPUTED_VALUE"""),"EXA")</f>
        <v>EXA</v>
      </c>
      <c r="L1937" s="9"/>
      <c r="M1937" s="9"/>
      <c r="N1937" s="9"/>
      <c r="O1937" s="9"/>
      <c r="P1937" s="9"/>
      <c r="Q1937" s="9"/>
      <c r="R1937" s="9"/>
      <c r="S1937" s="42" t="str">
        <f>IFERROR(__xludf.DUMMYFUNCTION("""COMPUTED_VALUE"""),"BNST;
SLEA;
IPAC")</f>
        <v>BNST;
SLEA;
IPAC</v>
      </c>
      <c r="T1937" s="42"/>
      <c r="U1937" s="42" t="b">
        <f>IFERROR(__xludf.DUMMYFUNCTION("""COMPUTED_VALUE"""),FALSE)</f>
        <v>0</v>
      </c>
      <c r="V1937" s="42"/>
      <c r="W1937" s="42"/>
      <c r="X1937" s="42"/>
      <c r="Y1937" s="42"/>
      <c r="Z1937" s="42"/>
      <c r="AA1937" s="42"/>
      <c r="AB1937" s="42" t="str">
        <f>IFERROR(__xludf.DUMMYFUNCTION("""COMPUTED_VALUE"""),"allen institute")</f>
        <v>allen institute</v>
      </c>
      <c r="AC1937" s="42" t="str">
        <f>IFERROR(__xludf.DUMMYFUNCTION("""COMPUTED_VALUE"""),"DHBA")</f>
        <v>DHBA</v>
      </c>
      <c r="AD1937" s="42"/>
      <c r="AE1937" s="42"/>
      <c r="AF1937" s="9"/>
      <c r="AG1937" s="9"/>
      <c r="AH1937" s="42"/>
      <c r="AI1937" s="42"/>
      <c r="AJ1937" s="42"/>
      <c r="AK1937" s="42"/>
      <c r="AL1937" s="42"/>
      <c r="AM1937" s="42"/>
      <c r="AN1937" s="42"/>
      <c r="AO1937" s="63" t="str">
        <f>IFERROR(__xludf.DUMMYFUNCTION("IF(ISBLANK(A1937),,IF(ISBLANK(S1937), A1937&amp;"";"", TEXTJOIN(CHAR(10), TRUE, A1937&amp;"";"", ARRAYFORMULA(VLOOKUP(SPLIT(S1937, "";"" &amp; CHAR(10)), $A:$AO, 41, FALSE)))))"),"#N/A")</f>
        <v>#N/A</v>
      </c>
      <c r="AP1937" s="89"/>
    </row>
    <row r="1938">
      <c r="A1938" s="151" t="str">
        <f>IFERROR(__xludf.DUMMYFUNCTION("""COMPUTED_VALUE"""),"BNST")</f>
        <v>BNST</v>
      </c>
      <c r="B1938" s="42" t="str">
        <f>IFERROR(__xludf.DUMMYFUNCTION("""COMPUTED_VALUE"""),"DHBA")</f>
        <v>DHBA</v>
      </c>
      <c r="C1938" s="42" t="str">
        <f>IFERROR(__xludf.DUMMYFUNCTION("""COMPUTED_VALUE"""),"bed nucleus of stria terminalis")</f>
        <v>bed nucleus of stria terminalis</v>
      </c>
      <c r="D1938" s="42">
        <f>IFERROR(__xludf.DUMMYFUNCTION("""COMPUTED_VALUE"""),1834.0)</f>
        <v>1834</v>
      </c>
      <c r="E1938" s="39" t="str">
        <f>IFERROR(__xludf.DUMMYFUNCTION("""COMPUTED_VALUE"""),"bed nucleus of stria terminalis")</f>
        <v>bed nucleus of stria terminalis</v>
      </c>
      <c r="F1938" s="9" t="str">
        <f>IFERROR(__xludf.DUMMYFUNCTION("""COMPUTED_VALUE"""),"Br")</f>
        <v>Br</v>
      </c>
      <c r="G1938" s="9" t="str">
        <f>IFERROR(__xludf.DUMMYFUNCTION("""COMPUTED_VALUE"""),"F")</f>
        <v>F</v>
      </c>
      <c r="H1938" s="9" t="str">
        <f>IFERROR(__xludf.DUMMYFUNCTION("""COMPUTED_VALUE"""),"FGM")</f>
        <v>FGM</v>
      </c>
      <c r="I1938" s="9" t="str">
        <f>IFERROR(__xludf.DUMMYFUNCTION("""COMPUTED_VALUE"""),"Tel")</f>
        <v>Tel</v>
      </c>
      <c r="J1938" s="9" t="str">
        <f>IFERROR(__xludf.DUMMYFUNCTION("""COMPUTED_VALUE"""),"CN")</f>
        <v>CN</v>
      </c>
      <c r="K1938" s="9" t="str">
        <f>IFERROR(__xludf.DUMMYFUNCTION("""COMPUTED_VALUE"""),"EXA")</f>
        <v>EXA</v>
      </c>
      <c r="L1938" s="9" t="str">
        <f>IFERROR(__xludf.DUMMYFUNCTION("""COMPUTED_VALUE"""),"BNST")</f>
        <v>BNST</v>
      </c>
      <c r="M1938" s="9"/>
      <c r="N1938" s="9"/>
      <c r="O1938" s="9"/>
      <c r="P1938" s="9"/>
      <c r="Q1938" s="9"/>
      <c r="R1938" s="9"/>
      <c r="S1938" s="42" t="str">
        <f>IFERROR(__xludf.DUMMYFUNCTION("""COMPUTED_VALUE"""),"BNSTm;
BNSTl;
BNSTsc;
BNSTin")</f>
        <v>BNSTm;
BNSTl;
BNSTsc;
BNSTin</v>
      </c>
      <c r="T1938" s="42"/>
      <c r="U1938" s="42" t="b">
        <f>IFERROR(__xludf.DUMMYFUNCTION("""COMPUTED_VALUE"""),FALSE)</f>
        <v>0</v>
      </c>
      <c r="V1938" s="42"/>
      <c r="W1938" s="42"/>
      <c r="X1938" s="42"/>
      <c r="Y1938" s="42"/>
      <c r="Z1938" s="42"/>
      <c r="AA1938" s="42"/>
      <c r="AB1938" s="42" t="str">
        <f>IFERROR(__xludf.DUMMYFUNCTION("""COMPUTED_VALUE"""),"allen institute")</f>
        <v>allen institute</v>
      </c>
      <c r="AC1938" s="42" t="str">
        <f>IFERROR(__xludf.DUMMYFUNCTION("""COMPUTED_VALUE"""),"DHBA")</f>
        <v>DHBA</v>
      </c>
      <c r="AD1938" s="42"/>
      <c r="AE1938" s="42"/>
      <c r="AF1938" s="9"/>
      <c r="AG1938" s="9"/>
      <c r="AH1938" s="42"/>
      <c r="AI1938" s="42"/>
      <c r="AJ1938" s="42"/>
      <c r="AK1938" s="42"/>
      <c r="AL1938" s="42"/>
      <c r="AM1938" s="42"/>
      <c r="AN1938" s="42"/>
      <c r="AO1938" s="63" t="str">
        <f>IFERROR(__xludf.DUMMYFUNCTION("IF(ISBLANK(A1938),,IF(ISBLANK(S1938), A1938&amp;"";"", TEXTJOIN(CHAR(10), TRUE, A1938&amp;"";"", ARRAYFORMULA(VLOOKUP(SPLIT(S1938, "";"" &amp; CHAR(10)), $A:$AO, 41, FALSE)))))"),"#N/A")</f>
        <v>#N/A</v>
      </c>
      <c r="AP1938" s="89"/>
    </row>
    <row r="1939">
      <c r="A1939" s="151" t="str">
        <f>IFERROR(__xludf.DUMMYFUNCTION("""COMPUTED_VALUE"""),"BNSTm")</f>
        <v>BNSTm</v>
      </c>
      <c r="B1939" s="42" t="str">
        <f>IFERROR(__xludf.DUMMYFUNCTION("""COMPUTED_VALUE"""),"DHBA")</f>
        <v>DHBA</v>
      </c>
      <c r="C1939" s="42" t="str">
        <f>IFERROR(__xludf.DUMMYFUNCTION("""COMPUTED_VALUE"""),"medial subdivision of BNST")</f>
        <v>medial subdivision of BNST</v>
      </c>
      <c r="D1939" s="42">
        <f>IFERROR(__xludf.DUMMYFUNCTION("""COMPUTED_VALUE"""),1835.0)</f>
        <v>1835</v>
      </c>
      <c r="E1939" s="39" t="str">
        <f>IFERROR(__xludf.DUMMYFUNCTION("""COMPUTED_VALUE"""),"medial subdivision of BNST")</f>
        <v>medial subdivision of BNST</v>
      </c>
      <c r="F1939" s="9" t="str">
        <f>IFERROR(__xludf.DUMMYFUNCTION("""COMPUTED_VALUE"""),"Br")</f>
        <v>Br</v>
      </c>
      <c r="G1939" s="9" t="str">
        <f>IFERROR(__xludf.DUMMYFUNCTION("""COMPUTED_VALUE"""),"F")</f>
        <v>F</v>
      </c>
      <c r="H1939" s="9" t="str">
        <f>IFERROR(__xludf.DUMMYFUNCTION("""COMPUTED_VALUE"""),"FGM")</f>
        <v>FGM</v>
      </c>
      <c r="I1939" s="9" t="str">
        <f>IFERROR(__xludf.DUMMYFUNCTION("""COMPUTED_VALUE"""),"Tel")</f>
        <v>Tel</v>
      </c>
      <c r="J1939" s="9" t="str">
        <f>IFERROR(__xludf.DUMMYFUNCTION("""COMPUTED_VALUE"""),"CN")</f>
        <v>CN</v>
      </c>
      <c r="K1939" s="9" t="str">
        <f>IFERROR(__xludf.DUMMYFUNCTION("""COMPUTED_VALUE"""),"EXA")</f>
        <v>EXA</v>
      </c>
      <c r="L1939" s="9" t="str">
        <f>IFERROR(__xludf.DUMMYFUNCTION("""COMPUTED_VALUE"""),"BNST")</f>
        <v>BNST</v>
      </c>
      <c r="M1939" s="9" t="str">
        <f>IFERROR(__xludf.DUMMYFUNCTION("""COMPUTED_VALUE"""),"BNSTm")</f>
        <v>BNSTm</v>
      </c>
      <c r="N1939" s="9"/>
      <c r="O1939" s="9"/>
      <c r="P1939" s="9"/>
      <c r="Q1939" s="9"/>
      <c r="R1939" s="9"/>
      <c r="S1939" s="42" t="str">
        <f>IFERROR(__xludf.DUMMYFUNCTION("""COMPUTED_VALUE"""),"BSTmr;
BSTmc;
BSTmv")</f>
        <v>BSTmr;
BSTmc;
BSTmv</v>
      </c>
      <c r="T1939" s="42"/>
      <c r="U1939" s="42" t="b">
        <f>IFERROR(__xludf.DUMMYFUNCTION("""COMPUTED_VALUE"""),FALSE)</f>
        <v>0</v>
      </c>
      <c r="V1939" s="42"/>
      <c r="W1939" s="42"/>
      <c r="X1939" s="42"/>
      <c r="Y1939" s="42"/>
      <c r="Z1939" s="42"/>
      <c r="AA1939" s="42"/>
      <c r="AB1939" s="42" t="str">
        <f>IFERROR(__xludf.DUMMYFUNCTION("""COMPUTED_VALUE"""),"allen institute")</f>
        <v>allen institute</v>
      </c>
      <c r="AC1939" s="42" t="str">
        <f>IFERROR(__xludf.DUMMYFUNCTION("""COMPUTED_VALUE"""),"DHBA")</f>
        <v>DHBA</v>
      </c>
      <c r="AD1939" s="42"/>
      <c r="AE1939" s="42"/>
      <c r="AF1939" s="9"/>
      <c r="AG1939" s="9"/>
      <c r="AH1939" s="42"/>
      <c r="AI1939" s="42"/>
      <c r="AJ1939" s="42"/>
      <c r="AK1939" s="42"/>
      <c r="AL1939" s="42"/>
      <c r="AM1939" s="42"/>
      <c r="AN1939" s="42"/>
      <c r="AO1939" s="63" t="str">
        <f>IFERROR(__xludf.DUMMYFUNCTION("IF(ISBLANK(A1939),,IF(ISBLANK(S1939), A1939&amp;"";"", TEXTJOIN(CHAR(10), TRUE, A1939&amp;"";"", ARRAYFORMULA(VLOOKUP(SPLIT(S1939, "";"" &amp; CHAR(10)), $A:$AO, 41, FALSE)))))"),"BNSTm;
BSTmr;
BSTmc;
BSTmcl;
BSTmm;
BSTmv;")</f>
        <v>BNSTm;
BSTmr;
BSTmc;
BSTmcl;
BSTmm;
BSTmv;</v>
      </c>
      <c r="AP1939" s="89"/>
    </row>
    <row r="1940">
      <c r="A1940" s="151" t="str">
        <f>IFERROR(__xludf.DUMMYFUNCTION("""COMPUTED_VALUE"""),"BSTmr")</f>
        <v>BSTmr</v>
      </c>
      <c r="B1940" s="42" t="str">
        <f>IFERROR(__xludf.DUMMYFUNCTION("""COMPUTED_VALUE"""),"DHBA")</f>
        <v>DHBA</v>
      </c>
      <c r="C1940" s="42" t="str">
        <f>IFERROR(__xludf.DUMMYFUNCTION("""COMPUTED_VALUE"""),"rostral subdivision of BNSTm")</f>
        <v>rostral subdivision of BNSTm</v>
      </c>
      <c r="D1940" s="42">
        <f>IFERROR(__xludf.DUMMYFUNCTION("""COMPUTED_VALUE"""),1836.0)</f>
        <v>1836</v>
      </c>
      <c r="E1940" s="39" t="str">
        <f>IFERROR(__xludf.DUMMYFUNCTION("""COMPUTED_VALUE"""),"rostral subdivision of BNSTm")</f>
        <v>rostral subdivision of BNSTm</v>
      </c>
      <c r="F1940" s="9" t="str">
        <f>IFERROR(__xludf.DUMMYFUNCTION("""COMPUTED_VALUE"""),"Br")</f>
        <v>Br</v>
      </c>
      <c r="G1940" s="9" t="str">
        <f>IFERROR(__xludf.DUMMYFUNCTION("""COMPUTED_VALUE"""),"F")</f>
        <v>F</v>
      </c>
      <c r="H1940" s="9" t="str">
        <f>IFERROR(__xludf.DUMMYFUNCTION("""COMPUTED_VALUE"""),"FGM")</f>
        <v>FGM</v>
      </c>
      <c r="I1940" s="9" t="str">
        <f>IFERROR(__xludf.DUMMYFUNCTION("""COMPUTED_VALUE"""),"Tel")</f>
        <v>Tel</v>
      </c>
      <c r="J1940" s="9" t="str">
        <f>IFERROR(__xludf.DUMMYFUNCTION("""COMPUTED_VALUE"""),"CN")</f>
        <v>CN</v>
      </c>
      <c r="K1940" s="9" t="str">
        <f>IFERROR(__xludf.DUMMYFUNCTION("""COMPUTED_VALUE"""),"EXA")</f>
        <v>EXA</v>
      </c>
      <c r="L1940" s="9" t="str">
        <f>IFERROR(__xludf.DUMMYFUNCTION("""COMPUTED_VALUE"""),"BNST")</f>
        <v>BNST</v>
      </c>
      <c r="M1940" s="9" t="str">
        <f>IFERROR(__xludf.DUMMYFUNCTION("""COMPUTED_VALUE"""),"BNSTm")</f>
        <v>BNSTm</v>
      </c>
      <c r="N1940" s="9" t="str">
        <f>IFERROR(__xludf.DUMMYFUNCTION("""COMPUTED_VALUE"""),"BSTmr")</f>
        <v>BSTmr</v>
      </c>
      <c r="O1940" s="9"/>
      <c r="P1940" s="9"/>
      <c r="Q1940" s="9"/>
      <c r="R1940" s="9"/>
      <c r="S1940" s="42"/>
      <c r="T1940" s="42"/>
      <c r="U1940" s="42"/>
      <c r="V1940" s="42"/>
      <c r="W1940" s="42"/>
      <c r="X1940" s="42"/>
      <c r="Y1940" s="42"/>
      <c r="Z1940" s="42"/>
      <c r="AA1940" s="42"/>
      <c r="AB1940" s="42" t="str">
        <f>IFERROR(__xludf.DUMMYFUNCTION("""COMPUTED_VALUE"""),"allen institute")</f>
        <v>allen institute</v>
      </c>
      <c r="AC1940" s="42" t="str">
        <f>IFERROR(__xludf.DUMMYFUNCTION("""COMPUTED_VALUE"""),"DHBA")</f>
        <v>DHBA</v>
      </c>
      <c r="AD1940" s="42"/>
      <c r="AE1940" s="42"/>
      <c r="AF1940" s="9"/>
      <c r="AG1940" s="9"/>
      <c r="AH1940" s="42"/>
      <c r="AI1940" s="42"/>
      <c r="AJ1940" s="42"/>
      <c r="AK1940" s="42"/>
      <c r="AL1940" s="42"/>
      <c r="AM1940" s="42"/>
      <c r="AN1940" s="42"/>
      <c r="AO1940" s="63" t="str">
        <f>IFERROR(__xludf.DUMMYFUNCTION("IF(ISBLANK(A1940),,IF(ISBLANK(S1940), A1940&amp;"";"", TEXTJOIN(CHAR(10), TRUE, A1940&amp;"";"", ARRAYFORMULA(VLOOKUP(SPLIT(S1940, "";"" &amp; CHAR(10)), $A:$AO, 41, FALSE)))))"),"BSTmr;")</f>
        <v>BSTmr;</v>
      </c>
      <c r="AP1940" s="89"/>
    </row>
    <row r="1941">
      <c r="A1941" s="151" t="str">
        <f>IFERROR(__xludf.DUMMYFUNCTION("""COMPUTED_VALUE"""),"BSTmc")</f>
        <v>BSTmc</v>
      </c>
      <c r="B1941" s="42" t="str">
        <f>IFERROR(__xludf.DUMMYFUNCTION("""COMPUTED_VALUE"""),"DHBA")</f>
        <v>DHBA</v>
      </c>
      <c r="C1941" s="42" t="str">
        <f>IFERROR(__xludf.DUMMYFUNCTION("""COMPUTED_VALUE"""),"caudal subdivision of BNSTm")</f>
        <v>caudal subdivision of BNSTm</v>
      </c>
      <c r="D1941" s="42">
        <f>IFERROR(__xludf.DUMMYFUNCTION("""COMPUTED_VALUE"""),1837.0)</f>
        <v>1837</v>
      </c>
      <c r="E1941" s="39" t="str">
        <f>IFERROR(__xludf.DUMMYFUNCTION("""COMPUTED_VALUE"""),"caudal subdivision of BNSTm")</f>
        <v>caudal subdivision of BNSTm</v>
      </c>
      <c r="F1941" s="9" t="str">
        <f>IFERROR(__xludf.DUMMYFUNCTION("""COMPUTED_VALUE"""),"Br")</f>
        <v>Br</v>
      </c>
      <c r="G1941" s="9" t="str">
        <f>IFERROR(__xludf.DUMMYFUNCTION("""COMPUTED_VALUE"""),"F")</f>
        <v>F</v>
      </c>
      <c r="H1941" s="9" t="str">
        <f>IFERROR(__xludf.DUMMYFUNCTION("""COMPUTED_VALUE"""),"FGM")</f>
        <v>FGM</v>
      </c>
      <c r="I1941" s="9" t="str">
        <f>IFERROR(__xludf.DUMMYFUNCTION("""COMPUTED_VALUE"""),"Tel")</f>
        <v>Tel</v>
      </c>
      <c r="J1941" s="9" t="str">
        <f>IFERROR(__xludf.DUMMYFUNCTION("""COMPUTED_VALUE"""),"CN")</f>
        <v>CN</v>
      </c>
      <c r="K1941" s="9" t="str">
        <f>IFERROR(__xludf.DUMMYFUNCTION("""COMPUTED_VALUE"""),"EXA")</f>
        <v>EXA</v>
      </c>
      <c r="L1941" s="9" t="str">
        <f>IFERROR(__xludf.DUMMYFUNCTION("""COMPUTED_VALUE"""),"BNST")</f>
        <v>BNST</v>
      </c>
      <c r="M1941" s="9" t="str">
        <f>IFERROR(__xludf.DUMMYFUNCTION("""COMPUTED_VALUE"""),"BNSTm")</f>
        <v>BNSTm</v>
      </c>
      <c r="N1941" s="9" t="str">
        <f>IFERROR(__xludf.DUMMYFUNCTION("""COMPUTED_VALUE"""),"BSTmc")</f>
        <v>BSTmc</v>
      </c>
      <c r="O1941" s="9"/>
      <c r="P1941" s="9"/>
      <c r="Q1941" s="9"/>
      <c r="R1941" s="9"/>
      <c r="S1941" s="42" t="str">
        <f>IFERROR(__xludf.DUMMYFUNCTION("""COMPUTED_VALUE"""),"BSTmcl;
BSTmm")</f>
        <v>BSTmcl;
BSTmm</v>
      </c>
      <c r="T1941" s="42"/>
      <c r="U1941" s="159" t="b">
        <f>IFERROR(__xludf.DUMMYFUNCTION("""COMPUTED_VALUE"""),FALSE)</f>
        <v>0</v>
      </c>
      <c r="V1941" s="42"/>
      <c r="W1941" s="42"/>
      <c r="X1941" s="42"/>
      <c r="Y1941" s="42"/>
      <c r="Z1941" s="42"/>
      <c r="AA1941" s="42"/>
      <c r="AB1941" s="42" t="str">
        <f>IFERROR(__xludf.DUMMYFUNCTION("""COMPUTED_VALUE"""),"allen institute")</f>
        <v>allen institute</v>
      </c>
      <c r="AC1941" s="42" t="str">
        <f>IFERROR(__xludf.DUMMYFUNCTION("""COMPUTED_VALUE"""),"DHBA")</f>
        <v>DHBA</v>
      </c>
      <c r="AD1941" s="42"/>
      <c r="AE1941" s="42"/>
      <c r="AF1941" s="9"/>
      <c r="AG1941" s="9"/>
      <c r="AH1941" s="42"/>
      <c r="AI1941" s="42"/>
      <c r="AJ1941" s="42"/>
      <c r="AK1941" s="42"/>
      <c r="AL1941" s="42"/>
      <c r="AM1941" s="42"/>
      <c r="AN1941" s="42"/>
      <c r="AO1941" s="63" t="str">
        <f>IFERROR(__xludf.DUMMYFUNCTION("IF(ISBLANK(A1941),,IF(ISBLANK(S1941), A1941&amp;"";"", TEXTJOIN(CHAR(10), TRUE, A1941&amp;"";"", ARRAYFORMULA(VLOOKUP(SPLIT(S1941, "";"" &amp; CHAR(10)), $A:$AO, 41, FALSE)))))"),"BSTmc;
BSTmcl;
BSTmm;")</f>
        <v>BSTmc;
BSTmcl;
BSTmm;</v>
      </c>
      <c r="AP1941" s="89"/>
    </row>
    <row r="1942">
      <c r="A1942" s="151" t="str">
        <f>IFERROR(__xludf.DUMMYFUNCTION("""COMPUTED_VALUE"""),"BSTmcl")</f>
        <v>BSTmcl</v>
      </c>
      <c r="B1942" s="42" t="str">
        <f>IFERROR(__xludf.DUMMYFUNCTION("""COMPUTED_VALUE"""),"DHBA")</f>
        <v>DHBA</v>
      </c>
      <c r="C1942" s="42" t="str">
        <f>IFERROR(__xludf.DUMMYFUNCTION("""COMPUTED_VALUE"""),"lateral subdivision of BNSTmc")</f>
        <v>lateral subdivision of BNSTmc</v>
      </c>
      <c r="D1942" s="42">
        <f>IFERROR(__xludf.DUMMYFUNCTION("""COMPUTED_VALUE"""),1838.0)</f>
        <v>1838</v>
      </c>
      <c r="E1942" s="39" t="str">
        <f>IFERROR(__xludf.DUMMYFUNCTION("""COMPUTED_VALUE"""),"lateral subdivision of BNSTmc")</f>
        <v>lateral subdivision of BNSTmc</v>
      </c>
      <c r="F1942" s="9" t="str">
        <f>IFERROR(__xludf.DUMMYFUNCTION("""COMPUTED_VALUE"""),"Br")</f>
        <v>Br</v>
      </c>
      <c r="G1942" s="9" t="str">
        <f>IFERROR(__xludf.DUMMYFUNCTION("""COMPUTED_VALUE"""),"F")</f>
        <v>F</v>
      </c>
      <c r="H1942" s="9" t="str">
        <f>IFERROR(__xludf.DUMMYFUNCTION("""COMPUTED_VALUE"""),"FGM")</f>
        <v>FGM</v>
      </c>
      <c r="I1942" s="9" t="str">
        <f>IFERROR(__xludf.DUMMYFUNCTION("""COMPUTED_VALUE"""),"Tel")</f>
        <v>Tel</v>
      </c>
      <c r="J1942" s="9" t="str">
        <f>IFERROR(__xludf.DUMMYFUNCTION("""COMPUTED_VALUE"""),"CN")</f>
        <v>CN</v>
      </c>
      <c r="K1942" s="9" t="str">
        <f>IFERROR(__xludf.DUMMYFUNCTION("""COMPUTED_VALUE"""),"EXA")</f>
        <v>EXA</v>
      </c>
      <c r="L1942" s="9" t="str">
        <f>IFERROR(__xludf.DUMMYFUNCTION("""COMPUTED_VALUE"""),"BNST")</f>
        <v>BNST</v>
      </c>
      <c r="M1942" s="9" t="str">
        <f>IFERROR(__xludf.DUMMYFUNCTION("""COMPUTED_VALUE"""),"BNSTm")</f>
        <v>BNSTm</v>
      </c>
      <c r="N1942" s="9" t="str">
        <f>IFERROR(__xludf.DUMMYFUNCTION("""COMPUTED_VALUE"""),"BSTmc")</f>
        <v>BSTmc</v>
      </c>
      <c r="O1942" s="9" t="str">
        <f>IFERROR(__xludf.DUMMYFUNCTION("""COMPUTED_VALUE"""),"BSTmcl")</f>
        <v>BSTmcl</v>
      </c>
      <c r="P1942" s="9"/>
      <c r="Q1942" s="9"/>
      <c r="R1942" s="9"/>
      <c r="S1942" s="42"/>
      <c r="T1942" s="42"/>
      <c r="U1942" s="42"/>
      <c r="V1942" s="42"/>
      <c r="W1942" s="42"/>
      <c r="X1942" s="42"/>
      <c r="Y1942" s="42"/>
      <c r="Z1942" s="42"/>
      <c r="AA1942" s="42"/>
      <c r="AB1942" s="42" t="str">
        <f>IFERROR(__xludf.DUMMYFUNCTION("""COMPUTED_VALUE"""),"allen institute")</f>
        <v>allen institute</v>
      </c>
      <c r="AC1942" s="42" t="str">
        <f>IFERROR(__xludf.DUMMYFUNCTION("""COMPUTED_VALUE"""),"DHBA")</f>
        <v>DHBA</v>
      </c>
      <c r="AD1942" s="42"/>
      <c r="AE1942" s="42"/>
      <c r="AF1942" s="9"/>
      <c r="AG1942" s="9"/>
      <c r="AH1942" s="42"/>
      <c r="AI1942" s="42"/>
      <c r="AJ1942" s="42"/>
      <c r="AK1942" s="42"/>
      <c r="AL1942" s="42"/>
      <c r="AM1942" s="42"/>
      <c r="AN1942" s="42"/>
      <c r="AO1942" s="63" t="str">
        <f>IFERROR(__xludf.DUMMYFUNCTION("IF(ISBLANK(A1942),,IF(ISBLANK(S1942), A1942&amp;"";"", TEXTJOIN(CHAR(10), TRUE, A1942&amp;"";"", ARRAYFORMULA(VLOOKUP(SPLIT(S1942, "";"" &amp; CHAR(10)), $A:$AO, 41, FALSE)))))"),"BSTmcl;")</f>
        <v>BSTmcl;</v>
      </c>
      <c r="AP1942" s="89"/>
    </row>
    <row r="1943">
      <c r="A1943" s="151" t="str">
        <f>IFERROR(__xludf.DUMMYFUNCTION("""COMPUTED_VALUE"""),"BSTmm")</f>
        <v>BSTmm</v>
      </c>
      <c r="B1943" s="42" t="str">
        <f>IFERROR(__xludf.DUMMYFUNCTION("""COMPUTED_VALUE"""),"DHBA")</f>
        <v>DHBA</v>
      </c>
      <c r="C1943" s="42" t="str">
        <f>IFERROR(__xludf.DUMMYFUNCTION("""COMPUTED_VALUE"""),"medial subdivision of BNSTmc")</f>
        <v>medial subdivision of BNSTmc</v>
      </c>
      <c r="D1943" s="42">
        <f>IFERROR(__xludf.DUMMYFUNCTION("""COMPUTED_VALUE"""),1839.0)</f>
        <v>1839</v>
      </c>
      <c r="E1943" s="39" t="str">
        <f>IFERROR(__xludf.DUMMYFUNCTION("""COMPUTED_VALUE"""),"medial subdivision of BNSTmc")</f>
        <v>medial subdivision of BNSTmc</v>
      </c>
      <c r="F1943" s="9" t="str">
        <f>IFERROR(__xludf.DUMMYFUNCTION("""COMPUTED_VALUE"""),"Br")</f>
        <v>Br</v>
      </c>
      <c r="G1943" s="9" t="str">
        <f>IFERROR(__xludf.DUMMYFUNCTION("""COMPUTED_VALUE"""),"F")</f>
        <v>F</v>
      </c>
      <c r="H1943" s="9" t="str">
        <f>IFERROR(__xludf.DUMMYFUNCTION("""COMPUTED_VALUE"""),"FGM")</f>
        <v>FGM</v>
      </c>
      <c r="I1943" s="9" t="str">
        <f>IFERROR(__xludf.DUMMYFUNCTION("""COMPUTED_VALUE"""),"Tel")</f>
        <v>Tel</v>
      </c>
      <c r="J1943" s="9" t="str">
        <f>IFERROR(__xludf.DUMMYFUNCTION("""COMPUTED_VALUE"""),"CN")</f>
        <v>CN</v>
      </c>
      <c r="K1943" s="9" t="str">
        <f>IFERROR(__xludf.DUMMYFUNCTION("""COMPUTED_VALUE"""),"EXA")</f>
        <v>EXA</v>
      </c>
      <c r="L1943" s="9" t="str">
        <f>IFERROR(__xludf.DUMMYFUNCTION("""COMPUTED_VALUE"""),"BNST")</f>
        <v>BNST</v>
      </c>
      <c r="M1943" s="9" t="str">
        <f>IFERROR(__xludf.DUMMYFUNCTION("""COMPUTED_VALUE"""),"BNSTm")</f>
        <v>BNSTm</v>
      </c>
      <c r="N1943" s="9" t="str">
        <f>IFERROR(__xludf.DUMMYFUNCTION("""COMPUTED_VALUE"""),"BSTmc")</f>
        <v>BSTmc</v>
      </c>
      <c r="O1943" s="9" t="str">
        <f>IFERROR(__xludf.DUMMYFUNCTION("""COMPUTED_VALUE"""),"BSTmm")</f>
        <v>BSTmm</v>
      </c>
      <c r="P1943" s="9"/>
      <c r="Q1943" s="9"/>
      <c r="R1943" s="9"/>
      <c r="S1943" s="42"/>
      <c r="T1943" s="42"/>
      <c r="U1943" s="42"/>
      <c r="V1943" s="42"/>
      <c r="W1943" s="42"/>
      <c r="X1943" s="42"/>
      <c r="Y1943" s="42"/>
      <c r="Z1943" s="42"/>
      <c r="AA1943" s="42"/>
      <c r="AB1943" s="42" t="str">
        <f>IFERROR(__xludf.DUMMYFUNCTION("""COMPUTED_VALUE"""),"allen institute")</f>
        <v>allen institute</v>
      </c>
      <c r="AC1943" s="42" t="str">
        <f>IFERROR(__xludf.DUMMYFUNCTION("""COMPUTED_VALUE"""),"DHBA")</f>
        <v>DHBA</v>
      </c>
      <c r="AD1943" s="42"/>
      <c r="AE1943" s="42"/>
      <c r="AF1943" s="9"/>
      <c r="AG1943" s="9"/>
      <c r="AH1943" s="42"/>
      <c r="AI1943" s="42"/>
      <c r="AJ1943" s="42"/>
      <c r="AK1943" s="42"/>
      <c r="AL1943" s="42"/>
      <c r="AM1943" s="42"/>
      <c r="AN1943" s="42"/>
      <c r="AO1943" s="63" t="str">
        <f>IFERROR(__xludf.DUMMYFUNCTION("IF(ISBLANK(A1943),,IF(ISBLANK(S1943), A1943&amp;"";"", TEXTJOIN(CHAR(10), TRUE, A1943&amp;"";"", ARRAYFORMULA(VLOOKUP(SPLIT(S1943, "";"" &amp; CHAR(10)), $A:$AO, 41, FALSE)))))"),"BSTmm;")</f>
        <v>BSTmm;</v>
      </c>
      <c r="AP1943" s="89"/>
    </row>
    <row r="1944">
      <c r="A1944" s="151" t="str">
        <f>IFERROR(__xludf.DUMMYFUNCTION("""COMPUTED_VALUE"""),"BSTmv")</f>
        <v>BSTmv</v>
      </c>
      <c r="B1944" s="42" t="str">
        <f>IFERROR(__xludf.DUMMYFUNCTION("""COMPUTED_VALUE"""),"DHBA")</f>
        <v>DHBA</v>
      </c>
      <c r="C1944" s="42" t="str">
        <f>IFERROR(__xludf.DUMMYFUNCTION("""COMPUTED_VALUE"""),"ventral subdivision of BNSTm")</f>
        <v>ventral subdivision of BNSTm</v>
      </c>
      <c r="D1944" s="42">
        <f>IFERROR(__xludf.DUMMYFUNCTION("""COMPUTED_VALUE"""),1840.0)</f>
        <v>1840</v>
      </c>
      <c r="E1944" s="39" t="str">
        <f>IFERROR(__xludf.DUMMYFUNCTION("""COMPUTED_VALUE"""),"ventral subdivision of BNSTm")</f>
        <v>ventral subdivision of BNSTm</v>
      </c>
      <c r="F1944" s="9" t="str">
        <f>IFERROR(__xludf.DUMMYFUNCTION("""COMPUTED_VALUE"""),"Br")</f>
        <v>Br</v>
      </c>
      <c r="G1944" s="9" t="str">
        <f>IFERROR(__xludf.DUMMYFUNCTION("""COMPUTED_VALUE"""),"F")</f>
        <v>F</v>
      </c>
      <c r="H1944" s="9" t="str">
        <f>IFERROR(__xludf.DUMMYFUNCTION("""COMPUTED_VALUE"""),"FGM")</f>
        <v>FGM</v>
      </c>
      <c r="I1944" s="9" t="str">
        <f>IFERROR(__xludf.DUMMYFUNCTION("""COMPUTED_VALUE"""),"Tel")</f>
        <v>Tel</v>
      </c>
      <c r="J1944" s="9" t="str">
        <f>IFERROR(__xludf.DUMMYFUNCTION("""COMPUTED_VALUE"""),"CN")</f>
        <v>CN</v>
      </c>
      <c r="K1944" s="9" t="str">
        <f>IFERROR(__xludf.DUMMYFUNCTION("""COMPUTED_VALUE"""),"EXA")</f>
        <v>EXA</v>
      </c>
      <c r="L1944" s="9" t="str">
        <f>IFERROR(__xludf.DUMMYFUNCTION("""COMPUTED_VALUE"""),"BNST")</f>
        <v>BNST</v>
      </c>
      <c r="M1944" s="9" t="str">
        <f>IFERROR(__xludf.DUMMYFUNCTION("""COMPUTED_VALUE"""),"BNSTm")</f>
        <v>BNSTm</v>
      </c>
      <c r="N1944" s="9" t="str">
        <f>IFERROR(__xludf.DUMMYFUNCTION("""COMPUTED_VALUE"""),"BSTmv")</f>
        <v>BSTmv</v>
      </c>
      <c r="O1944" s="9"/>
      <c r="P1944" s="9"/>
      <c r="Q1944" s="9"/>
      <c r="R1944" s="9"/>
      <c r="S1944" s="42"/>
      <c r="T1944" s="42"/>
      <c r="U1944" s="42"/>
      <c r="V1944" s="42"/>
      <c r="W1944" s="42"/>
      <c r="X1944" s="42"/>
      <c r="Y1944" s="42"/>
      <c r="Z1944" s="42"/>
      <c r="AA1944" s="42"/>
      <c r="AB1944" s="42" t="str">
        <f>IFERROR(__xludf.DUMMYFUNCTION("""COMPUTED_VALUE"""),"allen institute")</f>
        <v>allen institute</v>
      </c>
      <c r="AC1944" s="42" t="str">
        <f>IFERROR(__xludf.DUMMYFUNCTION("""COMPUTED_VALUE"""),"DHBA")</f>
        <v>DHBA</v>
      </c>
      <c r="AD1944" s="42"/>
      <c r="AE1944" s="42"/>
      <c r="AF1944" s="9"/>
      <c r="AG1944" s="9"/>
      <c r="AH1944" s="42"/>
      <c r="AI1944" s="42"/>
      <c r="AJ1944" s="42"/>
      <c r="AK1944" s="42"/>
      <c r="AL1944" s="42"/>
      <c r="AM1944" s="42"/>
      <c r="AN1944" s="42"/>
      <c r="AO1944" s="63" t="str">
        <f>IFERROR(__xludf.DUMMYFUNCTION("IF(ISBLANK(A1944),,IF(ISBLANK(S1944), A1944&amp;"";"", TEXTJOIN(CHAR(10), TRUE, A1944&amp;"";"", ARRAYFORMULA(VLOOKUP(SPLIT(S1944, "";"" &amp; CHAR(10)), $A:$AO, 41, FALSE)))))"),"BSTmv;")</f>
        <v>BSTmv;</v>
      </c>
      <c r="AP1944" s="89"/>
    </row>
    <row r="1945">
      <c r="A1945" s="151" t="str">
        <f>IFERROR(__xludf.DUMMYFUNCTION("""COMPUTED_VALUE"""),"BNSTl")</f>
        <v>BNSTl</v>
      </c>
      <c r="B1945" s="42" t="str">
        <f>IFERROR(__xludf.DUMMYFUNCTION("""COMPUTED_VALUE"""),"DHBA")</f>
        <v>DHBA</v>
      </c>
      <c r="C1945" s="42" t="str">
        <f>IFERROR(__xludf.DUMMYFUNCTION("""COMPUTED_VALUE"""),"lateral subdivision of BNST")</f>
        <v>lateral subdivision of BNST</v>
      </c>
      <c r="D1945" s="42">
        <f>IFERROR(__xludf.DUMMYFUNCTION("""COMPUTED_VALUE"""),1841.0)</f>
        <v>1841</v>
      </c>
      <c r="E1945" s="39" t="str">
        <f>IFERROR(__xludf.DUMMYFUNCTION("""COMPUTED_VALUE"""),"lateral subdivision of BNST")</f>
        <v>lateral subdivision of BNST</v>
      </c>
      <c r="F1945" s="9" t="str">
        <f>IFERROR(__xludf.DUMMYFUNCTION("""COMPUTED_VALUE"""),"Br")</f>
        <v>Br</v>
      </c>
      <c r="G1945" s="9" t="str">
        <f>IFERROR(__xludf.DUMMYFUNCTION("""COMPUTED_VALUE"""),"F")</f>
        <v>F</v>
      </c>
      <c r="H1945" s="9" t="str">
        <f>IFERROR(__xludf.DUMMYFUNCTION("""COMPUTED_VALUE"""),"FGM")</f>
        <v>FGM</v>
      </c>
      <c r="I1945" s="9" t="str">
        <f>IFERROR(__xludf.DUMMYFUNCTION("""COMPUTED_VALUE"""),"Tel")</f>
        <v>Tel</v>
      </c>
      <c r="J1945" s="9" t="str">
        <f>IFERROR(__xludf.DUMMYFUNCTION("""COMPUTED_VALUE"""),"CN")</f>
        <v>CN</v>
      </c>
      <c r="K1945" s="9" t="str">
        <f>IFERROR(__xludf.DUMMYFUNCTION("""COMPUTED_VALUE"""),"EXA")</f>
        <v>EXA</v>
      </c>
      <c r="L1945" s="9" t="str">
        <f>IFERROR(__xludf.DUMMYFUNCTION("""COMPUTED_VALUE"""),"BNST")</f>
        <v>BNST</v>
      </c>
      <c r="M1945" s="9" t="str">
        <f>IFERROR(__xludf.DUMMYFUNCTION("""COMPUTED_VALUE"""),"BNSTl")</f>
        <v>BNSTl</v>
      </c>
      <c r="N1945" s="9"/>
      <c r="O1945" s="9"/>
      <c r="P1945" s="9"/>
      <c r="Q1945" s="9"/>
      <c r="R1945" s="9"/>
      <c r="S1945" s="42" t="str">
        <f>IFERROR(__xludf.DUMMYFUNCTION("""COMPUTED_VALUE"""),"BSTlj;
BSTld;
BSTlv;
BSTlcn;
BSTlc")</f>
        <v>BSTlj;
BSTld;
BSTlv;
BSTlcn;
BSTlc</v>
      </c>
      <c r="T1945" s="42"/>
      <c r="U1945" s="42" t="b">
        <f>IFERROR(__xludf.DUMMYFUNCTION("""COMPUTED_VALUE"""),FALSE)</f>
        <v>0</v>
      </c>
      <c r="V1945" s="42"/>
      <c r="W1945" s="42"/>
      <c r="X1945" s="42"/>
      <c r="Y1945" s="42"/>
      <c r="Z1945" s="42"/>
      <c r="AA1945" s="42"/>
      <c r="AB1945" s="42" t="str">
        <f>IFERROR(__xludf.DUMMYFUNCTION("""COMPUTED_VALUE"""),"allen institute")</f>
        <v>allen institute</v>
      </c>
      <c r="AC1945" s="42" t="str">
        <f>IFERROR(__xludf.DUMMYFUNCTION("""COMPUTED_VALUE"""),"DHBA")</f>
        <v>DHBA</v>
      </c>
      <c r="AD1945" s="42"/>
      <c r="AE1945" s="42"/>
      <c r="AF1945" s="9"/>
      <c r="AG1945" s="9"/>
      <c r="AH1945" s="42"/>
      <c r="AI1945" s="42"/>
      <c r="AJ1945" s="42"/>
      <c r="AK1945" s="42"/>
      <c r="AL1945" s="42"/>
      <c r="AM1945" s="42"/>
      <c r="AN1945" s="42"/>
      <c r="AO1945" s="63" t="str">
        <f>IFERROR(__xludf.DUMMYFUNCTION("IF(ISBLANK(A1945),,IF(ISBLANK(S1945), A1945&amp;"";"", TEXTJOIN(CHAR(10), TRUE, A1945&amp;"";"", ARRAYFORMULA(VLOOKUP(SPLIT(S1945, "";"" &amp; CHAR(10)), $A:$AO, 41, FALSE)))))"),"#N/A")</f>
        <v>#N/A</v>
      </c>
      <c r="AP1945" s="89"/>
    </row>
    <row r="1946">
      <c r="A1946" s="151" t="str">
        <f>IFERROR(__xludf.DUMMYFUNCTION("""COMPUTED_VALUE"""),"BSTlj")</f>
        <v>BSTlj</v>
      </c>
      <c r="B1946" s="42" t="str">
        <f>IFERROR(__xludf.DUMMYFUNCTION("""COMPUTED_VALUE"""),"DHBA")</f>
        <v>DHBA</v>
      </c>
      <c r="C1946" s="42" t="str">
        <f>IFERROR(__xludf.DUMMYFUNCTION("""COMPUTED_VALUE"""),"juxtacapsular subdivision of BNSTl")</f>
        <v>juxtacapsular subdivision of BNSTl</v>
      </c>
      <c r="D1946" s="42">
        <f>IFERROR(__xludf.DUMMYFUNCTION("""COMPUTED_VALUE"""),1842.0)</f>
        <v>1842</v>
      </c>
      <c r="E1946" s="39" t="str">
        <f>IFERROR(__xludf.DUMMYFUNCTION("""COMPUTED_VALUE"""),"juxtacapsular subdivision of BNSTl")</f>
        <v>juxtacapsular subdivision of BNSTl</v>
      </c>
      <c r="F1946" s="9" t="str">
        <f>IFERROR(__xludf.DUMMYFUNCTION("""COMPUTED_VALUE"""),"Br")</f>
        <v>Br</v>
      </c>
      <c r="G1946" s="9" t="str">
        <f>IFERROR(__xludf.DUMMYFUNCTION("""COMPUTED_VALUE"""),"F")</f>
        <v>F</v>
      </c>
      <c r="H1946" s="9" t="str">
        <f>IFERROR(__xludf.DUMMYFUNCTION("""COMPUTED_VALUE"""),"FGM")</f>
        <v>FGM</v>
      </c>
      <c r="I1946" s="9" t="str">
        <f>IFERROR(__xludf.DUMMYFUNCTION("""COMPUTED_VALUE"""),"Tel")</f>
        <v>Tel</v>
      </c>
      <c r="J1946" s="9" t="str">
        <f>IFERROR(__xludf.DUMMYFUNCTION("""COMPUTED_VALUE"""),"CN")</f>
        <v>CN</v>
      </c>
      <c r="K1946" s="9" t="str">
        <f>IFERROR(__xludf.DUMMYFUNCTION("""COMPUTED_VALUE"""),"EXA")</f>
        <v>EXA</v>
      </c>
      <c r="L1946" s="9" t="str">
        <f>IFERROR(__xludf.DUMMYFUNCTION("""COMPUTED_VALUE"""),"BNST")</f>
        <v>BNST</v>
      </c>
      <c r="M1946" s="9" t="str">
        <f>IFERROR(__xludf.DUMMYFUNCTION("""COMPUTED_VALUE"""),"BNSTl")</f>
        <v>BNSTl</v>
      </c>
      <c r="N1946" s="9" t="str">
        <f>IFERROR(__xludf.DUMMYFUNCTION("""COMPUTED_VALUE"""),"BSTlj")</f>
        <v>BSTlj</v>
      </c>
      <c r="O1946" s="9"/>
      <c r="P1946" s="9"/>
      <c r="Q1946" s="9"/>
      <c r="R1946" s="9"/>
      <c r="S1946" s="42"/>
      <c r="T1946" s="42"/>
      <c r="U1946" s="159"/>
      <c r="V1946" s="42"/>
      <c r="W1946" s="42"/>
      <c r="X1946" s="42"/>
      <c r="Y1946" s="42"/>
      <c r="Z1946" s="42"/>
      <c r="AA1946" s="42"/>
      <c r="AB1946" s="42" t="str">
        <f>IFERROR(__xludf.DUMMYFUNCTION("""COMPUTED_VALUE"""),"allen institute")</f>
        <v>allen institute</v>
      </c>
      <c r="AC1946" s="42" t="str">
        <f>IFERROR(__xludf.DUMMYFUNCTION("""COMPUTED_VALUE"""),"DHBA")</f>
        <v>DHBA</v>
      </c>
      <c r="AD1946" s="42"/>
      <c r="AE1946" s="42"/>
      <c r="AF1946" s="9"/>
      <c r="AG1946" s="9"/>
      <c r="AH1946" s="42"/>
      <c r="AI1946" s="42"/>
      <c r="AJ1946" s="42"/>
      <c r="AK1946" s="42"/>
      <c r="AL1946" s="42"/>
      <c r="AM1946" s="42"/>
      <c r="AN1946" s="42"/>
      <c r="AO1946" s="63" t="str">
        <f>IFERROR(__xludf.DUMMYFUNCTION("IF(ISBLANK(A1946),,IF(ISBLANK(S1946), A1946&amp;"";"", TEXTJOIN(CHAR(10), TRUE, A1946&amp;"";"", ARRAYFORMULA(VLOOKUP(SPLIT(S1946, "";"" &amp; CHAR(10)), $A:$AO, 41, FALSE)))))"),"BSTlj;")</f>
        <v>BSTlj;</v>
      </c>
      <c r="AP1946" s="89"/>
    </row>
    <row r="1947">
      <c r="A1947" s="151" t="str">
        <f>IFERROR(__xludf.DUMMYFUNCTION("""COMPUTED_VALUE"""),"BSTld")</f>
        <v>BSTld</v>
      </c>
      <c r="B1947" s="42" t="str">
        <f>IFERROR(__xludf.DUMMYFUNCTION("""COMPUTED_VALUE"""),"DHBA")</f>
        <v>DHBA</v>
      </c>
      <c r="C1947" s="42" t="str">
        <f>IFERROR(__xludf.DUMMYFUNCTION("""COMPUTED_VALUE"""),"dorsal subdivision of BNSTl")</f>
        <v>dorsal subdivision of BNSTl</v>
      </c>
      <c r="D1947" s="42">
        <f>IFERROR(__xludf.DUMMYFUNCTION("""COMPUTED_VALUE"""),1843.0)</f>
        <v>1843</v>
      </c>
      <c r="E1947" s="39" t="str">
        <f>IFERROR(__xludf.DUMMYFUNCTION("""COMPUTED_VALUE"""),"dorsal subdivision of BNSTl")</f>
        <v>dorsal subdivision of BNSTl</v>
      </c>
      <c r="F1947" s="9" t="str">
        <f>IFERROR(__xludf.DUMMYFUNCTION("""COMPUTED_VALUE"""),"Br")</f>
        <v>Br</v>
      </c>
      <c r="G1947" s="9" t="str">
        <f>IFERROR(__xludf.DUMMYFUNCTION("""COMPUTED_VALUE"""),"F")</f>
        <v>F</v>
      </c>
      <c r="H1947" s="9" t="str">
        <f>IFERROR(__xludf.DUMMYFUNCTION("""COMPUTED_VALUE"""),"FGM")</f>
        <v>FGM</v>
      </c>
      <c r="I1947" s="9" t="str">
        <f>IFERROR(__xludf.DUMMYFUNCTION("""COMPUTED_VALUE"""),"Tel")</f>
        <v>Tel</v>
      </c>
      <c r="J1947" s="9" t="str">
        <f>IFERROR(__xludf.DUMMYFUNCTION("""COMPUTED_VALUE"""),"CN")</f>
        <v>CN</v>
      </c>
      <c r="K1947" s="9" t="str">
        <f>IFERROR(__xludf.DUMMYFUNCTION("""COMPUTED_VALUE"""),"EXA")</f>
        <v>EXA</v>
      </c>
      <c r="L1947" s="9" t="str">
        <f>IFERROR(__xludf.DUMMYFUNCTION("""COMPUTED_VALUE"""),"BNST")</f>
        <v>BNST</v>
      </c>
      <c r="M1947" s="9" t="str">
        <f>IFERROR(__xludf.DUMMYFUNCTION("""COMPUTED_VALUE"""),"BNSTl")</f>
        <v>BNSTl</v>
      </c>
      <c r="N1947" s="9" t="str">
        <f>IFERROR(__xludf.DUMMYFUNCTION("""COMPUTED_VALUE"""),"BSTld")</f>
        <v>BSTld</v>
      </c>
      <c r="O1947" s="9"/>
      <c r="P1947" s="9"/>
      <c r="Q1947" s="9"/>
      <c r="R1947" s="9"/>
      <c r="S1947" s="42"/>
      <c r="T1947" s="42"/>
      <c r="U1947" s="159"/>
      <c r="V1947" s="42"/>
      <c r="W1947" s="42"/>
      <c r="X1947" s="42"/>
      <c r="Y1947" s="42"/>
      <c r="Z1947" s="42"/>
      <c r="AA1947" s="42"/>
      <c r="AB1947" s="42" t="str">
        <f>IFERROR(__xludf.DUMMYFUNCTION("""COMPUTED_VALUE"""),"allen institute")</f>
        <v>allen institute</v>
      </c>
      <c r="AC1947" s="42" t="str">
        <f>IFERROR(__xludf.DUMMYFUNCTION("""COMPUTED_VALUE"""),"DHBA")</f>
        <v>DHBA</v>
      </c>
      <c r="AD1947" s="42"/>
      <c r="AE1947" s="42"/>
      <c r="AF1947" s="9"/>
      <c r="AG1947" s="9"/>
      <c r="AH1947" s="42"/>
      <c r="AI1947" s="42"/>
      <c r="AJ1947" s="42"/>
      <c r="AK1947" s="42"/>
      <c r="AL1947" s="42"/>
      <c r="AM1947" s="42"/>
      <c r="AN1947" s="42"/>
      <c r="AO1947" s="63" t="str">
        <f>IFERROR(__xludf.DUMMYFUNCTION("IF(ISBLANK(A1947),,IF(ISBLANK(S1947), A1947&amp;"";"", TEXTJOIN(CHAR(10), TRUE, A1947&amp;"";"", ARRAYFORMULA(VLOOKUP(SPLIT(S1947, "";"" &amp; CHAR(10)), $A:$AO, 41, FALSE)))))"),"BSTld;")</f>
        <v>BSTld;</v>
      </c>
      <c r="AP1947" s="89"/>
    </row>
    <row r="1948">
      <c r="A1948" s="151" t="str">
        <f>IFERROR(__xludf.DUMMYFUNCTION("""COMPUTED_VALUE"""),"BSTlv")</f>
        <v>BSTlv</v>
      </c>
      <c r="B1948" s="42" t="str">
        <f>IFERROR(__xludf.DUMMYFUNCTION("""COMPUTED_VALUE"""),"DHBA")</f>
        <v>DHBA</v>
      </c>
      <c r="C1948" s="42" t="str">
        <f>IFERROR(__xludf.DUMMYFUNCTION("""COMPUTED_VALUE"""),"ventral subdivision of BNSTl")</f>
        <v>ventral subdivision of BNSTl</v>
      </c>
      <c r="D1948" s="42">
        <f>IFERROR(__xludf.DUMMYFUNCTION("""COMPUTED_VALUE"""),1844.0)</f>
        <v>1844</v>
      </c>
      <c r="E1948" s="39" t="str">
        <f>IFERROR(__xludf.DUMMYFUNCTION("""COMPUTED_VALUE"""),"ventral subdivision of BNSTl")</f>
        <v>ventral subdivision of BNSTl</v>
      </c>
      <c r="F1948" s="9" t="str">
        <f>IFERROR(__xludf.DUMMYFUNCTION("""COMPUTED_VALUE"""),"Br")</f>
        <v>Br</v>
      </c>
      <c r="G1948" s="9" t="str">
        <f>IFERROR(__xludf.DUMMYFUNCTION("""COMPUTED_VALUE"""),"F")</f>
        <v>F</v>
      </c>
      <c r="H1948" s="9" t="str">
        <f>IFERROR(__xludf.DUMMYFUNCTION("""COMPUTED_VALUE"""),"FGM")</f>
        <v>FGM</v>
      </c>
      <c r="I1948" s="9" t="str">
        <f>IFERROR(__xludf.DUMMYFUNCTION("""COMPUTED_VALUE"""),"Tel")</f>
        <v>Tel</v>
      </c>
      <c r="J1948" s="9" t="str">
        <f>IFERROR(__xludf.DUMMYFUNCTION("""COMPUTED_VALUE"""),"CN")</f>
        <v>CN</v>
      </c>
      <c r="K1948" s="9" t="str">
        <f>IFERROR(__xludf.DUMMYFUNCTION("""COMPUTED_VALUE"""),"EXA")</f>
        <v>EXA</v>
      </c>
      <c r="L1948" s="9" t="str">
        <f>IFERROR(__xludf.DUMMYFUNCTION("""COMPUTED_VALUE"""),"BNST")</f>
        <v>BNST</v>
      </c>
      <c r="M1948" s="9" t="str">
        <f>IFERROR(__xludf.DUMMYFUNCTION("""COMPUTED_VALUE"""),"BNSTl")</f>
        <v>BNSTl</v>
      </c>
      <c r="N1948" s="9" t="str">
        <f>IFERROR(__xludf.DUMMYFUNCTION("""COMPUTED_VALUE"""),"BSTlv")</f>
        <v>BSTlv</v>
      </c>
      <c r="O1948" s="9"/>
      <c r="P1948" s="9"/>
      <c r="Q1948" s="9"/>
      <c r="R1948" s="9"/>
      <c r="S1948" s="42"/>
      <c r="T1948" s="42"/>
      <c r="U1948" s="42"/>
      <c r="V1948" s="42"/>
      <c r="W1948" s="42"/>
      <c r="X1948" s="42"/>
      <c r="Y1948" s="42"/>
      <c r="Z1948" s="42"/>
      <c r="AA1948" s="42"/>
      <c r="AB1948" s="42" t="str">
        <f>IFERROR(__xludf.DUMMYFUNCTION("""COMPUTED_VALUE"""),"allen institute")</f>
        <v>allen institute</v>
      </c>
      <c r="AC1948" s="42" t="str">
        <f>IFERROR(__xludf.DUMMYFUNCTION("""COMPUTED_VALUE"""),"DHBA")</f>
        <v>DHBA</v>
      </c>
      <c r="AD1948" s="42"/>
      <c r="AE1948" s="42"/>
      <c r="AF1948" s="9"/>
      <c r="AG1948" s="9"/>
      <c r="AH1948" s="42"/>
      <c r="AI1948" s="42"/>
      <c r="AJ1948" s="42"/>
      <c r="AK1948" s="42"/>
      <c r="AL1948" s="42"/>
      <c r="AM1948" s="42"/>
      <c r="AN1948" s="42"/>
      <c r="AO1948" s="63" t="str">
        <f>IFERROR(__xludf.DUMMYFUNCTION("IF(ISBLANK(A1948),,IF(ISBLANK(S1948), A1948&amp;"";"", TEXTJOIN(CHAR(10), TRUE, A1948&amp;"";"", ARRAYFORMULA(VLOOKUP(SPLIT(S1948, "";"" &amp; CHAR(10)), $A:$AO, 41, FALSE)))))"),"BSTlv;")</f>
        <v>BSTlv;</v>
      </c>
      <c r="AP1948" s="89"/>
    </row>
    <row r="1949">
      <c r="A1949" s="151" t="str">
        <f>IFERROR(__xludf.DUMMYFUNCTION("""COMPUTED_VALUE"""),"BSTlcn")</f>
        <v>BSTlcn</v>
      </c>
      <c r="B1949" s="42" t="str">
        <f>IFERROR(__xludf.DUMMYFUNCTION("""COMPUTED_VALUE"""),"DHBA")</f>
        <v>DHBA</v>
      </c>
      <c r="C1949" s="42" t="str">
        <f>IFERROR(__xludf.DUMMYFUNCTION("""COMPUTED_VALUE"""),"central subdivision of BNSTl")</f>
        <v>central subdivision of BNSTl</v>
      </c>
      <c r="D1949" s="42">
        <f>IFERROR(__xludf.DUMMYFUNCTION("""COMPUTED_VALUE"""),1845.0)</f>
        <v>1845</v>
      </c>
      <c r="E1949" s="39" t="str">
        <f>IFERROR(__xludf.DUMMYFUNCTION("""COMPUTED_VALUE"""),"central subdivision of BNSTl")</f>
        <v>central subdivision of BNSTl</v>
      </c>
      <c r="F1949" s="9" t="str">
        <f>IFERROR(__xludf.DUMMYFUNCTION("""COMPUTED_VALUE"""),"Br")</f>
        <v>Br</v>
      </c>
      <c r="G1949" s="9" t="str">
        <f>IFERROR(__xludf.DUMMYFUNCTION("""COMPUTED_VALUE"""),"F")</f>
        <v>F</v>
      </c>
      <c r="H1949" s="9" t="str">
        <f>IFERROR(__xludf.DUMMYFUNCTION("""COMPUTED_VALUE"""),"FGM")</f>
        <v>FGM</v>
      </c>
      <c r="I1949" s="9" t="str">
        <f>IFERROR(__xludf.DUMMYFUNCTION("""COMPUTED_VALUE"""),"Tel")</f>
        <v>Tel</v>
      </c>
      <c r="J1949" s="9" t="str">
        <f>IFERROR(__xludf.DUMMYFUNCTION("""COMPUTED_VALUE"""),"CN")</f>
        <v>CN</v>
      </c>
      <c r="K1949" s="9" t="str">
        <f>IFERROR(__xludf.DUMMYFUNCTION("""COMPUTED_VALUE"""),"EXA")</f>
        <v>EXA</v>
      </c>
      <c r="L1949" s="9" t="str">
        <f>IFERROR(__xludf.DUMMYFUNCTION("""COMPUTED_VALUE"""),"BNST")</f>
        <v>BNST</v>
      </c>
      <c r="M1949" s="9" t="str">
        <f>IFERROR(__xludf.DUMMYFUNCTION("""COMPUTED_VALUE"""),"BNSTl")</f>
        <v>BNSTl</v>
      </c>
      <c r="N1949" s="9" t="str">
        <f>IFERROR(__xludf.DUMMYFUNCTION("""COMPUTED_VALUE"""),"BSTlcn")</f>
        <v>BSTlcn</v>
      </c>
      <c r="O1949" s="9"/>
      <c r="P1949" s="9"/>
      <c r="Q1949" s="9"/>
      <c r="R1949" s="9"/>
      <c r="S1949" s="42" t="str">
        <f>IFERROR(__xludf.DUMMYFUNCTION("""COMPUTED_VALUE"""),"BSTlcn_s")</f>
        <v>BSTlcn_s</v>
      </c>
      <c r="T1949" s="42"/>
      <c r="U1949" s="42" t="b">
        <f>IFERROR(__xludf.DUMMYFUNCTION("""COMPUTED_VALUE"""),FALSE)</f>
        <v>0</v>
      </c>
      <c r="V1949" s="42"/>
      <c r="W1949" s="42"/>
      <c r="X1949" s="42"/>
      <c r="Y1949" s="42"/>
      <c r="Z1949" s="42"/>
      <c r="AA1949" s="42"/>
      <c r="AB1949" s="42" t="str">
        <f>IFERROR(__xludf.DUMMYFUNCTION("""COMPUTED_VALUE"""),"allen institute")</f>
        <v>allen institute</v>
      </c>
      <c r="AC1949" s="42" t="str">
        <f>IFERROR(__xludf.DUMMYFUNCTION("""COMPUTED_VALUE"""),"DHBA")</f>
        <v>DHBA</v>
      </c>
      <c r="AD1949" s="42"/>
      <c r="AE1949" s="42"/>
      <c r="AF1949" s="9"/>
      <c r="AG1949" s="9"/>
      <c r="AH1949" s="42"/>
      <c r="AI1949" s="42"/>
      <c r="AJ1949" s="42"/>
      <c r="AK1949" s="42"/>
      <c r="AL1949" s="42"/>
      <c r="AM1949" s="42"/>
      <c r="AN1949" s="42"/>
      <c r="AO1949" s="63" t="str">
        <f>IFERROR(__xludf.DUMMYFUNCTION("IF(ISBLANK(A1949),,IF(ISBLANK(S1949), A1949&amp;"";"", TEXTJOIN(CHAR(10), TRUE, A1949&amp;"";"", ARRAYFORMULA(VLOOKUP(SPLIT(S1949, "";"" &amp; CHAR(10)), $A:$AO, 41, FALSE)))))"),"#N/A")</f>
        <v>#N/A</v>
      </c>
      <c r="AP1949" s="89"/>
    </row>
    <row r="1950">
      <c r="A1950" s="151" t="str">
        <f>IFERROR(__xludf.DUMMYFUNCTION("""COMPUTED_VALUE"""),"BSTlcn-s")</f>
        <v>BSTlcn-s</v>
      </c>
      <c r="B1950" s="42" t="str">
        <f>IFERROR(__xludf.DUMMYFUNCTION("""COMPUTED_VALUE"""),"DHBA")</f>
        <v>DHBA</v>
      </c>
      <c r="C1950" s="42" t="str">
        <f>IFERROR(__xludf.DUMMYFUNCTION("""COMPUTED_VALUE"""),"shell of central subdivision of BNSTl")</f>
        <v>shell of central subdivision of BNSTl</v>
      </c>
      <c r="D1950" s="42">
        <f>IFERROR(__xludf.DUMMYFUNCTION("""COMPUTED_VALUE"""),1846.0)</f>
        <v>1846</v>
      </c>
      <c r="E1950" s="39" t="str">
        <f>IFERROR(__xludf.DUMMYFUNCTION("""COMPUTED_VALUE"""),"shell of central subdivision of BNSTl")</f>
        <v>shell of central subdivision of BNSTl</v>
      </c>
      <c r="F1950" s="9" t="str">
        <f>IFERROR(__xludf.DUMMYFUNCTION("""COMPUTED_VALUE"""),"Br")</f>
        <v>Br</v>
      </c>
      <c r="G1950" s="9" t="str">
        <f>IFERROR(__xludf.DUMMYFUNCTION("""COMPUTED_VALUE"""),"F")</f>
        <v>F</v>
      </c>
      <c r="H1950" s="9" t="str">
        <f>IFERROR(__xludf.DUMMYFUNCTION("""COMPUTED_VALUE"""),"FGM")</f>
        <v>FGM</v>
      </c>
      <c r="I1950" s="9" t="str">
        <f>IFERROR(__xludf.DUMMYFUNCTION("""COMPUTED_VALUE"""),"Tel")</f>
        <v>Tel</v>
      </c>
      <c r="J1950" s="9" t="str">
        <f>IFERROR(__xludf.DUMMYFUNCTION("""COMPUTED_VALUE"""),"CN")</f>
        <v>CN</v>
      </c>
      <c r="K1950" s="9" t="str">
        <f>IFERROR(__xludf.DUMMYFUNCTION("""COMPUTED_VALUE"""),"EXA")</f>
        <v>EXA</v>
      </c>
      <c r="L1950" s="9" t="str">
        <f>IFERROR(__xludf.DUMMYFUNCTION("""COMPUTED_VALUE"""),"BNST")</f>
        <v>BNST</v>
      </c>
      <c r="M1950" s="9" t="str">
        <f>IFERROR(__xludf.DUMMYFUNCTION("""COMPUTED_VALUE"""),"BNSTl")</f>
        <v>BNSTl</v>
      </c>
      <c r="N1950" s="9" t="str">
        <f>IFERROR(__xludf.DUMMYFUNCTION("""COMPUTED_VALUE"""),"BSTlcn")</f>
        <v>BSTlcn</v>
      </c>
      <c r="O1950" s="9" t="str">
        <f>IFERROR(__xludf.DUMMYFUNCTION("""COMPUTED_VALUE"""),"BSTlcn-s")</f>
        <v>BSTlcn-s</v>
      </c>
      <c r="P1950" s="9"/>
      <c r="Q1950" s="9"/>
      <c r="R1950" s="9"/>
      <c r="S1950" s="42"/>
      <c r="T1950" s="42"/>
      <c r="U1950" s="42"/>
      <c r="V1950" s="42"/>
      <c r="W1950" s="42"/>
      <c r="X1950" s="42"/>
      <c r="Y1950" s="42"/>
      <c r="Z1950" s="42"/>
      <c r="AA1950" s="42"/>
      <c r="AB1950" s="42" t="str">
        <f>IFERROR(__xludf.DUMMYFUNCTION("""COMPUTED_VALUE"""),"allen institute")</f>
        <v>allen institute</v>
      </c>
      <c r="AC1950" s="42" t="str">
        <f>IFERROR(__xludf.DUMMYFUNCTION("""COMPUTED_VALUE"""),"DHBA")</f>
        <v>DHBA</v>
      </c>
      <c r="AD1950" s="42"/>
      <c r="AE1950" s="42"/>
      <c r="AF1950" s="9"/>
      <c r="AG1950" s="9"/>
      <c r="AH1950" s="42"/>
      <c r="AI1950" s="42"/>
      <c r="AJ1950" s="42"/>
      <c r="AK1950" s="42"/>
      <c r="AL1950" s="42"/>
      <c r="AM1950" s="42"/>
      <c r="AN1950" s="42"/>
      <c r="AO1950" s="63" t="str">
        <f>IFERROR(__xludf.DUMMYFUNCTION("IF(ISBLANK(A1950),,IF(ISBLANK(S1950), A1950&amp;"";"", TEXTJOIN(CHAR(10), TRUE, A1950&amp;"";"", ARRAYFORMULA(VLOOKUP(SPLIT(S1950, "";"" &amp; CHAR(10)), $A:$AO, 41, FALSE)))))"),"BSTlcn-s;")</f>
        <v>BSTlcn-s;</v>
      </c>
      <c r="AP1950" s="89"/>
    </row>
    <row r="1951">
      <c r="A1951" s="151" t="str">
        <f>IFERROR(__xludf.DUMMYFUNCTION("""COMPUTED_VALUE"""),"BSTlc")</f>
        <v>BSTlc</v>
      </c>
      <c r="B1951" s="42" t="str">
        <f>IFERROR(__xludf.DUMMYFUNCTION("""COMPUTED_VALUE"""),"DHBA")</f>
        <v>DHBA</v>
      </c>
      <c r="C1951" s="42" t="str">
        <f>IFERROR(__xludf.DUMMYFUNCTION("""COMPUTED_VALUE"""),"caudal subdivision of BNSTl")</f>
        <v>caudal subdivision of BNSTl</v>
      </c>
      <c r="D1951" s="42">
        <f>IFERROR(__xludf.DUMMYFUNCTION("""COMPUTED_VALUE"""),1847.0)</f>
        <v>1847</v>
      </c>
      <c r="E1951" s="39" t="str">
        <f>IFERROR(__xludf.DUMMYFUNCTION("""COMPUTED_VALUE"""),"caudal subdivision of BNSTl")</f>
        <v>caudal subdivision of BNSTl</v>
      </c>
      <c r="F1951" s="9" t="str">
        <f>IFERROR(__xludf.DUMMYFUNCTION("""COMPUTED_VALUE"""),"Br")</f>
        <v>Br</v>
      </c>
      <c r="G1951" s="9" t="str">
        <f>IFERROR(__xludf.DUMMYFUNCTION("""COMPUTED_VALUE"""),"F")</f>
        <v>F</v>
      </c>
      <c r="H1951" s="9" t="str">
        <f>IFERROR(__xludf.DUMMYFUNCTION("""COMPUTED_VALUE"""),"FGM")</f>
        <v>FGM</v>
      </c>
      <c r="I1951" s="9" t="str">
        <f>IFERROR(__xludf.DUMMYFUNCTION("""COMPUTED_VALUE"""),"Tel")</f>
        <v>Tel</v>
      </c>
      <c r="J1951" s="9" t="str">
        <f>IFERROR(__xludf.DUMMYFUNCTION("""COMPUTED_VALUE"""),"CN")</f>
        <v>CN</v>
      </c>
      <c r="K1951" s="9" t="str">
        <f>IFERROR(__xludf.DUMMYFUNCTION("""COMPUTED_VALUE"""),"EXA")</f>
        <v>EXA</v>
      </c>
      <c r="L1951" s="9" t="str">
        <f>IFERROR(__xludf.DUMMYFUNCTION("""COMPUTED_VALUE"""),"BNST")</f>
        <v>BNST</v>
      </c>
      <c r="M1951" s="9" t="str">
        <f>IFERROR(__xludf.DUMMYFUNCTION("""COMPUTED_VALUE"""),"BNSTl")</f>
        <v>BNSTl</v>
      </c>
      <c r="N1951" s="9" t="str">
        <f>IFERROR(__xludf.DUMMYFUNCTION("""COMPUTED_VALUE"""),"BSTlc")</f>
        <v>BSTlc</v>
      </c>
      <c r="O1951" s="9"/>
      <c r="P1951" s="9"/>
      <c r="Q1951" s="9"/>
      <c r="R1951" s="9"/>
      <c r="S1951" s="42" t="str">
        <f>IFERROR(__xludf.DUMMYFUNCTION("""COMPUTED_VALUE"""),"BSTlcm;
BSTlcd;
BSTlcv")</f>
        <v>BSTlcm;
BSTlcd;
BSTlcv</v>
      </c>
      <c r="T1951" s="42"/>
      <c r="U1951" s="42" t="b">
        <f>IFERROR(__xludf.DUMMYFUNCTION("""COMPUTED_VALUE"""),FALSE)</f>
        <v>0</v>
      </c>
      <c r="V1951" s="42"/>
      <c r="W1951" s="42"/>
      <c r="X1951" s="42"/>
      <c r="Y1951" s="42"/>
      <c r="Z1951" s="42"/>
      <c r="AA1951" s="42"/>
      <c r="AB1951" s="42" t="str">
        <f>IFERROR(__xludf.DUMMYFUNCTION("""COMPUTED_VALUE"""),"allen institute")</f>
        <v>allen institute</v>
      </c>
      <c r="AC1951" s="42" t="str">
        <f>IFERROR(__xludf.DUMMYFUNCTION("""COMPUTED_VALUE"""),"DHBA")</f>
        <v>DHBA</v>
      </c>
      <c r="AD1951" s="42"/>
      <c r="AE1951" s="42"/>
      <c r="AF1951" s="9"/>
      <c r="AG1951" s="9"/>
      <c r="AH1951" s="42"/>
      <c r="AI1951" s="42"/>
      <c r="AJ1951" s="42"/>
      <c r="AK1951" s="42"/>
      <c r="AL1951" s="42"/>
      <c r="AM1951" s="42"/>
      <c r="AN1951" s="42"/>
      <c r="AO1951" s="63" t="str">
        <f>IFERROR(__xludf.DUMMYFUNCTION("IF(ISBLANK(A1951),,IF(ISBLANK(S1951), A1951&amp;"";"", TEXTJOIN(CHAR(10), TRUE, A1951&amp;"";"", ARRAYFORMULA(VLOOKUP(SPLIT(S1951, "";"" &amp; CHAR(10)), $A:$AO, 41, FALSE)))))"),"BSTlc;
BSTlcm;
BSTlcd;
BSTlcv;")</f>
        <v>BSTlc;
BSTlcm;
BSTlcd;
BSTlcv;</v>
      </c>
      <c r="AP1951" s="89"/>
    </row>
    <row r="1952">
      <c r="A1952" s="151" t="str">
        <f>IFERROR(__xludf.DUMMYFUNCTION("""COMPUTED_VALUE"""),"BSTlcm")</f>
        <v>BSTlcm</v>
      </c>
      <c r="B1952" s="42" t="str">
        <f>IFERROR(__xludf.DUMMYFUNCTION("""COMPUTED_VALUE"""),"DHBA")</f>
        <v>DHBA</v>
      </c>
      <c r="C1952" s="42" t="str">
        <f>IFERROR(__xludf.DUMMYFUNCTION("""COMPUTED_VALUE"""),"medial subdivision of BNSTlc")</f>
        <v>medial subdivision of BNSTlc</v>
      </c>
      <c r="D1952" s="42">
        <f>IFERROR(__xludf.DUMMYFUNCTION("""COMPUTED_VALUE"""),1848.0)</f>
        <v>1848</v>
      </c>
      <c r="E1952" s="39" t="str">
        <f>IFERROR(__xludf.DUMMYFUNCTION("""COMPUTED_VALUE"""),"medial subdivision of BNSTlc")</f>
        <v>medial subdivision of BNSTlc</v>
      </c>
      <c r="F1952" s="9" t="str">
        <f>IFERROR(__xludf.DUMMYFUNCTION("""COMPUTED_VALUE"""),"Br")</f>
        <v>Br</v>
      </c>
      <c r="G1952" s="9" t="str">
        <f>IFERROR(__xludf.DUMMYFUNCTION("""COMPUTED_VALUE"""),"F")</f>
        <v>F</v>
      </c>
      <c r="H1952" s="9" t="str">
        <f>IFERROR(__xludf.DUMMYFUNCTION("""COMPUTED_VALUE"""),"FGM")</f>
        <v>FGM</v>
      </c>
      <c r="I1952" s="9" t="str">
        <f>IFERROR(__xludf.DUMMYFUNCTION("""COMPUTED_VALUE"""),"Tel")</f>
        <v>Tel</v>
      </c>
      <c r="J1952" s="9" t="str">
        <f>IFERROR(__xludf.DUMMYFUNCTION("""COMPUTED_VALUE"""),"CN")</f>
        <v>CN</v>
      </c>
      <c r="K1952" s="9" t="str">
        <f>IFERROR(__xludf.DUMMYFUNCTION("""COMPUTED_VALUE"""),"EXA")</f>
        <v>EXA</v>
      </c>
      <c r="L1952" s="9" t="str">
        <f>IFERROR(__xludf.DUMMYFUNCTION("""COMPUTED_VALUE"""),"BNST")</f>
        <v>BNST</v>
      </c>
      <c r="M1952" s="9" t="str">
        <f>IFERROR(__xludf.DUMMYFUNCTION("""COMPUTED_VALUE"""),"BNSTl")</f>
        <v>BNSTl</v>
      </c>
      <c r="N1952" s="9" t="str">
        <f>IFERROR(__xludf.DUMMYFUNCTION("""COMPUTED_VALUE"""),"BSTlc")</f>
        <v>BSTlc</v>
      </c>
      <c r="O1952" s="9" t="str">
        <f>IFERROR(__xludf.DUMMYFUNCTION("""COMPUTED_VALUE"""),"BSTlcm")</f>
        <v>BSTlcm</v>
      </c>
      <c r="P1952" s="9"/>
      <c r="Q1952" s="9"/>
      <c r="R1952" s="9"/>
      <c r="S1952" s="42"/>
      <c r="T1952" s="42"/>
      <c r="U1952" s="159"/>
      <c r="V1952" s="42"/>
      <c r="W1952" s="42"/>
      <c r="X1952" s="42"/>
      <c r="Y1952" s="42"/>
      <c r="Z1952" s="42"/>
      <c r="AA1952" s="42"/>
      <c r="AB1952" s="42" t="str">
        <f>IFERROR(__xludf.DUMMYFUNCTION("""COMPUTED_VALUE"""),"allen institute")</f>
        <v>allen institute</v>
      </c>
      <c r="AC1952" s="42" t="str">
        <f>IFERROR(__xludf.DUMMYFUNCTION("""COMPUTED_VALUE"""),"DHBA")</f>
        <v>DHBA</v>
      </c>
      <c r="AD1952" s="42"/>
      <c r="AE1952" s="42"/>
      <c r="AF1952" s="9"/>
      <c r="AG1952" s="9"/>
      <c r="AH1952" s="42"/>
      <c r="AI1952" s="42"/>
      <c r="AJ1952" s="42"/>
      <c r="AK1952" s="42"/>
      <c r="AL1952" s="42"/>
      <c r="AM1952" s="42"/>
      <c r="AN1952" s="42"/>
      <c r="AO1952" s="63" t="str">
        <f>IFERROR(__xludf.DUMMYFUNCTION("IF(ISBLANK(A1952),,IF(ISBLANK(S1952), A1952&amp;"";"", TEXTJOIN(CHAR(10), TRUE, A1952&amp;"";"", ARRAYFORMULA(VLOOKUP(SPLIT(S1952, "";"" &amp; CHAR(10)), $A:$AO, 41, FALSE)))))"),"BSTlcm;")</f>
        <v>BSTlcm;</v>
      </c>
      <c r="AP1952" s="89"/>
    </row>
    <row r="1953">
      <c r="A1953" s="151" t="str">
        <f>IFERROR(__xludf.DUMMYFUNCTION("""COMPUTED_VALUE"""),"BSTlcd")</f>
        <v>BSTlcd</v>
      </c>
      <c r="B1953" s="42" t="str">
        <f>IFERROR(__xludf.DUMMYFUNCTION("""COMPUTED_VALUE"""),"DHBA")</f>
        <v>DHBA</v>
      </c>
      <c r="C1953" s="42" t="str">
        <f>IFERROR(__xludf.DUMMYFUNCTION("""COMPUTED_VALUE"""),"dorsal subdivision of BNSTlc")</f>
        <v>dorsal subdivision of BNSTlc</v>
      </c>
      <c r="D1953" s="42">
        <f>IFERROR(__xludf.DUMMYFUNCTION("""COMPUTED_VALUE"""),1849.0)</f>
        <v>1849</v>
      </c>
      <c r="E1953" s="39" t="str">
        <f>IFERROR(__xludf.DUMMYFUNCTION("""COMPUTED_VALUE"""),"dorsal subdivision of BNSTlc")</f>
        <v>dorsal subdivision of BNSTlc</v>
      </c>
      <c r="F1953" s="9" t="str">
        <f>IFERROR(__xludf.DUMMYFUNCTION("""COMPUTED_VALUE"""),"Br")</f>
        <v>Br</v>
      </c>
      <c r="G1953" s="9" t="str">
        <f>IFERROR(__xludf.DUMMYFUNCTION("""COMPUTED_VALUE"""),"F")</f>
        <v>F</v>
      </c>
      <c r="H1953" s="9" t="str">
        <f>IFERROR(__xludf.DUMMYFUNCTION("""COMPUTED_VALUE"""),"FGM")</f>
        <v>FGM</v>
      </c>
      <c r="I1953" s="9" t="str">
        <f>IFERROR(__xludf.DUMMYFUNCTION("""COMPUTED_VALUE"""),"Tel")</f>
        <v>Tel</v>
      </c>
      <c r="J1953" s="9" t="str">
        <f>IFERROR(__xludf.DUMMYFUNCTION("""COMPUTED_VALUE"""),"CN")</f>
        <v>CN</v>
      </c>
      <c r="K1953" s="9" t="str">
        <f>IFERROR(__xludf.DUMMYFUNCTION("""COMPUTED_VALUE"""),"EXA")</f>
        <v>EXA</v>
      </c>
      <c r="L1953" s="9" t="str">
        <f>IFERROR(__xludf.DUMMYFUNCTION("""COMPUTED_VALUE"""),"BNST")</f>
        <v>BNST</v>
      </c>
      <c r="M1953" s="9" t="str">
        <f>IFERROR(__xludf.DUMMYFUNCTION("""COMPUTED_VALUE"""),"BNSTl")</f>
        <v>BNSTl</v>
      </c>
      <c r="N1953" s="9" t="str">
        <f>IFERROR(__xludf.DUMMYFUNCTION("""COMPUTED_VALUE"""),"BSTlc")</f>
        <v>BSTlc</v>
      </c>
      <c r="O1953" s="9" t="str">
        <f>IFERROR(__xludf.DUMMYFUNCTION("""COMPUTED_VALUE"""),"BSTlcd")</f>
        <v>BSTlcd</v>
      </c>
      <c r="P1953" s="9"/>
      <c r="Q1953" s="9"/>
      <c r="R1953" s="9"/>
      <c r="S1953" s="42"/>
      <c r="T1953" s="42"/>
      <c r="U1953" s="42"/>
      <c r="V1953" s="42"/>
      <c r="W1953" s="42"/>
      <c r="X1953" s="42"/>
      <c r="Y1953" s="42"/>
      <c r="Z1953" s="42"/>
      <c r="AA1953" s="42"/>
      <c r="AB1953" s="42" t="str">
        <f>IFERROR(__xludf.DUMMYFUNCTION("""COMPUTED_VALUE"""),"allen institute")</f>
        <v>allen institute</v>
      </c>
      <c r="AC1953" s="42" t="str">
        <f>IFERROR(__xludf.DUMMYFUNCTION("""COMPUTED_VALUE"""),"DHBA")</f>
        <v>DHBA</v>
      </c>
      <c r="AD1953" s="42"/>
      <c r="AE1953" s="42"/>
      <c r="AF1953" s="9"/>
      <c r="AG1953" s="9"/>
      <c r="AH1953" s="42"/>
      <c r="AI1953" s="42"/>
      <c r="AJ1953" s="42"/>
      <c r="AK1953" s="42"/>
      <c r="AL1953" s="42"/>
      <c r="AM1953" s="42"/>
      <c r="AN1953" s="42"/>
      <c r="AO1953" s="63" t="str">
        <f>IFERROR(__xludf.DUMMYFUNCTION("IF(ISBLANK(A1953),,IF(ISBLANK(S1953), A1953&amp;"";"", TEXTJOIN(CHAR(10), TRUE, A1953&amp;"";"", ARRAYFORMULA(VLOOKUP(SPLIT(S1953, "";"" &amp; CHAR(10)), $A:$AO, 41, FALSE)))))"),"BSTlcd;")</f>
        <v>BSTlcd;</v>
      </c>
      <c r="AP1953" s="89"/>
    </row>
    <row r="1954">
      <c r="A1954" s="151" t="str">
        <f>IFERROR(__xludf.DUMMYFUNCTION("""COMPUTED_VALUE"""),"BSTlcv")</f>
        <v>BSTlcv</v>
      </c>
      <c r="B1954" s="42" t="str">
        <f>IFERROR(__xludf.DUMMYFUNCTION("""COMPUTED_VALUE"""),"DHBA")</f>
        <v>DHBA</v>
      </c>
      <c r="C1954" s="42" t="str">
        <f>IFERROR(__xludf.DUMMYFUNCTION("""COMPUTED_VALUE"""),"ventral subdivision of BNSTlc")</f>
        <v>ventral subdivision of BNSTlc</v>
      </c>
      <c r="D1954" s="42">
        <f>IFERROR(__xludf.DUMMYFUNCTION("""COMPUTED_VALUE"""),1850.0)</f>
        <v>1850</v>
      </c>
      <c r="E1954" s="39" t="str">
        <f>IFERROR(__xludf.DUMMYFUNCTION("""COMPUTED_VALUE"""),"ventral subdivision of BNSTlc")</f>
        <v>ventral subdivision of BNSTlc</v>
      </c>
      <c r="F1954" s="9" t="str">
        <f>IFERROR(__xludf.DUMMYFUNCTION("""COMPUTED_VALUE"""),"Br")</f>
        <v>Br</v>
      </c>
      <c r="G1954" s="9" t="str">
        <f>IFERROR(__xludf.DUMMYFUNCTION("""COMPUTED_VALUE"""),"F")</f>
        <v>F</v>
      </c>
      <c r="H1954" s="9" t="str">
        <f>IFERROR(__xludf.DUMMYFUNCTION("""COMPUTED_VALUE"""),"FGM")</f>
        <v>FGM</v>
      </c>
      <c r="I1954" s="9" t="str">
        <f>IFERROR(__xludf.DUMMYFUNCTION("""COMPUTED_VALUE"""),"Tel")</f>
        <v>Tel</v>
      </c>
      <c r="J1954" s="9" t="str">
        <f>IFERROR(__xludf.DUMMYFUNCTION("""COMPUTED_VALUE"""),"CN")</f>
        <v>CN</v>
      </c>
      <c r="K1954" s="9" t="str">
        <f>IFERROR(__xludf.DUMMYFUNCTION("""COMPUTED_VALUE"""),"EXA")</f>
        <v>EXA</v>
      </c>
      <c r="L1954" s="9" t="str">
        <f>IFERROR(__xludf.DUMMYFUNCTION("""COMPUTED_VALUE"""),"BNST")</f>
        <v>BNST</v>
      </c>
      <c r="M1954" s="9" t="str">
        <f>IFERROR(__xludf.DUMMYFUNCTION("""COMPUTED_VALUE"""),"BNSTl")</f>
        <v>BNSTl</v>
      </c>
      <c r="N1954" s="9" t="str">
        <f>IFERROR(__xludf.DUMMYFUNCTION("""COMPUTED_VALUE"""),"BSTlc")</f>
        <v>BSTlc</v>
      </c>
      <c r="O1954" s="9" t="str">
        <f>IFERROR(__xludf.DUMMYFUNCTION("""COMPUTED_VALUE"""),"BSTlcv")</f>
        <v>BSTlcv</v>
      </c>
      <c r="P1954" s="9"/>
      <c r="Q1954" s="9"/>
      <c r="R1954" s="9"/>
      <c r="S1954" s="42"/>
      <c r="T1954" s="42"/>
      <c r="U1954" s="159"/>
      <c r="V1954" s="42"/>
      <c r="W1954" s="42"/>
      <c r="X1954" s="42"/>
      <c r="Y1954" s="42"/>
      <c r="Z1954" s="42"/>
      <c r="AA1954" s="42"/>
      <c r="AB1954" s="42" t="str">
        <f>IFERROR(__xludf.DUMMYFUNCTION("""COMPUTED_VALUE"""),"allen institute")</f>
        <v>allen institute</v>
      </c>
      <c r="AC1954" s="42" t="str">
        <f>IFERROR(__xludf.DUMMYFUNCTION("""COMPUTED_VALUE"""),"DHBA")</f>
        <v>DHBA</v>
      </c>
      <c r="AD1954" s="42"/>
      <c r="AE1954" s="42"/>
      <c r="AF1954" s="9"/>
      <c r="AG1954" s="9"/>
      <c r="AH1954" s="42"/>
      <c r="AI1954" s="42"/>
      <c r="AJ1954" s="42"/>
      <c r="AK1954" s="42"/>
      <c r="AL1954" s="42"/>
      <c r="AM1954" s="42"/>
      <c r="AN1954" s="42"/>
      <c r="AO1954" s="63" t="str">
        <f>IFERROR(__xludf.DUMMYFUNCTION("IF(ISBLANK(A1954),,IF(ISBLANK(S1954), A1954&amp;"";"", TEXTJOIN(CHAR(10), TRUE, A1954&amp;"";"", ARRAYFORMULA(VLOOKUP(SPLIT(S1954, "";"" &amp; CHAR(10)), $A:$AO, 41, FALSE)))))"),"BSTlcv;")</f>
        <v>BSTlcv;</v>
      </c>
      <c r="AP1954" s="89"/>
    </row>
    <row r="1955">
      <c r="A1955" s="151" t="str">
        <f>IFERROR(__xludf.DUMMYFUNCTION("""COMPUTED_VALUE"""),"BNSTsc")</f>
        <v>BNSTsc</v>
      </c>
      <c r="B1955" s="42" t="str">
        <f>IFERROR(__xludf.DUMMYFUNCTION("""COMPUTED_VALUE"""),"DHBA")</f>
        <v>DHBA</v>
      </c>
      <c r="C1955" s="42" t="str">
        <f>IFERROR(__xludf.DUMMYFUNCTION("""COMPUTED_VALUE"""),"supracapsular division of BNST")</f>
        <v>supracapsular division of BNST</v>
      </c>
      <c r="D1955" s="42">
        <f>IFERROR(__xludf.DUMMYFUNCTION("""COMPUTED_VALUE"""),1851.0)</f>
        <v>1851</v>
      </c>
      <c r="E1955" s="39" t="str">
        <f>IFERROR(__xludf.DUMMYFUNCTION("""COMPUTED_VALUE"""),"supracapsular division of BNST")</f>
        <v>supracapsular division of BNST</v>
      </c>
      <c r="F1955" s="9" t="str">
        <f>IFERROR(__xludf.DUMMYFUNCTION("""COMPUTED_VALUE"""),"Br")</f>
        <v>Br</v>
      </c>
      <c r="G1955" s="9" t="str">
        <f>IFERROR(__xludf.DUMMYFUNCTION("""COMPUTED_VALUE"""),"F")</f>
        <v>F</v>
      </c>
      <c r="H1955" s="9" t="str">
        <f>IFERROR(__xludf.DUMMYFUNCTION("""COMPUTED_VALUE"""),"FGM")</f>
        <v>FGM</v>
      </c>
      <c r="I1955" s="9" t="str">
        <f>IFERROR(__xludf.DUMMYFUNCTION("""COMPUTED_VALUE"""),"Tel")</f>
        <v>Tel</v>
      </c>
      <c r="J1955" s="9" t="str">
        <f>IFERROR(__xludf.DUMMYFUNCTION("""COMPUTED_VALUE"""),"CN")</f>
        <v>CN</v>
      </c>
      <c r="K1955" s="9" t="str">
        <f>IFERROR(__xludf.DUMMYFUNCTION("""COMPUTED_VALUE"""),"EXA")</f>
        <v>EXA</v>
      </c>
      <c r="L1955" s="9" t="str">
        <f>IFERROR(__xludf.DUMMYFUNCTION("""COMPUTED_VALUE"""),"BNST")</f>
        <v>BNST</v>
      </c>
      <c r="M1955" s="9" t="str">
        <f>IFERROR(__xludf.DUMMYFUNCTION("""COMPUTED_VALUE"""),"BNSTsc")</f>
        <v>BNSTsc</v>
      </c>
      <c r="N1955" s="9"/>
      <c r="O1955" s="9"/>
      <c r="P1955" s="9"/>
      <c r="Q1955" s="9"/>
      <c r="R1955" s="9"/>
      <c r="S1955" s="42" t="str">
        <f>IFERROR(__xludf.DUMMYFUNCTION("""COMPUTED_VALUE"""),"BSTscl;
BSTscm")</f>
        <v>BSTscl;
BSTscm</v>
      </c>
      <c r="T1955" s="42"/>
      <c r="U1955" s="42" t="b">
        <f>IFERROR(__xludf.DUMMYFUNCTION("""COMPUTED_VALUE"""),FALSE)</f>
        <v>0</v>
      </c>
      <c r="V1955" s="42"/>
      <c r="W1955" s="42"/>
      <c r="X1955" s="42"/>
      <c r="Y1955" s="42"/>
      <c r="Z1955" s="42"/>
      <c r="AA1955" s="42"/>
      <c r="AB1955" s="42" t="str">
        <f>IFERROR(__xludf.DUMMYFUNCTION("""COMPUTED_VALUE"""),"allen institute")</f>
        <v>allen institute</v>
      </c>
      <c r="AC1955" s="42" t="str">
        <f>IFERROR(__xludf.DUMMYFUNCTION("""COMPUTED_VALUE"""),"DHBA")</f>
        <v>DHBA</v>
      </c>
      <c r="AD1955" s="42"/>
      <c r="AE1955" s="42"/>
      <c r="AF1955" s="9"/>
      <c r="AG1955" s="9"/>
      <c r="AH1955" s="42"/>
      <c r="AI1955" s="42"/>
      <c r="AJ1955" s="42"/>
      <c r="AK1955" s="42"/>
      <c r="AL1955" s="42"/>
      <c r="AM1955" s="42"/>
      <c r="AN1955" s="42"/>
      <c r="AO1955" s="63" t="str">
        <f>IFERROR(__xludf.DUMMYFUNCTION("IF(ISBLANK(A1955),,IF(ISBLANK(S1955), A1955&amp;"";"", TEXTJOIN(CHAR(10), TRUE, A1955&amp;"";"", ARRAYFORMULA(VLOOKUP(SPLIT(S1955, "";"" &amp; CHAR(10)), $A:$AO, 41, FALSE)))))"),"BNSTsc;
BSTscl;
BSTscm;")</f>
        <v>BNSTsc;
BSTscl;
BSTscm;</v>
      </c>
      <c r="AP1955" s="89"/>
    </row>
    <row r="1956">
      <c r="A1956" s="151" t="str">
        <f>IFERROR(__xludf.DUMMYFUNCTION("""COMPUTED_VALUE"""),"BSTscl")</f>
        <v>BSTscl</v>
      </c>
      <c r="B1956" s="42" t="str">
        <f>IFERROR(__xludf.DUMMYFUNCTION("""COMPUTED_VALUE"""),"DHBA")</f>
        <v>DHBA</v>
      </c>
      <c r="C1956" s="42" t="str">
        <f>IFERROR(__xludf.DUMMYFUNCTION("""COMPUTED_VALUE"""),"lateral column of BNSTsc")</f>
        <v>lateral column of BNSTsc</v>
      </c>
      <c r="D1956" s="42">
        <f>IFERROR(__xludf.DUMMYFUNCTION("""COMPUTED_VALUE"""),1852.0)</f>
        <v>1852</v>
      </c>
      <c r="E1956" s="39" t="str">
        <f>IFERROR(__xludf.DUMMYFUNCTION("""COMPUTED_VALUE"""),"lateral column of BNSTsc")</f>
        <v>lateral column of BNSTsc</v>
      </c>
      <c r="F1956" s="9" t="str">
        <f>IFERROR(__xludf.DUMMYFUNCTION("""COMPUTED_VALUE"""),"Br")</f>
        <v>Br</v>
      </c>
      <c r="G1956" s="9" t="str">
        <f>IFERROR(__xludf.DUMMYFUNCTION("""COMPUTED_VALUE"""),"F")</f>
        <v>F</v>
      </c>
      <c r="H1956" s="9" t="str">
        <f>IFERROR(__xludf.DUMMYFUNCTION("""COMPUTED_VALUE"""),"FGM")</f>
        <v>FGM</v>
      </c>
      <c r="I1956" s="9" t="str">
        <f>IFERROR(__xludf.DUMMYFUNCTION("""COMPUTED_VALUE"""),"Tel")</f>
        <v>Tel</v>
      </c>
      <c r="J1956" s="9" t="str">
        <f>IFERROR(__xludf.DUMMYFUNCTION("""COMPUTED_VALUE"""),"CN")</f>
        <v>CN</v>
      </c>
      <c r="K1956" s="9" t="str">
        <f>IFERROR(__xludf.DUMMYFUNCTION("""COMPUTED_VALUE"""),"EXA")</f>
        <v>EXA</v>
      </c>
      <c r="L1956" s="9" t="str">
        <f>IFERROR(__xludf.DUMMYFUNCTION("""COMPUTED_VALUE"""),"BNST")</f>
        <v>BNST</v>
      </c>
      <c r="M1956" s="9" t="str">
        <f>IFERROR(__xludf.DUMMYFUNCTION("""COMPUTED_VALUE"""),"BNSTsc")</f>
        <v>BNSTsc</v>
      </c>
      <c r="N1956" s="9" t="str">
        <f>IFERROR(__xludf.DUMMYFUNCTION("""COMPUTED_VALUE"""),"BSTscl")</f>
        <v>BSTscl</v>
      </c>
      <c r="O1956" s="9"/>
      <c r="P1956" s="9"/>
      <c r="Q1956" s="9"/>
      <c r="R1956" s="9"/>
      <c r="S1956" s="42"/>
      <c r="T1956" s="42"/>
      <c r="U1956" s="42"/>
      <c r="V1956" s="42"/>
      <c r="W1956" s="42"/>
      <c r="X1956" s="42"/>
      <c r="Y1956" s="42"/>
      <c r="Z1956" s="42"/>
      <c r="AA1956" s="42"/>
      <c r="AB1956" s="42" t="str">
        <f>IFERROR(__xludf.DUMMYFUNCTION("""COMPUTED_VALUE"""),"allen institute")</f>
        <v>allen institute</v>
      </c>
      <c r="AC1956" s="42" t="str">
        <f>IFERROR(__xludf.DUMMYFUNCTION("""COMPUTED_VALUE"""),"DHBA")</f>
        <v>DHBA</v>
      </c>
      <c r="AD1956" s="42"/>
      <c r="AE1956" s="42"/>
      <c r="AF1956" s="9"/>
      <c r="AG1956" s="9"/>
      <c r="AH1956" s="42"/>
      <c r="AI1956" s="42"/>
      <c r="AJ1956" s="42"/>
      <c r="AK1956" s="42"/>
      <c r="AL1956" s="42"/>
      <c r="AM1956" s="42"/>
      <c r="AN1956" s="42"/>
      <c r="AO1956" s="63" t="str">
        <f>IFERROR(__xludf.DUMMYFUNCTION("IF(ISBLANK(A1956),,IF(ISBLANK(S1956), A1956&amp;"";"", TEXTJOIN(CHAR(10), TRUE, A1956&amp;"";"", ARRAYFORMULA(VLOOKUP(SPLIT(S1956, "";"" &amp; CHAR(10)), $A:$AO, 41, FALSE)))))"),"BSTscl;")</f>
        <v>BSTscl;</v>
      </c>
      <c r="AP1956" s="89"/>
    </row>
    <row r="1957">
      <c r="A1957" s="151" t="str">
        <f>IFERROR(__xludf.DUMMYFUNCTION("""COMPUTED_VALUE"""),"BSTscm")</f>
        <v>BSTscm</v>
      </c>
      <c r="B1957" s="42" t="str">
        <f>IFERROR(__xludf.DUMMYFUNCTION("""COMPUTED_VALUE"""),"DHBA")</f>
        <v>DHBA</v>
      </c>
      <c r="C1957" s="42" t="str">
        <f>IFERROR(__xludf.DUMMYFUNCTION("""COMPUTED_VALUE"""),"medial column of BNSTsc")</f>
        <v>medial column of BNSTsc</v>
      </c>
      <c r="D1957" s="42">
        <f>IFERROR(__xludf.DUMMYFUNCTION("""COMPUTED_VALUE"""),1853.0)</f>
        <v>1853</v>
      </c>
      <c r="E1957" s="39" t="str">
        <f>IFERROR(__xludf.DUMMYFUNCTION("""COMPUTED_VALUE"""),"medial column of BNSTsc")</f>
        <v>medial column of BNSTsc</v>
      </c>
      <c r="F1957" s="9" t="str">
        <f>IFERROR(__xludf.DUMMYFUNCTION("""COMPUTED_VALUE"""),"Br")</f>
        <v>Br</v>
      </c>
      <c r="G1957" s="9" t="str">
        <f>IFERROR(__xludf.DUMMYFUNCTION("""COMPUTED_VALUE"""),"F")</f>
        <v>F</v>
      </c>
      <c r="H1957" s="9" t="str">
        <f>IFERROR(__xludf.DUMMYFUNCTION("""COMPUTED_VALUE"""),"FGM")</f>
        <v>FGM</v>
      </c>
      <c r="I1957" s="9" t="str">
        <f>IFERROR(__xludf.DUMMYFUNCTION("""COMPUTED_VALUE"""),"Tel")</f>
        <v>Tel</v>
      </c>
      <c r="J1957" s="9" t="str">
        <f>IFERROR(__xludf.DUMMYFUNCTION("""COMPUTED_VALUE"""),"CN")</f>
        <v>CN</v>
      </c>
      <c r="K1957" s="9" t="str">
        <f>IFERROR(__xludf.DUMMYFUNCTION("""COMPUTED_VALUE"""),"EXA")</f>
        <v>EXA</v>
      </c>
      <c r="L1957" s="9" t="str">
        <f>IFERROR(__xludf.DUMMYFUNCTION("""COMPUTED_VALUE"""),"BNST")</f>
        <v>BNST</v>
      </c>
      <c r="M1957" s="9" t="str">
        <f>IFERROR(__xludf.DUMMYFUNCTION("""COMPUTED_VALUE"""),"BNSTsc")</f>
        <v>BNSTsc</v>
      </c>
      <c r="N1957" s="9" t="str">
        <f>IFERROR(__xludf.DUMMYFUNCTION("""COMPUTED_VALUE"""),"BSTscm")</f>
        <v>BSTscm</v>
      </c>
      <c r="O1957" s="9"/>
      <c r="P1957" s="9"/>
      <c r="Q1957" s="9"/>
      <c r="R1957" s="9"/>
      <c r="S1957" s="42"/>
      <c r="T1957" s="42"/>
      <c r="U1957" s="42"/>
      <c r="V1957" s="42"/>
      <c r="W1957" s="42"/>
      <c r="X1957" s="42"/>
      <c r="Y1957" s="42"/>
      <c r="Z1957" s="42"/>
      <c r="AA1957" s="42"/>
      <c r="AB1957" s="42" t="str">
        <f>IFERROR(__xludf.DUMMYFUNCTION("""COMPUTED_VALUE"""),"allen institute")</f>
        <v>allen institute</v>
      </c>
      <c r="AC1957" s="42" t="str">
        <f>IFERROR(__xludf.DUMMYFUNCTION("""COMPUTED_VALUE"""),"DHBA")</f>
        <v>DHBA</v>
      </c>
      <c r="AD1957" s="42"/>
      <c r="AE1957" s="42"/>
      <c r="AF1957" s="9"/>
      <c r="AG1957" s="9"/>
      <c r="AH1957" s="42"/>
      <c r="AI1957" s="42"/>
      <c r="AJ1957" s="42"/>
      <c r="AK1957" s="42"/>
      <c r="AL1957" s="42"/>
      <c r="AM1957" s="42"/>
      <c r="AN1957" s="42"/>
      <c r="AO1957" s="63" t="str">
        <f>IFERROR(__xludf.DUMMYFUNCTION("IF(ISBLANK(A1957),,IF(ISBLANK(S1957), A1957&amp;"";"", TEXTJOIN(CHAR(10), TRUE, A1957&amp;"";"", ARRAYFORMULA(VLOOKUP(SPLIT(S1957, "";"" &amp; CHAR(10)), $A:$AO, 41, FALSE)))))"),"BSTscm;")</f>
        <v>BSTscm;</v>
      </c>
      <c r="AP1957" s="89"/>
    </row>
    <row r="1958">
      <c r="A1958" s="151" t="str">
        <f>IFERROR(__xludf.DUMMYFUNCTION("""COMPUTED_VALUE"""),"BNSTin")</f>
        <v>BNSTin</v>
      </c>
      <c r="B1958" s="42" t="str">
        <f>IFERROR(__xludf.DUMMYFUNCTION("""COMPUTED_VALUE"""),"DHBA")</f>
        <v>DHBA</v>
      </c>
      <c r="C1958" s="42" t="str">
        <f>IFERROR(__xludf.DUMMYFUNCTION("""COMPUTED_VALUE"""),"intercalated nuclei of BNST")</f>
        <v>intercalated nuclei of BNST</v>
      </c>
      <c r="D1958" s="42">
        <f>IFERROR(__xludf.DUMMYFUNCTION("""COMPUTED_VALUE"""),1854.0)</f>
        <v>1854</v>
      </c>
      <c r="E1958" s="39" t="str">
        <f>IFERROR(__xludf.DUMMYFUNCTION("""COMPUTED_VALUE"""),"intercalated nuclei of BNST")</f>
        <v>intercalated nuclei of BNST</v>
      </c>
      <c r="F1958" s="9" t="str">
        <f>IFERROR(__xludf.DUMMYFUNCTION("""COMPUTED_VALUE"""),"Br")</f>
        <v>Br</v>
      </c>
      <c r="G1958" s="9" t="str">
        <f>IFERROR(__xludf.DUMMYFUNCTION("""COMPUTED_VALUE"""),"F")</f>
        <v>F</v>
      </c>
      <c r="H1958" s="9" t="str">
        <f>IFERROR(__xludf.DUMMYFUNCTION("""COMPUTED_VALUE"""),"FGM")</f>
        <v>FGM</v>
      </c>
      <c r="I1958" s="9" t="str">
        <f>IFERROR(__xludf.DUMMYFUNCTION("""COMPUTED_VALUE"""),"Tel")</f>
        <v>Tel</v>
      </c>
      <c r="J1958" s="9" t="str">
        <f>IFERROR(__xludf.DUMMYFUNCTION("""COMPUTED_VALUE"""),"CN")</f>
        <v>CN</v>
      </c>
      <c r="K1958" s="9" t="str">
        <f>IFERROR(__xludf.DUMMYFUNCTION("""COMPUTED_VALUE"""),"EXA")</f>
        <v>EXA</v>
      </c>
      <c r="L1958" s="9" t="str">
        <f>IFERROR(__xludf.DUMMYFUNCTION("""COMPUTED_VALUE"""),"BNST")</f>
        <v>BNST</v>
      </c>
      <c r="M1958" s="9" t="str">
        <f>IFERROR(__xludf.DUMMYFUNCTION("""COMPUTED_VALUE"""),"BNSTin")</f>
        <v>BNSTin</v>
      </c>
      <c r="N1958" s="9"/>
      <c r="O1958" s="9"/>
      <c r="P1958" s="9"/>
      <c r="Q1958" s="9"/>
      <c r="R1958" s="9"/>
      <c r="S1958" s="42"/>
      <c r="T1958" s="42"/>
      <c r="U1958" s="42"/>
      <c r="V1958" s="42"/>
      <c r="W1958" s="42"/>
      <c r="X1958" s="42"/>
      <c r="Y1958" s="42"/>
      <c r="Z1958" s="42"/>
      <c r="AA1958" s="42"/>
      <c r="AB1958" s="42" t="str">
        <f>IFERROR(__xludf.DUMMYFUNCTION("""COMPUTED_VALUE"""),"allen institute")</f>
        <v>allen institute</v>
      </c>
      <c r="AC1958" s="42" t="str">
        <f>IFERROR(__xludf.DUMMYFUNCTION("""COMPUTED_VALUE"""),"DHBA")</f>
        <v>DHBA</v>
      </c>
      <c r="AD1958" s="42"/>
      <c r="AE1958" s="42"/>
      <c r="AF1958" s="9"/>
      <c r="AG1958" s="9"/>
      <c r="AH1958" s="42"/>
      <c r="AI1958" s="42"/>
      <c r="AJ1958" s="42"/>
      <c r="AK1958" s="42"/>
      <c r="AL1958" s="42"/>
      <c r="AM1958" s="42"/>
      <c r="AN1958" s="42"/>
      <c r="AO1958" s="63" t="str">
        <f>IFERROR(__xludf.DUMMYFUNCTION("IF(ISBLANK(A1958),,IF(ISBLANK(S1958), A1958&amp;"";"", TEXTJOIN(CHAR(10), TRUE, A1958&amp;"";"", ARRAYFORMULA(VLOOKUP(SPLIT(S1958, "";"" &amp; CHAR(10)), $A:$AO, 41, FALSE)))))"),"BNSTin;")</f>
        <v>BNSTin;</v>
      </c>
      <c r="AP1958" s="89"/>
    </row>
    <row r="1959">
      <c r="A1959" s="151" t="str">
        <f>IFERROR(__xludf.DUMMYFUNCTION("""COMPUTED_VALUE"""),"SLEA")</f>
        <v>SLEA</v>
      </c>
      <c r="B1959" s="42" t="str">
        <f>IFERROR(__xludf.DUMMYFUNCTION("""COMPUTED_VALUE"""),"DHBA")</f>
        <v>DHBA</v>
      </c>
      <c r="C1959" s="42" t="str">
        <f>IFERROR(__xludf.DUMMYFUNCTION("""COMPUTED_VALUE"""),"sublenticular extended amygdala")</f>
        <v>sublenticular extended amygdala</v>
      </c>
      <c r="D1959" s="42">
        <f>IFERROR(__xludf.DUMMYFUNCTION("""COMPUTED_VALUE"""),1855.0)</f>
        <v>1855</v>
      </c>
      <c r="E1959" s="39" t="str">
        <f>IFERROR(__xludf.DUMMYFUNCTION("""COMPUTED_VALUE"""),"sublenticular extended amygdala")</f>
        <v>sublenticular extended amygdala</v>
      </c>
      <c r="F1959" s="9" t="str">
        <f>IFERROR(__xludf.DUMMYFUNCTION("""COMPUTED_VALUE"""),"Br")</f>
        <v>Br</v>
      </c>
      <c r="G1959" s="9" t="str">
        <f>IFERROR(__xludf.DUMMYFUNCTION("""COMPUTED_VALUE"""),"F")</f>
        <v>F</v>
      </c>
      <c r="H1959" s="9" t="str">
        <f>IFERROR(__xludf.DUMMYFUNCTION("""COMPUTED_VALUE"""),"FGM")</f>
        <v>FGM</v>
      </c>
      <c r="I1959" s="9" t="str">
        <f>IFERROR(__xludf.DUMMYFUNCTION("""COMPUTED_VALUE"""),"Tel")</f>
        <v>Tel</v>
      </c>
      <c r="J1959" s="9" t="str">
        <f>IFERROR(__xludf.DUMMYFUNCTION("""COMPUTED_VALUE"""),"CN")</f>
        <v>CN</v>
      </c>
      <c r="K1959" s="9" t="str">
        <f>IFERROR(__xludf.DUMMYFUNCTION("""COMPUTED_VALUE"""),"EXA")</f>
        <v>EXA</v>
      </c>
      <c r="L1959" s="9" t="str">
        <f>IFERROR(__xludf.DUMMYFUNCTION("""COMPUTED_VALUE"""),"SLEA")</f>
        <v>SLEA</v>
      </c>
      <c r="M1959" s="9"/>
      <c r="N1959" s="9"/>
      <c r="O1959" s="9"/>
      <c r="P1959" s="9"/>
      <c r="Q1959" s="9"/>
      <c r="R1959" s="9"/>
      <c r="S1959" s="42" t="str">
        <f>IFERROR(__xludf.DUMMYFUNCTION("""COMPUTED_VALUE"""),"SLEAm;
SLEAc")</f>
        <v>SLEAm;
SLEAc</v>
      </c>
      <c r="T1959" s="42"/>
      <c r="U1959" s="42" t="b">
        <f>IFERROR(__xludf.DUMMYFUNCTION("""COMPUTED_VALUE"""),FALSE)</f>
        <v>0</v>
      </c>
      <c r="V1959" s="42"/>
      <c r="W1959" s="42"/>
      <c r="X1959" s="42"/>
      <c r="Y1959" s="42"/>
      <c r="Z1959" s="42"/>
      <c r="AA1959" s="42"/>
      <c r="AB1959" s="42" t="str">
        <f>IFERROR(__xludf.DUMMYFUNCTION("""COMPUTED_VALUE"""),"allen institute")</f>
        <v>allen institute</v>
      </c>
      <c r="AC1959" s="42" t="str">
        <f>IFERROR(__xludf.DUMMYFUNCTION("""COMPUTED_VALUE"""),"DHBA")</f>
        <v>DHBA</v>
      </c>
      <c r="AD1959" s="42"/>
      <c r="AE1959" s="42"/>
      <c r="AF1959" s="9"/>
      <c r="AG1959" s="9"/>
      <c r="AH1959" s="42"/>
      <c r="AI1959" s="42"/>
      <c r="AJ1959" s="42"/>
      <c r="AK1959" s="42"/>
      <c r="AL1959" s="42"/>
      <c r="AM1959" s="42"/>
      <c r="AN1959" s="42"/>
      <c r="AO1959" s="63" t="str">
        <f>IFERROR(__xludf.DUMMYFUNCTION("IF(ISBLANK(A1959),,IF(ISBLANK(S1959), A1959&amp;"";"", TEXTJOIN(CHAR(10), TRUE, A1959&amp;"";"", ARRAYFORMULA(VLOOKUP(SPLIT(S1959, "";"" &amp; CHAR(10)), $A:$AO, 41, FALSE)))))"),"SLEA;
SLEAm;
SLEAc;")</f>
        <v>SLEA;
SLEAm;
SLEAc;</v>
      </c>
      <c r="AP1959" s="89"/>
    </row>
    <row r="1960">
      <c r="A1960" s="151" t="str">
        <f>IFERROR(__xludf.DUMMYFUNCTION("""COMPUTED_VALUE"""),"SLEAm")</f>
        <v>SLEAm</v>
      </c>
      <c r="B1960" s="42" t="str">
        <f>IFERROR(__xludf.DUMMYFUNCTION("""COMPUTED_VALUE"""),"DHBA")</f>
        <v>DHBA</v>
      </c>
      <c r="C1960" s="42" t="str">
        <f>IFERROR(__xludf.DUMMYFUNCTION("""COMPUTED_VALUE"""),"medial division of sublenticular extended amygdala")</f>
        <v>medial division of sublenticular extended amygdala</v>
      </c>
      <c r="D1960" s="42">
        <f>IFERROR(__xludf.DUMMYFUNCTION("""COMPUTED_VALUE"""),1856.0)</f>
        <v>1856</v>
      </c>
      <c r="E1960" s="39" t="str">
        <f>IFERROR(__xludf.DUMMYFUNCTION("""COMPUTED_VALUE"""),"medial division of sublenticular extended amygdala")</f>
        <v>medial division of sublenticular extended amygdala</v>
      </c>
      <c r="F1960" s="9" t="str">
        <f>IFERROR(__xludf.DUMMYFUNCTION("""COMPUTED_VALUE"""),"Br")</f>
        <v>Br</v>
      </c>
      <c r="G1960" s="9" t="str">
        <f>IFERROR(__xludf.DUMMYFUNCTION("""COMPUTED_VALUE"""),"F")</f>
        <v>F</v>
      </c>
      <c r="H1960" s="9" t="str">
        <f>IFERROR(__xludf.DUMMYFUNCTION("""COMPUTED_VALUE"""),"FGM")</f>
        <v>FGM</v>
      </c>
      <c r="I1960" s="9" t="str">
        <f>IFERROR(__xludf.DUMMYFUNCTION("""COMPUTED_VALUE"""),"Tel")</f>
        <v>Tel</v>
      </c>
      <c r="J1960" s="9" t="str">
        <f>IFERROR(__xludf.DUMMYFUNCTION("""COMPUTED_VALUE"""),"CN")</f>
        <v>CN</v>
      </c>
      <c r="K1960" s="9" t="str">
        <f>IFERROR(__xludf.DUMMYFUNCTION("""COMPUTED_VALUE"""),"EXA")</f>
        <v>EXA</v>
      </c>
      <c r="L1960" s="9" t="str">
        <f>IFERROR(__xludf.DUMMYFUNCTION("""COMPUTED_VALUE"""),"SLEA")</f>
        <v>SLEA</v>
      </c>
      <c r="M1960" s="9" t="str">
        <f>IFERROR(__xludf.DUMMYFUNCTION("""COMPUTED_VALUE"""),"SLEAm")</f>
        <v>SLEAm</v>
      </c>
      <c r="N1960" s="9"/>
      <c r="O1960" s="9"/>
      <c r="P1960" s="9"/>
      <c r="Q1960" s="9"/>
      <c r="R1960" s="9"/>
      <c r="S1960" s="42"/>
      <c r="T1960" s="42"/>
      <c r="U1960" s="42"/>
      <c r="V1960" s="42"/>
      <c r="W1960" s="42"/>
      <c r="X1960" s="42"/>
      <c r="Y1960" s="42"/>
      <c r="Z1960" s="42"/>
      <c r="AA1960" s="42"/>
      <c r="AB1960" s="42" t="str">
        <f>IFERROR(__xludf.DUMMYFUNCTION("""COMPUTED_VALUE"""),"allen institute")</f>
        <v>allen institute</v>
      </c>
      <c r="AC1960" s="42" t="str">
        <f>IFERROR(__xludf.DUMMYFUNCTION("""COMPUTED_VALUE"""),"DHBA")</f>
        <v>DHBA</v>
      </c>
      <c r="AD1960" s="42"/>
      <c r="AE1960" s="42"/>
      <c r="AF1960" s="9"/>
      <c r="AG1960" s="9"/>
      <c r="AH1960" s="42"/>
      <c r="AI1960" s="42"/>
      <c r="AJ1960" s="42"/>
      <c r="AK1960" s="42"/>
      <c r="AL1960" s="42"/>
      <c r="AM1960" s="42"/>
      <c r="AN1960" s="42"/>
      <c r="AO1960" s="63" t="str">
        <f>IFERROR(__xludf.DUMMYFUNCTION("IF(ISBLANK(A1960),,IF(ISBLANK(S1960), A1960&amp;"";"", TEXTJOIN(CHAR(10), TRUE, A1960&amp;"";"", ARRAYFORMULA(VLOOKUP(SPLIT(S1960, "";"" &amp; CHAR(10)), $A:$AO, 41, FALSE)))))"),"SLEAm;")</f>
        <v>SLEAm;</v>
      </c>
      <c r="AP1960" s="89"/>
    </row>
    <row r="1961">
      <c r="A1961" s="151" t="str">
        <f>IFERROR(__xludf.DUMMYFUNCTION("""COMPUTED_VALUE"""),"SLEAc")</f>
        <v>SLEAc</v>
      </c>
      <c r="B1961" s="42" t="str">
        <f>IFERROR(__xludf.DUMMYFUNCTION("""COMPUTED_VALUE"""),"DHBA")</f>
        <v>DHBA</v>
      </c>
      <c r="C1961" s="42" t="str">
        <f>IFERROR(__xludf.DUMMYFUNCTION("""COMPUTED_VALUE"""),"central division of sublenticular extended amygdala")</f>
        <v>central division of sublenticular extended amygdala</v>
      </c>
      <c r="D1961" s="42">
        <f>IFERROR(__xludf.DUMMYFUNCTION("""COMPUTED_VALUE"""),1857.0)</f>
        <v>1857</v>
      </c>
      <c r="E1961" s="39" t="str">
        <f>IFERROR(__xludf.DUMMYFUNCTION("""COMPUTED_VALUE"""),"central division of sublenticular extended amygdala")</f>
        <v>central division of sublenticular extended amygdala</v>
      </c>
      <c r="F1961" s="9" t="str">
        <f>IFERROR(__xludf.DUMMYFUNCTION("""COMPUTED_VALUE"""),"Br")</f>
        <v>Br</v>
      </c>
      <c r="G1961" s="9" t="str">
        <f>IFERROR(__xludf.DUMMYFUNCTION("""COMPUTED_VALUE"""),"F")</f>
        <v>F</v>
      </c>
      <c r="H1961" s="9" t="str">
        <f>IFERROR(__xludf.DUMMYFUNCTION("""COMPUTED_VALUE"""),"FGM")</f>
        <v>FGM</v>
      </c>
      <c r="I1961" s="9" t="str">
        <f>IFERROR(__xludf.DUMMYFUNCTION("""COMPUTED_VALUE"""),"Tel")</f>
        <v>Tel</v>
      </c>
      <c r="J1961" s="9" t="str">
        <f>IFERROR(__xludf.DUMMYFUNCTION("""COMPUTED_VALUE"""),"CN")</f>
        <v>CN</v>
      </c>
      <c r="K1961" s="9" t="str">
        <f>IFERROR(__xludf.DUMMYFUNCTION("""COMPUTED_VALUE"""),"EXA")</f>
        <v>EXA</v>
      </c>
      <c r="L1961" s="9" t="str">
        <f>IFERROR(__xludf.DUMMYFUNCTION("""COMPUTED_VALUE"""),"SLEA")</f>
        <v>SLEA</v>
      </c>
      <c r="M1961" s="9" t="str">
        <f>IFERROR(__xludf.DUMMYFUNCTION("""COMPUTED_VALUE"""),"SLEAc")</f>
        <v>SLEAc</v>
      </c>
      <c r="N1961" s="9"/>
      <c r="O1961" s="9"/>
      <c r="P1961" s="9"/>
      <c r="Q1961" s="9"/>
      <c r="R1961" s="9"/>
      <c r="S1961" s="42"/>
      <c r="T1961" s="42"/>
      <c r="U1961" s="159"/>
      <c r="V1961" s="42"/>
      <c r="W1961" s="42"/>
      <c r="X1961" s="42"/>
      <c r="Y1961" s="42"/>
      <c r="Z1961" s="42"/>
      <c r="AA1961" s="42"/>
      <c r="AB1961" s="42" t="str">
        <f>IFERROR(__xludf.DUMMYFUNCTION("""COMPUTED_VALUE"""),"allen institute")</f>
        <v>allen institute</v>
      </c>
      <c r="AC1961" s="42" t="str">
        <f>IFERROR(__xludf.DUMMYFUNCTION("""COMPUTED_VALUE"""),"DHBA")</f>
        <v>DHBA</v>
      </c>
      <c r="AD1961" s="42"/>
      <c r="AE1961" s="42"/>
      <c r="AF1961" s="9"/>
      <c r="AG1961" s="9"/>
      <c r="AH1961" s="42"/>
      <c r="AI1961" s="42"/>
      <c r="AJ1961" s="42"/>
      <c r="AK1961" s="42"/>
      <c r="AL1961" s="42"/>
      <c r="AM1961" s="42"/>
      <c r="AN1961" s="42"/>
      <c r="AO1961" s="63" t="str">
        <f>IFERROR(__xludf.DUMMYFUNCTION("IF(ISBLANK(A1961),,IF(ISBLANK(S1961), A1961&amp;"";"", TEXTJOIN(CHAR(10), TRUE, A1961&amp;"";"", ARRAYFORMULA(VLOOKUP(SPLIT(S1961, "";"" &amp; CHAR(10)), $A:$AO, 41, FALSE)))))"),"SLEAc;")</f>
        <v>SLEAc;</v>
      </c>
      <c r="AP1961" s="89"/>
    </row>
    <row r="1962">
      <c r="A1962" s="151" t="str">
        <f>IFERROR(__xludf.DUMMYFUNCTION("""COMPUTED_VALUE"""),"IPAC")</f>
        <v>IPAC</v>
      </c>
      <c r="B1962" s="42" t="str">
        <f>IFERROR(__xludf.DUMMYFUNCTION("""COMPUTED_VALUE"""),"DHBA")</f>
        <v>DHBA</v>
      </c>
      <c r="C1962" s="42" t="str">
        <f>IFERROR(__xludf.DUMMYFUNCTION("""COMPUTED_VALUE"""),"interstitial nucleus of posterior limb of anterior commissure")</f>
        <v>interstitial nucleus of posterior limb of anterior commissure</v>
      </c>
      <c r="D1962" s="42">
        <f>IFERROR(__xludf.DUMMYFUNCTION("""COMPUTED_VALUE"""),1858.0)</f>
        <v>1858</v>
      </c>
      <c r="E1962" s="39" t="str">
        <f>IFERROR(__xludf.DUMMYFUNCTION("""COMPUTED_VALUE"""),"interstitial nucleus of posterior limb of anterior commissure")</f>
        <v>interstitial nucleus of posterior limb of anterior commissure</v>
      </c>
      <c r="F1962" s="9" t="str">
        <f>IFERROR(__xludf.DUMMYFUNCTION("""COMPUTED_VALUE"""),"Br")</f>
        <v>Br</v>
      </c>
      <c r="G1962" s="9" t="str">
        <f>IFERROR(__xludf.DUMMYFUNCTION("""COMPUTED_VALUE"""),"F")</f>
        <v>F</v>
      </c>
      <c r="H1962" s="9" t="str">
        <f>IFERROR(__xludf.DUMMYFUNCTION("""COMPUTED_VALUE"""),"FGM")</f>
        <v>FGM</v>
      </c>
      <c r="I1962" s="9" t="str">
        <f>IFERROR(__xludf.DUMMYFUNCTION("""COMPUTED_VALUE"""),"Tel")</f>
        <v>Tel</v>
      </c>
      <c r="J1962" s="9" t="str">
        <f>IFERROR(__xludf.DUMMYFUNCTION("""COMPUTED_VALUE"""),"CN")</f>
        <v>CN</v>
      </c>
      <c r="K1962" s="9" t="str">
        <f>IFERROR(__xludf.DUMMYFUNCTION("""COMPUTED_VALUE"""),"EXA")</f>
        <v>EXA</v>
      </c>
      <c r="L1962" s="9" t="str">
        <f>IFERROR(__xludf.DUMMYFUNCTION("""COMPUTED_VALUE"""),"IPAC")</f>
        <v>IPAC</v>
      </c>
      <c r="M1962" s="9"/>
      <c r="N1962" s="9"/>
      <c r="O1962" s="9"/>
      <c r="P1962" s="9"/>
      <c r="Q1962" s="9"/>
      <c r="R1962" s="9"/>
      <c r="S1962" s="42"/>
      <c r="T1962" s="42"/>
      <c r="U1962" s="42"/>
      <c r="V1962" s="42"/>
      <c r="W1962" s="42"/>
      <c r="X1962" s="42"/>
      <c r="Y1962" s="42"/>
      <c r="Z1962" s="42"/>
      <c r="AA1962" s="42"/>
      <c r="AB1962" s="42" t="str">
        <f>IFERROR(__xludf.DUMMYFUNCTION("""COMPUTED_VALUE"""),"allen institute")</f>
        <v>allen institute</v>
      </c>
      <c r="AC1962" s="42" t="str">
        <f>IFERROR(__xludf.DUMMYFUNCTION("""COMPUTED_VALUE"""),"DHBA")</f>
        <v>DHBA</v>
      </c>
      <c r="AD1962" s="42"/>
      <c r="AE1962" s="42"/>
      <c r="AF1962" s="9"/>
      <c r="AG1962" s="9"/>
      <c r="AH1962" s="42"/>
      <c r="AI1962" s="42"/>
      <c r="AJ1962" s="42"/>
      <c r="AK1962" s="42"/>
      <c r="AL1962" s="42"/>
      <c r="AM1962" s="42"/>
      <c r="AN1962" s="42"/>
      <c r="AO1962" s="63" t="str">
        <f>IFERROR(__xludf.DUMMYFUNCTION("IF(ISBLANK(A1962),,IF(ISBLANK(S1962), A1962&amp;"";"", TEXTJOIN(CHAR(10), TRUE, A1962&amp;"";"", ARRAYFORMULA(VLOOKUP(SPLIT(S1962, "";"" &amp; CHAR(10)), $A:$AO, 41, FALSE)))))"),"IPAC;")</f>
        <v>IPAC;</v>
      </c>
      <c r="AP1962" s="89"/>
    </row>
    <row r="1963">
      <c r="A1963" s="151" t="str">
        <f>IFERROR(__xludf.DUMMYFUNCTION("""COMPUTED_VALUE"""),"BN")</f>
        <v>BN</v>
      </c>
      <c r="B1963" s="42" t="str">
        <f>IFERROR(__xludf.DUMMYFUNCTION("""COMPUTED_VALUE"""),"DHBA")</f>
        <v>DHBA</v>
      </c>
      <c r="C1963" s="42" t="str">
        <f>IFERROR(__xludf.DUMMYFUNCTION("""COMPUTED_VALUE"""),"basal ganglia")</f>
        <v>basal ganglia</v>
      </c>
      <c r="D1963" s="42">
        <f>IFERROR(__xludf.DUMMYFUNCTION("""COMPUTED_VALUE"""),1859.0)</f>
        <v>1859</v>
      </c>
      <c r="E1963" s="39" t="str">
        <f>IFERROR(__xludf.DUMMYFUNCTION("""COMPUTED_VALUE"""),"basal nuclei (basal ganglia)")</f>
        <v>basal nuclei (basal ganglia)</v>
      </c>
      <c r="F1963" s="9" t="str">
        <f>IFERROR(__xludf.DUMMYFUNCTION("""COMPUTED_VALUE"""),"Br")</f>
        <v>Br</v>
      </c>
      <c r="G1963" s="9" t="str">
        <f>IFERROR(__xludf.DUMMYFUNCTION("""COMPUTED_VALUE"""),"F")</f>
        <v>F</v>
      </c>
      <c r="H1963" s="9" t="str">
        <f>IFERROR(__xludf.DUMMYFUNCTION("""COMPUTED_VALUE"""),"FGM")</f>
        <v>FGM</v>
      </c>
      <c r="I1963" s="9" t="str">
        <f>IFERROR(__xludf.DUMMYFUNCTION("""COMPUTED_VALUE"""),"Tel")</f>
        <v>Tel</v>
      </c>
      <c r="J1963" s="9" t="str">
        <f>IFERROR(__xludf.DUMMYFUNCTION("""COMPUTED_VALUE"""),"CN")</f>
        <v>CN</v>
      </c>
      <c r="K1963" s="9" t="str">
        <f>IFERROR(__xludf.DUMMYFUNCTION("""COMPUTED_VALUE"""),"BN")</f>
        <v>BN</v>
      </c>
      <c r="L1963" s="9"/>
      <c r="M1963" s="9"/>
      <c r="N1963" s="9"/>
      <c r="O1963" s="9"/>
      <c r="P1963" s="9"/>
      <c r="Q1963" s="9"/>
      <c r="R1963" s="9"/>
      <c r="S1963" s="42" t="str">
        <f>IFERROR(__xludf.DUMMYFUNCTION("""COMPUTED_VALUE"""),"STR;
GP")</f>
        <v>STR;
GP</v>
      </c>
      <c r="T1963" s="42"/>
      <c r="U1963" s="42" t="b">
        <f>IFERROR(__xludf.DUMMYFUNCTION("""COMPUTED_VALUE"""),FALSE)</f>
        <v>0</v>
      </c>
      <c r="V1963" s="42"/>
      <c r="W1963" s="42"/>
      <c r="X1963" s="42"/>
      <c r="Y1963" s="42"/>
      <c r="Z1963" s="42"/>
      <c r="AA1963" s="42"/>
      <c r="AB1963" s="42" t="str">
        <f>IFERROR(__xludf.DUMMYFUNCTION("""COMPUTED_VALUE"""),"allen institute")</f>
        <v>allen institute</v>
      </c>
      <c r="AC1963" s="42" t="str">
        <f>IFERROR(__xludf.DUMMYFUNCTION("""COMPUTED_VALUE"""),"DHBA")</f>
        <v>DHBA</v>
      </c>
      <c r="AD1963" s="42"/>
      <c r="AE1963" s="42"/>
      <c r="AF1963" s="9"/>
      <c r="AG1963" s="9"/>
      <c r="AH1963" s="42"/>
      <c r="AI1963" s="42"/>
      <c r="AJ1963" s="42"/>
      <c r="AK1963" s="42"/>
      <c r="AL1963" s="42"/>
      <c r="AM1963" s="42"/>
      <c r="AN1963" s="42"/>
      <c r="AO1963" s="63" t="str">
        <f>IFERROR(__xludf.DUMMYFUNCTION("IF(ISBLANK(A1963),,IF(ISBLANK(S1963), A1963&amp;"";"", TEXTJOIN(CHAR(10), TRUE, A1963&amp;"";"", ARRAYFORMULA(VLOOKUP(SPLIT(S1963, "";"" &amp; CHAR(10)), $A:$AO, 41, FALSE)))))"),"BN;
STR;
Ca;
CaH;
CaHrp;
CaHdl;
CaHvm;
CaB;
CaT;
Eca;
Pu;
PuR;
PuRv;
PuC;
Pld;
Pint;
Pmv;
PuPV;
PuMG;
NAC;
NACc;
NACcl;
NACcm;
NACs;
NACsl;
NACsi;
NACsm;
STR_matrix;
STR_patch;
vSTR;
CaPu;
GP;
GPe;
GPi;
GPic;
GPip;
EnPN;
VeP;")</f>
        <v>BN;
STR;
Ca;
CaH;
CaHrp;
CaHdl;
CaHvm;
CaB;
CaT;
Eca;
Pu;
PuR;
PuRv;
PuC;
Pld;
Pint;
Pmv;
PuPV;
PuMG;
NAC;
NACc;
NACcl;
NACcm;
NACs;
NACsl;
NACsi;
NACsm;
STR_matrix;
STR_patch;
vSTR;
CaPu;
GP;
GPe;
GPi;
GPic;
GPip;
EnPN;
VeP;</v>
      </c>
      <c r="AP1963" s="89"/>
    </row>
    <row r="1964">
      <c r="A1964" s="151" t="str">
        <f>IFERROR(__xludf.DUMMYFUNCTION("""COMPUTED_VALUE"""),"BN_DP")</f>
        <v>BN_DP</v>
      </c>
      <c r="B1964" s="42" t="str">
        <f>IFERROR(__xludf.DUMMYFUNCTION("""COMPUTED_VALUE"""),"collection")</f>
        <v>collection</v>
      </c>
      <c r="C1964" s="42" t="str">
        <f>IFERROR(__xludf.DUMMYFUNCTION("""COMPUTED_VALUE"""),"direct pathway, in basal ganglia")</f>
        <v>direct pathway, in basal ganglia</v>
      </c>
      <c r="D1964" s="42">
        <f>IFERROR(__xludf.DUMMYFUNCTION("""COMPUTED_VALUE"""),1859.1)</f>
        <v>1859.1</v>
      </c>
      <c r="E1964" s="39" t="str">
        <f>IFERROR(__xludf.DUMMYFUNCTION("""COMPUTED_VALUE"""),"")</f>
        <v/>
      </c>
      <c r="F1964" s="9" t="str">
        <f>IFERROR(__xludf.DUMMYFUNCTION("""COMPUTED_VALUE"""),"")</f>
        <v/>
      </c>
      <c r="G1964" s="9" t="str">
        <f>IFERROR(__xludf.DUMMYFUNCTION("""COMPUTED_VALUE"""),"")</f>
        <v/>
      </c>
      <c r="H1964" s="9" t="str">
        <f>IFERROR(__xludf.DUMMYFUNCTION("""COMPUTED_VALUE"""),"")</f>
        <v/>
      </c>
      <c r="I1964" s="9" t="str">
        <f>IFERROR(__xludf.DUMMYFUNCTION("""COMPUTED_VALUE"""),"")</f>
        <v/>
      </c>
      <c r="J1964" s="9" t="str">
        <f>IFERROR(__xludf.DUMMYFUNCTION("""COMPUTED_VALUE"""),"")</f>
        <v/>
      </c>
      <c r="K1964" s="9" t="str">
        <f>IFERROR(__xludf.DUMMYFUNCTION("""COMPUTED_VALUE"""),"")</f>
        <v/>
      </c>
      <c r="L1964" s="9" t="str">
        <f>IFERROR(__xludf.DUMMYFUNCTION("""COMPUTED_VALUE"""),"")</f>
        <v/>
      </c>
      <c r="M1964" s="9" t="str">
        <f>IFERROR(__xludf.DUMMYFUNCTION("""COMPUTED_VALUE"""),"")</f>
        <v/>
      </c>
      <c r="N1964" s="9" t="str">
        <f>IFERROR(__xludf.DUMMYFUNCTION("""COMPUTED_VALUE"""),"")</f>
        <v/>
      </c>
      <c r="O1964" s="9" t="str">
        <f>IFERROR(__xludf.DUMMYFUNCTION("""COMPUTED_VALUE"""),"")</f>
        <v/>
      </c>
      <c r="P1964" s="9" t="str">
        <f>IFERROR(__xludf.DUMMYFUNCTION("""COMPUTED_VALUE"""),"")</f>
        <v/>
      </c>
      <c r="Q1964" s="9" t="str">
        <f>IFERROR(__xludf.DUMMYFUNCTION("""COMPUTED_VALUE"""),"")</f>
        <v/>
      </c>
      <c r="R1964" s="9" t="str">
        <f>IFERROR(__xludf.DUMMYFUNCTION("""COMPUTED_VALUE"""),"")</f>
        <v/>
      </c>
      <c r="S1964" s="42" t="str">
        <f>IFERROR(__xludf.DUMMYFUNCTION("""COMPUTED_VALUE"""),"STR_matrix;
GPi")</f>
        <v>STR_matrix;
GPi</v>
      </c>
      <c r="T1964" s="42" t="str">
        <f>IFERROR(__xludf.DUMMYFUNCTION("""COMPUTED_VALUE"""),"BN")</f>
        <v>BN</v>
      </c>
      <c r="U1964" s="42" t="b">
        <f>IFERROR(__xludf.DUMMYFUNCTION("""COMPUTED_VALUE"""),FALSE)</f>
        <v>0</v>
      </c>
      <c r="V1964" s="42" t="str">
        <f>IFERROR(__xludf.DUMMYFUNCTION("""COMPUTED_VALUE"""),"GABA")</f>
        <v>GABA</v>
      </c>
      <c r="W1964" s="42" t="str">
        <f>IFERROR(__xludf.DUMMYFUNCTION("""COMPUTED_VALUE"""),"Inhibitory")</f>
        <v>Inhibitory</v>
      </c>
      <c r="X1964" s="42"/>
      <c r="Y1964" s="42" t="str">
        <f>IFERROR(__xludf.DUMMYFUNCTION("""COMPUTED_VALUE"""),"Inhibitory projections of STR to SNR de-inhibitate SNRs")</f>
        <v>Inhibitory projections of STR to SNR de-inhibitate SNRs</v>
      </c>
      <c r="Z1964" s="42"/>
      <c r="AA1964" s="42"/>
      <c r="AB1964" s="42" t="str">
        <f>IFERROR(__xludf.DUMMYFUNCTION("""COMPUTED_VALUE"""),"Yuske Shibata")</f>
        <v>Yuske Shibata</v>
      </c>
      <c r="AC1964" s="42" t="str">
        <f>IFERROR(__xludf.DUMMYFUNCTION("""COMPUTED_VALUE"""),"YS21BgLoop")</f>
        <v>YS21BgLoop</v>
      </c>
      <c r="AD1964" s="42"/>
      <c r="AE1964" s="42"/>
      <c r="AF1964" s="9"/>
      <c r="AG1964" s="9"/>
      <c r="AH1964" s="42"/>
      <c r="AI1964" s="42"/>
      <c r="AJ1964" s="42"/>
      <c r="AK1964" s="42"/>
      <c r="AL1964" s="42"/>
      <c r="AM1964" s="42"/>
      <c r="AN1964" s="42"/>
      <c r="AO1964" s="63" t="str">
        <f>IFERROR(__xludf.DUMMYFUNCTION("IF(ISBLANK(A1964),,IF(ISBLANK(S1964), A1964&amp;"";"", TEXTJOIN(CHAR(10), TRUE, A1964&amp;"";"", ARRAYFORMULA(VLOOKUP(SPLIT(S1964, "";"" &amp; CHAR(10)), $A:$AO, 41, FALSE)))))"),"BN_DP;
STR_matrix;
GPi;
GPic;
GPip;")</f>
        <v>BN_DP;
STR_matrix;
GPi;
GPic;
GPip;</v>
      </c>
      <c r="AP1964" s="89"/>
    </row>
    <row r="1965">
      <c r="A1965" s="151" t="str">
        <f>IFERROR(__xludf.DUMMYFUNCTION("""COMPUTED_VALUE"""),"BN_HDP")</f>
        <v>BN_HDP</v>
      </c>
      <c r="B1965" s="42" t="str">
        <f>IFERROR(__xludf.DUMMYFUNCTION("""COMPUTED_VALUE"""),"collection")</f>
        <v>collection</v>
      </c>
      <c r="C1965" s="42" t="str">
        <f>IFERROR(__xludf.DUMMYFUNCTION("""COMPUTED_VALUE"""),"hyperdirect pathway, in basal ganglia")</f>
        <v>hyperdirect pathway, in basal ganglia</v>
      </c>
      <c r="D1965" s="42">
        <f>IFERROR(__xludf.DUMMYFUNCTION("""COMPUTED_VALUE"""),1859.1)</f>
        <v>1859.1</v>
      </c>
      <c r="E1965" s="39" t="str">
        <f>IFERROR(__xludf.DUMMYFUNCTION("""COMPUTED_VALUE"""),"")</f>
        <v/>
      </c>
      <c r="F1965" s="9" t="str">
        <f>IFERROR(__xludf.DUMMYFUNCTION("""COMPUTED_VALUE"""),"")</f>
        <v/>
      </c>
      <c r="G1965" s="9" t="str">
        <f>IFERROR(__xludf.DUMMYFUNCTION("""COMPUTED_VALUE"""),"")</f>
        <v/>
      </c>
      <c r="H1965" s="9" t="str">
        <f>IFERROR(__xludf.DUMMYFUNCTION("""COMPUTED_VALUE"""),"")</f>
        <v/>
      </c>
      <c r="I1965" s="9" t="str">
        <f>IFERROR(__xludf.DUMMYFUNCTION("""COMPUTED_VALUE"""),"")</f>
        <v/>
      </c>
      <c r="J1965" s="9" t="str">
        <f>IFERROR(__xludf.DUMMYFUNCTION("""COMPUTED_VALUE"""),"")</f>
        <v/>
      </c>
      <c r="K1965" s="9" t="str">
        <f>IFERROR(__xludf.DUMMYFUNCTION("""COMPUTED_VALUE"""),"")</f>
        <v/>
      </c>
      <c r="L1965" s="9" t="str">
        <f>IFERROR(__xludf.DUMMYFUNCTION("""COMPUTED_VALUE"""),"")</f>
        <v/>
      </c>
      <c r="M1965" s="9" t="str">
        <f>IFERROR(__xludf.DUMMYFUNCTION("""COMPUTED_VALUE"""),"")</f>
        <v/>
      </c>
      <c r="N1965" s="9" t="str">
        <f>IFERROR(__xludf.DUMMYFUNCTION("""COMPUTED_VALUE"""),"")</f>
        <v/>
      </c>
      <c r="O1965" s="9" t="str">
        <f>IFERROR(__xludf.DUMMYFUNCTION("""COMPUTED_VALUE"""),"")</f>
        <v/>
      </c>
      <c r="P1965" s="9" t="str">
        <f>IFERROR(__xludf.DUMMYFUNCTION("""COMPUTED_VALUE"""),"")</f>
        <v/>
      </c>
      <c r="Q1965" s="9" t="str">
        <f>IFERROR(__xludf.DUMMYFUNCTION("""COMPUTED_VALUE"""),"")</f>
        <v/>
      </c>
      <c r="R1965" s="9" t="str">
        <f>IFERROR(__xludf.DUMMYFUNCTION("""COMPUTED_VALUE"""),"")</f>
        <v/>
      </c>
      <c r="S1965" s="42" t="str">
        <f>IFERROR(__xludf.DUMMYFUNCTION("""COMPUTED_VALUE"""),"STH;
GPi")</f>
        <v>STH;
GPi</v>
      </c>
      <c r="T1965" s="42" t="str">
        <f>IFERROR(__xludf.DUMMYFUNCTION("""COMPUTED_VALUE"""),"BN")</f>
        <v>BN</v>
      </c>
      <c r="U1965" s="42" t="b">
        <f>IFERROR(__xludf.DUMMYFUNCTION("""COMPUTED_VALUE"""),FALSE)</f>
        <v>0</v>
      </c>
      <c r="V1965" s="42"/>
      <c r="W1965" s="42"/>
      <c r="X1965" s="42"/>
      <c r="Y1965" s="42"/>
      <c r="Z1965" s="42"/>
      <c r="AA1965" s="42"/>
      <c r="AB1965" s="42" t="str">
        <f>IFERROR(__xludf.DUMMYFUNCTION("""COMPUTED_VALUE"""),"Yuske Shibata")</f>
        <v>Yuske Shibata</v>
      </c>
      <c r="AC1965" s="42" t="str">
        <f>IFERROR(__xludf.DUMMYFUNCTION("""COMPUTED_VALUE"""),"YS21BgLoop")</f>
        <v>YS21BgLoop</v>
      </c>
      <c r="AD1965" s="42"/>
      <c r="AE1965" s="42"/>
      <c r="AF1965" s="9"/>
      <c r="AG1965" s="9"/>
      <c r="AH1965" s="42"/>
      <c r="AI1965" s="42"/>
      <c r="AJ1965" s="42"/>
      <c r="AK1965" s="42"/>
      <c r="AL1965" s="42"/>
      <c r="AM1965" s="42"/>
      <c r="AN1965" s="42"/>
      <c r="AO1965" s="63" t="str">
        <f>IFERROR(__xludf.DUMMYFUNCTION("IF(ISBLANK(A1965),,IF(ISBLANK(S1965), A1965&amp;"";"", TEXTJOIN(CHAR(10), TRUE, A1965&amp;"";"", ARRAYFORMULA(VLOOKUP(SPLIT(S1965, "";"" &amp; CHAR(10)), $A:$AO, 41, FALSE)))))"),"BN_HDP;
STH;
STHld;
STHlv;
STHm;
GPi;
GPic;
GPip;")</f>
        <v>BN_HDP;
STH;
STHld;
STHlv;
STHm;
GPi;
GPic;
GPip;</v>
      </c>
      <c r="AP1965" s="89"/>
    </row>
    <row r="1966">
      <c r="A1966" s="151" t="str">
        <f>IFERROR(__xludf.DUMMYFUNCTION("""COMPUTED_VALUE"""),"BN_IDP")</f>
        <v>BN_IDP</v>
      </c>
      <c r="B1966" s="42" t="str">
        <f>IFERROR(__xludf.DUMMYFUNCTION("""COMPUTED_VALUE"""),"collection")</f>
        <v>collection</v>
      </c>
      <c r="C1966" s="42" t="str">
        <f>IFERROR(__xludf.DUMMYFUNCTION("""COMPUTED_VALUE"""),"indirect pathway, in basal ganglia")</f>
        <v>indirect pathway, in basal ganglia</v>
      </c>
      <c r="D1966" s="42">
        <f>IFERROR(__xludf.DUMMYFUNCTION("""COMPUTED_VALUE"""),1859.1)</f>
        <v>1859.1</v>
      </c>
      <c r="E1966" s="39" t="str">
        <f>IFERROR(__xludf.DUMMYFUNCTION("""COMPUTED_VALUE"""),"")</f>
        <v/>
      </c>
      <c r="F1966" s="9" t="str">
        <f>IFERROR(__xludf.DUMMYFUNCTION("""COMPUTED_VALUE"""),"")</f>
        <v/>
      </c>
      <c r="G1966" s="9" t="str">
        <f>IFERROR(__xludf.DUMMYFUNCTION("""COMPUTED_VALUE"""),"")</f>
        <v/>
      </c>
      <c r="H1966" s="9" t="str">
        <f>IFERROR(__xludf.DUMMYFUNCTION("""COMPUTED_VALUE"""),"")</f>
        <v/>
      </c>
      <c r="I1966" s="9" t="str">
        <f>IFERROR(__xludf.DUMMYFUNCTION("""COMPUTED_VALUE"""),"")</f>
        <v/>
      </c>
      <c r="J1966" s="9" t="str">
        <f>IFERROR(__xludf.DUMMYFUNCTION("""COMPUTED_VALUE"""),"")</f>
        <v/>
      </c>
      <c r="K1966" s="9" t="str">
        <f>IFERROR(__xludf.DUMMYFUNCTION("""COMPUTED_VALUE"""),"")</f>
        <v/>
      </c>
      <c r="L1966" s="9" t="str">
        <f>IFERROR(__xludf.DUMMYFUNCTION("""COMPUTED_VALUE"""),"")</f>
        <v/>
      </c>
      <c r="M1966" s="9" t="str">
        <f>IFERROR(__xludf.DUMMYFUNCTION("""COMPUTED_VALUE"""),"")</f>
        <v/>
      </c>
      <c r="N1966" s="9" t="str">
        <f>IFERROR(__xludf.DUMMYFUNCTION("""COMPUTED_VALUE"""),"")</f>
        <v/>
      </c>
      <c r="O1966" s="9" t="str">
        <f>IFERROR(__xludf.DUMMYFUNCTION("""COMPUTED_VALUE"""),"")</f>
        <v/>
      </c>
      <c r="P1966" s="9" t="str">
        <f>IFERROR(__xludf.DUMMYFUNCTION("""COMPUTED_VALUE"""),"")</f>
        <v/>
      </c>
      <c r="Q1966" s="9" t="str">
        <f>IFERROR(__xludf.DUMMYFUNCTION("""COMPUTED_VALUE"""),"")</f>
        <v/>
      </c>
      <c r="R1966" s="9" t="str">
        <f>IFERROR(__xludf.DUMMYFUNCTION("""COMPUTED_VALUE"""),"")</f>
        <v/>
      </c>
      <c r="S1966" s="42" t="str">
        <f>IFERROR(__xludf.DUMMYFUNCTION("""COMPUTED_VALUE"""),"STR_matrix;
GPe;
STH")</f>
        <v>STR_matrix;
GPe;
STH</v>
      </c>
      <c r="T1966" s="42" t="str">
        <f>IFERROR(__xludf.DUMMYFUNCTION("""COMPUTED_VALUE"""),"BN")</f>
        <v>BN</v>
      </c>
      <c r="U1966" s="42" t="b">
        <f>IFERROR(__xludf.DUMMYFUNCTION("""COMPUTED_VALUE"""),FALSE)</f>
        <v>0</v>
      </c>
      <c r="V1966" s="42" t="str">
        <f>IFERROR(__xludf.DUMMYFUNCTION("""COMPUTED_VALUE"""),"Glutamate")</f>
        <v>Glutamate</v>
      </c>
      <c r="W1966" s="42" t="str">
        <f>IFERROR(__xludf.DUMMYFUNCTION("""COMPUTED_VALUE"""),"Excitatory")</f>
        <v>Excitatory</v>
      </c>
      <c r="X1966" s="42"/>
      <c r="Y1966" s="42" t="str">
        <f>IFERROR(__xludf.DUMMYFUNCTION("""COMPUTED_VALUE"""),"Inhibits projections of the GPe, results in the net reduction of inhibition of the STN")</f>
        <v>Inhibits projections of the GPe, results in the net reduction of inhibition of the STN</v>
      </c>
      <c r="Z1966" s="42"/>
      <c r="AA1966" s="42"/>
      <c r="AB1966" s="42" t="str">
        <f>IFERROR(__xludf.DUMMYFUNCTION("""COMPUTED_VALUE"""),"Yuske Shibata")</f>
        <v>Yuske Shibata</v>
      </c>
      <c r="AC1966" s="42" t="str">
        <f>IFERROR(__xludf.DUMMYFUNCTION("""COMPUTED_VALUE"""),"YS21BgLoop")</f>
        <v>YS21BgLoop</v>
      </c>
      <c r="AD1966" s="42"/>
      <c r="AE1966" s="42"/>
      <c r="AF1966" s="9"/>
      <c r="AG1966" s="9"/>
      <c r="AH1966" s="42"/>
      <c r="AI1966" s="42"/>
      <c r="AJ1966" s="42"/>
      <c r="AK1966" s="42"/>
      <c r="AL1966" s="42"/>
      <c r="AM1966" s="42"/>
      <c r="AN1966" s="42"/>
      <c r="AO1966" s="63" t="str">
        <f>IFERROR(__xludf.DUMMYFUNCTION("IF(ISBLANK(A1966),,IF(ISBLANK(S1966), A1966&amp;"";"", TEXTJOIN(CHAR(10), TRUE, A1966&amp;"";"", ARRAYFORMULA(VLOOKUP(SPLIT(S1966, "";"" &amp; CHAR(10)), $A:$AO, 41, FALSE)))))"),"BN_IDP;
STR_matrix;
GPe;
STH;
STHld;
STHlv;
STHm;")</f>
        <v>BN_IDP;
STR_matrix;
GPe;
STH;
STHld;
STHlv;
STHm;</v>
      </c>
      <c r="AP1966" s="89"/>
    </row>
    <row r="1967">
      <c r="A1967" s="151" t="str">
        <f>IFERROR(__xludf.DUMMYFUNCTION("""COMPUTED_VALUE"""),"STR")</f>
        <v>STR</v>
      </c>
      <c r="B1967" s="42" t="str">
        <f>IFERROR(__xludf.DUMMYFUNCTION("""COMPUTED_VALUE"""),"DHBA")</f>
        <v>DHBA</v>
      </c>
      <c r="C1967" s="42" t="str">
        <f>IFERROR(__xludf.DUMMYFUNCTION("""COMPUTED_VALUE"""),"Striatum, Caudate-Putamen, Cd-Pu")</f>
        <v>Striatum, Caudate-Putamen, Cd-Pu</v>
      </c>
      <c r="D1967" s="42">
        <f>IFERROR(__xludf.DUMMYFUNCTION("""COMPUTED_VALUE"""),1860.0)</f>
        <v>1860</v>
      </c>
      <c r="E1967" s="39" t="str">
        <f>IFERROR(__xludf.DUMMYFUNCTION("""COMPUTED_VALUE"""),"striatum")</f>
        <v>striatum</v>
      </c>
      <c r="F1967" s="9" t="str">
        <f>IFERROR(__xludf.DUMMYFUNCTION("""COMPUTED_VALUE"""),"Br")</f>
        <v>Br</v>
      </c>
      <c r="G1967" s="9" t="str">
        <f>IFERROR(__xludf.DUMMYFUNCTION("""COMPUTED_VALUE"""),"F")</f>
        <v>F</v>
      </c>
      <c r="H1967" s="9" t="str">
        <f>IFERROR(__xludf.DUMMYFUNCTION("""COMPUTED_VALUE"""),"FGM")</f>
        <v>FGM</v>
      </c>
      <c r="I1967" s="9" t="str">
        <f>IFERROR(__xludf.DUMMYFUNCTION("""COMPUTED_VALUE"""),"Tel")</f>
        <v>Tel</v>
      </c>
      <c r="J1967" s="9" t="str">
        <f>IFERROR(__xludf.DUMMYFUNCTION("""COMPUTED_VALUE"""),"CN")</f>
        <v>CN</v>
      </c>
      <c r="K1967" s="9" t="str">
        <f>IFERROR(__xludf.DUMMYFUNCTION("""COMPUTED_VALUE"""),"BN")</f>
        <v>BN</v>
      </c>
      <c r="L1967" s="9" t="str">
        <f>IFERROR(__xludf.DUMMYFUNCTION("""COMPUTED_VALUE"""),"STR")</f>
        <v>STR</v>
      </c>
      <c r="M1967" s="9"/>
      <c r="N1967" s="9"/>
      <c r="O1967" s="9"/>
      <c r="P1967" s="9"/>
      <c r="Q1967" s="9"/>
      <c r="R1967" s="9"/>
      <c r="S1967" s="42" t="str">
        <f>IFERROR(__xludf.DUMMYFUNCTION("""COMPUTED_VALUE"""),"Ca;
Pu;
NAC;
STR_matrix;
STR_patch;
vSTR;
CaPu")</f>
        <v>Ca;
Pu;
NAC;
STR_matrix;
STR_patch;
vSTR;
CaPu</v>
      </c>
      <c r="T1967" s="42"/>
      <c r="U1967" s="42" t="b">
        <f>IFERROR(__xludf.DUMMYFUNCTION("""COMPUTED_VALUE"""),FALSE)</f>
        <v>0</v>
      </c>
      <c r="V1967" s="42"/>
      <c r="W1967" s="42"/>
      <c r="X1967" s="42"/>
      <c r="Y1967" s="42" t="str">
        <f>IFERROR(__xludf.DUMMYFUNCTION("""COMPUTED_VALUE"""),"Striosomes and matrisomes are three-dimensionally extended labyrinthine structures spread out widely within the striatum, 
not local patches or spheres (Graybiel and Ragsdale, 1978; Mikula et al., 2009). 
Moreover, the striosomes have distributions sugges"&amp;"ting that they could provide nearly complete coverage of the part of the striatum in which they lie (Graybiel, 1984). ")</f>
        <v>Striosomes and matrisomes are three-dimensionally extended labyrinthine structures spread out widely within the striatum, 
not local patches or spheres (Graybiel and Ragsdale, 1978; Mikula et al., 2009). 
Moreover, the striosomes have distributions suggesting that they could provide nearly complete coverage of the part of the striatum in which they lie (Graybiel, 1984). </v>
      </c>
      <c r="Z1967" s="42"/>
      <c r="AA1967" s="42"/>
      <c r="AB1967" s="42" t="str">
        <f>IFERROR(__xludf.DUMMYFUNCTION("""COMPUTED_VALUE"""),"allen institute")</f>
        <v>allen institute</v>
      </c>
      <c r="AC1967" s="42" t="str">
        <f>IFERROR(__xludf.DUMMYFUNCTION("""COMPUTED_VALUE"""),"DHBA")</f>
        <v>DHBA</v>
      </c>
      <c r="AD1967" s="42"/>
      <c r="AE1967" s="42"/>
      <c r="AF1967" s="9"/>
      <c r="AG1967" s="9"/>
      <c r="AH1967" s="42"/>
      <c r="AI1967" s="42"/>
      <c r="AJ1967" s="42"/>
      <c r="AK1967" s="42"/>
      <c r="AL1967" s="42"/>
      <c r="AM1967" s="42"/>
      <c r="AN1967" s="42"/>
      <c r="AO1967" s="63" t="str">
        <f>IFERROR(__xludf.DUMMYFUNCTION("IF(ISBLANK(A1967),,IF(ISBLANK(S1967), A1967&amp;"";"", TEXTJOIN(CHAR(10), TRUE, A1967&amp;"";"", ARRAYFORMULA(VLOOKUP(SPLIT(S1967, "";"" &amp; CHAR(10)), $A:$AO, 41, FALSE)))))"),"STR;
Ca;
CaH;
CaHrp;
CaHdl;
CaHvm;
CaB;
CaT;
Eca;
Pu;
PuR;
PuRv;
PuC;
Pld;
Pint;
Pmv;
PuPV;
PuMG;
NAC;
NACc;
NACcl;
NACcm;
NACs;
NACsl;
NACsi;
NACsm;
STR_matrix;
STR_patch;
vSTR;
CaPu;")</f>
        <v>STR;
Ca;
CaH;
CaHrp;
CaHdl;
CaHvm;
CaB;
CaT;
Eca;
Pu;
PuR;
PuRv;
PuC;
Pld;
Pint;
Pmv;
PuPV;
PuMG;
NAC;
NACc;
NACcl;
NACcm;
NACs;
NACsl;
NACsi;
NACsm;
STR_matrix;
STR_patch;
vSTR;
CaPu;</v>
      </c>
      <c r="AP1967" s="89"/>
    </row>
    <row r="1968">
      <c r="A1968" s="151" t="str">
        <f>IFERROR(__xludf.DUMMYFUNCTION("""COMPUTED_VALUE"""),"STR_matrix")</f>
        <v>STR_matrix</v>
      </c>
      <c r="B1968" s="42" t="str">
        <f>IFERROR(__xludf.DUMMYFUNCTION("""COMPUTED_VALUE"""),"makeshift")</f>
        <v>makeshift</v>
      </c>
      <c r="C1968" s="42" t="str">
        <f>IFERROR(__xludf.DUMMYFUNCTION("""COMPUTED_VALUE"""),"striatum matrix")</f>
        <v>striatum matrix</v>
      </c>
      <c r="D1968" s="42">
        <f>IFERROR(__xludf.DUMMYFUNCTION("""COMPUTED_VALUE"""),1860.1)</f>
        <v>1860.1</v>
      </c>
      <c r="E1968" s="39" t="str">
        <f>IFERROR(__xludf.DUMMYFUNCTION("""COMPUTED_VALUE"""),"")</f>
        <v/>
      </c>
      <c r="F1968" s="9" t="str">
        <f>IFERROR(__xludf.DUMMYFUNCTION("""COMPUTED_VALUE"""),"")</f>
        <v/>
      </c>
      <c r="G1968" s="9" t="str">
        <f>IFERROR(__xludf.DUMMYFUNCTION("""COMPUTED_VALUE"""),"")</f>
        <v/>
      </c>
      <c r="H1968" s="9" t="str">
        <f>IFERROR(__xludf.DUMMYFUNCTION("""COMPUTED_VALUE"""),"")</f>
        <v/>
      </c>
      <c r="I1968" s="9" t="str">
        <f>IFERROR(__xludf.DUMMYFUNCTION("""COMPUTED_VALUE"""),"")</f>
        <v/>
      </c>
      <c r="J1968" s="9" t="str">
        <f>IFERROR(__xludf.DUMMYFUNCTION("""COMPUTED_VALUE"""),"")</f>
        <v/>
      </c>
      <c r="K1968" s="9" t="str">
        <f>IFERROR(__xludf.DUMMYFUNCTION("""COMPUTED_VALUE"""),"")</f>
        <v/>
      </c>
      <c r="L1968" s="9" t="str">
        <f>IFERROR(__xludf.DUMMYFUNCTION("""COMPUTED_VALUE"""),"")</f>
        <v/>
      </c>
      <c r="M1968" s="9" t="str">
        <f>IFERROR(__xludf.DUMMYFUNCTION("""COMPUTED_VALUE"""),"")</f>
        <v/>
      </c>
      <c r="N1968" s="9" t="str">
        <f>IFERROR(__xludf.DUMMYFUNCTION("""COMPUTED_VALUE"""),"")</f>
        <v/>
      </c>
      <c r="O1968" s="9" t="str">
        <f>IFERROR(__xludf.DUMMYFUNCTION("""COMPUTED_VALUE"""),"")</f>
        <v/>
      </c>
      <c r="P1968" s="9" t="str">
        <f>IFERROR(__xludf.DUMMYFUNCTION("""COMPUTED_VALUE"""),"")</f>
        <v/>
      </c>
      <c r="Q1968" s="9" t="str">
        <f>IFERROR(__xludf.DUMMYFUNCTION("""COMPUTED_VALUE"""),"")</f>
        <v/>
      </c>
      <c r="R1968" s="9" t="str">
        <f>IFERROR(__xludf.DUMMYFUNCTION("""COMPUTED_VALUE"""),"")</f>
        <v/>
      </c>
      <c r="S1968" s="42"/>
      <c r="T1968" s="42"/>
      <c r="U1968" s="42" t="b">
        <f>IFERROR(__xludf.DUMMYFUNCTION("""COMPUTED_VALUE"""),TRUE)</f>
        <v>1</v>
      </c>
      <c r="V1968" s="42" t="str">
        <f>IFERROR(__xludf.DUMMYFUNCTION("""COMPUTED_VALUE"""),"GABA")</f>
        <v>GABA</v>
      </c>
      <c r="W1968" s="42" t="str">
        <f>IFERROR(__xludf.DUMMYFUNCTION("""COMPUTED_VALUE"""),"Inhibitory")</f>
        <v>Inhibitory</v>
      </c>
      <c r="X1968" s="42"/>
      <c r="Y1968" s="42"/>
      <c r="Z1968" s="42"/>
      <c r="AA1968" s="42"/>
      <c r="AB1968" s="42" t="str">
        <f>IFERROR(__xludf.DUMMYFUNCTION("""COMPUTED_VALUE"""),"Hiroshi Yamakawa")</f>
        <v>Hiroshi Yamakawa</v>
      </c>
      <c r="AC1968" s="42" t="str">
        <f>IFERROR(__xludf.DUMMYFUNCTION("""COMPUTED_VALUE"""),"HY18NeocorticalInterareaSignals ")</f>
        <v>HY18NeocorticalInterareaSignals </v>
      </c>
      <c r="AD1968" s="42"/>
      <c r="AE1968" s="42"/>
      <c r="AF1968" s="9"/>
      <c r="AG1968" s="9"/>
      <c r="AH1968" s="42"/>
      <c r="AI1968" s="42"/>
      <c r="AJ1968" s="42"/>
      <c r="AK1968" s="42"/>
      <c r="AL1968" s="42"/>
      <c r="AM1968" s="42"/>
      <c r="AN1968" s="42"/>
      <c r="AO1968" s="63" t="str">
        <f>IFERROR(__xludf.DUMMYFUNCTION("IF(ISBLANK(A1968),,IF(ISBLANK(S1968), A1968&amp;"";"", TEXTJOIN(CHAR(10), TRUE, A1968&amp;"";"", ARRAYFORMULA(VLOOKUP(SPLIT(S1968, "";"" &amp; CHAR(10)), $A:$AO, 41, FALSE)))))"),"STR_matrix;")</f>
        <v>STR_matrix;</v>
      </c>
      <c r="AP1968" s="89"/>
    </row>
    <row r="1969">
      <c r="A1969" s="151" t="str">
        <f>IFERROR(__xludf.DUMMYFUNCTION("""COMPUTED_VALUE"""),"STR_patch")</f>
        <v>STR_patch</v>
      </c>
      <c r="B1969" s="42" t="str">
        <f>IFERROR(__xludf.DUMMYFUNCTION("""COMPUTED_VALUE"""),"makeshift")</f>
        <v>makeshift</v>
      </c>
      <c r="C1969" s="42" t="str">
        <f>IFERROR(__xludf.DUMMYFUNCTION("""COMPUTED_VALUE"""),"striatum patch; striosomes")</f>
        <v>striatum patch; striosomes</v>
      </c>
      <c r="D1969" s="42">
        <f>IFERROR(__xludf.DUMMYFUNCTION("""COMPUTED_VALUE"""),1860.1)</f>
        <v>1860.1</v>
      </c>
      <c r="E1969" s="39" t="str">
        <f>IFERROR(__xludf.DUMMYFUNCTION("""COMPUTED_VALUE"""),"")</f>
        <v/>
      </c>
      <c r="F1969" s="9" t="str">
        <f>IFERROR(__xludf.DUMMYFUNCTION("""COMPUTED_VALUE"""),"")</f>
        <v/>
      </c>
      <c r="G1969" s="9" t="str">
        <f>IFERROR(__xludf.DUMMYFUNCTION("""COMPUTED_VALUE"""),"")</f>
        <v/>
      </c>
      <c r="H1969" s="9" t="str">
        <f>IFERROR(__xludf.DUMMYFUNCTION("""COMPUTED_VALUE"""),"")</f>
        <v/>
      </c>
      <c r="I1969" s="9" t="str">
        <f>IFERROR(__xludf.DUMMYFUNCTION("""COMPUTED_VALUE"""),"")</f>
        <v/>
      </c>
      <c r="J1969" s="9" t="str">
        <f>IFERROR(__xludf.DUMMYFUNCTION("""COMPUTED_VALUE"""),"")</f>
        <v/>
      </c>
      <c r="K1969" s="9" t="str">
        <f>IFERROR(__xludf.DUMMYFUNCTION("""COMPUTED_VALUE"""),"")</f>
        <v/>
      </c>
      <c r="L1969" s="9" t="str">
        <f>IFERROR(__xludf.DUMMYFUNCTION("""COMPUTED_VALUE"""),"")</f>
        <v/>
      </c>
      <c r="M1969" s="9" t="str">
        <f>IFERROR(__xludf.DUMMYFUNCTION("""COMPUTED_VALUE"""),"")</f>
        <v/>
      </c>
      <c r="N1969" s="9" t="str">
        <f>IFERROR(__xludf.DUMMYFUNCTION("""COMPUTED_VALUE"""),"")</f>
        <v/>
      </c>
      <c r="O1969" s="9" t="str">
        <f>IFERROR(__xludf.DUMMYFUNCTION("""COMPUTED_VALUE"""),"")</f>
        <v/>
      </c>
      <c r="P1969" s="9" t="str">
        <f>IFERROR(__xludf.DUMMYFUNCTION("""COMPUTED_VALUE"""),"")</f>
        <v/>
      </c>
      <c r="Q1969" s="9" t="str">
        <f>IFERROR(__xludf.DUMMYFUNCTION("""COMPUTED_VALUE"""),"")</f>
        <v/>
      </c>
      <c r="R1969" s="9" t="str">
        <f>IFERROR(__xludf.DUMMYFUNCTION("""COMPUTED_VALUE"""),"")</f>
        <v/>
      </c>
      <c r="S1969" s="42"/>
      <c r="T1969" s="42"/>
      <c r="U1969" s="42" t="b">
        <f>IFERROR(__xludf.DUMMYFUNCTION("""COMPUTED_VALUE"""),TRUE)</f>
        <v>1</v>
      </c>
      <c r="V1969" s="42"/>
      <c r="W1969" s="42"/>
      <c r="X1969" s="42"/>
      <c r="Y1969" s="42" t="str">
        <f>IFERROR(__xludf.DUMMYFUNCTION("""COMPUTED_VALUE"""),"the ratio of activity in striosomes and matrix in some parts of the striatum is highly correlated with the level of repetitive behavior induced by drugs such as amphetamine (Saka et al., 2004).")</f>
        <v>the ratio of activity in striosomes and matrix in some parts of the striatum is highly correlated with the level of repetitive behavior induced by drugs such as amphetamine (Saka et al., 2004).</v>
      </c>
      <c r="Z1969" s="42"/>
      <c r="AA1969" s="42"/>
      <c r="AB1969" s="42" t="str">
        <f>IFERROR(__xludf.DUMMYFUNCTION("""COMPUTED_VALUE"""),"Hiroshi Yamakawa")</f>
        <v>Hiroshi Yamakawa</v>
      </c>
      <c r="AC1969" s="42" t="str">
        <f>IFERROR(__xludf.DUMMYFUNCTION("""COMPUTED_VALUE"""),"HY18NeocorticalInterareaSignals ")</f>
        <v>HY18NeocorticalInterareaSignals </v>
      </c>
      <c r="AD1969" s="42"/>
      <c r="AE1969" s="42"/>
      <c r="AF1969" s="9"/>
      <c r="AG1969" s="9"/>
      <c r="AH1969" s="42"/>
      <c r="AI1969" s="42"/>
      <c r="AJ1969" s="42"/>
      <c r="AK1969" s="42"/>
      <c r="AL1969" s="42"/>
      <c r="AM1969" s="42"/>
      <c r="AN1969" s="42"/>
      <c r="AO1969" s="63" t="str">
        <f>IFERROR(__xludf.DUMMYFUNCTION("IF(ISBLANK(A1969),,IF(ISBLANK(S1969), A1969&amp;"";"", TEXTJOIN(CHAR(10), TRUE, A1969&amp;"";"", ARRAYFORMULA(VLOOKUP(SPLIT(S1969, "";"" &amp; CHAR(10)), $A:$AO, 41, FALSE)))))"),"STR_patch;")</f>
        <v>STR_patch;</v>
      </c>
      <c r="AP1969" s="89"/>
    </row>
    <row r="1970">
      <c r="A1970" s="151" t="str">
        <f>IFERROR(__xludf.DUMMYFUNCTION("""COMPUTED_VALUE"""),"vSTR")</f>
        <v>vSTR</v>
      </c>
      <c r="B1970" s="42" t="str">
        <f>IFERROR(__xludf.DUMMYFUNCTION("""COMPUTED_VALUE"""),"[Krueger, 2019]")</f>
        <v>[Krueger, 2019]</v>
      </c>
      <c r="C1970" s="42" t="str">
        <f>IFERROR(__xludf.DUMMYFUNCTION("""COMPUTED_VALUE"""),"vSTR, ventral striatum")</f>
        <v>vSTR, ventral striatum</v>
      </c>
      <c r="D1970" s="42">
        <f>IFERROR(__xludf.DUMMYFUNCTION("""COMPUTED_VALUE"""),1860.2)</f>
        <v>1860.2</v>
      </c>
      <c r="E1970" s="39" t="str">
        <f>IFERROR(__xludf.DUMMYFUNCTION("""COMPUTED_VALUE"""),"")</f>
        <v/>
      </c>
      <c r="F1970" s="9" t="str">
        <f>IFERROR(__xludf.DUMMYFUNCTION("""COMPUTED_VALUE"""),"")</f>
        <v/>
      </c>
      <c r="G1970" s="9" t="str">
        <f>IFERROR(__xludf.DUMMYFUNCTION("""COMPUTED_VALUE"""),"")</f>
        <v/>
      </c>
      <c r="H1970" s="9" t="str">
        <f>IFERROR(__xludf.DUMMYFUNCTION("""COMPUTED_VALUE"""),"")</f>
        <v/>
      </c>
      <c r="I1970" s="9" t="str">
        <f>IFERROR(__xludf.DUMMYFUNCTION("""COMPUTED_VALUE"""),"")</f>
        <v/>
      </c>
      <c r="J1970" s="9" t="str">
        <f>IFERROR(__xludf.DUMMYFUNCTION("""COMPUTED_VALUE"""),"")</f>
        <v/>
      </c>
      <c r="K1970" s="9" t="str">
        <f>IFERROR(__xludf.DUMMYFUNCTION("""COMPUTED_VALUE"""),"")</f>
        <v/>
      </c>
      <c r="L1970" s="9" t="str">
        <f>IFERROR(__xludf.DUMMYFUNCTION("""COMPUTED_VALUE"""),"")</f>
        <v/>
      </c>
      <c r="M1970" s="9" t="str">
        <f>IFERROR(__xludf.DUMMYFUNCTION("""COMPUTED_VALUE"""),"")</f>
        <v/>
      </c>
      <c r="N1970" s="9" t="str">
        <f>IFERROR(__xludf.DUMMYFUNCTION("""COMPUTED_VALUE"""),"")</f>
        <v/>
      </c>
      <c r="O1970" s="9" t="str">
        <f>IFERROR(__xludf.DUMMYFUNCTION("""COMPUTED_VALUE"""),"")</f>
        <v/>
      </c>
      <c r="P1970" s="9" t="str">
        <f>IFERROR(__xludf.DUMMYFUNCTION("""COMPUTED_VALUE"""),"")</f>
        <v/>
      </c>
      <c r="Q1970" s="9" t="str">
        <f>IFERROR(__xludf.DUMMYFUNCTION("""COMPUTED_VALUE"""),"")</f>
        <v/>
      </c>
      <c r="R1970" s="9" t="str">
        <f>IFERROR(__xludf.DUMMYFUNCTION("""COMPUTED_VALUE"""),"")</f>
        <v/>
      </c>
      <c r="S1970" s="42"/>
      <c r="T1970" s="42"/>
      <c r="U1970" s="42" t="b">
        <f>IFERROR(__xludf.DUMMYFUNCTION("""COMPUTED_VALUE"""),FALSE)</f>
        <v>0</v>
      </c>
      <c r="V1970" s="42"/>
      <c r="W1970" s="42"/>
      <c r="X1970" s="42"/>
      <c r="Y1970" s="42"/>
      <c r="Z1970" s="42"/>
      <c r="AA1970" s="42"/>
      <c r="AB1970" s="42" t="str">
        <f>IFERROR(__xludf.DUMMYFUNCTION("""COMPUTED_VALUE"""),"?")</f>
        <v>?</v>
      </c>
      <c r="AC1970" s="42" t="str">
        <f>IFERROR(__xludf.DUMMYFUNCTION("""COMPUTED_VALUE"""),"Trust")</f>
        <v>Trust</v>
      </c>
      <c r="AD1970" s="42"/>
      <c r="AE1970" s="42"/>
      <c r="AF1970" s="9"/>
      <c r="AG1970" s="9"/>
      <c r="AH1970" s="42"/>
      <c r="AI1970" s="42"/>
      <c r="AJ1970" s="42"/>
      <c r="AK1970" s="42"/>
      <c r="AL1970" s="42"/>
      <c r="AM1970" s="42"/>
      <c r="AN1970" s="42"/>
      <c r="AO1970" s="63" t="str">
        <f>IFERROR(__xludf.DUMMYFUNCTION("IF(ISBLANK(A1970),,IF(ISBLANK(S1970), A1970&amp;"";"", TEXTJOIN(CHAR(10), TRUE, A1970&amp;"";"", ARRAYFORMULA(VLOOKUP(SPLIT(S1970, "";"" &amp; CHAR(10)), $A:$AO, 41, FALSE)))))"),"vSTR;")</f>
        <v>vSTR;</v>
      </c>
      <c r="AP1970" s="89"/>
    </row>
    <row r="1971">
      <c r="A1971" s="151" t="str">
        <f>IFERROR(__xludf.DUMMYFUNCTION("""COMPUTED_VALUE"""),"Ca")</f>
        <v>Ca</v>
      </c>
      <c r="B1971" s="42" t="str">
        <f>IFERROR(__xludf.DUMMYFUNCTION("""COMPUTED_VALUE"""),"DHBA")</f>
        <v>DHBA</v>
      </c>
      <c r="C1971" s="42" t="str">
        <f>IFERROR(__xludf.DUMMYFUNCTION("""COMPUTED_VALUE"""),"caudate nucleus")</f>
        <v>caudate nucleus</v>
      </c>
      <c r="D1971" s="42">
        <f>IFERROR(__xludf.DUMMYFUNCTION("""COMPUTED_VALUE"""),1861.0)</f>
        <v>1861</v>
      </c>
      <c r="E1971" s="39" t="str">
        <f>IFERROR(__xludf.DUMMYFUNCTION("""COMPUTED_VALUE"""),"caudate nucleus")</f>
        <v>caudate nucleus</v>
      </c>
      <c r="F1971" s="9" t="str">
        <f>IFERROR(__xludf.DUMMYFUNCTION("""COMPUTED_VALUE"""),"Br")</f>
        <v>Br</v>
      </c>
      <c r="G1971" s="9" t="str">
        <f>IFERROR(__xludf.DUMMYFUNCTION("""COMPUTED_VALUE"""),"F")</f>
        <v>F</v>
      </c>
      <c r="H1971" s="9" t="str">
        <f>IFERROR(__xludf.DUMMYFUNCTION("""COMPUTED_VALUE"""),"FGM")</f>
        <v>FGM</v>
      </c>
      <c r="I1971" s="9" t="str">
        <f>IFERROR(__xludf.DUMMYFUNCTION("""COMPUTED_VALUE"""),"Tel")</f>
        <v>Tel</v>
      </c>
      <c r="J1971" s="9" t="str">
        <f>IFERROR(__xludf.DUMMYFUNCTION("""COMPUTED_VALUE"""),"CN")</f>
        <v>CN</v>
      </c>
      <c r="K1971" s="9" t="str">
        <f>IFERROR(__xludf.DUMMYFUNCTION("""COMPUTED_VALUE"""),"BN")</f>
        <v>BN</v>
      </c>
      <c r="L1971" s="9" t="str">
        <f>IFERROR(__xludf.DUMMYFUNCTION("""COMPUTED_VALUE"""),"STR")</f>
        <v>STR</v>
      </c>
      <c r="M1971" s="9" t="str">
        <f>IFERROR(__xludf.DUMMYFUNCTION("""COMPUTED_VALUE"""),"Ca")</f>
        <v>Ca</v>
      </c>
      <c r="N1971" s="9"/>
      <c r="O1971" s="9"/>
      <c r="P1971" s="9"/>
      <c r="Q1971" s="9"/>
      <c r="R1971" s="9"/>
      <c r="S1971" s="42" t="str">
        <f>IFERROR(__xludf.DUMMYFUNCTION("""COMPUTED_VALUE"""),"CaH;
CaB;
CaT;
Eca")</f>
        <v>CaH;
CaB;
CaT;
Eca</v>
      </c>
      <c r="T1971" s="42" t="str">
        <f>IFERROR(__xludf.DUMMYFUNCTION("""COMPUTED_VALUE"""),"STR")</f>
        <v>STR</v>
      </c>
      <c r="U1971" s="42" t="b">
        <f>IFERROR(__xludf.DUMMYFUNCTION("""COMPUTED_VALUE"""),FALSE)</f>
        <v>0</v>
      </c>
      <c r="V1971" s="42"/>
      <c r="W1971" s="42"/>
      <c r="X1971" s="42"/>
      <c r="Y1971" s="42"/>
      <c r="Z1971" s="42"/>
      <c r="AA1971" s="42"/>
      <c r="AB1971" s="42" t="str">
        <f>IFERROR(__xludf.DUMMYFUNCTION("""COMPUTED_VALUE"""),"allen institute")</f>
        <v>allen institute</v>
      </c>
      <c r="AC1971" s="42" t="str">
        <f>IFERROR(__xludf.DUMMYFUNCTION("""COMPUTED_VALUE"""),"DHBA")</f>
        <v>DHBA</v>
      </c>
      <c r="AD1971" s="42"/>
      <c r="AE1971" s="42"/>
      <c r="AF1971" s="9"/>
      <c r="AG1971" s="9"/>
      <c r="AH1971" s="42"/>
      <c r="AI1971" s="42"/>
      <c r="AJ1971" s="42"/>
      <c r="AK1971" s="42"/>
      <c r="AL1971" s="42"/>
      <c r="AM1971" s="42"/>
      <c r="AN1971" s="42"/>
      <c r="AO1971" s="63" t="str">
        <f>IFERROR(__xludf.DUMMYFUNCTION("IF(ISBLANK(A1971),,IF(ISBLANK(S1971), A1971&amp;"";"", TEXTJOIN(CHAR(10), TRUE, A1971&amp;"";"", ARRAYFORMULA(VLOOKUP(SPLIT(S1971, "";"" &amp; CHAR(10)), $A:$AO, 41, FALSE)))))"),"Ca;
CaH;
CaHrp;
CaHdl;
CaHvm;
CaB;
CaT;
Eca;")</f>
        <v>Ca;
CaH;
CaHrp;
CaHdl;
CaHvm;
CaB;
CaT;
Eca;</v>
      </c>
      <c r="AP1971" s="89"/>
    </row>
    <row r="1972">
      <c r="A1972" s="151" t="str">
        <f>IFERROR(__xludf.DUMMYFUNCTION("""COMPUTED_VALUE"""),"CaH")</f>
        <v>CaH</v>
      </c>
      <c r="B1972" s="42" t="str">
        <f>IFERROR(__xludf.DUMMYFUNCTION("""COMPUTED_VALUE"""),"DHBA")</f>
        <v>DHBA</v>
      </c>
      <c r="C1972" s="42" t="str">
        <f>IFERROR(__xludf.DUMMYFUNCTION("""COMPUTED_VALUE"""),"head of caudate")</f>
        <v>head of caudate</v>
      </c>
      <c r="D1972" s="42">
        <f>IFERROR(__xludf.DUMMYFUNCTION("""COMPUTED_VALUE"""),1862.0)</f>
        <v>1862</v>
      </c>
      <c r="E1972" s="39" t="str">
        <f>IFERROR(__xludf.DUMMYFUNCTION("""COMPUTED_VALUE"""),"head of caudate")</f>
        <v>head of caudate</v>
      </c>
      <c r="F1972" s="9" t="str">
        <f>IFERROR(__xludf.DUMMYFUNCTION("""COMPUTED_VALUE"""),"Br")</f>
        <v>Br</v>
      </c>
      <c r="G1972" s="9" t="str">
        <f>IFERROR(__xludf.DUMMYFUNCTION("""COMPUTED_VALUE"""),"F")</f>
        <v>F</v>
      </c>
      <c r="H1972" s="9" t="str">
        <f>IFERROR(__xludf.DUMMYFUNCTION("""COMPUTED_VALUE"""),"FGM")</f>
        <v>FGM</v>
      </c>
      <c r="I1972" s="9" t="str">
        <f>IFERROR(__xludf.DUMMYFUNCTION("""COMPUTED_VALUE"""),"Tel")</f>
        <v>Tel</v>
      </c>
      <c r="J1972" s="9" t="str">
        <f>IFERROR(__xludf.DUMMYFUNCTION("""COMPUTED_VALUE"""),"CN")</f>
        <v>CN</v>
      </c>
      <c r="K1972" s="9" t="str">
        <f>IFERROR(__xludf.DUMMYFUNCTION("""COMPUTED_VALUE"""),"BN")</f>
        <v>BN</v>
      </c>
      <c r="L1972" s="9" t="str">
        <f>IFERROR(__xludf.DUMMYFUNCTION("""COMPUTED_VALUE"""),"STR")</f>
        <v>STR</v>
      </c>
      <c r="M1972" s="9" t="str">
        <f>IFERROR(__xludf.DUMMYFUNCTION("""COMPUTED_VALUE"""),"Ca")</f>
        <v>Ca</v>
      </c>
      <c r="N1972" s="9" t="str">
        <f>IFERROR(__xludf.DUMMYFUNCTION("""COMPUTED_VALUE"""),"CaH")</f>
        <v>CaH</v>
      </c>
      <c r="O1972" s="9"/>
      <c r="P1972" s="9"/>
      <c r="Q1972" s="9"/>
      <c r="R1972" s="9"/>
      <c r="S1972" s="42" t="str">
        <f>IFERROR(__xludf.DUMMYFUNCTION("""COMPUTED_VALUE"""),"CaHrp;
CaHdl;
CaHvm")</f>
        <v>CaHrp;
CaHdl;
CaHvm</v>
      </c>
      <c r="T1972" s="42"/>
      <c r="U1972" s="42" t="b">
        <f>IFERROR(__xludf.DUMMYFUNCTION("""COMPUTED_VALUE"""),FALSE)</f>
        <v>0</v>
      </c>
      <c r="V1972" s="42"/>
      <c r="W1972" s="42"/>
      <c r="X1972" s="42"/>
      <c r="Y1972" s="42"/>
      <c r="Z1972" s="42"/>
      <c r="AA1972" s="42"/>
      <c r="AB1972" s="42" t="str">
        <f>IFERROR(__xludf.DUMMYFUNCTION("""COMPUTED_VALUE"""),"allen institute")</f>
        <v>allen institute</v>
      </c>
      <c r="AC1972" s="42" t="str">
        <f>IFERROR(__xludf.DUMMYFUNCTION("""COMPUTED_VALUE"""),"DHBA")</f>
        <v>DHBA</v>
      </c>
      <c r="AD1972" s="42"/>
      <c r="AE1972" s="42"/>
      <c r="AF1972" s="9"/>
      <c r="AG1972" s="9"/>
      <c r="AH1972" s="42"/>
      <c r="AI1972" s="42"/>
      <c r="AJ1972" s="42"/>
      <c r="AK1972" s="42"/>
      <c r="AL1972" s="42"/>
      <c r="AM1972" s="42"/>
      <c r="AN1972" s="42"/>
      <c r="AO1972" s="63" t="str">
        <f>IFERROR(__xludf.DUMMYFUNCTION("IF(ISBLANK(A1972),,IF(ISBLANK(S1972), A1972&amp;"";"", TEXTJOIN(CHAR(10), TRUE, A1972&amp;"";"", ARRAYFORMULA(VLOOKUP(SPLIT(S1972, "";"" &amp; CHAR(10)), $A:$AO, 41, FALSE)))))"),"CaH;
CaHrp;
CaHdl;
CaHvm;")</f>
        <v>CaH;
CaHrp;
CaHdl;
CaHvm;</v>
      </c>
      <c r="AP1972" s="89"/>
    </row>
    <row r="1973">
      <c r="A1973" s="151" t="str">
        <f>IFERROR(__xludf.DUMMYFUNCTION("""COMPUTED_VALUE"""),"CaHrp")</f>
        <v>CaHrp</v>
      </c>
      <c r="B1973" s="42" t="str">
        <f>IFERROR(__xludf.DUMMYFUNCTION("""COMPUTED_VALUE"""),"DHBA")</f>
        <v>DHBA</v>
      </c>
      <c r="C1973" s="42" t="str">
        <f>IFERROR(__xludf.DUMMYFUNCTION("""COMPUTED_VALUE"""),"rostral pole of caudate head")</f>
        <v>rostral pole of caudate head</v>
      </c>
      <c r="D1973" s="42">
        <f>IFERROR(__xludf.DUMMYFUNCTION("""COMPUTED_VALUE"""),1863.0)</f>
        <v>1863</v>
      </c>
      <c r="E1973" s="39" t="str">
        <f>IFERROR(__xludf.DUMMYFUNCTION("""COMPUTED_VALUE"""),"rostral pole of caudate head")</f>
        <v>rostral pole of caudate head</v>
      </c>
      <c r="F1973" s="9" t="str">
        <f>IFERROR(__xludf.DUMMYFUNCTION("""COMPUTED_VALUE"""),"Br")</f>
        <v>Br</v>
      </c>
      <c r="G1973" s="9" t="str">
        <f>IFERROR(__xludf.DUMMYFUNCTION("""COMPUTED_VALUE"""),"F")</f>
        <v>F</v>
      </c>
      <c r="H1973" s="9" t="str">
        <f>IFERROR(__xludf.DUMMYFUNCTION("""COMPUTED_VALUE"""),"FGM")</f>
        <v>FGM</v>
      </c>
      <c r="I1973" s="9" t="str">
        <f>IFERROR(__xludf.DUMMYFUNCTION("""COMPUTED_VALUE"""),"Tel")</f>
        <v>Tel</v>
      </c>
      <c r="J1973" s="9" t="str">
        <f>IFERROR(__xludf.DUMMYFUNCTION("""COMPUTED_VALUE"""),"CN")</f>
        <v>CN</v>
      </c>
      <c r="K1973" s="9" t="str">
        <f>IFERROR(__xludf.DUMMYFUNCTION("""COMPUTED_VALUE"""),"BN")</f>
        <v>BN</v>
      </c>
      <c r="L1973" s="9" t="str">
        <f>IFERROR(__xludf.DUMMYFUNCTION("""COMPUTED_VALUE"""),"STR")</f>
        <v>STR</v>
      </c>
      <c r="M1973" s="9" t="str">
        <f>IFERROR(__xludf.DUMMYFUNCTION("""COMPUTED_VALUE"""),"Ca")</f>
        <v>Ca</v>
      </c>
      <c r="N1973" s="9" t="str">
        <f>IFERROR(__xludf.DUMMYFUNCTION("""COMPUTED_VALUE"""),"CaH")</f>
        <v>CaH</v>
      </c>
      <c r="O1973" s="9" t="str">
        <f>IFERROR(__xludf.DUMMYFUNCTION("""COMPUTED_VALUE"""),"CaHrp")</f>
        <v>CaHrp</v>
      </c>
      <c r="P1973" s="9"/>
      <c r="Q1973" s="9"/>
      <c r="R1973" s="9"/>
      <c r="S1973" s="42"/>
      <c r="T1973" s="42"/>
      <c r="U1973" s="42"/>
      <c r="V1973" s="42"/>
      <c r="W1973" s="42"/>
      <c r="X1973" s="42"/>
      <c r="Y1973" s="42"/>
      <c r="Z1973" s="42"/>
      <c r="AA1973" s="42"/>
      <c r="AB1973" s="42" t="str">
        <f>IFERROR(__xludf.DUMMYFUNCTION("""COMPUTED_VALUE"""),"allen institute")</f>
        <v>allen institute</v>
      </c>
      <c r="AC1973" s="42" t="str">
        <f>IFERROR(__xludf.DUMMYFUNCTION("""COMPUTED_VALUE"""),"DHBA")</f>
        <v>DHBA</v>
      </c>
      <c r="AD1973" s="42"/>
      <c r="AE1973" s="42"/>
      <c r="AF1973" s="9"/>
      <c r="AG1973" s="9"/>
      <c r="AH1973" s="42"/>
      <c r="AI1973" s="42"/>
      <c r="AJ1973" s="42"/>
      <c r="AK1973" s="42"/>
      <c r="AL1973" s="42"/>
      <c r="AM1973" s="42"/>
      <c r="AN1973" s="42"/>
      <c r="AO1973" s="63" t="str">
        <f>IFERROR(__xludf.DUMMYFUNCTION("IF(ISBLANK(A1973),,IF(ISBLANK(S1973), A1973&amp;"";"", TEXTJOIN(CHAR(10), TRUE, A1973&amp;"";"", ARRAYFORMULA(VLOOKUP(SPLIT(S1973, "";"" &amp; CHAR(10)), $A:$AO, 41, FALSE)))))"),"CaHrp;")</f>
        <v>CaHrp;</v>
      </c>
      <c r="AP1973" s="89"/>
    </row>
    <row r="1974">
      <c r="A1974" s="151" t="str">
        <f>IFERROR(__xludf.DUMMYFUNCTION("""COMPUTED_VALUE"""),"CaHdl")</f>
        <v>CaHdl</v>
      </c>
      <c r="B1974" s="42" t="str">
        <f>IFERROR(__xludf.DUMMYFUNCTION("""COMPUTED_VALUE"""),"DHBA")</f>
        <v>DHBA</v>
      </c>
      <c r="C1974" s="42" t="str">
        <f>IFERROR(__xludf.DUMMYFUNCTION("""COMPUTED_VALUE"""),"dorsolateral part of caudate head")</f>
        <v>dorsolateral part of caudate head</v>
      </c>
      <c r="D1974" s="42">
        <f>IFERROR(__xludf.DUMMYFUNCTION("""COMPUTED_VALUE"""),1864.0)</f>
        <v>1864</v>
      </c>
      <c r="E1974" s="39" t="str">
        <f>IFERROR(__xludf.DUMMYFUNCTION("""COMPUTED_VALUE"""),"dorsolateral part of caudate head")</f>
        <v>dorsolateral part of caudate head</v>
      </c>
      <c r="F1974" s="9" t="str">
        <f>IFERROR(__xludf.DUMMYFUNCTION("""COMPUTED_VALUE"""),"Br")</f>
        <v>Br</v>
      </c>
      <c r="G1974" s="9" t="str">
        <f>IFERROR(__xludf.DUMMYFUNCTION("""COMPUTED_VALUE"""),"F")</f>
        <v>F</v>
      </c>
      <c r="H1974" s="9" t="str">
        <f>IFERROR(__xludf.DUMMYFUNCTION("""COMPUTED_VALUE"""),"FGM")</f>
        <v>FGM</v>
      </c>
      <c r="I1974" s="9" t="str">
        <f>IFERROR(__xludf.DUMMYFUNCTION("""COMPUTED_VALUE"""),"Tel")</f>
        <v>Tel</v>
      </c>
      <c r="J1974" s="9" t="str">
        <f>IFERROR(__xludf.DUMMYFUNCTION("""COMPUTED_VALUE"""),"CN")</f>
        <v>CN</v>
      </c>
      <c r="K1974" s="9" t="str">
        <f>IFERROR(__xludf.DUMMYFUNCTION("""COMPUTED_VALUE"""),"BN")</f>
        <v>BN</v>
      </c>
      <c r="L1974" s="9" t="str">
        <f>IFERROR(__xludf.DUMMYFUNCTION("""COMPUTED_VALUE"""),"STR")</f>
        <v>STR</v>
      </c>
      <c r="M1974" s="9" t="str">
        <f>IFERROR(__xludf.DUMMYFUNCTION("""COMPUTED_VALUE"""),"Ca")</f>
        <v>Ca</v>
      </c>
      <c r="N1974" s="9" t="str">
        <f>IFERROR(__xludf.DUMMYFUNCTION("""COMPUTED_VALUE"""),"CaH")</f>
        <v>CaH</v>
      </c>
      <c r="O1974" s="9" t="str">
        <f>IFERROR(__xludf.DUMMYFUNCTION("""COMPUTED_VALUE"""),"CaHdl")</f>
        <v>CaHdl</v>
      </c>
      <c r="P1974" s="9"/>
      <c r="Q1974" s="9"/>
      <c r="R1974" s="9"/>
      <c r="S1974" s="42"/>
      <c r="T1974" s="42"/>
      <c r="U1974" s="159"/>
      <c r="V1974" s="42"/>
      <c r="W1974" s="42"/>
      <c r="X1974" s="42"/>
      <c r="Y1974" s="42"/>
      <c r="Z1974" s="42"/>
      <c r="AA1974" s="42"/>
      <c r="AB1974" s="42" t="str">
        <f>IFERROR(__xludf.DUMMYFUNCTION("""COMPUTED_VALUE"""),"allen institute")</f>
        <v>allen institute</v>
      </c>
      <c r="AC1974" s="42" t="str">
        <f>IFERROR(__xludf.DUMMYFUNCTION("""COMPUTED_VALUE"""),"DHBA")</f>
        <v>DHBA</v>
      </c>
      <c r="AD1974" s="42"/>
      <c r="AE1974" s="42"/>
      <c r="AF1974" s="9"/>
      <c r="AG1974" s="9"/>
      <c r="AH1974" s="42"/>
      <c r="AI1974" s="42"/>
      <c r="AJ1974" s="42"/>
      <c r="AK1974" s="42"/>
      <c r="AL1974" s="42"/>
      <c r="AM1974" s="42"/>
      <c r="AN1974" s="42"/>
      <c r="AO1974" s="63" t="str">
        <f>IFERROR(__xludf.DUMMYFUNCTION("IF(ISBLANK(A1974),,IF(ISBLANK(S1974), A1974&amp;"";"", TEXTJOIN(CHAR(10), TRUE, A1974&amp;"";"", ARRAYFORMULA(VLOOKUP(SPLIT(S1974, "";"" &amp; CHAR(10)), $A:$AO, 41, FALSE)))))"),"CaHdl;")</f>
        <v>CaHdl;</v>
      </c>
      <c r="AP1974" s="89"/>
    </row>
    <row r="1975">
      <c r="A1975" s="151" t="str">
        <f>IFERROR(__xludf.DUMMYFUNCTION("""COMPUTED_VALUE"""),"CaHvm")</f>
        <v>CaHvm</v>
      </c>
      <c r="B1975" s="42" t="str">
        <f>IFERROR(__xludf.DUMMYFUNCTION("""COMPUTED_VALUE"""),"DHBA")</f>
        <v>DHBA</v>
      </c>
      <c r="C1975" s="42" t="str">
        <f>IFERROR(__xludf.DUMMYFUNCTION("""COMPUTED_VALUE"""),"ventromedial part of caudate head")</f>
        <v>ventromedial part of caudate head</v>
      </c>
      <c r="D1975" s="42">
        <f>IFERROR(__xludf.DUMMYFUNCTION("""COMPUTED_VALUE"""),1865.0)</f>
        <v>1865</v>
      </c>
      <c r="E1975" s="39" t="str">
        <f>IFERROR(__xludf.DUMMYFUNCTION("""COMPUTED_VALUE"""),"ventromedial part of caudate head")</f>
        <v>ventromedial part of caudate head</v>
      </c>
      <c r="F1975" s="9" t="str">
        <f>IFERROR(__xludf.DUMMYFUNCTION("""COMPUTED_VALUE"""),"Br")</f>
        <v>Br</v>
      </c>
      <c r="G1975" s="9" t="str">
        <f>IFERROR(__xludf.DUMMYFUNCTION("""COMPUTED_VALUE"""),"F")</f>
        <v>F</v>
      </c>
      <c r="H1975" s="9" t="str">
        <f>IFERROR(__xludf.DUMMYFUNCTION("""COMPUTED_VALUE"""),"FGM")</f>
        <v>FGM</v>
      </c>
      <c r="I1975" s="9" t="str">
        <f>IFERROR(__xludf.DUMMYFUNCTION("""COMPUTED_VALUE"""),"Tel")</f>
        <v>Tel</v>
      </c>
      <c r="J1975" s="9" t="str">
        <f>IFERROR(__xludf.DUMMYFUNCTION("""COMPUTED_VALUE"""),"CN")</f>
        <v>CN</v>
      </c>
      <c r="K1975" s="9" t="str">
        <f>IFERROR(__xludf.DUMMYFUNCTION("""COMPUTED_VALUE"""),"BN")</f>
        <v>BN</v>
      </c>
      <c r="L1975" s="9" t="str">
        <f>IFERROR(__xludf.DUMMYFUNCTION("""COMPUTED_VALUE"""),"STR")</f>
        <v>STR</v>
      </c>
      <c r="M1975" s="9" t="str">
        <f>IFERROR(__xludf.DUMMYFUNCTION("""COMPUTED_VALUE"""),"Ca")</f>
        <v>Ca</v>
      </c>
      <c r="N1975" s="9" t="str">
        <f>IFERROR(__xludf.DUMMYFUNCTION("""COMPUTED_VALUE"""),"CaH")</f>
        <v>CaH</v>
      </c>
      <c r="O1975" s="9" t="str">
        <f>IFERROR(__xludf.DUMMYFUNCTION("""COMPUTED_VALUE"""),"CaHvm")</f>
        <v>CaHvm</v>
      </c>
      <c r="P1975" s="9"/>
      <c r="Q1975" s="9"/>
      <c r="R1975" s="9"/>
      <c r="S1975" s="42"/>
      <c r="T1975" s="42"/>
      <c r="U1975" s="42"/>
      <c r="V1975" s="42"/>
      <c r="W1975" s="42"/>
      <c r="X1975" s="42"/>
      <c r="Y1975" s="42"/>
      <c r="Z1975" s="42"/>
      <c r="AA1975" s="42"/>
      <c r="AB1975" s="42" t="str">
        <f>IFERROR(__xludf.DUMMYFUNCTION("""COMPUTED_VALUE"""),"allen institute")</f>
        <v>allen institute</v>
      </c>
      <c r="AC1975" s="42" t="str">
        <f>IFERROR(__xludf.DUMMYFUNCTION("""COMPUTED_VALUE"""),"DHBA")</f>
        <v>DHBA</v>
      </c>
      <c r="AD1975" s="42"/>
      <c r="AE1975" s="42"/>
      <c r="AF1975" s="9"/>
      <c r="AG1975" s="9"/>
      <c r="AH1975" s="42"/>
      <c r="AI1975" s="42"/>
      <c r="AJ1975" s="42"/>
      <c r="AK1975" s="42"/>
      <c r="AL1975" s="42"/>
      <c r="AM1975" s="42"/>
      <c r="AN1975" s="42"/>
      <c r="AO1975" s="63" t="str">
        <f>IFERROR(__xludf.DUMMYFUNCTION("IF(ISBLANK(A1975),,IF(ISBLANK(S1975), A1975&amp;"";"", TEXTJOIN(CHAR(10), TRUE, A1975&amp;"";"", ARRAYFORMULA(VLOOKUP(SPLIT(S1975, "";"" &amp; CHAR(10)), $A:$AO, 41, FALSE)))))"),"CaHvm;")</f>
        <v>CaHvm;</v>
      </c>
      <c r="AP1975" s="89"/>
    </row>
    <row r="1976">
      <c r="A1976" s="151" t="str">
        <f>IFERROR(__xludf.DUMMYFUNCTION("""COMPUTED_VALUE"""),"CaB")</f>
        <v>CaB</v>
      </c>
      <c r="B1976" s="42" t="str">
        <f>IFERROR(__xludf.DUMMYFUNCTION("""COMPUTED_VALUE"""),"DHBA")</f>
        <v>DHBA</v>
      </c>
      <c r="C1976" s="42" t="str">
        <f>IFERROR(__xludf.DUMMYFUNCTION("""COMPUTED_VALUE"""),"body of caudate")</f>
        <v>body of caudate</v>
      </c>
      <c r="D1976" s="42">
        <f>IFERROR(__xludf.DUMMYFUNCTION("""COMPUTED_VALUE"""),1866.0)</f>
        <v>1866</v>
      </c>
      <c r="E1976" s="39" t="str">
        <f>IFERROR(__xludf.DUMMYFUNCTION("""COMPUTED_VALUE"""),"body of caudate")</f>
        <v>body of caudate</v>
      </c>
      <c r="F1976" s="9" t="str">
        <f>IFERROR(__xludf.DUMMYFUNCTION("""COMPUTED_VALUE"""),"Br")</f>
        <v>Br</v>
      </c>
      <c r="G1976" s="9" t="str">
        <f>IFERROR(__xludf.DUMMYFUNCTION("""COMPUTED_VALUE"""),"F")</f>
        <v>F</v>
      </c>
      <c r="H1976" s="9" t="str">
        <f>IFERROR(__xludf.DUMMYFUNCTION("""COMPUTED_VALUE"""),"FGM")</f>
        <v>FGM</v>
      </c>
      <c r="I1976" s="9" t="str">
        <f>IFERROR(__xludf.DUMMYFUNCTION("""COMPUTED_VALUE"""),"Tel")</f>
        <v>Tel</v>
      </c>
      <c r="J1976" s="9" t="str">
        <f>IFERROR(__xludf.DUMMYFUNCTION("""COMPUTED_VALUE"""),"CN")</f>
        <v>CN</v>
      </c>
      <c r="K1976" s="9" t="str">
        <f>IFERROR(__xludf.DUMMYFUNCTION("""COMPUTED_VALUE"""),"BN")</f>
        <v>BN</v>
      </c>
      <c r="L1976" s="9" t="str">
        <f>IFERROR(__xludf.DUMMYFUNCTION("""COMPUTED_VALUE"""),"STR")</f>
        <v>STR</v>
      </c>
      <c r="M1976" s="9" t="str">
        <f>IFERROR(__xludf.DUMMYFUNCTION("""COMPUTED_VALUE"""),"Ca")</f>
        <v>Ca</v>
      </c>
      <c r="N1976" s="9" t="str">
        <f>IFERROR(__xludf.DUMMYFUNCTION("""COMPUTED_VALUE"""),"CaB")</f>
        <v>CaB</v>
      </c>
      <c r="O1976" s="9"/>
      <c r="P1976" s="9"/>
      <c r="Q1976" s="9"/>
      <c r="R1976" s="9"/>
      <c r="S1976" s="42"/>
      <c r="T1976" s="42"/>
      <c r="U1976" s="42"/>
      <c r="V1976" s="42"/>
      <c r="W1976" s="42"/>
      <c r="X1976" s="42"/>
      <c r="Y1976" s="42"/>
      <c r="Z1976" s="42"/>
      <c r="AA1976" s="42"/>
      <c r="AB1976" s="42" t="str">
        <f>IFERROR(__xludf.DUMMYFUNCTION("""COMPUTED_VALUE"""),"allen institute")</f>
        <v>allen institute</v>
      </c>
      <c r="AC1976" s="42" t="str">
        <f>IFERROR(__xludf.DUMMYFUNCTION("""COMPUTED_VALUE"""),"DHBA")</f>
        <v>DHBA</v>
      </c>
      <c r="AD1976" s="42"/>
      <c r="AE1976" s="42"/>
      <c r="AF1976" s="9"/>
      <c r="AG1976" s="9"/>
      <c r="AH1976" s="42"/>
      <c r="AI1976" s="42"/>
      <c r="AJ1976" s="42"/>
      <c r="AK1976" s="42"/>
      <c r="AL1976" s="42"/>
      <c r="AM1976" s="42"/>
      <c r="AN1976" s="42"/>
      <c r="AO1976" s="63" t="str">
        <f>IFERROR(__xludf.DUMMYFUNCTION("IF(ISBLANK(A1976),,IF(ISBLANK(S1976), A1976&amp;"";"", TEXTJOIN(CHAR(10), TRUE, A1976&amp;"";"", ARRAYFORMULA(VLOOKUP(SPLIT(S1976, "";"" &amp; CHAR(10)), $A:$AO, 41, FALSE)))))"),"CaB;")</f>
        <v>CaB;</v>
      </c>
      <c r="AP1976" s="89"/>
    </row>
    <row r="1977">
      <c r="A1977" s="151" t="str">
        <f>IFERROR(__xludf.DUMMYFUNCTION("""COMPUTED_VALUE"""),"CaT")</f>
        <v>CaT</v>
      </c>
      <c r="B1977" s="42" t="str">
        <f>IFERROR(__xludf.DUMMYFUNCTION("""COMPUTED_VALUE"""),"DHBA")</f>
        <v>DHBA</v>
      </c>
      <c r="C1977" s="42" t="str">
        <f>IFERROR(__xludf.DUMMYFUNCTION("""COMPUTED_VALUE"""),"tail of caudate")</f>
        <v>tail of caudate</v>
      </c>
      <c r="D1977" s="42">
        <f>IFERROR(__xludf.DUMMYFUNCTION("""COMPUTED_VALUE"""),1867.0)</f>
        <v>1867</v>
      </c>
      <c r="E1977" s="39" t="str">
        <f>IFERROR(__xludf.DUMMYFUNCTION("""COMPUTED_VALUE"""),"tail of caudate")</f>
        <v>tail of caudate</v>
      </c>
      <c r="F1977" s="9" t="str">
        <f>IFERROR(__xludf.DUMMYFUNCTION("""COMPUTED_VALUE"""),"Br")</f>
        <v>Br</v>
      </c>
      <c r="G1977" s="9" t="str">
        <f>IFERROR(__xludf.DUMMYFUNCTION("""COMPUTED_VALUE"""),"F")</f>
        <v>F</v>
      </c>
      <c r="H1977" s="9" t="str">
        <f>IFERROR(__xludf.DUMMYFUNCTION("""COMPUTED_VALUE"""),"FGM")</f>
        <v>FGM</v>
      </c>
      <c r="I1977" s="9" t="str">
        <f>IFERROR(__xludf.DUMMYFUNCTION("""COMPUTED_VALUE"""),"Tel")</f>
        <v>Tel</v>
      </c>
      <c r="J1977" s="9" t="str">
        <f>IFERROR(__xludf.DUMMYFUNCTION("""COMPUTED_VALUE"""),"CN")</f>
        <v>CN</v>
      </c>
      <c r="K1977" s="9" t="str">
        <f>IFERROR(__xludf.DUMMYFUNCTION("""COMPUTED_VALUE"""),"BN")</f>
        <v>BN</v>
      </c>
      <c r="L1977" s="9" t="str">
        <f>IFERROR(__xludf.DUMMYFUNCTION("""COMPUTED_VALUE"""),"STR")</f>
        <v>STR</v>
      </c>
      <c r="M1977" s="9" t="str">
        <f>IFERROR(__xludf.DUMMYFUNCTION("""COMPUTED_VALUE"""),"Ca")</f>
        <v>Ca</v>
      </c>
      <c r="N1977" s="9" t="str">
        <f>IFERROR(__xludf.DUMMYFUNCTION("""COMPUTED_VALUE"""),"CaT")</f>
        <v>CaT</v>
      </c>
      <c r="O1977" s="9"/>
      <c r="P1977" s="9"/>
      <c r="Q1977" s="9"/>
      <c r="R1977" s="9"/>
      <c r="S1977" s="42"/>
      <c r="T1977" s="42"/>
      <c r="U1977" s="42"/>
      <c r="V1977" s="42"/>
      <c r="W1977" s="42"/>
      <c r="X1977" s="42"/>
      <c r="Y1977" s="42"/>
      <c r="Z1977" s="42"/>
      <c r="AA1977" s="42"/>
      <c r="AB1977" s="42" t="str">
        <f>IFERROR(__xludf.DUMMYFUNCTION("""COMPUTED_VALUE"""),"allen institute")</f>
        <v>allen institute</v>
      </c>
      <c r="AC1977" s="42" t="str">
        <f>IFERROR(__xludf.DUMMYFUNCTION("""COMPUTED_VALUE"""),"DHBA")</f>
        <v>DHBA</v>
      </c>
      <c r="AD1977" s="42"/>
      <c r="AE1977" s="42"/>
      <c r="AF1977" s="9"/>
      <c r="AG1977" s="9"/>
      <c r="AH1977" s="42"/>
      <c r="AI1977" s="42"/>
      <c r="AJ1977" s="42"/>
      <c r="AK1977" s="42"/>
      <c r="AL1977" s="42"/>
      <c r="AM1977" s="42"/>
      <c r="AN1977" s="42"/>
      <c r="AO1977" s="63" t="str">
        <f>IFERROR(__xludf.DUMMYFUNCTION("IF(ISBLANK(A1977),,IF(ISBLANK(S1977), A1977&amp;"";"", TEXTJOIN(CHAR(10), TRUE, A1977&amp;"";"", ARRAYFORMULA(VLOOKUP(SPLIT(S1977, "";"" &amp; CHAR(10)), $A:$AO, 41, FALSE)))))"),"CaT;")</f>
        <v>CaT;</v>
      </c>
      <c r="AP1977" s="89"/>
    </row>
    <row r="1978">
      <c r="A1978" s="151" t="str">
        <f>IFERROR(__xludf.DUMMYFUNCTION("""COMPUTED_VALUE"""),"Eca")</f>
        <v>Eca</v>
      </c>
      <c r="B1978" s="42" t="str">
        <f>IFERROR(__xludf.DUMMYFUNCTION("""COMPUTED_VALUE"""),"DHBA")</f>
        <v>DHBA</v>
      </c>
      <c r="C1978" s="42" t="str">
        <f>IFERROR(__xludf.DUMMYFUNCTION("""COMPUTED_VALUE"""),"peri-caudate ependymal and subependymal zone")</f>
        <v>peri-caudate ependymal and subependymal zone</v>
      </c>
      <c r="D1978" s="42">
        <f>IFERROR(__xludf.DUMMYFUNCTION("""COMPUTED_VALUE"""),1868.0)</f>
        <v>1868</v>
      </c>
      <c r="E1978" s="39" t="str">
        <f>IFERROR(__xludf.DUMMYFUNCTION("""COMPUTED_VALUE"""),"peri-caudate ependymal and subependymal zone")</f>
        <v>peri-caudate ependymal and subependymal zone</v>
      </c>
      <c r="F1978" s="9" t="str">
        <f>IFERROR(__xludf.DUMMYFUNCTION("""COMPUTED_VALUE"""),"Br")</f>
        <v>Br</v>
      </c>
      <c r="G1978" s="9" t="str">
        <f>IFERROR(__xludf.DUMMYFUNCTION("""COMPUTED_VALUE"""),"F")</f>
        <v>F</v>
      </c>
      <c r="H1978" s="9" t="str">
        <f>IFERROR(__xludf.DUMMYFUNCTION("""COMPUTED_VALUE"""),"FGM")</f>
        <v>FGM</v>
      </c>
      <c r="I1978" s="9" t="str">
        <f>IFERROR(__xludf.DUMMYFUNCTION("""COMPUTED_VALUE"""),"Tel")</f>
        <v>Tel</v>
      </c>
      <c r="J1978" s="9" t="str">
        <f>IFERROR(__xludf.DUMMYFUNCTION("""COMPUTED_VALUE"""),"CN")</f>
        <v>CN</v>
      </c>
      <c r="K1978" s="9" t="str">
        <f>IFERROR(__xludf.DUMMYFUNCTION("""COMPUTED_VALUE"""),"BN")</f>
        <v>BN</v>
      </c>
      <c r="L1978" s="9" t="str">
        <f>IFERROR(__xludf.DUMMYFUNCTION("""COMPUTED_VALUE"""),"STR")</f>
        <v>STR</v>
      </c>
      <c r="M1978" s="9" t="str">
        <f>IFERROR(__xludf.DUMMYFUNCTION("""COMPUTED_VALUE"""),"Ca")</f>
        <v>Ca</v>
      </c>
      <c r="N1978" s="9" t="str">
        <f>IFERROR(__xludf.DUMMYFUNCTION("""COMPUTED_VALUE"""),"Eca")</f>
        <v>Eca</v>
      </c>
      <c r="O1978" s="9"/>
      <c r="P1978" s="9"/>
      <c r="Q1978" s="9"/>
      <c r="R1978" s="9"/>
      <c r="S1978" s="42"/>
      <c r="T1978" s="42"/>
      <c r="U1978" s="42"/>
      <c r="V1978" s="42"/>
      <c r="W1978" s="42"/>
      <c r="X1978" s="42"/>
      <c r="Y1978" s="42"/>
      <c r="Z1978" s="42"/>
      <c r="AA1978" s="42"/>
      <c r="AB1978" s="42" t="str">
        <f>IFERROR(__xludf.DUMMYFUNCTION("""COMPUTED_VALUE"""),"allen institute")</f>
        <v>allen institute</v>
      </c>
      <c r="AC1978" s="42" t="str">
        <f>IFERROR(__xludf.DUMMYFUNCTION("""COMPUTED_VALUE"""),"DHBA")</f>
        <v>DHBA</v>
      </c>
      <c r="AD1978" s="42"/>
      <c r="AE1978" s="42"/>
      <c r="AF1978" s="9"/>
      <c r="AG1978" s="9"/>
      <c r="AH1978" s="42"/>
      <c r="AI1978" s="42"/>
      <c r="AJ1978" s="42"/>
      <c r="AK1978" s="42"/>
      <c r="AL1978" s="42"/>
      <c r="AM1978" s="42"/>
      <c r="AN1978" s="42"/>
      <c r="AO1978" s="63" t="str">
        <f>IFERROR(__xludf.DUMMYFUNCTION("IF(ISBLANK(A1978),,IF(ISBLANK(S1978), A1978&amp;"";"", TEXTJOIN(CHAR(10), TRUE, A1978&amp;"";"", ARRAYFORMULA(VLOOKUP(SPLIT(S1978, "";"" &amp; CHAR(10)), $A:$AO, 41, FALSE)))))"),"Eca;")</f>
        <v>Eca;</v>
      </c>
      <c r="AP1978" s="89"/>
    </row>
    <row r="1979">
      <c r="A1979" s="151" t="str">
        <f>IFERROR(__xludf.DUMMYFUNCTION("""COMPUTED_VALUE"""),"CaPu")</f>
        <v>CaPu</v>
      </c>
      <c r="B1979" s="42" t="str">
        <f>IFERROR(__xludf.DUMMYFUNCTION("""COMPUTED_VALUE"""),"DHBA")</f>
        <v>DHBA</v>
      </c>
      <c r="C1979" s="42" t="str">
        <f>IFERROR(__xludf.DUMMYFUNCTION("""COMPUTED_VALUE"""),"caudate-putamen cell bridges")</f>
        <v>caudate-putamen cell bridges</v>
      </c>
      <c r="D1979" s="42">
        <f>IFERROR(__xludf.DUMMYFUNCTION("""COMPUTED_VALUE"""),1869.0)</f>
        <v>1869</v>
      </c>
      <c r="E1979" s="39" t="str">
        <f>IFERROR(__xludf.DUMMYFUNCTION("""COMPUTED_VALUE"""),"caudate-putamen cell bridges")</f>
        <v>caudate-putamen cell bridges</v>
      </c>
      <c r="F1979" s="9" t="str">
        <f>IFERROR(__xludf.DUMMYFUNCTION("""COMPUTED_VALUE"""),"Br")</f>
        <v>Br</v>
      </c>
      <c r="G1979" s="9" t="str">
        <f>IFERROR(__xludf.DUMMYFUNCTION("""COMPUTED_VALUE"""),"F")</f>
        <v>F</v>
      </c>
      <c r="H1979" s="9" t="str">
        <f>IFERROR(__xludf.DUMMYFUNCTION("""COMPUTED_VALUE"""),"FGM")</f>
        <v>FGM</v>
      </c>
      <c r="I1979" s="9" t="str">
        <f>IFERROR(__xludf.DUMMYFUNCTION("""COMPUTED_VALUE"""),"Tel")</f>
        <v>Tel</v>
      </c>
      <c r="J1979" s="9" t="str">
        <f>IFERROR(__xludf.DUMMYFUNCTION("""COMPUTED_VALUE"""),"CN")</f>
        <v>CN</v>
      </c>
      <c r="K1979" s="9" t="str">
        <f>IFERROR(__xludf.DUMMYFUNCTION("""COMPUTED_VALUE"""),"BN")</f>
        <v>BN</v>
      </c>
      <c r="L1979" s="9" t="str">
        <f>IFERROR(__xludf.DUMMYFUNCTION("""COMPUTED_VALUE"""),"STR")</f>
        <v>STR</v>
      </c>
      <c r="M1979" s="9" t="str">
        <f>IFERROR(__xludf.DUMMYFUNCTION("""COMPUTED_VALUE"""),"CaPu")</f>
        <v>CaPu</v>
      </c>
      <c r="N1979" s="9"/>
      <c r="O1979" s="9"/>
      <c r="P1979" s="9"/>
      <c r="Q1979" s="9"/>
      <c r="R1979" s="9"/>
      <c r="S1979" s="42"/>
      <c r="T1979" s="42"/>
      <c r="U1979" s="42"/>
      <c r="V1979" s="42"/>
      <c r="W1979" s="42"/>
      <c r="X1979" s="42"/>
      <c r="Y1979" s="42"/>
      <c r="Z1979" s="42"/>
      <c r="AA1979" s="42"/>
      <c r="AB1979" s="42" t="str">
        <f>IFERROR(__xludf.DUMMYFUNCTION("""COMPUTED_VALUE"""),"allen institute")</f>
        <v>allen institute</v>
      </c>
      <c r="AC1979" s="42" t="str">
        <f>IFERROR(__xludf.DUMMYFUNCTION("""COMPUTED_VALUE"""),"DHBA")</f>
        <v>DHBA</v>
      </c>
      <c r="AD1979" s="42"/>
      <c r="AE1979" s="42"/>
      <c r="AF1979" s="9"/>
      <c r="AG1979" s="9"/>
      <c r="AH1979" s="42"/>
      <c r="AI1979" s="42"/>
      <c r="AJ1979" s="42"/>
      <c r="AK1979" s="42"/>
      <c r="AL1979" s="42"/>
      <c r="AM1979" s="42"/>
      <c r="AN1979" s="42"/>
      <c r="AO1979" s="63" t="str">
        <f>IFERROR(__xludf.DUMMYFUNCTION("IF(ISBLANK(A1979),,IF(ISBLANK(S1979), A1979&amp;"";"", TEXTJOIN(CHAR(10), TRUE, A1979&amp;"";"", ARRAYFORMULA(VLOOKUP(SPLIT(S1979, "";"" &amp; CHAR(10)), $A:$AO, 41, FALSE)))))"),"CaPu;")</f>
        <v>CaPu;</v>
      </c>
      <c r="AP1979" s="89"/>
    </row>
    <row r="1980">
      <c r="A1980" s="151" t="str">
        <f>IFERROR(__xludf.DUMMYFUNCTION("""COMPUTED_VALUE"""),"Pu")</f>
        <v>Pu</v>
      </c>
      <c r="B1980" s="42" t="str">
        <f>IFERROR(__xludf.DUMMYFUNCTION("""COMPUTED_VALUE"""),"DHBA")</f>
        <v>DHBA</v>
      </c>
      <c r="C1980" s="42" t="str">
        <f>IFERROR(__xludf.DUMMYFUNCTION("""COMPUTED_VALUE"""),"putamen")</f>
        <v>putamen</v>
      </c>
      <c r="D1980" s="42">
        <f>IFERROR(__xludf.DUMMYFUNCTION("""COMPUTED_VALUE"""),1870.0)</f>
        <v>1870</v>
      </c>
      <c r="E1980" s="39" t="str">
        <f>IFERROR(__xludf.DUMMYFUNCTION("""COMPUTED_VALUE"""),"putamen")</f>
        <v>putamen</v>
      </c>
      <c r="F1980" s="9" t="str">
        <f>IFERROR(__xludf.DUMMYFUNCTION("""COMPUTED_VALUE"""),"Br")</f>
        <v>Br</v>
      </c>
      <c r="G1980" s="9" t="str">
        <f>IFERROR(__xludf.DUMMYFUNCTION("""COMPUTED_VALUE"""),"F")</f>
        <v>F</v>
      </c>
      <c r="H1980" s="9" t="str">
        <f>IFERROR(__xludf.DUMMYFUNCTION("""COMPUTED_VALUE"""),"FGM")</f>
        <v>FGM</v>
      </c>
      <c r="I1980" s="9" t="str">
        <f>IFERROR(__xludf.DUMMYFUNCTION("""COMPUTED_VALUE"""),"Tel")</f>
        <v>Tel</v>
      </c>
      <c r="J1980" s="9" t="str">
        <f>IFERROR(__xludf.DUMMYFUNCTION("""COMPUTED_VALUE"""),"CN")</f>
        <v>CN</v>
      </c>
      <c r="K1980" s="9" t="str">
        <f>IFERROR(__xludf.DUMMYFUNCTION("""COMPUTED_VALUE"""),"BN")</f>
        <v>BN</v>
      </c>
      <c r="L1980" s="9" t="str">
        <f>IFERROR(__xludf.DUMMYFUNCTION("""COMPUTED_VALUE"""),"STR")</f>
        <v>STR</v>
      </c>
      <c r="M1980" s="9" t="str">
        <f>IFERROR(__xludf.DUMMYFUNCTION("""COMPUTED_VALUE"""),"Pu")</f>
        <v>Pu</v>
      </c>
      <c r="N1980" s="9"/>
      <c r="O1980" s="9"/>
      <c r="P1980" s="9"/>
      <c r="Q1980" s="9"/>
      <c r="R1980" s="9"/>
      <c r="S1980" s="42" t="str">
        <f>IFERROR(__xludf.DUMMYFUNCTION("""COMPUTED_VALUE"""),"PuR;
PuC;
PuPV;
PuMG")</f>
        <v>PuR;
PuC;
PuPV;
PuMG</v>
      </c>
      <c r="T1980" s="42" t="str">
        <f>IFERROR(__xludf.DUMMYFUNCTION("""COMPUTED_VALUE"""),"STR")</f>
        <v>STR</v>
      </c>
      <c r="U1980" s="42" t="b">
        <f>IFERROR(__xludf.DUMMYFUNCTION("""COMPUTED_VALUE"""),FALSE)</f>
        <v>0</v>
      </c>
      <c r="V1980" s="42"/>
      <c r="W1980" s="42"/>
      <c r="X1980" s="42"/>
      <c r="Y1980" s="42"/>
      <c r="Z1980" s="42"/>
      <c r="AA1980" s="42"/>
      <c r="AB1980" s="42" t="str">
        <f>IFERROR(__xludf.DUMMYFUNCTION("""COMPUTED_VALUE"""),"allen institute")</f>
        <v>allen institute</v>
      </c>
      <c r="AC1980" s="42" t="str">
        <f>IFERROR(__xludf.DUMMYFUNCTION("""COMPUTED_VALUE"""),"DHBA")</f>
        <v>DHBA</v>
      </c>
      <c r="AD1980" s="42"/>
      <c r="AE1980" s="42"/>
      <c r="AF1980" s="9"/>
      <c r="AG1980" s="9"/>
      <c r="AH1980" s="42"/>
      <c r="AI1980" s="42"/>
      <c r="AJ1980" s="42"/>
      <c r="AK1980" s="42"/>
      <c r="AL1980" s="42"/>
      <c r="AM1980" s="42"/>
      <c r="AN1980" s="42"/>
      <c r="AO1980" s="63" t="str">
        <f>IFERROR(__xludf.DUMMYFUNCTION("IF(ISBLANK(A1980),,IF(ISBLANK(S1980), A1980&amp;"";"", TEXTJOIN(CHAR(10), TRUE, A1980&amp;"";"", ARRAYFORMULA(VLOOKUP(SPLIT(S1980, "";"" &amp; CHAR(10)), $A:$AO, 41, FALSE)))))"),"Pu;
PuR;
PuRv;
PuC;
Pld;
Pint;
Pmv;
PuPV;
PuMG;")</f>
        <v>Pu;
PuR;
PuRv;
PuC;
Pld;
Pint;
Pmv;
PuPV;
PuMG;</v>
      </c>
      <c r="AP1980" s="89"/>
    </row>
    <row r="1981">
      <c r="A1981" s="151" t="str">
        <f>IFERROR(__xludf.DUMMYFUNCTION("""COMPUTED_VALUE"""),"PuR")</f>
        <v>PuR</v>
      </c>
      <c r="B1981" s="42" t="str">
        <f>IFERROR(__xludf.DUMMYFUNCTION("""COMPUTED_VALUE"""),"DHBA")</f>
        <v>DHBA</v>
      </c>
      <c r="C1981" s="42" t="str">
        <f>IFERROR(__xludf.DUMMYFUNCTION("""COMPUTED_VALUE"""),"rostral putamen")</f>
        <v>rostral putamen</v>
      </c>
      <c r="D1981" s="42">
        <f>IFERROR(__xludf.DUMMYFUNCTION("""COMPUTED_VALUE"""),1871.0)</f>
        <v>1871</v>
      </c>
      <c r="E1981" s="39" t="str">
        <f>IFERROR(__xludf.DUMMYFUNCTION("""COMPUTED_VALUE"""),"rostral putamen")</f>
        <v>rostral putamen</v>
      </c>
      <c r="F1981" s="9" t="str">
        <f>IFERROR(__xludf.DUMMYFUNCTION("""COMPUTED_VALUE"""),"Br")</f>
        <v>Br</v>
      </c>
      <c r="G1981" s="9" t="str">
        <f>IFERROR(__xludf.DUMMYFUNCTION("""COMPUTED_VALUE"""),"F")</f>
        <v>F</v>
      </c>
      <c r="H1981" s="9" t="str">
        <f>IFERROR(__xludf.DUMMYFUNCTION("""COMPUTED_VALUE"""),"FGM")</f>
        <v>FGM</v>
      </c>
      <c r="I1981" s="9" t="str">
        <f>IFERROR(__xludf.DUMMYFUNCTION("""COMPUTED_VALUE"""),"Tel")</f>
        <v>Tel</v>
      </c>
      <c r="J1981" s="9" t="str">
        <f>IFERROR(__xludf.DUMMYFUNCTION("""COMPUTED_VALUE"""),"CN")</f>
        <v>CN</v>
      </c>
      <c r="K1981" s="9" t="str">
        <f>IFERROR(__xludf.DUMMYFUNCTION("""COMPUTED_VALUE"""),"BN")</f>
        <v>BN</v>
      </c>
      <c r="L1981" s="9" t="str">
        <f>IFERROR(__xludf.DUMMYFUNCTION("""COMPUTED_VALUE"""),"STR")</f>
        <v>STR</v>
      </c>
      <c r="M1981" s="9" t="str">
        <f>IFERROR(__xludf.DUMMYFUNCTION("""COMPUTED_VALUE"""),"Pu")</f>
        <v>Pu</v>
      </c>
      <c r="N1981" s="9" t="str">
        <f>IFERROR(__xludf.DUMMYFUNCTION("""COMPUTED_VALUE"""),"PuR")</f>
        <v>PuR</v>
      </c>
      <c r="O1981" s="9"/>
      <c r="P1981" s="9"/>
      <c r="Q1981" s="9"/>
      <c r="R1981" s="9"/>
      <c r="S1981" s="42" t="str">
        <f>IFERROR(__xludf.DUMMYFUNCTION("""COMPUTED_VALUE"""),"PuRv")</f>
        <v>PuRv</v>
      </c>
      <c r="T1981" s="42"/>
      <c r="U1981" s="42" t="b">
        <f>IFERROR(__xludf.DUMMYFUNCTION("""COMPUTED_VALUE"""),FALSE)</f>
        <v>0</v>
      </c>
      <c r="V1981" s="42"/>
      <c r="W1981" s="42"/>
      <c r="X1981" s="42"/>
      <c r="Y1981" s="42"/>
      <c r="Z1981" s="42"/>
      <c r="AA1981" s="42"/>
      <c r="AB1981" s="42" t="str">
        <f>IFERROR(__xludf.DUMMYFUNCTION("""COMPUTED_VALUE"""),"allen institute")</f>
        <v>allen institute</v>
      </c>
      <c r="AC1981" s="42" t="str">
        <f>IFERROR(__xludf.DUMMYFUNCTION("""COMPUTED_VALUE"""),"DHBA")</f>
        <v>DHBA</v>
      </c>
      <c r="AD1981" s="42"/>
      <c r="AE1981" s="42"/>
      <c r="AF1981" s="9"/>
      <c r="AG1981" s="9"/>
      <c r="AH1981" s="42"/>
      <c r="AI1981" s="42"/>
      <c r="AJ1981" s="42"/>
      <c r="AK1981" s="42"/>
      <c r="AL1981" s="42"/>
      <c r="AM1981" s="42"/>
      <c r="AN1981" s="42"/>
      <c r="AO1981" s="63" t="str">
        <f>IFERROR(__xludf.DUMMYFUNCTION("IF(ISBLANK(A1981),,IF(ISBLANK(S1981), A1981&amp;"";"", TEXTJOIN(CHAR(10), TRUE, A1981&amp;"";"", ARRAYFORMULA(VLOOKUP(SPLIT(S1981, "";"" &amp; CHAR(10)), $A:$AO, 41, FALSE)))))"),"PuR;
PuRv;")</f>
        <v>PuR;
PuRv;</v>
      </c>
      <c r="AP1981" s="89"/>
    </row>
    <row r="1982">
      <c r="A1982" s="151" t="str">
        <f>IFERROR(__xludf.DUMMYFUNCTION("""COMPUTED_VALUE"""),"PuRv")</f>
        <v>PuRv</v>
      </c>
      <c r="B1982" s="42" t="str">
        <f>IFERROR(__xludf.DUMMYFUNCTION("""COMPUTED_VALUE"""),"DHBA")</f>
        <v>DHBA</v>
      </c>
      <c r="C1982" s="42" t="str">
        <f>IFERROR(__xludf.DUMMYFUNCTION("""COMPUTED_VALUE"""),"ventral part of rostral putamen")</f>
        <v>ventral part of rostral putamen</v>
      </c>
      <c r="D1982" s="42">
        <f>IFERROR(__xludf.DUMMYFUNCTION("""COMPUTED_VALUE"""),1872.0)</f>
        <v>1872</v>
      </c>
      <c r="E1982" s="39" t="str">
        <f>IFERROR(__xludf.DUMMYFUNCTION("""COMPUTED_VALUE"""),"ventral part of rostral putamen")</f>
        <v>ventral part of rostral putamen</v>
      </c>
      <c r="F1982" s="9" t="str">
        <f>IFERROR(__xludf.DUMMYFUNCTION("""COMPUTED_VALUE"""),"Br")</f>
        <v>Br</v>
      </c>
      <c r="G1982" s="9" t="str">
        <f>IFERROR(__xludf.DUMMYFUNCTION("""COMPUTED_VALUE"""),"F")</f>
        <v>F</v>
      </c>
      <c r="H1982" s="9" t="str">
        <f>IFERROR(__xludf.DUMMYFUNCTION("""COMPUTED_VALUE"""),"FGM")</f>
        <v>FGM</v>
      </c>
      <c r="I1982" s="9" t="str">
        <f>IFERROR(__xludf.DUMMYFUNCTION("""COMPUTED_VALUE"""),"Tel")</f>
        <v>Tel</v>
      </c>
      <c r="J1982" s="9" t="str">
        <f>IFERROR(__xludf.DUMMYFUNCTION("""COMPUTED_VALUE"""),"CN")</f>
        <v>CN</v>
      </c>
      <c r="K1982" s="9" t="str">
        <f>IFERROR(__xludf.DUMMYFUNCTION("""COMPUTED_VALUE"""),"BN")</f>
        <v>BN</v>
      </c>
      <c r="L1982" s="9" t="str">
        <f>IFERROR(__xludf.DUMMYFUNCTION("""COMPUTED_VALUE"""),"STR")</f>
        <v>STR</v>
      </c>
      <c r="M1982" s="9" t="str">
        <f>IFERROR(__xludf.DUMMYFUNCTION("""COMPUTED_VALUE"""),"Pu")</f>
        <v>Pu</v>
      </c>
      <c r="N1982" s="9" t="str">
        <f>IFERROR(__xludf.DUMMYFUNCTION("""COMPUTED_VALUE"""),"PuR")</f>
        <v>PuR</v>
      </c>
      <c r="O1982" s="9" t="str">
        <f>IFERROR(__xludf.DUMMYFUNCTION("""COMPUTED_VALUE"""),"PuRv")</f>
        <v>PuRv</v>
      </c>
      <c r="P1982" s="9"/>
      <c r="Q1982" s="9"/>
      <c r="R1982" s="9"/>
      <c r="S1982" s="42"/>
      <c r="T1982" s="42"/>
      <c r="U1982" s="42"/>
      <c r="V1982" s="42"/>
      <c r="W1982" s="42"/>
      <c r="X1982" s="42"/>
      <c r="Y1982" s="42"/>
      <c r="Z1982" s="42"/>
      <c r="AA1982" s="42"/>
      <c r="AB1982" s="42" t="str">
        <f>IFERROR(__xludf.DUMMYFUNCTION("""COMPUTED_VALUE"""),"allen institute")</f>
        <v>allen institute</v>
      </c>
      <c r="AC1982" s="42" t="str">
        <f>IFERROR(__xludf.DUMMYFUNCTION("""COMPUTED_VALUE"""),"DHBA")</f>
        <v>DHBA</v>
      </c>
      <c r="AD1982" s="42"/>
      <c r="AE1982" s="42"/>
      <c r="AF1982" s="9"/>
      <c r="AG1982" s="9"/>
      <c r="AH1982" s="42"/>
      <c r="AI1982" s="42"/>
      <c r="AJ1982" s="42"/>
      <c r="AK1982" s="42"/>
      <c r="AL1982" s="42"/>
      <c r="AM1982" s="42"/>
      <c r="AN1982" s="42"/>
      <c r="AO1982" s="63" t="str">
        <f>IFERROR(__xludf.DUMMYFUNCTION("IF(ISBLANK(A1982),,IF(ISBLANK(S1982), A1982&amp;"";"", TEXTJOIN(CHAR(10), TRUE, A1982&amp;"";"", ARRAYFORMULA(VLOOKUP(SPLIT(S1982, "";"" &amp; CHAR(10)), $A:$AO, 41, FALSE)))))"),"PuRv;")</f>
        <v>PuRv;</v>
      </c>
      <c r="AP1982" s="89"/>
    </row>
    <row r="1983">
      <c r="A1983" s="151" t="str">
        <f>IFERROR(__xludf.DUMMYFUNCTION("""COMPUTED_VALUE"""),"PuC")</f>
        <v>PuC</v>
      </c>
      <c r="B1983" s="42" t="str">
        <f>IFERROR(__xludf.DUMMYFUNCTION("""COMPUTED_VALUE"""),"DHBA")</f>
        <v>DHBA</v>
      </c>
      <c r="C1983" s="42" t="str">
        <f>IFERROR(__xludf.DUMMYFUNCTION("""COMPUTED_VALUE"""),"caudal putamen")</f>
        <v>caudal putamen</v>
      </c>
      <c r="D1983" s="42">
        <f>IFERROR(__xludf.DUMMYFUNCTION("""COMPUTED_VALUE"""),1873.0)</f>
        <v>1873</v>
      </c>
      <c r="E1983" s="39" t="str">
        <f>IFERROR(__xludf.DUMMYFUNCTION("""COMPUTED_VALUE"""),"caudal putamen")</f>
        <v>caudal putamen</v>
      </c>
      <c r="F1983" s="9" t="str">
        <f>IFERROR(__xludf.DUMMYFUNCTION("""COMPUTED_VALUE"""),"Br")</f>
        <v>Br</v>
      </c>
      <c r="G1983" s="9" t="str">
        <f>IFERROR(__xludf.DUMMYFUNCTION("""COMPUTED_VALUE"""),"F")</f>
        <v>F</v>
      </c>
      <c r="H1983" s="9" t="str">
        <f>IFERROR(__xludf.DUMMYFUNCTION("""COMPUTED_VALUE"""),"FGM")</f>
        <v>FGM</v>
      </c>
      <c r="I1983" s="9" t="str">
        <f>IFERROR(__xludf.DUMMYFUNCTION("""COMPUTED_VALUE"""),"Tel")</f>
        <v>Tel</v>
      </c>
      <c r="J1983" s="9" t="str">
        <f>IFERROR(__xludf.DUMMYFUNCTION("""COMPUTED_VALUE"""),"CN")</f>
        <v>CN</v>
      </c>
      <c r="K1983" s="9" t="str">
        <f>IFERROR(__xludf.DUMMYFUNCTION("""COMPUTED_VALUE"""),"BN")</f>
        <v>BN</v>
      </c>
      <c r="L1983" s="9" t="str">
        <f>IFERROR(__xludf.DUMMYFUNCTION("""COMPUTED_VALUE"""),"STR")</f>
        <v>STR</v>
      </c>
      <c r="M1983" s="9" t="str">
        <f>IFERROR(__xludf.DUMMYFUNCTION("""COMPUTED_VALUE"""),"Pu")</f>
        <v>Pu</v>
      </c>
      <c r="N1983" s="9" t="str">
        <f>IFERROR(__xludf.DUMMYFUNCTION("""COMPUTED_VALUE"""),"PuC")</f>
        <v>PuC</v>
      </c>
      <c r="O1983" s="9"/>
      <c r="P1983" s="9"/>
      <c r="Q1983" s="9"/>
      <c r="R1983" s="9"/>
      <c r="S1983" s="42" t="str">
        <f>IFERROR(__xludf.DUMMYFUNCTION("""COMPUTED_VALUE"""),"Pld;
Pint;
Pmv")</f>
        <v>Pld;
Pint;
Pmv</v>
      </c>
      <c r="T1983" s="42"/>
      <c r="U1983" s="42" t="b">
        <f>IFERROR(__xludf.DUMMYFUNCTION("""COMPUTED_VALUE"""),FALSE)</f>
        <v>0</v>
      </c>
      <c r="V1983" s="42"/>
      <c r="W1983" s="42"/>
      <c r="X1983" s="42"/>
      <c r="Y1983" s="42"/>
      <c r="Z1983" s="42"/>
      <c r="AA1983" s="42"/>
      <c r="AB1983" s="42" t="str">
        <f>IFERROR(__xludf.DUMMYFUNCTION("""COMPUTED_VALUE"""),"allen institute")</f>
        <v>allen institute</v>
      </c>
      <c r="AC1983" s="42" t="str">
        <f>IFERROR(__xludf.DUMMYFUNCTION("""COMPUTED_VALUE"""),"DHBA")</f>
        <v>DHBA</v>
      </c>
      <c r="AD1983" s="42"/>
      <c r="AE1983" s="42"/>
      <c r="AF1983" s="9"/>
      <c r="AG1983" s="9"/>
      <c r="AH1983" s="42"/>
      <c r="AI1983" s="42"/>
      <c r="AJ1983" s="42"/>
      <c r="AK1983" s="42"/>
      <c r="AL1983" s="42"/>
      <c r="AM1983" s="42"/>
      <c r="AN1983" s="42"/>
      <c r="AO1983" s="63" t="str">
        <f>IFERROR(__xludf.DUMMYFUNCTION("IF(ISBLANK(A1983),,IF(ISBLANK(S1983), A1983&amp;"";"", TEXTJOIN(CHAR(10), TRUE, A1983&amp;"";"", ARRAYFORMULA(VLOOKUP(SPLIT(S1983, "";"" &amp; CHAR(10)), $A:$AO, 41, FALSE)))))"),"PuC;
Pld;
Pint;
Pmv;")</f>
        <v>PuC;
Pld;
Pint;
Pmv;</v>
      </c>
      <c r="AP1983" s="89"/>
    </row>
    <row r="1984">
      <c r="A1984" s="151" t="str">
        <f>IFERROR(__xludf.DUMMYFUNCTION("""COMPUTED_VALUE"""),"Pld")</f>
        <v>Pld</v>
      </c>
      <c r="B1984" s="42" t="str">
        <f>IFERROR(__xludf.DUMMYFUNCTION("""COMPUTED_VALUE"""),"DHBA")</f>
        <v>DHBA</v>
      </c>
      <c r="C1984" s="42" t="str">
        <f>IFERROR(__xludf.DUMMYFUNCTION("""COMPUTED_VALUE"""),"laterodorsal part of putamen")</f>
        <v>laterodorsal part of putamen</v>
      </c>
      <c r="D1984" s="42">
        <f>IFERROR(__xludf.DUMMYFUNCTION("""COMPUTED_VALUE"""),1874.0)</f>
        <v>1874</v>
      </c>
      <c r="E1984" s="39" t="str">
        <f>IFERROR(__xludf.DUMMYFUNCTION("""COMPUTED_VALUE"""),"laterodorsal part of putamen")</f>
        <v>laterodorsal part of putamen</v>
      </c>
      <c r="F1984" s="9" t="str">
        <f>IFERROR(__xludf.DUMMYFUNCTION("""COMPUTED_VALUE"""),"Br")</f>
        <v>Br</v>
      </c>
      <c r="G1984" s="9" t="str">
        <f>IFERROR(__xludf.DUMMYFUNCTION("""COMPUTED_VALUE"""),"F")</f>
        <v>F</v>
      </c>
      <c r="H1984" s="9" t="str">
        <f>IFERROR(__xludf.DUMMYFUNCTION("""COMPUTED_VALUE"""),"FGM")</f>
        <v>FGM</v>
      </c>
      <c r="I1984" s="9" t="str">
        <f>IFERROR(__xludf.DUMMYFUNCTION("""COMPUTED_VALUE"""),"Tel")</f>
        <v>Tel</v>
      </c>
      <c r="J1984" s="9" t="str">
        <f>IFERROR(__xludf.DUMMYFUNCTION("""COMPUTED_VALUE"""),"CN")</f>
        <v>CN</v>
      </c>
      <c r="K1984" s="9" t="str">
        <f>IFERROR(__xludf.DUMMYFUNCTION("""COMPUTED_VALUE"""),"BN")</f>
        <v>BN</v>
      </c>
      <c r="L1984" s="9" t="str">
        <f>IFERROR(__xludf.DUMMYFUNCTION("""COMPUTED_VALUE"""),"STR")</f>
        <v>STR</v>
      </c>
      <c r="M1984" s="9" t="str">
        <f>IFERROR(__xludf.DUMMYFUNCTION("""COMPUTED_VALUE"""),"Pu")</f>
        <v>Pu</v>
      </c>
      <c r="N1984" s="9" t="str">
        <f>IFERROR(__xludf.DUMMYFUNCTION("""COMPUTED_VALUE"""),"PuC")</f>
        <v>PuC</v>
      </c>
      <c r="O1984" s="9" t="str">
        <f>IFERROR(__xludf.DUMMYFUNCTION("""COMPUTED_VALUE"""),"Pld")</f>
        <v>Pld</v>
      </c>
      <c r="P1984" s="9"/>
      <c r="Q1984" s="9"/>
      <c r="R1984" s="9"/>
      <c r="S1984" s="42"/>
      <c r="T1984" s="42"/>
      <c r="U1984" s="42"/>
      <c r="V1984" s="42"/>
      <c r="W1984" s="42"/>
      <c r="X1984" s="42"/>
      <c r="Y1984" s="42"/>
      <c r="Z1984" s="42"/>
      <c r="AA1984" s="42"/>
      <c r="AB1984" s="42" t="str">
        <f>IFERROR(__xludf.DUMMYFUNCTION("""COMPUTED_VALUE"""),"allen institute")</f>
        <v>allen institute</v>
      </c>
      <c r="AC1984" s="42" t="str">
        <f>IFERROR(__xludf.DUMMYFUNCTION("""COMPUTED_VALUE"""),"DHBA")</f>
        <v>DHBA</v>
      </c>
      <c r="AD1984" s="42"/>
      <c r="AE1984" s="42"/>
      <c r="AF1984" s="9"/>
      <c r="AG1984" s="9"/>
      <c r="AH1984" s="42"/>
      <c r="AI1984" s="42"/>
      <c r="AJ1984" s="42"/>
      <c r="AK1984" s="42"/>
      <c r="AL1984" s="42"/>
      <c r="AM1984" s="42"/>
      <c r="AN1984" s="42"/>
      <c r="AO1984" s="63" t="str">
        <f>IFERROR(__xludf.DUMMYFUNCTION("IF(ISBLANK(A1984),,IF(ISBLANK(S1984), A1984&amp;"";"", TEXTJOIN(CHAR(10), TRUE, A1984&amp;"";"", ARRAYFORMULA(VLOOKUP(SPLIT(S1984, "";"" &amp; CHAR(10)), $A:$AO, 41, FALSE)))))"),"Pld;")</f>
        <v>Pld;</v>
      </c>
      <c r="AP1984" s="89"/>
    </row>
    <row r="1985">
      <c r="A1985" s="151" t="str">
        <f>IFERROR(__xludf.DUMMYFUNCTION("""COMPUTED_VALUE"""),"Pint")</f>
        <v>Pint</v>
      </c>
      <c r="B1985" s="42" t="str">
        <f>IFERROR(__xludf.DUMMYFUNCTION("""COMPUTED_VALUE"""),"DHBA")</f>
        <v>DHBA</v>
      </c>
      <c r="C1985" s="42" t="str">
        <f>IFERROR(__xludf.DUMMYFUNCTION("""COMPUTED_VALUE"""),"intermediate part of putamen")</f>
        <v>intermediate part of putamen</v>
      </c>
      <c r="D1985" s="42">
        <f>IFERROR(__xludf.DUMMYFUNCTION("""COMPUTED_VALUE"""),1875.0)</f>
        <v>1875</v>
      </c>
      <c r="E1985" s="39" t="str">
        <f>IFERROR(__xludf.DUMMYFUNCTION("""COMPUTED_VALUE"""),"intermediate part of putamen")</f>
        <v>intermediate part of putamen</v>
      </c>
      <c r="F1985" s="9" t="str">
        <f>IFERROR(__xludf.DUMMYFUNCTION("""COMPUTED_VALUE"""),"Br")</f>
        <v>Br</v>
      </c>
      <c r="G1985" s="9" t="str">
        <f>IFERROR(__xludf.DUMMYFUNCTION("""COMPUTED_VALUE"""),"F")</f>
        <v>F</v>
      </c>
      <c r="H1985" s="9" t="str">
        <f>IFERROR(__xludf.DUMMYFUNCTION("""COMPUTED_VALUE"""),"FGM")</f>
        <v>FGM</v>
      </c>
      <c r="I1985" s="9" t="str">
        <f>IFERROR(__xludf.DUMMYFUNCTION("""COMPUTED_VALUE"""),"Tel")</f>
        <v>Tel</v>
      </c>
      <c r="J1985" s="9" t="str">
        <f>IFERROR(__xludf.DUMMYFUNCTION("""COMPUTED_VALUE"""),"CN")</f>
        <v>CN</v>
      </c>
      <c r="K1985" s="9" t="str">
        <f>IFERROR(__xludf.DUMMYFUNCTION("""COMPUTED_VALUE"""),"BN")</f>
        <v>BN</v>
      </c>
      <c r="L1985" s="9" t="str">
        <f>IFERROR(__xludf.DUMMYFUNCTION("""COMPUTED_VALUE"""),"STR")</f>
        <v>STR</v>
      </c>
      <c r="M1985" s="9" t="str">
        <f>IFERROR(__xludf.DUMMYFUNCTION("""COMPUTED_VALUE"""),"Pu")</f>
        <v>Pu</v>
      </c>
      <c r="N1985" s="9" t="str">
        <f>IFERROR(__xludf.DUMMYFUNCTION("""COMPUTED_VALUE"""),"PuC")</f>
        <v>PuC</v>
      </c>
      <c r="O1985" s="9" t="str">
        <f>IFERROR(__xludf.DUMMYFUNCTION("""COMPUTED_VALUE"""),"Pint")</f>
        <v>Pint</v>
      </c>
      <c r="P1985" s="9"/>
      <c r="Q1985" s="9"/>
      <c r="R1985" s="9"/>
      <c r="S1985" s="42"/>
      <c r="T1985" s="42"/>
      <c r="U1985" s="159"/>
      <c r="V1985" s="42"/>
      <c r="W1985" s="42"/>
      <c r="X1985" s="42"/>
      <c r="Y1985" s="42"/>
      <c r="Z1985" s="42"/>
      <c r="AA1985" s="42"/>
      <c r="AB1985" s="42" t="str">
        <f>IFERROR(__xludf.DUMMYFUNCTION("""COMPUTED_VALUE"""),"allen institute")</f>
        <v>allen institute</v>
      </c>
      <c r="AC1985" s="42" t="str">
        <f>IFERROR(__xludf.DUMMYFUNCTION("""COMPUTED_VALUE"""),"DHBA")</f>
        <v>DHBA</v>
      </c>
      <c r="AD1985" s="42"/>
      <c r="AE1985" s="42"/>
      <c r="AF1985" s="9"/>
      <c r="AG1985" s="9"/>
      <c r="AH1985" s="42"/>
      <c r="AI1985" s="42"/>
      <c r="AJ1985" s="42"/>
      <c r="AK1985" s="42"/>
      <c r="AL1985" s="42"/>
      <c r="AM1985" s="42"/>
      <c r="AN1985" s="42"/>
      <c r="AO1985" s="63" t="str">
        <f>IFERROR(__xludf.DUMMYFUNCTION("IF(ISBLANK(A1985),,IF(ISBLANK(S1985), A1985&amp;"";"", TEXTJOIN(CHAR(10), TRUE, A1985&amp;"";"", ARRAYFORMULA(VLOOKUP(SPLIT(S1985, "";"" &amp; CHAR(10)), $A:$AO, 41, FALSE)))))"),"Pint;")</f>
        <v>Pint;</v>
      </c>
      <c r="AP1985" s="89"/>
    </row>
    <row r="1986">
      <c r="A1986" s="151" t="str">
        <f>IFERROR(__xludf.DUMMYFUNCTION("""COMPUTED_VALUE"""),"Pmv")</f>
        <v>Pmv</v>
      </c>
      <c r="B1986" s="42" t="str">
        <f>IFERROR(__xludf.DUMMYFUNCTION("""COMPUTED_VALUE"""),"DHBA")</f>
        <v>DHBA</v>
      </c>
      <c r="C1986" s="42" t="str">
        <f>IFERROR(__xludf.DUMMYFUNCTION("""COMPUTED_VALUE"""),"medioventral part of putamen")</f>
        <v>medioventral part of putamen</v>
      </c>
      <c r="D1986" s="42">
        <f>IFERROR(__xludf.DUMMYFUNCTION("""COMPUTED_VALUE"""),1876.0)</f>
        <v>1876</v>
      </c>
      <c r="E1986" s="39" t="str">
        <f>IFERROR(__xludf.DUMMYFUNCTION("""COMPUTED_VALUE"""),"medioventral part of putamen")</f>
        <v>medioventral part of putamen</v>
      </c>
      <c r="F1986" s="9" t="str">
        <f>IFERROR(__xludf.DUMMYFUNCTION("""COMPUTED_VALUE"""),"Br")</f>
        <v>Br</v>
      </c>
      <c r="G1986" s="9" t="str">
        <f>IFERROR(__xludf.DUMMYFUNCTION("""COMPUTED_VALUE"""),"F")</f>
        <v>F</v>
      </c>
      <c r="H1986" s="9" t="str">
        <f>IFERROR(__xludf.DUMMYFUNCTION("""COMPUTED_VALUE"""),"FGM")</f>
        <v>FGM</v>
      </c>
      <c r="I1986" s="9" t="str">
        <f>IFERROR(__xludf.DUMMYFUNCTION("""COMPUTED_VALUE"""),"Tel")</f>
        <v>Tel</v>
      </c>
      <c r="J1986" s="9" t="str">
        <f>IFERROR(__xludf.DUMMYFUNCTION("""COMPUTED_VALUE"""),"CN")</f>
        <v>CN</v>
      </c>
      <c r="K1986" s="9" t="str">
        <f>IFERROR(__xludf.DUMMYFUNCTION("""COMPUTED_VALUE"""),"BN")</f>
        <v>BN</v>
      </c>
      <c r="L1986" s="9" t="str">
        <f>IFERROR(__xludf.DUMMYFUNCTION("""COMPUTED_VALUE"""),"STR")</f>
        <v>STR</v>
      </c>
      <c r="M1986" s="9" t="str">
        <f>IFERROR(__xludf.DUMMYFUNCTION("""COMPUTED_VALUE"""),"Pu")</f>
        <v>Pu</v>
      </c>
      <c r="N1986" s="9" t="str">
        <f>IFERROR(__xludf.DUMMYFUNCTION("""COMPUTED_VALUE"""),"PuC")</f>
        <v>PuC</v>
      </c>
      <c r="O1986" s="9" t="str">
        <f>IFERROR(__xludf.DUMMYFUNCTION("""COMPUTED_VALUE"""),"Pmv")</f>
        <v>Pmv</v>
      </c>
      <c r="P1986" s="9"/>
      <c r="Q1986" s="9"/>
      <c r="R1986" s="9"/>
      <c r="S1986" s="42"/>
      <c r="T1986" s="42"/>
      <c r="U1986" s="42"/>
      <c r="V1986" s="42"/>
      <c r="W1986" s="42"/>
      <c r="X1986" s="42"/>
      <c r="Y1986" s="42"/>
      <c r="Z1986" s="42"/>
      <c r="AA1986" s="42"/>
      <c r="AB1986" s="42" t="str">
        <f>IFERROR(__xludf.DUMMYFUNCTION("""COMPUTED_VALUE"""),"allen institute")</f>
        <v>allen institute</v>
      </c>
      <c r="AC1986" s="42" t="str">
        <f>IFERROR(__xludf.DUMMYFUNCTION("""COMPUTED_VALUE"""),"DHBA")</f>
        <v>DHBA</v>
      </c>
      <c r="AD1986" s="42"/>
      <c r="AE1986" s="42"/>
      <c r="AF1986" s="9"/>
      <c r="AG1986" s="9"/>
      <c r="AH1986" s="42"/>
      <c r="AI1986" s="42"/>
      <c r="AJ1986" s="42"/>
      <c r="AK1986" s="42"/>
      <c r="AL1986" s="42"/>
      <c r="AM1986" s="42"/>
      <c r="AN1986" s="42"/>
      <c r="AO1986" s="63" t="str">
        <f>IFERROR(__xludf.DUMMYFUNCTION("IF(ISBLANK(A1986),,IF(ISBLANK(S1986), A1986&amp;"";"", TEXTJOIN(CHAR(10), TRUE, A1986&amp;"";"", ARRAYFORMULA(VLOOKUP(SPLIT(S1986, "";"" &amp; CHAR(10)), $A:$AO, 41, FALSE)))))"),"Pmv;")</f>
        <v>Pmv;</v>
      </c>
      <c r="AP1986" s="89"/>
    </row>
    <row r="1987">
      <c r="A1987" s="151" t="str">
        <f>IFERROR(__xludf.DUMMYFUNCTION("""COMPUTED_VALUE"""),"PuPV")</f>
        <v>PuPV</v>
      </c>
      <c r="B1987" s="42" t="str">
        <f>IFERROR(__xludf.DUMMYFUNCTION("""COMPUTED_VALUE"""),"DHBA")</f>
        <v>DHBA</v>
      </c>
      <c r="C1987" s="42" t="str">
        <f>IFERROR(__xludf.DUMMYFUNCTION("""COMPUTED_VALUE"""),"posteroventral putamen")</f>
        <v>posteroventral putamen</v>
      </c>
      <c r="D1987" s="42">
        <f>IFERROR(__xludf.DUMMYFUNCTION("""COMPUTED_VALUE"""),1877.0)</f>
        <v>1877</v>
      </c>
      <c r="E1987" s="39" t="str">
        <f>IFERROR(__xludf.DUMMYFUNCTION("""COMPUTED_VALUE"""),"posteroventral putamen")</f>
        <v>posteroventral putamen</v>
      </c>
      <c r="F1987" s="9" t="str">
        <f>IFERROR(__xludf.DUMMYFUNCTION("""COMPUTED_VALUE"""),"Br")</f>
        <v>Br</v>
      </c>
      <c r="G1987" s="9" t="str">
        <f>IFERROR(__xludf.DUMMYFUNCTION("""COMPUTED_VALUE"""),"F")</f>
        <v>F</v>
      </c>
      <c r="H1987" s="9" t="str">
        <f>IFERROR(__xludf.DUMMYFUNCTION("""COMPUTED_VALUE"""),"FGM")</f>
        <v>FGM</v>
      </c>
      <c r="I1987" s="9" t="str">
        <f>IFERROR(__xludf.DUMMYFUNCTION("""COMPUTED_VALUE"""),"Tel")</f>
        <v>Tel</v>
      </c>
      <c r="J1987" s="9" t="str">
        <f>IFERROR(__xludf.DUMMYFUNCTION("""COMPUTED_VALUE"""),"CN")</f>
        <v>CN</v>
      </c>
      <c r="K1987" s="9" t="str">
        <f>IFERROR(__xludf.DUMMYFUNCTION("""COMPUTED_VALUE"""),"BN")</f>
        <v>BN</v>
      </c>
      <c r="L1987" s="9" t="str">
        <f>IFERROR(__xludf.DUMMYFUNCTION("""COMPUTED_VALUE"""),"STR")</f>
        <v>STR</v>
      </c>
      <c r="M1987" s="9" t="str">
        <f>IFERROR(__xludf.DUMMYFUNCTION("""COMPUTED_VALUE"""),"Pu")</f>
        <v>Pu</v>
      </c>
      <c r="N1987" s="9" t="str">
        <f>IFERROR(__xludf.DUMMYFUNCTION("""COMPUTED_VALUE"""),"PuPV")</f>
        <v>PuPV</v>
      </c>
      <c r="O1987" s="9"/>
      <c r="P1987" s="9"/>
      <c r="Q1987" s="9"/>
      <c r="R1987" s="9"/>
      <c r="S1987" s="42"/>
      <c r="T1987" s="42"/>
      <c r="U1987" s="42"/>
      <c r="V1987" s="42"/>
      <c r="W1987" s="42"/>
      <c r="X1987" s="42"/>
      <c r="Y1987" s="42"/>
      <c r="Z1987" s="42"/>
      <c r="AA1987" s="42"/>
      <c r="AB1987" s="42" t="str">
        <f>IFERROR(__xludf.DUMMYFUNCTION("""COMPUTED_VALUE"""),"allen institute")</f>
        <v>allen institute</v>
      </c>
      <c r="AC1987" s="42" t="str">
        <f>IFERROR(__xludf.DUMMYFUNCTION("""COMPUTED_VALUE"""),"DHBA")</f>
        <v>DHBA</v>
      </c>
      <c r="AD1987" s="42"/>
      <c r="AE1987" s="42"/>
      <c r="AF1987" s="9"/>
      <c r="AG1987" s="9"/>
      <c r="AH1987" s="42"/>
      <c r="AI1987" s="42"/>
      <c r="AJ1987" s="42"/>
      <c r="AK1987" s="42"/>
      <c r="AL1987" s="42"/>
      <c r="AM1987" s="42"/>
      <c r="AN1987" s="42"/>
      <c r="AO1987" s="63" t="str">
        <f>IFERROR(__xludf.DUMMYFUNCTION("IF(ISBLANK(A1987),,IF(ISBLANK(S1987), A1987&amp;"";"", TEXTJOIN(CHAR(10), TRUE, A1987&amp;"";"", ARRAYFORMULA(VLOOKUP(SPLIT(S1987, "";"" &amp; CHAR(10)), $A:$AO, 41, FALSE)))))"),"PuPV;")</f>
        <v>PuPV;</v>
      </c>
      <c r="AP1987" s="89"/>
    </row>
    <row r="1988">
      <c r="A1988" s="151" t="str">
        <f>IFERROR(__xludf.DUMMYFUNCTION("""COMPUTED_VALUE"""),"PuMG")</f>
        <v>PuMG</v>
      </c>
      <c r="B1988" s="42" t="str">
        <f>IFERROR(__xludf.DUMMYFUNCTION("""COMPUTED_VALUE"""),"DHBA")</f>
        <v>DHBA</v>
      </c>
      <c r="C1988" s="42" t="str">
        <f>IFERROR(__xludf.DUMMYFUNCTION("""COMPUTED_VALUE"""),"marginal subdivision (cell groups) of putamen")</f>
        <v>marginal subdivision (cell groups) of putamen</v>
      </c>
      <c r="D1988" s="42">
        <f>IFERROR(__xludf.DUMMYFUNCTION("""COMPUTED_VALUE"""),1878.0)</f>
        <v>1878</v>
      </c>
      <c r="E1988" s="39" t="str">
        <f>IFERROR(__xludf.DUMMYFUNCTION("""COMPUTED_VALUE"""),"marginal subdivision (cell groups) of putamen")</f>
        <v>marginal subdivision (cell groups) of putamen</v>
      </c>
      <c r="F1988" s="9" t="str">
        <f>IFERROR(__xludf.DUMMYFUNCTION("""COMPUTED_VALUE"""),"Br")</f>
        <v>Br</v>
      </c>
      <c r="G1988" s="9" t="str">
        <f>IFERROR(__xludf.DUMMYFUNCTION("""COMPUTED_VALUE"""),"F")</f>
        <v>F</v>
      </c>
      <c r="H1988" s="9" t="str">
        <f>IFERROR(__xludf.DUMMYFUNCTION("""COMPUTED_VALUE"""),"FGM")</f>
        <v>FGM</v>
      </c>
      <c r="I1988" s="9" t="str">
        <f>IFERROR(__xludf.DUMMYFUNCTION("""COMPUTED_VALUE"""),"Tel")</f>
        <v>Tel</v>
      </c>
      <c r="J1988" s="9" t="str">
        <f>IFERROR(__xludf.DUMMYFUNCTION("""COMPUTED_VALUE"""),"CN")</f>
        <v>CN</v>
      </c>
      <c r="K1988" s="9" t="str">
        <f>IFERROR(__xludf.DUMMYFUNCTION("""COMPUTED_VALUE"""),"BN")</f>
        <v>BN</v>
      </c>
      <c r="L1988" s="9" t="str">
        <f>IFERROR(__xludf.DUMMYFUNCTION("""COMPUTED_VALUE"""),"STR")</f>
        <v>STR</v>
      </c>
      <c r="M1988" s="9" t="str">
        <f>IFERROR(__xludf.DUMMYFUNCTION("""COMPUTED_VALUE"""),"Pu")</f>
        <v>Pu</v>
      </c>
      <c r="N1988" s="9" t="str">
        <f>IFERROR(__xludf.DUMMYFUNCTION("""COMPUTED_VALUE"""),"PuMG")</f>
        <v>PuMG</v>
      </c>
      <c r="O1988" s="9"/>
      <c r="P1988" s="9"/>
      <c r="Q1988" s="9"/>
      <c r="R1988" s="9"/>
      <c r="S1988" s="42"/>
      <c r="T1988" s="42"/>
      <c r="U1988" s="42"/>
      <c r="V1988" s="42"/>
      <c r="W1988" s="42"/>
      <c r="X1988" s="42"/>
      <c r="Y1988" s="42"/>
      <c r="Z1988" s="42"/>
      <c r="AA1988" s="42"/>
      <c r="AB1988" s="42" t="str">
        <f>IFERROR(__xludf.DUMMYFUNCTION("""COMPUTED_VALUE"""),"allen institute")</f>
        <v>allen institute</v>
      </c>
      <c r="AC1988" s="42" t="str">
        <f>IFERROR(__xludf.DUMMYFUNCTION("""COMPUTED_VALUE"""),"DHBA")</f>
        <v>DHBA</v>
      </c>
      <c r="AD1988" s="42"/>
      <c r="AE1988" s="42"/>
      <c r="AF1988" s="9"/>
      <c r="AG1988" s="9"/>
      <c r="AH1988" s="42"/>
      <c r="AI1988" s="42"/>
      <c r="AJ1988" s="42"/>
      <c r="AK1988" s="42"/>
      <c r="AL1988" s="42"/>
      <c r="AM1988" s="42"/>
      <c r="AN1988" s="42"/>
      <c r="AO1988" s="63" t="str">
        <f>IFERROR(__xludf.DUMMYFUNCTION("IF(ISBLANK(A1988),,IF(ISBLANK(S1988), A1988&amp;"";"", TEXTJOIN(CHAR(10), TRUE, A1988&amp;"";"", ARRAYFORMULA(VLOOKUP(SPLIT(S1988, "";"" &amp; CHAR(10)), $A:$AO, 41, FALSE)))))"),"PuMG;")</f>
        <v>PuMG;</v>
      </c>
      <c r="AP1988" s="89"/>
    </row>
    <row r="1989">
      <c r="A1989" s="151" t="str">
        <f>IFERROR(__xludf.DUMMYFUNCTION("""COMPUTED_VALUE"""),"NAC")</f>
        <v>NAC</v>
      </c>
      <c r="B1989" s="42" t="str">
        <f>IFERROR(__xludf.DUMMYFUNCTION("""COMPUTED_VALUE"""),"DHBA")</f>
        <v>DHBA</v>
      </c>
      <c r="C1989" s="42" t="str">
        <f>IFERROR(__xludf.DUMMYFUNCTION("""COMPUTED_VALUE"""),"nucleus accumbens")</f>
        <v>nucleus accumbens</v>
      </c>
      <c r="D1989" s="42">
        <f>IFERROR(__xludf.DUMMYFUNCTION("""COMPUTED_VALUE"""),1879.0)</f>
        <v>1879</v>
      </c>
      <c r="E1989" s="39" t="str">
        <f>IFERROR(__xludf.DUMMYFUNCTION("""COMPUTED_VALUE"""),"nucleus accumbens")</f>
        <v>nucleus accumbens</v>
      </c>
      <c r="F1989" s="9" t="str">
        <f>IFERROR(__xludf.DUMMYFUNCTION("""COMPUTED_VALUE"""),"Br")</f>
        <v>Br</v>
      </c>
      <c r="G1989" s="9" t="str">
        <f>IFERROR(__xludf.DUMMYFUNCTION("""COMPUTED_VALUE"""),"F")</f>
        <v>F</v>
      </c>
      <c r="H1989" s="9" t="str">
        <f>IFERROR(__xludf.DUMMYFUNCTION("""COMPUTED_VALUE"""),"FGM")</f>
        <v>FGM</v>
      </c>
      <c r="I1989" s="9" t="str">
        <f>IFERROR(__xludf.DUMMYFUNCTION("""COMPUTED_VALUE"""),"Tel")</f>
        <v>Tel</v>
      </c>
      <c r="J1989" s="9" t="str">
        <f>IFERROR(__xludf.DUMMYFUNCTION("""COMPUTED_VALUE"""),"CN")</f>
        <v>CN</v>
      </c>
      <c r="K1989" s="9" t="str">
        <f>IFERROR(__xludf.DUMMYFUNCTION("""COMPUTED_VALUE"""),"BN")</f>
        <v>BN</v>
      </c>
      <c r="L1989" s="9" t="str">
        <f>IFERROR(__xludf.DUMMYFUNCTION("""COMPUTED_VALUE"""),"STR")</f>
        <v>STR</v>
      </c>
      <c r="M1989" s="9" t="str">
        <f>IFERROR(__xludf.DUMMYFUNCTION("""COMPUTED_VALUE"""),"NAC")</f>
        <v>NAC</v>
      </c>
      <c r="N1989" s="9"/>
      <c r="O1989" s="9"/>
      <c r="P1989" s="9"/>
      <c r="Q1989" s="9"/>
      <c r="R1989" s="9"/>
      <c r="S1989" s="42" t="str">
        <f>IFERROR(__xludf.DUMMYFUNCTION("""COMPUTED_VALUE"""),"NACc;
NACs")</f>
        <v>NACc;
NACs</v>
      </c>
      <c r="T1989" s="42" t="str">
        <f>IFERROR(__xludf.DUMMYFUNCTION("""COMPUTED_VALUE"""),"STR")</f>
        <v>STR</v>
      </c>
      <c r="U1989" s="42" t="b">
        <f>IFERROR(__xludf.DUMMYFUNCTION("""COMPUTED_VALUE"""),FALSE)</f>
        <v>0</v>
      </c>
      <c r="V1989" s="42"/>
      <c r="W1989" s="42"/>
      <c r="X1989" s="42"/>
      <c r="Y1989" s="42"/>
      <c r="Z1989" s="42"/>
      <c r="AA1989" s="42"/>
      <c r="AB1989" s="42" t="str">
        <f>IFERROR(__xludf.DUMMYFUNCTION("""COMPUTED_VALUE"""),"allen institute")</f>
        <v>allen institute</v>
      </c>
      <c r="AC1989" s="42" t="str">
        <f>IFERROR(__xludf.DUMMYFUNCTION("""COMPUTED_VALUE"""),"DHBA")</f>
        <v>DHBA</v>
      </c>
      <c r="AD1989" s="42"/>
      <c r="AE1989" s="42"/>
      <c r="AF1989" s="9"/>
      <c r="AG1989" s="9"/>
      <c r="AH1989" s="42"/>
      <c r="AI1989" s="42"/>
      <c r="AJ1989" s="42"/>
      <c r="AK1989" s="42"/>
      <c r="AL1989" s="42"/>
      <c r="AM1989" s="42"/>
      <c r="AN1989" s="42"/>
      <c r="AO1989" s="63" t="str">
        <f>IFERROR(__xludf.DUMMYFUNCTION("IF(ISBLANK(A1989),,IF(ISBLANK(S1989), A1989&amp;"";"", TEXTJOIN(CHAR(10), TRUE, A1989&amp;"";"", ARRAYFORMULA(VLOOKUP(SPLIT(S1989, "";"" &amp; CHAR(10)), $A:$AO, 41, FALSE)))))"),"NAC;
NACc;
NACcl;
NACcm;
NACs;
NACsl;
NACsi;
NACsm;")</f>
        <v>NAC;
NACc;
NACcl;
NACcm;
NACs;
NACsl;
NACsi;
NACsm;</v>
      </c>
      <c r="AP1989" s="89"/>
    </row>
    <row r="1990">
      <c r="A1990" s="151" t="str">
        <f>IFERROR(__xludf.DUMMYFUNCTION("""COMPUTED_VALUE"""),"NACc")</f>
        <v>NACc</v>
      </c>
      <c r="B1990" s="42" t="str">
        <f>IFERROR(__xludf.DUMMYFUNCTION("""COMPUTED_VALUE"""),"DHBA")</f>
        <v>DHBA</v>
      </c>
      <c r="C1990" s="42" t="str">
        <f>IFERROR(__xludf.DUMMYFUNCTION("""COMPUTED_VALUE"""),"core of nucleus accumbens")</f>
        <v>core of nucleus accumbens</v>
      </c>
      <c r="D1990" s="42">
        <f>IFERROR(__xludf.DUMMYFUNCTION("""COMPUTED_VALUE"""),1880.0)</f>
        <v>1880</v>
      </c>
      <c r="E1990" s="39" t="str">
        <f>IFERROR(__xludf.DUMMYFUNCTION("""COMPUTED_VALUE"""),"core of nucleus accumbens")</f>
        <v>core of nucleus accumbens</v>
      </c>
      <c r="F1990" s="9" t="str">
        <f>IFERROR(__xludf.DUMMYFUNCTION("""COMPUTED_VALUE"""),"Br")</f>
        <v>Br</v>
      </c>
      <c r="G1990" s="9" t="str">
        <f>IFERROR(__xludf.DUMMYFUNCTION("""COMPUTED_VALUE"""),"F")</f>
        <v>F</v>
      </c>
      <c r="H1990" s="9" t="str">
        <f>IFERROR(__xludf.DUMMYFUNCTION("""COMPUTED_VALUE"""),"FGM")</f>
        <v>FGM</v>
      </c>
      <c r="I1990" s="9" t="str">
        <f>IFERROR(__xludf.DUMMYFUNCTION("""COMPUTED_VALUE"""),"Tel")</f>
        <v>Tel</v>
      </c>
      <c r="J1990" s="9" t="str">
        <f>IFERROR(__xludf.DUMMYFUNCTION("""COMPUTED_VALUE"""),"CN")</f>
        <v>CN</v>
      </c>
      <c r="K1990" s="9" t="str">
        <f>IFERROR(__xludf.DUMMYFUNCTION("""COMPUTED_VALUE"""),"BN")</f>
        <v>BN</v>
      </c>
      <c r="L1990" s="9" t="str">
        <f>IFERROR(__xludf.DUMMYFUNCTION("""COMPUTED_VALUE"""),"STR")</f>
        <v>STR</v>
      </c>
      <c r="M1990" s="9" t="str">
        <f>IFERROR(__xludf.DUMMYFUNCTION("""COMPUTED_VALUE"""),"NAC")</f>
        <v>NAC</v>
      </c>
      <c r="N1990" s="9" t="str">
        <f>IFERROR(__xludf.DUMMYFUNCTION("""COMPUTED_VALUE"""),"NACc")</f>
        <v>NACc</v>
      </c>
      <c r="O1990" s="9"/>
      <c r="P1990" s="9"/>
      <c r="Q1990" s="9"/>
      <c r="R1990" s="9"/>
      <c r="S1990" s="42" t="str">
        <f>IFERROR(__xludf.DUMMYFUNCTION("""COMPUTED_VALUE"""),"NACcl;
NACcm")</f>
        <v>NACcl;
NACcm</v>
      </c>
      <c r="T1990" s="42"/>
      <c r="U1990" s="159" t="b">
        <f>IFERROR(__xludf.DUMMYFUNCTION("""COMPUTED_VALUE"""),FALSE)</f>
        <v>0</v>
      </c>
      <c r="V1990" s="42"/>
      <c r="W1990" s="42"/>
      <c r="X1990" s="42"/>
      <c r="Y1990" s="42"/>
      <c r="Z1990" s="42"/>
      <c r="AA1990" s="42"/>
      <c r="AB1990" s="42" t="str">
        <f>IFERROR(__xludf.DUMMYFUNCTION("""COMPUTED_VALUE"""),"allen institute")</f>
        <v>allen institute</v>
      </c>
      <c r="AC1990" s="42" t="str">
        <f>IFERROR(__xludf.DUMMYFUNCTION("""COMPUTED_VALUE"""),"DHBA")</f>
        <v>DHBA</v>
      </c>
      <c r="AD1990" s="42"/>
      <c r="AE1990" s="42"/>
      <c r="AF1990" s="9"/>
      <c r="AG1990" s="9"/>
      <c r="AH1990" s="42"/>
      <c r="AI1990" s="42"/>
      <c r="AJ1990" s="42"/>
      <c r="AK1990" s="42"/>
      <c r="AL1990" s="42"/>
      <c r="AM1990" s="42"/>
      <c r="AN1990" s="42"/>
      <c r="AO1990" s="63" t="str">
        <f>IFERROR(__xludf.DUMMYFUNCTION("IF(ISBLANK(A1990),,IF(ISBLANK(S1990), A1990&amp;"";"", TEXTJOIN(CHAR(10), TRUE, A1990&amp;"";"", ARRAYFORMULA(VLOOKUP(SPLIT(S1990, "";"" &amp; CHAR(10)), $A:$AO, 41, FALSE)))))"),"NACc;
NACcl;
NACcm;")</f>
        <v>NACc;
NACcl;
NACcm;</v>
      </c>
      <c r="AP1990" s="89"/>
    </row>
    <row r="1991">
      <c r="A1991" s="151" t="str">
        <f>IFERROR(__xludf.DUMMYFUNCTION("""COMPUTED_VALUE"""),"NACcl")</f>
        <v>NACcl</v>
      </c>
      <c r="B1991" s="42" t="str">
        <f>IFERROR(__xludf.DUMMYFUNCTION("""COMPUTED_VALUE"""),"DHBA")</f>
        <v>DHBA</v>
      </c>
      <c r="C1991" s="42" t="str">
        <f>IFERROR(__xludf.DUMMYFUNCTION("""COMPUTED_VALUE"""),"lateral portion of the core")</f>
        <v>lateral portion of the core</v>
      </c>
      <c r="D1991" s="42">
        <f>IFERROR(__xludf.DUMMYFUNCTION("""COMPUTED_VALUE"""),1881.0)</f>
        <v>1881</v>
      </c>
      <c r="E1991" s="39" t="str">
        <f>IFERROR(__xludf.DUMMYFUNCTION("""COMPUTED_VALUE"""),"lateral portion of the core")</f>
        <v>lateral portion of the core</v>
      </c>
      <c r="F1991" s="9" t="str">
        <f>IFERROR(__xludf.DUMMYFUNCTION("""COMPUTED_VALUE"""),"Br")</f>
        <v>Br</v>
      </c>
      <c r="G1991" s="9" t="str">
        <f>IFERROR(__xludf.DUMMYFUNCTION("""COMPUTED_VALUE"""),"F")</f>
        <v>F</v>
      </c>
      <c r="H1991" s="9" t="str">
        <f>IFERROR(__xludf.DUMMYFUNCTION("""COMPUTED_VALUE"""),"FGM")</f>
        <v>FGM</v>
      </c>
      <c r="I1991" s="9" t="str">
        <f>IFERROR(__xludf.DUMMYFUNCTION("""COMPUTED_VALUE"""),"Tel")</f>
        <v>Tel</v>
      </c>
      <c r="J1991" s="9" t="str">
        <f>IFERROR(__xludf.DUMMYFUNCTION("""COMPUTED_VALUE"""),"CN")</f>
        <v>CN</v>
      </c>
      <c r="K1991" s="9" t="str">
        <f>IFERROR(__xludf.DUMMYFUNCTION("""COMPUTED_VALUE"""),"BN")</f>
        <v>BN</v>
      </c>
      <c r="L1991" s="9" t="str">
        <f>IFERROR(__xludf.DUMMYFUNCTION("""COMPUTED_VALUE"""),"STR")</f>
        <v>STR</v>
      </c>
      <c r="M1991" s="9" t="str">
        <f>IFERROR(__xludf.DUMMYFUNCTION("""COMPUTED_VALUE"""),"NAC")</f>
        <v>NAC</v>
      </c>
      <c r="N1991" s="9" t="str">
        <f>IFERROR(__xludf.DUMMYFUNCTION("""COMPUTED_VALUE"""),"NACc")</f>
        <v>NACc</v>
      </c>
      <c r="O1991" s="9" t="str">
        <f>IFERROR(__xludf.DUMMYFUNCTION("""COMPUTED_VALUE"""),"NACcl")</f>
        <v>NACcl</v>
      </c>
      <c r="P1991" s="9"/>
      <c r="Q1991" s="9"/>
      <c r="R1991" s="9"/>
      <c r="S1991" s="42"/>
      <c r="T1991" s="42"/>
      <c r="U1991" s="42"/>
      <c r="V1991" s="42"/>
      <c r="W1991" s="42"/>
      <c r="X1991" s="42"/>
      <c r="Y1991" s="42"/>
      <c r="Z1991" s="42"/>
      <c r="AA1991" s="42"/>
      <c r="AB1991" s="42" t="str">
        <f>IFERROR(__xludf.DUMMYFUNCTION("""COMPUTED_VALUE"""),"allen institute")</f>
        <v>allen institute</v>
      </c>
      <c r="AC1991" s="42" t="str">
        <f>IFERROR(__xludf.DUMMYFUNCTION("""COMPUTED_VALUE"""),"DHBA")</f>
        <v>DHBA</v>
      </c>
      <c r="AD1991" s="42"/>
      <c r="AE1991" s="42"/>
      <c r="AF1991" s="9"/>
      <c r="AG1991" s="9"/>
      <c r="AH1991" s="42"/>
      <c r="AI1991" s="42"/>
      <c r="AJ1991" s="42"/>
      <c r="AK1991" s="42"/>
      <c r="AL1991" s="42"/>
      <c r="AM1991" s="42"/>
      <c r="AN1991" s="42"/>
      <c r="AO1991" s="63" t="str">
        <f>IFERROR(__xludf.DUMMYFUNCTION("IF(ISBLANK(A1991),,IF(ISBLANK(S1991), A1991&amp;"";"", TEXTJOIN(CHAR(10), TRUE, A1991&amp;"";"", ARRAYFORMULA(VLOOKUP(SPLIT(S1991, "";"" &amp; CHAR(10)), $A:$AO, 41, FALSE)))))"),"NACcl;")</f>
        <v>NACcl;</v>
      </c>
      <c r="AP1991" s="89"/>
    </row>
    <row r="1992">
      <c r="A1992" s="151" t="str">
        <f>IFERROR(__xludf.DUMMYFUNCTION("""COMPUTED_VALUE"""),"NACcm")</f>
        <v>NACcm</v>
      </c>
      <c r="B1992" s="42" t="str">
        <f>IFERROR(__xludf.DUMMYFUNCTION("""COMPUTED_VALUE"""),"DHBA")</f>
        <v>DHBA</v>
      </c>
      <c r="C1992" s="42" t="str">
        <f>IFERROR(__xludf.DUMMYFUNCTION("""COMPUTED_VALUE"""),"medial portion of the core")</f>
        <v>medial portion of the core</v>
      </c>
      <c r="D1992" s="42">
        <f>IFERROR(__xludf.DUMMYFUNCTION("""COMPUTED_VALUE"""),1882.0)</f>
        <v>1882</v>
      </c>
      <c r="E1992" s="39" t="str">
        <f>IFERROR(__xludf.DUMMYFUNCTION("""COMPUTED_VALUE"""),"medial portion of the core")</f>
        <v>medial portion of the core</v>
      </c>
      <c r="F1992" s="9" t="str">
        <f>IFERROR(__xludf.DUMMYFUNCTION("""COMPUTED_VALUE"""),"Br")</f>
        <v>Br</v>
      </c>
      <c r="G1992" s="9" t="str">
        <f>IFERROR(__xludf.DUMMYFUNCTION("""COMPUTED_VALUE"""),"F")</f>
        <v>F</v>
      </c>
      <c r="H1992" s="9" t="str">
        <f>IFERROR(__xludf.DUMMYFUNCTION("""COMPUTED_VALUE"""),"FGM")</f>
        <v>FGM</v>
      </c>
      <c r="I1992" s="9" t="str">
        <f>IFERROR(__xludf.DUMMYFUNCTION("""COMPUTED_VALUE"""),"Tel")</f>
        <v>Tel</v>
      </c>
      <c r="J1992" s="9" t="str">
        <f>IFERROR(__xludf.DUMMYFUNCTION("""COMPUTED_VALUE"""),"CN")</f>
        <v>CN</v>
      </c>
      <c r="K1992" s="9" t="str">
        <f>IFERROR(__xludf.DUMMYFUNCTION("""COMPUTED_VALUE"""),"BN")</f>
        <v>BN</v>
      </c>
      <c r="L1992" s="9" t="str">
        <f>IFERROR(__xludf.DUMMYFUNCTION("""COMPUTED_VALUE"""),"STR")</f>
        <v>STR</v>
      </c>
      <c r="M1992" s="9" t="str">
        <f>IFERROR(__xludf.DUMMYFUNCTION("""COMPUTED_VALUE"""),"NAC")</f>
        <v>NAC</v>
      </c>
      <c r="N1992" s="9" t="str">
        <f>IFERROR(__xludf.DUMMYFUNCTION("""COMPUTED_VALUE"""),"NACc")</f>
        <v>NACc</v>
      </c>
      <c r="O1992" s="9" t="str">
        <f>IFERROR(__xludf.DUMMYFUNCTION("""COMPUTED_VALUE"""),"NACcm")</f>
        <v>NACcm</v>
      </c>
      <c r="P1992" s="9"/>
      <c r="Q1992" s="9"/>
      <c r="R1992" s="9"/>
      <c r="S1992" s="42"/>
      <c r="T1992" s="42"/>
      <c r="U1992" s="42"/>
      <c r="V1992" s="42"/>
      <c r="W1992" s="42"/>
      <c r="X1992" s="42"/>
      <c r="Y1992" s="42"/>
      <c r="Z1992" s="42"/>
      <c r="AA1992" s="42"/>
      <c r="AB1992" s="42" t="str">
        <f>IFERROR(__xludf.DUMMYFUNCTION("""COMPUTED_VALUE"""),"allen institute")</f>
        <v>allen institute</v>
      </c>
      <c r="AC1992" s="42" t="str">
        <f>IFERROR(__xludf.DUMMYFUNCTION("""COMPUTED_VALUE"""),"DHBA")</f>
        <v>DHBA</v>
      </c>
      <c r="AD1992" s="42"/>
      <c r="AE1992" s="42"/>
      <c r="AF1992" s="9"/>
      <c r="AG1992" s="9"/>
      <c r="AH1992" s="42"/>
      <c r="AI1992" s="42"/>
      <c r="AJ1992" s="42"/>
      <c r="AK1992" s="42"/>
      <c r="AL1992" s="42"/>
      <c r="AM1992" s="42"/>
      <c r="AN1992" s="42"/>
      <c r="AO1992" s="63" t="str">
        <f>IFERROR(__xludf.DUMMYFUNCTION("IF(ISBLANK(A1992),,IF(ISBLANK(S1992), A1992&amp;"";"", TEXTJOIN(CHAR(10), TRUE, A1992&amp;"";"", ARRAYFORMULA(VLOOKUP(SPLIT(S1992, "";"" &amp; CHAR(10)), $A:$AO, 41, FALSE)))))"),"NACcm;")</f>
        <v>NACcm;</v>
      </c>
      <c r="AP1992" s="89"/>
    </row>
    <row r="1993">
      <c r="A1993" s="151" t="str">
        <f>IFERROR(__xludf.DUMMYFUNCTION("""COMPUTED_VALUE"""),"NACs")</f>
        <v>NACs</v>
      </c>
      <c r="B1993" s="42" t="str">
        <f>IFERROR(__xludf.DUMMYFUNCTION("""COMPUTED_VALUE"""),"DHBA")</f>
        <v>DHBA</v>
      </c>
      <c r="C1993" s="42" t="str">
        <f>IFERROR(__xludf.DUMMYFUNCTION("""COMPUTED_VALUE"""),"shell of nucleus accumbens")</f>
        <v>shell of nucleus accumbens</v>
      </c>
      <c r="D1993" s="42">
        <f>IFERROR(__xludf.DUMMYFUNCTION("""COMPUTED_VALUE"""),1883.0)</f>
        <v>1883</v>
      </c>
      <c r="E1993" s="39" t="str">
        <f>IFERROR(__xludf.DUMMYFUNCTION("""COMPUTED_VALUE"""),"shell of nucleus accumbens")</f>
        <v>shell of nucleus accumbens</v>
      </c>
      <c r="F1993" s="9" t="str">
        <f>IFERROR(__xludf.DUMMYFUNCTION("""COMPUTED_VALUE"""),"Br")</f>
        <v>Br</v>
      </c>
      <c r="G1993" s="9" t="str">
        <f>IFERROR(__xludf.DUMMYFUNCTION("""COMPUTED_VALUE"""),"F")</f>
        <v>F</v>
      </c>
      <c r="H1993" s="9" t="str">
        <f>IFERROR(__xludf.DUMMYFUNCTION("""COMPUTED_VALUE"""),"FGM")</f>
        <v>FGM</v>
      </c>
      <c r="I1993" s="9" t="str">
        <f>IFERROR(__xludf.DUMMYFUNCTION("""COMPUTED_VALUE"""),"Tel")</f>
        <v>Tel</v>
      </c>
      <c r="J1993" s="9" t="str">
        <f>IFERROR(__xludf.DUMMYFUNCTION("""COMPUTED_VALUE"""),"CN")</f>
        <v>CN</v>
      </c>
      <c r="K1993" s="9" t="str">
        <f>IFERROR(__xludf.DUMMYFUNCTION("""COMPUTED_VALUE"""),"BN")</f>
        <v>BN</v>
      </c>
      <c r="L1993" s="9" t="str">
        <f>IFERROR(__xludf.DUMMYFUNCTION("""COMPUTED_VALUE"""),"STR")</f>
        <v>STR</v>
      </c>
      <c r="M1993" s="9" t="str">
        <f>IFERROR(__xludf.DUMMYFUNCTION("""COMPUTED_VALUE"""),"NAC")</f>
        <v>NAC</v>
      </c>
      <c r="N1993" s="9" t="str">
        <f>IFERROR(__xludf.DUMMYFUNCTION("""COMPUTED_VALUE"""),"NACs")</f>
        <v>NACs</v>
      </c>
      <c r="O1993" s="9"/>
      <c r="P1993" s="9"/>
      <c r="Q1993" s="9"/>
      <c r="R1993" s="9"/>
      <c r="S1993" s="42" t="str">
        <f>IFERROR(__xludf.DUMMYFUNCTION("""COMPUTED_VALUE"""),"NACsl;
NACsi;
NACsm")</f>
        <v>NACsl;
NACsi;
NACsm</v>
      </c>
      <c r="T1993" s="42"/>
      <c r="U1993" s="42" t="b">
        <f>IFERROR(__xludf.DUMMYFUNCTION("""COMPUTED_VALUE"""),FALSE)</f>
        <v>0</v>
      </c>
      <c r="V1993" s="42"/>
      <c r="W1993" s="42"/>
      <c r="X1993" s="42"/>
      <c r="Y1993" s="42"/>
      <c r="Z1993" s="42"/>
      <c r="AA1993" s="42"/>
      <c r="AB1993" s="42" t="str">
        <f>IFERROR(__xludf.DUMMYFUNCTION("""COMPUTED_VALUE"""),"allen institute")</f>
        <v>allen institute</v>
      </c>
      <c r="AC1993" s="42" t="str">
        <f>IFERROR(__xludf.DUMMYFUNCTION("""COMPUTED_VALUE"""),"DHBA")</f>
        <v>DHBA</v>
      </c>
      <c r="AD1993" s="42"/>
      <c r="AE1993" s="42"/>
      <c r="AF1993" s="9"/>
      <c r="AG1993" s="9"/>
      <c r="AH1993" s="42"/>
      <c r="AI1993" s="42"/>
      <c r="AJ1993" s="42"/>
      <c r="AK1993" s="42"/>
      <c r="AL1993" s="42"/>
      <c r="AM1993" s="42"/>
      <c r="AN1993" s="42"/>
      <c r="AO1993" s="63" t="str">
        <f>IFERROR(__xludf.DUMMYFUNCTION("IF(ISBLANK(A1993),,IF(ISBLANK(S1993), A1993&amp;"";"", TEXTJOIN(CHAR(10), TRUE, A1993&amp;"";"", ARRAYFORMULA(VLOOKUP(SPLIT(S1993, "";"" &amp; CHAR(10)), $A:$AO, 41, FALSE)))))"),"NACs;
NACsl;
NACsi;
NACsm;")</f>
        <v>NACs;
NACsl;
NACsi;
NACsm;</v>
      </c>
      <c r="AP1993" s="89"/>
    </row>
    <row r="1994">
      <c r="A1994" s="151" t="str">
        <f>IFERROR(__xludf.DUMMYFUNCTION("""COMPUTED_VALUE"""),"NACsl")</f>
        <v>NACsl</v>
      </c>
      <c r="B1994" s="42" t="str">
        <f>IFERROR(__xludf.DUMMYFUNCTION("""COMPUTED_VALUE"""),"DHBA")</f>
        <v>DHBA</v>
      </c>
      <c r="C1994" s="42" t="str">
        <f>IFERROR(__xludf.DUMMYFUNCTION("""COMPUTED_VALUE"""),"lateral portion of the shell")</f>
        <v>lateral portion of the shell</v>
      </c>
      <c r="D1994" s="42">
        <f>IFERROR(__xludf.DUMMYFUNCTION("""COMPUTED_VALUE"""),1884.0)</f>
        <v>1884</v>
      </c>
      <c r="E1994" s="39" t="str">
        <f>IFERROR(__xludf.DUMMYFUNCTION("""COMPUTED_VALUE"""),"lateral portion of the shell")</f>
        <v>lateral portion of the shell</v>
      </c>
      <c r="F1994" s="9" t="str">
        <f>IFERROR(__xludf.DUMMYFUNCTION("""COMPUTED_VALUE"""),"Br")</f>
        <v>Br</v>
      </c>
      <c r="G1994" s="9" t="str">
        <f>IFERROR(__xludf.DUMMYFUNCTION("""COMPUTED_VALUE"""),"F")</f>
        <v>F</v>
      </c>
      <c r="H1994" s="9" t="str">
        <f>IFERROR(__xludf.DUMMYFUNCTION("""COMPUTED_VALUE"""),"FGM")</f>
        <v>FGM</v>
      </c>
      <c r="I1994" s="9" t="str">
        <f>IFERROR(__xludf.DUMMYFUNCTION("""COMPUTED_VALUE"""),"Tel")</f>
        <v>Tel</v>
      </c>
      <c r="J1994" s="9" t="str">
        <f>IFERROR(__xludf.DUMMYFUNCTION("""COMPUTED_VALUE"""),"CN")</f>
        <v>CN</v>
      </c>
      <c r="K1994" s="9" t="str">
        <f>IFERROR(__xludf.DUMMYFUNCTION("""COMPUTED_VALUE"""),"BN")</f>
        <v>BN</v>
      </c>
      <c r="L1994" s="9" t="str">
        <f>IFERROR(__xludf.DUMMYFUNCTION("""COMPUTED_VALUE"""),"STR")</f>
        <v>STR</v>
      </c>
      <c r="M1994" s="9" t="str">
        <f>IFERROR(__xludf.DUMMYFUNCTION("""COMPUTED_VALUE"""),"NAC")</f>
        <v>NAC</v>
      </c>
      <c r="N1994" s="9" t="str">
        <f>IFERROR(__xludf.DUMMYFUNCTION("""COMPUTED_VALUE"""),"NACs")</f>
        <v>NACs</v>
      </c>
      <c r="O1994" s="9" t="str">
        <f>IFERROR(__xludf.DUMMYFUNCTION("""COMPUTED_VALUE"""),"NACsl")</f>
        <v>NACsl</v>
      </c>
      <c r="P1994" s="9"/>
      <c r="Q1994" s="9"/>
      <c r="R1994" s="9"/>
      <c r="S1994" s="42"/>
      <c r="T1994" s="42"/>
      <c r="U1994" s="42"/>
      <c r="V1994" s="42"/>
      <c r="W1994" s="42"/>
      <c r="X1994" s="42"/>
      <c r="Y1994" s="42"/>
      <c r="Z1994" s="42"/>
      <c r="AA1994" s="42"/>
      <c r="AB1994" s="42" t="str">
        <f>IFERROR(__xludf.DUMMYFUNCTION("""COMPUTED_VALUE"""),"allen institute")</f>
        <v>allen institute</v>
      </c>
      <c r="AC1994" s="42" t="str">
        <f>IFERROR(__xludf.DUMMYFUNCTION("""COMPUTED_VALUE"""),"DHBA")</f>
        <v>DHBA</v>
      </c>
      <c r="AD1994" s="42"/>
      <c r="AE1994" s="42"/>
      <c r="AF1994" s="9"/>
      <c r="AG1994" s="9"/>
      <c r="AH1994" s="42"/>
      <c r="AI1994" s="42"/>
      <c r="AJ1994" s="42"/>
      <c r="AK1994" s="42"/>
      <c r="AL1994" s="42"/>
      <c r="AM1994" s="42"/>
      <c r="AN1994" s="42"/>
      <c r="AO1994" s="63" t="str">
        <f>IFERROR(__xludf.DUMMYFUNCTION("IF(ISBLANK(A1994),,IF(ISBLANK(S1994), A1994&amp;"";"", TEXTJOIN(CHAR(10), TRUE, A1994&amp;"";"", ARRAYFORMULA(VLOOKUP(SPLIT(S1994, "";"" &amp; CHAR(10)), $A:$AO, 41, FALSE)))))"),"NACsl;")</f>
        <v>NACsl;</v>
      </c>
      <c r="AP1994" s="89"/>
    </row>
    <row r="1995">
      <c r="A1995" s="151" t="str">
        <f>IFERROR(__xludf.DUMMYFUNCTION("""COMPUTED_VALUE"""),"NACsi")</f>
        <v>NACsi</v>
      </c>
      <c r="B1995" s="42" t="str">
        <f>IFERROR(__xludf.DUMMYFUNCTION("""COMPUTED_VALUE"""),"DHBA")</f>
        <v>DHBA</v>
      </c>
      <c r="C1995" s="42" t="str">
        <f>IFERROR(__xludf.DUMMYFUNCTION("""COMPUTED_VALUE"""),"intermediate portion of the shell")</f>
        <v>intermediate portion of the shell</v>
      </c>
      <c r="D1995" s="42">
        <f>IFERROR(__xludf.DUMMYFUNCTION("""COMPUTED_VALUE"""),1885.0)</f>
        <v>1885</v>
      </c>
      <c r="E1995" s="39" t="str">
        <f>IFERROR(__xludf.DUMMYFUNCTION("""COMPUTED_VALUE"""),"intermediate portion of the shell")</f>
        <v>intermediate portion of the shell</v>
      </c>
      <c r="F1995" s="9" t="str">
        <f>IFERROR(__xludf.DUMMYFUNCTION("""COMPUTED_VALUE"""),"Br")</f>
        <v>Br</v>
      </c>
      <c r="G1995" s="9" t="str">
        <f>IFERROR(__xludf.DUMMYFUNCTION("""COMPUTED_VALUE"""),"F")</f>
        <v>F</v>
      </c>
      <c r="H1995" s="9" t="str">
        <f>IFERROR(__xludf.DUMMYFUNCTION("""COMPUTED_VALUE"""),"FGM")</f>
        <v>FGM</v>
      </c>
      <c r="I1995" s="9" t="str">
        <f>IFERROR(__xludf.DUMMYFUNCTION("""COMPUTED_VALUE"""),"Tel")</f>
        <v>Tel</v>
      </c>
      <c r="J1995" s="9" t="str">
        <f>IFERROR(__xludf.DUMMYFUNCTION("""COMPUTED_VALUE"""),"CN")</f>
        <v>CN</v>
      </c>
      <c r="K1995" s="9" t="str">
        <f>IFERROR(__xludf.DUMMYFUNCTION("""COMPUTED_VALUE"""),"BN")</f>
        <v>BN</v>
      </c>
      <c r="L1995" s="9" t="str">
        <f>IFERROR(__xludf.DUMMYFUNCTION("""COMPUTED_VALUE"""),"STR")</f>
        <v>STR</v>
      </c>
      <c r="M1995" s="9" t="str">
        <f>IFERROR(__xludf.DUMMYFUNCTION("""COMPUTED_VALUE"""),"NAC")</f>
        <v>NAC</v>
      </c>
      <c r="N1995" s="9" t="str">
        <f>IFERROR(__xludf.DUMMYFUNCTION("""COMPUTED_VALUE"""),"NACs")</f>
        <v>NACs</v>
      </c>
      <c r="O1995" s="9" t="str">
        <f>IFERROR(__xludf.DUMMYFUNCTION("""COMPUTED_VALUE"""),"NACsi")</f>
        <v>NACsi</v>
      </c>
      <c r="P1995" s="9"/>
      <c r="Q1995" s="9"/>
      <c r="R1995" s="9"/>
      <c r="S1995" s="42"/>
      <c r="T1995" s="42"/>
      <c r="U1995" s="159"/>
      <c r="V1995" s="42"/>
      <c r="W1995" s="42"/>
      <c r="X1995" s="42"/>
      <c r="Y1995" s="42"/>
      <c r="Z1995" s="42"/>
      <c r="AA1995" s="42"/>
      <c r="AB1995" s="42" t="str">
        <f>IFERROR(__xludf.DUMMYFUNCTION("""COMPUTED_VALUE"""),"allen institute")</f>
        <v>allen institute</v>
      </c>
      <c r="AC1995" s="42" t="str">
        <f>IFERROR(__xludf.DUMMYFUNCTION("""COMPUTED_VALUE"""),"DHBA")</f>
        <v>DHBA</v>
      </c>
      <c r="AD1995" s="42"/>
      <c r="AE1995" s="42"/>
      <c r="AF1995" s="9"/>
      <c r="AG1995" s="9"/>
      <c r="AH1995" s="42"/>
      <c r="AI1995" s="42"/>
      <c r="AJ1995" s="42"/>
      <c r="AK1995" s="42"/>
      <c r="AL1995" s="42"/>
      <c r="AM1995" s="42"/>
      <c r="AN1995" s="42"/>
      <c r="AO1995" s="63" t="str">
        <f>IFERROR(__xludf.DUMMYFUNCTION("IF(ISBLANK(A1995),,IF(ISBLANK(S1995), A1995&amp;"";"", TEXTJOIN(CHAR(10), TRUE, A1995&amp;"";"", ARRAYFORMULA(VLOOKUP(SPLIT(S1995, "";"" &amp; CHAR(10)), $A:$AO, 41, FALSE)))))"),"NACsi;")</f>
        <v>NACsi;</v>
      </c>
      <c r="AP1995" s="89"/>
    </row>
    <row r="1996">
      <c r="A1996" s="151" t="str">
        <f>IFERROR(__xludf.DUMMYFUNCTION("""COMPUTED_VALUE"""),"NACsm")</f>
        <v>NACsm</v>
      </c>
      <c r="B1996" s="42" t="str">
        <f>IFERROR(__xludf.DUMMYFUNCTION("""COMPUTED_VALUE"""),"DHBA")</f>
        <v>DHBA</v>
      </c>
      <c r="C1996" s="42" t="str">
        <f>IFERROR(__xludf.DUMMYFUNCTION("""COMPUTED_VALUE"""),"medial portion of the shell")</f>
        <v>medial portion of the shell</v>
      </c>
      <c r="D1996" s="42">
        <f>IFERROR(__xludf.DUMMYFUNCTION("""COMPUTED_VALUE"""),1886.0)</f>
        <v>1886</v>
      </c>
      <c r="E1996" s="39" t="str">
        <f>IFERROR(__xludf.DUMMYFUNCTION("""COMPUTED_VALUE"""),"medial portion of the shell")</f>
        <v>medial portion of the shell</v>
      </c>
      <c r="F1996" s="9" t="str">
        <f>IFERROR(__xludf.DUMMYFUNCTION("""COMPUTED_VALUE"""),"Br")</f>
        <v>Br</v>
      </c>
      <c r="G1996" s="9" t="str">
        <f>IFERROR(__xludf.DUMMYFUNCTION("""COMPUTED_VALUE"""),"F")</f>
        <v>F</v>
      </c>
      <c r="H1996" s="9" t="str">
        <f>IFERROR(__xludf.DUMMYFUNCTION("""COMPUTED_VALUE"""),"FGM")</f>
        <v>FGM</v>
      </c>
      <c r="I1996" s="9" t="str">
        <f>IFERROR(__xludf.DUMMYFUNCTION("""COMPUTED_VALUE"""),"Tel")</f>
        <v>Tel</v>
      </c>
      <c r="J1996" s="9" t="str">
        <f>IFERROR(__xludf.DUMMYFUNCTION("""COMPUTED_VALUE"""),"CN")</f>
        <v>CN</v>
      </c>
      <c r="K1996" s="9" t="str">
        <f>IFERROR(__xludf.DUMMYFUNCTION("""COMPUTED_VALUE"""),"BN")</f>
        <v>BN</v>
      </c>
      <c r="L1996" s="9" t="str">
        <f>IFERROR(__xludf.DUMMYFUNCTION("""COMPUTED_VALUE"""),"STR")</f>
        <v>STR</v>
      </c>
      <c r="M1996" s="9" t="str">
        <f>IFERROR(__xludf.DUMMYFUNCTION("""COMPUTED_VALUE"""),"NAC")</f>
        <v>NAC</v>
      </c>
      <c r="N1996" s="9" t="str">
        <f>IFERROR(__xludf.DUMMYFUNCTION("""COMPUTED_VALUE"""),"NACs")</f>
        <v>NACs</v>
      </c>
      <c r="O1996" s="9" t="str">
        <f>IFERROR(__xludf.DUMMYFUNCTION("""COMPUTED_VALUE"""),"NACsm")</f>
        <v>NACsm</v>
      </c>
      <c r="P1996" s="9"/>
      <c r="Q1996" s="9"/>
      <c r="R1996" s="9"/>
      <c r="S1996" s="42"/>
      <c r="T1996" s="42"/>
      <c r="U1996" s="42"/>
      <c r="V1996" s="42"/>
      <c r="W1996" s="42"/>
      <c r="X1996" s="42"/>
      <c r="Y1996" s="42"/>
      <c r="Z1996" s="42"/>
      <c r="AA1996" s="42"/>
      <c r="AB1996" s="42" t="str">
        <f>IFERROR(__xludf.DUMMYFUNCTION("""COMPUTED_VALUE"""),"allen institute")</f>
        <v>allen institute</v>
      </c>
      <c r="AC1996" s="42" t="str">
        <f>IFERROR(__xludf.DUMMYFUNCTION("""COMPUTED_VALUE"""),"DHBA")</f>
        <v>DHBA</v>
      </c>
      <c r="AD1996" s="42"/>
      <c r="AE1996" s="42"/>
      <c r="AF1996" s="9"/>
      <c r="AG1996" s="9"/>
      <c r="AH1996" s="42"/>
      <c r="AI1996" s="42"/>
      <c r="AJ1996" s="42"/>
      <c r="AK1996" s="42"/>
      <c r="AL1996" s="42"/>
      <c r="AM1996" s="42"/>
      <c r="AN1996" s="42"/>
      <c r="AO1996" s="63" t="str">
        <f>IFERROR(__xludf.DUMMYFUNCTION("IF(ISBLANK(A1996),,IF(ISBLANK(S1996), A1996&amp;"";"", TEXTJOIN(CHAR(10), TRUE, A1996&amp;"";"", ARRAYFORMULA(VLOOKUP(SPLIT(S1996, "";"" &amp; CHAR(10)), $A:$AO, 41, FALSE)))))"),"NACsm;")</f>
        <v>NACsm;</v>
      </c>
      <c r="AP1996" s="89"/>
    </row>
    <row r="1997">
      <c r="A1997" s="151" t="str">
        <f>IFERROR(__xludf.DUMMYFUNCTION("""COMPUTED_VALUE"""),"GP")</f>
        <v>GP</v>
      </c>
      <c r="B1997" s="42" t="str">
        <f>IFERROR(__xludf.DUMMYFUNCTION("""COMPUTED_VALUE"""),"DHBA")</f>
        <v>DHBA</v>
      </c>
      <c r="C1997" s="42" t="str">
        <f>IFERROR(__xludf.DUMMYFUNCTION("""COMPUTED_VALUE""")," globus pallidus")</f>
        <v> globus pallidus</v>
      </c>
      <c r="D1997" s="42">
        <f>IFERROR(__xludf.DUMMYFUNCTION("""COMPUTED_VALUE"""),1887.0)</f>
        <v>1887</v>
      </c>
      <c r="E1997" s="39" t="str">
        <f>IFERROR(__xludf.DUMMYFUNCTION("""COMPUTED_VALUE"""),"globus pallidus")</f>
        <v>globus pallidus</v>
      </c>
      <c r="F1997" s="9" t="str">
        <f>IFERROR(__xludf.DUMMYFUNCTION("""COMPUTED_VALUE"""),"Br")</f>
        <v>Br</v>
      </c>
      <c r="G1997" s="9" t="str">
        <f>IFERROR(__xludf.DUMMYFUNCTION("""COMPUTED_VALUE"""),"F")</f>
        <v>F</v>
      </c>
      <c r="H1997" s="9" t="str">
        <f>IFERROR(__xludf.DUMMYFUNCTION("""COMPUTED_VALUE"""),"FGM")</f>
        <v>FGM</v>
      </c>
      <c r="I1997" s="9" t="str">
        <f>IFERROR(__xludf.DUMMYFUNCTION("""COMPUTED_VALUE"""),"Tel")</f>
        <v>Tel</v>
      </c>
      <c r="J1997" s="9" t="str">
        <f>IFERROR(__xludf.DUMMYFUNCTION("""COMPUTED_VALUE"""),"CN")</f>
        <v>CN</v>
      </c>
      <c r="K1997" s="9" t="str">
        <f>IFERROR(__xludf.DUMMYFUNCTION("""COMPUTED_VALUE"""),"BN")</f>
        <v>BN</v>
      </c>
      <c r="L1997" s="9" t="str">
        <f>IFERROR(__xludf.DUMMYFUNCTION("""COMPUTED_VALUE"""),"GP")</f>
        <v>GP</v>
      </c>
      <c r="M1997" s="9"/>
      <c r="N1997" s="9"/>
      <c r="O1997" s="9"/>
      <c r="P1997" s="9"/>
      <c r="Q1997" s="9"/>
      <c r="R1997" s="9"/>
      <c r="S1997" s="42" t="str">
        <f>IFERROR(__xludf.DUMMYFUNCTION("""COMPUTED_VALUE"""),"GPe;
GPi;
EnPN;
VeP")</f>
        <v>GPe;
GPi;
EnPN;
VeP</v>
      </c>
      <c r="T1997" s="42"/>
      <c r="U1997" s="42" t="b">
        <f>IFERROR(__xludf.DUMMYFUNCTION("""COMPUTED_VALUE"""),FALSE)</f>
        <v>0</v>
      </c>
      <c r="V1997" s="42"/>
      <c r="W1997" s="42"/>
      <c r="X1997" s="42"/>
      <c r="Y1997" s="42"/>
      <c r="Z1997" s="42"/>
      <c r="AA1997" s="42"/>
      <c r="AB1997" s="42" t="str">
        <f>IFERROR(__xludf.DUMMYFUNCTION("""COMPUTED_VALUE"""),"allen institute")</f>
        <v>allen institute</v>
      </c>
      <c r="AC1997" s="42" t="str">
        <f>IFERROR(__xludf.DUMMYFUNCTION("""COMPUTED_VALUE"""),"DHBA")</f>
        <v>DHBA</v>
      </c>
      <c r="AD1997" s="42"/>
      <c r="AE1997" s="42"/>
      <c r="AF1997" s="9"/>
      <c r="AG1997" s="9"/>
      <c r="AH1997" s="42"/>
      <c r="AI1997" s="42"/>
      <c r="AJ1997" s="42"/>
      <c r="AK1997" s="42"/>
      <c r="AL1997" s="42"/>
      <c r="AM1997" s="42"/>
      <c r="AN1997" s="42"/>
      <c r="AO1997" s="63" t="str">
        <f>IFERROR(__xludf.DUMMYFUNCTION("IF(ISBLANK(A1997),,IF(ISBLANK(S1997), A1997&amp;"";"", TEXTJOIN(CHAR(10), TRUE, A1997&amp;"";"", ARRAYFORMULA(VLOOKUP(SPLIT(S1997, "";"" &amp; CHAR(10)), $A:$AO, 41, FALSE)))))"),"GP;
GPe;
GPi;
GPic;
GPip;
EnPN;
VeP;")</f>
        <v>GP;
GPe;
GPi;
GPic;
GPip;
EnPN;
VeP;</v>
      </c>
      <c r="AP1997" s="89"/>
    </row>
    <row r="1998">
      <c r="A1998" s="151" t="str">
        <f>IFERROR(__xludf.DUMMYFUNCTION("""COMPUTED_VALUE"""),"GPe")</f>
        <v>GPe</v>
      </c>
      <c r="B1998" s="42" t="str">
        <f>IFERROR(__xludf.DUMMYFUNCTION("""COMPUTED_VALUE"""),"DHBA")</f>
        <v>DHBA</v>
      </c>
      <c r="C1998" s="42" t="str">
        <f>IFERROR(__xludf.DUMMYFUNCTION("""COMPUTED_VALUE"""),"external segment of globus pallidus")</f>
        <v>external segment of globus pallidus</v>
      </c>
      <c r="D1998" s="42">
        <f>IFERROR(__xludf.DUMMYFUNCTION("""COMPUTED_VALUE"""),1888.0)</f>
        <v>1888</v>
      </c>
      <c r="E1998" s="39" t="str">
        <f>IFERROR(__xludf.DUMMYFUNCTION("""COMPUTED_VALUE"""),"external segment of globus pallidus")</f>
        <v>external segment of globus pallidus</v>
      </c>
      <c r="F1998" s="9" t="str">
        <f>IFERROR(__xludf.DUMMYFUNCTION("""COMPUTED_VALUE"""),"Br")</f>
        <v>Br</v>
      </c>
      <c r="G1998" s="9" t="str">
        <f>IFERROR(__xludf.DUMMYFUNCTION("""COMPUTED_VALUE"""),"F")</f>
        <v>F</v>
      </c>
      <c r="H1998" s="9" t="str">
        <f>IFERROR(__xludf.DUMMYFUNCTION("""COMPUTED_VALUE"""),"FGM")</f>
        <v>FGM</v>
      </c>
      <c r="I1998" s="9" t="str">
        <f>IFERROR(__xludf.DUMMYFUNCTION("""COMPUTED_VALUE"""),"Tel")</f>
        <v>Tel</v>
      </c>
      <c r="J1998" s="9" t="str">
        <f>IFERROR(__xludf.DUMMYFUNCTION("""COMPUTED_VALUE"""),"CN")</f>
        <v>CN</v>
      </c>
      <c r="K1998" s="9" t="str">
        <f>IFERROR(__xludf.DUMMYFUNCTION("""COMPUTED_VALUE"""),"BN")</f>
        <v>BN</v>
      </c>
      <c r="L1998" s="9" t="str">
        <f>IFERROR(__xludf.DUMMYFUNCTION("""COMPUTED_VALUE"""),"GP")</f>
        <v>GP</v>
      </c>
      <c r="M1998" s="9" t="str">
        <f>IFERROR(__xludf.DUMMYFUNCTION("""COMPUTED_VALUE"""),"GPe")</f>
        <v>GPe</v>
      </c>
      <c r="N1998" s="9"/>
      <c r="O1998" s="9"/>
      <c r="P1998" s="9"/>
      <c r="Q1998" s="9"/>
      <c r="R1998" s="9"/>
      <c r="S1998" s="42"/>
      <c r="T1998" s="42"/>
      <c r="U1998" s="42" t="b">
        <f>IFERROR(__xludf.DUMMYFUNCTION("""COMPUTED_VALUE"""),TRUE)</f>
        <v>1</v>
      </c>
      <c r="V1998" s="42" t="str">
        <f>IFERROR(__xludf.DUMMYFUNCTION("""COMPUTED_VALUE"""),"GABA")</f>
        <v>GABA</v>
      </c>
      <c r="W1998" s="42" t="str">
        <f>IFERROR(__xludf.DUMMYFUNCTION("""COMPUTED_VALUE"""),"Inhibitory")</f>
        <v>Inhibitory</v>
      </c>
      <c r="X1998" s="42"/>
      <c r="Y1998" s="42" t="str">
        <f>IFERROR(__xludf.DUMMYFUNCTION("""COMPUTED_VALUE"""),"the activities of GPe could modulate decision threshold in the striatum, thus affecting the final results of decision making [Chen, 2015]")</f>
        <v>the activities of GPe could modulate decision threshold in the striatum, thus affecting the final results of decision making [Chen, 2015]</v>
      </c>
      <c r="Z1998" s="42"/>
      <c r="AA1998" s="42"/>
      <c r="AB1998" s="42" t="str">
        <f>IFERROR(__xludf.DUMMYFUNCTION("""COMPUTED_VALUE"""),"allen institute")</f>
        <v>allen institute</v>
      </c>
      <c r="AC1998" s="42" t="str">
        <f>IFERROR(__xludf.DUMMYFUNCTION("""COMPUTED_VALUE"""),"DHBA")</f>
        <v>DHBA</v>
      </c>
      <c r="AD1998" s="42"/>
      <c r="AE1998" s="42"/>
      <c r="AF1998" s="9"/>
      <c r="AG1998" s="9"/>
      <c r="AH1998" s="42"/>
      <c r="AI1998" s="42"/>
      <c r="AJ1998" s="42"/>
      <c r="AK1998" s="42"/>
      <c r="AL1998" s="42"/>
      <c r="AM1998" s="42"/>
      <c r="AN1998" s="42"/>
      <c r="AO1998" s="63" t="str">
        <f>IFERROR(__xludf.DUMMYFUNCTION("IF(ISBLANK(A1998),,IF(ISBLANK(S1998), A1998&amp;"";"", TEXTJOIN(CHAR(10), TRUE, A1998&amp;"";"", ARRAYFORMULA(VLOOKUP(SPLIT(S1998, "";"" &amp; CHAR(10)), $A:$AO, 41, FALSE)))))"),"GPe;")</f>
        <v>GPe;</v>
      </c>
      <c r="AP1998" s="89"/>
    </row>
    <row r="1999">
      <c r="A1999" s="151" t="str">
        <f>IFERROR(__xludf.DUMMYFUNCTION("""COMPUTED_VALUE"""),"GPi")</f>
        <v>GPi</v>
      </c>
      <c r="B1999" s="42" t="str">
        <f>IFERROR(__xludf.DUMMYFUNCTION("""COMPUTED_VALUE"""),"DHBA")</f>
        <v>DHBA</v>
      </c>
      <c r="C1999" s="42" t="str">
        <f>IFERROR(__xludf.DUMMYFUNCTION("""COMPUTED_VALUE"""),"internal globus pallidus")</f>
        <v>internal globus pallidus</v>
      </c>
      <c r="D1999" s="42">
        <f>IFERROR(__xludf.DUMMYFUNCTION("""COMPUTED_VALUE"""),1889.0)</f>
        <v>1889</v>
      </c>
      <c r="E1999" s="39" t="str">
        <f>IFERROR(__xludf.DUMMYFUNCTION("""COMPUTED_VALUE"""),"internal segment of globus pallidus")</f>
        <v>internal segment of globus pallidus</v>
      </c>
      <c r="F1999" s="9" t="str">
        <f>IFERROR(__xludf.DUMMYFUNCTION("""COMPUTED_VALUE"""),"Br")</f>
        <v>Br</v>
      </c>
      <c r="G1999" s="9" t="str">
        <f>IFERROR(__xludf.DUMMYFUNCTION("""COMPUTED_VALUE"""),"F")</f>
        <v>F</v>
      </c>
      <c r="H1999" s="9" t="str">
        <f>IFERROR(__xludf.DUMMYFUNCTION("""COMPUTED_VALUE"""),"FGM")</f>
        <v>FGM</v>
      </c>
      <c r="I1999" s="9" t="str">
        <f>IFERROR(__xludf.DUMMYFUNCTION("""COMPUTED_VALUE"""),"Tel")</f>
        <v>Tel</v>
      </c>
      <c r="J1999" s="9" t="str">
        <f>IFERROR(__xludf.DUMMYFUNCTION("""COMPUTED_VALUE"""),"CN")</f>
        <v>CN</v>
      </c>
      <c r="K1999" s="9" t="str">
        <f>IFERROR(__xludf.DUMMYFUNCTION("""COMPUTED_VALUE"""),"BN")</f>
        <v>BN</v>
      </c>
      <c r="L1999" s="9" t="str">
        <f>IFERROR(__xludf.DUMMYFUNCTION("""COMPUTED_VALUE"""),"GP")</f>
        <v>GP</v>
      </c>
      <c r="M1999" s="9" t="str">
        <f>IFERROR(__xludf.DUMMYFUNCTION("""COMPUTED_VALUE"""),"GPi")</f>
        <v>GPi</v>
      </c>
      <c r="N1999" s="9"/>
      <c r="O1999" s="9"/>
      <c r="P1999" s="9"/>
      <c r="Q1999" s="9"/>
      <c r="R1999" s="9"/>
      <c r="S1999" s="42" t="str">
        <f>IFERROR(__xludf.DUMMYFUNCTION("""COMPUTED_VALUE"""),"GPic;
GPip")</f>
        <v>GPic;
GPip</v>
      </c>
      <c r="T1999" s="42"/>
      <c r="U1999" s="42" t="b">
        <f>IFERROR(__xludf.DUMMYFUNCTION("""COMPUTED_VALUE"""),FALSE)</f>
        <v>0</v>
      </c>
      <c r="V1999" s="42" t="str">
        <f>IFERROR(__xludf.DUMMYFUNCTION("""COMPUTED_VALUE"""),"GABA")</f>
        <v>GABA</v>
      </c>
      <c r="W1999" s="42" t="str">
        <f>IFERROR(__xludf.DUMMYFUNCTION("""COMPUTED_VALUE"""),"Inhibitory")</f>
        <v>Inhibitory</v>
      </c>
      <c r="X1999" s="42"/>
      <c r="Y1999" s="42"/>
      <c r="Z1999" s="42"/>
      <c r="AA1999" s="42" t="str">
        <f>IFERROR(__xludf.DUMMYFUNCTION("""COMPUTED_VALUE"""),"principal basal ganglia output ")</f>
        <v>principal basal ganglia output </v>
      </c>
      <c r="AB1999" s="42" t="str">
        <f>IFERROR(__xludf.DUMMYFUNCTION("""COMPUTED_VALUE"""),"allen institute")</f>
        <v>allen institute</v>
      </c>
      <c r="AC1999" s="42" t="str">
        <f>IFERROR(__xludf.DUMMYFUNCTION("""COMPUTED_VALUE"""),"DHBA")</f>
        <v>DHBA</v>
      </c>
      <c r="AD1999" s="42"/>
      <c r="AE1999" s="42"/>
      <c r="AF1999" s="9"/>
      <c r="AG1999" s="9"/>
      <c r="AH1999" s="42"/>
      <c r="AI1999" s="42"/>
      <c r="AJ1999" s="42"/>
      <c r="AK1999" s="42"/>
      <c r="AL1999" s="42"/>
      <c r="AM1999" s="42"/>
      <c r="AN1999" s="42"/>
      <c r="AO1999" s="63" t="str">
        <f>IFERROR(__xludf.DUMMYFUNCTION("IF(ISBLANK(A1999),,IF(ISBLANK(S1999), A1999&amp;"";"", TEXTJOIN(CHAR(10), TRUE, A1999&amp;"";"", ARRAYFORMULA(VLOOKUP(SPLIT(S1999, "";"" &amp; CHAR(10)), $A:$AO, 41, FALSE)))))"),"GPi;
GPic;
GPip;")</f>
        <v>GPi;
GPic;
GPip;</v>
      </c>
      <c r="AP1999" s="89"/>
    </row>
    <row r="2000">
      <c r="A2000" s="151" t="str">
        <f>IFERROR(__xludf.DUMMYFUNCTION("""COMPUTED_VALUE"""),"GPic")</f>
        <v>GPic</v>
      </c>
      <c r="B2000" s="42" t="str">
        <f>IFERROR(__xludf.DUMMYFUNCTION("""COMPUTED_VALUE"""),"DHBA")</f>
        <v>DHBA</v>
      </c>
      <c r="C2000" s="42" t="str">
        <f>IFERROR(__xludf.DUMMYFUNCTION("""COMPUTED_VALUE"""),"central portion of GPi")</f>
        <v>central portion of GPi</v>
      </c>
      <c r="D2000" s="42">
        <f>IFERROR(__xludf.DUMMYFUNCTION("""COMPUTED_VALUE"""),1890.0)</f>
        <v>1890</v>
      </c>
      <c r="E2000" s="39" t="str">
        <f>IFERROR(__xludf.DUMMYFUNCTION("""COMPUTED_VALUE"""),"central portion of GPi")</f>
        <v>central portion of GPi</v>
      </c>
      <c r="F2000" s="9" t="str">
        <f>IFERROR(__xludf.DUMMYFUNCTION("""COMPUTED_VALUE"""),"Br")</f>
        <v>Br</v>
      </c>
      <c r="G2000" s="9" t="str">
        <f>IFERROR(__xludf.DUMMYFUNCTION("""COMPUTED_VALUE"""),"F")</f>
        <v>F</v>
      </c>
      <c r="H2000" s="9" t="str">
        <f>IFERROR(__xludf.DUMMYFUNCTION("""COMPUTED_VALUE"""),"FGM")</f>
        <v>FGM</v>
      </c>
      <c r="I2000" s="9" t="str">
        <f>IFERROR(__xludf.DUMMYFUNCTION("""COMPUTED_VALUE"""),"Tel")</f>
        <v>Tel</v>
      </c>
      <c r="J2000" s="9" t="str">
        <f>IFERROR(__xludf.DUMMYFUNCTION("""COMPUTED_VALUE"""),"CN")</f>
        <v>CN</v>
      </c>
      <c r="K2000" s="9" t="str">
        <f>IFERROR(__xludf.DUMMYFUNCTION("""COMPUTED_VALUE"""),"BN")</f>
        <v>BN</v>
      </c>
      <c r="L2000" s="9" t="str">
        <f>IFERROR(__xludf.DUMMYFUNCTION("""COMPUTED_VALUE"""),"GP")</f>
        <v>GP</v>
      </c>
      <c r="M2000" s="9" t="str">
        <f>IFERROR(__xludf.DUMMYFUNCTION("""COMPUTED_VALUE"""),"GPi")</f>
        <v>GPi</v>
      </c>
      <c r="N2000" s="9" t="str">
        <f>IFERROR(__xludf.DUMMYFUNCTION("""COMPUTED_VALUE"""),"GPic")</f>
        <v>GPic</v>
      </c>
      <c r="O2000" s="9"/>
      <c r="P2000" s="9"/>
      <c r="Q2000" s="9"/>
      <c r="R2000" s="9"/>
      <c r="S2000" s="42"/>
      <c r="T2000" s="42"/>
      <c r="U2000" s="42"/>
      <c r="V2000" s="42"/>
      <c r="W2000" s="42"/>
      <c r="X2000" s="42"/>
      <c r="Y2000" s="42"/>
      <c r="Z2000" s="42"/>
      <c r="AA2000" s="42"/>
      <c r="AB2000" s="42" t="str">
        <f>IFERROR(__xludf.DUMMYFUNCTION("""COMPUTED_VALUE"""),"allen institute")</f>
        <v>allen institute</v>
      </c>
      <c r="AC2000" s="42" t="str">
        <f>IFERROR(__xludf.DUMMYFUNCTION("""COMPUTED_VALUE"""),"DHBA")</f>
        <v>DHBA</v>
      </c>
      <c r="AD2000" s="42"/>
      <c r="AE2000" s="42"/>
      <c r="AF2000" s="9"/>
      <c r="AG2000" s="9"/>
      <c r="AH2000" s="42"/>
      <c r="AI2000" s="42"/>
      <c r="AJ2000" s="42"/>
      <c r="AK2000" s="42"/>
      <c r="AL2000" s="42"/>
      <c r="AM2000" s="42"/>
      <c r="AN2000" s="42"/>
      <c r="AO2000" s="63" t="str">
        <f>IFERROR(__xludf.DUMMYFUNCTION("IF(ISBLANK(A2000),,IF(ISBLANK(S2000), A2000&amp;"";"", TEXTJOIN(CHAR(10), TRUE, A2000&amp;"";"", ARRAYFORMULA(VLOOKUP(SPLIT(S2000, "";"" &amp; CHAR(10)), $A:$AO, 41, FALSE)))))"),"GPic;")</f>
        <v>GPic;</v>
      </c>
      <c r="AP2000" s="89"/>
    </row>
    <row r="2001">
      <c r="A2001" s="151" t="str">
        <f>IFERROR(__xludf.DUMMYFUNCTION("""COMPUTED_VALUE"""),"GPip")</f>
        <v>GPip</v>
      </c>
      <c r="B2001" s="42" t="str">
        <f>IFERROR(__xludf.DUMMYFUNCTION("""COMPUTED_VALUE"""),"DHBA")</f>
        <v>DHBA</v>
      </c>
      <c r="C2001" s="42" t="str">
        <f>IFERROR(__xludf.DUMMYFUNCTION("""COMPUTED_VALUE"""),"peripheral portion of GPi")</f>
        <v>peripheral portion of GPi</v>
      </c>
      <c r="D2001" s="42">
        <f>IFERROR(__xludf.DUMMYFUNCTION("""COMPUTED_VALUE"""),1891.0)</f>
        <v>1891</v>
      </c>
      <c r="E2001" s="39" t="str">
        <f>IFERROR(__xludf.DUMMYFUNCTION("""COMPUTED_VALUE"""),"peripheral portion of GPi")</f>
        <v>peripheral portion of GPi</v>
      </c>
      <c r="F2001" s="9" t="str">
        <f>IFERROR(__xludf.DUMMYFUNCTION("""COMPUTED_VALUE"""),"Br")</f>
        <v>Br</v>
      </c>
      <c r="G2001" s="9" t="str">
        <f>IFERROR(__xludf.DUMMYFUNCTION("""COMPUTED_VALUE"""),"F")</f>
        <v>F</v>
      </c>
      <c r="H2001" s="9" t="str">
        <f>IFERROR(__xludf.DUMMYFUNCTION("""COMPUTED_VALUE"""),"FGM")</f>
        <v>FGM</v>
      </c>
      <c r="I2001" s="9" t="str">
        <f>IFERROR(__xludf.DUMMYFUNCTION("""COMPUTED_VALUE"""),"Tel")</f>
        <v>Tel</v>
      </c>
      <c r="J2001" s="9" t="str">
        <f>IFERROR(__xludf.DUMMYFUNCTION("""COMPUTED_VALUE"""),"CN")</f>
        <v>CN</v>
      </c>
      <c r="K2001" s="9" t="str">
        <f>IFERROR(__xludf.DUMMYFUNCTION("""COMPUTED_VALUE"""),"BN")</f>
        <v>BN</v>
      </c>
      <c r="L2001" s="9" t="str">
        <f>IFERROR(__xludf.DUMMYFUNCTION("""COMPUTED_VALUE"""),"GP")</f>
        <v>GP</v>
      </c>
      <c r="M2001" s="9" t="str">
        <f>IFERROR(__xludf.DUMMYFUNCTION("""COMPUTED_VALUE"""),"GPi")</f>
        <v>GPi</v>
      </c>
      <c r="N2001" s="9" t="str">
        <f>IFERROR(__xludf.DUMMYFUNCTION("""COMPUTED_VALUE"""),"GPip")</f>
        <v>GPip</v>
      </c>
      <c r="O2001" s="9"/>
      <c r="P2001" s="9"/>
      <c r="Q2001" s="9"/>
      <c r="R2001" s="9"/>
      <c r="S2001" s="42"/>
      <c r="T2001" s="42"/>
      <c r="U2001" s="42"/>
      <c r="V2001" s="42"/>
      <c r="W2001" s="42"/>
      <c r="X2001" s="42"/>
      <c r="Y2001" s="42"/>
      <c r="Z2001" s="42"/>
      <c r="AA2001" s="42"/>
      <c r="AB2001" s="42" t="str">
        <f>IFERROR(__xludf.DUMMYFUNCTION("""COMPUTED_VALUE"""),"allen institute")</f>
        <v>allen institute</v>
      </c>
      <c r="AC2001" s="42" t="str">
        <f>IFERROR(__xludf.DUMMYFUNCTION("""COMPUTED_VALUE"""),"DHBA")</f>
        <v>DHBA</v>
      </c>
      <c r="AD2001" s="42"/>
      <c r="AE2001" s="42"/>
      <c r="AF2001" s="9"/>
      <c r="AG2001" s="9"/>
      <c r="AH2001" s="42"/>
      <c r="AI2001" s="42"/>
      <c r="AJ2001" s="42"/>
      <c r="AK2001" s="42"/>
      <c r="AL2001" s="42"/>
      <c r="AM2001" s="42"/>
      <c r="AN2001" s="42"/>
      <c r="AO2001" s="63" t="str">
        <f>IFERROR(__xludf.DUMMYFUNCTION("IF(ISBLANK(A2001),,IF(ISBLANK(S2001), A2001&amp;"";"", TEXTJOIN(CHAR(10), TRUE, A2001&amp;"";"", ARRAYFORMULA(VLOOKUP(SPLIT(S2001, "";"" &amp; CHAR(10)), $A:$AO, 41, FALSE)))))"),"GPip;")</f>
        <v>GPip;</v>
      </c>
      <c r="AP2001" s="89"/>
    </row>
    <row r="2002">
      <c r="A2002" s="151" t="str">
        <f>IFERROR(__xludf.DUMMYFUNCTION("""COMPUTED_VALUE"""),"EnPN")</f>
        <v>EnPN</v>
      </c>
      <c r="B2002" s="42" t="str">
        <f>IFERROR(__xludf.DUMMYFUNCTION("""COMPUTED_VALUE"""),"DHBA")</f>
        <v>DHBA</v>
      </c>
      <c r="C2002" s="42" t="str">
        <f>IFERROR(__xludf.DUMMYFUNCTION("""COMPUTED_VALUE"""),"entopeduncular nucleus")</f>
        <v>entopeduncular nucleus</v>
      </c>
      <c r="D2002" s="42">
        <f>IFERROR(__xludf.DUMMYFUNCTION("""COMPUTED_VALUE"""),1892.0)</f>
        <v>1892</v>
      </c>
      <c r="E2002" s="39" t="str">
        <f>IFERROR(__xludf.DUMMYFUNCTION("""COMPUTED_VALUE"""),"entopeduncular nucleus")</f>
        <v>entopeduncular nucleus</v>
      </c>
      <c r="F2002" s="9" t="str">
        <f>IFERROR(__xludf.DUMMYFUNCTION("""COMPUTED_VALUE"""),"Br")</f>
        <v>Br</v>
      </c>
      <c r="G2002" s="9" t="str">
        <f>IFERROR(__xludf.DUMMYFUNCTION("""COMPUTED_VALUE"""),"F")</f>
        <v>F</v>
      </c>
      <c r="H2002" s="9" t="str">
        <f>IFERROR(__xludf.DUMMYFUNCTION("""COMPUTED_VALUE"""),"FGM")</f>
        <v>FGM</v>
      </c>
      <c r="I2002" s="9" t="str">
        <f>IFERROR(__xludf.DUMMYFUNCTION("""COMPUTED_VALUE"""),"Tel")</f>
        <v>Tel</v>
      </c>
      <c r="J2002" s="9" t="str">
        <f>IFERROR(__xludf.DUMMYFUNCTION("""COMPUTED_VALUE"""),"CN")</f>
        <v>CN</v>
      </c>
      <c r="K2002" s="9" t="str">
        <f>IFERROR(__xludf.DUMMYFUNCTION("""COMPUTED_VALUE"""),"BN")</f>
        <v>BN</v>
      </c>
      <c r="L2002" s="9" t="str">
        <f>IFERROR(__xludf.DUMMYFUNCTION("""COMPUTED_VALUE"""),"GP")</f>
        <v>GP</v>
      </c>
      <c r="M2002" s="9" t="str">
        <f>IFERROR(__xludf.DUMMYFUNCTION("""COMPUTED_VALUE"""),"EnPN")</f>
        <v>EnPN</v>
      </c>
      <c r="N2002" s="9"/>
      <c r="O2002" s="9"/>
      <c r="P2002" s="9"/>
      <c r="Q2002" s="9"/>
      <c r="R2002" s="9"/>
      <c r="S2002" s="42"/>
      <c r="T2002" s="42"/>
      <c r="U2002" s="42"/>
      <c r="V2002" s="42"/>
      <c r="W2002" s="42"/>
      <c r="X2002" s="42"/>
      <c r="Y2002" s="42"/>
      <c r="Z2002" s="42"/>
      <c r="AA2002" s="42"/>
      <c r="AB2002" s="42" t="str">
        <f>IFERROR(__xludf.DUMMYFUNCTION("""COMPUTED_VALUE"""),"allen institute")</f>
        <v>allen institute</v>
      </c>
      <c r="AC2002" s="42" t="str">
        <f>IFERROR(__xludf.DUMMYFUNCTION("""COMPUTED_VALUE"""),"DHBA")</f>
        <v>DHBA</v>
      </c>
      <c r="AD2002" s="42"/>
      <c r="AE2002" s="42"/>
      <c r="AF2002" s="9"/>
      <c r="AG2002" s="9"/>
      <c r="AH2002" s="42"/>
      <c r="AI2002" s="42"/>
      <c r="AJ2002" s="42"/>
      <c r="AK2002" s="42"/>
      <c r="AL2002" s="42"/>
      <c r="AM2002" s="42"/>
      <c r="AN2002" s="42"/>
      <c r="AO2002" s="63" t="str">
        <f>IFERROR(__xludf.DUMMYFUNCTION("IF(ISBLANK(A2002),,IF(ISBLANK(S2002), A2002&amp;"";"", TEXTJOIN(CHAR(10), TRUE, A2002&amp;"";"", ARRAYFORMULA(VLOOKUP(SPLIT(S2002, "";"" &amp; CHAR(10)), $A:$AO, 41, FALSE)))))"),"EnPN;")</f>
        <v>EnPN;</v>
      </c>
      <c r="AP2002" s="89"/>
    </row>
    <row r="2003">
      <c r="A2003" s="151" t="str">
        <f>IFERROR(__xludf.DUMMYFUNCTION("""COMPUTED_VALUE"""),"VeP")</f>
        <v>VeP</v>
      </c>
      <c r="B2003" s="42" t="str">
        <f>IFERROR(__xludf.DUMMYFUNCTION("""COMPUTED_VALUE"""),"DHBA")</f>
        <v>DHBA</v>
      </c>
      <c r="C2003" s="42" t="str">
        <f>IFERROR(__xludf.DUMMYFUNCTION("""COMPUTED_VALUE"""),"Ventram Pallidum")</f>
        <v>Ventram Pallidum</v>
      </c>
      <c r="D2003" s="42">
        <f>IFERROR(__xludf.DUMMYFUNCTION("""COMPUTED_VALUE"""),1893.0)</f>
        <v>1893</v>
      </c>
      <c r="E2003" s="39" t="str">
        <f>IFERROR(__xludf.DUMMYFUNCTION("""COMPUTED_VALUE"""),"Ventral pallidus")</f>
        <v>Ventral pallidus</v>
      </c>
      <c r="F2003" s="9" t="str">
        <f>IFERROR(__xludf.DUMMYFUNCTION("""COMPUTED_VALUE"""),"Br")</f>
        <v>Br</v>
      </c>
      <c r="G2003" s="9" t="str">
        <f>IFERROR(__xludf.DUMMYFUNCTION("""COMPUTED_VALUE"""),"F")</f>
        <v>F</v>
      </c>
      <c r="H2003" s="9" t="str">
        <f>IFERROR(__xludf.DUMMYFUNCTION("""COMPUTED_VALUE"""),"FGM")</f>
        <v>FGM</v>
      </c>
      <c r="I2003" s="9" t="str">
        <f>IFERROR(__xludf.DUMMYFUNCTION("""COMPUTED_VALUE"""),"Tel")</f>
        <v>Tel</v>
      </c>
      <c r="J2003" s="9" t="str">
        <f>IFERROR(__xludf.DUMMYFUNCTION("""COMPUTED_VALUE"""),"CN")</f>
        <v>CN</v>
      </c>
      <c r="K2003" s="9" t="str">
        <f>IFERROR(__xludf.DUMMYFUNCTION("""COMPUTED_VALUE"""),"BN")</f>
        <v>BN</v>
      </c>
      <c r="L2003" s="9" t="str">
        <f>IFERROR(__xludf.DUMMYFUNCTION("""COMPUTED_VALUE"""),"GP")</f>
        <v>GP</v>
      </c>
      <c r="M2003" s="9" t="str">
        <f>IFERROR(__xludf.DUMMYFUNCTION("""COMPUTED_VALUE"""),"VeP")</f>
        <v>VeP</v>
      </c>
      <c r="N2003" s="9"/>
      <c r="O2003" s="9"/>
      <c r="P2003" s="9"/>
      <c r="Q2003" s="9"/>
      <c r="R2003" s="9"/>
      <c r="S2003" s="42"/>
      <c r="T2003" s="42" t="str">
        <f>IFERROR(__xludf.DUMMYFUNCTION("""COMPUTED_VALUE"""),"GP")</f>
        <v>GP</v>
      </c>
      <c r="U2003" s="42" t="b">
        <f>IFERROR(__xludf.DUMMYFUNCTION("""COMPUTED_VALUE"""),FALSE)</f>
        <v>0</v>
      </c>
      <c r="V2003" s="42"/>
      <c r="W2003" s="42"/>
      <c r="X2003" s="42"/>
      <c r="Y2003" s="42"/>
      <c r="Z2003" s="42"/>
      <c r="AA2003" s="42"/>
      <c r="AB2003" s="42" t="str">
        <f>IFERROR(__xludf.DUMMYFUNCTION("""COMPUTED_VALUE"""),"allen institute")</f>
        <v>allen institute</v>
      </c>
      <c r="AC2003" s="42" t="str">
        <f>IFERROR(__xludf.DUMMYFUNCTION("""COMPUTED_VALUE"""),"DHBA")</f>
        <v>DHBA</v>
      </c>
      <c r="AD2003" s="42"/>
      <c r="AE2003" s="42"/>
      <c r="AF2003" s="9"/>
      <c r="AG2003" s="9"/>
      <c r="AH2003" s="42"/>
      <c r="AI2003" s="42"/>
      <c r="AJ2003" s="42"/>
      <c r="AK2003" s="42"/>
      <c r="AL2003" s="42"/>
      <c r="AM2003" s="42"/>
      <c r="AN2003" s="42"/>
      <c r="AO2003" s="63" t="str">
        <f>IFERROR(__xludf.DUMMYFUNCTION("IF(ISBLANK(A2003),,IF(ISBLANK(S2003), A2003&amp;"";"", TEXTJOIN(CHAR(10), TRUE, A2003&amp;"";"", ARRAYFORMULA(VLOOKUP(SPLIT(S2003, "";"" &amp; CHAR(10)), $A:$AO, 41, FALSE)))))"),"VeP;")</f>
        <v>VeP;</v>
      </c>
      <c r="AP2003" s="89"/>
    </row>
    <row r="2004">
      <c r="A2004" s="151" t="str">
        <f>IFERROR(__xludf.DUMMYFUNCTION("""COMPUTED_VALUE"""),"Cla")</f>
        <v>Cla</v>
      </c>
      <c r="B2004" s="42" t="str">
        <f>IFERROR(__xludf.DUMMYFUNCTION("""COMPUTED_VALUE"""),"DHBA")</f>
        <v>DHBA</v>
      </c>
      <c r="C2004" s="42" t="str">
        <f>IFERROR(__xludf.DUMMYFUNCTION("""COMPUTED_VALUE"""),"Claustrum, Cl")</f>
        <v>Claustrum, Cl</v>
      </c>
      <c r="D2004" s="42">
        <f>IFERROR(__xludf.DUMMYFUNCTION("""COMPUTED_VALUE"""),1894.0)</f>
        <v>1894</v>
      </c>
      <c r="E2004" s="39" t="str">
        <f>IFERROR(__xludf.DUMMYFUNCTION("""COMPUTED_VALUE"""),"claustrum")</f>
        <v>claustrum</v>
      </c>
      <c r="F2004" s="9" t="str">
        <f>IFERROR(__xludf.DUMMYFUNCTION("""COMPUTED_VALUE"""),"Br")</f>
        <v>Br</v>
      </c>
      <c r="G2004" s="9" t="str">
        <f>IFERROR(__xludf.DUMMYFUNCTION("""COMPUTED_VALUE"""),"F")</f>
        <v>F</v>
      </c>
      <c r="H2004" s="9" t="str">
        <f>IFERROR(__xludf.DUMMYFUNCTION("""COMPUTED_VALUE"""),"FGM")</f>
        <v>FGM</v>
      </c>
      <c r="I2004" s="9" t="str">
        <f>IFERROR(__xludf.DUMMYFUNCTION("""COMPUTED_VALUE"""),"Tel")</f>
        <v>Tel</v>
      </c>
      <c r="J2004" s="9" t="str">
        <f>IFERROR(__xludf.DUMMYFUNCTION("""COMPUTED_VALUE"""),"CN")</f>
        <v>CN</v>
      </c>
      <c r="K2004" s="9" t="str">
        <f>IFERROR(__xludf.DUMMYFUNCTION("""COMPUTED_VALUE"""),"Cla")</f>
        <v>Cla</v>
      </c>
      <c r="L2004" s="9"/>
      <c r="M2004" s="9"/>
      <c r="N2004" s="9"/>
      <c r="O2004" s="9"/>
      <c r="P2004" s="9"/>
      <c r="Q2004" s="9"/>
      <c r="R2004" s="9"/>
      <c r="S2004" s="42" t="str">
        <f>IFERROR(__xludf.DUMMYFUNCTION("""COMPUTED_VALUE"""),"Cla_I, Cla_II, Cla_III, Cla_IV, Cla_V;
CLd;
CLv;
CLt")</f>
        <v>Cla_I, Cla_II, Cla_III, Cla_IV, Cla_V;
CLd;
CLv;
CLt</v>
      </c>
      <c r="T2004" s="42"/>
      <c r="U2004" s="42" t="b">
        <f>IFERROR(__xludf.DUMMYFUNCTION("""COMPUTED_VALUE"""),FALSE)</f>
        <v>0</v>
      </c>
      <c r="V2004" s="42"/>
      <c r="W2004" s="42"/>
      <c r="X2004" s="42"/>
      <c r="Y2004" s="42"/>
      <c r="Z2004" s="42"/>
      <c r="AA2004" s="42"/>
      <c r="AB2004" s="42" t="str">
        <f>IFERROR(__xludf.DUMMYFUNCTION("""COMPUTED_VALUE"""),"allen institute")</f>
        <v>allen institute</v>
      </c>
      <c r="AC2004" s="42" t="str">
        <f>IFERROR(__xludf.DUMMYFUNCTION("""COMPUTED_VALUE"""),"DHBA")</f>
        <v>DHBA</v>
      </c>
      <c r="AD2004" s="42"/>
      <c r="AE2004" s="42"/>
      <c r="AF2004" s="9"/>
      <c r="AG2004" s="9"/>
      <c r="AH2004" s="42"/>
      <c r="AI2004" s="42"/>
      <c r="AJ2004" s="42"/>
      <c r="AK2004" s="42"/>
      <c r="AL2004" s="42"/>
      <c r="AM2004" s="42"/>
      <c r="AN2004" s="42"/>
      <c r="AO2004" s="63" t="str">
        <f>IFERROR(__xludf.DUMMYFUNCTION("IF(ISBLANK(A2004),,IF(ISBLANK(S2004), A2004&amp;"";"", TEXTJOIN(CHAR(10), TRUE, A2004&amp;"";"", ARRAYFORMULA(VLOOKUP(SPLIT(S2004, "";"" &amp; CHAR(10)), $A:$AO, 41, FALSE)))))"),"#N/A")</f>
        <v>#N/A</v>
      </c>
      <c r="AP2004" s="89"/>
    </row>
    <row r="2005">
      <c r="A2005" s="151" t="str">
        <f>IFERROR(__xludf.DUMMYFUNCTION("""COMPUTED_VALUE"""),"CLd")</f>
        <v>CLd</v>
      </c>
      <c r="B2005" s="42" t="str">
        <f>IFERROR(__xludf.DUMMYFUNCTION("""COMPUTED_VALUE"""),"DHBA")</f>
        <v>DHBA</v>
      </c>
      <c r="C2005" s="42" t="str">
        <f>IFERROR(__xludf.DUMMYFUNCTION("""COMPUTED_VALUE"""),"Dorsal claustrum")</f>
        <v>Dorsal claustrum</v>
      </c>
      <c r="D2005" s="42">
        <f>IFERROR(__xludf.DUMMYFUNCTION("""COMPUTED_VALUE"""),1895.0)</f>
        <v>1895</v>
      </c>
      <c r="E2005" s="39" t="str">
        <f>IFERROR(__xludf.DUMMYFUNCTION("""COMPUTED_VALUE"""),"Dorsal claustrum")</f>
        <v>Dorsal claustrum</v>
      </c>
      <c r="F2005" s="9" t="str">
        <f>IFERROR(__xludf.DUMMYFUNCTION("""COMPUTED_VALUE"""),"Br")</f>
        <v>Br</v>
      </c>
      <c r="G2005" s="9" t="str">
        <f>IFERROR(__xludf.DUMMYFUNCTION("""COMPUTED_VALUE"""),"F")</f>
        <v>F</v>
      </c>
      <c r="H2005" s="9" t="str">
        <f>IFERROR(__xludf.DUMMYFUNCTION("""COMPUTED_VALUE"""),"FGM")</f>
        <v>FGM</v>
      </c>
      <c r="I2005" s="9" t="str">
        <f>IFERROR(__xludf.DUMMYFUNCTION("""COMPUTED_VALUE"""),"Tel")</f>
        <v>Tel</v>
      </c>
      <c r="J2005" s="9" t="str">
        <f>IFERROR(__xludf.DUMMYFUNCTION("""COMPUTED_VALUE"""),"CN")</f>
        <v>CN</v>
      </c>
      <c r="K2005" s="9" t="str">
        <f>IFERROR(__xludf.DUMMYFUNCTION("""COMPUTED_VALUE"""),"Cla")</f>
        <v>Cla</v>
      </c>
      <c r="L2005" s="9" t="str">
        <f>IFERROR(__xludf.DUMMYFUNCTION("""COMPUTED_VALUE"""),"CLd")</f>
        <v>CLd</v>
      </c>
      <c r="M2005" s="9"/>
      <c r="N2005" s="9"/>
      <c r="O2005" s="9"/>
      <c r="P2005" s="9"/>
      <c r="Q2005" s="9"/>
      <c r="R2005" s="9"/>
      <c r="S2005" s="42"/>
      <c r="T2005" s="42"/>
      <c r="U2005" s="42"/>
      <c r="V2005" s="42"/>
      <c r="W2005" s="42"/>
      <c r="X2005" s="42"/>
      <c r="Y2005" s="42"/>
      <c r="Z2005" s="42"/>
      <c r="AA2005" s="42"/>
      <c r="AB2005" s="42" t="str">
        <f>IFERROR(__xludf.DUMMYFUNCTION("""COMPUTED_VALUE"""),"allen institute")</f>
        <v>allen institute</v>
      </c>
      <c r="AC2005" s="42" t="str">
        <f>IFERROR(__xludf.DUMMYFUNCTION("""COMPUTED_VALUE"""),"DHBA")</f>
        <v>DHBA</v>
      </c>
      <c r="AD2005" s="42"/>
      <c r="AE2005" s="42"/>
      <c r="AF2005" s="9"/>
      <c r="AG2005" s="9"/>
      <c r="AH2005" s="42"/>
      <c r="AI2005" s="42"/>
      <c r="AJ2005" s="42"/>
      <c r="AK2005" s="42"/>
      <c r="AL2005" s="42"/>
      <c r="AM2005" s="42"/>
      <c r="AN2005" s="42"/>
      <c r="AO2005" s="63" t="str">
        <f>IFERROR(__xludf.DUMMYFUNCTION("IF(ISBLANK(A2005),,IF(ISBLANK(S2005), A2005&amp;"";"", TEXTJOIN(CHAR(10), TRUE, A2005&amp;"";"", ARRAYFORMULA(VLOOKUP(SPLIT(S2005, "";"" &amp; CHAR(10)), $A:$AO, 41, FALSE)))))"),"CLd;")</f>
        <v>CLd;</v>
      </c>
      <c r="AP2005" s="89"/>
    </row>
    <row r="2006">
      <c r="A2006" s="151" t="str">
        <f>IFERROR(__xludf.DUMMYFUNCTION("""COMPUTED_VALUE"""),"CLv")</f>
        <v>CLv</v>
      </c>
      <c r="B2006" s="42" t="str">
        <f>IFERROR(__xludf.DUMMYFUNCTION("""COMPUTED_VALUE"""),"DHBA")</f>
        <v>DHBA</v>
      </c>
      <c r="C2006" s="42" t="str">
        <f>IFERROR(__xludf.DUMMYFUNCTION("""COMPUTED_VALUE"""),"ventral claustrum")</f>
        <v>ventral claustrum</v>
      </c>
      <c r="D2006" s="42">
        <f>IFERROR(__xludf.DUMMYFUNCTION("""COMPUTED_VALUE"""),1896.0)</f>
        <v>1896</v>
      </c>
      <c r="E2006" s="39" t="str">
        <f>IFERROR(__xludf.DUMMYFUNCTION("""COMPUTED_VALUE"""),"ventral claustrum")</f>
        <v>ventral claustrum</v>
      </c>
      <c r="F2006" s="9" t="str">
        <f>IFERROR(__xludf.DUMMYFUNCTION("""COMPUTED_VALUE"""),"Br")</f>
        <v>Br</v>
      </c>
      <c r="G2006" s="9" t="str">
        <f>IFERROR(__xludf.DUMMYFUNCTION("""COMPUTED_VALUE"""),"F")</f>
        <v>F</v>
      </c>
      <c r="H2006" s="9" t="str">
        <f>IFERROR(__xludf.DUMMYFUNCTION("""COMPUTED_VALUE"""),"FGM")</f>
        <v>FGM</v>
      </c>
      <c r="I2006" s="9" t="str">
        <f>IFERROR(__xludf.DUMMYFUNCTION("""COMPUTED_VALUE"""),"Tel")</f>
        <v>Tel</v>
      </c>
      <c r="J2006" s="9" t="str">
        <f>IFERROR(__xludf.DUMMYFUNCTION("""COMPUTED_VALUE"""),"CN")</f>
        <v>CN</v>
      </c>
      <c r="K2006" s="9" t="str">
        <f>IFERROR(__xludf.DUMMYFUNCTION("""COMPUTED_VALUE"""),"Cla")</f>
        <v>Cla</v>
      </c>
      <c r="L2006" s="9" t="str">
        <f>IFERROR(__xludf.DUMMYFUNCTION("""COMPUTED_VALUE"""),"CLv")</f>
        <v>CLv</v>
      </c>
      <c r="M2006" s="9"/>
      <c r="N2006" s="9"/>
      <c r="O2006" s="9"/>
      <c r="P2006" s="9"/>
      <c r="Q2006" s="9"/>
      <c r="R2006" s="9"/>
      <c r="S2006" s="42"/>
      <c r="T2006" s="42"/>
      <c r="U2006" s="42"/>
      <c r="V2006" s="42"/>
      <c r="W2006" s="42"/>
      <c r="X2006" s="42"/>
      <c r="Y2006" s="42"/>
      <c r="Z2006" s="42"/>
      <c r="AA2006" s="42"/>
      <c r="AB2006" s="42" t="str">
        <f>IFERROR(__xludf.DUMMYFUNCTION("""COMPUTED_VALUE"""),"allen institute")</f>
        <v>allen institute</v>
      </c>
      <c r="AC2006" s="42" t="str">
        <f>IFERROR(__xludf.DUMMYFUNCTION("""COMPUTED_VALUE"""),"DHBA")</f>
        <v>DHBA</v>
      </c>
      <c r="AD2006" s="42"/>
      <c r="AE2006" s="42"/>
      <c r="AF2006" s="9"/>
      <c r="AG2006" s="9"/>
      <c r="AH2006" s="42"/>
      <c r="AI2006" s="42"/>
      <c r="AJ2006" s="42"/>
      <c r="AK2006" s="42"/>
      <c r="AL2006" s="42"/>
      <c r="AM2006" s="42"/>
      <c r="AN2006" s="42"/>
      <c r="AO2006" s="63" t="str">
        <f>IFERROR(__xludf.DUMMYFUNCTION("IF(ISBLANK(A2006),,IF(ISBLANK(S2006), A2006&amp;"";"", TEXTJOIN(CHAR(10), TRUE, A2006&amp;"";"", ARRAYFORMULA(VLOOKUP(SPLIT(S2006, "";"" &amp; CHAR(10)), $A:$AO, 41, FALSE)))))"),"CLv;")</f>
        <v>CLv;</v>
      </c>
      <c r="AP2006" s="89"/>
    </row>
    <row r="2007">
      <c r="A2007" s="151" t="str">
        <f>IFERROR(__xludf.DUMMYFUNCTION("""COMPUTED_VALUE"""),"CLt")</f>
        <v>CLt</v>
      </c>
      <c r="B2007" s="42" t="str">
        <f>IFERROR(__xludf.DUMMYFUNCTION("""COMPUTED_VALUE"""),"DHBA")</f>
        <v>DHBA</v>
      </c>
      <c r="C2007" s="42" t="str">
        <f>IFERROR(__xludf.DUMMYFUNCTION("""COMPUTED_VALUE"""),"temporal claustrum")</f>
        <v>temporal claustrum</v>
      </c>
      <c r="D2007" s="42">
        <f>IFERROR(__xludf.DUMMYFUNCTION("""COMPUTED_VALUE"""),1897.0)</f>
        <v>1897</v>
      </c>
      <c r="E2007" s="39" t="str">
        <f>IFERROR(__xludf.DUMMYFUNCTION("""COMPUTED_VALUE"""),"temporal claustrum")</f>
        <v>temporal claustrum</v>
      </c>
      <c r="F2007" s="9" t="str">
        <f>IFERROR(__xludf.DUMMYFUNCTION("""COMPUTED_VALUE"""),"Br")</f>
        <v>Br</v>
      </c>
      <c r="G2007" s="9" t="str">
        <f>IFERROR(__xludf.DUMMYFUNCTION("""COMPUTED_VALUE"""),"F")</f>
        <v>F</v>
      </c>
      <c r="H2007" s="9" t="str">
        <f>IFERROR(__xludf.DUMMYFUNCTION("""COMPUTED_VALUE"""),"FGM")</f>
        <v>FGM</v>
      </c>
      <c r="I2007" s="9" t="str">
        <f>IFERROR(__xludf.DUMMYFUNCTION("""COMPUTED_VALUE"""),"Tel")</f>
        <v>Tel</v>
      </c>
      <c r="J2007" s="9" t="str">
        <f>IFERROR(__xludf.DUMMYFUNCTION("""COMPUTED_VALUE"""),"CN")</f>
        <v>CN</v>
      </c>
      <c r="K2007" s="9" t="str">
        <f>IFERROR(__xludf.DUMMYFUNCTION("""COMPUTED_VALUE"""),"Cla")</f>
        <v>Cla</v>
      </c>
      <c r="L2007" s="9" t="str">
        <f>IFERROR(__xludf.DUMMYFUNCTION("""COMPUTED_VALUE"""),"CLt")</f>
        <v>CLt</v>
      </c>
      <c r="M2007" s="9"/>
      <c r="N2007" s="9"/>
      <c r="O2007" s="9"/>
      <c r="P2007" s="9"/>
      <c r="Q2007" s="9"/>
      <c r="R2007" s="9"/>
      <c r="S2007" s="42"/>
      <c r="T2007" s="42"/>
      <c r="U2007" s="42"/>
      <c r="V2007" s="42"/>
      <c r="W2007" s="42"/>
      <c r="X2007" s="42"/>
      <c r="Y2007" s="42"/>
      <c r="Z2007" s="42"/>
      <c r="AA2007" s="42"/>
      <c r="AB2007" s="42" t="str">
        <f>IFERROR(__xludf.DUMMYFUNCTION("""COMPUTED_VALUE"""),"allen institute")</f>
        <v>allen institute</v>
      </c>
      <c r="AC2007" s="42" t="str">
        <f>IFERROR(__xludf.DUMMYFUNCTION("""COMPUTED_VALUE"""),"DHBA")</f>
        <v>DHBA</v>
      </c>
      <c r="AD2007" s="42"/>
      <c r="AE2007" s="42"/>
      <c r="AF2007" s="9"/>
      <c r="AG2007" s="9"/>
      <c r="AH2007" s="42"/>
      <c r="AI2007" s="42"/>
      <c r="AJ2007" s="42"/>
      <c r="AK2007" s="42"/>
      <c r="AL2007" s="42"/>
      <c r="AM2007" s="42"/>
      <c r="AN2007" s="42"/>
      <c r="AO2007" s="63" t="str">
        <f>IFERROR(__xludf.DUMMYFUNCTION("IF(ISBLANK(A2007),,IF(ISBLANK(S2007), A2007&amp;"";"", TEXTJOIN(CHAR(10), TRUE, A2007&amp;"";"", ARRAYFORMULA(VLOOKUP(SPLIT(S2007, "";"" &amp; CHAR(10)), $A:$AO, 41, FALSE)))))"),"CLt;")</f>
        <v>CLt;</v>
      </c>
      <c r="AP2007" s="89"/>
    </row>
    <row r="2008">
      <c r="A2008" s="151" t="str">
        <f>IFERROR(__xludf.DUMMYFUNCTION("""COMPUTED_VALUE"""),"BF")</f>
        <v>BF</v>
      </c>
      <c r="B2008" s="42" t="str">
        <f>IFERROR(__xludf.DUMMYFUNCTION("""COMPUTED_VALUE"""),"DHBA")</f>
        <v>DHBA</v>
      </c>
      <c r="C2008" s="42" t="str">
        <f>IFERROR(__xludf.DUMMYFUNCTION("""COMPUTED_VALUE"""),"basal forebrain")</f>
        <v>basal forebrain</v>
      </c>
      <c r="D2008" s="42">
        <f>IFERROR(__xludf.DUMMYFUNCTION("""COMPUTED_VALUE"""),1898.0)</f>
        <v>1898</v>
      </c>
      <c r="E2008" s="39" t="str">
        <f>IFERROR(__xludf.DUMMYFUNCTION("""COMPUTED_VALUE"""),"basal forebrain")</f>
        <v>basal forebrain</v>
      </c>
      <c r="F2008" s="9" t="str">
        <f>IFERROR(__xludf.DUMMYFUNCTION("""COMPUTED_VALUE"""),"Br")</f>
        <v>Br</v>
      </c>
      <c r="G2008" s="9" t="str">
        <f>IFERROR(__xludf.DUMMYFUNCTION("""COMPUTED_VALUE"""),"F")</f>
        <v>F</v>
      </c>
      <c r="H2008" s="9" t="str">
        <f>IFERROR(__xludf.DUMMYFUNCTION("""COMPUTED_VALUE"""),"FGM")</f>
        <v>FGM</v>
      </c>
      <c r="I2008" s="9" t="str">
        <f>IFERROR(__xludf.DUMMYFUNCTION("""COMPUTED_VALUE"""),"Tel")</f>
        <v>Tel</v>
      </c>
      <c r="J2008" s="9" t="str">
        <f>IFERROR(__xludf.DUMMYFUNCTION("""COMPUTED_VALUE"""),"CN")</f>
        <v>CN</v>
      </c>
      <c r="K2008" s="9" t="str">
        <f>IFERROR(__xludf.DUMMYFUNCTION("""COMPUTED_VALUE"""),"BF")</f>
        <v>BF</v>
      </c>
      <c r="L2008" s="9"/>
      <c r="M2008" s="9"/>
      <c r="N2008" s="9"/>
      <c r="O2008" s="9"/>
      <c r="P2008" s="9"/>
      <c r="Q2008" s="9"/>
      <c r="R2008" s="9"/>
      <c r="S2008" s="42" t="str">
        <f>IFERROR(__xludf.DUMMYFUNCTION("""COMPUTED_VALUE"""),"SEP;
BNM;
NDB;
NSP;
IsCj;
SI")</f>
        <v>SEP;
BNM;
NDB;
NSP;
IsCj;
SI</v>
      </c>
      <c r="T2008" s="42"/>
      <c r="U2008" s="42" t="b">
        <f>IFERROR(__xludf.DUMMYFUNCTION("""COMPUTED_VALUE"""),FALSE)</f>
        <v>0</v>
      </c>
      <c r="V2008" s="42"/>
      <c r="W2008" s="42"/>
      <c r="X2008" s="42"/>
      <c r="Y2008" s="42"/>
      <c r="Z2008" s="42"/>
      <c r="AA2008" s="42"/>
      <c r="AB2008" s="42" t="str">
        <f>IFERROR(__xludf.DUMMYFUNCTION("""COMPUTED_VALUE"""),"allen institute")</f>
        <v>allen institute</v>
      </c>
      <c r="AC2008" s="42" t="str">
        <f>IFERROR(__xludf.DUMMYFUNCTION("""COMPUTED_VALUE"""),"DHBA")</f>
        <v>DHBA</v>
      </c>
      <c r="AD2008" s="42"/>
      <c r="AE2008" s="42"/>
      <c r="AF2008" s="9"/>
      <c r="AG2008" s="9"/>
      <c r="AH2008" s="42"/>
      <c r="AI2008" s="42"/>
      <c r="AJ2008" s="42"/>
      <c r="AK2008" s="42"/>
      <c r="AL2008" s="42"/>
      <c r="AM2008" s="42"/>
      <c r="AN2008" s="42"/>
      <c r="AO2008" s="63" t="str">
        <f>IFERROR(__xludf.DUMMYFUNCTION("IF(ISBLANK(A2008),,IF(ISBLANK(S2008), A2008&amp;"";"", TEXTJOIN(CHAR(10), TRUE, A2008&amp;"";"", ARRAYFORMULA(VLOOKUP(SPLIT(S2008, "";"" &amp; CHAR(10)), $A:$AO, 41, FALSE)))))"),"#N/A")</f>
        <v>#N/A</v>
      </c>
      <c r="AP2008" s="89"/>
    </row>
    <row r="2009">
      <c r="A2009" s="151" t="str">
        <f>IFERROR(__xludf.DUMMYFUNCTION("""COMPUTED_VALUE"""),"SEP")</f>
        <v>SEP</v>
      </c>
      <c r="B2009" s="42" t="str">
        <f>IFERROR(__xludf.DUMMYFUNCTION("""COMPUTED_VALUE"""),"DHBA")</f>
        <v>DHBA</v>
      </c>
      <c r="C2009" s="42" t="str">
        <f>IFERROR(__xludf.DUMMYFUNCTION("""COMPUTED_VALUE"""),"septal nuclei")</f>
        <v>septal nuclei</v>
      </c>
      <c r="D2009" s="42">
        <f>IFERROR(__xludf.DUMMYFUNCTION("""COMPUTED_VALUE"""),1899.0)</f>
        <v>1899</v>
      </c>
      <c r="E2009" s="39" t="str">
        <f>IFERROR(__xludf.DUMMYFUNCTION("""COMPUTED_VALUE"""),"septal nuclei")</f>
        <v>septal nuclei</v>
      </c>
      <c r="F2009" s="9" t="str">
        <f>IFERROR(__xludf.DUMMYFUNCTION("""COMPUTED_VALUE"""),"Br")</f>
        <v>Br</v>
      </c>
      <c r="G2009" s="9" t="str">
        <f>IFERROR(__xludf.DUMMYFUNCTION("""COMPUTED_VALUE"""),"F")</f>
        <v>F</v>
      </c>
      <c r="H2009" s="9" t="str">
        <f>IFERROR(__xludf.DUMMYFUNCTION("""COMPUTED_VALUE"""),"FGM")</f>
        <v>FGM</v>
      </c>
      <c r="I2009" s="9" t="str">
        <f>IFERROR(__xludf.DUMMYFUNCTION("""COMPUTED_VALUE"""),"Tel")</f>
        <v>Tel</v>
      </c>
      <c r="J2009" s="9" t="str">
        <f>IFERROR(__xludf.DUMMYFUNCTION("""COMPUTED_VALUE"""),"CN")</f>
        <v>CN</v>
      </c>
      <c r="K2009" s="9" t="str">
        <f>IFERROR(__xludf.DUMMYFUNCTION("""COMPUTED_VALUE"""),"BF")</f>
        <v>BF</v>
      </c>
      <c r="L2009" s="9" t="str">
        <f>IFERROR(__xludf.DUMMYFUNCTION("""COMPUTED_VALUE"""),"SEP")</f>
        <v>SEP</v>
      </c>
      <c r="M2009" s="9"/>
      <c r="N2009" s="9"/>
      <c r="O2009" s="9"/>
      <c r="P2009" s="9"/>
      <c r="Q2009" s="9"/>
      <c r="R2009" s="9"/>
      <c r="S2009" s="42" t="str">
        <f>IFERROR(__xludf.DUMMYFUNCTION("""COMPUTED_VALUE"""),"MSN;
LSN;
CSN;
SHi;
Ld;
PLd;
SHy")</f>
        <v>MSN;
LSN;
CSN;
SHi;
Ld;
PLd;
SHy</v>
      </c>
      <c r="T2009" s="42"/>
      <c r="U2009" s="159" t="b">
        <f>IFERROR(__xludf.DUMMYFUNCTION("""COMPUTED_VALUE"""),FALSE)</f>
        <v>0</v>
      </c>
      <c r="V2009" s="42"/>
      <c r="W2009" s="42"/>
      <c r="X2009" s="42"/>
      <c r="Y2009" s="42"/>
      <c r="Z2009" s="42"/>
      <c r="AA2009" s="42"/>
      <c r="AB2009" s="42" t="str">
        <f>IFERROR(__xludf.DUMMYFUNCTION("""COMPUTED_VALUE"""),"allen institute")</f>
        <v>allen institute</v>
      </c>
      <c r="AC2009" s="42" t="str">
        <f>IFERROR(__xludf.DUMMYFUNCTION("""COMPUTED_VALUE"""),"DHBA")</f>
        <v>DHBA</v>
      </c>
      <c r="AD2009" s="42"/>
      <c r="AE2009" s="42"/>
      <c r="AF2009" s="9"/>
      <c r="AG2009" s="9"/>
      <c r="AH2009" s="42"/>
      <c r="AI2009" s="42"/>
      <c r="AJ2009" s="42"/>
      <c r="AK2009" s="42"/>
      <c r="AL2009" s="42"/>
      <c r="AM2009" s="42"/>
      <c r="AN2009" s="42"/>
      <c r="AO2009" s="63" t="str">
        <f>IFERROR(__xludf.DUMMYFUNCTION("IF(ISBLANK(A2009),,IF(ISBLANK(S2009), A2009&amp;"";"", TEXTJOIN(CHAR(10), TRUE, A2009&amp;"";"", ARRAYFORMULA(VLOOKUP(SPLIT(S2009, "";"" &amp; CHAR(10)), $A:$AO, 41, FALSE)))))"),"SEP;
MSN;
LSN;
LSNd;
LSNi;
LSNv;
CSN;
SFi;
TSN;
SHi;
Ld;
Pld;
SHy;")</f>
        <v>SEP;
MSN;
LSN;
LSNd;
LSNi;
LSNv;
CSN;
SFi;
TSN;
SHi;
Ld;
Pld;
SHy;</v>
      </c>
      <c r="AP2009" s="89"/>
    </row>
    <row r="2010">
      <c r="A2010" s="151" t="str">
        <f>IFERROR(__xludf.DUMMYFUNCTION("""COMPUTED_VALUE"""),"MSN")</f>
        <v>MSN</v>
      </c>
      <c r="B2010" s="42" t="str">
        <f>IFERROR(__xludf.DUMMYFUNCTION("""COMPUTED_VALUE"""),"DHBA")</f>
        <v>DHBA</v>
      </c>
      <c r="C2010" s="42" t="str">
        <f>IFERROR(__xludf.DUMMYFUNCTION("""COMPUTED_VALUE"""),"Medial septum")</f>
        <v>Medial septum</v>
      </c>
      <c r="D2010" s="42">
        <f>IFERROR(__xludf.DUMMYFUNCTION("""COMPUTED_VALUE"""),1900.0)</f>
        <v>1900</v>
      </c>
      <c r="E2010" s="39" t="str">
        <f>IFERROR(__xludf.DUMMYFUNCTION("""COMPUTED_VALUE"""),"medial septal nucleus")</f>
        <v>medial septal nucleus</v>
      </c>
      <c r="F2010" s="9" t="str">
        <f>IFERROR(__xludf.DUMMYFUNCTION("""COMPUTED_VALUE"""),"Br")</f>
        <v>Br</v>
      </c>
      <c r="G2010" s="9" t="str">
        <f>IFERROR(__xludf.DUMMYFUNCTION("""COMPUTED_VALUE"""),"F")</f>
        <v>F</v>
      </c>
      <c r="H2010" s="9" t="str">
        <f>IFERROR(__xludf.DUMMYFUNCTION("""COMPUTED_VALUE"""),"FGM")</f>
        <v>FGM</v>
      </c>
      <c r="I2010" s="9" t="str">
        <f>IFERROR(__xludf.DUMMYFUNCTION("""COMPUTED_VALUE"""),"Tel")</f>
        <v>Tel</v>
      </c>
      <c r="J2010" s="9" t="str">
        <f>IFERROR(__xludf.DUMMYFUNCTION("""COMPUTED_VALUE"""),"CN")</f>
        <v>CN</v>
      </c>
      <c r="K2010" s="9" t="str">
        <f>IFERROR(__xludf.DUMMYFUNCTION("""COMPUTED_VALUE"""),"BF")</f>
        <v>BF</v>
      </c>
      <c r="L2010" s="9" t="str">
        <f>IFERROR(__xludf.DUMMYFUNCTION("""COMPUTED_VALUE"""),"SEP")</f>
        <v>SEP</v>
      </c>
      <c r="M2010" s="9" t="str">
        <f>IFERROR(__xludf.DUMMYFUNCTION("""COMPUTED_VALUE"""),"MSN")</f>
        <v>MSN</v>
      </c>
      <c r="N2010" s="9"/>
      <c r="O2010" s="9"/>
      <c r="P2010" s="9"/>
      <c r="Q2010" s="9"/>
      <c r="R2010" s="9"/>
      <c r="S2010" s="42"/>
      <c r="T2010" s="42"/>
      <c r="U2010" s="159"/>
      <c r="V2010" s="42"/>
      <c r="W2010" s="42"/>
      <c r="X2010" s="42"/>
      <c r="Y2010" s="42"/>
      <c r="Z2010" s="42"/>
      <c r="AA2010" s="42"/>
      <c r="AB2010" s="42" t="str">
        <f>IFERROR(__xludf.DUMMYFUNCTION("""COMPUTED_VALUE"""),"allen institute")</f>
        <v>allen institute</v>
      </c>
      <c r="AC2010" s="42" t="str">
        <f>IFERROR(__xludf.DUMMYFUNCTION("""COMPUTED_VALUE"""),"DHBA")</f>
        <v>DHBA</v>
      </c>
      <c r="AD2010" s="42"/>
      <c r="AE2010" s="42"/>
      <c r="AF2010" s="9"/>
      <c r="AG2010" s="9"/>
      <c r="AH2010" s="42"/>
      <c r="AI2010" s="42"/>
      <c r="AJ2010" s="42"/>
      <c r="AK2010" s="42"/>
      <c r="AL2010" s="42"/>
      <c r="AM2010" s="42"/>
      <c r="AN2010" s="42"/>
      <c r="AO2010" s="63" t="str">
        <f>IFERROR(__xludf.DUMMYFUNCTION("IF(ISBLANK(A2010),,IF(ISBLANK(S2010), A2010&amp;"";"", TEXTJOIN(CHAR(10), TRUE, A2010&amp;"";"", ARRAYFORMULA(VLOOKUP(SPLIT(S2010, "";"" &amp; CHAR(10)), $A:$AO, 41, FALSE)))))"),"MSN;")</f>
        <v>MSN;</v>
      </c>
      <c r="AP2010" s="89"/>
    </row>
    <row r="2011">
      <c r="A2011" s="151" t="str">
        <f>IFERROR(__xludf.DUMMYFUNCTION("""COMPUTED_VALUE"""),"LSN")</f>
        <v>LSN</v>
      </c>
      <c r="B2011" s="42" t="str">
        <f>IFERROR(__xludf.DUMMYFUNCTION("""COMPUTED_VALUE"""),"DHBA")</f>
        <v>DHBA</v>
      </c>
      <c r="C2011" s="42" t="str">
        <f>IFERROR(__xludf.DUMMYFUNCTION("""COMPUTED_VALUE"""),"lateral septal nucleus")</f>
        <v>lateral septal nucleus</v>
      </c>
      <c r="D2011" s="42">
        <f>IFERROR(__xludf.DUMMYFUNCTION("""COMPUTED_VALUE"""),1901.0)</f>
        <v>1901</v>
      </c>
      <c r="E2011" s="39" t="str">
        <f>IFERROR(__xludf.DUMMYFUNCTION("""COMPUTED_VALUE"""),"lateral septal nucleus")</f>
        <v>lateral septal nucleus</v>
      </c>
      <c r="F2011" s="9" t="str">
        <f>IFERROR(__xludf.DUMMYFUNCTION("""COMPUTED_VALUE"""),"Br")</f>
        <v>Br</v>
      </c>
      <c r="G2011" s="9" t="str">
        <f>IFERROR(__xludf.DUMMYFUNCTION("""COMPUTED_VALUE"""),"F")</f>
        <v>F</v>
      </c>
      <c r="H2011" s="9" t="str">
        <f>IFERROR(__xludf.DUMMYFUNCTION("""COMPUTED_VALUE"""),"FGM")</f>
        <v>FGM</v>
      </c>
      <c r="I2011" s="9" t="str">
        <f>IFERROR(__xludf.DUMMYFUNCTION("""COMPUTED_VALUE"""),"Tel")</f>
        <v>Tel</v>
      </c>
      <c r="J2011" s="9" t="str">
        <f>IFERROR(__xludf.DUMMYFUNCTION("""COMPUTED_VALUE"""),"CN")</f>
        <v>CN</v>
      </c>
      <c r="K2011" s="9" t="str">
        <f>IFERROR(__xludf.DUMMYFUNCTION("""COMPUTED_VALUE"""),"BF")</f>
        <v>BF</v>
      </c>
      <c r="L2011" s="9" t="str">
        <f>IFERROR(__xludf.DUMMYFUNCTION("""COMPUTED_VALUE"""),"SEP")</f>
        <v>SEP</v>
      </c>
      <c r="M2011" s="9" t="str">
        <f>IFERROR(__xludf.DUMMYFUNCTION("""COMPUTED_VALUE"""),"LSN")</f>
        <v>LSN</v>
      </c>
      <c r="N2011" s="9"/>
      <c r="O2011" s="9"/>
      <c r="P2011" s="9"/>
      <c r="Q2011" s="9"/>
      <c r="R2011" s="9"/>
      <c r="S2011" s="42" t="str">
        <f>IFERROR(__xludf.DUMMYFUNCTION("""COMPUTED_VALUE"""),"LSNd;
LSNi;
LSNv")</f>
        <v>LSNd;
LSNi;
LSNv</v>
      </c>
      <c r="T2011" s="42"/>
      <c r="U2011" s="159" t="b">
        <f>IFERROR(__xludf.DUMMYFUNCTION("""COMPUTED_VALUE"""),FALSE)</f>
        <v>0</v>
      </c>
      <c r="V2011" s="42"/>
      <c r="W2011" s="42"/>
      <c r="X2011" s="42"/>
      <c r="Y2011" s="42"/>
      <c r="Z2011" s="42"/>
      <c r="AA2011" s="42"/>
      <c r="AB2011" s="42" t="str">
        <f>IFERROR(__xludf.DUMMYFUNCTION("""COMPUTED_VALUE"""),"allen institute")</f>
        <v>allen institute</v>
      </c>
      <c r="AC2011" s="42" t="str">
        <f>IFERROR(__xludf.DUMMYFUNCTION("""COMPUTED_VALUE"""),"DHBA")</f>
        <v>DHBA</v>
      </c>
      <c r="AD2011" s="42"/>
      <c r="AE2011" s="42"/>
      <c r="AF2011" s="9"/>
      <c r="AG2011" s="9"/>
      <c r="AH2011" s="42"/>
      <c r="AI2011" s="42"/>
      <c r="AJ2011" s="42"/>
      <c r="AK2011" s="42"/>
      <c r="AL2011" s="42"/>
      <c r="AM2011" s="42"/>
      <c r="AN2011" s="42"/>
      <c r="AO2011" s="63" t="str">
        <f>IFERROR(__xludf.DUMMYFUNCTION("IF(ISBLANK(A2011),,IF(ISBLANK(S2011), A2011&amp;"";"", TEXTJOIN(CHAR(10), TRUE, A2011&amp;"";"", ARRAYFORMULA(VLOOKUP(SPLIT(S2011, "";"" &amp; CHAR(10)), $A:$AO, 41, FALSE)))))"),"LSN;
LSNd;
LSNi;
LSNv;")</f>
        <v>LSN;
LSNd;
LSNi;
LSNv;</v>
      </c>
      <c r="AP2011" s="89"/>
    </row>
    <row r="2012">
      <c r="A2012" s="151" t="str">
        <f>IFERROR(__xludf.DUMMYFUNCTION("""COMPUTED_VALUE"""),"LSNd")</f>
        <v>LSNd</v>
      </c>
      <c r="B2012" s="42" t="str">
        <f>IFERROR(__xludf.DUMMYFUNCTION("""COMPUTED_VALUE"""),"DHBA")</f>
        <v>DHBA</v>
      </c>
      <c r="C2012" s="42" t="str">
        <f>IFERROR(__xludf.DUMMYFUNCTION("""COMPUTED_VALUE"""),"dorsal division of lateral septal nucleus")</f>
        <v>dorsal division of lateral septal nucleus</v>
      </c>
      <c r="D2012" s="42">
        <f>IFERROR(__xludf.DUMMYFUNCTION("""COMPUTED_VALUE"""),1902.0)</f>
        <v>1902</v>
      </c>
      <c r="E2012" s="39" t="str">
        <f>IFERROR(__xludf.DUMMYFUNCTION("""COMPUTED_VALUE"""),"dorsal division of lateral septal nucleus")</f>
        <v>dorsal division of lateral septal nucleus</v>
      </c>
      <c r="F2012" s="9" t="str">
        <f>IFERROR(__xludf.DUMMYFUNCTION("""COMPUTED_VALUE"""),"Br")</f>
        <v>Br</v>
      </c>
      <c r="G2012" s="9" t="str">
        <f>IFERROR(__xludf.DUMMYFUNCTION("""COMPUTED_VALUE"""),"F")</f>
        <v>F</v>
      </c>
      <c r="H2012" s="9" t="str">
        <f>IFERROR(__xludf.DUMMYFUNCTION("""COMPUTED_VALUE"""),"FGM")</f>
        <v>FGM</v>
      </c>
      <c r="I2012" s="9" t="str">
        <f>IFERROR(__xludf.DUMMYFUNCTION("""COMPUTED_VALUE"""),"Tel")</f>
        <v>Tel</v>
      </c>
      <c r="J2012" s="9" t="str">
        <f>IFERROR(__xludf.DUMMYFUNCTION("""COMPUTED_VALUE"""),"CN")</f>
        <v>CN</v>
      </c>
      <c r="K2012" s="9" t="str">
        <f>IFERROR(__xludf.DUMMYFUNCTION("""COMPUTED_VALUE"""),"BF")</f>
        <v>BF</v>
      </c>
      <c r="L2012" s="9" t="str">
        <f>IFERROR(__xludf.DUMMYFUNCTION("""COMPUTED_VALUE"""),"SEP")</f>
        <v>SEP</v>
      </c>
      <c r="M2012" s="9" t="str">
        <f>IFERROR(__xludf.DUMMYFUNCTION("""COMPUTED_VALUE"""),"LSN")</f>
        <v>LSN</v>
      </c>
      <c r="N2012" s="9" t="str">
        <f>IFERROR(__xludf.DUMMYFUNCTION("""COMPUTED_VALUE"""),"LSNd")</f>
        <v>LSNd</v>
      </c>
      <c r="O2012" s="9"/>
      <c r="P2012" s="9"/>
      <c r="Q2012" s="9"/>
      <c r="R2012" s="9"/>
      <c r="S2012" s="42"/>
      <c r="T2012" s="42"/>
      <c r="U2012" s="159"/>
      <c r="V2012" s="42"/>
      <c r="W2012" s="42"/>
      <c r="X2012" s="42"/>
      <c r="Y2012" s="42"/>
      <c r="Z2012" s="42"/>
      <c r="AA2012" s="42"/>
      <c r="AB2012" s="42" t="str">
        <f>IFERROR(__xludf.DUMMYFUNCTION("""COMPUTED_VALUE"""),"allen institute")</f>
        <v>allen institute</v>
      </c>
      <c r="AC2012" s="42" t="str">
        <f>IFERROR(__xludf.DUMMYFUNCTION("""COMPUTED_VALUE"""),"DHBA")</f>
        <v>DHBA</v>
      </c>
      <c r="AD2012" s="42"/>
      <c r="AE2012" s="42"/>
      <c r="AF2012" s="9"/>
      <c r="AG2012" s="9"/>
      <c r="AH2012" s="42"/>
      <c r="AI2012" s="42"/>
      <c r="AJ2012" s="42"/>
      <c r="AK2012" s="42"/>
      <c r="AL2012" s="42"/>
      <c r="AM2012" s="42"/>
      <c r="AN2012" s="42"/>
      <c r="AO2012" s="63" t="str">
        <f>IFERROR(__xludf.DUMMYFUNCTION("IF(ISBLANK(A2012),,IF(ISBLANK(S2012), A2012&amp;"";"", TEXTJOIN(CHAR(10), TRUE, A2012&amp;"";"", ARRAYFORMULA(VLOOKUP(SPLIT(S2012, "";"" &amp; CHAR(10)), $A:$AO, 41, FALSE)))))"),"LSNd;")</f>
        <v>LSNd;</v>
      </c>
      <c r="AP2012" s="89"/>
    </row>
    <row r="2013">
      <c r="A2013" s="151" t="str">
        <f>IFERROR(__xludf.DUMMYFUNCTION("""COMPUTED_VALUE"""),"LSNi")</f>
        <v>LSNi</v>
      </c>
      <c r="B2013" s="42" t="str">
        <f>IFERROR(__xludf.DUMMYFUNCTION("""COMPUTED_VALUE"""),"DHBA")</f>
        <v>DHBA</v>
      </c>
      <c r="C2013" s="42" t="str">
        <f>IFERROR(__xludf.DUMMYFUNCTION("""COMPUTED_VALUE"""),"intermediate division of lateral septal nucleus")</f>
        <v>intermediate division of lateral septal nucleus</v>
      </c>
      <c r="D2013" s="42">
        <f>IFERROR(__xludf.DUMMYFUNCTION("""COMPUTED_VALUE"""),1903.0)</f>
        <v>1903</v>
      </c>
      <c r="E2013" s="39" t="str">
        <f>IFERROR(__xludf.DUMMYFUNCTION("""COMPUTED_VALUE"""),"intermediate division of lateral septal nucleus")</f>
        <v>intermediate division of lateral septal nucleus</v>
      </c>
      <c r="F2013" s="9" t="str">
        <f>IFERROR(__xludf.DUMMYFUNCTION("""COMPUTED_VALUE"""),"Br")</f>
        <v>Br</v>
      </c>
      <c r="G2013" s="9" t="str">
        <f>IFERROR(__xludf.DUMMYFUNCTION("""COMPUTED_VALUE"""),"F")</f>
        <v>F</v>
      </c>
      <c r="H2013" s="9" t="str">
        <f>IFERROR(__xludf.DUMMYFUNCTION("""COMPUTED_VALUE"""),"FGM")</f>
        <v>FGM</v>
      </c>
      <c r="I2013" s="9" t="str">
        <f>IFERROR(__xludf.DUMMYFUNCTION("""COMPUTED_VALUE"""),"Tel")</f>
        <v>Tel</v>
      </c>
      <c r="J2013" s="9" t="str">
        <f>IFERROR(__xludf.DUMMYFUNCTION("""COMPUTED_VALUE"""),"CN")</f>
        <v>CN</v>
      </c>
      <c r="K2013" s="9" t="str">
        <f>IFERROR(__xludf.DUMMYFUNCTION("""COMPUTED_VALUE"""),"BF")</f>
        <v>BF</v>
      </c>
      <c r="L2013" s="9" t="str">
        <f>IFERROR(__xludf.DUMMYFUNCTION("""COMPUTED_VALUE"""),"SEP")</f>
        <v>SEP</v>
      </c>
      <c r="M2013" s="9" t="str">
        <f>IFERROR(__xludf.DUMMYFUNCTION("""COMPUTED_VALUE"""),"LSN")</f>
        <v>LSN</v>
      </c>
      <c r="N2013" s="9" t="str">
        <f>IFERROR(__xludf.DUMMYFUNCTION("""COMPUTED_VALUE"""),"LSNi")</f>
        <v>LSNi</v>
      </c>
      <c r="O2013" s="9"/>
      <c r="P2013" s="9"/>
      <c r="Q2013" s="9"/>
      <c r="R2013" s="9"/>
      <c r="S2013" s="42"/>
      <c r="T2013" s="42"/>
      <c r="U2013" s="159"/>
      <c r="V2013" s="42"/>
      <c r="W2013" s="42"/>
      <c r="X2013" s="42"/>
      <c r="Y2013" s="42"/>
      <c r="Z2013" s="42"/>
      <c r="AA2013" s="42"/>
      <c r="AB2013" s="42" t="str">
        <f>IFERROR(__xludf.DUMMYFUNCTION("""COMPUTED_VALUE"""),"allen institute")</f>
        <v>allen institute</v>
      </c>
      <c r="AC2013" s="42" t="str">
        <f>IFERROR(__xludf.DUMMYFUNCTION("""COMPUTED_VALUE"""),"DHBA")</f>
        <v>DHBA</v>
      </c>
      <c r="AD2013" s="42"/>
      <c r="AE2013" s="42"/>
      <c r="AF2013" s="9"/>
      <c r="AG2013" s="9"/>
      <c r="AH2013" s="42"/>
      <c r="AI2013" s="42"/>
      <c r="AJ2013" s="42"/>
      <c r="AK2013" s="42"/>
      <c r="AL2013" s="42"/>
      <c r="AM2013" s="42"/>
      <c r="AN2013" s="42"/>
      <c r="AO2013" s="63" t="str">
        <f>IFERROR(__xludf.DUMMYFUNCTION("IF(ISBLANK(A2013),,IF(ISBLANK(S2013), A2013&amp;"";"", TEXTJOIN(CHAR(10), TRUE, A2013&amp;"";"", ARRAYFORMULA(VLOOKUP(SPLIT(S2013, "";"" &amp; CHAR(10)), $A:$AO, 41, FALSE)))))"),"LSNi;")</f>
        <v>LSNi;</v>
      </c>
      <c r="AP2013" s="89"/>
    </row>
    <row r="2014">
      <c r="A2014" s="151" t="str">
        <f>IFERROR(__xludf.DUMMYFUNCTION("""COMPUTED_VALUE"""),"LSNv")</f>
        <v>LSNv</v>
      </c>
      <c r="B2014" s="42" t="str">
        <f>IFERROR(__xludf.DUMMYFUNCTION("""COMPUTED_VALUE"""),"DHBA")</f>
        <v>DHBA</v>
      </c>
      <c r="C2014" s="42" t="str">
        <f>IFERROR(__xludf.DUMMYFUNCTION("""COMPUTED_VALUE"""),"ventral division of lateral septal nucleus")</f>
        <v>ventral division of lateral septal nucleus</v>
      </c>
      <c r="D2014" s="42">
        <f>IFERROR(__xludf.DUMMYFUNCTION("""COMPUTED_VALUE"""),1904.0)</f>
        <v>1904</v>
      </c>
      <c r="E2014" s="39" t="str">
        <f>IFERROR(__xludf.DUMMYFUNCTION("""COMPUTED_VALUE"""),"ventral division of lateral septal nucleus")</f>
        <v>ventral division of lateral septal nucleus</v>
      </c>
      <c r="F2014" s="9" t="str">
        <f>IFERROR(__xludf.DUMMYFUNCTION("""COMPUTED_VALUE"""),"Br")</f>
        <v>Br</v>
      </c>
      <c r="G2014" s="9" t="str">
        <f>IFERROR(__xludf.DUMMYFUNCTION("""COMPUTED_VALUE"""),"F")</f>
        <v>F</v>
      </c>
      <c r="H2014" s="9" t="str">
        <f>IFERROR(__xludf.DUMMYFUNCTION("""COMPUTED_VALUE"""),"FGM")</f>
        <v>FGM</v>
      </c>
      <c r="I2014" s="9" t="str">
        <f>IFERROR(__xludf.DUMMYFUNCTION("""COMPUTED_VALUE"""),"Tel")</f>
        <v>Tel</v>
      </c>
      <c r="J2014" s="9" t="str">
        <f>IFERROR(__xludf.DUMMYFUNCTION("""COMPUTED_VALUE"""),"CN")</f>
        <v>CN</v>
      </c>
      <c r="K2014" s="9" t="str">
        <f>IFERROR(__xludf.DUMMYFUNCTION("""COMPUTED_VALUE"""),"BF")</f>
        <v>BF</v>
      </c>
      <c r="L2014" s="9" t="str">
        <f>IFERROR(__xludf.DUMMYFUNCTION("""COMPUTED_VALUE"""),"SEP")</f>
        <v>SEP</v>
      </c>
      <c r="M2014" s="9" t="str">
        <f>IFERROR(__xludf.DUMMYFUNCTION("""COMPUTED_VALUE"""),"LSN")</f>
        <v>LSN</v>
      </c>
      <c r="N2014" s="9" t="str">
        <f>IFERROR(__xludf.DUMMYFUNCTION("""COMPUTED_VALUE"""),"LSNv")</f>
        <v>LSNv</v>
      </c>
      <c r="O2014" s="9"/>
      <c r="P2014" s="9"/>
      <c r="Q2014" s="9"/>
      <c r="R2014" s="9"/>
      <c r="S2014" s="42"/>
      <c r="T2014" s="42"/>
      <c r="U2014" s="42"/>
      <c r="V2014" s="42"/>
      <c r="W2014" s="42"/>
      <c r="X2014" s="42"/>
      <c r="Y2014" s="42"/>
      <c r="Z2014" s="42"/>
      <c r="AA2014" s="42"/>
      <c r="AB2014" s="42" t="str">
        <f>IFERROR(__xludf.DUMMYFUNCTION("""COMPUTED_VALUE"""),"allen institute")</f>
        <v>allen institute</v>
      </c>
      <c r="AC2014" s="42" t="str">
        <f>IFERROR(__xludf.DUMMYFUNCTION("""COMPUTED_VALUE"""),"DHBA")</f>
        <v>DHBA</v>
      </c>
      <c r="AD2014" s="42"/>
      <c r="AE2014" s="42"/>
      <c r="AF2014" s="9"/>
      <c r="AG2014" s="9"/>
      <c r="AH2014" s="42"/>
      <c r="AI2014" s="42"/>
      <c r="AJ2014" s="42"/>
      <c r="AK2014" s="42"/>
      <c r="AL2014" s="42"/>
      <c r="AM2014" s="42"/>
      <c r="AN2014" s="42"/>
      <c r="AO2014" s="63" t="str">
        <f>IFERROR(__xludf.DUMMYFUNCTION("IF(ISBLANK(A2014),,IF(ISBLANK(S2014), A2014&amp;"";"", TEXTJOIN(CHAR(10), TRUE, A2014&amp;"";"", ARRAYFORMULA(VLOOKUP(SPLIT(S2014, "";"" &amp; CHAR(10)), $A:$AO, 41, FALSE)))))"),"LSNv;")</f>
        <v>LSNv;</v>
      </c>
      <c r="AP2014" s="89"/>
    </row>
    <row r="2015">
      <c r="A2015" s="151" t="str">
        <f>IFERROR(__xludf.DUMMYFUNCTION("""COMPUTED_VALUE"""),"CSN")</f>
        <v>CSN</v>
      </c>
      <c r="B2015" s="42" t="str">
        <f>IFERROR(__xludf.DUMMYFUNCTION("""COMPUTED_VALUE"""),"DHBA")</f>
        <v>DHBA</v>
      </c>
      <c r="C2015" s="42" t="str">
        <f>IFERROR(__xludf.DUMMYFUNCTION("""COMPUTED_VALUE"""),"caudal septal nucleus")</f>
        <v>caudal septal nucleus</v>
      </c>
      <c r="D2015" s="42">
        <f>IFERROR(__xludf.DUMMYFUNCTION("""COMPUTED_VALUE"""),1905.0)</f>
        <v>1905</v>
      </c>
      <c r="E2015" s="39" t="str">
        <f>IFERROR(__xludf.DUMMYFUNCTION("""COMPUTED_VALUE"""),"caudal septal nucleus")</f>
        <v>caudal septal nucleus</v>
      </c>
      <c r="F2015" s="9" t="str">
        <f>IFERROR(__xludf.DUMMYFUNCTION("""COMPUTED_VALUE"""),"Br")</f>
        <v>Br</v>
      </c>
      <c r="G2015" s="9" t="str">
        <f>IFERROR(__xludf.DUMMYFUNCTION("""COMPUTED_VALUE"""),"F")</f>
        <v>F</v>
      </c>
      <c r="H2015" s="9" t="str">
        <f>IFERROR(__xludf.DUMMYFUNCTION("""COMPUTED_VALUE"""),"FGM")</f>
        <v>FGM</v>
      </c>
      <c r="I2015" s="9" t="str">
        <f>IFERROR(__xludf.DUMMYFUNCTION("""COMPUTED_VALUE"""),"Tel")</f>
        <v>Tel</v>
      </c>
      <c r="J2015" s="9" t="str">
        <f>IFERROR(__xludf.DUMMYFUNCTION("""COMPUTED_VALUE"""),"CN")</f>
        <v>CN</v>
      </c>
      <c r="K2015" s="9" t="str">
        <f>IFERROR(__xludf.DUMMYFUNCTION("""COMPUTED_VALUE"""),"BF")</f>
        <v>BF</v>
      </c>
      <c r="L2015" s="9" t="str">
        <f>IFERROR(__xludf.DUMMYFUNCTION("""COMPUTED_VALUE"""),"SEP")</f>
        <v>SEP</v>
      </c>
      <c r="M2015" s="9" t="str">
        <f>IFERROR(__xludf.DUMMYFUNCTION("""COMPUTED_VALUE"""),"CSN")</f>
        <v>CSN</v>
      </c>
      <c r="N2015" s="9"/>
      <c r="O2015" s="9"/>
      <c r="P2015" s="9"/>
      <c r="Q2015" s="9"/>
      <c r="R2015" s="9"/>
      <c r="S2015" s="42" t="str">
        <f>IFERROR(__xludf.DUMMYFUNCTION("""COMPUTED_VALUE"""),"SFi;
TSN")</f>
        <v>SFi;
TSN</v>
      </c>
      <c r="T2015" s="42"/>
      <c r="U2015" s="42" t="b">
        <f>IFERROR(__xludf.DUMMYFUNCTION("""COMPUTED_VALUE"""),FALSE)</f>
        <v>0</v>
      </c>
      <c r="V2015" s="42"/>
      <c r="W2015" s="42"/>
      <c r="X2015" s="42"/>
      <c r="Y2015" s="42"/>
      <c r="Z2015" s="42"/>
      <c r="AA2015" s="42"/>
      <c r="AB2015" s="42" t="str">
        <f>IFERROR(__xludf.DUMMYFUNCTION("""COMPUTED_VALUE"""),"allen institute")</f>
        <v>allen institute</v>
      </c>
      <c r="AC2015" s="42" t="str">
        <f>IFERROR(__xludf.DUMMYFUNCTION("""COMPUTED_VALUE"""),"DHBA")</f>
        <v>DHBA</v>
      </c>
      <c r="AD2015" s="42"/>
      <c r="AE2015" s="42"/>
      <c r="AF2015" s="9"/>
      <c r="AG2015" s="9"/>
      <c r="AH2015" s="42"/>
      <c r="AI2015" s="42"/>
      <c r="AJ2015" s="42"/>
      <c r="AK2015" s="42"/>
      <c r="AL2015" s="42"/>
      <c r="AM2015" s="42"/>
      <c r="AN2015" s="42"/>
      <c r="AO2015" s="63" t="str">
        <f>IFERROR(__xludf.DUMMYFUNCTION("IF(ISBLANK(A2015),,IF(ISBLANK(S2015), A2015&amp;"";"", TEXTJOIN(CHAR(10), TRUE, A2015&amp;"";"", ARRAYFORMULA(VLOOKUP(SPLIT(S2015, "";"" &amp; CHAR(10)), $A:$AO, 41, FALSE)))))"),"CSN;
SFi;
TSN;")</f>
        <v>CSN;
SFi;
TSN;</v>
      </c>
      <c r="AP2015" s="89"/>
    </row>
    <row r="2016">
      <c r="A2016" s="151" t="str">
        <f>IFERROR(__xludf.DUMMYFUNCTION("""COMPUTED_VALUE"""),"SFi")</f>
        <v>SFi</v>
      </c>
      <c r="B2016" s="42" t="str">
        <f>IFERROR(__xludf.DUMMYFUNCTION("""COMPUTED_VALUE"""),"DHBA")</f>
        <v>DHBA</v>
      </c>
      <c r="C2016" s="42" t="str">
        <f>IFERROR(__xludf.DUMMYFUNCTION("""COMPUTED_VALUE"""),"septofimbrial nucleus")</f>
        <v>septofimbrial nucleus</v>
      </c>
      <c r="D2016" s="42">
        <f>IFERROR(__xludf.DUMMYFUNCTION("""COMPUTED_VALUE"""),1906.0)</f>
        <v>1906</v>
      </c>
      <c r="E2016" s="39" t="str">
        <f>IFERROR(__xludf.DUMMYFUNCTION("""COMPUTED_VALUE"""),"septofimbrial nucleus")</f>
        <v>septofimbrial nucleus</v>
      </c>
      <c r="F2016" s="9" t="str">
        <f>IFERROR(__xludf.DUMMYFUNCTION("""COMPUTED_VALUE"""),"Br")</f>
        <v>Br</v>
      </c>
      <c r="G2016" s="9" t="str">
        <f>IFERROR(__xludf.DUMMYFUNCTION("""COMPUTED_VALUE"""),"F")</f>
        <v>F</v>
      </c>
      <c r="H2016" s="9" t="str">
        <f>IFERROR(__xludf.DUMMYFUNCTION("""COMPUTED_VALUE"""),"FGM")</f>
        <v>FGM</v>
      </c>
      <c r="I2016" s="9" t="str">
        <f>IFERROR(__xludf.DUMMYFUNCTION("""COMPUTED_VALUE"""),"Tel")</f>
        <v>Tel</v>
      </c>
      <c r="J2016" s="9" t="str">
        <f>IFERROR(__xludf.DUMMYFUNCTION("""COMPUTED_VALUE"""),"CN")</f>
        <v>CN</v>
      </c>
      <c r="K2016" s="9" t="str">
        <f>IFERROR(__xludf.DUMMYFUNCTION("""COMPUTED_VALUE"""),"BF")</f>
        <v>BF</v>
      </c>
      <c r="L2016" s="9" t="str">
        <f>IFERROR(__xludf.DUMMYFUNCTION("""COMPUTED_VALUE"""),"SEP")</f>
        <v>SEP</v>
      </c>
      <c r="M2016" s="9" t="str">
        <f>IFERROR(__xludf.DUMMYFUNCTION("""COMPUTED_VALUE"""),"CSN")</f>
        <v>CSN</v>
      </c>
      <c r="N2016" s="9" t="str">
        <f>IFERROR(__xludf.DUMMYFUNCTION("""COMPUTED_VALUE"""),"SFi")</f>
        <v>SFi</v>
      </c>
      <c r="O2016" s="9"/>
      <c r="P2016" s="9"/>
      <c r="Q2016" s="9"/>
      <c r="R2016" s="9"/>
      <c r="S2016" s="42"/>
      <c r="T2016" s="42"/>
      <c r="U2016" s="42"/>
      <c r="V2016" s="42"/>
      <c r="W2016" s="42"/>
      <c r="X2016" s="42"/>
      <c r="Y2016" s="42"/>
      <c r="Z2016" s="42"/>
      <c r="AA2016" s="42"/>
      <c r="AB2016" s="42" t="str">
        <f>IFERROR(__xludf.DUMMYFUNCTION("""COMPUTED_VALUE"""),"allen institute")</f>
        <v>allen institute</v>
      </c>
      <c r="AC2016" s="42" t="str">
        <f>IFERROR(__xludf.DUMMYFUNCTION("""COMPUTED_VALUE"""),"DHBA")</f>
        <v>DHBA</v>
      </c>
      <c r="AD2016" s="42"/>
      <c r="AE2016" s="42"/>
      <c r="AF2016" s="9"/>
      <c r="AG2016" s="9"/>
      <c r="AH2016" s="42"/>
      <c r="AI2016" s="42"/>
      <c r="AJ2016" s="42"/>
      <c r="AK2016" s="42"/>
      <c r="AL2016" s="42"/>
      <c r="AM2016" s="42"/>
      <c r="AN2016" s="42"/>
      <c r="AO2016" s="63" t="str">
        <f>IFERROR(__xludf.DUMMYFUNCTION("IF(ISBLANK(A2016),,IF(ISBLANK(S2016), A2016&amp;"";"", TEXTJOIN(CHAR(10), TRUE, A2016&amp;"";"", ARRAYFORMULA(VLOOKUP(SPLIT(S2016, "";"" &amp; CHAR(10)), $A:$AO, 41, FALSE)))))"),"SFi;")</f>
        <v>SFi;</v>
      </c>
      <c r="AP2016" s="89"/>
    </row>
    <row r="2017">
      <c r="A2017" s="151" t="str">
        <f>IFERROR(__xludf.DUMMYFUNCTION("""COMPUTED_VALUE"""),"TSN")</f>
        <v>TSN</v>
      </c>
      <c r="B2017" s="42" t="str">
        <f>IFERROR(__xludf.DUMMYFUNCTION("""COMPUTED_VALUE"""),"DHBA")</f>
        <v>DHBA</v>
      </c>
      <c r="C2017" s="42" t="str">
        <f>IFERROR(__xludf.DUMMYFUNCTION("""COMPUTED_VALUE"""),"triangular septal nucleus")</f>
        <v>triangular septal nucleus</v>
      </c>
      <c r="D2017" s="42">
        <f>IFERROR(__xludf.DUMMYFUNCTION("""COMPUTED_VALUE"""),1907.0)</f>
        <v>1907</v>
      </c>
      <c r="E2017" s="39" t="str">
        <f>IFERROR(__xludf.DUMMYFUNCTION("""COMPUTED_VALUE"""),"triangular septal nucleus")</f>
        <v>triangular septal nucleus</v>
      </c>
      <c r="F2017" s="9" t="str">
        <f>IFERROR(__xludf.DUMMYFUNCTION("""COMPUTED_VALUE"""),"Br")</f>
        <v>Br</v>
      </c>
      <c r="G2017" s="9" t="str">
        <f>IFERROR(__xludf.DUMMYFUNCTION("""COMPUTED_VALUE"""),"F")</f>
        <v>F</v>
      </c>
      <c r="H2017" s="9" t="str">
        <f>IFERROR(__xludf.DUMMYFUNCTION("""COMPUTED_VALUE"""),"FGM")</f>
        <v>FGM</v>
      </c>
      <c r="I2017" s="9" t="str">
        <f>IFERROR(__xludf.DUMMYFUNCTION("""COMPUTED_VALUE"""),"Tel")</f>
        <v>Tel</v>
      </c>
      <c r="J2017" s="9" t="str">
        <f>IFERROR(__xludf.DUMMYFUNCTION("""COMPUTED_VALUE"""),"CN")</f>
        <v>CN</v>
      </c>
      <c r="K2017" s="9" t="str">
        <f>IFERROR(__xludf.DUMMYFUNCTION("""COMPUTED_VALUE"""),"BF")</f>
        <v>BF</v>
      </c>
      <c r="L2017" s="9" t="str">
        <f>IFERROR(__xludf.DUMMYFUNCTION("""COMPUTED_VALUE"""),"SEP")</f>
        <v>SEP</v>
      </c>
      <c r="M2017" s="9" t="str">
        <f>IFERROR(__xludf.DUMMYFUNCTION("""COMPUTED_VALUE"""),"CSN")</f>
        <v>CSN</v>
      </c>
      <c r="N2017" s="9" t="str">
        <f>IFERROR(__xludf.DUMMYFUNCTION("""COMPUTED_VALUE"""),"TSN")</f>
        <v>TSN</v>
      </c>
      <c r="O2017" s="9"/>
      <c r="P2017" s="9"/>
      <c r="Q2017" s="9"/>
      <c r="R2017" s="9"/>
      <c r="S2017" s="42"/>
      <c r="T2017" s="42"/>
      <c r="U2017" s="42"/>
      <c r="V2017" s="42"/>
      <c r="W2017" s="42"/>
      <c r="X2017" s="42"/>
      <c r="Y2017" s="42"/>
      <c r="Z2017" s="42"/>
      <c r="AA2017" s="42"/>
      <c r="AB2017" s="42" t="str">
        <f>IFERROR(__xludf.DUMMYFUNCTION("""COMPUTED_VALUE"""),"allen institute")</f>
        <v>allen institute</v>
      </c>
      <c r="AC2017" s="42" t="str">
        <f>IFERROR(__xludf.DUMMYFUNCTION("""COMPUTED_VALUE"""),"DHBA")</f>
        <v>DHBA</v>
      </c>
      <c r="AD2017" s="42"/>
      <c r="AE2017" s="42"/>
      <c r="AF2017" s="9"/>
      <c r="AG2017" s="9"/>
      <c r="AH2017" s="42"/>
      <c r="AI2017" s="42"/>
      <c r="AJ2017" s="42"/>
      <c r="AK2017" s="42"/>
      <c r="AL2017" s="42"/>
      <c r="AM2017" s="42"/>
      <c r="AN2017" s="42"/>
      <c r="AO2017" s="63" t="str">
        <f>IFERROR(__xludf.DUMMYFUNCTION("IF(ISBLANK(A2017),,IF(ISBLANK(S2017), A2017&amp;"";"", TEXTJOIN(CHAR(10), TRUE, A2017&amp;"";"", ARRAYFORMULA(VLOOKUP(SPLIT(S2017, "";"" &amp; CHAR(10)), $A:$AO, 41, FALSE)))))"),"TSN;")</f>
        <v>TSN;</v>
      </c>
      <c r="AP2017" s="89"/>
    </row>
    <row r="2018">
      <c r="A2018" s="151" t="str">
        <f>IFERROR(__xludf.DUMMYFUNCTION("""COMPUTED_VALUE"""),"SHi")</f>
        <v>SHi</v>
      </c>
      <c r="B2018" s="42" t="str">
        <f>IFERROR(__xludf.DUMMYFUNCTION("""COMPUTED_VALUE"""),"DHBA")</f>
        <v>DHBA</v>
      </c>
      <c r="C2018" s="42" t="str">
        <f>IFERROR(__xludf.DUMMYFUNCTION("""COMPUTED_VALUE"""),"septohipocampal nucleus")</f>
        <v>septohipocampal nucleus</v>
      </c>
      <c r="D2018" s="42">
        <f>IFERROR(__xludf.DUMMYFUNCTION("""COMPUTED_VALUE"""),1908.0)</f>
        <v>1908</v>
      </c>
      <c r="E2018" s="39" t="str">
        <f>IFERROR(__xludf.DUMMYFUNCTION("""COMPUTED_VALUE"""),"septohipocampal nucleus")</f>
        <v>septohipocampal nucleus</v>
      </c>
      <c r="F2018" s="9" t="str">
        <f>IFERROR(__xludf.DUMMYFUNCTION("""COMPUTED_VALUE"""),"Br")</f>
        <v>Br</v>
      </c>
      <c r="G2018" s="9" t="str">
        <f>IFERROR(__xludf.DUMMYFUNCTION("""COMPUTED_VALUE"""),"F")</f>
        <v>F</v>
      </c>
      <c r="H2018" s="9" t="str">
        <f>IFERROR(__xludf.DUMMYFUNCTION("""COMPUTED_VALUE"""),"FGM")</f>
        <v>FGM</v>
      </c>
      <c r="I2018" s="9" t="str">
        <f>IFERROR(__xludf.DUMMYFUNCTION("""COMPUTED_VALUE"""),"Tel")</f>
        <v>Tel</v>
      </c>
      <c r="J2018" s="9" t="str">
        <f>IFERROR(__xludf.DUMMYFUNCTION("""COMPUTED_VALUE"""),"CN")</f>
        <v>CN</v>
      </c>
      <c r="K2018" s="9" t="str">
        <f>IFERROR(__xludf.DUMMYFUNCTION("""COMPUTED_VALUE"""),"BF")</f>
        <v>BF</v>
      </c>
      <c r="L2018" s="9" t="str">
        <f>IFERROR(__xludf.DUMMYFUNCTION("""COMPUTED_VALUE"""),"SEP")</f>
        <v>SEP</v>
      </c>
      <c r="M2018" s="9" t="str">
        <f>IFERROR(__xludf.DUMMYFUNCTION("""COMPUTED_VALUE"""),"SHi")</f>
        <v>SHi</v>
      </c>
      <c r="N2018" s="9"/>
      <c r="O2018" s="9"/>
      <c r="P2018" s="9"/>
      <c r="Q2018" s="9"/>
      <c r="R2018" s="9"/>
      <c r="S2018" s="42"/>
      <c r="T2018" s="42"/>
      <c r="U2018" s="42"/>
      <c r="V2018" s="42"/>
      <c r="W2018" s="42"/>
      <c r="X2018" s="42"/>
      <c r="Y2018" s="42"/>
      <c r="Z2018" s="42"/>
      <c r="AA2018" s="42"/>
      <c r="AB2018" s="42" t="str">
        <f>IFERROR(__xludf.DUMMYFUNCTION("""COMPUTED_VALUE"""),"allen institute")</f>
        <v>allen institute</v>
      </c>
      <c r="AC2018" s="42" t="str">
        <f>IFERROR(__xludf.DUMMYFUNCTION("""COMPUTED_VALUE"""),"DHBA")</f>
        <v>DHBA</v>
      </c>
      <c r="AD2018" s="42"/>
      <c r="AE2018" s="42"/>
      <c r="AF2018" s="9"/>
      <c r="AG2018" s="9"/>
      <c r="AH2018" s="42"/>
      <c r="AI2018" s="42"/>
      <c r="AJ2018" s="42"/>
      <c r="AK2018" s="42"/>
      <c r="AL2018" s="42"/>
      <c r="AM2018" s="42"/>
      <c r="AN2018" s="42"/>
      <c r="AO2018" s="63" t="str">
        <f>IFERROR(__xludf.DUMMYFUNCTION("IF(ISBLANK(A2018),,IF(ISBLANK(S2018), A2018&amp;"";"", TEXTJOIN(CHAR(10), TRUE, A2018&amp;"";"", ARRAYFORMULA(VLOOKUP(SPLIT(S2018, "";"" &amp; CHAR(10)), $A:$AO, 41, FALSE)))))"),"SHi;")</f>
        <v>SHi;</v>
      </c>
      <c r="AP2018" s="89"/>
    </row>
    <row r="2019">
      <c r="A2019" s="151" t="str">
        <f>IFERROR(__xludf.DUMMYFUNCTION("""COMPUTED_VALUE"""),"Ld")</f>
        <v>Ld</v>
      </c>
      <c r="B2019" s="42" t="str">
        <f>IFERROR(__xludf.DUMMYFUNCTION("""COMPUTED_VALUE"""),"DHBA")</f>
        <v>DHBA</v>
      </c>
      <c r="C2019" s="42" t="str">
        <f>IFERROR(__xludf.DUMMYFUNCTION("""COMPUTED_VALUE"""),"lambdoid septal zone")</f>
        <v>lambdoid septal zone</v>
      </c>
      <c r="D2019" s="42">
        <f>IFERROR(__xludf.DUMMYFUNCTION("""COMPUTED_VALUE"""),1909.0)</f>
        <v>1909</v>
      </c>
      <c r="E2019" s="39" t="str">
        <f>IFERROR(__xludf.DUMMYFUNCTION("""COMPUTED_VALUE"""),"lambdoid septal zone")</f>
        <v>lambdoid septal zone</v>
      </c>
      <c r="F2019" s="9" t="str">
        <f>IFERROR(__xludf.DUMMYFUNCTION("""COMPUTED_VALUE"""),"Br")</f>
        <v>Br</v>
      </c>
      <c r="G2019" s="9" t="str">
        <f>IFERROR(__xludf.DUMMYFUNCTION("""COMPUTED_VALUE"""),"F")</f>
        <v>F</v>
      </c>
      <c r="H2019" s="9" t="str">
        <f>IFERROR(__xludf.DUMMYFUNCTION("""COMPUTED_VALUE"""),"FGM")</f>
        <v>FGM</v>
      </c>
      <c r="I2019" s="9" t="str">
        <f>IFERROR(__xludf.DUMMYFUNCTION("""COMPUTED_VALUE"""),"Tel")</f>
        <v>Tel</v>
      </c>
      <c r="J2019" s="9" t="str">
        <f>IFERROR(__xludf.DUMMYFUNCTION("""COMPUTED_VALUE"""),"CN")</f>
        <v>CN</v>
      </c>
      <c r="K2019" s="9" t="str">
        <f>IFERROR(__xludf.DUMMYFUNCTION("""COMPUTED_VALUE"""),"BF")</f>
        <v>BF</v>
      </c>
      <c r="L2019" s="9" t="str">
        <f>IFERROR(__xludf.DUMMYFUNCTION("""COMPUTED_VALUE"""),"SEP")</f>
        <v>SEP</v>
      </c>
      <c r="M2019" s="9" t="str">
        <f>IFERROR(__xludf.DUMMYFUNCTION("""COMPUTED_VALUE"""),"Ld")</f>
        <v>Ld</v>
      </c>
      <c r="N2019" s="9"/>
      <c r="O2019" s="9"/>
      <c r="P2019" s="9"/>
      <c r="Q2019" s="9"/>
      <c r="R2019" s="9"/>
      <c r="S2019" s="42"/>
      <c r="T2019" s="42" t="str">
        <f>IFERROR(__xludf.DUMMYFUNCTION("""COMPUTED_VALUE"""),"THM")</f>
        <v>THM</v>
      </c>
      <c r="U2019" s="42" t="b">
        <f>IFERROR(__xludf.DUMMYFUNCTION("""COMPUTED_VALUE"""),FALSE)</f>
        <v>0</v>
      </c>
      <c r="V2019" s="42"/>
      <c r="W2019" s="42"/>
      <c r="X2019" s="42"/>
      <c r="Y2019" s="42"/>
      <c r="Z2019" s="42"/>
      <c r="AA2019" s="42"/>
      <c r="AB2019" s="42" t="str">
        <f>IFERROR(__xludf.DUMMYFUNCTION("""COMPUTED_VALUE"""),"allen institute")</f>
        <v>allen institute</v>
      </c>
      <c r="AC2019" s="42" t="str">
        <f>IFERROR(__xludf.DUMMYFUNCTION("""COMPUTED_VALUE"""),"DHBA")</f>
        <v>DHBA</v>
      </c>
      <c r="AD2019" s="42"/>
      <c r="AE2019" s="42"/>
      <c r="AF2019" s="9"/>
      <c r="AG2019" s="9"/>
      <c r="AH2019" s="42"/>
      <c r="AI2019" s="42"/>
      <c r="AJ2019" s="42"/>
      <c r="AK2019" s="42"/>
      <c r="AL2019" s="42"/>
      <c r="AM2019" s="42"/>
      <c r="AN2019" s="42"/>
      <c r="AO2019" s="63" t="str">
        <f>IFERROR(__xludf.DUMMYFUNCTION("IF(ISBLANK(A2019),,IF(ISBLANK(S2019), A2019&amp;"";"", TEXTJOIN(CHAR(10), TRUE, A2019&amp;"";"", ARRAYFORMULA(VLOOKUP(SPLIT(S2019, "";"" &amp; CHAR(10)), $A:$AO, 41, FALSE)))))"),"Ld;")</f>
        <v>Ld;</v>
      </c>
      <c r="AP2019" s="89"/>
    </row>
    <row r="2020">
      <c r="A2020" s="151" t="str">
        <f>IFERROR(__xludf.DUMMYFUNCTION("""COMPUTED_VALUE"""),"PLd")</f>
        <v>PLd</v>
      </c>
      <c r="B2020" s="42" t="str">
        <f>IFERROR(__xludf.DUMMYFUNCTION("""COMPUTED_VALUE"""),"DHBA")</f>
        <v>DHBA</v>
      </c>
      <c r="C2020" s="42" t="str">
        <f>IFERROR(__xludf.DUMMYFUNCTION("""COMPUTED_VALUE"""),"paralambdoid septal nucleus")</f>
        <v>paralambdoid septal nucleus</v>
      </c>
      <c r="D2020" s="42">
        <f>IFERROR(__xludf.DUMMYFUNCTION("""COMPUTED_VALUE"""),1910.0)</f>
        <v>1910</v>
      </c>
      <c r="E2020" s="39" t="str">
        <f>IFERROR(__xludf.DUMMYFUNCTION("""COMPUTED_VALUE"""),"paralambdoid septal nucleus")</f>
        <v>paralambdoid septal nucleus</v>
      </c>
      <c r="F2020" s="9" t="str">
        <f>IFERROR(__xludf.DUMMYFUNCTION("""COMPUTED_VALUE"""),"Br")</f>
        <v>Br</v>
      </c>
      <c r="G2020" s="9" t="str">
        <f>IFERROR(__xludf.DUMMYFUNCTION("""COMPUTED_VALUE"""),"F")</f>
        <v>F</v>
      </c>
      <c r="H2020" s="9" t="str">
        <f>IFERROR(__xludf.DUMMYFUNCTION("""COMPUTED_VALUE"""),"FGM")</f>
        <v>FGM</v>
      </c>
      <c r="I2020" s="9" t="str">
        <f>IFERROR(__xludf.DUMMYFUNCTION("""COMPUTED_VALUE"""),"Tel")</f>
        <v>Tel</v>
      </c>
      <c r="J2020" s="9" t="str">
        <f>IFERROR(__xludf.DUMMYFUNCTION("""COMPUTED_VALUE"""),"CN")</f>
        <v>CN</v>
      </c>
      <c r="K2020" s="9" t="str">
        <f>IFERROR(__xludf.DUMMYFUNCTION("""COMPUTED_VALUE"""),"BF")</f>
        <v>BF</v>
      </c>
      <c r="L2020" s="9" t="str">
        <f>IFERROR(__xludf.DUMMYFUNCTION("""COMPUTED_VALUE"""),"SEP")</f>
        <v>SEP</v>
      </c>
      <c r="M2020" s="9" t="str">
        <f>IFERROR(__xludf.DUMMYFUNCTION("""COMPUTED_VALUE"""),"PLd")</f>
        <v>PLd</v>
      </c>
      <c r="N2020" s="9"/>
      <c r="O2020" s="9"/>
      <c r="P2020" s="9"/>
      <c r="Q2020" s="9"/>
      <c r="R2020" s="9"/>
      <c r="S2020" s="42"/>
      <c r="T2020" s="42"/>
      <c r="U2020" s="42"/>
      <c r="V2020" s="42"/>
      <c r="W2020" s="42"/>
      <c r="X2020" s="42"/>
      <c r="Y2020" s="42"/>
      <c r="Z2020" s="42"/>
      <c r="AA2020" s="42"/>
      <c r="AB2020" s="42" t="str">
        <f>IFERROR(__xludf.DUMMYFUNCTION("""COMPUTED_VALUE"""),"allen institute")</f>
        <v>allen institute</v>
      </c>
      <c r="AC2020" s="42" t="str">
        <f>IFERROR(__xludf.DUMMYFUNCTION("""COMPUTED_VALUE"""),"DHBA")</f>
        <v>DHBA</v>
      </c>
      <c r="AD2020" s="42"/>
      <c r="AE2020" s="42"/>
      <c r="AF2020" s="9"/>
      <c r="AG2020" s="9"/>
      <c r="AH2020" s="42"/>
      <c r="AI2020" s="42"/>
      <c r="AJ2020" s="42"/>
      <c r="AK2020" s="42"/>
      <c r="AL2020" s="42"/>
      <c r="AM2020" s="42"/>
      <c r="AN2020" s="42"/>
      <c r="AO2020" s="63" t="str">
        <f>IFERROR(__xludf.DUMMYFUNCTION("IF(ISBLANK(A2020),,IF(ISBLANK(S2020), A2020&amp;"";"", TEXTJOIN(CHAR(10), TRUE, A2020&amp;"";"", ARRAYFORMULA(VLOOKUP(SPLIT(S2020, "";"" &amp; CHAR(10)), $A:$AO, 41, FALSE)))))"),"PLd;")</f>
        <v>PLd;</v>
      </c>
      <c r="AP2020" s="89"/>
    </row>
    <row r="2021">
      <c r="A2021" s="151" t="str">
        <f>IFERROR(__xludf.DUMMYFUNCTION("""COMPUTED_VALUE"""),"SHy")</f>
        <v>SHy</v>
      </c>
      <c r="B2021" s="42" t="str">
        <f>IFERROR(__xludf.DUMMYFUNCTION("""COMPUTED_VALUE"""),"DHBA")</f>
        <v>DHBA</v>
      </c>
      <c r="C2021" s="42" t="str">
        <f>IFERROR(__xludf.DUMMYFUNCTION("""COMPUTED_VALUE"""),"septohypothalamic nucleus")</f>
        <v>septohypothalamic nucleus</v>
      </c>
      <c r="D2021" s="42">
        <f>IFERROR(__xludf.DUMMYFUNCTION("""COMPUTED_VALUE"""),1911.0)</f>
        <v>1911</v>
      </c>
      <c r="E2021" s="39" t="str">
        <f>IFERROR(__xludf.DUMMYFUNCTION("""COMPUTED_VALUE"""),"septohypothalamic nucleus")</f>
        <v>septohypothalamic nucleus</v>
      </c>
      <c r="F2021" s="9" t="str">
        <f>IFERROR(__xludf.DUMMYFUNCTION("""COMPUTED_VALUE"""),"Br")</f>
        <v>Br</v>
      </c>
      <c r="G2021" s="9" t="str">
        <f>IFERROR(__xludf.DUMMYFUNCTION("""COMPUTED_VALUE"""),"F")</f>
        <v>F</v>
      </c>
      <c r="H2021" s="9" t="str">
        <f>IFERROR(__xludf.DUMMYFUNCTION("""COMPUTED_VALUE"""),"FGM")</f>
        <v>FGM</v>
      </c>
      <c r="I2021" s="9" t="str">
        <f>IFERROR(__xludf.DUMMYFUNCTION("""COMPUTED_VALUE"""),"Tel")</f>
        <v>Tel</v>
      </c>
      <c r="J2021" s="9" t="str">
        <f>IFERROR(__xludf.DUMMYFUNCTION("""COMPUTED_VALUE"""),"CN")</f>
        <v>CN</v>
      </c>
      <c r="K2021" s="9" t="str">
        <f>IFERROR(__xludf.DUMMYFUNCTION("""COMPUTED_VALUE"""),"BF")</f>
        <v>BF</v>
      </c>
      <c r="L2021" s="9" t="str">
        <f>IFERROR(__xludf.DUMMYFUNCTION("""COMPUTED_VALUE"""),"SEP")</f>
        <v>SEP</v>
      </c>
      <c r="M2021" s="9" t="str">
        <f>IFERROR(__xludf.DUMMYFUNCTION("""COMPUTED_VALUE"""),"SHy")</f>
        <v>SHy</v>
      </c>
      <c r="N2021" s="9"/>
      <c r="O2021" s="9"/>
      <c r="P2021" s="9"/>
      <c r="Q2021" s="9"/>
      <c r="R2021" s="9"/>
      <c r="S2021" s="42"/>
      <c r="T2021" s="42"/>
      <c r="U2021" s="42"/>
      <c r="V2021" s="42"/>
      <c r="W2021" s="42"/>
      <c r="X2021" s="42"/>
      <c r="Y2021" s="42"/>
      <c r="Z2021" s="42"/>
      <c r="AA2021" s="42"/>
      <c r="AB2021" s="42" t="str">
        <f>IFERROR(__xludf.DUMMYFUNCTION("""COMPUTED_VALUE"""),"allen institute")</f>
        <v>allen institute</v>
      </c>
      <c r="AC2021" s="42" t="str">
        <f>IFERROR(__xludf.DUMMYFUNCTION("""COMPUTED_VALUE"""),"DHBA")</f>
        <v>DHBA</v>
      </c>
      <c r="AD2021" s="42"/>
      <c r="AE2021" s="42"/>
      <c r="AF2021" s="9"/>
      <c r="AG2021" s="9"/>
      <c r="AH2021" s="42"/>
      <c r="AI2021" s="42"/>
      <c r="AJ2021" s="42"/>
      <c r="AK2021" s="42"/>
      <c r="AL2021" s="42"/>
      <c r="AM2021" s="42"/>
      <c r="AN2021" s="42"/>
      <c r="AO2021" s="63" t="str">
        <f>IFERROR(__xludf.DUMMYFUNCTION("IF(ISBLANK(A2021),,IF(ISBLANK(S2021), A2021&amp;"";"", TEXTJOIN(CHAR(10), TRUE, A2021&amp;"";"", ARRAYFORMULA(VLOOKUP(SPLIT(S2021, "";"" &amp; CHAR(10)), $A:$AO, 41, FALSE)))))"),"SHy;")</f>
        <v>SHy;</v>
      </c>
      <c r="AP2021" s="89"/>
    </row>
    <row r="2022">
      <c r="A2022" s="151" t="str">
        <f>IFERROR(__xludf.DUMMYFUNCTION("""COMPUTED_VALUE"""),"BNM")</f>
        <v>BNM</v>
      </c>
      <c r="B2022" s="42" t="str">
        <f>IFERROR(__xludf.DUMMYFUNCTION("""COMPUTED_VALUE"""),"DHBA")</f>
        <v>DHBA</v>
      </c>
      <c r="C2022" s="42" t="str">
        <f>IFERROR(__xludf.DUMMYFUNCTION("""COMPUTED_VALUE"""),"basal nucleus of Meynert")</f>
        <v>basal nucleus of Meynert</v>
      </c>
      <c r="D2022" s="42">
        <f>IFERROR(__xludf.DUMMYFUNCTION("""COMPUTED_VALUE"""),1912.0)</f>
        <v>1912</v>
      </c>
      <c r="E2022" s="39" t="str">
        <f>IFERROR(__xludf.DUMMYFUNCTION("""COMPUTED_VALUE"""),"basal nucleus of Meynert")</f>
        <v>basal nucleus of Meynert</v>
      </c>
      <c r="F2022" s="9" t="str">
        <f>IFERROR(__xludf.DUMMYFUNCTION("""COMPUTED_VALUE"""),"Br")</f>
        <v>Br</v>
      </c>
      <c r="G2022" s="9" t="str">
        <f>IFERROR(__xludf.DUMMYFUNCTION("""COMPUTED_VALUE"""),"F")</f>
        <v>F</v>
      </c>
      <c r="H2022" s="9" t="str">
        <f>IFERROR(__xludf.DUMMYFUNCTION("""COMPUTED_VALUE"""),"FGM")</f>
        <v>FGM</v>
      </c>
      <c r="I2022" s="9" t="str">
        <f>IFERROR(__xludf.DUMMYFUNCTION("""COMPUTED_VALUE"""),"Tel")</f>
        <v>Tel</v>
      </c>
      <c r="J2022" s="9" t="str">
        <f>IFERROR(__xludf.DUMMYFUNCTION("""COMPUTED_VALUE"""),"CN")</f>
        <v>CN</v>
      </c>
      <c r="K2022" s="9" t="str">
        <f>IFERROR(__xludf.DUMMYFUNCTION("""COMPUTED_VALUE"""),"BF")</f>
        <v>BF</v>
      </c>
      <c r="L2022" s="9" t="str">
        <f>IFERROR(__xludf.DUMMYFUNCTION("""COMPUTED_VALUE"""),"BNM")</f>
        <v>BNM</v>
      </c>
      <c r="M2022" s="9"/>
      <c r="N2022" s="9"/>
      <c r="O2022" s="9"/>
      <c r="P2022" s="9"/>
      <c r="Q2022" s="9"/>
      <c r="R2022" s="9"/>
      <c r="S2022" s="42" t="str">
        <f>IFERROR(__xludf.DUMMYFUNCTION("""COMPUTED_VALUE"""),"BNMl;
BNMm")</f>
        <v>BNMl;
BNMm</v>
      </c>
      <c r="T2022" s="42"/>
      <c r="U2022" s="42" t="b">
        <f>IFERROR(__xludf.DUMMYFUNCTION("""COMPUTED_VALUE"""),FALSE)</f>
        <v>0</v>
      </c>
      <c r="V2022" s="42"/>
      <c r="W2022" s="42"/>
      <c r="X2022" s="42"/>
      <c r="Y2022" s="42"/>
      <c r="Z2022" s="42"/>
      <c r="AA2022" s="42"/>
      <c r="AB2022" s="42" t="str">
        <f>IFERROR(__xludf.DUMMYFUNCTION("""COMPUTED_VALUE"""),"allen institute")</f>
        <v>allen institute</v>
      </c>
      <c r="AC2022" s="42" t="str">
        <f>IFERROR(__xludf.DUMMYFUNCTION("""COMPUTED_VALUE"""),"DHBA")</f>
        <v>DHBA</v>
      </c>
      <c r="AD2022" s="42"/>
      <c r="AE2022" s="42"/>
      <c r="AF2022" s="9"/>
      <c r="AG2022" s="9"/>
      <c r="AH2022" s="42"/>
      <c r="AI2022" s="42"/>
      <c r="AJ2022" s="42"/>
      <c r="AK2022" s="42"/>
      <c r="AL2022" s="42"/>
      <c r="AM2022" s="42"/>
      <c r="AN2022" s="42"/>
      <c r="AO2022" s="63" t="str">
        <f>IFERROR(__xludf.DUMMYFUNCTION("IF(ISBLANK(A2022),,IF(ISBLANK(S2022), A2022&amp;"";"", TEXTJOIN(CHAR(10), TRUE, A2022&amp;"";"", ARRAYFORMULA(VLOOKUP(SPLIT(S2022, "";"" &amp; CHAR(10)), $A:$AO, 41, FALSE)))))"),"BNM;
BNMl;
BNMm;")</f>
        <v>BNM;
BNMl;
BNMm;</v>
      </c>
      <c r="AP2022" s="89"/>
    </row>
    <row r="2023">
      <c r="A2023" s="151" t="str">
        <f>IFERROR(__xludf.DUMMYFUNCTION("""COMPUTED_VALUE"""),"BNMl")</f>
        <v>BNMl</v>
      </c>
      <c r="B2023" s="42" t="str">
        <f>IFERROR(__xludf.DUMMYFUNCTION("""COMPUTED_VALUE"""),"DHBA")</f>
        <v>DHBA</v>
      </c>
      <c r="C2023" s="42" t="str">
        <f>IFERROR(__xludf.DUMMYFUNCTION("""COMPUTED_VALUE"""),"lateral cell groups of basal nucleus")</f>
        <v>lateral cell groups of basal nucleus</v>
      </c>
      <c r="D2023" s="42">
        <f>IFERROR(__xludf.DUMMYFUNCTION("""COMPUTED_VALUE"""),1913.0)</f>
        <v>1913</v>
      </c>
      <c r="E2023" s="39" t="str">
        <f>IFERROR(__xludf.DUMMYFUNCTION("""COMPUTED_VALUE"""),"lateral cell groups of basal nucleus")</f>
        <v>lateral cell groups of basal nucleus</v>
      </c>
      <c r="F2023" s="9" t="str">
        <f>IFERROR(__xludf.DUMMYFUNCTION("""COMPUTED_VALUE"""),"Br")</f>
        <v>Br</v>
      </c>
      <c r="G2023" s="9" t="str">
        <f>IFERROR(__xludf.DUMMYFUNCTION("""COMPUTED_VALUE"""),"F")</f>
        <v>F</v>
      </c>
      <c r="H2023" s="9" t="str">
        <f>IFERROR(__xludf.DUMMYFUNCTION("""COMPUTED_VALUE"""),"FGM")</f>
        <v>FGM</v>
      </c>
      <c r="I2023" s="9" t="str">
        <f>IFERROR(__xludf.DUMMYFUNCTION("""COMPUTED_VALUE"""),"Tel")</f>
        <v>Tel</v>
      </c>
      <c r="J2023" s="9" t="str">
        <f>IFERROR(__xludf.DUMMYFUNCTION("""COMPUTED_VALUE"""),"CN")</f>
        <v>CN</v>
      </c>
      <c r="K2023" s="9" t="str">
        <f>IFERROR(__xludf.DUMMYFUNCTION("""COMPUTED_VALUE"""),"BF")</f>
        <v>BF</v>
      </c>
      <c r="L2023" s="9" t="str">
        <f>IFERROR(__xludf.DUMMYFUNCTION("""COMPUTED_VALUE"""),"BNM")</f>
        <v>BNM</v>
      </c>
      <c r="M2023" s="9" t="str">
        <f>IFERROR(__xludf.DUMMYFUNCTION("""COMPUTED_VALUE"""),"BNMl")</f>
        <v>BNMl</v>
      </c>
      <c r="N2023" s="9"/>
      <c r="O2023" s="9"/>
      <c r="P2023" s="9"/>
      <c r="Q2023" s="9"/>
      <c r="R2023" s="9"/>
      <c r="S2023" s="42"/>
      <c r="T2023" s="42"/>
      <c r="U2023" s="42"/>
      <c r="V2023" s="42"/>
      <c r="W2023" s="42"/>
      <c r="X2023" s="42"/>
      <c r="Y2023" s="42"/>
      <c r="Z2023" s="42"/>
      <c r="AA2023" s="42"/>
      <c r="AB2023" s="42" t="str">
        <f>IFERROR(__xludf.DUMMYFUNCTION("""COMPUTED_VALUE"""),"allen institute")</f>
        <v>allen institute</v>
      </c>
      <c r="AC2023" s="42" t="str">
        <f>IFERROR(__xludf.DUMMYFUNCTION("""COMPUTED_VALUE"""),"DHBA")</f>
        <v>DHBA</v>
      </c>
      <c r="AD2023" s="42"/>
      <c r="AE2023" s="42"/>
      <c r="AF2023" s="9"/>
      <c r="AG2023" s="9"/>
      <c r="AH2023" s="42"/>
      <c r="AI2023" s="42"/>
      <c r="AJ2023" s="42"/>
      <c r="AK2023" s="42"/>
      <c r="AL2023" s="42"/>
      <c r="AM2023" s="42"/>
      <c r="AN2023" s="42"/>
      <c r="AO2023" s="63" t="str">
        <f>IFERROR(__xludf.DUMMYFUNCTION("IF(ISBLANK(A2023),,IF(ISBLANK(S2023), A2023&amp;"";"", TEXTJOIN(CHAR(10), TRUE, A2023&amp;"";"", ARRAYFORMULA(VLOOKUP(SPLIT(S2023, "";"" &amp; CHAR(10)), $A:$AO, 41, FALSE)))))"),"BNMl;")</f>
        <v>BNMl;</v>
      </c>
      <c r="AP2023" s="89"/>
    </row>
    <row r="2024">
      <c r="A2024" s="151" t="str">
        <f>IFERROR(__xludf.DUMMYFUNCTION("""COMPUTED_VALUE"""),"BNMm")</f>
        <v>BNMm</v>
      </c>
      <c r="B2024" s="42" t="str">
        <f>IFERROR(__xludf.DUMMYFUNCTION("""COMPUTED_VALUE"""),"DHBA")</f>
        <v>DHBA</v>
      </c>
      <c r="C2024" s="42" t="str">
        <f>IFERROR(__xludf.DUMMYFUNCTION("""COMPUTED_VALUE"""),"medial cell groups of basal nucleus")</f>
        <v>medial cell groups of basal nucleus</v>
      </c>
      <c r="D2024" s="42">
        <f>IFERROR(__xludf.DUMMYFUNCTION("""COMPUTED_VALUE"""),1914.0)</f>
        <v>1914</v>
      </c>
      <c r="E2024" s="39" t="str">
        <f>IFERROR(__xludf.DUMMYFUNCTION("""COMPUTED_VALUE"""),"medial cell groups of basal nucleus")</f>
        <v>medial cell groups of basal nucleus</v>
      </c>
      <c r="F2024" s="9" t="str">
        <f>IFERROR(__xludf.DUMMYFUNCTION("""COMPUTED_VALUE"""),"Br")</f>
        <v>Br</v>
      </c>
      <c r="G2024" s="9" t="str">
        <f>IFERROR(__xludf.DUMMYFUNCTION("""COMPUTED_VALUE"""),"F")</f>
        <v>F</v>
      </c>
      <c r="H2024" s="9" t="str">
        <f>IFERROR(__xludf.DUMMYFUNCTION("""COMPUTED_VALUE"""),"FGM")</f>
        <v>FGM</v>
      </c>
      <c r="I2024" s="9" t="str">
        <f>IFERROR(__xludf.DUMMYFUNCTION("""COMPUTED_VALUE"""),"Tel")</f>
        <v>Tel</v>
      </c>
      <c r="J2024" s="9" t="str">
        <f>IFERROR(__xludf.DUMMYFUNCTION("""COMPUTED_VALUE"""),"CN")</f>
        <v>CN</v>
      </c>
      <c r="K2024" s="9" t="str">
        <f>IFERROR(__xludf.DUMMYFUNCTION("""COMPUTED_VALUE"""),"BF")</f>
        <v>BF</v>
      </c>
      <c r="L2024" s="9" t="str">
        <f>IFERROR(__xludf.DUMMYFUNCTION("""COMPUTED_VALUE"""),"BNM")</f>
        <v>BNM</v>
      </c>
      <c r="M2024" s="9" t="str">
        <f>IFERROR(__xludf.DUMMYFUNCTION("""COMPUTED_VALUE"""),"BNMm")</f>
        <v>BNMm</v>
      </c>
      <c r="N2024" s="9"/>
      <c r="O2024" s="9"/>
      <c r="P2024" s="9"/>
      <c r="Q2024" s="9"/>
      <c r="R2024" s="9"/>
      <c r="S2024" s="42"/>
      <c r="T2024" s="42"/>
      <c r="U2024" s="42"/>
      <c r="V2024" s="42"/>
      <c r="W2024" s="42"/>
      <c r="X2024" s="42"/>
      <c r="Y2024" s="42"/>
      <c r="Z2024" s="42"/>
      <c r="AA2024" s="42"/>
      <c r="AB2024" s="42" t="str">
        <f>IFERROR(__xludf.DUMMYFUNCTION("""COMPUTED_VALUE"""),"allen institute")</f>
        <v>allen institute</v>
      </c>
      <c r="AC2024" s="42" t="str">
        <f>IFERROR(__xludf.DUMMYFUNCTION("""COMPUTED_VALUE"""),"DHBA")</f>
        <v>DHBA</v>
      </c>
      <c r="AD2024" s="42"/>
      <c r="AE2024" s="42"/>
      <c r="AF2024" s="9"/>
      <c r="AG2024" s="9"/>
      <c r="AH2024" s="42"/>
      <c r="AI2024" s="42"/>
      <c r="AJ2024" s="42"/>
      <c r="AK2024" s="42"/>
      <c r="AL2024" s="42"/>
      <c r="AM2024" s="42"/>
      <c r="AN2024" s="42"/>
      <c r="AO2024" s="63" t="str">
        <f>IFERROR(__xludf.DUMMYFUNCTION("IF(ISBLANK(A2024),,IF(ISBLANK(S2024), A2024&amp;"";"", TEXTJOIN(CHAR(10), TRUE, A2024&amp;"";"", ARRAYFORMULA(VLOOKUP(SPLIT(S2024, "";"" &amp; CHAR(10)), $A:$AO, 41, FALSE)))))"),"BNMm;")</f>
        <v>BNMm;</v>
      </c>
      <c r="AP2024" s="89"/>
    </row>
    <row r="2025">
      <c r="A2025" s="151" t="str">
        <f>IFERROR(__xludf.DUMMYFUNCTION("""COMPUTED_VALUE"""),"NDB")</f>
        <v>NDB</v>
      </c>
      <c r="B2025" s="42" t="str">
        <f>IFERROR(__xludf.DUMMYFUNCTION("""COMPUTED_VALUE"""),"DHBA")</f>
        <v>DHBA</v>
      </c>
      <c r="C2025" s="42" t="str">
        <f>IFERROR(__xludf.DUMMYFUNCTION("""COMPUTED_VALUE"""),"Nucleus of the horizontal limb of the diagonal band")</f>
        <v>Nucleus of the horizontal limb of the diagonal band</v>
      </c>
      <c r="D2025" s="42">
        <f>IFERROR(__xludf.DUMMYFUNCTION("""COMPUTED_VALUE"""),1915.0)</f>
        <v>1915</v>
      </c>
      <c r="E2025" s="39" t="str">
        <f>IFERROR(__xludf.DUMMYFUNCTION("""COMPUTED_VALUE"""),"nucleus of diagonal band")</f>
        <v>nucleus of diagonal band</v>
      </c>
      <c r="F2025" s="9" t="str">
        <f>IFERROR(__xludf.DUMMYFUNCTION("""COMPUTED_VALUE"""),"Br")</f>
        <v>Br</v>
      </c>
      <c r="G2025" s="9" t="str">
        <f>IFERROR(__xludf.DUMMYFUNCTION("""COMPUTED_VALUE"""),"F")</f>
        <v>F</v>
      </c>
      <c r="H2025" s="9" t="str">
        <f>IFERROR(__xludf.DUMMYFUNCTION("""COMPUTED_VALUE"""),"FGM")</f>
        <v>FGM</v>
      </c>
      <c r="I2025" s="9" t="str">
        <f>IFERROR(__xludf.DUMMYFUNCTION("""COMPUTED_VALUE"""),"Tel")</f>
        <v>Tel</v>
      </c>
      <c r="J2025" s="9" t="str">
        <f>IFERROR(__xludf.DUMMYFUNCTION("""COMPUTED_VALUE"""),"CN")</f>
        <v>CN</v>
      </c>
      <c r="K2025" s="9" t="str">
        <f>IFERROR(__xludf.DUMMYFUNCTION("""COMPUTED_VALUE"""),"BF")</f>
        <v>BF</v>
      </c>
      <c r="L2025" s="9" t="str">
        <f>IFERROR(__xludf.DUMMYFUNCTION("""COMPUTED_VALUE"""),"NDB")</f>
        <v>NDB</v>
      </c>
      <c r="M2025" s="9"/>
      <c r="N2025" s="9"/>
      <c r="O2025" s="9"/>
      <c r="P2025" s="9"/>
      <c r="Q2025" s="9"/>
      <c r="R2025" s="9"/>
      <c r="S2025" s="42" t="str">
        <f>IFERROR(__xludf.DUMMYFUNCTION("""COMPUTED_VALUE"""),"NDBv;
NDBh")</f>
        <v>NDBv;
NDBh</v>
      </c>
      <c r="T2025" s="42"/>
      <c r="U2025" s="42" t="b">
        <f>IFERROR(__xludf.DUMMYFUNCTION("""COMPUTED_VALUE"""),FALSE)</f>
        <v>0</v>
      </c>
      <c r="V2025" s="42"/>
      <c r="W2025" s="42"/>
      <c r="X2025" s="42"/>
      <c r="Y2025" s="42"/>
      <c r="Z2025" s="42"/>
      <c r="AA2025" s="42"/>
      <c r="AB2025" s="42" t="str">
        <f>IFERROR(__xludf.DUMMYFUNCTION("""COMPUTED_VALUE"""),"allen institute")</f>
        <v>allen institute</v>
      </c>
      <c r="AC2025" s="42" t="str">
        <f>IFERROR(__xludf.DUMMYFUNCTION("""COMPUTED_VALUE"""),"DHBA")</f>
        <v>DHBA</v>
      </c>
      <c r="AD2025" s="42"/>
      <c r="AE2025" s="42"/>
      <c r="AF2025" s="9"/>
      <c r="AG2025" s="9"/>
      <c r="AH2025" s="42"/>
      <c r="AI2025" s="42"/>
      <c r="AJ2025" s="42"/>
      <c r="AK2025" s="42"/>
      <c r="AL2025" s="42"/>
      <c r="AM2025" s="42"/>
      <c r="AN2025" s="42"/>
      <c r="AO2025" s="63" t="str">
        <f>IFERROR(__xludf.DUMMYFUNCTION("IF(ISBLANK(A2025),,IF(ISBLANK(S2025), A2025&amp;"";"", TEXTJOIN(CHAR(10), TRUE, A2025&amp;"";"", ARRAYFORMULA(VLOOKUP(SPLIT(S2025, "";"" &amp; CHAR(10)), $A:$AO, 41, FALSE)))))"),"NDB;
NDBv;
NDBh;")</f>
        <v>NDB;
NDBv;
NDBh;</v>
      </c>
      <c r="AP2025" s="89"/>
    </row>
    <row r="2026">
      <c r="A2026" s="151" t="str">
        <f>IFERROR(__xludf.DUMMYFUNCTION("""COMPUTED_VALUE"""),"NDBv")</f>
        <v>NDBv</v>
      </c>
      <c r="B2026" s="42" t="str">
        <f>IFERROR(__xludf.DUMMYFUNCTION("""COMPUTED_VALUE"""),"DHBA")</f>
        <v>DHBA</v>
      </c>
      <c r="C2026" s="42" t="str">
        <f>IFERROR(__xludf.DUMMYFUNCTION("""COMPUTED_VALUE"""),"vertical subdivision of nucleus of diagonal band")</f>
        <v>vertical subdivision of nucleus of diagonal band</v>
      </c>
      <c r="D2026" s="42">
        <f>IFERROR(__xludf.DUMMYFUNCTION("""COMPUTED_VALUE"""),1916.0)</f>
        <v>1916</v>
      </c>
      <c r="E2026" s="39" t="str">
        <f>IFERROR(__xludf.DUMMYFUNCTION("""COMPUTED_VALUE"""),"vertical subdivision of nucleus of diagonal band")</f>
        <v>vertical subdivision of nucleus of diagonal band</v>
      </c>
      <c r="F2026" s="9" t="str">
        <f>IFERROR(__xludf.DUMMYFUNCTION("""COMPUTED_VALUE"""),"Br")</f>
        <v>Br</v>
      </c>
      <c r="G2026" s="9" t="str">
        <f>IFERROR(__xludf.DUMMYFUNCTION("""COMPUTED_VALUE"""),"F")</f>
        <v>F</v>
      </c>
      <c r="H2026" s="9" t="str">
        <f>IFERROR(__xludf.DUMMYFUNCTION("""COMPUTED_VALUE"""),"FGM")</f>
        <v>FGM</v>
      </c>
      <c r="I2026" s="9" t="str">
        <f>IFERROR(__xludf.DUMMYFUNCTION("""COMPUTED_VALUE"""),"Tel")</f>
        <v>Tel</v>
      </c>
      <c r="J2026" s="9" t="str">
        <f>IFERROR(__xludf.DUMMYFUNCTION("""COMPUTED_VALUE"""),"CN")</f>
        <v>CN</v>
      </c>
      <c r="K2026" s="9" t="str">
        <f>IFERROR(__xludf.DUMMYFUNCTION("""COMPUTED_VALUE"""),"BF")</f>
        <v>BF</v>
      </c>
      <c r="L2026" s="9" t="str">
        <f>IFERROR(__xludf.DUMMYFUNCTION("""COMPUTED_VALUE"""),"NDB")</f>
        <v>NDB</v>
      </c>
      <c r="M2026" s="9" t="str">
        <f>IFERROR(__xludf.DUMMYFUNCTION("""COMPUTED_VALUE"""),"NDBv")</f>
        <v>NDBv</v>
      </c>
      <c r="N2026" s="9"/>
      <c r="O2026" s="9"/>
      <c r="P2026" s="9"/>
      <c r="Q2026" s="9"/>
      <c r="R2026" s="9"/>
      <c r="S2026" s="42"/>
      <c r="T2026" s="42"/>
      <c r="U2026" s="159"/>
      <c r="V2026" s="42"/>
      <c r="W2026" s="42"/>
      <c r="X2026" s="42"/>
      <c r="Y2026" s="42"/>
      <c r="Z2026" s="42"/>
      <c r="AA2026" s="42"/>
      <c r="AB2026" s="42" t="str">
        <f>IFERROR(__xludf.DUMMYFUNCTION("""COMPUTED_VALUE"""),"allen institute")</f>
        <v>allen institute</v>
      </c>
      <c r="AC2026" s="42" t="str">
        <f>IFERROR(__xludf.DUMMYFUNCTION("""COMPUTED_VALUE"""),"DHBA")</f>
        <v>DHBA</v>
      </c>
      <c r="AD2026" s="42"/>
      <c r="AE2026" s="42"/>
      <c r="AF2026" s="9"/>
      <c r="AG2026" s="9"/>
      <c r="AH2026" s="42"/>
      <c r="AI2026" s="42"/>
      <c r="AJ2026" s="42"/>
      <c r="AK2026" s="42"/>
      <c r="AL2026" s="42"/>
      <c r="AM2026" s="42"/>
      <c r="AN2026" s="42"/>
      <c r="AO2026" s="63" t="str">
        <f>IFERROR(__xludf.DUMMYFUNCTION("IF(ISBLANK(A2026),,IF(ISBLANK(S2026), A2026&amp;"";"", TEXTJOIN(CHAR(10), TRUE, A2026&amp;"";"", ARRAYFORMULA(VLOOKUP(SPLIT(S2026, "";"" &amp; CHAR(10)), $A:$AO, 41, FALSE)))))"),"NDBv;")</f>
        <v>NDBv;</v>
      </c>
      <c r="AP2026" s="89"/>
    </row>
    <row r="2027">
      <c r="A2027" s="151" t="str">
        <f>IFERROR(__xludf.DUMMYFUNCTION("""COMPUTED_VALUE"""),"NDBh")</f>
        <v>NDBh</v>
      </c>
      <c r="B2027" s="42" t="str">
        <f>IFERROR(__xludf.DUMMYFUNCTION("""COMPUTED_VALUE"""),"DHBA")</f>
        <v>DHBA</v>
      </c>
      <c r="C2027" s="42" t="str">
        <f>IFERROR(__xludf.DUMMYFUNCTION("""COMPUTED_VALUE"""),"horizontal subdivision of nucleus of diagonal band")</f>
        <v>horizontal subdivision of nucleus of diagonal band</v>
      </c>
      <c r="D2027" s="42">
        <f>IFERROR(__xludf.DUMMYFUNCTION("""COMPUTED_VALUE"""),1917.0)</f>
        <v>1917</v>
      </c>
      <c r="E2027" s="39" t="str">
        <f>IFERROR(__xludf.DUMMYFUNCTION("""COMPUTED_VALUE"""),"horizontal subdivision of nucleus of diagonal band")</f>
        <v>horizontal subdivision of nucleus of diagonal band</v>
      </c>
      <c r="F2027" s="9" t="str">
        <f>IFERROR(__xludf.DUMMYFUNCTION("""COMPUTED_VALUE"""),"Br")</f>
        <v>Br</v>
      </c>
      <c r="G2027" s="9" t="str">
        <f>IFERROR(__xludf.DUMMYFUNCTION("""COMPUTED_VALUE"""),"F")</f>
        <v>F</v>
      </c>
      <c r="H2027" s="9" t="str">
        <f>IFERROR(__xludf.DUMMYFUNCTION("""COMPUTED_VALUE"""),"FGM")</f>
        <v>FGM</v>
      </c>
      <c r="I2027" s="9" t="str">
        <f>IFERROR(__xludf.DUMMYFUNCTION("""COMPUTED_VALUE"""),"Tel")</f>
        <v>Tel</v>
      </c>
      <c r="J2027" s="9" t="str">
        <f>IFERROR(__xludf.DUMMYFUNCTION("""COMPUTED_VALUE"""),"CN")</f>
        <v>CN</v>
      </c>
      <c r="K2027" s="9" t="str">
        <f>IFERROR(__xludf.DUMMYFUNCTION("""COMPUTED_VALUE"""),"BF")</f>
        <v>BF</v>
      </c>
      <c r="L2027" s="9" t="str">
        <f>IFERROR(__xludf.DUMMYFUNCTION("""COMPUTED_VALUE"""),"NDB")</f>
        <v>NDB</v>
      </c>
      <c r="M2027" s="9" t="str">
        <f>IFERROR(__xludf.DUMMYFUNCTION("""COMPUTED_VALUE"""),"NDBh")</f>
        <v>NDBh</v>
      </c>
      <c r="N2027" s="9"/>
      <c r="O2027" s="9"/>
      <c r="P2027" s="9"/>
      <c r="Q2027" s="9"/>
      <c r="R2027" s="9"/>
      <c r="S2027" s="42"/>
      <c r="T2027" s="42"/>
      <c r="U2027" s="159"/>
      <c r="V2027" s="42"/>
      <c r="W2027" s="42"/>
      <c r="X2027" s="42"/>
      <c r="Y2027" s="42"/>
      <c r="Z2027" s="42"/>
      <c r="AA2027" s="42"/>
      <c r="AB2027" s="42" t="str">
        <f>IFERROR(__xludf.DUMMYFUNCTION("""COMPUTED_VALUE"""),"allen institute")</f>
        <v>allen institute</v>
      </c>
      <c r="AC2027" s="42" t="str">
        <f>IFERROR(__xludf.DUMMYFUNCTION("""COMPUTED_VALUE"""),"DHBA")</f>
        <v>DHBA</v>
      </c>
      <c r="AD2027" s="42"/>
      <c r="AE2027" s="42"/>
      <c r="AF2027" s="9"/>
      <c r="AG2027" s="9"/>
      <c r="AH2027" s="42"/>
      <c r="AI2027" s="42"/>
      <c r="AJ2027" s="42"/>
      <c r="AK2027" s="42"/>
      <c r="AL2027" s="42"/>
      <c r="AM2027" s="42"/>
      <c r="AN2027" s="42"/>
      <c r="AO2027" s="63" t="str">
        <f>IFERROR(__xludf.DUMMYFUNCTION("IF(ISBLANK(A2027),,IF(ISBLANK(S2027), A2027&amp;"";"", TEXTJOIN(CHAR(10), TRUE, A2027&amp;"";"", ARRAYFORMULA(VLOOKUP(SPLIT(S2027, "";"" &amp; CHAR(10)), $A:$AO, 41, FALSE)))))"),"NDBh;")</f>
        <v>NDBh;</v>
      </c>
      <c r="AP2027" s="89"/>
    </row>
    <row r="2028">
      <c r="A2028" s="151" t="str">
        <f>IFERROR(__xludf.DUMMYFUNCTION("""COMPUTED_VALUE"""),"NSP")</f>
        <v>NSP</v>
      </c>
      <c r="B2028" s="42" t="str">
        <f>IFERROR(__xludf.DUMMYFUNCTION("""COMPUTED_VALUE"""),"DHBA")</f>
        <v>DHBA</v>
      </c>
      <c r="C2028" s="42" t="str">
        <f>IFERROR(__xludf.DUMMYFUNCTION("""COMPUTED_VALUE"""),"nucleus subputaminalis")</f>
        <v>nucleus subputaminalis</v>
      </c>
      <c r="D2028" s="42">
        <f>IFERROR(__xludf.DUMMYFUNCTION("""COMPUTED_VALUE"""),1918.0)</f>
        <v>1918</v>
      </c>
      <c r="E2028" s="39" t="str">
        <f>IFERROR(__xludf.DUMMYFUNCTION("""COMPUTED_VALUE"""),"nucleus subputaminalis")</f>
        <v>nucleus subputaminalis</v>
      </c>
      <c r="F2028" s="9" t="str">
        <f>IFERROR(__xludf.DUMMYFUNCTION("""COMPUTED_VALUE"""),"Br")</f>
        <v>Br</v>
      </c>
      <c r="G2028" s="9" t="str">
        <f>IFERROR(__xludf.DUMMYFUNCTION("""COMPUTED_VALUE"""),"F")</f>
        <v>F</v>
      </c>
      <c r="H2028" s="9" t="str">
        <f>IFERROR(__xludf.DUMMYFUNCTION("""COMPUTED_VALUE"""),"FGM")</f>
        <v>FGM</v>
      </c>
      <c r="I2028" s="9" t="str">
        <f>IFERROR(__xludf.DUMMYFUNCTION("""COMPUTED_VALUE"""),"Tel")</f>
        <v>Tel</v>
      </c>
      <c r="J2028" s="9" t="str">
        <f>IFERROR(__xludf.DUMMYFUNCTION("""COMPUTED_VALUE"""),"CN")</f>
        <v>CN</v>
      </c>
      <c r="K2028" s="9" t="str">
        <f>IFERROR(__xludf.DUMMYFUNCTION("""COMPUTED_VALUE"""),"BF")</f>
        <v>BF</v>
      </c>
      <c r="L2028" s="9" t="str">
        <f>IFERROR(__xludf.DUMMYFUNCTION("""COMPUTED_VALUE"""),"NSP")</f>
        <v>NSP</v>
      </c>
      <c r="M2028" s="9"/>
      <c r="N2028" s="9"/>
      <c r="O2028" s="9"/>
      <c r="P2028" s="9"/>
      <c r="Q2028" s="9"/>
      <c r="R2028" s="9"/>
      <c r="S2028" s="42"/>
      <c r="T2028" s="42"/>
      <c r="U2028" s="159"/>
      <c r="V2028" s="42"/>
      <c r="W2028" s="42"/>
      <c r="X2028" s="42"/>
      <c r="Y2028" s="42"/>
      <c r="Z2028" s="42"/>
      <c r="AA2028" s="42"/>
      <c r="AB2028" s="42" t="str">
        <f>IFERROR(__xludf.DUMMYFUNCTION("""COMPUTED_VALUE"""),"allen institute")</f>
        <v>allen institute</v>
      </c>
      <c r="AC2028" s="42" t="str">
        <f>IFERROR(__xludf.DUMMYFUNCTION("""COMPUTED_VALUE"""),"DHBA")</f>
        <v>DHBA</v>
      </c>
      <c r="AD2028" s="42"/>
      <c r="AE2028" s="42"/>
      <c r="AF2028" s="9"/>
      <c r="AG2028" s="9"/>
      <c r="AH2028" s="42"/>
      <c r="AI2028" s="42"/>
      <c r="AJ2028" s="42"/>
      <c r="AK2028" s="42"/>
      <c r="AL2028" s="42"/>
      <c r="AM2028" s="42"/>
      <c r="AN2028" s="42"/>
      <c r="AO2028" s="63" t="str">
        <f>IFERROR(__xludf.DUMMYFUNCTION("IF(ISBLANK(A2028),,IF(ISBLANK(S2028), A2028&amp;"";"", TEXTJOIN(CHAR(10), TRUE, A2028&amp;"";"", ARRAYFORMULA(VLOOKUP(SPLIT(S2028, "";"" &amp; CHAR(10)), $A:$AO, 41, FALSE)))))"),"NSP;")</f>
        <v>NSP;</v>
      </c>
      <c r="AP2028" s="89"/>
    </row>
    <row r="2029">
      <c r="A2029" s="151" t="str">
        <f>IFERROR(__xludf.DUMMYFUNCTION("""COMPUTED_VALUE"""),"IsCj")</f>
        <v>IsCj</v>
      </c>
      <c r="B2029" s="42" t="str">
        <f>IFERROR(__xludf.DUMMYFUNCTION("""COMPUTED_VALUE"""),"DHBA")</f>
        <v>DHBA</v>
      </c>
      <c r="C2029" s="42" t="str">
        <f>IFERROR(__xludf.DUMMYFUNCTION("""COMPUTED_VALUE"""),"Islands of Calleja, ICa")</f>
        <v>Islands of Calleja, ICa</v>
      </c>
      <c r="D2029" s="42">
        <f>IFERROR(__xludf.DUMMYFUNCTION("""COMPUTED_VALUE"""),1919.0)</f>
        <v>1919</v>
      </c>
      <c r="E2029" s="39" t="str">
        <f>IFERROR(__xludf.DUMMYFUNCTION("""COMPUTED_VALUE"""),"islands of Calleja")</f>
        <v>islands of Calleja</v>
      </c>
      <c r="F2029" s="9" t="str">
        <f>IFERROR(__xludf.DUMMYFUNCTION("""COMPUTED_VALUE"""),"Br")</f>
        <v>Br</v>
      </c>
      <c r="G2029" s="9" t="str">
        <f>IFERROR(__xludf.DUMMYFUNCTION("""COMPUTED_VALUE"""),"F")</f>
        <v>F</v>
      </c>
      <c r="H2029" s="9" t="str">
        <f>IFERROR(__xludf.DUMMYFUNCTION("""COMPUTED_VALUE"""),"FGM")</f>
        <v>FGM</v>
      </c>
      <c r="I2029" s="9" t="str">
        <f>IFERROR(__xludf.DUMMYFUNCTION("""COMPUTED_VALUE"""),"Tel")</f>
        <v>Tel</v>
      </c>
      <c r="J2029" s="9" t="str">
        <f>IFERROR(__xludf.DUMMYFUNCTION("""COMPUTED_VALUE"""),"CN")</f>
        <v>CN</v>
      </c>
      <c r="K2029" s="9" t="str">
        <f>IFERROR(__xludf.DUMMYFUNCTION("""COMPUTED_VALUE"""),"BF")</f>
        <v>BF</v>
      </c>
      <c r="L2029" s="9" t="str">
        <f>IFERROR(__xludf.DUMMYFUNCTION("""COMPUTED_VALUE"""),"IsCj")</f>
        <v>IsCj</v>
      </c>
      <c r="M2029" s="9"/>
      <c r="N2029" s="9"/>
      <c r="O2029" s="9"/>
      <c r="P2029" s="9"/>
      <c r="Q2029" s="9"/>
      <c r="R2029" s="9"/>
      <c r="S2029" s="42" t="str">
        <f>IFERROR(__xludf.DUMMYFUNCTION("""COMPUTED_VALUE"""),"IsCjm;
IsCjs")</f>
        <v>IsCjm;
IsCjs</v>
      </c>
      <c r="T2029" s="42"/>
      <c r="U2029" s="159" t="b">
        <f>IFERROR(__xludf.DUMMYFUNCTION("""COMPUTED_VALUE"""),FALSE)</f>
        <v>0</v>
      </c>
      <c r="V2029" s="42"/>
      <c r="W2029" s="42"/>
      <c r="X2029" s="42"/>
      <c r="Y2029" s="42"/>
      <c r="Z2029" s="42"/>
      <c r="AA2029" s="42"/>
      <c r="AB2029" s="42" t="str">
        <f>IFERROR(__xludf.DUMMYFUNCTION("""COMPUTED_VALUE"""),"allen institute")</f>
        <v>allen institute</v>
      </c>
      <c r="AC2029" s="42" t="str">
        <f>IFERROR(__xludf.DUMMYFUNCTION("""COMPUTED_VALUE"""),"DHBA")</f>
        <v>DHBA</v>
      </c>
      <c r="AD2029" s="42"/>
      <c r="AE2029" s="42"/>
      <c r="AF2029" s="9"/>
      <c r="AG2029" s="9"/>
      <c r="AH2029" s="42"/>
      <c r="AI2029" s="42"/>
      <c r="AJ2029" s="42"/>
      <c r="AK2029" s="42"/>
      <c r="AL2029" s="42"/>
      <c r="AM2029" s="42"/>
      <c r="AN2029" s="42"/>
      <c r="AO2029" s="63" t="str">
        <f>IFERROR(__xludf.DUMMYFUNCTION("IF(ISBLANK(A2029),,IF(ISBLANK(S2029), A2029&amp;"";"", TEXTJOIN(CHAR(10), TRUE, A2029&amp;"";"", ARRAYFORMULA(VLOOKUP(SPLIT(S2029, "";"" &amp; CHAR(10)), $A:$AO, 41, FALSE)))))"),"IsCj;
IsCjm;
IsCjs;")</f>
        <v>IsCj;
IsCjm;
IsCjs;</v>
      </c>
      <c r="AP2029" s="89"/>
    </row>
    <row r="2030">
      <c r="A2030" s="151" t="str">
        <f>IFERROR(__xludf.DUMMYFUNCTION("""COMPUTED_VALUE"""),"IsCjm")</f>
        <v>IsCjm</v>
      </c>
      <c r="B2030" s="42" t="str">
        <f>IFERROR(__xludf.DUMMYFUNCTION("""COMPUTED_VALUE"""),"DHBA")</f>
        <v>DHBA</v>
      </c>
      <c r="C2030" s="42" t="str">
        <f>IFERROR(__xludf.DUMMYFUNCTION("""COMPUTED_VALUE"""),"major island of Calleja")</f>
        <v>major island of Calleja</v>
      </c>
      <c r="D2030" s="42">
        <f>IFERROR(__xludf.DUMMYFUNCTION("""COMPUTED_VALUE"""),1920.0)</f>
        <v>1920</v>
      </c>
      <c r="E2030" s="39" t="str">
        <f>IFERROR(__xludf.DUMMYFUNCTION("""COMPUTED_VALUE"""),"major island of Calleja")</f>
        <v>major island of Calleja</v>
      </c>
      <c r="F2030" s="9" t="str">
        <f>IFERROR(__xludf.DUMMYFUNCTION("""COMPUTED_VALUE"""),"Br")</f>
        <v>Br</v>
      </c>
      <c r="G2030" s="9" t="str">
        <f>IFERROR(__xludf.DUMMYFUNCTION("""COMPUTED_VALUE"""),"F")</f>
        <v>F</v>
      </c>
      <c r="H2030" s="9" t="str">
        <f>IFERROR(__xludf.DUMMYFUNCTION("""COMPUTED_VALUE"""),"FGM")</f>
        <v>FGM</v>
      </c>
      <c r="I2030" s="9" t="str">
        <f>IFERROR(__xludf.DUMMYFUNCTION("""COMPUTED_VALUE"""),"Tel")</f>
        <v>Tel</v>
      </c>
      <c r="J2030" s="9" t="str">
        <f>IFERROR(__xludf.DUMMYFUNCTION("""COMPUTED_VALUE"""),"CN")</f>
        <v>CN</v>
      </c>
      <c r="K2030" s="9" t="str">
        <f>IFERROR(__xludf.DUMMYFUNCTION("""COMPUTED_VALUE"""),"BF")</f>
        <v>BF</v>
      </c>
      <c r="L2030" s="9" t="str">
        <f>IFERROR(__xludf.DUMMYFUNCTION("""COMPUTED_VALUE"""),"IsCj")</f>
        <v>IsCj</v>
      </c>
      <c r="M2030" s="9" t="str">
        <f>IFERROR(__xludf.DUMMYFUNCTION("""COMPUTED_VALUE"""),"IsCjm")</f>
        <v>IsCjm</v>
      </c>
      <c r="N2030" s="9"/>
      <c r="O2030" s="9"/>
      <c r="P2030" s="9"/>
      <c r="Q2030" s="9"/>
      <c r="R2030" s="9"/>
      <c r="S2030" s="42"/>
      <c r="T2030" s="42"/>
      <c r="U2030" s="159"/>
      <c r="V2030" s="42"/>
      <c r="W2030" s="42"/>
      <c r="X2030" s="42"/>
      <c r="Y2030" s="42"/>
      <c r="Z2030" s="42"/>
      <c r="AA2030" s="42"/>
      <c r="AB2030" s="42" t="str">
        <f>IFERROR(__xludf.DUMMYFUNCTION("""COMPUTED_VALUE"""),"allen institute")</f>
        <v>allen institute</v>
      </c>
      <c r="AC2030" s="42" t="str">
        <f>IFERROR(__xludf.DUMMYFUNCTION("""COMPUTED_VALUE"""),"DHBA")</f>
        <v>DHBA</v>
      </c>
      <c r="AD2030" s="42"/>
      <c r="AE2030" s="42"/>
      <c r="AF2030" s="9"/>
      <c r="AG2030" s="9"/>
      <c r="AH2030" s="42"/>
      <c r="AI2030" s="42"/>
      <c r="AJ2030" s="42"/>
      <c r="AK2030" s="42"/>
      <c r="AL2030" s="42"/>
      <c r="AM2030" s="42"/>
      <c r="AN2030" s="42"/>
      <c r="AO2030" s="63" t="str">
        <f>IFERROR(__xludf.DUMMYFUNCTION("IF(ISBLANK(A2030),,IF(ISBLANK(S2030), A2030&amp;"";"", TEXTJOIN(CHAR(10), TRUE, A2030&amp;"";"", ARRAYFORMULA(VLOOKUP(SPLIT(S2030, "";"" &amp; CHAR(10)), $A:$AO, 41, FALSE)))))"),"IsCjm;")</f>
        <v>IsCjm;</v>
      </c>
      <c r="AP2030" s="89"/>
    </row>
    <row r="2031">
      <c r="A2031" s="151" t="str">
        <f>IFERROR(__xludf.DUMMYFUNCTION("""COMPUTED_VALUE"""),"IsCjs")</f>
        <v>IsCjs</v>
      </c>
      <c r="B2031" s="42" t="str">
        <f>IFERROR(__xludf.DUMMYFUNCTION("""COMPUTED_VALUE"""),"DHBA")</f>
        <v>DHBA</v>
      </c>
      <c r="C2031" s="42" t="str">
        <f>IFERROR(__xludf.DUMMYFUNCTION("""COMPUTED_VALUE"""),"scattered islands of Calleja")</f>
        <v>scattered islands of Calleja</v>
      </c>
      <c r="D2031" s="42">
        <f>IFERROR(__xludf.DUMMYFUNCTION("""COMPUTED_VALUE"""),1921.0)</f>
        <v>1921</v>
      </c>
      <c r="E2031" s="39" t="str">
        <f>IFERROR(__xludf.DUMMYFUNCTION("""COMPUTED_VALUE"""),"scattered islands of Calleja")</f>
        <v>scattered islands of Calleja</v>
      </c>
      <c r="F2031" s="9" t="str">
        <f>IFERROR(__xludf.DUMMYFUNCTION("""COMPUTED_VALUE"""),"Br")</f>
        <v>Br</v>
      </c>
      <c r="G2031" s="9" t="str">
        <f>IFERROR(__xludf.DUMMYFUNCTION("""COMPUTED_VALUE"""),"F")</f>
        <v>F</v>
      </c>
      <c r="H2031" s="9" t="str">
        <f>IFERROR(__xludf.DUMMYFUNCTION("""COMPUTED_VALUE"""),"FGM")</f>
        <v>FGM</v>
      </c>
      <c r="I2031" s="9" t="str">
        <f>IFERROR(__xludf.DUMMYFUNCTION("""COMPUTED_VALUE"""),"Tel")</f>
        <v>Tel</v>
      </c>
      <c r="J2031" s="9" t="str">
        <f>IFERROR(__xludf.DUMMYFUNCTION("""COMPUTED_VALUE"""),"CN")</f>
        <v>CN</v>
      </c>
      <c r="K2031" s="9" t="str">
        <f>IFERROR(__xludf.DUMMYFUNCTION("""COMPUTED_VALUE"""),"BF")</f>
        <v>BF</v>
      </c>
      <c r="L2031" s="9" t="str">
        <f>IFERROR(__xludf.DUMMYFUNCTION("""COMPUTED_VALUE"""),"IsCj")</f>
        <v>IsCj</v>
      </c>
      <c r="M2031" s="9" t="str">
        <f>IFERROR(__xludf.DUMMYFUNCTION("""COMPUTED_VALUE"""),"IsCjs")</f>
        <v>IsCjs</v>
      </c>
      <c r="N2031" s="9"/>
      <c r="O2031" s="9"/>
      <c r="P2031" s="9"/>
      <c r="Q2031" s="9"/>
      <c r="R2031" s="9"/>
      <c r="S2031" s="42"/>
      <c r="T2031" s="42"/>
      <c r="U2031" s="42"/>
      <c r="V2031" s="42"/>
      <c r="W2031" s="42"/>
      <c r="X2031" s="42"/>
      <c r="Y2031" s="42"/>
      <c r="Z2031" s="42"/>
      <c r="AA2031" s="42"/>
      <c r="AB2031" s="42" t="str">
        <f>IFERROR(__xludf.DUMMYFUNCTION("""COMPUTED_VALUE"""),"allen institute")</f>
        <v>allen institute</v>
      </c>
      <c r="AC2031" s="42" t="str">
        <f>IFERROR(__xludf.DUMMYFUNCTION("""COMPUTED_VALUE"""),"DHBA")</f>
        <v>DHBA</v>
      </c>
      <c r="AD2031" s="42"/>
      <c r="AE2031" s="42"/>
      <c r="AF2031" s="9"/>
      <c r="AG2031" s="9"/>
      <c r="AH2031" s="42"/>
      <c r="AI2031" s="42"/>
      <c r="AJ2031" s="42"/>
      <c r="AK2031" s="42"/>
      <c r="AL2031" s="42"/>
      <c r="AM2031" s="42"/>
      <c r="AN2031" s="42"/>
      <c r="AO2031" s="63" t="str">
        <f>IFERROR(__xludf.DUMMYFUNCTION("IF(ISBLANK(A2031),,IF(ISBLANK(S2031), A2031&amp;"";"", TEXTJOIN(CHAR(10), TRUE, A2031&amp;"";"", ARRAYFORMULA(VLOOKUP(SPLIT(S2031, "";"" &amp; CHAR(10)), $A:$AO, 41, FALSE)))))"),"IsCjs;")</f>
        <v>IsCjs;</v>
      </c>
      <c r="AP2031" s="89"/>
    </row>
    <row r="2032">
      <c r="A2032" s="151" t="str">
        <f>IFERROR(__xludf.DUMMYFUNCTION("""COMPUTED_VALUE"""),"SI")</f>
        <v>SI</v>
      </c>
      <c r="B2032" s="42" t="str">
        <f>IFERROR(__xludf.DUMMYFUNCTION("""COMPUTED_VALUE"""),"DHBA")</f>
        <v>DHBA</v>
      </c>
      <c r="C2032" s="42" t="str">
        <f>IFERROR(__xludf.DUMMYFUNCTION("""COMPUTED_VALUE"""),"Substantia innominata")</f>
        <v>Substantia innominata</v>
      </c>
      <c r="D2032" s="42">
        <f>IFERROR(__xludf.DUMMYFUNCTION("""COMPUTED_VALUE"""),1922.0)</f>
        <v>1922</v>
      </c>
      <c r="E2032" s="39" t="str">
        <f>IFERROR(__xludf.DUMMYFUNCTION("""COMPUTED_VALUE"""),"substantia innominata")</f>
        <v>substantia innominata</v>
      </c>
      <c r="F2032" s="9" t="str">
        <f>IFERROR(__xludf.DUMMYFUNCTION("""COMPUTED_VALUE"""),"Br")</f>
        <v>Br</v>
      </c>
      <c r="G2032" s="9" t="str">
        <f>IFERROR(__xludf.DUMMYFUNCTION("""COMPUTED_VALUE"""),"F")</f>
        <v>F</v>
      </c>
      <c r="H2032" s="9" t="str">
        <f>IFERROR(__xludf.DUMMYFUNCTION("""COMPUTED_VALUE"""),"FGM")</f>
        <v>FGM</v>
      </c>
      <c r="I2032" s="9" t="str">
        <f>IFERROR(__xludf.DUMMYFUNCTION("""COMPUTED_VALUE"""),"Tel")</f>
        <v>Tel</v>
      </c>
      <c r="J2032" s="9" t="str">
        <f>IFERROR(__xludf.DUMMYFUNCTION("""COMPUTED_VALUE"""),"CN")</f>
        <v>CN</v>
      </c>
      <c r="K2032" s="9" t="str">
        <f>IFERROR(__xludf.DUMMYFUNCTION("""COMPUTED_VALUE"""),"BF")</f>
        <v>BF</v>
      </c>
      <c r="L2032" s="9" t="str">
        <f>IFERROR(__xludf.DUMMYFUNCTION("""COMPUTED_VALUE"""),"SI")</f>
        <v>SI</v>
      </c>
      <c r="M2032" s="9"/>
      <c r="N2032" s="9"/>
      <c r="O2032" s="9"/>
      <c r="P2032" s="9"/>
      <c r="Q2032" s="9"/>
      <c r="R2032" s="9"/>
      <c r="S2032" s="42" t="str">
        <f>IFERROR(__xludf.DUMMYFUNCTION("""COMPUTED_VALUE"""),"SI_pc;
SI_nc")</f>
        <v>SI_pc;
SI_nc</v>
      </c>
      <c r="T2032" s="42"/>
      <c r="U2032" s="42" t="b">
        <f>IFERROR(__xludf.DUMMYFUNCTION("""COMPUTED_VALUE"""),FALSE)</f>
        <v>0</v>
      </c>
      <c r="V2032" s="42"/>
      <c r="W2032" s="42"/>
      <c r="X2032" s="42"/>
      <c r="Y2032" s="42"/>
      <c r="Z2032" s="42"/>
      <c r="AA2032" s="42"/>
      <c r="AB2032" s="42" t="str">
        <f>IFERROR(__xludf.DUMMYFUNCTION("""COMPUTED_VALUE"""),"allen institute")</f>
        <v>allen institute</v>
      </c>
      <c r="AC2032" s="42" t="str">
        <f>IFERROR(__xludf.DUMMYFUNCTION("""COMPUTED_VALUE"""),"DHBA")</f>
        <v>DHBA</v>
      </c>
      <c r="AD2032" s="42"/>
      <c r="AE2032" s="42"/>
      <c r="AF2032" s="9"/>
      <c r="AG2032" s="9"/>
      <c r="AH2032" s="42"/>
      <c r="AI2032" s="42"/>
      <c r="AJ2032" s="42"/>
      <c r="AK2032" s="42"/>
      <c r="AL2032" s="42"/>
      <c r="AM2032" s="42"/>
      <c r="AN2032" s="42"/>
      <c r="AO2032" s="63" t="str">
        <f>IFERROR(__xludf.DUMMYFUNCTION("IF(ISBLANK(A2032),,IF(ISBLANK(S2032), A2032&amp;"";"", TEXTJOIN(CHAR(10), TRUE, A2032&amp;"";"", ARRAYFORMULA(VLOOKUP(SPLIT(S2032, "";"" &amp; CHAR(10)), $A:$AO, 41, FALSE)))))"),"#N/A")</f>
        <v>#N/A</v>
      </c>
      <c r="AP2032" s="89"/>
    </row>
    <row r="2033">
      <c r="A2033" s="151" t="str">
        <f>IFERROR(__xludf.DUMMYFUNCTION("""COMPUTED_VALUE"""),"SI-pc")</f>
        <v>SI-pc</v>
      </c>
      <c r="B2033" s="42" t="str">
        <f>IFERROR(__xludf.DUMMYFUNCTION("""COMPUTED_VALUE"""),"DHBA")</f>
        <v>DHBA</v>
      </c>
      <c r="C2033" s="42" t="str">
        <f>IFERROR(__xludf.DUMMYFUNCTION("""COMPUTED_VALUE"""),"lightly-stained parvocellular islands of SI")</f>
        <v>lightly-stained parvocellular islands of SI</v>
      </c>
      <c r="D2033" s="42">
        <f>IFERROR(__xludf.DUMMYFUNCTION("""COMPUTED_VALUE"""),1923.0)</f>
        <v>1923</v>
      </c>
      <c r="E2033" s="39" t="str">
        <f>IFERROR(__xludf.DUMMYFUNCTION("""COMPUTED_VALUE"""),"lightly-stained parvocellular islands of SI")</f>
        <v>lightly-stained parvocellular islands of SI</v>
      </c>
      <c r="F2033" s="9" t="str">
        <f>IFERROR(__xludf.DUMMYFUNCTION("""COMPUTED_VALUE"""),"Br")</f>
        <v>Br</v>
      </c>
      <c r="G2033" s="9" t="str">
        <f>IFERROR(__xludf.DUMMYFUNCTION("""COMPUTED_VALUE"""),"F")</f>
        <v>F</v>
      </c>
      <c r="H2033" s="9" t="str">
        <f>IFERROR(__xludf.DUMMYFUNCTION("""COMPUTED_VALUE"""),"FGM")</f>
        <v>FGM</v>
      </c>
      <c r="I2033" s="9" t="str">
        <f>IFERROR(__xludf.DUMMYFUNCTION("""COMPUTED_VALUE"""),"Tel")</f>
        <v>Tel</v>
      </c>
      <c r="J2033" s="9" t="str">
        <f>IFERROR(__xludf.DUMMYFUNCTION("""COMPUTED_VALUE"""),"CN")</f>
        <v>CN</v>
      </c>
      <c r="K2033" s="9" t="str">
        <f>IFERROR(__xludf.DUMMYFUNCTION("""COMPUTED_VALUE"""),"BF")</f>
        <v>BF</v>
      </c>
      <c r="L2033" s="9" t="str">
        <f>IFERROR(__xludf.DUMMYFUNCTION("""COMPUTED_VALUE"""),"SI")</f>
        <v>SI</v>
      </c>
      <c r="M2033" s="9" t="str">
        <f>IFERROR(__xludf.DUMMYFUNCTION("""COMPUTED_VALUE"""),"SI-pc")</f>
        <v>SI-pc</v>
      </c>
      <c r="N2033" s="9"/>
      <c r="O2033" s="9"/>
      <c r="P2033" s="9"/>
      <c r="Q2033" s="9"/>
      <c r="R2033" s="9"/>
      <c r="S2033" s="42"/>
      <c r="T2033" s="42"/>
      <c r="U2033" s="42"/>
      <c r="V2033" s="42"/>
      <c r="W2033" s="42"/>
      <c r="X2033" s="42"/>
      <c r="Y2033" s="42"/>
      <c r="Z2033" s="42"/>
      <c r="AA2033" s="42"/>
      <c r="AB2033" s="42" t="str">
        <f>IFERROR(__xludf.DUMMYFUNCTION("""COMPUTED_VALUE"""),"allen institute")</f>
        <v>allen institute</v>
      </c>
      <c r="AC2033" s="42" t="str">
        <f>IFERROR(__xludf.DUMMYFUNCTION("""COMPUTED_VALUE"""),"DHBA")</f>
        <v>DHBA</v>
      </c>
      <c r="AD2033" s="42"/>
      <c r="AE2033" s="42"/>
      <c r="AF2033" s="9"/>
      <c r="AG2033" s="9"/>
      <c r="AH2033" s="42"/>
      <c r="AI2033" s="42"/>
      <c r="AJ2033" s="42"/>
      <c r="AK2033" s="42"/>
      <c r="AL2033" s="42"/>
      <c r="AM2033" s="42"/>
      <c r="AN2033" s="42"/>
      <c r="AO2033" s="63" t="str">
        <f>IFERROR(__xludf.DUMMYFUNCTION("IF(ISBLANK(A2033),,IF(ISBLANK(S2033), A2033&amp;"";"", TEXTJOIN(CHAR(10), TRUE, A2033&amp;"";"", ARRAYFORMULA(VLOOKUP(SPLIT(S2033, "";"" &amp; CHAR(10)), $A:$AO, 41, FALSE)))))"),"SI-pc;")</f>
        <v>SI-pc;</v>
      </c>
      <c r="AP2033" s="89"/>
    </row>
    <row r="2034">
      <c r="A2034" s="151" t="str">
        <f>IFERROR(__xludf.DUMMYFUNCTION("""COMPUTED_VALUE"""),"SI-nc")</f>
        <v>SI-nc</v>
      </c>
      <c r="B2034" s="42" t="str">
        <f>IFERROR(__xludf.DUMMYFUNCTION("""COMPUTED_VALUE"""),"DHBA")</f>
        <v>DHBA</v>
      </c>
      <c r="C2034" s="42" t="str">
        <f>IFERROR(__xludf.DUMMYFUNCTION("""COMPUTED_VALUE"""),"darkly-stained nanocellular islands of SI")</f>
        <v>darkly-stained nanocellular islands of SI</v>
      </c>
      <c r="D2034" s="42">
        <f>IFERROR(__xludf.DUMMYFUNCTION("""COMPUTED_VALUE"""),1924.0)</f>
        <v>1924</v>
      </c>
      <c r="E2034" s="39" t="str">
        <f>IFERROR(__xludf.DUMMYFUNCTION("""COMPUTED_VALUE"""),"darkly-stained nanocellular islands of SI")</f>
        <v>darkly-stained nanocellular islands of SI</v>
      </c>
      <c r="F2034" s="9" t="str">
        <f>IFERROR(__xludf.DUMMYFUNCTION("""COMPUTED_VALUE"""),"Br")</f>
        <v>Br</v>
      </c>
      <c r="G2034" s="9" t="str">
        <f>IFERROR(__xludf.DUMMYFUNCTION("""COMPUTED_VALUE"""),"F")</f>
        <v>F</v>
      </c>
      <c r="H2034" s="9" t="str">
        <f>IFERROR(__xludf.DUMMYFUNCTION("""COMPUTED_VALUE"""),"FGM")</f>
        <v>FGM</v>
      </c>
      <c r="I2034" s="9" t="str">
        <f>IFERROR(__xludf.DUMMYFUNCTION("""COMPUTED_VALUE"""),"Tel")</f>
        <v>Tel</v>
      </c>
      <c r="J2034" s="9" t="str">
        <f>IFERROR(__xludf.DUMMYFUNCTION("""COMPUTED_VALUE"""),"CN")</f>
        <v>CN</v>
      </c>
      <c r="K2034" s="9" t="str">
        <f>IFERROR(__xludf.DUMMYFUNCTION("""COMPUTED_VALUE"""),"BF")</f>
        <v>BF</v>
      </c>
      <c r="L2034" s="9" t="str">
        <f>IFERROR(__xludf.DUMMYFUNCTION("""COMPUTED_VALUE"""),"SI")</f>
        <v>SI</v>
      </c>
      <c r="M2034" s="9" t="str">
        <f>IFERROR(__xludf.DUMMYFUNCTION("""COMPUTED_VALUE"""),"SI-nc")</f>
        <v>SI-nc</v>
      </c>
      <c r="N2034" s="9"/>
      <c r="O2034" s="9"/>
      <c r="P2034" s="9"/>
      <c r="Q2034" s="9"/>
      <c r="R2034" s="9"/>
      <c r="S2034" s="42"/>
      <c r="T2034" s="42"/>
      <c r="U2034" s="42"/>
      <c r="V2034" s="42"/>
      <c r="W2034" s="42"/>
      <c r="X2034" s="42"/>
      <c r="Y2034" s="42"/>
      <c r="Z2034" s="42"/>
      <c r="AA2034" s="42"/>
      <c r="AB2034" s="42" t="str">
        <f>IFERROR(__xludf.DUMMYFUNCTION("""COMPUTED_VALUE"""),"allen institute")</f>
        <v>allen institute</v>
      </c>
      <c r="AC2034" s="42" t="str">
        <f>IFERROR(__xludf.DUMMYFUNCTION("""COMPUTED_VALUE"""),"DHBA")</f>
        <v>DHBA</v>
      </c>
      <c r="AD2034" s="42"/>
      <c r="AE2034" s="42"/>
      <c r="AF2034" s="9"/>
      <c r="AG2034" s="9"/>
      <c r="AH2034" s="42"/>
      <c r="AI2034" s="42"/>
      <c r="AJ2034" s="42"/>
      <c r="AK2034" s="42"/>
      <c r="AL2034" s="42"/>
      <c r="AM2034" s="42"/>
      <c r="AN2034" s="42"/>
      <c r="AO2034" s="63" t="str">
        <f>IFERROR(__xludf.DUMMYFUNCTION("IF(ISBLANK(A2034),,IF(ISBLANK(S2034), A2034&amp;"";"", TEXTJOIN(CHAR(10), TRUE, A2034&amp;"";"", ARRAYFORMULA(VLOOKUP(SPLIT(S2034, "";"" &amp; CHAR(10)), $A:$AO, 41, FALSE)))))"),"SI-nc;")</f>
        <v>SI-nc;</v>
      </c>
      <c r="AP2034" s="89"/>
    </row>
    <row r="2035">
      <c r="A2035" s="151" t="str">
        <f>IFERROR(__xludf.DUMMYFUNCTION("""COMPUTED_VALUE"""),"Die")</f>
        <v>Die</v>
      </c>
      <c r="B2035" s="42" t="str">
        <f>IFERROR(__xludf.DUMMYFUNCTION("""COMPUTED_VALUE"""),"DHBA")</f>
        <v>DHBA</v>
      </c>
      <c r="C2035" s="42" t="str">
        <f>IFERROR(__xludf.DUMMYFUNCTION("""COMPUTED_VALUE"""),"diencephalon")</f>
        <v>diencephalon</v>
      </c>
      <c r="D2035" s="42">
        <f>IFERROR(__xludf.DUMMYFUNCTION("""COMPUTED_VALUE"""),1925.0)</f>
        <v>1925</v>
      </c>
      <c r="E2035" s="39" t="str">
        <f>IFERROR(__xludf.DUMMYFUNCTION("""COMPUTED_VALUE"""),"diencephalon")</f>
        <v>diencephalon</v>
      </c>
      <c r="F2035" s="9" t="str">
        <f>IFERROR(__xludf.DUMMYFUNCTION("""COMPUTED_VALUE"""),"Br")</f>
        <v>Br</v>
      </c>
      <c r="G2035" s="9" t="str">
        <f>IFERROR(__xludf.DUMMYFUNCTION("""COMPUTED_VALUE"""),"F")</f>
        <v>F</v>
      </c>
      <c r="H2035" s="9" t="str">
        <f>IFERROR(__xludf.DUMMYFUNCTION("""COMPUTED_VALUE"""),"FGM")</f>
        <v>FGM</v>
      </c>
      <c r="I2035" s="9" t="str">
        <f>IFERROR(__xludf.DUMMYFUNCTION("""COMPUTED_VALUE"""),"Die")</f>
        <v>Die</v>
      </c>
      <c r="J2035" s="9"/>
      <c r="K2035" s="9"/>
      <c r="L2035" s="9"/>
      <c r="M2035" s="9"/>
      <c r="N2035" s="9"/>
      <c r="O2035" s="9"/>
      <c r="P2035" s="9"/>
      <c r="Q2035" s="9"/>
      <c r="R2035" s="9"/>
      <c r="S2035" s="42" t="str">
        <f>IFERROR(__xludf.DUMMYFUNCTION("""COMPUTED_VALUE"""),"THM;
SubTH;
HTH;
Ret")</f>
        <v>THM;
SubTH;
HTH;
Ret</v>
      </c>
      <c r="T2035" s="42"/>
      <c r="U2035" s="42" t="b">
        <f>IFERROR(__xludf.DUMMYFUNCTION("""COMPUTED_VALUE"""),FALSE)</f>
        <v>0</v>
      </c>
      <c r="V2035" s="42"/>
      <c r="W2035" s="42"/>
      <c r="X2035" s="42"/>
      <c r="Y2035" s="42"/>
      <c r="Z2035" s="42"/>
      <c r="AA2035" s="42"/>
      <c r="AB2035" s="42" t="str">
        <f>IFERROR(__xludf.DUMMYFUNCTION("""COMPUTED_VALUE"""),"allen institute")</f>
        <v>allen institute</v>
      </c>
      <c r="AC2035" s="42" t="str">
        <f>IFERROR(__xludf.DUMMYFUNCTION("""COMPUTED_VALUE"""),"DHBA")</f>
        <v>DHBA</v>
      </c>
      <c r="AD2035" s="42"/>
      <c r="AE2035" s="42"/>
      <c r="AF2035" s="9"/>
      <c r="AG2035" s="9"/>
      <c r="AH2035" s="42"/>
      <c r="AI2035" s="42"/>
      <c r="AJ2035" s="42"/>
      <c r="AK2035" s="42"/>
      <c r="AL2035" s="42"/>
      <c r="AM2035" s="42"/>
      <c r="AN2035" s="42"/>
      <c r="AO2035" s="63" t="str">
        <f>IFERROR(__xludf.DUMMYFUNCTION("IF(ISBLANK(A2035),,IF(ISBLANK(S2035), A2035&amp;"";"", TEXTJOIN(CHAR(10), TRUE, A2035&amp;"";"", ARRAYFORMULA(VLOOKUP(SPLIT(S2035, "";"" &amp; CHAR(10)), $A:$AO, 41, FALSE)))))"),"#REF!")</f>
        <v>#REF!</v>
      </c>
      <c r="AP2035" s="89"/>
    </row>
    <row r="2036">
      <c r="A2036" s="151" t="str">
        <f>IFERROR(__xludf.DUMMYFUNCTION("""COMPUTED_VALUE"""),"THM")</f>
        <v>THM</v>
      </c>
      <c r="B2036" s="42" t="str">
        <f>IFERROR(__xludf.DUMMYFUNCTION("""COMPUTED_VALUE"""),"DHBA")</f>
        <v>DHBA</v>
      </c>
      <c r="C2036" s="42" t="str">
        <f>IFERROR(__xludf.DUMMYFUNCTION("""COMPUTED_VALUE"""),"thalamus")</f>
        <v>thalamus</v>
      </c>
      <c r="D2036" s="42">
        <f>IFERROR(__xludf.DUMMYFUNCTION("""COMPUTED_VALUE"""),1926.0)</f>
        <v>1926</v>
      </c>
      <c r="E2036" s="39" t="str">
        <f>IFERROR(__xludf.DUMMYFUNCTION("""COMPUTED_VALUE"""),"thalamus")</f>
        <v>thalamus</v>
      </c>
      <c r="F2036" s="9" t="str">
        <f>IFERROR(__xludf.DUMMYFUNCTION("""COMPUTED_VALUE"""),"Br")</f>
        <v>Br</v>
      </c>
      <c r="G2036" s="9" t="str">
        <f>IFERROR(__xludf.DUMMYFUNCTION("""COMPUTED_VALUE"""),"F")</f>
        <v>F</v>
      </c>
      <c r="H2036" s="9" t="str">
        <f>IFERROR(__xludf.DUMMYFUNCTION("""COMPUTED_VALUE"""),"FGM")</f>
        <v>FGM</v>
      </c>
      <c r="I2036" s="9" t="str">
        <f>IFERROR(__xludf.DUMMYFUNCTION("""COMPUTED_VALUE"""),"Die")</f>
        <v>Die</v>
      </c>
      <c r="J2036" s="9" t="str">
        <f>IFERROR(__xludf.DUMMYFUNCTION("""COMPUTED_VALUE"""),"THM")</f>
        <v>THM</v>
      </c>
      <c r="K2036" s="9"/>
      <c r="L2036" s="9"/>
      <c r="M2036" s="9"/>
      <c r="N2036" s="9"/>
      <c r="O2036" s="9"/>
      <c r="P2036" s="9"/>
      <c r="Q2036" s="9"/>
      <c r="R2036" s="9"/>
      <c r="S2036" s="42" t="str">
        <f>IFERROR(__xludf.DUMMYFUNCTION("""COMPUTED_VALUE"""),"TRN_core;
TRN_matrix;
TRN_IL;
R;
VL;
VA;
LD;
LP;
MG;
MD;
HN;
Pf;
DTH;
ETH;
VTH")</f>
        <v>TRN_core;
TRN_matrix;
TRN_IL;
R;
VL;
VA;
LD;
LP;
MG;
MD;
HN;
Pf;
DTH;
ETH;
VTH</v>
      </c>
      <c r="T2036" s="42"/>
      <c r="U2036" s="42" t="b">
        <f>IFERROR(__xludf.DUMMYFUNCTION("""COMPUTED_VALUE"""),FALSE)</f>
        <v>0</v>
      </c>
      <c r="V2036" s="42"/>
      <c r="W2036" s="42"/>
      <c r="X2036" s="42"/>
      <c r="Y2036" s="42"/>
      <c r="Z2036" s="42"/>
      <c r="AA2036" s="42"/>
      <c r="AB2036" s="42" t="str">
        <f>IFERROR(__xludf.DUMMYFUNCTION("""COMPUTED_VALUE"""),"allen institute")</f>
        <v>allen institute</v>
      </c>
      <c r="AC2036" s="42" t="str">
        <f>IFERROR(__xludf.DUMMYFUNCTION("""COMPUTED_VALUE"""),"DHBA")</f>
        <v>DHBA</v>
      </c>
      <c r="AD2036" s="42"/>
      <c r="AE2036" s="42"/>
      <c r="AF2036" s="9"/>
      <c r="AG2036" s="9"/>
      <c r="AH2036" s="42"/>
      <c r="AI2036" s="42"/>
      <c r="AJ2036" s="42"/>
      <c r="AK2036" s="42"/>
      <c r="AL2036" s="42"/>
      <c r="AM2036" s="42"/>
      <c r="AN2036" s="42"/>
      <c r="AO2036" s="63" t="str">
        <f>IFERROR(__xludf.DUMMYFUNCTION("IF(ISBLANK(A2036),,IF(ISBLANK(S2036), A2036&amp;"";"", TEXTJOIN(CHAR(10), TRUE, A2036&amp;"";"", ARRAYFORMULA(VLOOKUP(SPLIT(S2036, "";"" &amp; CHAR(10)), $A:$AO, 41, FALSE)))))"),"THM;
TRN_core;
LG;
DLG;
DLGmc;
DLG1;
DLG2;
DLGpc;
DLG3;
DLG4;
DLG5;
DLG6;
DLGs;
DLGk;
PG;
TRN_matrix;
TRN_IL;
R;
Rmc;
Rpc;
VL;
VL_core;
VL_matrix;
VLR;
VLC;
VLCd;
VLCv;
VLCx;
VA;
VA_core;
VA_matrix;
VApr;
VAmc;
Ld;
LP;
MG;
DMG;
DMGad;
DMGpd;
VMG;
MMG;
LiM"&amp;"G;
MD;
MDd;
MDm;
MDmc;
MDam;
MDl;
MDc;
HN;
LHN;
LHNmc;
LHNpc;
MHN;
Pf;
Pfl;
Pfm;
DTH;
ANC;
AD;
AM;
AV;
Ld;
MNC;
MD;
MDd;
MDm;
MDmc;
MDam;
MDl;
MDc;
Re;
Pt;
LNC;
DLN;
LP;
Pul;
Pulr;
Pulm;
Pull;
Puli;
Pulil;
Pulim;
VLN;
VA;
VA_core;
VA_matrix;
VApr;
VAmc;
V"&amp;"L;
VL_core;
VL_matrix;
VLR;
VLC;
VLCd;
VLCv;
VLCx;
VPT;
VPL;
VPLr;
VPLc;
VPM;
VPMpc;
VPI;
VMb;
VM;
PoN;
LG;
DLG;
DLGmc;
DLG1;
DLG2;
DLGpc;
DLG3;
DLG4;
DLG5;
DLG6;
DLGs;
DLGk;
PG;
MG;
DMG;
DMGad;
DMGpd;
VMG;
MMG;
LiMG;
Po;
LSG;
Lim;
SGN;
ILN;
AILN;
CL;
CLm"&amp;";
CLl;
CLs;
CLc;
CEm;
CEmd;
CEmv;
PC;
CD;
PILN;
CM;
CMl;
CMm;
Pf;
Pfl;
Pfm;
SPf;
RPf;
Fa;
MiN;
Rh;
PeVA;
IAM;
IMD;
ETH;
HN;
LHN;
LHNmc;
LHNpc;
MHN;
PaV;
PaVr;
PaVc;
Pin;
VTH;
FF;
FF_l;
FF_r;
ZI;
ZId;
ZIv;
EnP;
PSTh;")</f>
        <v>THM;
TRN_core;
LG;
DLG;
DLGmc;
DLG1;
DLG2;
DLGpc;
DLG3;
DLG4;
DLG5;
DLG6;
DLGs;
DLGk;
PG;
TRN_matrix;
TRN_IL;
R;
Rmc;
Rpc;
VL;
VL_core;
VL_matrix;
VLR;
VLC;
VLCd;
VLCv;
VLCx;
VA;
VA_core;
VA_matrix;
VApr;
VAmc;
Ld;
LP;
MG;
DMG;
DMGad;
DMGpd;
VMG;
MMG;
LiMG;
MD;
MDd;
MDm;
MDmc;
MDam;
MDl;
MDc;
HN;
LHN;
LHNmc;
LHNpc;
MHN;
Pf;
Pfl;
Pfm;
DTH;
ANC;
AD;
AM;
AV;
Ld;
MNC;
MD;
MDd;
MDm;
MDmc;
MDam;
MDl;
MDc;
Re;
Pt;
LNC;
DLN;
LP;
Pul;
Pulr;
Pulm;
Pull;
Puli;
Pulil;
Pulim;
VLN;
VA;
VA_core;
VA_matrix;
VApr;
VAmc;
VL;
VL_core;
VL_matrix;
VLR;
VLC;
VLCd;
VLCv;
VLCx;
VPT;
VPL;
VPLr;
VPLc;
VPM;
VPMpc;
VPI;
VMb;
VM;
PoN;
LG;
DLG;
DLGmc;
DLG1;
DLG2;
DLGpc;
DLG3;
DLG4;
DLG5;
DLG6;
DLGs;
DLGk;
PG;
MG;
DMG;
DMGad;
DMGpd;
VMG;
MMG;
LiMG;
Po;
LSG;
Lim;
SGN;
ILN;
AILN;
CL;
CLm;
CLl;
CLs;
CLc;
CEm;
CEmd;
CEmv;
PC;
CD;
PILN;
CM;
CMl;
CMm;
Pf;
Pfl;
Pfm;
SPf;
RPf;
Fa;
MiN;
Rh;
PeVA;
IAM;
IMD;
ETH;
HN;
LHN;
LHNmc;
LHNpc;
MHN;
PaV;
PaVr;
PaVc;
Pin;
VTH;
FF;
FF_l;
FF_r;
ZI;
ZId;
ZIv;
EnP;
PSTh;</v>
      </c>
      <c r="AP2036" s="89"/>
    </row>
    <row r="2037">
      <c r="A2037" s="151" t="str">
        <f>IFERROR(__xludf.DUMMYFUNCTION("""COMPUTED_VALUE"""),"TRN_core")</f>
        <v>TRN_core</v>
      </c>
      <c r="B2037" s="42" t="str">
        <f>IFERROR(__xludf.DUMMYFUNCTION("""COMPUTED_VALUE"""),"[Jones, 1998]")</f>
        <v>[Jones, 1998]</v>
      </c>
      <c r="C2037" s="42" t="str">
        <f>IFERROR(__xludf.DUMMYFUNCTION("""COMPUTED_VALUE"""),"Core type relay neuron in thalamus")</f>
        <v>Core type relay neuron in thalamus</v>
      </c>
      <c r="D2037" s="42">
        <f>IFERROR(__xludf.DUMMYFUNCTION("""COMPUTED_VALUE"""),1926.1)</f>
        <v>1926.1</v>
      </c>
      <c r="E2037" s="39" t="str">
        <f>IFERROR(__xludf.DUMMYFUNCTION("""COMPUTED_VALUE"""),"")</f>
        <v/>
      </c>
      <c r="F2037" s="9" t="str">
        <f>IFERROR(__xludf.DUMMYFUNCTION("""COMPUTED_VALUE"""),"")</f>
        <v/>
      </c>
      <c r="G2037" s="9" t="str">
        <f>IFERROR(__xludf.DUMMYFUNCTION("""COMPUTED_VALUE"""),"")</f>
        <v/>
      </c>
      <c r="H2037" s="9" t="str">
        <f>IFERROR(__xludf.DUMMYFUNCTION("""COMPUTED_VALUE"""),"")</f>
        <v/>
      </c>
      <c r="I2037" s="9" t="str">
        <f>IFERROR(__xludf.DUMMYFUNCTION("""COMPUTED_VALUE"""),"")</f>
        <v/>
      </c>
      <c r="J2037" s="9" t="str">
        <f>IFERROR(__xludf.DUMMYFUNCTION("""COMPUTED_VALUE"""),"")</f>
        <v/>
      </c>
      <c r="K2037" s="9" t="str">
        <f>IFERROR(__xludf.DUMMYFUNCTION("""COMPUTED_VALUE"""),"")</f>
        <v/>
      </c>
      <c r="L2037" s="9" t="str">
        <f>IFERROR(__xludf.DUMMYFUNCTION("""COMPUTED_VALUE"""),"")</f>
        <v/>
      </c>
      <c r="M2037" s="9" t="str">
        <f>IFERROR(__xludf.DUMMYFUNCTION("""COMPUTED_VALUE"""),"")</f>
        <v/>
      </c>
      <c r="N2037" s="9" t="str">
        <f>IFERROR(__xludf.DUMMYFUNCTION("""COMPUTED_VALUE"""),"")</f>
        <v/>
      </c>
      <c r="O2037" s="9" t="str">
        <f>IFERROR(__xludf.DUMMYFUNCTION("""COMPUTED_VALUE"""),"")</f>
        <v/>
      </c>
      <c r="P2037" s="9" t="str">
        <f>IFERROR(__xludf.DUMMYFUNCTION("""COMPUTED_VALUE"""),"")</f>
        <v/>
      </c>
      <c r="Q2037" s="9" t="str">
        <f>IFERROR(__xludf.DUMMYFUNCTION("""COMPUTED_VALUE"""),"")</f>
        <v/>
      </c>
      <c r="R2037" s="9" t="str">
        <f>IFERROR(__xludf.DUMMYFUNCTION("""COMPUTED_VALUE"""),"")</f>
        <v/>
      </c>
      <c r="S2037" s="42" t="str">
        <f>IFERROR(__xludf.DUMMYFUNCTION("""COMPUTED_VALUE"""),"LG")</f>
        <v>LG</v>
      </c>
      <c r="T2037" s="42"/>
      <c r="U2037" s="42" t="b">
        <f>IFERROR(__xludf.DUMMYFUNCTION("""COMPUTED_VALUE"""),TRUE)</f>
        <v>1</v>
      </c>
      <c r="V2037" s="42" t="str">
        <f>IFERROR(__xludf.DUMMYFUNCTION("""COMPUTED_VALUE"""),"Glutamate")</f>
        <v>Glutamate</v>
      </c>
      <c r="W2037" s="42" t="str">
        <f>IFERROR(__xludf.DUMMYFUNCTION("""COMPUTED_VALUE"""),"Excitatory")</f>
        <v>Excitatory</v>
      </c>
      <c r="X2037" s="42"/>
      <c r="Y2037" s="42"/>
      <c r="Z2037" s="42"/>
      <c r="AA2037" s="42"/>
      <c r="AB2037" s="42" t="str">
        <f>IFERROR(__xludf.DUMMYFUNCTION("""COMPUTED_VALUE"""),"Hiroshi Yamakawa")</f>
        <v>Hiroshi Yamakawa</v>
      </c>
      <c r="AC2037" s="42" t="str">
        <f>IFERROR(__xludf.DUMMYFUNCTION("""COMPUTED_VALUE"""),"HY18NeocorticalInterareaSignals ")</f>
        <v>HY18NeocorticalInterareaSignals </v>
      </c>
      <c r="AD2037" s="42"/>
      <c r="AE2037" s="42"/>
      <c r="AF2037" s="9"/>
      <c r="AG2037" s="9"/>
      <c r="AH2037" s="42"/>
      <c r="AI2037" s="42"/>
      <c r="AJ2037" s="42"/>
      <c r="AK2037" s="42"/>
      <c r="AL2037" s="42"/>
      <c r="AM2037" s="42"/>
      <c r="AN2037" s="42"/>
      <c r="AO2037" s="63" t="str">
        <f>IFERROR(__xludf.DUMMYFUNCTION("IF(ISBLANK(A2037),,IF(ISBLANK(S2037), A2037&amp;"";"", TEXTJOIN(CHAR(10), TRUE, A2037&amp;"";"", ARRAYFORMULA(VLOOKUP(SPLIT(S2037, "";"" &amp; CHAR(10)), $A:$AO, 41, FALSE)))))"),"TRN_core;
LG;
DLG;
DLGmc;
DLG1;
DLG2;
DLGpc;
DLG3;
DLG4;
DLG5;
DLG6;
DLGs;
DLGk;
PG;")</f>
        <v>TRN_core;
LG;
DLG;
DLGmc;
DLG1;
DLG2;
DLGpc;
DLG3;
DLG4;
DLG5;
DLG6;
DLGs;
DLGk;
PG;</v>
      </c>
      <c r="AP2037" s="89"/>
    </row>
    <row r="2038">
      <c r="A2038" s="151" t="str">
        <f>IFERROR(__xludf.DUMMYFUNCTION("""COMPUTED_VALUE"""),"TRN_IL")</f>
        <v>TRN_IL</v>
      </c>
      <c r="B2038" s="42" t="str">
        <f>IFERROR(__xludf.DUMMYFUNCTION("""COMPUTED_VALUE"""),"makeshift")</f>
        <v>makeshift</v>
      </c>
      <c r="C2038" s="42" t="str">
        <f>IFERROR(__xludf.DUMMYFUNCTION("""COMPUTED_VALUE"""),"intralaminar type neuron in thalamus")</f>
        <v>intralaminar type neuron in thalamus</v>
      </c>
      <c r="D2038" s="42">
        <f>IFERROR(__xludf.DUMMYFUNCTION("""COMPUTED_VALUE"""),1926.1)</f>
        <v>1926.1</v>
      </c>
      <c r="E2038" s="39" t="str">
        <f>IFERROR(__xludf.DUMMYFUNCTION("""COMPUTED_VALUE"""),"")</f>
        <v/>
      </c>
      <c r="F2038" s="9" t="str">
        <f>IFERROR(__xludf.DUMMYFUNCTION("""COMPUTED_VALUE"""),"")</f>
        <v/>
      </c>
      <c r="G2038" s="9" t="str">
        <f>IFERROR(__xludf.DUMMYFUNCTION("""COMPUTED_VALUE"""),"")</f>
        <v/>
      </c>
      <c r="H2038" s="9" t="str">
        <f>IFERROR(__xludf.DUMMYFUNCTION("""COMPUTED_VALUE"""),"")</f>
        <v/>
      </c>
      <c r="I2038" s="9" t="str">
        <f>IFERROR(__xludf.DUMMYFUNCTION("""COMPUTED_VALUE"""),"")</f>
        <v/>
      </c>
      <c r="J2038" s="9" t="str">
        <f>IFERROR(__xludf.DUMMYFUNCTION("""COMPUTED_VALUE"""),"")</f>
        <v/>
      </c>
      <c r="K2038" s="9" t="str">
        <f>IFERROR(__xludf.DUMMYFUNCTION("""COMPUTED_VALUE"""),"")</f>
        <v/>
      </c>
      <c r="L2038" s="9" t="str">
        <f>IFERROR(__xludf.DUMMYFUNCTION("""COMPUTED_VALUE"""),"")</f>
        <v/>
      </c>
      <c r="M2038" s="9" t="str">
        <f>IFERROR(__xludf.DUMMYFUNCTION("""COMPUTED_VALUE"""),"")</f>
        <v/>
      </c>
      <c r="N2038" s="9" t="str">
        <f>IFERROR(__xludf.DUMMYFUNCTION("""COMPUTED_VALUE"""),"")</f>
        <v/>
      </c>
      <c r="O2038" s="9" t="str">
        <f>IFERROR(__xludf.DUMMYFUNCTION("""COMPUTED_VALUE"""),"")</f>
        <v/>
      </c>
      <c r="P2038" s="9" t="str">
        <f>IFERROR(__xludf.DUMMYFUNCTION("""COMPUTED_VALUE"""),"")</f>
        <v/>
      </c>
      <c r="Q2038" s="9" t="str">
        <f>IFERROR(__xludf.DUMMYFUNCTION("""COMPUTED_VALUE"""),"")</f>
        <v/>
      </c>
      <c r="R2038" s="9" t="str">
        <f>IFERROR(__xludf.DUMMYFUNCTION("""COMPUTED_VALUE"""),"")</f>
        <v/>
      </c>
      <c r="S2038" s="42"/>
      <c r="T2038" s="42"/>
      <c r="U2038" s="42" t="b">
        <f>IFERROR(__xludf.DUMMYFUNCTION("""COMPUTED_VALUE"""),TRUE)</f>
        <v>1</v>
      </c>
      <c r="V2038" s="42"/>
      <c r="W2038" s="42" t="str">
        <f>IFERROR(__xludf.DUMMYFUNCTION("""COMPUTED_VALUE"""),"Excitatory")</f>
        <v>Excitatory</v>
      </c>
      <c r="X2038" s="42"/>
      <c r="Y2038" s="42" t="str">
        <f>IFERROR(__xludf.DUMMYFUNCTION("""COMPUTED_VALUE"""),"あまりよくわかっていない。")</f>
        <v>あまりよくわかっていない。</v>
      </c>
      <c r="Z2038" s="42"/>
      <c r="AA2038" s="42"/>
      <c r="AB2038" s="42" t="str">
        <f>IFERROR(__xludf.DUMMYFUNCTION("""COMPUTED_VALUE"""),"Hiroshi Yamakawa")</f>
        <v>Hiroshi Yamakawa</v>
      </c>
      <c r="AC2038" s="42" t="str">
        <f>IFERROR(__xludf.DUMMYFUNCTION("""COMPUTED_VALUE"""),"HY18NeocorticalInterareaSignals ")</f>
        <v>HY18NeocorticalInterareaSignals </v>
      </c>
      <c r="AD2038" s="42"/>
      <c r="AE2038" s="42"/>
      <c r="AF2038" s="9"/>
      <c r="AG2038" s="9"/>
      <c r="AH2038" s="42"/>
      <c r="AI2038" s="42"/>
      <c r="AJ2038" s="42"/>
      <c r="AK2038" s="42"/>
      <c r="AL2038" s="42"/>
      <c r="AM2038" s="42"/>
      <c r="AN2038" s="42"/>
      <c r="AO2038" s="63" t="str">
        <f>IFERROR(__xludf.DUMMYFUNCTION("IF(ISBLANK(A2038),,IF(ISBLANK(S2038), A2038&amp;"";"", TEXTJOIN(CHAR(10), TRUE, A2038&amp;"";"", ARRAYFORMULA(VLOOKUP(SPLIT(S2038, "";"" &amp; CHAR(10)), $A:$AO, 41, FALSE)))))"),"TRN_IL;")</f>
        <v>TRN_IL;</v>
      </c>
      <c r="AP2038" s="89"/>
    </row>
    <row r="2039">
      <c r="A2039" s="151" t="str">
        <f>IFERROR(__xludf.DUMMYFUNCTION("""COMPUTED_VALUE"""),"TRN_matrix")</f>
        <v>TRN_matrix</v>
      </c>
      <c r="B2039" s="42" t="str">
        <f>IFERROR(__xludf.DUMMYFUNCTION("""COMPUTED_VALUE"""),"[Jones, 1998]")</f>
        <v>[Jones, 1998]</v>
      </c>
      <c r="C2039" s="42" t="str">
        <f>IFERROR(__xludf.DUMMYFUNCTION("""COMPUTED_VALUE"""),"Matrix type relay neuron in thalamus")</f>
        <v>Matrix type relay neuron in thalamus</v>
      </c>
      <c r="D2039" s="42">
        <f>IFERROR(__xludf.DUMMYFUNCTION("""COMPUTED_VALUE"""),1926.1)</f>
        <v>1926.1</v>
      </c>
      <c r="E2039" s="39" t="str">
        <f>IFERROR(__xludf.DUMMYFUNCTION("""COMPUTED_VALUE"""),"")</f>
        <v/>
      </c>
      <c r="F2039" s="9" t="str">
        <f>IFERROR(__xludf.DUMMYFUNCTION("""COMPUTED_VALUE"""),"")</f>
        <v/>
      </c>
      <c r="G2039" s="9" t="str">
        <f>IFERROR(__xludf.DUMMYFUNCTION("""COMPUTED_VALUE"""),"")</f>
        <v/>
      </c>
      <c r="H2039" s="9" t="str">
        <f>IFERROR(__xludf.DUMMYFUNCTION("""COMPUTED_VALUE"""),"")</f>
        <v/>
      </c>
      <c r="I2039" s="9" t="str">
        <f>IFERROR(__xludf.DUMMYFUNCTION("""COMPUTED_VALUE"""),"")</f>
        <v/>
      </c>
      <c r="J2039" s="9" t="str">
        <f>IFERROR(__xludf.DUMMYFUNCTION("""COMPUTED_VALUE"""),"")</f>
        <v/>
      </c>
      <c r="K2039" s="9" t="str">
        <f>IFERROR(__xludf.DUMMYFUNCTION("""COMPUTED_VALUE"""),"")</f>
        <v/>
      </c>
      <c r="L2039" s="9" t="str">
        <f>IFERROR(__xludf.DUMMYFUNCTION("""COMPUTED_VALUE"""),"")</f>
        <v/>
      </c>
      <c r="M2039" s="9" t="str">
        <f>IFERROR(__xludf.DUMMYFUNCTION("""COMPUTED_VALUE"""),"")</f>
        <v/>
      </c>
      <c r="N2039" s="9" t="str">
        <f>IFERROR(__xludf.DUMMYFUNCTION("""COMPUTED_VALUE"""),"")</f>
        <v/>
      </c>
      <c r="O2039" s="9" t="str">
        <f>IFERROR(__xludf.DUMMYFUNCTION("""COMPUTED_VALUE"""),"")</f>
        <v/>
      </c>
      <c r="P2039" s="9" t="str">
        <f>IFERROR(__xludf.DUMMYFUNCTION("""COMPUTED_VALUE"""),"")</f>
        <v/>
      </c>
      <c r="Q2039" s="9" t="str">
        <f>IFERROR(__xludf.DUMMYFUNCTION("""COMPUTED_VALUE"""),"")</f>
        <v/>
      </c>
      <c r="R2039" s="9" t="str">
        <f>IFERROR(__xludf.DUMMYFUNCTION("""COMPUTED_VALUE"""),"")</f>
        <v/>
      </c>
      <c r="S2039" s="42"/>
      <c r="T2039" s="42"/>
      <c r="U2039" s="42" t="b">
        <f>IFERROR(__xludf.DUMMYFUNCTION("""COMPUTED_VALUE"""),TRUE)</f>
        <v>1</v>
      </c>
      <c r="V2039" s="42" t="str">
        <f>IFERROR(__xludf.DUMMYFUNCTION("""COMPUTED_VALUE"""),"Glutamate")</f>
        <v>Glutamate</v>
      </c>
      <c r="W2039" s="42" t="str">
        <f>IFERROR(__xludf.DUMMYFUNCTION("""COMPUTED_VALUE"""),"Excitatory")</f>
        <v>Excitatory</v>
      </c>
      <c r="X2039" s="42"/>
      <c r="Y2039" s="42"/>
      <c r="Z2039" s="42"/>
      <c r="AA2039" s="42"/>
      <c r="AB2039" s="42" t="str">
        <f>IFERROR(__xludf.DUMMYFUNCTION("""COMPUTED_VALUE"""),"Hiroshi Yamakawa")</f>
        <v>Hiroshi Yamakawa</v>
      </c>
      <c r="AC2039" s="42" t="str">
        <f>IFERROR(__xludf.DUMMYFUNCTION("""COMPUTED_VALUE"""),"HY18NeocorticalInterareaSignals ")</f>
        <v>HY18NeocorticalInterareaSignals </v>
      </c>
      <c r="AD2039" s="42"/>
      <c r="AE2039" s="42"/>
      <c r="AF2039" s="9"/>
      <c r="AG2039" s="9"/>
      <c r="AH2039" s="42"/>
      <c r="AI2039" s="42"/>
      <c r="AJ2039" s="42"/>
      <c r="AK2039" s="42"/>
      <c r="AL2039" s="42"/>
      <c r="AM2039" s="42"/>
      <c r="AN2039" s="42"/>
      <c r="AO2039" s="63" t="str">
        <f>IFERROR(__xludf.DUMMYFUNCTION("IF(ISBLANK(A2039),,IF(ISBLANK(S2039), A2039&amp;"";"", TEXTJOIN(CHAR(10), TRUE, A2039&amp;"";"", ARRAYFORMULA(VLOOKUP(SPLIT(S2039, "";"" &amp; CHAR(10)), $A:$AO, 41, FALSE)))))"),"TRN_matrix;")</f>
        <v>TRN_matrix;</v>
      </c>
      <c r="AP2039" s="89"/>
    </row>
    <row r="2040">
      <c r="A2040" s="151" t="str">
        <f>IFERROR(__xludf.DUMMYFUNCTION("""COMPUTED_VALUE"""),"DTH")</f>
        <v>DTH</v>
      </c>
      <c r="B2040" s="42" t="str">
        <f>IFERROR(__xludf.DUMMYFUNCTION("""COMPUTED_VALUE"""),"DHBA")</f>
        <v>DHBA</v>
      </c>
      <c r="C2040" s="42" t="str">
        <f>IFERROR(__xludf.DUMMYFUNCTION("""COMPUTED_VALUE"""),"dorsal thalamus")</f>
        <v>dorsal thalamus</v>
      </c>
      <c r="D2040" s="42">
        <f>IFERROR(__xludf.DUMMYFUNCTION("""COMPUTED_VALUE"""),1927.0)</f>
        <v>1927</v>
      </c>
      <c r="E2040" s="39" t="str">
        <f>IFERROR(__xludf.DUMMYFUNCTION("""COMPUTED_VALUE"""),"dorsal thalamus")</f>
        <v>dorsal thalamus</v>
      </c>
      <c r="F2040" s="9" t="str">
        <f>IFERROR(__xludf.DUMMYFUNCTION("""COMPUTED_VALUE"""),"Br")</f>
        <v>Br</v>
      </c>
      <c r="G2040" s="9" t="str">
        <f>IFERROR(__xludf.DUMMYFUNCTION("""COMPUTED_VALUE"""),"F")</f>
        <v>F</v>
      </c>
      <c r="H2040" s="9" t="str">
        <f>IFERROR(__xludf.DUMMYFUNCTION("""COMPUTED_VALUE"""),"FGM")</f>
        <v>FGM</v>
      </c>
      <c r="I2040" s="9" t="str">
        <f>IFERROR(__xludf.DUMMYFUNCTION("""COMPUTED_VALUE"""),"Die")</f>
        <v>Die</v>
      </c>
      <c r="J2040" s="9" t="str">
        <f>IFERROR(__xludf.DUMMYFUNCTION("""COMPUTED_VALUE"""),"THM")</f>
        <v>THM</v>
      </c>
      <c r="K2040" s="9" t="str">
        <f>IFERROR(__xludf.DUMMYFUNCTION("""COMPUTED_VALUE"""),"DTH")</f>
        <v>DTH</v>
      </c>
      <c r="L2040" s="9"/>
      <c r="M2040" s="9"/>
      <c r="N2040" s="9"/>
      <c r="O2040" s="9"/>
      <c r="P2040" s="9"/>
      <c r="Q2040" s="9"/>
      <c r="R2040" s="9"/>
      <c r="S2040" s="42" t="str">
        <f>IFERROR(__xludf.DUMMYFUNCTION("""COMPUTED_VALUE"""),"ANC;
MNC;
LNC;
PoN;
ILN;
MiN")</f>
        <v>ANC;
MNC;
LNC;
PoN;
ILN;
MiN</v>
      </c>
      <c r="T2040" s="42"/>
      <c r="U2040" s="42" t="b">
        <f>IFERROR(__xludf.DUMMYFUNCTION("""COMPUTED_VALUE"""),FALSE)</f>
        <v>0</v>
      </c>
      <c r="V2040" s="42"/>
      <c r="W2040" s="42"/>
      <c r="X2040" s="42"/>
      <c r="Y2040" s="42"/>
      <c r="Z2040" s="42"/>
      <c r="AA2040" s="42"/>
      <c r="AB2040" s="42" t="str">
        <f>IFERROR(__xludf.DUMMYFUNCTION("""COMPUTED_VALUE"""),"allen institute")</f>
        <v>allen institute</v>
      </c>
      <c r="AC2040" s="42" t="str">
        <f>IFERROR(__xludf.DUMMYFUNCTION("""COMPUTED_VALUE"""),"DHBA")</f>
        <v>DHBA</v>
      </c>
      <c r="AD2040" s="42"/>
      <c r="AE2040" s="42"/>
      <c r="AF2040" s="9"/>
      <c r="AG2040" s="9"/>
      <c r="AH2040" s="42"/>
      <c r="AI2040" s="42"/>
      <c r="AJ2040" s="42"/>
      <c r="AK2040" s="42"/>
      <c r="AL2040" s="42"/>
      <c r="AM2040" s="42"/>
      <c r="AN2040" s="42"/>
      <c r="AO2040" s="63" t="str">
        <f>IFERROR(__xludf.DUMMYFUNCTION("IF(ISBLANK(A2040),,IF(ISBLANK(S2040), A2040&amp;"";"", TEXTJOIN(CHAR(10), TRUE, A2040&amp;"";"", ARRAYFORMULA(VLOOKUP(SPLIT(S2040, "";"" &amp; CHAR(10)), $A:$AO, 41, FALSE)))))"),"DTH;
ANC;
AD;
AM;
AV;
Ld;
MNC;
MD;
MDd;
MDm;
MDmc;
MDam;
MDl;
MDc;
Re;
Pt;
LNC;
DLN;
LP;
Pul;
Pulr;
Pulm;
Pull;
Puli;
Pulil;
Pulim;
VLN;
VA;
VA_core;
VA_matrix;
VApr;
VAmc;
VL;
VL_core;
VL_matrix;
VLR;
VLC;
VLCd;
VLCv;
VLCx;
VPT;
VPL;
VPLr;
VPLc;
VPM;
VPM"&amp;"pc;
VPI;
VMb;
VM;
PoN;
LG;
DLG;
DLGmc;
DLG1;
DLG2;
DLGpc;
DLG3;
DLG4;
DLG5;
DLG6;
DLGs;
DLGk;
PG;
MG;
DMG;
DMGad;
DMGpd;
VMG;
MMG;
LiMG;
Po;
LSG;
Lim;
SGN;
ILN;
AILN;
CL;
CLm;
CLl;
CLs;
CLc;
CEm;
CEmd;
CEmv;
PC;
CD;
PILN;
CM;
CMl;
CMm;
Pf;
Pfl;
Pfm;
SPf;
"&amp;"RPf;
Fa;
MiN;
Rh;
PeVA;
IAM;
IMD;")</f>
        <v>DTH;
ANC;
AD;
AM;
AV;
Ld;
MNC;
MD;
MDd;
MDm;
MDmc;
MDam;
MDl;
MDc;
Re;
Pt;
LNC;
DLN;
LP;
Pul;
Pulr;
Pulm;
Pull;
Puli;
Pulil;
Pulim;
VLN;
VA;
VA_core;
VA_matrix;
VApr;
VAmc;
VL;
VL_core;
VL_matrix;
VLR;
VLC;
VLCd;
VLCv;
VLCx;
VPT;
VPL;
VPLr;
VPLc;
VPM;
VPMpc;
VPI;
VMb;
VM;
PoN;
LG;
DLG;
DLGmc;
DLG1;
DLG2;
DLGpc;
DLG3;
DLG4;
DLG5;
DLG6;
DLGs;
DLGk;
PG;
MG;
DMG;
DMGad;
DMGpd;
VMG;
MMG;
LiMG;
Po;
LSG;
Lim;
SGN;
ILN;
AILN;
CL;
CLm;
CLl;
CLs;
CLc;
CEm;
CEmd;
CEmv;
PC;
CD;
PILN;
CM;
CMl;
CMm;
Pf;
Pfl;
Pfm;
SPf;
RPf;
Fa;
MiN;
Rh;
PeVA;
IAM;
IMD;</v>
      </c>
      <c r="AP2040" s="89"/>
    </row>
    <row r="2041">
      <c r="A2041" s="151" t="str">
        <f>IFERROR(__xludf.DUMMYFUNCTION("""COMPUTED_VALUE"""),"ANC")</f>
        <v>ANC</v>
      </c>
      <c r="B2041" s="42" t="str">
        <f>IFERROR(__xludf.DUMMYFUNCTION("""COMPUTED_VALUE"""),"DHBA")</f>
        <v>DHBA</v>
      </c>
      <c r="C2041" s="42" t="str">
        <f>IFERROR(__xludf.DUMMYFUNCTION("""COMPUTED_VALUE"""),"anterior nuclear complex of thalamus")</f>
        <v>anterior nuclear complex of thalamus</v>
      </c>
      <c r="D2041" s="42">
        <f>IFERROR(__xludf.DUMMYFUNCTION("""COMPUTED_VALUE"""),1928.0)</f>
        <v>1928</v>
      </c>
      <c r="E2041" s="39" t="str">
        <f>IFERROR(__xludf.DUMMYFUNCTION("""COMPUTED_VALUE"""),"anterior nuclear complex of thalamus")</f>
        <v>anterior nuclear complex of thalamus</v>
      </c>
      <c r="F2041" s="9" t="str">
        <f>IFERROR(__xludf.DUMMYFUNCTION("""COMPUTED_VALUE"""),"Br")</f>
        <v>Br</v>
      </c>
      <c r="G2041" s="9" t="str">
        <f>IFERROR(__xludf.DUMMYFUNCTION("""COMPUTED_VALUE"""),"F")</f>
        <v>F</v>
      </c>
      <c r="H2041" s="9" t="str">
        <f>IFERROR(__xludf.DUMMYFUNCTION("""COMPUTED_VALUE"""),"FGM")</f>
        <v>FGM</v>
      </c>
      <c r="I2041" s="9" t="str">
        <f>IFERROR(__xludf.DUMMYFUNCTION("""COMPUTED_VALUE"""),"Die")</f>
        <v>Die</v>
      </c>
      <c r="J2041" s="9" t="str">
        <f>IFERROR(__xludf.DUMMYFUNCTION("""COMPUTED_VALUE"""),"THM")</f>
        <v>THM</v>
      </c>
      <c r="K2041" s="9" t="str">
        <f>IFERROR(__xludf.DUMMYFUNCTION("""COMPUTED_VALUE"""),"DTH")</f>
        <v>DTH</v>
      </c>
      <c r="L2041" s="9" t="str">
        <f>IFERROR(__xludf.DUMMYFUNCTION("""COMPUTED_VALUE"""),"ANC")</f>
        <v>ANC</v>
      </c>
      <c r="M2041" s="9"/>
      <c r="N2041" s="9"/>
      <c r="O2041" s="9"/>
      <c r="P2041" s="9"/>
      <c r="Q2041" s="9"/>
      <c r="R2041" s="9"/>
      <c r="S2041" s="42" t="str">
        <f>IFERROR(__xludf.DUMMYFUNCTION("""COMPUTED_VALUE"""),"AD;
AM;
AV;
LD")</f>
        <v>AD;
AM;
AV;
LD</v>
      </c>
      <c r="T2041" s="42"/>
      <c r="U2041" s="42" t="b">
        <f>IFERROR(__xludf.DUMMYFUNCTION("""COMPUTED_VALUE"""),FALSE)</f>
        <v>0</v>
      </c>
      <c r="V2041" s="42"/>
      <c r="W2041" s="42"/>
      <c r="X2041" s="42"/>
      <c r="Y2041" s="42"/>
      <c r="Z2041" s="42"/>
      <c r="AA2041" s="42"/>
      <c r="AB2041" s="42" t="str">
        <f>IFERROR(__xludf.DUMMYFUNCTION("""COMPUTED_VALUE"""),"allen institute")</f>
        <v>allen institute</v>
      </c>
      <c r="AC2041" s="42" t="str">
        <f>IFERROR(__xludf.DUMMYFUNCTION("""COMPUTED_VALUE"""),"DHBA")</f>
        <v>DHBA</v>
      </c>
      <c r="AD2041" s="42"/>
      <c r="AE2041" s="42"/>
      <c r="AF2041" s="9"/>
      <c r="AG2041" s="9"/>
      <c r="AH2041" s="42"/>
      <c r="AI2041" s="42"/>
      <c r="AJ2041" s="42"/>
      <c r="AK2041" s="42"/>
      <c r="AL2041" s="42"/>
      <c r="AM2041" s="42"/>
      <c r="AN2041" s="42"/>
      <c r="AO2041" s="63" t="str">
        <f>IFERROR(__xludf.DUMMYFUNCTION("IF(ISBLANK(A2041),,IF(ISBLANK(S2041), A2041&amp;"";"", TEXTJOIN(CHAR(10), TRUE, A2041&amp;"";"", ARRAYFORMULA(VLOOKUP(SPLIT(S2041, "";"" &amp; CHAR(10)), $A:$AO, 41, FALSE)))))"),"ANC;
AD;
AM;
AV;
Ld;")</f>
        <v>ANC;
AD;
AM;
AV;
Ld;</v>
      </c>
      <c r="AP2041" s="89"/>
    </row>
    <row r="2042">
      <c r="A2042" s="151" t="str">
        <f>IFERROR(__xludf.DUMMYFUNCTION("""COMPUTED_VALUE"""),"AD")</f>
        <v>AD</v>
      </c>
      <c r="B2042" s="42" t="str">
        <f>IFERROR(__xludf.DUMMYFUNCTION("""COMPUTED_VALUE"""),"DHBA")</f>
        <v>DHBA</v>
      </c>
      <c r="C2042" s="42" t="str">
        <f>IFERROR(__xludf.DUMMYFUNCTION("""COMPUTED_VALUE"""),"anterodorsal nucleus of thalamus")</f>
        <v>anterodorsal nucleus of thalamus</v>
      </c>
      <c r="D2042" s="42">
        <f>IFERROR(__xludf.DUMMYFUNCTION("""COMPUTED_VALUE"""),1929.0)</f>
        <v>1929</v>
      </c>
      <c r="E2042" s="39" t="str">
        <f>IFERROR(__xludf.DUMMYFUNCTION("""COMPUTED_VALUE"""),"anterodorsal nucleus of thalamus")</f>
        <v>anterodorsal nucleus of thalamus</v>
      </c>
      <c r="F2042" s="9" t="str">
        <f>IFERROR(__xludf.DUMMYFUNCTION("""COMPUTED_VALUE"""),"Br")</f>
        <v>Br</v>
      </c>
      <c r="G2042" s="9" t="str">
        <f>IFERROR(__xludf.DUMMYFUNCTION("""COMPUTED_VALUE"""),"F")</f>
        <v>F</v>
      </c>
      <c r="H2042" s="9" t="str">
        <f>IFERROR(__xludf.DUMMYFUNCTION("""COMPUTED_VALUE"""),"FGM")</f>
        <v>FGM</v>
      </c>
      <c r="I2042" s="9" t="str">
        <f>IFERROR(__xludf.DUMMYFUNCTION("""COMPUTED_VALUE"""),"Die")</f>
        <v>Die</v>
      </c>
      <c r="J2042" s="9" t="str">
        <f>IFERROR(__xludf.DUMMYFUNCTION("""COMPUTED_VALUE"""),"THM")</f>
        <v>THM</v>
      </c>
      <c r="K2042" s="9" t="str">
        <f>IFERROR(__xludf.DUMMYFUNCTION("""COMPUTED_VALUE"""),"DTH")</f>
        <v>DTH</v>
      </c>
      <c r="L2042" s="9" t="str">
        <f>IFERROR(__xludf.DUMMYFUNCTION("""COMPUTED_VALUE"""),"ANC")</f>
        <v>ANC</v>
      </c>
      <c r="M2042" s="9" t="str">
        <f>IFERROR(__xludf.DUMMYFUNCTION("""COMPUTED_VALUE"""),"AD")</f>
        <v>AD</v>
      </c>
      <c r="N2042" s="9"/>
      <c r="O2042" s="9"/>
      <c r="P2042" s="9"/>
      <c r="Q2042" s="9"/>
      <c r="R2042" s="9"/>
      <c r="S2042" s="42"/>
      <c r="T2042" s="42"/>
      <c r="U2042" s="42"/>
      <c r="V2042" s="42"/>
      <c r="W2042" s="42"/>
      <c r="X2042" s="42"/>
      <c r="Y2042" s="42"/>
      <c r="Z2042" s="42"/>
      <c r="AA2042" s="42"/>
      <c r="AB2042" s="42" t="str">
        <f>IFERROR(__xludf.DUMMYFUNCTION("""COMPUTED_VALUE"""),"allen institute")</f>
        <v>allen institute</v>
      </c>
      <c r="AC2042" s="42" t="str">
        <f>IFERROR(__xludf.DUMMYFUNCTION("""COMPUTED_VALUE"""),"DHBA")</f>
        <v>DHBA</v>
      </c>
      <c r="AD2042" s="42"/>
      <c r="AE2042" s="42"/>
      <c r="AF2042" s="9"/>
      <c r="AG2042" s="9"/>
      <c r="AH2042" s="42"/>
      <c r="AI2042" s="42"/>
      <c r="AJ2042" s="42"/>
      <c r="AK2042" s="42"/>
      <c r="AL2042" s="42"/>
      <c r="AM2042" s="42"/>
      <c r="AN2042" s="42"/>
      <c r="AO2042" s="63" t="str">
        <f>IFERROR(__xludf.DUMMYFUNCTION("IF(ISBLANK(A2042),,IF(ISBLANK(S2042), A2042&amp;"";"", TEXTJOIN(CHAR(10), TRUE, A2042&amp;"";"", ARRAYFORMULA(VLOOKUP(SPLIT(S2042, "";"" &amp; CHAR(10)), $A:$AO, 41, FALSE)))))"),"AD;")</f>
        <v>AD;</v>
      </c>
      <c r="AP2042" s="89"/>
    </row>
    <row r="2043">
      <c r="A2043" s="151" t="str">
        <f>IFERROR(__xludf.DUMMYFUNCTION("""COMPUTED_VALUE"""),"AM")</f>
        <v>AM</v>
      </c>
      <c r="B2043" s="42" t="str">
        <f>IFERROR(__xludf.DUMMYFUNCTION("""COMPUTED_VALUE"""),"DHBA")</f>
        <v>DHBA</v>
      </c>
      <c r="C2043" s="42" t="str">
        <f>IFERROR(__xludf.DUMMYFUNCTION("""COMPUTED_VALUE"""),"anteromedial nucleus of thalamus")</f>
        <v>anteromedial nucleus of thalamus</v>
      </c>
      <c r="D2043" s="42">
        <f>IFERROR(__xludf.DUMMYFUNCTION("""COMPUTED_VALUE"""),1930.0)</f>
        <v>1930</v>
      </c>
      <c r="E2043" s="39" t="str">
        <f>IFERROR(__xludf.DUMMYFUNCTION("""COMPUTED_VALUE"""),"anteromedial nucleus of thalamus")</f>
        <v>anteromedial nucleus of thalamus</v>
      </c>
      <c r="F2043" s="9" t="str">
        <f>IFERROR(__xludf.DUMMYFUNCTION("""COMPUTED_VALUE"""),"Br")</f>
        <v>Br</v>
      </c>
      <c r="G2043" s="9" t="str">
        <f>IFERROR(__xludf.DUMMYFUNCTION("""COMPUTED_VALUE"""),"F")</f>
        <v>F</v>
      </c>
      <c r="H2043" s="9" t="str">
        <f>IFERROR(__xludf.DUMMYFUNCTION("""COMPUTED_VALUE"""),"FGM")</f>
        <v>FGM</v>
      </c>
      <c r="I2043" s="9" t="str">
        <f>IFERROR(__xludf.DUMMYFUNCTION("""COMPUTED_VALUE"""),"Die")</f>
        <v>Die</v>
      </c>
      <c r="J2043" s="9" t="str">
        <f>IFERROR(__xludf.DUMMYFUNCTION("""COMPUTED_VALUE"""),"THM")</f>
        <v>THM</v>
      </c>
      <c r="K2043" s="9" t="str">
        <f>IFERROR(__xludf.DUMMYFUNCTION("""COMPUTED_VALUE"""),"DTH")</f>
        <v>DTH</v>
      </c>
      <c r="L2043" s="9" t="str">
        <f>IFERROR(__xludf.DUMMYFUNCTION("""COMPUTED_VALUE"""),"ANC")</f>
        <v>ANC</v>
      </c>
      <c r="M2043" s="9" t="str">
        <f>IFERROR(__xludf.DUMMYFUNCTION("""COMPUTED_VALUE"""),"AM")</f>
        <v>AM</v>
      </c>
      <c r="N2043" s="9"/>
      <c r="O2043" s="9"/>
      <c r="P2043" s="9"/>
      <c r="Q2043" s="9"/>
      <c r="R2043" s="9"/>
      <c r="S2043" s="42"/>
      <c r="T2043" s="42"/>
      <c r="U2043" s="42"/>
      <c r="V2043" s="42"/>
      <c r="W2043" s="42"/>
      <c r="X2043" s="42"/>
      <c r="Y2043" s="42"/>
      <c r="Z2043" s="42"/>
      <c r="AA2043" s="42"/>
      <c r="AB2043" s="42" t="str">
        <f>IFERROR(__xludf.DUMMYFUNCTION("""COMPUTED_VALUE"""),"allen institute")</f>
        <v>allen institute</v>
      </c>
      <c r="AC2043" s="42" t="str">
        <f>IFERROR(__xludf.DUMMYFUNCTION("""COMPUTED_VALUE"""),"DHBA")</f>
        <v>DHBA</v>
      </c>
      <c r="AD2043" s="42"/>
      <c r="AE2043" s="42"/>
      <c r="AF2043" s="9"/>
      <c r="AG2043" s="9"/>
      <c r="AH2043" s="42"/>
      <c r="AI2043" s="42"/>
      <c r="AJ2043" s="42"/>
      <c r="AK2043" s="42"/>
      <c r="AL2043" s="42"/>
      <c r="AM2043" s="42"/>
      <c r="AN2043" s="42"/>
      <c r="AO2043" s="63" t="str">
        <f>IFERROR(__xludf.DUMMYFUNCTION("IF(ISBLANK(A2043),,IF(ISBLANK(S2043), A2043&amp;"";"", TEXTJOIN(CHAR(10), TRUE, A2043&amp;"";"", ARRAYFORMULA(VLOOKUP(SPLIT(S2043, "";"" &amp; CHAR(10)), $A:$AO, 41, FALSE)))))"),"AM;")</f>
        <v>AM;</v>
      </c>
      <c r="AP2043" s="89"/>
    </row>
    <row r="2044">
      <c r="A2044" s="151" t="str">
        <f>IFERROR(__xludf.DUMMYFUNCTION("""COMPUTED_VALUE"""),"AV")</f>
        <v>AV</v>
      </c>
      <c r="B2044" s="42" t="str">
        <f>IFERROR(__xludf.DUMMYFUNCTION("""COMPUTED_VALUE"""),"DHBA")</f>
        <v>DHBA</v>
      </c>
      <c r="C2044" s="42" t="str">
        <f>IFERROR(__xludf.DUMMYFUNCTION("""COMPUTED_VALUE"""),"anteroventral nucleus of thalamus")</f>
        <v>anteroventral nucleus of thalamus</v>
      </c>
      <c r="D2044" s="42">
        <f>IFERROR(__xludf.DUMMYFUNCTION("""COMPUTED_VALUE"""),1931.0)</f>
        <v>1931</v>
      </c>
      <c r="E2044" s="39" t="str">
        <f>IFERROR(__xludf.DUMMYFUNCTION("""COMPUTED_VALUE"""),"anteroventral nucleus of thalamus")</f>
        <v>anteroventral nucleus of thalamus</v>
      </c>
      <c r="F2044" s="9" t="str">
        <f>IFERROR(__xludf.DUMMYFUNCTION("""COMPUTED_VALUE"""),"Br")</f>
        <v>Br</v>
      </c>
      <c r="G2044" s="9" t="str">
        <f>IFERROR(__xludf.DUMMYFUNCTION("""COMPUTED_VALUE"""),"F")</f>
        <v>F</v>
      </c>
      <c r="H2044" s="9" t="str">
        <f>IFERROR(__xludf.DUMMYFUNCTION("""COMPUTED_VALUE"""),"FGM")</f>
        <v>FGM</v>
      </c>
      <c r="I2044" s="9" t="str">
        <f>IFERROR(__xludf.DUMMYFUNCTION("""COMPUTED_VALUE"""),"Die")</f>
        <v>Die</v>
      </c>
      <c r="J2044" s="9" t="str">
        <f>IFERROR(__xludf.DUMMYFUNCTION("""COMPUTED_VALUE"""),"THM")</f>
        <v>THM</v>
      </c>
      <c r="K2044" s="9" t="str">
        <f>IFERROR(__xludf.DUMMYFUNCTION("""COMPUTED_VALUE"""),"DTH")</f>
        <v>DTH</v>
      </c>
      <c r="L2044" s="9" t="str">
        <f>IFERROR(__xludf.DUMMYFUNCTION("""COMPUTED_VALUE"""),"ANC")</f>
        <v>ANC</v>
      </c>
      <c r="M2044" s="9" t="str">
        <f>IFERROR(__xludf.DUMMYFUNCTION("""COMPUTED_VALUE"""),"AV")</f>
        <v>AV</v>
      </c>
      <c r="N2044" s="9"/>
      <c r="O2044" s="9"/>
      <c r="P2044" s="9"/>
      <c r="Q2044" s="9"/>
      <c r="R2044" s="9"/>
      <c r="S2044" s="42"/>
      <c r="T2044" s="42"/>
      <c r="U2044" s="159"/>
      <c r="V2044" s="42"/>
      <c r="W2044" s="42"/>
      <c r="X2044" s="42"/>
      <c r="Y2044" s="42"/>
      <c r="Z2044" s="42"/>
      <c r="AA2044" s="42"/>
      <c r="AB2044" s="42" t="str">
        <f>IFERROR(__xludf.DUMMYFUNCTION("""COMPUTED_VALUE"""),"allen institute")</f>
        <v>allen institute</v>
      </c>
      <c r="AC2044" s="42" t="str">
        <f>IFERROR(__xludf.DUMMYFUNCTION("""COMPUTED_VALUE"""),"DHBA")</f>
        <v>DHBA</v>
      </c>
      <c r="AD2044" s="42"/>
      <c r="AE2044" s="42"/>
      <c r="AF2044" s="9"/>
      <c r="AG2044" s="9"/>
      <c r="AH2044" s="42"/>
      <c r="AI2044" s="42"/>
      <c r="AJ2044" s="42"/>
      <c r="AK2044" s="42"/>
      <c r="AL2044" s="42"/>
      <c r="AM2044" s="42"/>
      <c r="AN2044" s="42"/>
      <c r="AO2044" s="63" t="str">
        <f>IFERROR(__xludf.DUMMYFUNCTION("IF(ISBLANK(A2044),,IF(ISBLANK(S2044), A2044&amp;"";"", TEXTJOIN(CHAR(10), TRUE, A2044&amp;"";"", ARRAYFORMULA(VLOOKUP(SPLIT(S2044, "";"" &amp; CHAR(10)), $A:$AO, 41, FALSE)))))"),"AV;")</f>
        <v>AV;</v>
      </c>
      <c r="AP2044" s="89"/>
    </row>
    <row r="2045">
      <c r="A2045" s="151" t="str">
        <f>IFERROR(__xludf.DUMMYFUNCTION("""COMPUTED_VALUE"""),"LD")</f>
        <v>LD</v>
      </c>
      <c r="B2045" s="42" t="str">
        <f>IFERROR(__xludf.DUMMYFUNCTION("""COMPUTED_VALUE"""),"DHBA")</f>
        <v>DHBA</v>
      </c>
      <c r="C2045" s="42" t="str">
        <f>IFERROR(__xludf.DUMMYFUNCTION("""COMPUTED_VALUE"""),"lateral dorsal nucleus of thalamus")</f>
        <v>lateral dorsal nucleus of thalamus</v>
      </c>
      <c r="D2045" s="42">
        <f>IFERROR(__xludf.DUMMYFUNCTION("""COMPUTED_VALUE"""),1932.0)</f>
        <v>1932</v>
      </c>
      <c r="E2045" s="39" t="str">
        <f>IFERROR(__xludf.DUMMYFUNCTION("""COMPUTED_VALUE"""),"lateral dorsal nucleus of thalamus")</f>
        <v>lateral dorsal nucleus of thalamus</v>
      </c>
      <c r="F2045" s="9" t="str">
        <f>IFERROR(__xludf.DUMMYFUNCTION("""COMPUTED_VALUE"""),"Br")</f>
        <v>Br</v>
      </c>
      <c r="G2045" s="9" t="str">
        <f>IFERROR(__xludf.DUMMYFUNCTION("""COMPUTED_VALUE"""),"F")</f>
        <v>F</v>
      </c>
      <c r="H2045" s="9" t="str">
        <f>IFERROR(__xludf.DUMMYFUNCTION("""COMPUTED_VALUE"""),"FGM")</f>
        <v>FGM</v>
      </c>
      <c r="I2045" s="9" t="str">
        <f>IFERROR(__xludf.DUMMYFUNCTION("""COMPUTED_VALUE"""),"Die")</f>
        <v>Die</v>
      </c>
      <c r="J2045" s="9" t="str">
        <f>IFERROR(__xludf.DUMMYFUNCTION("""COMPUTED_VALUE"""),"THM")</f>
        <v>THM</v>
      </c>
      <c r="K2045" s="9" t="str">
        <f>IFERROR(__xludf.DUMMYFUNCTION("""COMPUTED_VALUE"""),"DTH")</f>
        <v>DTH</v>
      </c>
      <c r="L2045" s="9" t="str">
        <f>IFERROR(__xludf.DUMMYFUNCTION("""COMPUTED_VALUE"""),"ANC")</f>
        <v>ANC</v>
      </c>
      <c r="M2045" s="9" t="str">
        <f>IFERROR(__xludf.DUMMYFUNCTION("""COMPUTED_VALUE"""),"LD")</f>
        <v>LD</v>
      </c>
      <c r="N2045" s="9"/>
      <c r="O2045" s="9"/>
      <c r="P2045" s="9"/>
      <c r="Q2045" s="9"/>
      <c r="R2045" s="9"/>
      <c r="S2045" s="42"/>
      <c r="T2045" s="42"/>
      <c r="U2045" s="42"/>
      <c r="V2045" s="42"/>
      <c r="W2045" s="42"/>
      <c r="X2045" s="42"/>
      <c r="Y2045" s="42"/>
      <c r="Z2045" s="42"/>
      <c r="AA2045" s="42"/>
      <c r="AB2045" s="42" t="str">
        <f>IFERROR(__xludf.DUMMYFUNCTION("""COMPUTED_VALUE"""),"allen institute")</f>
        <v>allen institute</v>
      </c>
      <c r="AC2045" s="42" t="str">
        <f>IFERROR(__xludf.DUMMYFUNCTION("""COMPUTED_VALUE"""),"DHBA")</f>
        <v>DHBA</v>
      </c>
      <c r="AD2045" s="42"/>
      <c r="AE2045" s="42"/>
      <c r="AF2045" s="9"/>
      <c r="AG2045" s="9"/>
      <c r="AH2045" s="42"/>
      <c r="AI2045" s="42"/>
      <c r="AJ2045" s="42"/>
      <c r="AK2045" s="42"/>
      <c r="AL2045" s="42"/>
      <c r="AM2045" s="42"/>
      <c r="AN2045" s="42"/>
      <c r="AO2045" s="63" t="str">
        <f>IFERROR(__xludf.DUMMYFUNCTION("IF(ISBLANK(A2045),,IF(ISBLANK(S2045), A2045&amp;"";"", TEXTJOIN(CHAR(10), TRUE, A2045&amp;"";"", ARRAYFORMULA(VLOOKUP(SPLIT(S2045, "";"" &amp; CHAR(10)), $A:$AO, 41, FALSE)))))"),"LD;")</f>
        <v>LD;</v>
      </c>
      <c r="AP2045" s="89"/>
    </row>
    <row r="2046">
      <c r="A2046" s="151" t="str">
        <f>IFERROR(__xludf.DUMMYFUNCTION("""COMPUTED_VALUE"""),"MNC")</f>
        <v>MNC</v>
      </c>
      <c r="B2046" s="42" t="str">
        <f>IFERROR(__xludf.DUMMYFUNCTION("""COMPUTED_VALUE"""),"DHBA")</f>
        <v>DHBA</v>
      </c>
      <c r="C2046" s="42" t="str">
        <f>IFERROR(__xludf.DUMMYFUNCTION("""COMPUTED_VALUE"""),"medial nuclear complex of thalamus")</f>
        <v>medial nuclear complex of thalamus</v>
      </c>
      <c r="D2046" s="42">
        <f>IFERROR(__xludf.DUMMYFUNCTION("""COMPUTED_VALUE"""),1933.0)</f>
        <v>1933</v>
      </c>
      <c r="E2046" s="39" t="str">
        <f>IFERROR(__xludf.DUMMYFUNCTION("""COMPUTED_VALUE"""),"medial nuclear complex of thalamus")</f>
        <v>medial nuclear complex of thalamus</v>
      </c>
      <c r="F2046" s="9" t="str">
        <f>IFERROR(__xludf.DUMMYFUNCTION("""COMPUTED_VALUE"""),"Br")</f>
        <v>Br</v>
      </c>
      <c r="G2046" s="9" t="str">
        <f>IFERROR(__xludf.DUMMYFUNCTION("""COMPUTED_VALUE"""),"F")</f>
        <v>F</v>
      </c>
      <c r="H2046" s="9" t="str">
        <f>IFERROR(__xludf.DUMMYFUNCTION("""COMPUTED_VALUE"""),"FGM")</f>
        <v>FGM</v>
      </c>
      <c r="I2046" s="9" t="str">
        <f>IFERROR(__xludf.DUMMYFUNCTION("""COMPUTED_VALUE"""),"Die")</f>
        <v>Die</v>
      </c>
      <c r="J2046" s="9" t="str">
        <f>IFERROR(__xludf.DUMMYFUNCTION("""COMPUTED_VALUE"""),"THM")</f>
        <v>THM</v>
      </c>
      <c r="K2046" s="9" t="str">
        <f>IFERROR(__xludf.DUMMYFUNCTION("""COMPUTED_VALUE"""),"DTH")</f>
        <v>DTH</v>
      </c>
      <c r="L2046" s="9" t="str">
        <f>IFERROR(__xludf.DUMMYFUNCTION("""COMPUTED_VALUE"""),"MNC")</f>
        <v>MNC</v>
      </c>
      <c r="M2046" s="9"/>
      <c r="N2046" s="9"/>
      <c r="O2046" s="9"/>
      <c r="P2046" s="9"/>
      <c r="Q2046" s="9"/>
      <c r="R2046" s="9"/>
      <c r="S2046" s="42" t="str">
        <f>IFERROR(__xludf.DUMMYFUNCTION("""COMPUTED_VALUE"""),"MD;
Re;
Pt")</f>
        <v>MD;
Re;
Pt</v>
      </c>
      <c r="T2046" s="42"/>
      <c r="U2046" s="42" t="b">
        <f>IFERROR(__xludf.DUMMYFUNCTION("""COMPUTED_VALUE"""),FALSE)</f>
        <v>0</v>
      </c>
      <c r="V2046" s="42"/>
      <c r="W2046" s="42"/>
      <c r="X2046" s="42"/>
      <c r="Y2046" s="42"/>
      <c r="Z2046" s="42"/>
      <c r="AA2046" s="42"/>
      <c r="AB2046" s="42" t="str">
        <f>IFERROR(__xludf.DUMMYFUNCTION("""COMPUTED_VALUE"""),"allen institute")</f>
        <v>allen institute</v>
      </c>
      <c r="AC2046" s="42" t="str">
        <f>IFERROR(__xludf.DUMMYFUNCTION("""COMPUTED_VALUE"""),"DHBA")</f>
        <v>DHBA</v>
      </c>
      <c r="AD2046" s="42"/>
      <c r="AE2046" s="42"/>
      <c r="AF2046" s="9"/>
      <c r="AG2046" s="9"/>
      <c r="AH2046" s="42"/>
      <c r="AI2046" s="42"/>
      <c r="AJ2046" s="42"/>
      <c r="AK2046" s="42"/>
      <c r="AL2046" s="42"/>
      <c r="AM2046" s="42"/>
      <c r="AN2046" s="42"/>
      <c r="AO2046" s="63" t="str">
        <f>IFERROR(__xludf.DUMMYFUNCTION("IF(ISBLANK(A2046),,IF(ISBLANK(S2046), A2046&amp;"";"", TEXTJOIN(CHAR(10), TRUE, A2046&amp;"";"", ARRAYFORMULA(VLOOKUP(SPLIT(S2046, "";"" &amp; CHAR(10)), $A:$AO, 41, FALSE)))))"),"MNC;
MD;
MDd;
MDm;
MDmc;
MDam;
MDl;
MDc;
Re;
Pt;")</f>
        <v>MNC;
MD;
MDd;
MDm;
MDmc;
MDam;
MDl;
MDc;
Re;
Pt;</v>
      </c>
      <c r="AP2046" s="89"/>
    </row>
    <row r="2047">
      <c r="A2047" s="151" t="str">
        <f>IFERROR(__xludf.DUMMYFUNCTION("""COMPUTED_VALUE"""),"MD")</f>
        <v>MD</v>
      </c>
      <c r="B2047" s="42" t="str">
        <f>IFERROR(__xludf.DUMMYFUNCTION("""COMPUTED_VALUE"""),"DHBA")</f>
        <v>DHBA</v>
      </c>
      <c r="C2047" s="42" t="str">
        <f>IFERROR(__xludf.DUMMYFUNCTION("""COMPUTED_VALUE"""),"medio dorsal neucleus of thalamus")</f>
        <v>medio dorsal neucleus of thalamus</v>
      </c>
      <c r="D2047" s="42">
        <f>IFERROR(__xludf.DUMMYFUNCTION("""COMPUTED_VALUE"""),1934.0)</f>
        <v>1934</v>
      </c>
      <c r="E2047" s="39" t="str">
        <f>IFERROR(__xludf.DUMMYFUNCTION("""COMPUTED_VALUE"""),"mediodorsal nucleus of thalamus")</f>
        <v>mediodorsal nucleus of thalamus</v>
      </c>
      <c r="F2047" s="9" t="str">
        <f>IFERROR(__xludf.DUMMYFUNCTION("""COMPUTED_VALUE"""),"Br")</f>
        <v>Br</v>
      </c>
      <c r="G2047" s="9" t="str">
        <f>IFERROR(__xludf.DUMMYFUNCTION("""COMPUTED_VALUE"""),"F")</f>
        <v>F</v>
      </c>
      <c r="H2047" s="9" t="str">
        <f>IFERROR(__xludf.DUMMYFUNCTION("""COMPUTED_VALUE"""),"FGM")</f>
        <v>FGM</v>
      </c>
      <c r="I2047" s="9" t="str">
        <f>IFERROR(__xludf.DUMMYFUNCTION("""COMPUTED_VALUE"""),"Die")</f>
        <v>Die</v>
      </c>
      <c r="J2047" s="9" t="str">
        <f>IFERROR(__xludf.DUMMYFUNCTION("""COMPUTED_VALUE"""),"THM")</f>
        <v>THM</v>
      </c>
      <c r="K2047" s="9" t="str">
        <f>IFERROR(__xludf.DUMMYFUNCTION("""COMPUTED_VALUE"""),"DTH")</f>
        <v>DTH</v>
      </c>
      <c r="L2047" s="9" t="str">
        <f>IFERROR(__xludf.DUMMYFUNCTION("""COMPUTED_VALUE"""),"MNC")</f>
        <v>MNC</v>
      </c>
      <c r="M2047" s="9" t="str">
        <f>IFERROR(__xludf.DUMMYFUNCTION("""COMPUTED_VALUE"""),"MD")</f>
        <v>MD</v>
      </c>
      <c r="N2047" s="9"/>
      <c r="O2047" s="9"/>
      <c r="P2047" s="9"/>
      <c r="Q2047" s="9"/>
      <c r="R2047" s="9"/>
      <c r="S2047" s="42" t="str">
        <f>IFERROR(__xludf.DUMMYFUNCTION("""COMPUTED_VALUE"""),"MDd;
MDm;
MDam;
MDl;
MDc")</f>
        <v>MDd;
MDm;
MDam;
MDl;
MDc</v>
      </c>
      <c r="T2047" s="42" t="str">
        <f>IFERROR(__xludf.DUMMYFUNCTION("""COMPUTED_VALUE"""),"THM")</f>
        <v>THM</v>
      </c>
      <c r="U2047" s="42" t="b">
        <f>IFERROR(__xludf.DUMMYFUNCTION("""COMPUTED_VALUE"""),FALSE)</f>
        <v>0</v>
      </c>
      <c r="V2047" s="42"/>
      <c r="W2047" s="42"/>
      <c r="X2047" s="42"/>
      <c r="Y2047" s="42"/>
      <c r="Z2047" s="42"/>
      <c r="AA2047" s="42"/>
      <c r="AB2047" s="42" t="str">
        <f>IFERROR(__xludf.DUMMYFUNCTION("""COMPUTED_VALUE"""),"allen institute")</f>
        <v>allen institute</v>
      </c>
      <c r="AC2047" s="42" t="str">
        <f>IFERROR(__xludf.DUMMYFUNCTION("""COMPUTED_VALUE"""),"DHBA")</f>
        <v>DHBA</v>
      </c>
      <c r="AD2047" s="42"/>
      <c r="AE2047" s="42"/>
      <c r="AF2047" s="9"/>
      <c r="AG2047" s="9"/>
      <c r="AH2047" s="42"/>
      <c r="AI2047" s="42"/>
      <c r="AJ2047" s="42"/>
      <c r="AK2047" s="42"/>
      <c r="AL2047" s="42"/>
      <c r="AM2047" s="42"/>
      <c r="AN2047" s="42"/>
      <c r="AO2047" s="63" t="str">
        <f>IFERROR(__xludf.DUMMYFUNCTION("IF(ISBLANK(A2047),,IF(ISBLANK(S2047), A2047&amp;"";"", TEXTJOIN(CHAR(10), TRUE, A2047&amp;"";"", ARRAYFORMULA(VLOOKUP(SPLIT(S2047, "";"" &amp; CHAR(10)), $A:$AO, 41, FALSE)))))"),"MD;
MDd;
MDm;
MDmc;
MDam;
MDl;
MDc;")</f>
        <v>MD;
MDd;
MDm;
MDmc;
MDam;
MDl;
MDc;</v>
      </c>
      <c r="AP2047" s="89"/>
    </row>
    <row r="2048">
      <c r="A2048" s="151" t="str">
        <f>IFERROR(__xludf.DUMMYFUNCTION("""COMPUTED_VALUE"""),"MDd")</f>
        <v>MDd</v>
      </c>
      <c r="B2048" s="42" t="str">
        <f>IFERROR(__xludf.DUMMYFUNCTION("""COMPUTED_VALUE"""),"DHBA")</f>
        <v>DHBA</v>
      </c>
      <c r="C2048" s="42" t="str">
        <f>IFERROR(__xludf.DUMMYFUNCTION("""COMPUTED_VALUE"""),"densocelllular (paralamellar) division of MD")</f>
        <v>densocelllular (paralamellar) division of MD</v>
      </c>
      <c r="D2048" s="42">
        <f>IFERROR(__xludf.DUMMYFUNCTION("""COMPUTED_VALUE"""),1935.0)</f>
        <v>1935</v>
      </c>
      <c r="E2048" s="39" t="str">
        <f>IFERROR(__xludf.DUMMYFUNCTION("""COMPUTED_VALUE"""),"densocelllular (paralamellar) division of MD")</f>
        <v>densocelllular (paralamellar) division of MD</v>
      </c>
      <c r="F2048" s="9" t="str">
        <f>IFERROR(__xludf.DUMMYFUNCTION("""COMPUTED_VALUE"""),"Br")</f>
        <v>Br</v>
      </c>
      <c r="G2048" s="9" t="str">
        <f>IFERROR(__xludf.DUMMYFUNCTION("""COMPUTED_VALUE"""),"F")</f>
        <v>F</v>
      </c>
      <c r="H2048" s="9" t="str">
        <f>IFERROR(__xludf.DUMMYFUNCTION("""COMPUTED_VALUE"""),"FGM")</f>
        <v>FGM</v>
      </c>
      <c r="I2048" s="9" t="str">
        <f>IFERROR(__xludf.DUMMYFUNCTION("""COMPUTED_VALUE"""),"Die")</f>
        <v>Die</v>
      </c>
      <c r="J2048" s="9" t="str">
        <f>IFERROR(__xludf.DUMMYFUNCTION("""COMPUTED_VALUE"""),"THM")</f>
        <v>THM</v>
      </c>
      <c r="K2048" s="9" t="str">
        <f>IFERROR(__xludf.DUMMYFUNCTION("""COMPUTED_VALUE"""),"DTH")</f>
        <v>DTH</v>
      </c>
      <c r="L2048" s="9" t="str">
        <f>IFERROR(__xludf.DUMMYFUNCTION("""COMPUTED_VALUE"""),"MNC")</f>
        <v>MNC</v>
      </c>
      <c r="M2048" s="9" t="str">
        <f>IFERROR(__xludf.DUMMYFUNCTION("""COMPUTED_VALUE"""),"MD")</f>
        <v>MD</v>
      </c>
      <c r="N2048" s="9" t="str">
        <f>IFERROR(__xludf.DUMMYFUNCTION("""COMPUTED_VALUE"""),"MDd")</f>
        <v>MDd</v>
      </c>
      <c r="O2048" s="9"/>
      <c r="P2048" s="9"/>
      <c r="Q2048" s="9"/>
      <c r="R2048" s="9"/>
      <c r="S2048" s="42"/>
      <c r="T2048" s="42"/>
      <c r="U2048" s="42"/>
      <c r="V2048" s="42"/>
      <c r="W2048" s="42"/>
      <c r="X2048" s="42"/>
      <c r="Y2048" s="42"/>
      <c r="Z2048" s="42"/>
      <c r="AA2048" s="42"/>
      <c r="AB2048" s="42" t="str">
        <f>IFERROR(__xludf.DUMMYFUNCTION("""COMPUTED_VALUE"""),"allen institute")</f>
        <v>allen institute</v>
      </c>
      <c r="AC2048" s="42" t="str">
        <f>IFERROR(__xludf.DUMMYFUNCTION("""COMPUTED_VALUE"""),"DHBA")</f>
        <v>DHBA</v>
      </c>
      <c r="AD2048" s="42"/>
      <c r="AE2048" s="42"/>
      <c r="AF2048" s="9"/>
      <c r="AG2048" s="9"/>
      <c r="AH2048" s="42"/>
      <c r="AI2048" s="42"/>
      <c r="AJ2048" s="42"/>
      <c r="AK2048" s="42"/>
      <c r="AL2048" s="42"/>
      <c r="AM2048" s="42"/>
      <c r="AN2048" s="42"/>
      <c r="AO2048" s="63" t="str">
        <f>IFERROR(__xludf.DUMMYFUNCTION("IF(ISBLANK(A2048),,IF(ISBLANK(S2048), A2048&amp;"";"", TEXTJOIN(CHAR(10), TRUE, A2048&amp;"";"", ARRAYFORMULA(VLOOKUP(SPLIT(S2048, "";"" &amp; CHAR(10)), $A:$AO, 41, FALSE)))))"),"MDd;")</f>
        <v>MDd;</v>
      </c>
      <c r="AP2048" s="89"/>
    </row>
    <row r="2049">
      <c r="A2049" s="151" t="str">
        <f>IFERROR(__xludf.DUMMYFUNCTION("""COMPUTED_VALUE"""),"MDm")</f>
        <v>MDm</v>
      </c>
      <c r="B2049" s="42" t="str">
        <f>IFERROR(__xludf.DUMMYFUNCTION("""COMPUTED_VALUE"""),"DHBA")</f>
        <v>DHBA</v>
      </c>
      <c r="C2049" s="42" t="str">
        <f>IFERROR(__xludf.DUMMYFUNCTION("""COMPUTED_VALUE"""),"magnocellular (medial) division of MD")</f>
        <v>magnocellular (medial) division of MD</v>
      </c>
      <c r="D2049" s="42">
        <f>IFERROR(__xludf.DUMMYFUNCTION("""COMPUTED_VALUE"""),1936.0)</f>
        <v>1936</v>
      </c>
      <c r="E2049" s="39" t="str">
        <f>IFERROR(__xludf.DUMMYFUNCTION("""COMPUTED_VALUE"""),"magnocellular (medial) division of MD")</f>
        <v>magnocellular (medial) division of MD</v>
      </c>
      <c r="F2049" s="9" t="str">
        <f>IFERROR(__xludf.DUMMYFUNCTION("""COMPUTED_VALUE"""),"Br")</f>
        <v>Br</v>
      </c>
      <c r="G2049" s="9" t="str">
        <f>IFERROR(__xludf.DUMMYFUNCTION("""COMPUTED_VALUE"""),"F")</f>
        <v>F</v>
      </c>
      <c r="H2049" s="9" t="str">
        <f>IFERROR(__xludf.DUMMYFUNCTION("""COMPUTED_VALUE"""),"FGM")</f>
        <v>FGM</v>
      </c>
      <c r="I2049" s="9" t="str">
        <f>IFERROR(__xludf.DUMMYFUNCTION("""COMPUTED_VALUE"""),"Die")</f>
        <v>Die</v>
      </c>
      <c r="J2049" s="9" t="str">
        <f>IFERROR(__xludf.DUMMYFUNCTION("""COMPUTED_VALUE"""),"THM")</f>
        <v>THM</v>
      </c>
      <c r="K2049" s="9" t="str">
        <f>IFERROR(__xludf.DUMMYFUNCTION("""COMPUTED_VALUE"""),"DTH")</f>
        <v>DTH</v>
      </c>
      <c r="L2049" s="9" t="str">
        <f>IFERROR(__xludf.DUMMYFUNCTION("""COMPUTED_VALUE"""),"MNC")</f>
        <v>MNC</v>
      </c>
      <c r="M2049" s="9" t="str">
        <f>IFERROR(__xludf.DUMMYFUNCTION("""COMPUTED_VALUE"""),"MD")</f>
        <v>MD</v>
      </c>
      <c r="N2049" s="9" t="str">
        <f>IFERROR(__xludf.DUMMYFUNCTION("""COMPUTED_VALUE"""),"MDm")</f>
        <v>MDm</v>
      </c>
      <c r="O2049" s="9"/>
      <c r="P2049" s="9"/>
      <c r="Q2049" s="9"/>
      <c r="R2049" s="9"/>
      <c r="S2049" s="42" t="str">
        <f>IFERROR(__xludf.DUMMYFUNCTION("""COMPUTED_VALUE"""),"MDmc")</f>
        <v>MDmc</v>
      </c>
      <c r="T2049" s="42"/>
      <c r="U2049" s="42" t="b">
        <f>IFERROR(__xludf.DUMMYFUNCTION("""COMPUTED_VALUE"""),FALSE)</f>
        <v>0</v>
      </c>
      <c r="V2049" s="42"/>
      <c r="W2049" s="42"/>
      <c r="X2049" s="42"/>
      <c r="Y2049" s="42"/>
      <c r="Z2049" s="42"/>
      <c r="AA2049" s="42"/>
      <c r="AB2049" s="42" t="str">
        <f>IFERROR(__xludf.DUMMYFUNCTION("""COMPUTED_VALUE"""),"allen institute")</f>
        <v>allen institute</v>
      </c>
      <c r="AC2049" s="42" t="str">
        <f>IFERROR(__xludf.DUMMYFUNCTION("""COMPUTED_VALUE"""),"DHBA")</f>
        <v>DHBA</v>
      </c>
      <c r="AD2049" s="42"/>
      <c r="AE2049" s="42"/>
      <c r="AF2049" s="9"/>
      <c r="AG2049" s="9"/>
      <c r="AH2049" s="42"/>
      <c r="AI2049" s="42"/>
      <c r="AJ2049" s="42"/>
      <c r="AK2049" s="42"/>
      <c r="AL2049" s="42"/>
      <c r="AM2049" s="42"/>
      <c r="AN2049" s="42"/>
      <c r="AO2049" s="63" t="str">
        <f>IFERROR(__xludf.DUMMYFUNCTION("IF(ISBLANK(A2049),,IF(ISBLANK(S2049), A2049&amp;"";"", TEXTJOIN(CHAR(10), TRUE, A2049&amp;"";"", ARRAYFORMULA(VLOOKUP(SPLIT(S2049, "";"" &amp; CHAR(10)), $A:$AO, 41, FALSE)))))"),"MDm;
MDmc;")</f>
        <v>MDm;
MDmc;</v>
      </c>
      <c r="AP2049" s="89"/>
    </row>
    <row r="2050">
      <c r="A2050" s="151" t="str">
        <f>IFERROR(__xludf.DUMMYFUNCTION("""COMPUTED_VALUE"""),"MDmc")</f>
        <v>MDmc</v>
      </c>
      <c r="B2050" s="42" t="str">
        <f>IFERROR(__xludf.DUMMYFUNCTION("""COMPUTED_VALUE"""),"DHBA")</f>
        <v>DHBA</v>
      </c>
      <c r="C2050" s="42" t="str">
        <f>IFERROR(__xludf.DUMMYFUNCTION("""COMPUTED_VALUE"""),"central part of medial division of MD")</f>
        <v>central part of medial division of MD</v>
      </c>
      <c r="D2050" s="42">
        <f>IFERROR(__xludf.DUMMYFUNCTION("""COMPUTED_VALUE"""),1937.0)</f>
        <v>1937</v>
      </c>
      <c r="E2050" s="39" t="str">
        <f>IFERROR(__xludf.DUMMYFUNCTION("""COMPUTED_VALUE"""),"central part of medial division of MD")</f>
        <v>central part of medial division of MD</v>
      </c>
      <c r="F2050" s="9" t="str">
        <f>IFERROR(__xludf.DUMMYFUNCTION("""COMPUTED_VALUE"""),"Br")</f>
        <v>Br</v>
      </c>
      <c r="G2050" s="9" t="str">
        <f>IFERROR(__xludf.DUMMYFUNCTION("""COMPUTED_VALUE"""),"F")</f>
        <v>F</v>
      </c>
      <c r="H2050" s="9" t="str">
        <f>IFERROR(__xludf.DUMMYFUNCTION("""COMPUTED_VALUE"""),"FGM")</f>
        <v>FGM</v>
      </c>
      <c r="I2050" s="9" t="str">
        <f>IFERROR(__xludf.DUMMYFUNCTION("""COMPUTED_VALUE"""),"Die")</f>
        <v>Die</v>
      </c>
      <c r="J2050" s="9" t="str">
        <f>IFERROR(__xludf.DUMMYFUNCTION("""COMPUTED_VALUE"""),"THM")</f>
        <v>THM</v>
      </c>
      <c r="K2050" s="9" t="str">
        <f>IFERROR(__xludf.DUMMYFUNCTION("""COMPUTED_VALUE"""),"DTH")</f>
        <v>DTH</v>
      </c>
      <c r="L2050" s="9" t="str">
        <f>IFERROR(__xludf.DUMMYFUNCTION("""COMPUTED_VALUE"""),"MNC")</f>
        <v>MNC</v>
      </c>
      <c r="M2050" s="9" t="str">
        <f>IFERROR(__xludf.DUMMYFUNCTION("""COMPUTED_VALUE"""),"MD")</f>
        <v>MD</v>
      </c>
      <c r="N2050" s="9" t="str">
        <f>IFERROR(__xludf.DUMMYFUNCTION("""COMPUTED_VALUE"""),"MDm")</f>
        <v>MDm</v>
      </c>
      <c r="O2050" s="9" t="str">
        <f>IFERROR(__xludf.DUMMYFUNCTION("""COMPUTED_VALUE"""),"MDmc")</f>
        <v>MDmc</v>
      </c>
      <c r="P2050" s="9"/>
      <c r="Q2050" s="9"/>
      <c r="R2050" s="9"/>
      <c r="S2050" s="42"/>
      <c r="T2050" s="42"/>
      <c r="U2050" s="42"/>
      <c r="V2050" s="42"/>
      <c r="W2050" s="42"/>
      <c r="X2050" s="42"/>
      <c r="Y2050" s="42"/>
      <c r="Z2050" s="42"/>
      <c r="AA2050" s="42"/>
      <c r="AB2050" s="42" t="str">
        <f>IFERROR(__xludf.DUMMYFUNCTION("""COMPUTED_VALUE"""),"allen institute")</f>
        <v>allen institute</v>
      </c>
      <c r="AC2050" s="42" t="str">
        <f>IFERROR(__xludf.DUMMYFUNCTION("""COMPUTED_VALUE"""),"DHBA")</f>
        <v>DHBA</v>
      </c>
      <c r="AD2050" s="42"/>
      <c r="AE2050" s="42"/>
      <c r="AF2050" s="9"/>
      <c r="AG2050" s="9"/>
      <c r="AH2050" s="42"/>
      <c r="AI2050" s="42"/>
      <c r="AJ2050" s="42"/>
      <c r="AK2050" s="42"/>
      <c r="AL2050" s="42"/>
      <c r="AM2050" s="42"/>
      <c r="AN2050" s="42"/>
      <c r="AO2050" s="63" t="str">
        <f>IFERROR(__xludf.DUMMYFUNCTION("IF(ISBLANK(A2050),,IF(ISBLANK(S2050), A2050&amp;"";"", TEXTJOIN(CHAR(10), TRUE, A2050&amp;"";"", ARRAYFORMULA(VLOOKUP(SPLIT(S2050, "";"" &amp; CHAR(10)), $A:$AO, 41, FALSE)))))"),"MDmc;")</f>
        <v>MDmc;</v>
      </c>
      <c r="AP2050" s="89"/>
    </row>
    <row r="2051">
      <c r="A2051" s="151" t="str">
        <f>IFERROR(__xludf.DUMMYFUNCTION("""COMPUTED_VALUE"""),"MDam")</f>
        <v>MDam</v>
      </c>
      <c r="B2051" s="42" t="str">
        <f>IFERROR(__xludf.DUMMYFUNCTION("""COMPUTED_VALUE"""),"DHBA")</f>
        <v>DHBA</v>
      </c>
      <c r="C2051" s="42" t="str">
        <f>IFERROR(__xludf.DUMMYFUNCTION("""COMPUTED_VALUE"""),"anteromedial large-celled island of MD")</f>
        <v>anteromedial large-celled island of MD</v>
      </c>
      <c r="D2051" s="42">
        <f>IFERROR(__xludf.DUMMYFUNCTION("""COMPUTED_VALUE"""),1938.0)</f>
        <v>1938</v>
      </c>
      <c r="E2051" s="39" t="str">
        <f>IFERROR(__xludf.DUMMYFUNCTION("""COMPUTED_VALUE"""),"anteromedial large-celled island of MD")</f>
        <v>anteromedial large-celled island of MD</v>
      </c>
      <c r="F2051" s="9" t="str">
        <f>IFERROR(__xludf.DUMMYFUNCTION("""COMPUTED_VALUE"""),"Br")</f>
        <v>Br</v>
      </c>
      <c r="G2051" s="9" t="str">
        <f>IFERROR(__xludf.DUMMYFUNCTION("""COMPUTED_VALUE"""),"F")</f>
        <v>F</v>
      </c>
      <c r="H2051" s="9" t="str">
        <f>IFERROR(__xludf.DUMMYFUNCTION("""COMPUTED_VALUE"""),"FGM")</f>
        <v>FGM</v>
      </c>
      <c r="I2051" s="9" t="str">
        <f>IFERROR(__xludf.DUMMYFUNCTION("""COMPUTED_VALUE"""),"Die")</f>
        <v>Die</v>
      </c>
      <c r="J2051" s="9" t="str">
        <f>IFERROR(__xludf.DUMMYFUNCTION("""COMPUTED_VALUE"""),"THM")</f>
        <v>THM</v>
      </c>
      <c r="K2051" s="9" t="str">
        <f>IFERROR(__xludf.DUMMYFUNCTION("""COMPUTED_VALUE"""),"DTH")</f>
        <v>DTH</v>
      </c>
      <c r="L2051" s="9" t="str">
        <f>IFERROR(__xludf.DUMMYFUNCTION("""COMPUTED_VALUE"""),"MNC")</f>
        <v>MNC</v>
      </c>
      <c r="M2051" s="9" t="str">
        <f>IFERROR(__xludf.DUMMYFUNCTION("""COMPUTED_VALUE"""),"MD")</f>
        <v>MD</v>
      </c>
      <c r="N2051" s="9" t="str">
        <f>IFERROR(__xludf.DUMMYFUNCTION("""COMPUTED_VALUE"""),"MDam")</f>
        <v>MDam</v>
      </c>
      <c r="O2051" s="9"/>
      <c r="P2051" s="9"/>
      <c r="Q2051" s="9"/>
      <c r="R2051" s="9"/>
      <c r="S2051" s="42"/>
      <c r="T2051" s="42"/>
      <c r="U2051" s="42"/>
      <c r="V2051" s="42"/>
      <c r="W2051" s="42"/>
      <c r="X2051" s="42"/>
      <c r="Y2051" s="42"/>
      <c r="Z2051" s="42"/>
      <c r="AA2051" s="42"/>
      <c r="AB2051" s="42" t="str">
        <f>IFERROR(__xludf.DUMMYFUNCTION("""COMPUTED_VALUE"""),"allen institute")</f>
        <v>allen institute</v>
      </c>
      <c r="AC2051" s="42" t="str">
        <f>IFERROR(__xludf.DUMMYFUNCTION("""COMPUTED_VALUE"""),"DHBA")</f>
        <v>DHBA</v>
      </c>
      <c r="AD2051" s="42"/>
      <c r="AE2051" s="42"/>
      <c r="AF2051" s="9"/>
      <c r="AG2051" s="9"/>
      <c r="AH2051" s="42"/>
      <c r="AI2051" s="42"/>
      <c r="AJ2051" s="42"/>
      <c r="AK2051" s="42"/>
      <c r="AL2051" s="42"/>
      <c r="AM2051" s="42"/>
      <c r="AN2051" s="42"/>
      <c r="AO2051" s="63" t="str">
        <f>IFERROR(__xludf.DUMMYFUNCTION("IF(ISBLANK(A2051),,IF(ISBLANK(S2051), A2051&amp;"";"", TEXTJOIN(CHAR(10), TRUE, A2051&amp;"";"", ARRAYFORMULA(VLOOKUP(SPLIT(S2051, "";"" &amp; CHAR(10)), $A:$AO, 41, FALSE)))))"),"MDam;")</f>
        <v>MDam;</v>
      </c>
      <c r="AP2051" s="89"/>
    </row>
    <row r="2052">
      <c r="A2052" s="151" t="str">
        <f>IFERROR(__xludf.DUMMYFUNCTION("""COMPUTED_VALUE"""),"MDl")</f>
        <v>MDl</v>
      </c>
      <c r="B2052" s="42" t="str">
        <f>IFERROR(__xludf.DUMMYFUNCTION("""COMPUTED_VALUE"""),"DHBA")</f>
        <v>DHBA</v>
      </c>
      <c r="C2052" s="42" t="str">
        <f>IFERROR(__xludf.DUMMYFUNCTION("""COMPUTED_VALUE"""),"multiform (lateral) division of MD")</f>
        <v>multiform (lateral) division of MD</v>
      </c>
      <c r="D2052" s="42">
        <f>IFERROR(__xludf.DUMMYFUNCTION("""COMPUTED_VALUE"""),1939.0)</f>
        <v>1939</v>
      </c>
      <c r="E2052" s="39" t="str">
        <f>IFERROR(__xludf.DUMMYFUNCTION("""COMPUTED_VALUE"""),"multiform (lateral) division of MD")</f>
        <v>multiform (lateral) division of MD</v>
      </c>
      <c r="F2052" s="9" t="str">
        <f>IFERROR(__xludf.DUMMYFUNCTION("""COMPUTED_VALUE"""),"Br")</f>
        <v>Br</v>
      </c>
      <c r="G2052" s="9" t="str">
        <f>IFERROR(__xludf.DUMMYFUNCTION("""COMPUTED_VALUE"""),"F")</f>
        <v>F</v>
      </c>
      <c r="H2052" s="9" t="str">
        <f>IFERROR(__xludf.DUMMYFUNCTION("""COMPUTED_VALUE"""),"FGM")</f>
        <v>FGM</v>
      </c>
      <c r="I2052" s="9" t="str">
        <f>IFERROR(__xludf.DUMMYFUNCTION("""COMPUTED_VALUE"""),"Die")</f>
        <v>Die</v>
      </c>
      <c r="J2052" s="9" t="str">
        <f>IFERROR(__xludf.DUMMYFUNCTION("""COMPUTED_VALUE"""),"THM")</f>
        <v>THM</v>
      </c>
      <c r="K2052" s="9" t="str">
        <f>IFERROR(__xludf.DUMMYFUNCTION("""COMPUTED_VALUE"""),"DTH")</f>
        <v>DTH</v>
      </c>
      <c r="L2052" s="9" t="str">
        <f>IFERROR(__xludf.DUMMYFUNCTION("""COMPUTED_VALUE"""),"MNC")</f>
        <v>MNC</v>
      </c>
      <c r="M2052" s="9" t="str">
        <f>IFERROR(__xludf.DUMMYFUNCTION("""COMPUTED_VALUE"""),"MD")</f>
        <v>MD</v>
      </c>
      <c r="N2052" s="9" t="str">
        <f>IFERROR(__xludf.DUMMYFUNCTION("""COMPUTED_VALUE"""),"MDl")</f>
        <v>MDl</v>
      </c>
      <c r="O2052" s="9"/>
      <c r="P2052" s="9"/>
      <c r="Q2052" s="9"/>
      <c r="R2052" s="9"/>
      <c r="S2052" s="42"/>
      <c r="T2052" s="42"/>
      <c r="U2052" s="159"/>
      <c r="V2052" s="42"/>
      <c r="W2052" s="42"/>
      <c r="X2052" s="42"/>
      <c r="Y2052" s="42"/>
      <c r="Z2052" s="42"/>
      <c r="AA2052" s="42"/>
      <c r="AB2052" s="42" t="str">
        <f>IFERROR(__xludf.DUMMYFUNCTION("""COMPUTED_VALUE"""),"allen institute")</f>
        <v>allen institute</v>
      </c>
      <c r="AC2052" s="42" t="str">
        <f>IFERROR(__xludf.DUMMYFUNCTION("""COMPUTED_VALUE"""),"DHBA")</f>
        <v>DHBA</v>
      </c>
      <c r="AD2052" s="42"/>
      <c r="AE2052" s="42"/>
      <c r="AF2052" s="9"/>
      <c r="AG2052" s="9"/>
      <c r="AH2052" s="42"/>
      <c r="AI2052" s="42"/>
      <c r="AJ2052" s="42"/>
      <c r="AK2052" s="42"/>
      <c r="AL2052" s="42"/>
      <c r="AM2052" s="42"/>
      <c r="AN2052" s="42"/>
      <c r="AO2052" s="63" t="str">
        <f>IFERROR(__xludf.DUMMYFUNCTION("IF(ISBLANK(A2052),,IF(ISBLANK(S2052), A2052&amp;"";"", TEXTJOIN(CHAR(10), TRUE, A2052&amp;"";"", ARRAYFORMULA(VLOOKUP(SPLIT(S2052, "";"" &amp; CHAR(10)), $A:$AO, 41, FALSE)))))"),"MDl;")</f>
        <v>MDl;</v>
      </c>
      <c r="AP2052" s="89"/>
    </row>
    <row r="2053">
      <c r="A2053" s="151" t="str">
        <f>IFERROR(__xludf.DUMMYFUNCTION("""COMPUTED_VALUE"""),"MDc")</f>
        <v>MDc</v>
      </c>
      <c r="B2053" s="42" t="str">
        <f>IFERROR(__xludf.DUMMYFUNCTION("""COMPUTED_VALUE"""),"DHBA")</f>
        <v>DHBA</v>
      </c>
      <c r="C2053" s="42" t="str">
        <f>IFERROR(__xludf.DUMMYFUNCTION("""COMPUTED_VALUE"""),"parvocellular (central) division of MD")</f>
        <v>parvocellular (central) division of MD</v>
      </c>
      <c r="D2053" s="42">
        <f>IFERROR(__xludf.DUMMYFUNCTION("""COMPUTED_VALUE"""),1940.0)</f>
        <v>1940</v>
      </c>
      <c r="E2053" s="39" t="str">
        <f>IFERROR(__xludf.DUMMYFUNCTION("""COMPUTED_VALUE"""),"parvocellular (central) division of MD")</f>
        <v>parvocellular (central) division of MD</v>
      </c>
      <c r="F2053" s="9" t="str">
        <f>IFERROR(__xludf.DUMMYFUNCTION("""COMPUTED_VALUE"""),"Br")</f>
        <v>Br</v>
      </c>
      <c r="G2053" s="9" t="str">
        <f>IFERROR(__xludf.DUMMYFUNCTION("""COMPUTED_VALUE"""),"F")</f>
        <v>F</v>
      </c>
      <c r="H2053" s="9" t="str">
        <f>IFERROR(__xludf.DUMMYFUNCTION("""COMPUTED_VALUE"""),"FGM")</f>
        <v>FGM</v>
      </c>
      <c r="I2053" s="9" t="str">
        <f>IFERROR(__xludf.DUMMYFUNCTION("""COMPUTED_VALUE"""),"Die")</f>
        <v>Die</v>
      </c>
      <c r="J2053" s="9" t="str">
        <f>IFERROR(__xludf.DUMMYFUNCTION("""COMPUTED_VALUE"""),"THM")</f>
        <v>THM</v>
      </c>
      <c r="K2053" s="9" t="str">
        <f>IFERROR(__xludf.DUMMYFUNCTION("""COMPUTED_VALUE"""),"DTH")</f>
        <v>DTH</v>
      </c>
      <c r="L2053" s="9" t="str">
        <f>IFERROR(__xludf.DUMMYFUNCTION("""COMPUTED_VALUE"""),"MNC")</f>
        <v>MNC</v>
      </c>
      <c r="M2053" s="9" t="str">
        <f>IFERROR(__xludf.DUMMYFUNCTION("""COMPUTED_VALUE"""),"MD")</f>
        <v>MD</v>
      </c>
      <c r="N2053" s="9" t="str">
        <f>IFERROR(__xludf.DUMMYFUNCTION("""COMPUTED_VALUE"""),"MDc")</f>
        <v>MDc</v>
      </c>
      <c r="O2053" s="9"/>
      <c r="P2053" s="9"/>
      <c r="Q2053" s="9"/>
      <c r="R2053" s="9"/>
      <c r="S2053" s="42"/>
      <c r="T2053" s="42"/>
      <c r="U2053" s="42"/>
      <c r="V2053" s="42"/>
      <c r="W2053" s="42"/>
      <c r="X2053" s="42"/>
      <c r="Y2053" s="42"/>
      <c r="Z2053" s="42"/>
      <c r="AA2053" s="42"/>
      <c r="AB2053" s="42" t="str">
        <f>IFERROR(__xludf.DUMMYFUNCTION("""COMPUTED_VALUE"""),"allen institute")</f>
        <v>allen institute</v>
      </c>
      <c r="AC2053" s="42" t="str">
        <f>IFERROR(__xludf.DUMMYFUNCTION("""COMPUTED_VALUE"""),"DHBA")</f>
        <v>DHBA</v>
      </c>
      <c r="AD2053" s="42"/>
      <c r="AE2053" s="42"/>
      <c r="AF2053" s="9"/>
      <c r="AG2053" s="9"/>
      <c r="AH2053" s="42"/>
      <c r="AI2053" s="42"/>
      <c r="AJ2053" s="42"/>
      <c r="AK2053" s="42"/>
      <c r="AL2053" s="42"/>
      <c r="AM2053" s="42"/>
      <c r="AN2053" s="42"/>
      <c r="AO2053" s="63" t="str">
        <f>IFERROR(__xludf.DUMMYFUNCTION("IF(ISBLANK(A2053),,IF(ISBLANK(S2053), A2053&amp;"";"", TEXTJOIN(CHAR(10), TRUE, A2053&amp;"";"", ARRAYFORMULA(VLOOKUP(SPLIT(S2053, "";"" &amp; CHAR(10)), $A:$AO, 41, FALSE)))))"),"MDc;")</f>
        <v>MDc;</v>
      </c>
      <c r="AP2053" s="89"/>
    </row>
    <row r="2054">
      <c r="A2054" s="151" t="str">
        <f>IFERROR(__xludf.DUMMYFUNCTION("""COMPUTED_VALUE"""),"Re")</f>
        <v>Re</v>
      </c>
      <c r="B2054" s="42" t="str">
        <f>IFERROR(__xludf.DUMMYFUNCTION("""COMPUTED_VALUE"""),"DHBA")</f>
        <v>DHBA</v>
      </c>
      <c r="C2054" s="42" t="str">
        <f>IFERROR(__xludf.DUMMYFUNCTION("""COMPUTED_VALUE"""),"Reuniens nucleus, RE")</f>
        <v>Reuniens nucleus, RE</v>
      </c>
      <c r="D2054" s="42">
        <f>IFERROR(__xludf.DUMMYFUNCTION("""COMPUTED_VALUE"""),1941.0)</f>
        <v>1941</v>
      </c>
      <c r="E2054" s="39" t="str">
        <f>IFERROR(__xludf.DUMMYFUNCTION("""COMPUTED_VALUE"""),"reuniens nucleus (medioventral nucleus) of thalamus")</f>
        <v>reuniens nucleus (medioventral nucleus) of thalamus</v>
      </c>
      <c r="F2054" s="9" t="str">
        <f>IFERROR(__xludf.DUMMYFUNCTION("""COMPUTED_VALUE"""),"Br")</f>
        <v>Br</v>
      </c>
      <c r="G2054" s="9" t="str">
        <f>IFERROR(__xludf.DUMMYFUNCTION("""COMPUTED_VALUE"""),"F")</f>
        <v>F</v>
      </c>
      <c r="H2054" s="9" t="str">
        <f>IFERROR(__xludf.DUMMYFUNCTION("""COMPUTED_VALUE"""),"FGM")</f>
        <v>FGM</v>
      </c>
      <c r="I2054" s="9" t="str">
        <f>IFERROR(__xludf.DUMMYFUNCTION("""COMPUTED_VALUE"""),"Die")</f>
        <v>Die</v>
      </c>
      <c r="J2054" s="9" t="str">
        <f>IFERROR(__xludf.DUMMYFUNCTION("""COMPUTED_VALUE"""),"THM")</f>
        <v>THM</v>
      </c>
      <c r="K2054" s="9" t="str">
        <f>IFERROR(__xludf.DUMMYFUNCTION("""COMPUTED_VALUE"""),"DTH")</f>
        <v>DTH</v>
      </c>
      <c r="L2054" s="9" t="str">
        <f>IFERROR(__xludf.DUMMYFUNCTION("""COMPUTED_VALUE"""),"MNC")</f>
        <v>MNC</v>
      </c>
      <c r="M2054" s="9" t="str">
        <f>IFERROR(__xludf.DUMMYFUNCTION("""COMPUTED_VALUE"""),"Re")</f>
        <v>Re</v>
      </c>
      <c r="N2054" s="9"/>
      <c r="O2054" s="9"/>
      <c r="P2054" s="9"/>
      <c r="Q2054" s="9"/>
      <c r="R2054" s="9"/>
      <c r="S2054" s="42"/>
      <c r="T2054" s="42"/>
      <c r="U2054" s="42"/>
      <c r="V2054" s="42"/>
      <c r="W2054" s="42"/>
      <c r="X2054" s="42"/>
      <c r="Y2054" s="42"/>
      <c r="Z2054" s="42"/>
      <c r="AA2054" s="42"/>
      <c r="AB2054" s="42" t="str">
        <f>IFERROR(__xludf.DUMMYFUNCTION("""COMPUTED_VALUE"""),"allen institute")</f>
        <v>allen institute</v>
      </c>
      <c r="AC2054" s="42" t="str">
        <f>IFERROR(__xludf.DUMMYFUNCTION("""COMPUTED_VALUE"""),"DHBA")</f>
        <v>DHBA</v>
      </c>
      <c r="AD2054" s="42"/>
      <c r="AE2054" s="42"/>
      <c r="AF2054" s="9"/>
      <c r="AG2054" s="9"/>
      <c r="AH2054" s="42"/>
      <c r="AI2054" s="42"/>
      <c r="AJ2054" s="42"/>
      <c r="AK2054" s="42"/>
      <c r="AL2054" s="42"/>
      <c r="AM2054" s="42"/>
      <c r="AN2054" s="42"/>
      <c r="AO2054" s="63" t="str">
        <f>IFERROR(__xludf.DUMMYFUNCTION("IF(ISBLANK(A2054),,IF(ISBLANK(S2054), A2054&amp;"";"", TEXTJOIN(CHAR(10), TRUE, A2054&amp;"";"", ARRAYFORMULA(VLOOKUP(SPLIT(S2054, "";"" &amp; CHAR(10)), $A:$AO, 41, FALSE)))))"),"Re;")</f>
        <v>Re;</v>
      </c>
      <c r="AP2054" s="89"/>
    </row>
    <row r="2055">
      <c r="A2055" s="151" t="str">
        <f>IFERROR(__xludf.DUMMYFUNCTION("""COMPUTED_VALUE"""),"Pt")</f>
        <v>Pt</v>
      </c>
      <c r="B2055" s="42" t="str">
        <f>IFERROR(__xludf.DUMMYFUNCTION("""COMPUTED_VALUE"""),"DHBA")</f>
        <v>DHBA</v>
      </c>
      <c r="C2055" s="42" t="str">
        <f>IFERROR(__xludf.DUMMYFUNCTION("""COMPUTED_VALUE"""),"Paratenial nucleus, PT")</f>
        <v>Paratenial nucleus, PT</v>
      </c>
      <c r="D2055" s="42">
        <f>IFERROR(__xludf.DUMMYFUNCTION("""COMPUTED_VALUE"""),1942.0)</f>
        <v>1942</v>
      </c>
      <c r="E2055" s="39" t="str">
        <f>IFERROR(__xludf.DUMMYFUNCTION("""COMPUTED_VALUE"""),"parataenial nucleus of thalamus")</f>
        <v>parataenial nucleus of thalamus</v>
      </c>
      <c r="F2055" s="9" t="str">
        <f>IFERROR(__xludf.DUMMYFUNCTION("""COMPUTED_VALUE"""),"Br")</f>
        <v>Br</v>
      </c>
      <c r="G2055" s="9" t="str">
        <f>IFERROR(__xludf.DUMMYFUNCTION("""COMPUTED_VALUE"""),"F")</f>
        <v>F</v>
      </c>
      <c r="H2055" s="9" t="str">
        <f>IFERROR(__xludf.DUMMYFUNCTION("""COMPUTED_VALUE"""),"FGM")</f>
        <v>FGM</v>
      </c>
      <c r="I2055" s="9" t="str">
        <f>IFERROR(__xludf.DUMMYFUNCTION("""COMPUTED_VALUE"""),"Die")</f>
        <v>Die</v>
      </c>
      <c r="J2055" s="9" t="str">
        <f>IFERROR(__xludf.DUMMYFUNCTION("""COMPUTED_VALUE"""),"THM")</f>
        <v>THM</v>
      </c>
      <c r="K2055" s="9" t="str">
        <f>IFERROR(__xludf.DUMMYFUNCTION("""COMPUTED_VALUE"""),"DTH")</f>
        <v>DTH</v>
      </c>
      <c r="L2055" s="9" t="str">
        <f>IFERROR(__xludf.DUMMYFUNCTION("""COMPUTED_VALUE"""),"MNC")</f>
        <v>MNC</v>
      </c>
      <c r="M2055" s="9" t="str">
        <f>IFERROR(__xludf.DUMMYFUNCTION("""COMPUTED_VALUE"""),"Pt")</f>
        <v>Pt</v>
      </c>
      <c r="N2055" s="9"/>
      <c r="O2055" s="9"/>
      <c r="P2055" s="9"/>
      <c r="Q2055" s="9"/>
      <c r="R2055" s="9"/>
      <c r="S2055" s="42"/>
      <c r="T2055" s="42"/>
      <c r="U2055" s="42"/>
      <c r="V2055" s="42"/>
      <c r="W2055" s="42"/>
      <c r="X2055" s="42"/>
      <c r="Y2055" s="42"/>
      <c r="Z2055" s="42"/>
      <c r="AA2055" s="42"/>
      <c r="AB2055" s="42" t="str">
        <f>IFERROR(__xludf.DUMMYFUNCTION("""COMPUTED_VALUE"""),"allen institute")</f>
        <v>allen institute</v>
      </c>
      <c r="AC2055" s="42" t="str">
        <f>IFERROR(__xludf.DUMMYFUNCTION("""COMPUTED_VALUE"""),"DHBA")</f>
        <v>DHBA</v>
      </c>
      <c r="AD2055" s="42"/>
      <c r="AE2055" s="42"/>
      <c r="AF2055" s="9"/>
      <c r="AG2055" s="9"/>
      <c r="AH2055" s="42"/>
      <c r="AI2055" s="42"/>
      <c r="AJ2055" s="42"/>
      <c r="AK2055" s="42"/>
      <c r="AL2055" s="42"/>
      <c r="AM2055" s="42"/>
      <c r="AN2055" s="42"/>
      <c r="AO2055" s="63" t="str">
        <f>IFERROR(__xludf.DUMMYFUNCTION("IF(ISBLANK(A2055),,IF(ISBLANK(S2055), A2055&amp;"";"", TEXTJOIN(CHAR(10), TRUE, A2055&amp;"";"", ARRAYFORMULA(VLOOKUP(SPLIT(S2055, "";"" &amp; CHAR(10)), $A:$AO, 41, FALSE)))))"),"Pt;")</f>
        <v>Pt;</v>
      </c>
      <c r="AP2055" s="89"/>
    </row>
    <row r="2056">
      <c r="A2056" s="151" t="str">
        <f>IFERROR(__xludf.DUMMYFUNCTION("""COMPUTED_VALUE"""),"LNC")</f>
        <v>LNC</v>
      </c>
      <c r="B2056" s="42" t="str">
        <f>IFERROR(__xludf.DUMMYFUNCTION("""COMPUTED_VALUE"""),"DHBA")</f>
        <v>DHBA</v>
      </c>
      <c r="C2056" s="42" t="str">
        <f>IFERROR(__xludf.DUMMYFUNCTION("""COMPUTED_VALUE"""),"lateral nuclear complex of thalamus")</f>
        <v>lateral nuclear complex of thalamus</v>
      </c>
      <c r="D2056" s="42">
        <f>IFERROR(__xludf.DUMMYFUNCTION("""COMPUTED_VALUE"""),1943.0)</f>
        <v>1943</v>
      </c>
      <c r="E2056" s="39" t="str">
        <f>IFERROR(__xludf.DUMMYFUNCTION("""COMPUTED_VALUE"""),"lateral nuclear complex of thalamus")</f>
        <v>lateral nuclear complex of thalamus</v>
      </c>
      <c r="F2056" s="9" t="str">
        <f>IFERROR(__xludf.DUMMYFUNCTION("""COMPUTED_VALUE"""),"Br")</f>
        <v>Br</v>
      </c>
      <c r="G2056" s="9" t="str">
        <f>IFERROR(__xludf.DUMMYFUNCTION("""COMPUTED_VALUE"""),"F")</f>
        <v>F</v>
      </c>
      <c r="H2056" s="9" t="str">
        <f>IFERROR(__xludf.DUMMYFUNCTION("""COMPUTED_VALUE"""),"FGM")</f>
        <v>FGM</v>
      </c>
      <c r="I2056" s="9" t="str">
        <f>IFERROR(__xludf.DUMMYFUNCTION("""COMPUTED_VALUE"""),"Die")</f>
        <v>Die</v>
      </c>
      <c r="J2056" s="9" t="str">
        <f>IFERROR(__xludf.DUMMYFUNCTION("""COMPUTED_VALUE"""),"THM")</f>
        <v>THM</v>
      </c>
      <c r="K2056" s="9" t="str">
        <f>IFERROR(__xludf.DUMMYFUNCTION("""COMPUTED_VALUE"""),"DTH")</f>
        <v>DTH</v>
      </c>
      <c r="L2056" s="9" t="str">
        <f>IFERROR(__xludf.DUMMYFUNCTION("""COMPUTED_VALUE"""),"LNC")</f>
        <v>LNC</v>
      </c>
      <c r="M2056" s="9"/>
      <c r="N2056" s="9"/>
      <c r="O2056" s="9"/>
      <c r="P2056" s="9"/>
      <c r="Q2056" s="9"/>
      <c r="R2056" s="9"/>
      <c r="S2056" s="42" t="str">
        <f>IFERROR(__xludf.DUMMYFUNCTION("""COMPUTED_VALUE"""),"DLN;
VLN")</f>
        <v>DLN;
VLN</v>
      </c>
      <c r="T2056" s="42"/>
      <c r="U2056" s="42" t="b">
        <f>IFERROR(__xludf.DUMMYFUNCTION("""COMPUTED_VALUE"""),FALSE)</f>
        <v>0</v>
      </c>
      <c r="V2056" s="42"/>
      <c r="W2056" s="42"/>
      <c r="X2056" s="42"/>
      <c r="Y2056" s="42"/>
      <c r="Z2056" s="42"/>
      <c r="AA2056" s="42"/>
      <c r="AB2056" s="42" t="str">
        <f>IFERROR(__xludf.DUMMYFUNCTION("""COMPUTED_VALUE"""),"allen institute")</f>
        <v>allen institute</v>
      </c>
      <c r="AC2056" s="42" t="str">
        <f>IFERROR(__xludf.DUMMYFUNCTION("""COMPUTED_VALUE"""),"DHBA")</f>
        <v>DHBA</v>
      </c>
      <c r="AD2056" s="42"/>
      <c r="AE2056" s="42"/>
      <c r="AF2056" s="9"/>
      <c r="AG2056" s="9"/>
      <c r="AH2056" s="42"/>
      <c r="AI2056" s="42"/>
      <c r="AJ2056" s="42"/>
      <c r="AK2056" s="42"/>
      <c r="AL2056" s="42"/>
      <c r="AM2056" s="42"/>
      <c r="AN2056" s="42"/>
      <c r="AO2056" s="63" t="str">
        <f>IFERROR(__xludf.DUMMYFUNCTION("IF(ISBLANK(A2056),,IF(ISBLANK(S2056), A2056&amp;"";"", TEXTJOIN(CHAR(10), TRUE, A2056&amp;"";"", ARRAYFORMULA(VLOOKUP(SPLIT(S2056, "";"" &amp; CHAR(10)), $A:$AO, 41, FALSE)))))"),"LNC;
DLN;
LP;
Pul;
Pulr;
Pulm;
Pull;
Puli;
Pulil;
Pulim;
VLN;
VA;
VA_core;
VA_matrix;
VApr;
VAmc;
VL;
VL_core;
VL_matrix;
VLR;
VLC;
VLCd;
VLCv;
VLCx;
VPT;
VPL;
VPLr;
VPLc;
VPM;
VPMpc;
VPI;
VMb;
VM;")</f>
        <v>LNC;
DLN;
LP;
Pul;
Pulr;
Pulm;
Pull;
Puli;
Pulil;
Pulim;
VLN;
VA;
VA_core;
VA_matrix;
VApr;
VAmc;
VL;
VL_core;
VL_matrix;
VLR;
VLC;
VLCd;
VLCv;
VLCx;
VPT;
VPL;
VPLr;
VPLc;
VPM;
VPMpc;
VPI;
VMb;
VM;</v>
      </c>
      <c r="AP2056" s="89"/>
    </row>
    <row r="2057">
      <c r="A2057" s="151" t="str">
        <f>IFERROR(__xludf.DUMMYFUNCTION("""COMPUTED_VALUE"""),"DLN")</f>
        <v>DLN</v>
      </c>
      <c r="B2057" s="42" t="str">
        <f>IFERROR(__xludf.DUMMYFUNCTION("""COMPUTED_VALUE"""),"DHBA")</f>
        <v>DHBA</v>
      </c>
      <c r="C2057" s="42" t="str">
        <f>IFERROR(__xludf.DUMMYFUNCTION("""COMPUTED_VALUE"""),"dorsal group of lateral nucleus")</f>
        <v>dorsal group of lateral nucleus</v>
      </c>
      <c r="D2057" s="42">
        <f>IFERROR(__xludf.DUMMYFUNCTION("""COMPUTED_VALUE"""),1944.0)</f>
        <v>1944</v>
      </c>
      <c r="E2057" s="39" t="str">
        <f>IFERROR(__xludf.DUMMYFUNCTION("""COMPUTED_VALUE"""),"dorsal group of lateral nucleus")</f>
        <v>dorsal group of lateral nucleus</v>
      </c>
      <c r="F2057" s="9" t="str">
        <f>IFERROR(__xludf.DUMMYFUNCTION("""COMPUTED_VALUE"""),"Br")</f>
        <v>Br</v>
      </c>
      <c r="G2057" s="9" t="str">
        <f>IFERROR(__xludf.DUMMYFUNCTION("""COMPUTED_VALUE"""),"F")</f>
        <v>F</v>
      </c>
      <c r="H2057" s="9" t="str">
        <f>IFERROR(__xludf.DUMMYFUNCTION("""COMPUTED_VALUE"""),"FGM")</f>
        <v>FGM</v>
      </c>
      <c r="I2057" s="9" t="str">
        <f>IFERROR(__xludf.DUMMYFUNCTION("""COMPUTED_VALUE"""),"Die")</f>
        <v>Die</v>
      </c>
      <c r="J2057" s="9" t="str">
        <f>IFERROR(__xludf.DUMMYFUNCTION("""COMPUTED_VALUE"""),"THM")</f>
        <v>THM</v>
      </c>
      <c r="K2057" s="9" t="str">
        <f>IFERROR(__xludf.DUMMYFUNCTION("""COMPUTED_VALUE"""),"DTH")</f>
        <v>DTH</v>
      </c>
      <c r="L2057" s="9" t="str">
        <f>IFERROR(__xludf.DUMMYFUNCTION("""COMPUTED_VALUE"""),"LNC")</f>
        <v>LNC</v>
      </c>
      <c r="M2057" s="9" t="str">
        <f>IFERROR(__xludf.DUMMYFUNCTION("""COMPUTED_VALUE"""),"DLN")</f>
        <v>DLN</v>
      </c>
      <c r="N2057" s="9"/>
      <c r="O2057" s="9"/>
      <c r="P2057" s="9"/>
      <c r="Q2057" s="9"/>
      <c r="R2057" s="9"/>
      <c r="S2057" s="42" t="str">
        <f>IFERROR(__xludf.DUMMYFUNCTION("""COMPUTED_VALUE"""),"LP;
Pul")</f>
        <v>LP;
Pul</v>
      </c>
      <c r="T2057" s="42"/>
      <c r="U2057" s="42" t="b">
        <f>IFERROR(__xludf.DUMMYFUNCTION("""COMPUTED_VALUE"""),FALSE)</f>
        <v>0</v>
      </c>
      <c r="V2057" s="42"/>
      <c r="W2057" s="42"/>
      <c r="X2057" s="42"/>
      <c r="Y2057" s="42"/>
      <c r="Z2057" s="42"/>
      <c r="AA2057" s="42"/>
      <c r="AB2057" s="42" t="str">
        <f>IFERROR(__xludf.DUMMYFUNCTION("""COMPUTED_VALUE"""),"allen institute")</f>
        <v>allen institute</v>
      </c>
      <c r="AC2057" s="42" t="str">
        <f>IFERROR(__xludf.DUMMYFUNCTION("""COMPUTED_VALUE"""),"DHBA")</f>
        <v>DHBA</v>
      </c>
      <c r="AD2057" s="42"/>
      <c r="AE2057" s="42"/>
      <c r="AF2057" s="9"/>
      <c r="AG2057" s="9"/>
      <c r="AH2057" s="42"/>
      <c r="AI2057" s="42"/>
      <c r="AJ2057" s="42"/>
      <c r="AK2057" s="42"/>
      <c r="AL2057" s="42"/>
      <c r="AM2057" s="42"/>
      <c r="AN2057" s="42"/>
      <c r="AO2057" s="63" t="str">
        <f>IFERROR(__xludf.DUMMYFUNCTION("IF(ISBLANK(A2057),,IF(ISBLANK(S2057), A2057&amp;"";"", TEXTJOIN(CHAR(10), TRUE, A2057&amp;"";"", ARRAYFORMULA(VLOOKUP(SPLIT(S2057, "";"" &amp; CHAR(10)), $A:$AO, 41, FALSE)))))"),"DLN;
LP;
Pul;
Pulr;
Pulm;
Pull;
Puli;
Pulil;
Pulim;")</f>
        <v>DLN;
LP;
Pul;
Pulr;
Pulm;
Pull;
Puli;
Pulil;
Pulim;</v>
      </c>
      <c r="AP2057" s="89"/>
    </row>
    <row r="2058">
      <c r="A2058" s="151" t="str">
        <f>IFERROR(__xludf.DUMMYFUNCTION("""COMPUTED_VALUE"""),"LP")</f>
        <v>LP</v>
      </c>
      <c r="B2058" s="42" t="str">
        <f>IFERROR(__xludf.DUMMYFUNCTION("""COMPUTED_VALUE"""),"DHBA")</f>
        <v>DHBA</v>
      </c>
      <c r="C2058" s="42" t="str">
        <f>IFERROR(__xludf.DUMMYFUNCTION("""COMPUTED_VALUE"""),"lateral posterior neucleus of thalamus")</f>
        <v>lateral posterior neucleus of thalamus</v>
      </c>
      <c r="D2058" s="42">
        <f>IFERROR(__xludf.DUMMYFUNCTION("""COMPUTED_VALUE"""),1945.0)</f>
        <v>1945</v>
      </c>
      <c r="E2058" s="39" t="str">
        <f>IFERROR(__xludf.DUMMYFUNCTION("""COMPUTED_VALUE"""),"lateral posterior nucleus of thalamus")</f>
        <v>lateral posterior nucleus of thalamus</v>
      </c>
      <c r="F2058" s="9" t="str">
        <f>IFERROR(__xludf.DUMMYFUNCTION("""COMPUTED_VALUE"""),"Br")</f>
        <v>Br</v>
      </c>
      <c r="G2058" s="9" t="str">
        <f>IFERROR(__xludf.DUMMYFUNCTION("""COMPUTED_VALUE"""),"F")</f>
        <v>F</v>
      </c>
      <c r="H2058" s="9" t="str">
        <f>IFERROR(__xludf.DUMMYFUNCTION("""COMPUTED_VALUE"""),"FGM")</f>
        <v>FGM</v>
      </c>
      <c r="I2058" s="9" t="str">
        <f>IFERROR(__xludf.DUMMYFUNCTION("""COMPUTED_VALUE"""),"Die")</f>
        <v>Die</v>
      </c>
      <c r="J2058" s="9" t="str">
        <f>IFERROR(__xludf.DUMMYFUNCTION("""COMPUTED_VALUE"""),"THM")</f>
        <v>THM</v>
      </c>
      <c r="K2058" s="9" t="str">
        <f>IFERROR(__xludf.DUMMYFUNCTION("""COMPUTED_VALUE"""),"DTH")</f>
        <v>DTH</v>
      </c>
      <c r="L2058" s="9" t="str">
        <f>IFERROR(__xludf.DUMMYFUNCTION("""COMPUTED_VALUE"""),"LNC")</f>
        <v>LNC</v>
      </c>
      <c r="M2058" s="9" t="str">
        <f>IFERROR(__xludf.DUMMYFUNCTION("""COMPUTED_VALUE"""),"DLN")</f>
        <v>DLN</v>
      </c>
      <c r="N2058" s="9" t="str">
        <f>IFERROR(__xludf.DUMMYFUNCTION("""COMPUTED_VALUE"""),"LP")</f>
        <v>LP</v>
      </c>
      <c r="O2058" s="9"/>
      <c r="P2058" s="9"/>
      <c r="Q2058" s="9"/>
      <c r="R2058" s="9"/>
      <c r="S2058" s="42"/>
      <c r="T2058" s="42" t="str">
        <f>IFERROR(__xludf.DUMMYFUNCTION("""COMPUTED_VALUE"""),"THM")</f>
        <v>THM</v>
      </c>
      <c r="U2058" s="159" t="b">
        <f>IFERROR(__xludf.DUMMYFUNCTION("""COMPUTED_VALUE"""),FALSE)</f>
        <v>0</v>
      </c>
      <c r="V2058" s="42"/>
      <c r="W2058" s="42"/>
      <c r="X2058" s="42"/>
      <c r="Y2058" s="42"/>
      <c r="Z2058" s="42"/>
      <c r="AA2058" s="42"/>
      <c r="AB2058" s="42" t="str">
        <f>IFERROR(__xludf.DUMMYFUNCTION("""COMPUTED_VALUE"""),"allen institute")</f>
        <v>allen institute</v>
      </c>
      <c r="AC2058" s="42" t="str">
        <f>IFERROR(__xludf.DUMMYFUNCTION("""COMPUTED_VALUE"""),"DHBA")</f>
        <v>DHBA</v>
      </c>
      <c r="AD2058" s="42"/>
      <c r="AE2058" s="42"/>
      <c r="AF2058" s="9"/>
      <c r="AG2058" s="9"/>
      <c r="AH2058" s="42"/>
      <c r="AI2058" s="42"/>
      <c r="AJ2058" s="42"/>
      <c r="AK2058" s="42"/>
      <c r="AL2058" s="42"/>
      <c r="AM2058" s="42"/>
      <c r="AN2058" s="42"/>
      <c r="AO2058" s="63" t="str">
        <f>IFERROR(__xludf.DUMMYFUNCTION("IF(ISBLANK(A2058),,IF(ISBLANK(S2058), A2058&amp;"";"", TEXTJOIN(CHAR(10), TRUE, A2058&amp;"";"", ARRAYFORMULA(VLOOKUP(SPLIT(S2058, "";"" &amp; CHAR(10)), $A:$AO, 41, FALSE)))))"),"LP;")</f>
        <v>LP;</v>
      </c>
      <c r="AP2058" s="89"/>
    </row>
    <row r="2059">
      <c r="A2059" s="151" t="str">
        <f>IFERROR(__xludf.DUMMYFUNCTION("""COMPUTED_VALUE"""),"Pul")</f>
        <v>Pul</v>
      </c>
      <c r="B2059" s="42" t="str">
        <f>IFERROR(__xludf.DUMMYFUNCTION("""COMPUTED_VALUE"""),"DHBA")</f>
        <v>DHBA</v>
      </c>
      <c r="C2059" s="42" t="str">
        <f>IFERROR(__xludf.DUMMYFUNCTION("""COMPUTED_VALUE"""),"pulvinar of thalamus")</f>
        <v>pulvinar of thalamus</v>
      </c>
      <c r="D2059" s="42">
        <f>IFERROR(__xludf.DUMMYFUNCTION("""COMPUTED_VALUE"""),1946.0)</f>
        <v>1946</v>
      </c>
      <c r="E2059" s="39" t="str">
        <f>IFERROR(__xludf.DUMMYFUNCTION("""COMPUTED_VALUE"""),"pulvinar of thalamus")</f>
        <v>pulvinar of thalamus</v>
      </c>
      <c r="F2059" s="9" t="str">
        <f>IFERROR(__xludf.DUMMYFUNCTION("""COMPUTED_VALUE"""),"Br")</f>
        <v>Br</v>
      </c>
      <c r="G2059" s="9" t="str">
        <f>IFERROR(__xludf.DUMMYFUNCTION("""COMPUTED_VALUE"""),"F")</f>
        <v>F</v>
      </c>
      <c r="H2059" s="9" t="str">
        <f>IFERROR(__xludf.DUMMYFUNCTION("""COMPUTED_VALUE"""),"FGM")</f>
        <v>FGM</v>
      </c>
      <c r="I2059" s="9" t="str">
        <f>IFERROR(__xludf.DUMMYFUNCTION("""COMPUTED_VALUE"""),"Die")</f>
        <v>Die</v>
      </c>
      <c r="J2059" s="9" t="str">
        <f>IFERROR(__xludf.DUMMYFUNCTION("""COMPUTED_VALUE"""),"THM")</f>
        <v>THM</v>
      </c>
      <c r="K2059" s="9" t="str">
        <f>IFERROR(__xludf.DUMMYFUNCTION("""COMPUTED_VALUE"""),"DTH")</f>
        <v>DTH</v>
      </c>
      <c r="L2059" s="9" t="str">
        <f>IFERROR(__xludf.DUMMYFUNCTION("""COMPUTED_VALUE"""),"LNC")</f>
        <v>LNC</v>
      </c>
      <c r="M2059" s="9" t="str">
        <f>IFERROR(__xludf.DUMMYFUNCTION("""COMPUTED_VALUE"""),"DLN")</f>
        <v>DLN</v>
      </c>
      <c r="N2059" s="9" t="str">
        <f>IFERROR(__xludf.DUMMYFUNCTION("""COMPUTED_VALUE"""),"Pul")</f>
        <v>Pul</v>
      </c>
      <c r="O2059" s="9"/>
      <c r="P2059" s="9"/>
      <c r="Q2059" s="9"/>
      <c r="R2059" s="9"/>
      <c r="S2059" s="42" t="str">
        <f>IFERROR(__xludf.DUMMYFUNCTION("""COMPUTED_VALUE"""),"Pulr;
Pulm;
Pull;
Puli")</f>
        <v>Pulr;
Pulm;
Pull;
Puli</v>
      </c>
      <c r="T2059" s="42"/>
      <c r="U2059" s="42" t="b">
        <f>IFERROR(__xludf.DUMMYFUNCTION("""COMPUTED_VALUE"""),FALSE)</f>
        <v>0</v>
      </c>
      <c r="V2059" s="42"/>
      <c r="W2059" s="42"/>
      <c r="X2059" s="42"/>
      <c r="Y2059" s="42"/>
      <c r="Z2059" s="42"/>
      <c r="AA2059" s="42"/>
      <c r="AB2059" s="42" t="str">
        <f>IFERROR(__xludf.DUMMYFUNCTION("""COMPUTED_VALUE"""),"allen institute")</f>
        <v>allen institute</v>
      </c>
      <c r="AC2059" s="42" t="str">
        <f>IFERROR(__xludf.DUMMYFUNCTION("""COMPUTED_VALUE"""),"DHBA")</f>
        <v>DHBA</v>
      </c>
      <c r="AD2059" s="42"/>
      <c r="AE2059" s="42"/>
      <c r="AF2059" s="9"/>
      <c r="AG2059" s="9"/>
      <c r="AH2059" s="42"/>
      <c r="AI2059" s="42"/>
      <c r="AJ2059" s="42"/>
      <c r="AK2059" s="42"/>
      <c r="AL2059" s="42"/>
      <c r="AM2059" s="42"/>
      <c r="AN2059" s="42"/>
      <c r="AO2059" s="63" t="str">
        <f>IFERROR(__xludf.DUMMYFUNCTION("IF(ISBLANK(A2059),,IF(ISBLANK(S2059), A2059&amp;"";"", TEXTJOIN(CHAR(10), TRUE, A2059&amp;"";"", ARRAYFORMULA(VLOOKUP(SPLIT(S2059, "";"" &amp; CHAR(10)), $A:$AO, 41, FALSE)))))"),"Pul;
Pulr;
Pulm;
Pull;
Puli;
Pulil;
Pulim;")</f>
        <v>Pul;
Pulr;
Pulm;
Pull;
Puli;
Pulil;
Pulim;</v>
      </c>
      <c r="AP2059" s="89"/>
    </row>
    <row r="2060">
      <c r="A2060" s="151" t="str">
        <f>IFERROR(__xludf.DUMMYFUNCTION("""COMPUTED_VALUE"""),"Pulr")</f>
        <v>Pulr</v>
      </c>
      <c r="B2060" s="42" t="str">
        <f>IFERROR(__xludf.DUMMYFUNCTION("""COMPUTED_VALUE"""),"DHBA")</f>
        <v>DHBA</v>
      </c>
      <c r="C2060" s="42" t="str">
        <f>IFERROR(__xludf.DUMMYFUNCTION("""COMPUTED_VALUE"""),"anterior nucleus of pulvinar")</f>
        <v>anterior nucleus of pulvinar</v>
      </c>
      <c r="D2060" s="42">
        <f>IFERROR(__xludf.DUMMYFUNCTION("""COMPUTED_VALUE"""),1947.0)</f>
        <v>1947</v>
      </c>
      <c r="E2060" s="39" t="str">
        <f>IFERROR(__xludf.DUMMYFUNCTION("""COMPUTED_VALUE"""),"anterior nucleus of pulvinar")</f>
        <v>anterior nucleus of pulvinar</v>
      </c>
      <c r="F2060" s="9" t="str">
        <f>IFERROR(__xludf.DUMMYFUNCTION("""COMPUTED_VALUE"""),"Br")</f>
        <v>Br</v>
      </c>
      <c r="G2060" s="9" t="str">
        <f>IFERROR(__xludf.DUMMYFUNCTION("""COMPUTED_VALUE"""),"F")</f>
        <v>F</v>
      </c>
      <c r="H2060" s="9" t="str">
        <f>IFERROR(__xludf.DUMMYFUNCTION("""COMPUTED_VALUE"""),"FGM")</f>
        <v>FGM</v>
      </c>
      <c r="I2060" s="9" t="str">
        <f>IFERROR(__xludf.DUMMYFUNCTION("""COMPUTED_VALUE"""),"Die")</f>
        <v>Die</v>
      </c>
      <c r="J2060" s="9" t="str">
        <f>IFERROR(__xludf.DUMMYFUNCTION("""COMPUTED_VALUE"""),"THM")</f>
        <v>THM</v>
      </c>
      <c r="K2060" s="9" t="str">
        <f>IFERROR(__xludf.DUMMYFUNCTION("""COMPUTED_VALUE"""),"DTH")</f>
        <v>DTH</v>
      </c>
      <c r="L2060" s="9" t="str">
        <f>IFERROR(__xludf.DUMMYFUNCTION("""COMPUTED_VALUE"""),"LNC")</f>
        <v>LNC</v>
      </c>
      <c r="M2060" s="9" t="str">
        <f>IFERROR(__xludf.DUMMYFUNCTION("""COMPUTED_VALUE"""),"DLN")</f>
        <v>DLN</v>
      </c>
      <c r="N2060" s="9" t="str">
        <f>IFERROR(__xludf.DUMMYFUNCTION("""COMPUTED_VALUE"""),"Pul")</f>
        <v>Pul</v>
      </c>
      <c r="O2060" s="9" t="str">
        <f>IFERROR(__xludf.DUMMYFUNCTION("""COMPUTED_VALUE"""),"Pulr")</f>
        <v>Pulr</v>
      </c>
      <c r="P2060" s="9"/>
      <c r="Q2060" s="9"/>
      <c r="R2060" s="9"/>
      <c r="S2060" s="42"/>
      <c r="T2060" s="42"/>
      <c r="U2060" s="159"/>
      <c r="V2060" s="42"/>
      <c r="W2060" s="42"/>
      <c r="X2060" s="42"/>
      <c r="Y2060" s="42"/>
      <c r="Z2060" s="42"/>
      <c r="AA2060" s="42"/>
      <c r="AB2060" s="42" t="str">
        <f>IFERROR(__xludf.DUMMYFUNCTION("""COMPUTED_VALUE"""),"allen institute")</f>
        <v>allen institute</v>
      </c>
      <c r="AC2060" s="42" t="str">
        <f>IFERROR(__xludf.DUMMYFUNCTION("""COMPUTED_VALUE"""),"DHBA")</f>
        <v>DHBA</v>
      </c>
      <c r="AD2060" s="42"/>
      <c r="AE2060" s="42"/>
      <c r="AF2060" s="9"/>
      <c r="AG2060" s="9"/>
      <c r="AH2060" s="42"/>
      <c r="AI2060" s="42"/>
      <c r="AJ2060" s="42"/>
      <c r="AK2060" s="42"/>
      <c r="AL2060" s="42"/>
      <c r="AM2060" s="42"/>
      <c r="AN2060" s="42"/>
      <c r="AO2060" s="63" t="str">
        <f>IFERROR(__xludf.DUMMYFUNCTION("IF(ISBLANK(A2060),,IF(ISBLANK(S2060), A2060&amp;"";"", TEXTJOIN(CHAR(10), TRUE, A2060&amp;"";"", ARRAYFORMULA(VLOOKUP(SPLIT(S2060, "";"" &amp; CHAR(10)), $A:$AO, 41, FALSE)))))"),"Pulr;")</f>
        <v>Pulr;</v>
      </c>
      <c r="AP2060" s="89"/>
    </row>
    <row r="2061">
      <c r="A2061" s="151" t="str">
        <f>IFERROR(__xludf.DUMMYFUNCTION("""COMPUTED_VALUE"""),"Pulm")</f>
        <v>Pulm</v>
      </c>
      <c r="B2061" s="42" t="str">
        <f>IFERROR(__xludf.DUMMYFUNCTION("""COMPUTED_VALUE"""),"DHBA")</f>
        <v>DHBA</v>
      </c>
      <c r="C2061" s="42" t="str">
        <f>IFERROR(__xludf.DUMMYFUNCTION("""COMPUTED_VALUE"""),"medial nucleus of pulvinar")</f>
        <v>medial nucleus of pulvinar</v>
      </c>
      <c r="D2061" s="42">
        <f>IFERROR(__xludf.DUMMYFUNCTION("""COMPUTED_VALUE"""),1948.0)</f>
        <v>1948</v>
      </c>
      <c r="E2061" s="39" t="str">
        <f>IFERROR(__xludf.DUMMYFUNCTION("""COMPUTED_VALUE"""),"medial nucleus of pulvinar")</f>
        <v>medial nucleus of pulvinar</v>
      </c>
      <c r="F2061" s="9" t="str">
        <f>IFERROR(__xludf.DUMMYFUNCTION("""COMPUTED_VALUE"""),"Br")</f>
        <v>Br</v>
      </c>
      <c r="G2061" s="9" t="str">
        <f>IFERROR(__xludf.DUMMYFUNCTION("""COMPUTED_VALUE"""),"F")</f>
        <v>F</v>
      </c>
      <c r="H2061" s="9" t="str">
        <f>IFERROR(__xludf.DUMMYFUNCTION("""COMPUTED_VALUE"""),"FGM")</f>
        <v>FGM</v>
      </c>
      <c r="I2061" s="9" t="str">
        <f>IFERROR(__xludf.DUMMYFUNCTION("""COMPUTED_VALUE"""),"Die")</f>
        <v>Die</v>
      </c>
      <c r="J2061" s="9" t="str">
        <f>IFERROR(__xludf.DUMMYFUNCTION("""COMPUTED_VALUE"""),"THM")</f>
        <v>THM</v>
      </c>
      <c r="K2061" s="9" t="str">
        <f>IFERROR(__xludf.DUMMYFUNCTION("""COMPUTED_VALUE"""),"DTH")</f>
        <v>DTH</v>
      </c>
      <c r="L2061" s="9" t="str">
        <f>IFERROR(__xludf.DUMMYFUNCTION("""COMPUTED_VALUE"""),"LNC")</f>
        <v>LNC</v>
      </c>
      <c r="M2061" s="9" t="str">
        <f>IFERROR(__xludf.DUMMYFUNCTION("""COMPUTED_VALUE"""),"DLN")</f>
        <v>DLN</v>
      </c>
      <c r="N2061" s="9" t="str">
        <f>IFERROR(__xludf.DUMMYFUNCTION("""COMPUTED_VALUE"""),"Pul")</f>
        <v>Pul</v>
      </c>
      <c r="O2061" s="9" t="str">
        <f>IFERROR(__xludf.DUMMYFUNCTION("""COMPUTED_VALUE"""),"Pulm")</f>
        <v>Pulm</v>
      </c>
      <c r="P2061" s="9"/>
      <c r="Q2061" s="9"/>
      <c r="R2061" s="9"/>
      <c r="S2061" s="42"/>
      <c r="T2061" s="42"/>
      <c r="U2061" s="42"/>
      <c r="V2061" s="42"/>
      <c r="W2061" s="42"/>
      <c r="X2061" s="42"/>
      <c r="Y2061" s="42"/>
      <c r="Z2061" s="42"/>
      <c r="AA2061" s="42"/>
      <c r="AB2061" s="42" t="str">
        <f>IFERROR(__xludf.DUMMYFUNCTION("""COMPUTED_VALUE"""),"allen institute")</f>
        <v>allen institute</v>
      </c>
      <c r="AC2061" s="42" t="str">
        <f>IFERROR(__xludf.DUMMYFUNCTION("""COMPUTED_VALUE"""),"DHBA")</f>
        <v>DHBA</v>
      </c>
      <c r="AD2061" s="42"/>
      <c r="AE2061" s="42"/>
      <c r="AF2061" s="9"/>
      <c r="AG2061" s="9"/>
      <c r="AH2061" s="42"/>
      <c r="AI2061" s="42"/>
      <c r="AJ2061" s="42"/>
      <c r="AK2061" s="42"/>
      <c r="AL2061" s="42"/>
      <c r="AM2061" s="42"/>
      <c r="AN2061" s="42"/>
      <c r="AO2061" s="63" t="str">
        <f>IFERROR(__xludf.DUMMYFUNCTION("IF(ISBLANK(A2061),,IF(ISBLANK(S2061), A2061&amp;"";"", TEXTJOIN(CHAR(10), TRUE, A2061&amp;"";"", ARRAYFORMULA(VLOOKUP(SPLIT(S2061, "";"" &amp; CHAR(10)), $A:$AO, 41, FALSE)))))"),"Pulm;")</f>
        <v>Pulm;</v>
      </c>
      <c r="AP2061" s="89"/>
    </row>
    <row r="2062">
      <c r="A2062" s="151" t="str">
        <f>IFERROR(__xludf.DUMMYFUNCTION("""COMPUTED_VALUE"""),"Pull")</f>
        <v>Pull</v>
      </c>
      <c r="B2062" s="42" t="str">
        <f>IFERROR(__xludf.DUMMYFUNCTION("""COMPUTED_VALUE"""),"DHBA")</f>
        <v>DHBA</v>
      </c>
      <c r="C2062" s="42" t="str">
        <f>IFERROR(__xludf.DUMMYFUNCTION("""COMPUTED_VALUE"""),"lateral nucleus of pulvinar")</f>
        <v>lateral nucleus of pulvinar</v>
      </c>
      <c r="D2062" s="42">
        <f>IFERROR(__xludf.DUMMYFUNCTION("""COMPUTED_VALUE"""),1949.0)</f>
        <v>1949</v>
      </c>
      <c r="E2062" s="39" t="str">
        <f>IFERROR(__xludf.DUMMYFUNCTION("""COMPUTED_VALUE"""),"lateral nucleus of pulvinar")</f>
        <v>lateral nucleus of pulvinar</v>
      </c>
      <c r="F2062" s="9" t="str">
        <f>IFERROR(__xludf.DUMMYFUNCTION("""COMPUTED_VALUE"""),"Br")</f>
        <v>Br</v>
      </c>
      <c r="G2062" s="9" t="str">
        <f>IFERROR(__xludf.DUMMYFUNCTION("""COMPUTED_VALUE"""),"F")</f>
        <v>F</v>
      </c>
      <c r="H2062" s="9" t="str">
        <f>IFERROR(__xludf.DUMMYFUNCTION("""COMPUTED_VALUE"""),"FGM")</f>
        <v>FGM</v>
      </c>
      <c r="I2062" s="9" t="str">
        <f>IFERROR(__xludf.DUMMYFUNCTION("""COMPUTED_VALUE"""),"Die")</f>
        <v>Die</v>
      </c>
      <c r="J2062" s="9" t="str">
        <f>IFERROR(__xludf.DUMMYFUNCTION("""COMPUTED_VALUE"""),"THM")</f>
        <v>THM</v>
      </c>
      <c r="K2062" s="9" t="str">
        <f>IFERROR(__xludf.DUMMYFUNCTION("""COMPUTED_VALUE"""),"DTH")</f>
        <v>DTH</v>
      </c>
      <c r="L2062" s="9" t="str">
        <f>IFERROR(__xludf.DUMMYFUNCTION("""COMPUTED_VALUE"""),"LNC")</f>
        <v>LNC</v>
      </c>
      <c r="M2062" s="9" t="str">
        <f>IFERROR(__xludf.DUMMYFUNCTION("""COMPUTED_VALUE"""),"DLN")</f>
        <v>DLN</v>
      </c>
      <c r="N2062" s="9" t="str">
        <f>IFERROR(__xludf.DUMMYFUNCTION("""COMPUTED_VALUE"""),"Pul")</f>
        <v>Pul</v>
      </c>
      <c r="O2062" s="9" t="str">
        <f>IFERROR(__xludf.DUMMYFUNCTION("""COMPUTED_VALUE"""),"Pull")</f>
        <v>Pull</v>
      </c>
      <c r="P2062" s="9"/>
      <c r="Q2062" s="9"/>
      <c r="R2062" s="9"/>
      <c r="S2062" s="42"/>
      <c r="T2062" s="42"/>
      <c r="U2062" s="42"/>
      <c r="V2062" s="42"/>
      <c r="W2062" s="42"/>
      <c r="X2062" s="42"/>
      <c r="Y2062" s="42"/>
      <c r="Z2062" s="42"/>
      <c r="AA2062" s="42"/>
      <c r="AB2062" s="42" t="str">
        <f>IFERROR(__xludf.DUMMYFUNCTION("""COMPUTED_VALUE"""),"allen institute")</f>
        <v>allen institute</v>
      </c>
      <c r="AC2062" s="42" t="str">
        <f>IFERROR(__xludf.DUMMYFUNCTION("""COMPUTED_VALUE"""),"DHBA")</f>
        <v>DHBA</v>
      </c>
      <c r="AD2062" s="42"/>
      <c r="AE2062" s="42"/>
      <c r="AF2062" s="9"/>
      <c r="AG2062" s="9"/>
      <c r="AH2062" s="42"/>
      <c r="AI2062" s="42"/>
      <c r="AJ2062" s="42"/>
      <c r="AK2062" s="42"/>
      <c r="AL2062" s="42"/>
      <c r="AM2062" s="42"/>
      <c r="AN2062" s="42"/>
      <c r="AO2062" s="63" t="str">
        <f>IFERROR(__xludf.DUMMYFUNCTION("IF(ISBLANK(A2062),,IF(ISBLANK(S2062), A2062&amp;"";"", TEXTJOIN(CHAR(10), TRUE, A2062&amp;"";"", ARRAYFORMULA(VLOOKUP(SPLIT(S2062, "";"" &amp; CHAR(10)), $A:$AO, 41, FALSE)))))"),"Pull;")</f>
        <v>Pull;</v>
      </c>
      <c r="AP2062" s="89"/>
    </row>
    <row r="2063">
      <c r="A2063" s="151" t="str">
        <f>IFERROR(__xludf.DUMMYFUNCTION("""COMPUTED_VALUE"""),"Puli")</f>
        <v>Puli</v>
      </c>
      <c r="B2063" s="42" t="str">
        <f>IFERROR(__xludf.DUMMYFUNCTION("""COMPUTED_VALUE"""),"DHBA")</f>
        <v>DHBA</v>
      </c>
      <c r="C2063" s="42" t="str">
        <f>IFERROR(__xludf.DUMMYFUNCTION("""COMPUTED_VALUE"""),"inferior nucleus of pulvinar")</f>
        <v>inferior nucleus of pulvinar</v>
      </c>
      <c r="D2063" s="42">
        <f>IFERROR(__xludf.DUMMYFUNCTION("""COMPUTED_VALUE"""),1950.0)</f>
        <v>1950</v>
      </c>
      <c r="E2063" s="39" t="str">
        <f>IFERROR(__xludf.DUMMYFUNCTION("""COMPUTED_VALUE"""),"inferior nucleus of pulvinar")</f>
        <v>inferior nucleus of pulvinar</v>
      </c>
      <c r="F2063" s="9" t="str">
        <f>IFERROR(__xludf.DUMMYFUNCTION("""COMPUTED_VALUE"""),"Br")</f>
        <v>Br</v>
      </c>
      <c r="G2063" s="9" t="str">
        <f>IFERROR(__xludf.DUMMYFUNCTION("""COMPUTED_VALUE"""),"F")</f>
        <v>F</v>
      </c>
      <c r="H2063" s="9" t="str">
        <f>IFERROR(__xludf.DUMMYFUNCTION("""COMPUTED_VALUE"""),"FGM")</f>
        <v>FGM</v>
      </c>
      <c r="I2063" s="9" t="str">
        <f>IFERROR(__xludf.DUMMYFUNCTION("""COMPUTED_VALUE"""),"Die")</f>
        <v>Die</v>
      </c>
      <c r="J2063" s="9" t="str">
        <f>IFERROR(__xludf.DUMMYFUNCTION("""COMPUTED_VALUE"""),"THM")</f>
        <v>THM</v>
      </c>
      <c r="K2063" s="9" t="str">
        <f>IFERROR(__xludf.DUMMYFUNCTION("""COMPUTED_VALUE"""),"DTH")</f>
        <v>DTH</v>
      </c>
      <c r="L2063" s="9" t="str">
        <f>IFERROR(__xludf.DUMMYFUNCTION("""COMPUTED_VALUE"""),"LNC")</f>
        <v>LNC</v>
      </c>
      <c r="M2063" s="9" t="str">
        <f>IFERROR(__xludf.DUMMYFUNCTION("""COMPUTED_VALUE"""),"DLN")</f>
        <v>DLN</v>
      </c>
      <c r="N2063" s="9" t="str">
        <f>IFERROR(__xludf.DUMMYFUNCTION("""COMPUTED_VALUE"""),"Pul")</f>
        <v>Pul</v>
      </c>
      <c r="O2063" s="9" t="str">
        <f>IFERROR(__xludf.DUMMYFUNCTION("""COMPUTED_VALUE"""),"Puli")</f>
        <v>Puli</v>
      </c>
      <c r="P2063" s="9"/>
      <c r="Q2063" s="9"/>
      <c r="R2063" s="9"/>
      <c r="S2063" s="42" t="str">
        <f>IFERROR(__xludf.DUMMYFUNCTION("""COMPUTED_VALUE"""),"Pulil;
Pulim")</f>
        <v>Pulil;
Pulim</v>
      </c>
      <c r="T2063" s="42"/>
      <c r="U2063" s="42" t="b">
        <f>IFERROR(__xludf.DUMMYFUNCTION("""COMPUTED_VALUE"""),FALSE)</f>
        <v>0</v>
      </c>
      <c r="V2063" s="42"/>
      <c r="W2063" s="42"/>
      <c r="X2063" s="42"/>
      <c r="Y2063" s="42"/>
      <c r="Z2063" s="42"/>
      <c r="AA2063" s="42"/>
      <c r="AB2063" s="42" t="str">
        <f>IFERROR(__xludf.DUMMYFUNCTION("""COMPUTED_VALUE"""),"allen institute")</f>
        <v>allen institute</v>
      </c>
      <c r="AC2063" s="42" t="str">
        <f>IFERROR(__xludf.DUMMYFUNCTION("""COMPUTED_VALUE"""),"DHBA")</f>
        <v>DHBA</v>
      </c>
      <c r="AD2063" s="42"/>
      <c r="AE2063" s="42"/>
      <c r="AF2063" s="9"/>
      <c r="AG2063" s="9"/>
      <c r="AH2063" s="42"/>
      <c r="AI2063" s="42"/>
      <c r="AJ2063" s="42"/>
      <c r="AK2063" s="42"/>
      <c r="AL2063" s="42"/>
      <c r="AM2063" s="42"/>
      <c r="AN2063" s="42"/>
      <c r="AO2063" s="63" t="str">
        <f>IFERROR(__xludf.DUMMYFUNCTION("IF(ISBLANK(A2063),,IF(ISBLANK(S2063), A2063&amp;"";"", TEXTJOIN(CHAR(10), TRUE, A2063&amp;"";"", ARRAYFORMULA(VLOOKUP(SPLIT(S2063, "";"" &amp; CHAR(10)), $A:$AO, 41, FALSE)))))"),"Puli;
Pulil;
Pulim;")</f>
        <v>Puli;
Pulil;
Pulim;</v>
      </c>
      <c r="AP2063" s="89"/>
    </row>
    <row r="2064">
      <c r="A2064" s="151" t="str">
        <f>IFERROR(__xludf.DUMMYFUNCTION("""COMPUTED_VALUE"""),"Pulil")</f>
        <v>Pulil</v>
      </c>
      <c r="B2064" s="42" t="str">
        <f>IFERROR(__xludf.DUMMYFUNCTION("""COMPUTED_VALUE"""),"DHBA")</f>
        <v>DHBA</v>
      </c>
      <c r="C2064" s="42" t="str">
        <f>IFERROR(__xludf.DUMMYFUNCTION("""COMPUTED_VALUE"""),"lateral subdivision of Puli")</f>
        <v>lateral subdivision of Puli</v>
      </c>
      <c r="D2064" s="42">
        <f>IFERROR(__xludf.DUMMYFUNCTION("""COMPUTED_VALUE"""),1951.0)</f>
        <v>1951</v>
      </c>
      <c r="E2064" s="39" t="str">
        <f>IFERROR(__xludf.DUMMYFUNCTION("""COMPUTED_VALUE"""),"lateral subdivision of Puli")</f>
        <v>lateral subdivision of Puli</v>
      </c>
      <c r="F2064" s="9" t="str">
        <f>IFERROR(__xludf.DUMMYFUNCTION("""COMPUTED_VALUE"""),"Br")</f>
        <v>Br</v>
      </c>
      <c r="G2064" s="9" t="str">
        <f>IFERROR(__xludf.DUMMYFUNCTION("""COMPUTED_VALUE"""),"F")</f>
        <v>F</v>
      </c>
      <c r="H2064" s="9" t="str">
        <f>IFERROR(__xludf.DUMMYFUNCTION("""COMPUTED_VALUE"""),"FGM")</f>
        <v>FGM</v>
      </c>
      <c r="I2064" s="9" t="str">
        <f>IFERROR(__xludf.DUMMYFUNCTION("""COMPUTED_VALUE"""),"Die")</f>
        <v>Die</v>
      </c>
      <c r="J2064" s="9" t="str">
        <f>IFERROR(__xludf.DUMMYFUNCTION("""COMPUTED_VALUE"""),"THM")</f>
        <v>THM</v>
      </c>
      <c r="K2064" s="9" t="str">
        <f>IFERROR(__xludf.DUMMYFUNCTION("""COMPUTED_VALUE"""),"DTH")</f>
        <v>DTH</v>
      </c>
      <c r="L2064" s="9" t="str">
        <f>IFERROR(__xludf.DUMMYFUNCTION("""COMPUTED_VALUE"""),"LNC")</f>
        <v>LNC</v>
      </c>
      <c r="M2064" s="9" t="str">
        <f>IFERROR(__xludf.DUMMYFUNCTION("""COMPUTED_VALUE"""),"DLN")</f>
        <v>DLN</v>
      </c>
      <c r="N2064" s="9" t="str">
        <f>IFERROR(__xludf.DUMMYFUNCTION("""COMPUTED_VALUE"""),"Pul")</f>
        <v>Pul</v>
      </c>
      <c r="O2064" s="9" t="str">
        <f>IFERROR(__xludf.DUMMYFUNCTION("""COMPUTED_VALUE"""),"Puli")</f>
        <v>Puli</v>
      </c>
      <c r="P2064" s="9" t="str">
        <f>IFERROR(__xludf.DUMMYFUNCTION("""COMPUTED_VALUE"""),"Pulil")</f>
        <v>Pulil</v>
      </c>
      <c r="Q2064" s="9"/>
      <c r="R2064" s="9"/>
      <c r="S2064" s="42"/>
      <c r="T2064" s="42"/>
      <c r="U2064" s="42"/>
      <c r="V2064" s="42"/>
      <c r="W2064" s="42"/>
      <c r="X2064" s="42"/>
      <c r="Y2064" s="42"/>
      <c r="Z2064" s="42"/>
      <c r="AA2064" s="42"/>
      <c r="AB2064" s="42" t="str">
        <f>IFERROR(__xludf.DUMMYFUNCTION("""COMPUTED_VALUE"""),"allen institute")</f>
        <v>allen institute</v>
      </c>
      <c r="AC2064" s="42" t="str">
        <f>IFERROR(__xludf.DUMMYFUNCTION("""COMPUTED_VALUE"""),"DHBA")</f>
        <v>DHBA</v>
      </c>
      <c r="AD2064" s="42"/>
      <c r="AE2064" s="42"/>
      <c r="AF2064" s="9"/>
      <c r="AG2064" s="9"/>
      <c r="AH2064" s="42"/>
      <c r="AI2064" s="42"/>
      <c r="AJ2064" s="42"/>
      <c r="AK2064" s="42"/>
      <c r="AL2064" s="42"/>
      <c r="AM2064" s="42"/>
      <c r="AN2064" s="42"/>
      <c r="AO2064" s="63" t="str">
        <f>IFERROR(__xludf.DUMMYFUNCTION("IF(ISBLANK(A2064),,IF(ISBLANK(S2064), A2064&amp;"";"", TEXTJOIN(CHAR(10), TRUE, A2064&amp;"";"", ARRAYFORMULA(VLOOKUP(SPLIT(S2064, "";"" &amp; CHAR(10)), $A:$AO, 41, FALSE)))))"),"Pulil;")</f>
        <v>Pulil;</v>
      </c>
      <c r="AP2064" s="89"/>
    </row>
    <row r="2065">
      <c r="A2065" s="151" t="str">
        <f>IFERROR(__xludf.DUMMYFUNCTION("""COMPUTED_VALUE"""),"Pulim")</f>
        <v>Pulim</v>
      </c>
      <c r="B2065" s="42" t="str">
        <f>IFERROR(__xludf.DUMMYFUNCTION("""COMPUTED_VALUE"""),"DHBA")</f>
        <v>DHBA</v>
      </c>
      <c r="C2065" s="42" t="str">
        <f>IFERROR(__xludf.DUMMYFUNCTION("""COMPUTED_VALUE"""),"medial subdivision of Puli")</f>
        <v>medial subdivision of Puli</v>
      </c>
      <c r="D2065" s="42">
        <f>IFERROR(__xludf.DUMMYFUNCTION("""COMPUTED_VALUE"""),1952.0)</f>
        <v>1952</v>
      </c>
      <c r="E2065" s="39" t="str">
        <f>IFERROR(__xludf.DUMMYFUNCTION("""COMPUTED_VALUE"""),"medial subdivision of Puli")</f>
        <v>medial subdivision of Puli</v>
      </c>
      <c r="F2065" s="9" t="str">
        <f>IFERROR(__xludf.DUMMYFUNCTION("""COMPUTED_VALUE"""),"Br")</f>
        <v>Br</v>
      </c>
      <c r="G2065" s="9" t="str">
        <f>IFERROR(__xludf.DUMMYFUNCTION("""COMPUTED_VALUE"""),"F")</f>
        <v>F</v>
      </c>
      <c r="H2065" s="9" t="str">
        <f>IFERROR(__xludf.DUMMYFUNCTION("""COMPUTED_VALUE"""),"FGM")</f>
        <v>FGM</v>
      </c>
      <c r="I2065" s="9" t="str">
        <f>IFERROR(__xludf.DUMMYFUNCTION("""COMPUTED_VALUE"""),"Die")</f>
        <v>Die</v>
      </c>
      <c r="J2065" s="9" t="str">
        <f>IFERROR(__xludf.DUMMYFUNCTION("""COMPUTED_VALUE"""),"THM")</f>
        <v>THM</v>
      </c>
      <c r="K2065" s="9" t="str">
        <f>IFERROR(__xludf.DUMMYFUNCTION("""COMPUTED_VALUE"""),"DTH")</f>
        <v>DTH</v>
      </c>
      <c r="L2065" s="9" t="str">
        <f>IFERROR(__xludf.DUMMYFUNCTION("""COMPUTED_VALUE"""),"LNC")</f>
        <v>LNC</v>
      </c>
      <c r="M2065" s="9" t="str">
        <f>IFERROR(__xludf.DUMMYFUNCTION("""COMPUTED_VALUE"""),"DLN")</f>
        <v>DLN</v>
      </c>
      <c r="N2065" s="9" t="str">
        <f>IFERROR(__xludf.DUMMYFUNCTION("""COMPUTED_VALUE"""),"Pul")</f>
        <v>Pul</v>
      </c>
      <c r="O2065" s="9" t="str">
        <f>IFERROR(__xludf.DUMMYFUNCTION("""COMPUTED_VALUE"""),"Puli")</f>
        <v>Puli</v>
      </c>
      <c r="P2065" s="9" t="str">
        <f>IFERROR(__xludf.DUMMYFUNCTION("""COMPUTED_VALUE"""),"Pulim")</f>
        <v>Pulim</v>
      </c>
      <c r="Q2065" s="9"/>
      <c r="R2065" s="9"/>
      <c r="S2065" s="42"/>
      <c r="T2065" s="42"/>
      <c r="U2065" s="42"/>
      <c r="V2065" s="42"/>
      <c r="W2065" s="42"/>
      <c r="X2065" s="42"/>
      <c r="Y2065" s="42"/>
      <c r="Z2065" s="42"/>
      <c r="AA2065" s="42"/>
      <c r="AB2065" s="42" t="str">
        <f>IFERROR(__xludf.DUMMYFUNCTION("""COMPUTED_VALUE"""),"allen institute")</f>
        <v>allen institute</v>
      </c>
      <c r="AC2065" s="42" t="str">
        <f>IFERROR(__xludf.DUMMYFUNCTION("""COMPUTED_VALUE"""),"DHBA")</f>
        <v>DHBA</v>
      </c>
      <c r="AD2065" s="42"/>
      <c r="AE2065" s="42"/>
      <c r="AF2065" s="9"/>
      <c r="AG2065" s="9"/>
      <c r="AH2065" s="42"/>
      <c r="AI2065" s="42"/>
      <c r="AJ2065" s="42"/>
      <c r="AK2065" s="42"/>
      <c r="AL2065" s="42"/>
      <c r="AM2065" s="42"/>
      <c r="AN2065" s="42"/>
      <c r="AO2065" s="63" t="str">
        <f>IFERROR(__xludf.DUMMYFUNCTION("IF(ISBLANK(A2065),,IF(ISBLANK(S2065), A2065&amp;"";"", TEXTJOIN(CHAR(10), TRUE, A2065&amp;"";"", ARRAYFORMULA(VLOOKUP(SPLIT(S2065, "";"" &amp; CHAR(10)), $A:$AO, 41, FALSE)))))"),"Pulim;")</f>
        <v>Pulim;</v>
      </c>
      <c r="AP2065" s="89"/>
    </row>
    <row r="2066">
      <c r="A2066" s="151" t="str">
        <f>IFERROR(__xludf.DUMMYFUNCTION("""COMPUTED_VALUE"""),"VLN")</f>
        <v>VLN</v>
      </c>
      <c r="B2066" s="42" t="str">
        <f>IFERROR(__xludf.DUMMYFUNCTION("""COMPUTED_VALUE"""),"DHBA")</f>
        <v>DHBA</v>
      </c>
      <c r="C2066" s="42" t="str">
        <f>IFERROR(__xludf.DUMMYFUNCTION("""COMPUTED_VALUE"""),"ventral group of lateral nucleus")</f>
        <v>ventral group of lateral nucleus</v>
      </c>
      <c r="D2066" s="42">
        <f>IFERROR(__xludf.DUMMYFUNCTION("""COMPUTED_VALUE"""),1953.0)</f>
        <v>1953</v>
      </c>
      <c r="E2066" s="39" t="str">
        <f>IFERROR(__xludf.DUMMYFUNCTION("""COMPUTED_VALUE"""),"ventral group of lateral nucleus")</f>
        <v>ventral group of lateral nucleus</v>
      </c>
      <c r="F2066" s="9" t="str">
        <f>IFERROR(__xludf.DUMMYFUNCTION("""COMPUTED_VALUE"""),"Br")</f>
        <v>Br</v>
      </c>
      <c r="G2066" s="9" t="str">
        <f>IFERROR(__xludf.DUMMYFUNCTION("""COMPUTED_VALUE"""),"F")</f>
        <v>F</v>
      </c>
      <c r="H2066" s="9" t="str">
        <f>IFERROR(__xludf.DUMMYFUNCTION("""COMPUTED_VALUE"""),"FGM")</f>
        <v>FGM</v>
      </c>
      <c r="I2066" s="9" t="str">
        <f>IFERROR(__xludf.DUMMYFUNCTION("""COMPUTED_VALUE"""),"Die")</f>
        <v>Die</v>
      </c>
      <c r="J2066" s="9" t="str">
        <f>IFERROR(__xludf.DUMMYFUNCTION("""COMPUTED_VALUE"""),"THM")</f>
        <v>THM</v>
      </c>
      <c r="K2066" s="9" t="str">
        <f>IFERROR(__xludf.DUMMYFUNCTION("""COMPUTED_VALUE"""),"DTH")</f>
        <v>DTH</v>
      </c>
      <c r="L2066" s="9" t="str">
        <f>IFERROR(__xludf.DUMMYFUNCTION("""COMPUTED_VALUE"""),"LNC")</f>
        <v>LNC</v>
      </c>
      <c r="M2066" s="9" t="str">
        <f>IFERROR(__xludf.DUMMYFUNCTION("""COMPUTED_VALUE"""),"VLN")</f>
        <v>VLN</v>
      </c>
      <c r="N2066" s="9"/>
      <c r="O2066" s="9"/>
      <c r="P2066" s="9"/>
      <c r="Q2066" s="9"/>
      <c r="R2066" s="9"/>
      <c r="S2066" s="42" t="str">
        <f>IFERROR(__xludf.DUMMYFUNCTION("""COMPUTED_VALUE"""),"VA;
VL;
VPT;
VM")</f>
        <v>VA;
VL;
VPT;
VM</v>
      </c>
      <c r="T2066" s="42"/>
      <c r="U2066" s="42" t="b">
        <f>IFERROR(__xludf.DUMMYFUNCTION("""COMPUTED_VALUE"""),FALSE)</f>
        <v>0</v>
      </c>
      <c r="V2066" s="42"/>
      <c r="W2066" s="42"/>
      <c r="X2066" s="42"/>
      <c r="Y2066" s="42"/>
      <c r="Z2066" s="42"/>
      <c r="AA2066" s="42"/>
      <c r="AB2066" s="42" t="str">
        <f>IFERROR(__xludf.DUMMYFUNCTION("""COMPUTED_VALUE"""),"allen institute")</f>
        <v>allen institute</v>
      </c>
      <c r="AC2066" s="42" t="str">
        <f>IFERROR(__xludf.DUMMYFUNCTION("""COMPUTED_VALUE"""),"DHBA")</f>
        <v>DHBA</v>
      </c>
      <c r="AD2066" s="42"/>
      <c r="AE2066" s="42"/>
      <c r="AF2066" s="9"/>
      <c r="AG2066" s="9"/>
      <c r="AH2066" s="42"/>
      <c r="AI2066" s="42"/>
      <c r="AJ2066" s="42"/>
      <c r="AK2066" s="42"/>
      <c r="AL2066" s="42"/>
      <c r="AM2066" s="42"/>
      <c r="AN2066" s="42"/>
      <c r="AO2066" s="63" t="str">
        <f>IFERROR(__xludf.DUMMYFUNCTION("IF(ISBLANK(A2066),,IF(ISBLANK(S2066), A2066&amp;"";"", TEXTJOIN(CHAR(10), TRUE, A2066&amp;"";"", ARRAYFORMULA(VLOOKUP(SPLIT(S2066, "";"" &amp; CHAR(10)), $A:$AO, 41, FALSE)))))"),"VLN;
VA;
VA_core;
VA_matrix;
VApr;
VAmc;
VL;
VL_core;
VL_matrix;
VLR;
VLC;
VLCd;
VLCv;
VLCx;
VPT;
VPL;
VPLr;
VPLc;
VPM;
VPMpc;
VPI;
VMb;
VM;")</f>
        <v>VLN;
VA;
VA_core;
VA_matrix;
VApr;
VAmc;
VL;
VL_core;
VL_matrix;
VLR;
VLC;
VLCd;
VLCv;
VLCx;
VPT;
VPL;
VPLr;
VPLc;
VPM;
VPMpc;
VPI;
VMb;
VM;</v>
      </c>
      <c r="AP2066" s="89"/>
    </row>
    <row r="2067">
      <c r="A2067" s="151" t="str">
        <f>IFERROR(__xludf.DUMMYFUNCTION("""COMPUTED_VALUE"""),"VA")</f>
        <v>VA</v>
      </c>
      <c r="B2067" s="42" t="str">
        <f>IFERROR(__xludf.DUMMYFUNCTION("""COMPUTED_VALUE"""),"DHBA")</f>
        <v>DHBA</v>
      </c>
      <c r="C2067" s="42" t="str">
        <f>IFERROR(__xludf.DUMMYFUNCTION("""COMPUTED_VALUE"""),"ventral anterior nucleus of thalamus")</f>
        <v>ventral anterior nucleus of thalamus</v>
      </c>
      <c r="D2067" s="42">
        <f>IFERROR(__xludf.DUMMYFUNCTION("""COMPUTED_VALUE"""),1954.0)</f>
        <v>1954</v>
      </c>
      <c r="E2067" s="39" t="str">
        <f>IFERROR(__xludf.DUMMYFUNCTION("""COMPUTED_VALUE"""),"ventral anterior nucleus of thalamus")</f>
        <v>ventral anterior nucleus of thalamus</v>
      </c>
      <c r="F2067" s="9" t="str">
        <f>IFERROR(__xludf.DUMMYFUNCTION("""COMPUTED_VALUE"""),"Br")</f>
        <v>Br</v>
      </c>
      <c r="G2067" s="9" t="str">
        <f>IFERROR(__xludf.DUMMYFUNCTION("""COMPUTED_VALUE"""),"F")</f>
        <v>F</v>
      </c>
      <c r="H2067" s="9" t="str">
        <f>IFERROR(__xludf.DUMMYFUNCTION("""COMPUTED_VALUE"""),"FGM")</f>
        <v>FGM</v>
      </c>
      <c r="I2067" s="9" t="str">
        <f>IFERROR(__xludf.DUMMYFUNCTION("""COMPUTED_VALUE"""),"Die")</f>
        <v>Die</v>
      </c>
      <c r="J2067" s="9" t="str">
        <f>IFERROR(__xludf.DUMMYFUNCTION("""COMPUTED_VALUE"""),"THM")</f>
        <v>THM</v>
      </c>
      <c r="K2067" s="9" t="str">
        <f>IFERROR(__xludf.DUMMYFUNCTION("""COMPUTED_VALUE"""),"DTH")</f>
        <v>DTH</v>
      </c>
      <c r="L2067" s="9" t="str">
        <f>IFERROR(__xludf.DUMMYFUNCTION("""COMPUTED_VALUE"""),"LNC")</f>
        <v>LNC</v>
      </c>
      <c r="M2067" s="9" t="str">
        <f>IFERROR(__xludf.DUMMYFUNCTION("""COMPUTED_VALUE"""),"VLN")</f>
        <v>VLN</v>
      </c>
      <c r="N2067" s="9" t="str">
        <f>IFERROR(__xludf.DUMMYFUNCTION("""COMPUTED_VALUE"""),"VA")</f>
        <v>VA</v>
      </c>
      <c r="O2067" s="9"/>
      <c r="P2067" s="9"/>
      <c r="Q2067" s="9"/>
      <c r="R2067" s="9"/>
      <c r="S2067" s="42" t="str">
        <f>IFERROR(__xludf.DUMMYFUNCTION("""COMPUTED_VALUE"""),"VA_core;
VA_matrix;
VApr;
VAmc")</f>
        <v>VA_core;
VA_matrix;
VApr;
VAmc</v>
      </c>
      <c r="T2067" s="42" t="str">
        <f>IFERROR(__xludf.DUMMYFUNCTION("""COMPUTED_VALUE"""),"THM")</f>
        <v>THM</v>
      </c>
      <c r="U2067" s="42" t="b">
        <f>IFERROR(__xludf.DUMMYFUNCTION("""COMPUTED_VALUE"""),FALSE)</f>
        <v>0</v>
      </c>
      <c r="V2067" s="42"/>
      <c r="W2067" s="42" t="str">
        <f>IFERROR(__xludf.DUMMYFUNCTION("""COMPUTED_VALUE"""),"Excitatory")</f>
        <v>Excitatory</v>
      </c>
      <c r="X2067" s="42"/>
      <c r="Y2067" s="42"/>
      <c r="Z2067" s="42"/>
      <c r="AA2067" s="42"/>
      <c r="AB2067" s="42" t="str">
        <f>IFERROR(__xludf.DUMMYFUNCTION("""COMPUTED_VALUE"""),"allen institute")</f>
        <v>allen institute</v>
      </c>
      <c r="AC2067" s="42" t="str">
        <f>IFERROR(__xludf.DUMMYFUNCTION("""COMPUTED_VALUE"""),"DHBA")</f>
        <v>DHBA</v>
      </c>
      <c r="AD2067" s="42"/>
      <c r="AE2067" s="42"/>
      <c r="AF2067" s="9"/>
      <c r="AG2067" s="9"/>
      <c r="AH2067" s="42"/>
      <c r="AI2067" s="42"/>
      <c r="AJ2067" s="42"/>
      <c r="AK2067" s="42"/>
      <c r="AL2067" s="42"/>
      <c r="AM2067" s="42"/>
      <c r="AN2067" s="42"/>
      <c r="AO2067" s="63" t="str">
        <f>IFERROR(__xludf.DUMMYFUNCTION("IF(ISBLANK(A2067),,IF(ISBLANK(S2067), A2067&amp;"";"", TEXTJOIN(CHAR(10), TRUE, A2067&amp;"";"", ARRAYFORMULA(VLOOKUP(SPLIT(S2067, "";"" &amp; CHAR(10)), $A:$AO, 41, FALSE)))))"),"VA;
VA_core;
VA_matrix;
VApr;
VAmc;")</f>
        <v>VA;
VA_core;
VA_matrix;
VApr;
VAmc;</v>
      </c>
      <c r="AP2067" s="89"/>
    </row>
    <row r="2068">
      <c r="A2068" s="151" t="str">
        <f>IFERROR(__xludf.DUMMYFUNCTION("""COMPUTED_VALUE"""),"VA_core")</f>
        <v>VA_core</v>
      </c>
      <c r="B2068" s="42" t="str">
        <f>IFERROR(__xludf.DUMMYFUNCTION("""COMPUTED_VALUE"""),"makeshift")</f>
        <v>makeshift</v>
      </c>
      <c r="C2068" s="42" t="str">
        <f>IFERROR(__xludf.DUMMYFUNCTION("""COMPUTED_VALUE"""),"ventral anterior nucleus of thalamus, core type relay neuron")</f>
        <v>ventral anterior nucleus of thalamus, core type relay neuron</v>
      </c>
      <c r="D2068" s="42">
        <f>IFERROR(__xludf.DUMMYFUNCTION("""COMPUTED_VALUE"""),1954.1)</f>
        <v>1954.1</v>
      </c>
      <c r="E2068" s="39" t="str">
        <f>IFERROR(__xludf.DUMMYFUNCTION("""COMPUTED_VALUE"""),"")</f>
        <v/>
      </c>
      <c r="F2068" s="9" t="str">
        <f>IFERROR(__xludf.DUMMYFUNCTION("""COMPUTED_VALUE"""),"")</f>
        <v/>
      </c>
      <c r="G2068" s="9" t="str">
        <f>IFERROR(__xludf.DUMMYFUNCTION("""COMPUTED_VALUE"""),"")</f>
        <v/>
      </c>
      <c r="H2068" s="9" t="str">
        <f>IFERROR(__xludf.DUMMYFUNCTION("""COMPUTED_VALUE"""),"")</f>
        <v/>
      </c>
      <c r="I2068" s="9" t="str">
        <f>IFERROR(__xludf.DUMMYFUNCTION("""COMPUTED_VALUE"""),"")</f>
        <v/>
      </c>
      <c r="J2068" s="9" t="str">
        <f>IFERROR(__xludf.DUMMYFUNCTION("""COMPUTED_VALUE"""),"")</f>
        <v/>
      </c>
      <c r="K2068" s="9" t="str">
        <f>IFERROR(__xludf.DUMMYFUNCTION("""COMPUTED_VALUE"""),"")</f>
        <v/>
      </c>
      <c r="L2068" s="9" t="str">
        <f>IFERROR(__xludf.DUMMYFUNCTION("""COMPUTED_VALUE"""),"")</f>
        <v/>
      </c>
      <c r="M2068" s="9" t="str">
        <f>IFERROR(__xludf.DUMMYFUNCTION("""COMPUTED_VALUE"""),"")</f>
        <v/>
      </c>
      <c r="N2068" s="9" t="str">
        <f>IFERROR(__xludf.DUMMYFUNCTION("""COMPUTED_VALUE"""),"")</f>
        <v/>
      </c>
      <c r="O2068" s="9" t="str">
        <f>IFERROR(__xludf.DUMMYFUNCTION("""COMPUTED_VALUE"""),"")</f>
        <v/>
      </c>
      <c r="P2068" s="9" t="str">
        <f>IFERROR(__xludf.DUMMYFUNCTION("""COMPUTED_VALUE"""),"")</f>
        <v/>
      </c>
      <c r="Q2068" s="9" t="str">
        <f>IFERROR(__xludf.DUMMYFUNCTION("""COMPUTED_VALUE"""),"")</f>
        <v/>
      </c>
      <c r="R2068" s="9" t="str">
        <f>IFERROR(__xludf.DUMMYFUNCTION("""COMPUTED_VALUE"""),"")</f>
        <v/>
      </c>
      <c r="S2068" s="42"/>
      <c r="T2068" s="42" t="str">
        <f>IFERROR(__xludf.DUMMYFUNCTION("""COMPUTED_VALUE"""),"THM")</f>
        <v>THM</v>
      </c>
      <c r="U2068" s="42" t="b">
        <f>IFERROR(__xludf.DUMMYFUNCTION("""COMPUTED_VALUE"""),TRUE)</f>
        <v>1</v>
      </c>
      <c r="V2068" s="42"/>
      <c r="W2068" s="42" t="str">
        <f>IFERROR(__xludf.DUMMYFUNCTION("""COMPUTED_VALUE"""),"Excitatory")</f>
        <v>Excitatory</v>
      </c>
      <c r="X2068" s="42"/>
      <c r="Y2068" s="42" t="str">
        <f>IFERROR(__xludf.DUMMYFUNCTION("""COMPUTED_VALUE"""),"core relay neuron on thalamus -&gt; L4 or L3 of NCx")</f>
        <v>core relay neuron on thalamus -&gt; L4 or L3 of NCx</v>
      </c>
      <c r="Z2068" s="42"/>
      <c r="AA2068" s="42"/>
      <c r="AB2068" s="42" t="str">
        <f>IFERROR(__xludf.DUMMYFUNCTION("""COMPUTED_VALUE"""),"Hiroshi Yamakawa")</f>
        <v>Hiroshi Yamakawa</v>
      </c>
      <c r="AC2068" s="42" t="str">
        <f>IFERROR(__xludf.DUMMYFUNCTION("""COMPUTED_VALUE"""),"HY20Cerebellum")</f>
        <v>HY20Cerebellum</v>
      </c>
      <c r="AD2068" s="42"/>
      <c r="AE2068" s="42"/>
      <c r="AF2068" s="9"/>
      <c r="AG2068" s="9"/>
      <c r="AH2068" s="42"/>
      <c r="AI2068" s="42"/>
      <c r="AJ2068" s="42"/>
      <c r="AK2068" s="42"/>
      <c r="AL2068" s="42"/>
      <c r="AM2068" s="42"/>
      <c r="AN2068" s="42"/>
      <c r="AO2068" s="63" t="str">
        <f>IFERROR(__xludf.DUMMYFUNCTION("IF(ISBLANK(A2068),,IF(ISBLANK(S2068), A2068&amp;"";"", TEXTJOIN(CHAR(10), TRUE, A2068&amp;"";"", ARRAYFORMULA(VLOOKUP(SPLIT(S2068, "";"" &amp; CHAR(10)), $A:$AO, 41, FALSE)))))"),"VA_core;")</f>
        <v>VA_core;</v>
      </c>
      <c r="AP2068" s="89"/>
    </row>
    <row r="2069">
      <c r="A2069" s="151" t="str">
        <f>IFERROR(__xludf.DUMMYFUNCTION("""COMPUTED_VALUE"""),"VA_matrix")</f>
        <v>VA_matrix</v>
      </c>
      <c r="B2069" s="42" t="str">
        <f>IFERROR(__xludf.DUMMYFUNCTION("""COMPUTED_VALUE"""),"makeshift")</f>
        <v>makeshift</v>
      </c>
      <c r="C2069" s="42" t="str">
        <f>IFERROR(__xludf.DUMMYFUNCTION("""COMPUTED_VALUE"""),"ventral anterior nucleus of thalamus, matrix type relay neuron")</f>
        <v>ventral anterior nucleus of thalamus, matrix type relay neuron</v>
      </c>
      <c r="D2069" s="42">
        <f>IFERROR(__xludf.DUMMYFUNCTION("""COMPUTED_VALUE"""),1954.2)</f>
        <v>1954.2</v>
      </c>
      <c r="E2069" s="39" t="str">
        <f>IFERROR(__xludf.DUMMYFUNCTION("""COMPUTED_VALUE"""),"")</f>
        <v/>
      </c>
      <c r="F2069" s="9" t="str">
        <f>IFERROR(__xludf.DUMMYFUNCTION("""COMPUTED_VALUE"""),"")</f>
        <v/>
      </c>
      <c r="G2069" s="9" t="str">
        <f>IFERROR(__xludf.DUMMYFUNCTION("""COMPUTED_VALUE"""),"")</f>
        <v/>
      </c>
      <c r="H2069" s="9" t="str">
        <f>IFERROR(__xludf.DUMMYFUNCTION("""COMPUTED_VALUE"""),"")</f>
        <v/>
      </c>
      <c r="I2069" s="9" t="str">
        <f>IFERROR(__xludf.DUMMYFUNCTION("""COMPUTED_VALUE"""),"")</f>
        <v/>
      </c>
      <c r="J2069" s="9" t="str">
        <f>IFERROR(__xludf.DUMMYFUNCTION("""COMPUTED_VALUE"""),"")</f>
        <v/>
      </c>
      <c r="K2069" s="9" t="str">
        <f>IFERROR(__xludf.DUMMYFUNCTION("""COMPUTED_VALUE"""),"")</f>
        <v/>
      </c>
      <c r="L2069" s="9" t="str">
        <f>IFERROR(__xludf.DUMMYFUNCTION("""COMPUTED_VALUE"""),"")</f>
        <v/>
      </c>
      <c r="M2069" s="9" t="str">
        <f>IFERROR(__xludf.DUMMYFUNCTION("""COMPUTED_VALUE"""),"")</f>
        <v/>
      </c>
      <c r="N2069" s="9" t="str">
        <f>IFERROR(__xludf.DUMMYFUNCTION("""COMPUTED_VALUE"""),"")</f>
        <v/>
      </c>
      <c r="O2069" s="9" t="str">
        <f>IFERROR(__xludf.DUMMYFUNCTION("""COMPUTED_VALUE"""),"")</f>
        <v/>
      </c>
      <c r="P2069" s="9" t="str">
        <f>IFERROR(__xludf.DUMMYFUNCTION("""COMPUTED_VALUE"""),"")</f>
        <v/>
      </c>
      <c r="Q2069" s="9" t="str">
        <f>IFERROR(__xludf.DUMMYFUNCTION("""COMPUTED_VALUE"""),"")</f>
        <v/>
      </c>
      <c r="R2069" s="9" t="str">
        <f>IFERROR(__xludf.DUMMYFUNCTION("""COMPUTED_VALUE"""),"")</f>
        <v/>
      </c>
      <c r="S2069" s="42"/>
      <c r="T2069" s="42" t="str">
        <f>IFERROR(__xludf.DUMMYFUNCTION("""COMPUTED_VALUE"""),"THM")</f>
        <v>THM</v>
      </c>
      <c r="U2069" s="42" t="b">
        <f>IFERROR(__xludf.DUMMYFUNCTION("""COMPUTED_VALUE"""),TRUE)</f>
        <v>1</v>
      </c>
      <c r="V2069" s="42"/>
      <c r="W2069" s="42" t="str">
        <f>IFERROR(__xludf.DUMMYFUNCTION("""COMPUTED_VALUE"""),"Excitatory")</f>
        <v>Excitatory</v>
      </c>
      <c r="X2069" s="42"/>
      <c r="Y2069" s="42"/>
      <c r="Z2069" s="42"/>
      <c r="AA2069" s="42"/>
      <c r="AB2069" s="42" t="str">
        <f>IFERROR(__xludf.DUMMYFUNCTION("""COMPUTED_VALUE"""),"Hiroshi Yamakawa")</f>
        <v>Hiroshi Yamakawa</v>
      </c>
      <c r="AC2069" s="42" t="str">
        <f>IFERROR(__xludf.DUMMYFUNCTION("""COMPUTED_VALUE"""),"HY20Cerebellum")</f>
        <v>HY20Cerebellum</v>
      </c>
      <c r="AD2069" s="42"/>
      <c r="AE2069" s="42"/>
      <c r="AF2069" s="9"/>
      <c r="AG2069" s="9"/>
      <c r="AH2069" s="42"/>
      <c r="AI2069" s="42"/>
      <c r="AJ2069" s="42"/>
      <c r="AK2069" s="42"/>
      <c r="AL2069" s="42"/>
      <c r="AM2069" s="42"/>
      <c r="AN2069" s="42"/>
      <c r="AO2069" s="63" t="str">
        <f>IFERROR(__xludf.DUMMYFUNCTION("IF(ISBLANK(A2069),,IF(ISBLANK(S2069), A2069&amp;"";"", TEXTJOIN(CHAR(10), TRUE, A2069&amp;"";"", ARRAYFORMULA(VLOOKUP(SPLIT(S2069, "";"" &amp; CHAR(10)), $A:$AO, 41, FALSE)))))"),"VA_matrix;")</f>
        <v>VA_matrix;</v>
      </c>
      <c r="AP2069" s="89"/>
    </row>
    <row r="2070">
      <c r="A2070" s="151" t="str">
        <f>IFERROR(__xludf.DUMMYFUNCTION("""COMPUTED_VALUE"""),"VApr")</f>
        <v>VApr</v>
      </c>
      <c r="B2070" s="42" t="str">
        <f>IFERROR(__xludf.DUMMYFUNCTION("""COMPUTED_VALUE"""),"DHBA")</f>
        <v>DHBA</v>
      </c>
      <c r="C2070" s="42" t="str">
        <f>IFERROR(__xludf.DUMMYFUNCTION("""COMPUTED_VALUE"""),"parvocellular division of VA")</f>
        <v>parvocellular division of VA</v>
      </c>
      <c r="D2070" s="42">
        <f>IFERROR(__xludf.DUMMYFUNCTION("""COMPUTED_VALUE"""),1955.0)</f>
        <v>1955</v>
      </c>
      <c r="E2070" s="39" t="str">
        <f>IFERROR(__xludf.DUMMYFUNCTION("""COMPUTED_VALUE"""),"parvocellular division of VA")</f>
        <v>parvocellular division of VA</v>
      </c>
      <c r="F2070" s="9" t="str">
        <f>IFERROR(__xludf.DUMMYFUNCTION("""COMPUTED_VALUE"""),"Br")</f>
        <v>Br</v>
      </c>
      <c r="G2070" s="9" t="str">
        <f>IFERROR(__xludf.DUMMYFUNCTION("""COMPUTED_VALUE"""),"F")</f>
        <v>F</v>
      </c>
      <c r="H2070" s="9" t="str">
        <f>IFERROR(__xludf.DUMMYFUNCTION("""COMPUTED_VALUE"""),"FGM")</f>
        <v>FGM</v>
      </c>
      <c r="I2070" s="9" t="str">
        <f>IFERROR(__xludf.DUMMYFUNCTION("""COMPUTED_VALUE"""),"Die")</f>
        <v>Die</v>
      </c>
      <c r="J2070" s="9" t="str">
        <f>IFERROR(__xludf.DUMMYFUNCTION("""COMPUTED_VALUE"""),"THM")</f>
        <v>THM</v>
      </c>
      <c r="K2070" s="9" t="str">
        <f>IFERROR(__xludf.DUMMYFUNCTION("""COMPUTED_VALUE"""),"DTH")</f>
        <v>DTH</v>
      </c>
      <c r="L2070" s="9" t="str">
        <f>IFERROR(__xludf.DUMMYFUNCTION("""COMPUTED_VALUE"""),"LNC")</f>
        <v>LNC</v>
      </c>
      <c r="M2070" s="9" t="str">
        <f>IFERROR(__xludf.DUMMYFUNCTION("""COMPUTED_VALUE"""),"VLN")</f>
        <v>VLN</v>
      </c>
      <c r="N2070" s="9" t="str">
        <f>IFERROR(__xludf.DUMMYFUNCTION("""COMPUTED_VALUE"""),"VA")</f>
        <v>VA</v>
      </c>
      <c r="O2070" s="9" t="str">
        <f>IFERROR(__xludf.DUMMYFUNCTION("""COMPUTED_VALUE"""),"VApr")</f>
        <v>VApr</v>
      </c>
      <c r="P2070" s="9"/>
      <c r="Q2070" s="9"/>
      <c r="R2070" s="9"/>
      <c r="S2070" s="42"/>
      <c r="T2070" s="42"/>
      <c r="U2070" s="42"/>
      <c r="V2070" s="42"/>
      <c r="W2070" s="42"/>
      <c r="X2070" s="42"/>
      <c r="Y2070" s="42"/>
      <c r="Z2070" s="42"/>
      <c r="AA2070" s="42"/>
      <c r="AB2070" s="42" t="str">
        <f>IFERROR(__xludf.DUMMYFUNCTION("""COMPUTED_VALUE"""),"allen institute")</f>
        <v>allen institute</v>
      </c>
      <c r="AC2070" s="42" t="str">
        <f>IFERROR(__xludf.DUMMYFUNCTION("""COMPUTED_VALUE"""),"DHBA")</f>
        <v>DHBA</v>
      </c>
      <c r="AD2070" s="42"/>
      <c r="AE2070" s="42"/>
      <c r="AF2070" s="9"/>
      <c r="AG2070" s="9"/>
      <c r="AH2070" s="42"/>
      <c r="AI2070" s="42"/>
      <c r="AJ2070" s="42"/>
      <c r="AK2070" s="42"/>
      <c r="AL2070" s="42"/>
      <c r="AM2070" s="42"/>
      <c r="AN2070" s="42"/>
      <c r="AO2070" s="63" t="str">
        <f>IFERROR(__xludf.DUMMYFUNCTION("IF(ISBLANK(A2070),,IF(ISBLANK(S2070), A2070&amp;"";"", TEXTJOIN(CHAR(10), TRUE, A2070&amp;"";"", ARRAYFORMULA(VLOOKUP(SPLIT(S2070, "";"" &amp; CHAR(10)), $A:$AO, 41, FALSE)))))"),"VApr;")</f>
        <v>VApr;</v>
      </c>
      <c r="AP2070" s="89"/>
    </row>
    <row r="2071">
      <c r="A2071" s="151" t="str">
        <f>IFERROR(__xludf.DUMMYFUNCTION("""COMPUTED_VALUE"""),"VAmc")</f>
        <v>VAmc</v>
      </c>
      <c r="B2071" s="42" t="str">
        <f>IFERROR(__xludf.DUMMYFUNCTION("""COMPUTED_VALUE"""),"DHBA")</f>
        <v>DHBA</v>
      </c>
      <c r="C2071" s="42" t="str">
        <f>IFERROR(__xludf.DUMMYFUNCTION("""COMPUTED_VALUE"""),"magnocellular division of VA")</f>
        <v>magnocellular division of VA</v>
      </c>
      <c r="D2071" s="42">
        <f>IFERROR(__xludf.DUMMYFUNCTION("""COMPUTED_VALUE"""),1956.0)</f>
        <v>1956</v>
      </c>
      <c r="E2071" s="39" t="str">
        <f>IFERROR(__xludf.DUMMYFUNCTION("""COMPUTED_VALUE"""),"magnocellular division of VA")</f>
        <v>magnocellular division of VA</v>
      </c>
      <c r="F2071" s="9" t="str">
        <f>IFERROR(__xludf.DUMMYFUNCTION("""COMPUTED_VALUE"""),"Br")</f>
        <v>Br</v>
      </c>
      <c r="G2071" s="9" t="str">
        <f>IFERROR(__xludf.DUMMYFUNCTION("""COMPUTED_VALUE"""),"F")</f>
        <v>F</v>
      </c>
      <c r="H2071" s="9" t="str">
        <f>IFERROR(__xludf.DUMMYFUNCTION("""COMPUTED_VALUE"""),"FGM")</f>
        <v>FGM</v>
      </c>
      <c r="I2071" s="9" t="str">
        <f>IFERROR(__xludf.DUMMYFUNCTION("""COMPUTED_VALUE"""),"Die")</f>
        <v>Die</v>
      </c>
      <c r="J2071" s="9" t="str">
        <f>IFERROR(__xludf.DUMMYFUNCTION("""COMPUTED_VALUE"""),"THM")</f>
        <v>THM</v>
      </c>
      <c r="K2071" s="9" t="str">
        <f>IFERROR(__xludf.DUMMYFUNCTION("""COMPUTED_VALUE"""),"DTH")</f>
        <v>DTH</v>
      </c>
      <c r="L2071" s="9" t="str">
        <f>IFERROR(__xludf.DUMMYFUNCTION("""COMPUTED_VALUE"""),"LNC")</f>
        <v>LNC</v>
      </c>
      <c r="M2071" s="9" t="str">
        <f>IFERROR(__xludf.DUMMYFUNCTION("""COMPUTED_VALUE"""),"VLN")</f>
        <v>VLN</v>
      </c>
      <c r="N2071" s="9" t="str">
        <f>IFERROR(__xludf.DUMMYFUNCTION("""COMPUTED_VALUE"""),"VA")</f>
        <v>VA</v>
      </c>
      <c r="O2071" s="9" t="str">
        <f>IFERROR(__xludf.DUMMYFUNCTION("""COMPUTED_VALUE"""),"VAmc")</f>
        <v>VAmc</v>
      </c>
      <c r="P2071" s="9"/>
      <c r="Q2071" s="9"/>
      <c r="R2071" s="9"/>
      <c r="S2071" s="42"/>
      <c r="T2071" s="42" t="str">
        <f>IFERROR(__xludf.DUMMYFUNCTION("""COMPUTED_VALUE"""),"VA")</f>
        <v>VA</v>
      </c>
      <c r="U2071" s="42" t="b">
        <f>IFERROR(__xludf.DUMMYFUNCTION("""COMPUTED_VALUE"""),FALSE)</f>
        <v>0</v>
      </c>
      <c r="V2071" s="42"/>
      <c r="W2071" s="42"/>
      <c r="X2071" s="42"/>
      <c r="Y2071" s="42"/>
      <c r="Z2071" s="42"/>
      <c r="AA2071" s="42"/>
      <c r="AB2071" s="42" t="str">
        <f>IFERROR(__xludf.DUMMYFUNCTION("""COMPUTED_VALUE"""),"allen institute")</f>
        <v>allen institute</v>
      </c>
      <c r="AC2071" s="42" t="str">
        <f>IFERROR(__xludf.DUMMYFUNCTION("""COMPUTED_VALUE"""),"DHBA")</f>
        <v>DHBA</v>
      </c>
      <c r="AD2071" s="42"/>
      <c r="AE2071" s="42"/>
      <c r="AF2071" s="9"/>
      <c r="AG2071" s="9"/>
      <c r="AH2071" s="42"/>
      <c r="AI2071" s="42"/>
      <c r="AJ2071" s="42"/>
      <c r="AK2071" s="42"/>
      <c r="AL2071" s="42"/>
      <c r="AM2071" s="42"/>
      <c r="AN2071" s="42"/>
      <c r="AO2071" s="63" t="str">
        <f>IFERROR(__xludf.DUMMYFUNCTION("IF(ISBLANK(A2071),,IF(ISBLANK(S2071), A2071&amp;"";"", TEXTJOIN(CHAR(10), TRUE, A2071&amp;"";"", ARRAYFORMULA(VLOOKUP(SPLIT(S2071, "";"" &amp; CHAR(10)), $A:$AO, 41, FALSE)))))"),"VAmc;")</f>
        <v>VAmc;</v>
      </c>
      <c r="AP2071" s="89"/>
    </row>
    <row r="2072">
      <c r="A2072" s="151" t="str">
        <f>IFERROR(__xludf.DUMMYFUNCTION("""COMPUTED_VALUE"""),"VL")</f>
        <v>VL</v>
      </c>
      <c r="B2072" s="42" t="str">
        <f>IFERROR(__xludf.DUMMYFUNCTION("""COMPUTED_VALUE"""),"DHBA")</f>
        <v>DHBA</v>
      </c>
      <c r="C2072" s="42" t="str">
        <f>IFERROR(__xludf.DUMMYFUNCTION("""COMPUTED_VALUE"""),"ventral lateral nucleus of thalamus")</f>
        <v>ventral lateral nucleus of thalamus</v>
      </c>
      <c r="D2072" s="42">
        <f>IFERROR(__xludf.DUMMYFUNCTION("""COMPUTED_VALUE"""),1957.0)</f>
        <v>1957</v>
      </c>
      <c r="E2072" s="39" t="str">
        <f>IFERROR(__xludf.DUMMYFUNCTION("""COMPUTED_VALUE"""),"ventral lateral nucleus of thalamus")</f>
        <v>ventral lateral nucleus of thalamus</v>
      </c>
      <c r="F2072" s="9" t="str">
        <f>IFERROR(__xludf.DUMMYFUNCTION("""COMPUTED_VALUE"""),"Br")</f>
        <v>Br</v>
      </c>
      <c r="G2072" s="9" t="str">
        <f>IFERROR(__xludf.DUMMYFUNCTION("""COMPUTED_VALUE"""),"F")</f>
        <v>F</v>
      </c>
      <c r="H2072" s="9" t="str">
        <f>IFERROR(__xludf.DUMMYFUNCTION("""COMPUTED_VALUE"""),"FGM")</f>
        <v>FGM</v>
      </c>
      <c r="I2072" s="9" t="str">
        <f>IFERROR(__xludf.DUMMYFUNCTION("""COMPUTED_VALUE"""),"Die")</f>
        <v>Die</v>
      </c>
      <c r="J2072" s="9" t="str">
        <f>IFERROR(__xludf.DUMMYFUNCTION("""COMPUTED_VALUE"""),"THM")</f>
        <v>THM</v>
      </c>
      <c r="K2072" s="9" t="str">
        <f>IFERROR(__xludf.DUMMYFUNCTION("""COMPUTED_VALUE"""),"DTH")</f>
        <v>DTH</v>
      </c>
      <c r="L2072" s="9" t="str">
        <f>IFERROR(__xludf.DUMMYFUNCTION("""COMPUTED_VALUE"""),"LNC")</f>
        <v>LNC</v>
      </c>
      <c r="M2072" s="9" t="str">
        <f>IFERROR(__xludf.DUMMYFUNCTION("""COMPUTED_VALUE"""),"VLN")</f>
        <v>VLN</v>
      </c>
      <c r="N2072" s="9" t="str">
        <f>IFERROR(__xludf.DUMMYFUNCTION("""COMPUTED_VALUE"""),"VL")</f>
        <v>VL</v>
      </c>
      <c r="O2072" s="9"/>
      <c r="P2072" s="9"/>
      <c r="Q2072" s="9"/>
      <c r="R2072" s="9"/>
      <c r="S2072" s="42" t="str">
        <f>IFERROR(__xludf.DUMMYFUNCTION("""COMPUTED_VALUE"""),"VL_core;
VL_matrix;
VLR;
VLC")</f>
        <v>VL_core;
VL_matrix;
VLR;
VLC</v>
      </c>
      <c r="T2072" s="42" t="str">
        <f>IFERROR(__xludf.DUMMYFUNCTION("""COMPUTED_VALUE"""),"THM")</f>
        <v>THM</v>
      </c>
      <c r="U2072" s="42" t="b">
        <f>IFERROR(__xludf.DUMMYFUNCTION("""COMPUTED_VALUE"""),FALSE)</f>
        <v>0</v>
      </c>
      <c r="V2072" s="42"/>
      <c r="W2072" s="42" t="str">
        <f>IFERROR(__xludf.DUMMYFUNCTION("""COMPUTED_VALUE"""),"Excitatory")</f>
        <v>Excitatory</v>
      </c>
      <c r="X2072" s="42"/>
      <c r="Y2072" s="42"/>
      <c r="Z2072" s="42"/>
      <c r="AA2072" s="42"/>
      <c r="AB2072" s="42" t="str">
        <f>IFERROR(__xludf.DUMMYFUNCTION("""COMPUTED_VALUE"""),"allen institute")</f>
        <v>allen institute</v>
      </c>
      <c r="AC2072" s="42" t="str">
        <f>IFERROR(__xludf.DUMMYFUNCTION("""COMPUTED_VALUE"""),"DHBA")</f>
        <v>DHBA</v>
      </c>
      <c r="AD2072" s="42"/>
      <c r="AE2072" s="42"/>
      <c r="AF2072" s="9"/>
      <c r="AG2072" s="9"/>
      <c r="AH2072" s="42"/>
      <c r="AI2072" s="42"/>
      <c r="AJ2072" s="42"/>
      <c r="AK2072" s="42"/>
      <c r="AL2072" s="42"/>
      <c r="AM2072" s="42"/>
      <c r="AN2072" s="42"/>
      <c r="AO2072" s="63" t="str">
        <f>IFERROR(__xludf.DUMMYFUNCTION("IF(ISBLANK(A2072),,IF(ISBLANK(S2072), A2072&amp;"";"", TEXTJOIN(CHAR(10), TRUE, A2072&amp;"";"", ARRAYFORMULA(VLOOKUP(SPLIT(S2072, "";"" &amp; CHAR(10)), $A:$AO, 41, FALSE)))))"),"VL;
VL_core;
VL_matrix;
VLR;
VLC;
VLCd;
VLCv;
VLCx;")</f>
        <v>VL;
VL_core;
VL_matrix;
VLR;
VLC;
VLCd;
VLCv;
VLCx;</v>
      </c>
      <c r="AP2072" s="89"/>
    </row>
    <row r="2073">
      <c r="A2073" s="151" t="str">
        <f>IFERROR(__xludf.DUMMYFUNCTION("""COMPUTED_VALUE"""),"VL_core")</f>
        <v>VL_core</v>
      </c>
      <c r="B2073" s="42" t="str">
        <f>IFERROR(__xludf.DUMMYFUNCTION("""COMPUTED_VALUE"""),"makeshift")</f>
        <v>makeshift</v>
      </c>
      <c r="C2073" s="42" t="str">
        <f>IFERROR(__xludf.DUMMYFUNCTION("""COMPUTED_VALUE"""),"ventral lateral nucleus of thalamus, core type relay neuron")</f>
        <v>ventral lateral nucleus of thalamus, core type relay neuron</v>
      </c>
      <c r="D2073" s="42">
        <f>IFERROR(__xludf.DUMMYFUNCTION("""COMPUTED_VALUE"""),1957.1)</f>
        <v>1957.1</v>
      </c>
      <c r="E2073" s="39" t="str">
        <f>IFERROR(__xludf.DUMMYFUNCTION("""COMPUTED_VALUE"""),"")</f>
        <v/>
      </c>
      <c r="F2073" s="9" t="str">
        <f>IFERROR(__xludf.DUMMYFUNCTION("""COMPUTED_VALUE"""),"")</f>
        <v/>
      </c>
      <c r="G2073" s="9" t="str">
        <f>IFERROR(__xludf.DUMMYFUNCTION("""COMPUTED_VALUE"""),"")</f>
        <v/>
      </c>
      <c r="H2073" s="9" t="str">
        <f>IFERROR(__xludf.DUMMYFUNCTION("""COMPUTED_VALUE"""),"")</f>
        <v/>
      </c>
      <c r="I2073" s="9" t="str">
        <f>IFERROR(__xludf.DUMMYFUNCTION("""COMPUTED_VALUE"""),"")</f>
        <v/>
      </c>
      <c r="J2073" s="9" t="str">
        <f>IFERROR(__xludf.DUMMYFUNCTION("""COMPUTED_VALUE"""),"")</f>
        <v/>
      </c>
      <c r="K2073" s="9" t="str">
        <f>IFERROR(__xludf.DUMMYFUNCTION("""COMPUTED_VALUE"""),"")</f>
        <v/>
      </c>
      <c r="L2073" s="9" t="str">
        <f>IFERROR(__xludf.DUMMYFUNCTION("""COMPUTED_VALUE"""),"")</f>
        <v/>
      </c>
      <c r="M2073" s="9" t="str">
        <f>IFERROR(__xludf.DUMMYFUNCTION("""COMPUTED_VALUE"""),"")</f>
        <v/>
      </c>
      <c r="N2073" s="9" t="str">
        <f>IFERROR(__xludf.DUMMYFUNCTION("""COMPUTED_VALUE"""),"")</f>
        <v/>
      </c>
      <c r="O2073" s="9" t="str">
        <f>IFERROR(__xludf.DUMMYFUNCTION("""COMPUTED_VALUE"""),"")</f>
        <v/>
      </c>
      <c r="P2073" s="9" t="str">
        <f>IFERROR(__xludf.DUMMYFUNCTION("""COMPUTED_VALUE"""),"")</f>
        <v/>
      </c>
      <c r="Q2073" s="9" t="str">
        <f>IFERROR(__xludf.DUMMYFUNCTION("""COMPUTED_VALUE"""),"")</f>
        <v/>
      </c>
      <c r="R2073" s="9" t="str">
        <f>IFERROR(__xludf.DUMMYFUNCTION("""COMPUTED_VALUE"""),"")</f>
        <v/>
      </c>
      <c r="S2073" s="42"/>
      <c r="T2073" s="42" t="str">
        <f>IFERROR(__xludf.DUMMYFUNCTION("""COMPUTED_VALUE"""),"THM")</f>
        <v>THM</v>
      </c>
      <c r="U2073" s="159" t="b">
        <f>IFERROR(__xludf.DUMMYFUNCTION("""COMPUTED_VALUE"""),TRUE)</f>
        <v>1</v>
      </c>
      <c r="V2073" s="42"/>
      <c r="W2073" s="42" t="str">
        <f>IFERROR(__xludf.DUMMYFUNCTION("""COMPUTED_VALUE"""),"Excitatory")</f>
        <v>Excitatory</v>
      </c>
      <c r="X2073" s="42"/>
      <c r="Y2073" s="42" t="str">
        <f>IFERROR(__xludf.DUMMYFUNCTION("""COMPUTED_VALUE"""),"core relay neuron on thalamus -&gt; L4 or L3 of NCx")</f>
        <v>core relay neuron on thalamus -&gt; L4 or L3 of NCx</v>
      </c>
      <c r="Z2073" s="42"/>
      <c r="AA2073" s="42"/>
      <c r="AB2073" s="42" t="str">
        <f>IFERROR(__xludf.DUMMYFUNCTION("""COMPUTED_VALUE"""),"Hiroshi Yamakawa")</f>
        <v>Hiroshi Yamakawa</v>
      </c>
      <c r="AC2073" s="42" t="str">
        <f>IFERROR(__xludf.DUMMYFUNCTION("""COMPUTED_VALUE"""),"HY20Cerebellum")</f>
        <v>HY20Cerebellum</v>
      </c>
      <c r="AD2073" s="42"/>
      <c r="AE2073" s="42"/>
      <c r="AF2073" s="9"/>
      <c r="AG2073" s="9"/>
      <c r="AH2073" s="42"/>
      <c r="AI2073" s="42"/>
      <c r="AJ2073" s="42"/>
      <c r="AK2073" s="42"/>
      <c r="AL2073" s="42"/>
      <c r="AM2073" s="42"/>
      <c r="AN2073" s="42"/>
      <c r="AO2073" s="63" t="str">
        <f>IFERROR(__xludf.DUMMYFUNCTION("IF(ISBLANK(A2073),,IF(ISBLANK(S2073), A2073&amp;"";"", TEXTJOIN(CHAR(10), TRUE, A2073&amp;"";"", ARRAYFORMULA(VLOOKUP(SPLIT(S2073, "";"" &amp; CHAR(10)), $A:$AO, 41, FALSE)))))"),"VL_core;")</f>
        <v>VL_core;</v>
      </c>
      <c r="AP2073" s="89"/>
    </row>
    <row r="2074">
      <c r="A2074" s="151" t="str">
        <f>IFERROR(__xludf.DUMMYFUNCTION("""COMPUTED_VALUE"""),"VL_matrix")</f>
        <v>VL_matrix</v>
      </c>
      <c r="B2074" s="42" t="str">
        <f>IFERROR(__xludf.DUMMYFUNCTION("""COMPUTED_VALUE"""),"makeshift")</f>
        <v>makeshift</v>
      </c>
      <c r="C2074" s="42" t="str">
        <f>IFERROR(__xludf.DUMMYFUNCTION("""COMPUTED_VALUE"""),"ventral lateral nucleus of thalamus, matrix type relay neuron")</f>
        <v>ventral lateral nucleus of thalamus, matrix type relay neuron</v>
      </c>
      <c r="D2074" s="42">
        <f>IFERROR(__xludf.DUMMYFUNCTION("""COMPUTED_VALUE"""),1957.2)</f>
        <v>1957.2</v>
      </c>
      <c r="E2074" s="39" t="str">
        <f>IFERROR(__xludf.DUMMYFUNCTION("""COMPUTED_VALUE"""),"")</f>
        <v/>
      </c>
      <c r="F2074" s="9" t="str">
        <f>IFERROR(__xludf.DUMMYFUNCTION("""COMPUTED_VALUE"""),"")</f>
        <v/>
      </c>
      <c r="G2074" s="9" t="str">
        <f>IFERROR(__xludf.DUMMYFUNCTION("""COMPUTED_VALUE"""),"")</f>
        <v/>
      </c>
      <c r="H2074" s="9" t="str">
        <f>IFERROR(__xludf.DUMMYFUNCTION("""COMPUTED_VALUE"""),"")</f>
        <v/>
      </c>
      <c r="I2074" s="9" t="str">
        <f>IFERROR(__xludf.DUMMYFUNCTION("""COMPUTED_VALUE"""),"")</f>
        <v/>
      </c>
      <c r="J2074" s="9" t="str">
        <f>IFERROR(__xludf.DUMMYFUNCTION("""COMPUTED_VALUE"""),"")</f>
        <v/>
      </c>
      <c r="K2074" s="9" t="str">
        <f>IFERROR(__xludf.DUMMYFUNCTION("""COMPUTED_VALUE"""),"")</f>
        <v/>
      </c>
      <c r="L2074" s="9" t="str">
        <f>IFERROR(__xludf.DUMMYFUNCTION("""COMPUTED_VALUE"""),"")</f>
        <v/>
      </c>
      <c r="M2074" s="9" t="str">
        <f>IFERROR(__xludf.DUMMYFUNCTION("""COMPUTED_VALUE"""),"")</f>
        <v/>
      </c>
      <c r="N2074" s="9" t="str">
        <f>IFERROR(__xludf.DUMMYFUNCTION("""COMPUTED_VALUE"""),"")</f>
        <v/>
      </c>
      <c r="O2074" s="9" t="str">
        <f>IFERROR(__xludf.DUMMYFUNCTION("""COMPUTED_VALUE"""),"")</f>
        <v/>
      </c>
      <c r="P2074" s="9" t="str">
        <f>IFERROR(__xludf.DUMMYFUNCTION("""COMPUTED_VALUE"""),"")</f>
        <v/>
      </c>
      <c r="Q2074" s="9" t="str">
        <f>IFERROR(__xludf.DUMMYFUNCTION("""COMPUTED_VALUE"""),"")</f>
        <v/>
      </c>
      <c r="R2074" s="9" t="str">
        <f>IFERROR(__xludf.DUMMYFUNCTION("""COMPUTED_VALUE"""),"")</f>
        <v/>
      </c>
      <c r="S2074" s="42"/>
      <c r="T2074" s="42" t="str">
        <f>IFERROR(__xludf.DUMMYFUNCTION("""COMPUTED_VALUE"""),"THM")</f>
        <v>THM</v>
      </c>
      <c r="U2074" s="159" t="b">
        <f>IFERROR(__xludf.DUMMYFUNCTION("""COMPUTED_VALUE"""),TRUE)</f>
        <v>1</v>
      </c>
      <c r="V2074" s="42"/>
      <c r="W2074" s="42" t="str">
        <f>IFERROR(__xludf.DUMMYFUNCTION("""COMPUTED_VALUE"""),"Excitatory")</f>
        <v>Excitatory</v>
      </c>
      <c r="X2074" s="42"/>
      <c r="Y2074" s="42"/>
      <c r="Z2074" s="42"/>
      <c r="AA2074" s="42"/>
      <c r="AB2074" s="42" t="str">
        <f>IFERROR(__xludf.DUMMYFUNCTION("""COMPUTED_VALUE"""),"Hiroshi Yamakawa")</f>
        <v>Hiroshi Yamakawa</v>
      </c>
      <c r="AC2074" s="42" t="str">
        <f>IFERROR(__xludf.DUMMYFUNCTION("""COMPUTED_VALUE"""),"HY20Cerebellum")</f>
        <v>HY20Cerebellum</v>
      </c>
      <c r="AD2074" s="42"/>
      <c r="AE2074" s="42"/>
      <c r="AF2074" s="9"/>
      <c r="AG2074" s="9"/>
      <c r="AH2074" s="42"/>
      <c r="AI2074" s="42"/>
      <c r="AJ2074" s="42"/>
      <c r="AK2074" s="42"/>
      <c r="AL2074" s="42"/>
      <c r="AM2074" s="42"/>
      <c r="AN2074" s="42"/>
      <c r="AO2074" s="63" t="str">
        <f>IFERROR(__xludf.DUMMYFUNCTION("IF(ISBLANK(A2074),,IF(ISBLANK(S2074), A2074&amp;"";"", TEXTJOIN(CHAR(10), TRUE, A2074&amp;"";"", ARRAYFORMULA(VLOOKUP(SPLIT(S2074, "";"" &amp; CHAR(10)), $A:$AO, 41, FALSE)))))"),"VL_matrix;")</f>
        <v>VL_matrix;</v>
      </c>
      <c r="AP2074" s="89"/>
    </row>
    <row r="2075">
      <c r="A2075" s="151" t="str">
        <f>IFERROR(__xludf.DUMMYFUNCTION("""COMPUTED_VALUE"""),"VLR")</f>
        <v>VLR</v>
      </c>
      <c r="B2075" s="42" t="str">
        <f>IFERROR(__xludf.DUMMYFUNCTION("""COMPUTED_VALUE"""),"DHBA")</f>
        <v>DHBA</v>
      </c>
      <c r="C2075" s="42" t="str">
        <f>IFERROR(__xludf.DUMMYFUNCTION("""COMPUTED_VALUE"""),"rostral division of VL")</f>
        <v>rostral division of VL</v>
      </c>
      <c r="D2075" s="42">
        <f>IFERROR(__xludf.DUMMYFUNCTION("""COMPUTED_VALUE"""),1958.0)</f>
        <v>1958</v>
      </c>
      <c r="E2075" s="39" t="str">
        <f>IFERROR(__xludf.DUMMYFUNCTION("""COMPUTED_VALUE"""),"rostral division of VL")</f>
        <v>rostral division of VL</v>
      </c>
      <c r="F2075" s="9" t="str">
        <f>IFERROR(__xludf.DUMMYFUNCTION("""COMPUTED_VALUE"""),"Br")</f>
        <v>Br</v>
      </c>
      <c r="G2075" s="9" t="str">
        <f>IFERROR(__xludf.DUMMYFUNCTION("""COMPUTED_VALUE"""),"F")</f>
        <v>F</v>
      </c>
      <c r="H2075" s="9" t="str">
        <f>IFERROR(__xludf.DUMMYFUNCTION("""COMPUTED_VALUE"""),"FGM")</f>
        <v>FGM</v>
      </c>
      <c r="I2075" s="9" t="str">
        <f>IFERROR(__xludf.DUMMYFUNCTION("""COMPUTED_VALUE"""),"Die")</f>
        <v>Die</v>
      </c>
      <c r="J2075" s="9" t="str">
        <f>IFERROR(__xludf.DUMMYFUNCTION("""COMPUTED_VALUE"""),"THM")</f>
        <v>THM</v>
      </c>
      <c r="K2075" s="9" t="str">
        <f>IFERROR(__xludf.DUMMYFUNCTION("""COMPUTED_VALUE"""),"DTH")</f>
        <v>DTH</v>
      </c>
      <c r="L2075" s="9" t="str">
        <f>IFERROR(__xludf.DUMMYFUNCTION("""COMPUTED_VALUE"""),"LNC")</f>
        <v>LNC</v>
      </c>
      <c r="M2075" s="9" t="str">
        <f>IFERROR(__xludf.DUMMYFUNCTION("""COMPUTED_VALUE"""),"VLN")</f>
        <v>VLN</v>
      </c>
      <c r="N2075" s="9" t="str">
        <f>IFERROR(__xludf.DUMMYFUNCTION("""COMPUTED_VALUE"""),"VL")</f>
        <v>VL</v>
      </c>
      <c r="O2075" s="9" t="str">
        <f>IFERROR(__xludf.DUMMYFUNCTION("""COMPUTED_VALUE"""),"VLR")</f>
        <v>VLR</v>
      </c>
      <c r="P2075" s="9"/>
      <c r="Q2075" s="9"/>
      <c r="R2075" s="9"/>
      <c r="S2075" s="42"/>
      <c r="T2075" s="42"/>
      <c r="U2075" s="159"/>
      <c r="V2075" s="42"/>
      <c r="W2075" s="42"/>
      <c r="X2075" s="42"/>
      <c r="Y2075" s="42"/>
      <c r="Z2075" s="42"/>
      <c r="AA2075" s="42"/>
      <c r="AB2075" s="42" t="str">
        <f>IFERROR(__xludf.DUMMYFUNCTION("""COMPUTED_VALUE"""),"allen institute")</f>
        <v>allen institute</v>
      </c>
      <c r="AC2075" s="42" t="str">
        <f>IFERROR(__xludf.DUMMYFUNCTION("""COMPUTED_VALUE"""),"DHBA")</f>
        <v>DHBA</v>
      </c>
      <c r="AD2075" s="42"/>
      <c r="AE2075" s="42"/>
      <c r="AF2075" s="9"/>
      <c r="AG2075" s="9"/>
      <c r="AH2075" s="42"/>
      <c r="AI2075" s="42"/>
      <c r="AJ2075" s="42"/>
      <c r="AK2075" s="42"/>
      <c r="AL2075" s="42"/>
      <c r="AM2075" s="42"/>
      <c r="AN2075" s="42"/>
      <c r="AO2075" s="63" t="str">
        <f>IFERROR(__xludf.DUMMYFUNCTION("IF(ISBLANK(A2075),,IF(ISBLANK(S2075), A2075&amp;"";"", TEXTJOIN(CHAR(10), TRUE, A2075&amp;"";"", ARRAYFORMULA(VLOOKUP(SPLIT(S2075, "";"" &amp; CHAR(10)), $A:$AO, 41, FALSE)))))"),"VLR;")</f>
        <v>VLR;</v>
      </c>
      <c r="AP2075" s="89"/>
    </row>
    <row r="2076">
      <c r="A2076" s="151" t="str">
        <f>IFERROR(__xludf.DUMMYFUNCTION("""COMPUTED_VALUE"""),"VLC")</f>
        <v>VLC</v>
      </c>
      <c r="B2076" s="42" t="str">
        <f>IFERROR(__xludf.DUMMYFUNCTION("""COMPUTED_VALUE"""),"DHBA")</f>
        <v>DHBA</v>
      </c>
      <c r="C2076" s="42" t="str">
        <f>IFERROR(__xludf.DUMMYFUNCTION("""COMPUTED_VALUE"""),"caudal division of VL")</f>
        <v>caudal division of VL</v>
      </c>
      <c r="D2076" s="42">
        <f>IFERROR(__xludf.DUMMYFUNCTION("""COMPUTED_VALUE"""),1959.0)</f>
        <v>1959</v>
      </c>
      <c r="E2076" s="39" t="str">
        <f>IFERROR(__xludf.DUMMYFUNCTION("""COMPUTED_VALUE"""),"caudal division of VL")</f>
        <v>caudal division of VL</v>
      </c>
      <c r="F2076" s="9" t="str">
        <f>IFERROR(__xludf.DUMMYFUNCTION("""COMPUTED_VALUE"""),"Br")</f>
        <v>Br</v>
      </c>
      <c r="G2076" s="9" t="str">
        <f>IFERROR(__xludf.DUMMYFUNCTION("""COMPUTED_VALUE"""),"F")</f>
        <v>F</v>
      </c>
      <c r="H2076" s="9" t="str">
        <f>IFERROR(__xludf.DUMMYFUNCTION("""COMPUTED_VALUE"""),"FGM")</f>
        <v>FGM</v>
      </c>
      <c r="I2076" s="9" t="str">
        <f>IFERROR(__xludf.DUMMYFUNCTION("""COMPUTED_VALUE"""),"Die")</f>
        <v>Die</v>
      </c>
      <c r="J2076" s="9" t="str">
        <f>IFERROR(__xludf.DUMMYFUNCTION("""COMPUTED_VALUE"""),"THM")</f>
        <v>THM</v>
      </c>
      <c r="K2076" s="9" t="str">
        <f>IFERROR(__xludf.DUMMYFUNCTION("""COMPUTED_VALUE"""),"DTH")</f>
        <v>DTH</v>
      </c>
      <c r="L2076" s="9" t="str">
        <f>IFERROR(__xludf.DUMMYFUNCTION("""COMPUTED_VALUE"""),"LNC")</f>
        <v>LNC</v>
      </c>
      <c r="M2076" s="9" t="str">
        <f>IFERROR(__xludf.DUMMYFUNCTION("""COMPUTED_VALUE"""),"VLN")</f>
        <v>VLN</v>
      </c>
      <c r="N2076" s="9" t="str">
        <f>IFERROR(__xludf.DUMMYFUNCTION("""COMPUTED_VALUE"""),"VL")</f>
        <v>VL</v>
      </c>
      <c r="O2076" s="9" t="str">
        <f>IFERROR(__xludf.DUMMYFUNCTION("""COMPUTED_VALUE"""),"VLC")</f>
        <v>VLC</v>
      </c>
      <c r="P2076" s="9"/>
      <c r="Q2076" s="9"/>
      <c r="R2076" s="9"/>
      <c r="S2076" s="42" t="str">
        <f>IFERROR(__xludf.DUMMYFUNCTION("""COMPUTED_VALUE"""),"VLCd;
VLCv;
VLCx")</f>
        <v>VLCd;
VLCv;
VLCx</v>
      </c>
      <c r="T2076" s="42"/>
      <c r="U2076" s="42" t="b">
        <f>IFERROR(__xludf.DUMMYFUNCTION("""COMPUTED_VALUE"""),FALSE)</f>
        <v>0</v>
      </c>
      <c r="V2076" s="42"/>
      <c r="W2076" s="42"/>
      <c r="X2076" s="42"/>
      <c r="Y2076" s="42"/>
      <c r="Z2076" s="42"/>
      <c r="AA2076" s="42"/>
      <c r="AB2076" s="42" t="str">
        <f>IFERROR(__xludf.DUMMYFUNCTION("""COMPUTED_VALUE"""),"allen institute")</f>
        <v>allen institute</v>
      </c>
      <c r="AC2076" s="42" t="str">
        <f>IFERROR(__xludf.DUMMYFUNCTION("""COMPUTED_VALUE"""),"DHBA")</f>
        <v>DHBA</v>
      </c>
      <c r="AD2076" s="42"/>
      <c r="AE2076" s="42"/>
      <c r="AF2076" s="9"/>
      <c r="AG2076" s="9"/>
      <c r="AH2076" s="42"/>
      <c r="AI2076" s="42"/>
      <c r="AJ2076" s="42"/>
      <c r="AK2076" s="42"/>
      <c r="AL2076" s="42"/>
      <c r="AM2076" s="42"/>
      <c r="AN2076" s="42"/>
      <c r="AO2076" s="63" t="str">
        <f>IFERROR(__xludf.DUMMYFUNCTION("IF(ISBLANK(A2076),,IF(ISBLANK(S2076), A2076&amp;"";"", TEXTJOIN(CHAR(10), TRUE, A2076&amp;"";"", ARRAYFORMULA(VLOOKUP(SPLIT(S2076, "";"" &amp; CHAR(10)), $A:$AO, 41, FALSE)))))"),"VLC;
VLCd;
VLCv;
VLCx;")</f>
        <v>VLC;
VLCd;
VLCv;
VLCx;</v>
      </c>
      <c r="AP2076" s="89"/>
    </row>
    <row r="2077">
      <c r="A2077" s="151" t="str">
        <f>IFERROR(__xludf.DUMMYFUNCTION("""COMPUTED_VALUE"""),"VLCd")</f>
        <v>VLCd</v>
      </c>
      <c r="B2077" s="42" t="str">
        <f>IFERROR(__xludf.DUMMYFUNCTION("""COMPUTED_VALUE"""),"DHBA")</f>
        <v>DHBA</v>
      </c>
      <c r="C2077" s="42" t="str">
        <f>IFERROR(__xludf.DUMMYFUNCTION("""COMPUTED_VALUE"""),"dorsal subdivision of VLC")</f>
        <v>dorsal subdivision of VLC</v>
      </c>
      <c r="D2077" s="42">
        <f>IFERROR(__xludf.DUMMYFUNCTION("""COMPUTED_VALUE"""),1960.0)</f>
        <v>1960</v>
      </c>
      <c r="E2077" s="39" t="str">
        <f>IFERROR(__xludf.DUMMYFUNCTION("""COMPUTED_VALUE"""),"dorsal subdivision of VLC")</f>
        <v>dorsal subdivision of VLC</v>
      </c>
      <c r="F2077" s="9" t="str">
        <f>IFERROR(__xludf.DUMMYFUNCTION("""COMPUTED_VALUE"""),"Br")</f>
        <v>Br</v>
      </c>
      <c r="G2077" s="9" t="str">
        <f>IFERROR(__xludf.DUMMYFUNCTION("""COMPUTED_VALUE"""),"F")</f>
        <v>F</v>
      </c>
      <c r="H2077" s="9" t="str">
        <f>IFERROR(__xludf.DUMMYFUNCTION("""COMPUTED_VALUE"""),"FGM")</f>
        <v>FGM</v>
      </c>
      <c r="I2077" s="9" t="str">
        <f>IFERROR(__xludf.DUMMYFUNCTION("""COMPUTED_VALUE"""),"Die")</f>
        <v>Die</v>
      </c>
      <c r="J2077" s="9" t="str">
        <f>IFERROR(__xludf.DUMMYFUNCTION("""COMPUTED_VALUE"""),"THM")</f>
        <v>THM</v>
      </c>
      <c r="K2077" s="9" t="str">
        <f>IFERROR(__xludf.DUMMYFUNCTION("""COMPUTED_VALUE"""),"DTH")</f>
        <v>DTH</v>
      </c>
      <c r="L2077" s="9" t="str">
        <f>IFERROR(__xludf.DUMMYFUNCTION("""COMPUTED_VALUE"""),"LNC")</f>
        <v>LNC</v>
      </c>
      <c r="M2077" s="9" t="str">
        <f>IFERROR(__xludf.DUMMYFUNCTION("""COMPUTED_VALUE"""),"VLN")</f>
        <v>VLN</v>
      </c>
      <c r="N2077" s="9" t="str">
        <f>IFERROR(__xludf.DUMMYFUNCTION("""COMPUTED_VALUE"""),"VL")</f>
        <v>VL</v>
      </c>
      <c r="O2077" s="9" t="str">
        <f>IFERROR(__xludf.DUMMYFUNCTION("""COMPUTED_VALUE"""),"VLC")</f>
        <v>VLC</v>
      </c>
      <c r="P2077" s="9" t="str">
        <f>IFERROR(__xludf.DUMMYFUNCTION("""COMPUTED_VALUE"""),"VLCd")</f>
        <v>VLCd</v>
      </c>
      <c r="Q2077" s="9"/>
      <c r="R2077" s="9"/>
      <c r="S2077" s="42"/>
      <c r="T2077" s="42"/>
      <c r="U2077" s="42"/>
      <c r="V2077" s="42"/>
      <c r="W2077" s="42"/>
      <c r="X2077" s="42"/>
      <c r="Y2077" s="42"/>
      <c r="Z2077" s="42"/>
      <c r="AA2077" s="42"/>
      <c r="AB2077" s="42" t="str">
        <f>IFERROR(__xludf.DUMMYFUNCTION("""COMPUTED_VALUE"""),"allen institute")</f>
        <v>allen institute</v>
      </c>
      <c r="AC2077" s="42" t="str">
        <f>IFERROR(__xludf.DUMMYFUNCTION("""COMPUTED_VALUE"""),"DHBA")</f>
        <v>DHBA</v>
      </c>
      <c r="AD2077" s="42"/>
      <c r="AE2077" s="42"/>
      <c r="AF2077" s="9"/>
      <c r="AG2077" s="9"/>
      <c r="AH2077" s="42"/>
      <c r="AI2077" s="42"/>
      <c r="AJ2077" s="42"/>
      <c r="AK2077" s="42"/>
      <c r="AL2077" s="42"/>
      <c r="AM2077" s="42"/>
      <c r="AN2077" s="42"/>
      <c r="AO2077" s="63" t="str">
        <f>IFERROR(__xludf.DUMMYFUNCTION("IF(ISBLANK(A2077),,IF(ISBLANK(S2077), A2077&amp;"";"", TEXTJOIN(CHAR(10), TRUE, A2077&amp;"";"", ARRAYFORMULA(VLOOKUP(SPLIT(S2077, "";"" &amp; CHAR(10)), $A:$AO, 41, FALSE)))))"),"VLCd;")</f>
        <v>VLCd;</v>
      </c>
      <c r="AP2077" s="89"/>
    </row>
    <row r="2078">
      <c r="A2078" s="151" t="str">
        <f>IFERROR(__xludf.DUMMYFUNCTION("""COMPUTED_VALUE"""),"VLCv")</f>
        <v>VLCv</v>
      </c>
      <c r="B2078" s="42" t="str">
        <f>IFERROR(__xludf.DUMMYFUNCTION("""COMPUTED_VALUE"""),"DHBA")</f>
        <v>DHBA</v>
      </c>
      <c r="C2078" s="42" t="str">
        <f>IFERROR(__xludf.DUMMYFUNCTION("""COMPUTED_VALUE"""),"ventral subdivision of VLC")</f>
        <v>ventral subdivision of VLC</v>
      </c>
      <c r="D2078" s="42">
        <f>IFERROR(__xludf.DUMMYFUNCTION("""COMPUTED_VALUE"""),1961.0)</f>
        <v>1961</v>
      </c>
      <c r="E2078" s="39" t="str">
        <f>IFERROR(__xludf.DUMMYFUNCTION("""COMPUTED_VALUE"""),"ventral subdivision of VLC")</f>
        <v>ventral subdivision of VLC</v>
      </c>
      <c r="F2078" s="9" t="str">
        <f>IFERROR(__xludf.DUMMYFUNCTION("""COMPUTED_VALUE"""),"Br")</f>
        <v>Br</v>
      </c>
      <c r="G2078" s="9" t="str">
        <f>IFERROR(__xludf.DUMMYFUNCTION("""COMPUTED_VALUE"""),"F")</f>
        <v>F</v>
      </c>
      <c r="H2078" s="9" t="str">
        <f>IFERROR(__xludf.DUMMYFUNCTION("""COMPUTED_VALUE"""),"FGM")</f>
        <v>FGM</v>
      </c>
      <c r="I2078" s="9" t="str">
        <f>IFERROR(__xludf.DUMMYFUNCTION("""COMPUTED_VALUE"""),"Die")</f>
        <v>Die</v>
      </c>
      <c r="J2078" s="9" t="str">
        <f>IFERROR(__xludf.DUMMYFUNCTION("""COMPUTED_VALUE"""),"THM")</f>
        <v>THM</v>
      </c>
      <c r="K2078" s="9" t="str">
        <f>IFERROR(__xludf.DUMMYFUNCTION("""COMPUTED_VALUE"""),"DTH")</f>
        <v>DTH</v>
      </c>
      <c r="L2078" s="9" t="str">
        <f>IFERROR(__xludf.DUMMYFUNCTION("""COMPUTED_VALUE"""),"LNC")</f>
        <v>LNC</v>
      </c>
      <c r="M2078" s="9" t="str">
        <f>IFERROR(__xludf.DUMMYFUNCTION("""COMPUTED_VALUE"""),"VLN")</f>
        <v>VLN</v>
      </c>
      <c r="N2078" s="9" t="str">
        <f>IFERROR(__xludf.DUMMYFUNCTION("""COMPUTED_VALUE"""),"VL")</f>
        <v>VL</v>
      </c>
      <c r="O2078" s="9" t="str">
        <f>IFERROR(__xludf.DUMMYFUNCTION("""COMPUTED_VALUE"""),"VLC")</f>
        <v>VLC</v>
      </c>
      <c r="P2078" s="9" t="str">
        <f>IFERROR(__xludf.DUMMYFUNCTION("""COMPUTED_VALUE"""),"VLCv")</f>
        <v>VLCv</v>
      </c>
      <c r="Q2078" s="9"/>
      <c r="R2078" s="9"/>
      <c r="S2078" s="42"/>
      <c r="T2078" s="42"/>
      <c r="U2078" s="42"/>
      <c r="V2078" s="42"/>
      <c r="W2078" s="42"/>
      <c r="X2078" s="42"/>
      <c r="Y2078" s="42"/>
      <c r="Z2078" s="42"/>
      <c r="AA2078" s="42"/>
      <c r="AB2078" s="42" t="str">
        <f>IFERROR(__xludf.DUMMYFUNCTION("""COMPUTED_VALUE"""),"allen institute")</f>
        <v>allen institute</v>
      </c>
      <c r="AC2078" s="42" t="str">
        <f>IFERROR(__xludf.DUMMYFUNCTION("""COMPUTED_VALUE"""),"DHBA")</f>
        <v>DHBA</v>
      </c>
      <c r="AD2078" s="42"/>
      <c r="AE2078" s="42"/>
      <c r="AF2078" s="9"/>
      <c r="AG2078" s="9"/>
      <c r="AH2078" s="42"/>
      <c r="AI2078" s="42"/>
      <c r="AJ2078" s="42"/>
      <c r="AK2078" s="42"/>
      <c r="AL2078" s="42"/>
      <c r="AM2078" s="42"/>
      <c r="AN2078" s="42"/>
      <c r="AO2078" s="63" t="str">
        <f>IFERROR(__xludf.DUMMYFUNCTION("IF(ISBLANK(A2078),,IF(ISBLANK(S2078), A2078&amp;"";"", TEXTJOIN(CHAR(10), TRUE, A2078&amp;"";"", ARRAYFORMULA(VLOOKUP(SPLIT(S2078, "";"" &amp; CHAR(10)), $A:$AO, 41, FALSE)))))"),"VLCv;")</f>
        <v>VLCv;</v>
      </c>
      <c r="AP2078" s="89"/>
    </row>
    <row r="2079">
      <c r="A2079" s="151" t="str">
        <f>IFERROR(__xludf.DUMMYFUNCTION("""COMPUTED_VALUE"""),"VLCx")</f>
        <v>VLCx</v>
      </c>
      <c r="B2079" s="42" t="str">
        <f>IFERROR(__xludf.DUMMYFUNCTION("""COMPUTED_VALUE"""),"DHBA")</f>
        <v>DHBA</v>
      </c>
      <c r="C2079" s="42" t="str">
        <f>IFERROR(__xludf.DUMMYFUNCTION("""COMPUTED_VALUE"""),"medial subdivision of VLC (area x)")</f>
        <v>medial subdivision of VLC (area x)</v>
      </c>
      <c r="D2079" s="42">
        <f>IFERROR(__xludf.DUMMYFUNCTION("""COMPUTED_VALUE"""),1962.0)</f>
        <v>1962</v>
      </c>
      <c r="E2079" s="39" t="str">
        <f>IFERROR(__xludf.DUMMYFUNCTION("""COMPUTED_VALUE"""),"medial subdivision of VLC (area x)")</f>
        <v>medial subdivision of VLC (area x)</v>
      </c>
      <c r="F2079" s="9" t="str">
        <f>IFERROR(__xludf.DUMMYFUNCTION("""COMPUTED_VALUE"""),"Br")</f>
        <v>Br</v>
      </c>
      <c r="G2079" s="9" t="str">
        <f>IFERROR(__xludf.DUMMYFUNCTION("""COMPUTED_VALUE"""),"F")</f>
        <v>F</v>
      </c>
      <c r="H2079" s="9" t="str">
        <f>IFERROR(__xludf.DUMMYFUNCTION("""COMPUTED_VALUE"""),"FGM")</f>
        <v>FGM</v>
      </c>
      <c r="I2079" s="9" t="str">
        <f>IFERROR(__xludf.DUMMYFUNCTION("""COMPUTED_VALUE"""),"Die")</f>
        <v>Die</v>
      </c>
      <c r="J2079" s="9" t="str">
        <f>IFERROR(__xludf.DUMMYFUNCTION("""COMPUTED_VALUE"""),"THM")</f>
        <v>THM</v>
      </c>
      <c r="K2079" s="9" t="str">
        <f>IFERROR(__xludf.DUMMYFUNCTION("""COMPUTED_VALUE"""),"DTH")</f>
        <v>DTH</v>
      </c>
      <c r="L2079" s="9" t="str">
        <f>IFERROR(__xludf.DUMMYFUNCTION("""COMPUTED_VALUE"""),"LNC")</f>
        <v>LNC</v>
      </c>
      <c r="M2079" s="9" t="str">
        <f>IFERROR(__xludf.DUMMYFUNCTION("""COMPUTED_VALUE"""),"VLN")</f>
        <v>VLN</v>
      </c>
      <c r="N2079" s="9" t="str">
        <f>IFERROR(__xludf.DUMMYFUNCTION("""COMPUTED_VALUE"""),"VL")</f>
        <v>VL</v>
      </c>
      <c r="O2079" s="9" t="str">
        <f>IFERROR(__xludf.DUMMYFUNCTION("""COMPUTED_VALUE"""),"VLC")</f>
        <v>VLC</v>
      </c>
      <c r="P2079" s="9" t="str">
        <f>IFERROR(__xludf.DUMMYFUNCTION("""COMPUTED_VALUE"""),"VLCx")</f>
        <v>VLCx</v>
      </c>
      <c r="Q2079" s="9"/>
      <c r="R2079" s="9"/>
      <c r="S2079" s="42"/>
      <c r="T2079" s="42"/>
      <c r="U2079" s="42"/>
      <c r="V2079" s="42"/>
      <c r="W2079" s="42"/>
      <c r="X2079" s="42"/>
      <c r="Y2079" s="42"/>
      <c r="Z2079" s="42"/>
      <c r="AA2079" s="42"/>
      <c r="AB2079" s="42" t="str">
        <f>IFERROR(__xludf.DUMMYFUNCTION("""COMPUTED_VALUE"""),"allen institute")</f>
        <v>allen institute</v>
      </c>
      <c r="AC2079" s="42" t="str">
        <f>IFERROR(__xludf.DUMMYFUNCTION("""COMPUTED_VALUE"""),"DHBA")</f>
        <v>DHBA</v>
      </c>
      <c r="AD2079" s="42"/>
      <c r="AE2079" s="42"/>
      <c r="AF2079" s="9"/>
      <c r="AG2079" s="9"/>
      <c r="AH2079" s="42"/>
      <c r="AI2079" s="42"/>
      <c r="AJ2079" s="42"/>
      <c r="AK2079" s="42"/>
      <c r="AL2079" s="42"/>
      <c r="AM2079" s="42"/>
      <c r="AN2079" s="42"/>
      <c r="AO2079" s="63" t="str">
        <f>IFERROR(__xludf.DUMMYFUNCTION("IF(ISBLANK(A2079),,IF(ISBLANK(S2079), A2079&amp;"";"", TEXTJOIN(CHAR(10), TRUE, A2079&amp;"";"", ARRAYFORMULA(VLOOKUP(SPLIT(S2079, "";"" &amp; CHAR(10)), $A:$AO, 41, FALSE)))))"),"VLCx;")</f>
        <v>VLCx;</v>
      </c>
      <c r="AP2079" s="89"/>
    </row>
    <row r="2080">
      <c r="A2080" s="151" t="str">
        <f>IFERROR(__xludf.DUMMYFUNCTION("""COMPUTED_VALUE"""),"VPT")</f>
        <v>VPT</v>
      </c>
      <c r="B2080" s="42" t="str">
        <f>IFERROR(__xludf.DUMMYFUNCTION("""COMPUTED_VALUE"""),"DHBA")</f>
        <v>DHBA</v>
      </c>
      <c r="C2080" s="42" t="str">
        <f>IFERROR(__xludf.DUMMYFUNCTION("""COMPUTED_VALUE"""),"ventral posteriot nucleus of thalamus, Ventral posterior nucleus, VP")</f>
        <v>ventral posteriot nucleus of thalamus, Ventral posterior nucleus, VP</v>
      </c>
      <c r="D2080" s="42">
        <f>IFERROR(__xludf.DUMMYFUNCTION("""COMPUTED_VALUE"""),1963.0)</f>
        <v>1963</v>
      </c>
      <c r="E2080" s="39" t="str">
        <f>IFERROR(__xludf.DUMMYFUNCTION("""COMPUTED_VALUE"""),"ventral posterior nucleus of thalamus")</f>
        <v>ventral posterior nucleus of thalamus</v>
      </c>
      <c r="F2080" s="9" t="str">
        <f>IFERROR(__xludf.DUMMYFUNCTION("""COMPUTED_VALUE"""),"Br")</f>
        <v>Br</v>
      </c>
      <c r="G2080" s="9" t="str">
        <f>IFERROR(__xludf.DUMMYFUNCTION("""COMPUTED_VALUE"""),"F")</f>
        <v>F</v>
      </c>
      <c r="H2080" s="9" t="str">
        <f>IFERROR(__xludf.DUMMYFUNCTION("""COMPUTED_VALUE"""),"FGM")</f>
        <v>FGM</v>
      </c>
      <c r="I2080" s="9" t="str">
        <f>IFERROR(__xludf.DUMMYFUNCTION("""COMPUTED_VALUE"""),"Die")</f>
        <v>Die</v>
      </c>
      <c r="J2080" s="9" t="str">
        <f>IFERROR(__xludf.DUMMYFUNCTION("""COMPUTED_VALUE"""),"THM")</f>
        <v>THM</v>
      </c>
      <c r="K2080" s="9" t="str">
        <f>IFERROR(__xludf.DUMMYFUNCTION("""COMPUTED_VALUE"""),"DTH")</f>
        <v>DTH</v>
      </c>
      <c r="L2080" s="9" t="str">
        <f>IFERROR(__xludf.DUMMYFUNCTION("""COMPUTED_VALUE"""),"LNC")</f>
        <v>LNC</v>
      </c>
      <c r="M2080" s="9" t="str">
        <f>IFERROR(__xludf.DUMMYFUNCTION("""COMPUTED_VALUE"""),"VLN")</f>
        <v>VLN</v>
      </c>
      <c r="N2080" s="9" t="str">
        <f>IFERROR(__xludf.DUMMYFUNCTION("""COMPUTED_VALUE"""),"VPT")</f>
        <v>VPT</v>
      </c>
      <c r="O2080" s="9"/>
      <c r="P2080" s="9"/>
      <c r="Q2080" s="9"/>
      <c r="R2080" s="9"/>
      <c r="S2080" s="42" t="str">
        <f>IFERROR(__xludf.DUMMYFUNCTION("""COMPUTED_VALUE"""),"VPL;
VPM;
VPI;
VMb")</f>
        <v>VPL;
VPM;
VPI;
VMb</v>
      </c>
      <c r="T2080" s="42"/>
      <c r="U2080" s="42" t="b">
        <f>IFERROR(__xludf.DUMMYFUNCTION("""COMPUTED_VALUE"""),FALSE)</f>
        <v>0</v>
      </c>
      <c r="V2080" s="42"/>
      <c r="W2080" s="42"/>
      <c r="X2080" s="42"/>
      <c r="Y2080" s="42"/>
      <c r="Z2080" s="42"/>
      <c r="AA2080" s="42"/>
      <c r="AB2080" s="42" t="str">
        <f>IFERROR(__xludf.DUMMYFUNCTION("""COMPUTED_VALUE"""),"allen institute")</f>
        <v>allen institute</v>
      </c>
      <c r="AC2080" s="42" t="str">
        <f>IFERROR(__xludf.DUMMYFUNCTION("""COMPUTED_VALUE"""),"DHBA")</f>
        <v>DHBA</v>
      </c>
      <c r="AD2080" s="42"/>
      <c r="AE2080" s="42"/>
      <c r="AF2080" s="9"/>
      <c r="AG2080" s="9"/>
      <c r="AH2080" s="42"/>
      <c r="AI2080" s="42"/>
      <c r="AJ2080" s="42"/>
      <c r="AK2080" s="42"/>
      <c r="AL2080" s="42"/>
      <c r="AM2080" s="42"/>
      <c r="AN2080" s="42"/>
      <c r="AO2080" s="63" t="str">
        <f>IFERROR(__xludf.DUMMYFUNCTION("IF(ISBLANK(A2080),,IF(ISBLANK(S2080), A2080&amp;"";"", TEXTJOIN(CHAR(10), TRUE, A2080&amp;"";"", ARRAYFORMULA(VLOOKUP(SPLIT(S2080, "";"" &amp; CHAR(10)), $A:$AO, 41, FALSE)))))"),"VPT;
VPL;
VPLr;
VPLc;
VPM;
VPMpc;
VPI;
VMb;")</f>
        <v>VPT;
VPL;
VPLr;
VPLc;
VPM;
VPMpc;
VPI;
VMb;</v>
      </c>
      <c r="AP2080" s="89"/>
    </row>
    <row r="2081">
      <c r="A2081" s="151" t="str">
        <f>IFERROR(__xludf.DUMMYFUNCTION("""COMPUTED_VALUE"""),"VPL")</f>
        <v>VPL</v>
      </c>
      <c r="B2081" s="42" t="str">
        <f>IFERROR(__xludf.DUMMYFUNCTION("""COMPUTED_VALUE"""),"DHBA")</f>
        <v>DHBA</v>
      </c>
      <c r="C2081" s="42" t="str">
        <f>IFERROR(__xludf.DUMMYFUNCTION("""COMPUTED_VALUE"""),"ventral posterior lateral nucleus")</f>
        <v>ventral posterior lateral nucleus</v>
      </c>
      <c r="D2081" s="42">
        <f>IFERROR(__xludf.DUMMYFUNCTION("""COMPUTED_VALUE"""),1964.0)</f>
        <v>1964</v>
      </c>
      <c r="E2081" s="39" t="str">
        <f>IFERROR(__xludf.DUMMYFUNCTION("""COMPUTED_VALUE"""),"ventral posterior lateral nucleus")</f>
        <v>ventral posterior lateral nucleus</v>
      </c>
      <c r="F2081" s="9" t="str">
        <f>IFERROR(__xludf.DUMMYFUNCTION("""COMPUTED_VALUE"""),"Br")</f>
        <v>Br</v>
      </c>
      <c r="G2081" s="9" t="str">
        <f>IFERROR(__xludf.DUMMYFUNCTION("""COMPUTED_VALUE"""),"F")</f>
        <v>F</v>
      </c>
      <c r="H2081" s="9" t="str">
        <f>IFERROR(__xludf.DUMMYFUNCTION("""COMPUTED_VALUE"""),"FGM")</f>
        <v>FGM</v>
      </c>
      <c r="I2081" s="9" t="str">
        <f>IFERROR(__xludf.DUMMYFUNCTION("""COMPUTED_VALUE"""),"Die")</f>
        <v>Die</v>
      </c>
      <c r="J2081" s="9" t="str">
        <f>IFERROR(__xludf.DUMMYFUNCTION("""COMPUTED_VALUE"""),"THM")</f>
        <v>THM</v>
      </c>
      <c r="K2081" s="9" t="str">
        <f>IFERROR(__xludf.DUMMYFUNCTION("""COMPUTED_VALUE"""),"DTH")</f>
        <v>DTH</v>
      </c>
      <c r="L2081" s="9" t="str">
        <f>IFERROR(__xludf.DUMMYFUNCTION("""COMPUTED_VALUE"""),"LNC")</f>
        <v>LNC</v>
      </c>
      <c r="M2081" s="9" t="str">
        <f>IFERROR(__xludf.DUMMYFUNCTION("""COMPUTED_VALUE"""),"VLN")</f>
        <v>VLN</v>
      </c>
      <c r="N2081" s="9" t="str">
        <f>IFERROR(__xludf.DUMMYFUNCTION("""COMPUTED_VALUE"""),"VPT")</f>
        <v>VPT</v>
      </c>
      <c r="O2081" s="9" t="str">
        <f>IFERROR(__xludf.DUMMYFUNCTION("""COMPUTED_VALUE"""),"VPL")</f>
        <v>VPL</v>
      </c>
      <c r="P2081" s="9"/>
      <c r="Q2081" s="9"/>
      <c r="R2081" s="9"/>
      <c r="S2081" s="42" t="str">
        <f>IFERROR(__xludf.DUMMYFUNCTION("""COMPUTED_VALUE"""),"VPLr;
VPLc")</f>
        <v>VPLr;
VPLc</v>
      </c>
      <c r="T2081" s="42"/>
      <c r="U2081" s="42" t="b">
        <f>IFERROR(__xludf.DUMMYFUNCTION("""COMPUTED_VALUE"""),FALSE)</f>
        <v>0</v>
      </c>
      <c r="V2081" s="42"/>
      <c r="W2081" s="42"/>
      <c r="X2081" s="42"/>
      <c r="Y2081" s="42"/>
      <c r="Z2081" s="42"/>
      <c r="AA2081" s="42"/>
      <c r="AB2081" s="42" t="str">
        <f>IFERROR(__xludf.DUMMYFUNCTION("""COMPUTED_VALUE"""),"allen institute")</f>
        <v>allen institute</v>
      </c>
      <c r="AC2081" s="42" t="str">
        <f>IFERROR(__xludf.DUMMYFUNCTION("""COMPUTED_VALUE"""),"DHBA")</f>
        <v>DHBA</v>
      </c>
      <c r="AD2081" s="42"/>
      <c r="AE2081" s="42"/>
      <c r="AF2081" s="9"/>
      <c r="AG2081" s="9"/>
      <c r="AH2081" s="42"/>
      <c r="AI2081" s="42"/>
      <c r="AJ2081" s="42"/>
      <c r="AK2081" s="42"/>
      <c r="AL2081" s="42"/>
      <c r="AM2081" s="42"/>
      <c r="AN2081" s="42"/>
      <c r="AO2081" s="63" t="str">
        <f>IFERROR(__xludf.DUMMYFUNCTION("IF(ISBLANK(A2081),,IF(ISBLANK(S2081), A2081&amp;"";"", TEXTJOIN(CHAR(10), TRUE, A2081&amp;"";"", ARRAYFORMULA(VLOOKUP(SPLIT(S2081, "";"" &amp; CHAR(10)), $A:$AO, 41, FALSE)))))"),"VPL;
VPLr;
VPLc;")</f>
        <v>VPL;
VPLr;
VPLc;</v>
      </c>
      <c r="AP2081" s="89"/>
    </row>
    <row r="2082">
      <c r="A2082" s="151" t="str">
        <f>IFERROR(__xludf.DUMMYFUNCTION("""COMPUTED_VALUE"""),"VPLr")</f>
        <v>VPLr</v>
      </c>
      <c r="B2082" s="42" t="str">
        <f>IFERROR(__xludf.DUMMYFUNCTION("""COMPUTED_VALUE"""),"DHBA")</f>
        <v>DHBA</v>
      </c>
      <c r="C2082" s="42" t="str">
        <f>IFERROR(__xludf.DUMMYFUNCTION("""COMPUTED_VALUE"""),"rostral division of ventral posterior lateral nucleus")</f>
        <v>rostral division of ventral posterior lateral nucleus</v>
      </c>
      <c r="D2082" s="42">
        <f>IFERROR(__xludf.DUMMYFUNCTION("""COMPUTED_VALUE"""),1965.0)</f>
        <v>1965</v>
      </c>
      <c r="E2082" s="39" t="str">
        <f>IFERROR(__xludf.DUMMYFUNCTION("""COMPUTED_VALUE"""),"rostral division of ventral posterior lateral nucleus")</f>
        <v>rostral division of ventral posterior lateral nucleus</v>
      </c>
      <c r="F2082" s="9" t="str">
        <f>IFERROR(__xludf.DUMMYFUNCTION("""COMPUTED_VALUE"""),"Br")</f>
        <v>Br</v>
      </c>
      <c r="G2082" s="9" t="str">
        <f>IFERROR(__xludf.DUMMYFUNCTION("""COMPUTED_VALUE"""),"F")</f>
        <v>F</v>
      </c>
      <c r="H2082" s="9" t="str">
        <f>IFERROR(__xludf.DUMMYFUNCTION("""COMPUTED_VALUE"""),"FGM")</f>
        <v>FGM</v>
      </c>
      <c r="I2082" s="9" t="str">
        <f>IFERROR(__xludf.DUMMYFUNCTION("""COMPUTED_VALUE"""),"Die")</f>
        <v>Die</v>
      </c>
      <c r="J2082" s="9" t="str">
        <f>IFERROR(__xludf.DUMMYFUNCTION("""COMPUTED_VALUE"""),"THM")</f>
        <v>THM</v>
      </c>
      <c r="K2082" s="9" t="str">
        <f>IFERROR(__xludf.DUMMYFUNCTION("""COMPUTED_VALUE"""),"DTH")</f>
        <v>DTH</v>
      </c>
      <c r="L2082" s="9" t="str">
        <f>IFERROR(__xludf.DUMMYFUNCTION("""COMPUTED_VALUE"""),"LNC")</f>
        <v>LNC</v>
      </c>
      <c r="M2082" s="9" t="str">
        <f>IFERROR(__xludf.DUMMYFUNCTION("""COMPUTED_VALUE"""),"VLN")</f>
        <v>VLN</v>
      </c>
      <c r="N2082" s="9" t="str">
        <f>IFERROR(__xludf.DUMMYFUNCTION("""COMPUTED_VALUE"""),"VPT")</f>
        <v>VPT</v>
      </c>
      <c r="O2082" s="9" t="str">
        <f>IFERROR(__xludf.DUMMYFUNCTION("""COMPUTED_VALUE"""),"VPL")</f>
        <v>VPL</v>
      </c>
      <c r="P2082" s="9" t="str">
        <f>IFERROR(__xludf.DUMMYFUNCTION("""COMPUTED_VALUE"""),"VPLr")</f>
        <v>VPLr</v>
      </c>
      <c r="Q2082" s="9"/>
      <c r="R2082" s="9"/>
      <c r="S2082" s="42"/>
      <c r="T2082" s="42"/>
      <c r="U2082" s="42"/>
      <c r="V2082" s="42"/>
      <c r="W2082" s="42"/>
      <c r="X2082" s="42"/>
      <c r="Y2082" s="42"/>
      <c r="Z2082" s="42"/>
      <c r="AA2082" s="42"/>
      <c r="AB2082" s="42" t="str">
        <f>IFERROR(__xludf.DUMMYFUNCTION("""COMPUTED_VALUE"""),"allen institute")</f>
        <v>allen institute</v>
      </c>
      <c r="AC2082" s="42" t="str">
        <f>IFERROR(__xludf.DUMMYFUNCTION("""COMPUTED_VALUE"""),"DHBA")</f>
        <v>DHBA</v>
      </c>
      <c r="AD2082" s="42"/>
      <c r="AE2082" s="42"/>
      <c r="AF2082" s="9"/>
      <c r="AG2082" s="9"/>
      <c r="AH2082" s="42"/>
      <c r="AI2082" s="42"/>
      <c r="AJ2082" s="42"/>
      <c r="AK2082" s="42"/>
      <c r="AL2082" s="42"/>
      <c r="AM2082" s="42"/>
      <c r="AN2082" s="42"/>
      <c r="AO2082" s="63" t="str">
        <f>IFERROR(__xludf.DUMMYFUNCTION("IF(ISBLANK(A2082),,IF(ISBLANK(S2082), A2082&amp;"";"", TEXTJOIN(CHAR(10), TRUE, A2082&amp;"";"", ARRAYFORMULA(VLOOKUP(SPLIT(S2082, "";"" &amp; CHAR(10)), $A:$AO, 41, FALSE)))))"),"VPLr;")</f>
        <v>VPLr;</v>
      </c>
      <c r="AP2082" s="89"/>
    </row>
    <row r="2083">
      <c r="A2083" s="151" t="str">
        <f>IFERROR(__xludf.DUMMYFUNCTION("""COMPUTED_VALUE"""),"VPLc")</f>
        <v>VPLc</v>
      </c>
      <c r="B2083" s="42" t="str">
        <f>IFERROR(__xludf.DUMMYFUNCTION("""COMPUTED_VALUE"""),"DHBA")</f>
        <v>DHBA</v>
      </c>
      <c r="C2083" s="42" t="str">
        <f>IFERROR(__xludf.DUMMYFUNCTION("""COMPUTED_VALUE"""),"caudal division of ventral posterior lateral nucleus")</f>
        <v>caudal division of ventral posterior lateral nucleus</v>
      </c>
      <c r="D2083" s="42">
        <f>IFERROR(__xludf.DUMMYFUNCTION("""COMPUTED_VALUE"""),1966.0)</f>
        <v>1966</v>
      </c>
      <c r="E2083" s="39" t="str">
        <f>IFERROR(__xludf.DUMMYFUNCTION("""COMPUTED_VALUE"""),"caudal division of ventral posterior lateral nucleus")</f>
        <v>caudal division of ventral posterior lateral nucleus</v>
      </c>
      <c r="F2083" s="9" t="str">
        <f>IFERROR(__xludf.DUMMYFUNCTION("""COMPUTED_VALUE"""),"Br")</f>
        <v>Br</v>
      </c>
      <c r="G2083" s="9" t="str">
        <f>IFERROR(__xludf.DUMMYFUNCTION("""COMPUTED_VALUE"""),"F")</f>
        <v>F</v>
      </c>
      <c r="H2083" s="9" t="str">
        <f>IFERROR(__xludf.DUMMYFUNCTION("""COMPUTED_VALUE"""),"FGM")</f>
        <v>FGM</v>
      </c>
      <c r="I2083" s="9" t="str">
        <f>IFERROR(__xludf.DUMMYFUNCTION("""COMPUTED_VALUE"""),"Die")</f>
        <v>Die</v>
      </c>
      <c r="J2083" s="9" t="str">
        <f>IFERROR(__xludf.DUMMYFUNCTION("""COMPUTED_VALUE"""),"THM")</f>
        <v>THM</v>
      </c>
      <c r="K2083" s="9" t="str">
        <f>IFERROR(__xludf.DUMMYFUNCTION("""COMPUTED_VALUE"""),"DTH")</f>
        <v>DTH</v>
      </c>
      <c r="L2083" s="9" t="str">
        <f>IFERROR(__xludf.DUMMYFUNCTION("""COMPUTED_VALUE"""),"LNC")</f>
        <v>LNC</v>
      </c>
      <c r="M2083" s="9" t="str">
        <f>IFERROR(__xludf.DUMMYFUNCTION("""COMPUTED_VALUE"""),"VLN")</f>
        <v>VLN</v>
      </c>
      <c r="N2083" s="9" t="str">
        <f>IFERROR(__xludf.DUMMYFUNCTION("""COMPUTED_VALUE"""),"VPT")</f>
        <v>VPT</v>
      </c>
      <c r="O2083" s="9" t="str">
        <f>IFERROR(__xludf.DUMMYFUNCTION("""COMPUTED_VALUE"""),"VPL")</f>
        <v>VPL</v>
      </c>
      <c r="P2083" s="9" t="str">
        <f>IFERROR(__xludf.DUMMYFUNCTION("""COMPUTED_VALUE"""),"VPLc")</f>
        <v>VPLc</v>
      </c>
      <c r="Q2083" s="9"/>
      <c r="R2083" s="9"/>
      <c r="S2083" s="42"/>
      <c r="T2083" s="42"/>
      <c r="U2083" s="42"/>
      <c r="V2083" s="42"/>
      <c r="W2083" s="42"/>
      <c r="X2083" s="42"/>
      <c r="Y2083" s="42"/>
      <c r="Z2083" s="42"/>
      <c r="AA2083" s="42"/>
      <c r="AB2083" s="42" t="str">
        <f>IFERROR(__xludf.DUMMYFUNCTION("""COMPUTED_VALUE"""),"allen institute")</f>
        <v>allen institute</v>
      </c>
      <c r="AC2083" s="42" t="str">
        <f>IFERROR(__xludf.DUMMYFUNCTION("""COMPUTED_VALUE"""),"DHBA")</f>
        <v>DHBA</v>
      </c>
      <c r="AD2083" s="42"/>
      <c r="AE2083" s="42"/>
      <c r="AF2083" s="9"/>
      <c r="AG2083" s="9"/>
      <c r="AH2083" s="42"/>
      <c r="AI2083" s="42"/>
      <c r="AJ2083" s="42"/>
      <c r="AK2083" s="42"/>
      <c r="AL2083" s="42"/>
      <c r="AM2083" s="42"/>
      <c r="AN2083" s="42"/>
      <c r="AO2083" s="63" t="str">
        <f>IFERROR(__xludf.DUMMYFUNCTION("IF(ISBLANK(A2083),,IF(ISBLANK(S2083), A2083&amp;"";"", TEXTJOIN(CHAR(10), TRUE, A2083&amp;"";"", ARRAYFORMULA(VLOOKUP(SPLIT(S2083, "";"" &amp; CHAR(10)), $A:$AO, 41, FALSE)))))"),"VPLc;")</f>
        <v>VPLc;</v>
      </c>
      <c r="AP2083" s="89"/>
    </row>
    <row r="2084">
      <c r="A2084" s="151" t="str">
        <f>IFERROR(__xludf.DUMMYFUNCTION("""COMPUTED_VALUE"""),"VPM")</f>
        <v>VPM</v>
      </c>
      <c r="B2084" s="42" t="str">
        <f>IFERROR(__xludf.DUMMYFUNCTION("""COMPUTED_VALUE"""),"DHBA")</f>
        <v>DHBA</v>
      </c>
      <c r="C2084" s="42" t="str">
        <f>IFERROR(__xludf.DUMMYFUNCTION("""COMPUTED_VALUE"""),"ventral posterior medial nucleus")</f>
        <v>ventral posterior medial nucleus</v>
      </c>
      <c r="D2084" s="42">
        <f>IFERROR(__xludf.DUMMYFUNCTION("""COMPUTED_VALUE"""),1967.0)</f>
        <v>1967</v>
      </c>
      <c r="E2084" s="39" t="str">
        <f>IFERROR(__xludf.DUMMYFUNCTION("""COMPUTED_VALUE"""),"ventral posterior medial nucleus")</f>
        <v>ventral posterior medial nucleus</v>
      </c>
      <c r="F2084" s="9" t="str">
        <f>IFERROR(__xludf.DUMMYFUNCTION("""COMPUTED_VALUE"""),"Br")</f>
        <v>Br</v>
      </c>
      <c r="G2084" s="9" t="str">
        <f>IFERROR(__xludf.DUMMYFUNCTION("""COMPUTED_VALUE"""),"F")</f>
        <v>F</v>
      </c>
      <c r="H2084" s="9" t="str">
        <f>IFERROR(__xludf.DUMMYFUNCTION("""COMPUTED_VALUE"""),"FGM")</f>
        <v>FGM</v>
      </c>
      <c r="I2084" s="9" t="str">
        <f>IFERROR(__xludf.DUMMYFUNCTION("""COMPUTED_VALUE"""),"Die")</f>
        <v>Die</v>
      </c>
      <c r="J2084" s="9" t="str">
        <f>IFERROR(__xludf.DUMMYFUNCTION("""COMPUTED_VALUE"""),"THM")</f>
        <v>THM</v>
      </c>
      <c r="K2084" s="9" t="str">
        <f>IFERROR(__xludf.DUMMYFUNCTION("""COMPUTED_VALUE"""),"DTH")</f>
        <v>DTH</v>
      </c>
      <c r="L2084" s="9" t="str">
        <f>IFERROR(__xludf.DUMMYFUNCTION("""COMPUTED_VALUE"""),"LNC")</f>
        <v>LNC</v>
      </c>
      <c r="M2084" s="9" t="str">
        <f>IFERROR(__xludf.DUMMYFUNCTION("""COMPUTED_VALUE"""),"VLN")</f>
        <v>VLN</v>
      </c>
      <c r="N2084" s="9" t="str">
        <f>IFERROR(__xludf.DUMMYFUNCTION("""COMPUTED_VALUE"""),"VPT")</f>
        <v>VPT</v>
      </c>
      <c r="O2084" s="9" t="str">
        <f>IFERROR(__xludf.DUMMYFUNCTION("""COMPUTED_VALUE"""),"VPM")</f>
        <v>VPM</v>
      </c>
      <c r="P2084" s="9"/>
      <c r="Q2084" s="9"/>
      <c r="R2084" s="9"/>
      <c r="S2084" s="42" t="str">
        <f>IFERROR(__xludf.DUMMYFUNCTION("""COMPUTED_VALUE"""),"VPMpc")</f>
        <v>VPMpc</v>
      </c>
      <c r="T2084" s="42"/>
      <c r="U2084" s="42" t="b">
        <f>IFERROR(__xludf.DUMMYFUNCTION("""COMPUTED_VALUE"""),FALSE)</f>
        <v>0</v>
      </c>
      <c r="V2084" s="42"/>
      <c r="W2084" s="42"/>
      <c r="X2084" s="42"/>
      <c r="Y2084" s="42"/>
      <c r="Z2084" s="42"/>
      <c r="AA2084" s="42"/>
      <c r="AB2084" s="42" t="str">
        <f>IFERROR(__xludf.DUMMYFUNCTION("""COMPUTED_VALUE"""),"allen institute")</f>
        <v>allen institute</v>
      </c>
      <c r="AC2084" s="42" t="str">
        <f>IFERROR(__xludf.DUMMYFUNCTION("""COMPUTED_VALUE"""),"DHBA")</f>
        <v>DHBA</v>
      </c>
      <c r="AD2084" s="42"/>
      <c r="AE2084" s="42"/>
      <c r="AF2084" s="9"/>
      <c r="AG2084" s="9"/>
      <c r="AH2084" s="42"/>
      <c r="AI2084" s="42"/>
      <c r="AJ2084" s="42"/>
      <c r="AK2084" s="42"/>
      <c r="AL2084" s="42"/>
      <c r="AM2084" s="42"/>
      <c r="AN2084" s="42"/>
      <c r="AO2084" s="63" t="str">
        <f>IFERROR(__xludf.DUMMYFUNCTION("IF(ISBLANK(A2084),,IF(ISBLANK(S2084), A2084&amp;"";"", TEXTJOIN(CHAR(10), TRUE, A2084&amp;"";"", ARRAYFORMULA(VLOOKUP(SPLIT(S2084, "";"" &amp; CHAR(10)), $A:$AO, 41, FALSE)))))"),"VPM;
VPMpc;")</f>
        <v>VPM;
VPMpc;</v>
      </c>
      <c r="AP2084" s="89"/>
    </row>
    <row r="2085">
      <c r="A2085" s="151" t="str">
        <f>IFERROR(__xludf.DUMMYFUNCTION("""COMPUTED_VALUE"""),"VPMpc")</f>
        <v>VPMpc</v>
      </c>
      <c r="B2085" s="42" t="str">
        <f>IFERROR(__xludf.DUMMYFUNCTION("""COMPUTED_VALUE"""),"DHBA")</f>
        <v>DHBA</v>
      </c>
      <c r="C2085" s="42" t="str">
        <f>IFERROR(__xludf.DUMMYFUNCTION("""COMPUTED_VALUE"""),"parvocellular division of VPM")</f>
        <v>parvocellular division of VPM</v>
      </c>
      <c r="D2085" s="42">
        <f>IFERROR(__xludf.DUMMYFUNCTION("""COMPUTED_VALUE"""),1968.0)</f>
        <v>1968</v>
      </c>
      <c r="E2085" s="39" t="str">
        <f>IFERROR(__xludf.DUMMYFUNCTION("""COMPUTED_VALUE"""),"parvocellular division of VPM")</f>
        <v>parvocellular division of VPM</v>
      </c>
      <c r="F2085" s="9" t="str">
        <f>IFERROR(__xludf.DUMMYFUNCTION("""COMPUTED_VALUE"""),"Br")</f>
        <v>Br</v>
      </c>
      <c r="G2085" s="9" t="str">
        <f>IFERROR(__xludf.DUMMYFUNCTION("""COMPUTED_VALUE"""),"F")</f>
        <v>F</v>
      </c>
      <c r="H2085" s="9" t="str">
        <f>IFERROR(__xludf.DUMMYFUNCTION("""COMPUTED_VALUE"""),"FGM")</f>
        <v>FGM</v>
      </c>
      <c r="I2085" s="9" t="str">
        <f>IFERROR(__xludf.DUMMYFUNCTION("""COMPUTED_VALUE"""),"Die")</f>
        <v>Die</v>
      </c>
      <c r="J2085" s="9" t="str">
        <f>IFERROR(__xludf.DUMMYFUNCTION("""COMPUTED_VALUE"""),"THM")</f>
        <v>THM</v>
      </c>
      <c r="K2085" s="9" t="str">
        <f>IFERROR(__xludf.DUMMYFUNCTION("""COMPUTED_VALUE"""),"DTH")</f>
        <v>DTH</v>
      </c>
      <c r="L2085" s="9" t="str">
        <f>IFERROR(__xludf.DUMMYFUNCTION("""COMPUTED_VALUE"""),"LNC")</f>
        <v>LNC</v>
      </c>
      <c r="M2085" s="9" t="str">
        <f>IFERROR(__xludf.DUMMYFUNCTION("""COMPUTED_VALUE"""),"VLN")</f>
        <v>VLN</v>
      </c>
      <c r="N2085" s="9" t="str">
        <f>IFERROR(__xludf.DUMMYFUNCTION("""COMPUTED_VALUE"""),"VPT")</f>
        <v>VPT</v>
      </c>
      <c r="O2085" s="9" t="str">
        <f>IFERROR(__xludf.DUMMYFUNCTION("""COMPUTED_VALUE"""),"VPM")</f>
        <v>VPM</v>
      </c>
      <c r="P2085" s="9" t="str">
        <f>IFERROR(__xludf.DUMMYFUNCTION("""COMPUTED_VALUE"""),"VPMpc")</f>
        <v>VPMpc</v>
      </c>
      <c r="Q2085" s="9"/>
      <c r="R2085" s="9"/>
      <c r="S2085" s="42"/>
      <c r="T2085" s="42"/>
      <c r="U2085" s="42"/>
      <c r="V2085" s="42"/>
      <c r="W2085" s="42"/>
      <c r="X2085" s="42"/>
      <c r="Y2085" s="42"/>
      <c r="Z2085" s="42"/>
      <c r="AA2085" s="42"/>
      <c r="AB2085" s="42" t="str">
        <f>IFERROR(__xludf.DUMMYFUNCTION("""COMPUTED_VALUE"""),"allen institute")</f>
        <v>allen institute</v>
      </c>
      <c r="AC2085" s="42" t="str">
        <f>IFERROR(__xludf.DUMMYFUNCTION("""COMPUTED_VALUE"""),"DHBA")</f>
        <v>DHBA</v>
      </c>
      <c r="AD2085" s="42"/>
      <c r="AE2085" s="42"/>
      <c r="AF2085" s="9"/>
      <c r="AG2085" s="9"/>
      <c r="AH2085" s="42"/>
      <c r="AI2085" s="42"/>
      <c r="AJ2085" s="42"/>
      <c r="AK2085" s="42"/>
      <c r="AL2085" s="42"/>
      <c r="AM2085" s="42"/>
      <c r="AN2085" s="42"/>
      <c r="AO2085" s="63" t="str">
        <f>IFERROR(__xludf.DUMMYFUNCTION("IF(ISBLANK(A2085),,IF(ISBLANK(S2085), A2085&amp;"";"", TEXTJOIN(CHAR(10), TRUE, A2085&amp;"";"", ARRAYFORMULA(VLOOKUP(SPLIT(S2085, "";"" &amp; CHAR(10)), $A:$AO, 41, FALSE)))))"),"VPMpc;")</f>
        <v>VPMpc;</v>
      </c>
      <c r="AP2085" s="89"/>
    </row>
    <row r="2086">
      <c r="A2086" s="151" t="str">
        <f>IFERROR(__xludf.DUMMYFUNCTION("""COMPUTED_VALUE"""),"VPI")</f>
        <v>VPI</v>
      </c>
      <c r="B2086" s="42" t="str">
        <f>IFERROR(__xludf.DUMMYFUNCTION("""COMPUTED_VALUE"""),"DHBA")</f>
        <v>DHBA</v>
      </c>
      <c r="C2086" s="42" t="str">
        <f>IFERROR(__xludf.DUMMYFUNCTION("""COMPUTED_VALUE"""),"ventral posterior inferior nucleus")</f>
        <v>ventral posterior inferior nucleus</v>
      </c>
      <c r="D2086" s="42">
        <f>IFERROR(__xludf.DUMMYFUNCTION("""COMPUTED_VALUE"""),1969.0)</f>
        <v>1969</v>
      </c>
      <c r="E2086" s="39" t="str">
        <f>IFERROR(__xludf.DUMMYFUNCTION("""COMPUTED_VALUE"""),"ventral posterior inferior nucleus")</f>
        <v>ventral posterior inferior nucleus</v>
      </c>
      <c r="F2086" s="9" t="str">
        <f>IFERROR(__xludf.DUMMYFUNCTION("""COMPUTED_VALUE"""),"Br")</f>
        <v>Br</v>
      </c>
      <c r="G2086" s="9" t="str">
        <f>IFERROR(__xludf.DUMMYFUNCTION("""COMPUTED_VALUE"""),"F")</f>
        <v>F</v>
      </c>
      <c r="H2086" s="9" t="str">
        <f>IFERROR(__xludf.DUMMYFUNCTION("""COMPUTED_VALUE"""),"FGM")</f>
        <v>FGM</v>
      </c>
      <c r="I2086" s="9" t="str">
        <f>IFERROR(__xludf.DUMMYFUNCTION("""COMPUTED_VALUE"""),"Die")</f>
        <v>Die</v>
      </c>
      <c r="J2086" s="9" t="str">
        <f>IFERROR(__xludf.DUMMYFUNCTION("""COMPUTED_VALUE"""),"THM")</f>
        <v>THM</v>
      </c>
      <c r="K2086" s="9" t="str">
        <f>IFERROR(__xludf.DUMMYFUNCTION("""COMPUTED_VALUE"""),"DTH")</f>
        <v>DTH</v>
      </c>
      <c r="L2086" s="9" t="str">
        <f>IFERROR(__xludf.DUMMYFUNCTION("""COMPUTED_VALUE"""),"LNC")</f>
        <v>LNC</v>
      </c>
      <c r="M2086" s="9" t="str">
        <f>IFERROR(__xludf.DUMMYFUNCTION("""COMPUTED_VALUE"""),"VLN")</f>
        <v>VLN</v>
      </c>
      <c r="N2086" s="9" t="str">
        <f>IFERROR(__xludf.DUMMYFUNCTION("""COMPUTED_VALUE"""),"VPT")</f>
        <v>VPT</v>
      </c>
      <c r="O2086" s="9" t="str">
        <f>IFERROR(__xludf.DUMMYFUNCTION("""COMPUTED_VALUE"""),"VPI")</f>
        <v>VPI</v>
      </c>
      <c r="P2086" s="9"/>
      <c r="Q2086" s="9"/>
      <c r="R2086" s="9"/>
      <c r="S2086" s="42"/>
      <c r="T2086" s="42"/>
      <c r="U2086" s="42"/>
      <c r="V2086" s="42"/>
      <c r="W2086" s="42"/>
      <c r="X2086" s="42"/>
      <c r="Y2086" s="42"/>
      <c r="Z2086" s="42"/>
      <c r="AA2086" s="42"/>
      <c r="AB2086" s="42" t="str">
        <f>IFERROR(__xludf.DUMMYFUNCTION("""COMPUTED_VALUE"""),"allen institute")</f>
        <v>allen institute</v>
      </c>
      <c r="AC2086" s="42" t="str">
        <f>IFERROR(__xludf.DUMMYFUNCTION("""COMPUTED_VALUE"""),"DHBA")</f>
        <v>DHBA</v>
      </c>
      <c r="AD2086" s="42"/>
      <c r="AE2086" s="42"/>
      <c r="AF2086" s="9"/>
      <c r="AG2086" s="9"/>
      <c r="AH2086" s="42"/>
      <c r="AI2086" s="42"/>
      <c r="AJ2086" s="42"/>
      <c r="AK2086" s="42"/>
      <c r="AL2086" s="42"/>
      <c r="AM2086" s="42"/>
      <c r="AN2086" s="42"/>
      <c r="AO2086" s="63" t="str">
        <f>IFERROR(__xludf.DUMMYFUNCTION("IF(ISBLANK(A2086),,IF(ISBLANK(S2086), A2086&amp;"";"", TEXTJOIN(CHAR(10), TRUE, A2086&amp;"";"", ARRAYFORMULA(VLOOKUP(SPLIT(S2086, "";"" &amp; CHAR(10)), $A:$AO, 41, FALSE)))))"),"VPI;")</f>
        <v>VPI;</v>
      </c>
      <c r="AP2086" s="89"/>
    </row>
    <row r="2087">
      <c r="A2087" s="151" t="str">
        <f>IFERROR(__xludf.DUMMYFUNCTION("""COMPUTED_VALUE"""),"VMb")</f>
        <v>VMb</v>
      </c>
      <c r="B2087" s="42" t="str">
        <f>IFERROR(__xludf.DUMMYFUNCTION("""COMPUTED_VALUE"""),"DHBA")</f>
        <v>DHBA</v>
      </c>
      <c r="C2087" s="42" t="str">
        <f>IFERROR(__xludf.DUMMYFUNCTION("""COMPUTED_VALUE"""),"basal ventral medial nucleus")</f>
        <v>basal ventral medial nucleus</v>
      </c>
      <c r="D2087" s="42">
        <f>IFERROR(__xludf.DUMMYFUNCTION("""COMPUTED_VALUE"""),1970.0)</f>
        <v>1970</v>
      </c>
      <c r="E2087" s="39" t="str">
        <f>IFERROR(__xludf.DUMMYFUNCTION("""COMPUTED_VALUE"""),"basal ventral medial nucleus")</f>
        <v>basal ventral medial nucleus</v>
      </c>
      <c r="F2087" s="9" t="str">
        <f>IFERROR(__xludf.DUMMYFUNCTION("""COMPUTED_VALUE"""),"Br")</f>
        <v>Br</v>
      </c>
      <c r="G2087" s="9" t="str">
        <f>IFERROR(__xludf.DUMMYFUNCTION("""COMPUTED_VALUE"""),"F")</f>
        <v>F</v>
      </c>
      <c r="H2087" s="9" t="str">
        <f>IFERROR(__xludf.DUMMYFUNCTION("""COMPUTED_VALUE"""),"FGM")</f>
        <v>FGM</v>
      </c>
      <c r="I2087" s="9" t="str">
        <f>IFERROR(__xludf.DUMMYFUNCTION("""COMPUTED_VALUE"""),"Die")</f>
        <v>Die</v>
      </c>
      <c r="J2087" s="9" t="str">
        <f>IFERROR(__xludf.DUMMYFUNCTION("""COMPUTED_VALUE"""),"THM")</f>
        <v>THM</v>
      </c>
      <c r="K2087" s="9" t="str">
        <f>IFERROR(__xludf.DUMMYFUNCTION("""COMPUTED_VALUE"""),"DTH")</f>
        <v>DTH</v>
      </c>
      <c r="L2087" s="9" t="str">
        <f>IFERROR(__xludf.DUMMYFUNCTION("""COMPUTED_VALUE"""),"LNC")</f>
        <v>LNC</v>
      </c>
      <c r="M2087" s="9" t="str">
        <f>IFERROR(__xludf.DUMMYFUNCTION("""COMPUTED_VALUE"""),"VLN")</f>
        <v>VLN</v>
      </c>
      <c r="N2087" s="9" t="str">
        <f>IFERROR(__xludf.DUMMYFUNCTION("""COMPUTED_VALUE"""),"VPT")</f>
        <v>VPT</v>
      </c>
      <c r="O2087" s="9" t="str">
        <f>IFERROR(__xludf.DUMMYFUNCTION("""COMPUTED_VALUE"""),"VMb")</f>
        <v>VMb</v>
      </c>
      <c r="P2087" s="9"/>
      <c r="Q2087" s="9"/>
      <c r="R2087" s="9"/>
      <c r="S2087" s="42"/>
      <c r="T2087" s="42"/>
      <c r="U2087" s="42"/>
      <c r="V2087" s="42"/>
      <c r="W2087" s="42"/>
      <c r="X2087" s="42"/>
      <c r="Y2087" s="42"/>
      <c r="Z2087" s="42"/>
      <c r="AA2087" s="42"/>
      <c r="AB2087" s="42" t="str">
        <f>IFERROR(__xludf.DUMMYFUNCTION("""COMPUTED_VALUE"""),"allen institute")</f>
        <v>allen institute</v>
      </c>
      <c r="AC2087" s="42" t="str">
        <f>IFERROR(__xludf.DUMMYFUNCTION("""COMPUTED_VALUE"""),"DHBA")</f>
        <v>DHBA</v>
      </c>
      <c r="AD2087" s="42"/>
      <c r="AE2087" s="42"/>
      <c r="AF2087" s="9"/>
      <c r="AG2087" s="9"/>
      <c r="AH2087" s="42"/>
      <c r="AI2087" s="42"/>
      <c r="AJ2087" s="42"/>
      <c r="AK2087" s="42"/>
      <c r="AL2087" s="42"/>
      <c r="AM2087" s="42"/>
      <c r="AN2087" s="42"/>
      <c r="AO2087" s="63" t="str">
        <f>IFERROR(__xludf.DUMMYFUNCTION("IF(ISBLANK(A2087),,IF(ISBLANK(S2087), A2087&amp;"";"", TEXTJOIN(CHAR(10), TRUE, A2087&amp;"";"", ARRAYFORMULA(VLOOKUP(SPLIT(S2087, "";"" &amp; CHAR(10)), $A:$AO, 41, FALSE)))))"),"VMb;")</f>
        <v>VMb;</v>
      </c>
      <c r="AP2087" s="89"/>
    </row>
    <row r="2088">
      <c r="A2088" s="151" t="str">
        <f>IFERROR(__xludf.DUMMYFUNCTION("""COMPUTED_VALUE"""),"VM")</f>
        <v>VM</v>
      </c>
      <c r="B2088" s="42" t="str">
        <f>IFERROR(__xludf.DUMMYFUNCTION("""COMPUTED_VALUE"""),"DHBA")</f>
        <v>DHBA</v>
      </c>
      <c r="C2088" s="42" t="str">
        <f>IFERROR(__xludf.DUMMYFUNCTION("""COMPUTED_VALUE"""),"ventral medial nucleus of thalamus")</f>
        <v>ventral medial nucleus of thalamus</v>
      </c>
      <c r="D2088" s="42">
        <f>IFERROR(__xludf.DUMMYFUNCTION("""COMPUTED_VALUE"""),1971.0)</f>
        <v>1971</v>
      </c>
      <c r="E2088" s="39" t="str">
        <f>IFERROR(__xludf.DUMMYFUNCTION("""COMPUTED_VALUE"""),"ventral medial nucleus of thalamus")</f>
        <v>ventral medial nucleus of thalamus</v>
      </c>
      <c r="F2088" s="9" t="str">
        <f>IFERROR(__xludf.DUMMYFUNCTION("""COMPUTED_VALUE"""),"Br")</f>
        <v>Br</v>
      </c>
      <c r="G2088" s="9" t="str">
        <f>IFERROR(__xludf.DUMMYFUNCTION("""COMPUTED_VALUE"""),"F")</f>
        <v>F</v>
      </c>
      <c r="H2088" s="9" t="str">
        <f>IFERROR(__xludf.DUMMYFUNCTION("""COMPUTED_VALUE"""),"FGM")</f>
        <v>FGM</v>
      </c>
      <c r="I2088" s="9" t="str">
        <f>IFERROR(__xludf.DUMMYFUNCTION("""COMPUTED_VALUE"""),"Die")</f>
        <v>Die</v>
      </c>
      <c r="J2088" s="9" t="str">
        <f>IFERROR(__xludf.DUMMYFUNCTION("""COMPUTED_VALUE"""),"THM")</f>
        <v>THM</v>
      </c>
      <c r="K2088" s="9" t="str">
        <f>IFERROR(__xludf.DUMMYFUNCTION("""COMPUTED_VALUE"""),"DTH")</f>
        <v>DTH</v>
      </c>
      <c r="L2088" s="9" t="str">
        <f>IFERROR(__xludf.DUMMYFUNCTION("""COMPUTED_VALUE"""),"LNC")</f>
        <v>LNC</v>
      </c>
      <c r="M2088" s="9" t="str">
        <f>IFERROR(__xludf.DUMMYFUNCTION("""COMPUTED_VALUE"""),"VLN")</f>
        <v>VLN</v>
      </c>
      <c r="N2088" s="9" t="str">
        <f>IFERROR(__xludf.DUMMYFUNCTION("""COMPUTED_VALUE"""),"VM")</f>
        <v>VM</v>
      </c>
      <c r="O2088" s="9"/>
      <c r="P2088" s="9"/>
      <c r="Q2088" s="9"/>
      <c r="R2088" s="9"/>
      <c r="S2088" s="42"/>
      <c r="T2088" s="42"/>
      <c r="U2088" s="42"/>
      <c r="V2088" s="42"/>
      <c r="W2088" s="42"/>
      <c r="X2088" s="42"/>
      <c r="Y2088" s="42"/>
      <c r="Z2088" s="42"/>
      <c r="AA2088" s="42"/>
      <c r="AB2088" s="42" t="str">
        <f>IFERROR(__xludf.DUMMYFUNCTION("""COMPUTED_VALUE"""),"allen institute")</f>
        <v>allen institute</v>
      </c>
      <c r="AC2088" s="42" t="str">
        <f>IFERROR(__xludf.DUMMYFUNCTION("""COMPUTED_VALUE"""),"DHBA")</f>
        <v>DHBA</v>
      </c>
      <c r="AD2088" s="42"/>
      <c r="AE2088" s="42"/>
      <c r="AF2088" s="9"/>
      <c r="AG2088" s="9"/>
      <c r="AH2088" s="42"/>
      <c r="AI2088" s="42"/>
      <c r="AJ2088" s="42"/>
      <c r="AK2088" s="42"/>
      <c r="AL2088" s="42"/>
      <c r="AM2088" s="42"/>
      <c r="AN2088" s="42"/>
      <c r="AO2088" s="63" t="str">
        <f>IFERROR(__xludf.DUMMYFUNCTION("IF(ISBLANK(A2088),,IF(ISBLANK(S2088), A2088&amp;"";"", TEXTJOIN(CHAR(10), TRUE, A2088&amp;"";"", ARRAYFORMULA(VLOOKUP(SPLIT(S2088, "";"" &amp; CHAR(10)), $A:$AO, 41, FALSE)))))"),"VM;")</f>
        <v>VM;</v>
      </c>
      <c r="AP2088" s="89"/>
    </row>
    <row r="2089">
      <c r="A2089" s="151" t="str">
        <f>IFERROR(__xludf.DUMMYFUNCTION("""COMPUTED_VALUE"""),"PoN")</f>
        <v>PoN</v>
      </c>
      <c r="B2089" s="42" t="str">
        <f>IFERROR(__xludf.DUMMYFUNCTION("""COMPUTED_VALUE"""),"DHBA")</f>
        <v>DHBA</v>
      </c>
      <c r="C2089" s="42" t="str">
        <f>IFERROR(__xludf.DUMMYFUNCTION("""COMPUTED_VALUE"""),"posterior nuclear complex of thalamus")</f>
        <v>posterior nuclear complex of thalamus</v>
      </c>
      <c r="D2089" s="42">
        <f>IFERROR(__xludf.DUMMYFUNCTION("""COMPUTED_VALUE"""),1972.0)</f>
        <v>1972</v>
      </c>
      <c r="E2089" s="39" t="str">
        <f>IFERROR(__xludf.DUMMYFUNCTION("""COMPUTED_VALUE"""),"posterior nuclear complex of thalamus")</f>
        <v>posterior nuclear complex of thalamus</v>
      </c>
      <c r="F2089" s="9" t="str">
        <f>IFERROR(__xludf.DUMMYFUNCTION("""COMPUTED_VALUE"""),"Br")</f>
        <v>Br</v>
      </c>
      <c r="G2089" s="9" t="str">
        <f>IFERROR(__xludf.DUMMYFUNCTION("""COMPUTED_VALUE"""),"F")</f>
        <v>F</v>
      </c>
      <c r="H2089" s="9" t="str">
        <f>IFERROR(__xludf.DUMMYFUNCTION("""COMPUTED_VALUE"""),"FGM")</f>
        <v>FGM</v>
      </c>
      <c r="I2089" s="9" t="str">
        <f>IFERROR(__xludf.DUMMYFUNCTION("""COMPUTED_VALUE"""),"Die")</f>
        <v>Die</v>
      </c>
      <c r="J2089" s="9" t="str">
        <f>IFERROR(__xludf.DUMMYFUNCTION("""COMPUTED_VALUE"""),"THM")</f>
        <v>THM</v>
      </c>
      <c r="K2089" s="9" t="str">
        <f>IFERROR(__xludf.DUMMYFUNCTION("""COMPUTED_VALUE"""),"DTH")</f>
        <v>DTH</v>
      </c>
      <c r="L2089" s="9" t="str">
        <f>IFERROR(__xludf.DUMMYFUNCTION("""COMPUTED_VALUE"""),"PoN")</f>
        <v>PoN</v>
      </c>
      <c r="M2089" s="9"/>
      <c r="N2089" s="9"/>
      <c r="O2089" s="9"/>
      <c r="P2089" s="9"/>
      <c r="Q2089" s="9"/>
      <c r="R2089" s="9"/>
      <c r="S2089" s="42" t="str">
        <f>IFERROR(__xludf.DUMMYFUNCTION("""COMPUTED_VALUE"""),"LG;
MG;
Po;
LSG")</f>
        <v>LG;
MG;
Po;
LSG</v>
      </c>
      <c r="T2089" s="42"/>
      <c r="U2089" s="42" t="b">
        <f>IFERROR(__xludf.DUMMYFUNCTION("""COMPUTED_VALUE"""),FALSE)</f>
        <v>0</v>
      </c>
      <c r="V2089" s="42"/>
      <c r="W2089" s="42"/>
      <c r="X2089" s="42"/>
      <c r="Y2089" s="42"/>
      <c r="Z2089" s="42"/>
      <c r="AA2089" s="42"/>
      <c r="AB2089" s="42" t="str">
        <f>IFERROR(__xludf.DUMMYFUNCTION("""COMPUTED_VALUE"""),"allen institute")</f>
        <v>allen institute</v>
      </c>
      <c r="AC2089" s="42" t="str">
        <f>IFERROR(__xludf.DUMMYFUNCTION("""COMPUTED_VALUE"""),"DHBA")</f>
        <v>DHBA</v>
      </c>
      <c r="AD2089" s="42"/>
      <c r="AE2089" s="42"/>
      <c r="AF2089" s="9"/>
      <c r="AG2089" s="9"/>
      <c r="AH2089" s="42"/>
      <c r="AI2089" s="42"/>
      <c r="AJ2089" s="42"/>
      <c r="AK2089" s="42"/>
      <c r="AL2089" s="42"/>
      <c r="AM2089" s="42"/>
      <c r="AN2089" s="42"/>
      <c r="AO2089" s="63" t="str">
        <f>IFERROR(__xludf.DUMMYFUNCTION("IF(ISBLANK(A2089),,IF(ISBLANK(S2089), A2089&amp;"";"", TEXTJOIN(CHAR(10), TRUE, A2089&amp;"";"", ARRAYFORMULA(VLOOKUP(SPLIT(S2089, "";"" &amp; CHAR(10)), $A:$AO, 41, FALSE)))))"),"PoN;
LG;
DLG;
DLGmc;
DLG1;
DLG2;
DLGpc;
DLG3;
DLG4;
DLG5;
DLG6;
DLGs;
DLGk;
PG;
MG;
DMG;
DMGad;
DMGpd;
VMG;
MMG;
LiMG;
Po;
LSG;
Lim;
SGN;")</f>
        <v>PoN;
LG;
DLG;
DLGmc;
DLG1;
DLG2;
DLGpc;
DLG3;
DLG4;
DLG5;
DLG6;
DLGs;
DLGk;
PG;
MG;
DMG;
DMGad;
DMGpd;
VMG;
MMG;
LiMG;
Po;
LSG;
Lim;
SGN;</v>
      </c>
      <c r="AP2089" s="89"/>
    </row>
    <row r="2090">
      <c r="A2090" s="151" t="str">
        <f>IFERROR(__xludf.DUMMYFUNCTION("""COMPUTED_VALUE"""),"LG")</f>
        <v>LG</v>
      </c>
      <c r="B2090" s="42" t="str">
        <f>IFERROR(__xludf.DUMMYFUNCTION("""COMPUTED_VALUE"""),"DHBA")</f>
        <v>DHBA</v>
      </c>
      <c r="C2090" s="42" t="str">
        <f>IFERROR(__xludf.DUMMYFUNCTION("""COMPUTED_VALUE"""),"lateral geniculate nucleus")</f>
        <v>lateral geniculate nucleus</v>
      </c>
      <c r="D2090" s="42">
        <f>IFERROR(__xludf.DUMMYFUNCTION("""COMPUTED_VALUE"""),1973.0)</f>
        <v>1973</v>
      </c>
      <c r="E2090" s="39" t="str">
        <f>IFERROR(__xludf.DUMMYFUNCTION("""COMPUTED_VALUE"""),"lateral geniculate nucleus")</f>
        <v>lateral geniculate nucleus</v>
      </c>
      <c r="F2090" s="9" t="str">
        <f>IFERROR(__xludf.DUMMYFUNCTION("""COMPUTED_VALUE"""),"Br")</f>
        <v>Br</v>
      </c>
      <c r="G2090" s="9" t="str">
        <f>IFERROR(__xludf.DUMMYFUNCTION("""COMPUTED_VALUE"""),"F")</f>
        <v>F</v>
      </c>
      <c r="H2090" s="9" t="str">
        <f>IFERROR(__xludf.DUMMYFUNCTION("""COMPUTED_VALUE"""),"FGM")</f>
        <v>FGM</v>
      </c>
      <c r="I2090" s="9" t="str">
        <f>IFERROR(__xludf.DUMMYFUNCTION("""COMPUTED_VALUE"""),"Die")</f>
        <v>Die</v>
      </c>
      <c r="J2090" s="9" t="str">
        <f>IFERROR(__xludf.DUMMYFUNCTION("""COMPUTED_VALUE"""),"THM")</f>
        <v>THM</v>
      </c>
      <c r="K2090" s="9" t="str">
        <f>IFERROR(__xludf.DUMMYFUNCTION("""COMPUTED_VALUE"""),"DTH")</f>
        <v>DTH</v>
      </c>
      <c r="L2090" s="9" t="str">
        <f>IFERROR(__xludf.DUMMYFUNCTION("""COMPUTED_VALUE"""),"PoN")</f>
        <v>PoN</v>
      </c>
      <c r="M2090" s="9" t="str">
        <f>IFERROR(__xludf.DUMMYFUNCTION("""COMPUTED_VALUE"""),"LG")</f>
        <v>LG</v>
      </c>
      <c r="N2090" s="9"/>
      <c r="O2090" s="9"/>
      <c r="P2090" s="9"/>
      <c r="Q2090" s="9"/>
      <c r="R2090" s="9"/>
      <c r="S2090" s="42" t="str">
        <f>IFERROR(__xludf.DUMMYFUNCTION("""COMPUTED_VALUE"""),"DLG;
PG")</f>
        <v>DLG;
PG</v>
      </c>
      <c r="T2090" s="42"/>
      <c r="U2090" s="42" t="b">
        <f>IFERROR(__xludf.DUMMYFUNCTION("""COMPUTED_VALUE"""),FALSE)</f>
        <v>0</v>
      </c>
      <c r="V2090" s="42"/>
      <c r="W2090" s="42" t="str">
        <f>IFERROR(__xludf.DUMMYFUNCTION("""COMPUTED_VALUE"""),"Excitatory")</f>
        <v>Excitatory</v>
      </c>
      <c r="X2090" s="42"/>
      <c r="Y2090" s="42"/>
      <c r="Z2090" s="42"/>
      <c r="AA2090" s="42"/>
      <c r="AB2090" s="42" t="str">
        <f>IFERROR(__xludf.DUMMYFUNCTION("""COMPUTED_VALUE"""),"allen institute")</f>
        <v>allen institute</v>
      </c>
      <c r="AC2090" s="42" t="str">
        <f>IFERROR(__xludf.DUMMYFUNCTION("""COMPUTED_VALUE"""),"DHBA")</f>
        <v>DHBA</v>
      </c>
      <c r="AD2090" s="42"/>
      <c r="AE2090" s="42"/>
      <c r="AF2090" s="9"/>
      <c r="AG2090" s="9"/>
      <c r="AH2090" s="42"/>
      <c r="AI2090" s="42"/>
      <c r="AJ2090" s="42"/>
      <c r="AK2090" s="42"/>
      <c r="AL2090" s="42"/>
      <c r="AM2090" s="42"/>
      <c r="AN2090" s="42"/>
      <c r="AO2090" s="63" t="str">
        <f>IFERROR(__xludf.DUMMYFUNCTION("IF(ISBLANK(A2090),,IF(ISBLANK(S2090), A2090&amp;"";"", TEXTJOIN(CHAR(10), TRUE, A2090&amp;"";"", ARRAYFORMULA(VLOOKUP(SPLIT(S2090, "";"" &amp; CHAR(10)), $A:$AO, 41, FALSE)))))"),"LG;
DLG;
DLGmc;
DLG1;
DLG2;
DLGpc;
DLG3;
DLG4;
DLG5;
DLG6;
DLGs;
DLGk;
PG;")</f>
        <v>LG;
DLG;
DLGmc;
DLG1;
DLG2;
DLGpc;
DLG3;
DLG4;
DLG5;
DLG6;
DLGs;
DLGk;
PG;</v>
      </c>
      <c r="AP2090" s="89"/>
    </row>
    <row r="2091">
      <c r="A2091" s="151" t="str">
        <f>IFERROR(__xludf.DUMMYFUNCTION("""COMPUTED_VALUE"""),"DLG")</f>
        <v>DLG</v>
      </c>
      <c r="B2091" s="42" t="str">
        <f>IFERROR(__xludf.DUMMYFUNCTION("""COMPUTED_VALUE"""),"DHBA")</f>
        <v>DHBA</v>
      </c>
      <c r="C2091" s="42" t="str">
        <f>IFERROR(__xludf.DUMMYFUNCTION("""COMPUTED_VALUE"""),"dorsal lateral geniculate nucleus")</f>
        <v>dorsal lateral geniculate nucleus</v>
      </c>
      <c r="D2091" s="42">
        <f>IFERROR(__xludf.DUMMYFUNCTION("""COMPUTED_VALUE"""),1974.0)</f>
        <v>1974</v>
      </c>
      <c r="E2091" s="39" t="str">
        <f>IFERROR(__xludf.DUMMYFUNCTION("""COMPUTED_VALUE"""),"dorsal lateral geniculate nucleus")</f>
        <v>dorsal lateral geniculate nucleus</v>
      </c>
      <c r="F2091" s="9" t="str">
        <f>IFERROR(__xludf.DUMMYFUNCTION("""COMPUTED_VALUE"""),"Br")</f>
        <v>Br</v>
      </c>
      <c r="G2091" s="9" t="str">
        <f>IFERROR(__xludf.DUMMYFUNCTION("""COMPUTED_VALUE"""),"F")</f>
        <v>F</v>
      </c>
      <c r="H2091" s="9" t="str">
        <f>IFERROR(__xludf.DUMMYFUNCTION("""COMPUTED_VALUE"""),"FGM")</f>
        <v>FGM</v>
      </c>
      <c r="I2091" s="9" t="str">
        <f>IFERROR(__xludf.DUMMYFUNCTION("""COMPUTED_VALUE"""),"Die")</f>
        <v>Die</v>
      </c>
      <c r="J2091" s="9" t="str">
        <f>IFERROR(__xludf.DUMMYFUNCTION("""COMPUTED_VALUE"""),"THM")</f>
        <v>THM</v>
      </c>
      <c r="K2091" s="9" t="str">
        <f>IFERROR(__xludf.DUMMYFUNCTION("""COMPUTED_VALUE"""),"DTH")</f>
        <v>DTH</v>
      </c>
      <c r="L2091" s="9" t="str">
        <f>IFERROR(__xludf.DUMMYFUNCTION("""COMPUTED_VALUE"""),"PoN")</f>
        <v>PoN</v>
      </c>
      <c r="M2091" s="9" t="str">
        <f>IFERROR(__xludf.DUMMYFUNCTION("""COMPUTED_VALUE"""),"LG")</f>
        <v>LG</v>
      </c>
      <c r="N2091" s="9" t="str">
        <f>IFERROR(__xludf.DUMMYFUNCTION("""COMPUTED_VALUE"""),"DLG")</f>
        <v>DLG</v>
      </c>
      <c r="O2091" s="9"/>
      <c r="P2091" s="9"/>
      <c r="Q2091" s="9"/>
      <c r="R2091" s="9"/>
      <c r="S2091" s="42" t="str">
        <f>IFERROR(__xludf.DUMMYFUNCTION("""COMPUTED_VALUE"""),"DLGmc;
DLGpc;
DLGs;
DLGk")</f>
        <v>DLGmc;
DLGpc;
DLGs;
DLGk</v>
      </c>
      <c r="T2091" s="42"/>
      <c r="U2091" s="42" t="b">
        <f>IFERROR(__xludf.DUMMYFUNCTION("""COMPUTED_VALUE"""),FALSE)</f>
        <v>0</v>
      </c>
      <c r="V2091" s="42"/>
      <c r="W2091" s="42"/>
      <c r="X2091" s="42"/>
      <c r="Y2091" s="42"/>
      <c r="Z2091" s="42"/>
      <c r="AA2091" s="42"/>
      <c r="AB2091" s="42" t="str">
        <f>IFERROR(__xludf.DUMMYFUNCTION("""COMPUTED_VALUE"""),"allen institute")</f>
        <v>allen institute</v>
      </c>
      <c r="AC2091" s="42" t="str">
        <f>IFERROR(__xludf.DUMMYFUNCTION("""COMPUTED_VALUE"""),"DHBA")</f>
        <v>DHBA</v>
      </c>
      <c r="AD2091" s="42"/>
      <c r="AE2091" s="42"/>
      <c r="AF2091" s="9"/>
      <c r="AG2091" s="9"/>
      <c r="AH2091" s="42"/>
      <c r="AI2091" s="42"/>
      <c r="AJ2091" s="42"/>
      <c r="AK2091" s="42"/>
      <c r="AL2091" s="42"/>
      <c r="AM2091" s="42"/>
      <c r="AN2091" s="42"/>
      <c r="AO2091" s="63" t="str">
        <f>IFERROR(__xludf.DUMMYFUNCTION("IF(ISBLANK(A2091),,IF(ISBLANK(S2091), A2091&amp;"";"", TEXTJOIN(CHAR(10), TRUE, A2091&amp;"";"", ARRAYFORMULA(VLOOKUP(SPLIT(S2091, "";"" &amp; CHAR(10)), $A:$AO, 41, FALSE)))))"),"DLG;
DLGmc;
DLG1;
DLG2;
DLGpc;
DLG3;
DLG4;
DLG5;
DLG6;
DLGs;
DLGk;")</f>
        <v>DLG;
DLGmc;
DLG1;
DLG2;
DLGpc;
DLG3;
DLG4;
DLG5;
DLG6;
DLGs;
DLGk;</v>
      </c>
      <c r="AP2091" s="89"/>
    </row>
    <row r="2092">
      <c r="A2092" s="151" t="str">
        <f>IFERROR(__xludf.DUMMYFUNCTION("""COMPUTED_VALUE"""),"DLGmc")</f>
        <v>DLGmc</v>
      </c>
      <c r="B2092" s="42" t="str">
        <f>IFERROR(__xludf.DUMMYFUNCTION("""COMPUTED_VALUE"""),"DHBA")</f>
        <v>DHBA</v>
      </c>
      <c r="C2092" s="42" t="str">
        <f>IFERROR(__xludf.DUMMYFUNCTION("""COMPUTED_VALUE"""),"magnocellular layer of DLG")</f>
        <v>magnocellular layer of DLG</v>
      </c>
      <c r="D2092" s="42">
        <f>IFERROR(__xludf.DUMMYFUNCTION("""COMPUTED_VALUE"""),1975.0)</f>
        <v>1975</v>
      </c>
      <c r="E2092" s="39" t="str">
        <f>IFERROR(__xludf.DUMMYFUNCTION("""COMPUTED_VALUE"""),"magnocellular layer of DLG")</f>
        <v>magnocellular layer of DLG</v>
      </c>
      <c r="F2092" s="9" t="str">
        <f>IFERROR(__xludf.DUMMYFUNCTION("""COMPUTED_VALUE"""),"Br")</f>
        <v>Br</v>
      </c>
      <c r="G2092" s="9" t="str">
        <f>IFERROR(__xludf.DUMMYFUNCTION("""COMPUTED_VALUE"""),"F")</f>
        <v>F</v>
      </c>
      <c r="H2092" s="9" t="str">
        <f>IFERROR(__xludf.DUMMYFUNCTION("""COMPUTED_VALUE"""),"FGM")</f>
        <v>FGM</v>
      </c>
      <c r="I2092" s="9" t="str">
        <f>IFERROR(__xludf.DUMMYFUNCTION("""COMPUTED_VALUE"""),"Die")</f>
        <v>Die</v>
      </c>
      <c r="J2092" s="9" t="str">
        <f>IFERROR(__xludf.DUMMYFUNCTION("""COMPUTED_VALUE"""),"THM")</f>
        <v>THM</v>
      </c>
      <c r="K2092" s="9" t="str">
        <f>IFERROR(__xludf.DUMMYFUNCTION("""COMPUTED_VALUE"""),"DTH")</f>
        <v>DTH</v>
      </c>
      <c r="L2092" s="9" t="str">
        <f>IFERROR(__xludf.DUMMYFUNCTION("""COMPUTED_VALUE"""),"PoN")</f>
        <v>PoN</v>
      </c>
      <c r="M2092" s="9" t="str">
        <f>IFERROR(__xludf.DUMMYFUNCTION("""COMPUTED_VALUE"""),"LG")</f>
        <v>LG</v>
      </c>
      <c r="N2092" s="9" t="str">
        <f>IFERROR(__xludf.DUMMYFUNCTION("""COMPUTED_VALUE"""),"DLG")</f>
        <v>DLG</v>
      </c>
      <c r="O2092" s="9" t="str">
        <f>IFERROR(__xludf.DUMMYFUNCTION("""COMPUTED_VALUE"""),"DLGmc")</f>
        <v>DLGmc</v>
      </c>
      <c r="P2092" s="9"/>
      <c r="Q2092" s="9"/>
      <c r="R2092" s="9"/>
      <c r="S2092" s="42" t="str">
        <f>IFERROR(__xludf.DUMMYFUNCTION("""COMPUTED_VALUE"""),"DLG1;
DLG2")</f>
        <v>DLG1;
DLG2</v>
      </c>
      <c r="T2092" s="42"/>
      <c r="U2092" s="42" t="b">
        <f>IFERROR(__xludf.DUMMYFUNCTION("""COMPUTED_VALUE"""),FALSE)</f>
        <v>0</v>
      </c>
      <c r="V2092" s="42"/>
      <c r="W2092" s="42"/>
      <c r="X2092" s="42"/>
      <c r="Y2092" s="42"/>
      <c r="Z2092" s="42"/>
      <c r="AA2092" s="42"/>
      <c r="AB2092" s="42" t="str">
        <f>IFERROR(__xludf.DUMMYFUNCTION("""COMPUTED_VALUE"""),"allen institute")</f>
        <v>allen institute</v>
      </c>
      <c r="AC2092" s="42" t="str">
        <f>IFERROR(__xludf.DUMMYFUNCTION("""COMPUTED_VALUE"""),"DHBA")</f>
        <v>DHBA</v>
      </c>
      <c r="AD2092" s="42"/>
      <c r="AE2092" s="42"/>
      <c r="AF2092" s="9"/>
      <c r="AG2092" s="9"/>
      <c r="AH2092" s="42"/>
      <c r="AI2092" s="42"/>
      <c r="AJ2092" s="42"/>
      <c r="AK2092" s="42"/>
      <c r="AL2092" s="42"/>
      <c r="AM2092" s="42"/>
      <c r="AN2092" s="42"/>
      <c r="AO2092" s="63" t="str">
        <f>IFERROR(__xludf.DUMMYFUNCTION("IF(ISBLANK(A2092),,IF(ISBLANK(S2092), A2092&amp;"";"", TEXTJOIN(CHAR(10), TRUE, A2092&amp;"";"", ARRAYFORMULA(VLOOKUP(SPLIT(S2092, "";"" &amp; CHAR(10)), $A:$AO, 41, FALSE)))))"),"DLGmc;
DLG1;
DLG2;")</f>
        <v>DLGmc;
DLG1;
DLG2;</v>
      </c>
      <c r="AP2092" s="89"/>
    </row>
    <row r="2093">
      <c r="A2093" s="151" t="str">
        <f>IFERROR(__xludf.DUMMYFUNCTION("""COMPUTED_VALUE"""),"DLG1")</f>
        <v>DLG1</v>
      </c>
      <c r="B2093" s="42" t="str">
        <f>IFERROR(__xludf.DUMMYFUNCTION("""COMPUTED_VALUE"""),"DHBA")</f>
        <v>DHBA</v>
      </c>
      <c r="C2093" s="42" t="str">
        <f>IFERROR(__xludf.DUMMYFUNCTION("""COMPUTED_VALUE"""),"layer 1 of DLG")</f>
        <v>layer 1 of DLG</v>
      </c>
      <c r="D2093" s="42">
        <f>IFERROR(__xludf.DUMMYFUNCTION("""COMPUTED_VALUE"""),1976.0)</f>
        <v>1976</v>
      </c>
      <c r="E2093" s="39" t="str">
        <f>IFERROR(__xludf.DUMMYFUNCTION("""COMPUTED_VALUE"""),"layer 1 of DLG")</f>
        <v>layer 1 of DLG</v>
      </c>
      <c r="F2093" s="9" t="str">
        <f>IFERROR(__xludf.DUMMYFUNCTION("""COMPUTED_VALUE"""),"Br")</f>
        <v>Br</v>
      </c>
      <c r="G2093" s="9" t="str">
        <f>IFERROR(__xludf.DUMMYFUNCTION("""COMPUTED_VALUE"""),"F")</f>
        <v>F</v>
      </c>
      <c r="H2093" s="9" t="str">
        <f>IFERROR(__xludf.DUMMYFUNCTION("""COMPUTED_VALUE"""),"FGM")</f>
        <v>FGM</v>
      </c>
      <c r="I2093" s="9" t="str">
        <f>IFERROR(__xludf.DUMMYFUNCTION("""COMPUTED_VALUE"""),"Die")</f>
        <v>Die</v>
      </c>
      <c r="J2093" s="9" t="str">
        <f>IFERROR(__xludf.DUMMYFUNCTION("""COMPUTED_VALUE"""),"THM")</f>
        <v>THM</v>
      </c>
      <c r="K2093" s="9" t="str">
        <f>IFERROR(__xludf.DUMMYFUNCTION("""COMPUTED_VALUE"""),"DTH")</f>
        <v>DTH</v>
      </c>
      <c r="L2093" s="9" t="str">
        <f>IFERROR(__xludf.DUMMYFUNCTION("""COMPUTED_VALUE"""),"PoN")</f>
        <v>PoN</v>
      </c>
      <c r="M2093" s="9" t="str">
        <f>IFERROR(__xludf.DUMMYFUNCTION("""COMPUTED_VALUE"""),"LG")</f>
        <v>LG</v>
      </c>
      <c r="N2093" s="9" t="str">
        <f>IFERROR(__xludf.DUMMYFUNCTION("""COMPUTED_VALUE"""),"DLG")</f>
        <v>DLG</v>
      </c>
      <c r="O2093" s="9" t="str">
        <f>IFERROR(__xludf.DUMMYFUNCTION("""COMPUTED_VALUE"""),"DLGmc")</f>
        <v>DLGmc</v>
      </c>
      <c r="P2093" s="9" t="str">
        <f>IFERROR(__xludf.DUMMYFUNCTION("""COMPUTED_VALUE"""),"DLG1")</f>
        <v>DLG1</v>
      </c>
      <c r="Q2093" s="9"/>
      <c r="R2093" s="9"/>
      <c r="S2093" s="42"/>
      <c r="T2093" s="42"/>
      <c r="U2093" s="42"/>
      <c r="V2093" s="42"/>
      <c r="W2093" s="42"/>
      <c r="X2093" s="42"/>
      <c r="Y2093" s="42"/>
      <c r="Z2093" s="42"/>
      <c r="AA2093" s="42"/>
      <c r="AB2093" s="42" t="str">
        <f>IFERROR(__xludf.DUMMYFUNCTION("""COMPUTED_VALUE"""),"allen institute")</f>
        <v>allen institute</v>
      </c>
      <c r="AC2093" s="42" t="str">
        <f>IFERROR(__xludf.DUMMYFUNCTION("""COMPUTED_VALUE"""),"DHBA")</f>
        <v>DHBA</v>
      </c>
      <c r="AD2093" s="42"/>
      <c r="AE2093" s="42"/>
      <c r="AF2093" s="9"/>
      <c r="AG2093" s="9"/>
      <c r="AH2093" s="42"/>
      <c r="AI2093" s="42"/>
      <c r="AJ2093" s="42"/>
      <c r="AK2093" s="42"/>
      <c r="AL2093" s="42"/>
      <c r="AM2093" s="42"/>
      <c r="AN2093" s="42"/>
      <c r="AO2093" s="63" t="str">
        <f>IFERROR(__xludf.DUMMYFUNCTION("IF(ISBLANK(A2093),,IF(ISBLANK(S2093), A2093&amp;"";"", TEXTJOIN(CHAR(10), TRUE, A2093&amp;"";"", ARRAYFORMULA(VLOOKUP(SPLIT(S2093, "";"" &amp; CHAR(10)), $A:$AO, 41, FALSE)))))"),"DLG1;")</f>
        <v>DLG1;</v>
      </c>
      <c r="AP2093" s="89"/>
    </row>
    <row r="2094">
      <c r="A2094" s="151" t="str">
        <f>IFERROR(__xludf.DUMMYFUNCTION("""COMPUTED_VALUE"""),"DLG2")</f>
        <v>DLG2</v>
      </c>
      <c r="B2094" s="42" t="str">
        <f>IFERROR(__xludf.DUMMYFUNCTION("""COMPUTED_VALUE"""),"DHBA")</f>
        <v>DHBA</v>
      </c>
      <c r="C2094" s="42" t="str">
        <f>IFERROR(__xludf.DUMMYFUNCTION("""COMPUTED_VALUE"""),"layer 2 of DLG")</f>
        <v>layer 2 of DLG</v>
      </c>
      <c r="D2094" s="42">
        <f>IFERROR(__xludf.DUMMYFUNCTION("""COMPUTED_VALUE"""),1977.0)</f>
        <v>1977</v>
      </c>
      <c r="E2094" s="39" t="str">
        <f>IFERROR(__xludf.DUMMYFUNCTION("""COMPUTED_VALUE"""),"layer 2 of DLG")</f>
        <v>layer 2 of DLG</v>
      </c>
      <c r="F2094" s="9" t="str">
        <f>IFERROR(__xludf.DUMMYFUNCTION("""COMPUTED_VALUE"""),"Br")</f>
        <v>Br</v>
      </c>
      <c r="G2094" s="9" t="str">
        <f>IFERROR(__xludf.DUMMYFUNCTION("""COMPUTED_VALUE"""),"F")</f>
        <v>F</v>
      </c>
      <c r="H2094" s="9" t="str">
        <f>IFERROR(__xludf.DUMMYFUNCTION("""COMPUTED_VALUE"""),"FGM")</f>
        <v>FGM</v>
      </c>
      <c r="I2094" s="9" t="str">
        <f>IFERROR(__xludf.DUMMYFUNCTION("""COMPUTED_VALUE"""),"Die")</f>
        <v>Die</v>
      </c>
      <c r="J2094" s="9" t="str">
        <f>IFERROR(__xludf.DUMMYFUNCTION("""COMPUTED_VALUE"""),"THM")</f>
        <v>THM</v>
      </c>
      <c r="K2094" s="9" t="str">
        <f>IFERROR(__xludf.DUMMYFUNCTION("""COMPUTED_VALUE"""),"DTH")</f>
        <v>DTH</v>
      </c>
      <c r="L2094" s="9" t="str">
        <f>IFERROR(__xludf.DUMMYFUNCTION("""COMPUTED_VALUE"""),"PoN")</f>
        <v>PoN</v>
      </c>
      <c r="M2094" s="9" t="str">
        <f>IFERROR(__xludf.DUMMYFUNCTION("""COMPUTED_VALUE"""),"LG")</f>
        <v>LG</v>
      </c>
      <c r="N2094" s="9" t="str">
        <f>IFERROR(__xludf.DUMMYFUNCTION("""COMPUTED_VALUE"""),"DLG")</f>
        <v>DLG</v>
      </c>
      <c r="O2094" s="9" t="str">
        <f>IFERROR(__xludf.DUMMYFUNCTION("""COMPUTED_VALUE"""),"DLGmc")</f>
        <v>DLGmc</v>
      </c>
      <c r="P2094" s="9" t="str">
        <f>IFERROR(__xludf.DUMMYFUNCTION("""COMPUTED_VALUE"""),"DLG2")</f>
        <v>DLG2</v>
      </c>
      <c r="Q2094" s="9"/>
      <c r="R2094" s="9"/>
      <c r="S2094" s="42"/>
      <c r="T2094" s="42"/>
      <c r="U2094" s="42"/>
      <c r="V2094" s="42"/>
      <c r="W2094" s="42"/>
      <c r="X2094" s="42"/>
      <c r="Y2094" s="42"/>
      <c r="Z2094" s="42"/>
      <c r="AA2094" s="42"/>
      <c r="AB2094" s="42" t="str">
        <f>IFERROR(__xludf.DUMMYFUNCTION("""COMPUTED_VALUE"""),"allen institute")</f>
        <v>allen institute</v>
      </c>
      <c r="AC2094" s="42" t="str">
        <f>IFERROR(__xludf.DUMMYFUNCTION("""COMPUTED_VALUE"""),"DHBA")</f>
        <v>DHBA</v>
      </c>
      <c r="AD2094" s="42"/>
      <c r="AE2094" s="42"/>
      <c r="AF2094" s="9"/>
      <c r="AG2094" s="9"/>
      <c r="AH2094" s="42"/>
      <c r="AI2094" s="42"/>
      <c r="AJ2094" s="42"/>
      <c r="AK2094" s="42"/>
      <c r="AL2094" s="42"/>
      <c r="AM2094" s="42"/>
      <c r="AN2094" s="42"/>
      <c r="AO2094" s="63" t="str">
        <f>IFERROR(__xludf.DUMMYFUNCTION("IF(ISBLANK(A2094),,IF(ISBLANK(S2094), A2094&amp;"";"", TEXTJOIN(CHAR(10), TRUE, A2094&amp;"";"", ARRAYFORMULA(VLOOKUP(SPLIT(S2094, "";"" &amp; CHAR(10)), $A:$AO, 41, FALSE)))))"),"DLG2;")</f>
        <v>DLG2;</v>
      </c>
      <c r="AP2094" s="89"/>
    </row>
    <row r="2095">
      <c r="A2095" s="151" t="str">
        <f>IFERROR(__xludf.DUMMYFUNCTION("""COMPUTED_VALUE"""),"DLGpc")</f>
        <v>DLGpc</v>
      </c>
      <c r="B2095" s="42" t="str">
        <f>IFERROR(__xludf.DUMMYFUNCTION("""COMPUTED_VALUE"""),"DHBA")</f>
        <v>DHBA</v>
      </c>
      <c r="C2095" s="42" t="str">
        <f>IFERROR(__xludf.DUMMYFUNCTION("""COMPUTED_VALUE"""),"parvicellular layer of DLG")</f>
        <v>parvicellular layer of DLG</v>
      </c>
      <c r="D2095" s="42">
        <f>IFERROR(__xludf.DUMMYFUNCTION("""COMPUTED_VALUE"""),1978.0)</f>
        <v>1978</v>
      </c>
      <c r="E2095" s="39" t="str">
        <f>IFERROR(__xludf.DUMMYFUNCTION("""COMPUTED_VALUE"""),"parvicellular layer of DLG")</f>
        <v>parvicellular layer of DLG</v>
      </c>
      <c r="F2095" s="9" t="str">
        <f>IFERROR(__xludf.DUMMYFUNCTION("""COMPUTED_VALUE"""),"Br")</f>
        <v>Br</v>
      </c>
      <c r="G2095" s="9" t="str">
        <f>IFERROR(__xludf.DUMMYFUNCTION("""COMPUTED_VALUE"""),"F")</f>
        <v>F</v>
      </c>
      <c r="H2095" s="9" t="str">
        <f>IFERROR(__xludf.DUMMYFUNCTION("""COMPUTED_VALUE"""),"FGM")</f>
        <v>FGM</v>
      </c>
      <c r="I2095" s="9" t="str">
        <f>IFERROR(__xludf.DUMMYFUNCTION("""COMPUTED_VALUE"""),"Die")</f>
        <v>Die</v>
      </c>
      <c r="J2095" s="9" t="str">
        <f>IFERROR(__xludf.DUMMYFUNCTION("""COMPUTED_VALUE"""),"THM")</f>
        <v>THM</v>
      </c>
      <c r="K2095" s="9" t="str">
        <f>IFERROR(__xludf.DUMMYFUNCTION("""COMPUTED_VALUE"""),"DTH")</f>
        <v>DTH</v>
      </c>
      <c r="L2095" s="9" t="str">
        <f>IFERROR(__xludf.DUMMYFUNCTION("""COMPUTED_VALUE"""),"PoN")</f>
        <v>PoN</v>
      </c>
      <c r="M2095" s="9" t="str">
        <f>IFERROR(__xludf.DUMMYFUNCTION("""COMPUTED_VALUE"""),"LG")</f>
        <v>LG</v>
      </c>
      <c r="N2095" s="9" t="str">
        <f>IFERROR(__xludf.DUMMYFUNCTION("""COMPUTED_VALUE"""),"DLG")</f>
        <v>DLG</v>
      </c>
      <c r="O2095" s="9" t="str">
        <f>IFERROR(__xludf.DUMMYFUNCTION("""COMPUTED_VALUE"""),"DLGpc")</f>
        <v>DLGpc</v>
      </c>
      <c r="P2095" s="9"/>
      <c r="Q2095" s="9"/>
      <c r="R2095" s="9"/>
      <c r="S2095" s="42" t="str">
        <f>IFERROR(__xludf.DUMMYFUNCTION("""COMPUTED_VALUE"""),"DLG3;
DLG4;
DLG5;
DLG6")</f>
        <v>DLG3;
DLG4;
DLG5;
DLG6</v>
      </c>
      <c r="T2095" s="42"/>
      <c r="U2095" s="42" t="b">
        <f>IFERROR(__xludf.DUMMYFUNCTION("""COMPUTED_VALUE"""),FALSE)</f>
        <v>0</v>
      </c>
      <c r="V2095" s="42"/>
      <c r="W2095" s="42"/>
      <c r="X2095" s="42"/>
      <c r="Y2095" s="42"/>
      <c r="Z2095" s="42"/>
      <c r="AA2095" s="42"/>
      <c r="AB2095" s="42" t="str">
        <f>IFERROR(__xludf.DUMMYFUNCTION("""COMPUTED_VALUE"""),"allen institute")</f>
        <v>allen institute</v>
      </c>
      <c r="AC2095" s="42" t="str">
        <f>IFERROR(__xludf.DUMMYFUNCTION("""COMPUTED_VALUE"""),"DHBA")</f>
        <v>DHBA</v>
      </c>
      <c r="AD2095" s="42"/>
      <c r="AE2095" s="42"/>
      <c r="AF2095" s="9"/>
      <c r="AG2095" s="9"/>
      <c r="AH2095" s="42"/>
      <c r="AI2095" s="42"/>
      <c r="AJ2095" s="42"/>
      <c r="AK2095" s="42"/>
      <c r="AL2095" s="42"/>
      <c r="AM2095" s="42"/>
      <c r="AN2095" s="42"/>
      <c r="AO2095" s="63" t="str">
        <f>IFERROR(__xludf.DUMMYFUNCTION("IF(ISBLANK(A2095),,IF(ISBLANK(S2095), A2095&amp;"";"", TEXTJOIN(CHAR(10), TRUE, A2095&amp;"";"", ARRAYFORMULA(VLOOKUP(SPLIT(S2095, "";"" &amp; CHAR(10)), $A:$AO, 41, FALSE)))))"),"DLGpc;
DLG3;
DLG4;
DLG5;
DLG6;")</f>
        <v>DLGpc;
DLG3;
DLG4;
DLG5;
DLG6;</v>
      </c>
      <c r="AP2095" s="89"/>
    </row>
    <row r="2096">
      <c r="A2096" s="151" t="str">
        <f>IFERROR(__xludf.DUMMYFUNCTION("""COMPUTED_VALUE"""),"DLG3")</f>
        <v>DLG3</v>
      </c>
      <c r="B2096" s="42" t="str">
        <f>IFERROR(__xludf.DUMMYFUNCTION("""COMPUTED_VALUE"""),"DHBA")</f>
        <v>DHBA</v>
      </c>
      <c r="C2096" s="42" t="str">
        <f>IFERROR(__xludf.DUMMYFUNCTION("""COMPUTED_VALUE"""),"layer 3 of DLG")</f>
        <v>layer 3 of DLG</v>
      </c>
      <c r="D2096" s="42">
        <f>IFERROR(__xludf.DUMMYFUNCTION("""COMPUTED_VALUE"""),1979.0)</f>
        <v>1979</v>
      </c>
      <c r="E2096" s="39" t="str">
        <f>IFERROR(__xludf.DUMMYFUNCTION("""COMPUTED_VALUE"""),"layer 3 of DLG")</f>
        <v>layer 3 of DLG</v>
      </c>
      <c r="F2096" s="9" t="str">
        <f>IFERROR(__xludf.DUMMYFUNCTION("""COMPUTED_VALUE"""),"Br")</f>
        <v>Br</v>
      </c>
      <c r="G2096" s="9" t="str">
        <f>IFERROR(__xludf.DUMMYFUNCTION("""COMPUTED_VALUE"""),"F")</f>
        <v>F</v>
      </c>
      <c r="H2096" s="9" t="str">
        <f>IFERROR(__xludf.DUMMYFUNCTION("""COMPUTED_VALUE"""),"FGM")</f>
        <v>FGM</v>
      </c>
      <c r="I2096" s="9" t="str">
        <f>IFERROR(__xludf.DUMMYFUNCTION("""COMPUTED_VALUE"""),"Die")</f>
        <v>Die</v>
      </c>
      <c r="J2096" s="9" t="str">
        <f>IFERROR(__xludf.DUMMYFUNCTION("""COMPUTED_VALUE"""),"THM")</f>
        <v>THM</v>
      </c>
      <c r="K2096" s="9" t="str">
        <f>IFERROR(__xludf.DUMMYFUNCTION("""COMPUTED_VALUE"""),"DTH")</f>
        <v>DTH</v>
      </c>
      <c r="L2096" s="9" t="str">
        <f>IFERROR(__xludf.DUMMYFUNCTION("""COMPUTED_VALUE"""),"PoN")</f>
        <v>PoN</v>
      </c>
      <c r="M2096" s="9" t="str">
        <f>IFERROR(__xludf.DUMMYFUNCTION("""COMPUTED_VALUE"""),"LG")</f>
        <v>LG</v>
      </c>
      <c r="N2096" s="9" t="str">
        <f>IFERROR(__xludf.DUMMYFUNCTION("""COMPUTED_VALUE"""),"DLG")</f>
        <v>DLG</v>
      </c>
      <c r="O2096" s="9" t="str">
        <f>IFERROR(__xludf.DUMMYFUNCTION("""COMPUTED_VALUE"""),"DLGpc")</f>
        <v>DLGpc</v>
      </c>
      <c r="P2096" s="9" t="str">
        <f>IFERROR(__xludf.DUMMYFUNCTION("""COMPUTED_VALUE"""),"DLG3")</f>
        <v>DLG3</v>
      </c>
      <c r="Q2096" s="9"/>
      <c r="R2096" s="9"/>
      <c r="S2096" s="42"/>
      <c r="T2096" s="42"/>
      <c r="U2096" s="42"/>
      <c r="V2096" s="42"/>
      <c r="W2096" s="42"/>
      <c r="X2096" s="42"/>
      <c r="Y2096" s="42"/>
      <c r="Z2096" s="42"/>
      <c r="AA2096" s="42"/>
      <c r="AB2096" s="42" t="str">
        <f>IFERROR(__xludf.DUMMYFUNCTION("""COMPUTED_VALUE"""),"allen institute")</f>
        <v>allen institute</v>
      </c>
      <c r="AC2096" s="42" t="str">
        <f>IFERROR(__xludf.DUMMYFUNCTION("""COMPUTED_VALUE"""),"DHBA")</f>
        <v>DHBA</v>
      </c>
      <c r="AD2096" s="42"/>
      <c r="AE2096" s="42"/>
      <c r="AF2096" s="9"/>
      <c r="AG2096" s="9"/>
      <c r="AH2096" s="42"/>
      <c r="AI2096" s="42"/>
      <c r="AJ2096" s="42"/>
      <c r="AK2096" s="42"/>
      <c r="AL2096" s="42"/>
      <c r="AM2096" s="42"/>
      <c r="AN2096" s="42"/>
      <c r="AO2096" s="63" t="str">
        <f>IFERROR(__xludf.DUMMYFUNCTION("IF(ISBLANK(A2096),,IF(ISBLANK(S2096), A2096&amp;"";"", TEXTJOIN(CHAR(10), TRUE, A2096&amp;"";"", ARRAYFORMULA(VLOOKUP(SPLIT(S2096, "";"" &amp; CHAR(10)), $A:$AO, 41, FALSE)))))"),"DLG3;")</f>
        <v>DLG3;</v>
      </c>
      <c r="AP2096" s="89"/>
    </row>
    <row r="2097">
      <c r="A2097" s="151" t="str">
        <f>IFERROR(__xludf.DUMMYFUNCTION("""COMPUTED_VALUE"""),"DLG4")</f>
        <v>DLG4</v>
      </c>
      <c r="B2097" s="42" t="str">
        <f>IFERROR(__xludf.DUMMYFUNCTION("""COMPUTED_VALUE"""),"DHBA")</f>
        <v>DHBA</v>
      </c>
      <c r="C2097" s="42" t="str">
        <f>IFERROR(__xludf.DUMMYFUNCTION("""COMPUTED_VALUE"""),"layer 4 of DLG")</f>
        <v>layer 4 of DLG</v>
      </c>
      <c r="D2097" s="42">
        <f>IFERROR(__xludf.DUMMYFUNCTION("""COMPUTED_VALUE"""),1980.0)</f>
        <v>1980</v>
      </c>
      <c r="E2097" s="39" t="str">
        <f>IFERROR(__xludf.DUMMYFUNCTION("""COMPUTED_VALUE"""),"layer 4 of DLG")</f>
        <v>layer 4 of DLG</v>
      </c>
      <c r="F2097" s="9" t="str">
        <f>IFERROR(__xludf.DUMMYFUNCTION("""COMPUTED_VALUE"""),"Br")</f>
        <v>Br</v>
      </c>
      <c r="G2097" s="9" t="str">
        <f>IFERROR(__xludf.DUMMYFUNCTION("""COMPUTED_VALUE"""),"F")</f>
        <v>F</v>
      </c>
      <c r="H2097" s="9" t="str">
        <f>IFERROR(__xludf.DUMMYFUNCTION("""COMPUTED_VALUE"""),"FGM")</f>
        <v>FGM</v>
      </c>
      <c r="I2097" s="9" t="str">
        <f>IFERROR(__xludf.DUMMYFUNCTION("""COMPUTED_VALUE"""),"Die")</f>
        <v>Die</v>
      </c>
      <c r="J2097" s="9" t="str">
        <f>IFERROR(__xludf.DUMMYFUNCTION("""COMPUTED_VALUE"""),"THM")</f>
        <v>THM</v>
      </c>
      <c r="K2097" s="9" t="str">
        <f>IFERROR(__xludf.DUMMYFUNCTION("""COMPUTED_VALUE"""),"DTH")</f>
        <v>DTH</v>
      </c>
      <c r="L2097" s="9" t="str">
        <f>IFERROR(__xludf.DUMMYFUNCTION("""COMPUTED_VALUE"""),"PoN")</f>
        <v>PoN</v>
      </c>
      <c r="M2097" s="9" t="str">
        <f>IFERROR(__xludf.DUMMYFUNCTION("""COMPUTED_VALUE"""),"LG")</f>
        <v>LG</v>
      </c>
      <c r="N2097" s="9" t="str">
        <f>IFERROR(__xludf.DUMMYFUNCTION("""COMPUTED_VALUE"""),"DLG")</f>
        <v>DLG</v>
      </c>
      <c r="O2097" s="9" t="str">
        <f>IFERROR(__xludf.DUMMYFUNCTION("""COMPUTED_VALUE"""),"DLGpc")</f>
        <v>DLGpc</v>
      </c>
      <c r="P2097" s="9" t="str">
        <f>IFERROR(__xludf.DUMMYFUNCTION("""COMPUTED_VALUE"""),"DLG4")</f>
        <v>DLG4</v>
      </c>
      <c r="Q2097" s="9"/>
      <c r="R2097" s="9"/>
      <c r="S2097" s="42"/>
      <c r="T2097" s="42"/>
      <c r="U2097" s="42"/>
      <c r="V2097" s="42"/>
      <c r="W2097" s="42"/>
      <c r="X2097" s="42"/>
      <c r="Y2097" s="42"/>
      <c r="Z2097" s="42"/>
      <c r="AA2097" s="42"/>
      <c r="AB2097" s="42" t="str">
        <f>IFERROR(__xludf.DUMMYFUNCTION("""COMPUTED_VALUE"""),"allen institute")</f>
        <v>allen institute</v>
      </c>
      <c r="AC2097" s="42" t="str">
        <f>IFERROR(__xludf.DUMMYFUNCTION("""COMPUTED_VALUE"""),"DHBA")</f>
        <v>DHBA</v>
      </c>
      <c r="AD2097" s="42"/>
      <c r="AE2097" s="42"/>
      <c r="AF2097" s="9"/>
      <c r="AG2097" s="9"/>
      <c r="AH2097" s="42"/>
      <c r="AI2097" s="42"/>
      <c r="AJ2097" s="42"/>
      <c r="AK2097" s="42"/>
      <c r="AL2097" s="42"/>
      <c r="AM2097" s="42"/>
      <c r="AN2097" s="42"/>
      <c r="AO2097" s="63" t="str">
        <f>IFERROR(__xludf.DUMMYFUNCTION("IF(ISBLANK(A2097),,IF(ISBLANK(S2097), A2097&amp;"";"", TEXTJOIN(CHAR(10), TRUE, A2097&amp;"";"", ARRAYFORMULA(VLOOKUP(SPLIT(S2097, "";"" &amp; CHAR(10)), $A:$AO, 41, FALSE)))))"),"DLG4;")</f>
        <v>DLG4;</v>
      </c>
      <c r="AP2097" s="89"/>
    </row>
    <row r="2098">
      <c r="A2098" s="151" t="str">
        <f>IFERROR(__xludf.DUMMYFUNCTION("""COMPUTED_VALUE"""),"DLG5")</f>
        <v>DLG5</v>
      </c>
      <c r="B2098" s="42" t="str">
        <f>IFERROR(__xludf.DUMMYFUNCTION("""COMPUTED_VALUE"""),"DHBA")</f>
        <v>DHBA</v>
      </c>
      <c r="C2098" s="42" t="str">
        <f>IFERROR(__xludf.DUMMYFUNCTION("""COMPUTED_VALUE"""),"layer 5 of DLG")</f>
        <v>layer 5 of DLG</v>
      </c>
      <c r="D2098" s="42">
        <f>IFERROR(__xludf.DUMMYFUNCTION("""COMPUTED_VALUE"""),1981.0)</f>
        <v>1981</v>
      </c>
      <c r="E2098" s="39" t="str">
        <f>IFERROR(__xludf.DUMMYFUNCTION("""COMPUTED_VALUE"""),"layer 5 of DLG")</f>
        <v>layer 5 of DLG</v>
      </c>
      <c r="F2098" s="9" t="str">
        <f>IFERROR(__xludf.DUMMYFUNCTION("""COMPUTED_VALUE"""),"Br")</f>
        <v>Br</v>
      </c>
      <c r="G2098" s="9" t="str">
        <f>IFERROR(__xludf.DUMMYFUNCTION("""COMPUTED_VALUE"""),"F")</f>
        <v>F</v>
      </c>
      <c r="H2098" s="9" t="str">
        <f>IFERROR(__xludf.DUMMYFUNCTION("""COMPUTED_VALUE"""),"FGM")</f>
        <v>FGM</v>
      </c>
      <c r="I2098" s="9" t="str">
        <f>IFERROR(__xludf.DUMMYFUNCTION("""COMPUTED_VALUE"""),"Die")</f>
        <v>Die</v>
      </c>
      <c r="J2098" s="9" t="str">
        <f>IFERROR(__xludf.DUMMYFUNCTION("""COMPUTED_VALUE"""),"THM")</f>
        <v>THM</v>
      </c>
      <c r="K2098" s="9" t="str">
        <f>IFERROR(__xludf.DUMMYFUNCTION("""COMPUTED_VALUE"""),"DTH")</f>
        <v>DTH</v>
      </c>
      <c r="L2098" s="9" t="str">
        <f>IFERROR(__xludf.DUMMYFUNCTION("""COMPUTED_VALUE"""),"PoN")</f>
        <v>PoN</v>
      </c>
      <c r="M2098" s="9" t="str">
        <f>IFERROR(__xludf.DUMMYFUNCTION("""COMPUTED_VALUE"""),"LG")</f>
        <v>LG</v>
      </c>
      <c r="N2098" s="9" t="str">
        <f>IFERROR(__xludf.DUMMYFUNCTION("""COMPUTED_VALUE"""),"DLG")</f>
        <v>DLG</v>
      </c>
      <c r="O2098" s="9" t="str">
        <f>IFERROR(__xludf.DUMMYFUNCTION("""COMPUTED_VALUE"""),"DLGpc")</f>
        <v>DLGpc</v>
      </c>
      <c r="P2098" s="9" t="str">
        <f>IFERROR(__xludf.DUMMYFUNCTION("""COMPUTED_VALUE"""),"DLG5")</f>
        <v>DLG5</v>
      </c>
      <c r="Q2098" s="9"/>
      <c r="R2098" s="9"/>
      <c r="S2098" s="42"/>
      <c r="T2098" s="42"/>
      <c r="U2098" s="159"/>
      <c r="V2098" s="42"/>
      <c r="W2098" s="42"/>
      <c r="X2098" s="42"/>
      <c r="Y2098" s="42"/>
      <c r="Z2098" s="42"/>
      <c r="AA2098" s="42"/>
      <c r="AB2098" s="42" t="str">
        <f>IFERROR(__xludf.DUMMYFUNCTION("""COMPUTED_VALUE"""),"allen institute")</f>
        <v>allen institute</v>
      </c>
      <c r="AC2098" s="42" t="str">
        <f>IFERROR(__xludf.DUMMYFUNCTION("""COMPUTED_VALUE"""),"DHBA")</f>
        <v>DHBA</v>
      </c>
      <c r="AD2098" s="42"/>
      <c r="AE2098" s="42"/>
      <c r="AF2098" s="9"/>
      <c r="AG2098" s="9"/>
      <c r="AH2098" s="42"/>
      <c r="AI2098" s="42"/>
      <c r="AJ2098" s="42"/>
      <c r="AK2098" s="42"/>
      <c r="AL2098" s="42"/>
      <c r="AM2098" s="42"/>
      <c r="AN2098" s="42"/>
      <c r="AO2098" s="63" t="str">
        <f>IFERROR(__xludf.DUMMYFUNCTION("IF(ISBLANK(A2098),,IF(ISBLANK(S2098), A2098&amp;"";"", TEXTJOIN(CHAR(10), TRUE, A2098&amp;"";"", ARRAYFORMULA(VLOOKUP(SPLIT(S2098, "";"" &amp; CHAR(10)), $A:$AO, 41, FALSE)))))"),"DLG5;")</f>
        <v>DLG5;</v>
      </c>
      <c r="AP2098" s="89"/>
    </row>
    <row r="2099">
      <c r="A2099" s="151" t="str">
        <f>IFERROR(__xludf.DUMMYFUNCTION("""COMPUTED_VALUE"""),"DLG6")</f>
        <v>DLG6</v>
      </c>
      <c r="B2099" s="42" t="str">
        <f>IFERROR(__xludf.DUMMYFUNCTION("""COMPUTED_VALUE"""),"DHBA")</f>
        <v>DHBA</v>
      </c>
      <c r="C2099" s="42" t="str">
        <f>IFERROR(__xludf.DUMMYFUNCTION("""COMPUTED_VALUE"""),"layer 6 of DLG")</f>
        <v>layer 6 of DLG</v>
      </c>
      <c r="D2099" s="42">
        <f>IFERROR(__xludf.DUMMYFUNCTION("""COMPUTED_VALUE"""),1982.0)</f>
        <v>1982</v>
      </c>
      <c r="E2099" s="39" t="str">
        <f>IFERROR(__xludf.DUMMYFUNCTION("""COMPUTED_VALUE"""),"layer 6 of DLG")</f>
        <v>layer 6 of DLG</v>
      </c>
      <c r="F2099" s="9" t="str">
        <f>IFERROR(__xludf.DUMMYFUNCTION("""COMPUTED_VALUE"""),"Br")</f>
        <v>Br</v>
      </c>
      <c r="G2099" s="9" t="str">
        <f>IFERROR(__xludf.DUMMYFUNCTION("""COMPUTED_VALUE"""),"F")</f>
        <v>F</v>
      </c>
      <c r="H2099" s="9" t="str">
        <f>IFERROR(__xludf.DUMMYFUNCTION("""COMPUTED_VALUE"""),"FGM")</f>
        <v>FGM</v>
      </c>
      <c r="I2099" s="9" t="str">
        <f>IFERROR(__xludf.DUMMYFUNCTION("""COMPUTED_VALUE"""),"Die")</f>
        <v>Die</v>
      </c>
      <c r="J2099" s="9" t="str">
        <f>IFERROR(__xludf.DUMMYFUNCTION("""COMPUTED_VALUE"""),"THM")</f>
        <v>THM</v>
      </c>
      <c r="K2099" s="9" t="str">
        <f>IFERROR(__xludf.DUMMYFUNCTION("""COMPUTED_VALUE"""),"DTH")</f>
        <v>DTH</v>
      </c>
      <c r="L2099" s="9" t="str">
        <f>IFERROR(__xludf.DUMMYFUNCTION("""COMPUTED_VALUE"""),"PoN")</f>
        <v>PoN</v>
      </c>
      <c r="M2099" s="9" t="str">
        <f>IFERROR(__xludf.DUMMYFUNCTION("""COMPUTED_VALUE"""),"LG")</f>
        <v>LG</v>
      </c>
      <c r="N2099" s="9" t="str">
        <f>IFERROR(__xludf.DUMMYFUNCTION("""COMPUTED_VALUE"""),"DLG")</f>
        <v>DLG</v>
      </c>
      <c r="O2099" s="9" t="str">
        <f>IFERROR(__xludf.DUMMYFUNCTION("""COMPUTED_VALUE"""),"DLGpc")</f>
        <v>DLGpc</v>
      </c>
      <c r="P2099" s="9" t="str">
        <f>IFERROR(__xludf.DUMMYFUNCTION("""COMPUTED_VALUE"""),"DLG6")</f>
        <v>DLG6</v>
      </c>
      <c r="Q2099" s="9"/>
      <c r="R2099" s="9"/>
      <c r="S2099" s="42"/>
      <c r="T2099" s="42"/>
      <c r="U2099" s="42"/>
      <c r="V2099" s="42"/>
      <c r="W2099" s="42"/>
      <c r="X2099" s="42"/>
      <c r="Y2099" s="42"/>
      <c r="Z2099" s="42"/>
      <c r="AA2099" s="42"/>
      <c r="AB2099" s="42" t="str">
        <f>IFERROR(__xludf.DUMMYFUNCTION("""COMPUTED_VALUE"""),"allen institute")</f>
        <v>allen institute</v>
      </c>
      <c r="AC2099" s="42" t="str">
        <f>IFERROR(__xludf.DUMMYFUNCTION("""COMPUTED_VALUE"""),"DHBA")</f>
        <v>DHBA</v>
      </c>
      <c r="AD2099" s="42"/>
      <c r="AE2099" s="42"/>
      <c r="AF2099" s="9"/>
      <c r="AG2099" s="9"/>
      <c r="AH2099" s="42"/>
      <c r="AI2099" s="42"/>
      <c r="AJ2099" s="42"/>
      <c r="AK2099" s="42"/>
      <c r="AL2099" s="42"/>
      <c r="AM2099" s="42"/>
      <c r="AN2099" s="42"/>
      <c r="AO2099" s="63" t="str">
        <f>IFERROR(__xludf.DUMMYFUNCTION("IF(ISBLANK(A2099),,IF(ISBLANK(S2099), A2099&amp;"";"", TEXTJOIN(CHAR(10), TRUE, A2099&amp;"";"", ARRAYFORMULA(VLOOKUP(SPLIT(S2099, "";"" &amp; CHAR(10)), $A:$AO, 41, FALSE)))))"),"DLG6;")</f>
        <v>DLG6;</v>
      </c>
      <c r="AP2099" s="89"/>
    </row>
    <row r="2100">
      <c r="A2100" s="151" t="str">
        <f>IFERROR(__xludf.DUMMYFUNCTION("""COMPUTED_VALUE"""),"DLGs")</f>
        <v>DLGs</v>
      </c>
      <c r="B2100" s="42" t="str">
        <f>IFERROR(__xludf.DUMMYFUNCTION("""COMPUTED_VALUE"""),"DHBA")</f>
        <v>DHBA</v>
      </c>
      <c r="C2100" s="42" t="str">
        <f>IFERROR(__xludf.DUMMYFUNCTION("""COMPUTED_VALUE"""),"S layer of DLG")</f>
        <v>S layer of DLG</v>
      </c>
      <c r="D2100" s="42">
        <f>IFERROR(__xludf.DUMMYFUNCTION("""COMPUTED_VALUE"""),1983.0)</f>
        <v>1983</v>
      </c>
      <c r="E2100" s="39" t="str">
        <f>IFERROR(__xludf.DUMMYFUNCTION("""COMPUTED_VALUE"""),"S layer of DLG")</f>
        <v>S layer of DLG</v>
      </c>
      <c r="F2100" s="9" t="str">
        <f>IFERROR(__xludf.DUMMYFUNCTION("""COMPUTED_VALUE"""),"Br")</f>
        <v>Br</v>
      </c>
      <c r="G2100" s="9" t="str">
        <f>IFERROR(__xludf.DUMMYFUNCTION("""COMPUTED_VALUE"""),"F")</f>
        <v>F</v>
      </c>
      <c r="H2100" s="9" t="str">
        <f>IFERROR(__xludf.DUMMYFUNCTION("""COMPUTED_VALUE"""),"FGM")</f>
        <v>FGM</v>
      </c>
      <c r="I2100" s="9" t="str">
        <f>IFERROR(__xludf.DUMMYFUNCTION("""COMPUTED_VALUE"""),"Die")</f>
        <v>Die</v>
      </c>
      <c r="J2100" s="9" t="str">
        <f>IFERROR(__xludf.DUMMYFUNCTION("""COMPUTED_VALUE"""),"THM")</f>
        <v>THM</v>
      </c>
      <c r="K2100" s="9" t="str">
        <f>IFERROR(__xludf.DUMMYFUNCTION("""COMPUTED_VALUE"""),"DTH")</f>
        <v>DTH</v>
      </c>
      <c r="L2100" s="9" t="str">
        <f>IFERROR(__xludf.DUMMYFUNCTION("""COMPUTED_VALUE"""),"PoN")</f>
        <v>PoN</v>
      </c>
      <c r="M2100" s="9" t="str">
        <f>IFERROR(__xludf.DUMMYFUNCTION("""COMPUTED_VALUE"""),"LG")</f>
        <v>LG</v>
      </c>
      <c r="N2100" s="9" t="str">
        <f>IFERROR(__xludf.DUMMYFUNCTION("""COMPUTED_VALUE"""),"DLG")</f>
        <v>DLG</v>
      </c>
      <c r="O2100" s="9" t="str">
        <f>IFERROR(__xludf.DUMMYFUNCTION("""COMPUTED_VALUE"""),"DLGs")</f>
        <v>DLGs</v>
      </c>
      <c r="P2100" s="9"/>
      <c r="Q2100" s="9"/>
      <c r="R2100" s="9"/>
      <c r="S2100" s="42"/>
      <c r="T2100" s="42"/>
      <c r="U2100" s="159"/>
      <c r="V2100" s="42"/>
      <c r="W2100" s="42"/>
      <c r="X2100" s="42"/>
      <c r="Y2100" s="42"/>
      <c r="Z2100" s="42"/>
      <c r="AA2100" s="42"/>
      <c r="AB2100" s="42" t="str">
        <f>IFERROR(__xludf.DUMMYFUNCTION("""COMPUTED_VALUE"""),"allen institute")</f>
        <v>allen institute</v>
      </c>
      <c r="AC2100" s="42" t="str">
        <f>IFERROR(__xludf.DUMMYFUNCTION("""COMPUTED_VALUE"""),"DHBA")</f>
        <v>DHBA</v>
      </c>
      <c r="AD2100" s="42"/>
      <c r="AE2100" s="42"/>
      <c r="AF2100" s="9"/>
      <c r="AG2100" s="9"/>
      <c r="AH2100" s="42"/>
      <c r="AI2100" s="42"/>
      <c r="AJ2100" s="42"/>
      <c r="AK2100" s="42"/>
      <c r="AL2100" s="42"/>
      <c r="AM2100" s="42"/>
      <c r="AN2100" s="42"/>
      <c r="AO2100" s="63" t="str">
        <f>IFERROR(__xludf.DUMMYFUNCTION("IF(ISBLANK(A2100),,IF(ISBLANK(S2100), A2100&amp;"";"", TEXTJOIN(CHAR(10), TRUE, A2100&amp;"";"", ARRAYFORMULA(VLOOKUP(SPLIT(S2100, "";"" &amp; CHAR(10)), $A:$AO, 41, FALSE)))))"),"DLGs;")</f>
        <v>DLGs;</v>
      </c>
      <c r="AP2100" s="89"/>
    </row>
    <row r="2101">
      <c r="A2101" s="151" t="str">
        <f>IFERROR(__xludf.DUMMYFUNCTION("""COMPUTED_VALUE"""),"DLGk")</f>
        <v>DLGk</v>
      </c>
      <c r="B2101" s="42" t="str">
        <f>IFERROR(__xludf.DUMMYFUNCTION("""COMPUTED_VALUE"""),"DHBA")</f>
        <v>DHBA</v>
      </c>
      <c r="C2101" s="42" t="str">
        <f>IFERROR(__xludf.DUMMYFUNCTION("""COMPUTED_VALUE"""),"koniocellular layer of DLG")</f>
        <v>koniocellular layer of DLG</v>
      </c>
      <c r="D2101" s="42">
        <f>IFERROR(__xludf.DUMMYFUNCTION("""COMPUTED_VALUE"""),1984.0)</f>
        <v>1984</v>
      </c>
      <c r="E2101" s="39" t="str">
        <f>IFERROR(__xludf.DUMMYFUNCTION("""COMPUTED_VALUE"""),"koniocellular layer of DLG")</f>
        <v>koniocellular layer of DLG</v>
      </c>
      <c r="F2101" s="9" t="str">
        <f>IFERROR(__xludf.DUMMYFUNCTION("""COMPUTED_VALUE"""),"Br")</f>
        <v>Br</v>
      </c>
      <c r="G2101" s="9" t="str">
        <f>IFERROR(__xludf.DUMMYFUNCTION("""COMPUTED_VALUE"""),"F")</f>
        <v>F</v>
      </c>
      <c r="H2101" s="9" t="str">
        <f>IFERROR(__xludf.DUMMYFUNCTION("""COMPUTED_VALUE"""),"FGM")</f>
        <v>FGM</v>
      </c>
      <c r="I2101" s="9" t="str">
        <f>IFERROR(__xludf.DUMMYFUNCTION("""COMPUTED_VALUE"""),"Die")</f>
        <v>Die</v>
      </c>
      <c r="J2101" s="9" t="str">
        <f>IFERROR(__xludf.DUMMYFUNCTION("""COMPUTED_VALUE"""),"THM")</f>
        <v>THM</v>
      </c>
      <c r="K2101" s="9" t="str">
        <f>IFERROR(__xludf.DUMMYFUNCTION("""COMPUTED_VALUE"""),"DTH")</f>
        <v>DTH</v>
      </c>
      <c r="L2101" s="9" t="str">
        <f>IFERROR(__xludf.DUMMYFUNCTION("""COMPUTED_VALUE"""),"PoN")</f>
        <v>PoN</v>
      </c>
      <c r="M2101" s="9" t="str">
        <f>IFERROR(__xludf.DUMMYFUNCTION("""COMPUTED_VALUE"""),"LG")</f>
        <v>LG</v>
      </c>
      <c r="N2101" s="9" t="str">
        <f>IFERROR(__xludf.DUMMYFUNCTION("""COMPUTED_VALUE"""),"DLG")</f>
        <v>DLG</v>
      </c>
      <c r="O2101" s="9" t="str">
        <f>IFERROR(__xludf.DUMMYFUNCTION("""COMPUTED_VALUE"""),"DLGk")</f>
        <v>DLGk</v>
      </c>
      <c r="P2101" s="9"/>
      <c r="Q2101" s="9"/>
      <c r="R2101" s="9"/>
      <c r="S2101" s="42"/>
      <c r="T2101" s="42"/>
      <c r="U2101" s="42"/>
      <c r="V2101" s="42"/>
      <c r="W2101" s="42"/>
      <c r="X2101" s="42"/>
      <c r="Y2101" s="42"/>
      <c r="Z2101" s="42"/>
      <c r="AA2101" s="42"/>
      <c r="AB2101" s="42" t="str">
        <f>IFERROR(__xludf.DUMMYFUNCTION("""COMPUTED_VALUE"""),"allen institute")</f>
        <v>allen institute</v>
      </c>
      <c r="AC2101" s="42" t="str">
        <f>IFERROR(__xludf.DUMMYFUNCTION("""COMPUTED_VALUE"""),"DHBA")</f>
        <v>DHBA</v>
      </c>
      <c r="AD2101" s="42"/>
      <c r="AE2101" s="42"/>
      <c r="AF2101" s="9"/>
      <c r="AG2101" s="9"/>
      <c r="AH2101" s="42"/>
      <c r="AI2101" s="42"/>
      <c r="AJ2101" s="42"/>
      <c r="AK2101" s="42"/>
      <c r="AL2101" s="42"/>
      <c r="AM2101" s="42"/>
      <c r="AN2101" s="42"/>
      <c r="AO2101" s="63" t="str">
        <f>IFERROR(__xludf.DUMMYFUNCTION("IF(ISBLANK(A2101),,IF(ISBLANK(S2101), A2101&amp;"";"", TEXTJOIN(CHAR(10), TRUE, A2101&amp;"";"", ARRAYFORMULA(VLOOKUP(SPLIT(S2101, "";"" &amp; CHAR(10)), $A:$AO, 41, FALSE)))))"),"DLGk;")</f>
        <v>DLGk;</v>
      </c>
      <c r="AP2101" s="89"/>
    </row>
    <row r="2102">
      <c r="A2102" s="151" t="str">
        <f>IFERROR(__xludf.DUMMYFUNCTION("""COMPUTED_VALUE"""),"PG")</f>
        <v>PG</v>
      </c>
      <c r="B2102" s="42" t="str">
        <f>IFERROR(__xludf.DUMMYFUNCTION("""COMPUTED_VALUE"""),"DHBA")</f>
        <v>DHBA</v>
      </c>
      <c r="C2102" s="42" t="str">
        <f>IFERROR(__xludf.DUMMYFUNCTION("""COMPUTED_VALUE"""),"pregeniculate nucleus")</f>
        <v>pregeniculate nucleus</v>
      </c>
      <c r="D2102" s="42">
        <f>IFERROR(__xludf.DUMMYFUNCTION("""COMPUTED_VALUE"""),1985.0)</f>
        <v>1985</v>
      </c>
      <c r="E2102" s="39" t="str">
        <f>IFERROR(__xludf.DUMMYFUNCTION("""COMPUTED_VALUE"""),"pregeniculate nucleus")</f>
        <v>pregeniculate nucleus</v>
      </c>
      <c r="F2102" s="9" t="str">
        <f>IFERROR(__xludf.DUMMYFUNCTION("""COMPUTED_VALUE"""),"Br")</f>
        <v>Br</v>
      </c>
      <c r="G2102" s="9" t="str">
        <f>IFERROR(__xludf.DUMMYFUNCTION("""COMPUTED_VALUE"""),"F")</f>
        <v>F</v>
      </c>
      <c r="H2102" s="9" t="str">
        <f>IFERROR(__xludf.DUMMYFUNCTION("""COMPUTED_VALUE"""),"FGM")</f>
        <v>FGM</v>
      </c>
      <c r="I2102" s="9" t="str">
        <f>IFERROR(__xludf.DUMMYFUNCTION("""COMPUTED_VALUE"""),"Die")</f>
        <v>Die</v>
      </c>
      <c r="J2102" s="9" t="str">
        <f>IFERROR(__xludf.DUMMYFUNCTION("""COMPUTED_VALUE"""),"THM")</f>
        <v>THM</v>
      </c>
      <c r="K2102" s="9" t="str">
        <f>IFERROR(__xludf.DUMMYFUNCTION("""COMPUTED_VALUE"""),"DTH")</f>
        <v>DTH</v>
      </c>
      <c r="L2102" s="9" t="str">
        <f>IFERROR(__xludf.DUMMYFUNCTION("""COMPUTED_VALUE"""),"PoN")</f>
        <v>PoN</v>
      </c>
      <c r="M2102" s="9" t="str">
        <f>IFERROR(__xludf.DUMMYFUNCTION("""COMPUTED_VALUE"""),"LG")</f>
        <v>LG</v>
      </c>
      <c r="N2102" s="9" t="str">
        <f>IFERROR(__xludf.DUMMYFUNCTION("""COMPUTED_VALUE"""),"PG")</f>
        <v>PG</v>
      </c>
      <c r="O2102" s="9"/>
      <c r="P2102" s="9"/>
      <c r="Q2102" s="9"/>
      <c r="R2102" s="9"/>
      <c r="S2102" s="42"/>
      <c r="T2102" s="42"/>
      <c r="U2102" s="42"/>
      <c r="V2102" s="42"/>
      <c r="W2102" s="42"/>
      <c r="X2102" s="42"/>
      <c r="Y2102" s="42"/>
      <c r="Z2102" s="42"/>
      <c r="AA2102" s="42"/>
      <c r="AB2102" s="42" t="str">
        <f>IFERROR(__xludf.DUMMYFUNCTION("""COMPUTED_VALUE"""),"allen institute")</f>
        <v>allen institute</v>
      </c>
      <c r="AC2102" s="42" t="str">
        <f>IFERROR(__xludf.DUMMYFUNCTION("""COMPUTED_VALUE"""),"DHBA")</f>
        <v>DHBA</v>
      </c>
      <c r="AD2102" s="42"/>
      <c r="AE2102" s="42"/>
      <c r="AF2102" s="9"/>
      <c r="AG2102" s="9"/>
      <c r="AH2102" s="42"/>
      <c r="AI2102" s="42"/>
      <c r="AJ2102" s="42"/>
      <c r="AK2102" s="42"/>
      <c r="AL2102" s="42"/>
      <c r="AM2102" s="42"/>
      <c r="AN2102" s="42"/>
      <c r="AO2102" s="63" t="str">
        <f>IFERROR(__xludf.DUMMYFUNCTION("IF(ISBLANK(A2102),,IF(ISBLANK(S2102), A2102&amp;"";"", TEXTJOIN(CHAR(10), TRUE, A2102&amp;"";"", ARRAYFORMULA(VLOOKUP(SPLIT(S2102, "";"" &amp; CHAR(10)), $A:$AO, 41, FALSE)))))"),"PG;")</f>
        <v>PG;</v>
      </c>
      <c r="AP2102" s="89"/>
    </row>
    <row r="2103">
      <c r="A2103" s="151" t="str">
        <f>IFERROR(__xludf.DUMMYFUNCTION("""COMPUTED_VALUE"""),"MG")</f>
        <v>MG</v>
      </c>
      <c r="B2103" s="42" t="str">
        <f>IFERROR(__xludf.DUMMYFUNCTION("""COMPUTED_VALUE"""),"DHBA")</f>
        <v>DHBA</v>
      </c>
      <c r="C2103" s="42" t="str">
        <f>IFERROR(__xludf.DUMMYFUNCTION("""COMPUTED_VALUE"""),"medial geniculate neuclei")</f>
        <v>medial geniculate neuclei</v>
      </c>
      <c r="D2103" s="42">
        <f>IFERROR(__xludf.DUMMYFUNCTION("""COMPUTED_VALUE"""),1986.0)</f>
        <v>1986</v>
      </c>
      <c r="E2103" s="39" t="str">
        <f>IFERROR(__xludf.DUMMYFUNCTION("""COMPUTED_VALUE"""),"medial geniculate nuclei")</f>
        <v>medial geniculate nuclei</v>
      </c>
      <c r="F2103" s="9" t="str">
        <f>IFERROR(__xludf.DUMMYFUNCTION("""COMPUTED_VALUE"""),"Br")</f>
        <v>Br</v>
      </c>
      <c r="G2103" s="9" t="str">
        <f>IFERROR(__xludf.DUMMYFUNCTION("""COMPUTED_VALUE"""),"F")</f>
        <v>F</v>
      </c>
      <c r="H2103" s="9" t="str">
        <f>IFERROR(__xludf.DUMMYFUNCTION("""COMPUTED_VALUE"""),"FGM")</f>
        <v>FGM</v>
      </c>
      <c r="I2103" s="9" t="str">
        <f>IFERROR(__xludf.DUMMYFUNCTION("""COMPUTED_VALUE"""),"Die")</f>
        <v>Die</v>
      </c>
      <c r="J2103" s="9" t="str">
        <f>IFERROR(__xludf.DUMMYFUNCTION("""COMPUTED_VALUE"""),"THM")</f>
        <v>THM</v>
      </c>
      <c r="K2103" s="9" t="str">
        <f>IFERROR(__xludf.DUMMYFUNCTION("""COMPUTED_VALUE"""),"DTH")</f>
        <v>DTH</v>
      </c>
      <c r="L2103" s="9" t="str">
        <f>IFERROR(__xludf.DUMMYFUNCTION("""COMPUTED_VALUE"""),"PoN")</f>
        <v>PoN</v>
      </c>
      <c r="M2103" s="9" t="str">
        <f>IFERROR(__xludf.DUMMYFUNCTION("""COMPUTED_VALUE"""),"MG")</f>
        <v>MG</v>
      </c>
      <c r="N2103" s="9"/>
      <c r="O2103" s="9"/>
      <c r="P2103" s="9"/>
      <c r="Q2103" s="9"/>
      <c r="R2103" s="9"/>
      <c r="S2103" s="42" t="str">
        <f>IFERROR(__xludf.DUMMYFUNCTION("""COMPUTED_VALUE"""),"DMG;
VMG;
MMG;
LiMG")</f>
        <v>DMG;
VMG;
MMG;
LiMG</v>
      </c>
      <c r="T2103" s="42" t="str">
        <f>IFERROR(__xludf.DUMMYFUNCTION("""COMPUTED_VALUE"""),"THM")</f>
        <v>THM</v>
      </c>
      <c r="U2103" s="159" t="b">
        <f>IFERROR(__xludf.DUMMYFUNCTION("""COMPUTED_VALUE"""),FALSE)</f>
        <v>0</v>
      </c>
      <c r="V2103" s="42"/>
      <c r="W2103" s="42"/>
      <c r="X2103" s="42"/>
      <c r="Y2103" s="42"/>
      <c r="Z2103" s="42"/>
      <c r="AA2103" s="42"/>
      <c r="AB2103" s="42" t="str">
        <f>IFERROR(__xludf.DUMMYFUNCTION("""COMPUTED_VALUE"""),"allen institute")</f>
        <v>allen institute</v>
      </c>
      <c r="AC2103" s="42" t="str">
        <f>IFERROR(__xludf.DUMMYFUNCTION("""COMPUTED_VALUE"""),"DHBA")</f>
        <v>DHBA</v>
      </c>
      <c r="AD2103" s="42"/>
      <c r="AE2103" s="42"/>
      <c r="AF2103" s="9"/>
      <c r="AG2103" s="9"/>
      <c r="AH2103" s="42"/>
      <c r="AI2103" s="42"/>
      <c r="AJ2103" s="42"/>
      <c r="AK2103" s="42"/>
      <c r="AL2103" s="42"/>
      <c r="AM2103" s="42"/>
      <c r="AN2103" s="42"/>
      <c r="AO2103" s="63" t="str">
        <f>IFERROR(__xludf.DUMMYFUNCTION("IF(ISBLANK(A2103),,IF(ISBLANK(S2103), A2103&amp;"";"", TEXTJOIN(CHAR(10), TRUE, A2103&amp;"";"", ARRAYFORMULA(VLOOKUP(SPLIT(S2103, "";"" &amp; CHAR(10)), $A:$AO, 41, FALSE)))))"),"MG;
DMG;
DMGad;
DMGpd;
VMG;
MMG;
LiMG;")</f>
        <v>MG;
DMG;
DMGad;
DMGpd;
VMG;
MMG;
LiMG;</v>
      </c>
      <c r="AP2103" s="89"/>
    </row>
    <row r="2104">
      <c r="A2104" s="151" t="str">
        <f>IFERROR(__xludf.DUMMYFUNCTION("""COMPUTED_VALUE"""),"DMG")</f>
        <v>DMG</v>
      </c>
      <c r="B2104" s="42" t="str">
        <f>IFERROR(__xludf.DUMMYFUNCTION("""COMPUTED_VALUE"""),"DHBA")</f>
        <v>DHBA</v>
      </c>
      <c r="C2104" s="42" t="str">
        <f>IFERROR(__xludf.DUMMYFUNCTION("""COMPUTED_VALUE"""),"dorsal medial geniculate nucleus")</f>
        <v>dorsal medial geniculate nucleus</v>
      </c>
      <c r="D2104" s="42">
        <f>IFERROR(__xludf.DUMMYFUNCTION("""COMPUTED_VALUE"""),1987.0)</f>
        <v>1987</v>
      </c>
      <c r="E2104" s="39" t="str">
        <f>IFERROR(__xludf.DUMMYFUNCTION("""COMPUTED_VALUE"""),"dorsal medial geniculate nucleus")</f>
        <v>dorsal medial geniculate nucleus</v>
      </c>
      <c r="F2104" s="9" t="str">
        <f>IFERROR(__xludf.DUMMYFUNCTION("""COMPUTED_VALUE"""),"Br")</f>
        <v>Br</v>
      </c>
      <c r="G2104" s="9" t="str">
        <f>IFERROR(__xludf.DUMMYFUNCTION("""COMPUTED_VALUE"""),"F")</f>
        <v>F</v>
      </c>
      <c r="H2104" s="9" t="str">
        <f>IFERROR(__xludf.DUMMYFUNCTION("""COMPUTED_VALUE"""),"FGM")</f>
        <v>FGM</v>
      </c>
      <c r="I2104" s="9" t="str">
        <f>IFERROR(__xludf.DUMMYFUNCTION("""COMPUTED_VALUE"""),"Die")</f>
        <v>Die</v>
      </c>
      <c r="J2104" s="9" t="str">
        <f>IFERROR(__xludf.DUMMYFUNCTION("""COMPUTED_VALUE"""),"THM")</f>
        <v>THM</v>
      </c>
      <c r="K2104" s="9" t="str">
        <f>IFERROR(__xludf.DUMMYFUNCTION("""COMPUTED_VALUE"""),"DTH")</f>
        <v>DTH</v>
      </c>
      <c r="L2104" s="9" t="str">
        <f>IFERROR(__xludf.DUMMYFUNCTION("""COMPUTED_VALUE"""),"PoN")</f>
        <v>PoN</v>
      </c>
      <c r="M2104" s="9" t="str">
        <f>IFERROR(__xludf.DUMMYFUNCTION("""COMPUTED_VALUE"""),"MG")</f>
        <v>MG</v>
      </c>
      <c r="N2104" s="9" t="str">
        <f>IFERROR(__xludf.DUMMYFUNCTION("""COMPUTED_VALUE"""),"DMG")</f>
        <v>DMG</v>
      </c>
      <c r="O2104" s="9"/>
      <c r="P2104" s="9"/>
      <c r="Q2104" s="9"/>
      <c r="R2104" s="9"/>
      <c r="S2104" s="42" t="str">
        <f>IFERROR(__xludf.DUMMYFUNCTION("""COMPUTED_VALUE"""),"DMGad;
DMGpd")</f>
        <v>DMGad;
DMGpd</v>
      </c>
      <c r="T2104" s="42"/>
      <c r="U2104" s="42" t="b">
        <f>IFERROR(__xludf.DUMMYFUNCTION("""COMPUTED_VALUE"""),FALSE)</f>
        <v>0</v>
      </c>
      <c r="V2104" s="42"/>
      <c r="W2104" s="42"/>
      <c r="X2104" s="42"/>
      <c r="Y2104" s="42"/>
      <c r="Z2104" s="42"/>
      <c r="AA2104" s="42"/>
      <c r="AB2104" s="42" t="str">
        <f>IFERROR(__xludf.DUMMYFUNCTION("""COMPUTED_VALUE"""),"allen institute")</f>
        <v>allen institute</v>
      </c>
      <c r="AC2104" s="42" t="str">
        <f>IFERROR(__xludf.DUMMYFUNCTION("""COMPUTED_VALUE"""),"DHBA")</f>
        <v>DHBA</v>
      </c>
      <c r="AD2104" s="42"/>
      <c r="AE2104" s="42"/>
      <c r="AF2104" s="9"/>
      <c r="AG2104" s="9"/>
      <c r="AH2104" s="42"/>
      <c r="AI2104" s="42"/>
      <c r="AJ2104" s="42"/>
      <c r="AK2104" s="42"/>
      <c r="AL2104" s="42"/>
      <c r="AM2104" s="42"/>
      <c r="AN2104" s="42"/>
      <c r="AO2104" s="63" t="str">
        <f>IFERROR(__xludf.DUMMYFUNCTION("IF(ISBLANK(A2104),,IF(ISBLANK(S2104), A2104&amp;"";"", TEXTJOIN(CHAR(10), TRUE, A2104&amp;"";"", ARRAYFORMULA(VLOOKUP(SPLIT(S2104, "";"" &amp; CHAR(10)), $A:$AO, 41, FALSE)))))"),"DMG;
DMGad;
DMGpd;")</f>
        <v>DMG;
DMGad;
DMGpd;</v>
      </c>
      <c r="AP2104" s="89"/>
    </row>
    <row r="2105">
      <c r="A2105" s="151" t="str">
        <f>IFERROR(__xludf.DUMMYFUNCTION("""COMPUTED_VALUE"""),"DMGad")</f>
        <v>DMGad</v>
      </c>
      <c r="B2105" s="42" t="str">
        <f>IFERROR(__xludf.DUMMYFUNCTION("""COMPUTED_VALUE"""),"DHBA")</f>
        <v>DHBA</v>
      </c>
      <c r="C2105" s="42" t="str">
        <f>IFERROR(__xludf.DUMMYFUNCTION("""COMPUTED_VALUE"""),"anterodorsal subdivision of DMG")</f>
        <v>anterodorsal subdivision of DMG</v>
      </c>
      <c r="D2105" s="42">
        <f>IFERROR(__xludf.DUMMYFUNCTION("""COMPUTED_VALUE"""),1988.0)</f>
        <v>1988</v>
      </c>
      <c r="E2105" s="39" t="str">
        <f>IFERROR(__xludf.DUMMYFUNCTION("""COMPUTED_VALUE"""),"anterodorsal subdivision of DMG")</f>
        <v>anterodorsal subdivision of DMG</v>
      </c>
      <c r="F2105" s="9" t="str">
        <f>IFERROR(__xludf.DUMMYFUNCTION("""COMPUTED_VALUE"""),"Br")</f>
        <v>Br</v>
      </c>
      <c r="G2105" s="9" t="str">
        <f>IFERROR(__xludf.DUMMYFUNCTION("""COMPUTED_VALUE"""),"F")</f>
        <v>F</v>
      </c>
      <c r="H2105" s="9" t="str">
        <f>IFERROR(__xludf.DUMMYFUNCTION("""COMPUTED_VALUE"""),"FGM")</f>
        <v>FGM</v>
      </c>
      <c r="I2105" s="9" t="str">
        <f>IFERROR(__xludf.DUMMYFUNCTION("""COMPUTED_VALUE"""),"Die")</f>
        <v>Die</v>
      </c>
      <c r="J2105" s="9" t="str">
        <f>IFERROR(__xludf.DUMMYFUNCTION("""COMPUTED_VALUE"""),"THM")</f>
        <v>THM</v>
      </c>
      <c r="K2105" s="9" t="str">
        <f>IFERROR(__xludf.DUMMYFUNCTION("""COMPUTED_VALUE"""),"DTH")</f>
        <v>DTH</v>
      </c>
      <c r="L2105" s="9" t="str">
        <f>IFERROR(__xludf.DUMMYFUNCTION("""COMPUTED_VALUE"""),"PoN")</f>
        <v>PoN</v>
      </c>
      <c r="M2105" s="9" t="str">
        <f>IFERROR(__xludf.DUMMYFUNCTION("""COMPUTED_VALUE"""),"MG")</f>
        <v>MG</v>
      </c>
      <c r="N2105" s="9" t="str">
        <f>IFERROR(__xludf.DUMMYFUNCTION("""COMPUTED_VALUE"""),"DMG")</f>
        <v>DMG</v>
      </c>
      <c r="O2105" s="9" t="str">
        <f>IFERROR(__xludf.DUMMYFUNCTION("""COMPUTED_VALUE"""),"DMGad")</f>
        <v>DMGad</v>
      </c>
      <c r="P2105" s="9"/>
      <c r="Q2105" s="9"/>
      <c r="R2105" s="9"/>
      <c r="S2105" s="42"/>
      <c r="T2105" s="42"/>
      <c r="U2105" s="42"/>
      <c r="V2105" s="42"/>
      <c r="W2105" s="42"/>
      <c r="X2105" s="42"/>
      <c r="Y2105" s="42"/>
      <c r="Z2105" s="42"/>
      <c r="AA2105" s="42"/>
      <c r="AB2105" s="42" t="str">
        <f>IFERROR(__xludf.DUMMYFUNCTION("""COMPUTED_VALUE"""),"allen institute")</f>
        <v>allen institute</v>
      </c>
      <c r="AC2105" s="42" t="str">
        <f>IFERROR(__xludf.DUMMYFUNCTION("""COMPUTED_VALUE"""),"DHBA")</f>
        <v>DHBA</v>
      </c>
      <c r="AD2105" s="42"/>
      <c r="AE2105" s="42"/>
      <c r="AF2105" s="9"/>
      <c r="AG2105" s="9"/>
      <c r="AH2105" s="42"/>
      <c r="AI2105" s="42"/>
      <c r="AJ2105" s="42"/>
      <c r="AK2105" s="42"/>
      <c r="AL2105" s="42"/>
      <c r="AM2105" s="42"/>
      <c r="AN2105" s="42"/>
      <c r="AO2105" s="63" t="str">
        <f>IFERROR(__xludf.DUMMYFUNCTION("IF(ISBLANK(A2105),,IF(ISBLANK(S2105), A2105&amp;"";"", TEXTJOIN(CHAR(10), TRUE, A2105&amp;"";"", ARRAYFORMULA(VLOOKUP(SPLIT(S2105, "";"" &amp; CHAR(10)), $A:$AO, 41, FALSE)))))"),"DMGad;")</f>
        <v>DMGad;</v>
      </c>
      <c r="AP2105" s="89"/>
    </row>
    <row r="2106">
      <c r="A2106" s="151" t="str">
        <f>IFERROR(__xludf.DUMMYFUNCTION("""COMPUTED_VALUE"""),"DMGpd")</f>
        <v>DMGpd</v>
      </c>
      <c r="B2106" s="42" t="str">
        <f>IFERROR(__xludf.DUMMYFUNCTION("""COMPUTED_VALUE"""),"DHBA")</f>
        <v>DHBA</v>
      </c>
      <c r="C2106" s="42" t="str">
        <f>IFERROR(__xludf.DUMMYFUNCTION("""COMPUTED_VALUE"""),"posterodorsal subdivision of DMG")</f>
        <v>posterodorsal subdivision of DMG</v>
      </c>
      <c r="D2106" s="42">
        <f>IFERROR(__xludf.DUMMYFUNCTION("""COMPUTED_VALUE"""),1989.0)</f>
        <v>1989</v>
      </c>
      <c r="E2106" s="39" t="str">
        <f>IFERROR(__xludf.DUMMYFUNCTION("""COMPUTED_VALUE"""),"posterodorsal subdivision of DMG")</f>
        <v>posterodorsal subdivision of DMG</v>
      </c>
      <c r="F2106" s="9" t="str">
        <f>IFERROR(__xludf.DUMMYFUNCTION("""COMPUTED_VALUE"""),"Br")</f>
        <v>Br</v>
      </c>
      <c r="G2106" s="9" t="str">
        <f>IFERROR(__xludf.DUMMYFUNCTION("""COMPUTED_VALUE"""),"F")</f>
        <v>F</v>
      </c>
      <c r="H2106" s="9" t="str">
        <f>IFERROR(__xludf.DUMMYFUNCTION("""COMPUTED_VALUE"""),"FGM")</f>
        <v>FGM</v>
      </c>
      <c r="I2106" s="9" t="str">
        <f>IFERROR(__xludf.DUMMYFUNCTION("""COMPUTED_VALUE"""),"Die")</f>
        <v>Die</v>
      </c>
      <c r="J2106" s="9" t="str">
        <f>IFERROR(__xludf.DUMMYFUNCTION("""COMPUTED_VALUE"""),"THM")</f>
        <v>THM</v>
      </c>
      <c r="K2106" s="9" t="str">
        <f>IFERROR(__xludf.DUMMYFUNCTION("""COMPUTED_VALUE"""),"DTH")</f>
        <v>DTH</v>
      </c>
      <c r="L2106" s="9" t="str">
        <f>IFERROR(__xludf.DUMMYFUNCTION("""COMPUTED_VALUE"""),"PoN")</f>
        <v>PoN</v>
      </c>
      <c r="M2106" s="9" t="str">
        <f>IFERROR(__xludf.DUMMYFUNCTION("""COMPUTED_VALUE"""),"MG")</f>
        <v>MG</v>
      </c>
      <c r="N2106" s="9" t="str">
        <f>IFERROR(__xludf.DUMMYFUNCTION("""COMPUTED_VALUE"""),"DMG")</f>
        <v>DMG</v>
      </c>
      <c r="O2106" s="9" t="str">
        <f>IFERROR(__xludf.DUMMYFUNCTION("""COMPUTED_VALUE"""),"DMGpd")</f>
        <v>DMGpd</v>
      </c>
      <c r="P2106" s="9"/>
      <c r="Q2106" s="9"/>
      <c r="R2106" s="9"/>
      <c r="S2106" s="42"/>
      <c r="T2106" s="42"/>
      <c r="U2106" s="42"/>
      <c r="V2106" s="42"/>
      <c r="W2106" s="42"/>
      <c r="X2106" s="42"/>
      <c r="Y2106" s="42"/>
      <c r="Z2106" s="42"/>
      <c r="AA2106" s="42"/>
      <c r="AB2106" s="42" t="str">
        <f>IFERROR(__xludf.DUMMYFUNCTION("""COMPUTED_VALUE"""),"allen institute")</f>
        <v>allen institute</v>
      </c>
      <c r="AC2106" s="42" t="str">
        <f>IFERROR(__xludf.DUMMYFUNCTION("""COMPUTED_VALUE"""),"DHBA")</f>
        <v>DHBA</v>
      </c>
      <c r="AD2106" s="42"/>
      <c r="AE2106" s="42"/>
      <c r="AF2106" s="9"/>
      <c r="AG2106" s="9"/>
      <c r="AH2106" s="42"/>
      <c r="AI2106" s="42"/>
      <c r="AJ2106" s="42"/>
      <c r="AK2106" s="42"/>
      <c r="AL2106" s="42"/>
      <c r="AM2106" s="42"/>
      <c r="AN2106" s="42"/>
      <c r="AO2106" s="63" t="str">
        <f>IFERROR(__xludf.DUMMYFUNCTION("IF(ISBLANK(A2106),,IF(ISBLANK(S2106), A2106&amp;"";"", TEXTJOIN(CHAR(10), TRUE, A2106&amp;"";"", ARRAYFORMULA(VLOOKUP(SPLIT(S2106, "";"" &amp; CHAR(10)), $A:$AO, 41, FALSE)))))"),"DMGpd;")</f>
        <v>DMGpd;</v>
      </c>
      <c r="AP2106" s="89"/>
    </row>
    <row r="2107">
      <c r="A2107" s="151" t="str">
        <f>IFERROR(__xludf.DUMMYFUNCTION("""COMPUTED_VALUE"""),"VMG")</f>
        <v>VMG</v>
      </c>
      <c r="B2107" s="42" t="str">
        <f>IFERROR(__xludf.DUMMYFUNCTION("""COMPUTED_VALUE"""),"DHBA")</f>
        <v>DHBA</v>
      </c>
      <c r="C2107" s="42" t="str">
        <f>IFERROR(__xludf.DUMMYFUNCTION("""COMPUTED_VALUE"""),"ventral medial geniculate nucleus")</f>
        <v>ventral medial geniculate nucleus</v>
      </c>
      <c r="D2107" s="42">
        <f>IFERROR(__xludf.DUMMYFUNCTION("""COMPUTED_VALUE"""),1990.0)</f>
        <v>1990</v>
      </c>
      <c r="E2107" s="39" t="str">
        <f>IFERROR(__xludf.DUMMYFUNCTION("""COMPUTED_VALUE"""),"ventral medial geniculate nucleus")</f>
        <v>ventral medial geniculate nucleus</v>
      </c>
      <c r="F2107" s="9" t="str">
        <f>IFERROR(__xludf.DUMMYFUNCTION("""COMPUTED_VALUE"""),"Br")</f>
        <v>Br</v>
      </c>
      <c r="G2107" s="9" t="str">
        <f>IFERROR(__xludf.DUMMYFUNCTION("""COMPUTED_VALUE"""),"F")</f>
        <v>F</v>
      </c>
      <c r="H2107" s="9" t="str">
        <f>IFERROR(__xludf.DUMMYFUNCTION("""COMPUTED_VALUE"""),"FGM")</f>
        <v>FGM</v>
      </c>
      <c r="I2107" s="9" t="str">
        <f>IFERROR(__xludf.DUMMYFUNCTION("""COMPUTED_VALUE"""),"Die")</f>
        <v>Die</v>
      </c>
      <c r="J2107" s="9" t="str">
        <f>IFERROR(__xludf.DUMMYFUNCTION("""COMPUTED_VALUE"""),"THM")</f>
        <v>THM</v>
      </c>
      <c r="K2107" s="9" t="str">
        <f>IFERROR(__xludf.DUMMYFUNCTION("""COMPUTED_VALUE"""),"DTH")</f>
        <v>DTH</v>
      </c>
      <c r="L2107" s="9" t="str">
        <f>IFERROR(__xludf.DUMMYFUNCTION("""COMPUTED_VALUE"""),"PoN")</f>
        <v>PoN</v>
      </c>
      <c r="M2107" s="9" t="str">
        <f>IFERROR(__xludf.DUMMYFUNCTION("""COMPUTED_VALUE"""),"MG")</f>
        <v>MG</v>
      </c>
      <c r="N2107" s="9" t="str">
        <f>IFERROR(__xludf.DUMMYFUNCTION("""COMPUTED_VALUE"""),"VMG")</f>
        <v>VMG</v>
      </c>
      <c r="O2107" s="9"/>
      <c r="P2107" s="9"/>
      <c r="Q2107" s="9"/>
      <c r="R2107" s="9"/>
      <c r="S2107" s="42"/>
      <c r="T2107" s="42"/>
      <c r="U2107" s="42"/>
      <c r="V2107" s="42"/>
      <c r="W2107" s="42"/>
      <c r="X2107" s="42"/>
      <c r="Y2107" s="42"/>
      <c r="Z2107" s="42"/>
      <c r="AA2107" s="42"/>
      <c r="AB2107" s="42" t="str">
        <f>IFERROR(__xludf.DUMMYFUNCTION("""COMPUTED_VALUE"""),"allen institute")</f>
        <v>allen institute</v>
      </c>
      <c r="AC2107" s="42" t="str">
        <f>IFERROR(__xludf.DUMMYFUNCTION("""COMPUTED_VALUE"""),"DHBA")</f>
        <v>DHBA</v>
      </c>
      <c r="AD2107" s="42"/>
      <c r="AE2107" s="42"/>
      <c r="AF2107" s="9"/>
      <c r="AG2107" s="9"/>
      <c r="AH2107" s="42"/>
      <c r="AI2107" s="42"/>
      <c r="AJ2107" s="42"/>
      <c r="AK2107" s="42"/>
      <c r="AL2107" s="42"/>
      <c r="AM2107" s="42"/>
      <c r="AN2107" s="42"/>
      <c r="AO2107" s="63" t="str">
        <f>IFERROR(__xludf.DUMMYFUNCTION("IF(ISBLANK(A2107),,IF(ISBLANK(S2107), A2107&amp;"";"", TEXTJOIN(CHAR(10), TRUE, A2107&amp;"";"", ARRAYFORMULA(VLOOKUP(SPLIT(S2107, "";"" &amp; CHAR(10)), $A:$AO, 41, FALSE)))))"),"VMG;")</f>
        <v>VMG;</v>
      </c>
      <c r="AP2107" s="89"/>
    </row>
    <row r="2108">
      <c r="A2108" s="151" t="str">
        <f>IFERROR(__xludf.DUMMYFUNCTION("""COMPUTED_VALUE"""),"MMG")</f>
        <v>MMG</v>
      </c>
      <c r="B2108" s="42" t="str">
        <f>IFERROR(__xludf.DUMMYFUNCTION("""COMPUTED_VALUE"""),"DHBA")</f>
        <v>DHBA</v>
      </c>
      <c r="C2108" s="42" t="str">
        <f>IFERROR(__xludf.DUMMYFUNCTION("""COMPUTED_VALUE"""),"magnocellular (medial) nuleus, Medial geniculate nucleus medial part, MDm")</f>
        <v>magnocellular (medial) nuleus, Medial geniculate nucleus medial part, MDm</v>
      </c>
      <c r="D2108" s="42">
        <f>IFERROR(__xludf.DUMMYFUNCTION("""COMPUTED_VALUE"""),1991.0)</f>
        <v>1991</v>
      </c>
      <c r="E2108" s="39" t="str">
        <f>IFERROR(__xludf.DUMMYFUNCTION("""COMPUTED_VALUE"""),"magnocellular (medial) nucleus")</f>
        <v>magnocellular (medial) nucleus</v>
      </c>
      <c r="F2108" s="9" t="str">
        <f>IFERROR(__xludf.DUMMYFUNCTION("""COMPUTED_VALUE"""),"Br")</f>
        <v>Br</v>
      </c>
      <c r="G2108" s="9" t="str">
        <f>IFERROR(__xludf.DUMMYFUNCTION("""COMPUTED_VALUE"""),"F")</f>
        <v>F</v>
      </c>
      <c r="H2108" s="9" t="str">
        <f>IFERROR(__xludf.DUMMYFUNCTION("""COMPUTED_VALUE"""),"FGM")</f>
        <v>FGM</v>
      </c>
      <c r="I2108" s="9" t="str">
        <f>IFERROR(__xludf.DUMMYFUNCTION("""COMPUTED_VALUE"""),"Die")</f>
        <v>Die</v>
      </c>
      <c r="J2108" s="9" t="str">
        <f>IFERROR(__xludf.DUMMYFUNCTION("""COMPUTED_VALUE"""),"THM")</f>
        <v>THM</v>
      </c>
      <c r="K2108" s="9" t="str">
        <f>IFERROR(__xludf.DUMMYFUNCTION("""COMPUTED_VALUE"""),"DTH")</f>
        <v>DTH</v>
      </c>
      <c r="L2108" s="9" t="str">
        <f>IFERROR(__xludf.DUMMYFUNCTION("""COMPUTED_VALUE"""),"PoN")</f>
        <v>PoN</v>
      </c>
      <c r="M2108" s="9" t="str">
        <f>IFERROR(__xludf.DUMMYFUNCTION("""COMPUTED_VALUE"""),"MG")</f>
        <v>MG</v>
      </c>
      <c r="N2108" s="9" t="str">
        <f>IFERROR(__xludf.DUMMYFUNCTION("""COMPUTED_VALUE"""),"MMG")</f>
        <v>MMG</v>
      </c>
      <c r="O2108" s="9"/>
      <c r="P2108" s="9"/>
      <c r="Q2108" s="9"/>
      <c r="R2108" s="9"/>
      <c r="S2108" s="42"/>
      <c r="T2108" s="42"/>
      <c r="U2108" s="42"/>
      <c r="V2108" s="42"/>
      <c r="W2108" s="42"/>
      <c r="X2108" s="42"/>
      <c r="Y2108" s="42"/>
      <c r="Z2108" s="42"/>
      <c r="AA2108" s="42"/>
      <c r="AB2108" s="42" t="str">
        <f>IFERROR(__xludf.DUMMYFUNCTION("""COMPUTED_VALUE"""),"allen institute")</f>
        <v>allen institute</v>
      </c>
      <c r="AC2108" s="42" t="str">
        <f>IFERROR(__xludf.DUMMYFUNCTION("""COMPUTED_VALUE"""),"DHBA")</f>
        <v>DHBA</v>
      </c>
      <c r="AD2108" s="42"/>
      <c r="AE2108" s="42"/>
      <c r="AF2108" s="9"/>
      <c r="AG2108" s="9"/>
      <c r="AH2108" s="42"/>
      <c r="AI2108" s="42"/>
      <c r="AJ2108" s="42"/>
      <c r="AK2108" s="42"/>
      <c r="AL2108" s="42"/>
      <c r="AM2108" s="42"/>
      <c r="AN2108" s="42"/>
      <c r="AO2108" s="63" t="str">
        <f>IFERROR(__xludf.DUMMYFUNCTION("IF(ISBLANK(A2108),,IF(ISBLANK(S2108), A2108&amp;"";"", TEXTJOIN(CHAR(10), TRUE, A2108&amp;"";"", ARRAYFORMULA(VLOOKUP(SPLIT(S2108, "";"" &amp; CHAR(10)), $A:$AO, 41, FALSE)))))"),"MMG;")</f>
        <v>MMG;</v>
      </c>
      <c r="AP2108" s="89"/>
    </row>
    <row r="2109">
      <c r="A2109" s="151" t="str">
        <f>IFERROR(__xludf.DUMMYFUNCTION("""COMPUTED_VALUE"""),"LiMG")</f>
        <v>LiMG</v>
      </c>
      <c r="B2109" s="42" t="str">
        <f>IFERROR(__xludf.DUMMYFUNCTION("""COMPUTED_VALUE"""),"DHBA")</f>
        <v>DHBA</v>
      </c>
      <c r="C2109" s="42" t="str">
        <f>IFERROR(__xludf.DUMMYFUNCTION("""COMPUTED_VALUE"""),"limitans part of medial geniculate nucleus")</f>
        <v>limitans part of medial geniculate nucleus</v>
      </c>
      <c r="D2109" s="42">
        <f>IFERROR(__xludf.DUMMYFUNCTION("""COMPUTED_VALUE"""),1992.0)</f>
        <v>1992</v>
      </c>
      <c r="E2109" s="39" t="str">
        <f>IFERROR(__xludf.DUMMYFUNCTION("""COMPUTED_VALUE"""),"limitans part of medial geniculate nucleus")</f>
        <v>limitans part of medial geniculate nucleus</v>
      </c>
      <c r="F2109" s="9" t="str">
        <f>IFERROR(__xludf.DUMMYFUNCTION("""COMPUTED_VALUE"""),"Br")</f>
        <v>Br</v>
      </c>
      <c r="G2109" s="9" t="str">
        <f>IFERROR(__xludf.DUMMYFUNCTION("""COMPUTED_VALUE"""),"F")</f>
        <v>F</v>
      </c>
      <c r="H2109" s="9" t="str">
        <f>IFERROR(__xludf.DUMMYFUNCTION("""COMPUTED_VALUE"""),"FGM")</f>
        <v>FGM</v>
      </c>
      <c r="I2109" s="9" t="str">
        <f>IFERROR(__xludf.DUMMYFUNCTION("""COMPUTED_VALUE"""),"Die")</f>
        <v>Die</v>
      </c>
      <c r="J2109" s="9" t="str">
        <f>IFERROR(__xludf.DUMMYFUNCTION("""COMPUTED_VALUE"""),"THM")</f>
        <v>THM</v>
      </c>
      <c r="K2109" s="9" t="str">
        <f>IFERROR(__xludf.DUMMYFUNCTION("""COMPUTED_VALUE"""),"DTH")</f>
        <v>DTH</v>
      </c>
      <c r="L2109" s="9" t="str">
        <f>IFERROR(__xludf.DUMMYFUNCTION("""COMPUTED_VALUE"""),"PoN")</f>
        <v>PoN</v>
      </c>
      <c r="M2109" s="9" t="str">
        <f>IFERROR(__xludf.DUMMYFUNCTION("""COMPUTED_VALUE"""),"MG")</f>
        <v>MG</v>
      </c>
      <c r="N2109" s="9" t="str">
        <f>IFERROR(__xludf.DUMMYFUNCTION("""COMPUTED_VALUE"""),"LiMG")</f>
        <v>LiMG</v>
      </c>
      <c r="O2109" s="9"/>
      <c r="P2109" s="9"/>
      <c r="Q2109" s="9"/>
      <c r="R2109" s="9"/>
      <c r="S2109" s="42"/>
      <c r="T2109" s="42"/>
      <c r="U2109" s="159"/>
      <c r="V2109" s="42"/>
      <c r="W2109" s="42"/>
      <c r="X2109" s="42"/>
      <c r="Y2109" s="42"/>
      <c r="Z2109" s="42"/>
      <c r="AA2109" s="42"/>
      <c r="AB2109" s="42" t="str">
        <f>IFERROR(__xludf.DUMMYFUNCTION("""COMPUTED_VALUE"""),"allen institute")</f>
        <v>allen institute</v>
      </c>
      <c r="AC2109" s="42" t="str">
        <f>IFERROR(__xludf.DUMMYFUNCTION("""COMPUTED_VALUE"""),"DHBA")</f>
        <v>DHBA</v>
      </c>
      <c r="AD2109" s="42"/>
      <c r="AE2109" s="42"/>
      <c r="AF2109" s="9"/>
      <c r="AG2109" s="9"/>
      <c r="AH2109" s="42"/>
      <c r="AI2109" s="42"/>
      <c r="AJ2109" s="42"/>
      <c r="AK2109" s="42"/>
      <c r="AL2109" s="42"/>
      <c r="AM2109" s="42"/>
      <c r="AN2109" s="42"/>
      <c r="AO2109" s="63" t="str">
        <f>IFERROR(__xludf.DUMMYFUNCTION("IF(ISBLANK(A2109),,IF(ISBLANK(S2109), A2109&amp;"";"", TEXTJOIN(CHAR(10), TRUE, A2109&amp;"";"", ARRAYFORMULA(VLOOKUP(SPLIT(S2109, "";"" &amp; CHAR(10)), $A:$AO, 41, FALSE)))))"),"LiMG;")</f>
        <v>LiMG;</v>
      </c>
      <c r="AP2109" s="89"/>
    </row>
    <row r="2110">
      <c r="A2110" s="151" t="str">
        <f>IFERROR(__xludf.DUMMYFUNCTION("""COMPUTED_VALUE"""),"Po")</f>
        <v>Po</v>
      </c>
      <c r="B2110" s="42" t="str">
        <f>IFERROR(__xludf.DUMMYFUNCTION("""COMPUTED_VALUE"""),"DHBA")</f>
        <v>DHBA</v>
      </c>
      <c r="C2110" s="42" t="str">
        <f>IFERROR(__xludf.DUMMYFUNCTION("""COMPUTED_VALUE"""),"posterior nucleus of thalamus")</f>
        <v>posterior nucleus of thalamus</v>
      </c>
      <c r="D2110" s="42">
        <f>IFERROR(__xludf.DUMMYFUNCTION("""COMPUTED_VALUE"""),1993.0)</f>
        <v>1993</v>
      </c>
      <c r="E2110" s="39" t="str">
        <f>IFERROR(__xludf.DUMMYFUNCTION("""COMPUTED_VALUE"""),"posterior nucleus of thalamus")</f>
        <v>posterior nucleus of thalamus</v>
      </c>
      <c r="F2110" s="9" t="str">
        <f>IFERROR(__xludf.DUMMYFUNCTION("""COMPUTED_VALUE"""),"Br")</f>
        <v>Br</v>
      </c>
      <c r="G2110" s="9" t="str">
        <f>IFERROR(__xludf.DUMMYFUNCTION("""COMPUTED_VALUE"""),"F")</f>
        <v>F</v>
      </c>
      <c r="H2110" s="9" t="str">
        <f>IFERROR(__xludf.DUMMYFUNCTION("""COMPUTED_VALUE"""),"FGM")</f>
        <v>FGM</v>
      </c>
      <c r="I2110" s="9" t="str">
        <f>IFERROR(__xludf.DUMMYFUNCTION("""COMPUTED_VALUE"""),"Die")</f>
        <v>Die</v>
      </c>
      <c r="J2110" s="9" t="str">
        <f>IFERROR(__xludf.DUMMYFUNCTION("""COMPUTED_VALUE"""),"THM")</f>
        <v>THM</v>
      </c>
      <c r="K2110" s="9" t="str">
        <f>IFERROR(__xludf.DUMMYFUNCTION("""COMPUTED_VALUE"""),"DTH")</f>
        <v>DTH</v>
      </c>
      <c r="L2110" s="9" t="str">
        <f>IFERROR(__xludf.DUMMYFUNCTION("""COMPUTED_VALUE"""),"PoN")</f>
        <v>PoN</v>
      </c>
      <c r="M2110" s="9" t="str">
        <f>IFERROR(__xludf.DUMMYFUNCTION("""COMPUTED_VALUE"""),"Po")</f>
        <v>Po</v>
      </c>
      <c r="N2110" s="9"/>
      <c r="O2110" s="9"/>
      <c r="P2110" s="9"/>
      <c r="Q2110" s="9"/>
      <c r="R2110" s="9"/>
      <c r="S2110" s="42"/>
      <c r="T2110" s="42"/>
      <c r="U2110" s="159"/>
      <c r="V2110" s="42"/>
      <c r="W2110" s="42"/>
      <c r="X2110" s="42"/>
      <c r="Y2110" s="42"/>
      <c r="Z2110" s="42"/>
      <c r="AA2110" s="42"/>
      <c r="AB2110" s="42" t="str">
        <f>IFERROR(__xludf.DUMMYFUNCTION("""COMPUTED_VALUE"""),"allen institute")</f>
        <v>allen institute</v>
      </c>
      <c r="AC2110" s="42" t="str">
        <f>IFERROR(__xludf.DUMMYFUNCTION("""COMPUTED_VALUE"""),"DHBA")</f>
        <v>DHBA</v>
      </c>
      <c r="AD2110" s="42"/>
      <c r="AE2110" s="42"/>
      <c r="AF2110" s="9"/>
      <c r="AG2110" s="9"/>
      <c r="AH2110" s="42"/>
      <c r="AI2110" s="42"/>
      <c r="AJ2110" s="42"/>
      <c r="AK2110" s="42"/>
      <c r="AL2110" s="42"/>
      <c r="AM2110" s="42"/>
      <c r="AN2110" s="42"/>
      <c r="AO2110" s="63" t="str">
        <f>IFERROR(__xludf.DUMMYFUNCTION("IF(ISBLANK(A2110),,IF(ISBLANK(S2110), A2110&amp;"";"", TEXTJOIN(CHAR(10), TRUE, A2110&amp;"";"", ARRAYFORMULA(VLOOKUP(SPLIT(S2110, "";"" &amp; CHAR(10)), $A:$AO, 41, FALSE)))))"),"Po;")</f>
        <v>Po;</v>
      </c>
      <c r="AP2110" s="89"/>
    </row>
    <row r="2111">
      <c r="A2111" s="151" t="str">
        <f>IFERROR(__xludf.DUMMYFUNCTION("""COMPUTED_VALUE"""),"LSG")</f>
        <v>LSG</v>
      </c>
      <c r="B2111" s="42" t="str">
        <f>IFERROR(__xludf.DUMMYFUNCTION("""COMPUTED_VALUE"""),"DHBA")</f>
        <v>DHBA</v>
      </c>
      <c r="C2111" s="42" t="str">
        <f>IFERROR(__xludf.DUMMYFUNCTION("""COMPUTED_VALUE"""),"limitans/suprageniculate nucleus")</f>
        <v>limitans/suprageniculate nucleus</v>
      </c>
      <c r="D2111" s="42">
        <f>IFERROR(__xludf.DUMMYFUNCTION("""COMPUTED_VALUE"""),1994.0)</f>
        <v>1994</v>
      </c>
      <c r="E2111" s="39" t="str">
        <f>IFERROR(__xludf.DUMMYFUNCTION("""COMPUTED_VALUE"""),"limitans/suprageniculate nucleus")</f>
        <v>limitans/suprageniculate nucleus</v>
      </c>
      <c r="F2111" s="9" t="str">
        <f>IFERROR(__xludf.DUMMYFUNCTION("""COMPUTED_VALUE"""),"Br")</f>
        <v>Br</v>
      </c>
      <c r="G2111" s="9" t="str">
        <f>IFERROR(__xludf.DUMMYFUNCTION("""COMPUTED_VALUE"""),"F")</f>
        <v>F</v>
      </c>
      <c r="H2111" s="9" t="str">
        <f>IFERROR(__xludf.DUMMYFUNCTION("""COMPUTED_VALUE"""),"FGM")</f>
        <v>FGM</v>
      </c>
      <c r="I2111" s="9" t="str">
        <f>IFERROR(__xludf.DUMMYFUNCTION("""COMPUTED_VALUE"""),"Die")</f>
        <v>Die</v>
      </c>
      <c r="J2111" s="9" t="str">
        <f>IFERROR(__xludf.DUMMYFUNCTION("""COMPUTED_VALUE"""),"THM")</f>
        <v>THM</v>
      </c>
      <c r="K2111" s="9" t="str">
        <f>IFERROR(__xludf.DUMMYFUNCTION("""COMPUTED_VALUE"""),"DTH")</f>
        <v>DTH</v>
      </c>
      <c r="L2111" s="9" t="str">
        <f>IFERROR(__xludf.DUMMYFUNCTION("""COMPUTED_VALUE"""),"PoN")</f>
        <v>PoN</v>
      </c>
      <c r="M2111" s="9" t="str">
        <f>IFERROR(__xludf.DUMMYFUNCTION("""COMPUTED_VALUE"""),"LSG")</f>
        <v>LSG</v>
      </c>
      <c r="N2111" s="9"/>
      <c r="O2111" s="9"/>
      <c r="P2111" s="9"/>
      <c r="Q2111" s="9"/>
      <c r="R2111" s="9"/>
      <c r="S2111" s="42" t="str">
        <f>IFERROR(__xludf.DUMMYFUNCTION("""COMPUTED_VALUE"""),"Lim;
SGN")</f>
        <v>Lim;
SGN</v>
      </c>
      <c r="T2111" s="42"/>
      <c r="U2111" s="159" t="b">
        <f>IFERROR(__xludf.DUMMYFUNCTION("""COMPUTED_VALUE"""),FALSE)</f>
        <v>0</v>
      </c>
      <c r="V2111" s="42"/>
      <c r="W2111" s="42"/>
      <c r="X2111" s="42"/>
      <c r="Y2111" s="42"/>
      <c r="Z2111" s="42"/>
      <c r="AA2111" s="42"/>
      <c r="AB2111" s="42" t="str">
        <f>IFERROR(__xludf.DUMMYFUNCTION("""COMPUTED_VALUE"""),"allen institute")</f>
        <v>allen institute</v>
      </c>
      <c r="AC2111" s="42" t="str">
        <f>IFERROR(__xludf.DUMMYFUNCTION("""COMPUTED_VALUE"""),"DHBA")</f>
        <v>DHBA</v>
      </c>
      <c r="AD2111" s="42"/>
      <c r="AE2111" s="42"/>
      <c r="AF2111" s="9"/>
      <c r="AG2111" s="9"/>
      <c r="AH2111" s="42"/>
      <c r="AI2111" s="42"/>
      <c r="AJ2111" s="42"/>
      <c r="AK2111" s="42"/>
      <c r="AL2111" s="42"/>
      <c r="AM2111" s="42"/>
      <c r="AN2111" s="42"/>
      <c r="AO2111" s="63" t="str">
        <f>IFERROR(__xludf.DUMMYFUNCTION("IF(ISBLANK(A2111),,IF(ISBLANK(S2111), A2111&amp;"";"", TEXTJOIN(CHAR(10), TRUE, A2111&amp;"";"", ARRAYFORMULA(VLOOKUP(SPLIT(S2111, "";"" &amp; CHAR(10)), $A:$AO, 41, FALSE)))))"),"LSG;
Lim;
SGN;")</f>
        <v>LSG;
Lim;
SGN;</v>
      </c>
      <c r="AP2111" s="89"/>
    </row>
    <row r="2112">
      <c r="A2112" s="151" t="str">
        <f>IFERROR(__xludf.DUMMYFUNCTION("""COMPUTED_VALUE"""),"Lim")</f>
        <v>Lim</v>
      </c>
      <c r="B2112" s="42" t="str">
        <f>IFERROR(__xludf.DUMMYFUNCTION("""COMPUTED_VALUE"""),"DHBA")</f>
        <v>DHBA</v>
      </c>
      <c r="C2112" s="42" t="str">
        <f>IFERROR(__xludf.DUMMYFUNCTION("""COMPUTED_VALUE"""),"limtans nucleus")</f>
        <v>limtans nucleus</v>
      </c>
      <c r="D2112" s="42">
        <f>IFERROR(__xludf.DUMMYFUNCTION("""COMPUTED_VALUE"""),1995.0)</f>
        <v>1995</v>
      </c>
      <c r="E2112" s="39" t="str">
        <f>IFERROR(__xludf.DUMMYFUNCTION("""COMPUTED_VALUE"""),"limitans nucleus")</f>
        <v>limitans nucleus</v>
      </c>
      <c r="F2112" s="9" t="str">
        <f>IFERROR(__xludf.DUMMYFUNCTION("""COMPUTED_VALUE"""),"Br")</f>
        <v>Br</v>
      </c>
      <c r="G2112" s="9" t="str">
        <f>IFERROR(__xludf.DUMMYFUNCTION("""COMPUTED_VALUE"""),"F")</f>
        <v>F</v>
      </c>
      <c r="H2112" s="9" t="str">
        <f>IFERROR(__xludf.DUMMYFUNCTION("""COMPUTED_VALUE"""),"FGM")</f>
        <v>FGM</v>
      </c>
      <c r="I2112" s="9" t="str">
        <f>IFERROR(__xludf.DUMMYFUNCTION("""COMPUTED_VALUE"""),"Die")</f>
        <v>Die</v>
      </c>
      <c r="J2112" s="9" t="str">
        <f>IFERROR(__xludf.DUMMYFUNCTION("""COMPUTED_VALUE"""),"THM")</f>
        <v>THM</v>
      </c>
      <c r="K2112" s="9" t="str">
        <f>IFERROR(__xludf.DUMMYFUNCTION("""COMPUTED_VALUE"""),"DTH")</f>
        <v>DTH</v>
      </c>
      <c r="L2112" s="9" t="str">
        <f>IFERROR(__xludf.DUMMYFUNCTION("""COMPUTED_VALUE"""),"PoN")</f>
        <v>PoN</v>
      </c>
      <c r="M2112" s="9" t="str">
        <f>IFERROR(__xludf.DUMMYFUNCTION("""COMPUTED_VALUE"""),"LSG")</f>
        <v>LSG</v>
      </c>
      <c r="N2112" s="9" t="str">
        <f>IFERROR(__xludf.DUMMYFUNCTION("""COMPUTED_VALUE"""),"Lim")</f>
        <v>Lim</v>
      </c>
      <c r="O2112" s="9"/>
      <c r="P2112" s="9"/>
      <c r="Q2112" s="9"/>
      <c r="R2112" s="9"/>
      <c r="S2112" s="42"/>
      <c r="T2112" s="42"/>
      <c r="U2112" s="159"/>
      <c r="V2112" s="42"/>
      <c r="W2112" s="42"/>
      <c r="X2112" s="42"/>
      <c r="Y2112" s="42"/>
      <c r="Z2112" s="42"/>
      <c r="AA2112" s="42"/>
      <c r="AB2112" s="42" t="str">
        <f>IFERROR(__xludf.DUMMYFUNCTION("""COMPUTED_VALUE"""),"allen institute")</f>
        <v>allen institute</v>
      </c>
      <c r="AC2112" s="42" t="str">
        <f>IFERROR(__xludf.DUMMYFUNCTION("""COMPUTED_VALUE"""),"DHBA")</f>
        <v>DHBA</v>
      </c>
      <c r="AD2112" s="42"/>
      <c r="AE2112" s="42"/>
      <c r="AF2112" s="9"/>
      <c r="AG2112" s="9"/>
      <c r="AH2112" s="42"/>
      <c r="AI2112" s="42"/>
      <c r="AJ2112" s="42"/>
      <c r="AK2112" s="42"/>
      <c r="AL2112" s="42"/>
      <c r="AM2112" s="42"/>
      <c r="AN2112" s="42"/>
      <c r="AO2112" s="63" t="str">
        <f>IFERROR(__xludf.DUMMYFUNCTION("IF(ISBLANK(A2112),,IF(ISBLANK(S2112), A2112&amp;"";"", TEXTJOIN(CHAR(10), TRUE, A2112&amp;"";"", ARRAYFORMULA(VLOOKUP(SPLIT(S2112, "";"" &amp; CHAR(10)), $A:$AO, 41, FALSE)))))"),"Lim;")</f>
        <v>Lim;</v>
      </c>
      <c r="AP2112" s="89"/>
    </row>
    <row r="2113">
      <c r="A2113" s="151" t="str">
        <f>IFERROR(__xludf.DUMMYFUNCTION("""COMPUTED_VALUE"""),"SGN")</f>
        <v>SGN</v>
      </c>
      <c r="B2113" s="42" t="str">
        <f>IFERROR(__xludf.DUMMYFUNCTION("""COMPUTED_VALUE"""),"DHBA")</f>
        <v>DHBA</v>
      </c>
      <c r="C2113" s="42" t="str">
        <f>IFERROR(__xludf.DUMMYFUNCTION("""COMPUTED_VALUE"""),"Suprageniculate nucleus, SG")</f>
        <v>Suprageniculate nucleus, SG</v>
      </c>
      <c r="D2113" s="42">
        <f>IFERROR(__xludf.DUMMYFUNCTION("""COMPUTED_VALUE"""),1996.0)</f>
        <v>1996</v>
      </c>
      <c r="E2113" s="39" t="str">
        <f>IFERROR(__xludf.DUMMYFUNCTION("""COMPUTED_VALUE"""),"suprageniculate nucleus of thalamus")</f>
        <v>suprageniculate nucleus of thalamus</v>
      </c>
      <c r="F2113" s="9" t="str">
        <f>IFERROR(__xludf.DUMMYFUNCTION("""COMPUTED_VALUE"""),"Br")</f>
        <v>Br</v>
      </c>
      <c r="G2113" s="9" t="str">
        <f>IFERROR(__xludf.DUMMYFUNCTION("""COMPUTED_VALUE"""),"F")</f>
        <v>F</v>
      </c>
      <c r="H2113" s="9" t="str">
        <f>IFERROR(__xludf.DUMMYFUNCTION("""COMPUTED_VALUE"""),"FGM")</f>
        <v>FGM</v>
      </c>
      <c r="I2113" s="9" t="str">
        <f>IFERROR(__xludf.DUMMYFUNCTION("""COMPUTED_VALUE"""),"Die")</f>
        <v>Die</v>
      </c>
      <c r="J2113" s="9" t="str">
        <f>IFERROR(__xludf.DUMMYFUNCTION("""COMPUTED_VALUE"""),"THM")</f>
        <v>THM</v>
      </c>
      <c r="K2113" s="9" t="str">
        <f>IFERROR(__xludf.DUMMYFUNCTION("""COMPUTED_VALUE"""),"DTH")</f>
        <v>DTH</v>
      </c>
      <c r="L2113" s="9" t="str">
        <f>IFERROR(__xludf.DUMMYFUNCTION("""COMPUTED_VALUE"""),"PoN")</f>
        <v>PoN</v>
      </c>
      <c r="M2113" s="9" t="str">
        <f>IFERROR(__xludf.DUMMYFUNCTION("""COMPUTED_VALUE"""),"LSG")</f>
        <v>LSG</v>
      </c>
      <c r="N2113" s="9" t="str">
        <f>IFERROR(__xludf.DUMMYFUNCTION("""COMPUTED_VALUE"""),"SGN")</f>
        <v>SGN</v>
      </c>
      <c r="O2113" s="9"/>
      <c r="P2113" s="9"/>
      <c r="Q2113" s="9"/>
      <c r="R2113" s="9"/>
      <c r="S2113" s="42"/>
      <c r="T2113" s="42"/>
      <c r="U2113" s="42"/>
      <c r="V2113" s="42"/>
      <c r="W2113" s="42"/>
      <c r="X2113" s="42"/>
      <c r="Y2113" s="42"/>
      <c r="Z2113" s="42"/>
      <c r="AA2113" s="42"/>
      <c r="AB2113" s="42" t="str">
        <f>IFERROR(__xludf.DUMMYFUNCTION("""COMPUTED_VALUE"""),"allen institute")</f>
        <v>allen institute</v>
      </c>
      <c r="AC2113" s="42" t="str">
        <f>IFERROR(__xludf.DUMMYFUNCTION("""COMPUTED_VALUE"""),"DHBA")</f>
        <v>DHBA</v>
      </c>
      <c r="AD2113" s="42"/>
      <c r="AE2113" s="42"/>
      <c r="AF2113" s="9"/>
      <c r="AG2113" s="9"/>
      <c r="AH2113" s="42"/>
      <c r="AI2113" s="42"/>
      <c r="AJ2113" s="42"/>
      <c r="AK2113" s="42"/>
      <c r="AL2113" s="42"/>
      <c r="AM2113" s="42"/>
      <c r="AN2113" s="42"/>
      <c r="AO2113" s="63" t="str">
        <f>IFERROR(__xludf.DUMMYFUNCTION("IF(ISBLANK(A2113),,IF(ISBLANK(S2113), A2113&amp;"";"", TEXTJOIN(CHAR(10), TRUE, A2113&amp;"";"", ARRAYFORMULA(VLOOKUP(SPLIT(S2113, "";"" &amp; CHAR(10)), $A:$AO, 41, FALSE)))))"),"SGN;")</f>
        <v>SGN;</v>
      </c>
      <c r="AP2113" s="89"/>
    </row>
    <row r="2114">
      <c r="A2114" s="151" t="str">
        <f>IFERROR(__xludf.DUMMYFUNCTION("""COMPUTED_VALUE"""),"ILN")</f>
        <v>ILN</v>
      </c>
      <c r="B2114" s="42" t="str">
        <f>IFERROR(__xludf.DUMMYFUNCTION("""COMPUTED_VALUE"""),"DHBA")</f>
        <v>DHBA</v>
      </c>
      <c r="C2114" s="42" t="str">
        <f>IFERROR(__xludf.DUMMYFUNCTION("""COMPUTED_VALUE"""),"intralaminar nuclear complex")</f>
        <v>intralaminar nuclear complex</v>
      </c>
      <c r="D2114" s="42">
        <f>IFERROR(__xludf.DUMMYFUNCTION("""COMPUTED_VALUE"""),1997.0)</f>
        <v>1997</v>
      </c>
      <c r="E2114" s="39" t="str">
        <f>IFERROR(__xludf.DUMMYFUNCTION("""COMPUTED_VALUE"""),"intralaminar nuclear complex")</f>
        <v>intralaminar nuclear complex</v>
      </c>
      <c r="F2114" s="9" t="str">
        <f>IFERROR(__xludf.DUMMYFUNCTION("""COMPUTED_VALUE"""),"Br")</f>
        <v>Br</v>
      </c>
      <c r="G2114" s="9" t="str">
        <f>IFERROR(__xludf.DUMMYFUNCTION("""COMPUTED_VALUE"""),"F")</f>
        <v>F</v>
      </c>
      <c r="H2114" s="9" t="str">
        <f>IFERROR(__xludf.DUMMYFUNCTION("""COMPUTED_VALUE"""),"FGM")</f>
        <v>FGM</v>
      </c>
      <c r="I2114" s="9" t="str">
        <f>IFERROR(__xludf.DUMMYFUNCTION("""COMPUTED_VALUE"""),"Die")</f>
        <v>Die</v>
      </c>
      <c r="J2114" s="9" t="str">
        <f>IFERROR(__xludf.DUMMYFUNCTION("""COMPUTED_VALUE"""),"THM")</f>
        <v>THM</v>
      </c>
      <c r="K2114" s="9" t="str">
        <f>IFERROR(__xludf.DUMMYFUNCTION("""COMPUTED_VALUE"""),"DTH")</f>
        <v>DTH</v>
      </c>
      <c r="L2114" s="9" t="str">
        <f>IFERROR(__xludf.DUMMYFUNCTION("""COMPUTED_VALUE"""),"ILN")</f>
        <v>ILN</v>
      </c>
      <c r="M2114" s="9"/>
      <c r="N2114" s="9"/>
      <c r="O2114" s="9"/>
      <c r="P2114" s="9"/>
      <c r="Q2114" s="9"/>
      <c r="R2114" s="9"/>
      <c r="S2114" s="42" t="str">
        <f>IFERROR(__xludf.DUMMYFUNCTION("""COMPUTED_VALUE"""),"AILN;
PILN;
Fa")</f>
        <v>AILN;
PILN;
Fa</v>
      </c>
      <c r="T2114" s="42"/>
      <c r="U2114" s="42" t="b">
        <f>IFERROR(__xludf.DUMMYFUNCTION("""COMPUTED_VALUE"""),FALSE)</f>
        <v>0</v>
      </c>
      <c r="V2114" s="42"/>
      <c r="W2114" s="42"/>
      <c r="X2114" s="42"/>
      <c r="Y2114" s="42"/>
      <c r="Z2114" s="42"/>
      <c r="AA2114" s="42"/>
      <c r="AB2114" s="42" t="str">
        <f>IFERROR(__xludf.DUMMYFUNCTION("""COMPUTED_VALUE"""),"allen institute")</f>
        <v>allen institute</v>
      </c>
      <c r="AC2114" s="42" t="str">
        <f>IFERROR(__xludf.DUMMYFUNCTION("""COMPUTED_VALUE"""),"DHBA")</f>
        <v>DHBA</v>
      </c>
      <c r="AD2114" s="42"/>
      <c r="AE2114" s="42"/>
      <c r="AF2114" s="9"/>
      <c r="AG2114" s="9"/>
      <c r="AH2114" s="42"/>
      <c r="AI2114" s="42"/>
      <c r="AJ2114" s="42"/>
      <c r="AK2114" s="42"/>
      <c r="AL2114" s="42"/>
      <c r="AM2114" s="42"/>
      <c r="AN2114" s="42"/>
      <c r="AO2114" s="63" t="str">
        <f>IFERROR(__xludf.DUMMYFUNCTION("IF(ISBLANK(A2114),,IF(ISBLANK(S2114), A2114&amp;"";"", TEXTJOIN(CHAR(10), TRUE, A2114&amp;"";"", ARRAYFORMULA(VLOOKUP(SPLIT(S2114, "";"" &amp; CHAR(10)), $A:$AO, 41, FALSE)))))"),"ILN;
AILN;
CL;
CLm;
CLl;
CLs;
CLc;
CEm;
CEmd;
CEmv;
PC;
CD;
PILN;
CM;
CMl;
CMm;
Pf;
Pfl;
Pfm;
SPf;
RPf;
Fa;")</f>
        <v>ILN;
AILN;
CL;
CLm;
CLl;
CLs;
CLc;
CEm;
CEmd;
CEmv;
PC;
CD;
PILN;
CM;
CMl;
CMm;
Pf;
Pfl;
Pfm;
SPf;
RPf;
Fa;</v>
      </c>
      <c r="AP2114" s="89"/>
    </row>
    <row r="2115">
      <c r="A2115" s="151" t="str">
        <f>IFERROR(__xludf.DUMMYFUNCTION("""COMPUTED_VALUE"""),"AILN")</f>
        <v>AILN</v>
      </c>
      <c r="B2115" s="42" t="str">
        <f>IFERROR(__xludf.DUMMYFUNCTION("""COMPUTED_VALUE"""),"DHBA")</f>
        <v>DHBA</v>
      </c>
      <c r="C2115" s="42" t="str">
        <f>IFERROR(__xludf.DUMMYFUNCTION("""COMPUTED_VALUE"""),"anterior group of intralaminar nuclei")</f>
        <v>anterior group of intralaminar nuclei</v>
      </c>
      <c r="D2115" s="42">
        <f>IFERROR(__xludf.DUMMYFUNCTION("""COMPUTED_VALUE"""),1998.0)</f>
        <v>1998</v>
      </c>
      <c r="E2115" s="39" t="str">
        <f>IFERROR(__xludf.DUMMYFUNCTION("""COMPUTED_VALUE"""),"anterior group of intralaminar nuclei")</f>
        <v>anterior group of intralaminar nuclei</v>
      </c>
      <c r="F2115" s="9" t="str">
        <f>IFERROR(__xludf.DUMMYFUNCTION("""COMPUTED_VALUE"""),"Br")</f>
        <v>Br</v>
      </c>
      <c r="G2115" s="9" t="str">
        <f>IFERROR(__xludf.DUMMYFUNCTION("""COMPUTED_VALUE"""),"F")</f>
        <v>F</v>
      </c>
      <c r="H2115" s="9" t="str">
        <f>IFERROR(__xludf.DUMMYFUNCTION("""COMPUTED_VALUE"""),"FGM")</f>
        <v>FGM</v>
      </c>
      <c r="I2115" s="9" t="str">
        <f>IFERROR(__xludf.DUMMYFUNCTION("""COMPUTED_VALUE"""),"Die")</f>
        <v>Die</v>
      </c>
      <c r="J2115" s="9" t="str">
        <f>IFERROR(__xludf.DUMMYFUNCTION("""COMPUTED_VALUE"""),"THM")</f>
        <v>THM</v>
      </c>
      <c r="K2115" s="9" t="str">
        <f>IFERROR(__xludf.DUMMYFUNCTION("""COMPUTED_VALUE"""),"DTH")</f>
        <v>DTH</v>
      </c>
      <c r="L2115" s="9" t="str">
        <f>IFERROR(__xludf.DUMMYFUNCTION("""COMPUTED_VALUE"""),"ILN")</f>
        <v>ILN</v>
      </c>
      <c r="M2115" s="9" t="str">
        <f>IFERROR(__xludf.DUMMYFUNCTION("""COMPUTED_VALUE"""),"AILN")</f>
        <v>AILN</v>
      </c>
      <c r="N2115" s="9"/>
      <c r="O2115" s="9"/>
      <c r="P2115" s="9"/>
      <c r="Q2115" s="9"/>
      <c r="R2115" s="9"/>
      <c r="S2115" s="42" t="str">
        <f>IFERROR(__xludf.DUMMYFUNCTION("""COMPUTED_VALUE"""),"CL;
CeM;
PC;
CD")</f>
        <v>CL;
CeM;
PC;
CD</v>
      </c>
      <c r="T2115" s="42"/>
      <c r="U2115" s="42" t="b">
        <f>IFERROR(__xludf.DUMMYFUNCTION("""COMPUTED_VALUE"""),FALSE)</f>
        <v>0</v>
      </c>
      <c r="V2115" s="42"/>
      <c r="W2115" s="42"/>
      <c r="X2115" s="42"/>
      <c r="Y2115" s="42"/>
      <c r="Z2115" s="42"/>
      <c r="AA2115" s="42"/>
      <c r="AB2115" s="42" t="str">
        <f>IFERROR(__xludf.DUMMYFUNCTION("""COMPUTED_VALUE"""),"allen institute")</f>
        <v>allen institute</v>
      </c>
      <c r="AC2115" s="42" t="str">
        <f>IFERROR(__xludf.DUMMYFUNCTION("""COMPUTED_VALUE"""),"DHBA")</f>
        <v>DHBA</v>
      </c>
      <c r="AD2115" s="42"/>
      <c r="AE2115" s="42"/>
      <c r="AF2115" s="9"/>
      <c r="AG2115" s="9"/>
      <c r="AH2115" s="42"/>
      <c r="AI2115" s="42"/>
      <c r="AJ2115" s="42"/>
      <c r="AK2115" s="42"/>
      <c r="AL2115" s="42"/>
      <c r="AM2115" s="42"/>
      <c r="AN2115" s="42"/>
      <c r="AO2115" s="63" t="str">
        <f>IFERROR(__xludf.DUMMYFUNCTION("IF(ISBLANK(A2115),,IF(ISBLANK(S2115), A2115&amp;"";"", TEXTJOIN(CHAR(10), TRUE, A2115&amp;"";"", ARRAYFORMULA(VLOOKUP(SPLIT(S2115, "";"" &amp; CHAR(10)), $A:$AO, 41, FALSE)))))"),"AILN;
CL;
CLm;
CLl;
CLs;
CLc;
CEm;
CEmd;
CEmv;
PC;
CD;")</f>
        <v>AILN;
CL;
CLm;
CLl;
CLs;
CLc;
CEm;
CEmd;
CEmv;
PC;
CD;</v>
      </c>
      <c r="AP2115" s="89"/>
    </row>
    <row r="2116">
      <c r="A2116" s="151" t="str">
        <f>IFERROR(__xludf.DUMMYFUNCTION("""COMPUTED_VALUE"""),"CL")</f>
        <v>CL</v>
      </c>
      <c r="B2116" s="42" t="str">
        <f>IFERROR(__xludf.DUMMYFUNCTION("""COMPUTED_VALUE"""),"DHBA")</f>
        <v>DHBA</v>
      </c>
      <c r="C2116" s="42" t="str">
        <f>IFERROR(__xludf.DUMMYFUNCTION("""COMPUTED_VALUE"""),"central lateral nucleus of the thalamus")</f>
        <v>central lateral nucleus of the thalamus</v>
      </c>
      <c r="D2116" s="42">
        <f>IFERROR(__xludf.DUMMYFUNCTION("""COMPUTED_VALUE"""),1999.0)</f>
        <v>1999</v>
      </c>
      <c r="E2116" s="39" t="str">
        <f>IFERROR(__xludf.DUMMYFUNCTION("""COMPUTED_VALUE"""),"central lateral nucleus of the thalamus")</f>
        <v>central lateral nucleus of the thalamus</v>
      </c>
      <c r="F2116" s="9" t="str">
        <f>IFERROR(__xludf.DUMMYFUNCTION("""COMPUTED_VALUE"""),"Br")</f>
        <v>Br</v>
      </c>
      <c r="G2116" s="9" t="str">
        <f>IFERROR(__xludf.DUMMYFUNCTION("""COMPUTED_VALUE"""),"F")</f>
        <v>F</v>
      </c>
      <c r="H2116" s="9" t="str">
        <f>IFERROR(__xludf.DUMMYFUNCTION("""COMPUTED_VALUE"""),"FGM")</f>
        <v>FGM</v>
      </c>
      <c r="I2116" s="9" t="str">
        <f>IFERROR(__xludf.DUMMYFUNCTION("""COMPUTED_VALUE"""),"Die")</f>
        <v>Die</v>
      </c>
      <c r="J2116" s="9" t="str">
        <f>IFERROR(__xludf.DUMMYFUNCTION("""COMPUTED_VALUE"""),"THM")</f>
        <v>THM</v>
      </c>
      <c r="K2116" s="9" t="str">
        <f>IFERROR(__xludf.DUMMYFUNCTION("""COMPUTED_VALUE"""),"DTH")</f>
        <v>DTH</v>
      </c>
      <c r="L2116" s="9" t="str">
        <f>IFERROR(__xludf.DUMMYFUNCTION("""COMPUTED_VALUE"""),"ILN")</f>
        <v>ILN</v>
      </c>
      <c r="M2116" s="9" t="str">
        <f>IFERROR(__xludf.DUMMYFUNCTION("""COMPUTED_VALUE"""),"AILN")</f>
        <v>AILN</v>
      </c>
      <c r="N2116" s="9" t="str">
        <f>IFERROR(__xludf.DUMMYFUNCTION("""COMPUTED_VALUE"""),"CL")</f>
        <v>CL</v>
      </c>
      <c r="O2116" s="9"/>
      <c r="P2116" s="9"/>
      <c r="Q2116" s="9"/>
      <c r="R2116" s="9"/>
      <c r="S2116" s="42" t="str">
        <f>IFERROR(__xludf.DUMMYFUNCTION("""COMPUTED_VALUE"""),"CLm;
CLl;
CLs;
CLc")</f>
        <v>CLm;
CLl;
CLs;
CLc</v>
      </c>
      <c r="T2116" s="42"/>
      <c r="U2116" s="42" t="b">
        <f>IFERROR(__xludf.DUMMYFUNCTION("""COMPUTED_VALUE"""),FALSE)</f>
        <v>0</v>
      </c>
      <c r="V2116" s="42"/>
      <c r="W2116" s="42"/>
      <c r="X2116" s="42"/>
      <c r="Y2116" s="42"/>
      <c r="Z2116" s="42"/>
      <c r="AA2116" s="42"/>
      <c r="AB2116" s="42" t="str">
        <f>IFERROR(__xludf.DUMMYFUNCTION("""COMPUTED_VALUE"""),"allen institute")</f>
        <v>allen institute</v>
      </c>
      <c r="AC2116" s="42" t="str">
        <f>IFERROR(__xludf.DUMMYFUNCTION("""COMPUTED_VALUE"""),"DHBA")</f>
        <v>DHBA</v>
      </c>
      <c r="AD2116" s="42"/>
      <c r="AE2116" s="42"/>
      <c r="AF2116" s="9"/>
      <c r="AG2116" s="9"/>
      <c r="AH2116" s="42"/>
      <c r="AI2116" s="42"/>
      <c r="AJ2116" s="42"/>
      <c r="AK2116" s="42"/>
      <c r="AL2116" s="42"/>
      <c r="AM2116" s="42"/>
      <c r="AN2116" s="42"/>
      <c r="AO2116" s="63" t="str">
        <f>IFERROR(__xludf.DUMMYFUNCTION("IF(ISBLANK(A2116),,IF(ISBLANK(S2116), A2116&amp;"";"", TEXTJOIN(CHAR(10), TRUE, A2116&amp;"";"", ARRAYFORMULA(VLOOKUP(SPLIT(S2116, "";"" &amp; CHAR(10)), $A:$AO, 41, FALSE)))))"),"CL;
CLm;
CLl;
CLs;
CLc;")</f>
        <v>CL;
CLm;
CLl;
CLs;
CLc;</v>
      </c>
      <c r="AP2116" s="89"/>
    </row>
    <row r="2117">
      <c r="A2117" s="151" t="str">
        <f>IFERROR(__xludf.DUMMYFUNCTION("""COMPUTED_VALUE"""),"CLm")</f>
        <v>CLm</v>
      </c>
      <c r="B2117" s="42" t="str">
        <f>IFERROR(__xludf.DUMMYFUNCTION("""COMPUTED_VALUE"""),"DHBA")</f>
        <v>DHBA</v>
      </c>
      <c r="C2117" s="42" t="str">
        <f>IFERROR(__xludf.DUMMYFUNCTION("""COMPUTED_VALUE"""),"medial division of central lateral nucleus")</f>
        <v>medial division of central lateral nucleus</v>
      </c>
      <c r="D2117" s="42">
        <f>IFERROR(__xludf.DUMMYFUNCTION("""COMPUTED_VALUE"""),2000.0)</f>
        <v>2000</v>
      </c>
      <c r="E2117" s="39" t="str">
        <f>IFERROR(__xludf.DUMMYFUNCTION("""COMPUTED_VALUE"""),"medial division of central lateral nucleus")</f>
        <v>medial division of central lateral nucleus</v>
      </c>
      <c r="F2117" s="9" t="str">
        <f>IFERROR(__xludf.DUMMYFUNCTION("""COMPUTED_VALUE"""),"Br")</f>
        <v>Br</v>
      </c>
      <c r="G2117" s="9" t="str">
        <f>IFERROR(__xludf.DUMMYFUNCTION("""COMPUTED_VALUE"""),"F")</f>
        <v>F</v>
      </c>
      <c r="H2117" s="9" t="str">
        <f>IFERROR(__xludf.DUMMYFUNCTION("""COMPUTED_VALUE"""),"FGM")</f>
        <v>FGM</v>
      </c>
      <c r="I2117" s="9" t="str">
        <f>IFERROR(__xludf.DUMMYFUNCTION("""COMPUTED_VALUE"""),"Die")</f>
        <v>Die</v>
      </c>
      <c r="J2117" s="9" t="str">
        <f>IFERROR(__xludf.DUMMYFUNCTION("""COMPUTED_VALUE"""),"THM")</f>
        <v>THM</v>
      </c>
      <c r="K2117" s="9" t="str">
        <f>IFERROR(__xludf.DUMMYFUNCTION("""COMPUTED_VALUE"""),"DTH")</f>
        <v>DTH</v>
      </c>
      <c r="L2117" s="9" t="str">
        <f>IFERROR(__xludf.DUMMYFUNCTION("""COMPUTED_VALUE"""),"ILN")</f>
        <v>ILN</v>
      </c>
      <c r="M2117" s="9" t="str">
        <f>IFERROR(__xludf.DUMMYFUNCTION("""COMPUTED_VALUE"""),"AILN")</f>
        <v>AILN</v>
      </c>
      <c r="N2117" s="9" t="str">
        <f>IFERROR(__xludf.DUMMYFUNCTION("""COMPUTED_VALUE"""),"CL")</f>
        <v>CL</v>
      </c>
      <c r="O2117" s="9" t="str">
        <f>IFERROR(__xludf.DUMMYFUNCTION("""COMPUTED_VALUE"""),"CLm")</f>
        <v>CLm</v>
      </c>
      <c r="P2117" s="9"/>
      <c r="Q2117" s="9"/>
      <c r="R2117" s="9"/>
      <c r="S2117" s="42"/>
      <c r="T2117" s="42"/>
      <c r="U2117" s="42"/>
      <c r="V2117" s="42"/>
      <c r="W2117" s="42"/>
      <c r="X2117" s="42"/>
      <c r="Y2117" s="42"/>
      <c r="Z2117" s="42"/>
      <c r="AA2117" s="42"/>
      <c r="AB2117" s="42" t="str">
        <f>IFERROR(__xludf.DUMMYFUNCTION("""COMPUTED_VALUE"""),"allen institute")</f>
        <v>allen institute</v>
      </c>
      <c r="AC2117" s="42" t="str">
        <f>IFERROR(__xludf.DUMMYFUNCTION("""COMPUTED_VALUE"""),"DHBA")</f>
        <v>DHBA</v>
      </c>
      <c r="AD2117" s="42"/>
      <c r="AE2117" s="42"/>
      <c r="AF2117" s="9"/>
      <c r="AG2117" s="9"/>
      <c r="AH2117" s="42"/>
      <c r="AI2117" s="42"/>
      <c r="AJ2117" s="42"/>
      <c r="AK2117" s="42"/>
      <c r="AL2117" s="42"/>
      <c r="AM2117" s="42"/>
      <c r="AN2117" s="42"/>
      <c r="AO2117" s="63" t="str">
        <f>IFERROR(__xludf.DUMMYFUNCTION("IF(ISBLANK(A2117),,IF(ISBLANK(S2117), A2117&amp;"";"", TEXTJOIN(CHAR(10), TRUE, A2117&amp;"";"", ARRAYFORMULA(VLOOKUP(SPLIT(S2117, "";"" &amp; CHAR(10)), $A:$AO, 41, FALSE)))))"),"CLm;")</f>
        <v>CLm;</v>
      </c>
      <c r="AP2117" s="89"/>
    </row>
    <row r="2118">
      <c r="A2118" s="151" t="str">
        <f>IFERROR(__xludf.DUMMYFUNCTION("""COMPUTED_VALUE"""),"CLl")</f>
        <v>CLl</v>
      </c>
      <c r="B2118" s="42" t="str">
        <f>IFERROR(__xludf.DUMMYFUNCTION("""COMPUTED_VALUE"""),"DHBA")</f>
        <v>DHBA</v>
      </c>
      <c r="C2118" s="42" t="str">
        <f>IFERROR(__xludf.DUMMYFUNCTION("""COMPUTED_VALUE"""),"lateral division of central lateral nucleus")</f>
        <v>lateral division of central lateral nucleus</v>
      </c>
      <c r="D2118" s="42">
        <f>IFERROR(__xludf.DUMMYFUNCTION("""COMPUTED_VALUE"""),2001.0)</f>
        <v>2001</v>
      </c>
      <c r="E2118" s="39" t="str">
        <f>IFERROR(__xludf.DUMMYFUNCTION("""COMPUTED_VALUE"""),"lateral division of central lateral nucleus")</f>
        <v>lateral division of central lateral nucleus</v>
      </c>
      <c r="F2118" s="9" t="str">
        <f>IFERROR(__xludf.DUMMYFUNCTION("""COMPUTED_VALUE"""),"Br")</f>
        <v>Br</v>
      </c>
      <c r="G2118" s="9" t="str">
        <f>IFERROR(__xludf.DUMMYFUNCTION("""COMPUTED_VALUE"""),"F")</f>
        <v>F</v>
      </c>
      <c r="H2118" s="9" t="str">
        <f>IFERROR(__xludf.DUMMYFUNCTION("""COMPUTED_VALUE"""),"FGM")</f>
        <v>FGM</v>
      </c>
      <c r="I2118" s="9" t="str">
        <f>IFERROR(__xludf.DUMMYFUNCTION("""COMPUTED_VALUE"""),"Die")</f>
        <v>Die</v>
      </c>
      <c r="J2118" s="9" t="str">
        <f>IFERROR(__xludf.DUMMYFUNCTION("""COMPUTED_VALUE"""),"THM")</f>
        <v>THM</v>
      </c>
      <c r="K2118" s="9" t="str">
        <f>IFERROR(__xludf.DUMMYFUNCTION("""COMPUTED_VALUE"""),"DTH")</f>
        <v>DTH</v>
      </c>
      <c r="L2118" s="9" t="str">
        <f>IFERROR(__xludf.DUMMYFUNCTION("""COMPUTED_VALUE"""),"ILN")</f>
        <v>ILN</v>
      </c>
      <c r="M2118" s="9" t="str">
        <f>IFERROR(__xludf.DUMMYFUNCTION("""COMPUTED_VALUE"""),"AILN")</f>
        <v>AILN</v>
      </c>
      <c r="N2118" s="9" t="str">
        <f>IFERROR(__xludf.DUMMYFUNCTION("""COMPUTED_VALUE"""),"CL")</f>
        <v>CL</v>
      </c>
      <c r="O2118" s="9" t="str">
        <f>IFERROR(__xludf.DUMMYFUNCTION("""COMPUTED_VALUE"""),"CLl")</f>
        <v>CLl</v>
      </c>
      <c r="P2118" s="9"/>
      <c r="Q2118" s="9"/>
      <c r="R2118" s="9"/>
      <c r="S2118" s="42"/>
      <c r="T2118" s="42"/>
      <c r="U2118" s="42"/>
      <c r="V2118" s="42"/>
      <c r="W2118" s="42"/>
      <c r="X2118" s="42"/>
      <c r="Y2118" s="42"/>
      <c r="Z2118" s="42"/>
      <c r="AA2118" s="42"/>
      <c r="AB2118" s="42" t="str">
        <f>IFERROR(__xludf.DUMMYFUNCTION("""COMPUTED_VALUE"""),"allen institute")</f>
        <v>allen institute</v>
      </c>
      <c r="AC2118" s="42" t="str">
        <f>IFERROR(__xludf.DUMMYFUNCTION("""COMPUTED_VALUE"""),"DHBA")</f>
        <v>DHBA</v>
      </c>
      <c r="AD2118" s="42"/>
      <c r="AE2118" s="42"/>
      <c r="AF2118" s="9"/>
      <c r="AG2118" s="9"/>
      <c r="AH2118" s="42"/>
      <c r="AI2118" s="42"/>
      <c r="AJ2118" s="42"/>
      <c r="AK2118" s="42"/>
      <c r="AL2118" s="42"/>
      <c r="AM2118" s="42"/>
      <c r="AN2118" s="42"/>
      <c r="AO2118" s="63" t="str">
        <f>IFERROR(__xludf.DUMMYFUNCTION("IF(ISBLANK(A2118),,IF(ISBLANK(S2118), A2118&amp;"";"", TEXTJOIN(CHAR(10), TRUE, A2118&amp;"";"", ARRAYFORMULA(VLOOKUP(SPLIT(S2118, "";"" &amp; CHAR(10)), $A:$AO, 41, FALSE)))))"),"CLl;")</f>
        <v>CLl;</v>
      </c>
      <c r="AP2118" s="89"/>
    </row>
    <row r="2119">
      <c r="A2119" s="151" t="str">
        <f>IFERROR(__xludf.DUMMYFUNCTION("""COMPUTED_VALUE"""),"CLs")</f>
        <v>CLs</v>
      </c>
      <c r="B2119" s="42" t="str">
        <f>IFERROR(__xludf.DUMMYFUNCTION("""COMPUTED_VALUE"""),"DHBA")</f>
        <v>DHBA</v>
      </c>
      <c r="C2119" s="42" t="str">
        <f>IFERROR(__xludf.DUMMYFUNCTION("""COMPUTED_VALUE"""),"dorsal division of central lateral nucleus")</f>
        <v>dorsal division of central lateral nucleus</v>
      </c>
      <c r="D2119" s="42">
        <f>IFERROR(__xludf.DUMMYFUNCTION("""COMPUTED_VALUE"""),2002.0)</f>
        <v>2002</v>
      </c>
      <c r="E2119" s="39" t="str">
        <f>IFERROR(__xludf.DUMMYFUNCTION("""COMPUTED_VALUE"""),"dorsal division of central lateral nucleus")</f>
        <v>dorsal division of central lateral nucleus</v>
      </c>
      <c r="F2119" s="9" t="str">
        <f>IFERROR(__xludf.DUMMYFUNCTION("""COMPUTED_VALUE"""),"Br")</f>
        <v>Br</v>
      </c>
      <c r="G2119" s="9" t="str">
        <f>IFERROR(__xludf.DUMMYFUNCTION("""COMPUTED_VALUE"""),"F")</f>
        <v>F</v>
      </c>
      <c r="H2119" s="9" t="str">
        <f>IFERROR(__xludf.DUMMYFUNCTION("""COMPUTED_VALUE"""),"FGM")</f>
        <v>FGM</v>
      </c>
      <c r="I2119" s="9" t="str">
        <f>IFERROR(__xludf.DUMMYFUNCTION("""COMPUTED_VALUE"""),"Die")</f>
        <v>Die</v>
      </c>
      <c r="J2119" s="9" t="str">
        <f>IFERROR(__xludf.DUMMYFUNCTION("""COMPUTED_VALUE"""),"THM")</f>
        <v>THM</v>
      </c>
      <c r="K2119" s="9" t="str">
        <f>IFERROR(__xludf.DUMMYFUNCTION("""COMPUTED_VALUE"""),"DTH")</f>
        <v>DTH</v>
      </c>
      <c r="L2119" s="9" t="str">
        <f>IFERROR(__xludf.DUMMYFUNCTION("""COMPUTED_VALUE"""),"ILN")</f>
        <v>ILN</v>
      </c>
      <c r="M2119" s="9" t="str">
        <f>IFERROR(__xludf.DUMMYFUNCTION("""COMPUTED_VALUE"""),"AILN")</f>
        <v>AILN</v>
      </c>
      <c r="N2119" s="9" t="str">
        <f>IFERROR(__xludf.DUMMYFUNCTION("""COMPUTED_VALUE"""),"CL")</f>
        <v>CL</v>
      </c>
      <c r="O2119" s="9" t="str">
        <f>IFERROR(__xludf.DUMMYFUNCTION("""COMPUTED_VALUE"""),"CLs")</f>
        <v>CLs</v>
      </c>
      <c r="P2119" s="9"/>
      <c r="Q2119" s="9"/>
      <c r="R2119" s="9"/>
      <c r="S2119" s="42"/>
      <c r="T2119" s="42"/>
      <c r="U2119" s="42"/>
      <c r="V2119" s="42"/>
      <c r="W2119" s="42"/>
      <c r="X2119" s="42"/>
      <c r="Y2119" s="42"/>
      <c r="Z2119" s="42"/>
      <c r="AA2119" s="42"/>
      <c r="AB2119" s="42" t="str">
        <f>IFERROR(__xludf.DUMMYFUNCTION("""COMPUTED_VALUE"""),"allen institute")</f>
        <v>allen institute</v>
      </c>
      <c r="AC2119" s="42" t="str">
        <f>IFERROR(__xludf.DUMMYFUNCTION("""COMPUTED_VALUE"""),"DHBA")</f>
        <v>DHBA</v>
      </c>
      <c r="AD2119" s="42"/>
      <c r="AE2119" s="42"/>
      <c r="AF2119" s="9"/>
      <c r="AG2119" s="9"/>
      <c r="AH2119" s="42"/>
      <c r="AI2119" s="42"/>
      <c r="AJ2119" s="42"/>
      <c r="AK2119" s="42"/>
      <c r="AL2119" s="42"/>
      <c r="AM2119" s="42"/>
      <c r="AN2119" s="42"/>
      <c r="AO2119" s="63" t="str">
        <f>IFERROR(__xludf.DUMMYFUNCTION("IF(ISBLANK(A2119),,IF(ISBLANK(S2119), A2119&amp;"";"", TEXTJOIN(CHAR(10), TRUE, A2119&amp;"";"", ARRAYFORMULA(VLOOKUP(SPLIT(S2119, "";"" &amp; CHAR(10)), $A:$AO, 41, FALSE)))))"),"CLs;")</f>
        <v>CLs;</v>
      </c>
      <c r="AP2119" s="89"/>
    </row>
    <row r="2120">
      <c r="A2120" s="151" t="str">
        <f>IFERROR(__xludf.DUMMYFUNCTION("""COMPUTED_VALUE"""),"CLc")</f>
        <v>CLc</v>
      </c>
      <c r="B2120" s="42" t="str">
        <f>IFERROR(__xludf.DUMMYFUNCTION("""COMPUTED_VALUE"""),"DHBA")</f>
        <v>DHBA</v>
      </c>
      <c r="C2120" s="42" t="str">
        <f>IFERROR(__xludf.DUMMYFUNCTION("""COMPUTED_VALUE"""),"caudal division of central lateral nucleus")</f>
        <v>caudal division of central lateral nucleus</v>
      </c>
      <c r="D2120" s="42">
        <f>IFERROR(__xludf.DUMMYFUNCTION("""COMPUTED_VALUE"""),2003.0)</f>
        <v>2003</v>
      </c>
      <c r="E2120" s="39" t="str">
        <f>IFERROR(__xludf.DUMMYFUNCTION("""COMPUTED_VALUE"""),"caudal division of central lateral nucleus")</f>
        <v>caudal division of central lateral nucleus</v>
      </c>
      <c r="F2120" s="9" t="str">
        <f>IFERROR(__xludf.DUMMYFUNCTION("""COMPUTED_VALUE"""),"Br")</f>
        <v>Br</v>
      </c>
      <c r="G2120" s="9" t="str">
        <f>IFERROR(__xludf.DUMMYFUNCTION("""COMPUTED_VALUE"""),"F")</f>
        <v>F</v>
      </c>
      <c r="H2120" s="9" t="str">
        <f>IFERROR(__xludf.DUMMYFUNCTION("""COMPUTED_VALUE"""),"FGM")</f>
        <v>FGM</v>
      </c>
      <c r="I2120" s="9" t="str">
        <f>IFERROR(__xludf.DUMMYFUNCTION("""COMPUTED_VALUE"""),"Die")</f>
        <v>Die</v>
      </c>
      <c r="J2120" s="9" t="str">
        <f>IFERROR(__xludf.DUMMYFUNCTION("""COMPUTED_VALUE"""),"THM")</f>
        <v>THM</v>
      </c>
      <c r="K2120" s="9" t="str">
        <f>IFERROR(__xludf.DUMMYFUNCTION("""COMPUTED_VALUE"""),"DTH")</f>
        <v>DTH</v>
      </c>
      <c r="L2120" s="9" t="str">
        <f>IFERROR(__xludf.DUMMYFUNCTION("""COMPUTED_VALUE"""),"ILN")</f>
        <v>ILN</v>
      </c>
      <c r="M2120" s="9" t="str">
        <f>IFERROR(__xludf.DUMMYFUNCTION("""COMPUTED_VALUE"""),"AILN")</f>
        <v>AILN</v>
      </c>
      <c r="N2120" s="9" t="str">
        <f>IFERROR(__xludf.DUMMYFUNCTION("""COMPUTED_VALUE"""),"CL")</f>
        <v>CL</v>
      </c>
      <c r="O2120" s="9" t="str">
        <f>IFERROR(__xludf.DUMMYFUNCTION("""COMPUTED_VALUE"""),"CLc")</f>
        <v>CLc</v>
      </c>
      <c r="P2120" s="9"/>
      <c r="Q2120" s="9"/>
      <c r="R2120" s="9"/>
      <c r="S2120" s="42"/>
      <c r="T2120" s="42"/>
      <c r="U2120" s="42"/>
      <c r="V2120" s="42"/>
      <c r="W2120" s="42"/>
      <c r="X2120" s="42"/>
      <c r="Y2120" s="42"/>
      <c r="Z2120" s="42"/>
      <c r="AA2120" s="42"/>
      <c r="AB2120" s="42" t="str">
        <f>IFERROR(__xludf.DUMMYFUNCTION("""COMPUTED_VALUE"""),"allen institute")</f>
        <v>allen institute</v>
      </c>
      <c r="AC2120" s="42" t="str">
        <f>IFERROR(__xludf.DUMMYFUNCTION("""COMPUTED_VALUE"""),"DHBA")</f>
        <v>DHBA</v>
      </c>
      <c r="AD2120" s="42"/>
      <c r="AE2120" s="42"/>
      <c r="AF2120" s="9"/>
      <c r="AG2120" s="9"/>
      <c r="AH2120" s="42"/>
      <c r="AI2120" s="42"/>
      <c r="AJ2120" s="42"/>
      <c r="AK2120" s="42"/>
      <c r="AL2120" s="42"/>
      <c r="AM2120" s="42"/>
      <c r="AN2120" s="42"/>
      <c r="AO2120" s="63" t="str">
        <f>IFERROR(__xludf.DUMMYFUNCTION("IF(ISBLANK(A2120),,IF(ISBLANK(S2120), A2120&amp;"";"", TEXTJOIN(CHAR(10), TRUE, A2120&amp;"";"", ARRAYFORMULA(VLOOKUP(SPLIT(S2120, "";"" &amp; CHAR(10)), $A:$AO, 41, FALSE)))))"),"CLc;")</f>
        <v>CLc;</v>
      </c>
      <c r="AP2120" s="89"/>
    </row>
    <row r="2121">
      <c r="A2121" s="151" t="str">
        <f>IFERROR(__xludf.DUMMYFUNCTION("""COMPUTED_VALUE"""),"CeM")</f>
        <v>CeM</v>
      </c>
      <c r="B2121" s="42" t="str">
        <f>IFERROR(__xludf.DUMMYFUNCTION("""COMPUTED_VALUE"""),"DHBA")</f>
        <v>DHBA</v>
      </c>
      <c r="C2121" s="42" t="str">
        <f>IFERROR(__xludf.DUMMYFUNCTION("""COMPUTED_VALUE"""),"central medial nucleus of thalamus")</f>
        <v>central medial nucleus of thalamus</v>
      </c>
      <c r="D2121" s="42">
        <f>IFERROR(__xludf.DUMMYFUNCTION("""COMPUTED_VALUE"""),2004.0)</f>
        <v>2004</v>
      </c>
      <c r="E2121" s="39" t="str">
        <f>IFERROR(__xludf.DUMMYFUNCTION("""COMPUTED_VALUE"""),"central medial nucleus of thalamus")</f>
        <v>central medial nucleus of thalamus</v>
      </c>
      <c r="F2121" s="9" t="str">
        <f>IFERROR(__xludf.DUMMYFUNCTION("""COMPUTED_VALUE"""),"Br")</f>
        <v>Br</v>
      </c>
      <c r="G2121" s="9" t="str">
        <f>IFERROR(__xludf.DUMMYFUNCTION("""COMPUTED_VALUE"""),"F")</f>
        <v>F</v>
      </c>
      <c r="H2121" s="9" t="str">
        <f>IFERROR(__xludf.DUMMYFUNCTION("""COMPUTED_VALUE"""),"FGM")</f>
        <v>FGM</v>
      </c>
      <c r="I2121" s="9" t="str">
        <f>IFERROR(__xludf.DUMMYFUNCTION("""COMPUTED_VALUE"""),"Die")</f>
        <v>Die</v>
      </c>
      <c r="J2121" s="9" t="str">
        <f>IFERROR(__xludf.DUMMYFUNCTION("""COMPUTED_VALUE"""),"THM")</f>
        <v>THM</v>
      </c>
      <c r="K2121" s="9" t="str">
        <f>IFERROR(__xludf.DUMMYFUNCTION("""COMPUTED_VALUE"""),"DTH")</f>
        <v>DTH</v>
      </c>
      <c r="L2121" s="9" t="str">
        <f>IFERROR(__xludf.DUMMYFUNCTION("""COMPUTED_VALUE"""),"ILN")</f>
        <v>ILN</v>
      </c>
      <c r="M2121" s="9" t="str">
        <f>IFERROR(__xludf.DUMMYFUNCTION("""COMPUTED_VALUE"""),"AILN")</f>
        <v>AILN</v>
      </c>
      <c r="N2121" s="9" t="str">
        <f>IFERROR(__xludf.DUMMYFUNCTION("""COMPUTED_VALUE"""),"CeM")</f>
        <v>CeM</v>
      </c>
      <c r="O2121" s="9"/>
      <c r="P2121" s="9"/>
      <c r="Q2121" s="9"/>
      <c r="R2121" s="9"/>
      <c r="S2121" s="42"/>
      <c r="T2121" s="42"/>
      <c r="U2121" s="42"/>
      <c r="V2121" s="42"/>
      <c r="W2121" s="42"/>
      <c r="X2121" s="42"/>
      <c r="Y2121" s="42"/>
      <c r="Z2121" s="42"/>
      <c r="AA2121" s="42"/>
      <c r="AB2121" s="42" t="str">
        <f>IFERROR(__xludf.DUMMYFUNCTION("""COMPUTED_VALUE"""),"allen institute")</f>
        <v>allen institute</v>
      </c>
      <c r="AC2121" s="42" t="str">
        <f>IFERROR(__xludf.DUMMYFUNCTION("""COMPUTED_VALUE"""),"DHBA")</f>
        <v>DHBA</v>
      </c>
      <c r="AD2121" s="42"/>
      <c r="AE2121" s="42"/>
      <c r="AF2121" s="9"/>
      <c r="AG2121" s="9"/>
      <c r="AH2121" s="42"/>
      <c r="AI2121" s="42"/>
      <c r="AJ2121" s="42"/>
      <c r="AK2121" s="42"/>
      <c r="AL2121" s="42"/>
      <c r="AM2121" s="42"/>
      <c r="AN2121" s="42"/>
      <c r="AO2121" s="63" t="str">
        <f>IFERROR(__xludf.DUMMYFUNCTION("IF(ISBLANK(A2121),,IF(ISBLANK(S2121), A2121&amp;"";"", TEXTJOIN(CHAR(10), TRUE, A2121&amp;"";"", ARRAYFORMULA(VLOOKUP(SPLIT(S2121, "";"" &amp; CHAR(10)), $A:$AO, 41, FALSE)))))"),"CeM;")</f>
        <v>CeM;</v>
      </c>
      <c r="AP2121" s="89"/>
    </row>
    <row r="2122">
      <c r="A2122" s="151" t="str">
        <f>IFERROR(__xludf.DUMMYFUNCTION("""COMPUTED_VALUE"""),"PC")</f>
        <v>PC</v>
      </c>
      <c r="B2122" s="42" t="str">
        <f>IFERROR(__xludf.DUMMYFUNCTION("""COMPUTED_VALUE"""),"DHBA")</f>
        <v>DHBA</v>
      </c>
      <c r="C2122" s="42" t="str">
        <f>IFERROR(__xludf.DUMMYFUNCTION("""COMPUTED_VALUE"""),"paracentral nucleus of thalamus")</f>
        <v>paracentral nucleus of thalamus</v>
      </c>
      <c r="D2122" s="42">
        <f>IFERROR(__xludf.DUMMYFUNCTION("""COMPUTED_VALUE"""),2005.0)</f>
        <v>2005</v>
      </c>
      <c r="E2122" s="39" t="str">
        <f>IFERROR(__xludf.DUMMYFUNCTION("""COMPUTED_VALUE"""),"paracentral nucleus of thalamus")</f>
        <v>paracentral nucleus of thalamus</v>
      </c>
      <c r="F2122" s="9" t="str">
        <f>IFERROR(__xludf.DUMMYFUNCTION("""COMPUTED_VALUE"""),"Br")</f>
        <v>Br</v>
      </c>
      <c r="G2122" s="9" t="str">
        <f>IFERROR(__xludf.DUMMYFUNCTION("""COMPUTED_VALUE"""),"F")</f>
        <v>F</v>
      </c>
      <c r="H2122" s="9" t="str">
        <f>IFERROR(__xludf.DUMMYFUNCTION("""COMPUTED_VALUE"""),"FGM")</f>
        <v>FGM</v>
      </c>
      <c r="I2122" s="9" t="str">
        <f>IFERROR(__xludf.DUMMYFUNCTION("""COMPUTED_VALUE"""),"Die")</f>
        <v>Die</v>
      </c>
      <c r="J2122" s="9" t="str">
        <f>IFERROR(__xludf.DUMMYFUNCTION("""COMPUTED_VALUE"""),"THM")</f>
        <v>THM</v>
      </c>
      <c r="K2122" s="9" t="str">
        <f>IFERROR(__xludf.DUMMYFUNCTION("""COMPUTED_VALUE"""),"DTH")</f>
        <v>DTH</v>
      </c>
      <c r="L2122" s="9" t="str">
        <f>IFERROR(__xludf.DUMMYFUNCTION("""COMPUTED_VALUE"""),"ILN")</f>
        <v>ILN</v>
      </c>
      <c r="M2122" s="9" t="str">
        <f>IFERROR(__xludf.DUMMYFUNCTION("""COMPUTED_VALUE"""),"AILN")</f>
        <v>AILN</v>
      </c>
      <c r="N2122" s="9" t="str">
        <f>IFERROR(__xludf.DUMMYFUNCTION("""COMPUTED_VALUE"""),"PC")</f>
        <v>PC</v>
      </c>
      <c r="O2122" s="9"/>
      <c r="P2122" s="9"/>
      <c r="Q2122" s="9"/>
      <c r="R2122" s="9"/>
      <c r="S2122" s="42"/>
      <c r="T2122" s="42"/>
      <c r="U2122" s="42"/>
      <c r="V2122" s="42"/>
      <c r="W2122" s="42"/>
      <c r="X2122" s="42"/>
      <c r="Y2122" s="42"/>
      <c r="Z2122" s="42"/>
      <c r="AA2122" s="42"/>
      <c r="AB2122" s="42" t="str">
        <f>IFERROR(__xludf.DUMMYFUNCTION("""COMPUTED_VALUE"""),"allen institute")</f>
        <v>allen institute</v>
      </c>
      <c r="AC2122" s="42" t="str">
        <f>IFERROR(__xludf.DUMMYFUNCTION("""COMPUTED_VALUE"""),"DHBA")</f>
        <v>DHBA</v>
      </c>
      <c r="AD2122" s="42"/>
      <c r="AE2122" s="42"/>
      <c r="AF2122" s="9"/>
      <c r="AG2122" s="9"/>
      <c r="AH2122" s="42"/>
      <c r="AI2122" s="42"/>
      <c r="AJ2122" s="42"/>
      <c r="AK2122" s="42"/>
      <c r="AL2122" s="42"/>
      <c r="AM2122" s="42"/>
      <c r="AN2122" s="42"/>
      <c r="AO2122" s="63" t="str">
        <f>IFERROR(__xludf.DUMMYFUNCTION("IF(ISBLANK(A2122),,IF(ISBLANK(S2122), A2122&amp;"";"", TEXTJOIN(CHAR(10), TRUE, A2122&amp;"";"", ARRAYFORMULA(VLOOKUP(SPLIT(S2122, "";"" &amp; CHAR(10)), $A:$AO, 41, FALSE)))))"),"PC;")</f>
        <v>PC;</v>
      </c>
      <c r="AP2122" s="89"/>
    </row>
    <row r="2123">
      <c r="A2123" s="151" t="str">
        <f>IFERROR(__xludf.DUMMYFUNCTION("""COMPUTED_VALUE"""),"CD")</f>
        <v>CD</v>
      </c>
      <c r="B2123" s="42" t="str">
        <f>IFERROR(__xludf.DUMMYFUNCTION("""COMPUTED_VALUE"""),"DHBA")</f>
        <v>DHBA</v>
      </c>
      <c r="C2123" s="42" t="str">
        <f>IFERROR(__xludf.DUMMYFUNCTION("""COMPUTED_VALUE"""),"central dorsal nucleus of thalamus")</f>
        <v>central dorsal nucleus of thalamus</v>
      </c>
      <c r="D2123" s="42">
        <f>IFERROR(__xludf.DUMMYFUNCTION("""COMPUTED_VALUE"""),2006.0)</f>
        <v>2006</v>
      </c>
      <c r="E2123" s="39" t="str">
        <f>IFERROR(__xludf.DUMMYFUNCTION("""COMPUTED_VALUE"""),"central dorsal nucleus of thalamus")</f>
        <v>central dorsal nucleus of thalamus</v>
      </c>
      <c r="F2123" s="9" t="str">
        <f>IFERROR(__xludf.DUMMYFUNCTION("""COMPUTED_VALUE"""),"Br")</f>
        <v>Br</v>
      </c>
      <c r="G2123" s="9" t="str">
        <f>IFERROR(__xludf.DUMMYFUNCTION("""COMPUTED_VALUE"""),"F")</f>
        <v>F</v>
      </c>
      <c r="H2123" s="9" t="str">
        <f>IFERROR(__xludf.DUMMYFUNCTION("""COMPUTED_VALUE"""),"FGM")</f>
        <v>FGM</v>
      </c>
      <c r="I2123" s="9" t="str">
        <f>IFERROR(__xludf.DUMMYFUNCTION("""COMPUTED_VALUE"""),"Die")</f>
        <v>Die</v>
      </c>
      <c r="J2123" s="9" t="str">
        <f>IFERROR(__xludf.DUMMYFUNCTION("""COMPUTED_VALUE"""),"THM")</f>
        <v>THM</v>
      </c>
      <c r="K2123" s="9" t="str">
        <f>IFERROR(__xludf.DUMMYFUNCTION("""COMPUTED_VALUE"""),"DTH")</f>
        <v>DTH</v>
      </c>
      <c r="L2123" s="9" t="str">
        <f>IFERROR(__xludf.DUMMYFUNCTION("""COMPUTED_VALUE"""),"ILN")</f>
        <v>ILN</v>
      </c>
      <c r="M2123" s="9" t="str">
        <f>IFERROR(__xludf.DUMMYFUNCTION("""COMPUTED_VALUE"""),"AILN")</f>
        <v>AILN</v>
      </c>
      <c r="N2123" s="9" t="str">
        <f>IFERROR(__xludf.DUMMYFUNCTION("""COMPUTED_VALUE"""),"CD")</f>
        <v>CD</v>
      </c>
      <c r="O2123" s="9"/>
      <c r="P2123" s="9"/>
      <c r="Q2123" s="9"/>
      <c r="R2123" s="9"/>
      <c r="S2123" s="42"/>
      <c r="T2123" s="42"/>
      <c r="U2123" s="42"/>
      <c r="V2123" s="42"/>
      <c r="W2123" s="42"/>
      <c r="X2123" s="42"/>
      <c r="Y2123" s="42"/>
      <c r="Z2123" s="42"/>
      <c r="AA2123" s="42"/>
      <c r="AB2123" s="42" t="str">
        <f>IFERROR(__xludf.DUMMYFUNCTION("""COMPUTED_VALUE"""),"allen institute")</f>
        <v>allen institute</v>
      </c>
      <c r="AC2123" s="42" t="str">
        <f>IFERROR(__xludf.DUMMYFUNCTION("""COMPUTED_VALUE"""),"DHBA")</f>
        <v>DHBA</v>
      </c>
      <c r="AD2123" s="42"/>
      <c r="AE2123" s="42"/>
      <c r="AF2123" s="9"/>
      <c r="AG2123" s="9"/>
      <c r="AH2123" s="42"/>
      <c r="AI2123" s="42"/>
      <c r="AJ2123" s="42"/>
      <c r="AK2123" s="42"/>
      <c r="AL2123" s="42"/>
      <c r="AM2123" s="42"/>
      <c r="AN2123" s="42"/>
      <c r="AO2123" s="63" t="str">
        <f>IFERROR(__xludf.DUMMYFUNCTION("IF(ISBLANK(A2123),,IF(ISBLANK(S2123), A2123&amp;"";"", TEXTJOIN(CHAR(10), TRUE, A2123&amp;"";"", ARRAYFORMULA(VLOOKUP(SPLIT(S2123, "";"" &amp; CHAR(10)), $A:$AO, 41, FALSE)))))"),"CD;")</f>
        <v>CD;</v>
      </c>
      <c r="AP2123" s="89"/>
    </row>
    <row r="2124">
      <c r="A2124" s="151" t="str">
        <f>IFERROR(__xludf.DUMMYFUNCTION("""COMPUTED_VALUE"""),"PILN")</f>
        <v>PILN</v>
      </c>
      <c r="B2124" s="42" t="str">
        <f>IFERROR(__xludf.DUMMYFUNCTION("""COMPUTED_VALUE"""),"DHBA")</f>
        <v>DHBA</v>
      </c>
      <c r="C2124" s="42" t="str">
        <f>IFERROR(__xludf.DUMMYFUNCTION("""COMPUTED_VALUE"""),"posteriar group of intralaminar nuclei, Posterior intralaminar nucleus, PIN")</f>
        <v>posteriar group of intralaminar nuclei, Posterior intralaminar nucleus, PIN</v>
      </c>
      <c r="D2124" s="42">
        <f>IFERROR(__xludf.DUMMYFUNCTION("""COMPUTED_VALUE"""),2007.0)</f>
        <v>2007</v>
      </c>
      <c r="E2124" s="39" t="str">
        <f>IFERROR(__xludf.DUMMYFUNCTION("""COMPUTED_VALUE"""),"posterior group of intralaminar nuclei")</f>
        <v>posterior group of intralaminar nuclei</v>
      </c>
      <c r="F2124" s="9" t="str">
        <f>IFERROR(__xludf.DUMMYFUNCTION("""COMPUTED_VALUE"""),"Br")</f>
        <v>Br</v>
      </c>
      <c r="G2124" s="9" t="str">
        <f>IFERROR(__xludf.DUMMYFUNCTION("""COMPUTED_VALUE"""),"F")</f>
        <v>F</v>
      </c>
      <c r="H2124" s="9" t="str">
        <f>IFERROR(__xludf.DUMMYFUNCTION("""COMPUTED_VALUE"""),"FGM")</f>
        <v>FGM</v>
      </c>
      <c r="I2124" s="9" t="str">
        <f>IFERROR(__xludf.DUMMYFUNCTION("""COMPUTED_VALUE"""),"Die")</f>
        <v>Die</v>
      </c>
      <c r="J2124" s="9" t="str">
        <f>IFERROR(__xludf.DUMMYFUNCTION("""COMPUTED_VALUE"""),"THM")</f>
        <v>THM</v>
      </c>
      <c r="K2124" s="9" t="str">
        <f>IFERROR(__xludf.DUMMYFUNCTION("""COMPUTED_VALUE"""),"DTH")</f>
        <v>DTH</v>
      </c>
      <c r="L2124" s="9" t="str">
        <f>IFERROR(__xludf.DUMMYFUNCTION("""COMPUTED_VALUE"""),"ILN")</f>
        <v>ILN</v>
      </c>
      <c r="M2124" s="9" t="str">
        <f>IFERROR(__xludf.DUMMYFUNCTION("""COMPUTED_VALUE"""),"PILN")</f>
        <v>PILN</v>
      </c>
      <c r="N2124" s="9"/>
      <c r="O2124" s="9"/>
      <c r="P2124" s="9"/>
      <c r="Q2124" s="9"/>
      <c r="R2124" s="9"/>
      <c r="S2124" s="42" t="str">
        <f>IFERROR(__xludf.DUMMYFUNCTION("""COMPUTED_VALUE"""),"CM;
Pf;
SPf;
RPf")</f>
        <v>CM;
Pf;
SPf;
RPf</v>
      </c>
      <c r="T2124" s="42"/>
      <c r="U2124" s="42" t="b">
        <f>IFERROR(__xludf.DUMMYFUNCTION("""COMPUTED_VALUE"""),FALSE)</f>
        <v>0</v>
      </c>
      <c r="V2124" s="42"/>
      <c r="W2124" s="42"/>
      <c r="X2124" s="42"/>
      <c r="Y2124" s="42"/>
      <c r="Z2124" s="42"/>
      <c r="AA2124" s="42"/>
      <c r="AB2124" s="42" t="str">
        <f>IFERROR(__xludf.DUMMYFUNCTION("""COMPUTED_VALUE"""),"allen institute")</f>
        <v>allen institute</v>
      </c>
      <c r="AC2124" s="42" t="str">
        <f>IFERROR(__xludf.DUMMYFUNCTION("""COMPUTED_VALUE"""),"DHBA")</f>
        <v>DHBA</v>
      </c>
      <c r="AD2124" s="42"/>
      <c r="AE2124" s="42"/>
      <c r="AF2124" s="9"/>
      <c r="AG2124" s="9"/>
      <c r="AH2124" s="42"/>
      <c r="AI2124" s="42"/>
      <c r="AJ2124" s="42"/>
      <c r="AK2124" s="42"/>
      <c r="AL2124" s="42"/>
      <c r="AM2124" s="42"/>
      <c r="AN2124" s="42"/>
      <c r="AO2124" s="63" t="str">
        <f>IFERROR(__xludf.DUMMYFUNCTION("IF(ISBLANK(A2124),,IF(ISBLANK(S2124), A2124&amp;"";"", TEXTJOIN(CHAR(10), TRUE, A2124&amp;"";"", ARRAYFORMULA(VLOOKUP(SPLIT(S2124, "";"" &amp; CHAR(10)), $A:$AO, 41, FALSE)))))"),"PILN;
CM;
CMl;
CMm;
Pf;
Pfl;
Pfm;
SPf;
RPf;")</f>
        <v>PILN;
CM;
CMl;
CMm;
Pf;
Pfl;
Pfm;
SPf;
RPf;</v>
      </c>
      <c r="AP2124" s="89"/>
    </row>
    <row r="2125">
      <c r="A2125" s="151" t="str">
        <f>IFERROR(__xludf.DUMMYFUNCTION("""COMPUTED_VALUE"""),"CM")</f>
        <v>CM</v>
      </c>
      <c r="B2125" s="42" t="str">
        <f>IFERROR(__xludf.DUMMYFUNCTION("""COMPUTED_VALUE"""),"DHBA")</f>
        <v>DHBA</v>
      </c>
      <c r="C2125" s="42" t="str">
        <f>IFERROR(__xludf.DUMMYFUNCTION("""COMPUTED_VALUE"""),"centromedian nucleus of thalamus")</f>
        <v>centromedian nucleus of thalamus</v>
      </c>
      <c r="D2125" s="42">
        <f>IFERROR(__xludf.DUMMYFUNCTION("""COMPUTED_VALUE"""),2008.0)</f>
        <v>2008</v>
      </c>
      <c r="E2125" s="39" t="str">
        <f>IFERROR(__xludf.DUMMYFUNCTION("""COMPUTED_VALUE"""),"centromedian nucleus of thalamus")</f>
        <v>centromedian nucleus of thalamus</v>
      </c>
      <c r="F2125" s="9" t="str">
        <f>IFERROR(__xludf.DUMMYFUNCTION("""COMPUTED_VALUE"""),"Br")</f>
        <v>Br</v>
      </c>
      <c r="G2125" s="9" t="str">
        <f>IFERROR(__xludf.DUMMYFUNCTION("""COMPUTED_VALUE"""),"F")</f>
        <v>F</v>
      </c>
      <c r="H2125" s="9" t="str">
        <f>IFERROR(__xludf.DUMMYFUNCTION("""COMPUTED_VALUE"""),"FGM")</f>
        <v>FGM</v>
      </c>
      <c r="I2125" s="9" t="str">
        <f>IFERROR(__xludf.DUMMYFUNCTION("""COMPUTED_VALUE"""),"Die")</f>
        <v>Die</v>
      </c>
      <c r="J2125" s="9" t="str">
        <f>IFERROR(__xludf.DUMMYFUNCTION("""COMPUTED_VALUE"""),"THM")</f>
        <v>THM</v>
      </c>
      <c r="K2125" s="9" t="str">
        <f>IFERROR(__xludf.DUMMYFUNCTION("""COMPUTED_VALUE"""),"DTH")</f>
        <v>DTH</v>
      </c>
      <c r="L2125" s="9" t="str">
        <f>IFERROR(__xludf.DUMMYFUNCTION("""COMPUTED_VALUE"""),"ILN")</f>
        <v>ILN</v>
      </c>
      <c r="M2125" s="9" t="str">
        <f>IFERROR(__xludf.DUMMYFUNCTION("""COMPUTED_VALUE"""),"PILN")</f>
        <v>PILN</v>
      </c>
      <c r="N2125" s="9" t="str">
        <f>IFERROR(__xludf.DUMMYFUNCTION("""COMPUTED_VALUE"""),"CM")</f>
        <v>CM</v>
      </c>
      <c r="O2125" s="9"/>
      <c r="P2125" s="9"/>
      <c r="Q2125" s="9"/>
      <c r="R2125" s="9"/>
      <c r="S2125" s="42" t="str">
        <f>IFERROR(__xludf.DUMMYFUNCTION("""COMPUTED_VALUE"""),"CMl;
CMm")</f>
        <v>CMl;
CMm</v>
      </c>
      <c r="T2125" s="42" t="str">
        <f>IFERROR(__xludf.DUMMYFUNCTION("""COMPUTED_VALUE"""),"THM")</f>
        <v>THM</v>
      </c>
      <c r="U2125" s="42" t="b">
        <f>IFERROR(__xludf.DUMMYFUNCTION("""COMPUTED_VALUE"""),FALSE)</f>
        <v>0</v>
      </c>
      <c r="V2125" s="42"/>
      <c r="W2125" s="42"/>
      <c r="X2125" s="42"/>
      <c r="Y2125" s="42"/>
      <c r="Z2125" s="42"/>
      <c r="AA2125" s="42"/>
      <c r="AB2125" s="42" t="str">
        <f>IFERROR(__xludf.DUMMYFUNCTION("""COMPUTED_VALUE"""),"allen institute")</f>
        <v>allen institute</v>
      </c>
      <c r="AC2125" s="42" t="str">
        <f>IFERROR(__xludf.DUMMYFUNCTION("""COMPUTED_VALUE"""),"DHBA")</f>
        <v>DHBA</v>
      </c>
      <c r="AD2125" s="42"/>
      <c r="AE2125" s="42"/>
      <c r="AF2125" s="9"/>
      <c r="AG2125" s="9"/>
      <c r="AH2125" s="42"/>
      <c r="AI2125" s="42"/>
      <c r="AJ2125" s="42"/>
      <c r="AK2125" s="42"/>
      <c r="AL2125" s="42"/>
      <c r="AM2125" s="42"/>
      <c r="AN2125" s="42"/>
      <c r="AO2125" s="63" t="str">
        <f>IFERROR(__xludf.DUMMYFUNCTION("IF(ISBLANK(A2125),,IF(ISBLANK(S2125), A2125&amp;"";"", TEXTJOIN(CHAR(10), TRUE, A2125&amp;"";"", ARRAYFORMULA(VLOOKUP(SPLIT(S2125, "";"" &amp; CHAR(10)), $A:$AO, 41, FALSE)))))"),"CM;
CMl;
CMm;")</f>
        <v>CM;
CMl;
CMm;</v>
      </c>
      <c r="AP2125" s="89"/>
    </row>
    <row r="2126">
      <c r="A2126" s="151" t="str">
        <f>IFERROR(__xludf.DUMMYFUNCTION("""COMPUTED_VALUE"""),"CMl")</f>
        <v>CMl</v>
      </c>
      <c r="B2126" s="42" t="str">
        <f>IFERROR(__xludf.DUMMYFUNCTION("""COMPUTED_VALUE"""),"DHBA")</f>
        <v>DHBA</v>
      </c>
      <c r="C2126" s="42" t="str">
        <f>IFERROR(__xludf.DUMMYFUNCTION("""COMPUTED_VALUE"""),"lateral division of centromedian nucleus of thalamus")</f>
        <v>lateral division of centromedian nucleus of thalamus</v>
      </c>
      <c r="D2126" s="42">
        <f>IFERROR(__xludf.DUMMYFUNCTION("""COMPUTED_VALUE"""),2009.0)</f>
        <v>2009</v>
      </c>
      <c r="E2126" s="39" t="str">
        <f>IFERROR(__xludf.DUMMYFUNCTION("""COMPUTED_VALUE"""),"lateral division of centromedian nucleus of thalamus")</f>
        <v>lateral division of centromedian nucleus of thalamus</v>
      </c>
      <c r="F2126" s="9" t="str">
        <f>IFERROR(__xludf.DUMMYFUNCTION("""COMPUTED_VALUE"""),"Br")</f>
        <v>Br</v>
      </c>
      <c r="G2126" s="9" t="str">
        <f>IFERROR(__xludf.DUMMYFUNCTION("""COMPUTED_VALUE"""),"F")</f>
        <v>F</v>
      </c>
      <c r="H2126" s="9" t="str">
        <f>IFERROR(__xludf.DUMMYFUNCTION("""COMPUTED_VALUE"""),"FGM")</f>
        <v>FGM</v>
      </c>
      <c r="I2126" s="9" t="str">
        <f>IFERROR(__xludf.DUMMYFUNCTION("""COMPUTED_VALUE"""),"Die")</f>
        <v>Die</v>
      </c>
      <c r="J2126" s="9" t="str">
        <f>IFERROR(__xludf.DUMMYFUNCTION("""COMPUTED_VALUE"""),"THM")</f>
        <v>THM</v>
      </c>
      <c r="K2126" s="9" t="str">
        <f>IFERROR(__xludf.DUMMYFUNCTION("""COMPUTED_VALUE"""),"DTH")</f>
        <v>DTH</v>
      </c>
      <c r="L2126" s="9" t="str">
        <f>IFERROR(__xludf.DUMMYFUNCTION("""COMPUTED_VALUE"""),"ILN")</f>
        <v>ILN</v>
      </c>
      <c r="M2126" s="9" t="str">
        <f>IFERROR(__xludf.DUMMYFUNCTION("""COMPUTED_VALUE"""),"PILN")</f>
        <v>PILN</v>
      </c>
      <c r="N2126" s="9" t="str">
        <f>IFERROR(__xludf.DUMMYFUNCTION("""COMPUTED_VALUE"""),"CM")</f>
        <v>CM</v>
      </c>
      <c r="O2126" s="9" t="str">
        <f>IFERROR(__xludf.DUMMYFUNCTION("""COMPUTED_VALUE"""),"CMl")</f>
        <v>CMl</v>
      </c>
      <c r="P2126" s="9"/>
      <c r="Q2126" s="9"/>
      <c r="R2126" s="9"/>
      <c r="S2126" s="42"/>
      <c r="T2126" s="42"/>
      <c r="U2126" s="42"/>
      <c r="V2126" s="42"/>
      <c r="W2126" s="42"/>
      <c r="X2126" s="42"/>
      <c r="Y2126" s="42"/>
      <c r="Z2126" s="42"/>
      <c r="AA2126" s="42"/>
      <c r="AB2126" s="42" t="str">
        <f>IFERROR(__xludf.DUMMYFUNCTION("""COMPUTED_VALUE"""),"allen institute")</f>
        <v>allen institute</v>
      </c>
      <c r="AC2126" s="42" t="str">
        <f>IFERROR(__xludf.DUMMYFUNCTION("""COMPUTED_VALUE"""),"DHBA")</f>
        <v>DHBA</v>
      </c>
      <c r="AD2126" s="42"/>
      <c r="AE2126" s="42"/>
      <c r="AF2126" s="9"/>
      <c r="AG2126" s="9"/>
      <c r="AH2126" s="42"/>
      <c r="AI2126" s="42"/>
      <c r="AJ2126" s="42"/>
      <c r="AK2126" s="42"/>
      <c r="AL2126" s="42"/>
      <c r="AM2126" s="42"/>
      <c r="AN2126" s="42"/>
      <c r="AO2126" s="63" t="str">
        <f>IFERROR(__xludf.DUMMYFUNCTION("IF(ISBLANK(A2126),,IF(ISBLANK(S2126), A2126&amp;"";"", TEXTJOIN(CHAR(10), TRUE, A2126&amp;"";"", ARRAYFORMULA(VLOOKUP(SPLIT(S2126, "";"" &amp; CHAR(10)), $A:$AO, 41, FALSE)))))"),"CMl;")</f>
        <v>CMl;</v>
      </c>
      <c r="AP2126" s="89"/>
    </row>
    <row r="2127">
      <c r="A2127" s="151" t="str">
        <f>IFERROR(__xludf.DUMMYFUNCTION("""COMPUTED_VALUE"""),"CMm")</f>
        <v>CMm</v>
      </c>
      <c r="B2127" s="42" t="str">
        <f>IFERROR(__xludf.DUMMYFUNCTION("""COMPUTED_VALUE"""),"DHBA")</f>
        <v>DHBA</v>
      </c>
      <c r="C2127" s="42" t="str">
        <f>IFERROR(__xludf.DUMMYFUNCTION("""COMPUTED_VALUE"""),"medial division of centromedian nucleus of thalamus")</f>
        <v>medial division of centromedian nucleus of thalamus</v>
      </c>
      <c r="D2127" s="42">
        <f>IFERROR(__xludf.DUMMYFUNCTION("""COMPUTED_VALUE"""),2010.0)</f>
        <v>2010</v>
      </c>
      <c r="E2127" s="39" t="str">
        <f>IFERROR(__xludf.DUMMYFUNCTION("""COMPUTED_VALUE"""),"medial division of centromedian nucleus of thalamus")</f>
        <v>medial division of centromedian nucleus of thalamus</v>
      </c>
      <c r="F2127" s="9" t="str">
        <f>IFERROR(__xludf.DUMMYFUNCTION("""COMPUTED_VALUE"""),"Br")</f>
        <v>Br</v>
      </c>
      <c r="G2127" s="9" t="str">
        <f>IFERROR(__xludf.DUMMYFUNCTION("""COMPUTED_VALUE"""),"F")</f>
        <v>F</v>
      </c>
      <c r="H2127" s="9" t="str">
        <f>IFERROR(__xludf.DUMMYFUNCTION("""COMPUTED_VALUE"""),"FGM")</f>
        <v>FGM</v>
      </c>
      <c r="I2127" s="9" t="str">
        <f>IFERROR(__xludf.DUMMYFUNCTION("""COMPUTED_VALUE"""),"Die")</f>
        <v>Die</v>
      </c>
      <c r="J2127" s="9" t="str">
        <f>IFERROR(__xludf.DUMMYFUNCTION("""COMPUTED_VALUE"""),"THM")</f>
        <v>THM</v>
      </c>
      <c r="K2127" s="9" t="str">
        <f>IFERROR(__xludf.DUMMYFUNCTION("""COMPUTED_VALUE"""),"DTH")</f>
        <v>DTH</v>
      </c>
      <c r="L2127" s="9" t="str">
        <f>IFERROR(__xludf.DUMMYFUNCTION("""COMPUTED_VALUE"""),"ILN")</f>
        <v>ILN</v>
      </c>
      <c r="M2127" s="9" t="str">
        <f>IFERROR(__xludf.DUMMYFUNCTION("""COMPUTED_VALUE"""),"PILN")</f>
        <v>PILN</v>
      </c>
      <c r="N2127" s="9" t="str">
        <f>IFERROR(__xludf.DUMMYFUNCTION("""COMPUTED_VALUE"""),"CM")</f>
        <v>CM</v>
      </c>
      <c r="O2127" s="9" t="str">
        <f>IFERROR(__xludf.DUMMYFUNCTION("""COMPUTED_VALUE"""),"CMm")</f>
        <v>CMm</v>
      </c>
      <c r="P2127" s="9"/>
      <c r="Q2127" s="9"/>
      <c r="R2127" s="9"/>
      <c r="S2127" s="42"/>
      <c r="T2127" s="42"/>
      <c r="U2127" s="42"/>
      <c r="V2127" s="42"/>
      <c r="W2127" s="42"/>
      <c r="X2127" s="42"/>
      <c r="Y2127" s="42"/>
      <c r="Z2127" s="42"/>
      <c r="AA2127" s="42"/>
      <c r="AB2127" s="42" t="str">
        <f>IFERROR(__xludf.DUMMYFUNCTION("""COMPUTED_VALUE"""),"allen institute")</f>
        <v>allen institute</v>
      </c>
      <c r="AC2127" s="42" t="str">
        <f>IFERROR(__xludf.DUMMYFUNCTION("""COMPUTED_VALUE"""),"DHBA")</f>
        <v>DHBA</v>
      </c>
      <c r="AD2127" s="42"/>
      <c r="AE2127" s="42"/>
      <c r="AF2127" s="9"/>
      <c r="AG2127" s="9"/>
      <c r="AH2127" s="42"/>
      <c r="AI2127" s="42"/>
      <c r="AJ2127" s="42"/>
      <c r="AK2127" s="42"/>
      <c r="AL2127" s="42"/>
      <c r="AM2127" s="42"/>
      <c r="AN2127" s="42"/>
      <c r="AO2127" s="63" t="str">
        <f>IFERROR(__xludf.DUMMYFUNCTION("IF(ISBLANK(A2127),,IF(ISBLANK(S2127), A2127&amp;"";"", TEXTJOIN(CHAR(10), TRUE, A2127&amp;"";"", ARRAYFORMULA(VLOOKUP(SPLIT(S2127, "";"" &amp; CHAR(10)), $A:$AO, 41, FALSE)))))"),"CMm;")</f>
        <v>CMm;</v>
      </c>
      <c r="AP2127" s="89"/>
    </row>
    <row r="2128">
      <c r="A2128" s="151" t="str">
        <f>IFERROR(__xludf.DUMMYFUNCTION("""COMPUTED_VALUE"""),"Pf")</f>
        <v>Pf</v>
      </c>
      <c r="B2128" s="42" t="str">
        <f>IFERROR(__xludf.DUMMYFUNCTION("""COMPUTED_VALUE"""),"DHBA")</f>
        <v>DHBA</v>
      </c>
      <c r="C2128" s="42" t="str">
        <f>IFERROR(__xludf.DUMMYFUNCTION("""COMPUTED_VALUE"""),"parafascicular nucleus of thalamus")</f>
        <v>parafascicular nucleus of thalamus</v>
      </c>
      <c r="D2128" s="42">
        <f>IFERROR(__xludf.DUMMYFUNCTION("""COMPUTED_VALUE"""),2011.0)</f>
        <v>2011</v>
      </c>
      <c r="E2128" s="39" t="str">
        <f>IFERROR(__xludf.DUMMYFUNCTION("""COMPUTED_VALUE"""),"parafascicular nucleus of thalamus")</f>
        <v>parafascicular nucleus of thalamus</v>
      </c>
      <c r="F2128" s="9" t="str">
        <f>IFERROR(__xludf.DUMMYFUNCTION("""COMPUTED_VALUE"""),"Br")</f>
        <v>Br</v>
      </c>
      <c r="G2128" s="9" t="str">
        <f>IFERROR(__xludf.DUMMYFUNCTION("""COMPUTED_VALUE"""),"F")</f>
        <v>F</v>
      </c>
      <c r="H2128" s="9" t="str">
        <f>IFERROR(__xludf.DUMMYFUNCTION("""COMPUTED_VALUE"""),"FGM")</f>
        <v>FGM</v>
      </c>
      <c r="I2128" s="9" t="str">
        <f>IFERROR(__xludf.DUMMYFUNCTION("""COMPUTED_VALUE"""),"Die")</f>
        <v>Die</v>
      </c>
      <c r="J2128" s="9" t="str">
        <f>IFERROR(__xludf.DUMMYFUNCTION("""COMPUTED_VALUE"""),"THM")</f>
        <v>THM</v>
      </c>
      <c r="K2128" s="9" t="str">
        <f>IFERROR(__xludf.DUMMYFUNCTION("""COMPUTED_VALUE"""),"DTH")</f>
        <v>DTH</v>
      </c>
      <c r="L2128" s="9" t="str">
        <f>IFERROR(__xludf.DUMMYFUNCTION("""COMPUTED_VALUE"""),"ILN")</f>
        <v>ILN</v>
      </c>
      <c r="M2128" s="9" t="str">
        <f>IFERROR(__xludf.DUMMYFUNCTION("""COMPUTED_VALUE"""),"PILN")</f>
        <v>PILN</v>
      </c>
      <c r="N2128" s="9" t="str">
        <f>IFERROR(__xludf.DUMMYFUNCTION("""COMPUTED_VALUE"""),"Pf")</f>
        <v>Pf</v>
      </c>
      <c r="O2128" s="9"/>
      <c r="P2128" s="9"/>
      <c r="Q2128" s="9"/>
      <c r="R2128" s="9"/>
      <c r="S2128" s="42" t="str">
        <f>IFERROR(__xludf.DUMMYFUNCTION("""COMPUTED_VALUE"""),"Pfl;
Pfm")</f>
        <v>Pfl;
Pfm</v>
      </c>
      <c r="T2128" s="42" t="str">
        <f>IFERROR(__xludf.DUMMYFUNCTION("""COMPUTED_VALUE"""),"THM")</f>
        <v>THM</v>
      </c>
      <c r="U2128" s="42" t="b">
        <f>IFERROR(__xludf.DUMMYFUNCTION("""COMPUTED_VALUE"""),FALSE)</f>
        <v>0</v>
      </c>
      <c r="V2128" s="42"/>
      <c r="W2128" s="42"/>
      <c r="X2128" s="42"/>
      <c r="Y2128" s="42"/>
      <c r="Z2128" s="42"/>
      <c r="AA2128" s="42"/>
      <c r="AB2128" s="42" t="str">
        <f>IFERROR(__xludf.DUMMYFUNCTION("""COMPUTED_VALUE"""),"allen institute")</f>
        <v>allen institute</v>
      </c>
      <c r="AC2128" s="42" t="str">
        <f>IFERROR(__xludf.DUMMYFUNCTION("""COMPUTED_VALUE"""),"DHBA")</f>
        <v>DHBA</v>
      </c>
      <c r="AD2128" s="42"/>
      <c r="AE2128" s="42"/>
      <c r="AF2128" s="9"/>
      <c r="AG2128" s="9"/>
      <c r="AH2128" s="42"/>
      <c r="AI2128" s="42"/>
      <c r="AJ2128" s="42"/>
      <c r="AK2128" s="42"/>
      <c r="AL2128" s="42"/>
      <c r="AM2128" s="42"/>
      <c r="AN2128" s="42"/>
      <c r="AO2128" s="63" t="str">
        <f>IFERROR(__xludf.DUMMYFUNCTION("IF(ISBLANK(A2128),,IF(ISBLANK(S2128), A2128&amp;"";"", TEXTJOIN(CHAR(10), TRUE, A2128&amp;"";"", ARRAYFORMULA(VLOOKUP(SPLIT(S2128, "";"" &amp; CHAR(10)), $A:$AO, 41, FALSE)))))"),"Pf;
Pfl;
Pfm;")</f>
        <v>Pf;
Pfl;
Pfm;</v>
      </c>
      <c r="AP2128" s="89"/>
    </row>
    <row r="2129">
      <c r="A2129" s="151" t="str">
        <f>IFERROR(__xludf.DUMMYFUNCTION("""COMPUTED_VALUE"""),"Pfl")</f>
        <v>Pfl</v>
      </c>
      <c r="B2129" s="42" t="str">
        <f>IFERROR(__xludf.DUMMYFUNCTION("""COMPUTED_VALUE"""),"DHBA")</f>
        <v>DHBA</v>
      </c>
      <c r="C2129" s="42" t="str">
        <f>IFERROR(__xludf.DUMMYFUNCTION("""COMPUTED_VALUE"""),"lateral division of parafascicular nucleus of thalamus")</f>
        <v>lateral division of parafascicular nucleus of thalamus</v>
      </c>
      <c r="D2129" s="42">
        <f>IFERROR(__xludf.DUMMYFUNCTION("""COMPUTED_VALUE"""),2012.0)</f>
        <v>2012</v>
      </c>
      <c r="E2129" s="39" t="str">
        <f>IFERROR(__xludf.DUMMYFUNCTION("""COMPUTED_VALUE"""),"lateral division of parafascicular nucleus of thalamus")</f>
        <v>lateral division of parafascicular nucleus of thalamus</v>
      </c>
      <c r="F2129" s="9" t="str">
        <f>IFERROR(__xludf.DUMMYFUNCTION("""COMPUTED_VALUE"""),"Br")</f>
        <v>Br</v>
      </c>
      <c r="G2129" s="9" t="str">
        <f>IFERROR(__xludf.DUMMYFUNCTION("""COMPUTED_VALUE"""),"F")</f>
        <v>F</v>
      </c>
      <c r="H2129" s="9" t="str">
        <f>IFERROR(__xludf.DUMMYFUNCTION("""COMPUTED_VALUE"""),"FGM")</f>
        <v>FGM</v>
      </c>
      <c r="I2129" s="9" t="str">
        <f>IFERROR(__xludf.DUMMYFUNCTION("""COMPUTED_VALUE"""),"Die")</f>
        <v>Die</v>
      </c>
      <c r="J2129" s="9" t="str">
        <f>IFERROR(__xludf.DUMMYFUNCTION("""COMPUTED_VALUE"""),"THM")</f>
        <v>THM</v>
      </c>
      <c r="K2129" s="9" t="str">
        <f>IFERROR(__xludf.DUMMYFUNCTION("""COMPUTED_VALUE"""),"DTH")</f>
        <v>DTH</v>
      </c>
      <c r="L2129" s="9" t="str">
        <f>IFERROR(__xludf.DUMMYFUNCTION("""COMPUTED_VALUE"""),"ILN")</f>
        <v>ILN</v>
      </c>
      <c r="M2129" s="9" t="str">
        <f>IFERROR(__xludf.DUMMYFUNCTION("""COMPUTED_VALUE"""),"PILN")</f>
        <v>PILN</v>
      </c>
      <c r="N2129" s="9" t="str">
        <f>IFERROR(__xludf.DUMMYFUNCTION("""COMPUTED_VALUE"""),"Pf")</f>
        <v>Pf</v>
      </c>
      <c r="O2129" s="9" t="str">
        <f>IFERROR(__xludf.DUMMYFUNCTION("""COMPUTED_VALUE"""),"Pfl")</f>
        <v>Pfl</v>
      </c>
      <c r="P2129" s="9"/>
      <c r="Q2129" s="9"/>
      <c r="R2129" s="9"/>
      <c r="S2129" s="42"/>
      <c r="T2129" s="42"/>
      <c r="U2129" s="42"/>
      <c r="V2129" s="42"/>
      <c r="W2129" s="42"/>
      <c r="X2129" s="42"/>
      <c r="Y2129" s="42"/>
      <c r="Z2129" s="42"/>
      <c r="AA2129" s="42"/>
      <c r="AB2129" s="42" t="str">
        <f>IFERROR(__xludf.DUMMYFUNCTION("""COMPUTED_VALUE"""),"allen institute")</f>
        <v>allen institute</v>
      </c>
      <c r="AC2129" s="42" t="str">
        <f>IFERROR(__xludf.DUMMYFUNCTION("""COMPUTED_VALUE"""),"DHBA")</f>
        <v>DHBA</v>
      </c>
      <c r="AD2129" s="42"/>
      <c r="AE2129" s="42"/>
      <c r="AF2129" s="9"/>
      <c r="AG2129" s="9"/>
      <c r="AH2129" s="42"/>
      <c r="AI2129" s="42"/>
      <c r="AJ2129" s="42"/>
      <c r="AK2129" s="42"/>
      <c r="AL2129" s="42"/>
      <c r="AM2129" s="42"/>
      <c r="AN2129" s="42"/>
      <c r="AO2129" s="63" t="str">
        <f>IFERROR(__xludf.DUMMYFUNCTION("IF(ISBLANK(A2129),,IF(ISBLANK(S2129), A2129&amp;"";"", TEXTJOIN(CHAR(10), TRUE, A2129&amp;"";"", ARRAYFORMULA(VLOOKUP(SPLIT(S2129, "";"" &amp; CHAR(10)), $A:$AO, 41, FALSE)))))"),"Pfl;")</f>
        <v>Pfl;</v>
      </c>
      <c r="AP2129" s="89"/>
    </row>
    <row r="2130">
      <c r="A2130" s="151" t="str">
        <f>IFERROR(__xludf.DUMMYFUNCTION("""COMPUTED_VALUE"""),"Pfm")</f>
        <v>Pfm</v>
      </c>
      <c r="B2130" s="42" t="str">
        <f>IFERROR(__xludf.DUMMYFUNCTION("""COMPUTED_VALUE"""),"DHBA")</f>
        <v>DHBA</v>
      </c>
      <c r="C2130" s="42" t="str">
        <f>IFERROR(__xludf.DUMMYFUNCTION("""COMPUTED_VALUE"""),"medial division of parafascicular nucleus of thalamus")</f>
        <v>medial division of parafascicular nucleus of thalamus</v>
      </c>
      <c r="D2130" s="42">
        <f>IFERROR(__xludf.DUMMYFUNCTION("""COMPUTED_VALUE"""),2013.0)</f>
        <v>2013</v>
      </c>
      <c r="E2130" s="39" t="str">
        <f>IFERROR(__xludf.DUMMYFUNCTION("""COMPUTED_VALUE"""),"medial division of parafascicular nucleus of thalamus")</f>
        <v>medial division of parafascicular nucleus of thalamus</v>
      </c>
      <c r="F2130" s="9" t="str">
        <f>IFERROR(__xludf.DUMMYFUNCTION("""COMPUTED_VALUE"""),"Br")</f>
        <v>Br</v>
      </c>
      <c r="G2130" s="9" t="str">
        <f>IFERROR(__xludf.DUMMYFUNCTION("""COMPUTED_VALUE"""),"F")</f>
        <v>F</v>
      </c>
      <c r="H2130" s="9" t="str">
        <f>IFERROR(__xludf.DUMMYFUNCTION("""COMPUTED_VALUE"""),"FGM")</f>
        <v>FGM</v>
      </c>
      <c r="I2130" s="9" t="str">
        <f>IFERROR(__xludf.DUMMYFUNCTION("""COMPUTED_VALUE"""),"Die")</f>
        <v>Die</v>
      </c>
      <c r="J2130" s="9" t="str">
        <f>IFERROR(__xludf.DUMMYFUNCTION("""COMPUTED_VALUE"""),"THM")</f>
        <v>THM</v>
      </c>
      <c r="K2130" s="9" t="str">
        <f>IFERROR(__xludf.DUMMYFUNCTION("""COMPUTED_VALUE"""),"DTH")</f>
        <v>DTH</v>
      </c>
      <c r="L2130" s="9" t="str">
        <f>IFERROR(__xludf.DUMMYFUNCTION("""COMPUTED_VALUE"""),"ILN")</f>
        <v>ILN</v>
      </c>
      <c r="M2130" s="9" t="str">
        <f>IFERROR(__xludf.DUMMYFUNCTION("""COMPUTED_VALUE"""),"PILN")</f>
        <v>PILN</v>
      </c>
      <c r="N2130" s="9" t="str">
        <f>IFERROR(__xludf.DUMMYFUNCTION("""COMPUTED_VALUE"""),"Pf")</f>
        <v>Pf</v>
      </c>
      <c r="O2130" s="9" t="str">
        <f>IFERROR(__xludf.DUMMYFUNCTION("""COMPUTED_VALUE"""),"Pfm")</f>
        <v>Pfm</v>
      </c>
      <c r="P2130" s="9"/>
      <c r="Q2130" s="9"/>
      <c r="R2130" s="9"/>
      <c r="S2130" s="42"/>
      <c r="T2130" s="42"/>
      <c r="U2130" s="42"/>
      <c r="V2130" s="42"/>
      <c r="W2130" s="42"/>
      <c r="X2130" s="42"/>
      <c r="Y2130" s="42"/>
      <c r="Z2130" s="42"/>
      <c r="AA2130" s="42"/>
      <c r="AB2130" s="42" t="str">
        <f>IFERROR(__xludf.DUMMYFUNCTION("""COMPUTED_VALUE"""),"allen institute")</f>
        <v>allen institute</v>
      </c>
      <c r="AC2130" s="42" t="str">
        <f>IFERROR(__xludf.DUMMYFUNCTION("""COMPUTED_VALUE"""),"DHBA")</f>
        <v>DHBA</v>
      </c>
      <c r="AD2130" s="42"/>
      <c r="AE2130" s="42"/>
      <c r="AF2130" s="9"/>
      <c r="AG2130" s="9"/>
      <c r="AH2130" s="42"/>
      <c r="AI2130" s="42"/>
      <c r="AJ2130" s="42"/>
      <c r="AK2130" s="42"/>
      <c r="AL2130" s="42"/>
      <c r="AM2130" s="42"/>
      <c r="AN2130" s="42"/>
      <c r="AO2130" s="63" t="str">
        <f>IFERROR(__xludf.DUMMYFUNCTION("IF(ISBLANK(A2130),,IF(ISBLANK(S2130), A2130&amp;"";"", TEXTJOIN(CHAR(10), TRUE, A2130&amp;"";"", ARRAYFORMULA(VLOOKUP(SPLIT(S2130, "";"" &amp; CHAR(10)), $A:$AO, 41, FALSE)))))"),"Pfm;")</f>
        <v>Pfm;</v>
      </c>
      <c r="AP2130" s="89"/>
    </row>
    <row r="2131">
      <c r="A2131" s="151" t="str">
        <f>IFERROR(__xludf.DUMMYFUNCTION("""COMPUTED_VALUE"""),"SPf")</f>
        <v>SPf</v>
      </c>
      <c r="B2131" s="42" t="str">
        <f>IFERROR(__xludf.DUMMYFUNCTION("""COMPUTED_VALUE"""),"DHBA")</f>
        <v>DHBA</v>
      </c>
      <c r="C2131" s="42" t="str">
        <f>IFERROR(__xludf.DUMMYFUNCTION("""COMPUTED_VALUE"""),"Subparafascicular nucleus")</f>
        <v>Subparafascicular nucleus</v>
      </c>
      <c r="D2131" s="42">
        <f>IFERROR(__xludf.DUMMYFUNCTION("""COMPUTED_VALUE"""),2014.0)</f>
        <v>2014</v>
      </c>
      <c r="E2131" s="39" t="str">
        <f>IFERROR(__xludf.DUMMYFUNCTION("""COMPUTED_VALUE"""),"subparafascicular nucleus of thalamus")</f>
        <v>subparafascicular nucleus of thalamus</v>
      </c>
      <c r="F2131" s="9" t="str">
        <f>IFERROR(__xludf.DUMMYFUNCTION("""COMPUTED_VALUE"""),"Br")</f>
        <v>Br</v>
      </c>
      <c r="G2131" s="9" t="str">
        <f>IFERROR(__xludf.DUMMYFUNCTION("""COMPUTED_VALUE"""),"F")</f>
        <v>F</v>
      </c>
      <c r="H2131" s="9" t="str">
        <f>IFERROR(__xludf.DUMMYFUNCTION("""COMPUTED_VALUE"""),"FGM")</f>
        <v>FGM</v>
      </c>
      <c r="I2131" s="9" t="str">
        <f>IFERROR(__xludf.DUMMYFUNCTION("""COMPUTED_VALUE"""),"Die")</f>
        <v>Die</v>
      </c>
      <c r="J2131" s="9" t="str">
        <f>IFERROR(__xludf.DUMMYFUNCTION("""COMPUTED_VALUE"""),"THM")</f>
        <v>THM</v>
      </c>
      <c r="K2131" s="9" t="str">
        <f>IFERROR(__xludf.DUMMYFUNCTION("""COMPUTED_VALUE"""),"DTH")</f>
        <v>DTH</v>
      </c>
      <c r="L2131" s="9" t="str">
        <f>IFERROR(__xludf.DUMMYFUNCTION("""COMPUTED_VALUE"""),"ILN")</f>
        <v>ILN</v>
      </c>
      <c r="M2131" s="9" t="str">
        <f>IFERROR(__xludf.DUMMYFUNCTION("""COMPUTED_VALUE"""),"PILN")</f>
        <v>PILN</v>
      </c>
      <c r="N2131" s="9" t="str">
        <f>IFERROR(__xludf.DUMMYFUNCTION("""COMPUTED_VALUE"""),"SPf")</f>
        <v>SPf</v>
      </c>
      <c r="O2131" s="9"/>
      <c r="P2131" s="9"/>
      <c r="Q2131" s="9"/>
      <c r="R2131" s="9"/>
      <c r="S2131" s="42"/>
      <c r="T2131" s="42"/>
      <c r="U2131" s="42"/>
      <c r="V2131" s="42"/>
      <c r="W2131" s="42"/>
      <c r="X2131" s="42"/>
      <c r="Y2131" s="42"/>
      <c r="Z2131" s="42"/>
      <c r="AA2131" s="42"/>
      <c r="AB2131" s="42" t="str">
        <f>IFERROR(__xludf.DUMMYFUNCTION("""COMPUTED_VALUE"""),"allen institute")</f>
        <v>allen institute</v>
      </c>
      <c r="AC2131" s="42" t="str">
        <f>IFERROR(__xludf.DUMMYFUNCTION("""COMPUTED_VALUE"""),"DHBA")</f>
        <v>DHBA</v>
      </c>
      <c r="AD2131" s="42"/>
      <c r="AE2131" s="42"/>
      <c r="AF2131" s="9"/>
      <c r="AG2131" s="9"/>
      <c r="AH2131" s="42"/>
      <c r="AI2131" s="42"/>
      <c r="AJ2131" s="42"/>
      <c r="AK2131" s="42"/>
      <c r="AL2131" s="42"/>
      <c r="AM2131" s="42"/>
      <c r="AN2131" s="42"/>
      <c r="AO2131" s="63" t="str">
        <f>IFERROR(__xludf.DUMMYFUNCTION("IF(ISBLANK(A2131),,IF(ISBLANK(S2131), A2131&amp;"";"", TEXTJOIN(CHAR(10), TRUE, A2131&amp;"";"", ARRAYFORMULA(VLOOKUP(SPLIT(S2131, "";"" &amp; CHAR(10)), $A:$AO, 41, FALSE)))))"),"SPf;")</f>
        <v>SPf;</v>
      </c>
      <c r="AP2131" s="89"/>
    </row>
    <row r="2132">
      <c r="A2132" s="151" t="str">
        <f>IFERROR(__xludf.DUMMYFUNCTION("""COMPUTED_VALUE"""),"RPf")</f>
        <v>RPf</v>
      </c>
      <c r="B2132" s="42" t="str">
        <f>IFERROR(__xludf.DUMMYFUNCTION("""COMPUTED_VALUE"""),"DHBA")</f>
        <v>DHBA</v>
      </c>
      <c r="C2132" s="42" t="str">
        <f>IFERROR(__xludf.DUMMYFUNCTION("""COMPUTED_VALUE"""),"retroparafascicular area of thalamus")</f>
        <v>retroparafascicular area of thalamus</v>
      </c>
      <c r="D2132" s="42">
        <f>IFERROR(__xludf.DUMMYFUNCTION("""COMPUTED_VALUE"""),2015.0)</f>
        <v>2015</v>
      </c>
      <c r="E2132" s="39" t="str">
        <f>IFERROR(__xludf.DUMMYFUNCTION("""COMPUTED_VALUE"""),"retroparafascicular area of thalamus")</f>
        <v>retroparafascicular area of thalamus</v>
      </c>
      <c r="F2132" s="9" t="str">
        <f>IFERROR(__xludf.DUMMYFUNCTION("""COMPUTED_VALUE"""),"Br")</f>
        <v>Br</v>
      </c>
      <c r="G2132" s="9" t="str">
        <f>IFERROR(__xludf.DUMMYFUNCTION("""COMPUTED_VALUE"""),"F")</f>
        <v>F</v>
      </c>
      <c r="H2132" s="9" t="str">
        <f>IFERROR(__xludf.DUMMYFUNCTION("""COMPUTED_VALUE"""),"FGM")</f>
        <v>FGM</v>
      </c>
      <c r="I2132" s="9" t="str">
        <f>IFERROR(__xludf.DUMMYFUNCTION("""COMPUTED_VALUE"""),"Die")</f>
        <v>Die</v>
      </c>
      <c r="J2132" s="9" t="str">
        <f>IFERROR(__xludf.DUMMYFUNCTION("""COMPUTED_VALUE"""),"THM")</f>
        <v>THM</v>
      </c>
      <c r="K2132" s="9" t="str">
        <f>IFERROR(__xludf.DUMMYFUNCTION("""COMPUTED_VALUE"""),"DTH")</f>
        <v>DTH</v>
      </c>
      <c r="L2132" s="9" t="str">
        <f>IFERROR(__xludf.DUMMYFUNCTION("""COMPUTED_VALUE"""),"ILN")</f>
        <v>ILN</v>
      </c>
      <c r="M2132" s="9" t="str">
        <f>IFERROR(__xludf.DUMMYFUNCTION("""COMPUTED_VALUE"""),"PILN")</f>
        <v>PILN</v>
      </c>
      <c r="N2132" s="9" t="str">
        <f>IFERROR(__xludf.DUMMYFUNCTION("""COMPUTED_VALUE"""),"RPf")</f>
        <v>RPf</v>
      </c>
      <c r="O2132" s="9"/>
      <c r="P2132" s="9"/>
      <c r="Q2132" s="9"/>
      <c r="R2132" s="9"/>
      <c r="S2132" s="42"/>
      <c r="T2132" s="42"/>
      <c r="U2132" s="42"/>
      <c r="V2132" s="42"/>
      <c r="W2132" s="42"/>
      <c r="X2132" s="42"/>
      <c r="Y2132" s="42"/>
      <c r="Z2132" s="42"/>
      <c r="AA2132" s="42"/>
      <c r="AB2132" s="42" t="str">
        <f>IFERROR(__xludf.DUMMYFUNCTION("""COMPUTED_VALUE"""),"allen institute")</f>
        <v>allen institute</v>
      </c>
      <c r="AC2132" s="42" t="str">
        <f>IFERROR(__xludf.DUMMYFUNCTION("""COMPUTED_VALUE"""),"DHBA")</f>
        <v>DHBA</v>
      </c>
      <c r="AD2132" s="42"/>
      <c r="AE2132" s="42"/>
      <c r="AF2132" s="9"/>
      <c r="AG2132" s="9"/>
      <c r="AH2132" s="42"/>
      <c r="AI2132" s="42"/>
      <c r="AJ2132" s="42"/>
      <c r="AK2132" s="42"/>
      <c r="AL2132" s="42"/>
      <c r="AM2132" s="42"/>
      <c r="AN2132" s="42"/>
      <c r="AO2132" s="63" t="str">
        <f>IFERROR(__xludf.DUMMYFUNCTION("IF(ISBLANK(A2132),,IF(ISBLANK(S2132), A2132&amp;"";"", TEXTJOIN(CHAR(10), TRUE, A2132&amp;"";"", ARRAYFORMULA(VLOOKUP(SPLIT(S2132, "";"" &amp; CHAR(10)), $A:$AO, 41, FALSE)))))"),"RPf;")</f>
        <v>RPf;</v>
      </c>
      <c r="AP2132" s="89"/>
    </row>
    <row r="2133">
      <c r="A2133" s="151" t="str">
        <f>IFERROR(__xludf.DUMMYFUNCTION("""COMPUTED_VALUE"""),"Fa")</f>
        <v>Fa</v>
      </c>
      <c r="B2133" s="42" t="str">
        <f>IFERROR(__xludf.DUMMYFUNCTION("""COMPUTED_VALUE"""),"DHBA")</f>
        <v>DHBA</v>
      </c>
      <c r="C2133" s="42" t="str">
        <f>IFERROR(__xludf.DUMMYFUNCTION("""COMPUTED_VALUE"""),"fasciculosus nucleus of thalamus")</f>
        <v>fasciculosus nucleus of thalamus</v>
      </c>
      <c r="D2133" s="42">
        <f>IFERROR(__xludf.DUMMYFUNCTION("""COMPUTED_VALUE"""),2016.0)</f>
        <v>2016</v>
      </c>
      <c r="E2133" s="39" t="str">
        <f>IFERROR(__xludf.DUMMYFUNCTION("""COMPUTED_VALUE"""),"fasciculosus nucleus of thalamus")</f>
        <v>fasciculosus nucleus of thalamus</v>
      </c>
      <c r="F2133" s="9" t="str">
        <f>IFERROR(__xludf.DUMMYFUNCTION("""COMPUTED_VALUE"""),"Br")</f>
        <v>Br</v>
      </c>
      <c r="G2133" s="9" t="str">
        <f>IFERROR(__xludf.DUMMYFUNCTION("""COMPUTED_VALUE"""),"F")</f>
        <v>F</v>
      </c>
      <c r="H2133" s="9" t="str">
        <f>IFERROR(__xludf.DUMMYFUNCTION("""COMPUTED_VALUE"""),"FGM")</f>
        <v>FGM</v>
      </c>
      <c r="I2133" s="9" t="str">
        <f>IFERROR(__xludf.DUMMYFUNCTION("""COMPUTED_VALUE"""),"Die")</f>
        <v>Die</v>
      </c>
      <c r="J2133" s="9" t="str">
        <f>IFERROR(__xludf.DUMMYFUNCTION("""COMPUTED_VALUE"""),"THM")</f>
        <v>THM</v>
      </c>
      <c r="K2133" s="9" t="str">
        <f>IFERROR(__xludf.DUMMYFUNCTION("""COMPUTED_VALUE"""),"DTH")</f>
        <v>DTH</v>
      </c>
      <c r="L2133" s="9" t="str">
        <f>IFERROR(__xludf.DUMMYFUNCTION("""COMPUTED_VALUE"""),"ILN")</f>
        <v>ILN</v>
      </c>
      <c r="M2133" s="9" t="str">
        <f>IFERROR(__xludf.DUMMYFUNCTION("""COMPUTED_VALUE"""),"Fa")</f>
        <v>Fa</v>
      </c>
      <c r="N2133" s="9"/>
      <c r="O2133" s="9"/>
      <c r="P2133" s="9"/>
      <c r="Q2133" s="9"/>
      <c r="R2133" s="9"/>
      <c r="S2133" s="42"/>
      <c r="T2133" s="42"/>
      <c r="U2133" s="42"/>
      <c r="V2133" s="42"/>
      <c r="W2133" s="42"/>
      <c r="X2133" s="42"/>
      <c r="Y2133" s="42"/>
      <c r="Z2133" s="42"/>
      <c r="AA2133" s="42"/>
      <c r="AB2133" s="42" t="str">
        <f>IFERROR(__xludf.DUMMYFUNCTION("""COMPUTED_VALUE"""),"allen institute")</f>
        <v>allen institute</v>
      </c>
      <c r="AC2133" s="42" t="str">
        <f>IFERROR(__xludf.DUMMYFUNCTION("""COMPUTED_VALUE"""),"DHBA")</f>
        <v>DHBA</v>
      </c>
      <c r="AD2133" s="42"/>
      <c r="AE2133" s="42"/>
      <c r="AF2133" s="9"/>
      <c r="AG2133" s="9"/>
      <c r="AH2133" s="42"/>
      <c r="AI2133" s="42"/>
      <c r="AJ2133" s="42"/>
      <c r="AK2133" s="42"/>
      <c r="AL2133" s="42"/>
      <c r="AM2133" s="42"/>
      <c r="AN2133" s="42"/>
      <c r="AO2133" s="63" t="str">
        <f>IFERROR(__xludf.DUMMYFUNCTION("IF(ISBLANK(A2133),,IF(ISBLANK(S2133), A2133&amp;"";"", TEXTJOIN(CHAR(10), TRUE, A2133&amp;"";"", ARRAYFORMULA(VLOOKUP(SPLIT(S2133, "";"" &amp; CHAR(10)), $A:$AO, 41, FALSE)))))"),"Fa;")</f>
        <v>Fa;</v>
      </c>
      <c r="AP2133" s="89"/>
    </row>
    <row r="2134">
      <c r="A2134" s="151" t="str">
        <f>IFERROR(__xludf.DUMMYFUNCTION("""COMPUTED_VALUE"""),"MiN")</f>
        <v>MiN</v>
      </c>
      <c r="B2134" s="42" t="str">
        <f>IFERROR(__xludf.DUMMYFUNCTION("""COMPUTED_VALUE"""),"DHBA")</f>
        <v>DHBA</v>
      </c>
      <c r="C2134" s="42" t="str">
        <f>IFERROR(__xludf.DUMMYFUNCTION("""COMPUTED_VALUE"""),"midline nuclear complex")</f>
        <v>midline nuclear complex</v>
      </c>
      <c r="D2134" s="42">
        <f>IFERROR(__xludf.DUMMYFUNCTION("""COMPUTED_VALUE"""),2017.0)</f>
        <v>2017</v>
      </c>
      <c r="E2134" s="39" t="str">
        <f>IFERROR(__xludf.DUMMYFUNCTION("""COMPUTED_VALUE"""),"midline nuclear complex")</f>
        <v>midline nuclear complex</v>
      </c>
      <c r="F2134" s="9" t="str">
        <f>IFERROR(__xludf.DUMMYFUNCTION("""COMPUTED_VALUE"""),"Br")</f>
        <v>Br</v>
      </c>
      <c r="G2134" s="9" t="str">
        <f>IFERROR(__xludf.DUMMYFUNCTION("""COMPUTED_VALUE"""),"F")</f>
        <v>F</v>
      </c>
      <c r="H2134" s="9" t="str">
        <f>IFERROR(__xludf.DUMMYFUNCTION("""COMPUTED_VALUE"""),"FGM")</f>
        <v>FGM</v>
      </c>
      <c r="I2134" s="9" t="str">
        <f>IFERROR(__xludf.DUMMYFUNCTION("""COMPUTED_VALUE"""),"Die")</f>
        <v>Die</v>
      </c>
      <c r="J2134" s="9" t="str">
        <f>IFERROR(__xludf.DUMMYFUNCTION("""COMPUTED_VALUE"""),"THM")</f>
        <v>THM</v>
      </c>
      <c r="K2134" s="9" t="str">
        <f>IFERROR(__xludf.DUMMYFUNCTION("""COMPUTED_VALUE"""),"DTH")</f>
        <v>DTH</v>
      </c>
      <c r="L2134" s="9" t="str">
        <f>IFERROR(__xludf.DUMMYFUNCTION("""COMPUTED_VALUE"""),"MiN")</f>
        <v>MiN</v>
      </c>
      <c r="M2134" s="9"/>
      <c r="N2134" s="9"/>
      <c r="O2134" s="9"/>
      <c r="P2134" s="9"/>
      <c r="Q2134" s="9"/>
      <c r="R2134" s="9"/>
      <c r="S2134" s="42" t="str">
        <f>IFERROR(__xludf.DUMMYFUNCTION("""COMPUTED_VALUE"""),"Rh;
PeVA;
IAM;
IMD")</f>
        <v>Rh;
PeVA;
IAM;
IMD</v>
      </c>
      <c r="T2134" s="42"/>
      <c r="U2134" s="42" t="b">
        <f>IFERROR(__xludf.DUMMYFUNCTION("""COMPUTED_VALUE"""),FALSE)</f>
        <v>0</v>
      </c>
      <c r="V2134" s="42"/>
      <c r="W2134" s="42"/>
      <c r="X2134" s="42"/>
      <c r="Y2134" s="42"/>
      <c r="Z2134" s="42"/>
      <c r="AA2134" s="42"/>
      <c r="AB2134" s="42" t="str">
        <f>IFERROR(__xludf.DUMMYFUNCTION("""COMPUTED_VALUE"""),"allen institute")</f>
        <v>allen institute</v>
      </c>
      <c r="AC2134" s="42" t="str">
        <f>IFERROR(__xludf.DUMMYFUNCTION("""COMPUTED_VALUE"""),"DHBA")</f>
        <v>DHBA</v>
      </c>
      <c r="AD2134" s="42"/>
      <c r="AE2134" s="42"/>
      <c r="AF2134" s="9"/>
      <c r="AG2134" s="9"/>
      <c r="AH2134" s="42"/>
      <c r="AI2134" s="42"/>
      <c r="AJ2134" s="42"/>
      <c r="AK2134" s="42"/>
      <c r="AL2134" s="42"/>
      <c r="AM2134" s="42"/>
      <c r="AN2134" s="42"/>
      <c r="AO2134" s="63" t="str">
        <f>IFERROR(__xludf.DUMMYFUNCTION("IF(ISBLANK(A2134),,IF(ISBLANK(S2134), A2134&amp;"";"", TEXTJOIN(CHAR(10), TRUE, A2134&amp;"";"", ARRAYFORMULA(VLOOKUP(SPLIT(S2134, "";"" &amp; CHAR(10)), $A:$AO, 41, FALSE)))))"),"MiN;
Rh;
PeVA;
IAM;
IMD;")</f>
        <v>MiN;
Rh;
PeVA;
IAM;
IMD;</v>
      </c>
      <c r="AP2134" s="89"/>
    </row>
    <row r="2135">
      <c r="A2135" s="151" t="str">
        <f>IFERROR(__xludf.DUMMYFUNCTION("""COMPUTED_VALUE"""),"Rh")</f>
        <v>Rh</v>
      </c>
      <c r="B2135" s="42" t="str">
        <f>IFERROR(__xludf.DUMMYFUNCTION("""COMPUTED_VALUE"""),"DHBA")</f>
        <v>DHBA</v>
      </c>
      <c r="C2135" s="42" t="str">
        <f>IFERROR(__xludf.DUMMYFUNCTION("""COMPUTED_VALUE"""),"rhomboid (central) nucleus of thalamus")</f>
        <v>rhomboid (central) nucleus of thalamus</v>
      </c>
      <c r="D2135" s="42">
        <f>IFERROR(__xludf.DUMMYFUNCTION("""COMPUTED_VALUE"""),2018.0)</f>
        <v>2018</v>
      </c>
      <c r="E2135" s="39" t="str">
        <f>IFERROR(__xludf.DUMMYFUNCTION("""COMPUTED_VALUE"""),"rhomboid (central) nucleus of thalamus")</f>
        <v>rhomboid (central) nucleus of thalamus</v>
      </c>
      <c r="F2135" s="9" t="str">
        <f>IFERROR(__xludf.DUMMYFUNCTION("""COMPUTED_VALUE"""),"Br")</f>
        <v>Br</v>
      </c>
      <c r="G2135" s="9" t="str">
        <f>IFERROR(__xludf.DUMMYFUNCTION("""COMPUTED_VALUE"""),"F")</f>
        <v>F</v>
      </c>
      <c r="H2135" s="9" t="str">
        <f>IFERROR(__xludf.DUMMYFUNCTION("""COMPUTED_VALUE"""),"FGM")</f>
        <v>FGM</v>
      </c>
      <c r="I2135" s="9" t="str">
        <f>IFERROR(__xludf.DUMMYFUNCTION("""COMPUTED_VALUE"""),"Die")</f>
        <v>Die</v>
      </c>
      <c r="J2135" s="9" t="str">
        <f>IFERROR(__xludf.DUMMYFUNCTION("""COMPUTED_VALUE"""),"THM")</f>
        <v>THM</v>
      </c>
      <c r="K2135" s="9" t="str">
        <f>IFERROR(__xludf.DUMMYFUNCTION("""COMPUTED_VALUE"""),"DTH")</f>
        <v>DTH</v>
      </c>
      <c r="L2135" s="9" t="str">
        <f>IFERROR(__xludf.DUMMYFUNCTION("""COMPUTED_VALUE"""),"MiN")</f>
        <v>MiN</v>
      </c>
      <c r="M2135" s="9" t="str">
        <f>IFERROR(__xludf.DUMMYFUNCTION("""COMPUTED_VALUE"""),"Rh")</f>
        <v>Rh</v>
      </c>
      <c r="N2135" s="9"/>
      <c r="O2135" s="9"/>
      <c r="P2135" s="9"/>
      <c r="Q2135" s="9"/>
      <c r="R2135" s="9"/>
      <c r="S2135" s="42"/>
      <c r="T2135" s="42"/>
      <c r="U2135" s="42"/>
      <c r="V2135" s="42"/>
      <c r="W2135" s="42"/>
      <c r="X2135" s="42"/>
      <c r="Y2135" s="42"/>
      <c r="Z2135" s="42"/>
      <c r="AA2135" s="42"/>
      <c r="AB2135" s="42" t="str">
        <f>IFERROR(__xludf.DUMMYFUNCTION("""COMPUTED_VALUE"""),"allen institute")</f>
        <v>allen institute</v>
      </c>
      <c r="AC2135" s="42" t="str">
        <f>IFERROR(__xludf.DUMMYFUNCTION("""COMPUTED_VALUE"""),"DHBA")</f>
        <v>DHBA</v>
      </c>
      <c r="AD2135" s="42"/>
      <c r="AE2135" s="42"/>
      <c r="AF2135" s="9"/>
      <c r="AG2135" s="9"/>
      <c r="AH2135" s="42"/>
      <c r="AI2135" s="42"/>
      <c r="AJ2135" s="42"/>
      <c r="AK2135" s="42"/>
      <c r="AL2135" s="42"/>
      <c r="AM2135" s="42"/>
      <c r="AN2135" s="42"/>
      <c r="AO2135" s="63" t="str">
        <f>IFERROR(__xludf.DUMMYFUNCTION("IF(ISBLANK(A2135),,IF(ISBLANK(S2135), A2135&amp;"";"", TEXTJOIN(CHAR(10), TRUE, A2135&amp;"";"", ARRAYFORMULA(VLOOKUP(SPLIT(S2135, "";"" &amp; CHAR(10)), $A:$AO, 41, FALSE)))))"),"Rh;")</f>
        <v>Rh;</v>
      </c>
      <c r="AP2135" s="89"/>
    </row>
    <row r="2136">
      <c r="A2136" s="151" t="str">
        <f>IFERROR(__xludf.DUMMYFUNCTION("""COMPUTED_VALUE"""),"PeVA")</f>
        <v>PeVA</v>
      </c>
      <c r="B2136" s="42" t="str">
        <f>IFERROR(__xludf.DUMMYFUNCTION("""COMPUTED_VALUE"""),"DHBA")</f>
        <v>DHBA</v>
      </c>
      <c r="C2136" s="42" t="str">
        <f>IFERROR(__xludf.DUMMYFUNCTION("""COMPUTED_VALUE"""),"periventricular area of thalamus, Periventricular nucleus, PeV")</f>
        <v>periventricular area of thalamus, Periventricular nucleus, PeV</v>
      </c>
      <c r="D2136" s="42">
        <f>IFERROR(__xludf.DUMMYFUNCTION("""COMPUTED_VALUE"""),2019.0)</f>
        <v>2019</v>
      </c>
      <c r="E2136" s="39" t="str">
        <f>IFERROR(__xludf.DUMMYFUNCTION("""COMPUTED_VALUE"""),"periventricular area of thalamus")</f>
        <v>periventricular area of thalamus</v>
      </c>
      <c r="F2136" s="9" t="str">
        <f>IFERROR(__xludf.DUMMYFUNCTION("""COMPUTED_VALUE"""),"Br")</f>
        <v>Br</v>
      </c>
      <c r="G2136" s="9" t="str">
        <f>IFERROR(__xludf.DUMMYFUNCTION("""COMPUTED_VALUE"""),"F")</f>
        <v>F</v>
      </c>
      <c r="H2136" s="9" t="str">
        <f>IFERROR(__xludf.DUMMYFUNCTION("""COMPUTED_VALUE"""),"FGM")</f>
        <v>FGM</v>
      </c>
      <c r="I2136" s="9" t="str">
        <f>IFERROR(__xludf.DUMMYFUNCTION("""COMPUTED_VALUE"""),"Die")</f>
        <v>Die</v>
      </c>
      <c r="J2136" s="9" t="str">
        <f>IFERROR(__xludf.DUMMYFUNCTION("""COMPUTED_VALUE"""),"THM")</f>
        <v>THM</v>
      </c>
      <c r="K2136" s="9" t="str">
        <f>IFERROR(__xludf.DUMMYFUNCTION("""COMPUTED_VALUE"""),"DTH")</f>
        <v>DTH</v>
      </c>
      <c r="L2136" s="9" t="str">
        <f>IFERROR(__xludf.DUMMYFUNCTION("""COMPUTED_VALUE"""),"MiN")</f>
        <v>MiN</v>
      </c>
      <c r="M2136" s="9" t="str">
        <f>IFERROR(__xludf.DUMMYFUNCTION("""COMPUTED_VALUE"""),"PeVA")</f>
        <v>PeVA</v>
      </c>
      <c r="N2136" s="9"/>
      <c r="O2136" s="9"/>
      <c r="P2136" s="9"/>
      <c r="Q2136" s="9"/>
      <c r="R2136" s="9"/>
      <c r="S2136" s="42"/>
      <c r="T2136" s="42"/>
      <c r="U2136" s="42"/>
      <c r="V2136" s="42"/>
      <c r="W2136" s="42"/>
      <c r="X2136" s="42"/>
      <c r="Y2136" s="42"/>
      <c r="Z2136" s="42"/>
      <c r="AA2136" s="42"/>
      <c r="AB2136" s="42" t="str">
        <f>IFERROR(__xludf.DUMMYFUNCTION("""COMPUTED_VALUE"""),"allen institute")</f>
        <v>allen institute</v>
      </c>
      <c r="AC2136" s="42" t="str">
        <f>IFERROR(__xludf.DUMMYFUNCTION("""COMPUTED_VALUE"""),"DHBA")</f>
        <v>DHBA</v>
      </c>
      <c r="AD2136" s="42"/>
      <c r="AE2136" s="42"/>
      <c r="AF2136" s="9"/>
      <c r="AG2136" s="9"/>
      <c r="AH2136" s="42"/>
      <c r="AI2136" s="42"/>
      <c r="AJ2136" s="42"/>
      <c r="AK2136" s="42"/>
      <c r="AL2136" s="42"/>
      <c r="AM2136" s="42"/>
      <c r="AN2136" s="42"/>
      <c r="AO2136" s="63" t="str">
        <f>IFERROR(__xludf.DUMMYFUNCTION("IF(ISBLANK(A2136),,IF(ISBLANK(S2136), A2136&amp;"";"", TEXTJOIN(CHAR(10), TRUE, A2136&amp;"";"", ARRAYFORMULA(VLOOKUP(SPLIT(S2136, "";"" &amp; CHAR(10)), $A:$AO, 41, FALSE)))))"),"PeVA;")</f>
        <v>PeVA;</v>
      </c>
      <c r="AP2136" s="89"/>
    </row>
    <row r="2137">
      <c r="A2137" s="151" t="str">
        <f>IFERROR(__xludf.DUMMYFUNCTION("""COMPUTED_VALUE"""),"IAM")</f>
        <v>IAM</v>
      </c>
      <c r="B2137" s="42" t="str">
        <f>IFERROR(__xludf.DUMMYFUNCTION("""COMPUTED_VALUE"""),"DHBA")</f>
        <v>DHBA</v>
      </c>
      <c r="C2137" s="42" t="str">
        <f>IFERROR(__xludf.DUMMYFUNCTION("""COMPUTED_VALUE"""),"Interanteromedial nucleus")</f>
        <v>Interanteromedial nucleus</v>
      </c>
      <c r="D2137" s="42">
        <f>IFERROR(__xludf.DUMMYFUNCTION("""COMPUTED_VALUE"""),2020.0)</f>
        <v>2020</v>
      </c>
      <c r="E2137" s="39" t="str">
        <f>IFERROR(__xludf.DUMMYFUNCTION("""COMPUTED_VALUE"""),"interanteromedial nucleus of thalamus")</f>
        <v>interanteromedial nucleus of thalamus</v>
      </c>
      <c r="F2137" s="9" t="str">
        <f>IFERROR(__xludf.DUMMYFUNCTION("""COMPUTED_VALUE"""),"Br")</f>
        <v>Br</v>
      </c>
      <c r="G2137" s="9" t="str">
        <f>IFERROR(__xludf.DUMMYFUNCTION("""COMPUTED_VALUE"""),"F")</f>
        <v>F</v>
      </c>
      <c r="H2137" s="9" t="str">
        <f>IFERROR(__xludf.DUMMYFUNCTION("""COMPUTED_VALUE"""),"FGM")</f>
        <v>FGM</v>
      </c>
      <c r="I2137" s="9" t="str">
        <f>IFERROR(__xludf.DUMMYFUNCTION("""COMPUTED_VALUE"""),"Die")</f>
        <v>Die</v>
      </c>
      <c r="J2137" s="9" t="str">
        <f>IFERROR(__xludf.DUMMYFUNCTION("""COMPUTED_VALUE"""),"THM")</f>
        <v>THM</v>
      </c>
      <c r="K2137" s="9" t="str">
        <f>IFERROR(__xludf.DUMMYFUNCTION("""COMPUTED_VALUE"""),"DTH")</f>
        <v>DTH</v>
      </c>
      <c r="L2137" s="9" t="str">
        <f>IFERROR(__xludf.DUMMYFUNCTION("""COMPUTED_VALUE"""),"MiN")</f>
        <v>MiN</v>
      </c>
      <c r="M2137" s="9" t="str">
        <f>IFERROR(__xludf.DUMMYFUNCTION("""COMPUTED_VALUE"""),"IAM")</f>
        <v>IAM</v>
      </c>
      <c r="N2137" s="9"/>
      <c r="O2137" s="9"/>
      <c r="P2137" s="9"/>
      <c r="Q2137" s="9"/>
      <c r="R2137" s="9"/>
      <c r="S2137" s="42"/>
      <c r="T2137" s="42"/>
      <c r="U2137" s="42"/>
      <c r="V2137" s="42"/>
      <c r="W2137" s="42"/>
      <c r="X2137" s="42"/>
      <c r="Y2137" s="42"/>
      <c r="Z2137" s="42"/>
      <c r="AA2137" s="42"/>
      <c r="AB2137" s="42" t="str">
        <f>IFERROR(__xludf.DUMMYFUNCTION("""COMPUTED_VALUE"""),"allen institute")</f>
        <v>allen institute</v>
      </c>
      <c r="AC2137" s="42" t="str">
        <f>IFERROR(__xludf.DUMMYFUNCTION("""COMPUTED_VALUE"""),"DHBA")</f>
        <v>DHBA</v>
      </c>
      <c r="AD2137" s="42"/>
      <c r="AE2137" s="42"/>
      <c r="AF2137" s="9"/>
      <c r="AG2137" s="9"/>
      <c r="AH2137" s="42"/>
      <c r="AI2137" s="42"/>
      <c r="AJ2137" s="42"/>
      <c r="AK2137" s="42"/>
      <c r="AL2137" s="42"/>
      <c r="AM2137" s="42"/>
      <c r="AN2137" s="42"/>
      <c r="AO2137" s="63" t="str">
        <f>IFERROR(__xludf.DUMMYFUNCTION("IF(ISBLANK(A2137),,IF(ISBLANK(S2137), A2137&amp;"";"", TEXTJOIN(CHAR(10), TRUE, A2137&amp;"";"", ARRAYFORMULA(VLOOKUP(SPLIT(S2137, "";"" &amp; CHAR(10)), $A:$AO, 41, FALSE)))))"),"IAM;")</f>
        <v>IAM;</v>
      </c>
      <c r="AP2137" s="89"/>
    </row>
    <row r="2138">
      <c r="A2138" s="151" t="str">
        <f>IFERROR(__xludf.DUMMYFUNCTION("""COMPUTED_VALUE"""),"IMD")</f>
        <v>IMD</v>
      </c>
      <c r="B2138" s="42" t="str">
        <f>IFERROR(__xludf.DUMMYFUNCTION("""COMPUTED_VALUE"""),"DHBA")</f>
        <v>DHBA</v>
      </c>
      <c r="C2138" s="42" t="str">
        <f>IFERROR(__xludf.DUMMYFUNCTION("""COMPUTED_VALUE"""),"Intermediodorsal nucleus, UMD")</f>
        <v>Intermediodorsal nucleus, UMD</v>
      </c>
      <c r="D2138" s="42">
        <f>IFERROR(__xludf.DUMMYFUNCTION("""COMPUTED_VALUE"""),2021.0)</f>
        <v>2021</v>
      </c>
      <c r="E2138" s="39" t="str">
        <f>IFERROR(__xludf.DUMMYFUNCTION("""COMPUTED_VALUE"""),"intermediodorsal nucleus of thalamus")</f>
        <v>intermediodorsal nucleus of thalamus</v>
      </c>
      <c r="F2138" s="9" t="str">
        <f>IFERROR(__xludf.DUMMYFUNCTION("""COMPUTED_VALUE"""),"Br")</f>
        <v>Br</v>
      </c>
      <c r="G2138" s="9" t="str">
        <f>IFERROR(__xludf.DUMMYFUNCTION("""COMPUTED_VALUE"""),"F")</f>
        <v>F</v>
      </c>
      <c r="H2138" s="9" t="str">
        <f>IFERROR(__xludf.DUMMYFUNCTION("""COMPUTED_VALUE"""),"FGM")</f>
        <v>FGM</v>
      </c>
      <c r="I2138" s="9" t="str">
        <f>IFERROR(__xludf.DUMMYFUNCTION("""COMPUTED_VALUE"""),"Die")</f>
        <v>Die</v>
      </c>
      <c r="J2138" s="9" t="str">
        <f>IFERROR(__xludf.DUMMYFUNCTION("""COMPUTED_VALUE"""),"THM")</f>
        <v>THM</v>
      </c>
      <c r="K2138" s="9" t="str">
        <f>IFERROR(__xludf.DUMMYFUNCTION("""COMPUTED_VALUE"""),"DTH")</f>
        <v>DTH</v>
      </c>
      <c r="L2138" s="9" t="str">
        <f>IFERROR(__xludf.DUMMYFUNCTION("""COMPUTED_VALUE"""),"MiN")</f>
        <v>MiN</v>
      </c>
      <c r="M2138" s="9" t="str">
        <f>IFERROR(__xludf.DUMMYFUNCTION("""COMPUTED_VALUE"""),"IMD")</f>
        <v>IMD</v>
      </c>
      <c r="N2138" s="9"/>
      <c r="O2138" s="9"/>
      <c r="P2138" s="9"/>
      <c r="Q2138" s="9"/>
      <c r="R2138" s="9"/>
      <c r="S2138" s="42"/>
      <c r="T2138" s="42"/>
      <c r="U2138" s="42"/>
      <c r="V2138" s="42"/>
      <c r="W2138" s="42"/>
      <c r="X2138" s="42"/>
      <c r="Y2138" s="42"/>
      <c r="Z2138" s="42"/>
      <c r="AA2138" s="42"/>
      <c r="AB2138" s="42" t="str">
        <f>IFERROR(__xludf.DUMMYFUNCTION("""COMPUTED_VALUE"""),"allen institute")</f>
        <v>allen institute</v>
      </c>
      <c r="AC2138" s="42" t="str">
        <f>IFERROR(__xludf.DUMMYFUNCTION("""COMPUTED_VALUE"""),"DHBA")</f>
        <v>DHBA</v>
      </c>
      <c r="AD2138" s="42"/>
      <c r="AE2138" s="42"/>
      <c r="AF2138" s="9"/>
      <c r="AG2138" s="9"/>
      <c r="AH2138" s="42"/>
      <c r="AI2138" s="42"/>
      <c r="AJ2138" s="42"/>
      <c r="AK2138" s="42"/>
      <c r="AL2138" s="42"/>
      <c r="AM2138" s="42"/>
      <c r="AN2138" s="42"/>
      <c r="AO2138" s="63" t="str">
        <f>IFERROR(__xludf.DUMMYFUNCTION("IF(ISBLANK(A2138),,IF(ISBLANK(S2138), A2138&amp;"";"", TEXTJOIN(CHAR(10), TRUE, A2138&amp;"";"", ARRAYFORMULA(VLOOKUP(SPLIT(S2138, "";"" &amp; CHAR(10)), $A:$AO, 41, FALSE)))))"),"IMD;")</f>
        <v>IMD;</v>
      </c>
      <c r="AP2138" s="89"/>
    </row>
    <row r="2139">
      <c r="A2139" s="151" t="str">
        <f>IFERROR(__xludf.DUMMYFUNCTION("""COMPUTED_VALUE"""),"ETH")</f>
        <v>ETH</v>
      </c>
      <c r="B2139" s="42" t="str">
        <f>IFERROR(__xludf.DUMMYFUNCTION("""COMPUTED_VALUE"""),"DHBA")</f>
        <v>DHBA</v>
      </c>
      <c r="C2139" s="42" t="str">
        <f>IFERROR(__xludf.DUMMYFUNCTION("""COMPUTED_VALUE"""),"epithalamus")</f>
        <v>epithalamus</v>
      </c>
      <c r="D2139" s="42">
        <f>IFERROR(__xludf.DUMMYFUNCTION("""COMPUTED_VALUE"""),2022.0)</f>
        <v>2022</v>
      </c>
      <c r="E2139" s="39" t="str">
        <f>IFERROR(__xludf.DUMMYFUNCTION("""COMPUTED_VALUE"""),"epithalamus")</f>
        <v>epithalamus</v>
      </c>
      <c r="F2139" s="9" t="str">
        <f>IFERROR(__xludf.DUMMYFUNCTION("""COMPUTED_VALUE"""),"Br")</f>
        <v>Br</v>
      </c>
      <c r="G2139" s="9" t="str">
        <f>IFERROR(__xludf.DUMMYFUNCTION("""COMPUTED_VALUE"""),"F")</f>
        <v>F</v>
      </c>
      <c r="H2139" s="9" t="str">
        <f>IFERROR(__xludf.DUMMYFUNCTION("""COMPUTED_VALUE"""),"FGM")</f>
        <v>FGM</v>
      </c>
      <c r="I2139" s="9" t="str">
        <f>IFERROR(__xludf.DUMMYFUNCTION("""COMPUTED_VALUE"""),"Die")</f>
        <v>Die</v>
      </c>
      <c r="J2139" s="9" t="str">
        <f>IFERROR(__xludf.DUMMYFUNCTION("""COMPUTED_VALUE"""),"THM")</f>
        <v>THM</v>
      </c>
      <c r="K2139" s="9" t="str">
        <f>IFERROR(__xludf.DUMMYFUNCTION("""COMPUTED_VALUE"""),"ETH")</f>
        <v>ETH</v>
      </c>
      <c r="L2139" s="9"/>
      <c r="M2139" s="9"/>
      <c r="N2139" s="9"/>
      <c r="O2139" s="9"/>
      <c r="P2139" s="9"/>
      <c r="Q2139" s="9"/>
      <c r="R2139" s="9"/>
      <c r="S2139" s="42" t="str">
        <f>IFERROR(__xludf.DUMMYFUNCTION("""COMPUTED_VALUE"""),"HN;
PaV;
Pin")</f>
        <v>HN;
PaV;
Pin</v>
      </c>
      <c r="T2139" s="42"/>
      <c r="U2139" s="42" t="b">
        <f>IFERROR(__xludf.DUMMYFUNCTION("""COMPUTED_VALUE"""),FALSE)</f>
        <v>0</v>
      </c>
      <c r="V2139" s="42"/>
      <c r="W2139" s="42"/>
      <c r="X2139" s="42"/>
      <c r="Y2139" s="42"/>
      <c r="Z2139" s="42"/>
      <c r="AA2139" s="42"/>
      <c r="AB2139" s="42" t="str">
        <f>IFERROR(__xludf.DUMMYFUNCTION("""COMPUTED_VALUE"""),"allen institute")</f>
        <v>allen institute</v>
      </c>
      <c r="AC2139" s="42" t="str">
        <f>IFERROR(__xludf.DUMMYFUNCTION("""COMPUTED_VALUE"""),"DHBA")</f>
        <v>DHBA</v>
      </c>
      <c r="AD2139" s="42"/>
      <c r="AE2139" s="42"/>
      <c r="AF2139" s="9"/>
      <c r="AG2139" s="9"/>
      <c r="AH2139" s="42"/>
      <c r="AI2139" s="42"/>
      <c r="AJ2139" s="42"/>
      <c r="AK2139" s="42"/>
      <c r="AL2139" s="42"/>
      <c r="AM2139" s="42"/>
      <c r="AN2139" s="42"/>
      <c r="AO2139" s="63" t="str">
        <f>IFERROR(__xludf.DUMMYFUNCTION("IF(ISBLANK(A2139),,IF(ISBLANK(S2139), A2139&amp;"";"", TEXTJOIN(CHAR(10), TRUE, A2139&amp;"";"", ARRAYFORMULA(VLOOKUP(SPLIT(S2139, "";"" &amp; CHAR(10)), $A:$AO, 41, FALSE)))))"),"ETH;
HN;
LHN;
LHNmc;
LHNpc;
MHN;
PaV;
PaVr;
PaVc;
Pin;")</f>
        <v>ETH;
HN;
LHN;
LHNmc;
LHNpc;
MHN;
PaV;
PaVr;
PaVc;
Pin;</v>
      </c>
      <c r="AP2139" s="89"/>
    </row>
    <row r="2140">
      <c r="A2140" s="151" t="str">
        <f>IFERROR(__xludf.DUMMYFUNCTION("""COMPUTED_VALUE"""),"HN")</f>
        <v>HN</v>
      </c>
      <c r="B2140" s="42" t="str">
        <f>IFERROR(__xludf.DUMMYFUNCTION("""COMPUTED_VALUE"""),"DHBA")</f>
        <v>DHBA</v>
      </c>
      <c r="C2140" s="42" t="str">
        <f>IFERROR(__xludf.DUMMYFUNCTION("""COMPUTED_VALUE"""),"Habenular nuclei, Habenula, Hab")</f>
        <v>Habenular nuclei, Habenula, Hab</v>
      </c>
      <c r="D2140" s="42">
        <f>IFERROR(__xludf.DUMMYFUNCTION("""COMPUTED_VALUE"""),2023.0)</f>
        <v>2023</v>
      </c>
      <c r="E2140" s="39" t="str">
        <f>IFERROR(__xludf.DUMMYFUNCTION("""COMPUTED_VALUE"""),"habenular nuclei")</f>
        <v>habenular nuclei</v>
      </c>
      <c r="F2140" s="9" t="str">
        <f>IFERROR(__xludf.DUMMYFUNCTION("""COMPUTED_VALUE"""),"Br")</f>
        <v>Br</v>
      </c>
      <c r="G2140" s="9" t="str">
        <f>IFERROR(__xludf.DUMMYFUNCTION("""COMPUTED_VALUE"""),"F")</f>
        <v>F</v>
      </c>
      <c r="H2140" s="9" t="str">
        <f>IFERROR(__xludf.DUMMYFUNCTION("""COMPUTED_VALUE"""),"FGM")</f>
        <v>FGM</v>
      </c>
      <c r="I2140" s="9" t="str">
        <f>IFERROR(__xludf.DUMMYFUNCTION("""COMPUTED_VALUE"""),"Die")</f>
        <v>Die</v>
      </c>
      <c r="J2140" s="9" t="str">
        <f>IFERROR(__xludf.DUMMYFUNCTION("""COMPUTED_VALUE"""),"THM")</f>
        <v>THM</v>
      </c>
      <c r="K2140" s="9" t="str">
        <f>IFERROR(__xludf.DUMMYFUNCTION("""COMPUTED_VALUE"""),"ETH")</f>
        <v>ETH</v>
      </c>
      <c r="L2140" s="9" t="str">
        <f>IFERROR(__xludf.DUMMYFUNCTION("""COMPUTED_VALUE"""),"HN")</f>
        <v>HN</v>
      </c>
      <c r="M2140" s="9"/>
      <c r="N2140" s="9"/>
      <c r="O2140" s="9"/>
      <c r="P2140" s="9"/>
      <c r="Q2140" s="9"/>
      <c r="R2140" s="9"/>
      <c r="S2140" s="42" t="str">
        <f>IFERROR(__xludf.DUMMYFUNCTION("""COMPUTED_VALUE"""),"LHN;
MHN")</f>
        <v>LHN;
MHN</v>
      </c>
      <c r="T2140" s="42" t="str">
        <f>IFERROR(__xludf.DUMMYFUNCTION("""COMPUTED_VALUE"""),"THM")</f>
        <v>THM</v>
      </c>
      <c r="U2140" s="42" t="b">
        <f>IFERROR(__xludf.DUMMYFUNCTION("""COMPUTED_VALUE"""),FALSE)</f>
        <v>0</v>
      </c>
      <c r="V2140" s="42"/>
      <c r="W2140" s="42"/>
      <c r="X2140" s="42"/>
      <c r="Y2140" s="42" t="str">
        <f>IFERROR(__xludf.DUMMYFUNCTION("""COMPUTED_VALUE"""),"the striosomes could have a powerful influence over what is learned through the action of basal ganglia-based circuits related to reinforcement-based learning (Eblen and Graybiel, 1995; Graybiel, 2008).")</f>
        <v>the striosomes could have a powerful influence over what is learned through the action of basal ganglia-based circuits related to reinforcement-based learning (Eblen and Graybiel, 1995; Graybiel, 2008).</v>
      </c>
      <c r="Z2140" s="42"/>
      <c r="AA2140" s="42"/>
      <c r="AB2140" s="42" t="str">
        <f>IFERROR(__xludf.DUMMYFUNCTION("""COMPUTED_VALUE"""),"allen institute")</f>
        <v>allen institute</v>
      </c>
      <c r="AC2140" s="42" t="str">
        <f>IFERROR(__xludf.DUMMYFUNCTION("""COMPUTED_VALUE"""),"DHBA")</f>
        <v>DHBA</v>
      </c>
      <c r="AD2140" s="42"/>
      <c r="AE2140" s="42"/>
      <c r="AF2140" s="9"/>
      <c r="AG2140" s="9"/>
      <c r="AH2140" s="42"/>
      <c r="AI2140" s="42"/>
      <c r="AJ2140" s="42"/>
      <c r="AK2140" s="42"/>
      <c r="AL2140" s="42"/>
      <c r="AM2140" s="42"/>
      <c r="AN2140" s="42"/>
      <c r="AO2140" s="63" t="str">
        <f>IFERROR(__xludf.DUMMYFUNCTION("IF(ISBLANK(A2140),,IF(ISBLANK(S2140), A2140&amp;"";"", TEXTJOIN(CHAR(10), TRUE, A2140&amp;"";"", ARRAYFORMULA(VLOOKUP(SPLIT(S2140, "";"" &amp; CHAR(10)), $A:$AO, 41, FALSE)))))"),"HN;
LHN;
LHNmc;
LHNpc;
MHN;")</f>
        <v>HN;
LHN;
LHNmc;
LHNpc;
MHN;</v>
      </c>
      <c r="AP2140" s="89"/>
    </row>
    <row r="2141">
      <c r="A2141" s="151" t="str">
        <f>IFERROR(__xludf.DUMMYFUNCTION("""COMPUTED_VALUE"""),"LHN")</f>
        <v>LHN</v>
      </c>
      <c r="B2141" s="42" t="str">
        <f>IFERROR(__xludf.DUMMYFUNCTION("""COMPUTED_VALUE"""),"DHBA")</f>
        <v>DHBA</v>
      </c>
      <c r="C2141" s="42" t="str">
        <f>IFERROR(__xludf.DUMMYFUNCTION("""COMPUTED_VALUE"""),"lateral habenular nucleus")</f>
        <v>lateral habenular nucleus</v>
      </c>
      <c r="D2141" s="42">
        <f>IFERROR(__xludf.DUMMYFUNCTION("""COMPUTED_VALUE"""),2024.0)</f>
        <v>2024</v>
      </c>
      <c r="E2141" s="39" t="str">
        <f>IFERROR(__xludf.DUMMYFUNCTION("""COMPUTED_VALUE"""),"lateral habenular nucleus")</f>
        <v>lateral habenular nucleus</v>
      </c>
      <c r="F2141" s="9" t="str">
        <f>IFERROR(__xludf.DUMMYFUNCTION("""COMPUTED_VALUE"""),"Br")</f>
        <v>Br</v>
      </c>
      <c r="G2141" s="9" t="str">
        <f>IFERROR(__xludf.DUMMYFUNCTION("""COMPUTED_VALUE"""),"F")</f>
        <v>F</v>
      </c>
      <c r="H2141" s="9" t="str">
        <f>IFERROR(__xludf.DUMMYFUNCTION("""COMPUTED_VALUE"""),"FGM")</f>
        <v>FGM</v>
      </c>
      <c r="I2141" s="9" t="str">
        <f>IFERROR(__xludf.DUMMYFUNCTION("""COMPUTED_VALUE"""),"Die")</f>
        <v>Die</v>
      </c>
      <c r="J2141" s="9" t="str">
        <f>IFERROR(__xludf.DUMMYFUNCTION("""COMPUTED_VALUE"""),"THM")</f>
        <v>THM</v>
      </c>
      <c r="K2141" s="9" t="str">
        <f>IFERROR(__xludf.DUMMYFUNCTION("""COMPUTED_VALUE"""),"ETH")</f>
        <v>ETH</v>
      </c>
      <c r="L2141" s="9" t="str">
        <f>IFERROR(__xludf.DUMMYFUNCTION("""COMPUTED_VALUE"""),"HN")</f>
        <v>HN</v>
      </c>
      <c r="M2141" s="9" t="str">
        <f>IFERROR(__xludf.DUMMYFUNCTION("""COMPUTED_VALUE"""),"LHN")</f>
        <v>LHN</v>
      </c>
      <c r="N2141" s="9"/>
      <c r="O2141" s="9"/>
      <c r="P2141" s="9"/>
      <c r="Q2141" s="9"/>
      <c r="R2141" s="9"/>
      <c r="S2141" s="42" t="str">
        <f>IFERROR(__xludf.DUMMYFUNCTION("""COMPUTED_VALUE"""),"LHNmc;
LHNpc")</f>
        <v>LHNmc;
LHNpc</v>
      </c>
      <c r="T2141" s="42"/>
      <c r="U2141" s="42" t="b">
        <f>IFERROR(__xludf.DUMMYFUNCTION("""COMPUTED_VALUE"""),FALSE)</f>
        <v>0</v>
      </c>
      <c r="V2141" s="42"/>
      <c r="W2141" s="42"/>
      <c r="X2141" s="42"/>
      <c r="Y2141" s="42"/>
      <c r="Z2141" s="42"/>
      <c r="AA2141" s="42"/>
      <c r="AB2141" s="42" t="str">
        <f>IFERROR(__xludf.DUMMYFUNCTION("""COMPUTED_VALUE"""),"allen institute")</f>
        <v>allen institute</v>
      </c>
      <c r="AC2141" s="42" t="str">
        <f>IFERROR(__xludf.DUMMYFUNCTION("""COMPUTED_VALUE"""),"DHBA")</f>
        <v>DHBA</v>
      </c>
      <c r="AD2141" s="42"/>
      <c r="AE2141" s="42"/>
      <c r="AF2141" s="9"/>
      <c r="AG2141" s="9"/>
      <c r="AH2141" s="42"/>
      <c r="AI2141" s="42"/>
      <c r="AJ2141" s="42"/>
      <c r="AK2141" s="42"/>
      <c r="AL2141" s="42"/>
      <c r="AM2141" s="42"/>
      <c r="AN2141" s="42"/>
      <c r="AO2141" s="63" t="str">
        <f>IFERROR(__xludf.DUMMYFUNCTION("IF(ISBLANK(A2141),,IF(ISBLANK(S2141), A2141&amp;"";"", TEXTJOIN(CHAR(10), TRUE, A2141&amp;"";"", ARRAYFORMULA(VLOOKUP(SPLIT(S2141, "";"" &amp; CHAR(10)), $A:$AO, 41, FALSE)))))"),"LHN;
LHNmc;
LHNpc;")</f>
        <v>LHN;
LHNmc;
LHNpc;</v>
      </c>
      <c r="AP2141" s="89"/>
    </row>
    <row r="2142">
      <c r="A2142" s="151" t="str">
        <f>IFERROR(__xludf.DUMMYFUNCTION("""COMPUTED_VALUE"""),"LHNmc")</f>
        <v>LHNmc</v>
      </c>
      <c r="B2142" s="42" t="str">
        <f>IFERROR(__xludf.DUMMYFUNCTION("""COMPUTED_VALUE"""),"DHBA")</f>
        <v>DHBA</v>
      </c>
      <c r="C2142" s="42" t="str">
        <f>IFERROR(__xludf.DUMMYFUNCTION("""COMPUTED_VALUE"""),"magnocellular division of lateral habenular nucleus")</f>
        <v>magnocellular division of lateral habenular nucleus</v>
      </c>
      <c r="D2142" s="42">
        <f>IFERROR(__xludf.DUMMYFUNCTION("""COMPUTED_VALUE"""),2025.0)</f>
        <v>2025</v>
      </c>
      <c r="E2142" s="39" t="str">
        <f>IFERROR(__xludf.DUMMYFUNCTION("""COMPUTED_VALUE"""),"magnocellular division of lateral habenular nucleus")</f>
        <v>magnocellular division of lateral habenular nucleus</v>
      </c>
      <c r="F2142" s="9" t="str">
        <f>IFERROR(__xludf.DUMMYFUNCTION("""COMPUTED_VALUE"""),"Br")</f>
        <v>Br</v>
      </c>
      <c r="G2142" s="9" t="str">
        <f>IFERROR(__xludf.DUMMYFUNCTION("""COMPUTED_VALUE"""),"F")</f>
        <v>F</v>
      </c>
      <c r="H2142" s="9" t="str">
        <f>IFERROR(__xludf.DUMMYFUNCTION("""COMPUTED_VALUE"""),"FGM")</f>
        <v>FGM</v>
      </c>
      <c r="I2142" s="9" t="str">
        <f>IFERROR(__xludf.DUMMYFUNCTION("""COMPUTED_VALUE"""),"Die")</f>
        <v>Die</v>
      </c>
      <c r="J2142" s="9" t="str">
        <f>IFERROR(__xludf.DUMMYFUNCTION("""COMPUTED_VALUE"""),"THM")</f>
        <v>THM</v>
      </c>
      <c r="K2142" s="9" t="str">
        <f>IFERROR(__xludf.DUMMYFUNCTION("""COMPUTED_VALUE"""),"ETH")</f>
        <v>ETH</v>
      </c>
      <c r="L2142" s="9" t="str">
        <f>IFERROR(__xludf.DUMMYFUNCTION("""COMPUTED_VALUE"""),"HN")</f>
        <v>HN</v>
      </c>
      <c r="M2142" s="9" t="str">
        <f>IFERROR(__xludf.DUMMYFUNCTION("""COMPUTED_VALUE"""),"LHN")</f>
        <v>LHN</v>
      </c>
      <c r="N2142" s="9" t="str">
        <f>IFERROR(__xludf.DUMMYFUNCTION("""COMPUTED_VALUE"""),"LHNmc")</f>
        <v>LHNmc</v>
      </c>
      <c r="O2142" s="9"/>
      <c r="P2142" s="9"/>
      <c r="Q2142" s="9"/>
      <c r="R2142" s="9"/>
      <c r="S2142" s="42"/>
      <c r="T2142" s="42"/>
      <c r="U2142" s="42"/>
      <c r="V2142" s="42"/>
      <c r="W2142" s="42"/>
      <c r="X2142" s="42"/>
      <c r="Y2142" s="42"/>
      <c r="Z2142" s="42"/>
      <c r="AA2142" s="42"/>
      <c r="AB2142" s="42" t="str">
        <f>IFERROR(__xludf.DUMMYFUNCTION("""COMPUTED_VALUE"""),"allen institute")</f>
        <v>allen institute</v>
      </c>
      <c r="AC2142" s="42" t="str">
        <f>IFERROR(__xludf.DUMMYFUNCTION("""COMPUTED_VALUE"""),"DHBA")</f>
        <v>DHBA</v>
      </c>
      <c r="AD2142" s="42"/>
      <c r="AE2142" s="42"/>
      <c r="AF2142" s="9"/>
      <c r="AG2142" s="9"/>
      <c r="AH2142" s="42"/>
      <c r="AI2142" s="42"/>
      <c r="AJ2142" s="42"/>
      <c r="AK2142" s="42"/>
      <c r="AL2142" s="42"/>
      <c r="AM2142" s="42"/>
      <c r="AN2142" s="42"/>
      <c r="AO2142" s="63" t="str">
        <f>IFERROR(__xludf.DUMMYFUNCTION("IF(ISBLANK(A2142),,IF(ISBLANK(S2142), A2142&amp;"";"", TEXTJOIN(CHAR(10), TRUE, A2142&amp;"";"", ARRAYFORMULA(VLOOKUP(SPLIT(S2142, "";"" &amp; CHAR(10)), $A:$AO, 41, FALSE)))))"),"LHNmc;")</f>
        <v>LHNmc;</v>
      </c>
      <c r="AP2142" s="89"/>
    </row>
    <row r="2143">
      <c r="A2143" s="151" t="str">
        <f>IFERROR(__xludf.DUMMYFUNCTION("""COMPUTED_VALUE"""),"LHNpc")</f>
        <v>LHNpc</v>
      </c>
      <c r="B2143" s="42" t="str">
        <f>IFERROR(__xludf.DUMMYFUNCTION("""COMPUTED_VALUE"""),"DHBA")</f>
        <v>DHBA</v>
      </c>
      <c r="C2143" s="42" t="str">
        <f>IFERROR(__xludf.DUMMYFUNCTION("""COMPUTED_VALUE"""),"parvicellular division of lateral habenular nucleus")</f>
        <v>parvicellular division of lateral habenular nucleus</v>
      </c>
      <c r="D2143" s="42">
        <f>IFERROR(__xludf.DUMMYFUNCTION("""COMPUTED_VALUE"""),2026.0)</f>
        <v>2026</v>
      </c>
      <c r="E2143" s="39" t="str">
        <f>IFERROR(__xludf.DUMMYFUNCTION("""COMPUTED_VALUE"""),"parvicellular division of lateral habenular nucleus")</f>
        <v>parvicellular division of lateral habenular nucleus</v>
      </c>
      <c r="F2143" s="9" t="str">
        <f>IFERROR(__xludf.DUMMYFUNCTION("""COMPUTED_VALUE"""),"Br")</f>
        <v>Br</v>
      </c>
      <c r="G2143" s="9" t="str">
        <f>IFERROR(__xludf.DUMMYFUNCTION("""COMPUTED_VALUE"""),"F")</f>
        <v>F</v>
      </c>
      <c r="H2143" s="9" t="str">
        <f>IFERROR(__xludf.DUMMYFUNCTION("""COMPUTED_VALUE"""),"FGM")</f>
        <v>FGM</v>
      </c>
      <c r="I2143" s="9" t="str">
        <f>IFERROR(__xludf.DUMMYFUNCTION("""COMPUTED_VALUE"""),"Die")</f>
        <v>Die</v>
      </c>
      <c r="J2143" s="9" t="str">
        <f>IFERROR(__xludf.DUMMYFUNCTION("""COMPUTED_VALUE"""),"THM")</f>
        <v>THM</v>
      </c>
      <c r="K2143" s="9" t="str">
        <f>IFERROR(__xludf.DUMMYFUNCTION("""COMPUTED_VALUE"""),"ETH")</f>
        <v>ETH</v>
      </c>
      <c r="L2143" s="9" t="str">
        <f>IFERROR(__xludf.DUMMYFUNCTION("""COMPUTED_VALUE"""),"HN")</f>
        <v>HN</v>
      </c>
      <c r="M2143" s="9" t="str">
        <f>IFERROR(__xludf.DUMMYFUNCTION("""COMPUTED_VALUE"""),"LHN")</f>
        <v>LHN</v>
      </c>
      <c r="N2143" s="9" t="str">
        <f>IFERROR(__xludf.DUMMYFUNCTION("""COMPUTED_VALUE"""),"LHNpc")</f>
        <v>LHNpc</v>
      </c>
      <c r="O2143" s="9"/>
      <c r="P2143" s="9"/>
      <c r="Q2143" s="9"/>
      <c r="R2143" s="9"/>
      <c r="S2143" s="42"/>
      <c r="T2143" s="42"/>
      <c r="U2143" s="42"/>
      <c r="V2143" s="42"/>
      <c r="W2143" s="42"/>
      <c r="X2143" s="42"/>
      <c r="Y2143" s="42"/>
      <c r="Z2143" s="42"/>
      <c r="AA2143" s="42"/>
      <c r="AB2143" s="42" t="str">
        <f>IFERROR(__xludf.DUMMYFUNCTION("""COMPUTED_VALUE"""),"allen institute")</f>
        <v>allen institute</v>
      </c>
      <c r="AC2143" s="42" t="str">
        <f>IFERROR(__xludf.DUMMYFUNCTION("""COMPUTED_VALUE"""),"DHBA")</f>
        <v>DHBA</v>
      </c>
      <c r="AD2143" s="42"/>
      <c r="AE2143" s="42"/>
      <c r="AF2143" s="9"/>
      <c r="AG2143" s="9"/>
      <c r="AH2143" s="42"/>
      <c r="AI2143" s="42"/>
      <c r="AJ2143" s="42"/>
      <c r="AK2143" s="42"/>
      <c r="AL2143" s="42"/>
      <c r="AM2143" s="42"/>
      <c r="AN2143" s="42"/>
      <c r="AO2143" s="63" t="str">
        <f>IFERROR(__xludf.DUMMYFUNCTION("IF(ISBLANK(A2143),,IF(ISBLANK(S2143), A2143&amp;"";"", TEXTJOIN(CHAR(10), TRUE, A2143&amp;"";"", ARRAYFORMULA(VLOOKUP(SPLIT(S2143, "";"" &amp; CHAR(10)), $A:$AO, 41, FALSE)))))"),"LHNpc;")</f>
        <v>LHNpc;</v>
      </c>
      <c r="AP2143" s="89"/>
    </row>
    <row r="2144">
      <c r="A2144" s="151" t="str">
        <f>IFERROR(__xludf.DUMMYFUNCTION("""COMPUTED_VALUE"""),"MHN")</f>
        <v>MHN</v>
      </c>
      <c r="B2144" s="42" t="str">
        <f>IFERROR(__xludf.DUMMYFUNCTION("""COMPUTED_VALUE"""),"DHBA")</f>
        <v>DHBA</v>
      </c>
      <c r="C2144" s="42" t="str">
        <f>IFERROR(__xludf.DUMMYFUNCTION("""COMPUTED_VALUE"""),"medial habenular nucleus")</f>
        <v>medial habenular nucleus</v>
      </c>
      <c r="D2144" s="42">
        <f>IFERROR(__xludf.DUMMYFUNCTION("""COMPUTED_VALUE"""),2027.0)</f>
        <v>2027</v>
      </c>
      <c r="E2144" s="39" t="str">
        <f>IFERROR(__xludf.DUMMYFUNCTION("""COMPUTED_VALUE"""),"medial habenular nucleus")</f>
        <v>medial habenular nucleus</v>
      </c>
      <c r="F2144" s="9" t="str">
        <f>IFERROR(__xludf.DUMMYFUNCTION("""COMPUTED_VALUE"""),"Br")</f>
        <v>Br</v>
      </c>
      <c r="G2144" s="9" t="str">
        <f>IFERROR(__xludf.DUMMYFUNCTION("""COMPUTED_VALUE"""),"F")</f>
        <v>F</v>
      </c>
      <c r="H2144" s="9" t="str">
        <f>IFERROR(__xludf.DUMMYFUNCTION("""COMPUTED_VALUE"""),"FGM")</f>
        <v>FGM</v>
      </c>
      <c r="I2144" s="9" t="str">
        <f>IFERROR(__xludf.DUMMYFUNCTION("""COMPUTED_VALUE"""),"Die")</f>
        <v>Die</v>
      </c>
      <c r="J2144" s="9" t="str">
        <f>IFERROR(__xludf.DUMMYFUNCTION("""COMPUTED_VALUE"""),"THM")</f>
        <v>THM</v>
      </c>
      <c r="K2144" s="9" t="str">
        <f>IFERROR(__xludf.DUMMYFUNCTION("""COMPUTED_VALUE"""),"ETH")</f>
        <v>ETH</v>
      </c>
      <c r="L2144" s="9" t="str">
        <f>IFERROR(__xludf.DUMMYFUNCTION("""COMPUTED_VALUE"""),"HN")</f>
        <v>HN</v>
      </c>
      <c r="M2144" s="9" t="str">
        <f>IFERROR(__xludf.DUMMYFUNCTION("""COMPUTED_VALUE"""),"MHN")</f>
        <v>MHN</v>
      </c>
      <c r="N2144" s="9"/>
      <c r="O2144" s="9"/>
      <c r="P2144" s="9"/>
      <c r="Q2144" s="9"/>
      <c r="R2144" s="9"/>
      <c r="S2144" s="42"/>
      <c r="T2144" s="42"/>
      <c r="U2144" s="42"/>
      <c r="V2144" s="42"/>
      <c r="W2144" s="42"/>
      <c r="X2144" s="42"/>
      <c r="Y2144" s="42"/>
      <c r="Z2144" s="42"/>
      <c r="AA2144" s="42"/>
      <c r="AB2144" s="42" t="str">
        <f>IFERROR(__xludf.DUMMYFUNCTION("""COMPUTED_VALUE"""),"allen institute")</f>
        <v>allen institute</v>
      </c>
      <c r="AC2144" s="42" t="str">
        <f>IFERROR(__xludf.DUMMYFUNCTION("""COMPUTED_VALUE"""),"DHBA")</f>
        <v>DHBA</v>
      </c>
      <c r="AD2144" s="42"/>
      <c r="AE2144" s="42"/>
      <c r="AF2144" s="9"/>
      <c r="AG2144" s="9"/>
      <c r="AH2144" s="42"/>
      <c r="AI2144" s="42"/>
      <c r="AJ2144" s="42"/>
      <c r="AK2144" s="42"/>
      <c r="AL2144" s="42"/>
      <c r="AM2144" s="42"/>
      <c r="AN2144" s="42"/>
      <c r="AO2144" s="63" t="str">
        <f>IFERROR(__xludf.DUMMYFUNCTION("IF(ISBLANK(A2144),,IF(ISBLANK(S2144), A2144&amp;"";"", TEXTJOIN(CHAR(10), TRUE, A2144&amp;"";"", ARRAYFORMULA(VLOOKUP(SPLIT(S2144, "";"" &amp; CHAR(10)), $A:$AO, 41, FALSE)))))"),"MHN;")</f>
        <v>MHN;</v>
      </c>
      <c r="AP2144" s="89"/>
    </row>
    <row r="2145">
      <c r="A2145" s="151" t="str">
        <f>IFERROR(__xludf.DUMMYFUNCTION("""COMPUTED_VALUE"""),"PaV")</f>
        <v>PaV</v>
      </c>
      <c r="B2145" s="42" t="str">
        <f>IFERROR(__xludf.DUMMYFUNCTION("""COMPUTED_VALUE"""),"DHBA")</f>
        <v>DHBA</v>
      </c>
      <c r="C2145" s="42" t="str">
        <f>IFERROR(__xludf.DUMMYFUNCTION("""COMPUTED_VALUE"""),"Paraventricular nucleus")</f>
        <v>Paraventricular nucleus</v>
      </c>
      <c r="D2145" s="42">
        <f>IFERROR(__xludf.DUMMYFUNCTION("""COMPUTED_VALUE"""),2028.0)</f>
        <v>2028</v>
      </c>
      <c r="E2145" s="39" t="str">
        <f>IFERROR(__xludf.DUMMYFUNCTION("""COMPUTED_VALUE"""),"paraventricular nucleus")</f>
        <v>paraventricular nucleus</v>
      </c>
      <c r="F2145" s="9" t="str">
        <f>IFERROR(__xludf.DUMMYFUNCTION("""COMPUTED_VALUE"""),"Br")</f>
        <v>Br</v>
      </c>
      <c r="G2145" s="9" t="str">
        <f>IFERROR(__xludf.DUMMYFUNCTION("""COMPUTED_VALUE"""),"F")</f>
        <v>F</v>
      </c>
      <c r="H2145" s="9" t="str">
        <f>IFERROR(__xludf.DUMMYFUNCTION("""COMPUTED_VALUE"""),"FGM")</f>
        <v>FGM</v>
      </c>
      <c r="I2145" s="9" t="str">
        <f>IFERROR(__xludf.DUMMYFUNCTION("""COMPUTED_VALUE"""),"Die")</f>
        <v>Die</v>
      </c>
      <c r="J2145" s="9" t="str">
        <f>IFERROR(__xludf.DUMMYFUNCTION("""COMPUTED_VALUE"""),"THM")</f>
        <v>THM</v>
      </c>
      <c r="K2145" s="9" t="str">
        <f>IFERROR(__xludf.DUMMYFUNCTION("""COMPUTED_VALUE"""),"ETH")</f>
        <v>ETH</v>
      </c>
      <c r="L2145" s="9" t="str">
        <f>IFERROR(__xludf.DUMMYFUNCTION("""COMPUTED_VALUE"""),"PaV")</f>
        <v>PaV</v>
      </c>
      <c r="M2145" s="9"/>
      <c r="N2145" s="9"/>
      <c r="O2145" s="9"/>
      <c r="P2145" s="9"/>
      <c r="Q2145" s="9"/>
      <c r="R2145" s="9"/>
      <c r="S2145" s="42" t="str">
        <f>IFERROR(__xludf.DUMMYFUNCTION("""COMPUTED_VALUE"""),"PaVr;
PaVc")</f>
        <v>PaVr;
PaVc</v>
      </c>
      <c r="T2145" s="42"/>
      <c r="U2145" s="159" t="b">
        <f>IFERROR(__xludf.DUMMYFUNCTION("""COMPUTED_VALUE"""),FALSE)</f>
        <v>0</v>
      </c>
      <c r="V2145" s="42"/>
      <c r="W2145" s="42"/>
      <c r="X2145" s="42"/>
      <c r="Y2145" s="42"/>
      <c r="Z2145" s="42"/>
      <c r="AA2145" s="42"/>
      <c r="AB2145" s="42" t="str">
        <f>IFERROR(__xludf.DUMMYFUNCTION("""COMPUTED_VALUE"""),"allen institute")</f>
        <v>allen institute</v>
      </c>
      <c r="AC2145" s="42" t="str">
        <f>IFERROR(__xludf.DUMMYFUNCTION("""COMPUTED_VALUE"""),"DHBA")</f>
        <v>DHBA</v>
      </c>
      <c r="AD2145" s="42"/>
      <c r="AE2145" s="42"/>
      <c r="AF2145" s="9"/>
      <c r="AG2145" s="9"/>
      <c r="AH2145" s="42"/>
      <c r="AI2145" s="42"/>
      <c r="AJ2145" s="42"/>
      <c r="AK2145" s="42"/>
      <c r="AL2145" s="42"/>
      <c r="AM2145" s="42"/>
      <c r="AN2145" s="42"/>
      <c r="AO2145" s="63" t="str">
        <f>IFERROR(__xludf.DUMMYFUNCTION("IF(ISBLANK(A2145),,IF(ISBLANK(S2145), A2145&amp;"";"", TEXTJOIN(CHAR(10), TRUE, A2145&amp;"";"", ARRAYFORMULA(VLOOKUP(SPLIT(S2145, "";"" &amp; CHAR(10)), $A:$AO, 41, FALSE)))))"),"PaV;
PaVr;
PaVc;")</f>
        <v>PaV;
PaVr;
PaVc;</v>
      </c>
      <c r="AP2145" s="89"/>
    </row>
    <row r="2146">
      <c r="A2146" s="151" t="str">
        <f>IFERROR(__xludf.DUMMYFUNCTION("""COMPUTED_VALUE"""),"PaVr")</f>
        <v>PaVr</v>
      </c>
      <c r="B2146" s="42" t="str">
        <f>IFERROR(__xludf.DUMMYFUNCTION("""COMPUTED_VALUE"""),"DHBA")</f>
        <v>DHBA</v>
      </c>
      <c r="C2146" s="42" t="str">
        <f>IFERROR(__xludf.DUMMYFUNCTION("""COMPUTED_VALUE"""),"rostral subdivision of paraventricular nucleus")</f>
        <v>rostral subdivision of paraventricular nucleus</v>
      </c>
      <c r="D2146" s="42">
        <f>IFERROR(__xludf.DUMMYFUNCTION("""COMPUTED_VALUE"""),2029.0)</f>
        <v>2029</v>
      </c>
      <c r="E2146" s="39" t="str">
        <f>IFERROR(__xludf.DUMMYFUNCTION("""COMPUTED_VALUE"""),"rostral subdivision of paraventricular nucleus")</f>
        <v>rostral subdivision of paraventricular nucleus</v>
      </c>
      <c r="F2146" s="9" t="str">
        <f>IFERROR(__xludf.DUMMYFUNCTION("""COMPUTED_VALUE"""),"Br")</f>
        <v>Br</v>
      </c>
      <c r="G2146" s="9" t="str">
        <f>IFERROR(__xludf.DUMMYFUNCTION("""COMPUTED_VALUE"""),"F")</f>
        <v>F</v>
      </c>
      <c r="H2146" s="9" t="str">
        <f>IFERROR(__xludf.DUMMYFUNCTION("""COMPUTED_VALUE"""),"FGM")</f>
        <v>FGM</v>
      </c>
      <c r="I2146" s="9" t="str">
        <f>IFERROR(__xludf.DUMMYFUNCTION("""COMPUTED_VALUE"""),"Die")</f>
        <v>Die</v>
      </c>
      <c r="J2146" s="9" t="str">
        <f>IFERROR(__xludf.DUMMYFUNCTION("""COMPUTED_VALUE"""),"THM")</f>
        <v>THM</v>
      </c>
      <c r="K2146" s="9" t="str">
        <f>IFERROR(__xludf.DUMMYFUNCTION("""COMPUTED_VALUE"""),"ETH")</f>
        <v>ETH</v>
      </c>
      <c r="L2146" s="9" t="str">
        <f>IFERROR(__xludf.DUMMYFUNCTION("""COMPUTED_VALUE"""),"PaV")</f>
        <v>PaV</v>
      </c>
      <c r="M2146" s="9" t="str">
        <f>IFERROR(__xludf.DUMMYFUNCTION("""COMPUTED_VALUE"""),"PaVr")</f>
        <v>PaVr</v>
      </c>
      <c r="N2146" s="9"/>
      <c r="O2146" s="9"/>
      <c r="P2146" s="9"/>
      <c r="Q2146" s="9"/>
      <c r="R2146" s="9"/>
      <c r="S2146" s="42"/>
      <c r="T2146" s="42"/>
      <c r="U2146" s="159"/>
      <c r="V2146" s="42"/>
      <c r="W2146" s="42"/>
      <c r="X2146" s="42"/>
      <c r="Y2146" s="42"/>
      <c r="Z2146" s="42"/>
      <c r="AA2146" s="42"/>
      <c r="AB2146" s="42" t="str">
        <f>IFERROR(__xludf.DUMMYFUNCTION("""COMPUTED_VALUE"""),"allen institute")</f>
        <v>allen institute</v>
      </c>
      <c r="AC2146" s="42" t="str">
        <f>IFERROR(__xludf.DUMMYFUNCTION("""COMPUTED_VALUE"""),"DHBA")</f>
        <v>DHBA</v>
      </c>
      <c r="AD2146" s="42"/>
      <c r="AE2146" s="42"/>
      <c r="AF2146" s="9"/>
      <c r="AG2146" s="9"/>
      <c r="AH2146" s="42"/>
      <c r="AI2146" s="42"/>
      <c r="AJ2146" s="42"/>
      <c r="AK2146" s="42"/>
      <c r="AL2146" s="42"/>
      <c r="AM2146" s="42"/>
      <c r="AN2146" s="42"/>
      <c r="AO2146" s="63" t="str">
        <f>IFERROR(__xludf.DUMMYFUNCTION("IF(ISBLANK(A2146),,IF(ISBLANK(S2146), A2146&amp;"";"", TEXTJOIN(CHAR(10), TRUE, A2146&amp;"";"", ARRAYFORMULA(VLOOKUP(SPLIT(S2146, "";"" &amp; CHAR(10)), $A:$AO, 41, FALSE)))))"),"PaVr;")</f>
        <v>PaVr;</v>
      </c>
      <c r="AP2146" s="89"/>
    </row>
    <row r="2147">
      <c r="A2147" s="151" t="str">
        <f>IFERROR(__xludf.DUMMYFUNCTION("""COMPUTED_VALUE"""),"PaVc")</f>
        <v>PaVc</v>
      </c>
      <c r="B2147" s="42" t="str">
        <f>IFERROR(__xludf.DUMMYFUNCTION("""COMPUTED_VALUE"""),"DHBA")</f>
        <v>DHBA</v>
      </c>
      <c r="C2147" s="42" t="str">
        <f>IFERROR(__xludf.DUMMYFUNCTION("""COMPUTED_VALUE"""),"caudal subdivision of paraventricular nucleus")</f>
        <v>caudal subdivision of paraventricular nucleus</v>
      </c>
      <c r="D2147" s="42">
        <f>IFERROR(__xludf.DUMMYFUNCTION("""COMPUTED_VALUE"""),2030.0)</f>
        <v>2030</v>
      </c>
      <c r="E2147" s="39" t="str">
        <f>IFERROR(__xludf.DUMMYFUNCTION("""COMPUTED_VALUE"""),"caudal subdivision of paraventricular nucleus")</f>
        <v>caudal subdivision of paraventricular nucleus</v>
      </c>
      <c r="F2147" s="9" t="str">
        <f>IFERROR(__xludf.DUMMYFUNCTION("""COMPUTED_VALUE"""),"Br")</f>
        <v>Br</v>
      </c>
      <c r="G2147" s="9" t="str">
        <f>IFERROR(__xludf.DUMMYFUNCTION("""COMPUTED_VALUE"""),"F")</f>
        <v>F</v>
      </c>
      <c r="H2147" s="9" t="str">
        <f>IFERROR(__xludf.DUMMYFUNCTION("""COMPUTED_VALUE"""),"FGM")</f>
        <v>FGM</v>
      </c>
      <c r="I2147" s="9" t="str">
        <f>IFERROR(__xludf.DUMMYFUNCTION("""COMPUTED_VALUE"""),"Die")</f>
        <v>Die</v>
      </c>
      <c r="J2147" s="9" t="str">
        <f>IFERROR(__xludf.DUMMYFUNCTION("""COMPUTED_VALUE"""),"THM")</f>
        <v>THM</v>
      </c>
      <c r="K2147" s="9" t="str">
        <f>IFERROR(__xludf.DUMMYFUNCTION("""COMPUTED_VALUE"""),"ETH")</f>
        <v>ETH</v>
      </c>
      <c r="L2147" s="9" t="str">
        <f>IFERROR(__xludf.DUMMYFUNCTION("""COMPUTED_VALUE"""),"PaV")</f>
        <v>PaV</v>
      </c>
      <c r="M2147" s="9" t="str">
        <f>IFERROR(__xludf.DUMMYFUNCTION("""COMPUTED_VALUE"""),"PaVc")</f>
        <v>PaVc</v>
      </c>
      <c r="N2147" s="9"/>
      <c r="O2147" s="9"/>
      <c r="P2147" s="9"/>
      <c r="Q2147" s="9"/>
      <c r="R2147" s="9"/>
      <c r="S2147" s="42"/>
      <c r="T2147" s="42"/>
      <c r="U2147" s="42"/>
      <c r="V2147" s="42"/>
      <c r="W2147" s="42"/>
      <c r="X2147" s="42"/>
      <c r="Y2147" s="42"/>
      <c r="Z2147" s="42"/>
      <c r="AA2147" s="42"/>
      <c r="AB2147" s="42" t="str">
        <f>IFERROR(__xludf.DUMMYFUNCTION("""COMPUTED_VALUE"""),"allen institute")</f>
        <v>allen institute</v>
      </c>
      <c r="AC2147" s="42" t="str">
        <f>IFERROR(__xludf.DUMMYFUNCTION("""COMPUTED_VALUE"""),"DHBA")</f>
        <v>DHBA</v>
      </c>
      <c r="AD2147" s="42"/>
      <c r="AE2147" s="42"/>
      <c r="AF2147" s="9"/>
      <c r="AG2147" s="9"/>
      <c r="AH2147" s="42"/>
      <c r="AI2147" s="42"/>
      <c r="AJ2147" s="42"/>
      <c r="AK2147" s="42"/>
      <c r="AL2147" s="42"/>
      <c r="AM2147" s="42"/>
      <c r="AN2147" s="42"/>
      <c r="AO2147" s="63" t="str">
        <f>IFERROR(__xludf.DUMMYFUNCTION("IF(ISBLANK(A2147),,IF(ISBLANK(S2147), A2147&amp;"";"", TEXTJOIN(CHAR(10), TRUE, A2147&amp;"";"", ARRAYFORMULA(VLOOKUP(SPLIT(S2147, "";"" &amp; CHAR(10)), $A:$AO, 41, FALSE)))))"),"PaVc;")</f>
        <v>PaVc;</v>
      </c>
      <c r="AP2147" s="89"/>
    </row>
    <row r="2148">
      <c r="A2148" s="151" t="str">
        <f>IFERROR(__xludf.DUMMYFUNCTION("""COMPUTED_VALUE"""),"Pin")</f>
        <v>Pin</v>
      </c>
      <c r="B2148" s="42" t="str">
        <f>IFERROR(__xludf.DUMMYFUNCTION("""COMPUTED_VALUE"""),"DHBA")</f>
        <v>DHBA</v>
      </c>
      <c r="C2148" s="42" t="str">
        <f>IFERROR(__xludf.DUMMYFUNCTION("""COMPUTED_VALUE"""),"pineal body")</f>
        <v>pineal body</v>
      </c>
      <c r="D2148" s="42">
        <f>IFERROR(__xludf.DUMMYFUNCTION("""COMPUTED_VALUE"""),2031.0)</f>
        <v>2031</v>
      </c>
      <c r="E2148" s="39" t="str">
        <f>IFERROR(__xludf.DUMMYFUNCTION("""COMPUTED_VALUE"""),"pineal body")</f>
        <v>pineal body</v>
      </c>
      <c r="F2148" s="9" t="str">
        <f>IFERROR(__xludf.DUMMYFUNCTION("""COMPUTED_VALUE"""),"Br")</f>
        <v>Br</v>
      </c>
      <c r="G2148" s="9" t="str">
        <f>IFERROR(__xludf.DUMMYFUNCTION("""COMPUTED_VALUE"""),"F")</f>
        <v>F</v>
      </c>
      <c r="H2148" s="9" t="str">
        <f>IFERROR(__xludf.DUMMYFUNCTION("""COMPUTED_VALUE"""),"FGM")</f>
        <v>FGM</v>
      </c>
      <c r="I2148" s="9" t="str">
        <f>IFERROR(__xludf.DUMMYFUNCTION("""COMPUTED_VALUE"""),"Die")</f>
        <v>Die</v>
      </c>
      <c r="J2148" s="9" t="str">
        <f>IFERROR(__xludf.DUMMYFUNCTION("""COMPUTED_VALUE"""),"THM")</f>
        <v>THM</v>
      </c>
      <c r="K2148" s="9" t="str">
        <f>IFERROR(__xludf.DUMMYFUNCTION("""COMPUTED_VALUE"""),"ETH")</f>
        <v>ETH</v>
      </c>
      <c r="L2148" s="9" t="str">
        <f>IFERROR(__xludf.DUMMYFUNCTION("""COMPUTED_VALUE"""),"Pin")</f>
        <v>Pin</v>
      </c>
      <c r="M2148" s="9"/>
      <c r="N2148" s="9"/>
      <c r="O2148" s="9"/>
      <c r="P2148" s="9"/>
      <c r="Q2148" s="9"/>
      <c r="R2148" s="9"/>
      <c r="S2148" s="42"/>
      <c r="T2148" s="42"/>
      <c r="U2148" s="42"/>
      <c r="V2148" s="42"/>
      <c r="W2148" s="42"/>
      <c r="X2148" s="42"/>
      <c r="Y2148" s="42"/>
      <c r="Z2148" s="42"/>
      <c r="AA2148" s="42"/>
      <c r="AB2148" s="42" t="str">
        <f>IFERROR(__xludf.DUMMYFUNCTION("""COMPUTED_VALUE"""),"allen institute")</f>
        <v>allen institute</v>
      </c>
      <c r="AC2148" s="42" t="str">
        <f>IFERROR(__xludf.DUMMYFUNCTION("""COMPUTED_VALUE"""),"DHBA")</f>
        <v>DHBA</v>
      </c>
      <c r="AD2148" s="42"/>
      <c r="AE2148" s="42"/>
      <c r="AF2148" s="9"/>
      <c r="AG2148" s="9"/>
      <c r="AH2148" s="42"/>
      <c r="AI2148" s="42"/>
      <c r="AJ2148" s="42"/>
      <c r="AK2148" s="42"/>
      <c r="AL2148" s="42"/>
      <c r="AM2148" s="42"/>
      <c r="AN2148" s="42"/>
      <c r="AO2148" s="63" t="str">
        <f>IFERROR(__xludf.DUMMYFUNCTION("IF(ISBLANK(A2148),,IF(ISBLANK(S2148), A2148&amp;"";"", TEXTJOIN(CHAR(10), TRUE, A2148&amp;"";"", ARRAYFORMULA(VLOOKUP(SPLIT(S2148, "";"" &amp; CHAR(10)), $A:$AO, 41, FALSE)))))"),"Pin;")</f>
        <v>Pin;</v>
      </c>
      <c r="AP2148" s="89"/>
    </row>
    <row r="2149">
      <c r="A2149" s="151" t="str">
        <f>IFERROR(__xludf.DUMMYFUNCTION("""COMPUTED_VALUE"""),"VTH")</f>
        <v>VTH</v>
      </c>
      <c r="B2149" s="42" t="str">
        <f>IFERROR(__xludf.DUMMYFUNCTION("""COMPUTED_VALUE"""),"DHBA")</f>
        <v>DHBA</v>
      </c>
      <c r="C2149" s="42" t="str">
        <f>IFERROR(__xludf.DUMMYFUNCTION("""COMPUTED_VALUE"""),"ventral thalamus")</f>
        <v>ventral thalamus</v>
      </c>
      <c r="D2149" s="42">
        <f>IFERROR(__xludf.DUMMYFUNCTION("""COMPUTED_VALUE"""),2032.0)</f>
        <v>2032</v>
      </c>
      <c r="E2149" s="39" t="str">
        <f>IFERROR(__xludf.DUMMYFUNCTION("""COMPUTED_VALUE"""),"ventral thalamus")</f>
        <v>ventral thalamus</v>
      </c>
      <c r="F2149" s="9" t="str">
        <f>IFERROR(__xludf.DUMMYFUNCTION("""COMPUTED_VALUE"""),"Br")</f>
        <v>Br</v>
      </c>
      <c r="G2149" s="9" t="str">
        <f>IFERROR(__xludf.DUMMYFUNCTION("""COMPUTED_VALUE"""),"F")</f>
        <v>F</v>
      </c>
      <c r="H2149" s="9" t="str">
        <f>IFERROR(__xludf.DUMMYFUNCTION("""COMPUTED_VALUE"""),"FGM")</f>
        <v>FGM</v>
      </c>
      <c r="I2149" s="9" t="str">
        <f>IFERROR(__xludf.DUMMYFUNCTION("""COMPUTED_VALUE"""),"Die")</f>
        <v>Die</v>
      </c>
      <c r="J2149" s="9" t="str">
        <f>IFERROR(__xludf.DUMMYFUNCTION("""COMPUTED_VALUE"""),"THM")</f>
        <v>THM</v>
      </c>
      <c r="K2149" s="9" t="str">
        <f>IFERROR(__xludf.DUMMYFUNCTION("""COMPUTED_VALUE"""),"VTH")</f>
        <v>VTH</v>
      </c>
      <c r="L2149" s="9"/>
      <c r="M2149" s="9"/>
      <c r="N2149" s="9"/>
      <c r="O2149" s="9"/>
      <c r="P2149" s="9"/>
      <c r="Q2149" s="9"/>
      <c r="R2149" s="9"/>
      <c r="S2149" s="42" t="str">
        <f>IFERROR(__xludf.DUMMYFUNCTION("""COMPUTED_VALUE"""),"FF;
ZI;
EnP;
PSTh")</f>
        <v>FF;
ZI;
EnP;
PSTh</v>
      </c>
      <c r="T2149" s="42"/>
      <c r="U2149" s="159" t="b">
        <f>IFERROR(__xludf.DUMMYFUNCTION("""COMPUTED_VALUE"""),FALSE)</f>
        <v>0</v>
      </c>
      <c r="V2149" s="42"/>
      <c r="W2149" s="42"/>
      <c r="X2149" s="42"/>
      <c r="Y2149" s="42"/>
      <c r="Z2149" s="42"/>
      <c r="AA2149" s="42"/>
      <c r="AB2149" s="42" t="str">
        <f>IFERROR(__xludf.DUMMYFUNCTION("""COMPUTED_VALUE"""),"allen institute")</f>
        <v>allen institute</v>
      </c>
      <c r="AC2149" s="42" t="str">
        <f>IFERROR(__xludf.DUMMYFUNCTION("""COMPUTED_VALUE"""),"DHBA")</f>
        <v>DHBA</v>
      </c>
      <c r="AD2149" s="42"/>
      <c r="AE2149" s="42"/>
      <c r="AF2149" s="9"/>
      <c r="AG2149" s="9"/>
      <c r="AH2149" s="42"/>
      <c r="AI2149" s="42"/>
      <c r="AJ2149" s="42"/>
      <c r="AK2149" s="42"/>
      <c r="AL2149" s="42"/>
      <c r="AM2149" s="42"/>
      <c r="AN2149" s="42"/>
      <c r="AO2149" s="63" t="str">
        <f>IFERROR(__xludf.DUMMYFUNCTION("IF(ISBLANK(A2149),,IF(ISBLANK(S2149), A2149&amp;"";"", TEXTJOIN(CHAR(10), TRUE, A2149&amp;"";"", ARRAYFORMULA(VLOOKUP(SPLIT(S2149, "";"" &amp; CHAR(10)), $A:$AO, 41, FALSE)))))"),"VTH;
FF;
FF_l;
FF_r;
ZI;
ZId;
ZIv;
EnP;
PSTh;")</f>
        <v>VTH;
FF;
FF_l;
FF_r;
ZI;
ZId;
ZIv;
EnP;
PSTh;</v>
      </c>
      <c r="AP2149" s="89"/>
    </row>
    <row r="2150">
      <c r="A2150" s="151" t="str">
        <f>IFERROR(__xludf.DUMMYFUNCTION("""COMPUTED_VALUE"""),"FF")</f>
        <v>FF</v>
      </c>
      <c r="B2150" s="42" t="str">
        <f>IFERROR(__xludf.DUMMYFUNCTION("""COMPUTED_VALUE"""),"DHBA")</f>
        <v>DHBA</v>
      </c>
      <c r="C2150" s="42" t="str">
        <f>IFERROR(__xludf.DUMMYFUNCTION("""COMPUTED_VALUE"""),"nucleus of the field of Forel")</f>
        <v>nucleus of the field of Forel</v>
      </c>
      <c r="D2150" s="42">
        <f>IFERROR(__xludf.DUMMYFUNCTION("""COMPUTED_VALUE"""),2033.0)</f>
        <v>2033</v>
      </c>
      <c r="E2150" s="39" t="str">
        <f>IFERROR(__xludf.DUMMYFUNCTION("""COMPUTED_VALUE"""),"nucleus of the field of Forel")</f>
        <v>nucleus of the field of Forel</v>
      </c>
      <c r="F2150" s="9" t="str">
        <f>IFERROR(__xludf.DUMMYFUNCTION("""COMPUTED_VALUE"""),"Br")</f>
        <v>Br</v>
      </c>
      <c r="G2150" s="9" t="str">
        <f>IFERROR(__xludf.DUMMYFUNCTION("""COMPUTED_VALUE"""),"F")</f>
        <v>F</v>
      </c>
      <c r="H2150" s="9" t="str">
        <f>IFERROR(__xludf.DUMMYFUNCTION("""COMPUTED_VALUE"""),"FGM")</f>
        <v>FGM</v>
      </c>
      <c r="I2150" s="9" t="str">
        <f>IFERROR(__xludf.DUMMYFUNCTION("""COMPUTED_VALUE"""),"Die")</f>
        <v>Die</v>
      </c>
      <c r="J2150" s="9" t="str">
        <f>IFERROR(__xludf.DUMMYFUNCTION("""COMPUTED_VALUE"""),"THM")</f>
        <v>THM</v>
      </c>
      <c r="K2150" s="9" t="str">
        <f>IFERROR(__xludf.DUMMYFUNCTION("""COMPUTED_VALUE"""),"VTH")</f>
        <v>VTH</v>
      </c>
      <c r="L2150" s="9" t="str">
        <f>IFERROR(__xludf.DUMMYFUNCTION("""COMPUTED_VALUE"""),"FF")</f>
        <v>FF</v>
      </c>
      <c r="M2150" s="9"/>
      <c r="N2150" s="9"/>
      <c r="O2150" s="9"/>
      <c r="P2150" s="9"/>
      <c r="Q2150" s="9"/>
      <c r="R2150" s="9"/>
      <c r="S2150" s="42" t="str">
        <f>IFERROR(__xludf.DUMMYFUNCTION("""COMPUTED_VALUE"""),"FF_l;
FF_r")</f>
        <v>FF_l;
FF_r</v>
      </c>
      <c r="T2150" s="42"/>
      <c r="U2150" s="42" t="b">
        <f>IFERROR(__xludf.DUMMYFUNCTION("""COMPUTED_VALUE"""),FALSE)</f>
        <v>0</v>
      </c>
      <c r="V2150" s="42"/>
      <c r="W2150" s="42" t="str">
        <f>IFERROR(__xludf.DUMMYFUNCTION("""COMPUTED_VALUE"""),"Excitatory")</f>
        <v>Excitatory</v>
      </c>
      <c r="X2150" s="42"/>
      <c r="Y2150" s="42"/>
      <c r="Z2150" s="42"/>
      <c r="AA2150" s="42"/>
      <c r="AB2150" s="42" t="str">
        <f>IFERROR(__xludf.DUMMYFUNCTION("""COMPUTED_VALUE"""),"allen institute")</f>
        <v>allen institute</v>
      </c>
      <c r="AC2150" s="42" t="str">
        <f>IFERROR(__xludf.DUMMYFUNCTION("""COMPUTED_VALUE"""),"DHBA")</f>
        <v>DHBA</v>
      </c>
      <c r="AD2150" s="42"/>
      <c r="AE2150" s="42"/>
      <c r="AF2150" s="9"/>
      <c r="AG2150" s="9"/>
      <c r="AH2150" s="42"/>
      <c r="AI2150" s="42"/>
      <c r="AJ2150" s="42"/>
      <c r="AK2150" s="42"/>
      <c r="AL2150" s="42"/>
      <c r="AM2150" s="42"/>
      <c r="AN2150" s="42"/>
      <c r="AO2150" s="63" t="str">
        <f>IFERROR(__xludf.DUMMYFUNCTION("IF(ISBLANK(A2150),,IF(ISBLANK(S2150), A2150&amp;"";"", TEXTJOIN(CHAR(10), TRUE, A2150&amp;"";"", ARRAYFORMULA(VLOOKUP(SPLIT(S2150, "";"" &amp; CHAR(10)), $A:$AO, 41, FALSE)))))"),"FF;
FF_l;
FF_r;")</f>
        <v>FF;
FF_l;
FF_r;</v>
      </c>
      <c r="AP2150" s="89"/>
    </row>
    <row r="2151">
      <c r="A2151" s="151" t="str">
        <f>IFERROR(__xludf.DUMMYFUNCTION("""COMPUTED_VALUE"""),"ZI")</f>
        <v>ZI</v>
      </c>
      <c r="B2151" s="42" t="str">
        <f>IFERROR(__xludf.DUMMYFUNCTION("""COMPUTED_VALUE"""),"DHBA")</f>
        <v>DHBA</v>
      </c>
      <c r="C2151" s="42" t="str">
        <f>IFERROR(__xludf.DUMMYFUNCTION("""COMPUTED_VALUE"""),"Zona inserta")</f>
        <v>Zona inserta</v>
      </c>
      <c r="D2151" s="42">
        <f>IFERROR(__xludf.DUMMYFUNCTION("""COMPUTED_VALUE"""),2034.0)</f>
        <v>2034</v>
      </c>
      <c r="E2151" s="39" t="str">
        <f>IFERROR(__xludf.DUMMYFUNCTION("""COMPUTED_VALUE"""),"zona incerta")</f>
        <v>zona incerta</v>
      </c>
      <c r="F2151" s="9" t="str">
        <f>IFERROR(__xludf.DUMMYFUNCTION("""COMPUTED_VALUE"""),"Br")</f>
        <v>Br</v>
      </c>
      <c r="G2151" s="9" t="str">
        <f>IFERROR(__xludf.DUMMYFUNCTION("""COMPUTED_VALUE"""),"F")</f>
        <v>F</v>
      </c>
      <c r="H2151" s="9" t="str">
        <f>IFERROR(__xludf.DUMMYFUNCTION("""COMPUTED_VALUE"""),"FGM")</f>
        <v>FGM</v>
      </c>
      <c r="I2151" s="9" t="str">
        <f>IFERROR(__xludf.DUMMYFUNCTION("""COMPUTED_VALUE"""),"Die")</f>
        <v>Die</v>
      </c>
      <c r="J2151" s="9" t="str">
        <f>IFERROR(__xludf.DUMMYFUNCTION("""COMPUTED_VALUE"""),"THM")</f>
        <v>THM</v>
      </c>
      <c r="K2151" s="9" t="str">
        <f>IFERROR(__xludf.DUMMYFUNCTION("""COMPUTED_VALUE"""),"VTH")</f>
        <v>VTH</v>
      </c>
      <c r="L2151" s="9" t="str">
        <f>IFERROR(__xludf.DUMMYFUNCTION("""COMPUTED_VALUE"""),"ZI")</f>
        <v>ZI</v>
      </c>
      <c r="M2151" s="9"/>
      <c r="N2151" s="9"/>
      <c r="O2151" s="9"/>
      <c r="P2151" s="9"/>
      <c r="Q2151" s="9"/>
      <c r="R2151" s="9"/>
      <c r="S2151" s="42" t="str">
        <f>IFERROR(__xludf.DUMMYFUNCTION("""COMPUTED_VALUE"""),"ZId;
ZIv")</f>
        <v>ZId;
ZIv</v>
      </c>
      <c r="T2151" s="42"/>
      <c r="U2151" s="42" t="b">
        <f>IFERROR(__xludf.DUMMYFUNCTION("""COMPUTED_VALUE"""),FALSE)</f>
        <v>0</v>
      </c>
      <c r="V2151" s="42"/>
      <c r="W2151" s="42"/>
      <c r="X2151" s="42"/>
      <c r="Y2151" s="42"/>
      <c r="Z2151" s="42"/>
      <c r="AA2151" s="42"/>
      <c r="AB2151" s="42" t="str">
        <f>IFERROR(__xludf.DUMMYFUNCTION("""COMPUTED_VALUE"""),"allen institute")</f>
        <v>allen institute</v>
      </c>
      <c r="AC2151" s="42" t="str">
        <f>IFERROR(__xludf.DUMMYFUNCTION("""COMPUTED_VALUE"""),"DHBA")</f>
        <v>DHBA</v>
      </c>
      <c r="AD2151" s="42"/>
      <c r="AE2151" s="42"/>
      <c r="AF2151" s="9"/>
      <c r="AG2151" s="9"/>
      <c r="AH2151" s="42"/>
      <c r="AI2151" s="42"/>
      <c r="AJ2151" s="42"/>
      <c r="AK2151" s="42"/>
      <c r="AL2151" s="42"/>
      <c r="AM2151" s="42"/>
      <c r="AN2151" s="42"/>
      <c r="AO2151" s="63" t="str">
        <f>IFERROR(__xludf.DUMMYFUNCTION("IF(ISBLANK(A2151),,IF(ISBLANK(S2151), A2151&amp;"";"", TEXTJOIN(CHAR(10), TRUE, A2151&amp;"";"", ARRAYFORMULA(VLOOKUP(SPLIT(S2151, "";"" &amp; CHAR(10)), $A:$AO, 41, FALSE)))))"),"ZI;
ZId;
ZIv;")</f>
        <v>ZI;
ZId;
ZIv;</v>
      </c>
      <c r="AP2151" s="89"/>
    </row>
    <row r="2152">
      <c r="A2152" s="151" t="str">
        <f>IFERROR(__xludf.DUMMYFUNCTION("""COMPUTED_VALUE"""),"ZId")</f>
        <v>ZId</v>
      </c>
      <c r="B2152" s="42" t="str">
        <f>IFERROR(__xludf.DUMMYFUNCTION("""COMPUTED_VALUE"""),"DHBA")</f>
        <v>DHBA</v>
      </c>
      <c r="C2152" s="42" t="str">
        <f>IFERROR(__xludf.DUMMYFUNCTION("""COMPUTED_VALUE"""),"zona incerta, dorsal division")</f>
        <v>zona incerta, dorsal division</v>
      </c>
      <c r="D2152" s="42">
        <f>IFERROR(__xludf.DUMMYFUNCTION("""COMPUTED_VALUE"""),2035.0)</f>
        <v>2035</v>
      </c>
      <c r="E2152" s="39" t="str">
        <f>IFERROR(__xludf.DUMMYFUNCTION("""COMPUTED_VALUE"""),"zona incerta, dorsal division")</f>
        <v>zona incerta, dorsal division</v>
      </c>
      <c r="F2152" s="9" t="str">
        <f>IFERROR(__xludf.DUMMYFUNCTION("""COMPUTED_VALUE"""),"Br")</f>
        <v>Br</v>
      </c>
      <c r="G2152" s="9" t="str">
        <f>IFERROR(__xludf.DUMMYFUNCTION("""COMPUTED_VALUE"""),"F")</f>
        <v>F</v>
      </c>
      <c r="H2152" s="9" t="str">
        <f>IFERROR(__xludf.DUMMYFUNCTION("""COMPUTED_VALUE"""),"FGM")</f>
        <v>FGM</v>
      </c>
      <c r="I2152" s="9" t="str">
        <f>IFERROR(__xludf.DUMMYFUNCTION("""COMPUTED_VALUE"""),"Die")</f>
        <v>Die</v>
      </c>
      <c r="J2152" s="9" t="str">
        <f>IFERROR(__xludf.DUMMYFUNCTION("""COMPUTED_VALUE"""),"THM")</f>
        <v>THM</v>
      </c>
      <c r="K2152" s="9" t="str">
        <f>IFERROR(__xludf.DUMMYFUNCTION("""COMPUTED_VALUE"""),"VTH")</f>
        <v>VTH</v>
      </c>
      <c r="L2152" s="9" t="str">
        <f>IFERROR(__xludf.DUMMYFUNCTION("""COMPUTED_VALUE"""),"ZI")</f>
        <v>ZI</v>
      </c>
      <c r="M2152" s="9" t="str">
        <f>IFERROR(__xludf.DUMMYFUNCTION("""COMPUTED_VALUE"""),"ZId")</f>
        <v>ZId</v>
      </c>
      <c r="N2152" s="9"/>
      <c r="O2152" s="9"/>
      <c r="P2152" s="9"/>
      <c r="Q2152" s="9"/>
      <c r="R2152" s="9"/>
      <c r="S2152" s="42"/>
      <c r="T2152" s="42"/>
      <c r="U2152" s="42"/>
      <c r="V2152" s="42"/>
      <c r="W2152" s="42"/>
      <c r="X2152" s="42"/>
      <c r="Y2152" s="42"/>
      <c r="Z2152" s="42"/>
      <c r="AA2152" s="42"/>
      <c r="AB2152" s="42" t="str">
        <f>IFERROR(__xludf.DUMMYFUNCTION("""COMPUTED_VALUE"""),"allen institute")</f>
        <v>allen institute</v>
      </c>
      <c r="AC2152" s="42" t="str">
        <f>IFERROR(__xludf.DUMMYFUNCTION("""COMPUTED_VALUE"""),"DHBA")</f>
        <v>DHBA</v>
      </c>
      <c r="AD2152" s="42"/>
      <c r="AE2152" s="42"/>
      <c r="AF2152" s="9"/>
      <c r="AG2152" s="9"/>
      <c r="AH2152" s="42"/>
      <c r="AI2152" s="42"/>
      <c r="AJ2152" s="42"/>
      <c r="AK2152" s="42"/>
      <c r="AL2152" s="42"/>
      <c r="AM2152" s="42"/>
      <c r="AN2152" s="42"/>
      <c r="AO2152" s="63" t="str">
        <f>IFERROR(__xludf.DUMMYFUNCTION("IF(ISBLANK(A2152),,IF(ISBLANK(S2152), A2152&amp;"";"", TEXTJOIN(CHAR(10), TRUE, A2152&amp;"";"", ARRAYFORMULA(VLOOKUP(SPLIT(S2152, "";"" &amp; CHAR(10)), $A:$AO, 41, FALSE)))))"),"ZId;")</f>
        <v>ZId;</v>
      </c>
      <c r="AP2152" s="89"/>
    </row>
    <row r="2153">
      <c r="A2153" s="151" t="str">
        <f>IFERROR(__xludf.DUMMYFUNCTION("""COMPUTED_VALUE"""),"ZIv")</f>
        <v>ZIv</v>
      </c>
      <c r="B2153" s="42" t="str">
        <f>IFERROR(__xludf.DUMMYFUNCTION("""COMPUTED_VALUE"""),"DHBA")</f>
        <v>DHBA</v>
      </c>
      <c r="C2153" s="42" t="str">
        <f>IFERROR(__xludf.DUMMYFUNCTION("""COMPUTED_VALUE"""),"zona incerta, ventral division")</f>
        <v>zona incerta, ventral division</v>
      </c>
      <c r="D2153" s="42">
        <f>IFERROR(__xludf.DUMMYFUNCTION("""COMPUTED_VALUE"""),2036.0)</f>
        <v>2036</v>
      </c>
      <c r="E2153" s="39" t="str">
        <f>IFERROR(__xludf.DUMMYFUNCTION("""COMPUTED_VALUE"""),"zona incerta, ventral division")</f>
        <v>zona incerta, ventral division</v>
      </c>
      <c r="F2153" s="9" t="str">
        <f>IFERROR(__xludf.DUMMYFUNCTION("""COMPUTED_VALUE"""),"Br")</f>
        <v>Br</v>
      </c>
      <c r="G2153" s="9" t="str">
        <f>IFERROR(__xludf.DUMMYFUNCTION("""COMPUTED_VALUE"""),"F")</f>
        <v>F</v>
      </c>
      <c r="H2153" s="9" t="str">
        <f>IFERROR(__xludf.DUMMYFUNCTION("""COMPUTED_VALUE"""),"FGM")</f>
        <v>FGM</v>
      </c>
      <c r="I2153" s="9" t="str">
        <f>IFERROR(__xludf.DUMMYFUNCTION("""COMPUTED_VALUE"""),"Die")</f>
        <v>Die</v>
      </c>
      <c r="J2153" s="9" t="str">
        <f>IFERROR(__xludf.DUMMYFUNCTION("""COMPUTED_VALUE"""),"THM")</f>
        <v>THM</v>
      </c>
      <c r="K2153" s="9" t="str">
        <f>IFERROR(__xludf.DUMMYFUNCTION("""COMPUTED_VALUE"""),"VTH")</f>
        <v>VTH</v>
      </c>
      <c r="L2153" s="9" t="str">
        <f>IFERROR(__xludf.DUMMYFUNCTION("""COMPUTED_VALUE"""),"ZI")</f>
        <v>ZI</v>
      </c>
      <c r="M2153" s="9" t="str">
        <f>IFERROR(__xludf.DUMMYFUNCTION("""COMPUTED_VALUE"""),"ZIv")</f>
        <v>ZIv</v>
      </c>
      <c r="N2153" s="9"/>
      <c r="O2153" s="9"/>
      <c r="P2153" s="9"/>
      <c r="Q2153" s="9"/>
      <c r="R2153" s="9"/>
      <c r="S2153" s="42"/>
      <c r="T2153" s="42"/>
      <c r="U2153" s="42"/>
      <c r="V2153" s="42"/>
      <c r="W2153" s="42"/>
      <c r="X2153" s="42"/>
      <c r="Y2153" s="42"/>
      <c r="Z2153" s="42"/>
      <c r="AA2153" s="42"/>
      <c r="AB2153" s="42" t="str">
        <f>IFERROR(__xludf.DUMMYFUNCTION("""COMPUTED_VALUE"""),"allen institute")</f>
        <v>allen institute</v>
      </c>
      <c r="AC2153" s="42" t="str">
        <f>IFERROR(__xludf.DUMMYFUNCTION("""COMPUTED_VALUE"""),"DHBA")</f>
        <v>DHBA</v>
      </c>
      <c r="AD2153" s="42"/>
      <c r="AE2153" s="42"/>
      <c r="AF2153" s="9"/>
      <c r="AG2153" s="9"/>
      <c r="AH2153" s="42"/>
      <c r="AI2153" s="42"/>
      <c r="AJ2153" s="42"/>
      <c r="AK2153" s="42"/>
      <c r="AL2153" s="42"/>
      <c r="AM2153" s="42"/>
      <c r="AN2153" s="42"/>
      <c r="AO2153" s="63" t="str">
        <f>IFERROR(__xludf.DUMMYFUNCTION("IF(ISBLANK(A2153),,IF(ISBLANK(S2153), A2153&amp;"";"", TEXTJOIN(CHAR(10), TRUE, A2153&amp;"";"", ARRAYFORMULA(VLOOKUP(SPLIT(S2153, "";"" &amp; CHAR(10)), $A:$AO, 41, FALSE)))))"),"ZIv;")</f>
        <v>ZIv;</v>
      </c>
      <c r="AP2153" s="89"/>
    </row>
    <row r="2154">
      <c r="A2154" s="151" t="str">
        <f>IFERROR(__xludf.DUMMYFUNCTION("""COMPUTED_VALUE"""),"EnP")</f>
        <v>EnP</v>
      </c>
      <c r="B2154" s="42" t="str">
        <f>IFERROR(__xludf.DUMMYFUNCTION("""COMPUTED_VALUE"""),"DHBA")</f>
        <v>DHBA</v>
      </c>
      <c r="C2154" s="42" t="str">
        <f>IFERROR(__xludf.DUMMYFUNCTION("""COMPUTED_VALUE"""),"endopeduncular nucleus")</f>
        <v>endopeduncular nucleus</v>
      </c>
      <c r="D2154" s="42">
        <f>IFERROR(__xludf.DUMMYFUNCTION("""COMPUTED_VALUE"""),2037.0)</f>
        <v>2037</v>
      </c>
      <c r="E2154" s="39" t="str">
        <f>IFERROR(__xludf.DUMMYFUNCTION("""COMPUTED_VALUE"""),"endopeduncular nucleus")</f>
        <v>endopeduncular nucleus</v>
      </c>
      <c r="F2154" s="9" t="str">
        <f>IFERROR(__xludf.DUMMYFUNCTION("""COMPUTED_VALUE"""),"Br")</f>
        <v>Br</v>
      </c>
      <c r="G2154" s="9" t="str">
        <f>IFERROR(__xludf.DUMMYFUNCTION("""COMPUTED_VALUE"""),"F")</f>
        <v>F</v>
      </c>
      <c r="H2154" s="9" t="str">
        <f>IFERROR(__xludf.DUMMYFUNCTION("""COMPUTED_VALUE"""),"FGM")</f>
        <v>FGM</v>
      </c>
      <c r="I2154" s="9" t="str">
        <f>IFERROR(__xludf.DUMMYFUNCTION("""COMPUTED_VALUE"""),"Die")</f>
        <v>Die</v>
      </c>
      <c r="J2154" s="9" t="str">
        <f>IFERROR(__xludf.DUMMYFUNCTION("""COMPUTED_VALUE"""),"THM")</f>
        <v>THM</v>
      </c>
      <c r="K2154" s="9" t="str">
        <f>IFERROR(__xludf.DUMMYFUNCTION("""COMPUTED_VALUE"""),"VTH")</f>
        <v>VTH</v>
      </c>
      <c r="L2154" s="9" t="str">
        <f>IFERROR(__xludf.DUMMYFUNCTION("""COMPUTED_VALUE"""),"EnP")</f>
        <v>EnP</v>
      </c>
      <c r="M2154" s="9"/>
      <c r="N2154" s="9"/>
      <c r="O2154" s="9"/>
      <c r="P2154" s="9"/>
      <c r="Q2154" s="9"/>
      <c r="R2154" s="9"/>
      <c r="S2154" s="42"/>
      <c r="T2154" s="42"/>
      <c r="U2154" s="42"/>
      <c r="V2154" s="42"/>
      <c r="W2154" s="42"/>
      <c r="X2154" s="42"/>
      <c r="Y2154" s="42"/>
      <c r="Z2154" s="42"/>
      <c r="AA2154" s="42"/>
      <c r="AB2154" s="42" t="str">
        <f>IFERROR(__xludf.DUMMYFUNCTION("""COMPUTED_VALUE"""),"allen institute")</f>
        <v>allen institute</v>
      </c>
      <c r="AC2154" s="42" t="str">
        <f>IFERROR(__xludf.DUMMYFUNCTION("""COMPUTED_VALUE"""),"DHBA")</f>
        <v>DHBA</v>
      </c>
      <c r="AD2154" s="42"/>
      <c r="AE2154" s="42"/>
      <c r="AF2154" s="9"/>
      <c r="AG2154" s="9"/>
      <c r="AH2154" s="42"/>
      <c r="AI2154" s="42"/>
      <c r="AJ2154" s="42"/>
      <c r="AK2154" s="42"/>
      <c r="AL2154" s="42"/>
      <c r="AM2154" s="42"/>
      <c r="AN2154" s="42"/>
      <c r="AO2154" s="63" t="str">
        <f>IFERROR(__xludf.DUMMYFUNCTION("IF(ISBLANK(A2154),,IF(ISBLANK(S2154), A2154&amp;"";"", TEXTJOIN(CHAR(10), TRUE, A2154&amp;"";"", ARRAYFORMULA(VLOOKUP(SPLIT(S2154, "";"" &amp; CHAR(10)), $A:$AO, 41, FALSE)))))"),"EnP;")</f>
        <v>EnP;</v>
      </c>
      <c r="AP2154" s="89"/>
    </row>
    <row r="2155">
      <c r="A2155" s="151" t="str">
        <f>IFERROR(__xludf.DUMMYFUNCTION("""COMPUTED_VALUE"""),"PSTh")</f>
        <v>PSTh</v>
      </c>
      <c r="B2155" s="42" t="str">
        <f>IFERROR(__xludf.DUMMYFUNCTION("""COMPUTED_VALUE"""),"DHBA")</f>
        <v>DHBA</v>
      </c>
      <c r="C2155" s="42" t="str">
        <f>IFERROR(__xludf.DUMMYFUNCTION("""COMPUTED_VALUE"""),"parasubthalamic nucleus")</f>
        <v>parasubthalamic nucleus</v>
      </c>
      <c r="D2155" s="42">
        <f>IFERROR(__xludf.DUMMYFUNCTION("""COMPUTED_VALUE"""),2038.0)</f>
        <v>2038</v>
      </c>
      <c r="E2155" s="39" t="str">
        <f>IFERROR(__xludf.DUMMYFUNCTION("""COMPUTED_VALUE"""),"parasubthalamic nucleus")</f>
        <v>parasubthalamic nucleus</v>
      </c>
      <c r="F2155" s="9" t="str">
        <f>IFERROR(__xludf.DUMMYFUNCTION("""COMPUTED_VALUE"""),"Br")</f>
        <v>Br</v>
      </c>
      <c r="G2155" s="9" t="str">
        <f>IFERROR(__xludf.DUMMYFUNCTION("""COMPUTED_VALUE"""),"F")</f>
        <v>F</v>
      </c>
      <c r="H2155" s="9" t="str">
        <f>IFERROR(__xludf.DUMMYFUNCTION("""COMPUTED_VALUE"""),"FGM")</f>
        <v>FGM</v>
      </c>
      <c r="I2155" s="9" t="str">
        <f>IFERROR(__xludf.DUMMYFUNCTION("""COMPUTED_VALUE"""),"Die")</f>
        <v>Die</v>
      </c>
      <c r="J2155" s="9" t="str">
        <f>IFERROR(__xludf.DUMMYFUNCTION("""COMPUTED_VALUE"""),"THM")</f>
        <v>THM</v>
      </c>
      <c r="K2155" s="9" t="str">
        <f>IFERROR(__xludf.DUMMYFUNCTION("""COMPUTED_VALUE"""),"VTH")</f>
        <v>VTH</v>
      </c>
      <c r="L2155" s="9" t="str">
        <f>IFERROR(__xludf.DUMMYFUNCTION("""COMPUTED_VALUE"""),"PSTh")</f>
        <v>PSTh</v>
      </c>
      <c r="M2155" s="9"/>
      <c r="N2155" s="9"/>
      <c r="O2155" s="9"/>
      <c r="P2155" s="9"/>
      <c r="Q2155" s="9"/>
      <c r="R2155" s="9"/>
      <c r="S2155" s="42"/>
      <c r="T2155" s="42"/>
      <c r="U2155" s="42"/>
      <c r="V2155" s="42"/>
      <c r="W2155" s="42"/>
      <c r="X2155" s="42"/>
      <c r="Y2155" s="42"/>
      <c r="Z2155" s="42"/>
      <c r="AA2155" s="42"/>
      <c r="AB2155" s="42" t="str">
        <f>IFERROR(__xludf.DUMMYFUNCTION("""COMPUTED_VALUE"""),"allen institute")</f>
        <v>allen institute</v>
      </c>
      <c r="AC2155" s="42" t="str">
        <f>IFERROR(__xludf.DUMMYFUNCTION("""COMPUTED_VALUE"""),"DHBA")</f>
        <v>DHBA</v>
      </c>
      <c r="AD2155" s="42"/>
      <c r="AE2155" s="42"/>
      <c r="AF2155" s="9"/>
      <c r="AG2155" s="9"/>
      <c r="AH2155" s="42"/>
      <c r="AI2155" s="42"/>
      <c r="AJ2155" s="42"/>
      <c r="AK2155" s="42"/>
      <c r="AL2155" s="42"/>
      <c r="AM2155" s="42"/>
      <c r="AN2155" s="42"/>
      <c r="AO2155" s="63" t="str">
        <f>IFERROR(__xludf.DUMMYFUNCTION("IF(ISBLANK(A2155),,IF(ISBLANK(S2155), A2155&amp;"";"", TEXTJOIN(CHAR(10), TRUE, A2155&amp;"";"", ARRAYFORMULA(VLOOKUP(SPLIT(S2155, "";"" &amp; CHAR(10)), $A:$AO, 41, FALSE)))))"),"PSTh;")</f>
        <v>PSTh;</v>
      </c>
      <c r="AP2155" s="89"/>
    </row>
    <row r="2156">
      <c r="A2156" s="151" t="str">
        <f>IFERROR(__xludf.DUMMYFUNCTION("""COMPUTED_VALUE"""),"R")</f>
        <v>R</v>
      </c>
      <c r="B2156" s="42" t="str">
        <f>IFERROR(__xludf.DUMMYFUNCTION("""COMPUTED_VALUE"""),"DHBA")</f>
        <v>DHBA</v>
      </c>
      <c r="C2156" s="42" t="str">
        <f>IFERROR(__xludf.DUMMYFUNCTION("""COMPUTED_VALUE"""),"reticular nucleus of thalamus")</f>
        <v>reticular nucleus of thalamus</v>
      </c>
      <c r="D2156" s="42">
        <f>IFERROR(__xludf.DUMMYFUNCTION("""COMPUTED_VALUE"""),2039.0)</f>
        <v>2039</v>
      </c>
      <c r="E2156" s="39" t="str">
        <f>IFERROR(__xludf.DUMMYFUNCTION("""COMPUTED_VALUE"""),"reticular nucleus of thalamus")</f>
        <v>reticular nucleus of thalamus</v>
      </c>
      <c r="F2156" s="9" t="str">
        <f>IFERROR(__xludf.DUMMYFUNCTION("""COMPUTED_VALUE"""),"Br")</f>
        <v>Br</v>
      </c>
      <c r="G2156" s="9" t="str">
        <f>IFERROR(__xludf.DUMMYFUNCTION("""COMPUTED_VALUE"""),"F")</f>
        <v>F</v>
      </c>
      <c r="H2156" s="9" t="str">
        <f>IFERROR(__xludf.DUMMYFUNCTION("""COMPUTED_VALUE"""),"FGM")</f>
        <v>FGM</v>
      </c>
      <c r="I2156" s="9" t="str">
        <f>IFERROR(__xludf.DUMMYFUNCTION("""COMPUTED_VALUE"""),"Die")</f>
        <v>Die</v>
      </c>
      <c r="J2156" s="9" t="str">
        <f>IFERROR(__xludf.DUMMYFUNCTION("""COMPUTED_VALUE"""),"THM")</f>
        <v>THM</v>
      </c>
      <c r="K2156" s="9" t="str">
        <f>IFERROR(__xludf.DUMMYFUNCTION("""COMPUTED_VALUE"""),"R")</f>
        <v>R</v>
      </c>
      <c r="L2156" s="9"/>
      <c r="M2156" s="9"/>
      <c r="N2156" s="9"/>
      <c r="O2156" s="9"/>
      <c r="P2156" s="9"/>
      <c r="Q2156" s="9"/>
      <c r="R2156" s="9"/>
      <c r="S2156" s="42" t="str">
        <f>IFERROR(__xludf.DUMMYFUNCTION("""COMPUTED_VALUE"""),"Rmc;
Rpc")</f>
        <v>Rmc;
Rpc</v>
      </c>
      <c r="T2156" s="42"/>
      <c r="U2156" s="42" t="b">
        <f>IFERROR(__xludf.DUMMYFUNCTION("""COMPUTED_VALUE"""),FALSE)</f>
        <v>0</v>
      </c>
      <c r="V2156" s="42" t="str">
        <f>IFERROR(__xludf.DUMMYFUNCTION("""COMPUTED_VALUE"""),"GABA")</f>
        <v>GABA</v>
      </c>
      <c r="W2156" s="42" t="str">
        <f>IFERROR(__xludf.DUMMYFUNCTION("""COMPUTED_VALUE"""),"Inhibitory")</f>
        <v>Inhibitory</v>
      </c>
      <c r="X2156" s="42"/>
      <c r="Y2156" s="42"/>
      <c r="Z2156" s="42"/>
      <c r="AA2156" s="42"/>
      <c r="AB2156" s="42" t="str">
        <f>IFERROR(__xludf.DUMMYFUNCTION("""COMPUTED_VALUE"""),"allen institute")</f>
        <v>allen institute</v>
      </c>
      <c r="AC2156" s="42" t="str">
        <f>IFERROR(__xludf.DUMMYFUNCTION("""COMPUTED_VALUE"""),"DHBA")</f>
        <v>DHBA</v>
      </c>
      <c r="AD2156" s="42"/>
      <c r="AE2156" s="42"/>
      <c r="AF2156" s="9"/>
      <c r="AG2156" s="9"/>
      <c r="AH2156" s="42"/>
      <c r="AI2156" s="42"/>
      <c r="AJ2156" s="42"/>
      <c r="AK2156" s="42"/>
      <c r="AL2156" s="42"/>
      <c r="AM2156" s="42"/>
      <c r="AN2156" s="42"/>
      <c r="AO2156" s="63" t="str">
        <f>IFERROR(__xludf.DUMMYFUNCTION("IF(ISBLANK(A2156),,IF(ISBLANK(S2156), A2156&amp;"";"", TEXTJOIN(CHAR(10), TRUE, A2156&amp;"";"", ARRAYFORMULA(VLOOKUP(SPLIT(S2156, "";"" &amp; CHAR(10)), $A:$AO, 41, FALSE)))))"),"R;
Rmc;
Rpc;")</f>
        <v>R;
Rmc;
Rpc;</v>
      </c>
      <c r="AP2156" s="89"/>
    </row>
    <row r="2157">
      <c r="A2157" s="151" t="str">
        <f>IFERROR(__xludf.DUMMYFUNCTION("""COMPUTED_VALUE"""),"Rmc")</f>
        <v>Rmc</v>
      </c>
      <c r="B2157" s="42" t="str">
        <f>IFERROR(__xludf.DUMMYFUNCTION("""COMPUTED_VALUE"""),"DHBA")</f>
        <v>DHBA</v>
      </c>
      <c r="C2157" s="42" t="str">
        <f>IFERROR(__xludf.DUMMYFUNCTION("""COMPUTED_VALUE"""),"magnocellular division of reticular nucleus")</f>
        <v>magnocellular division of reticular nucleus</v>
      </c>
      <c r="D2157" s="42">
        <f>IFERROR(__xludf.DUMMYFUNCTION("""COMPUTED_VALUE"""),2040.0)</f>
        <v>2040</v>
      </c>
      <c r="E2157" s="39" t="str">
        <f>IFERROR(__xludf.DUMMYFUNCTION("""COMPUTED_VALUE"""),"magnocellular division of reticular nucleus")</f>
        <v>magnocellular division of reticular nucleus</v>
      </c>
      <c r="F2157" s="9" t="str">
        <f>IFERROR(__xludf.DUMMYFUNCTION("""COMPUTED_VALUE"""),"Br")</f>
        <v>Br</v>
      </c>
      <c r="G2157" s="9" t="str">
        <f>IFERROR(__xludf.DUMMYFUNCTION("""COMPUTED_VALUE"""),"F")</f>
        <v>F</v>
      </c>
      <c r="H2157" s="9" t="str">
        <f>IFERROR(__xludf.DUMMYFUNCTION("""COMPUTED_VALUE"""),"FGM")</f>
        <v>FGM</v>
      </c>
      <c r="I2157" s="9" t="str">
        <f>IFERROR(__xludf.DUMMYFUNCTION("""COMPUTED_VALUE"""),"Die")</f>
        <v>Die</v>
      </c>
      <c r="J2157" s="9" t="str">
        <f>IFERROR(__xludf.DUMMYFUNCTION("""COMPUTED_VALUE"""),"THM")</f>
        <v>THM</v>
      </c>
      <c r="K2157" s="9" t="str">
        <f>IFERROR(__xludf.DUMMYFUNCTION("""COMPUTED_VALUE"""),"R")</f>
        <v>R</v>
      </c>
      <c r="L2157" s="9" t="str">
        <f>IFERROR(__xludf.DUMMYFUNCTION("""COMPUTED_VALUE"""),"Rmc")</f>
        <v>Rmc</v>
      </c>
      <c r="M2157" s="9"/>
      <c r="N2157" s="9"/>
      <c r="O2157" s="9"/>
      <c r="P2157" s="9"/>
      <c r="Q2157" s="9"/>
      <c r="R2157" s="9"/>
      <c r="S2157" s="42"/>
      <c r="T2157" s="42"/>
      <c r="U2157" s="42"/>
      <c r="V2157" s="42"/>
      <c r="W2157" s="42"/>
      <c r="X2157" s="42"/>
      <c r="Y2157" s="42"/>
      <c r="Z2157" s="42"/>
      <c r="AA2157" s="42"/>
      <c r="AB2157" s="42" t="str">
        <f>IFERROR(__xludf.DUMMYFUNCTION("""COMPUTED_VALUE"""),"allen institute")</f>
        <v>allen institute</v>
      </c>
      <c r="AC2157" s="42" t="str">
        <f>IFERROR(__xludf.DUMMYFUNCTION("""COMPUTED_VALUE"""),"DHBA")</f>
        <v>DHBA</v>
      </c>
      <c r="AD2157" s="42"/>
      <c r="AE2157" s="42"/>
      <c r="AF2157" s="9"/>
      <c r="AG2157" s="9"/>
      <c r="AH2157" s="42"/>
      <c r="AI2157" s="42"/>
      <c r="AJ2157" s="42"/>
      <c r="AK2157" s="42"/>
      <c r="AL2157" s="42"/>
      <c r="AM2157" s="42"/>
      <c r="AN2157" s="42"/>
      <c r="AO2157" s="63" t="str">
        <f>IFERROR(__xludf.DUMMYFUNCTION("IF(ISBLANK(A2157),,IF(ISBLANK(S2157), A2157&amp;"";"", TEXTJOIN(CHAR(10), TRUE, A2157&amp;"";"", ARRAYFORMULA(VLOOKUP(SPLIT(S2157, "";"" &amp; CHAR(10)), $A:$AO, 41, FALSE)))))"),"Rmc;")</f>
        <v>Rmc;</v>
      </c>
      <c r="AP2157" s="89"/>
    </row>
    <row r="2158">
      <c r="A2158" s="151" t="str">
        <f>IFERROR(__xludf.DUMMYFUNCTION("""COMPUTED_VALUE"""),"Rpc")</f>
        <v>Rpc</v>
      </c>
      <c r="B2158" s="42" t="str">
        <f>IFERROR(__xludf.DUMMYFUNCTION("""COMPUTED_VALUE"""),"DHBA")</f>
        <v>DHBA</v>
      </c>
      <c r="C2158" s="42" t="str">
        <f>IFERROR(__xludf.DUMMYFUNCTION("""COMPUTED_VALUE"""),"parvocellular division of reticular nucleus (perireticular nucleus)")</f>
        <v>parvocellular division of reticular nucleus (perireticular nucleus)</v>
      </c>
      <c r="D2158" s="42">
        <f>IFERROR(__xludf.DUMMYFUNCTION("""COMPUTED_VALUE"""),2041.0)</f>
        <v>2041</v>
      </c>
      <c r="E2158" s="39" t="str">
        <f>IFERROR(__xludf.DUMMYFUNCTION("""COMPUTED_VALUE"""),"parvocellular division of reticular nucleus (perireticular nucleus)")</f>
        <v>parvocellular division of reticular nucleus (perireticular nucleus)</v>
      </c>
      <c r="F2158" s="9" t="str">
        <f>IFERROR(__xludf.DUMMYFUNCTION("""COMPUTED_VALUE"""),"Br")</f>
        <v>Br</v>
      </c>
      <c r="G2158" s="9" t="str">
        <f>IFERROR(__xludf.DUMMYFUNCTION("""COMPUTED_VALUE"""),"F")</f>
        <v>F</v>
      </c>
      <c r="H2158" s="9" t="str">
        <f>IFERROR(__xludf.DUMMYFUNCTION("""COMPUTED_VALUE"""),"FGM")</f>
        <v>FGM</v>
      </c>
      <c r="I2158" s="9" t="str">
        <f>IFERROR(__xludf.DUMMYFUNCTION("""COMPUTED_VALUE"""),"Die")</f>
        <v>Die</v>
      </c>
      <c r="J2158" s="9" t="str">
        <f>IFERROR(__xludf.DUMMYFUNCTION("""COMPUTED_VALUE"""),"THM")</f>
        <v>THM</v>
      </c>
      <c r="K2158" s="9" t="str">
        <f>IFERROR(__xludf.DUMMYFUNCTION("""COMPUTED_VALUE"""),"R")</f>
        <v>R</v>
      </c>
      <c r="L2158" s="9" t="str">
        <f>IFERROR(__xludf.DUMMYFUNCTION("""COMPUTED_VALUE"""),"Rpc")</f>
        <v>Rpc</v>
      </c>
      <c r="M2158" s="9"/>
      <c r="N2158" s="9"/>
      <c r="O2158" s="9"/>
      <c r="P2158" s="9"/>
      <c r="Q2158" s="9"/>
      <c r="R2158" s="9"/>
      <c r="S2158" s="42"/>
      <c r="T2158" s="42"/>
      <c r="U2158" s="42"/>
      <c r="V2158" s="42"/>
      <c r="W2158" s="42"/>
      <c r="X2158" s="42"/>
      <c r="Y2158" s="42"/>
      <c r="Z2158" s="42"/>
      <c r="AA2158" s="42"/>
      <c r="AB2158" s="42" t="str">
        <f>IFERROR(__xludf.DUMMYFUNCTION("""COMPUTED_VALUE"""),"allen institute")</f>
        <v>allen institute</v>
      </c>
      <c r="AC2158" s="42" t="str">
        <f>IFERROR(__xludf.DUMMYFUNCTION("""COMPUTED_VALUE"""),"DHBA")</f>
        <v>DHBA</v>
      </c>
      <c r="AD2158" s="42"/>
      <c r="AE2158" s="42"/>
      <c r="AF2158" s="9"/>
      <c r="AG2158" s="9"/>
      <c r="AH2158" s="42"/>
      <c r="AI2158" s="42"/>
      <c r="AJ2158" s="42"/>
      <c r="AK2158" s="42"/>
      <c r="AL2158" s="42"/>
      <c r="AM2158" s="42"/>
      <c r="AN2158" s="42"/>
      <c r="AO2158" s="63" t="str">
        <f>IFERROR(__xludf.DUMMYFUNCTION("IF(ISBLANK(A2158),,IF(ISBLANK(S2158), A2158&amp;"";"", TEXTJOIN(CHAR(10), TRUE, A2158&amp;"";"", ARRAYFORMULA(VLOOKUP(SPLIT(S2158, "";"" &amp; CHAR(10)), $A:$AO, 41, FALSE)))))"),"Rpc;")</f>
        <v>Rpc;</v>
      </c>
      <c r="AP2158" s="89"/>
    </row>
    <row r="2159">
      <c r="A2159" s="151" t="str">
        <f>IFERROR(__xludf.DUMMYFUNCTION("""COMPUTED_VALUE"""),"SubTH")</f>
        <v>SubTH</v>
      </c>
      <c r="B2159" s="42" t="str">
        <f>IFERROR(__xludf.DUMMYFUNCTION("""COMPUTED_VALUE"""),"DHBA")</f>
        <v>DHBA</v>
      </c>
      <c r="C2159" s="42" t="str">
        <f>IFERROR(__xludf.DUMMYFUNCTION("""COMPUTED_VALUE"""),"subthalamus")</f>
        <v>subthalamus</v>
      </c>
      <c r="D2159" s="42">
        <f>IFERROR(__xludf.DUMMYFUNCTION("""COMPUTED_VALUE"""),2042.0)</f>
        <v>2042</v>
      </c>
      <c r="E2159" s="39" t="str">
        <f>IFERROR(__xludf.DUMMYFUNCTION("""COMPUTED_VALUE"""),"subthalamus")</f>
        <v>subthalamus</v>
      </c>
      <c r="F2159" s="9" t="str">
        <f>IFERROR(__xludf.DUMMYFUNCTION("""COMPUTED_VALUE"""),"Br")</f>
        <v>Br</v>
      </c>
      <c r="G2159" s="9" t="str">
        <f>IFERROR(__xludf.DUMMYFUNCTION("""COMPUTED_VALUE"""),"F")</f>
        <v>F</v>
      </c>
      <c r="H2159" s="9" t="str">
        <f>IFERROR(__xludf.DUMMYFUNCTION("""COMPUTED_VALUE"""),"FGM")</f>
        <v>FGM</v>
      </c>
      <c r="I2159" s="9" t="str">
        <f>IFERROR(__xludf.DUMMYFUNCTION("""COMPUTED_VALUE"""),"Die")</f>
        <v>Die</v>
      </c>
      <c r="J2159" s="9" t="str">
        <f>IFERROR(__xludf.DUMMYFUNCTION("""COMPUTED_VALUE"""),"SubTH")</f>
        <v>SubTH</v>
      </c>
      <c r="K2159" s="9"/>
      <c r="L2159" s="9"/>
      <c r="M2159" s="9"/>
      <c r="N2159" s="9"/>
      <c r="O2159" s="9"/>
      <c r="P2159" s="9"/>
      <c r="Q2159" s="9"/>
      <c r="R2159" s="9"/>
      <c r="S2159" s="42" t="str">
        <f>IFERROR(__xludf.DUMMYFUNCTION("""COMPUTED_VALUE"""),"STH")</f>
        <v>STH</v>
      </c>
      <c r="T2159" s="42"/>
      <c r="U2159" s="159" t="b">
        <f>IFERROR(__xludf.DUMMYFUNCTION("""COMPUTED_VALUE"""),FALSE)</f>
        <v>0</v>
      </c>
      <c r="V2159" s="42"/>
      <c r="W2159" s="42"/>
      <c r="X2159" s="42"/>
      <c r="Y2159" s="42"/>
      <c r="Z2159" s="42"/>
      <c r="AA2159" s="42"/>
      <c r="AB2159" s="42" t="str">
        <f>IFERROR(__xludf.DUMMYFUNCTION("""COMPUTED_VALUE"""),"allen institute")</f>
        <v>allen institute</v>
      </c>
      <c r="AC2159" s="42" t="str">
        <f>IFERROR(__xludf.DUMMYFUNCTION("""COMPUTED_VALUE"""),"DHBA")</f>
        <v>DHBA</v>
      </c>
      <c r="AD2159" s="42"/>
      <c r="AE2159" s="42"/>
      <c r="AF2159" s="9"/>
      <c r="AG2159" s="9"/>
      <c r="AH2159" s="42"/>
      <c r="AI2159" s="42"/>
      <c r="AJ2159" s="42"/>
      <c r="AK2159" s="42"/>
      <c r="AL2159" s="42"/>
      <c r="AM2159" s="42"/>
      <c r="AN2159" s="42"/>
      <c r="AO2159" s="63" t="str">
        <f>IFERROR(__xludf.DUMMYFUNCTION("IF(ISBLANK(A2159),,IF(ISBLANK(S2159), A2159&amp;"";"", TEXTJOIN(CHAR(10), TRUE, A2159&amp;"";"", ARRAYFORMULA(VLOOKUP(SPLIT(S2159, "";"" &amp; CHAR(10)), $A:$AO, 41, FALSE)))))"),"SubTH;
STH;
STHld;
STHlv;
STHm;")</f>
        <v>SubTH;
STH;
STHld;
STHlv;
STHm;</v>
      </c>
      <c r="AP2159" s="89"/>
    </row>
    <row r="2160">
      <c r="A2160" s="151" t="str">
        <f>IFERROR(__xludf.DUMMYFUNCTION("""COMPUTED_VALUE"""),"STH")</f>
        <v>STH</v>
      </c>
      <c r="B2160" s="42" t="str">
        <f>IFERROR(__xludf.DUMMYFUNCTION("""COMPUTED_VALUE"""),"DHBA")</f>
        <v>DHBA</v>
      </c>
      <c r="C2160" s="42" t="str">
        <f>IFERROR(__xludf.DUMMYFUNCTION("""COMPUTED_VALUE"""),"subthalamic nucleus")</f>
        <v>subthalamic nucleus</v>
      </c>
      <c r="D2160" s="42">
        <f>IFERROR(__xludf.DUMMYFUNCTION("""COMPUTED_VALUE"""),2043.0)</f>
        <v>2043</v>
      </c>
      <c r="E2160" s="39" t="str">
        <f>IFERROR(__xludf.DUMMYFUNCTION("""COMPUTED_VALUE"""),"subthalamic nucleus")</f>
        <v>subthalamic nucleus</v>
      </c>
      <c r="F2160" s="9" t="str">
        <f>IFERROR(__xludf.DUMMYFUNCTION("""COMPUTED_VALUE"""),"Br")</f>
        <v>Br</v>
      </c>
      <c r="G2160" s="9" t="str">
        <f>IFERROR(__xludf.DUMMYFUNCTION("""COMPUTED_VALUE"""),"F")</f>
        <v>F</v>
      </c>
      <c r="H2160" s="9" t="str">
        <f>IFERROR(__xludf.DUMMYFUNCTION("""COMPUTED_VALUE"""),"FGM")</f>
        <v>FGM</v>
      </c>
      <c r="I2160" s="9" t="str">
        <f>IFERROR(__xludf.DUMMYFUNCTION("""COMPUTED_VALUE"""),"Die")</f>
        <v>Die</v>
      </c>
      <c r="J2160" s="9" t="str">
        <f>IFERROR(__xludf.DUMMYFUNCTION("""COMPUTED_VALUE"""),"SubTH")</f>
        <v>SubTH</v>
      </c>
      <c r="K2160" s="9" t="str">
        <f>IFERROR(__xludf.DUMMYFUNCTION("""COMPUTED_VALUE"""),"STH")</f>
        <v>STH</v>
      </c>
      <c r="L2160" s="9"/>
      <c r="M2160" s="9"/>
      <c r="N2160" s="9"/>
      <c r="O2160" s="9"/>
      <c r="P2160" s="9"/>
      <c r="Q2160" s="9"/>
      <c r="R2160" s="9"/>
      <c r="S2160" s="42" t="str">
        <f>IFERROR(__xludf.DUMMYFUNCTION("""COMPUTED_VALUE"""),"STHld;
STHlv;
STHm")</f>
        <v>STHld;
STHlv;
STHm</v>
      </c>
      <c r="T2160" s="42"/>
      <c r="U2160" s="159" t="b">
        <f>IFERROR(__xludf.DUMMYFUNCTION("""COMPUTED_VALUE"""),FALSE)</f>
        <v>0</v>
      </c>
      <c r="V2160" s="42" t="str">
        <f>IFERROR(__xludf.DUMMYFUNCTION("""COMPUTED_VALUE"""),"Glutamate")</f>
        <v>Glutamate</v>
      </c>
      <c r="W2160" s="42" t="str">
        <f>IFERROR(__xludf.DUMMYFUNCTION("""COMPUTED_VALUE"""),"Excitatory")</f>
        <v>Excitatory</v>
      </c>
      <c r="X2160" s="42"/>
      <c r="Y2160" s="42" t="str">
        <f>IFERROR(__xludf.DUMMYFUNCTION("""COMPUTED_VALUE"""),"Response inhibition, to control the threshold for time required for decision via the hyper-direct path.
Restrains SC
The subthalamic nucleus (STN) is subdivided into a large dorsolateral motor territory, a ventromedial associative territory, and a medial "&amp;"limbic territory. Each territory receives inputs from different areas of the cerebral cortex and provides output to different target nuclei, including the internal segment (GPi) and external segment (GPe) of the globus pallidus, substantia nigra pars reti"&amp;"culata (SNr), and ventral pallidum. These input-output interactions provide for parallel control of motor, oculomotor, cognitive, and emotional functions independently of “indirect” pathways via the striatum and GPe (Eduardo E. Benarroch, 2008).")</f>
        <v>Response inhibition, to control the threshold for time required for decision via the hyper-direct path.
Restrains SC
The subthalamic nucleus (STN) is subdivided into a large dorsolateral motor territory, a ventromedial associative territory, and a medial limbic territory. Each territory receives inputs from different areas of the cerebral cortex and provides output to different target nuclei, including the internal segment (GPi) and external segment (GPe) of the globus pallidus, substantia nigra pars reticulata (SNr), and ventral pallidum. These input-output interactions provide for parallel control of motor, oculomotor, cognitive, and emotional functions independently of “indirect” pathways via the striatum and GPe (Eduardo E. Benarroch, 2008).</v>
      </c>
      <c r="Z2160" s="42"/>
      <c r="AA2160" s="42"/>
      <c r="AB2160" s="42" t="str">
        <f>IFERROR(__xludf.DUMMYFUNCTION("""COMPUTED_VALUE"""),"allen institute")</f>
        <v>allen institute</v>
      </c>
      <c r="AC2160" s="42" t="str">
        <f>IFERROR(__xludf.DUMMYFUNCTION("""COMPUTED_VALUE"""),"DHBA")</f>
        <v>DHBA</v>
      </c>
      <c r="AD2160" s="42"/>
      <c r="AE2160" s="42"/>
      <c r="AF2160" s="9"/>
      <c r="AG2160" s="9"/>
      <c r="AH2160" s="42"/>
      <c r="AI2160" s="42"/>
      <c r="AJ2160" s="42"/>
      <c r="AK2160" s="42"/>
      <c r="AL2160" s="42"/>
      <c r="AM2160" s="42"/>
      <c r="AN2160" s="42"/>
      <c r="AO2160" s="63" t="str">
        <f>IFERROR(__xludf.DUMMYFUNCTION("IF(ISBLANK(A2160),,IF(ISBLANK(S2160), A2160&amp;"";"", TEXTJOIN(CHAR(10), TRUE, A2160&amp;"";"", ARRAYFORMULA(VLOOKUP(SPLIT(S2160, "";"" &amp; CHAR(10)), $A:$AO, 41, FALSE)))))"),"STH;
STHld;
STHlv;
STHm;")</f>
        <v>STH;
STHld;
STHlv;
STHm;</v>
      </c>
      <c r="AP2160" s="89"/>
    </row>
    <row r="2161">
      <c r="A2161" s="151" t="str">
        <f>IFERROR(__xludf.DUMMYFUNCTION("""COMPUTED_VALUE"""),"STHm")</f>
        <v>STHm</v>
      </c>
      <c r="B2161" s="42" t="str">
        <f>IFERROR(__xludf.DUMMYFUNCTION("""COMPUTED_VALUE"""),"DHBA")</f>
        <v>DHBA</v>
      </c>
      <c r="C2161" s="42" t="str">
        <f>IFERROR(__xludf.DUMMYFUNCTION("""COMPUTED_VALUE"""),"meial portionof STH")</f>
        <v>meial portionof STH</v>
      </c>
      <c r="D2161" s="42">
        <f>IFERROR(__xludf.DUMMYFUNCTION("""COMPUTED_VALUE"""),2044.0)</f>
        <v>2044</v>
      </c>
      <c r="E2161" s="39" t="str">
        <f>IFERROR(__xludf.DUMMYFUNCTION("""COMPUTED_VALUE"""),"medial portion of STH")</f>
        <v>medial portion of STH</v>
      </c>
      <c r="F2161" s="9" t="str">
        <f>IFERROR(__xludf.DUMMYFUNCTION("""COMPUTED_VALUE"""),"Br")</f>
        <v>Br</v>
      </c>
      <c r="G2161" s="9" t="str">
        <f>IFERROR(__xludf.DUMMYFUNCTION("""COMPUTED_VALUE"""),"F")</f>
        <v>F</v>
      </c>
      <c r="H2161" s="9" t="str">
        <f>IFERROR(__xludf.DUMMYFUNCTION("""COMPUTED_VALUE"""),"FGM")</f>
        <v>FGM</v>
      </c>
      <c r="I2161" s="9" t="str">
        <f>IFERROR(__xludf.DUMMYFUNCTION("""COMPUTED_VALUE"""),"Die")</f>
        <v>Die</v>
      </c>
      <c r="J2161" s="9" t="str">
        <f>IFERROR(__xludf.DUMMYFUNCTION("""COMPUTED_VALUE"""),"SubTH")</f>
        <v>SubTH</v>
      </c>
      <c r="K2161" s="9" t="str">
        <f>IFERROR(__xludf.DUMMYFUNCTION("""COMPUTED_VALUE"""),"STH")</f>
        <v>STH</v>
      </c>
      <c r="L2161" s="9" t="str">
        <f>IFERROR(__xludf.DUMMYFUNCTION("""COMPUTED_VALUE"""),"STHm")</f>
        <v>STHm</v>
      </c>
      <c r="M2161" s="9"/>
      <c r="N2161" s="9"/>
      <c r="O2161" s="9"/>
      <c r="P2161" s="9"/>
      <c r="Q2161" s="9"/>
      <c r="R2161" s="9"/>
      <c r="S2161" s="42"/>
      <c r="T2161" s="42" t="str">
        <f>IFERROR(__xludf.DUMMYFUNCTION("""COMPUTED_VALUE"""),"STH")</f>
        <v>STH</v>
      </c>
      <c r="U2161" s="159" t="b">
        <f>IFERROR(__xludf.DUMMYFUNCTION("""COMPUTED_VALUE"""),TRUE)</f>
        <v>1</v>
      </c>
      <c r="V2161" s="42"/>
      <c r="W2161" s="42"/>
      <c r="X2161" s="42"/>
      <c r="Y2161" s="42"/>
      <c r="Z2161" s="42"/>
      <c r="AA2161" s="42"/>
      <c r="AB2161" s="42" t="str">
        <f>IFERROR(__xludf.DUMMYFUNCTION("""COMPUTED_VALUE"""),"allen institute")</f>
        <v>allen institute</v>
      </c>
      <c r="AC2161" s="42" t="str">
        <f>IFERROR(__xludf.DUMMYFUNCTION("""COMPUTED_VALUE"""),"DHBA")</f>
        <v>DHBA</v>
      </c>
      <c r="AD2161" s="42"/>
      <c r="AE2161" s="42"/>
      <c r="AF2161" s="9"/>
      <c r="AG2161" s="9"/>
      <c r="AH2161" s="42"/>
      <c r="AI2161" s="42"/>
      <c r="AJ2161" s="42"/>
      <c r="AK2161" s="42"/>
      <c r="AL2161" s="42"/>
      <c r="AM2161" s="42"/>
      <c r="AN2161" s="42"/>
      <c r="AO2161" s="63" t="str">
        <f>IFERROR(__xludf.DUMMYFUNCTION("IF(ISBLANK(A2161),,IF(ISBLANK(S2161), A2161&amp;"";"", TEXTJOIN(CHAR(10), TRUE, A2161&amp;"";"", ARRAYFORMULA(VLOOKUP(SPLIT(S2161, "";"" &amp; CHAR(10)), $A:$AO, 41, FALSE)))))"),"STHm;")</f>
        <v>STHm;</v>
      </c>
      <c r="AP2161" s="89"/>
    </row>
    <row r="2162">
      <c r="A2162" s="151" t="str">
        <f>IFERROR(__xludf.DUMMYFUNCTION("""COMPUTED_VALUE"""),"STHld")</f>
        <v>STHld</v>
      </c>
      <c r="B2162" s="42" t="str">
        <f>IFERROR(__xludf.DUMMYFUNCTION("""COMPUTED_VALUE"""),"DHBA")</f>
        <v>DHBA</v>
      </c>
      <c r="C2162" s="42" t="str">
        <f>IFERROR(__xludf.DUMMYFUNCTION("""COMPUTED_VALUE"""),"lateroventral porion of STH")</f>
        <v>lateroventral porion of STH</v>
      </c>
      <c r="D2162" s="42">
        <f>IFERROR(__xludf.DUMMYFUNCTION("""COMPUTED_VALUE"""),2045.0)</f>
        <v>2045</v>
      </c>
      <c r="E2162" s="39" t="str">
        <f>IFERROR(__xludf.DUMMYFUNCTION("""COMPUTED_VALUE"""),"laterodorsal portion of STH")</f>
        <v>laterodorsal portion of STH</v>
      </c>
      <c r="F2162" s="9" t="str">
        <f>IFERROR(__xludf.DUMMYFUNCTION("""COMPUTED_VALUE"""),"Br")</f>
        <v>Br</v>
      </c>
      <c r="G2162" s="9" t="str">
        <f>IFERROR(__xludf.DUMMYFUNCTION("""COMPUTED_VALUE"""),"F")</f>
        <v>F</v>
      </c>
      <c r="H2162" s="9" t="str">
        <f>IFERROR(__xludf.DUMMYFUNCTION("""COMPUTED_VALUE"""),"FGM")</f>
        <v>FGM</v>
      </c>
      <c r="I2162" s="9" t="str">
        <f>IFERROR(__xludf.DUMMYFUNCTION("""COMPUTED_VALUE"""),"Die")</f>
        <v>Die</v>
      </c>
      <c r="J2162" s="9" t="str">
        <f>IFERROR(__xludf.DUMMYFUNCTION("""COMPUTED_VALUE"""),"SubTH")</f>
        <v>SubTH</v>
      </c>
      <c r="K2162" s="9" t="str">
        <f>IFERROR(__xludf.DUMMYFUNCTION("""COMPUTED_VALUE"""),"STH")</f>
        <v>STH</v>
      </c>
      <c r="L2162" s="9" t="str">
        <f>IFERROR(__xludf.DUMMYFUNCTION("""COMPUTED_VALUE"""),"STHld")</f>
        <v>STHld</v>
      </c>
      <c r="M2162" s="9"/>
      <c r="N2162" s="9"/>
      <c r="O2162" s="9"/>
      <c r="P2162" s="9"/>
      <c r="Q2162" s="9"/>
      <c r="R2162" s="9"/>
      <c r="S2162" s="42"/>
      <c r="T2162" s="42" t="str">
        <f>IFERROR(__xludf.DUMMYFUNCTION("""COMPUTED_VALUE"""),"STH")</f>
        <v>STH</v>
      </c>
      <c r="U2162" s="42" t="b">
        <f>IFERROR(__xludf.DUMMYFUNCTION("""COMPUTED_VALUE"""),TRUE)</f>
        <v>1</v>
      </c>
      <c r="V2162" s="42"/>
      <c r="W2162" s="42"/>
      <c r="X2162" s="42"/>
      <c r="Y2162" s="42"/>
      <c r="Z2162" s="42"/>
      <c r="AA2162" s="42"/>
      <c r="AB2162" s="42" t="str">
        <f>IFERROR(__xludf.DUMMYFUNCTION("""COMPUTED_VALUE"""),"allen institute")</f>
        <v>allen institute</v>
      </c>
      <c r="AC2162" s="42" t="str">
        <f>IFERROR(__xludf.DUMMYFUNCTION("""COMPUTED_VALUE"""),"DHBA")</f>
        <v>DHBA</v>
      </c>
      <c r="AD2162" s="42"/>
      <c r="AE2162" s="42"/>
      <c r="AF2162" s="9"/>
      <c r="AG2162" s="9"/>
      <c r="AH2162" s="42"/>
      <c r="AI2162" s="42"/>
      <c r="AJ2162" s="42"/>
      <c r="AK2162" s="42"/>
      <c r="AL2162" s="42"/>
      <c r="AM2162" s="42"/>
      <c r="AN2162" s="42"/>
      <c r="AO2162" s="63" t="str">
        <f>IFERROR(__xludf.DUMMYFUNCTION("IF(ISBLANK(A2162),,IF(ISBLANK(S2162), A2162&amp;"";"", TEXTJOIN(CHAR(10), TRUE, A2162&amp;"";"", ARRAYFORMULA(VLOOKUP(SPLIT(S2162, "";"" &amp; CHAR(10)), $A:$AO, 41, FALSE)))))"),"STHld;")</f>
        <v>STHld;</v>
      </c>
      <c r="AP2162" s="89"/>
    </row>
    <row r="2163">
      <c r="A2163" s="151" t="str">
        <f>IFERROR(__xludf.DUMMYFUNCTION("""COMPUTED_VALUE"""),"STHlv")</f>
        <v>STHlv</v>
      </c>
      <c r="B2163" s="42" t="str">
        <f>IFERROR(__xludf.DUMMYFUNCTION("""COMPUTED_VALUE"""),"DHBA")</f>
        <v>DHBA</v>
      </c>
      <c r="C2163" s="42" t="str">
        <f>IFERROR(__xludf.DUMMYFUNCTION("""COMPUTED_VALUE"""),"laterodorsal portion of STH")</f>
        <v>laterodorsal portion of STH</v>
      </c>
      <c r="D2163" s="42">
        <f>IFERROR(__xludf.DUMMYFUNCTION("""COMPUTED_VALUE"""),2046.0)</f>
        <v>2046</v>
      </c>
      <c r="E2163" s="39" t="str">
        <f>IFERROR(__xludf.DUMMYFUNCTION("""COMPUTED_VALUE"""),"lateroventral portion of STH")</f>
        <v>lateroventral portion of STH</v>
      </c>
      <c r="F2163" s="9" t="str">
        <f>IFERROR(__xludf.DUMMYFUNCTION("""COMPUTED_VALUE"""),"Br")</f>
        <v>Br</v>
      </c>
      <c r="G2163" s="9" t="str">
        <f>IFERROR(__xludf.DUMMYFUNCTION("""COMPUTED_VALUE"""),"F")</f>
        <v>F</v>
      </c>
      <c r="H2163" s="9" t="str">
        <f>IFERROR(__xludf.DUMMYFUNCTION("""COMPUTED_VALUE"""),"FGM")</f>
        <v>FGM</v>
      </c>
      <c r="I2163" s="9" t="str">
        <f>IFERROR(__xludf.DUMMYFUNCTION("""COMPUTED_VALUE"""),"Die")</f>
        <v>Die</v>
      </c>
      <c r="J2163" s="9" t="str">
        <f>IFERROR(__xludf.DUMMYFUNCTION("""COMPUTED_VALUE"""),"SubTH")</f>
        <v>SubTH</v>
      </c>
      <c r="K2163" s="9" t="str">
        <f>IFERROR(__xludf.DUMMYFUNCTION("""COMPUTED_VALUE"""),"STH")</f>
        <v>STH</v>
      </c>
      <c r="L2163" s="9" t="str">
        <f>IFERROR(__xludf.DUMMYFUNCTION("""COMPUTED_VALUE"""),"STHlv")</f>
        <v>STHlv</v>
      </c>
      <c r="M2163" s="9"/>
      <c r="N2163" s="9"/>
      <c r="O2163" s="9"/>
      <c r="P2163" s="9"/>
      <c r="Q2163" s="9"/>
      <c r="R2163" s="9"/>
      <c r="S2163" s="42"/>
      <c r="T2163" s="42" t="str">
        <f>IFERROR(__xludf.DUMMYFUNCTION("""COMPUTED_VALUE"""),"STH")</f>
        <v>STH</v>
      </c>
      <c r="U2163" s="42" t="b">
        <f>IFERROR(__xludf.DUMMYFUNCTION("""COMPUTED_VALUE"""),TRUE)</f>
        <v>1</v>
      </c>
      <c r="V2163" s="42"/>
      <c r="W2163" s="42"/>
      <c r="X2163" s="42"/>
      <c r="Y2163" s="42"/>
      <c r="Z2163" s="42"/>
      <c r="AA2163" s="42"/>
      <c r="AB2163" s="42" t="str">
        <f>IFERROR(__xludf.DUMMYFUNCTION("""COMPUTED_VALUE"""),"allen institute")</f>
        <v>allen institute</v>
      </c>
      <c r="AC2163" s="42" t="str">
        <f>IFERROR(__xludf.DUMMYFUNCTION("""COMPUTED_VALUE"""),"DHBA")</f>
        <v>DHBA</v>
      </c>
      <c r="AD2163" s="42"/>
      <c r="AE2163" s="42"/>
      <c r="AF2163" s="9"/>
      <c r="AG2163" s="9"/>
      <c r="AH2163" s="42"/>
      <c r="AI2163" s="42"/>
      <c r="AJ2163" s="42"/>
      <c r="AK2163" s="42"/>
      <c r="AL2163" s="42"/>
      <c r="AM2163" s="42"/>
      <c r="AN2163" s="42"/>
      <c r="AO2163" s="63" t="str">
        <f>IFERROR(__xludf.DUMMYFUNCTION("IF(ISBLANK(A2163),,IF(ISBLANK(S2163), A2163&amp;"";"", TEXTJOIN(CHAR(10), TRUE, A2163&amp;"";"", ARRAYFORMULA(VLOOKUP(SPLIT(S2163, "";"" &amp; CHAR(10)), $A:$AO, 41, FALSE)))))"),"STHlv;")</f>
        <v>STHlv;</v>
      </c>
      <c r="AP2163" s="89"/>
    </row>
    <row r="2164">
      <c r="A2164" s="151" t="str">
        <f>IFERROR(__xludf.DUMMYFUNCTION("""COMPUTED_VALUE"""),"HTH")</f>
        <v>HTH</v>
      </c>
      <c r="B2164" s="42" t="str">
        <f>IFERROR(__xludf.DUMMYFUNCTION("""COMPUTED_VALUE"""),"DHBA")</f>
        <v>DHBA</v>
      </c>
      <c r="C2164" s="42" t="str">
        <f>IFERROR(__xludf.DUMMYFUNCTION("""COMPUTED_VALUE"""),"Hypothalamus")</f>
        <v>Hypothalamus</v>
      </c>
      <c r="D2164" s="42">
        <f>IFERROR(__xludf.DUMMYFUNCTION("""COMPUTED_VALUE"""),2047.0)</f>
        <v>2047</v>
      </c>
      <c r="E2164" s="39" t="str">
        <f>IFERROR(__xludf.DUMMYFUNCTION("""COMPUTED_VALUE"""),"hypothalamus")</f>
        <v>hypothalamus</v>
      </c>
      <c r="F2164" s="9" t="str">
        <f>IFERROR(__xludf.DUMMYFUNCTION("""COMPUTED_VALUE"""),"Br")</f>
        <v>Br</v>
      </c>
      <c r="G2164" s="9" t="str">
        <f>IFERROR(__xludf.DUMMYFUNCTION("""COMPUTED_VALUE"""),"F")</f>
        <v>F</v>
      </c>
      <c r="H2164" s="9" t="str">
        <f>IFERROR(__xludf.DUMMYFUNCTION("""COMPUTED_VALUE"""),"FGM")</f>
        <v>FGM</v>
      </c>
      <c r="I2164" s="9" t="str">
        <f>IFERROR(__xludf.DUMMYFUNCTION("""COMPUTED_VALUE"""),"Die")</f>
        <v>Die</v>
      </c>
      <c r="J2164" s="9" t="str">
        <f>IFERROR(__xludf.DUMMYFUNCTION("""COMPUTED_VALUE"""),"HTH")</f>
        <v>HTH</v>
      </c>
      <c r="K2164" s="9"/>
      <c r="L2164" s="9"/>
      <c r="M2164" s="9"/>
      <c r="N2164" s="9"/>
      <c r="O2164" s="9"/>
      <c r="P2164" s="9"/>
      <c r="Q2164" s="9"/>
      <c r="R2164" s="9"/>
      <c r="S2164" s="42" t="str">
        <f>IFERROR(__xludf.DUMMYFUNCTION("""COMPUTED_VALUE"""),"HTHpo;
HTHso;
HTHtub;
HTHma;
Pit")</f>
        <v>HTHpo;
HTHso;
HTHtub;
HTHma;
Pit</v>
      </c>
      <c r="T2164" s="42"/>
      <c r="U2164" s="42" t="b">
        <f>IFERROR(__xludf.DUMMYFUNCTION("""COMPUTED_VALUE"""),FALSE)</f>
        <v>0</v>
      </c>
      <c r="V2164" s="42"/>
      <c r="W2164" s="42"/>
      <c r="X2164" s="42"/>
      <c r="Y2164" s="42"/>
      <c r="Z2164" s="42"/>
      <c r="AA2164" s="42"/>
      <c r="AB2164" s="42" t="str">
        <f>IFERROR(__xludf.DUMMYFUNCTION("""COMPUTED_VALUE"""),"allen institute")</f>
        <v>allen institute</v>
      </c>
      <c r="AC2164" s="42" t="str">
        <f>IFERROR(__xludf.DUMMYFUNCTION("""COMPUTED_VALUE"""),"DHBA")</f>
        <v>DHBA</v>
      </c>
      <c r="AD2164" s="42"/>
      <c r="AE2164" s="42"/>
      <c r="AF2164" s="9"/>
      <c r="AG2164" s="9"/>
      <c r="AH2164" s="42"/>
      <c r="AI2164" s="42"/>
      <c r="AJ2164" s="42"/>
      <c r="AK2164" s="42"/>
      <c r="AL2164" s="42"/>
      <c r="AM2164" s="42"/>
      <c r="AN2164" s="42"/>
      <c r="AO2164" s="63" t="str">
        <f>IFERROR(__xludf.DUMMYFUNCTION("IF(ISBLANK(A2164),,IF(ISBLANK(S2164), A2164&amp;"";"", TEXTJOIN(CHAR(10), TRUE, A2164&amp;"";"", ARRAYFORMULA(VLOOKUP(SPLIT(S2164, "";"" &amp; CHAR(10)), $A:$AO, 41, FALSE)))))"),"#REF!")</f>
        <v>#REF!</v>
      </c>
      <c r="AP2164" s="89"/>
    </row>
    <row r="2165">
      <c r="A2165" s="151" t="str">
        <f>IFERROR(__xludf.DUMMYFUNCTION("""COMPUTED_VALUE"""),"HTHpo")</f>
        <v>HTHpo</v>
      </c>
      <c r="B2165" s="42" t="str">
        <f>IFERROR(__xludf.DUMMYFUNCTION("""COMPUTED_VALUE"""),"DHBA")</f>
        <v>DHBA</v>
      </c>
      <c r="C2165" s="42" t="str">
        <f>IFERROR(__xludf.DUMMYFUNCTION("""COMPUTED_VALUE"""),"preoptic region of HTH, Preoptic area/nucleus, PO")</f>
        <v>preoptic region of HTH, Preoptic area/nucleus, PO</v>
      </c>
      <c r="D2165" s="42">
        <f>IFERROR(__xludf.DUMMYFUNCTION("""COMPUTED_VALUE"""),2048.0)</f>
        <v>2048</v>
      </c>
      <c r="E2165" s="39" t="str">
        <f>IFERROR(__xludf.DUMMYFUNCTION("""COMPUTED_VALUE"""),"preoptic region of HTH")</f>
        <v>preoptic region of HTH</v>
      </c>
      <c r="F2165" s="9" t="str">
        <f>IFERROR(__xludf.DUMMYFUNCTION("""COMPUTED_VALUE"""),"Br")</f>
        <v>Br</v>
      </c>
      <c r="G2165" s="9" t="str">
        <f>IFERROR(__xludf.DUMMYFUNCTION("""COMPUTED_VALUE"""),"F")</f>
        <v>F</v>
      </c>
      <c r="H2165" s="9" t="str">
        <f>IFERROR(__xludf.DUMMYFUNCTION("""COMPUTED_VALUE"""),"FGM")</f>
        <v>FGM</v>
      </c>
      <c r="I2165" s="9" t="str">
        <f>IFERROR(__xludf.DUMMYFUNCTION("""COMPUTED_VALUE"""),"Die")</f>
        <v>Die</v>
      </c>
      <c r="J2165" s="9" t="str">
        <f>IFERROR(__xludf.DUMMYFUNCTION("""COMPUTED_VALUE"""),"HTH")</f>
        <v>HTH</v>
      </c>
      <c r="K2165" s="9" t="str">
        <f>IFERROR(__xludf.DUMMYFUNCTION("""COMPUTED_VALUE"""),"HTHpo")</f>
        <v>HTHpo</v>
      </c>
      <c r="L2165" s="9"/>
      <c r="M2165" s="9"/>
      <c r="N2165" s="9"/>
      <c r="O2165" s="9"/>
      <c r="P2165" s="9"/>
      <c r="Q2165" s="9"/>
      <c r="R2165" s="9"/>
      <c r="S2165" s="42" t="str">
        <f>IFERROR(__xludf.DUMMYFUNCTION("""COMPUTED_VALUE"""),"PeVpo;
MPA;
MPN;
LPA;
IMH;
MnPO")</f>
        <v>PeVpo;
MPA;
MPN;
LPA;
IMH;
MnPO</v>
      </c>
      <c r="T2165" s="42"/>
      <c r="U2165" s="42" t="b">
        <f>IFERROR(__xludf.DUMMYFUNCTION("""COMPUTED_VALUE"""),FALSE)</f>
        <v>0</v>
      </c>
      <c r="V2165" s="42"/>
      <c r="W2165" s="42"/>
      <c r="X2165" s="42"/>
      <c r="Y2165" s="42"/>
      <c r="Z2165" s="42"/>
      <c r="AA2165" s="42"/>
      <c r="AB2165" s="42" t="str">
        <f>IFERROR(__xludf.DUMMYFUNCTION("""COMPUTED_VALUE"""),"allen institute")</f>
        <v>allen institute</v>
      </c>
      <c r="AC2165" s="42" t="str">
        <f>IFERROR(__xludf.DUMMYFUNCTION("""COMPUTED_VALUE"""),"DHBA")</f>
        <v>DHBA</v>
      </c>
      <c r="AD2165" s="42"/>
      <c r="AE2165" s="42"/>
      <c r="AF2165" s="9"/>
      <c r="AG2165" s="9"/>
      <c r="AH2165" s="42"/>
      <c r="AI2165" s="42"/>
      <c r="AJ2165" s="42"/>
      <c r="AK2165" s="42"/>
      <c r="AL2165" s="42"/>
      <c r="AM2165" s="42"/>
      <c r="AN2165" s="42"/>
      <c r="AO2165" s="63" t="str">
        <f>IFERROR(__xludf.DUMMYFUNCTION("IF(ISBLANK(A2165),,IF(ISBLANK(S2165), A2165&amp;"";"", TEXTJOIN(CHAR(10), TRUE, A2165&amp;"";"", ARRAYFORMULA(VLOOKUP(SPLIT(S2165, "";"" &amp; CHAR(10)), $A:$AO, 41, FALSE)))))"),"HTHpo;
PeVpo;
DPe;
AVPe;
AMPO;
MPA;
MPN;
LPA;
IMH;
MnPO;")</f>
        <v>HTHpo;
PeVpo;
DPe;
AVPe;
AMPO;
MPA;
MPN;
LPA;
IMH;
MnPO;</v>
      </c>
      <c r="AP2165" s="89"/>
    </row>
    <row r="2166">
      <c r="A2166" s="151" t="str">
        <f>IFERROR(__xludf.DUMMYFUNCTION("""COMPUTED_VALUE"""),"PeVpo")</f>
        <v>PeVpo</v>
      </c>
      <c r="B2166" s="42" t="str">
        <f>IFERROR(__xludf.DUMMYFUNCTION("""COMPUTED_VALUE"""),"DHBA")</f>
        <v>DHBA</v>
      </c>
      <c r="C2166" s="42" t="str">
        <f>IFERROR(__xludf.DUMMYFUNCTION("""COMPUTED_VALUE"""),"periventricular nucleus, preoptic portion")</f>
        <v>periventricular nucleus, preoptic portion</v>
      </c>
      <c r="D2166" s="42">
        <f>IFERROR(__xludf.DUMMYFUNCTION("""COMPUTED_VALUE"""),2049.0)</f>
        <v>2049</v>
      </c>
      <c r="E2166" s="39" t="str">
        <f>IFERROR(__xludf.DUMMYFUNCTION("""COMPUTED_VALUE"""),"periventricular nucleus, preoptic portion")</f>
        <v>periventricular nucleus, preoptic portion</v>
      </c>
      <c r="F2166" s="9" t="str">
        <f>IFERROR(__xludf.DUMMYFUNCTION("""COMPUTED_VALUE"""),"Br")</f>
        <v>Br</v>
      </c>
      <c r="G2166" s="9" t="str">
        <f>IFERROR(__xludf.DUMMYFUNCTION("""COMPUTED_VALUE"""),"F")</f>
        <v>F</v>
      </c>
      <c r="H2166" s="9" t="str">
        <f>IFERROR(__xludf.DUMMYFUNCTION("""COMPUTED_VALUE"""),"FGM")</f>
        <v>FGM</v>
      </c>
      <c r="I2166" s="9" t="str">
        <f>IFERROR(__xludf.DUMMYFUNCTION("""COMPUTED_VALUE"""),"Die")</f>
        <v>Die</v>
      </c>
      <c r="J2166" s="9" t="str">
        <f>IFERROR(__xludf.DUMMYFUNCTION("""COMPUTED_VALUE"""),"HTH")</f>
        <v>HTH</v>
      </c>
      <c r="K2166" s="9" t="str">
        <f>IFERROR(__xludf.DUMMYFUNCTION("""COMPUTED_VALUE"""),"HTHpo")</f>
        <v>HTHpo</v>
      </c>
      <c r="L2166" s="9" t="str">
        <f>IFERROR(__xludf.DUMMYFUNCTION("""COMPUTED_VALUE"""),"PeVpo")</f>
        <v>PeVpo</v>
      </c>
      <c r="M2166" s="9"/>
      <c r="N2166" s="9"/>
      <c r="O2166" s="9"/>
      <c r="P2166" s="9"/>
      <c r="Q2166" s="9"/>
      <c r="R2166" s="9"/>
      <c r="S2166" s="42" t="str">
        <f>IFERROR(__xludf.DUMMYFUNCTION("""COMPUTED_VALUE"""),"DPe;
AVPe;
AMPO")</f>
        <v>DPe;
AVPe;
AMPO</v>
      </c>
      <c r="T2166" s="42"/>
      <c r="U2166" s="42" t="b">
        <f>IFERROR(__xludf.DUMMYFUNCTION("""COMPUTED_VALUE"""),FALSE)</f>
        <v>0</v>
      </c>
      <c r="V2166" s="42"/>
      <c r="W2166" s="42"/>
      <c r="X2166" s="42"/>
      <c r="Y2166" s="42"/>
      <c r="Z2166" s="42"/>
      <c r="AA2166" s="42"/>
      <c r="AB2166" s="42" t="str">
        <f>IFERROR(__xludf.DUMMYFUNCTION("""COMPUTED_VALUE"""),"allen institute")</f>
        <v>allen institute</v>
      </c>
      <c r="AC2166" s="42" t="str">
        <f>IFERROR(__xludf.DUMMYFUNCTION("""COMPUTED_VALUE"""),"DHBA")</f>
        <v>DHBA</v>
      </c>
      <c r="AD2166" s="42"/>
      <c r="AE2166" s="42"/>
      <c r="AF2166" s="9"/>
      <c r="AG2166" s="9"/>
      <c r="AH2166" s="42"/>
      <c r="AI2166" s="42"/>
      <c r="AJ2166" s="42"/>
      <c r="AK2166" s="42"/>
      <c r="AL2166" s="42"/>
      <c r="AM2166" s="42"/>
      <c r="AN2166" s="42"/>
      <c r="AO2166" s="63" t="str">
        <f>IFERROR(__xludf.DUMMYFUNCTION("IF(ISBLANK(A2166),,IF(ISBLANK(S2166), A2166&amp;"";"", TEXTJOIN(CHAR(10), TRUE, A2166&amp;"";"", ARRAYFORMULA(VLOOKUP(SPLIT(S2166, "";"" &amp; CHAR(10)), $A:$AO, 41, FALSE)))))"),"PeVpo;
DPe;
AVPe;
AMPO;")</f>
        <v>PeVpo;
DPe;
AVPe;
AMPO;</v>
      </c>
      <c r="AP2166" s="89"/>
    </row>
    <row r="2167">
      <c r="A2167" s="151" t="str">
        <f>IFERROR(__xludf.DUMMYFUNCTION("""COMPUTED_VALUE"""),"DPe")</f>
        <v>DPe</v>
      </c>
      <c r="B2167" s="42" t="str">
        <f>IFERROR(__xludf.DUMMYFUNCTION("""COMPUTED_VALUE"""),"DHBA")</f>
        <v>DHBA</v>
      </c>
      <c r="C2167" s="42" t="str">
        <f>IFERROR(__xludf.DUMMYFUNCTION("""COMPUTED_VALUE"""),"dorsal periventricular nucleus")</f>
        <v>dorsal periventricular nucleus</v>
      </c>
      <c r="D2167" s="42">
        <f>IFERROR(__xludf.DUMMYFUNCTION("""COMPUTED_VALUE"""),2050.0)</f>
        <v>2050</v>
      </c>
      <c r="E2167" s="39" t="str">
        <f>IFERROR(__xludf.DUMMYFUNCTION("""COMPUTED_VALUE"""),"dorsal periventricular nucleus")</f>
        <v>dorsal periventricular nucleus</v>
      </c>
      <c r="F2167" s="9" t="str">
        <f>IFERROR(__xludf.DUMMYFUNCTION("""COMPUTED_VALUE"""),"Br")</f>
        <v>Br</v>
      </c>
      <c r="G2167" s="9" t="str">
        <f>IFERROR(__xludf.DUMMYFUNCTION("""COMPUTED_VALUE"""),"F")</f>
        <v>F</v>
      </c>
      <c r="H2167" s="9" t="str">
        <f>IFERROR(__xludf.DUMMYFUNCTION("""COMPUTED_VALUE"""),"FGM")</f>
        <v>FGM</v>
      </c>
      <c r="I2167" s="9" t="str">
        <f>IFERROR(__xludf.DUMMYFUNCTION("""COMPUTED_VALUE"""),"Die")</f>
        <v>Die</v>
      </c>
      <c r="J2167" s="9" t="str">
        <f>IFERROR(__xludf.DUMMYFUNCTION("""COMPUTED_VALUE"""),"HTH")</f>
        <v>HTH</v>
      </c>
      <c r="K2167" s="9" t="str">
        <f>IFERROR(__xludf.DUMMYFUNCTION("""COMPUTED_VALUE"""),"HTHpo")</f>
        <v>HTHpo</v>
      </c>
      <c r="L2167" s="9" t="str">
        <f>IFERROR(__xludf.DUMMYFUNCTION("""COMPUTED_VALUE"""),"PeVpo")</f>
        <v>PeVpo</v>
      </c>
      <c r="M2167" s="9" t="str">
        <f>IFERROR(__xludf.DUMMYFUNCTION("""COMPUTED_VALUE"""),"DPe")</f>
        <v>DPe</v>
      </c>
      <c r="N2167" s="9"/>
      <c r="O2167" s="9"/>
      <c r="P2167" s="9"/>
      <c r="Q2167" s="9"/>
      <c r="R2167" s="9"/>
      <c r="S2167" s="42"/>
      <c r="T2167" s="42"/>
      <c r="U2167" s="42"/>
      <c r="V2167" s="42"/>
      <c r="W2167" s="42"/>
      <c r="X2167" s="42"/>
      <c r="Y2167" s="42"/>
      <c r="Z2167" s="42"/>
      <c r="AA2167" s="42"/>
      <c r="AB2167" s="42" t="str">
        <f>IFERROR(__xludf.DUMMYFUNCTION("""COMPUTED_VALUE"""),"allen institute")</f>
        <v>allen institute</v>
      </c>
      <c r="AC2167" s="42" t="str">
        <f>IFERROR(__xludf.DUMMYFUNCTION("""COMPUTED_VALUE"""),"DHBA")</f>
        <v>DHBA</v>
      </c>
      <c r="AD2167" s="42"/>
      <c r="AE2167" s="42"/>
      <c r="AF2167" s="9"/>
      <c r="AG2167" s="9"/>
      <c r="AH2167" s="42"/>
      <c r="AI2167" s="42"/>
      <c r="AJ2167" s="42"/>
      <c r="AK2167" s="42"/>
      <c r="AL2167" s="42"/>
      <c r="AM2167" s="42"/>
      <c r="AN2167" s="42"/>
      <c r="AO2167" s="63" t="str">
        <f>IFERROR(__xludf.DUMMYFUNCTION("IF(ISBLANK(A2167),,IF(ISBLANK(S2167), A2167&amp;"";"", TEXTJOIN(CHAR(10), TRUE, A2167&amp;"";"", ARRAYFORMULA(VLOOKUP(SPLIT(S2167, "";"" &amp; CHAR(10)), $A:$AO, 41, FALSE)))))"),"DPe;")</f>
        <v>DPe;</v>
      </c>
      <c r="AP2167" s="89"/>
    </row>
    <row r="2168">
      <c r="A2168" s="151" t="str">
        <f>IFERROR(__xludf.DUMMYFUNCTION("""COMPUTED_VALUE"""),"AVPe")</f>
        <v>AVPe</v>
      </c>
      <c r="B2168" s="42" t="str">
        <f>IFERROR(__xludf.DUMMYFUNCTION("""COMPUTED_VALUE"""),"DHBA")</f>
        <v>DHBA</v>
      </c>
      <c r="C2168" s="42" t="str">
        <f>IFERROR(__xludf.DUMMYFUNCTION("""COMPUTED_VALUE"""),"anteroventral periventricular nucleus")</f>
        <v>anteroventral periventricular nucleus</v>
      </c>
      <c r="D2168" s="42">
        <f>IFERROR(__xludf.DUMMYFUNCTION("""COMPUTED_VALUE"""),2051.0)</f>
        <v>2051</v>
      </c>
      <c r="E2168" s="39" t="str">
        <f>IFERROR(__xludf.DUMMYFUNCTION("""COMPUTED_VALUE"""),"anteroventral periventricular nucleus")</f>
        <v>anteroventral periventricular nucleus</v>
      </c>
      <c r="F2168" s="9" t="str">
        <f>IFERROR(__xludf.DUMMYFUNCTION("""COMPUTED_VALUE"""),"Br")</f>
        <v>Br</v>
      </c>
      <c r="G2168" s="9" t="str">
        <f>IFERROR(__xludf.DUMMYFUNCTION("""COMPUTED_VALUE"""),"F")</f>
        <v>F</v>
      </c>
      <c r="H2168" s="9" t="str">
        <f>IFERROR(__xludf.DUMMYFUNCTION("""COMPUTED_VALUE"""),"FGM")</f>
        <v>FGM</v>
      </c>
      <c r="I2168" s="9" t="str">
        <f>IFERROR(__xludf.DUMMYFUNCTION("""COMPUTED_VALUE"""),"Die")</f>
        <v>Die</v>
      </c>
      <c r="J2168" s="9" t="str">
        <f>IFERROR(__xludf.DUMMYFUNCTION("""COMPUTED_VALUE"""),"HTH")</f>
        <v>HTH</v>
      </c>
      <c r="K2168" s="9" t="str">
        <f>IFERROR(__xludf.DUMMYFUNCTION("""COMPUTED_VALUE"""),"HTHpo")</f>
        <v>HTHpo</v>
      </c>
      <c r="L2168" s="9" t="str">
        <f>IFERROR(__xludf.DUMMYFUNCTION("""COMPUTED_VALUE"""),"PeVpo")</f>
        <v>PeVpo</v>
      </c>
      <c r="M2168" s="9" t="str">
        <f>IFERROR(__xludf.DUMMYFUNCTION("""COMPUTED_VALUE"""),"AVPe")</f>
        <v>AVPe</v>
      </c>
      <c r="N2168" s="9"/>
      <c r="O2168" s="9"/>
      <c r="P2168" s="9"/>
      <c r="Q2168" s="9"/>
      <c r="R2168" s="9"/>
      <c r="S2168" s="42"/>
      <c r="T2168" s="42"/>
      <c r="U2168" s="42"/>
      <c r="V2168" s="42"/>
      <c r="W2168" s="42"/>
      <c r="X2168" s="42"/>
      <c r="Y2168" s="42"/>
      <c r="Z2168" s="42"/>
      <c r="AA2168" s="42"/>
      <c r="AB2168" s="42" t="str">
        <f>IFERROR(__xludf.DUMMYFUNCTION("""COMPUTED_VALUE"""),"allen institute")</f>
        <v>allen institute</v>
      </c>
      <c r="AC2168" s="42" t="str">
        <f>IFERROR(__xludf.DUMMYFUNCTION("""COMPUTED_VALUE"""),"DHBA")</f>
        <v>DHBA</v>
      </c>
      <c r="AD2168" s="42"/>
      <c r="AE2168" s="42"/>
      <c r="AF2168" s="9"/>
      <c r="AG2168" s="9"/>
      <c r="AH2168" s="42"/>
      <c r="AI2168" s="42"/>
      <c r="AJ2168" s="42"/>
      <c r="AK2168" s="42"/>
      <c r="AL2168" s="42"/>
      <c r="AM2168" s="42"/>
      <c r="AN2168" s="42"/>
      <c r="AO2168" s="63" t="str">
        <f>IFERROR(__xludf.DUMMYFUNCTION("IF(ISBLANK(A2168),,IF(ISBLANK(S2168), A2168&amp;"";"", TEXTJOIN(CHAR(10), TRUE, A2168&amp;"";"", ARRAYFORMULA(VLOOKUP(SPLIT(S2168, "";"" &amp; CHAR(10)), $A:$AO, 41, FALSE)))))"),"AVPe;")</f>
        <v>AVPe;</v>
      </c>
      <c r="AP2168" s="89"/>
    </row>
    <row r="2169">
      <c r="A2169" s="151" t="str">
        <f>IFERROR(__xludf.DUMMYFUNCTION("""COMPUTED_VALUE"""),"AMPO")</f>
        <v>AMPO</v>
      </c>
      <c r="B2169" s="42" t="str">
        <f>IFERROR(__xludf.DUMMYFUNCTION("""COMPUTED_VALUE"""),"DHBA")</f>
        <v>DHBA</v>
      </c>
      <c r="C2169" s="42" t="str">
        <f>IFERROR(__xludf.DUMMYFUNCTION("""COMPUTED_VALUE"""),"anteromedial preoptic nucleus")</f>
        <v>anteromedial preoptic nucleus</v>
      </c>
      <c r="D2169" s="42">
        <f>IFERROR(__xludf.DUMMYFUNCTION("""COMPUTED_VALUE"""),2052.0)</f>
        <v>2052</v>
      </c>
      <c r="E2169" s="39" t="str">
        <f>IFERROR(__xludf.DUMMYFUNCTION("""COMPUTED_VALUE"""),"anteromedial preoptic nucleus")</f>
        <v>anteromedial preoptic nucleus</v>
      </c>
      <c r="F2169" s="9" t="str">
        <f>IFERROR(__xludf.DUMMYFUNCTION("""COMPUTED_VALUE"""),"Br")</f>
        <v>Br</v>
      </c>
      <c r="G2169" s="9" t="str">
        <f>IFERROR(__xludf.DUMMYFUNCTION("""COMPUTED_VALUE"""),"F")</f>
        <v>F</v>
      </c>
      <c r="H2169" s="9" t="str">
        <f>IFERROR(__xludf.DUMMYFUNCTION("""COMPUTED_VALUE"""),"FGM")</f>
        <v>FGM</v>
      </c>
      <c r="I2169" s="9" t="str">
        <f>IFERROR(__xludf.DUMMYFUNCTION("""COMPUTED_VALUE"""),"Die")</f>
        <v>Die</v>
      </c>
      <c r="J2169" s="9" t="str">
        <f>IFERROR(__xludf.DUMMYFUNCTION("""COMPUTED_VALUE"""),"HTH")</f>
        <v>HTH</v>
      </c>
      <c r="K2169" s="9" t="str">
        <f>IFERROR(__xludf.DUMMYFUNCTION("""COMPUTED_VALUE"""),"HTHpo")</f>
        <v>HTHpo</v>
      </c>
      <c r="L2169" s="9" t="str">
        <f>IFERROR(__xludf.DUMMYFUNCTION("""COMPUTED_VALUE"""),"PeVpo")</f>
        <v>PeVpo</v>
      </c>
      <c r="M2169" s="9" t="str">
        <f>IFERROR(__xludf.DUMMYFUNCTION("""COMPUTED_VALUE"""),"AMPO")</f>
        <v>AMPO</v>
      </c>
      <c r="N2169" s="9"/>
      <c r="O2169" s="9"/>
      <c r="P2169" s="9"/>
      <c r="Q2169" s="9"/>
      <c r="R2169" s="9"/>
      <c r="S2169" s="42"/>
      <c r="T2169" s="42"/>
      <c r="U2169" s="42"/>
      <c r="V2169" s="42"/>
      <c r="W2169" s="42"/>
      <c r="X2169" s="42"/>
      <c r="Y2169" s="42"/>
      <c r="Z2169" s="42"/>
      <c r="AA2169" s="42"/>
      <c r="AB2169" s="42" t="str">
        <f>IFERROR(__xludf.DUMMYFUNCTION("""COMPUTED_VALUE"""),"allen institute")</f>
        <v>allen institute</v>
      </c>
      <c r="AC2169" s="42" t="str">
        <f>IFERROR(__xludf.DUMMYFUNCTION("""COMPUTED_VALUE"""),"DHBA")</f>
        <v>DHBA</v>
      </c>
      <c r="AD2169" s="42"/>
      <c r="AE2169" s="42"/>
      <c r="AF2169" s="9"/>
      <c r="AG2169" s="9"/>
      <c r="AH2169" s="42"/>
      <c r="AI2169" s="42"/>
      <c r="AJ2169" s="42"/>
      <c r="AK2169" s="42"/>
      <c r="AL2169" s="42"/>
      <c r="AM2169" s="42"/>
      <c r="AN2169" s="42"/>
      <c r="AO2169" s="63" t="str">
        <f>IFERROR(__xludf.DUMMYFUNCTION("IF(ISBLANK(A2169),,IF(ISBLANK(S2169), A2169&amp;"";"", TEXTJOIN(CHAR(10), TRUE, A2169&amp;"";"", ARRAYFORMULA(VLOOKUP(SPLIT(S2169, "";"" &amp; CHAR(10)), $A:$AO, 41, FALSE)))))"),"AMPO;")</f>
        <v>AMPO;</v>
      </c>
      <c r="AP2169" s="89"/>
    </row>
    <row r="2170">
      <c r="A2170" s="151" t="str">
        <f>IFERROR(__xludf.DUMMYFUNCTION("""COMPUTED_VALUE"""),"MPA")</f>
        <v>MPA</v>
      </c>
      <c r="B2170" s="42" t="str">
        <f>IFERROR(__xludf.DUMMYFUNCTION("""COMPUTED_VALUE"""),"DHBA")</f>
        <v>DHBA</v>
      </c>
      <c r="C2170" s="42" t="str">
        <f>IFERROR(__xludf.DUMMYFUNCTION("""COMPUTED_VALUE"""),"medial preoptic area")</f>
        <v>medial preoptic area</v>
      </c>
      <c r="D2170" s="42">
        <f>IFERROR(__xludf.DUMMYFUNCTION("""COMPUTED_VALUE"""),2053.0)</f>
        <v>2053</v>
      </c>
      <c r="E2170" s="39" t="str">
        <f>IFERROR(__xludf.DUMMYFUNCTION("""COMPUTED_VALUE"""),"medial preoptic area")</f>
        <v>medial preoptic area</v>
      </c>
      <c r="F2170" s="9" t="str">
        <f>IFERROR(__xludf.DUMMYFUNCTION("""COMPUTED_VALUE"""),"Br")</f>
        <v>Br</v>
      </c>
      <c r="G2170" s="9" t="str">
        <f>IFERROR(__xludf.DUMMYFUNCTION("""COMPUTED_VALUE"""),"F")</f>
        <v>F</v>
      </c>
      <c r="H2170" s="9" t="str">
        <f>IFERROR(__xludf.DUMMYFUNCTION("""COMPUTED_VALUE"""),"FGM")</f>
        <v>FGM</v>
      </c>
      <c r="I2170" s="9" t="str">
        <f>IFERROR(__xludf.DUMMYFUNCTION("""COMPUTED_VALUE"""),"Die")</f>
        <v>Die</v>
      </c>
      <c r="J2170" s="9" t="str">
        <f>IFERROR(__xludf.DUMMYFUNCTION("""COMPUTED_VALUE"""),"HTH")</f>
        <v>HTH</v>
      </c>
      <c r="K2170" s="9" t="str">
        <f>IFERROR(__xludf.DUMMYFUNCTION("""COMPUTED_VALUE"""),"HTHpo")</f>
        <v>HTHpo</v>
      </c>
      <c r="L2170" s="9" t="str">
        <f>IFERROR(__xludf.DUMMYFUNCTION("""COMPUTED_VALUE"""),"MPA")</f>
        <v>MPA</v>
      </c>
      <c r="M2170" s="9"/>
      <c r="N2170" s="9"/>
      <c r="O2170" s="9"/>
      <c r="P2170" s="9"/>
      <c r="Q2170" s="9"/>
      <c r="R2170" s="9"/>
      <c r="S2170" s="42"/>
      <c r="T2170" s="42"/>
      <c r="U2170" s="42"/>
      <c r="V2170" s="42"/>
      <c r="W2170" s="42"/>
      <c r="X2170" s="42"/>
      <c r="Y2170" s="42"/>
      <c r="Z2170" s="42"/>
      <c r="AA2170" s="42"/>
      <c r="AB2170" s="42" t="str">
        <f>IFERROR(__xludf.DUMMYFUNCTION("""COMPUTED_VALUE"""),"allen institute")</f>
        <v>allen institute</v>
      </c>
      <c r="AC2170" s="42" t="str">
        <f>IFERROR(__xludf.DUMMYFUNCTION("""COMPUTED_VALUE"""),"DHBA")</f>
        <v>DHBA</v>
      </c>
      <c r="AD2170" s="42"/>
      <c r="AE2170" s="42"/>
      <c r="AF2170" s="9"/>
      <c r="AG2170" s="9"/>
      <c r="AH2170" s="42"/>
      <c r="AI2170" s="42"/>
      <c r="AJ2170" s="42"/>
      <c r="AK2170" s="42"/>
      <c r="AL2170" s="42"/>
      <c r="AM2170" s="42"/>
      <c r="AN2170" s="42"/>
      <c r="AO2170" s="63" t="str">
        <f>IFERROR(__xludf.DUMMYFUNCTION("IF(ISBLANK(A2170),,IF(ISBLANK(S2170), A2170&amp;"";"", TEXTJOIN(CHAR(10), TRUE, A2170&amp;"";"", ARRAYFORMULA(VLOOKUP(SPLIT(S2170, "";"" &amp; CHAR(10)), $A:$AO, 41, FALSE)))))"),"MPA;")</f>
        <v>MPA;</v>
      </c>
      <c r="AP2170" s="89"/>
    </row>
    <row r="2171">
      <c r="A2171" s="151" t="str">
        <f>IFERROR(__xludf.DUMMYFUNCTION("""COMPUTED_VALUE"""),"MPN")</f>
        <v>MPN</v>
      </c>
      <c r="B2171" s="42" t="str">
        <f>IFERROR(__xludf.DUMMYFUNCTION("""COMPUTED_VALUE"""),"DHBA")</f>
        <v>DHBA</v>
      </c>
      <c r="C2171" s="42" t="str">
        <f>IFERROR(__xludf.DUMMYFUNCTION("""COMPUTED_VALUE"""),"medial preoptic nucleus")</f>
        <v>medial preoptic nucleus</v>
      </c>
      <c r="D2171" s="42">
        <f>IFERROR(__xludf.DUMMYFUNCTION("""COMPUTED_VALUE"""),2054.0)</f>
        <v>2054</v>
      </c>
      <c r="E2171" s="39" t="str">
        <f>IFERROR(__xludf.DUMMYFUNCTION("""COMPUTED_VALUE"""),"medial preoptic nucleus")</f>
        <v>medial preoptic nucleus</v>
      </c>
      <c r="F2171" s="9" t="str">
        <f>IFERROR(__xludf.DUMMYFUNCTION("""COMPUTED_VALUE"""),"Br")</f>
        <v>Br</v>
      </c>
      <c r="G2171" s="9" t="str">
        <f>IFERROR(__xludf.DUMMYFUNCTION("""COMPUTED_VALUE"""),"F")</f>
        <v>F</v>
      </c>
      <c r="H2171" s="9" t="str">
        <f>IFERROR(__xludf.DUMMYFUNCTION("""COMPUTED_VALUE"""),"FGM")</f>
        <v>FGM</v>
      </c>
      <c r="I2171" s="9" t="str">
        <f>IFERROR(__xludf.DUMMYFUNCTION("""COMPUTED_VALUE"""),"Die")</f>
        <v>Die</v>
      </c>
      <c r="J2171" s="9" t="str">
        <f>IFERROR(__xludf.DUMMYFUNCTION("""COMPUTED_VALUE"""),"HTH")</f>
        <v>HTH</v>
      </c>
      <c r="K2171" s="9" t="str">
        <f>IFERROR(__xludf.DUMMYFUNCTION("""COMPUTED_VALUE"""),"HTHpo")</f>
        <v>HTHpo</v>
      </c>
      <c r="L2171" s="9" t="str">
        <f>IFERROR(__xludf.DUMMYFUNCTION("""COMPUTED_VALUE"""),"MPN")</f>
        <v>MPN</v>
      </c>
      <c r="M2171" s="9"/>
      <c r="N2171" s="9"/>
      <c r="O2171" s="9"/>
      <c r="P2171" s="9"/>
      <c r="Q2171" s="9"/>
      <c r="R2171" s="9"/>
      <c r="S2171" s="42"/>
      <c r="T2171" s="42"/>
      <c r="U2171" s="42"/>
      <c r="V2171" s="42"/>
      <c r="W2171" s="42"/>
      <c r="X2171" s="42"/>
      <c r="Y2171" s="42"/>
      <c r="Z2171" s="42"/>
      <c r="AA2171" s="42"/>
      <c r="AB2171" s="42" t="str">
        <f>IFERROR(__xludf.DUMMYFUNCTION("""COMPUTED_VALUE"""),"allen institute")</f>
        <v>allen institute</v>
      </c>
      <c r="AC2171" s="42" t="str">
        <f>IFERROR(__xludf.DUMMYFUNCTION("""COMPUTED_VALUE"""),"DHBA")</f>
        <v>DHBA</v>
      </c>
      <c r="AD2171" s="42"/>
      <c r="AE2171" s="42"/>
      <c r="AF2171" s="9"/>
      <c r="AG2171" s="9"/>
      <c r="AH2171" s="42"/>
      <c r="AI2171" s="42"/>
      <c r="AJ2171" s="42"/>
      <c r="AK2171" s="42"/>
      <c r="AL2171" s="42"/>
      <c r="AM2171" s="42"/>
      <c r="AN2171" s="42"/>
      <c r="AO2171" s="63" t="str">
        <f>IFERROR(__xludf.DUMMYFUNCTION("IF(ISBLANK(A2171),,IF(ISBLANK(S2171), A2171&amp;"";"", TEXTJOIN(CHAR(10), TRUE, A2171&amp;"";"", ARRAYFORMULA(VLOOKUP(SPLIT(S2171, "";"" &amp; CHAR(10)), $A:$AO, 41, FALSE)))))"),"MPN;")</f>
        <v>MPN;</v>
      </c>
      <c r="AP2171" s="89"/>
    </row>
    <row r="2172">
      <c r="A2172" s="151" t="str">
        <f>IFERROR(__xludf.DUMMYFUNCTION("""COMPUTED_VALUE"""),"LPA")</f>
        <v>LPA</v>
      </c>
      <c r="B2172" s="42" t="str">
        <f>IFERROR(__xludf.DUMMYFUNCTION("""COMPUTED_VALUE"""),"DHBA")</f>
        <v>DHBA</v>
      </c>
      <c r="C2172" s="42" t="str">
        <f>IFERROR(__xludf.DUMMYFUNCTION("""COMPUTED_VALUE"""),"lateral preoptic area")</f>
        <v>lateral preoptic area</v>
      </c>
      <c r="D2172" s="42">
        <f>IFERROR(__xludf.DUMMYFUNCTION("""COMPUTED_VALUE"""),2055.0)</f>
        <v>2055</v>
      </c>
      <c r="E2172" s="39" t="str">
        <f>IFERROR(__xludf.DUMMYFUNCTION("""COMPUTED_VALUE"""),"lateral preoptic area")</f>
        <v>lateral preoptic area</v>
      </c>
      <c r="F2172" s="9" t="str">
        <f>IFERROR(__xludf.DUMMYFUNCTION("""COMPUTED_VALUE"""),"Br")</f>
        <v>Br</v>
      </c>
      <c r="G2172" s="9" t="str">
        <f>IFERROR(__xludf.DUMMYFUNCTION("""COMPUTED_VALUE"""),"F")</f>
        <v>F</v>
      </c>
      <c r="H2172" s="9" t="str">
        <f>IFERROR(__xludf.DUMMYFUNCTION("""COMPUTED_VALUE"""),"FGM")</f>
        <v>FGM</v>
      </c>
      <c r="I2172" s="9" t="str">
        <f>IFERROR(__xludf.DUMMYFUNCTION("""COMPUTED_VALUE"""),"Die")</f>
        <v>Die</v>
      </c>
      <c r="J2172" s="9" t="str">
        <f>IFERROR(__xludf.DUMMYFUNCTION("""COMPUTED_VALUE"""),"HTH")</f>
        <v>HTH</v>
      </c>
      <c r="K2172" s="9" t="str">
        <f>IFERROR(__xludf.DUMMYFUNCTION("""COMPUTED_VALUE"""),"HTHpo")</f>
        <v>HTHpo</v>
      </c>
      <c r="L2172" s="9" t="str">
        <f>IFERROR(__xludf.DUMMYFUNCTION("""COMPUTED_VALUE"""),"LPA")</f>
        <v>LPA</v>
      </c>
      <c r="M2172" s="9"/>
      <c r="N2172" s="9"/>
      <c r="O2172" s="9"/>
      <c r="P2172" s="9"/>
      <c r="Q2172" s="9"/>
      <c r="R2172" s="9"/>
      <c r="S2172" s="42"/>
      <c r="T2172" s="42"/>
      <c r="U2172" s="42"/>
      <c r="V2172" s="42"/>
      <c r="W2172" s="42"/>
      <c r="X2172" s="42"/>
      <c r="Y2172" s="42"/>
      <c r="Z2172" s="42"/>
      <c r="AA2172" s="42"/>
      <c r="AB2172" s="42" t="str">
        <f>IFERROR(__xludf.DUMMYFUNCTION("""COMPUTED_VALUE"""),"allen institute")</f>
        <v>allen institute</v>
      </c>
      <c r="AC2172" s="42" t="str">
        <f>IFERROR(__xludf.DUMMYFUNCTION("""COMPUTED_VALUE"""),"DHBA")</f>
        <v>DHBA</v>
      </c>
      <c r="AD2172" s="42"/>
      <c r="AE2172" s="42"/>
      <c r="AF2172" s="9"/>
      <c r="AG2172" s="9"/>
      <c r="AH2172" s="42"/>
      <c r="AI2172" s="42"/>
      <c r="AJ2172" s="42"/>
      <c r="AK2172" s="42"/>
      <c r="AL2172" s="42"/>
      <c r="AM2172" s="42"/>
      <c r="AN2172" s="42"/>
      <c r="AO2172" s="63" t="str">
        <f>IFERROR(__xludf.DUMMYFUNCTION("IF(ISBLANK(A2172),,IF(ISBLANK(S2172), A2172&amp;"";"", TEXTJOIN(CHAR(10), TRUE, A2172&amp;"";"", ARRAYFORMULA(VLOOKUP(SPLIT(S2172, "";"" &amp; CHAR(10)), $A:$AO, 41, FALSE)))))"),"LPA;")</f>
        <v>LPA;</v>
      </c>
      <c r="AP2172" s="89"/>
    </row>
    <row r="2173">
      <c r="A2173" s="151" t="str">
        <f>IFERROR(__xludf.DUMMYFUNCTION("""COMPUTED_VALUE"""),"IMH")</f>
        <v>IMH</v>
      </c>
      <c r="B2173" s="42" t="str">
        <f>IFERROR(__xludf.DUMMYFUNCTION("""COMPUTED_VALUE"""),"DHBA")</f>
        <v>DHBA</v>
      </c>
      <c r="C2173" s="42" t="str">
        <f>IFERROR(__xludf.DUMMYFUNCTION("""COMPUTED_VALUE"""),"intermediate (sexually dimorphic) hypothalamic nuclei")</f>
        <v>intermediate (sexually dimorphic) hypothalamic nuclei</v>
      </c>
      <c r="D2173" s="42">
        <f>IFERROR(__xludf.DUMMYFUNCTION("""COMPUTED_VALUE"""),2056.0)</f>
        <v>2056</v>
      </c>
      <c r="E2173" s="39" t="str">
        <f>IFERROR(__xludf.DUMMYFUNCTION("""COMPUTED_VALUE"""),"intermediate (sexually dimorphic) hypothalamic nuclei")</f>
        <v>intermediate (sexually dimorphic) hypothalamic nuclei</v>
      </c>
      <c r="F2173" s="9" t="str">
        <f>IFERROR(__xludf.DUMMYFUNCTION("""COMPUTED_VALUE"""),"Br")</f>
        <v>Br</v>
      </c>
      <c r="G2173" s="9" t="str">
        <f>IFERROR(__xludf.DUMMYFUNCTION("""COMPUTED_VALUE"""),"F")</f>
        <v>F</v>
      </c>
      <c r="H2173" s="9" t="str">
        <f>IFERROR(__xludf.DUMMYFUNCTION("""COMPUTED_VALUE"""),"FGM")</f>
        <v>FGM</v>
      </c>
      <c r="I2173" s="9" t="str">
        <f>IFERROR(__xludf.DUMMYFUNCTION("""COMPUTED_VALUE"""),"Die")</f>
        <v>Die</v>
      </c>
      <c r="J2173" s="9" t="str">
        <f>IFERROR(__xludf.DUMMYFUNCTION("""COMPUTED_VALUE"""),"HTH")</f>
        <v>HTH</v>
      </c>
      <c r="K2173" s="9" t="str">
        <f>IFERROR(__xludf.DUMMYFUNCTION("""COMPUTED_VALUE"""),"HTHpo")</f>
        <v>HTHpo</v>
      </c>
      <c r="L2173" s="9" t="str">
        <f>IFERROR(__xludf.DUMMYFUNCTION("""COMPUTED_VALUE"""),"IMH")</f>
        <v>IMH</v>
      </c>
      <c r="M2173" s="9"/>
      <c r="N2173" s="9"/>
      <c r="O2173" s="9"/>
      <c r="P2173" s="9"/>
      <c r="Q2173" s="9"/>
      <c r="R2173" s="9"/>
      <c r="S2173" s="42"/>
      <c r="T2173" s="42"/>
      <c r="U2173" s="42"/>
      <c r="V2173" s="42"/>
      <c r="W2173" s="42"/>
      <c r="X2173" s="42"/>
      <c r="Y2173" s="42"/>
      <c r="Z2173" s="42"/>
      <c r="AA2173" s="42"/>
      <c r="AB2173" s="42" t="str">
        <f>IFERROR(__xludf.DUMMYFUNCTION("""COMPUTED_VALUE"""),"allen institute")</f>
        <v>allen institute</v>
      </c>
      <c r="AC2173" s="42" t="str">
        <f>IFERROR(__xludf.DUMMYFUNCTION("""COMPUTED_VALUE"""),"DHBA")</f>
        <v>DHBA</v>
      </c>
      <c r="AD2173" s="42"/>
      <c r="AE2173" s="42"/>
      <c r="AF2173" s="9"/>
      <c r="AG2173" s="9"/>
      <c r="AH2173" s="42"/>
      <c r="AI2173" s="42"/>
      <c r="AJ2173" s="42"/>
      <c r="AK2173" s="42"/>
      <c r="AL2173" s="42"/>
      <c r="AM2173" s="42"/>
      <c r="AN2173" s="42"/>
      <c r="AO2173" s="63" t="str">
        <f>IFERROR(__xludf.DUMMYFUNCTION("IF(ISBLANK(A2173),,IF(ISBLANK(S2173), A2173&amp;"";"", TEXTJOIN(CHAR(10), TRUE, A2173&amp;"";"", ARRAYFORMULA(VLOOKUP(SPLIT(S2173, "";"" &amp; CHAR(10)), $A:$AO, 41, FALSE)))))"),"IMH;")</f>
        <v>IMH;</v>
      </c>
      <c r="AP2173" s="89"/>
    </row>
    <row r="2174">
      <c r="A2174" s="151" t="str">
        <f>IFERROR(__xludf.DUMMYFUNCTION("""COMPUTED_VALUE"""),"MnPO")</f>
        <v>MnPO</v>
      </c>
      <c r="B2174" s="42" t="str">
        <f>IFERROR(__xludf.DUMMYFUNCTION("""COMPUTED_VALUE"""),"DHBA")</f>
        <v>DHBA</v>
      </c>
      <c r="C2174" s="42" t="str">
        <f>IFERROR(__xludf.DUMMYFUNCTION("""COMPUTED_VALUE"""),"median preoptic nucleus")</f>
        <v>median preoptic nucleus</v>
      </c>
      <c r="D2174" s="42">
        <f>IFERROR(__xludf.DUMMYFUNCTION("""COMPUTED_VALUE"""),2057.0)</f>
        <v>2057</v>
      </c>
      <c r="E2174" s="39" t="str">
        <f>IFERROR(__xludf.DUMMYFUNCTION("""COMPUTED_VALUE"""),"median preoptic nucleus")</f>
        <v>median preoptic nucleus</v>
      </c>
      <c r="F2174" s="9" t="str">
        <f>IFERROR(__xludf.DUMMYFUNCTION("""COMPUTED_VALUE"""),"Br")</f>
        <v>Br</v>
      </c>
      <c r="G2174" s="9" t="str">
        <f>IFERROR(__xludf.DUMMYFUNCTION("""COMPUTED_VALUE"""),"F")</f>
        <v>F</v>
      </c>
      <c r="H2174" s="9" t="str">
        <f>IFERROR(__xludf.DUMMYFUNCTION("""COMPUTED_VALUE"""),"FGM")</f>
        <v>FGM</v>
      </c>
      <c r="I2174" s="9" t="str">
        <f>IFERROR(__xludf.DUMMYFUNCTION("""COMPUTED_VALUE"""),"Die")</f>
        <v>Die</v>
      </c>
      <c r="J2174" s="9" t="str">
        <f>IFERROR(__xludf.DUMMYFUNCTION("""COMPUTED_VALUE"""),"HTH")</f>
        <v>HTH</v>
      </c>
      <c r="K2174" s="9" t="str">
        <f>IFERROR(__xludf.DUMMYFUNCTION("""COMPUTED_VALUE"""),"HTHpo")</f>
        <v>HTHpo</v>
      </c>
      <c r="L2174" s="9" t="str">
        <f>IFERROR(__xludf.DUMMYFUNCTION("""COMPUTED_VALUE"""),"MnPO")</f>
        <v>MnPO</v>
      </c>
      <c r="M2174" s="9"/>
      <c r="N2174" s="9"/>
      <c r="O2174" s="9"/>
      <c r="P2174" s="9"/>
      <c r="Q2174" s="9"/>
      <c r="R2174" s="9"/>
      <c r="S2174" s="42"/>
      <c r="T2174" s="42"/>
      <c r="U2174" s="42"/>
      <c r="V2174" s="42"/>
      <c r="W2174" s="42"/>
      <c r="X2174" s="42"/>
      <c r="Y2174" s="42"/>
      <c r="Z2174" s="42"/>
      <c r="AA2174" s="42"/>
      <c r="AB2174" s="42" t="str">
        <f>IFERROR(__xludf.DUMMYFUNCTION("""COMPUTED_VALUE"""),"allen institute")</f>
        <v>allen institute</v>
      </c>
      <c r="AC2174" s="42" t="str">
        <f>IFERROR(__xludf.DUMMYFUNCTION("""COMPUTED_VALUE"""),"DHBA")</f>
        <v>DHBA</v>
      </c>
      <c r="AD2174" s="42"/>
      <c r="AE2174" s="42"/>
      <c r="AF2174" s="9"/>
      <c r="AG2174" s="9"/>
      <c r="AH2174" s="42"/>
      <c r="AI2174" s="42"/>
      <c r="AJ2174" s="42"/>
      <c r="AK2174" s="42"/>
      <c r="AL2174" s="42"/>
      <c r="AM2174" s="42"/>
      <c r="AN2174" s="42"/>
      <c r="AO2174" s="63" t="str">
        <f>IFERROR(__xludf.DUMMYFUNCTION("IF(ISBLANK(A2174),,IF(ISBLANK(S2174), A2174&amp;"";"", TEXTJOIN(CHAR(10), TRUE, A2174&amp;"";"", ARRAYFORMULA(VLOOKUP(SPLIT(S2174, "";"" &amp; CHAR(10)), $A:$AO, 41, FALSE)))))"),"MnPO;")</f>
        <v>MnPO;</v>
      </c>
      <c r="AP2174" s="89"/>
    </row>
    <row r="2175">
      <c r="A2175" s="151" t="str">
        <f>IFERROR(__xludf.DUMMYFUNCTION("""COMPUTED_VALUE"""),"HTHso")</f>
        <v>HTHso</v>
      </c>
      <c r="B2175" s="42" t="str">
        <f>IFERROR(__xludf.DUMMYFUNCTION("""COMPUTED_VALUE"""),"DHBA")</f>
        <v>DHBA</v>
      </c>
      <c r="C2175" s="42" t="str">
        <f>IFERROR(__xludf.DUMMYFUNCTION("""COMPUTED_VALUE"""),"supraoptic region of HTH, Supraoptic nucleus, SO")</f>
        <v>supraoptic region of HTH, Supraoptic nucleus, SO</v>
      </c>
      <c r="D2175" s="42">
        <f>IFERROR(__xludf.DUMMYFUNCTION("""COMPUTED_VALUE"""),2058.0)</f>
        <v>2058</v>
      </c>
      <c r="E2175" s="39" t="str">
        <f>IFERROR(__xludf.DUMMYFUNCTION("""COMPUTED_VALUE"""),"supraoptic region of HTH")</f>
        <v>supraoptic region of HTH</v>
      </c>
      <c r="F2175" s="9" t="str">
        <f>IFERROR(__xludf.DUMMYFUNCTION("""COMPUTED_VALUE"""),"Br")</f>
        <v>Br</v>
      </c>
      <c r="G2175" s="9" t="str">
        <f>IFERROR(__xludf.DUMMYFUNCTION("""COMPUTED_VALUE"""),"F")</f>
        <v>F</v>
      </c>
      <c r="H2175" s="9" t="str">
        <f>IFERROR(__xludf.DUMMYFUNCTION("""COMPUTED_VALUE"""),"FGM")</f>
        <v>FGM</v>
      </c>
      <c r="I2175" s="9" t="str">
        <f>IFERROR(__xludf.DUMMYFUNCTION("""COMPUTED_VALUE"""),"Die")</f>
        <v>Die</v>
      </c>
      <c r="J2175" s="9" t="str">
        <f>IFERROR(__xludf.DUMMYFUNCTION("""COMPUTED_VALUE"""),"HTH")</f>
        <v>HTH</v>
      </c>
      <c r="K2175" s="9" t="str">
        <f>IFERROR(__xludf.DUMMYFUNCTION("""COMPUTED_VALUE"""),"HTHso")</f>
        <v>HTHso</v>
      </c>
      <c r="L2175" s="9"/>
      <c r="M2175" s="9"/>
      <c r="N2175" s="9"/>
      <c r="O2175" s="9"/>
      <c r="P2175" s="9"/>
      <c r="Q2175" s="9"/>
      <c r="R2175" s="9"/>
      <c r="S2175" s="42" t="str">
        <f>IFERROR(__xludf.DUMMYFUNCTION("""COMPUTED_VALUE"""),"PeVso;
AHN;
AnHA;
PV;
UnN;
SCN;
RCN;
SO;
LHAa;
SuV;
SPZ")</f>
        <v>PeVso;
AHN;
AnHA;
PV;
UnN;
SCN;
RCN;
SO;
LHAa;
SuV;
SPZ</v>
      </c>
      <c r="T2175" s="42"/>
      <c r="U2175" s="42" t="b">
        <f>IFERROR(__xludf.DUMMYFUNCTION("""COMPUTED_VALUE"""),FALSE)</f>
        <v>0</v>
      </c>
      <c r="V2175" s="42"/>
      <c r="W2175" s="42"/>
      <c r="X2175" s="42"/>
      <c r="Y2175" s="42"/>
      <c r="Z2175" s="42"/>
      <c r="AA2175" s="42"/>
      <c r="AB2175" s="42" t="str">
        <f>IFERROR(__xludf.DUMMYFUNCTION("""COMPUTED_VALUE"""),"allen institute")</f>
        <v>allen institute</v>
      </c>
      <c r="AC2175" s="42" t="str">
        <f>IFERROR(__xludf.DUMMYFUNCTION("""COMPUTED_VALUE"""),"DHBA")</f>
        <v>DHBA</v>
      </c>
      <c r="AD2175" s="42"/>
      <c r="AE2175" s="42"/>
      <c r="AF2175" s="9"/>
      <c r="AG2175" s="9"/>
      <c r="AH2175" s="42"/>
      <c r="AI2175" s="42"/>
      <c r="AJ2175" s="42"/>
      <c r="AK2175" s="42"/>
      <c r="AL2175" s="42"/>
      <c r="AM2175" s="42"/>
      <c r="AN2175" s="42"/>
      <c r="AO2175" s="63" t="str">
        <f>IFERROR(__xludf.DUMMYFUNCTION("IF(ISBLANK(A2175),,IF(ISBLANK(S2175), A2175&amp;"";"", TEXTJOIN(CHAR(10), TRUE, A2175&amp;"";"", ARRAYFORMULA(VLOOKUP(SPLIT(S2175, "";"" &amp; CHAR(10)), $A:$AO, 41, FALSE)))))"),"HTHso;
PeVso;
AHN;
AnHA;
PV;
PVd;
PVmc;
PVpc;
PVpo;
UnN;
SCN;
SCNd;
SCNc;
RCN;
SO;
SOm;
SOl;
LHAa;
SuV;
SPZ;")</f>
        <v>HTHso;
PeVso;
AHN;
AnHA;
PV;
PVd;
PVmc;
PVpc;
PVpo;
UnN;
SCN;
SCNd;
SCNc;
RCN;
SO;
SOm;
SOl;
LHAa;
SuV;
SPZ;</v>
      </c>
      <c r="AP2175" s="89"/>
    </row>
    <row r="2176">
      <c r="A2176" s="151" t="str">
        <f>IFERROR(__xludf.DUMMYFUNCTION("""COMPUTED_VALUE"""),"PeVso")</f>
        <v>PeVso</v>
      </c>
      <c r="B2176" s="42" t="str">
        <f>IFERROR(__xludf.DUMMYFUNCTION("""COMPUTED_VALUE"""),"DHBA")</f>
        <v>DHBA</v>
      </c>
      <c r="C2176" s="42" t="str">
        <f>IFERROR(__xludf.DUMMYFUNCTION("""COMPUTED_VALUE"""),"periventricular nucleus, supraoptic portion")</f>
        <v>periventricular nucleus, supraoptic portion</v>
      </c>
      <c r="D2176" s="42">
        <f>IFERROR(__xludf.DUMMYFUNCTION("""COMPUTED_VALUE"""),2059.0)</f>
        <v>2059</v>
      </c>
      <c r="E2176" s="39" t="str">
        <f>IFERROR(__xludf.DUMMYFUNCTION("""COMPUTED_VALUE"""),"periventricular nucleus, supraoptic portion")</f>
        <v>periventricular nucleus, supraoptic portion</v>
      </c>
      <c r="F2176" s="9" t="str">
        <f>IFERROR(__xludf.DUMMYFUNCTION("""COMPUTED_VALUE"""),"Br")</f>
        <v>Br</v>
      </c>
      <c r="G2176" s="9" t="str">
        <f>IFERROR(__xludf.DUMMYFUNCTION("""COMPUTED_VALUE"""),"F")</f>
        <v>F</v>
      </c>
      <c r="H2176" s="9" t="str">
        <f>IFERROR(__xludf.DUMMYFUNCTION("""COMPUTED_VALUE"""),"FGM")</f>
        <v>FGM</v>
      </c>
      <c r="I2176" s="9" t="str">
        <f>IFERROR(__xludf.DUMMYFUNCTION("""COMPUTED_VALUE"""),"Die")</f>
        <v>Die</v>
      </c>
      <c r="J2176" s="9" t="str">
        <f>IFERROR(__xludf.DUMMYFUNCTION("""COMPUTED_VALUE"""),"HTH")</f>
        <v>HTH</v>
      </c>
      <c r="K2176" s="9" t="str">
        <f>IFERROR(__xludf.DUMMYFUNCTION("""COMPUTED_VALUE"""),"HTHso")</f>
        <v>HTHso</v>
      </c>
      <c r="L2176" s="9" t="str">
        <f>IFERROR(__xludf.DUMMYFUNCTION("""COMPUTED_VALUE"""),"PeVso")</f>
        <v>PeVso</v>
      </c>
      <c r="M2176" s="9"/>
      <c r="N2176" s="9"/>
      <c r="O2176" s="9"/>
      <c r="P2176" s="9"/>
      <c r="Q2176" s="9"/>
      <c r="R2176" s="9"/>
      <c r="S2176" s="42"/>
      <c r="T2176" s="42"/>
      <c r="U2176" s="42"/>
      <c r="V2176" s="42"/>
      <c r="W2176" s="42"/>
      <c r="X2176" s="42"/>
      <c r="Y2176" s="42"/>
      <c r="Z2176" s="42"/>
      <c r="AA2176" s="42"/>
      <c r="AB2176" s="42" t="str">
        <f>IFERROR(__xludf.DUMMYFUNCTION("""COMPUTED_VALUE"""),"allen institute")</f>
        <v>allen institute</v>
      </c>
      <c r="AC2176" s="42" t="str">
        <f>IFERROR(__xludf.DUMMYFUNCTION("""COMPUTED_VALUE"""),"DHBA")</f>
        <v>DHBA</v>
      </c>
      <c r="AD2176" s="42"/>
      <c r="AE2176" s="42"/>
      <c r="AF2176" s="9"/>
      <c r="AG2176" s="9"/>
      <c r="AH2176" s="42"/>
      <c r="AI2176" s="42"/>
      <c r="AJ2176" s="42"/>
      <c r="AK2176" s="42"/>
      <c r="AL2176" s="42"/>
      <c r="AM2176" s="42"/>
      <c r="AN2176" s="42"/>
      <c r="AO2176" s="63" t="str">
        <f>IFERROR(__xludf.DUMMYFUNCTION("IF(ISBLANK(A2176),,IF(ISBLANK(S2176), A2176&amp;"";"", TEXTJOIN(CHAR(10), TRUE, A2176&amp;"";"", ARRAYFORMULA(VLOOKUP(SPLIT(S2176, "";"" &amp; CHAR(10)), $A:$AO, 41, FALSE)))))"),"PeVso;")</f>
        <v>PeVso;</v>
      </c>
      <c r="AP2176" s="89"/>
    </row>
    <row r="2177">
      <c r="A2177" s="151" t="str">
        <f>IFERROR(__xludf.DUMMYFUNCTION("""COMPUTED_VALUE"""),"AHN")</f>
        <v>AHN</v>
      </c>
      <c r="B2177" s="42" t="str">
        <f>IFERROR(__xludf.DUMMYFUNCTION("""COMPUTED_VALUE"""),"DHBA")</f>
        <v>DHBA</v>
      </c>
      <c r="C2177" s="42" t="str">
        <f>IFERROR(__xludf.DUMMYFUNCTION("""COMPUTED_VALUE"""),"Anterior hypothalamic area/nucleus, AH")</f>
        <v>Anterior hypothalamic area/nucleus, AH</v>
      </c>
      <c r="D2177" s="42">
        <f>IFERROR(__xludf.DUMMYFUNCTION("""COMPUTED_VALUE"""),2060.0)</f>
        <v>2060</v>
      </c>
      <c r="E2177" s="39" t="str">
        <f>IFERROR(__xludf.DUMMYFUNCTION("""COMPUTED_VALUE"""),"anterior hypothalamic nucleus")</f>
        <v>anterior hypothalamic nucleus</v>
      </c>
      <c r="F2177" s="9" t="str">
        <f>IFERROR(__xludf.DUMMYFUNCTION("""COMPUTED_VALUE"""),"Br")</f>
        <v>Br</v>
      </c>
      <c r="G2177" s="9" t="str">
        <f>IFERROR(__xludf.DUMMYFUNCTION("""COMPUTED_VALUE"""),"F")</f>
        <v>F</v>
      </c>
      <c r="H2177" s="9" t="str">
        <f>IFERROR(__xludf.DUMMYFUNCTION("""COMPUTED_VALUE"""),"FGM")</f>
        <v>FGM</v>
      </c>
      <c r="I2177" s="9" t="str">
        <f>IFERROR(__xludf.DUMMYFUNCTION("""COMPUTED_VALUE"""),"Die")</f>
        <v>Die</v>
      </c>
      <c r="J2177" s="9" t="str">
        <f>IFERROR(__xludf.DUMMYFUNCTION("""COMPUTED_VALUE"""),"HTH")</f>
        <v>HTH</v>
      </c>
      <c r="K2177" s="9" t="str">
        <f>IFERROR(__xludf.DUMMYFUNCTION("""COMPUTED_VALUE"""),"HTHso")</f>
        <v>HTHso</v>
      </c>
      <c r="L2177" s="9" t="str">
        <f>IFERROR(__xludf.DUMMYFUNCTION("""COMPUTED_VALUE"""),"AHN")</f>
        <v>AHN</v>
      </c>
      <c r="M2177" s="9"/>
      <c r="N2177" s="9"/>
      <c r="O2177" s="9"/>
      <c r="P2177" s="9"/>
      <c r="Q2177" s="9"/>
      <c r="R2177" s="9"/>
      <c r="S2177" s="42"/>
      <c r="T2177" s="42"/>
      <c r="U2177" s="42"/>
      <c r="V2177" s="42"/>
      <c r="W2177" s="42"/>
      <c r="X2177" s="42"/>
      <c r="Y2177" s="42"/>
      <c r="Z2177" s="42"/>
      <c r="AA2177" s="42"/>
      <c r="AB2177" s="42" t="str">
        <f>IFERROR(__xludf.DUMMYFUNCTION("""COMPUTED_VALUE"""),"allen institute")</f>
        <v>allen institute</v>
      </c>
      <c r="AC2177" s="42" t="str">
        <f>IFERROR(__xludf.DUMMYFUNCTION("""COMPUTED_VALUE"""),"DHBA")</f>
        <v>DHBA</v>
      </c>
      <c r="AD2177" s="42"/>
      <c r="AE2177" s="42"/>
      <c r="AF2177" s="9"/>
      <c r="AG2177" s="9"/>
      <c r="AH2177" s="42"/>
      <c r="AI2177" s="42"/>
      <c r="AJ2177" s="42"/>
      <c r="AK2177" s="42"/>
      <c r="AL2177" s="42"/>
      <c r="AM2177" s="42"/>
      <c r="AN2177" s="42"/>
      <c r="AO2177" s="63" t="str">
        <f>IFERROR(__xludf.DUMMYFUNCTION("IF(ISBLANK(A2177),,IF(ISBLANK(S2177), A2177&amp;"";"", TEXTJOIN(CHAR(10), TRUE, A2177&amp;"";"", ARRAYFORMULA(VLOOKUP(SPLIT(S2177, "";"" &amp; CHAR(10)), $A:$AO, 41, FALSE)))))"),"AHN;")</f>
        <v>AHN;</v>
      </c>
      <c r="AP2177" s="89"/>
    </row>
    <row r="2178">
      <c r="A2178" s="151" t="str">
        <f>IFERROR(__xludf.DUMMYFUNCTION("""COMPUTED_VALUE"""),"AnHA")</f>
        <v>AnHA</v>
      </c>
      <c r="B2178" s="42" t="str">
        <f>IFERROR(__xludf.DUMMYFUNCTION("""COMPUTED_VALUE"""),"DHBA")</f>
        <v>DHBA</v>
      </c>
      <c r="C2178" s="42" t="str">
        <f>IFERROR(__xludf.DUMMYFUNCTION("""COMPUTED_VALUE"""),"anterior hypothalamic area")</f>
        <v>anterior hypothalamic area</v>
      </c>
      <c r="D2178" s="42">
        <f>IFERROR(__xludf.DUMMYFUNCTION("""COMPUTED_VALUE"""),2061.0)</f>
        <v>2061</v>
      </c>
      <c r="E2178" s="39" t="str">
        <f>IFERROR(__xludf.DUMMYFUNCTION("""COMPUTED_VALUE"""),"anterior hypothalamic area")</f>
        <v>anterior hypothalamic area</v>
      </c>
      <c r="F2178" s="9" t="str">
        <f>IFERROR(__xludf.DUMMYFUNCTION("""COMPUTED_VALUE"""),"Br")</f>
        <v>Br</v>
      </c>
      <c r="G2178" s="9" t="str">
        <f>IFERROR(__xludf.DUMMYFUNCTION("""COMPUTED_VALUE"""),"F")</f>
        <v>F</v>
      </c>
      <c r="H2178" s="9" t="str">
        <f>IFERROR(__xludf.DUMMYFUNCTION("""COMPUTED_VALUE"""),"FGM")</f>
        <v>FGM</v>
      </c>
      <c r="I2178" s="9" t="str">
        <f>IFERROR(__xludf.DUMMYFUNCTION("""COMPUTED_VALUE"""),"Die")</f>
        <v>Die</v>
      </c>
      <c r="J2178" s="9" t="str">
        <f>IFERROR(__xludf.DUMMYFUNCTION("""COMPUTED_VALUE"""),"HTH")</f>
        <v>HTH</v>
      </c>
      <c r="K2178" s="9" t="str">
        <f>IFERROR(__xludf.DUMMYFUNCTION("""COMPUTED_VALUE"""),"HTHso")</f>
        <v>HTHso</v>
      </c>
      <c r="L2178" s="9" t="str">
        <f>IFERROR(__xludf.DUMMYFUNCTION("""COMPUTED_VALUE"""),"AnHA")</f>
        <v>AnHA</v>
      </c>
      <c r="M2178" s="9"/>
      <c r="N2178" s="9"/>
      <c r="O2178" s="9"/>
      <c r="P2178" s="9"/>
      <c r="Q2178" s="9"/>
      <c r="R2178" s="9"/>
      <c r="S2178" s="42"/>
      <c r="T2178" s="42"/>
      <c r="U2178" s="42"/>
      <c r="V2178" s="42"/>
      <c r="W2178" s="42"/>
      <c r="X2178" s="42"/>
      <c r="Y2178" s="42"/>
      <c r="Z2178" s="42"/>
      <c r="AA2178" s="42"/>
      <c r="AB2178" s="42" t="str">
        <f>IFERROR(__xludf.DUMMYFUNCTION("""COMPUTED_VALUE"""),"allen institute")</f>
        <v>allen institute</v>
      </c>
      <c r="AC2178" s="42" t="str">
        <f>IFERROR(__xludf.DUMMYFUNCTION("""COMPUTED_VALUE"""),"DHBA")</f>
        <v>DHBA</v>
      </c>
      <c r="AD2178" s="42"/>
      <c r="AE2178" s="42"/>
      <c r="AF2178" s="9"/>
      <c r="AG2178" s="9"/>
      <c r="AH2178" s="42"/>
      <c r="AI2178" s="42"/>
      <c r="AJ2178" s="42"/>
      <c r="AK2178" s="42"/>
      <c r="AL2178" s="42"/>
      <c r="AM2178" s="42"/>
      <c r="AN2178" s="42"/>
      <c r="AO2178" s="63" t="str">
        <f>IFERROR(__xludf.DUMMYFUNCTION("IF(ISBLANK(A2178),,IF(ISBLANK(S2178), A2178&amp;"";"", TEXTJOIN(CHAR(10), TRUE, A2178&amp;"";"", ARRAYFORMULA(VLOOKUP(SPLIT(S2178, "";"" &amp; CHAR(10)), $A:$AO, 41, FALSE)))))"),"AnHA;")</f>
        <v>AnHA;</v>
      </c>
      <c r="AP2178" s="89"/>
    </row>
    <row r="2179">
      <c r="A2179" s="151" t="str">
        <f>IFERROR(__xludf.DUMMYFUNCTION("""COMPUTED_VALUE"""),"PV")</f>
        <v>PV</v>
      </c>
      <c r="B2179" s="42" t="str">
        <f>IFERROR(__xludf.DUMMYFUNCTION("""COMPUTED_VALUE"""),"DHBA")</f>
        <v>DHBA</v>
      </c>
      <c r="C2179" s="42" t="str">
        <f>IFERROR(__xludf.DUMMYFUNCTION("""COMPUTED_VALUE"""),"paraventricular nucleus of hypothalamus")</f>
        <v>paraventricular nucleus of hypothalamus</v>
      </c>
      <c r="D2179" s="42">
        <f>IFERROR(__xludf.DUMMYFUNCTION("""COMPUTED_VALUE"""),2062.0)</f>
        <v>2062</v>
      </c>
      <c r="E2179" s="39" t="str">
        <f>IFERROR(__xludf.DUMMYFUNCTION("""COMPUTED_VALUE"""),"paraventricular nucleus of hypothalamus")</f>
        <v>paraventricular nucleus of hypothalamus</v>
      </c>
      <c r="F2179" s="9" t="str">
        <f>IFERROR(__xludf.DUMMYFUNCTION("""COMPUTED_VALUE"""),"Br")</f>
        <v>Br</v>
      </c>
      <c r="G2179" s="9" t="str">
        <f>IFERROR(__xludf.DUMMYFUNCTION("""COMPUTED_VALUE"""),"F")</f>
        <v>F</v>
      </c>
      <c r="H2179" s="9" t="str">
        <f>IFERROR(__xludf.DUMMYFUNCTION("""COMPUTED_VALUE"""),"FGM")</f>
        <v>FGM</v>
      </c>
      <c r="I2179" s="9" t="str">
        <f>IFERROR(__xludf.DUMMYFUNCTION("""COMPUTED_VALUE"""),"Die")</f>
        <v>Die</v>
      </c>
      <c r="J2179" s="9" t="str">
        <f>IFERROR(__xludf.DUMMYFUNCTION("""COMPUTED_VALUE"""),"HTH")</f>
        <v>HTH</v>
      </c>
      <c r="K2179" s="9" t="str">
        <f>IFERROR(__xludf.DUMMYFUNCTION("""COMPUTED_VALUE"""),"HTHso")</f>
        <v>HTHso</v>
      </c>
      <c r="L2179" s="9" t="str">
        <f>IFERROR(__xludf.DUMMYFUNCTION("""COMPUTED_VALUE"""),"PV")</f>
        <v>PV</v>
      </c>
      <c r="M2179" s="9"/>
      <c r="N2179" s="9"/>
      <c r="O2179" s="9"/>
      <c r="P2179" s="9"/>
      <c r="Q2179" s="9"/>
      <c r="R2179" s="9"/>
      <c r="S2179" s="42" t="str">
        <f>IFERROR(__xludf.DUMMYFUNCTION("""COMPUTED_VALUE"""),"PVd;
PVmc;
PVpc;
PVpo")</f>
        <v>PVd;
PVmc;
PVpc;
PVpo</v>
      </c>
      <c r="T2179" s="42"/>
      <c r="U2179" s="42" t="b">
        <f>IFERROR(__xludf.DUMMYFUNCTION("""COMPUTED_VALUE"""),FALSE)</f>
        <v>0</v>
      </c>
      <c r="V2179" s="42"/>
      <c r="W2179" s="42"/>
      <c r="X2179" s="42"/>
      <c r="Y2179" s="42"/>
      <c r="Z2179" s="42"/>
      <c r="AA2179" s="42"/>
      <c r="AB2179" s="42" t="str">
        <f>IFERROR(__xludf.DUMMYFUNCTION("""COMPUTED_VALUE"""),"allen institute")</f>
        <v>allen institute</v>
      </c>
      <c r="AC2179" s="42" t="str">
        <f>IFERROR(__xludf.DUMMYFUNCTION("""COMPUTED_VALUE"""),"DHBA")</f>
        <v>DHBA</v>
      </c>
      <c r="AD2179" s="42"/>
      <c r="AE2179" s="42"/>
      <c r="AF2179" s="9"/>
      <c r="AG2179" s="9"/>
      <c r="AH2179" s="42"/>
      <c r="AI2179" s="42"/>
      <c r="AJ2179" s="42"/>
      <c r="AK2179" s="42"/>
      <c r="AL2179" s="42"/>
      <c r="AM2179" s="42"/>
      <c r="AN2179" s="42"/>
      <c r="AO2179" s="63" t="str">
        <f>IFERROR(__xludf.DUMMYFUNCTION("IF(ISBLANK(A2179),,IF(ISBLANK(S2179), A2179&amp;"";"", TEXTJOIN(CHAR(10), TRUE, A2179&amp;"";"", ARRAYFORMULA(VLOOKUP(SPLIT(S2179, "";"" &amp; CHAR(10)), $A:$AO, 41, FALSE)))))"),"PV;
PVd;
PVmc;
PVpc;
PVpo;")</f>
        <v>PV;
PVd;
PVmc;
PVpc;
PVpo;</v>
      </c>
      <c r="AP2179" s="89"/>
    </row>
    <row r="2180">
      <c r="A2180" s="151" t="str">
        <f>IFERROR(__xludf.DUMMYFUNCTION("""COMPUTED_VALUE"""),"PVd")</f>
        <v>PVd</v>
      </c>
      <c r="B2180" s="42" t="str">
        <f>IFERROR(__xludf.DUMMYFUNCTION("""COMPUTED_VALUE"""),"DHBA")</f>
        <v>DHBA</v>
      </c>
      <c r="C2180" s="42" t="str">
        <f>IFERROR(__xludf.DUMMYFUNCTION("""COMPUTED_VALUE"""),"descending division of paraventricular nucleus")</f>
        <v>descending division of paraventricular nucleus</v>
      </c>
      <c r="D2180" s="42">
        <f>IFERROR(__xludf.DUMMYFUNCTION("""COMPUTED_VALUE"""),2063.0)</f>
        <v>2063</v>
      </c>
      <c r="E2180" s="39" t="str">
        <f>IFERROR(__xludf.DUMMYFUNCTION("""COMPUTED_VALUE"""),"descending division of paraventricular nucleus")</f>
        <v>descending division of paraventricular nucleus</v>
      </c>
      <c r="F2180" s="9" t="str">
        <f>IFERROR(__xludf.DUMMYFUNCTION("""COMPUTED_VALUE"""),"Br")</f>
        <v>Br</v>
      </c>
      <c r="G2180" s="9" t="str">
        <f>IFERROR(__xludf.DUMMYFUNCTION("""COMPUTED_VALUE"""),"F")</f>
        <v>F</v>
      </c>
      <c r="H2180" s="9" t="str">
        <f>IFERROR(__xludf.DUMMYFUNCTION("""COMPUTED_VALUE"""),"FGM")</f>
        <v>FGM</v>
      </c>
      <c r="I2180" s="9" t="str">
        <f>IFERROR(__xludf.DUMMYFUNCTION("""COMPUTED_VALUE"""),"Die")</f>
        <v>Die</v>
      </c>
      <c r="J2180" s="9" t="str">
        <f>IFERROR(__xludf.DUMMYFUNCTION("""COMPUTED_VALUE"""),"HTH")</f>
        <v>HTH</v>
      </c>
      <c r="K2180" s="9" t="str">
        <f>IFERROR(__xludf.DUMMYFUNCTION("""COMPUTED_VALUE"""),"HTHso")</f>
        <v>HTHso</v>
      </c>
      <c r="L2180" s="9" t="str">
        <f>IFERROR(__xludf.DUMMYFUNCTION("""COMPUTED_VALUE"""),"PV")</f>
        <v>PV</v>
      </c>
      <c r="M2180" s="9" t="str">
        <f>IFERROR(__xludf.DUMMYFUNCTION("""COMPUTED_VALUE"""),"PVd")</f>
        <v>PVd</v>
      </c>
      <c r="N2180" s="9"/>
      <c r="O2180" s="9"/>
      <c r="P2180" s="9"/>
      <c r="Q2180" s="9"/>
      <c r="R2180" s="9"/>
      <c r="S2180" s="42"/>
      <c r="T2180" s="42"/>
      <c r="U2180" s="42"/>
      <c r="V2180" s="42"/>
      <c r="W2180" s="42"/>
      <c r="X2180" s="42"/>
      <c r="Y2180" s="42"/>
      <c r="Z2180" s="42"/>
      <c r="AA2180" s="42"/>
      <c r="AB2180" s="42" t="str">
        <f>IFERROR(__xludf.DUMMYFUNCTION("""COMPUTED_VALUE"""),"allen institute")</f>
        <v>allen institute</v>
      </c>
      <c r="AC2180" s="42" t="str">
        <f>IFERROR(__xludf.DUMMYFUNCTION("""COMPUTED_VALUE"""),"DHBA")</f>
        <v>DHBA</v>
      </c>
      <c r="AD2180" s="42"/>
      <c r="AE2180" s="42"/>
      <c r="AF2180" s="9"/>
      <c r="AG2180" s="9"/>
      <c r="AH2180" s="42"/>
      <c r="AI2180" s="42"/>
      <c r="AJ2180" s="42"/>
      <c r="AK2180" s="42"/>
      <c r="AL2180" s="42"/>
      <c r="AM2180" s="42"/>
      <c r="AN2180" s="42"/>
      <c r="AO2180" s="63" t="str">
        <f>IFERROR(__xludf.DUMMYFUNCTION("IF(ISBLANK(A2180),,IF(ISBLANK(S2180), A2180&amp;"";"", TEXTJOIN(CHAR(10), TRUE, A2180&amp;"";"", ARRAYFORMULA(VLOOKUP(SPLIT(S2180, "";"" &amp; CHAR(10)), $A:$AO, 41, FALSE)))))"),"PVd;")</f>
        <v>PVd;</v>
      </c>
      <c r="AP2180" s="89"/>
    </row>
    <row r="2181">
      <c r="A2181" s="151" t="str">
        <f>IFERROR(__xludf.DUMMYFUNCTION("""COMPUTED_VALUE"""),"PVmc")</f>
        <v>PVmc</v>
      </c>
      <c r="B2181" s="42" t="str">
        <f>IFERROR(__xludf.DUMMYFUNCTION("""COMPUTED_VALUE"""),"DHBA")</f>
        <v>DHBA</v>
      </c>
      <c r="C2181" s="42" t="str">
        <f>IFERROR(__xludf.DUMMYFUNCTION("""COMPUTED_VALUE"""),"magnocellular division of paraventricular nucleus")</f>
        <v>magnocellular division of paraventricular nucleus</v>
      </c>
      <c r="D2181" s="42">
        <f>IFERROR(__xludf.DUMMYFUNCTION("""COMPUTED_VALUE"""),2064.0)</f>
        <v>2064</v>
      </c>
      <c r="E2181" s="39" t="str">
        <f>IFERROR(__xludf.DUMMYFUNCTION("""COMPUTED_VALUE"""),"magnocellular division of paraventricular nucleus")</f>
        <v>magnocellular division of paraventricular nucleus</v>
      </c>
      <c r="F2181" s="9" t="str">
        <f>IFERROR(__xludf.DUMMYFUNCTION("""COMPUTED_VALUE"""),"Br")</f>
        <v>Br</v>
      </c>
      <c r="G2181" s="9" t="str">
        <f>IFERROR(__xludf.DUMMYFUNCTION("""COMPUTED_VALUE"""),"F")</f>
        <v>F</v>
      </c>
      <c r="H2181" s="9" t="str">
        <f>IFERROR(__xludf.DUMMYFUNCTION("""COMPUTED_VALUE"""),"FGM")</f>
        <v>FGM</v>
      </c>
      <c r="I2181" s="9" t="str">
        <f>IFERROR(__xludf.DUMMYFUNCTION("""COMPUTED_VALUE"""),"Die")</f>
        <v>Die</v>
      </c>
      <c r="J2181" s="9" t="str">
        <f>IFERROR(__xludf.DUMMYFUNCTION("""COMPUTED_VALUE"""),"HTH")</f>
        <v>HTH</v>
      </c>
      <c r="K2181" s="9" t="str">
        <f>IFERROR(__xludf.DUMMYFUNCTION("""COMPUTED_VALUE"""),"HTHso")</f>
        <v>HTHso</v>
      </c>
      <c r="L2181" s="9" t="str">
        <f>IFERROR(__xludf.DUMMYFUNCTION("""COMPUTED_VALUE"""),"PV")</f>
        <v>PV</v>
      </c>
      <c r="M2181" s="9" t="str">
        <f>IFERROR(__xludf.DUMMYFUNCTION("""COMPUTED_VALUE"""),"PVmc")</f>
        <v>PVmc</v>
      </c>
      <c r="N2181" s="9"/>
      <c r="O2181" s="9"/>
      <c r="P2181" s="9"/>
      <c r="Q2181" s="9"/>
      <c r="R2181" s="9"/>
      <c r="S2181" s="42"/>
      <c r="T2181" s="42"/>
      <c r="U2181" s="42"/>
      <c r="V2181" s="42"/>
      <c r="W2181" s="42"/>
      <c r="X2181" s="42"/>
      <c r="Y2181" s="42"/>
      <c r="Z2181" s="42"/>
      <c r="AA2181" s="42"/>
      <c r="AB2181" s="42" t="str">
        <f>IFERROR(__xludf.DUMMYFUNCTION("""COMPUTED_VALUE"""),"allen institute")</f>
        <v>allen institute</v>
      </c>
      <c r="AC2181" s="42" t="str">
        <f>IFERROR(__xludf.DUMMYFUNCTION("""COMPUTED_VALUE"""),"DHBA")</f>
        <v>DHBA</v>
      </c>
      <c r="AD2181" s="42"/>
      <c r="AE2181" s="42"/>
      <c r="AF2181" s="9"/>
      <c r="AG2181" s="9"/>
      <c r="AH2181" s="42"/>
      <c r="AI2181" s="42"/>
      <c r="AJ2181" s="42"/>
      <c r="AK2181" s="42"/>
      <c r="AL2181" s="42"/>
      <c r="AM2181" s="42"/>
      <c r="AN2181" s="42"/>
      <c r="AO2181" s="63" t="str">
        <f>IFERROR(__xludf.DUMMYFUNCTION("IF(ISBLANK(A2181),,IF(ISBLANK(S2181), A2181&amp;"";"", TEXTJOIN(CHAR(10), TRUE, A2181&amp;"";"", ARRAYFORMULA(VLOOKUP(SPLIT(S2181, "";"" &amp; CHAR(10)), $A:$AO, 41, FALSE)))))"),"PVmc;")</f>
        <v>PVmc;</v>
      </c>
      <c r="AP2181" s="89"/>
    </row>
    <row r="2182">
      <c r="A2182" s="151" t="str">
        <f>IFERROR(__xludf.DUMMYFUNCTION("""COMPUTED_VALUE"""),"PVpc")</f>
        <v>PVpc</v>
      </c>
      <c r="B2182" s="42" t="str">
        <f>IFERROR(__xludf.DUMMYFUNCTION("""COMPUTED_VALUE"""),"DHBA")</f>
        <v>DHBA</v>
      </c>
      <c r="C2182" s="42" t="str">
        <f>IFERROR(__xludf.DUMMYFUNCTION("""COMPUTED_VALUE"""),"parvicellular division of paraventricular nucleus")</f>
        <v>parvicellular division of paraventricular nucleus</v>
      </c>
      <c r="D2182" s="42">
        <f>IFERROR(__xludf.DUMMYFUNCTION("""COMPUTED_VALUE"""),2065.0)</f>
        <v>2065</v>
      </c>
      <c r="E2182" s="39" t="str">
        <f>IFERROR(__xludf.DUMMYFUNCTION("""COMPUTED_VALUE"""),"parvicellular division of paraventricular nucleus")</f>
        <v>parvicellular division of paraventricular nucleus</v>
      </c>
      <c r="F2182" s="9" t="str">
        <f>IFERROR(__xludf.DUMMYFUNCTION("""COMPUTED_VALUE"""),"Br")</f>
        <v>Br</v>
      </c>
      <c r="G2182" s="9" t="str">
        <f>IFERROR(__xludf.DUMMYFUNCTION("""COMPUTED_VALUE"""),"F")</f>
        <v>F</v>
      </c>
      <c r="H2182" s="9" t="str">
        <f>IFERROR(__xludf.DUMMYFUNCTION("""COMPUTED_VALUE"""),"FGM")</f>
        <v>FGM</v>
      </c>
      <c r="I2182" s="9" t="str">
        <f>IFERROR(__xludf.DUMMYFUNCTION("""COMPUTED_VALUE"""),"Die")</f>
        <v>Die</v>
      </c>
      <c r="J2182" s="9" t="str">
        <f>IFERROR(__xludf.DUMMYFUNCTION("""COMPUTED_VALUE"""),"HTH")</f>
        <v>HTH</v>
      </c>
      <c r="K2182" s="9" t="str">
        <f>IFERROR(__xludf.DUMMYFUNCTION("""COMPUTED_VALUE"""),"HTHso")</f>
        <v>HTHso</v>
      </c>
      <c r="L2182" s="9" t="str">
        <f>IFERROR(__xludf.DUMMYFUNCTION("""COMPUTED_VALUE"""),"PV")</f>
        <v>PV</v>
      </c>
      <c r="M2182" s="9" t="str">
        <f>IFERROR(__xludf.DUMMYFUNCTION("""COMPUTED_VALUE"""),"PVpc")</f>
        <v>PVpc</v>
      </c>
      <c r="N2182" s="9"/>
      <c r="O2182" s="9"/>
      <c r="P2182" s="9"/>
      <c r="Q2182" s="9"/>
      <c r="R2182" s="9"/>
      <c r="S2182" s="42"/>
      <c r="T2182" s="42"/>
      <c r="U2182" s="42"/>
      <c r="V2182" s="42"/>
      <c r="W2182" s="42"/>
      <c r="X2182" s="42"/>
      <c r="Y2182" s="42"/>
      <c r="Z2182" s="42"/>
      <c r="AA2182" s="42"/>
      <c r="AB2182" s="42" t="str">
        <f>IFERROR(__xludf.DUMMYFUNCTION("""COMPUTED_VALUE"""),"allen institute")</f>
        <v>allen institute</v>
      </c>
      <c r="AC2182" s="42" t="str">
        <f>IFERROR(__xludf.DUMMYFUNCTION("""COMPUTED_VALUE"""),"DHBA")</f>
        <v>DHBA</v>
      </c>
      <c r="AD2182" s="42"/>
      <c r="AE2182" s="42"/>
      <c r="AF2182" s="9"/>
      <c r="AG2182" s="9"/>
      <c r="AH2182" s="42"/>
      <c r="AI2182" s="42"/>
      <c r="AJ2182" s="42"/>
      <c r="AK2182" s="42"/>
      <c r="AL2182" s="42"/>
      <c r="AM2182" s="42"/>
      <c r="AN2182" s="42"/>
      <c r="AO2182" s="63" t="str">
        <f>IFERROR(__xludf.DUMMYFUNCTION("IF(ISBLANK(A2182),,IF(ISBLANK(S2182), A2182&amp;"";"", TEXTJOIN(CHAR(10), TRUE, A2182&amp;"";"", ARRAYFORMULA(VLOOKUP(SPLIT(S2182, "";"" &amp; CHAR(10)), $A:$AO, 41, FALSE)))))"),"PVpc;")</f>
        <v>PVpc;</v>
      </c>
      <c r="AP2182" s="89"/>
    </row>
    <row r="2183">
      <c r="A2183" s="151" t="str">
        <f>IFERROR(__xludf.DUMMYFUNCTION("""COMPUTED_VALUE"""),"PVpo")</f>
        <v>PVpo</v>
      </c>
      <c r="B2183" s="42" t="str">
        <f>IFERROR(__xludf.DUMMYFUNCTION("""COMPUTED_VALUE"""),"DHBA")</f>
        <v>DHBA</v>
      </c>
      <c r="C2183" s="42" t="str">
        <f>IFERROR(__xludf.DUMMYFUNCTION("""COMPUTED_VALUE"""),"posterior division of paraventricular nucleus")</f>
        <v>posterior division of paraventricular nucleus</v>
      </c>
      <c r="D2183" s="42">
        <f>IFERROR(__xludf.DUMMYFUNCTION("""COMPUTED_VALUE"""),2066.0)</f>
        <v>2066</v>
      </c>
      <c r="E2183" s="39" t="str">
        <f>IFERROR(__xludf.DUMMYFUNCTION("""COMPUTED_VALUE"""),"posterior division of paraventricular nucleus")</f>
        <v>posterior division of paraventricular nucleus</v>
      </c>
      <c r="F2183" s="9" t="str">
        <f>IFERROR(__xludf.DUMMYFUNCTION("""COMPUTED_VALUE"""),"Br")</f>
        <v>Br</v>
      </c>
      <c r="G2183" s="9" t="str">
        <f>IFERROR(__xludf.DUMMYFUNCTION("""COMPUTED_VALUE"""),"F")</f>
        <v>F</v>
      </c>
      <c r="H2183" s="9" t="str">
        <f>IFERROR(__xludf.DUMMYFUNCTION("""COMPUTED_VALUE"""),"FGM")</f>
        <v>FGM</v>
      </c>
      <c r="I2183" s="9" t="str">
        <f>IFERROR(__xludf.DUMMYFUNCTION("""COMPUTED_VALUE"""),"Die")</f>
        <v>Die</v>
      </c>
      <c r="J2183" s="9" t="str">
        <f>IFERROR(__xludf.DUMMYFUNCTION("""COMPUTED_VALUE"""),"HTH")</f>
        <v>HTH</v>
      </c>
      <c r="K2183" s="9" t="str">
        <f>IFERROR(__xludf.DUMMYFUNCTION("""COMPUTED_VALUE"""),"HTHso")</f>
        <v>HTHso</v>
      </c>
      <c r="L2183" s="9" t="str">
        <f>IFERROR(__xludf.DUMMYFUNCTION("""COMPUTED_VALUE"""),"PV")</f>
        <v>PV</v>
      </c>
      <c r="M2183" s="9" t="str">
        <f>IFERROR(__xludf.DUMMYFUNCTION("""COMPUTED_VALUE"""),"PVpo")</f>
        <v>PVpo</v>
      </c>
      <c r="N2183" s="9"/>
      <c r="O2183" s="9"/>
      <c r="P2183" s="9"/>
      <c r="Q2183" s="9"/>
      <c r="R2183" s="9"/>
      <c r="S2183" s="42"/>
      <c r="T2183" s="42"/>
      <c r="U2183" s="42"/>
      <c r="V2183" s="42"/>
      <c r="W2183" s="42"/>
      <c r="X2183" s="42"/>
      <c r="Y2183" s="42"/>
      <c r="Z2183" s="42"/>
      <c r="AA2183" s="42"/>
      <c r="AB2183" s="42" t="str">
        <f>IFERROR(__xludf.DUMMYFUNCTION("""COMPUTED_VALUE"""),"allen institute")</f>
        <v>allen institute</v>
      </c>
      <c r="AC2183" s="42" t="str">
        <f>IFERROR(__xludf.DUMMYFUNCTION("""COMPUTED_VALUE"""),"DHBA")</f>
        <v>DHBA</v>
      </c>
      <c r="AD2183" s="42"/>
      <c r="AE2183" s="42"/>
      <c r="AF2183" s="9"/>
      <c r="AG2183" s="9"/>
      <c r="AH2183" s="42"/>
      <c r="AI2183" s="42"/>
      <c r="AJ2183" s="42"/>
      <c r="AK2183" s="42"/>
      <c r="AL2183" s="42"/>
      <c r="AM2183" s="42"/>
      <c r="AN2183" s="42"/>
      <c r="AO2183" s="63" t="str">
        <f>IFERROR(__xludf.DUMMYFUNCTION("IF(ISBLANK(A2183),,IF(ISBLANK(S2183), A2183&amp;"";"", TEXTJOIN(CHAR(10), TRUE, A2183&amp;"";"", ARRAYFORMULA(VLOOKUP(SPLIT(S2183, "";"" &amp; CHAR(10)), $A:$AO, 41, FALSE)))))"),"PVpo;")</f>
        <v>PVpo;</v>
      </c>
      <c r="AP2183" s="89"/>
    </row>
    <row r="2184">
      <c r="A2184" s="151" t="str">
        <f>IFERROR(__xludf.DUMMYFUNCTION("""COMPUTED_VALUE"""),"UnN")</f>
        <v>UnN</v>
      </c>
      <c r="B2184" s="42" t="str">
        <f>IFERROR(__xludf.DUMMYFUNCTION("""COMPUTED_VALUE"""),"DHBA")</f>
        <v>DHBA</v>
      </c>
      <c r="C2184" s="42" t="str">
        <f>IFERROR(__xludf.DUMMYFUNCTION("""COMPUTED_VALUE"""),"uncinate nucleus")</f>
        <v>uncinate nucleus</v>
      </c>
      <c r="D2184" s="42">
        <f>IFERROR(__xludf.DUMMYFUNCTION("""COMPUTED_VALUE"""),2067.0)</f>
        <v>2067</v>
      </c>
      <c r="E2184" s="39" t="str">
        <f>IFERROR(__xludf.DUMMYFUNCTION("""COMPUTED_VALUE"""),"uncinate nucleus")</f>
        <v>uncinate nucleus</v>
      </c>
      <c r="F2184" s="9" t="str">
        <f>IFERROR(__xludf.DUMMYFUNCTION("""COMPUTED_VALUE"""),"Br")</f>
        <v>Br</v>
      </c>
      <c r="G2184" s="9" t="str">
        <f>IFERROR(__xludf.DUMMYFUNCTION("""COMPUTED_VALUE"""),"F")</f>
        <v>F</v>
      </c>
      <c r="H2184" s="9" t="str">
        <f>IFERROR(__xludf.DUMMYFUNCTION("""COMPUTED_VALUE"""),"FGM")</f>
        <v>FGM</v>
      </c>
      <c r="I2184" s="9" t="str">
        <f>IFERROR(__xludf.DUMMYFUNCTION("""COMPUTED_VALUE"""),"Die")</f>
        <v>Die</v>
      </c>
      <c r="J2184" s="9" t="str">
        <f>IFERROR(__xludf.DUMMYFUNCTION("""COMPUTED_VALUE"""),"HTH")</f>
        <v>HTH</v>
      </c>
      <c r="K2184" s="9" t="str">
        <f>IFERROR(__xludf.DUMMYFUNCTION("""COMPUTED_VALUE"""),"HTHso")</f>
        <v>HTHso</v>
      </c>
      <c r="L2184" s="9" t="str">
        <f>IFERROR(__xludf.DUMMYFUNCTION("""COMPUTED_VALUE"""),"UnN")</f>
        <v>UnN</v>
      </c>
      <c r="M2184" s="9"/>
      <c r="N2184" s="9"/>
      <c r="O2184" s="9"/>
      <c r="P2184" s="9"/>
      <c r="Q2184" s="9"/>
      <c r="R2184" s="9"/>
      <c r="S2184" s="42"/>
      <c r="T2184" s="42"/>
      <c r="U2184" s="42"/>
      <c r="V2184" s="42"/>
      <c r="W2184" s="42"/>
      <c r="X2184" s="42"/>
      <c r="Y2184" s="42"/>
      <c r="Z2184" s="42"/>
      <c r="AA2184" s="42"/>
      <c r="AB2184" s="42" t="str">
        <f>IFERROR(__xludf.DUMMYFUNCTION("""COMPUTED_VALUE"""),"allen institute")</f>
        <v>allen institute</v>
      </c>
      <c r="AC2184" s="42" t="str">
        <f>IFERROR(__xludf.DUMMYFUNCTION("""COMPUTED_VALUE"""),"DHBA")</f>
        <v>DHBA</v>
      </c>
      <c r="AD2184" s="42"/>
      <c r="AE2184" s="42"/>
      <c r="AF2184" s="9"/>
      <c r="AG2184" s="9"/>
      <c r="AH2184" s="42"/>
      <c r="AI2184" s="42"/>
      <c r="AJ2184" s="42"/>
      <c r="AK2184" s="42"/>
      <c r="AL2184" s="42"/>
      <c r="AM2184" s="42"/>
      <c r="AN2184" s="42"/>
      <c r="AO2184" s="63" t="str">
        <f>IFERROR(__xludf.DUMMYFUNCTION("IF(ISBLANK(A2184),,IF(ISBLANK(S2184), A2184&amp;"";"", TEXTJOIN(CHAR(10), TRUE, A2184&amp;"";"", ARRAYFORMULA(VLOOKUP(SPLIT(S2184, "";"" &amp; CHAR(10)), $A:$AO, 41, FALSE)))))"),"UnN;")</f>
        <v>UnN;</v>
      </c>
      <c r="AP2184" s="89"/>
    </row>
    <row r="2185">
      <c r="A2185" s="151" t="str">
        <f>IFERROR(__xludf.DUMMYFUNCTION("""COMPUTED_VALUE"""),"SCN")</f>
        <v>SCN</v>
      </c>
      <c r="B2185" s="42" t="str">
        <f>IFERROR(__xludf.DUMMYFUNCTION("""COMPUTED_VALUE"""),"DHBA")</f>
        <v>DHBA</v>
      </c>
      <c r="C2185" s="42" t="str">
        <f>IFERROR(__xludf.DUMMYFUNCTION("""COMPUTED_VALUE"""),"suprachiasmatic nucleus, Suprachiasmatic nucleus, SCh")</f>
        <v>suprachiasmatic nucleus, Suprachiasmatic nucleus, SCh</v>
      </c>
      <c r="D2185" s="42">
        <f>IFERROR(__xludf.DUMMYFUNCTION("""COMPUTED_VALUE"""),2068.0)</f>
        <v>2068</v>
      </c>
      <c r="E2185" s="39" t="str">
        <f>IFERROR(__xludf.DUMMYFUNCTION("""COMPUTED_VALUE"""),"suprachiasmatic nucleus")</f>
        <v>suprachiasmatic nucleus</v>
      </c>
      <c r="F2185" s="9" t="str">
        <f>IFERROR(__xludf.DUMMYFUNCTION("""COMPUTED_VALUE"""),"Br")</f>
        <v>Br</v>
      </c>
      <c r="G2185" s="9" t="str">
        <f>IFERROR(__xludf.DUMMYFUNCTION("""COMPUTED_VALUE"""),"F")</f>
        <v>F</v>
      </c>
      <c r="H2185" s="9" t="str">
        <f>IFERROR(__xludf.DUMMYFUNCTION("""COMPUTED_VALUE"""),"FGM")</f>
        <v>FGM</v>
      </c>
      <c r="I2185" s="9" t="str">
        <f>IFERROR(__xludf.DUMMYFUNCTION("""COMPUTED_VALUE"""),"Die")</f>
        <v>Die</v>
      </c>
      <c r="J2185" s="9" t="str">
        <f>IFERROR(__xludf.DUMMYFUNCTION("""COMPUTED_VALUE"""),"HTH")</f>
        <v>HTH</v>
      </c>
      <c r="K2185" s="9" t="str">
        <f>IFERROR(__xludf.DUMMYFUNCTION("""COMPUTED_VALUE"""),"HTHso")</f>
        <v>HTHso</v>
      </c>
      <c r="L2185" s="9" t="str">
        <f>IFERROR(__xludf.DUMMYFUNCTION("""COMPUTED_VALUE"""),"SCN")</f>
        <v>SCN</v>
      </c>
      <c r="M2185" s="9"/>
      <c r="N2185" s="9"/>
      <c r="O2185" s="9"/>
      <c r="P2185" s="9"/>
      <c r="Q2185" s="9"/>
      <c r="R2185" s="9"/>
      <c r="S2185" s="42" t="str">
        <f>IFERROR(__xludf.DUMMYFUNCTION("""COMPUTED_VALUE"""),"SCNd;
SCNc")</f>
        <v>SCNd;
SCNc</v>
      </c>
      <c r="T2185" s="42"/>
      <c r="U2185" s="42" t="b">
        <f>IFERROR(__xludf.DUMMYFUNCTION("""COMPUTED_VALUE"""),FALSE)</f>
        <v>0</v>
      </c>
      <c r="V2185" s="42"/>
      <c r="W2185" s="42"/>
      <c r="X2185" s="42"/>
      <c r="Y2185" s="42"/>
      <c r="Z2185" s="42"/>
      <c r="AA2185" s="42"/>
      <c r="AB2185" s="42" t="str">
        <f>IFERROR(__xludf.DUMMYFUNCTION("""COMPUTED_VALUE"""),"allen institute")</f>
        <v>allen institute</v>
      </c>
      <c r="AC2185" s="42" t="str">
        <f>IFERROR(__xludf.DUMMYFUNCTION("""COMPUTED_VALUE"""),"DHBA")</f>
        <v>DHBA</v>
      </c>
      <c r="AD2185" s="42"/>
      <c r="AE2185" s="42"/>
      <c r="AF2185" s="9"/>
      <c r="AG2185" s="9"/>
      <c r="AH2185" s="42"/>
      <c r="AI2185" s="42"/>
      <c r="AJ2185" s="42"/>
      <c r="AK2185" s="42"/>
      <c r="AL2185" s="42"/>
      <c r="AM2185" s="42"/>
      <c r="AN2185" s="42"/>
      <c r="AO2185" s="63" t="str">
        <f>IFERROR(__xludf.DUMMYFUNCTION("IF(ISBLANK(A2185),,IF(ISBLANK(S2185), A2185&amp;"";"", TEXTJOIN(CHAR(10), TRUE, A2185&amp;"";"", ARRAYFORMULA(VLOOKUP(SPLIT(S2185, "";"" &amp; CHAR(10)), $A:$AO, 41, FALSE)))))"),"SCN;
SCNd;
SCNc;")</f>
        <v>SCN;
SCNd;
SCNc;</v>
      </c>
      <c r="AP2185" s="89"/>
    </row>
    <row r="2186">
      <c r="A2186" s="151" t="str">
        <f>IFERROR(__xludf.DUMMYFUNCTION("""COMPUTED_VALUE"""),"SCNd")</f>
        <v>SCNd</v>
      </c>
      <c r="B2186" s="42" t="str">
        <f>IFERROR(__xludf.DUMMYFUNCTION("""COMPUTED_VALUE"""),"DHBA")</f>
        <v>DHBA</v>
      </c>
      <c r="C2186" s="42" t="str">
        <f>IFERROR(__xludf.DUMMYFUNCTION("""COMPUTED_VALUE"""),"dorsal part of suprachiasmatic nucleus")</f>
        <v>dorsal part of suprachiasmatic nucleus</v>
      </c>
      <c r="D2186" s="42">
        <f>IFERROR(__xludf.DUMMYFUNCTION("""COMPUTED_VALUE"""),2069.0)</f>
        <v>2069</v>
      </c>
      <c r="E2186" s="39" t="str">
        <f>IFERROR(__xludf.DUMMYFUNCTION("""COMPUTED_VALUE"""),"dorsal part of suprachiasmatic nucleus")</f>
        <v>dorsal part of suprachiasmatic nucleus</v>
      </c>
      <c r="F2186" s="9" t="str">
        <f>IFERROR(__xludf.DUMMYFUNCTION("""COMPUTED_VALUE"""),"Br")</f>
        <v>Br</v>
      </c>
      <c r="G2186" s="9" t="str">
        <f>IFERROR(__xludf.DUMMYFUNCTION("""COMPUTED_VALUE"""),"F")</f>
        <v>F</v>
      </c>
      <c r="H2186" s="9" t="str">
        <f>IFERROR(__xludf.DUMMYFUNCTION("""COMPUTED_VALUE"""),"FGM")</f>
        <v>FGM</v>
      </c>
      <c r="I2186" s="9" t="str">
        <f>IFERROR(__xludf.DUMMYFUNCTION("""COMPUTED_VALUE"""),"Die")</f>
        <v>Die</v>
      </c>
      <c r="J2186" s="9" t="str">
        <f>IFERROR(__xludf.DUMMYFUNCTION("""COMPUTED_VALUE"""),"HTH")</f>
        <v>HTH</v>
      </c>
      <c r="K2186" s="9" t="str">
        <f>IFERROR(__xludf.DUMMYFUNCTION("""COMPUTED_VALUE"""),"HTHso")</f>
        <v>HTHso</v>
      </c>
      <c r="L2186" s="9" t="str">
        <f>IFERROR(__xludf.DUMMYFUNCTION("""COMPUTED_VALUE"""),"SCN")</f>
        <v>SCN</v>
      </c>
      <c r="M2186" s="9" t="str">
        <f>IFERROR(__xludf.DUMMYFUNCTION("""COMPUTED_VALUE"""),"SCNd")</f>
        <v>SCNd</v>
      </c>
      <c r="N2186" s="9"/>
      <c r="O2186" s="9"/>
      <c r="P2186" s="9"/>
      <c r="Q2186" s="9"/>
      <c r="R2186" s="9"/>
      <c r="S2186" s="42"/>
      <c r="T2186" s="42"/>
      <c r="U2186" s="159"/>
      <c r="V2186" s="42"/>
      <c r="W2186" s="42"/>
      <c r="X2186" s="42"/>
      <c r="Y2186" s="42"/>
      <c r="Z2186" s="42"/>
      <c r="AA2186" s="42"/>
      <c r="AB2186" s="42" t="str">
        <f>IFERROR(__xludf.DUMMYFUNCTION("""COMPUTED_VALUE"""),"allen institute")</f>
        <v>allen institute</v>
      </c>
      <c r="AC2186" s="42" t="str">
        <f>IFERROR(__xludf.DUMMYFUNCTION("""COMPUTED_VALUE"""),"DHBA")</f>
        <v>DHBA</v>
      </c>
      <c r="AD2186" s="42"/>
      <c r="AE2186" s="42"/>
      <c r="AF2186" s="9"/>
      <c r="AG2186" s="9"/>
      <c r="AH2186" s="42"/>
      <c r="AI2186" s="42"/>
      <c r="AJ2186" s="42"/>
      <c r="AK2186" s="42"/>
      <c r="AL2186" s="42"/>
      <c r="AM2186" s="42"/>
      <c r="AN2186" s="42"/>
      <c r="AO2186" s="63" t="str">
        <f>IFERROR(__xludf.DUMMYFUNCTION("IF(ISBLANK(A2186),,IF(ISBLANK(S2186), A2186&amp;"";"", TEXTJOIN(CHAR(10), TRUE, A2186&amp;"";"", ARRAYFORMULA(VLOOKUP(SPLIT(S2186, "";"" &amp; CHAR(10)), $A:$AO, 41, FALSE)))))"),"SCNd;")</f>
        <v>SCNd;</v>
      </c>
      <c r="AP2186" s="89"/>
    </row>
    <row r="2187">
      <c r="A2187" s="151" t="str">
        <f>IFERROR(__xludf.DUMMYFUNCTION("""COMPUTED_VALUE"""),"SCNc")</f>
        <v>SCNc</v>
      </c>
      <c r="B2187" s="42" t="str">
        <f>IFERROR(__xludf.DUMMYFUNCTION("""COMPUTED_VALUE"""),"DHBA")</f>
        <v>DHBA</v>
      </c>
      <c r="C2187" s="42" t="str">
        <f>IFERROR(__xludf.DUMMYFUNCTION("""COMPUTED_VALUE"""),"central part of suprachiasmatic nucleus")</f>
        <v>central part of suprachiasmatic nucleus</v>
      </c>
      <c r="D2187" s="42">
        <f>IFERROR(__xludf.DUMMYFUNCTION("""COMPUTED_VALUE"""),2070.0)</f>
        <v>2070</v>
      </c>
      <c r="E2187" s="39" t="str">
        <f>IFERROR(__xludf.DUMMYFUNCTION("""COMPUTED_VALUE"""),"central part of suprachiasmatic nucleus")</f>
        <v>central part of suprachiasmatic nucleus</v>
      </c>
      <c r="F2187" s="9" t="str">
        <f>IFERROR(__xludf.DUMMYFUNCTION("""COMPUTED_VALUE"""),"Br")</f>
        <v>Br</v>
      </c>
      <c r="G2187" s="9" t="str">
        <f>IFERROR(__xludf.DUMMYFUNCTION("""COMPUTED_VALUE"""),"F")</f>
        <v>F</v>
      </c>
      <c r="H2187" s="9" t="str">
        <f>IFERROR(__xludf.DUMMYFUNCTION("""COMPUTED_VALUE"""),"FGM")</f>
        <v>FGM</v>
      </c>
      <c r="I2187" s="9" t="str">
        <f>IFERROR(__xludf.DUMMYFUNCTION("""COMPUTED_VALUE"""),"Die")</f>
        <v>Die</v>
      </c>
      <c r="J2187" s="9" t="str">
        <f>IFERROR(__xludf.DUMMYFUNCTION("""COMPUTED_VALUE"""),"HTH")</f>
        <v>HTH</v>
      </c>
      <c r="K2187" s="9" t="str">
        <f>IFERROR(__xludf.DUMMYFUNCTION("""COMPUTED_VALUE"""),"HTHso")</f>
        <v>HTHso</v>
      </c>
      <c r="L2187" s="9" t="str">
        <f>IFERROR(__xludf.DUMMYFUNCTION("""COMPUTED_VALUE"""),"SCN")</f>
        <v>SCN</v>
      </c>
      <c r="M2187" s="9" t="str">
        <f>IFERROR(__xludf.DUMMYFUNCTION("""COMPUTED_VALUE"""),"SCNc")</f>
        <v>SCNc</v>
      </c>
      <c r="N2187" s="9"/>
      <c r="O2187" s="9"/>
      <c r="P2187" s="9"/>
      <c r="Q2187" s="9"/>
      <c r="R2187" s="9"/>
      <c r="S2187" s="42"/>
      <c r="T2187" s="42"/>
      <c r="U2187" s="42"/>
      <c r="V2187" s="42"/>
      <c r="W2187" s="42"/>
      <c r="X2187" s="42"/>
      <c r="Y2187" s="42"/>
      <c r="Z2187" s="42"/>
      <c r="AA2187" s="42"/>
      <c r="AB2187" s="42" t="str">
        <f>IFERROR(__xludf.DUMMYFUNCTION("""COMPUTED_VALUE"""),"allen institute")</f>
        <v>allen institute</v>
      </c>
      <c r="AC2187" s="42" t="str">
        <f>IFERROR(__xludf.DUMMYFUNCTION("""COMPUTED_VALUE"""),"DHBA")</f>
        <v>DHBA</v>
      </c>
      <c r="AD2187" s="42"/>
      <c r="AE2187" s="42"/>
      <c r="AF2187" s="9"/>
      <c r="AG2187" s="9"/>
      <c r="AH2187" s="42"/>
      <c r="AI2187" s="42"/>
      <c r="AJ2187" s="42"/>
      <c r="AK2187" s="42"/>
      <c r="AL2187" s="42"/>
      <c r="AM2187" s="42"/>
      <c r="AN2187" s="42"/>
      <c r="AO2187" s="63" t="str">
        <f>IFERROR(__xludf.DUMMYFUNCTION("IF(ISBLANK(A2187),,IF(ISBLANK(S2187), A2187&amp;"";"", TEXTJOIN(CHAR(10), TRUE, A2187&amp;"";"", ARRAYFORMULA(VLOOKUP(SPLIT(S2187, "";"" &amp; CHAR(10)), $A:$AO, 41, FALSE)))))"),"SCNc;")</f>
        <v>SCNc;</v>
      </c>
      <c r="AP2187" s="89"/>
    </row>
    <row r="2188">
      <c r="A2188" s="151" t="str">
        <f>IFERROR(__xludf.DUMMYFUNCTION("""COMPUTED_VALUE"""),"RCN")</f>
        <v>RCN</v>
      </c>
      <c r="B2188" s="42" t="str">
        <f>IFERROR(__xludf.DUMMYFUNCTION("""COMPUTED_VALUE"""),"DHBA")</f>
        <v>DHBA</v>
      </c>
      <c r="C2188" s="42" t="str">
        <f>IFERROR(__xludf.DUMMYFUNCTION("""COMPUTED_VALUE"""),"retrochiasmatic nucleus, Retrochiasmatic area, RCh")</f>
        <v>retrochiasmatic nucleus, Retrochiasmatic area, RCh</v>
      </c>
      <c r="D2188" s="42">
        <f>IFERROR(__xludf.DUMMYFUNCTION("""COMPUTED_VALUE"""),2071.0)</f>
        <v>2071</v>
      </c>
      <c r="E2188" s="39" t="str">
        <f>IFERROR(__xludf.DUMMYFUNCTION("""COMPUTED_VALUE"""),"retrochiasmatic nucleus")</f>
        <v>retrochiasmatic nucleus</v>
      </c>
      <c r="F2188" s="9" t="str">
        <f>IFERROR(__xludf.DUMMYFUNCTION("""COMPUTED_VALUE"""),"Br")</f>
        <v>Br</v>
      </c>
      <c r="G2188" s="9" t="str">
        <f>IFERROR(__xludf.DUMMYFUNCTION("""COMPUTED_VALUE"""),"F")</f>
        <v>F</v>
      </c>
      <c r="H2188" s="9" t="str">
        <f>IFERROR(__xludf.DUMMYFUNCTION("""COMPUTED_VALUE"""),"FGM")</f>
        <v>FGM</v>
      </c>
      <c r="I2188" s="9" t="str">
        <f>IFERROR(__xludf.DUMMYFUNCTION("""COMPUTED_VALUE"""),"Die")</f>
        <v>Die</v>
      </c>
      <c r="J2188" s="9" t="str">
        <f>IFERROR(__xludf.DUMMYFUNCTION("""COMPUTED_VALUE"""),"HTH")</f>
        <v>HTH</v>
      </c>
      <c r="K2188" s="9" t="str">
        <f>IFERROR(__xludf.DUMMYFUNCTION("""COMPUTED_VALUE"""),"HTHso")</f>
        <v>HTHso</v>
      </c>
      <c r="L2188" s="9" t="str">
        <f>IFERROR(__xludf.DUMMYFUNCTION("""COMPUTED_VALUE"""),"RCN")</f>
        <v>RCN</v>
      </c>
      <c r="M2188" s="9"/>
      <c r="N2188" s="9"/>
      <c r="O2188" s="9"/>
      <c r="P2188" s="9"/>
      <c r="Q2188" s="9"/>
      <c r="R2188" s="9"/>
      <c r="S2188" s="42"/>
      <c r="T2188" s="42"/>
      <c r="U2188" s="42"/>
      <c r="V2188" s="42"/>
      <c r="W2188" s="42"/>
      <c r="X2188" s="42"/>
      <c r="Y2188" s="42"/>
      <c r="Z2188" s="42"/>
      <c r="AA2188" s="42"/>
      <c r="AB2188" s="42" t="str">
        <f>IFERROR(__xludf.DUMMYFUNCTION("""COMPUTED_VALUE"""),"allen institute")</f>
        <v>allen institute</v>
      </c>
      <c r="AC2188" s="42" t="str">
        <f>IFERROR(__xludf.DUMMYFUNCTION("""COMPUTED_VALUE"""),"DHBA")</f>
        <v>DHBA</v>
      </c>
      <c r="AD2188" s="42"/>
      <c r="AE2188" s="42"/>
      <c r="AF2188" s="9"/>
      <c r="AG2188" s="9"/>
      <c r="AH2188" s="42"/>
      <c r="AI2188" s="42"/>
      <c r="AJ2188" s="42"/>
      <c r="AK2188" s="42"/>
      <c r="AL2188" s="42"/>
      <c r="AM2188" s="42"/>
      <c r="AN2188" s="42"/>
      <c r="AO2188" s="63" t="str">
        <f>IFERROR(__xludf.DUMMYFUNCTION("IF(ISBLANK(A2188),,IF(ISBLANK(S2188), A2188&amp;"";"", TEXTJOIN(CHAR(10), TRUE, A2188&amp;"";"", ARRAYFORMULA(VLOOKUP(SPLIT(S2188, "";"" &amp; CHAR(10)), $A:$AO, 41, FALSE)))))"),"RCN;")</f>
        <v>RCN;</v>
      </c>
      <c r="AP2188" s="89"/>
    </row>
    <row r="2189">
      <c r="A2189" s="151" t="str">
        <f>IFERROR(__xludf.DUMMYFUNCTION("""COMPUTED_VALUE"""),"SO")</f>
        <v>SO</v>
      </c>
      <c r="B2189" s="42" t="str">
        <f>IFERROR(__xludf.DUMMYFUNCTION("""COMPUTED_VALUE"""),"DHBA")</f>
        <v>DHBA</v>
      </c>
      <c r="C2189" s="42" t="str">
        <f>IFERROR(__xludf.DUMMYFUNCTION("""COMPUTED_VALUE"""),"supraoptic nucleus")</f>
        <v>supraoptic nucleus</v>
      </c>
      <c r="D2189" s="42">
        <f>IFERROR(__xludf.DUMMYFUNCTION("""COMPUTED_VALUE"""),2072.0)</f>
        <v>2072</v>
      </c>
      <c r="E2189" s="39" t="str">
        <f>IFERROR(__xludf.DUMMYFUNCTION("""COMPUTED_VALUE"""),"supraoptic nucleus")</f>
        <v>supraoptic nucleus</v>
      </c>
      <c r="F2189" s="9" t="str">
        <f>IFERROR(__xludf.DUMMYFUNCTION("""COMPUTED_VALUE"""),"Br")</f>
        <v>Br</v>
      </c>
      <c r="G2189" s="9" t="str">
        <f>IFERROR(__xludf.DUMMYFUNCTION("""COMPUTED_VALUE"""),"F")</f>
        <v>F</v>
      </c>
      <c r="H2189" s="9" t="str">
        <f>IFERROR(__xludf.DUMMYFUNCTION("""COMPUTED_VALUE"""),"FGM")</f>
        <v>FGM</v>
      </c>
      <c r="I2189" s="9" t="str">
        <f>IFERROR(__xludf.DUMMYFUNCTION("""COMPUTED_VALUE"""),"Die")</f>
        <v>Die</v>
      </c>
      <c r="J2189" s="9" t="str">
        <f>IFERROR(__xludf.DUMMYFUNCTION("""COMPUTED_VALUE"""),"HTH")</f>
        <v>HTH</v>
      </c>
      <c r="K2189" s="9" t="str">
        <f>IFERROR(__xludf.DUMMYFUNCTION("""COMPUTED_VALUE"""),"HTHso")</f>
        <v>HTHso</v>
      </c>
      <c r="L2189" s="9" t="str">
        <f>IFERROR(__xludf.DUMMYFUNCTION("""COMPUTED_VALUE"""),"SO")</f>
        <v>SO</v>
      </c>
      <c r="M2189" s="9"/>
      <c r="N2189" s="9"/>
      <c r="O2189" s="9"/>
      <c r="P2189" s="9"/>
      <c r="Q2189" s="9"/>
      <c r="R2189" s="9"/>
      <c r="S2189" s="42" t="str">
        <f>IFERROR(__xludf.DUMMYFUNCTION("""COMPUTED_VALUE"""),"SOm;
SOl")</f>
        <v>SOm;
SOl</v>
      </c>
      <c r="T2189" s="42"/>
      <c r="U2189" s="42" t="b">
        <f>IFERROR(__xludf.DUMMYFUNCTION("""COMPUTED_VALUE"""),FALSE)</f>
        <v>0</v>
      </c>
      <c r="V2189" s="42"/>
      <c r="W2189" s="42"/>
      <c r="X2189" s="42"/>
      <c r="Y2189" s="42"/>
      <c r="Z2189" s="42"/>
      <c r="AA2189" s="42"/>
      <c r="AB2189" s="42" t="str">
        <f>IFERROR(__xludf.DUMMYFUNCTION("""COMPUTED_VALUE"""),"allen institute")</f>
        <v>allen institute</v>
      </c>
      <c r="AC2189" s="42" t="str">
        <f>IFERROR(__xludf.DUMMYFUNCTION("""COMPUTED_VALUE"""),"DHBA")</f>
        <v>DHBA</v>
      </c>
      <c r="AD2189" s="42"/>
      <c r="AE2189" s="42"/>
      <c r="AF2189" s="9"/>
      <c r="AG2189" s="9"/>
      <c r="AH2189" s="42"/>
      <c r="AI2189" s="42"/>
      <c r="AJ2189" s="42"/>
      <c r="AK2189" s="42"/>
      <c r="AL2189" s="42"/>
      <c r="AM2189" s="42"/>
      <c r="AN2189" s="42"/>
      <c r="AO2189" s="63" t="str">
        <f>IFERROR(__xludf.DUMMYFUNCTION("IF(ISBLANK(A2189),,IF(ISBLANK(S2189), A2189&amp;"";"", TEXTJOIN(CHAR(10), TRUE, A2189&amp;"";"", ARRAYFORMULA(VLOOKUP(SPLIT(S2189, "";"" &amp; CHAR(10)), $A:$AO, 41, FALSE)))))"),"SO;
SOm;
SOl;")</f>
        <v>SO;
SOm;
SOl;</v>
      </c>
      <c r="AP2189" s="89"/>
    </row>
    <row r="2190">
      <c r="A2190" s="151" t="str">
        <f>IFERROR(__xludf.DUMMYFUNCTION("""COMPUTED_VALUE"""),"SOm")</f>
        <v>SOm</v>
      </c>
      <c r="B2190" s="42" t="str">
        <f>IFERROR(__xludf.DUMMYFUNCTION("""COMPUTED_VALUE"""),"DHBA")</f>
        <v>DHBA</v>
      </c>
      <c r="C2190" s="42" t="str">
        <f>IFERROR(__xludf.DUMMYFUNCTION("""COMPUTED_VALUE"""),"medial part of supraoptic nucleus")</f>
        <v>medial part of supraoptic nucleus</v>
      </c>
      <c r="D2190" s="42">
        <f>IFERROR(__xludf.DUMMYFUNCTION("""COMPUTED_VALUE"""),2073.0)</f>
        <v>2073</v>
      </c>
      <c r="E2190" s="39" t="str">
        <f>IFERROR(__xludf.DUMMYFUNCTION("""COMPUTED_VALUE"""),"medial part of supraoptic nucleus")</f>
        <v>medial part of supraoptic nucleus</v>
      </c>
      <c r="F2190" s="9" t="str">
        <f>IFERROR(__xludf.DUMMYFUNCTION("""COMPUTED_VALUE"""),"Br")</f>
        <v>Br</v>
      </c>
      <c r="G2190" s="9" t="str">
        <f>IFERROR(__xludf.DUMMYFUNCTION("""COMPUTED_VALUE"""),"F")</f>
        <v>F</v>
      </c>
      <c r="H2190" s="9" t="str">
        <f>IFERROR(__xludf.DUMMYFUNCTION("""COMPUTED_VALUE"""),"FGM")</f>
        <v>FGM</v>
      </c>
      <c r="I2190" s="9" t="str">
        <f>IFERROR(__xludf.DUMMYFUNCTION("""COMPUTED_VALUE"""),"Die")</f>
        <v>Die</v>
      </c>
      <c r="J2190" s="9" t="str">
        <f>IFERROR(__xludf.DUMMYFUNCTION("""COMPUTED_VALUE"""),"HTH")</f>
        <v>HTH</v>
      </c>
      <c r="K2190" s="9" t="str">
        <f>IFERROR(__xludf.DUMMYFUNCTION("""COMPUTED_VALUE"""),"HTHso")</f>
        <v>HTHso</v>
      </c>
      <c r="L2190" s="9" t="str">
        <f>IFERROR(__xludf.DUMMYFUNCTION("""COMPUTED_VALUE"""),"SO")</f>
        <v>SO</v>
      </c>
      <c r="M2190" s="9" t="str">
        <f>IFERROR(__xludf.DUMMYFUNCTION("""COMPUTED_VALUE"""),"SOm")</f>
        <v>SOm</v>
      </c>
      <c r="N2190" s="9"/>
      <c r="O2190" s="9"/>
      <c r="P2190" s="9"/>
      <c r="Q2190" s="9"/>
      <c r="R2190" s="9"/>
      <c r="S2190" s="42"/>
      <c r="T2190" s="42"/>
      <c r="U2190" s="42"/>
      <c r="V2190" s="42"/>
      <c r="W2190" s="42"/>
      <c r="X2190" s="42"/>
      <c r="Y2190" s="42"/>
      <c r="Z2190" s="42"/>
      <c r="AA2190" s="42"/>
      <c r="AB2190" s="42" t="str">
        <f>IFERROR(__xludf.DUMMYFUNCTION("""COMPUTED_VALUE"""),"allen institute")</f>
        <v>allen institute</v>
      </c>
      <c r="AC2190" s="42" t="str">
        <f>IFERROR(__xludf.DUMMYFUNCTION("""COMPUTED_VALUE"""),"DHBA")</f>
        <v>DHBA</v>
      </c>
      <c r="AD2190" s="42"/>
      <c r="AE2190" s="42"/>
      <c r="AF2190" s="9"/>
      <c r="AG2190" s="9"/>
      <c r="AH2190" s="42"/>
      <c r="AI2190" s="42"/>
      <c r="AJ2190" s="42"/>
      <c r="AK2190" s="42"/>
      <c r="AL2190" s="42"/>
      <c r="AM2190" s="42"/>
      <c r="AN2190" s="42"/>
      <c r="AO2190" s="63" t="str">
        <f>IFERROR(__xludf.DUMMYFUNCTION("IF(ISBLANK(A2190),,IF(ISBLANK(S2190), A2190&amp;"";"", TEXTJOIN(CHAR(10), TRUE, A2190&amp;"";"", ARRAYFORMULA(VLOOKUP(SPLIT(S2190, "";"" &amp; CHAR(10)), $A:$AO, 41, FALSE)))))"),"SOm;")</f>
        <v>SOm;</v>
      </c>
      <c r="AP2190" s="89"/>
    </row>
    <row r="2191">
      <c r="A2191" s="151" t="str">
        <f>IFERROR(__xludf.DUMMYFUNCTION("""COMPUTED_VALUE"""),"SOl")</f>
        <v>SOl</v>
      </c>
      <c r="B2191" s="42" t="str">
        <f>IFERROR(__xludf.DUMMYFUNCTION("""COMPUTED_VALUE"""),"DHBA")</f>
        <v>DHBA</v>
      </c>
      <c r="C2191" s="42" t="str">
        <f>IFERROR(__xludf.DUMMYFUNCTION("""COMPUTED_VALUE"""),"lateral part of supraoptic nucleus")</f>
        <v>lateral part of supraoptic nucleus</v>
      </c>
      <c r="D2191" s="42">
        <f>IFERROR(__xludf.DUMMYFUNCTION("""COMPUTED_VALUE"""),2074.0)</f>
        <v>2074</v>
      </c>
      <c r="E2191" s="39" t="str">
        <f>IFERROR(__xludf.DUMMYFUNCTION("""COMPUTED_VALUE"""),"lateral part of supraoptic nucleus")</f>
        <v>lateral part of supraoptic nucleus</v>
      </c>
      <c r="F2191" s="9" t="str">
        <f>IFERROR(__xludf.DUMMYFUNCTION("""COMPUTED_VALUE"""),"Br")</f>
        <v>Br</v>
      </c>
      <c r="G2191" s="9" t="str">
        <f>IFERROR(__xludf.DUMMYFUNCTION("""COMPUTED_VALUE"""),"F")</f>
        <v>F</v>
      </c>
      <c r="H2191" s="9" t="str">
        <f>IFERROR(__xludf.DUMMYFUNCTION("""COMPUTED_VALUE"""),"FGM")</f>
        <v>FGM</v>
      </c>
      <c r="I2191" s="9" t="str">
        <f>IFERROR(__xludf.DUMMYFUNCTION("""COMPUTED_VALUE"""),"Die")</f>
        <v>Die</v>
      </c>
      <c r="J2191" s="9" t="str">
        <f>IFERROR(__xludf.DUMMYFUNCTION("""COMPUTED_VALUE"""),"HTH")</f>
        <v>HTH</v>
      </c>
      <c r="K2191" s="9" t="str">
        <f>IFERROR(__xludf.DUMMYFUNCTION("""COMPUTED_VALUE"""),"HTHso")</f>
        <v>HTHso</v>
      </c>
      <c r="L2191" s="9" t="str">
        <f>IFERROR(__xludf.DUMMYFUNCTION("""COMPUTED_VALUE"""),"SO")</f>
        <v>SO</v>
      </c>
      <c r="M2191" s="9" t="str">
        <f>IFERROR(__xludf.DUMMYFUNCTION("""COMPUTED_VALUE"""),"SOl")</f>
        <v>SOl</v>
      </c>
      <c r="N2191" s="9"/>
      <c r="O2191" s="9"/>
      <c r="P2191" s="9"/>
      <c r="Q2191" s="9"/>
      <c r="R2191" s="9"/>
      <c r="S2191" s="42"/>
      <c r="T2191" s="42"/>
      <c r="U2191" s="42"/>
      <c r="V2191" s="42"/>
      <c r="W2191" s="42"/>
      <c r="X2191" s="42"/>
      <c r="Y2191" s="42"/>
      <c r="Z2191" s="42"/>
      <c r="AA2191" s="42"/>
      <c r="AB2191" s="42" t="str">
        <f>IFERROR(__xludf.DUMMYFUNCTION("""COMPUTED_VALUE"""),"allen institute")</f>
        <v>allen institute</v>
      </c>
      <c r="AC2191" s="42" t="str">
        <f>IFERROR(__xludf.DUMMYFUNCTION("""COMPUTED_VALUE"""),"DHBA")</f>
        <v>DHBA</v>
      </c>
      <c r="AD2191" s="42"/>
      <c r="AE2191" s="42"/>
      <c r="AF2191" s="9"/>
      <c r="AG2191" s="9"/>
      <c r="AH2191" s="42"/>
      <c r="AI2191" s="42"/>
      <c r="AJ2191" s="42"/>
      <c r="AK2191" s="42"/>
      <c r="AL2191" s="42"/>
      <c r="AM2191" s="42"/>
      <c r="AN2191" s="42"/>
      <c r="AO2191" s="63" t="str">
        <f>IFERROR(__xludf.DUMMYFUNCTION("IF(ISBLANK(A2191),,IF(ISBLANK(S2191), A2191&amp;"";"", TEXTJOIN(CHAR(10), TRUE, A2191&amp;"";"", ARRAYFORMULA(VLOOKUP(SPLIT(S2191, "";"" &amp; CHAR(10)), $A:$AO, 41, FALSE)))))"),"SOl;")</f>
        <v>SOl;</v>
      </c>
      <c r="AP2191" s="89"/>
    </row>
    <row r="2192">
      <c r="A2192" s="151" t="str">
        <f>IFERROR(__xludf.DUMMYFUNCTION("""COMPUTED_VALUE"""),"LHAa")</f>
        <v>LHAa</v>
      </c>
      <c r="B2192" s="42" t="str">
        <f>IFERROR(__xludf.DUMMYFUNCTION("""COMPUTED_VALUE"""),"DHBA")</f>
        <v>DHBA</v>
      </c>
      <c r="C2192" s="42" t="str">
        <f>IFERROR(__xludf.DUMMYFUNCTION("""COMPUTED_VALUE"""),"lateral hypothalamic area, anterior part")</f>
        <v>lateral hypothalamic area, anterior part</v>
      </c>
      <c r="D2192" s="42">
        <f>IFERROR(__xludf.DUMMYFUNCTION("""COMPUTED_VALUE"""),2075.0)</f>
        <v>2075</v>
      </c>
      <c r="E2192" s="39" t="str">
        <f>IFERROR(__xludf.DUMMYFUNCTION("""COMPUTED_VALUE"""),"lateral hypothalamic area, anterior part")</f>
        <v>lateral hypothalamic area, anterior part</v>
      </c>
      <c r="F2192" s="9" t="str">
        <f>IFERROR(__xludf.DUMMYFUNCTION("""COMPUTED_VALUE"""),"Br")</f>
        <v>Br</v>
      </c>
      <c r="G2192" s="9" t="str">
        <f>IFERROR(__xludf.DUMMYFUNCTION("""COMPUTED_VALUE"""),"F")</f>
        <v>F</v>
      </c>
      <c r="H2192" s="9" t="str">
        <f>IFERROR(__xludf.DUMMYFUNCTION("""COMPUTED_VALUE"""),"FGM")</f>
        <v>FGM</v>
      </c>
      <c r="I2192" s="9" t="str">
        <f>IFERROR(__xludf.DUMMYFUNCTION("""COMPUTED_VALUE"""),"Die")</f>
        <v>Die</v>
      </c>
      <c r="J2192" s="9" t="str">
        <f>IFERROR(__xludf.DUMMYFUNCTION("""COMPUTED_VALUE"""),"HTH")</f>
        <v>HTH</v>
      </c>
      <c r="K2192" s="9" t="str">
        <f>IFERROR(__xludf.DUMMYFUNCTION("""COMPUTED_VALUE"""),"HTHso")</f>
        <v>HTHso</v>
      </c>
      <c r="L2192" s="9" t="str">
        <f>IFERROR(__xludf.DUMMYFUNCTION("""COMPUTED_VALUE"""),"LHAa")</f>
        <v>LHAa</v>
      </c>
      <c r="M2192" s="9"/>
      <c r="N2192" s="9"/>
      <c r="O2192" s="9"/>
      <c r="P2192" s="9"/>
      <c r="Q2192" s="9"/>
      <c r="R2192" s="9"/>
      <c r="S2192" s="42"/>
      <c r="T2192" s="42"/>
      <c r="U2192" s="42"/>
      <c r="V2192" s="42"/>
      <c r="W2192" s="42"/>
      <c r="X2192" s="42"/>
      <c r="Y2192" s="42"/>
      <c r="Z2192" s="42"/>
      <c r="AA2192" s="42"/>
      <c r="AB2192" s="42" t="str">
        <f>IFERROR(__xludf.DUMMYFUNCTION("""COMPUTED_VALUE"""),"allen institute")</f>
        <v>allen institute</v>
      </c>
      <c r="AC2192" s="42" t="str">
        <f>IFERROR(__xludf.DUMMYFUNCTION("""COMPUTED_VALUE"""),"DHBA")</f>
        <v>DHBA</v>
      </c>
      <c r="AD2192" s="42"/>
      <c r="AE2192" s="42"/>
      <c r="AF2192" s="9"/>
      <c r="AG2192" s="9"/>
      <c r="AH2192" s="42"/>
      <c r="AI2192" s="42"/>
      <c r="AJ2192" s="42"/>
      <c r="AK2192" s="42"/>
      <c r="AL2192" s="42"/>
      <c r="AM2192" s="42"/>
      <c r="AN2192" s="42"/>
      <c r="AO2192" s="63" t="str">
        <f>IFERROR(__xludf.DUMMYFUNCTION("IF(ISBLANK(A2192),,IF(ISBLANK(S2192), A2192&amp;"";"", TEXTJOIN(CHAR(10), TRUE, A2192&amp;"";"", ARRAYFORMULA(VLOOKUP(SPLIT(S2192, "";"" &amp; CHAR(10)), $A:$AO, 41, FALSE)))))"),"LHAa;")</f>
        <v>LHAa;</v>
      </c>
      <c r="AP2192" s="89"/>
    </row>
    <row r="2193">
      <c r="A2193" s="151" t="str">
        <f>IFERROR(__xludf.DUMMYFUNCTION("""COMPUTED_VALUE"""),"SuV")</f>
        <v>SuV</v>
      </c>
      <c r="B2193" s="42" t="str">
        <f>IFERROR(__xludf.DUMMYFUNCTION("""COMPUTED_VALUE"""),"DHBA")</f>
        <v>DHBA</v>
      </c>
      <c r="C2193" s="42" t="str">
        <f>IFERROR(__xludf.DUMMYFUNCTION("""COMPUTED_VALUE"""),"subventricular nucleus")</f>
        <v>subventricular nucleus</v>
      </c>
      <c r="D2193" s="42">
        <f>IFERROR(__xludf.DUMMYFUNCTION("""COMPUTED_VALUE"""),2076.0)</f>
        <v>2076</v>
      </c>
      <c r="E2193" s="39" t="str">
        <f>IFERROR(__xludf.DUMMYFUNCTION("""COMPUTED_VALUE"""),"subventricular nucleus")</f>
        <v>subventricular nucleus</v>
      </c>
      <c r="F2193" s="9" t="str">
        <f>IFERROR(__xludf.DUMMYFUNCTION("""COMPUTED_VALUE"""),"Br")</f>
        <v>Br</v>
      </c>
      <c r="G2193" s="9" t="str">
        <f>IFERROR(__xludf.DUMMYFUNCTION("""COMPUTED_VALUE"""),"F")</f>
        <v>F</v>
      </c>
      <c r="H2193" s="9" t="str">
        <f>IFERROR(__xludf.DUMMYFUNCTION("""COMPUTED_VALUE"""),"FGM")</f>
        <v>FGM</v>
      </c>
      <c r="I2193" s="9" t="str">
        <f>IFERROR(__xludf.DUMMYFUNCTION("""COMPUTED_VALUE"""),"Die")</f>
        <v>Die</v>
      </c>
      <c r="J2193" s="9" t="str">
        <f>IFERROR(__xludf.DUMMYFUNCTION("""COMPUTED_VALUE"""),"HTH")</f>
        <v>HTH</v>
      </c>
      <c r="K2193" s="9" t="str">
        <f>IFERROR(__xludf.DUMMYFUNCTION("""COMPUTED_VALUE"""),"HTHso")</f>
        <v>HTHso</v>
      </c>
      <c r="L2193" s="9" t="str">
        <f>IFERROR(__xludf.DUMMYFUNCTION("""COMPUTED_VALUE"""),"SuV")</f>
        <v>SuV</v>
      </c>
      <c r="M2193" s="9"/>
      <c r="N2193" s="9"/>
      <c r="O2193" s="9"/>
      <c r="P2193" s="9"/>
      <c r="Q2193" s="9"/>
      <c r="R2193" s="9"/>
      <c r="S2193" s="42"/>
      <c r="T2193" s="42"/>
      <c r="U2193" s="42"/>
      <c r="V2193" s="42"/>
      <c r="W2193" s="42"/>
      <c r="X2193" s="42"/>
      <c r="Y2193" s="42"/>
      <c r="Z2193" s="42"/>
      <c r="AA2193" s="42"/>
      <c r="AB2193" s="42" t="str">
        <f>IFERROR(__xludf.DUMMYFUNCTION("""COMPUTED_VALUE"""),"allen institute")</f>
        <v>allen institute</v>
      </c>
      <c r="AC2193" s="42" t="str">
        <f>IFERROR(__xludf.DUMMYFUNCTION("""COMPUTED_VALUE"""),"DHBA")</f>
        <v>DHBA</v>
      </c>
      <c r="AD2193" s="42"/>
      <c r="AE2193" s="42"/>
      <c r="AF2193" s="9"/>
      <c r="AG2193" s="9"/>
      <c r="AH2193" s="42"/>
      <c r="AI2193" s="42"/>
      <c r="AJ2193" s="42"/>
      <c r="AK2193" s="42"/>
      <c r="AL2193" s="42"/>
      <c r="AM2193" s="42"/>
      <c r="AN2193" s="42"/>
      <c r="AO2193" s="63" t="str">
        <f>IFERROR(__xludf.DUMMYFUNCTION("IF(ISBLANK(A2193),,IF(ISBLANK(S2193), A2193&amp;"";"", TEXTJOIN(CHAR(10), TRUE, A2193&amp;"";"", ARRAYFORMULA(VLOOKUP(SPLIT(S2193, "";"" &amp; CHAR(10)), $A:$AO, 41, FALSE)))))"),"SuV;")</f>
        <v>SuV;</v>
      </c>
      <c r="AP2193" s="89"/>
    </row>
    <row r="2194">
      <c r="A2194" s="151" t="str">
        <f>IFERROR(__xludf.DUMMYFUNCTION("""COMPUTED_VALUE"""),"SPZ")</f>
        <v>SPZ</v>
      </c>
      <c r="B2194" s="42" t="str">
        <f>IFERROR(__xludf.DUMMYFUNCTION("""COMPUTED_VALUE"""),"DHBA")</f>
        <v>DHBA</v>
      </c>
      <c r="C2194" s="42" t="str">
        <f>IFERROR(__xludf.DUMMYFUNCTION("""COMPUTED_VALUE"""),"subparaventricular zone")</f>
        <v>subparaventricular zone</v>
      </c>
      <c r="D2194" s="42">
        <f>IFERROR(__xludf.DUMMYFUNCTION("""COMPUTED_VALUE"""),2077.0)</f>
        <v>2077</v>
      </c>
      <c r="E2194" s="39" t="str">
        <f>IFERROR(__xludf.DUMMYFUNCTION("""COMPUTED_VALUE"""),"subparaventricular zone")</f>
        <v>subparaventricular zone</v>
      </c>
      <c r="F2194" s="9" t="str">
        <f>IFERROR(__xludf.DUMMYFUNCTION("""COMPUTED_VALUE"""),"Br")</f>
        <v>Br</v>
      </c>
      <c r="G2194" s="9" t="str">
        <f>IFERROR(__xludf.DUMMYFUNCTION("""COMPUTED_VALUE"""),"F")</f>
        <v>F</v>
      </c>
      <c r="H2194" s="9" t="str">
        <f>IFERROR(__xludf.DUMMYFUNCTION("""COMPUTED_VALUE"""),"FGM")</f>
        <v>FGM</v>
      </c>
      <c r="I2194" s="9" t="str">
        <f>IFERROR(__xludf.DUMMYFUNCTION("""COMPUTED_VALUE"""),"Die")</f>
        <v>Die</v>
      </c>
      <c r="J2194" s="9" t="str">
        <f>IFERROR(__xludf.DUMMYFUNCTION("""COMPUTED_VALUE"""),"HTH")</f>
        <v>HTH</v>
      </c>
      <c r="K2194" s="9" t="str">
        <f>IFERROR(__xludf.DUMMYFUNCTION("""COMPUTED_VALUE"""),"HTHso")</f>
        <v>HTHso</v>
      </c>
      <c r="L2194" s="9" t="str">
        <f>IFERROR(__xludf.DUMMYFUNCTION("""COMPUTED_VALUE"""),"SPZ")</f>
        <v>SPZ</v>
      </c>
      <c r="M2194" s="9"/>
      <c r="N2194" s="9"/>
      <c r="O2194" s="9"/>
      <c r="P2194" s="9"/>
      <c r="Q2194" s="9"/>
      <c r="R2194" s="9"/>
      <c r="S2194" s="42"/>
      <c r="T2194" s="42"/>
      <c r="U2194" s="42"/>
      <c r="V2194" s="42"/>
      <c r="W2194" s="42"/>
      <c r="X2194" s="42"/>
      <c r="Y2194" s="42"/>
      <c r="Z2194" s="42"/>
      <c r="AA2194" s="42"/>
      <c r="AB2194" s="42" t="str">
        <f>IFERROR(__xludf.DUMMYFUNCTION("""COMPUTED_VALUE"""),"allen institute")</f>
        <v>allen institute</v>
      </c>
      <c r="AC2194" s="42" t="str">
        <f>IFERROR(__xludf.DUMMYFUNCTION("""COMPUTED_VALUE"""),"DHBA")</f>
        <v>DHBA</v>
      </c>
      <c r="AD2194" s="42"/>
      <c r="AE2194" s="42"/>
      <c r="AF2194" s="9"/>
      <c r="AG2194" s="9"/>
      <c r="AH2194" s="42"/>
      <c r="AI2194" s="42"/>
      <c r="AJ2194" s="42"/>
      <c r="AK2194" s="42"/>
      <c r="AL2194" s="42"/>
      <c r="AM2194" s="42"/>
      <c r="AN2194" s="42"/>
      <c r="AO2194" s="63" t="str">
        <f>IFERROR(__xludf.DUMMYFUNCTION("IF(ISBLANK(A2194),,IF(ISBLANK(S2194), A2194&amp;"";"", TEXTJOIN(CHAR(10), TRUE, A2194&amp;"";"", ARRAYFORMULA(VLOOKUP(SPLIT(S2194, "";"" &amp; CHAR(10)), $A:$AO, 41, FALSE)))))"),"SPZ;")</f>
        <v>SPZ;</v>
      </c>
      <c r="AP2194" s="89"/>
    </row>
    <row r="2195">
      <c r="A2195" s="151" t="str">
        <f>IFERROR(__xludf.DUMMYFUNCTION("""COMPUTED_VALUE"""),"HTHtub")</f>
        <v>HTHtub</v>
      </c>
      <c r="B2195" s="42" t="str">
        <f>IFERROR(__xludf.DUMMYFUNCTION("""COMPUTED_VALUE"""),"DHBA")</f>
        <v>DHBA</v>
      </c>
      <c r="C2195" s="42" t="str">
        <f>IFERROR(__xludf.DUMMYFUNCTION("""COMPUTED_VALUE"""),"tuberal region of HTH")</f>
        <v>tuberal region of HTH</v>
      </c>
      <c r="D2195" s="42">
        <f>IFERROR(__xludf.DUMMYFUNCTION("""COMPUTED_VALUE"""),2078.0)</f>
        <v>2078</v>
      </c>
      <c r="E2195" s="39" t="str">
        <f>IFERROR(__xludf.DUMMYFUNCTION("""COMPUTED_VALUE"""),"tuberal region of HTH")</f>
        <v>tuberal region of HTH</v>
      </c>
      <c r="F2195" s="9" t="str">
        <f>IFERROR(__xludf.DUMMYFUNCTION("""COMPUTED_VALUE"""),"Br")</f>
        <v>Br</v>
      </c>
      <c r="G2195" s="9" t="str">
        <f>IFERROR(__xludf.DUMMYFUNCTION("""COMPUTED_VALUE"""),"F")</f>
        <v>F</v>
      </c>
      <c r="H2195" s="9" t="str">
        <f>IFERROR(__xludf.DUMMYFUNCTION("""COMPUTED_VALUE"""),"FGM")</f>
        <v>FGM</v>
      </c>
      <c r="I2195" s="9" t="str">
        <f>IFERROR(__xludf.DUMMYFUNCTION("""COMPUTED_VALUE"""),"Die")</f>
        <v>Die</v>
      </c>
      <c r="J2195" s="9" t="str">
        <f>IFERROR(__xludf.DUMMYFUNCTION("""COMPUTED_VALUE"""),"HTH")</f>
        <v>HTH</v>
      </c>
      <c r="K2195" s="9" t="str">
        <f>IFERROR(__xludf.DUMMYFUNCTION("""COMPUTED_VALUE"""),"HTHtub")</f>
        <v>HTHtub</v>
      </c>
      <c r="L2195" s="9"/>
      <c r="M2195" s="9"/>
      <c r="N2195" s="9"/>
      <c r="O2195" s="9"/>
      <c r="P2195" s="9"/>
      <c r="Q2195" s="9"/>
      <c r="R2195" s="9"/>
      <c r="S2195" s="42" t="str">
        <f>IFERROR(__xludf.DUMMYFUNCTION("""COMPUTED_VALUE"""),"PeVtub;
JPLH;
DHA;
DMH;
VMH;
PMH;
Arc;
LT;
LHAtub;
NCN;
ME")</f>
        <v>PeVtub;
JPLH;
DHA;
DMH;
VMH;
PMH;
Arc;
LT;
LHAtub;
NCN;
ME</v>
      </c>
      <c r="T2195" s="42"/>
      <c r="U2195" s="42" t="b">
        <f>IFERROR(__xludf.DUMMYFUNCTION("""COMPUTED_VALUE"""),FALSE)</f>
        <v>0</v>
      </c>
      <c r="V2195" s="42"/>
      <c r="W2195" s="42"/>
      <c r="X2195" s="42"/>
      <c r="Y2195" s="42"/>
      <c r="Z2195" s="42"/>
      <c r="AA2195" s="42"/>
      <c r="AB2195" s="42" t="str">
        <f>IFERROR(__xludf.DUMMYFUNCTION("""COMPUTED_VALUE"""),"allen institute")</f>
        <v>allen institute</v>
      </c>
      <c r="AC2195" s="42" t="str">
        <f>IFERROR(__xludf.DUMMYFUNCTION("""COMPUTED_VALUE"""),"DHBA")</f>
        <v>DHBA</v>
      </c>
      <c r="AD2195" s="42"/>
      <c r="AE2195" s="42"/>
      <c r="AF2195" s="9"/>
      <c r="AG2195" s="9"/>
      <c r="AH2195" s="42"/>
      <c r="AI2195" s="42"/>
      <c r="AJ2195" s="42"/>
      <c r="AK2195" s="42"/>
      <c r="AL2195" s="42"/>
      <c r="AM2195" s="42"/>
      <c r="AN2195" s="42"/>
      <c r="AO2195" s="63" t="str">
        <f>IFERROR(__xludf.DUMMYFUNCTION("IF(ISBLANK(A2195),,IF(ISBLANK(S2195), A2195&amp;"";"", TEXTJOIN(CHAR(10), TRUE, A2195&amp;"";"", ARRAYFORMULA(VLOOKUP(SPLIT(S2195, "";"" &amp; CHAR(10)), $A:$AO, 41, FALSE)))))"),"#REF!")</f>
        <v>#REF!</v>
      </c>
      <c r="AP2195" s="89"/>
    </row>
    <row r="2196">
      <c r="A2196" s="151" t="str">
        <f>IFERROR(__xludf.DUMMYFUNCTION("""COMPUTED_VALUE"""),"PeVtub")</f>
        <v>PeVtub</v>
      </c>
      <c r="B2196" s="42" t="str">
        <f>IFERROR(__xludf.DUMMYFUNCTION("""COMPUTED_VALUE"""),"DHBA")</f>
        <v>DHBA</v>
      </c>
      <c r="C2196" s="42" t="str">
        <f>IFERROR(__xludf.DUMMYFUNCTION("""COMPUTED_VALUE"""),"periventricular nucleus, tuberal portion")</f>
        <v>periventricular nucleus, tuberal portion</v>
      </c>
      <c r="D2196" s="42">
        <f>IFERROR(__xludf.DUMMYFUNCTION("""COMPUTED_VALUE"""),2079.0)</f>
        <v>2079</v>
      </c>
      <c r="E2196" s="39" t="str">
        <f>IFERROR(__xludf.DUMMYFUNCTION("""COMPUTED_VALUE"""),"periventricular nucleus, tuberal portion")</f>
        <v>periventricular nucleus, tuberal portion</v>
      </c>
      <c r="F2196" s="9" t="str">
        <f>IFERROR(__xludf.DUMMYFUNCTION("""COMPUTED_VALUE"""),"Br")</f>
        <v>Br</v>
      </c>
      <c r="G2196" s="9" t="str">
        <f>IFERROR(__xludf.DUMMYFUNCTION("""COMPUTED_VALUE"""),"F")</f>
        <v>F</v>
      </c>
      <c r="H2196" s="9" t="str">
        <f>IFERROR(__xludf.DUMMYFUNCTION("""COMPUTED_VALUE"""),"FGM")</f>
        <v>FGM</v>
      </c>
      <c r="I2196" s="9" t="str">
        <f>IFERROR(__xludf.DUMMYFUNCTION("""COMPUTED_VALUE"""),"Die")</f>
        <v>Die</v>
      </c>
      <c r="J2196" s="9" t="str">
        <f>IFERROR(__xludf.DUMMYFUNCTION("""COMPUTED_VALUE"""),"HTH")</f>
        <v>HTH</v>
      </c>
      <c r="K2196" s="9" t="str">
        <f>IFERROR(__xludf.DUMMYFUNCTION("""COMPUTED_VALUE"""),"HTHtub")</f>
        <v>HTHtub</v>
      </c>
      <c r="L2196" s="9" t="str">
        <f>IFERROR(__xludf.DUMMYFUNCTION("""COMPUTED_VALUE"""),"PeVtub")</f>
        <v>PeVtub</v>
      </c>
      <c r="M2196" s="9"/>
      <c r="N2196" s="9"/>
      <c r="O2196" s="9"/>
      <c r="P2196" s="9"/>
      <c r="Q2196" s="9"/>
      <c r="R2196" s="9"/>
      <c r="S2196" s="42"/>
      <c r="T2196" s="42"/>
      <c r="U2196" s="42"/>
      <c r="V2196" s="42"/>
      <c r="W2196" s="42"/>
      <c r="X2196" s="42"/>
      <c r="Y2196" s="42"/>
      <c r="Z2196" s="42"/>
      <c r="AA2196" s="42"/>
      <c r="AB2196" s="42" t="str">
        <f>IFERROR(__xludf.DUMMYFUNCTION("""COMPUTED_VALUE"""),"allen institute")</f>
        <v>allen institute</v>
      </c>
      <c r="AC2196" s="42" t="str">
        <f>IFERROR(__xludf.DUMMYFUNCTION("""COMPUTED_VALUE"""),"DHBA")</f>
        <v>DHBA</v>
      </c>
      <c r="AD2196" s="42"/>
      <c r="AE2196" s="42"/>
      <c r="AF2196" s="9"/>
      <c r="AG2196" s="9"/>
      <c r="AH2196" s="42"/>
      <c r="AI2196" s="42"/>
      <c r="AJ2196" s="42"/>
      <c r="AK2196" s="42"/>
      <c r="AL2196" s="42"/>
      <c r="AM2196" s="42"/>
      <c r="AN2196" s="42"/>
      <c r="AO2196" s="63" t="str">
        <f>IFERROR(__xludf.DUMMYFUNCTION("IF(ISBLANK(A2196),,IF(ISBLANK(S2196), A2196&amp;"";"", TEXTJOIN(CHAR(10), TRUE, A2196&amp;"";"", ARRAYFORMULA(VLOOKUP(SPLIT(S2196, "";"" &amp; CHAR(10)), $A:$AO, 41, FALSE)))))"),"PeVtub;")</f>
        <v>PeVtub;</v>
      </c>
      <c r="AP2196" s="89"/>
    </row>
    <row r="2197">
      <c r="A2197" s="151" t="str">
        <f>IFERROR(__xludf.DUMMYFUNCTION("""COMPUTED_VALUE"""),"JPLH")</f>
        <v>JPLH</v>
      </c>
      <c r="B2197" s="42" t="str">
        <f>IFERROR(__xludf.DUMMYFUNCTION("""COMPUTED_VALUE"""),"DHBA")</f>
        <v>DHBA</v>
      </c>
      <c r="C2197" s="42" t="str">
        <f>IFERROR(__xludf.DUMMYFUNCTION("""COMPUTED_VALUE"""),"juxtaparaventricular lateral hypothalamic area")</f>
        <v>juxtaparaventricular lateral hypothalamic area</v>
      </c>
      <c r="D2197" s="42">
        <f>IFERROR(__xludf.DUMMYFUNCTION("""COMPUTED_VALUE"""),2080.0)</f>
        <v>2080</v>
      </c>
      <c r="E2197" s="39" t="str">
        <f>IFERROR(__xludf.DUMMYFUNCTION("""COMPUTED_VALUE"""),"juxtaparaventricular lateral hypothalamic area")</f>
        <v>juxtaparaventricular lateral hypothalamic area</v>
      </c>
      <c r="F2197" s="9" t="str">
        <f>IFERROR(__xludf.DUMMYFUNCTION("""COMPUTED_VALUE"""),"Br")</f>
        <v>Br</v>
      </c>
      <c r="G2197" s="9" t="str">
        <f>IFERROR(__xludf.DUMMYFUNCTION("""COMPUTED_VALUE"""),"F")</f>
        <v>F</v>
      </c>
      <c r="H2197" s="9" t="str">
        <f>IFERROR(__xludf.DUMMYFUNCTION("""COMPUTED_VALUE"""),"FGM")</f>
        <v>FGM</v>
      </c>
      <c r="I2197" s="9" t="str">
        <f>IFERROR(__xludf.DUMMYFUNCTION("""COMPUTED_VALUE"""),"Die")</f>
        <v>Die</v>
      </c>
      <c r="J2197" s="9" t="str">
        <f>IFERROR(__xludf.DUMMYFUNCTION("""COMPUTED_VALUE"""),"HTH")</f>
        <v>HTH</v>
      </c>
      <c r="K2197" s="9" t="str">
        <f>IFERROR(__xludf.DUMMYFUNCTION("""COMPUTED_VALUE"""),"HTHtub")</f>
        <v>HTHtub</v>
      </c>
      <c r="L2197" s="9" t="str">
        <f>IFERROR(__xludf.DUMMYFUNCTION("""COMPUTED_VALUE"""),"JPLH")</f>
        <v>JPLH</v>
      </c>
      <c r="M2197" s="9"/>
      <c r="N2197" s="9"/>
      <c r="O2197" s="9"/>
      <c r="P2197" s="9"/>
      <c r="Q2197" s="9"/>
      <c r="R2197" s="9"/>
      <c r="S2197" s="42"/>
      <c r="T2197" s="42"/>
      <c r="U2197" s="42"/>
      <c r="V2197" s="42"/>
      <c r="W2197" s="42"/>
      <c r="X2197" s="42"/>
      <c r="Y2197" s="42"/>
      <c r="Z2197" s="42"/>
      <c r="AA2197" s="42"/>
      <c r="AB2197" s="42" t="str">
        <f>IFERROR(__xludf.DUMMYFUNCTION("""COMPUTED_VALUE"""),"allen institute")</f>
        <v>allen institute</v>
      </c>
      <c r="AC2197" s="42" t="str">
        <f>IFERROR(__xludf.DUMMYFUNCTION("""COMPUTED_VALUE"""),"DHBA")</f>
        <v>DHBA</v>
      </c>
      <c r="AD2197" s="42"/>
      <c r="AE2197" s="42"/>
      <c r="AF2197" s="9"/>
      <c r="AG2197" s="9"/>
      <c r="AH2197" s="42"/>
      <c r="AI2197" s="42"/>
      <c r="AJ2197" s="42"/>
      <c r="AK2197" s="42"/>
      <c r="AL2197" s="42"/>
      <c r="AM2197" s="42"/>
      <c r="AN2197" s="42"/>
      <c r="AO2197" s="63" t="str">
        <f>IFERROR(__xludf.DUMMYFUNCTION("IF(ISBLANK(A2197),,IF(ISBLANK(S2197), A2197&amp;"";"", TEXTJOIN(CHAR(10), TRUE, A2197&amp;"";"", ARRAYFORMULA(VLOOKUP(SPLIT(S2197, "";"" &amp; CHAR(10)), $A:$AO, 41, FALSE)))))"),"JPLH;")</f>
        <v>JPLH;</v>
      </c>
      <c r="AP2197" s="89"/>
    </row>
    <row r="2198">
      <c r="A2198" s="151" t="str">
        <f>IFERROR(__xludf.DUMMYFUNCTION("""COMPUTED_VALUE"""),"DHA")</f>
        <v>DHA</v>
      </c>
      <c r="B2198" s="42" t="str">
        <f>IFERROR(__xludf.DUMMYFUNCTION("""COMPUTED_VALUE"""),"DHBA")</f>
        <v>DHBA</v>
      </c>
      <c r="C2198" s="42" t="str">
        <f>IFERROR(__xludf.DUMMYFUNCTION("""COMPUTED_VALUE"""),"dorsal hypothalamic area")</f>
        <v>dorsal hypothalamic area</v>
      </c>
      <c r="D2198" s="42">
        <f>IFERROR(__xludf.DUMMYFUNCTION("""COMPUTED_VALUE"""),2081.0)</f>
        <v>2081</v>
      </c>
      <c r="E2198" s="39" t="str">
        <f>IFERROR(__xludf.DUMMYFUNCTION("""COMPUTED_VALUE"""),"dorsal hypothalamic area")</f>
        <v>dorsal hypothalamic area</v>
      </c>
      <c r="F2198" s="9" t="str">
        <f>IFERROR(__xludf.DUMMYFUNCTION("""COMPUTED_VALUE"""),"Br")</f>
        <v>Br</v>
      </c>
      <c r="G2198" s="9" t="str">
        <f>IFERROR(__xludf.DUMMYFUNCTION("""COMPUTED_VALUE"""),"F")</f>
        <v>F</v>
      </c>
      <c r="H2198" s="9" t="str">
        <f>IFERROR(__xludf.DUMMYFUNCTION("""COMPUTED_VALUE"""),"FGM")</f>
        <v>FGM</v>
      </c>
      <c r="I2198" s="9" t="str">
        <f>IFERROR(__xludf.DUMMYFUNCTION("""COMPUTED_VALUE"""),"Die")</f>
        <v>Die</v>
      </c>
      <c r="J2198" s="9" t="str">
        <f>IFERROR(__xludf.DUMMYFUNCTION("""COMPUTED_VALUE"""),"HTH")</f>
        <v>HTH</v>
      </c>
      <c r="K2198" s="9" t="str">
        <f>IFERROR(__xludf.DUMMYFUNCTION("""COMPUTED_VALUE"""),"HTHtub")</f>
        <v>HTHtub</v>
      </c>
      <c r="L2198" s="9" t="str">
        <f>IFERROR(__xludf.DUMMYFUNCTION("""COMPUTED_VALUE"""),"DHA")</f>
        <v>DHA</v>
      </c>
      <c r="M2198" s="9"/>
      <c r="N2198" s="9"/>
      <c r="O2198" s="9"/>
      <c r="P2198" s="9"/>
      <c r="Q2198" s="9"/>
      <c r="R2198" s="9"/>
      <c r="S2198" s="42"/>
      <c r="T2198" s="42"/>
      <c r="U2198" s="42"/>
      <c r="V2198" s="42"/>
      <c r="W2198" s="42"/>
      <c r="X2198" s="42"/>
      <c r="Y2198" s="42"/>
      <c r="Z2198" s="42"/>
      <c r="AA2198" s="42"/>
      <c r="AB2198" s="42" t="str">
        <f>IFERROR(__xludf.DUMMYFUNCTION("""COMPUTED_VALUE"""),"allen institute")</f>
        <v>allen institute</v>
      </c>
      <c r="AC2198" s="42" t="str">
        <f>IFERROR(__xludf.DUMMYFUNCTION("""COMPUTED_VALUE"""),"DHBA")</f>
        <v>DHBA</v>
      </c>
      <c r="AD2198" s="42"/>
      <c r="AE2198" s="42"/>
      <c r="AF2198" s="9"/>
      <c r="AG2198" s="9"/>
      <c r="AH2198" s="42"/>
      <c r="AI2198" s="42"/>
      <c r="AJ2198" s="42"/>
      <c r="AK2198" s="42"/>
      <c r="AL2198" s="42"/>
      <c r="AM2198" s="42"/>
      <c r="AN2198" s="42"/>
      <c r="AO2198" s="63" t="str">
        <f>IFERROR(__xludf.DUMMYFUNCTION("IF(ISBLANK(A2198),,IF(ISBLANK(S2198), A2198&amp;"";"", TEXTJOIN(CHAR(10), TRUE, A2198&amp;"";"", ARRAYFORMULA(VLOOKUP(SPLIT(S2198, "";"" &amp; CHAR(10)), $A:$AO, 41, FALSE)))))"),"DHA;")</f>
        <v>DHA;</v>
      </c>
      <c r="AP2198" s="89"/>
    </row>
    <row r="2199">
      <c r="A2199" s="151" t="str">
        <f>IFERROR(__xludf.DUMMYFUNCTION("""COMPUTED_VALUE"""),"DMH")</f>
        <v>DMH</v>
      </c>
      <c r="B2199" s="42" t="str">
        <f>IFERROR(__xludf.DUMMYFUNCTION("""COMPUTED_VALUE"""),"DHBA")</f>
        <v>DHBA</v>
      </c>
      <c r="C2199" s="42" t="str">
        <f>IFERROR(__xludf.DUMMYFUNCTION("""COMPUTED_VALUE"""),"dorsomedial hypothalamic nucleus, Dorsomedial nucleus, DM")</f>
        <v>dorsomedial hypothalamic nucleus, Dorsomedial nucleus, DM</v>
      </c>
      <c r="D2199" s="42">
        <f>IFERROR(__xludf.DUMMYFUNCTION("""COMPUTED_VALUE"""),2082.0)</f>
        <v>2082</v>
      </c>
      <c r="E2199" s="39" t="str">
        <f>IFERROR(__xludf.DUMMYFUNCTION("""COMPUTED_VALUE"""),"dorsomedial hypothalamic nucleus")</f>
        <v>dorsomedial hypothalamic nucleus</v>
      </c>
      <c r="F2199" s="9" t="str">
        <f>IFERROR(__xludf.DUMMYFUNCTION("""COMPUTED_VALUE"""),"Br")</f>
        <v>Br</v>
      </c>
      <c r="G2199" s="9" t="str">
        <f>IFERROR(__xludf.DUMMYFUNCTION("""COMPUTED_VALUE"""),"F")</f>
        <v>F</v>
      </c>
      <c r="H2199" s="9" t="str">
        <f>IFERROR(__xludf.DUMMYFUNCTION("""COMPUTED_VALUE"""),"FGM")</f>
        <v>FGM</v>
      </c>
      <c r="I2199" s="9" t="str">
        <f>IFERROR(__xludf.DUMMYFUNCTION("""COMPUTED_VALUE"""),"Die")</f>
        <v>Die</v>
      </c>
      <c r="J2199" s="9" t="str">
        <f>IFERROR(__xludf.DUMMYFUNCTION("""COMPUTED_VALUE"""),"HTH")</f>
        <v>HTH</v>
      </c>
      <c r="K2199" s="9" t="str">
        <f>IFERROR(__xludf.DUMMYFUNCTION("""COMPUTED_VALUE"""),"HTHtub")</f>
        <v>HTHtub</v>
      </c>
      <c r="L2199" s="9" t="str">
        <f>IFERROR(__xludf.DUMMYFUNCTION("""COMPUTED_VALUE"""),"DMH")</f>
        <v>DMH</v>
      </c>
      <c r="M2199" s="9"/>
      <c r="N2199" s="9"/>
      <c r="O2199" s="9"/>
      <c r="P2199" s="9"/>
      <c r="Q2199" s="9"/>
      <c r="R2199" s="9"/>
      <c r="S2199" s="42" t="str">
        <f>IFERROR(__xludf.DUMMYFUNCTION("""COMPUTED_VALUE"""),"DMHc;
DMHd")</f>
        <v>DMHc;
DMHd</v>
      </c>
      <c r="T2199" s="42"/>
      <c r="U2199" s="42" t="b">
        <f>IFERROR(__xludf.DUMMYFUNCTION("""COMPUTED_VALUE"""),FALSE)</f>
        <v>0</v>
      </c>
      <c r="V2199" s="42"/>
      <c r="W2199" s="42"/>
      <c r="X2199" s="42"/>
      <c r="Y2199" s="42"/>
      <c r="Z2199" s="42"/>
      <c r="AA2199" s="42"/>
      <c r="AB2199" s="42" t="str">
        <f>IFERROR(__xludf.DUMMYFUNCTION("""COMPUTED_VALUE"""),"allen institute")</f>
        <v>allen institute</v>
      </c>
      <c r="AC2199" s="42" t="str">
        <f>IFERROR(__xludf.DUMMYFUNCTION("""COMPUTED_VALUE"""),"DHBA")</f>
        <v>DHBA</v>
      </c>
      <c r="AD2199" s="42"/>
      <c r="AE2199" s="42"/>
      <c r="AF2199" s="9"/>
      <c r="AG2199" s="9"/>
      <c r="AH2199" s="42"/>
      <c r="AI2199" s="42"/>
      <c r="AJ2199" s="42"/>
      <c r="AK2199" s="42"/>
      <c r="AL2199" s="42"/>
      <c r="AM2199" s="42"/>
      <c r="AN2199" s="42"/>
      <c r="AO2199" s="63" t="str">
        <f>IFERROR(__xludf.DUMMYFUNCTION("IF(ISBLANK(A2199),,IF(ISBLANK(S2199), A2199&amp;"";"", TEXTJOIN(CHAR(10), TRUE, A2199&amp;"";"", ARRAYFORMULA(VLOOKUP(SPLIT(S2199, "";"" &amp; CHAR(10)), $A:$AO, 41, FALSE)))))"),"DMH;
DMHc;
DMHd;")</f>
        <v>DMH;
DMHc;
DMHd;</v>
      </c>
      <c r="AP2199" s="89"/>
    </row>
    <row r="2200">
      <c r="A2200" s="151" t="str">
        <f>IFERROR(__xludf.DUMMYFUNCTION("""COMPUTED_VALUE"""),"DMHc")</f>
        <v>DMHc</v>
      </c>
      <c r="B2200" s="42" t="str">
        <f>IFERROR(__xludf.DUMMYFUNCTION("""COMPUTED_VALUE"""),"DHBA")</f>
        <v>DHBA</v>
      </c>
      <c r="C2200" s="42" t="str">
        <f>IFERROR(__xludf.DUMMYFUNCTION("""COMPUTED_VALUE"""),"compact part of dorsomedial hypothalamic nucleus")</f>
        <v>compact part of dorsomedial hypothalamic nucleus</v>
      </c>
      <c r="D2200" s="42">
        <f>IFERROR(__xludf.DUMMYFUNCTION("""COMPUTED_VALUE"""),2083.0)</f>
        <v>2083</v>
      </c>
      <c r="E2200" s="39" t="str">
        <f>IFERROR(__xludf.DUMMYFUNCTION("""COMPUTED_VALUE"""),"compact part of dorsomedial hypothalamic nucleus")</f>
        <v>compact part of dorsomedial hypothalamic nucleus</v>
      </c>
      <c r="F2200" s="9" t="str">
        <f>IFERROR(__xludf.DUMMYFUNCTION("""COMPUTED_VALUE"""),"Br")</f>
        <v>Br</v>
      </c>
      <c r="G2200" s="9" t="str">
        <f>IFERROR(__xludf.DUMMYFUNCTION("""COMPUTED_VALUE"""),"F")</f>
        <v>F</v>
      </c>
      <c r="H2200" s="9" t="str">
        <f>IFERROR(__xludf.DUMMYFUNCTION("""COMPUTED_VALUE"""),"FGM")</f>
        <v>FGM</v>
      </c>
      <c r="I2200" s="9" t="str">
        <f>IFERROR(__xludf.DUMMYFUNCTION("""COMPUTED_VALUE"""),"Die")</f>
        <v>Die</v>
      </c>
      <c r="J2200" s="9" t="str">
        <f>IFERROR(__xludf.DUMMYFUNCTION("""COMPUTED_VALUE"""),"HTH")</f>
        <v>HTH</v>
      </c>
      <c r="K2200" s="9" t="str">
        <f>IFERROR(__xludf.DUMMYFUNCTION("""COMPUTED_VALUE"""),"HTHtub")</f>
        <v>HTHtub</v>
      </c>
      <c r="L2200" s="9" t="str">
        <f>IFERROR(__xludf.DUMMYFUNCTION("""COMPUTED_VALUE"""),"DMH")</f>
        <v>DMH</v>
      </c>
      <c r="M2200" s="9" t="str">
        <f>IFERROR(__xludf.DUMMYFUNCTION("""COMPUTED_VALUE"""),"DMHc")</f>
        <v>DMHc</v>
      </c>
      <c r="N2200" s="9"/>
      <c r="O2200" s="9"/>
      <c r="P2200" s="9"/>
      <c r="Q2200" s="9"/>
      <c r="R2200" s="9"/>
      <c r="S2200" s="42"/>
      <c r="T2200" s="42"/>
      <c r="U2200" s="42"/>
      <c r="V2200" s="42"/>
      <c r="W2200" s="42"/>
      <c r="X2200" s="42"/>
      <c r="Y2200" s="42"/>
      <c r="Z2200" s="42"/>
      <c r="AA2200" s="42"/>
      <c r="AB2200" s="42" t="str">
        <f>IFERROR(__xludf.DUMMYFUNCTION("""COMPUTED_VALUE"""),"allen institute")</f>
        <v>allen institute</v>
      </c>
      <c r="AC2200" s="42" t="str">
        <f>IFERROR(__xludf.DUMMYFUNCTION("""COMPUTED_VALUE"""),"DHBA")</f>
        <v>DHBA</v>
      </c>
      <c r="AD2200" s="42"/>
      <c r="AE2200" s="42"/>
      <c r="AF2200" s="9"/>
      <c r="AG2200" s="9"/>
      <c r="AH2200" s="42"/>
      <c r="AI2200" s="42"/>
      <c r="AJ2200" s="42"/>
      <c r="AK2200" s="42"/>
      <c r="AL2200" s="42"/>
      <c r="AM2200" s="42"/>
      <c r="AN2200" s="42"/>
      <c r="AO2200" s="63" t="str">
        <f>IFERROR(__xludf.DUMMYFUNCTION("IF(ISBLANK(A2200),,IF(ISBLANK(S2200), A2200&amp;"";"", TEXTJOIN(CHAR(10), TRUE, A2200&amp;"";"", ARRAYFORMULA(VLOOKUP(SPLIT(S2200, "";"" &amp; CHAR(10)), $A:$AO, 41, FALSE)))))"),"DMHc;")</f>
        <v>DMHc;</v>
      </c>
      <c r="AP2200" s="89"/>
    </row>
    <row r="2201">
      <c r="A2201" s="151" t="str">
        <f>IFERROR(__xludf.DUMMYFUNCTION("""COMPUTED_VALUE"""),"DMHd")</f>
        <v>DMHd</v>
      </c>
      <c r="B2201" s="42" t="str">
        <f>IFERROR(__xludf.DUMMYFUNCTION("""COMPUTED_VALUE"""),"DHBA")</f>
        <v>DHBA</v>
      </c>
      <c r="C2201" s="42" t="str">
        <f>IFERROR(__xludf.DUMMYFUNCTION("""COMPUTED_VALUE"""),"diffuse part of dorsomedial hypothalamic nucleus")</f>
        <v>diffuse part of dorsomedial hypothalamic nucleus</v>
      </c>
      <c r="D2201" s="42">
        <f>IFERROR(__xludf.DUMMYFUNCTION("""COMPUTED_VALUE"""),2084.0)</f>
        <v>2084</v>
      </c>
      <c r="E2201" s="39" t="str">
        <f>IFERROR(__xludf.DUMMYFUNCTION("""COMPUTED_VALUE"""),"diffuse part of dorsomedial hypothalamic nucleus")</f>
        <v>diffuse part of dorsomedial hypothalamic nucleus</v>
      </c>
      <c r="F2201" s="9" t="str">
        <f>IFERROR(__xludf.DUMMYFUNCTION("""COMPUTED_VALUE"""),"Br")</f>
        <v>Br</v>
      </c>
      <c r="G2201" s="9" t="str">
        <f>IFERROR(__xludf.DUMMYFUNCTION("""COMPUTED_VALUE"""),"F")</f>
        <v>F</v>
      </c>
      <c r="H2201" s="9" t="str">
        <f>IFERROR(__xludf.DUMMYFUNCTION("""COMPUTED_VALUE"""),"FGM")</f>
        <v>FGM</v>
      </c>
      <c r="I2201" s="9" t="str">
        <f>IFERROR(__xludf.DUMMYFUNCTION("""COMPUTED_VALUE"""),"Die")</f>
        <v>Die</v>
      </c>
      <c r="J2201" s="9" t="str">
        <f>IFERROR(__xludf.DUMMYFUNCTION("""COMPUTED_VALUE"""),"HTH")</f>
        <v>HTH</v>
      </c>
      <c r="K2201" s="9" t="str">
        <f>IFERROR(__xludf.DUMMYFUNCTION("""COMPUTED_VALUE"""),"HTHtub")</f>
        <v>HTHtub</v>
      </c>
      <c r="L2201" s="9" t="str">
        <f>IFERROR(__xludf.DUMMYFUNCTION("""COMPUTED_VALUE"""),"DMH")</f>
        <v>DMH</v>
      </c>
      <c r="M2201" s="9" t="str">
        <f>IFERROR(__xludf.DUMMYFUNCTION("""COMPUTED_VALUE"""),"DMHd")</f>
        <v>DMHd</v>
      </c>
      <c r="N2201" s="9"/>
      <c r="O2201" s="9"/>
      <c r="P2201" s="9"/>
      <c r="Q2201" s="9"/>
      <c r="R2201" s="9"/>
      <c r="S2201" s="42"/>
      <c r="T2201" s="42"/>
      <c r="U2201" s="42"/>
      <c r="V2201" s="42"/>
      <c r="W2201" s="42"/>
      <c r="X2201" s="42"/>
      <c r="Y2201" s="42"/>
      <c r="Z2201" s="42"/>
      <c r="AA2201" s="42"/>
      <c r="AB2201" s="42" t="str">
        <f>IFERROR(__xludf.DUMMYFUNCTION("""COMPUTED_VALUE"""),"allen institute")</f>
        <v>allen institute</v>
      </c>
      <c r="AC2201" s="42" t="str">
        <f>IFERROR(__xludf.DUMMYFUNCTION("""COMPUTED_VALUE"""),"DHBA")</f>
        <v>DHBA</v>
      </c>
      <c r="AD2201" s="42"/>
      <c r="AE2201" s="42"/>
      <c r="AF2201" s="9"/>
      <c r="AG2201" s="9"/>
      <c r="AH2201" s="42"/>
      <c r="AI2201" s="42"/>
      <c r="AJ2201" s="42"/>
      <c r="AK2201" s="42"/>
      <c r="AL2201" s="42"/>
      <c r="AM2201" s="42"/>
      <c r="AN2201" s="42"/>
      <c r="AO2201" s="63" t="str">
        <f>IFERROR(__xludf.DUMMYFUNCTION("IF(ISBLANK(A2201),,IF(ISBLANK(S2201), A2201&amp;"";"", TEXTJOIN(CHAR(10), TRUE, A2201&amp;"";"", ARRAYFORMULA(VLOOKUP(SPLIT(S2201, "";"" &amp; CHAR(10)), $A:$AO, 41, FALSE)))))"),"DMHd;")</f>
        <v>DMHd;</v>
      </c>
      <c r="AP2201" s="89"/>
    </row>
    <row r="2202">
      <c r="A2202" s="151" t="str">
        <f>IFERROR(__xludf.DUMMYFUNCTION("""COMPUTED_VALUE"""),"VMH")</f>
        <v>VMH</v>
      </c>
      <c r="B2202" s="42" t="str">
        <f>IFERROR(__xludf.DUMMYFUNCTION("""COMPUTED_VALUE"""),"DHBA")</f>
        <v>DHBA</v>
      </c>
      <c r="C2202" s="42" t="str">
        <f>IFERROR(__xludf.DUMMYFUNCTION("""COMPUTED_VALUE"""),"ventromedial hypothalamic nucleus, Ventromedial nucleus, VM")</f>
        <v>ventromedial hypothalamic nucleus, Ventromedial nucleus, VM</v>
      </c>
      <c r="D2202" s="42">
        <f>IFERROR(__xludf.DUMMYFUNCTION("""COMPUTED_VALUE"""),2085.0)</f>
        <v>2085</v>
      </c>
      <c r="E2202" s="39" t="str">
        <f>IFERROR(__xludf.DUMMYFUNCTION("""COMPUTED_VALUE"""),"ventromedial hypothalamic nucleus")</f>
        <v>ventromedial hypothalamic nucleus</v>
      </c>
      <c r="F2202" s="9" t="str">
        <f>IFERROR(__xludf.DUMMYFUNCTION("""COMPUTED_VALUE"""),"Br")</f>
        <v>Br</v>
      </c>
      <c r="G2202" s="9" t="str">
        <f>IFERROR(__xludf.DUMMYFUNCTION("""COMPUTED_VALUE"""),"F")</f>
        <v>F</v>
      </c>
      <c r="H2202" s="9" t="str">
        <f>IFERROR(__xludf.DUMMYFUNCTION("""COMPUTED_VALUE"""),"FGM")</f>
        <v>FGM</v>
      </c>
      <c r="I2202" s="9" t="str">
        <f>IFERROR(__xludf.DUMMYFUNCTION("""COMPUTED_VALUE"""),"Die")</f>
        <v>Die</v>
      </c>
      <c r="J2202" s="9" t="str">
        <f>IFERROR(__xludf.DUMMYFUNCTION("""COMPUTED_VALUE"""),"HTH")</f>
        <v>HTH</v>
      </c>
      <c r="K2202" s="9" t="str">
        <f>IFERROR(__xludf.DUMMYFUNCTION("""COMPUTED_VALUE"""),"HTHtub")</f>
        <v>HTHtub</v>
      </c>
      <c r="L2202" s="9" t="str">
        <f>IFERROR(__xludf.DUMMYFUNCTION("""COMPUTED_VALUE"""),"VMH")</f>
        <v>VMH</v>
      </c>
      <c r="M2202" s="9"/>
      <c r="N2202" s="9"/>
      <c r="O2202" s="9"/>
      <c r="P2202" s="9"/>
      <c r="Q2202" s="9"/>
      <c r="R2202" s="9"/>
      <c r="S2202" s="42" t="str">
        <f>IFERROR(__xludf.DUMMYFUNCTION("""COMPUTED_VALUE"""),"VMHd;
VMHv;
VMHc")</f>
        <v>VMHd;
VMHv;
VMHc</v>
      </c>
      <c r="T2202" s="42"/>
      <c r="U2202" s="42" t="b">
        <f>IFERROR(__xludf.DUMMYFUNCTION("""COMPUTED_VALUE"""),FALSE)</f>
        <v>0</v>
      </c>
      <c r="V2202" s="42"/>
      <c r="W2202" s="42"/>
      <c r="X2202" s="42"/>
      <c r="Y2202" s="42"/>
      <c r="Z2202" s="42"/>
      <c r="AA2202" s="42"/>
      <c r="AB2202" s="42" t="str">
        <f>IFERROR(__xludf.DUMMYFUNCTION("""COMPUTED_VALUE"""),"allen institute")</f>
        <v>allen institute</v>
      </c>
      <c r="AC2202" s="42" t="str">
        <f>IFERROR(__xludf.DUMMYFUNCTION("""COMPUTED_VALUE"""),"DHBA")</f>
        <v>DHBA</v>
      </c>
      <c r="AD2202" s="42"/>
      <c r="AE2202" s="42"/>
      <c r="AF2202" s="9"/>
      <c r="AG2202" s="9"/>
      <c r="AH2202" s="42"/>
      <c r="AI2202" s="42"/>
      <c r="AJ2202" s="42"/>
      <c r="AK2202" s="42"/>
      <c r="AL2202" s="42"/>
      <c r="AM2202" s="42"/>
      <c r="AN2202" s="42"/>
      <c r="AO2202" s="63" t="str">
        <f>IFERROR(__xludf.DUMMYFUNCTION("IF(ISBLANK(A2202),,IF(ISBLANK(S2202), A2202&amp;"";"", TEXTJOIN(CHAR(10), TRUE, A2202&amp;"";"", ARRAYFORMULA(VLOOKUP(SPLIT(S2202, "";"" &amp; CHAR(10)), $A:$AO, 41, FALSE)))))"),"VMH;
VMHd;
VMHv;
VMHc;")</f>
        <v>VMH;
VMHd;
VMHv;
VMHc;</v>
      </c>
      <c r="AP2202" s="89"/>
    </row>
    <row r="2203">
      <c r="A2203" s="151" t="str">
        <f>IFERROR(__xludf.DUMMYFUNCTION("""COMPUTED_VALUE"""),"VMHd")</f>
        <v>VMHd</v>
      </c>
      <c r="B2203" s="42" t="str">
        <f>IFERROR(__xludf.DUMMYFUNCTION("""COMPUTED_VALUE"""),"DHBA")</f>
        <v>DHBA</v>
      </c>
      <c r="C2203" s="42" t="str">
        <f>IFERROR(__xludf.DUMMYFUNCTION("""COMPUTED_VALUE"""),"dorsal part of ventromedial hypothalamic nucleus")</f>
        <v>dorsal part of ventromedial hypothalamic nucleus</v>
      </c>
      <c r="D2203" s="42">
        <f>IFERROR(__xludf.DUMMYFUNCTION("""COMPUTED_VALUE"""),2086.0)</f>
        <v>2086</v>
      </c>
      <c r="E2203" s="39" t="str">
        <f>IFERROR(__xludf.DUMMYFUNCTION("""COMPUTED_VALUE"""),"dorsal part of ventromedial hypothalamic nucleus")</f>
        <v>dorsal part of ventromedial hypothalamic nucleus</v>
      </c>
      <c r="F2203" s="9" t="str">
        <f>IFERROR(__xludf.DUMMYFUNCTION("""COMPUTED_VALUE"""),"Br")</f>
        <v>Br</v>
      </c>
      <c r="G2203" s="9" t="str">
        <f>IFERROR(__xludf.DUMMYFUNCTION("""COMPUTED_VALUE"""),"F")</f>
        <v>F</v>
      </c>
      <c r="H2203" s="9" t="str">
        <f>IFERROR(__xludf.DUMMYFUNCTION("""COMPUTED_VALUE"""),"FGM")</f>
        <v>FGM</v>
      </c>
      <c r="I2203" s="9" t="str">
        <f>IFERROR(__xludf.DUMMYFUNCTION("""COMPUTED_VALUE"""),"Die")</f>
        <v>Die</v>
      </c>
      <c r="J2203" s="9" t="str">
        <f>IFERROR(__xludf.DUMMYFUNCTION("""COMPUTED_VALUE"""),"HTH")</f>
        <v>HTH</v>
      </c>
      <c r="K2203" s="9" t="str">
        <f>IFERROR(__xludf.DUMMYFUNCTION("""COMPUTED_VALUE"""),"HTHtub")</f>
        <v>HTHtub</v>
      </c>
      <c r="L2203" s="9" t="str">
        <f>IFERROR(__xludf.DUMMYFUNCTION("""COMPUTED_VALUE"""),"VMH")</f>
        <v>VMH</v>
      </c>
      <c r="M2203" s="9" t="str">
        <f>IFERROR(__xludf.DUMMYFUNCTION("""COMPUTED_VALUE"""),"VMHd")</f>
        <v>VMHd</v>
      </c>
      <c r="N2203" s="9"/>
      <c r="O2203" s="9"/>
      <c r="P2203" s="9"/>
      <c r="Q2203" s="9"/>
      <c r="R2203" s="9"/>
      <c r="S2203" s="42"/>
      <c r="T2203" s="42"/>
      <c r="U2203" s="159"/>
      <c r="V2203" s="42"/>
      <c r="W2203" s="42"/>
      <c r="X2203" s="42"/>
      <c r="Y2203" s="42"/>
      <c r="Z2203" s="42"/>
      <c r="AA2203" s="42"/>
      <c r="AB2203" s="42" t="str">
        <f>IFERROR(__xludf.DUMMYFUNCTION("""COMPUTED_VALUE"""),"allen institute")</f>
        <v>allen institute</v>
      </c>
      <c r="AC2203" s="42" t="str">
        <f>IFERROR(__xludf.DUMMYFUNCTION("""COMPUTED_VALUE"""),"DHBA")</f>
        <v>DHBA</v>
      </c>
      <c r="AD2203" s="42"/>
      <c r="AE2203" s="42"/>
      <c r="AF2203" s="9"/>
      <c r="AG2203" s="9"/>
      <c r="AH2203" s="42"/>
      <c r="AI2203" s="42"/>
      <c r="AJ2203" s="42"/>
      <c r="AK2203" s="42"/>
      <c r="AL2203" s="42"/>
      <c r="AM2203" s="42"/>
      <c r="AN2203" s="42"/>
      <c r="AO2203" s="63" t="str">
        <f>IFERROR(__xludf.DUMMYFUNCTION("IF(ISBLANK(A2203),,IF(ISBLANK(S2203), A2203&amp;"";"", TEXTJOIN(CHAR(10), TRUE, A2203&amp;"";"", ARRAYFORMULA(VLOOKUP(SPLIT(S2203, "";"" &amp; CHAR(10)), $A:$AO, 41, FALSE)))))"),"VMHd;")</f>
        <v>VMHd;</v>
      </c>
      <c r="AP2203" s="89"/>
    </row>
    <row r="2204">
      <c r="A2204" s="151" t="str">
        <f>IFERROR(__xludf.DUMMYFUNCTION("""COMPUTED_VALUE"""),"VMHv")</f>
        <v>VMHv</v>
      </c>
      <c r="B2204" s="42" t="str">
        <f>IFERROR(__xludf.DUMMYFUNCTION("""COMPUTED_VALUE"""),"DHBA")</f>
        <v>DHBA</v>
      </c>
      <c r="C2204" s="42" t="str">
        <f>IFERROR(__xludf.DUMMYFUNCTION("""COMPUTED_VALUE"""),"ventral part of ventromedial hypothalamic nucleus")</f>
        <v>ventral part of ventromedial hypothalamic nucleus</v>
      </c>
      <c r="D2204" s="42">
        <f>IFERROR(__xludf.DUMMYFUNCTION("""COMPUTED_VALUE"""),2087.0)</f>
        <v>2087</v>
      </c>
      <c r="E2204" s="39" t="str">
        <f>IFERROR(__xludf.DUMMYFUNCTION("""COMPUTED_VALUE"""),"ventral part of ventromedial hypothalamic nucleus")</f>
        <v>ventral part of ventromedial hypothalamic nucleus</v>
      </c>
      <c r="F2204" s="9" t="str">
        <f>IFERROR(__xludf.DUMMYFUNCTION("""COMPUTED_VALUE"""),"Br")</f>
        <v>Br</v>
      </c>
      <c r="G2204" s="9" t="str">
        <f>IFERROR(__xludf.DUMMYFUNCTION("""COMPUTED_VALUE"""),"F")</f>
        <v>F</v>
      </c>
      <c r="H2204" s="9" t="str">
        <f>IFERROR(__xludf.DUMMYFUNCTION("""COMPUTED_VALUE"""),"FGM")</f>
        <v>FGM</v>
      </c>
      <c r="I2204" s="9" t="str">
        <f>IFERROR(__xludf.DUMMYFUNCTION("""COMPUTED_VALUE"""),"Die")</f>
        <v>Die</v>
      </c>
      <c r="J2204" s="9" t="str">
        <f>IFERROR(__xludf.DUMMYFUNCTION("""COMPUTED_VALUE"""),"HTH")</f>
        <v>HTH</v>
      </c>
      <c r="K2204" s="9" t="str">
        <f>IFERROR(__xludf.DUMMYFUNCTION("""COMPUTED_VALUE"""),"HTHtub")</f>
        <v>HTHtub</v>
      </c>
      <c r="L2204" s="9" t="str">
        <f>IFERROR(__xludf.DUMMYFUNCTION("""COMPUTED_VALUE"""),"VMH")</f>
        <v>VMH</v>
      </c>
      <c r="M2204" s="9" t="str">
        <f>IFERROR(__xludf.DUMMYFUNCTION("""COMPUTED_VALUE"""),"VMHv")</f>
        <v>VMHv</v>
      </c>
      <c r="N2204" s="9"/>
      <c r="O2204" s="9"/>
      <c r="P2204" s="9"/>
      <c r="Q2204" s="9"/>
      <c r="R2204" s="9"/>
      <c r="S2204" s="42"/>
      <c r="T2204" s="42"/>
      <c r="U2204" s="159"/>
      <c r="V2204" s="42"/>
      <c r="W2204" s="42"/>
      <c r="X2204" s="42"/>
      <c r="Y2204" s="42"/>
      <c r="Z2204" s="42"/>
      <c r="AA2204" s="42"/>
      <c r="AB2204" s="42" t="str">
        <f>IFERROR(__xludf.DUMMYFUNCTION("""COMPUTED_VALUE"""),"allen institute")</f>
        <v>allen institute</v>
      </c>
      <c r="AC2204" s="42" t="str">
        <f>IFERROR(__xludf.DUMMYFUNCTION("""COMPUTED_VALUE"""),"DHBA")</f>
        <v>DHBA</v>
      </c>
      <c r="AD2204" s="42"/>
      <c r="AE2204" s="42"/>
      <c r="AF2204" s="9"/>
      <c r="AG2204" s="9"/>
      <c r="AH2204" s="42"/>
      <c r="AI2204" s="42"/>
      <c r="AJ2204" s="42"/>
      <c r="AK2204" s="42"/>
      <c r="AL2204" s="42"/>
      <c r="AM2204" s="42"/>
      <c r="AN2204" s="42"/>
      <c r="AO2204" s="63" t="str">
        <f>IFERROR(__xludf.DUMMYFUNCTION("IF(ISBLANK(A2204),,IF(ISBLANK(S2204), A2204&amp;"";"", TEXTJOIN(CHAR(10), TRUE, A2204&amp;"";"", ARRAYFORMULA(VLOOKUP(SPLIT(S2204, "";"" &amp; CHAR(10)), $A:$AO, 41, FALSE)))))"),"VMHv;")</f>
        <v>VMHv;</v>
      </c>
      <c r="AP2204" s="89"/>
    </row>
    <row r="2205">
      <c r="A2205" s="151" t="str">
        <f>IFERROR(__xludf.DUMMYFUNCTION("""COMPUTED_VALUE"""),"VMHc")</f>
        <v>VMHc</v>
      </c>
      <c r="B2205" s="42" t="str">
        <f>IFERROR(__xludf.DUMMYFUNCTION("""COMPUTED_VALUE"""),"DHBA")</f>
        <v>DHBA</v>
      </c>
      <c r="C2205" s="42" t="str">
        <f>IFERROR(__xludf.DUMMYFUNCTION("""COMPUTED_VALUE"""),"central part of ventromedial hypothalamic nucleus")</f>
        <v>central part of ventromedial hypothalamic nucleus</v>
      </c>
      <c r="D2205" s="42">
        <f>IFERROR(__xludf.DUMMYFUNCTION("""COMPUTED_VALUE"""),2088.0)</f>
        <v>2088</v>
      </c>
      <c r="E2205" s="39" t="str">
        <f>IFERROR(__xludf.DUMMYFUNCTION("""COMPUTED_VALUE"""),"central part of ventromedial hypothalamic nucleus")</f>
        <v>central part of ventromedial hypothalamic nucleus</v>
      </c>
      <c r="F2205" s="9" t="str">
        <f>IFERROR(__xludf.DUMMYFUNCTION("""COMPUTED_VALUE"""),"Br")</f>
        <v>Br</v>
      </c>
      <c r="G2205" s="9" t="str">
        <f>IFERROR(__xludf.DUMMYFUNCTION("""COMPUTED_VALUE"""),"F")</f>
        <v>F</v>
      </c>
      <c r="H2205" s="9" t="str">
        <f>IFERROR(__xludf.DUMMYFUNCTION("""COMPUTED_VALUE"""),"FGM")</f>
        <v>FGM</v>
      </c>
      <c r="I2205" s="9" t="str">
        <f>IFERROR(__xludf.DUMMYFUNCTION("""COMPUTED_VALUE"""),"Die")</f>
        <v>Die</v>
      </c>
      <c r="J2205" s="9" t="str">
        <f>IFERROR(__xludf.DUMMYFUNCTION("""COMPUTED_VALUE"""),"HTH")</f>
        <v>HTH</v>
      </c>
      <c r="K2205" s="9" t="str">
        <f>IFERROR(__xludf.DUMMYFUNCTION("""COMPUTED_VALUE"""),"HTHtub")</f>
        <v>HTHtub</v>
      </c>
      <c r="L2205" s="9" t="str">
        <f>IFERROR(__xludf.DUMMYFUNCTION("""COMPUTED_VALUE"""),"VMH")</f>
        <v>VMH</v>
      </c>
      <c r="M2205" s="9" t="str">
        <f>IFERROR(__xludf.DUMMYFUNCTION("""COMPUTED_VALUE"""),"VMHc")</f>
        <v>VMHc</v>
      </c>
      <c r="N2205" s="9"/>
      <c r="O2205" s="9"/>
      <c r="P2205" s="9"/>
      <c r="Q2205" s="9"/>
      <c r="R2205" s="9"/>
      <c r="S2205" s="42"/>
      <c r="T2205" s="42"/>
      <c r="U2205" s="42"/>
      <c r="V2205" s="42"/>
      <c r="W2205" s="42"/>
      <c r="X2205" s="42"/>
      <c r="Y2205" s="42"/>
      <c r="Z2205" s="42"/>
      <c r="AA2205" s="42"/>
      <c r="AB2205" s="42" t="str">
        <f>IFERROR(__xludf.DUMMYFUNCTION("""COMPUTED_VALUE"""),"allen institute")</f>
        <v>allen institute</v>
      </c>
      <c r="AC2205" s="42" t="str">
        <f>IFERROR(__xludf.DUMMYFUNCTION("""COMPUTED_VALUE"""),"DHBA")</f>
        <v>DHBA</v>
      </c>
      <c r="AD2205" s="42"/>
      <c r="AE2205" s="42"/>
      <c r="AF2205" s="9"/>
      <c r="AG2205" s="9"/>
      <c r="AH2205" s="42"/>
      <c r="AI2205" s="42"/>
      <c r="AJ2205" s="42"/>
      <c r="AK2205" s="42"/>
      <c r="AL2205" s="42"/>
      <c r="AM2205" s="42"/>
      <c r="AN2205" s="42"/>
      <c r="AO2205" s="63" t="str">
        <f>IFERROR(__xludf.DUMMYFUNCTION("IF(ISBLANK(A2205),,IF(ISBLANK(S2205), A2205&amp;"";"", TEXTJOIN(CHAR(10), TRUE, A2205&amp;"";"", ARRAYFORMULA(VLOOKUP(SPLIT(S2205, "";"" &amp; CHAR(10)), $A:$AO, 41, FALSE)))))"),"VMHc;")</f>
        <v>VMHc;</v>
      </c>
      <c r="AP2205" s="89"/>
    </row>
    <row r="2206">
      <c r="A2206" s="151" t="str">
        <f>IFERROR(__xludf.DUMMYFUNCTION("""COMPUTED_VALUE"""),"PMH")</f>
        <v>PMH</v>
      </c>
      <c r="B2206" s="42" t="str">
        <f>IFERROR(__xludf.DUMMYFUNCTION("""COMPUTED_VALUE"""),"DHBA")</f>
        <v>DHBA</v>
      </c>
      <c r="C2206" s="42" t="str">
        <f>IFERROR(__xludf.DUMMYFUNCTION("""COMPUTED_VALUE"""),"posteromedial hypothalamic nucleus, Posteromedian nucleus, PM")</f>
        <v>posteromedial hypothalamic nucleus, Posteromedian nucleus, PM</v>
      </c>
      <c r="D2206" s="42">
        <f>IFERROR(__xludf.DUMMYFUNCTION("""COMPUTED_VALUE"""),2089.0)</f>
        <v>2089</v>
      </c>
      <c r="E2206" s="39" t="str">
        <f>IFERROR(__xludf.DUMMYFUNCTION("""COMPUTED_VALUE"""),"posteromedial hypothalamic nucleus")</f>
        <v>posteromedial hypothalamic nucleus</v>
      </c>
      <c r="F2206" s="9" t="str">
        <f>IFERROR(__xludf.DUMMYFUNCTION("""COMPUTED_VALUE"""),"Br")</f>
        <v>Br</v>
      </c>
      <c r="G2206" s="9" t="str">
        <f>IFERROR(__xludf.DUMMYFUNCTION("""COMPUTED_VALUE"""),"F")</f>
        <v>F</v>
      </c>
      <c r="H2206" s="9" t="str">
        <f>IFERROR(__xludf.DUMMYFUNCTION("""COMPUTED_VALUE"""),"FGM")</f>
        <v>FGM</v>
      </c>
      <c r="I2206" s="9" t="str">
        <f>IFERROR(__xludf.DUMMYFUNCTION("""COMPUTED_VALUE"""),"Die")</f>
        <v>Die</v>
      </c>
      <c r="J2206" s="9" t="str">
        <f>IFERROR(__xludf.DUMMYFUNCTION("""COMPUTED_VALUE"""),"HTH")</f>
        <v>HTH</v>
      </c>
      <c r="K2206" s="9" t="str">
        <f>IFERROR(__xludf.DUMMYFUNCTION("""COMPUTED_VALUE"""),"HTHtub")</f>
        <v>HTHtub</v>
      </c>
      <c r="L2206" s="9" t="str">
        <f>IFERROR(__xludf.DUMMYFUNCTION("""COMPUTED_VALUE"""),"PMH")</f>
        <v>PMH</v>
      </c>
      <c r="M2206" s="9"/>
      <c r="N2206" s="9"/>
      <c r="O2206" s="9"/>
      <c r="P2206" s="9"/>
      <c r="Q2206" s="9"/>
      <c r="R2206" s="9"/>
      <c r="S2206" s="42"/>
      <c r="T2206" s="42"/>
      <c r="U2206" s="159"/>
      <c r="V2206" s="42"/>
      <c r="W2206" s="42"/>
      <c r="X2206" s="42"/>
      <c r="Y2206" s="42"/>
      <c r="Z2206" s="42"/>
      <c r="AA2206" s="42"/>
      <c r="AB2206" s="42" t="str">
        <f>IFERROR(__xludf.DUMMYFUNCTION("""COMPUTED_VALUE"""),"allen institute")</f>
        <v>allen institute</v>
      </c>
      <c r="AC2206" s="42" t="str">
        <f>IFERROR(__xludf.DUMMYFUNCTION("""COMPUTED_VALUE"""),"DHBA")</f>
        <v>DHBA</v>
      </c>
      <c r="AD2206" s="42"/>
      <c r="AE2206" s="42"/>
      <c r="AF2206" s="9"/>
      <c r="AG2206" s="9"/>
      <c r="AH2206" s="42"/>
      <c r="AI2206" s="42"/>
      <c r="AJ2206" s="42"/>
      <c r="AK2206" s="42"/>
      <c r="AL2206" s="42"/>
      <c r="AM2206" s="42"/>
      <c r="AN2206" s="42"/>
      <c r="AO2206" s="63" t="str">
        <f>IFERROR(__xludf.DUMMYFUNCTION("IF(ISBLANK(A2206),,IF(ISBLANK(S2206), A2206&amp;"";"", TEXTJOIN(CHAR(10), TRUE, A2206&amp;"";"", ARRAYFORMULA(VLOOKUP(SPLIT(S2206, "";"" &amp; CHAR(10)), $A:$AO, 41, FALSE)))))"),"PMH;")</f>
        <v>PMH;</v>
      </c>
      <c r="AP2206" s="89"/>
    </row>
    <row r="2207">
      <c r="A2207" s="151" t="str">
        <f>IFERROR(__xludf.DUMMYFUNCTION("""COMPUTED_VALUE"""),"Arc")</f>
        <v>Arc</v>
      </c>
      <c r="B2207" s="42" t="str">
        <f>IFERROR(__xludf.DUMMYFUNCTION("""COMPUTED_VALUE"""),"DHBA")</f>
        <v>DHBA</v>
      </c>
      <c r="C2207" s="42" t="str">
        <f>IFERROR(__xludf.DUMMYFUNCTION("""COMPUTED_VALUE"""),"arcuate nucleus of hypothalamusNucleus arcuatus")</f>
        <v>arcuate nucleus of hypothalamusNucleus arcuatus</v>
      </c>
      <c r="D2207" s="42">
        <f>IFERROR(__xludf.DUMMYFUNCTION("""COMPUTED_VALUE"""),2090.0)</f>
        <v>2090</v>
      </c>
      <c r="E2207" s="39" t="str">
        <f>IFERROR(__xludf.DUMMYFUNCTION("""COMPUTED_VALUE"""),"arcuate nucleus of hypothalamus")</f>
        <v>arcuate nucleus of hypothalamus</v>
      </c>
      <c r="F2207" s="9" t="str">
        <f>IFERROR(__xludf.DUMMYFUNCTION("""COMPUTED_VALUE"""),"Br")</f>
        <v>Br</v>
      </c>
      <c r="G2207" s="9" t="str">
        <f>IFERROR(__xludf.DUMMYFUNCTION("""COMPUTED_VALUE"""),"F")</f>
        <v>F</v>
      </c>
      <c r="H2207" s="9" t="str">
        <f>IFERROR(__xludf.DUMMYFUNCTION("""COMPUTED_VALUE"""),"FGM")</f>
        <v>FGM</v>
      </c>
      <c r="I2207" s="9" t="str">
        <f>IFERROR(__xludf.DUMMYFUNCTION("""COMPUTED_VALUE"""),"Die")</f>
        <v>Die</v>
      </c>
      <c r="J2207" s="9" t="str">
        <f>IFERROR(__xludf.DUMMYFUNCTION("""COMPUTED_VALUE"""),"HTH")</f>
        <v>HTH</v>
      </c>
      <c r="K2207" s="9" t="str">
        <f>IFERROR(__xludf.DUMMYFUNCTION("""COMPUTED_VALUE"""),"HTHtub")</f>
        <v>HTHtub</v>
      </c>
      <c r="L2207" s="9" t="str">
        <f>IFERROR(__xludf.DUMMYFUNCTION("""COMPUTED_VALUE"""),"Arc")</f>
        <v>Arc</v>
      </c>
      <c r="M2207" s="9"/>
      <c r="N2207" s="9"/>
      <c r="O2207" s="9"/>
      <c r="P2207" s="9"/>
      <c r="Q2207" s="9"/>
      <c r="R2207" s="9"/>
      <c r="S2207" s="42"/>
      <c r="T2207" s="42"/>
      <c r="U2207" s="42"/>
      <c r="V2207" s="42"/>
      <c r="W2207" s="42"/>
      <c r="X2207" s="42"/>
      <c r="Y2207" s="42"/>
      <c r="Z2207" s="42"/>
      <c r="AA2207" s="42"/>
      <c r="AB2207" s="42" t="str">
        <f>IFERROR(__xludf.DUMMYFUNCTION("""COMPUTED_VALUE"""),"allen institute")</f>
        <v>allen institute</v>
      </c>
      <c r="AC2207" s="42" t="str">
        <f>IFERROR(__xludf.DUMMYFUNCTION("""COMPUTED_VALUE"""),"DHBA")</f>
        <v>DHBA</v>
      </c>
      <c r="AD2207" s="42"/>
      <c r="AE2207" s="42"/>
      <c r="AF2207" s="9"/>
      <c r="AG2207" s="9"/>
      <c r="AH2207" s="42"/>
      <c r="AI2207" s="42"/>
      <c r="AJ2207" s="42"/>
      <c r="AK2207" s="42"/>
      <c r="AL2207" s="42"/>
      <c r="AM2207" s="42"/>
      <c r="AN2207" s="42"/>
      <c r="AO2207" s="63" t="str">
        <f>IFERROR(__xludf.DUMMYFUNCTION("IF(ISBLANK(A2207),,IF(ISBLANK(S2207), A2207&amp;"";"", TEXTJOIN(CHAR(10), TRUE, A2207&amp;"";"", ARRAYFORMULA(VLOOKUP(SPLIT(S2207, "";"" &amp; CHAR(10)), $A:$AO, 41, FALSE)))))"),"Arc;")</f>
        <v>Arc;</v>
      </c>
      <c r="AP2207" s="89"/>
    </row>
    <row r="2208">
      <c r="A2208" s="151" t="str">
        <f>IFERROR(__xludf.DUMMYFUNCTION("""COMPUTED_VALUE"""),"LT")</f>
        <v>LT</v>
      </c>
      <c r="B2208" s="42" t="str">
        <f>IFERROR(__xludf.DUMMYFUNCTION("""COMPUTED_VALUE"""),"DHBA")</f>
        <v>DHBA</v>
      </c>
      <c r="C2208" s="42" t="str">
        <f>IFERROR(__xludf.DUMMYFUNCTION("""COMPUTED_VALUE"""),"lateral tuberal nuclei")</f>
        <v>lateral tuberal nuclei</v>
      </c>
      <c r="D2208" s="42">
        <f>IFERROR(__xludf.DUMMYFUNCTION("""COMPUTED_VALUE"""),2091.0)</f>
        <v>2091</v>
      </c>
      <c r="E2208" s="39" t="str">
        <f>IFERROR(__xludf.DUMMYFUNCTION("""COMPUTED_VALUE"""),"lateral tuberal nuclei")</f>
        <v>lateral tuberal nuclei</v>
      </c>
      <c r="F2208" s="9" t="str">
        <f>IFERROR(__xludf.DUMMYFUNCTION("""COMPUTED_VALUE"""),"Br")</f>
        <v>Br</v>
      </c>
      <c r="G2208" s="9" t="str">
        <f>IFERROR(__xludf.DUMMYFUNCTION("""COMPUTED_VALUE"""),"F")</f>
        <v>F</v>
      </c>
      <c r="H2208" s="9" t="str">
        <f>IFERROR(__xludf.DUMMYFUNCTION("""COMPUTED_VALUE"""),"FGM")</f>
        <v>FGM</v>
      </c>
      <c r="I2208" s="9" t="str">
        <f>IFERROR(__xludf.DUMMYFUNCTION("""COMPUTED_VALUE"""),"Die")</f>
        <v>Die</v>
      </c>
      <c r="J2208" s="9" t="str">
        <f>IFERROR(__xludf.DUMMYFUNCTION("""COMPUTED_VALUE"""),"HTH")</f>
        <v>HTH</v>
      </c>
      <c r="K2208" s="9" t="str">
        <f>IFERROR(__xludf.DUMMYFUNCTION("""COMPUTED_VALUE"""),"HTHtub")</f>
        <v>HTHtub</v>
      </c>
      <c r="L2208" s="9" t="str">
        <f>IFERROR(__xludf.DUMMYFUNCTION("""COMPUTED_VALUE"""),"LT")</f>
        <v>LT</v>
      </c>
      <c r="M2208" s="9"/>
      <c r="N2208" s="9"/>
      <c r="O2208" s="9"/>
      <c r="P2208" s="9"/>
      <c r="Q2208" s="9"/>
      <c r="R2208" s="9"/>
      <c r="S2208" s="42"/>
      <c r="T2208" s="42"/>
      <c r="U2208" s="42"/>
      <c r="V2208" s="42"/>
      <c r="W2208" s="42"/>
      <c r="X2208" s="42"/>
      <c r="Y2208" s="42"/>
      <c r="Z2208" s="42"/>
      <c r="AA2208" s="42"/>
      <c r="AB2208" s="42" t="str">
        <f>IFERROR(__xludf.DUMMYFUNCTION("""COMPUTED_VALUE"""),"allen institute")</f>
        <v>allen institute</v>
      </c>
      <c r="AC2208" s="42" t="str">
        <f>IFERROR(__xludf.DUMMYFUNCTION("""COMPUTED_VALUE"""),"DHBA")</f>
        <v>DHBA</v>
      </c>
      <c r="AD2208" s="42"/>
      <c r="AE2208" s="42"/>
      <c r="AF2208" s="9"/>
      <c r="AG2208" s="9"/>
      <c r="AH2208" s="42"/>
      <c r="AI2208" s="42"/>
      <c r="AJ2208" s="42"/>
      <c r="AK2208" s="42"/>
      <c r="AL2208" s="42"/>
      <c r="AM2208" s="42"/>
      <c r="AN2208" s="42"/>
      <c r="AO2208" s="63" t="str">
        <f>IFERROR(__xludf.DUMMYFUNCTION("IF(ISBLANK(A2208),,IF(ISBLANK(S2208), A2208&amp;"";"", TEXTJOIN(CHAR(10), TRUE, A2208&amp;"";"", ARRAYFORMULA(VLOOKUP(SPLIT(S2208, "";"" &amp; CHAR(10)), $A:$AO, 41, FALSE)))))"),"LT;")</f>
        <v>LT;</v>
      </c>
      <c r="AP2208" s="89"/>
    </row>
    <row r="2209">
      <c r="A2209" s="151" t="str">
        <f>IFERROR(__xludf.DUMMYFUNCTION("""COMPUTED_VALUE"""),"LHAtub")</f>
        <v>LHAtub</v>
      </c>
      <c r="B2209" s="42" t="str">
        <f>IFERROR(__xludf.DUMMYFUNCTION("""COMPUTED_VALUE"""),"DHBA")</f>
        <v>DHBA</v>
      </c>
      <c r="C2209" s="42" t="str">
        <f>IFERROR(__xludf.DUMMYFUNCTION("""COMPUTED_VALUE"""),"lateral hypothalamic area, tuberal part")</f>
        <v>lateral hypothalamic area, tuberal part</v>
      </c>
      <c r="D2209" s="42">
        <f>IFERROR(__xludf.DUMMYFUNCTION("""COMPUTED_VALUE"""),2092.0)</f>
        <v>2092</v>
      </c>
      <c r="E2209" s="39" t="str">
        <f>IFERROR(__xludf.DUMMYFUNCTION("""COMPUTED_VALUE"""),"lateral hypothalamic area, tuberal part")</f>
        <v>lateral hypothalamic area, tuberal part</v>
      </c>
      <c r="F2209" s="9" t="str">
        <f>IFERROR(__xludf.DUMMYFUNCTION("""COMPUTED_VALUE"""),"Br")</f>
        <v>Br</v>
      </c>
      <c r="G2209" s="9" t="str">
        <f>IFERROR(__xludf.DUMMYFUNCTION("""COMPUTED_VALUE"""),"F")</f>
        <v>F</v>
      </c>
      <c r="H2209" s="9" t="str">
        <f>IFERROR(__xludf.DUMMYFUNCTION("""COMPUTED_VALUE"""),"FGM")</f>
        <v>FGM</v>
      </c>
      <c r="I2209" s="9" t="str">
        <f>IFERROR(__xludf.DUMMYFUNCTION("""COMPUTED_VALUE"""),"Die")</f>
        <v>Die</v>
      </c>
      <c r="J2209" s="9" t="str">
        <f>IFERROR(__xludf.DUMMYFUNCTION("""COMPUTED_VALUE"""),"HTH")</f>
        <v>HTH</v>
      </c>
      <c r="K2209" s="9" t="str">
        <f>IFERROR(__xludf.DUMMYFUNCTION("""COMPUTED_VALUE"""),"HTHtub")</f>
        <v>HTHtub</v>
      </c>
      <c r="L2209" s="9" t="str">
        <f>IFERROR(__xludf.DUMMYFUNCTION("""COMPUTED_VALUE"""),"LHAtub")</f>
        <v>LHAtub</v>
      </c>
      <c r="M2209" s="9"/>
      <c r="N2209" s="9"/>
      <c r="O2209" s="9"/>
      <c r="P2209" s="9"/>
      <c r="Q2209" s="9"/>
      <c r="R2209" s="9"/>
      <c r="S2209" s="42" t="str">
        <f>IFERROR(__xludf.DUMMYFUNCTION("""COMPUTED_VALUE"""),"LHmc;
LHsc;
PalHy")</f>
        <v>LHmc;
LHsc;
PalHy</v>
      </c>
      <c r="T2209" s="42"/>
      <c r="U2209" s="42" t="b">
        <f>IFERROR(__xludf.DUMMYFUNCTION("""COMPUTED_VALUE"""),FALSE)</f>
        <v>0</v>
      </c>
      <c r="V2209" s="42"/>
      <c r="W2209" s="42"/>
      <c r="X2209" s="42"/>
      <c r="Y2209" s="42"/>
      <c r="Z2209" s="42"/>
      <c r="AA2209" s="42"/>
      <c r="AB2209" s="42" t="str">
        <f>IFERROR(__xludf.DUMMYFUNCTION("""COMPUTED_VALUE"""),"allen institute")</f>
        <v>allen institute</v>
      </c>
      <c r="AC2209" s="42" t="str">
        <f>IFERROR(__xludf.DUMMYFUNCTION("""COMPUTED_VALUE"""),"DHBA")</f>
        <v>DHBA</v>
      </c>
      <c r="AD2209" s="42"/>
      <c r="AE2209" s="42"/>
      <c r="AF2209" s="9"/>
      <c r="AG2209" s="9"/>
      <c r="AH2209" s="42"/>
      <c r="AI2209" s="42"/>
      <c r="AJ2209" s="42"/>
      <c r="AK2209" s="42"/>
      <c r="AL2209" s="42"/>
      <c r="AM2209" s="42"/>
      <c r="AN2209" s="42"/>
      <c r="AO2209" s="63" t="str">
        <f>IFERROR(__xludf.DUMMYFUNCTION("IF(ISBLANK(A2209),,IF(ISBLANK(S2209), A2209&amp;"";"", TEXTJOIN(CHAR(10), TRUE, A2209&amp;"";"", ARRAYFORMULA(VLOOKUP(SPLIT(S2209, "";"" &amp; CHAR(10)), $A:$AO, 41, FALSE)))))"),"LHAtub;
LHmc;
LHsc;
PalHy;")</f>
        <v>LHAtub;
LHmc;
LHsc;
PalHy;</v>
      </c>
      <c r="AP2209" s="89"/>
    </row>
    <row r="2210">
      <c r="A2210" s="151" t="str">
        <f>IFERROR(__xludf.DUMMYFUNCTION("""COMPUTED_VALUE"""),"LHmc")</f>
        <v>LHmc</v>
      </c>
      <c r="B2210" s="42" t="str">
        <f>IFERROR(__xludf.DUMMYFUNCTION("""COMPUTED_VALUE"""),"DHBA")</f>
        <v>DHBA</v>
      </c>
      <c r="C2210" s="42" t="str">
        <f>IFERROR(__xludf.DUMMYFUNCTION("""COMPUTED_VALUE"""),"magnocellular nucleus of lateral hypothalamic area")</f>
        <v>magnocellular nucleus of lateral hypothalamic area</v>
      </c>
      <c r="D2210" s="42">
        <f>IFERROR(__xludf.DUMMYFUNCTION("""COMPUTED_VALUE"""),2093.0)</f>
        <v>2093</v>
      </c>
      <c r="E2210" s="39" t="str">
        <f>IFERROR(__xludf.DUMMYFUNCTION("""COMPUTED_VALUE"""),"magnocellular nucleus of lateral hypothalamic area")</f>
        <v>magnocellular nucleus of lateral hypothalamic area</v>
      </c>
      <c r="F2210" s="9" t="str">
        <f>IFERROR(__xludf.DUMMYFUNCTION("""COMPUTED_VALUE"""),"Br")</f>
        <v>Br</v>
      </c>
      <c r="G2210" s="9" t="str">
        <f>IFERROR(__xludf.DUMMYFUNCTION("""COMPUTED_VALUE"""),"F")</f>
        <v>F</v>
      </c>
      <c r="H2210" s="9" t="str">
        <f>IFERROR(__xludf.DUMMYFUNCTION("""COMPUTED_VALUE"""),"FGM")</f>
        <v>FGM</v>
      </c>
      <c r="I2210" s="9" t="str">
        <f>IFERROR(__xludf.DUMMYFUNCTION("""COMPUTED_VALUE"""),"Die")</f>
        <v>Die</v>
      </c>
      <c r="J2210" s="9" t="str">
        <f>IFERROR(__xludf.DUMMYFUNCTION("""COMPUTED_VALUE"""),"HTH")</f>
        <v>HTH</v>
      </c>
      <c r="K2210" s="9" t="str">
        <f>IFERROR(__xludf.DUMMYFUNCTION("""COMPUTED_VALUE"""),"HTHtub")</f>
        <v>HTHtub</v>
      </c>
      <c r="L2210" s="9" t="str">
        <f>IFERROR(__xludf.DUMMYFUNCTION("""COMPUTED_VALUE"""),"LHAtub")</f>
        <v>LHAtub</v>
      </c>
      <c r="M2210" s="9" t="str">
        <f>IFERROR(__xludf.DUMMYFUNCTION("""COMPUTED_VALUE"""),"LHmc")</f>
        <v>LHmc</v>
      </c>
      <c r="N2210" s="9"/>
      <c r="O2210" s="9"/>
      <c r="P2210" s="9"/>
      <c r="Q2210" s="9"/>
      <c r="R2210" s="9"/>
      <c r="S2210" s="42"/>
      <c r="T2210" s="42"/>
      <c r="U2210" s="42"/>
      <c r="V2210" s="42"/>
      <c r="W2210" s="42"/>
      <c r="X2210" s="42"/>
      <c r="Y2210" s="42"/>
      <c r="Z2210" s="42"/>
      <c r="AA2210" s="42"/>
      <c r="AB2210" s="42" t="str">
        <f>IFERROR(__xludf.DUMMYFUNCTION("""COMPUTED_VALUE"""),"allen institute")</f>
        <v>allen institute</v>
      </c>
      <c r="AC2210" s="42" t="str">
        <f>IFERROR(__xludf.DUMMYFUNCTION("""COMPUTED_VALUE"""),"DHBA")</f>
        <v>DHBA</v>
      </c>
      <c r="AD2210" s="42"/>
      <c r="AE2210" s="42"/>
      <c r="AF2210" s="9"/>
      <c r="AG2210" s="9"/>
      <c r="AH2210" s="42"/>
      <c r="AI2210" s="42"/>
      <c r="AJ2210" s="42"/>
      <c r="AK2210" s="42"/>
      <c r="AL2210" s="42"/>
      <c r="AM2210" s="42"/>
      <c r="AN2210" s="42"/>
      <c r="AO2210" s="63" t="str">
        <f>IFERROR(__xludf.DUMMYFUNCTION("IF(ISBLANK(A2210),,IF(ISBLANK(S2210), A2210&amp;"";"", TEXTJOIN(CHAR(10), TRUE, A2210&amp;"";"", ARRAYFORMULA(VLOOKUP(SPLIT(S2210, "";"" &amp; CHAR(10)), $A:$AO, 41, FALSE)))))"),"LHmc;")</f>
        <v>LHmc;</v>
      </c>
      <c r="AP2210" s="89"/>
    </row>
    <row r="2211">
      <c r="A2211" s="151" t="str">
        <f>IFERROR(__xludf.DUMMYFUNCTION("""COMPUTED_VALUE"""),"LHsc")</f>
        <v>LHsc</v>
      </c>
      <c r="B2211" s="42" t="str">
        <f>IFERROR(__xludf.DUMMYFUNCTION("""COMPUTED_VALUE"""),"DHBA")</f>
        <v>DHBA</v>
      </c>
      <c r="C2211" s="42" t="str">
        <f>IFERROR(__xludf.DUMMYFUNCTION("""COMPUTED_VALUE"""),"accessory secretory cells of lateral hypothalamus")</f>
        <v>accessory secretory cells of lateral hypothalamus</v>
      </c>
      <c r="D2211" s="42">
        <f>IFERROR(__xludf.DUMMYFUNCTION("""COMPUTED_VALUE"""),2094.0)</f>
        <v>2094</v>
      </c>
      <c r="E2211" s="39" t="str">
        <f>IFERROR(__xludf.DUMMYFUNCTION("""COMPUTED_VALUE"""),"accessory secretory cells of lateral hypothalamus")</f>
        <v>accessory secretory cells of lateral hypothalamus</v>
      </c>
      <c r="F2211" s="9" t="str">
        <f>IFERROR(__xludf.DUMMYFUNCTION("""COMPUTED_VALUE"""),"Br")</f>
        <v>Br</v>
      </c>
      <c r="G2211" s="9" t="str">
        <f>IFERROR(__xludf.DUMMYFUNCTION("""COMPUTED_VALUE"""),"F")</f>
        <v>F</v>
      </c>
      <c r="H2211" s="9" t="str">
        <f>IFERROR(__xludf.DUMMYFUNCTION("""COMPUTED_VALUE"""),"FGM")</f>
        <v>FGM</v>
      </c>
      <c r="I2211" s="9" t="str">
        <f>IFERROR(__xludf.DUMMYFUNCTION("""COMPUTED_VALUE"""),"Die")</f>
        <v>Die</v>
      </c>
      <c r="J2211" s="9" t="str">
        <f>IFERROR(__xludf.DUMMYFUNCTION("""COMPUTED_VALUE"""),"HTH")</f>
        <v>HTH</v>
      </c>
      <c r="K2211" s="9" t="str">
        <f>IFERROR(__xludf.DUMMYFUNCTION("""COMPUTED_VALUE"""),"HTHtub")</f>
        <v>HTHtub</v>
      </c>
      <c r="L2211" s="9" t="str">
        <f>IFERROR(__xludf.DUMMYFUNCTION("""COMPUTED_VALUE"""),"LHAtub")</f>
        <v>LHAtub</v>
      </c>
      <c r="M2211" s="9" t="str">
        <f>IFERROR(__xludf.DUMMYFUNCTION("""COMPUTED_VALUE"""),"LHsc")</f>
        <v>LHsc</v>
      </c>
      <c r="N2211" s="9"/>
      <c r="O2211" s="9"/>
      <c r="P2211" s="9"/>
      <c r="Q2211" s="9"/>
      <c r="R2211" s="9"/>
      <c r="S2211" s="42"/>
      <c r="T2211" s="42"/>
      <c r="U2211" s="42"/>
      <c r="V2211" s="42"/>
      <c r="W2211" s="42"/>
      <c r="X2211" s="42"/>
      <c r="Y2211" s="42"/>
      <c r="Z2211" s="42"/>
      <c r="AA2211" s="42"/>
      <c r="AB2211" s="42" t="str">
        <f>IFERROR(__xludf.DUMMYFUNCTION("""COMPUTED_VALUE"""),"allen institute")</f>
        <v>allen institute</v>
      </c>
      <c r="AC2211" s="42" t="str">
        <f>IFERROR(__xludf.DUMMYFUNCTION("""COMPUTED_VALUE"""),"DHBA")</f>
        <v>DHBA</v>
      </c>
      <c r="AD2211" s="42"/>
      <c r="AE2211" s="42"/>
      <c r="AF2211" s="9"/>
      <c r="AG2211" s="9"/>
      <c r="AH2211" s="42"/>
      <c r="AI2211" s="42"/>
      <c r="AJ2211" s="42"/>
      <c r="AK2211" s="42"/>
      <c r="AL2211" s="42"/>
      <c r="AM2211" s="42"/>
      <c r="AN2211" s="42"/>
      <c r="AO2211" s="63" t="str">
        <f>IFERROR(__xludf.DUMMYFUNCTION("IF(ISBLANK(A2211),,IF(ISBLANK(S2211), A2211&amp;"";"", TEXTJOIN(CHAR(10), TRUE, A2211&amp;"";"", ARRAYFORMULA(VLOOKUP(SPLIT(S2211, "";"" &amp; CHAR(10)), $A:$AO, 41, FALSE)))))"),"LHsc;")</f>
        <v>LHsc;</v>
      </c>
      <c r="AP2211" s="89"/>
    </row>
    <row r="2212">
      <c r="A2212" s="151" t="str">
        <f>IFERROR(__xludf.DUMMYFUNCTION("""COMPUTED_VALUE"""),"PalHy")</f>
        <v>PalHy</v>
      </c>
      <c r="B2212" s="42" t="str">
        <f>IFERROR(__xludf.DUMMYFUNCTION("""COMPUTED_VALUE"""),"DHBA")</f>
        <v>DHBA</v>
      </c>
      <c r="C2212" s="42" t="str">
        <f>IFERROR(__xludf.DUMMYFUNCTION("""COMPUTED_VALUE"""),"pallidohypothalamic area")</f>
        <v>pallidohypothalamic area</v>
      </c>
      <c r="D2212" s="42">
        <f>IFERROR(__xludf.DUMMYFUNCTION("""COMPUTED_VALUE"""),2095.0)</f>
        <v>2095</v>
      </c>
      <c r="E2212" s="39" t="str">
        <f>IFERROR(__xludf.DUMMYFUNCTION("""COMPUTED_VALUE"""),"pallidohypothalamic area")</f>
        <v>pallidohypothalamic area</v>
      </c>
      <c r="F2212" s="9" t="str">
        <f>IFERROR(__xludf.DUMMYFUNCTION("""COMPUTED_VALUE"""),"Br")</f>
        <v>Br</v>
      </c>
      <c r="G2212" s="9" t="str">
        <f>IFERROR(__xludf.DUMMYFUNCTION("""COMPUTED_VALUE"""),"F")</f>
        <v>F</v>
      </c>
      <c r="H2212" s="9" t="str">
        <f>IFERROR(__xludf.DUMMYFUNCTION("""COMPUTED_VALUE"""),"FGM")</f>
        <v>FGM</v>
      </c>
      <c r="I2212" s="9" t="str">
        <f>IFERROR(__xludf.DUMMYFUNCTION("""COMPUTED_VALUE"""),"Die")</f>
        <v>Die</v>
      </c>
      <c r="J2212" s="9" t="str">
        <f>IFERROR(__xludf.DUMMYFUNCTION("""COMPUTED_VALUE"""),"HTH")</f>
        <v>HTH</v>
      </c>
      <c r="K2212" s="9" t="str">
        <f>IFERROR(__xludf.DUMMYFUNCTION("""COMPUTED_VALUE"""),"HTHtub")</f>
        <v>HTHtub</v>
      </c>
      <c r="L2212" s="9" t="str">
        <f>IFERROR(__xludf.DUMMYFUNCTION("""COMPUTED_VALUE"""),"LHAtub")</f>
        <v>LHAtub</v>
      </c>
      <c r="M2212" s="9" t="str">
        <f>IFERROR(__xludf.DUMMYFUNCTION("""COMPUTED_VALUE"""),"PalHy")</f>
        <v>PalHy</v>
      </c>
      <c r="N2212" s="9"/>
      <c r="O2212" s="9"/>
      <c r="P2212" s="9"/>
      <c r="Q2212" s="9"/>
      <c r="R2212" s="9"/>
      <c r="S2212" s="42"/>
      <c r="T2212" s="42"/>
      <c r="U2212" s="42"/>
      <c r="V2212" s="42"/>
      <c r="W2212" s="42"/>
      <c r="X2212" s="42"/>
      <c r="Y2212" s="42"/>
      <c r="Z2212" s="42"/>
      <c r="AA2212" s="42"/>
      <c r="AB2212" s="42" t="str">
        <f>IFERROR(__xludf.DUMMYFUNCTION("""COMPUTED_VALUE"""),"allen institute")</f>
        <v>allen institute</v>
      </c>
      <c r="AC2212" s="42" t="str">
        <f>IFERROR(__xludf.DUMMYFUNCTION("""COMPUTED_VALUE"""),"DHBA")</f>
        <v>DHBA</v>
      </c>
      <c r="AD2212" s="42"/>
      <c r="AE2212" s="42"/>
      <c r="AF2212" s="9"/>
      <c r="AG2212" s="9"/>
      <c r="AH2212" s="42"/>
      <c r="AI2212" s="42"/>
      <c r="AJ2212" s="42"/>
      <c r="AK2212" s="42"/>
      <c r="AL2212" s="42"/>
      <c r="AM2212" s="42"/>
      <c r="AN2212" s="42"/>
      <c r="AO2212" s="63" t="str">
        <f>IFERROR(__xludf.DUMMYFUNCTION("IF(ISBLANK(A2212),,IF(ISBLANK(S2212), A2212&amp;"";"", TEXTJOIN(CHAR(10), TRUE, A2212&amp;"";"", ARRAYFORMULA(VLOOKUP(SPLIT(S2212, "";"" &amp; CHAR(10)), $A:$AO, 41, FALSE)))))"),"PalHy;")</f>
        <v>PalHy;</v>
      </c>
      <c r="AP2212" s="89"/>
    </row>
    <row r="2213">
      <c r="A2213" s="151" t="str">
        <f>IFERROR(__xludf.DUMMYFUNCTION("""COMPUTED_VALUE"""),"NCN")</f>
        <v>NCN</v>
      </c>
      <c r="B2213" s="42" t="str">
        <f>IFERROR(__xludf.DUMMYFUNCTION("""COMPUTED_VALUE"""),"DHBA")</f>
        <v>DHBA</v>
      </c>
      <c r="C2213" s="42" t="str">
        <f>IFERROR(__xludf.DUMMYFUNCTION("""COMPUTED_VALUE"""),"nanocellular hypothalamic nucleus")</f>
        <v>nanocellular hypothalamic nucleus</v>
      </c>
      <c r="D2213" s="42">
        <f>IFERROR(__xludf.DUMMYFUNCTION("""COMPUTED_VALUE"""),2096.0)</f>
        <v>2096</v>
      </c>
      <c r="E2213" s="39" t="str">
        <f>IFERROR(__xludf.DUMMYFUNCTION("""COMPUTED_VALUE"""),"nanocellular hypothalamic nucleus")</f>
        <v>nanocellular hypothalamic nucleus</v>
      </c>
      <c r="F2213" s="9" t="str">
        <f>IFERROR(__xludf.DUMMYFUNCTION("""COMPUTED_VALUE"""),"Br")</f>
        <v>Br</v>
      </c>
      <c r="G2213" s="9" t="str">
        <f>IFERROR(__xludf.DUMMYFUNCTION("""COMPUTED_VALUE"""),"F")</f>
        <v>F</v>
      </c>
      <c r="H2213" s="9" t="str">
        <f>IFERROR(__xludf.DUMMYFUNCTION("""COMPUTED_VALUE"""),"FGM")</f>
        <v>FGM</v>
      </c>
      <c r="I2213" s="9" t="str">
        <f>IFERROR(__xludf.DUMMYFUNCTION("""COMPUTED_VALUE"""),"Die")</f>
        <v>Die</v>
      </c>
      <c r="J2213" s="9" t="str">
        <f>IFERROR(__xludf.DUMMYFUNCTION("""COMPUTED_VALUE"""),"HTH")</f>
        <v>HTH</v>
      </c>
      <c r="K2213" s="9" t="str">
        <f>IFERROR(__xludf.DUMMYFUNCTION("""COMPUTED_VALUE"""),"HTHtub")</f>
        <v>HTHtub</v>
      </c>
      <c r="L2213" s="9" t="str">
        <f>IFERROR(__xludf.DUMMYFUNCTION("""COMPUTED_VALUE"""),"NCN")</f>
        <v>NCN</v>
      </c>
      <c r="M2213" s="9"/>
      <c r="N2213" s="9"/>
      <c r="O2213" s="9"/>
      <c r="P2213" s="9"/>
      <c r="Q2213" s="9"/>
      <c r="R2213" s="9"/>
      <c r="S2213" s="42"/>
      <c r="T2213" s="42"/>
      <c r="U2213" s="42"/>
      <c r="V2213" s="42"/>
      <c r="W2213" s="42"/>
      <c r="X2213" s="42"/>
      <c r="Y2213" s="42"/>
      <c r="Z2213" s="42"/>
      <c r="AA2213" s="42"/>
      <c r="AB2213" s="42" t="str">
        <f>IFERROR(__xludf.DUMMYFUNCTION("""COMPUTED_VALUE"""),"allen institute")</f>
        <v>allen institute</v>
      </c>
      <c r="AC2213" s="42" t="str">
        <f>IFERROR(__xludf.DUMMYFUNCTION("""COMPUTED_VALUE"""),"DHBA")</f>
        <v>DHBA</v>
      </c>
      <c r="AD2213" s="42"/>
      <c r="AE2213" s="42"/>
      <c r="AF2213" s="9"/>
      <c r="AG2213" s="9"/>
      <c r="AH2213" s="42"/>
      <c r="AI2213" s="42"/>
      <c r="AJ2213" s="42"/>
      <c r="AK2213" s="42"/>
      <c r="AL2213" s="42"/>
      <c r="AM2213" s="42"/>
      <c r="AN2213" s="42"/>
      <c r="AO2213" s="63" t="str">
        <f>IFERROR(__xludf.DUMMYFUNCTION("IF(ISBLANK(A2213),,IF(ISBLANK(S2213), A2213&amp;"";"", TEXTJOIN(CHAR(10), TRUE, A2213&amp;"";"", ARRAYFORMULA(VLOOKUP(SPLIT(S2213, "";"" &amp; CHAR(10)), $A:$AO, 41, FALSE)))))"),"NCN;")</f>
        <v>NCN;</v>
      </c>
      <c r="AP2213" s="89"/>
    </row>
    <row r="2214">
      <c r="A2214" s="151" t="str">
        <f>IFERROR(__xludf.DUMMYFUNCTION("""COMPUTED_VALUE"""),"ME")</f>
        <v>ME</v>
      </c>
      <c r="B2214" s="42" t="str">
        <f>IFERROR(__xludf.DUMMYFUNCTION("""COMPUTED_VALUE"""),"DHBA")</f>
        <v>DHBA</v>
      </c>
      <c r="C2214" s="42" t="str">
        <f>IFERROR(__xludf.DUMMYFUNCTION("""COMPUTED_VALUE"""),"median eminence")</f>
        <v>median eminence</v>
      </c>
      <c r="D2214" s="42">
        <f>IFERROR(__xludf.DUMMYFUNCTION("""COMPUTED_VALUE"""),2097.0)</f>
        <v>2097</v>
      </c>
      <c r="E2214" s="39" t="str">
        <f>IFERROR(__xludf.DUMMYFUNCTION("""COMPUTED_VALUE"""),"median eminence")</f>
        <v>median eminence</v>
      </c>
      <c r="F2214" s="9" t="str">
        <f>IFERROR(__xludf.DUMMYFUNCTION("""COMPUTED_VALUE"""),"Br")</f>
        <v>Br</v>
      </c>
      <c r="G2214" s="9" t="str">
        <f>IFERROR(__xludf.DUMMYFUNCTION("""COMPUTED_VALUE"""),"F")</f>
        <v>F</v>
      </c>
      <c r="H2214" s="9" t="str">
        <f>IFERROR(__xludf.DUMMYFUNCTION("""COMPUTED_VALUE"""),"FGM")</f>
        <v>FGM</v>
      </c>
      <c r="I2214" s="9" t="str">
        <f>IFERROR(__xludf.DUMMYFUNCTION("""COMPUTED_VALUE"""),"Die")</f>
        <v>Die</v>
      </c>
      <c r="J2214" s="9" t="str">
        <f>IFERROR(__xludf.DUMMYFUNCTION("""COMPUTED_VALUE"""),"HTH")</f>
        <v>HTH</v>
      </c>
      <c r="K2214" s="9" t="str">
        <f>IFERROR(__xludf.DUMMYFUNCTION("""COMPUTED_VALUE"""),"HTHtub")</f>
        <v>HTHtub</v>
      </c>
      <c r="L2214" s="9" t="str">
        <f>IFERROR(__xludf.DUMMYFUNCTION("""COMPUTED_VALUE"""),"ME")</f>
        <v>ME</v>
      </c>
      <c r="M2214" s="9"/>
      <c r="N2214" s="9"/>
      <c r="O2214" s="9"/>
      <c r="P2214" s="9"/>
      <c r="Q2214" s="9"/>
      <c r="R2214" s="9"/>
      <c r="S2214" s="42" t="str">
        <f>IFERROR(__xludf.DUMMYFUNCTION("""COMPUTED_VALUE"""),"MEE;
MEI")</f>
        <v>MEE;
MEI</v>
      </c>
      <c r="T2214" s="42"/>
      <c r="U2214" s="42" t="b">
        <f>IFERROR(__xludf.DUMMYFUNCTION("""COMPUTED_VALUE"""),FALSE)</f>
        <v>0</v>
      </c>
      <c r="V2214" s="42"/>
      <c r="W2214" s="42"/>
      <c r="X2214" s="42"/>
      <c r="Y2214" s="42"/>
      <c r="Z2214" s="42"/>
      <c r="AA2214" s="42"/>
      <c r="AB2214" s="42" t="str">
        <f>IFERROR(__xludf.DUMMYFUNCTION("""COMPUTED_VALUE"""),"allen institute")</f>
        <v>allen institute</v>
      </c>
      <c r="AC2214" s="42" t="str">
        <f>IFERROR(__xludf.DUMMYFUNCTION("""COMPUTED_VALUE"""),"DHBA")</f>
        <v>DHBA</v>
      </c>
      <c r="AD2214" s="42"/>
      <c r="AE2214" s="42"/>
      <c r="AF2214" s="9"/>
      <c r="AG2214" s="9"/>
      <c r="AH2214" s="42"/>
      <c r="AI2214" s="42"/>
      <c r="AJ2214" s="42"/>
      <c r="AK2214" s="42"/>
      <c r="AL2214" s="42"/>
      <c r="AM2214" s="42"/>
      <c r="AN2214" s="42"/>
      <c r="AO2214" s="63" t="str">
        <f>IFERROR(__xludf.DUMMYFUNCTION("IF(ISBLANK(A2214),,IF(ISBLANK(S2214), A2214&amp;"";"", TEXTJOIN(CHAR(10), TRUE, A2214&amp;"";"", ARRAYFORMULA(VLOOKUP(SPLIT(S2214, "";"" &amp; CHAR(10)), $A:$AO, 41, FALSE)))))"),"ME;
MEE;
MEI;")</f>
        <v>ME;
MEE;
MEI;</v>
      </c>
      <c r="AP2214" s="89"/>
    </row>
    <row r="2215">
      <c r="A2215" s="151" t="str">
        <f>IFERROR(__xludf.DUMMYFUNCTION("""COMPUTED_VALUE"""),"MEE")</f>
        <v>MEE</v>
      </c>
      <c r="B2215" s="42" t="str">
        <f>IFERROR(__xludf.DUMMYFUNCTION("""COMPUTED_VALUE"""),"DHBA")</f>
        <v>DHBA</v>
      </c>
      <c r="C2215" s="42" t="str">
        <f>IFERROR(__xludf.DUMMYFUNCTION("""COMPUTED_VALUE"""),"external portion of median eminence")</f>
        <v>external portion of median eminence</v>
      </c>
      <c r="D2215" s="42">
        <f>IFERROR(__xludf.DUMMYFUNCTION("""COMPUTED_VALUE"""),2098.0)</f>
        <v>2098</v>
      </c>
      <c r="E2215" s="39" t="str">
        <f>IFERROR(__xludf.DUMMYFUNCTION("""COMPUTED_VALUE"""),"external portion of median eminence")</f>
        <v>external portion of median eminence</v>
      </c>
      <c r="F2215" s="9" t="str">
        <f>IFERROR(__xludf.DUMMYFUNCTION("""COMPUTED_VALUE"""),"Br")</f>
        <v>Br</v>
      </c>
      <c r="G2215" s="9" t="str">
        <f>IFERROR(__xludf.DUMMYFUNCTION("""COMPUTED_VALUE"""),"F")</f>
        <v>F</v>
      </c>
      <c r="H2215" s="9" t="str">
        <f>IFERROR(__xludf.DUMMYFUNCTION("""COMPUTED_VALUE"""),"FGM")</f>
        <v>FGM</v>
      </c>
      <c r="I2215" s="9" t="str">
        <f>IFERROR(__xludf.DUMMYFUNCTION("""COMPUTED_VALUE"""),"Die")</f>
        <v>Die</v>
      </c>
      <c r="J2215" s="9" t="str">
        <f>IFERROR(__xludf.DUMMYFUNCTION("""COMPUTED_VALUE"""),"HTH")</f>
        <v>HTH</v>
      </c>
      <c r="K2215" s="9" t="str">
        <f>IFERROR(__xludf.DUMMYFUNCTION("""COMPUTED_VALUE"""),"HTHtub")</f>
        <v>HTHtub</v>
      </c>
      <c r="L2215" s="9" t="str">
        <f>IFERROR(__xludf.DUMMYFUNCTION("""COMPUTED_VALUE"""),"ME")</f>
        <v>ME</v>
      </c>
      <c r="M2215" s="9" t="str">
        <f>IFERROR(__xludf.DUMMYFUNCTION("""COMPUTED_VALUE"""),"MEE")</f>
        <v>MEE</v>
      </c>
      <c r="N2215" s="9"/>
      <c r="O2215" s="9"/>
      <c r="P2215" s="9"/>
      <c r="Q2215" s="9"/>
      <c r="R2215" s="9"/>
      <c r="S2215" s="42"/>
      <c r="T2215" s="42"/>
      <c r="U2215" s="42"/>
      <c r="V2215" s="42"/>
      <c r="W2215" s="42"/>
      <c r="X2215" s="42"/>
      <c r="Y2215" s="42"/>
      <c r="Z2215" s="42"/>
      <c r="AA2215" s="42"/>
      <c r="AB2215" s="42" t="str">
        <f>IFERROR(__xludf.DUMMYFUNCTION("""COMPUTED_VALUE"""),"allen institute")</f>
        <v>allen institute</v>
      </c>
      <c r="AC2215" s="42" t="str">
        <f>IFERROR(__xludf.DUMMYFUNCTION("""COMPUTED_VALUE"""),"DHBA")</f>
        <v>DHBA</v>
      </c>
      <c r="AD2215" s="42"/>
      <c r="AE2215" s="42"/>
      <c r="AF2215" s="9"/>
      <c r="AG2215" s="9"/>
      <c r="AH2215" s="42"/>
      <c r="AI2215" s="42"/>
      <c r="AJ2215" s="42"/>
      <c r="AK2215" s="42"/>
      <c r="AL2215" s="42"/>
      <c r="AM2215" s="42"/>
      <c r="AN2215" s="42"/>
      <c r="AO2215" s="63" t="str">
        <f>IFERROR(__xludf.DUMMYFUNCTION("IF(ISBLANK(A2215),,IF(ISBLANK(S2215), A2215&amp;"";"", TEXTJOIN(CHAR(10), TRUE, A2215&amp;"";"", ARRAYFORMULA(VLOOKUP(SPLIT(S2215, "";"" &amp; CHAR(10)), $A:$AO, 41, FALSE)))))"),"MEE;")</f>
        <v>MEE;</v>
      </c>
      <c r="AP2215" s="89"/>
    </row>
    <row r="2216">
      <c r="A2216" s="151" t="str">
        <f>IFERROR(__xludf.DUMMYFUNCTION("""COMPUTED_VALUE"""),"MEI")</f>
        <v>MEI</v>
      </c>
      <c r="B2216" s="42" t="str">
        <f>IFERROR(__xludf.DUMMYFUNCTION("""COMPUTED_VALUE"""),"DHBA")</f>
        <v>DHBA</v>
      </c>
      <c r="C2216" s="42" t="str">
        <f>IFERROR(__xludf.DUMMYFUNCTION("""COMPUTED_VALUE"""),"internal portion of median eminence")</f>
        <v>internal portion of median eminence</v>
      </c>
      <c r="D2216" s="42">
        <f>IFERROR(__xludf.DUMMYFUNCTION("""COMPUTED_VALUE"""),2099.0)</f>
        <v>2099</v>
      </c>
      <c r="E2216" s="39" t="str">
        <f>IFERROR(__xludf.DUMMYFUNCTION("""COMPUTED_VALUE"""),"internal portion of median eminence")</f>
        <v>internal portion of median eminence</v>
      </c>
      <c r="F2216" s="9" t="str">
        <f>IFERROR(__xludf.DUMMYFUNCTION("""COMPUTED_VALUE"""),"Br")</f>
        <v>Br</v>
      </c>
      <c r="G2216" s="9" t="str">
        <f>IFERROR(__xludf.DUMMYFUNCTION("""COMPUTED_VALUE"""),"F")</f>
        <v>F</v>
      </c>
      <c r="H2216" s="9" t="str">
        <f>IFERROR(__xludf.DUMMYFUNCTION("""COMPUTED_VALUE"""),"FGM")</f>
        <v>FGM</v>
      </c>
      <c r="I2216" s="9" t="str">
        <f>IFERROR(__xludf.DUMMYFUNCTION("""COMPUTED_VALUE"""),"Die")</f>
        <v>Die</v>
      </c>
      <c r="J2216" s="9" t="str">
        <f>IFERROR(__xludf.DUMMYFUNCTION("""COMPUTED_VALUE"""),"HTH")</f>
        <v>HTH</v>
      </c>
      <c r="K2216" s="9" t="str">
        <f>IFERROR(__xludf.DUMMYFUNCTION("""COMPUTED_VALUE"""),"HTHtub")</f>
        <v>HTHtub</v>
      </c>
      <c r="L2216" s="9" t="str">
        <f>IFERROR(__xludf.DUMMYFUNCTION("""COMPUTED_VALUE"""),"ME")</f>
        <v>ME</v>
      </c>
      <c r="M2216" s="9" t="str">
        <f>IFERROR(__xludf.DUMMYFUNCTION("""COMPUTED_VALUE"""),"MEI")</f>
        <v>MEI</v>
      </c>
      <c r="N2216" s="9"/>
      <c r="O2216" s="9"/>
      <c r="P2216" s="9"/>
      <c r="Q2216" s="9"/>
      <c r="R2216" s="9"/>
      <c r="S2216" s="42"/>
      <c r="T2216" s="42"/>
      <c r="U2216" s="42"/>
      <c r="V2216" s="42"/>
      <c r="W2216" s="42"/>
      <c r="X2216" s="42"/>
      <c r="Y2216" s="42"/>
      <c r="Z2216" s="42"/>
      <c r="AA2216" s="42"/>
      <c r="AB2216" s="42" t="str">
        <f>IFERROR(__xludf.DUMMYFUNCTION("""COMPUTED_VALUE"""),"allen institute")</f>
        <v>allen institute</v>
      </c>
      <c r="AC2216" s="42" t="str">
        <f>IFERROR(__xludf.DUMMYFUNCTION("""COMPUTED_VALUE"""),"DHBA")</f>
        <v>DHBA</v>
      </c>
      <c r="AD2216" s="42"/>
      <c r="AE2216" s="42"/>
      <c r="AF2216" s="9"/>
      <c r="AG2216" s="9"/>
      <c r="AH2216" s="42"/>
      <c r="AI2216" s="42"/>
      <c r="AJ2216" s="42"/>
      <c r="AK2216" s="42"/>
      <c r="AL2216" s="42"/>
      <c r="AM2216" s="42"/>
      <c r="AN2216" s="42"/>
      <c r="AO2216" s="63" t="str">
        <f>IFERROR(__xludf.DUMMYFUNCTION("IF(ISBLANK(A2216),,IF(ISBLANK(S2216), A2216&amp;"";"", TEXTJOIN(CHAR(10), TRUE, A2216&amp;"";"", ARRAYFORMULA(VLOOKUP(SPLIT(S2216, "";"" &amp; CHAR(10)), $A:$AO, 41, FALSE)))))"),"MEI;")</f>
        <v>MEI;</v>
      </c>
      <c r="AP2216" s="89"/>
    </row>
    <row r="2217">
      <c r="A2217" s="151" t="str">
        <f>IFERROR(__xludf.DUMMYFUNCTION("""COMPUTED_VALUE"""),"HTHma")</f>
        <v>HTHma</v>
      </c>
      <c r="B2217" s="42" t="str">
        <f>IFERROR(__xludf.DUMMYFUNCTION("""COMPUTED_VALUE"""),"DHBA")</f>
        <v>DHBA</v>
      </c>
      <c r="C2217" s="42" t="str">
        <f>IFERROR(__xludf.DUMMYFUNCTION("""COMPUTED_VALUE"""),"mammillary region of HTH")</f>
        <v>mammillary region of HTH</v>
      </c>
      <c r="D2217" s="42">
        <f>IFERROR(__xludf.DUMMYFUNCTION("""COMPUTED_VALUE"""),2100.0)</f>
        <v>2100</v>
      </c>
      <c r="E2217" s="39" t="str">
        <f>IFERROR(__xludf.DUMMYFUNCTION("""COMPUTED_VALUE"""),"mammillary region of HTH")</f>
        <v>mammillary region of HTH</v>
      </c>
      <c r="F2217" s="9" t="str">
        <f>IFERROR(__xludf.DUMMYFUNCTION("""COMPUTED_VALUE"""),"Br")</f>
        <v>Br</v>
      </c>
      <c r="G2217" s="9" t="str">
        <f>IFERROR(__xludf.DUMMYFUNCTION("""COMPUTED_VALUE"""),"F")</f>
        <v>F</v>
      </c>
      <c r="H2217" s="9" t="str">
        <f>IFERROR(__xludf.DUMMYFUNCTION("""COMPUTED_VALUE"""),"FGM")</f>
        <v>FGM</v>
      </c>
      <c r="I2217" s="9" t="str">
        <f>IFERROR(__xludf.DUMMYFUNCTION("""COMPUTED_VALUE"""),"Die")</f>
        <v>Die</v>
      </c>
      <c r="J2217" s="9" t="str">
        <f>IFERROR(__xludf.DUMMYFUNCTION("""COMPUTED_VALUE"""),"HTH")</f>
        <v>HTH</v>
      </c>
      <c r="K2217" s="9" t="str">
        <f>IFERROR(__xludf.DUMMYFUNCTION("""COMPUTED_VALUE"""),"HTHma")</f>
        <v>HTHma</v>
      </c>
      <c r="L2217" s="9"/>
      <c r="M2217" s="9"/>
      <c r="N2217" s="9"/>
      <c r="O2217" s="9"/>
      <c r="P2217" s="9"/>
      <c r="Q2217" s="9"/>
      <c r="R2217" s="9"/>
      <c r="S2217" s="42" t="str">
        <f>IFERROR(__xludf.DUMMYFUNCTION("""COMPUTED_VALUE"""),"TM;
SUM;
MN;
PHN;
LHAp;
PMN;
RMA")</f>
        <v>TM;
SUM;
MN;
PHN;
LHAp;
PMN;
RMA</v>
      </c>
      <c r="T2217" s="42"/>
      <c r="U2217" s="42" t="b">
        <f>IFERROR(__xludf.DUMMYFUNCTION("""COMPUTED_VALUE"""),FALSE)</f>
        <v>0</v>
      </c>
      <c r="V2217" s="42"/>
      <c r="W2217" s="42"/>
      <c r="X2217" s="42"/>
      <c r="Y2217" s="42"/>
      <c r="Z2217" s="42"/>
      <c r="AA2217" s="42"/>
      <c r="AB2217" s="42" t="str">
        <f>IFERROR(__xludf.DUMMYFUNCTION("""COMPUTED_VALUE"""),"allen institute")</f>
        <v>allen institute</v>
      </c>
      <c r="AC2217" s="42" t="str">
        <f>IFERROR(__xludf.DUMMYFUNCTION("""COMPUTED_VALUE"""),"DHBA")</f>
        <v>DHBA</v>
      </c>
      <c r="AD2217" s="42"/>
      <c r="AE2217" s="42"/>
      <c r="AF2217" s="9"/>
      <c r="AG2217" s="9"/>
      <c r="AH2217" s="42"/>
      <c r="AI2217" s="42"/>
      <c r="AJ2217" s="42"/>
      <c r="AK2217" s="42"/>
      <c r="AL2217" s="42"/>
      <c r="AM2217" s="42"/>
      <c r="AN2217" s="42"/>
      <c r="AO2217" s="63" t="str">
        <f>IFERROR(__xludf.DUMMYFUNCTION("IF(ISBLANK(A2217),,IF(ISBLANK(S2217), A2217&amp;"";"", TEXTJOIN(CHAR(10), TRUE, A2217&amp;"";"", ARRAYFORMULA(VLOOKUP(SPLIT(S2217, "";"" &amp; CHAR(10)), $A:$AO, 41, FALSE)))))"),"HTHma;
TM;
SUM;
MN;
MM;
MMl;
MMm;
MMb;
LM;
PHN;
LHAp;
PeF;
PMN;
RMA;")</f>
        <v>HTHma;
TM;
SUM;
MN;
MM;
MMl;
MMm;
MMb;
LM;
PHN;
LHAp;
PeF;
PMN;
RMA;</v>
      </c>
      <c r="AP2217" s="89"/>
    </row>
    <row r="2218">
      <c r="A2218" s="151" t="str">
        <f>IFERROR(__xludf.DUMMYFUNCTION("""COMPUTED_VALUE"""),"TM")</f>
        <v>TM</v>
      </c>
      <c r="B2218" s="42" t="str">
        <f>IFERROR(__xludf.DUMMYFUNCTION("""COMPUTED_VALUE"""),"DHBA")</f>
        <v>DHBA</v>
      </c>
      <c r="C2218" s="42" t="str">
        <f>IFERROR(__xludf.DUMMYFUNCTION("""COMPUTED_VALUE"""),"Tuberomamillary nucleus, tM")</f>
        <v>Tuberomamillary nucleus, tM</v>
      </c>
      <c r="D2218" s="42">
        <f>IFERROR(__xludf.DUMMYFUNCTION("""COMPUTED_VALUE"""),2101.0)</f>
        <v>2101</v>
      </c>
      <c r="E2218" s="39" t="str">
        <f>IFERROR(__xludf.DUMMYFUNCTION("""COMPUTED_VALUE"""),"tuberomammillary nucleus")</f>
        <v>tuberomammillary nucleus</v>
      </c>
      <c r="F2218" s="9" t="str">
        <f>IFERROR(__xludf.DUMMYFUNCTION("""COMPUTED_VALUE"""),"Br")</f>
        <v>Br</v>
      </c>
      <c r="G2218" s="9" t="str">
        <f>IFERROR(__xludf.DUMMYFUNCTION("""COMPUTED_VALUE"""),"F")</f>
        <v>F</v>
      </c>
      <c r="H2218" s="9" t="str">
        <f>IFERROR(__xludf.DUMMYFUNCTION("""COMPUTED_VALUE"""),"FGM")</f>
        <v>FGM</v>
      </c>
      <c r="I2218" s="9" t="str">
        <f>IFERROR(__xludf.DUMMYFUNCTION("""COMPUTED_VALUE"""),"Die")</f>
        <v>Die</v>
      </c>
      <c r="J2218" s="9" t="str">
        <f>IFERROR(__xludf.DUMMYFUNCTION("""COMPUTED_VALUE"""),"HTH")</f>
        <v>HTH</v>
      </c>
      <c r="K2218" s="9" t="str">
        <f>IFERROR(__xludf.DUMMYFUNCTION("""COMPUTED_VALUE"""),"HTHma")</f>
        <v>HTHma</v>
      </c>
      <c r="L2218" s="9" t="str">
        <f>IFERROR(__xludf.DUMMYFUNCTION("""COMPUTED_VALUE"""),"TM")</f>
        <v>TM</v>
      </c>
      <c r="M2218" s="9"/>
      <c r="N2218" s="9"/>
      <c r="O2218" s="9"/>
      <c r="P2218" s="9"/>
      <c r="Q2218" s="9"/>
      <c r="R2218" s="9"/>
      <c r="S2218" s="42"/>
      <c r="T2218" s="42"/>
      <c r="U2218" s="42"/>
      <c r="V2218" s="42"/>
      <c r="W2218" s="42"/>
      <c r="X2218" s="42"/>
      <c r="Y2218" s="42"/>
      <c r="Z2218" s="42"/>
      <c r="AA2218" s="42"/>
      <c r="AB2218" s="42" t="str">
        <f>IFERROR(__xludf.DUMMYFUNCTION("""COMPUTED_VALUE"""),"allen institute")</f>
        <v>allen institute</v>
      </c>
      <c r="AC2218" s="42" t="str">
        <f>IFERROR(__xludf.DUMMYFUNCTION("""COMPUTED_VALUE"""),"DHBA")</f>
        <v>DHBA</v>
      </c>
      <c r="AD2218" s="42"/>
      <c r="AE2218" s="42"/>
      <c r="AF2218" s="9"/>
      <c r="AG2218" s="9"/>
      <c r="AH2218" s="42"/>
      <c r="AI2218" s="42"/>
      <c r="AJ2218" s="42"/>
      <c r="AK2218" s="42"/>
      <c r="AL2218" s="42"/>
      <c r="AM2218" s="42"/>
      <c r="AN2218" s="42"/>
      <c r="AO2218" s="63" t="str">
        <f>IFERROR(__xludf.DUMMYFUNCTION("IF(ISBLANK(A2218),,IF(ISBLANK(S2218), A2218&amp;"";"", TEXTJOIN(CHAR(10), TRUE, A2218&amp;"";"", ARRAYFORMULA(VLOOKUP(SPLIT(S2218, "";"" &amp; CHAR(10)), $A:$AO, 41, FALSE)))))"),"TM;")</f>
        <v>TM;</v>
      </c>
      <c r="AP2218" s="89"/>
    </row>
    <row r="2219">
      <c r="A2219" s="151" t="str">
        <f>IFERROR(__xludf.DUMMYFUNCTION("""COMPUTED_VALUE"""),"SUM")</f>
        <v>SUM</v>
      </c>
      <c r="B2219" s="42" t="str">
        <f>IFERROR(__xludf.DUMMYFUNCTION("""COMPUTED_VALUE"""),"DHBA")</f>
        <v>DHBA</v>
      </c>
      <c r="C2219" s="42" t="str">
        <f>IFERROR(__xludf.DUMMYFUNCTION("""COMPUTED_VALUE"""),"Supramamillary nucleus, sM")</f>
        <v>Supramamillary nucleus, sM</v>
      </c>
      <c r="D2219" s="42">
        <f>IFERROR(__xludf.DUMMYFUNCTION("""COMPUTED_VALUE"""),2102.0)</f>
        <v>2102</v>
      </c>
      <c r="E2219" s="39" t="str">
        <f>IFERROR(__xludf.DUMMYFUNCTION("""COMPUTED_VALUE"""),"supramammillary nucleus")</f>
        <v>supramammillary nucleus</v>
      </c>
      <c r="F2219" s="9" t="str">
        <f>IFERROR(__xludf.DUMMYFUNCTION("""COMPUTED_VALUE"""),"Br")</f>
        <v>Br</v>
      </c>
      <c r="G2219" s="9" t="str">
        <f>IFERROR(__xludf.DUMMYFUNCTION("""COMPUTED_VALUE"""),"F")</f>
        <v>F</v>
      </c>
      <c r="H2219" s="9" t="str">
        <f>IFERROR(__xludf.DUMMYFUNCTION("""COMPUTED_VALUE"""),"FGM")</f>
        <v>FGM</v>
      </c>
      <c r="I2219" s="9" t="str">
        <f>IFERROR(__xludf.DUMMYFUNCTION("""COMPUTED_VALUE"""),"Die")</f>
        <v>Die</v>
      </c>
      <c r="J2219" s="9" t="str">
        <f>IFERROR(__xludf.DUMMYFUNCTION("""COMPUTED_VALUE"""),"HTH")</f>
        <v>HTH</v>
      </c>
      <c r="K2219" s="9" t="str">
        <f>IFERROR(__xludf.DUMMYFUNCTION("""COMPUTED_VALUE"""),"HTHma")</f>
        <v>HTHma</v>
      </c>
      <c r="L2219" s="9" t="str">
        <f>IFERROR(__xludf.DUMMYFUNCTION("""COMPUTED_VALUE"""),"SUM")</f>
        <v>SUM</v>
      </c>
      <c r="M2219" s="9"/>
      <c r="N2219" s="9"/>
      <c r="O2219" s="9"/>
      <c r="P2219" s="9"/>
      <c r="Q2219" s="9"/>
      <c r="R2219" s="9"/>
      <c r="S2219" s="42"/>
      <c r="T2219" s="42"/>
      <c r="U2219" s="42"/>
      <c r="V2219" s="42"/>
      <c r="W2219" s="42"/>
      <c r="X2219" s="42"/>
      <c r="Y2219" s="42"/>
      <c r="Z2219" s="42"/>
      <c r="AA2219" s="42"/>
      <c r="AB2219" s="42" t="str">
        <f>IFERROR(__xludf.DUMMYFUNCTION("""COMPUTED_VALUE"""),"allen institute")</f>
        <v>allen institute</v>
      </c>
      <c r="AC2219" s="42" t="str">
        <f>IFERROR(__xludf.DUMMYFUNCTION("""COMPUTED_VALUE"""),"DHBA")</f>
        <v>DHBA</v>
      </c>
      <c r="AD2219" s="42"/>
      <c r="AE2219" s="42"/>
      <c r="AF2219" s="9"/>
      <c r="AG2219" s="9"/>
      <c r="AH2219" s="42"/>
      <c r="AI2219" s="42"/>
      <c r="AJ2219" s="42"/>
      <c r="AK2219" s="42"/>
      <c r="AL2219" s="42"/>
      <c r="AM2219" s="42"/>
      <c r="AN2219" s="42"/>
      <c r="AO2219" s="63" t="str">
        <f>IFERROR(__xludf.DUMMYFUNCTION("IF(ISBLANK(A2219),,IF(ISBLANK(S2219), A2219&amp;"";"", TEXTJOIN(CHAR(10), TRUE, A2219&amp;"";"", ARRAYFORMULA(VLOOKUP(SPLIT(S2219, "";"" &amp; CHAR(10)), $A:$AO, 41, FALSE)))))"),"SUM;")</f>
        <v>SUM;</v>
      </c>
      <c r="AP2219" s="89"/>
    </row>
    <row r="2220">
      <c r="A2220" s="151" t="str">
        <f>IFERROR(__xludf.DUMMYFUNCTION("""COMPUTED_VALUE"""),"MN")</f>
        <v>MN</v>
      </c>
      <c r="B2220" s="42" t="str">
        <f>IFERROR(__xludf.DUMMYFUNCTION("""COMPUTED_VALUE"""),"DHBA")</f>
        <v>DHBA</v>
      </c>
      <c r="C2220" s="42" t="str">
        <f>IFERROR(__xludf.DUMMYFUNCTION("""COMPUTED_VALUE"""),"mammilary neucleus")</f>
        <v>mammilary neucleus</v>
      </c>
      <c r="D2220" s="42">
        <f>IFERROR(__xludf.DUMMYFUNCTION("""COMPUTED_VALUE"""),2103.0)</f>
        <v>2103</v>
      </c>
      <c r="E2220" s="39" t="str">
        <f>IFERROR(__xludf.DUMMYFUNCTION("""COMPUTED_VALUE"""),"mammillary nucleus")</f>
        <v>mammillary nucleus</v>
      </c>
      <c r="F2220" s="9" t="str">
        <f>IFERROR(__xludf.DUMMYFUNCTION("""COMPUTED_VALUE"""),"Br")</f>
        <v>Br</v>
      </c>
      <c r="G2220" s="9" t="str">
        <f>IFERROR(__xludf.DUMMYFUNCTION("""COMPUTED_VALUE"""),"F")</f>
        <v>F</v>
      </c>
      <c r="H2220" s="9" t="str">
        <f>IFERROR(__xludf.DUMMYFUNCTION("""COMPUTED_VALUE"""),"FGM")</f>
        <v>FGM</v>
      </c>
      <c r="I2220" s="9" t="str">
        <f>IFERROR(__xludf.DUMMYFUNCTION("""COMPUTED_VALUE"""),"Die")</f>
        <v>Die</v>
      </c>
      <c r="J2220" s="9" t="str">
        <f>IFERROR(__xludf.DUMMYFUNCTION("""COMPUTED_VALUE"""),"HTH")</f>
        <v>HTH</v>
      </c>
      <c r="K2220" s="9" t="str">
        <f>IFERROR(__xludf.DUMMYFUNCTION("""COMPUTED_VALUE"""),"HTHma")</f>
        <v>HTHma</v>
      </c>
      <c r="L2220" s="9" t="str">
        <f>IFERROR(__xludf.DUMMYFUNCTION("""COMPUTED_VALUE"""),"MN")</f>
        <v>MN</v>
      </c>
      <c r="M2220" s="9"/>
      <c r="N2220" s="9"/>
      <c r="O2220" s="9"/>
      <c r="P2220" s="9"/>
      <c r="Q2220" s="9"/>
      <c r="R2220" s="9"/>
      <c r="S2220" s="42" t="str">
        <f>IFERROR(__xludf.DUMMYFUNCTION("""COMPUTED_VALUE"""),"MM;
LM")</f>
        <v>MM;
LM</v>
      </c>
      <c r="T2220" s="42"/>
      <c r="U2220" s="42" t="b">
        <f>IFERROR(__xludf.DUMMYFUNCTION("""COMPUTED_VALUE"""),FALSE)</f>
        <v>0</v>
      </c>
      <c r="V2220" s="42"/>
      <c r="W2220" s="42"/>
      <c r="X2220" s="42"/>
      <c r="Y2220" s="42"/>
      <c r="Z2220" s="42"/>
      <c r="AA2220" s="42"/>
      <c r="AB2220" s="42" t="str">
        <f>IFERROR(__xludf.DUMMYFUNCTION("""COMPUTED_VALUE"""),"allen institute")</f>
        <v>allen institute</v>
      </c>
      <c r="AC2220" s="42" t="str">
        <f>IFERROR(__xludf.DUMMYFUNCTION("""COMPUTED_VALUE"""),"DHBA")</f>
        <v>DHBA</v>
      </c>
      <c r="AD2220" s="42"/>
      <c r="AE2220" s="42"/>
      <c r="AF2220" s="9"/>
      <c r="AG2220" s="9"/>
      <c r="AH2220" s="42"/>
      <c r="AI2220" s="42"/>
      <c r="AJ2220" s="42"/>
      <c r="AK2220" s="42"/>
      <c r="AL2220" s="42"/>
      <c r="AM2220" s="42"/>
      <c r="AN2220" s="42"/>
      <c r="AO2220" s="63" t="str">
        <f>IFERROR(__xludf.DUMMYFUNCTION("IF(ISBLANK(A2220),,IF(ISBLANK(S2220), A2220&amp;"";"", TEXTJOIN(CHAR(10), TRUE, A2220&amp;"";"", ARRAYFORMULA(VLOOKUP(SPLIT(S2220, "";"" &amp; CHAR(10)), $A:$AO, 41, FALSE)))))"),"MN;
MM;
MMl;
MMm;
MMb;
LM;")</f>
        <v>MN;
MM;
MMl;
MMm;
MMb;
LM;</v>
      </c>
      <c r="AP2220" s="89"/>
    </row>
    <row r="2221">
      <c r="A2221" s="151" t="str">
        <f>IFERROR(__xludf.DUMMYFUNCTION("""COMPUTED_VALUE"""),"MM")</f>
        <v>MM</v>
      </c>
      <c r="B2221" s="42" t="str">
        <f>IFERROR(__xludf.DUMMYFUNCTION("""COMPUTED_VALUE"""),"DHBA")</f>
        <v>DHBA</v>
      </c>
      <c r="C2221" s="42" t="str">
        <f>IFERROR(__xludf.DUMMYFUNCTION("""COMPUTED_VALUE"""),"medial mammillary nucleus")</f>
        <v>medial mammillary nucleus</v>
      </c>
      <c r="D2221" s="42">
        <f>IFERROR(__xludf.DUMMYFUNCTION("""COMPUTED_VALUE"""),2104.0)</f>
        <v>2104</v>
      </c>
      <c r="E2221" s="39" t="str">
        <f>IFERROR(__xludf.DUMMYFUNCTION("""COMPUTED_VALUE"""),"medial mammillary nucleus")</f>
        <v>medial mammillary nucleus</v>
      </c>
      <c r="F2221" s="9" t="str">
        <f>IFERROR(__xludf.DUMMYFUNCTION("""COMPUTED_VALUE"""),"Br")</f>
        <v>Br</v>
      </c>
      <c r="G2221" s="9" t="str">
        <f>IFERROR(__xludf.DUMMYFUNCTION("""COMPUTED_VALUE"""),"F")</f>
        <v>F</v>
      </c>
      <c r="H2221" s="9" t="str">
        <f>IFERROR(__xludf.DUMMYFUNCTION("""COMPUTED_VALUE"""),"FGM")</f>
        <v>FGM</v>
      </c>
      <c r="I2221" s="9" t="str">
        <f>IFERROR(__xludf.DUMMYFUNCTION("""COMPUTED_VALUE"""),"Die")</f>
        <v>Die</v>
      </c>
      <c r="J2221" s="9" t="str">
        <f>IFERROR(__xludf.DUMMYFUNCTION("""COMPUTED_VALUE"""),"HTH")</f>
        <v>HTH</v>
      </c>
      <c r="K2221" s="9" t="str">
        <f>IFERROR(__xludf.DUMMYFUNCTION("""COMPUTED_VALUE"""),"HTHma")</f>
        <v>HTHma</v>
      </c>
      <c r="L2221" s="9" t="str">
        <f>IFERROR(__xludf.DUMMYFUNCTION("""COMPUTED_VALUE"""),"MN")</f>
        <v>MN</v>
      </c>
      <c r="M2221" s="9" t="str">
        <f>IFERROR(__xludf.DUMMYFUNCTION("""COMPUTED_VALUE"""),"MM")</f>
        <v>MM</v>
      </c>
      <c r="N2221" s="9"/>
      <c r="O2221" s="9"/>
      <c r="P2221" s="9"/>
      <c r="Q2221" s="9"/>
      <c r="R2221" s="9"/>
      <c r="S2221" s="42" t="str">
        <f>IFERROR(__xludf.DUMMYFUNCTION("""COMPUTED_VALUE"""),"MMl;
MMm;
MMb")</f>
        <v>MMl;
MMm;
MMb</v>
      </c>
      <c r="T2221" s="42"/>
      <c r="U2221" s="42" t="b">
        <f>IFERROR(__xludf.DUMMYFUNCTION("""COMPUTED_VALUE"""),FALSE)</f>
        <v>0</v>
      </c>
      <c r="V2221" s="42"/>
      <c r="W2221" s="42"/>
      <c r="X2221" s="42"/>
      <c r="Y2221" s="42"/>
      <c r="Z2221" s="42"/>
      <c r="AA2221" s="42"/>
      <c r="AB2221" s="42" t="str">
        <f>IFERROR(__xludf.DUMMYFUNCTION("""COMPUTED_VALUE"""),"allen institute")</f>
        <v>allen institute</v>
      </c>
      <c r="AC2221" s="42" t="str">
        <f>IFERROR(__xludf.DUMMYFUNCTION("""COMPUTED_VALUE"""),"DHBA")</f>
        <v>DHBA</v>
      </c>
      <c r="AD2221" s="42"/>
      <c r="AE2221" s="42"/>
      <c r="AF2221" s="9"/>
      <c r="AG2221" s="9"/>
      <c r="AH2221" s="42"/>
      <c r="AI2221" s="42"/>
      <c r="AJ2221" s="42"/>
      <c r="AK2221" s="42"/>
      <c r="AL2221" s="42"/>
      <c r="AM2221" s="42"/>
      <c r="AN2221" s="42"/>
      <c r="AO2221" s="63" t="str">
        <f>IFERROR(__xludf.DUMMYFUNCTION("IF(ISBLANK(A2221),,IF(ISBLANK(S2221), A2221&amp;"";"", TEXTJOIN(CHAR(10), TRUE, A2221&amp;"";"", ARRAYFORMULA(VLOOKUP(SPLIT(S2221, "";"" &amp; CHAR(10)), $A:$AO, 41, FALSE)))))"),"MM;
MMl;
MMm;
MMb;")</f>
        <v>MM;
MMl;
MMm;
MMb;</v>
      </c>
      <c r="AP2221" s="89"/>
    </row>
    <row r="2222">
      <c r="A2222" s="151" t="str">
        <f>IFERROR(__xludf.DUMMYFUNCTION("""COMPUTED_VALUE"""),"MMl")</f>
        <v>MMl</v>
      </c>
      <c r="B2222" s="42" t="str">
        <f>IFERROR(__xludf.DUMMYFUNCTION("""COMPUTED_VALUE"""),"DHBA")</f>
        <v>DHBA</v>
      </c>
      <c r="C2222" s="42" t="str">
        <f>IFERROR(__xludf.DUMMYFUNCTION("""COMPUTED_VALUE"""),"lateral part of medial mammillary nucleus")</f>
        <v>lateral part of medial mammillary nucleus</v>
      </c>
      <c r="D2222" s="42">
        <f>IFERROR(__xludf.DUMMYFUNCTION("""COMPUTED_VALUE"""),2105.0)</f>
        <v>2105</v>
      </c>
      <c r="E2222" s="39" t="str">
        <f>IFERROR(__xludf.DUMMYFUNCTION("""COMPUTED_VALUE"""),"lateral part of medial mammillary nucleus")</f>
        <v>lateral part of medial mammillary nucleus</v>
      </c>
      <c r="F2222" s="9" t="str">
        <f>IFERROR(__xludf.DUMMYFUNCTION("""COMPUTED_VALUE"""),"Br")</f>
        <v>Br</v>
      </c>
      <c r="G2222" s="9" t="str">
        <f>IFERROR(__xludf.DUMMYFUNCTION("""COMPUTED_VALUE"""),"F")</f>
        <v>F</v>
      </c>
      <c r="H2222" s="9" t="str">
        <f>IFERROR(__xludf.DUMMYFUNCTION("""COMPUTED_VALUE"""),"FGM")</f>
        <v>FGM</v>
      </c>
      <c r="I2222" s="9" t="str">
        <f>IFERROR(__xludf.DUMMYFUNCTION("""COMPUTED_VALUE"""),"Die")</f>
        <v>Die</v>
      </c>
      <c r="J2222" s="9" t="str">
        <f>IFERROR(__xludf.DUMMYFUNCTION("""COMPUTED_VALUE"""),"HTH")</f>
        <v>HTH</v>
      </c>
      <c r="K2222" s="9" t="str">
        <f>IFERROR(__xludf.DUMMYFUNCTION("""COMPUTED_VALUE"""),"HTHma")</f>
        <v>HTHma</v>
      </c>
      <c r="L2222" s="9" t="str">
        <f>IFERROR(__xludf.DUMMYFUNCTION("""COMPUTED_VALUE"""),"MN")</f>
        <v>MN</v>
      </c>
      <c r="M2222" s="9" t="str">
        <f>IFERROR(__xludf.DUMMYFUNCTION("""COMPUTED_VALUE"""),"MM")</f>
        <v>MM</v>
      </c>
      <c r="N2222" s="9" t="str">
        <f>IFERROR(__xludf.DUMMYFUNCTION("""COMPUTED_VALUE"""),"MMl")</f>
        <v>MMl</v>
      </c>
      <c r="O2222" s="9"/>
      <c r="P2222" s="9"/>
      <c r="Q2222" s="9"/>
      <c r="R2222" s="9"/>
      <c r="S2222" s="42"/>
      <c r="T2222" s="42"/>
      <c r="U2222" s="42"/>
      <c r="V2222" s="42"/>
      <c r="W2222" s="42"/>
      <c r="X2222" s="42"/>
      <c r="Y2222" s="42"/>
      <c r="Z2222" s="42"/>
      <c r="AA2222" s="42"/>
      <c r="AB2222" s="42" t="str">
        <f>IFERROR(__xludf.DUMMYFUNCTION("""COMPUTED_VALUE"""),"allen institute")</f>
        <v>allen institute</v>
      </c>
      <c r="AC2222" s="42" t="str">
        <f>IFERROR(__xludf.DUMMYFUNCTION("""COMPUTED_VALUE"""),"DHBA")</f>
        <v>DHBA</v>
      </c>
      <c r="AD2222" s="42"/>
      <c r="AE2222" s="42"/>
      <c r="AF2222" s="9"/>
      <c r="AG2222" s="9"/>
      <c r="AH2222" s="42"/>
      <c r="AI2222" s="42"/>
      <c r="AJ2222" s="42"/>
      <c r="AK2222" s="42"/>
      <c r="AL2222" s="42"/>
      <c r="AM2222" s="42"/>
      <c r="AN2222" s="42"/>
      <c r="AO2222" s="63" t="str">
        <f>IFERROR(__xludf.DUMMYFUNCTION("IF(ISBLANK(A2222),,IF(ISBLANK(S2222), A2222&amp;"";"", TEXTJOIN(CHAR(10), TRUE, A2222&amp;"";"", ARRAYFORMULA(VLOOKUP(SPLIT(S2222, "";"" &amp; CHAR(10)), $A:$AO, 41, FALSE)))))"),"MMl;")</f>
        <v>MMl;</v>
      </c>
      <c r="AP2222" s="89"/>
    </row>
    <row r="2223">
      <c r="A2223" s="151" t="str">
        <f>IFERROR(__xludf.DUMMYFUNCTION("""COMPUTED_VALUE"""),"MMm")</f>
        <v>MMm</v>
      </c>
      <c r="B2223" s="42" t="str">
        <f>IFERROR(__xludf.DUMMYFUNCTION("""COMPUTED_VALUE"""),"DHBA")</f>
        <v>DHBA</v>
      </c>
      <c r="C2223" s="42" t="str">
        <f>IFERROR(__xludf.DUMMYFUNCTION("""COMPUTED_VALUE"""),"medial part of medial mammillary nucleus")</f>
        <v>medial part of medial mammillary nucleus</v>
      </c>
      <c r="D2223" s="42">
        <f>IFERROR(__xludf.DUMMYFUNCTION("""COMPUTED_VALUE"""),2106.0)</f>
        <v>2106</v>
      </c>
      <c r="E2223" s="39" t="str">
        <f>IFERROR(__xludf.DUMMYFUNCTION("""COMPUTED_VALUE"""),"medial part of medial mammillary nucleus")</f>
        <v>medial part of medial mammillary nucleus</v>
      </c>
      <c r="F2223" s="9" t="str">
        <f>IFERROR(__xludf.DUMMYFUNCTION("""COMPUTED_VALUE"""),"Br")</f>
        <v>Br</v>
      </c>
      <c r="G2223" s="9" t="str">
        <f>IFERROR(__xludf.DUMMYFUNCTION("""COMPUTED_VALUE"""),"F")</f>
        <v>F</v>
      </c>
      <c r="H2223" s="9" t="str">
        <f>IFERROR(__xludf.DUMMYFUNCTION("""COMPUTED_VALUE"""),"FGM")</f>
        <v>FGM</v>
      </c>
      <c r="I2223" s="9" t="str">
        <f>IFERROR(__xludf.DUMMYFUNCTION("""COMPUTED_VALUE"""),"Die")</f>
        <v>Die</v>
      </c>
      <c r="J2223" s="9" t="str">
        <f>IFERROR(__xludf.DUMMYFUNCTION("""COMPUTED_VALUE"""),"HTH")</f>
        <v>HTH</v>
      </c>
      <c r="K2223" s="9" t="str">
        <f>IFERROR(__xludf.DUMMYFUNCTION("""COMPUTED_VALUE"""),"HTHma")</f>
        <v>HTHma</v>
      </c>
      <c r="L2223" s="9" t="str">
        <f>IFERROR(__xludf.DUMMYFUNCTION("""COMPUTED_VALUE"""),"MN")</f>
        <v>MN</v>
      </c>
      <c r="M2223" s="9" t="str">
        <f>IFERROR(__xludf.DUMMYFUNCTION("""COMPUTED_VALUE"""),"MM")</f>
        <v>MM</v>
      </c>
      <c r="N2223" s="9" t="str">
        <f>IFERROR(__xludf.DUMMYFUNCTION("""COMPUTED_VALUE"""),"MMm")</f>
        <v>MMm</v>
      </c>
      <c r="O2223" s="9"/>
      <c r="P2223" s="9"/>
      <c r="Q2223" s="9"/>
      <c r="R2223" s="9"/>
      <c r="S2223" s="42"/>
      <c r="T2223" s="42"/>
      <c r="U2223" s="159"/>
      <c r="V2223" s="42"/>
      <c r="W2223" s="42"/>
      <c r="X2223" s="42"/>
      <c r="Y2223" s="42"/>
      <c r="Z2223" s="42"/>
      <c r="AA2223" s="42"/>
      <c r="AB2223" s="42" t="str">
        <f>IFERROR(__xludf.DUMMYFUNCTION("""COMPUTED_VALUE"""),"allen institute")</f>
        <v>allen institute</v>
      </c>
      <c r="AC2223" s="42" t="str">
        <f>IFERROR(__xludf.DUMMYFUNCTION("""COMPUTED_VALUE"""),"DHBA")</f>
        <v>DHBA</v>
      </c>
      <c r="AD2223" s="42"/>
      <c r="AE2223" s="42"/>
      <c r="AF2223" s="9"/>
      <c r="AG2223" s="9"/>
      <c r="AH2223" s="42"/>
      <c r="AI2223" s="42"/>
      <c r="AJ2223" s="42"/>
      <c r="AK2223" s="42"/>
      <c r="AL2223" s="42"/>
      <c r="AM2223" s="42"/>
      <c r="AN2223" s="42"/>
      <c r="AO2223" s="63" t="str">
        <f>IFERROR(__xludf.DUMMYFUNCTION("IF(ISBLANK(A2223),,IF(ISBLANK(S2223), A2223&amp;"";"", TEXTJOIN(CHAR(10), TRUE, A2223&amp;"";"", ARRAYFORMULA(VLOOKUP(SPLIT(S2223, "";"" &amp; CHAR(10)), $A:$AO, 41, FALSE)))))"),"MMm;")</f>
        <v>MMm;</v>
      </c>
      <c r="AP2223" s="89"/>
    </row>
    <row r="2224">
      <c r="A2224" s="151" t="str">
        <f>IFERROR(__xludf.DUMMYFUNCTION("""COMPUTED_VALUE"""),"MMb")</f>
        <v>MMb</v>
      </c>
      <c r="B2224" s="42" t="str">
        <f>IFERROR(__xludf.DUMMYFUNCTION("""COMPUTED_VALUE"""),"DHBA")</f>
        <v>DHBA</v>
      </c>
      <c r="C2224" s="42" t="str">
        <f>IFERROR(__xludf.DUMMYFUNCTION("""COMPUTED_VALUE"""),"basal division of medial mammillary nucleus")</f>
        <v>basal division of medial mammillary nucleus</v>
      </c>
      <c r="D2224" s="42">
        <f>IFERROR(__xludf.DUMMYFUNCTION("""COMPUTED_VALUE"""),2107.0)</f>
        <v>2107</v>
      </c>
      <c r="E2224" s="39" t="str">
        <f>IFERROR(__xludf.DUMMYFUNCTION("""COMPUTED_VALUE"""),"basal division of medial mammillary nucleus")</f>
        <v>basal division of medial mammillary nucleus</v>
      </c>
      <c r="F2224" s="9" t="str">
        <f>IFERROR(__xludf.DUMMYFUNCTION("""COMPUTED_VALUE"""),"Br")</f>
        <v>Br</v>
      </c>
      <c r="G2224" s="9" t="str">
        <f>IFERROR(__xludf.DUMMYFUNCTION("""COMPUTED_VALUE"""),"F")</f>
        <v>F</v>
      </c>
      <c r="H2224" s="9" t="str">
        <f>IFERROR(__xludf.DUMMYFUNCTION("""COMPUTED_VALUE"""),"FGM")</f>
        <v>FGM</v>
      </c>
      <c r="I2224" s="9" t="str">
        <f>IFERROR(__xludf.DUMMYFUNCTION("""COMPUTED_VALUE"""),"Die")</f>
        <v>Die</v>
      </c>
      <c r="J2224" s="9" t="str">
        <f>IFERROR(__xludf.DUMMYFUNCTION("""COMPUTED_VALUE"""),"HTH")</f>
        <v>HTH</v>
      </c>
      <c r="K2224" s="9" t="str">
        <f>IFERROR(__xludf.DUMMYFUNCTION("""COMPUTED_VALUE"""),"HTHma")</f>
        <v>HTHma</v>
      </c>
      <c r="L2224" s="9" t="str">
        <f>IFERROR(__xludf.DUMMYFUNCTION("""COMPUTED_VALUE"""),"MN")</f>
        <v>MN</v>
      </c>
      <c r="M2224" s="9" t="str">
        <f>IFERROR(__xludf.DUMMYFUNCTION("""COMPUTED_VALUE"""),"MM")</f>
        <v>MM</v>
      </c>
      <c r="N2224" s="9" t="str">
        <f>IFERROR(__xludf.DUMMYFUNCTION("""COMPUTED_VALUE"""),"MMb")</f>
        <v>MMb</v>
      </c>
      <c r="O2224" s="9"/>
      <c r="P2224" s="9"/>
      <c r="Q2224" s="9"/>
      <c r="R2224" s="9"/>
      <c r="S2224" s="42"/>
      <c r="T2224" s="42"/>
      <c r="U2224" s="42"/>
      <c r="V2224" s="42"/>
      <c r="W2224" s="42"/>
      <c r="X2224" s="42"/>
      <c r="Y2224" s="42"/>
      <c r="Z2224" s="42"/>
      <c r="AA2224" s="42"/>
      <c r="AB2224" s="42" t="str">
        <f>IFERROR(__xludf.DUMMYFUNCTION("""COMPUTED_VALUE"""),"allen institute")</f>
        <v>allen institute</v>
      </c>
      <c r="AC2224" s="42" t="str">
        <f>IFERROR(__xludf.DUMMYFUNCTION("""COMPUTED_VALUE"""),"DHBA")</f>
        <v>DHBA</v>
      </c>
      <c r="AD2224" s="42"/>
      <c r="AE2224" s="42"/>
      <c r="AF2224" s="9"/>
      <c r="AG2224" s="9"/>
      <c r="AH2224" s="42"/>
      <c r="AI2224" s="42"/>
      <c r="AJ2224" s="42"/>
      <c r="AK2224" s="42"/>
      <c r="AL2224" s="42"/>
      <c r="AM2224" s="42"/>
      <c r="AN2224" s="42"/>
      <c r="AO2224" s="63" t="str">
        <f>IFERROR(__xludf.DUMMYFUNCTION("IF(ISBLANK(A2224),,IF(ISBLANK(S2224), A2224&amp;"";"", TEXTJOIN(CHAR(10), TRUE, A2224&amp;"";"", ARRAYFORMULA(VLOOKUP(SPLIT(S2224, "";"" &amp; CHAR(10)), $A:$AO, 41, FALSE)))))"),"MMb;")</f>
        <v>MMb;</v>
      </c>
      <c r="AP2224" s="89"/>
    </row>
    <row r="2225">
      <c r="A2225" s="151" t="str">
        <f>IFERROR(__xludf.DUMMYFUNCTION("""COMPUTED_VALUE"""),"LM")</f>
        <v>LM</v>
      </c>
      <c r="B2225" s="42" t="str">
        <f>IFERROR(__xludf.DUMMYFUNCTION("""COMPUTED_VALUE"""),"DHBA")</f>
        <v>DHBA</v>
      </c>
      <c r="C2225" s="42" t="str">
        <f>IFERROR(__xludf.DUMMYFUNCTION("""COMPUTED_VALUE"""),"lateral mammillary nucleus")</f>
        <v>lateral mammillary nucleus</v>
      </c>
      <c r="D2225" s="42">
        <f>IFERROR(__xludf.DUMMYFUNCTION("""COMPUTED_VALUE"""),2108.0)</f>
        <v>2108</v>
      </c>
      <c r="E2225" s="39" t="str">
        <f>IFERROR(__xludf.DUMMYFUNCTION("""COMPUTED_VALUE"""),"lateral mammillary nucleus")</f>
        <v>lateral mammillary nucleus</v>
      </c>
      <c r="F2225" s="9" t="str">
        <f>IFERROR(__xludf.DUMMYFUNCTION("""COMPUTED_VALUE"""),"Br")</f>
        <v>Br</v>
      </c>
      <c r="G2225" s="9" t="str">
        <f>IFERROR(__xludf.DUMMYFUNCTION("""COMPUTED_VALUE"""),"F")</f>
        <v>F</v>
      </c>
      <c r="H2225" s="9" t="str">
        <f>IFERROR(__xludf.DUMMYFUNCTION("""COMPUTED_VALUE"""),"FGM")</f>
        <v>FGM</v>
      </c>
      <c r="I2225" s="9" t="str">
        <f>IFERROR(__xludf.DUMMYFUNCTION("""COMPUTED_VALUE"""),"Die")</f>
        <v>Die</v>
      </c>
      <c r="J2225" s="9" t="str">
        <f>IFERROR(__xludf.DUMMYFUNCTION("""COMPUTED_VALUE"""),"HTH")</f>
        <v>HTH</v>
      </c>
      <c r="K2225" s="9" t="str">
        <f>IFERROR(__xludf.DUMMYFUNCTION("""COMPUTED_VALUE"""),"HTHma")</f>
        <v>HTHma</v>
      </c>
      <c r="L2225" s="9" t="str">
        <f>IFERROR(__xludf.DUMMYFUNCTION("""COMPUTED_VALUE"""),"MN")</f>
        <v>MN</v>
      </c>
      <c r="M2225" s="9" t="str">
        <f>IFERROR(__xludf.DUMMYFUNCTION("""COMPUTED_VALUE"""),"LM")</f>
        <v>LM</v>
      </c>
      <c r="N2225" s="9"/>
      <c r="O2225" s="9"/>
      <c r="P2225" s="9"/>
      <c r="Q2225" s="9"/>
      <c r="R2225" s="9"/>
      <c r="S2225" s="42"/>
      <c r="T2225" s="42"/>
      <c r="U2225" s="159"/>
      <c r="V2225" s="42"/>
      <c r="W2225" s="42"/>
      <c r="X2225" s="42"/>
      <c r="Y2225" s="42"/>
      <c r="Z2225" s="42"/>
      <c r="AA2225" s="42"/>
      <c r="AB2225" s="42" t="str">
        <f>IFERROR(__xludf.DUMMYFUNCTION("""COMPUTED_VALUE"""),"allen institute")</f>
        <v>allen institute</v>
      </c>
      <c r="AC2225" s="42" t="str">
        <f>IFERROR(__xludf.DUMMYFUNCTION("""COMPUTED_VALUE"""),"DHBA")</f>
        <v>DHBA</v>
      </c>
      <c r="AD2225" s="42"/>
      <c r="AE2225" s="42"/>
      <c r="AF2225" s="9"/>
      <c r="AG2225" s="9"/>
      <c r="AH2225" s="42"/>
      <c r="AI2225" s="42"/>
      <c r="AJ2225" s="42"/>
      <c r="AK2225" s="42"/>
      <c r="AL2225" s="42"/>
      <c r="AM2225" s="42"/>
      <c r="AN2225" s="42"/>
      <c r="AO2225" s="63" t="str">
        <f>IFERROR(__xludf.DUMMYFUNCTION("IF(ISBLANK(A2225),,IF(ISBLANK(S2225), A2225&amp;"";"", TEXTJOIN(CHAR(10), TRUE, A2225&amp;"";"", ARRAYFORMULA(VLOOKUP(SPLIT(S2225, "";"" &amp; CHAR(10)), $A:$AO, 41, FALSE)))))"),"LM;")</f>
        <v>LM;</v>
      </c>
      <c r="AP2225" s="89"/>
    </row>
    <row r="2226">
      <c r="A2226" s="151" t="str">
        <f>IFERROR(__xludf.DUMMYFUNCTION("""COMPUTED_VALUE"""),"PHN")</f>
        <v>PHN</v>
      </c>
      <c r="B2226" s="42" t="str">
        <f>IFERROR(__xludf.DUMMYFUNCTION("""COMPUTED_VALUE"""),"DHBA")</f>
        <v>DHBA</v>
      </c>
      <c r="C2226" s="42" t="str">
        <f>IFERROR(__xludf.DUMMYFUNCTION("""COMPUTED_VALUE"""),"Posterior hypothalamic area/nucleus, PH")</f>
        <v>Posterior hypothalamic area/nucleus, PH</v>
      </c>
      <c r="D2226" s="42">
        <f>IFERROR(__xludf.DUMMYFUNCTION("""COMPUTED_VALUE"""),2109.0)</f>
        <v>2109</v>
      </c>
      <c r="E2226" s="39" t="str">
        <f>IFERROR(__xludf.DUMMYFUNCTION("""COMPUTED_VALUE"""),"posterior hypothalamic nucleus")</f>
        <v>posterior hypothalamic nucleus</v>
      </c>
      <c r="F2226" s="9" t="str">
        <f>IFERROR(__xludf.DUMMYFUNCTION("""COMPUTED_VALUE"""),"Br")</f>
        <v>Br</v>
      </c>
      <c r="G2226" s="9" t="str">
        <f>IFERROR(__xludf.DUMMYFUNCTION("""COMPUTED_VALUE"""),"F")</f>
        <v>F</v>
      </c>
      <c r="H2226" s="9" t="str">
        <f>IFERROR(__xludf.DUMMYFUNCTION("""COMPUTED_VALUE"""),"FGM")</f>
        <v>FGM</v>
      </c>
      <c r="I2226" s="9" t="str">
        <f>IFERROR(__xludf.DUMMYFUNCTION("""COMPUTED_VALUE"""),"Die")</f>
        <v>Die</v>
      </c>
      <c r="J2226" s="9" t="str">
        <f>IFERROR(__xludf.DUMMYFUNCTION("""COMPUTED_VALUE"""),"HTH")</f>
        <v>HTH</v>
      </c>
      <c r="K2226" s="9" t="str">
        <f>IFERROR(__xludf.DUMMYFUNCTION("""COMPUTED_VALUE"""),"HTHma")</f>
        <v>HTHma</v>
      </c>
      <c r="L2226" s="9" t="str">
        <f>IFERROR(__xludf.DUMMYFUNCTION("""COMPUTED_VALUE"""),"PHN")</f>
        <v>PHN</v>
      </c>
      <c r="M2226" s="9"/>
      <c r="N2226" s="9"/>
      <c r="O2226" s="9"/>
      <c r="P2226" s="9"/>
      <c r="Q2226" s="9"/>
      <c r="R2226" s="9"/>
      <c r="S2226" s="42"/>
      <c r="T2226" s="42"/>
      <c r="U2226" s="42"/>
      <c r="V2226" s="42"/>
      <c r="W2226" s="42"/>
      <c r="X2226" s="42"/>
      <c r="Y2226" s="42"/>
      <c r="Z2226" s="42"/>
      <c r="AA2226" s="42"/>
      <c r="AB2226" s="42" t="str">
        <f>IFERROR(__xludf.DUMMYFUNCTION("""COMPUTED_VALUE"""),"allen institute")</f>
        <v>allen institute</v>
      </c>
      <c r="AC2226" s="42" t="str">
        <f>IFERROR(__xludf.DUMMYFUNCTION("""COMPUTED_VALUE"""),"DHBA")</f>
        <v>DHBA</v>
      </c>
      <c r="AD2226" s="42"/>
      <c r="AE2226" s="42"/>
      <c r="AF2226" s="9"/>
      <c r="AG2226" s="9"/>
      <c r="AH2226" s="42"/>
      <c r="AI2226" s="42"/>
      <c r="AJ2226" s="42"/>
      <c r="AK2226" s="42"/>
      <c r="AL2226" s="42"/>
      <c r="AM2226" s="42"/>
      <c r="AN2226" s="42"/>
      <c r="AO2226" s="63" t="str">
        <f>IFERROR(__xludf.DUMMYFUNCTION("IF(ISBLANK(A2226),,IF(ISBLANK(S2226), A2226&amp;"";"", TEXTJOIN(CHAR(10), TRUE, A2226&amp;"";"", ARRAYFORMULA(VLOOKUP(SPLIT(S2226, "";"" &amp; CHAR(10)), $A:$AO, 41, FALSE)))))"),"PHN;")</f>
        <v>PHN;</v>
      </c>
      <c r="AP2226" s="89"/>
    </row>
    <row r="2227">
      <c r="A2227" s="151" t="str">
        <f>IFERROR(__xludf.DUMMYFUNCTION("""COMPUTED_VALUE"""),"LHAp")</f>
        <v>LHAp</v>
      </c>
      <c r="B2227" s="42" t="str">
        <f>IFERROR(__xludf.DUMMYFUNCTION("""COMPUTED_VALUE"""),"DHBA")</f>
        <v>DHBA</v>
      </c>
      <c r="C2227" s="42" t="str">
        <f>IFERROR(__xludf.DUMMYFUNCTION("""COMPUTED_VALUE"""),"lateral hypothalamic area, posterior part")</f>
        <v>lateral hypothalamic area, posterior part</v>
      </c>
      <c r="D2227" s="42">
        <f>IFERROR(__xludf.DUMMYFUNCTION("""COMPUTED_VALUE"""),2110.0)</f>
        <v>2110</v>
      </c>
      <c r="E2227" s="39" t="str">
        <f>IFERROR(__xludf.DUMMYFUNCTION("""COMPUTED_VALUE"""),"lateral hypothalamic area, posterior part")</f>
        <v>lateral hypothalamic area, posterior part</v>
      </c>
      <c r="F2227" s="9" t="str">
        <f>IFERROR(__xludf.DUMMYFUNCTION("""COMPUTED_VALUE"""),"Br")</f>
        <v>Br</v>
      </c>
      <c r="G2227" s="9" t="str">
        <f>IFERROR(__xludf.DUMMYFUNCTION("""COMPUTED_VALUE"""),"F")</f>
        <v>F</v>
      </c>
      <c r="H2227" s="9" t="str">
        <f>IFERROR(__xludf.DUMMYFUNCTION("""COMPUTED_VALUE"""),"FGM")</f>
        <v>FGM</v>
      </c>
      <c r="I2227" s="9" t="str">
        <f>IFERROR(__xludf.DUMMYFUNCTION("""COMPUTED_VALUE"""),"Die")</f>
        <v>Die</v>
      </c>
      <c r="J2227" s="9" t="str">
        <f>IFERROR(__xludf.DUMMYFUNCTION("""COMPUTED_VALUE"""),"HTH")</f>
        <v>HTH</v>
      </c>
      <c r="K2227" s="9" t="str">
        <f>IFERROR(__xludf.DUMMYFUNCTION("""COMPUTED_VALUE"""),"HTHma")</f>
        <v>HTHma</v>
      </c>
      <c r="L2227" s="9" t="str">
        <f>IFERROR(__xludf.DUMMYFUNCTION("""COMPUTED_VALUE"""),"LHAp")</f>
        <v>LHAp</v>
      </c>
      <c r="M2227" s="9"/>
      <c r="N2227" s="9"/>
      <c r="O2227" s="9"/>
      <c r="P2227" s="9"/>
      <c r="Q2227" s="9"/>
      <c r="R2227" s="9"/>
      <c r="S2227" s="42" t="str">
        <f>IFERROR(__xludf.DUMMYFUNCTION("""COMPUTED_VALUE"""),"PeF")</f>
        <v>PeF</v>
      </c>
      <c r="T2227" s="42"/>
      <c r="U2227" s="42" t="b">
        <f>IFERROR(__xludf.DUMMYFUNCTION("""COMPUTED_VALUE"""),FALSE)</f>
        <v>0</v>
      </c>
      <c r="V2227" s="42"/>
      <c r="W2227" s="42"/>
      <c r="X2227" s="42"/>
      <c r="Y2227" s="42"/>
      <c r="Z2227" s="42"/>
      <c r="AA2227" s="42"/>
      <c r="AB2227" s="42" t="str">
        <f>IFERROR(__xludf.DUMMYFUNCTION("""COMPUTED_VALUE"""),"allen institute")</f>
        <v>allen institute</v>
      </c>
      <c r="AC2227" s="42" t="str">
        <f>IFERROR(__xludf.DUMMYFUNCTION("""COMPUTED_VALUE"""),"DHBA")</f>
        <v>DHBA</v>
      </c>
      <c r="AD2227" s="42"/>
      <c r="AE2227" s="42"/>
      <c r="AF2227" s="9"/>
      <c r="AG2227" s="9"/>
      <c r="AH2227" s="42"/>
      <c r="AI2227" s="42"/>
      <c r="AJ2227" s="42"/>
      <c r="AK2227" s="42"/>
      <c r="AL2227" s="42"/>
      <c r="AM2227" s="42"/>
      <c r="AN2227" s="42"/>
      <c r="AO2227" s="63" t="str">
        <f>IFERROR(__xludf.DUMMYFUNCTION("IF(ISBLANK(A2227),,IF(ISBLANK(S2227), A2227&amp;"";"", TEXTJOIN(CHAR(10), TRUE, A2227&amp;"";"", ARRAYFORMULA(VLOOKUP(SPLIT(S2227, "";"" &amp; CHAR(10)), $A:$AO, 41, FALSE)))))"),"LHAp;
PeF;")</f>
        <v>LHAp;
PeF;</v>
      </c>
      <c r="AP2227" s="89"/>
    </row>
    <row r="2228">
      <c r="A2228" s="151" t="str">
        <f>IFERROR(__xludf.DUMMYFUNCTION("""COMPUTED_VALUE"""),"PeF")</f>
        <v>PeF</v>
      </c>
      <c r="B2228" s="42" t="str">
        <f>IFERROR(__xludf.DUMMYFUNCTION("""COMPUTED_VALUE"""),"DHBA")</f>
        <v>DHBA</v>
      </c>
      <c r="C2228" s="42" t="str">
        <f>IFERROR(__xludf.DUMMYFUNCTION("""COMPUTED_VALUE"""),"perifornical nucleus, Perifornical area, pFo")</f>
        <v>perifornical nucleus, Perifornical area, pFo</v>
      </c>
      <c r="D2228" s="42">
        <f>IFERROR(__xludf.DUMMYFUNCTION("""COMPUTED_VALUE"""),2111.0)</f>
        <v>2111</v>
      </c>
      <c r="E2228" s="39" t="str">
        <f>IFERROR(__xludf.DUMMYFUNCTION("""COMPUTED_VALUE"""),"perifornical nucleus")</f>
        <v>perifornical nucleus</v>
      </c>
      <c r="F2228" s="9" t="str">
        <f>IFERROR(__xludf.DUMMYFUNCTION("""COMPUTED_VALUE"""),"Br")</f>
        <v>Br</v>
      </c>
      <c r="G2228" s="9" t="str">
        <f>IFERROR(__xludf.DUMMYFUNCTION("""COMPUTED_VALUE"""),"F")</f>
        <v>F</v>
      </c>
      <c r="H2228" s="9" t="str">
        <f>IFERROR(__xludf.DUMMYFUNCTION("""COMPUTED_VALUE"""),"FGM")</f>
        <v>FGM</v>
      </c>
      <c r="I2228" s="9" t="str">
        <f>IFERROR(__xludf.DUMMYFUNCTION("""COMPUTED_VALUE"""),"Die")</f>
        <v>Die</v>
      </c>
      <c r="J2228" s="9" t="str">
        <f>IFERROR(__xludf.DUMMYFUNCTION("""COMPUTED_VALUE"""),"HTH")</f>
        <v>HTH</v>
      </c>
      <c r="K2228" s="9" t="str">
        <f>IFERROR(__xludf.DUMMYFUNCTION("""COMPUTED_VALUE"""),"HTHma")</f>
        <v>HTHma</v>
      </c>
      <c r="L2228" s="9" t="str">
        <f>IFERROR(__xludf.DUMMYFUNCTION("""COMPUTED_VALUE"""),"LHAp")</f>
        <v>LHAp</v>
      </c>
      <c r="M2228" s="9" t="str">
        <f>IFERROR(__xludf.DUMMYFUNCTION("""COMPUTED_VALUE"""),"PeF")</f>
        <v>PeF</v>
      </c>
      <c r="N2228" s="9"/>
      <c r="O2228" s="9"/>
      <c r="P2228" s="9"/>
      <c r="Q2228" s="9"/>
      <c r="R2228" s="9"/>
      <c r="S2228" s="42"/>
      <c r="T2228" s="42"/>
      <c r="U2228" s="42"/>
      <c r="V2228" s="42"/>
      <c r="W2228" s="42"/>
      <c r="X2228" s="42"/>
      <c r="Y2228" s="42"/>
      <c r="Z2228" s="42"/>
      <c r="AA2228" s="42"/>
      <c r="AB2228" s="42" t="str">
        <f>IFERROR(__xludf.DUMMYFUNCTION("""COMPUTED_VALUE"""),"allen institute")</f>
        <v>allen institute</v>
      </c>
      <c r="AC2228" s="42" t="str">
        <f>IFERROR(__xludf.DUMMYFUNCTION("""COMPUTED_VALUE"""),"DHBA")</f>
        <v>DHBA</v>
      </c>
      <c r="AD2228" s="42"/>
      <c r="AE2228" s="42"/>
      <c r="AF2228" s="9"/>
      <c r="AG2228" s="9"/>
      <c r="AH2228" s="42"/>
      <c r="AI2228" s="42"/>
      <c r="AJ2228" s="42"/>
      <c r="AK2228" s="42"/>
      <c r="AL2228" s="42"/>
      <c r="AM2228" s="42"/>
      <c r="AN2228" s="42"/>
      <c r="AO2228" s="63" t="str">
        <f>IFERROR(__xludf.DUMMYFUNCTION("IF(ISBLANK(A2228),,IF(ISBLANK(S2228), A2228&amp;"";"", TEXTJOIN(CHAR(10), TRUE, A2228&amp;"";"", ARRAYFORMULA(VLOOKUP(SPLIT(S2228, "";"" &amp; CHAR(10)), $A:$AO, 41, FALSE)))))"),"PeF;")</f>
        <v>PeF;</v>
      </c>
      <c r="AP2228" s="89"/>
    </row>
    <row r="2229">
      <c r="A2229" s="151" t="str">
        <f>IFERROR(__xludf.DUMMYFUNCTION("""COMPUTED_VALUE"""),"PMN")</f>
        <v>PMN</v>
      </c>
      <c r="B2229" s="42" t="str">
        <f>IFERROR(__xludf.DUMMYFUNCTION("""COMPUTED_VALUE"""),"DHBA")</f>
        <v>DHBA</v>
      </c>
      <c r="C2229" s="42" t="str">
        <f>IFERROR(__xludf.DUMMYFUNCTION("""COMPUTED_VALUE"""),"Premamillary nucleus, preM")</f>
        <v>Premamillary nucleus, preM</v>
      </c>
      <c r="D2229" s="42">
        <f>IFERROR(__xludf.DUMMYFUNCTION("""COMPUTED_VALUE"""),2112.0)</f>
        <v>2112</v>
      </c>
      <c r="E2229" s="39" t="str">
        <f>IFERROR(__xludf.DUMMYFUNCTION("""COMPUTED_VALUE"""),"premammillary nulceus")</f>
        <v>premammillary nulceus</v>
      </c>
      <c r="F2229" s="9" t="str">
        <f>IFERROR(__xludf.DUMMYFUNCTION("""COMPUTED_VALUE"""),"Br")</f>
        <v>Br</v>
      </c>
      <c r="G2229" s="9" t="str">
        <f>IFERROR(__xludf.DUMMYFUNCTION("""COMPUTED_VALUE"""),"F")</f>
        <v>F</v>
      </c>
      <c r="H2229" s="9" t="str">
        <f>IFERROR(__xludf.DUMMYFUNCTION("""COMPUTED_VALUE"""),"FGM")</f>
        <v>FGM</v>
      </c>
      <c r="I2229" s="9" t="str">
        <f>IFERROR(__xludf.DUMMYFUNCTION("""COMPUTED_VALUE"""),"Die")</f>
        <v>Die</v>
      </c>
      <c r="J2229" s="9" t="str">
        <f>IFERROR(__xludf.DUMMYFUNCTION("""COMPUTED_VALUE"""),"HTH")</f>
        <v>HTH</v>
      </c>
      <c r="K2229" s="9" t="str">
        <f>IFERROR(__xludf.DUMMYFUNCTION("""COMPUTED_VALUE"""),"HTHma")</f>
        <v>HTHma</v>
      </c>
      <c r="L2229" s="9" t="str">
        <f>IFERROR(__xludf.DUMMYFUNCTION("""COMPUTED_VALUE"""),"PMN")</f>
        <v>PMN</v>
      </c>
      <c r="M2229" s="9"/>
      <c r="N2229" s="9"/>
      <c r="O2229" s="9"/>
      <c r="P2229" s="9"/>
      <c r="Q2229" s="9"/>
      <c r="R2229" s="9"/>
      <c r="S2229" s="42"/>
      <c r="T2229" s="42"/>
      <c r="U2229" s="42"/>
      <c r="V2229" s="42"/>
      <c r="W2229" s="42"/>
      <c r="X2229" s="42"/>
      <c r="Y2229" s="42"/>
      <c r="Z2229" s="42"/>
      <c r="AA2229" s="42"/>
      <c r="AB2229" s="42" t="str">
        <f>IFERROR(__xludf.DUMMYFUNCTION("""COMPUTED_VALUE"""),"allen institute")</f>
        <v>allen institute</v>
      </c>
      <c r="AC2229" s="42" t="str">
        <f>IFERROR(__xludf.DUMMYFUNCTION("""COMPUTED_VALUE"""),"DHBA")</f>
        <v>DHBA</v>
      </c>
      <c r="AD2229" s="42"/>
      <c r="AE2229" s="42"/>
      <c r="AF2229" s="9"/>
      <c r="AG2229" s="9"/>
      <c r="AH2229" s="42"/>
      <c r="AI2229" s="42"/>
      <c r="AJ2229" s="42"/>
      <c r="AK2229" s="42"/>
      <c r="AL2229" s="42"/>
      <c r="AM2229" s="42"/>
      <c r="AN2229" s="42"/>
      <c r="AO2229" s="63" t="str">
        <f>IFERROR(__xludf.DUMMYFUNCTION("IF(ISBLANK(A2229),,IF(ISBLANK(S2229), A2229&amp;"";"", TEXTJOIN(CHAR(10), TRUE, A2229&amp;"";"", ARRAYFORMULA(VLOOKUP(SPLIT(S2229, "";"" &amp; CHAR(10)), $A:$AO, 41, FALSE)))))"),"PMN;")</f>
        <v>PMN;</v>
      </c>
      <c r="AP2229" s="89"/>
    </row>
    <row r="2230">
      <c r="A2230" s="151" t="str">
        <f>IFERROR(__xludf.DUMMYFUNCTION("""COMPUTED_VALUE"""),"RMA")</f>
        <v>RMA</v>
      </c>
      <c r="B2230" s="42" t="str">
        <f>IFERROR(__xludf.DUMMYFUNCTION("""COMPUTED_VALUE"""),"DHBA")</f>
        <v>DHBA</v>
      </c>
      <c r="C2230" s="42" t="str">
        <f>IFERROR(__xludf.DUMMYFUNCTION("""COMPUTED_VALUE"""),"retromammillary area")</f>
        <v>retromammillary area</v>
      </c>
      <c r="D2230" s="42">
        <f>IFERROR(__xludf.DUMMYFUNCTION("""COMPUTED_VALUE"""),2113.0)</f>
        <v>2113</v>
      </c>
      <c r="E2230" s="39" t="str">
        <f>IFERROR(__xludf.DUMMYFUNCTION("""COMPUTED_VALUE"""),"retromammillary area")</f>
        <v>retromammillary area</v>
      </c>
      <c r="F2230" s="9" t="str">
        <f>IFERROR(__xludf.DUMMYFUNCTION("""COMPUTED_VALUE"""),"Br")</f>
        <v>Br</v>
      </c>
      <c r="G2230" s="9" t="str">
        <f>IFERROR(__xludf.DUMMYFUNCTION("""COMPUTED_VALUE"""),"F")</f>
        <v>F</v>
      </c>
      <c r="H2230" s="9" t="str">
        <f>IFERROR(__xludf.DUMMYFUNCTION("""COMPUTED_VALUE"""),"FGM")</f>
        <v>FGM</v>
      </c>
      <c r="I2230" s="9" t="str">
        <f>IFERROR(__xludf.DUMMYFUNCTION("""COMPUTED_VALUE"""),"Die")</f>
        <v>Die</v>
      </c>
      <c r="J2230" s="9" t="str">
        <f>IFERROR(__xludf.DUMMYFUNCTION("""COMPUTED_VALUE"""),"HTH")</f>
        <v>HTH</v>
      </c>
      <c r="K2230" s="9" t="str">
        <f>IFERROR(__xludf.DUMMYFUNCTION("""COMPUTED_VALUE"""),"HTHma")</f>
        <v>HTHma</v>
      </c>
      <c r="L2230" s="9" t="str">
        <f>IFERROR(__xludf.DUMMYFUNCTION("""COMPUTED_VALUE"""),"RMA")</f>
        <v>RMA</v>
      </c>
      <c r="M2230" s="9"/>
      <c r="N2230" s="9"/>
      <c r="O2230" s="9"/>
      <c r="P2230" s="9"/>
      <c r="Q2230" s="9"/>
      <c r="R2230" s="9"/>
      <c r="S2230" s="42"/>
      <c r="T2230" s="42"/>
      <c r="U2230" s="42"/>
      <c r="V2230" s="42"/>
      <c r="W2230" s="42"/>
      <c r="X2230" s="42"/>
      <c r="Y2230" s="42"/>
      <c r="Z2230" s="42"/>
      <c r="AA2230" s="42"/>
      <c r="AB2230" s="42" t="str">
        <f>IFERROR(__xludf.DUMMYFUNCTION("""COMPUTED_VALUE"""),"allen institute")</f>
        <v>allen institute</v>
      </c>
      <c r="AC2230" s="42" t="str">
        <f>IFERROR(__xludf.DUMMYFUNCTION("""COMPUTED_VALUE"""),"DHBA")</f>
        <v>DHBA</v>
      </c>
      <c r="AD2230" s="42"/>
      <c r="AE2230" s="42"/>
      <c r="AF2230" s="9"/>
      <c r="AG2230" s="9"/>
      <c r="AH2230" s="42"/>
      <c r="AI2230" s="42"/>
      <c r="AJ2230" s="42"/>
      <c r="AK2230" s="42"/>
      <c r="AL2230" s="42"/>
      <c r="AM2230" s="42"/>
      <c r="AN2230" s="42"/>
      <c r="AO2230" s="63" t="str">
        <f>IFERROR(__xludf.DUMMYFUNCTION("IF(ISBLANK(A2230),,IF(ISBLANK(S2230), A2230&amp;"";"", TEXTJOIN(CHAR(10), TRUE, A2230&amp;"";"", ARRAYFORMULA(VLOOKUP(SPLIT(S2230, "";"" &amp; CHAR(10)), $A:$AO, 41, FALSE)))))"),"RMA;")</f>
        <v>RMA;</v>
      </c>
      <c r="AP2230" s="89"/>
    </row>
    <row r="2231">
      <c r="A2231" s="151" t="str">
        <f>IFERROR(__xludf.DUMMYFUNCTION("""COMPUTED_VALUE"""),"Pit")</f>
        <v>Pit</v>
      </c>
      <c r="B2231" s="42" t="str">
        <f>IFERROR(__xludf.DUMMYFUNCTION("""COMPUTED_VALUE"""),"DHBA")</f>
        <v>DHBA</v>
      </c>
      <c r="C2231" s="42" t="str">
        <f>IFERROR(__xludf.DUMMYFUNCTION("""COMPUTED_VALUE"""),"pituitary body")</f>
        <v>pituitary body</v>
      </c>
      <c r="D2231" s="42">
        <f>IFERROR(__xludf.DUMMYFUNCTION("""COMPUTED_VALUE"""),2114.0)</f>
        <v>2114</v>
      </c>
      <c r="E2231" s="39" t="str">
        <f>IFERROR(__xludf.DUMMYFUNCTION("""COMPUTED_VALUE"""),"pituitary body")</f>
        <v>pituitary body</v>
      </c>
      <c r="F2231" s="9" t="str">
        <f>IFERROR(__xludf.DUMMYFUNCTION("""COMPUTED_VALUE"""),"Br")</f>
        <v>Br</v>
      </c>
      <c r="G2231" s="9" t="str">
        <f>IFERROR(__xludf.DUMMYFUNCTION("""COMPUTED_VALUE"""),"F")</f>
        <v>F</v>
      </c>
      <c r="H2231" s="9" t="str">
        <f>IFERROR(__xludf.DUMMYFUNCTION("""COMPUTED_VALUE"""),"FGM")</f>
        <v>FGM</v>
      </c>
      <c r="I2231" s="9" t="str">
        <f>IFERROR(__xludf.DUMMYFUNCTION("""COMPUTED_VALUE"""),"Die")</f>
        <v>Die</v>
      </c>
      <c r="J2231" s="9" t="str">
        <f>IFERROR(__xludf.DUMMYFUNCTION("""COMPUTED_VALUE"""),"HTH")</f>
        <v>HTH</v>
      </c>
      <c r="K2231" s="9" t="str">
        <f>IFERROR(__xludf.DUMMYFUNCTION("""COMPUTED_VALUE"""),"Pit")</f>
        <v>Pit</v>
      </c>
      <c r="L2231" s="9"/>
      <c r="M2231" s="9"/>
      <c r="N2231" s="9"/>
      <c r="O2231" s="9"/>
      <c r="P2231" s="9"/>
      <c r="Q2231" s="9"/>
      <c r="R2231" s="9"/>
      <c r="S2231" s="42"/>
      <c r="T2231" s="42"/>
      <c r="U2231" s="42"/>
      <c r="V2231" s="42"/>
      <c r="W2231" s="42"/>
      <c r="X2231" s="42"/>
      <c r="Y2231" s="42"/>
      <c r="Z2231" s="42"/>
      <c r="AA2231" s="42"/>
      <c r="AB2231" s="42" t="str">
        <f>IFERROR(__xludf.DUMMYFUNCTION("""COMPUTED_VALUE"""),"allen institute")</f>
        <v>allen institute</v>
      </c>
      <c r="AC2231" s="42" t="str">
        <f>IFERROR(__xludf.DUMMYFUNCTION("""COMPUTED_VALUE"""),"DHBA")</f>
        <v>DHBA</v>
      </c>
      <c r="AD2231" s="42"/>
      <c r="AE2231" s="42"/>
      <c r="AF2231" s="9"/>
      <c r="AG2231" s="9"/>
      <c r="AH2231" s="42"/>
      <c r="AI2231" s="42"/>
      <c r="AJ2231" s="42"/>
      <c r="AK2231" s="42"/>
      <c r="AL2231" s="42"/>
      <c r="AM2231" s="42"/>
      <c r="AN2231" s="42"/>
      <c r="AO2231" s="63" t="str">
        <f>IFERROR(__xludf.DUMMYFUNCTION("IF(ISBLANK(A2231),,IF(ISBLANK(S2231), A2231&amp;"";"", TEXTJOIN(CHAR(10), TRUE, A2231&amp;"";"", ARRAYFORMULA(VLOOKUP(SPLIT(S2231, "";"" &amp; CHAR(10)), $A:$AO, 41, FALSE)))))"),"Pit;")</f>
        <v>Pit;</v>
      </c>
      <c r="AP2231" s="89"/>
    </row>
    <row r="2232">
      <c r="A2232" s="151" t="str">
        <f>IFERROR(__xludf.DUMMYFUNCTION("""COMPUTED_VALUE"""),"Ret")</f>
        <v>Ret</v>
      </c>
      <c r="B2232" s="42" t="str">
        <f>IFERROR(__xludf.DUMMYFUNCTION("""COMPUTED_VALUE"""),"DHBA")</f>
        <v>DHBA</v>
      </c>
      <c r="C2232" s="42" t="str">
        <f>IFERROR(__xludf.DUMMYFUNCTION("""COMPUTED_VALUE"""),"retina")</f>
        <v>retina</v>
      </c>
      <c r="D2232" s="42">
        <f>IFERROR(__xludf.DUMMYFUNCTION("""COMPUTED_VALUE"""),2115.0)</f>
        <v>2115</v>
      </c>
      <c r="E2232" s="39" t="str">
        <f>IFERROR(__xludf.DUMMYFUNCTION("""COMPUTED_VALUE"""),"retina")</f>
        <v>retina</v>
      </c>
      <c r="F2232" s="9" t="str">
        <f>IFERROR(__xludf.DUMMYFUNCTION("""COMPUTED_VALUE"""),"Br")</f>
        <v>Br</v>
      </c>
      <c r="G2232" s="9" t="str">
        <f>IFERROR(__xludf.DUMMYFUNCTION("""COMPUTED_VALUE"""),"F")</f>
        <v>F</v>
      </c>
      <c r="H2232" s="9" t="str">
        <f>IFERROR(__xludf.DUMMYFUNCTION("""COMPUTED_VALUE"""),"FGM")</f>
        <v>FGM</v>
      </c>
      <c r="I2232" s="9" t="str">
        <f>IFERROR(__xludf.DUMMYFUNCTION("""COMPUTED_VALUE"""),"Die")</f>
        <v>Die</v>
      </c>
      <c r="J2232" s="9" t="str">
        <f>IFERROR(__xludf.DUMMYFUNCTION("""COMPUTED_VALUE"""),"Ret")</f>
        <v>Ret</v>
      </c>
      <c r="K2232" s="9"/>
      <c r="L2232" s="9"/>
      <c r="M2232" s="9"/>
      <c r="N2232" s="9"/>
      <c r="O2232" s="9"/>
      <c r="P2232" s="9"/>
      <c r="Q2232" s="9"/>
      <c r="R2232" s="9"/>
      <c r="S2232" s="42"/>
      <c r="T2232" s="42"/>
      <c r="U2232" s="42" t="b">
        <f>IFERROR(__xludf.DUMMYFUNCTION("""COMPUTED_VALUE"""),FALSE)</f>
        <v>0</v>
      </c>
      <c r="V2232" s="42"/>
      <c r="W2232" s="42" t="str">
        <f>IFERROR(__xludf.DUMMYFUNCTION("""COMPUTED_VALUE"""),"Excitatory")</f>
        <v>Excitatory</v>
      </c>
      <c r="X2232" s="42"/>
      <c r="Y2232" s="42"/>
      <c r="Z2232" s="42"/>
      <c r="AA2232" s="42"/>
      <c r="AB2232" s="42" t="str">
        <f>IFERROR(__xludf.DUMMYFUNCTION("""COMPUTED_VALUE"""),"allen institute")</f>
        <v>allen institute</v>
      </c>
      <c r="AC2232" s="42" t="str">
        <f>IFERROR(__xludf.DUMMYFUNCTION("""COMPUTED_VALUE"""),"DHBA")</f>
        <v>DHBA</v>
      </c>
      <c r="AD2232" s="42"/>
      <c r="AE2232" s="42"/>
      <c r="AF2232" s="9"/>
      <c r="AG2232" s="9"/>
      <c r="AH2232" s="42"/>
      <c r="AI2232" s="42"/>
      <c r="AJ2232" s="42"/>
      <c r="AK2232" s="42"/>
      <c r="AL2232" s="42"/>
      <c r="AM2232" s="42"/>
      <c r="AN2232" s="42"/>
      <c r="AO2232" s="63" t="str">
        <f>IFERROR(__xludf.DUMMYFUNCTION("IF(ISBLANK(A2232),,IF(ISBLANK(S2232), A2232&amp;"";"", TEXTJOIN(CHAR(10), TRUE, A2232&amp;"";"", ARRAYFORMULA(VLOOKUP(SPLIT(S2232, "";"" &amp; CHAR(10)), $A:$AO, 41, FALSE)))))"),"Ret;")</f>
        <v>Ret;</v>
      </c>
      <c r="AP2232" s="89"/>
    </row>
    <row r="2233">
      <c r="A2233" s="151" t="str">
        <f>IFERROR(__xludf.DUMMYFUNCTION("""COMPUTED_VALUE"""),"FWM")</f>
        <v>FWM</v>
      </c>
      <c r="B2233" s="42" t="str">
        <f>IFERROR(__xludf.DUMMYFUNCTION("""COMPUTED_VALUE"""),"DHBA")</f>
        <v>DHBA</v>
      </c>
      <c r="C2233" s="42" t="str">
        <f>IFERROR(__xludf.DUMMYFUNCTION("""COMPUTED_VALUE"""),"white matter of forebrain")</f>
        <v>white matter of forebrain</v>
      </c>
      <c r="D2233" s="42">
        <f>IFERROR(__xludf.DUMMYFUNCTION("""COMPUTED_VALUE"""),2116.0)</f>
        <v>2116</v>
      </c>
      <c r="E2233" s="39" t="str">
        <f>IFERROR(__xludf.DUMMYFUNCTION("""COMPUTED_VALUE"""),"white matter of forebrain")</f>
        <v>white matter of forebrain</v>
      </c>
      <c r="F2233" s="9" t="str">
        <f>IFERROR(__xludf.DUMMYFUNCTION("""COMPUTED_VALUE"""),"Br")</f>
        <v>Br</v>
      </c>
      <c r="G2233" s="9" t="str">
        <f>IFERROR(__xludf.DUMMYFUNCTION("""COMPUTED_VALUE"""),"F")</f>
        <v>F</v>
      </c>
      <c r="H2233" s="9" t="str">
        <f>IFERROR(__xludf.DUMMYFUNCTION("""COMPUTED_VALUE"""),"FWM")</f>
        <v>FWM</v>
      </c>
      <c r="I2233" s="9"/>
      <c r="J2233" s="9"/>
      <c r="K2233" s="9"/>
      <c r="L2233" s="9"/>
      <c r="M2233" s="9"/>
      <c r="N2233" s="9"/>
      <c r="O2233" s="9"/>
      <c r="P2233" s="9"/>
      <c r="Q2233" s="9"/>
      <c r="R2233" s="9"/>
      <c r="S2233" s="42" t="str">
        <f>IFERROR(__xludf.DUMMYFUNCTION("""COMPUTED_VALUE"""),"FCFT;
FIFT")</f>
        <v>FCFT;
FIFT</v>
      </c>
      <c r="T2233" s="42"/>
      <c r="U2233" s="42" t="b">
        <f>IFERROR(__xludf.DUMMYFUNCTION("""COMPUTED_VALUE"""),FALSE)</f>
        <v>0</v>
      </c>
      <c r="V2233" s="42"/>
      <c r="W2233" s="42"/>
      <c r="X2233" s="42"/>
      <c r="Y2233" s="42"/>
      <c r="Z2233" s="42"/>
      <c r="AA2233" s="42"/>
      <c r="AB2233" s="42" t="str">
        <f>IFERROR(__xludf.DUMMYFUNCTION("""COMPUTED_VALUE"""),"allen institute")</f>
        <v>allen institute</v>
      </c>
      <c r="AC2233" s="42" t="str">
        <f>IFERROR(__xludf.DUMMYFUNCTION("""COMPUTED_VALUE"""),"DHBA")</f>
        <v>DHBA</v>
      </c>
      <c r="AD2233" s="42"/>
      <c r="AE2233" s="42"/>
      <c r="AF2233" s="9"/>
      <c r="AG2233" s="9"/>
      <c r="AH2233" s="42"/>
      <c r="AI2233" s="42"/>
      <c r="AJ2233" s="42"/>
      <c r="AK2233" s="42"/>
      <c r="AL2233" s="42"/>
      <c r="AM2233" s="42"/>
      <c r="AN2233" s="42"/>
      <c r="AO2233" s="63" t="str">
        <f>IFERROR(__xludf.DUMMYFUNCTION("IF(ISBLANK(A2233),,IF(ISBLANK(S2233), A2233&amp;"";"", TEXTJOIN(CHAR(10), TRUE, A2233&amp;"";"", ARRAYFORMULA(VLOOKUP(SPLIT(S2233, "";"" &amp; CHAR(10)), $A:$AO, 41, FALSE)))))"),"#N/A")</f>
        <v>#N/A</v>
      </c>
      <c r="AP2233" s="89"/>
    </row>
    <row r="2234">
      <c r="A2234" s="151" t="str">
        <f>IFERROR(__xludf.DUMMYFUNCTION("""COMPUTED_VALUE"""),"FCFT")</f>
        <v>FCFT</v>
      </c>
      <c r="B2234" s="42" t="str">
        <f>IFERROR(__xludf.DUMMYFUNCTION("""COMPUTED_VALUE"""),"DHBA")</f>
        <v>DHBA</v>
      </c>
      <c r="C2234" s="42" t="str">
        <f>IFERROR(__xludf.DUMMYFUNCTION("""COMPUTED_VALUE"""),"forebrain commissural fiber tracts")</f>
        <v>forebrain commissural fiber tracts</v>
      </c>
      <c r="D2234" s="42">
        <f>IFERROR(__xludf.DUMMYFUNCTION("""COMPUTED_VALUE"""),2117.0)</f>
        <v>2117</v>
      </c>
      <c r="E2234" s="39" t="str">
        <f>IFERROR(__xludf.DUMMYFUNCTION("""COMPUTED_VALUE"""),"forebrain commissural fiber tracts")</f>
        <v>forebrain commissural fiber tracts</v>
      </c>
      <c r="F2234" s="9" t="str">
        <f>IFERROR(__xludf.DUMMYFUNCTION("""COMPUTED_VALUE"""),"Br")</f>
        <v>Br</v>
      </c>
      <c r="G2234" s="9" t="str">
        <f>IFERROR(__xludf.DUMMYFUNCTION("""COMPUTED_VALUE"""),"F")</f>
        <v>F</v>
      </c>
      <c r="H2234" s="9" t="str">
        <f>IFERROR(__xludf.DUMMYFUNCTION("""COMPUTED_VALUE"""),"FWM")</f>
        <v>FWM</v>
      </c>
      <c r="I2234" s="9" t="str">
        <f>IFERROR(__xludf.DUMMYFUNCTION("""COMPUTED_VALUE"""),"FCFT")</f>
        <v>FCFT</v>
      </c>
      <c r="J2234" s="9"/>
      <c r="K2234" s="9"/>
      <c r="L2234" s="9"/>
      <c r="M2234" s="9"/>
      <c r="N2234" s="9"/>
      <c r="O2234" s="9"/>
      <c r="P2234" s="9"/>
      <c r="Q2234" s="9"/>
      <c r="R2234" s="9"/>
      <c r="S2234" s="42" t="str">
        <f>IFERROR(__xludf.DUMMYFUNCTION("""COMPUTED_VALUE"""),"ac;
cc;
hac;
hic;
smc")</f>
        <v>ac;
cc;
hac;
hic;
smc</v>
      </c>
      <c r="T2234" s="42"/>
      <c r="U2234" s="42" t="b">
        <f>IFERROR(__xludf.DUMMYFUNCTION("""COMPUTED_VALUE"""),FALSE)</f>
        <v>0</v>
      </c>
      <c r="V2234" s="42"/>
      <c r="W2234" s="42"/>
      <c r="X2234" s="42"/>
      <c r="Y2234" s="42"/>
      <c r="Z2234" s="42"/>
      <c r="AA2234" s="42"/>
      <c r="AB2234" s="42" t="str">
        <f>IFERROR(__xludf.DUMMYFUNCTION("""COMPUTED_VALUE"""),"allen institute")</f>
        <v>allen institute</v>
      </c>
      <c r="AC2234" s="42" t="str">
        <f>IFERROR(__xludf.DUMMYFUNCTION("""COMPUTED_VALUE"""),"DHBA")</f>
        <v>DHBA</v>
      </c>
      <c r="AD2234" s="42"/>
      <c r="AE2234" s="42"/>
      <c r="AF2234" s="9"/>
      <c r="AG2234" s="9"/>
      <c r="AH2234" s="42"/>
      <c r="AI2234" s="42"/>
      <c r="AJ2234" s="42"/>
      <c r="AK2234" s="42"/>
      <c r="AL2234" s="42"/>
      <c r="AM2234" s="42"/>
      <c r="AN2234" s="42"/>
      <c r="AO2234" s="63" t="str">
        <f>IFERROR(__xludf.DUMMYFUNCTION("IF(ISBLANK(A2234),,IF(ISBLANK(S2234), A2234&amp;"";"", TEXTJOIN(CHAR(10), TRUE, A2234&amp;"";"", ARRAYFORMULA(VLOOKUP(SPLIT(S2234, "";"" &amp; CHAR(10)), $A:$AO, 41, FALSE)))))"),"#N/A")</f>
        <v>#N/A</v>
      </c>
      <c r="AP2234" s="89"/>
    </row>
    <row r="2235">
      <c r="A2235" s="151" t="str">
        <f>IFERROR(__xludf.DUMMYFUNCTION("""COMPUTED_VALUE"""),"ac")</f>
        <v>ac</v>
      </c>
      <c r="B2235" s="42" t="str">
        <f>IFERROR(__xludf.DUMMYFUNCTION("""COMPUTED_VALUE"""),"DHBA")</f>
        <v>DHBA</v>
      </c>
      <c r="C2235" s="42" t="str">
        <f>IFERROR(__xludf.DUMMYFUNCTION("""COMPUTED_VALUE"""),"anterior commissure")</f>
        <v>anterior commissure</v>
      </c>
      <c r="D2235" s="42">
        <f>IFERROR(__xludf.DUMMYFUNCTION("""COMPUTED_VALUE"""),2118.0)</f>
        <v>2118</v>
      </c>
      <c r="E2235" s="39" t="str">
        <f>IFERROR(__xludf.DUMMYFUNCTION("""COMPUTED_VALUE"""),"anterior commissure")</f>
        <v>anterior commissure</v>
      </c>
      <c r="F2235" s="9" t="str">
        <f>IFERROR(__xludf.DUMMYFUNCTION("""COMPUTED_VALUE"""),"Br")</f>
        <v>Br</v>
      </c>
      <c r="G2235" s="9" t="str">
        <f>IFERROR(__xludf.DUMMYFUNCTION("""COMPUTED_VALUE"""),"F")</f>
        <v>F</v>
      </c>
      <c r="H2235" s="9" t="str">
        <f>IFERROR(__xludf.DUMMYFUNCTION("""COMPUTED_VALUE"""),"FWM")</f>
        <v>FWM</v>
      </c>
      <c r="I2235" s="9" t="str">
        <f>IFERROR(__xludf.DUMMYFUNCTION("""COMPUTED_VALUE"""),"FCFT")</f>
        <v>FCFT</v>
      </c>
      <c r="J2235" s="9" t="str">
        <f>IFERROR(__xludf.DUMMYFUNCTION("""COMPUTED_VALUE"""),"ac")</f>
        <v>ac</v>
      </c>
      <c r="K2235" s="9"/>
      <c r="L2235" s="9"/>
      <c r="M2235" s="9"/>
      <c r="N2235" s="9"/>
      <c r="O2235" s="9"/>
      <c r="P2235" s="9"/>
      <c r="Q2235" s="9"/>
      <c r="R2235" s="9"/>
      <c r="S2235" s="42"/>
      <c r="T2235" s="42"/>
      <c r="U2235" s="42"/>
      <c r="V2235" s="42"/>
      <c r="W2235" s="42"/>
      <c r="X2235" s="42"/>
      <c r="Y2235" s="42"/>
      <c r="Z2235" s="42"/>
      <c r="AA2235" s="42"/>
      <c r="AB2235" s="42" t="str">
        <f>IFERROR(__xludf.DUMMYFUNCTION("""COMPUTED_VALUE"""),"allen institute")</f>
        <v>allen institute</v>
      </c>
      <c r="AC2235" s="42" t="str">
        <f>IFERROR(__xludf.DUMMYFUNCTION("""COMPUTED_VALUE"""),"DHBA")</f>
        <v>DHBA</v>
      </c>
      <c r="AD2235" s="42"/>
      <c r="AE2235" s="42"/>
      <c r="AF2235" s="9"/>
      <c r="AG2235" s="9"/>
      <c r="AH2235" s="42"/>
      <c r="AI2235" s="42"/>
      <c r="AJ2235" s="42"/>
      <c r="AK2235" s="42"/>
      <c r="AL2235" s="42"/>
      <c r="AM2235" s="42"/>
      <c r="AN2235" s="42"/>
      <c r="AO2235" s="63" t="str">
        <f>IFERROR(__xludf.DUMMYFUNCTION("IF(ISBLANK(A2235),,IF(ISBLANK(S2235), A2235&amp;"";"", TEXTJOIN(CHAR(10), TRUE, A2235&amp;"";"", ARRAYFORMULA(VLOOKUP(SPLIT(S2235, "";"" &amp; CHAR(10)), $A:$AO, 41, FALSE)))))"),"ac;")</f>
        <v>ac;</v>
      </c>
      <c r="AP2235" s="89"/>
    </row>
    <row r="2236">
      <c r="A2236" s="151" t="str">
        <f>IFERROR(__xludf.DUMMYFUNCTION("""COMPUTED_VALUE"""),"cc")</f>
        <v>cc</v>
      </c>
      <c r="B2236" s="42" t="str">
        <f>IFERROR(__xludf.DUMMYFUNCTION("""COMPUTED_VALUE"""),"DHBA")</f>
        <v>DHBA</v>
      </c>
      <c r="C2236" s="42" t="str">
        <f>IFERROR(__xludf.DUMMYFUNCTION("""COMPUTED_VALUE"""),"corpus callosum")</f>
        <v>corpus callosum</v>
      </c>
      <c r="D2236" s="42">
        <f>IFERROR(__xludf.DUMMYFUNCTION("""COMPUTED_VALUE"""),2119.0)</f>
        <v>2119</v>
      </c>
      <c r="E2236" s="39" t="str">
        <f>IFERROR(__xludf.DUMMYFUNCTION("""COMPUTED_VALUE"""),"corpus callosum")</f>
        <v>corpus callosum</v>
      </c>
      <c r="F2236" s="9" t="str">
        <f>IFERROR(__xludf.DUMMYFUNCTION("""COMPUTED_VALUE"""),"Br")</f>
        <v>Br</v>
      </c>
      <c r="G2236" s="9" t="str">
        <f>IFERROR(__xludf.DUMMYFUNCTION("""COMPUTED_VALUE"""),"F")</f>
        <v>F</v>
      </c>
      <c r="H2236" s="9" t="str">
        <f>IFERROR(__xludf.DUMMYFUNCTION("""COMPUTED_VALUE"""),"FWM")</f>
        <v>FWM</v>
      </c>
      <c r="I2236" s="9" t="str">
        <f>IFERROR(__xludf.DUMMYFUNCTION("""COMPUTED_VALUE"""),"FCFT")</f>
        <v>FCFT</v>
      </c>
      <c r="J2236" s="9" t="str">
        <f>IFERROR(__xludf.DUMMYFUNCTION("""COMPUTED_VALUE"""),"cc")</f>
        <v>cc</v>
      </c>
      <c r="K2236" s="9"/>
      <c r="L2236" s="9"/>
      <c r="M2236" s="9"/>
      <c r="N2236" s="9"/>
      <c r="O2236" s="9"/>
      <c r="P2236" s="9"/>
      <c r="Q2236" s="9"/>
      <c r="R2236" s="9"/>
      <c r="S2236" s="42" t="str">
        <f>IFERROR(__xludf.DUMMYFUNCTION("""COMPUTED_VALUE"""),"ccr;
ccg;
ccb;
ccs;
ccrd;
tap")</f>
        <v>ccr;
ccg;
ccb;
ccs;
ccrd;
tap</v>
      </c>
      <c r="T2236" s="42"/>
      <c r="U2236" s="42" t="b">
        <f>IFERROR(__xludf.DUMMYFUNCTION("""COMPUTED_VALUE"""),FALSE)</f>
        <v>0</v>
      </c>
      <c r="V2236" s="42"/>
      <c r="W2236" s="42"/>
      <c r="X2236" s="42"/>
      <c r="Y2236" s="42"/>
      <c r="Z2236" s="42"/>
      <c r="AA2236" s="42"/>
      <c r="AB2236" s="42" t="str">
        <f>IFERROR(__xludf.DUMMYFUNCTION("""COMPUTED_VALUE"""),"allen institute")</f>
        <v>allen institute</v>
      </c>
      <c r="AC2236" s="42" t="str">
        <f>IFERROR(__xludf.DUMMYFUNCTION("""COMPUTED_VALUE"""),"DHBA")</f>
        <v>DHBA</v>
      </c>
      <c r="AD2236" s="42"/>
      <c r="AE2236" s="42"/>
      <c r="AF2236" s="9"/>
      <c r="AG2236" s="9"/>
      <c r="AH2236" s="42"/>
      <c r="AI2236" s="42"/>
      <c r="AJ2236" s="42"/>
      <c r="AK2236" s="42"/>
      <c r="AL2236" s="42"/>
      <c r="AM2236" s="42"/>
      <c r="AN2236" s="42"/>
      <c r="AO2236" s="63" t="str">
        <f>IFERROR(__xludf.DUMMYFUNCTION("IF(ISBLANK(A2236),,IF(ISBLANK(S2236), A2236&amp;"";"", TEXTJOIN(CHAR(10), TRUE, A2236&amp;"";"", ARRAYFORMULA(VLOOKUP(SPLIT(S2236, "";"" &amp; CHAR(10)), $A:$AO, 41, FALSE)))))"),"#N/A")</f>
        <v>#N/A</v>
      </c>
      <c r="AP2236" s="89"/>
    </row>
    <row r="2237">
      <c r="A2237" s="151" t="str">
        <f>IFERROR(__xludf.DUMMYFUNCTION("""COMPUTED_VALUE"""),"ccr")</f>
        <v>ccr</v>
      </c>
      <c r="B2237" s="42" t="str">
        <f>IFERROR(__xludf.DUMMYFUNCTION("""COMPUTED_VALUE"""),"DHBA")</f>
        <v>DHBA</v>
      </c>
      <c r="C2237" s="42" t="str">
        <f>IFERROR(__xludf.DUMMYFUNCTION("""COMPUTED_VALUE"""),"rostrum of corpus callosum")</f>
        <v>rostrum of corpus callosum</v>
      </c>
      <c r="D2237" s="42">
        <f>IFERROR(__xludf.DUMMYFUNCTION("""COMPUTED_VALUE"""),2120.0)</f>
        <v>2120</v>
      </c>
      <c r="E2237" s="39" t="str">
        <f>IFERROR(__xludf.DUMMYFUNCTION("""COMPUTED_VALUE"""),"rostrum of corpus callosum")</f>
        <v>rostrum of corpus callosum</v>
      </c>
      <c r="F2237" s="9" t="str">
        <f>IFERROR(__xludf.DUMMYFUNCTION("""COMPUTED_VALUE"""),"Br")</f>
        <v>Br</v>
      </c>
      <c r="G2237" s="9" t="str">
        <f>IFERROR(__xludf.DUMMYFUNCTION("""COMPUTED_VALUE"""),"F")</f>
        <v>F</v>
      </c>
      <c r="H2237" s="9" t="str">
        <f>IFERROR(__xludf.DUMMYFUNCTION("""COMPUTED_VALUE"""),"FWM")</f>
        <v>FWM</v>
      </c>
      <c r="I2237" s="9" t="str">
        <f>IFERROR(__xludf.DUMMYFUNCTION("""COMPUTED_VALUE"""),"FCFT")</f>
        <v>FCFT</v>
      </c>
      <c r="J2237" s="9" t="str">
        <f>IFERROR(__xludf.DUMMYFUNCTION("""COMPUTED_VALUE"""),"cc")</f>
        <v>cc</v>
      </c>
      <c r="K2237" s="9" t="str">
        <f>IFERROR(__xludf.DUMMYFUNCTION("""COMPUTED_VALUE"""),"ccr")</f>
        <v>ccr</v>
      </c>
      <c r="L2237" s="9"/>
      <c r="M2237" s="9"/>
      <c r="N2237" s="9"/>
      <c r="O2237" s="9"/>
      <c r="P2237" s="9"/>
      <c r="Q2237" s="9"/>
      <c r="R2237" s="9"/>
      <c r="S2237" s="42"/>
      <c r="T2237" s="42"/>
      <c r="U2237" s="42"/>
      <c r="V2237" s="42"/>
      <c r="W2237" s="42"/>
      <c r="X2237" s="42"/>
      <c r="Y2237" s="42"/>
      <c r="Z2237" s="42"/>
      <c r="AA2237" s="42"/>
      <c r="AB2237" s="42" t="str">
        <f>IFERROR(__xludf.DUMMYFUNCTION("""COMPUTED_VALUE"""),"allen institute")</f>
        <v>allen institute</v>
      </c>
      <c r="AC2237" s="42" t="str">
        <f>IFERROR(__xludf.DUMMYFUNCTION("""COMPUTED_VALUE"""),"DHBA")</f>
        <v>DHBA</v>
      </c>
      <c r="AD2237" s="42"/>
      <c r="AE2237" s="42"/>
      <c r="AF2237" s="9"/>
      <c r="AG2237" s="9"/>
      <c r="AH2237" s="42"/>
      <c r="AI2237" s="42"/>
      <c r="AJ2237" s="42"/>
      <c r="AK2237" s="42"/>
      <c r="AL2237" s="42"/>
      <c r="AM2237" s="42"/>
      <c r="AN2237" s="42"/>
      <c r="AO2237" s="63" t="str">
        <f>IFERROR(__xludf.DUMMYFUNCTION("IF(ISBLANK(A2237),,IF(ISBLANK(S2237), A2237&amp;"";"", TEXTJOIN(CHAR(10), TRUE, A2237&amp;"";"", ARRAYFORMULA(VLOOKUP(SPLIT(S2237, "";"" &amp; CHAR(10)), $A:$AO, 41, FALSE)))))"),"ccr;")</f>
        <v>ccr;</v>
      </c>
      <c r="AP2237" s="89"/>
    </row>
    <row r="2238">
      <c r="A2238" s="151" t="str">
        <f>IFERROR(__xludf.DUMMYFUNCTION("""COMPUTED_VALUE"""),"ccg")</f>
        <v>ccg</v>
      </c>
      <c r="B2238" s="42" t="str">
        <f>IFERROR(__xludf.DUMMYFUNCTION("""COMPUTED_VALUE"""),"DHBA")</f>
        <v>DHBA</v>
      </c>
      <c r="C2238" s="42" t="str">
        <f>IFERROR(__xludf.DUMMYFUNCTION("""COMPUTED_VALUE"""),"genu of corpus callosum")</f>
        <v>genu of corpus callosum</v>
      </c>
      <c r="D2238" s="42">
        <f>IFERROR(__xludf.DUMMYFUNCTION("""COMPUTED_VALUE"""),2121.0)</f>
        <v>2121</v>
      </c>
      <c r="E2238" s="39" t="str">
        <f>IFERROR(__xludf.DUMMYFUNCTION("""COMPUTED_VALUE"""),"genu of corpus callosum")</f>
        <v>genu of corpus callosum</v>
      </c>
      <c r="F2238" s="9" t="str">
        <f>IFERROR(__xludf.DUMMYFUNCTION("""COMPUTED_VALUE"""),"Br")</f>
        <v>Br</v>
      </c>
      <c r="G2238" s="9" t="str">
        <f>IFERROR(__xludf.DUMMYFUNCTION("""COMPUTED_VALUE"""),"F")</f>
        <v>F</v>
      </c>
      <c r="H2238" s="9" t="str">
        <f>IFERROR(__xludf.DUMMYFUNCTION("""COMPUTED_VALUE"""),"FWM")</f>
        <v>FWM</v>
      </c>
      <c r="I2238" s="9" t="str">
        <f>IFERROR(__xludf.DUMMYFUNCTION("""COMPUTED_VALUE"""),"FCFT")</f>
        <v>FCFT</v>
      </c>
      <c r="J2238" s="9" t="str">
        <f>IFERROR(__xludf.DUMMYFUNCTION("""COMPUTED_VALUE"""),"cc")</f>
        <v>cc</v>
      </c>
      <c r="K2238" s="9" t="str">
        <f>IFERROR(__xludf.DUMMYFUNCTION("""COMPUTED_VALUE"""),"ccg")</f>
        <v>ccg</v>
      </c>
      <c r="L2238" s="9"/>
      <c r="M2238" s="9"/>
      <c r="N2238" s="9"/>
      <c r="O2238" s="9"/>
      <c r="P2238" s="9"/>
      <c r="Q2238" s="9"/>
      <c r="R2238" s="9"/>
      <c r="S2238" s="42" t="str">
        <f>IFERROR(__xludf.DUMMYFUNCTION("""COMPUTED_VALUE"""),"ccg_mi")</f>
        <v>ccg_mi</v>
      </c>
      <c r="T2238" s="42"/>
      <c r="U2238" s="42" t="b">
        <f>IFERROR(__xludf.DUMMYFUNCTION("""COMPUTED_VALUE"""),FALSE)</f>
        <v>0</v>
      </c>
      <c r="V2238" s="42"/>
      <c r="W2238" s="42"/>
      <c r="X2238" s="42"/>
      <c r="Y2238" s="42"/>
      <c r="Z2238" s="42"/>
      <c r="AA2238" s="42"/>
      <c r="AB2238" s="42" t="str">
        <f>IFERROR(__xludf.DUMMYFUNCTION("""COMPUTED_VALUE"""),"allen institute")</f>
        <v>allen institute</v>
      </c>
      <c r="AC2238" s="42" t="str">
        <f>IFERROR(__xludf.DUMMYFUNCTION("""COMPUTED_VALUE"""),"DHBA")</f>
        <v>DHBA</v>
      </c>
      <c r="AD2238" s="42"/>
      <c r="AE2238" s="42"/>
      <c r="AF2238" s="9"/>
      <c r="AG2238" s="9"/>
      <c r="AH2238" s="42"/>
      <c r="AI2238" s="42"/>
      <c r="AJ2238" s="42"/>
      <c r="AK2238" s="42"/>
      <c r="AL2238" s="42"/>
      <c r="AM2238" s="42"/>
      <c r="AN2238" s="42"/>
      <c r="AO2238" s="63" t="str">
        <f>IFERROR(__xludf.DUMMYFUNCTION("IF(ISBLANK(A2238),,IF(ISBLANK(S2238), A2238&amp;"";"", TEXTJOIN(CHAR(10), TRUE, A2238&amp;"";"", ARRAYFORMULA(VLOOKUP(SPLIT(S2238, "";"" &amp; CHAR(10)), $A:$AO, 41, FALSE)))))"),"#N/A")</f>
        <v>#N/A</v>
      </c>
      <c r="AP2238" s="89"/>
    </row>
    <row r="2239">
      <c r="A2239" s="151" t="str">
        <f>IFERROR(__xludf.DUMMYFUNCTION("""COMPUTED_VALUE"""),"ccg-mi")</f>
        <v>ccg-mi</v>
      </c>
      <c r="B2239" s="42" t="str">
        <f>IFERROR(__xludf.DUMMYFUNCTION("""COMPUTED_VALUE"""),"DHBA")</f>
        <v>DHBA</v>
      </c>
      <c r="C2239" s="42" t="str">
        <f>IFERROR(__xludf.DUMMYFUNCTION("""COMPUTED_VALUE"""),"forceps minor (frontalis)")</f>
        <v>forceps minor (frontalis)</v>
      </c>
      <c r="D2239" s="42">
        <f>IFERROR(__xludf.DUMMYFUNCTION("""COMPUTED_VALUE"""),2122.0)</f>
        <v>2122</v>
      </c>
      <c r="E2239" s="39" t="str">
        <f>IFERROR(__xludf.DUMMYFUNCTION("""COMPUTED_VALUE"""),"forceps minor (frontalis)")</f>
        <v>forceps minor (frontalis)</v>
      </c>
      <c r="F2239" s="9" t="str">
        <f>IFERROR(__xludf.DUMMYFUNCTION("""COMPUTED_VALUE"""),"Br")</f>
        <v>Br</v>
      </c>
      <c r="G2239" s="9" t="str">
        <f>IFERROR(__xludf.DUMMYFUNCTION("""COMPUTED_VALUE"""),"F")</f>
        <v>F</v>
      </c>
      <c r="H2239" s="9" t="str">
        <f>IFERROR(__xludf.DUMMYFUNCTION("""COMPUTED_VALUE"""),"FWM")</f>
        <v>FWM</v>
      </c>
      <c r="I2239" s="9" t="str">
        <f>IFERROR(__xludf.DUMMYFUNCTION("""COMPUTED_VALUE"""),"FCFT")</f>
        <v>FCFT</v>
      </c>
      <c r="J2239" s="9" t="str">
        <f>IFERROR(__xludf.DUMMYFUNCTION("""COMPUTED_VALUE"""),"cc")</f>
        <v>cc</v>
      </c>
      <c r="K2239" s="9" t="str">
        <f>IFERROR(__xludf.DUMMYFUNCTION("""COMPUTED_VALUE"""),"ccg")</f>
        <v>ccg</v>
      </c>
      <c r="L2239" s="9" t="str">
        <f>IFERROR(__xludf.DUMMYFUNCTION("""COMPUTED_VALUE"""),"ccg-mi")</f>
        <v>ccg-mi</v>
      </c>
      <c r="M2239" s="9"/>
      <c r="N2239" s="9"/>
      <c r="O2239" s="9"/>
      <c r="P2239" s="9"/>
      <c r="Q2239" s="9"/>
      <c r="R2239" s="9"/>
      <c r="S2239" s="42"/>
      <c r="T2239" s="42"/>
      <c r="U2239" s="42"/>
      <c r="V2239" s="42"/>
      <c r="W2239" s="42"/>
      <c r="X2239" s="42"/>
      <c r="Y2239" s="42"/>
      <c r="Z2239" s="42"/>
      <c r="AA2239" s="42"/>
      <c r="AB2239" s="42" t="str">
        <f>IFERROR(__xludf.DUMMYFUNCTION("""COMPUTED_VALUE"""),"allen institute")</f>
        <v>allen institute</v>
      </c>
      <c r="AC2239" s="42" t="str">
        <f>IFERROR(__xludf.DUMMYFUNCTION("""COMPUTED_VALUE"""),"DHBA")</f>
        <v>DHBA</v>
      </c>
      <c r="AD2239" s="42"/>
      <c r="AE2239" s="42"/>
      <c r="AF2239" s="9"/>
      <c r="AG2239" s="9"/>
      <c r="AH2239" s="42"/>
      <c r="AI2239" s="42"/>
      <c r="AJ2239" s="42"/>
      <c r="AK2239" s="42"/>
      <c r="AL2239" s="42"/>
      <c r="AM2239" s="42"/>
      <c r="AN2239" s="42"/>
      <c r="AO2239" s="63" t="str">
        <f>IFERROR(__xludf.DUMMYFUNCTION("IF(ISBLANK(A2239),,IF(ISBLANK(S2239), A2239&amp;"";"", TEXTJOIN(CHAR(10), TRUE, A2239&amp;"";"", ARRAYFORMULA(VLOOKUP(SPLIT(S2239, "";"" &amp; CHAR(10)), $A:$AO, 41, FALSE)))))"),"ccg-mi;")</f>
        <v>ccg-mi;</v>
      </c>
      <c r="AP2239" s="89"/>
    </row>
    <row r="2240">
      <c r="A2240" s="151" t="str">
        <f>IFERROR(__xludf.DUMMYFUNCTION("""COMPUTED_VALUE"""),"ccb")</f>
        <v>ccb</v>
      </c>
      <c r="B2240" s="42" t="str">
        <f>IFERROR(__xludf.DUMMYFUNCTION("""COMPUTED_VALUE"""),"DHBA")</f>
        <v>DHBA</v>
      </c>
      <c r="C2240" s="42" t="str">
        <f>IFERROR(__xludf.DUMMYFUNCTION("""COMPUTED_VALUE"""),"body of corpus callosum")</f>
        <v>body of corpus callosum</v>
      </c>
      <c r="D2240" s="42">
        <f>IFERROR(__xludf.DUMMYFUNCTION("""COMPUTED_VALUE"""),2123.0)</f>
        <v>2123</v>
      </c>
      <c r="E2240" s="39" t="str">
        <f>IFERROR(__xludf.DUMMYFUNCTION("""COMPUTED_VALUE"""),"body of corpus callosum")</f>
        <v>body of corpus callosum</v>
      </c>
      <c r="F2240" s="9" t="str">
        <f>IFERROR(__xludf.DUMMYFUNCTION("""COMPUTED_VALUE"""),"Br")</f>
        <v>Br</v>
      </c>
      <c r="G2240" s="9" t="str">
        <f>IFERROR(__xludf.DUMMYFUNCTION("""COMPUTED_VALUE"""),"F")</f>
        <v>F</v>
      </c>
      <c r="H2240" s="9" t="str">
        <f>IFERROR(__xludf.DUMMYFUNCTION("""COMPUTED_VALUE"""),"FWM")</f>
        <v>FWM</v>
      </c>
      <c r="I2240" s="9" t="str">
        <f>IFERROR(__xludf.DUMMYFUNCTION("""COMPUTED_VALUE"""),"FCFT")</f>
        <v>FCFT</v>
      </c>
      <c r="J2240" s="9" t="str">
        <f>IFERROR(__xludf.DUMMYFUNCTION("""COMPUTED_VALUE"""),"cc")</f>
        <v>cc</v>
      </c>
      <c r="K2240" s="9" t="str">
        <f>IFERROR(__xludf.DUMMYFUNCTION("""COMPUTED_VALUE"""),"ccb")</f>
        <v>ccb</v>
      </c>
      <c r="L2240" s="9"/>
      <c r="M2240" s="9"/>
      <c r="N2240" s="9"/>
      <c r="O2240" s="9"/>
      <c r="P2240" s="9"/>
      <c r="Q2240" s="9"/>
      <c r="R2240" s="9"/>
      <c r="S2240" s="42" t="str">
        <f>IFERROR(__xludf.DUMMYFUNCTION("""COMPUTED_VALUE"""),"ccbr;
ccbi;
ccbc")</f>
        <v>ccbr;
ccbi;
ccbc</v>
      </c>
      <c r="T2240" s="42"/>
      <c r="U2240" s="42" t="b">
        <f>IFERROR(__xludf.DUMMYFUNCTION("""COMPUTED_VALUE"""),FALSE)</f>
        <v>0</v>
      </c>
      <c r="V2240" s="42"/>
      <c r="W2240" s="42"/>
      <c r="X2240" s="42"/>
      <c r="Y2240" s="42"/>
      <c r="Z2240" s="42"/>
      <c r="AA2240" s="42"/>
      <c r="AB2240" s="42" t="str">
        <f>IFERROR(__xludf.DUMMYFUNCTION("""COMPUTED_VALUE"""),"allen institute")</f>
        <v>allen institute</v>
      </c>
      <c r="AC2240" s="42" t="str">
        <f>IFERROR(__xludf.DUMMYFUNCTION("""COMPUTED_VALUE"""),"DHBA")</f>
        <v>DHBA</v>
      </c>
      <c r="AD2240" s="42"/>
      <c r="AE2240" s="42"/>
      <c r="AF2240" s="9"/>
      <c r="AG2240" s="9"/>
      <c r="AH2240" s="42"/>
      <c r="AI2240" s="42"/>
      <c r="AJ2240" s="42"/>
      <c r="AK2240" s="42"/>
      <c r="AL2240" s="42"/>
      <c r="AM2240" s="42"/>
      <c r="AN2240" s="42"/>
      <c r="AO2240" s="63" t="str">
        <f>IFERROR(__xludf.DUMMYFUNCTION("IF(ISBLANK(A2240),,IF(ISBLANK(S2240), A2240&amp;"";"", TEXTJOIN(CHAR(10), TRUE, A2240&amp;"";"", ARRAYFORMULA(VLOOKUP(SPLIT(S2240, "";"" &amp; CHAR(10)), $A:$AO, 41, FALSE)))))"),"ccb;
ccbr;
ccbi;
ccbc;")</f>
        <v>ccb;
ccbr;
ccbi;
ccbc;</v>
      </c>
      <c r="AP2240" s="89"/>
    </row>
    <row r="2241">
      <c r="A2241" s="151" t="str">
        <f>IFERROR(__xludf.DUMMYFUNCTION("""COMPUTED_VALUE"""),"ccbr")</f>
        <v>ccbr</v>
      </c>
      <c r="B2241" s="42" t="str">
        <f>IFERROR(__xludf.DUMMYFUNCTION("""COMPUTED_VALUE"""),"DHBA")</f>
        <v>DHBA</v>
      </c>
      <c r="C2241" s="42" t="str">
        <f>IFERROR(__xludf.DUMMYFUNCTION("""COMPUTED_VALUE"""),"body of cc, rostral portion")</f>
        <v>body of cc, rostral portion</v>
      </c>
      <c r="D2241" s="42">
        <f>IFERROR(__xludf.DUMMYFUNCTION("""COMPUTED_VALUE"""),2124.0)</f>
        <v>2124</v>
      </c>
      <c r="E2241" s="39" t="str">
        <f>IFERROR(__xludf.DUMMYFUNCTION("""COMPUTED_VALUE"""),"body of cc, rostral portion")</f>
        <v>body of cc, rostral portion</v>
      </c>
      <c r="F2241" s="9" t="str">
        <f>IFERROR(__xludf.DUMMYFUNCTION("""COMPUTED_VALUE"""),"Br")</f>
        <v>Br</v>
      </c>
      <c r="G2241" s="9" t="str">
        <f>IFERROR(__xludf.DUMMYFUNCTION("""COMPUTED_VALUE"""),"F")</f>
        <v>F</v>
      </c>
      <c r="H2241" s="9" t="str">
        <f>IFERROR(__xludf.DUMMYFUNCTION("""COMPUTED_VALUE"""),"FWM")</f>
        <v>FWM</v>
      </c>
      <c r="I2241" s="9" t="str">
        <f>IFERROR(__xludf.DUMMYFUNCTION("""COMPUTED_VALUE"""),"FCFT")</f>
        <v>FCFT</v>
      </c>
      <c r="J2241" s="9" t="str">
        <f>IFERROR(__xludf.DUMMYFUNCTION("""COMPUTED_VALUE"""),"cc")</f>
        <v>cc</v>
      </c>
      <c r="K2241" s="9" t="str">
        <f>IFERROR(__xludf.DUMMYFUNCTION("""COMPUTED_VALUE"""),"ccb")</f>
        <v>ccb</v>
      </c>
      <c r="L2241" s="9" t="str">
        <f>IFERROR(__xludf.DUMMYFUNCTION("""COMPUTED_VALUE"""),"ccbr")</f>
        <v>ccbr</v>
      </c>
      <c r="M2241" s="9"/>
      <c r="N2241" s="9"/>
      <c r="O2241" s="9"/>
      <c r="P2241" s="9"/>
      <c r="Q2241" s="9"/>
      <c r="R2241" s="9"/>
      <c r="S2241" s="42"/>
      <c r="T2241" s="42"/>
      <c r="U2241" s="42"/>
      <c r="V2241" s="42"/>
      <c r="W2241" s="42"/>
      <c r="X2241" s="42"/>
      <c r="Y2241" s="42"/>
      <c r="Z2241" s="42"/>
      <c r="AA2241" s="42"/>
      <c r="AB2241" s="42" t="str">
        <f>IFERROR(__xludf.DUMMYFUNCTION("""COMPUTED_VALUE"""),"allen institute")</f>
        <v>allen institute</v>
      </c>
      <c r="AC2241" s="42" t="str">
        <f>IFERROR(__xludf.DUMMYFUNCTION("""COMPUTED_VALUE"""),"DHBA")</f>
        <v>DHBA</v>
      </c>
      <c r="AD2241" s="42"/>
      <c r="AE2241" s="42"/>
      <c r="AF2241" s="9"/>
      <c r="AG2241" s="9"/>
      <c r="AH2241" s="42"/>
      <c r="AI2241" s="42"/>
      <c r="AJ2241" s="42"/>
      <c r="AK2241" s="42"/>
      <c r="AL2241" s="42"/>
      <c r="AM2241" s="42"/>
      <c r="AN2241" s="42"/>
      <c r="AO2241" s="63" t="str">
        <f>IFERROR(__xludf.DUMMYFUNCTION("IF(ISBLANK(A2241),,IF(ISBLANK(S2241), A2241&amp;"";"", TEXTJOIN(CHAR(10), TRUE, A2241&amp;"";"", ARRAYFORMULA(VLOOKUP(SPLIT(S2241, "";"" &amp; CHAR(10)), $A:$AO, 41, FALSE)))))"),"ccbr;")</f>
        <v>ccbr;</v>
      </c>
      <c r="AP2241" s="89"/>
    </row>
    <row r="2242">
      <c r="A2242" s="151" t="str">
        <f>IFERROR(__xludf.DUMMYFUNCTION("""COMPUTED_VALUE"""),"ccbi")</f>
        <v>ccbi</v>
      </c>
      <c r="B2242" s="42" t="str">
        <f>IFERROR(__xludf.DUMMYFUNCTION("""COMPUTED_VALUE"""),"DHBA")</f>
        <v>DHBA</v>
      </c>
      <c r="C2242" s="42" t="str">
        <f>IFERROR(__xludf.DUMMYFUNCTION("""COMPUTED_VALUE"""),"body of cc, intermediate portion")</f>
        <v>body of cc, intermediate portion</v>
      </c>
      <c r="D2242" s="42">
        <f>IFERROR(__xludf.DUMMYFUNCTION("""COMPUTED_VALUE"""),2125.0)</f>
        <v>2125</v>
      </c>
      <c r="E2242" s="39" t="str">
        <f>IFERROR(__xludf.DUMMYFUNCTION("""COMPUTED_VALUE"""),"body of cc, intermediate portion")</f>
        <v>body of cc, intermediate portion</v>
      </c>
      <c r="F2242" s="9" t="str">
        <f>IFERROR(__xludf.DUMMYFUNCTION("""COMPUTED_VALUE"""),"Br")</f>
        <v>Br</v>
      </c>
      <c r="G2242" s="9" t="str">
        <f>IFERROR(__xludf.DUMMYFUNCTION("""COMPUTED_VALUE"""),"F")</f>
        <v>F</v>
      </c>
      <c r="H2242" s="9" t="str">
        <f>IFERROR(__xludf.DUMMYFUNCTION("""COMPUTED_VALUE"""),"FWM")</f>
        <v>FWM</v>
      </c>
      <c r="I2242" s="9" t="str">
        <f>IFERROR(__xludf.DUMMYFUNCTION("""COMPUTED_VALUE"""),"FCFT")</f>
        <v>FCFT</v>
      </c>
      <c r="J2242" s="9" t="str">
        <f>IFERROR(__xludf.DUMMYFUNCTION("""COMPUTED_VALUE"""),"cc")</f>
        <v>cc</v>
      </c>
      <c r="K2242" s="9" t="str">
        <f>IFERROR(__xludf.DUMMYFUNCTION("""COMPUTED_VALUE"""),"ccb")</f>
        <v>ccb</v>
      </c>
      <c r="L2242" s="9" t="str">
        <f>IFERROR(__xludf.DUMMYFUNCTION("""COMPUTED_VALUE"""),"ccbi")</f>
        <v>ccbi</v>
      </c>
      <c r="M2242" s="9"/>
      <c r="N2242" s="9"/>
      <c r="O2242" s="9"/>
      <c r="P2242" s="9"/>
      <c r="Q2242" s="9"/>
      <c r="R2242" s="9"/>
      <c r="S2242" s="42"/>
      <c r="T2242" s="42"/>
      <c r="U2242" s="42"/>
      <c r="V2242" s="42"/>
      <c r="W2242" s="42"/>
      <c r="X2242" s="42"/>
      <c r="Y2242" s="42"/>
      <c r="Z2242" s="42"/>
      <c r="AA2242" s="42"/>
      <c r="AB2242" s="42" t="str">
        <f>IFERROR(__xludf.DUMMYFUNCTION("""COMPUTED_VALUE"""),"allen institute")</f>
        <v>allen institute</v>
      </c>
      <c r="AC2242" s="42" t="str">
        <f>IFERROR(__xludf.DUMMYFUNCTION("""COMPUTED_VALUE"""),"DHBA")</f>
        <v>DHBA</v>
      </c>
      <c r="AD2242" s="42"/>
      <c r="AE2242" s="42"/>
      <c r="AF2242" s="9"/>
      <c r="AG2242" s="9"/>
      <c r="AH2242" s="42"/>
      <c r="AI2242" s="42"/>
      <c r="AJ2242" s="42"/>
      <c r="AK2242" s="42"/>
      <c r="AL2242" s="42"/>
      <c r="AM2242" s="42"/>
      <c r="AN2242" s="42"/>
      <c r="AO2242" s="63" t="str">
        <f>IFERROR(__xludf.DUMMYFUNCTION("IF(ISBLANK(A2242),,IF(ISBLANK(S2242), A2242&amp;"";"", TEXTJOIN(CHAR(10), TRUE, A2242&amp;"";"", ARRAYFORMULA(VLOOKUP(SPLIT(S2242, "";"" &amp; CHAR(10)), $A:$AO, 41, FALSE)))))"),"ccbi;")</f>
        <v>ccbi;</v>
      </c>
      <c r="AP2242" s="89"/>
    </row>
    <row r="2243">
      <c r="A2243" s="151" t="str">
        <f>IFERROR(__xludf.DUMMYFUNCTION("""COMPUTED_VALUE"""),"ccbc")</f>
        <v>ccbc</v>
      </c>
      <c r="B2243" s="42" t="str">
        <f>IFERROR(__xludf.DUMMYFUNCTION("""COMPUTED_VALUE"""),"DHBA")</f>
        <v>DHBA</v>
      </c>
      <c r="C2243" s="42" t="str">
        <f>IFERROR(__xludf.DUMMYFUNCTION("""COMPUTED_VALUE"""),"body of cc, caudal portion")</f>
        <v>body of cc, caudal portion</v>
      </c>
      <c r="D2243" s="42">
        <f>IFERROR(__xludf.DUMMYFUNCTION("""COMPUTED_VALUE"""),2126.0)</f>
        <v>2126</v>
      </c>
      <c r="E2243" s="39" t="str">
        <f>IFERROR(__xludf.DUMMYFUNCTION("""COMPUTED_VALUE"""),"body of cc, caudal portion")</f>
        <v>body of cc, caudal portion</v>
      </c>
      <c r="F2243" s="9" t="str">
        <f>IFERROR(__xludf.DUMMYFUNCTION("""COMPUTED_VALUE"""),"Br")</f>
        <v>Br</v>
      </c>
      <c r="G2243" s="9" t="str">
        <f>IFERROR(__xludf.DUMMYFUNCTION("""COMPUTED_VALUE"""),"F")</f>
        <v>F</v>
      </c>
      <c r="H2243" s="9" t="str">
        <f>IFERROR(__xludf.DUMMYFUNCTION("""COMPUTED_VALUE"""),"FWM")</f>
        <v>FWM</v>
      </c>
      <c r="I2243" s="9" t="str">
        <f>IFERROR(__xludf.DUMMYFUNCTION("""COMPUTED_VALUE"""),"FCFT")</f>
        <v>FCFT</v>
      </c>
      <c r="J2243" s="9" t="str">
        <f>IFERROR(__xludf.DUMMYFUNCTION("""COMPUTED_VALUE"""),"cc")</f>
        <v>cc</v>
      </c>
      <c r="K2243" s="9" t="str">
        <f>IFERROR(__xludf.DUMMYFUNCTION("""COMPUTED_VALUE"""),"ccb")</f>
        <v>ccb</v>
      </c>
      <c r="L2243" s="9" t="str">
        <f>IFERROR(__xludf.DUMMYFUNCTION("""COMPUTED_VALUE"""),"ccbc")</f>
        <v>ccbc</v>
      </c>
      <c r="M2243" s="9"/>
      <c r="N2243" s="9"/>
      <c r="O2243" s="9"/>
      <c r="P2243" s="9"/>
      <c r="Q2243" s="9"/>
      <c r="R2243" s="9"/>
      <c r="S2243" s="42"/>
      <c r="T2243" s="42"/>
      <c r="U2243" s="159"/>
      <c r="V2243" s="42"/>
      <c r="W2243" s="42"/>
      <c r="X2243" s="42"/>
      <c r="Y2243" s="42"/>
      <c r="Z2243" s="42"/>
      <c r="AA2243" s="42"/>
      <c r="AB2243" s="42" t="str">
        <f>IFERROR(__xludf.DUMMYFUNCTION("""COMPUTED_VALUE"""),"allen institute")</f>
        <v>allen institute</v>
      </c>
      <c r="AC2243" s="42" t="str">
        <f>IFERROR(__xludf.DUMMYFUNCTION("""COMPUTED_VALUE"""),"DHBA")</f>
        <v>DHBA</v>
      </c>
      <c r="AD2243" s="42"/>
      <c r="AE2243" s="42"/>
      <c r="AF2243" s="9"/>
      <c r="AG2243" s="9"/>
      <c r="AH2243" s="42"/>
      <c r="AI2243" s="42"/>
      <c r="AJ2243" s="42"/>
      <c r="AK2243" s="42"/>
      <c r="AL2243" s="42"/>
      <c r="AM2243" s="42"/>
      <c r="AN2243" s="42"/>
      <c r="AO2243" s="63" t="str">
        <f>IFERROR(__xludf.DUMMYFUNCTION("IF(ISBLANK(A2243),,IF(ISBLANK(S2243), A2243&amp;"";"", TEXTJOIN(CHAR(10), TRUE, A2243&amp;"";"", ARRAYFORMULA(VLOOKUP(SPLIT(S2243, "";"" &amp; CHAR(10)), $A:$AO, 41, FALSE)))))"),"ccbc;")</f>
        <v>ccbc;</v>
      </c>
      <c r="AP2243" s="89"/>
    </row>
    <row r="2244">
      <c r="A2244" s="151" t="str">
        <f>IFERROR(__xludf.DUMMYFUNCTION("""COMPUTED_VALUE"""),"ccs")</f>
        <v>ccs</v>
      </c>
      <c r="B2244" s="42" t="str">
        <f>IFERROR(__xludf.DUMMYFUNCTION("""COMPUTED_VALUE"""),"DHBA")</f>
        <v>DHBA</v>
      </c>
      <c r="C2244" s="42" t="str">
        <f>IFERROR(__xludf.DUMMYFUNCTION("""COMPUTED_VALUE"""),"splenium of corpus callosum")</f>
        <v>splenium of corpus callosum</v>
      </c>
      <c r="D2244" s="42">
        <f>IFERROR(__xludf.DUMMYFUNCTION("""COMPUTED_VALUE"""),2127.0)</f>
        <v>2127</v>
      </c>
      <c r="E2244" s="39" t="str">
        <f>IFERROR(__xludf.DUMMYFUNCTION("""COMPUTED_VALUE"""),"splenium of corpus callosum")</f>
        <v>splenium of corpus callosum</v>
      </c>
      <c r="F2244" s="9" t="str">
        <f>IFERROR(__xludf.DUMMYFUNCTION("""COMPUTED_VALUE"""),"Br")</f>
        <v>Br</v>
      </c>
      <c r="G2244" s="9" t="str">
        <f>IFERROR(__xludf.DUMMYFUNCTION("""COMPUTED_VALUE"""),"F")</f>
        <v>F</v>
      </c>
      <c r="H2244" s="9" t="str">
        <f>IFERROR(__xludf.DUMMYFUNCTION("""COMPUTED_VALUE"""),"FWM")</f>
        <v>FWM</v>
      </c>
      <c r="I2244" s="9" t="str">
        <f>IFERROR(__xludf.DUMMYFUNCTION("""COMPUTED_VALUE"""),"FCFT")</f>
        <v>FCFT</v>
      </c>
      <c r="J2244" s="9" t="str">
        <f>IFERROR(__xludf.DUMMYFUNCTION("""COMPUTED_VALUE"""),"cc")</f>
        <v>cc</v>
      </c>
      <c r="K2244" s="9" t="str">
        <f>IFERROR(__xludf.DUMMYFUNCTION("""COMPUTED_VALUE"""),"ccs")</f>
        <v>ccs</v>
      </c>
      <c r="L2244" s="9"/>
      <c r="M2244" s="9"/>
      <c r="N2244" s="9"/>
      <c r="O2244" s="9"/>
      <c r="P2244" s="9"/>
      <c r="Q2244" s="9"/>
      <c r="R2244" s="9"/>
      <c r="S2244" s="42" t="str">
        <f>IFERROR(__xludf.DUMMYFUNCTION("""COMPUTED_VALUE"""),"ccs_ma;
ccs_in")</f>
        <v>ccs_ma;
ccs_in</v>
      </c>
      <c r="T2244" s="42"/>
      <c r="U2244" s="159" t="b">
        <f>IFERROR(__xludf.DUMMYFUNCTION("""COMPUTED_VALUE"""),FALSE)</f>
        <v>0</v>
      </c>
      <c r="V2244" s="42"/>
      <c r="W2244" s="42"/>
      <c r="X2244" s="42"/>
      <c r="Y2244" s="42"/>
      <c r="Z2244" s="42"/>
      <c r="AA2244" s="42"/>
      <c r="AB2244" s="42" t="str">
        <f>IFERROR(__xludf.DUMMYFUNCTION("""COMPUTED_VALUE"""),"allen institute")</f>
        <v>allen institute</v>
      </c>
      <c r="AC2244" s="42" t="str">
        <f>IFERROR(__xludf.DUMMYFUNCTION("""COMPUTED_VALUE"""),"DHBA")</f>
        <v>DHBA</v>
      </c>
      <c r="AD2244" s="42"/>
      <c r="AE2244" s="42"/>
      <c r="AF2244" s="9"/>
      <c r="AG2244" s="9"/>
      <c r="AH2244" s="42"/>
      <c r="AI2244" s="42"/>
      <c r="AJ2244" s="42"/>
      <c r="AK2244" s="42"/>
      <c r="AL2244" s="42"/>
      <c r="AM2244" s="42"/>
      <c r="AN2244" s="42"/>
      <c r="AO2244" s="63" t="str">
        <f>IFERROR(__xludf.DUMMYFUNCTION("IF(ISBLANK(A2244),,IF(ISBLANK(S2244), A2244&amp;"";"", TEXTJOIN(CHAR(10), TRUE, A2244&amp;"";"", ARRAYFORMULA(VLOOKUP(SPLIT(S2244, "";"" &amp; CHAR(10)), $A:$AO, 41, FALSE)))))"),"#N/A")</f>
        <v>#N/A</v>
      </c>
      <c r="AP2244" s="89"/>
    </row>
    <row r="2245">
      <c r="A2245" s="151" t="str">
        <f>IFERROR(__xludf.DUMMYFUNCTION("""COMPUTED_VALUE"""),"ccs-ma")</f>
        <v>ccs-ma</v>
      </c>
      <c r="B2245" s="42" t="str">
        <f>IFERROR(__xludf.DUMMYFUNCTION("""COMPUTED_VALUE"""),"DHBA")</f>
        <v>DHBA</v>
      </c>
      <c r="C2245" s="42" t="str">
        <f>IFERROR(__xludf.DUMMYFUNCTION("""COMPUTED_VALUE"""),"forceps major (occipitalis)")</f>
        <v>forceps major (occipitalis)</v>
      </c>
      <c r="D2245" s="42">
        <f>IFERROR(__xludf.DUMMYFUNCTION("""COMPUTED_VALUE"""),2128.0)</f>
        <v>2128</v>
      </c>
      <c r="E2245" s="39" t="str">
        <f>IFERROR(__xludf.DUMMYFUNCTION("""COMPUTED_VALUE"""),"forceps major (occipitalis)")</f>
        <v>forceps major (occipitalis)</v>
      </c>
      <c r="F2245" s="9" t="str">
        <f>IFERROR(__xludf.DUMMYFUNCTION("""COMPUTED_VALUE"""),"Br")</f>
        <v>Br</v>
      </c>
      <c r="G2245" s="9" t="str">
        <f>IFERROR(__xludf.DUMMYFUNCTION("""COMPUTED_VALUE"""),"F")</f>
        <v>F</v>
      </c>
      <c r="H2245" s="9" t="str">
        <f>IFERROR(__xludf.DUMMYFUNCTION("""COMPUTED_VALUE"""),"FWM")</f>
        <v>FWM</v>
      </c>
      <c r="I2245" s="9" t="str">
        <f>IFERROR(__xludf.DUMMYFUNCTION("""COMPUTED_VALUE"""),"FCFT")</f>
        <v>FCFT</v>
      </c>
      <c r="J2245" s="9" t="str">
        <f>IFERROR(__xludf.DUMMYFUNCTION("""COMPUTED_VALUE"""),"cc")</f>
        <v>cc</v>
      </c>
      <c r="K2245" s="9" t="str">
        <f>IFERROR(__xludf.DUMMYFUNCTION("""COMPUTED_VALUE"""),"ccs")</f>
        <v>ccs</v>
      </c>
      <c r="L2245" s="9" t="str">
        <f>IFERROR(__xludf.DUMMYFUNCTION("""COMPUTED_VALUE"""),"ccs-ma")</f>
        <v>ccs-ma</v>
      </c>
      <c r="M2245" s="9"/>
      <c r="N2245" s="9"/>
      <c r="O2245" s="9"/>
      <c r="P2245" s="9"/>
      <c r="Q2245" s="9"/>
      <c r="R2245" s="9"/>
      <c r="S2245" s="42"/>
      <c r="T2245" s="42"/>
      <c r="U2245" s="159"/>
      <c r="V2245" s="42"/>
      <c r="W2245" s="42"/>
      <c r="X2245" s="42"/>
      <c r="Y2245" s="42"/>
      <c r="Z2245" s="42"/>
      <c r="AA2245" s="42"/>
      <c r="AB2245" s="42" t="str">
        <f>IFERROR(__xludf.DUMMYFUNCTION("""COMPUTED_VALUE"""),"allen institute")</f>
        <v>allen institute</v>
      </c>
      <c r="AC2245" s="42" t="str">
        <f>IFERROR(__xludf.DUMMYFUNCTION("""COMPUTED_VALUE"""),"DHBA")</f>
        <v>DHBA</v>
      </c>
      <c r="AD2245" s="42"/>
      <c r="AE2245" s="42"/>
      <c r="AF2245" s="9"/>
      <c r="AG2245" s="9"/>
      <c r="AH2245" s="42"/>
      <c r="AI2245" s="42"/>
      <c r="AJ2245" s="42"/>
      <c r="AK2245" s="42"/>
      <c r="AL2245" s="42"/>
      <c r="AM2245" s="42"/>
      <c r="AN2245" s="42"/>
      <c r="AO2245" s="63" t="str">
        <f>IFERROR(__xludf.DUMMYFUNCTION("IF(ISBLANK(A2245),,IF(ISBLANK(S2245), A2245&amp;"";"", TEXTJOIN(CHAR(10), TRUE, A2245&amp;"";"", ARRAYFORMULA(VLOOKUP(SPLIT(S2245, "";"" &amp; CHAR(10)), $A:$AO, 41, FALSE)))))"),"ccs-ma;")</f>
        <v>ccs-ma;</v>
      </c>
      <c r="AP2245" s="89"/>
    </row>
    <row r="2246">
      <c r="A2246" s="151" t="str">
        <f>IFERROR(__xludf.DUMMYFUNCTION("""COMPUTED_VALUE"""),"ccs-in")</f>
        <v>ccs-in</v>
      </c>
      <c r="B2246" s="42" t="str">
        <f>IFERROR(__xludf.DUMMYFUNCTION("""COMPUTED_VALUE"""),"DHBA")</f>
        <v>DHBA</v>
      </c>
      <c r="C2246" s="42" t="str">
        <f>IFERROR(__xludf.DUMMYFUNCTION("""COMPUTED_VALUE"""),"forceps inferior")</f>
        <v>forceps inferior</v>
      </c>
      <c r="D2246" s="42">
        <f>IFERROR(__xludf.DUMMYFUNCTION("""COMPUTED_VALUE"""),2129.0)</f>
        <v>2129</v>
      </c>
      <c r="E2246" s="39" t="str">
        <f>IFERROR(__xludf.DUMMYFUNCTION("""COMPUTED_VALUE"""),"forceps inferior")</f>
        <v>forceps inferior</v>
      </c>
      <c r="F2246" s="9" t="str">
        <f>IFERROR(__xludf.DUMMYFUNCTION("""COMPUTED_VALUE"""),"Br")</f>
        <v>Br</v>
      </c>
      <c r="G2246" s="9" t="str">
        <f>IFERROR(__xludf.DUMMYFUNCTION("""COMPUTED_VALUE"""),"F")</f>
        <v>F</v>
      </c>
      <c r="H2246" s="9" t="str">
        <f>IFERROR(__xludf.DUMMYFUNCTION("""COMPUTED_VALUE"""),"FWM")</f>
        <v>FWM</v>
      </c>
      <c r="I2246" s="9" t="str">
        <f>IFERROR(__xludf.DUMMYFUNCTION("""COMPUTED_VALUE"""),"FCFT")</f>
        <v>FCFT</v>
      </c>
      <c r="J2246" s="9" t="str">
        <f>IFERROR(__xludf.DUMMYFUNCTION("""COMPUTED_VALUE"""),"cc")</f>
        <v>cc</v>
      </c>
      <c r="K2246" s="9" t="str">
        <f>IFERROR(__xludf.DUMMYFUNCTION("""COMPUTED_VALUE"""),"ccs")</f>
        <v>ccs</v>
      </c>
      <c r="L2246" s="9" t="str">
        <f>IFERROR(__xludf.DUMMYFUNCTION("""COMPUTED_VALUE"""),"ccs-in")</f>
        <v>ccs-in</v>
      </c>
      <c r="M2246" s="9"/>
      <c r="N2246" s="9"/>
      <c r="O2246" s="9"/>
      <c r="P2246" s="9"/>
      <c r="Q2246" s="9"/>
      <c r="R2246" s="9"/>
      <c r="S2246" s="42"/>
      <c r="T2246" s="42"/>
      <c r="U2246" s="159"/>
      <c r="V2246" s="42"/>
      <c r="W2246" s="42"/>
      <c r="X2246" s="42"/>
      <c r="Y2246" s="42"/>
      <c r="Z2246" s="42"/>
      <c r="AA2246" s="42"/>
      <c r="AB2246" s="42" t="str">
        <f>IFERROR(__xludf.DUMMYFUNCTION("""COMPUTED_VALUE"""),"allen institute")</f>
        <v>allen institute</v>
      </c>
      <c r="AC2246" s="42" t="str">
        <f>IFERROR(__xludf.DUMMYFUNCTION("""COMPUTED_VALUE"""),"DHBA")</f>
        <v>DHBA</v>
      </c>
      <c r="AD2246" s="42"/>
      <c r="AE2246" s="42"/>
      <c r="AF2246" s="9"/>
      <c r="AG2246" s="9"/>
      <c r="AH2246" s="42"/>
      <c r="AI2246" s="42"/>
      <c r="AJ2246" s="42"/>
      <c r="AK2246" s="42"/>
      <c r="AL2246" s="42"/>
      <c r="AM2246" s="42"/>
      <c r="AN2246" s="42"/>
      <c r="AO2246" s="63" t="str">
        <f>IFERROR(__xludf.DUMMYFUNCTION("IF(ISBLANK(A2246),,IF(ISBLANK(S2246), A2246&amp;"";"", TEXTJOIN(CHAR(10), TRUE, A2246&amp;"";"", ARRAYFORMULA(VLOOKUP(SPLIT(S2246, "";"" &amp; CHAR(10)), $A:$AO, 41, FALSE)))))"),"ccs-in;")</f>
        <v>ccs-in;</v>
      </c>
      <c r="AP2246" s="89"/>
    </row>
    <row r="2247">
      <c r="A2247" s="151" t="str">
        <f>IFERROR(__xludf.DUMMYFUNCTION("""COMPUTED_VALUE"""),"ccrd")</f>
        <v>ccrd</v>
      </c>
      <c r="B2247" s="42" t="str">
        <f>IFERROR(__xludf.DUMMYFUNCTION("""COMPUTED_VALUE"""),"DHBA")</f>
        <v>DHBA</v>
      </c>
      <c r="C2247" s="42" t="str">
        <f>IFERROR(__xludf.DUMMYFUNCTION("""COMPUTED_VALUE"""),"radiations of corpus callosum")</f>
        <v>radiations of corpus callosum</v>
      </c>
      <c r="D2247" s="42">
        <f>IFERROR(__xludf.DUMMYFUNCTION("""COMPUTED_VALUE"""),2130.0)</f>
        <v>2130</v>
      </c>
      <c r="E2247" s="39" t="str">
        <f>IFERROR(__xludf.DUMMYFUNCTION("""COMPUTED_VALUE"""),"radiations of corpus callosum")</f>
        <v>radiations of corpus callosum</v>
      </c>
      <c r="F2247" s="9" t="str">
        <f>IFERROR(__xludf.DUMMYFUNCTION("""COMPUTED_VALUE"""),"Br")</f>
        <v>Br</v>
      </c>
      <c r="G2247" s="9" t="str">
        <f>IFERROR(__xludf.DUMMYFUNCTION("""COMPUTED_VALUE"""),"F")</f>
        <v>F</v>
      </c>
      <c r="H2247" s="9" t="str">
        <f>IFERROR(__xludf.DUMMYFUNCTION("""COMPUTED_VALUE"""),"FWM")</f>
        <v>FWM</v>
      </c>
      <c r="I2247" s="9" t="str">
        <f>IFERROR(__xludf.DUMMYFUNCTION("""COMPUTED_VALUE"""),"FCFT")</f>
        <v>FCFT</v>
      </c>
      <c r="J2247" s="9" t="str">
        <f>IFERROR(__xludf.DUMMYFUNCTION("""COMPUTED_VALUE"""),"cc")</f>
        <v>cc</v>
      </c>
      <c r="K2247" s="9" t="str">
        <f>IFERROR(__xludf.DUMMYFUNCTION("""COMPUTED_VALUE"""),"ccrd")</f>
        <v>ccrd</v>
      </c>
      <c r="L2247" s="9"/>
      <c r="M2247" s="9"/>
      <c r="N2247" s="9"/>
      <c r="O2247" s="9"/>
      <c r="P2247" s="9"/>
      <c r="Q2247" s="9"/>
      <c r="R2247" s="9"/>
      <c r="S2247" s="42"/>
      <c r="T2247" s="42"/>
      <c r="U2247" s="42"/>
      <c r="V2247" s="42"/>
      <c r="W2247" s="42"/>
      <c r="X2247" s="42"/>
      <c r="Y2247" s="42"/>
      <c r="Z2247" s="42"/>
      <c r="AA2247" s="42"/>
      <c r="AB2247" s="42" t="str">
        <f>IFERROR(__xludf.DUMMYFUNCTION("""COMPUTED_VALUE"""),"allen institute")</f>
        <v>allen institute</v>
      </c>
      <c r="AC2247" s="42" t="str">
        <f>IFERROR(__xludf.DUMMYFUNCTION("""COMPUTED_VALUE"""),"DHBA")</f>
        <v>DHBA</v>
      </c>
      <c r="AD2247" s="42"/>
      <c r="AE2247" s="42"/>
      <c r="AF2247" s="9"/>
      <c r="AG2247" s="9"/>
      <c r="AH2247" s="42"/>
      <c r="AI2247" s="42"/>
      <c r="AJ2247" s="42"/>
      <c r="AK2247" s="42"/>
      <c r="AL2247" s="42"/>
      <c r="AM2247" s="42"/>
      <c r="AN2247" s="42"/>
      <c r="AO2247" s="63" t="str">
        <f>IFERROR(__xludf.DUMMYFUNCTION("IF(ISBLANK(A2247),,IF(ISBLANK(S2247), A2247&amp;"";"", TEXTJOIN(CHAR(10), TRUE, A2247&amp;"";"", ARRAYFORMULA(VLOOKUP(SPLIT(S2247, "";"" &amp; CHAR(10)), $A:$AO, 41, FALSE)))))"),"ccrd;")</f>
        <v>ccrd;</v>
      </c>
      <c r="AP2247" s="89"/>
    </row>
    <row r="2248">
      <c r="A2248" s="151" t="str">
        <f>IFERROR(__xludf.DUMMYFUNCTION("""COMPUTED_VALUE"""),"tap")</f>
        <v>tap</v>
      </c>
      <c r="B2248" s="42" t="str">
        <f>IFERROR(__xludf.DUMMYFUNCTION("""COMPUTED_VALUE"""),"DHBA")</f>
        <v>DHBA</v>
      </c>
      <c r="C2248" s="42" t="str">
        <f>IFERROR(__xludf.DUMMYFUNCTION("""COMPUTED_VALUE"""),"tapetum of corpus callosum")</f>
        <v>tapetum of corpus callosum</v>
      </c>
      <c r="D2248" s="42">
        <f>IFERROR(__xludf.DUMMYFUNCTION("""COMPUTED_VALUE"""),2131.0)</f>
        <v>2131</v>
      </c>
      <c r="E2248" s="39" t="str">
        <f>IFERROR(__xludf.DUMMYFUNCTION("""COMPUTED_VALUE"""),"tapetum of corpus callosum")</f>
        <v>tapetum of corpus callosum</v>
      </c>
      <c r="F2248" s="9" t="str">
        <f>IFERROR(__xludf.DUMMYFUNCTION("""COMPUTED_VALUE"""),"Br")</f>
        <v>Br</v>
      </c>
      <c r="G2248" s="9" t="str">
        <f>IFERROR(__xludf.DUMMYFUNCTION("""COMPUTED_VALUE"""),"F")</f>
        <v>F</v>
      </c>
      <c r="H2248" s="9" t="str">
        <f>IFERROR(__xludf.DUMMYFUNCTION("""COMPUTED_VALUE"""),"FWM")</f>
        <v>FWM</v>
      </c>
      <c r="I2248" s="9" t="str">
        <f>IFERROR(__xludf.DUMMYFUNCTION("""COMPUTED_VALUE"""),"FCFT")</f>
        <v>FCFT</v>
      </c>
      <c r="J2248" s="9" t="str">
        <f>IFERROR(__xludf.DUMMYFUNCTION("""COMPUTED_VALUE"""),"cc")</f>
        <v>cc</v>
      </c>
      <c r="K2248" s="9" t="str">
        <f>IFERROR(__xludf.DUMMYFUNCTION("""COMPUTED_VALUE"""),"tap")</f>
        <v>tap</v>
      </c>
      <c r="L2248" s="9"/>
      <c r="M2248" s="9"/>
      <c r="N2248" s="9"/>
      <c r="O2248" s="9"/>
      <c r="P2248" s="9"/>
      <c r="Q2248" s="9"/>
      <c r="R2248" s="9"/>
      <c r="S2248" s="42"/>
      <c r="T2248" s="42"/>
      <c r="U2248" s="42"/>
      <c r="V2248" s="42"/>
      <c r="W2248" s="42"/>
      <c r="X2248" s="42"/>
      <c r="Y2248" s="42"/>
      <c r="Z2248" s="42"/>
      <c r="AA2248" s="42"/>
      <c r="AB2248" s="42" t="str">
        <f>IFERROR(__xludf.DUMMYFUNCTION("""COMPUTED_VALUE"""),"allen institute")</f>
        <v>allen institute</v>
      </c>
      <c r="AC2248" s="42" t="str">
        <f>IFERROR(__xludf.DUMMYFUNCTION("""COMPUTED_VALUE"""),"DHBA")</f>
        <v>DHBA</v>
      </c>
      <c r="AD2248" s="42"/>
      <c r="AE2248" s="42"/>
      <c r="AF2248" s="9"/>
      <c r="AG2248" s="9"/>
      <c r="AH2248" s="42"/>
      <c r="AI2248" s="42"/>
      <c r="AJ2248" s="42"/>
      <c r="AK2248" s="42"/>
      <c r="AL2248" s="42"/>
      <c r="AM2248" s="42"/>
      <c r="AN2248" s="42"/>
      <c r="AO2248" s="63" t="str">
        <f>IFERROR(__xludf.DUMMYFUNCTION("IF(ISBLANK(A2248),,IF(ISBLANK(S2248), A2248&amp;"";"", TEXTJOIN(CHAR(10), TRUE, A2248&amp;"";"", ARRAYFORMULA(VLOOKUP(SPLIT(S2248, "";"" &amp; CHAR(10)), $A:$AO, 41, FALSE)))))"),"tap;")</f>
        <v>tap;</v>
      </c>
      <c r="AP2248" s="89"/>
    </row>
    <row r="2249">
      <c r="A2249" s="151" t="str">
        <f>IFERROR(__xludf.DUMMYFUNCTION("""COMPUTED_VALUE"""),"hac")</f>
        <v>hac</v>
      </c>
      <c r="B2249" s="42" t="str">
        <f>IFERROR(__xludf.DUMMYFUNCTION("""COMPUTED_VALUE"""),"DHBA")</f>
        <v>DHBA</v>
      </c>
      <c r="C2249" s="42" t="str">
        <f>IFERROR(__xludf.DUMMYFUNCTION("""COMPUTED_VALUE"""),"habenular commissure")</f>
        <v>habenular commissure</v>
      </c>
      <c r="D2249" s="42">
        <f>IFERROR(__xludf.DUMMYFUNCTION("""COMPUTED_VALUE"""),2132.0)</f>
        <v>2132</v>
      </c>
      <c r="E2249" s="39" t="str">
        <f>IFERROR(__xludf.DUMMYFUNCTION("""COMPUTED_VALUE"""),"habenular commissure")</f>
        <v>habenular commissure</v>
      </c>
      <c r="F2249" s="9" t="str">
        <f>IFERROR(__xludf.DUMMYFUNCTION("""COMPUTED_VALUE"""),"Br")</f>
        <v>Br</v>
      </c>
      <c r="G2249" s="9" t="str">
        <f>IFERROR(__xludf.DUMMYFUNCTION("""COMPUTED_VALUE"""),"F")</f>
        <v>F</v>
      </c>
      <c r="H2249" s="9" t="str">
        <f>IFERROR(__xludf.DUMMYFUNCTION("""COMPUTED_VALUE"""),"FWM")</f>
        <v>FWM</v>
      </c>
      <c r="I2249" s="9" t="str">
        <f>IFERROR(__xludf.DUMMYFUNCTION("""COMPUTED_VALUE"""),"FCFT")</f>
        <v>FCFT</v>
      </c>
      <c r="J2249" s="9" t="str">
        <f>IFERROR(__xludf.DUMMYFUNCTION("""COMPUTED_VALUE"""),"hac")</f>
        <v>hac</v>
      </c>
      <c r="K2249" s="9"/>
      <c r="L2249" s="9"/>
      <c r="M2249" s="9"/>
      <c r="N2249" s="9"/>
      <c r="O2249" s="9"/>
      <c r="P2249" s="9"/>
      <c r="Q2249" s="9"/>
      <c r="R2249" s="9"/>
      <c r="S2249" s="42"/>
      <c r="T2249" s="42"/>
      <c r="U2249" s="42"/>
      <c r="V2249" s="42"/>
      <c r="W2249" s="42"/>
      <c r="X2249" s="42"/>
      <c r="Y2249" s="42"/>
      <c r="Z2249" s="42"/>
      <c r="AA2249" s="42"/>
      <c r="AB2249" s="42" t="str">
        <f>IFERROR(__xludf.DUMMYFUNCTION("""COMPUTED_VALUE"""),"allen institute")</f>
        <v>allen institute</v>
      </c>
      <c r="AC2249" s="42" t="str">
        <f>IFERROR(__xludf.DUMMYFUNCTION("""COMPUTED_VALUE"""),"DHBA")</f>
        <v>DHBA</v>
      </c>
      <c r="AD2249" s="42"/>
      <c r="AE2249" s="42"/>
      <c r="AF2249" s="9"/>
      <c r="AG2249" s="9"/>
      <c r="AH2249" s="42"/>
      <c r="AI2249" s="42"/>
      <c r="AJ2249" s="42"/>
      <c r="AK2249" s="42"/>
      <c r="AL2249" s="42"/>
      <c r="AM2249" s="42"/>
      <c r="AN2249" s="42"/>
      <c r="AO2249" s="63" t="str">
        <f>IFERROR(__xludf.DUMMYFUNCTION("IF(ISBLANK(A2249),,IF(ISBLANK(S2249), A2249&amp;"";"", TEXTJOIN(CHAR(10), TRUE, A2249&amp;"";"", ARRAYFORMULA(VLOOKUP(SPLIT(S2249, "";"" &amp; CHAR(10)), $A:$AO, 41, FALSE)))))"),"hac;")</f>
        <v>hac;</v>
      </c>
      <c r="AP2249" s="89"/>
    </row>
    <row r="2250">
      <c r="A2250" s="151" t="str">
        <f>IFERROR(__xludf.DUMMYFUNCTION("""COMPUTED_VALUE"""),"hic")</f>
        <v>hic</v>
      </c>
      <c r="B2250" s="42" t="str">
        <f>IFERROR(__xludf.DUMMYFUNCTION("""COMPUTED_VALUE"""),"DHBA")</f>
        <v>DHBA</v>
      </c>
      <c r="C2250" s="42" t="str">
        <f>IFERROR(__xludf.DUMMYFUNCTION("""COMPUTED_VALUE"""),"hippocampal commissure")</f>
        <v>hippocampal commissure</v>
      </c>
      <c r="D2250" s="42">
        <f>IFERROR(__xludf.DUMMYFUNCTION("""COMPUTED_VALUE"""),2133.0)</f>
        <v>2133</v>
      </c>
      <c r="E2250" s="39" t="str">
        <f>IFERROR(__xludf.DUMMYFUNCTION("""COMPUTED_VALUE"""),"hippocampal commissure")</f>
        <v>hippocampal commissure</v>
      </c>
      <c r="F2250" s="9" t="str">
        <f>IFERROR(__xludf.DUMMYFUNCTION("""COMPUTED_VALUE"""),"Br")</f>
        <v>Br</v>
      </c>
      <c r="G2250" s="9" t="str">
        <f>IFERROR(__xludf.DUMMYFUNCTION("""COMPUTED_VALUE"""),"F")</f>
        <v>F</v>
      </c>
      <c r="H2250" s="9" t="str">
        <f>IFERROR(__xludf.DUMMYFUNCTION("""COMPUTED_VALUE"""),"FWM")</f>
        <v>FWM</v>
      </c>
      <c r="I2250" s="9" t="str">
        <f>IFERROR(__xludf.DUMMYFUNCTION("""COMPUTED_VALUE"""),"FCFT")</f>
        <v>FCFT</v>
      </c>
      <c r="J2250" s="9" t="str">
        <f>IFERROR(__xludf.DUMMYFUNCTION("""COMPUTED_VALUE"""),"hic")</f>
        <v>hic</v>
      </c>
      <c r="K2250" s="9"/>
      <c r="L2250" s="9"/>
      <c r="M2250" s="9"/>
      <c r="N2250" s="9"/>
      <c r="O2250" s="9"/>
      <c r="P2250" s="9"/>
      <c r="Q2250" s="9"/>
      <c r="R2250" s="9"/>
      <c r="S2250" s="42" t="str">
        <f>IFERROR(__xludf.DUMMYFUNCTION("""COMPUTED_VALUE"""),"dhic;
vhic")</f>
        <v>dhic;
vhic</v>
      </c>
      <c r="T2250" s="42"/>
      <c r="U2250" s="42" t="b">
        <f>IFERROR(__xludf.DUMMYFUNCTION("""COMPUTED_VALUE"""),FALSE)</f>
        <v>0</v>
      </c>
      <c r="V2250" s="42"/>
      <c r="W2250" s="42"/>
      <c r="X2250" s="42"/>
      <c r="Y2250" s="42"/>
      <c r="Z2250" s="42"/>
      <c r="AA2250" s="42"/>
      <c r="AB2250" s="42" t="str">
        <f>IFERROR(__xludf.DUMMYFUNCTION("""COMPUTED_VALUE"""),"allen institute")</f>
        <v>allen institute</v>
      </c>
      <c r="AC2250" s="42" t="str">
        <f>IFERROR(__xludf.DUMMYFUNCTION("""COMPUTED_VALUE"""),"DHBA")</f>
        <v>DHBA</v>
      </c>
      <c r="AD2250" s="42"/>
      <c r="AE2250" s="42"/>
      <c r="AF2250" s="9"/>
      <c r="AG2250" s="9"/>
      <c r="AH2250" s="42"/>
      <c r="AI2250" s="42"/>
      <c r="AJ2250" s="42"/>
      <c r="AK2250" s="42"/>
      <c r="AL2250" s="42"/>
      <c r="AM2250" s="42"/>
      <c r="AN2250" s="42"/>
      <c r="AO2250" s="63" t="str">
        <f>IFERROR(__xludf.DUMMYFUNCTION("IF(ISBLANK(A2250),,IF(ISBLANK(S2250), A2250&amp;"";"", TEXTJOIN(CHAR(10), TRUE, A2250&amp;"";"", ARRAYFORMULA(VLOOKUP(SPLIT(S2250, "";"" &amp; CHAR(10)), $A:$AO, 41, FALSE)))))"),"hic;
dhic;
vhic;")</f>
        <v>hic;
dhic;
vhic;</v>
      </c>
      <c r="AP2250" s="89"/>
    </row>
    <row r="2251">
      <c r="A2251" s="151" t="str">
        <f>IFERROR(__xludf.DUMMYFUNCTION("""COMPUTED_VALUE"""),"dhic")</f>
        <v>dhic</v>
      </c>
      <c r="B2251" s="42" t="str">
        <f>IFERROR(__xludf.DUMMYFUNCTION("""COMPUTED_VALUE"""),"DHBA")</f>
        <v>DHBA</v>
      </c>
      <c r="C2251" s="42" t="str">
        <f>IFERROR(__xludf.DUMMYFUNCTION("""COMPUTED_VALUE"""),"dorsal hippocampal commissure")</f>
        <v>dorsal hippocampal commissure</v>
      </c>
      <c r="D2251" s="42">
        <f>IFERROR(__xludf.DUMMYFUNCTION("""COMPUTED_VALUE"""),2134.0)</f>
        <v>2134</v>
      </c>
      <c r="E2251" s="39" t="str">
        <f>IFERROR(__xludf.DUMMYFUNCTION("""COMPUTED_VALUE"""),"dorsal hippocampal commissure")</f>
        <v>dorsal hippocampal commissure</v>
      </c>
      <c r="F2251" s="9" t="str">
        <f>IFERROR(__xludf.DUMMYFUNCTION("""COMPUTED_VALUE"""),"Br")</f>
        <v>Br</v>
      </c>
      <c r="G2251" s="9" t="str">
        <f>IFERROR(__xludf.DUMMYFUNCTION("""COMPUTED_VALUE"""),"F")</f>
        <v>F</v>
      </c>
      <c r="H2251" s="9" t="str">
        <f>IFERROR(__xludf.DUMMYFUNCTION("""COMPUTED_VALUE"""),"FWM")</f>
        <v>FWM</v>
      </c>
      <c r="I2251" s="9" t="str">
        <f>IFERROR(__xludf.DUMMYFUNCTION("""COMPUTED_VALUE"""),"FCFT")</f>
        <v>FCFT</v>
      </c>
      <c r="J2251" s="9" t="str">
        <f>IFERROR(__xludf.DUMMYFUNCTION("""COMPUTED_VALUE"""),"hic")</f>
        <v>hic</v>
      </c>
      <c r="K2251" s="9" t="str">
        <f>IFERROR(__xludf.DUMMYFUNCTION("""COMPUTED_VALUE"""),"dhic")</f>
        <v>dhic</v>
      </c>
      <c r="L2251" s="9"/>
      <c r="M2251" s="9"/>
      <c r="N2251" s="9"/>
      <c r="O2251" s="9"/>
      <c r="P2251" s="9"/>
      <c r="Q2251" s="9"/>
      <c r="R2251" s="9"/>
      <c r="S2251" s="42"/>
      <c r="T2251" s="42"/>
      <c r="U2251" s="42"/>
      <c r="V2251" s="42"/>
      <c r="W2251" s="42"/>
      <c r="X2251" s="42"/>
      <c r="Y2251" s="42"/>
      <c r="Z2251" s="42"/>
      <c r="AA2251" s="42"/>
      <c r="AB2251" s="42" t="str">
        <f>IFERROR(__xludf.DUMMYFUNCTION("""COMPUTED_VALUE"""),"allen institute")</f>
        <v>allen institute</v>
      </c>
      <c r="AC2251" s="42" t="str">
        <f>IFERROR(__xludf.DUMMYFUNCTION("""COMPUTED_VALUE"""),"DHBA")</f>
        <v>DHBA</v>
      </c>
      <c r="AD2251" s="42"/>
      <c r="AE2251" s="42"/>
      <c r="AF2251" s="9"/>
      <c r="AG2251" s="9"/>
      <c r="AH2251" s="42"/>
      <c r="AI2251" s="42"/>
      <c r="AJ2251" s="42"/>
      <c r="AK2251" s="42"/>
      <c r="AL2251" s="42"/>
      <c r="AM2251" s="42"/>
      <c r="AN2251" s="42"/>
      <c r="AO2251" s="63" t="str">
        <f>IFERROR(__xludf.DUMMYFUNCTION("IF(ISBLANK(A2251),,IF(ISBLANK(S2251), A2251&amp;"";"", TEXTJOIN(CHAR(10), TRUE, A2251&amp;"";"", ARRAYFORMULA(VLOOKUP(SPLIT(S2251, "";"" &amp; CHAR(10)), $A:$AO, 41, FALSE)))))"),"dhic;")</f>
        <v>dhic;</v>
      </c>
      <c r="AP2251" s="89"/>
    </row>
    <row r="2252">
      <c r="A2252" s="151" t="str">
        <f>IFERROR(__xludf.DUMMYFUNCTION("""COMPUTED_VALUE"""),"vhic")</f>
        <v>vhic</v>
      </c>
      <c r="B2252" s="42" t="str">
        <f>IFERROR(__xludf.DUMMYFUNCTION("""COMPUTED_VALUE"""),"DHBA")</f>
        <v>DHBA</v>
      </c>
      <c r="C2252" s="42" t="str">
        <f>IFERROR(__xludf.DUMMYFUNCTION("""COMPUTED_VALUE"""),"ventral hippocampal commissure")</f>
        <v>ventral hippocampal commissure</v>
      </c>
      <c r="D2252" s="42">
        <f>IFERROR(__xludf.DUMMYFUNCTION("""COMPUTED_VALUE"""),2135.0)</f>
        <v>2135</v>
      </c>
      <c r="E2252" s="39" t="str">
        <f>IFERROR(__xludf.DUMMYFUNCTION("""COMPUTED_VALUE"""),"ventral hippocampal commissure")</f>
        <v>ventral hippocampal commissure</v>
      </c>
      <c r="F2252" s="9" t="str">
        <f>IFERROR(__xludf.DUMMYFUNCTION("""COMPUTED_VALUE"""),"Br")</f>
        <v>Br</v>
      </c>
      <c r="G2252" s="9" t="str">
        <f>IFERROR(__xludf.DUMMYFUNCTION("""COMPUTED_VALUE"""),"F")</f>
        <v>F</v>
      </c>
      <c r="H2252" s="9" t="str">
        <f>IFERROR(__xludf.DUMMYFUNCTION("""COMPUTED_VALUE"""),"FWM")</f>
        <v>FWM</v>
      </c>
      <c r="I2252" s="9" t="str">
        <f>IFERROR(__xludf.DUMMYFUNCTION("""COMPUTED_VALUE"""),"FCFT")</f>
        <v>FCFT</v>
      </c>
      <c r="J2252" s="9" t="str">
        <f>IFERROR(__xludf.DUMMYFUNCTION("""COMPUTED_VALUE"""),"hic")</f>
        <v>hic</v>
      </c>
      <c r="K2252" s="9" t="str">
        <f>IFERROR(__xludf.DUMMYFUNCTION("""COMPUTED_VALUE"""),"vhic")</f>
        <v>vhic</v>
      </c>
      <c r="L2252" s="9"/>
      <c r="M2252" s="9"/>
      <c r="N2252" s="9"/>
      <c r="O2252" s="9"/>
      <c r="P2252" s="9"/>
      <c r="Q2252" s="9"/>
      <c r="R2252" s="9"/>
      <c r="S2252" s="42"/>
      <c r="T2252" s="42"/>
      <c r="U2252" s="42"/>
      <c r="V2252" s="42"/>
      <c r="W2252" s="42"/>
      <c r="X2252" s="42"/>
      <c r="Y2252" s="42"/>
      <c r="Z2252" s="42"/>
      <c r="AA2252" s="42"/>
      <c r="AB2252" s="42" t="str">
        <f>IFERROR(__xludf.DUMMYFUNCTION("""COMPUTED_VALUE"""),"allen institute")</f>
        <v>allen institute</v>
      </c>
      <c r="AC2252" s="42" t="str">
        <f>IFERROR(__xludf.DUMMYFUNCTION("""COMPUTED_VALUE"""),"DHBA")</f>
        <v>DHBA</v>
      </c>
      <c r="AD2252" s="42"/>
      <c r="AE2252" s="42"/>
      <c r="AF2252" s="9"/>
      <c r="AG2252" s="9"/>
      <c r="AH2252" s="42"/>
      <c r="AI2252" s="42"/>
      <c r="AJ2252" s="42"/>
      <c r="AK2252" s="42"/>
      <c r="AL2252" s="42"/>
      <c r="AM2252" s="42"/>
      <c r="AN2252" s="42"/>
      <c r="AO2252" s="63" t="str">
        <f>IFERROR(__xludf.DUMMYFUNCTION("IF(ISBLANK(A2252),,IF(ISBLANK(S2252), A2252&amp;"";"", TEXTJOIN(CHAR(10), TRUE, A2252&amp;"";"", ARRAYFORMULA(VLOOKUP(SPLIT(S2252, "";"" &amp; CHAR(10)), $A:$AO, 41, FALSE)))))"),"vhic;")</f>
        <v>vhic;</v>
      </c>
      <c r="AP2252" s="89"/>
    </row>
    <row r="2253">
      <c r="A2253" s="151" t="str">
        <f>IFERROR(__xludf.DUMMYFUNCTION("""COMPUTED_VALUE"""),"smc")</f>
        <v>smc</v>
      </c>
      <c r="B2253" s="42" t="str">
        <f>IFERROR(__xludf.DUMMYFUNCTION("""COMPUTED_VALUE"""),"DHBA")</f>
        <v>DHBA</v>
      </c>
      <c r="C2253" s="42" t="str">
        <f>IFERROR(__xludf.DUMMYFUNCTION("""COMPUTED_VALUE"""),"supramamillary commissure")</f>
        <v>supramamillary commissure</v>
      </c>
      <c r="D2253" s="42">
        <f>IFERROR(__xludf.DUMMYFUNCTION("""COMPUTED_VALUE"""),2136.0)</f>
        <v>2136</v>
      </c>
      <c r="E2253" s="39" t="str">
        <f>IFERROR(__xludf.DUMMYFUNCTION("""COMPUTED_VALUE"""),"supramamillary commissure")</f>
        <v>supramamillary commissure</v>
      </c>
      <c r="F2253" s="9" t="str">
        <f>IFERROR(__xludf.DUMMYFUNCTION("""COMPUTED_VALUE"""),"Br")</f>
        <v>Br</v>
      </c>
      <c r="G2253" s="9" t="str">
        <f>IFERROR(__xludf.DUMMYFUNCTION("""COMPUTED_VALUE"""),"F")</f>
        <v>F</v>
      </c>
      <c r="H2253" s="9" t="str">
        <f>IFERROR(__xludf.DUMMYFUNCTION("""COMPUTED_VALUE"""),"FWM")</f>
        <v>FWM</v>
      </c>
      <c r="I2253" s="9" t="str">
        <f>IFERROR(__xludf.DUMMYFUNCTION("""COMPUTED_VALUE"""),"FCFT")</f>
        <v>FCFT</v>
      </c>
      <c r="J2253" s="9" t="str">
        <f>IFERROR(__xludf.DUMMYFUNCTION("""COMPUTED_VALUE"""),"smc")</f>
        <v>smc</v>
      </c>
      <c r="K2253" s="9"/>
      <c r="L2253" s="9"/>
      <c r="M2253" s="9"/>
      <c r="N2253" s="9"/>
      <c r="O2253" s="9"/>
      <c r="P2253" s="9"/>
      <c r="Q2253" s="9"/>
      <c r="R2253" s="9"/>
      <c r="S2253" s="42"/>
      <c r="T2253" s="42"/>
      <c r="U2253" s="42"/>
      <c r="V2253" s="42"/>
      <c r="W2253" s="42"/>
      <c r="X2253" s="42"/>
      <c r="Y2253" s="42"/>
      <c r="Z2253" s="42"/>
      <c r="AA2253" s="42"/>
      <c r="AB2253" s="42" t="str">
        <f>IFERROR(__xludf.DUMMYFUNCTION("""COMPUTED_VALUE"""),"allen institute")</f>
        <v>allen institute</v>
      </c>
      <c r="AC2253" s="42" t="str">
        <f>IFERROR(__xludf.DUMMYFUNCTION("""COMPUTED_VALUE"""),"DHBA")</f>
        <v>DHBA</v>
      </c>
      <c r="AD2253" s="42"/>
      <c r="AE2253" s="42"/>
      <c r="AF2253" s="9"/>
      <c r="AG2253" s="9"/>
      <c r="AH2253" s="42"/>
      <c r="AI2253" s="42"/>
      <c r="AJ2253" s="42"/>
      <c r="AK2253" s="42"/>
      <c r="AL2253" s="42"/>
      <c r="AM2253" s="42"/>
      <c r="AN2253" s="42"/>
      <c r="AO2253" s="63" t="str">
        <f>IFERROR(__xludf.DUMMYFUNCTION("IF(ISBLANK(A2253),,IF(ISBLANK(S2253), A2253&amp;"";"", TEXTJOIN(CHAR(10), TRUE, A2253&amp;"";"", ARRAYFORMULA(VLOOKUP(SPLIT(S2253, "";"" &amp; CHAR(10)), $A:$AO, 41, FALSE)))))"),"smc;")</f>
        <v>smc;</v>
      </c>
      <c r="AP2253" s="89"/>
    </row>
    <row r="2254">
      <c r="A2254" s="151" t="str">
        <f>IFERROR(__xludf.DUMMYFUNCTION("""COMPUTED_VALUE"""),"FIFT")</f>
        <v>FIFT</v>
      </c>
      <c r="B2254" s="42" t="str">
        <f>IFERROR(__xludf.DUMMYFUNCTION("""COMPUTED_VALUE"""),"DHBA")</f>
        <v>DHBA</v>
      </c>
      <c r="C2254" s="42" t="str">
        <f>IFERROR(__xludf.DUMMYFUNCTION("""COMPUTED_VALUE"""),"forebrain ipsilateral fiber tracts")</f>
        <v>forebrain ipsilateral fiber tracts</v>
      </c>
      <c r="D2254" s="42">
        <f>IFERROR(__xludf.DUMMYFUNCTION("""COMPUTED_VALUE"""),2137.0)</f>
        <v>2137</v>
      </c>
      <c r="E2254" s="39" t="str">
        <f>IFERROR(__xludf.DUMMYFUNCTION("""COMPUTED_VALUE"""),"forebrain ipsilateral fiber tracts")</f>
        <v>forebrain ipsilateral fiber tracts</v>
      </c>
      <c r="F2254" s="9" t="str">
        <f>IFERROR(__xludf.DUMMYFUNCTION("""COMPUTED_VALUE"""),"Br")</f>
        <v>Br</v>
      </c>
      <c r="G2254" s="9" t="str">
        <f>IFERROR(__xludf.DUMMYFUNCTION("""COMPUTED_VALUE"""),"F")</f>
        <v>F</v>
      </c>
      <c r="H2254" s="9" t="str">
        <f>IFERROR(__xludf.DUMMYFUNCTION("""COMPUTED_VALUE"""),"FWM")</f>
        <v>FWM</v>
      </c>
      <c r="I2254" s="9" t="str">
        <f>IFERROR(__xludf.DUMMYFUNCTION("""COMPUTED_VALUE"""),"FIFT")</f>
        <v>FIFT</v>
      </c>
      <c r="J2254" s="9"/>
      <c r="K2254" s="9"/>
      <c r="L2254" s="9"/>
      <c r="M2254" s="9"/>
      <c r="N2254" s="9"/>
      <c r="O2254" s="9"/>
      <c r="P2254" s="9"/>
      <c r="Q2254" s="9"/>
      <c r="R2254" s="9"/>
      <c r="S2254" s="42" t="str">
        <f>IFERROR(__xludf.DUMMYFUNCTION("""COMPUTED_VALUE"""),"alv;
amtg;
ar;
agb;
al;
ap;
af;
bx;
cb;
comb;
cor;
cbu_sc;
cpa;
cst;
dpa;
dib;
dlf;
dob;
extC;
emlgp;
emlth;
extrC;
fim;
fx;
hyhp;
ilf;
ithp;
ic;
imlgp;
imlth;
lls;
lf;
mp;
mtg;
mtt;
mcht;
mfb;
mls;
or_lp;
milf;
npa;
nst;
off;
olt;
ost;
ox;
on;
_or;
ot;
o"&amp;"pt;
pni;
ptg;
pth;
perf;
perp;
ponb;
rthp;
sst;
saf;
szt;
smt;
st;
spa;
sni;
sth;
scf;
sthf;
sprs;
slf;
sox;
tpul;
thf;
thpa;
thst;
tuin;
unf;
vamy")</f>
        <v>alv;
amtg;
ar;
agb;
al;
ap;
af;
bx;
cb;
comb;
cor;
cbu_sc;
cpa;
cst;
dpa;
dib;
dlf;
dob;
extC;
emlgp;
emlth;
extrC;
fim;
fx;
hyhp;
ilf;
ithp;
ic;
imlgp;
imlth;
lls;
lf;
mp;
mtg;
mtt;
mcht;
mfb;
mls;
or_lp;
milf;
npa;
nst;
off;
olt;
ost;
ox;
on;
_or;
ot;
opt;
pni;
ptg;
pth;
perf;
perp;
ponb;
rthp;
sst;
saf;
szt;
smt;
st;
spa;
sni;
sth;
scf;
sthf;
sprs;
slf;
sox;
tpul;
thf;
thpa;
thst;
tuin;
unf;
vamy</v>
      </c>
      <c r="T2254" s="42"/>
      <c r="U2254" s="42" t="b">
        <f>IFERROR(__xludf.DUMMYFUNCTION("""COMPUTED_VALUE"""),FALSE)</f>
        <v>0</v>
      </c>
      <c r="V2254" s="42"/>
      <c r="W2254" s="42"/>
      <c r="X2254" s="42"/>
      <c r="Y2254" s="42"/>
      <c r="Z2254" s="42"/>
      <c r="AA2254" s="42"/>
      <c r="AB2254" s="42" t="str">
        <f>IFERROR(__xludf.DUMMYFUNCTION("""COMPUTED_VALUE"""),"allen institute")</f>
        <v>allen institute</v>
      </c>
      <c r="AC2254" s="42" t="str">
        <f>IFERROR(__xludf.DUMMYFUNCTION("""COMPUTED_VALUE"""),"DHBA")</f>
        <v>DHBA</v>
      </c>
      <c r="AD2254" s="42"/>
      <c r="AE2254" s="42"/>
      <c r="AF2254" s="9"/>
      <c r="AG2254" s="9"/>
      <c r="AH2254" s="42"/>
      <c r="AI2254" s="42"/>
      <c r="AJ2254" s="42"/>
      <c r="AK2254" s="42"/>
      <c r="AL2254" s="42"/>
      <c r="AM2254" s="42"/>
      <c r="AN2254" s="42"/>
      <c r="AO2254" s="63" t="str">
        <f>IFERROR(__xludf.DUMMYFUNCTION("IF(ISBLANK(A2254),,IF(ISBLANK(S2254), A2254&amp;"";"", TEXTJOIN(CHAR(10), TRUE, A2254&amp;"";"", ARRAYFORMULA(VLOOKUP(SPLIT(S2254, "";"" &amp; CHAR(10)), $A:$AO, 41, FALSE)))))"),"#N/A")</f>
        <v>#N/A</v>
      </c>
      <c r="AP2254" s="89"/>
    </row>
    <row r="2255">
      <c r="A2255" s="151" t="str">
        <f>IFERROR(__xludf.DUMMYFUNCTION("""COMPUTED_VALUE"""),"alv")</f>
        <v>alv</v>
      </c>
      <c r="B2255" s="42" t="str">
        <f>IFERROR(__xludf.DUMMYFUNCTION("""COMPUTED_VALUE"""),"DHBA")</f>
        <v>DHBA</v>
      </c>
      <c r="C2255" s="42" t="str">
        <f>IFERROR(__xludf.DUMMYFUNCTION("""COMPUTED_VALUE"""),"alveus")</f>
        <v>alveus</v>
      </c>
      <c r="D2255" s="42">
        <f>IFERROR(__xludf.DUMMYFUNCTION("""COMPUTED_VALUE"""),2138.0)</f>
        <v>2138</v>
      </c>
      <c r="E2255" s="39" t="str">
        <f>IFERROR(__xludf.DUMMYFUNCTION("""COMPUTED_VALUE"""),"alveus")</f>
        <v>alveus</v>
      </c>
      <c r="F2255" s="9" t="str">
        <f>IFERROR(__xludf.DUMMYFUNCTION("""COMPUTED_VALUE"""),"Br")</f>
        <v>Br</v>
      </c>
      <c r="G2255" s="9" t="str">
        <f>IFERROR(__xludf.DUMMYFUNCTION("""COMPUTED_VALUE"""),"F")</f>
        <v>F</v>
      </c>
      <c r="H2255" s="9" t="str">
        <f>IFERROR(__xludf.DUMMYFUNCTION("""COMPUTED_VALUE"""),"FWM")</f>
        <v>FWM</v>
      </c>
      <c r="I2255" s="9" t="str">
        <f>IFERROR(__xludf.DUMMYFUNCTION("""COMPUTED_VALUE"""),"FIFT")</f>
        <v>FIFT</v>
      </c>
      <c r="J2255" s="9" t="str">
        <f>IFERROR(__xludf.DUMMYFUNCTION("""COMPUTED_VALUE"""),"alv")</f>
        <v>alv</v>
      </c>
      <c r="K2255" s="9"/>
      <c r="L2255" s="9"/>
      <c r="M2255" s="9"/>
      <c r="N2255" s="9"/>
      <c r="O2255" s="9"/>
      <c r="P2255" s="9"/>
      <c r="Q2255" s="9"/>
      <c r="R2255" s="9"/>
      <c r="S2255" s="42"/>
      <c r="T2255" s="42"/>
      <c r="U2255" s="42"/>
      <c r="V2255" s="42"/>
      <c r="W2255" s="42"/>
      <c r="X2255" s="42"/>
      <c r="Y2255" s="42"/>
      <c r="Z2255" s="42"/>
      <c r="AA2255" s="42"/>
      <c r="AB2255" s="42" t="str">
        <f>IFERROR(__xludf.DUMMYFUNCTION("""COMPUTED_VALUE"""),"allen institute")</f>
        <v>allen institute</v>
      </c>
      <c r="AC2255" s="42" t="str">
        <f>IFERROR(__xludf.DUMMYFUNCTION("""COMPUTED_VALUE"""),"DHBA")</f>
        <v>DHBA</v>
      </c>
      <c r="AD2255" s="42"/>
      <c r="AE2255" s="42"/>
      <c r="AF2255" s="9"/>
      <c r="AG2255" s="9"/>
      <c r="AH2255" s="42"/>
      <c r="AI2255" s="42"/>
      <c r="AJ2255" s="42"/>
      <c r="AK2255" s="42"/>
      <c r="AL2255" s="42"/>
      <c r="AM2255" s="42"/>
      <c r="AN2255" s="42"/>
      <c r="AO2255" s="63" t="str">
        <f>IFERROR(__xludf.DUMMYFUNCTION("IF(ISBLANK(A2255),,IF(ISBLANK(S2255), A2255&amp;"";"", TEXTJOIN(CHAR(10), TRUE, A2255&amp;"";"", ARRAYFORMULA(VLOOKUP(SPLIT(S2255, "";"" &amp; CHAR(10)), $A:$AO, 41, FALSE)))))"),"alv;")</f>
        <v>alv;</v>
      </c>
      <c r="AP2255" s="89"/>
    </row>
    <row r="2256">
      <c r="A2256" s="151" t="str">
        <f>IFERROR(__xludf.DUMMYFUNCTION("""COMPUTED_VALUE"""),"amtg")</f>
        <v>amtg</v>
      </c>
      <c r="B2256" s="42" t="str">
        <f>IFERROR(__xludf.DUMMYFUNCTION("""COMPUTED_VALUE"""),"DHBA")</f>
        <v>DHBA</v>
      </c>
      <c r="C2256" s="42" t="str">
        <f>IFERROR(__xludf.DUMMYFUNCTION("""COMPUTED_VALUE"""),"amygdalotegmental tract")</f>
        <v>amygdalotegmental tract</v>
      </c>
      <c r="D2256" s="42">
        <f>IFERROR(__xludf.DUMMYFUNCTION("""COMPUTED_VALUE"""),2139.0)</f>
        <v>2139</v>
      </c>
      <c r="E2256" s="39" t="str">
        <f>IFERROR(__xludf.DUMMYFUNCTION("""COMPUTED_VALUE"""),"amygdalotegmental tract")</f>
        <v>amygdalotegmental tract</v>
      </c>
      <c r="F2256" s="9" t="str">
        <f>IFERROR(__xludf.DUMMYFUNCTION("""COMPUTED_VALUE"""),"Br")</f>
        <v>Br</v>
      </c>
      <c r="G2256" s="9" t="str">
        <f>IFERROR(__xludf.DUMMYFUNCTION("""COMPUTED_VALUE"""),"F")</f>
        <v>F</v>
      </c>
      <c r="H2256" s="9" t="str">
        <f>IFERROR(__xludf.DUMMYFUNCTION("""COMPUTED_VALUE"""),"FWM")</f>
        <v>FWM</v>
      </c>
      <c r="I2256" s="9" t="str">
        <f>IFERROR(__xludf.DUMMYFUNCTION("""COMPUTED_VALUE"""),"FIFT")</f>
        <v>FIFT</v>
      </c>
      <c r="J2256" s="9" t="str">
        <f>IFERROR(__xludf.DUMMYFUNCTION("""COMPUTED_VALUE"""),"amtg")</f>
        <v>amtg</v>
      </c>
      <c r="K2256" s="9"/>
      <c r="L2256" s="9"/>
      <c r="M2256" s="9"/>
      <c r="N2256" s="9"/>
      <c r="O2256" s="9"/>
      <c r="P2256" s="9"/>
      <c r="Q2256" s="9"/>
      <c r="R2256" s="9"/>
      <c r="S2256" s="42"/>
      <c r="T2256" s="42"/>
      <c r="U2256" s="42"/>
      <c r="V2256" s="42"/>
      <c r="W2256" s="42"/>
      <c r="X2256" s="42"/>
      <c r="Y2256" s="42"/>
      <c r="Z2256" s="42"/>
      <c r="AA2256" s="42"/>
      <c r="AB2256" s="42" t="str">
        <f>IFERROR(__xludf.DUMMYFUNCTION("""COMPUTED_VALUE"""),"allen institute")</f>
        <v>allen institute</v>
      </c>
      <c r="AC2256" s="42" t="str">
        <f>IFERROR(__xludf.DUMMYFUNCTION("""COMPUTED_VALUE"""),"DHBA")</f>
        <v>DHBA</v>
      </c>
      <c r="AD2256" s="42"/>
      <c r="AE2256" s="42"/>
      <c r="AF2256" s="9"/>
      <c r="AG2256" s="9"/>
      <c r="AH2256" s="42"/>
      <c r="AI2256" s="42"/>
      <c r="AJ2256" s="42"/>
      <c r="AK2256" s="42"/>
      <c r="AL2256" s="42"/>
      <c r="AM2256" s="42"/>
      <c r="AN2256" s="42"/>
      <c r="AO2256" s="63" t="str">
        <f>IFERROR(__xludf.DUMMYFUNCTION("IF(ISBLANK(A2256),,IF(ISBLANK(S2256), A2256&amp;"";"", TEXTJOIN(CHAR(10), TRUE, A2256&amp;"";"", ARRAYFORMULA(VLOOKUP(SPLIT(S2256, "";"" &amp; CHAR(10)), $A:$AO, 41, FALSE)))))"),"amtg;")</f>
        <v>amtg;</v>
      </c>
      <c r="AP2256" s="89"/>
    </row>
    <row r="2257">
      <c r="A2257" s="151" t="str">
        <f>IFERROR(__xludf.DUMMYFUNCTION("""COMPUTED_VALUE"""),"ar")</f>
        <v>ar</v>
      </c>
      <c r="B2257" s="42" t="str">
        <f>IFERROR(__xludf.DUMMYFUNCTION("""COMPUTED_VALUE"""),"DHBA")</f>
        <v>DHBA</v>
      </c>
      <c r="C2257" s="42" t="str">
        <f>IFERROR(__xludf.DUMMYFUNCTION("""COMPUTED_VALUE"""),"acoustic radiation")</f>
        <v>acoustic radiation</v>
      </c>
      <c r="D2257" s="42">
        <f>IFERROR(__xludf.DUMMYFUNCTION("""COMPUTED_VALUE"""),2140.0)</f>
        <v>2140</v>
      </c>
      <c r="E2257" s="39" t="str">
        <f>IFERROR(__xludf.DUMMYFUNCTION("""COMPUTED_VALUE"""),"acoustic radiation")</f>
        <v>acoustic radiation</v>
      </c>
      <c r="F2257" s="9" t="str">
        <f>IFERROR(__xludf.DUMMYFUNCTION("""COMPUTED_VALUE"""),"Br")</f>
        <v>Br</v>
      </c>
      <c r="G2257" s="9" t="str">
        <f>IFERROR(__xludf.DUMMYFUNCTION("""COMPUTED_VALUE"""),"F")</f>
        <v>F</v>
      </c>
      <c r="H2257" s="9" t="str">
        <f>IFERROR(__xludf.DUMMYFUNCTION("""COMPUTED_VALUE"""),"FWM")</f>
        <v>FWM</v>
      </c>
      <c r="I2257" s="9" t="str">
        <f>IFERROR(__xludf.DUMMYFUNCTION("""COMPUTED_VALUE"""),"FIFT")</f>
        <v>FIFT</v>
      </c>
      <c r="J2257" s="9" t="str">
        <f>IFERROR(__xludf.DUMMYFUNCTION("""COMPUTED_VALUE"""),"ar")</f>
        <v>ar</v>
      </c>
      <c r="K2257" s="9"/>
      <c r="L2257" s="9"/>
      <c r="M2257" s="9"/>
      <c r="N2257" s="9"/>
      <c r="O2257" s="9"/>
      <c r="P2257" s="9"/>
      <c r="Q2257" s="9"/>
      <c r="R2257" s="9"/>
      <c r="S2257" s="42"/>
      <c r="T2257" s="42"/>
      <c r="U2257" s="42"/>
      <c r="V2257" s="42"/>
      <c r="W2257" s="42"/>
      <c r="X2257" s="42"/>
      <c r="Y2257" s="42"/>
      <c r="Z2257" s="42"/>
      <c r="AA2257" s="42"/>
      <c r="AB2257" s="42" t="str">
        <f>IFERROR(__xludf.DUMMYFUNCTION("""COMPUTED_VALUE"""),"allen institute")</f>
        <v>allen institute</v>
      </c>
      <c r="AC2257" s="42" t="str">
        <f>IFERROR(__xludf.DUMMYFUNCTION("""COMPUTED_VALUE"""),"DHBA")</f>
        <v>DHBA</v>
      </c>
      <c r="AD2257" s="42"/>
      <c r="AE2257" s="42"/>
      <c r="AF2257" s="9"/>
      <c r="AG2257" s="9"/>
      <c r="AH2257" s="42"/>
      <c r="AI2257" s="42"/>
      <c r="AJ2257" s="42"/>
      <c r="AK2257" s="42"/>
      <c r="AL2257" s="42"/>
      <c r="AM2257" s="42"/>
      <c r="AN2257" s="42"/>
      <c r="AO2257" s="63" t="str">
        <f>IFERROR(__xludf.DUMMYFUNCTION("IF(ISBLANK(A2257),,IF(ISBLANK(S2257), A2257&amp;"";"", TEXTJOIN(CHAR(10), TRUE, A2257&amp;"";"", ARRAYFORMULA(VLOOKUP(SPLIT(S2257, "";"" &amp; CHAR(10)), $A:$AO, 41, FALSE)))))"),"ar;")</f>
        <v>ar;</v>
      </c>
      <c r="AP2257" s="89"/>
    </row>
    <row r="2258">
      <c r="A2258" s="151" t="str">
        <f>IFERROR(__xludf.DUMMYFUNCTION("""COMPUTED_VALUE"""),"agb")</f>
        <v>agb</v>
      </c>
      <c r="B2258" s="42" t="str">
        <f>IFERROR(__xludf.DUMMYFUNCTION("""COMPUTED_VALUE"""),"DHBA")</f>
        <v>DHBA</v>
      </c>
      <c r="C2258" s="42" t="str">
        <f>IFERROR(__xludf.DUMMYFUNCTION("""COMPUTED_VALUE"""),"angular bundle")</f>
        <v>angular bundle</v>
      </c>
      <c r="D2258" s="42">
        <f>IFERROR(__xludf.DUMMYFUNCTION("""COMPUTED_VALUE"""),2141.0)</f>
        <v>2141</v>
      </c>
      <c r="E2258" s="39" t="str">
        <f>IFERROR(__xludf.DUMMYFUNCTION("""COMPUTED_VALUE"""),"angular bundle")</f>
        <v>angular bundle</v>
      </c>
      <c r="F2258" s="9" t="str">
        <f>IFERROR(__xludf.DUMMYFUNCTION("""COMPUTED_VALUE"""),"Br")</f>
        <v>Br</v>
      </c>
      <c r="G2258" s="9" t="str">
        <f>IFERROR(__xludf.DUMMYFUNCTION("""COMPUTED_VALUE"""),"F")</f>
        <v>F</v>
      </c>
      <c r="H2258" s="9" t="str">
        <f>IFERROR(__xludf.DUMMYFUNCTION("""COMPUTED_VALUE"""),"FWM")</f>
        <v>FWM</v>
      </c>
      <c r="I2258" s="9" t="str">
        <f>IFERROR(__xludf.DUMMYFUNCTION("""COMPUTED_VALUE"""),"FIFT")</f>
        <v>FIFT</v>
      </c>
      <c r="J2258" s="9" t="str">
        <f>IFERROR(__xludf.DUMMYFUNCTION("""COMPUTED_VALUE"""),"agb")</f>
        <v>agb</v>
      </c>
      <c r="K2258" s="9"/>
      <c r="L2258" s="9"/>
      <c r="M2258" s="9"/>
      <c r="N2258" s="9"/>
      <c r="O2258" s="9"/>
      <c r="P2258" s="9"/>
      <c r="Q2258" s="9"/>
      <c r="R2258" s="9"/>
      <c r="S2258" s="42"/>
      <c r="T2258" s="42"/>
      <c r="U2258" s="42"/>
      <c r="V2258" s="42"/>
      <c r="W2258" s="42"/>
      <c r="X2258" s="42"/>
      <c r="Y2258" s="42"/>
      <c r="Z2258" s="42"/>
      <c r="AA2258" s="42"/>
      <c r="AB2258" s="42" t="str">
        <f>IFERROR(__xludf.DUMMYFUNCTION("""COMPUTED_VALUE"""),"allen institute")</f>
        <v>allen institute</v>
      </c>
      <c r="AC2258" s="42" t="str">
        <f>IFERROR(__xludf.DUMMYFUNCTION("""COMPUTED_VALUE"""),"DHBA")</f>
        <v>DHBA</v>
      </c>
      <c r="AD2258" s="42"/>
      <c r="AE2258" s="42"/>
      <c r="AF2258" s="9"/>
      <c r="AG2258" s="9"/>
      <c r="AH2258" s="42"/>
      <c r="AI2258" s="42"/>
      <c r="AJ2258" s="42"/>
      <c r="AK2258" s="42"/>
      <c r="AL2258" s="42"/>
      <c r="AM2258" s="42"/>
      <c r="AN2258" s="42"/>
      <c r="AO2258" s="63" t="str">
        <f>IFERROR(__xludf.DUMMYFUNCTION("IF(ISBLANK(A2258),,IF(ISBLANK(S2258), A2258&amp;"";"", TEXTJOIN(CHAR(10), TRUE, A2258&amp;"";"", ARRAYFORMULA(VLOOKUP(SPLIT(S2258, "";"" &amp; CHAR(10)), $A:$AO, 41, FALSE)))))"),"agb;")</f>
        <v>agb;</v>
      </c>
      <c r="AP2258" s="89"/>
    </row>
    <row r="2259">
      <c r="A2259" s="151" t="str">
        <f>IFERROR(__xludf.DUMMYFUNCTION("""COMPUTED_VALUE"""),"al")</f>
        <v>al</v>
      </c>
      <c r="B2259" s="42" t="str">
        <f>IFERROR(__xludf.DUMMYFUNCTION("""COMPUTED_VALUE"""),"DHBA")</f>
        <v>DHBA</v>
      </c>
      <c r="C2259" s="42" t="str">
        <f>IFERROR(__xludf.DUMMYFUNCTION("""COMPUTED_VALUE"""),"ansa lenticularis")</f>
        <v>ansa lenticularis</v>
      </c>
      <c r="D2259" s="42">
        <f>IFERROR(__xludf.DUMMYFUNCTION("""COMPUTED_VALUE"""),2142.0)</f>
        <v>2142</v>
      </c>
      <c r="E2259" s="39" t="str">
        <f>IFERROR(__xludf.DUMMYFUNCTION("""COMPUTED_VALUE"""),"ansa lenticularis")</f>
        <v>ansa lenticularis</v>
      </c>
      <c r="F2259" s="9" t="str">
        <f>IFERROR(__xludf.DUMMYFUNCTION("""COMPUTED_VALUE"""),"Br")</f>
        <v>Br</v>
      </c>
      <c r="G2259" s="9" t="str">
        <f>IFERROR(__xludf.DUMMYFUNCTION("""COMPUTED_VALUE"""),"F")</f>
        <v>F</v>
      </c>
      <c r="H2259" s="9" t="str">
        <f>IFERROR(__xludf.DUMMYFUNCTION("""COMPUTED_VALUE"""),"FWM")</f>
        <v>FWM</v>
      </c>
      <c r="I2259" s="9" t="str">
        <f>IFERROR(__xludf.DUMMYFUNCTION("""COMPUTED_VALUE"""),"FIFT")</f>
        <v>FIFT</v>
      </c>
      <c r="J2259" s="9" t="str">
        <f>IFERROR(__xludf.DUMMYFUNCTION("""COMPUTED_VALUE"""),"al")</f>
        <v>al</v>
      </c>
      <c r="K2259" s="9"/>
      <c r="L2259" s="9"/>
      <c r="M2259" s="9"/>
      <c r="N2259" s="9"/>
      <c r="O2259" s="9"/>
      <c r="P2259" s="9"/>
      <c r="Q2259" s="9"/>
      <c r="R2259" s="9"/>
      <c r="S2259" s="42"/>
      <c r="T2259" s="42"/>
      <c r="U2259" s="42"/>
      <c r="V2259" s="42"/>
      <c r="W2259" s="42"/>
      <c r="X2259" s="42"/>
      <c r="Y2259" s="42"/>
      <c r="Z2259" s="42"/>
      <c r="AA2259" s="42"/>
      <c r="AB2259" s="42" t="str">
        <f>IFERROR(__xludf.DUMMYFUNCTION("""COMPUTED_VALUE"""),"allen institute")</f>
        <v>allen institute</v>
      </c>
      <c r="AC2259" s="42" t="str">
        <f>IFERROR(__xludf.DUMMYFUNCTION("""COMPUTED_VALUE"""),"DHBA")</f>
        <v>DHBA</v>
      </c>
      <c r="AD2259" s="42"/>
      <c r="AE2259" s="42"/>
      <c r="AF2259" s="9"/>
      <c r="AG2259" s="9"/>
      <c r="AH2259" s="42"/>
      <c r="AI2259" s="42"/>
      <c r="AJ2259" s="42"/>
      <c r="AK2259" s="42"/>
      <c r="AL2259" s="42"/>
      <c r="AM2259" s="42"/>
      <c r="AN2259" s="42"/>
      <c r="AO2259" s="63" t="str">
        <f>IFERROR(__xludf.DUMMYFUNCTION("IF(ISBLANK(A2259),,IF(ISBLANK(S2259), A2259&amp;"";"", TEXTJOIN(CHAR(10), TRUE, A2259&amp;"";"", ARRAYFORMULA(VLOOKUP(SPLIT(S2259, "";"" &amp; CHAR(10)), $A:$AO, 41, FALSE)))))"),"al;")</f>
        <v>al;</v>
      </c>
      <c r="AP2259" s="89"/>
    </row>
    <row r="2260">
      <c r="A2260" s="151" t="str">
        <f>IFERROR(__xludf.DUMMYFUNCTION("""COMPUTED_VALUE"""),"ap")</f>
        <v>ap</v>
      </c>
      <c r="B2260" s="42" t="str">
        <f>IFERROR(__xludf.DUMMYFUNCTION("""COMPUTED_VALUE"""),"DHBA")</f>
        <v>DHBA</v>
      </c>
      <c r="C2260" s="42" t="str">
        <f>IFERROR(__xludf.DUMMYFUNCTION("""COMPUTED_VALUE"""),"ansa peduncularis")</f>
        <v>ansa peduncularis</v>
      </c>
      <c r="D2260" s="42">
        <f>IFERROR(__xludf.DUMMYFUNCTION("""COMPUTED_VALUE"""),2143.0)</f>
        <v>2143</v>
      </c>
      <c r="E2260" s="39" t="str">
        <f>IFERROR(__xludf.DUMMYFUNCTION("""COMPUTED_VALUE"""),"ansa peduncularis")</f>
        <v>ansa peduncularis</v>
      </c>
      <c r="F2260" s="9" t="str">
        <f>IFERROR(__xludf.DUMMYFUNCTION("""COMPUTED_VALUE"""),"Br")</f>
        <v>Br</v>
      </c>
      <c r="G2260" s="9" t="str">
        <f>IFERROR(__xludf.DUMMYFUNCTION("""COMPUTED_VALUE"""),"F")</f>
        <v>F</v>
      </c>
      <c r="H2260" s="9" t="str">
        <f>IFERROR(__xludf.DUMMYFUNCTION("""COMPUTED_VALUE"""),"FWM")</f>
        <v>FWM</v>
      </c>
      <c r="I2260" s="9" t="str">
        <f>IFERROR(__xludf.DUMMYFUNCTION("""COMPUTED_VALUE"""),"FIFT")</f>
        <v>FIFT</v>
      </c>
      <c r="J2260" s="9" t="str">
        <f>IFERROR(__xludf.DUMMYFUNCTION("""COMPUTED_VALUE"""),"ap")</f>
        <v>ap</v>
      </c>
      <c r="K2260" s="9"/>
      <c r="L2260" s="9"/>
      <c r="M2260" s="9"/>
      <c r="N2260" s="9"/>
      <c r="O2260" s="9"/>
      <c r="P2260" s="9"/>
      <c r="Q2260" s="9"/>
      <c r="R2260" s="9"/>
      <c r="S2260" s="42"/>
      <c r="T2260" s="42"/>
      <c r="U2260" s="42"/>
      <c r="V2260" s="42"/>
      <c r="W2260" s="42"/>
      <c r="X2260" s="42"/>
      <c r="Y2260" s="42"/>
      <c r="Z2260" s="42"/>
      <c r="AA2260" s="42"/>
      <c r="AB2260" s="42" t="str">
        <f>IFERROR(__xludf.DUMMYFUNCTION("""COMPUTED_VALUE"""),"allen institute")</f>
        <v>allen institute</v>
      </c>
      <c r="AC2260" s="42" t="str">
        <f>IFERROR(__xludf.DUMMYFUNCTION("""COMPUTED_VALUE"""),"DHBA")</f>
        <v>DHBA</v>
      </c>
      <c r="AD2260" s="42"/>
      <c r="AE2260" s="42"/>
      <c r="AF2260" s="9"/>
      <c r="AG2260" s="9"/>
      <c r="AH2260" s="42"/>
      <c r="AI2260" s="42"/>
      <c r="AJ2260" s="42"/>
      <c r="AK2260" s="42"/>
      <c r="AL2260" s="42"/>
      <c r="AM2260" s="42"/>
      <c r="AN2260" s="42"/>
      <c r="AO2260" s="63" t="str">
        <f>IFERROR(__xludf.DUMMYFUNCTION("IF(ISBLANK(A2260),,IF(ISBLANK(S2260), A2260&amp;"";"", TEXTJOIN(CHAR(10), TRUE, A2260&amp;"";"", ARRAYFORMULA(VLOOKUP(SPLIT(S2260, "";"" &amp; CHAR(10)), $A:$AO, 41, FALSE)))))"),"ap;")</f>
        <v>ap;</v>
      </c>
      <c r="AP2260" s="89"/>
    </row>
    <row r="2261">
      <c r="A2261" s="151" t="str">
        <f>IFERROR(__xludf.DUMMYFUNCTION("""COMPUTED_VALUE"""),"af")</f>
        <v>af</v>
      </c>
      <c r="B2261" s="42" t="str">
        <f>IFERROR(__xludf.DUMMYFUNCTION("""COMPUTED_VALUE"""),"DHBA")</f>
        <v>DHBA</v>
      </c>
      <c r="C2261" s="42" t="str">
        <f>IFERROR(__xludf.DUMMYFUNCTION("""COMPUTED_VALUE"""),"arcuate fasciculus")</f>
        <v>arcuate fasciculus</v>
      </c>
      <c r="D2261" s="42">
        <f>IFERROR(__xludf.DUMMYFUNCTION("""COMPUTED_VALUE"""),2144.0)</f>
        <v>2144</v>
      </c>
      <c r="E2261" s="39" t="str">
        <f>IFERROR(__xludf.DUMMYFUNCTION("""COMPUTED_VALUE"""),"arcuate fasciculus")</f>
        <v>arcuate fasciculus</v>
      </c>
      <c r="F2261" s="9" t="str">
        <f>IFERROR(__xludf.DUMMYFUNCTION("""COMPUTED_VALUE"""),"Br")</f>
        <v>Br</v>
      </c>
      <c r="G2261" s="9" t="str">
        <f>IFERROR(__xludf.DUMMYFUNCTION("""COMPUTED_VALUE"""),"F")</f>
        <v>F</v>
      </c>
      <c r="H2261" s="9" t="str">
        <f>IFERROR(__xludf.DUMMYFUNCTION("""COMPUTED_VALUE"""),"FWM")</f>
        <v>FWM</v>
      </c>
      <c r="I2261" s="9" t="str">
        <f>IFERROR(__xludf.DUMMYFUNCTION("""COMPUTED_VALUE"""),"FIFT")</f>
        <v>FIFT</v>
      </c>
      <c r="J2261" s="9" t="str">
        <f>IFERROR(__xludf.DUMMYFUNCTION("""COMPUTED_VALUE"""),"af")</f>
        <v>af</v>
      </c>
      <c r="K2261" s="9"/>
      <c r="L2261" s="9"/>
      <c r="M2261" s="9"/>
      <c r="N2261" s="9"/>
      <c r="O2261" s="9"/>
      <c r="P2261" s="9"/>
      <c r="Q2261" s="9"/>
      <c r="R2261" s="9"/>
      <c r="S2261" s="42"/>
      <c r="T2261" s="42"/>
      <c r="U2261" s="42"/>
      <c r="V2261" s="42"/>
      <c r="W2261" s="42"/>
      <c r="X2261" s="42"/>
      <c r="Y2261" s="42"/>
      <c r="Z2261" s="42"/>
      <c r="AA2261" s="42"/>
      <c r="AB2261" s="42" t="str">
        <f>IFERROR(__xludf.DUMMYFUNCTION("""COMPUTED_VALUE"""),"allen institute")</f>
        <v>allen institute</v>
      </c>
      <c r="AC2261" s="42" t="str">
        <f>IFERROR(__xludf.DUMMYFUNCTION("""COMPUTED_VALUE"""),"DHBA")</f>
        <v>DHBA</v>
      </c>
      <c r="AD2261" s="42"/>
      <c r="AE2261" s="42"/>
      <c r="AF2261" s="9"/>
      <c r="AG2261" s="9"/>
      <c r="AH2261" s="42"/>
      <c r="AI2261" s="42"/>
      <c r="AJ2261" s="42"/>
      <c r="AK2261" s="42"/>
      <c r="AL2261" s="42"/>
      <c r="AM2261" s="42"/>
      <c r="AN2261" s="42"/>
      <c r="AO2261" s="63" t="str">
        <f>IFERROR(__xludf.DUMMYFUNCTION("IF(ISBLANK(A2261),,IF(ISBLANK(S2261), A2261&amp;"";"", TEXTJOIN(CHAR(10), TRUE, A2261&amp;"";"", ARRAYFORMULA(VLOOKUP(SPLIT(S2261, "";"" &amp; CHAR(10)), $A:$AO, 41, FALSE)))))"),"af;")</f>
        <v>af;</v>
      </c>
      <c r="AP2261" s="89"/>
    </row>
    <row r="2262">
      <c r="A2262" s="151" t="str">
        <f>IFERROR(__xludf.DUMMYFUNCTION("""COMPUTED_VALUE"""),"bx")</f>
        <v>bx</v>
      </c>
      <c r="B2262" s="42" t="str">
        <f>IFERROR(__xludf.DUMMYFUNCTION("""COMPUTED_VALUE"""),"DHBA")</f>
        <v>DHBA</v>
      </c>
      <c r="C2262" s="42" t="str">
        <f>IFERROR(__xludf.DUMMYFUNCTION("""COMPUTED_VALUE"""),"bundle X")</f>
        <v>bundle X</v>
      </c>
      <c r="D2262" s="42">
        <f>IFERROR(__xludf.DUMMYFUNCTION("""COMPUTED_VALUE"""),2145.0)</f>
        <v>2145</v>
      </c>
      <c r="E2262" s="39" t="str">
        <f>IFERROR(__xludf.DUMMYFUNCTION("""COMPUTED_VALUE"""),"bundle X")</f>
        <v>bundle X</v>
      </c>
      <c r="F2262" s="9" t="str">
        <f>IFERROR(__xludf.DUMMYFUNCTION("""COMPUTED_VALUE"""),"Br")</f>
        <v>Br</v>
      </c>
      <c r="G2262" s="9" t="str">
        <f>IFERROR(__xludf.DUMMYFUNCTION("""COMPUTED_VALUE"""),"F")</f>
        <v>F</v>
      </c>
      <c r="H2262" s="9" t="str">
        <f>IFERROR(__xludf.DUMMYFUNCTION("""COMPUTED_VALUE"""),"FWM")</f>
        <v>FWM</v>
      </c>
      <c r="I2262" s="9" t="str">
        <f>IFERROR(__xludf.DUMMYFUNCTION("""COMPUTED_VALUE"""),"FIFT")</f>
        <v>FIFT</v>
      </c>
      <c r="J2262" s="9" t="str">
        <f>IFERROR(__xludf.DUMMYFUNCTION("""COMPUTED_VALUE"""),"bx")</f>
        <v>bx</v>
      </c>
      <c r="K2262" s="9"/>
      <c r="L2262" s="9"/>
      <c r="M2262" s="9"/>
      <c r="N2262" s="9"/>
      <c r="O2262" s="9"/>
      <c r="P2262" s="9"/>
      <c r="Q2262" s="9"/>
      <c r="R2262" s="9"/>
      <c r="S2262" s="42"/>
      <c r="T2262" s="42"/>
      <c r="U2262" s="42"/>
      <c r="V2262" s="42"/>
      <c r="W2262" s="42"/>
      <c r="X2262" s="42"/>
      <c r="Y2262" s="42"/>
      <c r="Z2262" s="42"/>
      <c r="AA2262" s="42"/>
      <c r="AB2262" s="42" t="str">
        <f>IFERROR(__xludf.DUMMYFUNCTION("""COMPUTED_VALUE"""),"allen institute")</f>
        <v>allen institute</v>
      </c>
      <c r="AC2262" s="42" t="str">
        <f>IFERROR(__xludf.DUMMYFUNCTION("""COMPUTED_VALUE"""),"DHBA")</f>
        <v>DHBA</v>
      </c>
      <c r="AD2262" s="42"/>
      <c r="AE2262" s="42"/>
      <c r="AF2262" s="9"/>
      <c r="AG2262" s="9"/>
      <c r="AH2262" s="42"/>
      <c r="AI2262" s="42"/>
      <c r="AJ2262" s="42"/>
      <c r="AK2262" s="42"/>
      <c r="AL2262" s="42"/>
      <c r="AM2262" s="42"/>
      <c r="AN2262" s="42"/>
      <c r="AO2262" s="63" t="str">
        <f>IFERROR(__xludf.DUMMYFUNCTION("IF(ISBLANK(A2262),,IF(ISBLANK(S2262), A2262&amp;"";"", TEXTJOIN(CHAR(10), TRUE, A2262&amp;"";"", ARRAYFORMULA(VLOOKUP(SPLIT(S2262, "";"" &amp; CHAR(10)), $A:$AO, 41, FALSE)))))"),"bx;")</f>
        <v>bx;</v>
      </c>
      <c r="AP2262" s="89"/>
    </row>
    <row r="2263">
      <c r="A2263" s="151" t="str">
        <f>IFERROR(__xludf.DUMMYFUNCTION("""COMPUTED_VALUE"""),"cb")</f>
        <v>cb</v>
      </c>
      <c r="B2263" s="42" t="str">
        <f>IFERROR(__xludf.DUMMYFUNCTION("""COMPUTED_VALUE"""),"DHBA")</f>
        <v>DHBA</v>
      </c>
      <c r="C2263" s="42" t="str">
        <f>IFERROR(__xludf.DUMMYFUNCTION("""COMPUTED_VALUE"""),"cingulum bundle")</f>
        <v>cingulum bundle</v>
      </c>
      <c r="D2263" s="42">
        <f>IFERROR(__xludf.DUMMYFUNCTION("""COMPUTED_VALUE"""),2146.0)</f>
        <v>2146</v>
      </c>
      <c r="E2263" s="39" t="str">
        <f>IFERROR(__xludf.DUMMYFUNCTION("""COMPUTED_VALUE"""),"cingulum bundle")</f>
        <v>cingulum bundle</v>
      </c>
      <c r="F2263" s="9" t="str">
        <f>IFERROR(__xludf.DUMMYFUNCTION("""COMPUTED_VALUE"""),"Br")</f>
        <v>Br</v>
      </c>
      <c r="G2263" s="9" t="str">
        <f>IFERROR(__xludf.DUMMYFUNCTION("""COMPUTED_VALUE"""),"F")</f>
        <v>F</v>
      </c>
      <c r="H2263" s="9" t="str">
        <f>IFERROR(__xludf.DUMMYFUNCTION("""COMPUTED_VALUE"""),"FWM")</f>
        <v>FWM</v>
      </c>
      <c r="I2263" s="9" t="str">
        <f>IFERROR(__xludf.DUMMYFUNCTION("""COMPUTED_VALUE"""),"FIFT")</f>
        <v>FIFT</v>
      </c>
      <c r="J2263" s="9" t="str">
        <f>IFERROR(__xludf.DUMMYFUNCTION("""COMPUTED_VALUE"""),"cb")</f>
        <v>cb</v>
      </c>
      <c r="K2263" s="9"/>
      <c r="L2263" s="9"/>
      <c r="M2263" s="9"/>
      <c r="N2263" s="9"/>
      <c r="O2263" s="9"/>
      <c r="P2263" s="9"/>
      <c r="Q2263" s="9"/>
      <c r="R2263" s="9"/>
      <c r="S2263" s="42" t="str">
        <f>IFERROR(__xludf.DUMMYFUNCTION("""COMPUTED_VALUE"""),"cb_cx;
cb_tx")</f>
        <v>cb_cx;
cb_tx</v>
      </c>
      <c r="T2263" s="42"/>
      <c r="U2263" s="42" t="b">
        <f>IFERROR(__xludf.DUMMYFUNCTION("""COMPUTED_VALUE"""),FALSE)</f>
        <v>0</v>
      </c>
      <c r="V2263" s="42"/>
      <c r="W2263" s="42"/>
      <c r="X2263" s="42"/>
      <c r="Y2263" s="42"/>
      <c r="Z2263" s="42"/>
      <c r="AA2263" s="42"/>
      <c r="AB2263" s="42" t="str">
        <f>IFERROR(__xludf.DUMMYFUNCTION("""COMPUTED_VALUE"""),"allen institute")</f>
        <v>allen institute</v>
      </c>
      <c r="AC2263" s="42" t="str">
        <f>IFERROR(__xludf.DUMMYFUNCTION("""COMPUTED_VALUE"""),"DHBA")</f>
        <v>DHBA</v>
      </c>
      <c r="AD2263" s="42"/>
      <c r="AE2263" s="42"/>
      <c r="AF2263" s="9"/>
      <c r="AG2263" s="9"/>
      <c r="AH2263" s="42"/>
      <c r="AI2263" s="42"/>
      <c r="AJ2263" s="42"/>
      <c r="AK2263" s="42"/>
      <c r="AL2263" s="42"/>
      <c r="AM2263" s="42"/>
      <c r="AN2263" s="42"/>
      <c r="AO2263" s="63" t="str">
        <f>IFERROR(__xludf.DUMMYFUNCTION("IF(ISBLANK(A2263),,IF(ISBLANK(S2263), A2263&amp;"";"", TEXTJOIN(CHAR(10), TRUE, A2263&amp;"";"", ARRAYFORMULA(VLOOKUP(SPLIT(S2263, "";"" &amp; CHAR(10)), $A:$AO, 41, FALSE)))))"),"#N/A")</f>
        <v>#N/A</v>
      </c>
      <c r="AP2263" s="89"/>
    </row>
    <row r="2264">
      <c r="A2264" s="151" t="str">
        <f>IFERROR(__xludf.DUMMYFUNCTION("""COMPUTED_VALUE"""),"cb-cx")</f>
        <v>cb-cx</v>
      </c>
      <c r="B2264" s="42" t="str">
        <f>IFERROR(__xludf.DUMMYFUNCTION("""COMPUTED_VALUE"""),"DHBA")</f>
        <v>DHBA</v>
      </c>
      <c r="C2264" s="42" t="str">
        <f>IFERROR(__xludf.DUMMYFUNCTION("""COMPUTED_VALUE"""),"cingulum bundle in cingulate cortex")</f>
        <v>cingulum bundle in cingulate cortex</v>
      </c>
      <c r="D2264" s="42">
        <f>IFERROR(__xludf.DUMMYFUNCTION("""COMPUTED_VALUE"""),2147.0)</f>
        <v>2147</v>
      </c>
      <c r="E2264" s="39" t="str">
        <f>IFERROR(__xludf.DUMMYFUNCTION("""COMPUTED_VALUE"""),"cingulum bundle in cingulate cortex")</f>
        <v>cingulum bundle in cingulate cortex</v>
      </c>
      <c r="F2264" s="9" t="str">
        <f>IFERROR(__xludf.DUMMYFUNCTION("""COMPUTED_VALUE"""),"Br")</f>
        <v>Br</v>
      </c>
      <c r="G2264" s="9" t="str">
        <f>IFERROR(__xludf.DUMMYFUNCTION("""COMPUTED_VALUE"""),"F")</f>
        <v>F</v>
      </c>
      <c r="H2264" s="9" t="str">
        <f>IFERROR(__xludf.DUMMYFUNCTION("""COMPUTED_VALUE"""),"FWM")</f>
        <v>FWM</v>
      </c>
      <c r="I2264" s="9" t="str">
        <f>IFERROR(__xludf.DUMMYFUNCTION("""COMPUTED_VALUE"""),"FIFT")</f>
        <v>FIFT</v>
      </c>
      <c r="J2264" s="9" t="str">
        <f>IFERROR(__xludf.DUMMYFUNCTION("""COMPUTED_VALUE"""),"cb")</f>
        <v>cb</v>
      </c>
      <c r="K2264" s="9" t="str">
        <f>IFERROR(__xludf.DUMMYFUNCTION("""COMPUTED_VALUE"""),"cb-cx")</f>
        <v>cb-cx</v>
      </c>
      <c r="L2264" s="9"/>
      <c r="M2264" s="9"/>
      <c r="N2264" s="9"/>
      <c r="O2264" s="9"/>
      <c r="P2264" s="9"/>
      <c r="Q2264" s="9"/>
      <c r="R2264" s="9"/>
      <c r="S2264" s="42"/>
      <c r="T2264" s="42"/>
      <c r="U2264" s="42"/>
      <c r="V2264" s="42"/>
      <c r="W2264" s="42"/>
      <c r="X2264" s="42"/>
      <c r="Y2264" s="42"/>
      <c r="Z2264" s="42"/>
      <c r="AA2264" s="42"/>
      <c r="AB2264" s="42" t="str">
        <f>IFERROR(__xludf.DUMMYFUNCTION("""COMPUTED_VALUE"""),"allen institute")</f>
        <v>allen institute</v>
      </c>
      <c r="AC2264" s="42" t="str">
        <f>IFERROR(__xludf.DUMMYFUNCTION("""COMPUTED_VALUE"""),"DHBA")</f>
        <v>DHBA</v>
      </c>
      <c r="AD2264" s="42"/>
      <c r="AE2264" s="42"/>
      <c r="AF2264" s="9"/>
      <c r="AG2264" s="9"/>
      <c r="AH2264" s="42"/>
      <c r="AI2264" s="42"/>
      <c r="AJ2264" s="42"/>
      <c r="AK2264" s="42"/>
      <c r="AL2264" s="42"/>
      <c r="AM2264" s="42"/>
      <c r="AN2264" s="42"/>
      <c r="AO2264" s="63" t="str">
        <f>IFERROR(__xludf.DUMMYFUNCTION("IF(ISBLANK(A2264),,IF(ISBLANK(S2264), A2264&amp;"";"", TEXTJOIN(CHAR(10), TRUE, A2264&amp;"";"", ARRAYFORMULA(VLOOKUP(SPLIT(S2264, "";"" &amp; CHAR(10)), $A:$AO, 41, FALSE)))))"),"cb-cx;")</f>
        <v>cb-cx;</v>
      </c>
      <c r="AP2264" s="89"/>
    </row>
    <row r="2265">
      <c r="A2265" s="151" t="str">
        <f>IFERROR(__xludf.DUMMYFUNCTION("""COMPUTED_VALUE"""),"cb-tx")</f>
        <v>cb-tx</v>
      </c>
      <c r="B2265" s="42" t="str">
        <f>IFERROR(__xludf.DUMMYFUNCTION("""COMPUTED_VALUE"""),"DHBA")</f>
        <v>DHBA</v>
      </c>
      <c r="C2265" s="42" t="str">
        <f>IFERROR(__xludf.DUMMYFUNCTION("""COMPUTED_VALUE"""),"cingulum bundle in temporal cortex")</f>
        <v>cingulum bundle in temporal cortex</v>
      </c>
      <c r="D2265" s="42">
        <f>IFERROR(__xludf.DUMMYFUNCTION("""COMPUTED_VALUE"""),2148.0)</f>
        <v>2148</v>
      </c>
      <c r="E2265" s="39" t="str">
        <f>IFERROR(__xludf.DUMMYFUNCTION("""COMPUTED_VALUE"""),"cingulum bundle in temporal cortex")</f>
        <v>cingulum bundle in temporal cortex</v>
      </c>
      <c r="F2265" s="9" t="str">
        <f>IFERROR(__xludf.DUMMYFUNCTION("""COMPUTED_VALUE"""),"Br")</f>
        <v>Br</v>
      </c>
      <c r="G2265" s="9" t="str">
        <f>IFERROR(__xludf.DUMMYFUNCTION("""COMPUTED_VALUE"""),"F")</f>
        <v>F</v>
      </c>
      <c r="H2265" s="9" t="str">
        <f>IFERROR(__xludf.DUMMYFUNCTION("""COMPUTED_VALUE"""),"FWM")</f>
        <v>FWM</v>
      </c>
      <c r="I2265" s="9" t="str">
        <f>IFERROR(__xludf.DUMMYFUNCTION("""COMPUTED_VALUE"""),"FIFT")</f>
        <v>FIFT</v>
      </c>
      <c r="J2265" s="9" t="str">
        <f>IFERROR(__xludf.DUMMYFUNCTION("""COMPUTED_VALUE"""),"cb")</f>
        <v>cb</v>
      </c>
      <c r="K2265" s="9" t="str">
        <f>IFERROR(__xludf.DUMMYFUNCTION("""COMPUTED_VALUE"""),"cb-tx")</f>
        <v>cb-tx</v>
      </c>
      <c r="L2265" s="9"/>
      <c r="M2265" s="9"/>
      <c r="N2265" s="9"/>
      <c r="O2265" s="9"/>
      <c r="P2265" s="9"/>
      <c r="Q2265" s="9"/>
      <c r="R2265" s="9"/>
      <c r="S2265" s="42"/>
      <c r="T2265" s="42"/>
      <c r="U2265" s="42"/>
      <c r="V2265" s="42"/>
      <c r="W2265" s="42"/>
      <c r="X2265" s="42"/>
      <c r="Y2265" s="42"/>
      <c r="Z2265" s="42"/>
      <c r="AA2265" s="42"/>
      <c r="AB2265" s="42" t="str">
        <f>IFERROR(__xludf.DUMMYFUNCTION("""COMPUTED_VALUE"""),"allen institute")</f>
        <v>allen institute</v>
      </c>
      <c r="AC2265" s="42" t="str">
        <f>IFERROR(__xludf.DUMMYFUNCTION("""COMPUTED_VALUE"""),"DHBA")</f>
        <v>DHBA</v>
      </c>
      <c r="AD2265" s="42"/>
      <c r="AE2265" s="42"/>
      <c r="AF2265" s="9"/>
      <c r="AG2265" s="9"/>
      <c r="AH2265" s="42"/>
      <c r="AI2265" s="42"/>
      <c r="AJ2265" s="42"/>
      <c r="AK2265" s="42"/>
      <c r="AL2265" s="42"/>
      <c r="AM2265" s="42"/>
      <c r="AN2265" s="42"/>
      <c r="AO2265" s="63" t="str">
        <f>IFERROR(__xludf.DUMMYFUNCTION("IF(ISBLANK(A2265),,IF(ISBLANK(S2265), A2265&amp;"";"", TEXTJOIN(CHAR(10), TRUE, A2265&amp;"";"", ARRAYFORMULA(VLOOKUP(SPLIT(S2265, "";"" &amp; CHAR(10)), $A:$AO, 41, FALSE)))))"),"cb-tx;")</f>
        <v>cb-tx;</v>
      </c>
      <c r="AP2265" s="89"/>
    </row>
    <row r="2266">
      <c r="A2266" s="151" t="str">
        <f>IFERROR(__xludf.DUMMYFUNCTION("""COMPUTED_VALUE"""),"comb")</f>
        <v>comb</v>
      </c>
      <c r="B2266" s="42" t="str">
        <f>IFERROR(__xludf.DUMMYFUNCTION("""COMPUTED_VALUE"""),"DHBA")</f>
        <v>DHBA</v>
      </c>
      <c r="C2266" s="42" t="str">
        <f>IFERROR(__xludf.DUMMYFUNCTION("""COMPUTED_VALUE"""),"comb fibers")</f>
        <v>comb fibers</v>
      </c>
      <c r="D2266" s="42">
        <f>IFERROR(__xludf.DUMMYFUNCTION("""COMPUTED_VALUE"""),2149.0)</f>
        <v>2149</v>
      </c>
      <c r="E2266" s="39" t="str">
        <f>IFERROR(__xludf.DUMMYFUNCTION("""COMPUTED_VALUE"""),"comb fibers")</f>
        <v>comb fibers</v>
      </c>
      <c r="F2266" s="9" t="str">
        <f>IFERROR(__xludf.DUMMYFUNCTION("""COMPUTED_VALUE"""),"Br")</f>
        <v>Br</v>
      </c>
      <c r="G2266" s="9" t="str">
        <f>IFERROR(__xludf.DUMMYFUNCTION("""COMPUTED_VALUE"""),"F")</f>
        <v>F</v>
      </c>
      <c r="H2266" s="9" t="str">
        <f>IFERROR(__xludf.DUMMYFUNCTION("""COMPUTED_VALUE"""),"FWM")</f>
        <v>FWM</v>
      </c>
      <c r="I2266" s="9" t="str">
        <f>IFERROR(__xludf.DUMMYFUNCTION("""COMPUTED_VALUE"""),"FIFT")</f>
        <v>FIFT</v>
      </c>
      <c r="J2266" s="9" t="str">
        <f>IFERROR(__xludf.DUMMYFUNCTION("""COMPUTED_VALUE"""),"comb")</f>
        <v>comb</v>
      </c>
      <c r="K2266" s="9"/>
      <c r="L2266" s="9"/>
      <c r="M2266" s="9"/>
      <c r="N2266" s="9"/>
      <c r="O2266" s="9"/>
      <c r="P2266" s="9"/>
      <c r="Q2266" s="9"/>
      <c r="R2266" s="9"/>
      <c r="S2266" s="42"/>
      <c r="T2266" s="42"/>
      <c r="U2266" s="42"/>
      <c r="V2266" s="42"/>
      <c r="W2266" s="42"/>
      <c r="X2266" s="42"/>
      <c r="Y2266" s="42"/>
      <c r="Z2266" s="42"/>
      <c r="AA2266" s="42"/>
      <c r="AB2266" s="42" t="str">
        <f>IFERROR(__xludf.DUMMYFUNCTION("""COMPUTED_VALUE"""),"allen institute")</f>
        <v>allen institute</v>
      </c>
      <c r="AC2266" s="42" t="str">
        <f>IFERROR(__xludf.DUMMYFUNCTION("""COMPUTED_VALUE"""),"DHBA")</f>
        <v>DHBA</v>
      </c>
      <c r="AD2266" s="42"/>
      <c r="AE2266" s="42"/>
      <c r="AF2266" s="9"/>
      <c r="AG2266" s="9"/>
      <c r="AH2266" s="42"/>
      <c r="AI2266" s="42"/>
      <c r="AJ2266" s="42"/>
      <c r="AK2266" s="42"/>
      <c r="AL2266" s="42"/>
      <c r="AM2266" s="42"/>
      <c r="AN2266" s="42"/>
      <c r="AO2266" s="63" t="str">
        <f>IFERROR(__xludf.DUMMYFUNCTION("IF(ISBLANK(A2266),,IF(ISBLANK(S2266), A2266&amp;"";"", TEXTJOIN(CHAR(10), TRUE, A2266&amp;"";"", ARRAYFORMULA(VLOOKUP(SPLIT(S2266, "";"" &amp; CHAR(10)), $A:$AO, 41, FALSE)))))"),"comb;")</f>
        <v>comb;</v>
      </c>
      <c r="AP2266" s="89"/>
    </row>
    <row r="2267">
      <c r="A2267" s="151" t="str">
        <f>IFERROR(__xludf.DUMMYFUNCTION("""COMPUTED_VALUE"""),"cor")</f>
        <v>cor</v>
      </c>
      <c r="B2267" s="42" t="str">
        <f>IFERROR(__xludf.DUMMYFUNCTION("""COMPUTED_VALUE"""),"DHBA")</f>
        <v>DHBA</v>
      </c>
      <c r="C2267" s="42" t="str">
        <f>IFERROR(__xludf.DUMMYFUNCTION("""COMPUTED_VALUE"""),"corona radiata")</f>
        <v>corona radiata</v>
      </c>
      <c r="D2267" s="42">
        <f>IFERROR(__xludf.DUMMYFUNCTION("""COMPUTED_VALUE"""),2150.0)</f>
        <v>2150</v>
      </c>
      <c r="E2267" s="39" t="str">
        <f>IFERROR(__xludf.DUMMYFUNCTION("""COMPUTED_VALUE"""),"corona radiata")</f>
        <v>corona radiata</v>
      </c>
      <c r="F2267" s="9" t="str">
        <f>IFERROR(__xludf.DUMMYFUNCTION("""COMPUTED_VALUE"""),"Br")</f>
        <v>Br</v>
      </c>
      <c r="G2267" s="9" t="str">
        <f>IFERROR(__xludf.DUMMYFUNCTION("""COMPUTED_VALUE"""),"F")</f>
        <v>F</v>
      </c>
      <c r="H2267" s="9" t="str">
        <f>IFERROR(__xludf.DUMMYFUNCTION("""COMPUTED_VALUE"""),"FWM")</f>
        <v>FWM</v>
      </c>
      <c r="I2267" s="9" t="str">
        <f>IFERROR(__xludf.DUMMYFUNCTION("""COMPUTED_VALUE"""),"FIFT")</f>
        <v>FIFT</v>
      </c>
      <c r="J2267" s="9" t="str">
        <f>IFERROR(__xludf.DUMMYFUNCTION("""COMPUTED_VALUE"""),"cor")</f>
        <v>cor</v>
      </c>
      <c r="K2267" s="9"/>
      <c r="L2267" s="9"/>
      <c r="M2267" s="9"/>
      <c r="N2267" s="9"/>
      <c r="O2267" s="9"/>
      <c r="P2267" s="9"/>
      <c r="Q2267" s="9"/>
      <c r="R2267" s="9"/>
      <c r="S2267" s="42" t="str">
        <f>IFERROR(__xludf.DUMMYFUNCTION("""COMPUTED_VALUE"""),"cor_a;
cor_s;
cor_p")</f>
        <v>cor_a;
cor_s;
cor_p</v>
      </c>
      <c r="T2267" s="42"/>
      <c r="U2267" s="42" t="b">
        <f>IFERROR(__xludf.DUMMYFUNCTION("""COMPUTED_VALUE"""),FALSE)</f>
        <v>0</v>
      </c>
      <c r="V2267" s="42"/>
      <c r="W2267" s="42"/>
      <c r="X2267" s="42"/>
      <c r="Y2267" s="42"/>
      <c r="Z2267" s="42"/>
      <c r="AA2267" s="42"/>
      <c r="AB2267" s="42" t="str">
        <f>IFERROR(__xludf.DUMMYFUNCTION("""COMPUTED_VALUE"""),"allen institute")</f>
        <v>allen institute</v>
      </c>
      <c r="AC2267" s="42" t="str">
        <f>IFERROR(__xludf.DUMMYFUNCTION("""COMPUTED_VALUE"""),"DHBA")</f>
        <v>DHBA</v>
      </c>
      <c r="AD2267" s="42"/>
      <c r="AE2267" s="42"/>
      <c r="AF2267" s="9"/>
      <c r="AG2267" s="9"/>
      <c r="AH2267" s="42"/>
      <c r="AI2267" s="42"/>
      <c r="AJ2267" s="42"/>
      <c r="AK2267" s="42"/>
      <c r="AL2267" s="42"/>
      <c r="AM2267" s="42"/>
      <c r="AN2267" s="42"/>
      <c r="AO2267" s="63" t="str">
        <f>IFERROR(__xludf.DUMMYFUNCTION("IF(ISBLANK(A2267),,IF(ISBLANK(S2267), A2267&amp;"";"", TEXTJOIN(CHAR(10), TRUE, A2267&amp;"";"", ARRAYFORMULA(VLOOKUP(SPLIT(S2267, "";"" &amp; CHAR(10)), $A:$AO, 41, FALSE)))))"),"#N/A")</f>
        <v>#N/A</v>
      </c>
      <c r="AP2267" s="89"/>
    </row>
    <row r="2268">
      <c r="A2268" s="151" t="str">
        <f>IFERROR(__xludf.DUMMYFUNCTION("""COMPUTED_VALUE"""),"cor-a")</f>
        <v>cor-a</v>
      </c>
      <c r="B2268" s="42" t="str">
        <f>IFERROR(__xludf.DUMMYFUNCTION("""COMPUTED_VALUE"""),"DHBA")</f>
        <v>DHBA</v>
      </c>
      <c r="C2268" s="42" t="str">
        <f>IFERROR(__xludf.DUMMYFUNCTION("""COMPUTED_VALUE"""),"anterior portion of corona radiata")</f>
        <v>anterior portion of corona radiata</v>
      </c>
      <c r="D2268" s="42">
        <f>IFERROR(__xludf.DUMMYFUNCTION("""COMPUTED_VALUE"""),2151.0)</f>
        <v>2151</v>
      </c>
      <c r="E2268" s="39" t="str">
        <f>IFERROR(__xludf.DUMMYFUNCTION("""COMPUTED_VALUE"""),"anterior portion of corona radiata")</f>
        <v>anterior portion of corona radiata</v>
      </c>
      <c r="F2268" s="9" t="str">
        <f>IFERROR(__xludf.DUMMYFUNCTION("""COMPUTED_VALUE"""),"Br")</f>
        <v>Br</v>
      </c>
      <c r="G2268" s="9" t="str">
        <f>IFERROR(__xludf.DUMMYFUNCTION("""COMPUTED_VALUE"""),"F")</f>
        <v>F</v>
      </c>
      <c r="H2268" s="9" t="str">
        <f>IFERROR(__xludf.DUMMYFUNCTION("""COMPUTED_VALUE"""),"FWM")</f>
        <v>FWM</v>
      </c>
      <c r="I2268" s="9" t="str">
        <f>IFERROR(__xludf.DUMMYFUNCTION("""COMPUTED_VALUE"""),"FIFT")</f>
        <v>FIFT</v>
      </c>
      <c r="J2268" s="9" t="str">
        <f>IFERROR(__xludf.DUMMYFUNCTION("""COMPUTED_VALUE"""),"cor")</f>
        <v>cor</v>
      </c>
      <c r="K2268" s="9" t="str">
        <f>IFERROR(__xludf.DUMMYFUNCTION("""COMPUTED_VALUE"""),"cor-a")</f>
        <v>cor-a</v>
      </c>
      <c r="L2268" s="9"/>
      <c r="M2268" s="9"/>
      <c r="N2268" s="9"/>
      <c r="O2268" s="9"/>
      <c r="P2268" s="9"/>
      <c r="Q2268" s="9"/>
      <c r="R2268" s="9"/>
      <c r="S2268" s="42"/>
      <c r="T2268" s="42"/>
      <c r="U2268" s="42"/>
      <c r="V2268" s="42"/>
      <c r="W2268" s="42"/>
      <c r="X2268" s="42"/>
      <c r="Y2268" s="42"/>
      <c r="Z2268" s="42"/>
      <c r="AA2268" s="42"/>
      <c r="AB2268" s="42" t="str">
        <f>IFERROR(__xludf.DUMMYFUNCTION("""COMPUTED_VALUE"""),"allen institute")</f>
        <v>allen institute</v>
      </c>
      <c r="AC2268" s="42" t="str">
        <f>IFERROR(__xludf.DUMMYFUNCTION("""COMPUTED_VALUE"""),"DHBA")</f>
        <v>DHBA</v>
      </c>
      <c r="AD2268" s="42"/>
      <c r="AE2268" s="42"/>
      <c r="AF2268" s="9"/>
      <c r="AG2268" s="9"/>
      <c r="AH2268" s="42"/>
      <c r="AI2268" s="42"/>
      <c r="AJ2268" s="42"/>
      <c r="AK2268" s="42"/>
      <c r="AL2268" s="42"/>
      <c r="AM2268" s="42"/>
      <c r="AN2268" s="42"/>
      <c r="AO2268" s="63" t="str">
        <f>IFERROR(__xludf.DUMMYFUNCTION("IF(ISBLANK(A2268),,IF(ISBLANK(S2268), A2268&amp;"";"", TEXTJOIN(CHAR(10), TRUE, A2268&amp;"";"", ARRAYFORMULA(VLOOKUP(SPLIT(S2268, "";"" &amp; CHAR(10)), $A:$AO, 41, FALSE)))))"),"cor-a;")</f>
        <v>cor-a;</v>
      </c>
      <c r="AP2268" s="89"/>
    </row>
    <row r="2269">
      <c r="A2269" s="151" t="str">
        <f>IFERROR(__xludf.DUMMYFUNCTION("""COMPUTED_VALUE"""),"cor-s")</f>
        <v>cor-s</v>
      </c>
      <c r="B2269" s="42" t="str">
        <f>IFERROR(__xludf.DUMMYFUNCTION("""COMPUTED_VALUE"""),"DHBA")</f>
        <v>DHBA</v>
      </c>
      <c r="C2269" s="42" t="str">
        <f>IFERROR(__xludf.DUMMYFUNCTION("""COMPUTED_VALUE"""),"superior portion of corona radiata")</f>
        <v>superior portion of corona radiata</v>
      </c>
      <c r="D2269" s="42">
        <f>IFERROR(__xludf.DUMMYFUNCTION("""COMPUTED_VALUE"""),2152.0)</f>
        <v>2152</v>
      </c>
      <c r="E2269" s="39" t="str">
        <f>IFERROR(__xludf.DUMMYFUNCTION("""COMPUTED_VALUE"""),"superior portion of corona radiata")</f>
        <v>superior portion of corona radiata</v>
      </c>
      <c r="F2269" s="9" t="str">
        <f>IFERROR(__xludf.DUMMYFUNCTION("""COMPUTED_VALUE"""),"Br")</f>
        <v>Br</v>
      </c>
      <c r="G2269" s="9" t="str">
        <f>IFERROR(__xludf.DUMMYFUNCTION("""COMPUTED_VALUE"""),"F")</f>
        <v>F</v>
      </c>
      <c r="H2269" s="9" t="str">
        <f>IFERROR(__xludf.DUMMYFUNCTION("""COMPUTED_VALUE"""),"FWM")</f>
        <v>FWM</v>
      </c>
      <c r="I2269" s="9" t="str">
        <f>IFERROR(__xludf.DUMMYFUNCTION("""COMPUTED_VALUE"""),"FIFT")</f>
        <v>FIFT</v>
      </c>
      <c r="J2269" s="9" t="str">
        <f>IFERROR(__xludf.DUMMYFUNCTION("""COMPUTED_VALUE"""),"cor")</f>
        <v>cor</v>
      </c>
      <c r="K2269" s="9" t="str">
        <f>IFERROR(__xludf.DUMMYFUNCTION("""COMPUTED_VALUE"""),"cor-s")</f>
        <v>cor-s</v>
      </c>
      <c r="L2269" s="9"/>
      <c r="M2269" s="9"/>
      <c r="N2269" s="9"/>
      <c r="O2269" s="9"/>
      <c r="P2269" s="9"/>
      <c r="Q2269" s="9"/>
      <c r="R2269" s="9"/>
      <c r="S2269" s="42"/>
      <c r="T2269" s="42"/>
      <c r="U2269" s="42"/>
      <c r="V2269" s="42"/>
      <c r="W2269" s="42"/>
      <c r="X2269" s="42"/>
      <c r="Y2269" s="42"/>
      <c r="Z2269" s="42"/>
      <c r="AA2269" s="42"/>
      <c r="AB2269" s="42" t="str">
        <f>IFERROR(__xludf.DUMMYFUNCTION("""COMPUTED_VALUE"""),"allen institute")</f>
        <v>allen institute</v>
      </c>
      <c r="AC2269" s="42" t="str">
        <f>IFERROR(__xludf.DUMMYFUNCTION("""COMPUTED_VALUE"""),"DHBA")</f>
        <v>DHBA</v>
      </c>
      <c r="AD2269" s="42"/>
      <c r="AE2269" s="42"/>
      <c r="AF2269" s="9"/>
      <c r="AG2269" s="9"/>
      <c r="AH2269" s="42"/>
      <c r="AI2269" s="42"/>
      <c r="AJ2269" s="42"/>
      <c r="AK2269" s="42"/>
      <c r="AL2269" s="42"/>
      <c r="AM2269" s="42"/>
      <c r="AN2269" s="42"/>
      <c r="AO2269" s="63" t="str">
        <f>IFERROR(__xludf.DUMMYFUNCTION("IF(ISBLANK(A2269),,IF(ISBLANK(S2269), A2269&amp;"";"", TEXTJOIN(CHAR(10), TRUE, A2269&amp;"";"", ARRAYFORMULA(VLOOKUP(SPLIT(S2269, "";"" &amp; CHAR(10)), $A:$AO, 41, FALSE)))))"),"cor-s;")</f>
        <v>cor-s;</v>
      </c>
      <c r="AP2269" s="89"/>
    </row>
    <row r="2270">
      <c r="A2270" s="151" t="str">
        <f>IFERROR(__xludf.DUMMYFUNCTION("""COMPUTED_VALUE"""),"cor-p")</f>
        <v>cor-p</v>
      </c>
      <c r="B2270" s="42" t="str">
        <f>IFERROR(__xludf.DUMMYFUNCTION("""COMPUTED_VALUE"""),"DHBA")</f>
        <v>DHBA</v>
      </c>
      <c r="C2270" s="42" t="str">
        <f>IFERROR(__xludf.DUMMYFUNCTION("""COMPUTED_VALUE"""),"posterior portion of corona radiata")</f>
        <v>posterior portion of corona radiata</v>
      </c>
      <c r="D2270" s="42">
        <f>IFERROR(__xludf.DUMMYFUNCTION("""COMPUTED_VALUE"""),2153.0)</f>
        <v>2153</v>
      </c>
      <c r="E2270" s="39" t="str">
        <f>IFERROR(__xludf.DUMMYFUNCTION("""COMPUTED_VALUE"""),"posterior portion of corona radiata")</f>
        <v>posterior portion of corona radiata</v>
      </c>
      <c r="F2270" s="9" t="str">
        <f>IFERROR(__xludf.DUMMYFUNCTION("""COMPUTED_VALUE"""),"Br")</f>
        <v>Br</v>
      </c>
      <c r="G2270" s="9" t="str">
        <f>IFERROR(__xludf.DUMMYFUNCTION("""COMPUTED_VALUE"""),"F")</f>
        <v>F</v>
      </c>
      <c r="H2270" s="9" t="str">
        <f>IFERROR(__xludf.DUMMYFUNCTION("""COMPUTED_VALUE"""),"FWM")</f>
        <v>FWM</v>
      </c>
      <c r="I2270" s="9" t="str">
        <f>IFERROR(__xludf.DUMMYFUNCTION("""COMPUTED_VALUE"""),"FIFT")</f>
        <v>FIFT</v>
      </c>
      <c r="J2270" s="9" t="str">
        <f>IFERROR(__xludf.DUMMYFUNCTION("""COMPUTED_VALUE"""),"cor")</f>
        <v>cor</v>
      </c>
      <c r="K2270" s="9" t="str">
        <f>IFERROR(__xludf.DUMMYFUNCTION("""COMPUTED_VALUE"""),"cor-p")</f>
        <v>cor-p</v>
      </c>
      <c r="L2270" s="9"/>
      <c r="M2270" s="9"/>
      <c r="N2270" s="9"/>
      <c r="O2270" s="9"/>
      <c r="P2270" s="9"/>
      <c r="Q2270" s="9"/>
      <c r="R2270" s="9"/>
      <c r="S2270" s="42"/>
      <c r="T2270" s="42"/>
      <c r="U2270" s="42"/>
      <c r="V2270" s="42"/>
      <c r="W2270" s="42"/>
      <c r="X2270" s="42"/>
      <c r="Y2270" s="42"/>
      <c r="Z2270" s="42"/>
      <c r="AA2270" s="42"/>
      <c r="AB2270" s="42" t="str">
        <f>IFERROR(__xludf.DUMMYFUNCTION("""COMPUTED_VALUE"""),"allen institute")</f>
        <v>allen institute</v>
      </c>
      <c r="AC2270" s="42" t="str">
        <f>IFERROR(__xludf.DUMMYFUNCTION("""COMPUTED_VALUE"""),"DHBA")</f>
        <v>DHBA</v>
      </c>
      <c r="AD2270" s="42"/>
      <c r="AE2270" s="42"/>
      <c r="AF2270" s="9"/>
      <c r="AG2270" s="9"/>
      <c r="AH2270" s="42"/>
      <c r="AI2270" s="42"/>
      <c r="AJ2270" s="42"/>
      <c r="AK2270" s="42"/>
      <c r="AL2270" s="42"/>
      <c r="AM2270" s="42"/>
      <c r="AN2270" s="42"/>
      <c r="AO2270" s="63" t="str">
        <f>IFERROR(__xludf.DUMMYFUNCTION("IF(ISBLANK(A2270),,IF(ISBLANK(S2270), A2270&amp;"";"", TEXTJOIN(CHAR(10), TRUE, A2270&amp;"";"", ARRAYFORMULA(VLOOKUP(SPLIT(S2270, "";"" &amp; CHAR(10)), $A:$AO, 41, FALSE)))))"),"cor-p;")</f>
        <v>cor-p;</v>
      </c>
      <c r="AP2270" s="89"/>
    </row>
    <row r="2271">
      <c r="A2271" s="151" t="str">
        <f>IFERROR(__xludf.DUMMYFUNCTION("""COMPUTED_VALUE"""),"cbu-sc")</f>
        <v>cbu-sc</v>
      </c>
      <c r="B2271" s="42" t="str">
        <f>IFERROR(__xludf.DUMMYFUNCTION("""COMPUTED_VALUE"""),"DHBA")</f>
        <v>DHBA</v>
      </c>
      <c r="C2271" s="42" t="str">
        <f>IFERROR(__xludf.DUMMYFUNCTION("""COMPUTED_VALUE"""),"corticobulbar tract, supracapsular part")</f>
        <v>corticobulbar tract, supracapsular part</v>
      </c>
      <c r="D2271" s="42">
        <f>IFERROR(__xludf.DUMMYFUNCTION("""COMPUTED_VALUE"""),2154.0)</f>
        <v>2154</v>
      </c>
      <c r="E2271" s="39" t="str">
        <f>IFERROR(__xludf.DUMMYFUNCTION("""COMPUTED_VALUE"""),"corticobulbar tract, supracapsular part")</f>
        <v>corticobulbar tract, supracapsular part</v>
      </c>
      <c r="F2271" s="9" t="str">
        <f>IFERROR(__xludf.DUMMYFUNCTION("""COMPUTED_VALUE"""),"Br")</f>
        <v>Br</v>
      </c>
      <c r="G2271" s="9" t="str">
        <f>IFERROR(__xludf.DUMMYFUNCTION("""COMPUTED_VALUE"""),"F")</f>
        <v>F</v>
      </c>
      <c r="H2271" s="9" t="str">
        <f>IFERROR(__xludf.DUMMYFUNCTION("""COMPUTED_VALUE"""),"FWM")</f>
        <v>FWM</v>
      </c>
      <c r="I2271" s="9" t="str">
        <f>IFERROR(__xludf.DUMMYFUNCTION("""COMPUTED_VALUE"""),"FIFT")</f>
        <v>FIFT</v>
      </c>
      <c r="J2271" s="9" t="str">
        <f>IFERROR(__xludf.DUMMYFUNCTION("""COMPUTED_VALUE"""),"cbu-sc")</f>
        <v>cbu-sc</v>
      </c>
      <c r="K2271" s="9"/>
      <c r="L2271" s="9"/>
      <c r="M2271" s="9"/>
      <c r="N2271" s="9"/>
      <c r="O2271" s="9"/>
      <c r="P2271" s="9"/>
      <c r="Q2271" s="9"/>
      <c r="R2271" s="9"/>
      <c r="S2271" s="42"/>
      <c r="T2271" s="42"/>
      <c r="U2271" s="42"/>
      <c r="V2271" s="42"/>
      <c r="W2271" s="42"/>
      <c r="X2271" s="42"/>
      <c r="Y2271" s="42"/>
      <c r="Z2271" s="42"/>
      <c r="AA2271" s="42"/>
      <c r="AB2271" s="42" t="str">
        <f>IFERROR(__xludf.DUMMYFUNCTION("""COMPUTED_VALUE"""),"allen institute")</f>
        <v>allen institute</v>
      </c>
      <c r="AC2271" s="42" t="str">
        <f>IFERROR(__xludf.DUMMYFUNCTION("""COMPUTED_VALUE"""),"DHBA")</f>
        <v>DHBA</v>
      </c>
      <c r="AD2271" s="42"/>
      <c r="AE2271" s="42"/>
      <c r="AF2271" s="9"/>
      <c r="AG2271" s="9"/>
      <c r="AH2271" s="42"/>
      <c r="AI2271" s="42"/>
      <c r="AJ2271" s="42"/>
      <c r="AK2271" s="42"/>
      <c r="AL2271" s="42"/>
      <c r="AM2271" s="42"/>
      <c r="AN2271" s="42"/>
      <c r="AO2271" s="63" t="str">
        <f>IFERROR(__xludf.DUMMYFUNCTION("IF(ISBLANK(A2271),,IF(ISBLANK(S2271), A2271&amp;"";"", TEXTJOIN(CHAR(10), TRUE, A2271&amp;"";"", ARRAYFORMULA(VLOOKUP(SPLIT(S2271, "";"" &amp; CHAR(10)), $A:$AO, 41, FALSE)))))"),"cbu-sc;")</f>
        <v>cbu-sc;</v>
      </c>
      <c r="AP2271" s="89"/>
    </row>
    <row r="2272">
      <c r="A2272" s="151" t="str">
        <f>IFERROR(__xludf.DUMMYFUNCTION("""COMPUTED_VALUE"""),"cpa")</f>
        <v>cpa</v>
      </c>
      <c r="B2272" s="42" t="str">
        <f>IFERROR(__xludf.DUMMYFUNCTION("""COMPUTED_VALUE"""),"DHBA")</f>
        <v>DHBA</v>
      </c>
      <c r="C2272" s="42" t="str">
        <f>IFERROR(__xludf.DUMMYFUNCTION("""COMPUTED_VALUE"""),"corticopallidal tract")</f>
        <v>corticopallidal tract</v>
      </c>
      <c r="D2272" s="42">
        <f>IFERROR(__xludf.DUMMYFUNCTION("""COMPUTED_VALUE"""),2155.0)</f>
        <v>2155</v>
      </c>
      <c r="E2272" s="39" t="str">
        <f>IFERROR(__xludf.DUMMYFUNCTION("""COMPUTED_VALUE"""),"corticopallidal tract")</f>
        <v>corticopallidal tract</v>
      </c>
      <c r="F2272" s="9" t="str">
        <f>IFERROR(__xludf.DUMMYFUNCTION("""COMPUTED_VALUE"""),"Br")</f>
        <v>Br</v>
      </c>
      <c r="G2272" s="9" t="str">
        <f>IFERROR(__xludf.DUMMYFUNCTION("""COMPUTED_VALUE"""),"F")</f>
        <v>F</v>
      </c>
      <c r="H2272" s="9" t="str">
        <f>IFERROR(__xludf.DUMMYFUNCTION("""COMPUTED_VALUE"""),"FWM")</f>
        <v>FWM</v>
      </c>
      <c r="I2272" s="9" t="str">
        <f>IFERROR(__xludf.DUMMYFUNCTION("""COMPUTED_VALUE"""),"FIFT")</f>
        <v>FIFT</v>
      </c>
      <c r="J2272" s="9" t="str">
        <f>IFERROR(__xludf.DUMMYFUNCTION("""COMPUTED_VALUE"""),"cpa")</f>
        <v>cpa</v>
      </c>
      <c r="K2272" s="9"/>
      <c r="L2272" s="9"/>
      <c r="M2272" s="9"/>
      <c r="N2272" s="9"/>
      <c r="O2272" s="9"/>
      <c r="P2272" s="9"/>
      <c r="Q2272" s="9"/>
      <c r="R2272" s="9"/>
      <c r="S2272" s="42"/>
      <c r="T2272" s="42"/>
      <c r="U2272" s="42"/>
      <c r="V2272" s="42"/>
      <c r="W2272" s="42"/>
      <c r="X2272" s="42"/>
      <c r="Y2272" s="42"/>
      <c r="Z2272" s="42"/>
      <c r="AA2272" s="42"/>
      <c r="AB2272" s="42" t="str">
        <f>IFERROR(__xludf.DUMMYFUNCTION("""COMPUTED_VALUE"""),"allen institute")</f>
        <v>allen institute</v>
      </c>
      <c r="AC2272" s="42" t="str">
        <f>IFERROR(__xludf.DUMMYFUNCTION("""COMPUTED_VALUE"""),"DHBA")</f>
        <v>DHBA</v>
      </c>
      <c r="AD2272" s="42"/>
      <c r="AE2272" s="42"/>
      <c r="AF2272" s="9"/>
      <c r="AG2272" s="9"/>
      <c r="AH2272" s="42"/>
      <c r="AI2272" s="42"/>
      <c r="AJ2272" s="42"/>
      <c r="AK2272" s="42"/>
      <c r="AL2272" s="42"/>
      <c r="AM2272" s="42"/>
      <c r="AN2272" s="42"/>
      <c r="AO2272" s="63" t="str">
        <f>IFERROR(__xludf.DUMMYFUNCTION("IF(ISBLANK(A2272),,IF(ISBLANK(S2272), A2272&amp;"";"", TEXTJOIN(CHAR(10), TRUE, A2272&amp;"";"", ARRAYFORMULA(VLOOKUP(SPLIT(S2272, "";"" &amp; CHAR(10)), $A:$AO, 41, FALSE)))))"),"cpa;")</f>
        <v>cpa;</v>
      </c>
      <c r="AP2272" s="89"/>
    </row>
    <row r="2273">
      <c r="A2273" s="151" t="str">
        <f>IFERROR(__xludf.DUMMYFUNCTION("""COMPUTED_VALUE"""),"cst")</f>
        <v>cst</v>
      </c>
      <c r="B2273" s="42" t="str">
        <f>IFERROR(__xludf.DUMMYFUNCTION("""COMPUTED_VALUE"""),"DHBA")</f>
        <v>DHBA</v>
      </c>
      <c r="C2273" s="42" t="str">
        <f>IFERROR(__xludf.DUMMYFUNCTION("""COMPUTED_VALUE"""),"corticostriate tract")</f>
        <v>corticostriate tract</v>
      </c>
      <c r="D2273" s="42">
        <f>IFERROR(__xludf.DUMMYFUNCTION("""COMPUTED_VALUE"""),2156.0)</f>
        <v>2156</v>
      </c>
      <c r="E2273" s="39" t="str">
        <f>IFERROR(__xludf.DUMMYFUNCTION("""COMPUTED_VALUE"""),"corticostriate tract")</f>
        <v>corticostriate tract</v>
      </c>
      <c r="F2273" s="9" t="str">
        <f>IFERROR(__xludf.DUMMYFUNCTION("""COMPUTED_VALUE"""),"Br")</f>
        <v>Br</v>
      </c>
      <c r="G2273" s="9" t="str">
        <f>IFERROR(__xludf.DUMMYFUNCTION("""COMPUTED_VALUE"""),"F")</f>
        <v>F</v>
      </c>
      <c r="H2273" s="9" t="str">
        <f>IFERROR(__xludf.DUMMYFUNCTION("""COMPUTED_VALUE"""),"FWM")</f>
        <v>FWM</v>
      </c>
      <c r="I2273" s="9" t="str">
        <f>IFERROR(__xludf.DUMMYFUNCTION("""COMPUTED_VALUE"""),"FIFT")</f>
        <v>FIFT</v>
      </c>
      <c r="J2273" s="9" t="str">
        <f>IFERROR(__xludf.DUMMYFUNCTION("""COMPUTED_VALUE"""),"cst")</f>
        <v>cst</v>
      </c>
      <c r="K2273" s="9"/>
      <c r="L2273" s="9"/>
      <c r="M2273" s="9"/>
      <c r="N2273" s="9"/>
      <c r="O2273" s="9"/>
      <c r="P2273" s="9"/>
      <c r="Q2273" s="9"/>
      <c r="R2273" s="9"/>
      <c r="S2273" s="42"/>
      <c r="T2273" s="42"/>
      <c r="U2273" s="42"/>
      <c r="V2273" s="42"/>
      <c r="W2273" s="42"/>
      <c r="X2273" s="42"/>
      <c r="Y2273" s="42"/>
      <c r="Z2273" s="42"/>
      <c r="AA2273" s="42"/>
      <c r="AB2273" s="42" t="str">
        <f>IFERROR(__xludf.DUMMYFUNCTION("""COMPUTED_VALUE"""),"allen institute")</f>
        <v>allen institute</v>
      </c>
      <c r="AC2273" s="42" t="str">
        <f>IFERROR(__xludf.DUMMYFUNCTION("""COMPUTED_VALUE"""),"DHBA")</f>
        <v>DHBA</v>
      </c>
      <c r="AD2273" s="42"/>
      <c r="AE2273" s="42"/>
      <c r="AF2273" s="9"/>
      <c r="AG2273" s="9"/>
      <c r="AH2273" s="42"/>
      <c r="AI2273" s="42"/>
      <c r="AJ2273" s="42"/>
      <c r="AK2273" s="42"/>
      <c r="AL2273" s="42"/>
      <c r="AM2273" s="42"/>
      <c r="AN2273" s="42"/>
      <c r="AO2273" s="63" t="str">
        <f>IFERROR(__xludf.DUMMYFUNCTION("IF(ISBLANK(A2273),,IF(ISBLANK(S2273), A2273&amp;"";"", TEXTJOIN(CHAR(10), TRUE, A2273&amp;"";"", ARRAYFORMULA(VLOOKUP(SPLIT(S2273, "";"" &amp; CHAR(10)), $A:$AO, 41, FALSE)))))"),"cst;")</f>
        <v>cst;</v>
      </c>
      <c r="AP2273" s="89"/>
    </row>
    <row r="2274">
      <c r="A2274" s="151" t="str">
        <f>IFERROR(__xludf.DUMMYFUNCTION("""COMPUTED_VALUE"""),"dpa")</f>
        <v>dpa</v>
      </c>
      <c r="B2274" s="42" t="str">
        <f>IFERROR(__xludf.DUMMYFUNCTION("""COMPUTED_VALUE"""),"DHBA")</f>
        <v>DHBA</v>
      </c>
      <c r="C2274" s="42" t="str">
        <f>IFERROR(__xludf.DUMMYFUNCTION("""COMPUTED_VALUE"""),"dentatopallidal tract")</f>
        <v>dentatopallidal tract</v>
      </c>
      <c r="D2274" s="42">
        <f>IFERROR(__xludf.DUMMYFUNCTION("""COMPUTED_VALUE"""),2157.0)</f>
        <v>2157</v>
      </c>
      <c r="E2274" s="39" t="str">
        <f>IFERROR(__xludf.DUMMYFUNCTION("""COMPUTED_VALUE"""),"dentatopallidal tract")</f>
        <v>dentatopallidal tract</v>
      </c>
      <c r="F2274" s="9" t="str">
        <f>IFERROR(__xludf.DUMMYFUNCTION("""COMPUTED_VALUE"""),"Br")</f>
        <v>Br</v>
      </c>
      <c r="G2274" s="9" t="str">
        <f>IFERROR(__xludf.DUMMYFUNCTION("""COMPUTED_VALUE"""),"F")</f>
        <v>F</v>
      </c>
      <c r="H2274" s="9" t="str">
        <f>IFERROR(__xludf.DUMMYFUNCTION("""COMPUTED_VALUE"""),"FWM")</f>
        <v>FWM</v>
      </c>
      <c r="I2274" s="9" t="str">
        <f>IFERROR(__xludf.DUMMYFUNCTION("""COMPUTED_VALUE"""),"FIFT")</f>
        <v>FIFT</v>
      </c>
      <c r="J2274" s="9" t="str">
        <f>IFERROR(__xludf.DUMMYFUNCTION("""COMPUTED_VALUE"""),"dpa")</f>
        <v>dpa</v>
      </c>
      <c r="K2274" s="9"/>
      <c r="L2274" s="9"/>
      <c r="M2274" s="9"/>
      <c r="N2274" s="9"/>
      <c r="O2274" s="9"/>
      <c r="P2274" s="9"/>
      <c r="Q2274" s="9"/>
      <c r="R2274" s="9"/>
      <c r="S2274" s="42"/>
      <c r="T2274" s="42"/>
      <c r="U2274" s="42"/>
      <c r="V2274" s="42"/>
      <c r="W2274" s="42"/>
      <c r="X2274" s="42"/>
      <c r="Y2274" s="42"/>
      <c r="Z2274" s="42"/>
      <c r="AA2274" s="42"/>
      <c r="AB2274" s="42" t="str">
        <f>IFERROR(__xludf.DUMMYFUNCTION("""COMPUTED_VALUE"""),"allen institute")</f>
        <v>allen institute</v>
      </c>
      <c r="AC2274" s="42" t="str">
        <f>IFERROR(__xludf.DUMMYFUNCTION("""COMPUTED_VALUE"""),"DHBA")</f>
        <v>DHBA</v>
      </c>
      <c r="AD2274" s="42"/>
      <c r="AE2274" s="42"/>
      <c r="AF2274" s="9"/>
      <c r="AG2274" s="9"/>
      <c r="AH2274" s="42"/>
      <c r="AI2274" s="42"/>
      <c r="AJ2274" s="42"/>
      <c r="AK2274" s="42"/>
      <c r="AL2274" s="42"/>
      <c r="AM2274" s="42"/>
      <c r="AN2274" s="42"/>
      <c r="AO2274" s="63" t="str">
        <f>IFERROR(__xludf.DUMMYFUNCTION("IF(ISBLANK(A2274),,IF(ISBLANK(S2274), A2274&amp;"";"", TEXTJOIN(CHAR(10), TRUE, A2274&amp;"";"", ARRAYFORMULA(VLOOKUP(SPLIT(S2274, "";"" &amp; CHAR(10)), $A:$AO, 41, FALSE)))))"),"dpa;")</f>
        <v>dpa;</v>
      </c>
      <c r="AP2274" s="89"/>
    </row>
    <row r="2275">
      <c r="A2275" s="151" t="str">
        <f>IFERROR(__xludf.DUMMYFUNCTION("""COMPUTED_VALUE"""),"dib")</f>
        <v>dib</v>
      </c>
      <c r="B2275" s="42" t="str">
        <f>IFERROR(__xludf.DUMMYFUNCTION("""COMPUTED_VALUE"""),"DHBA")</f>
        <v>DHBA</v>
      </c>
      <c r="C2275" s="42" t="str">
        <f>IFERROR(__xludf.DUMMYFUNCTION("""COMPUTED_VALUE"""),"diagonal band")</f>
        <v>diagonal band</v>
      </c>
      <c r="D2275" s="42">
        <f>IFERROR(__xludf.DUMMYFUNCTION("""COMPUTED_VALUE"""),2158.0)</f>
        <v>2158</v>
      </c>
      <c r="E2275" s="39" t="str">
        <f>IFERROR(__xludf.DUMMYFUNCTION("""COMPUTED_VALUE"""),"diagonal band")</f>
        <v>diagonal band</v>
      </c>
      <c r="F2275" s="9" t="str">
        <f>IFERROR(__xludf.DUMMYFUNCTION("""COMPUTED_VALUE"""),"Br")</f>
        <v>Br</v>
      </c>
      <c r="G2275" s="9" t="str">
        <f>IFERROR(__xludf.DUMMYFUNCTION("""COMPUTED_VALUE"""),"F")</f>
        <v>F</v>
      </c>
      <c r="H2275" s="9" t="str">
        <f>IFERROR(__xludf.DUMMYFUNCTION("""COMPUTED_VALUE"""),"FWM")</f>
        <v>FWM</v>
      </c>
      <c r="I2275" s="9" t="str">
        <f>IFERROR(__xludf.DUMMYFUNCTION("""COMPUTED_VALUE"""),"FIFT")</f>
        <v>FIFT</v>
      </c>
      <c r="J2275" s="9" t="str">
        <f>IFERROR(__xludf.DUMMYFUNCTION("""COMPUTED_VALUE"""),"dib")</f>
        <v>dib</v>
      </c>
      <c r="K2275" s="9"/>
      <c r="L2275" s="9"/>
      <c r="M2275" s="9"/>
      <c r="N2275" s="9"/>
      <c r="O2275" s="9"/>
      <c r="P2275" s="9"/>
      <c r="Q2275" s="9"/>
      <c r="R2275" s="9"/>
      <c r="S2275" s="42"/>
      <c r="T2275" s="42"/>
      <c r="U2275" s="42"/>
      <c r="V2275" s="42"/>
      <c r="W2275" s="42"/>
      <c r="X2275" s="42"/>
      <c r="Y2275" s="42"/>
      <c r="Z2275" s="42"/>
      <c r="AA2275" s="42"/>
      <c r="AB2275" s="42" t="str">
        <f>IFERROR(__xludf.DUMMYFUNCTION("""COMPUTED_VALUE"""),"allen institute")</f>
        <v>allen institute</v>
      </c>
      <c r="AC2275" s="42" t="str">
        <f>IFERROR(__xludf.DUMMYFUNCTION("""COMPUTED_VALUE"""),"DHBA")</f>
        <v>DHBA</v>
      </c>
      <c r="AD2275" s="42"/>
      <c r="AE2275" s="42"/>
      <c r="AF2275" s="9"/>
      <c r="AG2275" s="9"/>
      <c r="AH2275" s="42"/>
      <c r="AI2275" s="42"/>
      <c r="AJ2275" s="42"/>
      <c r="AK2275" s="42"/>
      <c r="AL2275" s="42"/>
      <c r="AM2275" s="42"/>
      <c r="AN2275" s="42"/>
      <c r="AO2275" s="63" t="str">
        <f>IFERROR(__xludf.DUMMYFUNCTION("IF(ISBLANK(A2275),,IF(ISBLANK(S2275), A2275&amp;"";"", TEXTJOIN(CHAR(10), TRUE, A2275&amp;"";"", ARRAYFORMULA(VLOOKUP(SPLIT(S2275, "";"" &amp; CHAR(10)), $A:$AO, 41, FALSE)))))"),"dib;")</f>
        <v>dib;</v>
      </c>
      <c r="AP2275" s="89"/>
    </row>
    <row r="2276">
      <c r="A2276" s="151" t="str">
        <f>IFERROR(__xludf.DUMMYFUNCTION("""COMPUTED_VALUE"""),"dlf")</f>
        <v>dlf</v>
      </c>
      <c r="B2276" s="42" t="str">
        <f>IFERROR(__xludf.DUMMYFUNCTION("""COMPUTED_VALUE"""),"DHBA")</f>
        <v>DHBA</v>
      </c>
      <c r="C2276" s="42" t="str">
        <f>IFERROR(__xludf.DUMMYFUNCTION("""COMPUTED_VALUE"""),"dorsal longitudinal fasciculus")</f>
        <v>dorsal longitudinal fasciculus</v>
      </c>
      <c r="D2276" s="42">
        <f>IFERROR(__xludf.DUMMYFUNCTION("""COMPUTED_VALUE"""),2159.0)</f>
        <v>2159</v>
      </c>
      <c r="E2276" s="39" t="str">
        <f>IFERROR(__xludf.DUMMYFUNCTION("""COMPUTED_VALUE"""),"dorsal longitudinal fasciculus")</f>
        <v>dorsal longitudinal fasciculus</v>
      </c>
      <c r="F2276" s="9" t="str">
        <f>IFERROR(__xludf.DUMMYFUNCTION("""COMPUTED_VALUE"""),"Br")</f>
        <v>Br</v>
      </c>
      <c r="G2276" s="9" t="str">
        <f>IFERROR(__xludf.DUMMYFUNCTION("""COMPUTED_VALUE"""),"F")</f>
        <v>F</v>
      </c>
      <c r="H2276" s="9" t="str">
        <f>IFERROR(__xludf.DUMMYFUNCTION("""COMPUTED_VALUE"""),"FWM")</f>
        <v>FWM</v>
      </c>
      <c r="I2276" s="9" t="str">
        <f>IFERROR(__xludf.DUMMYFUNCTION("""COMPUTED_VALUE"""),"FIFT")</f>
        <v>FIFT</v>
      </c>
      <c r="J2276" s="9" t="str">
        <f>IFERROR(__xludf.DUMMYFUNCTION("""COMPUTED_VALUE"""),"dlf")</f>
        <v>dlf</v>
      </c>
      <c r="K2276" s="9"/>
      <c r="L2276" s="9"/>
      <c r="M2276" s="9"/>
      <c r="N2276" s="9"/>
      <c r="O2276" s="9"/>
      <c r="P2276" s="9"/>
      <c r="Q2276" s="9"/>
      <c r="R2276" s="9"/>
      <c r="S2276" s="42"/>
      <c r="T2276" s="42"/>
      <c r="U2276" s="42"/>
      <c r="V2276" s="42"/>
      <c r="W2276" s="42"/>
      <c r="X2276" s="42"/>
      <c r="Y2276" s="42"/>
      <c r="Z2276" s="42"/>
      <c r="AA2276" s="42"/>
      <c r="AB2276" s="42" t="str">
        <f>IFERROR(__xludf.DUMMYFUNCTION("""COMPUTED_VALUE"""),"allen institute")</f>
        <v>allen institute</v>
      </c>
      <c r="AC2276" s="42" t="str">
        <f>IFERROR(__xludf.DUMMYFUNCTION("""COMPUTED_VALUE"""),"DHBA")</f>
        <v>DHBA</v>
      </c>
      <c r="AD2276" s="42"/>
      <c r="AE2276" s="42"/>
      <c r="AF2276" s="9"/>
      <c r="AG2276" s="9"/>
      <c r="AH2276" s="42"/>
      <c r="AI2276" s="42"/>
      <c r="AJ2276" s="42"/>
      <c r="AK2276" s="42"/>
      <c r="AL2276" s="42"/>
      <c r="AM2276" s="42"/>
      <c r="AN2276" s="42"/>
      <c r="AO2276" s="63" t="str">
        <f>IFERROR(__xludf.DUMMYFUNCTION("IF(ISBLANK(A2276),,IF(ISBLANK(S2276), A2276&amp;"";"", TEXTJOIN(CHAR(10), TRUE, A2276&amp;"";"", ARRAYFORMULA(VLOOKUP(SPLIT(S2276, "";"" &amp; CHAR(10)), $A:$AO, 41, FALSE)))))"),"dlf;")</f>
        <v>dlf;</v>
      </c>
      <c r="AP2276" s="89"/>
    </row>
    <row r="2277">
      <c r="A2277" s="151" t="str">
        <f>IFERROR(__xludf.DUMMYFUNCTION("""COMPUTED_VALUE"""),"dob")</f>
        <v>dob</v>
      </c>
      <c r="B2277" s="42" t="str">
        <f>IFERROR(__xludf.DUMMYFUNCTION("""COMPUTED_VALUE"""),"DHBA")</f>
        <v>DHBA</v>
      </c>
      <c r="C2277" s="42" t="str">
        <f>IFERROR(__xludf.DUMMYFUNCTION("""COMPUTED_VALUE"""),"dorsal occipital bundle")</f>
        <v>dorsal occipital bundle</v>
      </c>
      <c r="D2277" s="42">
        <f>IFERROR(__xludf.DUMMYFUNCTION("""COMPUTED_VALUE"""),2160.0)</f>
        <v>2160</v>
      </c>
      <c r="E2277" s="39" t="str">
        <f>IFERROR(__xludf.DUMMYFUNCTION("""COMPUTED_VALUE"""),"dorsal occipital bundle")</f>
        <v>dorsal occipital bundle</v>
      </c>
      <c r="F2277" s="9" t="str">
        <f>IFERROR(__xludf.DUMMYFUNCTION("""COMPUTED_VALUE"""),"Br")</f>
        <v>Br</v>
      </c>
      <c r="G2277" s="9" t="str">
        <f>IFERROR(__xludf.DUMMYFUNCTION("""COMPUTED_VALUE"""),"F")</f>
        <v>F</v>
      </c>
      <c r="H2277" s="9" t="str">
        <f>IFERROR(__xludf.DUMMYFUNCTION("""COMPUTED_VALUE"""),"FWM")</f>
        <v>FWM</v>
      </c>
      <c r="I2277" s="9" t="str">
        <f>IFERROR(__xludf.DUMMYFUNCTION("""COMPUTED_VALUE"""),"FIFT")</f>
        <v>FIFT</v>
      </c>
      <c r="J2277" s="9" t="str">
        <f>IFERROR(__xludf.DUMMYFUNCTION("""COMPUTED_VALUE"""),"dob")</f>
        <v>dob</v>
      </c>
      <c r="K2277" s="9"/>
      <c r="L2277" s="9"/>
      <c r="M2277" s="9"/>
      <c r="N2277" s="9"/>
      <c r="O2277" s="9"/>
      <c r="P2277" s="9"/>
      <c r="Q2277" s="9"/>
      <c r="R2277" s="9"/>
      <c r="S2277" s="42"/>
      <c r="T2277" s="42"/>
      <c r="U2277" s="42"/>
      <c r="V2277" s="42"/>
      <c r="W2277" s="42"/>
      <c r="X2277" s="42"/>
      <c r="Y2277" s="42"/>
      <c r="Z2277" s="42"/>
      <c r="AA2277" s="42"/>
      <c r="AB2277" s="42" t="str">
        <f>IFERROR(__xludf.DUMMYFUNCTION("""COMPUTED_VALUE"""),"allen institute")</f>
        <v>allen institute</v>
      </c>
      <c r="AC2277" s="42" t="str">
        <f>IFERROR(__xludf.DUMMYFUNCTION("""COMPUTED_VALUE"""),"DHBA")</f>
        <v>DHBA</v>
      </c>
      <c r="AD2277" s="42"/>
      <c r="AE2277" s="42"/>
      <c r="AF2277" s="9"/>
      <c r="AG2277" s="9"/>
      <c r="AH2277" s="42"/>
      <c r="AI2277" s="42"/>
      <c r="AJ2277" s="42"/>
      <c r="AK2277" s="42"/>
      <c r="AL2277" s="42"/>
      <c r="AM2277" s="42"/>
      <c r="AN2277" s="42"/>
      <c r="AO2277" s="63" t="str">
        <f>IFERROR(__xludf.DUMMYFUNCTION("IF(ISBLANK(A2277),,IF(ISBLANK(S2277), A2277&amp;"";"", TEXTJOIN(CHAR(10), TRUE, A2277&amp;"";"", ARRAYFORMULA(VLOOKUP(SPLIT(S2277, "";"" &amp; CHAR(10)), $A:$AO, 41, FALSE)))))"),"dob;")</f>
        <v>dob;</v>
      </c>
      <c r="AP2277" s="89"/>
    </row>
    <row r="2278">
      <c r="A2278" s="151" t="str">
        <f>IFERROR(__xludf.DUMMYFUNCTION("""COMPUTED_VALUE"""),"extC")</f>
        <v>extC</v>
      </c>
      <c r="B2278" s="42" t="str">
        <f>IFERROR(__xludf.DUMMYFUNCTION("""COMPUTED_VALUE"""),"DHBA")</f>
        <v>DHBA</v>
      </c>
      <c r="C2278" s="42" t="str">
        <f>IFERROR(__xludf.DUMMYFUNCTION("""COMPUTED_VALUE"""),"external capsule")</f>
        <v>external capsule</v>
      </c>
      <c r="D2278" s="42">
        <f>IFERROR(__xludf.DUMMYFUNCTION("""COMPUTED_VALUE"""),2161.0)</f>
        <v>2161</v>
      </c>
      <c r="E2278" s="39" t="str">
        <f>IFERROR(__xludf.DUMMYFUNCTION("""COMPUTED_VALUE"""),"external capsule")</f>
        <v>external capsule</v>
      </c>
      <c r="F2278" s="9" t="str">
        <f>IFERROR(__xludf.DUMMYFUNCTION("""COMPUTED_VALUE"""),"Br")</f>
        <v>Br</v>
      </c>
      <c r="G2278" s="9" t="str">
        <f>IFERROR(__xludf.DUMMYFUNCTION("""COMPUTED_VALUE"""),"F")</f>
        <v>F</v>
      </c>
      <c r="H2278" s="9" t="str">
        <f>IFERROR(__xludf.DUMMYFUNCTION("""COMPUTED_VALUE"""),"FWM")</f>
        <v>FWM</v>
      </c>
      <c r="I2278" s="9" t="str">
        <f>IFERROR(__xludf.DUMMYFUNCTION("""COMPUTED_VALUE"""),"FIFT")</f>
        <v>FIFT</v>
      </c>
      <c r="J2278" s="9" t="str">
        <f>IFERROR(__xludf.DUMMYFUNCTION("""COMPUTED_VALUE"""),"extC")</f>
        <v>extC</v>
      </c>
      <c r="K2278" s="9"/>
      <c r="L2278" s="9"/>
      <c r="M2278" s="9"/>
      <c r="N2278" s="9"/>
      <c r="O2278" s="9"/>
      <c r="P2278" s="9"/>
      <c r="Q2278" s="9"/>
      <c r="R2278" s="9"/>
      <c r="S2278" s="42"/>
      <c r="T2278" s="42"/>
      <c r="U2278" s="42"/>
      <c r="V2278" s="42"/>
      <c r="W2278" s="42"/>
      <c r="X2278" s="42"/>
      <c r="Y2278" s="42"/>
      <c r="Z2278" s="42"/>
      <c r="AA2278" s="42"/>
      <c r="AB2278" s="42" t="str">
        <f>IFERROR(__xludf.DUMMYFUNCTION("""COMPUTED_VALUE"""),"allen institute")</f>
        <v>allen institute</v>
      </c>
      <c r="AC2278" s="42" t="str">
        <f>IFERROR(__xludf.DUMMYFUNCTION("""COMPUTED_VALUE"""),"DHBA")</f>
        <v>DHBA</v>
      </c>
      <c r="AD2278" s="42"/>
      <c r="AE2278" s="42"/>
      <c r="AF2278" s="9"/>
      <c r="AG2278" s="9"/>
      <c r="AH2278" s="42"/>
      <c r="AI2278" s="42"/>
      <c r="AJ2278" s="42"/>
      <c r="AK2278" s="42"/>
      <c r="AL2278" s="42"/>
      <c r="AM2278" s="42"/>
      <c r="AN2278" s="42"/>
      <c r="AO2278" s="63" t="str">
        <f>IFERROR(__xludf.DUMMYFUNCTION("IF(ISBLANK(A2278),,IF(ISBLANK(S2278), A2278&amp;"";"", TEXTJOIN(CHAR(10), TRUE, A2278&amp;"";"", ARRAYFORMULA(VLOOKUP(SPLIT(S2278, "";"" &amp; CHAR(10)), $A:$AO, 41, FALSE)))))"),"extC;")</f>
        <v>extC;</v>
      </c>
      <c r="AP2278" s="89"/>
    </row>
    <row r="2279">
      <c r="A2279" s="151" t="str">
        <f>IFERROR(__xludf.DUMMYFUNCTION("""COMPUTED_VALUE"""),"emlgp")</f>
        <v>emlgp</v>
      </c>
      <c r="B2279" s="42" t="str">
        <f>IFERROR(__xludf.DUMMYFUNCTION("""COMPUTED_VALUE"""),"DHBA")</f>
        <v>DHBA</v>
      </c>
      <c r="C2279" s="42" t="str">
        <f>IFERROR(__xludf.DUMMYFUNCTION("""COMPUTED_VALUE"""),"external medullary lamina of globus pallidus")</f>
        <v>external medullary lamina of globus pallidus</v>
      </c>
      <c r="D2279" s="42">
        <f>IFERROR(__xludf.DUMMYFUNCTION("""COMPUTED_VALUE"""),2162.0)</f>
        <v>2162</v>
      </c>
      <c r="E2279" s="39" t="str">
        <f>IFERROR(__xludf.DUMMYFUNCTION("""COMPUTED_VALUE"""),"external medullary lamina of globus pallidus")</f>
        <v>external medullary lamina of globus pallidus</v>
      </c>
      <c r="F2279" s="9" t="str">
        <f>IFERROR(__xludf.DUMMYFUNCTION("""COMPUTED_VALUE"""),"Br")</f>
        <v>Br</v>
      </c>
      <c r="G2279" s="9" t="str">
        <f>IFERROR(__xludf.DUMMYFUNCTION("""COMPUTED_VALUE"""),"F")</f>
        <v>F</v>
      </c>
      <c r="H2279" s="9" t="str">
        <f>IFERROR(__xludf.DUMMYFUNCTION("""COMPUTED_VALUE"""),"FWM")</f>
        <v>FWM</v>
      </c>
      <c r="I2279" s="9" t="str">
        <f>IFERROR(__xludf.DUMMYFUNCTION("""COMPUTED_VALUE"""),"FIFT")</f>
        <v>FIFT</v>
      </c>
      <c r="J2279" s="9" t="str">
        <f>IFERROR(__xludf.DUMMYFUNCTION("""COMPUTED_VALUE"""),"emlgp")</f>
        <v>emlgp</v>
      </c>
      <c r="K2279" s="9"/>
      <c r="L2279" s="9"/>
      <c r="M2279" s="9"/>
      <c r="N2279" s="9"/>
      <c r="O2279" s="9"/>
      <c r="P2279" s="9"/>
      <c r="Q2279" s="9"/>
      <c r="R2279" s="9"/>
      <c r="S2279" s="42"/>
      <c r="T2279" s="42"/>
      <c r="U2279" s="42"/>
      <c r="V2279" s="42"/>
      <c r="W2279" s="42"/>
      <c r="X2279" s="42"/>
      <c r="Y2279" s="42"/>
      <c r="Z2279" s="42"/>
      <c r="AA2279" s="42"/>
      <c r="AB2279" s="42" t="str">
        <f>IFERROR(__xludf.DUMMYFUNCTION("""COMPUTED_VALUE"""),"allen institute")</f>
        <v>allen institute</v>
      </c>
      <c r="AC2279" s="42" t="str">
        <f>IFERROR(__xludf.DUMMYFUNCTION("""COMPUTED_VALUE"""),"DHBA")</f>
        <v>DHBA</v>
      </c>
      <c r="AD2279" s="42"/>
      <c r="AE2279" s="42"/>
      <c r="AF2279" s="9"/>
      <c r="AG2279" s="9"/>
      <c r="AH2279" s="42"/>
      <c r="AI2279" s="42"/>
      <c r="AJ2279" s="42"/>
      <c r="AK2279" s="42"/>
      <c r="AL2279" s="42"/>
      <c r="AM2279" s="42"/>
      <c r="AN2279" s="42"/>
      <c r="AO2279" s="63" t="str">
        <f>IFERROR(__xludf.DUMMYFUNCTION("IF(ISBLANK(A2279),,IF(ISBLANK(S2279), A2279&amp;"";"", TEXTJOIN(CHAR(10), TRUE, A2279&amp;"";"", ARRAYFORMULA(VLOOKUP(SPLIT(S2279, "";"" &amp; CHAR(10)), $A:$AO, 41, FALSE)))))"),"emlgp;")</f>
        <v>emlgp;</v>
      </c>
      <c r="AP2279" s="89"/>
    </row>
    <row r="2280">
      <c r="A2280" s="151" t="str">
        <f>IFERROR(__xludf.DUMMYFUNCTION("""COMPUTED_VALUE"""),"emlth")</f>
        <v>emlth</v>
      </c>
      <c r="B2280" s="42" t="str">
        <f>IFERROR(__xludf.DUMMYFUNCTION("""COMPUTED_VALUE"""),"DHBA")</f>
        <v>DHBA</v>
      </c>
      <c r="C2280" s="42" t="str">
        <f>IFERROR(__xludf.DUMMYFUNCTION("""COMPUTED_VALUE"""),"external medullary lamina of thalamus")</f>
        <v>external medullary lamina of thalamus</v>
      </c>
      <c r="D2280" s="42">
        <f>IFERROR(__xludf.DUMMYFUNCTION("""COMPUTED_VALUE"""),2163.0)</f>
        <v>2163</v>
      </c>
      <c r="E2280" s="39" t="str">
        <f>IFERROR(__xludf.DUMMYFUNCTION("""COMPUTED_VALUE"""),"external medullary lamina of thalamus")</f>
        <v>external medullary lamina of thalamus</v>
      </c>
      <c r="F2280" s="9" t="str">
        <f>IFERROR(__xludf.DUMMYFUNCTION("""COMPUTED_VALUE"""),"Br")</f>
        <v>Br</v>
      </c>
      <c r="G2280" s="9" t="str">
        <f>IFERROR(__xludf.DUMMYFUNCTION("""COMPUTED_VALUE"""),"F")</f>
        <v>F</v>
      </c>
      <c r="H2280" s="9" t="str">
        <f>IFERROR(__xludf.DUMMYFUNCTION("""COMPUTED_VALUE"""),"FWM")</f>
        <v>FWM</v>
      </c>
      <c r="I2280" s="9" t="str">
        <f>IFERROR(__xludf.DUMMYFUNCTION("""COMPUTED_VALUE"""),"FIFT")</f>
        <v>FIFT</v>
      </c>
      <c r="J2280" s="9" t="str">
        <f>IFERROR(__xludf.DUMMYFUNCTION("""COMPUTED_VALUE"""),"emlth")</f>
        <v>emlth</v>
      </c>
      <c r="K2280" s="9"/>
      <c r="L2280" s="9"/>
      <c r="M2280" s="9"/>
      <c r="N2280" s="9"/>
      <c r="O2280" s="9"/>
      <c r="P2280" s="9"/>
      <c r="Q2280" s="9"/>
      <c r="R2280" s="9"/>
      <c r="S2280" s="42"/>
      <c r="T2280" s="42"/>
      <c r="U2280" s="42"/>
      <c r="V2280" s="42"/>
      <c r="W2280" s="42"/>
      <c r="X2280" s="42"/>
      <c r="Y2280" s="42"/>
      <c r="Z2280" s="42"/>
      <c r="AA2280" s="42"/>
      <c r="AB2280" s="42" t="str">
        <f>IFERROR(__xludf.DUMMYFUNCTION("""COMPUTED_VALUE"""),"allen institute")</f>
        <v>allen institute</v>
      </c>
      <c r="AC2280" s="42" t="str">
        <f>IFERROR(__xludf.DUMMYFUNCTION("""COMPUTED_VALUE"""),"DHBA")</f>
        <v>DHBA</v>
      </c>
      <c r="AD2280" s="42"/>
      <c r="AE2280" s="42"/>
      <c r="AF2280" s="9"/>
      <c r="AG2280" s="9"/>
      <c r="AH2280" s="42"/>
      <c r="AI2280" s="42"/>
      <c r="AJ2280" s="42"/>
      <c r="AK2280" s="42"/>
      <c r="AL2280" s="42"/>
      <c r="AM2280" s="42"/>
      <c r="AN2280" s="42"/>
      <c r="AO2280" s="63" t="str">
        <f>IFERROR(__xludf.DUMMYFUNCTION("IF(ISBLANK(A2280),,IF(ISBLANK(S2280), A2280&amp;"";"", TEXTJOIN(CHAR(10), TRUE, A2280&amp;"";"", ARRAYFORMULA(VLOOKUP(SPLIT(S2280, "";"" &amp; CHAR(10)), $A:$AO, 41, FALSE)))))"),"emlth;")</f>
        <v>emlth;</v>
      </c>
      <c r="AP2280" s="89"/>
    </row>
    <row r="2281">
      <c r="A2281" s="151" t="str">
        <f>IFERROR(__xludf.DUMMYFUNCTION("""COMPUTED_VALUE"""),"extrC")</f>
        <v>extrC</v>
      </c>
      <c r="B2281" s="42" t="str">
        <f>IFERROR(__xludf.DUMMYFUNCTION("""COMPUTED_VALUE"""),"DHBA")</f>
        <v>DHBA</v>
      </c>
      <c r="C2281" s="42" t="str">
        <f>IFERROR(__xludf.DUMMYFUNCTION("""COMPUTED_VALUE"""),"extreme capsule")</f>
        <v>extreme capsule</v>
      </c>
      <c r="D2281" s="42">
        <f>IFERROR(__xludf.DUMMYFUNCTION("""COMPUTED_VALUE"""),2164.0)</f>
        <v>2164</v>
      </c>
      <c r="E2281" s="39" t="str">
        <f>IFERROR(__xludf.DUMMYFUNCTION("""COMPUTED_VALUE"""),"extreme capsule")</f>
        <v>extreme capsule</v>
      </c>
      <c r="F2281" s="9" t="str">
        <f>IFERROR(__xludf.DUMMYFUNCTION("""COMPUTED_VALUE"""),"Br")</f>
        <v>Br</v>
      </c>
      <c r="G2281" s="9" t="str">
        <f>IFERROR(__xludf.DUMMYFUNCTION("""COMPUTED_VALUE"""),"F")</f>
        <v>F</v>
      </c>
      <c r="H2281" s="9" t="str">
        <f>IFERROR(__xludf.DUMMYFUNCTION("""COMPUTED_VALUE"""),"FWM")</f>
        <v>FWM</v>
      </c>
      <c r="I2281" s="9" t="str">
        <f>IFERROR(__xludf.DUMMYFUNCTION("""COMPUTED_VALUE"""),"FIFT")</f>
        <v>FIFT</v>
      </c>
      <c r="J2281" s="9" t="str">
        <f>IFERROR(__xludf.DUMMYFUNCTION("""COMPUTED_VALUE"""),"extrC")</f>
        <v>extrC</v>
      </c>
      <c r="K2281" s="9"/>
      <c r="L2281" s="9"/>
      <c r="M2281" s="9"/>
      <c r="N2281" s="9"/>
      <c r="O2281" s="9"/>
      <c r="P2281" s="9"/>
      <c r="Q2281" s="9"/>
      <c r="R2281" s="9"/>
      <c r="S2281" s="42"/>
      <c r="T2281" s="42"/>
      <c r="U2281" s="42"/>
      <c r="V2281" s="42"/>
      <c r="W2281" s="42"/>
      <c r="X2281" s="42"/>
      <c r="Y2281" s="42"/>
      <c r="Z2281" s="42"/>
      <c r="AA2281" s="42"/>
      <c r="AB2281" s="42" t="str">
        <f>IFERROR(__xludf.DUMMYFUNCTION("""COMPUTED_VALUE"""),"allen institute")</f>
        <v>allen institute</v>
      </c>
      <c r="AC2281" s="42" t="str">
        <f>IFERROR(__xludf.DUMMYFUNCTION("""COMPUTED_VALUE"""),"DHBA")</f>
        <v>DHBA</v>
      </c>
      <c r="AD2281" s="42"/>
      <c r="AE2281" s="42"/>
      <c r="AF2281" s="9"/>
      <c r="AG2281" s="9"/>
      <c r="AH2281" s="42"/>
      <c r="AI2281" s="42"/>
      <c r="AJ2281" s="42"/>
      <c r="AK2281" s="42"/>
      <c r="AL2281" s="42"/>
      <c r="AM2281" s="42"/>
      <c r="AN2281" s="42"/>
      <c r="AO2281" s="63" t="str">
        <f>IFERROR(__xludf.DUMMYFUNCTION("IF(ISBLANK(A2281),,IF(ISBLANK(S2281), A2281&amp;"";"", TEXTJOIN(CHAR(10), TRUE, A2281&amp;"";"", ARRAYFORMULA(VLOOKUP(SPLIT(S2281, "";"" &amp; CHAR(10)), $A:$AO, 41, FALSE)))))"),"extrC;")</f>
        <v>extrC;</v>
      </c>
      <c r="AP2281" s="89"/>
    </row>
    <row r="2282">
      <c r="A2282" s="151" t="str">
        <f>IFERROR(__xludf.DUMMYFUNCTION("""COMPUTED_VALUE"""),"fim")</f>
        <v>fim</v>
      </c>
      <c r="B2282" s="42" t="str">
        <f>IFERROR(__xludf.DUMMYFUNCTION("""COMPUTED_VALUE"""),"DHBA")</f>
        <v>DHBA</v>
      </c>
      <c r="C2282" s="42" t="str">
        <f>IFERROR(__xludf.DUMMYFUNCTION("""COMPUTED_VALUE"""),"fimbria")</f>
        <v>fimbria</v>
      </c>
      <c r="D2282" s="42">
        <f>IFERROR(__xludf.DUMMYFUNCTION("""COMPUTED_VALUE"""),2165.0)</f>
        <v>2165</v>
      </c>
      <c r="E2282" s="39" t="str">
        <f>IFERROR(__xludf.DUMMYFUNCTION("""COMPUTED_VALUE"""),"fimbria")</f>
        <v>fimbria</v>
      </c>
      <c r="F2282" s="9" t="str">
        <f>IFERROR(__xludf.DUMMYFUNCTION("""COMPUTED_VALUE"""),"Br")</f>
        <v>Br</v>
      </c>
      <c r="G2282" s="9" t="str">
        <f>IFERROR(__xludf.DUMMYFUNCTION("""COMPUTED_VALUE"""),"F")</f>
        <v>F</v>
      </c>
      <c r="H2282" s="9" t="str">
        <f>IFERROR(__xludf.DUMMYFUNCTION("""COMPUTED_VALUE"""),"FWM")</f>
        <v>FWM</v>
      </c>
      <c r="I2282" s="9" t="str">
        <f>IFERROR(__xludf.DUMMYFUNCTION("""COMPUTED_VALUE"""),"FIFT")</f>
        <v>FIFT</v>
      </c>
      <c r="J2282" s="9" t="str">
        <f>IFERROR(__xludf.DUMMYFUNCTION("""COMPUTED_VALUE"""),"fim")</f>
        <v>fim</v>
      </c>
      <c r="K2282" s="9"/>
      <c r="L2282" s="9"/>
      <c r="M2282" s="9"/>
      <c r="N2282" s="9"/>
      <c r="O2282" s="9"/>
      <c r="P2282" s="9"/>
      <c r="Q2282" s="9"/>
      <c r="R2282" s="9"/>
      <c r="S2282" s="42"/>
      <c r="T2282" s="42"/>
      <c r="U2282" s="42"/>
      <c r="V2282" s="42"/>
      <c r="W2282" s="42"/>
      <c r="X2282" s="42"/>
      <c r="Y2282" s="42"/>
      <c r="Z2282" s="42"/>
      <c r="AA2282" s="42"/>
      <c r="AB2282" s="42" t="str">
        <f>IFERROR(__xludf.DUMMYFUNCTION("""COMPUTED_VALUE"""),"allen institute")</f>
        <v>allen institute</v>
      </c>
      <c r="AC2282" s="42" t="str">
        <f>IFERROR(__xludf.DUMMYFUNCTION("""COMPUTED_VALUE"""),"DHBA")</f>
        <v>DHBA</v>
      </c>
      <c r="AD2282" s="42"/>
      <c r="AE2282" s="42"/>
      <c r="AF2282" s="9"/>
      <c r="AG2282" s="9"/>
      <c r="AH2282" s="42"/>
      <c r="AI2282" s="42"/>
      <c r="AJ2282" s="42"/>
      <c r="AK2282" s="42"/>
      <c r="AL2282" s="42"/>
      <c r="AM2282" s="42"/>
      <c r="AN2282" s="42"/>
      <c r="AO2282" s="63" t="str">
        <f>IFERROR(__xludf.DUMMYFUNCTION("IF(ISBLANK(A2282),,IF(ISBLANK(S2282), A2282&amp;"";"", TEXTJOIN(CHAR(10), TRUE, A2282&amp;"";"", ARRAYFORMULA(VLOOKUP(SPLIT(S2282, "";"" &amp; CHAR(10)), $A:$AO, 41, FALSE)))))"),"fim;")</f>
        <v>fim;</v>
      </c>
      <c r="AP2282" s="89"/>
    </row>
    <row r="2283">
      <c r="A2283" s="151" t="str">
        <f>IFERROR(__xludf.DUMMYFUNCTION("""COMPUTED_VALUE"""),"fx")</f>
        <v>fx</v>
      </c>
      <c r="B2283" s="42" t="str">
        <f>IFERROR(__xludf.DUMMYFUNCTION("""COMPUTED_VALUE"""),"DHBA")</f>
        <v>DHBA</v>
      </c>
      <c r="C2283" s="42" t="str">
        <f>IFERROR(__xludf.DUMMYFUNCTION("""COMPUTED_VALUE"""),"fornix")</f>
        <v>fornix</v>
      </c>
      <c r="D2283" s="42">
        <f>IFERROR(__xludf.DUMMYFUNCTION("""COMPUTED_VALUE"""),2166.0)</f>
        <v>2166</v>
      </c>
      <c r="E2283" s="39" t="str">
        <f>IFERROR(__xludf.DUMMYFUNCTION("""COMPUTED_VALUE"""),"fornix")</f>
        <v>fornix</v>
      </c>
      <c r="F2283" s="9" t="str">
        <f>IFERROR(__xludf.DUMMYFUNCTION("""COMPUTED_VALUE"""),"Br")</f>
        <v>Br</v>
      </c>
      <c r="G2283" s="9" t="str">
        <f>IFERROR(__xludf.DUMMYFUNCTION("""COMPUTED_VALUE"""),"F")</f>
        <v>F</v>
      </c>
      <c r="H2283" s="9" t="str">
        <f>IFERROR(__xludf.DUMMYFUNCTION("""COMPUTED_VALUE"""),"FWM")</f>
        <v>FWM</v>
      </c>
      <c r="I2283" s="9" t="str">
        <f>IFERROR(__xludf.DUMMYFUNCTION("""COMPUTED_VALUE"""),"FIFT")</f>
        <v>FIFT</v>
      </c>
      <c r="J2283" s="9" t="str">
        <f>IFERROR(__xludf.DUMMYFUNCTION("""COMPUTED_VALUE"""),"fx")</f>
        <v>fx</v>
      </c>
      <c r="K2283" s="9"/>
      <c r="L2283" s="9"/>
      <c r="M2283" s="9"/>
      <c r="N2283" s="9"/>
      <c r="O2283" s="9"/>
      <c r="P2283" s="9"/>
      <c r="Q2283" s="9"/>
      <c r="R2283" s="9"/>
      <c r="S2283" s="42" t="str">
        <f>IFERROR(__xludf.DUMMYFUNCTION("""COMPUTED_VALUE"""),"fx_co;
fx_b;
fx_cr")</f>
        <v>fx_co;
fx_b;
fx_cr</v>
      </c>
      <c r="T2283" s="42"/>
      <c r="U2283" s="42" t="b">
        <f>IFERROR(__xludf.DUMMYFUNCTION("""COMPUTED_VALUE"""),FALSE)</f>
        <v>0</v>
      </c>
      <c r="V2283" s="42"/>
      <c r="W2283" s="42"/>
      <c r="X2283" s="42"/>
      <c r="Y2283" s="42"/>
      <c r="Z2283" s="42"/>
      <c r="AA2283" s="42"/>
      <c r="AB2283" s="42" t="str">
        <f>IFERROR(__xludf.DUMMYFUNCTION("""COMPUTED_VALUE"""),"allen institute")</f>
        <v>allen institute</v>
      </c>
      <c r="AC2283" s="42" t="str">
        <f>IFERROR(__xludf.DUMMYFUNCTION("""COMPUTED_VALUE"""),"DHBA")</f>
        <v>DHBA</v>
      </c>
      <c r="AD2283" s="42"/>
      <c r="AE2283" s="42"/>
      <c r="AF2283" s="9"/>
      <c r="AG2283" s="9"/>
      <c r="AH2283" s="42"/>
      <c r="AI2283" s="42"/>
      <c r="AJ2283" s="42"/>
      <c r="AK2283" s="42"/>
      <c r="AL2283" s="42"/>
      <c r="AM2283" s="42"/>
      <c r="AN2283" s="42"/>
      <c r="AO2283" s="63" t="str">
        <f>IFERROR(__xludf.DUMMYFUNCTION("IF(ISBLANK(A2283),,IF(ISBLANK(S2283), A2283&amp;"";"", TEXTJOIN(CHAR(10), TRUE, A2283&amp;"";"", ARRAYFORMULA(VLOOKUP(SPLIT(S2283, "";"" &amp; CHAR(10)), $A:$AO, 41, FALSE)))))"),"#N/A")</f>
        <v>#N/A</v>
      </c>
      <c r="AP2283" s="89"/>
    </row>
    <row r="2284">
      <c r="A2284" s="151" t="str">
        <f>IFERROR(__xludf.DUMMYFUNCTION("""COMPUTED_VALUE"""),"fx-co")</f>
        <v>fx-co</v>
      </c>
      <c r="B2284" s="42" t="str">
        <f>IFERROR(__xludf.DUMMYFUNCTION("""COMPUTED_VALUE"""),"DHBA")</f>
        <v>DHBA</v>
      </c>
      <c r="C2284" s="42" t="str">
        <f>IFERROR(__xludf.DUMMYFUNCTION("""COMPUTED_VALUE"""),"column of the fornix")</f>
        <v>column of the fornix</v>
      </c>
      <c r="D2284" s="42">
        <f>IFERROR(__xludf.DUMMYFUNCTION("""COMPUTED_VALUE"""),2167.0)</f>
        <v>2167</v>
      </c>
      <c r="E2284" s="39" t="str">
        <f>IFERROR(__xludf.DUMMYFUNCTION("""COMPUTED_VALUE"""),"column of the fornix")</f>
        <v>column of the fornix</v>
      </c>
      <c r="F2284" s="9" t="str">
        <f>IFERROR(__xludf.DUMMYFUNCTION("""COMPUTED_VALUE"""),"Br")</f>
        <v>Br</v>
      </c>
      <c r="G2284" s="9" t="str">
        <f>IFERROR(__xludf.DUMMYFUNCTION("""COMPUTED_VALUE"""),"F")</f>
        <v>F</v>
      </c>
      <c r="H2284" s="9" t="str">
        <f>IFERROR(__xludf.DUMMYFUNCTION("""COMPUTED_VALUE"""),"FWM")</f>
        <v>FWM</v>
      </c>
      <c r="I2284" s="9" t="str">
        <f>IFERROR(__xludf.DUMMYFUNCTION("""COMPUTED_VALUE"""),"FIFT")</f>
        <v>FIFT</v>
      </c>
      <c r="J2284" s="9" t="str">
        <f>IFERROR(__xludf.DUMMYFUNCTION("""COMPUTED_VALUE"""),"fx")</f>
        <v>fx</v>
      </c>
      <c r="K2284" s="9" t="str">
        <f>IFERROR(__xludf.DUMMYFUNCTION("""COMPUTED_VALUE"""),"fx-co")</f>
        <v>fx-co</v>
      </c>
      <c r="L2284" s="9"/>
      <c r="M2284" s="9"/>
      <c r="N2284" s="9"/>
      <c r="O2284" s="9"/>
      <c r="P2284" s="9"/>
      <c r="Q2284" s="9"/>
      <c r="R2284" s="9"/>
      <c r="S2284" s="42"/>
      <c r="T2284" s="42"/>
      <c r="U2284" s="42"/>
      <c r="V2284" s="42"/>
      <c r="W2284" s="42"/>
      <c r="X2284" s="42"/>
      <c r="Y2284" s="42"/>
      <c r="Z2284" s="42"/>
      <c r="AA2284" s="42"/>
      <c r="AB2284" s="42" t="str">
        <f>IFERROR(__xludf.DUMMYFUNCTION("""COMPUTED_VALUE"""),"allen institute")</f>
        <v>allen institute</v>
      </c>
      <c r="AC2284" s="42" t="str">
        <f>IFERROR(__xludf.DUMMYFUNCTION("""COMPUTED_VALUE"""),"DHBA")</f>
        <v>DHBA</v>
      </c>
      <c r="AD2284" s="42"/>
      <c r="AE2284" s="42"/>
      <c r="AF2284" s="9"/>
      <c r="AG2284" s="9"/>
      <c r="AH2284" s="42"/>
      <c r="AI2284" s="42"/>
      <c r="AJ2284" s="42"/>
      <c r="AK2284" s="42"/>
      <c r="AL2284" s="42"/>
      <c r="AM2284" s="42"/>
      <c r="AN2284" s="42"/>
      <c r="AO2284" s="63" t="str">
        <f>IFERROR(__xludf.DUMMYFUNCTION("IF(ISBLANK(A2284),,IF(ISBLANK(S2284), A2284&amp;"";"", TEXTJOIN(CHAR(10), TRUE, A2284&amp;"";"", ARRAYFORMULA(VLOOKUP(SPLIT(S2284, "";"" &amp; CHAR(10)), $A:$AO, 41, FALSE)))))"),"fx-co;")</f>
        <v>fx-co;</v>
      </c>
      <c r="AP2284" s="89"/>
    </row>
    <row r="2285">
      <c r="A2285" s="151" t="str">
        <f>IFERROR(__xludf.DUMMYFUNCTION("""COMPUTED_VALUE"""),"fxc-r")</f>
        <v>fxc-r</v>
      </c>
      <c r="B2285" s="42" t="str">
        <f>IFERROR(__xludf.DUMMYFUNCTION("""COMPUTED_VALUE"""),"DHBA")</f>
        <v>DHBA</v>
      </c>
      <c r="C2285" s="42" t="str">
        <f>IFERROR(__xludf.DUMMYFUNCTION("""COMPUTED_VALUE"""),"column of the fornix, rostral portion")</f>
        <v>column of the fornix, rostral portion</v>
      </c>
      <c r="D2285" s="42">
        <f>IFERROR(__xludf.DUMMYFUNCTION("""COMPUTED_VALUE"""),2168.0)</f>
        <v>2168</v>
      </c>
      <c r="E2285" s="39" t="str">
        <f>IFERROR(__xludf.DUMMYFUNCTION("""COMPUTED_VALUE"""),"column of the fornix, rostral portion")</f>
        <v>column of the fornix, rostral portion</v>
      </c>
      <c r="F2285" s="9" t="str">
        <f>IFERROR(__xludf.DUMMYFUNCTION("""COMPUTED_VALUE"""),"Br")</f>
        <v>Br</v>
      </c>
      <c r="G2285" s="9" t="str">
        <f>IFERROR(__xludf.DUMMYFUNCTION("""COMPUTED_VALUE"""),"F")</f>
        <v>F</v>
      </c>
      <c r="H2285" s="9" t="str">
        <f>IFERROR(__xludf.DUMMYFUNCTION("""COMPUTED_VALUE"""),"FWM")</f>
        <v>FWM</v>
      </c>
      <c r="I2285" s="9" t="str">
        <f>IFERROR(__xludf.DUMMYFUNCTION("""COMPUTED_VALUE"""),"FIFT")</f>
        <v>FIFT</v>
      </c>
      <c r="J2285" s="9" t="str">
        <f>IFERROR(__xludf.DUMMYFUNCTION("""COMPUTED_VALUE"""),"fx")</f>
        <v>fx</v>
      </c>
      <c r="K2285" s="9" t="str">
        <f>IFERROR(__xludf.DUMMYFUNCTION("""COMPUTED_VALUE"""),"fx-co")</f>
        <v>fx-co</v>
      </c>
      <c r="L2285" s="9" t="str">
        <f>IFERROR(__xludf.DUMMYFUNCTION("""COMPUTED_VALUE"""),"fxc-r")</f>
        <v>fxc-r</v>
      </c>
      <c r="M2285" s="9"/>
      <c r="N2285" s="9"/>
      <c r="O2285" s="9"/>
      <c r="P2285" s="9"/>
      <c r="Q2285" s="9"/>
      <c r="R2285" s="9"/>
      <c r="S2285" s="42"/>
      <c r="T2285" s="42"/>
      <c r="U2285" s="42"/>
      <c r="V2285" s="42"/>
      <c r="W2285" s="42"/>
      <c r="X2285" s="42"/>
      <c r="Y2285" s="42"/>
      <c r="Z2285" s="42"/>
      <c r="AA2285" s="42"/>
      <c r="AB2285" s="42" t="str">
        <f>IFERROR(__xludf.DUMMYFUNCTION("""COMPUTED_VALUE"""),"allen institute")</f>
        <v>allen institute</v>
      </c>
      <c r="AC2285" s="42" t="str">
        <f>IFERROR(__xludf.DUMMYFUNCTION("""COMPUTED_VALUE"""),"DHBA")</f>
        <v>DHBA</v>
      </c>
      <c r="AD2285" s="42"/>
      <c r="AE2285" s="42"/>
      <c r="AF2285" s="9"/>
      <c r="AG2285" s="9"/>
      <c r="AH2285" s="42"/>
      <c r="AI2285" s="42"/>
      <c r="AJ2285" s="42"/>
      <c r="AK2285" s="42"/>
      <c r="AL2285" s="42"/>
      <c r="AM2285" s="42"/>
      <c r="AN2285" s="42"/>
      <c r="AO2285" s="63" t="str">
        <f>IFERROR(__xludf.DUMMYFUNCTION("IF(ISBLANK(A2285),,IF(ISBLANK(S2285), A2285&amp;"";"", TEXTJOIN(CHAR(10), TRUE, A2285&amp;"";"", ARRAYFORMULA(VLOOKUP(SPLIT(S2285, "";"" &amp; CHAR(10)), $A:$AO, 41, FALSE)))))"),"fxc-r;")</f>
        <v>fxc-r;</v>
      </c>
      <c r="AP2285" s="89"/>
    </row>
    <row r="2286">
      <c r="A2286" s="151" t="str">
        <f>IFERROR(__xludf.DUMMYFUNCTION("""COMPUTED_VALUE"""),"fxc-c")</f>
        <v>fxc-c</v>
      </c>
      <c r="B2286" s="42" t="str">
        <f>IFERROR(__xludf.DUMMYFUNCTION("""COMPUTED_VALUE"""),"DHBA")</f>
        <v>DHBA</v>
      </c>
      <c r="C2286" s="42" t="str">
        <f>IFERROR(__xludf.DUMMYFUNCTION("""COMPUTED_VALUE"""),"column of the fornix, caudal portion")</f>
        <v>column of the fornix, caudal portion</v>
      </c>
      <c r="D2286" s="42">
        <f>IFERROR(__xludf.DUMMYFUNCTION("""COMPUTED_VALUE"""),2169.0)</f>
        <v>2169</v>
      </c>
      <c r="E2286" s="39" t="str">
        <f>IFERROR(__xludf.DUMMYFUNCTION("""COMPUTED_VALUE"""),"column of the fornix, caudal portion")</f>
        <v>column of the fornix, caudal portion</v>
      </c>
      <c r="F2286" s="9" t="str">
        <f>IFERROR(__xludf.DUMMYFUNCTION("""COMPUTED_VALUE"""),"Br")</f>
        <v>Br</v>
      </c>
      <c r="G2286" s="9" t="str">
        <f>IFERROR(__xludf.DUMMYFUNCTION("""COMPUTED_VALUE"""),"F")</f>
        <v>F</v>
      </c>
      <c r="H2286" s="9" t="str">
        <f>IFERROR(__xludf.DUMMYFUNCTION("""COMPUTED_VALUE"""),"FWM")</f>
        <v>FWM</v>
      </c>
      <c r="I2286" s="9" t="str">
        <f>IFERROR(__xludf.DUMMYFUNCTION("""COMPUTED_VALUE"""),"FIFT")</f>
        <v>FIFT</v>
      </c>
      <c r="J2286" s="9" t="str">
        <f>IFERROR(__xludf.DUMMYFUNCTION("""COMPUTED_VALUE"""),"fx")</f>
        <v>fx</v>
      </c>
      <c r="K2286" s="9" t="str">
        <f>IFERROR(__xludf.DUMMYFUNCTION("""COMPUTED_VALUE"""),"fx-co")</f>
        <v>fx-co</v>
      </c>
      <c r="L2286" s="9" t="str">
        <f>IFERROR(__xludf.DUMMYFUNCTION("""COMPUTED_VALUE"""),"fxc-c")</f>
        <v>fxc-c</v>
      </c>
      <c r="M2286" s="9"/>
      <c r="N2286" s="9"/>
      <c r="O2286" s="9"/>
      <c r="P2286" s="9"/>
      <c r="Q2286" s="9"/>
      <c r="R2286" s="9"/>
      <c r="S2286" s="42"/>
      <c r="T2286" s="42"/>
      <c r="U2286" s="42"/>
      <c r="V2286" s="42"/>
      <c r="W2286" s="42"/>
      <c r="X2286" s="42"/>
      <c r="Y2286" s="42"/>
      <c r="Z2286" s="42"/>
      <c r="AA2286" s="42"/>
      <c r="AB2286" s="42" t="str">
        <f>IFERROR(__xludf.DUMMYFUNCTION("""COMPUTED_VALUE"""),"allen institute")</f>
        <v>allen institute</v>
      </c>
      <c r="AC2286" s="42" t="str">
        <f>IFERROR(__xludf.DUMMYFUNCTION("""COMPUTED_VALUE"""),"DHBA")</f>
        <v>DHBA</v>
      </c>
      <c r="AD2286" s="42"/>
      <c r="AE2286" s="42"/>
      <c r="AF2286" s="9"/>
      <c r="AG2286" s="9"/>
      <c r="AH2286" s="42"/>
      <c r="AI2286" s="42"/>
      <c r="AJ2286" s="42"/>
      <c r="AK2286" s="42"/>
      <c r="AL2286" s="42"/>
      <c r="AM2286" s="42"/>
      <c r="AN2286" s="42"/>
      <c r="AO2286" s="63" t="str">
        <f>IFERROR(__xludf.DUMMYFUNCTION("IF(ISBLANK(A2286),,IF(ISBLANK(S2286), A2286&amp;"";"", TEXTJOIN(CHAR(10), TRUE, A2286&amp;"";"", ARRAYFORMULA(VLOOKUP(SPLIT(S2286, "";"" &amp; CHAR(10)), $A:$AO, 41, FALSE)))))"),"fxc-c;")</f>
        <v>fxc-c;</v>
      </c>
      <c r="AP2286" s="89"/>
    </row>
    <row r="2287">
      <c r="A2287" s="151" t="str">
        <f>IFERROR(__xludf.DUMMYFUNCTION("""COMPUTED_VALUE"""),"fx-b")</f>
        <v>fx-b</v>
      </c>
      <c r="B2287" s="42" t="str">
        <f>IFERROR(__xludf.DUMMYFUNCTION("""COMPUTED_VALUE"""),"DHBA")</f>
        <v>DHBA</v>
      </c>
      <c r="C2287" s="42" t="str">
        <f>IFERROR(__xludf.DUMMYFUNCTION("""COMPUTED_VALUE"""),"body of the fornix")</f>
        <v>body of the fornix</v>
      </c>
      <c r="D2287" s="42">
        <f>IFERROR(__xludf.DUMMYFUNCTION("""COMPUTED_VALUE"""),2170.0)</f>
        <v>2170</v>
      </c>
      <c r="E2287" s="39" t="str">
        <f>IFERROR(__xludf.DUMMYFUNCTION("""COMPUTED_VALUE"""),"body of the fornix")</f>
        <v>body of the fornix</v>
      </c>
      <c r="F2287" s="9" t="str">
        <f>IFERROR(__xludf.DUMMYFUNCTION("""COMPUTED_VALUE"""),"Br")</f>
        <v>Br</v>
      </c>
      <c r="G2287" s="9" t="str">
        <f>IFERROR(__xludf.DUMMYFUNCTION("""COMPUTED_VALUE"""),"F")</f>
        <v>F</v>
      </c>
      <c r="H2287" s="9" t="str">
        <f>IFERROR(__xludf.DUMMYFUNCTION("""COMPUTED_VALUE"""),"FWM")</f>
        <v>FWM</v>
      </c>
      <c r="I2287" s="9" t="str">
        <f>IFERROR(__xludf.DUMMYFUNCTION("""COMPUTED_VALUE"""),"FIFT")</f>
        <v>FIFT</v>
      </c>
      <c r="J2287" s="9" t="str">
        <f>IFERROR(__xludf.DUMMYFUNCTION("""COMPUTED_VALUE"""),"fx")</f>
        <v>fx</v>
      </c>
      <c r="K2287" s="9" t="str">
        <f>IFERROR(__xludf.DUMMYFUNCTION("""COMPUTED_VALUE"""),"fx-b")</f>
        <v>fx-b</v>
      </c>
      <c r="L2287" s="9"/>
      <c r="M2287" s="9"/>
      <c r="N2287" s="9"/>
      <c r="O2287" s="9"/>
      <c r="P2287" s="9"/>
      <c r="Q2287" s="9"/>
      <c r="R2287" s="9"/>
      <c r="S2287" s="42"/>
      <c r="T2287" s="42"/>
      <c r="U2287" s="42"/>
      <c r="V2287" s="42"/>
      <c r="W2287" s="42"/>
      <c r="X2287" s="42"/>
      <c r="Y2287" s="42"/>
      <c r="Z2287" s="42"/>
      <c r="AA2287" s="42"/>
      <c r="AB2287" s="42" t="str">
        <f>IFERROR(__xludf.DUMMYFUNCTION("""COMPUTED_VALUE"""),"allen institute")</f>
        <v>allen institute</v>
      </c>
      <c r="AC2287" s="42" t="str">
        <f>IFERROR(__xludf.DUMMYFUNCTION("""COMPUTED_VALUE"""),"DHBA")</f>
        <v>DHBA</v>
      </c>
      <c r="AD2287" s="42"/>
      <c r="AE2287" s="42"/>
      <c r="AF2287" s="9"/>
      <c r="AG2287" s="9"/>
      <c r="AH2287" s="42"/>
      <c r="AI2287" s="42"/>
      <c r="AJ2287" s="42"/>
      <c r="AK2287" s="42"/>
      <c r="AL2287" s="42"/>
      <c r="AM2287" s="42"/>
      <c r="AN2287" s="42"/>
      <c r="AO2287" s="63" t="str">
        <f>IFERROR(__xludf.DUMMYFUNCTION("IF(ISBLANK(A2287),,IF(ISBLANK(S2287), A2287&amp;"";"", TEXTJOIN(CHAR(10), TRUE, A2287&amp;"";"", ARRAYFORMULA(VLOOKUP(SPLIT(S2287, "";"" &amp; CHAR(10)), $A:$AO, 41, FALSE)))))"),"fx-b;")</f>
        <v>fx-b;</v>
      </c>
      <c r="AP2287" s="89"/>
    </row>
    <row r="2288">
      <c r="A2288" s="151" t="str">
        <f>IFERROR(__xludf.DUMMYFUNCTION("""COMPUTED_VALUE"""),"fx-cr")</f>
        <v>fx-cr</v>
      </c>
      <c r="B2288" s="42" t="str">
        <f>IFERROR(__xludf.DUMMYFUNCTION("""COMPUTED_VALUE"""),"DHBA")</f>
        <v>DHBA</v>
      </c>
      <c r="C2288" s="42" t="str">
        <f>IFERROR(__xludf.DUMMYFUNCTION("""COMPUTED_VALUE"""),"crus of the fornix")</f>
        <v>crus of the fornix</v>
      </c>
      <c r="D2288" s="42">
        <f>IFERROR(__xludf.DUMMYFUNCTION("""COMPUTED_VALUE"""),2171.0)</f>
        <v>2171</v>
      </c>
      <c r="E2288" s="39" t="str">
        <f>IFERROR(__xludf.DUMMYFUNCTION("""COMPUTED_VALUE"""),"crus of the fornix")</f>
        <v>crus of the fornix</v>
      </c>
      <c r="F2288" s="9" t="str">
        <f>IFERROR(__xludf.DUMMYFUNCTION("""COMPUTED_VALUE"""),"Br")</f>
        <v>Br</v>
      </c>
      <c r="G2288" s="9" t="str">
        <f>IFERROR(__xludf.DUMMYFUNCTION("""COMPUTED_VALUE"""),"F")</f>
        <v>F</v>
      </c>
      <c r="H2288" s="9" t="str">
        <f>IFERROR(__xludf.DUMMYFUNCTION("""COMPUTED_VALUE"""),"FWM")</f>
        <v>FWM</v>
      </c>
      <c r="I2288" s="9" t="str">
        <f>IFERROR(__xludf.DUMMYFUNCTION("""COMPUTED_VALUE"""),"FIFT")</f>
        <v>FIFT</v>
      </c>
      <c r="J2288" s="9" t="str">
        <f>IFERROR(__xludf.DUMMYFUNCTION("""COMPUTED_VALUE"""),"fx")</f>
        <v>fx</v>
      </c>
      <c r="K2288" s="9" t="str">
        <f>IFERROR(__xludf.DUMMYFUNCTION("""COMPUTED_VALUE"""),"fx-cr")</f>
        <v>fx-cr</v>
      </c>
      <c r="L2288" s="9"/>
      <c r="M2288" s="9"/>
      <c r="N2288" s="9"/>
      <c r="O2288" s="9"/>
      <c r="P2288" s="9"/>
      <c r="Q2288" s="9"/>
      <c r="R2288" s="9"/>
      <c r="S2288" s="42"/>
      <c r="T2288" s="42"/>
      <c r="U2288" s="42"/>
      <c r="V2288" s="42"/>
      <c r="W2288" s="42"/>
      <c r="X2288" s="42"/>
      <c r="Y2288" s="42"/>
      <c r="Z2288" s="42"/>
      <c r="AA2288" s="42"/>
      <c r="AB2288" s="42" t="str">
        <f>IFERROR(__xludf.DUMMYFUNCTION("""COMPUTED_VALUE"""),"allen institute")</f>
        <v>allen institute</v>
      </c>
      <c r="AC2288" s="42" t="str">
        <f>IFERROR(__xludf.DUMMYFUNCTION("""COMPUTED_VALUE"""),"DHBA")</f>
        <v>DHBA</v>
      </c>
      <c r="AD2288" s="42"/>
      <c r="AE2288" s="42"/>
      <c r="AF2288" s="9"/>
      <c r="AG2288" s="9"/>
      <c r="AH2288" s="42"/>
      <c r="AI2288" s="42"/>
      <c r="AJ2288" s="42"/>
      <c r="AK2288" s="42"/>
      <c r="AL2288" s="42"/>
      <c r="AM2288" s="42"/>
      <c r="AN2288" s="42"/>
      <c r="AO2288" s="63" t="str">
        <f>IFERROR(__xludf.DUMMYFUNCTION("IF(ISBLANK(A2288),,IF(ISBLANK(S2288), A2288&amp;"";"", TEXTJOIN(CHAR(10), TRUE, A2288&amp;"";"", ARRAYFORMULA(VLOOKUP(SPLIT(S2288, "";"" &amp; CHAR(10)), $A:$AO, 41, FALSE)))))"),"fx-cr;")</f>
        <v>fx-cr;</v>
      </c>
      <c r="AP2288" s="89"/>
    </row>
    <row r="2289">
      <c r="A2289" s="151" t="str">
        <f>IFERROR(__xludf.DUMMYFUNCTION("""COMPUTED_VALUE"""),"hyhp")</f>
        <v>hyhp</v>
      </c>
      <c r="B2289" s="42" t="str">
        <f>IFERROR(__xludf.DUMMYFUNCTION("""COMPUTED_VALUE"""),"DHBA")</f>
        <v>DHBA</v>
      </c>
      <c r="C2289" s="42" t="str">
        <f>IFERROR(__xludf.DUMMYFUNCTION("""COMPUTED_VALUE"""),"hypothalamo-hypophyseal tract")</f>
        <v>hypothalamo-hypophyseal tract</v>
      </c>
      <c r="D2289" s="42">
        <f>IFERROR(__xludf.DUMMYFUNCTION("""COMPUTED_VALUE"""),2172.0)</f>
        <v>2172</v>
      </c>
      <c r="E2289" s="39" t="str">
        <f>IFERROR(__xludf.DUMMYFUNCTION("""COMPUTED_VALUE"""),"hypothalamo-hypophyseal tract")</f>
        <v>hypothalamo-hypophyseal tract</v>
      </c>
      <c r="F2289" s="9" t="str">
        <f>IFERROR(__xludf.DUMMYFUNCTION("""COMPUTED_VALUE"""),"Br")</f>
        <v>Br</v>
      </c>
      <c r="G2289" s="9" t="str">
        <f>IFERROR(__xludf.DUMMYFUNCTION("""COMPUTED_VALUE"""),"F")</f>
        <v>F</v>
      </c>
      <c r="H2289" s="9" t="str">
        <f>IFERROR(__xludf.DUMMYFUNCTION("""COMPUTED_VALUE"""),"FWM")</f>
        <v>FWM</v>
      </c>
      <c r="I2289" s="9" t="str">
        <f>IFERROR(__xludf.DUMMYFUNCTION("""COMPUTED_VALUE"""),"FIFT")</f>
        <v>FIFT</v>
      </c>
      <c r="J2289" s="9" t="str">
        <f>IFERROR(__xludf.DUMMYFUNCTION("""COMPUTED_VALUE"""),"hyhp")</f>
        <v>hyhp</v>
      </c>
      <c r="K2289" s="9"/>
      <c r="L2289" s="9"/>
      <c r="M2289" s="9"/>
      <c r="N2289" s="9"/>
      <c r="O2289" s="9"/>
      <c r="P2289" s="9"/>
      <c r="Q2289" s="9"/>
      <c r="R2289" s="9"/>
      <c r="S2289" s="42"/>
      <c r="T2289" s="42"/>
      <c r="U2289" s="42"/>
      <c r="V2289" s="42"/>
      <c r="W2289" s="42"/>
      <c r="X2289" s="42"/>
      <c r="Y2289" s="42"/>
      <c r="Z2289" s="42"/>
      <c r="AA2289" s="42"/>
      <c r="AB2289" s="42" t="str">
        <f>IFERROR(__xludf.DUMMYFUNCTION("""COMPUTED_VALUE"""),"allen institute")</f>
        <v>allen institute</v>
      </c>
      <c r="AC2289" s="42" t="str">
        <f>IFERROR(__xludf.DUMMYFUNCTION("""COMPUTED_VALUE"""),"DHBA")</f>
        <v>DHBA</v>
      </c>
      <c r="AD2289" s="42"/>
      <c r="AE2289" s="42"/>
      <c r="AF2289" s="9"/>
      <c r="AG2289" s="9"/>
      <c r="AH2289" s="42"/>
      <c r="AI2289" s="42"/>
      <c r="AJ2289" s="42"/>
      <c r="AK2289" s="42"/>
      <c r="AL2289" s="42"/>
      <c r="AM2289" s="42"/>
      <c r="AN2289" s="42"/>
      <c r="AO2289" s="63" t="str">
        <f>IFERROR(__xludf.DUMMYFUNCTION("IF(ISBLANK(A2289),,IF(ISBLANK(S2289), A2289&amp;"";"", TEXTJOIN(CHAR(10), TRUE, A2289&amp;"";"", ARRAYFORMULA(VLOOKUP(SPLIT(S2289, "";"" &amp; CHAR(10)), $A:$AO, 41, FALSE)))))"),"hyhp;")</f>
        <v>hyhp;</v>
      </c>
      <c r="AP2289" s="89"/>
    </row>
    <row r="2290">
      <c r="A2290" s="151" t="str">
        <f>IFERROR(__xludf.DUMMYFUNCTION("""COMPUTED_VALUE"""),"ilf")</f>
        <v>ilf</v>
      </c>
      <c r="B2290" s="42" t="str">
        <f>IFERROR(__xludf.DUMMYFUNCTION("""COMPUTED_VALUE"""),"DHBA")</f>
        <v>DHBA</v>
      </c>
      <c r="C2290" s="42" t="str">
        <f>IFERROR(__xludf.DUMMYFUNCTION("""COMPUTED_VALUE"""),"inferior longitudinal fasciculus")</f>
        <v>inferior longitudinal fasciculus</v>
      </c>
      <c r="D2290" s="42">
        <f>IFERROR(__xludf.DUMMYFUNCTION("""COMPUTED_VALUE"""),2173.0)</f>
        <v>2173</v>
      </c>
      <c r="E2290" s="39" t="str">
        <f>IFERROR(__xludf.DUMMYFUNCTION("""COMPUTED_VALUE"""),"inferior longitudinal fasciculus")</f>
        <v>inferior longitudinal fasciculus</v>
      </c>
      <c r="F2290" s="9" t="str">
        <f>IFERROR(__xludf.DUMMYFUNCTION("""COMPUTED_VALUE"""),"Br")</f>
        <v>Br</v>
      </c>
      <c r="G2290" s="9" t="str">
        <f>IFERROR(__xludf.DUMMYFUNCTION("""COMPUTED_VALUE"""),"F")</f>
        <v>F</v>
      </c>
      <c r="H2290" s="9" t="str">
        <f>IFERROR(__xludf.DUMMYFUNCTION("""COMPUTED_VALUE"""),"FWM")</f>
        <v>FWM</v>
      </c>
      <c r="I2290" s="9" t="str">
        <f>IFERROR(__xludf.DUMMYFUNCTION("""COMPUTED_VALUE"""),"FIFT")</f>
        <v>FIFT</v>
      </c>
      <c r="J2290" s="9" t="str">
        <f>IFERROR(__xludf.DUMMYFUNCTION("""COMPUTED_VALUE"""),"ilf")</f>
        <v>ilf</v>
      </c>
      <c r="K2290" s="9"/>
      <c r="L2290" s="9"/>
      <c r="M2290" s="9"/>
      <c r="N2290" s="9"/>
      <c r="O2290" s="9"/>
      <c r="P2290" s="9"/>
      <c r="Q2290" s="9"/>
      <c r="R2290" s="9"/>
      <c r="S2290" s="42"/>
      <c r="T2290" s="42"/>
      <c r="U2290" s="42"/>
      <c r="V2290" s="42"/>
      <c r="W2290" s="42"/>
      <c r="X2290" s="42"/>
      <c r="Y2290" s="42"/>
      <c r="Z2290" s="42"/>
      <c r="AA2290" s="42"/>
      <c r="AB2290" s="42" t="str">
        <f>IFERROR(__xludf.DUMMYFUNCTION("""COMPUTED_VALUE"""),"allen institute")</f>
        <v>allen institute</v>
      </c>
      <c r="AC2290" s="42" t="str">
        <f>IFERROR(__xludf.DUMMYFUNCTION("""COMPUTED_VALUE"""),"DHBA")</f>
        <v>DHBA</v>
      </c>
      <c r="AD2290" s="42"/>
      <c r="AE2290" s="42"/>
      <c r="AF2290" s="9"/>
      <c r="AG2290" s="9"/>
      <c r="AH2290" s="42"/>
      <c r="AI2290" s="42"/>
      <c r="AJ2290" s="42"/>
      <c r="AK2290" s="42"/>
      <c r="AL2290" s="42"/>
      <c r="AM2290" s="42"/>
      <c r="AN2290" s="42"/>
      <c r="AO2290" s="63" t="str">
        <f>IFERROR(__xludf.DUMMYFUNCTION("IF(ISBLANK(A2290),,IF(ISBLANK(S2290), A2290&amp;"";"", TEXTJOIN(CHAR(10), TRUE, A2290&amp;"";"", ARRAYFORMULA(VLOOKUP(SPLIT(S2290, "";"" &amp; CHAR(10)), $A:$AO, 41, FALSE)))))"),"ilf;")</f>
        <v>ilf;</v>
      </c>
      <c r="AP2290" s="89"/>
    </row>
    <row r="2291">
      <c r="A2291" s="151" t="str">
        <f>IFERROR(__xludf.DUMMYFUNCTION("""COMPUTED_VALUE"""),"ithp")</f>
        <v>ithp</v>
      </c>
      <c r="B2291" s="42" t="str">
        <f>IFERROR(__xludf.DUMMYFUNCTION("""COMPUTED_VALUE"""),"DHBA")</f>
        <v>DHBA</v>
      </c>
      <c r="C2291" s="42" t="str">
        <f>IFERROR(__xludf.DUMMYFUNCTION("""COMPUTED_VALUE"""),"inferior thalamic peduncle")</f>
        <v>inferior thalamic peduncle</v>
      </c>
      <c r="D2291" s="42">
        <f>IFERROR(__xludf.DUMMYFUNCTION("""COMPUTED_VALUE"""),2174.0)</f>
        <v>2174</v>
      </c>
      <c r="E2291" s="39" t="str">
        <f>IFERROR(__xludf.DUMMYFUNCTION("""COMPUTED_VALUE"""),"inferior thalamic peduncle")</f>
        <v>inferior thalamic peduncle</v>
      </c>
      <c r="F2291" s="9" t="str">
        <f>IFERROR(__xludf.DUMMYFUNCTION("""COMPUTED_VALUE"""),"Br")</f>
        <v>Br</v>
      </c>
      <c r="G2291" s="9" t="str">
        <f>IFERROR(__xludf.DUMMYFUNCTION("""COMPUTED_VALUE"""),"F")</f>
        <v>F</v>
      </c>
      <c r="H2291" s="9" t="str">
        <f>IFERROR(__xludf.DUMMYFUNCTION("""COMPUTED_VALUE"""),"FWM")</f>
        <v>FWM</v>
      </c>
      <c r="I2291" s="9" t="str">
        <f>IFERROR(__xludf.DUMMYFUNCTION("""COMPUTED_VALUE"""),"FIFT")</f>
        <v>FIFT</v>
      </c>
      <c r="J2291" s="9" t="str">
        <f>IFERROR(__xludf.DUMMYFUNCTION("""COMPUTED_VALUE"""),"ithp")</f>
        <v>ithp</v>
      </c>
      <c r="K2291" s="9"/>
      <c r="L2291" s="9"/>
      <c r="M2291" s="9"/>
      <c r="N2291" s="9"/>
      <c r="O2291" s="9"/>
      <c r="P2291" s="9"/>
      <c r="Q2291" s="9"/>
      <c r="R2291" s="9"/>
      <c r="S2291" s="42"/>
      <c r="T2291" s="42"/>
      <c r="U2291" s="42"/>
      <c r="V2291" s="42"/>
      <c r="W2291" s="42"/>
      <c r="X2291" s="42"/>
      <c r="Y2291" s="42"/>
      <c r="Z2291" s="42"/>
      <c r="AA2291" s="42"/>
      <c r="AB2291" s="42" t="str">
        <f>IFERROR(__xludf.DUMMYFUNCTION("""COMPUTED_VALUE"""),"allen institute")</f>
        <v>allen institute</v>
      </c>
      <c r="AC2291" s="42" t="str">
        <f>IFERROR(__xludf.DUMMYFUNCTION("""COMPUTED_VALUE"""),"DHBA")</f>
        <v>DHBA</v>
      </c>
      <c r="AD2291" s="42"/>
      <c r="AE2291" s="42"/>
      <c r="AF2291" s="9"/>
      <c r="AG2291" s="9"/>
      <c r="AH2291" s="42"/>
      <c r="AI2291" s="42"/>
      <c r="AJ2291" s="42"/>
      <c r="AK2291" s="42"/>
      <c r="AL2291" s="42"/>
      <c r="AM2291" s="42"/>
      <c r="AN2291" s="42"/>
      <c r="AO2291" s="63" t="str">
        <f>IFERROR(__xludf.DUMMYFUNCTION("IF(ISBLANK(A2291),,IF(ISBLANK(S2291), A2291&amp;"";"", TEXTJOIN(CHAR(10), TRUE, A2291&amp;"";"", ARRAYFORMULA(VLOOKUP(SPLIT(S2291, "";"" &amp; CHAR(10)), $A:$AO, 41, FALSE)))))"),"ithp;")</f>
        <v>ithp;</v>
      </c>
      <c r="AP2291" s="89"/>
    </row>
    <row r="2292">
      <c r="A2292" s="151" t="str">
        <f>IFERROR(__xludf.DUMMYFUNCTION("""COMPUTED_VALUE"""),"ic")</f>
        <v>ic</v>
      </c>
      <c r="B2292" s="42" t="str">
        <f>IFERROR(__xludf.DUMMYFUNCTION("""COMPUTED_VALUE"""),"DHBA")</f>
        <v>DHBA</v>
      </c>
      <c r="C2292" s="42" t="str">
        <f>IFERROR(__xludf.DUMMYFUNCTION("""COMPUTED_VALUE"""),"internal capsule")</f>
        <v>internal capsule</v>
      </c>
      <c r="D2292" s="42">
        <f>IFERROR(__xludf.DUMMYFUNCTION("""COMPUTED_VALUE"""),2175.0)</f>
        <v>2175</v>
      </c>
      <c r="E2292" s="39" t="str">
        <f>IFERROR(__xludf.DUMMYFUNCTION("""COMPUTED_VALUE"""),"internal capsule")</f>
        <v>internal capsule</v>
      </c>
      <c r="F2292" s="9" t="str">
        <f>IFERROR(__xludf.DUMMYFUNCTION("""COMPUTED_VALUE"""),"Br")</f>
        <v>Br</v>
      </c>
      <c r="G2292" s="9" t="str">
        <f>IFERROR(__xludf.DUMMYFUNCTION("""COMPUTED_VALUE"""),"F")</f>
        <v>F</v>
      </c>
      <c r="H2292" s="9" t="str">
        <f>IFERROR(__xludf.DUMMYFUNCTION("""COMPUTED_VALUE"""),"FWM")</f>
        <v>FWM</v>
      </c>
      <c r="I2292" s="9" t="str">
        <f>IFERROR(__xludf.DUMMYFUNCTION("""COMPUTED_VALUE"""),"FIFT")</f>
        <v>FIFT</v>
      </c>
      <c r="J2292" s="9" t="str">
        <f>IFERROR(__xludf.DUMMYFUNCTION("""COMPUTED_VALUE"""),"ic")</f>
        <v>ic</v>
      </c>
      <c r="K2292" s="9"/>
      <c r="L2292" s="9"/>
      <c r="M2292" s="9"/>
      <c r="N2292" s="9"/>
      <c r="O2292" s="9"/>
      <c r="P2292" s="9"/>
      <c r="Q2292" s="9"/>
      <c r="R2292" s="9"/>
      <c r="S2292" s="42" t="str">
        <f>IFERROR(__xludf.DUMMYFUNCTION("""COMPUTED_VALUE"""),"aic;
gic;
pic")</f>
        <v>aic;
gic;
pic</v>
      </c>
      <c r="T2292" s="42"/>
      <c r="U2292" s="42" t="b">
        <f>IFERROR(__xludf.DUMMYFUNCTION("""COMPUTED_VALUE"""),FALSE)</f>
        <v>0</v>
      </c>
      <c r="V2292" s="42"/>
      <c r="W2292" s="42"/>
      <c r="X2292" s="42"/>
      <c r="Y2292" s="42"/>
      <c r="Z2292" s="42"/>
      <c r="AA2292" s="42"/>
      <c r="AB2292" s="42" t="str">
        <f>IFERROR(__xludf.DUMMYFUNCTION("""COMPUTED_VALUE"""),"allen institute")</f>
        <v>allen institute</v>
      </c>
      <c r="AC2292" s="42" t="str">
        <f>IFERROR(__xludf.DUMMYFUNCTION("""COMPUTED_VALUE"""),"DHBA")</f>
        <v>DHBA</v>
      </c>
      <c r="AD2292" s="42"/>
      <c r="AE2292" s="42"/>
      <c r="AF2292" s="9"/>
      <c r="AG2292" s="9"/>
      <c r="AH2292" s="42"/>
      <c r="AI2292" s="42"/>
      <c r="AJ2292" s="42"/>
      <c r="AK2292" s="42"/>
      <c r="AL2292" s="42"/>
      <c r="AM2292" s="42"/>
      <c r="AN2292" s="42"/>
      <c r="AO2292" s="63" t="str">
        <f>IFERROR(__xludf.DUMMYFUNCTION("IF(ISBLANK(A2292),,IF(ISBLANK(S2292), A2292&amp;"";"", TEXTJOIN(CHAR(10), TRUE, A2292&amp;"";"", ARRAYFORMULA(VLOOKUP(SPLIT(S2292, "";"" &amp; CHAR(10)), $A:$AO, 41, FALSE)))))"),"#N/A")</f>
        <v>#N/A</v>
      </c>
      <c r="AP2292" s="89"/>
    </row>
    <row r="2293">
      <c r="A2293" s="151" t="str">
        <f>IFERROR(__xludf.DUMMYFUNCTION("""COMPUTED_VALUE"""),"aic")</f>
        <v>aic</v>
      </c>
      <c r="B2293" s="42" t="str">
        <f>IFERROR(__xludf.DUMMYFUNCTION("""COMPUTED_VALUE"""),"DHBA")</f>
        <v>DHBA</v>
      </c>
      <c r="C2293" s="42" t="str">
        <f>IFERROR(__xludf.DUMMYFUNCTION("""COMPUTED_VALUE"""),"anterior limb of internal capsule")</f>
        <v>anterior limb of internal capsule</v>
      </c>
      <c r="D2293" s="42">
        <f>IFERROR(__xludf.DUMMYFUNCTION("""COMPUTED_VALUE"""),2176.0)</f>
        <v>2176</v>
      </c>
      <c r="E2293" s="39" t="str">
        <f>IFERROR(__xludf.DUMMYFUNCTION("""COMPUTED_VALUE"""),"anterior limb of internal capsule")</f>
        <v>anterior limb of internal capsule</v>
      </c>
      <c r="F2293" s="9" t="str">
        <f>IFERROR(__xludf.DUMMYFUNCTION("""COMPUTED_VALUE"""),"Br")</f>
        <v>Br</v>
      </c>
      <c r="G2293" s="9" t="str">
        <f>IFERROR(__xludf.DUMMYFUNCTION("""COMPUTED_VALUE"""),"F")</f>
        <v>F</v>
      </c>
      <c r="H2293" s="9" t="str">
        <f>IFERROR(__xludf.DUMMYFUNCTION("""COMPUTED_VALUE"""),"FWM")</f>
        <v>FWM</v>
      </c>
      <c r="I2293" s="9" t="str">
        <f>IFERROR(__xludf.DUMMYFUNCTION("""COMPUTED_VALUE"""),"FIFT")</f>
        <v>FIFT</v>
      </c>
      <c r="J2293" s="9" t="str">
        <f>IFERROR(__xludf.DUMMYFUNCTION("""COMPUTED_VALUE"""),"ic")</f>
        <v>ic</v>
      </c>
      <c r="K2293" s="9" t="str">
        <f>IFERROR(__xludf.DUMMYFUNCTION("""COMPUTED_VALUE"""),"aic")</f>
        <v>aic</v>
      </c>
      <c r="L2293" s="9"/>
      <c r="M2293" s="9"/>
      <c r="N2293" s="9"/>
      <c r="O2293" s="9"/>
      <c r="P2293" s="9"/>
      <c r="Q2293" s="9"/>
      <c r="R2293" s="9"/>
      <c r="S2293" s="42" t="str">
        <f>IFERROR(__xludf.DUMMYFUNCTION("""COMPUTED_VALUE"""),"pfpf;
athf")</f>
        <v>pfpf;
athf</v>
      </c>
      <c r="T2293" s="42"/>
      <c r="U2293" s="159" t="b">
        <f>IFERROR(__xludf.DUMMYFUNCTION("""COMPUTED_VALUE"""),FALSE)</f>
        <v>0</v>
      </c>
      <c r="V2293" s="42"/>
      <c r="W2293" s="42"/>
      <c r="X2293" s="42"/>
      <c r="Y2293" s="42"/>
      <c r="Z2293" s="42"/>
      <c r="AA2293" s="42"/>
      <c r="AB2293" s="42" t="str">
        <f>IFERROR(__xludf.DUMMYFUNCTION("""COMPUTED_VALUE"""),"allen institute")</f>
        <v>allen institute</v>
      </c>
      <c r="AC2293" s="42" t="str">
        <f>IFERROR(__xludf.DUMMYFUNCTION("""COMPUTED_VALUE"""),"DHBA")</f>
        <v>DHBA</v>
      </c>
      <c r="AD2293" s="42"/>
      <c r="AE2293" s="42"/>
      <c r="AF2293" s="9"/>
      <c r="AG2293" s="9"/>
      <c r="AH2293" s="42"/>
      <c r="AI2293" s="42"/>
      <c r="AJ2293" s="42"/>
      <c r="AK2293" s="42"/>
      <c r="AL2293" s="42"/>
      <c r="AM2293" s="42"/>
      <c r="AN2293" s="42"/>
      <c r="AO2293" s="63" t="str">
        <f>IFERROR(__xludf.DUMMYFUNCTION("IF(ISBLANK(A2293),,IF(ISBLANK(S2293), A2293&amp;"";"", TEXTJOIN(CHAR(10), TRUE, A2293&amp;"";"", ARRAYFORMULA(VLOOKUP(SPLIT(S2293, "";"" &amp; CHAR(10)), $A:$AO, 41, FALSE)))))"),"aic;
pfpf;
athf;")</f>
        <v>aic;
pfpf;
athf;</v>
      </c>
      <c r="AP2293" s="89"/>
    </row>
    <row r="2294">
      <c r="A2294" s="151" t="str">
        <f>IFERROR(__xludf.DUMMYFUNCTION("""COMPUTED_VALUE"""),"pfpf")</f>
        <v>pfpf</v>
      </c>
      <c r="B2294" s="42" t="str">
        <f>IFERROR(__xludf.DUMMYFUNCTION("""COMPUTED_VALUE"""),"DHBA")</f>
        <v>DHBA</v>
      </c>
      <c r="C2294" s="42" t="str">
        <f>IFERROR(__xludf.DUMMYFUNCTION("""COMPUTED_VALUE"""),"prefrontopontine fibers")</f>
        <v>prefrontopontine fibers</v>
      </c>
      <c r="D2294" s="42">
        <f>IFERROR(__xludf.DUMMYFUNCTION("""COMPUTED_VALUE"""),2177.0)</f>
        <v>2177</v>
      </c>
      <c r="E2294" s="39" t="str">
        <f>IFERROR(__xludf.DUMMYFUNCTION("""COMPUTED_VALUE"""),"prefrontopontine fibers")</f>
        <v>prefrontopontine fibers</v>
      </c>
      <c r="F2294" s="9" t="str">
        <f>IFERROR(__xludf.DUMMYFUNCTION("""COMPUTED_VALUE"""),"Br")</f>
        <v>Br</v>
      </c>
      <c r="G2294" s="9" t="str">
        <f>IFERROR(__xludf.DUMMYFUNCTION("""COMPUTED_VALUE"""),"F")</f>
        <v>F</v>
      </c>
      <c r="H2294" s="9" t="str">
        <f>IFERROR(__xludf.DUMMYFUNCTION("""COMPUTED_VALUE"""),"FWM")</f>
        <v>FWM</v>
      </c>
      <c r="I2294" s="9" t="str">
        <f>IFERROR(__xludf.DUMMYFUNCTION("""COMPUTED_VALUE"""),"FIFT")</f>
        <v>FIFT</v>
      </c>
      <c r="J2294" s="9" t="str">
        <f>IFERROR(__xludf.DUMMYFUNCTION("""COMPUTED_VALUE"""),"ic")</f>
        <v>ic</v>
      </c>
      <c r="K2294" s="9" t="str">
        <f>IFERROR(__xludf.DUMMYFUNCTION("""COMPUTED_VALUE"""),"aic")</f>
        <v>aic</v>
      </c>
      <c r="L2294" s="9" t="str">
        <f>IFERROR(__xludf.DUMMYFUNCTION("""COMPUTED_VALUE"""),"pfpf")</f>
        <v>pfpf</v>
      </c>
      <c r="M2294" s="9"/>
      <c r="N2294" s="9"/>
      <c r="O2294" s="9"/>
      <c r="P2294" s="9"/>
      <c r="Q2294" s="9"/>
      <c r="R2294" s="9"/>
      <c r="S2294" s="42"/>
      <c r="T2294" s="42"/>
      <c r="U2294" s="42"/>
      <c r="V2294" s="42"/>
      <c r="W2294" s="42"/>
      <c r="X2294" s="42"/>
      <c r="Y2294" s="42"/>
      <c r="Z2294" s="42"/>
      <c r="AA2294" s="42"/>
      <c r="AB2294" s="42" t="str">
        <f>IFERROR(__xludf.DUMMYFUNCTION("""COMPUTED_VALUE"""),"allen institute")</f>
        <v>allen institute</v>
      </c>
      <c r="AC2294" s="42" t="str">
        <f>IFERROR(__xludf.DUMMYFUNCTION("""COMPUTED_VALUE"""),"DHBA")</f>
        <v>DHBA</v>
      </c>
      <c r="AD2294" s="42"/>
      <c r="AE2294" s="42"/>
      <c r="AF2294" s="9"/>
      <c r="AG2294" s="9"/>
      <c r="AH2294" s="42"/>
      <c r="AI2294" s="42"/>
      <c r="AJ2294" s="42"/>
      <c r="AK2294" s="42"/>
      <c r="AL2294" s="42"/>
      <c r="AM2294" s="42"/>
      <c r="AN2294" s="42"/>
      <c r="AO2294" s="63" t="str">
        <f>IFERROR(__xludf.DUMMYFUNCTION("IF(ISBLANK(A2294),,IF(ISBLANK(S2294), A2294&amp;"";"", TEXTJOIN(CHAR(10), TRUE, A2294&amp;"";"", ARRAYFORMULA(VLOOKUP(SPLIT(S2294, "";"" &amp; CHAR(10)), $A:$AO, 41, FALSE)))))"),"pfpf;")</f>
        <v>pfpf;</v>
      </c>
      <c r="AP2294" s="89"/>
    </row>
    <row r="2295">
      <c r="A2295" s="151" t="str">
        <f>IFERROR(__xludf.DUMMYFUNCTION("""COMPUTED_VALUE"""),"athf")</f>
        <v>athf</v>
      </c>
      <c r="B2295" s="42" t="str">
        <f>IFERROR(__xludf.DUMMYFUNCTION("""COMPUTED_VALUE"""),"DHBA")</f>
        <v>DHBA</v>
      </c>
      <c r="C2295" s="42" t="str">
        <f>IFERROR(__xludf.DUMMYFUNCTION("""COMPUTED_VALUE"""),"anterior thalamic radiation")</f>
        <v>anterior thalamic radiation</v>
      </c>
      <c r="D2295" s="42">
        <f>IFERROR(__xludf.DUMMYFUNCTION("""COMPUTED_VALUE"""),2178.0)</f>
        <v>2178</v>
      </c>
      <c r="E2295" s="39" t="str">
        <f>IFERROR(__xludf.DUMMYFUNCTION("""COMPUTED_VALUE"""),"anterior thalamic radiation")</f>
        <v>anterior thalamic radiation</v>
      </c>
      <c r="F2295" s="9" t="str">
        <f>IFERROR(__xludf.DUMMYFUNCTION("""COMPUTED_VALUE"""),"Br")</f>
        <v>Br</v>
      </c>
      <c r="G2295" s="9" t="str">
        <f>IFERROR(__xludf.DUMMYFUNCTION("""COMPUTED_VALUE"""),"F")</f>
        <v>F</v>
      </c>
      <c r="H2295" s="9" t="str">
        <f>IFERROR(__xludf.DUMMYFUNCTION("""COMPUTED_VALUE"""),"FWM")</f>
        <v>FWM</v>
      </c>
      <c r="I2295" s="9" t="str">
        <f>IFERROR(__xludf.DUMMYFUNCTION("""COMPUTED_VALUE"""),"FIFT")</f>
        <v>FIFT</v>
      </c>
      <c r="J2295" s="9" t="str">
        <f>IFERROR(__xludf.DUMMYFUNCTION("""COMPUTED_VALUE"""),"ic")</f>
        <v>ic</v>
      </c>
      <c r="K2295" s="9" t="str">
        <f>IFERROR(__xludf.DUMMYFUNCTION("""COMPUTED_VALUE"""),"aic")</f>
        <v>aic</v>
      </c>
      <c r="L2295" s="9" t="str">
        <f>IFERROR(__xludf.DUMMYFUNCTION("""COMPUTED_VALUE"""),"athf")</f>
        <v>athf</v>
      </c>
      <c r="M2295" s="9"/>
      <c r="N2295" s="9"/>
      <c r="O2295" s="9"/>
      <c r="P2295" s="9"/>
      <c r="Q2295" s="9"/>
      <c r="R2295" s="9"/>
      <c r="S2295" s="42"/>
      <c r="T2295" s="42"/>
      <c r="U2295" s="42"/>
      <c r="V2295" s="42"/>
      <c r="W2295" s="42"/>
      <c r="X2295" s="42"/>
      <c r="Y2295" s="42"/>
      <c r="Z2295" s="42"/>
      <c r="AA2295" s="42"/>
      <c r="AB2295" s="42" t="str">
        <f>IFERROR(__xludf.DUMMYFUNCTION("""COMPUTED_VALUE"""),"allen institute")</f>
        <v>allen institute</v>
      </c>
      <c r="AC2295" s="42" t="str">
        <f>IFERROR(__xludf.DUMMYFUNCTION("""COMPUTED_VALUE"""),"DHBA")</f>
        <v>DHBA</v>
      </c>
      <c r="AD2295" s="42"/>
      <c r="AE2295" s="42"/>
      <c r="AF2295" s="9"/>
      <c r="AG2295" s="9"/>
      <c r="AH2295" s="42"/>
      <c r="AI2295" s="42"/>
      <c r="AJ2295" s="42"/>
      <c r="AK2295" s="42"/>
      <c r="AL2295" s="42"/>
      <c r="AM2295" s="42"/>
      <c r="AN2295" s="42"/>
      <c r="AO2295" s="63" t="str">
        <f>IFERROR(__xludf.DUMMYFUNCTION("IF(ISBLANK(A2295),,IF(ISBLANK(S2295), A2295&amp;"";"", TEXTJOIN(CHAR(10), TRUE, A2295&amp;"";"", ARRAYFORMULA(VLOOKUP(SPLIT(S2295, "";"" &amp; CHAR(10)), $A:$AO, 41, FALSE)))))"),"athf;")</f>
        <v>athf;</v>
      </c>
      <c r="AP2295" s="89"/>
    </row>
    <row r="2296">
      <c r="A2296" s="151" t="str">
        <f>IFERROR(__xludf.DUMMYFUNCTION("""COMPUTED_VALUE"""),"gic")</f>
        <v>gic</v>
      </c>
      <c r="B2296" s="42" t="str">
        <f>IFERROR(__xludf.DUMMYFUNCTION("""COMPUTED_VALUE"""),"DHBA")</f>
        <v>DHBA</v>
      </c>
      <c r="C2296" s="42" t="str">
        <f>IFERROR(__xludf.DUMMYFUNCTION("""COMPUTED_VALUE"""),"genu of internal capsule")</f>
        <v>genu of internal capsule</v>
      </c>
      <c r="D2296" s="42">
        <f>IFERROR(__xludf.DUMMYFUNCTION("""COMPUTED_VALUE"""),2179.0)</f>
        <v>2179</v>
      </c>
      <c r="E2296" s="39" t="str">
        <f>IFERROR(__xludf.DUMMYFUNCTION("""COMPUTED_VALUE"""),"genu of internal capsule")</f>
        <v>genu of internal capsule</v>
      </c>
      <c r="F2296" s="9" t="str">
        <f>IFERROR(__xludf.DUMMYFUNCTION("""COMPUTED_VALUE"""),"Br")</f>
        <v>Br</v>
      </c>
      <c r="G2296" s="9" t="str">
        <f>IFERROR(__xludf.DUMMYFUNCTION("""COMPUTED_VALUE"""),"F")</f>
        <v>F</v>
      </c>
      <c r="H2296" s="9" t="str">
        <f>IFERROR(__xludf.DUMMYFUNCTION("""COMPUTED_VALUE"""),"FWM")</f>
        <v>FWM</v>
      </c>
      <c r="I2296" s="9" t="str">
        <f>IFERROR(__xludf.DUMMYFUNCTION("""COMPUTED_VALUE"""),"FIFT")</f>
        <v>FIFT</v>
      </c>
      <c r="J2296" s="9" t="str">
        <f>IFERROR(__xludf.DUMMYFUNCTION("""COMPUTED_VALUE"""),"ic")</f>
        <v>ic</v>
      </c>
      <c r="K2296" s="9" t="str">
        <f>IFERROR(__xludf.DUMMYFUNCTION("""COMPUTED_VALUE"""),"gic")</f>
        <v>gic</v>
      </c>
      <c r="L2296" s="9"/>
      <c r="M2296" s="9"/>
      <c r="N2296" s="9"/>
      <c r="O2296" s="9"/>
      <c r="P2296" s="9"/>
      <c r="Q2296" s="9"/>
      <c r="R2296" s="9"/>
      <c r="S2296" s="42" t="str">
        <f>IFERROR(__xludf.DUMMYFUNCTION("""COMPUTED_VALUE"""),"cbu_ic;
cre")</f>
        <v>cbu_ic;
cre</v>
      </c>
      <c r="T2296" s="42"/>
      <c r="U2296" s="42" t="b">
        <f>IFERROR(__xludf.DUMMYFUNCTION("""COMPUTED_VALUE"""),FALSE)</f>
        <v>0</v>
      </c>
      <c r="V2296" s="42"/>
      <c r="W2296" s="42"/>
      <c r="X2296" s="42"/>
      <c r="Y2296" s="42"/>
      <c r="Z2296" s="42"/>
      <c r="AA2296" s="42"/>
      <c r="AB2296" s="42" t="str">
        <f>IFERROR(__xludf.DUMMYFUNCTION("""COMPUTED_VALUE"""),"allen institute")</f>
        <v>allen institute</v>
      </c>
      <c r="AC2296" s="42" t="str">
        <f>IFERROR(__xludf.DUMMYFUNCTION("""COMPUTED_VALUE"""),"DHBA")</f>
        <v>DHBA</v>
      </c>
      <c r="AD2296" s="42"/>
      <c r="AE2296" s="42"/>
      <c r="AF2296" s="9"/>
      <c r="AG2296" s="9"/>
      <c r="AH2296" s="42"/>
      <c r="AI2296" s="42"/>
      <c r="AJ2296" s="42"/>
      <c r="AK2296" s="42"/>
      <c r="AL2296" s="42"/>
      <c r="AM2296" s="42"/>
      <c r="AN2296" s="42"/>
      <c r="AO2296" s="63" t="str">
        <f>IFERROR(__xludf.DUMMYFUNCTION("IF(ISBLANK(A2296),,IF(ISBLANK(S2296), A2296&amp;"";"", TEXTJOIN(CHAR(10), TRUE, A2296&amp;"";"", ARRAYFORMULA(VLOOKUP(SPLIT(S2296, "";"" &amp; CHAR(10)), $A:$AO, 41, FALSE)))))"),"#N/A")</f>
        <v>#N/A</v>
      </c>
      <c r="AP2296" s="89"/>
    </row>
    <row r="2297">
      <c r="A2297" s="151" t="str">
        <f>IFERROR(__xludf.DUMMYFUNCTION("""COMPUTED_VALUE"""),"cbu-ic")</f>
        <v>cbu-ic</v>
      </c>
      <c r="B2297" s="42" t="str">
        <f>IFERROR(__xludf.DUMMYFUNCTION("""COMPUTED_VALUE"""),"DHBA")</f>
        <v>DHBA</v>
      </c>
      <c r="C2297" s="42" t="str">
        <f>IFERROR(__xludf.DUMMYFUNCTION("""COMPUTED_VALUE"""),"corticobulbar fibers")</f>
        <v>corticobulbar fibers</v>
      </c>
      <c r="D2297" s="42">
        <f>IFERROR(__xludf.DUMMYFUNCTION("""COMPUTED_VALUE"""),2180.0)</f>
        <v>2180</v>
      </c>
      <c r="E2297" s="39" t="str">
        <f>IFERROR(__xludf.DUMMYFUNCTION("""COMPUTED_VALUE"""),"corticobulbar fibers")</f>
        <v>corticobulbar fibers</v>
      </c>
      <c r="F2297" s="9" t="str">
        <f>IFERROR(__xludf.DUMMYFUNCTION("""COMPUTED_VALUE"""),"Br")</f>
        <v>Br</v>
      </c>
      <c r="G2297" s="9" t="str">
        <f>IFERROR(__xludf.DUMMYFUNCTION("""COMPUTED_VALUE"""),"F")</f>
        <v>F</v>
      </c>
      <c r="H2297" s="9" t="str">
        <f>IFERROR(__xludf.DUMMYFUNCTION("""COMPUTED_VALUE"""),"FWM")</f>
        <v>FWM</v>
      </c>
      <c r="I2297" s="9" t="str">
        <f>IFERROR(__xludf.DUMMYFUNCTION("""COMPUTED_VALUE"""),"FIFT")</f>
        <v>FIFT</v>
      </c>
      <c r="J2297" s="9" t="str">
        <f>IFERROR(__xludf.DUMMYFUNCTION("""COMPUTED_VALUE"""),"ic")</f>
        <v>ic</v>
      </c>
      <c r="K2297" s="9" t="str">
        <f>IFERROR(__xludf.DUMMYFUNCTION("""COMPUTED_VALUE"""),"gic")</f>
        <v>gic</v>
      </c>
      <c r="L2297" s="9" t="str">
        <f>IFERROR(__xludf.DUMMYFUNCTION("""COMPUTED_VALUE"""),"cbu-ic")</f>
        <v>cbu-ic</v>
      </c>
      <c r="M2297" s="9"/>
      <c r="N2297" s="9"/>
      <c r="O2297" s="9"/>
      <c r="P2297" s="9"/>
      <c r="Q2297" s="9"/>
      <c r="R2297" s="9"/>
      <c r="S2297" s="42"/>
      <c r="T2297" s="42"/>
      <c r="U2297" s="42"/>
      <c r="V2297" s="42"/>
      <c r="W2297" s="42"/>
      <c r="X2297" s="42"/>
      <c r="Y2297" s="42"/>
      <c r="Z2297" s="42"/>
      <c r="AA2297" s="42"/>
      <c r="AB2297" s="42" t="str">
        <f>IFERROR(__xludf.DUMMYFUNCTION("""COMPUTED_VALUE"""),"allen institute")</f>
        <v>allen institute</v>
      </c>
      <c r="AC2297" s="42" t="str">
        <f>IFERROR(__xludf.DUMMYFUNCTION("""COMPUTED_VALUE"""),"DHBA")</f>
        <v>DHBA</v>
      </c>
      <c r="AD2297" s="42"/>
      <c r="AE2297" s="42"/>
      <c r="AF2297" s="9"/>
      <c r="AG2297" s="9"/>
      <c r="AH2297" s="42"/>
      <c r="AI2297" s="42"/>
      <c r="AJ2297" s="42"/>
      <c r="AK2297" s="42"/>
      <c r="AL2297" s="42"/>
      <c r="AM2297" s="42"/>
      <c r="AN2297" s="42"/>
      <c r="AO2297" s="63" t="str">
        <f>IFERROR(__xludf.DUMMYFUNCTION("IF(ISBLANK(A2297),,IF(ISBLANK(S2297), A2297&amp;"";"", TEXTJOIN(CHAR(10), TRUE, A2297&amp;"";"", ARRAYFORMULA(VLOOKUP(SPLIT(S2297, "";"" &amp; CHAR(10)), $A:$AO, 41, FALSE)))))"),"cbu-ic;")</f>
        <v>cbu-ic;</v>
      </c>
      <c r="AP2297" s="89"/>
    </row>
    <row r="2298">
      <c r="A2298" s="151" t="str">
        <f>IFERROR(__xludf.DUMMYFUNCTION("""COMPUTED_VALUE"""),"cre")</f>
        <v>cre</v>
      </c>
      <c r="B2298" s="42" t="str">
        <f>IFERROR(__xludf.DUMMYFUNCTION("""COMPUTED_VALUE"""),"DHBA")</f>
        <v>DHBA</v>
      </c>
      <c r="C2298" s="42" t="str">
        <f>IFERROR(__xludf.DUMMYFUNCTION("""COMPUTED_VALUE"""),"corticoreticular fibers")</f>
        <v>corticoreticular fibers</v>
      </c>
      <c r="D2298" s="42">
        <f>IFERROR(__xludf.DUMMYFUNCTION("""COMPUTED_VALUE"""),2181.0)</f>
        <v>2181</v>
      </c>
      <c r="E2298" s="39" t="str">
        <f>IFERROR(__xludf.DUMMYFUNCTION("""COMPUTED_VALUE"""),"corticoreticular fibers")</f>
        <v>corticoreticular fibers</v>
      </c>
      <c r="F2298" s="9" t="str">
        <f>IFERROR(__xludf.DUMMYFUNCTION("""COMPUTED_VALUE"""),"Br")</f>
        <v>Br</v>
      </c>
      <c r="G2298" s="9" t="str">
        <f>IFERROR(__xludf.DUMMYFUNCTION("""COMPUTED_VALUE"""),"F")</f>
        <v>F</v>
      </c>
      <c r="H2298" s="9" t="str">
        <f>IFERROR(__xludf.DUMMYFUNCTION("""COMPUTED_VALUE"""),"FWM")</f>
        <v>FWM</v>
      </c>
      <c r="I2298" s="9" t="str">
        <f>IFERROR(__xludf.DUMMYFUNCTION("""COMPUTED_VALUE"""),"FIFT")</f>
        <v>FIFT</v>
      </c>
      <c r="J2298" s="9" t="str">
        <f>IFERROR(__xludf.DUMMYFUNCTION("""COMPUTED_VALUE"""),"ic")</f>
        <v>ic</v>
      </c>
      <c r="K2298" s="9" t="str">
        <f>IFERROR(__xludf.DUMMYFUNCTION("""COMPUTED_VALUE"""),"gic")</f>
        <v>gic</v>
      </c>
      <c r="L2298" s="9" t="str">
        <f>IFERROR(__xludf.DUMMYFUNCTION("""COMPUTED_VALUE"""),"cre")</f>
        <v>cre</v>
      </c>
      <c r="M2298" s="9"/>
      <c r="N2298" s="9"/>
      <c r="O2298" s="9"/>
      <c r="P2298" s="9"/>
      <c r="Q2298" s="9"/>
      <c r="R2298" s="9"/>
      <c r="S2298" s="42"/>
      <c r="T2298" s="42"/>
      <c r="U2298" s="42"/>
      <c r="V2298" s="42"/>
      <c r="W2298" s="42"/>
      <c r="X2298" s="42"/>
      <c r="Y2298" s="42"/>
      <c r="Z2298" s="42"/>
      <c r="AA2298" s="42"/>
      <c r="AB2298" s="42" t="str">
        <f>IFERROR(__xludf.DUMMYFUNCTION("""COMPUTED_VALUE"""),"allen institute")</f>
        <v>allen institute</v>
      </c>
      <c r="AC2298" s="42" t="str">
        <f>IFERROR(__xludf.DUMMYFUNCTION("""COMPUTED_VALUE"""),"DHBA")</f>
        <v>DHBA</v>
      </c>
      <c r="AD2298" s="42"/>
      <c r="AE2298" s="42"/>
      <c r="AF2298" s="9"/>
      <c r="AG2298" s="9"/>
      <c r="AH2298" s="42"/>
      <c r="AI2298" s="42"/>
      <c r="AJ2298" s="42"/>
      <c r="AK2298" s="42"/>
      <c r="AL2298" s="42"/>
      <c r="AM2298" s="42"/>
      <c r="AN2298" s="42"/>
      <c r="AO2298" s="63" t="str">
        <f>IFERROR(__xludf.DUMMYFUNCTION("IF(ISBLANK(A2298),,IF(ISBLANK(S2298), A2298&amp;"";"", TEXTJOIN(CHAR(10), TRUE, A2298&amp;"";"", ARRAYFORMULA(VLOOKUP(SPLIT(S2298, "";"" &amp; CHAR(10)), $A:$AO, 41, FALSE)))))"),"cre;")</f>
        <v>cre;</v>
      </c>
      <c r="AP2298" s="89"/>
    </row>
    <row r="2299">
      <c r="A2299" s="151" t="str">
        <f>IFERROR(__xludf.DUMMYFUNCTION("""COMPUTED_VALUE"""),"pic")</f>
        <v>pic</v>
      </c>
      <c r="B2299" s="42" t="str">
        <f>IFERROR(__xludf.DUMMYFUNCTION("""COMPUTED_VALUE"""),"DHBA")</f>
        <v>DHBA</v>
      </c>
      <c r="C2299" s="42" t="str">
        <f>IFERROR(__xludf.DUMMYFUNCTION("""COMPUTED_VALUE"""),"posterior limb of internal capsule")</f>
        <v>posterior limb of internal capsule</v>
      </c>
      <c r="D2299" s="42">
        <f>IFERROR(__xludf.DUMMYFUNCTION("""COMPUTED_VALUE"""),2182.0)</f>
        <v>2182</v>
      </c>
      <c r="E2299" s="39" t="str">
        <f>IFERROR(__xludf.DUMMYFUNCTION("""COMPUTED_VALUE"""),"posterior limb of internal capsule")</f>
        <v>posterior limb of internal capsule</v>
      </c>
      <c r="F2299" s="9" t="str">
        <f>IFERROR(__xludf.DUMMYFUNCTION("""COMPUTED_VALUE"""),"Br")</f>
        <v>Br</v>
      </c>
      <c r="G2299" s="9" t="str">
        <f>IFERROR(__xludf.DUMMYFUNCTION("""COMPUTED_VALUE"""),"F")</f>
        <v>F</v>
      </c>
      <c r="H2299" s="9" t="str">
        <f>IFERROR(__xludf.DUMMYFUNCTION("""COMPUTED_VALUE"""),"FWM")</f>
        <v>FWM</v>
      </c>
      <c r="I2299" s="9" t="str">
        <f>IFERROR(__xludf.DUMMYFUNCTION("""COMPUTED_VALUE"""),"FIFT")</f>
        <v>FIFT</v>
      </c>
      <c r="J2299" s="9" t="str">
        <f>IFERROR(__xludf.DUMMYFUNCTION("""COMPUTED_VALUE"""),"ic")</f>
        <v>ic</v>
      </c>
      <c r="K2299" s="9" t="str">
        <f>IFERROR(__xludf.DUMMYFUNCTION("""COMPUTED_VALUE"""),"pic")</f>
        <v>pic</v>
      </c>
      <c r="L2299" s="9"/>
      <c r="M2299" s="9"/>
      <c r="N2299" s="9"/>
      <c r="O2299" s="9"/>
      <c r="P2299" s="9"/>
      <c r="Q2299" s="9"/>
      <c r="R2299" s="9"/>
      <c r="S2299" s="42" t="str">
        <f>IFERROR(__xludf.DUMMYFUNCTION("""COMPUTED_VALUE"""),"lthp;
relp;
sulp")</f>
        <v>lthp;
relp;
sulp</v>
      </c>
      <c r="T2299" s="42"/>
      <c r="U2299" s="42" t="b">
        <f>IFERROR(__xludf.DUMMYFUNCTION("""COMPUTED_VALUE"""),FALSE)</f>
        <v>0</v>
      </c>
      <c r="V2299" s="42"/>
      <c r="W2299" s="42"/>
      <c r="X2299" s="42"/>
      <c r="Y2299" s="42"/>
      <c r="Z2299" s="42"/>
      <c r="AA2299" s="42"/>
      <c r="AB2299" s="42" t="str">
        <f>IFERROR(__xludf.DUMMYFUNCTION("""COMPUTED_VALUE"""),"allen institute")</f>
        <v>allen institute</v>
      </c>
      <c r="AC2299" s="42" t="str">
        <f>IFERROR(__xludf.DUMMYFUNCTION("""COMPUTED_VALUE"""),"DHBA")</f>
        <v>DHBA</v>
      </c>
      <c r="AD2299" s="42"/>
      <c r="AE2299" s="42"/>
      <c r="AF2299" s="9"/>
      <c r="AG2299" s="9"/>
      <c r="AH2299" s="42"/>
      <c r="AI2299" s="42"/>
      <c r="AJ2299" s="42"/>
      <c r="AK2299" s="42"/>
      <c r="AL2299" s="42"/>
      <c r="AM2299" s="42"/>
      <c r="AN2299" s="42"/>
      <c r="AO2299" s="63" t="str">
        <f>IFERROR(__xludf.DUMMYFUNCTION("IF(ISBLANK(A2299),,IF(ISBLANK(S2299), A2299&amp;"";"", TEXTJOIN(CHAR(10), TRUE, A2299&amp;"";"", ARRAYFORMULA(VLOOKUP(SPLIT(S2299, "";"" &amp; CHAR(10)), $A:$AO, 41, FALSE)))))"),"#N/A")</f>
        <v>#N/A</v>
      </c>
      <c r="AP2299" s="89"/>
    </row>
    <row r="2300">
      <c r="A2300" s="151" t="str">
        <f>IFERROR(__xludf.DUMMYFUNCTION("""COMPUTED_VALUE"""),"lthp")</f>
        <v>lthp</v>
      </c>
      <c r="B2300" s="42" t="str">
        <f>IFERROR(__xludf.DUMMYFUNCTION("""COMPUTED_VALUE"""),"DHBA")</f>
        <v>DHBA</v>
      </c>
      <c r="C2300" s="42" t="str">
        <f>IFERROR(__xludf.DUMMYFUNCTION("""COMPUTED_VALUE"""),"lenticulothalamic portion")</f>
        <v>lenticulothalamic portion</v>
      </c>
      <c r="D2300" s="42">
        <f>IFERROR(__xludf.DUMMYFUNCTION("""COMPUTED_VALUE"""),2183.0)</f>
        <v>2183</v>
      </c>
      <c r="E2300" s="39" t="str">
        <f>IFERROR(__xludf.DUMMYFUNCTION("""COMPUTED_VALUE"""),"lenticulothalamic portion")</f>
        <v>lenticulothalamic portion</v>
      </c>
      <c r="F2300" s="9" t="str">
        <f>IFERROR(__xludf.DUMMYFUNCTION("""COMPUTED_VALUE"""),"Br")</f>
        <v>Br</v>
      </c>
      <c r="G2300" s="9" t="str">
        <f>IFERROR(__xludf.DUMMYFUNCTION("""COMPUTED_VALUE"""),"F")</f>
        <v>F</v>
      </c>
      <c r="H2300" s="9" t="str">
        <f>IFERROR(__xludf.DUMMYFUNCTION("""COMPUTED_VALUE"""),"FWM")</f>
        <v>FWM</v>
      </c>
      <c r="I2300" s="9" t="str">
        <f>IFERROR(__xludf.DUMMYFUNCTION("""COMPUTED_VALUE"""),"FIFT")</f>
        <v>FIFT</v>
      </c>
      <c r="J2300" s="9" t="str">
        <f>IFERROR(__xludf.DUMMYFUNCTION("""COMPUTED_VALUE"""),"ic")</f>
        <v>ic</v>
      </c>
      <c r="K2300" s="9" t="str">
        <f>IFERROR(__xludf.DUMMYFUNCTION("""COMPUTED_VALUE"""),"pic")</f>
        <v>pic</v>
      </c>
      <c r="L2300" s="9" t="str">
        <f>IFERROR(__xludf.DUMMYFUNCTION("""COMPUTED_VALUE"""),"lthp")</f>
        <v>lthp</v>
      </c>
      <c r="M2300" s="9"/>
      <c r="N2300" s="9"/>
      <c r="O2300" s="9"/>
      <c r="P2300" s="9"/>
      <c r="Q2300" s="9"/>
      <c r="R2300" s="9"/>
      <c r="S2300" s="42" t="str">
        <f>IFERROR(__xludf.DUMMYFUNCTION("""COMPUTED_VALUE"""),"csp;
fpn;
sthr;
cte;
cru")</f>
        <v>csp;
fpn;
sthr;
cte;
cru</v>
      </c>
      <c r="T2300" s="42"/>
      <c r="U2300" s="42" t="b">
        <f>IFERROR(__xludf.DUMMYFUNCTION("""COMPUTED_VALUE"""),FALSE)</f>
        <v>0</v>
      </c>
      <c r="V2300" s="42"/>
      <c r="W2300" s="42"/>
      <c r="X2300" s="42"/>
      <c r="Y2300" s="42"/>
      <c r="Z2300" s="42"/>
      <c r="AA2300" s="42"/>
      <c r="AB2300" s="42" t="str">
        <f>IFERROR(__xludf.DUMMYFUNCTION("""COMPUTED_VALUE"""),"allen institute")</f>
        <v>allen institute</v>
      </c>
      <c r="AC2300" s="42" t="str">
        <f>IFERROR(__xludf.DUMMYFUNCTION("""COMPUTED_VALUE"""),"DHBA")</f>
        <v>DHBA</v>
      </c>
      <c r="AD2300" s="42"/>
      <c r="AE2300" s="42"/>
      <c r="AF2300" s="9"/>
      <c r="AG2300" s="9"/>
      <c r="AH2300" s="42"/>
      <c r="AI2300" s="42"/>
      <c r="AJ2300" s="42"/>
      <c r="AK2300" s="42"/>
      <c r="AL2300" s="42"/>
      <c r="AM2300" s="42"/>
      <c r="AN2300" s="42"/>
      <c r="AO2300" s="63" t="str">
        <f>IFERROR(__xludf.DUMMYFUNCTION("IF(ISBLANK(A2300),,IF(ISBLANK(S2300), A2300&amp;"";"", TEXTJOIN(CHAR(10), TRUE, A2300&amp;"";"", ARRAYFORMULA(VLOOKUP(SPLIT(S2300, "";"" &amp; CHAR(10)), $A:$AO, 41, FALSE)))))"),"lthp;
cSP;
cSPr;
cSPmi;
cSPc;
cSPsg;
fpn;
sthr;
cte;
cru;")</f>
        <v>lthp;
cSP;
cSPr;
cSPmi;
cSPc;
cSPsg;
fpn;
sthr;
cte;
cru;</v>
      </c>
      <c r="AP2300" s="89"/>
    </row>
    <row r="2301">
      <c r="A2301" s="151" t="str">
        <f>IFERROR(__xludf.DUMMYFUNCTION("""COMPUTED_VALUE"""),"csp")</f>
        <v>csp</v>
      </c>
      <c r="B2301" s="42" t="str">
        <f>IFERROR(__xludf.DUMMYFUNCTION("""COMPUTED_VALUE"""),"DHBA")</f>
        <v>DHBA</v>
      </c>
      <c r="C2301" s="42" t="str">
        <f>IFERROR(__xludf.DUMMYFUNCTION("""COMPUTED_VALUE"""),"corticospinal fibers")</f>
        <v>corticospinal fibers</v>
      </c>
      <c r="D2301" s="42">
        <f>IFERROR(__xludf.DUMMYFUNCTION("""COMPUTED_VALUE"""),2184.0)</f>
        <v>2184</v>
      </c>
      <c r="E2301" s="39" t="str">
        <f>IFERROR(__xludf.DUMMYFUNCTION("""COMPUTED_VALUE"""),"corticospinal fibers")</f>
        <v>corticospinal fibers</v>
      </c>
      <c r="F2301" s="9" t="str">
        <f>IFERROR(__xludf.DUMMYFUNCTION("""COMPUTED_VALUE"""),"Br")</f>
        <v>Br</v>
      </c>
      <c r="G2301" s="9" t="str">
        <f>IFERROR(__xludf.DUMMYFUNCTION("""COMPUTED_VALUE"""),"F")</f>
        <v>F</v>
      </c>
      <c r="H2301" s="9" t="str">
        <f>IFERROR(__xludf.DUMMYFUNCTION("""COMPUTED_VALUE"""),"FWM")</f>
        <v>FWM</v>
      </c>
      <c r="I2301" s="9" t="str">
        <f>IFERROR(__xludf.DUMMYFUNCTION("""COMPUTED_VALUE"""),"FIFT")</f>
        <v>FIFT</v>
      </c>
      <c r="J2301" s="9" t="str">
        <f>IFERROR(__xludf.DUMMYFUNCTION("""COMPUTED_VALUE"""),"ic")</f>
        <v>ic</v>
      </c>
      <c r="K2301" s="9" t="str">
        <f>IFERROR(__xludf.DUMMYFUNCTION("""COMPUTED_VALUE"""),"pic")</f>
        <v>pic</v>
      </c>
      <c r="L2301" s="9" t="str">
        <f>IFERROR(__xludf.DUMMYFUNCTION("""COMPUTED_VALUE"""),"lthp")</f>
        <v>lthp</v>
      </c>
      <c r="M2301" s="9" t="str">
        <f>IFERROR(__xludf.DUMMYFUNCTION("""COMPUTED_VALUE"""),"csp")</f>
        <v>csp</v>
      </c>
      <c r="N2301" s="9"/>
      <c r="O2301" s="9"/>
      <c r="P2301" s="9"/>
      <c r="Q2301" s="9"/>
      <c r="R2301" s="9"/>
      <c r="S2301" s="42"/>
      <c r="T2301" s="42"/>
      <c r="U2301" s="42"/>
      <c r="V2301" s="42"/>
      <c r="W2301" s="42"/>
      <c r="X2301" s="42"/>
      <c r="Y2301" s="42"/>
      <c r="Z2301" s="42"/>
      <c r="AA2301" s="42"/>
      <c r="AB2301" s="42" t="str">
        <f>IFERROR(__xludf.DUMMYFUNCTION("""COMPUTED_VALUE"""),"allen institute")</f>
        <v>allen institute</v>
      </c>
      <c r="AC2301" s="42" t="str">
        <f>IFERROR(__xludf.DUMMYFUNCTION("""COMPUTED_VALUE"""),"DHBA")</f>
        <v>DHBA</v>
      </c>
      <c r="AD2301" s="42"/>
      <c r="AE2301" s="42"/>
      <c r="AF2301" s="9"/>
      <c r="AG2301" s="9"/>
      <c r="AH2301" s="42"/>
      <c r="AI2301" s="42"/>
      <c r="AJ2301" s="42"/>
      <c r="AK2301" s="42"/>
      <c r="AL2301" s="42"/>
      <c r="AM2301" s="42"/>
      <c r="AN2301" s="42"/>
      <c r="AO2301" s="63" t="str">
        <f>IFERROR(__xludf.DUMMYFUNCTION("IF(ISBLANK(A2301),,IF(ISBLANK(S2301), A2301&amp;"";"", TEXTJOIN(CHAR(10), TRUE, A2301&amp;"";"", ARRAYFORMULA(VLOOKUP(SPLIT(S2301, "";"" &amp; CHAR(10)), $A:$AO, 41, FALSE)))))"),"csp;")</f>
        <v>csp;</v>
      </c>
      <c r="AP2301" s="89"/>
    </row>
    <row r="2302">
      <c r="A2302" s="151" t="str">
        <f>IFERROR(__xludf.DUMMYFUNCTION("""COMPUTED_VALUE"""),"fpn")</f>
        <v>fpn</v>
      </c>
      <c r="B2302" s="42" t="str">
        <f>IFERROR(__xludf.DUMMYFUNCTION("""COMPUTED_VALUE"""),"DHBA")</f>
        <v>DHBA</v>
      </c>
      <c r="C2302" s="42" t="str">
        <f>IFERROR(__xludf.DUMMYFUNCTION("""COMPUTED_VALUE"""),"frontopontine fibers")</f>
        <v>frontopontine fibers</v>
      </c>
      <c r="D2302" s="42">
        <f>IFERROR(__xludf.DUMMYFUNCTION("""COMPUTED_VALUE"""),2185.0)</f>
        <v>2185</v>
      </c>
      <c r="E2302" s="39" t="str">
        <f>IFERROR(__xludf.DUMMYFUNCTION("""COMPUTED_VALUE"""),"frontopontine fibers")</f>
        <v>frontopontine fibers</v>
      </c>
      <c r="F2302" s="9" t="str">
        <f>IFERROR(__xludf.DUMMYFUNCTION("""COMPUTED_VALUE"""),"Br")</f>
        <v>Br</v>
      </c>
      <c r="G2302" s="9" t="str">
        <f>IFERROR(__xludf.DUMMYFUNCTION("""COMPUTED_VALUE"""),"F")</f>
        <v>F</v>
      </c>
      <c r="H2302" s="9" t="str">
        <f>IFERROR(__xludf.DUMMYFUNCTION("""COMPUTED_VALUE"""),"FWM")</f>
        <v>FWM</v>
      </c>
      <c r="I2302" s="9" t="str">
        <f>IFERROR(__xludf.DUMMYFUNCTION("""COMPUTED_VALUE"""),"FIFT")</f>
        <v>FIFT</v>
      </c>
      <c r="J2302" s="9" t="str">
        <f>IFERROR(__xludf.DUMMYFUNCTION("""COMPUTED_VALUE"""),"ic")</f>
        <v>ic</v>
      </c>
      <c r="K2302" s="9" t="str">
        <f>IFERROR(__xludf.DUMMYFUNCTION("""COMPUTED_VALUE"""),"pic")</f>
        <v>pic</v>
      </c>
      <c r="L2302" s="9" t="str">
        <f>IFERROR(__xludf.DUMMYFUNCTION("""COMPUTED_VALUE"""),"lthp")</f>
        <v>lthp</v>
      </c>
      <c r="M2302" s="9" t="str">
        <f>IFERROR(__xludf.DUMMYFUNCTION("""COMPUTED_VALUE"""),"fpn")</f>
        <v>fpn</v>
      </c>
      <c r="N2302" s="9"/>
      <c r="O2302" s="9"/>
      <c r="P2302" s="9"/>
      <c r="Q2302" s="9"/>
      <c r="R2302" s="9"/>
      <c r="S2302" s="42"/>
      <c r="T2302" s="42"/>
      <c r="U2302" s="42"/>
      <c r="V2302" s="42"/>
      <c r="W2302" s="42"/>
      <c r="X2302" s="42"/>
      <c r="Y2302" s="42"/>
      <c r="Z2302" s="42"/>
      <c r="AA2302" s="42"/>
      <c r="AB2302" s="42" t="str">
        <f>IFERROR(__xludf.DUMMYFUNCTION("""COMPUTED_VALUE"""),"allen institute")</f>
        <v>allen institute</v>
      </c>
      <c r="AC2302" s="42" t="str">
        <f>IFERROR(__xludf.DUMMYFUNCTION("""COMPUTED_VALUE"""),"DHBA")</f>
        <v>DHBA</v>
      </c>
      <c r="AD2302" s="42"/>
      <c r="AE2302" s="42"/>
      <c r="AF2302" s="9"/>
      <c r="AG2302" s="9"/>
      <c r="AH2302" s="42"/>
      <c r="AI2302" s="42"/>
      <c r="AJ2302" s="42"/>
      <c r="AK2302" s="42"/>
      <c r="AL2302" s="42"/>
      <c r="AM2302" s="42"/>
      <c r="AN2302" s="42"/>
      <c r="AO2302" s="63" t="str">
        <f>IFERROR(__xludf.DUMMYFUNCTION("IF(ISBLANK(A2302),,IF(ISBLANK(S2302), A2302&amp;"";"", TEXTJOIN(CHAR(10), TRUE, A2302&amp;"";"", ARRAYFORMULA(VLOOKUP(SPLIT(S2302, "";"" &amp; CHAR(10)), $A:$AO, 41, FALSE)))))"),"fpn;")</f>
        <v>fpn;</v>
      </c>
      <c r="AP2302" s="89"/>
    </row>
    <row r="2303">
      <c r="A2303" s="151" t="str">
        <f>IFERROR(__xludf.DUMMYFUNCTION("""COMPUTED_VALUE"""),"sthr")</f>
        <v>sthr</v>
      </c>
      <c r="B2303" s="42" t="str">
        <f>IFERROR(__xludf.DUMMYFUNCTION("""COMPUTED_VALUE"""),"DHBA")</f>
        <v>DHBA</v>
      </c>
      <c r="C2303" s="42" t="str">
        <f>IFERROR(__xludf.DUMMYFUNCTION("""COMPUTED_VALUE"""),"superior thalamic radiation")</f>
        <v>superior thalamic radiation</v>
      </c>
      <c r="D2303" s="42">
        <f>IFERROR(__xludf.DUMMYFUNCTION("""COMPUTED_VALUE"""),2186.0)</f>
        <v>2186</v>
      </c>
      <c r="E2303" s="39" t="str">
        <f>IFERROR(__xludf.DUMMYFUNCTION("""COMPUTED_VALUE"""),"superior thalamic radiation")</f>
        <v>superior thalamic radiation</v>
      </c>
      <c r="F2303" s="9" t="str">
        <f>IFERROR(__xludf.DUMMYFUNCTION("""COMPUTED_VALUE"""),"Br")</f>
        <v>Br</v>
      </c>
      <c r="G2303" s="9" t="str">
        <f>IFERROR(__xludf.DUMMYFUNCTION("""COMPUTED_VALUE"""),"F")</f>
        <v>F</v>
      </c>
      <c r="H2303" s="9" t="str">
        <f>IFERROR(__xludf.DUMMYFUNCTION("""COMPUTED_VALUE"""),"FWM")</f>
        <v>FWM</v>
      </c>
      <c r="I2303" s="9" t="str">
        <f>IFERROR(__xludf.DUMMYFUNCTION("""COMPUTED_VALUE"""),"FIFT")</f>
        <v>FIFT</v>
      </c>
      <c r="J2303" s="9" t="str">
        <f>IFERROR(__xludf.DUMMYFUNCTION("""COMPUTED_VALUE"""),"ic")</f>
        <v>ic</v>
      </c>
      <c r="K2303" s="9" t="str">
        <f>IFERROR(__xludf.DUMMYFUNCTION("""COMPUTED_VALUE"""),"pic")</f>
        <v>pic</v>
      </c>
      <c r="L2303" s="9" t="str">
        <f>IFERROR(__xludf.DUMMYFUNCTION("""COMPUTED_VALUE"""),"lthp")</f>
        <v>lthp</v>
      </c>
      <c r="M2303" s="9" t="str">
        <f>IFERROR(__xludf.DUMMYFUNCTION("""COMPUTED_VALUE"""),"sthr")</f>
        <v>sthr</v>
      </c>
      <c r="N2303" s="9"/>
      <c r="O2303" s="9"/>
      <c r="P2303" s="9"/>
      <c r="Q2303" s="9"/>
      <c r="R2303" s="9"/>
      <c r="S2303" s="42"/>
      <c r="T2303" s="42"/>
      <c r="U2303" s="42"/>
      <c r="V2303" s="42"/>
      <c r="W2303" s="42"/>
      <c r="X2303" s="42"/>
      <c r="Y2303" s="42"/>
      <c r="Z2303" s="42"/>
      <c r="AA2303" s="42"/>
      <c r="AB2303" s="42" t="str">
        <f>IFERROR(__xludf.DUMMYFUNCTION("""COMPUTED_VALUE"""),"allen institute")</f>
        <v>allen institute</v>
      </c>
      <c r="AC2303" s="42" t="str">
        <f>IFERROR(__xludf.DUMMYFUNCTION("""COMPUTED_VALUE"""),"DHBA")</f>
        <v>DHBA</v>
      </c>
      <c r="AD2303" s="42"/>
      <c r="AE2303" s="42"/>
      <c r="AF2303" s="9"/>
      <c r="AG2303" s="9"/>
      <c r="AH2303" s="42"/>
      <c r="AI2303" s="42"/>
      <c r="AJ2303" s="42"/>
      <c r="AK2303" s="42"/>
      <c r="AL2303" s="42"/>
      <c r="AM2303" s="42"/>
      <c r="AN2303" s="42"/>
      <c r="AO2303" s="63" t="str">
        <f>IFERROR(__xludf.DUMMYFUNCTION("IF(ISBLANK(A2303),,IF(ISBLANK(S2303), A2303&amp;"";"", TEXTJOIN(CHAR(10), TRUE, A2303&amp;"";"", ARRAYFORMULA(VLOOKUP(SPLIT(S2303, "";"" &amp; CHAR(10)), $A:$AO, 41, FALSE)))))"),"sthr;")</f>
        <v>sthr;</v>
      </c>
      <c r="AP2303" s="89"/>
    </row>
    <row r="2304">
      <c r="A2304" s="151" t="str">
        <f>IFERROR(__xludf.DUMMYFUNCTION("""COMPUTED_VALUE"""),"cte")</f>
        <v>cte</v>
      </c>
      <c r="B2304" s="42" t="str">
        <f>IFERROR(__xludf.DUMMYFUNCTION("""COMPUTED_VALUE"""),"DHBA")</f>
        <v>DHBA</v>
      </c>
      <c r="C2304" s="42" t="str">
        <f>IFERROR(__xludf.DUMMYFUNCTION("""COMPUTED_VALUE"""),"corticotectal fibers")</f>
        <v>corticotectal fibers</v>
      </c>
      <c r="D2304" s="42">
        <f>IFERROR(__xludf.DUMMYFUNCTION("""COMPUTED_VALUE"""),2187.0)</f>
        <v>2187</v>
      </c>
      <c r="E2304" s="39" t="str">
        <f>IFERROR(__xludf.DUMMYFUNCTION("""COMPUTED_VALUE"""),"corticotectal fibers")</f>
        <v>corticotectal fibers</v>
      </c>
      <c r="F2304" s="9" t="str">
        <f>IFERROR(__xludf.DUMMYFUNCTION("""COMPUTED_VALUE"""),"Br")</f>
        <v>Br</v>
      </c>
      <c r="G2304" s="9" t="str">
        <f>IFERROR(__xludf.DUMMYFUNCTION("""COMPUTED_VALUE"""),"F")</f>
        <v>F</v>
      </c>
      <c r="H2304" s="9" t="str">
        <f>IFERROR(__xludf.DUMMYFUNCTION("""COMPUTED_VALUE"""),"FWM")</f>
        <v>FWM</v>
      </c>
      <c r="I2304" s="9" t="str">
        <f>IFERROR(__xludf.DUMMYFUNCTION("""COMPUTED_VALUE"""),"FIFT")</f>
        <v>FIFT</v>
      </c>
      <c r="J2304" s="9" t="str">
        <f>IFERROR(__xludf.DUMMYFUNCTION("""COMPUTED_VALUE"""),"ic")</f>
        <v>ic</v>
      </c>
      <c r="K2304" s="9" t="str">
        <f>IFERROR(__xludf.DUMMYFUNCTION("""COMPUTED_VALUE"""),"pic")</f>
        <v>pic</v>
      </c>
      <c r="L2304" s="9" t="str">
        <f>IFERROR(__xludf.DUMMYFUNCTION("""COMPUTED_VALUE"""),"lthp")</f>
        <v>lthp</v>
      </c>
      <c r="M2304" s="9" t="str">
        <f>IFERROR(__xludf.DUMMYFUNCTION("""COMPUTED_VALUE"""),"cte")</f>
        <v>cte</v>
      </c>
      <c r="N2304" s="9"/>
      <c r="O2304" s="9"/>
      <c r="P2304" s="9"/>
      <c r="Q2304" s="9"/>
      <c r="R2304" s="9"/>
      <c r="S2304" s="42"/>
      <c r="T2304" s="42"/>
      <c r="U2304" s="42"/>
      <c r="V2304" s="42"/>
      <c r="W2304" s="42"/>
      <c r="X2304" s="42"/>
      <c r="Y2304" s="42"/>
      <c r="Z2304" s="42"/>
      <c r="AA2304" s="42"/>
      <c r="AB2304" s="42" t="str">
        <f>IFERROR(__xludf.DUMMYFUNCTION("""COMPUTED_VALUE"""),"allen institute")</f>
        <v>allen institute</v>
      </c>
      <c r="AC2304" s="42" t="str">
        <f>IFERROR(__xludf.DUMMYFUNCTION("""COMPUTED_VALUE"""),"DHBA")</f>
        <v>DHBA</v>
      </c>
      <c r="AD2304" s="42"/>
      <c r="AE2304" s="42"/>
      <c r="AF2304" s="9"/>
      <c r="AG2304" s="9"/>
      <c r="AH2304" s="42"/>
      <c r="AI2304" s="42"/>
      <c r="AJ2304" s="42"/>
      <c r="AK2304" s="42"/>
      <c r="AL2304" s="42"/>
      <c r="AM2304" s="42"/>
      <c r="AN2304" s="42"/>
      <c r="AO2304" s="63" t="str">
        <f>IFERROR(__xludf.DUMMYFUNCTION("IF(ISBLANK(A2304),,IF(ISBLANK(S2304), A2304&amp;"";"", TEXTJOIN(CHAR(10), TRUE, A2304&amp;"";"", ARRAYFORMULA(VLOOKUP(SPLIT(S2304, "";"" &amp; CHAR(10)), $A:$AO, 41, FALSE)))))"),"cte;")</f>
        <v>cte;</v>
      </c>
      <c r="AP2304" s="89"/>
    </row>
    <row r="2305">
      <c r="A2305" s="151" t="str">
        <f>IFERROR(__xludf.DUMMYFUNCTION("""COMPUTED_VALUE"""),"cru")</f>
        <v>cru</v>
      </c>
      <c r="B2305" s="42" t="str">
        <f>IFERROR(__xludf.DUMMYFUNCTION("""COMPUTED_VALUE"""),"DHBA")</f>
        <v>DHBA</v>
      </c>
      <c r="C2305" s="42" t="str">
        <f>IFERROR(__xludf.DUMMYFUNCTION("""COMPUTED_VALUE"""),"corticorubral fibers")</f>
        <v>corticorubral fibers</v>
      </c>
      <c r="D2305" s="42">
        <f>IFERROR(__xludf.DUMMYFUNCTION("""COMPUTED_VALUE"""),2188.0)</f>
        <v>2188</v>
      </c>
      <c r="E2305" s="39" t="str">
        <f>IFERROR(__xludf.DUMMYFUNCTION("""COMPUTED_VALUE"""),"corticorubral fibers")</f>
        <v>corticorubral fibers</v>
      </c>
      <c r="F2305" s="9" t="str">
        <f>IFERROR(__xludf.DUMMYFUNCTION("""COMPUTED_VALUE"""),"Br")</f>
        <v>Br</v>
      </c>
      <c r="G2305" s="9" t="str">
        <f>IFERROR(__xludf.DUMMYFUNCTION("""COMPUTED_VALUE"""),"F")</f>
        <v>F</v>
      </c>
      <c r="H2305" s="9" t="str">
        <f>IFERROR(__xludf.DUMMYFUNCTION("""COMPUTED_VALUE"""),"FWM")</f>
        <v>FWM</v>
      </c>
      <c r="I2305" s="9" t="str">
        <f>IFERROR(__xludf.DUMMYFUNCTION("""COMPUTED_VALUE"""),"FIFT")</f>
        <v>FIFT</v>
      </c>
      <c r="J2305" s="9" t="str">
        <f>IFERROR(__xludf.DUMMYFUNCTION("""COMPUTED_VALUE"""),"ic")</f>
        <v>ic</v>
      </c>
      <c r="K2305" s="9" t="str">
        <f>IFERROR(__xludf.DUMMYFUNCTION("""COMPUTED_VALUE"""),"pic")</f>
        <v>pic</v>
      </c>
      <c r="L2305" s="9" t="str">
        <f>IFERROR(__xludf.DUMMYFUNCTION("""COMPUTED_VALUE"""),"lthp")</f>
        <v>lthp</v>
      </c>
      <c r="M2305" s="9" t="str">
        <f>IFERROR(__xludf.DUMMYFUNCTION("""COMPUTED_VALUE"""),"cru")</f>
        <v>cru</v>
      </c>
      <c r="N2305" s="9"/>
      <c r="O2305" s="9"/>
      <c r="P2305" s="9"/>
      <c r="Q2305" s="9"/>
      <c r="R2305" s="9"/>
      <c r="S2305" s="42"/>
      <c r="T2305" s="42"/>
      <c r="U2305" s="159"/>
      <c r="V2305" s="42"/>
      <c r="W2305" s="42"/>
      <c r="X2305" s="42"/>
      <c r="Y2305" s="42"/>
      <c r="Z2305" s="42"/>
      <c r="AA2305" s="42"/>
      <c r="AB2305" s="42" t="str">
        <f>IFERROR(__xludf.DUMMYFUNCTION("""COMPUTED_VALUE"""),"allen institute")</f>
        <v>allen institute</v>
      </c>
      <c r="AC2305" s="42" t="str">
        <f>IFERROR(__xludf.DUMMYFUNCTION("""COMPUTED_VALUE"""),"DHBA")</f>
        <v>DHBA</v>
      </c>
      <c r="AD2305" s="42"/>
      <c r="AE2305" s="42"/>
      <c r="AF2305" s="9"/>
      <c r="AG2305" s="9"/>
      <c r="AH2305" s="42"/>
      <c r="AI2305" s="42"/>
      <c r="AJ2305" s="42"/>
      <c r="AK2305" s="42"/>
      <c r="AL2305" s="42"/>
      <c r="AM2305" s="42"/>
      <c r="AN2305" s="42"/>
      <c r="AO2305" s="63" t="str">
        <f>IFERROR(__xludf.DUMMYFUNCTION("IF(ISBLANK(A2305),,IF(ISBLANK(S2305), A2305&amp;"";"", TEXTJOIN(CHAR(10), TRUE, A2305&amp;"";"", ARRAYFORMULA(VLOOKUP(SPLIT(S2305, "";"" &amp; CHAR(10)), $A:$AO, 41, FALSE)))))"),"cru;")</f>
        <v>cru;</v>
      </c>
      <c r="AP2305" s="89"/>
    </row>
    <row r="2306">
      <c r="A2306" s="151" t="str">
        <f>IFERROR(__xludf.DUMMYFUNCTION("""COMPUTED_VALUE"""),"relp")</f>
        <v>relp</v>
      </c>
      <c r="B2306" s="42" t="str">
        <f>IFERROR(__xludf.DUMMYFUNCTION("""COMPUTED_VALUE"""),"DHBA")</f>
        <v>DHBA</v>
      </c>
      <c r="C2306" s="42" t="str">
        <f>IFERROR(__xludf.DUMMYFUNCTION("""COMPUTED_VALUE"""),"retrolenticular portion")</f>
        <v>retrolenticular portion</v>
      </c>
      <c r="D2306" s="42">
        <f>IFERROR(__xludf.DUMMYFUNCTION("""COMPUTED_VALUE"""),2189.0)</f>
        <v>2189</v>
      </c>
      <c r="E2306" s="39" t="str">
        <f>IFERROR(__xludf.DUMMYFUNCTION("""COMPUTED_VALUE"""),"retrolenticular portion")</f>
        <v>retrolenticular portion</v>
      </c>
      <c r="F2306" s="9" t="str">
        <f>IFERROR(__xludf.DUMMYFUNCTION("""COMPUTED_VALUE"""),"Br")</f>
        <v>Br</v>
      </c>
      <c r="G2306" s="9" t="str">
        <f>IFERROR(__xludf.DUMMYFUNCTION("""COMPUTED_VALUE"""),"F")</f>
        <v>F</v>
      </c>
      <c r="H2306" s="9" t="str">
        <f>IFERROR(__xludf.DUMMYFUNCTION("""COMPUTED_VALUE"""),"FWM")</f>
        <v>FWM</v>
      </c>
      <c r="I2306" s="9" t="str">
        <f>IFERROR(__xludf.DUMMYFUNCTION("""COMPUTED_VALUE"""),"FIFT")</f>
        <v>FIFT</v>
      </c>
      <c r="J2306" s="9" t="str">
        <f>IFERROR(__xludf.DUMMYFUNCTION("""COMPUTED_VALUE"""),"ic")</f>
        <v>ic</v>
      </c>
      <c r="K2306" s="9" t="str">
        <f>IFERROR(__xludf.DUMMYFUNCTION("""COMPUTED_VALUE"""),"pic")</f>
        <v>pic</v>
      </c>
      <c r="L2306" s="9" t="str">
        <f>IFERROR(__xludf.DUMMYFUNCTION("""COMPUTED_VALUE"""),"relp")</f>
        <v>relp</v>
      </c>
      <c r="M2306" s="9"/>
      <c r="N2306" s="9"/>
      <c r="O2306" s="9"/>
      <c r="P2306" s="9"/>
      <c r="Q2306" s="9"/>
      <c r="R2306" s="9"/>
      <c r="S2306" s="42" t="str">
        <f>IFERROR(__xludf.DUMMYFUNCTION("""COMPUTED_VALUE"""),"pthr;
ppn;
opn;
oco")</f>
        <v>pthr;
ppn;
opn;
oco</v>
      </c>
      <c r="T2306" s="42"/>
      <c r="U2306" s="42" t="b">
        <f>IFERROR(__xludf.DUMMYFUNCTION("""COMPUTED_VALUE"""),FALSE)</f>
        <v>0</v>
      </c>
      <c r="V2306" s="42"/>
      <c r="W2306" s="42"/>
      <c r="X2306" s="42"/>
      <c r="Y2306" s="42"/>
      <c r="Z2306" s="42"/>
      <c r="AA2306" s="42"/>
      <c r="AB2306" s="42" t="str">
        <f>IFERROR(__xludf.DUMMYFUNCTION("""COMPUTED_VALUE"""),"allen institute")</f>
        <v>allen institute</v>
      </c>
      <c r="AC2306" s="42" t="str">
        <f>IFERROR(__xludf.DUMMYFUNCTION("""COMPUTED_VALUE"""),"DHBA")</f>
        <v>DHBA</v>
      </c>
      <c r="AD2306" s="42"/>
      <c r="AE2306" s="42"/>
      <c r="AF2306" s="9"/>
      <c r="AG2306" s="9"/>
      <c r="AH2306" s="42"/>
      <c r="AI2306" s="42"/>
      <c r="AJ2306" s="42"/>
      <c r="AK2306" s="42"/>
      <c r="AL2306" s="42"/>
      <c r="AM2306" s="42"/>
      <c r="AN2306" s="42"/>
      <c r="AO2306" s="63" t="str">
        <f>IFERROR(__xludf.DUMMYFUNCTION("IF(ISBLANK(A2306),,IF(ISBLANK(S2306), A2306&amp;"";"", TEXTJOIN(CHAR(10), TRUE, A2306&amp;"";"", ARRAYFORMULA(VLOOKUP(SPLIT(S2306, "";"" &amp; CHAR(10)), $A:$AO, 41, FALSE)))))"),"#N/A")</f>
        <v>#N/A</v>
      </c>
      <c r="AP2306" s="89"/>
    </row>
    <row r="2307">
      <c r="A2307" s="151" t="str">
        <f>IFERROR(__xludf.DUMMYFUNCTION("""COMPUTED_VALUE"""),"pthr")</f>
        <v>pthr</v>
      </c>
      <c r="B2307" s="42" t="str">
        <f>IFERROR(__xludf.DUMMYFUNCTION("""COMPUTED_VALUE"""),"DHBA")</f>
        <v>DHBA</v>
      </c>
      <c r="C2307" s="42" t="str">
        <f>IFERROR(__xludf.DUMMYFUNCTION("""COMPUTED_VALUE"""),"posterior thalamic radiation")</f>
        <v>posterior thalamic radiation</v>
      </c>
      <c r="D2307" s="42">
        <f>IFERROR(__xludf.DUMMYFUNCTION("""COMPUTED_VALUE"""),2190.0)</f>
        <v>2190</v>
      </c>
      <c r="E2307" s="39" t="str">
        <f>IFERROR(__xludf.DUMMYFUNCTION("""COMPUTED_VALUE"""),"posterior thalamic radiation")</f>
        <v>posterior thalamic radiation</v>
      </c>
      <c r="F2307" s="9" t="str">
        <f>IFERROR(__xludf.DUMMYFUNCTION("""COMPUTED_VALUE"""),"Br")</f>
        <v>Br</v>
      </c>
      <c r="G2307" s="9" t="str">
        <f>IFERROR(__xludf.DUMMYFUNCTION("""COMPUTED_VALUE"""),"F")</f>
        <v>F</v>
      </c>
      <c r="H2307" s="9" t="str">
        <f>IFERROR(__xludf.DUMMYFUNCTION("""COMPUTED_VALUE"""),"FWM")</f>
        <v>FWM</v>
      </c>
      <c r="I2307" s="9" t="str">
        <f>IFERROR(__xludf.DUMMYFUNCTION("""COMPUTED_VALUE"""),"FIFT")</f>
        <v>FIFT</v>
      </c>
      <c r="J2307" s="9" t="str">
        <f>IFERROR(__xludf.DUMMYFUNCTION("""COMPUTED_VALUE"""),"ic")</f>
        <v>ic</v>
      </c>
      <c r="K2307" s="9" t="str">
        <f>IFERROR(__xludf.DUMMYFUNCTION("""COMPUTED_VALUE"""),"pic")</f>
        <v>pic</v>
      </c>
      <c r="L2307" s="9" t="str">
        <f>IFERROR(__xludf.DUMMYFUNCTION("""COMPUTED_VALUE"""),"relp")</f>
        <v>relp</v>
      </c>
      <c r="M2307" s="9" t="str">
        <f>IFERROR(__xludf.DUMMYFUNCTION("""COMPUTED_VALUE"""),"pthr")</f>
        <v>pthr</v>
      </c>
      <c r="N2307" s="9"/>
      <c r="O2307" s="9"/>
      <c r="P2307" s="9"/>
      <c r="Q2307" s="9"/>
      <c r="R2307" s="9"/>
      <c r="S2307" s="42" t="str">
        <f>IFERROR(__xludf.DUMMYFUNCTION("""COMPUTED_VALUE"""),"or_rl")</f>
        <v>or_rl</v>
      </c>
      <c r="T2307" s="42"/>
      <c r="U2307" s="42" t="b">
        <f>IFERROR(__xludf.DUMMYFUNCTION("""COMPUTED_VALUE"""),FALSE)</f>
        <v>0</v>
      </c>
      <c r="V2307" s="42"/>
      <c r="W2307" s="42"/>
      <c r="X2307" s="42"/>
      <c r="Y2307" s="42"/>
      <c r="Z2307" s="42"/>
      <c r="AA2307" s="42"/>
      <c r="AB2307" s="42" t="str">
        <f>IFERROR(__xludf.DUMMYFUNCTION("""COMPUTED_VALUE"""),"allen institute")</f>
        <v>allen institute</v>
      </c>
      <c r="AC2307" s="42" t="str">
        <f>IFERROR(__xludf.DUMMYFUNCTION("""COMPUTED_VALUE"""),"DHBA")</f>
        <v>DHBA</v>
      </c>
      <c r="AD2307" s="42"/>
      <c r="AE2307" s="42"/>
      <c r="AF2307" s="9"/>
      <c r="AG2307" s="9"/>
      <c r="AH2307" s="42"/>
      <c r="AI2307" s="42"/>
      <c r="AJ2307" s="42"/>
      <c r="AK2307" s="42"/>
      <c r="AL2307" s="42"/>
      <c r="AM2307" s="42"/>
      <c r="AN2307" s="42"/>
      <c r="AO2307" s="63" t="str">
        <f>IFERROR(__xludf.DUMMYFUNCTION("IF(ISBLANK(A2307),,IF(ISBLANK(S2307), A2307&amp;"";"", TEXTJOIN(CHAR(10), TRUE, A2307&amp;"";"", ARRAYFORMULA(VLOOKUP(SPLIT(S2307, "";"" &amp; CHAR(10)), $A:$AO, 41, FALSE)))))"),"#N/A")</f>
        <v>#N/A</v>
      </c>
      <c r="AP2307" s="89"/>
    </row>
    <row r="2308">
      <c r="A2308" s="151" t="str">
        <f>IFERROR(__xludf.DUMMYFUNCTION("""COMPUTED_VALUE"""),"or-rl")</f>
        <v>or-rl</v>
      </c>
      <c r="B2308" s="42" t="str">
        <f>IFERROR(__xludf.DUMMYFUNCTION("""COMPUTED_VALUE"""),"DHBA")</f>
        <v>DHBA</v>
      </c>
      <c r="C2308" s="42" t="str">
        <f>IFERROR(__xludf.DUMMYFUNCTION("""COMPUTED_VALUE"""),"optic radiation (geniculocalcarine tract)")</f>
        <v>optic radiation (geniculocalcarine tract)</v>
      </c>
      <c r="D2308" s="42">
        <f>IFERROR(__xludf.DUMMYFUNCTION("""COMPUTED_VALUE"""),2191.0)</f>
        <v>2191</v>
      </c>
      <c r="E2308" s="39" t="str">
        <f>IFERROR(__xludf.DUMMYFUNCTION("""COMPUTED_VALUE"""),"optic radiation (geniculocalcarine tract)")</f>
        <v>optic radiation (geniculocalcarine tract)</v>
      </c>
      <c r="F2308" s="9" t="str">
        <f>IFERROR(__xludf.DUMMYFUNCTION("""COMPUTED_VALUE"""),"Br")</f>
        <v>Br</v>
      </c>
      <c r="G2308" s="9" t="str">
        <f>IFERROR(__xludf.DUMMYFUNCTION("""COMPUTED_VALUE"""),"F")</f>
        <v>F</v>
      </c>
      <c r="H2308" s="9" t="str">
        <f>IFERROR(__xludf.DUMMYFUNCTION("""COMPUTED_VALUE"""),"FWM")</f>
        <v>FWM</v>
      </c>
      <c r="I2308" s="9" t="str">
        <f>IFERROR(__xludf.DUMMYFUNCTION("""COMPUTED_VALUE"""),"FIFT")</f>
        <v>FIFT</v>
      </c>
      <c r="J2308" s="9" t="str">
        <f>IFERROR(__xludf.DUMMYFUNCTION("""COMPUTED_VALUE"""),"ic")</f>
        <v>ic</v>
      </c>
      <c r="K2308" s="9" t="str">
        <f>IFERROR(__xludf.DUMMYFUNCTION("""COMPUTED_VALUE"""),"pic")</f>
        <v>pic</v>
      </c>
      <c r="L2308" s="9" t="str">
        <f>IFERROR(__xludf.DUMMYFUNCTION("""COMPUTED_VALUE"""),"relp")</f>
        <v>relp</v>
      </c>
      <c r="M2308" s="9" t="str">
        <f>IFERROR(__xludf.DUMMYFUNCTION("""COMPUTED_VALUE"""),"pthr")</f>
        <v>pthr</v>
      </c>
      <c r="N2308" s="9" t="str">
        <f>IFERROR(__xludf.DUMMYFUNCTION("""COMPUTED_VALUE"""),"or-rl")</f>
        <v>or-rl</v>
      </c>
      <c r="O2308" s="9"/>
      <c r="P2308" s="9"/>
      <c r="Q2308" s="9"/>
      <c r="R2308" s="9"/>
      <c r="S2308" s="42"/>
      <c r="T2308" s="42"/>
      <c r="U2308" s="42"/>
      <c r="V2308" s="42"/>
      <c r="W2308" s="42"/>
      <c r="X2308" s="42"/>
      <c r="Y2308" s="42"/>
      <c r="Z2308" s="42"/>
      <c r="AA2308" s="42"/>
      <c r="AB2308" s="42" t="str">
        <f>IFERROR(__xludf.DUMMYFUNCTION("""COMPUTED_VALUE"""),"allen institute")</f>
        <v>allen institute</v>
      </c>
      <c r="AC2308" s="42" t="str">
        <f>IFERROR(__xludf.DUMMYFUNCTION("""COMPUTED_VALUE"""),"DHBA")</f>
        <v>DHBA</v>
      </c>
      <c r="AD2308" s="42"/>
      <c r="AE2308" s="42"/>
      <c r="AF2308" s="9"/>
      <c r="AG2308" s="9"/>
      <c r="AH2308" s="42"/>
      <c r="AI2308" s="42"/>
      <c r="AJ2308" s="42"/>
      <c r="AK2308" s="42"/>
      <c r="AL2308" s="42"/>
      <c r="AM2308" s="42"/>
      <c r="AN2308" s="42"/>
      <c r="AO2308" s="63" t="str">
        <f>IFERROR(__xludf.DUMMYFUNCTION("IF(ISBLANK(A2308),,IF(ISBLANK(S2308), A2308&amp;"";"", TEXTJOIN(CHAR(10), TRUE, A2308&amp;"";"", ARRAYFORMULA(VLOOKUP(SPLIT(S2308, "";"" &amp; CHAR(10)), $A:$AO, 41, FALSE)))))"),"or-rl;")</f>
        <v>or-rl;</v>
      </c>
      <c r="AP2308" s="89"/>
    </row>
    <row r="2309">
      <c r="A2309" s="151" t="str">
        <f>IFERROR(__xludf.DUMMYFUNCTION("""COMPUTED_VALUE"""),"ppn")</f>
        <v>ppn</v>
      </c>
      <c r="B2309" s="42" t="str">
        <f>IFERROR(__xludf.DUMMYFUNCTION("""COMPUTED_VALUE"""),"DHBA")</f>
        <v>DHBA</v>
      </c>
      <c r="C2309" s="42" t="str">
        <f>IFERROR(__xludf.DUMMYFUNCTION("""COMPUTED_VALUE"""),"parietopontine fibers")</f>
        <v>parietopontine fibers</v>
      </c>
      <c r="D2309" s="42">
        <f>IFERROR(__xludf.DUMMYFUNCTION("""COMPUTED_VALUE"""),2192.0)</f>
        <v>2192</v>
      </c>
      <c r="E2309" s="39" t="str">
        <f>IFERROR(__xludf.DUMMYFUNCTION("""COMPUTED_VALUE"""),"parietopontine fibers")</f>
        <v>parietopontine fibers</v>
      </c>
      <c r="F2309" s="9" t="str">
        <f>IFERROR(__xludf.DUMMYFUNCTION("""COMPUTED_VALUE"""),"Br")</f>
        <v>Br</v>
      </c>
      <c r="G2309" s="9" t="str">
        <f>IFERROR(__xludf.DUMMYFUNCTION("""COMPUTED_VALUE"""),"F")</f>
        <v>F</v>
      </c>
      <c r="H2309" s="9" t="str">
        <f>IFERROR(__xludf.DUMMYFUNCTION("""COMPUTED_VALUE"""),"FWM")</f>
        <v>FWM</v>
      </c>
      <c r="I2309" s="9" t="str">
        <f>IFERROR(__xludf.DUMMYFUNCTION("""COMPUTED_VALUE"""),"FIFT")</f>
        <v>FIFT</v>
      </c>
      <c r="J2309" s="9" t="str">
        <f>IFERROR(__xludf.DUMMYFUNCTION("""COMPUTED_VALUE"""),"ic")</f>
        <v>ic</v>
      </c>
      <c r="K2309" s="9" t="str">
        <f>IFERROR(__xludf.DUMMYFUNCTION("""COMPUTED_VALUE"""),"pic")</f>
        <v>pic</v>
      </c>
      <c r="L2309" s="9" t="str">
        <f>IFERROR(__xludf.DUMMYFUNCTION("""COMPUTED_VALUE"""),"relp")</f>
        <v>relp</v>
      </c>
      <c r="M2309" s="9" t="str">
        <f>IFERROR(__xludf.DUMMYFUNCTION("""COMPUTED_VALUE"""),"ppn")</f>
        <v>ppn</v>
      </c>
      <c r="N2309" s="9"/>
      <c r="O2309" s="9"/>
      <c r="P2309" s="9"/>
      <c r="Q2309" s="9"/>
      <c r="R2309" s="9"/>
      <c r="S2309" s="42"/>
      <c r="T2309" s="42"/>
      <c r="U2309" s="42"/>
      <c r="V2309" s="42"/>
      <c r="W2309" s="42"/>
      <c r="X2309" s="42"/>
      <c r="Y2309" s="42"/>
      <c r="Z2309" s="42"/>
      <c r="AA2309" s="42"/>
      <c r="AB2309" s="42" t="str">
        <f>IFERROR(__xludf.DUMMYFUNCTION("""COMPUTED_VALUE"""),"allen institute")</f>
        <v>allen institute</v>
      </c>
      <c r="AC2309" s="42" t="str">
        <f>IFERROR(__xludf.DUMMYFUNCTION("""COMPUTED_VALUE"""),"DHBA")</f>
        <v>DHBA</v>
      </c>
      <c r="AD2309" s="42"/>
      <c r="AE2309" s="42"/>
      <c r="AF2309" s="9"/>
      <c r="AG2309" s="9"/>
      <c r="AH2309" s="42"/>
      <c r="AI2309" s="42"/>
      <c r="AJ2309" s="42"/>
      <c r="AK2309" s="42"/>
      <c r="AL2309" s="42"/>
      <c r="AM2309" s="42"/>
      <c r="AN2309" s="42"/>
      <c r="AO2309" s="63" t="str">
        <f>IFERROR(__xludf.DUMMYFUNCTION("IF(ISBLANK(A2309),,IF(ISBLANK(S2309), A2309&amp;"";"", TEXTJOIN(CHAR(10), TRUE, A2309&amp;"";"", ARRAYFORMULA(VLOOKUP(SPLIT(S2309, "";"" &amp; CHAR(10)), $A:$AO, 41, FALSE)))))"),"ppn;")</f>
        <v>ppn;</v>
      </c>
      <c r="AP2309" s="89"/>
    </row>
    <row r="2310">
      <c r="A2310" s="151" t="str">
        <f>IFERROR(__xludf.DUMMYFUNCTION("""COMPUTED_VALUE"""),"opn")</f>
        <v>opn</v>
      </c>
      <c r="B2310" s="42" t="str">
        <f>IFERROR(__xludf.DUMMYFUNCTION("""COMPUTED_VALUE"""),"DHBA")</f>
        <v>DHBA</v>
      </c>
      <c r="C2310" s="42" t="str">
        <f>IFERROR(__xludf.DUMMYFUNCTION("""COMPUTED_VALUE"""),"occipitopontine fibers")</f>
        <v>occipitopontine fibers</v>
      </c>
      <c r="D2310" s="42">
        <f>IFERROR(__xludf.DUMMYFUNCTION("""COMPUTED_VALUE"""),2193.0)</f>
        <v>2193</v>
      </c>
      <c r="E2310" s="39" t="str">
        <f>IFERROR(__xludf.DUMMYFUNCTION("""COMPUTED_VALUE"""),"occipitopontine fibers")</f>
        <v>occipitopontine fibers</v>
      </c>
      <c r="F2310" s="9" t="str">
        <f>IFERROR(__xludf.DUMMYFUNCTION("""COMPUTED_VALUE"""),"Br")</f>
        <v>Br</v>
      </c>
      <c r="G2310" s="9" t="str">
        <f>IFERROR(__xludf.DUMMYFUNCTION("""COMPUTED_VALUE"""),"F")</f>
        <v>F</v>
      </c>
      <c r="H2310" s="9" t="str">
        <f>IFERROR(__xludf.DUMMYFUNCTION("""COMPUTED_VALUE"""),"FWM")</f>
        <v>FWM</v>
      </c>
      <c r="I2310" s="9" t="str">
        <f>IFERROR(__xludf.DUMMYFUNCTION("""COMPUTED_VALUE"""),"FIFT")</f>
        <v>FIFT</v>
      </c>
      <c r="J2310" s="9" t="str">
        <f>IFERROR(__xludf.DUMMYFUNCTION("""COMPUTED_VALUE"""),"ic")</f>
        <v>ic</v>
      </c>
      <c r="K2310" s="9" t="str">
        <f>IFERROR(__xludf.DUMMYFUNCTION("""COMPUTED_VALUE"""),"pic")</f>
        <v>pic</v>
      </c>
      <c r="L2310" s="9" t="str">
        <f>IFERROR(__xludf.DUMMYFUNCTION("""COMPUTED_VALUE"""),"relp")</f>
        <v>relp</v>
      </c>
      <c r="M2310" s="9" t="str">
        <f>IFERROR(__xludf.DUMMYFUNCTION("""COMPUTED_VALUE"""),"opn")</f>
        <v>opn</v>
      </c>
      <c r="N2310" s="9"/>
      <c r="O2310" s="9"/>
      <c r="P2310" s="9"/>
      <c r="Q2310" s="9"/>
      <c r="R2310" s="9"/>
      <c r="S2310" s="42"/>
      <c r="T2310" s="42"/>
      <c r="U2310" s="42"/>
      <c r="V2310" s="42"/>
      <c r="W2310" s="42"/>
      <c r="X2310" s="42"/>
      <c r="Y2310" s="42"/>
      <c r="Z2310" s="42"/>
      <c r="AA2310" s="42"/>
      <c r="AB2310" s="42" t="str">
        <f>IFERROR(__xludf.DUMMYFUNCTION("""COMPUTED_VALUE"""),"allen institute")</f>
        <v>allen institute</v>
      </c>
      <c r="AC2310" s="42" t="str">
        <f>IFERROR(__xludf.DUMMYFUNCTION("""COMPUTED_VALUE"""),"DHBA")</f>
        <v>DHBA</v>
      </c>
      <c r="AD2310" s="42"/>
      <c r="AE2310" s="42"/>
      <c r="AF2310" s="9"/>
      <c r="AG2310" s="9"/>
      <c r="AH2310" s="42"/>
      <c r="AI2310" s="42"/>
      <c r="AJ2310" s="42"/>
      <c r="AK2310" s="42"/>
      <c r="AL2310" s="42"/>
      <c r="AM2310" s="42"/>
      <c r="AN2310" s="42"/>
      <c r="AO2310" s="63" t="str">
        <f>IFERROR(__xludf.DUMMYFUNCTION("IF(ISBLANK(A2310),,IF(ISBLANK(S2310), A2310&amp;"";"", TEXTJOIN(CHAR(10), TRUE, A2310&amp;"";"", ARRAYFORMULA(VLOOKUP(SPLIT(S2310, "";"" &amp; CHAR(10)), $A:$AO, 41, FALSE)))))"),"opn;")</f>
        <v>opn;</v>
      </c>
      <c r="AP2310" s="89"/>
    </row>
    <row r="2311">
      <c r="A2311" s="151" t="str">
        <f>IFERROR(__xludf.DUMMYFUNCTION("""COMPUTED_VALUE"""),"oco")</f>
        <v>oco</v>
      </c>
      <c r="B2311" s="42" t="str">
        <f>IFERROR(__xludf.DUMMYFUNCTION("""COMPUTED_VALUE"""),"DHBA")</f>
        <v>DHBA</v>
      </c>
      <c r="C2311" s="42" t="str">
        <f>IFERROR(__xludf.DUMMYFUNCTION("""COMPUTED_VALUE"""),"occipitocollicular fibers")</f>
        <v>occipitocollicular fibers</v>
      </c>
      <c r="D2311" s="42">
        <f>IFERROR(__xludf.DUMMYFUNCTION("""COMPUTED_VALUE"""),2194.0)</f>
        <v>2194</v>
      </c>
      <c r="E2311" s="39" t="str">
        <f>IFERROR(__xludf.DUMMYFUNCTION("""COMPUTED_VALUE"""),"occipitocollicular fibers")</f>
        <v>occipitocollicular fibers</v>
      </c>
      <c r="F2311" s="9" t="str">
        <f>IFERROR(__xludf.DUMMYFUNCTION("""COMPUTED_VALUE"""),"Br")</f>
        <v>Br</v>
      </c>
      <c r="G2311" s="9" t="str">
        <f>IFERROR(__xludf.DUMMYFUNCTION("""COMPUTED_VALUE"""),"F")</f>
        <v>F</v>
      </c>
      <c r="H2311" s="9" t="str">
        <f>IFERROR(__xludf.DUMMYFUNCTION("""COMPUTED_VALUE"""),"FWM")</f>
        <v>FWM</v>
      </c>
      <c r="I2311" s="9" t="str">
        <f>IFERROR(__xludf.DUMMYFUNCTION("""COMPUTED_VALUE"""),"FIFT")</f>
        <v>FIFT</v>
      </c>
      <c r="J2311" s="9" t="str">
        <f>IFERROR(__xludf.DUMMYFUNCTION("""COMPUTED_VALUE"""),"ic")</f>
        <v>ic</v>
      </c>
      <c r="K2311" s="9" t="str">
        <f>IFERROR(__xludf.DUMMYFUNCTION("""COMPUTED_VALUE"""),"pic")</f>
        <v>pic</v>
      </c>
      <c r="L2311" s="9" t="str">
        <f>IFERROR(__xludf.DUMMYFUNCTION("""COMPUTED_VALUE"""),"relp")</f>
        <v>relp</v>
      </c>
      <c r="M2311" s="9" t="str">
        <f>IFERROR(__xludf.DUMMYFUNCTION("""COMPUTED_VALUE"""),"oco")</f>
        <v>oco</v>
      </c>
      <c r="N2311" s="9"/>
      <c r="O2311" s="9"/>
      <c r="P2311" s="9"/>
      <c r="Q2311" s="9"/>
      <c r="R2311" s="9"/>
      <c r="S2311" s="42"/>
      <c r="T2311" s="42"/>
      <c r="U2311" s="42"/>
      <c r="V2311" s="42"/>
      <c r="W2311" s="42"/>
      <c r="X2311" s="42"/>
      <c r="Y2311" s="42"/>
      <c r="Z2311" s="42"/>
      <c r="AA2311" s="42"/>
      <c r="AB2311" s="42" t="str">
        <f>IFERROR(__xludf.DUMMYFUNCTION("""COMPUTED_VALUE"""),"allen institute")</f>
        <v>allen institute</v>
      </c>
      <c r="AC2311" s="42" t="str">
        <f>IFERROR(__xludf.DUMMYFUNCTION("""COMPUTED_VALUE"""),"DHBA")</f>
        <v>DHBA</v>
      </c>
      <c r="AD2311" s="42"/>
      <c r="AE2311" s="42"/>
      <c r="AF2311" s="9"/>
      <c r="AG2311" s="9"/>
      <c r="AH2311" s="42"/>
      <c r="AI2311" s="42"/>
      <c r="AJ2311" s="42"/>
      <c r="AK2311" s="42"/>
      <c r="AL2311" s="42"/>
      <c r="AM2311" s="42"/>
      <c r="AN2311" s="42"/>
      <c r="AO2311" s="63" t="str">
        <f>IFERROR(__xludf.DUMMYFUNCTION("IF(ISBLANK(A2311),,IF(ISBLANK(S2311), A2311&amp;"";"", TEXTJOIN(CHAR(10), TRUE, A2311&amp;"";"", ARRAYFORMULA(VLOOKUP(SPLIT(S2311, "";"" &amp; CHAR(10)), $A:$AO, 41, FALSE)))))"),"oco;")</f>
        <v>oco;</v>
      </c>
      <c r="AP2311" s="89"/>
    </row>
    <row r="2312">
      <c r="A2312" s="151" t="str">
        <f>IFERROR(__xludf.DUMMYFUNCTION("""COMPUTED_VALUE"""),"sulp")</f>
        <v>sulp</v>
      </c>
      <c r="B2312" s="42" t="str">
        <f>IFERROR(__xludf.DUMMYFUNCTION("""COMPUTED_VALUE"""),"DHBA")</f>
        <v>DHBA</v>
      </c>
      <c r="C2312" s="42" t="str">
        <f>IFERROR(__xludf.DUMMYFUNCTION("""COMPUTED_VALUE"""),"sublenticular portion")</f>
        <v>sublenticular portion</v>
      </c>
      <c r="D2312" s="42">
        <f>IFERROR(__xludf.DUMMYFUNCTION("""COMPUTED_VALUE"""),2195.0)</f>
        <v>2195</v>
      </c>
      <c r="E2312" s="39" t="str">
        <f>IFERROR(__xludf.DUMMYFUNCTION("""COMPUTED_VALUE"""),"sublenticular portion")</f>
        <v>sublenticular portion</v>
      </c>
      <c r="F2312" s="9" t="str">
        <f>IFERROR(__xludf.DUMMYFUNCTION("""COMPUTED_VALUE"""),"Br")</f>
        <v>Br</v>
      </c>
      <c r="G2312" s="9" t="str">
        <f>IFERROR(__xludf.DUMMYFUNCTION("""COMPUTED_VALUE"""),"F")</f>
        <v>F</v>
      </c>
      <c r="H2312" s="9" t="str">
        <f>IFERROR(__xludf.DUMMYFUNCTION("""COMPUTED_VALUE"""),"FWM")</f>
        <v>FWM</v>
      </c>
      <c r="I2312" s="9" t="str">
        <f>IFERROR(__xludf.DUMMYFUNCTION("""COMPUTED_VALUE"""),"FIFT")</f>
        <v>FIFT</v>
      </c>
      <c r="J2312" s="9" t="str">
        <f>IFERROR(__xludf.DUMMYFUNCTION("""COMPUTED_VALUE"""),"ic")</f>
        <v>ic</v>
      </c>
      <c r="K2312" s="9" t="str">
        <f>IFERROR(__xludf.DUMMYFUNCTION("""COMPUTED_VALUE"""),"pic")</f>
        <v>pic</v>
      </c>
      <c r="L2312" s="9" t="str">
        <f>IFERROR(__xludf.DUMMYFUNCTION("""COMPUTED_VALUE"""),"sulp")</f>
        <v>sulp</v>
      </c>
      <c r="M2312" s="9"/>
      <c r="N2312" s="9"/>
      <c r="O2312" s="9"/>
      <c r="P2312" s="9"/>
      <c r="Q2312" s="9"/>
      <c r="R2312" s="9"/>
      <c r="S2312" s="42" t="str">
        <f>IFERROR(__xludf.DUMMYFUNCTION("""COMPUTED_VALUE"""),"ar_sl;
tepn")</f>
        <v>ar_sl;
tepn</v>
      </c>
      <c r="T2312" s="42"/>
      <c r="U2312" s="42" t="b">
        <f>IFERROR(__xludf.DUMMYFUNCTION("""COMPUTED_VALUE"""),FALSE)</f>
        <v>0</v>
      </c>
      <c r="V2312" s="42"/>
      <c r="W2312" s="42"/>
      <c r="X2312" s="42"/>
      <c r="Y2312" s="42"/>
      <c r="Z2312" s="42"/>
      <c r="AA2312" s="42"/>
      <c r="AB2312" s="42" t="str">
        <f>IFERROR(__xludf.DUMMYFUNCTION("""COMPUTED_VALUE"""),"allen institute")</f>
        <v>allen institute</v>
      </c>
      <c r="AC2312" s="42" t="str">
        <f>IFERROR(__xludf.DUMMYFUNCTION("""COMPUTED_VALUE"""),"DHBA")</f>
        <v>DHBA</v>
      </c>
      <c r="AD2312" s="42"/>
      <c r="AE2312" s="42"/>
      <c r="AF2312" s="9"/>
      <c r="AG2312" s="9"/>
      <c r="AH2312" s="42"/>
      <c r="AI2312" s="42"/>
      <c r="AJ2312" s="42"/>
      <c r="AK2312" s="42"/>
      <c r="AL2312" s="42"/>
      <c r="AM2312" s="42"/>
      <c r="AN2312" s="42"/>
      <c r="AO2312" s="63" t="str">
        <f>IFERROR(__xludf.DUMMYFUNCTION("IF(ISBLANK(A2312),,IF(ISBLANK(S2312), A2312&amp;"";"", TEXTJOIN(CHAR(10), TRUE, A2312&amp;"";"", ARRAYFORMULA(VLOOKUP(SPLIT(S2312, "";"" &amp; CHAR(10)), $A:$AO, 41, FALSE)))))"),"#N/A")</f>
        <v>#N/A</v>
      </c>
      <c r="AP2312" s="89"/>
    </row>
    <row r="2313">
      <c r="A2313" s="151" t="str">
        <f>IFERROR(__xludf.DUMMYFUNCTION("""COMPUTED_VALUE"""),"ar-sl")</f>
        <v>ar-sl</v>
      </c>
      <c r="B2313" s="42" t="str">
        <f>IFERROR(__xludf.DUMMYFUNCTION("""COMPUTED_VALUE"""),"DHBA")</f>
        <v>DHBA</v>
      </c>
      <c r="C2313" s="42" t="str">
        <f>IFERROR(__xludf.DUMMYFUNCTION("""COMPUTED_VALUE"""),"auditory radiation")</f>
        <v>auditory radiation</v>
      </c>
      <c r="D2313" s="42">
        <f>IFERROR(__xludf.DUMMYFUNCTION("""COMPUTED_VALUE"""),2196.0)</f>
        <v>2196</v>
      </c>
      <c r="E2313" s="39" t="str">
        <f>IFERROR(__xludf.DUMMYFUNCTION("""COMPUTED_VALUE"""),"auditory radiation")</f>
        <v>auditory radiation</v>
      </c>
      <c r="F2313" s="9" t="str">
        <f>IFERROR(__xludf.DUMMYFUNCTION("""COMPUTED_VALUE"""),"Br")</f>
        <v>Br</v>
      </c>
      <c r="G2313" s="9" t="str">
        <f>IFERROR(__xludf.DUMMYFUNCTION("""COMPUTED_VALUE"""),"F")</f>
        <v>F</v>
      </c>
      <c r="H2313" s="9" t="str">
        <f>IFERROR(__xludf.DUMMYFUNCTION("""COMPUTED_VALUE"""),"FWM")</f>
        <v>FWM</v>
      </c>
      <c r="I2313" s="9" t="str">
        <f>IFERROR(__xludf.DUMMYFUNCTION("""COMPUTED_VALUE"""),"FIFT")</f>
        <v>FIFT</v>
      </c>
      <c r="J2313" s="9" t="str">
        <f>IFERROR(__xludf.DUMMYFUNCTION("""COMPUTED_VALUE"""),"ic")</f>
        <v>ic</v>
      </c>
      <c r="K2313" s="9" t="str">
        <f>IFERROR(__xludf.DUMMYFUNCTION("""COMPUTED_VALUE"""),"pic")</f>
        <v>pic</v>
      </c>
      <c r="L2313" s="9" t="str">
        <f>IFERROR(__xludf.DUMMYFUNCTION("""COMPUTED_VALUE"""),"sulp")</f>
        <v>sulp</v>
      </c>
      <c r="M2313" s="9" t="str">
        <f>IFERROR(__xludf.DUMMYFUNCTION("""COMPUTED_VALUE"""),"ar-sl")</f>
        <v>ar-sl</v>
      </c>
      <c r="N2313" s="9"/>
      <c r="O2313" s="9"/>
      <c r="P2313" s="9"/>
      <c r="Q2313" s="9"/>
      <c r="R2313" s="9"/>
      <c r="S2313" s="42"/>
      <c r="T2313" s="42"/>
      <c r="U2313" s="159"/>
      <c r="V2313" s="42"/>
      <c r="W2313" s="42"/>
      <c r="X2313" s="42"/>
      <c r="Y2313" s="42"/>
      <c r="Z2313" s="42"/>
      <c r="AA2313" s="42"/>
      <c r="AB2313" s="42" t="str">
        <f>IFERROR(__xludf.DUMMYFUNCTION("""COMPUTED_VALUE"""),"allen institute")</f>
        <v>allen institute</v>
      </c>
      <c r="AC2313" s="42" t="str">
        <f>IFERROR(__xludf.DUMMYFUNCTION("""COMPUTED_VALUE"""),"DHBA")</f>
        <v>DHBA</v>
      </c>
      <c r="AD2313" s="42"/>
      <c r="AE2313" s="42"/>
      <c r="AF2313" s="9"/>
      <c r="AG2313" s="9"/>
      <c r="AH2313" s="42"/>
      <c r="AI2313" s="42"/>
      <c r="AJ2313" s="42"/>
      <c r="AK2313" s="42"/>
      <c r="AL2313" s="42"/>
      <c r="AM2313" s="42"/>
      <c r="AN2313" s="42"/>
      <c r="AO2313" s="63" t="str">
        <f>IFERROR(__xludf.DUMMYFUNCTION("IF(ISBLANK(A2313),,IF(ISBLANK(S2313), A2313&amp;"";"", TEXTJOIN(CHAR(10), TRUE, A2313&amp;"";"", ARRAYFORMULA(VLOOKUP(SPLIT(S2313, "";"" &amp; CHAR(10)), $A:$AO, 41, FALSE)))))"),"ar-sl;")</f>
        <v>ar-sl;</v>
      </c>
      <c r="AP2313" s="89"/>
    </row>
    <row r="2314">
      <c r="A2314" s="151" t="str">
        <f>IFERROR(__xludf.DUMMYFUNCTION("""COMPUTED_VALUE"""),"tepn")</f>
        <v>tepn</v>
      </c>
      <c r="B2314" s="42" t="str">
        <f>IFERROR(__xludf.DUMMYFUNCTION("""COMPUTED_VALUE"""),"DHBA")</f>
        <v>DHBA</v>
      </c>
      <c r="C2314" s="42" t="str">
        <f>IFERROR(__xludf.DUMMYFUNCTION("""COMPUTED_VALUE"""),"temporopontine fibers")</f>
        <v>temporopontine fibers</v>
      </c>
      <c r="D2314" s="42">
        <f>IFERROR(__xludf.DUMMYFUNCTION("""COMPUTED_VALUE"""),2197.0)</f>
        <v>2197</v>
      </c>
      <c r="E2314" s="39" t="str">
        <f>IFERROR(__xludf.DUMMYFUNCTION("""COMPUTED_VALUE"""),"temporopontine fibers")</f>
        <v>temporopontine fibers</v>
      </c>
      <c r="F2314" s="9" t="str">
        <f>IFERROR(__xludf.DUMMYFUNCTION("""COMPUTED_VALUE"""),"Br")</f>
        <v>Br</v>
      </c>
      <c r="G2314" s="9" t="str">
        <f>IFERROR(__xludf.DUMMYFUNCTION("""COMPUTED_VALUE"""),"F")</f>
        <v>F</v>
      </c>
      <c r="H2314" s="9" t="str">
        <f>IFERROR(__xludf.DUMMYFUNCTION("""COMPUTED_VALUE"""),"FWM")</f>
        <v>FWM</v>
      </c>
      <c r="I2314" s="9" t="str">
        <f>IFERROR(__xludf.DUMMYFUNCTION("""COMPUTED_VALUE"""),"FIFT")</f>
        <v>FIFT</v>
      </c>
      <c r="J2314" s="9" t="str">
        <f>IFERROR(__xludf.DUMMYFUNCTION("""COMPUTED_VALUE"""),"ic")</f>
        <v>ic</v>
      </c>
      <c r="K2314" s="9" t="str">
        <f>IFERROR(__xludf.DUMMYFUNCTION("""COMPUTED_VALUE"""),"pic")</f>
        <v>pic</v>
      </c>
      <c r="L2314" s="9" t="str">
        <f>IFERROR(__xludf.DUMMYFUNCTION("""COMPUTED_VALUE"""),"sulp")</f>
        <v>sulp</v>
      </c>
      <c r="M2314" s="9" t="str">
        <f>IFERROR(__xludf.DUMMYFUNCTION("""COMPUTED_VALUE"""),"tepn")</f>
        <v>tepn</v>
      </c>
      <c r="N2314" s="9"/>
      <c r="O2314" s="9"/>
      <c r="P2314" s="9"/>
      <c r="Q2314" s="9"/>
      <c r="R2314" s="9"/>
      <c r="S2314" s="42"/>
      <c r="T2314" s="42"/>
      <c r="U2314" s="159"/>
      <c r="V2314" s="42"/>
      <c r="W2314" s="42"/>
      <c r="X2314" s="42"/>
      <c r="Y2314" s="42"/>
      <c r="Z2314" s="42"/>
      <c r="AA2314" s="42"/>
      <c r="AB2314" s="42" t="str">
        <f>IFERROR(__xludf.DUMMYFUNCTION("""COMPUTED_VALUE"""),"allen institute")</f>
        <v>allen institute</v>
      </c>
      <c r="AC2314" s="42" t="str">
        <f>IFERROR(__xludf.DUMMYFUNCTION("""COMPUTED_VALUE"""),"DHBA")</f>
        <v>DHBA</v>
      </c>
      <c r="AD2314" s="42"/>
      <c r="AE2314" s="42"/>
      <c r="AF2314" s="9"/>
      <c r="AG2314" s="9"/>
      <c r="AH2314" s="42"/>
      <c r="AI2314" s="42"/>
      <c r="AJ2314" s="42"/>
      <c r="AK2314" s="42"/>
      <c r="AL2314" s="42"/>
      <c r="AM2314" s="42"/>
      <c r="AN2314" s="42"/>
      <c r="AO2314" s="63" t="str">
        <f>IFERROR(__xludf.DUMMYFUNCTION("IF(ISBLANK(A2314),,IF(ISBLANK(S2314), A2314&amp;"";"", TEXTJOIN(CHAR(10), TRUE, A2314&amp;"";"", ARRAYFORMULA(VLOOKUP(SPLIT(S2314, "";"" &amp; CHAR(10)), $A:$AO, 41, FALSE)))))"),"tepn;")</f>
        <v>tepn;</v>
      </c>
      <c r="AP2314" s="89"/>
    </row>
    <row r="2315">
      <c r="A2315" s="151" t="str">
        <f>IFERROR(__xludf.DUMMYFUNCTION("""COMPUTED_VALUE"""),"imlgp")</f>
        <v>imlgp</v>
      </c>
      <c r="B2315" s="42" t="str">
        <f>IFERROR(__xludf.DUMMYFUNCTION("""COMPUTED_VALUE"""),"DHBA")</f>
        <v>DHBA</v>
      </c>
      <c r="C2315" s="42" t="str">
        <f>IFERROR(__xludf.DUMMYFUNCTION("""COMPUTED_VALUE"""),"internal medullary lamina of globus pallidus")</f>
        <v>internal medullary lamina of globus pallidus</v>
      </c>
      <c r="D2315" s="42">
        <f>IFERROR(__xludf.DUMMYFUNCTION("""COMPUTED_VALUE"""),2198.0)</f>
        <v>2198</v>
      </c>
      <c r="E2315" s="39" t="str">
        <f>IFERROR(__xludf.DUMMYFUNCTION("""COMPUTED_VALUE"""),"internal medullary lamina of globus pallidus")</f>
        <v>internal medullary lamina of globus pallidus</v>
      </c>
      <c r="F2315" s="9" t="str">
        <f>IFERROR(__xludf.DUMMYFUNCTION("""COMPUTED_VALUE"""),"Br")</f>
        <v>Br</v>
      </c>
      <c r="G2315" s="9" t="str">
        <f>IFERROR(__xludf.DUMMYFUNCTION("""COMPUTED_VALUE"""),"F")</f>
        <v>F</v>
      </c>
      <c r="H2315" s="9" t="str">
        <f>IFERROR(__xludf.DUMMYFUNCTION("""COMPUTED_VALUE"""),"FWM")</f>
        <v>FWM</v>
      </c>
      <c r="I2315" s="9" t="str">
        <f>IFERROR(__xludf.DUMMYFUNCTION("""COMPUTED_VALUE"""),"FIFT")</f>
        <v>FIFT</v>
      </c>
      <c r="J2315" s="9" t="str">
        <f>IFERROR(__xludf.DUMMYFUNCTION("""COMPUTED_VALUE"""),"imlgp")</f>
        <v>imlgp</v>
      </c>
      <c r="K2315" s="9"/>
      <c r="L2315" s="9"/>
      <c r="M2315" s="9"/>
      <c r="N2315" s="9"/>
      <c r="O2315" s="9"/>
      <c r="P2315" s="9"/>
      <c r="Q2315" s="9"/>
      <c r="R2315" s="9"/>
      <c r="S2315" s="42"/>
      <c r="T2315" s="42"/>
      <c r="U2315" s="159"/>
      <c r="V2315" s="42"/>
      <c r="W2315" s="42"/>
      <c r="X2315" s="42"/>
      <c r="Y2315" s="42"/>
      <c r="Z2315" s="42"/>
      <c r="AA2315" s="42"/>
      <c r="AB2315" s="42" t="str">
        <f>IFERROR(__xludf.DUMMYFUNCTION("""COMPUTED_VALUE"""),"allen institute")</f>
        <v>allen institute</v>
      </c>
      <c r="AC2315" s="42" t="str">
        <f>IFERROR(__xludf.DUMMYFUNCTION("""COMPUTED_VALUE"""),"DHBA")</f>
        <v>DHBA</v>
      </c>
      <c r="AD2315" s="42"/>
      <c r="AE2315" s="42"/>
      <c r="AF2315" s="9"/>
      <c r="AG2315" s="9"/>
      <c r="AH2315" s="42"/>
      <c r="AI2315" s="42"/>
      <c r="AJ2315" s="42"/>
      <c r="AK2315" s="42"/>
      <c r="AL2315" s="42"/>
      <c r="AM2315" s="42"/>
      <c r="AN2315" s="42"/>
      <c r="AO2315" s="63" t="str">
        <f>IFERROR(__xludf.DUMMYFUNCTION("IF(ISBLANK(A2315),,IF(ISBLANK(S2315), A2315&amp;"";"", TEXTJOIN(CHAR(10), TRUE, A2315&amp;"";"", ARRAYFORMULA(VLOOKUP(SPLIT(S2315, "";"" &amp; CHAR(10)), $A:$AO, 41, FALSE)))))"),"imlgp;")</f>
        <v>imlgp;</v>
      </c>
      <c r="AP2315" s="89"/>
    </row>
    <row r="2316">
      <c r="A2316" s="151" t="str">
        <f>IFERROR(__xludf.DUMMYFUNCTION("""COMPUTED_VALUE"""),"imlth")</f>
        <v>imlth</v>
      </c>
      <c r="B2316" s="42" t="str">
        <f>IFERROR(__xludf.DUMMYFUNCTION("""COMPUTED_VALUE"""),"DHBA")</f>
        <v>DHBA</v>
      </c>
      <c r="C2316" s="42" t="str">
        <f>IFERROR(__xludf.DUMMYFUNCTION("""COMPUTED_VALUE"""),"internal medullary lamina of thalamus")</f>
        <v>internal medullary lamina of thalamus</v>
      </c>
      <c r="D2316" s="42">
        <f>IFERROR(__xludf.DUMMYFUNCTION("""COMPUTED_VALUE"""),2199.0)</f>
        <v>2199</v>
      </c>
      <c r="E2316" s="39" t="str">
        <f>IFERROR(__xludf.DUMMYFUNCTION("""COMPUTED_VALUE"""),"internal medullary lamina of thalamus")</f>
        <v>internal medullary lamina of thalamus</v>
      </c>
      <c r="F2316" s="9" t="str">
        <f>IFERROR(__xludf.DUMMYFUNCTION("""COMPUTED_VALUE"""),"Br")</f>
        <v>Br</v>
      </c>
      <c r="G2316" s="9" t="str">
        <f>IFERROR(__xludf.DUMMYFUNCTION("""COMPUTED_VALUE"""),"F")</f>
        <v>F</v>
      </c>
      <c r="H2316" s="9" t="str">
        <f>IFERROR(__xludf.DUMMYFUNCTION("""COMPUTED_VALUE"""),"FWM")</f>
        <v>FWM</v>
      </c>
      <c r="I2316" s="9" t="str">
        <f>IFERROR(__xludf.DUMMYFUNCTION("""COMPUTED_VALUE"""),"FIFT")</f>
        <v>FIFT</v>
      </c>
      <c r="J2316" s="9" t="str">
        <f>IFERROR(__xludf.DUMMYFUNCTION("""COMPUTED_VALUE"""),"imlth")</f>
        <v>imlth</v>
      </c>
      <c r="K2316" s="9"/>
      <c r="L2316" s="9"/>
      <c r="M2316" s="9"/>
      <c r="N2316" s="9"/>
      <c r="O2316" s="9"/>
      <c r="P2316" s="9"/>
      <c r="Q2316" s="9"/>
      <c r="R2316" s="9"/>
      <c r="S2316" s="42"/>
      <c r="T2316" s="42"/>
      <c r="U2316" s="42"/>
      <c r="V2316" s="42"/>
      <c r="W2316" s="42"/>
      <c r="X2316" s="42"/>
      <c r="Y2316" s="42"/>
      <c r="Z2316" s="42"/>
      <c r="AA2316" s="42"/>
      <c r="AB2316" s="42" t="str">
        <f>IFERROR(__xludf.DUMMYFUNCTION("""COMPUTED_VALUE"""),"allen institute")</f>
        <v>allen institute</v>
      </c>
      <c r="AC2316" s="42" t="str">
        <f>IFERROR(__xludf.DUMMYFUNCTION("""COMPUTED_VALUE"""),"DHBA")</f>
        <v>DHBA</v>
      </c>
      <c r="AD2316" s="42"/>
      <c r="AE2316" s="42"/>
      <c r="AF2316" s="9"/>
      <c r="AG2316" s="9"/>
      <c r="AH2316" s="42"/>
      <c r="AI2316" s="42"/>
      <c r="AJ2316" s="42"/>
      <c r="AK2316" s="42"/>
      <c r="AL2316" s="42"/>
      <c r="AM2316" s="42"/>
      <c r="AN2316" s="42"/>
      <c r="AO2316" s="63" t="str">
        <f>IFERROR(__xludf.DUMMYFUNCTION("IF(ISBLANK(A2316),,IF(ISBLANK(S2316), A2316&amp;"";"", TEXTJOIN(CHAR(10), TRUE, A2316&amp;"";"", ARRAYFORMULA(VLOOKUP(SPLIT(S2316, "";"" &amp; CHAR(10)), $A:$AO, 41, FALSE)))))"),"imlth;")</f>
        <v>imlth;</v>
      </c>
      <c r="AP2316" s="89"/>
    </row>
    <row r="2317">
      <c r="A2317" s="151" t="str">
        <f>IFERROR(__xludf.DUMMYFUNCTION("""COMPUTED_VALUE"""),"lls")</f>
        <v>lls</v>
      </c>
      <c r="B2317" s="42" t="str">
        <f>IFERROR(__xludf.DUMMYFUNCTION("""COMPUTED_VALUE"""),"DHBA")</f>
        <v>DHBA</v>
      </c>
      <c r="C2317" s="42" t="str">
        <f>IFERROR(__xludf.DUMMYFUNCTION("""COMPUTED_VALUE"""),"lateral longitudinal stria")</f>
        <v>lateral longitudinal stria</v>
      </c>
      <c r="D2317" s="42">
        <f>IFERROR(__xludf.DUMMYFUNCTION("""COMPUTED_VALUE"""),2200.0)</f>
        <v>2200</v>
      </c>
      <c r="E2317" s="39" t="str">
        <f>IFERROR(__xludf.DUMMYFUNCTION("""COMPUTED_VALUE"""),"lateral longitudinal stria")</f>
        <v>lateral longitudinal stria</v>
      </c>
      <c r="F2317" s="9" t="str">
        <f>IFERROR(__xludf.DUMMYFUNCTION("""COMPUTED_VALUE"""),"Br")</f>
        <v>Br</v>
      </c>
      <c r="G2317" s="9" t="str">
        <f>IFERROR(__xludf.DUMMYFUNCTION("""COMPUTED_VALUE"""),"F")</f>
        <v>F</v>
      </c>
      <c r="H2317" s="9" t="str">
        <f>IFERROR(__xludf.DUMMYFUNCTION("""COMPUTED_VALUE"""),"FWM")</f>
        <v>FWM</v>
      </c>
      <c r="I2317" s="9" t="str">
        <f>IFERROR(__xludf.DUMMYFUNCTION("""COMPUTED_VALUE"""),"FIFT")</f>
        <v>FIFT</v>
      </c>
      <c r="J2317" s="9" t="str">
        <f>IFERROR(__xludf.DUMMYFUNCTION("""COMPUTED_VALUE"""),"lls")</f>
        <v>lls</v>
      </c>
      <c r="K2317" s="9"/>
      <c r="L2317" s="9"/>
      <c r="M2317" s="9"/>
      <c r="N2317" s="9"/>
      <c r="O2317" s="9"/>
      <c r="P2317" s="9"/>
      <c r="Q2317" s="9"/>
      <c r="R2317" s="9"/>
      <c r="S2317" s="42"/>
      <c r="T2317" s="42"/>
      <c r="U2317" s="42"/>
      <c r="V2317" s="42"/>
      <c r="W2317" s="42"/>
      <c r="X2317" s="42"/>
      <c r="Y2317" s="42"/>
      <c r="Z2317" s="42"/>
      <c r="AA2317" s="42"/>
      <c r="AB2317" s="42" t="str">
        <f>IFERROR(__xludf.DUMMYFUNCTION("""COMPUTED_VALUE"""),"allen institute")</f>
        <v>allen institute</v>
      </c>
      <c r="AC2317" s="42" t="str">
        <f>IFERROR(__xludf.DUMMYFUNCTION("""COMPUTED_VALUE"""),"DHBA")</f>
        <v>DHBA</v>
      </c>
      <c r="AD2317" s="42"/>
      <c r="AE2317" s="42"/>
      <c r="AF2317" s="9"/>
      <c r="AG2317" s="9"/>
      <c r="AH2317" s="42"/>
      <c r="AI2317" s="42"/>
      <c r="AJ2317" s="42"/>
      <c r="AK2317" s="42"/>
      <c r="AL2317" s="42"/>
      <c r="AM2317" s="42"/>
      <c r="AN2317" s="42"/>
      <c r="AO2317" s="63" t="str">
        <f>IFERROR(__xludf.DUMMYFUNCTION("IF(ISBLANK(A2317),,IF(ISBLANK(S2317), A2317&amp;"";"", TEXTJOIN(CHAR(10), TRUE, A2317&amp;"";"", ARRAYFORMULA(VLOOKUP(SPLIT(S2317, "";"" &amp; CHAR(10)), $A:$AO, 41, FALSE)))))"),"lls;")</f>
        <v>lls;</v>
      </c>
      <c r="AP2317" s="89"/>
    </row>
    <row r="2318">
      <c r="A2318" s="151" t="str">
        <f>IFERROR(__xludf.DUMMYFUNCTION("""COMPUTED_VALUE"""),"lf")</f>
        <v>lf</v>
      </c>
      <c r="B2318" s="42" t="str">
        <f>IFERROR(__xludf.DUMMYFUNCTION("""COMPUTED_VALUE"""),"DHBA")</f>
        <v>DHBA</v>
      </c>
      <c r="C2318" s="42" t="str">
        <f>IFERROR(__xludf.DUMMYFUNCTION("""COMPUTED_VALUE"""),"lenticular fasciculus")</f>
        <v>lenticular fasciculus</v>
      </c>
      <c r="D2318" s="42">
        <f>IFERROR(__xludf.DUMMYFUNCTION("""COMPUTED_VALUE"""),2201.0)</f>
        <v>2201</v>
      </c>
      <c r="E2318" s="39" t="str">
        <f>IFERROR(__xludf.DUMMYFUNCTION("""COMPUTED_VALUE"""),"lenticular fasciculus")</f>
        <v>lenticular fasciculus</v>
      </c>
      <c r="F2318" s="9" t="str">
        <f>IFERROR(__xludf.DUMMYFUNCTION("""COMPUTED_VALUE"""),"Br")</f>
        <v>Br</v>
      </c>
      <c r="G2318" s="9" t="str">
        <f>IFERROR(__xludf.DUMMYFUNCTION("""COMPUTED_VALUE"""),"F")</f>
        <v>F</v>
      </c>
      <c r="H2318" s="9" t="str">
        <f>IFERROR(__xludf.DUMMYFUNCTION("""COMPUTED_VALUE"""),"FWM")</f>
        <v>FWM</v>
      </c>
      <c r="I2318" s="9" t="str">
        <f>IFERROR(__xludf.DUMMYFUNCTION("""COMPUTED_VALUE"""),"FIFT")</f>
        <v>FIFT</v>
      </c>
      <c r="J2318" s="9" t="str">
        <f>IFERROR(__xludf.DUMMYFUNCTION("""COMPUTED_VALUE"""),"lf")</f>
        <v>lf</v>
      </c>
      <c r="K2318" s="9"/>
      <c r="L2318" s="9"/>
      <c r="M2318" s="9"/>
      <c r="N2318" s="9"/>
      <c r="O2318" s="9"/>
      <c r="P2318" s="9"/>
      <c r="Q2318" s="9"/>
      <c r="R2318" s="9"/>
      <c r="S2318" s="42"/>
      <c r="T2318" s="42"/>
      <c r="U2318" s="42"/>
      <c r="V2318" s="42"/>
      <c r="W2318" s="42"/>
      <c r="X2318" s="42"/>
      <c r="Y2318" s="42"/>
      <c r="Z2318" s="42"/>
      <c r="AA2318" s="42"/>
      <c r="AB2318" s="42" t="str">
        <f>IFERROR(__xludf.DUMMYFUNCTION("""COMPUTED_VALUE"""),"allen institute")</f>
        <v>allen institute</v>
      </c>
      <c r="AC2318" s="42" t="str">
        <f>IFERROR(__xludf.DUMMYFUNCTION("""COMPUTED_VALUE"""),"DHBA")</f>
        <v>DHBA</v>
      </c>
      <c r="AD2318" s="42"/>
      <c r="AE2318" s="42"/>
      <c r="AF2318" s="9"/>
      <c r="AG2318" s="9"/>
      <c r="AH2318" s="42"/>
      <c r="AI2318" s="42"/>
      <c r="AJ2318" s="42"/>
      <c r="AK2318" s="42"/>
      <c r="AL2318" s="42"/>
      <c r="AM2318" s="42"/>
      <c r="AN2318" s="42"/>
      <c r="AO2318" s="63" t="str">
        <f>IFERROR(__xludf.DUMMYFUNCTION("IF(ISBLANK(A2318),,IF(ISBLANK(S2318), A2318&amp;"";"", TEXTJOIN(CHAR(10), TRUE, A2318&amp;"";"", ARRAYFORMULA(VLOOKUP(SPLIT(S2318, "";"" &amp; CHAR(10)), $A:$AO, 41, FALSE)))))"),"lf;")</f>
        <v>lf;</v>
      </c>
      <c r="AP2318" s="89"/>
    </row>
    <row r="2319">
      <c r="A2319" s="151" t="str">
        <f>IFERROR(__xludf.DUMMYFUNCTION("""COMPUTED_VALUE"""),"mp")</f>
        <v>mp</v>
      </c>
      <c r="B2319" s="42" t="str">
        <f>IFERROR(__xludf.DUMMYFUNCTION("""COMPUTED_VALUE"""),"DHBA")</f>
        <v>DHBA</v>
      </c>
      <c r="C2319" s="42" t="str">
        <f>IFERROR(__xludf.DUMMYFUNCTION("""COMPUTED_VALUE"""),"mammillary peduncle")</f>
        <v>mammillary peduncle</v>
      </c>
      <c r="D2319" s="42">
        <f>IFERROR(__xludf.DUMMYFUNCTION("""COMPUTED_VALUE"""),2202.0)</f>
        <v>2202</v>
      </c>
      <c r="E2319" s="39" t="str">
        <f>IFERROR(__xludf.DUMMYFUNCTION("""COMPUTED_VALUE"""),"mammillary peduncle")</f>
        <v>mammillary peduncle</v>
      </c>
      <c r="F2319" s="9" t="str">
        <f>IFERROR(__xludf.DUMMYFUNCTION("""COMPUTED_VALUE"""),"Br")</f>
        <v>Br</v>
      </c>
      <c r="G2319" s="9" t="str">
        <f>IFERROR(__xludf.DUMMYFUNCTION("""COMPUTED_VALUE"""),"F")</f>
        <v>F</v>
      </c>
      <c r="H2319" s="9" t="str">
        <f>IFERROR(__xludf.DUMMYFUNCTION("""COMPUTED_VALUE"""),"FWM")</f>
        <v>FWM</v>
      </c>
      <c r="I2319" s="9" t="str">
        <f>IFERROR(__xludf.DUMMYFUNCTION("""COMPUTED_VALUE"""),"FIFT")</f>
        <v>FIFT</v>
      </c>
      <c r="J2319" s="9" t="str">
        <f>IFERROR(__xludf.DUMMYFUNCTION("""COMPUTED_VALUE"""),"mp")</f>
        <v>mp</v>
      </c>
      <c r="K2319" s="9"/>
      <c r="L2319" s="9"/>
      <c r="M2319" s="9"/>
      <c r="N2319" s="9"/>
      <c r="O2319" s="9"/>
      <c r="P2319" s="9"/>
      <c r="Q2319" s="9"/>
      <c r="R2319" s="9"/>
      <c r="S2319" s="42"/>
      <c r="T2319" s="42"/>
      <c r="U2319" s="42"/>
      <c r="V2319" s="42"/>
      <c r="W2319" s="42"/>
      <c r="X2319" s="42"/>
      <c r="Y2319" s="42"/>
      <c r="Z2319" s="42"/>
      <c r="AA2319" s="42"/>
      <c r="AB2319" s="42" t="str">
        <f>IFERROR(__xludf.DUMMYFUNCTION("""COMPUTED_VALUE"""),"allen institute")</f>
        <v>allen institute</v>
      </c>
      <c r="AC2319" s="42" t="str">
        <f>IFERROR(__xludf.DUMMYFUNCTION("""COMPUTED_VALUE"""),"DHBA")</f>
        <v>DHBA</v>
      </c>
      <c r="AD2319" s="42"/>
      <c r="AE2319" s="42"/>
      <c r="AF2319" s="9"/>
      <c r="AG2319" s="9"/>
      <c r="AH2319" s="42"/>
      <c r="AI2319" s="42"/>
      <c r="AJ2319" s="42"/>
      <c r="AK2319" s="42"/>
      <c r="AL2319" s="42"/>
      <c r="AM2319" s="42"/>
      <c r="AN2319" s="42"/>
      <c r="AO2319" s="63" t="str">
        <f>IFERROR(__xludf.DUMMYFUNCTION("IF(ISBLANK(A2319),,IF(ISBLANK(S2319), A2319&amp;"";"", TEXTJOIN(CHAR(10), TRUE, A2319&amp;"";"", ARRAYFORMULA(VLOOKUP(SPLIT(S2319, "";"" &amp; CHAR(10)), $A:$AO, 41, FALSE)))))"),"mp;")</f>
        <v>mp;</v>
      </c>
      <c r="AP2319" s="89"/>
    </row>
    <row r="2320">
      <c r="A2320" s="151" t="str">
        <f>IFERROR(__xludf.DUMMYFUNCTION("""COMPUTED_VALUE"""),"mtg")</f>
        <v>mtg</v>
      </c>
      <c r="B2320" s="42" t="str">
        <f>IFERROR(__xludf.DUMMYFUNCTION("""COMPUTED_VALUE"""),"DHBA")</f>
        <v>DHBA</v>
      </c>
      <c r="C2320" s="42" t="str">
        <f>IFERROR(__xludf.DUMMYFUNCTION("""COMPUTED_VALUE"""),"mammillotegmental tract")</f>
        <v>mammillotegmental tract</v>
      </c>
      <c r="D2320" s="42">
        <f>IFERROR(__xludf.DUMMYFUNCTION("""COMPUTED_VALUE"""),2203.0)</f>
        <v>2203</v>
      </c>
      <c r="E2320" s="39" t="str">
        <f>IFERROR(__xludf.DUMMYFUNCTION("""COMPUTED_VALUE"""),"mammillotegmental tract")</f>
        <v>mammillotegmental tract</v>
      </c>
      <c r="F2320" s="9" t="str">
        <f>IFERROR(__xludf.DUMMYFUNCTION("""COMPUTED_VALUE"""),"Br")</f>
        <v>Br</v>
      </c>
      <c r="G2320" s="9" t="str">
        <f>IFERROR(__xludf.DUMMYFUNCTION("""COMPUTED_VALUE"""),"F")</f>
        <v>F</v>
      </c>
      <c r="H2320" s="9" t="str">
        <f>IFERROR(__xludf.DUMMYFUNCTION("""COMPUTED_VALUE"""),"FWM")</f>
        <v>FWM</v>
      </c>
      <c r="I2320" s="9" t="str">
        <f>IFERROR(__xludf.DUMMYFUNCTION("""COMPUTED_VALUE"""),"FIFT")</f>
        <v>FIFT</v>
      </c>
      <c r="J2320" s="9" t="str">
        <f>IFERROR(__xludf.DUMMYFUNCTION("""COMPUTED_VALUE"""),"mtg")</f>
        <v>mtg</v>
      </c>
      <c r="K2320" s="9"/>
      <c r="L2320" s="9"/>
      <c r="M2320" s="9"/>
      <c r="N2320" s="9"/>
      <c r="O2320" s="9"/>
      <c r="P2320" s="9"/>
      <c r="Q2320" s="9"/>
      <c r="R2320" s="9"/>
      <c r="S2320" s="42"/>
      <c r="T2320" s="42"/>
      <c r="U2320" s="42" t="b">
        <f>IFERROR(__xludf.DUMMYFUNCTION("""COMPUTED_VALUE"""),FALSE)</f>
        <v>0</v>
      </c>
      <c r="V2320" s="42"/>
      <c r="W2320" s="42"/>
      <c r="X2320" s="42"/>
      <c r="Y2320" s="42"/>
      <c r="Z2320" s="42"/>
      <c r="AA2320" s="42"/>
      <c r="AB2320" s="42" t="str">
        <f>IFERROR(__xludf.DUMMYFUNCTION("""COMPUTED_VALUE"""),"allen institute")</f>
        <v>allen institute</v>
      </c>
      <c r="AC2320" s="42" t="str">
        <f>IFERROR(__xludf.DUMMYFUNCTION("""COMPUTED_VALUE"""),"DHBA")</f>
        <v>DHBA</v>
      </c>
      <c r="AD2320" s="42"/>
      <c r="AE2320" s="42"/>
      <c r="AF2320" s="9"/>
      <c r="AG2320" s="9"/>
      <c r="AH2320" s="42"/>
      <c r="AI2320" s="42"/>
      <c r="AJ2320" s="42"/>
      <c r="AK2320" s="42"/>
      <c r="AL2320" s="42"/>
      <c r="AM2320" s="42"/>
      <c r="AN2320" s="42"/>
      <c r="AO2320" s="63" t="str">
        <f>IFERROR(__xludf.DUMMYFUNCTION("IF(ISBLANK(A2320),,IF(ISBLANK(S2320), A2320&amp;"";"", TEXTJOIN(CHAR(10), TRUE, A2320&amp;"";"", ARRAYFORMULA(VLOOKUP(SPLIT(S2320, "";"" &amp; CHAR(10)), $A:$AO, 41, FALSE)))))"),"mtg;")</f>
        <v>mtg;</v>
      </c>
      <c r="AP2320" s="89"/>
    </row>
    <row r="2321">
      <c r="A2321" s="151" t="str">
        <f>IFERROR(__xludf.DUMMYFUNCTION("""COMPUTED_VALUE"""),"mtt")</f>
        <v>mtt</v>
      </c>
      <c r="B2321" s="42" t="str">
        <f>IFERROR(__xludf.DUMMYFUNCTION("""COMPUTED_VALUE"""),"DHBA")</f>
        <v>DHBA</v>
      </c>
      <c r="C2321" s="42" t="str">
        <f>IFERROR(__xludf.DUMMYFUNCTION("""COMPUTED_VALUE"""),"mammillothalamic tract")</f>
        <v>mammillothalamic tract</v>
      </c>
      <c r="D2321" s="42">
        <f>IFERROR(__xludf.DUMMYFUNCTION("""COMPUTED_VALUE"""),2204.0)</f>
        <v>2204</v>
      </c>
      <c r="E2321" s="39" t="str">
        <f>IFERROR(__xludf.DUMMYFUNCTION("""COMPUTED_VALUE"""),"mammillothalamic tract")</f>
        <v>mammillothalamic tract</v>
      </c>
      <c r="F2321" s="9" t="str">
        <f>IFERROR(__xludf.DUMMYFUNCTION("""COMPUTED_VALUE"""),"Br")</f>
        <v>Br</v>
      </c>
      <c r="G2321" s="9" t="str">
        <f>IFERROR(__xludf.DUMMYFUNCTION("""COMPUTED_VALUE"""),"F")</f>
        <v>F</v>
      </c>
      <c r="H2321" s="9" t="str">
        <f>IFERROR(__xludf.DUMMYFUNCTION("""COMPUTED_VALUE"""),"FWM")</f>
        <v>FWM</v>
      </c>
      <c r="I2321" s="9" t="str">
        <f>IFERROR(__xludf.DUMMYFUNCTION("""COMPUTED_VALUE"""),"FIFT")</f>
        <v>FIFT</v>
      </c>
      <c r="J2321" s="9" t="str">
        <f>IFERROR(__xludf.DUMMYFUNCTION("""COMPUTED_VALUE"""),"mtt")</f>
        <v>mtt</v>
      </c>
      <c r="K2321" s="9"/>
      <c r="L2321" s="9"/>
      <c r="M2321" s="9"/>
      <c r="N2321" s="9"/>
      <c r="O2321" s="9"/>
      <c r="P2321" s="9"/>
      <c r="Q2321" s="9"/>
      <c r="R2321" s="9"/>
      <c r="S2321" s="42"/>
      <c r="T2321" s="42"/>
      <c r="U2321" s="42"/>
      <c r="V2321" s="42"/>
      <c r="W2321" s="42"/>
      <c r="X2321" s="42"/>
      <c r="Y2321" s="42"/>
      <c r="Z2321" s="42"/>
      <c r="AA2321" s="42"/>
      <c r="AB2321" s="42" t="str">
        <f>IFERROR(__xludf.DUMMYFUNCTION("""COMPUTED_VALUE"""),"allen institute")</f>
        <v>allen institute</v>
      </c>
      <c r="AC2321" s="42" t="str">
        <f>IFERROR(__xludf.DUMMYFUNCTION("""COMPUTED_VALUE"""),"DHBA")</f>
        <v>DHBA</v>
      </c>
      <c r="AD2321" s="42"/>
      <c r="AE2321" s="42"/>
      <c r="AF2321" s="9"/>
      <c r="AG2321" s="9"/>
      <c r="AH2321" s="42"/>
      <c r="AI2321" s="42"/>
      <c r="AJ2321" s="42"/>
      <c r="AK2321" s="42"/>
      <c r="AL2321" s="42"/>
      <c r="AM2321" s="42"/>
      <c r="AN2321" s="42"/>
      <c r="AO2321" s="63" t="str">
        <f>IFERROR(__xludf.DUMMYFUNCTION("IF(ISBLANK(A2321),,IF(ISBLANK(S2321), A2321&amp;"";"", TEXTJOIN(CHAR(10), TRUE, A2321&amp;"";"", ARRAYFORMULA(VLOOKUP(SPLIT(S2321, "";"" &amp; CHAR(10)), $A:$AO, 41, FALSE)))))"),"mtt;")</f>
        <v>mtt;</v>
      </c>
      <c r="AP2321" s="89"/>
    </row>
    <row r="2322">
      <c r="A2322" s="151" t="str">
        <f>IFERROR(__xludf.DUMMYFUNCTION("""COMPUTED_VALUE"""),"mcht")</f>
        <v>mcht</v>
      </c>
      <c r="B2322" s="42" t="str">
        <f>IFERROR(__xludf.DUMMYFUNCTION("""COMPUTED_VALUE"""),"DHBA")</f>
        <v>DHBA</v>
      </c>
      <c r="C2322" s="42" t="str">
        <f>IFERROR(__xludf.DUMMYFUNCTION("""COMPUTED_VALUE"""),"medial corticohypothalamic tract")</f>
        <v>medial corticohypothalamic tract</v>
      </c>
      <c r="D2322" s="42">
        <f>IFERROR(__xludf.DUMMYFUNCTION("""COMPUTED_VALUE"""),2205.0)</f>
        <v>2205</v>
      </c>
      <c r="E2322" s="39" t="str">
        <f>IFERROR(__xludf.DUMMYFUNCTION("""COMPUTED_VALUE"""),"medial corticohypothalamic tract")</f>
        <v>medial corticohypothalamic tract</v>
      </c>
      <c r="F2322" s="9" t="str">
        <f>IFERROR(__xludf.DUMMYFUNCTION("""COMPUTED_VALUE"""),"Br")</f>
        <v>Br</v>
      </c>
      <c r="G2322" s="9" t="str">
        <f>IFERROR(__xludf.DUMMYFUNCTION("""COMPUTED_VALUE"""),"F")</f>
        <v>F</v>
      </c>
      <c r="H2322" s="9" t="str">
        <f>IFERROR(__xludf.DUMMYFUNCTION("""COMPUTED_VALUE"""),"FWM")</f>
        <v>FWM</v>
      </c>
      <c r="I2322" s="9" t="str">
        <f>IFERROR(__xludf.DUMMYFUNCTION("""COMPUTED_VALUE"""),"FIFT")</f>
        <v>FIFT</v>
      </c>
      <c r="J2322" s="9" t="str">
        <f>IFERROR(__xludf.DUMMYFUNCTION("""COMPUTED_VALUE"""),"mcht")</f>
        <v>mcht</v>
      </c>
      <c r="K2322" s="9"/>
      <c r="L2322" s="9"/>
      <c r="M2322" s="9"/>
      <c r="N2322" s="9"/>
      <c r="O2322" s="9"/>
      <c r="P2322" s="9"/>
      <c r="Q2322" s="9"/>
      <c r="R2322" s="9"/>
      <c r="S2322" s="42"/>
      <c r="T2322" s="42"/>
      <c r="U2322" s="42"/>
      <c r="V2322" s="42"/>
      <c r="W2322" s="42"/>
      <c r="X2322" s="42"/>
      <c r="Y2322" s="42"/>
      <c r="Z2322" s="42"/>
      <c r="AA2322" s="42"/>
      <c r="AB2322" s="42" t="str">
        <f>IFERROR(__xludf.DUMMYFUNCTION("""COMPUTED_VALUE"""),"allen institute")</f>
        <v>allen institute</v>
      </c>
      <c r="AC2322" s="42" t="str">
        <f>IFERROR(__xludf.DUMMYFUNCTION("""COMPUTED_VALUE"""),"DHBA")</f>
        <v>DHBA</v>
      </c>
      <c r="AD2322" s="42"/>
      <c r="AE2322" s="42"/>
      <c r="AF2322" s="9"/>
      <c r="AG2322" s="9"/>
      <c r="AH2322" s="42"/>
      <c r="AI2322" s="42"/>
      <c r="AJ2322" s="42"/>
      <c r="AK2322" s="42"/>
      <c r="AL2322" s="42"/>
      <c r="AM2322" s="42"/>
      <c r="AN2322" s="42"/>
      <c r="AO2322" s="63" t="str">
        <f>IFERROR(__xludf.DUMMYFUNCTION("IF(ISBLANK(A2322),,IF(ISBLANK(S2322), A2322&amp;"";"", TEXTJOIN(CHAR(10), TRUE, A2322&amp;"";"", ARRAYFORMULA(VLOOKUP(SPLIT(S2322, "";"" &amp; CHAR(10)), $A:$AO, 41, FALSE)))))"),"mcht;")</f>
        <v>mcht;</v>
      </c>
      <c r="AP2322" s="89"/>
    </row>
    <row r="2323">
      <c r="A2323" s="151" t="str">
        <f>IFERROR(__xludf.DUMMYFUNCTION("""COMPUTED_VALUE"""),"mfb")</f>
        <v>mfb</v>
      </c>
      <c r="B2323" s="42" t="str">
        <f>IFERROR(__xludf.DUMMYFUNCTION("""COMPUTED_VALUE"""),"DHBA")</f>
        <v>DHBA</v>
      </c>
      <c r="C2323" s="42" t="str">
        <f>IFERROR(__xludf.DUMMYFUNCTION("""COMPUTED_VALUE"""),"medial forebrain bundle")</f>
        <v>medial forebrain bundle</v>
      </c>
      <c r="D2323" s="42">
        <f>IFERROR(__xludf.DUMMYFUNCTION("""COMPUTED_VALUE"""),2206.0)</f>
        <v>2206</v>
      </c>
      <c r="E2323" s="39" t="str">
        <f>IFERROR(__xludf.DUMMYFUNCTION("""COMPUTED_VALUE"""),"medial forebrain bundle")</f>
        <v>medial forebrain bundle</v>
      </c>
      <c r="F2323" s="9" t="str">
        <f>IFERROR(__xludf.DUMMYFUNCTION("""COMPUTED_VALUE"""),"Br")</f>
        <v>Br</v>
      </c>
      <c r="G2323" s="9" t="str">
        <f>IFERROR(__xludf.DUMMYFUNCTION("""COMPUTED_VALUE"""),"F")</f>
        <v>F</v>
      </c>
      <c r="H2323" s="9" t="str">
        <f>IFERROR(__xludf.DUMMYFUNCTION("""COMPUTED_VALUE"""),"FWM")</f>
        <v>FWM</v>
      </c>
      <c r="I2323" s="9" t="str">
        <f>IFERROR(__xludf.DUMMYFUNCTION("""COMPUTED_VALUE"""),"FIFT")</f>
        <v>FIFT</v>
      </c>
      <c r="J2323" s="9" t="str">
        <f>IFERROR(__xludf.DUMMYFUNCTION("""COMPUTED_VALUE"""),"mfb")</f>
        <v>mfb</v>
      </c>
      <c r="K2323" s="9"/>
      <c r="L2323" s="9"/>
      <c r="M2323" s="9"/>
      <c r="N2323" s="9"/>
      <c r="O2323" s="9"/>
      <c r="P2323" s="9"/>
      <c r="Q2323" s="9"/>
      <c r="R2323" s="9"/>
      <c r="S2323" s="42"/>
      <c r="T2323" s="42"/>
      <c r="U2323" s="42"/>
      <c r="V2323" s="42"/>
      <c r="W2323" s="42"/>
      <c r="X2323" s="42"/>
      <c r="Y2323" s="42"/>
      <c r="Z2323" s="42"/>
      <c r="AA2323" s="42"/>
      <c r="AB2323" s="42" t="str">
        <f>IFERROR(__xludf.DUMMYFUNCTION("""COMPUTED_VALUE"""),"allen institute")</f>
        <v>allen institute</v>
      </c>
      <c r="AC2323" s="42" t="str">
        <f>IFERROR(__xludf.DUMMYFUNCTION("""COMPUTED_VALUE"""),"DHBA")</f>
        <v>DHBA</v>
      </c>
      <c r="AD2323" s="42"/>
      <c r="AE2323" s="42"/>
      <c r="AF2323" s="9"/>
      <c r="AG2323" s="9"/>
      <c r="AH2323" s="42"/>
      <c r="AI2323" s="42"/>
      <c r="AJ2323" s="42"/>
      <c r="AK2323" s="42"/>
      <c r="AL2323" s="42"/>
      <c r="AM2323" s="42"/>
      <c r="AN2323" s="42"/>
      <c r="AO2323" s="63" t="str">
        <f>IFERROR(__xludf.DUMMYFUNCTION("IF(ISBLANK(A2323),,IF(ISBLANK(S2323), A2323&amp;"";"", TEXTJOIN(CHAR(10), TRUE, A2323&amp;"";"", ARRAYFORMULA(VLOOKUP(SPLIT(S2323, "";"" &amp; CHAR(10)), $A:$AO, 41, FALSE)))))"),"mfb;")</f>
        <v>mfb;</v>
      </c>
      <c r="AP2323" s="89"/>
    </row>
    <row r="2324">
      <c r="A2324" s="151" t="str">
        <f>IFERROR(__xludf.DUMMYFUNCTION("""COMPUTED_VALUE"""),"mls")</f>
        <v>mls</v>
      </c>
      <c r="B2324" s="42" t="str">
        <f>IFERROR(__xludf.DUMMYFUNCTION("""COMPUTED_VALUE"""),"DHBA")</f>
        <v>DHBA</v>
      </c>
      <c r="C2324" s="42" t="str">
        <f>IFERROR(__xludf.DUMMYFUNCTION("""COMPUTED_VALUE"""),"medial longitudinal stria")</f>
        <v>medial longitudinal stria</v>
      </c>
      <c r="D2324" s="42">
        <f>IFERROR(__xludf.DUMMYFUNCTION("""COMPUTED_VALUE"""),2207.0)</f>
        <v>2207</v>
      </c>
      <c r="E2324" s="39" t="str">
        <f>IFERROR(__xludf.DUMMYFUNCTION("""COMPUTED_VALUE"""),"medial longitudinal stria")</f>
        <v>medial longitudinal stria</v>
      </c>
      <c r="F2324" s="9" t="str">
        <f>IFERROR(__xludf.DUMMYFUNCTION("""COMPUTED_VALUE"""),"Br")</f>
        <v>Br</v>
      </c>
      <c r="G2324" s="9" t="str">
        <f>IFERROR(__xludf.DUMMYFUNCTION("""COMPUTED_VALUE"""),"F")</f>
        <v>F</v>
      </c>
      <c r="H2324" s="9" t="str">
        <f>IFERROR(__xludf.DUMMYFUNCTION("""COMPUTED_VALUE"""),"FWM")</f>
        <v>FWM</v>
      </c>
      <c r="I2324" s="9" t="str">
        <f>IFERROR(__xludf.DUMMYFUNCTION("""COMPUTED_VALUE"""),"FIFT")</f>
        <v>FIFT</v>
      </c>
      <c r="J2324" s="9" t="str">
        <f>IFERROR(__xludf.DUMMYFUNCTION("""COMPUTED_VALUE"""),"mls")</f>
        <v>mls</v>
      </c>
      <c r="K2324" s="9"/>
      <c r="L2324" s="9"/>
      <c r="M2324" s="9"/>
      <c r="N2324" s="9"/>
      <c r="O2324" s="9"/>
      <c r="P2324" s="9"/>
      <c r="Q2324" s="9"/>
      <c r="R2324" s="9"/>
      <c r="S2324" s="42"/>
      <c r="T2324" s="42"/>
      <c r="U2324" s="42"/>
      <c r="V2324" s="42"/>
      <c r="W2324" s="42"/>
      <c r="X2324" s="42"/>
      <c r="Y2324" s="42"/>
      <c r="Z2324" s="42"/>
      <c r="AA2324" s="42"/>
      <c r="AB2324" s="42" t="str">
        <f>IFERROR(__xludf.DUMMYFUNCTION("""COMPUTED_VALUE"""),"allen institute")</f>
        <v>allen institute</v>
      </c>
      <c r="AC2324" s="42" t="str">
        <f>IFERROR(__xludf.DUMMYFUNCTION("""COMPUTED_VALUE"""),"DHBA")</f>
        <v>DHBA</v>
      </c>
      <c r="AD2324" s="42"/>
      <c r="AE2324" s="42"/>
      <c r="AF2324" s="9"/>
      <c r="AG2324" s="9"/>
      <c r="AH2324" s="42"/>
      <c r="AI2324" s="42"/>
      <c r="AJ2324" s="42"/>
      <c r="AK2324" s="42"/>
      <c r="AL2324" s="42"/>
      <c r="AM2324" s="42"/>
      <c r="AN2324" s="42"/>
      <c r="AO2324" s="63" t="str">
        <f>IFERROR(__xludf.DUMMYFUNCTION("IF(ISBLANK(A2324),,IF(ISBLANK(S2324), A2324&amp;"";"", TEXTJOIN(CHAR(10), TRUE, A2324&amp;"";"", ARRAYFORMULA(VLOOKUP(SPLIT(S2324, "";"" &amp; CHAR(10)), $A:$AO, 41, FALSE)))))"),"mls;")</f>
        <v>mls;</v>
      </c>
      <c r="AP2324" s="89"/>
    </row>
    <row r="2325">
      <c r="A2325" s="151" t="str">
        <f>IFERROR(__xludf.DUMMYFUNCTION("""COMPUTED_VALUE"""),"or-lp")</f>
        <v>or-lp</v>
      </c>
      <c r="B2325" s="42" t="str">
        <f>IFERROR(__xludf.DUMMYFUNCTION("""COMPUTED_VALUE"""),"DHBA")</f>
        <v>DHBA</v>
      </c>
      <c r="C2325" s="42" t="str">
        <f>IFERROR(__xludf.DUMMYFUNCTION("""COMPUTED_VALUE"""),"Meyer's loop of optic radiation")</f>
        <v>Meyer's loop of optic radiation</v>
      </c>
      <c r="D2325" s="42">
        <f>IFERROR(__xludf.DUMMYFUNCTION("""COMPUTED_VALUE"""),2208.0)</f>
        <v>2208</v>
      </c>
      <c r="E2325" s="39" t="str">
        <f>IFERROR(__xludf.DUMMYFUNCTION("""COMPUTED_VALUE"""),"Meyer's loop of optic radiation")</f>
        <v>Meyer's loop of optic radiation</v>
      </c>
      <c r="F2325" s="9" t="str">
        <f>IFERROR(__xludf.DUMMYFUNCTION("""COMPUTED_VALUE"""),"Br")</f>
        <v>Br</v>
      </c>
      <c r="G2325" s="9" t="str">
        <f>IFERROR(__xludf.DUMMYFUNCTION("""COMPUTED_VALUE"""),"F")</f>
        <v>F</v>
      </c>
      <c r="H2325" s="9" t="str">
        <f>IFERROR(__xludf.DUMMYFUNCTION("""COMPUTED_VALUE"""),"FWM")</f>
        <v>FWM</v>
      </c>
      <c r="I2325" s="9" t="str">
        <f>IFERROR(__xludf.DUMMYFUNCTION("""COMPUTED_VALUE"""),"FIFT")</f>
        <v>FIFT</v>
      </c>
      <c r="J2325" s="9" t="str">
        <f>IFERROR(__xludf.DUMMYFUNCTION("""COMPUTED_VALUE"""),"or-lp")</f>
        <v>or-lp</v>
      </c>
      <c r="K2325" s="9"/>
      <c r="L2325" s="9"/>
      <c r="M2325" s="9"/>
      <c r="N2325" s="9"/>
      <c r="O2325" s="9"/>
      <c r="P2325" s="9"/>
      <c r="Q2325" s="9"/>
      <c r="R2325" s="9"/>
      <c r="S2325" s="42"/>
      <c r="T2325" s="42"/>
      <c r="U2325" s="42"/>
      <c r="V2325" s="42"/>
      <c r="W2325" s="42"/>
      <c r="X2325" s="42"/>
      <c r="Y2325" s="42"/>
      <c r="Z2325" s="42"/>
      <c r="AA2325" s="42"/>
      <c r="AB2325" s="42" t="str">
        <f>IFERROR(__xludf.DUMMYFUNCTION("""COMPUTED_VALUE"""),"allen institute")</f>
        <v>allen institute</v>
      </c>
      <c r="AC2325" s="42" t="str">
        <f>IFERROR(__xludf.DUMMYFUNCTION("""COMPUTED_VALUE"""),"DHBA")</f>
        <v>DHBA</v>
      </c>
      <c r="AD2325" s="42"/>
      <c r="AE2325" s="42"/>
      <c r="AF2325" s="9"/>
      <c r="AG2325" s="9"/>
      <c r="AH2325" s="42"/>
      <c r="AI2325" s="42"/>
      <c r="AJ2325" s="42"/>
      <c r="AK2325" s="42"/>
      <c r="AL2325" s="42"/>
      <c r="AM2325" s="42"/>
      <c r="AN2325" s="42"/>
      <c r="AO2325" s="63" t="str">
        <f>IFERROR(__xludf.DUMMYFUNCTION("IF(ISBLANK(A2325),,IF(ISBLANK(S2325), A2325&amp;"";"", TEXTJOIN(CHAR(10), TRUE, A2325&amp;"";"", ARRAYFORMULA(VLOOKUP(SPLIT(S2325, "";"" &amp; CHAR(10)), $A:$AO, 41, FALSE)))))"),"or-lp;")</f>
        <v>or-lp;</v>
      </c>
      <c r="AP2325" s="89"/>
    </row>
    <row r="2326">
      <c r="A2326" s="151" t="str">
        <f>IFERROR(__xludf.DUMMYFUNCTION("""COMPUTED_VALUE"""),"milf")</f>
        <v>milf</v>
      </c>
      <c r="B2326" s="42" t="str">
        <f>IFERROR(__xludf.DUMMYFUNCTION("""COMPUTED_VALUE"""),"DHBA")</f>
        <v>DHBA</v>
      </c>
      <c r="C2326" s="42" t="str">
        <f>IFERROR(__xludf.DUMMYFUNCTION("""COMPUTED_VALUE"""),"middle longitudinal fasciculus")</f>
        <v>middle longitudinal fasciculus</v>
      </c>
      <c r="D2326" s="42">
        <f>IFERROR(__xludf.DUMMYFUNCTION("""COMPUTED_VALUE"""),2209.0)</f>
        <v>2209</v>
      </c>
      <c r="E2326" s="39" t="str">
        <f>IFERROR(__xludf.DUMMYFUNCTION("""COMPUTED_VALUE"""),"middle longitudinal fasciculus")</f>
        <v>middle longitudinal fasciculus</v>
      </c>
      <c r="F2326" s="9" t="str">
        <f>IFERROR(__xludf.DUMMYFUNCTION("""COMPUTED_VALUE"""),"Br")</f>
        <v>Br</v>
      </c>
      <c r="G2326" s="9" t="str">
        <f>IFERROR(__xludf.DUMMYFUNCTION("""COMPUTED_VALUE"""),"F")</f>
        <v>F</v>
      </c>
      <c r="H2326" s="9" t="str">
        <f>IFERROR(__xludf.DUMMYFUNCTION("""COMPUTED_VALUE"""),"FWM")</f>
        <v>FWM</v>
      </c>
      <c r="I2326" s="9" t="str">
        <f>IFERROR(__xludf.DUMMYFUNCTION("""COMPUTED_VALUE"""),"FIFT")</f>
        <v>FIFT</v>
      </c>
      <c r="J2326" s="9" t="str">
        <f>IFERROR(__xludf.DUMMYFUNCTION("""COMPUTED_VALUE"""),"milf")</f>
        <v>milf</v>
      </c>
      <c r="K2326" s="9"/>
      <c r="L2326" s="9"/>
      <c r="M2326" s="9"/>
      <c r="N2326" s="9"/>
      <c r="O2326" s="9"/>
      <c r="P2326" s="9"/>
      <c r="Q2326" s="9"/>
      <c r="R2326" s="9"/>
      <c r="S2326" s="42"/>
      <c r="T2326" s="42"/>
      <c r="U2326" s="42"/>
      <c r="V2326" s="42"/>
      <c r="W2326" s="42"/>
      <c r="X2326" s="42"/>
      <c r="Y2326" s="42"/>
      <c r="Z2326" s="42"/>
      <c r="AA2326" s="42"/>
      <c r="AB2326" s="42" t="str">
        <f>IFERROR(__xludf.DUMMYFUNCTION("""COMPUTED_VALUE"""),"allen institute")</f>
        <v>allen institute</v>
      </c>
      <c r="AC2326" s="42" t="str">
        <f>IFERROR(__xludf.DUMMYFUNCTION("""COMPUTED_VALUE"""),"DHBA")</f>
        <v>DHBA</v>
      </c>
      <c r="AD2326" s="42"/>
      <c r="AE2326" s="42"/>
      <c r="AF2326" s="9"/>
      <c r="AG2326" s="9"/>
      <c r="AH2326" s="42"/>
      <c r="AI2326" s="42"/>
      <c r="AJ2326" s="42"/>
      <c r="AK2326" s="42"/>
      <c r="AL2326" s="42"/>
      <c r="AM2326" s="42"/>
      <c r="AN2326" s="42"/>
      <c r="AO2326" s="63" t="str">
        <f>IFERROR(__xludf.DUMMYFUNCTION("IF(ISBLANK(A2326),,IF(ISBLANK(S2326), A2326&amp;"";"", TEXTJOIN(CHAR(10), TRUE, A2326&amp;"";"", ARRAYFORMULA(VLOOKUP(SPLIT(S2326, "";"" &amp; CHAR(10)), $A:$AO, 41, FALSE)))))"),"milf;")</f>
        <v>milf;</v>
      </c>
      <c r="AP2326" s="89"/>
    </row>
    <row r="2327">
      <c r="A2327" s="151" t="str">
        <f>IFERROR(__xludf.DUMMYFUNCTION("""COMPUTED_VALUE"""),"npa")</f>
        <v>npa</v>
      </c>
      <c r="B2327" s="42" t="str">
        <f>IFERROR(__xludf.DUMMYFUNCTION("""COMPUTED_VALUE"""),"DHBA")</f>
        <v>DHBA</v>
      </c>
      <c r="C2327" s="42" t="str">
        <f>IFERROR(__xludf.DUMMYFUNCTION("""COMPUTED_VALUE"""),"nigropallidal tract")</f>
        <v>nigropallidal tract</v>
      </c>
      <c r="D2327" s="42">
        <f>IFERROR(__xludf.DUMMYFUNCTION("""COMPUTED_VALUE"""),2210.0)</f>
        <v>2210</v>
      </c>
      <c r="E2327" s="39" t="str">
        <f>IFERROR(__xludf.DUMMYFUNCTION("""COMPUTED_VALUE"""),"nigropallidal tract")</f>
        <v>nigropallidal tract</v>
      </c>
      <c r="F2327" s="9" t="str">
        <f>IFERROR(__xludf.DUMMYFUNCTION("""COMPUTED_VALUE"""),"Br")</f>
        <v>Br</v>
      </c>
      <c r="G2327" s="9" t="str">
        <f>IFERROR(__xludf.DUMMYFUNCTION("""COMPUTED_VALUE"""),"F")</f>
        <v>F</v>
      </c>
      <c r="H2327" s="9" t="str">
        <f>IFERROR(__xludf.DUMMYFUNCTION("""COMPUTED_VALUE"""),"FWM")</f>
        <v>FWM</v>
      </c>
      <c r="I2327" s="9" t="str">
        <f>IFERROR(__xludf.DUMMYFUNCTION("""COMPUTED_VALUE"""),"FIFT")</f>
        <v>FIFT</v>
      </c>
      <c r="J2327" s="9" t="str">
        <f>IFERROR(__xludf.DUMMYFUNCTION("""COMPUTED_VALUE"""),"npa")</f>
        <v>npa</v>
      </c>
      <c r="K2327" s="9"/>
      <c r="L2327" s="9"/>
      <c r="M2327" s="9"/>
      <c r="N2327" s="9"/>
      <c r="O2327" s="9"/>
      <c r="P2327" s="9"/>
      <c r="Q2327" s="9"/>
      <c r="R2327" s="9"/>
      <c r="S2327" s="42"/>
      <c r="T2327" s="42"/>
      <c r="U2327" s="42"/>
      <c r="V2327" s="42"/>
      <c r="W2327" s="42"/>
      <c r="X2327" s="42"/>
      <c r="Y2327" s="42"/>
      <c r="Z2327" s="42"/>
      <c r="AA2327" s="42"/>
      <c r="AB2327" s="42" t="str">
        <f>IFERROR(__xludf.DUMMYFUNCTION("""COMPUTED_VALUE"""),"allen institute")</f>
        <v>allen institute</v>
      </c>
      <c r="AC2327" s="42" t="str">
        <f>IFERROR(__xludf.DUMMYFUNCTION("""COMPUTED_VALUE"""),"DHBA")</f>
        <v>DHBA</v>
      </c>
      <c r="AD2327" s="42"/>
      <c r="AE2327" s="42"/>
      <c r="AF2327" s="9"/>
      <c r="AG2327" s="9"/>
      <c r="AH2327" s="42"/>
      <c r="AI2327" s="42"/>
      <c r="AJ2327" s="42"/>
      <c r="AK2327" s="42"/>
      <c r="AL2327" s="42"/>
      <c r="AM2327" s="42"/>
      <c r="AN2327" s="42"/>
      <c r="AO2327" s="63" t="str">
        <f>IFERROR(__xludf.DUMMYFUNCTION("IF(ISBLANK(A2327),,IF(ISBLANK(S2327), A2327&amp;"";"", TEXTJOIN(CHAR(10), TRUE, A2327&amp;"";"", ARRAYFORMULA(VLOOKUP(SPLIT(S2327, "";"" &amp; CHAR(10)), $A:$AO, 41, FALSE)))))"),"npa;")</f>
        <v>npa;</v>
      </c>
      <c r="AP2327" s="89"/>
    </row>
    <row r="2328">
      <c r="A2328" s="151" t="str">
        <f>IFERROR(__xludf.DUMMYFUNCTION("""COMPUTED_VALUE"""),"nst")</f>
        <v>nst</v>
      </c>
      <c r="B2328" s="42" t="str">
        <f>IFERROR(__xludf.DUMMYFUNCTION("""COMPUTED_VALUE"""),"DHBA")</f>
        <v>DHBA</v>
      </c>
      <c r="C2328" s="42" t="str">
        <f>IFERROR(__xludf.DUMMYFUNCTION("""COMPUTED_VALUE"""),"nigrostriate tract")</f>
        <v>nigrostriate tract</v>
      </c>
      <c r="D2328" s="42">
        <f>IFERROR(__xludf.DUMMYFUNCTION("""COMPUTED_VALUE"""),2211.0)</f>
        <v>2211</v>
      </c>
      <c r="E2328" s="39" t="str">
        <f>IFERROR(__xludf.DUMMYFUNCTION("""COMPUTED_VALUE"""),"nigrostriate tract")</f>
        <v>nigrostriate tract</v>
      </c>
      <c r="F2328" s="9" t="str">
        <f>IFERROR(__xludf.DUMMYFUNCTION("""COMPUTED_VALUE"""),"Br")</f>
        <v>Br</v>
      </c>
      <c r="G2328" s="9" t="str">
        <f>IFERROR(__xludf.DUMMYFUNCTION("""COMPUTED_VALUE"""),"F")</f>
        <v>F</v>
      </c>
      <c r="H2328" s="9" t="str">
        <f>IFERROR(__xludf.DUMMYFUNCTION("""COMPUTED_VALUE"""),"FWM")</f>
        <v>FWM</v>
      </c>
      <c r="I2328" s="9" t="str">
        <f>IFERROR(__xludf.DUMMYFUNCTION("""COMPUTED_VALUE"""),"FIFT")</f>
        <v>FIFT</v>
      </c>
      <c r="J2328" s="9" t="str">
        <f>IFERROR(__xludf.DUMMYFUNCTION("""COMPUTED_VALUE"""),"nst")</f>
        <v>nst</v>
      </c>
      <c r="K2328" s="9"/>
      <c r="L2328" s="9"/>
      <c r="M2328" s="9"/>
      <c r="N2328" s="9"/>
      <c r="O2328" s="9"/>
      <c r="P2328" s="9"/>
      <c r="Q2328" s="9"/>
      <c r="R2328" s="9"/>
      <c r="S2328" s="42"/>
      <c r="T2328" s="42"/>
      <c r="U2328" s="42"/>
      <c r="V2328" s="42"/>
      <c r="W2328" s="42"/>
      <c r="X2328" s="42"/>
      <c r="Y2328" s="42"/>
      <c r="Z2328" s="42"/>
      <c r="AA2328" s="42"/>
      <c r="AB2328" s="42" t="str">
        <f>IFERROR(__xludf.DUMMYFUNCTION("""COMPUTED_VALUE"""),"allen institute")</f>
        <v>allen institute</v>
      </c>
      <c r="AC2328" s="42" t="str">
        <f>IFERROR(__xludf.DUMMYFUNCTION("""COMPUTED_VALUE"""),"DHBA")</f>
        <v>DHBA</v>
      </c>
      <c r="AD2328" s="42"/>
      <c r="AE2328" s="42"/>
      <c r="AF2328" s="9"/>
      <c r="AG2328" s="9"/>
      <c r="AH2328" s="42"/>
      <c r="AI2328" s="42"/>
      <c r="AJ2328" s="42"/>
      <c r="AK2328" s="42"/>
      <c r="AL2328" s="42"/>
      <c r="AM2328" s="42"/>
      <c r="AN2328" s="42"/>
      <c r="AO2328" s="63" t="str">
        <f>IFERROR(__xludf.DUMMYFUNCTION("IF(ISBLANK(A2328),,IF(ISBLANK(S2328), A2328&amp;"";"", TEXTJOIN(CHAR(10), TRUE, A2328&amp;"";"", ARRAYFORMULA(VLOOKUP(SPLIT(S2328, "";"" &amp; CHAR(10)), $A:$AO, 41, FALSE)))))"),"nst;")</f>
        <v>nst;</v>
      </c>
      <c r="AP2328" s="89"/>
    </row>
    <row r="2329">
      <c r="A2329" s="151" t="str">
        <f>IFERROR(__xludf.DUMMYFUNCTION("""COMPUTED_VALUE"""),"off")</f>
        <v>off</v>
      </c>
      <c r="B2329" s="42" t="str">
        <f>IFERROR(__xludf.DUMMYFUNCTION("""COMPUTED_VALUE"""),"DHBA")</f>
        <v>DHBA</v>
      </c>
      <c r="C2329" s="42" t="str">
        <f>IFERROR(__xludf.DUMMYFUNCTION("""COMPUTED_VALUE"""),"occipitofrontal fasciculus")</f>
        <v>occipitofrontal fasciculus</v>
      </c>
      <c r="D2329" s="42">
        <f>IFERROR(__xludf.DUMMYFUNCTION("""COMPUTED_VALUE"""),2212.0)</f>
        <v>2212</v>
      </c>
      <c r="E2329" s="39" t="str">
        <f>IFERROR(__xludf.DUMMYFUNCTION("""COMPUTED_VALUE"""),"occipitofrontal fasciculus")</f>
        <v>occipitofrontal fasciculus</v>
      </c>
      <c r="F2329" s="9" t="str">
        <f>IFERROR(__xludf.DUMMYFUNCTION("""COMPUTED_VALUE"""),"Br")</f>
        <v>Br</v>
      </c>
      <c r="G2329" s="9" t="str">
        <f>IFERROR(__xludf.DUMMYFUNCTION("""COMPUTED_VALUE"""),"F")</f>
        <v>F</v>
      </c>
      <c r="H2329" s="9" t="str">
        <f>IFERROR(__xludf.DUMMYFUNCTION("""COMPUTED_VALUE"""),"FWM")</f>
        <v>FWM</v>
      </c>
      <c r="I2329" s="9" t="str">
        <f>IFERROR(__xludf.DUMMYFUNCTION("""COMPUTED_VALUE"""),"FIFT")</f>
        <v>FIFT</v>
      </c>
      <c r="J2329" s="9" t="str">
        <f>IFERROR(__xludf.DUMMYFUNCTION("""COMPUTED_VALUE"""),"off")</f>
        <v>off</v>
      </c>
      <c r="K2329" s="9"/>
      <c r="L2329" s="9"/>
      <c r="M2329" s="9"/>
      <c r="N2329" s="9"/>
      <c r="O2329" s="9"/>
      <c r="P2329" s="9"/>
      <c r="Q2329" s="9"/>
      <c r="R2329" s="9"/>
      <c r="S2329" s="42" t="str">
        <f>IFERROR(__xludf.DUMMYFUNCTION("""COMPUTED_VALUE"""),"offi;
offs")</f>
        <v>offi;
offs</v>
      </c>
      <c r="T2329" s="42"/>
      <c r="U2329" s="42" t="b">
        <f>IFERROR(__xludf.DUMMYFUNCTION("""COMPUTED_VALUE"""),FALSE)</f>
        <v>0</v>
      </c>
      <c r="V2329" s="42"/>
      <c r="W2329" s="42"/>
      <c r="X2329" s="42"/>
      <c r="Y2329" s="42"/>
      <c r="Z2329" s="42"/>
      <c r="AA2329" s="42"/>
      <c r="AB2329" s="42" t="str">
        <f>IFERROR(__xludf.DUMMYFUNCTION("""COMPUTED_VALUE"""),"allen institute")</f>
        <v>allen institute</v>
      </c>
      <c r="AC2329" s="42" t="str">
        <f>IFERROR(__xludf.DUMMYFUNCTION("""COMPUTED_VALUE"""),"DHBA")</f>
        <v>DHBA</v>
      </c>
      <c r="AD2329" s="42"/>
      <c r="AE2329" s="42"/>
      <c r="AF2329" s="9"/>
      <c r="AG2329" s="9"/>
      <c r="AH2329" s="42"/>
      <c r="AI2329" s="42"/>
      <c r="AJ2329" s="42"/>
      <c r="AK2329" s="42"/>
      <c r="AL2329" s="42"/>
      <c r="AM2329" s="42"/>
      <c r="AN2329" s="42"/>
      <c r="AO2329" s="63" t="str">
        <f>IFERROR(__xludf.DUMMYFUNCTION("IF(ISBLANK(A2329),,IF(ISBLANK(S2329), A2329&amp;"";"", TEXTJOIN(CHAR(10), TRUE, A2329&amp;"";"", ARRAYFORMULA(VLOOKUP(SPLIT(S2329, "";"" &amp; CHAR(10)), $A:$AO, 41, FALSE)))))"),"off;
offi;
offs;")</f>
        <v>off;
offi;
offs;</v>
      </c>
      <c r="AP2329" s="89"/>
    </row>
    <row r="2330">
      <c r="A2330" s="151" t="str">
        <f>IFERROR(__xludf.DUMMYFUNCTION("""COMPUTED_VALUE"""),"offi")</f>
        <v>offi</v>
      </c>
      <c r="B2330" s="42" t="str">
        <f>IFERROR(__xludf.DUMMYFUNCTION("""COMPUTED_VALUE"""),"DHBA")</f>
        <v>DHBA</v>
      </c>
      <c r="C2330" s="42" t="str">
        <f>IFERROR(__xludf.DUMMYFUNCTION("""COMPUTED_VALUE"""),"inferior occipitofrontal fasciculus")</f>
        <v>inferior occipitofrontal fasciculus</v>
      </c>
      <c r="D2330" s="42">
        <f>IFERROR(__xludf.DUMMYFUNCTION("""COMPUTED_VALUE"""),2213.0)</f>
        <v>2213</v>
      </c>
      <c r="E2330" s="39" t="str">
        <f>IFERROR(__xludf.DUMMYFUNCTION("""COMPUTED_VALUE"""),"inferior occipitofrontal fasciculus")</f>
        <v>inferior occipitofrontal fasciculus</v>
      </c>
      <c r="F2330" s="9" t="str">
        <f>IFERROR(__xludf.DUMMYFUNCTION("""COMPUTED_VALUE"""),"Br")</f>
        <v>Br</v>
      </c>
      <c r="G2330" s="9" t="str">
        <f>IFERROR(__xludf.DUMMYFUNCTION("""COMPUTED_VALUE"""),"F")</f>
        <v>F</v>
      </c>
      <c r="H2330" s="9" t="str">
        <f>IFERROR(__xludf.DUMMYFUNCTION("""COMPUTED_VALUE"""),"FWM")</f>
        <v>FWM</v>
      </c>
      <c r="I2330" s="9" t="str">
        <f>IFERROR(__xludf.DUMMYFUNCTION("""COMPUTED_VALUE"""),"FIFT")</f>
        <v>FIFT</v>
      </c>
      <c r="J2330" s="9" t="str">
        <f>IFERROR(__xludf.DUMMYFUNCTION("""COMPUTED_VALUE"""),"off")</f>
        <v>off</v>
      </c>
      <c r="K2330" s="9" t="str">
        <f>IFERROR(__xludf.DUMMYFUNCTION("""COMPUTED_VALUE"""),"offi")</f>
        <v>offi</v>
      </c>
      <c r="L2330" s="9"/>
      <c r="M2330" s="9"/>
      <c r="N2330" s="9"/>
      <c r="O2330" s="9"/>
      <c r="P2330" s="9"/>
      <c r="Q2330" s="9"/>
      <c r="R2330" s="9"/>
      <c r="S2330" s="42"/>
      <c r="T2330" s="42"/>
      <c r="U2330" s="42"/>
      <c r="V2330" s="42"/>
      <c r="W2330" s="42"/>
      <c r="X2330" s="42"/>
      <c r="Y2330" s="42"/>
      <c r="Z2330" s="42"/>
      <c r="AA2330" s="42"/>
      <c r="AB2330" s="42" t="str">
        <f>IFERROR(__xludf.DUMMYFUNCTION("""COMPUTED_VALUE"""),"allen institute")</f>
        <v>allen institute</v>
      </c>
      <c r="AC2330" s="42" t="str">
        <f>IFERROR(__xludf.DUMMYFUNCTION("""COMPUTED_VALUE"""),"DHBA")</f>
        <v>DHBA</v>
      </c>
      <c r="AD2330" s="42"/>
      <c r="AE2330" s="42"/>
      <c r="AF2330" s="9"/>
      <c r="AG2330" s="9"/>
      <c r="AH2330" s="42"/>
      <c r="AI2330" s="42"/>
      <c r="AJ2330" s="42"/>
      <c r="AK2330" s="42"/>
      <c r="AL2330" s="42"/>
      <c r="AM2330" s="42"/>
      <c r="AN2330" s="42"/>
      <c r="AO2330" s="63" t="str">
        <f>IFERROR(__xludf.DUMMYFUNCTION("IF(ISBLANK(A2330),,IF(ISBLANK(S2330), A2330&amp;"";"", TEXTJOIN(CHAR(10), TRUE, A2330&amp;"";"", ARRAYFORMULA(VLOOKUP(SPLIT(S2330, "";"" &amp; CHAR(10)), $A:$AO, 41, FALSE)))))"),"offi;")</f>
        <v>offi;</v>
      </c>
      <c r="AP2330" s="89"/>
    </row>
    <row r="2331">
      <c r="A2331" s="151" t="str">
        <f>IFERROR(__xludf.DUMMYFUNCTION("""COMPUTED_VALUE"""),"offs")</f>
        <v>offs</v>
      </c>
      <c r="B2331" s="42" t="str">
        <f>IFERROR(__xludf.DUMMYFUNCTION("""COMPUTED_VALUE"""),"DHBA")</f>
        <v>DHBA</v>
      </c>
      <c r="C2331" s="42" t="str">
        <f>IFERROR(__xludf.DUMMYFUNCTION("""COMPUTED_VALUE"""),"superior occipitofrontal fasciculus")</f>
        <v>superior occipitofrontal fasciculus</v>
      </c>
      <c r="D2331" s="42">
        <f>IFERROR(__xludf.DUMMYFUNCTION("""COMPUTED_VALUE"""),2214.0)</f>
        <v>2214</v>
      </c>
      <c r="E2331" s="39" t="str">
        <f>IFERROR(__xludf.DUMMYFUNCTION("""COMPUTED_VALUE"""),"superior occipitofrontal fasciculus")</f>
        <v>superior occipitofrontal fasciculus</v>
      </c>
      <c r="F2331" s="9" t="str">
        <f>IFERROR(__xludf.DUMMYFUNCTION("""COMPUTED_VALUE"""),"Br")</f>
        <v>Br</v>
      </c>
      <c r="G2331" s="9" t="str">
        <f>IFERROR(__xludf.DUMMYFUNCTION("""COMPUTED_VALUE"""),"F")</f>
        <v>F</v>
      </c>
      <c r="H2331" s="9" t="str">
        <f>IFERROR(__xludf.DUMMYFUNCTION("""COMPUTED_VALUE"""),"FWM")</f>
        <v>FWM</v>
      </c>
      <c r="I2331" s="9" t="str">
        <f>IFERROR(__xludf.DUMMYFUNCTION("""COMPUTED_VALUE"""),"FIFT")</f>
        <v>FIFT</v>
      </c>
      <c r="J2331" s="9" t="str">
        <f>IFERROR(__xludf.DUMMYFUNCTION("""COMPUTED_VALUE"""),"off")</f>
        <v>off</v>
      </c>
      <c r="K2331" s="9" t="str">
        <f>IFERROR(__xludf.DUMMYFUNCTION("""COMPUTED_VALUE"""),"offs")</f>
        <v>offs</v>
      </c>
      <c r="L2331" s="9"/>
      <c r="M2331" s="9"/>
      <c r="N2331" s="9"/>
      <c r="O2331" s="9"/>
      <c r="P2331" s="9"/>
      <c r="Q2331" s="9"/>
      <c r="R2331" s="9"/>
      <c r="S2331" s="42"/>
      <c r="T2331" s="42"/>
      <c r="U2331" s="42"/>
      <c r="V2331" s="42"/>
      <c r="W2331" s="42"/>
      <c r="X2331" s="42"/>
      <c r="Y2331" s="42"/>
      <c r="Z2331" s="42"/>
      <c r="AA2331" s="42"/>
      <c r="AB2331" s="42" t="str">
        <f>IFERROR(__xludf.DUMMYFUNCTION("""COMPUTED_VALUE"""),"allen institute")</f>
        <v>allen institute</v>
      </c>
      <c r="AC2331" s="42" t="str">
        <f>IFERROR(__xludf.DUMMYFUNCTION("""COMPUTED_VALUE"""),"DHBA")</f>
        <v>DHBA</v>
      </c>
      <c r="AD2331" s="42"/>
      <c r="AE2331" s="42"/>
      <c r="AF2331" s="9"/>
      <c r="AG2331" s="9"/>
      <c r="AH2331" s="42"/>
      <c r="AI2331" s="42"/>
      <c r="AJ2331" s="42"/>
      <c r="AK2331" s="42"/>
      <c r="AL2331" s="42"/>
      <c r="AM2331" s="42"/>
      <c r="AN2331" s="42"/>
      <c r="AO2331" s="63" t="str">
        <f>IFERROR(__xludf.DUMMYFUNCTION("IF(ISBLANK(A2331),,IF(ISBLANK(S2331), A2331&amp;"";"", TEXTJOIN(CHAR(10), TRUE, A2331&amp;"";"", ARRAYFORMULA(VLOOKUP(SPLIT(S2331, "";"" &amp; CHAR(10)), $A:$AO, 41, FALSE)))))"),"offs;")</f>
        <v>offs;</v>
      </c>
      <c r="AP2331" s="89"/>
    </row>
    <row r="2332">
      <c r="A2332" s="151" t="str">
        <f>IFERROR(__xludf.DUMMYFUNCTION("""COMPUTED_VALUE"""),"olt")</f>
        <v>olt</v>
      </c>
      <c r="B2332" s="42" t="str">
        <f>IFERROR(__xludf.DUMMYFUNCTION("""COMPUTED_VALUE"""),"DHBA")</f>
        <v>DHBA</v>
      </c>
      <c r="C2332" s="42" t="str">
        <f>IFERROR(__xludf.DUMMYFUNCTION("""COMPUTED_VALUE"""),"olfactory tract")</f>
        <v>olfactory tract</v>
      </c>
      <c r="D2332" s="42">
        <f>IFERROR(__xludf.DUMMYFUNCTION("""COMPUTED_VALUE"""),2215.0)</f>
        <v>2215</v>
      </c>
      <c r="E2332" s="39" t="str">
        <f>IFERROR(__xludf.DUMMYFUNCTION("""COMPUTED_VALUE"""),"olfactory tract")</f>
        <v>olfactory tract</v>
      </c>
      <c r="F2332" s="9" t="str">
        <f>IFERROR(__xludf.DUMMYFUNCTION("""COMPUTED_VALUE"""),"Br")</f>
        <v>Br</v>
      </c>
      <c r="G2332" s="9" t="str">
        <f>IFERROR(__xludf.DUMMYFUNCTION("""COMPUTED_VALUE"""),"F")</f>
        <v>F</v>
      </c>
      <c r="H2332" s="9" t="str">
        <f>IFERROR(__xludf.DUMMYFUNCTION("""COMPUTED_VALUE"""),"FWM")</f>
        <v>FWM</v>
      </c>
      <c r="I2332" s="9" t="str">
        <f>IFERROR(__xludf.DUMMYFUNCTION("""COMPUTED_VALUE"""),"FIFT")</f>
        <v>FIFT</v>
      </c>
      <c r="J2332" s="9" t="str">
        <f>IFERROR(__xludf.DUMMYFUNCTION("""COMPUTED_VALUE"""),"olt")</f>
        <v>olt</v>
      </c>
      <c r="K2332" s="9"/>
      <c r="L2332" s="9"/>
      <c r="M2332" s="9"/>
      <c r="N2332" s="9"/>
      <c r="O2332" s="9"/>
      <c r="P2332" s="9"/>
      <c r="Q2332" s="9"/>
      <c r="R2332" s="9"/>
      <c r="S2332" s="42"/>
      <c r="T2332" s="42"/>
      <c r="U2332" s="42"/>
      <c r="V2332" s="42"/>
      <c r="W2332" s="42"/>
      <c r="X2332" s="42"/>
      <c r="Y2332" s="42"/>
      <c r="Z2332" s="42"/>
      <c r="AA2332" s="42"/>
      <c r="AB2332" s="42" t="str">
        <f>IFERROR(__xludf.DUMMYFUNCTION("""COMPUTED_VALUE"""),"allen institute")</f>
        <v>allen institute</v>
      </c>
      <c r="AC2332" s="42" t="str">
        <f>IFERROR(__xludf.DUMMYFUNCTION("""COMPUTED_VALUE"""),"DHBA")</f>
        <v>DHBA</v>
      </c>
      <c r="AD2332" s="42"/>
      <c r="AE2332" s="42"/>
      <c r="AF2332" s="9"/>
      <c r="AG2332" s="9"/>
      <c r="AH2332" s="42"/>
      <c r="AI2332" s="42"/>
      <c r="AJ2332" s="42"/>
      <c r="AK2332" s="42"/>
      <c r="AL2332" s="42"/>
      <c r="AM2332" s="42"/>
      <c r="AN2332" s="42"/>
      <c r="AO2332" s="63" t="str">
        <f>IFERROR(__xludf.DUMMYFUNCTION("IF(ISBLANK(A2332),,IF(ISBLANK(S2332), A2332&amp;"";"", TEXTJOIN(CHAR(10), TRUE, A2332&amp;"";"", ARRAYFORMULA(VLOOKUP(SPLIT(S2332, "";"" &amp; CHAR(10)), $A:$AO, 41, FALSE)))))"),"olt;")</f>
        <v>olt;</v>
      </c>
      <c r="AP2332" s="89"/>
    </row>
    <row r="2333">
      <c r="A2333" s="151" t="str">
        <f>IFERROR(__xludf.DUMMYFUNCTION("""COMPUTED_VALUE"""),"ost")</f>
        <v>ost</v>
      </c>
      <c r="B2333" s="42" t="str">
        <f>IFERROR(__xludf.DUMMYFUNCTION("""COMPUTED_VALUE"""),"DHBA")</f>
        <v>DHBA</v>
      </c>
      <c r="C2333" s="42" t="str">
        <f>IFERROR(__xludf.DUMMYFUNCTION("""COMPUTED_VALUE"""),"olfactory striae")</f>
        <v>olfactory striae</v>
      </c>
      <c r="D2333" s="42">
        <f>IFERROR(__xludf.DUMMYFUNCTION("""COMPUTED_VALUE"""),2216.0)</f>
        <v>2216</v>
      </c>
      <c r="E2333" s="39" t="str">
        <f>IFERROR(__xludf.DUMMYFUNCTION("""COMPUTED_VALUE"""),"olfactory striae")</f>
        <v>olfactory striae</v>
      </c>
      <c r="F2333" s="9" t="str">
        <f>IFERROR(__xludf.DUMMYFUNCTION("""COMPUTED_VALUE"""),"Br")</f>
        <v>Br</v>
      </c>
      <c r="G2333" s="9" t="str">
        <f>IFERROR(__xludf.DUMMYFUNCTION("""COMPUTED_VALUE"""),"F")</f>
        <v>F</v>
      </c>
      <c r="H2333" s="9" t="str">
        <f>IFERROR(__xludf.DUMMYFUNCTION("""COMPUTED_VALUE"""),"FWM")</f>
        <v>FWM</v>
      </c>
      <c r="I2333" s="9" t="str">
        <f>IFERROR(__xludf.DUMMYFUNCTION("""COMPUTED_VALUE"""),"FIFT")</f>
        <v>FIFT</v>
      </c>
      <c r="J2333" s="9" t="str">
        <f>IFERROR(__xludf.DUMMYFUNCTION("""COMPUTED_VALUE"""),"ost")</f>
        <v>ost</v>
      </c>
      <c r="K2333" s="9"/>
      <c r="L2333" s="9"/>
      <c r="M2333" s="9"/>
      <c r="N2333" s="9"/>
      <c r="O2333" s="9"/>
      <c r="P2333" s="9"/>
      <c r="Q2333" s="9"/>
      <c r="R2333" s="9"/>
      <c r="S2333" s="42" t="str">
        <f>IFERROR(__xludf.DUMMYFUNCTION("""COMPUTED_VALUE"""),"lost;
most")</f>
        <v>lost;
most</v>
      </c>
      <c r="T2333" s="42"/>
      <c r="U2333" s="159" t="b">
        <f>IFERROR(__xludf.DUMMYFUNCTION("""COMPUTED_VALUE"""),FALSE)</f>
        <v>0</v>
      </c>
      <c r="V2333" s="42"/>
      <c r="W2333" s="42"/>
      <c r="X2333" s="42"/>
      <c r="Y2333" s="42"/>
      <c r="Z2333" s="42"/>
      <c r="AA2333" s="42"/>
      <c r="AB2333" s="42" t="str">
        <f>IFERROR(__xludf.DUMMYFUNCTION("""COMPUTED_VALUE"""),"allen institute")</f>
        <v>allen institute</v>
      </c>
      <c r="AC2333" s="42" t="str">
        <f>IFERROR(__xludf.DUMMYFUNCTION("""COMPUTED_VALUE"""),"DHBA")</f>
        <v>DHBA</v>
      </c>
      <c r="AD2333" s="42"/>
      <c r="AE2333" s="42"/>
      <c r="AF2333" s="9"/>
      <c r="AG2333" s="9"/>
      <c r="AH2333" s="42"/>
      <c r="AI2333" s="42"/>
      <c r="AJ2333" s="42"/>
      <c r="AK2333" s="42"/>
      <c r="AL2333" s="42"/>
      <c r="AM2333" s="42"/>
      <c r="AN2333" s="42"/>
      <c r="AO2333" s="63" t="str">
        <f>IFERROR(__xludf.DUMMYFUNCTION("IF(ISBLANK(A2333),,IF(ISBLANK(S2333), A2333&amp;"";"", TEXTJOIN(CHAR(10), TRUE, A2333&amp;"";"", ARRAYFORMULA(VLOOKUP(SPLIT(S2333, "";"" &amp; CHAR(10)), $A:$AO, 41, FALSE)))))"),"ost;
lost;
most;")</f>
        <v>ost;
lost;
most;</v>
      </c>
      <c r="AP2333" s="89"/>
    </row>
    <row r="2334">
      <c r="A2334" s="151" t="str">
        <f>IFERROR(__xludf.DUMMYFUNCTION("""COMPUTED_VALUE"""),"lost")</f>
        <v>lost</v>
      </c>
      <c r="B2334" s="42" t="str">
        <f>IFERROR(__xludf.DUMMYFUNCTION("""COMPUTED_VALUE"""),"DHBA")</f>
        <v>DHBA</v>
      </c>
      <c r="C2334" s="42" t="str">
        <f>IFERROR(__xludf.DUMMYFUNCTION("""COMPUTED_VALUE"""),"lateral olfactory stria")</f>
        <v>lateral olfactory stria</v>
      </c>
      <c r="D2334" s="42">
        <f>IFERROR(__xludf.DUMMYFUNCTION("""COMPUTED_VALUE"""),2217.0)</f>
        <v>2217</v>
      </c>
      <c r="E2334" s="39" t="str">
        <f>IFERROR(__xludf.DUMMYFUNCTION("""COMPUTED_VALUE"""),"lateral olfactory stria")</f>
        <v>lateral olfactory stria</v>
      </c>
      <c r="F2334" s="9" t="str">
        <f>IFERROR(__xludf.DUMMYFUNCTION("""COMPUTED_VALUE"""),"Br")</f>
        <v>Br</v>
      </c>
      <c r="G2334" s="9" t="str">
        <f>IFERROR(__xludf.DUMMYFUNCTION("""COMPUTED_VALUE"""),"F")</f>
        <v>F</v>
      </c>
      <c r="H2334" s="9" t="str">
        <f>IFERROR(__xludf.DUMMYFUNCTION("""COMPUTED_VALUE"""),"FWM")</f>
        <v>FWM</v>
      </c>
      <c r="I2334" s="9" t="str">
        <f>IFERROR(__xludf.DUMMYFUNCTION("""COMPUTED_VALUE"""),"FIFT")</f>
        <v>FIFT</v>
      </c>
      <c r="J2334" s="9" t="str">
        <f>IFERROR(__xludf.DUMMYFUNCTION("""COMPUTED_VALUE"""),"ost")</f>
        <v>ost</v>
      </c>
      <c r="K2334" s="9" t="str">
        <f>IFERROR(__xludf.DUMMYFUNCTION("""COMPUTED_VALUE"""),"lost")</f>
        <v>lost</v>
      </c>
      <c r="L2334" s="9"/>
      <c r="M2334" s="9"/>
      <c r="N2334" s="9"/>
      <c r="O2334" s="9"/>
      <c r="P2334" s="9"/>
      <c r="Q2334" s="9"/>
      <c r="R2334" s="9"/>
      <c r="S2334" s="42"/>
      <c r="T2334" s="42"/>
      <c r="U2334" s="159"/>
      <c r="V2334" s="42"/>
      <c r="W2334" s="42"/>
      <c r="X2334" s="42"/>
      <c r="Y2334" s="42"/>
      <c r="Z2334" s="42"/>
      <c r="AA2334" s="42"/>
      <c r="AB2334" s="42" t="str">
        <f>IFERROR(__xludf.DUMMYFUNCTION("""COMPUTED_VALUE"""),"allen institute")</f>
        <v>allen institute</v>
      </c>
      <c r="AC2334" s="42" t="str">
        <f>IFERROR(__xludf.DUMMYFUNCTION("""COMPUTED_VALUE"""),"DHBA")</f>
        <v>DHBA</v>
      </c>
      <c r="AD2334" s="42"/>
      <c r="AE2334" s="42"/>
      <c r="AF2334" s="9"/>
      <c r="AG2334" s="9"/>
      <c r="AH2334" s="42"/>
      <c r="AI2334" s="42"/>
      <c r="AJ2334" s="42"/>
      <c r="AK2334" s="42"/>
      <c r="AL2334" s="42"/>
      <c r="AM2334" s="42"/>
      <c r="AN2334" s="42"/>
      <c r="AO2334" s="63" t="str">
        <f>IFERROR(__xludf.DUMMYFUNCTION("IF(ISBLANK(A2334),,IF(ISBLANK(S2334), A2334&amp;"";"", TEXTJOIN(CHAR(10), TRUE, A2334&amp;"";"", ARRAYFORMULA(VLOOKUP(SPLIT(S2334, "";"" &amp; CHAR(10)), $A:$AO, 41, FALSE)))))"),"lost;")</f>
        <v>lost;</v>
      </c>
      <c r="AP2334" s="89"/>
    </row>
    <row r="2335">
      <c r="A2335" s="151" t="str">
        <f>IFERROR(__xludf.DUMMYFUNCTION("""COMPUTED_VALUE"""),"most")</f>
        <v>most</v>
      </c>
      <c r="B2335" s="42" t="str">
        <f>IFERROR(__xludf.DUMMYFUNCTION("""COMPUTED_VALUE"""),"DHBA")</f>
        <v>DHBA</v>
      </c>
      <c r="C2335" s="42" t="str">
        <f>IFERROR(__xludf.DUMMYFUNCTION("""COMPUTED_VALUE"""),"medial olfactory stria")</f>
        <v>medial olfactory stria</v>
      </c>
      <c r="D2335" s="42">
        <f>IFERROR(__xludf.DUMMYFUNCTION("""COMPUTED_VALUE"""),2218.0)</f>
        <v>2218</v>
      </c>
      <c r="E2335" s="39" t="str">
        <f>IFERROR(__xludf.DUMMYFUNCTION("""COMPUTED_VALUE"""),"medial olfactory stria")</f>
        <v>medial olfactory stria</v>
      </c>
      <c r="F2335" s="9" t="str">
        <f>IFERROR(__xludf.DUMMYFUNCTION("""COMPUTED_VALUE"""),"Br")</f>
        <v>Br</v>
      </c>
      <c r="G2335" s="9" t="str">
        <f>IFERROR(__xludf.DUMMYFUNCTION("""COMPUTED_VALUE"""),"F")</f>
        <v>F</v>
      </c>
      <c r="H2335" s="9" t="str">
        <f>IFERROR(__xludf.DUMMYFUNCTION("""COMPUTED_VALUE"""),"FWM")</f>
        <v>FWM</v>
      </c>
      <c r="I2335" s="9" t="str">
        <f>IFERROR(__xludf.DUMMYFUNCTION("""COMPUTED_VALUE"""),"FIFT")</f>
        <v>FIFT</v>
      </c>
      <c r="J2335" s="9" t="str">
        <f>IFERROR(__xludf.DUMMYFUNCTION("""COMPUTED_VALUE"""),"ost")</f>
        <v>ost</v>
      </c>
      <c r="K2335" s="9" t="str">
        <f>IFERROR(__xludf.DUMMYFUNCTION("""COMPUTED_VALUE"""),"most")</f>
        <v>most</v>
      </c>
      <c r="L2335" s="9"/>
      <c r="M2335" s="9"/>
      <c r="N2335" s="9"/>
      <c r="O2335" s="9"/>
      <c r="P2335" s="9"/>
      <c r="Q2335" s="9"/>
      <c r="R2335" s="9"/>
      <c r="S2335" s="42"/>
      <c r="T2335" s="42"/>
      <c r="U2335" s="159"/>
      <c r="V2335" s="42"/>
      <c r="W2335" s="42"/>
      <c r="X2335" s="42"/>
      <c r="Y2335" s="42"/>
      <c r="Z2335" s="42"/>
      <c r="AA2335" s="42"/>
      <c r="AB2335" s="42" t="str">
        <f>IFERROR(__xludf.DUMMYFUNCTION("""COMPUTED_VALUE"""),"allen institute")</f>
        <v>allen institute</v>
      </c>
      <c r="AC2335" s="42" t="str">
        <f>IFERROR(__xludf.DUMMYFUNCTION("""COMPUTED_VALUE"""),"DHBA")</f>
        <v>DHBA</v>
      </c>
      <c r="AD2335" s="42"/>
      <c r="AE2335" s="42"/>
      <c r="AF2335" s="9"/>
      <c r="AG2335" s="9"/>
      <c r="AH2335" s="42"/>
      <c r="AI2335" s="42"/>
      <c r="AJ2335" s="42"/>
      <c r="AK2335" s="42"/>
      <c r="AL2335" s="42"/>
      <c r="AM2335" s="42"/>
      <c r="AN2335" s="42"/>
      <c r="AO2335" s="63" t="str">
        <f>IFERROR(__xludf.DUMMYFUNCTION("IF(ISBLANK(A2335),,IF(ISBLANK(S2335), A2335&amp;"";"", TEXTJOIN(CHAR(10), TRUE, A2335&amp;"";"", ARRAYFORMULA(VLOOKUP(SPLIT(S2335, "";"" &amp; CHAR(10)), $A:$AO, 41, FALSE)))))"),"most;")</f>
        <v>most;</v>
      </c>
      <c r="AP2335" s="89"/>
    </row>
    <row r="2336">
      <c r="A2336" s="151" t="str">
        <f>IFERROR(__xludf.DUMMYFUNCTION("""COMPUTED_VALUE"""),"ox")</f>
        <v>ox</v>
      </c>
      <c r="B2336" s="42" t="str">
        <f>IFERROR(__xludf.DUMMYFUNCTION("""COMPUTED_VALUE"""),"DHBA")</f>
        <v>DHBA</v>
      </c>
      <c r="C2336" s="42" t="str">
        <f>IFERROR(__xludf.DUMMYFUNCTION("""COMPUTED_VALUE"""),"optic chiasm")</f>
        <v>optic chiasm</v>
      </c>
      <c r="D2336" s="42">
        <f>IFERROR(__xludf.DUMMYFUNCTION("""COMPUTED_VALUE"""),2219.0)</f>
        <v>2219</v>
      </c>
      <c r="E2336" s="39" t="str">
        <f>IFERROR(__xludf.DUMMYFUNCTION("""COMPUTED_VALUE"""),"optic chiasm")</f>
        <v>optic chiasm</v>
      </c>
      <c r="F2336" s="9" t="str">
        <f>IFERROR(__xludf.DUMMYFUNCTION("""COMPUTED_VALUE"""),"Br")</f>
        <v>Br</v>
      </c>
      <c r="G2336" s="9" t="str">
        <f>IFERROR(__xludf.DUMMYFUNCTION("""COMPUTED_VALUE"""),"F")</f>
        <v>F</v>
      </c>
      <c r="H2336" s="9" t="str">
        <f>IFERROR(__xludf.DUMMYFUNCTION("""COMPUTED_VALUE"""),"FWM")</f>
        <v>FWM</v>
      </c>
      <c r="I2336" s="9" t="str">
        <f>IFERROR(__xludf.DUMMYFUNCTION("""COMPUTED_VALUE"""),"FIFT")</f>
        <v>FIFT</v>
      </c>
      <c r="J2336" s="9" t="str">
        <f>IFERROR(__xludf.DUMMYFUNCTION("""COMPUTED_VALUE"""),"ox")</f>
        <v>ox</v>
      </c>
      <c r="K2336" s="9"/>
      <c r="L2336" s="9"/>
      <c r="M2336" s="9"/>
      <c r="N2336" s="9"/>
      <c r="O2336" s="9"/>
      <c r="P2336" s="9"/>
      <c r="Q2336" s="9"/>
      <c r="R2336" s="9"/>
      <c r="S2336" s="42"/>
      <c r="T2336" s="42"/>
      <c r="U2336" s="42"/>
      <c r="V2336" s="42"/>
      <c r="W2336" s="42"/>
      <c r="X2336" s="42"/>
      <c r="Y2336" s="42"/>
      <c r="Z2336" s="42"/>
      <c r="AA2336" s="42"/>
      <c r="AB2336" s="42" t="str">
        <f>IFERROR(__xludf.DUMMYFUNCTION("""COMPUTED_VALUE"""),"allen institute")</f>
        <v>allen institute</v>
      </c>
      <c r="AC2336" s="42" t="str">
        <f>IFERROR(__xludf.DUMMYFUNCTION("""COMPUTED_VALUE"""),"DHBA")</f>
        <v>DHBA</v>
      </c>
      <c r="AD2336" s="42"/>
      <c r="AE2336" s="42"/>
      <c r="AF2336" s="9"/>
      <c r="AG2336" s="9"/>
      <c r="AH2336" s="42"/>
      <c r="AI2336" s="42"/>
      <c r="AJ2336" s="42"/>
      <c r="AK2336" s="42"/>
      <c r="AL2336" s="42"/>
      <c r="AM2336" s="42"/>
      <c r="AN2336" s="42"/>
      <c r="AO2336" s="63" t="str">
        <f>IFERROR(__xludf.DUMMYFUNCTION("IF(ISBLANK(A2336),,IF(ISBLANK(S2336), A2336&amp;"";"", TEXTJOIN(CHAR(10), TRUE, A2336&amp;"";"", ARRAYFORMULA(VLOOKUP(SPLIT(S2336, "";"" &amp; CHAR(10)), $A:$AO, 41, FALSE)))))"),"ox;")</f>
        <v>ox;</v>
      </c>
      <c r="AP2336" s="89"/>
    </row>
    <row r="2337">
      <c r="A2337" s="151" t="str">
        <f>IFERROR(__xludf.DUMMYFUNCTION("""COMPUTED_VALUE"""),"on")</f>
        <v>on</v>
      </c>
      <c r="B2337" s="42" t="str">
        <f>IFERROR(__xludf.DUMMYFUNCTION("""COMPUTED_VALUE"""),"DHBA")</f>
        <v>DHBA</v>
      </c>
      <c r="C2337" s="42" t="str">
        <f>IFERROR(__xludf.DUMMYFUNCTION("""COMPUTED_VALUE"""),"optic nerve")</f>
        <v>optic nerve</v>
      </c>
      <c r="D2337" s="42">
        <f>IFERROR(__xludf.DUMMYFUNCTION("""COMPUTED_VALUE"""),2220.0)</f>
        <v>2220</v>
      </c>
      <c r="E2337" s="39" t="str">
        <f>IFERROR(__xludf.DUMMYFUNCTION("""COMPUTED_VALUE"""),"optic nerve")</f>
        <v>optic nerve</v>
      </c>
      <c r="F2337" s="9" t="str">
        <f>IFERROR(__xludf.DUMMYFUNCTION("""COMPUTED_VALUE"""),"Br")</f>
        <v>Br</v>
      </c>
      <c r="G2337" s="9" t="str">
        <f>IFERROR(__xludf.DUMMYFUNCTION("""COMPUTED_VALUE"""),"F")</f>
        <v>F</v>
      </c>
      <c r="H2337" s="9" t="str">
        <f>IFERROR(__xludf.DUMMYFUNCTION("""COMPUTED_VALUE"""),"FWM")</f>
        <v>FWM</v>
      </c>
      <c r="I2337" s="9" t="str">
        <f>IFERROR(__xludf.DUMMYFUNCTION("""COMPUTED_VALUE"""),"FIFT")</f>
        <v>FIFT</v>
      </c>
      <c r="J2337" s="9" t="str">
        <f>IFERROR(__xludf.DUMMYFUNCTION("""COMPUTED_VALUE"""),"on")</f>
        <v>on</v>
      </c>
      <c r="K2337" s="9"/>
      <c r="L2337" s="9"/>
      <c r="M2337" s="9"/>
      <c r="N2337" s="9"/>
      <c r="O2337" s="9"/>
      <c r="P2337" s="9"/>
      <c r="Q2337" s="9"/>
      <c r="R2337" s="9"/>
      <c r="S2337" s="42"/>
      <c r="T2337" s="42"/>
      <c r="U2337" s="42"/>
      <c r="V2337" s="42"/>
      <c r="W2337" s="42"/>
      <c r="X2337" s="42"/>
      <c r="Y2337" s="42"/>
      <c r="Z2337" s="42"/>
      <c r="AA2337" s="42"/>
      <c r="AB2337" s="42" t="str">
        <f>IFERROR(__xludf.DUMMYFUNCTION("""COMPUTED_VALUE"""),"allen institute")</f>
        <v>allen institute</v>
      </c>
      <c r="AC2337" s="42" t="str">
        <f>IFERROR(__xludf.DUMMYFUNCTION("""COMPUTED_VALUE"""),"DHBA")</f>
        <v>DHBA</v>
      </c>
      <c r="AD2337" s="42"/>
      <c r="AE2337" s="42"/>
      <c r="AF2337" s="9"/>
      <c r="AG2337" s="9"/>
      <c r="AH2337" s="42"/>
      <c r="AI2337" s="42"/>
      <c r="AJ2337" s="42"/>
      <c r="AK2337" s="42"/>
      <c r="AL2337" s="42"/>
      <c r="AM2337" s="42"/>
      <c r="AN2337" s="42"/>
      <c r="AO2337" s="63" t="str">
        <f>IFERROR(__xludf.DUMMYFUNCTION("IF(ISBLANK(A2337),,IF(ISBLANK(S2337), A2337&amp;"";"", TEXTJOIN(CHAR(10), TRUE, A2337&amp;"";"", ARRAYFORMULA(VLOOKUP(SPLIT(S2337, "";"" &amp; CHAR(10)), $A:$AO, 41, FALSE)))))"),"on;")</f>
        <v>on;</v>
      </c>
      <c r="AP2337" s="89"/>
    </row>
    <row r="2338">
      <c r="A2338" s="151" t="str">
        <f>IFERROR(__xludf.DUMMYFUNCTION("""COMPUTED_VALUE"""),"or")</f>
        <v>or</v>
      </c>
      <c r="B2338" s="42" t="str">
        <f>IFERROR(__xludf.DUMMYFUNCTION("""COMPUTED_VALUE"""),"DHBA")</f>
        <v>DHBA</v>
      </c>
      <c r="C2338" s="42" t="str">
        <f>IFERROR(__xludf.DUMMYFUNCTION("""COMPUTED_VALUE"""),"optic radiation")</f>
        <v>optic radiation</v>
      </c>
      <c r="D2338" s="42">
        <f>IFERROR(__xludf.DUMMYFUNCTION("""COMPUTED_VALUE"""),2221.0)</f>
        <v>2221</v>
      </c>
      <c r="E2338" s="39" t="str">
        <f>IFERROR(__xludf.DUMMYFUNCTION("""COMPUTED_VALUE"""),"optic radiation")</f>
        <v>optic radiation</v>
      </c>
      <c r="F2338" s="9" t="str">
        <f>IFERROR(__xludf.DUMMYFUNCTION("""COMPUTED_VALUE"""),"Br")</f>
        <v>Br</v>
      </c>
      <c r="G2338" s="9" t="str">
        <f>IFERROR(__xludf.DUMMYFUNCTION("""COMPUTED_VALUE"""),"F")</f>
        <v>F</v>
      </c>
      <c r="H2338" s="9" t="str">
        <f>IFERROR(__xludf.DUMMYFUNCTION("""COMPUTED_VALUE"""),"FWM")</f>
        <v>FWM</v>
      </c>
      <c r="I2338" s="9" t="str">
        <f>IFERROR(__xludf.DUMMYFUNCTION("""COMPUTED_VALUE"""),"FIFT")</f>
        <v>FIFT</v>
      </c>
      <c r="J2338" s="9" t="str">
        <f>IFERROR(__xludf.DUMMYFUNCTION("""COMPUTED_VALUE"""),"or")</f>
        <v>or</v>
      </c>
      <c r="K2338" s="9"/>
      <c r="L2338" s="9"/>
      <c r="M2338" s="9"/>
      <c r="N2338" s="9"/>
      <c r="O2338" s="9"/>
      <c r="P2338" s="9"/>
      <c r="Q2338" s="9"/>
      <c r="R2338" s="9"/>
      <c r="S2338" s="42"/>
      <c r="T2338" s="42"/>
      <c r="U2338" s="42"/>
      <c r="V2338" s="42"/>
      <c r="W2338" s="42"/>
      <c r="X2338" s="42"/>
      <c r="Y2338" s="42"/>
      <c r="Z2338" s="42"/>
      <c r="AA2338" s="42"/>
      <c r="AB2338" s="42" t="str">
        <f>IFERROR(__xludf.DUMMYFUNCTION("""COMPUTED_VALUE"""),"allen institute")</f>
        <v>allen institute</v>
      </c>
      <c r="AC2338" s="42" t="str">
        <f>IFERROR(__xludf.DUMMYFUNCTION("""COMPUTED_VALUE"""),"DHBA")</f>
        <v>DHBA</v>
      </c>
      <c r="AD2338" s="42"/>
      <c r="AE2338" s="42"/>
      <c r="AF2338" s="9"/>
      <c r="AG2338" s="9"/>
      <c r="AH2338" s="42"/>
      <c r="AI2338" s="42"/>
      <c r="AJ2338" s="42"/>
      <c r="AK2338" s="42"/>
      <c r="AL2338" s="42"/>
      <c r="AM2338" s="42"/>
      <c r="AN2338" s="42"/>
      <c r="AO2338" s="63" t="str">
        <f>IFERROR(__xludf.DUMMYFUNCTION("IF(ISBLANK(A2338),,IF(ISBLANK(S2338), A2338&amp;"";"", TEXTJOIN(CHAR(10), TRUE, A2338&amp;"";"", ARRAYFORMULA(VLOOKUP(SPLIT(S2338, "";"" &amp; CHAR(10)), $A:$AO, 41, FALSE)))))"),"or;")</f>
        <v>or;</v>
      </c>
      <c r="AP2338" s="89"/>
    </row>
    <row r="2339">
      <c r="A2339" s="151" t="str">
        <f>IFERROR(__xludf.DUMMYFUNCTION("""COMPUTED_VALUE"""),"ot")</f>
        <v>ot</v>
      </c>
      <c r="B2339" s="42" t="str">
        <f>IFERROR(__xludf.DUMMYFUNCTION("""COMPUTED_VALUE"""),"DHBA")</f>
        <v>DHBA</v>
      </c>
      <c r="C2339" s="42" t="str">
        <f>IFERROR(__xludf.DUMMYFUNCTION("""COMPUTED_VALUE"""),"optic tract")</f>
        <v>optic tract</v>
      </c>
      <c r="D2339" s="42">
        <f>IFERROR(__xludf.DUMMYFUNCTION("""COMPUTED_VALUE"""),2222.0)</f>
        <v>2222</v>
      </c>
      <c r="E2339" s="39" t="str">
        <f>IFERROR(__xludf.DUMMYFUNCTION("""COMPUTED_VALUE"""),"optic tract")</f>
        <v>optic tract</v>
      </c>
      <c r="F2339" s="9" t="str">
        <f>IFERROR(__xludf.DUMMYFUNCTION("""COMPUTED_VALUE"""),"Br")</f>
        <v>Br</v>
      </c>
      <c r="G2339" s="9" t="str">
        <f>IFERROR(__xludf.DUMMYFUNCTION("""COMPUTED_VALUE"""),"F")</f>
        <v>F</v>
      </c>
      <c r="H2339" s="9" t="str">
        <f>IFERROR(__xludf.DUMMYFUNCTION("""COMPUTED_VALUE"""),"FWM")</f>
        <v>FWM</v>
      </c>
      <c r="I2339" s="9" t="str">
        <f>IFERROR(__xludf.DUMMYFUNCTION("""COMPUTED_VALUE"""),"FIFT")</f>
        <v>FIFT</v>
      </c>
      <c r="J2339" s="9" t="str">
        <f>IFERROR(__xludf.DUMMYFUNCTION("""COMPUTED_VALUE"""),"ot")</f>
        <v>ot</v>
      </c>
      <c r="K2339" s="9"/>
      <c r="L2339" s="9"/>
      <c r="M2339" s="9"/>
      <c r="N2339" s="9"/>
      <c r="O2339" s="9"/>
      <c r="P2339" s="9"/>
      <c r="Q2339" s="9"/>
      <c r="R2339" s="9"/>
      <c r="S2339" s="42"/>
      <c r="T2339" s="42"/>
      <c r="U2339" s="42"/>
      <c r="V2339" s="42"/>
      <c r="W2339" s="42"/>
      <c r="X2339" s="42"/>
      <c r="Y2339" s="42"/>
      <c r="Z2339" s="42"/>
      <c r="AA2339" s="42"/>
      <c r="AB2339" s="42" t="str">
        <f>IFERROR(__xludf.DUMMYFUNCTION("""COMPUTED_VALUE"""),"allen institute")</f>
        <v>allen institute</v>
      </c>
      <c r="AC2339" s="42" t="str">
        <f>IFERROR(__xludf.DUMMYFUNCTION("""COMPUTED_VALUE"""),"DHBA")</f>
        <v>DHBA</v>
      </c>
      <c r="AD2339" s="42"/>
      <c r="AE2339" s="42"/>
      <c r="AF2339" s="9"/>
      <c r="AG2339" s="9"/>
      <c r="AH2339" s="42"/>
      <c r="AI2339" s="42"/>
      <c r="AJ2339" s="42"/>
      <c r="AK2339" s="42"/>
      <c r="AL2339" s="42"/>
      <c r="AM2339" s="42"/>
      <c r="AN2339" s="42"/>
      <c r="AO2339" s="63" t="str">
        <f>IFERROR(__xludf.DUMMYFUNCTION("IF(ISBLANK(A2339),,IF(ISBLANK(S2339), A2339&amp;"";"", TEXTJOIN(CHAR(10), TRUE, A2339&amp;"";"", ARRAYFORMULA(VLOOKUP(SPLIT(S2339, "";"" &amp; CHAR(10)), $A:$AO, 41, FALSE)))))"),"ot;")</f>
        <v>ot;</v>
      </c>
      <c r="AP2339" s="89"/>
    </row>
    <row r="2340">
      <c r="A2340" s="151" t="str">
        <f>IFERROR(__xludf.DUMMYFUNCTION("""COMPUTED_VALUE"""),"opt")</f>
        <v>opt</v>
      </c>
      <c r="B2340" s="42" t="str">
        <f>IFERROR(__xludf.DUMMYFUNCTION("""COMPUTED_VALUE"""),"DHBA")</f>
        <v>DHBA</v>
      </c>
      <c r="C2340" s="42" t="str">
        <f>IFERROR(__xludf.DUMMYFUNCTION("""COMPUTED_VALUE"""),"orbito-polar tract")</f>
        <v>orbito-polar tract</v>
      </c>
      <c r="D2340" s="42">
        <f>IFERROR(__xludf.DUMMYFUNCTION("""COMPUTED_VALUE"""),2223.0)</f>
        <v>2223</v>
      </c>
      <c r="E2340" s="39" t="str">
        <f>IFERROR(__xludf.DUMMYFUNCTION("""COMPUTED_VALUE"""),"orbito-polar tract")</f>
        <v>orbito-polar tract</v>
      </c>
      <c r="F2340" s="9" t="str">
        <f>IFERROR(__xludf.DUMMYFUNCTION("""COMPUTED_VALUE"""),"Br")</f>
        <v>Br</v>
      </c>
      <c r="G2340" s="9" t="str">
        <f>IFERROR(__xludf.DUMMYFUNCTION("""COMPUTED_VALUE"""),"F")</f>
        <v>F</v>
      </c>
      <c r="H2340" s="9" t="str">
        <f>IFERROR(__xludf.DUMMYFUNCTION("""COMPUTED_VALUE"""),"FWM")</f>
        <v>FWM</v>
      </c>
      <c r="I2340" s="9" t="str">
        <f>IFERROR(__xludf.DUMMYFUNCTION("""COMPUTED_VALUE"""),"FIFT")</f>
        <v>FIFT</v>
      </c>
      <c r="J2340" s="9" t="str">
        <f>IFERROR(__xludf.DUMMYFUNCTION("""COMPUTED_VALUE"""),"opt")</f>
        <v>opt</v>
      </c>
      <c r="K2340" s="9"/>
      <c r="L2340" s="9"/>
      <c r="M2340" s="9"/>
      <c r="N2340" s="9"/>
      <c r="O2340" s="9"/>
      <c r="P2340" s="9"/>
      <c r="Q2340" s="9"/>
      <c r="R2340" s="9"/>
      <c r="S2340" s="42"/>
      <c r="T2340" s="42"/>
      <c r="U2340" s="42"/>
      <c r="V2340" s="42"/>
      <c r="W2340" s="42"/>
      <c r="X2340" s="42"/>
      <c r="Y2340" s="42"/>
      <c r="Z2340" s="42"/>
      <c r="AA2340" s="42"/>
      <c r="AB2340" s="42" t="str">
        <f>IFERROR(__xludf.DUMMYFUNCTION("""COMPUTED_VALUE"""),"allen institute")</f>
        <v>allen institute</v>
      </c>
      <c r="AC2340" s="42" t="str">
        <f>IFERROR(__xludf.DUMMYFUNCTION("""COMPUTED_VALUE"""),"DHBA")</f>
        <v>DHBA</v>
      </c>
      <c r="AD2340" s="42"/>
      <c r="AE2340" s="42"/>
      <c r="AF2340" s="9"/>
      <c r="AG2340" s="9"/>
      <c r="AH2340" s="42"/>
      <c r="AI2340" s="42"/>
      <c r="AJ2340" s="42"/>
      <c r="AK2340" s="42"/>
      <c r="AL2340" s="42"/>
      <c r="AM2340" s="42"/>
      <c r="AN2340" s="42"/>
      <c r="AO2340" s="63" t="str">
        <f>IFERROR(__xludf.DUMMYFUNCTION("IF(ISBLANK(A2340),,IF(ISBLANK(S2340), A2340&amp;"";"", TEXTJOIN(CHAR(10), TRUE, A2340&amp;"";"", ARRAYFORMULA(VLOOKUP(SPLIT(S2340, "";"" &amp; CHAR(10)), $A:$AO, 41, FALSE)))))"),"opt;")</f>
        <v>opt;</v>
      </c>
      <c r="AP2340" s="89"/>
    </row>
    <row r="2341">
      <c r="A2341" s="151" t="str">
        <f>IFERROR(__xludf.DUMMYFUNCTION("""COMPUTED_VALUE"""),"pni")</f>
        <v>pni</v>
      </c>
      <c r="B2341" s="42" t="str">
        <f>IFERROR(__xludf.DUMMYFUNCTION("""COMPUTED_VALUE"""),"DHBA")</f>
        <v>DHBA</v>
      </c>
      <c r="C2341" s="42" t="str">
        <f>IFERROR(__xludf.DUMMYFUNCTION("""COMPUTED_VALUE"""),"pallidonigral tract")</f>
        <v>pallidonigral tract</v>
      </c>
      <c r="D2341" s="42">
        <f>IFERROR(__xludf.DUMMYFUNCTION("""COMPUTED_VALUE"""),2224.0)</f>
        <v>2224</v>
      </c>
      <c r="E2341" s="39" t="str">
        <f>IFERROR(__xludf.DUMMYFUNCTION("""COMPUTED_VALUE"""),"pallidonigral tract")</f>
        <v>pallidonigral tract</v>
      </c>
      <c r="F2341" s="9" t="str">
        <f>IFERROR(__xludf.DUMMYFUNCTION("""COMPUTED_VALUE"""),"Br")</f>
        <v>Br</v>
      </c>
      <c r="G2341" s="9" t="str">
        <f>IFERROR(__xludf.DUMMYFUNCTION("""COMPUTED_VALUE"""),"F")</f>
        <v>F</v>
      </c>
      <c r="H2341" s="9" t="str">
        <f>IFERROR(__xludf.DUMMYFUNCTION("""COMPUTED_VALUE"""),"FWM")</f>
        <v>FWM</v>
      </c>
      <c r="I2341" s="9" t="str">
        <f>IFERROR(__xludf.DUMMYFUNCTION("""COMPUTED_VALUE"""),"FIFT")</f>
        <v>FIFT</v>
      </c>
      <c r="J2341" s="9" t="str">
        <f>IFERROR(__xludf.DUMMYFUNCTION("""COMPUTED_VALUE"""),"pni")</f>
        <v>pni</v>
      </c>
      <c r="K2341" s="9"/>
      <c r="L2341" s="9"/>
      <c r="M2341" s="9"/>
      <c r="N2341" s="9"/>
      <c r="O2341" s="9"/>
      <c r="P2341" s="9"/>
      <c r="Q2341" s="9"/>
      <c r="R2341" s="9"/>
      <c r="S2341" s="42"/>
      <c r="T2341" s="42"/>
      <c r="U2341" s="42"/>
      <c r="V2341" s="42"/>
      <c r="W2341" s="42"/>
      <c r="X2341" s="42"/>
      <c r="Y2341" s="42"/>
      <c r="Z2341" s="42"/>
      <c r="AA2341" s="42"/>
      <c r="AB2341" s="42" t="str">
        <f>IFERROR(__xludf.DUMMYFUNCTION("""COMPUTED_VALUE"""),"allen institute")</f>
        <v>allen institute</v>
      </c>
      <c r="AC2341" s="42" t="str">
        <f>IFERROR(__xludf.DUMMYFUNCTION("""COMPUTED_VALUE"""),"DHBA")</f>
        <v>DHBA</v>
      </c>
      <c r="AD2341" s="42"/>
      <c r="AE2341" s="42"/>
      <c r="AF2341" s="9"/>
      <c r="AG2341" s="9"/>
      <c r="AH2341" s="42"/>
      <c r="AI2341" s="42"/>
      <c r="AJ2341" s="42"/>
      <c r="AK2341" s="42"/>
      <c r="AL2341" s="42"/>
      <c r="AM2341" s="42"/>
      <c r="AN2341" s="42"/>
      <c r="AO2341" s="63" t="str">
        <f>IFERROR(__xludf.DUMMYFUNCTION("IF(ISBLANK(A2341),,IF(ISBLANK(S2341), A2341&amp;"";"", TEXTJOIN(CHAR(10), TRUE, A2341&amp;"";"", ARRAYFORMULA(VLOOKUP(SPLIT(S2341, "";"" &amp; CHAR(10)), $A:$AO, 41, FALSE)))))"),"pni;")</f>
        <v>pni;</v>
      </c>
      <c r="AP2341" s="89"/>
    </row>
    <row r="2342">
      <c r="A2342" s="151" t="str">
        <f>IFERROR(__xludf.DUMMYFUNCTION("""COMPUTED_VALUE"""),"ptg")</f>
        <v>ptg</v>
      </c>
      <c r="B2342" s="42" t="str">
        <f>IFERROR(__xludf.DUMMYFUNCTION("""COMPUTED_VALUE"""),"DHBA")</f>
        <v>DHBA</v>
      </c>
      <c r="C2342" s="42" t="str">
        <f>IFERROR(__xludf.DUMMYFUNCTION("""COMPUTED_VALUE"""),"paraterminal gyrus")</f>
        <v>paraterminal gyrus</v>
      </c>
      <c r="D2342" s="42">
        <f>IFERROR(__xludf.DUMMYFUNCTION("""COMPUTED_VALUE"""),2225.0)</f>
        <v>2225</v>
      </c>
      <c r="E2342" s="39" t="str">
        <f>IFERROR(__xludf.DUMMYFUNCTION("""COMPUTED_VALUE"""),"pallidotegmental tract")</f>
        <v>pallidotegmental tract</v>
      </c>
      <c r="F2342" s="9" t="str">
        <f>IFERROR(__xludf.DUMMYFUNCTION("""COMPUTED_VALUE"""),"Br")</f>
        <v>Br</v>
      </c>
      <c r="G2342" s="9" t="str">
        <f>IFERROR(__xludf.DUMMYFUNCTION("""COMPUTED_VALUE"""),"F")</f>
        <v>F</v>
      </c>
      <c r="H2342" s="9" t="str">
        <f>IFERROR(__xludf.DUMMYFUNCTION("""COMPUTED_VALUE"""),"FWM")</f>
        <v>FWM</v>
      </c>
      <c r="I2342" s="9" t="str">
        <f>IFERROR(__xludf.DUMMYFUNCTION("""COMPUTED_VALUE"""),"FIFT")</f>
        <v>FIFT</v>
      </c>
      <c r="J2342" s="9" t="str">
        <f>IFERROR(__xludf.DUMMYFUNCTION("""COMPUTED_VALUE"""),"ptg")</f>
        <v>ptg</v>
      </c>
      <c r="K2342" s="9"/>
      <c r="L2342" s="9"/>
      <c r="M2342" s="9"/>
      <c r="N2342" s="9"/>
      <c r="O2342" s="9"/>
      <c r="P2342" s="9"/>
      <c r="Q2342" s="9"/>
      <c r="R2342" s="9"/>
      <c r="S2342" s="42"/>
      <c r="T2342" s="42" t="str">
        <f>IFERROR(__xludf.DUMMYFUNCTION("""COMPUTED_VALUE"""),"gyrus")</f>
        <v>gyrus</v>
      </c>
      <c r="U2342" s="42" t="b">
        <f>IFERROR(__xludf.DUMMYFUNCTION("""COMPUTED_VALUE"""),FALSE)</f>
        <v>0</v>
      </c>
      <c r="V2342" s="42"/>
      <c r="W2342" s="42"/>
      <c r="X2342" s="42"/>
      <c r="Y2342" s="42"/>
      <c r="Z2342" s="42"/>
      <c r="AA2342" s="42"/>
      <c r="AB2342" s="42" t="str">
        <f>IFERROR(__xludf.DUMMYFUNCTION("""COMPUTED_VALUE"""),"allen institute")</f>
        <v>allen institute</v>
      </c>
      <c r="AC2342" s="42" t="str">
        <f>IFERROR(__xludf.DUMMYFUNCTION("""COMPUTED_VALUE"""),"DHBA")</f>
        <v>DHBA</v>
      </c>
      <c r="AD2342" s="42"/>
      <c r="AE2342" s="42"/>
      <c r="AF2342" s="9"/>
      <c r="AG2342" s="9"/>
      <c r="AH2342" s="42"/>
      <c r="AI2342" s="42"/>
      <c r="AJ2342" s="42"/>
      <c r="AK2342" s="42"/>
      <c r="AL2342" s="42"/>
      <c r="AM2342" s="42"/>
      <c r="AN2342" s="42"/>
      <c r="AO2342" s="63" t="str">
        <f>IFERROR(__xludf.DUMMYFUNCTION("IF(ISBLANK(A2342),,IF(ISBLANK(S2342), A2342&amp;"";"", TEXTJOIN(CHAR(10), TRUE, A2342&amp;"";"", ARRAYFORMULA(VLOOKUP(SPLIT(S2342, "";"" &amp; CHAR(10)), $A:$AO, 41, FALSE)))))"),"ptg;")</f>
        <v>ptg;</v>
      </c>
      <c r="AP2342" s="89"/>
    </row>
    <row r="2343">
      <c r="A2343" s="151" t="str">
        <f>IFERROR(__xludf.DUMMYFUNCTION("""COMPUTED_VALUE"""),"pth")</f>
        <v>pth</v>
      </c>
      <c r="B2343" s="42" t="str">
        <f>IFERROR(__xludf.DUMMYFUNCTION("""COMPUTED_VALUE"""),"DHBA")</f>
        <v>DHBA</v>
      </c>
      <c r="C2343" s="42" t="str">
        <f>IFERROR(__xludf.DUMMYFUNCTION("""COMPUTED_VALUE"""),"pallidothalamic tract")</f>
        <v>pallidothalamic tract</v>
      </c>
      <c r="D2343" s="42">
        <f>IFERROR(__xludf.DUMMYFUNCTION("""COMPUTED_VALUE"""),2226.0)</f>
        <v>2226</v>
      </c>
      <c r="E2343" s="39" t="str">
        <f>IFERROR(__xludf.DUMMYFUNCTION("""COMPUTED_VALUE"""),"pallidothalamic tract")</f>
        <v>pallidothalamic tract</v>
      </c>
      <c r="F2343" s="9" t="str">
        <f>IFERROR(__xludf.DUMMYFUNCTION("""COMPUTED_VALUE"""),"Br")</f>
        <v>Br</v>
      </c>
      <c r="G2343" s="9" t="str">
        <f>IFERROR(__xludf.DUMMYFUNCTION("""COMPUTED_VALUE"""),"F")</f>
        <v>F</v>
      </c>
      <c r="H2343" s="9" t="str">
        <f>IFERROR(__xludf.DUMMYFUNCTION("""COMPUTED_VALUE"""),"FWM")</f>
        <v>FWM</v>
      </c>
      <c r="I2343" s="9" t="str">
        <f>IFERROR(__xludf.DUMMYFUNCTION("""COMPUTED_VALUE"""),"FIFT")</f>
        <v>FIFT</v>
      </c>
      <c r="J2343" s="9" t="str">
        <f>IFERROR(__xludf.DUMMYFUNCTION("""COMPUTED_VALUE"""),"pth")</f>
        <v>pth</v>
      </c>
      <c r="K2343" s="9"/>
      <c r="L2343" s="9"/>
      <c r="M2343" s="9"/>
      <c r="N2343" s="9"/>
      <c r="O2343" s="9"/>
      <c r="P2343" s="9"/>
      <c r="Q2343" s="9"/>
      <c r="R2343" s="9"/>
      <c r="S2343" s="42"/>
      <c r="T2343" s="42"/>
      <c r="U2343" s="42"/>
      <c r="V2343" s="42"/>
      <c r="W2343" s="42"/>
      <c r="X2343" s="42"/>
      <c r="Y2343" s="42"/>
      <c r="Z2343" s="42"/>
      <c r="AA2343" s="42"/>
      <c r="AB2343" s="42" t="str">
        <f>IFERROR(__xludf.DUMMYFUNCTION("""COMPUTED_VALUE"""),"allen institute")</f>
        <v>allen institute</v>
      </c>
      <c r="AC2343" s="42" t="str">
        <f>IFERROR(__xludf.DUMMYFUNCTION("""COMPUTED_VALUE"""),"DHBA")</f>
        <v>DHBA</v>
      </c>
      <c r="AD2343" s="42"/>
      <c r="AE2343" s="42"/>
      <c r="AF2343" s="9"/>
      <c r="AG2343" s="9"/>
      <c r="AH2343" s="42"/>
      <c r="AI2343" s="42"/>
      <c r="AJ2343" s="42"/>
      <c r="AK2343" s="42"/>
      <c r="AL2343" s="42"/>
      <c r="AM2343" s="42"/>
      <c r="AN2343" s="42"/>
      <c r="AO2343" s="63" t="str">
        <f>IFERROR(__xludf.DUMMYFUNCTION("IF(ISBLANK(A2343),,IF(ISBLANK(S2343), A2343&amp;"";"", TEXTJOIN(CHAR(10), TRUE, A2343&amp;"";"", ARRAYFORMULA(VLOOKUP(SPLIT(S2343, "";"" &amp; CHAR(10)), $A:$AO, 41, FALSE)))))"),"pth;")</f>
        <v>pth;</v>
      </c>
      <c r="AP2343" s="89"/>
    </row>
    <row r="2344">
      <c r="A2344" s="151" t="str">
        <f>IFERROR(__xludf.DUMMYFUNCTION("""COMPUTED_VALUE"""),"perf")</f>
        <v>perf</v>
      </c>
      <c r="B2344" s="42" t="str">
        <f>IFERROR(__xludf.DUMMYFUNCTION("""COMPUTED_VALUE"""),"DHBA")</f>
        <v>DHBA</v>
      </c>
      <c r="C2344" s="42" t="str">
        <f>IFERROR(__xludf.DUMMYFUNCTION("""COMPUTED_VALUE"""),"perforant path")</f>
        <v>perforant path</v>
      </c>
      <c r="D2344" s="42">
        <f>IFERROR(__xludf.DUMMYFUNCTION("""COMPUTED_VALUE"""),2227.0)</f>
        <v>2227</v>
      </c>
      <c r="E2344" s="39" t="str">
        <f>IFERROR(__xludf.DUMMYFUNCTION("""COMPUTED_VALUE"""),"perforant path")</f>
        <v>perforant path</v>
      </c>
      <c r="F2344" s="9" t="str">
        <f>IFERROR(__xludf.DUMMYFUNCTION("""COMPUTED_VALUE"""),"Br")</f>
        <v>Br</v>
      </c>
      <c r="G2344" s="9" t="str">
        <f>IFERROR(__xludf.DUMMYFUNCTION("""COMPUTED_VALUE"""),"F")</f>
        <v>F</v>
      </c>
      <c r="H2344" s="9" t="str">
        <f>IFERROR(__xludf.DUMMYFUNCTION("""COMPUTED_VALUE"""),"FWM")</f>
        <v>FWM</v>
      </c>
      <c r="I2344" s="9" t="str">
        <f>IFERROR(__xludf.DUMMYFUNCTION("""COMPUTED_VALUE"""),"FIFT")</f>
        <v>FIFT</v>
      </c>
      <c r="J2344" s="9" t="str">
        <f>IFERROR(__xludf.DUMMYFUNCTION("""COMPUTED_VALUE"""),"perf")</f>
        <v>perf</v>
      </c>
      <c r="K2344" s="9"/>
      <c r="L2344" s="9"/>
      <c r="M2344" s="9"/>
      <c r="N2344" s="9"/>
      <c r="O2344" s="9"/>
      <c r="P2344" s="9"/>
      <c r="Q2344" s="9"/>
      <c r="R2344" s="9"/>
      <c r="S2344" s="42"/>
      <c r="T2344" s="42"/>
      <c r="U2344" s="42"/>
      <c r="V2344" s="42"/>
      <c r="W2344" s="42"/>
      <c r="X2344" s="42"/>
      <c r="Y2344" s="42"/>
      <c r="Z2344" s="42"/>
      <c r="AA2344" s="42"/>
      <c r="AB2344" s="42" t="str">
        <f>IFERROR(__xludf.DUMMYFUNCTION("""COMPUTED_VALUE"""),"allen institute")</f>
        <v>allen institute</v>
      </c>
      <c r="AC2344" s="42" t="str">
        <f>IFERROR(__xludf.DUMMYFUNCTION("""COMPUTED_VALUE"""),"DHBA")</f>
        <v>DHBA</v>
      </c>
      <c r="AD2344" s="42"/>
      <c r="AE2344" s="42"/>
      <c r="AF2344" s="9"/>
      <c r="AG2344" s="9"/>
      <c r="AH2344" s="42"/>
      <c r="AI2344" s="42"/>
      <c r="AJ2344" s="42"/>
      <c r="AK2344" s="42"/>
      <c r="AL2344" s="42"/>
      <c r="AM2344" s="42"/>
      <c r="AN2344" s="42"/>
      <c r="AO2344" s="63" t="str">
        <f>IFERROR(__xludf.DUMMYFUNCTION("IF(ISBLANK(A2344),,IF(ISBLANK(S2344), A2344&amp;"";"", TEXTJOIN(CHAR(10), TRUE, A2344&amp;"";"", ARRAYFORMULA(VLOOKUP(SPLIT(S2344, "";"" &amp; CHAR(10)), $A:$AO, 41, FALSE)))))"),"perf;")</f>
        <v>perf;</v>
      </c>
      <c r="AP2344" s="89"/>
    </row>
    <row r="2345">
      <c r="A2345" s="151" t="str">
        <f>IFERROR(__xludf.DUMMYFUNCTION("""COMPUTED_VALUE"""),"perp")</f>
        <v>perp</v>
      </c>
      <c r="B2345" s="42" t="str">
        <f>IFERROR(__xludf.DUMMYFUNCTION("""COMPUTED_VALUE"""),"DHBA")</f>
        <v>DHBA</v>
      </c>
      <c r="C2345" s="42" t="str">
        <f>IFERROR(__xludf.DUMMYFUNCTION("""COMPUTED_VALUE"""),"perpendicular fasciculus")</f>
        <v>perpendicular fasciculus</v>
      </c>
      <c r="D2345" s="42">
        <f>IFERROR(__xludf.DUMMYFUNCTION("""COMPUTED_VALUE"""),2228.0)</f>
        <v>2228</v>
      </c>
      <c r="E2345" s="39" t="str">
        <f>IFERROR(__xludf.DUMMYFUNCTION("""COMPUTED_VALUE"""),"perpendicular fasciculus")</f>
        <v>perpendicular fasciculus</v>
      </c>
      <c r="F2345" s="9" t="str">
        <f>IFERROR(__xludf.DUMMYFUNCTION("""COMPUTED_VALUE"""),"Br")</f>
        <v>Br</v>
      </c>
      <c r="G2345" s="9" t="str">
        <f>IFERROR(__xludf.DUMMYFUNCTION("""COMPUTED_VALUE"""),"F")</f>
        <v>F</v>
      </c>
      <c r="H2345" s="9" t="str">
        <f>IFERROR(__xludf.DUMMYFUNCTION("""COMPUTED_VALUE"""),"FWM")</f>
        <v>FWM</v>
      </c>
      <c r="I2345" s="9" t="str">
        <f>IFERROR(__xludf.DUMMYFUNCTION("""COMPUTED_VALUE"""),"FIFT")</f>
        <v>FIFT</v>
      </c>
      <c r="J2345" s="9" t="str">
        <f>IFERROR(__xludf.DUMMYFUNCTION("""COMPUTED_VALUE"""),"perp")</f>
        <v>perp</v>
      </c>
      <c r="K2345" s="9"/>
      <c r="L2345" s="9"/>
      <c r="M2345" s="9"/>
      <c r="N2345" s="9"/>
      <c r="O2345" s="9"/>
      <c r="P2345" s="9"/>
      <c r="Q2345" s="9"/>
      <c r="R2345" s="9"/>
      <c r="S2345" s="42"/>
      <c r="T2345" s="42"/>
      <c r="U2345" s="42"/>
      <c r="V2345" s="42"/>
      <c r="W2345" s="42"/>
      <c r="X2345" s="42"/>
      <c r="Y2345" s="42"/>
      <c r="Z2345" s="42"/>
      <c r="AA2345" s="42"/>
      <c r="AB2345" s="42" t="str">
        <f>IFERROR(__xludf.DUMMYFUNCTION("""COMPUTED_VALUE"""),"allen institute")</f>
        <v>allen institute</v>
      </c>
      <c r="AC2345" s="42" t="str">
        <f>IFERROR(__xludf.DUMMYFUNCTION("""COMPUTED_VALUE"""),"DHBA")</f>
        <v>DHBA</v>
      </c>
      <c r="AD2345" s="42"/>
      <c r="AE2345" s="42"/>
      <c r="AF2345" s="9"/>
      <c r="AG2345" s="9"/>
      <c r="AH2345" s="42"/>
      <c r="AI2345" s="42"/>
      <c r="AJ2345" s="42"/>
      <c r="AK2345" s="42"/>
      <c r="AL2345" s="42"/>
      <c r="AM2345" s="42"/>
      <c r="AN2345" s="42"/>
      <c r="AO2345" s="63" t="str">
        <f>IFERROR(__xludf.DUMMYFUNCTION("IF(ISBLANK(A2345),,IF(ISBLANK(S2345), A2345&amp;"";"", TEXTJOIN(CHAR(10), TRUE, A2345&amp;"";"", ARRAYFORMULA(VLOOKUP(SPLIT(S2345, "";"" &amp; CHAR(10)), $A:$AO, 41, FALSE)))))"),"perp;")</f>
        <v>perp;</v>
      </c>
      <c r="AP2345" s="89"/>
    </row>
    <row r="2346">
      <c r="A2346" s="151" t="str">
        <f>IFERROR(__xludf.DUMMYFUNCTION("""COMPUTED_VALUE"""),"ponb")</f>
        <v>ponb</v>
      </c>
      <c r="B2346" s="42" t="str">
        <f>IFERROR(__xludf.DUMMYFUNCTION("""COMPUTED_VALUE"""),"DHBA")</f>
        <v>DHBA</v>
      </c>
      <c r="C2346" s="42" t="str">
        <f>IFERROR(__xludf.DUMMYFUNCTION("""COMPUTED_VALUE"""),"pontine bundle")</f>
        <v>pontine bundle</v>
      </c>
      <c r="D2346" s="42">
        <f>IFERROR(__xludf.DUMMYFUNCTION("""COMPUTED_VALUE"""),2229.0)</f>
        <v>2229</v>
      </c>
      <c r="E2346" s="39" t="str">
        <f>IFERROR(__xludf.DUMMYFUNCTION("""COMPUTED_VALUE"""),"pontine bundle")</f>
        <v>pontine bundle</v>
      </c>
      <c r="F2346" s="9" t="str">
        <f>IFERROR(__xludf.DUMMYFUNCTION("""COMPUTED_VALUE"""),"Br")</f>
        <v>Br</v>
      </c>
      <c r="G2346" s="9" t="str">
        <f>IFERROR(__xludf.DUMMYFUNCTION("""COMPUTED_VALUE"""),"F")</f>
        <v>F</v>
      </c>
      <c r="H2346" s="9" t="str">
        <f>IFERROR(__xludf.DUMMYFUNCTION("""COMPUTED_VALUE"""),"FWM")</f>
        <v>FWM</v>
      </c>
      <c r="I2346" s="9" t="str">
        <f>IFERROR(__xludf.DUMMYFUNCTION("""COMPUTED_VALUE"""),"FIFT")</f>
        <v>FIFT</v>
      </c>
      <c r="J2346" s="9" t="str">
        <f>IFERROR(__xludf.DUMMYFUNCTION("""COMPUTED_VALUE"""),"ponb")</f>
        <v>ponb</v>
      </c>
      <c r="K2346" s="9"/>
      <c r="L2346" s="9"/>
      <c r="M2346" s="9"/>
      <c r="N2346" s="9"/>
      <c r="O2346" s="9"/>
      <c r="P2346" s="9"/>
      <c r="Q2346" s="9"/>
      <c r="R2346" s="9"/>
      <c r="S2346" s="42"/>
      <c r="T2346" s="42"/>
      <c r="U2346" s="42"/>
      <c r="V2346" s="42"/>
      <c r="W2346" s="42"/>
      <c r="X2346" s="42"/>
      <c r="Y2346" s="42"/>
      <c r="Z2346" s="42"/>
      <c r="AA2346" s="42"/>
      <c r="AB2346" s="42" t="str">
        <f>IFERROR(__xludf.DUMMYFUNCTION("""COMPUTED_VALUE"""),"allen institute")</f>
        <v>allen institute</v>
      </c>
      <c r="AC2346" s="42" t="str">
        <f>IFERROR(__xludf.DUMMYFUNCTION("""COMPUTED_VALUE"""),"DHBA")</f>
        <v>DHBA</v>
      </c>
      <c r="AD2346" s="42"/>
      <c r="AE2346" s="42"/>
      <c r="AF2346" s="9"/>
      <c r="AG2346" s="9"/>
      <c r="AH2346" s="42"/>
      <c r="AI2346" s="42"/>
      <c r="AJ2346" s="42"/>
      <c r="AK2346" s="42"/>
      <c r="AL2346" s="42"/>
      <c r="AM2346" s="42"/>
      <c r="AN2346" s="42"/>
      <c r="AO2346" s="63" t="str">
        <f>IFERROR(__xludf.DUMMYFUNCTION("IF(ISBLANK(A2346),,IF(ISBLANK(S2346), A2346&amp;"";"", TEXTJOIN(CHAR(10), TRUE, A2346&amp;"";"", ARRAYFORMULA(VLOOKUP(SPLIT(S2346, "";"" &amp; CHAR(10)), $A:$AO, 41, FALSE)))))"),"ponb;")</f>
        <v>ponb;</v>
      </c>
      <c r="AP2346" s="89"/>
    </row>
    <row r="2347">
      <c r="A2347" s="151" t="str">
        <f>IFERROR(__xludf.DUMMYFUNCTION("""COMPUTED_VALUE"""),"rthp")</f>
        <v>rthp</v>
      </c>
      <c r="B2347" s="42" t="str">
        <f>IFERROR(__xludf.DUMMYFUNCTION("""COMPUTED_VALUE"""),"DHBA")</f>
        <v>DHBA</v>
      </c>
      <c r="C2347" s="42" t="str">
        <f>IFERROR(__xludf.DUMMYFUNCTION("""COMPUTED_VALUE"""),"rostral thalamic peduncle")</f>
        <v>rostral thalamic peduncle</v>
      </c>
      <c r="D2347" s="42">
        <f>IFERROR(__xludf.DUMMYFUNCTION("""COMPUTED_VALUE"""),2230.0)</f>
        <v>2230</v>
      </c>
      <c r="E2347" s="39" t="str">
        <f>IFERROR(__xludf.DUMMYFUNCTION("""COMPUTED_VALUE"""),"rostral thalamic peduncle")</f>
        <v>rostral thalamic peduncle</v>
      </c>
      <c r="F2347" s="9" t="str">
        <f>IFERROR(__xludf.DUMMYFUNCTION("""COMPUTED_VALUE"""),"Br")</f>
        <v>Br</v>
      </c>
      <c r="G2347" s="9" t="str">
        <f>IFERROR(__xludf.DUMMYFUNCTION("""COMPUTED_VALUE"""),"F")</f>
        <v>F</v>
      </c>
      <c r="H2347" s="9" t="str">
        <f>IFERROR(__xludf.DUMMYFUNCTION("""COMPUTED_VALUE"""),"FWM")</f>
        <v>FWM</v>
      </c>
      <c r="I2347" s="9" t="str">
        <f>IFERROR(__xludf.DUMMYFUNCTION("""COMPUTED_VALUE"""),"FIFT")</f>
        <v>FIFT</v>
      </c>
      <c r="J2347" s="9" t="str">
        <f>IFERROR(__xludf.DUMMYFUNCTION("""COMPUTED_VALUE"""),"rthp")</f>
        <v>rthp</v>
      </c>
      <c r="K2347" s="9"/>
      <c r="L2347" s="9"/>
      <c r="M2347" s="9"/>
      <c r="N2347" s="9"/>
      <c r="O2347" s="9"/>
      <c r="P2347" s="9"/>
      <c r="Q2347" s="9"/>
      <c r="R2347" s="9"/>
      <c r="S2347" s="42"/>
      <c r="T2347" s="42"/>
      <c r="U2347" s="42"/>
      <c r="V2347" s="42"/>
      <c r="W2347" s="42"/>
      <c r="X2347" s="42"/>
      <c r="Y2347" s="42"/>
      <c r="Z2347" s="42"/>
      <c r="AA2347" s="42"/>
      <c r="AB2347" s="42" t="str">
        <f>IFERROR(__xludf.DUMMYFUNCTION("""COMPUTED_VALUE"""),"allen institute")</f>
        <v>allen institute</v>
      </c>
      <c r="AC2347" s="42" t="str">
        <f>IFERROR(__xludf.DUMMYFUNCTION("""COMPUTED_VALUE"""),"DHBA")</f>
        <v>DHBA</v>
      </c>
      <c r="AD2347" s="42"/>
      <c r="AE2347" s="42"/>
      <c r="AF2347" s="9"/>
      <c r="AG2347" s="9"/>
      <c r="AH2347" s="42"/>
      <c r="AI2347" s="42"/>
      <c r="AJ2347" s="42"/>
      <c r="AK2347" s="42"/>
      <c r="AL2347" s="42"/>
      <c r="AM2347" s="42"/>
      <c r="AN2347" s="42"/>
      <c r="AO2347" s="63" t="str">
        <f>IFERROR(__xludf.DUMMYFUNCTION("IF(ISBLANK(A2347),,IF(ISBLANK(S2347), A2347&amp;"";"", TEXTJOIN(CHAR(10), TRUE, A2347&amp;"";"", ARRAYFORMULA(VLOOKUP(SPLIT(S2347, "";"" &amp; CHAR(10)), $A:$AO, 41, FALSE)))))"),"rthp;")</f>
        <v>rthp;</v>
      </c>
      <c r="AP2347" s="89"/>
    </row>
    <row r="2348">
      <c r="A2348" s="151" t="str">
        <f>IFERROR(__xludf.DUMMYFUNCTION("""COMPUTED_VALUE"""),"sst")</f>
        <v>sst</v>
      </c>
      <c r="B2348" s="42" t="str">
        <f>IFERROR(__xludf.DUMMYFUNCTION("""COMPUTED_VALUE"""),"DHBA")</f>
        <v>DHBA</v>
      </c>
      <c r="C2348" s="42" t="str">
        <f>IFERROR(__xludf.DUMMYFUNCTION("""COMPUTED_VALUE"""),"sagittal stratum")</f>
        <v>sagittal stratum</v>
      </c>
      <c r="D2348" s="42">
        <f>IFERROR(__xludf.DUMMYFUNCTION("""COMPUTED_VALUE"""),2231.0)</f>
        <v>2231</v>
      </c>
      <c r="E2348" s="39" t="str">
        <f>IFERROR(__xludf.DUMMYFUNCTION("""COMPUTED_VALUE"""),"sagittal stratum")</f>
        <v>sagittal stratum</v>
      </c>
      <c r="F2348" s="9" t="str">
        <f>IFERROR(__xludf.DUMMYFUNCTION("""COMPUTED_VALUE"""),"Br")</f>
        <v>Br</v>
      </c>
      <c r="G2348" s="9" t="str">
        <f>IFERROR(__xludf.DUMMYFUNCTION("""COMPUTED_VALUE"""),"F")</f>
        <v>F</v>
      </c>
      <c r="H2348" s="9" t="str">
        <f>IFERROR(__xludf.DUMMYFUNCTION("""COMPUTED_VALUE"""),"FWM")</f>
        <v>FWM</v>
      </c>
      <c r="I2348" s="9" t="str">
        <f>IFERROR(__xludf.DUMMYFUNCTION("""COMPUTED_VALUE"""),"FIFT")</f>
        <v>FIFT</v>
      </c>
      <c r="J2348" s="9" t="str">
        <f>IFERROR(__xludf.DUMMYFUNCTION("""COMPUTED_VALUE"""),"sst")</f>
        <v>sst</v>
      </c>
      <c r="K2348" s="9"/>
      <c r="L2348" s="9"/>
      <c r="M2348" s="9"/>
      <c r="N2348" s="9"/>
      <c r="O2348" s="9"/>
      <c r="P2348" s="9"/>
      <c r="Q2348" s="9"/>
      <c r="R2348" s="9"/>
      <c r="S2348" s="42" t="str">
        <f>IFERROR(__xludf.DUMMYFUNCTION("""COMPUTED_VALUE"""),"sste;
ssti")</f>
        <v>sste;
ssti</v>
      </c>
      <c r="T2348" s="42"/>
      <c r="U2348" s="42" t="b">
        <f>IFERROR(__xludf.DUMMYFUNCTION("""COMPUTED_VALUE"""),FALSE)</f>
        <v>0</v>
      </c>
      <c r="V2348" s="42"/>
      <c r="W2348" s="42"/>
      <c r="X2348" s="42"/>
      <c r="Y2348" s="42"/>
      <c r="Z2348" s="42"/>
      <c r="AA2348" s="42"/>
      <c r="AB2348" s="42" t="str">
        <f>IFERROR(__xludf.DUMMYFUNCTION("""COMPUTED_VALUE"""),"allen institute")</f>
        <v>allen institute</v>
      </c>
      <c r="AC2348" s="42" t="str">
        <f>IFERROR(__xludf.DUMMYFUNCTION("""COMPUTED_VALUE"""),"DHBA")</f>
        <v>DHBA</v>
      </c>
      <c r="AD2348" s="42"/>
      <c r="AE2348" s="42"/>
      <c r="AF2348" s="9"/>
      <c r="AG2348" s="9"/>
      <c r="AH2348" s="42"/>
      <c r="AI2348" s="42"/>
      <c r="AJ2348" s="42"/>
      <c r="AK2348" s="42"/>
      <c r="AL2348" s="42"/>
      <c r="AM2348" s="42"/>
      <c r="AN2348" s="42"/>
      <c r="AO2348" s="63" t="str">
        <f>IFERROR(__xludf.DUMMYFUNCTION("IF(ISBLANK(A2348),,IF(ISBLANK(S2348), A2348&amp;"";"", TEXTJOIN(CHAR(10), TRUE, A2348&amp;"";"", ARRAYFORMULA(VLOOKUP(SPLIT(S2348, "";"" &amp; CHAR(10)), $A:$AO, 41, FALSE)))))"),"sst;
sste;
ssti;")</f>
        <v>sst;
sste;
ssti;</v>
      </c>
      <c r="AP2348" s="89"/>
    </row>
    <row r="2349">
      <c r="A2349" s="151" t="str">
        <f>IFERROR(__xludf.DUMMYFUNCTION("""COMPUTED_VALUE"""),"sste")</f>
        <v>sste</v>
      </c>
      <c r="B2349" s="42" t="str">
        <f>IFERROR(__xludf.DUMMYFUNCTION("""COMPUTED_VALUE"""),"DHBA")</f>
        <v>DHBA</v>
      </c>
      <c r="C2349" s="42" t="str">
        <f>IFERROR(__xludf.DUMMYFUNCTION("""COMPUTED_VALUE"""),"external sagittal stratum")</f>
        <v>external sagittal stratum</v>
      </c>
      <c r="D2349" s="42">
        <f>IFERROR(__xludf.DUMMYFUNCTION("""COMPUTED_VALUE"""),2232.0)</f>
        <v>2232</v>
      </c>
      <c r="E2349" s="39" t="str">
        <f>IFERROR(__xludf.DUMMYFUNCTION("""COMPUTED_VALUE"""),"external sagittal stratum")</f>
        <v>external sagittal stratum</v>
      </c>
      <c r="F2349" s="9" t="str">
        <f>IFERROR(__xludf.DUMMYFUNCTION("""COMPUTED_VALUE"""),"Br")</f>
        <v>Br</v>
      </c>
      <c r="G2349" s="9" t="str">
        <f>IFERROR(__xludf.DUMMYFUNCTION("""COMPUTED_VALUE"""),"F")</f>
        <v>F</v>
      </c>
      <c r="H2349" s="9" t="str">
        <f>IFERROR(__xludf.DUMMYFUNCTION("""COMPUTED_VALUE"""),"FWM")</f>
        <v>FWM</v>
      </c>
      <c r="I2349" s="9" t="str">
        <f>IFERROR(__xludf.DUMMYFUNCTION("""COMPUTED_VALUE"""),"FIFT")</f>
        <v>FIFT</v>
      </c>
      <c r="J2349" s="9" t="str">
        <f>IFERROR(__xludf.DUMMYFUNCTION("""COMPUTED_VALUE"""),"sst")</f>
        <v>sst</v>
      </c>
      <c r="K2349" s="9" t="str">
        <f>IFERROR(__xludf.DUMMYFUNCTION("""COMPUTED_VALUE"""),"sste")</f>
        <v>sste</v>
      </c>
      <c r="L2349" s="9"/>
      <c r="M2349" s="9"/>
      <c r="N2349" s="9"/>
      <c r="O2349" s="9"/>
      <c r="P2349" s="9"/>
      <c r="Q2349" s="9"/>
      <c r="R2349" s="9"/>
      <c r="S2349" s="42"/>
      <c r="T2349" s="42"/>
      <c r="U2349" s="42"/>
      <c r="V2349" s="42"/>
      <c r="W2349" s="42"/>
      <c r="X2349" s="42"/>
      <c r="Y2349" s="42"/>
      <c r="Z2349" s="42"/>
      <c r="AA2349" s="42"/>
      <c r="AB2349" s="42" t="str">
        <f>IFERROR(__xludf.DUMMYFUNCTION("""COMPUTED_VALUE"""),"allen institute")</f>
        <v>allen institute</v>
      </c>
      <c r="AC2349" s="42" t="str">
        <f>IFERROR(__xludf.DUMMYFUNCTION("""COMPUTED_VALUE"""),"DHBA")</f>
        <v>DHBA</v>
      </c>
      <c r="AD2349" s="42"/>
      <c r="AE2349" s="42"/>
      <c r="AF2349" s="9"/>
      <c r="AG2349" s="9"/>
      <c r="AH2349" s="42"/>
      <c r="AI2349" s="42"/>
      <c r="AJ2349" s="42"/>
      <c r="AK2349" s="42"/>
      <c r="AL2349" s="42"/>
      <c r="AM2349" s="42"/>
      <c r="AN2349" s="42"/>
      <c r="AO2349" s="63" t="str">
        <f>IFERROR(__xludf.DUMMYFUNCTION("IF(ISBLANK(A2349),,IF(ISBLANK(S2349), A2349&amp;"";"", TEXTJOIN(CHAR(10), TRUE, A2349&amp;"";"", ARRAYFORMULA(VLOOKUP(SPLIT(S2349, "";"" &amp; CHAR(10)), $A:$AO, 41, FALSE)))))"),"sste;")</f>
        <v>sste;</v>
      </c>
      <c r="AP2349" s="89"/>
    </row>
    <row r="2350">
      <c r="A2350" s="151" t="str">
        <f>IFERROR(__xludf.DUMMYFUNCTION("""COMPUTED_VALUE"""),"ssti")</f>
        <v>ssti</v>
      </c>
      <c r="B2350" s="42" t="str">
        <f>IFERROR(__xludf.DUMMYFUNCTION("""COMPUTED_VALUE"""),"DHBA")</f>
        <v>DHBA</v>
      </c>
      <c r="C2350" s="42" t="str">
        <f>IFERROR(__xludf.DUMMYFUNCTION("""COMPUTED_VALUE"""),"internal sagittal stratum")</f>
        <v>internal sagittal stratum</v>
      </c>
      <c r="D2350" s="42">
        <f>IFERROR(__xludf.DUMMYFUNCTION("""COMPUTED_VALUE"""),2233.0)</f>
        <v>2233</v>
      </c>
      <c r="E2350" s="39" t="str">
        <f>IFERROR(__xludf.DUMMYFUNCTION("""COMPUTED_VALUE"""),"internal sagittal stratum")</f>
        <v>internal sagittal stratum</v>
      </c>
      <c r="F2350" s="9" t="str">
        <f>IFERROR(__xludf.DUMMYFUNCTION("""COMPUTED_VALUE"""),"Br")</f>
        <v>Br</v>
      </c>
      <c r="G2350" s="9" t="str">
        <f>IFERROR(__xludf.DUMMYFUNCTION("""COMPUTED_VALUE"""),"F")</f>
        <v>F</v>
      </c>
      <c r="H2350" s="9" t="str">
        <f>IFERROR(__xludf.DUMMYFUNCTION("""COMPUTED_VALUE"""),"FWM")</f>
        <v>FWM</v>
      </c>
      <c r="I2350" s="9" t="str">
        <f>IFERROR(__xludf.DUMMYFUNCTION("""COMPUTED_VALUE"""),"FIFT")</f>
        <v>FIFT</v>
      </c>
      <c r="J2350" s="9" t="str">
        <f>IFERROR(__xludf.DUMMYFUNCTION("""COMPUTED_VALUE"""),"sst")</f>
        <v>sst</v>
      </c>
      <c r="K2350" s="9" t="str">
        <f>IFERROR(__xludf.DUMMYFUNCTION("""COMPUTED_VALUE"""),"ssti")</f>
        <v>ssti</v>
      </c>
      <c r="L2350" s="9"/>
      <c r="M2350" s="9"/>
      <c r="N2350" s="9"/>
      <c r="O2350" s="9"/>
      <c r="P2350" s="9"/>
      <c r="Q2350" s="9"/>
      <c r="R2350" s="9"/>
      <c r="S2350" s="42"/>
      <c r="T2350" s="42"/>
      <c r="U2350" s="42"/>
      <c r="V2350" s="42"/>
      <c r="W2350" s="42"/>
      <c r="X2350" s="42"/>
      <c r="Y2350" s="42"/>
      <c r="Z2350" s="42"/>
      <c r="AA2350" s="42"/>
      <c r="AB2350" s="42" t="str">
        <f>IFERROR(__xludf.DUMMYFUNCTION("""COMPUTED_VALUE"""),"allen institute")</f>
        <v>allen institute</v>
      </c>
      <c r="AC2350" s="42" t="str">
        <f>IFERROR(__xludf.DUMMYFUNCTION("""COMPUTED_VALUE"""),"DHBA")</f>
        <v>DHBA</v>
      </c>
      <c r="AD2350" s="42"/>
      <c r="AE2350" s="42"/>
      <c r="AF2350" s="9"/>
      <c r="AG2350" s="9"/>
      <c r="AH2350" s="42"/>
      <c r="AI2350" s="42"/>
      <c r="AJ2350" s="42"/>
      <c r="AK2350" s="42"/>
      <c r="AL2350" s="42"/>
      <c r="AM2350" s="42"/>
      <c r="AN2350" s="42"/>
      <c r="AO2350" s="63" t="str">
        <f>IFERROR(__xludf.DUMMYFUNCTION("IF(ISBLANK(A2350),,IF(ISBLANK(S2350), A2350&amp;"";"", TEXTJOIN(CHAR(10), TRUE, A2350&amp;"";"", ARRAYFORMULA(VLOOKUP(SPLIT(S2350, "";"" &amp; CHAR(10)), $A:$AO, 41, FALSE)))))"),"ssti;")</f>
        <v>ssti;</v>
      </c>
      <c r="AP2350" s="89"/>
    </row>
    <row r="2351">
      <c r="A2351" s="151" t="str">
        <f>IFERROR(__xludf.DUMMYFUNCTION("""COMPUTED_VALUE"""),"saf")</f>
        <v>saf</v>
      </c>
      <c r="B2351" s="42" t="str">
        <f>IFERROR(__xludf.DUMMYFUNCTION("""COMPUTED_VALUE"""),"DHBA")</f>
        <v>DHBA</v>
      </c>
      <c r="C2351" s="42" t="str">
        <f>IFERROR(__xludf.DUMMYFUNCTION("""COMPUTED_VALUE"""),"short association fibers")</f>
        <v>short association fibers</v>
      </c>
      <c r="D2351" s="42">
        <f>IFERROR(__xludf.DUMMYFUNCTION("""COMPUTED_VALUE"""),2234.0)</f>
        <v>2234</v>
      </c>
      <c r="E2351" s="39" t="str">
        <f>IFERROR(__xludf.DUMMYFUNCTION("""COMPUTED_VALUE"""),"short association fibers")</f>
        <v>short association fibers</v>
      </c>
      <c r="F2351" s="9" t="str">
        <f>IFERROR(__xludf.DUMMYFUNCTION("""COMPUTED_VALUE"""),"Br")</f>
        <v>Br</v>
      </c>
      <c r="G2351" s="9" t="str">
        <f>IFERROR(__xludf.DUMMYFUNCTION("""COMPUTED_VALUE"""),"F")</f>
        <v>F</v>
      </c>
      <c r="H2351" s="9" t="str">
        <f>IFERROR(__xludf.DUMMYFUNCTION("""COMPUTED_VALUE"""),"FWM")</f>
        <v>FWM</v>
      </c>
      <c r="I2351" s="9" t="str">
        <f>IFERROR(__xludf.DUMMYFUNCTION("""COMPUTED_VALUE"""),"FIFT")</f>
        <v>FIFT</v>
      </c>
      <c r="J2351" s="9" t="str">
        <f>IFERROR(__xludf.DUMMYFUNCTION("""COMPUTED_VALUE"""),"saf")</f>
        <v>saf</v>
      </c>
      <c r="K2351" s="9"/>
      <c r="L2351" s="9"/>
      <c r="M2351" s="9"/>
      <c r="N2351" s="9"/>
      <c r="O2351" s="9"/>
      <c r="P2351" s="9"/>
      <c r="Q2351" s="9"/>
      <c r="R2351" s="9"/>
      <c r="S2351" s="42"/>
      <c r="T2351" s="42"/>
      <c r="U2351" s="42"/>
      <c r="V2351" s="42"/>
      <c r="W2351" s="42"/>
      <c r="X2351" s="42"/>
      <c r="Y2351" s="42"/>
      <c r="Z2351" s="42"/>
      <c r="AA2351" s="42"/>
      <c r="AB2351" s="42" t="str">
        <f>IFERROR(__xludf.DUMMYFUNCTION("""COMPUTED_VALUE"""),"allen institute")</f>
        <v>allen institute</v>
      </c>
      <c r="AC2351" s="42" t="str">
        <f>IFERROR(__xludf.DUMMYFUNCTION("""COMPUTED_VALUE"""),"DHBA")</f>
        <v>DHBA</v>
      </c>
      <c r="AD2351" s="42"/>
      <c r="AE2351" s="42"/>
      <c r="AF2351" s="9"/>
      <c r="AG2351" s="9"/>
      <c r="AH2351" s="42"/>
      <c r="AI2351" s="42"/>
      <c r="AJ2351" s="42"/>
      <c r="AK2351" s="42"/>
      <c r="AL2351" s="42"/>
      <c r="AM2351" s="42"/>
      <c r="AN2351" s="42"/>
      <c r="AO2351" s="63" t="str">
        <f>IFERROR(__xludf.DUMMYFUNCTION("IF(ISBLANK(A2351),,IF(ISBLANK(S2351), A2351&amp;"";"", TEXTJOIN(CHAR(10), TRUE, A2351&amp;"";"", ARRAYFORMULA(VLOOKUP(SPLIT(S2351, "";"" &amp; CHAR(10)), $A:$AO, 41, FALSE)))))"),"saf;")</f>
        <v>saf;</v>
      </c>
      <c r="AP2351" s="89"/>
    </row>
    <row r="2352">
      <c r="A2352" s="151" t="str">
        <f>IFERROR(__xludf.DUMMYFUNCTION("""COMPUTED_VALUE"""),"szt")</f>
        <v>szt</v>
      </c>
      <c r="B2352" s="42" t="str">
        <f>IFERROR(__xludf.DUMMYFUNCTION("""COMPUTED_VALUE"""),"DHBA")</f>
        <v>DHBA</v>
      </c>
      <c r="C2352" s="42" t="str">
        <f>IFERROR(__xludf.DUMMYFUNCTION("""COMPUTED_VALUE"""),"stratum zonale of thalamus")</f>
        <v>stratum zonale of thalamus</v>
      </c>
      <c r="D2352" s="42">
        <f>IFERROR(__xludf.DUMMYFUNCTION("""COMPUTED_VALUE"""),2235.0)</f>
        <v>2235</v>
      </c>
      <c r="E2352" s="39" t="str">
        <f>IFERROR(__xludf.DUMMYFUNCTION("""COMPUTED_VALUE"""),"stratum zonale of thalamus")</f>
        <v>stratum zonale of thalamus</v>
      </c>
      <c r="F2352" s="9" t="str">
        <f>IFERROR(__xludf.DUMMYFUNCTION("""COMPUTED_VALUE"""),"Br")</f>
        <v>Br</v>
      </c>
      <c r="G2352" s="9" t="str">
        <f>IFERROR(__xludf.DUMMYFUNCTION("""COMPUTED_VALUE"""),"F")</f>
        <v>F</v>
      </c>
      <c r="H2352" s="9" t="str">
        <f>IFERROR(__xludf.DUMMYFUNCTION("""COMPUTED_VALUE"""),"FWM")</f>
        <v>FWM</v>
      </c>
      <c r="I2352" s="9" t="str">
        <f>IFERROR(__xludf.DUMMYFUNCTION("""COMPUTED_VALUE"""),"FIFT")</f>
        <v>FIFT</v>
      </c>
      <c r="J2352" s="9" t="str">
        <f>IFERROR(__xludf.DUMMYFUNCTION("""COMPUTED_VALUE"""),"szt")</f>
        <v>szt</v>
      </c>
      <c r="K2352" s="9"/>
      <c r="L2352" s="9"/>
      <c r="M2352" s="9"/>
      <c r="N2352" s="9"/>
      <c r="O2352" s="9"/>
      <c r="P2352" s="9"/>
      <c r="Q2352" s="9"/>
      <c r="R2352" s="9"/>
      <c r="S2352" s="42"/>
      <c r="T2352" s="42"/>
      <c r="U2352" s="42"/>
      <c r="V2352" s="42"/>
      <c r="W2352" s="42"/>
      <c r="X2352" s="42"/>
      <c r="Y2352" s="42"/>
      <c r="Z2352" s="42"/>
      <c r="AA2352" s="42"/>
      <c r="AB2352" s="42" t="str">
        <f>IFERROR(__xludf.DUMMYFUNCTION("""COMPUTED_VALUE"""),"allen institute")</f>
        <v>allen institute</v>
      </c>
      <c r="AC2352" s="42" t="str">
        <f>IFERROR(__xludf.DUMMYFUNCTION("""COMPUTED_VALUE"""),"DHBA")</f>
        <v>DHBA</v>
      </c>
      <c r="AD2352" s="42"/>
      <c r="AE2352" s="42"/>
      <c r="AF2352" s="9"/>
      <c r="AG2352" s="9"/>
      <c r="AH2352" s="42"/>
      <c r="AI2352" s="42"/>
      <c r="AJ2352" s="42"/>
      <c r="AK2352" s="42"/>
      <c r="AL2352" s="42"/>
      <c r="AM2352" s="42"/>
      <c r="AN2352" s="42"/>
      <c r="AO2352" s="63" t="str">
        <f>IFERROR(__xludf.DUMMYFUNCTION("IF(ISBLANK(A2352),,IF(ISBLANK(S2352), A2352&amp;"";"", TEXTJOIN(CHAR(10), TRUE, A2352&amp;"";"", ARRAYFORMULA(VLOOKUP(SPLIT(S2352, "";"" &amp; CHAR(10)), $A:$AO, 41, FALSE)))))"),"szt;")</f>
        <v>szt;</v>
      </c>
      <c r="AP2352" s="89"/>
    </row>
    <row r="2353">
      <c r="A2353" s="151" t="str">
        <f>IFERROR(__xludf.DUMMYFUNCTION("""COMPUTED_VALUE"""),"smt")</f>
        <v>smt</v>
      </c>
      <c r="B2353" s="42" t="str">
        <f>IFERROR(__xludf.DUMMYFUNCTION("""COMPUTED_VALUE"""),"DHBA")</f>
        <v>DHBA</v>
      </c>
      <c r="C2353" s="42" t="str">
        <f>IFERROR(__xludf.DUMMYFUNCTION("""COMPUTED_VALUE"""),"stria medullaris of thalamus")</f>
        <v>stria medullaris of thalamus</v>
      </c>
      <c r="D2353" s="42">
        <f>IFERROR(__xludf.DUMMYFUNCTION("""COMPUTED_VALUE"""),2236.0)</f>
        <v>2236</v>
      </c>
      <c r="E2353" s="39" t="str">
        <f>IFERROR(__xludf.DUMMYFUNCTION("""COMPUTED_VALUE"""),"stria medullaris of thalamus")</f>
        <v>stria medullaris of thalamus</v>
      </c>
      <c r="F2353" s="9" t="str">
        <f>IFERROR(__xludf.DUMMYFUNCTION("""COMPUTED_VALUE"""),"Br")</f>
        <v>Br</v>
      </c>
      <c r="G2353" s="9" t="str">
        <f>IFERROR(__xludf.DUMMYFUNCTION("""COMPUTED_VALUE"""),"F")</f>
        <v>F</v>
      </c>
      <c r="H2353" s="9" t="str">
        <f>IFERROR(__xludf.DUMMYFUNCTION("""COMPUTED_VALUE"""),"FWM")</f>
        <v>FWM</v>
      </c>
      <c r="I2353" s="9" t="str">
        <f>IFERROR(__xludf.DUMMYFUNCTION("""COMPUTED_VALUE"""),"FIFT")</f>
        <v>FIFT</v>
      </c>
      <c r="J2353" s="9" t="str">
        <f>IFERROR(__xludf.DUMMYFUNCTION("""COMPUTED_VALUE"""),"smt")</f>
        <v>smt</v>
      </c>
      <c r="K2353" s="9"/>
      <c r="L2353" s="9"/>
      <c r="M2353" s="9"/>
      <c r="N2353" s="9"/>
      <c r="O2353" s="9"/>
      <c r="P2353" s="9"/>
      <c r="Q2353" s="9"/>
      <c r="R2353" s="9"/>
      <c r="S2353" s="42"/>
      <c r="T2353" s="42"/>
      <c r="U2353" s="42"/>
      <c r="V2353" s="42"/>
      <c r="W2353" s="42"/>
      <c r="X2353" s="42"/>
      <c r="Y2353" s="42"/>
      <c r="Z2353" s="42"/>
      <c r="AA2353" s="42"/>
      <c r="AB2353" s="42" t="str">
        <f>IFERROR(__xludf.DUMMYFUNCTION("""COMPUTED_VALUE"""),"allen institute")</f>
        <v>allen institute</v>
      </c>
      <c r="AC2353" s="42" t="str">
        <f>IFERROR(__xludf.DUMMYFUNCTION("""COMPUTED_VALUE"""),"DHBA")</f>
        <v>DHBA</v>
      </c>
      <c r="AD2353" s="42"/>
      <c r="AE2353" s="42"/>
      <c r="AF2353" s="9"/>
      <c r="AG2353" s="9"/>
      <c r="AH2353" s="42"/>
      <c r="AI2353" s="42"/>
      <c r="AJ2353" s="42"/>
      <c r="AK2353" s="42"/>
      <c r="AL2353" s="42"/>
      <c r="AM2353" s="42"/>
      <c r="AN2353" s="42"/>
      <c r="AO2353" s="63" t="str">
        <f>IFERROR(__xludf.DUMMYFUNCTION("IF(ISBLANK(A2353),,IF(ISBLANK(S2353), A2353&amp;"";"", TEXTJOIN(CHAR(10), TRUE, A2353&amp;"";"", ARRAYFORMULA(VLOOKUP(SPLIT(S2353, "";"" &amp; CHAR(10)), $A:$AO, 41, FALSE)))))"),"smt;")</f>
        <v>smt;</v>
      </c>
      <c r="AP2353" s="89"/>
    </row>
    <row r="2354">
      <c r="A2354" s="151" t="str">
        <f>IFERROR(__xludf.DUMMYFUNCTION("""COMPUTED_VALUE"""),"st")</f>
        <v>st</v>
      </c>
      <c r="B2354" s="42" t="str">
        <f>IFERROR(__xludf.DUMMYFUNCTION("""COMPUTED_VALUE"""),"DHBA")</f>
        <v>DHBA</v>
      </c>
      <c r="C2354" s="42" t="str">
        <f>IFERROR(__xludf.DUMMYFUNCTION("""COMPUTED_VALUE"""),"stria terminalis")</f>
        <v>stria terminalis</v>
      </c>
      <c r="D2354" s="42">
        <f>IFERROR(__xludf.DUMMYFUNCTION("""COMPUTED_VALUE"""),2237.0)</f>
        <v>2237</v>
      </c>
      <c r="E2354" s="39" t="str">
        <f>IFERROR(__xludf.DUMMYFUNCTION("""COMPUTED_VALUE"""),"stria terminalis")</f>
        <v>stria terminalis</v>
      </c>
      <c r="F2354" s="9" t="str">
        <f>IFERROR(__xludf.DUMMYFUNCTION("""COMPUTED_VALUE"""),"Br")</f>
        <v>Br</v>
      </c>
      <c r="G2354" s="9" t="str">
        <f>IFERROR(__xludf.DUMMYFUNCTION("""COMPUTED_VALUE"""),"F")</f>
        <v>F</v>
      </c>
      <c r="H2354" s="9" t="str">
        <f>IFERROR(__xludf.DUMMYFUNCTION("""COMPUTED_VALUE"""),"FWM")</f>
        <v>FWM</v>
      </c>
      <c r="I2354" s="9" t="str">
        <f>IFERROR(__xludf.DUMMYFUNCTION("""COMPUTED_VALUE"""),"FIFT")</f>
        <v>FIFT</v>
      </c>
      <c r="J2354" s="9" t="str">
        <f>IFERROR(__xludf.DUMMYFUNCTION("""COMPUTED_VALUE"""),"st")</f>
        <v>st</v>
      </c>
      <c r="K2354" s="9"/>
      <c r="L2354" s="9"/>
      <c r="M2354" s="9"/>
      <c r="N2354" s="9"/>
      <c r="O2354" s="9"/>
      <c r="P2354" s="9"/>
      <c r="Q2354" s="9"/>
      <c r="R2354" s="9"/>
      <c r="S2354" s="42"/>
      <c r="T2354" s="42"/>
      <c r="U2354" s="42"/>
      <c r="V2354" s="42"/>
      <c r="W2354" s="42"/>
      <c r="X2354" s="42"/>
      <c r="Y2354" s="42"/>
      <c r="Z2354" s="42"/>
      <c r="AA2354" s="42"/>
      <c r="AB2354" s="42" t="str">
        <f>IFERROR(__xludf.DUMMYFUNCTION("""COMPUTED_VALUE"""),"allen institute")</f>
        <v>allen institute</v>
      </c>
      <c r="AC2354" s="42" t="str">
        <f>IFERROR(__xludf.DUMMYFUNCTION("""COMPUTED_VALUE"""),"DHBA")</f>
        <v>DHBA</v>
      </c>
      <c r="AD2354" s="42"/>
      <c r="AE2354" s="42"/>
      <c r="AF2354" s="9"/>
      <c r="AG2354" s="9"/>
      <c r="AH2354" s="42"/>
      <c r="AI2354" s="42"/>
      <c r="AJ2354" s="42"/>
      <c r="AK2354" s="42"/>
      <c r="AL2354" s="42"/>
      <c r="AM2354" s="42"/>
      <c r="AN2354" s="42"/>
      <c r="AO2354" s="63" t="str">
        <f>IFERROR(__xludf.DUMMYFUNCTION("IF(ISBLANK(A2354),,IF(ISBLANK(S2354), A2354&amp;"";"", TEXTJOIN(CHAR(10), TRUE, A2354&amp;"";"", ARRAYFORMULA(VLOOKUP(SPLIT(S2354, "";"" &amp; CHAR(10)), $A:$AO, 41, FALSE)))))"),"st;")</f>
        <v>st;</v>
      </c>
      <c r="AP2354" s="89"/>
    </row>
    <row r="2355">
      <c r="A2355" s="151" t="str">
        <f>IFERROR(__xludf.DUMMYFUNCTION("""COMPUTED_VALUE"""),"spa")</f>
        <v>spa</v>
      </c>
      <c r="B2355" s="42" t="str">
        <f>IFERROR(__xludf.DUMMYFUNCTION("""COMPUTED_VALUE"""),"DHBA")</f>
        <v>DHBA</v>
      </c>
      <c r="C2355" s="42" t="str">
        <f>IFERROR(__xludf.DUMMYFUNCTION("""COMPUTED_VALUE"""),"striopallidal tract")</f>
        <v>striopallidal tract</v>
      </c>
      <c r="D2355" s="42">
        <f>IFERROR(__xludf.DUMMYFUNCTION("""COMPUTED_VALUE"""),2238.0)</f>
        <v>2238</v>
      </c>
      <c r="E2355" s="39" t="str">
        <f>IFERROR(__xludf.DUMMYFUNCTION("""COMPUTED_VALUE"""),"striopallidal tract")</f>
        <v>striopallidal tract</v>
      </c>
      <c r="F2355" s="9" t="str">
        <f>IFERROR(__xludf.DUMMYFUNCTION("""COMPUTED_VALUE"""),"Br")</f>
        <v>Br</v>
      </c>
      <c r="G2355" s="9" t="str">
        <f>IFERROR(__xludf.DUMMYFUNCTION("""COMPUTED_VALUE"""),"F")</f>
        <v>F</v>
      </c>
      <c r="H2355" s="9" t="str">
        <f>IFERROR(__xludf.DUMMYFUNCTION("""COMPUTED_VALUE"""),"FWM")</f>
        <v>FWM</v>
      </c>
      <c r="I2355" s="9" t="str">
        <f>IFERROR(__xludf.DUMMYFUNCTION("""COMPUTED_VALUE"""),"FIFT")</f>
        <v>FIFT</v>
      </c>
      <c r="J2355" s="9" t="str">
        <f>IFERROR(__xludf.DUMMYFUNCTION("""COMPUTED_VALUE"""),"spa")</f>
        <v>spa</v>
      </c>
      <c r="K2355" s="9"/>
      <c r="L2355" s="9"/>
      <c r="M2355" s="9"/>
      <c r="N2355" s="9"/>
      <c r="O2355" s="9"/>
      <c r="P2355" s="9"/>
      <c r="Q2355" s="9"/>
      <c r="R2355" s="9"/>
      <c r="S2355" s="42"/>
      <c r="T2355" s="42"/>
      <c r="U2355" s="42"/>
      <c r="V2355" s="42"/>
      <c r="W2355" s="42"/>
      <c r="X2355" s="42"/>
      <c r="Y2355" s="42"/>
      <c r="Z2355" s="42"/>
      <c r="AA2355" s="42"/>
      <c r="AB2355" s="42" t="str">
        <f>IFERROR(__xludf.DUMMYFUNCTION("""COMPUTED_VALUE"""),"allen institute")</f>
        <v>allen institute</v>
      </c>
      <c r="AC2355" s="42" t="str">
        <f>IFERROR(__xludf.DUMMYFUNCTION("""COMPUTED_VALUE"""),"DHBA")</f>
        <v>DHBA</v>
      </c>
      <c r="AD2355" s="42"/>
      <c r="AE2355" s="42"/>
      <c r="AF2355" s="9"/>
      <c r="AG2355" s="9"/>
      <c r="AH2355" s="42"/>
      <c r="AI2355" s="42"/>
      <c r="AJ2355" s="42"/>
      <c r="AK2355" s="42"/>
      <c r="AL2355" s="42"/>
      <c r="AM2355" s="42"/>
      <c r="AN2355" s="42"/>
      <c r="AO2355" s="63" t="str">
        <f>IFERROR(__xludf.DUMMYFUNCTION("IF(ISBLANK(A2355),,IF(ISBLANK(S2355), A2355&amp;"";"", TEXTJOIN(CHAR(10), TRUE, A2355&amp;"";"", ARRAYFORMULA(VLOOKUP(SPLIT(S2355, "";"" &amp; CHAR(10)), $A:$AO, 41, FALSE)))))"),"spa;")</f>
        <v>spa;</v>
      </c>
      <c r="AP2355" s="89"/>
    </row>
    <row r="2356">
      <c r="A2356" s="151" t="str">
        <f>IFERROR(__xludf.DUMMYFUNCTION("""COMPUTED_VALUE"""),"sni")</f>
        <v>sni</v>
      </c>
      <c r="B2356" s="42" t="str">
        <f>IFERROR(__xludf.DUMMYFUNCTION("""COMPUTED_VALUE"""),"DHBA")</f>
        <v>DHBA</v>
      </c>
      <c r="C2356" s="42" t="str">
        <f>IFERROR(__xludf.DUMMYFUNCTION("""COMPUTED_VALUE"""),"strionigral tract")</f>
        <v>strionigral tract</v>
      </c>
      <c r="D2356" s="42">
        <f>IFERROR(__xludf.DUMMYFUNCTION("""COMPUTED_VALUE"""),2239.0)</f>
        <v>2239</v>
      </c>
      <c r="E2356" s="39" t="str">
        <f>IFERROR(__xludf.DUMMYFUNCTION("""COMPUTED_VALUE"""),"strionigral tract")</f>
        <v>strionigral tract</v>
      </c>
      <c r="F2356" s="9" t="str">
        <f>IFERROR(__xludf.DUMMYFUNCTION("""COMPUTED_VALUE"""),"Br")</f>
        <v>Br</v>
      </c>
      <c r="G2356" s="9" t="str">
        <f>IFERROR(__xludf.DUMMYFUNCTION("""COMPUTED_VALUE"""),"F")</f>
        <v>F</v>
      </c>
      <c r="H2356" s="9" t="str">
        <f>IFERROR(__xludf.DUMMYFUNCTION("""COMPUTED_VALUE"""),"FWM")</f>
        <v>FWM</v>
      </c>
      <c r="I2356" s="9" t="str">
        <f>IFERROR(__xludf.DUMMYFUNCTION("""COMPUTED_VALUE"""),"FIFT")</f>
        <v>FIFT</v>
      </c>
      <c r="J2356" s="9" t="str">
        <f>IFERROR(__xludf.DUMMYFUNCTION("""COMPUTED_VALUE"""),"sni")</f>
        <v>sni</v>
      </c>
      <c r="K2356" s="9"/>
      <c r="L2356" s="9"/>
      <c r="M2356" s="9"/>
      <c r="N2356" s="9"/>
      <c r="O2356" s="9"/>
      <c r="P2356" s="9"/>
      <c r="Q2356" s="9"/>
      <c r="R2356" s="9"/>
      <c r="S2356" s="42"/>
      <c r="T2356" s="42"/>
      <c r="U2356" s="42"/>
      <c r="V2356" s="42"/>
      <c r="W2356" s="42"/>
      <c r="X2356" s="42"/>
      <c r="Y2356" s="42"/>
      <c r="Z2356" s="42"/>
      <c r="AA2356" s="42"/>
      <c r="AB2356" s="42" t="str">
        <f>IFERROR(__xludf.DUMMYFUNCTION("""COMPUTED_VALUE"""),"allen institute")</f>
        <v>allen institute</v>
      </c>
      <c r="AC2356" s="42" t="str">
        <f>IFERROR(__xludf.DUMMYFUNCTION("""COMPUTED_VALUE"""),"DHBA")</f>
        <v>DHBA</v>
      </c>
      <c r="AD2356" s="42"/>
      <c r="AE2356" s="42"/>
      <c r="AF2356" s="9"/>
      <c r="AG2356" s="9"/>
      <c r="AH2356" s="42"/>
      <c r="AI2356" s="42"/>
      <c r="AJ2356" s="42"/>
      <c r="AK2356" s="42"/>
      <c r="AL2356" s="42"/>
      <c r="AM2356" s="42"/>
      <c r="AN2356" s="42"/>
      <c r="AO2356" s="63" t="str">
        <f>IFERROR(__xludf.DUMMYFUNCTION("IF(ISBLANK(A2356),,IF(ISBLANK(S2356), A2356&amp;"";"", TEXTJOIN(CHAR(10), TRUE, A2356&amp;"";"", ARRAYFORMULA(VLOOKUP(SPLIT(S2356, "";"" &amp; CHAR(10)), $A:$AO, 41, FALSE)))))"),"sni;")</f>
        <v>sni;</v>
      </c>
      <c r="AP2356" s="89"/>
    </row>
    <row r="2357">
      <c r="A2357" s="151" t="str">
        <f>IFERROR(__xludf.DUMMYFUNCTION("""COMPUTED_VALUE"""),"sth")</f>
        <v>sth</v>
      </c>
      <c r="B2357" s="42" t="str">
        <f>IFERROR(__xludf.DUMMYFUNCTION("""COMPUTED_VALUE"""),"DHBA")</f>
        <v>DHBA</v>
      </c>
      <c r="C2357" s="42" t="str">
        <f>IFERROR(__xludf.DUMMYFUNCTION("""COMPUTED_VALUE"""),"striothalamic tract")</f>
        <v>striothalamic tract</v>
      </c>
      <c r="D2357" s="42">
        <f>IFERROR(__xludf.DUMMYFUNCTION("""COMPUTED_VALUE"""),2240.0)</f>
        <v>2240</v>
      </c>
      <c r="E2357" s="39" t="str">
        <f>IFERROR(__xludf.DUMMYFUNCTION("""COMPUTED_VALUE"""),"striothalamic tract")</f>
        <v>striothalamic tract</v>
      </c>
      <c r="F2357" s="9" t="str">
        <f>IFERROR(__xludf.DUMMYFUNCTION("""COMPUTED_VALUE"""),"Br")</f>
        <v>Br</v>
      </c>
      <c r="G2357" s="9" t="str">
        <f>IFERROR(__xludf.DUMMYFUNCTION("""COMPUTED_VALUE"""),"F")</f>
        <v>F</v>
      </c>
      <c r="H2357" s="9" t="str">
        <f>IFERROR(__xludf.DUMMYFUNCTION("""COMPUTED_VALUE"""),"FWM")</f>
        <v>FWM</v>
      </c>
      <c r="I2357" s="9" t="str">
        <f>IFERROR(__xludf.DUMMYFUNCTION("""COMPUTED_VALUE"""),"FIFT")</f>
        <v>FIFT</v>
      </c>
      <c r="J2357" s="9" t="str">
        <f>IFERROR(__xludf.DUMMYFUNCTION("""COMPUTED_VALUE"""),"sth")</f>
        <v>sth</v>
      </c>
      <c r="K2357" s="9"/>
      <c r="L2357" s="9"/>
      <c r="M2357" s="9"/>
      <c r="N2357" s="9"/>
      <c r="O2357" s="9"/>
      <c r="P2357" s="9"/>
      <c r="Q2357" s="9"/>
      <c r="R2357" s="9"/>
      <c r="S2357" s="42"/>
      <c r="T2357" s="42"/>
      <c r="U2357" s="42"/>
      <c r="V2357" s="42"/>
      <c r="W2357" s="42"/>
      <c r="X2357" s="42"/>
      <c r="Y2357" s="42"/>
      <c r="Z2357" s="42"/>
      <c r="AA2357" s="42"/>
      <c r="AB2357" s="42" t="str">
        <f>IFERROR(__xludf.DUMMYFUNCTION("""COMPUTED_VALUE"""),"allen institute")</f>
        <v>allen institute</v>
      </c>
      <c r="AC2357" s="42" t="str">
        <f>IFERROR(__xludf.DUMMYFUNCTION("""COMPUTED_VALUE"""),"DHBA")</f>
        <v>DHBA</v>
      </c>
      <c r="AD2357" s="42"/>
      <c r="AE2357" s="42"/>
      <c r="AF2357" s="9"/>
      <c r="AG2357" s="9"/>
      <c r="AH2357" s="42"/>
      <c r="AI2357" s="42"/>
      <c r="AJ2357" s="42"/>
      <c r="AK2357" s="42"/>
      <c r="AL2357" s="42"/>
      <c r="AM2357" s="42"/>
      <c r="AN2357" s="42"/>
      <c r="AO2357" s="63" t="str">
        <f>IFERROR(__xludf.DUMMYFUNCTION("IF(ISBLANK(A2357),,IF(ISBLANK(S2357), A2357&amp;"";"", TEXTJOIN(CHAR(10), TRUE, A2357&amp;"";"", ARRAYFORMULA(VLOOKUP(SPLIT(S2357, "";"" &amp; CHAR(10)), $A:$AO, 41, FALSE)))))"),"sth;")</f>
        <v>sth;</v>
      </c>
      <c r="AP2357" s="89"/>
    </row>
    <row r="2358">
      <c r="A2358" s="151" t="str">
        <f>IFERROR(__xludf.DUMMYFUNCTION("""COMPUTED_VALUE"""),"scf")</f>
        <v>scf</v>
      </c>
      <c r="B2358" s="42" t="str">
        <f>IFERROR(__xludf.DUMMYFUNCTION("""COMPUTED_VALUE"""),"DHBA")</f>
        <v>DHBA</v>
      </c>
      <c r="C2358" s="42" t="str">
        <f>IFERROR(__xludf.DUMMYFUNCTION("""COMPUTED_VALUE"""),"subcallosal fasciculus")</f>
        <v>subcallosal fasciculus</v>
      </c>
      <c r="D2358" s="42">
        <f>IFERROR(__xludf.DUMMYFUNCTION("""COMPUTED_VALUE"""),2241.0)</f>
        <v>2241</v>
      </c>
      <c r="E2358" s="39" t="str">
        <f>IFERROR(__xludf.DUMMYFUNCTION("""COMPUTED_VALUE"""),"subcallosal fasciculus")</f>
        <v>subcallosal fasciculus</v>
      </c>
      <c r="F2358" s="9" t="str">
        <f>IFERROR(__xludf.DUMMYFUNCTION("""COMPUTED_VALUE"""),"Br")</f>
        <v>Br</v>
      </c>
      <c r="G2358" s="9" t="str">
        <f>IFERROR(__xludf.DUMMYFUNCTION("""COMPUTED_VALUE"""),"F")</f>
        <v>F</v>
      </c>
      <c r="H2358" s="9" t="str">
        <f>IFERROR(__xludf.DUMMYFUNCTION("""COMPUTED_VALUE"""),"FWM")</f>
        <v>FWM</v>
      </c>
      <c r="I2358" s="9" t="str">
        <f>IFERROR(__xludf.DUMMYFUNCTION("""COMPUTED_VALUE"""),"FIFT")</f>
        <v>FIFT</v>
      </c>
      <c r="J2358" s="9" t="str">
        <f>IFERROR(__xludf.DUMMYFUNCTION("""COMPUTED_VALUE"""),"scf")</f>
        <v>scf</v>
      </c>
      <c r="K2358" s="9"/>
      <c r="L2358" s="9"/>
      <c r="M2358" s="9"/>
      <c r="N2358" s="9"/>
      <c r="O2358" s="9"/>
      <c r="P2358" s="9"/>
      <c r="Q2358" s="9"/>
      <c r="R2358" s="9"/>
      <c r="S2358" s="42"/>
      <c r="T2358" s="42"/>
      <c r="U2358" s="159"/>
      <c r="V2358" s="42"/>
      <c r="W2358" s="42"/>
      <c r="X2358" s="42"/>
      <c r="Y2358" s="42"/>
      <c r="Z2358" s="42"/>
      <c r="AA2358" s="42"/>
      <c r="AB2358" s="42" t="str">
        <f>IFERROR(__xludf.DUMMYFUNCTION("""COMPUTED_VALUE"""),"allen institute")</f>
        <v>allen institute</v>
      </c>
      <c r="AC2358" s="42" t="str">
        <f>IFERROR(__xludf.DUMMYFUNCTION("""COMPUTED_VALUE"""),"DHBA")</f>
        <v>DHBA</v>
      </c>
      <c r="AD2358" s="42"/>
      <c r="AE2358" s="42"/>
      <c r="AF2358" s="9"/>
      <c r="AG2358" s="9"/>
      <c r="AH2358" s="42"/>
      <c r="AI2358" s="42"/>
      <c r="AJ2358" s="42"/>
      <c r="AK2358" s="42"/>
      <c r="AL2358" s="42"/>
      <c r="AM2358" s="42"/>
      <c r="AN2358" s="42"/>
      <c r="AO2358" s="63" t="str">
        <f>IFERROR(__xludf.DUMMYFUNCTION("IF(ISBLANK(A2358),,IF(ISBLANK(S2358), A2358&amp;"";"", TEXTJOIN(CHAR(10), TRUE, A2358&amp;"";"", ARRAYFORMULA(VLOOKUP(SPLIT(S2358, "";"" &amp; CHAR(10)), $A:$AO, 41, FALSE)))))"),"scf;")</f>
        <v>scf;</v>
      </c>
      <c r="AP2358" s="89"/>
    </row>
    <row r="2359">
      <c r="A2359" s="151" t="str">
        <f>IFERROR(__xludf.DUMMYFUNCTION("""COMPUTED_VALUE"""),"sthf")</f>
        <v>sthf</v>
      </c>
      <c r="B2359" s="42" t="str">
        <f>IFERROR(__xludf.DUMMYFUNCTION("""COMPUTED_VALUE"""),"DHBA")</f>
        <v>DHBA</v>
      </c>
      <c r="C2359" s="42" t="str">
        <f>IFERROR(__xludf.DUMMYFUNCTION("""COMPUTED_VALUE"""),"subthalamic fasciculus")</f>
        <v>subthalamic fasciculus</v>
      </c>
      <c r="D2359" s="42">
        <f>IFERROR(__xludf.DUMMYFUNCTION("""COMPUTED_VALUE"""),2242.0)</f>
        <v>2242</v>
      </c>
      <c r="E2359" s="39" t="str">
        <f>IFERROR(__xludf.DUMMYFUNCTION("""COMPUTED_VALUE"""),"subthalamic fasciculus")</f>
        <v>subthalamic fasciculus</v>
      </c>
      <c r="F2359" s="9" t="str">
        <f>IFERROR(__xludf.DUMMYFUNCTION("""COMPUTED_VALUE"""),"Br")</f>
        <v>Br</v>
      </c>
      <c r="G2359" s="9" t="str">
        <f>IFERROR(__xludf.DUMMYFUNCTION("""COMPUTED_VALUE"""),"F")</f>
        <v>F</v>
      </c>
      <c r="H2359" s="9" t="str">
        <f>IFERROR(__xludf.DUMMYFUNCTION("""COMPUTED_VALUE"""),"FWM")</f>
        <v>FWM</v>
      </c>
      <c r="I2359" s="9" t="str">
        <f>IFERROR(__xludf.DUMMYFUNCTION("""COMPUTED_VALUE"""),"FIFT")</f>
        <v>FIFT</v>
      </c>
      <c r="J2359" s="9" t="str">
        <f>IFERROR(__xludf.DUMMYFUNCTION("""COMPUTED_VALUE"""),"sthf")</f>
        <v>sthf</v>
      </c>
      <c r="K2359" s="9"/>
      <c r="L2359" s="9"/>
      <c r="M2359" s="9"/>
      <c r="N2359" s="9"/>
      <c r="O2359" s="9"/>
      <c r="P2359" s="9"/>
      <c r="Q2359" s="9"/>
      <c r="R2359" s="9"/>
      <c r="S2359" s="42"/>
      <c r="T2359" s="42"/>
      <c r="U2359" s="159"/>
      <c r="V2359" s="42"/>
      <c r="W2359" s="42"/>
      <c r="X2359" s="42"/>
      <c r="Y2359" s="42"/>
      <c r="Z2359" s="42"/>
      <c r="AA2359" s="42"/>
      <c r="AB2359" s="42" t="str">
        <f>IFERROR(__xludf.DUMMYFUNCTION("""COMPUTED_VALUE"""),"allen institute")</f>
        <v>allen institute</v>
      </c>
      <c r="AC2359" s="42" t="str">
        <f>IFERROR(__xludf.DUMMYFUNCTION("""COMPUTED_VALUE"""),"DHBA")</f>
        <v>DHBA</v>
      </c>
      <c r="AD2359" s="42"/>
      <c r="AE2359" s="42"/>
      <c r="AF2359" s="9"/>
      <c r="AG2359" s="9"/>
      <c r="AH2359" s="42"/>
      <c r="AI2359" s="42"/>
      <c r="AJ2359" s="42"/>
      <c r="AK2359" s="42"/>
      <c r="AL2359" s="42"/>
      <c r="AM2359" s="42"/>
      <c r="AN2359" s="42"/>
      <c r="AO2359" s="63" t="str">
        <f>IFERROR(__xludf.DUMMYFUNCTION("IF(ISBLANK(A2359),,IF(ISBLANK(S2359), A2359&amp;"";"", TEXTJOIN(CHAR(10), TRUE, A2359&amp;"";"", ARRAYFORMULA(VLOOKUP(SPLIT(S2359, "";"" &amp; CHAR(10)), $A:$AO, 41, FALSE)))))"),"sthf;")</f>
        <v>sthf;</v>
      </c>
      <c r="AP2359" s="89"/>
    </row>
    <row r="2360">
      <c r="A2360" s="151" t="str">
        <f>IFERROR(__xludf.DUMMYFUNCTION("""COMPUTED_VALUE"""),"sprs")</f>
        <v>sprs</v>
      </c>
      <c r="B2360" s="42" t="str">
        <f>IFERROR(__xludf.DUMMYFUNCTION("""COMPUTED_VALUE"""),"DHBA")</f>
        <v>DHBA</v>
      </c>
      <c r="C2360" s="42" t="str">
        <f>IFERROR(__xludf.DUMMYFUNCTION("""COMPUTED_VALUE"""),"superficial presubicular path")</f>
        <v>superficial presubicular path</v>
      </c>
      <c r="D2360" s="42">
        <f>IFERROR(__xludf.DUMMYFUNCTION("""COMPUTED_VALUE"""),2243.0)</f>
        <v>2243</v>
      </c>
      <c r="E2360" s="39" t="str">
        <f>IFERROR(__xludf.DUMMYFUNCTION("""COMPUTED_VALUE"""),"superficial presubicular path")</f>
        <v>superficial presubicular path</v>
      </c>
      <c r="F2360" s="9" t="str">
        <f>IFERROR(__xludf.DUMMYFUNCTION("""COMPUTED_VALUE"""),"Br")</f>
        <v>Br</v>
      </c>
      <c r="G2360" s="9" t="str">
        <f>IFERROR(__xludf.DUMMYFUNCTION("""COMPUTED_VALUE"""),"F")</f>
        <v>F</v>
      </c>
      <c r="H2360" s="9" t="str">
        <f>IFERROR(__xludf.DUMMYFUNCTION("""COMPUTED_VALUE"""),"FWM")</f>
        <v>FWM</v>
      </c>
      <c r="I2360" s="9" t="str">
        <f>IFERROR(__xludf.DUMMYFUNCTION("""COMPUTED_VALUE"""),"FIFT")</f>
        <v>FIFT</v>
      </c>
      <c r="J2360" s="9" t="str">
        <f>IFERROR(__xludf.DUMMYFUNCTION("""COMPUTED_VALUE"""),"sprs")</f>
        <v>sprs</v>
      </c>
      <c r="K2360" s="9"/>
      <c r="L2360" s="9"/>
      <c r="M2360" s="9"/>
      <c r="N2360" s="9"/>
      <c r="O2360" s="9"/>
      <c r="P2360" s="9"/>
      <c r="Q2360" s="9"/>
      <c r="R2360" s="9"/>
      <c r="S2360" s="42"/>
      <c r="T2360" s="42"/>
      <c r="U2360" s="159"/>
      <c r="V2360" s="42"/>
      <c r="W2360" s="42"/>
      <c r="X2360" s="42"/>
      <c r="Y2360" s="42"/>
      <c r="Z2360" s="42"/>
      <c r="AA2360" s="42"/>
      <c r="AB2360" s="42" t="str">
        <f>IFERROR(__xludf.DUMMYFUNCTION("""COMPUTED_VALUE"""),"allen institute")</f>
        <v>allen institute</v>
      </c>
      <c r="AC2360" s="42" t="str">
        <f>IFERROR(__xludf.DUMMYFUNCTION("""COMPUTED_VALUE"""),"DHBA")</f>
        <v>DHBA</v>
      </c>
      <c r="AD2360" s="42"/>
      <c r="AE2360" s="42"/>
      <c r="AF2360" s="9"/>
      <c r="AG2360" s="9"/>
      <c r="AH2360" s="42"/>
      <c r="AI2360" s="42"/>
      <c r="AJ2360" s="42"/>
      <c r="AK2360" s="42"/>
      <c r="AL2360" s="42"/>
      <c r="AM2360" s="42"/>
      <c r="AN2360" s="42"/>
      <c r="AO2360" s="63" t="str">
        <f>IFERROR(__xludf.DUMMYFUNCTION("IF(ISBLANK(A2360),,IF(ISBLANK(S2360), A2360&amp;"";"", TEXTJOIN(CHAR(10), TRUE, A2360&amp;"";"", ARRAYFORMULA(VLOOKUP(SPLIT(S2360, "";"" &amp; CHAR(10)), $A:$AO, 41, FALSE)))))"),"sprs;")</f>
        <v>sprs;</v>
      </c>
      <c r="AP2360" s="89"/>
    </row>
    <row r="2361">
      <c r="A2361" s="151" t="str">
        <f>IFERROR(__xludf.DUMMYFUNCTION("""COMPUTED_VALUE"""),"slf")</f>
        <v>slf</v>
      </c>
      <c r="B2361" s="42" t="str">
        <f>IFERROR(__xludf.DUMMYFUNCTION("""COMPUTED_VALUE"""),"DHBA")</f>
        <v>DHBA</v>
      </c>
      <c r="C2361" s="42" t="str">
        <f>IFERROR(__xludf.DUMMYFUNCTION("""COMPUTED_VALUE"""),"superior longitudinal fasciculus")</f>
        <v>superior longitudinal fasciculus</v>
      </c>
      <c r="D2361" s="42">
        <f>IFERROR(__xludf.DUMMYFUNCTION("""COMPUTED_VALUE"""),2244.0)</f>
        <v>2244</v>
      </c>
      <c r="E2361" s="39" t="str">
        <f>IFERROR(__xludf.DUMMYFUNCTION("""COMPUTED_VALUE"""),"superior longitudinal fasciculus")</f>
        <v>superior longitudinal fasciculus</v>
      </c>
      <c r="F2361" s="9" t="str">
        <f>IFERROR(__xludf.DUMMYFUNCTION("""COMPUTED_VALUE"""),"Br")</f>
        <v>Br</v>
      </c>
      <c r="G2361" s="9" t="str">
        <f>IFERROR(__xludf.DUMMYFUNCTION("""COMPUTED_VALUE"""),"F")</f>
        <v>F</v>
      </c>
      <c r="H2361" s="9" t="str">
        <f>IFERROR(__xludf.DUMMYFUNCTION("""COMPUTED_VALUE"""),"FWM")</f>
        <v>FWM</v>
      </c>
      <c r="I2361" s="9" t="str">
        <f>IFERROR(__xludf.DUMMYFUNCTION("""COMPUTED_VALUE"""),"FIFT")</f>
        <v>FIFT</v>
      </c>
      <c r="J2361" s="9" t="str">
        <f>IFERROR(__xludf.DUMMYFUNCTION("""COMPUTED_VALUE"""),"slf")</f>
        <v>slf</v>
      </c>
      <c r="K2361" s="9"/>
      <c r="L2361" s="9"/>
      <c r="M2361" s="9"/>
      <c r="N2361" s="9"/>
      <c r="O2361" s="9"/>
      <c r="P2361" s="9"/>
      <c r="Q2361" s="9"/>
      <c r="R2361" s="9"/>
      <c r="S2361" s="42" t="str">
        <f>IFERROR(__xludf.DUMMYFUNCTION("""COMPUTED_VALUE"""),"slf_m;
slf_i;
slf_l")</f>
        <v>slf_m;
slf_i;
slf_l</v>
      </c>
      <c r="T2361" s="42"/>
      <c r="U2361" s="159" t="b">
        <f>IFERROR(__xludf.DUMMYFUNCTION("""COMPUTED_VALUE"""),FALSE)</f>
        <v>0</v>
      </c>
      <c r="V2361" s="42"/>
      <c r="W2361" s="42"/>
      <c r="X2361" s="42"/>
      <c r="Y2361" s="42"/>
      <c r="Z2361" s="42"/>
      <c r="AA2361" s="42"/>
      <c r="AB2361" s="42" t="str">
        <f>IFERROR(__xludf.DUMMYFUNCTION("""COMPUTED_VALUE"""),"allen institute")</f>
        <v>allen institute</v>
      </c>
      <c r="AC2361" s="42" t="str">
        <f>IFERROR(__xludf.DUMMYFUNCTION("""COMPUTED_VALUE"""),"DHBA")</f>
        <v>DHBA</v>
      </c>
      <c r="AD2361" s="42"/>
      <c r="AE2361" s="42"/>
      <c r="AF2361" s="9"/>
      <c r="AG2361" s="9"/>
      <c r="AH2361" s="42"/>
      <c r="AI2361" s="42"/>
      <c r="AJ2361" s="42"/>
      <c r="AK2361" s="42"/>
      <c r="AL2361" s="42"/>
      <c r="AM2361" s="42"/>
      <c r="AN2361" s="42"/>
      <c r="AO2361" s="63" t="str">
        <f>IFERROR(__xludf.DUMMYFUNCTION("IF(ISBLANK(A2361),,IF(ISBLANK(S2361), A2361&amp;"";"", TEXTJOIN(CHAR(10), TRUE, A2361&amp;"";"", ARRAYFORMULA(VLOOKUP(SPLIT(S2361, "";"" &amp; CHAR(10)), $A:$AO, 41, FALSE)))))"),"#N/A")</f>
        <v>#N/A</v>
      </c>
      <c r="AP2361" s="89"/>
    </row>
    <row r="2362">
      <c r="A2362" s="151" t="str">
        <f>IFERROR(__xludf.DUMMYFUNCTION("""COMPUTED_VALUE"""),"slf-m")</f>
        <v>slf-m</v>
      </c>
      <c r="B2362" s="42" t="str">
        <f>IFERROR(__xludf.DUMMYFUNCTION("""COMPUTED_VALUE"""),"DHBA")</f>
        <v>DHBA</v>
      </c>
      <c r="C2362" s="42" t="str">
        <f>IFERROR(__xludf.DUMMYFUNCTION("""COMPUTED_VALUE"""),"superior longitudinal fasciculus, medial portion")</f>
        <v>superior longitudinal fasciculus, medial portion</v>
      </c>
      <c r="D2362" s="42">
        <f>IFERROR(__xludf.DUMMYFUNCTION("""COMPUTED_VALUE"""),2245.0)</f>
        <v>2245</v>
      </c>
      <c r="E2362" s="39" t="str">
        <f>IFERROR(__xludf.DUMMYFUNCTION("""COMPUTED_VALUE"""),"superior longitudinal fasciculus, medial portion")</f>
        <v>superior longitudinal fasciculus, medial portion</v>
      </c>
      <c r="F2362" s="9" t="str">
        <f>IFERROR(__xludf.DUMMYFUNCTION("""COMPUTED_VALUE"""),"Br")</f>
        <v>Br</v>
      </c>
      <c r="G2362" s="9" t="str">
        <f>IFERROR(__xludf.DUMMYFUNCTION("""COMPUTED_VALUE"""),"F")</f>
        <v>F</v>
      </c>
      <c r="H2362" s="9" t="str">
        <f>IFERROR(__xludf.DUMMYFUNCTION("""COMPUTED_VALUE"""),"FWM")</f>
        <v>FWM</v>
      </c>
      <c r="I2362" s="9" t="str">
        <f>IFERROR(__xludf.DUMMYFUNCTION("""COMPUTED_VALUE"""),"FIFT")</f>
        <v>FIFT</v>
      </c>
      <c r="J2362" s="9" t="str">
        <f>IFERROR(__xludf.DUMMYFUNCTION("""COMPUTED_VALUE"""),"slf")</f>
        <v>slf</v>
      </c>
      <c r="K2362" s="9" t="str">
        <f>IFERROR(__xludf.DUMMYFUNCTION("""COMPUTED_VALUE"""),"slf-m")</f>
        <v>slf-m</v>
      </c>
      <c r="L2362" s="9"/>
      <c r="M2362" s="9"/>
      <c r="N2362" s="9"/>
      <c r="O2362" s="9"/>
      <c r="P2362" s="9"/>
      <c r="Q2362" s="9"/>
      <c r="R2362" s="9"/>
      <c r="S2362" s="42"/>
      <c r="T2362" s="42"/>
      <c r="U2362" s="42"/>
      <c r="V2362" s="42"/>
      <c r="W2362" s="42"/>
      <c r="X2362" s="42"/>
      <c r="Y2362" s="42"/>
      <c r="Z2362" s="42"/>
      <c r="AA2362" s="42"/>
      <c r="AB2362" s="42" t="str">
        <f>IFERROR(__xludf.DUMMYFUNCTION("""COMPUTED_VALUE"""),"allen institute")</f>
        <v>allen institute</v>
      </c>
      <c r="AC2362" s="42" t="str">
        <f>IFERROR(__xludf.DUMMYFUNCTION("""COMPUTED_VALUE"""),"DHBA")</f>
        <v>DHBA</v>
      </c>
      <c r="AD2362" s="42"/>
      <c r="AE2362" s="42"/>
      <c r="AF2362" s="9"/>
      <c r="AG2362" s="9"/>
      <c r="AH2362" s="42"/>
      <c r="AI2362" s="42"/>
      <c r="AJ2362" s="42"/>
      <c r="AK2362" s="42"/>
      <c r="AL2362" s="42"/>
      <c r="AM2362" s="42"/>
      <c r="AN2362" s="42"/>
      <c r="AO2362" s="63" t="str">
        <f>IFERROR(__xludf.DUMMYFUNCTION("IF(ISBLANK(A2362),,IF(ISBLANK(S2362), A2362&amp;"";"", TEXTJOIN(CHAR(10), TRUE, A2362&amp;"";"", ARRAYFORMULA(VLOOKUP(SPLIT(S2362, "";"" &amp; CHAR(10)), $A:$AO, 41, FALSE)))))"),"slf-m;")</f>
        <v>slf-m;</v>
      </c>
      <c r="AP2362" s="89"/>
    </row>
    <row r="2363">
      <c r="A2363" s="151" t="str">
        <f>IFERROR(__xludf.DUMMYFUNCTION("""COMPUTED_VALUE"""),"slf-i")</f>
        <v>slf-i</v>
      </c>
      <c r="B2363" s="42" t="str">
        <f>IFERROR(__xludf.DUMMYFUNCTION("""COMPUTED_VALUE"""),"DHBA")</f>
        <v>DHBA</v>
      </c>
      <c r="C2363" s="42" t="str">
        <f>IFERROR(__xludf.DUMMYFUNCTION("""COMPUTED_VALUE"""),"superior longitudinal fasciculus, intermediate portion")</f>
        <v>superior longitudinal fasciculus, intermediate portion</v>
      </c>
      <c r="D2363" s="42">
        <f>IFERROR(__xludf.DUMMYFUNCTION("""COMPUTED_VALUE"""),2246.0)</f>
        <v>2246</v>
      </c>
      <c r="E2363" s="39" t="str">
        <f>IFERROR(__xludf.DUMMYFUNCTION("""COMPUTED_VALUE"""),"superior longitudinal fasciculus, intermediate portion")</f>
        <v>superior longitudinal fasciculus, intermediate portion</v>
      </c>
      <c r="F2363" s="9" t="str">
        <f>IFERROR(__xludf.DUMMYFUNCTION("""COMPUTED_VALUE"""),"Br")</f>
        <v>Br</v>
      </c>
      <c r="G2363" s="9" t="str">
        <f>IFERROR(__xludf.DUMMYFUNCTION("""COMPUTED_VALUE"""),"F")</f>
        <v>F</v>
      </c>
      <c r="H2363" s="9" t="str">
        <f>IFERROR(__xludf.DUMMYFUNCTION("""COMPUTED_VALUE"""),"FWM")</f>
        <v>FWM</v>
      </c>
      <c r="I2363" s="9" t="str">
        <f>IFERROR(__xludf.DUMMYFUNCTION("""COMPUTED_VALUE"""),"FIFT")</f>
        <v>FIFT</v>
      </c>
      <c r="J2363" s="9" t="str">
        <f>IFERROR(__xludf.DUMMYFUNCTION("""COMPUTED_VALUE"""),"slf")</f>
        <v>slf</v>
      </c>
      <c r="K2363" s="9" t="str">
        <f>IFERROR(__xludf.DUMMYFUNCTION("""COMPUTED_VALUE"""),"slf-i")</f>
        <v>slf-i</v>
      </c>
      <c r="L2363" s="9"/>
      <c r="M2363" s="9"/>
      <c r="N2363" s="9"/>
      <c r="O2363" s="9"/>
      <c r="P2363" s="9"/>
      <c r="Q2363" s="9"/>
      <c r="R2363" s="9"/>
      <c r="S2363" s="42"/>
      <c r="T2363" s="42"/>
      <c r="U2363" s="42"/>
      <c r="V2363" s="42"/>
      <c r="W2363" s="42"/>
      <c r="X2363" s="42"/>
      <c r="Y2363" s="42"/>
      <c r="Z2363" s="42"/>
      <c r="AA2363" s="42"/>
      <c r="AB2363" s="42" t="str">
        <f>IFERROR(__xludf.DUMMYFUNCTION("""COMPUTED_VALUE"""),"allen institute")</f>
        <v>allen institute</v>
      </c>
      <c r="AC2363" s="42" t="str">
        <f>IFERROR(__xludf.DUMMYFUNCTION("""COMPUTED_VALUE"""),"DHBA")</f>
        <v>DHBA</v>
      </c>
      <c r="AD2363" s="42"/>
      <c r="AE2363" s="42"/>
      <c r="AF2363" s="9"/>
      <c r="AG2363" s="9"/>
      <c r="AH2363" s="42"/>
      <c r="AI2363" s="42"/>
      <c r="AJ2363" s="42"/>
      <c r="AK2363" s="42"/>
      <c r="AL2363" s="42"/>
      <c r="AM2363" s="42"/>
      <c r="AN2363" s="42"/>
      <c r="AO2363" s="63" t="str">
        <f>IFERROR(__xludf.DUMMYFUNCTION("IF(ISBLANK(A2363),,IF(ISBLANK(S2363), A2363&amp;"";"", TEXTJOIN(CHAR(10), TRUE, A2363&amp;"";"", ARRAYFORMULA(VLOOKUP(SPLIT(S2363, "";"" &amp; CHAR(10)), $A:$AO, 41, FALSE)))))"),"slf-i;")</f>
        <v>slf-i;</v>
      </c>
      <c r="AP2363" s="89"/>
    </row>
    <row r="2364">
      <c r="A2364" s="151" t="str">
        <f>IFERROR(__xludf.DUMMYFUNCTION("""COMPUTED_VALUE"""),"slf-l")</f>
        <v>slf-l</v>
      </c>
      <c r="B2364" s="42" t="str">
        <f>IFERROR(__xludf.DUMMYFUNCTION("""COMPUTED_VALUE"""),"DHBA")</f>
        <v>DHBA</v>
      </c>
      <c r="C2364" s="42" t="str">
        <f>IFERROR(__xludf.DUMMYFUNCTION("""COMPUTED_VALUE"""),"superior longitudinal fasciculus, lateral portion")</f>
        <v>superior longitudinal fasciculus, lateral portion</v>
      </c>
      <c r="D2364" s="42">
        <f>IFERROR(__xludf.DUMMYFUNCTION("""COMPUTED_VALUE"""),2247.0)</f>
        <v>2247</v>
      </c>
      <c r="E2364" s="39" t="str">
        <f>IFERROR(__xludf.DUMMYFUNCTION("""COMPUTED_VALUE"""),"superior longitudinal fasciculus, lateral portion")</f>
        <v>superior longitudinal fasciculus, lateral portion</v>
      </c>
      <c r="F2364" s="9" t="str">
        <f>IFERROR(__xludf.DUMMYFUNCTION("""COMPUTED_VALUE"""),"Br")</f>
        <v>Br</v>
      </c>
      <c r="G2364" s="9" t="str">
        <f>IFERROR(__xludf.DUMMYFUNCTION("""COMPUTED_VALUE"""),"F")</f>
        <v>F</v>
      </c>
      <c r="H2364" s="9" t="str">
        <f>IFERROR(__xludf.DUMMYFUNCTION("""COMPUTED_VALUE"""),"FWM")</f>
        <v>FWM</v>
      </c>
      <c r="I2364" s="9" t="str">
        <f>IFERROR(__xludf.DUMMYFUNCTION("""COMPUTED_VALUE"""),"FIFT")</f>
        <v>FIFT</v>
      </c>
      <c r="J2364" s="9" t="str">
        <f>IFERROR(__xludf.DUMMYFUNCTION("""COMPUTED_VALUE"""),"slf")</f>
        <v>slf</v>
      </c>
      <c r="K2364" s="9" t="str">
        <f>IFERROR(__xludf.DUMMYFUNCTION("""COMPUTED_VALUE"""),"slf-l")</f>
        <v>slf-l</v>
      </c>
      <c r="L2364" s="9"/>
      <c r="M2364" s="9"/>
      <c r="N2364" s="9"/>
      <c r="O2364" s="9"/>
      <c r="P2364" s="9"/>
      <c r="Q2364" s="9"/>
      <c r="R2364" s="9"/>
      <c r="S2364" s="42"/>
      <c r="T2364" s="42"/>
      <c r="U2364" s="42"/>
      <c r="V2364" s="42"/>
      <c r="W2364" s="42"/>
      <c r="X2364" s="42"/>
      <c r="Y2364" s="42"/>
      <c r="Z2364" s="42"/>
      <c r="AA2364" s="42"/>
      <c r="AB2364" s="42" t="str">
        <f>IFERROR(__xludf.DUMMYFUNCTION("""COMPUTED_VALUE"""),"allen institute")</f>
        <v>allen institute</v>
      </c>
      <c r="AC2364" s="42" t="str">
        <f>IFERROR(__xludf.DUMMYFUNCTION("""COMPUTED_VALUE"""),"DHBA")</f>
        <v>DHBA</v>
      </c>
      <c r="AD2364" s="42"/>
      <c r="AE2364" s="42"/>
      <c r="AF2364" s="9"/>
      <c r="AG2364" s="9"/>
      <c r="AH2364" s="42"/>
      <c r="AI2364" s="42"/>
      <c r="AJ2364" s="42"/>
      <c r="AK2364" s="42"/>
      <c r="AL2364" s="42"/>
      <c r="AM2364" s="42"/>
      <c r="AN2364" s="42"/>
      <c r="AO2364" s="63" t="str">
        <f>IFERROR(__xludf.DUMMYFUNCTION("IF(ISBLANK(A2364),,IF(ISBLANK(S2364), A2364&amp;"";"", TEXTJOIN(CHAR(10), TRUE, A2364&amp;"";"", ARRAYFORMULA(VLOOKUP(SPLIT(S2364, "";"" &amp; CHAR(10)), $A:$AO, 41, FALSE)))))"),"slf-l;")</f>
        <v>slf-l;</v>
      </c>
      <c r="AP2364" s="89"/>
    </row>
    <row r="2365">
      <c r="A2365" s="151" t="str">
        <f>IFERROR(__xludf.DUMMYFUNCTION("""COMPUTED_VALUE"""),"sox")</f>
        <v>sox</v>
      </c>
      <c r="B2365" s="42" t="str">
        <f>IFERROR(__xludf.DUMMYFUNCTION("""COMPUTED_VALUE"""),"DHBA")</f>
        <v>DHBA</v>
      </c>
      <c r="C2365" s="42" t="str">
        <f>IFERROR(__xludf.DUMMYFUNCTION("""COMPUTED_VALUE"""),"supraoptic dicussation")</f>
        <v>supraoptic dicussation</v>
      </c>
      <c r="D2365" s="42">
        <f>IFERROR(__xludf.DUMMYFUNCTION("""COMPUTED_VALUE"""),2248.0)</f>
        <v>2248</v>
      </c>
      <c r="E2365" s="39" t="str">
        <f>IFERROR(__xludf.DUMMYFUNCTION("""COMPUTED_VALUE"""),"supraoptic dicussation")</f>
        <v>supraoptic dicussation</v>
      </c>
      <c r="F2365" s="9" t="str">
        <f>IFERROR(__xludf.DUMMYFUNCTION("""COMPUTED_VALUE"""),"Br")</f>
        <v>Br</v>
      </c>
      <c r="G2365" s="9" t="str">
        <f>IFERROR(__xludf.DUMMYFUNCTION("""COMPUTED_VALUE"""),"F")</f>
        <v>F</v>
      </c>
      <c r="H2365" s="9" t="str">
        <f>IFERROR(__xludf.DUMMYFUNCTION("""COMPUTED_VALUE"""),"FWM")</f>
        <v>FWM</v>
      </c>
      <c r="I2365" s="9" t="str">
        <f>IFERROR(__xludf.DUMMYFUNCTION("""COMPUTED_VALUE"""),"FIFT")</f>
        <v>FIFT</v>
      </c>
      <c r="J2365" s="9" t="str">
        <f>IFERROR(__xludf.DUMMYFUNCTION("""COMPUTED_VALUE"""),"sox")</f>
        <v>sox</v>
      </c>
      <c r="K2365" s="9"/>
      <c r="L2365" s="9"/>
      <c r="M2365" s="9"/>
      <c r="N2365" s="9"/>
      <c r="O2365" s="9"/>
      <c r="P2365" s="9"/>
      <c r="Q2365" s="9"/>
      <c r="R2365" s="9"/>
      <c r="S2365" s="42"/>
      <c r="T2365" s="42"/>
      <c r="U2365" s="42"/>
      <c r="V2365" s="42"/>
      <c r="W2365" s="42"/>
      <c r="X2365" s="42"/>
      <c r="Y2365" s="42"/>
      <c r="Z2365" s="42"/>
      <c r="AA2365" s="42"/>
      <c r="AB2365" s="42" t="str">
        <f>IFERROR(__xludf.DUMMYFUNCTION("""COMPUTED_VALUE"""),"allen institute")</f>
        <v>allen institute</v>
      </c>
      <c r="AC2365" s="42" t="str">
        <f>IFERROR(__xludf.DUMMYFUNCTION("""COMPUTED_VALUE"""),"DHBA")</f>
        <v>DHBA</v>
      </c>
      <c r="AD2365" s="42"/>
      <c r="AE2365" s="42"/>
      <c r="AF2365" s="9"/>
      <c r="AG2365" s="9"/>
      <c r="AH2365" s="42"/>
      <c r="AI2365" s="42"/>
      <c r="AJ2365" s="42"/>
      <c r="AK2365" s="42"/>
      <c r="AL2365" s="42"/>
      <c r="AM2365" s="42"/>
      <c r="AN2365" s="42"/>
      <c r="AO2365" s="63" t="str">
        <f>IFERROR(__xludf.DUMMYFUNCTION("IF(ISBLANK(A2365),,IF(ISBLANK(S2365), A2365&amp;"";"", TEXTJOIN(CHAR(10), TRUE, A2365&amp;"";"", ARRAYFORMULA(VLOOKUP(SPLIT(S2365, "";"" &amp; CHAR(10)), $A:$AO, 41, FALSE)))))"),"sox;")</f>
        <v>sox;</v>
      </c>
      <c r="AP2365" s="89"/>
    </row>
    <row r="2366">
      <c r="A2366" s="151" t="str">
        <f>IFERROR(__xludf.DUMMYFUNCTION("""COMPUTED_VALUE"""),"tpul")</f>
        <v>tpul</v>
      </c>
      <c r="B2366" s="42" t="str">
        <f>IFERROR(__xludf.DUMMYFUNCTION("""COMPUTED_VALUE"""),"DHBA")</f>
        <v>DHBA</v>
      </c>
      <c r="C2366" s="42" t="str">
        <f>IFERROR(__xludf.DUMMYFUNCTION("""COMPUTED_VALUE"""),"temporopulvinar bundle")</f>
        <v>temporopulvinar bundle</v>
      </c>
      <c r="D2366" s="42">
        <f>IFERROR(__xludf.DUMMYFUNCTION("""COMPUTED_VALUE"""),2249.0)</f>
        <v>2249</v>
      </c>
      <c r="E2366" s="39" t="str">
        <f>IFERROR(__xludf.DUMMYFUNCTION("""COMPUTED_VALUE"""),"temporopulvinar bundle")</f>
        <v>temporopulvinar bundle</v>
      </c>
      <c r="F2366" s="9" t="str">
        <f>IFERROR(__xludf.DUMMYFUNCTION("""COMPUTED_VALUE"""),"Br")</f>
        <v>Br</v>
      </c>
      <c r="G2366" s="9" t="str">
        <f>IFERROR(__xludf.DUMMYFUNCTION("""COMPUTED_VALUE"""),"F")</f>
        <v>F</v>
      </c>
      <c r="H2366" s="9" t="str">
        <f>IFERROR(__xludf.DUMMYFUNCTION("""COMPUTED_VALUE"""),"FWM")</f>
        <v>FWM</v>
      </c>
      <c r="I2366" s="9" t="str">
        <f>IFERROR(__xludf.DUMMYFUNCTION("""COMPUTED_VALUE"""),"FIFT")</f>
        <v>FIFT</v>
      </c>
      <c r="J2366" s="9" t="str">
        <f>IFERROR(__xludf.DUMMYFUNCTION("""COMPUTED_VALUE"""),"tpul")</f>
        <v>tpul</v>
      </c>
      <c r="K2366" s="9"/>
      <c r="L2366" s="9"/>
      <c r="M2366" s="9"/>
      <c r="N2366" s="9"/>
      <c r="O2366" s="9"/>
      <c r="P2366" s="9"/>
      <c r="Q2366" s="9"/>
      <c r="R2366" s="9"/>
      <c r="S2366" s="42"/>
      <c r="T2366" s="42"/>
      <c r="U2366" s="42"/>
      <c r="V2366" s="42"/>
      <c r="W2366" s="42"/>
      <c r="X2366" s="42"/>
      <c r="Y2366" s="42"/>
      <c r="Z2366" s="42"/>
      <c r="AA2366" s="42"/>
      <c r="AB2366" s="42" t="str">
        <f>IFERROR(__xludf.DUMMYFUNCTION("""COMPUTED_VALUE"""),"allen institute")</f>
        <v>allen institute</v>
      </c>
      <c r="AC2366" s="42" t="str">
        <f>IFERROR(__xludf.DUMMYFUNCTION("""COMPUTED_VALUE"""),"DHBA")</f>
        <v>DHBA</v>
      </c>
      <c r="AD2366" s="42"/>
      <c r="AE2366" s="42"/>
      <c r="AF2366" s="9"/>
      <c r="AG2366" s="9"/>
      <c r="AH2366" s="42"/>
      <c r="AI2366" s="42"/>
      <c r="AJ2366" s="42"/>
      <c r="AK2366" s="42"/>
      <c r="AL2366" s="42"/>
      <c r="AM2366" s="42"/>
      <c r="AN2366" s="42"/>
      <c r="AO2366" s="63" t="str">
        <f>IFERROR(__xludf.DUMMYFUNCTION("IF(ISBLANK(A2366),,IF(ISBLANK(S2366), A2366&amp;"";"", TEXTJOIN(CHAR(10), TRUE, A2366&amp;"";"", ARRAYFORMULA(VLOOKUP(SPLIT(S2366, "";"" &amp; CHAR(10)), $A:$AO, 41, FALSE)))))"),"tpul;")</f>
        <v>tpul;</v>
      </c>
      <c r="AP2366" s="89"/>
    </row>
    <row r="2367">
      <c r="A2367" s="151" t="str">
        <f>IFERROR(__xludf.DUMMYFUNCTION("""COMPUTED_VALUE"""),"thf")</f>
        <v>thf</v>
      </c>
      <c r="B2367" s="42" t="str">
        <f>IFERROR(__xludf.DUMMYFUNCTION("""COMPUTED_VALUE"""),"DHBA")</f>
        <v>DHBA</v>
      </c>
      <c r="C2367" s="42" t="str">
        <f>IFERROR(__xludf.DUMMYFUNCTION("""COMPUTED_VALUE"""),"thalamic fasciculus")</f>
        <v>thalamic fasciculus</v>
      </c>
      <c r="D2367" s="42">
        <f>IFERROR(__xludf.DUMMYFUNCTION("""COMPUTED_VALUE"""),2250.0)</f>
        <v>2250</v>
      </c>
      <c r="E2367" s="39" t="str">
        <f>IFERROR(__xludf.DUMMYFUNCTION("""COMPUTED_VALUE"""),"thalamic fasciculus")</f>
        <v>thalamic fasciculus</v>
      </c>
      <c r="F2367" s="9" t="str">
        <f>IFERROR(__xludf.DUMMYFUNCTION("""COMPUTED_VALUE"""),"Br")</f>
        <v>Br</v>
      </c>
      <c r="G2367" s="9" t="str">
        <f>IFERROR(__xludf.DUMMYFUNCTION("""COMPUTED_VALUE"""),"F")</f>
        <v>F</v>
      </c>
      <c r="H2367" s="9" t="str">
        <f>IFERROR(__xludf.DUMMYFUNCTION("""COMPUTED_VALUE"""),"FWM")</f>
        <v>FWM</v>
      </c>
      <c r="I2367" s="9" t="str">
        <f>IFERROR(__xludf.DUMMYFUNCTION("""COMPUTED_VALUE"""),"FIFT")</f>
        <v>FIFT</v>
      </c>
      <c r="J2367" s="9" t="str">
        <f>IFERROR(__xludf.DUMMYFUNCTION("""COMPUTED_VALUE"""),"thf")</f>
        <v>thf</v>
      </c>
      <c r="K2367" s="9"/>
      <c r="L2367" s="9"/>
      <c r="M2367" s="9"/>
      <c r="N2367" s="9"/>
      <c r="O2367" s="9"/>
      <c r="P2367" s="9"/>
      <c r="Q2367" s="9"/>
      <c r="R2367" s="9"/>
      <c r="S2367" s="42"/>
      <c r="T2367" s="42"/>
      <c r="U2367" s="42"/>
      <c r="V2367" s="42"/>
      <c r="W2367" s="42"/>
      <c r="X2367" s="42"/>
      <c r="Y2367" s="42"/>
      <c r="Z2367" s="42"/>
      <c r="AA2367" s="42"/>
      <c r="AB2367" s="42" t="str">
        <f>IFERROR(__xludf.DUMMYFUNCTION("""COMPUTED_VALUE"""),"allen institute")</f>
        <v>allen institute</v>
      </c>
      <c r="AC2367" s="42" t="str">
        <f>IFERROR(__xludf.DUMMYFUNCTION("""COMPUTED_VALUE"""),"DHBA")</f>
        <v>DHBA</v>
      </c>
      <c r="AD2367" s="42"/>
      <c r="AE2367" s="42"/>
      <c r="AF2367" s="9"/>
      <c r="AG2367" s="9"/>
      <c r="AH2367" s="42"/>
      <c r="AI2367" s="42"/>
      <c r="AJ2367" s="42"/>
      <c r="AK2367" s="42"/>
      <c r="AL2367" s="42"/>
      <c r="AM2367" s="42"/>
      <c r="AN2367" s="42"/>
      <c r="AO2367" s="63" t="str">
        <f>IFERROR(__xludf.DUMMYFUNCTION("IF(ISBLANK(A2367),,IF(ISBLANK(S2367), A2367&amp;"";"", TEXTJOIN(CHAR(10), TRUE, A2367&amp;"";"", ARRAYFORMULA(VLOOKUP(SPLIT(S2367, "";"" &amp; CHAR(10)), $A:$AO, 41, FALSE)))))"),"thf;")</f>
        <v>thf;</v>
      </c>
      <c r="AP2367" s="89"/>
    </row>
    <row r="2368">
      <c r="A2368" s="151" t="str">
        <f>IFERROR(__xludf.DUMMYFUNCTION("""COMPUTED_VALUE"""),"thpa")</f>
        <v>thpa</v>
      </c>
      <c r="B2368" s="42" t="str">
        <f>IFERROR(__xludf.DUMMYFUNCTION("""COMPUTED_VALUE"""),"DHBA")</f>
        <v>DHBA</v>
      </c>
      <c r="C2368" s="42" t="str">
        <f>IFERROR(__xludf.DUMMYFUNCTION("""COMPUTED_VALUE"""),"thalamopallidal tract")</f>
        <v>thalamopallidal tract</v>
      </c>
      <c r="D2368" s="42">
        <f>IFERROR(__xludf.DUMMYFUNCTION("""COMPUTED_VALUE"""),2251.0)</f>
        <v>2251</v>
      </c>
      <c r="E2368" s="39" t="str">
        <f>IFERROR(__xludf.DUMMYFUNCTION("""COMPUTED_VALUE"""),"thalamopallidal tract")</f>
        <v>thalamopallidal tract</v>
      </c>
      <c r="F2368" s="9" t="str">
        <f>IFERROR(__xludf.DUMMYFUNCTION("""COMPUTED_VALUE"""),"Br")</f>
        <v>Br</v>
      </c>
      <c r="G2368" s="9" t="str">
        <f>IFERROR(__xludf.DUMMYFUNCTION("""COMPUTED_VALUE"""),"F")</f>
        <v>F</v>
      </c>
      <c r="H2368" s="9" t="str">
        <f>IFERROR(__xludf.DUMMYFUNCTION("""COMPUTED_VALUE"""),"FWM")</f>
        <v>FWM</v>
      </c>
      <c r="I2368" s="9" t="str">
        <f>IFERROR(__xludf.DUMMYFUNCTION("""COMPUTED_VALUE"""),"FIFT")</f>
        <v>FIFT</v>
      </c>
      <c r="J2368" s="9" t="str">
        <f>IFERROR(__xludf.DUMMYFUNCTION("""COMPUTED_VALUE"""),"thpa")</f>
        <v>thpa</v>
      </c>
      <c r="K2368" s="9"/>
      <c r="L2368" s="9"/>
      <c r="M2368" s="9"/>
      <c r="N2368" s="9"/>
      <c r="O2368" s="9"/>
      <c r="P2368" s="9"/>
      <c r="Q2368" s="9"/>
      <c r="R2368" s="9"/>
      <c r="S2368" s="42"/>
      <c r="T2368" s="42"/>
      <c r="U2368" s="42"/>
      <c r="V2368" s="42"/>
      <c r="W2368" s="42"/>
      <c r="X2368" s="42"/>
      <c r="Y2368" s="42"/>
      <c r="Z2368" s="42"/>
      <c r="AA2368" s="42"/>
      <c r="AB2368" s="42" t="str">
        <f>IFERROR(__xludf.DUMMYFUNCTION("""COMPUTED_VALUE"""),"allen institute")</f>
        <v>allen institute</v>
      </c>
      <c r="AC2368" s="42" t="str">
        <f>IFERROR(__xludf.DUMMYFUNCTION("""COMPUTED_VALUE"""),"DHBA")</f>
        <v>DHBA</v>
      </c>
      <c r="AD2368" s="42"/>
      <c r="AE2368" s="42"/>
      <c r="AF2368" s="9"/>
      <c r="AG2368" s="9"/>
      <c r="AH2368" s="42"/>
      <c r="AI2368" s="42"/>
      <c r="AJ2368" s="42"/>
      <c r="AK2368" s="42"/>
      <c r="AL2368" s="42"/>
      <c r="AM2368" s="42"/>
      <c r="AN2368" s="42"/>
      <c r="AO2368" s="63" t="str">
        <f>IFERROR(__xludf.DUMMYFUNCTION("IF(ISBLANK(A2368),,IF(ISBLANK(S2368), A2368&amp;"";"", TEXTJOIN(CHAR(10), TRUE, A2368&amp;"";"", ARRAYFORMULA(VLOOKUP(SPLIT(S2368, "";"" &amp; CHAR(10)), $A:$AO, 41, FALSE)))))"),"thpa;")</f>
        <v>thpa;</v>
      </c>
      <c r="AP2368" s="89"/>
    </row>
    <row r="2369">
      <c r="A2369" s="151" t="str">
        <f>IFERROR(__xludf.DUMMYFUNCTION("""COMPUTED_VALUE"""),"thst")</f>
        <v>thst</v>
      </c>
      <c r="B2369" s="42" t="str">
        <f>IFERROR(__xludf.DUMMYFUNCTION("""COMPUTED_VALUE"""),"DHBA")</f>
        <v>DHBA</v>
      </c>
      <c r="C2369" s="42" t="str">
        <f>IFERROR(__xludf.DUMMYFUNCTION("""COMPUTED_VALUE"""),"thalamostriate tract")</f>
        <v>thalamostriate tract</v>
      </c>
      <c r="D2369" s="42">
        <f>IFERROR(__xludf.DUMMYFUNCTION("""COMPUTED_VALUE"""),2252.0)</f>
        <v>2252</v>
      </c>
      <c r="E2369" s="39" t="str">
        <f>IFERROR(__xludf.DUMMYFUNCTION("""COMPUTED_VALUE"""),"thalamostriate tract")</f>
        <v>thalamostriate tract</v>
      </c>
      <c r="F2369" s="9" t="str">
        <f>IFERROR(__xludf.DUMMYFUNCTION("""COMPUTED_VALUE"""),"Br")</f>
        <v>Br</v>
      </c>
      <c r="G2369" s="9" t="str">
        <f>IFERROR(__xludf.DUMMYFUNCTION("""COMPUTED_VALUE"""),"F")</f>
        <v>F</v>
      </c>
      <c r="H2369" s="9" t="str">
        <f>IFERROR(__xludf.DUMMYFUNCTION("""COMPUTED_VALUE"""),"FWM")</f>
        <v>FWM</v>
      </c>
      <c r="I2369" s="9" t="str">
        <f>IFERROR(__xludf.DUMMYFUNCTION("""COMPUTED_VALUE"""),"FIFT")</f>
        <v>FIFT</v>
      </c>
      <c r="J2369" s="9" t="str">
        <f>IFERROR(__xludf.DUMMYFUNCTION("""COMPUTED_VALUE"""),"thst")</f>
        <v>thst</v>
      </c>
      <c r="K2369" s="9"/>
      <c r="L2369" s="9"/>
      <c r="M2369" s="9"/>
      <c r="N2369" s="9"/>
      <c r="O2369" s="9"/>
      <c r="P2369" s="9"/>
      <c r="Q2369" s="9"/>
      <c r="R2369" s="9"/>
      <c r="S2369" s="42"/>
      <c r="T2369" s="42"/>
      <c r="U2369" s="42"/>
      <c r="V2369" s="42"/>
      <c r="W2369" s="42"/>
      <c r="X2369" s="42"/>
      <c r="Y2369" s="42"/>
      <c r="Z2369" s="42"/>
      <c r="AA2369" s="42"/>
      <c r="AB2369" s="42" t="str">
        <f>IFERROR(__xludf.DUMMYFUNCTION("""COMPUTED_VALUE"""),"allen institute")</f>
        <v>allen institute</v>
      </c>
      <c r="AC2369" s="42" t="str">
        <f>IFERROR(__xludf.DUMMYFUNCTION("""COMPUTED_VALUE"""),"DHBA")</f>
        <v>DHBA</v>
      </c>
      <c r="AD2369" s="42"/>
      <c r="AE2369" s="42"/>
      <c r="AF2369" s="9"/>
      <c r="AG2369" s="9"/>
      <c r="AH2369" s="42"/>
      <c r="AI2369" s="42"/>
      <c r="AJ2369" s="42"/>
      <c r="AK2369" s="42"/>
      <c r="AL2369" s="42"/>
      <c r="AM2369" s="42"/>
      <c r="AN2369" s="42"/>
      <c r="AO2369" s="63" t="str">
        <f>IFERROR(__xludf.DUMMYFUNCTION("IF(ISBLANK(A2369),,IF(ISBLANK(S2369), A2369&amp;"";"", TEXTJOIN(CHAR(10), TRUE, A2369&amp;"";"", ARRAYFORMULA(VLOOKUP(SPLIT(S2369, "";"" &amp; CHAR(10)), $A:$AO, 41, FALSE)))))"),"thst;")</f>
        <v>thst;</v>
      </c>
      <c r="AP2369" s="89"/>
    </row>
    <row r="2370">
      <c r="A2370" s="151" t="str">
        <f>IFERROR(__xludf.DUMMYFUNCTION("""COMPUTED_VALUE"""),"tuin")</f>
        <v>tuin</v>
      </c>
      <c r="B2370" s="42" t="str">
        <f>IFERROR(__xludf.DUMMYFUNCTION("""COMPUTED_VALUE"""),"DHBA")</f>
        <v>DHBA</v>
      </c>
      <c r="C2370" s="42" t="str">
        <f>IFERROR(__xludf.DUMMYFUNCTION("""COMPUTED_VALUE"""),"tuberoinfundibular path")</f>
        <v>tuberoinfundibular path</v>
      </c>
      <c r="D2370" s="42">
        <f>IFERROR(__xludf.DUMMYFUNCTION("""COMPUTED_VALUE"""),2253.0)</f>
        <v>2253</v>
      </c>
      <c r="E2370" s="39" t="str">
        <f>IFERROR(__xludf.DUMMYFUNCTION("""COMPUTED_VALUE"""),"tuberoinfundibular path")</f>
        <v>tuberoinfundibular path</v>
      </c>
      <c r="F2370" s="9" t="str">
        <f>IFERROR(__xludf.DUMMYFUNCTION("""COMPUTED_VALUE"""),"Br")</f>
        <v>Br</v>
      </c>
      <c r="G2370" s="9" t="str">
        <f>IFERROR(__xludf.DUMMYFUNCTION("""COMPUTED_VALUE"""),"F")</f>
        <v>F</v>
      </c>
      <c r="H2370" s="9" t="str">
        <f>IFERROR(__xludf.DUMMYFUNCTION("""COMPUTED_VALUE"""),"FWM")</f>
        <v>FWM</v>
      </c>
      <c r="I2370" s="9" t="str">
        <f>IFERROR(__xludf.DUMMYFUNCTION("""COMPUTED_VALUE"""),"FIFT")</f>
        <v>FIFT</v>
      </c>
      <c r="J2370" s="9" t="str">
        <f>IFERROR(__xludf.DUMMYFUNCTION("""COMPUTED_VALUE"""),"tuin")</f>
        <v>tuin</v>
      </c>
      <c r="K2370" s="9"/>
      <c r="L2370" s="9"/>
      <c r="M2370" s="9"/>
      <c r="N2370" s="9"/>
      <c r="O2370" s="9"/>
      <c r="P2370" s="9"/>
      <c r="Q2370" s="9"/>
      <c r="R2370" s="9"/>
      <c r="S2370" s="42"/>
      <c r="T2370" s="42"/>
      <c r="U2370" s="42"/>
      <c r="V2370" s="42"/>
      <c r="W2370" s="42"/>
      <c r="X2370" s="42"/>
      <c r="Y2370" s="42"/>
      <c r="Z2370" s="42"/>
      <c r="AA2370" s="42"/>
      <c r="AB2370" s="42" t="str">
        <f>IFERROR(__xludf.DUMMYFUNCTION("""COMPUTED_VALUE"""),"allen institute")</f>
        <v>allen institute</v>
      </c>
      <c r="AC2370" s="42" t="str">
        <f>IFERROR(__xludf.DUMMYFUNCTION("""COMPUTED_VALUE"""),"DHBA")</f>
        <v>DHBA</v>
      </c>
      <c r="AD2370" s="42"/>
      <c r="AE2370" s="42"/>
      <c r="AF2370" s="9"/>
      <c r="AG2370" s="9"/>
      <c r="AH2370" s="42"/>
      <c r="AI2370" s="42"/>
      <c r="AJ2370" s="42"/>
      <c r="AK2370" s="42"/>
      <c r="AL2370" s="42"/>
      <c r="AM2370" s="42"/>
      <c r="AN2370" s="42"/>
      <c r="AO2370" s="63" t="str">
        <f>IFERROR(__xludf.DUMMYFUNCTION("IF(ISBLANK(A2370),,IF(ISBLANK(S2370), A2370&amp;"";"", TEXTJOIN(CHAR(10), TRUE, A2370&amp;"";"", ARRAYFORMULA(VLOOKUP(SPLIT(S2370, "";"" &amp; CHAR(10)), $A:$AO, 41, FALSE)))))"),"tuin;")</f>
        <v>tuin;</v>
      </c>
      <c r="AP2370" s="89"/>
    </row>
    <row r="2371">
      <c r="A2371" s="151" t="str">
        <f>IFERROR(__xludf.DUMMYFUNCTION("""COMPUTED_VALUE"""),"unf")</f>
        <v>unf</v>
      </c>
      <c r="B2371" s="42" t="str">
        <f>IFERROR(__xludf.DUMMYFUNCTION("""COMPUTED_VALUE"""),"DHBA")</f>
        <v>DHBA</v>
      </c>
      <c r="C2371" s="42" t="str">
        <f>IFERROR(__xludf.DUMMYFUNCTION("""COMPUTED_VALUE"""),"uncinate fasciculus")</f>
        <v>uncinate fasciculus</v>
      </c>
      <c r="D2371" s="42">
        <f>IFERROR(__xludf.DUMMYFUNCTION("""COMPUTED_VALUE"""),2254.0)</f>
        <v>2254</v>
      </c>
      <c r="E2371" s="39" t="str">
        <f>IFERROR(__xludf.DUMMYFUNCTION("""COMPUTED_VALUE"""),"uncinate fasciculus")</f>
        <v>uncinate fasciculus</v>
      </c>
      <c r="F2371" s="9" t="str">
        <f>IFERROR(__xludf.DUMMYFUNCTION("""COMPUTED_VALUE"""),"Br")</f>
        <v>Br</v>
      </c>
      <c r="G2371" s="9" t="str">
        <f>IFERROR(__xludf.DUMMYFUNCTION("""COMPUTED_VALUE"""),"F")</f>
        <v>F</v>
      </c>
      <c r="H2371" s="9" t="str">
        <f>IFERROR(__xludf.DUMMYFUNCTION("""COMPUTED_VALUE"""),"FWM")</f>
        <v>FWM</v>
      </c>
      <c r="I2371" s="9" t="str">
        <f>IFERROR(__xludf.DUMMYFUNCTION("""COMPUTED_VALUE"""),"FIFT")</f>
        <v>FIFT</v>
      </c>
      <c r="J2371" s="9" t="str">
        <f>IFERROR(__xludf.DUMMYFUNCTION("""COMPUTED_VALUE"""),"unf")</f>
        <v>unf</v>
      </c>
      <c r="K2371" s="9"/>
      <c r="L2371" s="9"/>
      <c r="M2371" s="9"/>
      <c r="N2371" s="9"/>
      <c r="O2371" s="9"/>
      <c r="P2371" s="9"/>
      <c r="Q2371" s="9"/>
      <c r="R2371" s="9"/>
      <c r="S2371" s="42"/>
      <c r="T2371" s="42"/>
      <c r="U2371" s="42"/>
      <c r="V2371" s="42"/>
      <c r="W2371" s="42"/>
      <c r="X2371" s="42"/>
      <c r="Y2371" s="42"/>
      <c r="Z2371" s="42"/>
      <c r="AA2371" s="42"/>
      <c r="AB2371" s="42" t="str">
        <f>IFERROR(__xludf.DUMMYFUNCTION("""COMPUTED_VALUE"""),"allen institute")</f>
        <v>allen institute</v>
      </c>
      <c r="AC2371" s="42" t="str">
        <f>IFERROR(__xludf.DUMMYFUNCTION("""COMPUTED_VALUE"""),"DHBA")</f>
        <v>DHBA</v>
      </c>
      <c r="AD2371" s="42"/>
      <c r="AE2371" s="42"/>
      <c r="AF2371" s="9"/>
      <c r="AG2371" s="9"/>
      <c r="AH2371" s="42"/>
      <c r="AI2371" s="42"/>
      <c r="AJ2371" s="42"/>
      <c r="AK2371" s="42"/>
      <c r="AL2371" s="42"/>
      <c r="AM2371" s="42"/>
      <c r="AN2371" s="42"/>
      <c r="AO2371" s="63" t="str">
        <f>IFERROR(__xludf.DUMMYFUNCTION("IF(ISBLANK(A2371),,IF(ISBLANK(S2371), A2371&amp;"";"", TEXTJOIN(CHAR(10), TRUE, A2371&amp;"";"", ARRAYFORMULA(VLOOKUP(SPLIT(S2371, "";"" &amp; CHAR(10)), $A:$AO, 41, FALSE)))))"),"unf;")</f>
        <v>unf;</v>
      </c>
      <c r="AP2371" s="89"/>
    </row>
    <row r="2372">
      <c r="A2372" s="151" t="str">
        <f>IFERROR(__xludf.DUMMYFUNCTION("""COMPUTED_VALUE"""),"vamy")</f>
        <v>vamy</v>
      </c>
      <c r="B2372" s="42" t="str">
        <f>IFERROR(__xludf.DUMMYFUNCTION("""COMPUTED_VALUE"""),"DHBA")</f>
        <v>DHBA</v>
      </c>
      <c r="C2372" s="42" t="str">
        <f>IFERROR(__xludf.DUMMYFUNCTION("""COMPUTED_VALUE"""),"ventral amygdaloid efferent path")</f>
        <v>ventral amygdaloid efferent path</v>
      </c>
      <c r="D2372" s="42">
        <f>IFERROR(__xludf.DUMMYFUNCTION("""COMPUTED_VALUE"""),2255.0)</f>
        <v>2255</v>
      </c>
      <c r="E2372" s="39" t="str">
        <f>IFERROR(__xludf.DUMMYFUNCTION("""COMPUTED_VALUE"""),"ventral amygdaloid efferent path")</f>
        <v>ventral amygdaloid efferent path</v>
      </c>
      <c r="F2372" s="9" t="str">
        <f>IFERROR(__xludf.DUMMYFUNCTION("""COMPUTED_VALUE"""),"Br")</f>
        <v>Br</v>
      </c>
      <c r="G2372" s="9" t="str">
        <f>IFERROR(__xludf.DUMMYFUNCTION("""COMPUTED_VALUE"""),"F")</f>
        <v>F</v>
      </c>
      <c r="H2372" s="9" t="str">
        <f>IFERROR(__xludf.DUMMYFUNCTION("""COMPUTED_VALUE"""),"FWM")</f>
        <v>FWM</v>
      </c>
      <c r="I2372" s="9" t="str">
        <f>IFERROR(__xludf.DUMMYFUNCTION("""COMPUTED_VALUE"""),"FIFT")</f>
        <v>FIFT</v>
      </c>
      <c r="J2372" s="9" t="str">
        <f>IFERROR(__xludf.DUMMYFUNCTION("""COMPUTED_VALUE"""),"vamy")</f>
        <v>vamy</v>
      </c>
      <c r="K2372" s="9"/>
      <c r="L2372" s="9"/>
      <c r="M2372" s="9"/>
      <c r="N2372" s="9"/>
      <c r="O2372" s="9"/>
      <c r="P2372" s="9"/>
      <c r="Q2372" s="9"/>
      <c r="R2372" s="9"/>
      <c r="S2372" s="42"/>
      <c r="T2372" s="42"/>
      <c r="U2372" s="42"/>
      <c r="V2372" s="42"/>
      <c r="W2372" s="42"/>
      <c r="X2372" s="42"/>
      <c r="Y2372" s="42"/>
      <c r="Z2372" s="42"/>
      <c r="AA2372" s="42"/>
      <c r="AB2372" s="42" t="str">
        <f>IFERROR(__xludf.DUMMYFUNCTION("""COMPUTED_VALUE"""),"allen institute")</f>
        <v>allen institute</v>
      </c>
      <c r="AC2372" s="42" t="str">
        <f>IFERROR(__xludf.DUMMYFUNCTION("""COMPUTED_VALUE"""),"DHBA")</f>
        <v>DHBA</v>
      </c>
      <c r="AD2372" s="42"/>
      <c r="AE2372" s="42"/>
      <c r="AF2372" s="9"/>
      <c r="AG2372" s="9"/>
      <c r="AH2372" s="42"/>
      <c r="AI2372" s="42"/>
      <c r="AJ2372" s="42"/>
      <c r="AK2372" s="42"/>
      <c r="AL2372" s="42"/>
      <c r="AM2372" s="42"/>
      <c r="AN2372" s="42"/>
      <c r="AO2372" s="63" t="str">
        <f>IFERROR(__xludf.DUMMYFUNCTION("IF(ISBLANK(A2372),,IF(ISBLANK(S2372), A2372&amp;"";"", TEXTJOIN(CHAR(10), TRUE, A2372&amp;"";"", ARRAYFORMULA(VLOOKUP(SPLIT(S2372, "";"" &amp; CHAR(10)), $A:$AO, 41, FALSE)))))"),"vamy;")</f>
        <v>vamy;</v>
      </c>
      <c r="AP2372" s="89"/>
    </row>
    <row r="2373">
      <c r="A2373" s="151" t="str">
        <f>IFERROR(__xludf.DUMMYFUNCTION("""COMPUTED_VALUE"""),"FV")</f>
        <v>FV</v>
      </c>
      <c r="B2373" s="42" t="str">
        <f>IFERROR(__xludf.DUMMYFUNCTION("""COMPUTED_VALUE"""),"DHBA")</f>
        <v>DHBA</v>
      </c>
      <c r="C2373" s="42" t="str">
        <f>IFERROR(__xludf.DUMMYFUNCTION("""COMPUTED_VALUE"""),"ventricles of forebrain")</f>
        <v>ventricles of forebrain</v>
      </c>
      <c r="D2373" s="42">
        <f>IFERROR(__xludf.DUMMYFUNCTION("""COMPUTED_VALUE"""),2256.0)</f>
        <v>2256</v>
      </c>
      <c r="E2373" s="39" t="str">
        <f>IFERROR(__xludf.DUMMYFUNCTION("""COMPUTED_VALUE"""),"ventricles of forebrain")</f>
        <v>ventricles of forebrain</v>
      </c>
      <c r="F2373" s="9" t="str">
        <f>IFERROR(__xludf.DUMMYFUNCTION("""COMPUTED_VALUE"""),"Br")</f>
        <v>Br</v>
      </c>
      <c r="G2373" s="9" t="str">
        <f>IFERROR(__xludf.DUMMYFUNCTION("""COMPUTED_VALUE"""),"F")</f>
        <v>F</v>
      </c>
      <c r="H2373" s="9" t="str">
        <f>IFERROR(__xludf.DUMMYFUNCTION("""COMPUTED_VALUE"""),"FV")</f>
        <v>FV</v>
      </c>
      <c r="I2373" s="9"/>
      <c r="J2373" s="9"/>
      <c r="K2373" s="9"/>
      <c r="L2373" s="9"/>
      <c r="M2373" s="9"/>
      <c r="N2373" s="9"/>
      <c r="O2373" s="9"/>
      <c r="P2373" s="9"/>
      <c r="Q2373" s="9"/>
      <c r="R2373" s="9"/>
      <c r="S2373" s="42" t="str">
        <f>IFERROR(__xludf.DUMMYFUNCTION("""COMPUTED_VALUE"""),"LV;
olr;
_3V;
IVF")</f>
        <v>LV;
olr;
_3V;
IVF</v>
      </c>
      <c r="T2373" s="42"/>
      <c r="U2373" s="42" t="b">
        <f>IFERROR(__xludf.DUMMYFUNCTION("""COMPUTED_VALUE"""),FALSE)</f>
        <v>0</v>
      </c>
      <c r="V2373" s="42"/>
      <c r="W2373" s="42"/>
      <c r="X2373" s="42"/>
      <c r="Y2373" s="42"/>
      <c r="Z2373" s="42"/>
      <c r="AA2373" s="42"/>
      <c r="AB2373" s="42" t="str">
        <f>IFERROR(__xludf.DUMMYFUNCTION("""COMPUTED_VALUE"""),"allen institute")</f>
        <v>allen institute</v>
      </c>
      <c r="AC2373" s="42" t="str">
        <f>IFERROR(__xludf.DUMMYFUNCTION("""COMPUTED_VALUE"""),"DHBA")</f>
        <v>DHBA</v>
      </c>
      <c r="AD2373" s="42"/>
      <c r="AE2373" s="42"/>
      <c r="AF2373" s="9"/>
      <c r="AG2373" s="9"/>
      <c r="AH2373" s="42"/>
      <c r="AI2373" s="42"/>
      <c r="AJ2373" s="42"/>
      <c r="AK2373" s="42"/>
      <c r="AL2373" s="42"/>
      <c r="AM2373" s="42"/>
      <c r="AN2373" s="42"/>
      <c r="AO2373" s="63" t="str">
        <f>IFERROR(__xludf.DUMMYFUNCTION("IF(ISBLANK(A2373),,IF(ISBLANK(S2373), A2373&amp;"";"", TEXTJOIN(CHAR(10), TRUE, A2373&amp;"";"", ARRAYFORMULA(VLOOKUP(SPLIT(S2373, "";"" &amp; CHAR(10)), $A:$AO, 41, FALSE)))))"),"#N/A")</f>
        <v>#N/A</v>
      </c>
      <c r="AP2373" s="89"/>
    </row>
    <row r="2374">
      <c r="A2374" s="151" t="str">
        <f>IFERROR(__xludf.DUMMYFUNCTION("""COMPUTED_VALUE"""),"LV")</f>
        <v>LV</v>
      </c>
      <c r="B2374" s="42" t="str">
        <f>IFERROR(__xludf.DUMMYFUNCTION("""COMPUTED_VALUE"""),"DHBA")</f>
        <v>DHBA</v>
      </c>
      <c r="C2374" s="42" t="str">
        <f>IFERROR(__xludf.DUMMYFUNCTION("""COMPUTED_VALUE"""),"lateral ventricles")</f>
        <v>lateral ventricles</v>
      </c>
      <c r="D2374" s="42">
        <f>IFERROR(__xludf.DUMMYFUNCTION("""COMPUTED_VALUE"""),2257.0)</f>
        <v>2257</v>
      </c>
      <c r="E2374" s="39" t="str">
        <f>IFERROR(__xludf.DUMMYFUNCTION("""COMPUTED_VALUE"""),"lateral ventricles")</f>
        <v>lateral ventricles</v>
      </c>
      <c r="F2374" s="9" t="str">
        <f>IFERROR(__xludf.DUMMYFUNCTION("""COMPUTED_VALUE"""),"Br")</f>
        <v>Br</v>
      </c>
      <c r="G2374" s="9" t="str">
        <f>IFERROR(__xludf.DUMMYFUNCTION("""COMPUTED_VALUE"""),"F")</f>
        <v>F</v>
      </c>
      <c r="H2374" s="9" t="str">
        <f>IFERROR(__xludf.DUMMYFUNCTION("""COMPUTED_VALUE"""),"FV")</f>
        <v>FV</v>
      </c>
      <c r="I2374" s="9" t="str">
        <f>IFERROR(__xludf.DUMMYFUNCTION("""COMPUTED_VALUE"""),"LV")</f>
        <v>LV</v>
      </c>
      <c r="J2374" s="9"/>
      <c r="K2374" s="9"/>
      <c r="L2374" s="9"/>
      <c r="M2374" s="9"/>
      <c r="N2374" s="9"/>
      <c r="O2374" s="9"/>
      <c r="P2374" s="9"/>
      <c r="Q2374" s="9"/>
      <c r="R2374" s="9"/>
      <c r="S2374" s="42" t="str">
        <f>IFERROR(__xludf.DUMMYFUNCTION("""COMPUTED_VALUE"""),"aLV;
bLV;
xLV;
pLV;
iLV")</f>
        <v>aLV;
bLV;
xLV;
pLV;
iLV</v>
      </c>
      <c r="T2374" s="42"/>
      <c r="U2374" s="42" t="b">
        <f>IFERROR(__xludf.DUMMYFUNCTION("""COMPUTED_VALUE"""),FALSE)</f>
        <v>0</v>
      </c>
      <c r="V2374" s="42"/>
      <c r="W2374" s="42"/>
      <c r="X2374" s="42"/>
      <c r="Y2374" s="42"/>
      <c r="Z2374" s="42"/>
      <c r="AA2374" s="42"/>
      <c r="AB2374" s="42" t="str">
        <f>IFERROR(__xludf.DUMMYFUNCTION("""COMPUTED_VALUE"""),"allen institute")</f>
        <v>allen institute</v>
      </c>
      <c r="AC2374" s="42" t="str">
        <f>IFERROR(__xludf.DUMMYFUNCTION("""COMPUTED_VALUE"""),"DHBA")</f>
        <v>DHBA</v>
      </c>
      <c r="AD2374" s="42"/>
      <c r="AE2374" s="42"/>
      <c r="AF2374" s="9"/>
      <c r="AG2374" s="9"/>
      <c r="AH2374" s="42"/>
      <c r="AI2374" s="42"/>
      <c r="AJ2374" s="42"/>
      <c r="AK2374" s="42"/>
      <c r="AL2374" s="42"/>
      <c r="AM2374" s="42"/>
      <c r="AN2374" s="42"/>
      <c r="AO2374" s="63" t="str">
        <f>IFERROR(__xludf.DUMMYFUNCTION("IF(ISBLANK(A2374),,IF(ISBLANK(S2374), A2374&amp;"";"", TEXTJOIN(CHAR(10), TRUE, A2374&amp;"";"", ARRAYFORMULA(VLOOKUP(SPLIT(S2374, "";"" &amp; CHAR(10)), $A:$AO, 41, FALSE)))))"),"LV;
alv;
BLV;
BLVl;
BLVm;
xLV;
pLV;
iLV;")</f>
        <v>LV;
alv;
BLV;
BLVl;
BLVm;
xLV;
pLV;
iLV;</v>
      </c>
      <c r="AP2374" s="89"/>
    </row>
    <row r="2375">
      <c r="A2375" s="151" t="str">
        <f>IFERROR(__xludf.DUMMYFUNCTION("""COMPUTED_VALUE"""),"aLV")</f>
        <v>aLV</v>
      </c>
      <c r="B2375" s="42" t="str">
        <f>IFERROR(__xludf.DUMMYFUNCTION("""COMPUTED_VALUE"""),"DHBA")</f>
        <v>DHBA</v>
      </c>
      <c r="C2375" s="42" t="str">
        <f>IFERROR(__xludf.DUMMYFUNCTION("""COMPUTED_VALUE"""),"anterior horn of lateral ventricle")</f>
        <v>anterior horn of lateral ventricle</v>
      </c>
      <c r="D2375" s="42">
        <f>IFERROR(__xludf.DUMMYFUNCTION("""COMPUTED_VALUE"""),2258.0)</f>
        <v>2258</v>
      </c>
      <c r="E2375" s="39" t="str">
        <f>IFERROR(__xludf.DUMMYFUNCTION("""COMPUTED_VALUE"""),"anterior horn of lateral ventricle")</f>
        <v>anterior horn of lateral ventricle</v>
      </c>
      <c r="F2375" s="9" t="str">
        <f>IFERROR(__xludf.DUMMYFUNCTION("""COMPUTED_VALUE"""),"Br")</f>
        <v>Br</v>
      </c>
      <c r="G2375" s="9" t="str">
        <f>IFERROR(__xludf.DUMMYFUNCTION("""COMPUTED_VALUE"""),"F")</f>
        <v>F</v>
      </c>
      <c r="H2375" s="9" t="str">
        <f>IFERROR(__xludf.DUMMYFUNCTION("""COMPUTED_VALUE"""),"FV")</f>
        <v>FV</v>
      </c>
      <c r="I2375" s="9" t="str">
        <f>IFERROR(__xludf.DUMMYFUNCTION("""COMPUTED_VALUE"""),"LV")</f>
        <v>LV</v>
      </c>
      <c r="J2375" s="9" t="str">
        <f>IFERROR(__xludf.DUMMYFUNCTION("""COMPUTED_VALUE"""),"aLV")</f>
        <v>aLV</v>
      </c>
      <c r="K2375" s="9"/>
      <c r="L2375" s="9"/>
      <c r="M2375" s="9"/>
      <c r="N2375" s="9"/>
      <c r="O2375" s="9"/>
      <c r="P2375" s="9"/>
      <c r="Q2375" s="9"/>
      <c r="R2375" s="9"/>
      <c r="S2375" s="42"/>
      <c r="T2375" s="42"/>
      <c r="U2375" s="42"/>
      <c r="V2375" s="42"/>
      <c r="W2375" s="42"/>
      <c r="X2375" s="42"/>
      <c r="Y2375" s="42"/>
      <c r="Z2375" s="42"/>
      <c r="AA2375" s="42"/>
      <c r="AB2375" s="42" t="str">
        <f>IFERROR(__xludf.DUMMYFUNCTION("""COMPUTED_VALUE"""),"allen institute")</f>
        <v>allen institute</v>
      </c>
      <c r="AC2375" s="42" t="str">
        <f>IFERROR(__xludf.DUMMYFUNCTION("""COMPUTED_VALUE"""),"DHBA")</f>
        <v>DHBA</v>
      </c>
      <c r="AD2375" s="42"/>
      <c r="AE2375" s="42"/>
      <c r="AF2375" s="9"/>
      <c r="AG2375" s="9"/>
      <c r="AH2375" s="42"/>
      <c r="AI2375" s="42"/>
      <c r="AJ2375" s="42"/>
      <c r="AK2375" s="42"/>
      <c r="AL2375" s="42"/>
      <c r="AM2375" s="42"/>
      <c r="AN2375" s="42"/>
      <c r="AO2375" s="63" t="str">
        <f>IFERROR(__xludf.DUMMYFUNCTION("IF(ISBLANK(A2375),,IF(ISBLANK(S2375), A2375&amp;"";"", TEXTJOIN(CHAR(10), TRUE, A2375&amp;"";"", ARRAYFORMULA(VLOOKUP(SPLIT(S2375, "";"" &amp; CHAR(10)), $A:$AO, 41, FALSE)))))"),"aLV;")</f>
        <v>aLV;</v>
      </c>
      <c r="AP2375" s="89"/>
    </row>
    <row r="2376">
      <c r="A2376" s="151" t="str">
        <f>IFERROR(__xludf.DUMMYFUNCTION("""COMPUTED_VALUE"""),"bLV")</f>
        <v>bLV</v>
      </c>
      <c r="B2376" s="42" t="str">
        <f>IFERROR(__xludf.DUMMYFUNCTION("""COMPUTED_VALUE"""),"DHBA")</f>
        <v>DHBA</v>
      </c>
      <c r="C2376" s="42" t="str">
        <f>IFERROR(__xludf.DUMMYFUNCTION("""COMPUTED_VALUE"""),"body of lateral ventricle")</f>
        <v>body of lateral ventricle</v>
      </c>
      <c r="D2376" s="42">
        <f>IFERROR(__xludf.DUMMYFUNCTION("""COMPUTED_VALUE"""),2259.0)</f>
        <v>2259</v>
      </c>
      <c r="E2376" s="39" t="str">
        <f>IFERROR(__xludf.DUMMYFUNCTION("""COMPUTED_VALUE"""),"body of lateral ventricle")</f>
        <v>body of lateral ventricle</v>
      </c>
      <c r="F2376" s="9" t="str">
        <f>IFERROR(__xludf.DUMMYFUNCTION("""COMPUTED_VALUE"""),"Br")</f>
        <v>Br</v>
      </c>
      <c r="G2376" s="9" t="str">
        <f>IFERROR(__xludf.DUMMYFUNCTION("""COMPUTED_VALUE"""),"F")</f>
        <v>F</v>
      </c>
      <c r="H2376" s="9" t="str">
        <f>IFERROR(__xludf.DUMMYFUNCTION("""COMPUTED_VALUE"""),"FV")</f>
        <v>FV</v>
      </c>
      <c r="I2376" s="9" t="str">
        <f>IFERROR(__xludf.DUMMYFUNCTION("""COMPUTED_VALUE"""),"LV")</f>
        <v>LV</v>
      </c>
      <c r="J2376" s="9" t="str">
        <f>IFERROR(__xludf.DUMMYFUNCTION("""COMPUTED_VALUE"""),"bLV")</f>
        <v>bLV</v>
      </c>
      <c r="K2376" s="9"/>
      <c r="L2376" s="9"/>
      <c r="M2376" s="9"/>
      <c r="N2376" s="9"/>
      <c r="O2376" s="9"/>
      <c r="P2376" s="9"/>
      <c r="Q2376" s="9"/>
      <c r="R2376" s="9"/>
      <c r="S2376" s="42"/>
      <c r="T2376" s="42"/>
      <c r="U2376" s="42"/>
      <c r="V2376" s="42"/>
      <c r="W2376" s="42"/>
      <c r="X2376" s="42"/>
      <c r="Y2376" s="42"/>
      <c r="Z2376" s="42"/>
      <c r="AA2376" s="42"/>
      <c r="AB2376" s="42" t="str">
        <f>IFERROR(__xludf.DUMMYFUNCTION("""COMPUTED_VALUE"""),"allen institute")</f>
        <v>allen institute</v>
      </c>
      <c r="AC2376" s="42" t="str">
        <f>IFERROR(__xludf.DUMMYFUNCTION("""COMPUTED_VALUE"""),"DHBA")</f>
        <v>DHBA</v>
      </c>
      <c r="AD2376" s="42"/>
      <c r="AE2376" s="42"/>
      <c r="AF2376" s="9"/>
      <c r="AG2376" s="9"/>
      <c r="AH2376" s="42"/>
      <c r="AI2376" s="42"/>
      <c r="AJ2376" s="42"/>
      <c r="AK2376" s="42"/>
      <c r="AL2376" s="42"/>
      <c r="AM2376" s="42"/>
      <c r="AN2376" s="42"/>
      <c r="AO2376" s="63" t="str">
        <f>IFERROR(__xludf.DUMMYFUNCTION("IF(ISBLANK(A2376),,IF(ISBLANK(S2376), A2376&amp;"";"", TEXTJOIN(CHAR(10), TRUE, A2376&amp;"";"", ARRAYFORMULA(VLOOKUP(SPLIT(S2376, "";"" &amp; CHAR(10)), $A:$AO, 41, FALSE)))))"),"bLV;")</f>
        <v>bLV;</v>
      </c>
      <c r="AP2376" s="89"/>
    </row>
    <row r="2377">
      <c r="A2377" s="151" t="str">
        <f>IFERROR(__xludf.DUMMYFUNCTION("""COMPUTED_VALUE"""),"xLV")</f>
        <v>xLV</v>
      </c>
      <c r="B2377" s="42" t="str">
        <f>IFERROR(__xludf.DUMMYFUNCTION("""COMPUTED_VALUE"""),"DHBA")</f>
        <v>DHBA</v>
      </c>
      <c r="C2377" s="42" t="str">
        <f>IFERROR(__xludf.DUMMYFUNCTION("""COMPUTED_VALUE"""),"atrium of lateral ventricle")</f>
        <v>atrium of lateral ventricle</v>
      </c>
      <c r="D2377" s="42">
        <f>IFERROR(__xludf.DUMMYFUNCTION("""COMPUTED_VALUE"""),2260.0)</f>
        <v>2260</v>
      </c>
      <c r="E2377" s="39" t="str">
        <f>IFERROR(__xludf.DUMMYFUNCTION("""COMPUTED_VALUE"""),"atrium of lateral ventricle")</f>
        <v>atrium of lateral ventricle</v>
      </c>
      <c r="F2377" s="9" t="str">
        <f>IFERROR(__xludf.DUMMYFUNCTION("""COMPUTED_VALUE"""),"Br")</f>
        <v>Br</v>
      </c>
      <c r="G2377" s="9" t="str">
        <f>IFERROR(__xludf.DUMMYFUNCTION("""COMPUTED_VALUE"""),"F")</f>
        <v>F</v>
      </c>
      <c r="H2377" s="9" t="str">
        <f>IFERROR(__xludf.DUMMYFUNCTION("""COMPUTED_VALUE"""),"FV")</f>
        <v>FV</v>
      </c>
      <c r="I2377" s="9" t="str">
        <f>IFERROR(__xludf.DUMMYFUNCTION("""COMPUTED_VALUE"""),"LV")</f>
        <v>LV</v>
      </c>
      <c r="J2377" s="9" t="str">
        <f>IFERROR(__xludf.DUMMYFUNCTION("""COMPUTED_VALUE"""),"xLV")</f>
        <v>xLV</v>
      </c>
      <c r="K2377" s="9"/>
      <c r="L2377" s="9"/>
      <c r="M2377" s="9"/>
      <c r="N2377" s="9"/>
      <c r="O2377" s="9"/>
      <c r="P2377" s="9"/>
      <c r="Q2377" s="9"/>
      <c r="R2377" s="9"/>
      <c r="S2377" s="42"/>
      <c r="T2377" s="42"/>
      <c r="U2377" s="42"/>
      <c r="V2377" s="42"/>
      <c r="W2377" s="42"/>
      <c r="X2377" s="42"/>
      <c r="Y2377" s="42"/>
      <c r="Z2377" s="42"/>
      <c r="AA2377" s="42"/>
      <c r="AB2377" s="42" t="str">
        <f>IFERROR(__xludf.DUMMYFUNCTION("""COMPUTED_VALUE"""),"allen institute")</f>
        <v>allen institute</v>
      </c>
      <c r="AC2377" s="42" t="str">
        <f>IFERROR(__xludf.DUMMYFUNCTION("""COMPUTED_VALUE"""),"DHBA")</f>
        <v>DHBA</v>
      </c>
      <c r="AD2377" s="42"/>
      <c r="AE2377" s="42"/>
      <c r="AF2377" s="9"/>
      <c r="AG2377" s="9"/>
      <c r="AH2377" s="42"/>
      <c r="AI2377" s="42"/>
      <c r="AJ2377" s="42"/>
      <c r="AK2377" s="42"/>
      <c r="AL2377" s="42"/>
      <c r="AM2377" s="42"/>
      <c r="AN2377" s="42"/>
      <c r="AO2377" s="63" t="str">
        <f>IFERROR(__xludf.DUMMYFUNCTION("IF(ISBLANK(A2377),,IF(ISBLANK(S2377), A2377&amp;"";"", TEXTJOIN(CHAR(10), TRUE, A2377&amp;"";"", ARRAYFORMULA(VLOOKUP(SPLIT(S2377, "";"" &amp; CHAR(10)), $A:$AO, 41, FALSE)))))"),"xLV;")</f>
        <v>xLV;</v>
      </c>
      <c r="AP2377" s="89"/>
    </row>
    <row r="2378">
      <c r="A2378" s="151" t="str">
        <f>IFERROR(__xludf.DUMMYFUNCTION("""COMPUTED_VALUE"""),"pLV")</f>
        <v>pLV</v>
      </c>
      <c r="B2378" s="42" t="str">
        <f>IFERROR(__xludf.DUMMYFUNCTION("""COMPUTED_VALUE"""),"DHBA")</f>
        <v>DHBA</v>
      </c>
      <c r="C2378" s="42" t="str">
        <f>IFERROR(__xludf.DUMMYFUNCTION("""COMPUTED_VALUE"""),"posterior horn of lateral ventricle")</f>
        <v>posterior horn of lateral ventricle</v>
      </c>
      <c r="D2378" s="42">
        <f>IFERROR(__xludf.DUMMYFUNCTION("""COMPUTED_VALUE"""),2261.0)</f>
        <v>2261</v>
      </c>
      <c r="E2378" s="39" t="str">
        <f>IFERROR(__xludf.DUMMYFUNCTION("""COMPUTED_VALUE"""),"posterior horn of lateral ventricle")</f>
        <v>posterior horn of lateral ventricle</v>
      </c>
      <c r="F2378" s="9" t="str">
        <f>IFERROR(__xludf.DUMMYFUNCTION("""COMPUTED_VALUE"""),"Br")</f>
        <v>Br</v>
      </c>
      <c r="G2378" s="9" t="str">
        <f>IFERROR(__xludf.DUMMYFUNCTION("""COMPUTED_VALUE"""),"F")</f>
        <v>F</v>
      </c>
      <c r="H2378" s="9" t="str">
        <f>IFERROR(__xludf.DUMMYFUNCTION("""COMPUTED_VALUE"""),"FV")</f>
        <v>FV</v>
      </c>
      <c r="I2378" s="9" t="str">
        <f>IFERROR(__xludf.DUMMYFUNCTION("""COMPUTED_VALUE"""),"LV")</f>
        <v>LV</v>
      </c>
      <c r="J2378" s="9" t="str">
        <f>IFERROR(__xludf.DUMMYFUNCTION("""COMPUTED_VALUE"""),"pLV")</f>
        <v>pLV</v>
      </c>
      <c r="K2378" s="9"/>
      <c r="L2378" s="9"/>
      <c r="M2378" s="9"/>
      <c r="N2378" s="9"/>
      <c r="O2378" s="9"/>
      <c r="P2378" s="9"/>
      <c r="Q2378" s="9"/>
      <c r="R2378" s="9"/>
      <c r="S2378" s="42"/>
      <c r="T2378" s="42"/>
      <c r="U2378" s="42"/>
      <c r="V2378" s="42"/>
      <c r="W2378" s="42"/>
      <c r="X2378" s="42"/>
      <c r="Y2378" s="42"/>
      <c r="Z2378" s="42"/>
      <c r="AA2378" s="42"/>
      <c r="AB2378" s="42" t="str">
        <f>IFERROR(__xludf.DUMMYFUNCTION("""COMPUTED_VALUE"""),"allen institute")</f>
        <v>allen institute</v>
      </c>
      <c r="AC2378" s="42" t="str">
        <f>IFERROR(__xludf.DUMMYFUNCTION("""COMPUTED_VALUE"""),"DHBA")</f>
        <v>DHBA</v>
      </c>
      <c r="AD2378" s="42"/>
      <c r="AE2378" s="42"/>
      <c r="AF2378" s="9"/>
      <c r="AG2378" s="9"/>
      <c r="AH2378" s="42"/>
      <c r="AI2378" s="42"/>
      <c r="AJ2378" s="42"/>
      <c r="AK2378" s="42"/>
      <c r="AL2378" s="42"/>
      <c r="AM2378" s="42"/>
      <c r="AN2378" s="42"/>
      <c r="AO2378" s="63" t="str">
        <f>IFERROR(__xludf.DUMMYFUNCTION("IF(ISBLANK(A2378),,IF(ISBLANK(S2378), A2378&amp;"";"", TEXTJOIN(CHAR(10), TRUE, A2378&amp;"";"", ARRAYFORMULA(VLOOKUP(SPLIT(S2378, "";"" &amp; CHAR(10)), $A:$AO, 41, FALSE)))))"),"pLV;")</f>
        <v>pLV;</v>
      </c>
      <c r="AP2378" s="89"/>
    </row>
    <row r="2379">
      <c r="A2379" s="151" t="str">
        <f>IFERROR(__xludf.DUMMYFUNCTION("""COMPUTED_VALUE"""),"iLV")</f>
        <v>iLV</v>
      </c>
      <c r="B2379" s="42" t="str">
        <f>IFERROR(__xludf.DUMMYFUNCTION("""COMPUTED_VALUE"""),"DHBA")</f>
        <v>DHBA</v>
      </c>
      <c r="C2379" s="42" t="str">
        <f>IFERROR(__xludf.DUMMYFUNCTION("""COMPUTED_VALUE"""),"inferior horn of lateral ventricle")</f>
        <v>inferior horn of lateral ventricle</v>
      </c>
      <c r="D2379" s="42">
        <f>IFERROR(__xludf.DUMMYFUNCTION("""COMPUTED_VALUE"""),2262.0)</f>
        <v>2262</v>
      </c>
      <c r="E2379" s="39" t="str">
        <f>IFERROR(__xludf.DUMMYFUNCTION("""COMPUTED_VALUE"""),"inferior horn of lateral ventricle")</f>
        <v>inferior horn of lateral ventricle</v>
      </c>
      <c r="F2379" s="9" t="str">
        <f>IFERROR(__xludf.DUMMYFUNCTION("""COMPUTED_VALUE"""),"Br")</f>
        <v>Br</v>
      </c>
      <c r="G2379" s="9" t="str">
        <f>IFERROR(__xludf.DUMMYFUNCTION("""COMPUTED_VALUE"""),"F")</f>
        <v>F</v>
      </c>
      <c r="H2379" s="9" t="str">
        <f>IFERROR(__xludf.DUMMYFUNCTION("""COMPUTED_VALUE"""),"FV")</f>
        <v>FV</v>
      </c>
      <c r="I2379" s="9" t="str">
        <f>IFERROR(__xludf.DUMMYFUNCTION("""COMPUTED_VALUE"""),"LV")</f>
        <v>LV</v>
      </c>
      <c r="J2379" s="9" t="str">
        <f>IFERROR(__xludf.DUMMYFUNCTION("""COMPUTED_VALUE"""),"iLV")</f>
        <v>iLV</v>
      </c>
      <c r="K2379" s="9"/>
      <c r="L2379" s="9"/>
      <c r="M2379" s="9"/>
      <c r="N2379" s="9"/>
      <c r="O2379" s="9"/>
      <c r="P2379" s="9"/>
      <c r="Q2379" s="9"/>
      <c r="R2379" s="9"/>
      <c r="S2379" s="42"/>
      <c r="T2379" s="42"/>
      <c r="U2379" s="42"/>
      <c r="V2379" s="42"/>
      <c r="W2379" s="42"/>
      <c r="X2379" s="42"/>
      <c r="Y2379" s="42"/>
      <c r="Z2379" s="42"/>
      <c r="AA2379" s="42"/>
      <c r="AB2379" s="42" t="str">
        <f>IFERROR(__xludf.DUMMYFUNCTION("""COMPUTED_VALUE"""),"allen institute")</f>
        <v>allen institute</v>
      </c>
      <c r="AC2379" s="42" t="str">
        <f>IFERROR(__xludf.DUMMYFUNCTION("""COMPUTED_VALUE"""),"DHBA")</f>
        <v>DHBA</v>
      </c>
      <c r="AD2379" s="42"/>
      <c r="AE2379" s="42"/>
      <c r="AF2379" s="9"/>
      <c r="AG2379" s="9"/>
      <c r="AH2379" s="42"/>
      <c r="AI2379" s="42"/>
      <c r="AJ2379" s="42"/>
      <c r="AK2379" s="42"/>
      <c r="AL2379" s="42"/>
      <c r="AM2379" s="42"/>
      <c r="AN2379" s="42"/>
      <c r="AO2379" s="63" t="str">
        <f>IFERROR(__xludf.DUMMYFUNCTION("IF(ISBLANK(A2379),,IF(ISBLANK(S2379), A2379&amp;"";"", TEXTJOIN(CHAR(10), TRUE, A2379&amp;"";"", ARRAYFORMULA(VLOOKUP(SPLIT(S2379, "";"" &amp; CHAR(10)), $A:$AO, 41, FALSE)))))"),"iLV;")</f>
        <v>iLV;</v>
      </c>
      <c r="AP2379" s="89"/>
    </row>
    <row r="2380">
      <c r="A2380" s="151" t="str">
        <f>IFERROR(__xludf.DUMMYFUNCTION("""COMPUTED_VALUE"""),"olr")</f>
        <v>olr</v>
      </c>
      <c r="B2380" s="42" t="str">
        <f>IFERROR(__xludf.DUMMYFUNCTION("""COMPUTED_VALUE"""),"DHBA")</f>
        <v>DHBA</v>
      </c>
      <c r="C2380" s="42" t="str">
        <f>IFERROR(__xludf.DUMMYFUNCTION("""COMPUTED_VALUE"""),"olfactory recess")</f>
        <v>olfactory recess</v>
      </c>
      <c r="D2380" s="42">
        <f>IFERROR(__xludf.DUMMYFUNCTION("""COMPUTED_VALUE"""),2263.0)</f>
        <v>2263</v>
      </c>
      <c r="E2380" s="39" t="str">
        <f>IFERROR(__xludf.DUMMYFUNCTION("""COMPUTED_VALUE"""),"olfactory recess")</f>
        <v>olfactory recess</v>
      </c>
      <c r="F2380" s="9" t="str">
        <f>IFERROR(__xludf.DUMMYFUNCTION("""COMPUTED_VALUE"""),"Br")</f>
        <v>Br</v>
      </c>
      <c r="G2380" s="9" t="str">
        <f>IFERROR(__xludf.DUMMYFUNCTION("""COMPUTED_VALUE"""),"F")</f>
        <v>F</v>
      </c>
      <c r="H2380" s="9" t="str">
        <f>IFERROR(__xludf.DUMMYFUNCTION("""COMPUTED_VALUE"""),"FV")</f>
        <v>FV</v>
      </c>
      <c r="I2380" s="9" t="str">
        <f>IFERROR(__xludf.DUMMYFUNCTION("""COMPUTED_VALUE"""),"olr")</f>
        <v>olr</v>
      </c>
      <c r="J2380" s="9"/>
      <c r="K2380" s="9"/>
      <c r="L2380" s="9"/>
      <c r="M2380" s="9"/>
      <c r="N2380" s="9"/>
      <c r="O2380" s="9"/>
      <c r="P2380" s="9"/>
      <c r="Q2380" s="9"/>
      <c r="R2380" s="9"/>
      <c r="S2380" s="42"/>
      <c r="T2380" s="42"/>
      <c r="U2380" s="42"/>
      <c r="V2380" s="42"/>
      <c r="W2380" s="42"/>
      <c r="X2380" s="42"/>
      <c r="Y2380" s="42"/>
      <c r="Z2380" s="42"/>
      <c r="AA2380" s="42"/>
      <c r="AB2380" s="42" t="str">
        <f>IFERROR(__xludf.DUMMYFUNCTION("""COMPUTED_VALUE"""),"allen institute")</f>
        <v>allen institute</v>
      </c>
      <c r="AC2380" s="42" t="str">
        <f>IFERROR(__xludf.DUMMYFUNCTION("""COMPUTED_VALUE"""),"DHBA")</f>
        <v>DHBA</v>
      </c>
      <c r="AD2380" s="42"/>
      <c r="AE2380" s="42"/>
      <c r="AF2380" s="9"/>
      <c r="AG2380" s="9"/>
      <c r="AH2380" s="42"/>
      <c r="AI2380" s="42"/>
      <c r="AJ2380" s="42"/>
      <c r="AK2380" s="42"/>
      <c r="AL2380" s="42"/>
      <c r="AM2380" s="42"/>
      <c r="AN2380" s="42"/>
      <c r="AO2380" s="63" t="str">
        <f>IFERROR(__xludf.DUMMYFUNCTION("IF(ISBLANK(A2380),,IF(ISBLANK(S2380), A2380&amp;"";"", TEXTJOIN(CHAR(10), TRUE, A2380&amp;"";"", ARRAYFORMULA(VLOOKUP(SPLIT(S2380, "";"" &amp; CHAR(10)), $A:$AO, 41, FALSE)))))"),"olr;")</f>
        <v>olr;</v>
      </c>
      <c r="AP2380" s="89"/>
    </row>
    <row r="2381">
      <c r="A2381" s="151" t="str">
        <f>IFERROR(__xludf.DUMMYFUNCTION("""COMPUTED_VALUE"""),"3V")</f>
        <v>3V</v>
      </c>
      <c r="B2381" s="42" t="str">
        <f>IFERROR(__xludf.DUMMYFUNCTION("""COMPUTED_VALUE"""),"DHBA")</f>
        <v>DHBA</v>
      </c>
      <c r="C2381" s="42" t="str">
        <f>IFERROR(__xludf.DUMMYFUNCTION("""COMPUTED_VALUE"""),"third ventricle")</f>
        <v>third ventricle</v>
      </c>
      <c r="D2381" s="42">
        <f>IFERROR(__xludf.DUMMYFUNCTION("""COMPUTED_VALUE"""),2264.0)</f>
        <v>2264</v>
      </c>
      <c r="E2381" s="39" t="str">
        <f>IFERROR(__xludf.DUMMYFUNCTION("""COMPUTED_VALUE"""),"third ventricle")</f>
        <v>third ventricle</v>
      </c>
      <c r="F2381" s="9" t="str">
        <f>IFERROR(__xludf.DUMMYFUNCTION("""COMPUTED_VALUE"""),"Br")</f>
        <v>Br</v>
      </c>
      <c r="G2381" s="9" t="str">
        <f>IFERROR(__xludf.DUMMYFUNCTION("""COMPUTED_VALUE"""),"F")</f>
        <v>F</v>
      </c>
      <c r="H2381" s="9" t="str">
        <f>IFERROR(__xludf.DUMMYFUNCTION("""COMPUTED_VALUE"""),"FV")</f>
        <v>FV</v>
      </c>
      <c r="I2381" s="9" t="str">
        <f>IFERROR(__xludf.DUMMYFUNCTION("""COMPUTED_VALUE"""),"3V")</f>
        <v>3V</v>
      </c>
      <c r="J2381" s="9"/>
      <c r="K2381" s="9"/>
      <c r="L2381" s="9"/>
      <c r="M2381" s="9"/>
      <c r="N2381" s="9"/>
      <c r="O2381" s="9"/>
      <c r="P2381" s="9"/>
      <c r="Q2381" s="9"/>
      <c r="R2381" s="9"/>
      <c r="S2381" s="42"/>
      <c r="T2381" s="42"/>
      <c r="U2381" s="42"/>
      <c r="V2381" s="42"/>
      <c r="W2381" s="42"/>
      <c r="X2381" s="42"/>
      <c r="Y2381" s="42"/>
      <c r="Z2381" s="42"/>
      <c r="AA2381" s="42"/>
      <c r="AB2381" s="42" t="str">
        <f>IFERROR(__xludf.DUMMYFUNCTION("""COMPUTED_VALUE"""),"allen institute")</f>
        <v>allen institute</v>
      </c>
      <c r="AC2381" s="42" t="str">
        <f>IFERROR(__xludf.DUMMYFUNCTION("""COMPUTED_VALUE"""),"DHBA")</f>
        <v>DHBA</v>
      </c>
      <c r="AD2381" s="42"/>
      <c r="AE2381" s="42"/>
      <c r="AF2381" s="9"/>
      <c r="AG2381" s="9"/>
      <c r="AH2381" s="42"/>
      <c r="AI2381" s="42"/>
      <c r="AJ2381" s="42"/>
      <c r="AK2381" s="42"/>
      <c r="AL2381" s="42"/>
      <c r="AM2381" s="42"/>
      <c r="AN2381" s="42"/>
      <c r="AO2381" s="63" t="str">
        <f>IFERROR(__xludf.DUMMYFUNCTION("IF(ISBLANK(A2381),,IF(ISBLANK(S2381), A2381&amp;"";"", TEXTJOIN(CHAR(10), TRUE, A2381&amp;"";"", ARRAYFORMULA(VLOOKUP(SPLIT(S2381, "";"" &amp; CHAR(10)), $A:$AO, 41, FALSE)))))"),"3V;")</f>
        <v>3V;</v>
      </c>
      <c r="AP2381" s="89"/>
    </row>
    <row r="2382">
      <c r="A2382" s="151" t="str">
        <f>IFERROR(__xludf.DUMMYFUNCTION("""COMPUTED_VALUE"""),"ifr3V")</f>
        <v>ifr3V</v>
      </c>
      <c r="B2382" s="42" t="str">
        <f>IFERROR(__xludf.DUMMYFUNCTION("""COMPUTED_VALUE"""),"DHBA")</f>
        <v>DHBA</v>
      </c>
      <c r="C2382" s="42" t="str">
        <f>IFERROR(__xludf.DUMMYFUNCTION("""COMPUTED_VALUE"""),"infundubular recess of 3V")</f>
        <v>infundubular recess of 3V</v>
      </c>
      <c r="D2382" s="42">
        <f>IFERROR(__xludf.DUMMYFUNCTION("""COMPUTED_VALUE"""),2265.0)</f>
        <v>2265</v>
      </c>
      <c r="E2382" s="39" t="str">
        <f>IFERROR(__xludf.DUMMYFUNCTION("""COMPUTED_VALUE"""),"infundubular recess of 3V")</f>
        <v>infundubular recess of 3V</v>
      </c>
      <c r="F2382" s="9" t="str">
        <f>IFERROR(__xludf.DUMMYFUNCTION("""COMPUTED_VALUE"""),"Br")</f>
        <v>Br</v>
      </c>
      <c r="G2382" s="9" t="str">
        <f>IFERROR(__xludf.DUMMYFUNCTION("""COMPUTED_VALUE"""),"F")</f>
        <v>F</v>
      </c>
      <c r="H2382" s="9" t="str">
        <f>IFERROR(__xludf.DUMMYFUNCTION("""COMPUTED_VALUE"""),"FV")</f>
        <v>FV</v>
      </c>
      <c r="I2382" s="9" t="str">
        <f>IFERROR(__xludf.DUMMYFUNCTION("""COMPUTED_VALUE"""),"3V")</f>
        <v>3V</v>
      </c>
      <c r="J2382" s="9" t="str">
        <f>IFERROR(__xludf.DUMMYFUNCTION("""COMPUTED_VALUE"""),"ifr3V")</f>
        <v>ifr3V</v>
      </c>
      <c r="K2382" s="9"/>
      <c r="L2382" s="9"/>
      <c r="M2382" s="9"/>
      <c r="N2382" s="9"/>
      <c r="O2382" s="9"/>
      <c r="P2382" s="9"/>
      <c r="Q2382" s="9"/>
      <c r="R2382" s="9"/>
      <c r="S2382" s="42"/>
      <c r="T2382" s="42"/>
      <c r="U2382" s="42"/>
      <c r="V2382" s="42"/>
      <c r="W2382" s="42"/>
      <c r="X2382" s="42"/>
      <c r="Y2382" s="42"/>
      <c r="Z2382" s="42"/>
      <c r="AA2382" s="42"/>
      <c r="AB2382" s="42" t="str">
        <f>IFERROR(__xludf.DUMMYFUNCTION("""COMPUTED_VALUE"""),"allen institute")</f>
        <v>allen institute</v>
      </c>
      <c r="AC2382" s="42" t="str">
        <f>IFERROR(__xludf.DUMMYFUNCTION("""COMPUTED_VALUE"""),"DHBA")</f>
        <v>DHBA</v>
      </c>
      <c r="AD2382" s="42"/>
      <c r="AE2382" s="42"/>
      <c r="AF2382" s="9"/>
      <c r="AG2382" s="9"/>
      <c r="AH2382" s="42"/>
      <c r="AI2382" s="42"/>
      <c r="AJ2382" s="42"/>
      <c r="AK2382" s="42"/>
      <c r="AL2382" s="42"/>
      <c r="AM2382" s="42"/>
      <c r="AN2382" s="42"/>
      <c r="AO2382" s="63" t="str">
        <f>IFERROR(__xludf.DUMMYFUNCTION("IF(ISBLANK(A2382),,IF(ISBLANK(S2382), A2382&amp;"";"", TEXTJOIN(CHAR(10), TRUE, A2382&amp;"";"", ARRAYFORMULA(VLOOKUP(SPLIT(S2382, "";"" &amp; CHAR(10)), $A:$AO, 41, FALSE)))))"),"ifr3V;")</f>
        <v>ifr3V;</v>
      </c>
      <c r="AP2382" s="89"/>
    </row>
    <row r="2383">
      <c r="A2383" s="151" t="str">
        <f>IFERROR(__xludf.DUMMYFUNCTION("""COMPUTED_VALUE"""),"por3V")</f>
        <v>por3V</v>
      </c>
      <c r="B2383" s="42" t="str">
        <f>IFERROR(__xludf.DUMMYFUNCTION("""COMPUTED_VALUE"""),"DHBA")</f>
        <v>DHBA</v>
      </c>
      <c r="C2383" s="42" t="str">
        <f>IFERROR(__xludf.DUMMYFUNCTION("""COMPUTED_VALUE"""),"preoptic recess of 3V")</f>
        <v>preoptic recess of 3V</v>
      </c>
      <c r="D2383" s="42">
        <f>IFERROR(__xludf.DUMMYFUNCTION("""COMPUTED_VALUE"""),2266.0)</f>
        <v>2266</v>
      </c>
      <c r="E2383" s="39" t="str">
        <f>IFERROR(__xludf.DUMMYFUNCTION("""COMPUTED_VALUE"""),"preoptic recess of 3V")</f>
        <v>preoptic recess of 3V</v>
      </c>
      <c r="F2383" s="9" t="str">
        <f>IFERROR(__xludf.DUMMYFUNCTION("""COMPUTED_VALUE"""),"Br")</f>
        <v>Br</v>
      </c>
      <c r="G2383" s="9" t="str">
        <f>IFERROR(__xludf.DUMMYFUNCTION("""COMPUTED_VALUE"""),"F")</f>
        <v>F</v>
      </c>
      <c r="H2383" s="9" t="str">
        <f>IFERROR(__xludf.DUMMYFUNCTION("""COMPUTED_VALUE"""),"FV")</f>
        <v>FV</v>
      </c>
      <c r="I2383" s="9" t="str">
        <f>IFERROR(__xludf.DUMMYFUNCTION("""COMPUTED_VALUE"""),"3V")</f>
        <v>3V</v>
      </c>
      <c r="J2383" s="9" t="str">
        <f>IFERROR(__xludf.DUMMYFUNCTION("""COMPUTED_VALUE"""),"por3V")</f>
        <v>por3V</v>
      </c>
      <c r="K2383" s="9"/>
      <c r="L2383" s="9"/>
      <c r="M2383" s="9"/>
      <c r="N2383" s="9"/>
      <c r="O2383" s="9"/>
      <c r="P2383" s="9"/>
      <c r="Q2383" s="9"/>
      <c r="R2383" s="9"/>
      <c r="S2383" s="42"/>
      <c r="T2383" s="42"/>
      <c r="U2383" s="42"/>
      <c r="V2383" s="42"/>
      <c r="W2383" s="42"/>
      <c r="X2383" s="42"/>
      <c r="Y2383" s="42"/>
      <c r="Z2383" s="42"/>
      <c r="AA2383" s="42"/>
      <c r="AB2383" s="42" t="str">
        <f>IFERROR(__xludf.DUMMYFUNCTION("""COMPUTED_VALUE"""),"allen institute")</f>
        <v>allen institute</v>
      </c>
      <c r="AC2383" s="42" t="str">
        <f>IFERROR(__xludf.DUMMYFUNCTION("""COMPUTED_VALUE"""),"DHBA")</f>
        <v>DHBA</v>
      </c>
      <c r="AD2383" s="42"/>
      <c r="AE2383" s="42"/>
      <c r="AF2383" s="9"/>
      <c r="AG2383" s="9"/>
      <c r="AH2383" s="42"/>
      <c r="AI2383" s="42"/>
      <c r="AJ2383" s="42"/>
      <c r="AK2383" s="42"/>
      <c r="AL2383" s="42"/>
      <c r="AM2383" s="42"/>
      <c r="AN2383" s="42"/>
      <c r="AO2383" s="63" t="str">
        <f>IFERROR(__xludf.DUMMYFUNCTION("IF(ISBLANK(A2383),,IF(ISBLANK(S2383), A2383&amp;"";"", TEXTJOIN(CHAR(10), TRUE, A2383&amp;"";"", ARRAYFORMULA(VLOOKUP(SPLIT(S2383, "";"" &amp; CHAR(10)), $A:$AO, 41, FALSE)))))"),"por3V;")</f>
        <v>por3V;</v>
      </c>
      <c r="AP2383" s="89"/>
    </row>
    <row r="2384">
      <c r="A2384" s="151" t="str">
        <f>IFERROR(__xludf.DUMMYFUNCTION("""COMPUTED_VALUE"""),"pir3V")</f>
        <v>pir3V</v>
      </c>
      <c r="B2384" s="42" t="str">
        <f>IFERROR(__xludf.DUMMYFUNCTION("""COMPUTED_VALUE"""),"DHBA")</f>
        <v>DHBA</v>
      </c>
      <c r="C2384" s="42" t="str">
        <f>IFERROR(__xludf.DUMMYFUNCTION("""COMPUTED_VALUE"""),"pineal recess of 3V")</f>
        <v>pineal recess of 3V</v>
      </c>
      <c r="D2384" s="42">
        <f>IFERROR(__xludf.DUMMYFUNCTION("""COMPUTED_VALUE"""),2267.0)</f>
        <v>2267</v>
      </c>
      <c r="E2384" s="39" t="str">
        <f>IFERROR(__xludf.DUMMYFUNCTION("""COMPUTED_VALUE"""),"pineal recess of 3V")</f>
        <v>pineal recess of 3V</v>
      </c>
      <c r="F2384" s="9" t="str">
        <f>IFERROR(__xludf.DUMMYFUNCTION("""COMPUTED_VALUE"""),"Br")</f>
        <v>Br</v>
      </c>
      <c r="G2384" s="9" t="str">
        <f>IFERROR(__xludf.DUMMYFUNCTION("""COMPUTED_VALUE"""),"F")</f>
        <v>F</v>
      </c>
      <c r="H2384" s="9" t="str">
        <f>IFERROR(__xludf.DUMMYFUNCTION("""COMPUTED_VALUE"""),"FV")</f>
        <v>FV</v>
      </c>
      <c r="I2384" s="9" t="str">
        <f>IFERROR(__xludf.DUMMYFUNCTION("""COMPUTED_VALUE"""),"3V")</f>
        <v>3V</v>
      </c>
      <c r="J2384" s="9" t="str">
        <f>IFERROR(__xludf.DUMMYFUNCTION("""COMPUTED_VALUE"""),"pir3V")</f>
        <v>pir3V</v>
      </c>
      <c r="K2384" s="9"/>
      <c r="L2384" s="9"/>
      <c r="M2384" s="9"/>
      <c r="N2384" s="9"/>
      <c r="O2384" s="9"/>
      <c r="P2384" s="9"/>
      <c r="Q2384" s="9"/>
      <c r="R2384" s="9"/>
      <c r="S2384" s="42"/>
      <c r="T2384" s="42"/>
      <c r="U2384" s="42"/>
      <c r="V2384" s="42"/>
      <c r="W2384" s="42"/>
      <c r="X2384" s="42"/>
      <c r="Y2384" s="42"/>
      <c r="Z2384" s="42"/>
      <c r="AA2384" s="42"/>
      <c r="AB2384" s="42" t="str">
        <f>IFERROR(__xludf.DUMMYFUNCTION("""COMPUTED_VALUE"""),"allen institute")</f>
        <v>allen institute</v>
      </c>
      <c r="AC2384" s="42" t="str">
        <f>IFERROR(__xludf.DUMMYFUNCTION("""COMPUTED_VALUE"""),"DHBA")</f>
        <v>DHBA</v>
      </c>
      <c r="AD2384" s="42"/>
      <c r="AE2384" s="42"/>
      <c r="AF2384" s="9"/>
      <c r="AG2384" s="9"/>
      <c r="AH2384" s="42"/>
      <c r="AI2384" s="42"/>
      <c r="AJ2384" s="42"/>
      <c r="AK2384" s="42"/>
      <c r="AL2384" s="42"/>
      <c r="AM2384" s="42"/>
      <c r="AN2384" s="42"/>
      <c r="AO2384" s="63" t="str">
        <f>IFERROR(__xludf.DUMMYFUNCTION("IF(ISBLANK(A2384),,IF(ISBLANK(S2384), A2384&amp;"";"", TEXTJOIN(CHAR(10), TRUE, A2384&amp;"";"", ARRAYFORMULA(VLOOKUP(SPLIT(S2384, "";"" &amp; CHAR(10)), $A:$AO, 41, FALSE)))))"),"pir3V;")</f>
        <v>pir3V;</v>
      </c>
      <c r="AP2384" s="89"/>
    </row>
    <row r="2385">
      <c r="A2385" s="151" t="str">
        <f>IFERROR(__xludf.DUMMYFUNCTION("""COMPUTED_VALUE"""),"spr3V")</f>
        <v>spr3V</v>
      </c>
      <c r="B2385" s="42" t="str">
        <f>IFERROR(__xludf.DUMMYFUNCTION("""COMPUTED_VALUE"""),"DHBA")</f>
        <v>DHBA</v>
      </c>
      <c r="C2385" s="42" t="str">
        <f>IFERROR(__xludf.DUMMYFUNCTION("""COMPUTED_VALUE"""),"suprapineal recess of 3V")</f>
        <v>suprapineal recess of 3V</v>
      </c>
      <c r="D2385" s="42">
        <f>IFERROR(__xludf.DUMMYFUNCTION("""COMPUTED_VALUE"""),2268.0)</f>
        <v>2268</v>
      </c>
      <c r="E2385" s="39" t="str">
        <f>IFERROR(__xludf.DUMMYFUNCTION("""COMPUTED_VALUE"""),"suprapineal recess of 3V")</f>
        <v>suprapineal recess of 3V</v>
      </c>
      <c r="F2385" s="9" t="str">
        <f>IFERROR(__xludf.DUMMYFUNCTION("""COMPUTED_VALUE"""),"Br")</f>
        <v>Br</v>
      </c>
      <c r="G2385" s="9" t="str">
        <f>IFERROR(__xludf.DUMMYFUNCTION("""COMPUTED_VALUE"""),"F")</f>
        <v>F</v>
      </c>
      <c r="H2385" s="9" t="str">
        <f>IFERROR(__xludf.DUMMYFUNCTION("""COMPUTED_VALUE"""),"FV")</f>
        <v>FV</v>
      </c>
      <c r="I2385" s="9" t="str">
        <f>IFERROR(__xludf.DUMMYFUNCTION("""COMPUTED_VALUE"""),"3V")</f>
        <v>3V</v>
      </c>
      <c r="J2385" s="9" t="str">
        <f>IFERROR(__xludf.DUMMYFUNCTION("""COMPUTED_VALUE"""),"spr3V")</f>
        <v>spr3V</v>
      </c>
      <c r="K2385" s="9"/>
      <c r="L2385" s="9"/>
      <c r="M2385" s="9"/>
      <c r="N2385" s="9"/>
      <c r="O2385" s="9"/>
      <c r="P2385" s="9"/>
      <c r="Q2385" s="9"/>
      <c r="R2385" s="9"/>
      <c r="S2385" s="42"/>
      <c r="T2385" s="42"/>
      <c r="U2385" s="42"/>
      <c r="V2385" s="42"/>
      <c r="W2385" s="42"/>
      <c r="X2385" s="42"/>
      <c r="Y2385" s="42"/>
      <c r="Z2385" s="42"/>
      <c r="AA2385" s="42"/>
      <c r="AB2385" s="42" t="str">
        <f>IFERROR(__xludf.DUMMYFUNCTION("""COMPUTED_VALUE"""),"allen institute")</f>
        <v>allen institute</v>
      </c>
      <c r="AC2385" s="42" t="str">
        <f>IFERROR(__xludf.DUMMYFUNCTION("""COMPUTED_VALUE"""),"DHBA")</f>
        <v>DHBA</v>
      </c>
      <c r="AD2385" s="42"/>
      <c r="AE2385" s="42"/>
      <c r="AF2385" s="9"/>
      <c r="AG2385" s="9"/>
      <c r="AH2385" s="42"/>
      <c r="AI2385" s="42"/>
      <c r="AJ2385" s="42"/>
      <c r="AK2385" s="42"/>
      <c r="AL2385" s="42"/>
      <c r="AM2385" s="42"/>
      <c r="AN2385" s="42"/>
      <c r="AO2385" s="63" t="str">
        <f>IFERROR(__xludf.DUMMYFUNCTION("IF(ISBLANK(A2385),,IF(ISBLANK(S2385), A2385&amp;"";"", TEXTJOIN(CHAR(10), TRUE, A2385&amp;"";"", ARRAYFORMULA(VLOOKUP(SPLIT(S2385, "";"" &amp; CHAR(10)), $A:$AO, 41, FALSE)))))"),"spr3V;")</f>
        <v>spr3V;</v>
      </c>
      <c r="AP2385" s="89"/>
    </row>
    <row r="2386">
      <c r="A2386" s="151" t="str">
        <f>IFERROR(__xludf.DUMMYFUNCTION("""COMPUTED_VALUE"""),"mmr3V")</f>
        <v>mmr3V</v>
      </c>
      <c r="B2386" s="42" t="str">
        <f>IFERROR(__xludf.DUMMYFUNCTION("""COMPUTED_VALUE"""),"DHBA")</f>
        <v>DHBA</v>
      </c>
      <c r="C2386" s="42" t="str">
        <f>IFERROR(__xludf.DUMMYFUNCTION("""COMPUTED_VALUE"""),"mammillary recess of 3V")</f>
        <v>mammillary recess of 3V</v>
      </c>
      <c r="D2386" s="42">
        <f>IFERROR(__xludf.DUMMYFUNCTION("""COMPUTED_VALUE"""),2269.0)</f>
        <v>2269</v>
      </c>
      <c r="E2386" s="39" t="str">
        <f>IFERROR(__xludf.DUMMYFUNCTION("""COMPUTED_VALUE"""),"mammillary recess of 3V")</f>
        <v>mammillary recess of 3V</v>
      </c>
      <c r="F2386" s="9" t="str">
        <f>IFERROR(__xludf.DUMMYFUNCTION("""COMPUTED_VALUE"""),"Br")</f>
        <v>Br</v>
      </c>
      <c r="G2386" s="9" t="str">
        <f>IFERROR(__xludf.DUMMYFUNCTION("""COMPUTED_VALUE"""),"F")</f>
        <v>F</v>
      </c>
      <c r="H2386" s="9" t="str">
        <f>IFERROR(__xludf.DUMMYFUNCTION("""COMPUTED_VALUE"""),"FV")</f>
        <v>FV</v>
      </c>
      <c r="I2386" s="9" t="str">
        <f>IFERROR(__xludf.DUMMYFUNCTION("""COMPUTED_VALUE"""),"3V")</f>
        <v>3V</v>
      </c>
      <c r="J2386" s="9" t="str">
        <f>IFERROR(__xludf.DUMMYFUNCTION("""COMPUTED_VALUE"""),"mmr3V")</f>
        <v>mmr3V</v>
      </c>
      <c r="K2386" s="9"/>
      <c r="L2386" s="9"/>
      <c r="M2386" s="9"/>
      <c r="N2386" s="9"/>
      <c r="O2386" s="9"/>
      <c r="P2386" s="9"/>
      <c r="Q2386" s="9"/>
      <c r="R2386" s="9"/>
      <c r="S2386" s="42"/>
      <c r="T2386" s="42"/>
      <c r="U2386" s="42"/>
      <c r="V2386" s="42"/>
      <c r="W2386" s="42"/>
      <c r="X2386" s="42"/>
      <c r="Y2386" s="42"/>
      <c r="Z2386" s="42"/>
      <c r="AA2386" s="42"/>
      <c r="AB2386" s="42" t="str">
        <f>IFERROR(__xludf.DUMMYFUNCTION("""COMPUTED_VALUE"""),"allen institute")</f>
        <v>allen institute</v>
      </c>
      <c r="AC2386" s="42" t="str">
        <f>IFERROR(__xludf.DUMMYFUNCTION("""COMPUTED_VALUE"""),"DHBA")</f>
        <v>DHBA</v>
      </c>
      <c r="AD2386" s="42"/>
      <c r="AE2386" s="42"/>
      <c r="AF2386" s="9"/>
      <c r="AG2386" s="9"/>
      <c r="AH2386" s="42"/>
      <c r="AI2386" s="42"/>
      <c r="AJ2386" s="42"/>
      <c r="AK2386" s="42"/>
      <c r="AL2386" s="42"/>
      <c r="AM2386" s="42"/>
      <c r="AN2386" s="42"/>
      <c r="AO2386" s="63" t="str">
        <f>IFERROR(__xludf.DUMMYFUNCTION("IF(ISBLANK(A2386),,IF(ISBLANK(S2386), A2386&amp;"";"", TEXTJOIN(CHAR(10), TRUE, A2386&amp;"";"", ARRAYFORMULA(VLOOKUP(SPLIT(S2386, "";"" &amp; CHAR(10)), $A:$AO, 41, FALSE)))))"),"mmr3V;")</f>
        <v>mmr3V;</v>
      </c>
      <c r="AP2386" s="89"/>
    </row>
    <row r="2387">
      <c r="A2387" s="151" t="str">
        <f>IFERROR(__xludf.DUMMYFUNCTION("""COMPUTED_VALUE"""),"IVF")</f>
        <v>IVF</v>
      </c>
      <c r="B2387" s="42" t="str">
        <f>IFERROR(__xludf.DUMMYFUNCTION("""COMPUTED_VALUE"""),"DHBA")</f>
        <v>DHBA</v>
      </c>
      <c r="C2387" s="42" t="str">
        <f>IFERROR(__xludf.DUMMYFUNCTION("""COMPUTED_VALUE"""),"interventricular foramen")</f>
        <v>interventricular foramen</v>
      </c>
      <c r="D2387" s="42">
        <f>IFERROR(__xludf.DUMMYFUNCTION("""COMPUTED_VALUE"""),2270.0)</f>
        <v>2270</v>
      </c>
      <c r="E2387" s="39" t="str">
        <f>IFERROR(__xludf.DUMMYFUNCTION("""COMPUTED_VALUE"""),"interventricular foramen")</f>
        <v>interventricular foramen</v>
      </c>
      <c r="F2387" s="9" t="str">
        <f>IFERROR(__xludf.DUMMYFUNCTION("""COMPUTED_VALUE"""),"Br")</f>
        <v>Br</v>
      </c>
      <c r="G2387" s="9" t="str">
        <f>IFERROR(__xludf.DUMMYFUNCTION("""COMPUTED_VALUE"""),"F")</f>
        <v>F</v>
      </c>
      <c r="H2387" s="9" t="str">
        <f>IFERROR(__xludf.DUMMYFUNCTION("""COMPUTED_VALUE"""),"FV")</f>
        <v>FV</v>
      </c>
      <c r="I2387" s="9" t="str">
        <f>IFERROR(__xludf.DUMMYFUNCTION("""COMPUTED_VALUE"""),"IVF")</f>
        <v>IVF</v>
      </c>
      <c r="J2387" s="9"/>
      <c r="K2387" s="9"/>
      <c r="L2387" s="9"/>
      <c r="M2387" s="9"/>
      <c r="N2387" s="9"/>
      <c r="O2387" s="9"/>
      <c r="P2387" s="9"/>
      <c r="Q2387" s="9"/>
      <c r="R2387" s="9"/>
      <c r="S2387" s="42"/>
      <c r="T2387" s="42"/>
      <c r="U2387" s="42"/>
      <c r="V2387" s="42"/>
      <c r="W2387" s="42"/>
      <c r="X2387" s="42"/>
      <c r="Y2387" s="42"/>
      <c r="Z2387" s="42"/>
      <c r="AA2387" s="42"/>
      <c r="AB2387" s="42" t="str">
        <f>IFERROR(__xludf.DUMMYFUNCTION("""COMPUTED_VALUE"""),"allen institute")</f>
        <v>allen institute</v>
      </c>
      <c r="AC2387" s="42" t="str">
        <f>IFERROR(__xludf.DUMMYFUNCTION("""COMPUTED_VALUE"""),"DHBA")</f>
        <v>DHBA</v>
      </c>
      <c r="AD2387" s="42"/>
      <c r="AE2387" s="42"/>
      <c r="AF2387" s="9"/>
      <c r="AG2387" s="9"/>
      <c r="AH2387" s="42"/>
      <c r="AI2387" s="42"/>
      <c r="AJ2387" s="42"/>
      <c r="AK2387" s="42"/>
      <c r="AL2387" s="42"/>
      <c r="AM2387" s="42"/>
      <c r="AN2387" s="42"/>
      <c r="AO2387" s="63" t="str">
        <f>IFERROR(__xludf.DUMMYFUNCTION("IF(ISBLANK(A2387),,IF(ISBLANK(S2387), A2387&amp;"";"", TEXTJOIN(CHAR(10), TRUE, A2387&amp;"";"", ARRAYFORMULA(VLOOKUP(SPLIT(S2387, "";"" &amp; CHAR(10)), $A:$AO, 41, FALSE)))))"),"IVF;")</f>
        <v>IVF;</v>
      </c>
      <c r="AP2387" s="89"/>
    </row>
    <row r="2388">
      <c r="A2388" s="151" t="str">
        <f>IFERROR(__xludf.DUMMYFUNCTION("""COMPUTED_VALUE"""),"FSS")</f>
        <v>FSS</v>
      </c>
      <c r="B2388" s="42" t="str">
        <f>IFERROR(__xludf.DUMMYFUNCTION("""COMPUTED_VALUE"""),"DHBA")</f>
        <v>DHBA</v>
      </c>
      <c r="C2388" s="42" t="str">
        <f>IFERROR(__xludf.DUMMYFUNCTION("""COMPUTED_VALUE"""),"surface structures of forebrain")</f>
        <v>surface structures of forebrain</v>
      </c>
      <c r="D2388" s="42">
        <f>IFERROR(__xludf.DUMMYFUNCTION("""COMPUTED_VALUE"""),2271.0)</f>
        <v>2271</v>
      </c>
      <c r="E2388" s="39" t="str">
        <f>IFERROR(__xludf.DUMMYFUNCTION("""COMPUTED_VALUE"""),"surface structures of forebrain")</f>
        <v>surface structures of forebrain</v>
      </c>
      <c r="F2388" s="9" t="str">
        <f>IFERROR(__xludf.DUMMYFUNCTION("""COMPUTED_VALUE"""),"Br")</f>
        <v>Br</v>
      </c>
      <c r="G2388" s="9" t="str">
        <f>IFERROR(__xludf.DUMMYFUNCTION("""COMPUTED_VALUE"""),"F")</f>
        <v>F</v>
      </c>
      <c r="H2388" s="9" t="str">
        <f>IFERROR(__xludf.DUMMYFUNCTION("""COMPUTED_VALUE"""),"FSS")</f>
        <v>FSS</v>
      </c>
      <c r="I2388" s="9"/>
      <c r="J2388" s="9"/>
      <c r="K2388" s="9"/>
      <c r="L2388" s="9"/>
      <c r="M2388" s="9"/>
      <c r="N2388" s="9"/>
      <c r="O2388" s="9"/>
      <c r="P2388" s="9"/>
      <c r="Q2388" s="9"/>
      <c r="R2388" s="9"/>
      <c r="S2388" s="42" t="str">
        <f>IFERROR(__xludf.DUMMYFUNCTION("""COMPUTED_VALUE"""),"CeS;
CeG;
APS;
HaTr;
InF;
LI;
MB;
PrN;
TPUJ;
TN;
TC;
ASFV")</f>
        <v>CeS;
CeG;
APS;
HaTr;
InF;
LI;
MB;
PrN;
TPUJ;
TN;
TC;
ASFV</v>
      </c>
      <c r="T2388" s="42"/>
      <c r="U2388" s="42" t="b">
        <f>IFERROR(__xludf.DUMMYFUNCTION("""COMPUTED_VALUE"""),FALSE)</f>
        <v>0</v>
      </c>
      <c r="V2388" s="42"/>
      <c r="W2388" s="42"/>
      <c r="X2388" s="42"/>
      <c r="Y2388" s="42"/>
      <c r="Z2388" s="42"/>
      <c r="AA2388" s="42"/>
      <c r="AB2388" s="42" t="str">
        <f>IFERROR(__xludf.DUMMYFUNCTION("""COMPUTED_VALUE"""),"allen institute")</f>
        <v>allen institute</v>
      </c>
      <c r="AC2388" s="42" t="str">
        <f>IFERROR(__xludf.DUMMYFUNCTION("""COMPUTED_VALUE"""),"DHBA")</f>
        <v>DHBA</v>
      </c>
      <c r="AD2388" s="42"/>
      <c r="AE2388" s="42"/>
      <c r="AF2388" s="9"/>
      <c r="AG2388" s="9"/>
      <c r="AH2388" s="42"/>
      <c r="AI2388" s="42"/>
      <c r="AJ2388" s="42"/>
      <c r="AK2388" s="42"/>
      <c r="AL2388" s="42"/>
      <c r="AM2388" s="42"/>
      <c r="AN2388" s="42"/>
      <c r="AO2388" s="63" t="str">
        <f>IFERROR(__xludf.DUMMYFUNCTION("IF(ISBLANK(A2388),,IF(ISBLANK(S2388), A2388&amp;"";"", TEXTJOIN(CHAR(10), TRUE, A2388&amp;"";"", ARRAYFORMULA(VLOOKUP(SPLIT(S2388, "";"" &amp; CHAR(10)), $A:$AO, 41, FALSE)))))"),"#N/A")</f>
        <v>#N/A</v>
      </c>
      <c r="AP2388" s="89"/>
    </row>
    <row r="2389">
      <c r="A2389" s="151" t="str">
        <f>IFERROR(__xludf.DUMMYFUNCTION("""COMPUTED_VALUE"""),"CeS")</f>
        <v>CeS</v>
      </c>
      <c r="B2389" s="42" t="str">
        <f>IFERROR(__xludf.DUMMYFUNCTION("""COMPUTED_VALUE"""),"DHBA")</f>
        <v>DHBA</v>
      </c>
      <c r="C2389" s="42" t="str">
        <f>IFERROR(__xludf.DUMMYFUNCTION("""COMPUTED_VALUE"""),"cerebral sulci")</f>
        <v>cerebral sulci</v>
      </c>
      <c r="D2389" s="42">
        <f>IFERROR(__xludf.DUMMYFUNCTION("""COMPUTED_VALUE"""),2272.0)</f>
        <v>2272</v>
      </c>
      <c r="E2389" s="39" t="str">
        <f>IFERROR(__xludf.DUMMYFUNCTION("""COMPUTED_VALUE"""),"cerebral sulci")</f>
        <v>cerebral sulci</v>
      </c>
      <c r="F2389" s="9" t="str">
        <f>IFERROR(__xludf.DUMMYFUNCTION("""COMPUTED_VALUE"""),"Br")</f>
        <v>Br</v>
      </c>
      <c r="G2389" s="9" t="str">
        <f>IFERROR(__xludf.DUMMYFUNCTION("""COMPUTED_VALUE"""),"F")</f>
        <v>F</v>
      </c>
      <c r="H2389" s="9" t="str">
        <f>IFERROR(__xludf.DUMMYFUNCTION("""COMPUTED_VALUE"""),"FSS")</f>
        <v>FSS</v>
      </c>
      <c r="I2389" s="9" t="str">
        <f>IFERROR(__xludf.DUMMYFUNCTION("""COMPUTED_VALUE"""),"CeS")</f>
        <v>CeS</v>
      </c>
      <c r="J2389" s="9"/>
      <c r="K2389" s="9"/>
      <c r="L2389" s="9"/>
      <c r="M2389" s="9"/>
      <c r="N2389" s="9"/>
      <c r="O2389" s="9"/>
      <c r="P2389" s="9"/>
      <c r="Q2389" s="9"/>
      <c r="R2389" s="9"/>
      <c r="S2389" s="42" t="str">
        <f>IFERROR(__xludf.DUMMYFUNCTION("""COMPUTED_VALUE"""),"PriS;
SecS")</f>
        <v>PriS;
SecS</v>
      </c>
      <c r="T2389" s="42" t="str">
        <f>IFERROR(__xludf.DUMMYFUNCTION("""COMPUTED_VALUE"""),"sulcus")</f>
        <v>sulcus</v>
      </c>
      <c r="U2389" s="42" t="b">
        <f>IFERROR(__xludf.DUMMYFUNCTION("""COMPUTED_VALUE"""),FALSE)</f>
        <v>0</v>
      </c>
      <c r="V2389" s="42"/>
      <c r="W2389" s="42"/>
      <c r="X2389" s="42"/>
      <c r="Y2389" s="42"/>
      <c r="Z2389" s="42"/>
      <c r="AA2389" s="42"/>
      <c r="AB2389" s="42" t="str">
        <f>IFERROR(__xludf.DUMMYFUNCTION("""COMPUTED_VALUE"""),"allen institute")</f>
        <v>allen institute</v>
      </c>
      <c r="AC2389" s="42" t="str">
        <f>IFERROR(__xludf.DUMMYFUNCTION("""COMPUTED_VALUE"""),"DHBA")</f>
        <v>DHBA</v>
      </c>
      <c r="AD2389" s="42"/>
      <c r="AE2389" s="42"/>
      <c r="AF2389" s="9"/>
      <c r="AG2389" s="9"/>
      <c r="AH2389" s="42"/>
      <c r="AI2389" s="42"/>
      <c r="AJ2389" s="42"/>
      <c r="AK2389" s="42"/>
      <c r="AL2389" s="42"/>
      <c r="AM2389" s="42"/>
      <c r="AN2389" s="42"/>
      <c r="AO2389" s="63" t="str">
        <f>IFERROR(__xludf.DUMMYFUNCTION("IF(ISBLANK(A2389),,IF(ISBLANK(S2389), A2389&amp;"";"", TEXTJOIN(CHAR(10), TRUE, A2389&amp;"";"", ARRAYFORMULA(VLOOKUP(SPLIT(S2389, "";"" &amp; CHAR(10)), $A:$AO, 41, FALSE)))))"),"#N/A")</f>
        <v>#N/A</v>
      </c>
      <c r="AP2389" s="89"/>
    </row>
    <row r="2390">
      <c r="A2390" s="151" t="str">
        <f>IFERROR(__xludf.DUMMYFUNCTION("""COMPUTED_VALUE"""),"PriS")</f>
        <v>PriS</v>
      </c>
      <c r="B2390" s="42" t="str">
        <f>IFERROR(__xludf.DUMMYFUNCTION("""COMPUTED_VALUE"""),"DHBA")</f>
        <v>DHBA</v>
      </c>
      <c r="C2390" s="42" t="str">
        <f>IFERROR(__xludf.DUMMYFUNCTION("""COMPUTED_VALUE"""),"primary sulci")</f>
        <v>primary sulci</v>
      </c>
      <c r="D2390" s="42">
        <f>IFERROR(__xludf.DUMMYFUNCTION("""COMPUTED_VALUE"""),2273.0)</f>
        <v>2273</v>
      </c>
      <c r="E2390" s="39" t="str">
        <f>IFERROR(__xludf.DUMMYFUNCTION("""COMPUTED_VALUE"""),"primary sulci")</f>
        <v>primary sulci</v>
      </c>
      <c r="F2390" s="9" t="str">
        <f>IFERROR(__xludf.DUMMYFUNCTION("""COMPUTED_VALUE"""),"Br")</f>
        <v>Br</v>
      </c>
      <c r="G2390" s="9" t="str">
        <f>IFERROR(__xludf.DUMMYFUNCTION("""COMPUTED_VALUE"""),"F")</f>
        <v>F</v>
      </c>
      <c r="H2390" s="9" t="str">
        <f>IFERROR(__xludf.DUMMYFUNCTION("""COMPUTED_VALUE"""),"FSS")</f>
        <v>FSS</v>
      </c>
      <c r="I2390" s="9" t="str">
        <f>IFERROR(__xludf.DUMMYFUNCTION("""COMPUTED_VALUE"""),"CeS")</f>
        <v>CeS</v>
      </c>
      <c r="J2390" s="9" t="str">
        <f>IFERROR(__xludf.DUMMYFUNCTION("""COMPUTED_VALUE"""),"PriS")</f>
        <v>PriS</v>
      </c>
      <c r="K2390" s="9"/>
      <c r="L2390" s="9"/>
      <c r="M2390" s="9"/>
      <c r="N2390" s="9"/>
      <c r="O2390" s="9"/>
      <c r="P2390" s="9"/>
      <c r="Q2390" s="9"/>
      <c r="R2390" s="9"/>
      <c r="S2390" s="42" t="str">
        <f>IFERROR(__xludf.DUMMYFUNCTION("""COMPUTED_VALUE"""),"cas;
cals;
cs;
cis;
csr;
cols;
hf;
ips;
las;
los;
ots;
ols;
ors;
pos;
pocs;
prcs;
sts;
tranf")</f>
        <v>cas;
cals;
cs;
cis;
csr;
cols;
hf;
ips;
las;
los;
ots;
ols;
ors;
pos;
pocs;
prcs;
sts;
tranf</v>
      </c>
      <c r="T2390" s="42" t="str">
        <f>IFERROR(__xludf.DUMMYFUNCTION("""COMPUTED_VALUE"""),"sulcus")</f>
        <v>sulcus</v>
      </c>
      <c r="U2390" s="42" t="b">
        <f>IFERROR(__xludf.DUMMYFUNCTION("""COMPUTED_VALUE"""),FALSE)</f>
        <v>0</v>
      </c>
      <c r="V2390" s="42"/>
      <c r="W2390" s="42"/>
      <c r="X2390" s="42"/>
      <c r="Y2390" s="42"/>
      <c r="Z2390" s="42"/>
      <c r="AA2390" s="42"/>
      <c r="AB2390" s="42" t="str">
        <f>IFERROR(__xludf.DUMMYFUNCTION("""COMPUTED_VALUE"""),"allen institute")</f>
        <v>allen institute</v>
      </c>
      <c r="AC2390" s="42" t="str">
        <f>IFERROR(__xludf.DUMMYFUNCTION("""COMPUTED_VALUE"""),"DHBA")</f>
        <v>DHBA</v>
      </c>
      <c r="AD2390" s="42"/>
      <c r="AE2390" s="42"/>
      <c r="AF2390" s="9"/>
      <c r="AG2390" s="9"/>
      <c r="AH2390" s="42"/>
      <c r="AI2390" s="42"/>
      <c r="AJ2390" s="42"/>
      <c r="AK2390" s="42"/>
      <c r="AL2390" s="42"/>
      <c r="AM2390" s="42"/>
      <c r="AN2390" s="42"/>
      <c r="AO2390" s="63" t="str">
        <f>IFERROR(__xludf.DUMMYFUNCTION("IF(ISBLANK(A2390),,IF(ISBLANK(S2390), A2390&amp;"";"", TEXTJOIN(CHAR(10), TRUE, A2390&amp;"";"", ARRAYFORMULA(VLOOKUP(SPLIT(S2390, "";"" &amp; CHAR(10)), $A:$AO, 41, FALSE)))))"),"#N/A")</f>
        <v>#N/A</v>
      </c>
      <c r="AP2390" s="89"/>
    </row>
    <row r="2391">
      <c r="A2391" s="151" t="str">
        <f>IFERROR(__xludf.DUMMYFUNCTION("""COMPUTED_VALUE"""),"cas")</f>
        <v>cas</v>
      </c>
      <c r="B2391" s="42" t="str">
        <f>IFERROR(__xludf.DUMMYFUNCTION("""COMPUTED_VALUE"""),"DHBA")</f>
        <v>DHBA</v>
      </c>
      <c r="C2391" s="42" t="str">
        <f>IFERROR(__xludf.DUMMYFUNCTION("""COMPUTED_VALUE"""),"calcarine fissure")</f>
        <v>calcarine fissure</v>
      </c>
      <c r="D2391" s="42">
        <f>IFERROR(__xludf.DUMMYFUNCTION("""COMPUTED_VALUE"""),2274.0)</f>
        <v>2274</v>
      </c>
      <c r="E2391" s="39" t="str">
        <f>IFERROR(__xludf.DUMMYFUNCTION("""COMPUTED_VALUE"""),"calcarine fissure")</f>
        <v>calcarine fissure</v>
      </c>
      <c r="F2391" s="9" t="str">
        <f>IFERROR(__xludf.DUMMYFUNCTION("""COMPUTED_VALUE"""),"Br")</f>
        <v>Br</v>
      </c>
      <c r="G2391" s="9" t="str">
        <f>IFERROR(__xludf.DUMMYFUNCTION("""COMPUTED_VALUE"""),"F")</f>
        <v>F</v>
      </c>
      <c r="H2391" s="9" t="str">
        <f>IFERROR(__xludf.DUMMYFUNCTION("""COMPUTED_VALUE"""),"FSS")</f>
        <v>FSS</v>
      </c>
      <c r="I2391" s="9" t="str">
        <f>IFERROR(__xludf.DUMMYFUNCTION("""COMPUTED_VALUE"""),"CeS")</f>
        <v>CeS</v>
      </c>
      <c r="J2391" s="9" t="str">
        <f>IFERROR(__xludf.DUMMYFUNCTION("""COMPUTED_VALUE"""),"PriS")</f>
        <v>PriS</v>
      </c>
      <c r="K2391" s="9" t="str">
        <f>IFERROR(__xludf.DUMMYFUNCTION("""COMPUTED_VALUE"""),"cas")</f>
        <v>cas</v>
      </c>
      <c r="L2391" s="9"/>
      <c r="M2391" s="9"/>
      <c r="N2391" s="9"/>
      <c r="O2391" s="9"/>
      <c r="P2391" s="9"/>
      <c r="Q2391" s="9"/>
      <c r="R2391" s="9"/>
      <c r="S2391" s="42" t="str">
        <f>IFERROR(__xludf.DUMMYFUNCTION("""COMPUTED_VALUE"""),"cas_r;
cas_c")</f>
        <v>cas_r;
cas_c</v>
      </c>
      <c r="T2391" s="42"/>
      <c r="U2391" s="42" t="b">
        <f>IFERROR(__xludf.DUMMYFUNCTION("""COMPUTED_VALUE"""),FALSE)</f>
        <v>0</v>
      </c>
      <c r="V2391" s="42"/>
      <c r="W2391" s="42"/>
      <c r="X2391" s="42"/>
      <c r="Y2391" s="42"/>
      <c r="Z2391" s="42"/>
      <c r="AA2391" s="42"/>
      <c r="AB2391" s="42" t="str">
        <f>IFERROR(__xludf.DUMMYFUNCTION("""COMPUTED_VALUE"""),"allen institute")</f>
        <v>allen institute</v>
      </c>
      <c r="AC2391" s="42" t="str">
        <f>IFERROR(__xludf.DUMMYFUNCTION("""COMPUTED_VALUE"""),"DHBA")</f>
        <v>DHBA</v>
      </c>
      <c r="AD2391" s="42"/>
      <c r="AE2391" s="42"/>
      <c r="AF2391" s="9"/>
      <c r="AG2391" s="9"/>
      <c r="AH2391" s="42"/>
      <c r="AI2391" s="42"/>
      <c r="AJ2391" s="42"/>
      <c r="AK2391" s="42"/>
      <c r="AL2391" s="42"/>
      <c r="AM2391" s="42"/>
      <c r="AN2391" s="42"/>
      <c r="AO2391" s="63" t="str">
        <f>IFERROR(__xludf.DUMMYFUNCTION("IF(ISBLANK(A2391),,IF(ISBLANK(S2391), A2391&amp;"";"", TEXTJOIN(CHAR(10), TRUE, A2391&amp;"";"", ARRAYFORMULA(VLOOKUP(SPLIT(S2391, "";"" &amp; CHAR(10)), $A:$AO, 41, FALSE)))))"),"#N/A")</f>
        <v>#N/A</v>
      </c>
      <c r="AP2391" s="89"/>
    </row>
    <row r="2392">
      <c r="A2392" s="151" t="str">
        <f>IFERROR(__xludf.DUMMYFUNCTION("""COMPUTED_VALUE"""),"cas-r")</f>
        <v>cas-r</v>
      </c>
      <c r="B2392" s="42" t="str">
        <f>IFERROR(__xludf.DUMMYFUNCTION("""COMPUTED_VALUE"""),"DHBA")</f>
        <v>DHBA</v>
      </c>
      <c r="C2392" s="42" t="str">
        <f>IFERROR(__xludf.DUMMYFUNCTION("""COMPUTED_VALUE"""),"rostral (common) portion of calcarine fissure")</f>
        <v>rostral (common) portion of calcarine fissure</v>
      </c>
      <c r="D2392" s="42">
        <f>IFERROR(__xludf.DUMMYFUNCTION("""COMPUTED_VALUE"""),2275.0)</f>
        <v>2275</v>
      </c>
      <c r="E2392" s="39" t="str">
        <f>IFERROR(__xludf.DUMMYFUNCTION("""COMPUTED_VALUE"""),"rostral (common) portion of calcarine fissure")</f>
        <v>rostral (common) portion of calcarine fissure</v>
      </c>
      <c r="F2392" s="9" t="str">
        <f>IFERROR(__xludf.DUMMYFUNCTION("""COMPUTED_VALUE"""),"Br")</f>
        <v>Br</v>
      </c>
      <c r="G2392" s="9" t="str">
        <f>IFERROR(__xludf.DUMMYFUNCTION("""COMPUTED_VALUE"""),"F")</f>
        <v>F</v>
      </c>
      <c r="H2392" s="9" t="str">
        <f>IFERROR(__xludf.DUMMYFUNCTION("""COMPUTED_VALUE"""),"FSS")</f>
        <v>FSS</v>
      </c>
      <c r="I2392" s="9" t="str">
        <f>IFERROR(__xludf.DUMMYFUNCTION("""COMPUTED_VALUE"""),"CeS")</f>
        <v>CeS</v>
      </c>
      <c r="J2392" s="9" t="str">
        <f>IFERROR(__xludf.DUMMYFUNCTION("""COMPUTED_VALUE"""),"PriS")</f>
        <v>PriS</v>
      </c>
      <c r="K2392" s="9" t="str">
        <f>IFERROR(__xludf.DUMMYFUNCTION("""COMPUTED_VALUE"""),"cas")</f>
        <v>cas</v>
      </c>
      <c r="L2392" s="9" t="str">
        <f>IFERROR(__xludf.DUMMYFUNCTION("""COMPUTED_VALUE"""),"cas-r")</f>
        <v>cas-r</v>
      </c>
      <c r="M2392" s="9"/>
      <c r="N2392" s="9"/>
      <c r="O2392" s="9"/>
      <c r="P2392" s="9"/>
      <c r="Q2392" s="9"/>
      <c r="R2392" s="9"/>
      <c r="S2392" s="42"/>
      <c r="T2392" s="42"/>
      <c r="U2392" s="42"/>
      <c r="V2392" s="42"/>
      <c r="W2392" s="42"/>
      <c r="X2392" s="42"/>
      <c r="Y2392" s="42"/>
      <c r="Z2392" s="42"/>
      <c r="AA2392" s="42"/>
      <c r="AB2392" s="42" t="str">
        <f>IFERROR(__xludf.DUMMYFUNCTION("""COMPUTED_VALUE"""),"allen institute")</f>
        <v>allen institute</v>
      </c>
      <c r="AC2392" s="42" t="str">
        <f>IFERROR(__xludf.DUMMYFUNCTION("""COMPUTED_VALUE"""),"DHBA")</f>
        <v>DHBA</v>
      </c>
      <c r="AD2392" s="42"/>
      <c r="AE2392" s="42"/>
      <c r="AF2392" s="9"/>
      <c r="AG2392" s="9"/>
      <c r="AH2392" s="42"/>
      <c r="AI2392" s="42"/>
      <c r="AJ2392" s="42"/>
      <c r="AK2392" s="42"/>
      <c r="AL2392" s="42"/>
      <c r="AM2392" s="42"/>
      <c r="AN2392" s="42"/>
      <c r="AO2392" s="63" t="str">
        <f>IFERROR(__xludf.DUMMYFUNCTION("IF(ISBLANK(A2392),,IF(ISBLANK(S2392), A2392&amp;"";"", TEXTJOIN(CHAR(10), TRUE, A2392&amp;"";"", ARRAYFORMULA(VLOOKUP(SPLIT(S2392, "";"" &amp; CHAR(10)), $A:$AO, 41, FALSE)))))"),"cas-r;")</f>
        <v>cas-r;</v>
      </c>
      <c r="AP2392" s="89"/>
    </row>
    <row r="2393">
      <c r="A2393" s="151" t="str">
        <f>IFERROR(__xludf.DUMMYFUNCTION("""COMPUTED_VALUE"""),"cas-c")</f>
        <v>cas-c</v>
      </c>
      <c r="B2393" s="42" t="str">
        <f>IFERROR(__xludf.DUMMYFUNCTION("""COMPUTED_VALUE"""),"DHBA")</f>
        <v>DHBA</v>
      </c>
      <c r="C2393" s="42" t="str">
        <f>IFERROR(__xludf.DUMMYFUNCTION("""COMPUTED_VALUE"""),"caudal portion of calcarine fissure")</f>
        <v>caudal portion of calcarine fissure</v>
      </c>
      <c r="D2393" s="42">
        <f>IFERROR(__xludf.DUMMYFUNCTION("""COMPUTED_VALUE"""),2276.0)</f>
        <v>2276</v>
      </c>
      <c r="E2393" s="39" t="str">
        <f>IFERROR(__xludf.DUMMYFUNCTION("""COMPUTED_VALUE"""),"caudal portion of calcarine fissure")</f>
        <v>caudal portion of calcarine fissure</v>
      </c>
      <c r="F2393" s="9" t="str">
        <f>IFERROR(__xludf.DUMMYFUNCTION("""COMPUTED_VALUE"""),"Br")</f>
        <v>Br</v>
      </c>
      <c r="G2393" s="9" t="str">
        <f>IFERROR(__xludf.DUMMYFUNCTION("""COMPUTED_VALUE"""),"F")</f>
        <v>F</v>
      </c>
      <c r="H2393" s="9" t="str">
        <f>IFERROR(__xludf.DUMMYFUNCTION("""COMPUTED_VALUE"""),"FSS")</f>
        <v>FSS</v>
      </c>
      <c r="I2393" s="9" t="str">
        <f>IFERROR(__xludf.DUMMYFUNCTION("""COMPUTED_VALUE"""),"CeS")</f>
        <v>CeS</v>
      </c>
      <c r="J2393" s="9" t="str">
        <f>IFERROR(__xludf.DUMMYFUNCTION("""COMPUTED_VALUE"""),"PriS")</f>
        <v>PriS</v>
      </c>
      <c r="K2393" s="9" t="str">
        <f>IFERROR(__xludf.DUMMYFUNCTION("""COMPUTED_VALUE"""),"cas")</f>
        <v>cas</v>
      </c>
      <c r="L2393" s="9" t="str">
        <f>IFERROR(__xludf.DUMMYFUNCTION("""COMPUTED_VALUE"""),"cas-c")</f>
        <v>cas-c</v>
      </c>
      <c r="M2393" s="9"/>
      <c r="N2393" s="9"/>
      <c r="O2393" s="9"/>
      <c r="P2393" s="9"/>
      <c r="Q2393" s="9"/>
      <c r="R2393" s="9"/>
      <c r="S2393" s="42"/>
      <c r="T2393" s="42"/>
      <c r="U2393" s="159"/>
      <c r="V2393" s="42"/>
      <c r="W2393" s="42"/>
      <c r="X2393" s="42"/>
      <c r="Y2393" s="42"/>
      <c r="Z2393" s="42"/>
      <c r="AA2393" s="42"/>
      <c r="AB2393" s="42" t="str">
        <f>IFERROR(__xludf.DUMMYFUNCTION("""COMPUTED_VALUE"""),"allen institute")</f>
        <v>allen institute</v>
      </c>
      <c r="AC2393" s="42" t="str">
        <f>IFERROR(__xludf.DUMMYFUNCTION("""COMPUTED_VALUE"""),"DHBA")</f>
        <v>DHBA</v>
      </c>
      <c r="AD2393" s="42"/>
      <c r="AE2393" s="42"/>
      <c r="AF2393" s="9"/>
      <c r="AG2393" s="9"/>
      <c r="AH2393" s="42"/>
      <c r="AI2393" s="42"/>
      <c r="AJ2393" s="42"/>
      <c r="AK2393" s="42"/>
      <c r="AL2393" s="42"/>
      <c r="AM2393" s="42"/>
      <c r="AN2393" s="42"/>
      <c r="AO2393" s="63" t="str">
        <f>IFERROR(__xludf.DUMMYFUNCTION("IF(ISBLANK(A2393),,IF(ISBLANK(S2393), A2393&amp;"";"", TEXTJOIN(CHAR(10), TRUE, A2393&amp;"";"", ARRAYFORMULA(VLOOKUP(SPLIT(S2393, "";"" &amp; CHAR(10)), $A:$AO, 41, FALSE)))))"),"cas-c;")</f>
        <v>cas-c;</v>
      </c>
      <c r="AP2393" s="89"/>
    </row>
    <row r="2394">
      <c r="A2394" s="151" t="str">
        <f>IFERROR(__xludf.DUMMYFUNCTION("""COMPUTED_VALUE"""),"cas-cs")</f>
        <v>cas-cs</v>
      </c>
      <c r="B2394" s="42" t="str">
        <f>IFERROR(__xludf.DUMMYFUNCTION("""COMPUTED_VALUE"""),"DHBA")</f>
        <v>DHBA</v>
      </c>
      <c r="C2394" s="42" t="str">
        <f>IFERROR(__xludf.DUMMYFUNCTION("""COMPUTED_VALUE"""),"superior ramus of caudal calcarine fissure")</f>
        <v>superior ramus of caudal calcarine fissure</v>
      </c>
      <c r="D2394" s="42">
        <f>IFERROR(__xludf.DUMMYFUNCTION("""COMPUTED_VALUE"""),2277.0)</f>
        <v>2277</v>
      </c>
      <c r="E2394" s="39" t="str">
        <f>IFERROR(__xludf.DUMMYFUNCTION("""COMPUTED_VALUE"""),"superior ramus of caudal calcarine fissure")</f>
        <v>superior ramus of caudal calcarine fissure</v>
      </c>
      <c r="F2394" s="9" t="str">
        <f>IFERROR(__xludf.DUMMYFUNCTION("""COMPUTED_VALUE"""),"Br")</f>
        <v>Br</v>
      </c>
      <c r="G2394" s="9" t="str">
        <f>IFERROR(__xludf.DUMMYFUNCTION("""COMPUTED_VALUE"""),"F")</f>
        <v>F</v>
      </c>
      <c r="H2394" s="9" t="str">
        <f>IFERROR(__xludf.DUMMYFUNCTION("""COMPUTED_VALUE"""),"FSS")</f>
        <v>FSS</v>
      </c>
      <c r="I2394" s="9" t="str">
        <f>IFERROR(__xludf.DUMMYFUNCTION("""COMPUTED_VALUE"""),"CeS")</f>
        <v>CeS</v>
      </c>
      <c r="J2394" s="9" t="str">
        <f>IFERROR(__xludf.DUMMYFUNCTION("""COMPUTED_VALUE"""),"PriS")</f>
        <v>PriS</v>
      </c>
      <c r="K2394" s="9" t="str">
        <f>IFERROR(__xludf.DUMMYFUNCTION("""COMPUTED_VALUE"""),"cas")</f>
        <v>cas</v>
      </c>
      <c r="L2394" s="9" t="str">
        <f>IFERROR(__xludf.DUMMYFUNCTION("""COMPUTED_VALUE"""),"cas-c")</f>
        <v>cas-c</v>
      </c>
      <c r="M2394" s="9" t="str">
        <f>IFERROR(__xludf.DUMMYFUNCTION("""COMPUTED_VALUE"""),"cas-cs")</f>
        <v>cas-cs</v>
      </c>
      <c r="N2394" s="9"/>
      <c r="O2394" s="9"/>
      <c r="P2394" s="9"/>
      <c r="Q2394" s="9"/>
      <c r="R2394" s="9"/>
      <c r="S2394" s="42"/>
      <c r="T2394" s="42"/>
      <c r="U2394" s="159"/>
      <c r="V2394" s="42"/>
      <c r="W2394" s="42"/>
      <c r="X2394" s="42"/>
      <c r="Y2394" s="42"/>
      <c r="Z2394" s="42"/>
      <c r="AA2394" s="42"/>
      <c r="AB2394" s="42" t="str">
        <f>IFERROR(__xludf.DUMMYFUNCTION("""COMPUTED_VALUE"""),"allen institute")</f>
        <v>allen institute</v>
      </c>
      <c r="AC2394" s="42" t="str">
        <f>IFERROR(__xludf.DUMMYFUNCTION("""COMPUTED_VALUE"""),"DHBA")</f>
        <v>DHBA</v>
      </c>
      <c r="AD2394" s="42"/>
      <c r="AE2394" s="42"/>
      <c r="AF2394" s="9"/>
      <c r="AG2394" s="9"/>
      <c r="AH2394" s="42"/>
      <c r="AI2394" s="42"/>
      <c r="AJ2394" s="42"/>
      <c r="AK2394" s="42"/>
      <c r="AL2394" s="42"/>
      <c r="AM2394" s="42"/>
      <c r="AN2394" s="42"/>
      <c r="AO2394" s="63" t="str">
        <f>IFERROR(__xludf.DUMMYFUNCTION("IF(ISBLANK(A2394),,IF(ISBLANK(S2394), A2394&amp;"";"", TEXTJOIN(CHAR(10), TRUE, A2394&amp;"";"", ARRAYFORMULA(VLOOKUP(SPLIT(S2394, "";"" &amp; CHAR(10)), $A:$AO, 41, FALSE)))))"),"cas-cs;")</f>
        <v>cas-cs;</v>
      </c>
      <c r="AP2394" s="89"/>
    </row>
    <row r="2395">
      <c r="A2395" s="151" t="str">
        <f>IFERROR(__xludf.DUMMYFUNCTION("""COMPUTED_VALUE"""),"cas-ci")</f>
        <v>cas-ci</v>
      </c>
      <c r="B2395" s="42" t="str">
        <f>IFERROR(__xludf.DUMMYFUNCTION("""COMPUTED_VALUE"""),"DHBA")</f>
        <v>DHBA</v>
      </c>
      <c r="C2395" s="42" t="str">
        <f>IFERROR(__xludf.DUMMYFUNCTION("""COMPUTED_VALUE"""),"inferior ramus of caudal calcarine fissure")</f>
        <v>inferior ramus of caudal calcarine fissure</v>
      </c>
      <c r="D2395" s="42">
        <f>IFERROR(__xludf.DUMMYFUNCTION("""COMPUTED_VALUE"""),2278.0)</f>
        <v>2278</v>
      </c>
      <c r="E2395" s="39" t="str">
        <f>IFERROR(__xludf.DUMMYFUNCTION("""COMPUTED_VALUE"""),"inferior ramus of caudal calcarine fissure")</f>
        <v>inferior ramus of caudal calcarine fissure</v>
      </c>
      <c r="F2395" s="9" t="str">
        <f>IFERROR(__xludf.DUMMYFUNCTION("""COMPUTED_VALUE"""),"Br")</f>
        <v>Br</v>
      </c>
      <c r="G2395" s="9" t="str">
        <f>IFERROR(__xludf.DUMMYFUNCTION("""COMPUTED_VALUE"""),"F")</f>
        <v>F</v>
      </c>
      <c r="H2395" s="9" t="str">
        <f>IFERROR(__xludf.DUMMYFUNCTION("""COMPUTED_VALUE"""),"FSS")</f>
        <v>FSS</v>
      </c>
      <c r="I2395" s="9" t="str">
        <f>IFERROR(__xludf.DUMMYFUNCTION("""COMPUTED_VALUE"""),"CeS")</f>
        <v>CeS</v>
      </c>
      <c r="J2395" s="9" t="str">
        <f>IFERROR(__xludf.DUMMYFUNCTION("""COMPUTED_VALUE"""),"PriS")</f>
        <v>PriS</v>
      </c>
      <c r="K2395" s="9" t="str">
        <f>IFERROR(__xludf.DUMMYFUNCTION("""COMPUTED_VALUE"""),"cas")</f>
        <v>cas</v>
      </c>
      <c r="L2395" s="9" t="str">
        <f>IFERROR(__xludf.DUMMYFUNCTION("""COMPUTED_VALUE"""),"cas-c")</f>
        <v>cas-c</v>
      </c>
      <c r="M2395" s="9" t="str">
        <f>IFERROR(__xludf.DUMMYFUNCTION("""COMPUTED_VALUE"""),"cas-ci")</f>
        <v>cas-ci</v>
      </c>
      <c r="N2395" s="9"/>
      <c r="O2395" s="9"/>
      <c r="P2395" s="9"/>
      <c r="Q2395" s="9"/>
      <c r="R2395" s="9"/>
      <c r="S2395" s="42"/>
      <c r="T2395" s="42"/>
      <c r="U2395" s="42"/>
      <c r="V2395" s="42"/>
      <c r="W2395" s="42"/>
      <c r="X2395" s="42"/>
      <c r="Y2395" s="42"/>
      <c r="Z2395" s="42"/>
      <c r="AA2395" s="42"/>
      <c r="AB2395" s="42" t="str">
        <f>IFERROR(__xludf.DUMMYFUNCTION("""COMPUTED_VALUE"""),"allen institute")</f>
        <v>allen institute</v>
      </c>
      <c r="AC2395" s="42" t="str">
        <f>IFERROR(__xludf.DUMMYFUNCTION("""COMPUTED_VALUE"""),"DHBA")</f>
        <v>DHBA</v>
      </c>
      <c r="AD2395" s="42"/>
      <c r="AE2395" s="42"/>
      <c r="AF2395" s="9"/>
      <c r="AG2395" s="9"/>
      <c r="AH2395" s="42"/>
      <c r="AI2395" s="42"/>
      <c r="AJ2395" s="42"/>
      <c r="AK2395" s="42"/>
      <c r="AL2395" s="42"/>
      <c r="AM2395" s="42"/>
      <c r="AN2395" s="42"/>
      <c r="AO2395" s="63" t="str">
        <f>IFERROR(__xludf.DUMMYFUNCTION("IF(ISBLANK(A2395),,IF(ISBLANK(S2395), A2395&amp;"";"", TEXTJOIN(CHAR(10), TRUE, A2395&amp;"";"", ARRAYFORMULA(VLOOKUP(SPLIT(S2395, "";"" &amp; CHAR(10)), $A:$AO, 41, FALSE)))))"),"cas-ci;")</f>
        <v>cas-ci;</v>
      </c>
      <c r="AP2395" s="89"/>
    </row>
    <row r="2396">
      <c r="A2396" s="151" t="str">
        <f>IFERROR(__xludf.DUMMYFUNCTION("""COMPUTED_VALUE"""),"cals")</f>
        <v>cals</v>
      </c>
      <c r="B2396" s="42" t="str">
        <f>IFERROR(__xludf.DUMMYFUNCTION("""COMPUTED_VALUE"""),"DHBA")</f>
        <v>DHBA</v>
      </c>
      <c r="C2396" s="42" t="str">
        <f>IFERROR(__xludf.DUMMYFUNCTION("""COMPUTED_VALUE"""),"callosal sulcus")</f>
        <v>callosal sulcus</v>
      </c>
      <c r="D2396" s="42">
        <f>IFERROR(__xludf.DUMMYFUNCTION("""COMPUTED_VALUE"""),2279.0)</f>
        <v>2279</v>
      </c>
      <c r="E2396" s="39" t="str">
        <f>IFERROR(__xludf.DUMMYFUNCTION("""COMPUTED_VALUE"""),"callosal sulcus")</f>
        <v>callosal sulcus</v>
      </c>
      <c r="F2396" s="9" t="str">
        <f>IFERROR(__xludf.DUMMYFUNCTION("""COMPUTED_VALUE"""),"Br")</f>
        <v>Br</v>
      </c>
      <c r="G2396" s="9" t="str">
        <f>IFERROR(__xludf.DUMMYFUNCTION("""COMPUTED_VALUE"""),"F")</f>
        <v>F</v>
      </c>
      <c r="H2396" s="9" t="str">
        <f>IFERROR(__xludf.DUMMYFUNCTION("""COMPUTED_VALUE"""),"FSS")</f>
        <v>FSS</v>
      </c>
      <c r="I2396" s="9" t="str">
        <f>IFERROR(__xludf.DUMMYFUNCTION("""COMPUTED_VALUE"""),"CeS")</f>
        <v>CeS</v>
      </c>
      <c r="J2396" s="9" t="str">
        <f>IFERROR(__xludf.DUMMYFUNCTION("""COMPUTED_VALUE"""),"PriS")</f>
        <v>PriS</v>
      </c>
      <c r="K2396" s="9" t="str">
        <f>IFERROR(__xludf.DUMMYFUNCTION("""COMPUTED_VALUE"""),"cals")</f>
        <v>cals</v>
      </c>
      <c r="L2396" s="9"/>
      <c r="M2396" s="9"/>
      <c r="N2396" s="9"/>
      <c r="O2396" s="9"/>
      <c r="P2396" s="9"/>
      <c r="Q2396" s="9"/>
      <c r="R2396" s="9"/>
      <c r="S2396" s="42"/>
      <c r="T2396" s="42"/>
      <c r="U2396" s="42"/>
      <c r="V2396" s="42"/>
      <c r="W2396" s="42"/>
      <c r="X2396" s="42"/>
      <c r="Y2396" s="42"/>
      <c r="Z2396" s="42"/>
      <c r="AA2396" s="42"/>
      <c r="AB2396" s="42" t="str">
        <f>IFERROR(__xludf.DUMMYFUNCTION("""COMPUTED_VALUE"""),"allen institute")</f>
        <v>allen institute</v>
      </c>
      <c r="AC2396" s="42" t="str">
        <f>IFERROR(__xludf.DUMMYFUNCTION("""COMPUTED_VALUE"""),"DHBA")</f>
        <v>DHBA</v>
      </c>
      <c r="AD2396" s="42"/>
      <c r="AE2396" s="42"/>
      <c r="AF2396" s="9"/>
      <c r="AG2396" s="9"/>
      <c r="AH2396" s="42"/>
      <c r="AI2396" s="42"/>
      <c r="AJ2396" s="42"/>
      <c r="AK2396" s="42"/>
      <c r="AL2396" s="42"/>
      <c r="AM2396" s="42"/>
      <c r="AN2396" s="42"/>
      <c r="AO2396" s="63" t="str">
        <f>IFERROR(__xludf.DUMMYFUNCTION("IF(ISBLANK(A2396),,IF(ISBLANK(S2396), A2396&amp;"";"", TEXTJOIN(CHAR(10), TRUE, A2396&amp;"";"", ARRAYFORMULA(VLOOKUP(SPLIT(S2396, "";"" &amp; CHAR(10)), $A:$AO, 41, FALSE)))))"),"cals;")</f>
        <v>cals;</v>
      </c>
      <c r="AP2396" s="89"/>
    </row>
    <row r="2397">
      <c r="A2397" s="151" t="str">
        <f>IFERROR(__xludf.DUMMYFUNCTION("""COMPUTED_VALUE"""),"cs")</f>
        <v>cs</v>
      </c>
      <c r="B2397" s="42" t="str">
        <f>IFERROR(__xludf.DUMMYFUNCTION("""COMPUTED_VALUE"""),"DHBA")</f>
        <v>DHBA</v>
      </c>
      <c r="C2397" s="42" t="str">
        <f>IFERROR(__xludf.DUMMYFUNCTION("""COMPUTED_VALUE"""),"central sulcus")</f>
        <v>central sulcus</v>
      </c>
      <c r="D2397" s="42">
        <f>IFERROR(__xludf.DUMMYFUNCTION("""COMPUTED_VALUE"""),2280.0)</f>
        <v>2280</v>
      </c>
      <c r="E2397" s="39" t="str">
        <f>IFERROR(__xludf.DUMMYFUNCTION("""COMPUTED_VALUE"""),"central sulcus")</f>
        <v>central sulcus</v>
      </c>
      <c r="F2397" s="9" t="str">
        <f>IFERROR(__xludf.DUMMYFUNCTION("""COMPUTED_VALUE"""),"Br")</f>
        <v>Br</v>
      </c>
      <c r="G2397" s="9" t="str">
        <f>IFERROR(__xludf.DUMMYFUNCTION("""COMPUTED_VALUE"""),"F")</f>
        <v>F</v>
      </c>
      <c r="H2397" s="9" t="str">
        <f>IFERROR(__xludf.DUMMYFUNCTION("""COMPUTED_VALUE"""),"FSS")</f>
        <v>FSS</v>
      </c>
      <c r="I2397" s="9" t="str">
        <f>IFERROR(__xludf.DUMMYFUNCTION("""COMPUTED_VALUE"""),"CeS")</f>
        <v>CeS</v>
      </c>
      <c r="J2397" s="9" t="str">
        <f>IFERROR(__xludf.DUMMYFUNCTION("""COMPUTED_VALUE"""),"PriS")</f>
        <v>PriS</v>
      </c>
      <c r="K2397" s="9" t="str">
        <f>IFERROR(__xludf.DUMMYFUNCTION("""COMPUTED_VALUE"""),"cs")</f>
        <v>cs</v>
      </c>
      <c r="L2397" s="9"/>
      <c r="M2397" s="9"/>
      <c r="N2397" s="9"/>
      <c r="O2397" s="9"/>
      <c r="P2397" s="9"/>
      <c r="Q2397" s="9"/>
      <c r="R2397" s="9"/>
      <c r="S2397" s="42"/>
      <c r="T2397" s="42" t="str">
        <f>IFERROR(__xludf.DUMMYFUNCTION("""COMPUTED_VALUE"""),"sulcus")</f>
        <v>sulcus</v>
      </c>
      <c r="U2397" s="42" t="b">
        <f>IFERROR(__xludf.DUMMYFUNCTION("""COMPUTED_VALUE"""),FALSE)</f>
        <v>0</v>
      </c>
      <c r="V2397" s="42"/>
      <c r="W2397" s="42"/>
      <c r="X2397" s="42"/>
      <c r="Y2397" s="42"/>
      <c r="Z2397" s="42"/>
      <c r="AA2397" s="42"/>
      <c r="AB2397" s="42" t="str">
        <f>IFERROR(__xludf.DUMMYFUNCTION("""COMPUTED_VALUE"""),"allen institute")</f>
        <v>allen institute</v>
      </c>
      <c r="AC2397" s="42" t="str">
        <f>IFERROR(__xludf.DUMMYFUNCTION("""COMPUTED_VALUE"""),"DHBA")</f>
        <v>DHBA</v>
      </c>
      <c r="AD2397" s="42"/>
      <c r="AE2397" s="42"/>
      <c r="AF2397" s="9"/>
      <c r="AG2397" s="9"/>
      <c r="AH2397" s="42"/>
      <c r="AI2397" s="42"/>
      <c r="AJ2397" s="42"/>
      <c r="AK2397" s="42"/>
      <c r="AL2397" s="42"/>
      <c r="AM2397" s="42"/>
      <c r="AN2397" s="42"/>
      <c r="AO2397" s="63" t="str">
        <f>IFERROR(__xludf.DUMMYFUNCTION("IF(ISBLANK(A2397),,IF(ISBLANK(S2397), A2397&amp;"";"", TEXTJOIN(CHAR(10), TRUE, A2397&amp;"";"", ARRAYFORMULA(VLOOKUP(SPLIT(S2397, "";"" &amp; CHAR(10)), $A:$AO, 41, FALSE)))))"),"cs;")</f>
        <v>cs;</v>
      </c>
      <c r="AP2397" s="89"/>
    </row>
    <row r="2398">
      <c r="A2398" s="151" t="str">
        <f>IFERROR(__xludf.DUMMYFUNCTION("""COMPUTED_VALUE"""),"cis")</f>
        <v>cis</v>
      </c>
      <c r="B2398" s="42" t="str">
        <f>IFERROR(__xludf.DUMMYFUNCTION("""COMPUTED_VALUE"""),"DHBA")</f>
        <v>DHBA</v>
      </c>
      <c r="C2398" s="42" t="str">
        <f>IFERROR(__xludf.DUMMYFUNCTION("""COMPUTED_VALUE"""),"cingulate sulcus")</f>
        <v>cingulate sulcus</v>
      </c>
      <c r="D2398" s="42">
        <f>IFERROR(__xludf.DUMMYFUNCTION("""COMPUTED_VALUE"""),2281.0)</f>
        <v>2281</v>
      </c>
      <c r="E2398" s="39" t="str">
        <f>IFERROR(__xludf.DUMMYFUNCTION("""COMPUTED_VALUE"""),"cingulate sulcus")</f>
        <v>cingulate sulcus</v>
      </c>
      <c r="F2398" s="9" t="str">
        <f>IFERROR(__xludf.DUMMYFUNCTION("""COMPUTED_VALUE"""),"Br")</f>
        <v>Br</v>
      </c>
      <c r="G2398" s="9" t="str">
        <f>IFERROR(__xludf.DUMMYFUNCTION("""COMPUTED_VALUE"""),"F")</f>
        <v>F</v>
      </c>
      <c r="H2398" s="9" t="str">
        <f>IFERROR(__xludf.DUMMYFUNCTION("""COMPUTED_VALUE"""),"FSS")</f>
        <v>FSS</v>
      </c>
      <c r="I2398" s="9" t="str">
        <f>IFERROR(__xludf.DUMMYFUNCTION("""COMPUTED_VALUE"""),"CeS")</f>
        <v>CeS</v>
      </c>
      <c r="J2398" s="9" t="str">
        <f>IFERROR(__xludf.DUMMYFUNCTION("""COMPUTED_VALUE"""),"PriS")</f>
        <v>PriS</v>
      </c>
      <c r="K2398" s="9" t="str">
        <f>IFERROR(__xludf.DUMMYFUNCTION("""COMPUTED_VALUE"""),"cis")</f>
        <v>cis</v>
      </c>
      <c r="L2398" s="9"/>
      <c r="M2398" s="9"/>
      <c r="N2398" s="9"/>
      <c r="O2398" s="9"/>
      <c r="P2398" s="9"/>
      <c r="Q2398" s="9"/>
      <c r="R2398" s="9"/>
      <c r="S2398" s="42" t="str">
        <f>IFERROR(__xludf.DUMMYFUNCTION("""COMPUTED_VALUE"""),"mr")</f>
        <v>mr</v>
      </c>
      <c r="T2398" s="42" t="str">
        <f>IFERROR(__xludf.DUMMYFUNCTION("""COMPUTED_VALUE"""),"sulcus")</f>
        <v>sulcus</v>
      </c>
      <c r="U2398" s="42" t="b">
        <f>IFERROR(__xludf.DUMMYFUNCTION("""COMPUTED_VALUE"""),FALSE)</f>
        <v>0</v>
      </c>
      <c r="V2398" s="42"/>
      <c r="W2398" s="42"/>
      <c r="X2398" s="42"/>
      <c r="Y2398" s="42"/>
      <c r="Z2398" s="42"/>
      <c r="AA2398" s="42"/>
      <c r="AB2398" s="42" t="str">
        <f>IFERROR(__xludf.DUMMYFUNCTION("""COMPUTED_VALUE"""),"allen institute")</f>
        <v>allen institute</v>
      </c>
      <c r="AC2398" s="42" t="str">
        <f>IFERROR(__xludf.DUMMYFUNCTION("""COMPUTED_VALUE"""),"DHBA")</f>
        <v>DHBA</v>
      </c>
      <c r="AD2398" s="42"/>
      <c r="AE2398" s="42"/>
      <c r="AF2398" s="9"/>
      <c r="AG2398" s="9"/>
      <c r="AH2398" s="42"/>
      <c r="AI2398" s="42"/>
      <c r="AJ2398" s="42"/>
      <c r="AK2398" s="42"/>
      <c r="AL2398" s="42"/>
      <c r="AM2398" s="42"/>
      <c r="AN2398" s="42"/>
      <c r="AO2398" s="63" t="str">
        <f>IFERROR(__xludf.DUMMYFUNCTION("IF(ISBLANK(A2398),,IF(ISBLANK(S2398), A2398&amp;"";"", TEXTJOIN(CHAR(10), TRUE, A2398&amp;"";"", ARRAYFORMULA(VLOOKUP(SPLIT(S2398, "";"" &amp; CHAR(10)), $A:$AO, 41, FALSE)))))"),"cis;
mr;")</f>
        <v>cis;
mr;</v>
      </c>
      <c r="AP2398" s="89"/>
    </row>
    <row r="2399">
      <c r="A2399" s="151" t="str">
        <f>IFERROR(__xludf.DUMMYFUNCTION("""COMPUTED_VALUE"""),"mr")</f>
        <v>mr</v>
      </c>
      <c r="B2399" s="42" t="str">
        <f>IFERROR(__xludf.DUMMYFUNCTION("""COMPUTED_VALUE"""),"DHBA")</f>
        <v>DHBA</v>
      </c>
      <c r="C2399" s="42" t="str">
        <f>IFERROR(__xludf.DUMMYFUNCTION("""COMPUTED_VALUE"""),"marginal ramus of cis")</f>
        <v>marginal ramus of cis</v>
      </c>
      <c r="D2399" s="42">
        <f>IFERROR(__xludf.DUMMYFUNCTION("""COMPUTED_VALUE"""),2282.0)</f>
        <v>2282</v>
      </c>
      <c r="E2399" s="39" t="str">
        <f>IFERROR(__xludf.DUMMYFUNCTION("""COMPUTED_VALUE"""),"marginal ramus of cis")</f>
        <v>marginal ramus of cis</v>
      </c>
      <c r="F2399" s="9" t="str">
        <f>IFERROR(__xludf.DUMMYFUNCTION("""COMPUTED_VALUE"""),"Br")</f>
        <v>Br</v>
      </c>
      <c r="G2399" s="9" t="str">
        <f>IFERROR(__xludf.DUMMYFUNCTION("""COMPUTED_VALUE"""),"F")</f>
        <v>F</v>
      </c>
      <c r="H2399" s="9" t="str">
        <f>IFERROR(__xludf.DUMMYFUNCTION("""COMPUTED_VALUE"""),"FSS")</f>
        <v>FSS</v>
      </c>
      <c r="I2399" s="9" t="str">
        <f>IFERROR(__xludf.DUMMYFUNCTION("""COMPUTED_VALUE"""),"CeS")</f>
        <v>CeS</v>
      </c>
      <c r="J2399" s="9" t="str">
        <f>IFERROR(__xludf.DUMMYFUNCTION("""COMPUTED_VALUE"""),"PriS")</f>
        <v>PriS</v>
      </c>
      <c r="K2399" s="9" t="str">
        <f>IFERROR(__xludf.DUMMYFUNCTION("""COMPUTED_VALUE"""),"cis")</f>
        <v>cis</v>
      </c>
      <c r="L2399" s="9" t="str">
        <f>IFERROR(__xludf.DUMMYFUNCTION("""COMPUTED_VALUE"""),"mr")</f>
        <v>mr</v>
      </c>
      <c r="M2399" s="9"/>
      <c r="N2399" s="9"/>
      <c r="O2399" s="9"/>
      <c r="P2399" s="9"/>
      <c r="Q2399" s="9"/>
      <c r="R2399" s="9"/>
      <c r="S2399" s="42"/>
      <c r="T2399" s="42"/>
      <c r="U2399" s="42"/>
      <c r="V2399" s="42"/>
      <c r="W2399" s="42"/>
      <c r="X2399" s="42"/>
      <c r="Y2399" s="42"/>
      <c r="Z2399" s="42"/>
      <c r="AA2399" s="42"/>
      <c r="AB2399" s="42" t="str">
        <f>IFERROR(__xludf.DUMMYFUNCTION("""COMPUTED_VALUE"""),"allen institute")</f>
        <v>allen institute</v>
      </c>
      <c r="AC2399" s="42" t="str">
        <f>IFERROR(__xludf.DUMMYFUNCTION("""COMPUTED_VALUE"""),"DHBA")</f>
        <v>DHBA</v>
      </c>
      <c r="AD2399" s="42"/>
      <c r="AE2399" s="42"/>
      <c r="AF2399" s="9"/>
      <c r="AG2399" s="9"/>
      <c r="AH2399" s="42"/>
      <c r="AI2399" s="42"/>
      <c r="AJ2399" s="42"/>
      <c r="AK2399" s="42"/>
      <c r="AL2399" s="42"/>
      <c r="AM2399" s="42"/>
      <c r="AN2399" s="42"/>
      <c r="AO2399" s="63" t="str">
        <f>IFERROR(__xludf.DUMMYFUNCTION("IF(ISBLANK(A2399),,IF(ISBLANK(S2399), A2399&amp;"";"", TEXTJOIN(CHAR(10), TRUE, A2399&amp;"";"", ARRAYFORMULA(VLOOKUP(SPLIT(S2399, "";"" &amp; CHAR(10)), $A:$AO, 41, FALSE)))))"),"mr;")</f>
        <v>mr;</v>
      </c>
      <c r="AP2399" s="89"/>
    </row>
    <row r="2400">
      <c r="A2400" s="151" t="str">
        <f>IFERROR(__xludf.DUMMYFUNCTION("""COMPUTED_VALUE"""),"csr")</f>
        <v>csr</v>
      </c>
      <c r="B2400" s="42" t="str">
        <f>IFERROR(__xludf.DUMMYFUNCTION("""COMPUTED_VALUE"""),"DHBA")</f>
        <v>DHBA</v>
      </c>
      <c r="C2400" s="42" t="str">
        <f>IFERROR(__xludf.DUMMYFUNCTION("""COMPUTED_VALUE"""),"circular sulcus of Reil")</f>
        <v>circular sulcus of Reil</v>
      </c>
      <c r="D2400" s="42">
        <f>IFERROR(__xludf.DUMMYFUNCTION("""COMPUTED_VALUE"""),2283.0)</f>
        <v>2283</v>
      </c>
      <c r="E2400" s="39" t="str">
        <f>IFERROR(__xludf.DUMMYFUNCTION("""COMPUTED_VALUE"""),"circular sulcus of Reil")</f>
        <v>circular sulcus of Reil</v>
      </c>
      <c r="F2400" s="9" t="str">
        <f>IFERROR(__xludf.DUMMYFUNCTION("""COMPUTED_VALUE"""),"Br")</f>
        <v>Br</v>
      </c>
      <c r="G2400" s="9" t="str">
        <f>IFERROR(__xludf.DUMMYFUNCTION("""COMPUTED_VALUE"""),"F")</f>
        <v>F</v>
      </c>
      <c r="H2400" s="9" t="str">
        <f>IFERROR(__xludf.DUMMYFUNCTION("""COMPUTED_VALUE"""),"FSS")</f>
        <v>FSS</v>
      </c>
      <c r="I2400" s="9" t="str">
        <f>IFERROR(__xludf.DUMMYFUNCTION("""COMPUTED_VALUE"""),"CeS")</f>
        <v>CeS</v>
      </c>
      <c r="J2400" s="9" t="str">
        <f>IFERROR(__xludf.DUMMYFUNCTION("""COMPUTED_VALUE"""),"PriS")</f>
        <v>PriS</v>
      </c>
      <c r="K2400" s="9" t="str">
        <f>IFERROR(__xludf.DUMMYFUNCTION("""COMPUTED_VALUE"""),"csr")</f>
        <v>csr</v>
      </c>
      <c r="L2400" s="9"/>
      <c r="M2400" s="9"/>
      <c r="N2400" s="9"/>
      <c r="O2400" s="9"/>
      <c r="P2400" s="9"/>
      <c r="Q2400" s="9"/>
      <c r="R2400" s="9"/>
      <c r="S2400" s="42" t="str">
        <f>IFERROR(__xludf.DUMMYFUNCTION("""COMPUTED_VALUE"""),"csr_u;
csr_l")</f>
        <v>csr_u;
csr_l</v>
      </c>
      <c r="T2400" s="42" t="str">
        <f>IFERROR(__xludf.DUMMYFUNCTION("""COMPUTED_VALUE"""),"sulcus")</f>
        <v>sulcus</v>
      </c>
      <c r="U2400" s="42" t="b">
        <f>IFERROR(__xludf.DUMMYFUNCTION("""COMPUTED_VALUE"""),FALSE)</f>
        <v>0</v>
      </c>
      <c r="V2400" s="42"/>
      <c r="W2400" s="42"/>
      <c r="X2400" s="42"/>
      <c r="Y2400" s="42"/>
      <c r="Z2400" s="42"/>
      <c r="AA2400" s="42"/>
      <c r="AB2400" s="42" t="str">
        <f>IFERROR(__xludf.DUMMYFUNCTION("""COMPUTED_VALUE"""),"allen institute")</f>
        <v>allen institute</v>
      </c>
      <c r="AC2400" s="42" t="str">
        <f>IFERROR(__xludf.DUMMYFUNCTION("""COMPUTED_VALUE"""),"DHBA")</f>
        <v>DHBA</v>
      </c>
      <c r="AD2400" s="42"/>
      <c r="AE2400" s="42"/>
      <c r="AF2400" s="9"/>
      <c r="AG2400" s="9"/>
      <c r="AH2400" s="42"/>
      <c r="AI2400" s="42"/>
      <c r="AJ2400" s="42"/>
      <c r="AK2400" s="42"/>
      <c r="AL2400" s="42"/>
      <c r="AM2400" s="42"/>
      <c r="AN2400" s="42"/>
      <c r="AO2400" s="63" t="str">
        <f>IFERROR(__xludf.DUMMYFUNCTION("IF(ISBLANK(A2400),,IF(ISBLANK(S2400), A2400&amp;"";"", TEXTJOIN(CHAR(10), TRUE, A2400&amp;"";"", ARRAYFORMULA(VLOOKUP(SPLIT(S2400, "";"" &amp; CHAR(10)), $A:$AO, 41, FALSE)))))"),"#N/A")</f>
        <v>#N/A</v>
      </c>
      <c r="AP2400" s="89"/>
    </row>
    <row r="2401">
      <c r="A2401" s="151" t="str">
        <f>IFERROR(__xludf.DUMMYFUNCTION("""COMPUTED_VALUE"""),"csr-u")</f>
        <v>csr-u</v>
      </c>
      <c r="B2401" s="42" t="str">
        <f>IFERROR(__xludf.DUMMYFUNCTION("""COMPUTED_VALUE"""),"DHBA")</f>
        <v>DHBA</v>
      </c>
      <c r="C2401" s="42" t="str">
        <f>IFERROR(__xludf.DUMMYFUNCTION("""COMPUTED_VALUE"""),"upper limiting sulcus")</f>
        <v>upper limiting sulcus</v>
      </c>
      <c r="D2401" s="42">
        <f>IFERROR(__xludf.DUMMYFUNCTION("""COMPUTED_VALUE"""),2284.0)</f>
        <v>2284</v>
      </c>
      <c r="E2401" s="39" t="str">
        <f>IFERROR(__xludf.DUMMYFUNCTION("""COMPUTED_VALUE"""),"upper limiting sulcus")</f>
        <v>upper limiting sulcus</v>
      </c>
      <c r="F2401" s="9" t="str">
        <f>IFERROR(__xludf.DUMMYFUNCTION("""COMPUTED_VALUE"""),"Br")</f>
        <v>Br</v>
      </c>
      <c r="G2401" s="9" t="str">
        <f>IFERROR(__xludf.DUMMYFUNCTION("""COMPUTED_VALUE"""),"F")</f>
        <v>F</v>
      </c>
      <c r="H2401" s="9" t="str">
        <f>IFERROR(__xludf.DUMMYFUNCTION("""COMPUTED_VALUE"""),"FSS")</f>
        <v>FSS</v>
      </c>
      <c r="I2401" s="9" t="str">
        <f>IFERROR(__xludf.DUMMYFUNCTION("""COMPUTED_VALUE"""),"CeS")</f>
        <v>CeS</v>
      </c>
      <c r="J2401" s="9" t="str">
        <f>IFERROR(__xludf.DUMMYFUNCTION("""COMPUTED_VALUE"""),"PriS")</f>
        <v>PriS</v>
      </c>
      <c r="K2401" s="9" t="str">
        <f>IFERROR(__xludf.DUMMYFUNCTION("""COMPUTED_VALUE"""),"csr")</f>
        <v>csr</v>
      </c>
      <c r="L2401" s="9" t="str">
        <f>IFERROR(__xludf.DUMMYFUNCTION("""COMPUTED_VALUE"""),"csr-u")</f>
        <v>csr-u</v>
      </c>
      <c r="M2401" s="9"/>
      <c r="N2401" s="9"/>
      <c r="O2401" s="9"/>
      <c r="P2401" s="9"/>
      <c r="Q2401" s="9"/>
      <c r="R2401" s="9"/>
      <c r="S2401" s="42"/>
      <c r="T2401" s="42" t="str">
        <f>IFERROR(__xludf.DUMMYFUNCTION("""COMPUTED_VALUE"""),"sulcus")</f>
        <v>sulcus</v>
      </c>
      <c r="U2401" s="42" t="b">
        <f>IFERROR(__xludf.DUMMYFUNCTION("""COMPUTED_VALUE"""),FALSE)</f>
        <v>0</v>
      </c>
      <c r="V2401" s="42"/>
      <c r="W2401" s="42"/>
      <c r="X2401" s="42"/>
      <c r="Y2401" s="42"/>
      <c r="Z2401" s="42"/>
      <c r="AA2401" s="42"/>
      <c r="AB2401" s="42" t="str">
        <f>IFERROR(__xludf.DUMMYFUNCTION("""COMPUTED_VALUE"""),"allen institute")</f>
        <v>allen institute</v>
      </c>
      <c r="AC2401" s="42" t="str">
        <f>IFERROR(__xludf.DUMMYFUNCTION("""COMPUTED_VALUE"""),"DHBA")</f>
        <v>DHBA</v>
      </c>
      <c r="AD2401" s="42"/>
      <c r="AE2401" s="42"/>
      <c r="AF2401" s="9"/>
      <c r="AG2401" s="9"/>
      <c r="AH2401" s="42"/>
      <c r="AI2401" s="42"/>
      <c r="AJ2401" s="42"/>
      <c r="AK2401" s="42"/>
      <c r="AL2401" s="42"/>
      <c r="AM2401" s="42"/>
      <c r="AN2401" s="42"/>
      <c r="AO2401" s="63" t="str">
        <f>IFERROR(__xludf.DUMMYFUNCTION("IF(ISBLANK(A2401),,IF(ISBLANK(S2401), A2401&amp;"";"", TEXTJOIN(CHAR(10), TRUE, A2401&amp;"";"", ARRAYFORMULA(VLOOKUP(SPLIT(S2401, "";"" &amp; CHAR(10)), $A:$AO, 41, FALSE)))))"),"csr-u;")</f>
        <v>csr-u;</v>
      </c>
      <c r="AP2401" s="89"/>
    </row>
    <row r="2402">
      <c r="A2402" s="151" t="str">
        <f>IFERROR(__xludf.DUMMYFUNCTION("""COMPUTED_VALUE"""),"csr-l")</f>
        <v>csr-l</v>
      </c>
      <c r="B2402" s="42" t="str">
        <f>IFERROR(__xludf.DUMMYFUNCTION("""COMPUTED_VALUE"""),"DHBA")</f>
        <v>DHBA</v>
      </c>
      <c r="C2402" s="42" t="str">
        <f>IFERROR(__xludf.DUMMYFUNCTION("""COMPUTED_VALUE"""),"lower limiting sulcus")</f>
        <v>lower limiting sulcus</v>
      </c>
      <c r="D2402" s="42">
        <f>IFERROR(__xludf.DUMMYFUNCTION("""COMPUTED_VALUE"""),2285.0)</f>
        <v>2285</v>
      </c>
      <c r="E2402" s="39" t="str">
        <f>IFERROR(__xludf.DUMMYFUNCTION("""COMPUTED_VALUE"""),"lower limiting sulcus")</f>
        <v>lower limiting sulcus</v>
      </c>
      <c r="F2402" s="9" t="str">
        <f>IFERROR(__xludf.DUMMYFUNCTION("""COMPUTED_VALUE"""),"Br")</f>
        <v>Br</v>
      </c>
      <c r="G2402" s="9" t="str">
        <f>IFERROR(__xludf.DUMMYFUNCTION("""COMPUTED_VALUE"""),"F")</f>
        <v>F</v>
      </c>
      <c r="H2402" s="9" t="str">
        <f>IFERROR(__xludf.DUMMYFUNCTION("""COMPUTED_VALUE"""),"FSS")</f>
        <v>FSS</v>
      </c>
      <c r="I2402" s="9" t="str">
        <f>IFERROR(__xludf.DUMMYFUNCTION("""COMPUTED_VALUE"""),"CeS")</f>
        <v>CeS</v>
      </c>
      <c r="J2402" s="9" t="str">
        <f>IFERROR(__xludf.DUMMYFUNCTION("""COMPUTED_VALUE"""),"PriS")</f>
        <v>PriS</v>
      </c>
      <c r="K2402" s="9" t="str">
        <f>IFERROR(__xludf.DUMMYFUNCTION("""COMPUTED_VALUE"""),"csr")</f>
        <v>csr</v>
      </c>
      <c r="L2402" s="9" t="str">
        <f>IFERROR(__xludf.DUMMYFUNCTION("""COMPUTED_VALUE"""),"csr-l")</f>
        <v>csr-l</v>
      </c>
      <c r="M2402" s="9"/>
      <c r="N2402" s="9"/>
      <c r="O2402" s="9"/>
      <c r="P2402" s="9"/>
      <c r="Q2402" s="9"/>
      <c r="R2402" s="9"/>
      <c r="S2402" s="42"/>
      <c r="T2402" s="42" t="str">
        <f>IFERROR(__xludf.DUMMYFUNCTION("""COMPUTED_VALUE"""),"sulcus")</f>
        <v>sulcus</v>
      </c>
      <c r="U2402" s="42" t="b">
        <f>IFERROR(__xludf.DUMMYFUNCTION("""COMPUTED_VALUE"""),FALSE)</f>
        <v>0</v>
      </c>
      <c r="V2402" s="42"/>
      <c r="W2402" s="42"/>
      <c r="X2402" s="42"/>
      <c r="Y2402" s="42"/>
      <c r="Z2402" s="42"/>
      <c r="AA2402" s="42"/>
      <c r="AB2402" s="42" t="str">
        <f>IFERROR(__xludf.DUMMYFUNCTION("""COMPUTED_VALUE"""),"allen institute")</f>
        <v>allen institute</v>
      </c>
      <c r="AC2402" s="42" t="str">
        <f>IFERROR(__xludf.DUMMYFUNCTION("""COMPUTED_VALUE"""),"DHBA")</f>
        <v>DHBA</v>
      </c>
      <c r="AD2402" s="42"/>
      <c r="AE2402" s="42"/>
      <c r="AF2402" s="9"/>
      <c r="AG2402" s="9"/>
      <c r="AH2402" s="42"/>
      <c r="AI2402" s="42"/>
      <c r="AJ2402" s="42"/>
      <c r="AK2402" s="42"/>
      <c r="AL2402" s="42"/>
      <c r="AM2402" s="42"/>
      <c r="AN2402" s="42"/>
      <c r="AO2402" s="63" t="str">
        <f>IFERROR(__xludf.DUMMYFUNCTION("IF(ISBLANK(A2402),,IF(ISBLANK(S2402), A2402&amp;"";"", TEXTJOIN(CHAR(10), TRUE, A2402&amp;"";"", ARRAYFORMULA(VLOOKUP(SPLIT(S2402, "";"" &amp; CHAR(10)), $A:$AO, 41, FALSE)))))"),"csr-l;")</f>
        <v>csr-l;</v>
      </c>
      <c r="AP2402" s="89"/>
    </row>
    <row r="2403">
      <c r="A2403" s="151" t="str">
        <f>IFERROR(__xludf.DUMMYFUNCTION("""COMPUTED_VALUE"""),"cols")</f>
        <v>cols</v>
      </c>
      <c r="B2403" s="42" t="str">
        <f>IFERROR(__xludf.DUMMYFUNCTION("""COMPUTED_VALUE"""),"DHBA")</f>
        <v>DHBA</v>
      </c>
      <c r="C2403" s="42" t="str">
        <f>IFERROR(__xludf.DUMMYFUNCTION("""COMPUTED_VALUE"""),"collateral sulcus")</f>
        <v>collateral sulcus</v>
      </c>
      <c r="D2403" s="42">
        <f>IFERROR(__xludf.DUMMYFUNCTION("""COMPUTED_VALUE"""),2286.0)</f>
        <v>2286</v>
      </c>
      <c r="E2403" s="39" t="str">
        <f>IFERROR(__xludf.DUMMYFUNCTION("""COMPUTED_VALUE"""),"collateral sulcus")</f>
        <v>collateral sulcus</v>
      </c>
      <c r="F2403" s="9" t="str">
        <f>IFERROR(__xludf.DUMMYFUNCTION("""COMPUTED_VALUE"""),"Br")</f>
        <v>Br</v>
      </c>
      <c r="G2403" s="9" t="str">
        <f>IFERROR(__xludf.DUMMYFUNCTION("""COMPUTED_VALUE"""),"F")</f>
        <v>F</v>
      </c>
      <c r="H2403" s="9" t="str">
        <f>IFERROR(__xludf.DUMMYFUNCTION("""COMPUTED_VALUE"""),"FSS")</f>
        <v>FSS</v>
      </c>
      <c r="I2403" s="9" t="str">
        <f>IFERROR(__xludf.DUMMYFUNCTION("""COMPUTED_VALUE"""),"CeS")</f>
        <v>CeS</v>
      </c>
      <c r="J2403" s="9" t="str">
        <f>IFERROR(__xludf.DUMMYFUNCTION("""COMPUTED_VALUE"""),"PriS")</f>
        <v>PriS</v>
      </c>
      <c r="K2403" s="9" t="str">
        <f>IFERROR(__xludf.DUMMYFUNCTION("""COMPUTED_VALUE"""),"cols")</f>
        <v>cols</v>
      </c>
      <c r="L2403" s="9"/>
      <c r="M2403" s="9"/>
      <c r="N2403" s="9"/>
      <c r="O2403" s="9"/>
      <c r="P2403" s="9"/>
      <c r="Q2403" s="9"/>
      <c r="R2403" s="9"/>
      <c r="S2403" s="42" t="str">
        <f>IFERROR(__xludf.DUMMYFUNCTION("""COMPUTED_VALUE"""),"cols_r;
cols_c")</f>
        <v>cols_r;
cols_c</v>
      </c>
      <c r="T2403" s="42" t="str">
        <f>IFERROR(__xludf.DUMMYFUNCTION("""COMPUTED_VALUE"""),"sulcus")</f>
        <v>sulcus</v>
      </c>
      <c r="U2403" s="42" t="b">
        <f>IFERROR(__xludf.DUMMYFUNCTION("""COMPUTED_VALUE"""),FALSE)</f>
        <v>0</v>
      </c>
      <c r="V2403" s="42"/>
      <c r="W2403" s="42"/>
      <c r="X2403" s="42"/>
      <c r="Y2403" s="42"/>
      <c r="Z2403" s="42"/>
      <c r="AA2403" s="42"/>
      <c r="AB2403" s="42" t="str">
        <f>IFERROR(__xludf.DUMMYFUNCTION("""COMPUTED_VALUE"""),"allen institute")</f>
        <v>allen institute</v>
      </c>
      <c r="AC2403" s="42" t="str">
        <f>IFERROR(__xludf.DUMMYFUNCTION("""COMPUTED_VALUE"""),"DHBA")</f>
        <v>DHBA</v>
      </c>
      <c r="AD2403" s="42"/>
      <c r="AE2403" s="42"/>
      <c r="AF2403" s="9"/>
      <c r="AG2403" s="9"/>
      <c r="AH2403" s="42"/>
      <c r="AI2403" s="42"/>
      <c r="AJ2403" s="42"/>
      <c r="AK2403" s="42"/>
      <c r="AL2403" s="42"/>
      <c r="AM2403" s="42"/>
      <c r="AN2403" s="42"/>
      <c r="AO2403" s="63" t="str">
        <f>IFERROR(__xludf.DUMMYFUNCTION("IF(ISBLANK(A2403),,IF(ISBLANK(S2403), A2403&amp;"";"", TEXTJOIN(CHAR(10), TRUE, A2403&amp;"";"", ARRAYFORMULA(VLOOKUP(SPLIT(S2403, "";"" &amp; CHAR(10)), $A:$AO, 41, FALSE)))))"),"#N/A")</f>
        <v>#N/A</v>
      </c>
      <c r="AP2403" s="89"/>
    </row>
    <row r="2404">
      <c r="A2404" s="151" t="str">
        <f>IFERROR(__xludf.DUMMYFUNCTION("""COMPUTED_VALUE"""),"cols-r")</f>
        <v>cols-r</v>
      </c>
      <c r="B2404" s="42" t="str">
        <f>IFERROR(__xludf.DUMMYFUNCTION("""COMPUTED_VALUE"""),"DHBA")</f>
        <v>DHBA</v>
      </c>
      <c r="C2404" s="42" t="str">
        <f>IFERROR(__xludf.DUMMYFUNCTION("""COMPUTED_VALUE"""),"collateral sulcus, rostral segment")</f>
        <v>collateral sulcus, rostral segment</v>
      </c>
      <c r="D2404" s="42">
        <f>IFERROR(__xludf.DUMMYFUNCTION("""COMPUTED_VALUE"""),2287.0)</f>
        <v>2287</v>
      </c>
      <c r="E2404" s="39" t="str">
        <f>IFERROR(__xludf.DUMMYFUNCTION("""COMPUTED_VALUE"""),"collateral sulcus, rostral segment")</f>
        <v>collateral sulcus, rostral segment</v>
      </c>
      <c r="F2404" s="9" t="str">
        <f>IFERROR(__xludf.DUMMYFUNCTION("""COMPUTED_VALUE"""),"Br")</f>
        <v>Br</v>
      </c>
      <c r="G2404" s="9" t="str">
        <f>IFERROR(__xludf.DUMMYFUNCTION("""COMPUTED_VALUE"""),"F")</f>
        <v>F</v>
      </c>
      <c r="H2404" s="9" t="str">
        <f>IFERROR(__xludf.DUMMYFUNCTION("""COMPUTED_VALUE"""),"FSS")</f>
        <v>FSS</v>
      </c>
      <c r="I2404" s="9" t="str">
        <f>IFERROR(__xludf.DUMMYFUNCTION("""COMPUTED_VALUE"""),"CeS")</f>
        <v>CeS</v>
      </c>
      <c r="J2404" s="9" t="str">
        <f>IFERROR(__xludf.DUMMYFUNCTION("""COMPUTED_VALUE"""),"PriS")</f>
        <v>PriS</v>
      </c>
      <c r="K2404" s="9" t="str">
        <f>IFERROR(__xludf.DUMMYFUNCTION("""COMPUTED_VALUE"""),"cols")</f>
        <v>cols</v>
      </c>
      <c r="L2404" s="9" t="str">
        <f>IFERROR(__xludf.DUMMYFUNCTION("""COMPUTED_VALUE"""),"cols-r")</f>
        <v>cols-r</v>
      </c>
      <c r="M2404" s="9"/>
      <c r="N2404" s="9"/>
      <c r="O2404" s="9"/>
      <c r="P2404" s="9"/>
      <c r="Q2404" s="9"/>
      <c r="R2404" s="9"/>
      <c r="S2404" s="42"/>
      <c r="T2404" s="42" t="str">
        <f>IFERROR(__xludf.DUMMYFUNCTION("""COMPUTED_VALUE"""),"sulcus")</f>
        <v>sulcus</v>
      </c>
      <c r="U2404" s="159" t="b">
        <f>IFERROR(__xludf.DUMMYFUNCTION("""COMPUTED_VALUE"""),FALSE)</f>
        <v>0</v>
      </c>
      <c r="V2404" s="42"/>
      <c r="W2404" s="42"/>
      <c r="X2404" s="42"/>
      <c r="Y2404" s="42"/>
      <c r="Z2404" s="42"/>
      <c r="AA2404" s="42"/>
      <c r="AB2404" s="42" t="str">
        <f>IFERROR(__xludf.DUMMYFUNCTION("""COMPUTED_VALUE"""),"allen institute")</f>
        <v>allen institute</v>
      </c>
      <c r="AC2404" s="42" t="str">
        <f>IFERROR(__xludf.DUMMYFUNCTION("""COMPUTED_VALUE"""),"DHBA")</f>
        <v>DHBA</v>
      </c>
      <c r="AD2404" s="42"/>
      <c r="AE2404" s="42"/>
      <c r="AF2404" s="9"/>
      <c r="AG2404" s="9"/>
      <c r="AH2404" s="42"/>
      <c r="AI2404" s="42"/>
      <c r="AJ2404" s="42"/>
      <c r="AK2404" s="42"/>
      <c r="AL2404" s="42"/>
      <c r="AM2404" s="42"/>
      <c r="AN2404" s="42"/>
      <c r="AO2404" s="63" t="str">
        <f>IFERROR(__xludf.DUMMYFUNCTION("IF(ISBLANK(A2404),,IF(ISBLANK(S2404), A2404&amp;"";"", TEXTJOIN(CHAR(10), TRUE, A2404&amp;"";"", ARRAYFORMULA(VLOOKUP(SPLIT(S2404, "";"" &amp; CHAR(10)), $A:$AO, 41, FALSE)))))"),"cols-r;")</f>
        <v>cols-r;</v>
      </c>
      <c r="AP2404" s="89"/>
    </row>
    <row r="2405">
      <c r="A2405" s="151" t="str">
        <f>IFERROR(__xludf.DUMMYFUNCTION("""COMPUTED_VALUE"""),"cols-c")</f>
        <v>cols-c</v>
      </c>
      <c r="B2405" s="42" t="str">
        <f>IFERROR(__xludf.DUMMYFUNCTION("""COMPUTED_VALUE"""),"DHBA")</f>
        <v>DHBA</v>
      </c>
      <c r="C2405" s="42" t="str">
        <f>IFERROR(__xludf.DUMMYFUNCTION("""COMPUTED_VALUE"""),"collateral sulcus, caudal segment")</f>
        <v>collateral sulcus, caudal segment</v>
      </c>
      <c r="D2405" s="42">
        <f>IFERROR(__xludf.DUMMYFUNCTION("""COMPUTED_VALUE"""),2288.0)</f>
        <v>2288</v>
      </c>
      <c r="E2405" s="39" t="str">
        <f>IFERROR(__xludf.DUMMYFUNCTION("""COMPUTED_VALUE"""),"collateral sulcus, caudal segment")</f>
        <v>collateral sulcus, caudal segment</v>
      </c>
      <c r="F2405" s="9" t="str">
        <f>IFERROR(__xludf.DUMMYFUNCTION("""COMPUTED_VALUE"""),"Br")</f>
        <v>Br</v>
      </c>
      <c r="G2405" s="9" t="str">
        <f>IFERROR(__xludf.DUMMYFUNCTION("""COMPUTED_VALUE"""),"F")</f>
        <v>F</v>
      </c>
      <c r="H2405" s="9" t="str">
        <f>IFERROR(__xludf.DUMMYFUNCTION("""COMPUTED_VALUE"""),"FSS")</f>
        <v>FSS</v>
      </c>
      <c r="I2405" s="9" t="str">
        <f>IFERROR(__xludf.DUMMYFUNCTION("""COMPUTED_VALUE"""),"CeS")</f>
        <v>CeS</v>
      </c>
      <c r="J2405" s="9" t="str">
        <f>IFERROR(__xludf.DUMMYFUNCTION("""COMPUTED_VALUE"""),"PriS")</f>
        <v>PriS</v>
      </c>
      <c r="K2405" s="9" t="str">
        <f>IFERROR(__xludf.DUMMYFUNCTION("""COMPUTED_VALUE"""),"cols")</f>
        <v>cols</v>
      </c>
      <c r="L2405" s="9" t="str">
        <f>IFERROR(__xludf.DUMMYFUNCTION("""COMPUTED_VALUE"""),"cols-c")</f>
        <v>cols-c</v>
      </c>
      <c r="M2405" s="9"/>
      <c r="N2405" s="9"/>
      <c r="O2405" s="9"/>
      <c r="P2405" s="9"/>
      <c r="Q2405" s="9"/>
      <c r="R2405" s="9"/>
      <c r="S2405" s="42"/>
      <c r="T2405" s="42" t="str">
        <f>IFERROR(__xludf.DUMMYFUNCTION("""COMPUTED_VALUE"""),"sulcus")</f>
        <v>sulcus</v>
      </c>
      <c r="U2405" s="42" t="b">
        <f>IFERROR(__xludf.DUMMYFUNCTION("""COMPUTED_VALUE"""),FALSE)</f>
        <v>0</v>
      </c>
      <c r="V2405" s="42"/>
      <c r="W2405" s="42"/>
      <c r="X2405" s="42"/>
      <c r="Y2405" s="42"/>
      <c r="Z2405" s="42"/>
      <c r="AA2405" s="42"/>
      <c r="AB2405" s="42" t="str">
        <f>IFERROR(__xludf.DUMMYFUNCTION("""COMPUTED_VALUE"""),"allen institute")</f>
        <v>allen institute</v>
      </c>
      <c r="AC2405" s="42" t="str">
        <f>IFERROR(__xludf.DUMMYFUNCTION("""COMPUTED_VALUE"""),"DHBA")</f>
        <v>DHBA</v>
      </c>
      <c r="AD2405" s="42"/>
      <c r="AE2405" s="42"/>
      <c r="AF2405" s="9"/>
      <c r="AG2405" s="9"/>
      <c r="AH2405" s="42"/>
      <c r="AI2405" s="42"/>
      <c r="AJ2405" s="42"/>
      <c r="AK2405" s="42"/>
      <c r="AL2405" s="42"/>
      <c r="AM2405" s="42"/>
      <c r="AN2405" s="42"/>
      <c r="AO2405" s="63" t="str">
        <f>IFERROR(__xludf.DUMMYFUNCTION("IF(ISBLANK(A2405),,IF(ISBLANK(S2405), A2405&amp;"";"", TEXTJOIN(CHAR(10), TRUE, A2405&amp;"";"", ARRAYFORMULA(VLOOKUP(SPLIT(S2405, "";"" &amp; CHAR(10)), $A:$AO, 41, FALSE)))))"),"cols-c;")</f>
        <v>cols-c;</v>
      </c>
      <c r="AP2405" s="89"/>
    </row>
    <row r="2406">
      <c r="A2406" s="151" t="str">
        <f>IFERROR(__xludf.DUMMYFUNCTION("""COMPUTED_VALUE"""),"hf")</f>
        <v>hf</v>
      </c>
      <c r="B2406" s="42" t="str">
        <f>IFERROR(__xludf.DUMMYFUNCTION("""COMPUTED_VALUE"""),"DHBA")</f>
        <v>DHBA</v>
      </c>
      <c r="C2406" s="42" t="str">
        <f>IFERROR(__xludf.DUMMYFUNCTION("""COMPUTED_VALUE"""),"hippocampal fissure")</f>
        <v>hippocampal fissure</v>
      </c>
      <c r="D2406" s="42">
        <f>IFERROR(__xludf.DUMMYFUNCTION("""COMPUTED_VALUE"""),2289.0)</f>
        <v>2289</v>
      </c>
      <c r="E2406" s="39" t="str">
        <f>IFERROR(__xludf.DUMMYFUNCTION("""COMPUTED_VALUE"""),"hippocampal fissure")</f>
        <v>hippocampal fissure</v>
      </c>
      <c r="F2406" s="9" t="str">
        <f>IFERROR(__xludf.DUMMYFUNCTION("""COMPUTED_VALUE"""),"Br")</f>
        <v>Br</v>
      </c>
      <c r="G2406" s="9" t="str">
        <f>IFERROR(__xludf.DUMMYFUNCTION("""COMPUTED_VALUE"""),"F")</f>
        <v>F</v>
      </c>
      <c r="H2406" s="9" t="str">
        <f>IFERROR(__xludf.DUMMYFUNCTION("""COMPUTED_VALUE"""),"FSS")</f>
        <v>FSS</v>
      </c>
      <c r="I2406" s="9" t="str">
        <f>IFERROR(__xludf.DUMMYFUNCTION("""COMPUTED_VALUE"""),"CeS")</f>
        <v>CeS</v>
      </c>
      <c r="J2406" s="9" t="str">
        <f>IFERROR(__xludf.DUMMYFUNCTION("""COMPUTED_VALUE"""),"PriS")</f>
        <v>PriS</v>
      </c>
      <c r="K2406" s="9" t="str">
        <f>IFERROR(__xludf.DUMMYFUNCTION("""COMPUTED_VALUE"""),"hf")</f>
        <v>hf</v>
      </c>
      <c r="L2406" s="9"/>
      <c r="M2406" s="9"/>
      <c r="N2406" s="9"/>
      <c r="O2406" s="9"/>
      <c r="P2406" s="9"/>
      <c r="Q2406" s="9"/>
      <c r="R2406" s="9"/>
      <c r="S2406" s="42"/>
      <c r="T2406" s="42"/>
      <c r="U2406" s="159"/>
      <c r="V2406" s="42"/>
      <c r="W2406" s="42"/>
      <c r="X2406" s="42"/>
      <c r="Y2406" s="42"/>
      <c r="Z2406" s="42"/>
      <c r="AA2406" s="42"/>
      <c r="AB2406" s="42" t="str">
        <f>IFERROR(__xludf.DUMMYFUNCTION("""COMPUTED_VALUE"""),"allen institute")</f>
        <v>allen institute</v>
      </c>
      <c r="AC2406" s="42" t="str">
        <f>IFERROR(__xludf.DUMMYFUNCTION("""COMPUTED_VALUE"""),"DHBA")</f>
        <v>DHBA</v>
      </c>
      <c r="AD2406" s="42"/>
      <c r="AE2406" s="42"/>
      <c r="AF2406" s="9"/>
      <c r="AG2406" s="9"/>
      <c r="AH2406" s="42"/>
      <c r="AI2406" s="42"/>
      <c r="AJ2406" s="42"/>
      <c r="AK2406" s="42"/>
      <c r="AL2406" s="42"/>
      <c r="AM2406" s="42"/>
      <c r="AN2406" s="42"/>
      <c r="AO2406" s="63" t="str">
        <f>IFERROR(__xludf.DUMMYFUNCTION("IF(ISBLANK(A2406),,IF(ISBLANK(S2406), A2406&amp;"";"", TEXTJOIN(CHAR(10), TRUE, A2406&amp;"";"", ARRAYFORMULA(VLOOKUP(SPLIT(S2406, "";"" &amp; CHAR(10)), $A:$AO, 41, FALSE)))))"),"hf;")</f>
        <v>hf;</v>
      </c>
      <c r="AP2406" s="89"/>
    </row>
    <row r="2407">
      <c r="A2407" s="151" t="str">
        <f>IFERROR(__xludf.DUMMYFUNCTION("""COMPUTED_VALUE"""),"ips")</f>
        <v>ips</v>
      </c>
      <c r="B2407" s="42" t="str">
        <f>IFERROR(__xludf.DUMMYFUNCTION("""COMPUTED_VALUE"""),"DHBA")</f>
        <v>DHBA</v>
      </c>
      <c r="C2407" s="42" t="str">
        <f>IFERROR(__xludf.DUMMYFUNCTION("""COMPUTED_VALUE"""),"intraparietal sulcus")</f>
        <v>intraparietal sulcus</v>
      </c>
      <c r="D2407" s="42">
        <f>IFERROR(__xludf.DUMMYFUNCTION("""COMPUTED_VALUE"""),2290.0)</f>
        <v>2290</v>
      </c>
      <c r="E2407" s="39" t="str">
        <f>IFERROR(__xludf.DUMMYFUNCTION("""COMPUTED_VALUE"""),"intraparietal sulcus")</f>
        <v>intraparietal sulcus</v>
      </c>
      <c r="F2407" s="9" t="str">
        <f>IFERROR(__xludf.DUMMYFUNCTION("""COMPUTED_VALUE"""),"Br")</f>
        <v>Br</v>
      </c>
      <c r="G2407" s="9" t="str">
        <f>IFERROR(__xludf.DUMMYFUNCTION("""COMPUTED_VALUE"""),"F")</f>
        <v>F</v>
      </c>
      <c r="H2407" s="9" t="str">
        <f>IFERROR(__xludf.DUMMYFUNCTION("""COMPUTED_VALUE"""),"FSS")</f>
        <v>FSS</v>
      </c>
      <c r="I2407" s="9" t="str">
        <f>IFERROR(__xludf.DUMMYFUNCTION("""COMPUTED_VALUE"""),"CeS")</f>
        <v>CeS</v>
      </c>
      <c r="J2407" s="9" t="str">
        <f>IFERROR(__xludf.DUMMYFUNCTION("""COMPUTED_VALUE"""),"PriS")</f>
        <v>PriS</v>
      </c>
      <c r="K2407" s="9" t="str">
        <f>IFERROR(__xludf.DUMMYFUNCTION("""COMPUTED_VALUE"""),"ips")</f>
        <v>ips</v>
      </c>
      <c r="L2407" s="9"/>
      <c r="M2407" s="9"/>
      <c r="N2407" s="9"/>
      <c r="O2407" s="9"/>
      <c r="P2407" s="9"/>
      <c r="Q2407" s="9"/>
      <c r="R2407" s="9"/>
      <c r="S2407" s="42"/>
      <c r="T2407" s="42" t="str">
        <f>IFERROR(__xludf.DUMMYFUNCTION("""COMPUTED_VALUE"""),"sulcus")</f>
        <v>sulcus</v>
      </c>
      <c r="U2407" s="42" t="b">
        <f>IFERROR(__xludf.DUMMYFUNCTION("""COMPUTED_VALUE"""),FALSE)</f>
        <v>0</v>
      </c>
      <c r="V2407" s="42"/>
      <c r="W2407" s="42"/>
      <c r="X2407" s="42"/>
      <c r="Y2407" s="42"/>
      <c r="Z2407" s="42"/>
      <c r="AA2407" s="42"/>
      <c r="AB2407" s="42" t="str">
        <f>IFERROR(__xludf.DUMMYFUNCTION("""COMPUTED_VALUE"""),"allen institute")</f>
        <v>allen institute</v>
      </c>
      <c r="AC2407" s="42" t="str">
        <f>IFERROR(__xludf.DUMMYFUNCTION("""COMPUTED_VALUE"""),"DHBA")</f>
        <v>DHBA</v>
      </c>
      <c r="AD2407" s="42"/>
      <c r="AE2407" s="42"/>
      <c r="AF2407" s="9"/>
      <c r="AG2407" s="9"/>
      <c r="AH2407" s="42"/>
      <c r="AI2407" s="42"/>
      <c r="AJ2407" s="42"/>
      <c r="AK2407" s="42"/>
      <c r="AL2407" s="42"/>
      <c r="AM2407" s="42"/>
      <c r="AN2407" s="42"/>
      <c r="AO2407" s="63" t="str">
        <f>IFERROR(__xludf.DUMMYFUNCTION("IF(ISBLANK(A2407),,IF(ISBLANK(S2407), A2407&amp;"";"", TEXTJOIN(CHAR(10), TRUE, A2407&amp;"";"", ARRAYFORMULA(VLOOKUP(SPLIT(S2407, "";"" &amp; CHAR(10)), $A:$AO, 41, FALSE)))))"),"ips;")</f>
        <v>ips;</v>
      </c>
      <c r="AP2407" s="89"/>
    </row>
    <row r="2408">
      <c r="A2408" s="151" t="str">
        <f>IFERROR(__xludf.DUMMYFUNCTION("""COMPUTED_VALUE"""),"las")</f>
        <v>las</v>
      </c>
      <c r="B2408" s="42" t="str">
        <f>IFERROR(__xludf.DUMMYFUNCTION("""COMPUTED_VALUE"""),"DHBA")</f>
        <v>DHBA</v>
      </c>
      <c r="C2408" s="42" t="str">
        <f>IFERROR(__xludf.DUMMYFUNCTION("""COMPUTED_VALUE"""),"lateral (sylvian) fissure")</f>
        <v>lateral (sylvian) fissure</v>
      </c>
      <c r="D2408" s="42">
        <f>IFERROR(__xludf.DUMMYFUNCTION("""COMPUTED_VALUE"""),2291.0)</f>
        <v>2291</v>
      </c>
      <c r="E2408" s="39" t="str">
        <f>IFERROR(__xludf.DUMMYFUNCTION("""COMPUTED_VALUE"""),"lateral (sylvian) fissure")</f>
        <v>lateral (sylvian) fissure</v>
      </c>
      <c r="F2408" s="9" t="str">
        <f>IFERROR(__xludf.DUMMYFUNCTION("""COMPUTED_VALUE"""),"Br")</f>
        <v>Br</v>
      </c>
      <c r="G2408" s="9" t="str">
        <f>IFERROR(__xludf.DUMMYFUNCTION("""COMPUTED_VALUE"""),"F")</f>
        <v>F</v>
      </c>
      <c r="H2408" s="9" t="str">
        <f>IFERROR(__xludf.DUMMYFUNCTION("""COMPUTED_VALUE"""),"FSS")</f>
        <v>FSS</v>
      </c>
      <c r="I2408" s="9" t="str">
        <f>IFERROR(__xludf.DUMMYFUNCTION("""COMPUTED_VALUE"""),"CeS")</f>
        <v>CeS</v>
      </c>
      <c r="J2408" s="9" t="str">
        <f>IFERROR(__xludf.DUMMYFUNCTION("""COMPUTED_VALUE"""),"PriS")</f>
        <v>PriS</v>
      </c>
      <c r="K2408" s="9" t="str">
        <f>IFERROR(__xludf.DUMMYFUNCTION("""COMPUTED_VALUE"""),"las")</f>
        <v>las</v>
      </c>
      <c r="L2408" s="9"/>
      <c r="M2408" s="9"/>
      <c r="N2408" s="9"/>
      <c r="O2408" s="9"/>
      <c r="P2408" s="9"/>
      <c r="Q2408" s="9"/>
      <c r="R2408" s="9"/>
      <c r="S2408" s="42" t="str">
        <f>IFERROR(__xludf.DUMMYFUNCTION("""COMPUTED_VALUE"""),"las_r;
las_m;
las_c")</f>
        <v>las_r;
las_m;
las_c</v>
      </c>
      <c r="T2408" s="42"/>
      <c r="U2408" s="42" t="b">
        <f>IFERROR(__xludf.DUMMYFUNCTION("""COMPUTED_VALUE"""),FALSE)</f>
        <v>0</v>
      </c>
      <c r="V2408" s="42"/>
      <c r="W2408" s="42"/>
      <c r="X2408" s="42"/>
      <c r="Y2408" s="42"/>
      <c r="Z2408" s="42"/>
      <c r="AA2408" s="42"/>
      <c r="AB2408" s="42" t="str">
        <f>IFERROR(__xludf.DUMMYFUNCTION("""COMPUTED_VALUE"""),"allen institute")</f>
        <v>allen institute</v>
      </c>
      <c r="AC2408" s="42" t="str">
        <f>IFERROR(__xludf.DUMMYFUNCTION("""COMPUTED_VALUE"""),"DHBA")</f>
        <v>DHBA</v>
      </c>
      <c r="AD2408" s="42"/>
      <c r="AE2408" s="42"/>
      <c r="AF2408" s="9"/>
      <c r="AG2408" s="9"/>
      <c r="AH2408" s="42"/>
      <c r="AI2408" s="42"/>
      <c r="AJ2408" s="42"/>
      <c r="AK2408" s="42"/>
      <c r="AL2408" s="42"/>
      <c r="AM2408" s="42"/>
      <c r="AN2408" s="42"/>
      <c r="AO2408" s="63" t="str">
        <f>IFERROR(__xludf.DUMMYFUNCTION("IF(ISBLANK(A2408),,IF(ISBLANK(S2408), A2408&amp;"";"", TEXTJOIN(CHAR(10), TRUE, A2408&amp;"";"", ARRAYFORMULA(VLOOKUP(SPLIT(S2408, "";"" &amp; CHAR(10)), $A:$AO, 41, FALSE)))))"),"#N/A")</f>
        <v>#N/A</v>
      </c>
      <c r="AP2408" s="89"/>
    </row>
    <row r="2409">
      <c r="A2409" s="151" t="str">
        <f>IFERROR(__xludf.DUMMYFUNCTION("""COMPUTED_VALUE"""),"las-r")</f>
        <v>las-r</v>
      </c>
      <c r="B2409" s="42" t="str">
        <f>IFERROR(__xludf.DUMMYFUNCTION("""COMPUTED_VALUE"""),"DHBA")</f>
        <v>DHBA</v>
      </c>
      <c r="C2409" s="42" t="str">
        <f>IFERROR(__xludf.DUMMYFUNCTION("""COMPUTED_VALUE"""),"lateral fissure, rostral ramus")</f>
        <v>lateral fissure, rostral ramus</v>
      </c>
      <c r="D2409" s="42">
        <f>IFERROR(__xludf.DUMMYFUNCTION("""COMPUTED_VALUE"""),2292.0)</f>
        <v>2292</v>
      </c>
      <c r="E2409" s="39" t="str">
        <f>IFERROR(__xludf.DUMMYFUNCTION("""COMPUTED_VALUE"""),"lateral fissure, rostral ramus")</f>
        <v>lateral fissure, rostral ramus</v>
      </c>
      <c r="F2409" s="9" t="str">
        <f>IFERROR(__xludf.DUMMYFUNCTION("""COMPUTED_VALUE"""),"Br")</f>
        <v>Br</v>
      </c>
      <c r="G2409" s="9" t="str">
        <f>IFERROR(__xludf.DUMMYFUNCTION("""COMPUTED_VALUE"""),"F")</f>
        <v>F</v>
      </c>
      <c r="H2409" s="9" t="str">
        <f>IFERROR(__xludf.DUMMYFUNCTION("""COMPUTED_VALUE"""),"FSS")</f>
        <v>FSS</v>
      </c>
      <c r="I2409" s="9" t="str">
        <f>IFERROR(__xludf.DUMMYFUNCTION("""COMPUTED_VALUE"""),"CeS")</f>
        <v>CeS</v>
      </c>
      <c r="J2409" s="9" t="str">
        <f>IFERROR(__xludf.DUMMYFUNCTION("""COMPUTED_VALUE"""),"PriS")</f>
        <v>PriS</v>
      </c>
      <c r="K2409" s="9" t="str">
        <f>IFERROR(__xludf.DUMMYFUNCTION("""COMPUTED_VALUE"""),"las")</f>
        <v>las</v>
      </c>
      <c r="L2409" s="9" t="str">
        <f>IFERROR(__xludf.DUMMYFUNCTION("""COMPUTED_VALUE"""),"las-r")</f>
        <v>las-r</v>
      </c>
      <c r="M2409" s="9"/>
      <c r="N2409" s="9"/>
      <c r="O2409" s="9"/>
      <c r="P2409" s="9"/>
      <c r="Q2409" s="9"/>
      <c r="R2409" s="9"/>
      <c r="S2409" s="42"/>
      <c r="T2409" s="42"/>
      <c r="U2409" s="42"/>
      <c r="V2409" s="42"/>
      <c r="W2409" s="42"/>
      <c r="X2409" s="42"/>
      <c r="Y2409" s="42"/>
      <c r="Z2409" s="42"/>
      <c r="AA2409" s="42"/>
      <c r="AB2409" s="42" t="str">
        <f>IFERROR(__xludf.DUMMYFUNCTION("""COMPUTED_VALUE"""),"allen institute")</f>
        <v>allen institute</v>
      </c>
      <c r="AC2409" s="42" t="str">
        <f>IFERROR(__xludf.DUMMYFUNCTION("""COMPUTED_VALUE"""),"DHBA")</f>
        <v>DHBA</v>
      </c>
      <c r="AD2409" s="42"/>
      <c r="AE2409" s="42"/>
      <c r="AF2409" s="9"/>
      <c r="AG2409" s="9"/>
      <c r="AH2409" s="42"/>
      <c r="AI2409" s="42"/>
      <c r="AJ2409" s="42"/>
      <c r="AK2409" s="42"/>
      <c r="AL2409" s="42"/>
      <c r="AM2409" s="42"/>
      <c r="AN2409" s="42"/>
      <c r="AO2409" s="63" t="str">
        <f>IFERROR(__xludf.DUMMYFUNCTION("IF(ISBLANK(A2409),,IF(ISBLANK(S2409), A2409&amp;"";"", TEXTJOIN(CHAR(10), TRUE, A2409&amp;"";"", ARRAYFORMULA(VLOOKUP(SPLIT(S2409, "";"" &amp; CHAR(10)), $A:$AO, 41, FALSE)))))"),"las-r;")</f>
        <v>las-r;</v>
      </c>
      <c r="AP2409" s="89"/>
    </row>
    <row r="2410">
      <c r="A2410" s="151" t="str">
        <f>IFERROR(__xludf.DUMMYFUNCTION("""COMPUTED_VALUE"""),"las-m")</f>
        <v>las-m</v>
      </c>
      <c r="B2410" s="42" t="str">
        <f>IFERROR(__xludf.DUMMYFUNCTION("""COMPUTED_VALUE"""),"DHBA")</f>
        <v>DHBA</v>
      </c>
      <c r="C2410" s="42" t="str">
        <f>IFERROR(__xludf.DUMMYFUNCTION("""COMPUTED_VALUE"""),"lateral fissure, middle (ascending) ramus")</f>
        <v>lateral fissure, middle (ascending) ramus</v>
      </c>
      <c r="D2410" s="42">
        <f>IFERROR(__xludf.DUMMYFUNCTION("""COMPUTED_VALUE"""),2293.0)</f>
        <v>2293</v>
      </c>
      <c r="E2410" s="39" t="str">
        <f>IFERROR(__xludf.DUMMYFUNCTION("""COMPUTED_VALUE"""),"lateral fissure, middle (ascending) ramus")</f>
        <v>lateral fissure, middle (ascending) ramus</v>
      </c>
      <c r="F2410" s="9" t="str">
        <f>IFERROR(__xludf.DUMMYFUNCTION("""COMPUTED_VALUE"""),"Br")</f>
        <v>Br</v>
      </c>
      <c r="G2410" s="9" t="str">
        <f>IFERROR(__xludf.DUMMYFUNCTION("""COMPUTED_VALUE"""),"F")</f>
        <v>F</v>
      </c>
      <c r="H2410" s="9" t="str">
        <f>IFERROR(__xludf.DUMMYFUNCTION("""COMPUTED_VALUE"""),"FSS")</f>
        <v>FSS</v>
      </c>
      <c r="I2410" s="9" t="str">
        <f>IFERROR(__xludf.DUMMYFUNCTION("""COMPUTED_VALUE"""),"CeS")</f>
        <v>CeS</v>
      </c>
      <c r="J2410" s="9" t="str">
        <f>IFERROR(__xludf.DUMMYFUNCTION("""COMPUTED_VALUE"""),"PriS")</f>
        <v>PriS</v>
      </c>
      <c r="K2410" s="9" t="str">
        <f>IFERROR(__xludf.DUMMYFUNCTION("""COMPUTED_VALUE"""),"las")</f>
        <v>las</v>
      </c>
      <c r="L2410" s="9" t="str">
        <f>IFERROR(__xludf.DUMMYFUNCTION("""COMPUTED_VALUE"""),"las-m")</f>
        <v>las-m</v>
      </c>
      <c r="M2410" s="9"/>
      <c r="N2410" s="9"/>
      <c r="O2410" s="9"/>
      <c r="P2410" s="9"/>
      <c r="Q2410" s="9"/>
      <c r="R2410" s="9"/>
      <c r="S2410" s="42"/>
      <c r="T2410" s="42"/>
      <c r="U2410" s="42"/>
      <c r="V2410" s="42"/>
      <c r="W2410" s="42"/>
      <c r="X2410" s="42"/>
      <c r="Y2410" s="42"/>
      <c r="Z2410" s="42"/>
      <c r="AA2410" s="42"/>
      <c r="AB2410" s="42" t="str">
        <f>IFERROR(__xludf.DUMMYFUNCTION("""COMPUTED_VALUE"""),"allen institute")</f>
        <v>allen institute</v>
      </c>
      <c r="AC2410" s="42" t="str">
        <f>IFERROR(__xludf.DUMMYFUNCTION("""COMPUTED_VALUE"""),"DHBA")</f>
        <v>DHBA</v>
      </c>
      <c r="AD2410" s="42"/>
      <c r="AE2410" s="42"/>
      <c r="AF2410" s="9"/>
      <c r="AG2410" s="9"/>
      <c r="AH2410" s="42"/>
      <c r="AI2410" s="42"/>
      <c r="AJ2410" s="42"/>
      <c r="AK2410" s="42"/>
      <c r="AL2410" s="42"/>
      <c r="AM2410" s="42"/>
      <c r="AN2410" s="42"/>
      <c r="AO2410" s="63" t="str">
        <f>IFERROR(__xludf.DUMMYFUNCTION("IF(ISBLANK(A2410),,IF(ISBLANK(S2410), A2410&amp;"";"", TEXTJOIN(CHAR(10), TRUE, A2410&amp;"";"", ARRAYFORMULA(VLOOKUP(SPLIT(S2410, "";"" &amp; CHAR(10)), $A:$AO, 41, FALSE)))))"),"las-m;")</f>
        <v>las-m;</v>
      </c>
      <c r="AP2410" s="89"/>
    </row>
    <row r="2411">
      <c r="A2411" s="151" t="str">
        <f>IFERROR(__xludf.DUMMYFUNCTION("""COMPUTED_VALUE"""),"las-c")</f>
        <v>las-c</v>
      </c>
      <c r="B2411" s="42" t="str">
        <f>IFERROR(__xludf.DUMMYFUNCTION("""COMPUTED_VALUE"""),"DHBA")</f>
        <v>DHBA</v>
      </c>
      <c r="C2411" s="42" t="str">
        <f>IFERROR(__xludf.DUMMYFUNCTION("""COMPUTED_VALUE"""),"lateral fissure, caudal ramus")</f>
        <v>lateral fissure, caudal ramus</v>
      </c>
      <c r="D2411" s="42">
        <f>IFERROR(__xludf.DUMMYFUNCTION("""COMPUTED_VALUE"""),2294.0)</f>
        <v>2294</v>
      </c>
      <c r="E2411" s="39" t="str">
        <f>IFERROR(__xludf.DUMMYFUNCTION("""COMPUTED_VALUE"""),"lateral fissure, caudal ramus")</f>
        <v>lateral fissure, caudal ramus</v>
      </c>
      <c r="F2411" s="9" t="str">
        <f>IFERROR(__xludf.DUMMYFUNCTION("""COMPUTED_VALUE"""),"Br")</f>
        <v>Br</v>
      </c>
      <c r="G2411" s="9" t="str">
        <f>IFERROR(__xludf.DUMMYFUNCTION("""COMPUTED_VALUE"""),"F")</f>
        <v>F</v>
      </c>
      <c r="H2411" s="9" t="str">
        <f>IFERROR(__xludf.DUMMYFUNCTION("""COMPUTED_VALUE"""),"FSS")</f>
        <v>FSS</v>
      </c>
      <c r="I2411" s="9" t="str">
        <f>IFERROR(__xludf.DUMMYFUNCTION("""COMPUTED_VALUE"""),"CeS")</f>
        <v>CeS</v>
      </c>
      <c r="J2411" s="9" t="str">
        <f>IFERROR(__xludf.DUMMYFUNCTION("""COMPUTED_VALUE"""),"PriS")</f>
        <v>PriS</v>
      </c>
      <c r="K2411" s="9" t="str">
        <f>IFERROR(__xludf.DUMMYFUNCTION("""COMPUTED_VALUE"""),"las")</f>
        <v>las</v>
      </c>
      <c r="L2411" s="9" t="str">
        <f>IFERROR(__xludf.DUMMYFUNCTION("""COMPUTED_VALUE"""),"las-c")</f>
        <v>las-c</v>
      </c>
      <c r="M2411" s="9"/>
      <c r="N2411" s="9"/>
      <c r="O2411" s="9"/>
      <c r="P2411" s="9"/>
      <c r="Q2411" s="9"/>
      <c r="R2411" s="9"/>
      <c r="S2411" s="42"/>
      <c r="T2411" s="42"/>
      <c r="U2411" s="42"/>
      <c r="V2411" s="42"/>
      <c r="W2411" s="42"/>
      <c r="X2411" s="42"/>
      <c r="Y2411" s="42"/>
      <c r="Z2411" s="42"/>
      <c r="AA2411" s="42"/>
      <c r="AB2411" s="42" t="str">
        <f>IFERROR(__xludf.DUMMYFUNCTION("""COMPUTED_VALUE"""),"allen institute")</f>
        <v>allen institute</v>
      </c>
      <c r="AC2411" s="42" t="str">
        <f>IFERROR(__xludf.DUMMYFUNCTION("""COMPUTED_VALUE"""),"DHBA")</f>
        <v>DHBA</v>
      </c>
      <c r="AD2411" s="42"/>
      <c r="AE2411" s="42"/>
      <c r="AF2411" s="9"/>
      <c r="AG2411" s="9"/>
      <c r="AH2411" s="42"/>
      <c r="AI2411" s="42"/>
      <c r="AJ2411" s="42"/>
      <c r="AK2411" s="42"/>
      <c r="AL2411" s="42"/>
      <c r="AM2411" s="42"/>
      <c r="AN2411" s="42"/>
      <c r="AO2411" s="63" t="str">
        <f>IFERROR(__xludf.DUMMYFUNCTION("IF(ISBLANK(A2411),,IF(ISBLANK(S2411), A2411&amp;"";"", TEXTJOIN(CHAR(10), TRUE, A2411&amp;"";"", ARRAYFORMULA(VLOOKUP(SPLIT(S2411, "";"" &amp; CHAR(10)), $A:$AO, 41, FALSE)))))"),"las-c;")</f>
        <v>las-c;</v>
      </c>
      <c r="AP2411" s="89"/>
    </row>
    <row r="2412">
      <c r="A2412" s="151" t="str">
        <f>IFERROR(__xludf.DUMMYFUNCTION("""COMPUTED_VALUE"""),"los")</f>
        <v>los</v>
      </c>
      <c r="B2412" s="42" t="str">
        <f>IFERROR(__xludf.DUMMYFUNCTION("""COMPUTED_VALUE"""),"DHBA")</f>
        <v>DHBA</v>
      </c>
      <c r="C2412" s="42" t="str">
        <f>IFERROR(__xludf.DUMMYFUNCTION("""COMPUTED_VALUE"""),"longitudinal fissure")</f>
        <v>longitudinal fissure</v>
      </c>
      <c r="D2412" s="42">
        <f>IFERROR(__xludf.DUMMYFUNCTION("""COMPUTED_VALUE"""),2295.0)</f>
        <v>2295</v>
      </c>
      <c r="E2412" s="39" t="str">
        <f>IFERROR(__xludf.DUMMYFUNCTION("""COMPUTED_VALUE"""),"longitudinal fissure")</f>
        <v>longitudinal fissure</v>
      </c>
      <c r="F2412" s="9" t="str">
        <f>IFERROR(__xludf.DUMMYFUNCTION("""COMPUTED_VALUE"""),"Br")</f>
        <v>Br</v>
      </c>
      <c r="G2412" s="9" t="str">
        <f>IFERROR(__xludf.DUMMYFUNCTION("""COMPUTED_VALUE"""),"F")</f>
        <v>F</v>
      </c>
      <c r="H2412" s="9" t="str">
        <f>IFERROR(__xludf.DUMMYFUNCTION("""COMPUTED_VALUE"""),"FSS")</f>
        <v>FSS</v>
      </c>
      <c r="I2412" s="9" t="str">
        <f>IFERROR(__xludf.DUMMYFUNCTION("""COMPUTED_VALUE"""),"CeS")</f>
        <v>CeS</v>
      </c>
      <c r="J2412" s="9" t="str">
        <f>IFERROR(__xludf.DUMMYFUNCTION("""COMPUTED_VALUE"""),"PriS")</f>
        <v>PriS</v>
      </c>
      <c r="K2412" s="9" t="str">
        <f>IFERROR(__xludf.DUMMYFUNCTION("""COMPUTED_VALUE"""),"los")</f>
        <v>los</v>
      </c>
      <c r="L2412" s="9"/>
      <c r="M2412" s="9"/>
      <c r="N2412" s="9"/>
      <c r="O2412" s="9"/>
      <c r="P2412" s="9"/>
      <c r="Q2412" s="9"/>
      <c r="R2412" s="9"/>
      <c r="S2412" s="42"/>
      <c r="T2412" s="42"/>
      <c r="U2412" s="42"/>
      <c r="V2412" s="42"/>
      <c r="W2412" s="42"/>
      <c r="X2412" s="42"/>
      <c r="Y2412" s="42"/>
      <c r="Z2412" s="42"/>
      <c r="AA2412" s="42"/>
      <c r="AB2412" s="42" t="str">
        <f>IFERROR(__xludf.DUMMYFUNCTION("""COMPUTED_VALUE"""),"allen institute")</f>
        <v>allen institute</v>
      </c>
      <c r="AC2412" s="42" t="str">
        <f>IFERROR(__xludf.DUMMYFUNCTION("""COMPUTED_VALUE"""),"DHBA")</f>
        <v>DHBA</v>
      </c>
      <c r="AD2412" s="42"/>
      <c r="AE2412" s="42"/>
      <c r="AF2412" s="9"/>
      <c r="AG2412" s="9"/>
      <c r="AH2412" s="42"/>
      <c r="AI2412" s="42"/>
      <c r="AJ2412" s="42"/>
      <c r="AK2412" s="42"/>
      <c r="AL2412" s="42"/>
      <c r="AM2412" s="42"/>
      <c r="AN2412" s="42"/>
      <c r="AO2412" s="63" t="str">
        <f>IFERROR(__xludf.DUMMYFUNCTION("IF(ISBLANK(A2412),,IF(ISBLANK(S2412), A2412&amp;"";"", TEXTJOIN(CHAR(10), TRUE, A2412&amp;"";"", ARRAYFORMULA(VLOOKUP(SPLIT(S2412, "";"" &amp; CHAR(10)), $A:$AO, 41, FALSE)))))"),"los;")</f>
        <v>los;</v>
      </c>
      <c r="AP2412" s="89"/>
    </row>
    <row r="2413">
      <c r="A2413" s="151" t="str">
        <f>IFERROR(__xludf.DUMMYFUNCTION("""COMPUTED_VALUE"""),"ots")</f>
        <v>ots</v>
      </c>
      <c r="B2413" s="42" t="str">
        <f>IFERROR(__xludf.DUMMYFUNCTION("""COMPUTED_VALUE"""),"DHBA")</f>
        <v>DHBA</v>
      </c>
      <c r="C2413" s="42" t="str">
        <f>IFERROR(__xludf.DUMMYFUNCTION("""COMPUTED_VALUE"""),"occipitotemporal sulcus")</f>
        <v>occipitotemporal sulcus</v>
      </c>
      <c r="D2413" s="42">
        <f>IFERROR(__xludf.DUMMYFUNCTION("""COMPUTED_VALUE"""),2296.0)</f>
        <v>2296</v>
      </c>
      <c r="E2413" s="39" t="str">
        <f>IFERROR(__xludf.DUMMYFUNCTION("""COMPUTED_VALUE"""),"occipitotemporal sulcus")</f>
        <v>occipitotemporal sulcus</v>
      </c>
      <c r="F2413" s="9" t="str">
        <f>IFERROR(__xludf.DUMMYFUNCTION("""COMPUTED_VALUE"""),"Br")</f>
        <v>Br</v>
      </c>
      <c r="G2413" s="9" t="str">
        <f>IFERROR(__xludf.DUMMYFUNCTION("""COMPUTED_VALUE"""),"F")</f>
        <v>F</v>
      </c>
      <c r="H2413" s="9" t="str">
        <f>IFERROR(__xludf.DUMMYFUNCTION("""COMPUTED_VALUE"""),"FSS")</f>
        <v>FSS</v>
      </c>
      <c r="I2413" s="9" t="str">
        <f>IFERROR(__xludf.DUMMYFUNCTION("""COMPUTED_VALUE"""),"CeS")</f>
        <v>CeS</v>
      </c>
      <c r="J2413" s="9" t="str">
        <f>IFERROR(__xludf.DUMMYFUNCTION("""COMPUTED_VALUE"""),"PriS")</f>
        <v>PriS</v>
      </c>
      <c r="K2413" s="9" t="str">
        <f>IFERROR(__xludf.DUMMYFUNCTION("""COMPUTED_VALUE"""),"ots")</f>
        <v>ots</v>
      </c>
      <c r="L2413" s="9"/>
      <c r="M2413" s="9"/>
      <c r="N2413" s="9"/>
      <c r="O2413" s="9"/>
      <c r="P2413" s="9"/>
      <c r="Q2413" s="9"/>
      <c r="R2413" s="9"/>
      <c r="S2413" s="42"/>
      <c r="T2413" s="42" t="str">
        <f>IFERROR(__xludf.DUMMYFUNCTION("""COMPUTED_VALUE"""),"sulcus")</f>
        <v>sulcus</v>
      </c>
      <c r="U2413" s="159" t="b">
        <f>IFERROR(__xludf.DUMMYFUNCTION("""COMPUTED_VALUE"""),FALSE)</f>
        <v>0</v>
      </c>
      <c r="V2413" s="42"/>
      <c r="W2413" s="42"/>
      <c r="X2413" s="42"/>
      <c r="Y2413" s="42"/>
      <c r="Z2413" s="42"/>
      <c r="AA2413" s="42"/>
      <c r="AB2413" s="42" t="str">
        <f>IFERROR(__xludf.DUMMYFUNCTION("""COMPUTED_VALUE"""),"allen institute")</f>
        <v>allen institute</v>
      </c>
      <c r="AC2413" s="42" t="str">
        <f>IFERROR(__xludf.DUMMYFUNCTION("""COMPUTED_VALUE"""),"DHBA")</f>
        <v>DHBA</v>
      </c>
      <c r="AD2413" s="42"/>
      <c r="AE2413" s="42"/>
      <c r="AF2413" s="9"/>
      <c r="AG2413" s="9"/>
      <c r="AH2413" s="42"/>
      <c r="AI2413" s="42"/>
      <c r="AJ2413" s="42"/>
      <c r="AK2413" s="42"/>
      <c r="AL2413" s="42"/>
      <c r="AM2413" s="42"/>
      <c r="AN2413" s="42"/>
      <c r="AO2413" s="63" t="str">
        <f>IFERROR(__xludf.DUMMYFUNCTION("IF(ISBLANK(A2413),,IF(ISBLANK(S2413), A2413&amp;"";"", TEXTJOIN(CHAR(10), TRUE, A2413&amp;"";"", ARRAYFORMULA(VLOOKUP(SPLIT(S2413, "";"" &amp; CHAR(10)), $A:$AO, 41, FALSE)))))"),"ots;")</f>
        <v>ots;</v>
      </c>
      <c r="AP2413" s="89"/>
    </row>
    <row r="2414">
      <c r="A2414" s="151" t="str">
        <f>IFERROR(__xludf.DUMMYFUNCTION("""COMPUTED_VALUE"""),"ols")</f>
        <v>ols</v>
      </c>
      <c r="B2414" s="42" t="str">
        <f>IFERROR(__xludf.DUMMYFUNCTION("""COMPUTED_VALUE"""),"DHBA")</f>
        <v>DHBA</v>
      </c>
      <c r="C2414" s="42" t="str">
        <f>IFERROR(__xludf.DUMMYFUNCTION("""COMPUTED_VALUE"""),"olfactory sulcus")</f>
        <v>olfactory sulcus</v>
      </c>
      <c r="D2414" s="42">
        <f>IFERROR(__xludf.DUMMYFUNCTION("""COMPUTED_VALUE"""),2297.0)</f>
        <v>2297</v>
      </c>
      <c r="E2414" s="39" t="str">
        <f>IFERROR(__xludf.DUMMYFUNCTION("""COMPUTED_VALUE"""),"olfactory sulcus")</f>
        <v>olfactory sulcus</v>
      </c>
      <c r="F2414" s="9" t="str">
        <f>IFERROR(__xludf.DUMMYFUNCTION("""COMPUTED_VALUE"""),"Br")</f>
        <v>Br</v>
      </c>
      <c r="G2414" s="9" t="str">
        <f>IFERROR(__xludf.DUMMYFUNCTION("""COMPUTED_VALUE"""),"F")</f>
        <v>F</v>
      </c>
      <c r="H2414" s="9" t="str">
        <f>IFERROR(__xludf.DUMMYFUNCTION("""COMPUTED_VALUE"""),"FSS")</f>
        <v>FSS</v>
      </c>
      <c r="I2414" s="9" t="str">
        <f>IFERROR(__xludf.DUMMYFUNCTION("""COMPUTED_VALUE"""),"CeS")</f>
        <v>CeS</v>
      </c>
      <c r="J2414" s="9" t="str">
        <f>IFERROR(__xludf.DUMMYFUNCTION("""COMPUTED_VALUE"""),"PriS")</f>
        <v>PriS</v>
      </c>
      <c r="K2414" s="9" t="str">
        <f>IFERROR(__xludf.DUMMYFUNCTION("""COMPUTED_VALUE"""),"ols")</f>
        <v>ols</v>
      </c>
      <c r="L2414" s="9"/>
      <c r="M2414" s="9"/>
      <c r="N2414" s="9"/>
      <c r="O2414" s="9"/>
      <c r="P2414" s="9"/>
      <c r="Q2414" s="9"/>
      <c r="R2414" s="9"/>
      <c r="S2414" s="42"/>
      <c r="T2414" s="42" t="str">
        <f>IFERROR(__xludf.DUMMYFUNCTION("""COMPUTED_VALUE"""),"sulcus")</f>
        <v>sulcus</v>
      </c>
      <c r="U2414" s="159" t="b">
        <f>IFERROR(__xludf.DUMMYFUNCTION("""COMPUTED_VALUE"""),FALSE)</f>
        <v>0</v>
      </c>
      <c r="V2414" s="42"/>
      <c r="W2414" s="42"/>
      <c r="X2414" s="42"/>
      <c r="Y2414" s="42"/>
      <c r="Z2414" s="42"/>
      <c r="AA2414" s="42"/>
      <c r="AB2414" s="42" t="str">
        <f>IFERROR(__xludf.DUMMYFUNCTION("""COMPUTED_VALUE"""),"allen institute")</f>
        <v>allen institute</v>
      </c>
      <c r="AC2414" s="42" t="str">
        <f>IFERROR(__xludf.DUMMYFUNCTION("""COMPUTED_VALUE"""),"DHBA")</f>
        <v>DHBA</v>
      </c>
      <c r="AD2414" s="42"/>
      <c r="AE2414" s="42"/>
      <c r="AF2414" s="9"/>
      <c r="AG2414" s="9"/>
      <c r="AH2414" s="42"/>
      <c r="AI2414" s="42"/>
      <c r="AJ2414" s="42"/>
      <c r="AK2414" s="42"/>
      <c r="AL2414" s="42"/>
      <c r="AM2414" s="42"/>
      <c r="AN2414" s="42"/>
      <c r="AO2414" s="63" t="str">
        <f>IFERROR(__xludf.DUMMYFUNCTION("IF(ISBLANK(A2414),,IF(ISBLANK(S2414), A2414&amp;"";"", TEXTJOIN(CHAR(10), TRUE, A2414&amp;"";"", ARRAYFORMULA(VLOOKUP(SPLIT(S2414, "";"" &amp; CHAR(10)), $A:$AO, 41, FALSE)))))"),"ols;")</f>
        <v>ols;</v>
      </c>
      <c r="AP2414" s="89"/>
    </row>
    <row r="2415">
      <c r="A2415" s="151" t="str">
        <f>IFERROR(__xludf.DUMMYFUNCTION("""COMPUTED_VALUE"""),"ors")</f>
        <v>ors</v>
      </c>
      <c r="B2415" s="42" t="str">
        <f>IFERROR(__xludf.DUMMYFUNCTION("""COMPUTED_VALUE"""),"DHBA")</f>
        <v>DHBA</v>
      </c>
      <c r="C2415" s="42" t="str">
        <f>IFERROR(__xludf.DUMMYFUNCTION("""COMPUTED_VALUE"""),"orbital sulcus")</f>
        <v>orbital sulcus</v>
      </c>
      <c r="D2415" s="42">
        <f>IFERROR(__xludf.DUMMYFUNCTION("""COMPUTED_VALUE"""),2298.0)</f>
        <v>2298</v>
      </c>
      <c r="E2415" s="39" t="str">
        <f>IFERROR(__xludf.DUMMYFUNCTION("""COMPUTED_VALUE"""),"orbital sulcus")</f>
        <v>orbital sulcus</v>
      </c>
      <c r="F2415" s="9" t="str">
        <f>IFERROR(__xludf.DUMMYFUNCTION("""COMPUTED_VALUE"""),"Br")</f>
        <v>Br</v>
      </c>
      <c r="G2415" s="9" t="str">
        <f>IFERROR(__xludf.DUMMYFUNCTION("""COMPUTED_VALUE"""),"F")</f>
        <v>F</v>
      </c>
      <c r="H2415" s="9" t="str">
        <f>IFERROR(__xludf.DUMMYFUNCTION("""COMPUTED_VALUE"""),"FSS")</f>
        <v>FSS</v>
      </c>
      <c r="I2415" s="9" t="str">
        <f>IFERROR(__xludf.DUMMYFUNCTION("""COMPUTED_VALUE"""),"CeS")</f>
        <v>CeS</v>
      </c>
      <c r="J2415" s="9" t="str">
        <f>IFERROR(__xludf.DUMMYFUNCTION("""COMPUTED_VALUE"""),"PriS")</f>
        <v>PriS</v>
      </c>
      <c r="K2415" s="9" t="str">
        <f>IFERROR(__xludf.DUMMYFUNCTION("""COMPUTED_VALUE"""),"ors")</f>
        <v>ors</v>
      </c>
      <c r="L2415" s="9"/>
      <c r="M2415" s="9"/>
      <c r="N2415" s="9"/>
      <c r="O2415" s="9"/>
      <c r="P2415" s="9"/>
      <c r="Q2415" s="9"/>
      <c r="R2415" s="9"/>
      <c r="S2415" s="42" t="str">
        <f>IFERROR(__xludf.DUMMYFUNCTION("""COMPUTED_VALUE"""),"ors_m;
ors_l;
ors_t")</f>
        <v>ors_m;
ors_l;
ors_t</v>
      </c>
      <c r="T2415" s="42" t="str">
        <f>IFERROR(__xludf.DUMMYFUNCTION("""COMPUTED_VALUE"""),"sulcus")</f>
        <v>sulcus</v>
      </c>
      <c r="U2415" s="42" t="b">
        <f>IFERROR(__xludf.DUMMYFUNCTION("""COMPUTED_VALUE"""),FALSE)</f>
        <v>0</v>
      </c>
      <c r="V2415" s="42"/>
      <c r="W2415" s="42"/>
      <c r="X2415" s="42"/>
      <c r="Y2415" s="42"/>
      <c r="Z2415" s="42"/>
      <c r="AA2415" s="42"/>
      <c r="AB2415" s="42" t="str">
        <f>IFERROR(__xludf.DUMMYFUNCTION("""COMPUTED_VALUE"""),"allen institute")</f>
        <v>allen institute</v>
      </c>
      <c r="AC2415" s="42" t="str">
        <f>IFERROR(__xludf.DUMMYFUNCTION("""COMPUTED_VALUE"""),"DHBA")</f>
        <v>DHBA</v>
      </c>
      <c r="AD2415" s="42"/>
      <c r="AE2415" s="42"/>
      <c r="AF2415" s="9"/>
      <c r="AG2415" s="9"/>
      <c r="AH2415" s="42"/>
      <c r="AI2415" s="42"/>
      <c r="AJ2415" s="42"/>
      <c r="AK2415" s="42"/>
      <c r="AL2415" s="42"/>
      <c r="AM2415" s="42"/>
      <c r="AN2415" s="42"/>
      <c r="AO2415" s="63" t="str">
        <f>IFERROR(__xludf.DUMMYFUNCTION("IF(ISBLANK(A2415),,IF(ISBLANK(S2415), A2415&amp;"";"", TEXTJOIN(CHAR(10), TRUE, A2415&amp;"";"", ARRAYFORMULA(VLOOKUP(SPLIT(S2415, "";"" &amp; CHAR(10)), $A:$AO, 41, FALSE)))))"),"#N/A")</f>
        <v>#N/A</v>
      </c>
      <c r="AP2415" s="89"/>
    </row>
    <row r="2416">
      <c r="A2416" s="151" t="str">
        <f>IFERROR(__xludf.DUMMYFUNCTION("""COMPUTED_VALUE"""),"ors-m")</f>
        <v>ors-m</v>
      </c>
      <c r="B2416" s="42" t="str">
        <f>IFERROR(__xludf.DUMMYFUNCTION("""COMPUTED_VALUE"""),"DHBA")</f>
        <v>DHBA</v>
      </c>
      <c r="C2416" s="42" t="str">
        <f>IFERROR(__xludf.DUMMYFUNCTION("""COMPUTED_VALUE"""),"medial orbital sulcus")</f>
        <v>medial orbital sulcus</v>
      </c>
      <c r="D2416" s="42">
        <f>IFERROR(__xludf.DUMMYFUNCTION("""COMPUTED_VALUE"""),2299.0)</f>
        <v>2299</v>
      </c>
      <c r="E2416" s="39" t="str">
        <f>IFERROR(__xludf.DUMMYFUNCTION("""COMPUTED_VALUE"""),"medial orbital sulcus")</f>
        <v>medial orbital sulcus</v>
      </c>
      <c r="F2416" s="9" t="str">
        <f>IFERROR(__xludf.DUMMYFUNCTION("""COMPUTED_VALUE"""),"Br")</f>
        <v>Br</v>
      </c>
      <c r="G2416" s="9" t="str">
        <f>IFERROR(__xludf.DUMMYFUNCTION("""COMPUTED_VALUE"""),"F")</f>
        <v>F</v>
      </c>
      <c r="H2416" s="9" t="str">
        <f>IFERROR(__xludf.DUMMYFUNCTION("""COMPUTED_VALUE"""),"FSS")</f>
        <v>FSS</v>
      </c>
      <c r="I2416" s="9" t="str">
        <f>IFERROR(__xludf.DUMMYFUNCTION("""COMPUTED_VALUE"""),"CeS")</f>
        <v>CeS</v>
      </c>
      <c r="J2416" s="9" t="str">
        <f>IFERROR(__xludf.DUMMYFUNCTION("""COMPUTED_VALUE"""),"PriS")</f>
        <v>PriS</v>
      </c>
      <c r="K2416" s="9" t="str">
        <f>IFERROR(__xludf.DUMMYFUNCTION("""COMPUTED_VALUE"""),"ors")</f>
        <v>ors</v>
      </c>
      <c r="L2416" s="9" t="str">
        <f>IFERROR(__xludf.DUMMYFUNCTION("""COMPUTED_VALUE"""),"ors-m")</f>
        <v>ors-m</v>
      </c>
      <c r="M2416" s="9"/>
      <c r="N2416" s="9"/>
      <c r="O2416" s="9"/>
      <c r="P2416" s="9"/>
      <c r="Q2416" s="9"/>
      <c r="R2416" s="9"/>
      <c r="S2416" s="42"/>
      <c r="T2416" s="42" t="str">
        <f>IFERROR(__xludf.DUMMYFUNCTION("""COMPUTED_VALUE"""),"sulcus")</f>
        <v>sulcus</v>
      </c>
      <c r="U2416" s="42" t="b">
        <f>IFERROR(__xludf.DUMMYFUNCTION("""COMPUTED_VALUE"""),FALSE)</f>
        <v>0</v>
      </c>
      <c r="V2416" s="42"/>
      <c r="W2416" s="42"/>
      <c r="X2416" s="42"/>
      <c r="Y2416" s="42"/>
      <c r="Z2416" s="42"/>
      <c r="AA2416" s="42"/>
      <c r="AB2416" s="42" t="str">
        <f>IFERROR(__xludf.DUMMYFUNCTION("""COMPUTED_VALUE"""),"allen institute")</f>
        <v>allen institute</v>
      </c>
      <c r="AC2416" s="42" t="str">
        <f>IFERROR(__xludf.DUMMYFUNCTION("""COMPUTED_VALUE"""),"DHBA")</f>
        <v>DHBA</v>
      </c>
      <c r="AD2416" s="42"/>
      <c r="AE2416" s="42"/>
      <c r="AF2416" s="9"/>
      <c r="AG2416" s="9"/>
      <c r="AH2416" s="42"/>
      <c r="AI2416" s="42"/>
      <c r="AJ2416" s="42"/>
      <c r="AK2416" s="42"/>
      <c r="AL2416" s="42"/>
      <c r="AM2416" s="42"/>
      <c r="AN2416" s="42"/>
      <c r="AO2416" s="63" t="str">
        <f>IFERROR(__xludf.DUMMYFUNCTION("IF(ISBLANK(A2416),,IF(ISBLANK(S2416), A2416&amp;"";"", TEXTJOIN(CHAR(10), TRUE, A2416&amp;"";"", ARRAYFORMULA(VLOOKUP(SPLIT(S2416, "";"" &amp; CHAR(10)), $A:$AO, 41, FALSE)))))"),"ors-m;")</f>
        <v>ors-m;</v>
      </c>
      <c r="AP2416" s="89"/>
    </row>
    <row r="2417">
      <c r="A2417" s="151" t="str">
        <f>IFERROR(__xludf.DUMMYFUNCTION("""COMPUTED_VALUE"""),"ors-l")</f>
        <v>ors-l</v>
      </c>
      <c r="B2417" s="42" t="str">
        <f>IFERROR(__xludf.DUMMYFUNCTION("""COMPUTED_VALUE"""),"DHBA")</f>
        <v>DHBA</v>
      </c>
      <c r="C2417" s="42" t="str">
        <f>IFERROR(__xludf.DUMMYFUNCTION("""COMPUTED_VALUE"""),"lateral orbital sulcus")</f>
        <v>lateral orbital sulcus</v>
      </c>
      <c r="D2417" s="42">
        <f>IFERROR(__xludf.DUMMYFUNCTION("""COMPUTED_VALUE"""),2300.0)</f>
        <v>2300</v>
      </c>
      <c r="E2417" s="39" t="str">
        <f>IFERROR(__xludf.DUMMYFUNCTION("""COMPUTED_VALUE"""),"lateral orbital sulcus")</f>
        <v>lateral orbital sulcus</v>
      </c>
      <c r="F2417" s="9" t="str">
        <f>IFERROR(__xludf.DUMMYFUNCTION("""COMPUTED_VALUE"""),"Br")</f>
        <v>Br</v>
      </c>
      <c r="G2417" s="9" t="str">
        <f>IFERROR(__xludf.DUMMYFUNCTION("""COMPUTED_VALUE"""),"F")</f>
        <v>F</v>
      </c>
      <c r="H2417" s="9" t="str">
        <f>IFERROR(__xludf.DUMMYFUNCTION("""COMPUTED_VALUE"""),"FSS")</f>
        <v>FSS</v>
      </c>
      <c r="I2417" s="9" t="str">
        <f>IFERROR(__xludf.DUMMYFUNCTION("""COMPUTED_VALUE"""),"CeS")</f>
        <v>CeS</v>
      </c>
      <c r="J2417" s="9" t="str">
        <f>IFERROR(__xludf.DUMMYFUNCTION("""COMPUTED_VALUE"""),"PriS")</f>
        <v>PriS</v>
      </c>
      <c r="K2417" s="9" t="str">
        <f>IFERROR(__xludf.DUMMYFUNCTION("""COMPUTED_VALUE"""),"ors")</f>
        <v>ors</v>
      </c>
      <c r="L2417" s="9" t="str">
        <f>IFERROR(__xludf.DUMMYFUNCTION("""COMPUTED_VALUE"""),"ors-l")</f>
        <v>ors-l</v>
      </c>
      <c r="M2417" s="9"/>
      <c r="N2417" s="9"/>
      <c r="O2417" s="9"/>
      <c r="P2417" s="9"/>
      <c r="Q2417" s="9"/>
      <c r="R2417" s="9"/>
      <c r="S2417" s="42"/>
      <c r="T2417" s="42" t="str">
        <f>IFERROR(__xludf.DUMMYFUNCTION("""COMPUTED_VALUE"""),"sulcus")</f>
        <v>sulcus</v>
      </c>
      <c r="U2417" s="42" t="b">
        <f>IFERROR(__xludf.DUMMYFUNCTION("""COMPUTED_VALUE"""),FALSE)</f>
        <v>0</v>
      </c>
      <c r="V2417" s="42"/>
      <c r="W2417" s="42"/>
      <c r="X2417" s="42"/>
      <c r="Y2417" s="42"/>
      <c r="Z2417" s="42"/>
      <c r="AA2417" s="42"/>
      <c r="AB2417" s="42" t="str">
        <f>IFERROR(__xludf.DUMMYFUNCTION("""COMPUTED_VALUE"""),"allen institute")</f>
        <v>allen institute</v>
      </c>
      <c r="AC2417" s="42" t="str">
        <f>IFERROR(__xludf.DUMMYFUNCTION("""COMPUTED_VALUE"""),"DHBA")</f>
        <v>DHBA</v>
      </c>
      <c r="AD2417" s="42"/>
      <c r="AE2417" s="42"/>
      <c r="AF2417" s="9"/>
      <c r="AG2417" s="9"/>
      <c r="AH2417" s="42"/>
      <c r="AI2417" s="42"/>
      <c r="AJ2417" s="42"/>
      <c r="AK2417" s="42"/>
      <c r="AL2417" s="42"/>
      <c r="AM2417" s="42"/>
      <c r="AN2417" s="42"/>
      <c r="AO2417" s="63" t="str">
        <f>IFERROR(__xludf.DUMMYFUNCTION("IF(ISBLANK(A2417),,IF(ISBLANK(S2417), A2417&amp;"";"", TEXTJOIN(CHAR(10), TRUE, A2417&amp;"";"", ARRAYFORMULA(VLOOKUP(SPLIT(S2417, "";"" &amp; CHAR(10)), $A:$AO, 41, FALSE)))))"),"ors-l;")</f>
        <v>ors-l;</v>
      </c>
      <c r="AP2417" s="89"/>
    </row>
    <row r="2418">
      <c r="A2418" s="151" t="str">
        <f>IFERROR(__xludf.DUMMYFUNCTION("""COMPUTED_VALUE"""),"ors-t")</f>
        <v>ors-t</v>
      </c>
      <c r="B2418" s="42" t="str">
        <f>IFERROR(__xludf.DUMMYFUNCTION("""COMPUTED_VALUE"""),"DHBA")</f>
        <v>DHBA</v>
      </c>
      <c r="C2418" s="42" t="str">
        <f>IFERROR(__xludf.DUMMYFUNCTION("""COMPUTED_VALUE"""),"transverse orbital sulcus")</f>
        <v>transverse orbital sulcus</v>
      </c>
      <c r="D2418" s="42">
        <f>IFERROR(__xludf.DUMMYFUNCTION("""COMPUTED_VALUE"""),2301.0)</f>
        <v>2301</v>
      </c>
      <c r="E2418" s="39" t="str">
        <f>IFERROR(__xludf.DUMMYFUNCTION("""COMPUTED_VALUE"""),"transverse orbital sulcus")</f>
        <v>transverse orbital sulcus</v>
      </c>
      <c r="F2418" s="9" t="str">
        <f>IFERROR(__xludf.DUMMYFUNCTION("""COMPUTED_VALUE"""),"Br")</f>
        <v>Br</v>
      </c>
      <c r="G2418" s="9" t="str">
        <f>IFERROR(__xludf.DUMMYFUNCTION("""COMPUTED_VALUE"""),"F")</f>
        <v>F</v>
      </c>
      <c r="H2418" s="9" t="str">
        <f>IFERROR(__xludf.DUMMYFUNCTION("""COMPUTED_VALUE"""),"FSS")</f>
        <v>FSS</v>
      </c>
      <c r="I2418" s="9" t="str">
        <f>IFERROR(__xludf.DUMMYFUNCTION("""COMPUTED_VALUE"""),"CeS")</f>
        <v>CeS</v>
      </c>
      <c r="J2418" s="9" t="str">
        <f>IFERROR(__xludf.DUMMYFUNCTION("""COMPUTED_VALUE"""),"PriS")</f>
        <v>PriS</v>
      </c>
      <c r="K2418" s="9" t="str">
        <f>IFERROR(__xludf.DUMMYFUNCTION("""COMPUTED_VALUE"""),"ors")</f>
        <v>ors</v>
      </c>
      <c r="L2418" s="9" t="str">
        <f>IFERROR(__xludf.DUMMYFUNCTION("""COMPUTED_VALUE"""),"ors-t")</f>
        <v>ors-t</v>
      </c>
      <c r="M2418" s="9"/>
      <c r="N2418" s="9"/>
      <c r="O2418" s="9"/>
      <c r="P2418" s="9"/>
      <c r="Q2418" s="9"/>
      <c r="R2418" s="9"/>
      <c r="S2418" s="42"/>
      <c r="T2418" s="42" t="str">
        <f>IFERROR(__xludf.DUMMYFUNCTION("""COMPUTED_VALUE"""),"sulcus")</f>
        <v>sulcus</v>
      </c>
      <c r="U2418" s="42" t="b">
        <f>IFERROR(__xludf.DUMMYFUNCTION("""COMPUTED_VALUE"""),FALSE)</f>
        <v>0</v>
      </c>
      <c r="V2418" s="42"/>
      <c r="W2418" s="42"/>
      <c r="X2418" s="42"/>
      <c r="Y2418" s="42"/>
      <c r="Z2418" s="42"/>
      <c r="AA2418" s="42"/>
      <c r="AB2418" s="42" t="str">
        <f>IFERROR(__xludf.DUMMYFUNCTION("""COMPUTED_VALUE"""),"allen institute")</f>
        <v>allen institute</v>
      </c>
      <c r="AC2418" s="42" t="str">
        <f>IFERROR(__xludf.DUMMYFUNCTION("""COMPUTED_VALUE"""),"DHBA")</f>
        <v>DHBA</v>
      </c>
      <c r="AD2418" s="42"/>
      <c r="AE2418" s="42"/>
      <c r="AF2418" s="9"/>
      <c r="AG2418" s="9"/>
      <c r="AH2418" s="42"/>
      <c r="AI2418" s="42"/>
      <c r="AJ2418" s="42"/>
      <c r="AK2418" s="42"/>
      <c r="AL2418" s="42"/>
      <c r="AM2418" s="42"/>
      <c r="AN2418" s="42"/>
      <c r="AO2418" s="63" t="str">
        <f>IFERROR(__xludf.DUMMYFUNCTION("IF(ISBLANK(A2418),,IF(ISBLANK(S2418), A2418&amp;"";"", TEXTJOIN(CHAR(10), TRUE, A2418&amp;"";"", ARRAYFORMULA(VLOOKUP(SPLIT(S2418, "";"" &amp; CHAR(10)), $A:$AO, 41, FALSE)))))"),"ors-t;")</f>
        <v>ors-t;</v>
      </c>
      <c r="AP2418" s="89"/>
    </row>
    <row r="2419">
      <c r="A2419" s="151" t="str">
        <f>IFERROR(__xludf.DUMMYFUNCTION("""COMPUTED_VALUE"""),"pos")</f>
        <v>pos</v>
      </c>
      <c r="B2419" s="42" t="str">
        <f>IFERROR(__xludf.DUMMYFUNCTION("""COMPUTED_VALUE"""),"DHBA")</f>
        <v>DHBA</v>
      </c>
      <c r="C2419" s="42" t="str">
        <f>IFERROR(__xludf.DUMMYFUNCTION("""COMPUTED_VALUE"""),"parietooccipital fissure")</f>
        <v>parietooccipital fissure</v>
      </c>
      <c r="D2419" s="42">
        <f>IFERROR(__xludf.DUMMYFUNCTION("""COMPUTED_VALUE"""),2302.0)</f>
        <v>2302</v>
      </c>
      <c r="E2419" s="39" t="str">
        <f>IFERROR(__xludf.DUMMYFUNCTION("""COMPUTED_VALUE"""),"parietooccipital fissure")</f>
        <v>parietooccipital fissure</v>
      </c>
      <c r="F2419" s="9" t="str">
        <f>IFERROR(__xludf.DUMMYFUNCTION("""COMPUTED_VALUE"""),"Br")</f>
        <v>Br</v>
      </c>
      <c r="G2419" s="9" t="str">
        <f>IFERROR(__xludf.DUMMYFUNCTION("""COMPUTED_VALUE"""),"F")</f>
        <v>F</v>
      </c>
      <c r="H2419" s="9" t="str">
        <f>IFERROR(__xludf.DUMMYFUNCTION("""COMPUTED_VALUE"""),"FSS")</f>
        <v>FSS</v>
      </c>
      <c r="I2419" s="9" t="str">
        <f>IFERROR(__xludf.DUMMYFUNCTION("""COMPUTED_VALUE"""),"CeS")</f>
        <v>CeS</v>
      </c>
      <c r="J2419" s="9" t="str">
        <f>IFERROR(__xludf.DUMMYFUNCTION("""COMPUTED_VALUE"""),"PriS")</f>
        <v>PriS</v>
      </c>
      <c r="K2419" s="9" t="str">
        <f>IFERROR(__xludf.DUMMYFUNCTION("""COMPUTED_VALUE"""),"pos")</f>
        <v>pos</v>
      </c>
      <c r="L2419" s="9"/>
      <c r="M2419" s="9"/>
      <c r="N2419" s="9"/>
      <c r="O2419" s="9"/>
      <c r="P2419" s="9"/>
      <c r="Q2419" s="9"/>
      <c r="R2419" s="9"/>
      <c r="S2419" s="42" t="str">
        <f>IFERROR(__xludf.DUMMYFUNCTION("""COMPUTED_VALUE"""),"pos_le")</f>
        <v>pos_le</v>
      </c>
      <c r="T2419" s="42"/>
      <c r="U2419" s="42" t="b">
        <f>IFERROR(__xludf.DUMMYFUNCTION("""COMPUTED_VALUE"""),FALSE)</f>
        <v>0</v>
      </c>
      <c r="V2419" s="42"/>
      <c r="W2419" s="42"/>
      <c r="X2419" s="42"/>
      <c r="Y2419" s="42"/>
      <c r="Z2419" s="42"/>
      <c r="AA2419" s="42"/>
      <c r="AB2419" s="42" t="str">
        <f>IFERROR(__xludf.DUMMYFUNCTION("""COMPUTED_VALUE"""),"allen institute")</f>
        <v>allen institute</v>
      </c>
      <c r="AC2419" s="42" t="str">
        <f>IFERROR(__xludf.DUMMYFUNCTION("""COMPUTED_VALUE"""),"DHBA")</f>
        <v>DHBA</v>
      </c>
      <c r="AD2419" s="42"/>
      <c r="AE2419" s="42"/>
      <c r="AF2419" s="9"/>
      <c r="AG2419" s="9"/>
      <c r="AH2419" s="42"/>
      <c r="AI2419" s="42"/>
      <c r="AJ2419" s="42"/>
      <c r="AK2419" s="42"/>
      <c r="AL2419" s="42"/>
      <c r="AM2419" s="42"/>
      <c r="AN2419" s="42"/>
      <c r="AO2419" s="63" t="str">
        <f>IFERROR(__xludf.DUMMYFUNCTION("IF(ISBLANK(A2419),,IF(ISBLANK(S2419), A2419&amp;"";"", TEXTJOIN(CHAR(10), TRUE, A2419&amp;"";"", ARRAYFORMULA(VLOOKUP(SPLIT(S2419, "";"" &amp; CHAR(10)), $A:$AO, 41, FALSE)))))"),"#N/A")</f>
        <v>#N/A</v>
      </c>
      <c r="AP2419" s="89"/>
    </row>
    <row r="2420">
      <c r="A2420" s="151" t="str">
        <f>IFERROR(__xludf.DUMMYFUNCTION("""COMPUTED_VALUE"""),"pos-le")</f>
        <v>pos-le</v>
      </c>
      <c r="B2420" s="42" t="str">
        <f>IFERROR(__xludf.DUMMYFUNCTION("""COMPUTED_VALUE"""),"DHBA")</f>
        <v>DHBA</v>
      </c>
      <c r="C2420" s="42" t="str">
        <f>IFERROR(__xludf.DUMMYFUNCTION("""COMPUTED_VALUE"""),"parietooccipital fissure, lateral extension")</f>
        <v>parietooccipital fissure, lateral extension</v>
      </c>
      <c r="D2420" s="42">
        <f>IFERROR(__xludf.DUMMYFUNCTION("""COMPUTED_VALUE"""),2303.0)</f>
        <v>2303</v>
      </c>
      <c r="E2420" s="39" t="str">
        <f>IFERROR(__xludf.DUMMYFUNCTION("""COMPUTED_VALUE"""),"parietooccipital fissure, lateral extension")</f>
        <v>parietooccipital fissure, lateral extension</v>
      </c>
      <c r="F2420" s="9" t="str">
        <f>IFERROR(__xludf.DUMMYFUNCTION("""COMPUTED_VALUE"""),"Br")</f>
        <v>Br</v>
      </c>
      <c r="G2420" s="9" t="str">
        <f>IFERROR(__xludf.DUMMYFUNCTION("""COMPUTED_VALUE"""),"F")</f>
        <v>F</v>
      </c>
      <c r="H2420" s="9" t="str">
        <f>IFERROR(__xludf.DUMMYFUNCTION("""COMPUTED_VALUE"""),"FSS")</f>
        <v>FSS</v>
      </c>
      <c r="I2420" s="9" t="str">
        <f>IFERROR(__xludf.DUMMYFUNCTION("""COMPUTED_VALUE"""),"CeS")</f>
        <v>CeS</v>
      </c>
      <c r="J2420" s="9" t="str">
        <f>IFERROR(__xludf.DUMMYFUNCTION("""COMPUTED_VALUE"""),"PriS")</f>
        <v>PriS</v>
      </c>
      <c r="K2420" s="9" t="str">
        <f>IFERROR(__xludf.DUMMYFUNCTION("""COMPUTED_VALUE"""),"pos")</f>
        <v>pos</v>
      </c>
      <c r="L2420" s="9" t="str">
        <f>IFERROR(__xludf.DUMMYFUNCTION("""COMPUTED_VALUE"""),"pos-le")</f>
        <v>pos-le</v>
      </c>
      <c r="M2420" s="9"/>
      <c r="N2420" s="9"/>
      <c r="O2420" s="9"/>
      <c r="P2420" s="9"/>
      <c r="Q2420" s="9"/>
      <c r="R2420" s="9"/>
      <c r="S2420" s="42"/>
      <c r="T2420" s="42"/>
      <c r="U2420" s="42"/>
      <c r="V2420" s="42"/>
      <c r="W2420" s="42"/>
      <c r="X2420" s="42"/>
      <c r="Y2420" s="42"/>
      <c r="Z2420" s="42"/>
      <c r="AA2420" s="42"/>
      <c r="AB2420" s="42" t="str">
        <f>IFERROR(__xludf.DUMMYFUNCTION("""COMPUTED_VALUE"""),"allen institute")</f>
        <v>allen institute</v>
      </c>
      <c r="AC2420" s="42" t="str">
        <f>IFERROR(__xludf.DUMMYFUNCTION("""COMPUTED_VALUE"""),"DHBA")</f>
        <v>DHBA</v>
      </c>
      <c r="AD2420" s="42"/>
      <c r="AE2420" s="42"/>
      <c r="AF2420" s="9"/>
      <c r="AG2420" s="9"/>
      <c r="AH2420" s="42"/>
      <c r="AI2420" s="42"/>
      <c r="AJ2420" s="42"/>
      <c r="AK2420" s="42"/>
      <c r="AL2420" s="42"/>
      <c r="AM2420" s="42"/>
      <c r="AN2420" s="42"/>
      <c r="AO2420" s="63" t="str">
        <f>IFERROR(__xludf.DUMMYFUNCTION("IF(ISBLANK(A2420),,IF(ISBLANK(S2420), A2420&amp;"";"", TEXTJOIN(CHAR(10), TRUE, A2420&amp;"";"", ARRAYFORMULA(VLOOKUP(SPLIT(S2420, "";"" &amp; CHAR(10)), $A:$AO, 41, FALSE)))))"),"pos-le;")</f>
        <v>pos-le;</v>
      </c>
      <c r="AP2420" s="89"/>
    </row>
    <row r="2421">
      <c r="A2421" s="151" t="str">
        <f>IFERROR(__xludf.DUMMYFUNCTION("""COMPUTED_VALUE"""),"pocs")</f>
        <v>pocs</v>
      </c>
      <c r="B2421" s="42" t="str">
        <f>IFERROR(__xludf.DUMMYFUNCTION("""COMPUTED_VALUE"""),"DHBA")</f>
        <v>DHBA</v>
      </c>
      <c r="C2421" s="42" t="str">
        <f>IFERROR(__xludf.DUMMYFUNCTION("""COMPUTED_VALUE"""),"postcentral sulcus")</f>
        <v>postcentral sulcus</v>
      </c>
      <c r="D2421" s="42">
        <f>IFERROR(__xludf.DUMMYFUNCTION("""COMPUTED_VALUE"""),2304.0)</f>
        <v>2304</v>
      </c>
      <c r="E2421" s="39" t="str">
        <f>IFERROR(__xludf.DUMMYFUNCTION("""COMPUTED_VALUE"""),"postcentral sulcus")</f>
        <v>postcentral sulcus</v>
      </c>
      <c r="F2421" s="9" t="str">
        <f>IFERROR(__xludf.DUMMYFUNCTION("""COMPUTED_VALUE"""),"Br")</f>
        <v>Br</v>
      </c>
      <c r="G2421" s="9" t="str">
        <f>IFERROR(__xludf.DUMMYFUNCTION("""COMPUTED_VALUE"""),"F")</f>
        <v>F</v>
      </c>
      <c r="H2421" s="9" t="str">
        <f>IFERROR(__xludf.DUMMYFUNCTION("""COMPUTED_VALUE"""),"FSS")</f>
        <v>FSS</v>
      </c>
      <c r="I2421" s="9" t="str">
        <f>IFERROR(__xludf.DUMMYFUNCTION("""COMPUTED_VALUE"""),"CeS")</f>
        <v>CeS</v>
      </c>
      <c r="J2421" s="9" t="str">
        <f>IFERROR(__xludf.DUMMYFUNCTION("""COMPUTED_VALUE"""),"PriS")</f>
        <v>PriS</v>
      </c>
      <c r="K2421" s="9" t="str">
        <f>IFERROR(__xludf.DUMMYFUNCTION("""COMPUTED_VALUE"""),"pocs")</f>
        <v>pocs</v>
      </c>
      <c r="L2421" s="9"/>
      <c r="M2421" s="9"/>
      <c r="N2421" s="9"/>
      <c r="O2421" s="9"/>
      <c r="P2421" s="9"/>
      <c r="Q2421" s="9"/>
      <c r="R2421" s="9"/>
      <c r="S2421" s="42"/>
      <c r="T2421" s="42" t="str">
        <f>IFERROR(__xludf.DUMMYFUNCTION("""COMPUTED_VALUE"""),"sulcus")</f>
        <v>sulcus</v>
      </c>
      <c r="U2421" s="42" t="b">
        <f>IFERROR(__xludf.DUMMYFUNCTION("""COMPUTED_VALUE"""),FALSE)</f>
        <v>0</v>
      </c>
      <c r="V2421" s="42"/>
      <c r="W2421" s="42"/>
      <c r="X2421" s="42"/>
      <c r="Y2421" s="42"/>
      <c r="Z2421" s="42"/>
      <c r="AA2421" s="42"/>
      <c r="AB2421" s="42" t="str">
        <f>IFERROR(__xludf.DUMMYFUNCTION("""COMPUTED_VALUE"""),"allen institute")</f>
        <v>allen institute</v>
      </c>
      <c r="AC2421" s="42" t="str">
        <f>IFERROR(__xludf.DUMMYFUNCTION("""COMPUTED_VALUE"""),"DHBA")</f>
        <v>DHBA</v>
      </c>
      <c r="AD2421" s="42"/>
      <c r="AE2421" s="42"/>
      <c r="AF2421" s="9"/>
      <c r="AG2421" s="9"/>
      <c r="AH2421" s="42"/>
      <c r="AI2421" s="42"/>
      <c r="AJ2421" s="42"/>
      <c r="AK2421" s="42"/>
      <c r="AL2421" s="42"/>
      <c r="AM2421" s="42"/>
      <c r="AN2421" s="42"/>
      <c r="AO2421" s="63" t="str">
        <f>IFERROR(__xludf.DUMMYFUNCTION("IF(ISBLANK(A2421),,IF(ISBLANK(S2421), A2421&amp;"";"", TEXTJOIN(CHAR(10), TRUE, A2421&amp;"";"", ARRAYFORMULA(VLOOKUP(SPLIT(S2421, "";"" &amp; CHAR(10)), $A:$AO, 41, FALSE)))))"),"pocs;")</f>
        <v>pocs;</v>
      </c>
      <c r="AP2421" s="89"/>
    </row>
    <row r="2422">
      <c r="A2422" s="151" t="str">
        <f>IFERROR(__xludf.DUMMYFUNCTION("""COMPUTED_VALUE"""),"prcs")</f>
        <v>prcs</v>
      </c>
      <c r="B2422" s="42" t="str">
        <f>IFERROR(__xludf.DUMMYFUNCTION("""COMPUTED_VALUE"""),"DHBA")</f>
        <v>DHBA</v>
      </c>
      <c r="C2422" s="42" t="str">
        <f>IFERROR(__xludf.DUMMYFUNCTION("""COMPUTED_VALUE"""),"precentral sulcus")</f>
        <v>precentral sulcus</v>
      </c>
      <c r="D2422" s="42">
        <f>IFERROR(__xludf.DUMMYFUNCTION("""COMPUTED_VALUE"""),2305.0)</f>
        <v>2305</v>
      </c>
      <c r="E2422" s="39" t="str">
        <f>IFERROR(__xludf.DUMMYFUNCTION("""COMPUTED_VALUE"""),"precentral sulcus")</f>
        <v>precentral sulcus</v>
      </c>
      <c r="F2422" s="9" t="str">
        <f>IFERROR(__xludf.DUMMYFUNCTION("""COMPUTED_VALUE"""),"Br")</f>
        <v>Br</v>
      </c>
      <c r="G2422" s="9" t="str">
        <f>IFERROR(__xludf.DUMMYFUNCTION("""COMPUTED_VALUE"""),"F")</f>
        <v>F</v>
      </c>
      <c r="H2422" s="9" t="str">
        <f>IFERROR(__xludf.DUMMYFUNCTION("""COMPUTED_VALUE"""),"FSS")</f>
        <v>FSS</v>
      </c>
      <c r="I2422" s="9" t="str">
        <f>IFERROR(__xludf.DUMMYFUNCTION("""COMPUTED_VALUE"""),"CeS")</f>
        <v>CeS</v>
      </c>
      <c r="J2422" s="9" t="str">
        <f>IFERROR(__xludf.DUMMYFUNCTION("""COMPUTED_VALUE"""),"PriS")</f>
        <v>PriS</v>
      </c>
      <c r="K2422" s="9" t="str">
        <f>IFERROR(__xludf.DUMMYFUNCTION("""COMPUTED_VALUE"""),"prcs")</f>
        <v>prcs</v>
      </c>
      <c r="L2422" s="9"/>
      <c r="M2422" s="9"/>
      <c r="N2422" s="9"/>
      <c r="O2422" s="9"/>
      <c r="P2422" s="9"/>
      <c r="Q2422" s="9"/>
      <c r="R2422" s="9"/>
      <c r="S2422" s="42"/>
      <c r="T2422" s="42" t="str">
        <f>IFERROR(__xludf.DUMMYFUNCTION("""COMPUTED_VALUE"""),"sulcus")</f>
        <v>sulcus</v>
      </c>
      <c r="U2422" s="42" t="b">
        <f>IFERROR(__xludf.DUMMYFUNCTION("""COMPUTED_VALUE"""),FALSE)</f>
        <v>0</v>
      </c>
      <c r="V2422" s="42"/>
      <c r="W2422" s="42"/>
      <c r="X2422" s="42"/>
      <c r="Y2422" s="42"/>
      <c r="Z2422" s="42"/>
      <c r="AA2422" s="42"/>
      <c r="AB2422" s="42" t="str">
        <f>IFERROR(__xludf.DUMMYFUNCTION("""COMPUTED_VALUE"""),"allen institute")</f>
        <v>allen institute</v>
      </c>
      <c r="AC2422" s="42" t="str">
        <f>IFERROR(__xludf.DUMMYFUNCTION("""COMPUTED_VALUE"""),"DHBA")</f>
        <v>DHBA</v>
      </c>
      <c r="AD2422" s="42"/>
      <c r="AE2422" s="42"/>
      <c r="AF2422" s="9"/>
      <c r="AG2422" s="9"/>
      <c r="AH2422" s="42"/>
      <c r="AI2422" s="42"/>
      <c r="AJ2422" s="42"/>
      <c r="AK2422" s="42"/>
      <c r="AL2422" s="42"/>
      <c r="AM2422" s="42"/>
      <c r="AN2422" s="42"/>
      <c r="AO2422" s="63" t="str">
        <f>IFERROR(__xludf.DUMMYFUNCTION("IF(ISBLANK(A2422),,IF(ISBLANK(S2422), A2422&amp;"";"", TEXTJOIN(CHAR(10), TRUE, A2422&amp;"";"", ARRAYFORMULA(VLOOKUP(SPLIT(S2422, "";"" &amp; CHAR(10)), $A:$AO, 41, FALSE)))))"),"prcs;")</f>
        <v>prcs;</v>
      </c>
      <c r="AP2422" s="89"/>
    </row>
    <row r="2423">
      <c r="A2423" s="151" t="str">
        <f>IFERROR(__xludf.DUMMYFUNCTION("""COMPUTED_VALUE"""),"sts")</f>
        <v>sts</v>
      </c>
      <c r="B2423" s="42" t="str">
        <f>IFERROR(__xludf.DUMMYFUNCTION("""COMPUTED_VALUE"""),"DHBA")</f>
        <v>DHBA</v>
      </c>
      <c r="C2423" s="42" t="str">
        <f>IFERROR(__xludf.DUMMYFUNCTION("""COMPUTED_VALUE"""),"superior temporal sulcus")</f>
        <v>superior temporal sulcus</v>
      </c>
      <c r="D2423" s="42">
        <f>IFERROR(__xludf.DUMMYFUNCTION("""COMPUTED_VALUE"""),2306.0)</f>
        <v>2306</v>
      </c>
      <c r="E2423" s="39" t="str">
        <f>IFERROR(__xludf.DUMMYFUNCTION("""COMPUTED_VALUE"""),"superior temporal sulcus")</f>
        <v>superior temporal sulcus</v>
      </c>
      <c r="F2423" s="9" t="str">
        <f>IFERROR(__xludf.DUMMYFUNCTION("""COMPUTED_VALUE"""),"Br")</f>
        <v>Br</v>
      </c>
      <c r="G2423" s="9" t="str">
        <f>IFERROR(__xludf.DUMMYFUNCTION("""COMPUTED_VALUE"""),"F")</f>
        <v>F</v>
      </c>
      <c r="H2423" s="9" t="str">
        <f>IFERROR(__xludf.DUMMYFUNCTION("""COMPUTED_VALUE"""),"FSS")</f>
        <v>FSS</v>
      </c>
      <c r="I2423" s="9" t="str">
        <f>IFERROR(__xludf.DUMMYFUNCTION("""COMPUTED_VALUE"""),"CeS")</f>
        <v>CeS</v>
      </c>
      <c r="J2423" s="9" t="str">
        <f>IFERROR(__xludf.DUMMYFUNCTION("""COMPUTED_VALUE"""),"PriS")</f>
        <v>PriS</v>
      </c>
      <c r="K2423" s="9" t="str">
        <f>IFERROR(__xludf.DUMMYFUNCTION("""COMPUTED_VALUE"""),"sts")</f>
        <v>sts</v>
      </c>
      <c r="L2423" s="9"/>
      <c r="M2423" s="9"/>
      <c r="N2423" s="9"/>
      <c r="O2423" s="9"/>
      <c r="P2423" s="9"/>
      <c r="Q2423" s="9"/>
      <c r="R2423" s="9"/>
      <c r="S2423" s="42"/>
      <c r="T2423" s="42" t="str">
        <f>IFERROR(__xludf.DUMMYFUNCTION("""COMPUTED_VALUE"""),"sulcus")</f>
        <v>sulcus</v>
      </c>
      <c r="U2423" s="42" t="b">
        <f>IFERROR(__xludf.DUMMYFUNCTION("""COMPUTED_VALUE"""),FALSE)</f>
        <v>0</v>
      </c>
      <c r="V2423" s="42"/>
      <c r="W2423" s="42"/>
      <c r="X2423" s="42"/>
      <c r="Y2423" s="42"/>
      <c r="Z2423" s="42"/>
      <c r="AA2423" s="42"/>
      <c r="AB2423" s="42" t="str">
        <f>IFERROR(__xludf.DUMMYFUNCTION("""COMPUTED_VALUE"""),"allen institute")</f>
        <v>allen institute</v>
      </c>
      <c r="AC2423" s="42" t="str">
        <f>IFERROR(__xludf.DUMMYFUNCTION("""COMPUTED_VALUE"""),"DHBA")</f>
        <v>DHBA</v>
      </c>
      <c r="AD2423" s="42"/>
      <c r="AE2423" s="42"/>
      <c r="AF2423" s="9"/>
      <c r="AG2423" s="9"/>
      <c r="AH2423" s="42"/>
      <c r="AI2423" s="42"/>
      <c r="AJ2423" s="42"/>
      <c r="AK2423" s="42"/>
      <c r="AL2423" s="42"/>
      <c r="AM2423" s="42"/>
      <c r="AN2423" s="42"/>
      <c r="AO2423" s="63" t="str">
        <f>IFERROR(__xludf.DUMMYFUNCTION("IF(ISBLANK(A2423),,IF(ISBLANK(S2423), A2423&amp;"";"", TEXTJOIN(CHAR(10), TRUE, A2423&amp;"";"", ARRAYFORMULA(VLOOKUP(SPLIT(S2423, "";"" &amp; CHAR(10)), $A:$AO, 41, FALSE)))))"),"sts;")</f>
        <v>sts;</v>
      </c>
      <c r="AP2423" s="89"/>
    </row>
    <row r="2424">
      <c r="A2424" s="151" t="str">
        <f>IFERROR(__xludf.DUMMYFUNCTION("""COMPUTED_VALUE"""),"tranf")</f>
        <v>tranf</v>
      </c>
      <c r="B2424" s="42" t="str">
        <f>IFERROR(__xludf.DUMMYFUNCTION("""COMPUTED_VALUE"""),"DHBA")</f>
        <v>DHBA</v>
      </c>
      <c r="C2424" s="42" t="str">
        <f>IFERROR(__xludf.DUMMYFUNCTION("""COMPUTED_VALUE"""),"transverse cerebral fissure")</f>
        <v>transverse cerebral fissure</v>
      </c>
      <c r="D2424" s="42">
        <f>IFERROR(__xludf.DUMMYFUNCTION("""COMPUTED_VALUE"""),2307.0)</f>
        <v>2307</v>
      </c>
      <c r="E2424" s="39" t="str">
        <f>IFERROR(__xludf.DUMMYFUNCTION("""COMPUTED_VALUE"""),"transverse cerebral fissure")</f>
        <v>transverse cerebral fissure</v>
      </c>
      <c r="F2424" s="9" t="str">
        <f>IFERROR(__xludf.DUMMYFUNCTION("""COMPUTED_VALUE"""),"Br")</f>
        <v>Br</v>
      </c>
      <c r="G2424" s="9" t="str">
        <f>IFERROR(__xludf.DUMMYFUNCTION("""COMPUTED_VALUE"""),"F")</f>
        <v>F</v>
      </c>
      <c r="H2424" s="9" t="str">
        <f>IFERROR(__xludf.DUMMYFUNCTION("""COMPUTED_VALUE"""),"FSS")</f>
        <v>FSS</v>
      </c>
      <c r="I2424" s="9" t="str">
        <f>IFERROR(__xludf.DUMMYFUNCTION("""COMPUTED_VALUE"""),"CeS")</f>
        <v>CeS</v>
      </c>
      <c r="J2424" s="9" t="str">
        <f>IFERROR(__xludf.DUMMYFUNCTION("""COMPUTED_VALUE"""),"PriS")</f>
        <v>PriS</v>
      </c>
      <c r="K2424" s="9" t="str">
        <f>IFERROR(__xludf.DUMMYFUNCTION("""COMPUTED_VALUE"""),"tranf")</f>
        <v>tranf</v>
      </c>
      <c r="L2424" s="9"/>
      <c r="M2424" s="9"/>
      <c r="N2424" s="9"/>
      <c r="O2424" s="9"/>
      <c r="P2424" s="9"/>
      <c r="Q2424" s="9"/>
      <c r="R2424" s="9"/>
      <c r="S2424" s="42"/>
      <c r="T2424" s="42"/>
      <c r="U2424" s="42"/>
      <c r="V2424" s="42"/>
      <c r="W2424" s="42"/>
      <c r="X2424" s="42"/>
      <c r="Y2424" s="42"/>
      <c r="Z2424" s="42"/>
      <c r="AA2424" s="42"/>
      <c r="AB2424" s="42" t="str">
        <f>IFERROR(__xludf.DUMMYFUNCTION("""COMPUTED_VALUE"""),"allen institute")</f>
        <v>allen institute</v>
      </c>
      <c r="AC2424" s="42" t="str">
        <f>IFERROR(__xludf.DUMMYFUNCTION("""COMPUTED_VALUE"""),"DHBA")</f>
        <v>DHBA</v>
      </c>
      <c r="AD2424" s="42"/>
      <c r="AE2424" s="42"/>
      <c r="AF2424" s="9"/>
      <c r="AG2424" s="9"/>
      <c r="AH2424" s="42"/>
      <c r="AI2424" s="42"/>
      <c r="AJ2424" s="42"/>
      <c r="AK2424" s="42"/>
      <c r="AL2424" s="42"/>
      <c r="AM2424" s="42"/>
      <c r="AN2424" s="42"/>
      <c r="AO2424" s="63" t="str">
        <f>IFERROR(__xludf.DUMMYFUNCTION("IF(ISBLANK(A2424),,IF(ISBLANK(S2424), A2424&amp;"";"", TEXTJOIN(CHAR(10), TRUE, A2424&amp;"";"", ARRAYFORMULA(VLOOKUP(SPLIT(S2424, "";"" &amp; CHAR(10)), $A:$AO, 41, FALSE)))))"),"tranf;")</f>
        <v>tranf;</v>
      </c>
      <c r="AP2424" s="89"/>
    </row>
    <row r="2425">
      <c r="A2425" s="151" t="str">
        <f>IFERROR(__xludf.DUMMYFUNCTION("""COMPUTED_VALUE"""),"SecS")</f>
        <v>SecS</v>
      </c>
      <c r="B2425" s="42" t="str">
        <f>IFERROR(__xludf.DUMMYFUNCTION("""COMPUTED_VALUE"""),"DHBA")</f>
        <v>DHBA</v>
      </c>
      <c r="C2425" s="42" t="str">
        <f>IFERROR(__xludf.DUMMYFUNCTION("""COMPUTED_VALUE"""),"secondary sulci")</f>
        <v>secondary sulci</v>
      </c>
      <c r="D2425" s="42">
        <f>IFERROR(__xludf.DUMMYFUNCTION("""COMPUTED_VALUE"""),2308.0)</f>
        <v>2308</v>
      </c>
      <c r="E2425" s="39" t="str">
        <f>IFERROR(__xludf.DUMMYFUNCTION("""COMPUTED_VALUE"""),"secondary sulci")</f>
        <v>secondary sulci</v>
      </c>
      <c r="F2425" s="9" t="str">
        <f>IFERROR(__xludf.DUMMYFUNCTION("""COMPUTED_VALUE"""),"Br")</f>
        <v>Br</v>
      </c>
      <c r="G2425" s="9" t="str">
        <f>IFERROR(__xludf.DUMMYFUNCTION("""COMPUTED_VALUE"""),"F")</f>
        <v>F</v>
      </c>
      <c r="H2425" s="9" t="str">
        <f>IFERROR(__xludf.DUMMYFUNCTION("""COMPUTED_VALUE"""),"FSS")</f>
        <v>FSS</v>
      </c>
      <c r="I2425" s="9" t="str">
        <f>IFERROR(__xludf.DUMMYFUNCTION("""COMPUTED_VALUE"""),"CeS")</f>
        <v>CeS</v>
      </c>
      <c r="J2425" s="9" t="str">
        <f>IFERROR(__xludf.DUMMYFUNCTION("""COMPUTED_VALUE"""),"SecS")</f>
        <v>SecS</v>
      </c>
      <c r="K2425" s="9"/>
      <c r="L2425" s="9"/>
      <c r="M2425" s="9"/>
      <c r="N2425" s="9"/>
      <c r="O2425" s="9"/>
      <c r="P2425" s="9"/>
      <c r="Q2425" s="9"/>
      <c r="R2425" s="9"/>
      <c r="S2425" s="42" t="str">
        <f>IFERROR(__xludf.DUMMYFUNCTION("""COMPUTED_VALUE"""),"aos;
ascs;
csin;
ers;
fimd;
fms;
ifs;
its;
imfs;
ios;
mffs;
mos;
mligs;
lus;
mfs;
pacs;
pacis;
phligs;
pols;
prin;
poin;
poscs;
rs;
ros;
ss;
sps;
sfs;
spas;
tps;
tts;
tros;
us")</f>
        <v>aos;
ascs;
csin;
ers;
fimd;
fms;
ifs;
its;
imfs;
ios;
mffs;
mos;
mligs;
lus;
mfs;
pacs;
pacis;
phligs;
pols;
prin;
poin;
poscs;
rs;
ros;
ss;
sps;
sfs;
spas;
tps;
tts;
tros;
us</v>
      </c>
      <c r="T2425" s="42" t="str">
        <f>IFERROR(__xludf.DUMMYFUNCTION("""COMPUTED_VALUE"""),"sulcus")</f>
        <v>sulcus</v>
      </c>
      <c r="U2425" s="42" t="b">
        <f>IFERROR(__xludf.DUMMYFUNCTION("""COMPUTED_VALUE"""),FALSE)</f>
        <v>0</v>
      </c>
      <c r="V2425" s="42"/>
      <c r="W2425" s="42"/>
      <c r="X2425" s="42"/>
      <c r="Y2425" s="42"/>
      <c r="Z2425" s="42"/>
      <c r="AA2425" s="42"/>
      <c r="AB2425" s="42" t="str">
        <f>IFERROR(__xludf.DUMMYFUNCTION("""COMPUTED_VALUE"""),"allen institute")</f>
        <v>allen institute</v>
      </c>
      <c r="AC2425" s="42" t="str">
        <f>IFERROR(__xludf.DUMMYFUNCTION("""COMPUTED_VALUE"""),"DHBA")</f>
        <v>DHBA</v>
      </c>
      <c r="AD2425" s="42"/>
      <c r="AE2425" s="42"/>
      <c r="AF2425" s="9"/>
      <c r="AG2425" s="9"/>
      <c r="AH2425" s="42"/>
      <c r="AI2425" s="42"/>
      <c r="AJ2425" s="42"/>
      <c r="AK2425" s="42"/>
      <c r="AL2425" s="42"/>
      <c r="AM2425" s="42"/>
      <c r="AN2425" s="42"/>
      <c r="AO2425" s="63" t="str">
        <f>IFERROR(__xludf.DUMMYFUNCTION("IF(ISBLANK(A2425),,IF(ISBLANK(S2425), A2425&amp;"";"", TEXTJOIN(CHAR(10), TRUE, A2425&amp;"";"", ARRAYFORMULA(VLOOKUP(SPLIT(S2425, "";"" &amp; CHAR(10)), $A:$AO, 41, FALSE)))))"),"#N/A")</f>
        <v>#N/A</v>
      </c>
      <c r="AP2425" s="89"/>
    </row>
    <row r="2426">
      <c r="A2426" s="151" t="str">
        <f>IFERROR(__xludf.DUMMYFUNCTION("""COMPUTED_VALUE"""),"aos")</f>
        <v>aos</v>
      </c>
      <c r="B2426" s="42" t="str">
        <f>IFERROR(__xludf.DUMMYFUNCTION("""COMPUTED_VALUE"""),"DHBA")</f>
        <v>DHBA</v>
      </c>
      <c r="C2426" s="42" t="str">
        <f>IFERROR(__xludf.DUMMYFUNCTION("""COMPUTED_VALUE"""),"anterior occipital sulcus")</f>
        <v>anterior occipital sulcus</v>
      </c>
      <c r="D2426" s="42">
        <f>IFERROR(__xludf.DUMMYFUNCTION("""COMPUTED_VALUE"""),2309.0)</f>
        <v>2309</v>
      </c>
      <c r="E2426" s="39" t="str">
        <f>IFERROR(__xludf.DUMMYFUNCTION("""COMPUTED_VALUE"""),"anterior occipital sulcus")</f>
        <v>anterior occipital sulcus</v>
      </c>
      <c r="F2426" s="9" t="str">
        <f>IFERROR(__xludf.DUMMYFUNCTION("""COMPUTED_VALUE"""),"Br")</f>
        <v>Br</v>
      </c>
      <c r="G2426" s="9" t="str">
        <f>IFERROR(__xludf.DUMMYFUNCTION("""COMPUTED_VALUE"""),"F")</f>
        <v>F</v>
      </c>
      <c r="H2426" s="9" t="str">
        <f>IFERROR(__xludf.DUMMYFUNCTION("""COMPUTED_VALUE"""),"FSS")</f>
        <v>FSS</v>
      </c>
      <c r="I2426" s="9" t="str">
        <f>IFERROR(__xludf.DUMMYFUNCTION("""COMPUTED_VALUE"""),"CeS")</f>
        <v>CeS</v>
      </c>
      <c r="J2426" s="9" t="str">
        <f>IFERROR(__xludf.DUMMYFUNCTION("""COMPUTED_VALUE"""),"SecS")</f>
        <v>SecS</v>
      </c>
      <c r="K2426" s="9" t="str">
        <f>IFERROR(__xludf.DUMMYFUNCTION("""COMPUTED_VALUE"""),"aos")</f>
        <v>aos</v>
      </c>
      <c r="L2426" s="9"/>
      <c r="M2426" s="9"/>
      <c r="N2426" s="9"/>
      <c r="O2426" s="9"/>
      <c r="P2426" s="9"/>
      <c r="Q2426" s="9"/>
      <c r="R2426" s="9"/>
      <c r="S2426" s="42"/>
      <c r="T2426" s="42" t="str">
        <f>IFERROR(__xludf.DUMMYFUNCTION("""COMPUTED_VALUE"""),"sulcus")</f>
        <v>sulcus</v>
      </c>
      <c r="U2426" s="42" t="b">
        <f>IFERROR(__xludf.DUMMYFUNCTION("""COMPUTED_VALUE"""),FALSE)</f>
        <v>0</v>
      </c>
      <c r="V2426" s="42"/>
      <c r="W2426" s="42"/>
      <c r="X2426" s="42"/>
      <c r="Y2426" s="42"/>
      <c r="Z2426" s="42"/>
      <c r="AA2426" s="42"/>
      <c r="AB2426" s="42" t="str">
        <f>IFERROR(__xludf.DUMMYFUNCTION("""COMPUTED_VALUE"""),"allen institute")</f>
        <v>allen institute</v>
      </c>
      <c r="AC2426" s="42" t="str">
        <f>IFERROR(__xludf.DUMMYFUNCTION("""COMPUTED_VALUE"""),"DHBA")</f>
        <v>DHBA</v>
      </c>
      <c r="AD2426" s="42"/>
      <c r="AE2426" s="42"/>
      <c r="AF2426" s="9"/>
      <c r="AG2426" s="9"/>
      <c r="AH2426" s="42"/>
      <c r="AI2426" s="42"/>
      <c r="AJ2426" s="42"/>
      <c r="AK2426" s="42"/>
      <c r="AL2426" s="42"/>
      <c r="AM2426" s="42"/>
      <c r="AN2426" s="42"/>
      <c r="AO2426" s="63" t="str">
        <f>IFERROR(__xludf.DUMMYFUNCTION("IF(ISBLANK(A2426),,IF(ISBLANK(S2426), A2426&amp;"";"", TEXTJOIN(CHAR(10), TRUE, A2426&amp;"";"", ARRAYFORMULA(VLOOKUP(SPLIT(S2426, "";"" &amp; CHAR(10)), $A:$AO, 41, FALSE)))))"),"aos;")</f>
        <v>aos;</v>
      </c>
      <c r="AP2426" s="89"/>
    </row>
    <row r="2427">
      <c r="A2427" s="151" t="str">
        <f>IFERROR(__xludf.DUMMYFUNCTION("""COMPUTED_VALUE"""),"ascs")</f>
        <v>ascs</v>
      </c>
      <c r="B2427" s="42" t="str">
        <f>IFERROR(__xludf.DUMMYFUNCTION("""COMPUTED_VALUE"""),"DHBA")</f>
        <v>DHBA</v>
      </c>
      <c r="C2427" s="42" t="str">
        <f>IFERROR(__xludf.DUMMYFUNCTION("""COMPUTED_VALUE"""),"anterior subcentral sulcus")</f>
        <v>anterior subcentral sulcus</v>
      </c>
      <c r="D2427" s="42">
        <f>IFERROR(__xludf.DUMMYFUNCTION("""COMPUTED_VALUE"""),2310.0)</f>
        <v>2310</v>
      </c>
      <c r="E2427" s="39" t="str">
        <f>IFERROR(__xludf.DUMMYFUNCTION("""COMPUTED_VALUE"""),"anterior subcentral sulcus")</f>
        <v>anterior subcentral sulcus</v>
      </c>
      <c r="F2427" s="9" t="str">
        <f>IFERROR(__xludf.DUMMYFUNCTION("""COMPUTED_VALUE"""),"Br")</f>
        <v>Br</v>
      </c>
      <c r="G2427" s="9" t="str">
        <f>IFERROR(__xludf.DUMMYFUNCTION("""COMPUTED_VALUE"""),"F")</f>
        <v>F</v>
      </c>
      <c r="H2427" s="9" t="str">
        <f>IFERROR(__xludf.DUMMYFUNCTION("""COMPUTED_VALUE"""),"FSS")</f>
        <v>FSS</v>
      </c>
      <c r="I2427" s="9" t="str">
        <f>IFERROR(__xludf.DUMMYFUNCTION("""COMPUTED_VALUE"""),"CeS")</f>
        <v>CeS</v>
      </c>
      <c r="J2427" s="9" t="str">
        <f>IFERROR(__xludf.DUMMYFUNCTION("""COMPUTED_VALUE"""),"SecS")</f>
        <v>SecS</v>
      </c>
      <c r="K2427" s="9" t="str">
        <f>IFERROR(__xludf.DUMMYFUNCTION("""COMPUTED_VALUE"""),"ascs")</f>
        <v>ascs</v>
      </c>
      <c r="L2427" s="9"/>
      <c r="M2427" s="9"/>
      <c r="N2427" s="9"/>
      <c r="O2427" s="9"/>
      <c r="P2427" s="9"/>
      <c r="Q2427" s="9"/>
      <c r="R2427" s="9"/>
      <c r="S2427" s="42"/>
      <c r="T2427" s="42" t="str">
        <f>IFERROR(__xludf.DUMMYFUNCTION("""COMPUTED_VALUE"""),"sulcus")</f>
        <v>sulcus</v>
      </c>
      <c r="U2427" s="42" t="b">
        <f>IFERROR(__xludf.DUMMYFUNCTION("""COMPUTED_VALUE"""),FALSE)</f>
        <v>0</v>
      </c>
      <c r="V2427" s="42"/>
      <c r="W2427" s="42"/>
      <c r="X2427" s="42"/>
      <c r="Y2427" s="42"/>
      <c r="Z2427" s="42"/>
      <c r="AA2427" s="42"/>
      <c r="AB2427" s="42" t="str">
        <f>IFERROR(__xludf.DUMMYFUNCTION("""COMPUTED_VALUE"""),"allen institute")</f>
        <v>allen institute</v>
      </c>
      <c r="AC2427" s="42" t="str">
        <f>IFERROR(__xludf.DUMMYFUNCTION("""COMPUTED_VALUE"""),"DHBA")</f>
        <v>DHBA</v>
      </c>
      <c r="AD2427" s="42"/>
      <c r="AE2427" s="42"/>
      <c r="AF2427" s="9"/>
      <c r="AG2427" s="9"/>
      <c r="AH2427" s="42"/>
      <c r="AI2427" s="42"/>
      <c r="AJ2427" s="42"/>
      <c r="AK2427" s="42"/>
      <c r="AL2427" s="42"/>
      <c r="AM2427" s="42"/>
      <c r="AN2427" s="42"/>
      <c r="AO2427" s="63" t="str">
        <f>IFERROR(__xludf.DUMMYFUNCTION("IF(ISBLANK(A2427),,IF(ISBLANK(S2427), A2427&amp;"";"", TEXTJOIN(CHAR(10), TRUE, A2427&amp;"";"", ARRAYFORMULA(VLOOKUP(SPLIT(S2427, "";"" &amp; CHAR(10)), $A:$AO, 41, FALSE)))))"),"ascs;")</f>
        <v>ascs;</v>
      </c>
      <c r="AP2427" s="89"/>
    </row>
    <row r="2428">
      <c r="A2428" s="151" t="str">
        <f>IFERROR(__xludf.DUMMYFUNCTION("""COMPUTED_VALUE"""),"csin")</f>
        <v>csin</v>
      </c>
      <c r="B2428" s="42" t="str">
        <f>IFERROR(__xludf.DUMMYFUNCTION("""COMPUTED_VALUE"""),"DHBA")</f>
        <v>DHBA</v>
      </c>
      <c r="C2428" s="42" t="str">
        <f>IFERROR(__xludf.DUMMYFUNCTION("""COMPUTED_VALUE"""),"central sulcus of insula")</f>
        <v>central sulcus of insula</v>
      </c>
      <c r="D2428" s="42">
        <f>IFERROR(__xludf.DUMMYFUNCTION("""COMPUTED_VALUE"""),2311.0)</f>
        <v>2311</v>
      </c>
      <c r="E2428" s="39" t="str">
        <f>IFERROR(__xludf.DUMMYFUNCTION("""COMPUTED_VALUE"""),"central sulcus of insula")</f>
        <v>central sulcus of insula</v>
      </c>
      <c r="F2428" s="9" t="str">
        <f>IFERROR(__xludf.DUMMYFUNCTION("""COMPUTED_VALUE"""),"Br")</f>
        <v>Br</v>
      </c>
      <c r="G2428" s="9" t="str">
        <f>IFERROR(__xludf.DUMMYFUNCTION("""COMPUTED_VALUE"""),"F")</f>
        <v>F</v>
      </c>
      <c r="H2428" s="9" t="str">
        <f>IFERROR(__xludf.DUMMYFUNCTION("""COMPUTED_VALUE"""),"FSS")</f>
        <v>FSS</v>
      </c>
      <c r="I2428" s="9" t="str">
        <f>IFERROR(__xludf.DUMMYFUNCTION("""COMPUTED_VALUE"""),"CeS")</f>
        <v>CeS</v>
      </c>
      <c r="J2428" s="9" t="str">
        <f>IFERROR(__xludf.DUMMYFUNCTION("""COMPUTED_VALUE"""),"SecS")</f>
        <v>SecS</v>
      </c>
      <c r="K2428" s="9" t="str">
        <f>IFERROR(__xludf.DUMMYFUNCTION("""COMPUTED_VALUE"""),"csin")</f>
        <v>csin</v>
      </c>
      <c r="L2428" s="9"/>
      <c r="M2428" s="9"/>
      <c r="N2428" s="9"/>
      <c r="O2428" s="9"/>
      <c r="P2428" s="9"/>
      <c r="Q2428" s="9"/>
      <c r="R2428" s="9"/>
      <c r="S2428" s="42"/>
      <c r="T2428" s="42" t="str">
        <f>IFERROR(__xludf.DUMMYFUNCTION("""COMPUTED_VALUE"""),"sulcus")</f>
        <v>sulcus</v>
      </c>
      <c r="U2428" s="42" t="b">
        <f>IFERROR(__xludf.DUMMYFUNCTION("""COMPUTED_VALUE"""),FALSE)</f>
        <v>0</v>
      </c>
      <c r="V2428" s="42"/>
      <c r="W2428" s="42"/>
      <c r="X2428" s="42"/>
      <c r="Y2428" s="42"/>
      <c r="Z2428" s="42"/>
      <c r="AA2428" s="42"/>
      <c r="AB2428" s="42" t="str">
        <f>IFERROR(__xludf.DUMMYFUNCTION("""COMPUTED_VALUE"""),"allen institute")</f>
        <v>allen institute</v>
      </c>
      <c r="AC2428" s="42" t="str">
        <f>IFERROR(__xludf.DUMMYFUNCTION("""COMPUTED_VALUE"""),"DHBA")</f>
        <v>DHBA</v>
      </c>
      <c r="AD2428" s="42"/>
      <c r="AE2428" s="42"/>
      <c r="AF2428" s="9"/>
      <c r="AG2428" s="9"/>
      <c r="AH2428" s="42"/>
      <c r="AI2428" s="42"/>
      <c r="AJ2428" s="42"/>
      <c r="AK2428" s="42"/>
      <c r="AL2428" s="42"/>
      <c r="AM2428" s="42"/>
      <c r="AN2428" s="42"/>
      <c r="AO2428" s="63" t="str">
        <f>IFERROR(__xludf.DUMMYFUNCTION("IF(ISBLANK(A2428),,IF(ISBLANK(S2428), A2428&amp;"";"", TEXTJOIN(CHAR(10), TRUE, A2428&amp;"";"", ARRAYFORMULA(VLOOKUP(SPLIT(S2428, "";"" &amp; CHAR(10)), $A:$AO, 41, FALSE)))))"),"csin;")</f>
        <v>csin;</v>
      </c>
      <c r="AP2428" s="89"/>
    </row>
    <row r="2429">
      <c r="A2429" s="151" t="str">
        <f>IFERROR(__xludf.DUMMYFUNCTION("""COMPUTED_VALUE"""),"ers")</f>
        <v>ers</v>
      </c>
      <c r="B2429" s="42" t="str">
        <f>IFERROR(__xludf.DUMMYFUNCTION("""COMPUTED_VALUE"""),"DHBA")</f>
        <v>DHBA</v>
      </c>
      <c r="C2429" s="42" t="str">
        <f>IFERROR(__xludf.DUMMYFUNCTION("""COMPUTED_VALUE"""),"endorhinal sulcus")</f>
        <v>endorhinal sulcus</v>
      </c>
      <c r="D2429" s="42">
        <f>IFERROR(__xludf.DUMMYFUNCTION("""COMPUTED_VALUE"""),2312.0)</f>
        <v>2312</v>
      </c>
      <c r="E2429" s="39" t="str">
        <f>IFERROR(__xludf.DUMMYFUNCTION("""COMPUTED_VALUE"""),"endorhinal sulcus")</f>
        <v>endorhinal sulcus</v>
      </c>
      <c r="F2429" s="9" t="str">
        <f>IFERROR(__xludf.DUMMYFUNCTION("""COMPUTED_VALUE"""),"Br")</f>
        <v>Br</v>
      </c>
      <c r="G2429" s="9" t="str">
        <f>IFERROR(__xludf.DUMMYFUNCTION("""COMPUTED_VALUE"""),"F")</f>
        <v>F</v>
      </c>
      <c r="H2429" s="9" t="str">
        <f>IFERROR(__xludf.DUMMYFUNCTION("""COMPUTED_VALUE"""),"FSS")</f>
        <v>FSS</v>
      </c>
      <c r="I2429" s="9" t="str">
        <f>IFERROR(__xludf.DUMMYFUNCTION("""COMPUTED_VALUE"""),"CeS")</f>
        <v>CeS</v>
      </c>
      <c r="J2429" s="9" t="str">
        <f>IFERROR(__xludf.DUMMYFUNCTION("""COMPUTED_VALUE"""),"SecS")</f>
        <v>SecS</v>
      </c>
      <c r="K2429" s="9" t="str">
        <f>IFERROR(__xludf.DUMMYFUNCTION("""COMPUTED_VALUE"""),"ers")</f>
        <v>ers</v>
      </c>
      <c r="L2429" s="9"/>
      <c r="M2429" s="9"/>
      <c r="N2429" s="9"/>
      <c r="O2429" s="9"/>
      <c r="P2429" s="9"/>
      <c r="Q2429" s="9"/>
      <c r="R2429" s="9"/>
      <c r="S2429" s="42"/>
      <c r="T2429" s="42"/>
      <c r="U2429" s="42"/>
      <c r="V2429" s="42"/>
      <c r="W2429" s="42"/>
      <c r="X2429" s="42"/>
      <c r="Y2429" s="42"/>
      <c r="Z2429" s="42"/>
      <c r="AA2429" s="42"/>
      <c r="AB2429" s="42" t="str">
        <f>IFERROR(__xludf.DUMMYFUNCTION("""COMPUTED_VALUE"""),"allen institute")</f>
        <v>allen institute</v>
      </c>
      <c r="AC2429" s="42" t="str">
        <f>IFERROR(__xludf.DUMMYFUNCTION("""COMPUTED_VALUE"""),"DHBA")</f>
        <v>DHBA</v>
      </c>
      <c r="AD2429" s="42"/>
      <c r="AE2429" s="42"/>
      <c r="AF2429" s="9"/>
      <c r="AG2429" s="9"/>
      <c r="AH2429" s="42"/>
      <c r="AI2429" s="42"/>
      <c r="AJ2429" s="42"/>
      <c r="AK2429" s="42"/>
      <c r="AL2429" s="42"/>
      <c r="AM2429" s="42"/>
      <c r="AN2429" s="42"/>
      <c r="AO2429" s="63" t="str">
        <f>IFERROR(__xludf.DUMMYFUNCTION("IF(ISBLANK(A2429),,IF(ISBLANK(S2429), A2429&amp;"";"", TEXTJOIN(CHAR(10), TRUE, A2429&amp;"";"", ARRAYFORMULA(VLOOKUP(SPLIT(S2429, "";"" &amp; CHAR(10)), $A:$AO, 41, FALSE)))))"),"ers;")</f>
        <v>ers;</v>
      </c>
      <c r="AP2429" s="89"/>
    </row>
    <row r="2430">
      <c r="A2430" s="151" t="str">
        <f>IFERROR(__xludf.DUMMYFUNCTION("""COMPUTED_VALUE"""),"fimd")</f>
        <v>fimd</v>
      </c>
      <c r="B2430" s="42" t="str">
        <f>IFERROR(__xludf.DUMMYFUNCTION("""COMPUTED_VALUE"""),"DHBA")</f>
        <v>DHBA</v>
      </c>
      <c r="C2430" s="42" t="str">
        <f>IFERROR(__xludf.DUMMYFUNCTION("""COMPUTED_VALUE"""),"fimbriodentate sulcus")</f>
        <v>fimbriodentate sulcus</v>
      </c>
      <c r="D2430" s="42">
        <f>IFERROR(__xludf.DUMMYFUNCTION("""COMPUTED_VALUE"""),2313.0)</f>
        <v>2313</v>
      </c>
      <c r="E2430" s="39" t="str">
        <f>IFERROR(__xludf.DUMMYFUNCTION("""COMPUTED_VALUE"""),"fimbriodentate sulcus")</f>
        <v>fimbriodentate sulcus</v>
      </c>
      <c r="F2430" s="9" t="str">
        <f>IFERROR(__xludf.DUMMYFUNCTION("""COMPUTED_VALUE"""),"Br")</f>
        <v>Br</v>
      </c>
      <c r="G2430" s="9" t="str">
        <f>IFERROR(__xludf.DUMMYFUNCTION("""COMPUTED_VALUE"""),"F")</f>
        <v>F</v>
      </c>
      <c r="H2430" s="9" t="str">
        <f>IFERROR(__xludf.DUMMYFUNCTION("""COMPUTED_VALUE"""),"FSS")</f>
        <v>FSS</v>
      </c>
      <c r="I2430" s="9" t="str">
        <f>IFERROR(__xludf.DUMMYFUNCTION("""COMPUTED_VALUE"""),"CeS")</f>
        <v>CeS</v>
      </c>
      <c r="J2430" s="9" t="str">
        <f>IFERROR(__xludf.DUMMYFUNCTION("""COMPUTED_VALUE"""),"SecS")</f>
        <v>SecS</v>
      </c>
      <c r="K2430" s="9" t="str">
        <f>IFERROR(__xludf.DUMMYFUNCTION("""COMPUTED_VALUE"""),"fimd")</f>
        <v>fimd</v>
      </c>
      <c r="L2430" s="9"/>
      <c r="M2430" s="9"/>
      <c r="N2430" s="9"/>
      <c r="O2430" s="9"/>
      <c r="P2430" s="9"/>
      <c r="Q2430" s="9"/>
      <c r="R2430" s="9"/>
      <c r="S2430" s="42"/>
      <c r="T2430" s="42" t="str">
        <f>IFERROR(__xludf.DUMMYFUNCTION("""COMPUTED_VALUE"""),"sulcus")</f>
        <v>sulcus</v>
      </c>
      <c r="U2430" s="42" t="b">
        <f>IFERROR(__xludf.DUMMYFUNCTION("""COMPUTED_VALUE"""),FALSE)</f>
        <v>0</v>
      </c>
      <c r="V2430" s="42"/>
      <c r="W2430" s="42"/>
      <c r="X2430" s="42"/>
      <c r="Y2430" s="42"/>
      <c r="Z2430" s="42"/>
      <c r="AA2430" s="42"/>
      <c r="AB2430" s="42" t="str">
        <f>IFERROR(__xludf.DUMMYFUNCTION("""COMPUTED_VALUE"""),"allen institute")</f>
        <v>allen institute</v>
      </c>
      <c r="AC2430" s="42" t="str">
        <f>IFERROR(__xludf.DUMMYFUNCTION("""COMPUTED_VALUE"""),"DHBA")</f>
        <v>DHBA</v>
      </c>
      <c r="AD2430" s="42"/>
      <c r="AE2430" s="42"/>
      <c r="AF2430" s="9"/>
      <c r="AG2430" s="9"/>
      <c r="AH2430" s="42"/>
      <c r="AI2430" s="42"/>
      <c r="AJ2430" s="42"/>
      <c r="AK2430" s="42"/>
      <c r="AL2430" s="42"/>
      <c r="AM2430" s="42"/>
      <c r="AN2430" s="42"/>
      <c r="AO2430" s="63" t="str">
        <f>IFERROR(__xludf.DUMMYFUNCTION("IF(ISBLANK(A2430),,IF(ISBLANK(S2430), A2430&amp;"";"", TEXTJOIN(CHAR(10), TRUE, A2430&amp;"";"", ARRAYFORMULA(VLOOKUP(SPLIT(S2430, "";"" &amp; CHAR(10)), $A:$AO, 41, FALSE)))))"),"fimd;")</f>
        <v>fimd;</v>
      </c>
      <c r="AP2430" s="89"/>
    </row>
    <row r="2431">
      <c r="A2431" s="151" t="str">
        <f>IFERROR(__xludf.DUMMYFUNCTION("""COMPUTED_VALUE"""),"fms")</f>
        <v>fms</v>
      </c>
      <c r="B2431" s="42" t="str">
        <f>IFERROR(__xludf.DUMMYFUNCTION("""COMPUTED_VALUE"""),"DHBA")</f>
        <v>DHBA</v>
      </c>
      <c r="C2431" s="42" t="str">
        <f>IFERROR(__xludf.DUMMYFUNCTION("""COMPUTED_VALUE"""),"frontomarginal sulcus")</f>
        <v>frontomarginal sulcus</v>
      </c>
      <c r="D2431" s="42">
        <f>IFERROR(__xludf.DUMMYFUNCTION("""COMPUTED_VALUE"""),2314.0)</f>
        <v>2314</v>
      </c>
      <c r="E2431" s="39" t="str">
        <f>IFERROR(__xludf.DUMMYFUNCTION("""COMPUTED_VALUE"""),"frontomarginal sulcus")</f>
        <v>frontomarginal sulcus</v>
      </c>
      <c r="F2431" s="9" t="str">
        <f>IFERROR(__xludf.DUMMYFUNCTION("""COMPUTED_VALUE"""),"Br")</f>
        <v>Br</v>
      </c>
      <c r="G2431" s="9" t="str">
        <f>IFERROR(__xludf.DUMMYFUNCTION("""COMPUTED_VALUE"""),"F")</f>
        <v>F</v>
      </c>
      <c r="H2431" s="9" t="str">
        <f>IFERROR(__xludf.DUMMYFUNCTION("""COMPUTED_VALUE"""),"FSS")</f>
        <v>FSS</v>
      </c>
      <c r="I2431" s="9" t="str">
        <f>IFERROR(__xludf.DUMMYFUNCTION("""COMPUTED_VALUE"""),"CeS")</f>
        <v>CeS</v>
      </c>
      <c r="J2431" s="9" t="str">
        <f>IFERROR(__xludf.DUMMYFUNCTION("""COMPUTED_VALUE"""),"SecS")</f>
        <v>SecS</v>
      </c>
      <c r="K2431" s="9" t="str">
        <f>IFERROR(__xludf.DUMMYFUNCTION("""COMPUTED_VALUE"""),"fms")</f>
        <v>fms</v>
      </c>
      <c r="L2431" s="9"/>
      <c r="M2431" s="9"/>
      <c r="N2431" s="9"/>
      <c r="O2431" s="9"/>
      <c r="P2431" s="9"/>
      <c r="Q2431" s="9"/>
      <c r="R2431" s="9"/>
      <c r="S2431" s="42"/>
      <c r="T2431" s="42" t="str">
        <f>IFERROR(__xludf.DUMMYFUNCTION("""COMPUTED_VALUE"""),"sulcus")</f>
        <v>sulcus</v>
      </c>
      <c r="U2431" s="42" t="b">
        <f>IFERROR(__xludf.DUMMYFUNCTION("""COMPUTED_VALUE"""),FALSE)</f>
        <v>0</v>
      </c>
      <c r="V2431" s="42"/>
      <c r="W2431" s="42"/>
      <c r="X2431" s="42"/>
      <c r="Y2431" s="42"/>
      <c r="Z2431" s="42"/>
      <c r="AA2431" s="42"/>
      <c r="AB2431" s="42" t="str">
        <f>IFERROR(__xludf.DUMMYFUNCTION("""COMPUTED_VALUE"""),"allen institute")</f>
        <v>allen institute</v>
      </c>
      <c r="AC2431" s="42" t="str">
        <f>IFERROR(__xludf.DUMMYFUNCTION("""COMPUTED_VALUE"""),"DHBA")</f>
        <v>DHBA</v>
      </c>
      <c r="AD2431" s="42"/>
      <c r="AE2431" s="42"/>
      <c r="AF2431" s="9"/>
      <c r="AG2431" s="9"/>
      <c r="AH2431" s="42"/>
      <c r="AI2431" s="42"/>
      <c r="AJ2431" s="42"/>
      <c r="AK2431" s="42"/>
      <c r="AL2431" s="42"/>
      <c r="AM2431" s="42"/>
      <c r="AN2431" s="42"/>
      <c r="AO2431" s="63" t="str">
        <f>IFERROR(__xludf.DUMMYFUNCTION("IF(ISBLANK(A2431),,IF(ISBLANK(S2431), A2431&amp;"";"", TEXTJOIN(CHAR(10), TRUE, A2431&amp;"";"", ARRAYFORMULA(VLOOKUP(SPLIT(S2431, "";"" &amp; CHAR(10)), $A:$AO, 41, FALSE)))))"),"fms;")</f>
        <v>fms;</v>
      </c>
      <c r="AP2431" s="89"/>
    </row>
    <row r="2432">
      <c r="A2432" s="151" t="str">
        <f>IFERROR(__xludf.DUMMYFUNCTION("""COMPUTED_VALUE"""),"ifs")</f>
        <v>ifs</v>
      </c>
      <c r="B2432" s="42" t="str">
        <f>IFERROR(__xludf.DUMMYFUNCTION("""COMPUTED_VALUE"""),"DHBA")</f>
        <v>DHBA</v>
      </c>
      <c r="C2432" s="42" t="str">
        <f>IFERROR(__xludf.DUMMYFUNCTION("""COMPUTED_VALUE"""),"inferior frontal sulcus")</f>
        <v>inferior frontal sulcus</v>
      </c>
      <c r="D2432" s="42">
        <f>IFERROR(__xludf.DUMMYFUNCTION("""COMPUTED_VALUE"""),2315.0)</f>
        <v>2315</v>
      </c>
      <c r="E2432" s="39" t="str">
        <f>IFERROR(__xludf.DUMMYFUNCTION("""COMPUTED_VALUE"""),"inferior frontal sulcus")</f>
        <v>inferior frontal sulcus</v>
      </c>
      <c r="F2432" s="9" t="str">
        <f>IFERROR(__xludf.DUMMYFUNCTION("""COMPUTED_VALUE"""),"Br")</f>
        <v>Br</v>
      </c>
      <c r="G2432" s="9" t="str">
        <f>IFERROR(__xludf.DUMMYFUNCTION("""COMPUTED_VALUE"""),"F")</f>
        <v>F</v>
      </c>
      <c r="H2432" s="9" t="str">
        <f>IFERROR(__xludf.DUMMYFUNCTION("""COMPUTED_VALUE"""),"FSS")</f>
        <v>FSS</v>
      </c>
      <c r="I2432" s="9" t="str">
        <f>IFERROR(__xludf.DUMMYFUNCTION("""COMPUTED_VALUE"""),"CeS")</f>
        <v>CeS</v>
      </c>
      <c r="J2432" s="9" t="str">
        <f>IFERROR(__xludf.DUMMYFUNCTION("""COMPUTED_VALUE"""),"SecS")</f>
        <v>SecS</v>
      </c>
      <c r="K2432" s="9" t="str">
        <f>IFERROR(__xludf.DUMMYFUNCTION("""COMPUTED_VALUE"""),"ifs")</f>
        <v>ifs</v>
      </c>
      <c r="L2432" s="9"/>
      <c r="M2432" s="9"/>
      <c r="N2432" s="9"/>
      <c r="O2432" s="9"/>
      <c r="P2432" s="9"/>
      <c r="Q2432" s="9"/>
      <c r="R2432" s="9"/>
      <c r="S2432" s="42"/>
      <c r="T2432" s="42" t="str">
        <f>IFERROR(__xludf.DUMMYFUNCTION("""COMPUTED_VALUE"""),"sulcus")</f>
        <v>sulcus</v>
      </c>
      <c r="U2432" s="42" t="b">
        <f>IFERROR(__xludf.DUMMYFUNCTION("""COMPUTED_VALUE"""),FALSE)</f>
        <v>0</v>
      </c>
      <c r="V2432" s="42"/>
      <c r="W2432" s="42"/>
      <c r="X2432" s="42"/>
      <c r="Y2432" s="42"/>
      <c r="Z2432" s="42"/>
      <c r="AA2432" s="42"/>
      <c r="AB2432" s="42" t="str">
        <f>IFERROR(__xludf.DUMMYFUNCTION("""COMPUTED_VALUE"""),"allen institute")</f>
        <v>allen institute</v>
      </c>
      <c r="AC2432" s="42" t="str">
        <f>IFERROR(__xludf.DUMMYFUNCTION("""COMPUTED_VALUE"""),"DHBA")</f>
        <v>DHBA</v>
      </c>
      <c r="AD2432" s="42"/>
      <c r="AE2432" s="42"/>
      <c r="AF2432" s="9"/>
      <c r="AG2432" s="9"/>
      <c r="AH2432" s="42"/>
      <c r="AI2432" s="42"/>
      <c r="AJ2432" s="42"/>
      <c r="AK2432" s="42"/>
      <c r="AL2432" s="42"/>
      <c r="AM2432" s="42"/>
      <c r="AN2432" s="42"/>
      <c r="AO2432" s="63" t="str">
        <f>IFERROR(__xludf.DUMMYFUNCTION("IF(ISBLANK(A2432),,IF(ISBLANK(S2432), A2432&amp;"";"", TEXTJOIN(CHAR(10), TRUE, A2432&amp;"";"", ARRAYFORMULA(VLOOKUP(SPLIT(S2432, "";"" &amp; CHAR(10)), $A:$AO, 41, FALSE)))))"),"ifs;")</f>
        <v>ifs;</v>
      </c>
      <c r="AP2432" s="89"/>
    </row>
    <row r="2433">
      <c r="A2433" s="151" t="str">
        <f>IFERROR(__xludf.DUMMYFUNCTION("""COMPUTED_VALUE"""),"its")</f>
        <v>its</v>
      </c>
      <c r="B2433" s="42" t="str">
        <f>IFERROR(__xludf.DUMMYFUNCTION("""COMPUTED_VALUE"""),"DHBA")</f>
        <v>DHBA</v>
      </c>
      <c r="C2433" s="42" t="str">
        <f>IFERROR(__xludf.DUMMYFUNCTION("""COMPUTED_VALUE"""),"inferior temporal sulcus")</f>
        <v>inferior temporal sulcus</v>
      </c>
      <c r="D2433" s="42">
        <f>IFERROR(__xludf.DUMMYFUNCTION("""COMPUTED_VALUE"""),2316.0)</f>
        <v>2316</v>
      </c>
      <c r="E2433" s="39" t="str">
        <f>IFERROR(__xludf.DUMMYFUNCTION("""COMPUTED_VALUE"""),"inferior temporal sulcus")</f>
        <v>inferior temporal sulcus</v>
      </c>
      <c r="F2433" s="9" t="str">
        <f>IFERROR(__xludf.DUMMYFUNCTION("""COMPUTED_VALUE"""),"Br")</f>
        <v>Br</v>
      </c>
      <c r="G2433" s="9" t="str">
        <f>IFERROR(__xludf.DUMMYFUNCTION("""COMPUTED_VALUE"""),"F")</f>
        <v>F</v>
      </c>
      <c r="H2433" s="9" t="str">
        <f>IFERROR(__xludf.DUMMYFUNCTION("""COMPUTED_VALUE"""),"FSS")</f>
        <v>FSS</v>
      </c>
      <c r="I2433" s="9" t="str">
        <f>IFERROR(__xludf.DUMMYFUNCTION("""COMPUTED_VALUE"""),"CeS")</f>
        <v>CeS</v>
      </c>
      <c r="J2433" s="9" t="str">
        <f>IFERROR(__xludf.DUMMYFUNCTION("""COMPUTED_VALUE"""),"SecS")</f>
        <v>SecS</v>
      </c>
      <c r="K2433" s="9" t="str">
        <f>IFERROR(__xludf.DUMMYFUNCTION("""COMPUTED_VALUE"""),"its")</f>
        <v>its</v>
      </c>
      <c r="L2433" s="9"/>
      <c r="M2433" s="9"/>
      <c r="N2433" s="9"/>
      <c r="O2433" s="9"/>
      <c r="P2433" s="9"/>
      <c r="Q2433" s="9"/>
      <c r="R2433" s="9"/>
      <c r="S2433" s="42"/>
      <c r="T2433" s="42" t="str">
        <f>IFERROR(__xludf.DUMMYFUNCTION("""COMPUTED_VALUE"""),"sulcus")</f>
        <v>sulcus</v>
      </c>
      <c r="U2433" s="42" t="b">
        <f>IFERROR(__xludf.DUMMYFUNCTION("""COMPUTED_VALUE"""),FALSE)</f>
        <v>0</v>
      </c>
      <c r="V2433" s="42"/>
      <c r="W2433" s="42"/>
      <c r="X2433" s="42"/>
      <c r="Y2433" s="42"/>
      <c r="Z2433" s="42"/>
      <c r="AA2433" s="42"/>
      <c r="AB2433" s="42" t="str">
        <f>IFERROR(__xludf.DUMMYFUNCTION("""COMPUTED_VALUE"""),"allen institute")</f>
        <v>allen institute</v>
      </c>
      <c r="AC2433" s="42" t="str">
        <f>IFERROR(__xludf.DUMMYFUNCTION("""COMPUTED_VALUE"""),"DHBA")</f>
        <v>DHBA</v>
      </c>
      <c r="AD2433" s="42"/>
      <c r="AE2433" s="42"/>
      <c r="AF2433" s="9"/>
      <c r="AG2433" s="9"/>
      <c r="AH2433" s="42"/>
      <c r="AI2433" s="42"/>
      <c r="AJ2433" s="42"/>
      <c r="AK2433" s="42"/>
      <c r="AL2433" s="42"/>
      <c r="AM2433" s="42"/>
      <c r="AN2433" s="42"/>
      <c r="AO2433" s="63" t="str">
        <f>IFERROR(__xludf.DUMMYFUNCTION("IF(ISBLANK(A2433),,IF(ISBLANK(S2433), A2433&amp;"";"", TEXTJOIN(CHAR(10), TRUE, A2433&amp;"";"", ARRAYFORMULA(VLOOKUP(SPLIT(S2433, "";"" &amp; CHAR(10)), $A:$AO, 41, FALSE)))))"),"its;")</f>
        <v>its;</v>
      </c>
      <c r="AP2433" s="89"/>
    </row>
    <row r="2434">
      <c r="A2434" s="151" t="str">
        <f>IFERROR(__xludf.DUMMYFUNCTION("""COMPUTED_VALUE"""),"imfs")</f>
        <v>imfs</v>
      </c>
      <c r="B2434" s="42" t="str">
        <f>IFERROR(__xludf.DUMMYFUNCTION("""COMPUTED_VALUE"""),"DHBA")</f>
        <v>DHBA</v>
      </c>
      <c r="C2434" s="42" t="str">
        <f>IFERROR(__xludf.DUMMYFUNCTION("""COMPUTED_VALUE"""),"intermediate frontal sulcus")</f>
        <v>intermediate frontal sulcus</v>
      </c>
      <c r="D2434" s="42">
        <f>IFERROR(__xludf.DUMMYFUNCTION("""COMPUTED_VALUE"""),2317.0)</f>
        <v>2317</v>
      </c>
      <c r="E2434" s="39" t="str">
        <f>IFERROR(__xludf.DUMMYFUNCTION("""COMPUTED_VALUE"""),"intermediate frontal sulcus")</f>
        <v>intermediate frontal sulcus</v>
      </c>
      <c r="F2434" s="9" t="str">
        <f>IFERROR(__xludf.DUMMYFUNCTION("""COMPUTED_VALUE"""),"Br")</f>
        <v>Br</v>
      </c>
      <c r="G2434" s="9" t="str">
        <f>IFERROR(__xludf.DUMMYFUNCTION("""COMPUTED_VALUE"""),"F")</f>
        <v>F</v>
      </c>
      <c r="H2434" s="9" t="str">
        <f>IFERROR(__xludf.DUMMYFUNCTION("""COMPUTED_VALUE"""),"FSS")</f>
        <v>FSS</v>
      </c>
      <c r="I2434" s="9" t="str">
        <f>IFERROR(__xludf.DUMMYFUNCTION("""COMPUTED_VALUE"""),"CeS")</f>
        <v>CeS</v>
      </c>
      <c r="J2434" s="9" t="str">
        <f>IFERROR(__xludf.DUMMYFUNCTION("""COMPUTED_VALUE"""),"SecS")</f>
        <v>SecS</v>
      </c>
      <c r="K2434" s="9" t="str">
        <f>IFERROR(__xludf.DUMMYFUNCTION("""COMPUTED_VALUE"""),"imfs")</f>
        <v>imfs</v>
      </c>
      <c r="L2434" s="9"/>
      <c r="M2434" s="9"/>
      <c r="N2434" s="9"/>
      <c r="O2434" s="9"/>
      <c r="P2434" s="9"/>
      <c r="Q2434" s="9"/>
      <c r="R2434" s="9"/>
      <c r="S2434" s="42"/>
      <c r="T2434" s="42" t="str">
        <f>IFERROR(__xludf.DUMMYFUNCTION("""COMPUTED_VALUE"""),"sulcus")</f>
        <v>sulcus</v>
      </c>
      <c r="U2434" s="42" t="b">
        <f>IFERROR(__xludf.DUMMYFUNCTION("""COMPUTED_VALUE"""),FALSE)</f>
        <v>0</v>
      </c>
      <c r="V2434" s="42"/>
      <c r="W2434" s="42"/>
      <c r="X2434" s="42"/>
      <c r="Y2434" s="42"/>
      <c r="Z2434" s="42"/>
      <c r="AA2434" s="42"/>
      <c r="AB2434" s="42" t="str">
        <f>IFERROR(__xludf.DUMMYFUNCTION("""COMPUTED_VALUE"""),"allen institute")</f>
        <v>allen institute</v>
      </c>
      <c r="AC2434" s="42" t="str">
        <f>IFERROR(__xludf.DUMMYFUNCTION("""COMPUTED_VALUE"""),"DHBA")</f>
        <v>DHBA</v>
      </c>
      <c r="AD2434" s="42"/>
      <c r="AE2434" s="42"/>
      <c r="AF2434" s="9"/>
      <c r="AG2434" s="9"/>
      <c r="AH2434" s="42"/>
      <c r="AI2434" s="42"/>
      <c r="AJ2434" s="42"/>
      <c r="AK2434" s="42"/>
      <c r="AL2434" s="42"/>
      <c r="AM2434" s="42"/>
      <c r="AN2434" s="42"/>
      <c r="AO2434" s="63" t="str">
        <f>IFERROR(__xludf.DUMMYFUNCTION("IF(ISBLANK(A2434),,IF(ISBLANK(S2434), A2434&amp;"";"", TEXTJOIN(CHAR(10), TRUE, A2434&amp;"";"", ARRAYFORMULA(VLOOKUP(SPLIT(S2434, "";"" &amp; CHAR(10)), $A:$AO, 41, FALSE)))))"),"imfs;")</f>
        <v>imfs;</v>
      </c>
      <c r="AP2434" s="89"/>
    </row>
    <row r="2435">
      <c r="A2435" s="151" t="str">
        <f>IFERROR(__xludf.DUMMYFUNCTION("""COMPUTED_VALUE"""),"ios")</f>
        <v>ios</v>
      </c>
      <c r="B2435" s="42" t="str">
        <f>IFERROR(__xludf.DUMMYFUNCTION("""COMPUTED_VALUE"""),"DHBA")</f>
        <v>DHBA</v>
      </c>
      <c r="C2435" s="42" t="str">
        <f>IFERROR(__xludf.DUMMYFUNCTION("""COMPUTED_VALUE"""),"inferior occipital sulcus")</f>
        <v>inferior occipital sulcus</v>
      </c>
      <c r="D2435" s="42">
        <f>IFERROR(__xludf.DUMMYFUNCTION("""COMPUTED_VALUE"""),2318.0)</f>
        <v>2318</v>
      </c>
      <c r="E2435" s="39" t="str">
        <f>IFERROR(__xludf.DUMMYFUNCTION("""COMPUTED_VALUE"""),"inferior occipital sulcus")</f>
        <v>inferior occipital sulcus</v>
      </c>
      <c r="F2435" s="9" t="str">
        <f>IFERROR(__xludf.DUMMYFUNCTION("""COMPUTED_VALUE"""),"Br")</f>
        <v>Br</v>
      </c>
      <c r="G2435" s="9" t="str">
        <f>IFERROR(__xludf.DUMMYFUNCTION("""COMPUTED_VALUE"""),"F")</f>
        <v>F</v>
      </c>
      <c r="H2435" s="9" t="str">
        <f>IFERROR(__xludf.DUMMYFUNCTION("""COMPUTED_VALUE"""),"FSS")</f>
        <v>FSS</v>
      </c>
      <c r="I2435" s="9" t="str">
        <f>IFERROR(__xludf.DUMMYFUNCTION("""COMPUTED_VALUE"""),"CeS")</f>
        <v>CeS</v>
      </c>
      <c r="J2435" s="9" t="str">
        <f>IFERROR(__xludf.DUMMYFUNCTION("""COMPUTED_VALUE"""),"SecS")</f>
        <v>SecS</v>
      </c>
      <c r="K2435" s="9" t="str">
        <f>IFERROR(__xludf.DUMMYFUNCTION("""COMPUTED_VALUE"""),"ios")</f>
        <v>ios</v>
      </c>
      <c r="L2435" s="9"/>
      <c r="M2435" s="9"/>
      <c r="N2435" s="9"/>
      <c r="O2435" s="9"/>
      <c r="P2435" s="9"/>
      <c r="Q2435" s="9"/>
      <c r="R2435" s="9"/>
      <c r="S2435" s="42"/>
      <c r="T2435" s="42" t="str">
        <f>IFERROR(__xludf.DUMMYFUNCTION("""COMPUTED_VALUE"""),"sulcus")</f>
        <v>sulcus</v>
      </c>
      <c r="U2435" s="42" t="b">
        <f>IFERROR(__xludf.DUMMYFUNCTION("""COMPUTED_VALUE"""),FALSE)</f>
        <v>0</v>
      </c>
      <c r="V2435" s="42"/>
      <c r="W2435" s="42"/>
      <c r="X2435" s="42"/>
      <c r="Y2435" s="42"/>
      <c r="Z2435" s="42"/>
      <c r="AA2435" s="42"/>
      <c r="AB2435" s="42" t="str">
        <f>IFERROR(__xludf.DUMMYFUNCTION("""COMPUTED_VALUE"""),"allen institute")</f>
        <v>allen institute</v>
      </c>
      <c r="AC2435" s="42" t="str">
        <f>IFERROR(__xludf.DUMMYFUNCTION("""COMPUTED_VALUE"""),"DHBA")</f>
        <v>DHBA</v>
      </c>
      <c r="AD2435" s="42"/>
      <c r="AE2435" s="42"/>
      <c r="AF2435" s="9"/>
      <c r="AG2435" s="9"/>
      <c r="AH2435" s="42"/>
      <c r="AI2435" s="42"/>
      <c r="AJ2435" s="42"/>
      <c r="AK2435" s="42"/>
      <c r="AL2435" s="42"/>
      <c r="AM2435" s="42"/>
      <c r="AN2435" s="42"/>
      <c r="AO2435" s="63" t="str">
        <f>IFERROR(__xludf.DUMMYFUNCTION("IF(ISBLANK(A2435),,IF(ISBLANK(S2435), A2435&amp;"";"", TEXTJOIN(CHAR(10), TRUE, A2435&amp;"";"", ARRAYFORMULA(VLOOKUP(SPLIT(S2435, "";"" &amp; CHAR(10)), $A:$AO, 41, FALSE)))))"),"ios;")</f>
        <v>ios;</v>
      </c>
      <c r="AP2435" s="89"/>
    </row>
    <row r="2436">
      <c r="A2436" s="151" t="str">
        <f>IFERROR(__xludf.DUMMYFUNCTION("""COMPUTED_VALUE"""),"mffs")</f>
        <v>mffs</v>
      </c>
      <c r="B2436" s="42" t="str">
        <f>IFERROR(__xludf.DUMMYFUNCTION("""COMPUTED_VALUE"""),"DHBA")</f>
        <v>DHBA</v>
      </c>
      <c r="C2436" s="42" t="str">
        <f>IFERROR(__xludf.DUMMYFUNCTION("""COMPUTED_VALUE"""),"mid-fusiform sulcus")</f>
        <v>mid-fusiform sulcus</v>
      </c>
      <c r="D2436" s="42">
        <f>IFERROR(__xludf.DUMMYFUNCTION("""COMPUTED_VALUE"""),2319.0)</f>
        <v>2319</v>
      </c>
      <c r="E2436" s="39" t="str">
        <f>IFERROR(__xludf.DUMMYFUNCTION("""COMPUTED_VALUE"""),"mid-fusiform sulcus")</f>
        <v>mid-fusiform sulcus</v>
      </c>
      <c r="F2436" s="9" t="str">
        <f>IFERROR(__xludf.DUMMYFUNCTION("""COMPUTED_VALUE"""),"Br")</f>
        <v>Br</v>
      </c>
      <c r="G2436" s="9" t="str">
        <f>IFERROR(__xludf.DUMMYFUNCTION("""COMPUTED_VALUE"""),"F")</f>
        <v>F</v>
      </c>
      <c r="H2436" s="9" t="str">
        <f>IFERROR(__xludf.DUMMYFUNCTION("""COMPUTED_VALUE"""),"FSS")</f>
        <v>FSS</v>
      </c>
      <c r="I2436" s="9" t="str">
        <f>IFERROR(__xludf.DUMMYFUNCTION("""COMPUTED_VALUE"""),"CeS")</f>
        <v>CeS</v>
      </c>
      <c r="J2436" s="9" t="str">
        <f>IFERROR(__xludf.DUMMYFUNCTION("""COMPUTED_VALUE"""),"SecS")</f>
        <v>SecS</v>
      </c>
      <c r="K2436" s="9" t="str">
        <f>IFERROR(__xludf.DUMMYFUNCTION("""COMPUTED_VALUE"""),"mffs")</f>
        <v>mffs</v>
      </c>
      <c r="L2436" s="9"/>
      <c r="M2436" s="9"/>
      <c r="N2436" s="9"/>
      <c r="O2436" s="9"/>
      <c r="P2436" s="9"/>
      <c r="Q2436" s="9"/>
      <c r="R2436" s="9"/>
      <c r="S2436" s="42"/>
      <c r="T2436" s="42" t="str">
        <f>IFERROR(__xludf.DUMMYFUNCTION("""COMPUTED_VALUE"""),"sulcus")</f>
        <v>sulcus</v>
      </c>
      <c r="U2436" s="42" t="b">
        <f>IFERROR(__xludf.DUMMYFUNCTION("""COMPUTED_VALUE"""),FALSE)</f>
        <v>0</v>
      </c>
      <c r="V2436" s="42"/>
      <c r="W2436" s="42"/>
      <c r="X2436" s="42"/>
      <c r="Y2436" s="42"/>
      <c r="Z2436" s="42"/>
      <c r="AA2436" s="42"/>
      <c r="AB2436" s="42" t="str">
        <f>IFERROR(__xludf.DUMMYFUNCTION("""COMPUTED_VALUE"""),"allen institute")</f>
        <v>allen institute</v>
      </c>
      <c r="AC2436" s="42" t="str">
        <f>IFERROR(__xludf.DUMMYFUNCTION("""COMPUTED_VALUE"""),"DHBA")</f>
        <v>DHBA</v>
      </c>
      <c r="AD2436" s="42"/>
      <c r="AE2436" s="42"/>
      <c r="AF2436" s="9"/>
      <c r="AG2436" s="9"/>
      <c r="AH2436" s="42"/>
      <c r="AI2436" s="42"/>
      <c r="AJ2436" s="42"/>
      <c r="AK2436" s="42"/>
      <c r="AL2436" s="42"/>
      <c r="AM2436" s="42"/>
      <c r="AN2436" s="42"/>
      <c r="AO2436" s="63" t="str">
        <f>IFERROR(__xludf.DUMMYFUNCTION("IF(ISBLANK(A2436),,IF(ISBLANK(S2436), A2436&amp;"";"", TEXTJOIN(CHAR(10), TRUE, A2436&amp;"";"", ARRAYFORMULA(VLOOKUP(SPLIT(S2436, "";"" &amp; CHAR(10)), $A:$AO, 41, FALSE)))))"),"mffs;")</f>
        <v>mffs;</v>
      </c>
      <c r="AP2436" s="89"/>
    </row>
    <row r="2437">
      <c r="A2437" s="151" t="str">
        <f>IFERROR(__xludf.DUMMYFUNCTION("""COMPUTED_VALUE"""),"mos")</f>
        <v>mos</v>
      </c>
      <c r="B2437" s="42" t="str">
        <f>IFERROR(__xludf.DUMMYFUNCTION("""COMPUTED_VALUE"""),"DHBA")</f>
        <v>DHBA</v>
      </c>
      <c r="C2437" s="42" t="str">
        <f>IFERROR(__xludf.DUMMYFUNCTION("""COMPUTED_VALUE"""),"middle (lateral) occipital sulcus")</f>
        <v>middle (lateral) occipital sulcus</v>
      </c>
      <c r="D2437" s="42">
        <f>IFERROR(__xludf.DUMMYFUNCTION("""COMPUTED_VALUE"""),2320.0)</f>
        <v>2320</v>
      </c>
      <c r="E2437" s="39" t="str">
        <f>IFERROR(__xludf.DUMMYFUNCTION("""COMPUTED_VALUE"""),"middle (lateral) occipital sulcus")</f>
        <v>middle (lateral) occipital sulcus</v>
      </c>
      <c r="F2437" s="9" t="str">
        <f>IFERROR(__xludf.DUMMYFUNCTION("""COMPUTED_VALUE"""),"Br")</f>
        <v>Br</v>
      </c>
      <c r="G2437" s="9" t="str">
        <f>IFERROR(__xludf.DUMMYFUNCTION("""COMPUTED_VALUE"""),"F")</f>
        <v>F</v>
      </c>
      <c r="H2437" s="9" t="str">
        <f>IFERROR(__xludf.DUMMYFUNCTION("""COMPUTED_VALUE"""),"FSS")</f>
        <v>FSS</v>
      </c>
      <c r="I2437" s="9" t="str">
        <f>IFERROR(__xludf.DUMMYFUNCTION("""COMPUTED_VALUE"""),"CeS")</f>
        <v>CeS</v>
      </c>
      <c r="J2437" s="9" t="str">
        <f>IFERROR(__xludf.DUMMYFUNCTION("""COMPUTED_VALUE"""),"SecS")</f>
        <v>SecS</v>
      </c>
      <c r="K2437" s="9" t="str">
        <f>IFERROR(__xludf.DUMMYFUNCTION("""COMPUTED_VALUE"""),"mos")</f>
        <v>mos</v>
      </c>
      <c r="L2437" s="9"/>
      <c r="M2437" s="9"/>
      <c r="N2437" s="9"/>
      <c r="O2437" s="9"/>
      <c r="P2437" s="9"/>
      <c r="Q2437" s="9"/>
      <c r="R2437" s="9"/>
      <c r="S2437" s="42"/>
      <c r="T2437" s="42" t="str">
        <f>IFERROR(__xludf.DUMMYFUNCTION("""COMPUTED_VALUE"""),"sulcus")</f>
        <v>sulcus</v>
      </c>
      <c r="U2437" s="42" t="b">
        <f>IFERROR(__xludf.DUMMYFUNCTION("""COMPUTED_VALUE"""),FALSE)</f>
        <v>0</v>
      </c>
      <c r="V2437" s="42"/>
      <c r="W2437" s="42"/>
      <c r="X2437" s="42"/>
      <c r="Y2437" s="42"/>
      <c r="Z2437" s="42"/>
      <c r="AA2437" s="42"/>
      <c r="AB2437" s="42" t="str">
        <f>IFERROR(__xludf.DUMMYFUNCTION("""COMPUTED_VALUE"""),"allen institute")</f>
        <v>allen institute</v>
      </c>
      <c r="AC2437" s="42" t="str">
        <f>IFERROR(__xludf.DUMMYFUNCTION("""COMPUTED_VALUE"""),"DHBA")</f>
        <v>DHBA</v>
      </c>
      <c r="AD2437" s="42"/>
      <c r="AE2437" s="42"/>
      <c r="AF2437" s="9"/>
      <c r="AG2437" s="9"/>
      <c r="AH2437" s="42"/>
      <c r="AI2437" s="42"/>
      <c r="AJ2437" s="42"/>
      <c r="AK2437" s="42"/>
      <c r="AL2437" s="42"/>
      <c r="AM2437" s="42"/>
      <c r="AN2437" s="42"/>
      <c r="AO2437" s="63" t="str">
        <f>IFERROR(__xludf.DUMMYFUNCTION("IF(ISBLANK(A2437),,IF(ISBLANK(S2437), A2437&amp;"";"", TEXTJOIN(CHAR(10), TRUE, A2437&amp;"";"", ARRAYFORMULA(VLOOKUP(SPLIT(S2437, "";"" &amp; CHAR(10)), $A:$AO, 41, FALSE)))))"),"mos;")</f>
        <v>mos;</v>
      </c>
      <c r="AP2437" s="89"/>
    </row>
    <row r="2438">
      <c r="A2438" s="151" t="str">
        <f>IFERROR(__xludf.DUMMYFUNCTION("""COMPUTED_VALUE"""),"mligs")</f>
        <v>mligs</v>
      </c>
      <c r="B2438" s="42" t="str">
        <f>IFERROR(__xludf.DUMMYFUNCTION("""COMPUTED_VALUE"""),"DHBA")</f>
        <v>DHBA</v>
      </c>
      <c r="C2438" s="42" t="str">
        <f>IFERROR(__xludf.DUMMYFUNCTION("""COMPUTED_VALUE"""),"mid-lingual sulcus")</f>
        <v>mid-lingual sulcus</v>
      </c>
      <c r="D2438" s="42">
        <f>IFERROR(__xludf.DUMMYFUNCTION("""COMPUTED_VALUE"""),2321.0)</f>
        <v>2321</v>
      </c>
      <c r="E2438" s="39" t="str">
        <f>IFERROR(__xludf.DUMMYFUNCTION("""COMPUTED_VALUE"""),"mid-lingual sulcus")</f>
        <v>mid-lingual sulcus</v>
      </c>
      <c r="F2438" s="9" t="str">
        <f>IFERROR(__xludf.DUMMYFUNCTION("""COMPUTED_VALUE"""),"Br")</f>
        <v>Br</v>
      </c>
      <c r="G2438" s="9" t="str">
        <f>IFERROR(__xludf.DUMMYFUNCTION("""COMPUTED_VALUE"""),"F")</f>
        <v>F</v>
      </c>
      <c r="H2438" s="9" t="str">
        <f>IFERROR(__xludf.DUMMYFUNCTION("""COMPUTED_VALUE"""),"FSS")</f>
        <v>FSS</v>
      </c>
      <c r="I2438" s="9" t="str">
        <f>IFERROR(__xludf.DUMMYFUNCTION("""COMPUTED_VALUE"""),"CeS")</f>
        <v>CeS</v>
      </c>
      <c r="J2438" s="9" t="str">
        <f>IFERROR(__xludf.DUMMYFUNCTION("""COMPUTED_VALUE"""),"SecS")</f>
        <v>SecS</v>
      </c>
      <c r="K2438" s="9" t="str">
        <f>IFERROR(__xludf.DUMMYFUNCTION("""COMPUTED_VALUE"""),"mligs")</f>
        <v>mligs</v>
      </c>
      <c r="L2438" s="9"/>
      <c r="M2438" s="9"/>
      <c r="N2438" s="9"/>
      <c r="O2438" s="9"/>
      <c r="P2438" s="9"/>
      <c r="Q2438" s="9"/>
      <c r="R2438" s="9"/>
      <c r="S2438" s="42"/>
      <c r="T2438" s="42" t="str">
        <f>IFERROR(__xludf.DUMMYFUNCTION("""COMPUTED_VALUE"""),"sulcus")</f>
        <v>sulcus</v>
      </c>
      <c r="U2438" s="42" t="b">
        <f>IFERROR(__xludf.DUMMYFUNCTION("""COMPUTED_VALUE"""),FALSE)</f>
        <v>0</v>
      </c>
      <c r="V2438" s="42"/>
      <c r="W2438" s="42"/>
      <c r="X2438" s="42"/>
      <c r="Y2438" s="42"/>
      <c r="Z2438" s="42"/>
      <c r="AA2438" s="42"/>
      <c r="AB2438" s="42" t="str">
        <f>IFERROR(__xludf.DUMMYFUNCTION("""COMPUTED_VALUE"""),"allen institute")</f>
        <v>allen institute</v>
      </c>
      <c r="AC2438" s="42" t="str">
        <f>IFERROR(__xludf.DUMMYFUNCTION("""COMPUTED_VALUE"""),"DHBA")</f>
        <v>DHBA</v>
      </c>
      <c r="AD2438" s="42"/>
      <c r="AE2438" s="42"/>
      <c r="AF2438" s="9"/>
      <c r="AG2438" s="9"/>
      <c r="AH2438" s="42"/>
      <c r="AI2438" s="42"/>
      <c r="AJ2438" s="42"/>
      <c r="AK2438" s="42"/>
      <c r="AL2438" s="42"/>
      <c r="AM2438" s="42"/>
      <c r="AN2438" s="42"/>
      <c r="AO2438" s="63" t="str">
        <f>IFERROR(__xludf.DUMMYFUNCTION("IF(ISBLANK(A2438),,IF(ISBLANK(S2438), A2438&amp;"";"", TEXTJOIN(CHAR(10), TRUE, A2438&amp;"";"", ARRAYFORMULA(VLOOKUP(SPLIT(S2438, "";"" &amp; CHAR(10)), $A:$AO, 41, FALSE)))))"),"mligs;")</f>
        <v>mligs;</v>
      </c>
      <c r="AP2438" s="89"/>
    </row>
    <row r="2439">
      <c r="A2439" s="151" t="str">
        <f>IFERROR(__xludf.DUMMYFUNCTION("""COMPUTED_VALUE"""),"lus")</f>
        <v>lus</v>
      </c>
      <c r="B2439" s="42" t="str">
        <f>IFERROR(__xludf.DUMMYFUNCTION("""COMPUTED_VALUE"""),"DHBA")</f>
        <v>DHBA</v>
      </c>
      <c r="C2439" s="42" t="str">
        <f>IFERROR(__xludf.DUMMYFUNCTION("""COMPUTED_VALUE"""),"lunate sulcus")</f>
        <v>lunate sulcus</v>
      </c>
      <c r="D2439" s="42">
        <f>IFERROR(__xludf.DUMMYFUNCTION("""COMPUTED_VALUE"""),2322.0)</f>
        <v>2322</v>
      </c>
      <c r="E2439" s="39" t="str">
        <f>IFERROR(__xludf.DUMMYFUNCTION("""COMPUTED_VALUE"""),"lunate sulcus")</f>
        <v>lunate sulcus</v>
      </c>
      <c r="F2439" s="9" t="str">
        <f>IFERROR(__xludf.DUMMYFUNCTION("""COMPUTED_VALUE"""),"Br")</f>
        <v>Br</v>
      </c>
      <c r="G2439" s="9" t="str">
        <f>IFERROR(__xludf.DUMMYFUNCTION("""COMPUTED_VALUE"""),"F")</f>
        <v>F</v>
      </c>
      <c r="H2439" s="9" t="str">
        <f>IFERROR(__xludf.DUMMYFUNCTION("""COMPUTED_VALUE"""),"FSS")</f>
        <v>FSS</v>
      </c>
      <c r="I2439" s="9" t="str">
        <f>IFERROR(__xludf.DUMMYFUNCTION("""COMPUTED_VALUE"""),"CeS")</f>
        <v>CeS</v>
      </c>
      <c r="J2439" s="9" t="str">
        <f>IFERROR(__xludf.DUMMYFUNCTION("""COMPUTED_VALUE"""),"SecS")</f>
        <v>SecS</v>
      </c>
      <c r="K2439" s="9" t="str">
        <f>IFERROR(__xludf.DUMMYFUNCTION("""COMPUTED_VALUE"""),"lus")</f>
        <v>lus</v>
      </c>
      <c r="L2439" s="9"/>
      <c r="M2439" s="9"/>
      <c r="N2439" s="9"/>
      <c r="O2439" s="9"/>
      <c r="P2439" s="9"/>
      <c r="Q2439" s="9"/>
      <c r="R2439" s="9"/>
      <c r="S2439" s="42"/>
      <c r="T2439" s="42" t="str">
        <f>IFERROR(__xludf.DUMMYFUNCTION("""COMPUTED_VALUE"""),"sulcus")</f>
        <v>sulcus</v>
      </c>
      <c r="U2439" s="42" t="b">
        <f>IFERROR(__xludf.DUMMYFUNCTION("""COMPUTED_VALUE"""),FALSE)</f>
        <v>0</v>
      </c>
      <c r="V2439" s="42"/>
      <c r="W2439" s="42"/>
      <c r="X2439" s="42"/>
      <c r="Y2439" s="42"/>
      <c r="Z2439" s="42"/>
      <c r="AA2439" s="42"/>
      <c r="AB2439" s="42" t="str">
        <f>IFERROR(__xludf.DUMMYFUNCTION("""COMPUTED_VALUE"""),"allen institute")</f>
        <v>allen institute</v>
      </c>
      <c r="AC2439" s="42" t="str">
        <f>IFERROR(__xludf.DUMMYFUNCTION("""COMPUTED_VALUE"""),"DHBA")</f>
        <v>DHBA</v>
      </c>
      <c r="AD2439" s="42"/>
      <c r="AE2439" s="42"/>
      <c r="AF2439" s="9"/>
      <c r="AG2439" s="9"/>
      <c r="AH2439" s="42"/>
      <c r="AI2439" s="42"/>
      <c r="AJ2439" s="42"/>
      <c r="AK2439" s="42"/>
      <c r="AL2439" s="42"/>
      <c r="AM2439" s="42"/>
      <c r="AN2439" s="42"/>
      <c r="AO2439" s="63" t="str">
        <f>IFERROR(__xludf.DUMMYFUNCTION("IF(ISBLANK(A2439),,IF(ISBLANK(S2439), A2439&amp;"";"", TEXTJOIN(CHAR(10), TRUE, A2439&amp;"";"", ARRAYFORMULA(VLOOKUP(SPLIT(S2439, "";"" &amp; CHAR(10)), $A:$AO, 41, FALSE)))))"),"lus;")</f>
        <v>lus;</v>
      </c>
      <c r="AP2439" s="89"/>
    </row>
    <row r="2440">
      <c r="A2440" s="151" t="str">
        <f>IFERROR(__xludf.DUMMYFUNCTION("""COMPUTED_VALUE"""),"mfs")</f>
        <v>mfs</v>
      </c>
      <c r="B2440" s="42" t="str">
        <f>IFERROR(__xludf.DUMMYFUNCTION("""COMPUTED_VALUE"""),"DHBA")</f>
        <v>DHBA</v>
      </c>
      <c r="C2440" s="42" t="str">
        <f>IFERROR(__xludf.DUMMYFUNCTION("""COMPUTED_VALUE"""),"medial frontal sulcus")</f>
        <v>medial frontal sulcus</v>
      </c>
      <c r="D2440" s="42">
        <f>IFERROR(__xludf.DUMMYFUNCTION("""COMPUTED_VALUE"""),2323.0)</f>
        <v>2323</v>
      </c>
      <c r="E2440" s="39" t="str">
        <f>IFERROR(__xludf.DUMMYFUNCTION("""COMPUTED_VALUE"""),"medial frontal sulcus")</f>
        <v>medial frontal sulcus</v>
      </c>
      <c r="F2440" s="9" t="str">
        <f>IFERROR(__xludf.DUMMYFUNCTION("""COMPUTED_VALUE"""),"Br")</f>
        <v>Br</v>
      </c>
      <c r="G2440" s="9" t="str">
        <f>IFERROR(__xludf.DUMMYFUNCTION("""COMPUTED_VALUE"""),"F")</f>
        <v>F</v>
      </c>
      <c r="H2440" s="9" t="str">
        <f>IFERROR(__xludf.DUMMYFUNCTION("""COMPUTED_VALUE"""),"FSS")</f>
        <v>FSS</v>
      </c>
      <c r="I2440" s="9" t="str">
        <f>IFERROR(__xludf.DUMMYFUNCTION("""COMPUTED_VALUE"""),"CeS")</f>
        <v>CeS</v>
      </c>
      <c r="J2440" s="9" t="str">
        <f>IFERROR(__xludf.DUMMYFUNCTION("""COMPUTED_VALUE"""),"SecS")</f>
        <v>SecS</v>
      </c>
      <c r="K2440" s="9" t="str">
        <f>IFERROR(__xludf.DUMMYFUNCTION("""COMPUTED_VALUE"""),"mfs")</f>
        <v>mfs</v>
      </c>
      <c r="L2440" s="9"/>
      <c r="M2440" s="9"/>
      <c r="N2440" s="9"/>
      <c r="O2440" s="9"/>
      <c r="P2440" s="9"/>
      <c r="Q2440" s="9"/>
      <c r="R2440" s="9"/>
      <c r="S2440" s="42"/>
      <c r="T2440" s="42" t="str">
        <f>IFERROR(__xludf.DUMMYFUNCTION("""COMPUTED_VALUE"""),"sulcus")</f>
        <v>sulcus</v>
      </c>
      <c r="U2440" s="42" t="b">
        <f>IFERROR(__xludf.DUMMYFUNCTION("""COMPUTED_VALUE"""),FALSE)</f>
        <v>0</v>
      </c>
      <c r="V2440" s="42"/>
      <c r="W2440" s="42"/>
      <c r="X2440" s="42"/>
      <c r="Y2440" s="42"/>
      <c r="Z2440" s="42"/>
      <c r="AA2440" s="42"/>
      <c r="AB2440" s="42" t="str">
        <f>IFERROR(__xludf.DUMMYFUNCTION("""COMPUTED_VALUE"""),"allen institute")</f>
        <v>allen institute</v>
      </c>
      <c r="AC2440" s="42" t="str">
        <f>IFERROR(__xludf.DUMMYFUNCTION("""COMPUTED_VALUE"""),"DHBA")</f>
        <v>DHBA</v>
      </c>
      <c r="AD2440" s="42"/>
      <c r="AE2440" s="42"/>
      <c r="AF2440" s="9"/>
      <c r="AG2440" s="9"/>
      <c r="AH2440" s="42"/>
      <c r="AI2440" s="42"/>
      <c r="AJ2440" s="42"/>
      <c r="AK2440" s="42"/>
      <c r="AL2440" s="42"/>
      <c r="AM2440" s="42"/>
      <c r="AN2440" s="42"/>
      <c r="AO2440" s="63" t="str">
        <f>IFERROR(__xludf.DUMMYFUNCTION("IF(ISBLANK(A2440),,IF(ISBLANK(S2440), A2440&amp;"";"", TEXTJOIN(CHAR(10), TRUE, A2440&amp;"";"", ARRAYFORMULA(VLOOKUP(SPLIT(S2440, "";"" &amp; CHAR(10)), $A:$AO, 41, FALSE)))))"),"mfs;")</f>
        <v>mfs;</v>
      </c>
      <c r="AP2440" s="89"/>
    </row>
    <row r="2441">
      <c r="A2441" s="151" t="str">
        <f>IFERROR(__xludf.DUMMYFUNCTION("""COMPUTED_VALUE"""),"pacs")</f>
        <v>pacs</v>
      </c>
      <c r="B2441" s="42" t="str">
        <f>IFERROR(__xludf.DUMMYFUNCTION("""COMPUTED_VALUE"""),"DHBA")</f>
        <v>DHBA</v>
      </c>
      <c r="C2441" s="42" t="str">
        <f>IFERROR(__xludf.DUMMYFUNCTION("""COMPUTED_VALUE"""),"paracentral sulcus")</f>
        <v>paracentral sulcus</v>
      </c>
      <c r="D2441" s="42">
        <f>IFERROR(__xludf.DUMMYFUNCTION("""COMPUTED_VALUE"""),2324.0)</f>
        <v>2324</v>
      </c>
      <c r="E2441" s="39" t="str">
        <f>IFERROR(__xludf.DUMMYFUNCTION("""COMPUTED_VALUE"""),"paracentral sulcus")</f>
        <v>paracentral sulcus</v>
      </c>
      <c r="F2441" s="9" t="str">
        <f>IFERROR(__xludf.DUMMYFUNCTION("""COMPUTED_VALUE"""),"Br")</f>
        <v>Br</v>
      </c>
      <c r="G2441" s="9" t="str">
        <f>IFERROR(__xludf.DUMMYFUNCTION("""COMPUTED_VALUE"""),"F")</f>
        <v>F</v>
      </c>
      <c r="H2441" s="9" t="str">
        <f>IFERROR(__xludf.DUMMYFUNCTION("""COMPUTED_VALUE"""),"FSS")</f>
        <v>FSS</v>
      </c>
      <c r="I2441" s="9" t="str">
        <f>IFERROR(__xludf.DUMMYFUNCTION("""COMPUTED_VALUE"""),"CeS")</f>
        <v>CeS</v>
      </c>
      <c r="J2441" s="9" t="str">
        <f>IFERROR(__xludf.DUMMYFUNCTION("""COMPUTED_VALUE"""),"SecS")</f>
        <v>SecS</v>
      </c>
      <c r="K2441" s="9" t="str">
        <f>IFERROR(__xludf.DUMMYFUNCTION("""COMPUTED_VALUE"""),"pacs")</f>
        <v>pacs</v>
      </c>
      <c r="L2441" s="9"/>
      <c r="M2441" s="9"/>
      <c r="N2441" s="9"/>
      <c r="O2441" s="9"/>
      <c r="P2441" s="9"/>
      <c r="Q2441" s="9"/>
      <c r="R2441" s="9"/>
      <c r="S2441" s="42"/>
      <c r="T2441" s="42" t="str">
        <f>IFERROR(__xludf.DUMMYFUNCTION("""COMPUTED_VALUE"""),"sulcus")</f>
        <v>sulcus</v>
      </c>
      <c r="U2441" s="42" t="b">
        <f>IFERROR(__xludf.DUMMYFUNCTION("""COMPUTED_VALUE"""),FALSE)</f>
        <v>0</v>
      </c>
      <c r="V2441" s="42"/>
      <c r="W2441" s="42"/>
      <c r="X2441" s="42"/>
      <c r="Y2441" s="42"/>
      <c r="Z2441" s="42"/>
      <c r="AA2441" s="42"/>
      <c r="AB2441" s="42" t="str">
        <f>IFERROR(__xludf.DUMMYFUNCTION("""COMPUTED_VALUE"""),"allen institute")</f>
        <v>allen institute</v>
      </c>
      <c r="AC2441" s="42" t="str">
        <f>IFERROR(__xludf.DUMMYFUNCTION("""COMPUTED_VALUE"""),"DHBA")</f>
        <v>DHBA</v>
      </c>
      <c r="AD2441" s="42"/>
      <c r="AE2441" s="42"/>
      <c r="AF2441" s="9"/>
      <c r="AG2441" s="9"/>
      <c r="AH2441" s="42"/>
      <c r="AI2441" s="42"/>
      <c r="AJ2441" s="42"/>
      <c r="AK2441" s="42"/>
      <c r="AL2441" s="42"/>
      <c r="AM2441" s="42"/>
      <c r="AN2441" s="42"/>
      <c r="AO2441" s="63" t="str">
        <f>IFERROR(__xludf.DUMMYFUNCTION("IF(ISBLANK(A2441),,IF(ISBLANK(S2441), A2441&amp;"";"", TEXTJOIN(CHAR(10), TRUE, A2441&amp;"";"", ARRAYFORMULA(VLOOKUP(SPLIT(S2441, "";"" &amp; CHAR(10)), $A:$AO, 41, FALSE)))))"),"pacs;")</f>
        <v>pacs;</v>
      </c>
      <c r="AP2441" s="89"/>
    </row>
    <row r="2442">
      <c r="A2442" s="151" t="str">
        <f>IFERROR(__xludf.DUMMYFUNCTION("""COMPUTED_VALUE"""),"pacis")</f>
        <v>pacis</v>
      </c>
      <c r="B2442" s="42" t="str">
        <f>IFERROR(__xludf.DUMMYFUNCTION("""COMPUTED_VALUE"""),"DHBA")</f>
        <v>DHBA</v>
      </c>
      <c r="C2442" s="42" t="str">
        <f>IFERROR(__xludf.DUMMYFUNCTION("""COMPUTED_VALUE"""),"paracingulate sulcus")</f>
        <v>paracingulate sulcus</v>
      </c>
      <c r="D2442" s="42">
        <f>IFERROR(__xludf.DUMMYFUNCTION("""COMPUTED_VALUE"""),2325.0)</f>
        <v>2325</v>
      </c>
      <c r="E2442" s="39" t="str">
        <f>IFERROR(__xludf.DUMMYFUNCTION("""COMPUTED_VALUE"""),"paracingulate sulcus")</f>
        <v>paracingulate sulcus</v>
      </c>
      <c r="F2442" s="9" t="str">
        <f>IFERROR(__xludf.DUMMYFUNCTION("""COMPUTED_VALUE"""),"Br")</f>
        <v>Br</v>
      </c>
      <c r="G2442" s="9" t="str">
        <f>IFERROR(__xludf.DUMMYFUNCTION("""COMPUTED_VALUE"""),"F")</f>
        <v>F</v>
      </c>
      <c r="H2442" s="9" t="str">
        <f>IFERROR(__xludf.DUMMYFUNCTION("""COMPUTED_VALUE"""),"FSS")</f>
        <v>FSS</v>
      </c>
      <c r="I2442" s="9" t="str">
        <f>IFERROR(__xludf.DUMMYFUNCTION("""COMPUTED_VALUE"""),"CeS")</f>
        <v>CeS</v>
      </c>
      <c r="J2442" s="9" t="str">
        <f>IFERROR(__xludf.DUMMYFUNCTION("""COMPUTED_VALUE"""),"SecS")</f>
        <v>SecS</v>
      </c>
      <c r="K2442" s="9" t="str">
        <f>IFERROR(__xludf.DUMMYFUNCTION("""COMPUTED_VALUE"""),"pacis")</f>
        <v>pacis</v>
      </c>
      <c r="L2442" s="9"/>
      <c r="M2442" s="9"/>
      <c r="N2442" s="9"/>
      <c r="O2442" s="9"/>
      <c r="P2442" s="9"/>
      <c r="Q2442" s="9"/>
      <c r="R2442" s="9"/>
      <c r="S2442" s="42"/>
      <c r="T2442" s="42" t="str">
        <f>IFERROR(__xludf.DUMMYFUNCTION("""COMPUTED_VALUE"""),"sulcus")</f>
        <v>sulcus</v>
      </c>
      <c r="U2442" s="42" t="b">
        <f>IFERROR(__xludf.DUMMYFUNCTION("""COMPUTED_VALUE"""),FALSE)</f>
        <v>0</v>
      </c>
      <c r="V2442" s="42"/>
      <c r="W2442" s="42"/>
      <c r="X2442" s="42"/>
      <c r="Y2442" s="42"/>
      <c r="Z2442" s="42"/>
      <c r="AA2442" s="42"/>
      <c r="AB2442" s="42" t="str">
        <f>IFERROR(__xludf.DUMMYFUNCTION("""COMPUTED_VALUE"""),"allen institute")</f>
        <v>allen institute</v>
      </c>
      <c r="AC2442" s="42" t="str">
        <f>IFERROR(__xludf.DUMMYFUNCTION("""COMPUTED_VALUE"""),"DHBA")</f>
        <v>DHBA</v>
      </c>
      <c r="AD2442" s="42"/>
      <c r="AE2442" s="42"/>
      <c r="AF2442" s="9"/>
      <c r="AG2442" s="9"/>
      <c r="AH2442" s="42"/>
      <c r="AI2442" s="42"/>
      <c r="AJ2442" s="42"/>
      <c r="AK2442" s="42"/>
      <c r="AL2442" s="42"/>
      <c r="AM2442" s="42"/>
      <c r="AN2442" s="42"/>
      <c r="AO2442" s="63" t="str">
        <f>IFERROR(__xludf.DUMMYFUNCTION("IF(ISBLANK(A2442),,IF(ISBLANK(S2442), A2442&amp;"";"", TEXTJOIN(CHAR(10), TRUE, A2442&amp;"";"", ARRAYFORMULA(VLOOKUP(SPLIT(S2442, "";"" &amp; CHAR(10)), $A:$AO, 41, FALSE)))))"),"pacis;")</f>
        <v>pacis;</v>
      </c>
      <c r="AP2442" s="89"/>
    </row>
    <row r="2443">
      <c r="A2443" s="151" t="str">
        <f>IFERROR(__xludf.DUMMYFUNCTION("""COMPUTED_VALUE"""),"phligs")</f>
        <v>phligs</v>
      </c>
      <c r="B2443" s="42" t="str">
        <f>IFERROR(__xludf.DUMMYFUNCTION("""COMPUTED_VALUE"""),"DHBA")</f>
        <v>DHBA</v>
      </c>
      <c r="C2443" s="42" t="str">
        <f>IFERROR(__xludf.DUMMYFUNCTION("""COMPUTED_VALUE"""),"parahippocampo-ligual sulcus")</f>
        <v>parahippocampo-ligual sulcus</v>
      </c>
      <c r="D2443" s="42">
        <f>IFERROR(__xludf.DUMMYFUNCTION("""COMPUTED_VALUE"""),2326.0)</f>
        <v>2326</v>
      </c>
      <c r="E2443" s="39" t="str">
        <f>IFERROR(__xludf.DUMMYFUNCTION("""COMPUTED_VALUE"""),"parahippocampo-ligual sulcus")</f>
        <v>parahippocampo-ligual sulcus</v>
      </c>
      <c r="F2443" s="9" t="str">
        <f>IFERROR(__xludf.DUMMYFUNCTION("""COMPUTED_VALUE"""),"Br")</f>
        <v>Br</v>
      </c>
      <c r="G2443" s="9" t="str">
        <f>IFERROR(__xludf.DUMMYFUNCTION("""COMPUTED_VALUE"""),"F")</f>
        <v>F</v>
      </c>
      <c r="H2443" s="9" t="str">
        <f>IFERROR(__xludf.DUMMYFUNCTION("""COMPUTED_VALUE"""),"FSS")</f>
        <v>FSS</v>
      </c>
      <c r="I2443" s="9" t="str">
        <f>IFERROR(__xludf.DUMMYFUNCTION("""COMPUTED_VALUE"""),"CeS")</f>
        <v>CeS</v>
      </c>
      <c r="J2443" s="9" t="str">
        <f>IFERROR(__xludf.DUMMYFUNCTION("""COMPUTED_VALUE"""),"SecS")</f>
        <v>SecS</v>
      </c>
      <c r="K2443" s="9" t="str">
        <f>IFERROR(__xludf.DUMMYFUNCTION("""COMPUTED_VALUE"""),"phligs")</f>
        <v>phligs</v>
      </c>
      <c r="L2443" s="9"/>
      <c r="M2443" s="9"/>
      <c r="N2443" s="9"/>
      <c r="O2443" s="9"/>
      <c r="P2443" s="9"/>
      <c r="Q2443" s="9"/>
      <c r="R2443" s="9"/>
      <c r="S2443" s="42"/>
      <c r="T2443" s="42" t="str">
        <f>IFERROR(__xludf.DUMMYFUNCTION("""COMPUTED_VALUE"""),"sulcus")</f>
        <v>sulcus</v>
      </c>
      <c r="U2443" s="42" t="b">
        <f>IFERROR(__xludf.DUMMYFUNCTION("""COMPUTED_VALUE"""),FALSE)</f>
        <v>0</v>
      </c>
      <c r="V2443" s="42"/>
      <c r="W2443" s="42"/>
      <c r="X2443" s="42"/>
      <c r="Y2443" s="42"/>
      <c r="Z2443" s="42"/>
      <c r="AA2443" s="42"/>
      <c r="AB2443" s="42" t="str">
        <f>IFERROR(__xludf.DUMMYFUNCTION("""COMPUTED_VALUE"""),"allen institute")</f>
        <v>allen institute</v>
      </c>
      <c r="AC2443" s="42" t="str">
        <f>IFERROR(__xludf.DUMMYFUNCTION("""COMPUTED_VALUE"""),"DHBA")</f>
        <v>DHBA</v>
      </c>
      <c r="AD2443" s="42"/>
      <c r="AE2443" s="42"/>
      <c r="AF2443" s="9"/>
      <c r="AG2443" s="9"/>
      <c r="AH2443" s="42"/>
      <c r="AI2443" s="42"/>
      <c r="AJ2443" s="42"/>
      <c r="AK2443" s="42"/>
      <c r="AL2443" s="42"/>
      <c r="AM2443" s="42"/>
      <c r="AN2443" s="42"/>
      <c r="AO2443" s="63" t="str">
        <f>IFERROR(__xludf.DUMMYFUNCTION("IF(ISBLANK(A2443),,IF(ISBLANK(S2443), A2443&amp;"";"", TEXTJOIN(CHAR(10), TRUE, A2443&amp;"";"", ARRAYFORMULA(VLOOKUP(SPLIT(S2443, "";"" &amp; CHAR(10)), $A:$AO, 41, FALSE)))))"),"phligs;")</f>
        <v>phligs;</v>
      </c>
      <c r="AP2443" s="89"/>
    </row>
    <row r="2444">
      <c r="A2444" s="151" t="str">
        <f>IFERROR(__xludf.DUMMYFUNCTION("""COMPUTED_VALUE"""),"pols")</f>
        <v>pols</v>
      </c>
      <c r="B2444" s="42" t="str">
        <f>IFERROR(__xludf.DUMMYFUNCTION("""COMPUTED_VALUE"""),"DHBA")</f>
        <v>DHBA</v>
      </c>
      <c r="C2444" s="42" t="str">
        <f>IFERROR(__xludf.DUMMYFUNCTION("""COMPUTED_VALUE"""),"parolfactory sulcus")</f>
        <v>parolfactory sulcus</v>
      </c>
      <c r="D2444" s="42">
        <f>IFERROR(__xludf.DUMMYFUNCTION("""COMPUTED_VALUE"""),2327.0)</f>
        <v>2327</v>
      </c>
      <c r="E2444" s="39" t="str">
        <f>IFERROR(__xludf.DUMMYFUNCTION("""COMPUTED_VALUE"""),"parolfactory sulcus")</f>
        <v>parolfactory sulcus</v>
      </c>
      <c r="F2444" s="9" t="str">
        <f>IFERROR(__xludf.DUMMYFUNCTION("""COMPUTED_VALUE"""),"Br")</f>
        <v>Br</v>
      </c>
      <c r="G2444" s="9" t="str">
        <f>IFERROR(__xludf.DUMMYFUNCTION("""COMPUTED_VALUE"""),"F")</f>
        <v>F</v>
      </c>
      <c r="H2444" s="9" t="str">
        <f>IFERROR(__xludf.DUMMYFUNCTION("""COMPUTED_VALUE"""),"FSS")</f>
        <v>FSS</v>
      </c>
      <c r="I2444" s="9" t="str">
        <f>IFERROR(__xludf.DUMMYFUNCTION("""COMPUTED_VALUE"""),"CeS")</f>
        <v>CeS</v>
      </c>
      <c r="J2444" s="9" t="str">
        <f>IFERROR(__xludf.DUMMYFUNCTION("""COMPUTED_VALUE"""),"SecS")</f>
        <v>SecS</v>
      </c>
      <c r="K2444" s="9" t="str">
        <f>IFERROR(__xludf.DUMMYFUNCTION("""COMPUTED_VALUE"""),"pols")</f>
        <v>pols</v>
      </c>
      <c r="L2444" s="9"/>
      <c r="M2444" s="9"/>
      <c r="N2444" s="9"/>
      <c r="O2444" s="9"/>
      <c r="P2444" s="9"/>
      <c r="Q2444" s="9"/>
      <c r="R2444" s="9"/>
      <c r="S2444" s="42" t="str">
        <f>IFERROR(__xludf.DUMMYFUNCTION("""COMPUTED_VALUE"""),"pols_r;
pols_c")</f>
        <v>pols_r;
pols_c</v>
      </c>
      <c r="T2444" s="42" t="str">
        <f>IFERROR(__xludf.DUMMYFUNCTION("""COMPUTED_VALUE"""),"sulcus")</f>
        <v>sulcus</v>
      </c>
      <c r="U2444" s="42" t="b">
        <f>IFERROR(__xludf.DUMMYFUNCTION("""COMPUTED_VALUE"""),FALSE)</f>
        <v>0</v>
      </c>
      <c r="V2444" s="42"/>
      <c r="W2444" s="42"/>
      <c r="X2444" s="42"/>
      <c r="Y2444" s="42"/>
      <c r="Z2444" s="42"/>
      <c r="AA2444" s="42"/>
      <c r="AB2444" s="42" t="str">
        <f>IFERROR(__xludf.DUMMYFUNCTION("""COMPUTED_VALUE"""),"allen institute")</f>
        <v>allen institute</v>
      </c>
      <c r="AC2444" s="42" t="str">
        <f>IFERROR(__xludf.DUMMYFUNCTION("""COMPUTED_VALUE"""),"DHBA")</f>
        <v>DHBA</v>
      </c>
      <c r="AD2444" s="42"/>
      <c r="AE2444" s="42"/>
      <c r="AF2444" s="9"/>
      <c r="AG2444" s="9"/>
      <c r="AH2444" s="42"/>
      <c r="AI2444" s="42"/>
      <c r="AJ2444" s="42"/>
      <c r="AK2444" s="42"/>
      <c r="AL2444" s="42"/>
      <c r="AM2444" s="42"/>
      <c r="AN2444" s="42"/>
      <c r="AO2444" s="63" t="str">
        <f>IFERROR(__xludf.DUMMYFUNCTION("IF(ISBLANK(A2444),,IF(ISBLANK(S2444), A2444&amp;"";"", TEXTJOIN(CHAR(10), TRUE, A2444&amp;"";"", ARRAYFORMULA(VLOOKUP(SPLIT(S2444, "";"" &amp; CHAR(10)), $A:$AO, 41, FALSE)))))"),"#N/A")</f>
        <v>#N/A</v>
      </c>
      <c r="AP2444" s="89"/>
    </row>
    <row r="2445">
      <c r="A2445" s="151" t="str">
        <f>IFERROR(__xludf.DUMMYFUNCTION("""COMPUTED_VALUE"""),"pols-r")</f>
        <v>pols-r</v>
      </c>
      <c r="B2445" s="42" t="str">
        <f>IFERROR(__xludf.DUMMYFUNCTION("""COMPUTED_VALUE"""),"DHBA")</f>
        <v>DHBA</v>
      </c>
      <c r="C2445" s="42" t="str">
        <f>IFERROR(__xludf.DUMMYFUNCTION("""COMPUTED_VALUE"""),"rostral parolfactory sulcus")</f>
        <v>rostral parolfactory sulcus</v>
      </c>
      <c r="D2445" s="42">
        <f>IFERROR(__xludf.DUMMYFUNCTION("""COMPUTED_VALUE"""),2328.0)</f>
        <v>2328</v>
      </c>
      <c r="E2445" s="39" t="str">
        <f>IFERROR(__xludf.DUMMYFUNCTION("""COMPUTED_VALUE"""),"rostral parolfactory sulcus")</f>
        <v>rostral parolfactory sulcus</v>
      </c>
      <c r="F2445" s="9" t="str">
        <f>IFERROR(__xludf.DUMMYFUNCTION("""COMPUTED_VALUE"""),"Br")</f>
        <v>Br</v>
      </c>
      <c r="G2445" s="9" t="str">
        <f>IFERROR(__xludf.DUMMYFUNCTION("""COMPUTED_VALUE"""),"F")</f>
        <v>F</v>
      </c>
      <c r="H2445" s="9" t="str">
        <f>IFERROR(__xludf.DUMMYFUNCTION("""COMPUTED_VALUE"""),"FSS")</f>
        <v>FSS</v>
      </c>
      <c r="I2445" s="9" t="str">
        <f>IFERROR(__xludf.DUMMYFUNCTION("""COMPUTED_VALUE"""),"CeS")</f>
        <v>CeS</v>
      </c>
      <c r="J2445" s="9" t="str">
        <f>IFERROR(__xludf.DUMMYFUNCTION("""COMPUTED_VALUE"""),"SecS")</f>
        <v>SecS</v>
      </c>
      <c r="K2445" s="9" t="str">
        <f>IFERROR(__xludf.DUMMYFUNCTION("""COMPUTED_VALUE"""),"pols")</f>
        <v>pols</v>
      </c>
      <c r="L2445" s="9" t="str">
        <f>IFERROR(__xludf.DUMMYFUNCTION("""COMPUTED_VALUE"""),"pols-r")</f>
        <v>pols-r</v>
      </c>
      <c r="M2445" s="9"/>
      <c r="N2445" s="9"/>
      <c r="O2445" s="9"/>
      <c r="P2445" s="9"/>
      <c r="Q2445" s="9"/>
      <c r="R2445" s="9"/>
      <c r="S2445" s="42"/>
      <c r="T2445" s="42" t="str">
        <f>IFERROR(__xludf.DUMMYFUNCTION("""COMPUTED_VALUE"""),"sulcus")</f>
        <v>sulcus</v>
      </c>
      <c r="U2445" s="42" t="b">
        <f>IFERROR(__xludf.DUMMYFUNCTION("""COMPUTED_VALUE"""),FALSE)</f>
        <v>0</v>
      </c>
      <c r="V2445" s="42"/>
      <c r="W2445" s="42"/>
      <c r="X2445" s="42"/>
      <c r="Y2445" s="42"/>
      <c r="Z2445" s="42"/>
      <c r="AA2445" s="42"/>
      <c r="AB2445" s="42" t="str">
        <f>IFERROR(__xludf.DUMMYFUNCTION("""COMPUTED_VALUE"""),"allen institute")</f>
        <v>allen institute</v>
      </c>
      <c r="AC2445" s="42" t="str">
        <f>IFERROR(__xludf.DUMMYFUNCTION("""COMPUTED_VALUE"""),"DHBA")</f>
        <v>DHBA</v>
      </c>
      <c r="AD2445" s="42"/>
      <c r="AE2445" s="42"/>
      <c r="AF2445" s="9"/>
      <c r="AG2445" s="9"/>
      <c r="AH2445" s="42"/>
      <c r="AI2445" s="42"/>
      <c r="AJ2445" s="42"/>
      <c r="AK2445" s="42"/>
      <c r="AL2445" s="42"/>
      <c r="AM2445" s="42"/>
      <c r="AN2445" s="42"/>
      <c r="AO2445" s="63" t="str">
        <f>IFERROR(__xludf.DUMMYFUNCTION("IF(ISBLANK(A2445),,IF(ISBLANK(S2445), A2445&amp;"";"", TEXTJOIN(CHAR(10), TRUE, A2445&amp;"";"", ARRAYFORMULA(VLOOKUP(SPLIT(S2445, "";"" &amp; CHAR(10)), $A:$AO, 41, FALSE)))))"),"pols-r;")</f>
        <v>pols-r;</v>
      </c>
      <c r="AP2445" s="89"/>
    </row>
    <row r="2446">
      <c r="A2446" s="151" t="str">
        <f>IFERROR(__xludf.DUMMYFUNCTION("""COMPUTED_VALUE"""),"pols-c")</f>
        <v>pols-c</v>
      </c>
      <c r="B2446" s="42" t="str">
        <f>IFERROR(__xludf.DUMMYFUNCTION("""COMPUTED_VALUE"""),"DHBA")</f>
        <v>DHBA</v>
      </c>
      <c r="C2446" s="42" t="str">
        <f>IFERROR(__xludf.DUMMYFUNCTION("""COMPUTED_VALUE"""),"caudal parolfactory sulcus")</f>
        <v>caudal parolfactory sulcus</v>
      </c>
      <c r="D2446" s="42">
        <f>IFERROR(__xludf.DUMMYFUNCTION("""COMPUTED_VALUE"""),2329.0)</f>
        <v>2329</v>
      </c>
      <c r="E2446" s="39" t="str">
        <f>IFERROR(__xludf.DUMMYFUNCTION("""COMPUTED_VALUE"""),"caudal parolfactory sulcus")</f>
        <v>caudal parolfactory sulcus</v>
      </c>
      <c r="F2446" s="9" t="str">
        <f>IFERROR(__xludf.DUMMYFUNCTION("""COMPUTED_VALUE"""),"Br")</f>
        <v>Br</v>
      </c>
      <c r="G2446" s="9" t="str">
        <f>IFERROR(__xludf.DUMMYFUNCTION("""COMPUTED_VALUE"""),"F")</f>
        <v>F</v>
      </c>
      <c r="H2446" s="9" t="str">
        <f>IFERROR(__xludf.DUMMYFUNCTION("""COMPUTED_VALUE"""),"FSS")</f>
        <v>FSS</v>
      </c>
      <c r="I2446" s="9" t="str">
        <f>IFERROR(__xludf.DUMMYFUNCTION("""COMPUTED_VALUE"""),"CeS")</f>
        <v>CeS</v>
      </c>
      <c r="J2446" s="9" t="str">
        <f>IFERROR(__xludf.DUMMYFUNCTION("""COMPUTED_VALUE"""),"SecS")</f>
        <v>SecS</v>
      </c>
      <c r="K2446" s="9" t="str">
        <f>IFERROR(__xludf.DUMMYFUNCTION("""COMPUTED_VALUE"""),"pols")</f>
        <v>pols</v>
      </c>
      <c r="L2446" s="9" t="str">
        <f>IFERROR(__xludf.DUMMYFUNCTION("""COMPUTED_VALUE"""),"pols-c")</f>
        <v>pols-c</v>
      </c>
      <c r="M2446" s="9"/>
      <c r="N2446" s="9"/>
      <c r="O2446" s="9"/>
      <c r="P2446" s="9"/>
      <c r="Q2446" s="9"/>
      <c r="R2446" s="9"/>
      <c r="S2446" s="42"/>
      <c r="T2446" s="42" t="str">
        <f>IFERROR(__xludf.DUMMYFUNCTION("""COMPUTED_VALUE"""),"sulcus")</f>
        <v>sulcus</v>
      </c>
      <c r="U2446" s="42" t="b">
        <f>IFERROR(__xludf.DUMMYFUNCTION("""COMPUTED_VALUE"""),FALSE)</f>
        <v>0</v>
      </c>
      <c r="V2446" s="42"/>
      <c r="W2446" s="42"/>
      <c r="X2446" s="42"/>
      <c r="Y2446" s="42"/>
      <c r="Z2446" s="42"/>
      <c r="AA2446" s="42"/>
      <c r="AB2446" s="42" t="str">
        <f>IFERROR(__xludf.DUMMYFUNCTION("""COMPUTED_VALUE"""),"allen institute")</f>
        <v>allen institute</v>
      </c>
      <c r="AC2446" s="42" t="str">
        <f>IFERROR(__xludf.DUMMYFUNCTION("""COMPUTED_VALUE"""),"DHBA")</f>
        <v>DHBA</v>
      </c>
      <c r="AD2446" s="42"/>
      <c r="AE2446" s="42"/>
      <c r="AF2446" s="9"/>
      <c r="AG2446" s="9"/>
      <c r="AH2446" s="42"/>
      <c r="AI2446" s="42"/>
      <c r="AJ2446" s="42"/>
      <c r="AK2446" s="42"/>
      <c r="AL2446" s="42"/>
      <c r="AM2446" s="42"/>
      <c r="AN2446" s="42"/>
      <c r="AO2446" s="63" t="str">
        <f>IFERROR(__xludf.DUMMYFUNCTION("IF(ISBLANK(A2446),,IF(ISBLANK(S2446), A2446&amp;"";"", TEXTJOIN(CHAR(10), TRUE, A2446&amp;"";"", ARRAYFORMULA(VLOOKUP(SPLIT(S2446, "";"" &amp; CHAR(10)), $A:$AO, 41, FALSE)))))"),"pols-c;")</f>
        <v>pols-c;</v>
      </c>
      <c r="AP2446" s="89"/>
    </row>
    <row r="2447">
      <c r="A2447" s="151" t="str">
        <f>IFERROR(__xludf.DUMMYFUNCTION("""COMPUTED_VALUE"""),"prin")</f>
        <v>prin</v>
      </c>
      <c r="B2447" s="42" t="str">
        <f>IFERROR(__xludf.DUMMYFUNCTION("""COMPUTED_VALUE"""),"DHBA")</f>
        <v>DHBA</v>
      </c>
      <c r="C2447" s="42" t="str">
        <f>IFERROR(__xludf.DUMMYFUNCTION("""COMPUTED_VALUE"""),"precentral sulcus of insula")</f>
        <v>precentral sulcus of insula</v>
      </c>
      <c r="D2447" s="42">
        <f>IFERROR(__xludf.DUMMYFUNCTION("""COMPUTED_VALUE"""),2330.0)</f>
        <v>2330</v>
      </c>
      <c r="E2447" s="39" t="str">
        <f>IFERROR(__xludf.DUMMYFUNCTION("""COMPUTED_VALUE"""),"precentral sulcus of insula")</f>
        <v>precentral sulcus of insula</v>
      </c>
      <c r="F2447" s="9" t="str">
        <f>IFERROR(__xludf.DUMMYFUNCTION("""COMPUTED_VALUE"""),"Br")</f>
        <v>Br</v>
      </c>
      <c r="G2447" s="9" t="str">
        <f>IFERROR(__xludf.DUMMYFUNCTION("""COMPUTED_VALUE"""),"F")</f>
        <v>F</v>
      </c>
      <c r="H2447" s="9" t="str">
        <f>IFERROR(__xludf.DUMMYFUNCTION("""COMPUTED_VALUE"""),"FSS")</f>
        <v>FSS</v>
      </c>
      <c r="I2447" s="9" t="str">
        <f>IFERROR(__xludf.DUMMYFUNCTION("""COMPUTED_VALUE"""),"CeS")</f>
        <v>CeS</v>
      </c>
      <c r="J2447" s="9" t="str">
        <f>IFERROR(__xludf.DUMMYFUNCTION("""COMPUTED_VALUE"""),"SecS")</f>
        <v>SecS</v>
      </c>
      <c r="K2447" s="9" t="str">
        <f>IFERROR(__xludf.DUMMYFUNCTION("""COMPUTED_VALUE"""),"prin")</f>
        <v>prin</v>
      </c>
      <c r="L2447" s="9"/>
      <c r="M2447" s="9"/>
      <c r="N2447" s="9"/>
      <c r="O2447" s="9"/>
      <c r="P2447" s="9"/>
      <c r="Q2447" s="9"/>
      <c r="R2447" s="9"/>
      <c r="S2447" s="42"/>
      <c r="T2447" s="42" t="str">
        <f>IFERROR(__xludf.DUMMYFUNCTION("""COMPUTED_VALUE"""),"sulcus")</f>
        <v>sulcus</v>
      </c>
      <c r="U2447" s="42" t="b">
        <f>IFERROR(__xludf.DUMMYFUNCTION("""COMPUTED_VALUE"""),FALSE)</f>
        <v>0</v>
      </c>
      <c r="V2447" s="42"/>
      <c r="W2447" s="42"/>
      <c r="X2447" s="42"/>
      <c r="Y2447" s="42"/>
      <c r="Z2447" s="42"/>
      <c r="AA2447" s="42"/>
      <c r="AB2447" s="42" t="str">
        <f>IFERROR(__xludf.DUMMYFUNCTION("""COMPUTED_VALUE"""),"allen institute")</f>
        <v>allen institute</v>
      </c>
      <c r="AC2447" s="42" t="str">
        <f>IFERROR(__xludf.DUMMYFUNCTION("""COMPUTED_VALUE"""),"DHBA")</f>
        <v>DHBA</v>
      </c>
      <c r="AD2447" s="42"/>
      <c r="AE2447" s="42"/>
      <c r="AF2447" s="9"/>
      <c r="AG2447" s="9"/>
      <c r="AH2447" s="42"/>
      <c r="AI2447" s="42"/>
      <c r="AJ2447" s="42"/>
      <c r="AK2447" s="42"/>
      <c r="AL2447" s="42"/>
      <c r="AM2447" s="42"/>
      <c r="AN2447" s="42"/>
      <c r="AO2447" s="63" t="str">
        <f>IFERROR(__xludf.DUMMYFUNCTION("IF(ISBLANK(A2447),,IF(ISBLANK(S2447), A2447&amp;"";"", TEXTJOIN(CHAR(10), TRUE, A2447&amp;"";"", ARRAYFORMULA(VLOOKUP(SPLIT(S2447, "";"" &amp; CHAR(10)), $A:$AO, 41, FALSE)))))"),"prin;")</f>
        <v>prin;</v>
      </c>
      <c r="AP2447" s="89"/>
    </row>
    <row r="2448">
      <c r="A2448" s="151" t="str">
        <f>IFERROR(__xludf.DUMMYFUNCTION("""COMPUTED_VALUE"""),"poin")</f>
        <v>poin</v>
      </c>
      <c r="B2448" s="42" t="str">
        <f>IFERROR(__xludf.DUMMYFUNCTION("""COMPUTED_VALUE"""),"DHBA")</f>
        <v>DHBA</v>
      </c>
      <c r="C2448" s="42" t="str">
        <f>IFERROR(__xludf.DUMMYFUNCTION("""COMPUTED_VALUE"""),"postcentral sulcus of insula")</f>
        <v>postcentral sulcus of insula</v>
      </c>
      <c r="D2448" s="42">
        <f>IFERROR(__xludf.DUMMYFUNCTION("""COMPUTED_VALUE"""),2331.0)</f>
        <v>2331</v>
      </c>
      <c r="E2448" s="39" t="str">
        <f>IFERROR(__xludf.DUMMYFUNCTION("""COMPUTED_VALUE"""),"postcentral sulcus of insula")</f>
        <v>postcentral sulcus of insula</v>
      </c>
      <c r="F2448" s="9" t="str">
        <f>IFERROR(__xludf.DUMMYFUNCTION("""COMPUTED_VALUE"""),"Br")</f>
        <v>Br</v>
      </c>
      <c r="G2448" s="9" t="str">
        <f>IFERROR(__xludf.DUMMYFUNCTION("""COMPUTED_VALUE"""),"F")</f>
        <v>F</v>
      </c>
      <c r="H2448" s="9" t="str">
        <f>IFERROR(__xludf.DUMMYFUNCTION("""COMPUTED_VALUE"""),"FSS")</f>
        <v>FSS</v>
      </c>
      <c r="I2448" s="9" t="str">
        <f>IFERROR(__xludf.DUMMYFUNCTION("""COMPUTED_VALUE"""),"CeS")</f>
        <v>CeS</v>
      </c>
      <c r="J2448" s="9" t="str">
        <f>IFERROR(__xludf.DUMMYFUNCTION("""COMPUTED_VALUE"""),"SecS")</f>
        <v>SecS</v>
      </c>
      <c r="K2448" s="9" t="str">
        <f>IFERROR(__xludf.DUMMYFUNCTION("""COMPUTED_VALUE"""),"poin")</f>
        <v>poin</v>
      </c>
      <c r="L2448" s="9"/>
      <c r="M2448" s="9"/>
      <c r="N2448" s="9"/>
      <c r="O2448" s="9"/>
      <c r="P2448" s="9"/>
      <c r="Q2448" s="9"/>
      <c r="R2448" s="9"/>
      <c r="S2448" s="42"/>
      <c r="T2448" s="42" t="str">
        <f>IFERROR(__xludf.DUMMYFUNCTION("""COMPUTED_VALUE"""),"sulcus")</f>
        <v>sulcus</v>
      </c>
      <c r="U2448" s="42" t="b">
        <f>IFERROR(__xludf.DUMMYFUNCTION("""COMPUTED_VALUE"""),FALSE)</f>
        <v>0</v>
      </c>
      <c r="V2448" s="42"/>
      <c r="W2448" s="42"/>
      <c r="X2448" s="42"/>
      <c r="Y2448" s="42"/>
      <c r="Z2448" s="42"/>
      <c r="AA2448" s="42"/>
      <c r="AB2448" s="42" t="str">
        <f>IFERROR(__xludf.DUMMYFUNCTION("""COMPUTED_VALUE"""),"allen institute")</f>
        <v>allen institute</v>
      </c>
      <c r="AC2448" s="42" t="str">
        <f>IFERROR(__xludf.DUMMYFUNCTION("""COMPUTED_VALUE"""),"DHBA")</f>
        <v>DHBA</v>
      </c>
      <c r="AD2448" s="42"/>
      <c r="AE2448" s="42"/>
      <c r="AF2448" s="9"/>
      <c r="AG2448" s="9"/>
      <c r="AH2448" s="42"/>
      <c r="AI2448" s="42"/>
      <c r="AJ2448" s="42"/>
      <c r="AK2448" s="42"/>
      <c r="AL2448" s="42"/>
      <c r="AM2448" s="42"/>
      <c r="AN2448" s="42"/>
      <c r="AO2448" s="63" t="str">
        <f>IFERROR(__xludf.DUMMYFUNCTION("IF(ISBLANK(A2448),,IF(ISBLANK(S2448), A2448&amp;"";"", TEXTJOIN(CHAR(10), TRUE, A2448&amp;"";"", ARRAYFORMULA(VLOOKUP(SPLIT(S2448, "";"" &amp; CHAR(10)), $A:$AO, 41, FALSE)))))"),"poin;")</f>
        <v>poin;</v>
      </c>
      <c r="AP2448" s="89"/>
    </row>
    <row r="2449">
      <c r="A2449" s="151" t="str">
        <f>IFERROR(__xludf.DUMMYFUNCTION("""COMPUTED_VALUE"""),"poscs")</f>
        <v>poscs</v>
      </c>
      <c r="B2449" s="42" t="str">
        <f>IFERROR(__xludf.DUMMYFUNCTION("""COMPUTED_VALUE"""),"DHBA")</f>
        <v>DHBA</v>
      </c>
      <c r="C2449" s="42" t="str">
        <f>IFERROR(__xludf.DUMMYFUNCTION("""COMPUTED_VALUE"""),"posteior subcentral sulcus")</f>
        <v>posteior subcentral sulcus</v>
      </c>
      <c r="D2449" s="42">
        <f>IFERROR(__xludf.DUMMYFUNCTION("""COMPUTED_VALUE"""),2332.0)</f>
        <v>2332</v>
      </c>
      <c r="E2449" s="39" t="str">
        <f>IFERROR(__xludf.DUMMYFUNCTION("""COMPUTED_VALUE"""),"posteior subcentral sulcus")</f>
        <v>posteior subcentral sulcus</v>
      </c>
      <c r="F2449" s="9" t="str">
        <f>IFERROR(__xludf.DUMMYFUNCTION("""COMPUTED_VALUE"""),"Br")</f>
        <v>Br</v>
      </c>
      <c r="G2449" s="9" t="str">
        <f>IFERROR(__xludf.DUMMYFUNCTION("""COMPUTED_VALUE"""),"F")</f>
        <v>F</v>
      </c>
      <c r="H2449" s="9" t="str">
        <f>IFERROR(__xludf.DUMMYFUNCTION("""COMPUTED_VALUE"""),"FSS")</f>
        <v>FSS</v>
      </c>
      <c r="I2449" s="9" t="str">
        <f>IFERROR(__xludf.DUMMYFUNCTION("""COMPUTED_VALUE"""),"CeS")</f>
        <v>CeS</v>
      </c>
      <c r="J2449" s="9" t="str">
        <f>IFERROR(__xludf.DUMMYFUNCTION("""COMPUTED_VALUE"""),"SecS")</f>
        <v>SecS</v>
      </c>
      <c r="K2449" s="9" t="str">
        <f>IFERROR(__xludf.DUMMYFUNCTION("""COMPUTED_VALUE"""),"poscs")</f>
        <v>poscs</v>
      </c>
      <c r="L2449" s="9"/>
      <c r="M2449" s="9"/>
      <c r="N2449" s="9"/>
      <c r="O2449" s="9"/>
      <c r="P2449" s="9"/>
      <c r="Q2449" s="9"/>
      <c r="R2449" s="9"/>
      <c r="S2449" s="42"/>
      <c r="T2449" s="42" t="str">
        <f>IFERROR(__xludf.DUMMYFUNCTION("""COMPUTED_VALUE"""),"sulcus")</f>
        <v>sulcus</v>
      </c>
      <c r="U2449" s="42" t="b">
        <f>IFERROR(__xludf.DUMMYFUNCTION("""COMPUTED_VALUE"""),FALSE)</f>
        <v>0</v>
      </c>
      <c r="V2449" s="42"/>
      <c r="W2449" s="42"/>
      <c r="X2449" s="42"/>
      <c r="Y2449" s="42"/>
      <c r="Z2449" s="42"/>
      <c r="AA2449" s="42"/>
      <c r="AB2449" s="42" t="str">
        <f>IFERROR(__xludf.DUMMYFUNCTION("""COMPUTED_VALUE"""),"allen institute")</f>
        <v>allen institute</v>
      </c>
      <c r="AC2449" s="42" t="str">
        <f>IFERROR(__xludf.DUMMYFUNCTION("""COMPUTED_VALUE"""),"DHBA")</f>
        <v>DHBA</v>
      </c>
      <c r="AD2449" s="42"/>
      <c r="AE2449" s="42"/>
      <c r="AF2449" s="9"/>
      <c r="AG2449" s="9"/>
      <c r="AH2449" s="42"/>
      <c r="AI2449" s="42"/>
      <c r="AJ2449" s="42"/>
      <c r="AK2449" s="42"/>
      <c r="AL2449" s="42"/>
      <c r="AM2449" s="42"/>
      <c r="AN2449" s="42"/>
      <c r="AO2449" s="63" t="str">
        <f>IFERROR(__xludf.DUMMYFUNCTION("IF(ISBLANK(A2449),,IF(ISBLANK(S2449), A2449&amp;"";"", TEXTJOIN(CHAR(10), TRUE, A2449&amp;"";"", ARRAYFORMULA(VLOOKUP(SPLIT(S2449, "";"" &amp; CHAR(10)), $A:$AO, 41, FALSE)))))"),"poscs;")</f>
        <v>poscs;</v>
      </c>
      <c r="AP2449" s="89"/>
    </row>
    <row r="2450">
      <c r="A2450" s="151" t="str">
        <f>IFERROR(__xludf.DUMMYFUNCTION("""COMPUTED_VALUE"""),"rs")</f>
        <v>rs</v>
      </c>
      <c r="B2450" s="42" t="str">
        <f>IFERROR(__xludf.DUMMYFUNCTION("""COMPUTED_VALUE"""),"DHBA")</f>
        <v>DHBA</v>
      </c>
      <c r="C2450" s="42" t="str">
        <f>IFERROR(__xludf.DUMMYFUNCTION("""COMPUTED_VALUE"""),"rhinal sulcus")</f>
        <v>rhinal sulcus</v>
      </c>
      <c r="D2450" s="42">
        <f>IFERROR(__xludf.DUMMYFUNCTION("""COMPUTED_VALUE"""),2333.0)</f>
        <v>2333</v>
      </c>
      <c r="E2450" s="39" t="str">
        <f>IFERROR(__xludf.DUMMYFUNCTION("""COMPUTED_VALUE"""),"rhinal sulcus")</f>
        <v>rhinal sulcus</v>
      </c>
      <c r="F2450" s="9" t="str">
        <f>IFERROR(__xludf.DUMMYFUNCTION("""COMPUTED_VALUE"""),"Br")</f>
        <v>Br</v>
      </c>
      <c r="G2450" s="9" t="str">
        <f>IFERROR(__xludf.DUMMYFUNCTION("""COMPUTED_VALUE"""),"F")</f>
        <v>F</v>
      </c>
      <c r="H2450" s="9" t="str">
        <f>IFERROR(__xludf.DUMMYFUNCTION("""COMPUTED_VALUE"""),"FSS")</f>
        <v>FSS</v>
      </c>
      <c r="I2450" s="9" t="str">
        <f>IFERROR(__xludf.DUMMYFUNCTION("""COMPUTED_VALUE"""),"CeS")</f>
        <v>CeS</v>
      </c>
      <c r="J2450" s="9" t="str">
        <f>IFERROR(__xludf.DUMMYFUNCTION("""COMPUTED_VALUE"""),"SecS")</f>
        <v>SecS</v>
      </c>
      <c r="K2450" s="9" t="str">
        <f>IFERROR(__xludf.DUMMYFUNCTION("""COMPUTED_VALUE"""),"rs")</f>
        <v>rs</v>
      </c>
      <c r="L2450" s="9"/>
      <c r="M2450" s="9"/>
      <c r="N2450" s="9"/>
      <c r="O2450" s="9"/>
      <c r="P2450" s="9"/>
      <c r="Q2450" s="9"/>
      <c r="R2450" s="9"/>
      <c r="S2450" s="42"/>
      <c r="T2450" s="42" t="str">
        <f>IFERROR(__xludf.DUMMYFUNCTION("""COMPUTED_VALUE"""),"sulcus")</f>
        <v>sulcus</v>
      </c>
      <c r="U2450" s="42" t="b">
        <f>IFERROR(__xludf.DUMMYFUNCTION("""COMPUTED_VALUE"""),FALSE)</f>
        <v>0</v>
      </c>
      <c r="V2450" s="42"/>
      <c r="W2450" s="42"/>
      <c r="X2450" s="42"/>
      <c r="Y2450" s="42"/>
      <c r="Z2450" s="42"/>
      <c r="AA2450" s="42"/>
      <c r="AB2450" s="42" t="str">
        <f>IFERROR(__xludf.DUMMYFUNCTION("""COMPUTED_VALUE"""),"allen institute")</f>
        <v>allen institute</v>
      </c>
      <c r="AC2450" s="42" t="str">
        <f>IFERROR(__xludf.DUMMYFUNCTION("""COMPUTED_VALUE"""),"DHBA")</f>
        <v>DHBA</v>
      </c>
      <c r="AD2450" s="42"/>
      <c r="AE2450" s="42"/>
      <c r="AF2450" s="9"/>
      <c r="AG2450" s="9"/>
      <c r="AH2450" s="42"/>
      <c r="AI2450" s="42"/>
      <c r="AJ2450" s="42"/>
      <c r="AK2450" s="42"/>
      <c r="AL2450" s="42"/>
      <c r="AM2450" s="42"/>
      <c r="AN2450" s="42"/>
      <c r="AO2450" s="63" t="str">
        <f>IFERROR(__xludf.DUMMYFUNCTION("IF(ISBLANK(A2450),,IF(ISBLANK(S2450), A2450&amp;"";"", TEXTJOIN(CHAR(10), TRUE, A2450&amp;"";"", ARRAYFORMULA(VLOOKUP(SPLIT(S2450, "";"" &amp; CHAR(10)), $A:$AO, 41, FALSE)))))"),"rs;")</f>
        <v>rs;</v>
      </c>
      <c r="AP2450" s="89"/>
    </row>
    <row r="2451">
      <c r="A2451" s="151" t="str">
        <f>IFERROR(__xludf.DUMMYFUNCTION("""COMPUTED_VALUE"""),"ros")</f>
        <v>ros</v>
      </c>
      <c r="B2451" s="42" t="str">
        <f>IFERROR(__xludf.DUMMYFUNCTION("""COMPUTED_VALUE"""),"DHBA")</f>
        <v>DHBA</v>
      </c>
      <c r="C2451" s="42" t="str">
        <f>IFERROR(__xludf.DUMMYFUNCTION("""COMPUTED_VALUE"""),"rostral sulcus")</f>
        <v>rostral sulcus</v>
      </c>
      <c r="D2451" s="42">
        <f>IFERROR(__xludf.DUMMYFUNCTION("""COMPUTED_VALUE"""),2334.0)</f>
        <v>2334</v>
      </c>
      <c r="E2451" s="39" t="str">
        <f>IFERROR(__xludf.DUMMYFUNCTION("""COMPUTED_VALUE"""),"rostral sulcus")</f>
        <v>rostral sulcus</v>
      </c>
      <c r="F2451" s="9" t="str">
        <f>IFERROR(__xludf.DUMMYFUNCTION("""COMPUTED_VALUE"""),"Br")</f>
        <v>Br</v>
      </c>
      <c r="G2451" s="9" t="str">
        <f>IFERROR(__xludf.DUMMYFUNCTION("""COMPUTED_VALUE"""),"F")</f>
        <v>F</v>
      </c>
      <c r="H2451" s="9" t="str">
        <f>IFERROR(__xludf.DUMMYFUNCTION("""COMPUTED_VALUE"""),"FSS")</f>
        <v>FSS</v>
      </c>
      <c r="I2451" s="9" t="str">
        <f>IFERROR(__xludf.DUMMYFUNCTION("""COMPUTED_VALUE"""),"CeS")</f>
        <v>CeS</v>
      </c>
      <c r="J2451" s="9" t="str">
        <f>IFERROR(__xludf.DUMMYFUNCTION("""COMPUTED_VALUE"""),"SecS")</f>
        <v>SecS</v>
      </c>
      <c r="K2451" s="9" t="str">
        <f>IFERROR(__xludf.DUMMYFUNCTION("""COMPUTED_VALUE"""),"ros")</f>
        <v>ros</v>
      </c>
      <c r="L2451" s="9"/>
      <c r="M2451" s="9"/>
      <c r="N2451" s="9"/>
      <c r="O2451" s="9"/>
      <c r="P2451" s="9"/>
      <c r="Q2451" s="9"/>
      <c r="R2451" s="9"/>
      <c r="S2451" s="42" t="str">
        <f>IFERROR(__xludf.DUMMYFUNCTION("""COMPUTED_VALUE"""),"ros_s;
ros_i")</f>
        <v>ros_s;
ros_i</v>
      </c>
      <c r="T2451" s="42" t="str">
        <f>IFERROR(__xludf.DUMMYFUNCTION("""COMPUTED_VALUE"""),"sulcus")</f>
        <v>sulcus</v>
      </c>
      <c r="U2451" s="42" t="b">
        <f>IFERROR(__xludf.DUMMYFUNCTION("""COMPUTED_VALUE"""),FALSE)</f>
        <v>0</v>
      </c>
      <c r="V2451" s="42"/>
      <c r="W2451" s="42"/>
      <c r="X2451" s="42"/>
      <c r="Y2451" s="42"/>
      <c r="Z2451" s="42"/>
      <c r="AA2451" s="42"/>
      <c r="AB2451" s="42" t="str">
        <f>IFERROR(__xludf.DUMMYFUNCTION("""COMPUTED_VALUE"""),"allen institute")</f>
        <v>allen institute</v>
      </c>
      <c r="AC2451" s="42" t="str">
        <f>IFERROR(__xludf.DUMMYFUNCTION("""COMPUTED_VALUE"""),"DHBA")</f>
        <v>DHBA</v>
      </c>
      <c r="AD2451" s="42"/>
      <c r="AE2451" s="42"/>
      <c r="AF2451" s="9"/>
      <c r="AG2451" s="9"/>
      <c r="AH2451" s="42"/>
      <c r="AI2451" s="42"/>
      <c r="AJ2451" s="42"/>
      <c r="AK2451" s="42"/>
      <c r="AL2451" s="42"/>
      <c r="AM2451" s="42"/>
      <c r="AN2451" s="42"/>
      <c r="AO2451" s="63" t="str">
        <f>IFERROR(__xludf.DUMMYFUNCTION("IF(ISBLANK(A2451),,IF(ISBLANK(S2451), A2451&amp;"";"", TEXTJOIN(CHAR(10), TRUE, A2451&amp;"";"", ARRAYFORMULA(VLOOKUP(SPLIT(S2451, "";"" &amp; CHAR(10)), $A:$AO, 41, FALSE)))))"),"#N/A")</f>
        <v>#N/A</v>
      </c>
      <c r="AP2451" s="89"/>
    </row>
    <row r="2452">
      <c r="A2452" s="151" t="str">
        <f>IFERROR(__xludf.DUMMYFUNCTION("""COMPUTED_VALUE"""),"ros-s")</f>
        <v>ros-s</v>
      </c>
      <c r="B2452" s="42" t="str">
        <f>IFERROR(__xludf.DUMMYFUNCTION("""COMPUTED_VALUE"""),"DHBA")</f>
        <v>DHBA</v>
      </c>
      <c r="C2452" s="42" t="str">
        <f>IFERROR(__xludf.DUMMYFUNCTION("""COMPUTED_VALUE"""),"superior rostral sulcus")</f>
        <v>superior rostral sulcus</v>
      </c>
      <c r="D2452" s="42">
        <f>IFERROR(__xludf.DUMMYFUNCTION("""COMPUTED_VALUE"""),2335.0)</f>
        <v>2335</v>
      </c>
      <c r="E2452" s="39" t="str">
        <f>IFERROR(__xludf.DUMMYFUNCTION("""COMPUTED_VALUE"""),"superior rostral sulcus")</f>
        <v>superior rostral sulcus</v>
      </c>
      <c r="F2452" s="9" t="str">
        <f>IFERROR(__xludf.DUMMYFUNCTION("""COMPUTED_VALUE"""),"Br")</f>
        <v>Br</v>
      </c>
      <c r="G2452" s="9" t="str">
        <f>IFERROR(__xludf.DUMMYFUNCTION("""COMPUTED_VALUE"""),"F")</f>
        <v>F</v>
      </c>
      <c r="H2452" s="9" t="str">
        <f>IFERROR(__xludf.DUMMYFUNCTION("""COMPUTED_VALUE"""),"FSS")</f>
        <v>FSS</v>
      </c>
      <c r="I2452" s="9" t="str">
        <f>IFERROR(__xludf.DUMMYFUNCTION("""COMPUTED_VALUE"""),"CeS")</f>
        <v>CeS</v>
      </c>
      <c r="J2452" s="9" t="str">
        <f>IFERROR(__xludf.DUMMYFUNCTION("""COMPUTED_VALUE"""),"SecS")</f>
        <v>SecS</v>
      </c>
      <c r="K2452" s="9" t="str">
        <f>IFERROR(__xludf.DUMMYFUNCTION("""COMPUTED_VALUE"""),"ros")</f>
        <v>ros</v>
      </c>
      <c r="L2452" s="9" t="str">
        <f>IFERROR(__xludf.DUMMYFUNCTION("""COMPUTED_VALUE"""),"ros-s")</f>
        <v>ros-s</v>
      </c>
      <c r="M2452" s="9"/>
      <c r="N2452" s="9"/>
      <c r="O2452" s="9"/>
      <c r="P2452" s="9"/>
      <c r="Q2452" s="9"/>
      <c r="R2452" s="9"/>
      <c r="S2452" s="42"/>
      <c r="T2452" s="42" t="str">
        <f>IFERROR(__xludf.DUMMYFUNCTION("""COMPUTED_VALUE"""),"sulcus")</f>
        <v>sulcus</v>
      </c>
      <c r="U2452" s="42" t="b">
        <f>IFERROR(__xludf.DUMMYFUNCTION("""COMPUTED_VALUE"""),FALSE)</f>
        <v>0</v>
      </c>
      <c r="V2452" s="42"/>
      <c r="W2452" s="42"/>
      <c r="X2452" s="42"/>
      <c r="Y2452" s="42"/>
      <c r="Z2452" s="42"/>
      <c r="AA2452" s="42"/>
      <c r="AB2452" s="42" t="str">
        <f>IFERROR(__xludf.DUMMYFUNCTION("""COMPUTED_VALUE"""),"allen institute")</f>
        <v>allen institute</v>
      </c>
      <c r="AC2452" s="42" t="str">
        <f>IFERROR(__xludf.DUMMYFUNCTION("""COMPUTED_VALUE"""),"DHBA")</f>
        <v>DHBA</v>
      </c>
      <c r="AD2452" s="42"/>
      <c r="AE2452" s="42"/>
      <c r="AF2452" s="9"/>
      <c r="AG2452" s="9"/>
      <c r="AH2452" s="42"/>
      <c r="AI2452" s="42"/>
      <c r="AJ2452" s="42"/>
      <c r="AK2452" s="42"/>
      <c r="AL2452" s="42"/>
      <c r="AM2452" s="42"/>
      <c r="AN2452" s="42"/>
      <c r="AO2452" s="63" t="str">
        <f>IFERROR(__xludf.DUMMYFUNCTION("IF(ISBLANK(A2452),,IF(ISBLANK(S2452), A2452&amp;"";"", TEXTJOIN(CHAR(10), TRUE, A2452&amp;"";"", ARRAYFORMULA(VLOOKUP(SPLIT(S2452, "";"" &amp; CHAR(10)), $A:$AO, 41, FALSE)))))"),"ros-s;")</f>
        <v>ros-s;</v>
      </c>
      <c r="AP2452" s="89"/>
    </row>
    <row r="2453">
      <c r="A2453" s="151" t="str">
        <f>IFERROR(__xludf.DUMMYFUNCTION("""COMPUTED_VALUE"""),"ros-i")</f>
        <v>ros-i</v>
      </c>
      <c r="B2453" s="42" t="str">
        <f>IFERROR(__xludf.DUMMYFUNCTION("""COMPUTED_VALUE"""),"DHBA")</f>
        <v>DHBA</v>
      </c>
      <c r="C2453" s="42" t="str">
        <f>IFERROR(__xludf.DUMMYFUNCTION("""COMPUTED_VALUE"""),"inferior rostral sulcus")</f>
        <v>inferior rostral sulcus</v>
      </c>
      <c r="D2453" s="42">
        <f>IFERROR(__xludf.DUMMYFUNCTION("""COMPUTED_VALUE"""),2336.0)</f>
        <v>2336</v>
      </c>
      <c r="E2453" s="39" t="str">
        <f>IFERROR(__xludf.DUMMYFUNCTION("""COMPUTED_VALUE"""),"inferior rostral sulcus")</f>
        <v>inferior rostral sulcus</v>
      </c>
      <c r="F2453" s="9" t="str">
        <f>IFERROR(__xludf.DUMMYFUNCTION("""COMPUTED_VALUE"""),"Br")</f>
        <v>Br</v>
      </c>
      <c r="G2453" s="9" t="str">
        <f>IFERROR(__xludf.DUMMYFUNCTION("""COMPUTED_VALUE"""),"F")</f>
        <v>F</v>
      </c>
      <c r="H2453" s="9" t="str">
        <f>IFERROR(__xludf.DUMMYFUNCTION("""COMPUTED_VALUE"""),"FSS")</f>
        <v>FSS</v>
      </c>
      <c r="I2453" s="9" t="str">
        <f>IFERROR(__xludf.DUMMYFUNCTION("""COMPUTED_VALUE"""),"CeS")</f>
        <v>CeS</v>
      </c>
      <c r="J2453" s="9" t="str">
        <f>IFERROR(__xludf.DUMMYFUNCTION("""COMPUTED_VALUE"""),"SecS")</f>
        <v>SecS</v>
      </c>
      <c r="K2453" s="9" t="str">
        <f>IFERROR(__xludf.DUMMYFUNCTION("""COMPUTED_VALUE"""),"ros")</f>
        <v>ros</v>
      </c>
      <c r="L2453" s="9" t="str">
        <f>IFERROR(__xludf.DUMMYFUNCTION("""COMPUTED_VALUE"""),"ros-i")</f>
        <v>ros-i</v>
      </c>
      <c r="M2453" s="9"/>
      <c r="N2453" s="9"/>
      <c r="O2453" s="9"/>
      <c r="P2453" s="9"/>
      <c r="Q2453" s="9"/>
      <c r="R2453" s="9"/>
      <c r="S2453" s="42"/>
      <c r="T2453" s="42" t="str">
        <f>IFERROR(__xludf.DUMMYFUNCTION("""COMPUTED_VALUE"""),"sulcus")</f>
        <v>sulcus</v>
      </c>
      <c r="U2453" s="42" t="b">
        <f>IFERROR(__xludf.DUMMYFUNCTION("""COMPUTED_VALUE"""),FALSE)</f>
        <v>0</v>
      </c>
      <c r="V2453" s="42"/>
      <c r="W2453" s="42"/>
      <c r="X2453" s="42"/>
      <c r="Y2453" s="42"/>
      <c r="Z2453" s="42"/>
      <c r="AA2453" s="42"/>
      <c r="AB2453" s="42" t="str">
        <f>IFERROR(__xludf.DUMMYFUNCTION("""COMPUTED_VALUE"""),"allen institute")</f>
        <v>allen institute</v>
      </c>
      <c r="AC2453" s="42" t="str">
        <f>IFERROR(__xludf.DUMMYFUNCTION("""COMPUTED_VALUE"""),"DHBA")</f>
        <v>DHBA</v>
      </c>
      <c r="AD2453" s="42"/>
      <c r="AE2453" s="42"/>
      <c r="AF2453" s="9"/>
      <c r="AG2453" s="9"/>
      <c r="AH2453" s="42"/>
      <c r="AI2453" s="42"/>
      <c r="AJ2453" s="42"/>
      <c r="AK2453" s="42"/>
      <c r="AL2453" s="42"/>
      <c r="AM2453" s="42"/>
      <c r="AN2453" s="42"/>
      <c r="AO2453" s="63" t="str">
        <f>IFERROR(__xludf.DUMMYFUNCTION("IF(ISBLANK(A2453),,IF(ISBLANK(S2453), A2453&amp;"";"", TEXTJOIN(CHAR(10), TRUE, A2453&amp;"";"", ARRAYFORMULA(VLOOKUP(SPLIT(S2453, "";"" &amp; CHAR(10)), $A:$AO, 41, FALSE)))))"),"ros-i;")</f>
        <v>ros-i;</v>
      </c>
      <c r="AP2453" s="89"/>
    </row>
    <row r="2454">
      <c r="A2454" s="151" t="str">
        <f>IFERROR(__xludf.DUMMYFUNCTION("""COMPUTED_VALUE"""),"ss")</f>
        <v>ss</v>
      </c>
      <c r="B2454" s="42" t="str">
        <f>IFERROR(__xludf.DUMMYFUNCTION("""COMPUTED_VALUE"""),"DHBA")</f>
        <v>DHBA</v>
      </c>
      <c r="C2454" s="42" t="str">
        <f>IFERROR(__xludf.DUMMYFUNCTION("""COMPUTED_VALUE"""),"semiannular sulcus")</f>
        <v>semiannular sulcus</v>
      </c>
      <c r="D2454" s="42">
        <f>IFERROR(__xludf.DUMMYFUNCTION("""COMPUTED_VALUE"""),2337.0)</f>
        <v>2337</v>
      </c>
      <c r="E2454" s="39" t="str">
        <f>IFERROR(__xludf.DUMMYFUNCTION("""COMPUTED_VALUE"""),"semiannular sulcus")</f>
        <v>semiannular sulcus</v>
      </c>
      <c r="F2454" s="9" t="str">
        <f>IFERROR(__xludf.DUMMYFUNCTION("""COMPUTED_VALUE"""),"Br")</f>
        <v>Br</v>
      </c>
      <c r="G2454" s="9" t="str">
        <f>IFERROR(__xludf.DUMMYFUNCTION("""COMPUTED_VALUE"""),"F")</f>
        <v>F</v>
      </c>
      <c r="H2454" s="9" t="str">
        <f>IFERROR(__xludf.DUMMYFUNCTION("""COMPUTED_VALUE"""),"FSS")</f>
        <v>FSS</v>
      </c>
      <c r="I2454" s="9" t="str">
        <f>IFERROR(__xludf.DUMMYFUNCTION("""COMPUTED_VALUE"""),"CeS")</f>
        <v>CeS</v>
      </c>
      <c r="J2454" s="9" t="str">
        <f>IFERROR(__xludf.DUMMYFUNCTION("""COMPUTED_VALUE"""),"SecS")</f>
        <v>SecS</v>
      </c>
      <c r="K2454" s="9" t="str">
        <f>IFERROR(__xludf.DUMMYFUNCTION("""COMPUTED_VALUE"""),"ss")</f>
        <v>ss</v>
      </c>
      <c r="L2454" s="9"/>
      <c r="M2454" s="9"/>
      <c r="N2454" s="9"/>
      <c r="O2454" s="9"/>
      <c r="P2454" s="9"/>
      <c r="Q2454" s="9"/>
      <c r="R2454" s="9"/>
      <c r="S2454" s="42"/>
      <c r="T2454" s="42" t="str">
        <f>IFERROR(__xludf.DUMMYFUNCTION("""COMPUTED_VALUE"""),"sulcus")</f>
        <v>sulcus</v>
      </c>
      <c r="U2454" s="42" t="b">
        <f>IFERROR(__xludf.DUMMYFUNCTION("""COMPUTED_VALUE"""),FALSE)</f>
        <v>0</v>
      </c>
      <c r="V2454" s="42"/>
      <c r="W2454" s="42"/>
      <c r="X2454" s="42"/>
      <c r="Y2454" s="42"/>
      <c r="Z2454" s="42"/>
      <c r="AA2454" s="42"/>
      <c r="AB2454" s="42" t="str">
        <f>IFERROR(__xludf.DUMMYFUNCTION("""COMPUTED_VALUE"""),"allen institute")</f>
        <v>allen institute</v>
      </c>
      <c r="AC2454" s="42" t="str">
        <f>IFERROR(__xludf.DUMMYFUNCTION("""COMPUTED_VALUE"""),"DHBA")</f>
        <v>DHBA</v>
      </c>
      <c r="AD2454" s="42"/>
      <c r="AE2454" s="42"/>
      <c r="AF2454" s="9"/>
      <c r="AG2454" s="9"/>
      <c r="AH2454" s="42"/>
      <c r="AI2454" s="42"/>
      <c r="AJ2454" s="42"/>
      <c r="AK2454" s="42"/>
      <c r="AL2454" s="42"/>
      <c r="AM2454" s="42"/>
      <c r="AN2454" s="42"/>
      <c r="AO2454" s="63" t="str">
        <f>IFERROR(__xludf.DUMMYFUNCTION("IF(ISBLANK(A2454),,IF(ISBLANK(S2454), A2454&amp;"";"", TEXTJOIN(CHAR(10), TRUE, A2454&amp;"";"", ARRAYFORMULA(VLOOKUP(SPLIT(S2454, "";"" &amp; CHAR(10)), $A:$AO, 41, FALSE)))))"),"ss;")</f>
        <v>ss;</v>
      </c>
      <c r="AP2454" s="89"/>
    </row>
    <row r="2455">
      <c r="A2455" s="151" t="str">
        <f>IFERROR(__xludf.DUMMYFUNCTION("""COMPUTED_VALUE"""),"sps")</f>
        <v>sps</v>
      </c>
      <c r="B2455" s="42" t="str">
        <f>IFERROR(__xludf.DUMMYFUNCTION("""COMPUTED_VALUE"""),"DHBA")</f>
        <v>DHBA</v>
      </c>
      <c r="C2455" s="42" t="str">
        <f>IFERROR(__xludf.DUMMYFUNCTION("""COMPUTED_VALUE"""),"subparietal (splenial) sulcus")</f>
        <v>subparietal (splenial) sulcus</v>
      </c>
      <c r="D2455" s="42">
        <f>IFERROR(__xludf.DUMMYFUNCTION("""COMPUTED_VALUE"""),2338.0)</f>
        <v>2338</v>
      </c>
      <c r="E2455" s="39" t="str">
        <f>IFERROR(__xludf.DUMMYFUNCTION("""COMPUTED_VALUE"""),"subparietal (splenial) sulcus")</f>
        <v>subparietal (splenial) sulcus</v>
      </c>
      <c r="F2455" s="9" t="str">
        <f>IFERROR(__xludf.DUMMYFUNCTION("""COMPUTED_VALUE"""),"Br")</f>
        <v>Br</v>
      </c>
      <c r="G2455" s="9" t="str">
        <f>IFERROR(__xludf.DUMMYFUNCTION("""COMPUTED_VALUE"""),"F")</f>
        <v>F</v>
      </c>
      <c r="H2455" s="9" t="str">
        <f>IFERROR(__xludf.DUMMYFUNCTION("""COMPUTED_VALUE"""),"FSS")</f>
        <v>FSS</v>
      </c>
      <c r="I2455" s="9" t="str">
        <f>IFERROR(__xludf.DUMMYFUNCTION("""COMPUTED_VALUE"""),"CeS")</f>
        <v>CeS</v>
      </c>
      <c r="J2455" s="9" t="str">
        <f>IFERROR(__xludf.DUMMYFUNCTION("""COMPUTED_VALUE"""),"SecS")</f>
        <v>SecS</v>
      </c>
      <c r="K2455" s="9" t="str">
        <f>IFERROR(__xludf.DUMMYFUNCTION("""COMPUTED_VALUE"""),"sps")</f>
        <v>sps</v>
      </c>
      <c r="L2455" s="9"/>
      <c r="M2455" s="9"/>
      <c r="N2455" s="9"/>
      <c r="O2455" s="9"/>
      <c r="P2455" s="9"/>
      <c r="Q2455" s="9"/>
      <c r="R2455" s="9"/>
      <c r="S2455" s="42"/>
      <c r="T2455" s="42" t="str">
        <f>IFERROR(__xludf.DUMMYFUNCTION("""COMPUTED_VALUE"""),"sulcus")</f>
        <v>sulcus</v>
      </c>
      <c r="U2455" s="42" t="b">
        <f>IFERROR(__xludf.DUMMYFUNCTION("""COMPUTED_VALUE"""),FALSE)</f>
        <v>0</v>
      </c>
      <c r="V2455" s="42"/>
      <c r="W2455" s="42"/>
      <c r="X2455" s="42"/>
      <c r="Y2455" s="42"/>
      <c r="Z2455" s="42"/>
      <c r="AA2455" s="42"/>
      <c r="AB2455" s="42" t="str">
        <f>IFERROR(__xludf.DUMMYFUNCTION("""COMPUTED_VALUE"""),"allen institute")</f>
        <v>allen institute</v>
      </c>
      <c r="AC2455" s="42" t="str">
        <f>IFERROR(__xludf.DUMMYFUNCTION("""COMPUTED_VALUE"""),"DHBA")</f>
        <v>DHBA</v>
      </c>
      <c r="AD2455" s="42"/>
      <c r="AE2455" s="42"/>
      <c r="AF2455" s="9"/>
      <c r="AG2455" s="9"/>
      <c r="AH2455" s="42"/>
      <c r="AI2455" s="42"/>
      <c r="AJ2455" s="42"/>
      <c r="AK2455" s="42"/>
      <c r="AL2455" s="42"/>
      <c r="AM2455" s="42"/>
      <c r="AN2455" s="42"/>
      <c r="AO2455" s="63" t="str">
        <f>IFERROR(__xludf.DUMMYFUNCTION("IF(ISBLANK(A2455),,IF(ISBLANK(S2455), A2455&amp;"";"", TEXTJOIN(CHAR(10), TRUE, A2455&amp;"";"", ARRAYFORMULA(VLOOKUP(SPLIT(S2455, "";"" &amp; CHAR(10)), $A:$AO, 41, FALSE)))))"),"sps;")</f>
        <v>sps;</v>
      </c>
      <c r="AP2455" s="89"/>
    </row>
    <row r="2456">
      <c r="A2456" s="151" t="str">
        <f>IFERROR(__xludf.DUMMYFUNCTION("""COMPUTED_VALUE"""),"sfs")</f>
        <v>sfs</v>
      </c>
      <c r="B2456" s="42" t="str">
        <f>IFERROR(__xludf.DUMMYFUNCTION("""COMPUTED_VALUE"""),"DHBA")</f>
        <v>DHBA</v>
      </c>
      <c r="C2456" s="42" t="str">
        <f>IFERROR(__xludf.DUMMYFUNCTION("""COMPUTED_VALUE"""),"superior frontal sulcus")</f>
        <v>superior frontal sulcus</v>
      </c>
      <c r="D2456" s="42">
        <f>IFERROR(__xludf.DUMMYFUNCTION("""COMPUTED_VALUE"""),2339.0)</f>
        <v>2339</v>
      </c>
      <c r="E2456" s="39" t="str">
        <f>IFERROR(__xludf.DUMMYFUNCTION("""COMPUTED_VALUE"""),"superior frontal sulcus")</f>
        <v>superior frontal sulcus</v>
      </c>
      <c r="F2456" s="9" t="str">
        <f>IFERROR(__xludf.DUMMYFUNCTION("""COMPUTED_VALUE"""),"Br")</f>
        <v>Br</v>
      </c>
      <c r="G2456" s="9" t="str">
        <f>IFERROR(__xludf.DUMMYFUNCTION("""COMPUTED_VALUE"""),"F")</f>
        <v>F</v>
      </c>
      <c r="H2456" s="9" t="str">
        <f>IFERROR(__xludf.DUMMYFUNCTION("""COMPUTED_VALUE"""),"FSS")</f>
        <v>FSS</v>
      </c>
      <c r="I2456" s="9" t="str">
        <f>IFERROR(__xludf.DUMMYFUNCTION("""COMPUTED_VALUE"""),"CeS")</f>
        <v>CeS</v>
      </c>
      <c r="J2456" s="9" t="str">
        <f>IFERROR(__xludf.DUMMYFUNCTION("""COMPUTED_VALUE"""),"SecS")</f>
        <v>SecS</v>
      </c>
      <c r="K2456" s="9" t="str">
        <f>IFERROR(__xludf.DUMMYFUNCTION("""COMPUTED_VALUE"""),"sfs")</f>
        <v>sfs</v>
      </c>
      <c r="L2456" s="9"/>
      <c r="M2456" s="9"/>
      <c r="N2456" s="9"/>
      <c r="O2456" s="9"/>
      <c r="P2456" s="9"/>
      <c r="Q2456" s="9"/>
      <c r="R2456" s="9"/>
      <c r="S2456" s="42"/>
      <c r="T2456" s="42" t="str">
        <f>IFERROR(__xludf.DUMMYFUNCTION("""COMPUTED_VALUE"""),"sulcus")</f>
        <v>sulcus</v>
      </c>
      <c r="U2456" s="42" t="b">
        <f>IFERROR(__xludf.DUMMYFUNCTION("""COMPUTED_VALUE"""),FALSE)</f>
        <v>0</v>
      </c>
      <c r="V2456" s="42"/>
      <c r="W2456" s="42"/>
      <c r="X2456" s="42"/>
      <c r="Y2456" s="42"/>
      <c r="Z2456" s="42"/>
      <c r="AA2456" s="42"/>
      <c r="AB2456" s="42" t="str">
        <f>IFERROR(__xludf.DUMMYFUNCTION("""COMPUTED_VALUE"""),"allen institute")</f>
        <v>allen institute</v>
      </c>
      <c r="AC2456" s="42" t="str">
        <f>IFERROR(__xludf.DUMMYFUNCTION("""COMPUTED_VALUE"""),"DHBA")</f>
        <v>DHBA</v>
      </c>
      <c r="AD2456" s="42"/>
      <c r="AE2456" s="42"/>
      <c r="AF2456" s="9"/>
      <c r="AG2456" s="9"/>
      <c r="AH2456" s="42"/>
      <c r="AI2456" s="42"/>
      <c r="AJ2456" s="42"/>
      <c r="AK2456" s="42"/>
      <c r="AL2456" s="42"/>
      <c r="AM2456" s="42"/>
      <c r="AN2456" s="42"/>
      <c r="AO2456" s="63" t="str">
        <f>IFERROR(__xludf.DUMMYFUNCTION("IF(ISBLANK(A2456),,IF(ISBLANK(S2456), A2456&amp;"";"", TEXTJOIN(CHAR(10), TRUE, A2456&amp;"";"", ARRAYFORMULA(VLOOKUP(SPLIT(S2456, "";"" &amp; CHAR(10)), $A:$AO, 41, FALSE)))))"),"sfs;")</f>
        <v>sfs;</v>
      </c>
      <c r="AP2456" s="89"/>
    </row>
    <row r="2457">
      <c r="A2457" s="151" t="str">
        <f>IFERROR(__xludf.DUMMYFUNCTION("""COMPUTED_VALUE"""),"spas")</f>
        <v>spas</v>
      </c>
      <c r="B2457" s="42" t="str">
        <f>IFERROR(__xludf.DUMMYFUNCTION("""COMPUTED_VALUE"""),"DHBA")</f>
        <v>DHBA</v>
      </c>
      <c r="C2457" s="42" t="str">
        <f>IFERROR(__xludf.DUMMYFUNCTION("""COMPUTED_VALUE"""),"superior parietal sulcus")</f>
        <v>superior parietal sulcus</v>
      </c>
      <c r="D2457" s="42">
        <f>IFERROR(__xludf.DUMMYFUNCTION("""COMPUTED_VALUE"""),2340.0)</f>
        <v>2340</v>
      </c>
      <c r="E2457" s="39" t="str">
        <f>IFERROR(__xludf.DUMMYFUNCTION("""COMPUTED_VALUE"""),"superior parietal sulcus")</f>
        <v>superior parietal sulcus</v>
      </c>
      <c r="F2457" s="9" t="str">
        <f>IFERROR(__xludf.DUMMYFUNCTION("""COMPUTED_VALUE"""),"Br")</f>
        <v>Br</v>
      </c>
      <c r="G2457" s="9" t="str">
        <f>IFERROR(__xludf.DUMMYFUNCTION("""COMPUTED_VALUE"""),"F")</f>
        <v>F</v>
      </c>
      <c r="H2457" s="9" t="str">
        <f>IFERROR(__xludf.DUMMYFUNCTION("""COMPUTED_VALUE"""),"FSS")</f>
        <v>FSS</v>
      </c>
      <c r="I2457" s="9" t="str">
        <f>IFERROR(__xludf.DUMMYFUNCTION("""COMPUTED_VALUE"""),"CeS")</f>
        <v>CeS</v>
      </c>
      <c r="J2457" s="9" t="str">
        <f>IFERROR(__xludf.DUMMYFUNCTION("""COMPUTED_VALUE"""),"SecS")</f>
        <v>SecS</v>
      </c>
      <c r="K2457" s="9" t="str">
        <f>IFERROR(__xludf.DUMMYFUNCTION("""COMPUTED_VALUE"""),"spas")</f>
        <v>spas</v>
      </c>
      <c r="L2457" s="9"/>
      <c r="M2457" s="9"/>
      <c r="N2457" s="9"/>
      <c r="O2457" s="9"/>
      <c r="P2457" s="9"/>
      <c r="Q2457" s="9"/>
      <c r="R2457" s="9"/>
      <c r="S2457" s="42"/>
      <c r="T2457" s="42" t="str">
        <f>IFERROR(__xludf.DUMMYFUNCTION("""COMPUTED_VALUE"""),"sulcus")</f>
        <v>sulcus</v>
      </c>
      <c r="U2457" s="42" t="b">
        <f>IFERROR(__xludf.DUMMYFUNCTION("""COMPUTED_VALUE"""),FALSE)</f>
        <v>0</v>
      </c>
      <c r="V2457" s="42"/>
      <c r="W2457" s="42"/>
      <c r="X2457" s="42"/>
      <c r="Y2457" s="42"/>
      <c r="Z2457" s="42"/>
      <c r="AA2457" s="42"/>
      <c r="AB2457" s="42" t="str">
        <f>IFERROR(__xludf.DUMMYFUNCTION("""COMPUTED_VALUE"""),"allen institute")</f>
        <v>allen institute</v>
      </c>
      <c r="AC2457" s="42" t="str">
        <f>IFERROR(__xludf.DUMMYFUNCTION("""COMPUTED_VALUE"""),"DHBA")</f>
        <v>DHBA</v>
      </c>
      <c r="AD2457" s="42"/>
      <c r="AE2457" s="42"/>
      <c r="AF2457" s="9"/>
      <c r="AG2457" s="9"/>
      <c r="AH2457" s="42"/>
      <c r="AI2457" s="42"/>
      <c r="AJ2457" s="42"/>
      <c r="AK2457" s="42"/>
      <c r="AL2457" s="42"/>
      <c r="AM2457" s="42"/>
      <c r="AN2457" s="42"/>
      <c r="AO2457" s="63" t="str">
        <f>IFERROR(__xludf.DUMMYFUNCTION("IF(ISBLANK(A2457),,IF(ISBLANK(S2457), A2457&amp;"";"", TEXTJOIN(CHAR(10), TRUE, A2457&amp;"";"", ARRAYFORMULA(VLOOKUP(SPLIT(S2457, "";"" &amp; CHAR(10)), $A:$AO, 41, FALSE)))))"),"spas;")</f>
        <v>spas;</v>
      </c>
      <c r="AP2457" s="89"/>
    </row>
    <row r="2458">
      <c r="A2458" s="151" t="str">
        <f>IFERROR(__xludf.DUMMYFUNCTION("""COMPUTED_VALUE"""),"tps")</f>
        <v>tps</v>
      </c>
      <c r="B2458" s="42" t="str">
        <f>IFERROR(__xludf.DUMMYFUNCTION("""COMPUTED_VALUE"""),"DHBA")</f>
        <v>DHBA</v>
      </c>
      <c r="C2458" s="42" t="str">
        <f>IFERROR(__xludf.DUMMYFUNCTION("""COMPUTED_VALUE"""),"temporopolar sulcus")</f>
        <v>temporopolar sulcus</v>
      </c>
      <c r="D2458" s="42">
        <f>IFERROR(__xludf.DUMMYFUNCTION("""COMPUTED_VALUE"""),2341.0)</f>
        <v>2341</v>
      </c>
      <c r="E2458" s="39" t="str">
        <f>IFERROR(__xludf.DUMMYFUNCTION("""COMPUTED_VALUE"""),"temporopolar sulcus")</f>
        <v>temporopolar sulcus</v>
      </c>
      <c r="F2458" s="9" t="str">
        <f>IFERROR(__xludf.DUMMYFUNCTION("""COMPUTED_VALUE"""),"Br")</f>
        <v>Br</v>
      </c>
      <c r="G2458" s="9" t="str">
        <f>IFERROR(__xludf.DUMMYFUNCTION("""COMPUTED_VALUE"""),"F")</f>
        <v>F</v>
      </c>
      <c r="H2458" s="9" t="str">
        <f>IFERROR(__xludf.DUMMYFUNCTION("""COMPUTED_VALUE"""),"FSS")</f>
        <v>FSS</v>
      </c>
      <c r="I2458" s="9" t="str">
        <f>IFERROR(__xludf.DUMMYFUNCTION("""COMPUTED_VALUE"""),"CeS")</f>
        <v>CeS</v>
      </c>
      <c r="J2458" s="9" t="str">
        <f>IFERROR(__xludf.DUMMYFUNCTION("""COMPUTED_VALUE"""),"SecS")</f>
        <v>SecS</v>
      </c>
      <c r="K2458" s="9" t="str">
        <f>IFERROR(__xludf.DUMMYFUNCTION("""COMPUTED_VALUE"""),"tps")</f>
        <v>tps</v>
      </c>
      <c r="L2458" s="9"/>
      <c r="M2458" s="9"/>
      <c r="N2458" s="9"/>
      <c r="O2458" s="9"/>
      <c r="P2458" s="9"/>
      <c r="Q2458" s="9"/>
      <c r="R2458" s="9"/>
      <c r="S2458" s="42" t="str">
        <f>IFERROR(__xludf.DUMMYFUNCTION("""COMPUTED_VALUE"""),"tps_m;
tps_l")</f>
        <v>tps_m;
tps_l</v>
      </c>
      <c r="T2458" s="42" t="str">
        <f>IFERROR(__xludf.DUMMYFUNCTION("""COMPUTED_VALUE"""),"sulcus")</f>
        <v>sulcus</v>
      </c>
      <c r="U2458" s="159" t="b">
        <f>IFERROR(__xludf.DUMMYFUNCTION("""COMPUTED_VALUE"""),FALSE)</f>
        <v>0</v>
      </c>
      <c r="V2458" s="42"/>
      <c r="W2458" s="42"/>
      <c r="X2458" s="42"/>
      <c r="Y2458" s="42"/>
      <c r="Z2458" s="42"/>
      <c r="AA2458" s="42"/>
      <c r="AB2458" s="42" t="str">
        <f>IFERROR(__xludf.DUMMYFUNCTION("""COMPUTED_VALUE"""),"allen institute")</f>
        <v>allen institute</v>
      </c>
      <c r="AC2458" s="42" t="str">
        <f>IFERROR(__xludf.DUMMYFUNCTION("""COMPUTED_VALUE"""),"DHBA")</f>
        <v>DHBA</v>
      </c>
      <c r="AD2458" s="42"/>
      <c r="AE2458" s="42"/>
      <c r="AF2458" s="9"/>
      <c r="AG2458" s="9"/>
      <c r="AH2458" s="42"/>
      <c r="AI2458" s="42"/>
      <c r="AJ2458" s="42"/>
      <c r="AK2458" s="42"/>
      <c r="AL2458" s="42"/>
      <c r="AM2458" s="42"/>
      <c r="AN2458" s="42"/>
      <c r="AO2458" s="63" t="str">
        <f>IFERROR(__xludf.DUMMYFUNCTION("IF(ISBLANK(A2458),,IF(ISBLANK(S2458), A2458&amp;"";"", TEXTJOIN(CHAR(10), TRUE, A2458&amp;"";"", ARRAYFORMULA(VLOOKUP(SPLIT(S2458, "";"" &amp; CHAR(10)), $A:$AO, 41, FALSE)))))"),"#N/A")</f>
        <v>#N/A</v>
      </c>
      <c r="AP2458" s="89"/>
    </row>
    <row r="2459">
      <c r="A2459" s="151" t="str">
        <f>IFERROR(__xludf.DUMMYFUNCTION("""COMPUTED_VALUE"""),"tps-m")</f>
        <v>tps-m</v>
      </c>
      <c r="B2459" s="42" t="str">
        <f>IFERROR(__xludf.DUMMYFUNCTION("""COMPUTED_VALUE"""),"DHBA")</f>
        <v>DHBA</v>
      </c>
      <c r="C2459" s="42" t="str">
        <f>IFERROR(__xludf.DUMMYFUNCTION("""COMPUTED_VALUE"""),"medial temporopolar sulcus")</f>
        <v>medial temporopolar sulcus</v>
      </c>
      <c r="D2459" s="42">
        <f>IFERROR(__xludf.DUMMYFUNCTION("""COMPUTED_VALUE"""),2342.0)</f>
        <v>2342</v>
      </c>
      <c r="E2459" s="39" t="str">
        <f>IFERROR(__xludf.DUMMYFUNCTION("""COMPUTED_VALUE"""),"medial temporopolar sulcus")</f>
        <v>medial temporopolar sulcus</v>
      </c>
      <c r="F2459" s="9" t="str">
        <f>IFERROR(__xludf.DUMMYFUNCTION("""COMPUTED_VALUE"""),"Br")</f>
        <v>Br</v>
      </c>
      <c r="G2459" s="9" t="str">
        <f>IFERROR(__xludf.DUMMYFUNCTION("""COMPUTED_VALUE"""),"F")</f>
        <v>F</v>
      </c>
      <c r="H2459" s="9" t="str">
        <f>IFERROR(__xludf.DUMMYFUNCTION("""COMPUTED_VALUE"""),"FSS")</f>
        <v>FSS</v>
      </c>
      <c r="I2459" s="9" t="str">
        <f>IFERROR(__xludf.DUMMYFUNCTION("""COMPUTED_VALUE"""),"CeS")</f>
        <v>CeS</v>
      </c>
      <c r="J2459" s="9" t="str">
        <f>IFERROR(__xludf.DUMMYFUNCTION("""COMPUTED_VALUE"""),"SecS")</f>
        <v>SecS</v>
      </c>
      <c r="K2459" s="9" t="str">
        <f>IFERROR(__xludf.DUMMYFUNCTION("""COMPUTED_VALUE"""),"tps")</f>
        <v>tps</v>
      </c>
      <c r="L2459" s="9" t="str">
        <f>IFERROR(__xludf.DUMMYFUNCTION("""COMPUTED_VALUE"""),"tps-m")</f>
        <v>tps-m</v>
      </c>
      <c r="M2459" s="9"/>
      <c r="N2459" s="9"/>
      <c r="O2459" s="9"/>
      <c r="P2459" s="9"/>
      <c r="Q2459" s="9"/>
      <c r="R2459" s="9"/>
      <c r="S2459" s="42"/>
      <c r="T2459" s="42" t="str">
        <f>IFERROR(__xludf.DUMMYFUNCTION("""COMPUTED_VALUE"""),"sulcus")</f>
        <v>sulcus</v>
      </c>
      <c r="U2459" s="159" t="b">
        <f>IFERROR(__xludf.DUMMYFUNCTION("""COMPUTED_VALUE"""),FALSE)</f>
        <v>0</v>
      </c>
      <c r="V2459" s="42"/>
      <c r="W2459" s="42"/>
      <c r="X2459" s="42"/>
      <c r="Y2459" s="42"/>
      <c r="Z2459" s="42"/>
      <c r="AA2459" s="42"/>
      <c r="AB2459" s="42" t="str">
        <f>IFERROR(__xludf.DUMMYFUNCTION("""COMPUTED_VALUE"""),"allen institute")</f>
        <v>allen institute</v>
      </c>
      <c r="AC2459" s="42" t="str">
        <f>IFERROR(__xludf.DUMMYFUNCTION("""COMPUTED_VALUE"""),"DHBA")</f>
        <v>DHBA</v>
      </c>
      <c r="AD2459" s="42"/>
      <c r="AE2459" s="42"/>
      <c r="AF2459" s="9"/>
      <c r="AG2459" s="9"/>
      <c r="AH2459" s="42"/>
      <c r="AI2459" s="42"/>
      <c r="AJ2459" s="42"/>
      <c r="AK2459" s="42"/>
      <c r="AL2459" s="42"/>
      <c r="AM2459" s="42"/>
      <c r="AN2459" s="42"/>
      <c r="AO2459" s="63" t="str">
        <f>IFERROR(__xludf.DUMMYFUNCTION("IF(ISBLANK(A2459),,IF(ISBLANK(S2459), A2459&amp;"";"", TEXTJOIN(CHAR(10), TRUE, A2459&amp;"";"", ARRAYFORMULA(VLOOKUP(SPLIT(S2459, "";"" &amp; CHAR(10)), $A:$AO, 41, FALSE)))))"),"tps-m;")</f>
        <v>tps-m;</v>
      </c>
      <c r="AP2459" s="89"/>
    </row>
    <row r="2460">
      <c r="A2460" s="151" t="str">
        <f>IFERROR(__xludf.DUMMYFUNCTION("""COMPUTED_VALUE"""),"tps-l")</f>
        <v>tps-l</v>
      </c>
      <c r="B2460" s="42" t="str">
        <f>IFERROR(__xludf.DUMMYFUNCTION("""COMPUTED_VALUE"""),"DHBA")</f>
        <v>DHBA</v>
      </c>
      <c r="C2460" s="42" t="str">
        <f>IFERROR(__xludf.DUMMYFUNCTION("""COMPUTED_VALUE"""),"lateral temporopolar sulcus")</f>
        <v>lateral temporopolar sulcus</v>
      </c>
      <c r="D2460" s="42">
        <f>IFERROR(__xludf.DUMMYFUNCTION("""COMPUTED_VALUE"""),2343.0)</f>
        <v>2343</v>
      </c>
      <c r="E2460" s="39" t="str">
        <f>IFERROR(__xludf.DUMMYFUNCTION("""COMPUTED_VALUE"""),"lateral temporopolar sulcus")</f>
        <v>lateral temporopolar sulcus</v>
      </c>
      <c r="F2460" s="9" t="str">
        <f>IFERROR(__xludf.DUMMYFUNCTION("""COMPUTED_VALUE"""),"Br")</f>
        <v>Br</v>
      </c>
      <c r="G2460" s="9" t="str">
        <f>IFERROR(__xludf.DUMMYFUNCTION("""COMPUTED_VALUE"""),"F")</f>
        <v>F</v>
      </c>
      <c r="H2460" s="9" t="str">
        <f>IFERROR(__xludf.DUMMYFUNCTION("""COMPUTED_VALUE"""),"FSS")</f>
        <v>FSS</v>
      </c>
      <c r="I2460" s="9" t="str">
        <f>IFERROR(__xludf.DUMMYFUNCTION("""COMPUTED_VALUE"""),"CeS")</f>
        <v>CeS</v>
      </c>
      <c r="J2460" s="9" t="str">
        <f>IFERROR(__xludf.DUMMYFUNCTION("""COMPUTED_VALUE"""),"SecS")</f>
        <v>SecS</v>
      </c>
      <c r="K2460" s="9" t="str">
        <f>IFERROR(__xludf.DUMMYFUNCTION("""COMPUTED_VALUE"""),"tps")</f>
        <v>tps</v>
      </c>
      <c r="L2460" s="9" t="str">
        <f>IFERROR(__xludf.DUMMYFUNCTION("""COMPUTED_VALUE"""),"tps-l")</f>
        <v>tps-l</v>
      </c>
      <c r="M2460" s="9"/>
      <c r="N2460" s="9"/>
      <c r="O2460" s="9"/>
      <c r="P2460" s="9"/>
      <c r="Q2460" s="9"/>
      <c r="R2460" s="9"/>
      <c r="S2460" s="42"/>
      <c r="T2460" s="42" t="str">
        <f>IFERROR(__xludf.DUMMYFUNCTION("""COMPUTED_VALUE"""),"sulcus")</f>
        <v>sulcus</v>
      </c>
      <c r="U2460" s="42" t="b">
        <f>IFERROR(__xludf.DUMMYFUNCTION("""COMPUTED_VALUE"""),FALSE)</f>
        <v>0</v>
      </c>
      <c r="V2460" s="42"/>
      <c r="W2460" s="42"/>
      <c r="X2460" s="42"/>
      <c r="Y2460" s="42"/>
      <c r="Z2460" s="42"/>
      <c r="AA2460" s="42"/>
      <c r="AB2460" s="42" t="str">
        <f>IFERROR(__xludf.DUMMYFUNCTION("""COMPUTED_VALUE"""),"allen institute")</f>
        <v>allen institute</v>
      </c>
      <c r="AC2460" s="42" t="str">
        <f>IFERROR(__xludf.DUMMYFUNCTION("""COMPUTED_VALUE"""),"DHBA")</f>
        <v>DHBA</v>
      </c>
      <c r="AD2460" s="42"/>
      <c r="AE2460" s="42"/>
      <c r="AF2460" s="9"/>
      <c r="AG2460" s="9"/>
      <c r="AH2460" s="42"/>
      <c r="AI2460" s="42"/>
      <c r="AJ2460" s="42"/>
      <c r="AK2460" s="42"/>
      <c r="AL2460" s="42"/>
      <c r="AM2460" s="42"/>
      <c r="AN2460" s="42"/>
      <c r="AO2460" s="63" t="str">
        <f>IFERROR(__xludf.DUMMYFUNCTION("IF(ISBLANK(A2460),,IF(ISBLANK(S2460), A2460&amp;"";"", TEXTJOIN(CHAR(10), TRUE, A2460&amp;"";"", ARRAYFORMULA(VLOOKUP(SPLIT(S2460, "";"" &amp; CHAR(10)), $A:$AO, 41, FALSE)))))"),"tps-l;")</f>
        <v>tps-l;</v>
      </c>
      <c r="AP2460" s="89"/>
    </row>
    <row r="2461">
      <c r="A2461" s="151" t="str">
        <f>IFERROR(__xludf.DUMMYFUNCTION("""COMPUTED_VALUE"""),"tts")</f>
        <v>tts</v>
      </c>
      <c r="B2461" s="42" t="str">
        <f>IFERROR(__xludf.DUMMYFUNCTION("""COMPUTED_VALUE"""),"DHBA")</f>
        <v>DHBA</v>
      </c>
      <c r="C2461" s="42" t="str">
        <f>IFERROR(__xludf.DUMMYFUNCTION("""COMPUTED_VALUE"""),"transverse temporal sulcus")</f>
        <v>transverse temporal sulcus</v>
      </c>
      <c r="D2461" s="42">
        <f>IFERROR(__xludf.DUMMYFUNCTION("""COMPUTED_VALUE"""),2344.0)</f>
        <v>2344</v>
      </c>
      <c r="E2461" s="39" t="str">
        <f>IFERROR(__xludf.DUMMYFUNCTION("""COMPUTED_VALUE"""),"transverse temporal sulcus")</f>
        <v>transverse temporal sulcus</v>
      </c>
      <c r="F2461" s="9" t="str">
        <f>IFERROR(__xludf.DUMMYFUNCTION("""COMPUTED_VALUE"""),"Br")</f>
        <v>Br</v>
      </c>
      <c r="G2461" s="9" t="str">
        <f>IFERROR(__xludf.DUMMYFUNCTION("""COMPUTED_VALUE"""),"F")</f>
        <v>F</v>
      </c>
      <c r="H2461" s="9" t="str">
        <f>IFERROR(__xludf.DUMMYFUNCTION("""COMPUTED_VALUE"""),"FSS")</f>
        <v>FSS</v>
      </c>
      <c r="I2461" s="9" t="str">
        <f>IFERROR(__xludf.DUMMYFUNCTION("""COMPUTED_VALUE"""),"CeS")</f>
        <v>CeS</v>
      </c>
      <c r="J2461" s="9" t="str">
        <f>IFERROR(__xludf.DUMMYFUNCTION("""COMPUTED_VALUE"""),"SecS")</f>
        <v>SecS</v>
      </c>
      <c r="K2461" s="9" t="str">
        <f>IFERROR(__xludf.DUMMYFUNCTION("""COMPUTED_VALUE"""),"tts")</f>
        <v>tts</v>
      </c>
      <c r="L2461" s="9"/>
      <c r="M2461" s="9"/>
      <c r="N2461" s="9"/>
      <c r="O2461" s="9"/>
      <c r="P2461" s="9"/>
      <c r="Q2461" s="9"/>
      <c r="R2461" s="9"/>
      <c r="S2461" s="42" t="str">
        <f>IFERROR(__xludf.DUMMYFUNCTION("""COMPUTED_VALUE"""),"atts;
ptts;
ims;
tts_le")</f>
        <v>atts;
ptts;
ims;
tts_le</v>
      </c>
      <c r="T2461" s="42" t="str">
        <f>IFERROR(__xludf.DUMMYFUNCTION("""COMPUTED_VALUE"""),"sulcus")</f>
        <v>sulcus</v>
      </c>
      <c r="U2461" s="42" t="b">
        <f>IFERROR(__xludf.DUMMYFUNCTION("""COMPUTED_VALUE"""),FALSE)</f>
        <v>0</v>
      </c>
      <c r="V2461" s="42"/>
      <c r="W2461" s="42"/>
      <c r="X2461" s="42"/>
      <c r="Y2461" s="42"/>
      <c r="Z2461" s="42"/>
      <c r="AA2461" s="42"/>
      <c r="AB2461" s="42" t="str">
        <f>IFERROR(__xludf.DUMMYFUNCTION("""COMPUTED_VALUE"""),"allen institute")</f>
        <v>allen institute</v>
      </c>
      <c r="AC2461" s="42" t="str">
        <f>IFERROR(__xludf.DUMMYFUNCTION("""COMPUTED_VALUE"""),"DHBA")</f>
        <v>DHBA</v>
      </c>
      <c r="AD2461" s="42"/>
      <c r="AE2461" s="42"/>
      <c r="AF2461" s="9"/>
      <c r="AG2461" s="9"/>
      <c r="AH2461" s="42"/>
      <c r="AI2461" s="42"/>
      <c r="AJ2461" s="42"/>
      <c r="AK2461" s="42"/>
      <c r="AL2461" s="42"/>
      <c r="AM2461" s="42"/>
      <c r="AN2461" s="42"/>
      <c r="AO2461" s="63" t="str">
        <f>IFERROR(__xludf.DUMMYFUNCTION("IF(ISBLANK(A2461),,IF(ISBLANK(S2461), A2461&amp;"";"", TEXTJOIN(CHAR(10), TRUE, A2461&amp;"";"", ARRAYFORMULA(VLOOKUP(SPLIT(S2461, "";"" &amp; CHAR(10)), $A:$AO, 41, FALSE)))))"),"#N/A")</f>
        <v>#N/A</v>
      </c>
      <c r="AP2461" s="89"/>
    </row>
    <row r="2462">
      <c r="A2462" s="151" t="str">
        <f>IFERROR(__xludf.DUMMYFUNCTION("""COMPUTED_VALUE"""),"atts")</f>
        <v>atts</v>
      </c>
      <c r="B2462" s="42" t="str">
        <f>IFERROR(__xludf.DUMMYFUNCTION("""COMPUTED_VALUE"""),"DHBA")</f>
        <v>DHBA</v>
      </c>
      <c r="C2462" s="42" t="str">
        <f>IFERROR(__xludf.DUMMYFUNCTION("""COMPUTED_VALUE"""),"anterior transverse temporal sulcus")</f>
        <v>anterior transverse temporal sulcus</v>
      </c>
      <c r="D2462" s="42">
        <f>IFERROR(__xludf.DUMMYFUNCTION("""COMPUTED_VALUE"""),2345.0)</f>
        <v>2345</v>
      </c>
      <c r="E2462" s="39" t="str">
        <f>IFERROR(__xludf.DUMMYFUNCTION("""COMPUTED_VALUE"""),"anterior transverse temporal sulcus")</f>
        <v>anterior transverse temporal sulcus</v>
      </c>
      <c r="F2462" s="9" t="str">
        <f>IFERROR(__xludf.DUMMYFUNCTION("""COMPUTED_VALUE"""),"Br")</f>
        <v>Br</v>
      </c>
      <c r="G2462" s="9" t="str">
        <f>IFERROR(__xludf.DUMMYFUNCTION("""COMPUTED_VALUE"""),"F")</f>
        <v>F</v>
      </c>
      <c r="H2462" s="9" t="str">
        <f>IFERROR(__xludf.DUMMYFUNCTION("""COMPUTED_VALUE"""),"FSS")</f>
        <v>FSS</v>
      </c>
      <c r="I2462" s="9" t="str">
        <f>IFERROR(__xludf.DUMMYFUNCTION("""COMPUTED_VALUE"""),"CeS")</f>
        <v>CeS</v>
      </c>
      <c r="J2462" s="9" t="str">
        <f>IFERROR(__xludf.DUMMYFUNCTION("""COMPUTED_VALUE"""),"SecS")</f>
        <v>SecS</v>
      </c>
      <c r="K2462" s="9" t="str">
        <f>IFERROR(__xludf.DUMMYFUNCTION("""COMPUTED_VALUE"""),"tts")</f>
        <v>tts</v>
      </c>
      <c r="L2462" s="9" t="str">
        <f>IFERROR(__xludf.DUMMYFUNCTION("""COMPUTED_VALUE"""),"atts")</f>
        <v>atts</v>
      </c>
      <c r="M2462" s="9"/>
      <c r="N2462" s="9"/>
      <c r="O2462" s="9"/>
      <c r="P2462" s="9"/>
      <c r="Q2462" s="9"/>
      <c r="R2462" s="9"/>
      <c r="S2462" s="42"/>
      <c r="T2462" s="42" t="str">
        <f>IFERROR(__xludf.DUMMYFUNCTION("""COMPUTED_VALUE"""),"sulcus")</f>
        <v>sulcus</v>
      </c>
      <c r="U2462" s="42" t="b">
        <f>IFERROR(__xludf.DUMMYFUNCTION("""COMPUTED_VALUE"""),FALSE)</f>
        <v>0</v>
      </c>
      <c r="V2462" s="42"/>
      <c r="W2462" s="42"/>
      <c r="X2462" s="42"/>
      <c r="Y2462" s="42"/>
      <c r="Z2462" s="42"/>
      <c r="AA2462" s="42"/>
      <c r="AB2462" s="42" t="str">
        <f>IFERROR(__xludf.DUMMYFUNCTION("""COMPUTED_VALUE"""),"allen institute")</f>
        <v>allen institute</v>
      </c>
      <c r="AC2462" s="42" t="str">
        <f>IFERROR(__xludf.DUMMYFUNCTION("""COMPUTED_VALUE"""),"DHBA")</f>
        <v>DHBA</v>
      </c>
      <c r="AD2462" s="42"/>
      <c r="AE2462" s="42"/>
      <c r="AF2462" s="9"/>
      <c r="AG2462" s="9"/>
      <c r="AH2462" s="42"/>
      <c r="AI2462" s="42"/>
      <c r="AJ2462" s="42"/>
      <c r="AK2462" s="42"/>
      <c r="AL2462" s="42"/>
      <c r="AM2462" s="42"/>
      <c r="AN2462" s="42"/>
      <c r="AO2462" s="63" t="str">
        <f>IFERROR(__xludf.DUMMYFUNCTION("IF(ISBLANK(A2462),,IF(ISBLANK(S2462), A2462&amp;"";"", TEXTJOIN(CHAR(10), TRUE, A2462&amp;"";"", ARRAYFORMULA(VLOOKUP(SPLIT(S2462, "";"" &amp; CHAR(10)), $A:$AO, 41, FALSE)))))"),"atts;")</f>
        <v>atts;</v>
      </c>
      <c r="AP2462" s="89"/>
    </row>
    <row r="2463">
      <c r="A2463" s="151" t="str">
        <f>IFERROR(__xludf.DUMMYFUNCTION("""COMPUTED_VALUE"""),"ptts")</f>
        <v>ptts</v>
      </c>
      <c r="B2463" s="42" t="str">
        <f>IFERROR(__xludf.DUMMYFUNCTION("""COMPUTED_VALUE"""),"DHBA")</f>
        <v>DHBA</v>
      </c>
      <c r="C2463" s="42" t="str">
        <f>IFERROR(__xludf.DUMMYFUNCTION("""COMPUTED_VALUE"""),"posterior transverse temporal sulcus")</f>
        <v>posterior transverse temporal sulcus</v>
      </c>
      <c r="D2463" s="42">
        <f>IFERROR(__xludf.DUMMYFUNCTION("""COMPUTED_VALUE"""),2346.0)</f>
        <v>2346</v>
      </c>
      <c r="E2463" s="39" t="str">
        <f>IFERROR(__xludf.DUMMYFUNCTION("""COMPUTED_VALUE"""),"posterior transverse temporal sulcus")</f>
        <v>posterior transverse temporal sulcus</v>
      </c>
      <c r="F2463" s="9" t="str">
        <f>IFERROR(__xludf.DUMMYFUNCTION("""COMPUTED_VALUE"""),"Br")</f>
        <v>Br</v>
      </c>
      <c r="G2463" s="9" t="str">
        <f>IFERROR(__xludf.DUMMYFUNCTION("""COMPUTED_VALUE"""),"F")</f>
        <v>F</v>
      </c>
      <c r="H2463" s="9" t="str">
        <f>IFERROR(__xludf.DUMMYFUNCTION("""COMPUTED_VALUE"""),"FSS")</f>
        <v>FSS</v>
      </c>
      <c r="I2463" s="9" t="str">
        <f>IFERROR(__xludf.DUMMYFUNCTION("""COMPUTED_VALUE"""),"CeS")</f>
        <v>CeS</v>
      </c>
      <c r="J2463" s="9" t="str">
        <f>IFERROR(__xludf.DUMMYFUNCTION("""COMPUTED_VALUE"""),"SecS")</f>
        <v>SecS</v>
      </c>
      <c r="K2463" s="9" t="str">
        <f>IFERROR(__xludf.DUMMYFUNCTION("""COMPUTED_VALUE"""),"tts")</f>
        <v>tts</v>
      </c>
      <c r="L2463" s="9" t="str">
        <f>IFERROR(__xludf.DUMMYFUNCTION("""COMPUTED_VALUE"""),"ptts")</f>
        <v>ptts</v>
      </c>
      <c r="M2463" s="9"/>
      <c r="N2463" s="9"/>
      <c r="O2463" s="9"/>
      <c r="P2463" s="9"/>
      <c r="Q2463" s="9"/>
      <c r="R2463" s="9"/>
      <c r="S2463" s="42"/>
      <c r="T2463" s="42" t="str">
        <f>IFERROR(__xludf.DUMMYFUNCTION("""COMPUTED_VALUE"""),"sulcus")</f>
        <v>sulcus</v>
      </c>
      <c r="U2463" s="42" t="b">
        <f>IFERROR(__xludf.DUMMYFUNCTION("""COMPUTED_VALUE"""),FALSE)</f>
        <v>0</v>
      </c>
      <c r="V2463" s="42"/>
      <c r="W2463" s="42"/>
      <c r="X2463" s="42"/>
      <c r="Y2463" s="42"/>
      <c r="Z2463" s="42"/>
      <c r="AA2463" s="42"/>
      <c r="AB2463" s="42" t="str">
        <f>IFERROR(__xludf.DUMMYFUNCTION("""COMPUTED_VALUE"""),"allen institute")</f>
        <v>allen institute</v>
      </c>
      <c r="AC2463" s="42" t="str">
        <f>IFERROR(__xludf.DUMMYFUNCTION("""COMPUTED_VALUE"""),"DHBA")</f>
        <v>DHBA</v>
      </c>
      <c r="AD2463" s="42"/>
      <c r="AE2463" s="42"/>
      <c r="AF2463" s="9"/>
      <c r="AG2463" s="9"/>
      <c r="AH2463" s="42"/>
      <c r="AI2463" s="42"/>
      <c r="AJ2463" s="42"/>
      <c r="AK2463" s="42"/>
      <c r="AL2463" s="42"/>
      <c r="AM2463" s="42"/>
      <c r="AN2463" s="42"/>
      <c r="AO2463" s="63" t="str">
        <f>IFERROR(__xludf.DUMMYFUNCTION("IF(ISBLANK(A2463),,IF(ISBLANK(S2463), A2463&amp;"";"", TEXTJOIN(CHAR(10), TRUE, A2463&amp;"";"", ARRAYFORMULA(VLOOKUP(SPLIT(S2463, "";"" &amp; CHAR(10)), $A:$AO, 41, FALSE)))))"),"ptts;")</f>
        <v>ptts;</v>
      </c>
      <c r="AP2463" s="89"/>
    </row>
    <row r="2464">
      <c r="A2464" s="151" t="str">
        <f>IFERROR(__xludf.DUMMYFUNCTION("""COMPUTED_VALUE"""),"ims")</f>
        <v>ims</v>
      </c>
      <c r="B2464" s="42" t="str">
        <f>IFERROR(__xludf.DUMMYFUNCTION("""COMPUTED_VALUE"""),"DHBA")</f>
        <v>DHBA</v>
      </c>
      <c r="C2464" s="42" t="str">
        <f>IFERROR(__xludf.DUMMYFUNCTION("""COMPUTED_VALUE"""),"intermediate transverse temporal sulcus")</f>
        <v>intermediate transverse temporal sulcus</v>
      </c>
      <c r="D2464" s="42">
        <f>IFERROR(__xludf.DUMMYFUNCTION("""COMPUTED_VALUE"""),2347.0)</f>
        <v>2347</v>
      </c>
      <c r="E2464" s="39" t="str">
        <f>IFERROR(__xludf.DUMMYFUNCTION("""COMPUTED_VALUE"""),"intermediate transverse temporal sulcus")</f>
        <v>intermediate transverse temporal sulcus</v>
      </c>
      <c r="F2464" s="9" t="str">
        <f>IFERROR(__xludf.DUMMYFUNCTION("""COMPUTED_VALUE"""),"Br")</f>
        <v>Br</v>
      </c>
      <c r="G2464" s="9" t="str">
        <f>IFERROR(__xludf.DUMMYFUNCTION("""COMPUTED_VALUE"""),"F")</f>
        <v>F</v>
      </c>
      <c r="H2464" s="9" t="str">
        <f>IFERROR(__xludf.DUMMYFUNCTION("""COMPUTED_VALUE"""),"FSS")</f>
        <v>FSS</v>
      </c>
      <c r="I2464" s="9" t="str">
        <f>IFERROR(__xludf.DUMMYFUNCTION("""COMPUTED_VALUE"""),"CeS")</f>
        <v>CeS</v>
      </c>
      <c r="J2464" s="9" t="str">
        <f>IFERROR(__xludf.DUMMYFUNCTION("""COMPUTED_VALUE"""),"SecS")</f>
        <v>SecS</v>
      </c>
      <c r="K2464" s="9" t="str">
        <f>IFERROR(__xludf.DUMMYFUNCTION("""COMPUTED_VALUE"""),"tts")</f>
        <v>tts</v>
      </c>
      <c r="L2464" s="9" t="str">
        <f>IFERROR(__xludf.DUMMYFUNCTION("""COMPUTED_VALUE"""),"ims")</f>
        <v>ims</v>
      </c>
      <c r="M2464" s="9"/>
      <c r="N2464" s="9"/>
      <c r="O2464" s="9"/>
      <c r="P2464" s="9"/>
      <c r="Q2464" s="9"/>
      <c r="R2464" s="9"/>
      <c r="S2464" s="42"/>
      <c r="T2464" s="42" t="str">
        <f>IFERROR(__xludf.DUMMYFUNCTION("""COMPUTED_VALUE"""),"sulcus")</f>
        <v>sulcus</v>
      </c>
      <c r="U2464" s="42" t="b">
        <f>IFERROR(__xludf.DUMMYFUNCTION("""COMPUTED_VALUE"""),FALSE)</f>
        <v>0</v>
      </c>
      <c r="V2464" s="42"/>
      <c r="W2464" s="42"/>
      <c r="X2464" s="42"/>
      <c r="Y2464" s="42"/>
      <c r="Z2464" s="42"/>
      <c r="AA2464" s="42"/>
      <c r="AB2464" s="42" t="str">
        <f>IFERROR(__xludf.DUMMYFUNCTION("""COMPUTED_VALUE"""),"allen institute")</f>
        <v>allen institute</v>
      </c>
      <c r="AC2464" s="42" t="str">
        <f>IFERROR(__xludf.DUMMYFUNCTION("""COMPUTED_VALUE"""),"DHBA")</f>
        <v>DHBA</v>
      </c>
      <c r="AD2464" s="42"/>
      <c r="AE2464" s="42"/>
      <c r="AF2464" s="9"/>
      <c r="AG2464" s="9"/>
      <c r="AH2464" s="42"/>
      <c r="AI2464" s="42"/>
      <c r="AJ2464" s="42"/>
      <c r="AK2464" s="42"/>
      <c r="AL2464" s="42"/>
      <c r="AM2464" s="42"/>
      <c r="AN2464" s="42"/>
      <c r="AO2464" s="63" t="str">
        <f>IFERROR(__xludf.DUMMYFUNCTION("IF(ISBLANK(A2464),,IF(ISBLANK(S2464), A2464&amp;"";"", TEXTJOIN(CHAR(10), TRUE, A2464&amp;"";"", ARRAYFORMULA(VLOOKUP(SPLIT(S2464, "";"" &amp; CHAR(10)), $A:$AO, 41, FALSE)))))"),"ims;")</f>
        <v>ims;</v>
      </c>
      <c r="AP2464" s="89"/>
    </row>
    <row r="2465">
      <c r="A2465" s="151" t="str">
        <f>IFERROR(__xludf.DUMMYFUNCTION("""COMPUTED_VALUE"""),"tts-le")</f>
        <v>tts-le</v>
      </c>
      <c r="B2465" s="42" t="str">
        <f>IFERROR(__xludf.DUMMYFUNCTION("""COMPUTED_VALUE"""),"DHBA")</f>
        <v>DHBA</v>
      </c>
      <c r="C2465" s="42" t="str">
        <f>IFERROR(__xludf.DUMMYFUNCTION("""COMPUTED_VALUE"""),"lateral extension of transverse temporal sulcus")</f>
        <v>lateral extension of transverse temporal sulcus</v>
      </c>
      <c r="D2465" s="42">
        <f>IFERROR(__xludf.DUMMYFUNCTION("""COMPUTED_VALUE"""),2348.0)</f>
        <v>2348</v>
      </c>
      <c r="E2465" s="39" t="str">
        <f>IFERROR(__xludf.DUMMYFUNCTION("""COMPUTED_VALUE"""),"lateral extension of transverse temporal sulcus")</f>
        <v>lateral extension of transverse temporal sulcus</v>
      </c>
      <c r="F2465" s="9" t="str">
        <f>IFERROR(__xludf.DUMMYFUNCTION("""COMPUTED_VALUE"""),"Br")</f>
        <v>Br</v>
      </c>
      <c r="G2465" s="9" t="str">
        <f>IFERROR(__xludf.DUMMYFUNCTION("""COMPUTED_VALUE"""),"F")</f>
        <v>F</v>
      </c>
      <c r="H2465" s="9" t="str">
        <f>IFERROR(__xludf.DUMMYFUNCTION("""COMPUTED_VALUE"""),"FSS")</f>
        <v>FSS</v>
      </c>
      <c r="I2465" s="9" t="str">
        <f>IFERROR(__xludf.DUMMYFUNCTION("""COMPUTED_VALUE"""),"CeS")</f>
        <v>CeS</v>
      </c>
      <c r="J2465" s="9" t="str">
        <f>IFERROR(__xludf.DUMMYFUNCTION("""COMPUTED_VALUE"""),"SecS")</f>
        <v>SecS</v>
      </c>
      <c r="K2465" s="9" t="str">
        <f>IFERROR(__xludf.DUMMYFUNCTION("""COMPUTED_VALUE"""),"tts")</f>
        <v>tts</v>
      </c>
      <c r="L2465" s="9" t="str">
        <f>IFERROR(__xludf.DUMMYFUNCTION("""COMPUTED_VALUE"""),"tts-le")</f>
        <v>tts-le</v>
      </c>
      <c r="M2465" s="9"/>
      <c r="N2465" s="9"/>
      <c r="O2465" s="9"/>
      <c r="P2465" s="9"/>
      <c r="Q2465" s="9"/>
      <c r="R2465" s="9"/>
      <c r="S2465" s="42"/>
      <c r="T2465" s="42" t="str">
        <f>IFERROR(__xludf.DUMMYFUNCTION("""COMPUTED_VALUE"""),"sulcus")</f>
        <v>sulcus</v>
      </c>
      <c r="U2465" s="42" t="b">
        <f>IFERROR(__xludf.DUMMYFUNCTION("""COMPUTED_VALUE"""),FALSE)</f>
        <v>0</v>
      </c>
      <c r="V2465" s="42"/>
      <c r="W2465" s="42"/>
      <c r="X2465" s="42"/>
      <c r="Y2465" s="42"/>
      <c r="Z2465" s="42"/>
      <c r="AA2465" s="42"/>
      <c r="AB2465" s="42" t="str">
        <f>IFERROR(__xludf.DUMMYFUNCTION("""COMPUTED_VALUE"""),"allen institute")</f>
        <v>allen institute</v>
      </c>
      <c r="AC2465" s="42" t="str">
        <f>IFERROR(__xludf.DUMMYFUNCTION("""COMPUTED_VALUE"""),"DHBA")</f>
        <v>DHBA</v>
      </c>
      <c r="AD2465" s="42"/>
      <c r="AE2465" s="42"/>
      <c r="AF2465" s="9"/>
      <c r="AG2465" s="9"/>
      <c r="AH2465" s="42"/>
      <c r="AI2465" s="42"/>
      <c r="AJ2465" s="42"/>
      <c r="AK2465" s="42"/>
      <c r="AL2465" s="42"/>
      <c r="AM2465" s="42"/>
      <c r="AN2465" s="42"/>
      <c r="AO2465" s="63" t="str">
        <f>IFERROR(__xludf.DUMMYFUNCTION("IF(ISBLANK(A2465),,IF(ISBLANK(S2465), A2465&amp;"";"", TEXTJOIN(CHAR(10), TRUE, A2465&amp;"";"", ARRAYFORMULA(VLOOKUP(SPLIT(S2465, "";"" &amp; CHAR(10)), $A:$AO, 41, FALSE)))))"),"tts-le;")</f>
        <v>tts-le;</v>
      </c>
      <c r="AP2465" s="89"/>
    </row>
    <row r="2466">
      <c r="A2466" s="151" t="str">
        <f>IFERROR(__xludf.DUMMYFUNCTION("""COMPUTED_VALUE"""),"tros")</f>
        <v>tros</v>
      </c>
      <c r="B2466" s="42" t="str">
        <f>IFERROR(__xludf.DUMMYFUNCTION("""COMPUTED_VALUE"""),"DHBA")</f>
        <v>DHBA</v>
      </c>
      <c r="C2466" s="42" t="str">
        <f>IFERROR(__xludf.DUMMYFUNCTION("""COMPUTED_VALUE"""),"transverse occipital sulcus")</f>
        <v>transverse occipital sulcus</v>
      </c>
      <c r="D2466" s="42">
        <f>IFERROR(__xludf.DUMMYFUNCTION("""COMPUTED_VALUE"""),2349.0)</f>
        <v>2349</v>
      </c>
      <c r="E2466" s="39" t="str">
        <f>IFERROR(__xludf.DUMMYFUNCTION("""COMPUTED_VALUE"""),"transverse occipital sulcus")</f>
        <v>transverse occipital sulcus</v>
      </c>
      <c r="F2466" s="9" t="str">
        <f>IFERROR(__xludf.DUMMYFUNCTION("""COMPUTED_VALUE"""),"Br")</f>
        <v>Br</v>
      </c>
      <c r="G2466" s="9" t="str">
        <f>IFERROR(__xludf.DUMMYFUNCTION("""COMPUTED_VALUE"""),"F")</f>
        <v>F</v>
      </c>
      <c r="H2466" s="9" t="str">
        <f>IFERROR(__xludf.DUMMYFUNCTION("""COMPUTED_VALUE"""),"FSS")</f>
        <v>FSS</v>
      </c>
      <c r="I2466" s="9" t="str">
        <f>IFERROR(__xludf.DUMMYFUNCTION("""COMPUTED_VALUE"""),"CeS")</f>
        <v>CeS</v>
      </c>
      <c r="J2466" s="9" t="str">
        <f>IFERROR(__xludf.DUMMYFUNCTION("""COMPUTED_VALUE"""),"SecS")</f>
        <v>SecS</v>
      </c>
      <c r="K2466" s="9" t="str">
        <f>IFERROR(__xludf.DUMMYFUNCTION("""COMPUTED_VALUE"""),"tros")</f>
        <v>tros</v>
      </c>
      <c r="L2466" s="9"/>
      <c r="M2466" s="9"/>
      <c r="N2466" s="9"/>
      <c r="O2466" s="9"/>
      <c r="P2466" s="9"/>
      <c r="Q2466" s="9"/>
      <c r="R2466" s="9"/>
      <c r="S2466" s="42"/>
      <c r="T2466" s="42" t="str">
        <f>IFERROR(__xludf.DUMMYFUNCTION("""COMPUTED_VALUE"""),"sulcus")</f>
        <v>sulcus</v>
      </c>
      <c r="U2466" s="42" t="b">
        <f>IFERROR(__xludf.DUMMYFUNCTION("""COMPUTED_VALUE"""),FALSE)</f>
        <v>0</v>
      </c>
      <c r="V2466" s="42"/>
      <c r="W2466" s="42"/>
      <c r="X2466" s="42"/>
      <c r="Y2466" s="42"/>
      <c r="Z2466" s="42"/>
      <c r="AA2466" s="42"/>
      <c r="AB2466" s="42" t="str">
        <f>IFERROR(__xludf.DUMMYFUNCTION("""COMPUTED_VALUE"""),"allen institute")</f>
        <v>allen institute</v>
      </c>
      <c r="AC2466" s="42" t="str">
        <f>IFERROR(__xludf.DUMMYFUNCTION("""COMPUTED_VALUE"""),"DHBA")</f>
        <v>DHBA</v>
      </c>
      <c r="AD2466" s="42"/>
      <c r="AE2466" s="42"/>
      <c r="AF2466" s="9"/>
      <c r="AG2466" s="9"/>
      <c r="AH2466" s="42"/>
      <c r="AI2466" s="42"/>
      <c r="AJ2466" s="42"/>
      <c r="AK2466" s="42"/>
      <c r="AL2466" s="42"/>
      <c r="AM2466" s="42"/>
      <c r="AN2466" s="42"/>
      <c r="AO2466" s="63" t="str">
        <f>IFERROR(__xludf.DUMMYFUNCTION("IF(ISBLANK(A2466),,IF(ISBLANK(S2466), A2466&amp;"";"", TEXTJOIN(CHAR(10), TRUE, A2466&amp;"";"", ARRAYFORMULA(VLOOKUP(SPLIT(S2466, "";"" &amp; CHAR(10)), $A:$AO, 41, FALSE)))))"),"tros;")</f>
        <v>tros;</v>
      </c>
      <c r="AP2466" s="89"/>
    </row>
    <row r="2467">
      <c r="A2467" s="151" t="str">
        <f>IFERROR(__xludf.DUMMYFUNCTION("""COMPUTED_VALUE"""),"us")</f>
        <v>us</v>
      </c>
      <c r="B2467" s="42" t="str">
        <f>IFERROR(__xludf.DUMMYFUNCTION("""COMPUTED_VALUE"""),"DHBA")</f>
        <v>DHBA</v>
      </c>
      <c r="C2467" s="42" t="str">
        <f>IFERROR(__xludf.DUMMYFUNCTION("""COMPUTED_VALUE"""),"uncal sulcus")</f>
        <v>uncal sulcus</v>
      </c>
      <c r="D2467" s="42">
        <f>IFERROR(__xludf.DUMMYFUNCTION("""COMPUTED_VALUE"""),2350.0)</f>
        <v>2350</v>
      </c>
      <c r="E2467" s="39" t="str">
        <f>IFERROR(__xludf.DUMMYFUNCTION("""COMPUTED_VALUE"""),"uncal sulcus")</f>
        <v>uncal sulcus</v>
      </c>
      <c r="F2467" s="9" t="str">
        <f>IFERROR(__xludf.DUMMYFUNCTION("""COMPUTED_VALUE"""),"Br")</f>
        <v>Br</v>
      </c>
      <c r="G2467" s="9" t="str">
        <f>IFERROR(__xludf.DUMMYFUNCTION("""COMPUTED_VALUE"""),"F")</f>
        <v>F</v>
      </c>
      <c r="H2467" s="9" t="str">
        <f>IFERROR(__xludf.DUMMYFUNCTION("""COMPUTED_VALUE"""),"FSS")</f>
        <v>FSS</v>
      </c>
      <c r="I2467" s="9" t="str">
        <f>IFERROR(__xludf.DUMMYFUNCTION("""COMPUTED_VALUE"""),"CeS")</f>
        <v>CeS</v>
      </c>
      <c r="J2467" s="9" t="str">
        <f>IFERROR(__xludf.DUMMYFUNCTION("""COMPUTED_VALUE"""),"SecS")</f>
        <v>SecS</v>
      </c>
      <c r="K2467" s="9" t="str">
        <f>IFERROR(__xludf.DUMMYFUNCTION("""COMPUTED_VALUE"""),"us")</f>
        <v>us</v>
      </c>
      <c r="L2467" s="9"/>
      <c r="M2467" s="9"/>
      <c r="N2467" s="9"/>
      <c r="O2467" s="9"/>
      <c r="P2467" s="9"/>
      <c r="Q2467" s="9"/>
      <c r="R2467" s="9"/>
      <c r="S2467" s="42"/>
      <c r="T2467" s="42" t="str">
        <f>IFERROR(__xludf.DUMMYFUNCTION("""COMPUTED_VALUE"""),"sulcus")</f>
        <v>sulcus</v>
      </c>
      <c r="U2467" s="42" t="b">
        <f>IFERROR(__xludf.DUMMYFUNCTION("""COMPUTED_VALUE"""),FALSE)</f>
        <v>0</v>
      </c>
      <c r="V2467" s="42"/>
      <c r="W2467" s="42"/>
      <c r="X2467" s="42"/>
      <c r="Y2467" s="42"/>
      <c r="Z2467" s="42"/>
      <c r="AA2467" s="42"/>
      <c r="AB2467" s="42" t="str">
        <f>IFERROR(__xludf.DUMMYFUNCTION("""COMPUTED_VALUE"""),"allen institute")</f>
        <v>allen institute</v>
      </c>
      <c r="AC2467" s="42" t="str">
        <f>IFERROR(__xludf.DUMMYFUNCTION("""COMPUTED_VALUE"""),"DHBA")</f>
        <v>DHBA</v>
      </c>
      <c r="AD2467" s="42"/>
      <c r="AE2467" s="42"/>
      <c r="AF2467" s="9"/>
      <c r="AG2467" s="9"/>
      <c r="AH2467" s="42"/>
      <c r="AI2467" s="42"/>
      <c r="AJ2467" s="42"/>
      <c r="AK2467" s="42"/>
      <c r="AL2467" s="42"/>
      <c r="AM2467" s="42"/>
      <c r="AN2467" s="42"/>
      <c r="AO2467" s="63" t="str">
        <f>IFERROR(__xludf.DUMMYFUNCTION("IF(ISBLANK(A2467),,IF(ISBLANK(S2467), A2467&amp;"";"", TEXTJOIN(CHAR(10), TRUE, A2467&amp;"";"", ARRAYFORMULA(VLOOKUP(SPLIT(S2467, "";"" &amp; CHAR(10)), $A:$AO, 41, FALSE)))))"),"us;")</f>
        <v>us;</v>
      </c>
      <c r="AP2467" s="89"/>
    </row>
    <row r="2468">
      <c r="A2468" s="151" t="str">
        <f>IFERROR(__xludf.DUMMYFUNCTION("""COMPUTED_VALUE"""),"CeG")</f>
        <v>CeG</v>
      </c>
      <c r="B2468" s="42" t="str">
        <f>IFERROR(__xludf.DUMMYFUNCTION("""COMPUTED_VALUE"""),"DHBA")</f>
        <v>DHBA</v>
      </c>
      <c r="C2468" s="42" t="str">
        <f>IFERROR(__xludf.DUMMYFUNCTION("""COMPUTED_VALUE"""),"cerebral gyri and lobules")</f>
        <v>cerebral gyri and lobules</v>
      </c>
      <c r="D2468" s="42">
        <f>IFERROR(__xludf.DUMMYFUNCTION("""COMPUTED_VALUE"""),2351.0)</f>
        <v>2351</v>
      </c>
      <c r="E2468" s="39" t="str">
        <f>IFERROR(__xludf.DUMMYFUNCTION("""COMPUTED_VALUE"""),"cerebral gyri and lobules")</f>
        <v>cerebral gyri and lobules</v>
      </c>
      <c r="F2468" s="9" t="str">
        <f>IFERROR(__xludf.DUMMYFUNCTION("""COMPUTED_VALUE"""),"Br")</f>
        <v>Br</v>
      </c>
      <c r="G2468" s="9" t="str">
        <f>IFERROR(__xludf.DUMMYFUNCTION("""COMPUTED_VALUE"""),"F")</f>
        <v>F</v>
      </c>
      <c r="H2468" s="9" t="str">
        <f>IFERROR(__xludf.DUMMYFUNCTION("""COMPUTED_VALUE"""),"FSS")</f>
        <v>FSS</v>
      </c>
      <c r="I2468" s="9" t="str">
        <f>IFERROR(__xludf.DUMMYFUNCTION("""COMPUTED_VALUE"""),"CeG")</f>
        <v>CeG</v>
      </c>
      <c r="J2468" s="9"/>
      <c r="K2468" s="9"/>
      <c r="L2468" s="9"/>
      <c r="M2468" s="9"/>
      <c r="N2468" s="9"/>
      <c r="O2468" s="9"/>
      <c r="P2468" s="9"/>
      <c r="Q2468" s="9"/>
      <c r="R2468" s="9"/>
      <c r="S2468" s="42" t="str">
        <f>IFERROR(__xludf.DUMMYFUNCTION("""COMPUTED_VALUE"""),"FroL;
ParL;
TemL;
OccL;
InL;
LimL")</f>
        <v>FroL;
ParL;
TemL;
OccL;
InL;
LimL</v>
      </c>
      <c r="T2468" s="42" t="str">
        <f>IFERROR(__xludf.DUMMYFUNCTION("""COMPUTED_VALUE"""),"gyrus;
lobe")</f>
        <v>gyrus;
lobe</v>
      </c>
      <c r="U2468" s="42" t="b">
        <f>IFERROR(__xludf.DUMMYFUNCTION("""COMPUTED_VALUE"""),FALSE)</f>
        <v>0</v>
      </c>
      <c r="V2468" s="42"/>
      <c r="W2468" s="42"/>
      <c r="X2468" s="42"/>
      <c r="Y2468" s="42"/>
      <c r="Z2468" s="42"/>
      <c r="AA2468" s="42"/>
      <c r="AB2468" s="42" t="str">
        <f>IFERROR(__xludf.DUMMYFUNCTION("""COMPUTED_VALUE"""),"allen institute")</f>
        <v>allen institute</v>
      </c>
      <c r="AC2468" s="42" t="str">
        <f>IFERROR(__xludf.DUMMYFUNCTION("""COMPUTED_VALUE"""),"DHBA")</f>
        <v>DHBA</v>
      </c>
      <c r="AD2468" s="42"/>
      <c r="AE2468" s="42"/>
      <c r="AF2468" s="9"/>
      <c r="AG2468" s="9"/>
      <c r="AH2468" s="42"/>
      <c r="AI2468" s="42"/>
      <c r="AJ2468" s="42"/>
      <c r="AK2468" s="42"/>
      <c r="AL2468" s="42"/>
      <c r="AM2468" s="42"/>
      <c r="AN2468" s="42"/>
      <c r="AO2468" s="63" t="str">
        <f>IFERROR(__xludf.DUMMYFUNCTION("IF(ISBLANK(A2468),,IF(ISBLANK(S2468), A2468&amp;"";"", TEXTJOIN(CHAR(10), TRUE, A2468&amp;"";"", ARRAYFORMULA(VLOOKUP(SPLIT(S2468, "";"" &amp; CHAR(10)), $A:$AO, 41, FALSE)))))"),"CeG;
FroL;
PrCG;
SFG;
MFG;
IFG;
IFGtr;
IFGop;
IFGor;
ReG;
MOrG;
AOrG;
POrG;
LOrG;
PCLr;
PaCG;
FrO;
OrO;
RoG;
SRoG;
IRoG;
LOG;
FMG;
FP;
ParL;
PoCG;
SPL;
IPL;
SMG;
AnG;
PrCun;
PCLc;
PaO;
TemL;
STG;
mtg;
ITG;
FuGt;
PRG;
TTG;
TTGr;
TTGc;
PLT;
TP;
PRL;
PLP;
Oc"&amp;"cL;
OP;
OPR;
OTR;
Cun;
LiG;
FuGo;
IOG;
SOG;
InL;
LiG;
SIG;
LimL;
CgG;
CgGr;
CgGc;
CgGrs;
IsCPH;
ScG;
ptg;
PHG;
APH;
PPH;
UN;
AG;
BG;
ILG;
SLG;
HiF;
HiH;
HiD;
HiB;
HiT;
FaG;
Retz;
Subx;
PrPir;")</f>
        <v>CeG;
FroL;
PrCG;
SFG;
MFG;
IFG;
IFGtr;
IFGop;
IFGor;
ReG;
MOrG;
AOrG;
POrG;
LOrG;
PCLr;
PaCG;
FrO;
OrO;
RoG;
SRoG;
IRoG;
LOG;
FMG;
FP;
ParL;
PoCG;
SPL;
IPL;
SMG;
AnG;
PrCun;
PCLc;
PaO;
TemL;
STG;
mtg;
ITG;
FuGt;
PRG;
TTG;
TTGr;
TTGc;
PLT;
TP;
PRL;
PLP;
OccL;
OP;
OPR;
OTR;
Cun;
LiG;
FuGo;
IOG;
SOG;
InL;
LiG;
SIG;
LimL;
CgG;
CgGr;
CgGc;
CgGrs;
IsCPH;
ScG;
ptg;
PHG;
APH;
PPH;
UN;
AG;
BG;
ILG;
SLG;
HiF;
HiH;
HiD;
HiB;
HiT;
FaG;
Retz;
Subx;
PrPir;</v>
      </c>
      <c r="AP2468" s="89"/>
    </row>
    <row r="2469">
      <c r="A2469" s="151" t="str">
        <f>IFERROR(__xludf.DUMMYFUNCTION("""COMPUTED_VALUE"""),"FroL")</f>
        <v>FroL</v>
      </c>
      <c r="B2469" s="42" t="str">
        <f>IFERROR(__xludf.DUMMYFUNCTION("""COMPUTED_VALUE"""),"DHBA")</f>
        <v>DHBA</v>
      </c>
      <c r="C2469" s="42" t="str">
        <f>IFERROR(__xludf.DUMMYFUNCTION("""COMPUTED_VALUE"""),"frontal lobe")</f>
        <v>frontal lobe</v>
      </c>
      <c r="D2469" s="42">
        <f>IFERROR(__xludf.DUMMYFUNCTION("""COMPUTED_VALUE"""),2352.0)</f>
        <v>2352</v>
      </c>
      <c r="E2469" s="39" t="str">
        <f>IFERROR(__xludf.DUMMYFUNCTION("""COMPUTED_VALUE"""),"frontal lobe")</f>
        <v>frontal lobe</v>
      </c>
      <c r="F2469" s="9" t="str">
        <f>IFERROR(__xludf.DUMMYFUNCTION("""COMPUTED_VALUE"""),"Br")</f>
        <v>Br</v>
      </c>
      <c r="G2469" s="9" t="str">
        <f>IFERROR(__xludf.DUMMYFUNCTION("""COMPUTED_VALUE"""),"F")</f>
        <v>F</v>
      </c>
      <c r="H2469" s="9" t="str">
        <f>IFERROR(__xludf.DUMMYFUNCTION("""COMPUTED_VALUE"""),"FSS")</f>
        <v>FSS</v>
      </c>
      <c r="I2469" s="9" t="str">
        <f>IFERROR(__xludf.DUMMYFUNCTION("""COMPUTED_VALUE"""),"CeG")</f>
        <v>CeG</v>
      </c>
      <c r="J2469" s="9" t="str">
        <f>IFERROR(__xludf.DUMMYFUNCTION("""COMPUTED_VALUE"""),"FroL")</f>
        <v>FroL</v>
      </c>
      <c r="K2469" s="9"/>
      <c r="L2469" s="9"/>
      <c r="M2469" s="9"/>
      <c r="N2469" s="9"/>
      <c r="O2469" s="9"/>
      <c r="P2469" s="9"/>
      <c r="Q2469" s="9"/>
      <c r="R2469" s="9"/>
      <c r="S2469" s="42" t="str">
        <f>IFERROR(__xludf.DUMMYFUNCTION("""COMPUTED_VALUE"""),"PrCG;
SFG;
MFG;
IFG;
ReG;
MOrG;
AOrG;
POrG;
LOrG;
PCLr;
PaCG;
FrO;
OrO;
RoG;
LOG;
FMG;
FP")</f>
        <v>PrCG;
SFG;
MFG;
IFG;
ReG;
MOrG;
AOrG;
POrG;
LOrG;
PCLr;
PaCG;
FrO;
OrO;
RoG;
LOG;
FMG;
FP</v>
      </c>
      <c r="T2469" s="42" t="str">
        <f>IFERROR(__xludf.DUMMYFUNCTION("""COMPUTED_VALUE"""),"lobe")</f>
        <v>lobe</v>
      </c>
      <c r="U2469" s="42" t="b">
        <f>IFERROR(__xludf.DUMMYFUNCTION("""COMPUTED_VALUE"""),FALSE)</f>
        <v>0</v>
      </c>
      <c r="V2469" s="42"/>
      <c r="W2469" s="42"/>
      <c r="X2469" s="42"/>
      <c r="Y2469" s="42"/>
      <c r="Z2469" s="42"/>
      <c r="AA2469" s="42"/>
      <c r="AB2469" s="42" t="str">
        <f>IFERROR(__xludf.DUMMYFUNCTION("""COMPUTED_VALUE"""),"allen institute")</f>
        <v>allen institute</v>
      </c>
      <c r="AC2469" s="42" t="str">
        <f>IFERROR(__xludf.DUMMYFUNCTION("""COMPUTED_VALUE"""),"DHBA")</f>
        <v>DHBA</v>
      </c>
      <c r="AD2469" s="42"/>
      <c r="AE2469" s="42"/>
      <c r="AF2469" s="9"/>
      <c r="AG2469" s="9"/>
      <c r="AH2469" s="42"/>
      <c r="AI2469" s="42"/>
      <c r="AJ2469" s="42"/>
      <c r="AK2469" s="42"/>
      <c r="AL2469" s="42"/>
      <c r="AM2469" s="42"/>
      <c r="AN2469" s="42"/>
      <c r="AO2469" s="63" t="str">
        <f>IFERROR(__xludf.DUMMYFUNCTION("IF(ISBLANK(A2469),,IF(ISBLANK(S2469), A2469&amp;"";"", TEXTJOIN(CHAR(10), TRUE, A2469&amp;"";"", ARRAYFORMULA(VLOOKUP(SPLIT(S2469, "";"" &amp; CHAR(10)), $A:$AO, 41, FALSE)))))"),"FroL;
PrCG;
SFG;
MFG;
IFG;
IFGtr;
IFGop;
IFGor;
ReG;
MOrG;
AOrG;
POrG;
LOrG;
PCLr;
PaCG;
FrO;
OrO;
RoG;
SRoG;
IRoG;
LOG;
FMG;
FP;")</f>
        <v>FroL;
PrCG;
SFG;
MFG;
IFG;
IFGtr;
IFGop;
IFGor;
ReG;
MOrG;
AOrG;
POrG;
LOrG;
PCLr;
PaCG;
FrO;
OrO;
RoG;
SRoG;
IRoG;
LOG;
FMG;
FP;</v>
      </c>
      <c r="AP2469" s="89"/>
    </row>
    <row r="2470">
      <c r="A2470" s="151" t="str">
        <f>IFERROR(__xludf.DUMMYFUNCTION("""COMPUTED_VALUE"""),"PrCG")</f>
        <v>PrCG</v>
      </c>
      <c r="B2470" s="42" t="str">
        <f>IFERROR(__xludf.DUMMYFUNCTION("""COMPUTED_VALUE"""),"DHBA")</f>
        <v>DHBA</v>
      </c>
      <c r="C2470" s="42" t="str">
        <f>IFERROR(__xludf.DUMMYFUNCTION("""COMPUTED_VALUE"""),"precentral gyrus")</f>
        <v>precentral gyrus</v>
      </c>
      <c r="D2470" s="42">
        <f>IFERROR(__xludf.DUMMYFUNCTION("""COMPUTED_VALUE"""),2353.0)</f>
        <v>2353</v>
      </c>
      <c r="E2470" s="39" t="str">
        <f>IFERROR(__xludf.DUMMYFUNCTION("""COMPUTED_VALUE"""),"precentral gyrus")</f>
        <v>precentral gyrus</v>
      </c>
      <c r="F2470" s="9" t="str">
        <f>IFERROR(__xludf.DUMMYFUNCTION("""COMPUTED_VALUE"""),"Br")</f>
        <v>Br</v>
      </c>
      <c r="G2470" s="9" t="str">
        <f>IFERROR(__xludf.DUMMYFUNCTION("""COMPUTED_VALUE"""),"F")</f>
        <v>F</v>
      </c>
      <c r="H2470" s="9" t="str">
        <f>IFERROR(__xludf.DUMMYFUNCTION("""COMPUTED_VALUE"""),"FSS")</f>
        <v>FSS</v>
      </c>
      <c r="I2470" s="9" t="str">
        <f>IFERROR(__xludf.DUMMYFUNCTION("""COMPUTED_VALUE"""),"CeG")</f>
        <v>CeG</v>
      </c>
      <c r="J2470" s="9" t="str">
        <f>IFERROR(__xludf.DUMMYFUNCTION("""COMPUTED_VALUE"""),"FroL")</f>
        <v>FroL</v>
      </c>
      <c r="K2470" s="9" t="str">
        <f>IFERROR(__xludf.DUMMYFUNCTION("""COMPUTED_VALUE"""),"PrCG")</f>
        <v>PrCG</v>
      </c>
      <c r="L2470" s="9"/>
      <c r="M2470" s="9"/>
      <c r="N2470" s="9"/>
      <c r="O2470" s="9"/>
      <c r="P2470" s="9"/>
      <c r="Q2470" s="9"/>
      <c r="R2470" s="9"/>
      <c r="S2470" s="42"/>
      <c r="T2470" s="42" t="str">
        <f>IFERROR(__xludf.DUMMYFUNCTION("""COMPUTED_VALUE"""),"gyrus")</f>
        <v>gyrus</v>
      </c>
      <c r="U2470" s="42" t="b">
        <f>IFERROR(__xludf.DUMMYFUNCTION("""COMPUTED_VALUE"""),FALSE)</f>
        <v>0</v>
      </c>
      <c r="V2470" s="42"/>
      <c r="W2470" s="42"/>
      <c r="X2470" s="42"/>
      <c r="Y2470" s="42"/>
      <c r="Z2470" s="42"/>
      <c r="AA2470" s="42"/>
      <c r="AB2470" s="42" t="str">
        <f>IFERROR(__xludf.DUMMYFUNCTION("""COMPUTED_VALUE"""),"allen institute")</f>
        <v>allen institute</v>
      </c>
      <c r="AC2470" s="42" t="str">
        <f>IFERROR(__xludf.DUMMYFUNCTION("""COMPUTED_VALUE"""),"DHBA")</f>
        <v>DHBA</v>
      </c>
      <c r="AD2470" s="42"/>
      <c r="AE2470" s="42"/>
      <c r="AF2470" s="9"/>
      <c r="AG2470" s="9"/>
      <c r="AH2470" s="42"/>
      <c r="AI2470" s="42"/>
      <c r="AJ2470" s="42"/>
      <c r="AK2470" s="42"/>
      <c r="AL2470" s="42"/>
      <c r="AM2470" s="42"/>
      <c r="AN2470" s="42"/>
      <c r="AO2470" s="63" t="str">
        <f>IFERROR(__xludf.DUMMYFUNCTION("IF(ISBLANK(A2470),,IF(ISBLANK(S2470), A2470&amp;"";"", TEXTJOIN(CHAR(10), TRUE, A2470&amp;"";"", ARRAYFORMULA(VLOOKUP(SPLIT(S2470, "";"" &amp; CHAR(10)), $A:$AO, 41, FALSE)))))"),"PrCG;")</f>
        <v>PrCG;</v>
      </c>
      <c r="AP2470" s="89"/>
    </row>
    <row r="2471">
      <c r="A2471" s="151" t="str">
        <f>IFERROR(__xludf.DUMMYFUNCTION("""COMPUTED_VALUE"""),"SFG")</f>
        <v>SFG</v>
      </c>
      <c r="B2471" s="42" t="str">
        <f>IFERROR(__xludf.DUMMYFUNCTION("""COMPUTED_VALUE"""),"DHBA")</f>
        <v>DHBA</v>
      </c>
      <c r="C2471" s="42" t="str">
        <f>IFERROR(__xludf.DUMMYFUNCTION("""COMPUTED_VALUE"""),"superior frontal gyrus")</f>
        <v>superior frontal gyrus</v>
      </c>
      <c r="D2471" s="42">
        <f>IFERROR(__xludf.DUMMYFUNCTION("""COMPUTED_VALUE"""),2354.0)</f>
        <v>2354</v>
      </c>
      <c r="E2471" s="39" t="str">
        <f>IFERROR(__xludf.DUMMYFUNCTION("""COMPUTED_VALUE"""),"superior frontal gyrus")</f>
        <v>superior frontal gyrus</v>
      </c>
      <c r="F2471" s="9" t="str">
        <f>IFERROR(__xludf.DUMMYFUNCTION("""COMPUTED_VALUE"""),"Br")</f>
        <v>Br</v>
      </c>
      <c r="G2471" s="9" t="str">
        <f>IFERROR(__xludf.DUMMYFUNCTION("""COMPUTED_VALUE"""),"F")</f>
        <v>F</v>
      </c>
      <c r="H2471" s="9" t="str">
        <f>IFERROR(__xludf.DUMMYFUNCTION("""COMPUTED_VALUE"""),"FSS")</f>
        <v>FSS</v>
      </c>
      <c r="I2471" s="9" t="str">
        <f>IFERROR(__xludf.DUMMYFUNCTION("""COMPUTED_VALUE"""),"CeG")</f>
        <v>CeG</v>
      </c>
      <c r="J2471" s="9" t="str">
        <f>IFERROR(__xludf.DUMMYFUNCTION("""COMPUTED_VALUE"""),"FroL")</f>
        <v>FroL</v>
      </c>
      <c r="K2471" s="9" t="str">
        <f>IFERROR(__xludf.DUMMYFUNCTION("""COMPUTED_VALUE"""),"SFG")</f>
        <v>SFG</v>
      </c>
      <c r="L2471" s="9"/>
      <c r="M2471" s="9"/>
      <c r="N2471" s="9"/>
      <c r="O2471" s="9"/>
      <c r="P2471" s="9"/>
      <c r="Q2471" s="9"/>
      <c r="R2471" s="9"/>
      <c r="S2471" s="42"/>
      <c r="T2471" s="42" t="str">
        <f>IFERROR(__xludf.DUMMYFUNCTION("""COMPUTED_VALUE"""),"gyrus")</f>
        <v>gyrus</v>
      </c>
      <c r="U2471" s="159" t="b">
        <f>IFERROR(__xludf.DUMMYFUNCTION("""COMPUTED_VALUE"""),FALSE)</f>
        <v>0</v>
      </c>
      <c r="V2471" s="42"/>
      <c r="W2471" s="42"/>
      <c r="X2471" s="42"/>
      <c r="Y2471" s="42"/>
      <c r="Z2471" s="42"/>
      <c r="AA2471" s="42"/>
      <c r="AB2471" s="42" t="str">
        <f>IFERROR(__xludf.DUMMYFUNCTION("""COMPUTED_VALUE"""),"allen institute")</f>
        <v>allen institute</v>
      </c>
      <c r="AC2471" s="42" t="str">
        <f>IFERROR(__xludf.DUMMYFUNCTION("""COMPUTED_VALUE"""),"DHBA")</f>
        <v>DHBA</v>
      </c>
      <c r="AD2471" s="42"/>
      <c r="AE2471" s="42"/>
      <c r="AF2471" s="9"/>
      <c r="AG2471" s="9"/>
      <c r="AH2471" s="42"/>
      <c r="AI2471" s="42"/>
      <c r="AJ2471" s="42"/>
      <c r="AK2471" s="42"/>
      <c r="AL2471" s="42"/>
      <c r="AM2471" s="42"/>
      <c r="AN2471" s="42"/>
      <c r="AO2471" s="63" t="str">
        <f>IFERROR(__xludf.DUMMYFUNCTION("IF(ISBLANK(A2471),,IF(ISBLANK(S2471), A2471&amp;"";"", TEXTJOIN(CHAR(10), TRUE, A2471&amp;"";"", ARRAYFORMULA(VLOOKUP(SPLIT(S2471, "";"" &amp; CHAR(10)), $A:$AO, 41, FALSE)))))"),"SFG;")</f>
        <v>SFG;</v>
      </c>
      <c r="AP2471" s="89"/>
    </row>
    <row r="2472">
      <c r="A2472" s="151" t="str">
        <f>IFERROR(__xludf.DUMMYFUNCTION("""COMPUTED_VALUE"""),"MFG")</f>
        <v>MFG</v>
      </c>
      <c r="B2472" s="42" t="str">
        <f>IFERROR(__xludf.DUMMYFUNCTION("""COMPUTED_VALUE"""),"DHBA")</f>
        <v>DHBA</v>
      </c>
      <c r="C2472" s="42" t="str">
        <f>IFERROR(__xludf.DUMMYFUNCTION("""COMPUTED_VALUE"""),"middle frontal gyrus")</f>
        <v>middle frontal gyrus</v>
      </c>
      <c r="D2472" s="42">
        <f>IFERROR(__xludf.DUMMYFUNCTION("""COMPUTED_VALUE"""),2355.0)</f>
        <v>2355</v>
      </c>
      <c r="E2472" s="39" t="str">
        <f>IFERROR(__xludf.DUMMYFUNCTION("""COMPUTED_VALUE"""),"middle frontal gyrus")</f>
        <v>middle frontal gyrus</v>
      </c>
      <c r="F2472" s="9" t="str">
        <f>IFERROR(__xludf.DUMMYFUNCTION("""COMPUTED_VALUE"""),"Br")</f>
        <v>Br</v>
      </c>
      <c r="G2472" s="9" t="str">
        <f>IFERROR(__xludf.DUMMYFUNCTION("""COMPUTED_VALUE"""),"F")</f>
        <v>F</v>
      </c>
      <c r="H2472" s="9" t="str">
        <f>IFERROR(__xludf.DUMMYFUNCTION("""COMPUTED_VALUE"""),"FSS")</f>
        <v>FSS</v>
      </c>
      <c r="I2472" s="9" t="str">
        <f>IFERROR(__xludf.DUMMYFUNCTION("""COMPUTED_VALUE"""),"CeG")</f>
        <v>CeG</v>
      </c>
      <c r="J2472" s="9" t="str">
        <f>IFERROR(__xludf.DUMMYFUNCTION("""COMPUTED_VALUE"""),"FroL")</f>
        <v>FroL</v>
      </c>
      <c r="K2472" s="9" t="str">
        <f>IFERROR(__xludf.DUMMYFUNCTION("""COMPUTED_VALUE"""),"MFG")</f>
        <v>MFG</v>
      </c>
      <c r="L2472" s="9"/>
      <c r="M2472" s="9"/>
      <c r="N2472" s="9"/>
      <c r="O2472" s="9"/>
      <c r="P2472" s="9"/>
      <c r="Q2472" s="9"/>
      <c r="R2472" s="9"/>
      <c r="S2472" s="42"/>
      <c r="T2472" s="42" t="str">
        <f>IFERROR(__xludf.DUMMYFUNCTION("""COMPUTED_VALUE"""),"gyrus")</f>
        <v>gyrus</v>
      </c>
      <c r="U2472" s="159" t="b">
        <f>IFERROR(__xludf.DUMMYFUNCTION("""COMPUTED_VALUE"""),FALSE)</f>
        <v>0</v>
      </c>
      <c r="V2472" s="42"/>
      <c r="W2472" s="42"/>
      <c r="X2472" s="42"/>
      <c r="Y2472" s="42"/>
      <c r="Z2472" s="42"/>
      <c r="AA2472" s="42"/>
      <c r="AB2472" s="42" t="str">
        <f>IFERROR(__xludf.DUMMYFUNCTION("""COMPUTED_VALUE"""),"allen institute")</f>
        <v>allen institute</v>
      </c>
      <c r="AC2472" s="42" t="str">
        <f>IFERROR(__xludf.DUMMYFUNCTION("""COMPUTED_VALUE"""),"DHBA")</f>
        <v>DHBA</v>
      </c>
      <c r="AD2472" s="42"/>
      <c r="AE2472" s="42"/>
      <c r="AF2472" s="9"/>
      <c r="AG2472" s="9"/>
      <c r="AH2472" s="42"/>
      <c r="AI2472" s="42"/>
      <c r="AJ2472" s="42"/>
      <c r="AK2472" s="42"/>
      <c r="AL2472" s="42"/>
      <c r="AM2472" s="42"/>
      <c r="AN2472" s="42"/>
      <c r="AO2472" s="63" t="str">
        <f>IFERROR(__xludf.DUMMYFUNCTION("IF(ISBLANK(A2472),,IF(ISBLANK(S2472), A2472&amp;"";"", TEXTJOIN(CHAR(10), TRUE, A2472&amp;"";"", ARRAYFORMULA(VLOOKUP(SPLIT(S2472, "";"" &amp; CHAR(10)), $A:$AO, 41, FALSE)))))"),"MFG;")</f>
        <v>MFG;</v>
      </c>
      <c r="AP2472" s="89"/>
    </row>
    <row r="2473">
      <c r="A2473" s="151" t="str">
        <f>IFERROR(__xludf.DUMMYFUNCTION("""COMPUTED_VALUE"""),"IFG")</f>
        <v>IFG</v>
      </c>
      <c r="B2473" s="42" t="str">
        <f>IFERROR(__xludf.DUMMYFUNCTION("""COMPUTED_VALUE"""),"DHBA")</f>
        <v>DHBA</v>
      </c>
      <c r="C2473" s="42" t="str">
        <f>IFERROR(__xludf.DUMMYFUNCTION("""COMPUTED_VALUE"""),"inferior frontal gyrus")</f>
        <v>inferior frontal gyrus</v>
      </c>
      <c r="D2473" s="42">
        <f>IFERROR(__xludf.DUMMYFUNCTION("""COMPUTED_VALUE"""),2356.0)</f>
        <v>2356</v>
      </c>
      <c r="E2473" s="39" t="str">
        <f>IFERROR(__xludf.DUMMYFUNCTION("""COMPUTED_VALUE"""),"inferior frontal gyrus")</f>
        <v>inferior frontal gyrus</v>
      </c>
      <c r="F2473" s="9" t="str">
        <f>IFERROR(__xludf.DUMMYFUNCTION("""COMPUTED_VALUE"""),"Br")</f>
        <v>Br</v>
      </c>
      <c r="G2473" s="9" t="str">
        <f>IFERROR(__xludf.DUMMYFUNCTION("""COMPUTED_VALUE"""),"F")</f>
        <v>F</v>
      </c>
      <c r="H2473" s="9" t="str">
        <f>IFERROR(__xludf.DUMMYFUNCTION("""COMPUTED_VALUE"""),"FSS")</f>
        <v>FSS</v>
      </c>
      <c r="I2473" s="9" t="str">
        <f>IFERROR(__xludf.DUMMYFUNCTION("""COMPUTED_VALUE"""),"CeG")</f>
        <v>CeG</v>
      </c>
      <c r="J2473" s="9" t="str">
        <f>IFERROR(__xludf.DUMMYFUNCTION("""COMPUTED_VALUE"""),"FroL")</f>
        <v>FroL</v>
      </c>
      <c r="K2473" s="9" t="str">
        <f>IFERROR(__xludf.DUMMYFUNCTION("""COMPUTED_VALUE"""),"IFG")</f>
        <v>IFG</v>
      </c>
      <c r="L2473" s="9"/>
      <c r="M2473" s="9"/>
      <c r="N2473" s="9"/>
      <c r="O2473" s="9"/>
      <c r="P2473" s="9"/>
      <c r="Q2473" s="9"/>
      <c r="R2473" s="9"/>
      <c r="S2473" s="42" t="str">
        <f>IFERROR(__xludf.DUMMYFUNCTION("""COMPUTED_VALUE"""),"IFGtr;
IFGop;
IFGor")</f>
        <v>IFGtr;
IFGop;
IFGor</v>
      </c>
      <c r="T2473" s="42" t="str">
        <f>IFERROR(__xludf.DUMMYFUNCTION("""COMPUTED_VALUE"""),"gyrus")</f>
        <v>gyrus</v>
      </c>
      <c r="U2473" s="42" t="b">
        <f>IFERROR(__xludf.DUMMYFUNCTION("""COMPUTED_VALUE"""),FALSE)</f>
        <v>0</v>
      </c>
      <c r="V2473" s="42"/>
      <c r="W2473" s="42"/>
      <c r="X2473" s="42"/>
      <c r="Y2473" s="42"/>
      <c r="Z2473" s="42"/>
      <c r="AA2473" s="42"/>
      <c r="AB2473" s="42" t="str">
        <f>IFERROR(__xludf.DUMMYFUNCTION("""COMPUTED_VALUE"""),"allen institute")</f>
        <v>allen institute</v>
      </c>
      <c r="AC2473" s="42" t="str">
        <f>IFERROR(__xludf.DUMMYFUNCTION("""COMPUTED_VALUE"""),"DHBA")</f>
        <v>DHBA</v>
      </c>
      <c r="AD2473" s="42"/>
      <c r="AE2473" s="42"/>
      <c r="AF2473" s="9"/>
      <c r="AG2473" s="9"/>
      <c r="AH2473" s="42"/>
      <c r="AI2473" s="42"/>
      <c r="AJ2473" s="42"/>
      <c r="AK2473" s="42"/>
      <c r="AL2473" s="42"/>
      <c r="AM2473" s="42"/>
      <c r="AN2473" s="42"/>
      <c r="AO2473" s="63" t="str">
        <f>IFERROR(__xludf.DUMMYFUNCTION("IF(ISBLANK(A2473),,IF(ISBLANK(S2473), A2473&amp;"";"", TEXTJOIN(CHAR(10), TRUE, A2473&amp;"";"", ARRAYFORMULA(VLOOKUP(SPLIT(S2473, "";"" &amp; CHAR(10)), $A:$AO, 41, FALSE)))))"),"IFG;
IFGtr;
IFGop;
IFGor;")</f>
        <v>IFG;
IFGtr;
IFGop;
IFGor;</v>
      </c>
      <c r="AP2473" s="89"/>
    </row>
    <row r="2474">
      <c r="A2474" s="151" t="str">
        <f>IFERROR(__xludf.DUMMYFUNCTION("""COMPUTED_VALUE"""),"IFGtr")</f>
        <v>IFGtr</v>
      </c>
      <c r="B2474" s="42" t="str">
        <f>IFERROR(__xludf.DUMMYFUNCTION("""COMPUTED_VALUE"""),"DHBA")</f>
        <v>DHBA</v>
      </c>
      <c r="C2474" s="42" t="str">
        <f>IFERROR(__xludf.DUMMYFUNCTION("""COMPUTED_VALUE"""),"inferior frontal gyrus, triangular part")</f>
        <v>inferior frontal gyrus, triangular part</v>
      </c>
      <c r="D2474" s="42">
        <f>IFERROR(__xludf.DUMMYFUNCTION("""COMPUTED_VALUE"""),2357.0)</f>
        <v>2357</v>
      </c>
      <c r="E2474" s="39" t="str">
        <f>IFERROR(__xludf.DUMMYFUNCTION("""COMPUTED_VALUE"""),"inferior frontal gyrus, triangular part")</f>
        <v>inferior frontal gyrus, triangular part</v>
      </c>
      <c r="F2474" s="9" t="str">
        <f>IFERROR(__xludf.DUMMYFUNCTION("""COMPUTED_VALUE"""),"Br")</f>
        <v>Br</v>
      </c>
      <c r="G2474" s="9" t="str">
        <f>IFERROR(__xludf.DUMMYFUNCTION("""COMPUTED_VALUE"""),"F")</f>
        <v>F</v>
      </c>
      <c r="H2474" s="9" t="str">
        <f>IFERROR(__xludf.DUMMYFUNCTION("""COMPUTED_VALUE"""),"FSS")</f>
        <v>FSS</v>
      </c>
      <c r="I2474" s="9" t="str">
        <f>IFERROR(__xludf.DUMMYFUNCTION("""COMPUTED_VALUE"""),"CeG")</f>
        <v>CeG</v>
      </c>
      <c r="J2474" s="9" t="str">
        <f>IFERROR(__xludf.DUMMYFUNCTION("""COMPUTED_VALUE"""),"FroL")</f>
        <v>FroL</v>
      </c>
      <c r="K2474" s="9" t="str">
        <f>IFERROR(__xludf.DUMMYFUNCTION("""COMPUTED_VALUE"""),"IFG")</f>
        <v>IFG</v>
      </c>
      <c r="L2474" s="9" t="str">
        <f>IFERROR(__xludf.DUMMYFUNCTION("""COMPUTED_VALUE"""),"IFGtr")</f>
        <v>IFGtr</v>
      </c>
      <c r="M2474" s="9"/>
      <c r="N2474" s="9"/>
      <c r="O2474" s="9"/>
      <c r="P2474" s="9"/>
      <c r="Q2474" s="9"/>
      <c r="R2474" s="9"/>
      <c r="S2474" s="42"/>
      <c r="T2474" s="42" t="str">
        <f>IFERROR(__xludf.DUMMYFUNCTION("""COMPUTED_VALUE"""),"gyrus")</f>
        <v>gyrus</v>
      </c>
      <c r="U2474" s="42" t="b">
        <f>IFERROR(__xludf.DUMMYFUNCTION("""COMPUTED_VALUE"""),FALSE)</f>
        <v>0</v>
      </c>
      <c r="V2474" s="42"/>
      <c r="W2474" s="42"/>
      <c r="X2474" s="42"/>
      <c r="Y2474" s="42"/>
      <c r="Z2474" s="42"/>
      <c r="AA2474" s="42"/>
      <c r="AB2474" s="42" t="str">
        <f>IFERROR(__xludf.DUMMYFUNCTION("""COMPUTED_VALUE"""),"allen institute")</f>
        <v>allen institute</v>
      </c>
      <c r="AC2474" s="42" t="str">
        <f>IFERROR(__xludf.DUMMYFUNCTION("""COMPUTED_VALUE"""),"DHBA")</f>
        <v>DHBA</v>
      </c>
      <c r="AD2474" s="42"/>
      <c r="AE2474" s="42"/>
      <c r="AF2474" s="9"/>
      <c r="AG2474" s="9"/>
      <c r="AH2474" s="42"/>
      <c r="AI2474" s="42"/>
      <c r="AJ2474" s="42"/>
      <c r="AK2474" s="42"/>
      <c r="AL2474" s="42"/>
      <c r="AM2474" s="42"/>
      <c r="AN2474" s="42"/>
      <c r="AO2474" s="63" t="str">
        <f>IFERROR(__xludf.DUMMYFUNCTION("IF(ISBLANK(A2474),,IF(ISBLANK(S2474), A2474&amp;"";"", TEXTJOIN(CHAR(10), TRUE, A2474&amp;"";"", ARRAYFORMULA(VLOOKUP(SPLIT(S2474, "";"" &amp; CHAR(10)), $A:$AO, 41, FALSE)))))"),"IFGtr;")</f>
        <v>IFGtr;</v>
      </c>
      <c r="AP2474" s="89"/>
    </row>
    <row r="2475">
      <c r="A2475" s="151" t="str">
        <f>IFERROR(__xludf.DUMMYFUNCTION("""COMPUTED_VALUE"""),"IFGop")</f>
        <v>IFGop</v>
      </c>
      <c r="B2475" s="42" t="str">
        <f>IFERROR(__xludf.DUMMYFUNCTION("""COMPUTED_VALUE"""),"DHBA")</f>
        <v>DHBA</v>
      </c>
      <c r="C2475" s="42" t="str">
        <f>IFERROR(__xludf.DUMMYFUNCTION("""COMPUTED_VALUE"""),"inferior frontal gyrus, opercular part")</f>
        <v>inferior frontal gyrus, opercular part</v>
      </c>
      <c r="D2475" s="42">
        <f>IFERROR(__xludf.DUMMYFUNCTION("""COMPUTED_VALUE"""),2358.0)</f>
        <v>2358</v>
      </c>
      <c r="E2475" s="39" t="str">
        <f>IFERROR(__xludf.DUMMYFUNCTION("""COMPUTED_VALUE"""),"inferior frontal gyrus, opercular part")</f>
        <v>inferior frontal gyrus, opercular part</v>
      </c>
      <c r="F2475" s="9" t="str">
        <f>IFERROR(__xludf.DUMMYFUNCTION("""COMPUTED_VALUE"""),"Br")</f>
        <v>Br</v>
      </c>
      <c r="G2475" s="9" t="str">
        <f>IFERROR(__xludf.DUMMYFUNCTION("""COMPUTED_VALUE"""),"F")</f>
        <v>F</v>
      </c>
      <c r="H2475" s="9" t="str">
        <f>IFERROR(__xludf.DUMMYFUNCTION("""COMPUTED_VALUE"""),"FSS")</f>
        <v>FSS</v>
      </c>
      <c r="I2475" s="9" t="str">
        <f>IFERROR(__xludf.DUMMYFUNCTION("""COMPUTED_VALUE"""),"CeG")</f>
        <v>CeG</v>
      </c>
      <c r="J2475" s="9" t="str">
        <f>IFERROR(__xludf.DUMMYFUNCTION("""COMPUTED_VALUE"""),"FroL")</f>
        <v>FroL</v>
      </c>
      <c r="K2475" s="9" t="str">
        <f>IFERROR(__xludf.DUMMYFUNCTION("""COMPUTED_VALUE"""),"IFG")</f>
        <v>IFG</v>
      </c>
      <c r="L2475" s="9" t="str">
        <f>IFERROR(__xludf.DUMMYFUNCTION("""COMPUTED_VALUE"""),"IFGop")</f>
        <v>IFGop</v>
      </c>
      <c r="M2475" s="9"/>
      <c r="N2475" s="9"/>
      <c r="O2475" s="9"/>
      <c r="P2475" s="9"/>
      <c r="Q2475" s="9"/>
      <c r="R2475" s="9"/>
      <c r="S2475" s="42"/>
      <c r="T2475" s="42" t="str">
        <f>IFERROR(__xludf.DUMMYFUNCTION("""COMPUTED_VALUE"""),"gyrus")</f>
        <v>gyrus</v>
      </c>
      <c r="U2475" s="42" t="b">
        <f>IFERROR(__xludf.DUMMYFUNCTION("""COMPUTED_VALUE"""),FALSE)</f>
        <v>0</v>
      </c>
      <c r="V2475" s="42"/>
      <c r="W2475" s="42"/>
      <c r="X2475" s="42"/>
      <c r="Y2475" s="42"/>
      <c r="Z2475" s="42"/>
      <c r="AA2475" s="42"/>
      <c r="AB2475" s="42" t="str">
        <f>IFERROR(__xludf.DUMMYFUNCTION("""COMPUTED_VALUE"""),"allen institute")</f>
        <v>allen institute</v>
      </c>
      <c r="AC2475" s="42" t="str">
        <f>IFERROR(__xludf.DUMMYFUNCTION("""COMPUTED_VALUE"""),"DHBA")</f>
        <v>DHBA</v>
      </c>
      <c r="AD2475" s="42"/>
      <c r="AE2475" s="42"/>
      <c r="AF2475" s="9"/>
      <c r="AG2475" s="9"/>
      <c r="AH2475" s="42"/>
      <c r="AI2475" s="42"/>
      <c r="AJ2475" s="42"/>
      <c r="AK2475" s="42"/>
      <c r="AL2475" s="42"/>
      <c r="AM2475" s="42"/>
      <c r="AN2475" s="42"/>
      <c r="AO2475" s="63" t="str">
        <f>IFERROR(__xludf.DUMMYFUNCTION("IF(ISBLANK(A2475),,IF(ISBLANK(S2475), A2475&amp;"";"", TEXTJOIN(CHAR(10), TRUE, A2475&amp;"";"", ARRAYFORMULA(VLOOKUP(SPLIT(S2475, "";"" &amp; CHAR(10)), $A:$AO, 41, FALSE)))))"),"IFGop;")</f>
        <v>IFGop;</v>
      </c>
      <c r="AP2475" s="89"/>
    </row>
    <row r="2476">
      <c r="A2476" s="151" t="str">
        <f>IFERROR(__xludf.DUMMYFUNCTION("""COMPUTED_VALUE"""),"IFGor")</f>
        <v>IFGor</v>
      </c>
      <c r="B2476" s="42" t="str">
        <f>IFERROR(__xludf.DUMMYFUNCTION("""COMPUTED_VALUE"""),"DHBA")</f>
        <v>DHBA</v>
      </c>
      <c r="C2476" s="42" t="str">
        <f>IFERROR(__xludf.DUMMYFUNCTION("""COMPUTED_VALUE"""),"inferior frontal gyrus, orbital part")</f>
        <v>inferior frontal gyrus, orbital part</v>
      </c>
      <c r="D2476" s="42">
        <f>IFERROR(__xludf.DUMMYFUNCTION("""COMPUTED_VALUE"""),2359.0)</f>
        <v>2359</v>
      </c>
      <c r="E2476" s="39" t="str">
        <f>IFERROR(__xludf.DUMMYFUNCTION("""COMPUTED_VALUE"""),"inferior frontal gyrus, orbital part")</f>
        <v>inferior frontal gyrus, orbital part</v>
      </c>
      <c r="F2476" s="9" t="str">
        <f>IFERROR(__xludf.DUMMYFUNCTION("""COMPUTED_VALUE"""),"Br")</f>
        <v>Br</v>
      </c>
      <c r="G2476" s="9" t="str">
        <f>IFERROR(__xludf.DUMMYFUNCTION("""COMPUTED_VALUE"""),"F")</f>
        <v>F</v>
      </c>
      <c r="H2476" s="9" t="str">
        <f>IFERROR(__xludf.DUMMYFUNCTION("""COMPUTED_VALUE"""),"FSS")</f>
        <v>FSS</v>
      </c>
      <c r="I2476" s="9" t="str">
        <f>IFERROR(__xludf.DUMMYFUNCTION("""COMPUTED_VALUE"""),"CeG")</f>
        <v>CeG</v>
      </c>
      <c r="J2476" s="9" t="str">
        <f>IFERROR(__xludf.DUMMYFUNCTION("""COMPUTED_VALUE"""),"FroL")</f>
        <v>FroL</v>
      </c>
      <c r="K2476" s="9" t="str">
        <f>IFERROR(__xludf.DUMMYFUNCTION("""COMPUTED_VALUE"""),"IFG")</f>
        <v>IFG</v>
      </c>
      <c r="L2476" s="9" t="str">
        <f>IFERROR(__xludf.DUMMYFUNCTION("""COMPUTED_VALUE"""),"IFGor")</f>
        <v>IFGor</v>
      </c>
      <c r="M2476" s="9"/>
      <c r="N2476" s="9"/>
      <c r="O2476" s="9"/>
      <c r="P2476" s="9"/>
      <c r="Q2476" s="9"/>
      <c r="R2476" s="9"/>
      <c r="S2476" s="42"/>
      <c r="T2476" s="42" t="str">
        <f>IFERROR(__xludf.DUMMYFUNCTION("""COMPUTED_VALUE"""),"gyrus")</f>
        <v>gyrus</v>
      </c>
      <c r="U2476" s="42" t="b">
        <f>IFERROR(__xludf.DUMMYFUNCTION("""COMPUTED_VALUE"""),FALSE)</f>
        <v>0</v>
      </c>
      <c r="V2476" s="42"/>
      <c r="W2476" s="42"/>
      <c r="X2476" s="42"/>
      <c r="Y2476" s="42"/>
      <c r="Z2476" s="42"/>
      <c r="AA2476" s="42"/>
      <c r="AB2476" s="42" t="str">
        <f>IFERROR(__xludf.DUMMYFUNCTION("""COMPUTED_VALUE"""),"allen institute")</f>
        <v>allen institute</v>
      </c>
      <c r="AC2476" s="42" t="str">
        <f>IFERROR(__xludf.DUMMYFUNCTION("""COMPUTED_VALUE"""),"DHBA")</f>
        <v>DHBA</v>
      </c>
      <c r="AD2476" s="42"/>
      <c r="AE2476" s="42"/>
      <c r="AF2476" s="9"/>
      <c r="AG2476" s="9"/>
      <c r="AH2476" s="42"/>
      <c r="AI2476" s="42"/>
      <c r="AJ2476" s="42"/>
      <c r="AK2476" s="42"/>
      <c r="AL2476" s="42"/>
      <c r="AM2476" s="42"/>
      <c r="AN2476" s="42"/>
      <c r="AO2476" s="63" t="str">
        <f>IFERROR(__xludf.DUMMYFUNCTION("IF(ISBLANK(A2476),,IF(ISBLANK(S2476), A2476&amp;"";"", TEXTJOIN(CHAR(10), TRUE, A2476&amp;"";"", ARRAYFORMULA(VLOOKUP(SPLIT(S2476, "";"" &amp; CHAR(10)), $A:$AO, 41, FALSE)))))"),"IFGor;")</f>
        <v>IFGor;</v>
      </c>
      <c r="AP2476" s="89"/>
    </row>
    <row r="2477">
      <c r="A2477" s="151" t="str">
        <f>IFERROR(__xludf.DUMMYFUNCTION("""COMPUTED_VALUE"""),"ReG")</f>
        <v>ReG</v>
      </c>
      <c r="B2477" s="42" t="str">
        <f>IFERROR(__xludf.DUMMYFUNCTION("""COMPUTED_VALUE"""),"DHBA")</f>
        <v>DHBA</v>
      </c>
      <c r="C2477" s="42" t="str">
        <f>IFERROR(__xludf.DUMMYFUNCTION("""COMPUTED_VALUE"""),"gyrus rectus (straight gyrus)")</f>
        <v>gyrus rectus (straight gyrus)</v>
      </c>
      <c r="D2477" s="42">
        <f>IFERROR(__xludf.DUMMYFUNCTION("""COMPUTED_VALUE"""),2360.0)</f>
        <v>2360</v>
      </c>
      <c r="E2477" s="39" t="str">
        <f>IFERROR(__xludf.DUMMYFUNCTION("""COMPUTED_VALUE"""),"gyrus rectus (straight gyrus)")</f>
        <v>gyrus rectus (straight gyrus)</v>
      </c>
      <c r="F2477" s="9" t="str">
        <f>IFERROR(__xludf.DUMMYFUNCTION("""COMPUTED_VALUE"""),"Br")</f>
        <v>Br</v>
      </c>
      <c r="G2477" s="9" t="str">
        <f>IFERROR(__xludf.DUMMYFUNCTION("""COMPUTED_VALUE"""),"F")</f>
        <v>F</v>
      </c>
      <c r="H2477" s="9" t="str">
        <f>IFERROR(__xludf.DUMMYFUNCTION("""COMPUTED_VALUE"""),"FSS")</f>
        <v>FSS</v>
      </c>
      <c r="I2477" s="9" t="str">
        <f>IFERROR(__xludf.DUMMYFUNCTION("""COMPUTED_VALUE"""),"CeG")</f>
        <v>CeG</v>
      </c>
      <c r="J2477" s="9" t="str">
        <f>IFERROR(__xludf.DUMMYFUNCTION("""COMPUTED_VALUE"""),"FroL")</f>
        <v>FroL</v>
      </c>
      <c r="K2477" s="9" t="str">
        <f>IFERROR(__xludf.DUMMYFUNCTION("""COMPUTED_VALUE"""),"ReG")</f>
        <v>ReG</v>
      </c>
      <c r="L2477" s="9"/>
      <c r="M2477" s="9"/>
      <c r="N2477" s="9"/>
      <c r="O2477" s="9"/>
      <c r="P2477" s="9"/>
      <c r="Q2477" s="9"/>
      <c r="R2477" s="9"/>
      <c r="S2477" s="42"/>
      <c r="T2477" s="42" t="str">
        <f>IFERROR(__xludf.DUMMYFUNCTION("""COMPUTED_VALUE"""),"gyrus")</f>
        <v>gyrus</v>
      </c>
      <c r="U2477" s="42" t="b">
        <f>IFERROR(__xludf.DUMMYFUNCTION("""COMPUTED_VALUE"""),FALSE)</f>
        <v>0</v>
      </c>
      <c r="V2477" s="42"/>
      <c r="W2477" s="42"/>
      <c r="X2477" s="42"/>
      <c r="Y2477" s="42"/>
      <c r="Z2477" s="42"/>
      <c r="AA2477" s="42"/>
      <c r="AB2477" s="42" t="str">
        <f>IFERROR(__xludf.DUMMYFUNCTION("""COMPUTED_VALUE"""),"allen institute")</f>
        <v>allen institute</v>
      </c>
      <c r="AC2477" s="42" t="str">
        <f>IFERROR(__xludf.DUMMYFUNCTION("""COMPUTED_VALUE"""),"DHBA")</f>
        <v>DHBA</v>
      </c>
      <c r="AD2477" s="42"/>
      <c r="AE2477" s="42"/>
      <c r="AF2477" s="9"/>
      <c r="AG2477" s="9"/>
      <c r="AH2477" s="42"/>
      <c r="AI2477" s="42"/>
      <c r="AJ2477" s="42"/>
      <c r="AK2477" s="42"/>
      <c r="AL2477" s="42"/>
      <c r="AM2477" s="42"/>
      <c r="AN2477" s="42"/>
      <c r="AO2477" s="63" t="str">
        <f>IFERROR(__xludf.DUMMYFUNCTION("IF(ISBLANK(A2477),,IF(ISBLANK(S2477), A2477&amp;"";"", TEXTJOIN(CHAR(10), TRUE, A2477&amp;"";"", ARRAYFORMULA(VLOOKUP(SPLIT(S2477, "";"" &amp; CHAR(10)), $A:$AO, 41, FALSE)))))"),"ReG;")</f>
        <v>ReG;</v>
      </c>
      <c r="AP2477" s="89"/>
    </row>
    <row r="2478">
      <c r="A2478" s="151" t="str">
        <f>IFERROR(__xludf.DUMMYFUNCTION("""COMPUTED_VALUE"""),"MOrG")</f>
        <v>MOrG</v>
      </c>
      <c r="B2478" s="42" t="str">
        <f>IFERROR(__xludf.DUMMYFUNCTION("""COMPUTED_VALUE"""),"DHBA")</f>
        <v>DHBA</v>
      </c>
      <c r="C2478" s="42" t="str">
        <f>IFERROR(__xludf.DUMMYFUNCTION("""COMPUTED_VALUE"""),"medial orbital gyrus")</f>
        <v>medial orbital gyrus</v>
      </c>
      <c r="D2478" s="42">
        <f>IFERROR(__xludf.DUMMYFUNCTION("""COMPUTED_VALUE"""),2361.0)</f>
        <v>2361</v>
      </c>
      <c r="E2478" s="39" t="str">
        <f>IFERROR(__xludf.DUMMYFUNCTION("""COMPUTED_VALUE"""),"medial orbital gyrus")</f>
        <v>medial orbital gyrus</v>
      </c>
      <c r="F2478" s="9" t="str">
        <f>IFERROR(__xludf.DUMMYFUNCTION("""COMPUTED_VALUE"""),"Br")</f>
        <v>Br</v>
      </c>
      <c r="G2478" s="9" t="str">
        <f>IFERROR(__xludf.DUMMYFUNCTION("""COMPUTED_VALUE"""),"F")</f>
        <v>F</v>
      </c>
      <c r="H2478" s="9" t="str">
        <f>IFERROR(__xludf.DUMMYFUNCTION("""COMPUTED_VALUE"""),"FSS")</f>
        <v>FSS</v>
      </c>
      <c r="I2478" s="9" t="str">
        <f>IFERROR(__xludf.DUMMYFUNCTION("""COMPUTED_VALUE"""),"CeG")</f>
        <v>CeG</v>
      </c>
      <c r="J2478" s="9" t="str">
        <f>IFERROR(__xludf.DUMMYFUNCTION("""COMPUTED_VALUE"""),"FroL")</f>
        <v>FroL</v>
      </c>
      <c r="K2478" s="9" t="str">
        <f>IFERROR(__xludf.DUMMYFUNCTION("""COMPUTED_VALUE"""),"MOrG")</f>
        <v>MOrG</v>
      </c>
      <c r="L2478" s="9"/>
      <c r="M2478" s="9"/>
      <c r="N2478" s="9"/>
      <c r="O2478" s="9"/>
      <c r="P2478" s="9"/>
      <c r="Q2478" s="9"/>
      <c r="R2478" s="9"/>
      <c r="S2478" s="42"/>
      <c r="T2478" s="42" t="str">
        <f>IFERROR(__xludf.DUMMYFUNCTION("""COMPUTED_VALUE"""),"gyrus")</f>
        <v>gyrus</v>
      </c>
      <c r="U2478" s="42" t="b">
        <f>IFERROR(__xludf.DUMMYFUNCTION("""COMPUTED_VALUE"""),FALSE)</f>
        <v>0</v>
      </c>
      <c r="V2478" s="42"/>
      <c r="W2478" s="42"/>
      <c r="X2478" s="42"/>
      <c r="Y2478" s="42"/>
      <c r="Z2478" s="42"/>
      <c r="AA2478" s="42"/>
      <c r="AB2478" s="42" t="str">
        <f>IFERROR(__xludf.DUMMYFUNCTION("""COMPUTED_VALUE"""),"allen institute")</f>
        <v>allen institute</v>
      </c>
      <c r="AC2478" s="42" t="str">
        <f>IFERROR(__xludf.DUMMYFUNCTION("""COMPUTED_VALUE"""),"DHBA")</f>
        <v>DHBA</v>
      </c>
      <c r="AD2478" s="42"/>
      <c r="AE2478" s="42"/>
      <c r="AF2478" s="9"/>
      <c r="AG2478" s="9"/>
      <c r="AH2478" s="42"/>
      <c r="AI2478" s="42"/>
      <c r="AJ2478" s="42"/>
      <c r="AK2478" s="42"/>
      <c r="AL2478" s="42"/>
      <c r="AM2478" s="42"/>
      <c r="AN2478" s="42"/>
      <c r="AO2478" s="63" t="str">
        <f>IFERROR(__xludf.DUMMYFUNCTION("IF(ISBLANK(A2478),,IF(ISBLANK(S2478), A2478&amp;"";"", TEXTJOIN(CHAR(10), TRUE, A2478&amp;"";"", ARRAYFORMULA(VLOOKUP(SPLIT(S2478, "";"" &amp; CHAR(10)), $A:$AO, 41, FALSE)))))"),"MOrG;")</f>
        <v>MOrG;</v>
      </c>
      <c r="AP2478" s="89"/>
    </row>
    <row r="2479">
      <c r="A2479" s="151" t="str">
        <f>IFERROR(__xludf.DUMMYFUNCTION("""COMPUTED_VALUE"""),"AOrG")</f>
        <v>AOrG</v>
      </c>
      <c r="B2479" s="42" t="str">
        <f>IFERROR(__xludf.DUMMYFUNCTION("""COMPUTED_VALUE"""),"DHBA")</f>
        <v>DHBA</v>
      </c>
      <c r="C2479" s="42" t="str">
        <f>IFERROR(__xludf.DUMMYFUNCTION("""COMPUTED_VALUE"""),"anterior intermediate orbital gyrus")</f>
        <v>anterior intermediate orbital gyrus</v>
      </c>
      <c r="D2479" s="42">
        <f>IFERROR(__xludf.DUMMYFUNCTION("""COMPUTED_VALUE"""),2362.0)</f>
        <v>2362</v>
      </c>
      <c r="E2479" s="39" t="str">
        <f>IFERROR(__xludf.DUMMYFUNCTION("""COMPUTED_VALUE"""),"anterior intermediate orbital gyrus")</f>
        <v>anterior intermediate orbital gyrus</v>
      </c>
      <c r="F2479" s="9" t="str">
        <f>IFERROR(__xludf.DUMMYFUNCTION("""COMPUTED_VALUE"""),"Br")</f>
        <v>Br</v>
      </c>
      <c r="G2479" s="9" t="str">
        <f>IFERROR(__xludf.DUMMYFUNCTION("""COMPUTED_VALUE"""),"F")</f>
        <v>F</v>
      </c>
      <c r="H2479" s="9" t="str">
        <f>IFERROR(__xludf.DUMMYFUNCTION("""COMPUTED_VALUE"""),"FSS")</f>
        <v>FSS</v>
      </c>
      <c r="I2479" s="9" t="str">
        <f>IFERROR(__xludf.DUMMYFUNCTION("""COMPUTED_VALUE"""),"CeG")</f>
        <v>CeG</v>
      </c>
      <c r="J2479" s="9" t="str">
        <f>IFERROR(__xludf.DUMMYFUNCTION("""COMPUTED_VALUE"""),"FroL")</f>
        <v>FroL</v>
      </c>
      <c r="K2479" s="9" t="str">
        <f>IFERROR(__xludf.DUMMYFUNCTION("""COMPUTED_VALUE"""),"AOrG")</f>
        <v>AOrG</v>
      </c>
      <c r="L2479" s="9"/>
      <c r="M2479" s="9"/>
      <c r="N2479" s="9"/>
      <c r="O2479" s="9"/>
      <c r="P2479" s="9"/>
      <c r="Q2479" s="9"/>
      <c r="R2479" s="9"/>
      <c r="S2479" s="42"/>
      <c r="T2479" s="42" t="str">
        <f>IFERROR(__xludf.DUMMYFUNCTION("""COMPUTED_VALUE"""),"gyrus")</f>
        <v>gyrus</v>
      </c>
      <c r="U2479" s="42" t="b">
        <f>IFERROR(__xludf.DUMMYFUNCTION("""COMPUTED_VALUE"""),FALSE)</f>
        <v>0</v>
      </c>
      <c r="V2479" s="42"/>
      <c r="W2479" s="42"/>
      <c r="X2479" s="42"/>
      <c r="Y2479" s="42"/>
      <c r="Z2479" s="42"/>
      <c r="AA2479" s="42"/>
      <c r="AB2479" s="42" t="str">
        <f>IFERROR(__xludf.DUMMYFUNCTION("""COMPUTED_VALUE"""),"allen institute")</f>
        <v>allen institute</v>
      </c>
      <c r="AC2479" s="42" t="str">
        <f>IFERROR(__xludf.DUMMYFUNCTION("""COMPUTED_VALUE"""),"DHBA")</f>
        <v>DHBA</v>
      </c>
      <c r="AD2479" s="42"/>
      <c r="AE2479" s="42"/>
      <c r="AF2479" s="9"/>
      <c r="AG2479" s="9"/>
      <c r="AH2479" s="42"/>
      <c r="AI2479" s="42"/>
      <c r="AJ2479" s="42"/>
      <c r="AK2479" s="42"/>
      <c r="AL2479" s="42"/>
      <c r="AM2479" s="42"/>
      <c r="AN2479" s="42"/>
      <c r="AO2479" s="63" t="str">
        <f>IFERROR(__xludf.DUMMYFUNCTION("IF(ISBLANK(A2479),,IF(ISBLANK(S2479), A2479&amp;"";"", TEXTJOIN(CHAR(10), TRUE, A2479&amp;"";"", ARRAYFORMULA(VLOOKUP(SPLIT(S2479, "";"" &amp; CHAR(10)), $A:$AO, 41, FALSE)))))"),"AOrG;")</f>
        <v>AOrG;</v>
      </c>
      <c r="AP2479" s="89"/>
    </row>
    <row r="2480">
      <c r="A2480" s="151" t="str">
        <f>IFERROR(__xludf.DUMMYFUNCTION("""COMPUTED_VALUE"""),"POrG")</f>
        <v>POrG</v>
      </c>
      <c r="B2480" s="42" t="str">
        <f>IFERROR(__xludf.DUMMYFUNCTION("""COMPUTED_VALUE"""),"DHBA")</f>
        <v>DHBA</v>
      </c>
      <c r="C2480" s="42" t="str">
        <f>IFERROR(__xludf.DUMMYFUNCTION("""COMPUTED_VALUE"""),"posterior intermediate orbital gyrus")</f>
        <v>posterior intermediate orbital gyrus</v>
      </c>
      <c r="D2480" s="42">
        <f>IFERROR(__xludf.DUMMYFUNCTION("""COMPUTED_VALUE"""),2363.0)</f>
        <v>2363</v>
      </c>
      <c r="E2480" s="39" t="str">
        <f>IFERROR(__xludf.DUMMYFUNCTION("""COMPUTED_VALUE"""),"posterior intermediate orbital gyrus")</f>
        <v>posterior intermediate orbital gyrus</v>
      </c>
      <c r="F2480" s="9" t="str">
        <f>IFERROR(__xludf.DUMMYFUNCTION("""COMPUTED_VALUE"""),"Br")</f>
        <v>Br</v>
      </c>
      <c r="G2480" s="9" t="str">
        <f>IFERROR(__xludf.DUMMYFUNCTION("""COMPUTED_VALUE"""),"F")</f>
        <v>F</v>
      </c>
      <c r="H2480" s="9" t="str">
        <f>IFERROR(__xludf.DUMMYFUNCTION("""COMPUTED_VALUE"""),"FSS")</f>
        <v>FSS</v>
      </c>
      <c r="I2480" s="9" t="str">
        <f>IFERROR(__xludf.DUMMYFUNCTION("""COMPUTED_VALUE"""),"CeG")</f>
        <v>CeG</v>
      </c>
      <c r="J2480" s="9" t="str">
        <f>IFERROR(__xludf.DUMMYFUNCTION("""COMPUTED_VALUE"""),"FroL")</f>
        <v>FroL</v>
      </c>
      <c r="K2480" s="9" t="str">
        <f>IFERROR(__xludf.DUMMYFUNCTION("""COMPUTED_VALUE"""),"POrG")</f>
        <v>POrG</v>
      </c>
      <c r="L2480" s="9"/>
      <c r="M2480" s="9"/>
      <c r="N2480" s="9"/>
      <c r="O2480" s="9"/>
      <c r="P2480" s="9"/>
      <c r="Q2480" s="9"/>
      <c r="R2480" s="9"/>
      <c r="S2480" s="42"/>
      <c r="T2480" s="42" t="str">
        <f>IFERROR(__xludf.DUMMYFUNCTION("""COMPUTED_VALUE"""),"gyrus")</f>
        <v>gyrus</v>
      </c>
      <c r="U2480" s="42" t="b">
        <f>IFERROR(__xludf.DUMMYFUNCTION("""COMPUTED_VALUE"""),FALSE)</f>
        <v>0</v>
      </c>
      <c r="V2480" s="42"/>
      <c r="W2480" s="42"/>
      <c r="X2480" s="42"/>
      <c r="Y2480" s="42"/>
      <c r="Z2480" s="42"/>
      <c r="AA2480" s="42"/>
      <c r="AB2480" s="42" t="str">
        <f>IFERROR(__xludf.DUMMYFUNCTION("""COMPUTED_VALUE"""),"allen institute")</f>
        <v>allen institute</v>
      </c>
      <c r="AC2480" s="42" t="str">
        <f>IFERROR(__xludf.DUMMYFUNCTION("""COMPUTED_VALUE"""),"DHBA")</f>
        <v>DHBA</v>
      </c>
      <c r="AD2480" s="42"/>
      <c r="AE2480" s="42"/>
      <c r="AF2480" s="9"/>
      <c r="AG2480" s="9"/>
      <c r="AH2480" s="42"/>
      <c r="AI2480" s="42"/>
      <c r="AJ2480" s="42"/>
      <c r="AK2480" s="42"/>
      <c r="AL2480" s="42"/>
      <c r="AM2480" s="42"/>
      <c r="AN2480" s="42"/>
      <c r="AO2480" s="63" t="str">
        <f>IFERROR(__xludf.DUMMYFUNCTION("IF(ISBLANK(A2480),,IF(ISBLANK(S2480), A2480&amp;"";"", TEXTJOIN(CHAR(10), TRUE, A2480&amp;"";"", ARRAYFORMULA(VLOOKUP(SPLIT(S2480, "";"" &amp; CHAR(10)), $A:$AO, 41, FALSE)))))"),"POrG;")</f>
        <v>POrG;</v>
      </c>
      <c r="AP2480" s="89"/>
    </row>
    <row r="2481">
      <c r="A2481" s="151" t="str">
        <f>IFERROR(__xludf.DUMMYFUNCTION("""COMPUTED_VALUE"""),"LOrG")</f>
        <v>LOrG</v>
      </c>
      <c r="B2481" s="42" t="str">
        <f>IFERROR(__xludf.DUMMYFUNCTION("""COMPUTED_VALUE"""),"DHBA")</f>
        <v>DHBA</v>
      </c>
      <c r="C2481" s="42" t="str">
        <f>IFERROR(__xludf.DUMMYFUNCTION("""COMPUTED_VALUE"""),"lateral orbital gyrus")</f>
        <v>lateral orbital gyrus</v>
      </c>
      <c r="D2481" s="42">
        <f>IFERROR(__xludf.DUMMYFUNCTION("""COMPUTED_VALUE"""),2364.0)</f>
        <v>2364</v>
      </c>
      <c r="E2481" s="39" t="str">
        <f>IFERROR(__xludf.DUMMYFUNCTION("""COMPUTED_VALUE"""),"lateral orbital gyrus")</f>
        <v>lateral orbital gyrus</v>
      </c>
      <c r="F2481" s="9" t="str">
        <f>IFERROR(__xludf.DUMMYFUNCTION("""COMPUTED_VALUE"""),"Br")</f>
        <v>Br</v>
      </c>
      <c r="G2481" s="9" t="str">
        <f>IFERROR(__xludf.DUMMYFUNCTION("""COMPUTED_VALUE"""),"F")</f>
        <v>F</v>
      </c>
      <c r="H2481" s="9" t="str">
        <f>IFERROR(__xludf.DUMMYFUNCTION("""COMPUTED_VALUE"""),"FSS")</f>
        <v>FSS</v>
      </c>
      <c r="I2481" s="9" t="str">
        <f>IFERROR(__xludf.DUMMYFUNCTION("""COMPUTED_VALUE"""),"CeG")</f>
        <v>CeG</v>
      </c>
      <c r="J2481" s="9" t="str">
        <f>IFERROR(__xludf.DUMMYFUNCTION("""COMPUTED_VALUE"""),"FroL")</f>
        <v>FroL</v>
      </c>
      <c r="K2481" s="9" t="str">
        <f>IFERROR(__xludf.DUMMYFUNCTION("""COMPUTED_VALUE"""),"LOrG")</f>
        <v>LOrG</v>
      </c>
      <c r="L2481" s="9"/>
      <c r="M2481" s="9"/>
      <c r="N2481" s="9"/>
      <c r="O2481" s="9"/>
      <c r="P2481" s="9"/>
      <c r="Q2481" s="9"/>
      <c r="R2481" s="9"/>
      <c r="S2481" s="42"/>
      <c r="T2481" s="42" t="str">
        <f>IFERROR(__xludf.DUMMYFUNCTION("""COMPUTED_VALUE"""),"gyrus")</f>
        <v>gyrus</v>
      </c>
      <c r="U2481" s="42" t="b">
        <f>IFERROR(__xludf.DUMMYFUNCTION("""COMPUTED_VALUE"""),FALSE)</f>
        <v>0</v>
      </c>
      <c r="V2481" s="42"/>
      <c r="W2481" s="42"/>
      <c r="X2481" s="42"/>
      <c r="Y2481" s="42"/>
      <c r="Z2481" s="42"/>
      <c r="AA2481" s="42"/>
      <c r="AB2481" s="42" t="str">
        <f>IFERROR(__xludf.DUMMYFUNCTION("""COMPUTED_VALUE"""),"allen institute")</f>
        <v>allen institute</v>
      </c>
      <c r="AC2481" s="42" t="str">
        <f>IFERROR(__xludf.DUMMYFUNCTION("""COMPUTED_VALUE"""),"DHBA")</f>
        <v>DHBA</v>
      </c>
      <c r="AD2481" s="42"/>
      <c r="AE2481" s="42"/>
      <c r="AF2481" s="9"/>
      <c r="AG2481" s="9"/>
      <c r="AH2481" s="42"/>
      <c r="AI2481" s="42"/>
      <c r="AJ2481" s="42"/>
      <c r="AK2481" s="42"/>
      <c r="AL2481" s="42"/>
      <c r="AM2481" s="42"/>
      <c r="AN2481" s="42"/>
      <c r="AO2481" s="63" t="str">
        <f>IFERROR(__xludf.DUMMYFUNCTION("IF(ISBLANK(A2481),,IF(ISBLANK(S2481), A2481&amp;"";"", TEXTJOIN(CHAR(10), TRUE, A2481&amp;"";"", ARRAYFORMULA(VLOOKUP(SPLIT(S2481, "";"" &amp; CHAR(10)), $A:$AO, 41, FALSE)))))"),"LOrG;")</f>
        <v>LOrG;</v>
      </c>
      <c r="AP2481" s="89"/>
    </row>
    <row r="2482">
      <c r="A2482" s="151" t="str">
        <f>IFERROR(__xludf.DUMMYFUNCTION("""COMPUTED_VALUE"""),"PCLr")</f>
        <v>PCLr</v>
      </c>
      <c r="B2482" s="42" t="str">
        <f>IFERROR(__xludf.DUMMYFUNCTION("""COMPUTED_VALUE"""),"DHBA")</f>
        <v>DHBA</v>
      </c>
      <c r="C2482" s="42" t="str">
        <f>IFERROR(__xludf.DUMMYFUNCTION("""COMPUTED_VALUE"""),"paracentral lobule, rostral part")</f>
        <v>paracentral lobule, rostral part</v>
      </c>
      <c r="D2482" s="42">
        <f>IFERROR(__xludf.DUMMYFUNCTION("""COMPUTED_VALUE"""),2365.0)</f>
        <v>2365</v>
      </c>
      <c r="E2482" s="39" t="str">
        <f>IFERROR(__xludf.DUMMYFUNCTION("""COMPUTED_VALUE"""),"paracentral lobule, rostral part")</f>
        <v>paracentral lobule, rostral part</v>
      </c>
      <c r="F2482" s="9" t="str">
        <f>IFERROR(__xludf.DUMMYFUNCTION("""COMPUTED_VALUE"""),"Br")</f>
        <v>Br</v>
      </c>
      <c r="G2482" s="9" t="str">
        <f>IFERROR(__xludf.DUMMYFUNCTION("""COMPUTED_VALUE"""),"F")</f>
        <v>F</v>
      </c>
      <c r="H2482" s="9" t="str">
        <f>IFERROR(__xludf.DUMMYFUNCTION("""COMPUTED_VALUE"""),"FSS")</f>
        <v>FSS</v>
      </c>
      <c r="I2482" s="9" t="str">
        <f>IFERROR(__xludf.DUMMYFUNCTION("""COMPUTED_VALUE"""),"CeG")</f>
        <v>CeG</v>
      </c>
      <c r="J2482" s="9" t="str">
        <f>IFERROR(__xludf.DUMMYFUNCTION("""COMPUTED_VALUE"""),"FroL")</f>
        <v>FroL</v>
      </c>
      <c r="K2482" s="9" t="str">
        <f>IFERROR(__xludf.DUMMYFUNCTION("""COMPUTED_VALUE"""),"PCLr")</f>
        <v>PCLr</v>
      </c>
      <c r="L2482" s="9"/>
      <c r="M2482" s="9"/>
      <c r="N2482" s="9"/>
      <c r="O2482" s="9"/>
      <c r="P2482" s="9"/>
      <c r="Q2482" s="9"/>
      <c r="R2482" s="9"/>
      <c r="S2482" s="42"/>
      <c r="T2482" s="42" t="str">
        <f>IFERROR(__xludf.DUMMYFUNCTION("""COMPUTED_VALUE"""),"lobe")</f>
        <v>lobe</v>
      </c>
      <c r="U2482" s="42" t="b">
        <f>IFERROR(__xludf.DUMMYFUNCTION("""COMPUTED_VALUE"""),FALSE)</f>
        <v>0</v>
      </c>
      <c r="V2482" s="42"/>
      <c r="W2482" s="42"/>
      <c r="X2482" s="42"/>
      <c r="Y2482" s="42"/>
      <c r="Z2482" s="42"/>
      <c r="AA2482" s="42"/>
      <c r="AB2482" s="42" t="str">
        <f>IFERROR(__xludf.DUMMYFUNCTION("""COMPUTED_VALUE"""),"allen institute")</f>
        <v>allen institute</v>
      </c>
      <c r="AC2482" s="42" t="str">
        <f>IFERROR(__xludf.DUMMYFUNCTION("""COMPUTED_VALUE"""),"DHBA")</f>
        <v>DHBA</v>
      </c>
      <c r="AD2482" s="42"/>
      <c r="AE2482" s="42"/>
      <c r="AF2482" s="9"/>
      <c r="AG2482" s="9"/>
      <c r="AH2482" s="42"/>
      <c r="AI2482" s="42"/>
      <c r="AJ2482" s="42"/>
      <c r="AK2482" s="42"/>
      <c r="AL2482" s="42"/>
      <c r="AM2482" s="42"/>
      <c r="AN2482" s="42"/>
      <c r="AO2482" s="63" t="str">
        <f>IFERROR(__xludf.DUMMYFUNCTION("IF(ISBLANK(A2482),,IF(ISBLANK(S2482), A2482&amp;"";"", TEXTJOIN(CHAR(10), TRUE, A2482&amp;"";"", ARRAYFORMULA(VLOOKUP(SPLIT(S2482, "";"" &amp; CHAR(10)), $A:$AO, 41, FALSE)))))"),"PCLr;")</f>
        <v>PCLr;</v>
      </c>
      <c r="AP2482" s="89"/>
    </row>
    <row r="2483">
      <c r="A2483" s="151" t="str">
        <f>IFERROR(__xludf.DUMMYFUNCTION("""COMPUTED_VALUE"""),"PaCG")</f>
        <v>PaCG</v>
      </c>
      <c r="B2483" s="42" t="str">
        <f>IFERROR(__xludf.DUMMYFUNCTION("""COMPUTED_VALUE"""),"DHBA")</f>
        <v>DHBA</v>
      </c>
      <c r="C2483" s="42" t="str">
        <f>IFERROR(__xludf.DUMMYFUNCTION("""COMPUTED_VALUE"""),"paracingulate gyrus")</f>
        <v>paracingulate gyrus</v>
      </c>
      <c r="D2483" s="42">
        <f>IFERROR(__xludf.DUMMYFUNCTION("""COMPUTED_VALUE"""),2366.0)</f>
        <v>2366</v>
      </c>
      <c r="E2483" s="39" t="str">
        <f>IFERROR(__xludf.DUMMYFUNCTION("""COMPUTED_VALUE"""),"paracingulate gyrus")</f>
        <v>paracingulate gyrus</v>
      </c>
      <c r="F2483" s="9" t="str">
        <f>IFERROR(__xludf.DUMMYFUNCTION("""COMPUTED_VALUE"""),"Br")</f>
        <v>Br</v>
      </c>
      <c r="G2483" s="9" t="str">
        <f>IFERROR(__xludf.DUMMYFUNCTION("""COMPUTED_VALUE"""),"F")</f>
        <v>F</v>
      </c>
      <c r="H2483" s="9" t="str">
        <f>IFERROR(__xludf.DUMMYFUNCTION("""COMPUTED_VALUE"""),"FSS")</f>
        <v>FSS</v>
      </c>
      <c r="I2483" s="9" t="str">
        <f>IFERROR(__xludf.DUMMYFUNCTION("""COMPUTED_VALUE"""),"CeG")</f>
        <v>CeG</v>
      </c>
      <c r="J2483" s="9" t="str">
        <f>IFERROR(__xludf.DUMMYFUNCTION("""COMPUTED_VALUE"""),"FroL")</f>
        <v>FroL</v>
      </c>
      <c r="K2483" s="9" t="str">
        <f>IFERROR(__xludf.DUMMYFUNCTION("""COMPUTED_VALUE"""),"PaCG")</f>
        <v>PaCG</v>
      </c>
      <c r="L2483" s="9"/>
      <c r="M2483" s="9"/>
      <c r="N2483" s="9"/>
      <c r="O2483" s="9"/>
      <c r="P2483" s="9"/>
      <c r="Q2483" s="9"/>
      <c r="R2483" s="9"/>
      <c r="S2483" s="42"/>
      <c r="T2483" s="42" t="str">
        <f>IFERROR(__xludf.DUMMYFUNCTION("""COMPUTED_VALUE"""),"gyrus")</f>
        <v>gyrus</v>
      </c>
      <c r="U2483" s="42" t="b">
        <f>IFERROR(__xludf.DUMMYFUNCTION("""COMPUTED_VALUE"""),FALSE)</f>
        <v>0</v>
      </c>
      <c r="V2483" s="42"/>
      <c r="W2483" s="42"/>
      <c r="X2483" s="42"/>
      <c r="Y2483" s="42"/>
      <c r="Z2483" s="42"/>
      <c r="AA2483" s="42"/>
      <c r="AB2483" s="42" t="str">
        <f>IFERROR(__xludf.DUMMYFUNCTION("""COMPUTED_VALUE"""),"allen institute")</f>
        <v>allen institute</v>
      </c>
      <c r="AC2483" s="42" t="str">
        <f>IFERROR(__xludf.DUMMYFUNCTION("""COMPUTED_VALUE"""),"DHBA")</f>
        <v>DHBA</v>
      </c>
      <c r="AD2483" s="42"/>
      <c r="AE2483" s="42"/>
      <c r="AF2483" s="9"/>
      <c r="AG2483" s="9"/>
      <c r="AH2483" s="42"/>
      <c r="AI2483" s="42"/>
      <c r="AJ2483" s="42"/>
      <c r="AK2483" s="42"/>
      <c r="AL2483" s="42"/>
      <c r="AM2483" s="42"/>
      <c r="AN2483" s="42"/>
      <c r="AO2483" s="63" t="str">
        <f>IFERROR(__xludf.DUMMYFUNCTION("IF(ISBLANK(A2483),,IF(ISBLANK(S2483), A2483&amp;"";"", TEXTJOIN(CHAR(10), TRUE, A2483&amp;"";"", ARRAYFORMULA(VLOOKUP(SPLIT(S2483, "";"" &amp; CHAR(10)), $A:$AO, 41, FALSE)))))"),"PaCG;")</f>
        <v>PaCG;</v>
      </c>
      <c r="AP2483" s="89"/>
    </row>
    <row r="2484">
      <c r="A2484" s="151" t="str">
        <f>IFERROR(__xludf.DUMMYFUNCTION("""COMPUTED_VALUE"""),"FrO")</f>
        <v>FrO</v>
      </c>
      <c r="B2484" s="42" t="str">
        <f>IFERROR(__xludf.DUMMYFUNCTION("""COMPUTED_VALUE"""),"DHBA")</f>
        <v>DHBA</v>
      </c>
      <c r="C2484" s="42" t="str">
        <f>IFERROR(__xludf.DUMMYFUNCTION("""COMPUTED_VALUE"""),"frontal operculum")</f>
        <v>frontal operculum</v>
      </c>
      <c r="D2484" s="42">
        <f>IFERROR(__xludf.DUMMYFUNCTION("""COMPUTED_VALUE"""),2367.0)</f>
        <v>2367</v>
      </c>
      <c r="E2484" s="39" t="str">
        <f>IFERROR(__xludf.DUMMYFUNCTION("""COMPUTED_VALUE"""),"frontal operculum")</f>
        <v>frontal operculum</v>
      </c>
      <c r="F2484" s="9" t="str">
        <f>IFERROR(__xludf.DUMMYFUNCTION("""COMPUTED_VALUE"""),"Br")</f>
        <v>Br</v>
      </c>
      <c r="G2484" s="9" t="str">
        <f>IFERROR(__xludf.DUMMYFUNCTION("""COMPUTED_VALUE"""),"F")</f>
        <v>F</v>
      </c>
      <c r="H2484" s="9" t="str">
        <f>IFERROR(__xludf.DUMMYFUNCTION("""COMPUTED_VALUE"""),"FSS")</f>
        <v>FSS</v>
      </c>
      <c r="I2484" s="9" t="str">
        <f>IFERROR(__xludf.DUMMYFUNCTION("""COMPUTED_VALUE"""),"CeG")</f>
        <v>CeG</v>
      </c>
      <c r="J2484" s="9" t="str">
        <f>IFERROR(__xludf.DUMMYFUNCTION("""COMPUTED_VALUE"""),"FroL")</f>
        <v>FroL</v>
      </c>
      <c r="K2484" s="9" t="str">
        <f>IFERROR(__xludf.DUMMYFUNCTION("""COMPUTED_VALUE"""),"FrO")</f>
        <v>FrO</v>
      </c>
      <c r="L2484" s="9"/>
      <c r="M2484" s="9"/>
      <c r="N2484" s="9"/>
      <c r="O2484" s="9"/>
      <c r="P2484" s="9"/>
      <c r="Q2484" s="9"/>
      <c r="R2484" s="9"/>
      <c r="S2484" s="42"/>
      <c r="T2484" s="42"/>
      <c r="U2484" s="42"/>
      <c r="V2484" s="42"/>
      <c r="W2484" s="42"/>
      <c r="X2484" s="42"/>
      <c r="Y2484" s="42"/>
      <c r="Z2484" s="42"/>
      <c r="AA2484" s="42"/>
      <c r="AB2484" s="42" t="str">
        <f>IFERROR(__xludf.DUMMYFUNCTION("""COMPUTED_VALUE"""),"allen institute")</f>
        <v>allen institute</v>
      </c>
      <c r="AC2484" s="42" t="str">
        <f>IFERROR(__xludf.DUMMYFUNCTION("""COMPUTED_VALUE"""),"DHBA")</f>
        <v>DHBA</v>
      </c>
      <c r="AD2484" s="42"/>
      <c r="AE2484" s="42"/>
      <c r="AF2484" s="9"/>
      <c r="AG2484" s="9"/>
      <c r="AH2484" s="42"/>
      <c r="AI2484" s="42"/>
      <c r="AJ2484" s="42"/>
      <c r="AK2484" s="42"/>
      <c r="AL2484" s="42"/>
      <c r="AM2484" s="42"/>
      <c r="AN2484" s="42"/>
      <c r="AO2484" s="63" t="str">
        <f>IFERROR(__xludf.DUMMYFUNCTION("IF(ISBLANK(A2484),,IF(ISBLANK(S2484), A2484&amp;"";"", TEXTJOIN(CHAR(10), TRUE, A2484&amp;"";"", ARRAYFORMULA(VLOOKUP(SPLIT(S2484, "";"" &amp; CHAR(10)), $A:$AO, 41, FALSE)))))"),"FrO;")</f>
        <v>FrO;</v>
      </c>
      <c r="AP2484" s="89"/>
    </row>
    <row r="2485">
      <c r="A2485" s="151" t="str">
        <f>IFERROR(__xludf.DUMMYFUNCTION("""COMPUTED_VALUE"""),"OrO")</f>
        <v>OrO</v>
      </c>
      <c r="B2485" s="42" t="str">
        <f>IFERROR(__xludf.DUMMYFUNCTION("""COMPUTED_VALUE"""),"DHBA")</f>
        <v>DHBA</v>
      </c>
      <c r="C2485" s="42" t="str">
        <f>IFERROR(__xludf.DUMMYFUNCTION("""COMPUTED_VALUE"""),"orbital operculum")</f>
        <v>orbital operculum</v>
      </c>
      <c r="D2485" s="42">
        <f>IFERROR(__xludf.DUMMYFUNCTION("""COMPUTED_VALUE"""),2368.0)</f>
        <v>2368</v>
      </c>
      <c r="E2485" s="39" t="str">
        <f>IFERROR(__xludf.DUMMYFUNCTION("""COMPUTED_VALUE"""),"orbital operculum")</f>
        <v>orbital operculum</v>
      </c>
      <c r="F2485" s="9" t="str">
        <f>IFERROR(__xludf.DUMMYFUNCTION("""COMPUTED_VALUE"""),"Br")</f>
        <v>Br</v>
      </c>
      <c r="G2485" s="9" t="str">
        <f>IFERROR(__xludf.DUMMYFUNCTION("""COMPUTED_VALUE"""),"F")</f>
        <v>F</v>
      </c>
      <c r="H2485" s="9" t="str">
        <f>IFERROR(__xludf.DUMMYFUNCTION("""COMPUTED_VALUE"""),"FSS")</f>
        <v>FSS</v>
      </c>
      <c r="I2485" s="9" t="str">
        <f>IFERROR(__xludf.DUMMYFUNCTION("""COMPUTED_VALUE"""),"CeG")</f>
        <v>CeG</v>
      </c>
      <c r="J2485" s="9" t="str">
        <f>IFERROR(__xludf.DUMMYFUNCTION("""COMPUTED_VALUE"""),"FroL")</f>
        <v>FroL</v>
      </c>
      <c r="K2485" s="9" t="str">
        <f>IFERROR(__xludf.DUMMYFUNCTION("""COMPUTED_VALUE"""),"OrO")</f>
        <v>OrO</v>
      </c>
      <c r="L2485" s="9"/>
      <c r="M2485" s="9"/>
      <c r="N2485" s="9"/>
      <c r="O2485" s="9"/>
      <c r="P2485" s="9"/>
      <c r="Q2485" s="9"/>
      <c r="R2485" s="9"/>
      <c r="S2485" s="42"/>
      <c r="T2485" s="42"/>
      <c r="U2485" s="42"/>
      <c r="V2485" s="42"/>
      <c r="W2485" s="42"/>
      <c r="X2485" s="42"/>
      <c r="Y2485" s="42"/>
      <c r="Z2485" s="42"/>
      <c r="AA2485" s="42"/>
      <c r="AB2485" s="42" t="str">
        <f>IFERROR(__xludf.DUMMYFUNCTION("""COMPUTED_VALUE"""),"allen institute")</f>
        <v>allen institute</v>
      </c>
      <c r="AC2485" s="42" t="str">
        <f>IFERROR(__xludf.DUMMYFUNCTION("""COMPUTED_VALUE"""),"DHBA")</f>
        <v>DHBA</v>
      </c>
      <c r="AD2485" s="42"/>
      <c r="AE2485" s="42"/>
      <c r="AF2485" s="9"/>
      <c r="AG2485" s="9"/>
      <c r="AH2485" s="42"/>
      <c r="AI2485" s="42"/>
      <c r="AJ2485" s="42"/>
      <c r="AK2485" s="42"/>
      <c r="AL2485" s="42"/>
      <c r="AM2485" s="42"/>
      <c r="AN2485" s="42"/>
      <c r="AO2485" s="63" t="str">
        <f>IFERROR(__xludf.DUMMYFUNCTION("IF(ISBLANK(A2485),,IF(ISBLANK(S2485), A2485&amp;"";"", TEXTJOIN(CHAR(10), TRUE, A2485&amp;"";"", ARRAYFORMULA(VLOOKUP(SPLIT(S2485, "";"" &amp; CHAR(10)), $A:$AO, 41, FALSE)))))"),"OrO;")</f>
        <v>OrO;</v>
      </c>
      <c r="AP2485" s="89"/>
    </row>
    <row r="2486">
      <c r="A2486" s="151" t="str">
        <f>IFERROR(__xludf.DUMMYFUNCTION("""COMPUTED_VALUE"""),"RoG")</f>
        <v>RoG</v>
      </c>
      <c r="B2486" s="42" t="str">
        <f>IFERROR(__xludf.DUMMYFUNCTION("""COMPUTED_VALUE"""),"DHBA")</f>
        <v>DHBA</v>
      </c>
      <c r="C2486" s="42" t="str">
        <f>IFERROR(__xludf.DUMMYFUNCTION("""COMPUTED_VALUE"""),"rostral gyrus")</f>
        <v>rostral gyrus</v>
      </c>
      <c r="D2486" s="42">
        <f>IFERROR(__xludf.DUMMYFUNCTION("""COMPUTED_VALUE"""),2369.0)</f>
        <v>2369</v>
      </c>
      <c r="E2486" s="39" t="str">
        <f>IFERROR(__xludf.DUMMYFUNCTION("""COMPUTED_VALUE"""),"rostral gyrus")</f>
        <v>rostral gyrus</v>
      </c>
      <c r="F2486" s="9" t="str">
        <f>IFERROR(__xludf.DUMMYFUNCTION("""COMPUTED_VALUE"""),"Br")</f>
        <v>Br</v>
      </c>
      <c r="G2486" s="9" t="str">
        <f>IFERROR(__xludf.DUMMYFUNCTION("""COMPUTED_VALUE"""),"F")</f>
        <v>F</v>
      </c>
      <c r="H2486" s="9" t="str">
        <f>IFERROR(__xludf.DUMMYFUNCTION("""COMPUTED_VALUE"""),"FSS")</f>
        <v>FSS</v>
      </c>
      <c r="I2486" s="9" t="str">
        <f>IFERROR(__xludf.DUMMYFUNCTION("""COMPUTED_VALUE"""),"CeG")</f>
        <v>CeG</v>
      </c>
      <c r="J2486" s="9" t="str">
        <f>IFERROR(__xludf.DUMMYFUNCTION("""COMPUTED_VALUE"""),"FroL")</f>
        <v>FroL</v>
      </c>
      <c r="K2486" s="9" t="str">
        <f>IFERROR(__xludf.DUMMYFUNCTION("""COMPUTED_VALUE"""),"RoG")</f>
        <v>RoG</v>
      </c>
      <c r="L2486" s="9"/>
      <c r="M2486" s="9"/>
      <c r="N2486" s="9"/>
      <c r="O2486" s="9"/>
      <c r="P2486" s="9"/>
      <c r="Q2486" s="9"/>
      <c r="R2486" s="9"/>
      <c r="S2486" s="42" t="str">
        <f>IFERROR(__xludf.DUMMYFUNCTION("""COMPUTED_VALUE"""),"SRoG;
IRoG")</f>
        <v>SRoG;
IRoG</v>
      </c>
      <c r="T2486" s="42" t="str">
        <f>IFERROR(__xludf.DUMMYFUNCTION("""COMPUTED_VALUE"""),"gyrus")</f>
        <v>gyrus</v>
      </c>
      <c r="U2486" s="42" t="b">
        <f>IFERROR(__xludf.DUMMYFUNCTION("""COMPUTED_VALUE"""),FALSE)</f>
        <v>0</v>
      </c>
      <c r="V2486" s="42"/>
      <c r="W2486" s="42"/>
      <c r="X2486" s="42"/>
      <c r="Y2486" s="42"/>
      <c r="Z2486" s="42"/>
      <c r="AA2486" s="42"/>
      <c r="AB2486" s="42" t="str">
        <f>IFERROR(__xludf.DUMMYFUNCTION("""COMPUTED_VALUE"""),"allen institute")</f>
        <v>allen institute</v>
      </c>
      <c r="AC2486" s="42" t="str">
        <f>IFERROR(__xludf.DUMMYFUNCTION("""COMPUTED_VALUE"""),"DHBA")</f>
        <v>DHBA</v>
      </c>
      <c r="AD2486" s="42"/>
      <c r="AE2486" s="42"/>
      <c r="AF2486" s="9"/>
      <c r="AG2486" s="9"/>
      <c r="AH2486" s="42"/>
      <c r="AI2486" s="42"/>
      <c r="AJ2486" s="42"/>
      <c r="AK2486" s="42"/>
      <c r="AL2486" s="42"/>
      <c r="AM2486" s="42"/>
      <c r="AN2486" s="42"/>
      <c r="AO2486" s="63" t="str">
        <f>IFERROR(__xludf.DUMMYFUNCTION("IF(ISBLANK(A2486),,IF(ISBLANK(S2486), A2486&amp;"";"", TEXTJOIN(CHAR(10), TRUE, A2486&amp;"";"", ARRAYFORMULA(VLOOKUP(SPLIT(S2486, "";"" &amp; CHAR(10)), $A:$AO, 41, FALSE)))))"),"RoG;
SRoG;
IRoG;")</f>
        <v>RoG;
SRoG;
IRoG;</v>
      </c>
      <c r="AP2486" s="89"/>
    </row>
    <row r="2487">
      <c r="A2487" s="151" t="str">
        <f>IFERROR(__xludf.DUMMYFUNCTION("""COMPUTED_VALUE"""),"SRoG")</f>
        <v>SRoG</v>
      </c>
      <c r="B2487" s="42" t="str">
        <f>IFERROR(__xludf.DUMMYFUNCTION("""COMPUTED_VALUE"""),"DHBA")</f>
        <v>DHBA</v>
      </c>
      <c r="C2487" s="42" t="str">
        <f>IFERROR(__xludf.DUMMYFUNCTION("""COMPUTED_VALUE"""),"superior rostral gyrus")</f>
        <v>superior rostral gyrus</v>
      </c>
      <c r="D2487" s="42">
        <f>IFERROR(__xludf.DUMMYFUNCTION("""COMPUTED_VALUE"""),2370.0)</f>
        <v>2370</v>
      </c>
      <c r="E2487" s="39" t="str">
        <f>IFERROR(__xludf.DUMMYFUNCTION("""COMPUTED_VALUE"""),"superior rostral gyrus")</f>
        <v>superior rostral gyrus</v>
      </c>
      <c r="F2487" s="9" t="str">
        <f>IFERROR(__xludf.DUMMYFUNCTION("""COMPUTED_VALUE"""),"Br")</f>
        <v>Br</v>
      </c>
      <c r="G2487" s="9" t="str">
        <f>IFERROR(__xludf.DUMMYFUNCTION("""COMPUTED_VALUE"""),"F")</f>
        <v>F</v>
      </c>
      <c r="H2487" s="9" t="str">
        <f>IFERROR(__xludf.DUMMYFUNCTION("""COMPUTED_VALUE"""),"FSS")</f>
        <v>FSS</v>
      </c>
      <c r="I2487" s="9" t="str">
        <f>IFERROR(__xludf.DUMMYFUNCTION("""COMPUTED_VALUE"""),"CeG")</f>
        <v>CeG</v>
      </c>
      <c r="J2487" s="9" t="str">
        <f>IFERROR(__xludf.DUMMYFUNCTION("""COMPUTED_VALUE"""),"FroL")</f>
        <v>FroL</v>
      </c>
      <c r="K2487" s="9" t="str">
        <f>IFERROR(__xludf.DUMMYFUNCTION("""COMPUTED_VALUE"""),"RoG")</f>
        <v>RoG</v>
      </c>
      <c r="L2487" s="9" t="str">
        <f>IFERROR(__xludf.DUMMYFUNCTION("""COMPUTED_VALUE"""),"SRoG")</f>
        <v>SRoG</v>
      </c>
      <c r="M2487" s="9"/>
      <c r="N2487" s="9"/>
      <c r="O2487" s="9"/>
      <c r="P2487" s="9"/>
      <c r="Q2487" s="9"/>
      <c r="R2487" s="9"/>
      <c r="S2487" s="42"/>
      <c r="T2487" s="42" t="str">
        <f>IFERROR(__xludf.DUMMYFUNCTION("""COMPUTED_VALUE"""),"gyrus")</f>
        <v>gyrus</v>
      </c>
      <c r="U2487" s="42" t="b">
        <f>IFERROR(__xludf.DUMMYFUNCTION("""COMPUTED_VALUE"""),FALSE)</f>
        <v>0</v>
      </c>
      <c r="V2487" s="42"/>
      <c r="W2487" s="42"/>
      <c r="X2487" s="42"/>
      <c r="Y2487" s="42"/>
      <c r="Z2487" s="42"/>
      <c r="AA2487" s="42"/>
      <c r="AB2487" s="42" t="str">
        <f>IFERROR(__xludf.DUMMYFUNCTION("""COMPUTED_VALUE"""),"allen institute")</f>
        <v>allen institute</v>
      </c>
      <c r="AC2487" s="42" t="str">
        <f>IFERROR(__xludf.DUMMYFUNCTION("""COMPUTED_VALUE"""),"DHBA")</f>
        <v>DHBA</v>
      </c>
      <c r="AD2487" s="42"/>
      <c r="AE2487" s="42"/>
      <c r="AF2487" s="9"/>
      <c r="AG2487" s="9"/>
      <c r="AH2487" s="42"/>
      <c r="AI2487" s="42"/>
      <c r="AJ2487" s="42"/>
      <c r="AK2487" s="42"/>
      <c r="AL2487" s="42"/>
      <c r="AM2487" s="42"/>
      <c r="AN2487" s="42"/>
      <c r="AO2487" s="63" t="str">
        <f>IFERROR(__xludf.DUMMYFUNCTION("IF(ISBLANK(A2487),,IF(ISBLANK(S2487), A2487&amp;"";"", TEXTJOIN(CHAR(10), TRUE, A2487&amp;"";"", ARRAYFORMULA(VLOOKUP(SPLIT(S2487, "";"" &amp; CHAR(10)), $A:$AO, 41, FALSE)))))"),"SRoG;")</f>
        <v>SRoG;</v>
      </c>
      <c r="AP2487" s="89"/>
    </row>
    <row r="2488">
      <c r="A2488" s="151" t="str">
        <f>IFERROR(__xludf.DUMMYFUNCTION("""COMPUTED_VALUE"""),"IRoG")</f>
        <v>IRoG</v>
      </c>
      <c r="B2488" s="42" t="str">
        <f>IFERROR(__xludf.DUMMYFUNCTION("""COMPUTED_VALUE"""),"DHBA")</f>
        <v>DHBA</v>
      </c>
      <c r="C2488" s="42" t="str">
        <f>IFERROR(__xludf.DUMMYFUNCTION("""COMPUTED_VALUE"""),"inferior rostral gyrus")</f>
        <v>inferior rostral gyrus</v>
      </c>
      <c r="D2488" s="42">
        <f>IFERROR(__xludf.DUMMYFUNCTION("""COMPUTED_VALUE"""),2371.0)</f>
        <v>2371</v>
      </c>
      <c r="E2488" s="39" t="str">
        <f>IFERROR(__xludf.DUMMYFUNCTION("""COMPUTED_VALUE"""),"inferior rostral gyrus")</f>
        <v>inferior rostral gyrus</v>
      </c>
      <c r="F2488" s="9" t="str">
        <f>IFERROR(__xludf.DUMMYFUNCTION("""COMPUTED_VALUE"""),"Br")</f>
        <v>Br</v>
      </c>
      <c r="G2488" s="9" t="str">
        <f>IFERROR(__xludf.DUMMYFUNCTION("""COMPUTED_VALUE"""),"F")</f>
        <v>F</v>
      </c>
      <c r="H2488" s="9" t="str">
        <f>IFERROR(__xludf.DUMMYFUNCTION("""COMPUTED_VALUE"""),"FSS")</f>
        <v>FSS</v>
      </c>
      <c r="I2488" s="9" t="str">
        <f>IFERROR(__xludf.DUMMYFUNCTION("""COMPUTED_VALUE"""),"CeG")</f>
        <v>CeG</v>
      </c>
      <c r="J2488" s="9" t="str">
        <f>IFERROR(__xludf.DUMMYFUNCTION("""COMPUTED_VALUE"""),"FroL")</f>
        <v>FroL</v>
      </c>
      <c r="K2488" s="9" t="str">
        <f>IFERROR(__xludf.DUMMYFUNCTION("""COMPUTED_VALUE"""),"RoG")</f>
        <v>RoG</v>
      </c>
      <c r="L2488" s="9" t="str">
        <f>IFERROR(__xludf.DUMMYFUNCTION("""COMPUTED_VALUE"""),"IRoG")</f>
        <v>IRoG</v>
      </c>
      <c r="M2488" s="9"/>
      <c r="N2488" s="9"/>
      <c r="O2488" s="9"/>
      <c r="P2488" s="9"/>
      <c r="Q2488" s="9"/>
      <c r="R2488" s="9"/>
      <c r="S2488" s="42"/>
      <c r="T2488" s="42" t="str">
        <f>IFERROR(__xludf.DUMMYFUNCTION("""COMPUTED_VALUE"""),"gyrus")</f>
        <v>gyrus</v>
      </c>
      <c r="U2488" s="42" t="b">
        <f>IFERROR(__xludf.DUMMYFUNCTION("""COMPUTED_VALUE"""),FALSE)</f>
        <v>0</v>
      </c>
      <c r="V2488" s="42"/>
      <c r="W2488" s="42"/>
      <c r="X2488" s="42"/>
      <c r="Y2488" s="42"/>
      <c r="Z2488" s="42"/>
      <c r="AA2488" s="42"/>
      <c r="AB2488" s="42" t="str">
        <f>IFERROR(__xludf.DUMMYFUNCTION("""COMPUTED_VALUE"""),"allen institute")</f>
        <v>allen institute</v>
      </c>
      <c r="AC2488" s="42" t="str">
        <f>IFERROR(__xludf.DUMMYFUNCTION("""COMPUTED_VALUE"""),"DHBA")</f>
        <v>DHBA</v>
      </c>
      <c r="AD2488" s="42"/>
      <c r="AE2488" s="42"/>
      <c r="AF2488" s="9"/>
      <c r="AG2488" s="9"/>
      <c r="AH2488" s="42"/>
      <c r="AI2488" s="42"/>
      <c r="AJ2488" s="42"/>
      <c r="AK2488" s="42"/>
      <c r="AL2488" s="42"/>
      <c r="AM2488" s="42"/>
      <c r="AN2488" s="42"/>
      <c r="AO2488" s="63" t="str">
        <f>IFERROR(__xludf.DUMMYFUNCTION("IF(ISBLANK(A2488),,IF(ISBLANK(S2488), A2488&amp;"";"", TEXTJOIN(CHAR(10), TRUE, A2488&amp;"";"", ARRAYFORMULA(VLOOKUP(SPLIT(S2488, "";"" &amp; CHAR(10)), $A:$AO, 41, FALSE)))))"),"IRoG;")</f>
        <v>IRoG;</v>
      </c>
      <c r="AP2488" s="89"/>
    </row>
    <row r="2489">
      <c r="A2489" s="151" t="str">
        <f>IFERROR(__xludf.DUMMYFUNCTION("""COMPUTED_VALUE"""),"LOG")</f>
        <v>LOG</v>
      </c>
      <c r="B2489" s="42" t="str">
        <f>IFERROR(__xludf.DUMMYFUNCTION("""COMPUTED_VALUE"""),"DHBA")</f>
        <v>DHBA</v>
      </c>
      <c r="C2489" s="42" t="str">
        <f>IFERROR(__xludf.DUMMYFUNCTION("""COMPUTED_VALUE"""),"lateral olfactory gyrus")</f>
        <v>lateral olfactory gyrus</v>
      </c>
      <c r="D2489" s="42">
        <f>IFERROR(__xludf.DUMMYFUNCTION("""COMPUTED_VALUE"""),2372.0)</f>
        <v>2372</v>
      </c>
      <c r="E2489" s="39" t="str">
        <f>IFERROR(__xludf.DUMMYFUNCTION("""COMPUTED_VALUE"""),"lateral olfactory gyrus")</f>
        <v>lateral olfactory gyrus</v>
      </c>
      <c r="F2489" s="9" t="str">
        <f>IFERROR(__xludf.DUMMYFUNCTION("""COMPUTED_VALUE"""),"Br")</f>
        <v>Br</v>
      </c>
      <c r="G2489" s="9" t="str">
        <f>IFERROR(__xludf.DUMMYFUNCTION("""COMPUTED_VALUE"""),"F")</f>
        <v>F</v>
      </c>
      <c r="H2489" s="9" t="str">
        <f>IFERROR(__xludf.DUMMYFUNCTION("""COMPUTED_VALUE"""),"FSS")</f>
        <v>FSS</v>
      </c>
      <c r="I2489" s="9" t="str">
        <f>IFERROR(__xludf.DUMMYFUNCTION("""COMPUTED_VALUE"""),"CeG")</f>
        <v>CeG</v>
      </c>
      <c r="J2489" s="9" t="str">
        <f>IFERROR(__xludf.DUMMYFUNCTION("""COMPUTED_VALUE"""),"FroL")</f>
        <v>FroL</v>
      </c>
      <c r="K2489" s="9" t="str">
        <f>IFERROR(__xludf.DUMMYFUNCTION("""COMPUTED_VALUE"""),"LOG")</f>
        <v>LOG</v>
      </c>
      <c r="L2489" s="9"/>
      <c r="M2489" s="9"/>
      <c r="N2489" s="9"/>
      <c r="O2489" s="9"/>
      <c r="P2489" s="9"/>
      <c r="Q2489" s="9"/>
      <c r="R2489" s="9"/>
      <c r="S2489" s="42"/>
      <c r="T2489" s="42" t="str">
        <f>IFERROR(__xludf.DUMMYFUNCTION("""COMPUTED_VALUE"""),"gyrus")</f>
        <v>gyrus</v>
      </c>
      <c r="U2489" s="42" t="b">
        <f>IFERROR(__xludf.DUMMYFUNCTION("""COMPUTED_VALUE"""),FALSE)</f>
        <v>0</v>
      </c>
      <c r="V2489" s="42"/>
      <c r="W2489" s="42"/>
      <c r="X2489" s="42"/>
      <c r="Y2489" s="42"/>
      <c r="Z2489" s="42"/>
      <c r="AA2489" s="42"/>
      <c r="AB2489" s="42" t="str">
        <f>IFERROR(__xludf.DUMMYFUNCTION("""COMPUTED_VALUE"""),"allen institute")</f>
        <v>allen institute</v>
      </c>
      <c r="AC2489" s="42" t="str">
        <f>IFERROR(__xludf.DUMMYFUNCTION("""COMPUTED_VALUE"""),"DHBA")</f>
        <v>DHBA</v>
      </c>
      <c r="AD2489" s="42"/>
      <c r="AE2489" s="42"/>
      <c r="AF2489" s="9"/>
      <c r="AG2489" s="9"/>
      <c r="AH2489" s="42"/>
      <c r="AI2489" s="42"/>
      <c r="AJ2489" s="42"/>
      <c r="AK2489" s="42"/>
      <c r="AL2489" s="42"/>
      <c r="AM2489" s="42"/>
      <c r="AN2489" s="42"/>
      <c r="AO2489" s="63" t="str">
        <f>IFERROR(__xludf.DUMMYFUNCTION("IF(ISBLANK(A2489),,IF(ISBLANK(S2489), A2489&amp;"";"", TEXTJOIN(CHAR(10), TRUE, A2489&amp;"";"", ARRAYFORMULA(VLOOKUP(SPLIT(S2489, "";"" &amp; CHAR(10)), $A:$AO, 41, FALSE)))))"),"LOG;")</f>
        <v>LOG;</v>
      </c>
      <c r="AP2489" s="89"/>
    </row>
    <row r="2490">
      <c r="A2490" s="151" t="str">
        <f>IFERROR(__xludf.DUMMYFUNCTION("""COMPUTED_VALUE"""),"FMG")</f>
        <v>FMG</v>
      </c>
      <c r="B2490" s="42" t="str">
        <f>IFERROR(__xludf.DUMMYFUNCTION("""COMPUTED_VALUE"""),"DHBA")</f>
        <v>DHBA</v>
      </c>
      <c r="C2490" s="42" t="str">
        <f>IFERROR(__xludf.DUMMYFUNCTION("""COMPUTED_VALUE"""),"frontomarginal gyrus")</f>
        <v>frontomarginal gyrus</v>
      </c>
      <c r="D2490" s="42">
        <f>IFERROR(__xludf.DUMMYFUNCTION("""COMPUTED_VALUE"""),2373.0)</f>
        <v>2373</v>
      </c>
      <c r="E2490" s="39" t="str">
        <f>IFERROR(__xludf.DUMMYFUNCTION("""COMPUTED_VALUE"""),"frontomarginal gyrus")</f>
        <v>frontomarginal gyrus</v>
      </c>
      <c r="F2490" s="9" t="str">
        <f>IFERROR(__xludf.DUMMYFUNCTION("""COMPUTED_VALUE"""),"Br")</f>
        <v>Br</v>
      </c>
      <c r="G2490" s="9" t="str">
        <f>IFERROR(__xludf.DUMMYFUNCTION("""COMPUTED_VALUE"""),"F")</f>
        <v>F</v>
      </c>
      <c r="H2490" s="9" t="str">
        <f>IFERROR(__xludf.DUMMYFUNCTION("""COMPUTED_VALUE"""),"FSS")</f>
        <v>FSS</v>
      </c>
      <c r="I2490" s="9" t="str">
        <f>IFERROR(__xludf.DUMMYFUNCTION("""COMPUTED_VALUE"""),"CeG")</f>
        <v>CeG</v>
      </c>
      <c r="J2490" s="9" t="str">
        <f>IFERROR(__xludf.DUMMYFUNCTION("""COMPUTED_VALUE"""),"FroL")</f>
        <v>FroL</v>
      </c>
      <c r="K2490" s="9" t="str">
        <f>IFERROR(__xludf.DUMMYFUNCTION("""COMPUTED_VALUE"""),"FMG")</f>
        <v>FMG</v>
      </c>
      <c r="L2490" s="9"/>
      <c r="M2490" s="9"/>
      <c r="N2490" s="9"/>
      <c r="O2490" s="9"/>
      <c r="P2490" s="9"/>
      <c r="Q2490" s="9"/>
      <c r="R2490" s="9"/>
      <c r="S2490" s="42"/>
      <c r="T2490" s="42" t="str">
        <f>IFERROR(__xludf.DUMMYFUNCTION("""COMPUTED_VALUE"""),"gyrus")</f>
        <v>gyrus</v>
      </c>
      <c r="U2490" s="42" t="b">
        <f>IFERROR(__xludf.DUMMYFUNCTION("""COMPUTED_VALUE"""),FALSE)</f>
        <v>0</v>
      </c>
      <c r="V2490" s="42"/>
      <c r="W2490" s="42"/>
      <c r="X2490" s="42"/>
      <c r="Y2490" s="42"/>
      <c r="Z2490" s="42"/>
      <c r="AA2490" s="42"/>
      <c r="AB2490" s="42" t="str">
        <f>IFERROR(__xludf.DUMMYFUNCTION("""COMPUTED_VALUE"""),"allen institute")</f>
        <v>allen institute</v>
      </c>
      <c r="AC2490" s="42" t="str">
        <f>IFERROR(__xludf.DUMMYFUNCTION("""COMPUTED_VALUE"""),"DHBA")</f>
        <v>DHBA</v>
      </c>
      <c r="AD2490" s="42"/>
      <c r="AE2490" s="42"/>
      <c r="AF2490" s="9"/>
      <c r="AG2490" s="9"/>
      <c r="AH2490" s="42"/>
      <c r="AI2490" s="42"/>
      <c r="AJ2490" s="42"/>
      <c r="AK2490" s="42"/>
      <c r="AL2490" s="42"/>
      <c r="AM2490" s="42"/>
      <c r="AN2490" s="42"/>
      <c r="AO2490" s="63" t="str">
        <f>IFERROR(__xludf.DUMMYFUNCTION("IF(ISBLANK(A2490),,IF(ISBLANK(S2490), A2490&amp;"";"", TEXTJOIN(CHAR(10), TRUE, A2490&amp;"";"", ARRAYFORMULA(VLOOKUP(SPLIT(S2490, "";"" &amp; CHAR(10)), $A:$AO, 41, FALSE)))))"),"FMG;")</f>
        <v>FMG;</v>
      </c>
      <c r="AP2490" s="89"/>
    </row>
    <row r="2491">
      <c r="A2491" s="151" t="str">
        <f>IFERROR(__xludf.DUMMYFUNCTION("""COMPUTED_VALUE"""),"FP")</f>
        <v>FP</v>
      </c>
      <c r="B2491" s="42" t="str">
        <f>IFERROR(__xludf.DUMMYFUNCTION("""COMPUTED_VALUE"""),"DHBA")</f>
        <v>DHBA</v>
      </c>
      <c r="C2491" s="42" t="str">
        <f>IFERROR(__xludf.DUMMYFUNCTION("""COMPUTED_VALUE"""),"frontal pole")</f>
        <v>frontal pole</v>
      </c>
      <c r="D2491" s="42">
        <f>IFERROR(__xludf.DUMMYFUNCTION("""COMPUTED_VALUE"""),2374.0)</f>
        <v>2374</v>
      </c>
      <c r="E2491" s="39" t="str">
        <f>IFERROR(__xludf.DUMMYFUNCTION("""COMPUTED_VALUE"""),"frontal pole")</f>
        <v>frontal pole</v>
      </c>
      <c r="F2491" s="9" t="str">
        <f>IFERROR(__xludf.DUMMYFUNCTION("""COMPUTED_VALUE"""),"Br")</f>
        <v>Br</v>
      </c>
      <c r="G2491" s="9" t="str">
        <f>IFERROR(__xludf.DUMMYFUNCTION("""COMPUTED_VALUE"""),"F")</f>
        <v>F</v>
      </c>
      <c r="H2491" s="9" t="str">
        <f>IFERROR(__xludf.DUMMYFUNCTION("""COMPUTED_VALUE"""),"FSS")</f>
        <v>FSS</v>
      </c>
      <c r="I2491" s="9" t="str">
        <f>IFERROR(__xludf.DUMMYFUNCTION("""COMPUTED_VALUE"""),"CeG")</f>
        <v>CeG</v>
      </c>
      <c r="J2491" s="9" t="str">
        <f>IFERROR(__xludf.DUMMYFUNCTION("""COMPUTED_VALUE"""),"FroL")</f>
        <v>FroL</v>
      </c>
      <c r="K2491" s="9" t="str">
        <f>IFERROR(__xludf.DUMMYFUNCTION("""COMPUTED_VALUE"""),"FP")</f>
        <v>FP</v>
      </c>
      <c r="L2491" s="9"/>
      <c r="M2491" s="9"/>
      <c r="N2491" s="9"/>
      <c r="O2491" s="9"/>
      <c r="P2491" s="9"/>
      <c r="Q2491" s="9"/>
      <c r="R2491" s="9"/>
      <c r="S2491" s="42"/>
      <c r="T2491" s="42"/>
      <c r="U2491" s="42"/>
      <c r="V2491" s="42"/>
      <c r="W2491" s="42"/>
      <c r="X2491" s="42"/>
      <c r="Y2491" s="42"/>
      <c r="Z2491" s="42"/>
      <c r="AA2491" s="42"/>
      <c r="AB2491" s="42" t="str">
        <f>IFERROR(__xludf.DUMMYFUNCTION("""COMPUTED_VALUE"""),"allen institute")</f>
        <v>allen institute</v>
      </c>
      <c r="AC2491" s="42" t="str">
        <f>IFERROR(__xludf.DUMMYFUNCTION("""COMPUTED_VALUE"""),"DHBA")</f>
        <v>DHBA</v>
      </c>
      <c r="AD2491" s="42"/>
      <c r="AE2491" s="42"/>
      <c r="AF2491" s="9"/>
      <c r="AG2491" s="9"/>
      <c r="AH2491" s="42"/>
      <c r="AI2491" s="42"/>
      <c r="AJ2491" s="42"/>
      <c r="AK2491" s="42"/>
      <c r="AL2491" s="42"/>
      <c r="AM2491" s="42"/>
      <c r="AN2491" s="42"/>
      <c r="AO2491" s="63" t="str">
        <f>IFERROR(__xludf.DUMMYFUNCTION("IF(ISBLANK(A2491),,IF(ISBLANK(S2491), A2491&amp;"";"", TEXTJOIN(CHAR(10), TRUE, A2491&amp;"";"", ARRAYFORMULA(VLOOKUP(SPLIT(S2491, "";"" &amp; CHAR(10)), $A:$AO, 41, FALSE)))))"),"FP;")</f>
        <v>FP;</v>
      </c>
      <c r="AP2491" s="89"/>
    </row>
    <row r="2492">
      <c r="A2492" s="151" t="str">
        <f>IFERROR(__xludf.DUMMYFUNCTION("""COMPUTED_VALUE"""),"ParL")</f>
        <v>ParL</v>
      </c>
      <c r="B2492" s="42" t="str">
        <f>IFERROR(__xludf.DUMMYFUNCTION("""COMPUTED_VALUE"""),"DHBA")</f>
        <v>DHBA</v>
      </c>
      <c r="C2492" s="42" t="str">
        <f>IFERROR(__xludf.DUMMYFUNCTION("""COMPUTED_VALUE"""),"parietal lobe")</f>
        <v>parietal lobe</v>
      </c>
      <c r="D2492" s="42">
        <f>IFERROR(__xludf.DUMMYFUNCTION("""COMPUTED_VALUE"""),2375.0)</f>
        <v>2375</v>
      </c>
      <c r="E2492" s="39" t="str">
        <f>IFERROR(__xludf.DUMMYFUNCTION("""COMPUTED_VALUE"""),"parietal lobe")</f>
        <v>parietal lobe</v>
      </c>
      <c r="F2492" s="9" t="str">
        <f>IFERROR(__xludf.DUMMYFUNCTION("""COMPUTED_VALUE"""),"Br")</f>
        <v>Br</v>
      </c>
      <c r="G2492" s="9" t="str">
        <f>IFERROR(__xludf.DUMMYFUNCTION("""COMPUTED_VALUE"""),"F")</f>
        <v>F</v>
      </c>
      <c r="H2492" s="9" t="str">
        <f>IFERROR(__xludf.DUMMYFUNCTION("""COMPUTED_VALUE"""),"FSS")</f>
        <v>FSS</v>
      </c>
      <c r="I2492" s="9" t="str">
        <f>IFERROR(__xludf.DUMMYFUNCTION("""COMPUTED_VALUE"""),"CeG")</f>
        <v>CeG</v>
      </c>
      <c r="J2492" s="9" t="str">
        <f>IFERROR(__xludf.DUMMYFUNCTION("""COMPUTED_VALUE"""),"ParL")</f>
        <v>ParL</v>
      </c>
      <c r="K2492" s="9"/>
      <c r="L2492" s="9"/>
      <c r="M2492" s="9"/>
      <c r="N2492" s="9"/>
      <c r="O2492" s="9"/>
      <c r="P2492" s="9"/>
      <c r="Q2492" s="9"/>
      <c r="R2492" s="9"/>
      <c r="S2492" s="42" t="str">
        <f>IFERROR(__xludf.DUMMYFUNCTION("""COMPUTED_VALUE"""),"PoCG;
SPL;
IPL;
PrCun;
PCLc;
PaO")</f>
        <v>PoCG;
SPL;
IPL;
PrCun;
PCLc;
PaO</v>
      </c>
      <c r="T2492" s="42" t="str">
        <f>IFERROR(__xludf.DUMMYFUNCTION("""COMPUTED_VALUE"""),"lobe")</f>
        <v>lobe</v>
      </c>
      <c r="U2492" s="42" t="b">
        <f>IFERROR(__xludf.DUMMYFUNCTION("""COMPUTED_VALUE"""),FALSE)</f>
        <v>0</v>
      </c>
      <c r="V2492" s="42"/>
      <c r="W2492" s="42"/>
      <c r="X2492" s="42"/>
      <c r="Y2492" s="42"/>
      <c r="Z2492" s="42"/>
      <c r="AA2492" s="42"/>
      <c r="AB2492" s="42" t="str">
        <f>IFERROR(__xludf.DUMMYFUNCTION("""COMPUTED_VALUE"""),"allen institute")</f>
        <v>allen institute</v>
      </c>
      <c r="AC2492" s="42" t="str">
        <f>IFERROR(__xludf.DUMMYFUNCTION("""COMPUTED_VALUE"""),"DHBA")</f>
        <v>DHBA</v>
      </c>
      <c r="AD2492" s="42"/>
      <c r="AE2492" s="42"/>
      <c r="AF2492" s="9"/>
      <c r="AG2492" s="9"/>
      <c r="AH2492" s="42"/>
      <c r="AI2492" s="42"/>
      <c r="AJ2492" s="42"/>
      <c r="AK2492" s="42"/>
      <c r="AL2492" s="42"/>
      <c r="AM2492" s="42"/>
      <c r="AN2492" s="42"/>
      <c r="AO2492" s="63" t="str">
        <f>IFERROR(__xludf.DUMMYFUNCTION("IF(ISBLANK(A2492),,IF(ISBLANK(S2492), A2492&amp;"";"", TEXTJOIN(CHAR(10), TRUE, A2492&amp;"";"", ARRAYFORMULA(VLOOKUP(SPLIT(S2492, "";"" &amp; CHAR(10)), $A:$AO, 41, FALSE)))))"),"ParL;
PoCG;
SPL;
IPL;
SMG;
AnG;
PrCun;
PCLc;
PaO;")</f>
        <v>ParL;
PoCG;
SPL;
IPL;
SMG;
AnG;
PrCun;
PCLc;
PaO;</v>
      </c>
      <c r="AP2492" s="89"/>
    </row>
    <row r="2493">
      <c r="A2493" s="151" t="str">
        <f>IFERROR(__xludf.DUMMYFUNCTION("""COMPUTED_VALUE"""),"PoCG")</f>
        <v>PoCG</v>
      </c>
      <c r="B2493" s="42" t="str">
        <f>IFERROR(__xludf.DUMMYFUNCTION("""COMPUTED_VALUE"""),"DHBA")</f>
        <v>DHBA</v>
      </c>
      <c r="C2493" s="42" t="str">
        <f>IFERROR(__xludf.DUMMYFUNCTION("""COMPUTED_VALUE"""),"postcentral gyrus")</f>
        <v>postcentral gyrus</v>
      </c>
      <c r="D2493" s="42">
        <f>IFERROR(__xludf.DUMMYFUNCTION("""COMPUTED_VALUE"""),2376.0)</f>
        <v>2376</v>
      </c>
      <c r="E2493" s="39" t="str">
        <f>IFERROR(__xludf.DUMMYFUNCTION("""COMPUTED_VALUE"""),"postcentral gyrus")</f>
        <v>postcentral gyrus</v>
      </c>
      <c r="F2493" s="9" t="str">
        <f>IFERROR(__xludf.DUMMYFUNCTION("""COMPUTED_VALUE"""),"Br")</f>
        <v>Br</v>
      </c>
      <c r="G2493" s="9" t="str">
        <f>IFERROR(__xludf.DUMMYFUNCTION("""COMPUTED_VALUE"""),"F")</f>
        <v>F</v>
      </c>
      <c r="H2493" s="9" t="str">
        <f>IFERROR(__xludf.DUMMYFUNCTION("""COMPUTED_VALUE"""),"FSS")</f>
        <v>FSS</v>
      </c>
      <c r="I2493" s="9" t="str">
        <f>IFERROR(__xludf.DUMMYFUNCTION("""COMPUTED_VALUE"""),"CeG")</f>
        <v>CeG</v>
      </c>
      <c r="J2493" s="9" t="str">
        <f>IFERROR(__xludf.DUMMYFUNCTION("""COMPUTED_VALUE"""),"ParL")</f>
        <v>ParL</v>
      </c>
      <c r="K2493" s="9" t="str">
        <f>IFERROR(__xludf.DUMMYFUNCTION("""COMPUTED_VALUE"""),"PoCG")</f>
        <v>PoCG</v>
      </c>
      <c r="L2493" s="9"/>
      <c r="M2493" s="9"/>
      <c r="N2493" s="9"/>
      <c r="O2493" s="9"/>
      <c r="P2493" s="9"/>
      <c r="Q2493" s="9"/>
      <c r="R2493" s="9"/>
      <c r="S2493" s="42"/>
      <c r="T2493" s="42" t="str">
        <f>IFERROR(__xludf.DUMMYFUNCTION("""COMPUTED_VALUE"""),"gyrus")</f>
        <v>gyrus</v>
      </c>
      <c r="U2493" s="42" t="b">
        <f>IFERROR(__xludf.DUMMYFUNCTION("""COMPUTED_VALUE"""),FALSE)</f>
        <v>0</v>
      </c>
      <c r="V2493" s="42"/>
      <c r="W2493" s="42"/>
      <c r="X2493" s="42"/>
      <c r="Y2493" s="42"/>
      <c r="Z2493" s="42"/>
      <c r="AA2493" s="42"/>
      <c r="AB2493" s="42" t="str">
        <f>IFERROR(__xludf.DUMMYFUNCTION("""COMPUTED_VALUE"""),"allen institute")</f>
        <v>allen institute</v>
      </c>
      <c r="AC2493" s="42" t="str">
        <f>IFERROR(__xludf.DUMMYFUNCTION("""COMPUTED_VALUE"""),"DHBA")</f>
        <v>DHBA</v>
      </c>
      <c r="AD2493" s="42"/>
      <c r="AE2493" s="42"/>
      <c r="AF2493" s="9"/>
      <c r="AG2493" s="9"/>
      <c r="AH2493" s="42"/>
      <c r="AI2493" s="42"/>
      <c r="AJ2493" s="42"/>
      <c r="AK2493" s="42"/>
      <c r="AL2493" s="42"/>
      <c r="AM2493" s="42"/>
      <c r="AN2493" s="42"/>
      <c r="AO2493" s="63" t="str">
        <f>IFERROR(__xludf.DUMMYFUNCTION("IF(ISBLANK(A2493),,IF(ISBLANK(S2493), A2493&amp;"";"", TEXTJOIN(CHAR(10), TRUE, A2493&amp;"";"", ARRAYFORMULA(VLOOKUP(SPLIT(S2493, "";"" &amp; CHAR(10)), $A:$AO, 41, FALSE)))))"),"PoCG;")</f>
        <v>PoCG;</v>
      </c>
      <c r="AP2493" s="89"/>
    </row>
    <row r="2494">
      <c r="A2494" s="151" t="str">
        <f>IFERROR(__xludf.DUMMYFUNCTION("""COMPUTED_VALUE"""),"SPL")</f>
        <v>SPL</v>
      </c>
      <c r="B2494" s="42" t="str">
        <f>IFERROR(__xludf.DUMMYFUNCTION("""COMPUTED_VALUE"""),"DHBA")</f>
        <v>DHBA</v>
      </c>
      <c r="C2494" s="42" t="str">
        <f>IFERROR(__xludf.DUMMYFUNCTION("""COMPUTED_VALUE"""),"supraparietal lobule")</f>
        <v>supraparietal lobule</v>
      </c>
      <c r="D2494" s="42">
        <f>IFERROR(__xludf.DUMMYFUNCTION("""COMPUTED_VALUE"""),2377.0)</f>
        <v>2377</v>
      </c>
      <c r="E2494" s="39" t="str">
        <f>IFERROR(__xludf.DUMMYFUNCTION("""COMPUTED_VALUE"""),"supraparietal lobule")</f>
        <v>supraparietal lobule</v>
      </c>
      <c r="F2494" s="9" t="str">
        <f>IFERROR(__xludf.DUMMYFUNCTION("""COMPUTED_VALUE"""),"Br")</f>
        <v>Br</v>
      </c>
      <c r="G2494" s="9" t="str">
        <f>IFERROR(__xludf.DUMMYFUNCTION("""COMPUTED_VALUE"""),"F")</f>
        <v>F</v>
      </c>
      <c r="H2494" s="9" t="str">
        <f>IFERROR(__xludf.DUMMYFUNCTION("""COMPUTED_VALUE"""),"FSS")</f>
        <v>FSS</v>
      </c>
      <c r="I2494" s="9" t="str">
        <f>IFERROR(__xludf.DUMMYFUNCTION("""COMPUTED_VALUE"""),"CeG")</f>
        <v>CeG</v>
      </c>
      <c r="J2494" s="9" t="str">
        <f>IFERROR(__xludf.DUMMYFUNCTION("""COMPUTED_VALUE"""),"ParL")</f>
        <v>ParL</v>
      </c>
      <c r="K2494" s="9" t="str">
        <f>IFERROR(__xludf.DUMMYFUNCTION("""COMPUTED_VALUE"""),"SPL")</f>
        <v>SPL</v>
      </c>
      <c r="L2494" s="9"/>
      <c r="M2494" s="9"/>
      <c r="N2494" s="9"/>
      <c r="O2494" s="9"/>
      <c r="P2494" s="9"/>
      <c r="Q2494" s="9"/>
      <c r="R2494" s="9"/>
      <c r="S2494" s="42"/>
      <c r="T2494" s="42" t="str">
        <f>IFERROR(__xludf.DUMMYFUNCTION("""COMPUTED_VALUE"""),"lobe")</f>
        <v>lobe</v>
      </c>
      <c r="U2494" s="42" t="b">
        <f>IFERROR(__xludf.DUMMYFUNCTION("""COMPUTED_VALUE"""),FALSE)</f>
        <v>0</v>
      </c>
      <c r="V2494" s="42"/>
      <c r="W2494" s="42"/>
      <c r="X2494" s="42"/>
      <c r="Y2494" s="42"/>
      <c r="Z2494" s="42"/>
      <c r="AA2494" s="42"/>
      <c r="AB2494" s="42" t="str">
        <f>IFERROR(__xludf.DUMMYFUNCTION("""COMPUTED_VALUE"""),"allen institute")</f>
        <v>allen institute</v>
      </c>
      <c r="AC2494" s="42" t="str">
        <f>IFERROR(__xludf.DUMMYFUNCTION("""COMPUTED_VALUE"""),"DHBA")</f>
        <v>DHBA</v>
      </c>
      <c r="AD2494" s="42"/>
      <c r="AE2494" s="42"/>
      <c r="AF2494" s="9"/>
      <c r="AG2494" s="9"/>
      <c r="AH2494" s="42"/>
      <c r="AI2494" s="42"/>
      <c r="AJ2494" s="42"/>
      <c r="AK2494" s="42"/>
      <c r="AL2494" s="42"/>
      <c r="AM2494" s="42"/>
      <c r="AN2494" s="42"/>
      <c r="AO2494" s="63" t="str">
        <f>IFERROR(__xludf.DUMMYFUNCTION("IF(ISBLANK(A2494),,IF(ISBLANK(S2494), A2494&amp;"";"", TEXTJOIN(CHAR(10), TRUE, A2494&amp;"";"", ARRAYFORMULA(VLOOKUP(SPLIT(S2494, "";"" &amp; CHAR(10)), $A:$AO, 41, FALSE)))))"),"SPL;")</f>
        <v>SPL;</v>
      </c>
      <c r="AP2494" s="89"/>
    </row>
    <row r="2495">
      <c r="A2495" s="151" t="str">
        <f>IFERROR(__xludf.DUMMYFUNCTION("""COMPUTED_VALUE"""),"IPL")</f>
        <v>IPL</v>
      </c>
      <c r="B2495" s="42" t="str">
        <f>IFERROR(__xludf.DUMMYFUNCTION("""COMPUTED_VALUE"""),"DHBA")</f>
        <v>DHBA</v>
      </c>
      <c r="C2495" s="42" t="str">
        <f>IFERROR(__xludf.DUMMYFUNCTION("""COMPUTED_VALUE"""),"inferior parietal lobule")</f>
        <v>inferior parietal lobule</v>
      </c>
      <c r="D2495" s="42">
        <f>IFERROR(__xludf.DUMMYFUNCTION("""COMPUTED_VALUE"""),2378.0)</f>
        <v>2378</v>
      </c>
      <c r="E2495" s="39" t="str">
        <f>IFERROR(__xludf.DUMMYFUNCTION("""COMPUTED_VALUE"""),"inferior parietal lobule")</f>
        <v>inferior parietal lobule</v>
      </c>
      <c r="F2495" s="9" t="str">
        <f>IFERROR(__xludf.DUMMYFUNCTION("""COMPUTED_VALUE"""),"Br")</f>
        <v>Br</v>
      </c>
      <c r="G2495" s="9" t="str">
        <f>IFERROR(__xludf.DUMMYFUNCTION("""COMPUTED_VALUE"""),"F")</f>
        <v>F</v>
      </c>
      <c r="H2495" s="9" t="str">
        <f>IFERROR(__xludf.DUMMYFUNCTION("""COMPUTED_VALUE"""),"FSS")</f>
        <v>FSS</v>
      </c>
      <c r="I2495" s="9" t="str">
        <f>IFERROR(__xludf.DUMMYFUNCTION("""COMPUTED_VALUE"""),"CeG")</f>
        <v>CeG</v>
      </c>
      <c r="J2495" s="9" t="str">
        <f>IFERROR(__xludf.DUMMYFUNCTION("""COMPUTED_VALUE"""),"ParL")</f>
        <v>ParL</v>
      </c>
      <c r="K2495" s="9" t="str">
        <f>IFERROR(__xludf.DUMMYFUNCTION("""COMPUTED_VALUE"""),"IPL")</f>
        <v>IPL</v>
      </c>
      <c r="L2495" s="9"/>
      <c r="M2495" s="9"/>
      <c r="N2495" s="9"/>
      <c r="O2495" s="9"/>
      <c r="P2495" s="9"/>
      <c r="Q2495" s="9"/>
      <c r="R2495" s="9"/>
      <c r="S2495" s="42" t="str">
        <f>IFERROR(__xludf.DUMMYFUNCTION("""COMPUTED_VALUE"""),"SMG;
AnG")</f>
        <v>SMG;
AnG</v>
      </c>
      <c r="T2495" s="42" t="str">
        <f>IFERROR(__xludf.DUMMYFUNCTION("""COMPUTED_VALUE"""),"lobe")</f>
        <v>lobe</v>
      </c>
      <c r="U2495" s="42" t="b">
        <f>IFERROR(__xludf.DUMMYFUNCTION("""COMPUTED_VALUE"""),FALSE)</f>
        <v>0</v>
      </c>
      <c r="V2495" s="42"/>
      <c r="W2495" s="42"/>
      <c r="X2495" s="42"/>
      <c r="Y2495" s="42"/>
      <c r="Z2495" s="42"/>
      <c r="AA2495" s="42"/>
      <c r="AB2495" s="42" t="str">
        <f>IFERROR(__xludf.DUMMYFUNCTION("""COMPUTED_VALUE"""),"allen institute")</f>
        <v>allen institute</v>
      </c>
      <c r="AC2495" s="42" t="str">
        <f>IFERROR(__xludf.DUMMYFUNCTION("""COMPUTED_VALUE"""),"DHBA")</f>
        <v>DHBA</v>
      </c>
      <c r="AD2495" s="42"/>
      <c r="AE2495" s="42"/>
      <c r="AF2495" s="9"/>
      <c r="AG2495" s="9"/>
      <c r="AH2495" s="42"/>
      <c r="AI2495" s="42"/>
      <c r="AJ2495" s="42"/>
      <c r="AK2495" s="42"/>
      <c r="AL2495" s="42"/>
      <c r="AM2495" s="42"/>
      <c r="AN2495" s="42"/>
      <c r="AO2495" s="63" t="str">
        <f>IFERROR(__xludf.DUMMYFUNCTION("IF(ISBLANK(A2495),,IF(ISBLANK(S2495), A2495&amp;"";"", TEXTJOIN(CHAR(10), TRUE, A2495&amp;"";"", ARRAYFORMULA(VLOOKUP(SPLIT(S2495, "";"" &amp; CHAR(10)), $A:$AO, 41, FALSE)))))"),"IPL;
SMG;
AnG;")</f>
        <v>IPL;
SMG;
AnG;</v>
      </c>
      <c r="AP2495" s="89"/>
    </row>
    <row r="2496">
      <c r="A2496" s="151" t="str">
        <f>IFERROR(__xludf.DUMMYFUNCTION("""COMPUTED_VALUE"""),"SMG")</f>
        <v>SMG</v>
      </c>
      <c r="B2496" s="42" t="str">
        <f>IFERROR(__xludf.DUMMYFUNCTION("""COMPUTED_VALUE"""),"DHBA")</f>
        <v>DHBA</v>
      </c>
      <c r="C2496" s="42" t="str">
        <f>IFERROR(__xludf.DUMMYFUNCTION("""COMPUTED_VALUE"""),"supramarginal gyrus")</f>
        <v>supramarginal gyrus</v>
      </c>
      <c r="D2496" s="42">
        <f>IFERROR(__xludf.DUMMYFUNCTION("""COMPUTED_VALUE"""),2379.0)</f>
        <v>2379</v>
      </c>
      <c r="E2496" s="39" t="str">
        <f>IFERROR(__xludf.DUMMYFUNCTION("""COMPUTED_VALUE"""),"supramarginal gyrus")</f>
        <v>supramarginal gyrus</v>
      </c>
      <c r="F2496" s="9" t="str">
        <f>IFERROR(__xludf.DUMMYFUNCTION("""COMPUTED_VALUE"""),"Br")</f>
        <v>Br</v>
      </c>
      <c r="G2496" s="9" t="str">
        <f>IFERROR(__xludf.DUMMYFUNCTION("""COMPUTED_VALUE"""),"F")</f>
        <v>F</v>
      </c>
      <c r="H2496" s="9" t="str">
        <f>IFERROR(__xludf.DUMMYFUNCTION("""COMPUTED_VALUE"""),"FSS")</f>
        <v>FSS</v>
      </c>
      <c r="I2496" s="9" t="str">
        <f>IFERROR(__xludf.DUMMYFUNCTION("""COMPUTED_VALUE"""),"CeG")</f>
        <v>CeG</v>
      </c>
      <c r="J2496" s="9" t="str">
        <f>IFERROR(__xludf.DUMMYFUNCTION("""COMPUTED_VALUE"""),"ParL")</f>
        <v>ParL</v>
      </c>
      <c r="K2496" s="9" t="str">
        <f>IFERROR(__xludf.DUMMYFUNCTION("""COMPUTED_VALUE"""),"IPL")</f>
        <v>IPL</v>
      </c>
      <c r="L2496" s="9" t="str">
        <f>IFERROR(__xludf.DUMMYFUNCTION("""COMPUTED_VALUE"""),"SMG")</f>
        <v>SMG</v>
      </c>
      <c r="M2496" s="9"/>
      <c r="N2496" s="9"/>
      <c r="O2496" s="9"/>
      <c r="P2496" s="9"/>
      <c r="Q2496" s="9"/>
      <c r="R2496" s="9"/>
      <c r="S2496" s="42"/>
      <c r="T2496" s="42" t="str">
        <f>IFERROR(__xludf.DUMMYFUNCTION("""COMPUTED_VALUE"""),"gyrus")</f>
        <v>gyrus</v>
      </c>
      <c r="U2496" s="42" t="b">
        <f>IFERROR(__xludf.DUMMYFUNCTION("""COMPUTED_VALUE"""),FALSE)</f>
        <v>0</v>
      </c>
      <c r="V2496" s="42"/>
      <c r="W2496" s="42"/>
      <c r="X2496" s="42"/>
      <c r="Y2496" s="42"/>
      <c r="Z2496" s="42"/>
      <c r="AA2496" s="42"/>
      <c r="AB2496" s="42" t="str">
        <f>IFERROR(__xludf.DUMMYFUNCTION("""COMPUTED_VALUE"""),"allen institute")</f>
        <v>allen institute</v>
      </c>
      <c r="AC2496" s="42" t="str">
        <f>IFERROR(__xludf.DUMMYFUNCTION("""COMPUTED_VALUE"""),"DHBA")</f>
        <v>DHBA</v>
      </c>
      <c r="AD2496" s="42"/>
      <c r="AE2496" s="42"/>
      <c r="AF2496" s="9"/>
      <c r="AG2496" s="9"/>
      <c r="AH2496" s="42"/>
      <c r="AI2496" s="42"/>
      <c r="AJ2496" s="42"/>
      <c r="AK2496" s="42"/>
      <c r="AL2496" s="42"/>
      <c r="AM2496" s="42"/>
      <c r="AN2496" s="42"/>
      <c r="AO2496" s="63" t="str">
        <f>IFERROR(__xludf.DUMMYFUNCTION("IF(ISBLANK(A2496),,IF(ISBLANK(S2496), A2496&amp;"";"", TEXTJOIN(CHAR(10), TRUE, A2496&amp;"";"", ARRAYFORMULA(VLOOKUP(SPLIT(S2496, "";"" &amp; CHAR(10)), $A:$AO, 41, FALSE)))))"),"SMG;")</f>
        <v>SMG;</v>
      </c>
      <c r="AP2496" s="89"/>
    </row>
    <row r="2497">
      <c r="A2497" s="151" t="str">
        <f>IFERROR(__xludf.DUMMYFUNCTION("""COMPUTED_VALUE"""),"FasNO")</f>
        <v>FasNO</v>
      </c>
      <c r="B2497" s="42" t="str">
        <f>IFERROR(__xludf.DUMMYFUNCTION("""COMPUTED_VALUE"""),"makeshift")</f>
        <v>makeshift</v>
      </c>
      <c r="C2497" s="42" t="str">
        <f>IFERROR(__xludf.DUMMYFUNCTION("""COMPUTED_VALUE"""),"inhibit nucleoolivary nucleus of Fas")</f>
        <v>inhibit nucleoolivary nucleus of Fas</v>
      </c>
      <c r="D2497" s="42">
        <f>IFERROR(__xludf.DUMMYFUNCTION("""COMPUTED_VALUE"""),2379.2)</f>
        <v>2379.2</v>
      </c>
      <c r="E2497" s="39" t="str">
        <f>IFERROR(__xludf.DUMMYFUNCTION("""COMPUTED_VALUE"""),"")</f>
        <v/>
      </c>
      <c r="F2497" s="9" t="str">
        <f>IFERROR(__xludf.DUMMYFUNCTION("""COMPUTED_VALUE"""),"")</f>
        <v/>
      </c>
      <c r="G2497" s="9" t="str">
        <f>IFERROR(__xludf.DUMMYFUNCTION("""COMPUTED_VALUE"""),"")</f>
        <v/>
      </c>
      <c r="H2497" s="9" t="str">
        <f>IFERROR(__xludf.DUMMYFUNCTION("""COMPUTED_VALUE"""),"")</f>
        <v/>
      </c>
      <c r="I2497" s="9" t="str">
        <f>IFERROR(__xludf.DUMMYFUNCTION("""COMPUTED_VALUE"""),"")</f>
        <v/>
      </c>
      <c r="J2497" s="9" t="str">
        <f>IFERROR(__xludf.DUMMYFUNCTION("""COMPUTED_VALUE"""),"")</f>
        <v/>
      </c>
      <c r="K2497" s="9" t="str">
        <f>IFERROR(__xludf.DUMMYFUNCTION("""COMPUTED_VALUE"""),"")</f>
        <v/>
      </c>
      <c r="L2497" s="9" t="str">
        <f>IFERROR(__xludf.DUMMYFUNCTION("""COMPUTED_VALUE"""),"")</f>
        <v/>
      </c>
      <c r="M2497" s="9" t="str">
        <f>IFERROR(__xludf.DUMMYFUNCTION("""COMPUTED_VALUE"""),"")</f>
        <v/>
      </c>
      <c r="N2497" s="9" t="str">
        <f>IFERROR(__xludf.DUMMYFUNCTION("""COMPUTED_VALUE"""),"")</f>
        <v/>
      </c>
      <c r="O2497" s="9" t="str">
        <f>IFERROR(__xludf.DUMMYFUNCTION("""COMPUTED_VALUE"""),"")</f>
        <v/>
      </c>
      <c r="P2497" s="9" t="str">
        <f>IFERROR(__xludf.DUMMYFUNCTION("""COMPUTED_VALUE"""),"")</f>
        <v/>
      </c>
      <c r="Q2497" s="9" t="str">
        <f>IFERROR(__xludf.DUMMYFUNCTION("""COMPUTED_VALUE"""),"")</f>
        <v/>
      </c>
      <c r="R2497" s="9" t="str">
        <f>IFERROR(__xludf.DUMMYFUNCTION("""COMPUTED_VALUE"""),"")</f>
        <v/>
      </c>
      <c r="S2497" s="42"/>
      <c r="T2497" s="42"/>
      <c r="U2497" s="159" t="b">
        <f>IFERROR(__xludf.DUMMYFUNCTION("""COMPUTED_VALUE"""),TRUE)</f>
        <v>1</v>
      </c>
      <c r="V2497" s="42" t="str">
        <f>IFERROR(__xludf.DUMMYFUNCTION("""COMPUTED_VALUE"""),"GABA")</f>
        <v>GABA</v>
      </c>
      <c r="W2497" s="42" t="str">
        <f>IFERROR(__xludf.DUMMYFUNCTION("""COMPUTED_VALUE"""),"Inhibitory")</f>
        <v>Inhibitory</v>
      </c>
      <c r="X2497" s="42"/>
      <c r="Y2497" s="42"/>
      <c r="Z2497" s="42"/>
      <c r="AA2497" s="42"/>
      <c r="AB2497" s="42" t="str">
        <f>IFERROR(__xludf.DUMMYFUNCTION("""COMPUTED_VALUE"""),"Hiroshi Yamakawa")</f>
        <v>Hiroshi Yamakawa</v>
      </c>
      <c r="AC2497" s="42" t="str">
        <f>IFERROR(__xludf.DUMMYFUNCTION("""COMPUTED_VALUE"""),"HY20Cerebellum")</f>
        <v>HY20Cerebellum</v>
      </c>
      <c r="AD2497" s="42"/>
      <c r="AE2497" s="42"/>
      <c r="AF2497" s="9"/>
      <c r="AG2497" s="9"/>
      <c r="AH2497" s="42"/>
      <c r="AI2497" s="42"/>
      <c r="AJ2497" s="42"/>
      <c r="AK2497" s="42"/>
      <c r="AL2497" s="42"/>
      <c r="AM2497" s="42"/>
      <c r="AN2497" s="42"/>
      <c r="AO2497" s="63" t="str">
        <f>IFERROR(__xludf.DUMMYFUNCTION("IF(ISBLANK(A2497),,IF(ISBLANK(S2497), A2497&amp;"";"", TEXTJOIN(CHAR(10), TRUE, A2497&amp;"";"", ARRAYFORMULA(VLOOKUP(SPLIT(S2497, "";"" &amp; CHAR(10)), $A:$AO, 41, FALSE)))))"),"FasNO;")</f>
        <v>FasNO;</v>
      </c>
      <c r="AP2497" s="89"/>
    </row>
    <row r="2498">
      <c r="A2498" s="151" t="str">
        <f>IFERROR(__xludf.DUMMYFUNCTION("""COMPUTED_VALUE"""),"AnG")</f>
        <v>AnG</v>
      </c>
      <c r="B2498" s="42" t="str">
        <f>IFERROR(__xludf.DUMMYFUNCTION("""COMPUTED_VALUE"""),"DHBA")</f>
        <v>DHBA</v>
      </c>
      <c r="C2498" s="42" t="str">
        <f>IFERROR(__xludf.DUMMYFUNCTION("""COMPUTED_VALUE"""),"angular gyrus")</f>
        <v>angular gyrus</v>
      </c>
      <c r="D2498" s="42">
        <f>IFERROR(__xludf.DUMMYFUNCTION("""COMPUTED_VALUE"""),2380.0)</f>
        <v>2380</v>
      </c>
      <c r="E2498" s="39" t="str">
        <f>IFERROR(__xludf.DUMMYFUNCTION("""COMPUTED_VALUE"""),"angular gyrus")</f>
        <v>angular gyrus</v>
      </c>
      <c r="F2498" s="9" t="str">
        <f>IFERROR(__xludf.DUMMYFUNCTION("""COMPUTED_VALUE"""),"Br")</f>
        <v>Br</v>
      </c>
      <c r="G2498" s="9" t="str">
        <f>IFERROR(__xludf.DUMMYFUNCTION("""COMPUTED_VALUE"""),"F")</f>
        <v>F</v>
      </c>
      <c r="H2498" s="9" t="str">
        <f>IFERROR(__xludf.DUMMYFUNCTION("""COMPUTED_VALUE"""),"FSS")</f>
        <v>FSS</v>
      </c>
      <c r="I2498" s="9" t="str">
        <f>IFERROR(__xludf.DUMMYFUNCTION("""COMPUTED_VALUE"""),"CeG")</f>
        <v>CeG</v>
      </c>
      <c r="J2498" s="9" t="str">
        <f>IFERROR(__xludf.DUMMYFUNCTION("""COMPUTED_VALUE"""),"ParL")</f>
        <v>ParL</v>
      </c>
      <c r="K2498" s="9" t="str">
        <f>IFERROR(__xludf.DUMMYFUNCTION("""COMPUTED_VALUE"""),"IPL")</f>
        <v>IPL</v>
      </c>
      <c r="L2498" s="9" t="str">
        <f>IFERROR(__xludf.DUMMYFUNCTION("""COMPUTED_VALUE"""),"AnG")</f>
        <v>AnG</v>
      </c>
      <c r="M2498" s="9"/>
      <c r="N2498" s="9"/>
      <c r="O2498" s="9"/>
      <c r="P2498" s="9"/>
      <c r="Q2498" s="9"/>
      <c r="R2498" s="9"/>
      <c r="S2498" s="42"/>
      <c r="T2498" s="42" t="str">
        <f>IFERROR(__xludf.DUMMYFUNCTION("""COMPUTED_VALUE"""),"gyrus")</f>
        <v>gyrus</v>
      </c>
      <c r="U2498" s="42" t="b">
        <f>IFERROR(__xludf.DUMMYFUNCTION("""COMPUTED_VALUE"""),FALSE)</f>
        <v>0</v>
      </c>
      <c r="V2498" s="42"/>
      <c r="W2498" s="42"/>
      <c r="X2498" s="42"/>
      <c r="Y2498" s="42"/>
      <c r="Z2498" s="42"/>
      <c r="AA2498" s="42"/>
      <c r="AB2498" s="42" t="str">
        <f>IFERROR(__xludf.DUMMYFUNCTION("""COMPUTED_VALUE"""),"allen institute")</f>
        <v>allen institute</v>
      </c>
      <c r="AC2498" s="42" t="str">
        <f>IFERROR(__xludf.DUMMYFUNCTION("""COMPUTED_VALUE"""),"DHBA")</f>
        <v>DHBA</v>
      </c>
      <c r="AD2498" s="42"/>
      <c r="AE2498" s="42"/>
      <c r="AF2498" s="9"/>
      <c r="AG2498" s="9"/>
      <c r="AH2498" s="42"/>
      <c r="AI2498" s="42"/>
      <c r="AJ2498" s="42"/>
      <c r="AK2498" s="42"/>
      <c r="AL2498" s="42"/>
      <c r="AM2498" s="42"/>
      <c r="AN2498" s="42"/>
      <c r="AO2498" s="63" t="str">
        <f>IFERROR(__xludf.DUMMYFUNCTION("IF(ISBLANK(A2498),,IF(ISBLANK(S2498), A2498&amp;"";"", TEXTJOIN(CHAR(10), TRUE, A2498&amp;"";"", ARRAYFORMULA(VLOOKUP(SPLIT(S2498, "";"" &amp; CHAR(10)), $A:$AO, 41, FALSE)))))"),"AnG;")</f>
        <v>AnG;</v>
      </c>
      <c r="AP2498" s="89"/>
    </row>
    <row r="2499">
      <c r="A2499" s="151" t="str">
        <f>IFERROR(__xludf.DUMMYFUNCTION("""COMPUTED_VALUE"""),"PrCun")</f>
        <v>PrCun</v>
      </c>
      <c r="B2499" s="42" t="str">
        <f>IFERROR(__xludf.DUMMYFUNCTION("""COMPUTED_VALUE"""),"DHBA")</f>
        <v>DHBA</v>
      </c>
      <c r="C2499" s="42" t="str">
        <f>IFERROR(__xludf.DUMMYFUNCTION("""COMPUTED_VALUE"""),"precuneus")</f>
        <v>precuneus</v>
      </c>
      <c r="D2499" s="42">
        <f>IFERROR(__xludf.DUMMYFUNCTION("""COMPUTED_VALUE"""),2381.0)</f>
        <v>2381</v>
      </c>
      <c r="E2499" s="39" t="str">
        <f>IFERROR(__xludf.DUMMYFUNCTION("""COMPUTED_VALUE"""),"precuneus")</f>
        <v>precuneus</v>
      </c>
      <c r="F2499" s="9" t="str">
        <f>IFERROR(__xludf.DUMMYFUNCTION("""COMPUTED_VALUE"""),"Br")</f>
        <v>Br</v>
      </c>
      <c r="G2499" s="9" t="str">
        <f>IFERROR(__xludf.DUMMYFUNCTION("""COMPUTED_VALUE"""),"F")</f>
        <v>F</v>
      </c>
      <c r="H2499" s="9" t="str">
        <f>IFERROR(__xludf.DUMMYFUNCTION("""COMPUTED_VALUE"""),"FSS")</f>
        <v>FSS</v>
      </c>
      <c r="I2499" s="9" t="str">
        <f>IFERROR(__xludf.DUMMYFUNCTION("""COMPUTED_VALUE"""),"CeG")</f>
        <v>CeG</v>
      </c>
      <c r="J2499" s="9" t="str">
        <f>IFERROR(__xludf.DUMMYFUNCTION("""COMPUTED_VALUE"""),"ParL")</f>
        <v>ParL</v>
      </c>
      <c r="K2499" s="9" t="str">
        <f>IFERROR(__xludf.DUMMYFUNCTION("""COMPUTED_VALUE"""),"PrCun")</f>
        <v>PrCun</v>
      </c>
      <c r="L2499" s="9"/>
      <c r="M2499" s="9"/>
      <c r="N2499" s="9"/>
      <c r="O2499" s="9"/>
      <c r="P2499" s="9"/>
      <c r="Q2499" s="9"/>
      <c r="R2499" s="9"/>
      <c r="S2499" s="42"/>
      <c r="T2499" s="42"/>
      <c r="U2499" s="42"/>
      <c r="V2499" s="42"/>
      <c r="W2499" s="42"/>
      <c r="X2499" s="42"/>
      <c r="Y2499" s="42"/>
      <c r="Z2499" s="42"/>
      <c r="AA2499" s="42"/>
      <c r="AB2499" s="42" t="str">
        <f>IFERROR(__xludf.DUMMYFUNCTION("""COMPUTED_VALUE"""),"allen institute")</f>
        <v>allen institute</v>
      </c>
      <c r="AC2499" s="42" t="str">
        <f>IFERROR(__xludf.DUMMYFUNCTION("""COMPUTED_VALUE"""),"DHBA")</f>
        <v>DHBA</v>
      </c>
      <c r="AD2499" s="42"/>
      <c r="AE2499" s="42"/>
      <c r="AF2499" s="9"/>
      <c r="AG2499" s="9"/>
      <c r="AH2499" s="42"/>
      <c r="AI2499" s="42"/>
      <c r="AJ2499" s="42"/>
      <c r="AK2499" s="42"/>
      <c r="AL2499" s="42"/>
      <c r="AM2499" s="42"/>
      <c r="AN2499" s="42"/>
      <c r="AO2499" s="63" t="str">
        <f>IFERROR(__xludf.DUMMYFUNCTION("IF(ISBLANK(A2499),,IF(ISBLANK(S2499), A2499&amp;"";"", TEXTJOIN(CHAR(10), TRUE, A2499&amp;"";"", ARRAYFORMULA(VLOOKUP(SPLIT(S2499, "";"" &amp; CHAR(10)), $A:$AO, 41, FALSE)))))"),"PrCun;")</f>
        <v>PrCun;</v>
      </c>
      <c r="AP2499" s="89"/>
    </row>
    <row r="2500">
      <c r="A2500" s="151" t="str">
        <f>IFERROR(__xludf.DUMMYFUNCTION("""COMPUTED_VALUE"""),"PCLc")</f>
        <v>PCLc</v>
      </c>
      <c r="B2500" s="42" t="str">
        <f>IFERROR(__xludf.DUMMYFUNCTION("""COMPUTED_VALUE"""),"DHBA")</f>
        <v>DHBA</v>
      </c>
      <c r="C2500" s="42" t="str">
        <f>IFERROR(__xludf.DUMMYFUNCTION("""COMPUTED_VALUE"""),"paracentral lobule, caudal part")</f>
        <v>paracentral lobule, caudal part</v>
      </c>
      <c r="D2500" s="42">
        <f>IFERROR(__xludf.DUMMYFUNCTION("""COMPUTED_VALUE"""),2382.0)</f>
        <v>2382</v>
      </c>
      <c r="E2500" s="39" t="str">
        <f>IFERROR(__xludf.DUMMYFUNCTION("""COMPUTED_VALUE"""),"paracentral lobule, caudal part")</f>
        <v>paracentral lobule, caudal part</v>
      </c>
      <c r="F2500" s="9" t="str">
        <f>IFERROR(__xludf.DUMMYFUNCTION("""COMPUTED_VALUE"""),"Br")</f>
        <v>Br</v>
      </c>
      <c r="G2500" s="9" t="str">
        <f>IFERROR(__xludf.DUMMYFUNCTION("""COMPUTED_VALUE"""),"F")</f>
        <v>F</v>
      </c>
      <c r="H2500" s="9" t="str">
        <f>IFERROR(__xludf.DUMMYFUNCTION("""COMPUTED_VALUE"""),"FSS")</f>
        <v>FSS</v>
      </c>
      <c r="I2500" s="9" t="str">
        <f>IFERROR(__xludf.DUMMYFUNCTION("""COMPUTED_VALUE"""),"CeG")</f>
        <v>CeG</v>
      </c>
      <c r="J2500" s="9" t="str">
        <f>IFERROR(__xludf.DUMMYFUNCTION("""COMPUTED_VALUE"""),"ParL")</f>
        <v>ParL</v>
      </c>
      <c r="K2500" s="9" t="str">
        <f>IFERROR(__xludf.DUMMYFUNCTION("""COMPUTED_VALUE"""),"PCLc")</f>
        <v>PCLc</v>
      </c>
      <c r="L2500" s="9"/>
      <c r="M2500" s="9"/>
      <c r="N2500" s="9"/>
      <c r="O2500" s="9"/>
      <c r="P2500" s="9"/>
      <c r="Q2500" s="9"/>
      <c r="R2500" s="9"/>
      <c r="S2500" s="42"/>
      <c r="T2500" s="42" t="str">
        <f>IFERROR(__xludf.DUMMYFUNCTION("""COMPUTED_VALUE"""),"lobe")</f>
        <v>lobe</v>
      </c>
      <c r="U2500" s="42" t="b">
        <f>IFERROR(__xludf.DUMMYFUNCTION("""COMPUTED_VALUE"""),FALSE)</f>
        <v>0</v>
      </c>
      <c r="V2500" s="42"/>
      <c r="W2500" s="42"/>
      <c r="X2500" s="42"/>
      <c r="Y2500" s="42"/>
      <c r="Z2500" s="42"/>
      <c r="AA2500" s="42"/>
      <c r="AB2500" s="42" t="str">
        <f>IFERROR(__xludf.DUMMYFUNCTION("""COMPUTED_VALUE"""),"allen institute")</f>
        <v>allen institute</v>
      </c>
      <c r="AC2500" s="42" t="str">
        <f>IFERROR(__xludf.DUMMYFUNCTION("""COMPUTED_VALUE"""),"DHBA")</f>
        <v>DHBA</v>
      </c>
      <c r="AD2500" s="42"/>
      <c r="AE2500" s="42"/>
      <c r="AF2500" s="9"/>
      <c r="AG2500" s="9"/>
      <c r="AH2500" s="42"/>
      <c r="AI2500" s="42"/>
      <c r="AJ2500" s="42"/>
      <c r="AK2500" s="42"/>
      <c r="AL2500" s="42"/>
      <c r="AM2500" s="42"/>
      <c r="AN2500" s="42"/>
      <c r="AO2500" s="63" t="str">
        <f>IFERROR(__xludf.DUMMYFUNCTION("IF(ISBLANK(A2500),,IF(ISBLANK(S2500), A2500&amp;"";"", TEXTJOIN(CHAR(10), TRUE, A2500&amp;"";"", ARRAYFORMULA(VLOOKUP(SPLIT(S2500, "";"" &amp; CHAR(10)), $A:$AO, 41, FALSE)))))"),"PCLc;")</f>
        <v>PCLc;</v>
      </c>
      <c r="AP2500" s="89"/>
    </row>
    <row r="2501">
      <c r="A2501" s="151" t="str">
        <f>IFERROR(__xludf.DUMMYFUNCTION("""COMPUTED_VALUE"""),"PaO")</f>
        <v>PaO</v>
      </c>
      <c r="B2501" s="42" t="str">
        <f>IFERROR(__xludf.DUMMYFUNCTION("""COMPUTED_VALUE"""),"DHBA")</f>
        <v>DHBA</v>
      </c>
      <c r="C2501" s="42" t="str">
        <f>IFERROR(__xludf.DUMMYFUNCTION("""COMPUTED_VALUE"""),"parietal operculum")</f>
        <v>parietal operculum</v>
      </c>
      <c r="D2501" s="42">
        <f>IFERROR(__xludf.DUMMYFUNCTION("""COMPUTED_VALUE"""),2383.0)</f>
        <v>2383</v>
      </c>
      <c r="E2501" s="39" t="str">
        <f>IFERROR(__xludf.DUMMYFUNCTION("""COMPUTED_VALUE"""),"parietal operculum")</f>
        <v>parietal operculum</v>
      </c>
      <c r="F2501" s="9" t="str">
        <f>IFERROR(__xludf.DUMMYFUNCTION("""COMPUTED_VALUE"""),"Br")</f>
        <v>Br</v>
      </c>
      <c r="G2501" s="9" t="str">
        <f>IFERROR(__xludf.DUMMYFUNCTION("""COMPUTED_VALUE"""),"F")</f>
        <v>F</v>
      </c>
      <c r="H2501" s="9" t="str">
        <f>IFERROR(__xludf.DUMMYFUNCTION("""COMPUTED_VALUE"""),"FSS")</f>
        <v>FSS</v>
      </c>
      <c r="I2501" s="9" t="str">
        <f>IFERROR(__xludf.DUMMYFUNCTION("""COMPUTED_VALUE"""),"CeG")</f>
        <v>CeG</v>
      </c>
      <c r="J2501" s="9" t="str">
        <f>IFERROR(__xludf.DUMMYFUNCTION("""COMPUTED_VALUE"""),"ParL")</f>
        <v>ParL</v>
      </c>
      <c r="K2501" s="9" t="str">
        <f>IFERROR(__xludf.DUMMYFUNCTION("""COMPUTED_VALUE"""),"PaO")</f>
        <v>PaO</v>
      </c>
      <c r="L2501" s="9"/>
      <c r="M2501" s="9"/>
      <c r="N2501" s="9"/>
      <c r="O2501" s="9"/>
      <c r="P2501" s="9"/>
      <c r="Q2501" s="9"/>
      <c r="R2501" s="9"/>
      <c r="S2501" s="42"/>
      <c r="T2501" s="42"/>
      <c r="U2501" s="42"/>
      <c r="V2501" s="42"/>
      <c r="W2501" s="42"/>
      <c r="X2501" s="42"/>
      <c r="Y2501" s="42"/>
      <c r="Z2501" s="42"/>
      <c r="AA2501" s="42"/>
      <c r="AB2501" s="42" t="str">
        <f>IFERROR(__xludf.DUMMYFUNCTION("""COMPUTED_VALUE"""),"allen institute")</f>
        <v>allen institute</v>
      </c>
      <c r="AC2501" s="42" t="str">
        <f>IFERROR(__xludf.DUMMYFUNCTION("""COMPUTED_VALUE"""),"DHBA")</f>
        <v>DHBA</v>
      </c>
      <c r="AD2501" s="42"/>
      <c r="AE2501" s="42"/>
      <c r="AF2501" s="9"/>
      <c r="AG2501" s="9"/>
      <c r="AH2501" s="42"/>
      <c r="AI2501" s="42"/>
      <c r="AJ2501" s="42"/>
      <c r="AK2501" s="42"/>
      <c r="AL2501" s="42"/>
      <c r="AM2501" s="42"/>
      <c r="AN2501" s="42"/>
      <c r="AO2501" s="63" t="str">
        <f>IFERROR(__xludf.DUMMYFUNCTION("IF(ISBLANK(A2501),,IF(ISBLANK(S2501), A2501&amp;"";"", TEXTJOIN(CHAR(10), TRUE, A2501&amp;"";"", ARRAYFORMULA(VLOOKUP(SPLIT(S2501, "";"" &amp; CHAR(10)), $A:$AO, 41, FALSE)))))"),"PaO;")</f>
        <v>PaO;</v>
      </c>
      <c r="AP2501" s="89"/>
    </row>
    <row r="2502">
      <c r="A2502" s="151" t="str">
        <f>IFERROR(__xludf.DUMMYFUNCTION("""COMPUTED_VALUE"""),"TemL")</f>
        <v>TemL</v>
      </c>
      <c r="B2502" s="42" t="str">
        <f>IFERROR(__xludf.DUMMYFUNCTION("""COMPUTED_VALUE"""),"DHBA")</f>
        <v>DHBA</v>
      </c>
      <c r="C2502" s="42" t="str">
        <f>IFERROR(__xludf.DUMMYFUNCTION("""COMPUTED_VALUE"""),"temporal lobe")</f>
        <v>temporal lobe</v>
      </c>
      <c r="D2502" s="42">
        <f>IFERROR(__xludf.DUMMYFUNCTION("""COMPUTED_VALUE"""),2384.0)</f>
        <v>2384</v>
      </c>
      <c r="E2502" s="39" t="str">
        <f>IFERROR(__xludf.DUMMYFUNCTION("""COMPUTED_VALUE"""),"temporal lobe")</f>
        <v>temporal lobe</v>
      </c>
      <c r="F2502" s="9" t="str">
        <f>IFERROR(__xludf.DUMMYFUNCTION("""COMPUTED_VALUE"""),"Br")</f>
        <v>Br</v>
      </c>
      <c r="G2502" s="9" t="str">
        <f>IFERROR(__xludf.DUMMYFUNCTION("""COMPUTED_VALUE"""),"F")</f>
        <v>F</v>
      </c>
      <c r="H2502" s="9" t="str">
        <f>IFERROR(__xludf.DUMMYFUNCTION("""COMPUTED_VALUE"""),"FSS")</f>
        <v>FSS</v>
      </c>
      <c r="I2502" s="9" t="str">
        <f>IFERROR(__xludf.DUMMYFUNCTION("""COMPUTED_VALUE"""),"CeG")</f>
        <v>CeG</v>
      </c>
      <c r="J2502" s="9" t="str">
        <f>IFERROR(__xludf.DUMMYFUNCTION("""COMPUTED_VALUE"""),"TemL")</f>
        <v>TemL</v>
      </c>
      <c r="K2502" s="9"/>
      <c r="L2502" s="9"/>
      <c r="M2502" s="9"/>
      <c r="N2502" s="9"/>
      <c r="O2502" s="9"/>
      <c r="P2502" s="9"/>
      <c r="Q2502" s="9"/>
      <c r="R2502" s="9"/>
      <c r="S2502" s="42" t="str">
        <f>IFERROR(__xludf.DUMMYFUNCTION("""COMPUTED_VALUE"""),"STG;
MTG;
ITG;
FuGt;
TTG;
PLT;
TP;
PLP")</f>
        <v>STG;
MTG;
ITG;
FuGt;
TTG;
PLT;
TP;
PLP</v>
      </c>
      <c r="T2502" s="42" t="str">
        <f>IFERROR(__xludf.DUMMYFUNCTION("""COMPUTED_VALUE"""),"lobe")</f>
        <v>lobe</v>
      </c>
      <c r="U2502" s="42" t="b">
        <f>IFERROR(__xludf.DUMMYFUNCTION("""COMPUTED_VALUE"""),FALSE)</f>
        <v>0</v>
      </c>
      <c r="V2502" s="42"/>
      <c r="W2502" s="42"/>
      <c r="X2502" s="42"/>
      <c r="Y2502" s="42"/>
      <c r="Z2502" s="42"/>
      <c r="AA2502" s="42"/>
      <c r="AB2502" s="42" t="str">
        <f>IFERROR(__xludf.DUMMYFUNCTION("""COMPUTED_VALUE"""),"allen institute")</f>
        <v>allen institute</v>
      </c>
      <c r="AC2502" s="42" t="str">
        <f>IFERROR(__xludf.DUMMYFUNCTION("""COMPUTED_VALUE"""),"DHBA")</f>
        <v>DHBA</v>
      </c>
      <c r="AD2502" s="42"/>
      <c r="AE2502" s="42"/>
      <c r="AF2502" s="9"/>
      <c r="AG2502" s="9"/>
      <c r="AH2502" s="42"/>
      <c r="AI2502" s="42"/>
      <c r="AJ2502" s="42"/>
      <c r="AK2502" s="42"/>
      <c r="AL2502" s="42"/>
      <c r="AM2502" s="42"/>
      <c r="AN2502" s="42"/>
      <c r="AO2502" s="63" t="str">
        <f>IFERROR(__xludf.DUMMYFUNCTION("IF(ISBLANK(A2502),,IF(ISBLANK(S2502), A2502&amp;"";"", TEXTJOIN(CHAR(10), TRUE, A2502&amp;"";"", ARRAYFORMULA(VLOOKUP(SPLIT(S2502, "";"" &amp; CHAR(10)), $A:$AO, 41, FALSE)))))"),"TemL;
STG;
mtg;
ITG;
FuGt;
PRG;
TTG;
TTGr;
TTGc;
PLT;
TP;
PRL;
PLP;")</f>
        <v>TemL;
STG;
mtg;
ITG;
FuGt;
PRG;
TTG;
TTGr;
TTGc;
PLT;
TP;
PRL;
PLP;</v>
      </c>
      <c r="AP2502" s="89"/>
    </row>
    <row r="2503">
      <c r="A2503" s="151" t="str">
        <f>IFERROR(__xludf.DUMMYFUNCTION("""COMPUTED_VALUE"""),"STG")</f>
        <v>STG</v>
      </c>
      <c r="B2503" s="42" t="str">
        <f>IFERROR(__xludf.DUMMYFUNCTION("""COMPUTED_VALUE"""),"DHBA")</f>
        <v>DHBA</v>
      </c>
      <c r="C2503" s="42" t="str">
        <f>IFERROR(__xludf.DUMMYFUNCTION("""COMPUTED_VALUE"""),"superior temporal gyrus")</f>
        <v>superior temporal gyrus</v>
      </c>
      <c r="D2503" s="42">
        <f>IFERROR(__xludf.DUMMYFUNCTION("""COMPUTED_VALUE"""),2385.0)</f>
        <v>2385</v>
      </c>
      <c r="E2503" s="39" t="str">
        <f>IFERROR(__xludf.DUMMYFUNCTION("""COMPUTED_VALUE"""),"superior temporal gyrus")</f>
        <v>superior temporal gyrus</v>
      </c>
      <c r="F2503" s="9" t="str">
        <f>IFERROR(__xludf.DUMMYFUNCTION("""COMPUTED_VALUE"""),"Br")</f>
        <v>Br</v>
      </c>
      <c r="G2503" s="9" t="str">
        <f>IFERROR(__xludf.DUMMYFUNCTION("""COMPUTED_VALUE"""),"F")</f>
        <v>F</v>
      </c>
      <c r="H2503" s="9" t="str">
        <f>IFERROR(__xludf.DUMMYFUNCTION("""COMPUTED_VALUE"""),"FSS")</f>
        <v>FSS</v>
      </c>
      <c r="I2503" s="9" t="str">
        <f>IFERROR(__xludf.DUMMYFUNCTION("""COMPUTED_VALUE"""),"CeG")</f>
        <v>CeG</v>
      </c>
      <c r="J2503" s="9" t="str">
        <f>IFERROR(__xludf.DUMMYFUNCTION("""COMPUTED_VALUE"""),"TemL")</f>
        <v>TemL</v>
      </c>
      <c r="K2503" s="9" t="str">
        <f>IFERROR(__xludf.DUMMYFUNCTION("""COMPUTED_VALUE"""),"STG")</f>
        <v>STG</v>
      </c>
      <c r="L2503" s="9"/>
      <c r="M2503" s="9"/>
      <c r="N2503" s="9"/>
      <c r="O2503" s="9"/>
      <c r="P2503" s="9"/>
      <c r="Q2503" s="9"/>
      <c r="R2503" s="9"/>
      <c r="S2503" s="42"/>
      <c r="T2503" s="42" t="str">
        <f>IFERROR(__xludf.DUMMYFUNCTION("""COMPUTED_VALUE"""),"gyrus")</f>
        <v>gyrus</v>
      </c>
      <c r="U2503" s="42" t="b">
        <f>IFERROR(__xludf.DUMMYFUNCTION("""COMPUTED_VALUE"""),FALSE)</f>
        <v>0</v>
      </c>
      <c r="V2503" s="42"/>
      <c r="W2503" s="42"/>
      <c r="X2503" s="42"/>
      <c r="Y2503" s="42"/>
      <c r="Z2503" s="42"/>
      <c r="AA2503" s="42"/>
      <c r="AB2503" s="42" t="str">
        <f>IFERROR(__xludf.DUMMYFUNCTION("""COMPUTED_VALUE"""),"allen institute")</f>
        <v>allen institute</v>
      </c>
      <c r="AC2503" s="42" t="str">
        <f>IFERROR(__xludf.DUMMYFUNCTION("""COMPUTED_VALUE"""),"DHBA")</f>
        <v>DHBA</v>
      </c>
      <c r="AD2503" s="42"/>
      <c r="AE2503" s="42"/>
      <c r="AF2503" s="9"/>
      <c r="AG2503" s="9"/>
      <c r="AH2503" s="42"/>
      <c r="AI2503" s="42"/>
      <c r="AJ2503" s="42"/>
      <c r="AK2503" s="42"/>
      <c r="AL2503" s="42"/>
      <c r="AM2503" s="42"/>
      <c r="AN2503" s="42"/>
      <c r="AO2503" s="63" t="str">
        <f>IFERROR(__xludf.DUMMYFUNCTION("IF(ISBLANK(A2503),,IF(ISBLANK(S2503), A2503&amp;"";"", TEXTJOIN(CHAR(10), TRUE, A2503&amp;"";"", ARRAYFORMULA(VLOOKUP(SPLIT(S2503, "";"" &amp; CHAR(10)), $A:$AO, 41, FALSE)))))"),"STG;")</f>
        <v>STG;</v>
      </c>
      <c r="AP2503" s="89"/>
    </row>
    <row r="2504">
      <c r="A2504" s="151" t="str">
        <f>IFERROR(__xludf.DUMMYFUNCTION("""COMPUTED_VALUE"""),"MTG")</f>
        <v>MTG</v>
      </c>
      <c r="B2504" s="42" t="str">
        <f>IFERROR(__xludf.DUMMYFUNCTION("""COMPUTED_VALUE"""),"DHBA")</f>
        <v>DHBA</v>
      </c>
      <c r="C2504" s="42" t="str">
        <f>IFERROR(__xludf.DUMMYFUNCTION("""COMPUTED_VALUE"""),"middle temporal gyrus")</f>
        <v>middle temporal gyrus</v>
      </c>
      <c r="D2504" s="42">
        <f>IFERROR(__xludf.DUMMYFUNCTION("""COMPUTED_VALUE"""),2386.0)</f>
        <v>2386</v>
      </c>
      <c r="E2504" s="39" t="str">
        <f>IFERROR(__xludf.DUMMYFUNCTION("""COMPUTED_VALUE"""),"middle temporal gyrus")</f>
        <v>middle temporal gyrus</v>
      </c>
      <c r="F2504" s="9" t="str">
        <f>IFERROR(__xludf.DUMMYFUNCTION("""COMPUTED_VALUE"""),"Br")</f>
        <v>Br</v>
      </c>
      <c r="G2504" s="9" t="str">
        <f>IFERROR(__xludf.DUMMYFUNCTION("""COMPUTED_VALUE"""),"F")</f>
        <v>F</v>
      </c>
      <c r="H2504" s="9" t="str">
        <f>IFERROR(__xludf.DUMMYFUNCTION("""COMPUTED_VALUE"""),"FSS")</f>
        <v>FSS</v>
      </c>
      <c r="I2504" s="9" t="str">
        <f>IFERROR(__xludf.DUMMYFUNCTION("""COMPUTED_VALUE"""),"CeG")</f>
        <v>CeG</v>
      </c>
      <c r="J2504" s="9" t="str">
        <f>IFERROR(__xludf.DUMMYFUNCTION("""COMPUTED_VALUE"""),"TemL")</f>
        <v>TemL</v>
      </c>
      <c r="K2504" s="9" t="str">
        <f>IFERROR(__xludf.DUMMYFUNCTION("""COMPUTED_VALUE"""),"MTG")</f>
        <v>MTG</v>
      </c>
      <c r="L2504" s="9"/>
      <c r="M2504" s="9"/>
      <c r="N2504" s="9"/>
      <c r="O2504" s="9"/>
      <c r="P2504" s="9"/>
      <c r="Q2504" s="9"/>
      <c r="R2504" s="9"/>
      <c r="S2504" s="42"/>
      <c r="T2504" s="42" t="str">
        <f>IFERROR(__xludf.DUMMYFUNCTION("""COMPUTED_VALUE"""),"gyrus")</f>
        <v>gyrus</v>
      </c>
      <c r="U2504" s="159" t="b">
        <f>IFERROR(__xludf.DUMMYFUNCTION("""COMPUTED_VALUE"""),FALSE)</f>
        <v>0</v>
      </c>
      <c r="V2504" s="42"/>
      <c r="W2504" s="42"/>
      <c r="X2504" s="42"/>
      <c r="Y2504" s="42"/>
      <c r="Z2504" s="42"/>
      <c r="AA2504" s="42"/>
      <c r="AB2504" s="42" t="str">
        <f>IFERROR(__xludf.DUMMYFUNCTION("""COMPUTED_VALUE"""),"allen institute")</f>
        <v>allen institute</v>
      </c>
      <c r="AC2504" s="42" t="str">
        <f>IFERROR(__xludf.DUMMYFUNCTION("""COMPUTED_VALUE"""),"DHBA")</f>
        <v>DHBA</v>
      </c>
      <c r="AD2504" s="42"/>
      <c r="AE2504" s="42"/>
      <c r="AF2504" s="9"/>
      <c r="AG2504" s="9"/>
      <c r="AH2504" s="42"/>
      <c r="AI2504" s="42"/>
      <c r="AJ2504" s="42"/>
      <c r="AK2504" s="42"/>
      <c r="AL2504" s="42"/>
      <c r="AM2504" s="42"/>
      <c r="AN2504" s="42"/>
      <c r="AO2504" s="63" t="str">
        <f>IFERROR(__xludf.DUMMYFUNCTION("IF(ISBLANK(A2504),,IF(ISBLANK(S2504), A2504&amp;"";"", TEXTJOIN(CHAR(10), TRUE, A2504&amp;"";"", ARRAYFORMULA(VLOOKUP(SPLIT(S2504, "";"" &amp; CHAR(10)), $A:$AO, 41, FALSE)))))"),"MTG;")</f>
        <v>MTG;</v>
      </c>
      <c r="AP2504" s="89"/>
    </row>
    <row r="2505">
      <c r="A2505" s="151" t="str">
        <f>IFERROR(__xludf.DUMMYFUNCTION("""COMPUTED_VALUE"""),"ITG")</f>
        <v>ITG</v>
      </c>
      <c r="B2505" s="42" t="str">
        <f>IFERROR(__xludf.DUMMYFUNCTION("""COMPUTED_VALUE"""),"DHBA")</f>
        <v>DHBA</v>
      </c>
      <c r="C2505" s="42" t="str">
        <f>IFERROR(__xludf.DUMMYFUNCTION("""COMPUTED_VALUE"""),"inferior temporal gyrus")</f>
        <v>inferior temporal gyrus</v>
      </c>
      <c r="D2505" s="42">
        <f>IFERROR(__xludf.DUMMYFUNCTION("""COMPUTED_VALUE"""),2387.0)</f>
        <v>2387</v>
      </c>
      <c r="E2505" s="39" t="str">
        <f>IFERROR(__xludf.DUMMYFUNCTION("""COMPUTED_VALUE"""),"inferior temporal gyrus")</f>
        <v>inferior temporal gyrus</v>
      </c>
      <c r="F2505" s="9" t="str">
        <f>IFERROR(__xludf.DUMMYFUNCTION("""COMPUTED_VALUE"""),"Br")</f>
        <v>Br</v>
      </c>
      <c r="G2505" s="9" t="str">
        <f>IFERROR(__xludf.DUMMYFUNCTION("""COMPUTED_VALUE"""),"F")</f>
        <v>F</v>
      </c>
      <c r="H2505" s="9" t="str">
        <f>IFERROR(__xludf.DUMMYFUNCTION("""COMPUTED_VALUE"""),"FSS")</f>
        <v>FSS</v>
      </c>
      <c r="I2505" s="9" t="str">
        <f>IFERROR(__xludf.DUMMYFUNCTION("""COMPUTED_VALUE"""),"CeG")</f>
        <v>CeG</v>
      </c>
      <c r="J2505" s="9" t="str">
        <f>IFERROR(__xludf.DUMMYFUNCTION("""COMPUTED_VALUE"""),"TemL")</f>
        <v>TemL</v>
      </c>
      <c r="K2505" s="9" t="str">
        <f>IFERROR(__xludf.DUMMYFUNCTION("""COMPUTED_VALUE"""),"ITG")</f>
        <v>ITG</v>
      </c>
      <c r="L2505" s="9"/>
      <c r="M2505" s="9"/>
      <c r="N2505" s="9"/>
      <c r="O2505" s="9"/>
      <c r="P2505" s="9"/>
      <c r="Q2505" s="9"/>
      <c r="R2505" s="9"/>
      <c r="S2505" s="42"/>
      <c r="T2505" s="42" t="str">
        <f>IFERROR(__xludf.DUMMYFUNCTION("""COMPUTED_VALUE"""),"gyrus")</f>
        <v>gyrus</v>
      </c>
      <c r="U2505" s="159" t="b">
        <f>IFERROR(__xludf.DUMMYFUNCTION("""COMPUTED_VALUE"""),FALSE)</f>
        <v>0</v>
      </c>
      <c r="V2505" s="42"/>
      <c r="W2505" s="42"/>
      <c r="X2505" s="42"/>
      <c r="Y2505" s="42"/>
      <c r="Z2505" s="42"/>
      <c r="AA2505" s="42"/>
      <c r="AB2505" s="42" t="str">
        <f>IFERROR(__xludf.DUMMYFUNCTION("""COMPUTED_VALUE"""),"allen institute")</f>
        <v>allen institute</v>
      </c>
      <c r="AC2505" s="42" t="str">
        <f>IFERROR(__xludf.DUMMYFUNCTION("""COMPUTED_VALUE"""),"DHBA")</f>
        <v>DHBA</v>
      </c>
      <c r="AD2505" s="42"/>
      <c r="AE2505" s="42"/>
      <c r="AF2505" s="9"/>
      <c r="AG2505" s="9"/>
      <c r="AH2505" s="42"/>
      <c r="AI2505" s="42"/>
      <c r="AJ2505" s="42"/>
      <c r="AK2505" s="42"/>
      <c r="AL2505" s="42"/>
      <c r="AM2505" s="42"/>
      <c r="AN2505" s="42"/>
      <c r="AO2505" s="63" t="str">
        <f>IFERROR(__xludf.DUMMYFUNCTION("IF(ISBLANK(A2505),,IF(ISBLANK(S2505), A2505&amp;"";"", TEXTJOIN(CHAR(10), TRUE, A2505&amp;"";"", ARRAYFORMULA(VLOOKUP(SPLIT(S2505, "";"" &amp; CHAR(10)), $A:$AO, 41, FALSE)))))"),"ITG;")</f>
        <v>ITG;</v>
      </c>
      <c r="AP2505" s="89"/>
    </row>
    <row r="2506">
      <c r="A2506" s="151" t="str">
        <f>IFERROR(__xludf.DUMMYFUNCTION("""COMPUTED_VALUE"""),"FuGt")</f>
        <v>FuGt</v>
      </c>
      <c r="B2506" s="42" t="str">
        <f>IFERROR(__xludf.DUMMYFUNCTION("""COMPUTED_VALUE"""),"DHBA")</f>
        <v>DHBA</v>
      </c>
      <c r="C2506" s="42" t="str">
        <f>IFERROR(__xludf.DUMMYFUNCTION("""COMPUTED_VALUE"""),"occipitotemporal (fusiform) gyrus, temporal part")</f>
        <v>occipitotemporal (fusiform) gyrus, temporal part</v>
      </c>
      <c r="D2506" s="42">
        <f>IFERROR(__xludf.DUMMYFUNCTION("""COMPUTED_VALUE"""),2388.0)</f>
        <v>2388</v>
      </c>
      <c r="E2506" s="39" t="str">
        <f>IFERROR(__xludf.DUMMYFUNCTION("""COMPUTED_VALUE"""),"occipitotemporal (fusiform) gyrus, temporal part")</f>
        <v>occipitotemporal (fusiform) gyrus, temporal part</v>
      </c>
      <c r="F2506" s="9" t="str">
        <f>IFERROR(__xludf.DUMMYFUNCTION("""COMPUTED_VALUE"""),"Br")</f>
        <v>Br</v>
      </c>
      <c r="G2506" s="9" t="str">
        <f>IFERROR(__xludf.DUMMYFUNCTION("""COMPUTED_VALUE"""),"F")</f>
        <v>F</v>
      </c>
      <c r="H2506" s="9" t="str">
        <f>IFERROR(__xludf.DUMMYFUNCTION("""COMPUTED_VALUE"""),"FSS")</f>
        <v>FSS</v>
      </c>
      <c r="I2506" s="9" t="str">
        <f>IFERROR(__xludf.DUMMYFUNCTION("""COMPUTED_VALUE"""),"CeG")</f>
        <v>CeG</v>
      </c>
      <c r="J2506" s="9" t="str">
        <f>IFERROR(__xludf.DUMMYFUNCTION("""COMPUTED_VALUE"""),"TemL")</f>
        <v>TemL</v>
      </c>
      <c r="K2506" s="9" t="str">
        <f>IFERROR(__xludf.DUMMYFUNCTION("""COMPUTED_VALUE"""),"FuGt")</f>
        <v>FuGt</v>
      </c>
      <c r="L2506" s="9"/>
      <c r="M2506" s="9"/>
      <c r="N2506" s="9"/>
      <c r="O2506" s="9"/>
      <c r="P2506" s="9"/>
      <c r="Q2506" s="9"/>
      <c r="R2506" s="9"/>
      <c r="S2506" s="42" t="str">
        <f>IFERROR(__xludf.DUMMYFUNCTION("""COMPUTED_VALUE"""),"PRG")</f>
        <v>PRG</v>
      </c>
      <c r="T2506" s="42" t="str">
        <f>IFERROR(__xludf.DUMMYFUNCTION("""COMPUTED_VALUE"""),"gyrus")</f>
        <v>gyrus</v>
      </c>
      <c r="U2506" s="159" t="b">
        <f>IFERROR(__xludf.DUMMYFUNCTION("""COMPUTED_VALUE"""),FALSE)</f>
        <v>0</v>
      </c>
      <c r="V2506" s="42"/>
      <c r="W2506" s="42"/>
      <c r="X2506" s="42"/>
      <c r="Y2506" s="42"/>
      <c r="Z2506" s="42"/>
      <c r="AA2506" s="42"/>
      <c r="AB2506" s="42" t="str">
        <f>IFERROR(__xludf.DUMMYFUNCTION("""COMPUTED_VALUE"""),"allen institute")</f>
        <v>allen institute</v>
      </c>
      <c r="AC2506" s="42" t="str">
        <f>IFERROR(__xludf.DUMMYFUNCTION("""COMPUTED_VALUE"""),"DHBA")</f>
        <v>DHBA</v>
      </c>
      <c r="AD2506" s="42"/>
      <c r="AE2506" s="42"/>
      <c r="AF2506" s="9"/>
      <c r="AG2506" s="9"/>
      <c r="AH2506" s="42"/>
      <c r="AI2506" s="42"/>
      <c r="AJ2506" s="42"/>
      <c r="AK2506" s="42"/>
      <c r="AL2506" s="42"/>
      <c r="AM2506" s="42"/>
      <c r="AN2506" s="42"/>
      <c r="AO2506" s="63" t="str">
        <f>IFERROR(__xludf.DUMMYFUNCTION("IF(ISBLANK(A2506),,IF(ISBLANK(S2506), A2506&amp;"";"", TEXTJOIN(CHAR(10), TRUE, A2506&amp;"";"", ARRAYFORMULA(VLOOKUP(SPLIT(S2506, "";"" &amp; CHAR(10)), $A:$AO, 41, FALSE)))))"),"FuGt;
PRG;")</f>
        <v>FuGt;
PRG;</v>
      </c>
      <c r="AP2506" s="89"/>
    </row>
    <row r="2507">
      <c r="A2507" s="151" t="str">
        <f>IFERROR(__xludf.DUMMYFUNCTION("""COMPUTED_VALUE"""),"PRG")</f>
        <v>PRG</v>
      </c>
      <c r="B2507" s="42" t="str">
        <f>IFERROR(__xludf.DUMMYFUNCTION("""COMPUTED_VALUE"""),"DHBA")</f>
        <v>DHBA</v>
      </c>
      <c r="C2507" s="42" t="str">
        <f>IFERROR(__xludf.DUMMYFUNCTION("""COMPUTED_VALUE"""),"perirhinal gyrus ( rostral part of FuGt)")</f>
        <v>perirhinal gyrus ( rostral part of FuGt)</v>
      </c>
      <c r="D2507" s="42">
        <f>IFERROR(__xludf.DUMMYFUNCTION("""COMPUTED_VALUE"""),2389.0)</f>
        <v>2389</v>
      </c>
      <c r="E2507" s="39" t="str">
        <f>IFERROR(__xludf.DUMMYFUNCTION("""COMPUTED_VALUE"""),"perirhinal gyrus ( rostral part of FuGt)")</f>
        <v>perirhinal gyrus ( rostral part of FuGt)</v>
      </c>
      <c r="F2507" s="9" t="str">
        <f>IFERROR(__xludf.DUMMYFUNCTION("""COMPUTED_VALUE"""),"Br")</f>
        <v>Br</v>
      </c>
      <c r="G2507" s="9" t="str">
        <f>IFERROR(__xludf.DUMMYFUNCTION("""COMPUTED_VALUE"""),"F")</f>
        <v>F</v>
      </c>
      <c r="H2507" s="9" t="str">
        <f>IFERROR(__xludf.DUMMYFUNCTION("""COMPUTED_VALUE"""),"FSS")</f>
        <v>FSS</v>
      </c>
      <c r="I2507" s="9" t="str">
        <f>IFERROR(__xludf.DUMMYFUNCTION("""COMPUTED_VALUE"""),"CeG")</f>
        <v>CeG</v>
      </c>
      <c r="J2507" s="9" t="str">
        <f>IFERROR(__xludf.DUMMYFUNCTION("""COMPUTED_VALUE"""),"TemL")</f>
        <v>TemL</v>
      </c>
      <c r="K2507" s="9" t="str">
        <f>IFERROR(__xludf.DUMMYFUNCTION("""COMPUTED_VALUE"""),"FuGt")</f>
        <v>FuGt</v>
      </c>
      <c r="L2507" s="9" t="str">
        <f>IFERROR(__xludf.DUMMYFUNCTION("""COMPUTED_VALUE"""),"PRG")</f>
        <v>PRG</v>
      </c>
      <c r="M2507" s="9"/>
      <c r="N2507" s="9"/>
      <c r="O2507" s="9"/>
      <c r="P2507" s="9"/>
      <c r="Q2507" s="9"/>
      <c r="R2507" s="9"/>
      <c r="S2507" s="42"/>
      <c r="T2507" s="42" t="str">
        <f>IFERROR(__xludf.DUMMYFUNCTION("""COMPUTED_VALUE"""),"gyrus")</f>
        <v>gyrus</v>
      </c>
      <c r="U2507" s="159" t="b">
        <f>IFERROR(__xludf.DUMMYFUNCTION("""COMPUTED_VALUE"""),FALSE)</f>
        <v>0</v>
      </c>
      <c r="V2507" s="42"/>
      <c r="W2507" s="42"/>
      <c r="X2507" s="42"/>
      <c r="Y2507" s="42"/>
      <c r="Z2507" s="42"/>
      <c r="AA2507" s="42"/>
      <c r="AB2507" s="42" t="str">
        <f>IFERROR(__xludf.DUMMYFUNCTION("""COMPUTED_VALUE"""),"allen institute")</f>
        <v>allen institute</v>
      </c>
      <c r="AC2507" s="42" t="str">
        <f>IFERROR(__xludf.DUMMYFUNCTION("""COMPUTED_VALUE"""),"DHBA")</f>
        <v>DHBA</v>
      </c>
      <c r="AD2507" s="42"/>
      <c r="AE2507" s="42"/>
      <c r="AF2507" s="9"/>
      <c r="AG2507" s="9"/>
      <c r="AH2507" s="42"/>
      <c r="AI2507" s="42"/>
      <c r="AJ2507" s="42"/>
      <c r="AK2507" s="42"/>
      <c r="AL2507" s="42"/>
      <c r="AM2507" s="42"/>
      <c r="AN2507" s="42"/>
      <c r="AO2507" s="63" t="str">
        <f>IFERROR(__xludf.DUMMYFUNCTION("IF(ISBLANK(A2507),,IF(ISBLANK(S2507), A2507&amp;"";"", TEXTJOIN(CHAR(10), TRUE, A2507&amp;"";"", ARRAYFORMULA(VLOOKUP(SPLIT(S2507, "";"" &amp; CHAR(10)), $A:$AO, 41, FALSE)))))"),"PRG;")</f>
        <v>PRG;</v>
      </c>
      <c r="AP2507" s="89"/>
    </row>
    <row r="2508">
      <c r="A2508" s="151" t="str">
        <f>IFERROR(__xludf.DUMMYFUNCTION("""COMPUTED_VALUE"""),"TTG")</f>
        <v>TTG</v>
      </c>
      <c r="B2508" s="42" t="str">
        <f>IFERROR(__xludf.DUMMYFUNCTION("""COMPUTED_VALUE"""),"DHBA")</f>
        <v>DHBA</v>
      </c>
      <c r="C2508" s="42" t="str">
        <f>IFERROR(__xludf.DUMMYFUNCTION("""COMPUTED_VALUE"""),"transverse temporal gyrus (Heschl's gyrus)")</f>
        <v>transverse temporal gyrus (Heschl's gyrus)</v>
      </c>
      <c r="D2508" s="42">
        <f>IFERROR(__xludf.DUMMYFUNCTION("""COMPUTED_VALUE"""),2390.0)</f>
        <v>2390</v>
      </c>
      <c r="E2508" s="39" t="str">
        <f>IFERROR(__xludf.DUMMYFUNCTION("""COMPUTED_VALUE"""),"transverse temporal gyrus (Heschl's gyrus)")</f>
        <v>transverse temporal gyrus (Heschl's gyrus)</v>
      </c>
      <c r="F2508" s="9" t="str">
        <f>IFERROR(__xludf.DUMMYFUNCTION("""COMPUTED_VALUE"""),"Br")</f>
        <v>Br</v>
      </c>
      <c r="G2508" s="9" t="str">
        <f>IFERROR(__xludf.DUMMYFUNCTION("""COMPUTED_VALUE"""),"F")</f>
        <v>F</v>
      </c>
      <c r="H2508" s="9" t="str">
        <f>IFERROR(__xludf.DUMMYFUNCTION("""COMPUTED_VALUE"""),"FSS")</f>
        <v>FSS</v>
      </c>
      <c r="I2508" s="9" t="str">
        <f>IFERROR(__xludf.DUMMYFUNCTION("""COMPUTED_VALUE"""),"CeG")</f>
        <v>CeG</v>
      </c>
      <c r="J2508" s="9" t="str">
        <f>IFERROR(__xludf.DUMMYFUNCTION("""COMPUTED_VALUE"""),"TemL")</f>
        <v>TemL</v>
      </c>
      <c r="K2508" s="9" t="str">
        <f>IFERROR(__xludf.DUMMYFUNCTION("""COMPUTED_VALUE"""),"TTG")</f>
        <v>TTG</v>
      </c>
      <c r="L2508" s="9"/>
      <c r="M2508" s="9"/>
      <c r="N2508" s="9"/>
      <c r="O2508" s="9"/>
      <c r="P2508" s="9"/>
      <c r="Q2508" s="9"/>
      <c r="R2508" s="9"/>
      <c r="S2508" s="42" t="str">
        <f>IFERROR(__xludf.DUMMYFUNCTION("""COMPUTED_VALUE"""),"TTGr;
TTGc")</f>
        <v>TTGr;
TTGc</v>
      </c>
      <c r="T2508" s="42" t="str">
        <f>IFERROR(__xludf.DUMMYFUNCTION("""COMPUTED_VALUE"""),"gyrus")</f>
        <v>gyrus</v>
      </c>
      <c r="U2508" s="42" t="b">
        <f>IFERROR(__xludf.DUMMYFUNCTION("""COMPUTED_VALUE"""),FALSE)</f>
        <v>0</v>
      </c>
      <c r="V2508" s="42"/>
      <c r="W2508" s="42"/>
      <c r="X2508" s="42"/>
      <c r="Y2508" s="42"/>
      <c r="Z2508" s="42"/>
      <c r="AA2508" s="42"/>
      <c r="AB2508" s="42" t="str">
        <f>IFERROR(__xludf.DUMMYFUNCTION("""COMPUTED_VALUE"""),"allen institute")</f>
        <v>allen institute</v>
      </c>
      <c r="AC2508" s="42" t="str">
        <f>IFERROR(__xludf.DUMMYFUNCTION("""COMPUTED_VALUE"""),"DHBA")</f>
        <v>DHBA</v>
      </c>
      <c r="AD2508" s="42"/>
      <c r="AE2508" s="42"/>
      <c r="AF2508" s="9"/>
      <c r="AG2508" s="9"/>
      <c r="AH2508" s="42"/>
      <c r="AI2508" s="42"/>
      <c r="AJ2508" s="42"/>
      <c r="AK2508" s="42"/>
      <c r="AL2508" s="42"/>
      <c r="AM2508" s="42"/>
      <c r="AN2508" s="42"/>
      <c r="AO2508" s="63" t="str">
        <f>IFERROR(__xludf.DUMMYFUNCTION("IF(ISBLANK(A2508),,IF(ISBLANK(S2508), A2508&amp;"";"", TEXTJOIN(CHAR(10), TRUE, A2508&amp;"";"", ARRAYFORMULA(VLOOKUP(SPLIT(S2508, "";"" &amp; CHAR(10)), $A:$AO, 41, FALSE)))))"),"TTG;
TTGr;
TTGc;")</f>
        <v>TTG;
TTGr;
TTGc;</v>
      </c>
      <c r="AP2508" s="89"/>
    </row>
    <row r="2509">
      <c r="A2509" s="151" t="str">
        <f>IFERROR(__xludf.DUMMYFUNCTION("""COMPUTED_VALUE"""),"TTGr")</f>
        <v>TTGr</v>
      </c>
      <c r="B2509" s="42" t="str">
        <f>IFERROR(__xludf.DUMMYFUNCTION("""COMPUTED_VALUE"""),"DHBA")</f>
        <v>DHBA</v>
      </c>
      <c r="C2509" s="42" t="str">
        <f>IFERROR(__xludf.DUMMYFUNCTION("""COMPUTED_VALUE"""),"rostral (anterior) transverse temporal gyrus")</f>
        <v>rostral (anterior) transverse temporal gyrus</v>
      </c>
      <c r="D2509" s="42">
        <f>IFERROR(__xludf.DUMMYFUNCTION("""COMPUTED_VALUE"""),2391.0)</f>
        <v>2391</v>
      </c>
      <c r="E2509" s="39" t="str">
        <f>IFERROR(__xludf.DUMMYFUNCTION("""COMPUTED_VALUE"""),"rostral (anterior) transverse temporal gyrus")</f>
        <v>rostral (anterior) transverse temporal gyrus</v>
      </c>
      <c r="F2509" s="9" t="str">
        <f>IFERROR(__xludf.DUMMYFUNCTION("""COMPUTED_VALUE"""),"Br")</f>
        <v>Br</v>
      </c>
      <c r="G2509" s="9" t="str">
        <f>IFERROR(__xludf.DUMMYFUNCTION("""COMPUTED_VALUE"""),"F")</f>
        <v>F</v>
      </c>
      <c r="H2509" s="9" t="str">
        <f>IFERROR(__xludf.DUMMYFUNCTION("""COMPUTED_VALUE"""),"FSS")</f>
        <v>FSS</v>
      </c>
      <c r="I2509" s="9" t="str">
        <f>IFERROR(__xludf.DUMMYFUNCTION("""COMPUTED_VALUE"""),"CeG")</f>
        <v>CeG</v>
      </c>
      <c r="J2509" s="9" t="str">
        <f>IFERROR(__xludf.DUMMYFUNCTION("""COMPUTED_VALUE"""),"TemL")</f>
        <v>TemL</v>
      </c>
      <c r="K2509" s="9" t="str">
        <f>IFERROR(__xludf.DUMMYFUNCTION("""COMPUTED_VALUE"""),"TTG")</f>
        <v>TTG</v>
      </c>
      <c r="L2509" s="9" t="str">
        <f>IFERROR(__xludf.DUMMYFUNCTION("""COMPUTED_VALUE"""),"TTGr")</f>
        <v>TTGr</v>
      </c>
      <c r="M2509" s="9"/>
      <c r="N2509" s="9"/>
      <c r="O2509" s="9"/>
      <c r="P2509" s="9"/>
      <c r="Q2509" s="9"/>
      <c r="R2509" s="9"/>
      <c r="S2509" s="42"/>
      <c r="T2509" s="42" t="str">
        <f>IFERROR(__xludf.DUMMYFUNCTION("""COMPUTED_VALUE"""),"gyrus")</f>
        <v>gyrus</v>
      </c>
      <c r="U2509" s="159" t="b">
        <f>IFERROR(__xludf.DUMMYFUNCTION("""COMPUTED_VALUE"""),FALSE)</f>
        <v>0</v>
      </c>
      <c r="V2509" s="42"/>
      <c r="W2509" s="42"/>
      <c r="X2509" s="42"/>
      <c r="Y2509" s="42"/>
      <c r="Z2509" s="42"/>
      <c r="AA2509" s="42"/>
      <c r="AB2509" s="42" t="str">
        <f>IFERROR(__xludf.DUMMYFUNCTION("""COMPUTED_VALUE"""),"allen institute")</f>
        <v>allen institute</v>
      </c>
      <c r="AC2509" s="42" t="str">
        <f>IFERROR(__xludf.DUMMYFUNCTION("""COMPUTED_VALUE"""),"DHBA")</f>
        <v>DHBA</v>
      </c>
      <c r="AD2509" s="42"/>
      <c r="AE2509" s="42"/>
      <c r="AF2509" s="9"/>
      <c r="AG2509" s="9"/>
      <c r="AH2509" s="42"/>
      <c r="AI2509" s="42"/>
      <c r="AJ2509" s="42"/>
      <c r="AK2509" s="42"/>
      <c r="AL2509" s="42"/>
      <c r="AM2509" s="42"/>
      <c r="AN2509" s="42"/>
      <c r="AO2509" s="63" t="str">
        <f>IFERROR(__xludf.DUMMYFUNCTION("IF(ISBLANK(A2509),,IF(ISBLANK(S2509), A2509&amp;"";"", TEXTJOIN(CHAR(10), TRUE, A2509&amp;"";"", ARRAYFORMULA(VLOOKUP(SPLIT(S2509, "";"" &amp; CHAR(10)), $A:$AO, 41, FALSE)))))"),"TTGr;")</f>
        <v>TTGr;</v>
      </c>
      <c r="AP2509" s="89"/>
    </row>
    <row r="2510">
      <c r="A2510" s="151" t="str">
        <f>IFERROR(__xludf.DUMMYFUNCTION("""COMPUTED_VALUE"""),"TTGc")</f>
        <v>TTGc</v>
      </c>
      <c r="B2510" s="42" t="str">
        <f>IFERROR(__xludf.DUMMYFUNCTION("""COMPUTED_VALUE"""),"DHBA")</f>
        <v>DHBA</v>
      </c>
      <c r="C2510" s="42" t="str">
        <f>IFERROR(__xludf.DUMMYFUNCTION("""COMPUTED_VALUE"""),"caudal (posterior) transverse temporal gyrus")</f>
        <v>caudal (posterior) transverse temporal gyrus</v>
      </c>
      <c r="D2510" s="42">
        <f>IFERROR(__xludf.DUMMYFUNCTION("""COMPUTED_VALUE"""),2392.0)</f>
        <v>2392</v>
      </c>
      <c r="E2510" s="39" t="str">
        <f>IFERROR(__xludf.DUMMYFUNCTION("""COMPUTED_VALUE"""),"caudal (posterior) transverse temporal gyrus")</f>
        <v>caudal (posterior) transverse temporal gyrus</v>
      </c>
      <c r="F2510" s="9" t="str">
        <f>IFERROR(__xludf.DUMMYFUNCTION("""COMPUTED_VALUE"""),"Br")</f>
        <v>Br</v>
      </c>
      <c r="G2510" s="9" t="str">
        <f>IFERROR(__xludf.DUMMYFUNCTION("""COMPUTED_VALUE"""),"F")</f>
        <v>F</v>
      </c>
      <c r="H2510" s="9" t="str">
        <f>IFERROR(__xludf.DUMMYFUNCTION("""COMPUTED_VALUE"""),"FSS")</f>
        <v>FSS</v>
      </c>
      <c r="I2510" s="9" t="str">
        <f>IFERROR(__xludf.DUMMYFUNCTION("""COMPUTED_VALUE"""),"CeG")</f>
        <v>CeG</v>
      </c>
      <c r="J2510" s="9" t="str">
        <f>IFERROR(__xludf.DUMMYFUNCTION("""COMPUTED_VALUE"""),"TemL")</f>
        <v>TemL</v>
      </c>
      <c r="K2510" s="9" t="str">
        <f>IFERROR(__xludf.DUMMYFUNCTION("""COMPUTED_VALUE"""),"TTG")</f>
        <v>TTG</v>
      </c>
      <c r="L2510" s="9" t="str">
        <f>IFERROR(__xludf.DUMMYFUNCTION("""COMPUTED_VALUE"""),"TTGc")</f>
        <v>TTGc</v>
      </c>
      <c r="M2510" s="9"/>
      <c r="N2510" s="9"/>
      <c r="O2510" s="9"/>
      <c r="P2510" s="9"/>
      <c r="Q2510" s="9"/>
      <c r="R2510" s="9"/>
      <c r="S2510" s="42"/>
      <c r="T2510" s="42" t="str">
        <f>IFERROR(__xludf.DUMMYFUNCTION("""COMPUTED_VALUE"""),"gyrus")</f>
        <v>gyrus</v>
      </c>
      <c r="U2510" s="42" t="b">
        <f>IFERROR(__xludf.DUMMYFUNCTION("""COMPUTED_VALUE"""),FALSE)</f>
        <v>0</v>
      </c>
      <c r="V2510" s="42"/>
      <c r="W2510" s="42"/>
      <c r="X2510" s="42"/>
      <c r="Y2510" s="42"/>
      <c r="Z2510" s="42"/>
      <c r="AA2510" s="42"/>
      <c r="AB2510" s="42" t="str">
        <f>IFERROR(__xludf.DUMMYFUNCTION("""COMPUTED_VALUE"""),"allen institute")</f>
        <v>allen institute</v>
      </c>
      <c r="AC2510" s="42" t="str">
        <f>IFERROR(__xludf.DUMMYFUNCTION("""COMPUTED_VALUE"""),"DHBA")</f>
        <v>DHBA</v>
      </c>
      <c r="AD2510" s="42"/>
      <c r="AE2510" s="42"/>
      <c r="AF2510" s="9"/>
      <c r="AG2510" s="9"/>
      <c r="AH2510" s="42"/>
      <c r="AI2510" s="42"/>
      <c r="AJ2510" s="42"/>
      <c r="AK2510" s="42"/>
      <c r="AL2510" s="42"/>
      <c r="AM2510" s="42"/>
      <c r="AN2510" s="42"/>
      <c r="AO2510" s="63" t="str">
        <f>IFERROR(__xludf.DUMMYFUNCTION("IF(ISBLANK(A2510),,IF(ISBLANK(S2510), A2510&amp;"";"", TEXTJOIN(CHAR(10), TRUE, A2510&amp;"";"", ARRAYFORMULA(VLOOKUP(SPLIT(S2510, "";"" &amp; CHAR(10)), $A:$AO, 41, FALSE)))))"),"TTGc;")</f>
        <v>TTGc;</v>
      </c>
      <c r="AP2510" s="89"/>
    </row>
    <row r="2511">
      <c r="A2511" s="151" t="str">
        <f>IFERROR(__xludf.DUMMYFUNCTION("""COMPUTED_VALUE"""),"PLT")</f>
        <v>PLT</v>
      </c>
      <c r="B2511" s="42" t="str">
        <f>IFERROR(__xludf.DUMMYFUNCTION("""COMPUTED_VALUE"""),"DHBA")</f>
        <v>DHBA</v>
      </c>
      <c r="C2511" s="42" t="str">
        <f>IFERROR(__xludf.DUMMYFUNCTION("""COMPUTED_VALUE"""),"planum temporale")</f>
        <v>planum temporale</v>
      </c>
      <c r="D2511" s="42">
        <f>IFERROR(__xludf.DUMMYFUNCTION("""COMPUTED_VALUE"""),2393.0)</f>
        <v>2393</v>
      </c>
      <c r="E2511" s="39" t="str">
        <f>IFERROR(__xludf.DUMMYFUNCTION("""COMPUTED_VALUE"""),"planum temporale")</f>
        <v>planum temporale</v>
      </c>
      <c r="F2511" s="9" t="str">
        <f>IFERROR(__xludf.DUMMYFUNCTION("""COMPUTED_VALUE"""),"Br")</f>
        <v>Br</v>
      </c>
      <c r="G2511" s="9" t="str">
        <f>IFERROR(__xludf.DUMMYFUNCTION("""COMPUTED_VALUE"""),"F")</f>
        <v>F</v>
      </c>
      <c r="H2511" s="9" t="str">
        <f>IFERROR(__xludf.DUMMYFUNCTION("""COMPUTED_VALUE"""),"FSS")</f>
        <v>FSS</v>
      </c>
      <c r="I2511" s="9" t="str">
        <f>IFERROR(__xludf.DUMMYFUNCTION("""COMPUTED_VALUE"""),"CeG")</f>
        <v>CeG</v>
      </c>
      <c r="J2511" s="9" t="str">
        <f>IFERROR(__xludf.DUMMYFUNCTION("""COMPUTED_VALUE"""),"TemL")</f>
        <v>TemL</v>
      </c>
      <c r="K2511" s="9" t="str">
        <f>IFERROR(__xludf.DUMMYFUNCTION("""COMPUTED_VALUE"""),"PLT")</f>
        <v>PLT</v>
      </c>
      <c r="L2511" s="9"/>
      <c r="M2511" s="9"/>
      <c r="N2511" s="9"/>
      <c r="O2511" s="9"/>
      <c r="P2511" s="9"/>
      <c r="Q2511" s="9"/>
      <c r="R2511" s="9"/>
      <c r="S2511" s="42"/>
      <c r="T2511" s="42"/>
      <c r="U2511" s="159"/>
      <c r="V2511" s="42"/>
      <c r="W2511" s="42"/>
      <c r="X2511" s="42"/>
      <c r="Y2511" s="42"/>
      <c r="Z2511" s="42"/>
      <c r="AA2511" s="42"/>
      <c r="AB2511" s="42" t="str">
        <f>IFERROR(__xludf.DUMMYFUNCTION("""COMPUTED_VALUE"""),"allen institute")</f>
        <v>allen institute</v>
      </c>
      <c r="AC2511" s="42" t="str">
        <f>IFERROR(__xludf.DUMMYFUNCTION("""COMPUTED_VALUE"""),"DHBA")</f>
        <v>DHBA</v>
      </c>
      <c r="AD2511" s="42"/>
      <c r="AE2511" s="42"/>
      <c r="AF2511" s="9"/>
      <c r="AG2511" s="9"/>
      <c r="AH2511" s="42"/>
      <c r="AI2511" s="42"/>
      <c r="AJ2511" s="42"/>
      <c r="AK2511" s="42"/>
      <c r="AL2511" s="42"/>
      <c r="AM2511" s="42"/>
      <c r="AN2511" s="42"/>
      <c r="AO2511" s="63" t="str">
        <f>IFERROR(__xludf.DUMMYFUNCTION("IF(ISBLANK(A2511),,IF(ISBLANK(S2511), A2511&amp;"";"", TEXTJOIN(CHAR(10), TRUE, A2511&amp;"";"", ARRAYFORMULA(VLOOKUP(SPLIT(S2511, "";"" &amp; CHAR(10)), $A:$AO, 41, FALSE)))))"),"PLT;")</f>
        <v>PLT;</v>
      </c>
      <c r="AP2511" s="89"/>
    </row>
    <row r="2512">
      <c r="A2512" s="151" t="str">
        <f>IFERROR(__xludf.DUMMYFUNCTION("""COMPUTED_VALUE"""),"TP")</f>
        <v>TP</v>
      </c>
      <c r="B2512" s="42" t="str">
        <f>IFERROR(__xludf.DUMMYFUNCTION("""COMPUTED_VALUE"""),"DHBA")</f>
        <v>DHBA</v>
      </c>
      <c r="C2512" s="42" t="str">
        <f>IFERROR(__xludf.DUMMYFUNCTION("""COMPUTED_VALUE"""),"temporal pole")</f>
        <v>temporal pole</v>
      </c>
      <c r="D2512" s="42">
        <f>IFERROR(__xludf.DUMMYFUNCTION("""COMPUTED_VALUE"""),2394.0)</f>
        <v>2394</v>
      </c>
      <c r="E2512" s="39" t="str">
        <f>IFERROR(__xludf.DUMMYFUNCTION("""COMPUTED_VALUE"""),"temporal pole")</f>
        <v>temporal pole</v>
      </c>
      <c r="F2512" s="9" t="str">
        <f>IFERROR(__xludf.DUMMYFUNCTION("""COMPUTED_VALUE"""),"Br")</f>
        <v>Br</v>
      </c>
      <c r="G2512" s="9" t="str">
        <f>IFERROR(__xludf.DUMMYFUNCTION("""COMPUTED_VALUE"""),"F")</f>
        <v>F</v>
      </c>
      <c r="H2512" s="9" t="str">
        <f>IFERROR(__xludf.DUMMYFUNCTION("""COMPUTED_VALUE"""),"FSS")</f>
        <v>FSS</v>
      </c>
      <c r="I2512" s="9" t="str">
        <f>IFERROR(__xludf.DUMMYFUNCTION("""COMPUTED_VALUE"""),"CeG")</f>
        <v>CeG</v>
      </c>
      <c r="J2512" s="9" t="str">
        <f>IFERROR(__xludf.DUMMYFUNCTION("""COMPUTED_VALUE"""),"TemL")</f>
        <v>TemL</v>
      </c>
      <c r="K2512" s="9" t="str">
        <f>IFERROR(__xludf.DUMMYFUNCTION("""COMPUTED_VALUE"""),"TP")</f>
        <v>TP</v>
      </c>
      <c r="L2512" s="9"/>
      <c r="M2512" s="9"/>
      <c r="N2512" s="9"/>
      <c r="O2512" s="9"/>
      <c r="P2512" s="9"/>
      <c r="Q2512" s="9"/>
      <c r="R2512" s="9"/>
      <c r="S2512" s="42" t="str">
        <f>IFERROR(__xludf.DUMMYFUNCTION("""COMPUTED_VALUE"""),"PRL")</f>
        <v>PRL</v>
      </c>
      <c r="T2512" s="42"/>
      <c r="U2512" s="159" t="b">
        <f>IFERROR(__xludf.DUMMYFUNCTION("""COMPUTED_VALUE"""),FALSE)</f>
        <v>0</v>
      </c>
      <c r="V2512" s="42"/>
      <c r="W2512" s="42"/>
      <c r="X2512" s="42"/>
      <c r="Y2512" s="42"/>
      <c r="Z2512" s="42"/>
      <c r="AA2512" s="42"/>
      <c r="AB2512" s="42" t="str">
        <f>IFERROR(__xludf.DUMMYFUNCTION("""COMPUTED_VALUE"""),"allen institute")</f>
        <v>allen institute</v>
      </c>
      <c r="AC2512" s="42" t="str">
        <f>IFERROR(__xludf.DUMMYFUNCTION("""COMPUTED_VALUE"""),"DHBA")</f>
        <v>DHBA</v>
      </c>
      <c r="AD2512" s="42"/>
      <c r="AE2512" s="42"/>
      <c r="AF2512" s="9"/>
      <c r="AG2512" s="9"/>
      <c r="AH2512" s="42"/>
      <c r="AI2512" s="42"/>
      <c r="AJ2512" s="42"/>
      <c r="AK2512" s="42"/>
      <c r="AL2512" s="42"/>
      <c r="AM2512" s="42"/>
      <c r="AN2512" s="42"/>
      <c r="AO2512" s="63" t="str">
        <f>IFERROR(__xludf.DUMMYFUNCTION("IF(ISBLANK(A2512),,IF(ISBLANK(S2512), A2512&amp;"";"", TEXTJOIN(CHAR(10), TRUE, A2512&amp;"";"", ARRAYFORMULA(VLOOKUP(SPLIT(S2512, "";"" &amp; CHAR(10)), $A:$AO, 41, FALSE)))))"),"TP;
PRL;")</f>
        <v>TP;
PRL;</v>
      </c>
      <c r="AP2512" s="89"/>
    </row>
    <row r="2513">
      <c r="A2513" s="151" t="str">
        <f>IFERROR(__xludf.DUMMYFUNCTION("""COMPUTED_VALUE"""),"PRL")</f>
        <v>PRL</v>
      </c>
      <c r="B2513" s="42" t="str">
        <f>IFERROR(__xludf.DUMMYFUNCTION("""COMPUTED_VALUE"""),"DHBA")</f>
        <v>DHBA</v>
      </c>
      <c r="C2513" s="42" t="str">
        <f>IFERROR(__xludf.DUMMYFUNCTION("""COMPUTED_VALUE"""),"perirhinal lobule")</f>
        <v>perirhinal lobule</v>
      </c>
      <c r="D2513" s="42">
        <f>IFERROR(__xludf.DUMMYFUNCTION("""COMPUTED_VALUE"""),2395.0)</f>
        <v>2395</v>
      </c>
      <c r="E2513" s="39" t="str">
        <f>IFERROR(__xludf.DUMMYFUNCTION("""COMPUTED_VALUE"""),"perirhinal lobule")</f>
        <v>perirhinal lobule</v>
      </c>
      <c r="F2513" s="9" t="str">
        <f>IFERROR(__xludf.DUMMYFUNCTION("""COMPUTED_VALUE"""),"Br")</f>
        <v>Br</v>
      </c>
      <c r="G2513" s="9" t="str">
        <f>IFERROR(__xludf.DUMMYFUNCTION("""COMPUTED_VALUE"""),"F")</f>
        <v>F</v>
      </c>
      <c r="H2513" s="9" t="str">
        <f>IFERROR(__xludf.DUMMYFUNCTION("""COMPUTED_VALUE"""),"FSS")</f>
        <v>FSS</v>
      </c>
      <c r="I2513" s="9" t="str">
        <f>IFERROR(__xludf.DUMMYFUNCTION("""COMPUTED_VALUE"""),"CeG")</f>
        <v>CeG</v>
      </c>
      <c r="J2513" s="9" t="str">
        <f>IFERROR(__xludf.DUMMYFUNCTION("""COMPUTED_VALUE"""),"TemL")</f>
        <v>TemL</v>
      </c>
      <c r="K2513" s="9" t="str">
        <f>IFERROR(__xludf.DUMMYFUNCTION("""COMPUTED_VALUE"""),"TP")</f>
        <v>TP</v>
      </c>
      <c r="L2513" s="9" t="str">
        <f>IFERROR(__xludf.DUMMYFUNCTION("""COMPUTED_VALUE"""),"PRL")</f>
        <v>PRL</v>
      </c>
      <c r="M2513" s="9"/>
      <c r="N2513" s="9"/>
      <c r="O2513" s="9"/>
      <c r="P2513" s="9"/>
      <c r="Q2513" s="9"/>
      <c r="R2513" s="9"/>
      <c r="S2513" s="42"/>
      <c r="T2513" s="42" t="str">
        <f>IFERROR(__xludf.DUMMYFUNCTION("""COMPUTED_VALUE"""),"lobe")</f>
        <v>lobe</v>
      </c>
      <c r="U2513" s="159" t="b">
        <f>IFERROR(__xludf.DUMMYFUNCTION("""COMPUTED_VALUE"""),FALSE)</f>
        <v>0</v>
      </c>
      <c r="V2513" s="42"/>
      <c r="W2513" s="42"/>
      <c r="X2513" s="42"/>
      <c r="Y2513" s="42"/>
      <c r="Z2513" s="42"/>
      <c r="AA2513" s="42"/>
      <c r="AB2513" s="42" t="str">
        <f>IFERROR(__xludf.DUMMYFUNCTION("""COMPUTED_VALUE"""),"allen institute")</f>
        <v>allen institute</v>
      </c>
      <c r="AC2513" s="42" t="str">
        <f>IFERROR(__xludf.DUMMYFUNCTION("""COMPUTED_VALUE"""),"DHBA")</f>
        <v>DHBA</v>
      </c>
      <c r="AD2513" s="42"/>
      <c r="AE2513" s="42"/>
      <c r="AF2513" s="9"/>
      <c r="AG2513" s="9"/>
      <c r="AH2513" s="42"/>
      <c r="AI2513" s="42"/>
      <c r="AJ2513" s="42"/>
      <c r="AK2513" s="42"/>
      <c r="AL2513" s="42"/>
      <c r="AM2513" s="42"/>
      <c r="AN2513" s="42"/>
      <c r="AO2513" s="63" t="str">
        <f>IFERROR(__xludf.DUMMYFUNCTION("IF(ISBLANK(A2513),,IF(ISBLANK(S2513), A2513&amp;"";"", TEXTJOIN(CHAR(10), TRUE, A2513&amp;"";"", ARRAYFORMULA(VLOOKUP(SPLIT(S2513, "";"" &amp; CHAR(10)), $A:$AO, 41, FALSE)))))"),"PRL;")</f>
        <v>PRL;</v>
      </c>
      <c r="AP2513" s="89"/>
    </row>
    <row r="2514">
      <c r="A2514" s="151" t="str">
        <f>IFERROR(__xludf.DUMMYFUNCTION("""COMPUTED_VALUE"""),"PLP")</f>
        <v>PLP</v>
      </c>
      <c r="B2514" s="42" t="str">
        <f>IFERROR(__xludf.DUMMYFUNCTION("""COMPUTED_VALUE"""),"DHBA")</f>
        <v>DHBA</v>
      </c>
      <c r="C2514" s="42" t="str">
        <f>IFERROR(__xludf.DUMMYFUNCTION("""COMPUTED_VALUE"""),"planum polare")</f>
        <v>planum polare</v>
      </c>
      <c r="D2514" s="42">
        <f>IFERROR(__xludf.DUMMYFUNCTION("""COMPUTED_VALUE"""),2396.0)</f>
        <v>2396</v>
      </c>
      <c r="E2514" s="39" t="str">
        <f>IFERROR(__xludf.DUMMYFUNCTION("""COMPUTED_VALUE"""),"planum polare")</f>
        <v>planum polare</v>
      </c>
      <c r="F2514" s="9" t="str">
        <f>IFERROR(__xludf.DUMMYFUNCTION("""COMPUTED_VALUE"""),"Br")</f>
        <v>Br</v>
      </c>
      <c r="G2514" s="9" t="str">
        <f>IFERROR(__xludf.DUMMYFUNCTION("""COMPUTED_VALUE"""),"F")</f>
        <v>F</v>
      </c>
      <c r="H2514" s="9" t="str">
        <f>IFERROR(__xludf.DUMMYFUNCTION("""COMPUTED_VALUE"""),"FSS")</f>
        <v>FSS</v>
      </c>
      <c r="I2514" s="9" t="str">
        <f>IFERROR(__xludf.DUMMYFUNCTION("""COMPUTED_VALUE"""),"CeG")</f>
        <v>CeG</v>
      </c>
      <c r="J2514" s="9" t="str">
        <f>IFERROR(__xludf.DUMMYFUNCTION("""COMPUTED_VALUE"""),"TemL")</f>
        <v>TemL</v>
      </c>
      <c r="K2514" s="9" t="str">
        <f>IFERROR(__xludf.DUMMYFUNCTION("""COMPUTED_VALUE"""),"PLP")</f>
        <v>PLP</v>
      </c>
      <c r="L2514" s="9"/>
      <c r="M2514" s="9"/>
      <c r="N2514" s="9"/>
      <c r="O2514" s="9"/>
      <c r="P2514" s="9"/>
      <c r="Q2514" s="9"/>
      <c r="R2514" s="9"/>
      <c r="S2514" s="42"/>
      <c r="T2514" s="42"/>
      <c r="U2514" s="42"/>
      <c r="V2514" s="42"/>
      <c r="W2514" s="42"/>
      <c r="X2514" s="42"/>
      <c r="Y2514" s="42"/>
      <c r="Z2514" s="42"/>
      <c r="AA2514" s="42"/>
      <c r="AB2514" s="42" t="str">
        <f>IFERROR(__xludf.DUMMYFUNCTION("""COMPUTED_VALUE"""),"allen institute")</f>
        <v>allen institute</v>
      </c>
      <c r="AC2514" s="42" t="str">
        <f>IFERROR(__xludf.DUMMYFUNCTION("""COMPUTED_VALUE"""),"DHBA")</f>
        <v>DHBA</v>
      </c>
      <c r="AD2514" s="42"/>
      <c r="AE2514" s="42"/>
      <c r="AF2514" s="9"/>
      <c r="AG2514" s="9"/>
      <c r="AH2514" s="42"/>
      <c r="AI2514" s="42"/>
      <c r="AJ2514" s="42"/>
      <c r="AK2514" s="42"/>
      <c r="AL2514" s="42"/>
      <c r="AM2514" s="42"/>
      <c r="AN2514" s="42"/>
      <c r="AO2514" s="63" t="str">
        <f>IFERROR(__xludf.DUMMYFUNCTION("IF(ISBLANK(A2514),,IF(ISBLANK(S2514), A2514&amp;"";"", TEXTJOIN(CHAR(10), TRUE, A2514&amp;"";"", ARRAYFORMULA(VLOOKUP(SPLIT(S2514, "";"" &amp; CHAR(10)), $A:$AO, 41, FALSE)))))"),"PLP;")</f>
        <v>PLP;</v>
      </c>
      <c r="AP2514" s="89"/>
    </row>
    <row r="2515">
      <c r="A2515" s="151" t="str">
        <f>IFERROR(__xludf.DUMMYFUNCTION("""COMPUTED_VALUE"""),"OccL")</f>
        <v>OccL</v>
      </c>
      <c r="B2515" s="42" t="str">
        <f>IFERROR(__xludf.DUMMYFUNCTION("""COMPUTED_VALUE"""),"DHBA")</f>
        <v>DHBA</v>
      </c>
      <c r="C2515" s="42" t="str">
        <f>IFERROR(__xludf.DUMMYFUNCTION("""COMPUTED_VALUE"""),"occipital lobe")</f>
        <v>occipital lobe</v>
      </c>
      <c r="D2515" s="42">
        <f>IFERROR(__xludf.DUMMYFUNCTION("""COMPUTED_VALUE"""),2397.0)</f>
        <v>2397</v>
      </c>
      <c r="E2515" s="39" t="str">
        <f>IFERROR(__xludf.DUMMYFUNCTION("""COMPUTED_VALUE"""),"occipital lobe")</f>
        <v>occipital lobe</v>
      </c>
      <c r="F2515" s="9" t="str">
        <f>IFERROR(__xludf.DUMMYFUNCTION("""COMPUTED_VALUE"""),"Br")</f>
        <v>Br</v>
      </c>
      <c r="G2515" s="9" t="str">
        <f>IFERROR(__xludf.DUMMYFUNCTION("""COMPUTED_VALUE"""),"F")</f>
        <v>F</v>
      </c>
      <c r="H2515" s="9" t="str">
        <f>IFERROR(__xludf.DUMMYFUNCTION("""COMPUTED_VALUE"""),"FSS")</f>
        <v>FSS</v>
      </c>
      <c r="I2515" s="9" t="str">
        <f>IFERROR(__xludf.DUMMYFUNCTION("""COMPUTED_VALUE"""),"CeG")</f>
        <v>CeG</v>
      </c>
      <c r="J2515" s="9" t="str">
        <f>IFERROR(__xludf.DUMMYFUNCTION("""COMPUTED_VALUE"""),"OccL")</f>
        <v>OccL</v>
      </c>
      <c r="K2515" s="9"/>
      <c r="L2515" s="9"/>
      <c r="M2515" s="9"/>
      <c r="N2515" s="9"/>
      <c r="O2515" s="9"/>
      <c r="P2515" s="9"/>
      <c r="Q2515" s="9"/>
      <c r="R2515" s="9"/>
      <c r="S2515" s="42" t="str">
        <f>IFERROR(__xludf.DUMMYFUNCTION("""COMPUTED_VALUE"""),"OP;
OPR;
OTR;
Cun;
LiG;
FuGo;
IOG;
SOG")</f>
        <v>OP;
OPR;
OTR;
Cun;
LiG;
FuGo;
IOG;
SOG</v>
      </c>
      <c r="T2515" s="42" t="str">
        <f>IFERROR(__xludf.DUMMYFUNCTION("""COMPUTED_VALUE"""),"lobe")</f>
        <v>lobe</v>
      </c>
      <c r="U2515" s="42" t="b">
        <f>IFERROR(__xludf.DUMMYFUNCTION("""COMPUTED_VALUE"""),FALSE)</f>
        <v>0</v>
      </c>
      <c r="V2515" s="42"/>
      <c r="W2515" s="42"/>
      <c r="X2515" s="42"/>
      <c r="Y2515" s="42"/>
      <c r="Z2515" s="42"/>
      <c r="AA2515" s="42"/>
      <c r="AB2515" s="42" t="str">
        <f>IFERROR(__xludf.DUMMYFUNCTION("""COMPUTED_VALUE"""),"allen institute")</f>
        <v>allen institute</v>
      </c>
      <c r="AC2515" s="42" t="str">
        <f>IFERROR(__xludf.DUMMYFUNCTION("""COMPUTED_VALUE"""),"DHBA")</f>
        <v>DHBA</v>
      </c>
      <c r="AD2515" s="42"/>
      <c r="AE2515" s="42"/>
      <c r="AF2515" s="9"/>
      <c r="AG2515" s="9"/>
      <c r="AH2515" s="42"/>
      <c r="AI2515" s="42"/>
      <c r="AJ2515" s="42"/>
      <c r="AK2515" s="42"/>
      <c r="AL2515" s="42"/>
      <c r="AM2515" s="42"/>
      <c r="AN2515" s="42"/>
      <c r="AO2515" s="63" t="str">
        <f>IFERROR(__xludf.DUMMYFUNCTION("IF(ISBLANK(A2515),,IF(ISBLANK(S2515), A2515&amp;"";"", TEXTJOIN(CHAR(10), TRUE, A2515&amp;"";"", ARRAYFORMULA(VLOOKUP(SPLIT(S2515, "";"" &amp; CHAR(10)), $A:$AO, 41, FALSE)))))"),"OccL;
OP;
OPR;
OTR;
Cun;
LiG;
FuGo;
IOG;
SOG;")</f>
        <v>OccL;
OP;
OPR;
OTR;
Cun;
LiG;
FuGo;
IOG;
SOG;</v>
      </c>
      <c r="AP2515" s="89"/>
    </row>
    <row r="2516">
      <c r="A2516" s="151" t="str">
        <f>IFERROR(__xludf.DUMMYFUNCTION("""COMPUTED_VALUE"""),"OP")</f>
        <v>OP</v>
      </c>
      <c r="B2516" s="42" t="str">
        <f>IFERROR(__xludf.DUMMYFUNCTION("""COMPUTED_VALUE"""),"DHBA")</f>
        <v>DHBA</v>
      </c>
      <c r="C2516" s="42" t="str">
        <f>IFERROR(__xludf.DUMMYFUNCTION("""COMPUTED_VALUE"""),"occipital pole")</f>
        <v>occipital pole</v>
      </c>
      <c r="D2516" s="42">
        <f>IFERROR(__xludf.DUMMYFUNCTION("""COMPUTED_VALUE"""),2398.0)</f>
        <v>2398</v>
      </c>
      <c r="E2516" s="39" t="str">
        <f>IFERROR(__xludf.DUMMYFUNCTION("""COMPUTED_VALUE"""),"occipital pole")</f>
        <v>occipital pole</v>
      </c>
      <c r="F2516" s="9" t="str">
        <f>IFERROR(__xludf.DUMMYFUNCTION("""COMPUTED_VALUE"""),"Br")</f>
        <v>Br</v>
      </c>
      <c r="G2516" s="9" t="str">
        <f>IFERROR(__xludf.DUMMYFUNCTION("""COMPUTED_VALUE"""),"F")</f>
        <v>F</v>
      </c>
      <c r="H2516" s="9" t="str">
        <f>IFERROR(__xludf.DUMMYFUNCTION("""COMPUTED_VALUE"""),"FSS")</f>
        <v>FSS</v>
      </c>
      <c r="I2516" s="9" t="str">
        <f>IFERROR(__xludf.DUMMYFUNCTION("""COMPUTED_VALUE"""),"CeG")</f>
        <v>CeG</v>
      </c>
      <c r="J2516" s="9" t="str">
        <f>IFERROR(__xludf.DUMMYFUNCTION("""COMPUTED_VALUE"""),"OccL")</f>
        <v>OccL</v>
      </c>
      <c r="K2516" s="9" t="str">
        <f>IFERROR(__xludf.DUMMYFUNCTION("""COMPUTED_VALUE"""),"OP")</f>
        <v>OP</v>
      </c>
      <c r="L2516" s="9"/>
      <c r="M2516" s="9"/>
      <c r="N2516" s="9"/>
      <c r="O2516" s="9"/>
      <c r="P2516" s="9"/>
      <c r="Q2516" s="9"/>
      <c r="R2516" s="9"/>
      <c r="S2516" s="42"/>
      <c r="T2516" s="42"/>
      <c r="U2516" s="42"/>
      <c r="V2516" s="42"/>
      <c r="W2516" s="42"/>
      <c r="X2516" s="42"/>
      <c r="Y2516" s="42"/>
      <c r="Z2516" s="42"/>
      <c r="AA2516" s="42"/>
      <c r="AB2516" s="42" t="str">
        <f>IFERROR(__xludf.DUMMYFUNCTION("""COMPUTED_VALUE"""),"allen institute")</f>
        <v>allen institute</v>
      </c>
      <c r="AC2516" s="42" t="str">
        <f>IFERROR(__xludf.DUMMYFUNCTION("""COMPUTED_VALUE"""),"DHBA")</f>
        <v>DHBA</v>
      </c>
      <c r="AD2516" s="42"/>
      <c r="AE2516" s="42"/>
      <c r="AF2516" s="9"/>
      <c r="AG2516" s="9"/>
      <c r="AH2516" s="42"/>
      <c r="AI2516" s="42"/>
      <c r="AJ2516" s="42"/>
      <c r="AK2516" s="42"/>
      <c r="AL2516" s="42"/>
      <c r="AM2516" s="42"/>
      <c r="AN2516" s="42"/>
      <c r="AO2516" s="63" t="str">
        <f>IFERROR(__xludf.DUMMYFUNCTION("IF(ISBLANK(A2516),,IF(ISBLANK(S2516), A2516&amp;"";"", TEXTJOIN(CHAR(10), TRUE, A2516&amp;"";"", ARRAYFORMULA(VLOOKUP(SPLIT(S2516, "";"" &amp; CHAR(10)), $A:$AO, 41, FALSE)))))"),"OP;")</f>
        <v>OP;</v>
      </c>
      <c r="AP2516" s="89"/>
    </row>
    <row r="2517">
      <c r="A2517" s="151" t="str">
        <f>IFERROR(__xludf.DUMMYFUNCTION("""COMPUTED_VALUE"""),"OPR")</f>
        <v>OPR</v>
      </c>
      <c r="B2517" s="42" t="str">
        <f>IFERROR(__xludf.DUMMYFUNCTION("""COMPUTED_VALUE"""),"DHBA")</f>
        <v>DHBA</v>
      </c>
      <c r="C2517" s="42" t="str">
        <f>IFERROR(__xludf.DUMMYFUNCTION("""COMPUTED_VALUE"""),"occipitoparietal transition region")</f>
        <v>occipitoparietal transition region</v>
      </c>
      <c r="D2517" s="42">
        <f>IFERROR(__xludf.DUMMYFUNCTION("""COMPUTED_VALUE"""),2399.0)</f>
        <v>2399</v>
      </c>
      <c r="E2517" s="39" t="str">
        <f>IFERROR(__xludf.DUMMYFUNCTION("""COMPUTED_VALUE"""),"occipitoparietal transition region")</f>
        <v>occipitoparietal transition region</v>
      </c>
      <c r="F2517" s="9" t="str">
        <f>IFERROR(__xludf.DUMMYFUNCTION("""COMPUTED_VALUE"""),"Br")</f>
        <v>Br</v>
      </c>
      <c r="G2517" s="9" t="str">
        <f>IFERROR(__xludf.DUMMYFUNCTION("""COMPUTED_VALUE"""),"F")</f>
        <v>F</v>
      </c>
      <c r="H2517" s="9" t="str">
        <f>IFERROR(__xludf.DUMMYFUNCTION("""COMPUTED_VALUE"""),"FSS")</f>
        <v>FSS</v>
      </c>
      <c r="I2517" s="9" t="str">
        <f>IFERROR(__xludf.DUMMYFUNCTION("""COMPUTED_VALUE"""),"CeG")</f>
        <v>CeG</v>
      </c>
      <c r="J2517" s="9" t="str">
        <f>IFERROR(__xludf.DUMMYFUNCTION("""COMPUTED_VALUE"""),"OccL")</f>
        <v>OccL</v>
      </c>
      <c r="K2517" s="9" t="str">
        <f>IFERROR(__xludf.DUMMYFUNCTION("""COMPUTED_VALUE"""),"OPR")</f>
        <v>OPR</v>
      </c>
      <c r="L2517" s="9"/>
      <c r="M2517" s="9"/>
      <c r="N2517" s="9"/>
      <c r="O2517" s="9"/>
      <c r="P2517" s="9"/>
      <c r="Q2517" s="9"/>
      <c r="R2517" s="9"/>
      <c r="S2517" s="42"/>
      <c r="T2517" s="42"/>
      <c r="U2517" s="42"/>
      <c r="V2517" s="42"/>
      <c r="W2517" s="42"/>
      <c r="X2517" s="42"/>
      <c r="Y2517" s="42"/>
      <c r="Z2517" s="42"/>
      <c r="AA2517" s="42"/>
      <c r="AB2517" s="42" t="str">
        <f>IFERROR(__xludf.DUMMYFUNCTION("""COMPUTED_VALUE"""),"allen institute")</f>
        <v>allen institute</v>
      </c>
      <c r="AC2517" s="42" t="str">
        <f>IFERROR(__xludf.DUMMYFUNCTION("""COMPUTED_VALUE"""),"DHBA")</f>
        <v>DHBA</v>
      </c>
      <c r="AD2517" s="42"/>
      <c r="AE2517" s="42"/>
      <c r="AF2517" s="9"/>
      <c r="AG2517" s="9"/>
      <c r="AH2517" s="42"/>
      <c r="AI2517" s="42"/>
      <c r="AJ2517" s="42"/>
      <c r="AK2517" s="42"/>
      <c r="AL2517" s="42"/>
      <c r="AM2517" s="42"/>
      <c r="AN2517" s="42"/>
      <c r="AO2517" s="63" t="str">
        <f>IFERROR(__xludf.DUMMYFUNCTION("IF(ISBLANK(A2517),,IF(ISBLANK(S2517), A2517&amp;"";"", TEXTJOIN(CHAR(10), TRUE, A2517&amp;"";"", ARRAYFORMULA(VLOOKUP(SPLIT(S2517, "";"" &amp; CHAR(10)), $A:$AO, 41, FALSE)))))"),"OPR;")</f>
        <v>OPR;</v>
      </c>
      <c r="AP2517" s="89"/>
    </row>
    <row r="2518">
      <c r="A2518" s="151" t="str">
        <f>IFERROR(__xludf.DUMMYFUNCTION("""COMPUTED_VALUE"""),"OTR")</f>
        <v>OTR</v>
      </c>
      <c r="B2518" s="42" t="str">
        <f>IFERROR(__xludf.DUMMYFUNCTION("""COMPUTED_VALUE"""),"DHBA")</f>
        <v>DHBA</v>
      </c>
      <c r="C2518" s="42" t="str">
        <f>IFERROR(__xludf.DUMMYFUNCTION("""COMPUTED_VALUE"""),"occipitotemporal transition region")</f>
        <v>occipitotemporal transition region</v>
      </c>
      <c r="D2518" s="42">
        <f>IFERROR(__xludf.DUMMYFUNCTION("""COMPUTED_VALUE"""),2400.0)</f>
        <v>2400</v>
      </c>
      <c r="E2518" s="39" t="str">
        <f>IFERROR(__xludf.DUMMYFUNCTION("""COMPUTED_VALUE"""),"occipitotemporal transition region")</f>
        <v>occipitotemporal transition region</v>
      </c>
      <c r="F2518" s="9" t="str">
        <f>IFERROR(__xludf.DUMMYFUNCTION("""COMPUTED_VALUE"""),"Br")</f>
        <v>Br</v>
      </c>
      <c r="G2518" s="9" t="str">
        <f>IFERROR(__xludf.DUMMYFUNCTION("""COMPUTED_VALUE"""),"F")</f>
        <v>F</v>
      </c>
      <c r="H2518" s="9" t="str">
        <f>IFERROR(__xludf.DUMMYFUNCTION("""COMPUTED_VALUE"""),"FSS")</f>
        <v>FSS</v>
      </c>
      <c r="I2518" s="9" t="str">
        <f>IFERROR(__xludf.DUMMYFUNCTION("""COMPUTED_VALUE"""),"CeG")</f>
        <v>CeG</v>
      </c>
      <c r="J2518" s="9" t="str">
        <f>IFERROR(__xludf.DUMMYFUNCTION("""COMPUTED_VALUE"""),"OccL")</f>
        <v>OccL</v>
      </c>
      <c r="K2518" s="9" t="str">
        <f>IFERROR(__xludf.DUMMYFUNCTION("""COMPUTED_VALUE"""),"OTR")</f>
        <v>OTR</v>
      </c>
      <c r="L2518" s="9"/>
      <c r="M2518" s="9"/>
      <c r="N2518" s="9"/>
      <c r="O2518" s="9"/>
      <c r="P2518" s="9"/>
      <c r="Q2518" s="9"/>
      <c r="R2518" s="9"/>
      <c r="S2518" s="42"/>
      <c r="T2518" s="42"/>
      <c r="U2518" s="42"/>
      <c r="V2518" s="42"/>
      <c r="W2518" s="42"/>
      <c r="X2518" s="42"/>
      <c r="Y2518" s="42"/>
      <c r="Z2518" s="42"/>
      <c r="AA2518" s="42"/>
      <c r="AB2518" s="42" t="str">
        <f>IFERROR(__xludf.DUMMYFUNCTION("""COMPUTED_VALUE"""),"allen institute")</f>
        <v>allen institute</v>
      </c>
      <c r="AC2518" s="42" t="str">
        <f>IFERROR(__xludf.DUMMYFUNCTION("""COMPUTED_VALUE"""),"DHBA")</f>
        <v>DHBA</v>
      </c>
      <c r="AD2518" s="42"/>
      <c r="AE2518" s="42"/>
      <c r="AF2518" s="9"/>
      <c r="AG2518" s="9"/>
      <c r="AH2518" s="42"/>
      <c r="AI2518" s="42"/>
      <c r="AJ2518" s="42"/>
      <c r="AK2518" s="42"/>
      <c r="AL2518" s="42"/>
      <c r="AM2518" s="42"/>
      <c r="AN2518" s="42"/>
      <c r="AO2518" s="63" t="str">
        <f>IFERROR(__xludf.DUMMYFUNCTION("IF(ISBLANK(A2518),,IF(ISBLANK(S2518), A2518&amp;"";"", TEXTJOIN(CHAR(10), TRUE, A2518&amp;"";"", ARRAYFORMULA(VLOOKUP(SPLIT(S2518, "";"" &amp; CHAR(10)), $A:$AO, 41, FALSE)))))"),"OTR;")</f>
        <v>OTR;</v>
      </c>
      <c r="AP2518" s="89"/>
    </row>
    <row r="2519">
      <c r="A2519" s="151" t="str">
        <f>IFERROR(__xludf.DUMMYFUNCTION("""COMPUTED_VALUE"""),"Cun")</f>
        <v>Cun</v>
      </c>
      <c r="B2519" s="42" t="str">
        <f>IFERROR(__xludf.DUMMYFUNCTION("""COMPUTED_VALUE"""),"DHBA")</f>
        <v>DHBA</v>
      </c>
      <c r="C2519" s="42" t="str">
        <f>IFERROR(__xludf.DUMMYFUNCTION("""COMPUTED_VALUE"""),"cuneus")</f>
        <v>cuneus</v>
      </c>
      <c r="D2519" s="42">
        <f>IFERROR(__xludf.DUMMYFUNCTION("""COMPUTED_VALUE"""),2401.0)</f>
        <v>2401</v>
      </c>
      <c r="E2519" s="39" t="str">
        <f>IFERROR(__xludf.DUMMYFUNCTION("""COMPUTED_VALUE"""),"cuneus")</f>
        <v>cuneus</v>
      </c>
      <c r="F2519" s="9" t="str">
        <f>IFERROR(__xludf.DUMMYFUNCTION("""COMPUTED_VALUE"""),"Br")</f>
        <v>Br</v>
      </c>
      <c r="G2519" s="9" t="str">
        <f>IFERROR(__xludf.DUMMYFUNCTION("""COMPUTED_VALUE"""),"F")</f>
        <v>F</v>
      </c>
      <c r="H2519" s="9" t="str">
        <f>IFERROR(__xludf.DUMMYFUNCTION("""COMPUTED_VALUE"""),"FSS")</f>
        <v>FSS</v>
      </c>
      <c r="I2519" s="9" t="str">
        <f>IFERROR(__xludf.DUMMYFUNCTION("""COMPUTED_VALUE"""),"CeG")</f>
        <v>CeG</v>
      </c>
      <c r="J2519" s="9" t="str">
        <f>IFERROR(__xludf.DUMMYFUNCTION("""COMPUTED_VALUE"""),"OccL")</f>
        <v>OccL</v>
      </c>
      <c r="K2519" s="9" t="str">
        <f>IFERROR(__xludf.DUMMYFUNCTION("""COMPUTED_VALUE"""),"Cun")</f>
        <v>Cun</v>
      </c>
      <c r="L2519" s="9"/>
      <c r="M2519" s="9"/>
      <c r="N2519" s="9"/>
      <c r="O2519" s="9"/>
      <c r="P2519" s="9"/>
      <c r="Q2519" s="9"/>
      <c r="R2519" s="9"/>
      <c r="S2519" s="42"/>
      <c r="T2519" s="42"/>
      <c r="U2519" s="42"/>
      <c r="V2519" s="42"/>
      <c r="W2519" s="42"/>
      <c r="X2519" s="42"/>
      <c r="Y2519" s="42"/>
      <c r="Z2519" s="42"/>
      <c r="AA2519" s="42"/>
      <c r="AB2519" s="42" t="str">
        <f>IFERROR(__xludf.DUMMYFUNCTION("""COMPUTED_VALUE"""),"allen institute")</f>
        <v>allen institute</v>
      </c>
      <c r="AC2519" s="42" t="str">
        <f>IFERROR(__xludf.DUMMYFUNCTION("""COMPUTED_VALUE"""),"DHBA")</f>
        <v>DHBA</v>
      </c>
      <c r="AD2519" s="42"/>
      <c r="AE2519" s="42"/>
      <c r="AF2519" s="9"/>
      <c r="AG2519" s="9"/>
      <c r="AH2519" s="42"/>
      <c r="AI2519" s="42"/>
      <c r="AJ2519" s="42"/>
      <c r="AK2519" s="42"/>
      <c r="AL2519" s="42"/>
      <c r="AM2519" s="42"/>
      <c r="AN2519" s="42"/>
      <c r="AO2519" s="63" t="str">
        <f>IFERROR(__xludf.DUMMYFUNCTION("IF(ISBLANK(A2519),,IF(ISBLANK(S2519), A2519&amp;"";"", TEXTJOIN(CHAR(10), TRUE, A2519&amp;"";"", ARRAYFORMULA(VLOOKUP(SPLIT(S2519, "";"" &amp; CHAR(10)), $A:$AO, 41, FALSE)))))"),"Cun;")</f>
        <v>Cun;</v>
      </c>
      <c r="AP2519" s="89"/>
    </row>
    <row r="2520">
      <c r="A2520" s="151" t="str">
        <f>IFERROR(__xludf.DUMMYFUNCTION("""COMPUTED_VALUE"""),"LiG")</f>
        <v>LiG</v>
      </c>
      <c r="B2520" s="42" t="str">
        <f>IFERROR(__xludf.DUMMYFUNCTION("""COMPUTED_VALUE"""),"DHBA")</f>
        <v>DHBA</v>
      </c>
      <c r="C2520" s="42" t="str">
        <f>IFERROR(__xludf.DUMMYFUNCTION("""COMPUTED_VALUE"""),"lingual gyrus")</f>
        <v>lingual gyrus</v>
      </c>
      <c r="D2520" s="42">
        <f>IFERROR(__xludf.DUMMYFUNCTION("""COMPUTED_VALUE"""),2402.0)</f>
        <v>2402</v>
      </c>
      <c r="E2520" s="39" t="str">
        <f>IFERROR(__xludf.DUMMYFUNCTION("""COMPUTED_VALUE"""),"lingual gyrus")</f>
        <v>lingual gyrus</v>
      </c>
      <c r="F2520" s="9" t="str">
        <f>IFERROR(__xludf.DUMMYFUNCTION("""COMPUTED_VALUE"""),"Br")</f>
        <v>Br</v>
      </c>
      <c r="G2520" s="9" t="str">
        <f>IFERROR(__xludf.DUMMYFUNCTION("""COMPUTED_VALUE"""),"F")</f>
        <v>F</v>
      </c>
      <c r="H2520" s="9" t="str">
        <f>IFERROR(__xludf.DUMMYFUNCTION("""COMPUTED_VALUE"""),"FSS")</f>
        <v>FSS</v>
      </c>
      <c r="I2520" s="9" t="str">
        <f>IFERROR(__xludf.DUMMYFUNCTION("""COMPUTED_VALUE"""),"CeG")</f>
        <v>CeG</v>
      </c>
      <c r="J2520" s="9" t="str">
        <f>IFERROR(__xludf.DUMMYFUNCTION("""COMPUTED_VALUE"""),"OccL")</f>
        <v>OccL</v>
      </c>
      <c r="K2520" s="9" t="str">
        <f>IFERROR(__xludf.DUMMYFUNCTION("""COMPUTED_VALUE"""),"LiG")</f>
        <v>LiG</v>
      </c>
      <c r="L2520" s="9"/>
      <c r="M2520" s="9"/>
      <c r="N2520" s="9"/>
      <c r="O2520" s="9"/>
      <c r="P2520" s="9"/>
      <c r="Q2520" s="9"/>
      <c r="R2520" s="9"/>
      <c r="S2520" s="42"/>
      <c r="T2520" s="42" t="str">
        <f>IFERROR(__xludf.DUMMYFUNCTION("""COMPUTED_VALUE"""),"gyrus")</f>
        <v>gyrus</v>
      </c>
      <c r="U2520" s="42" t="b">
        <f>IFERROR(__xludf.DUMMYFUNCTION("""COMPUTED_VALUE"""),FALSE)</f>
        <v>0</v>
      </c>
      <c r="V2520" s="42"/>
      <c r="W2520" s="42"/>
      <c r="X2520" s="42"/>
      <c r="Y2520" s="42"/>
      <c r="Z2520" s="42"/>
      <c r="AA2520" s="42"/>
      <c r="AB2520" s="42" t="str">
        <f>IFERROR(__xludf.DUMMYFUNCTION("""COMPUTED_VALUE"""),"allen institute")</f>
        <v>allen institute</v>
      </c>
      <c r="AC2520" s="42" t="str">
        <f>IFERROR(__xludf.DUMMYFUNCTION("""COMPUTED_VALUE"""),"DHBA")</f>
        <v>DHBA</v>
      </c>
      <c r="AD2520" s="42"/>
      <c r="AE2520" s="42"/>
      <c r="AF2520" s="9"/>
      <c r="AG2520" s="9"/>
      <c r="AH2520" s="42"/>
      <c r="AI2520" s="42"/>
      <c r="AJ2520" s="42"/>
      <c r="AK2520" s="42"/>
      <c r="AL2520" s="42"/>
      <c r="AM2520" s="42"/>
      <c r="AN2520" s="42"/>
      <c r="AO2520" s="63" t="str">
        <f>IFERROR(__xludf.DUMMYFUNCTION("IF(ISBLANK(A2520),,IF(ISBLANK(S2520), A2520&amp;"";"", TEXTJOIN(CHAR(10), TRUE, A2520&amp;"";"", ARRAYFORMULA(VLOOKUP(SPLIT(S2520, "";"" &amp; CHAR(10)), $A:$AO, 41, FALSE)))))"),"LiG;")</f>
        <v>LiG;</v>
      </c>
      <c r="AP2520" s="89"/>
    </row>
    <row r="2521">
      <c r="A2521" s="151" t="str">
        <f>IFERROR(__xludf.DUMMYFUNCTION("""COMPUTED_VALUE"""),"FuGo")</f>
        <v>FuGo</v>
      </c>
      <c r="B2521" s="42" t="str">
        <f>IFERROR(__xludf.DUMMYFUNCTION("""COMPUTED_VALUE"""),"DHBA")</f>
        <v>DHBA</v>
      </c>
      <c r="C2521" s="42" t="str">
        <f>IFERROR(__xludf.DUMMYFUNCTION("""COMPUTED_VALUE"""),"occipitotemporal (fusiform) gyrus, occipital part")</f>
        <v>occipitotemporal (fusiform) gyrus, occipital part</v>
      </c>
      <c r="D2521" s="42">
        <f>IFERROR(__xludf.DUMMYFUNCTION("""COMPUTED_VALUE"""),2403.0)</f>
        <v>2403</v>
      </c>
      <c r="E2521" s="39" t="str">
        <f>IFERROR(__xludf.DUMMYFUNCTION("""COMPUTED_VALUE"""),"occipitotemporal (fusiform) gyrus, occipital part")</f>
        <v>occipitotemporal (fusiform) gyrus, occipital part</v>
      </c>
      <c r="F2521" s="9" t="str">
        <f>IFERROR(__xludf.DUMMYFUNCTION("""COMPUTED_VALUE"""),"Br")</f>
        <v>Br</v>
      </c>
      <c r="G2521" s="9" t="str">
        <f>IFERROR(__xludf.DUMMYFUNCTION("""COMPUTED_VALUE"""),"F")</f>
        <v>F</v>
      </c>
      <c r="H2521" s="9" t="str">
        <f>IFERROR(__xludf.DUMMYFUNCTION("""COMPUTED_VALUE"""),"FSS")</f>
        <v>FSS</v>
      </c>
      <c r="I2521" s="9" t="str">
        <f>IFERROR(__xludf.DUMMYFUNCTION("""COMPUTED_VALUE"""),"CeG")</f>
        <v>CeG</v>
      </c>
      <c r="J2521" s="9" t="str">
        <f>IFERROR(__xludf.DUMMYFUNCTION("""COMPUTED_VALUE"""),"OccL")</f>
        <v>OccL</v>
      </c>
      <c r="K2521" s="9" t="str">
        <f>IFERROR(__xludf.DUMMYFUNCTION("""COMPUTED_VALUE"""),"FuGo")</f>
        <v>FuGo</v>
      </c>
      <c r="L2521" s="9"/>
      <c r="M2521" s="9"/>
      <c r="N2521" s="9"/>
      <c r="O2521" s="9"/>
      <c r="P2521" s="9"/>
      <c r="Q2521" s="9"/>
      <c r="R2521" s="9"/>
      <c r="S2521" s="42"/>
      <c r="T2521" s="42" t="str">
        <f>IFERROR(__xludf.DUMMYFUNCTION("""COMPUTED_VALUE"""),"gyrus")</f>
        <v>gyrus</v>
      </c>
      <c r="U2521" s="42" t="b">
        <f>IFERROR(__xludf.DUMMYFUNCTION("""COMPUTED_VALUE"""),FALSE)</f>
        <v>0</v>
      </c>
      <c r="V2521" s="42"/>
      <c r="W2521" s="42"/>
      <c r="X2521" s="42"/>
      <c r="Y2521" s="42"/>
      <c r="Z2521" s="42"/>
      <c r="AA2521" s="42"/>
      <c r="AB2521" s="42" t="str">
        <f>IFERROR(__xludf.DUMMYFUNCTION("""COMPUTED_VALUE"""),"allen institute")</f>
        <v>allen institute</v>
      </c>
      <c r="AC2521" s="42" t="str">
        <f>IFERROR(__xludf.DUMMYFUNCTION("""COMPUTED_VALUE"""),"DHBA")</f>
        <v>DHBA</v>
      </c>
      <c r="AD2521" s="42"/>
      <c r="AE2521" s="42"/>
      <c r="AF2521" s="9"/>
      <c r="AG2521" s="9"/>
      <c r="AH2521" s="42"/>
      <c r="AI2521" s="42"/>
      <c r="AJ2521" s="42"/>
      <c r="AK2521" s="42"/>
      <c r="AL2521" s="42"/>
      <c r="AM2521" s="42"/>
      <c r="AN2521" s="42"/>
      <c r="AO2521" s="63" t="str">
        <f>IFERROR(__xludf.DUMMYFUNCTION("IF(ISBLANK(A2521),,IF(ISBLANK(S2521), A2521&amp;"";"", TEXTJOIN(CHAR(10), TRUE, A2521&amp;"";"", ARRAYFORMULA(VLOOKUP(SPLIT(S2521, "";"" &amp; CHAR(10)), $A:$AO, 41, FALSE)))))"),"FuGo;")</f>
        <v>FuGo;</v>
      </c>
      <c r="AP2521" s="89"/>
    </row>
    <row r="2522">
      <c r="A2522" s="151" t="str">
        <f>IFERROR(__xludf.DUMMYFUNCTION("""COMPUTED_VALUE"""),"IOG")</f>
        <v>IOG</v>
      </c>
      <c r="B2522" s="42" t="str">
        <f>IFERROR(__xludf.DUMMYFUNCTION("""COMPUTED_VALUE"""),"DHBA")</f>
        <v>DHBA</v>
      </c>
      <c r="C2522" s="42" t="str">
        <f>IFERROR(__xludf.DUMMYFUNCTION("""COMPUTED_VALUE"""),"inferior occipital gyrus")</f>
        <v>inferior occipital gyrus</v>
      </c>
      <c r="D2522" s="42">
        <f>IFERROR(__xludf.DUMMYFUNCTION("""COMPUTED_VALUE"""),2404.0)</f>
        <v>2404</v>
      </c>
      <c r="E2522" s="39" t="str">
        <f>IFERROR(__xludf.DUMMYFUNCTION("""COMPUTED_VALUE"""),"inferior occipital gyrus")</f>
        <v>inferior occipital gyrus</v>
      </c>
      <c r="F2522" s="9" t="str">
        <f>IFERROR(__xludf.DUMMYFUNCTION("""COMPUTED_VALUE"""),"Br")</f>
        <v>Br</v>
      </c>
      <c r="G2522" s="9" t="str">
        <f>IFERROR(__xludf.DUMMYFUNCTION("""COMPUTED_VALUE"""),"F")</f>
        <v>F</v>
      </c>
      <c r="H2522" s="9" t="str">
        <f>IFERROR(__xludf.DUMMYFUNCTION("""COMPUTED_VALUE"""),"FSS")</f>
        <v>FSS</v>
      </c>
      <c r="I2522" s="9" t="str">
        <f>IFERROR(__xludf.DUMMYFUNCTION("""COMPUTED_VALUE"""),"CeG")</f>
        <v>CeG</v>
      </c>
      <c r="J2522" s="9" t="str">
        <f>IFERROR(__xludf.DUMMYFUNCTION("""COMPUTED_VALUE"""),"OccL")</f>
        <v>OccL</v>
      </c>
      <c r="K2522" s="9" t="str">
        <f>IFERROR(__xludf.DUMMYFUNCTION("""COMPUTED_VALUE"""),"IOG")</f>
        <v>IOG</v>
      </c>
      <c r="L2522" s="9"/>
      <c r="M2522" s="9"/>
      <c r="N2522" s="9"/>
      <c r="O2522" s="9"/>
      <c r="P2522" s="9"/>
      <c r="Q2522" s="9"/>
      <c r="R2522" s="9"/>
      <c r="S2522" s="42"/>
      <c r="T2522" s="42" t="str">
        <f>IFERROR(__xludf.DUMMYFUNCTION("""COMPUTED_VALUE"""),"gyrus")</f>
        <v>gyrus</v>
      </c>
      <c r="U2522" s="159" t="b">
        <f>IFERROR(__xludf.DUMMYFUNCTION("""COMPUTED_VALUE"""),FALSE)</f>
        <v>0</v>
      </c>
      <c r="V2522" s="42"/>
      <c r="W2522" s="42"/>
      <c r="X2522" s="42"/>
      <c r="Y2522" s="42"/>
      <c r="Z2522" s="42"/>
      <c r="AA2522" s="42"/>
      <c r="AB2522" s="42" t="str">
        <f>IFERROR(__xludf.DUMMYFUNCTION("""COMPUTED_VALUE"""),"allen institute")</f>
        <v>allen institute</v>
      </c>
      <c r="AC2522" s="42" t="str">
        <f>IFERROR(__xludf.DUMMYFUNCTION("""COMPUTED_VALUE"""),"DHBA")</f>
        <v>DHBA</v>
      </c>
      <c r="AD2522" s="42"/>
      <c r="AE2522" s="42"/>
      <c r="AF2522" s="9"/>
      <c r="AG2522" s="9"/>
      <c r="AH2522" s="42"/>
      <c r="AI2522" s="42"/>
      <c r="AJ2522" s="42"/>
      <c r="AK2522" s="42"/>
      <c r="AL2522" s="42"/>
      <c r="AM2522" s="42"/>
      <c r="AN2522" s="42"/>
      <c r="AO2522" s="63" t="str">
        <f>IFERROR(__xludf.DUMMYFUNCTION("IF(ISBLANK(A2522),,IF(ISBLANK(S2522), A2522&amp;"";"", TEXTJOIN(CHAR(10), TRUE, A2522&amp;"";"", ARRAYFORMULA(VLOOKUP(SPLIT(S2522, "";"" &amp; CHAR(10)), $A:$AO, 41, FALSE)))))"),"IOG;")</f>
        <v>IOG;</v>
      </c>
      <c r="AP2522" s="89"/>
    </row>
    <row r="2523">
      <c r="A2523" s="151" t="str">
        <f>IFERROR(__xludf.DUMMYFUNCTION("""COMPUTED_VALUE"""),"SOG")</f>
        <v>SOG</v>
      </c>
      <c r="B2523" s="42" t="str">
        <f>IFERROR(__xludf.DUMMYFUNCTION("""COMPUTED_VALUE"""),"DHBA")</f>
        <v>DHBA</v>
      </c>
      <c r="C2523" s="42" t="str">
        <f>IFERROR(__xludf.DUMMYFUNCTION("""COMPUTED_VALUE"""),"superior occipital gyrus")</f>
        <v>superior occipital gyrus</v>
      </c>
      <c r="D2523" s="42">
        <f>IFERROR(__xludf.DUMMYFUNCTION("""COMPUTED_VALUE"""),2405.0)</f>
        <v>2405</v>
      </c>
      <c r="E2523" s="39" t="str">
        <f>IFERROR(__xludf.DUMMYFUNCTION("""COMPUTED_VALUE"""),"superior occipital gyrus")</f>
        <v>superior occipital gyrus</v>
      </c>
      <c r="F2523" s="9" t="str">
        <f>IFERROR(__xludf.DUMMYFUNCTION("""COMPUTED_VALUE"""),"Br")</f>
        <v>Br</v>
      </c>
      <c r="G2523" s="9" t="str">
        <f>IFERROR(__xludf.DUMMYFUNCTION("""COMPUTED_VALUE"""),"F")</f>
        <v>F</v>
      </c>
      <c r="H2523" s="9" t="str">
        <f>IFERROR(__xludf.DUMMYFUNCTION("""COMPUTED_VALUE"""),"FSS")</f>
        <v>FSS</v>
      </c>
      <c r="I2523" s="9" t="str">
        <f>IFERROR(__xludf.DUMMYFUNCTION("""COMPUTED_VALUE"""),"CeG")</f>
        <v>CeG</v>
      </c>
      <c r="J2523" s="9" t="str">
        <f>IFERROR(__xludf.DUMMYFUNCTION("""COMPUTED_VALUE"""),"OccL")</f>
        <v>OccL</v>
      </c>
      <c r="K2523" s="9" t="str">
        <f>IFERROR(__xludf.DUMMYFUNCTION("""COMPUTED_VALUE"""),"SOG")</f>
        <v>SOG</v>
      </c>
      <c r="L2523" s="9"/>
      <c r="M2523" s="9"/>
      <c r="N2523" s="9"/>
      <c r="O2523" s="9"/>
      <c r="P2523" s="9"/>
      <c r="Q2523" s="9"/>
      <c r="R2523" s="9"/>
      <c r="S2523" s="42"/>
      <c r="T2523" s="42" t="str">
        <f>IFERROR(__xludf.DUMMYFUNCTION("""COMPUTED_VALUE"""),"gyrus")</f>
        <v>gyrus</v>
      </c>
      <c r="U2523" s="42" t="b">
        <f>IFERROR(__xludf.DUMMYFUNCTION("""COMPUTED_VALUE"""),FALSE)</f>
        <v>0</v>
      </c>
      <c r="V2523" s="42"/>
      <c r="W2523" s="42"/>
      <c r="X2523" s="42"/>
      <c r="Y2523" s="42"/>
      <c r="Z2523" s="42"/>
      <c r="AA2523" s="42"/>
      <c r="AB2523" s="42" t="str">
        <f>IFERROR(__xludf.DUMMYFUNCTION("""COMPUTED_VALUE"""),"allen institute")</f>
        <v>allen institute</v>
      </c>
      <c r="AC2523" s="42" t="str">
        <f>IFERROR(__xludf.DUMMYFUNCTION("""COMPUTED_VALUE"""),"DHBA")</f>
        <v>DHBA</v>
      </c>
      <c r="AD2523" s="42"/>
      <c r="AE2523" s="42"/>
      <c r="AF2523" s="9"/>
      <c r="AG2523" s="9"/>
      <c r="AH2523" s="42"/>
      <c r="AI2523" s="42"/>
      <c r="AJ2523" s="42"/>
      <c r="AK2523" s="42"/>
      <c r="AL2523" s="42"/>
      <c r="AM2523" s="42"/>
      <c r="AN2523" s="42"/>
      <c r="AO2523" s="63" t="str">
        <f>IFERROR(__xludf.DUMMYFUNCTION("IF(ISBLANK(A2523),,IF(ISBLANK(S2523), A2523&amp;"";"", TEXTJOIN(CHAR(10), TRUE, A2523&amp;"";"", ARRAYFORMULA(VLOOKUP(SPLIT(S2523, "";"" &amp; CHAR(10)), $A:$AO, 41, FALSE)))))"),"SOG;")</f>
        <v>SOG;</v>
      </c>
      <c r="AP2523" s="89"/>
    </row>
    <row r="2524">
      <c r="A2524" s="151" t="str">
        <f>IFERROR(__xludf.DUMMYFUNCTION("""COMPUTED_VALUE"""),"InL")</f>
        <v>InL</v>
      </c>
      <c r="B2524" s="42" t="str">
        <f>IFERROR(__xludf.DUMMYFUNCTION("""COMPUTED_VALUE"""),"DHBA")</f>
        <v>DHBA</v>
      </c>
      <c r="C2524" s="42" t="str">
        <f>IFERROR(__xludf.DUMMYFUNCTION("""COMPUTED_VALUE"""),"insular lobe")</f>
        <v>insular lobe</v>
      </c>
      <c r="D2524" s="42">
        <f>IFERROR(__xludf.DUMMYFUNCTION("""COMPUTED_VALUE"""),2406.0)</f>
        <v>2406</v>
      </c>
      <c r="E2524" s="39" t="str">
        <f>IFERROR(__xludf.DUMMYFUNCTION("""COMPUTED_VALUE"""),"insular lobe")</f>
        <v>insular lobe</v>
      </c>
      <c r="F2524" s="9" t="str">
        <f>IFERROR(__xludf.DUMMYFUNCTION("""COMPUTED_VALUE"""),"Br")</f>
        <v>Br</v>
      </c>
      <c r="G2524" s="9" t="str">
        <f>IFERROR(__xludf.DUMMYFUNCTION("""COMPUTED_VALUE"""),"F")</f>
        <v>F</v>
      </c>
      <c r="H2524" s="9" t="str">
        <f>IFERROR(__xludf.DUMMYFUNCTION("""COMPUTED_VALUE"""),"FSS")</f>
        <v>FSS</v>
      </c>
      <c r="I2524" s="9" t="str">
        <f>IFERROR(__xludf.DUMMYFUNCTION("""COMPUTED_VALUE"""),"CeG")</f>
        <v>CeG</v>
      </c>
      <c r="J2524" s="9" t="str">
        <f>IFERROR(__xludf.DUMMYFUNCTION("""COMPUTED_VALUE"""),"InL")</f>
        <v>InL</v>
      </c>
      <c r="K2524" s="9"/>
      <c r="L2524" s="9"/>
      <c r="M2524" s="9"/>
      <c r="N2524" s="9"/>
      <c r="O2524" s="9"/>
      <c r="P2524" s="9"/>
      <c r="Q2524" s="9"/>
      <c r="R2524" s="9"/>
      <c r="S2524" s="42" t="str">
        <f>IFERROR(__xludf.DUMMYFUNCTION("""COMPUTED_VALUE"""),"LIG;
SIG")</f>
        <v>LIG;
SIG</v>
      </c>
      <c r="T2524" s="42" t="str">
        <f>IFERROR(__xludf.DUMMYFUNCTION("""COMPUTED_VALUE"""),"lobe")</f>
        <v>lobe</v>
      </c>
      <c r="U2524" s="42" t="b">
        <f>IFERROR(__xludf.DUMMYFUNCTION("""COMPUTED_VALUE"""),FALSE)</f>
        <v>0</v>
      </c>
      <c r="V2524" s="42"/>
      <c r="W2524" s="42"/>
      <c r="X2524" s="42"/>
      <c r="Y2524" s="42"/>
      <c r="Z2524" s="42"/>
      <c r="AA2524" s="42"/>
      <c r="AB2524" s="42" t="str">
        <f>IFERROR(__xludf.DUMMYFUNCTION("""COMPUTED_VALUE"""),"allen institute")</f>
        <v>allen institute</v>
      </c>
      <c r="AC2524" s="42" t="str">
        <f>IFERROR(__xludf.DUMMYFUNCTION("""COMPUTED_VALUE"""),"DHBA")</f>
        <v>DHBA</v>
      </c>
      <c r="AD2524" s="42"/>
      <c r="AE2524" s="42"/>
      <c r="AF2524" s="9"/>
      <c r="AG2524" s="9"/>
      <c r="AH2524" s="42"/>
      <c r="AI2524" s="42"/>
      <c r="AJ2524" s="42"/>
      <c r="AK2524" s="42"/>
      <c r="AL2524" s="42"/>
      <c r="AM2524" s="42"/>
      <c r="AN2524" s="42"/>
      <c r="AO2524" s="63" t="str">
        <f>IFERROR(__xludf.DUMMYFUNCTION("IF(ISBLANK(A2524),,IF(ISBLANK(S2524), A2524&amp;"";"", TEXTJOIN(CHAR(10), TRUE, A2524&amp;"";"", ARRAYFORMULA(VLOOKUP(SPLIT(S2524, "";"" &amp; CHAR(10)), $A:$AO, 41, FALSE)))))"),"InL;
LiG;
SIG;")</f>
        <v>InL;
LiG;
SIG;</v>
      </c>
      <c r="AP2524" s="89"/>
    </row>
    <row r="2525">
      <c r="A2525" s="151" t="str">
        <f>IFERROR(__xludf.DUMMYFUNCTION("""COMPUTED_VALUE"""),"LIG")</f>
        <v>LIG</v>
      </c>
      <c r="B2525" s="42" t="str">
        <f>IFERROR(__xludf.DUMMYFUNCTION("""COMPUTED_VALUE"""),"DHBA")</f>
        <v>DHBA</v>
      </c>
      <c r="C2525" s="42" t="str">
        <f>IFERROR(__xludf.DUMMYFUNCTION("""COMPUTED_VALUE"""),"long insular gyri")</f>
        <v>long insular gyri</v>
      </c>
      <c r="D2525" s="42">
        <f>IFERROR(__xludf.DUMMYFUNCTION("""COMPUTED_VALUE"""),2407.0)</f>
        <v>2407</v>
      </c>
      <c r="E2525" s="39" t="str">
        <f>IFERROR(__xludf.DUMMYFUNCTION("""COMPUTED_VALUE"""),"long insular gyri")</f>
        <v>long insular gyri</v>
      </c>
      <c r="F2525" s="9" t="str">
        <f>IFERROR(__xludf.DUMMYFUNCTION("""COMPUTED_VALUE"""),"Br")</f>
        <v>Br</v>
      </c>
      <c r="G2525" s="9" t="str">
        <f>IFERROR(__xludf.DUMMYFUNCTION("""COMPUTED_VALUE"""),"F")</f>
        <v>F</v>
      </c>
      <c r="H2525" s="9" t="str">
        <f>IFERROR(__xludf.DUMMYFUNCTION("""COMPUTED_VALUE"""),"FSS")</f>
        <v>FSS</v>
      </c>
      <c r="I2525" s="9" t="str">
        <f>IFERROR(__xludf.DUMMYFUNCTION("""COMPUTED_VALUE"""),"CeG")</f>
        <v>CeG</v>
      </c>
      <c r="J2525" s="9" t="str">
        <f>IFERROR(__xludf.DUMMYFUNCTION("""COMPUTED_VALUE"""),"InL")</f>
        <v>InL</v>
      </c>
      <c r="K2525" s="9" t="str">
        <f>IFERROR(__xludf.DUMMYFUNCTION("""COMPUTED_VALUE"""),"LIG")</f>
        <v>LIG</v>
      </c>
      <c r="L2525" s="9"/>
      <c r="M2525" s="9"/>
      <c r="N2525" s="9"/>
      <c r="O2525" s="9"/>
      <c r="P2525" s="9"/>
      <c r="Q2525" s="9"/>
      <c r="R2525" s="9"/>
      <c r="S2525" s="42"/>
      <c r="T2525" s="42"/>
      <c r="U2525" s="159"/>
      <c r="V2525" s="42"/>
      <c r="W2525" s="42"/>
      <c r="X2525" s="42"/>
      <c r="Y2525" s="42"/>
      <c r="Z2525" s="42"/>
      <c r="AA2525" s="42"/>
      <c r="AB2525" s="42" t="str">
        <f>IFERROR(__xludf.DUMMYFUNCTION("""COMPUTED_VALUE"""),"allen institute")</f>
        <v>allen institute</v>
      </c>
      <c r="AC2525" s="42" t="str">
        <f>IFERROR(__xludf.DUMMYFUNCTION("""COMPUTED_VALUE"""),"DHBA")</f>
        <v>DHBA</v>
      </c>
      <c r="AD2525" s="42"/>
      <c r="AE2525" s="42"/>
      <c r="AF2525" s="9"/>
      <c r="AG2525" s="9"/>
      <c r="AH2525" s="42"/>
      <c r="AI2525" s="42"/>
      <c r="AJ2525" s="42"/>
      <c r="AK2525" s="42"/>
      <c r="AL2525" s="42"/>
      <c r="AM2525" s="42"/>
      <c r="AN2525" s="42"/>
      <c r="AO2525" s="63" t="str">
        <f>IFERROR(__xludf.DUMMYFUNCTION("IF(ISBLANK(A2525),,IF(ISBLANK(S2525), A2525&amp;"";"", TEXTJOIN(CHAR(10), TRUE, A2525&amp;"";"", ARRAYFORMULA(VLOOKUP(SPLIT(S2525, "";"" &amp; CHAR(10)), $A:$AO, 41, FALSE)))))"),"LIG;")</f>
        <v>LIG;</v>
      </c>
      <c r="AP2525" s="89"/>
    </row>
    <row r="2526">
      <c r="A2526" s="151" t="str">
        <f>IFERROR(__xludf.DUMMYFUNCTION("""COMPUTED_VALUE"""),"SIG")</f>
        <v>SIG</v>
      </c>
      <c r="B2526" s="42" t="str">
        <f>IFERROR(__xludf.DUMMYFUNCTION("""COMPUTED_VALUE"""),"DHBA")</f>
        <v>DHBA</v>
      </c>
      <c r="C2526" s="42" t="str">
        <f>IFERROR(__xludf.DUMMYFUNCTION("""COMPUTED_VALUE"""),"short insular gyri")</f>
        <v>short insular gyri</v>
      </c>
      <c r="D2526" s="42">
        <f>IFERROR(__xludf.DUMMYFUNCTION("""COMPUTED_VALUE"""),2408.0)</f>
        <v>2408</v>
      </c>
      <c r="E2526" s="39" t="str">
        <f>IFERROR(__xludf.DUMMYFUNCTION("""COMPUTED_VALUE"""),"short insular gyri")</f>
        <v>short insular gyri</v>
      </c>
      <c r="F2526" s="9" t="str">
        <f>IFERROR(__xludf.DUMMYFUNCTION("""COMPUTED_VALUE"""),"Br")</f>
        <v>Br</v>
      </c>
      <c r="G2526" s="9" t="str">
        <f>IFERROR(__xludf.DUMMYFUNCTION("""COMPUTED_VALUE"""),"F")</f>
        <v>F</v>
      </c>
      <c r="H2526" s="9" t="str">
        <f>IFERROR(__xludf.DUMMYFUNCTION("""COMPUTED_VALUE"""),"FSS")</f>
        <v>FSS</v>
      </c>
      <c r="I2526" s="9" t="str">
        <f>IFERROR(__xludf.DUMMYFUNCTION("""COMPUTED_VALUE"""),"CeG")</f>
        <v>CeG</v>
      </c>
      <c r="J2526" s="9" t="str">
        <f>IFERROR(__xludf.DUMMYFUNCTION("""COMPUTED_VALUE"""),"InL")</f>
        <v>InL</v>
      </c>
      <c r="K2526" s="9" t="str">
        <f>IFERROR(__xludf.DUMMYFUNCTION("""COMPUTED_VALUE"""),"SIG")</f>
        <v>SIG</v>
      </c>
      <c r="L2526" s="9"/>
      <c r="M2526" s="9"/>
      <c r="N2526" s="9"/>
      <c r="O2526" s="9"/>
      <c r="P2526" s="9"/>
      <c r="Q2526" s="9"/>
      <c r="R2526" s="9"/>
      <c r="S2526" s="42"/>
      <c r="T2526" s="42" t="str">
        <f>IFERROR(__xludf.DUMMYFUNCTION("""COMPUTED_VALUE"""),"gyrus")</f>
        <v>gyrus</v>
      </c>
      <c r="U2526" s="159" t="b">
        <f>IFERROR(__xludf.DUMMYFUNCTION("""COMPUTED_VALUE"""),FALSE)</f>
        <v>0</v>
      </c>
      <c r="V2526" s="42"/>
      <c r="W2526" s="42"/>
      <c r="X2526" s="42"/>
      <c r="Y2526" s="42"/>
      <c r="Z2526" s="42"/>
      <c r="AA2526" s="42"/>
      <c r="AB2526" s="42" t="str">
        <f>IFERROR(__xludf.DUMMYFUNCTION("""COMPUTED_VALUE"""),"allen institute")</f>
        <v>allen institute</v>
      </c>
      <c r="AC2526" s="42" t="str">
        <f>IFERROR(__xludf.DUMMYFUNCTION("""COMPUTED_VALUE"""),"DHBA")</f>
        <v>DHBA</v>
      </c>
      <c r="AD2526" s="42"/>
      <c r="AE2526" s="42"/>
      <c r="AF2526" s="9"/>
      <c r="AG2526" s="9"/>
      <c r="AH2526" s="42"/>
      <c r="AI2526" s="42"/>
      <c r="AJ2526" s="42"/>
      <c r="AK2526" s="42"/>
      <c r="AL2526" s="42"/>
      <c r="AM2526" s="42"/>
      <c r="AN2526" s="42"/>
      <c r="AO2526" s="63" t="str">
        <f>IFERROR(__xludf.DUMMYFUNCTION("IF(ISBLANK(A2526),,IF(ISBLANK(S2526), A2526&amp;"";"", TEXTJOIN(CHAR(10), TRUE, A2526&amp;"";"", ARRAYFORMULA(VLOOKUP(SPLIT(S2526, "";"" &amp; CHAR(10)), $A:$AO, 41, FALSE)))))"),"SIG;")</f>
        <v>SIG;</v>
      </c>
      <c r="AP2526" s="89"/>
    </row>
    <row r="2527">
      <c r="A2527" s="151" t="str">
        <f>IFERROR(__xludf.DUMMYFUNCTION("""COMPUTED_VALUE"""),"LimL")</f>
        <v>LimL</v>
      </c>
      <c r="B2527" s="42" t="str">
        <f>IFERROR(__xludf.DUMMYFUNCTION("""COMPUTED_VALUE"""),"DHBA")</f>
        <v>DHBA</v>
      </c>
      <c r="C2527" s="42" t="str">
        <f>IFERROR(__xludf.DUMMYFUNCTION("""COMPUTED_VALUE"""),"limbic lobe")</f>
        <v>limbic lobe</v>
      </c>
      <c r="D2527" s="42">
        <f>IFERROR(__xludf.DUMMYFUNCTION("""COMPUTED_VALUE"""),2409.0)</f>
        <v>2409</v>
      </c>
      <c r="E2527" s="39" t="str">
        <f>IFERROR(__xludf.DUMMYFUNCTION("""COMPUTED_VALUE"""),"limbic lobe")</f>
        <v>limbic lobe</v>
      </c>
      <c r="F2527" s="9" t="str">
        <f>IFERROR(__xludf.DUMMYFUNCTION("""COMPUTED_VALUE"""),"Br")</f>
        <v>Br</v>
      </c>
      <c r="G2527" s="9" t="str">
        <f>IFERROR(__xludf.DUMMYFUNCTION("""COMPUTED_VALUE"""),"F")</f>
        <v>F</v>
      </c>
      <c r="H2527" s="9" t="str">
        <f>IFERROR(__xludf.DUMMYFUNCTION("""COMPUTED_VALUE"""),"FSS")</f>
        <v>FSS</v>
      </c>
      <c r="I2527" s="9" t="str">
        <f>IFERROR(__xludf.DUMMYFUNCTION("""COMPUTED_VALUE"""),"CeG")</f>
        <v>CeG</v>
      </c>
      <c r="J2527" s="9" t="str">
        <f>IFERROR(__xludf.DUMMYFUNCTION("""COMPUTED_VALUE"""),"LimL")</f>
        <v>LimL</v>
      </c>
      <c r="K2527" s="9"/>
      <c r="L2527" s="9"/>
      <c r="M2527" s="9"/>
      <c r="N2527" s="9"/>
      <c r="O2527" s="9"/>
      <c r="P2527" s="9"/>
      <c r="Q2527" s="9"/>
      <c r="R2527" s="9"/>
      <c r="S2527" s="42" t="str">
        <f>IFERROR(__xludf.DUMMYFUNCTION("""COMPUTED_VALUE"""),"CgG;
IsCPH;
SCG;
PTG;
PHG;
HiF;
PrPir")</f>
        <v>CgG;
IsCPH;
SCG;
PTG;
PHG;
HiF;
PrPir</v>
      </c>
      <c r="T2527" s="42" t="str">
        <f>IFERROR(__xludf.DUMMYFUNCTION("""COMPUTED_VALUE"""),"lobe")</f>
        <v>lobe</v>
      </c>
      <c r="U2527" s="42" t="b">
        <f>IFERROR(__xludf.DUMMYFUNCTION("""COMPUTED_VALUE"""),FALSE)</f>
        <v>0</v>
      </c>
      <c r="V2527" s="42"/>
      <c r="W2527" s="42"/>
      <c r="X2527" s="42"/>
      <c r="Y2527" s="42"/>
      <c r="Z2527" s="42"/>
      <c r="AA2527" s="42"/>
      <c r="AB2527" s="42" t="str">
        <f>IFERROR(__xludf.DUMMYFUNCTION("""COMPUTED_VALUE"""),"allen institute")</f>
        <v>allen institute</v>
      </c>
      <c r="AC2527" s="42" t="str">
        <f>IFERROR(__xludf.DUMMYFUNCTION("""COMPUTED_VALUE"""),"DHBA")</f>
        <v>DHBA</v>
      </c>
      <c r="AD2527" s="42"/>
      <c r="AE2527" s="42"/>
      <c r="AF2527" s="9"/>
      <c r="AG2527" s="9"/>
      <c r="AH2527" s="42"/>
      <c r="AI2527" s="42"/>
      <c r="AJ2527" s="42"/>
      <c r="AK2527" s="42"/>
      <c r="AL2527" s="42"/>
      <c r="AM2527" s="42"/>
      <c r="AN2527" s="42"/>
      <c r="AO2527" s="63" t="str">
        <f>IFERROR(__xludf.DUMMYFUNCTION("IF(ISBLANK(A2527),,IF(ISBLANK(S2527), A2527&amp;"";"", TEXTJOIN(CHAR(10), TRUE, A2527&amp;"";"", ARRAYFORMULA(VLOOKUP(SPLIT(S2527, "";"" &amp; CHAR(10)), $A:$AO, 41, FALSE)))))"),"LimL;
CgG;
CgGr;
CgGc;
CgGrs;
IsCPH;
ScG;
ptg;
PHG;
APH;
PPH;
UN;
AG;
BG;
ILG;
SLG;
HiF;
HiH;
HiD;
HiB;
HiT;
FaG;
Retz;
Subx;
PrPir;")</f>
        <v>LimL;
CgG;
CgGr;
CgGc;
CgGrs;
IsCPH;
ScG;
ptg;
PHG;
APH;
PPH;
UN;
AG;
BG;
ILG;
SLG;
HiF;
HiH;
HiD;
HiB;
HiT;
FaG;
Retz;
Subx;
PrPir;</v>
      </c>
      <c r="AP2527" s="89"/>
    </row>
    <row r="2528">
      <c r="A2528" s="151" t="str">
        <f>IFERROR(__xludf.DUMMYFUNCTION("""COMPUTED_VALUE"""),"CgG")</f>
        <v>CgG</v>
      </c>
      <c r="B2528" s="42" t="str">
        <f>IFERROR(__xludf.DUMMYFUNCTION("""COMPUTED_VALUE"""),"DHBA")</f>
        <v>DHBA</v>
      </c>
      <c r="C2528" s="42" t="str">
        <f>IFERROR(__xludf.DUMMYFUNCTION("""COMPUTED_VALUE"""),"cingulate gyrus")</f>
        <v>cingulate gyrus</v>
      </c>
      <c r="D2528" s="42">
        <f>IFERROR(__xludf.DUMMYFUNCTION("""COMPUTED_VALUE"""),2410.0)</f>
        <v>2410</v>
      </c>
      <c r="E2528" s="39" t="str">
        <f>IFERROR(__xludf.DUMMYFUNCTION("""COMPUTED_VALUE"""),"cingulate gyrus")</f>
        <v>cingulate gyrus</v>
      </c>
      <c r="F2528" s="9" t="str">
        <f>IFERROR(__xludf.DUMMYFUNCTION("""COMPUTED_VALUE"""),"Br")</f>
        <v>Br</v>
      </c>
      <c r="G2528" s="9" t="str">
        <f>IFERROR(__xludf.DUMMYFUNCTION("""COMPUTED_VALUE"""),"F")</f>
        <v>F</v>
      </c>
      <c r="H2528" s="9" t="str">
        <f>IFERROR(__xludf.DUMMYFUNCTION("""COMPUTED_VALUE"""),"FSS")</f>
        <v>FSS</v>
      </c>
      <c r="I2528" s="9" t="str">
        <f>IFERROR(__xludf.DUMMYFUNCTION("""COMPUTED_VALUE"""),"CeG")</f>
        <v>CeG</v>
      </c>
      <c r="J2528" s="9" t="str">
        <f>IFERROR(__xludf.DUMMYFUNCTION("""COMPUTED_VALUE"""),"LimL")</f>
        <v>LimL</v>
      </c>
      <c r="K2528" s="9" t="str">
        <f>IFERROR(__xludf.DUMMYFUNCTION("""COMPUTED_VALUE"""),"CgG")</f>
        <v>CgG</v>
      </c>
      <c r="L2528" s="9"/>
      <c r="M2528" s="9"/>
      <c r="N2528" s="9"/>
      <c r="O2528" s="9"/>
      <c r="P2528" s="9"/>
      <c r="Q2528" s="9"/>
      <c r="R2528" s="9"/>
      <c r="S2528" s="42" t="str">
        <f>IFERROR(__xludf.DUMMYFUNCTION("""COMPUTED_VALUE"""),"CgGr;
CgGc;
CgGrs")</f>
        <v>CgGr;
CgGc;
CgGrs</v>
      </c>
      <c r="T2528" s="42" t="str">
        <f>IFERROR(__xludf.DUMMYFUNCTION("""COMPUTED_VALUE"""),"gyrus")</f>
        <v>gyrus</v>
      </c>
      <c r="U2528" s="42" t="b">
        <f>IFERROR(__xludf.DUMMYFUNCTION("""COMPUTED_VALUE"""),FALSE)</f>
        <v>0</v>
      </c>
      <c r="V2528" s="42"/>
      <c r="W2528" s="42"/>
      <c r="X2528" s="42"/>
      <c r="Y2528" s="42"/>
      <c r="Z2528" s="42"/>
      <c r="AA2528" s="42"/>
      <c r="AB2528" s="42" t="str">
        <f>IFERROR(__xludf.DUMMYFUNCTION("""COMPUTED_VALUE"""),"allen institute")</f>
        <v>allen institute</v>
      </c>
      <c r="AC2528" s="42" t="str">
        <f>IFERROR(__xludf.DUMMYFUNCTION("""COMPUTED_VALUE"""),"DHBA")</f>
        <v>DHBA</v>
      </c>
      <c r="AD2528" s="42"/>
      <c r="AE2528" s="42"/>
      <c r="AF2528" s="9"/>
      <c r="AG2528" s="9"/>
      <c r="AH2528" s="42"/>
      <c r="AI2528" s="42"/>
      <c r="AJ2528" s="42"/>
      <c r="AK2528" s="42"/>
      <c r="AL2528" s="42"/>
      <c r="AM2528" s="42"/>
      <c r="AN2528" s="42"/>
      <c r="AO2528" s="63" t="str">
        <f>IFERROR(__xludf.DUMMYFUNCTION("IF(ISBLANK(A2528),,IF(ISBLANK(S2528), A2528&amp;"";"", TEXTJOIN(CHAR(10), TRUE, A2528&amp;"";"", ARRAYFORMULA(VLOOKUP(SPLIT(S2528, "";"" &amp; CHAR(10)), $A:$AO, 41, FALSE)))))"),"CgG;
CgGr;
CgGc;
CgGrs;")</f>
        <v>CgG;
CgGr;
CgGc;
CgGrs;</v>
      </c>
      <c r="AP2528" s="89"/>
    </row>
    <row r="2529">
      <c r="A2529" s="151" t="str">
        <f>IFERROR(__xludf.DUMMYFUNCTION("""COMPUTED_VALUE"""),"CgGr")</f>
        <v>CgGr</v>
      </c>
      <c r="B2529" s="42" t="str">
        <f>IFERROR(__xludf.DUMMYFUNCTION("""COMPUTED_VALUE"""),"DHBA")</f>
        <v>DHBA</v>
      </c>
      <c r="C2529" s="42" t="str">
        <f>IFERROR(__xludf.DUMMYFUNCTION("""COMPUTED_VALUE"""),"cingulate gyrus, rostral (anterior) part")</f>
        <v>cingulate gyrus, rostral (anterior) part</v>
      </c>
      <c r="D2529" s="42">
        <f>IFERROR(__xludf.DUMMYFUNCTION("""COMPUTED_VALUE"""),2411.0)</f>
        <v>2411</v>
      </c>
      <c r="E2529" s="39" t="str">
        <f>IFERROR(__xludf.DUMMYFUNCTION("""COMPUTED_VALUE"""),"cingulate gyrus, rostral (anterior) part")</f>
        <v>cingulate gyrus, rostral (anterior) part</v>
      </c>
      <c r="F2529" s="9" t="str">
        <f>IFERROR(__xludf.DUMMYFUNCTION("""COMPUTED_VALUE"""),"Br")</f>
        <v>Br</v>
      </c>
      <c r="G2529" s="9" t="str">
        <f>IFERROR(__xludf.DUMMYFUNCTION("""COMPUTED_VALUE"""),"F")</f>
        <v>F</v>
      </c>
      <c r="H2529" s="9" t="str">
        <f>IFERROR(__xludf.DUMMYFUNCTION("""COMPUTED_VALUE"""),"FSS")</f>
        <v>FSS</v>
      </c>
      <c r="I2529" s="9" t="str">
        <f>IFERROR(__xludf.DUMMYFUNCTION("""COMPUTED_VALUE"""),"CeG")</f>
        <v>CeG</v>
      </c>
      <c r="J2529" s="9" t="str">
        <f>IFERROR(__xludf.DUMMYFUNCTION("""COMPUTED_VALUE"""),"LimL")</f>
        <v>LimL</v>
      </c>
      <c r="K2529" s="9" t="str">
        <f>IFERROR(__xludf.DUMMYFUNCTION("""COMPUTED_VALUE"""),"CgG")</f>
        <v>CgG</v>
      </c>
      <c r="L2529" s="9" t="str">
        <f>IFERROR(__xludf.DUMMYFUNCTION("""COMPUTED_VALUE"""),"CgGr")</f>
        <v>CgGr</v>
      </c>
      <c r="M2529" s="9"/>
      <c r="N2529" s="9"/>
      <c r="O2529" s="9"/>
      <c r="P2529" s="9"/>
      <c r="Q2529" s="9"/>
      <c r="R2529" s="9"/>
      <c r="S2529" s="42"/>
      <c r="T2529" s="42" t="str">
        <f>IFERROR(__xludf.DUMMYFUNCTION("""COMPUTED_VALUE"""),"gyrus")</f>
        <v>gyrus</v>
      </c>
      <c r="U2529" s="42" t="b">
        <f>IFERROR(__xludf.DUMMYFUNCTION("""COMPUTED_VALUE"""),FALSE)</f>
        <v>0</v>
      </c>
      <c r="V2529" s="42"/>
      <c r="W2529" s="42"/>
      <c r="X2529" s="42"/>
      <c r="Y2529" s="42"/>
      <c r="Z2529" s="42"/>
      <c r="AA2529" s="42"/>
      <c r="AB2529" s="42" t="str">
        <f>IFERROR(__xludf.DUMMYFUNCTION("""COMPUTED_VALUE"""),"allen institute")</f>
        <v>allen institute</v>
      </c>
      <c r="AC2529" s="42" t="str">
        <f>IFERROR(__xludf.DUMMYFUNCTION("""COMPUTED_VALUE"""),"DHBA")</f>
        <v>DHBA</v>
      </c>
      <c r="AD2529" s="42"/>
      <c r="AE2529" s="42"/>
      <c r="AF2529" s="9"/>
      <c r="AG2529" s="9"/>
      <c r="AH2529" s="42"/>
      <c r="AI2529" s="42"/>
      <c r="AJ2529" s="42"/>
      <c r="AK2529" s="42"/>
      <c r="AL2529" s="42"/>
      <c r="AM2529" s="42"/>
      <c r="AN2529" s="42"/>
      <c r="AO2529" s="63" t="str">
        <f>IFERROR(__xludf.DUMMYFUNCTION("IF(ISBLANK(A2529),,IF(ISBLANK(S2529), A2529&amp;"";"", TEXTJOIN(CHAR(10), TRUE, A2529&amp;"";"", ARRAYFORMULA(VLOOKUP(SPLIT(S2529, "";"" &amp; CHAR(10)), $A:$AO, 41, FALSE)))))"),"CgGr;")</f>
        <v>CgGr;</v>
      </c>
      <c r="AP2529" s="89"/>
    </row>
    <row r="2530">
      <c r="A2530" s="151" t="str">
        <f>IFERROR(__xludf.DUMMYFUNCTION("""COMPUTED_VALUE"""),"CgGc")</f>
        <v>CgGc</v>
      </c>
      <c r="B2530" s="42" t="str">
        <f>IFERROR(__xludf.DUMMYFUNCTION("""COMPUTED_VALUE"""),"DHBA")</f>
        <v>DHBA</v>
      </c>
      <c r="C2530" s="42" t="str">
        <f>IFERROR(__xludf.DUMMYFUNCTION("""COMPUTED_VALUE"""),"cingulate gyrus, caudal (posterior) part")</f>
        <v>cingulate gyrus, caudal (posterior) part</v>
      </c>
      <c r="D2530" s="42">
        <f>IFERROR(__xludf.DUMMYFUNCTION("""COMPUTED_VALUE"""),2412.0)</f>
        <v>2412</v>
      </c>
      <c r="E2530" s="39" t="str">
        <f>IFERROR(__xludf.DUMMYFUNCTION("""COMPUTED_VALUE"""),"cingulate gyrus, caudal (posterior) part")</f>
        <v>cingulate gyrus, caudal (posterior) part</v>
      </c>
      <c r="F2530" s="9" t="str">
        <f>IFERROR(__xludf.DUMMYFUNCTION("""COMPUTED_VALUE"""),"Br")</f>
        <v>Br</v>
      </c>
      <c r="G2530" s="9" t="str">
        <f>IFERROR(__xludf.DUMMYFUNCTION("""COMPUTED_VALUE"""),"F")</f>
        <v>F</v>
      </c>
      <c r="H2530" s="9" t="str">
        <f>IFERROR(__xludf.DUMMYFUNCTION("""COMPUTED_VALUE"""),"FSS")</f>
        <v>FSS</v>
      </c>
      <c r="I2530" s="9" t="str">
        <f>IFERROR(__xludf.DUMMYFUNCTION("""COMPUTED_VALUE"""),"CeG")</f>
        <v>CeG</v>
      </c>
      <c r="J2530" s="9" t="str">
        <f>IFERROR(__xludf.DUMMYFUNCTION("""COMPUTED_VALUE"""),"LimL")</f>
        <v>LimL</v>
      </c>
      <c r="K2530" s="9" t="str">
        <f>IFERROR(__xludf.DUMMYFUNCTION("""COMPUTED_VALUE"""),"CgG")</f>
        <v>CgG</v>
      </c>
      <c r="L2530" s="9" t="str">
        <f>IFERROR(__xludf.DUMMYFUNCTION("""COMPUTED_VALUE"""),"CgGc")</f>
        <v>CgGc</v>
      </c>
      <c r="M2530" s="9"/>
      <c r="N2530" s="9"/>
      <c r="O2530" s="9"/>
      <c r="P2530" s="9"/>
      <c r="Q2530" s="9"/>
      <c r="R2530" s="9"/>
      <c r="S2530" s="42"/>
      <c r="T2530" s="42" t="str">
        <f>IFERROR(__xludf.DUMMYFUNCTION("""COMPUTED_VALUE"""),"gyrus")</f>
        <v>gyrus</v>
      </c>
      <c r="U2530" s="159" t="b">
        <f>IFERROR(__xludf.DUMMYFUNCTION("""COMPUTED_VALUE"""),FALSE)</f>
        <v>0</v>
      </c>
      <c r="V2530" s="42"/>
      <c r="W2530" s="42"/>
      <c r="X2530" s="42"/>
      <c r="Y2530" s="42"/>
      <c r="Z2530" s="42"/>
      <c r="AA2530" s="42"/>
      <c r="AB2530" s="42" t="str">
        <f>IFERROR(__xludf.DUMMYFUNCTION("""COMPUTED_VALUE"""),"allen institute")</f>
        <v>allen institute</v>
      </c>
      <c r="AC2530" s="42" t="str">
        <f>IFERROR(__xludf.DUMMYFUNCTION("""COMPUTED_VALUE"""),"DHBA")</f>
        <v>DHBA</v>
      </c>
      <c r="AD2530" s="42"/>
      <c r="AE2530" s="42"/>
      <c r="AF2530" s="9"/>
      <c r="AG2530" s="9"/>
      <c r="AH2530" s="42"/>
      <c r="AI2530" s="42"/>
      <c r="AJ2530" s="42"/>
      <c r="AK2530" s="42"/>
      <c r="AL2530" s="42"/>
      <c r="AM2530" s="42"/>
      <c r="AN2530" s="42"/>
      <c r="AO2530" s="63" t="str">
        <f>IFERROR(__xludf.DUMMYFUNCTION("IF(ISBLANK(A2530),,IF(ISBLANK(S2530), A2530&amp;"";"", TEXTJOIN(CHAR(10), TRUE, A2530&amp;"";"", ARRAYFORMULA(VLOOKUP(SPLIT(S2530, "";"" &amp; CHAR(10)), $A:$AO, 41, FALSE)))))"),"CgGc;")</f>
        <v>CgGc;</v>
      </c>
      <c r="AP2530" s="89"/>
    </row>
    <row r="2531">
      <c r="A2531" s="151" t="str">
        <f>IFERROR(__xludf.DUMMYFUNCTION("""COMPUTED_VALUE"""),"CgGrs")</f>
        <v>CgGrs</v>
      </c>
      <c r="B2531" s="42" t="str">
        <f>IFERROR(__xludf.DUMMYFUNCTION("""COMPUTED_VALUE"""),"DHBA")</f>
        <v>DHBA</v>
      </c>
      <c r="C2531" s="42" t="str">
        <f>IFERROR(__xludf.DUMMYFUNCTION("""COMPUTED_VALUE"""),"cingulate gyrus, retrospleninal part")</f>
        <v>cingulate gyrus, retrospleninal part</v>
      </c>
      <c r="D2531" s="42">
        <f>IFERROR(__xludf.DUMMYFUNCTION("""COMPUTED_VALUE"""),2413.0)</f>
        <v>2413</v>
      </c>
      <c r="E2531" s="39" t="str">
        <f>IFERROR(__xludf.DUMMYFUNCTION("""COMPUTED_VALUE"""),"cingulate gyrus, retrospleninal part")</f>
        <v>cingulate gyrus, retrospleninal part</v>
      </c>
      <c r="F2531" s="9" t="str">
        <f>IFERROR(__xludf.DUMMYFUNCTION("""COMPUTED_VALUE"""),"Br")</f>
        <v>Br</v>
      </c>
      <c r="G2531" s="9" t="str">
        <f>IFERROR(__xludf.DUMMYFUNCTION("""COMPUTED_VALUE"""),"F")</f>
        <v>F</v>
      </c>
      <c r="H2531" s="9" t="str">
        <f>IFERROR(__xludf.DUMMYFUNCTION("""COMPUTED_VALUE"""),"FSS")</f>
        <v>FSS</v>
      </c>
      <c r="I2531" s="9" t="str">
        <f>IFERROR(__xludf.DUMMYFUNCTION("""COMPUTED_VALUE"""),"CeG")</f>
        <v>CeG</v>
      </c>
      <c r="J2531" s="9" t="str">
        <f>IFERROR(__xludf.DUMMYFUNCTION("""COMPUTED_VALUE"""),"LimL")</f>
        <v>LimL</v>
      </c>
      <c r="K2531" s="9" t="str">
        <f>IFERROR(__xludf.DUMMYFUNCTION("""COMPUTED_VALUE"""),"CgG")</f>
        <v>CgG</v>
      </c>
      <c r="L2531" s="9" t="str">
        <f>IFERROR(__xludf.DUMMYFUNCTION("""COMPUTED_VALUE"""),"CgGrs")</f>
        <v>CgGrs</v>
      </c>
      <c r="M2531" s="9"/>
      <c r="N2531" s="9"/>
      <c r="O2531" s="9"/>
      <c r="P2531" s="9"/>
      <c r="Q2531" s="9"/>
      <c r="R2531" s="9"/>
      <c r="S2531" s="42"/>
      <c r="T2531" s="42" t="str">
        <f>IFERROR(__xludf.DUMMYFUNCTION("""COMPUTED_VALUE"""),"gyrus")</f>
        <v>gyrus</v>
      </c>
      <c r="U2531" s="42" t="b">
        <f>IFERROR(__xludf.DUMMYFUNCTION("""COMPUTED_VALUE"""),FALSE)</f>
        <v>0</v>
      </c>
      <c r="V2531" s="42"/>
      <c r="W2531" s="42"/>
      <c r="X2531" s="42"/>
      <c r="Y2531" s="42"/>
      <c r="Z2531" s="42"/>
      <c r="AA2531" s="42"/>
      <c r="AB2531" s="42" t="str">
        <f>IFERROR(__xludf.DUMMYFUNCTION("""COMPUTED_VALUE"""),"allen institute")</f>
        <v>allen institute</v>
      </c>
      <c r="AC2531" s="42" t="str">
        <f>IFERROR(__xludf.DUMMYFUNCTION("""COMPUTED_VALUE"""),"DHBA")</f>
        <v>DHBA</v>
      </c>
      <c r="AD2531" s="42"/>
      <c r="AE2531" s="42"/>
      <c r="AF2531" s="9"/>
      <c r="AG2531" s="9"/>
      <c r="AH2531" s="42"/>
      <c r="AI2531" s="42"/>
      <c r="AJ2531" s="42"/>
      <c r="AK2531" s="42"/>
      <c r="AL2531" s="42"/>
      <c r="AM2531" s="42"/>
      <c r="AN2531" s="42"/>
      <c r="AO2531" s="63" t="str">
        <f>IFERROR(__xludf.DUMMYFUNCTION("IF(ISBLANK(A2531),,IF(ISBLANK(S2531), A2531&amp;"";"", TEXTJOIN(CHAR(10), TRUE, A2531&amp;"";"", ARRAYFORMULA(VLOOKUP(SPLIT(S2531, "";"" &amp; CHAR(10)), $A:$AO, 41, FALSE)))))"),"CgGrs;")</f>
        <v>CgGrs;</v>
      </c>
      <c r="AP2531" s="89"/>
    </row>
    <row r="2532">
      <c r="A2532" s="151" t="str">
        <f>IFERROR(__xludf.DUMMYFUNCTION("""COMPUTED_VALUE"""),"IsCPH")</f>
        <v>IsCPH</v>
      </c>
      <c r="B2532" s="42" t="str">
        <f>IFERROR(__xludf.DUMMYFUNCTION("""COMPUTED_VALUE"""),"DHBA")</f>
        <v>DHBA</v>
      </c>
      <c r="C2532" s="42" t="str">
        <f>IFERROR(__xludf.DUMMYFUNCTION("""COMPUTED_VALUE"""),"cingulo-parahippocampal isthmus")</f>
        <v>cingulo-parahippocampal isthmus</v>
      </c>
      <c r="D2532" s="42">
        <f>IFERROR(__xludf.DUMMYFUNCTION("""COMPUTED_VALUE"""),2414.0)</f>
        <v>2414</v>
      </c>
      <c r="E2532" s="39" t="str">
        <f>IFERROR(__xludf.DUMMYFUNCTION("""COMPUTED_VALUE"""),"cingulo-parahippocampal isthmus")</f>
        <v>cingulo-parahippocampal isthmus</v>
      </c>
      <c r="F2532" s="9" t="str">
        <f>IFERROR(__xludf.DUMMYFUNCTION("""COMPUTED_VALUE"""),"Br")</f>
        <v>Br</v>
      </c>
      <c r="G2532" s="9" t="str">
        <f>IFERROR(__xludf.DUMMYFUNCTION("""COMPUTED_VALUE"""),"F")</f>
        <v>F</v>
      </c>
      <c r="H2532" s="9" t="str">
        <f>IFERROR(__xludf.DUMMYFUNCTION("""COMPUTED_VALUE"""),"FSS")</f>
        <v>FSS</v>
      </c>
      <c r="I2532" s="9" t="str">
        <f>IFERROR(__xludf.DUMMYFUNCTION("""COMPUTED_VALUE"""),"CeG")</f>
        <v>CeG</v>
      </c>
      <c r="J2532" s="9" t="str">
        <f>IFERROR(__xludf.DUMMYFUNCTION("""COMPUTED_VALUE"""),"LimL")</f>
        <v>LimL</v>
      </c>
      <c r="K2532" s="9" t="str">
        <f>IFERROR(__xludf.DUMMYFUNCTION("""COMPUTED_VALUE"""),"IsCPH")</f>
        <v>IsCPH</v>
      </c>
      <c r="L2532" s="9"/>
      <c r="M2532" s="9"/>
      <c r="N2532" s="9"/>
      <c r="O2532" s="9"/>
      <c r="P2532" s="9"/>
      <c r="Q2532" s="9"/>
      <c r="R2532" s="9"/>
      <c r="S2532" s="42"/>
      <c r="T2532" s="42"/>
      <c r="U2532" s="42"/>
      <c r="V2532" s="42"/>
      <c r="W2532" s="42"/>
      <c r="X2532" s="42"/>
      <c r="Y2532" s="42"/>
      <c r="Z2532" s="42"/>
      <c r="AA2532" s="42"/>
      <c r="AB2532" s="42" t="str">
        <f>IFERROR(__xludf.DUMMYFUNCTION("""COMPUTED_VALUE"""),"allen institute")</f>
        <v>allen institute</v>
      </c>
      <c r="AC2532" s="42" t="str">
        <f>IFERROR(__xludf.DUMMYFUNCTION("""COMPUTED_VALUE"""),"DHBA")</f>
        <v>DHBA</v>
      </c>
      <c r="AD2532" s="42"/>
      <c r="AE2532" s="42"/>
      <c r="AF2532" s="9"/>
      <c r="AG2532" s="9"/>
      <c r="AH2532" s="42"/>
      <c r="AI2532" s="42"/>
      <c r="AJ2532" s="42"/>
      <c r="AK2532" s="42"/>
      <c r="AL2532" s="42"/>
      <c r="AM2532" s="42"/>
      <c r="AN2532" s="42"/>
      <c r="AO2532" s="63" t="str">
        <f>IFERROR(__xludf.DUMMYFUNCTION("IF(ISBLANK(A2532),,IF(ISBLANK(S2532), A2532&amp;"";"", TEXTJOIN(CHAR(10), TRUE, A2532&amp;"";"", ARRAYFORMULA(VLOOKUP(SPLIT(S2532, "";"" &amp; CHAR(10)), $A:$AO, 41, FALSE)))))"),"IsCPH;")</f>
        <v>IsCPH;</v>
      </c>
      <c r="AP2532" s="89"/>
    </row>
    <row r="2533">
      <c r="A2533" s="151" t="str">
        <f>IFERROR(__xludf.DUMMYFUNCTION("""COMPUTED_VALUE"""),"SCG")</f>
        <v>SCG</v>
      </c>
      <c r="B2533" s="42" t="str">
        <f>IFERROR(__xludf.DUMMYFUNCTION("""COMPUTED_VALUE"""),"DHBA")</f>
        <v>DHBA</v>
      </c>
      <c r="C2533" s="42" t="str">
        <f>IFERROR(__xludf.DUMMYFUNCTION("""COMPUTED_VALUE"""),"subcallosal gyrus (parolfactory gyrus)")</f>
        <v>subcallosal gyrus (parolfactory gyrus)</v>
      </c>
      <c r="D2533" s="42">
        <f>IFERROR(__xludf.DUMMYFUNCTION("""COMPUTED_VALUE"""),2415.0)</f>
        <v>2415</v>
      </c>
      <c r="E2533" s="39" t="str">
        <f>IFERROR(__xludf.DUMMYFUNCTION("""COMPUTED_VALUE"""),"subcallosal gyrus (parolfactory gyrus)")</f>
        <v>subcallosal gyrus (parolfactory gyrus)</v>
      </c>
      <c r="F2533" s="9" t="str">
        <f>IFERROR(__xludf.DUMMYFUNCTION("""COMPUTED_VALUE"""),"Br")</f>
        <v>Br</v>
      </c>
      <c r="G2533" s="9" t="str">
        <f>IFERROR(__xludf.DUMMYFUNCTION("""COMPUTED_VALUE"""),"F")</f>
        <v>F</v>
      </c>
      <c r="H2533" s="9" t="str">
        <f>IFERROR(__xludf.DUMMYFUNCTION("""COMPUTED_VALUE"""),"FSS")</f>
        <v>FSS</v>
      </c>
      <c r="I2533" s="9" t="str">
        <f>IFERROR(__xludf.DUMMYFUNCTION("""COMPUTED_VALUE"""),"CeG")</f>
        <v>CeG</v>
      </c>
      <c r="J2533" s="9" t="str">
        <f>IFERROR(__xludf.DUMMYFUNCTION("""COMPUTED_VALUE"""),"LimL")</f>
        <v>LimL</v>
      </c>
      <c r="K2533" s="9" t="str">
        <f>IFERROR(__xludf.DUMMYFUNCTION("""COMPUTED_VALUE"""),"SCG")</f>
        <v>SCG</v>
      </c>
      <c r="L2533" s="9"/>
      <c r="M2533" s="9"/>
      <c r="N2533" s="9"/>
      <c r="O2533" s="9"/>
      <c r="P2533" s="9"/>
      <c r="Q2533" s="9"/>
      <c r="R2533" s="9"/>
      <c r="S2533" s="42"/>
      <c r="T2533" s="42" t="str">
        <f>IFERROR(__xludf.DUMMYFUNCTION("""COMPUTED_VALUE"""),"gyrus")</f>
        <v>gyrus</v>
      </c>
      <c r="U2533" s="159" t="b">
        <f>IFERROR(__xludf.DUMMYFUNCTION("""COMPUTED_VALUE"""),FALSE)</f>
        <v>0</v>
      </c>
      <c r="V2533" s="42"/>
      <c r="W2533" s="42"/>
      <c r="X2533" s="42"/>
      <c r="Y2533" s="42"/>
      <c r="Z2533" s="42"/>
      <c r="AA2533" s="42"/>
      <c r="AB2533" s="42" t="str">
        <f>IFERROR(__xludf.DUMMYFUNCTION("""COMPUTED_VALUE"""),"allen institute")</f>
        <v>allen institute</v>
      </c>
      <c r="AC2533" s="42" t="str">
        <f>IFERROR(__xludf.DUMMYFUNCTION("""COMPUTED_VALUE"""),"DHBA")</f>
        <v>DHBA</v>
      </c>
      <c r="AD2533" s="42"/>
      <c r="AE2533" s="42"/>
      <c r="AF2533" s="9"/>
      <c r="AG2533" s="9"/>
      <c r="AH2533" s="42"/>
      <c r="AI2533" s="42"/>
      <c r="AJ2533" s="42"/>
      <c r="AK2533" s="42"/>
      <c r="AL2533" s="42"/>
      <c r="AM2533" s="42"/>
      <c r="AN2533" s="42"/>
      <c r="AO2533" s="63" t="str">
        <f>IFERROR(__xludf.DUMMYFUNCTION("IF(ISBLANK(A2533),,IF(ISBLANK(S2533), A2533&amp;"";"", TEXTJOIN(CHAR(10), TRUE, A2533&amp;"";"", ARRAYFORMULA(VLOOKUP(SPLIT(S2533, "";"" &amp; CHAR(10)), $A:$AO, 41, FALSE)))))"),"SCG;")</f>
        <v>SCG;</v>
      </c>
      <c r="AP2533" s="89"/>
    </row>
    <row r="2534">
      <c r="A2534" s="151" t="str">
        <f>IFERROR(__xludf.DUMMYFUNCTION("""COMPUTED_VALUE"""),"PTG")</f>
        <v>PTG</v>
      </c>
      <c r="B2534" s="42" t="str">
        <f>IFERROR(__xludf.DUMMYFUNCTION("""COMPUTED_VALUE"""),"DHBA")</f>
        <v>DHBA</v>
      </c>
      <c r="C2534" s="42" t="str">
        <f>IFERROR(__xludf.DUMMYFUNCTION("""COMPUTED_VALUE"""),"paraterminal gyrus")</f>
        <v>paraterminal gyrus</v>
      </c>
      <c r="D2534" s="42">
        <f>IFERROR(__xludf.DUMMYFUNCTION("""COMPUTED_VALUE"""),2416.0)</f>
        <v>2416</v>
      </c>
      <c r="E2534" s="39" t="str">
        <f>IFERROR(__xludf.DUMMYFUNCTION("""COMPUTED_VALUE"""),"paraterminal gyrus")</f>
        <v>paraterminal gyrus</v>
      </c>
      <c r="F2534" s="9" t="str">
        <f>IFERROR(__xludf.DUMMYFUNCTION("""COMPUTED_VALUE"""),"Br")</f>
        <v>Br</v>
      </c>
      <c r="G2534" s="9" t="str">
        <f>IFERROR(__xludf.DUMMYFUNCTION("""COMPUTED_VALUE"""),"F")</f>
        <v>F</v>
      </c>
      <c r="H2534" s="9" t="str">
        <f>IFERROR(__xludf.DUMMYFUNCTION("""COMPUTED_VALUE"""),"FSS")</f>
        <v>FSS</v>
      </c>
      <c r="I2534" s="9" t="str">
        <f>IFERROR(__xludf.DUMMYFUNCTION("""COMPUTED_VALUE"""),"CeG")</f>
        <v>CeG</v>
      </c>
      <c r="J2534" s="9" t="str">
        <f>IFERROR(__xludf.DUMMYFUNCTION("""COMPUTED_VALUE"""),"LimL")</f>
        <v>LimL</v>
      </c>
      <c r="K2534" s="9" t="str">
        <f>IFERROR(__xludf.DUMMYFUNCTION("""COMPUTED_VALUE"""),"PTG")</f>
        <v>PTG</v>
      </c>
      <c r="L2534" s="9"/>
      <c r="M2534" s="9"/>
      <c r="N2534" s="9"/>
      <c r="O2534" s="9"/>
      <c r="P2534" s="9"/>
      <c r="Q2534" s="9"/>
      <c r="R2534" s="9"/>
      <c r="S2534" s="42"/>
      <c r="T2534" s="42"/>
      <c r="U2534" s="159"/>
      <c r="V2534" s="42"/>
      <c r="W2534" s="42"/>
      <c r="X2534" s="42"/>
      <c r="Y2534" s="42"/>
      <c r="Z2534" s="42"/>
      <c r="AA2534" s="42"/>
      <c r="AB2534" s="42" t="str">
        <f>IFERROR(__xludf.DUMMYFUNCTION("""COMPUTED_VALUE"""),"allen institute")</f>
        <v>allen institute</v>
      </c>
      <c r="AC2534" s="42" t="str">
        <f>IFERROR(__xludf.DUMMYFUNCTION("""COMPUTED_VALUE"""),"DHBA")</f>
        <v>DHBA</v>
      </c>
      <c r="AD2534" s="42"/>
      <c r="AE2534" s="42"/>
      <c r="AF2534" s="9"/>
      <c r="AG2534" s="9"/>
      <c r="AH2534" s="42"/>
      <c r="AI2534" s="42"/>
      <c r="AJ2534" s="42"/>
      <c r="AK2534" s="42"/>
      <c r="AL2534" s="42"/>
      <c r="AM2534" s="42"/>
      <c r="AN2534" s="42"/>
      <c r="AO2534" s="63" t="str">
        <f>IFERROR(__xludf.DUMMYFUNCTION("IF(ISBLANK(A2534),,IF(ISBLANK(S2534), A2534&amp;"";"", TEXTJOIN(CHAR(10), TRUE, A2534&amp;"";"", ARRAYFORMULA(VLOOKUP(SPLIT(S2534, "";"" &amp; CHAR(10)), $A:$AO, 41, FALSE)))))"),"PTG;")</f>
        <v>PTG;</v>
      </c>
      <c r="AP2534" s="89"/>
    </row>
    <row r="2535">
      <c r="A2535" s="151" t="str">
        <f>IFERROR(__xludf.DUMMYFUNCTION("""COMPUTED_VALUE"""),"PHG")</f>
        <v>PHG</v>
      </c>
      <c r="B2535" s="42" t="str">
        <f>IFERROR(__xludf.DUMMYFUNCTION("""COMPUTED_VALUE"""),"DHBA")</f>
        <v>DHBA</v>
      </c>
      <c r="C2535" s="42" t="str">
        <f>IFERROR(__xludf.DUMMYFUNCTION("""COMPUTED_VALUE"""),"parahippocampal gyrus")</f>
        <v>parahippocampal gyrus</v>
      </c>
      <c r="D2535" s="42">
        <f>IFERROR(__xludf.DUMMYFUNCTION("""COMPUTED_VALUE"""),2417.0)</f>
        <v>2417</v>
      </c>
      <c r="E2535" s="39" t="str">
        <f>IFERROR(__xludf.DUMMYFUNCTION("""COMPUTED_VALUE"""),"parahippocampal gyrus")</f>
        <v>parahippocampal gyrus</v>
      </c>
      <c r="F2535" s="9" t="str">
        <f>IFERROR(__xludf.DUMMYFUNCTION("""COMPUTED_VALUE"""),"Br")</f>
        <v>Br</v>
      </c>
      <c r="G2535" s="9" t="str">
        <f>IFERROR(__xludf.DUMMYFUNCTION("""COMPUTED_VALUE"""),"F")</f>
        <v>F</v>
      </c>
      <c r="H2535" s="9" t="str">
        <f>IFERROR(__xludf.DUMMYFUNCTION("""COMPUTED_VALUE"""),"FSS")</f>
        <v>FSS</v>
      </c>
      <c r="I2535" s="9" t="str">
        <f>IFERROR(__xludf.DUMMYFUNCTION("""COMPUTED_VALUE"""),"CeG")</f>
        <v>CeG</v>
      </c>
      <c r="J2535" s="9" t="str">
        <f>IFERROR(__xludf.DUMMYFUNCTION("""COMPUTED_VALUE"""),"LimL")</f>
        <v>LimL</v>
      </c>
      <c r="K2535" s="9" t="str">
        <f>IFERROR(__xludf.DUMMYFUNCTION("""COMPUTED_VALUE"""),"PHG")</f>
        <v>PHG</v>
      </c>
      <c r="L2535" s="9"/>
      <c r="M2535" s="9"/>
      <c r="N2535" s="9"/>
      <c r="O2535" s="9"/>
      <c r="P2535" s="9"/>
      <c r="Q2535" s="9"/>
      <c r="R2535" s="9"/>
      <c r="S2535" s="42" t="str">
        <f>IFERROR(__xludf.DUMMYFUNCTION("""COMPUTED_VALUE"""),"APH;
PPH;
UN")</f>
        <v>APH;
PPH;
UN</v>
      </c>
      <c r="T2535" s="42" t="str">
        <f>IFERROR(__xludf.DUMMYFUNCTION("""COMPUTED_VALUE"""),"gyrus")</f>
        <v>gyrus</v>
      </c>
      <c r="U2535" s="159" t="b">
        <f>IFERROR(__xludf.DUMMYFUNCTION("""COMPUTED_VALUE"""),FALSE)</f>
        <v>0</v>
      </c>
      <c r="V2535" s="42"/>
      <c r="W2535" s="42"/>
      <c r="X2535" s="42"/>
      <c r="Y2535" s="42"/>
      <c r="Z2535" s="42"/>
      <c r="AA2535" s="42"/>
      <c r="AB2535" s="42" t="str">
        <f>IFERROR(__xludf.DUMMYFUNCTION("""COMPUTED_VALUE"""),"allen institute")</f>
        <v>allen institute</v>
      </c>
      <c r="AC2535" s="42" t="str">
        <f>IFERROR(__xludf.DUMMYFUNCTION("""COMPUTED_VALUE"""),"DHBA")</f>
        <v>DHBA</v>
      </c>
      <c r="AD2535" s="42"/>
      <c r="AE2535" s="42"/>
      <c r="AF2535" s="9"/>
      <c r="AG2535" s="9"/>
      <c r="AH2535" s="42"/>
      <c r="AI2535" s="42"/>
      <c r="AJ2535" s="42"/>
      <c r="AK2535" s="42"/>
      <c r="AL2535" s="42"/>
      <c r="AM2535" s="42"/>
      <c r="AN2535" s="42"/>
      <c r="AO2535" s="63" t="str">
        <f>IFERROR(__xludf.DUMMYFUNCTION("IF(ISBLANK(A2535),,IF(ISBLANK(S2535), A2535&amp;"";"", TEXTJOIN(CHAR(10), TRUE, A2535&amp;"";"", ARRAYFORMULA(VLOOKUP(SPLIT(S2535, "";"" &amp; CHAR(10)), $A:$AO, 41, FALSE)))))"),"PHG;
APH;
PPH;
UN;
AG;
BG;
ILG;
SLG;")</f>
        <v>PHG;
APH;
PPH;
UN;
AG;
BG;
ILG;
SLG;</v>
      </c>
      <c r="AP2535" s="89"/>
    </row>
    <row r="2536">
      <c r="A2536" s="151" t="str">
        <f>IFERROR(__xludf.DUMMYFUNCTION("""COMPUTED_VALUE"""),"APH")</f>
        <v>APH</v>
      </c>
      <c r="B2536" s="42" t="str">
        <f>IFERROR(__xludf.DUMMYFUNCTION("""COMPUTED_VALUE"""),"DHBA")</f>
        <v>DHBA</v>
      </c>
      <c r="C2536" s="42" t="str">
        <f>IFERROR(__xludf.DUMMYFUNCTION("""COMPUTED_VALUE"""),"anterior parahippocampal gyrus")</f>
        <v>anterior parahippocampal gyrus</v>
      </c>
      <c r="D2536" s="42">
        <f>IFERROR(__xludf.DUMMYFUNCTION("""COMPUTED_VALUE"""),2418.0)</f>
        <v>2418</v>
      </c>
      <c r="E2536" s="39" t="str">
        <f>IFERROR(__xludf.DUMMYFUNCTION("""COMPUTED_VALUE"""),"anterior parahippocampal gyrus")</f>
        <v>anterior parahippocampal gyrus</v>
      </c>
      <c r="F2536" s="9" t="str">
        <f>IFERROR(__xludf.DUMMYFUNCTION("""COMPUTED_VALUE"""),"Br")</f>
        <v>Br</v>
      </c>
      <c r="G2536" s="9" t="str">
        <f>IFERROR(__xludf.DUMMYFUNCTION("""COMPUTED_VALUE"""),"F")</f>
        <v>F</v>
      </c>
      <c r="H2536" s="9" t="str">
        <f>IFERROR(__xludf.DUMMYFUNCTION("""COMPUTED_VALUE"""),"FSS")</f>
        <v>FSS</v>
      </c>
      <c r="I2536" s="9" t="str">
        <f>IFERROR(__xludf.DUMMYFUNCTION("""COMPUTED_VALUE"""),"CeG")</f>
        <v>CeG</v>
      </c>
      <c r="J2536" s="9" t="str">
        <f>IFERROR(__xludf.DUMMYFUNCTION("""COMPUTED_VALUE"""),"LimL")</f>
        <v>LimL</v>
      </c>
      <c r="K2536" s="9" t="str">
        <f>IFERROR(__xludf.DUMMYFUNCTION("""COMPUTED_VALUE"""),"PHG")</f>
        <v>PHG</v>
      </c>
      <c r="L2536" s="9" t="str">
        <f>IFERROR(__xludf.DUMMYFUNCTION("""COMPUTED_VALUE"""),"APH")</f>
        <v>APH</v>
      </c>
      <c r="M2536" s="9"/>
      <c r="N2536" s="9"/>
      <c r="O2536" s="9"/>
      <c r="P2536" s="9"/>
      <c r="Q2536" s="9"/>
      <c r="R2536" s="9"/>
      <c r="S2536" s="42"/>
      <c r="T2536" s="42" t="str">
        <f>IFERROR(__xludf.DUMMYFUNCTION("""COMPUTED_VALUE"""),"gyrus")</f>
        <v>gyrus</v>
      </c>
      <c r="U2536" s="42" t="b">
        <f>IFERROR(__xludf.DUMMYFUNCTION("""COMPUTED_VALUE"""),FALSE)</f>
        <v>0</v>
      </c>
      <c r="V2536" s="42"/>
      <c r="W2536" s="42"/>
      <c r="X2536" s="42"/>
      <c r="Y2536" s="42"/>
      <c r="Z2536" s="42"/>
      <c r="AA2536" s="42"/>
      <c r="AB2536" s="42" t="str">
        <f>IFERROR(__xludf.DUMMYFUNCTION("""COMPUTED_VALUE"""),"allen institute")</f>
        <v>allen institute</v>
      </c>
      <c r="AC2536" s="42" t="str">
        <f>IFERROR(__xludf.DUMMYFUNCTION("""COMPUTED_VALUE"""),"DHBA")</f>
        <v>DHBA</v>
      </c>
      <c r="AD2536" s="42"/>
      <c r="AE2536" s="42"/>
      <c r="AF2536" s="9"/>
      <c r="AG2536" s="9"/>
      <c r="AH2536" s="42"/>
      <c r="AI2536" s="42"/>
      <c r="AJ2536" s="42"/>
      <c r="AK2536" s="42"/>
      <c r="AL2536" s="42"/>
      <c r="AM2536" s="42"/>
      <c r="AN2536" s="42"/>
      <c r="AO2536" s="63" t="str">
        <f>IFERROR(__xludf.DUMMYFUNCTION("IF(ISBLANK(A2536),,IF(ISBLANK(S2536), A2536&amp;"";"", TEXTJOIN(CHAR(10), TRUE, A2536&amp;"";"", ARRAYFORMULA(VLOOKUP(SPLIT(S2536, "";"" &amp; CHAR(10)), $A:$AO, 41, FALSE)))))"),"APH;")</f>
        <v>APH;</v>
      </c>
      <c r="AP2536" s="89"/>
    </row>
    <row r="2537">
      <c r="A2537" s="151" t="str">
        <f>IFERROR(__xludf.DUMMYFUNCTION("""COMPUTED_VALUE"""),"PPH")</f>
        <v>PPH</v>
      </c>
      <c r="B2537" s="42" t="str">
        <f>IFERROR(__xludf.DUMMYFUNCTION("""COMPUTED_VALUE"""),"DHBA")</f>
        <v>DHBA</v>
      </c>
      <c r="C2537" s="42" t="str">
        <f>IFERROR(__xludf.DUMMYFUNCTION("""COMPUTED_VALUE"""),"posterior parahippocampal gyrus")</f>
        <v>posterior parahippocampal gyrus</v>
      </c>
      <c r="D2537" s="42">
        <f>IFERROR(__xludf.DUMMYFUNCTION("""COMPUTED_VALUE"""),2419.0)</f>
        <v>2419</v>
      </c>
      <c r="E2537" s="39" t="str">
        <f>IFERROR(__xludf.DUMMYFUNCTION("""COMPUTED_VALUE"""),"posterior parahippocampal gyrus")</f>
        <v>posterior parahippocampal gyrus</v>
      </c>
      <c r="F2537" s="9" t="str">
        <f>IFERROR(__xludf.DUMMYFUNCTION("""COMPUTED_VALUE"""),"Br")</f>
        <v>Br</v>
      </c>
      <c r="G2537" s="9" t="str">
        <f>IFERROR(__xludf.DUMMYFUNCTION("""COMPUTED_VALUE"""),"F")</f>
        <v>F</v>
      </c>
      <c r="H2537" s="9" t="str">
        <f>IFERROR(__xludf.DUMMYFUNCTION("""COMPUTED_VALUE"""),"FSS")</f>
        <v>FSS</v>
      </c>
      <c r="I2537" s="9" t="str">
        <f>IFERROR(__xludf.DUMMYFUNCTION("""COMPUTED_VALUE"""),"CeG")</f>
        <v>CeG</v>
      </c>
      <c r="J2537" s="9" t="str">
        <f>IFERROR(__xludf.DUMMYFUNCTION("""COMPUTED_VALUE"""),"LimL")</f>
        <v>LimL</v>
      </c>
      <c r="K2537" s="9" t="str">
        <f>IFERROR(__xludf.DUMMYFUNCTION("""COMPUTED_VALUE"""),"PHG")</f>
        <v>PHG</v>
      </c>
      <c r="L2537" s="9" t="str">
        <f>IFERROR(__xludf.DUMMYFUNCTION("""COMPUTED_VALUE"""),"PPH")</f>
        <v>PPH</v>
      </c>
      <c r="M2537" s="9"/>
      <c r="N2537" s="9"/>
      <c r="O2537" s="9"/>
      <c r="P2537" s="9"/>
      <c r="Q2537" s="9"/>
      <c r="R2537" s="9"/>
      <c r="S2537" s="42"/>
      <c r="T2537" s="42" t="str">
        <f>IFERROR(__xludf.DUMMYFUNCTION("""COMPUTED_VALUE"""),"gyrus")</f>
        <v>gyrus</v>
      </c>
      <c r="U2537" s="159" t="b">
        <f>IFERROR(__xludf.DUMMYFUNCTION("""COMPUTED_VALUE"""),FALSE)</f>
        <v>0</v>
      </c>
      <c r="V2537" s="42"/>
      <c r="W2537" s="42"/>
      <c r="X2537" s="42"/>
      <c r="Y2537" s="42"/>
      <c r="Z2537" s="42"/>
      <c r="AA2537" s="42"/>
      <c r="AB2537" s="42" t="str">
        <f>IFERROR(__xludf.DUMMYFUNCTION("""COMPUTED_VALUE"""),"allen institute")</f>
        <v>allen institute</v>
      </c>
      <c r="AC2537" s="42" t="str">
        <f>IFERROR(__xludf.DUMMYFUNCTION("""COMPUTED_VALUE"""),"DHBA")</f>
        <v>DHBA</v>
      </c>
      <c r="AD2537" s="42"/>
      <c r="AE2537" s="42"/>
      <c r="AF2537" s="9"/>
      <c r="AG2537" s="9"/>
      <c r="AH2537" s="42"/>
      <c r="AI2537" s="42"/>
      <c r="AJ2537" s="42"/>
      <c r="AK2537" s="42"/>
      <c r="AL2537" s="42"/>
      <c r="AM2537" s="42"/>
      <c r="AN2537" s="42"/>
      <c r="AO2537" s="63" t="str">
        <f>IFERROR(__xludf.DUMMYFUNCTION("IF(ISBLANK(A2537),,IF(ISBLANK(S2537), A2537&amp;"";"", TEXTJOIN(CHAR(10), TRUE, A2537&amp;"";"", ARRAYFORMULA(VLOOKUP(SPLIT(S2537, "";"" &amp; CHAR(10)), $A:$AO, 41, FALSE)))))"),"PPH;")</f>
        <v>PPH;</v>
      </c>
      <c r="AP2537" s="89"/>
    </row>
    <row r="2538">
      <c r="A2538" s="151" t="str">
        <f>IFERROR(__xludf.DUMMYFUNCTION("""COMPUTED_VALUE"""),"UN")</f>
        <v>UN</v>
      </c>
      <c r="B2538" s="42" t="str">
        <f>IFERROR(__xludf.DUMMYFUNCTION("""COMPUTED_VALUE"""),"DHBA")</f>
        <v>DHBA</v>
      </c>
      <c r="C2538" s="42" t="str">
        <f>IFERROR(__xludf.DUMMYFUNCTION("""COMPUTED_VALUE"""),"uncus of parahippocampal gyrus")</f>
        <v>uncus of parahippocampal gyrus</v>
      </c>
      <c r="D2538" s="42">
        <f>IFERROR(__xludf.DUMMYFUNCTION("""COMPUTED_VALUE"""),2420.0)</f>
        <v>2420</v>
      </c>
      <c r="E2538" s="39" t="str">
        <f>IFERROR(__xludf.DUMMYFUNCTION("""COMPUTED_VALUE"""),"uncus of parahippocampal gyrus")</f>
        <v>uncus of parahippocampal gyrus</v>
      </c>
      <c r="F2538" s="9" t="str">
        <f>IFERROR(__xludf.DUMMYFUNCTION("""COMPUTED_VALUE"""),"Br")</f>
        <v>Br</v>
      </c>
      <c r="G2538" s="9" t="str">
        <f>IFERROR(__xludf.DUMMYFUNCTION("""COMPUTED_VALUE"""),"F")</f>
        <v>F</v>
      </c>
      <c r="H2538" s="9" t="str">
        <f>IFERROR(__xludf.DUMMYFUNCTION("""COMPUTED_VALUE"""),"FSS")</f>
        <v>FSS</v>
      </c>
      <c r="I2538" s="9" t="str">
        <f>IFERROR(__xludf.DUMMYFUNCTION("""COMPUTED_VALUE"""),"CeG")</f>
        <v>CeG</v>
      </c>
      <c r="J2538" s="9" t="str">
        <f>IFERROR(__xludf.DUMMYFUNCTION("""COMPUTED_VALUE"""),"LimL")</f>
        <v>LimL</v>
      </c>
      <c r="K2538" s="9" t="str">
        <f>IFERROR(__xludf.DUMMYFUNCTION("""COMPUTED_VALUE"""),"PHG")</f>
        <v>PHG</v>
      </c>
      <c r="L2538" s="9" t="str">
        <f>IFERROR(__xludf.DUMMYFUNCTION("""COMPUTED_VALUE"""),"UN")</f>
        <v>UN</v>
      </c>
      <c r="M2538" s="9"/>
      <c r="N2538" s="9"/>
      <c r="O2538" s="9"/>
      <c r="P2538" s="9"/>
      <c r="Q2538" s="9"/>
      <c r="R2538" s="9"/>
      <c r="S2538" s="42" t="str">
        <f>IFERROR(__xludf.DUMMYFUNCTION("""COMPUTED_VALUE"""),"AG;
BG;
ILG;
SLG")</f>
        <v>AG;
BG;
ILG;
SLG</v>
      </c>
      <c r="T2538" s="42" t="str">
        <f>IFERROR(__xludf.DUMMYFUNCTION("""COMPUTED_VALUE"""),"gyrus")</f>
        <v>gyrus</v>
      </c>
      <c r="U2538" s="159" t="b">
        <f>IFERROR(__xludf.DUMMYFUNCTION("""COMPUTED_VALUE"""),FALSE)</f>
        <v>0</v>
      </c>
      <c r="V2538" s="42"/>
      <c r="W2538" s="42"/>
      <c r="X2538" s="42"/>
      <c r="Y2538" s="42"/>
      <c r="Z2538" s="42"/>
      <c r="AA2538" s="42"/>
      <c r="AB2538" s="42" t="str">
        <f>IFERROR(__xludf.DUMMYFUNCTION("""COMPUTED_VALUE"""),"allen institute")</f>
        <v>allen institute</v>
      </c>
      <c r="AC2538" s="42" t="str">
        <f>IFERROR(__xludf.DUMMYFUNCTION("""COMPUTED_VALUE"""),"DHBA")</f>
        <v>DHBA</v>
      </c>
      <c r="AD2538" s="42"/>
      <c r="AE2538" s="42"/>
      <c r="AF2538" s="9"/>
      <c r="AG2538" s="9"/>
      <c r="AH2538" s="42"/>
      <c r="AI2538" s="42"/>
      <c r="AJ2538" s="42"/>
      <c r="AK2538" s="42"/>
      <c r="AL2538" s="42"/>
      <c r="AM2538" s="42"/>
      <c r="AN2538" s="42"/>
      <c r="AO2538" s="63" t="str">
        <f>IFERROR(__xludf.DUMMYFUNCTION("IF(ISBLANK(A2538),,IF(ISBLANK(S2538), A2538&amp;"";"", TEXTJOIN(CHAR(10), TRUE, A2538&amp;"";"", ARRAYFORMULA(VLOOKUP(SPLIT(S2538, "";"" &amp; CHAR(10)), $A:$AO, 41, FALSE)))))"),"UN;
AG;
BG;
ILG;
SLG;")</f>
        <v>UN;
AG;
BG;
ILG;
SLG;</v>
      </c>
      <c r="AP2538" s="89"/>
    </row>
    <row r="2539">
      <c r="A2539" s="151" t="str">
        <f>IFERROR(__xludf.DUMMYFUNCTION("""COMPUTED_VALUE"""),"AG")</f>
        <v>AG</v>
      </c>
      <c r="B2539" s="42" t="str">
        <f>IFERROR(__xludf.DUMMYFUNCTION("""COMPUTED_VALUE"""),"DHBA")</f>
        <v>DHBA</v>
      </c>
      <c r="C2539" s="42" t="str">
        <f>IFERROR(__xludf.DUMMYFUNCTION("""COMPUTED_VALUE"""),"ambiens gyrus")</f>
        <v>ambiens gyrus</v>
      </c>
      <c r="D2539" s="42">
        <f>IFERROR(__xludf.DUMMYFUNCTION("""COMPUTED_VALUE"""),2421.0)</f>
        <v>2421</v>
      </c>
      <c r="E2539" s="39" t="str">
        <f>IFERROR(__xludf.DUMMYFUNCTION("""COMPUTED_VALUE"""),"ambiens gyrus")</f>
        <v>ambiens gyrus</v>
      </c>
      <c r="F2539" s="9" t="str">
        <f>IFERROR(__xludf.DUMMYFUNCTION("""COMPUTED_VALUE"""),"Br")</f>
        <v>Br</v>
      </c>
      <c r="G2539" s="9" t="str">
        <f>IFERROR(__xludf.DUMMYFUNCTION("""COMPUTED_VALUE"""),"F")</f>
        <v>F</v>
      </c>
      <c r="H2539" s="9" t="str">
        <f>IFERROR(__xludf.DUMMYFUNCTION("""COMPUTED_VALUE"""),"FSS")</f>
        <v>FSS</v>
      </c>
      <c r="I2539" s="9" t="str">
        <f>IFERROR(__xludf.DUMMYFUNCTION("""COMPUTED_VALUE"""),"CeG")</f>
        <v>CeG</v>
      </c>
      <c r="J2539" s="9" t="str">
        <f>IFERROR(__xludf.DUMMYFUNCTION("""COMPUTED_VALUE"""),"LimL")</f>
        <v>LimL</v>
      </c>
      <c r="K2539" s="9" t="str">
        <f>IFERROR(__xludf.DUMMYFUNCTION("""COMPUTED_VALUE"""),"PHG")</f>
        <v>PHG</v>
      </c>
      <c r="L2539" s="9" t="str">
        <f>IFERROR(__xludf.DUMMYFUNCTION("""COMPUTED_VALUE"""),"UN")</f>
        <v>UN</v>
      </c>
      <c r="M2539" s="9" t="str">
        <f>IFERROR(__xludf.DUMMYFUNCTION("""COMPUTED_VALUE"""),"AG")</f>
        <v>AG</v>
      </c>
      <c r="N2539" s="9"/>
      <c r="O2539" s="9"/>
      <c r="P2539" s="9"/>
      <c r="Q2539" s="9"/>
      <c r="R2539" s="9"/>
      <c r="S2539" s="42"/>
      <c r="T2539" s="42" t="str">
        <f>IFERROR(__xludf.DUMMYFUNCTION("""COMPUTED_VALUE"""),"gyrus")</f>
        <v>gyrus</v>
      </c>
      <c r="U2539" s="159" t="b">
        <f>IFERROR(__xludf.DUMMYFUNCTION("""COMPUTED_VALUE"""),FALSE)</f>
        <v>0</v>
      </c>
      <c r="V2539" s="42"/>
      <c r="W2539" s="42"/>
      <c r="X2539" s="42"/>
      <c r="Y2539" s="42"/>
      <c r="Z2539" s="42"/>
      <c r="AA2539" s="42"/>
      <c r="AB2539" s="42" t="str">
        <f>IFERROR(__xludf.DUMMYFUNCTION("""COMPUTED_VALUE"""),"allen institute")</f>
        <v>allen institute</v>
      </c>
      <c r="AC2539" s="42" t="str">
        <f>IFERROR(__xludf.DUMMYFUNCTION("""COMPUTED_VALUE"""),"DHBA")</f>
        <v>DHBA</v>
      </c>
      <c r="AD2539" s="42"/>
      <c r="AE2539" s="42"/>
      <c r="AF2539" s="9"/>
      <c r="AG2539" s="9"/>
      <c r="AH2539" s="42"/>
      <c r="AI2539" s="42"/>
      <c r="AJ2539" s="42"/>
      <c r="AK2539" s="42"/>
      <c r="AL2539" s="42"/>
      <c r="AM2539" s="42"/>
      <c r="AN2539" s="42"/>
      <c r="AO2539" s="63" t="str">
        <f>IFERROR(__xludf.DUMMYFUNCTION("IF(ISBLANK(A2539),,IF(ISBLANK(S2539), A2539&amp;"";"", TEXTJOIN(CHAR(10), TRUE, A2539&amp;"";"", ARRAYFORMULA(VLOOKUP(SPLIT(S2539, "";"" &amp; CHAR(10)), $A:$AO, 41, FALSE)))))"),"AG;")</f>
        <v>AG;</v>
      </c>
      <c r="AP2539" s="89"/>
    </row>
    <row r="2540">
      <c r="A2540" s="151" t="str">
        <f>IFERROR(__xludf.DUMMYFUNCTION("""COMPUTED_VALUE"""),"BG")</f>
        <v>BG</v>
      </c>
      <c r="B2540" s="42" t="str">
        <f>IFERROR(__xludf.DUMMYFUNCTION("""COMPUTED_VALUE"""),"DHBA")</f>
        <v>DHBA</v>
      </c>
      <c r="C2540" s="42" t="str">
        <f>IFERROR(__xludf.DUMMYFUNCTION("""COMPUTED_VALUE"""),"band of Giacomini")</f>
        <v>band of Giacomini</v>
      </c>
      <c r="D2540" s="42">
        <f>IFERROR(__xludf.DUMMYFUNCTION("""COMPUTED_VALUE"""),2422.0)</f>
        <v>2422</v>
      </c>
      <c r="E2540" s="39" t="str">
        <f>IFERROR(__xludf.DUMMYFUNCTION("""COMPUTED_VALUE"""),"band of Giacomini")</f>
        <v>band of Giacomini</v>
      </c>
      <c r="F2540" s="9" t="str">
        <f>IFERROR(__xludf.DUMMYFUNCTION("""COMPUTED_VALUE"""),"Br")</f>
        <v>Br</v>
      </c>
      <c r="G2540" s="9" t="str">
        <f>IFERROR(__xludf.DUMMYFUNCTION("""COMPUTED_VALUE"""),"F")</f>
        <v>F</v>
      </c>
      <c r="H2540" s="9" t="str">
        <f>IFERROR(__xludf.DUMMYFUNCTION("""COMPUTED_VALUE"""),"FSS")</f>
        <v>FSS</v>
      </c>
      <c r="I2540" s="9" t="str">
        <f>IFERROR(__xludf.DUMMYFUNCTION("""COMPUTED_VALUE"""),"CeG")</f>
        <v>CeG</v>
      </c>
      <c r="J2540" s="9" t="str">
        <f>IFERROR(__xludf.DUMMYFUNCTION("""COMPUTED_VALUE"""),"LimL")</f>
        <v>LimL</v>
      </c>
      <c r="K2540" s="9" t="str">
        <f>IFERROR(__xludf.DUMMYFUNCTION("""COMPUTED_VALUE"""),"PHG")</f>
        <v>PHG</v>
      </c>
      <c r="L2540" s="9" t="str">
        <f>IFERROR(__xludf.DUMMYFUNCTION("""COMPUTED_VALUE"""),"UN")</f>
        <v>UN</v>
      </c>
      <c r="M2540" s="9" t="str">
        <f>IFERROR(__xludf.DUMMYFUNCTION("""COMPUTED_VALUE"""),"BG")</f>
        <v>BG</v>
      </c>
      <c r="N2540" s="9"/>
      <c r="O2540" s="9"/>
      <c r="P2540" s="9"/>
      <c r="Q2540" s="9"/>
      <c r="R2540" s="9"/>
      <c r="S2540" s="42"/>
      <c r="T2540" s="42"/>
      <c r="U2540" s="42"/>
      <c r="V2540" s="42"/>
      <c r="W2540" s="42"/>
      <c r="X2540" s="42"/>
      <c r="Y2540" s="42"/>
      <c r="Z2540" s="42"/>
      <c r="AA2540" s="42"/>
      <c r="AB2540" s="42" t="str">
        <f>IFERROR(__xludf.DUMMYFUNCTION("""COMPUTED_VALUE"""),"allen institute")</f>
        <v>allen institute</v>
      </c>
      <c r="AC2540" s="42" t="str">
        <f>IFERROR(__xludf.DUMMYFUNCTION("""COMPUTED_VALUE"""),"DHBA")</f>
        <v>DHBA</v>
      </c>
      <c r="AD2540" s="42"/>
      <c r="AE2540" s="42"/>
      <c r="AF2540" s="9"/>
      <c r="AG2540" s="9"/>
      <c r="AH2540" s="42"/>
      <c r="AI2540" s="42"/>
      <c r="AJ2540" s="42"/>
      <c r="AK2540" s="42"/>
      <c r="AL2540" s="42"/>
      <c r="AM2540" s="42"/>
      <c r="AN2540" s="42"/>
      <c r="AO2540" s="63" t="str">
        <f>IFERROR(__xludf.DUMMYFUNCTION("IF(ISBLANK(A2540),,IF(ISBLANK(S2540), A2540&amp;"";"", TEXTJOIN(CHAR(10), TRUE, A2540&amp;"";"", ARRAYFORMULA(VLOOKUP(SPLIT(S2540, "";"" &amp; CHAR(10)), $A:$AO, 41, FALSE)))))"),"BG;")</f>
        <v>BG;</v>
      </c>
      <c r="AP2540" s="89"/>
    </row>
    <row r="2541">
      <c r="A2541" s="151" t="str">
        <f>IFERROR(__xludf.DUMMYFUNCTION("""COMPUTED_VALUE"""),"ILG")</f>
        <v>ILG</v>
      </c>
      <c r="B2541" s="42" t="str">
        <f>IFERROR(__xludf.DUMMYFUNCTION("""COMPUTED_VALUE"""),"DHBA")</f>
        <v>DHBA</v>
      </c>
      <c r="C2541" s="42" t="str">
        <f>IFERROR(__xludf.DUMMYFUNCTION("""COMPUTED_VALUE"""),"intralimbic gyrus")</f>
        <v>intralimbic gyrus</v>
      </c>
      <c r="D2541" s="42">
        <f>IFERROR(__xludf.DUMMYFUNCTION("""COMPUTED_VALUE"""),2423.0)</f>
        <v>2423</v>
      </c>
      <c r="E2541" s="39" t="str">
        <f>IFERROR(__xludf.DUMMYFUNCTION("""COMPUTED_VALUE"""),"intralimbic gyrus")</f>
        <v>intralimbic gyrus</v>
      </c>
      <c r="F2541" s="9" t="str">
        <f>IFERROR(__xludf.DUMMYFUNCTION("""COMPUTED_VALUE"""),"Br")</f>
        <v>Br</v>
      </c>
      <c r="G2541" s="9" t="str">
        <f>IFERROR(__xludf.DUMMYFUNCTION("""COMPUTED_VALUE"""),"F")</f>
        <v>F</v>
      </c>
      <c r="H2541" s="9" t="str">
        <f>IFERROR(__xludf.DUMMYFUNCTION("""COMPUTED_VALUE"""),"FSS")</f>
        <v>FSS</v>
      </c>
      <c r="I2541" s="9" t="str">
        <f>IFERROR(__xludf.DUMMYFUNCTION("""COMPUTED_VALUE"""),"CeG")</f>
        <v>CeG</v>
      </c>
      <c r="J2541" s="9" t="str">
        <f>IFERROR(__xludf.DUMMYFUNCTION("""COMPUTED_VALUE"""),"LimL")</f>
        <v>LimL</v>
      </c>
      <c r="K2541" s="9" t="str">
        <f>IFERROR(__xludf.DUMMYFUNCTION("""COMPUTED_VALUE"""),"PHG")</f>
        <v>PHG</v>
      </c>
      <c r="L2541" s="9" t="str">
        <f>IFERROR(__xludf.DUMMYFUNCTION("""COMPUTED_VALUE"""),"UN")</f>
        <v>UN</v>
      </c>
      <c r="M2541" s="9" t="str">
        <f>IFERROR(__xludf.DUMMYFUNCTION("""COMPUTED_VALUE"""),"ILG")</f>
        <v>ILG</v>
      </c>
      <c r="N2541" s="9"/>
      <c r="O2541" s="9"/>
      <c r="P2541" s="9"/>
      <c r="Q2541" s="9"/>
      <c r="R2541" s="9"/>
      <c r="S2541" s="42"/>
      <c r="T2541" s="42" t="str">
        <f>IFERROR(__xludf.DUMMYFUNCTION("""COMPUTED_VALUE"""),"gyrus")</f>
        <v>gyrus</v>
      </c>
      <c r="U2541" s="42" t="b">
        <f>IFERROR(__xludf.DUMMYFUNCTION("""COMPUTED_VALUE"""),FALSE)</f>
        <v>0</v>
      </c>
      <c r="V2541" s="42"/>
      <c r="W2541" s="42"/>
      <c r="X2541" s="42"/>
      <c r="Y2541" s="42"/>
      <c r="Z2541" s="42"/>
      <c r="AA2541" s="42"/>
      <c r="AB2541" s="42" t="str">
        <f>IFERROR(__xludf.DUMMYFUNCTION("""COMPUTED_VALUE"""),"allen institute")</f>
        <v>allen institute</v>
      </c>
      <c r="AC2541" s="42" t="str">
        <f>IFERROR(__xludf.DUMMYFUNCTION("""COMPUTED_VALUE"""),"DHBA")</f>
        <v>DHBA</v>
      </c>
      <c r="AD2541" s="42"/>
      <c r="AE2541" s="42"/>
      <c r="AF2541" s="9"/>
      <c r="AG2541" s="9"/>
      <c r="AH2541" s="42"/>
      <c r="AI2541" s="42"/>
      <c r="AJ2541" s="42"/>
      <c r="AK2541" s="42"/>
      <c r="AL2541" s="42"/>
      <c r="AM2541" s="42"/>
      <c r="AN2541" s="42"/>
      <c r="AO2541" s="63" t="str">
        <f>IFERROR(__xludf.DUMMYFUNCTION("IF(ISBLANK(A2541),,IF(ISBLANK(S2541), A2541&amp;"";"", TEXTJOIN(CHAR(10), TRUE, A2541&amp;"";"", ARRAYFORMULA(VLOOKUP(SPLIT(S2541, "";"" &amp; CHAR(10)), $A:$AO, 41, FALSE)))))"),"ILG;")</f>
        <v>ILG;</v>
      </c>
      <c r="AP2541" s="89"/>
    </row>
    <row r="2542">
      <c r="A2542" s="151" t="str">
        <f>IFERROR(__xludf.DUMMYFUNCTION("""COMPUTED_VALUE"""),"SLG")</f>
        <v>SLG</v>
      </c>
      <c r="B2542" s="42" t="str">
        <f>IFERROR(__xludf.DUMMYFUNCTION("""COMPUTED_VALUE"""),"DHBA")</f>
        <v>DHBA</v>
      </c>
      <c r="C2542" s="42" t="str">
        <f>IFERROR(__xludf.DUMMYFUNCTION("""COMPUTED_VALUE"""),"semilunar gyrus")</f>
        <v>semilunar gyrus</v>
      </c>
      <c r="D2542" s="42">
        <f>IFERROR(__xludf.DUMMYFUNCTION("""COMPUTED_VALUE"""),2424.0)</f>
        <v>2424</v>
      </c>
      <c r="E2542" s="39" t="str">
        <f>IFERROR(__xludf.DUMMYFUNCTION("""COMPUTED_VALUE"""),"semilunar gyrus")</f>
        <v>semilunar gyrus</v>
      </c>
      <c r="F2542" s="9" t="str">
        <f>IFERROR(__xludf.DUMMYFUNCTION("""COMPUTED_VALUE"""),"Br")</f>
        <v>Br</v>
      </c>
      <c r="G2542" s="9" t="str">
        <f>IFERROR(__xludf.DUMMYFUNCTION("""COMPUTED_VALUE"""),"F")</f>
        <v>F</v>
      </c>
      <c r="H2542" s="9" t="str">
        <f>IFERROR(__xludf.DUMMYFUNCTION("""COMPUTED_VALUE"""),"FSS")</f>
        <v>FSS</v>
      </c>
      <c r="I2542" s="9" t="str">
        <f>IFERROR(__xludf.DUMMYFUNCTION("""COMPUTED_VALUE"""),"CeG")</f>
        <v>CeG</v>
      </c>
      <c r="J2542" s="9" t="str">
        <f>IFERROR(__xludf.DUMMYFUNCTION("""COMPUTED_VALUE"""),"LimL")</f>
        <v>LimL</v>
      </c>
      <c r="K2542" s="9" t="str">
        <f>IFERROR(__xludf.DUMMYFUNCTION("""COMPUTED_VALUE"""),"PHG")</f>
        <v>PHG</v>
      </c>
      <c r="L2542" s="9" t="str">
        <f>IFERROR(__xludf.DUMMYFUNCTION("""COMPUTED_VALUE"""),"UN")</f>
        <v>UN</v>
      </c>
      <c r="M2542" s="9" t="str">
        <f>IFERROR(__xludf.DUMMYFUNCTION("""COMPUTED_VALUE"""),"SLG")</f>
        <v>SLG</v>
      </c>
      <c r="N2542" s="9"/>
      <c r="O2542" s="9"/>
      <c r="P2542" s="9"/>
      <c r="Q2542" s="9"/>
      <c r="R2542" s="9"/>
      <c r="S2542" s="42"/>
      <c r="T2542" s="42" t="str">
        <f>IFERROR(__xludf.DUMMYFUNCTION("""COMPUTED_VALUE"""),"gyrus")</f>
        <v>gyrus</v>
      </c>
      <c r="U2542" s="42" t="b">
        <f>IFERROR(__xludf.DUMMYFUNCTION("""COMPUTED_VALUE"""),FALSE)</f>
        <v>0</v>
      </c>
      <c r="V2542" s="42"/>
      <c r="W2542" s="42"/>
      <c r="X2542" s="42"/>
      <c r="Y2542" s="42"/>
      <c r="Z2542" s="42"/>
      <c r="AA2542" s="42"/>
      <c r="AB2542" s="42" t="str">
        <f>IFERROR(__xludf.DUMMYFUNCTION("""COMPUTED_VALUE"""),"allen institute")</f>
        <v>allen institute</v>
      </c>
      <c r="AC2542" s="42" t="str">
        <f>IFERROR(__xludf.DUMMYFUNCTION("""COMPUTED_VALUE"""),"DHBA")</f>
        <v>DHBA</v>
      </c>
      <c r="AD2542" s="42"/>
      <c r="AE2542" s="42"/>
      <c r="AF2542" s="9"/>
      <c r="AG2542" s="9"/>
      <c r="AH2542" s="42"/>
      <c r="AI2542" s="42"/>
      <c r="AJ2542" s="42"/>
      <c r="AK2542" s="42"/>
      <c r="AL2542" s="42"/>
      <c r="AM2542" s="42"/>
      <c r="AN2542" s="42"/>
      <c r="AO2542" s="63" t="str">
        <f>IFERROR(__xludf.DUMMYFUNCTION("IF(ISBLANK(A2542),,IF(ISBLANK(S2542), A2542&amp;"";"", TEXTJOIN(CHAR(10), TRUE, A2542&amp;"";"", ARRAYFORMULA(VLOOKUP(SPLIT(S2542, "";"" &amp; CHAR(10)), $A:$AO, 41, FALSE)))))"),"SLG;")</f>
        <v>SLG;</v>
      </c>
      <c r="AP2542" s="89"/>
    </row>
    <row r="2543">
      <c r="A2543" s="151" t="str">
        <f>IFERROR(__xludf.DUMMYFUNCTION("""COMPUTED_VALUE"""),"HiF")</f>
        <v>HiF</v>
      </c>
      <c r="B2543" s="42" t="str">
        <f>IFERROR(__xludf.DUMMYFUNCTION("""COMPUTED_VALUE"""),"DHBA")</f>
        <v>DHBA</v>
      </c>
      <c r="C2543" s="42" t="str">
        <f>IFERROR(__xludf.DUMMYFUNCTION("""COMPUTED_VALUE"""),"hippocampal gyrus (formation)")</f>
        <v>hippocampal gyrus (formation)</v>
      </c>
      <c r="D2543" s="42">
        <f>IFERROR(__xludf.DUMMYFUNCTION("""COMPUTED_VALUE"""),2425.0)</f>
        <v>2425</v>
      </c>
      <c r="E2543" s="39" t="str">
        <f>IFERROR(__xludf.DUMMYFUNCTION("""COMPUTED_VALUE"""),"hippocampal gyrus (formation)")</f>
        <v>hippocampal gyrus (formation)</v>
      </c>
      <c r="F2543" s="9" t="str">
        <f>IFERROR(__xludf.DUMMYFUNCTION("""COMPUTED_VALUE"""),"Br")</f>
        <v>Br</v>
      </c>
      <c r="G2543" s="9" t="str">
        <f>IFERROR(__xludf.DUMMYFUNCTION("""COMPUTED_VALUE"""),"F")</f>
        <v>F</v>
      </c>
      <c r="H2543" s="9" t="str">
        <f>IFERROR(__xludf.DUMMYFUNCTION("""COMPUTED_VALUE"""),"FSS")</f>
        <v>FSS</v>
      </c>
      <c r="I2543" s="9" t="str">
        <f>IFERROR(__xludf.DUMMYFUNCTION("""COMPUTED_VALUE"""),"CeG")</f>
        <v>CeG</v>
      </c>
      <c r="J2543" s="9" t="str">
        <f>IFERROR(__xludf.DUMMYFUNCTION("""COMPUTED_VALUE"""),"LimL")</f>
        <v>LimL</v>
      </c>
      <c r="K2543" s="9" t="str">
        <f>IFERROR(__xludf.DUMMYFUNCTION("""COMPUTED_VALUE"""),"HiF")</f>
        <v>HiF</v>
      </c>
      <c r="L2543" s="9"/>
      <c r="M2543" s="9"/>
      <c r="N2543" s="9"/>
      <c r="O2543" s="9"/>
      <c r="P2543" s="9"/>
      <c r="Q2543" s="9"/>
      <c r="R2543" s="9"/>
      <c r="S2543" s="42" t="str">
        <f>IFERROR(__xludf.DUMMYFUNCTION("""COMPUTED_VALUE"""),"HiH;
HiB;
HiT;
Subx")</f>
        <v>HiH;
HiB;
HiT;
Subx</v>
      </c>
      <c r="T2543" s="42" t="str">
        <f>IFERROR(__xludf.DUMMYFUNCTION("""COMPUTED_VALUE"""),"gyrus")</f>
        <v>gyrus</v>
      </c>
      <c r="U2543" s="42" t="b">
        <f>IFERROR(__xludf.DUMMYFUNCTION("""COMPUTED_VALUE"""),FALSE)</f>
        <v>0</v>
      </c>
      <c r="V2543" s="42"/>
      <c r="W2543" s="42"/>
      <c r="X2543" s="42"/>
      <c r="Y2543" s="42"/>
      <c r="Z2543" s="42"/>
      <c r="AA2543" s="42"/>
      <c r="AB2543" s="42" t="str">
        <f>IFERROR(__xludf.DUMMYFUNCTION("""COMPUTED_VALUE"""),"allen institute")</f>
        <v>allen institute</v>
      </c>
      <c r="AC2543" s="42" t="str">
        <f>IFERROR(__xludf.DUMMYFUNCTION("""COMPUTED_VALUE"""),"DHBA")</f>
        <v>DHBA</v>
      </c>
      <c r="AD2543" s="42"/>
      <c r="AE2543" s="42"/>
      <c r="AF2543" s="9"/>
      <c r="AG2543" s="9"/>
      <c r="AH2543" s="42"/>
      <c r="AI2543" s="42"/>
      <c r="AJ2543" s="42"/>
      <c r="AK2543" s="42"/>
      <c r="AL2543" s="42"/>
      <c r="AM2543" s="42"/>
      <c r="AN2543" s="42"/>
      <c r="AO2543" s="63" t="str">
        <f>IFERROR(__xludf.DUMMYFUNCTION("IF(ISBLANK(A2543),,IF(ISBLANK(S2543), A2543&amp;"";"", TEXTJOIN(CHAR(10), TRUE, A2543&amp;"";"", ARRAYFORMULA(VLOOKUP(SPLIT(S2543, "";"" &amp; CHAR(10)), $A:$AO, 41, FALSE)))))"),"HiF;
HiH;
HiD;
HiB;
HiT;
FaG;
Retz;
Subx;")</f>
        <v>HiF;
HiH;
HiD;
HiB;
HiT;
FaG;
Retz;
Subx;</v>
      </c>
      <c r="AP2543" s="89"/>
    </row>
    <row r="2544">
      <c r="A2544" s="151" t="str">
        <f>IFERROR(__xludf.DUMMYFUNCTION("""COMPUTED_VALUE"""),"HiH")</f>
        <v>HiH</v>
      </c>
      <c r="B2544" s="42" t="str">
        <f>IFERROR(__xludf.DUMMYFUNCTION("""COMPUTED_VALUE"""),"DHBA")</f>
        <v>DHBA</v>
      </c>
      <c r="C2544" s="42" t="str">
        <f>IFERROR(__xludf.DUMMYFUNCTION("""COMPUTED_VALUE"""),"head of hippocampus")</f>
        <v>head of hippocampus</v>
      </c>
      <c r="D2544" s="42">
        <f>IFERROR(__xludf.DUMMYFUNCTION("""COMPUTED_VALUE"""),2426.0)</f>
        <v>2426</v>
      </c>
      <c r="E2544" s="39" t="str">
        <f>IFERROR(__xludf.DUMMYFUNCTION("""COMPUTED_VALUE"""),"head of hippocampus")</f>
        <v>head of hippocampus</v>
      </c>
      <c r="F2544" s="9" t="str">
        <f>IFERROR(__xludf.DUMMYFUNCTION("""COMPUTED_VALUE"""),"Br")</f>
        <v>Br</v>
      </c>
      <c r="G2544" s="9" t="str">
        <f>IFERROR(__xludf.DUMMYFUNCTION("""COMPUTED_VALUE"""),"F")</f>
        <v>F</v>
      </c>
      <c r="H2544" s="9" t="str">
        <f>IFERROR(__xludf.DUMMYFUNCTION("""COMPUTED_VALUE"""),"FSS")</f>
        <v>FSS</v>
      </c>
      <c r="I2544" s="9" t="str">
        <f>IFERROR(__xludf.DUMMYFUNCTION("""COMPUTED_VALUE"""),"CeG")</f>
        <v>CeG</v>
      </c>
      <c r="J2544" s="9" t="str">
        <f>IFERROR(__xludf.DUMMYFUNCTION("""COMPUTED_VALUE"""),"LimL")</f>
        <v>LimL</v>
      </c>
      <c r="K2544" s="9" t="str">
        <f>IFERROR(__xludf.DUMMYFUNCTION("""COMPUTED_VALUE"""),"HiF")</f>
        <v>HiF</v>
      </c>
      <c r="L2544" s="9" t="str">
        <f>IFERROR(__xludf.DUMMYFUNCTION("""COMPUTED_VALUE"""),"HiH")</f>
        <v>HiH</v>
      </c>
      <c r="M2544" s="9"/>
      <c r="N2544" s="9"/>
      <c r="O2544" s="9"/>
      <c r="P2544" s="9"/>
      <c r="Q2544" s="9"/>
      <c r="R2544" s="9"/>
      <c r="S2544" s="42" t="str">
        <f>IFERROR(__xludf.DUMMYFUNCTION("""COMPUTED_VALUE"""),"HiD")</f>
        <v>HiD</v>
      </c>
      <c r="T2544" s="42"/>
      <c r="U2544" s="42" t="b">
        <f>IFERROR(__xludf.DUMMYFUNCTION("""COMPUTED_VALUE"""),FALSE)</f>
        <v>0</v>
      </c>
      <c r="V2544" s="42"/>
      <c r="W2544" s="42"/>
      <c r="X2544" s="42"/>
      <c r="Y2544" s="42"/>
      <c r="Z2544" s="42"/>
      <c r="AA2544" s="42"/>
      <c r="AB2544" s="42" t="str">
        <f>IFERROR(__xludf.DUMMYFUNCTION("""COMPUTED_VALUE"""),"allen institute")</f>
        <v>allen institute</v>
      </c>
      <c r="AC2544" s="42" t="str">
        <f>IFERROR(__xludf.DUMMYFUNCTION("""COMPUTED_VALUE"""),"DHBA")</f>
        <v>DHBA</v>
      </c>
      <c r="AD2544" s="42"/>
      <c r="AE2544" s="42"/>
      <c r="AF2544" s="9"/>
      <c r="AG2544" s="9"/>
      <c r="AH2544" s="42"/>
      <c r="AI2544" s="42"/>
      <c r="AJ2544" s="42"/>
      <c r="AK2544" s="42"/>
      <c r="AL2544" s="42"/>
      <c r="AM2544" s="42"/>
      <c r="AN2544" s="42"/>
      <c r="AO2544" s="63" t="str">
        <f>IFERROR(__xludf.DUMMYFUNCTION("IF(ISBLANK(A2544),,IF(ISBLANK(S2544), A2544&amp;"";"", TEXTJOIN(CHAR(10), TRUE, A2544&amp;"";"", ARRAYFORMULA(VLOOKUP(SPLIT(S2544, "";"" &amp; CHAR(10)), $A:$AO, 41, FALSE)))))"),"HiH;
HiD;")</f>
        <v>HiH;
HiD;</v>
      </c>
      <c r="AP2544" s="89"/>
    </row>
    <row r="2545">
      <c r="A2545" s="151" t="str">
        <f>IFERROR(__xludf.DUMMYFUNCTION("""COMPUTED_VALUE"""),"HiD")</f>
        <v>HiD</v>
      </c>
      <c r="B2545" s="42" t="str">
        <f>IFERROR(__xludf.DUMMYFUNCTION("""COMPUTED_VALUE"""),"DHBA")</f>
        <v>DHBA</v>
      </c>
      <c r="C2545" s="42" t="str">
        <f>IFERROR(__xludf.DUMMYFUNCTION("""COMPUTED_VALUE"""),"digitations of hippocampus")</f>
        <v>digitations of hippocampus</v>
      </c>
      <c r="D2545" s="42">
        <f>IFERROR(__xludf.DUMMYFUNCTION("""COMPUTED_VALUE"""),2427.0)</f>
        <v>2427</v>
      </c>
      <c r="E2545" s="39" t="str">
        <f>IFERROR(__xludf.DUMMYFUNCTION("""COMPUTED_VALUE"""),"digitations of hippocampus")</f>
        <v>digitations of hippocampus</v>
      </c>
      <c r="F2545" s="9" t="str">
        <f>IFERROR(__xludf.DUMMYFUNCTION("""COMPUTED_VALUE"""),"Br")</f>
        <v>Br</v>
      </c>
      <c r="G2545" s="9" t="str">
        <f>IFERROR(__xludf.DUMMYFUNCTION("""COMPUTED_VALUE"""),"F")</f>
        <v>F</v>
      </c>
      <c r="H2545" s="9" t="str">
        <f>IFERROR(__xludf.DUMMYFUNCTION("""COMPUTED_VALUE"""),"FSS")</f>
        <v>FSS</v>
      </c>
      <c r="I2545" s="9" t="str">
        <f>IFERROR(__xludf.DUMMYFUNCTION("""COMPUTED_VALUE"""),"CeG")</f>
        <v>CeG</v>
      </c>
      <c r="J2545" s="9" t="str">
        <f>IFERROR(__xludf.DUMMYFUNCTION("""COMPUTED_VALUE"""),"LimL")</f>
        <v>LimL</v>
      </c>
      <c r="K2545" s="9" t="str">
        <f>IFERROR(__xludf.DUMMYFUNCTION("""COMPUTED_VALUE"""),"HiF")</f>
        <v>HiF</v>
      </c>
      <c r="L2545" s="9" t="str">
        <f>IFERROR(__xludf.DUMMYFUNCTION("""COMPUTED_VALUE"""),"HiH")</f>
        <v>HiH</v>
      </c>
      <c r="M2545" s="9" t="str">
        <f>IFERROR(__xludf.DUMMYFUNCTION("""COMPUTED_VALUE"""),"HiD")</f>
        <v>HiD</v>
      </c>
      <c r="N2545" s="9"/>
      <c r="O2545" s="9"/>
      <c r="P2545" s="9"/>
      <c r="Q2545" s="9"/>
      <c r="R2545" s="9"/>
      <c r="S2545" s="42"/>
      <c r="T2545" s="42"/>
      <c r="U2545" s="42"/>
      <c r="V2545" s="42"/>
      <c r="W2545" s="42"/>
      <c r="X2545" s="42"/>
      <c r="Y2545" s="42"/>
      <c r="Z2545" s="42"/>
      <c r="AA2545" s="42"/>
      <c r="AB2545" s="42" t="str">
        <f>IFERROR(__xludf.DUMMYFUNCTION("""COMPUTED_VALUE"""),"allen institute")</f>
        <v>allen institute</v>
      </c>
      <c r="AC2545" s="42" t="str">
        <f>IFERROR(__xludf.DUMMYFUNCTION("""COMPUTED_VALUE"""),"DHBA")</f>
        <v>DHBA</v>
      </c>
      <c r="AD2545" s="42"/>
      <c r="AE2545" s="42"/>
      <c r="AF2545" s="9"/>
      <c r="AG2545" s="9"/>
      <c r="AH2545" s="42"/>
      <c r="AI2545" s="42"/>
      <c r="AJ2545" s="42"/>
      <c r="AK2545" s="42"/>
      <c r="AL2545" s="42"/>
      <c r="AM2545" s="42"/>
      <c r="AN2545" s="42"/>
      <c r="AO2545" s="63" t="str">
        <f>IFERROR(__xludf.DUMMYFUNCTION("IF(ISBLANK(A2545),,IF(ISBLANK(S2545), A2545&amp;"";"", TEXTJOIN(CHAR(10), TRUE, A2545&amp;"";"", ARRAYFORMULA(VLOOKUP(SPLIT(S2545, "";"" &amp; CHAR(10)), $A:$AO, 41, FALSE)))))"),"HiD;")</f>
        <v>HiD;</v>
      </c>
      <c r="AP2545" s="89"/>
    </row>
    <row r="2546">
      <c r="A2546" s="151" t="str">
        <f>IFERROR(__xludf.DUMMYFUNCTION("""COMPUTED_VALUE"""),"HiB")</f>
        <v>HiB</v>
      </c>
      <c r="B2546" s="42" t="str">
        <f>IFERROR(__xludf.DUMMYFUNCTION("""COMPUTED_VALUE"""),"DHBA")</f>
        <v>DHBA</v>
      </c>
      <c r="C2546" s="42" t="str">
        <f>IFERROR(__xludf.DUMMYFUNCTION("""COMPUTED_VALUE"""),"body of hippocampus")</f>
        <v>body of hippocampus</v>
      </c>
      <c r="D2546" s="42">
        <f>IFERROR(__xludf.DUMMYFUNCTION("""COMPUTED_VALUE"""),2428.0)</f>
        <v>2428</v>
      </c>
      <c r="E2546" s="39" t="str">
        <f>IFERROR(__xludf.DUMMYFUNCTION("""COMPUTED_VALUE"""),"body of hippocampus")</f>
        <v>body of hippocampus</v>
      </c>
      <c r="F2546" s="9" t="str">
        <f>IFERROR(__xludf.DUMMYFUNCTION("""COMPUTED_VALUE"""),"Br")</f>
        <v>Br</v>
      </c>
      <c r="G2546" s="9" t="str">
        <f>IFERROR(__xludf.DUMMYFUNCTION("""COMPUTED_VALUE"""),"F")</f>
        <v>F</v>
      </c>
      <c r="H2546" s="9" t="str">
        <f>IFERROR(__xludf.DUMMYFUNCTION("""COMPUTED_VALUE"""),"FSS")</f>
        <v>FSS</v>
      </c>
      <c r="I2546" s="9" t="str">
        <f>IFERROR(__xludf.DUMMYFUNCTION("""COMPUTED_VALUE"""),"CeG")</f>
        <v>CeG</v>
      </c>
      <c r="J2546" s="9" t="str">
        <f>IFERROR(__xludf.DUMMYFUNCTION("""COMPUTED_VALUE"""),"LimL")</f>
        <v>LimL</v>
      </c>
      <c r="K2546" s="9" t="str">
        <f>IFERROR(__xludf.DUMMYFUNCTION("""COMPUTED_VALUE"""),"HiF")</f>
        <v>HiF</v>
      </c>
      <c r="L2546" s="9" t="str">
        <f>IFERROR(__xludf.DUMMYFUNCTION("""COMPUTED_VALUE"""),"HiB")</f>
        <v>HiB</v>
      </c>
      <c r="M2546" s="9"/>
      <c r="N2546" s="9"/>
      <c r="O2546" s="9"/>
      <c r="P2546" s="9"/>
      <c r="Q2546" s="9"/>
      <c r="R2546" s="9"/>
      <c r="S2546" s="42"/>
      <c r="T2546" s="42"/>
      <c r="U2546" s="42"/>
      <c r="V2546" s="42"/>
      <c r="W2546" s="42"/>
      <c r="X2546" s="42"/>
      <c r="Y2546" s="42"/>
      <c r="Z2546" s="42"/>
      <c r="AA2546" s="42"/>
      <c r="AB2546" s="42" t="str">
        <f>IFERROR(__xludf.DUMMYFUNCTION("""COMPUTED_VALUE"""),"allen institute")</f>
        <v>allen institute</v>
      </c>
      <c r="AC2546" s="42" t="str">
        <f>IFERROR(__xludf.DUMMYFUNCTION("""COMPUTED_VALUE"""),"DHBA")</f>
        <v>DHBA</v>
      </c>
      <c r="AD2546" s="42"/>
      <c r="AE2546" s="42"/>
      <c r="AF2546" s="9"/>
      <c r="AG2546" s="9"/>
      <c r="AH2546" s="42"/>
      <c r="AI2546" s="42"/>
      <c r="AJ2546" s="42"/>
      <c r="AK2546" s="42"/>
      <c r="AL2546" s="42"/>
      <c r="AM2546" s="42"/>
      <c r="AN2546" s="42"/>
      <c r="AO2546" s="63" t="str">
        <f>IFERROR(__xludf.DUMMYFUNCTION("IF(ISBLANK(A2546),,IF(ISBLANK(S2546), A2546&amp;"";"", TEXTJOIN(CHAR(10), TRUE, A2546&amp;"";"", ARRAYFORMULA(VLOOKUP(SPLIT(S2546, "";"" &amp; CHAR(10)), $A:$AO, 41, FALSE)))))"),"HiB;")</f>
        <v>HiB;</v>
      </c>
      <c r="AP2546" s="89"/>
    </row>
    <row r="2547">
      <c r="A2547" s="151" t="str">
        <f>IFERROR(__xludf.DUMMYFUNCTION("""COMPUTED_VALUE"""),"HiT")</f>
        <v>HiT</v>
      </c>
      <c r="B2547" s="42" t="str">
        <f>IFERROR(__xludf.DUMMYFUNCTION("""COMPUTED_VALUE"""),"DHBA")</f>
        <v>DHBA</v>
      </c>
      <c r="C2547" s="42" t="str">
        <f>IFERROR(__xludf.DUMMYFUNCTION("""COMPUTED_VALUE"""),"tail of hippocampus")</f>
        <v>tail of hippocampus</v>
      </c>
      <c r="D2547" s="42">
        <f>IFERROR(__xludf.DUMMYFUNCTION("""COMPUTED_VALUE"""),2429.0)</f>
        <v>2429</v>
      </c>
      <c r="E2547" s="39" t="str">
        <f>IFERROR(__xludf.DUMMYFUNCTION("""COMPUTED_VALUE"""),"tail of hippocampus")</f>
        <v>tail of hippocampus</v>
      </c>
      <c r="F2547" s="9" t="str">
        <f>IFERROR(__xludf.DUMMYFUNCTION("""COMPUTED_VALUE"""),"Br")</f>
        <v>Br</v>
      </c>
      <c r="G2547" s="9" t="str">
        <f>IFERROR(__xludf.DUMMYFUNCTION("""COMPUTED_VALUE"""),"F")</f>
        <v>F</v>
      </c>
      <c r="H2547" s="9" t="str">
        <f>IFERROR(__xludf.DUMMYFUNCTION("""COMPUTED_VALUE"""),"FSS")</f>
        <v>FSS</v>
      </c>
      <c r="I2547" s="9" t="str">
        <f>IFERROR(__xludf.DUMMYFUNCTION("""COMPUTED_VALUE"""),"CeG")</f>
        <v>CeG</v>
      </c>
      <c r="J2547" s="9" t="str">
        <f>IFERROR(__xludf.DUMMYFUNCTION("""COMPUTED_VALUE"""),"LimL")</f>
        <v>LimL</v>
      </c>
      <c r="K2547" s="9" t="str">
        <f>IFERROR(__xludf.DUMMYFUNCTION("""COMPUTED_VALUE"""),"HiF")</f>
        <v>HiF</v>
      </c>
      <c r="L2547" s="9" t="str">
        <f>IFERROR(__xludf.DUMMYFUNCTION("""COMPUTED_VALUE"""),"HiT")</f>
        <v>HiT</v>
      </c>
      <c r="M2547" s="9"/>
      <c r="N2547" s="9"/>
      <c r="O2547" s="9"/>
      <c r="P2547" s="9"/>
      <c r="Q2547" s="9"/>
      <c r="R2547" s="9"/>
      <c r="S2547" s="42" t="str">
        <f>IFERROR(__xludf.DUMMYFUNCTION("""COMPUTED_VALUE"""),"FaG;
Retz")</f>
        <v>FaG;
Retz</v>
      </c>
      <c r="T2547" s="42"/>
      <c r="U2547" s="42" t="b">
        <f>IFERROR(__xludf.DUMMYFUNCTION("""COMPUTED_VALUE"""),FALSE)</f>
        <v>0</v>
      </c>
      <c r="V2547" s="42"/>
      <c r="W2547" s="42"/>
      <c r="X2547" s="42"/>
      <c r="Y2547" s="42"/>
      <c r="Z2547" s="42"/>
      <c r="AA2547" s="42"/>
      <c r="AB2547" s="42" t="str">
        <f>IFERROR(__xludf.DUMMYFUNCTION("""COMPUTED_VALUE"""),"allen institute")</f>
        <v>allen institute</v>
      </c>
      <c r="AC2547" s="42" t="str">
        <f>IFERROR(__xludf.DUMMYFUNCTION("""COMPUTED_VALUE"""),"DHBA")</f>
        <v>DHBA</v>
      </c>
      <c r="AD2547" s="42"/>
      <c r="AE2547" s="42"/>
      <c r="AF2547" s="9"/>
      <c r="AG2547" s="9"/>
      <c r="AH2547" s="42"/>
      <c r="AI2547" s="42"/>
      <c r="AJ2547" s="42"/>
      <c r="AK2547" s="42"/>
      <c r="AL2547" s="42"/>
      <c r="AM2547" s="42"/>
      <c r="AN2547" s="42"/>
      <c r="AO2547" s="63" t="str">
        <f>IFERROR(__xludf.DUMMYFUNCTION("IF(ISBLANK(A2547),,IF(ISBLANK(S2547), A2547&amp;"";"", TEXTJOIN(CHAR(10), TRUE, A2547&amp;"";"", ARRAYFORMULA(VLOOKUP(SPLIT(S2547, "";"" &amp; CHAR(10)), $A:$AO, 41, FALSE)))))"),"HiT;
FaG;
Retz;")</f>
        <v>HiT;
FaG;
Retz;</v>
      </c>
      <c r="AP2547" s="89"/>
    </row>
    <row r="2548">
      <c r="A2548" s="151" t="str">
        <f>IFERROR(__xludf.DUMMYFUNCTION("""COMPUTED_VALUE"""),"FaG")</f>
        <v>FaG</v>
      </c>
      <c r="B2548" s="42" t="str">
        <f>IFERROR(__xludf.DUMMYFUNCTION("""COMPUTED_VALUE"""),"DHBA")</f>
        <v>DHBA</v>
      </c>
      <c r="C2548" s="42" t="str">
        <f>IFERROR(__xludf.DUMMYFUNCTION("""COMPUTED_VALUE"""),"fasciolar gyrus")</f>
        <v>fasciolar gyrus</v>
      </c>
      <c r="D2548" s="42">
        <f>IFERROR(__xludf.DUMMYFUNCTION("""COMPUTED_VALUE"""),2430.0)</f>
        <v>2430</v>
      </c>
      <c r="E2548" s="39" t="str">
        <f>IFERROR(__xludf.DUMMYFUNCTION("""COMPUTED_VALUE"""),"fasciolar gyrus")</f>
        <v>fasciolar gyrus</v>
      </c>
      <c r="F2548" s="9" t="str">
        <f>IFERROR(__xludf.DUMMYFUNCTION("""COMPUTED_VALUE"""),"Br")</f>
        <v>Br</v>
      </c>
      <c r="G2548" s="9" t="str">
        <f>IFERROR(__xludf.DUMMYFUNCTION("""COMPUTED_VALUE"""),"F")</f>
        <v>F</v>
      </c>
      <c r="H2548" s="9" t="str">
        <f>IFERROR(__xludf.DUMMYFUNCTION("""COMPUTED_VALUE"""),"FSS")</f>
        <v>FSS</v>
      </c>
      <c r="I2548" s="9" t="str">
        <f>IFERROR(__xludf.DUMMYFUNCTION("""COMPUTED_VALUE"""),"CeG")</f>
        <v>CeG</v>
      </c>
      <c r="J2548" s="9" t="str">
        <f>IFERROR(__xludf.DUMMYFUNCTION("""COMPUTED_VALUE"""),"LimL")</f>
        <v>LimL</v>
      </c>
      <c r="K2548" s="9" t="str">
        <f>IFERROR(__xludf.DUMMYFUNCTION("""COMPUTED_VALUE"""),"HiF")</f>
        <v>HiF</v>
      </c>
      <c r="L2548" s="9" t="str">
        <f>IFERROR(__xludf.DUMMYFUNCTION("""COMPUTED_VALUE"""),"HiT")</f>
        <v>HiT</v>
      </c>
      <c r="M2548" s="9" t="str">
        <f>IFERROR(__xludf.DUMMYFUNCTION("""COMPUTED_VALUE"""),"FaG")</f>
        <v>FaG</v>
      </c>
      <c r="N2548" s="9"/>
      <c r="O2548" s="9"/>
      <c r="P2548" s="9"/>
      <c r="Q2548" s="9"/>
      <c r="R2548" s="9"/>
      <c r="S2548" s="42"/>
      <c r="T2548" s="42" t="str">
        <f>IFERROR(__xludf.DUMMYFUNCTION("""COMPUTED_VALUE"""),"gyrus")</f>
        <v>gyrus</v>
      </c>
      <c r="U2548" s="159" t="b">
        <f>IFERROR(__xludf.DUMMYFUNCTION("""COMPUTED_VALUE"""),FALSE)</f>
        <v>0</v>
      </c>
      <c r="V2548" s="42"/>
      <c r="W2548" s="42"/>
      <c r="X2548" s="42"/>
      <c r="Y2548" s="42"/>
      <c r="Z2548" s="42"/>
      <c r="AA2548" s="42"/>
      <c r="AB2548" s="42" t="str">
        <f>IFERROR(__xludf.DUMMYFUNCTION("""COMPUTED_VALUE"""),"allen institute")</f>
        <v>allen institute</v>
      </c>
      <c r="AC2548" s="42" t="str">
        <f>IFERROR(__xludf.DUMMYFUNCTION("""COMPUTED_VALUE"""),"DHBA")</f>
        <v>DHBA</v>
      </c>
      <c r="AD2548" s="42"/>
      <c r="AE2548" s="42"/>
      <c r="AF2548" s="9"/>
      <c r="AG2548" s="9"/>
      <c r="AH2548" s="42"/>
      <c r="AI2548" s="42"/>
      <c r="AJ2548" s="42"/>
      <c r="AK2548" s="42"/>
      <c r="AL2548" s="42"/>
      <c r="AM2548" s="42"/>
      <c r="AN2548" s="42"/>
      <c r="AO2548" s="63" t="str">
        <f>IFERROR(__xludf.DUMMYFUNCTION("IF(ISBLANK(A2548),,IF(ISBLANK(S2548), A2548&amp;"";"", TEXTJOIN(CHAR(10), TRUE, A2548&amp;"";"", ARRAYFORMULA(VLOOKUP(SPLIT(S2548, "";"" &amp; CHAR(10)), $A:$AO, 41, FALSE)))))"),"FaG;")</f>
        <v>FaG;</v>
      </c>
      <c r="AP2548" s="89"/>
    </row>
    <row r="2549">
      <c r="A2549" s="151" t="str">
        <f>IFERROR(__xludf.DUMMYFUNCTION("""COMPUTED_VALUE"""),"Retz")</f>
        <v>Retz</v>
      </c>
      <c r="B2549" s="42" t="str">
        <f>IFERROR(__xludf.DUMMYFUNCTION("""COMPUTED_VALUE"""),"DHBA")</f>
        <v>DHBA</v>
      </c>
      <c r="C2549" s="42" t="str">
        <f>IFERROR(__xludf.DUMMYFUNCTION("""COMPUTED_VALUE"""),"Retzius' gyrus")</f>
        <v>Retzius' gyrus</v>
      </c>
      <c r="D2549" s="42">
        <f>IFERROR(__xludf.DUMMYFUNCTION("""COMPUTED_VALUE"""),2431.0)</f>
        <v>2431</v>
      </c>
      <c r="E2549" s="39" t="str">
        <f>IFERROR(__xludf.DUMMYFUNCTION("""COMPUTED_VALUE"""),"Retzius' gyrus")</f>
        <v>Retzius' gyrus</v>
      </c>
      <c r="F2549" s="9" t="str">
        <f>IFERROR(__xludf.DUMMYFUNCTION("""COMPUTED_VALUE"""),"Br")</f>
        <v>Br</v>
      </c>
      <c r="G2549" s="9" t="str">
        <f>IFERROR(__xludf.DUMMYFUNCTION("""COMPUTED_VALUE"""),"F")</f>
        <v>F</v>
      </c>
      <c r="H2549" s="9" t="str">
        <f>IFERROR(__xludf.DUMMYFUNCTION("""COMPUTED_VALUE"""),"FSS")</f>
        <v>FSS</v>
      </c>
      <c r="I2549" s="9" t="str">
        <f>IFERROR(__xludf.DUMMYFUNCTION("""COMPUTED_VALUE"""),"CeG")</f>
        <v>CeG</v>
      </c>
      <c r="J2549" s="9" t="str">
        <f>IFERROR(__xludf.DUMMYFUNCTION("""COMPUTED_VALUE"""),"LimL")</f>
        <v>LimL</v>
      </c>
      <c r="K2549" s="9" t="str">
        <f>IFERROR(__xludf.DUMMYFUNCTION("""COMPUTED_VALUE"""),"HiF")</f>
        <v>HiF</v>
      </c>
      <c r="L2549" s="9" t="str">
        <f>IFERROR(__xludf.DUMMYFUNCTION("""COMPUTED_VALUE"""),"HiT")</f>
        <v>HiT</v>
      </c>
      <c r="M2549" s="9" t="str">
        <f>IFERROR(__xludf.DUMMYFUNCTION("""COMPUTED_VALUE"""),"Retz")</f>
        <v>Retz</v>
      </c>
      <c r="N2549" s="9"/>
      <c r="O2549" s="9"/>
      <c r="P2549" s="9"/>
      <c r="Q2549" s="9"/>
      <c r="R2549" s="9"/>
      <c r="S2549" s="42"/>
      <c r="T2549" s="42" t="str">
        <f>IFERROR(__xludf.DUMMYFUNCTION("""COMPUTED_VALUE"""),"gyrus")</f>
        <v>gyrus</v>
      </c>
      <c r="U2549" s="42" t="b">
        <f>IFERROR(__xludf.DUMMYFUNCTION("""COMPUTED_VALUE"""),FALSE)</f>
        <v>0</v>
      </c>
      <c r="V2549" s="42"/>
      <c r="W2549" s="42"/>
      <c r="X2549" s="42"/>
      <c r="Y2549" s="42"/>
      <c r="Z2549" s="42"/>
      <c r="AA2549" s="42"/>
      <c r="AB2549" s="42" t="str">
        <f>IFERROR(__xludf.DUMMYFUNCTION("""COMPUTED_VALUE"""),"allen institute")</f>
        <v>allen institute</v>
      </c>
      <c r="AC2549" s="42" t="str">
        <f>IFERROR(__xludf.DUMMYFUNCTION("""COMPUTED_VALUE"""),"DHBA")</f>
        <v>DHBA</v>
      </c>
      <c r="AD2549" s="42"/>
      <c r="AE2549" s="42"/>
      <c r="AF2549" s="9"/>
      <c r="AG2549" s="9"/>
      <c r="AH2549" s="42"/>
      <c r="AI2549" s="42"/>
      <c r="AJ2549" s="42"/>
      <c r="AK2549" s="42"/>
      <c r="AL2549" s="42"/>
      <c r="AM2549" s="42"/>
      <c r="AN2549" s="42"/>
      <c r="AO2549" s="63" t="str">
        <f>IFERROR(__xludf.DUMMYFUNCTION("IF(ISBLANK(A2549),,IF(ISBLANK(S2549), A2549&amp;"";"", TEXTJOIN(CHAR(10), TRUE, A2549&amp;"";"", ARRAYFORMULA(VLOOKUP(SPLIT(S2549, "";"" &amp; CHAR(10)), $A:$AO, 41, FALSE)))))"),"Retz;")</f>
        <v>Retz;</v>
      </c>
      <c r="AP2549" s="89"/>
    </row>
    <row r="2550">
      <c r="A2550" s="151" t="str">
        <f>IFERROR(__xludf.DUMMYFUNCTION("""COMPUTED_VALUE"""),"Subx")</f>
        <v>Subx</v>
      </c>
      <c r="B2550" s="42" t="str">
        <f>IFERROR(__xludf.DUMMYFUNCTION("""COMPUTED_VALUE"""),"DHBA")</f>
        <v>DHBA</v>
      </c>
      <c r="C2550" s="42" t="str">
        <f>IFERROR(__xludf.DUMMYFUNCTION("""COMPUTED_VALUE"""),"subicular complex")</f>
        <v>subicular complex</v>
      </c>
      <c r="D2550" s="42">
        <f>IFERROR(__xludf.DUMMYFUNCTION("""COMPUTED_VALUE"""),2432.0)</f>
        <v>2432</v>
      </c>
      <c r="E2550" s="39" t="str">
        <f>IFERROR(__xludf.DUMMYFUNCTION("""COMPUTED_VALUE"""),"subicular complex")</f>
        <v>subicular complex</v>
      </c>
      <c r="F2550" s="9" t="str">
        <f>IFERROR(__xludf.DUMMYFUNCTION("""COMPUTED_VALUE"""),"Br")</f>
        <v>Br</v>
      </c>
      <c r="G2550" s="9" t="str">
        <f>IFERROR(__xludf.DUMMYFUNCTION("""COMPUTED_VALUE"""),"F")</f>
        <v>F</v>
      </c>
      <c r="H2550" s="9" t="str">
        <f>IFERROR(__xludf.DUMMYFUNCTION("""COMPUTED_VALUE"""),"FSS")</f>
        <v>FSS</v>
      </c>
      <c r="I2550" s="9" t="str">
        <f>IFERROR(__xludf.DUMMYFUNCTION("""COMPUTED_VALUE"""),"CeG")</f>
        <v>CeG</v>
      </c>
      <c r="J2550" s="9" t="str">
        <f>IFERROR(__xludf.DUMMYFUNCTION("""COMPUTED_VALUE"""),"LimL")</f>
        <v>LimL</v>
      </c>
      <c r="K2550" s="9" t="str">
        <f>IFERROR(__xludf.DUMMYFUNCTION("""COMPUTED_VALUE"""),"HiF")</f>
        <v>HiF</v>
      </c>
      <c r="L2550" s="9" t="str">
        <f>IFERROR(__xludf.DUMMYFUNCTION("""COMPUTED_VALUE"""),"Subx")</f>
        <v>Subx</v>
      </c>
      <c r="M2550" s="9"/>
      <c r="N2550" s="9"/>
      <c r="O2550" s="9"/>
      <c r="P2550" s="9"/>
      <c r="Q2550" s="9"/>
      <c r="R2550" s="9"/>
      <c r="S2550" s="42"/>
      <c r="T2550" s="42"/>
      <c r="U2550" s="42"/>
      <c r="V2550" s="42"/>
      <c r="W2550" s="42"/>
      <c r="X2550" s="42"/>
      <c r="Y2550" s="42"/>
      <c r="Z2550" s="42"/>
      <c r="AA2550" s="42"/>
      <c r="AB2550" s="42" t="str">
        <f>IFERROR(__xludf.DUMMYFUNCTION("""COMPUTED_VALUE"""),"allen institute")</f>
        <v>allen institute</v>
      </c>
      <c r="AC2550" s="42" t="str">
        <f>IFERROR(__xludf.DUMMYFUNCTION("""COMPUTED_VALUE"""),"DHBA")</f>
        <v>DHBA</v>
      </c>
      <c r="AD2550" s="42"/>
      <c r="AE2550" s="42"/>
      <c r="AF2550" s="9"/>
      <c r="AG2550" s="9"/>
      <c r="AH2550" s="42"/>
      <c r="AI2550" s="42"/>
      <c r="AJ2550" s="42"/>
      <c r="AK2550" s="42"/>
      <c r="AL2550" s="42"/>
      <c r="AM2550" s="42"/>
      <c r="AN2550" s="42"/>
      <c r="AO2550" s="63" t="str">
        <f>IFERROR(__xludf.DUMMYFUNCTION("IF(ISBLANK(A2550),,IF(ISBLANK(S2550), A2550&amp;"";"", TEXTJOIN(CHAR(10), TRUE, A2550&amp;"";"", ARRAYFORMULA(VLOOKUP(SPLIT(S2550, "";"" &amp; CHAR(10)), $A:$AO, 41, FALSE)))))"),"Subx;")</f>
        <v>Subx;</v>
      </c>
      <c r="AP2550" s="89"/>
    </row>
    <row r="2551">
      <c r="A2551" s="151" t="str">
        <f>IFERROR(__xludf.DUMMYFUNCTION("""COMPUTED_VALUE"""),"PrPir")</f>
        <v>PrPir</v>
      </c>
      <c r="B2551" s="42" t="str">
        <f>IFERROR(__xludf.DUMMYFUNCTION("""COMPUTED_VALUE"""),"DHBA")</f>
        <v>DHBA</v>
      </c>
      <c r="C2551" s="42" t="str">
        <f>IFERROR(__xludf.DUMMYFUNCTION("""COMPUTED_VALUE"""),"prepiriform region")</f>
        <v>prepiriform region</v>
      </c>
      <c r="D2551" s="42">
        <f>IFERROR(__xludf.DUMMYFUNCTION("""COMPUTED_VALUE"""),2433.0)</f>
        <v>2433</v>
      </c>
      <c r="E2551" s="39" t="str">
        <f>IFERROR(__xludf.DUMMYFUNCTION("""COMPUTED_VALUE"""),"prepiriform region")</f>
        <v>prepiriform region</v>
      </c>
      <c r="F2551" s="9" t="str">
        <f>IFERROR(__xludf.DUMMYFUNCTION("""COMPUTED_VALUE"""),"Br")</f>
        <v>Br</v>
      </c>
      <c r="G2551" s="9" t="str">
        <f>IFERROR(__xludf.DUMMYFUNCTION("""COMPUTED_VALUE"""),"F")</f>
        <v>F</v>
      </c>
      <c r="H2551" s="9" t="str">
        <f>IFERROR(__xludf.DUMMYFUNCTION("""COMPUTED_VALUE"""),"FSS")</f>
        <v>FSS</v>
      </c>
      <c r="I2551" s="9" t="str">
        <f>IFERROR(__xludf.DUMMYFUNCTION("""COMPUTED_VALUE"""),"CeG")</f>
        <v>CeG</v>
      </c>
      <c r="J2551" s="9" t="str">
        <f>IFERROR(__xludf.DUMMYFUNCTION("""COMPUTED_VALUE"""),"LimL")</f>
        <v>LimL</v>
      </c>
      <c r="K2551" s="9" t="str">
        <f>IFERROR(__xludf.DUMMYFUNCTION("""COMPUTED_VALUE"""),"PrPir")</f>
        <v>PrPir</v>
      </c>
      <c r="L2551" s="9"/>
      <c r="M2551" s="9"/>
      <c r="N2551" s="9"/>
      <c r="O2551" s="9"/>
      <c r="P2551" s="9"/>
      <c r="Q2551" s="9"/>
      <c r="R2551" s="9"/>
      <c r="S2551" s="42"/>
      <c r="T2551" s="42"/>
      <c r="U2551" s="42"/>
      <c r="V2551" s="42"/>
      <c r="W2551" s="42"/>
      <c r="X2551" s="42"/>
      <c r="Y2551" s="42"/>
      <c r="Z2551" s="42"/>
      <c r="AA2551" s="42"/>
      <c r="AB2551" s="42" t="str">
        <f>IFERROR(__xludf.DUMMYFUNCTION("""COMPUTED_VALUE"""),"allen institute")</f>
        <v>allen institute</v>
      </c>
      <c r="AC2551" s="42" t="str">
        <f>IFERROR(__xludf.DUMMYFUNCTION("""COMPUTED_VALUE"""),"DHBA")</f>
        <v>DHBA</v>
      </c>
      <c r="AD2551" s="42"/>
      <c r="AE2551" s="42"/>
      <c r="AF2551" s="9"/>
      <c r="AG2551" s="9"/>
      <c r="AH2551" s="42"/>
      <c r="AI2551" s="42"/>
      <c r="AJ2551" s="42"/>
      <c r="AK2551" s="42"/>
      <c r="AL2551" s="42"/>
      <c r="AM2551" s="42"/>
      <c r="AN2551" s="42"/>
      <c r="AO2551" s="63" t="str">
        <f>IFERROR(__xludf.DUMMYFUNCTION("IF(ISBLANK(A2551),,IF(ISBLANK(S2551), A2551&amp;"";"", TEXTJOIN(CHAR(10), TRUE, A2551&amp;"";"", ARRAYFORMULA(VLOOKUP(SPLIT(S2551, "";"" &amp; CHAR(10)), $A:$AO, 41, FALSE)))))"),"PrPir;")</f>
        <v>PrPir;</v>
      </c>
      <c r="AP2551" s="89"/>
    </row>
    <row r="2552">
      <c r="A2552" s="151" t="str">
        <f>IFERROR(__xludf.DUMMYFUNCTION("""COMPUTED_VALUE"""),"APS")</f>
        <v>APS</v>
      </c>
      <c r="B2552" s="42" t="str">
        <f>IFERROR(__xludf.DUMMYFUNCTION("""COMPUTED_VALUE"""),"DHBA")</f>
        <v>DHBA</v>
      </c>
      <c r="C2552" s="42" t="str">
        <f>IFERROR(__xludf.DUMMYFUNCTION("""COMPUTED_VALUE"""),"anterior perforated substance")</f>
        <v>anterior perforated substance</v>
      </c>
      <c r="D2552" s="42">
        <f>IFERROR(__xludf.DUMMYFUNCTION("""COMPUTED_VALUE"""),2434.0)</f>
        <v>2434</v>
      </c>
      <c r="E2552" s="39" t="str">
        <f>IFERROR(__xludf.DUMMYFUNCTION("""COMPUTED_VALUE"""),"anterior perforated substance")</f>
        <v>anterior perforated substance</v>
      </c>
      <c r="F2552" s="9" t="str">
        <f>IFERROR(__xludf.DUMMYFUNCTION("""COMPUTED_VALUE"""),"Br")</f>
        <v>Br</v>
      </c>
      <c r="G2552" s="9" t="str">
        <f>IFERROR(__xludf.DUMMYFUNCTION("""COMPUTED_VALUE"""),"F")</f>
        <v>F</v>
      </c>
      <c r="H2552" s="9" t="str">
        <f>IFERROR(__xludf.DUMMYFUNCTION("""COMPUTED_VALUE"""),"FSS")</f>
        <v>FSS</v>
      </c>
      <c r="I2552" s="9" t="str">
        <f>IFERROR(__xludf.DUMMYFUNCTION("""COMPUTED_VALUE"""),"APS")</f>
        <v>APS</v>
      </c>
      <c r="J2552" s="9"/>
      <c r="K2552" s="9"/>
      <c r="L2552" s="9"/>
      <c r="M2552" s="9"/>
      <c r="N2552" s="9"/>
      <c r="O2552" s="9"/>
      <c r="P2552" s="9"/>
      <c r="Q2552" s="9"/>
      <c r="R2552" s="9"/>
      <c r="S2552" s="42"/>
      <c r="T2552" s="42"/>
      <c r="U2552" s="159"/>
      <c r="V2552" s="42"/>
      <c r="W2552" s="42"/>
      <c r="X2552" s="42"/>
      <c r="Y2552" s="42"/>
      <c r="Z2552" s="42"/>
      <c r="AA2552" s="42"/>
      <c r="AB2552" s="42" t="str">
        <f>IFERROR(__xludf.DUMMYFUNCTION("""COMPUTED_VALUE"""),"allen institute")</f>
        <v>allen institute</v>
      </c>
      <c r="AC2552" s="42" t="str">
        <f>IFERROR(__xludf.DUMMYFUNCTION("""COMPUTED_VALUE"""),"DHBA")</f>
        <v>DHBA</v>
      </c>
      <c r="AD2552" s="42"/>
      <c r="AE2552" s="42"/>
      <c r="AF2552" s="9"/>
      <c r="AG2552" s="9"/>
      <c r="AH2552" s="42"/>
      <c r="AI2552" s="42"/>
      <c r="AJ2552" s="42"/>
      <c r="AK2552" s="42"/>
      <c r="AL2552" s="42"/>
      <c r="AM2552" s="42"/>
      <c r="AN2552" s="42"/>
      <c r="AO2552" s="63" t="str">
        <f>IFERROR(__xludf.DUMMYFUNCTION("IF(ISBLANK(A2552),,IF(ISBLANK(S2552), A2552&amp;"";"", TEXTJOIN(CHAR(10), TRUE, A2552&amp;"";"", ARRAYFORMULA(VLOOKUP(SPLIT(S2552, "";"" &amp; CHAR(10)), $A:$AO, 41, FALSE)))))"),"APS;")</f>
        <v>APS;</v>
      </c>
      <c r="AP2552" s="89"/>
    </row>
    <row r="2553">
      <c r="A2553" s="151" t="str">
        <f>IFERROR(__xludf.DUMMYFUNCTION("""COMPUTED_VALUE"""),"HaTr")</f>
        <v>HaTr</v>
      </c>
      <c r="B2553" s="42" t="str">
        <f>IFERROR(__xludf.DUMMYFUNCTION("""COMPUTED_VALUE"""),"DHBA")</f>
        <v>DHBA</v>
      </c>
      <c r="C2553" s="42" t="str">
        <f>IFERROR(__xludf.DUMMYFUNCTION("""COMPUTED_VALUE"""),"habenular triangle")</f>
        <v>habenular triangle</v>
      </c>
      <c r="D2553" s="42">
        <f>IFERROR(__xludf.DUMMYFUNCTION("""COMPUTED_VALUE"""),2435.0)</f>
        <v>2435</v>
      </c>
      <c r="E2553" s="39" t="str">
        <f>IFERROR(__xludf.DUMMYFUNCTION("""COMPUTED_VALUE"""),"habenular triangle")</f>
        <v>habenular triangle</v>
      </c>
      <c r="F2553" s="9" t="str">
        <f>IFERROR(__xludf.DUMMYFUNCTION("""COMPUTED_VALUE"""),"Br")</f>
        <v>Br</v>
      </c>
      <c r="G2553" s="9" t="str">
        <f>IFERROR(__xludf.DUMMYFUNCTION("""COMPUTED_VALUE"""),"F")</f>
        <v>F</v>
      </c>
      <c r="H2553" s="9" t="str">
        <f>IFERROR(__xludf.DUMMYFUNCTION("""COMPUTED_VALUE"""),"FSS")</f>
        <v>FSS</v>
      </c>
      <c r="I2553" s="9" t="str">
        <f>IFERROR(__xludf.DUMMYFUNCTION("""COMPUTED_VALUE"""),"HaTr")</f>
        <v>HaTr</v>
      </c>
      <c r="J2553" s="9"/>
      <c r="K2553" s="9"/>
      <c r="L2553" s="9"/>
      <c r="M2553" s="9"/>
      <c r="N2553" s="9"/>
      <c r="O2553" s="9"/>
      <c r="P2553" s="9"/>
      <c r="Q2553" s="9"/>
      <c r="R2553" s="9"/>
      <c r="S2553" s="42"/>
      <c r="T2553" s="42"/>
      <c r="U2553" s="42"/>
      <c r="V2553" s="42"/>
      <c r="W2553" s="42"/>
      <c r="X2553" s="42"/>
      <c r="Y2553" s="42"/>
      <c r="Z2553" s="42"/>
      <c r="AA2553" s="42"/>
      <c r="AB2553" s="42" t="str">
        <f>IFERROR(__xludf.DUMMYFUNCTION("""COMPUTED_VALUE"""),"allen institute")</f>
        <v>allen institute</v>
      </c>
      <c r="AC2553" s="42" t="str">
        <f>IFERROR(__xludf.DUMMYFUNCTION("""COMPUTED_VALUE"""),"DHBA")</f>
        <v>DHBA</v>
      </c>
      <c r="AD2553" s="42"/>
      <c r="AE2553" s="42"/>
      <c r="AF2553" s="9"/>
      <c r="AG2553" s="9"/>
      <c r="AH2553" s="42"/>
      <c r="AI2553" s="42"/>
      <c r="AJ2553" s="42"/>
      <c r="AK2553" s="42"/>
      <c r="AL2553" s="42"/>
      <c r="AM2553" s="42"/>
      <c r="AN2553" s="42"/>
      <c r="AO2553" s="63" t="str">
        <f>IFERROR(__xludf.DUMMYFUNCTION("IF(ISBLANK(A2553),,IF(ISBLANK(S2553), A2553&amp;"";"", TEXTJOIN(CHAR(10), TRUE, A2553&amp;"";"", ARRAYFORMULA(VLOOKUP(SPLIT(S2553, "";"" &amp; CHAR(10)), $A:$AO, 41, FALSE)))))"),"HaTr;")</f>
        <v>HaTr;</v>
      </c>
      <c r="AP2553" s="89"/>
    </row>
    <row r="2554">
      <c r="A2554" s="151" t="str">
        <f>IFERROR(__xludf.DUMMYFUNCTION("""COMPUTED_VALUE"""),"InF")</f>
        <v>InF</v>
      </c>
      <c r="B2554" s="42" t="str">
        <f>IFERROR(__xludf.DUMMYFUNCTION("""COMPUTED_VALUE"""),"DHBA")</f>
        <v>DHBA</v>
      </c>
      <c r="C2554" s="42" t="str">
        <f>IFERROR(__xludf.DUMMYFUNCTION("""COMPUTED_VALUE"""),"infundibular stalk")</f>
        <v>infundibular stalk</v>
      </c>
      <c r="D2554" s="42">
        <f>IFERROR(__xludf.DUMMYFUNCTION("""COMPUTED_VALUE"""),2436.0)</f>
        <v>2436</v>
      </c>
      <c r="E2554" s="39" t="str">
        <f>IFERROR(__xludf.DUMMYFUNCTION("""COMPUTED_VALUE"""),"infundibular stalk")</f>
        <v>infundibular stalk</v>
      </c>
      <c r="F2554" s="9" t="str">
        <f>IFERROR(__xludf.DUMMYFUNCTION("""COMPUTED_VALUE"""),"Br")</f>
        <v>Br</v>
      </c>
      <c r="G2554" s="9" t="str">
        <f>IFERROR(__xludf.DUMMYFUNCTION("""COMPUTED_VALUE"""),"F")</f>
        <v>F</v>
      </c>
      <c r="H2554" s="9" t="str">
        <f>IFERROR(__xludf.DUMMYFUNCTION("""COMPUTED_VALUE"""),"FSS")</f>
        <v>FSS</v>
      </c>
      <c r="I2554" s="9" t="str">
        <f>IFERROR(__xludf.DUMMYFUNCTION("""COMPUTED_VALUE"""),"InF")</f>
        <v>InF</v>
      </c>
      <c r="J2554" s="9"/>
      <c r="K2554" s="9"/>
      <c r="L2554" s="9"/>
      <c r="M2554" s="9"/>
      <c r="N2554" s="9"/>
      <c r="O2554" s="9"/>
      <c r="P2554" s="9"/>
      <c r="Q2554" s="9"/>
      <c r="R2554" s="9"/>
      <c r="S2554" s="42"/>
      <c r="T2554" s="42"/>
      <c r="U2554" s="42"/>
      <c r="V2554" s="42"/>
      <c r="W2554" s="42"/>
      <c r="X2554" s="42"/>
      <c r="Y2554" s="42"/>
      <c r="Z2554" s="42"/>
      <c r="AA2554" s="42"/>
      <c r="AB2554" s="42" t="str">
        <f>IFERROR(__xludf.DUMMYFUNCTION("""COMPUTED_VALUE"""),"allen institute")</f>
        <v>allen institute</v>
      </c>
      <c r="AC2554" s="42" t="str">
        <f>IFERROR(__xludf.DUMMYFUNCTION("""COMPUTED_VALUE"""),"DHBA")</f>
        <v>DHBA</v>
      </c>
      <c r="AD2554" s="42"/>
      <c r="AE2554" s="42"/>
      <c r="AF2554" s="9"/>
      <c r="AG2554" s="9"/>
      <c r="AH2554" s="42"/>
      <c r="AI2554" s="42"/>
      <c r="AJ2554" s="42"/>
      <c r="AK2554" s="42"/>
      <c r="AL2554" s="42"/>
      <c r="AM2554" s="42"/>
      <c r="AN2554" s="42"/>
      <c r="AO2554" s="63" t="str">
        <f>IFERROR(__xludf.DUMMYFUNCTION("IF(ISBLANK(A2554),,IF(ISBLANK(S2554), A2554&amp;"";"", TEXTJOIN(CHAR(10), TRUE, A2554&amp;"";"", ARRAYFORMULA(VLOOKUP(SPLIT(S2554, "";"" &amp; CHAR(10)), $A:$AO, 41, FALSE)))))"),"InF;")</f>
        <v>InF;</v>
      </c>
      <c r="AP2554" s="89"/>
    </row>
    <row r="2555">
      <c r="A2555" s="151" t="str">
        <f>IFERROR(__xludf.DUMMYFUNCTION("""COMPUTED_VALUE"""),"LI")</f>
        <v>LI</v>
      </c>
      <c r="B2555" s="42" t="str">
        <f>IFERROR(__xludf.DUMMYFUNCTION("""COMPUTED_VALUE"""),"DHBA")</f>
        <v>DHBA</v>
      </c>
      <c r="C2555" s="42" t="str">
        <f>IFERROR(__xludf.DUMMYFUNCTION("""COMPUTED_VALUE"""),"limen insula")</f>
        <v>limen insula</v>
      </c>
      <c r="D2555" s="42">
        <f>IFERROR(__xludf.DUMMYFUNCTION("""COMPUTED_VALUE"""),2437.0)</f>
        <v>2437</v>
      </c>
      <c r="E2555" s="39" t="str">
        <f>IFERROR(__xludf.DUMMYFUNCTION("""COMPUTED_VALUE"""),"limen insula")</f>
        <v>limen insula</v>
      </c>
      <c r="F2555" s="9" t="str">
        <f>IFERROR(__xludf.DUMMYFUNCTION("""COMPUTED_VALUE"""),"Br")</f>
        <v>Br</v>
      </c>
      <c r="G2555" s="9" t="str">
        <f>IFERROR(__xludf.DUMMYFUNCTION("""COMPUTED_VALUE"""),"F")</f>
        <v>F</v>
      </c>
      <c r="H2555" s="9" t="str">
        <f>IFERROR(__xludf.DUMMYFUNCTION("""COMPUTED_VALUE"""),"FSS")</f>
        <v>FSS</v>
      </c>
      <c r="I2555" s="9" t="str">
        <f>IFERROR(__xludf.DUMMYFUNCTION("""COMPUTED_VALUE"""),"LI")</f>
        <v>LI</v>
      </c>
      <c r="J2555" s="9"/>
      <c r="K2555" s="9"/>
      <c r="L2555" s="9"/>
      <c r="M2555" s="9"/>
      <c r="N2555" s="9"/>
      <c r="O2555" s="9"/>
      <c r="P2555" s="9"/>
      <c r="Q2555" s="9"/>
      <c r="R2555" s="9"/>
      <c r="S2555" s="42"/>
      <c r="T2555" s="42"/>
      <c r="U2555" s="42"/>
      <c r="V2555" s="42"/>
      <c r="W2555" s="42"/>
      <c r="X2555" s="42"/>
      <c r="Y2555" s="42"/>
      <c r="Z2555" s="42"/>
      <c r="AA2555" s="42"/>
      <c r="AB2555" s="42" t="str">
        <f>IFERROR(__xludf.DUMMYFUNCTION("""COMPUTED_VALUE"""),"allen institute")</f>
        <v>allen institute</v>
      </c>
      <c r="AC2555" s="42" t="str">
        <f>IFERROR(__xludf.DUMMYFUNCTION("""COMPUTED_VALUE"""),"DHBA")</f>
        <v>DHBA</v>
      </c>
      <c r="AD2555" s="42"/>
      <c r="AE2555" s="42"/>
      <c r="AF2555" s="9"/>
      <c r="AG2555" s="9"/>
      <c r="AH2555" s="42"/>
      <c r="AI2555" s="42"/>
      <c r="AJ2555" s="42"/>
      <c r="AK2555" s="42"/>
      <c r="AL2555" s="42"/>
      <c r="AM2555" s="42"/>
      <c r="AN2555" s="42"/>
      <c r="AO2555" s="63" t="str">
        <f>IFERROR(__xludf.DUMMYFUNCTION("IF(ISBLANK(A2555),,IF(ISBLANK(S2555), A2555&amp;"";"", TEXTJOIN(CHAR(10), TRUE, A2555&amp;"";"", ARRAYFORMULA(VLOOKUP(SPLIT(S2555, "";"" &amp; CHAR(10)), $A:$AO, 41, FALSE)))))"),"LI;")</f>
        <v>LI;</v>
      </c>
      <c r="AP2555" s="89"/>
    </row>
    <row r="2556">
      <c r="A2556" s="151" t="str">
        <f>IFERROR(__xludf.DUMMYFUNCTION("""COMPUTED_VALUE"""),"MB")</f>
        <v>MB</v>
      </c>
      <c r="B2556" s="42" t="str">
        <f>IFERROR(__xludf.DUMMYFUNCTION("""COMPUTED_VALUE"""),"DHBA")</f>
        <v>DHBA</v>
      </c>
      <c r="C2556" s="42" t="str">
        <f>IFERROR(__xludf.DUMMYFUNCTION("""COMPUTED_VALUE"""),"mammillary body")</f>
        <v>mammillary body</v>
      </c>
      <c r="D2556" s="42">
        <f>IFERROR(__xludf.DUMMYFUNCTION("""COMPUTED_VALUE"""),2438.0)</f>
        <v>2438</v>
      </c>
      <c r="E2556" s="39" t="str">
        <f>IFERROR(__xludf.DUMMYFUNCTION("""COMPUTED_VALUE"""),"mammillary body")</f>
        <v>mammillary body</v>
      </c>
      <c r="F2556" s="9" t="str">
        <f>IFERROR(__xludf.DUMMYFUNCTION("""COMPUTED_VALUE"""),"Br")</f>
        <v>Br</v>
      </c>
      <c r="G2556" s="9" t="str">
        <f>IFERROR(__xludf.DUMMYFUNCTION("""COMPUTED_VALUE"""),"F")</f>
        <v>F</v>
      </c>
      <c r="H2556" s="9" t="str">
        <f>IFERROR(__xludf.DUMMYFUNCTION("""COMPUTED_VALUE"""),"FSS")</f>
        <v>FSS</v>
      </c>
      <c r="I2556" s="9" t="str">
        <f>IFERROR(__xludf.DUMMYFUNCTION("""COMPUTED_VALUE"""),"MB")</f>
        <v>MB</v>
      </c>
      <c r="J2556" s="9"/>
      <c r="K2556" s="9"/>
      <c r="L2556" s="9"/>
      <c r="M2556" s="9"/>
      <c r="N2556" s="9"/>
      <c r="O2556" s="9"/>
      <c r="P2556" s="9"/>
      <c r="Q2556" s="9"/>
      <c r="R2556" s="9"/>
      <c r="S2556" s="42"/>
      <c r="T2556" s="42"/>
      <c r="U2556" s="159"/>
      <c r="V2556" s="42"/>
      <c r="W2556" s="42"/>
      <c r="X2556" s="42"/>
      <c r="Y2556" s="42"/>
      <c r="Z2556" s="42"/>
      <c r="AA2556" s="42"/>
      <c r="AB2556" s="42" t="str">
        <f>IFERROR(__xludf.DUMMYFUNCTION("""COMPUTED_VALUE"""),"allen institute")</f>
        <v>allen institute</v>
      </c>
      <c r="AC2556" s="42" t="str">
        <f>IFERROR(__xludf.DUMMYFUNCTION("""COMPUTED_VALUE"""),"DHBA")</f>
        <v>DHBA</v>
      </c>
      <c r="AD2556" s="42"/>
      <c r="AE2556" s="42"/>
      <c r="AF2556" s="9"/>
      <c r="AG2556" s="9"/>
      <c r="AH2556" s="42"/>
      <c r="AI2556" s="42"/>
      <c r="AJ2556" s="42"/>
      <c r="AK2556" s="42"/>
      <c r="AL2556" s="42"/>
      <c r="AM2556" s="42"/>
      <c r="AN2556" s="42"/>
      <c r="AO2556" s="63" t="str">
        <f>IFERROR(__xludf.DUMMYFUNCTION("IF(ISBLANK(A2556),,IF(ISBLANK(S2556), A2556&amp;"";"", TEXTJOIN(CHAR(10), TRUE, A2556&amp;"";"", ARRAYFORMULA(VLOOKUP(SPLIT(S2556, "";"" &amp; CHAR(10)), $A:$AO, 41, FALSE)))))"),"MB;")</f>
        <v>MB;</v>
      </c>
      <c r="AP2556" s="89"/>
    </row>
    <row r="2557">
      <c r="A2557" s="151" t="str">
        <f>IFERROR(__xludf.DUMMYFUNCTION("""COMPUTED_VALUE"""),"PrN")</f>
        <v>PrN</v>
      </c>
      <c r="B2557" s="42" t="str">
        <f>IFERROR(__xludf.DUMMYFUNCTION("""COMPUTED_VALUE"""),"DHBA")</f>
        <v>DHBA</v>
      </c>
      <c r="C2557" s="42" t="str">
        <f>IFERROR(__xludf.DUMMYFUNCTION("""COMPUTED_VALUE"""),"preoccipital notch")</f>
        <v>preoccipital notch</v>
      </c>
      <c r="D2557" s="42">
        <f>IFERROR(__xludf.DUMMYFUNCTION("""COMPUTED_VALUE"""),2439.0)</f>
        <v>2439</v>
      </c>
      <c r="E2557" s="39" t="str">
        <f>IFERROR(__xludf.DUMMYFUNCTION("""COMPUTED_VALUE"""),"preoccipital notch")</f>
        <v>preoccipital notch</v>
      </c>
      <c r="F2557" s="9" t="str">
        <f>IFERROR(__xludf.DUMMYFUNCTION("""COMPUTED_VALUE"""),"Br")</f>
        <v>Br</v>
      </c>
      <c r="G2557" s="9" t="str">
        <f>IFERROR(__xludf.DUMMYFUNCTION("""COMPUTED_VALUE"""),"F")</f>
        <v>F</v>
      </c>
      <c r="H2557" s="9" t="str">
        <f>IFERROR(__xludf.DUMMYFUNCTION("""COMPUTED_VALUE"""),"FSS")</f>
        <v>FSS</v>
      </c>
      <c r="I2557" s="9" t="str">
        <f>IFERROR(__xludf.DUMMYFUNCTION("""COMPUTED_VALUE"""),"PrN")</f>
        <v>PrN</v>
      </c>
      <c r="J2557" s="9"/>
      <c r="K2557" s="9"/>
      <c r="L2557" s="9"/>
      <c r="M2557" s="9"/>
      <c r="N2557" s="9"/>
      <c r="O2557" s="9"/>
      <c r="P2557" s="9"/>
      <c r="Q2557" s="9"/>
      <c r="R2557" s="9"/>
      <c r="S2557" s="42"/>
      <c r="T2557" s="42"/>
      <c r="U2557" s="159"/>
      <c r="V2557" s="42"/>
      <c r="W2557" s="42"/>
      <c r="X2557" s="42"/>
      <c r="Y2557" s="42"/>
      <c r="Z2557" s="42"/>
      <c r="AA2557" s="42"/>
      <c r="AB2557" s="42" t="str">
        <f>IFERROR(__xludf.DUMMYFUNCTION("""COMPUTED_VALUE"""),"allen institute")</f>
        <v>allen institute</v>
      </c>
      <c r="AC2557" s="42" t="str">
        <f>IFERROR(__xludf.DUMMYFUNCTION("""COMPUTED_VALUE"""),"DHBA")</f>
        <v>DHBA</v>
      </c>
      <c r="AD2557" s="42"/>
      <c r="AE2557" s="42"/>
      <c r="AF2557" s="9"/>
      <c r="AG2557" s="9"/>
      <c r="AH2557" s="42"/>
      <c r="AI2557" s="42"/>
      <c r="AJ2557" s="42"/>
      <c r="AK2557" s="42"/>
      <c r="AL2557" s="42"/>
      <c r="AM2557" s="42"/>
      <c r="AN2557" s="42"/>
      <c r="AO2557" s="63" t="str">
        <f>IFERROR(__xludf.DUMMYFUNCTION("IF(ISBLANK(A2557),,IF(ISBLANK(S2557), A2557&amp;"";"", TEXTJOIN(CHAR(10), TRUE, A2557&amp;"";"", ARRAYFORMULA(VLOOKUP(SPLIT(S2557, "";"" &amp; CHAR(10)), $A:$AO, 41, FALSE)))))"),"PrN;")</f>
        <v>PrN;</v>
      </c>
      <c r="AP2557" s="89"/>
    </row>
    <row r="2558">
      <c r="A2558" s="151" t="str">
        <f>IFERROR(__xludf.DUMMYFUNCTION("""COMPUTED_VALUE"""),"TPUJ")</f>
        <v>TPUJ</v>
      </c>
      <c r="B2558" s="42" t="str">
        <f>IFERROR(__xludf.DUMMYFUNCTION("""COMPUTED_VALUE"""),"DHBA")</f>
        <v>DHBA</v>
      </c>
      <c r="C2558" s="42" t="str">
        <f>IFERROR(__xludf.DUMMYFUNCTION("""COMPUTED_VALUE"""),"temporopolar uncal junction")</f>
        <v>temporopolar uncal junction</v>
      </c>
      <c r="D2558" s="42">
        <f>IFERROR(__xludf.DUMMYFUNCTION("""COMPUTED_VALUE"""),2440.0)</f>
        <v>2440</v>
      </c>
      <c r="E2558" s="39" t="str">
        <f>IFERROR(__xludf.DUMMYFUNCTION("""COMPUTED_VALUE"""),"temporopolar uncal junction")</f>
        <v>temporopolar uncal junction</v>
      </c>
      <c r="F2558" s="9" t="str">
        <f>IFERROR(__xludf.DUMMYFUNCTION("""COMPUTED_VALUE"""),"Br")</f>
        <v>Br</v>
      </c>
      <c r="G2558" s="9" t="str">
        <f>IFERROR(__xludf.DUMMYFUNCTION("""COMPUTED_VALUE"""),"F")</f>
        <v>F</v>
      </c>
      <c r="H2558" s="9" t="str">
        <f>IFERROR(__xludf.DUMMYFUNCTION("""COMPUTED_VALUE"""),"FSS")</f>
        <v>FSS</v>
      </c>
      <c r="I2558" s="9" t="str">
        <f>IFERROR(__xludf.DUMMYFUNCTION("""COMPUTED_VALUE"""),"TPUJ")</f>
        <v>TPUJ</v>
      </c>
      <c r="J2558" s="9"/>
      <c r="K2558" s="9"/>
      <c r="L2558" s="9"/>
      <c r="M2558" s="9"/>
      <c r="N2558" s="9"/>
      <c r="O2558" s="9"/>
      <c r="P2558" s="9"/>
      <c r="Q2558" s="9"/>
      <c r="R2558" s="9"/>
      <c r="S2558" s="42"/>
      <c r="T2558" s="42" t="str">
        <f>IFERROR(__xludf.DUMMYFUNCTION("""COMPUTED_VALUE"""),"junction")</f>
        <v>junction</v>
      </c>
      <c r="U2558" s="42" t="b">
        <f>IFERROR(__xludf.DUMMYFUNCTION("""COMPUTED_VALUE"""),FALSE)</f>
        <v>0</v>
      </c>
      <c r="V2558" s="42"/>
      <c r="W2558" s="42"/>
      <c r="X2558" s="42"/>
      <c r="Y2558" s="42"/>
      <c r="Z2558" s="42"/>
      <c r="AA2558" s="42"/>
      <c r="AB2558" s="42" t="str">
        <f>IFERROR(__xludf.DUMMYFUNCTION("""COMPUTED_VALUE"""),"allen institute")</f>
        <v>allen institute</v>
      </c>
      <c r="AC2558" s="42" t="str">
        <f>IFERROR(__xludf.DUMMYFUNCTION("""COMPUTED_VALUE"""),"DHBA")</f>
        <v>DHBA</v>
      </c>
      <c r="AD2558" s="42"/>
      <c r="AE2558" s="42"/>
      <c r="AF2558" s="9"/>
      <c r="AG2558" s="9"/>
      <c r="AH2558" s="42"/>
      <c r="AI2558" s="42"/>
      <c r="AJ2558" s="42"/>
      <c r="AK2558" s="42"/>
      <c r="AL2558" s="42"/>
      <c r="AM2558" s="42"/>
      <c r="AN2558" s="42"/>
      <c r="AO2558" s="63" t="str">
        <f>IFERROR(__xludf.DUMMYFUNCTION("IF(ISBLANK(A2558),,IF(ISBLANK(S2558), A2558&amp;"";"", TEXTJOIN(CHAR(10), TRUE, A2558&amp;"";"", ARRAYFORMULA(VLOOKUP(SPLIT(S2558, "";"" &amp; CHAR(10)), $A:$AO, 41, FALSE)))))"),"TPUJ;")</f>
        <v>TPUJ;</v>
      </c>
      <c r="AP2558" s="89"/>
    </row>
    <row r="2559">
      <c r="A2559" s="151" t="str">
        <f>IFERROR(__xludf.DUMMYFUNCTION("""COMPUTED_VALUE"""),"TN")</f>
        <v>TN</v>
      </c>
      <c r="B2559" s="42" t="str">
        <f>IFERROR(__xludf.DUMMYFUNCTION("""COMPUTED_VALUE"""),"DHBA")</f>
        <v>DHBA</v>
      </c>
      <c r="C2559" s="42" t="str">
        <f>IFERROR(__xludf.DUMMYFUNCTION("""COMPUTED_VALUE"""),"tentorial notch")</f>
        <v>tentorial notch</v>
      </c>
      <c r="D2559" s="42">
        <f>IFERROR(__xludf.DUMMYFUNCTION("""COMPUTED_VALUE"""),2441.0)</f>
        <v>2441</v>
      </c>
      <c r="E2559" s="39" t="str">
        <f>IFERROR(__xludf.DUMMYFUNCTION("""COMPUTED_VALUE"""),"tentorial notch")</f>
        <v>tentorial notch</v>
      </c>
      <c r="F2559" s="9" t="str">
        <f>IFERROR(__xludf.DUMMYFUNCTION("""COMPUTED_VALUE"""),"Br")</f>
        <v>Br</v>
      </c>
      <c r="G2559" s="9" t="str">
        <f>IFERROR(__xludf.DUMMYFUNCTION("""COMPUTED_VALUE"""),"F")</f>
        <v>F</v>
      </c>
      <c r="H2559" s="9" t="str">
        <f>IFERROR(__xludf.DUMMYFUNCTION("""COMPUTED_VALUE"""),"FSS")</f>
        <v>FSS</v>
      </c>
      <c r="I2559" s="9" t="str">
        <f>IFERROR(__xludf.DUMMYFUNCTION("""COMPUTED_VALUE"""),"TN")</f>
        <v>TN</v>
      </c>
      <c r="J2559" s="9"/>
      <c r="K2559" s="9"/>
      <c r="L2559" s="9"/>
      <c r="M2559" s="9"/>
      <c r="N2559" s="9"/>
      <c r="O2559" s="9"/>
      <c r="P2559" s="9"/>
      <c r="Q2559" s="9"/>
      <c r="R2559" s="9"/>
      <c r="S2559" s="42"/>
      <c r="T2559" s="42"/>
      <c r="U2559" s="159"/>
      <c r="V2559" s="42"/>
      <c r="W2559" s="42"/>
      <c r="X2559" s="42"/>
      <c r="Y2559" s="42"/>
      <c r="Z2559" s="42"/>
      <c r="AA2559" s="42"/>
      <c r="AB2559" s="42" t="str">
        <f>IFERROR(__xludf.DUMMYFUNCTION("""COMPUTED_VALUE"""),"allen institute")</f>
        <v>allen institute</v>
      </c>
      <c r="AC2559" s="42" t="str">
        <f>IFERROR(__xludf.DUMMYFUNCTION("""COMPUTED_VALUE"""),"DHBA")</f>
        <v>DHBA</v>
      </c>
      <c r="AD2559" s="42"/>
      <c r="AE2559" s="42"/>
      <c r="AF2559" s="9"/>
      <c r="AG2559" s="9"/>
      <c r="AH2559" s="42"/>
      <c r="AI2559" s="42"/>
      <c r="AJ2559" s="42"/>
      <c r="AK2559" s="42"/>
      <c r="AL2559" s="42"/>
      <c r="AM2559" s="42"/>
      <c r="AN2559" s="42"/>
      <c r="AO2559" s="63" t="str">
        <f>IFERROR(__xludf.DUMMYFUNCTION("IF(ISBLANK(A2559),,IF(ISBLANK(S2559), A2559&amp;"";"", TEXTJOIN(CHAR(10), TRUE, A2559&amp;"";"", ARRAYFORMULA(VLOOKUP(SPLIT(S2559, "";"" &amp; CHAR(10)), $A:$AO, 41, FALSE)))))"),"TN;")</f>
        <v>TN;</v>
      </c>
      <c r="AP2559" s="89"/>
    </row>
    <row r="2560">
      <c r="A2560" s="151" t="str">
        <f>IFERROR(__xludf.DUMMYFUNCTION("""COMPUTED_VALUE"""),"TC")</f>
        <v>TC</v>
      </c>
      <c r="B2560" s="42" t="str">
        <f>IFERROR(__xludf.DUMMYFUNCTION("""COMPUTED_VALUE"""),"DHBA")</f>
        <v>DHBA</v>
      </c>
      <c r="C2560" s="42" t="str">
        <f>IFERROR(__xludf.DUMMYFUNCTION("""COMPUTED_VALUE"""),"Tuber cinereum")</f>
        <v>Tuber cinereum</v>
      </c>
      <c r="D2560" s="42">
        <f>IFERROR(__xludf.DUMMYFUNCTION("""COMPUTED_VALUE"""),2442.0)</f>
        <v>2442</v>
      </c>
      <c r="E2560" s="39" t="str">
        <f>IFERROR(__xludf.DUMMYFUNCTION("""COMPUTED_VALUE"""),"tuber cinereum")</f>
        <v>tuber cinereum</v>
      </c>
      <c r="F2560" s="9" t="str">
        <f>IFERROR(__xludf.DUMMYFUNCTION("""COMPUTED_VALUE"""),"Br")</f>
        <v>Br</v>
      </c>
      <c r="G2560" s="9" t="str">
        <f>IFERROR(__xludf.DUMMYFUNCTION("""COMPUTED_VALUE"""),"F")</f>
        <v>F</v>
      </c>
      <c r="H2560" s="9" t="str">
        <f>IFERROR(__xludf.DUMMYFUNCTION("""COMPUTED_VALUE"""),"FSS")</f>
        <v>FSS</v>
      </c>
      <c r="I2560" s="9" t="str">
        <f>IFERROR(__xludf.DUMMYFUNCTION("""COMPUTED_VALUE"""),"TC")</f>
        <v>TC</v>
      </c>
      <c r="J2560" s="9"/>
      <c r="K2560" s="9"/>
      <c r="L2560" s="9"/>
      <c r="M2560" s="9"/>
      <c r="N2560" s="9"/>
      <c r="O2560" s="9"/>
      <c r="P2560" s="9"/>
      <c r="Q2560" s="9"/>
      <c r="R2560" s="9"/>
      <c r="S2560" s="42"/>
      <c r="T2560" s="42"/>
      <c r="U2560" s="159"/>
      <c r="V2560" s="42"/>
      <c r="W2560" s="42"/>
      <c r="X2560" s="42"/>
      <c r="Y2560" s="42"/>
      <c r="Z2560" s="42"/>
      <c r="AA2560" s="42"/>
      <c r="AB2560" s="42" t="str">
        <f>IFERROR(__xludf.DUMMYFUNCTION("""COMPUTED_VALUE"""),"allen institute")</f>
        <v>allen institute</v>
      </c>
      <c r="AC2560" s="42" t="str">
        <f>IFERROR(__xludf.DUMMYFUNCTION("""COMPUTED_VALUE"""),"DHBA")</f>
        <v>DHBA</v>
      </c>
      <c r="AD2560" s="42"/>
      <c r="AE2560" s="42"/>
      <c r="AF2560" s="9"/>
      <c r="AG2560" s="9"/>
      <c r="AH2560" s="42"/>
      <c r="AI2560" s="42"/>
      <c r="AJ2560" s="42"/>
      <c r="AK2560" s="42"/>
      <c r="AL2560" s="42"/>
      <c r="AM2560" s="42"/>
      <c r="AN2560" s="42"/>
      <c r="AO2560" s="63" t="str">
        <f>IFERROR(__xludf.DUMMYFUNCTION("IF(ISBLANK(A2560),,IF(ISBLANK(S2560), A2560&amp;"";"", TEXTJOIN(CHAR(10), TRUE, A2560&amp;"";"", ARRAYFORMULA(VLOOKUP(SPLIT(S2560, "";"" &amp; CHAR(10)), $A:$AO, 41, FALSE)))))"),"TC;")</f>
        <v>TC;</v>
      </c>
      <c r="AP2560" s="89"/>
    </row>
    <row r="2561">
      <c r="A2561" s="151" t="str">
        <f>IFERROR(__xludf.DUMMYFUNCTION("""COMPUTED_VALUE"""),"ASFV")</f>
        <v>ASFV</v>
      </c>
      <c r="B2561" s="42" t="str">
        <f>IFERROR(__xludf.DUMMYFUNCTION("""COMPUTED_VALUE"""),"DHBA")</f>
        <v>DHBA</v>
      </c>
      <c r="C2561" s="42" t="str">
        <f>IFERROR(__xludf.DUMMYFUNCTION("""COMPUTED_VALUE"""),"adjoining structures of forebrain ventricles")</f>
        <v>adjoining structures of forebrain ventricles</v>
      </c>
      <c r="D2561" s="42">
        <f>IFERROR(__xludf.DUMMYFUNCTION("""COMPUTED_VALUE"""),2443.0)</f>
        <v>2443</v>
      </c>
      <c r="E2561" s="39" t="str">
        <f>IFERROR(__xludf.DUMMYFUNCTION("""COMPUTED_VALUE"""),"adjoining structures of forebrain ventricles")</f>
        <v>adjoining structures of forebrain ventricles</v>
      </c>
      <c r="F2561" s="9" t="str">
        <f>IFERROR(__xludf.DUMMYFUNCTION("""COMPUTED_VALUE"""),"Br")</f>
        <v>Br</v>
      </c>
      <c r="G2561" s="9" t="str">
        <f>IFERROR(__xludf.DUMMYFUNCTION("""COMPUTED_VALUE"""),"F")</f>
        <v>F</v>
      </c>
      <c r="H2561" s="9" t="str">
        <f>IFERROR(__xludf.DUMMYFUNCTION("""COMPUTED_VALUE"""),"FSS")</f>
        <v>FSS</v>
      </c>
      <c r="I2561" s="9" t="str">
        <f>IFERROR(__xludf.DUMMYFUNCTION("""COMPUTED_VALUE"""),"ASFV")</f>
        <v>ASFV</v>
      </c>
      <c r="J2561" s="9"/>
      <c r="K2561" s="9"/>
      <c r="L2561" s="9"/>
      <c r="M2561" s="9"/>
      <c r="N2561" s="9"/>
      <c r="O2561" s="9"/>
      <c r="P2561" s="9"/>
      <c r="Q2561" s="9"/>
      <c r="R2561" s="9"/>
      <c r="S2561" s="42" t="str">
        <f>IFERROR(__xludf.DUMMYFUNCTION("""COMPUTED_VALUE"""),"CalA;
ChoLV;
Cho3V;
ChoF;
ColE;
ColT;
hyths;
InTh;
LaT;
OVLT;
SFO;
Pell;
vip")</f>
        <v>CalA;
ChoLV;
Cho3V;
ChoF;
ColE;
ColT;
hyths;
InTh;
LaT;
OVLT;
SFO;
Pell;
vip</v>
      </c>
      <c r="T2561" s="42"/>
      <c r="U2561" s="159" t="b">
        <f>IFERROR(__xludf.DUMMYFUNCTION("""COMPUTED_VALUE"""),FALSE)</f>
        <v>0</v>
      </c>
      <c r="V2561" s="42"/>
      <c r="W2561" s="42"/>
      <c r="X2561" s="42"/>
      <c r="Y2561" s="42"/>
      <c r="Z2561" s="42"/>
      <c r="AA2561" s="42"/>
      <c r="AB2561" s="42" t="str">
        <f>IFERROR(__xludf.DUMMYFUNCTION("""COMPUTED_VALUE"""),"allen institute")</f>
        <v>allen institute</v>
      </c>
      <c r="AC2561" s="42" t="str">
        <f>IFERROR(__xludf.DUMMYFUNCTION("""COMPUTED_VALUE"""),"DHBA")</f>
        <v>DHBA</v>
      </c>
      <c r="AD2561" s="42"/>
      <c r="AE2561" s="42"/>
      <c r="AF2561" s="9"/>
      <c r="AG2561" s="9"/>
      <c r="AH2561" s="42"/>
      <c r="AI2561" s="42"/>
      <c r="AJ2561" s="42"/>
      <c r="AK2561" s="42"/>
      <c r="AL2561" s="42"/>
      <c r="AM2561" s="42"/>
      <c r="AN2561" s="42"/>
      <c r="AO2561" s="63" t="str">
        <f>IFERROR(__xludf.DUMMYFUNCTION("IF(ISBLANK(A2561),,IF(ISBLANK(S2561), A2561&amp;"";"", TEXTJOIN(CHAR(10), TRUE, A2561&amp;"";"", ARRAYFORMULA(VLOOKUP(SPLIT(S2561, "";"" &amp; CHAR(10)), $A:$AO, 41, FALSE)))))"),"ASFV;
CalA;
ChoLV;
Cho3V;
ChoF;
ColE;
ColT;
hyths;
InTh;
LaT;
OVLT;
SFO;
Pell;
cpell;
vip;")</f>
        <v>ASFV;
CalA;
ChoLV;
Cho3V;
ChoF;
ColE;
ColT;
hyths;
InTh;
LaT;
OVLT;
SFO;
Pell;
cpell;
vip;</v>
      </c>
      <c r="AP2561" s="89"/>
    </row>
    <row r="2562">
      <c r="A2562" s="151" t="str">
        <f>IFERROR(__xludf.DUMMYFUNCTION("""COMPUTED_VALUE"""),"CalA")</f>
        <v>CalA</v>
      </c>
      <c r="B2562" s="42" t="str">
        <f>IFERROR(__xludf.DUMMYFUNCTION("""COMPUTED_VALUE"""),"DHBA")</f>
        <v>DHBA</v>
      </c>
      <c r="C2562" s="42" t="str">
        <f>IFERROR(__xludf.DUMMYFUNCTION("""COMPUTED_VALUE"""),"calcar avis")</f>
        <v>calcar avis</v>
      </c>
      <c r="D2562" s="42">
        <f>IFERROR(__xludf.DUMMYFUNCTION("""COMPUTED_VALUE"""),2444.0)</f>
        <v>2444</v>
      </c>
      <c r="E2562" s="39" t="str">
        <f>IFERROR(__xludf.DUMMYFUNCTION("""COMPUTED_VALUE"""),"calcar avis")</f>
        <v>calcar avis</v>
      </c>
      <c r="F2562" s="9" t="str">
        <f>IFERROR(__xludf.DUMMYFUNCTION("""COMPUTED_VALUE"""),"Br")</f>
        <v>Br</v>
      </c>
      <c r="G2562" s="9" t="str">
        <f>IFERROR(__xludf.DUMMYFUNCTION("""COMPUTED_VALUE"""),"F")</f>
        <v>F</v>
      </c>
      <c r="H2562" s="9" t="str">
        <f>IFERROR(__xludf.DUMMYFUNCTION("""COMPUTED_VALUE"""),"FSS")</f>
        <v>FSS</v>
      </c>
      <c r="I2562" s="9" t="str">
        <f>IFERROR(__xludf.DUMMYFUNCTION("""COMPUTED_VALUE"""),"ASFV")</f>
        <v>ASFV</v>
      </c>
      <c r="J2562" s="9" t="str">
        <f>IFERROR(__xludf.DUMMYFUNCTION("""COMPUTED_VALUE"""),"CalA")</f>
        <v>CalA</v>
      </c>
      <c r="K2562" s="9"/>
      <c r="L2562" s="9"/>
      <c r="M2562" s="9"/>
      <c r="N2562" s="9"/>
      <c r="O2562" s="9"/>
      <c r="P2562" s="9"/>
      <c r="Q2562" s="9"/>
      <c r="R2562" s="9"/>
      <c r="S2562" s="42"/>
      <c r="T2562" s="42"/>
      <c r="U2562" s="42"/>
      <c r="V2562" s="42"/>
      <c r="W2562" s="42"/>
      <c r="X2562" s="42"/>
      <c r="Y2562" s="42"/>
      <c r="Z2562" s="42"/>
      <c r="AA2562" s="42"/>
      <c r="AB2562" s="42" t="str">
        <f>IFERROR(__xludf.DUMMYFUNCTION("""COMPUTED_VALUE"""),"allen institute")</f>
        <v>allen institute</v>
      </c>
      <c r="AC2562" s="42" t="str">
        <f>IFERROR(__xludf.DUMMYFUNCTION("""COMPUTED_VALUE"""),"DHBA")</f>
        <v>DHBA</v>
      </c>
      <c r="AD2562" s="42"/>
      <c r="AE2562" s="42"/>
      <c r="AF2562" s="9"/>
      <c r="AG2562" s="9"/>
      <c r="AH2562" s="42"/>
      <c r="AI2562" s="42"/>
      <c r="AJ2562" s="42"/>
      <c r="AK2562" s="42"/>
      <c r="AL2562" s="42"/>
      <c r="AM2562" s="42"/>
      <c r="AN2562" s="42"/>
      <c r="AO2562" s="63" t="str">
        <f>IFERROR(__xludf.DUMMYFUNCTION("IF(ISBLANK(A2562),,IF(ISBLANK(S2562), A2562&amp;"";"", TEXTJOIN(CHAR(10), TRUE, A2562&amp;"";"", ARRAYFORMULA(VLOOKUP(SPLIT(S2562, "";"" &amp; CHAR(10)), $A:$AO, 41, FALSE)))))"),"CalA;")</f>
        <v>CalA;</v>
      </c>
      <c r="AP2562" s="89"/>
    </row>
    <row r="2563">
      <c r="A2563" s="151" t="str">
        <f>IFERROR(__xludf.DUMMYFUNCTION("""COMPUTED_VALUE"""),"ChoLV")</f>
        <v>ChoLV</v>
      </c>
      <c r="B2563" s="42" t="str">
        <f>IFERROR(__xludf.DUMMYFUNCTION("""COMPUTED_VALUE"""),"DHBA")</f>
        <v>DHBA</v>
      </c>
      <c r="C2563" s="42" t="str">
        <f>IFERROR(__xludf.DUMMYFUNCTION("""COMPUTED_VALUE"""),"choroid plexus of lateral ventricle")</f>
        <v>choroid plexus of lateral ventricle</v>
      </c>
      <c r="D2563" s="42">
        <f>IFERROR(__xludf.DUMMYFUNCTION("""COMPUTED_VALUE"""),2445.0)</f>
        <v>2445</v>
      </c>
      <c r="E2563" s="39" t="str">
        <f>IFERROR(__xludf.DUMMYFUNCTION("""COMPUTED_VALUE"""),"choroid plexus of lateral ventricle")</f>
        <v>choroid plexus of lateral ventricle</v>
      </c>
      <c r="F2563" s="9" t="str">
        <f>IFERROR(__xludf.DUMMYFUNCTION("""COMPUTED_VALUE"""),"Br")</f>
        <v>Br</v>
      </c>
      <c r="G2563" s="9" t="str">
        <f>IFERROR(__xludf.DUMMYFUNCTION("""COMPUTED_VALUE"""),"F")</f>
        <v>F</v>
      </c>
      <c r="H2563" s="9" t="str">
        <f>IFERROR(__xludf.DUMMYFUNCTION("""COMPUTED_VALUE"""),"FSS")</f>
        <v>FSS</v>
      </c>
      <c r="I2563" s="9" t="str">
        <f>IFERROR(__xludf.DUMMYFUNCTION("""COMPUTED_VALUE"""),"ASFV")</f>
        <v>ASFV</v>
      </c>
      <c r="J2563" s="9" t="str">
        <f>IFERROR(__xludf.DUMMYFUNCTION("""COMPUTED_VALUE"""),"ChoLV")</f>
        <v>ChoLV</v>
      </c>
      <c r="K2563" s="9"/>
      <c r="L2563" s="9"/>
      <c r="M2563" s="9"/>
      <c r="N2563" s="9"/>
      <c r="O2563" s="9"/>
      <c r="P2563" s="9"/>
      <c r="Q2563" s="9"/>
      <c r="R2563" s="9"/>
      <c r="S2563" s="42"/>
      <c r="T2563" s="42"/>
      <c r="U2563" s="42"/>
      <c r="V2563" s="42"/>
      <c r="W2563" s="42"/>
      <c r="X2563" s="42"/>
      <c r="Y2563" s="42"/>
      <c r="Z2563" s="42"/>
      <c r="AA2563" s="42"/>
      <c r="AB2563" s="42" t="str">
        <f>IFERROR(__xludf.DUMMYFUNCTION("""COMPUTED_VALUE"""),"allen institute")</f>
        <v>allen institute</v>
      </c>
      <c r="AC2563" s="42" t="str">
        <f>IFERROR(__xludf.DUMMYFUNCTION("""COMPUTED_VALUE"""),"DHBA")</f>
        <v>DHBA</v>
      </c>
      <c r="AD2563" s="42"/>
      <c r="AE2563" s="42"/>
      <c r="AF2563" s="9"/>
      <c r="AG2563" s="9"/>
      <c r="AH2563" s="42"/>
      <c r="AI2563" s="42"/>
      <c r="AJ2563" s="42"/>
      <c r="AK2563" s="42"/>
      <c r="AL2563" s="42"/>
      <c r="AM2563" s="42"/>
      <c r="AN2563" s="42"/>
      <c r="AO2563" s="63" t="str">
        <f>IFERROR(__xludf.DUMMYFUNCTION("IF(ISBLANK(A2563),,IF(ISBLANK(S2563), A2563&amp;"";"", TEXTJOIN(CHAR(10), TRUE, A2563&amp;"";"", ARRAYFORMULA(VLOOKUP(SPLIT(S2563, "";"" &amp; CHAR(10)), $A:$AO, 41, FALSE)))))"),"ChoLV;")</f>
        <v>ChoLV;</v>
      </c>
      <c r="AP2563" s="89"/>
    </row>
    <row r="2564">
      <c r="A2564" s="151" t="str">
        <f>IFERROR(__xludf.DUMMYFUNCTION("""COMPUTED_VALUE"""),"Cho3V")</f>
        <v>Cho3V</v>
      </c>
      <c r="B2564" s="42" t="str">
        <f>IFERROR(__xludf.DUMMYFUNCTION("""COMPUTED_VALUE"""),"DHBA")</f>
        <v>DHBA</v>
      </c>
      <c r="C2564" s="42" t="str">
        <f>IFERROR(__xludf.DUMMYFUNCTION("""COMPUTED_VALUE"""),"choroid plexus of 3V")</f>
        <v>choroid plexus of 3V</v>
      </c>
      <c r="D2564" s="42">
        <f>IFERROR(__xludf.DUMMYFUNCTION("""COMPUTED_VALUE"""),2446.0)</f>
        <v>2446</v>
      </c>
      <c r="E2564" s="39" t="str">
        <f>IFERROR(__xludf.DUMMYFUNCTION("""COMPUTED_VALUE"""),"choroid plexus of 3V")</f>
        <v>choroid plexus of 3V</v>
      </c>
      <c r="F2564" s="9" t="str">
        <f>IFERROR(__xludf.DUMMYFUNCTION("""COMPUTED_VALUE"""),"Br")</f>
        <v>Br</v>
      </c>
      <c r="G2564" s="9" t="str">
        <f>IFERROR(__xludf.DUMMYFUNCTION("""COMPUTED_VALUE"""),"F")</f>
        <v>F</v>
      </c>
      <c r="H2564" s="9" t="str">
        <f>IFERROR(__xludf.DUMMYFUNCTION("""COMPUTED_VALUE"""),"FSS")</f>
        <v>FSS</v>
      </c>
      <c r="I2564" s="9" t="str">
        <f>IFERROR(__xludf.DUMMYFUNCTION("""COMPUTED_VALUE"""),"ASFV")</f>
        <v>ASFV</v>
      </c>
      <c r="J2564" s="9" t="str">
        <f>IFERROR(__xludf.DUMMYFUNCTION("""COMPUTED_VALUE"""),"Cho3V")</f>
        <v>Cho3V</v>
      </c>
      <c r="K2564" s="9"/>
      <c r="L2564" s="9"/>
      <c r="M2564" s="9"/>
      <c r="N2564" s="9"/>
      <c r="O2564" s="9"/>
      <c r="P2564" s="9"/>
      <c r="Q2564" s="9"/>
      <c r="R2564" s="9"/>
      <c r="S2564" s="42"/>
      <c r="T2564" s="42"/>
      <c r="U2564" s="42"/>
      <c r="V2564" s="42"/>
      <c r="W2564" s="42"/>
      <c r="X2564" s="42"/>
      <c r="Y2564" s="42"/>
      <c r="Z2564" s="42"/>
      <c r="AA2564" s="42"/>
      <c r="AB2564" s="42" t="str">
        <f>IFERROR(__xludf.DUMMYFUNCTION("""COMPUTED_VALUE"""),"allen institute")</f>
        <v>allen institute</v>
      </c>
      <c r="AC2564" s="42" t="str">
        <f>IFERROR(__xludf.DUMMYFUNCTION("""COMPUTED_VALUE"""),"DHBA")</f>
        <v>DHBA</v>
      </c>
      <c r="AD2564" s="42"/>
      <c r="AE2564" s="42"/>
      <c r="AF2564" s="9"/>
      <c r="AG2564" s="9"/>
      <c r="AH2564" s="42"/>
      <c r="AI2564" s="42"/>
      <c r="AJ2564" s="42"/>
      <c r="AK2564" s="42"/>
      <c r="AL2564" s="42"/>
      <c r="AM2564" s="42"/>
      <c r="AN2564" s="42"/>
      <c r="AO2564" s="63" t="str">
        <f>IFERROR(__xludf.DUMMYFUNCTION("IF(ISBLANK(A2564),,IF(ISBLANK(S2564), A2564&amp;"";"", TEXTJOIN(CHAR(10), TRUE, A2564&amp;"";"", ARRAYFORMULA(VLOOKUP(SPLIT(S2564, "";"" &amp; CHAR(10)), $A:$AO, 41, FALSE)))))"),"Cho3V;")</f>
        <v>Cho3V;</v>
      </c>
      <c r="AP2564" s="89"/>
    </row>
    <row r="2565">
      <c r="A2565" s="151" t="str">
        <f>IFERROR(__xludf.DUMMYFUNCTION("""COMPUTED_VALUE"""),"ChoF")</f>
        <v>ChoF</v>
      </c>
      <c r="B2565" s="42" t="str">
        <f>IFERROR(__xludf.DUMMYFUNCTION("""COMPUTED_VALUE"""),"DHBA")</f>
        <v>DHBA</v>
      </c>
      <c r="C2565" s="42" t="str">
        <f>IFERROR(__xludf.DUMMYFUNCTION("""COMPUTED_VALUE"""),"choroid fissure")</f>
        <v>choroid fissure</v>
      </c>
      <c r="D2565" s="42">
        <f>IFERROR(__xludf.DUMMYFUNCTION("""COMPUTED_VALUE"""),2447.0)</f>
        <v>2447</v>
      </c>
      <c r="E2565" s="39" t="str">
        <f>IFERROR(__xludf.DUMMYFUNCTION("""COMPUTED_VALUE"""),"choroid fissure")</f>
        <v>choroid fissure</v>
      </c>
      <c r="F2565" s="9" t="str">
        <f>IFERROR(__xludf.DUMMYFUNCTION("""COMPUTED_VALUE"""),"Br")</f>
        <v>Br</v>
      </c>
      <c r="G2565" s="9" t="str">
        <f>IFERROR(__xludf.DUMMYFUNCTION("""COMPUTED_VALUE"""),"F")</f>
        <v>F</v>
      </c>
      <c r="H2565" s="9" t="str">
        <f>IFERROR(__xludf.DUMMYFUNCTION("""COMPUTED_VALUE"""),"FSS")</f>
        <v>FSS</v>
      </c>
      <c r="I2565" s="9" t="str">
        <f>IFERROR(__xludf.DUMMYFUNCTION("""COMPUTED_VALUE"""),"ASFV")</f>
        <v>ASFV</v>
      </c>
      <c r="J2565" s="9" t="str">
        <f>IFERROR(__xludf.DUMMYFUNCTION("""COMPUTED_VALUE"""),"ChoF")</f>
        <v>ChoF</v>
      </c>
      <c r="K2565" s="9"/>
      <c r="L2565" s="9"/>
      <c r="M2565" s="9"/>
      <c r="N2565" s="9"/>
      <c r="O2565" s="9"/>
      <c r="P2565" s="9"/>
      <c r="Q2565" s="9"/>
      <c r="R2565" s="9"/>
      <c r="S2565" s="42"/>
      <c r="T2565" s="42"/>
      <c r="U2565" s="42"/>
      <c r="V2565" s="42"/>
      <c r="W2565" s="42"/>
      <c r="X2565" s="42"/>
      <c r="Y2565" s="42"/>
      <c r="Z2565" s="42"/>
      <c r="AA2565" s="42"/>
      <c r="AB2565" s="42" t="str">
        <f>IFERROR(__xludf.DUMMYFUNCTION("""COMPUTED_VALUE"""),"allen institute")</f>
        <v>allen institute</v>
      </c>
      <c r="AC2565" s="42" t="str">
        <f>IFERROR(__xludf.DUMMYFUNCTION("""COMPUTED_VALUE"""),"DHBA")</f>
        <v>DHBA</v>
      </c>
      <c r="AD2565" s="42"/>
      <c r="AE2565" s="42"/>
      <c r="AF2565" s="9"/>
      <c r="AG2565" s="9"/>
      <c r="AH2565" s="42"/>
      <c r="AI2565" s="42"/>
      <c r="AJ2565" s="42"/>
      <c r="AK2565" s="42"/>
      <c r="AL2565" s="42"/>
      <c r="AM2565" s="42"/>
      <c r="AN2565" s="42"/>
      <c r="AO2565" s="63" t="str">
        <f>IFERROR(__xludf.DUMMYFUNCTION("IF(ISBLANK(A2565),,IF(ISBLANK(S2565), A2565&amp;"";"", TEXTJOIN(CHAR(10), TRUE, A2565&amp;"";"", ARRAYFORMULA(VLOOKUP(SPLIT(S2565, "";"" &amp; CHAR(10)), $A:$AO, 41, FALSE)))))"),"ChoF;")</f>
        <v>ChoF;</v>
      </c>
      <c r="AP2565" s="89"/>
    </row>
    <row r="2566">
      <c r="A2566" s="151" t="str">
        <f>IFERROR(__xludf.DUMMYFUNCTION("""COMPUTED_VALUE"""),"ColE")</f>
        <v>ColE</v>
      </c>
      <c r="B2566" s="42" t="str">
        <f>IFERROR(__xludf.DUMMYFUNCTION("""COMPUTED_VALUE"""),"DHBA")</f>
        <v>DHBA</v>
      </c>
      <c r="C2566" s="42" t="str">
        <f>IFERROR(__xludf.DUMMYFUNCTION("""COMPUTED_VALUE"""),"collateral eminence")</f>
        <v>collateral eminence</v>
      </c>
      <c r="D2566" s="42">
        <f>IFERROR(__xludf.DUMMYFUNCTION("""COMPUTED_VALUE"""),2448.0)</f>
        <v>2448</v>
      </c>
      <c r="E2566" s="39" t="str">
        <f>IFERROR(__xludf.DUMMYFUNCTION("""COMPUTED_VALUE"""),"collateral eminence")</f>
        <v>collateral eminence</v>
      </c>
      <c r="F2566" s="9" t="str">
        <f>IFERROR(__xludf.DUMMYFUNCTION("""COMPUTED_VALUE"""),"Br")</f>
        <v>Br</v>
      </c>
      <c r="G2566" s="9" t="str">
        <f>IFERROR(__xludf.DUMMYFUNCTION("""COMPUTED_VALUE"""),"F")</f>
        <v>F</v>
      </c>
      <c r="H2566" s="9" t="str">
        <f>IFERROR(__xludf.DUMMYFUNCTION("""COMPUTED_VALUE"""),"FSS")</f>
        <v>FSS</v>
      </c>
      <c r="I2566" s="9" t="str">
        <f>IFERROR(__xludf.DUMMYFUNCTION("""COMPUTED_VALUE"""),"ASFV")</f>
        <v>ASFV</v>
      </c>
      <c r="J2566" s="9" t="str">
        <f>IFERROR(__xludf.DUMMYFUNCTION("""COMPUTED_VALUE"""),"ColE")</f>
        <v>ColE</v>
      </c>
      <c r="K2566" s="9"/>
      <c r="L2566" s="9"/>
      <c r="M2566" s="9"/>
      <c r="N2566" s="9"/>
      <c r="O2566" s="9"/>
      <c r="P2566" s="9"/>
      <c r="Q2566" s="9"/>
      <c r="R2566" s="9"/>
      <c r="S2566" s="42"/>
      <c r="T2566" s="42"/>
      <c r="U2566" s="42"/>
      <c r="V2566" s="42"/>
      <c r="W2566" s="42"/>
      <c r="X2566" s="42"/>
      <c r="Y2566" s="42"/>
      <c r="Z2566" s="42"/>
      <c r="AA2566" s="42"/>
      <c r="AB2566" s="42" t="str">
        <f>IFERROR(__xludf.DUMMYFUNCTION("""COMPUTED_VALUE"""),"allen institute")</f>
        <v>allen institute</v>
      </c>
      <c r="AC2566" s="42" t="str">
        <f>IFERROR(__xludf.DUMMYFUNCTION("""COMPUTED_VALUE"""),"DHBA")</f>
        <v>DHBA</v>
      </c>
      <c r="AD2566" s="42"/>
      <c r="AE2566" s="42"/>
      <c r="AF2566" s="9"/>
      <c r="AG2566" s="9"/>
      <c r="AH2566" s="42"/>
      <c r="AI2566" s="42"/>
      <c r="AJ2566" s="42"/>
      <c r="AK2566" s="42"/>
      <c r="AL2566" s="42"/>
      <c r="AM2566" s="42"/>
      <c r="AN2566" s="42"/>
      <c r="AO2566" s="63" t="str">
        <f>IFERROR(__xludf.DUMMYFUNCTION("IF(ISBLANK(A2566),,IF(ISBLANK(S2566), A2566&amp;"";"", TEXTJOIN(CHAR(10), TRUE, A2566&amp;"";"", ARRAYFORMULA(VLOOKUP(SPLIT(S2566, "";"" &amp; CHAR(10)), $A:$AO, 41, FALSE)))))"),"ColE;")</f>
        <v>ColE;</v>
      </c>
      <c r="AP2566" s="89"/>
    </row>
    <row r="2567">
      <c r="A2567" s="151" t="str">
        <f>IFERROR(__xludf.DUMMYFUNCTION("""COMPUTED_VALUE"""),"ColT")</f>
        <v>ColT</v>
      </c>
      <c r="B2567" s="42" t="str">
        <f>IFERROR(__xludf.DUMMYFUNCTION("""COMPUTED_VALUE"""),"DHBA")</f>
        <v>DHBA</v>
      </c>
      <c r="C2567" s="42" t="str">
        <f>IFERROR(__xludf.DUMMYFUNCTION("""COMPUTED_VALUE"""),"collateral trigone")</f>
        <v>collateral trigone</v>
      </c>
      <c r="D2567" s="42">
        <f>IFERROR(__xludf.DUMMYFUNCTION("""COMPUTED_VALUE"""),2449.0)</f>
        <v>2449</v>
      </c>
      <c r="E2567" s="39" t="str">
        <f>IFERROR(__xludf.DUMMYFUNCTION("""COMPUTED_VALUE"""),"collateral trigone")</f>
        <v>collateral trigone</v>
      </c>
      <c r="F2567" s="9" t="str">
        <f>IFERROR(__xludf.DUMMYFUNCTION("""COMPUTED_VALUE"""),"Br")</f>
        <v>Br</v>
      </c>
      <c r="G2567" s="9" t="str">
        <f>IFERROR(__xludf.DUMMYFUNCTION("""COMPUTED_VALUE"""),"F")</f>
        <v>F</v>
      </c>
      <c r="H2567" s="9" t="str">
        <f>IFERROR(__xludf.DUMMYFUNCTION("""COMPUTED_VALUE"""),"FSS")</f>
        <v>FSS</v>
      </c>
      <c r="I2567" s="9" t="str">
        <f>IFERROR(__xludf.DUMMYFUNCTION("""COMPUTED_VALUE"""),"ASFV")</f>
        <v>ASFV</v>
      </c>
      <c r="J2567" s="9" t="str">
        <f>IFERROR(__xludf.DUMMYFUNCTION("""COMPUTED_VALUE"""),"ColT")</f>
        <v>ColT</v>
      </c>
      <c r="K2567" s="9"/>
      <c r="L2567" s="9"/>
      <c r="M2567" s="9"/>
      <c r="N2567" s="9"/>
      <c r="O2567" s="9"/>
      <c r="P2567" s="9"/>
      <c r="Q2567" s="9"/>
      <c r="R2567" s="9"/>
      <c r="S2567" s="42"/>
      <c r="T2567" s="42"/>
      <c r="U2567" s="42"/>
      <c r="V2567" s="42"/>
      <c r="W2567" s="42"/>
      <c r="X2567" s="42"/>
      <c r="Y2567" s="42"/>
      <c r="Z2567" s="42"/>
      <c r="AA2567" s="42"/>
      <c r="AB2567" s="42" t="str">
        <f>IFERROR(__xludf.DUMMYFUNCTION("""COMPUTED_VALUE"""),"allen institute")</f>
        <v>allen institute</v>
      </c>
      <c r="AC2567" s="42" t="str">
        <f>IFERROR(__xludf.DUMMYFUNCTION("""COMPUTED_VALUE"""),"DHBA")</f>
        <v>DHBA</v>
      </c>
      <c r="AD2567" s="42"/>
      <c r="AE2567" s="42"/>
      <c r="AF2567" s="9"/>
      <c r="AG2567" s="9"/>
      <c r="AH2567" s="42"/>
      <c r="AI2567" s="42"/>
      <c r="AJ2567" s="42"/>
      <c r="AK2567" s="42"/>
      <c r="AL2567" s="42"/>
      <c r="AM2567" s="42"/>
      <c r="AN2567" s="42"/>
      <c r="AO2567" s="63" t="str">
        <f>IFERROR(__xludf.DUMMYFUNCTION("IF(ISBLANK(A2567),,IF(ISBLANK(S2567), A2567&amp;"";"", TEXTJOIN(CHAR(10), TRUE, A2567&amp;"";"", ARRAYFORMULA(VLOOKUP(SPLIT(S2567, "";"" &amp; CHAR(10)), $A:$AO, 41, FALSE)))))"),"ColT;")</f>
        <v>ColT;</v>
      </c>
      <c r="AP2567" s="89"/>
    </row>
    <row r="2568">
      <c r="A2568" s="151" t="str">
        <f>IFERROR(__xludf.DUMMYFUNCTION("""COMPUTED_VALUE"""),"hyths")</f>
        <v>hyths</v>
      </c>
      <c r="B2568" s="42" t="str">
        <f>IFERROR(__xludf.DUMMYFUNCTION("""COMPUTED_VALUE"""),"DHBA")</f>
        <v>DHBA</v>
      </c>
      <c r="C2568" s="42" t="str">
        <f>IFERROR(__xludf.DUMMYFUNCTION("""COMPUTED_VALUE"""),"hypothalamic sulcus")</f>
        <v>hypothalamic sulcus</v>
      </c>
      <c r="D2568" s="42">
        <f>IFERROR(__xludf.DUMMYFUNCTION("""COMPUTED_VALUE"""),2450.0)</f>
        <v>2450</v>
      </c>
      <c r="E2568" s="39" t="str">
        <f>IFERROR(__xludf.DUMMYFUNCTION("""COMPUTED_VALUE"""),"hypothalamic sulcus")</f>
        <v>hypothalamic sulcus</v>
      </c>
      <c r="F2568" s="9" t="str">
        <f>IFERROR(__xludf.DUMMYFUNCTION("""COMPUTED_VALUE"""),"Br")</f>
        <v>Br</v>
      </c>
      <c r="G2568" s="9" t="str">
        <f>IFERROR(__xludf.DUMMYFUNCTION("""COMPUTED_VALUE"""),"F")</f>
        <v>F</v>
      </c>
      <c r="H2568" s="9" t="str">
        <f>IFERROR(__xludf.DUMMYFUNCTION("""COMPUTED_VALUE"""),"FSS")</f>
        <v>FSS</v>
      </c>
      <c r="I2568" s="9" t="str">
        <f>IFERROR(__xludf.DUMMYFUNCTION("""COMPUTED_VALUE"""),"ASFV")</f>
        <v>ASFV</v>
      </c>
      <c r="J2568" s="9" t="str">
        <f>IFERROR(__xludf.DUMMYFUNCTION("""COMPUTED_VALUE"""),"hyths")</f>
        <v>hyths</v>
      </c>
      <c r="K2568" s="9"/>
      <c r="L2568" s="9"/>
      <c r="M2568" s="9"/>
      <c r="N2568" s="9"/>
      <c r="O2568" s="9"/>
      <c r="P2568" s="9"/>
      <c r="Q2568" s="9"/>
      <c r="R2568" s="9"/>
      <c r="S2568" s="42"/>
      <c r="T2568" s="42" t="str">
        <f>IFERROR(__xludf.DUMMYFUNCTION("""COMPUTED_VALUE"""),"sulcus")</f>
        <v>sulcus</v>
      </c>
      <c r="U2568" s="42" t="b">
        <f>IFERROR(__xludf.DUMMYFUNCTION("""COMPUTED_VALUE"""),FALSE)</f>
        <v>0</v>
      </c>
      <c r="V2568" s="42"/>
      <c r="W2568" s="42"/>
      <c r="X2568" s="42"/>
      <c r="Y2568" s="42"/>
      <c r="Z2568" s="42"/>
      <c r="AA2568" s="42"/>
      <c r="AB2568" s="42" t="str">
        <f>IFERROR(__xludf.DUMMYFUNCTION("""COMPUTED_VALUE"""),"allen institute")</f>
        <v>allen institute</v>
      </c>
      <c r="AC2568" s="42" t="str">
        <f>IFERROR(__xludf.DUMMYFUNCTION("""COMPUTED_VALUE"""),"DHBA")</f>
        <v>DHBA</v>
      </c>
      <c r="AD2568" s="42"/>
      <c r="AE2568" s="42"/>
      <c r="AF2568" s="9"/>
      <c r="AG2568" s="9"/>
      <c r="AH2568" s="42"/>
      <c r="AI2568" s="42"/>
      <c r="AJ2568" s="42"/>
      <c r="AK2568" s="42"/>
      <c r="AL2568" s="42"/>
      <c r="AM2568" s="42"/>
      <c r="AN2568" s="42"/>
      <c r="AO2568" s="63" t="str">
        <f>IFERROR(__xludf.DUMMYFUNCTION("IF(ISBLANK(A2568),,IF(ISBLANK(S2568), A2568&amp;"";"", TEXTJOIN(CHAR(10), TRUE, A2568&amp;"";"", ARRAYFORMULA(VLOOKUP(SPLIT(S2568, "";"" &amp; CHAR(10)), $A:$AO, 41, FALSE)))))"),"hyths;")</f>
        <v>hyths;</v>
      </c>
      <c r="AP2568" s="89"/>
    </row>
    <row r="2569">
      <c r="A2569" s="151" t="str">
        <f>IFERROR(__xludf.DUMMYFUNCTION("""COMPUTED_VALUE"""),"InTh")</f>
        <v>InTh</v>
      </c>
      <c r="B2569" s="42" t="str">
        <f>IFERROR(__xludf.DUMMYFUNCTION("""COMPUTED_VALUE"""),"DHBA")</f>
        <v>DHBA</v>
      </c>
      <c r="C2569" s="42" t="str">
        <f>IFERROR(__xludf.DUMMYFUNCTION("""COMPUTED_VALUE"""),"interthalamic adhesion (massa intermedia)")</f>
        <v>interthalamic adhesion (massa intermedia)</v>
      </c>
      <c r="D2569" s="42">
        <f>IFERROR(__xludf.DUMMYFUNCTION("""COMPUTED_VALUE"""),2451.0)</f>
        <v>2451</v>
      </c>
      <c r="E2569" s="39" t="str">
        <f>IFERROR(__xludf.DUMMYFUNCTION("""COMPUTED_VALUE"""),"interthalamic adhesion (massa intermedia)")</f>
        <v>interthalamic adhesion (massa intermedia)</v>
      </c>
      <c r="F2569" s="9" t="str">
        <f>IFERROR(__xludf.DUMMYFUNCTION("""COMPUTED_VALUE"""),"Br")</f>
        <v>Br</v>
      </c>
      <c r="G2569" s="9" t="str">
        <f>IFERROR(__xludf.DUMMYFUNCTION("""COMPUTED_VALUE"""),"F")</f>
        <v>F</v>
      </c>
      <c r="H2569" s="9" t="str">
        <f>IFERROR(__xludf.DUMMYFUNCTION("""COMPUTED_VALUE"""),"FSS")</f>
        <v>FSS</v>
      </c>
      <c r="I2569" s="9" t="str">
        <f>IFERROR(__xludf.DUMMYFUNCTION("""COMPUTED_VALUE"""),"ASFV")</f>
        <v>ASFV</v>
      </c>
      <c r="J2569" s="9" t="str">
        <f>IFERROR(__xludf.DUMMYFUNCTION("""COMPUTED_VALUE"""),"InTh")</f>
        <v>InTh</v>
      </c>
      <c r="K2569" s="9"/>
      <c r="L2569" s="9"/>
      <c r="M2569" s="9"/>
      <c r="N2569" s="9"/>
      <c r="O2569" s="9"/>
      <c r="P2569" s="9"/>
      <c r="Q2569" s="9"/>
      <c r="R2569" s="9"/>
      <c r="S2569" s="42"/>
      <c r="T2569" s="42"/>
      <c r="U2569" s="42"/>
      <c r="V2569" s="42"/>
      <c r="W2569" s="42"/>
      <c r="X2569" s="42"/>
      <c r="Y2569" s="42"/>
      <c r="Z2569" s="42"/>
      <c r="AA2569" s="42"/>
      <c r="AB2569" s="42" t="str">
        <f>IFERROR(__xludf.DUMMYFUNCTION("""COMPUTED_VALUE"""),"allen institute")</f>
        <v>allen institute</v>
      </c>
      <c r="AC2569" s="42" t="str">
        <f>IFERROR(__xludf.DUMMYFUNCTION("""COMPUTED_VALUE"""),"DHBA")</f>
        <v>DHBA</v>
      </c>
      <c r="AD2569" s="42"/>
      <c r="AE2569" s="42"/>
      <c r="AF2569" s="9"/>
      <c r="AG2569" s="9"/>
      <c r="AH2569" s="42"/>
      <c r="AI2569" s="42"/>
      <c r="AJ2569" s="42"/>
      <c r="AK2569" s="42"/>
      <c r="AL2569" s="42"/>
      <c r="AM2569" s="42"/>
      <c r="AN2569" s="42"/>
      <c r="AO2569" s="63" t="str">
        <f>IFERROR(__xludf.DUMMYFUNCTION("IF(ISBLANK(A2569),,IF(ISBLANK(S2569), A2569&amp;"";"", TEXTJOIN(CHAR(10), TRUE, A2569&amp;"";"", ARRAYFORMULA(VLOOKUP(SPLIT(S2569, "";"" &amp; CHAR(10)), $A:$AO, 41, FALSE)))))"),"InTh;")</f>
        <v>InTh;</v>
      </c>
      <c r="AP2569" s="89"/>
    </row>
    <row r="2570">
      <c r="A2570" s="151" t="str">
        <f>IFERROR(__xludf.DUMMYFUNCTION("""COMPUTED_VALUE"""),"LaT")</f>
        <v>LaT</v>
      </c>
      <c r="B2570" s="42" t="str">
        <f>IFERROR(__xludf.DUMMYFUNCTION("""COMPUTED_VALUE"""),"DHBA")</f>
        <v>DHBA</v>
      </c>
      <c r="C2570" s="42" t="str">
        <f>IFERROR(__xludf.DUMMYFUNCTION("""COMPUTED_VALUE"""),"lamina terminalis")</f>
        <v>lamina terminalis</v>
      </c>
      <c r="D2570" s="42">
        <f>IFERROR(__xludf.DUMMYFUNCTION("""COMPUTED_VALUE"""),2452.0)</f>
        <v>2452</v>
      </c>
      <c r="E2570" s="39" t="str">
        <f>IFERROR(__xludf.DUMMYFUNCTION("""COMPUTED_VALUE"""),"lamina terminalis")</f>
        <v>lamina terminalis</v>
      </c>
      <c r="F2570" s="9" t="str">
        <f>IFERROR(__xludf.DUMMYFUNCTION("""COMPUTED_VALUE"""),"Br")</f>
        <v>Br</v>
      </c>
      <c r="G2570" s="9" t="str">
        <f>IFERROR(__xludf.DUMMYFUNCTION("""COMPUTED_VALUE"""),"F")</f>
        <v>F</v>
      </c>
      <c r="H2570" s="9" t="str">
        <f>IFERROR(__xludf.DUMMYFUNCTION("""COMPUTED_VALUE"""),"FSS")</f>
        <v>FSS</v>
      </c>
      <c r="I2570" s="9" t="str">
        <f>IFERROR(__xludf.DUMMYFUNCTION("""COMPUTED_VALUE"""),"ASFV")</f>
        <v>ASFV</v>
      </c>
      <c r="J2570" s="9" t="str">
        <f>IFERROR(__xludf.DUMMYFUNCTION("""COMPUTED_VALUE"""),"LaT")</f>
        <v>LaT</v>
      </c>
      <c r="K2570" s="9"/>
      <c r="L2570" s="9"/>
      <c r="M2570" s="9"/>
      <c r="N2570" s="9"/>
      <c r="O2570" s="9"/>
      <c r="P2570" s="9"/>
      <c r="Q2570" s="9"/>
      <c r="R2570" s="9"/>
      <c r="S2570" s="42"/>
      <c r="T2570" s="42"/>
      <c r="U2570" s="42"/>
      <c r="V2570" s="42"/>
      <c r="W2570" s="42"/>
      <c r="X2570" s="42"/>
      <c r="Y2570" s="42"/>
      <c r="Z2570" s="42"/>
      <c r="AA2570" s="42"/>
      <c r="AB2570" s="42" t="str">
        <f>IFERROR(__xludf.DUMMYFUNCTION("""COMPUTED_VALUE"""),"allen institute")</f>
        <v>allen institute</v>
      </c>
      <c r="AC2570" s="42" t="str">
        <f>IFERROR(__xludf.DUMMYFUNCTION("""COMPUTED_VALUE"""),"DHBA")</f>
        <v>DHBA</v>
      </c>
      <c r="AD2570" s="42"/>
      <c r="AE2570" s="42"/>
      <c r="AF2570" s="9"/>
      <c r="AG2570" s="9"/>
      <c r="AH2570" s="42"/>
      <c r="AI2570" s="42"/>
      <c r="AJ2570" s="42"/>
      <c r="AK2570" s="42"/>
      <c r="AL2570" s="42"/>
      <c r="AM2570" s="42"/>
      <c r="AN2570" s="42"/>
      <c r="AO2570" s="63" t="str">
        <f>IFERROR(__xludf.DUMMYFUNCTION("IF(ISBLANK(A2570),,IF(ISBLANK(S2570), A2570&amp;"";"", TEXTJOIN(CHAR(10), TRUE, A2570&amp;"";"", ARRAYFORMULA(VLOOKUP(SPLIT(S2570, "";"" &amp; CHAR(10)), $A:$AO, 41, FALSE)))))"),"LaT;")</f>
        <v>LaT;</v>
      </c>
      <c r="AP2570" s="89"/>
    </row>
    <row r="2571">
      <c r="A2571" s="151" t="str">
        <f>IFERROR(__xludf.DUMMYFUNCTION("""COMPUTED_VALUE"""),"OVLT")</f>
        <v>OVLT</v>
      </c>
      <c r="B2571" s="42" t="str">
        <f>IFERROR(__xludf.DUMMYFUNCTION("""COMPUTED_VALUE"""),"DHBA")</f>
        <v>DHBA</v>
      </c>
      <c r="C2571" s="42" t="str">
        <f>IFERROR(__xludf.DUMMYFUNCTION("""COMPUTED_VALUE"""),"organum vasculosum laminae terminalis")</f>
        <v>organum vasculosum laminae terminalis</v>
      </c>
      <c r="D2571" s="42">
        <f>IFERROR(__xludf.DUMMYFUNCTION("""COMPUTED_VALUE"""),2453.0)</f>
        <v>2453</v>
      </c>
      <c r="E2571" s="39" t="str">
        <f>IFERROR(__xludf.DUMMYFUNCTION("""COMPUTED_VALUE"""),"organum vasculosum laminae terminalis")</f>
        <v>organum vasculosum laminae terminalis</v>
      </c>
      <c r="F2571" s="9" t="str">
        <f>IFERROR(__xludf.DUMMYFUNCTION("""COMPUTED_VALUE"""),"Br")</f>
        <v>Br</v>
      </c>
      <c r="G2571" s="9" t="str">
        <f>IFERROR(__xludf.DUMMYFUNCTION("""COMPUTED_VALUE"""),"F")</f>
        <v>F</v>
      </c>
      <c r="H2571" s="9" t="str">
        <f>IFERROR(__xludf.DUMMYFUNCTION("""COMPUTED_VALUE"""),"FSS")</f>
        <v>FSS</v>
      </c>
      <c r="I2571" s="9" t="str">
        <f>IFERROR(__xludf.DUMMYFUNCTION("""COMPUTED_VALUE"""),"ASFV")</f>
        <v>ASFV</v>
      </c>
      <c r="J2571" s="9" t="str">
        <f>IFERROR(__xludf.DUMMYFUNCTION("""COMPUTED_VALUE"""),"OVLT")</f>
        <v>OVLT</v>
      </c>
      <c r="K2571" s="9"/>
      <c r="L2571" s="9"/>
      <c r="M2571" s="9"/>
      <c r="N2571" s="9"/>
      <c r="O2571" s="9"/>
      <c r="P2571" s="9"/>
      <c r="Q2571" s="9"/>
      <c r="R2571" s="9"/>
      <c r="S2571" s="42"/>
      <c r="T2571" s="42"/>
      <c r="U2571" s="42"/>
      <c r="V2571" s="42"/>
      <c r="W2571" s="42"/>
      <c r="X2571" s="42"/>
      <c r="Y2571" s="42"/>
      <c r="Z2571" s="42"/>
      <c r="AA2571" s="42"/>
      <c r="AB2571" s="42" t="str">
        <f>IFERROR(__xludf.DUMMYFUNCTION("""COMPUTED_VALUE"""),"allen institute")</f>
        <v>allen institute</v>
      </c>
      <c r="AC2571" s="42" t="str">
        <f>IFERROR(__xludf.DUMMYFUNCTION("""COMPUTED_VALUE"""),"DHBA")</f>
        <v>DHBA</v>
      </c>
      <c r="AD2571" s="42"/>
      <c r="AE2571" s="42"/>
      <c r="AF2571" s="9"/>
      <c r="AG2571" s="9"/>
      <c r="AH2571" s="42"/>
      <c r="AI2571" s="42"/>
      <c r="AJ2571" s="42"/>
      <c r="AK2571" s="42"/>
      <c r="AL2571" s="42"/>
      <c r="AM2571" s="42"/>
      <c r="AN2571" s="42"/>
      <c r="AO2571" s="63" t="str">
        <f>IFERROR(__xludf.DUMMYFUNCTION("IF(ISBLANK(A2571),,IF(ISBLANK(S2571), A2571&amp;"";"", TEXTJOIN(CHAR(10), TRUE, A2571&amp;"";"", ARRAYFORMULA(VLOOKUP(SPLIT(S2571, "";"" &amp; CHAR(10)), $A:$AO, 41, FALSE)))))"),"OVLT;")</f>
        <v>OVLT;</v>
      </c>
      <c r="AP2571" s="89"/>
    </row>
    <row r="2572">
      <c r="A2572" s="151" t="str">
        <f>IFERROR(__xludf.DUMMYFUNCTION("""COMPUTED_VALUE"""),"SFO")</f>
        <v>SFO</v>
      </c>
      <c r="B2572" s="42" t="str">
        <f>IFERROR(__xludf.DUMMYFUNCTION("""COMPUTED_VALUE"""),"DHBA")</f>
        <v>DHBA</v>
      </c>
      <c r="C2572" s="42" t="str">
        <f>IFERROR(__xludf.DUMMYFUNCTION("""COMPUTED_VALUE"""),"subfornical organ")</f>
        <v>subfornical organ</v>
      </c>
      <c r="D2572" s="42">
        <f>IFERROR(__xludf.DUMMYFUNCTION("""COMPUTED_VALUE"""),2454.0)</f>
        <v>2454</v>
      </c>
      <c r="E2572" s="39" t="str">
        <f>IFERROR(__xludf.DUMMYFUNCTION("""COMPUTED_VALUE"""),"subfornical organ")</f>
        <v>subfornical organ</v>
      </c>
      <c r="F2572" s="9" t="str">
        <f>IFERROR(__xludf.DUMMYFUNCTION("""COMPUTED_VALUE"""),"Br")</f>
        <v>Br</v>
      </c>
      <c r="G2572" s="9" t="str">
        <f>IFERROR(__xludf.DUMMYFUNCTION("""COMPUTED_VALUE"""),"F")</f>
        <v>F</v>
      </c>
      <c r="H2572" s="9" t="str">
        <f>IFERROR(__xludf.DUMMYFUNCTION("""COMPUTED_VALUE"""),"FSS")</f>
        <v>FSS</v>
      </c>
      <c r="I2572" s="9" t="str">
        <f>IFERROR(__xludf.DUMMYFUNCTION("""COMPUTED_VALUE"""),"ASFV")</f>
        <v>ASFV</v>
      </c>
      <c r="J2572" s="9" t="str">
        <f>IFERROR(__xludf.DUMMYFUNCTION("""COMPUTED_VALUE"""),"SFO")</f>
        <v>SFO</v>
      </c>
      <c r="K2572" s="9"/>
      <c r="L2572" s="9"/>
      <c r="M2572" s="9"/>
      <c r="N2572" s="9"/>
      <c r="O2572" s="9"/>
      <c r="P2572" s="9"/>
      <c r="Q2572" s="9"/>
      <c r="R2572" s="9"/>
      <c r="S2572" s="42"/>
      <c r="T2572" s="42"/>
      <c r="U2572" s="42"/>
      <c r="V2572" s="42"/>
      <c r="W2572" s="42"/>
      <c r="X2572" s="42"/>
      <c r="Y2572" s="42"/>
      <c r="Z2572" s="42"/>
      <c r="AA2572" s="42"/>
      <c r="AB2572" s="42" t="str">
        <f>IFERROR(__xludf.DUMMYFUNCTION("""COMPUTED_VALUE"""),"allen institute")</f>
        <v>allen institute</v>
      </c>
      <c r="AC2572" s="42" t="str">
        <f>IFERROR(__xludf.DUMMYFUNCTION("""COMPUTED_VALUE"""),"DHBA")</f>
        <v>DHBA</v>
      </c>
      <c r="AD2572" s="42"/>
      <c r="AE2572" s="42"/>
      <c r="AF2572" s="9"/>
      <c r="AG2572" s="9"/>
      <c r="AH2572" s="42"/>
      <c r="AI2572" s="42"/>
      <c r="AJ2572" s="42"/>
      <c r="AK2572" s="42"/>
      <c r="AL2572" s="42"/>
      <c r="AM2572" s="42"/>
      <c r="AN2572" s="42"/>
      <c r="AO2572" s="63" t="str">
        <f>IFERROR(__xludf.DUMMYFUNCTION("IF(ISBLANK(A2572),,IF(ISBLANK(S2572), A2572&amp;"";"", TEXTJOIN(CHAR(10), TRUE, A2572&amp;"";"", ARRAYFORMULA(VLOOKUP(SPLIT(S2572, "";"" &amp; CHAR(10)), $A:$AO, 41, FALSE)))))"),"SFO;")</f>
        <v>SFO;</v>
      </c>
      <c r="AP2572" s="89"/>
    </row>
    <row r="2573">
      <c r="A2573" s="151" t="str">
        <f>IFERROR(__xludf.DUMMYFUNCTION("""COMPUTED_VALUE"""),"Pell")</f>
        <v>Pell</v>
      </c>
      <c r="B2573" s="42" t="str">
        <f>IFERROR(__xludf.DUMMYFUNCTION("""COMPUTED_VALUE"""),"DHBA")</f>
        <v>DHBA</v>
      </c>
      <c r="C2573" s="42" t="str">
        <f>IFERROR(__xludf.DUMMYFUNCTION("""COMPUTED_VALUE"""),"septum pellucidum")</f>
        <v>septum pellucidum</v>
      </c>
      <c r="D2573" s="42">
        <f>IFERROR(__xludf.DUMMYFUNCTION("""COMPUTED_VALUE"""),2455.0)</f>
        <v>2455</v>
      </c>
      <c r="E2573" s="39" t="str">
        <f>IFERROR(__xludf.DUMMYFUNCTION("""COMPUTED_VALUE"""),"septum pellucidum")</f>
        <v>septum pellucidum</v>
      </c>
      <c r="F2573" s="9" t="str">
        <f>IFERROR(__xludf.DUMMYFUNCTION("""COMPUTED_VALUE"""),"Br")</f>
        <v>Br</v>
      </c>
      <c r="G2573" s="9" t="str">
        <f>IFERROR(__xludf.DUMMYFUNCTION("""COMPUTED_VALUE"""),"F")</f>
        <v>F</v>
      </c>
      <c r="H2573" s="9" t="str">
        <f>IFERROR(__xludf.DUMMYFUNCTION("""COMPUTED_VALUE"""),"FSS")</f>
        <v>FSS</v>
      </c>
      <c r="I2573" s="9" t="str">
        <f>IFERROR(__xludf.DUMMYFUNCTION("""COMPUTED_VALUE"""),"ASFV")</f>
        <v>ASFV</v>
      </c>
      <c r="J2573" s="9" t="str">
        <f>IFERROR(__xludf.DUMMYFUNCTION("""COMPUTED_VALUE"""),"Pell")</f>
        <v>Pell</v>
      </c>
      <c r="K2573" s="9"/>
      <c r="L2573" s="9"/>
      <c r="M2573" s="9"/>
      <c r="N2573" s="9"/>
      <c r="O2573" s="9"/>
      <c r="P2573" s="9"/>
      <c r="Q2573" s="9"/>
      <c r="R2573" s="9"/>
      <c r="S2573" s="42" t="str">
        <f>IFERROR(__xludf.DUMMYFUNCTION("""COMPUTED_VALUE"""),"cpell")</f>
        <v>cpell</v>
      </c>
      <c r="T2573" s="42"/>
      <c r="U2573" s="42" t="b">
        <f>IFERROR(__xludf.DUMMYFUNCTION("""COMPUTED_VALUE"""),FALSE)</f>
        <v>0</v>
      </c>
      <c r="V2573" s="42"/>
      <c r="W2573" s="42"/>
      <c r="X2573" s="42"/>
      <c r="Y2573" s="42"/>
      <c r="Z2573" s="42"/>
      <c r="AA2573" s="42"/>
      <c r="AB2573" s="42" t="str">
        <f>IFERROR(__xludf.DUMMYFUNCTION("""COMPUTED_VALUE"""),"allen institute")</f>
        <v>allen institute</v>
      </c>
      <c r="AC2573" s="42" t="str">
        <f>IFERROR(__xludf.DUMMYFUNCTION("""COMPUTED_VALUE"""),"DHBA")</f>
        <v>DHBA</v>
      </c>
      <c r="AD2573" s="42"/>
      <c r="AE2573" s="42"/>
      <c r="AF2573" s="9"/>
      <c r="AG2573" s="9"/>
      <c r="AH2573" s="42"/>
      <c r="AI2573" s="42"/>
      <c r="AJ2573" s="42"/>
      <c r="AK2573" s="42"/>
      <c r="AL2573" s="42"/>
      <c r="AM2573" s="42"/>
      <c r="AN2573" s="42"/>
      <c r="AO2573" s="63" t="str">
        <f>IFERROR(__xludf.DUMMYFUNCTION("IF(ISBLANK(A2573),,IF(ISBLANK(S2573), A2573&amp;"";"", TEXTJOIN(CHAR(10), TRUE, A2573&amp;"";"", ARRAYFORMULA(VLOOKUP(SPLIT(S2573, "";"" &amp; CHAR(10)), $A:$AO, 41, FALSE)))))"),"Pell;
cpell;")</f>
        <v>Pell;
cpell;</v>
      </c>
      <c r="AP2573" s="89"/>
    </row>
    <row r="2574">
      <c r="A2574" s="151" t="str">
        <f>IFERROR(__xludf.DUMMYFUNCTION("""COMPUTED_VALUE"""),"cpell")</f>
        <v>cpell</v>
      </c>
      <c r="B2574" s="42" t="str">
        <f>IFERROR(__xludf.DUMMYFUNCTION("""COMPUTED_VALUE"""),"DHBA")</f>
        <v>DHBA</v>
      </c>
      <c r="C2574" s="42" t="str">
        <f>IFERROR(__xludf.DUMMYFUNCTION("""COMPUTED_VALUE"""),"cavum septi pellucidi")</f>
        <v>cavum septi pellucidi</v>
      </c>
      <c r="D2574" s="42">
        <f>IFERROR(__xludf.DUMMYFUNCTION("""COMPUTED_VALUE"""),2456.0)</f>
        <v>2456</v>
      </c>
      <c r="E2574" s="39" t="str">
        <f>IFERROR(__xludf.DUMMYFUNCTION("""COMPUTED_VALUE"""),"cavum septi pellucidi")</f>
        <v>cavum septi pellucidi</v>
      </c>
      <c r="F2574" s="9" t="str">
        <f>IFERROR(__xludf.DUMMYFUNCTION("""COMPUTED_VALUE"""),"Br")</f>
        <v>Br</v>
      </c>
      <c r="G2574" s="9" t="str">
        <f>IFERROR(__xludf.DUMMYFUNCTION("""COMPUTED_VALUE"""),"F")</f>
        <v>F</v>
      </c>
      <c r="H2574" s="9" t="str">
        <f>IFERROR(__xludf.DUMMYFUNCTION("""COMPUTED_VALUE"""),"FSS")</f>
        <v>FSS</v>
      </c>
      <c r="I2574" s="9" t="str">
        <f>IFERROR(__xludf.DUMMYFUNCTION("""COMPUTED_VALUE"""),"ASFV")</f>
        <v>ASFV</v>
      </c>
      <c r="J2574" s="9" t="str">
        <f>IFERROR(__xludf.DUMMYFUNCTION("""COMPUTED_VALUE"""),"Pell")</f>
        <v>Pell</v>
      </c>
      <c r="K2574" s="9" t="str">
        <f>IFERROR(__xludf.DUMMYFUNCTION("""COMPUTED_VALUE"""),"cpell")</f>
        <v>cpell</v>
      </c>
      <c r="L2574" s="9"/>
      <c r="M2574" s="9"/>
      <c r="N2574" s="9"/>
      <c r="O2574" s="9"/>
      <c r="P2574" s="9"/>
      <c r="Q2574" s="9"/>
      <c r="R2574" s="9"/>
      <c r="S2574" s="42"/>
      <c r="T2574" s="42"/>
      <c r="U2574" s="42"/>
      <c r="V2574" s="42"/>
      <c r="W2574" s="42"/>
      <c r="X2574" s="42"/>
      <c r="Y2574" s="42"/>
      <c r="Z2574" s="42"/>
      <c r="AA2574" s="42"/>
      <c r="AB2574" s="42" t="str">
        <f>IFERROR(__xludf.DUMMYFUNCTION("""COMPUTED_VALUE"""),"allen institute")</f>
        <v>allen institute</v>
      </c>
      <c r="AC2574" s="42" t="str">
        <f>IFERROR(__xludf.DUMMYFUNCTION("""COMPUTED_VALUE"""),"DHBA")</f>
        <v>DHBA</v>
      </c>
      <c r="AD2574" s="42"/>
      <c r="AE2574" s="42"/>
      <c r="AF2574" s="9"/>
      <c r="AG2574" s="9"/>
      <c r="AH2574" s="42"/>
      <c r="AI2574" s="42"/>
      <c r="AJ2574" s="42"/>
      <c r="AK2574" s="42"/>
      <c r="AL2574" s="42"/>
      <c r="AM2574" s="42"/>
      <c r="AN2574" s="42"/>
      <c r="AO2574" s="63" t="str">
        <f>IFERROR(__xludf.DUMMYFUNCTION("IF(ISBLANK(A2574),,IF(ISBLANK(S2574), A2574&amp;"";"", TEXTJOIN(CHAR(10), TRUE, A2574&amp;"";"", ARRAYFORMULA(VLOOKUP(SPLIT(S2574, "";"" &amp; CHAR(10)), $A:$AO, 41, FALSE)))))"),"cpell;")</f>
        <v>cpell;</v>
      </c>
      <c r="AP2574" s="89"/>
    </row>
    <row r="2575">
      <c r="A2575" s="151" t="str">
        <f>IFERROR(__xludf.DUMMYFUNCTION("""COMPUTED_VALUE"""),"vip")</f>
        <v>vip</v>
      </c>
      <c r="B2575" s="42" t="str">
        <f>IFERROR(__xludf.DUMMYFUNCTION("""COMPUTED_VALUE"""),"DHBA")</f>
        <v>DHBA</v>
      </c>
      <c r="C2575" s="42" t="str">
        <f>IFERROR(__xludf.DUMMYFUNCTION("""COMPUTED_VALUE"""),"velum interpositum")</f>
        <v>velum interpositum</v>
      </c>
      <c r="D2575" s="42">
        <f>IFERROR(__xludf.DUMMYFUNCTION("""COMPUTED_VALUE"""),2457.0)</f>
        <v>2457</v>
      </c>
      <c r="E2575" s="39" t="str">
        <f>IFERROR(__xludf.DUMMYFUNCTION("""COMPUTED_VALUE"""),"velum interpositum")</f>
        <v>velum interpositum</v>
      </c>
      <c r="F2575" s="9" t="str">
        <f>IFERROR(__xludf.DUMMYFUNCTION("""COMPUTED_VALUE"""),"Br")</f>
        <v>Br</v>
      </c>
      <c r="G2575" s="9" t="str">
        <f>IFERROR(__xludf.DUMMYFUNCTION("""COMPUTED_VALUE"""),"F")</f>
        <v>F</v>
      </c>
      <c r="H2575" s="9" t="str">
        <f>IFERROR(__xludf.DUMMYFUNCTION("""COMPUTED_VALUE"""),"FSS")</f>
        <v>FSS</v>
      </c>
      <c r="I2575" s="9" t="str">
        <f>IFERROR(__xludf.DUMMYFUNCTION("""COMPUTED_VALUE"""),"ASFV")</f>
        <v>ASFV</v>
      </c>
      <c r="J2575" s="9" t="str">
        <f>IFERROR(__xludf.DUMMYFUNCTION("""COMPUTED_VALUE"""),"vip")</f>
        <v>vip</v>
      </c>
      <c r="K2575" s="9"/>
      <c r="L2575" s="9"/>
      <c r="M2575" s="9"/>
      <c r="N2575" s="9"/>
      <c r="O2575" s="9"/>
      <c r="P2575" s="9"/>
      <c r="Q2575" s="9"/>
      <c r="R2575" s="9"/>
      <c r="S2575" s="42"/>
      <c r="T2575" s="42"/>
      <c r="U2575" s="42"/>
      <c r="V2575" s="42"/>
      <c r="W2575" s="42"/>
      <c r="X2575" s="42"/>
      <c r="Y2575" s="42"/>
      <c r="Z2575" s="42"/>
      <c r="AA2575" s="42"/>
      <c r="AB2575" s="42" t="str">
        <f>IFERROR(__xludf.DUMMYFUNCTION("""COMPUTED_VALUE"""),"allen institute")</f>
        <v>allen institute</v>
      </c>
      <c r="AC2575" s="42" t="str">
        <f>IFERROR(__xludf.DUMMYFUNCTION("""COMPUTED_VALUE"""),"DHBA")</f>
        <v>DHBA</v>
      </c>
      <c r="AD2575" s="42"/>
      <c r="AE2575" s="42"/>
      <c r="AF2575" s="9"/>
      <c r="AG2575" s="9"/>
      <c r="AH2575" s="42"/>
      <c r="AI2575" s="42"/>
      <c r="AJ2575" s="42"/>
      <c r="AK2575" s="42"/>
      <c r="AL2575" s="42"/>
      <c r="AM2575" s="42"/>
      <c r="AN2575" s="42"/>
      <c r="AO2575" s="63" t="str">
        <f>IFERROR(__xludf.DUMMYFUNCTION("IF(ISBLANK(A2575),,IF(ISBLANK(S2575), A2575&amp;"";"", TEXTJOIN(CHAR(10), TRUE, A2575&amp;"";"", ARRAYFORMULA(VLOOKUP(SPLIT(S2575, "";"" &amp; CHAR(10)), $A:$AO, 41, FALSE)))))"),"vip;")</f>
        <v>vip;</v>
      </c>
      <c r="AP2575" s="89"/>
    </row>
    <row r="2576">
      <c r="A2576" s="151" t="str">
        <f>IFERROR(__xludf.DUMMYFUNCTION("""COMPUTED_VALUE"""),"fbv")</f>
        <v>fbv</v>
      </c>
      <c r="B2576" s="42" t="str">
        <f>IFERROR(__xludf.DUMMYFUNCTION("""COMPUTED_VALUE"""),"DHBA")</f>
        <v>DHBA</v>
      </c>
      <c r="C2576" s="42" t="str">
        <f>IFERROR(__xludf.DUMMYFUNCTION("""COMPUTED_VALUE"""),"blood vessels of forebrain")</f>
        <v>blood vessels of forebrain</v>
      </c>
      <c r="D2576" s="42">
        <f>IFERROR(__xludf.DUMMYFUNCTION("""COMPUTED_VALUE"""),2458.0)</f>
        <v>2458</v>
      </c>
      <c r="E2576" s="39" t="str">
        <f>IFERROR(__xludf.DUMMYFUNCTION("""COMPUTED_VALUE"""),"blood vessels of forebrain")</f>
        <v>blood vessels of forebrain</v>
      </c>
      <c r="F2576" s="9" t="str">
        <f>IFERROR(__xludf.DUMMYFUNCTION("""COMPUTED_VALUE"""),"Br")</f>
        <v>Br</v>
      </c>
      <c r="G2576" s="9" t="str">
        <f>IFERROR(__xludf.DUMMYFUNCTION("""COMPUTED_VALUE"""),"F")</f>
        <v>F</v>
      </c>
      <c r="H2576" s="9" t="str">
        <f>IFERROR(__xludf.DUMMYFUNCTION("""COMPUTED_VALUE"""),"fbv")</f>
        <v>fbv</v>
      </c>
      <c r="I2576" s="9"/>
      <c r="J2576" s="9"/>
      <c r="K2576" s="9"/>
      <c r="L2576" s="9"/>
      <c r="M2576" s="9"/>
      <c r="N2576" s="9"/>
      <c r="O2576" s="9"/>
      <c r="P2576" s="9"/>
      <c r="Q2576" s="9"/>
      <c r="R2576" s="9"/>
      <c r="S2576" s="42"/>
      <c r="T2576" s="42"/>
      <c r="U2576" s="42"/>
      <c r="V2576" s="42"/>
      <c r="W2576" s="42"/>
      <c r="X2576" s="42"/>
      <c r="Y2576" s="42"/>
      <c r="Z2576" s="42"/>
      <c r="AA2576" s="42"/>
      <c r="AB2576" s="42" t="str">
        <f>IFERROR(__xludf.DUMMYFUNCTION("""COMPUTED_VALUE"""),"allen institute")</f>
        <v>allen institute</v>
      </c>
      <c r="AC2576" s="42" t="str">
        <f>IFERROR(__xludf.DUMMYFUNCTION("""COMPUTED_VALUE"""),"DHBA")</f>
        <v>DHBA</v>
      </c>
      <c r="AD2576" s="42"/>
      <c r="AE2576" s="42"/>
      <c r="AF2576" s="9"/>
      <c r="AG2576" s="9"/>
      <c r="AH2576" s="42"/>
      <c r="AI2576" s="42"/>
      <c r="AJ2576" s="42"/>
      <c r="AK2576" s="42"/>
      <c r="AL2576" s="42"/>
      <c r="AM2576" s="42"/>
      <c r="AN2576" s="42"/>
      <c r="AO2576" s="63" t="str">
        <f>IFERROR(__xludf.DUMMYFUNCTION("IF(ISBLANK(A2576),,IF(ISBLANK(S2576), A2576&amp;"";"", TEXTJOIN(CHAR(10), TRUE, A2576&amp;"";"", ARRAYFORMULA(VLOOKUP(SPLIT(S2576, "";"" &amp; CHAR(10)), $A:$AO, 41, FALSE)))))"),"fbv;")</f>
        <v>fbv;</v>
      </c>
      <c r="AP2576" s="89"/>
    </row>
    <row r="2577">
      <c r="A2577" s="151" t="str">
        <f>IFERROR(__xludf.DUMMYFUNCTION("""COMPUTED_VALUE"""),"M")</f>
        <v>M</v>
      </c>
      <c r="B2577" s="42" t="str">
        <f>IFERROR(__xludf.DUMMYFUNCTION("""COMPUTED_VALUE"""),"DHBA")</f>
        <v>DHBA</v>
      </c>
      <c r="C2577" s="42" t="str">
        <f>IFERROR(__xludf.DUMMYFUNCTION("""COMPUTED_VALUE"""),"midbrain(msencephalon)")</f>
        <v>midbrain(msencephalon)</v>
      </c>
      <c r="D2577" s="42">
        <f>IFERROR(__xludf.DUMMYFUNCTION("""COMPUTED_VALUE"""),2459.0)</f>
        <v>2459</v>
      </c>
      <c r="E2577" s="39" t="str">
        <f>IFERROR(__xludf.DUMMYFUNCTION("""COMPUTED_VALUE"""),"midbrain (mesencephalon)")</f>
        <v>midbrain (mesencephalon)</v>
      </c>
      <c r="F2577" s="9" t="str">
        <f>IFERROR(__xludf.DUMMYFUNCTION("""COMPUTED_VALUE"""),"Br")</f>
        <v>Br</v>
      </c>
      <c r="G2577" s="9" t="str">
        <f>IFERROR(__xludf.DUMMYFUNCTION("""COMPUTED_VALUE"""),"M")</f>
        <v>M</v>
      </c>
      <c r="H2577" s="9"/>
      <c r="I2577" s="9"/>
      <c r="J2577" s="9"/>
      <c r="K2577" s="9"/>
      <c r="L2577" s="9"/>
      <c r="M2577" s="9"/>
      <c r="N2577" s="9"/>
      <c r="O2577" s="9"/>
      <c r="P2577" s="9"/>
      <c r="Q2577" s="9"/>
      <c r="R2577" s="9"/>
      <c r="S2577" s="42" t="str">
        <f>IFERROR(__xludf.DUMMYFUNCTION("""COMPUTED_VALUE"""),"RN;
isRt;
MRF;
p1Rt;
MGM;
MWM;
MV;
MSS;
mbv")</f>
        <v>RN;
isRt;
MRF;
p1Rt;
MGM;
MWM;
MV;
MSS;
mbv</v>
      </c>
      <c r="T2577" s="42"/>
      <c r="U2577" s="42" t="b">
        <f>IFERROR(__xludf.DUMMYFUNCTION("""COMPUTED_VALUE"""),FALSE)</f>
        <v>0</v>
      </c>
      <c r="V2577" s="42"/>
      <c r="W2577" s="42"/>
      <c r="X2577" s="42"/>
      <c r="Y2577" s="42"/>
      <c r="Z2577" s="42"/>
      <c r="AA2577" s="42"/>
      <c r="AB2577" s="42" t="str">
        <f>IFERROR(__xludf.DUMMYFUNCTION("""COMPUTED_VALUE"""),"allen institute")</f>
        <v>allen institute</v>
      </c>
      <c r="AC2577" s="42" t="str">
        <f>IFERROR(__xludf.DUMMYFUNCTION("""COMPUTED_VALUE"""),"DHBA")</f>
        <v>DHBA</v>
      </c>
      <c r="AD2577" s="42"/>
      <c r="AE2577" s="42"/>
      <c r="AF2577" s="9"/>
      <c r="AG2577" s="9"/>
      <c r="AH2577" s="42"/>
      <c r="AI2577" s="42"/>
      <c r="AJ2577" s="42"/>
      <c r="AK2577" s="42"/>
      <c r="AL2577" s="42"/>
      <c r="AM2577" s="42"/>
      <c r="AN2577" s="42"/>
      <c r="AO2577" s="63" t="str">
        <f>IFERROR(__xludf.DUMMYFUNCTION("IF(ISBLANK(A2577),,IF(ISBLANK(S2577), A2577&amp;"";"", TEXTJOIN(CHAR(10), TRUE, A2577&amp;"";"", ARRAYFORMULA(VLOOKUP(SPLIT(S2577, "";"" &amp; CHAR(10)), $A:$AO, 41, FALSE)))))"),"#N/A")</f>
        <v>#N/A</v>
      </c>
      <c r="AP2577" s="89"/>
    </row>
    <row r="2578">
      <c r="A2578" s="151" t="str">
        <f>IFERROR(__xludf.DUMMYFUNCTION("""COMPUTED_VALUE"""),"MGM")</f>
        <v>MGM</v>
      </c>
      <c r="B2578" s="42" t="str">
        <f>IFERROR(__xludf.DUMMYFUNCTION("""COMPUTED_VALUE"""),"DHBA")</f>
        <v>DHBA</v>
      </c>
      <c r="C2578" s="42" t="str">
        <f>IFERROR(__xludf.DUMMYFUNCTION("""COMPUTED_VALUE"""),"gray matter of midbrain")</f>
        <v>gray matter of midbrain</v>
      </c>
      <c r="D2578" s="42">
        <f>IFERROR(__xludf.DUMMYFUNCTION("""COMPUTED_VALUE"""),2460.0)</f>
        <v>2460</v>
      </c>
      <c r="E2578" s="39" t="str">
        <f>IFERROR(__xludf.DUMMYFUNCTION("""COMPUTED_VALUE"""),"gray matter of midbrain")</f>
        <v>gray matter of midbrain</v>
      </c>
      <c r="F2578" s="9" t="str">
        <f>IFERROR(__xludf.DUMMYFUNCTION("""COMPUTED_VALUE"""),"Br")</f>
        <v>Br</v>
      </c>
      <c r="G2578" s="9" t="str">
        <f>IFERROR(__xludf.DUMMYFUNCTION("""COMPUTED_VALUE"""),"M")</f>
        <v>M</v>
      </c>
      <c r="H2578" s="9" t="str">
        <f>IFERROR(__xludf.DUMMYFUNCTION("""COMPUTED_VALUE"""),"MGM")</f>
        <v>MGM</v>
      </c>
      <c r="I2578" s="9"/>
      <c r="J2578" s="9"/>
      <c r="K2578" s="9"/>
      <c r="L2578" s="9"/>
      <c r="M2578" s="9"/>
      <c r="N2578" s="9"/>
      <c r="O2578" s="9"/>
      <c r="P2578" s="9"/>
      <c r="Q2578" s="9"/>
      <c r="R2578" s="9"/>
      <c r="S2578" s="42" t="str">
        <f>IFERROR(__xludf.DUMMYFUNCTION("""COMPUTED_VALUE"""),"PTR;
MTg;
MTc;
MTS")</f>
        <v>PTR;
MTg;
MTc;
MTS</v>
      </c>
      <c r="T2578" s="42"/>
      <c r="U2578" s="42" t="b">
        <f>IFERROR(__xludf.DUMMYFUNCTION("""COMPUTED_VALUE"""),FALSE)</f>
        <v>0</v>
      </c>
      <c r="V2578" s="42"/>
      <c r="W2578" s="42"/>
      <c r="X2578" s="42"/>
      <c r="Y2578" s="42"/>
      <c r="Z2578" s="42"/>
      <c r="AA2578" s="42"/>
      <c r="AB2578" s="42" t="str">
        <f>IFERROR(__xludf.DUMMYFUNCTION("""COMPUTED_VALUE"""),"allen institute")</f>
        <v>allen institute</v>
      </c>
      <c r="AC2578" s="42" t="str">
        <f>IFERROR(__xludf.DUMMYFUNCTION("""COMPUTED_VALUE"""),"DHBA")</f>
        <v>DHBA</v>
      </c>
      <c r="AD2578" s="42"/>
      <c r="AE2578" s="42"/>
      <c r="AF2578" s="9"/>
      <c r="AG2578" s="9"/>
      <c r="AH2578" s="42"/>
      <c r="AI2578" s="42"/>
      <c r="AJ2578" s="42"/>
      <c r="AK2578" s="42"/>
      <c r="AL2578" s="42"/>
      <c r="AM2578" s="42"/>
      <c r="AN2578" s="42"/>
      <c r="AO2578" s="63" t="str">
        <f>IFERROR(__xludf.DUMMYFUNCTION("IF(ISBLANK(A2578),,IF(ISBLANK(S2578), A2578&amp;"";"", TEXTJOIN(CHAR(10), TRUE, A2578&amp;"";"", ARRAYFORMULA(VLOOKUP(SPLIT(S2578, "";"" &amp; CHAR(10)), $A:$AO, 41, FALSE)))))"),"#N/A")</f>
        <v>#N/A</v>
      </c>
      <c r="AP2578" s="89"/>
    </row>
    <row r="2579">
      <c r="A2579" s="151" t="str">
        <f>IFERROR(__xludf.DUMMYFUNCTION("""COMPUTED_VALUE"""),"PTR")</f>
        <v>PTR</v>
      </c>
      <c r="B2579" s="42" t="str">
        <f>IFERROR(__xludf.DUMMYFUNCTION("""COMPUTED_VALUE"""),"DHBA")</f>
        <v>DHBA</v>
      </c>
      <c r="C2579" s="42" t="str">
        <f>IFERROR(__xludf.DUMMYFUNCTION("""COMPUTED_VALUE"""),"pretectal region")</f>
        <v>pretectal region</v>
      </c>
      <c r="D2579" s="42">
        <f>IFERROR(__xludf.DUMMYFUNCTION("""COMPUTED_VALUE"""),2461.0)</f>
        <v>2461</v>
      </c>
      <c r="E2579" s="39" t="str">
        <f>IFERROR(__xludf.DUMMYFUNCTION("""COMPUTED_VALUE"""),"pretectal region")</f>
        <v>pretectal region</v>
      </c>
      <c r="F2579" s="9" t="str">
        <f>IFERROR(__xludf.DUMMYFUNCTION("""COMPUTED_VALUE"""),"Br")</f>
        <v>Br</v>
      </c>
      <c r="G2579" s="9" t="str">
        <f>IFERROR(__xludf.DUMMYFUNCTION("""COMPUTED_VALUE"""),"M")</f>
        <v>M</v>
      </c>
      <c r="H2579" s="9" t="str">
        <f>IFERROR(__xludf.DUMMYFUNCTION("""COMPUTED_VALUE"""),"MGM")</f>
        <v>MGM</v>
      </c>
      <c r="I2579" s="9" t="str">
        <f>IFERROR(__xludf.DUMMYFUNCTION("""COMPUTED_VALUE"""),"PTR")</f>
        <v>PTR</v>
      </c>
      <c r="J2579" s="9"/>
      <c r="K2579" s="9"/>
      <c r="L2579" s="9"/>
      <c r="M2579" s="9"/>
      <c r="N2579" s="9"/>
      <c r="O2579" s="9"/>
      <c r="P2579" s="9"/>
      <c r="Q2579" s="9"/>
      <c r="R2579" s="9"/>
      <c r="S2579" s="42" t="str">
        <f>IFERROR(__xludf.DUMMYFUNCTION("""COMPUTED_VALUE"""),"PTN;
AOP")</f>
        <v>PTN;
AOP</v>
      </c>
      <c r="T2579" s="42"/>
      <c r="U2579" s="42" t="b">
        <f>IFERROR(__xludf.DUMMYFUNCTION("""COMPUTED_VALUE"""),FALSE)</f>
        <v>0</v>
      </c>
      <c r="V2579" s="42"/>
      <c r="W2579" s="42"/>
      <c r="X2579" s="42"/>
      <c r="Y2579" s="42" t="str">
        <f>IFERROR(__xludf.DUMMYFUNCTION("""COMPUTED_VALUE"""),"Accesory optic system [Wolpert 98]")</f>
        <v>Accesory optic system [Wolpert 98]</v>
      </c>
      <c r="Z2579" s="42"/>
      <c r="AA2579" s="42"/>
      <c r="AB2579" s="42" t="str">
        <f>IFERROR(__xludf.DUMMYFUNCTION("""COMPUTED_VALUE"""),"allen institute")</f>
        <v>allen institute</v>
      </c>
      <c r="AC2579" s="42" t="str">
        <f>IFERROR(__xludf.DUMMYFUNCTION("""COMPUTED_VALUE"""),"DHBA")</f>
        <v>DHBA</v>
      </c>
      <c r="AD2579" s="42"/>
      <c r="AE2579" s="42"/>
      <c r="AF2579" s="9"/>
      <c r="AG2579" s="9"/>
      <c r="AH2579" s="42"/>
      <c r="AI2579" s="42"/>
      <c r="AJ2579" s="42"/>
      <c r="AK2579" s="42"/>
      <c r="AL2579" s="42"/>
      <c r="AM2579" s="42"/>
      <c r="AN2579" s="42"/>
      <c r="AO2579" s="63" t="str">
        <f>IFERROR(__xludf.DUMMYFUNCTION("IF(ISBLANK(A2579),,IF(ISBLANK(S2579), A2579&amp;"";"", TEXTJOIN(CHAR(10), TRUE, A2579&amp;"";"", ARRAYFORMULA(VLOOKUP(SPLIT(S2579, "";"" &amp; CHAR(10)), $A:$AO, 41, FALSE)))))"),"PTR;
PTN;
DPT;
MPT;
NOP;
opt;
APT;
APTc;
APTr;
AOP;
AOPd;
AOPl;
AOPm;")</f>
        <v>PTR;
PTN;
DPT;
MPT;
NOP;
opt;
APT;
APTc;
APTr;
AOP;
AOPd;
AOPl;
AOPm;</v>
      </c>
      <c r="AP2579" s="89"/>
    </row>
    <row r="2580">
      <c r="A2580" s="151" t="str">
        <f>IFERROR(__xludf.DUMMYFUNCTION("""COMPUTED_VALUE"""),"PTN")</f>
        <v>PTN</v>
      </c>
      <c r="B2580" s="42" t="str">
        <f>IFERROR(__xludf.DUMMYFUNCTION("""COMPUTED_VALUE"""),"DHBA")</f>
        <v>DHBA</v>
      </c>
      <c r="C2580" s="42" t="str">
        <f>IFERROR(__xludf.DUMMYFUNCTION("""COMPUTED_VALUE"""),"pretectal nuclear complex")</f>
        <v>pretectal nuclear complex</v>
      </c>
      <c r="D2580" s="42">
        <f>IFERROR(__xludf.DUMMYFUNCTION("""COMPUTED_VALUE"""),2462.0)</f>
        <v>2462</v>
      </c>
      <c r="E2580" s="39" t="str">
        <f>IFERROR(__xludf.DUMMYFUNCTION("""COMPUTED_VALUE"""),"pretectal nuclear complex")</f>
        <v>pretectal nuclear complex</v>
      </c>
      <c r="F2580" s="9" t="str">
        <f>IFERROR(__xludf.DUMMYFUNCTION("""COMPUTED_VALUE"""),"Br")</f>
        <v>Br</v>
      </c>
      <c r="G2580" s="9" t="str">
        <f>IFERROR(__xludf.DUMMYFUNCTION("""COMPUTED_VALUE"""),"M")</f>
        <v>M</v>
      </c>
      <c r="H2580" s="9" t="str">
        <f>IFERROR(__xludf.DUMMYFUNCTION("""COMPUTED_VALUE"""),"MGM")</f>
        <v>MGM</v>
      </c>
      <c r="I2580" s="9" t="str">
        <f>IFERROR(__xludf.DUMMYFUNCTION("""COMPUTED_VALUE"""),"PTR")</f>
        <v>PTR</v>
      </c>
      <c r="J2580" s="9" t="str">
        <f>IFERROR(__xludf.DUMMYFUNCTION("""COMPUTED_VALUE"""),"PTN")</f>
        <v>PTN</v>
      </c>
      <c r="K2580" s="9"/>
      <c r="L2580" s="9"/>
      <c r="M2580" s="9"/>
      <c r="N2580" s="9"/>
      <c r="O2580" s="9"/>
      <c r="P2580" s="9"/>
      <c r="Q2580" s="9"/>
      <c r="R2580" s="9"/>
      <c r="S2580" s="42" t="str">
        <f>IFERROR(__xludf.DUMMYFUNCTION("""COMPUTED_VALUE"""),"DPT;
MPT;
NOP;
OPT;
APT")</f>
        <v>DPT;
MPT;
NOP;
OPT;
APT</v>
      </c>
      <c r="T2580" s="42"/>
      <c r="U2580" s="42" t="b">
        <f>IFERROR(__xludf.DUMMYFUNCTION("""COMPUTED_VALUE"""),FALSE)</f>
        <v>0</v>
      </c>
      <c r="V2580" s="42"/>
      <c r="W2580" s="42"/>
      <c r="X2580" s="42"/>
      <c r="Y2580" s="42" t="str">
        <f>IFERROR(__xludf.DUMMYFUNCTION("""COMPUTED_VALUE"""),"Accesory optic system [Wolpert 98]")</f>
        <v>Accesory optic system [Wolpert 98]</v>
      </c>
      <c r="Z2580" s="42"/>
      <c r="AA2580" s="42"/>
      <c r="AB2580" s="42" t="str">
        <f>IFERROR(__xludf.DUMMYFUNCTION("""COMPUTED_VALUE"""),"allen institute")</f>
        <v>allen institute</v>
      </c>
      <c r="AC2580" s="42" t="str">
        <f>IFERROR(__xludf.DUMMYFUNCTION("""COMPUTED_VALUE"""),"DHBA")</f>
        <v>DHBA</v>
      </c>
      <c r="AD2580" s="42"/>
      <c r="AE2580" s="42"/>
      <c r="AF2580" s="9"/>
      <c r="AG2580" s="9"/>
      <c r="AH2580" s="42"/>
      <c r="AI2580" s="42"/>
      <c r="AJ2580" s="42"/>
      <c r="AK2580" s="42"/>
      <c r="AL2580" s="42"/>
      <c r="AM2580" s="42"/>
      <c r="AN2580" s="42"/>
      <c r="AO2580" s="63" t="str">
        <f>IFERROR(__xludf.DUMMYFUNCTION("IF(ISBLANK(A2580),,IF(ISBLANK(S2580), A2580&amp;"";"", TEXTJOIN(CHAR(10), TRUE, A2580&amp;"";"", ARRAYFORMULA(VLOOKUP(SPLIT(S2580, "";"" &amp; CHAR(10)), $A:$AO, 41, FALSE)))))"),"PTN;
DPT;
MPT;
NOP;
opt;
APT;
APTc;
APTr;")</f>
        <v>PTN;
DPT;
MPT;
NOP;
opt;
APT;
APTc;
APTr;</v>
      </c>
      <c r="AP2580" s="89"/>
    </row>
    <row r="2581">
      <c r="A2581" s="151" t="str">
        <f>IFERROR(__xludf.DUMMYFUNCTION("""COMPUTED_VALUE"""),"DPT")</f>
        <v>DPT</v>
      </c>
      <c r="B2581" s="42" t="str">
        <f>IFERROR(__xludf.DUMMYFUNCTION("""COMPUTED_VALUE"""),"DHBA")</f>
        <v>DHBA</v>
      </c>
      <c r="C2581" s="42" t="str">
        <f>IFERROR(__xludf.DUMMYFUNCTION("""COMPUTED_VALUE"""),"dorsal (posterior/sublentiform) pretectal nucleus")</f>
        <v>dorsal (posterior/sublentiform) pretectal nucleus</v>
      </c>
      <c r="D2581" s="42">
        <f>IFERROR(__xludf.DUMMYFUNCTION("""COMPUTED_VALUE"""),2463.0)</f>
        <v>2463</v>
      </c>
      <c r="E2581" s="39" t="str">
        <f>IFERROR(__xludf.DUMMYFUNCTION("""COMPUTED_VALUE"""),"dorsal (posterior/sublentiform) pretectal nucleus")</f>
        <v>dorsal (posterior/sublentiform) pretectal nucleus</v>
      </c>
      <c r="F2581" s="9" t="str">
        <f>IFERROR(__xludf.DUMMYFUNCTION("""COMPUTED_VALUE"""),"Br")</f>
        <v>Br</v>
      </c>
      <c r="G2581" s="9" t="str">
        <f>IFERROR(__xludf.DUMMYFUNCTION("""COMPUTED_VALUE"""),"M")</f>
        <v>M</v>
      </c>
      <c r="H2581" s="9" t="str">
        <f>IFERROR(__xludf.DUMMYFUNCTION("""COMPUTED_VALUE"""),"MGM")</f>
        <v>MGM</v>
      </c>
      <c r="I2581" s="9" t="str">
        <f>IFERROR(__xludf.DUMMYFUNCTION("""COMPUTED_VALUE"""),"PTR")</f>
        <v>PTR</v>
      </c>
      <c r="J2581" s="9" t="str">
        <f>IFERROR(__xludf.DUMMYFUNCTION("""COMPUTED_VALUE"""),"PTN")</f>
        <v>PTN</v>
      </c>
      <c r="K2581" s="9" t="str">
        <f>IFERROR(__xludf.DUMMYFUNCTION("""COMPUTED_VALUE"""),"DPT")</f>
        <v>DPT</v>
      </c>
      <c r="L2581" s="9"/>
      <c r="M2581" s="9"/>
      <c r="N2581" s="9"/>
      <c r="O2581" s="9"/>
      <c r="P2581" s="9"/>
      <c r="Q2581" s="9"/>
      <c r="R2581" s="9"/>
      <c r="S2581" s="42"/>
      <c r="T2581" s="42"/>
      <c r="U2581" s="159"/>
      <c r="V2581" s="42"/>
      <c r="W2581" s="42"/>
      <c r="X2581" s="42"/>
      <c r="Y2581" s="42"/>
      <c r="Z2581" s="42"/>
      <c r="AA2581" s="42"/>
      <c r="AB2581" s="42" t="str">
        <f>IFERROR(__xludf.DUMMYFUNCTION("""COMPUTED_VALUE"""),"allen institute")</f>
        <v>allen institute</v>
      </c>
      <c r="AC2581" s="42" t="str">
        <f>IFERROR(__xludf.DUMMYFUNCTION("""COMPUTED_VALUE"""),"DHBA")</f>
        <v>DHBA</v>
      </c>
      <c r="AD2581" s="42"/>
      <c r="AE2581" s="42"/>
      <c r="AF2581" s="9"/>
      <c r="AG2581" s="9"/>
      <c r="AH2581" s="42"/>
      <c r="AI2581" s="42"/>
      <c r="AJ2581" s="42"/>
      <c r="AK2581" s="42"/>
      <c r="AL2581" s="42"/>
      <c r="AM2581" s="42"/>
      <c r="AN2581" s="42"/>
      <c r="AO2581" s="63" t="str">
        <f>IFERROR(__xludf.DUMMYFUNCTION("IF(ISBLANK(A2581),,IF(ISBLANK(S2581), A2581&amp;"";"", TEXTJOIN(CHAR(10), TRUE, A2581&amp;"";"", ARRAYFORMULA(VLOOKUP(SPLIT(S2581, "";"" &amp; CHAR(10)), $A:$AO, 41, FALSE)))))"),"DPT;")</f>
        <v>DPT;</v>
      </c>
      <c r="AP2581" s="89"/>
    </row>
    <row r="2582">
      <c r="A2582" s="151" t="str">
        <f>IFERROR(__xludf.DUMMYFUNCTION("""COMPUTED_VALUE"""),"MPT")</f>
        <v>MPT</v>
      </c>
      <c r="B2582" s="42" t="str">
        <f>IFERROR(__xludf.DUMMYFUNCTION("""COMPUTED_VALUE"""),"DHBA")</f>
        <v>DHBA</v>
      </c>
      <c r="C2582" s="42" t="str">
        <f>IFERROR(__xludf.DUMMYFUNCTION("""COMPUTED_VALUE"""),"medial pretectal nucleus")</f>
        <v>medial pretectal nucleus</v>
      </c>
      <c r="D2582" s="42">
        <f>IFERROR(__xludf.DUMMYFUNCTION("""COMPUTED_VALUE"""),2464.0)</f>
        <v>2464</v>
      </c>
      <c r="E2582" s="39" t="str">
        <f>IFERROR(__xludf.DUMMYFUNCTION("""COMPUTED_VALUE"""),"medial pretectal nucleus")</f>
        <v>medial pretectal nucleus</v>
      </c>
      <c r="F2582" s="9" t="str">
        <f>IFERROR(__xludf.DUMMYFUNCTION("""COMPUTED_VALUE"""),"Br")</f>
        <v>Br</v>
      </c>
      <c r="G2582" s="9" t="str">
        <f>IFERROR(__xludf.DUMMYFUNCTION("""COMPUTED_VALUE"""),"M")</f>
        <v>M</v>
      </c>
      <c r="H2582" s="9" t="str">
        <f>IFERROR(__xludf.DUMMYFUNCTION("""COMPUTED_VALUE"""),"MGM")</f>
        <v>MGM</v>
      </c>
      <c r="I2582" s="9" t="str">
        <f>IFERROR(__xludf.DUMMYFUNCTION("""COMPUTED_VALUE"""),"PTR")</f>
        <v>PTR</v>
      </c>
      <c r="J2582" s="9" t="str">
        <f>IFERROR(__xludf.DUMMYFUNCTION("""COMPUTED_VALUE"""),"PTN")</f>
        <v>PTN</v>
      </c>
      <c r="K2582" s="9" t="str">
        <f>IFERROR(__xludf.DUMMYFUNCTION("""COMPUTED_VALUE"""),"MPT")</f>
        <v>MPT</v>
      </c>
      <c r="L2582" s="9"/>
      <c r="M2582" s="9"/>
      <c r="N2582" s="9"/>
      <c r="O2582" s="9"/>
      <c r="P2582" s="9"/>
      <c r="Q2582" s="9"/>
      <c r="R2582" s="9"/>
      <c r="S2582" s="42"/>
      <c r="T2582" s="42"/>
      <c r="U2582" s="42"/>
      <c r="V2582" s="42"/>
      <c r="W2582" s="42"/>
      <c r="X2582" s="42"/>
      <c r="Y2582" s="42"/>
      <c r="Z2582" s="42"/>
      <c r="AA2582" s="42"/>
      <c r="AB2582" s="42" t="str">
        <f>IFERROR(__xludf.DUMMYFUNCTION("""COMPUTED_VALUE"""),"allen institute")</f>
        <v>allen institute</v>
      </c>
      <c r="AC2582" s="42" t="str">
        <f>IFERROR(__xludf.DUMMYFUNCTION("""COMPUTED_VALUE"""),"DHBA")</f>
        <v>DHBA</v>
      </c>
      <c r="AD2582" s="42"/>
      <c r="AE2582" s="42"/>
      <c r="AF2582" s="9"/>
      <c r="AG2582" s="9"/>
      <c r="AH2582" s="42"/>
      <c r="AI2582" s="42"/>
      <c r="AJ2582" s="42"/>
      <c r="AK2582" s="42"/>
      <c r="AL2582" s="42"/>
      <c r="AM2582" s="42"/>
      <c r="AN2582" s="42"/>
      <c r="AO2582" s="63" t="str">
        <f>IFERROR(__xludf.DUMMYFUNCTION("IF(ISBLANK(A2582),,IF(ISBLANK(S2582), A2582&amp;"";"", TEXTJOIN(CHAR(10), TRUE, A2582&amp;"";"", ARRAYFORMULA(VLOOKUP(SPLIT(S2582, "";"" &amp; CHAR(10)), $A:$AO, 41, FALSE)))))"),"MPT;")</f>
        <v>MPT;</v>
      </c>
      <c r="AP2582" s="89"/>
    </row>
    <row r="2583">
      <c r="A2583" s="151" t="str">
        <f>IFERROR(__xludf.DUMMYFUNCTION("""COMPUTED_VALUE"""),"NOP")</f>
        <v>NOP</v>
      </c>
      <c r="B2583" s="42" t="str">
        <f>IFERROR(__xludf.DUMMYFUNCTION("""COMPUTED_VALUE"""),"DHBA")</f>
        <v>DHBA</v>
      </c>
      <c r="C2583" s="42" t="str">
        <f>IFERROR(__xludf.DUMMYFUNCTION("""COMPUTED_VALUE"""),"nucleus of the optic tract (lentiform nucleus)")</f>
        <v>nucleus of the optic tract (lentiform nucleus)</v>
      </c>
      <c r="D2583" s="42">
        <f>IFERROR(__xludf.DUMMYFUNCTION("""COMPUTED_VALUE"""),2465.0)</f>
        <v>2465</v>
      </c>
      <c r="E2583" s="39" t="str">
        <f>IFERROR(__xludf.DUMMYFUNCTION("""COMPUTED_VALUE"""),"nucleus of the optic tract (lentiform nucleus)")</f>
        <v>nucleus of the optic tract (lentiform nucleus)</v>
      </c>
      <c r="F2583" s="9" t="str">
        <f>IFERROR(__xludf.DUMMYFUNCTION("""COMPUTED_VALUE"""),"Br")</f>
        <v>Br</v>
      </c>
      <c r="G2583" s="9" t="str">
        <f>IFERROR(__xludf.DUMMYFUNCTION("""COMPUTED_VALUE"""),"M")</f>
        <v>M</v>
      </c>
      <c r="H2583" s="9" t="str">
        <f>IFERROR(__xludf.DUMMYFUNCTION("""COMPUTED_VALUE"""),"MGM")</f>
        <v>MGM</v>
      </c>
      <c r="I2583" s="9" t="str">
        <f>IFERROR(__xludf.DUMMYFUNCTION("""COMPUTED_VALUE"""),"PTR")</f>
        <v>PTR</v>
      </c>
      <c r="J2583" s="9" t="str">
        <f>IFERROR(__xludf.DUMMYFUNCTION("""COMPUTED_VALUE"""),"PTN")</f>
        <v>PTN</v>
      </c>
      <c r="K2583" s="9" t="str">
        <f>IFERROR(__xludf.DUMMYFUNCTION("""COMPUTED_VALUE"""),"NOP")</f>
        <v>NOP</v>
      </c>
      <c r="L2583" s="9"/>
      <c r="M2583" s="9"/>
      <c r="N2583" s="9"/>
      <c r="O2583" s="9"/>
      <c r="P2583" s="9"/>
      <c r="Q2583" s="9"/>
      <c r="R2583" s="9"/>
      <c r="S2583" s="42"/>
      <c r="T2583" s="42"/>
      <c r="U2583" s="42"/>
      <c r="V2583" s="42"/>
      <c r="W2583" s="42"/>
      <c r="X2583" s="42"/>
      <c r="Y2583" s="42"/>
      <c r="Z2583" s="42"/>
      <c r="AA2583" s="42"/>
      <c r="AB2583" s="42" t="str">
        <f>IFERROR(__xludf.DUMMYFUNCTION("""COMPUTED_VALUE"""),"allen institute")</f>
        <v>allen institute</v>
      </c>
      <c r="AC2583" s="42" t="str">
        <f>IFERROR(__xludf.DUMMYFUNCTION("""COMPUTED_VALUE"""),"DHBA")</f>
        <v>DHBA</v>
      </c>
      <c r="AD2583" s="42"/>
      <c r="AE2583" s="42"/>
      <c r="AF2583" s="9"/>
      <c r="AG2583" s="9"/>
      <c r="AH2583" s="42"/>
      <c r="AI2583" s="42"/>
      <c r="AJ2583" s="42"/>
      <c r="AK2583" s="42"/>
      <c r="AL2583" s="42"/>
      <c r="AM2583" s="42"/>
      <c r="AN2583" s="42"/>
      <c r="AO2583" s="63" t="str">
        <f>IFERROR(__xludf.DUMMYFUNCTION("IF(ISBLANK(A2583),,IF(ISBLANK(S2583), A2583&amp;"";"", TEXTJOIN(CHAR(10), TRUE, A2583&amp;"";"", ARRAYFORMULA(VLOOKUP(SPLIT(S2583, "";"" &amp; CHAR(10)), $A:$AO, 41, FALSE)))))"),"NOP;")</f>
        <v>NOP;</v>
      </c>
      <c r="AP2583" s="89"/>
    </row>
    <row r="2584">
      <c r="A2584" s="151" t="str">
        <f>IFERROR(__xludf.DUMMYFUNCTION("""COMPUTED_VALUE"""),"OPT")</f>
        <v>OPT</v>
      </c>
      <c r="B2584" s="42" t="str">
        <f>IFERROR(__xludf.DUMMYFUNCTION("""COMPUTED_VALUE"""),"DHBA")</f>
        <v>DHBA</v>
      </c>
      <c r="C2584" s="42" t="str">
        <f>IFERROR(__xludf.DUMMYFUNCTION("""COMPUTED_VALUE"""),"olivary pretectal nucleus")</f>
        <v>olivary pretectal nucleus</v>
      </c>
      <c r="D2584" s="42">
        <f>IFERROR(__xludf.DUMMYFUNCTION("""COMPUTED_VALUE"""),2466.0)</f>
        <v>2466</v>
      </c>
      <c r="E2584" s="39" t="str">
        <f>IFERROR(__xludf.DUMMYFUNCTION("""COMPUTED_VALUE"""),"olivary pretectal nucleus")</f>
        <v>olivary pretectal nucleus</v>
      </c>
      <c r="F2584" s="9" t="str">
        <f>IFERROR(__xludf.DUMMYFUNCTION("""COMPUTED_VALUE"""),"Br")</f>
        <v>Br</v>
      </c>
      <c r="G2584" s="9" t="str">
        <f>IFERROR(__xludf.DUMMYFUNCTION("""COMPUTED_VALUE"""),"M")</f>
        <v>M</v>
      </c>
      <c r="H2584" s="9" t="str">
        <f>IFERROR(__xludf.DUMMYFUNCTION("""COMPUTED_VALUE"""),"MGM")</f>
        <v>MGM</v>
      </c>
      <c r="I2584" s="9" t="str">
        <f>IFERROR(__xludf.DUMMYFUNCTION("""COMPUTED_VALUE"""),"PTR")</f>
        <v>PTR</v>
      </c>
      <c r="J2584" s="9" t="str">
        <f>IFERROR(__xludf.DUMMYFUNCTION("""COMPUTED_VALUE"""),"PTN")</f>
        <v>PTN</v>
      </c>
      <c r="K2584" s="9" t="str">
        <f>IFERROR(__xludf.DUMMYFUNCTION("""COMPUTED_VALUE"""),"OPT")</f>
        <v>OPT</v>
      </c>
      <c r="L2584" s="9"/>
      <c r="M2584" s="9"/>
      <c r="N2584" s="9"/>
      <c r="O2584" s="9"/>
      <c r="P2584" s="9"/>
      <c r="Q2584" s="9"/>
      <c r="R2584" s="9"/>
      <c r="S2584" s="42"/>
      <c r="T2584" s="42"/>
      <c r="U2584" s="42"/>
      <c r="V2584" s="42"/>
      <c r="W2584" s="42"/>
      <c r="X2584" s="42"/>
      <c r="Y2584" s="42"/>
      <c r="Z2584" s="42"/>
      <c r="AA2584" s="42"/>
      <c r="AB2584" s="42" t="str">
        <f>IFERROR(__xludf.DUMMYFUNCTION("""COMPUTED_VALUE"""),"allen institute")</f>
        <v>allen institute</v>
      </c>
      <c r="AC2584" s="42" t="str">
        <f>IFERROR(__xludf.DUMMYFUNCTION("""COMPUTED_VALUE"""),"DHBA")</f>
        <v>DHBA</v>
      </c>
      <c r="AD2584" s="42"/>
      <c r="AE2584" s="42"/>
      <c r="AF2584" s="9"/>
      <c r="AG2584" s="9"/>
      <c r="AH2584" s="42"/>
      <c r="AI2584" s="42"/>
      <c r="AJ2584" s="42"/>
      <c r="AK2584" s="42"/>
      <c r="AL2584" s="42"/>
      <c r="AM2584" s="42"/>
      <c r="AN2584" s="42"/>
      <c r="AO2584" s="63" t="str">
        <f>IFERROR(__xludf.DUMMYFUNCTION("IF(ISBLANK(A2584),,IF(ISBLANK(S2584), A2584&amp;"";"", TEXTJOIN(CHAR(10), TRUE, A2584&amp;"";"", ARRAYFORMULA(VLOOKUP(SPLIT(S2584, "";"" &amp; CHAR(10)), $A:$AO, 41, FALSE)))))"),"OPT;")</f>
        <v>OPT;</v>
      </c>
      <c r="AP2584" s="89"/>
    </row>
    <row r="2585">
      <c r="A2585" s="151" t="str">
        <f>IFERROR(__xludf.DUMMYFUNCTION("""COMPUTED_VALUE"""),"APT")</f>
        <v>APT</v>
      </c>
      <c r="B2585" s="42" t="str">
        <f>IFERROR(__xludf.DUMMYFUNCTION("""COMPUTED_VALUE"""),"DHBA")</f>
        <v>DHBA</v>
      </c>
      <c r="C2585" s="42" t="str">
        <f>IFERROR(__xludf.DUMMYFUNCTION("""COMPUTED_VALUE"""),"anterior (ventral /principal) pretectal nucleus")</f>
        <v>anterior (ventral /principal) pretectal nucleus</v>
      </c>
      <c r="D2585" s="42">
        <f>IFERROR(__xludf.DUMMYFUNCTION("""COMPUTED_VALUE"""),2467.0)</f>
        <v>2467</v>
      </c>
      <c r="E2585" s="39" t="str">
        <f>IFERROR(__xludf.DUMMYFUNCTION("""COMPUTED_VALUE"""),"anterior (ventral /principal) pretectal nucleus")</f>
        <v>anterior (ventral /principal) pretectal nucleus</v>
      </c>
      <c r="F2585" s="9" t="str">
        <f>IFERROR(__xludf.DUMMYFUNCTION("""COMPUTED_VALUE"""),"Br")</f>
        <v>Br</v>
      </c>
      <c r="G2585" s="9" t="str">
        <f>IFERROR(__xludf.DUMMYFUNCTION("""COMPUTED_VALUE"""),"M")</f>
        <v>M</v>
      </c>
      <c r="H2585" s="9" t="str">
        <f>IFERROR(__xludf.DUMMYFUNCTION("""COMPUTED_VALUE"""),"MGM")</f>
        <v>MGM</v>
      </c>
      <c r="I2585" s="9" t="str">
        <f>IFERROR(__xludf.DUMMYFUNCTION("""COMPUTED_VALUE"""),"PTR")</f>
        <v>PTR</v>
      </c>
      <c r="J2585" s="9" t="str">
        <f>IFERROR(__xludf.DUMMYFUNCTION("""COMPUTED_VALUE"""),"PTN")</f>
        <v>PTN</v>
      </c>
      <c r="K2585" s="9" t="str">
        <f>IFERROR(__xludf.DUMMYFUNCTION("""COMPUTED_VALUE"""),"APT")</f>
        <v>APT</v>
      </c>
      <c r="L2585" s="9"/>
      <c r="M2585" s="9"/>
      <c r="N2585" s="9"/>
      <c r="O2585" s="9"/>
      <c r="P2585" s="9"/>
      <c r="Q2585" s="9"/>
      <c r="R2585" s="9"/>
      <c r="S2585" s="42" t="str">
        <f>IFERROR(__xludf.DUMMYFUNCTION("""COMPUTED_VALUE"""),"APTc;
APTr")</f>
        <v>APTc;
APTr</v>
      </c>
      <c r="T2585" s="42"/>
      <c r="U2585" s="42" t="b">
        <f>IFERROR(__xludf.DUMMYFUNCTION("""COMPUTED_VALUE"""),FALSE)</f>
        <v>0</v>
      </c>
      <c r="V2585" s="42"/>
      <c r="W2585" s="42"/>
      <c r="X2585" s="42"/>
      <c r="Y2585" s="42"/>
      <c r="Z2585" s="42"/>
      <c r="AA2585" s="42"/>
      <c r="AB2585" s="42" t="str">
        <f>IFERROR(__xludf.DUMMYFUNCTION("""COMPUTED_VALUE"""),"allen institute")</f>
        <v>allen institute</v>
      </c>
      <c r="AC2585" s="42" t="str">
        <f>IFERROR(__xludf.DUMMYFUNCTION("""COMPUTED_VALUE"""),"DHBA")</f>
        <v>DHBA</v>
      </c>
      <c r="AD2585" s="42"/>
      <c r="AE2585" s="42"/>
      <c r="AF2585" s="9"/>
      <c r="AG2585" s="9"/>
      <c r="AH2585" s="42"/>
      <c r="AI2585" s="42"/>
      <c r="AJ2585" s="42"/>
      <c r="AK2585" s="42"/>
      <c r="AL2585" s="42"/>
      <c r="AM2585" s="42"/>
      <c r="AN2585" s="42"/>
      <c r="AO2585" s="63" t="str">
        <f>IFERROR(__xludf.DUMMYFUNCTION("IF(ISBLANK(A2585),,IF(ISBLANK(S2585), A2585&amp;"";"", TEXTJOIN(CHAR(10), TRUE, A2585&amp;"";"", ARRAYFORMULA(VLOOKUP(SPLIT(S2585, "";"" &amp; CHAR(10)), $A:$AO, 41, FALSE)))))"),"APT;
APTc;
APTr;")</f>
        <v>APT;
APTc;
APTr;</v>
      </c>
      <c r="AP2585" s="89"/>
    </row>
    <row r="2586">
      <c r="A2586" s="151" t="str">
        <f>IFERROR(__xludf.DUMMYFUNCTION("""COMPUTED_VALUE"""),"APTc")</f>
        <v>APTc</v>
      </c>
      <c r="B2586" s="42" t="str">
        <f>IFERROR(__xludf.DUMMYFUNCTION("""COMPUTED_VALUE"""),"DHBA")</f>
        <v>DHBA</v>
      </c>
      <c r="C2586" s="42" t="str">
        <f>IFERROR(__xludf.DUMMYFUNCTION("""COMPUTED_VALUE"""),"anterior pretectal nucleus, compact division")</f>
        <v>anterior pretectal nucleus, compact division</v>
      </c>
      <c r="D2586" s="42">
        <f>IFERROR(__xludf.DUMMYFUNCTION("""COMPUTED_VALUE"""),2468.0)</f>
        <v>2468</v>
      </c>
      <c r="E2586" s="39" t="str">
        <f>IFERROR(__xludf.DUMMYFUNCTION("""COMPUTED_VALUE"""),"anterior pretectal nucleus, compact division")</f>
        <v>anterior pretectal nucleus, compact division</v>
      </c>
      <c r="F2586" s="9" t="str">
        <f>IFERROR(__xludf.DUMMYFUNCTION("""COMPUTED_VALUE"""),"Br")</f>
        <v>Br</v>
      </c>
      <c r="G2586" s="9" t="str">
        <f>IFERROR(__xludf.DUMMYFUNCTION("""COMPUTED_VALUE"""),"M")</f>
        <v>M</v>
      </c>
      <c r="H2586" s="9" t="str">
        <f>IFERROR(__xludf.DUMMYFUNCTION("""COMPUTED_VALUE"""),"MGM")</f>
        <v>MGM</v>
      </c>
      <c r="I2586" s="9" t="str">
        <f>IFERROR(__xludf.DUMMYFUNCTION("""COMPUTED_VALUE"""),"PTR")</f>
        <v>PTR</v>
      </c>
      <c r="J2586" s="9" t="str">
        <f>IFERROR(__xludf.DUMMYFUNCTION("""COMPUTED_VALUE"""),"PTN")</f>
        <v>PTN</v>
      </c>
      <c r="K2586" s="9" t="str">
        <f>IFERROR(__xludf.DUMMYFUNCTION("""COMPUTED_VALUE"""),"APT")</f>
        <v>APT</v>
      </c>
      <c r="L2586" s="9" t="str">
        <f>IFERROR(__xludf.DUMMYFUNCTION("""COMPUTED_VALUE"""),"APTc")</f>
        <v>APTc</v>
      </c>
      <c r="M2586" s="9"/>
      <c r="N2586" s="9"/>
      <c r="O2586" s="9"/>
      <c r="P2586" s="9"/>
      <c r="Q2586" s="9"/>
      <c r="R2586" s="9"/>
      <c r="S2586" s="42"/>
      <c r="T2586" s="42"/>
      <c r="U2586" s="42"/>
      <c r="V2586" s="42"/>
      <c r="W2586" s="42"/>
      <c r="X2586" s="42"/>
      <c r="Y2586" s="42"/>
      <c r="Z2586" s="42"/>
      <c r="AA2586" s="42"/>
      <c r="AB2586" s="42" t="str">
        <f>IFERROR(__xludf.DUMMYFUNCTION("""COMPUTED_VALUE"""),"allen institute")</f>
        <v>allen institute</v>
      </c>
      <c r="AC2586" s="42" t="str">
        <f>IFERROR(__xludf.DUMMYFUNCTION("""COMPUTED_VALUE"""),"DHBA")</f>
        <v>DHBA</v>
      </c>
      <c r="AD2586" s="42"/>
      <c r="AE2586" s="42"/>
      <c r="AF2586" s="9"/>
      <c r="AG2586" s="9"/>
      <c r="AH2586" s="42"/>
      <c r="AI2586" s="42"/>
      <c r="AJ2586" s="42"/>
      <c r="AK2586" s="42"/>
      <c r="AL2586" s="42"/>
      <c r="AM2586" s="42"/>
      <c r="AN2586" s="42"/>
      <c r="AO2586" s="63" t="str">
        <f>IFERROR(__xludf.DUMMYFUNCTION("IF(ISBLANK(A2586),,IF(ISBLANK(S2586), A2586&amp;"";"", TEXTJOIN(CHAR(10), TRUE, A2586&amp;"";"", ARRAYFORMULA(VLOOKUP(SPLIT(S2586, "";"" &amp; CHAR(10)), $A:$AO, 41, FALSE)))))"),"APTc;")</f>
        <v>APTc;</v>
      </c>
      <c r="AP2586" s="89"/>
    </row>
    <row r="2587">
      <c r="A2587" s="151" t="str">
        <f>IFERROR(__xludf.DUMMYFUNCTION("""COMPUTED_VALUE"""),"APTr")</f>
        <v>APTr</v>
      </c>
      <c r="B2587" s="42" t="str">
        <f>IFERROR(__xludf.DUMMYFUNCTION("""COMPUTED_VALUE"""),"DHBA")</f>
        <v>DHBA</v>
      </c>
      <c r="C2587" s="42" t="str">
        <f>IFERROR(__xludf.DUMMYFUNCTION("""COMPUTED_VALUE"""),"anterior pretectal nucleus, reticular division")</f>
        <v>anterior pretectal nucleus, reticular division</v>
      </c>
      <c r="D2587" s="42">
        <f>IFERROR(__xludf.DUMMYFUNCTION("""COMPUTED_VALUE"""),2469.0)</f>
        <v>2469</v>
      </c>
      <c r="E2587" s="39" t="str">
        <f>IFERROR(__xludf.DUMMYFUNCTION("""COMPUTED_VALUE"""),"anterior pretectal nucleus, reticular division")</f>
        <v>anterior pretectal nucleus, reticular division</v>
      </c>
      <c r="F2587" s="9" t="str">
        <f>IFERROR(__xludf.DUMMYFUNCTION("""COMPUTED_VALUE"""),"Br")</f>
        <v>Br</v>
      </c>
      <c r="G2587" s="9" t="str">
        <f>IFERROR(__xludf.DUMMYFUNCTION("""COMPUTED_VALUE"""),"M")</f>
        <v>M</v>
      </c>
      <c r="H2587" s="9" t="str">
        <f>IFERROR(__xludf.DUMMYFUNCTION("""COMPUTED_VALUE"""),"MGM")</f>
        <v>MGM</v>
      </c>
      <c r="I2587" s="9" t="str">
        <f>IFERROR(__xludf.DUMMYFUNCTION("""COMPUTED_VALUE"""),"PTR")</f>
        <v>PTR</v>
      </c>
      <c r="J2587" s="9" t="str">
        <f>IFERROR(__xludf.DUMMYFUNCTION("""COMPUTED_VALUE"""),"PTN")</f>
        <v>PTN</v>
      </c>
      <c r="K2587" s="9" t="str">
        <f>IFERROR(__xludf.DUMMYFUNCTION("""COMPUTED_VALUE"""),"APT")</f>
        <v>APT</v>
      </c>
      <c r="L2587" s="9" t="str">
        <f>IFERROR(__xludf.DUMMYFUNCTION("""COMPUTED_VALUE"""),"APTr")</f>
        <v>APTr</v>
      </c>
      <c r="M2587" s="9"/>
      <c r="N2587" s="9"/>
      <c r="O2587" s="9"/>
      <c r="P2587" s="9"/>
      <c r="Q2587" s="9"/>
      <c r="R2587" s="9"/>
      <c r="S2587" s="42"/>
      <c r="T2587" s="42"/>
      <c r="U2587" s="42"/>
      <c r="V2587" s="42"/>
      <c r="W2587" s="42"/>
      <c r="X2587" s="42"/>
      <c r="Y2587" s="42"/>
      <c r="Z2587" s="42"/>
      <c r="AA2587" s="42"/>
      <c r="AB2587" s="42" t="str">
        <f>IFERROR(__xludf.DUMMYFUNCTION("""COMPUTED_VALUE"""),"allen institute")</f>
        <v>allen institute</v>
      </c>
      <c r="AC2587" s="42" t="str">
        <f>IFERROR(__xludf.DUMMYFUNCTION("""COMPUTED_VALUE"""),"DHBA")</f>
        <v>DHBA</v>
      </c>
      <c r="AD2587" s="42"/>
      <c r="AE2587" s="42"/>
      <c r="AF2587" s="9"/>
      <c r="AG2587" s="9"/>
      <c r="AH2587" s="42"/>
      <c r="AI2587" s="42"/>
      <c r="AJ2587" s="42"/>
      <c r="AK2587" s="42"/>
      <c r="AL2587" s="42"/>
      <c r="AM2587" s="42"/>
      <c r="AN2587" s="42"/>
      <c r="AO2587" s="63" t="str">
        <f>IFERROR(__xludf.DUMMYFUNCTION("IF(ISBLANK(A2587),,IF(ISBLANK(S2587), A2587&amp;"";"", TEXTJOIN(CHAR(10), TRUE, A2587&amp;"";"", ARRAYFORMULA(VLOOKUP(SPLIT(S2587, "";"" &amp; CHAR(10)), $A:$AO, 41, FALSE)))))"),"APTr;")</f>
        <v>APTr;</v>
      </c>
      <c r="AP2587" s="89"/>
    </row>
    <row r="2588">
      <c r="A2588" s="151" t="str">
        <f>IFERROR(__xludf.DUMMYFUNCTION("""COMPUTED_VALUE"""),"AOP")</f>
        <v>AOP</v>
      </c>
      <c r="B2588" s="42" t="str">
        <f>IFERROR(__xludf.DUMMYFUNCTION("""COMPUTED_VALUE"""),"DHBA")</f>
        <v>DHBA</v>
      </c>
      <c r="C2588" s="42" t="str">
        <f>IFERROR(__xludf.DUMMYFUNCTION("""COMPUTED_VALUE"""),"accessory nuclei of optic tract; accessory optic system (AOS)")</f>
        <v>accessory nuclei of optic tract; accessory optic system (AOS)</v>
      </c>
      <c r="D2588" s="42">
        <f>IFERROR(__xludf.DUMMYFUNCTION("""COMPUTED_VALUE"""),2470.0)</f>
        <v>2470</v>
      </c>
      <c r="E2588" s="39" t="str">
        <f>IFERROR(__xludf.DUMMYFUNCTION("""COMPUTED_VALUE"""),"accessory nuclei of optic tract")</f>
        <v>accessory nuclei of optic tract</v>
      </c>
      <c r="F2588" s="9" t="str">
        <f>IFERROR(__xludf.DUMMYFUNCTION("""COMPUTED_VALUE"""),"Br")</f>
        <v>Br</v>
      </c>
      <c r="G2588" s="9" t="str">
        <f>IFERROR(__xludf.DUMMYFUNCTION("""COMPUTED_VALUE"""),"M")</f>
        <v>M</v>
      </c>
      <c r="H2588" s="9" t="str">
        <f>IFERROR(__xludf.DUMMYFUNCTION("""COMPUTED_VALUE"""),"MGM")</f>
        <v>MGM</v>
      </c>
      <c r="I2588" s="9" t="str">
        <f>IFERROR(__xludf.DUMMYFUNCTION("""COMPUTED_VALUE"""),"PTR")</f>
        <v>PTR</v>
      </c>
      <c r="J2588" s="9" t="str">
        <f>IFERROR(__xludf.DUMMYFUNCTION("""COMPUTED_VALUE"""),"AOP")</f>
        <v>AOP</v>
      </c>
      <c r="K2588" s="9"/>
      <c r="L2588" s="9"/>
      <c r="M2588" s="9"/>
      <c r="N2588" s="9"/>
      <c r="O2588" s="9"/>
      <c r="P2588" s="9"/>
      <c r="Q2588" s="9"/>
      <c r="R2588" s="9"/>
      <c r="S2588" s="42" t="str">
        <f>IFERROR(__xludf.DUMMYFUNCTION("""COMPUTED_VALUE"""),"AOPd;
AOPl;
AOPm")</f>
        <v>AOPd;
AOPl;
AOPm</v>
      </c>
      <c r="T2588" s="42"/>
      <c r="U2588" s="159" t="b">
        <f>IFERROR(__xludf.DUMMYFUNCTION("""COMPUTED_VALUE"""),FALSE)</f>
        <v>0</v>
      </c>
      <c r="V2588" s="42"/>
      <c r="W2588" s="42" t="str">
        <f>IFERROR(__xludf.DUMMYFUNCTION("""COMPUTED_VALUE"""),"Excitatory")</f>
        <v>Excitatory</v>
      </c>
      <c r="X2588" s="42"/>
      <c r="Y2588" s="42" t="str">
        <f>IFERROR(__xludf.DUMMYFUNCTION("""COMPUTED_VALUE"""),"Accesory optic system [Wolpert 98]")</f>
        <v>Accesory optic system [Wolpert 98]</v>
      </c>
      <c r="Z2588" s="42"/>
      <c r="AA2588" s="42"/>
      <c r="AB2588" s="42" t="str">
        <f>IFERROR(__xludf.DUMMYFUNCTION("""COMPUTED_VALUE"""),"allen institute")</f>
        <v>allen institute</v>
      </c>
      <c r="AC2588" s="42" t="str">
        <f>IFERROR(__xludf.DUMMYFUNCTION("""COMPUTED_VALUE"""),"DHBA")</f>
        <v>DHBA</v>
      </c>
      <c r="AD2588" s="42"/>
      <c r="AE2588" s="42"/>
      <c r="AF2588" s="9"/>
      <c r="AG2588" s="9"/>
      <c r="AH2588" s="42"/>
      <c r="AI2588" s="42"/>
      <c r="AJ2588" s="42"/>
      <c r="AK2588" s="42"/>
      <c r="AL2588" s="42"/>
      <c r="AM2588" s="42"/>
      <c r="AN2588" s="42"/>
      <c r="AO2588" s="63" t="str">
        <f>IFERROR(__xludf.DUMMYFUNCTION("IF(ISBLANK(A2588),,IF(ISBLANK(S2588), A2588&amp;"";"", TEXTJOIN(CHAR(10), TRUE, A2588&amp;"";"", ARRAYFORMULA(VLOOKUP(SPLIT(S2588, "";"" &amp; CHAR(10)), $A:$AO, 41, FALSE)))))"),"AOP;
AOPd;
AOPl;
AOPm;")</f>
        <v>AOP;
AOPd;
AOPl;
AOPm;</v>
      </c>
      <c r="AP2588" s="89"/>
    </row>
    <row r="2589">
      <c r="A2589" s="151" t="str">
        <f>IFERROR(__xludf.DUMMYFUNCTION("""COMPUTED_VALUE"""),"AOPd")</f>
        <v>AOPd</v>
      </c>
      <c r="B2589" s="42" t="str">
        <f>IFERROR(__xludf.DUMMYFUNCTION("""COMPUTED_VALUE"""),"DHBA")</f>
        <v>DHBA</v>
      </c>
      <c r="C2589" s="42" t="str">
        <f>IFERROR(__xludf.DUMMYFUNCTION("""COMPUTED_VALUE"""),"accessory nuclei of optic tract, dorsal nucleus")</f>
        <v>accessory nuclei of optic tract, dorsal nucleus</v>
      </c>
      <c r="D2589" s="42">
        <f>IFERROR(__xludf.DUMMYFUNCTION("""COMPUTED_VALUE"""),2471.0)</f>
        <v>2471</v>
      </c>
      <c r="E2589" s="39" t="str">
        <f>IFERROR(__xludf.DUMMYFUNCTION("""COMPUTED_VALUE"""),"accessory nuclei of optic tract, dorsal nucleus")</f>
        <v>accessory nuclei of optic tract, dorsal nucleus</v>
      </c>
      <c r="F2589" s="9" t="str">
        <f>IFERROR(__xludf.DUMMYFUNCTION("""COMPUTED_VALUE"""),"Br")</f>
        <v>Br</v>
      </c>
      <c r="G2589" s="9" t="str">
        <f>IFERROR(__xludf.DUMMYFUNCTION("""COMPUTED_VALUE"""),"M")</f>
        <v>M</v>
      </c>
      <c r="H2589" s="9" t="str">
        <f>IFERROR(__xludf.DUMMYFUNCTION("""COMPUTED_VALUE"""),"MGM")</f>
        <v>MGM</v>
      </c>
      <c r="I2589" s="9" t="str">
        <f>IFERROR(__xludf.DUMMYFUNCTION("""COMPUTED_VALUE"""),"PTR")</f>
        <v>PTR</v>
      </c>
      <c r="J2589" s="9" t="str">
        <f>IFERROR(__xludf.DUMMYFUNCTION("""COMPUTED_VALUE"""),"AOP")</f>
        <v>AOP</v>
      </c>
      <c r="K2589" s="9" t="str">
        <f>IFERROR(__xludf.DUMMYFUNCTION("""COMPUTED_VALUE"""),"AOPd")</f>
        <v>AOPd</v>
      </c>
      <c r="L2589" s="9"/>
      <c r="M2589" s="9"/>
      <c r="N2589" s="9"/>
      <c r="O2589" s="9"/>
      <c r="P2589" s="9"/>
      <c r="Q2589" s="9"/>
      <c r="R2589" s="9"/>
      <c r="S2589" s="42"/>
      <c r="T2589" s="42"/>
      <c r="U2589" s="159"/>
      <c r="V2589" s="42"/>
      <c r="W2589" s="42"/>
      <c r="X2589" s="42"/>
      <c r="Y2589" s="42"/>
      <c r="Z2589" s="42"/>
      <c r="AA2589" s="42"/>
      <c r="AB2589" s="42" t="str">
        <f>IFERROR(__xludf.DUMMYFUNCTION("""COMPUTED_VALUE"""),"allen institute")</f>
        <v>allen institute</v>
      </c>
      <c r="AC2589" s="42" t="str">
        <f>IFERROR(__xludf.DUMMYFUNCTION("""COMPUTED_VALUE"""),"DHBA")</f>
        <v>DHBA</v>
      </c>
      <c r="AD2589" s="42"/>
      <c r="AE2589" s="42"/>
      <c r="AF2589" s="9"/>
      <c r="AG2589" s="9"/>
      <c r="AH2589" s="42"/>
      <c r="AI2589" s="42"/>
      <c r="AJ2589" s="42"/>
      <c r="AK2589" s="42"/>
      <c r="AL2589" s="42"/>
      <c r="AM2589" s="42"/>
      <c r="AN2589" s="42"/>
      <c r="AO2589" s="63" t="str">
        <f>IFERROR(__xludf.DUMMYFUNCTION("IF(ISBLANK(A2589),,IF(ISBLANK(S2589), A2589&amp;"";"", TEXTJOIN(CHAR(10), TRUE, A2589&amp;"";"", ARRAYFORMULA(VLOOKUP(SPLIT(S2589, "";"" &amp; CHAR(10)), $A:$AO, 41, FALSE)))))"),"AOPd;")</f>
        <v>AOPd;</v>
      </c>
      <c r="AP2589" s="89"/>
    </row>
    <row r="2590">
      <c r="A2590" s="151" t="str">
        <f>IFERROR(__xludf.DUMMYFUNCTION("""COMPUTED_VALUE"""),"AOPl")</f>
        <v>AOPl</v>
      </c>
      <c r="B2590" s="42" t="str">
        <f>IFERROR(__xludf.DUMMYFUNCTION("""COMPUTED_VALUE"""),"DHBA")</f>
        <v>DHBA</v>
      </c>
      <c r="C2590" s="42" t="str">
        <f>IFERROR(__xludf.DUMMYFUNCTION("""COMPUTED_VALUE"""),"accessory nuclei of optic tract, lateral nucleus")</f>
        <v>accessory nuclei of optic tract, lateral nucleus</v>
      </c>
      <c r="D2590" s="42">
        <f>IFERROR(__xludf.DUMMYFUNCTION("""COMPUTED_VALUE"""),2472.0)</f>
        <v>2472</v>
      </c>
      <c r="E2590" s="39" t="str">
        <f>IFERROR(__xludf.DUMMYFUNCTION("""COMPUTED_VALUE"""),"accessory nuclei of optic tract, lateral nucleus")</f>
        <v>accessory nuclei of optic tract, lateral nucleus</v>
      </c>
      <c r="F2590" s="9" t="str">
        <f>IFERROR(__xludf.DUMMYFUNCTION("""COMPUTED_VALUE"""),"Br")</f>
        <v>Br</v>
      </c>
      <c r="G2590" s="9" t="str">
        <f>IFERROR(__xludf.DUMMYFUNCTION("""COMPUTED_VALUE"""),"M")</f>
        <v>M</v>
      </c>
      <c r="H2590" s="9" t="str">
        <f>IFERROR(__xludf.DUMMYFUNCTION("""COMPUTED_VALUE"""),"MGM")</f>
        <v>MGM</v>
      </c>
      <c r="I2590" s="9" t="str">
        <f>IFERROR(__xludf.DUMMYFUNCTION("""COMPUTED_VALUE"""),"PTR")</f>
        <v>PTR</v>
      </c>
      <c r="J2590" s="9" t="str">
        <f>IFERROR(__xludf.DUMMYFUNCTION("""COMPUTED_VALUE"""),"AOP")</f>
        <v>AOP</v>
      </c>
      <c r="K2590" s="9" t="str">
        <f>IFERROR(__xludf.DUMMYFUNCTION("""COMPUTED_VALUE"""),"AOPl")</f>
        <v>AOPl</v>
      </c>
      <c r="L2590" s="9"/>
      <c r="M2590" s="9"/>
      <c r="N2590" s="9"/>
      <c r="O2590" s="9"/>
      <c r="P2590" s="9"/>
      <c r="Q2590" s="9"/>
      <c r="R2590" s="9"/>
      <c r="S2590" s="42"/>
      <c r="T2590" s="42"/>
      <c r="U2590" s="42"/>
      <c r="V2590" s="42"/>
      <c r="W2590" s="42"/>
      <c r="X2590" s="42"/>
      <c r="Y2590" s="42"/>
      <c r="Z2590" s="42"/>
      <c r="AA2590" s="42"/>
      <c r="AB2590" s="42" t="str">
        <f>IFERROR(__xludf.DUMMYFUNCTION("""COMPUTED_VALUE"""),"allen institute")</f>
        <v>allen institute</v>
      </c>
      <c r="AC2590" s="42" t="str">
        <f>IFERROR(__xludf.DUMMYFUNCTION("""COMPUTED_VALUE"""),"DHBA")</f>
        <v>DHBA</v>
      </c>
      <c r="AD2590" s="42"/>
      <c r="AE2590" s="42"/>
      <c r="AF2590" s="9"/>
      <c r="AG2590" s="9"/>
      <c r="AH2590" s="42"/>
      <c r="AI2590" s="42"/>
      <c r="AJ2590" s="42"/>
      <c r="AK2590" s="42"/>
      <c r="AL2590" s="42"/>
      <c r="AM2590" s="42"/>
      <c r="AN2590" s="42"/>
      <c r="AO2590" s="63" t="str">
        <f>IFERROR(__xludf.DUMMYFUNCTION("IF(ISBLANK(A2590),,IF(ISBLANK(S2590), A2590&amp;"";"", TEXTJOIN(CHAR(10), TRUE, A2590&amp;"";"", ARRAYFORMULA(VLOOKUP(SPLIT(S2590, "";"" &amp; CHAR(10)), $A:$AO, 41, FALSE)))))"),"AOPl;")</f>
        <v>AOPl;</v>
      </c>
      <c r="AP2590" s="89"/>
    </row>
    <row r="2591">
      <c r="A2591" s="151" t="str">
        <f>IFERROR(__xludf.DUMMYFUNCTION("""COMPUTED_VALUE"""),"AOPm")</f>
        <v>AOPm</v>
      </c>
      <c r="B2591" s="42" t="str">
        <f>IFERROR(__xludf.DUMMYFUNCTION("""COMPUTED_VALUE"""),"DHBA")</f>
        <v>DHBA</v>
      </c>
      <c r="C2591" s="42" t="str">
        <f>IFERROR(__xludf.DUMMYFUNCTION("""COMPUTED_VALUE"""),"accessory nuclei of optic tract, medial nucleus")</f>
        <v>accessory nuclei of optic tract, medial nucleus</v>
      </c>
      <c r="D2591" s="42">
        <f>IFERROR(__xludf.DUMMYFUNCTION("""COMPUTED_VALUE"""),2473.0)</f>
        <v>2473</v>
      </c>
      <c r="E2591" s="39" t="str">
        <f>IFERROR(__xludf.DUMMYFUNCTION("""COMPUTED_VALUE"""),"accessory nuclei of optic tract, medial nucleus")</f>
        <v>accessory nuclei of optic tract, medial nucleus</v>
      </c>
      <c r="F2591" s="9" t="str">
        <f>IFERROR(__xludf.DUMMYFUNCTION("""COMPUTED_VALUE"""),"Br")</f>
        <v>Br</v>
      </c>
      <c r="G2591" s="9" t="str">
        <f>IFERROR(__xludf.DUMMYFUNCTION("""COMPUTED_VALUE"""),"M")</f>
        <v>M</v>
      </c>
      <c r="H2591" s="9" t="str">
        <f>IFERROR(__xludf.DUMMYFUNCTION("""COMPUTED_VALUE"""),"MGM")</f>
        <v>MGM</v>
      </c>
      <c r="I2591" s="9" t="str">
        <f>IFERROR(__xludf.DUMMYFUNCTION("""COMPUTED_VALUE"""),"PTR")</f>
        <v>PTR</v>
      </c>
      <c r="J2591" s="9" t="str">
        <f>IFERROR(__xludf.DUMMYFUNCTION("""COMPUTED_VALUE"""),"AOP")</f>
        <v>AOP</v>
      </c>
      <c r="K2591" s="9" t="str">
        <f>IFERROR(__xludf.DUMMYFUNCTION("""COMPUTED_VALUE"""),"AOPm")</f>
        <v>AOPm</v>
      </c>
      <c r="L2591" s="9"/>
      <c r="M2591" s="9"/>
      <c r="N2591" s="9"/>
      <c r="O2591" s="9"/>
      <c r="P2591" s="9"/>
      <c r="Q2591" s="9"/>
      <c r="R2591" s="9"/>
      <c r="S2591" s="42"/>
      <c r="T2591" s="42"/>
      <c r="U2591" s="42"/>
      <c r="V2591" s="42"/>
      <c r="W2591" s="42"/>
      <c r="X2591" s="42"/>
      <c r="Y2591" s="42"/>
      <c r="Z2591" s="42"/>
      <c r="AA2591" s="42"/>
      <c r="AB2591" s="42" t="str">
        <f>IFERROR(__xludf.DUMMYFUNCTION("""COMPUTED_VALUE"""),"allen institute")</f>
        <v>allen institute</v>
      </c>
      <c r="AC2591" s="42" t="str">
        <f>IFERROR(__xludf.DUMMYFUNCTION("""COMPUTED_VALUE"""),"DHBA")</f>
        <v>DHBA</v>
      </c>
      <c r="AD2591" s="42"/>
      <c r="AE2591" s="42"/>
      <c r="AF2591" s="9"/>
      <c r="AG2591" s="9"/>
      <c r="AH2591" s="42"/>
      <c r="AI2591" s="42"/>
      <c r="AJ2591" s="42"/>
      <c r="AK2591" s="42"/>
      <c r="AL2591" s="42"/>
      <c r="AM2591" s="42"/>
      <c r="AN2591" s="42"/>
      <c r="AO2591" s="63" t="str">
        <f>IFERROR(__xludf.DUMMYFUNCTION("IF(ISBLANK(A2591),,IF(ISBLANK(S2591), A2591&amp;"";"", TEXTJOIN(CHAR(10), TRUE, A2591&amp;"";"", ARRAYFORMULA(VLOOKUP(SPLIT(S2591, "";"" &amp; CHAR(10)), $A:$AO, 41, FALSE)))))"),"AOPm;")</f>
        <v>AOPm;</v>
      </c>
      <c r="AP2591" s="89"/>
    </row>
    <row r="2592">
      <c r="A2592" s="151" t="str">
        <f>IFERROR(__xludf.DUMMYFUNCTION("""COMPUTED_VALUE"""),"MTg")</f>
        <v>MTg</v>
      </c>
      <c r="B2592" s="42" t="str">
        <f>IFERROR(__xludf.DUMMYFUNCTION("""COMPUTED_VALUE"""),"DHBA")</f>
        <v>DHBA</v>
      </c>
      <c r="C2592" s="42" t="str">
        <f>IFERROR(__xludf.DUMMYFUNCTION("""COMPUTED_VALUE"""),"midbrain tegmentum")</f>
        <v>midbrain tegmentum</v>
      </c>
      <c r="D2592" s="42">
        <f>IFERROR(__xludf.DUMMYFUNCTION("""COMPUTED_VALUE"""),2474.0)</f>
        <v>2474</v>
      </c>
      <c r="E2592" s="39" t="str">
        <f>IFERROR(__xludf.DUMMYFUNCTION("""COMPUTED_VALUE"""),"midbrain tegmentum")</f>
        <v>midbrain tegmentum</v>
      </c>
      <c r="F2592" s="9" t="str">
        <f>IFERROR(__xludf.DUMMYFUNCTION("""COMPUTED_VALUE"""),"Br")</f>
        <v>Br</v>
      </c>
      <c r="G2592" s="9" t="str">
        <f>IFERROR(__xludf.DUMMYFUNCTION("""COMPUTED_VALUE"""),"M")</f>
        <v>M</v>
      </c>
      <c r="H2592" s="9" t="str">
        <f>IFERROR(__xludf.DUMMYFUNCTION("""COMPUTED_VALUE"""),"MGM")</f>
        <v>MGM</v>
      </c>
      <c r="I2592" s="9" t="str">
        <f>IFERROR(__xludf.DUMMYFUNCTION("""COMPUTED_VALUE"""),"MTg")</f>
        <v>MTg</v>
      </c>
      <c r="J2592" s="9"/>
      <c r="K2592" s="9"/>
      <c r="L2592" s="9"/>
      <c r="M2592" s="9"/>
      <c r="N2592" s="9"/>
      <c r="O2592" s="9"/>
      <c r="P2592" s="9"/>
      <c r="Q2592" s="9"/>
      <c r="R2592" s="9"/>
      <c r="S2592" s="42" t="str">
        <f>IFERROR(__xludf.DUMMYFUNCTION("""COMPUTED_VALUE"""),"MEN;
MAN;
PAG;
MRa;
isRt;
MRF;
RN;
SN;
VTR;
IP;
XMTg")</f>
        <v>MEN;
MAN;
PAG;
MRa;
isRt;
MRF;
RN;
SN;
VTR;
IP;
XMTg</v>
      </c>
      <c r="T2592" s="42"/>
      <c r="U2592" s="42" t="b">
        <f>IFERROR(__xludf.DUMMYFUNCTION("""COMPUTED_VALUE"""),FALSE)</f>
        <v>0</v>
      </c>
      <c r="V2592" s="42"/>
      <c r="W2592" s="42"/>
      <c r="X2592" s="42"/>
      <c r="Y2592" s="42"/>
      <c r="Z2592" s="42"/>
      <c r="AA2592" s="42"/>
      <c r="AB2592" s="42" t="str">
        <f>IFERROR(__xludf.DUMMYFUNCTION("""COMPUTED_VALUE"""),"allen institute")</f>
        <v>allen institute</v>
      </c>
      <c r="AC2592" s="42" t="str">
        <f>IFERROR(__xludf.DUMMYFUNCTION("""COMPUTED_VALUE"""),"DHBA")</f>
        <v>DHBA</v>
      </c>
      <c r="AD2592" s="42"/>
      <c r="AE2592" s="42"/>
      <c r="AF2592" s="9"/>
      <c r="AG2592" s="9"/>
      <c r="AH2592" s="42"/>
      <c r="AI2592" s="42"/>
      <c r="AJ2592" s="42"/>
      <c r="AK2592" s="42"/>
      <c r="AL2592" s="42"/>
      <c r="AM2592" s="42"/>
      <c r="AN2592" s="42"/>
      <c r="AO2592" s="63" t="str">
        <f>IFERROR(__xludf.DUMMYFUNCTION("IF(ISBLANK(A2592),,IF(ISBLANK(S2592), A2592&amp;"";"", TEXTJOIN(CHAR(10), TRUE, A2592&amp;"";"", ARRAYFORMULA(VLOOKUP(SPLIT(S2592, "";"" &amp; CHAR(10)), $A:$AO, 41, FALSE)))))"),"#N/A")</f>
        <v>#N/A</v>
      </c>
      <c r="AP2592" s="89"/>
    </row>
    <row r="2593">
      <c r="A2593" s="151" t="str">
        <f>IFERROR(__xludf.DUMMYFUNCTION("""COMPUTED_VALUE"""),"RF")</f>
        <v>RF</v>
      </c>
      <c r="B2593" s="42" t="str">
        <f>IFERROR(__xludf.DUMMYFUNCTION("""COMPUTED_VALUE"""),"collection")</f>
        <v>collection</v>
      </c>
      <c r="C2593" s="42" t="str">
        <f>IFERROR(__xludf.DUMMYFUNCTION("""COMPUTED_VALUE"""),"reticular formation")</f>
        <v>reticular formation</v>
      </c>
      <c r="D2593" s="42">
        <f>IFERROR(__xludf.DUMMYFUNCTION("""COMPUTED_VALUE"""),2474.1)</f>
        <v>2474.1</v>
      </c>
      <c r="E2593" s="39" t="str">
        <f>IFERROR(__xludf.DUMMYFUNCTION("""COMPUTED_VALUE"""),"")</f>
        <v/>
      </c>
      <c r="F2593" s="9" t="str">
        <f>IFERROR(__xludf.DUMMYFUNCTION("""COMPUTED_VALUE"""),"")</f>
        <v/>
      </c>
      <c r="G2593" s="9" t="str">
        <f>IFERROR(__xludf.DUMMYFUNCTION("""COMPUTED_VALUE"""),"")</f>
        <v/>
      </c>
      <c r="H2593" s="9" t="str">
        <f>IFERROR(__xludf.DUMMYFUNCTION("""COMPUTED_VALUE"""),"")</f>
        <v/>
      </c>
      <c r="I2593" s="9" t="str">
        <f>IFERROR(__xludf.DUMMYFUNCTION("""COMPUTED_VALUE"""),"")</f>
        <v/>
      </c>
      <c r="J2593" s="9" t="str">
        <f>IFERROR(__xludf.DUMMYFUNCTION("""COMPUTED_VALUE"""),"")</f>
        <v/>
      </c>
      <c r="K2593" s="9" t="str">
        <f>IFERROR(__xludf.DUMMYFUNCTION("""COMPUTED_VALUE"""),"")</f>
        <v/>
      </c>
      <c r="L2593" s="9" t="str">
        <f>IFERROR(__xludf.DUMMYFUNCTION("""COMPUTED_VALUE"""),"")</f>
        <v/>
      </c>
      <c r="M2593" s="9" t="str">
        <f>IFERROR(__xludf.DUMMYFUNCTION("""COMPUTED_VALUE"""),"")</f>
        <v/>
      </c>
      <c r="N2593" s="9" t="str">
        <f>IFERROR(__xludf.DUMMYFUNCTION("""COMPUTED_VALUE"""),"")</f>
        <v/>
      </c>
      <c r="O2593" s="9" t="str">
        <f>IFERROR(__xludf.DUMMYFUNCTION("""COMPUTED_VALUE"""),"")</f>
        <v/>
      </c>
      <c r="P2593" s="9" t="str">
        <f>IFERROR(__xludf.DUMMYFUNCTION("""COMPUTED_VALUE"""),"")</f>
        <v/>
      </c>
      <c r="Q2593" s="9" t="str">
        <f>IFERROR(__xludf.DUMMYFUNCTION("""COMPUTED_VALUE"""),"")</f>
        <v/>
      </c>
      <c r="R2593" s="9" t="str">
        <f>IFERROR(__xludf.DUMMYFUNCTION("""COMPUTED_VALUE"""),"")</f>
        <v/>
      </c>
      <c r="S2593" s="42" t="str">
        <f>IFERROR(__xludf.DUMMYFUNCTION("""COMPUTED_VALUE"""),"isRt;
MRF;
p1Rt;
PnRF;
MoRF;
aRF;
eRF")</f>
        <v>isRt;
MRF;
p1Rt;
PnRF;
MoRF;
aRF;
eRF</v>
      </c>
      <c r="T2593" s="42"/>
      <c r="U2593" s="42" t="b">
        <f>IFERROR(__xludf.DUMMYFUNCTION("""COMPUTED_VALUE"""),FALSE)</f>
        <v>0</v>
      </c>
      <c r="V2593" s="42"/>
      <c r="W2593" s="42" t="str">
        <f>IFERROR(__xludf.DUMMYFUNCTION("""COMPUTED_VALUE"""),"Excitatory")</f>
        <v>Excitatory</v>
      </c>
      <c r="X2593" s="42"/>
      <c r="Y2593" s="42" t="str">
        <f>IFERROR(__xludf.DUMMYFUNCTION("""COMPUTED_VALUE"""),"Project to medial descending tract / reticulospinal tract. [Jimsheleishvili, 2020]
Control proximal movement.")</f>
        <v>Project to medial descending tract / reticulospinal tract. [Jimsheleishvili, 2020]
Control proximal movement.</v>
      </c>
      <c r="Z2593" s="42"/>
      <c r="AA2593" s="42"/>
      <c r="AB2593" s="42" t="str">
        <f>IFERROR(__xludf.DUMMYFUNCTION("""COMPUTED_VALUE"""),"Hiroshi Yamakawa")</f>
        <v>Hiroshi Yamakawa</v>
      </c>
      <c r="AC2593" s="42" t="str">
        <f>IFERROR(__xludf.DUMMYFUNCTION("""COMPUTED_VALUE"""),"HY20Cerebellum")</f>
        <v>HY20Cerebellum</v>
      </c>
      <c r="AD2593" s="42"/>
      <c r="AE2593" s="42"/>
      <c r="AF2593" s="9"/>
      <c r="AG2593" s="9"/>
      <c r="AH2593" s="42"/>
      <c r="AI2593" s="42"/>
      <c r="AJ2593" s="42"/>
      <c r="AK2593" s="42"/>
      <c r="AL2593" s="42"/>
      <c r="AM2593" s="42"/>
      <c r="AN2593" s="42"/>
      <c r="AO2593" s="63" t="str">
        <f>IFERROR(__xludf.DUMMYFUNCTION("IF(ISBLANK(A2593),,IF(ISBLANK(S2593), A2593&amp;"";"", TEXTJOIN(CHAR(10), TRUE, A2593&amp;"";"", ARRAYFORMULA(VLOOKUP(SPLIT(S2593, "";"" &amp; CHAR(10)), $A:$AO, 41, FALSE)))))"),"#N/A")</f>
        <v>#N/A</v>
      </c>
      <c r="AP2593" s="89"/>
    </row>
    <row r="2594">
      <c r="A2594" s="151" t="str">
        <f>IFERROR(__xludf.DUMMYFUNCTION("""COMPUTED_VALUE"""),"aRF")</f>
        <v>aRF</v>
      </c>
      <c r="B2594" s="42" t="str">
        <f>IFERROR(__xludf.DUMMYFUNCTION("""COMPUTED_VALUE"""),"makeshift")</f>
        <v>makeshift</v>
      </c>
      <c r="C2594" s="42" t="str">
        <f>IFERROR(__xludf.DUMMYFUNCTION("""COMPUTED_VALUE"""),"afferent reticular formation")</f>
        <v>afferent reticular formation</v>
      </c>
      <c r="D2594" s="42">
        <f>IFERROR(__xludf.DUMMYFUNCTION("""COMPUTED_VALUE"""),2474.2)</f>
        <v>2474.2</v>
      </c>
      <c r="E2594" s="39" t="str">
        <f>IFERROR(__xludf.DUMMYFUNCTION("""COMPUTED_VALUE"""),"")</f>
        <v/>
      </c>
      <c r="F2594" s="9" t="str">
        <f>IFERROR(__xludf.DUMMYFUNCTION("""COMPUTED_VALUE"""),"")</f>
        <v/>
      </c>
      <c r="G2594" s="9" t="str">
        <f>IFERROR(__xludf.DUMMYFUNCTION("""COMPUTED_VALUE"""),"")</f>
        <v/>
      </c>
      <c r="H2594" s="9" t="str">
        <f>IFERROR(__xludf.DUMMYFUNCTION("""COMPUTED_VALUE"""),"")</f>
        <v/>
      </c>
      <c r="I2594" s="9" t="str">
        <f>IFERROR(__xludf.DUMMYFUNCTION("""COMPUTED_VALUE"""),"")</f>
        <v/>
      </c>
      <c r="J2594" s="9" t="str">
        <f>IFERROR(__xludf.DUMMYFUNCTION("""COMPUTED_VALUE"""),"")</f>
        <v/>
      </c>
      <c r="K2594" s="9" t="str">
        <f>IFERROR(__xludf.DUMMYFUNCTION("""COMPUTED_VALUE"""),"")</f>
        <v/>
      </c>
      <c r="L2594" s="9" t="str">
        <f>IFERROR(__xludf.DUMMYFUNCTION("""COMPUTED_VALUE"""),"")</f>
        <v/>
      </c>
      <c r="M2594" s="9" t="str">
        <f>IFERROR(__xludf.DUMMYFUNCTION("""COMPUTED_VALUE"""),"")</f>
        <v/>
      </c>
      <c r="N2594" s="9" t="str">
        <f>IFERROR(__xludf.DUMMYFUNCTION("""COMPUTED_VALUE"""),"")</f>
        <v/>
      </c>
      <c r="O2594" s="9" t="str">
        <f>IFERROR(__xludf.DUMMYFUNCTION("""COMPUTED_VALUE"""),"")</f>
        <v/>
      </c>
      <c r="P2594" s="9" t="str">
        <f>IFERROR(__xludf.DUMMYFUNCTION("""COMPUTED_VALUE"""),"")</f>
        <v/>
      </c>
      <c r="Q2594" s="9" t="str">
        <f>IFERROR(__xludf.DUMMYFUNCTION("""COMPUTED_VALUE"""),"")</f>
        <v/>
      </c>
      <c r="R2594" s="9" t="str">
        <f>IFERROR(__xludf.DUMMYFUNCTION("""COMPUTED_VALUE"""),"")</f>
        <v/>
      </c>
      <c r="S2594" s="42"/>
      <c r="T2594" s="42"/>
      <c r="U2594" s="42" t="b">
        <f>IFERROR(__xludf.DUMMYFUNCTION("""COMPUTED_VALUE"""),TRUE)</f>
        <v>1</v>
      </c>
      <c r="V2594" s="42"/>
      <c r="W2594" s="42" t="str">
        <f>IFERROR(__xludf.DUMMYFUNCTION("""COMPUTED_VALUE"""),"Excitatory")</f>
        <v>Excitatory</v>
      </c>
      <c r="X2594" s="42"/>
      <c r="Y2594" s="42"/>
      <c r="Z2594" s="42"/>
      <c r="AA2594" s="42"/>
      <c r="AB2594" s="42" t="str">
        <f>IFERROR(__xludf.DUMMYFUNCTION("""COMPUTED_VALUE"""),"Hiroshi Yamakawa")</f>
        <v>Hiroshi Yamakawa</v>
      </c>
      <c r="AC2594" s="42" t="str">
        <f>IFERROR(__xludf.DUMMYFUNCTION("""COMPUTED_VALUE"""),"HY20Cerebellum")</f>
        <v>HY20Cerebellum</v>
      </c>
      <c r="AD2594" s="42"/>
      <c r="AE2594" s="42"/>
      <c r="AF2594" s="9"/>
      <c r="AG2594" s="9"/>
      <c r="AH2594" s="42"/>
      <c r="AI2594" s="42"/>
      <c r="AJ2594" s="42"/>
      <c r="AK2594" s="42"/>
      <c r="AL2594" s="42"/>
      <c r="AM2594" s="42"/>
      <c r="AN2594" s="42"/>
      <c r="AO2594" s="63" t="str">
        <f>IFERROR(__xludf.DUMMYFUNCTION("IF(ISBLANK(A2594),,IF(ISBLANK(S2594), A2594&amp;"";"", TEXTJOIN(CHAR(10), TRUE, A2594&amp;"";"", ARRAYFORMULA(VLOOKUP(SPLIT(S2594, "";"" &amp; CHAR(10)), $A:$AO, 41, FALSE)))))"),"aRF;")</f>
        <v>aRF;</v>
      </c>
      <c r="AP2594" s="89"/>
    </row>
    <row r="2595">
      <c r="A2595" s="151" t="str">
        <f>IFERROR(__xludf.DUMMYFUNCTION("""COMPUTED_VALUE"""),"eRF")</f>
        <v>eRF</v>
      </c>
      <c r="B2595" s="42" t="str">
        <f>IFERROR(__xludf.DUMMYFUNCTION("""COMPUTED_VALUE"""),"collection")</f>
        <v>collection</v>
      </c>
      <c r="C2595" s="42" t="str">
        <f>IFERROR(__xludf.DUMMYFUNCTION("""COMPUTED_VALUE"""),"efferent reticular formation")</f>
        <v>efferent reticular formation</v>
      </c>
      <c r="D2595" s="42">
        <f>IFERROR(__xludf.DUMMYFUNCTION("""COMPUTED_VALUE"""),2474.3)</f>
        <v>2474.3</v>
      </c>
      <c r="E2595" s="39" t="str">
        <f>IFERROR(__xludf.DUMMYFUNCTION("""COMPUTED_VALUE"""),"")</f>
        <v/>
      </c>
      <c r="F2595" s="9" t="str">
        <f>IFERROR(__xludf.DUMMYFUNCTION("""COMPUTED_VALUE"""),"")</f>
        <v/>
      </c>
      <c r="G2595" s="9" t="str">
        <f>IFERROR(__xludf.DUMMYFUNCTION("""COMPUTED_VALUE"""),"")</f>
        <v/>
      </c>
      <c r="H2595" s="9" t="str">
        <f>IFERROR(__xludf.DUMMYFUNCTION("""COMPUTED_VALUE"""),"")</f>
        <v/>
      </c>
      <c r="I2595" s="9" t="str">
        <f>IFERROR(__xludf.DUMMYFUNCTION("""COMPUTED_VALUE"""),"")</f>
        <v/>
      </c>
      <c r="J2595" s="9" t="str">
        <f>IFERROR(__xludf.DUMMYFUNCTION("""COMPUTED_VALUE"""),"")</f>
        <v/>
      </c>
      <c r="K2595" s="9" t="str">
        <f>IFERROR(__xludf.DUMMYFUNCTION("""COMPUTED_VALUE"""),"")</f>
        <v/>
      </c>
      <c r="L2595" s="9" t="str">
        <f>IFERROR(__xludf.DUMMYFUNCTION("""COMPUTED_VALUE"""),"")</f>
        <v/>
      </c>
      <c r="M2595" s="9" t="str">
        <f>IFERROR(__xludf.DUMMYFUNCTION("""COMPUTED_VALUE"""),"")</f>
        <v/>
      </c>
      <c r="N2595" s="9" t="str">
        <f>IFERROR(__xludf.DUMMYFUNCTION("""COMPUTED_VALUE"""),"")</f>
        <v/>
      </c>
      <c r="O2595" s="9" t="str">
        <f>IFERROR(__xludf.DUMMYFUNCTION("""COMPUTED_VALUE"""),"")</f>
        <v/>
      </c>
      <c r="P2595" s="9" t="str">
        <f>IFERROR(__xludf.DUMMYFUNCTION("""COMPUTED_VALUE"""),"")</f>
        <v/>
      </c>
      <c r="Q2595" s="9" t="str">
        <f>IFERROR(__xludf.DUMMYFUNCTION("""COMPUTED_VALUE"""),"")</f>
        <v/>
      </c>
      <c r="R2595" s="9" t="str">
        <f>IFERROR(__xludf.DUMMYFUNCTION("""COMPUTED_VALUE"""),"")</f>
        <v/>
      </c>
      <c r="S2595" s="42" t="str">
        <f>IFERROR(__xludf.DUMMYFUNCTION("""COMPUTED_VALUE"""),"PnRF;
MoRF")</f>
        <v>PnRF;
MoRF</v>
      </c>
      <c r="T2595" s="42"/>
      <c r="U2595" s="42" t="b">
        <f>IFERROR(__xludf.DUMMYFUNCTION("""COMPUTED_VALUE"""),TRUE)</f>
        <v>1</v>
      </c>
      <c r="V2595" s="42"/>
      <c r="W2595" s="42" t="str">
        <f>IFERROR(__xludf.DUMMYFUNCTION("""COMPUTED_VALUE"""),"Excitatory")</f>
        <v>Excitatory</v>
      </c>
      <c r="X2595" s="42"/>
      <c r="Y2595" s="42"/>
      <c r="Z2595" s="42"/>
      <c r="AA2595" s="42"/>
      <c r="AB2595" s="42" t="str">
        <f>IFERROR(__xludf.DUMMYFUNCTION("""COMPUTED_VALUE"""),"Hiroshi Yamakawa")</f>
        <v>Hiroshi Yamakawa</v>
      </c>
      <c r="AC2595" s="42" t="str">
        <f>IFERROR(__xludf.DUMMYFUNCTION("""COMPUTED_VALUE"""),"HY20Cerebellum")</f>
        <v>HY20Cerebellum</v>
      </c>
      <c r="AD2595" s="42"/>
      <c r="AE2595" s="42"/>
      <c r="AF2595" s="9"/>
      <c r="AG2595" s="9"/>
      <c r="AH2595" s="42"/>
      <c r="AI2595" s="42"/>
      <c r="AJ2595" s="42"/>
      <c r="AK2595" s="42"/>
      <c r="AL2595" s="42"/>
      <c r="AM2595" s="42"/>
      <c r="AN2595" s="42"/>
      <c r="AO2595" s="63" t="str">
        <f>IFERROR(__xludf.DUMMYFUNCTION("IF(ISBLANK(A2595),,IF(ISBLANK(S2595), A2595&amp;"";"", TEXTJOIN(CHAR(10), TRUE, A2595&amp;"";"", ARRAYFORMULA(VLOOKUP(SPLIT(S2595, "";"" &amp; CHAR(10)), $A:$AO, 41, FALSE)))))"),"#N/A")</f>
        <v>#N/A</v>
      </c>
      <c r="AP2595" s="89"/>
    </row>
    <row r="2596">
      <c r="A2596" s="151" t="str">
        <f>IFERROR(__xludf.DUMMYFUNCTION("""COMPUTED_VALUE"""),"MEN")</f>
        <v>MEN</v>
      </c>
      <c r="B2596" s="42" t="str">
        <f>IFERROR(__xludf.DUMMYFUNCTION("""COMPUTED_VALUE"""),"DHBA")</f>
        <v>DHBA</v>
      </c>
      <c r="C2596" s="42" t="str">
        <f>IFERROR(__xludf.DUMMYFUNCTION("""COMPUTED_VALUE"""),"efferent nuclei of the cranial nerves in the midbrain")</f>
        <v>efferent nuclei of the cranial nerves in the midbrain</v>
      </c>
      <c r="D2596" s="42">
        <f>IFERROR(__xludf.DUMMYFUNCTION("""COMPUTED_VALUE"""),2475.0)</f>
        <v>2475</v>
      </c>
      <c r="E2596" s="39" t="str">
        <f>IFERROR(__xludf.DUMMYFUNCTION("""COMPUTED_VALUE"""),"efferent nuclei of the cranial nerves in the midbrain")</f>
        <v>efferent nuclei of the cranial nerves in the midbrain</v>
      </c>
      <c r="F2596" s="9" t="str">
        <f>IFERROR(__xludf.DUMMYFUNCTION("""COMPUTED_VALUE"""),"Br")</f>
        <v>Br</v>
      </c>
      <c r="G2596" s="9" t="str">
        <f>IFERROR(__xludf.DUMMYFUNCTION("""COMPUTED_VALUE"""),"M")</f>
        <v>M</v>
      </c>
      <c r="H2596" s="9" t="str">
        <f>IFERROR(__xludf.DUMMYFUNCTION("""COMPUTED_VALUE"""),"MGM")</f>
        <v>MGM</v>
      </c>
      <c r="I2596" s="9" t="str">
        <f>IFERROR(__xludf.DUMMYFUNCTION("""COMPUTED_VALUE"""),"MTg")</f>
        <v>MTg</v>
      </c>
      <c r="J2596" s="9" t="str">
        <f>IFERROR(__xludf.DUMMYFUNCTION("""COMPUTED_VALUE"""),"MEN")</f>
        <v>MEN</v>
      </c>
      <c r="K2596" s="9"/>
      <c r="L2596" s="9"/>
      <c r="M2596" s="9"/>
      <c r="N2596" s="9"/>
      <c r="O2596" s="9"/>
      <c r="P2596" s="9"/>
      <c r="Q2596" s="9"/>
      <c r="R2596" s="9"/>
      <c r="S2596" s="42" t="str">
        <f>IFERROR(__xludf.DUMMYFUNCTION("""COMPUTED_VALUE"""),"EW;
_3N;
_4N;
S4N")</f>
        <v>EW;
_3N;
_4N;
S4N</v>
      </c>
      <c r="T2596" s="42"/>
      <c r="U2596" s="42" t="b">
        <f>IFERROR(__xludf.DUMMYFUNCTION("""COMPUTED_VALUE"""),FALSE)</f>
        <v>0</v>
      </c>
      <c r="V2596" s="42"/>
      <c r="W2596" s="42"/>
      <c r="X2596" s="42"/>
      <c r="Y2596" s="42"/>
      <c r="Z2596" s="42"/>
      <c r="AA2596" s="42"/>
      <c r="AB2596" s="42" t="str">
        <f>IFERROR(__xludf.DUMMYFUNCTION("""COMPUTED_VALUE"""),"allen institute")</f>
        <v>allen institute</v>
      </c>
      <c r="AC2596" s="42" t="str">
        <f>IFERROR(__xludf.DUMMYFUNCTION("""COMPUTED_VALUE"""),"DHBA")</f>
        <v>DHBA</v>
      </c>
      <c r="AD2596" s="42"/>
      <c r="AE2596" s="42"/>
      <c r="AF2596" s="9"/>
      <c r="AG2596" s="9"/>
      <c r="AH2596" s="42"/>
      <c r="AI2596" s="42"/>
      <c r="AJ2596" s="42"/>
      <c r="AK2596" s="42"/>
      <c r="AL2596" s="42"/>
      <c r="AM2596" s="42"/>
      <c r="AN2596" s="42"/>
      <c r="AO2596" s="63" t="str">
        <f>IFERROR(__xludf.DUMMYFUNCTION("IF(ISBLANK(A2596),,IF(ISBLANK(S2596), A2596&amp;"";"", TEXTJOIN(CHAR(10), TRUE, A2596&amp;"";"", ARRAYFORMULA(VLOOKUP(SPLIT(S2596, "";"" &amp; CHAR(10)), $A:$AO, 41, FALSE)))))"),"#N/A")</f>
        <v>#N/A</v>
      </c>
      <c r="AP2596" s="89"/>
    </row>
    <row r="2597">
      <c r="A2597" s="151" t="str">
        <f>IFERROR(__xludf.DUMMYFUNCTION("""COMPUTED_VALUE"""),"EW")</f>
        <v>EW</v>
      </c>
      <c r="B2597" s="42" t="str">
        <f>IFERROR(__xludf.DUMMYFUNCTION("""COMPUTED_VALUE"""),"DHBA")</f>
        <v>DHBA</v>
      </c>
      <c r="C2597" s="42" t="str">
        <f>IFERROR(__xludf.DUMMYFUNCTION("""COMPUTED_VALUE"""),"Edinger-Westphal nucleus (accessory oculomotor nucleus)")</f>
        <v>Edinger-Westphal nucleus (accessory oculomotor nucleus)</v>
      </c>
      <c r="D2597" s="42">
        <f>IFERROR(__xludf.DUMMYFUNCTION("""COMPUTED_VALUE"""),2476.0)</f>
        <v>2476</v>
      </c>
      <c r="E2597" s="39" t="str">
        <f>IFERROR(__xludf.DUMMYFUNCTION("""COMPUTED_VALUE"""),"Edinger-Westphal nucleus (accessory oculomotor nucleus)")</f>
        <v>Edinger-Westphal nucleus (accessory oculomotor nucleus)</v>
      </c>
      <c r="F2597" s="9" t="str">
        <f>IFERROR(__xludf.DUMMYFUNCTION("""COMPUTED_VALUE"""),"Br")</f>
        <v>Br</v>
      </c>
      <c r="G2597" s="9" t="str">
        <f>IFERROR(__xludf.DUMMYFUNCTION("""COMPUTED_VALUE"""),"M")</f>
        <v>M</v>
      </c>
      <c r="H2597" s="9" t="str">
        <f>IFERROR(__xludf.DUMMYFUNCTION("""COMPUTED_VALUE"""),"MGM")</f>
        <v>MGM</v>
      </c>
      <c r="I2597" s="9" t="str">
        <f>IFERROR(__xludf.DUMMYFUNCTION("""COMPUTED_VALUE"""),"MTg")</f>
        <v>MTg</v>
      </c>
      <c r="J2597" s="9" t="str">
        <f>IFERROR(__xludf.DUMMYFUNCTION("""COMPUTED_VALUE"""),"MEN")</f>
        <v>MEN</v>
      </c>
      <c r="K2597" s="9" t="str">
        <f>IFERROR(__xludf.DUMMYFUNCTION("""COMPUTED_VALUE"""),"EW")</f>
        <v>EW</v>
      </c>
      <c r="L2597" s="9"/>
      <c r="M2597" s="9"/>
      <c r="N2597" s="9"/>
      <c r="O2597" s="9"/>
      <c r="P2597" s="9"/>
      <c r="Q2597" s="9"/>
      <c r="R2597" s="9"/>
      <c r="S2597" s="42"/>
      <c r="T2597" s="42"/>
      <c r="U2597" s="42"/>
      <c r="V2597" s="42"/>
      <c r="W2597" s="42"/>
      <c r="X2597" s="42"/>
      <c r="Y2597" s="42"/>
      <c r="Z2597" s="42"/>
      <c r="AA2597" s="42"/>
      <c r="AB2597" s="42" t="str">
        <f>IFERROR(__xludf.DUMMYFUNCTION("""COMPUTED_VALUE"""),"allen institute")</f>
        <v>allen institute</v>
      </c>
      <c r="AC2597" s="42" t="str">
        <f>IFERROR(__xludf.DUMMYFUNCTION("""COMPUTED_VALUE"""),"DHBA")</f>
        <v>DHBA</v>
      </c>
      <c r="AD2597" s="42"/>
      <c r="AE2597" s="42"/>
      <c r="AF2597" s="9"/>
      <c r="AG2597" s="9"/>
      <c r="AH2597" s="42"/>
      <c r="AI2597" s="42"/>
      <c r="AJ2597" s="42"/>
      <c r="AK2597" s="42"/>
      <c r="AL2597" s="42"/>
      <c r="AM2597" s="42"/>
      <c r="AN2597" s="42"/>
      <c r="AO2597" s="63" t="str">
        <f>IFERROR(__xludf.DUMMYFUNCTION("IF(ISBLANK(A2597),,IF(ISBLANK(S2597), A2597&amp;"";"", TEXTJOIN(CHAR(10), TRUE, A2597&amp;"";"", ARRAYFORMULA(VLOOKUP(SPLIT(S2597, "";"" &amp; CHAR(10)), $A:$AO, 41, FALSE)))))"),"EW;")</f>
        <v>EW;</v>
      </c>
      <c r="AP2597" s="89"/>
    </row>
    <row r="2598">
      <c r="A2598" s="151" t="str">
        <f>IFERROR(__xludf.DUMMYFUNCTION("""COMPUTED_VALUE"""),"3N")</f>
        <v>3N</v>
      </c>
      <c r="B2598" s="42" t="str">
        <f>IFERROR(__xludf.DUMMYFUNCTION("""COMPUTED_VALUE"""),"DHBA")</f>
        <v>DHBA</v>
      </c>
      <c r="C2598" s="42" t="str">
        <f>IFERROR(__xludf.DUMMYFUNCTION("""COMPUTED_VALUE"""),"oculomotor nucleus (OMN)")</f>
        <v>oculomotor nucleus (OMN)</v>
      </c>
      <c r="D2598" s="42">
        <f>IFERROR(__xludf.DUMMYFUNCTION("""COMPUTED_VALUE"""),2477.0)</f>
        <v>2477</v>
      </c>
      <c r="E2598" s="39" t="str">
        <f>IFERROR(__xludf.DUMMYFUNCTION("""COMPUTED_VALUE"""),"oculomotor nucleus")</f>
        <v>oculomotor nucleus</v>
      </c>
      <c r="F2598" s="9" t="str">
        <f>IFERROR(__xludf.DUMMYFUNCTION("""COMPUTED_VALUE"""),"Br")</f>
        <v>Br</v>
      </c>
      <c r="G2598" s="9" t="str">
        <f>IFERROR(__xludf.DUMMYFUNCTION("""COMPUTED_VALUE"""),"M")</f>
        <v>M</v>
      </c>
      <c r="H2598" s="9" t="str">
        <f>IFERROR(__xludf.DUMMYFUNCTION("""COMPUTED_VALUE"""),"MGM")</f>
        <v>MGM</v>
      </c>
      <c r="I2598" s="9" t="str">
        <f>IFERROR(__xludf.DUMMYFUNCTION("""COMPUTED_VALUE"""),"MTg")</f>
        <v>MTg</v>
      </c>
      <c r="J2598" s="9" t="str">
        <f>IFERROR(__xludf.DUMMYFUNCTION("""COMPUTED_VALUE"""),"MEN")</f>
        <v>MEN</v>
      </c>
      <c r="K2598" s="9" t="str">
        <f>IFERROR(__xludf.DUMMYFUNCTION("""COMPUTED_VALUE"""),"3N")</f>
        <v>3N</v>
      </c>
      <c r="L2598" s="9"/>
      <c r="M2598" s="9"/>
      <c r="N2598" s="9"/>
      <c r="O2598" s="9"/>
      <c r="P2598" s="9"/>
      <c r="Q2598" s="9"/>
      <c r="R2598" s="9"/>
      <c r="S2598" s="42" t="str">
        <f>IFERROR(__xludf.DUMMYFUNCTION("""COMPUTED_VALUE"""),"3N_IR;
3N_IO;
3N_SR;
3N_MR")</f>
        <v>3N_IR;
3N_IO;
3N_SR;
3N_MR</v>
      </c>
      <c r="T2598" s="42"/>
      <c r="U2598" s="42" t="b">
        <f>IFERROR(__xludf.DUMMYFUNCTION("""COMPUTED_VALUE"""),FALSE)</f>
        <v>0</v>
      </c>
      <c r="V2598" s="42"/>
      <c r="W2598" s="42" t="str">
        <f>IFERROR(__xludf.DUMMYFUNCTION("""COMPUTED_VALUE"""),"Excitatory")</f>
        <v>Excitatory</v>
      </c>
      <c r="X2598" s="42"/>
      <c r="Y2598" s="42"/>
      <c r="Z2598" s="42"/>
      <c r="AA2598" s="42"/>
      <c r="AB2598" s="42" t="str">
        <f>IFERROR(__xludf.DUMMYFUNCTION("""COMPUTED_VALUE"""),"allen institute")</f>
        <v>allen institute</v>
      </c>
      <c r="AC2598" s="42" t="str">
        <f>IFERROR(__xludf.DUMMYFUNCTION("""COMPUTED_VALUE"""),"DHBA")</f>
        <v>DHBA</v>
      </c>
      <c r="AD2598" s="42"/>
      <c r="AE2598" s="42"/>
      <c r="AF2598" s="9"/>
      <c r="AG2598" s="9"/>
      <c r="AH2598" s="42"/>
      <c r="AI2598" s="42"/>
      <c r="AJ2598" s="42"/>
      <c r="AK2598" s="42"/>
      <c r="AL2598" s="42"/>
      <c r="AM2598" s="42"/>
      <c r="AN2598" s="42"/>
      <c r="AO2598" s="63" t="str">
        <f>IFERROR(__xludf.DUMMYFUNCTION("IF(ISBLANK(A2598),,IF(ISBLANK(S2598), A2598&amp;"";"", TEXTJOIN(CHAR(10), TRUE, A2598&amp;"";"", ARRAYFORMULA(VLOOKUP(SPLIT(S2598, "";"" &amp; CHAR(10)), $A:$AO, 41, FALSE)))))"),"3N;
3N_IR;
3N_IO;
3N_SR;
3N_MR;")</f>
        <v>3N;
3N_IR;
3N_IO;
3N_SR;
3N_MR;</v>
      </c>
      <c r="AP2598" s="89"/>
    </row>
    <row r="2599">
      <c r="A2599" s="151" t="str">
        <f>IFERROR(__xludf.DUMMYFUNCTION("""COMPUTED_VALUE"""),"3N_IO")</f>
        <v>3N_IO</v>
      </c>
      <c r="B2599" s="42" t="str">
        <f>IFERROR(__xludf.DUMMYFUNCTION("""COMPUTED_VALUE"""),"makeshift")</f>
        <v>makeshift</v>
      </c>
      <c r="C2599" s="42" t="str">
        <f>IFERROR(__xludf.DUMMYFUNCTION("""COMPUTED_VALUE"""),"oculomotor nucleus innervating inferior oblique")</f>
        <v>oculomotor nucleus innervating inferior oblique</v>
      </c>
      <c r="D2599" s="42">
        <f>IFERROR(__xludf.DUMMYFUNCTION("""COMPUTED_VALUE"""),2477.1)</f>
        <v>2477.1</v>
      </c>
      <c r="E2599" s="39" t="str">
        <f>IFERROR(__xludf.DUMMYFUNCTION("""COMPUTED_VALUE"""),"")</f>
        <v/>
      </c>
      <c r="F2599" s="9" t="str">
        <f>IFERROR(__xludf.DUMMYFUNCTION("""COMPUTED_VALUE"""),"")</f>
        <v/>
      </c>
      <c r="G2599" s="9" t="str">
        <f>IFERROR(__xludf.DUMMYFUNCTION("""COMPUTED_VALUE"""),"")</f>
        <v/>
      </c>
      <c r="H2599" s="9" t="str">
        <f>IFERROR(__xludf.DUMMYFUNCTION("""COMPUTED_VALUE"""),"")</f>
        <v/>
      </c>
      <c r="I2599" s="9" t="str">
        <f>IFERROR(__xludf.DUMMYFUNCTION("""COMPUTED_VALUE"""),"")</f>
        <v/>
      </c>
      <c r="J2599" s="9" t="str">
        <f>IFERROR(__xludf.DUMMYFUNCTION("""COMPUTED_VALUE"""),"")</f>
        <v/>
      </c>
      <c r="K2599" s="9" t="str">
        <f>IFERROR(__xludf.DUMMYFUNCTION("""COMPUTED_VALUE"""),"")</f>
        <v/>
      </c>
      <c r="L2599" s="9" t="str">
        <f>IFERROR(__xludf.DUMMYFUNCTION("""COMPUTED_VALUE"""),"")</f>
        <v/>
      </c>
      <c r="M2599" s="9" t="str">
        <f>IFERROR(__xludf.DUMMYFUNCTION("""COMPUTED_VALUE"""),"")</f>
        <v/>
      </c>
      <c r="N2599" s="9" t="str">
        <f>IFERROR(__xludf.DUMMYFUNCTION("""COMPUTED_VALUE"""),"")</f>
        <v/>
      </c>
      <c r="O2599" s="9" t="str">
        <f>IFERROR(__xludf.DUMMYFUNCTION("""COMPUTED_VALUE"""),"")</f>
        <v/>
      </c>
      <c r="P2599" s="9" t="str">
        <f>IFERROR(__xludf.DUMMYFUNCTION("""COMPUTED_VALUE"""),"")</f>
        <v/>
      </c>
      <c r="Q2599" s="9" t="str">
        <f>IFERROR(__xludf.DUMMYFUNCTION("""COMPUTED_VALUE"""),"")</f>
        <v/>
      </c>
      <c r="R2599" s="9" t="str">
        <f>IFERROR(__xludf.DUMMYFUNCTION("""COMPUTED_VALUE"""),"")</f>
        <v/>
      </c>
      <c r="S2599" s="42"/>
      <c r="T2599" s="42"/>
      <c r="U2599" s="42" t="b">
        <f>IFERROR(__xludf.DUMMYFUNCTION("""COMPUTED_VALUE"""),TRUE)</f>
        <v>1</v>
      </c>
      <c r="V2599" s="42"/>
      <c r="W2599" s="42" t="str">
        <f>IFERROR(__xludf.DUMMYFUNCTION("""COMPUTED_VALUE"""),"Excitatory")</f>
        <v>Excitatory</v>
      </c>
      <c r="X2599" s="42"/>
      <c r="Y2599" s="42"/>
      <c r="Z2599" s="42"/>
      <c r="AA2599" s="42"/>
      <c r="AB2599" s="42" t="str">
        <f>IFERROR(__xludf.DUMMYFUNCTION("""COMPUTED_VALUE"""),"Yoshimasa Tawatsuji")</f>
        <v>Yoshimasa Tawatsuji</v>
      </c>
      <c r="AC2599" s="42" t="str">
        <f>IFERROR(__xludf.DUMMYFUNCTION("""COMPUTED_VALUE"""),"YT20Oculomotor")</f>
        <v>YT20Oculomotor</v>
      </c>
      <c r="AD2599" s="42"/>
      <c r="AE2599" s="42"/>
      <c r="AF2599" s="9"/>
      <c r="AG2599" s="9"/>
      <c r="AH2599" s="42"/>
      <c r="AI2599" s="42"/>
      <c r="AJ2599" s="42"/>
      <c r="AK2599" s="42"/>
      <c r="AL2599" s="42"/>
      <c r="AM2599" s="42"/>
      <c r="AN2599" s="42"/>
      <c r="AO2599" s="63" t="str">
        <f>IFERROR(__xludf.DUMMYFUNCTION("IF(ISBLANK(A2599),,IF(ISBLANK(S2599), A2599&amp;"";"", TEXTJOIN(CHAR(10), TRUE, A2599&amp;"";"", ARRAYFORMULA(VLOOKUP(SPLIT(S2599, "";"" &amp; CHAR(10)), $A:$AO, 41, FALSE)))))"),"3N_IO;")</f>
        <v>3N_IO;</v>
      </c>
      <c r="AP2599" s="89"/>
    </row>
    <row r="2600">
      <c r="A2600" s="151" t="str">
        <f>IFERROR(__xludf.DUMMYFUNCTION("""COMPUTED_VALUE"""),"3N_IR")</f>
        <v>3N_IR</v>
      </c>
      <c r="B2600" s="42" t="str">
        <f>IFERROR(__xludf.DUMMYFUNCTION("""COMPUTED_VALUE"""),"makeshift")</f>
        <v>makeshift</v>
      </c>
      <c r="C2600" s="42" t="str">
        <f>IFERROR(__xludf.DUMMYFUNCTION("""COMPUTED_VALUE"""),"oculomotor nucleus innervating inferior rectus")</f>
        <v>oculomotor nucleus innervating inferior rectus</v>
      </c>
      <c r="D2600" s="42">
        <f>IFERROR(__xludf.DUMMYFUNCTION("""COMPUTED_VALUE"""),2477.1)</f>
        <v>2477.1</v>
      </c>
      <c r="E2600" s="39" t="str">
        <f>IFERROR(__xludf.DUMMYFUNCTION("""COMPUTED_VALUE"""),"")</f>
        <v/>
      </c>
      <c r="F2600" s="9" t="str">
        <f>IFERROR(__xludf.DUMMYFUNCTION("""COMPUTED_VALUE"""),"")</f>
        <v/>
      </c>
      <c r="G2600" s="9" t="str">
        <f>IFERROR(__xludf.DUMMYFUNCTION("""COMPUTED_VALUE"""),"")</f>
        <v/>
      </c>
      <c r="H2600" s="9" t="str">
        <f>IFERROR(__xludf.DUMMYFUNCTION("""COMPUTED_VALUE"""),"")</f>
        <v/>
      </c>
      <c r="I2600" s="9" t="str">
        <f>IFERROR(__xludf.DUMMYFUNCTION("""COMPUTED_VALUE"""),"")</f>
        <v/>
      </c>
      <c r="J2600" s="9" t="str">
        <f>IFERROR(__xludf.DUMMYFUNCTION("""COMPUTED_VALUE"""),"")</f>
        <v/>
      </c>
      <c r="K2600" s="9" t="str">
        <f>IFERROR(__xludf.DUMMYFUNCTION("""COMPUTED_VALUE"""),"")</f>
        <v/>
      </c>
      <c r="L2600" s="9" t="str">
        <f>IFERROR(__xludf.DUMMYFUNCTION("""COMPUTED_VALUE"""),"")</f>
        <v/>
      </c>
      <c r="M2600" s="9" t="str">
        <f>IFERROR(__xludf.DUMMYFUNCTION("""COMPUTED_VALUE"""),"")</f>
        <v/>
      </c>
      <c r="N2600" s="9" t="str">
        <f>IFERROR(__xludf.DUMMYFUNCTION("""COMPUTED_VALUE"""),"")</f>
        <v/>
      </c>
      <c r="O2600" s="9" t="str">
        <f>IFERROR(__xludf.DUMMYFUNCTION("""COMPUTED_VALUE"""),"")</f>
        <v/>
      </c>
      <c r="P2600" s="9" t="str">
        <f>IFERROR(__xludf.DUMMYFUNCTION("""COMPUTED_VALUE"""),"")</f>
        <v/>
      </c>
      <c r="Q2600" s="9" t="str">
        <f>IFERROR(__xludf.DUMMYFUNCTION("""COMPUTED_VALUE"""),"")</f>
        <v/>
      </c>
      <c r="R2600" s="9" t="str">
        <f>IFERROR(__xludf.DUMMYFUNCTION("""COMPUTED_VALUE"""),"")</f>
        <v/>
      </c>
      <c r="S2600" s="42"/>
      <c r="T2600" s="42"/>
      <c r="U2600" s="42" t="b">
        <f>IFERROR(__xludf.DUMMYFUNCTION("""COMPUTED_VALUE"""),TRUE)</f>
        <v>1</v>
      </c>
      <c r="V2600" s="42"/>
      <c r="W2600" s="42" t="str">
        <f>IFERROR(__xludf.DUMMYFUNCTION("""COMPUTED_VALUE"""),"Excitatory")</f>
        <v>Excitatory</v>
      </c>
      <c r="X2600" s="42"/>
      <c r="Y2600" s="42"/>
      <c r="Z2600" s="42"/>
      <c r="AA2600" s="42"/>
      <c r="AB2600" s="42" t="str">
        <f>IFERROR(__xludf.DUMMYFUNCTION("""COMPUTED_VALUE"""),"Yoshimasa Tawatsuji")</f>
        <v>Yoshimasa Tawatsuji</v>
      </c>
      <c r="AC2600" s="42" t="str">
        <f>IFERROR(__xludf.DUMMYFUNCTION("""COMPUTED_VALUE"""),"YT20Oculomotor")</f>
        <v>YT20Oculomotor</v>
      </c>
      <c r="AD2600" s="42"/>
      <c r="AE2600" s="42"/>
      <c r="AF2600" s="9"/>
      <c r="AG2600" s="9"/>
      <c r="AH2600" s="42"/>
      <c r="AI2600" s="42"/>
      <c r="AJ2600" s="42"/>
      <c r="AK2600" s="42"/>
      <c r="AL2600" s="42"/>
      <c r="AM2600" s="42"/>
      <c r="AN2600" s="42"/>
      <c r="AO2600" s="63" t="str">
        <f>IFERROR(__xludf.DUMMYFUNCTION("IF(ISBLANK(A2600),,IF(ISBLANK(S2600), A2600&amp;"";"", TEXTJOIN(CHAR(10), TRUE, A2600&amp;"";"", ARRAYFORMULA(VLOOKUP(SPLIT(S2600, "";"" &amp; CHAR(10)), $A:$AO, 41, FALSE)))))"),"3N_IR;")</f>
        <v>3N_IR;</v>
      </c>
      <c r="AP2600" s="89"/>
    </row>
    <row r="2601">
      <c r="A2601" s="151" t="str">
        <f>IFERROR(__xludf.DUMMYFUNCTION("""COMPUTED_VALUE"""),"3N_MR")</f>
        <v>3N_MR</v>
      </c>
      <c r="B2601" s="42" t="str">
        <f>IFERROR(__xludf.DUMMYFUNCTION("""COMPUTED_VALUE"""),"makeshift")</f>
        <v>makeshift</v>
      </c>
      <c r="C2601" s="42" t="str">
        <f>IFERROR(__xludf.DUMMYFUNCTION("""COMPUTED_VALUE"""),"oculomotor nucleus innervating medial rectus")</f>
        <v>oculomotor nucleus innervating medial rectus</v>
      </c>
      <c r="D2601" s="42">
        <f>IFERROR(__xludf.DUMMYFUNCTION("""COMPUTED_VALUE"""),2477.1)</f>
        <v>2477.1</v>
      </c>
      <c r="E2601" s="39" t="str">
        <f>IFERROR(__xludf.DUMMYFUNCTION("""COMPUTED_VALUE"""),"")</f>
        <v/>
      </c>
      <c r="F2601" s="9" t="str">
        <f>IFERROR(__xludf.DUMMYFUNCTION("""COMPUTED_VALUE"""),"")</f>
        <v/>
      </c>
      <c r="G2601" s="9" t="str">
        <f>IFERROR(__xludf.DUMMYFUNCTION("""COMPUTED_VALUE"""),"")</f>
        <v/>
      </c>
      <c r="H2601" s="9" t="str">
        <f>IFERROR(__xludf.DUMMYFUNCTION("""COMPUTED_VALUE"""),"")</f>
        <v/>
      </c>
      <c r="I2601" s="9" t="str">
        <f>IFERROR(__xludf.DUMMYFUNCTION("""COMPUTED_VALUE"""),"")</f>
        <v/>
      </c>
      <c r="J2601" s="9" t="str">
        <f>IFERROR(__xludf.DUMMYFUNCTION("""COMPUTED_VALUE"""),"")</f>
        <v/>
      </c>
      <c r="K2601" s="9" t="str">
        <f>IFERROR(__xludf.DUMMYFUNCTION("""COMPUTED_VALUE"""),"")</f>
        <v/>
      </c>
      <c r="L2601" s="9" t="str">
        <f>IFERROR(__xludf.DUMMYFUNCTION("""COMPUTED_VALUE"""),"")</f>
        <v/>
      </c>
      <c r="M2601" s="9" t="str">
        <f>IFERROR(__xludf.DUMMYFUNCTION("""COMPUTED_VALUE"""),"")</f>
        <v/>
      </c>
      <c r="N2601" s="9" t="str">
        <f>IFERROR(__xludf.DUMMYFUNCTION("""COMPUTED_VALUE"""),"")</f>
        <v/>
      </c>
      <c r="O2601" s="9" t="str">
        <f>IFERROR(__xludf.DUMMYFUNCTION("""COMPUTED_VALUE"""),"")</f>
        <v/>
      </c>
      <c r="P2601" s="9" t="str">
        <f>IFERROR(__xludf.DUMMYFUNCTION("""COMPUTED_VALUE"""),"")</f>
        <v/>
      </c>
      <c r="Q2601" s="9" t="str">
        <f>IFERROR(__xludf.DUMMYFUNCTION("""COMPUTED_VALUE"""),"")</f>
        <v/>
      </c>
      <c r="R2601" s="9" t="str">
        <f>IFERROR(__xludf.DUMMYFUNCTION("""COMPUTED_VALUE"""),"")</f>
        <v/>
      </c>
      <c r="S2601" s="42"/>
      <c r="T2601" s="42"/>
      <c r="U2601" s="42" t="b">
        <f>IFERROR(__xludf.DUMMYFUNCTION("""COMPUTED_VALUE"""),TRUE)</f>
        <v>1</v>
      </c>
      <c r="V2601" s="42"/>
      <c r="W2601" s="42" t="str">
        <f>IFERROR(__xludf.DUMMYFUNCTION("""COMPUTED_VALUE"""),"Excitatory")</f>
        <v>Excitatory</v>
      </c>
      <c r="X2601" s="42"/>
      <c r="Y2601" s="42"/>
      <c r="Z2601" s="42"/>
      <c r="AA2601" s="42"/>
      <c r="AB2601" s="42" t="str">
        <f>IFERROR(__xludf.DUMMYFUNCTION("""COMPUTED_VALUE"""),"Yoshimasa Tawatsuji")</f>
        <v>Yoshimasa Tawatsuji</v>
      </c>
      <c r="AC2601" s="42" t="str">
        <f>IFERROR(__xludf.DUMMYFUNCTION("""COMPUTED_VALUE"""),"YT20Oculomotor")</f>
        <v>YT20Oculomotor</v>
      </c>
      <c r="AD2601" s="42"/>
      <c r="AE2601" s="42"/>
      <c r="AF2601" s="9"/>
      <c r="AG2601" s="9"/>
      <c r="AH2601" s="42"/>
      <c r="AI2601" s="42"/>
      <c r="AJ2601" s="42"/>
      <c r="AK2601" s="42"/>
      <c r="AL2601" s="42"/>
      <c r="AM2601" s="42"/>
      <c r="AN2601" s="42"/>
      <c r="AO2601" s="63" t="str">
        <f>IFERROR(__xludf.DUMMYFUNCTION("IF(ISBLANK(A2601),,IF(ISBLANK(S2601), A2601&amp;"";"", TEXTJOIN(CHAR(10), TRUE, A2601&amp;"";"", ARRAYFORMULA(VLOOKUP(SPLIT(S2601, "";"" &amp; CHAR(10)), $A:$AO, 41, FALSE)))))"),"3N_MR;")</f>
        <v>3N_MR;</v>
      </c>
      <c r="AP2601" s="89"/>
    </row>
    <row r="2602">
      <c r="A2602" s="151" t="str">
        <f>IFERROR(__xludf.DUMMYFUNCTION("""COMPUTED_VALUE"""),"3N_SR")</f>
        <v>3N_SR</v>
      </c>
      <c r="B2602" s="42" t="str">
        <f>IFERROR(__xludf.DUMMYFUNCTION("""COMPUTED_VALUE"""),"makeshift")</f>
        <v>makeshift</v>
      </c>
      <c r="C2602" s="42" t="str">
        <f>IFERROR(__xludf.DUMMYFUNCTION("""COMPUTED_VALUE"""),"oculomotor nucleus innervating superior rectus")</f>
        <v>oculomotor nucleus innervating superior rectus</v>
      </c>
      <c r="D2602" s="42">
        <f>IFERROR(__xludf.DUMMYFUNCTION("""COMPUTED_VALUE"""),2477.1)</f>
        <v>2477.1</v>
      </c>
      <c r="E2602" s="39" t="str">
        <f>IFERROR(__xludf.DUMMYFUNCTION("""COMPUTED_VALUE"""),"")</f>
        <v/>
      </c>
      <c r="F2602" s="9" t="str">
        <f>IFERROR(__xludf.DUMMYFUNCTION("""COMPUTED_VALUE"""),"")</f>
        <v/>
      </c>
      <c r="G2602" s="9" t="str">
        <f>IFERROR(__xludf.DUMMYFUNCTION("""COMPUTED_VALUE"""),"")</f>
        <v/>
      </c>
      <c r="H2602" s="9" t="str">
        <f>IFERROR(__xludf.DUMMYFUNCTION("""COMPUTED_VALUE"""),"")</f>
        <v/>
      </c>
      <c r="I2602" s="9" t="str">
        <f>IFERROR(__xludf.DUMMYFUNCTION("""COMPUTED_VALUE"""),"")</f>
        <v/>
      </c>
      <c r="J2602" s="9" t="str">
        <f>IFERROR(__xludf.DUMMYFUNCTION("""COMPUTED_VALUE"""),"")</f>
        <v/>
      </c>
      <c r="K2602" s="9" t="str">
        <f>IFERROR(__xludf.DUMMYFUNCTION("""COMPUTED_VALUE"""),"")</f>
        <v/>
      </c>
      <c r="L2602" s="9" t="str">
        <f>IFERROR(__xludf.DUMMYFUNCTION("""COMPUTED_VALUE"""),"")</f>
        <v/>
      </c>
      <c r="M2602" s="9" t="str">
        <f>IFERROR(__xludf.DUMMYFUNCTION("""COMPUTED_VALUE"""),"")</f>
        <v/>
      </c>
      <c r="N2602" s="9" t="str">
        <f>IFERROR(__xludf.DUMMYFUNCTION("""COMPUTED_VALUE"""),"")</f>
        <v/>
      </c>
      <c r="O2602" s="9" t="str">
        <f>IFERROR(__xludf.DUMMYFUNCTION("""COMPUTED_VALUE"""),"")</f>
        <v/>
      </c>
      <c r="P2602" s="9" t="str">
        <f>IFERROR(__xludf.DUMMYFUNCTION("""COMPUTED_VALUE"""),"")</f>
        <v/>
      </c>
      <c r="Q2602" s="9" t="str">
        <f>IFERROR(__xludf.DUMMYFUNCTION("""COMPUTED_VALUE"""),"")</f>
        <v/>
      </c>
      <c r="R2602" s="9" t="str">
        <f>IFERROR(__xludf.DUMMYFUNCTION("""COMPUTED_VALUE"""),"")</f>
        <v/>
      </c>
      <c r="S2602" s="42"/>
      <c r="T2602" s="42"/>
      <c r="U2602" s="42" t="b">
        <f>IFERROR(__xludf.DUMMYFUNCTION("""COMPUTED_VALUE"""),TRUE)</f>
        <v>1</v>
      </c>
      <c r="V2602" s="42"/>
      <c r="W2602" s="42" t="str">
        <f>IFERROR(__xludf.DUMMYFUNCTION("""COMPUTED_VALUE"""),"Excitatory")</f>
        <v>Excitatory</v>
      </c>
      <c r="X2602" s="42"/>
      <c r="Y2602" s="42"/>
      <c r="Z2602" s="42"/>
      <c r="AA2602" s="42"/>
      <c r="AB2602" s="42" t="str">
        <f>IFERROR(__xludf.DUMMYFUNCTION("""COMPUTED_VALUE"""),"Yoshimasa Tawatsuji")</f>
        <v>Yoshimasa Tawatsuji</v>
      </c>
      <c r="AC2602" s="42" t="str">
        <f>IFERROR(__xludf.DUMMYFUNCTION("""COMPUTED_VALUE"""),"YT20Oculomotor")</f>
        <v>YT20Oculomotor</v>
      </c>
      <c r="AD2602" s="42"/>
      <c r="AE2602" s="42"/>
      <c r="AF2602" s="9"/>
      <c r="AG2602" s="9"/>
      <c r="AH2602" s="42"/>
      <c r="AI2602" s="42"/>
      <c r="AJ2602" s="42"/>
      <c r="AK2602" s="42"/>
      <c r="AL2602" s="42"/>
      <c r="AM2602" s="42"/>
      <c r="AN2602" s="42"/>
      <c r="AO2602" s="63" t="str">
        <f>IFERROR(__xludf.DUMMYFUNCTION("IF(ISBLANK(A2602),,IF(ISBLANK(S2602), A2602&amp;"";"", TEXTJOIN(CHAR(10), TRUE, A2602&amp;"";"", ARRAYFORMULA(VLOOKUP(SPLIT(S2602, "";"" &amp; CHAR(10)), $A:$AO, 41, FALSE)))))"),"3N_SR;")</f>
        <v>3N_SR;</v>
      </c>
      <c r="AP2602" s="89"/>
    </row>
    <row r="2603">
      <c r="A2603" s="151" t="str">
        <f>IFERROR(__xludf.DUMMYFUNCTION("""COMPUTED_VALUE"""),"3AM")</f>
        <v>3AM</v>
      </c>
      <c r="B2603" s="42" t="str">
        <f>IFERROR(__xludf.DUMMYFUNCTION("""COMPUTED_VALUE"""),"DHBA")</f>
        <v>DHBA</v>
      </c>
      <c r="C2603" s="42" t="str">
        <f>IFERROR(__xludf.DUMMYFUNCTION("""COMPUTED_VALUE"""),"anterior median oculomotor nucleus")</f>
        <v>anterior median oculomotor nucleus</v>
      </c>
      <c r="D2603" s="42">
        <f>IFERROR(__xludf.DUMMYFUNCTION("""COMPUTED_VALUE"""),2478.0)</f>
        <v>2478</v>
      </c>
      <c r="E2603" s="39" t="str">
        <f>IFERROR(__xludf.DUMMYFUNCTION("""COMPUTED_VALUE"""),"anterior median oculomotor nucleus")</f>
        <v>anterior median oculomotor nucleus</v>
      </c>
      <c r="F2603" s="9" t="str">
        <f>IFERROR(__xludf.DUMMYFUNCTION("""COMPUTED_VALUE"""),"Br")</f>
        <v>Br</v>
      </c>
      <c r="G2603" s="9" t="str">
        <f>IFERROR(__xludf.DUMMYFUNCTION("""COMPUTED_VALUE"""),"M")</f>
        <v>M</v>
      </c>
      <c r="H2603" s="9" t="str">
        <f>IFERROR(__xludf.DUMMYFUNCTION("""COMPUTED_VALUE"""),"MGM")</f>
        <v>MGM</v>
      </c>
      <c r="I2603" s="9" t="str">
        <f>IFERROR(__xludf.DUMMYFUNCTION("""COMPUTED_VALUE"""),"MTg")</f>
        <v>MTg</v>
      </c>
      <c r="J2603" s="9" t="str">
        <f>IFERROR(__xludf.DUMMYFUNCTION("""COMPUTED_VALUE"""),"MEN")</f>
        <v>MEN</v>
      </c>
      <c r="K2603" s="9" t="str">
        <f>IFERROR(__xludf.DUMMYFUNCTION("""COMPUTED_VALUE"""),"3N")</f>
        <v>3N</v>
      </c>
      <c r="L2603" s="9">
        <f>IFERROR(__xludf.DUMMYFUNCTION("""COMPUTED_VALUE"""),0.125)</f>
        <v>0.125</v>
      </c>
      <c r="M2603" s="9"/>
      <c r="N2603" s="9"/>
      <c r="O2603" s="9"/>
      <c r="P2603" s="9"/>
      <c r="Q2603" s="9"/>
      <c r="R2603" s="9"/>
      <c r="S2603" s="42"/>
      <c r="T2603" s="42"/>
      <c r="U2603" s="42"/>
      <c r="V2603" s="42"/>
      <c r="W2603" s="42"/>
      <c r="X2603" s="42"/>
      <c r="Y2603" s="42"/>
      <c r="Z2603" s="42"/>
      <c r="AA2603" s="42"/>
      <c r="AB2603" s="42" t="str">
        <f>IFERROR(__xludf.DUMMYFUNCTION("""COMPUTED_VALUE"""),"allen institute")</f>
        <v>allen institute</v>
      </c>
      <c r="AC2603" s="42" t="str">
        <f>IFERROR(__xludf.DUMMYFUNCTION("""COMPUTED_VALUE"""),"DHBA")</f>
        <v>DHBA</v>
      </c>
      <c r="AD2603" s="42"/>
      <c r="AE2603" s="42"/>
      <c r="AF2603" s="9"/>
      <c r="AG2603" s="9"/>
      <c r="AH2603" s="42"/>
      <c r="AI2603" s="42"/>
      <c r="AJ2603" s="42"/>
      <c r="AK2603" s="42"/>
      <c r="AL2603" s="42"/>
      <c r="AM2603" s="42"/>
      <c r="AN2603" s="42"/>
      <c r="AO2603" s="63" t="str">
        <f>IFERROR(__xludf.DUMMYFUNCTION("IF(ISBLANK(A2603),,IF(ISBLANK(S2603), A2603&amp;"";"", TEXTJOIN(CHAR(10), TRUE, A2603&amp;"";"", ARRAYFORMULA(VLOOKUP(SPLIT(S2603, "";"" &amp; CHAR(10)), $A:$AO, 41, FALSE)))))"),"3AM;")</f>
        <v>3AM;</v>
      </c>
      <c r="AP2603" s="89"/>
    </row>
    <row r="2604">
      <c r="A2604" s="151" t="str">
        <f>IFERROR(__xludf.DUMMYFUNCTION("""COMPUTED_VALUE"""),"3CC")</f>
        <v>3CC</v>
      </c>
      <c r="B2604" s="42" t="str">
        <f>IFERROR(__xludf.DUMMYFUNCTION("""COMPUTED_VALUE"""),"DHBA")</f>
        <v>DHBA</v>
      </c>
      <c r="C2604" s="42" t="str">
        <f>IFERROR(__xludf.DUMMYFUNCTION("""COMPUTED_VALUE"""),"caudal central oculomotor nucleus")</f>
        <v>caudal central oculomotor nucleus</v>
      </c>
      <c r="D2604" s="42">
        <f>IFERROR(__xludf.DUMMYFUNCTION("""COMPUTED_VALUE"""),2479.0)</f>
        <v>2479</v>
      </c>
      <c r="E2604" s="39" t="str">
        <f>IFERROR(__xludf.DUMMYFUNCTION("""COMPUTED_VALUE"""),"caudal central oculomotor nucleus")</f>
        <v>caudal central oculomotor nucleus</v>
      </c>
      <c r="F2604" s="9" t="str">
        <f>IFERROR(__xludf.DUMMYFUNCTION("""COMPUTED_VALUE"""),"Br")</f>
        <v>Br</v>
      </c>
      <c r="G2604" s="9" t="str">
        <f>IFERROR(__xludf.DUMMYFUNCTION("""COMPUTED_VALUE"""),"M")</f>
        <v>M</v>
      </c>
      <c r="H2604" s="9" t="str">
        <f>IFERROR(__xludf.DUMMYFUNCTION("""COMPUTED_VALUE"""),"MGM")</f>
        <v>MGM</v>
      </c>
      <c r="I2604" s="9" t="str">
        <f>IFERROR(__xludf.DUMMYFUNCTION("""COMPUTED_VALUE"""),"MTg")</f>
        <v>MTg</v>
      </c>
      <c r="J2604" s="9" t="str">
        <f>IFERROR(__xludf.DUMMYFUNCTION("""COMPUTED_VALUE"""),"MEN")</f>
        <v>MEN</v>
      </c>
      <c r="K2604" s="9" t="str">
        <f>IFERROR(__xludf.DUMMYFUNCTION("""COMPUTED_VALUE"""),"3N")</f>
        <v>3N</v>
      </c>
      <c r="L2604" s="9" t="str">
        <f>IFERROR(__xludf.DUMMYFUNCTION("""COMPUTED_VALUE"""),"3CC")</f>
        <v>3CC</v>
      </c>
      <c r="M2604" s="9"/>
      <c r="N2604" s="9"/>
      <c r="O2604" s="9"/>
      <c r="P2604" s="9"/>
      <c r="Q2604" s="9"/>
      <c r="R2604" s="9"/>
      <c r="S2604" s="42"/>
      <c r="T2604" s="42"/>
      <c r="U2604" s="42"/>
      <c r="V2604" s="42"/>
      <c r="W2604" s="42"/>
      <c r="X2604" s="42"/>
      <c r="Y2604" s="42"/>
      <c r="Z2604" s="42"/>
      <c r="AA2604" s="42"/>
      <c r="AB2604" s="42" t="str">
        <f>IFERROR(__xludf.DUMMYFUNCTION("""COMPUTED_VALUE"""),"allen institute")</f>
        <v>allen institute</v>
      </c>
      <c r="AC2604" s="42" t="str">
        <f>IFERROR(__xludf.DUMMYFUNCTION("""COMPUTED_VALUE"""),"DHBA")</f>
        <v>DHBA</v>
      </c>
      <c r="AD2604" s="42"/>
      <c r="AE2604" s="42"/>
      <c r="AF2604" s="9"/>
      <c r="AG2604" s="9"/>
      <c r="AH2604" s="42"/>
      <c r="AI2604" s="42"/>
      <c r="AJ2604" s="42"/>
      <c r="AK2604" s="42"/>
      <c r="AL2604" s="42"/>
      <c r="AM2604" s="42"/>
      <c r="AN2604" s="42"/>
      <c r="AO2604" s="63" t="str">
        <f>IFERROR(__xludf.DUMMYFUNCTION("IF(ISBLANK(A2604),,IF(ISBLANK(S2604), A2604&amp;"";"", TEXTJOIN(CHAR(10), TRUE, A2604&amp;"";"", ARRAYFORMULA(VLOOKUP(SPLIT(S2604, "";"" &amp; CHAR(10)), $A:$AO, 41, FALSE)))))"),"3CC;")</f>
        <v>3CC;</v>
      </c>
      <c r="AP2604" s="89"/>
    </row>
    <row r="2605">
      <c r="A2605" s="151" t="str">
        <f>IFERROR(__xludf.DUMMYFUNCTION("""COMPUTED_VALUE"""),"3C")</f>
        <v>3C</v>
      </c>
      <c r="B2605" s="42" t="str">
        <f>IFERROR(__xludf.DUMMYFUNCTION("""COMPUTED_VALUE"""),"DHBA")</f>
        <v>DHBA</v>
      </c>
      <c r="C2605" s="42" t="str">
        <f>IFERROR(__xludf.DUMMYFUNCTION("""COMPUTED_VALUE"""),"central oculomotor nucleus")</f>
        <v>central oculomotor nucleus</v>
      </c>
      <c r="D2605" s="42">
        <f>IFERROR(__xludf.DUMMYFUNCTION("""COMPUTED_VALUE"""),2480.0)</f>
        <v>2480</v>
      </c>
      <c r="E2605" s="39" t="str">
        <f>IFERROR(__xludf.DUMMYFUNCTION("""COMPUTED_VALUE"""),"central oculomotor nucleus")</f>
        <v>central oculomotor nucleus</v>
      </c>
      <c r="F2605" s="9" t="str">
        <f>IFERROR(__xludf.DUMMYFUNCTION("""COMPUTED_VALUE"""),"Br")</f>
        <v>Br</v>
      </c>
      <c r="G2605" s="9" t="str">
        <f>IFERROR(__xludf.DUMMYFUNCTION("""COMPUTED_VALUE"""),"M")</f>
        <v>M</v>
      </c>
      <c r="H2605" s="9" t="str">
        <f>IFERROR(__xludf.DUMMYFUNCTION("""COMPUTED_VALUE"""),"MGM")</f>
        <v>MGM</v>
      </c>
      <c r="I2605" s="9" t="str">
        <f>IFERROR(__xludf.DUMMYFUNCTION("""COMPUTED_VALUE"""),"MTg")</f>
        <v>MTg</v>
      </c>
      <c r="J2605" s="9" t="str">
        <f>IFERROR(__xludf.DUMMYFUNCTION("""COMPUTED_VALUE"""),"MEN")</f>
        <v>MEN</v>
      </c>
      <c r="K2605" s="9" t="str">
        <f>IFERROR(__xludf.DUMMYFUNCTION("""COMPUTED_VALUE"""),"3N")</f>
        <v>3N</v>
      </c>
      <c r="L2605" s="9" t="str">
        <f>IFERROR(__xludf.DUMMYFUNCTION("""COMPUTED_VALUE"""),"3C")</f>
        <v>3C</v>
      </c>
      <c r="M2605" s="9"/>
      <c r="N2605" s="9"/>
      <c r="O2605" s="9"/>
      <c r="P2605" s="9"/>
      <c r="Q2605" s="9"/>
      <c r="R2605" s="9"/>
      <c r="S2605" s="42"/>
      <c r="T2605" s="42"/>
      <c r="U2605" s="42"/>
      <c r="V2605" s="42"/>
      <c r="W2605" s="42"/>
      <c r="X2605" s="42"/>
      <c r="Y2605" s="42"/>
      <c r="Z2605" s="42"/>
      <c r="AA2605" s="42"/>
      <c r="AB2605" s="42" t="str">
        <f>IFERROR(__xludf.DUMMYFUNCTION("""COMPUTED_VALUE"""),"allen institute")</f>
        <v>allen institute</v>
      </c>
      <c r="AC2605" s="42" t="str">
        <f>IFERROR(__xludf.DUMMYFUNCTION("""COMPUTED_VALUE"""),"DHBA")</f>
        <v>DHBA</v>
      </c>
      <c r="AD2605" s="42"/>
      <c r="AE2605" s="42"/>
      <c r="AF2605" s="9"/>
      <c r="AG2605" s="9"/>
      <c r="AH2605" s="42"/>
      <c r="AI2605" s="42"/>
      <c r="AJ2605" s="42"/>
      <c r="AK2605" s="42"/>
      <c r="AL2605" s="42"/>
      <c r="AM2605" s="42"/>
      <c r="AN2605" s="42"/>
      <c r="AO2605" s="63" t="str">
        <f>IFERROR(__xludf.DUMMYFUNCTION("IF(ISBLANK(A2605),,IF(ISBLANK(S2605), A2605&amp;"";"", TEXTJOIN(CHAR(10), TRUE, A2605&amp;"";"", ARRAYFORMULA(VLOOKUP(SPLIT(S2605, "";"" &amp; CHAR(10)), $A:$AO, 41, FALSE)))))"),"3C;")</f>
        <v>3C;</v>
      </c>
      <c r="AP2605" s="89"/>
    </row>
    <row r="2606">
      <c r="A2606" s="151" t="str">
        <f>IFERROR(__xludf.DUMMYFUNCTION("""COMPUTED_VALUE"""),"3D")</f>
        <v>3D</v>
      </c>
      <c r="B2606" s="42" t="str">
        <f>IFERROR(__xludf.DUMMYFUNCTION("""COMPUTED_VALUE"""),"DHBA")</f>
        <v>DHBA</v>
      </c>
      <c r="C2606" s="42" t="str">
        <f>IFERROR(__xludf.DUMMYFUNCTION("""COMPUTED_VALUE"""),"dorsal oculomotor nucleus")</f>
        <v>dorsal oculomotor nucleus</v>
      </c>
      <c r="D2606" s="42">
        <f>IFERROR(__xludf.DUMMYFUNCTION("""COMPUTED_VALUE"""),2481.0)</f>
        <v>2481</v>
      </c>
      <c r="E2606" s="39" t="str">
        <f>IFERROR(__xludf.DUMMYFUNCTION("""COMPUTED_VALUE"""),"dorsal oculomotor nucleus")</f>
        <v>dorsal oculomotor nucleus</v>
      </c>
      <c r="F2606" s="9" t="str">
        <f>IFERROR(__xludf.DUMMYFUNCTION("""COMPUTED_VALUE"""),"Br")</f>
        <v>Br</v>
      </c>
      <c r="G2606" s="9" t="str">
        <f>IFERROR(__xludf.DUMMYFUNCTION("""COMPUTED_VALUE"""),"M")</f>
        <v>M</v>
      </c>
      <c r="H2606" s="9" t="str">
        <f>IFERROR(__xludf.DUMMYFUNCTION("""COMPUTED_VALUE"""),"MGM")</f>
        <v>MGM</v>
      </c>
      <c r="I2606" s="9" t="str">
        <f>IFERROR(__xludf.DUMMYFUNCTION("""COMPUTED_VALUE"""),"MTg")</f>
        <v>MTg</v>
      </c>
      <c r="J2606" s="9" t="str">
        <f>IFERROR(__xludf.DUMMYFUNCTION("""COMPUTED_VALUE"""),"MEN")</f>
        <v>MEN</v>
      </c>
      <c r="K2606" s="9" t="str">
        <f>IFERROR(__xludf.DUMMYFUNCTION("""COMPUTED_VALUE"""),"3N")</f>
        <v>3N</v>
      </c>
      <c r="L2606" s="9" t="str">
        <f>IFERROR(__xludf.DUMMYFUNCTION("""COMPUTED_VALUE"""),"3D")</f>
        <v>3D</v>
      </c>
      <c r="M2606" s="9"/>
      <c r="N2606" s="9"/>
      <c r="O2606" s="9"/>
      <c r="P2606" s="9"/>
      <c r="Q2606" s="9"/>
      <c r="R2606" s="9"/>
      <c r="S2606" s="42"/>
      <c r="T2606" s="42"/>
      <c r="U2606" s="42"/>
      <c r="V2606" s="42"/>
      <c r="W2606" s="42"/>
      <c r="X2606" s="42"/>
      <c r="Y2606" s="42"/>
      <c r="Z2606" s="42"/>
      <c r="AA2606" s="42"/>
      <c r="AB2606" s="42" t="str">
        <f>IFERROR(__xludf.DUMMYFUNCTION("""COMPUTED_VALUE"""),"allen institute")</f>
        <v>allen institute</v>
      </c>
      <c r="AC2606" s="42" t="str">
        <f>IFERROR(__xludf.DUMMYFUNCTION("""COMPUTED_VALUE"""),"DHBA")</f>
        <v>DHBA</v>
      </c>
      <c r="AD2606" s="42"/>
      <c r="AE2606" s="42"/>
      <c r="AF2606" s="9"/>
      <c r="AG2606" s="9"/>
      <c r="AH2606" s="42"/>
      <c r="AI2606" s="42"/>
      <c r="AJ2606" s="42"/>
      <c r="AK2606" s="42"/>
      <c r="AL2606" s="42"/>
      <c r="AM2606" s="42"/>
      <c r="AN2606" s="42"/>
      <c r="AO2606" s="63" t="str">
        <f>IFERROR(__xludf.DUMMYFUNCTION("IF(ISBLANK(A2606),,IF(ISBLANK(S2606), A2606&amp;"";"", TEXTJOIN(CHAR(10), TRUE, A2606&amp;"";"", ARRAYFORMULA(VLOOKUP(SPLIT(S2606, "";"" &amp; CHAR(10)), $A:$AO, 41, FALSE)))))"),"3D;")</f>
        <v>3D;</v>
      </c>
      <c r="AP2606" s="89"/>
    </row>
    <row r="2607">
      <c r="A2607" s="151" t="str">
        <f>IFERROR(__xludf.DUMMYFUNCTION("""COMPUTED_VALUE"""),"3M")</f>
        <v>3M</v>
      </c>
      <c r="B2607" s="42" t="str">
        <f>IFERROR(__xludf.DUMMYFUNCTION("""COMPUTED_VALUE"""),"DHBA")</f>
        <v>DHBA</v>
      </c>
      <c r="C2607" s="42" t="str">
        <f>IFERROR(__xludf.DUMMYFUNCTION("""COMPUTED_VALUE"""),"medial oculomotor nucleus")</f>
        <v>medial oculomotor nucleus</v>
      </c>
      <c r="D2607" s="42">
        <f>IFERROR(__xludf.DUMMYFUNCTION("""COMPUTED_VALUE"""),2482.0)</f>
        <v>2482</v>
      </c>
      <c r="E2607" s="39" t="str">
        <f>IFERROR(__xludf.DUMMYFUNCTION("""COMPUTED_VALUE"""),"medial oculomotor nucleus")</f>
        <v>medial oculomotor nucleus</v>
      </c>
      <c r="F2607" s="9" t="str">
        <f>IFERROR(__xludf.DUMMYFUNCTION("""COMPUTED_VALUE"""),"Br")</f>
        <v>Br</v>
      </c>
      <c r="G2607" s="9" t="str">
        <f>IFERROR(__xludf.DUMMYFUNCTION("""COMPUTED_VALUE"""),"M")</f>
        <v>M</v>
      </c>
      <c r="H2607" s="9" t="str">
        <f>IFERROR(__xludf.DUMMYFUNCTION("""COMPUTED_VALUE"""),"MGM")</f>
        <v>MGM</v>
      </c>
      <c r="I2607" s="9" t="str">
        <f>IFERROR(__xludf.DUMMYFUNCTION("""COMPUTED_VALUE"""),"MTg")</f>
        <v>MTg</v>
      </c>
      <c r="J2607" s="9" t="str">
        <f>IFERROR(__xludf.DUMMYFUNCTION("""COMPUTED_VALUE"""),"MEN")</f>
        <v>MEN</v>
      </c>
      <c r="K2607" s="9" t="str">
        <f>IFERROR(__xludf.DUMMYFUNCTION("""COMPUTED_VALUE"""),"3N")</f>
        <v>3N</v>
      </c>
      <c r="L2607" s="9" t="str">
        <f>IFERROR(__xludf.DUMMYFUNCTION("""COMPUTED_VALUE"""),"3M")</f>
        <v>3M</v>
      </c>
      <c r="M2607" s="9"/>
      <c r="N2607" s="9"/>
      <c r="O2607" s="9"/>
      <c r="P2607" s="9"/>
      <c r="Q2607" s="9"/>
      <c r="R2607" s="9"/>
      <c r="S2607" s="42"/>
      <c r="T2607" s="42"/>
      <c r="U2607" s="42"/>
      <c r="V2607" s="42"/>
      <c r="W2607" s="42"/>
      <c r="X2607" s="42"/>
      <c r="Y2607" s="42"/>
      <c r="Z2607" s="42"/>
      <c r="AA2607" s="42"/>
      <c r="AB2607" s="42" t="str">
        <f>IFERROR(__xludf.DUMMYFUNCTION("""COMPUTED_VALUE"""),"allen institute")</f>
        <v>allen institute</v>
      </c>
      <c r="AC2607" s="42" t="str">
        <f>IFERROR(__xludf.DUMMYFUNCTION("""COMPUTED_VALUE"""),"DHBA")</f>
        <v>DHBA</v>
      </c>
      <c r="AD2607" s="42"/>
      <c r="AE2607" s="42"/>
      <c r="AF2607" s="9"/>
      <c r="AG2607" s="9"/>
      <c r="AH2607" s="42"/>
      <c r="AI2607" s="42"/>
      <c r="AJ2607" s="42"/>
      <c r="AK2607" s="42"/>
      <c r="AL2607" s="42"/>
      <c r="AM2607" s="42"/>
      <c r="AN2607" s="42"/>
      <c r="AO2607" s="63" t="str">
        <f>IFERROR(__xludf.DUMMYFUNCTION("IF(ISBLANK(A2607),,IF(ISBLANK(S2607), A2607&amp;"";"", TEXTJOIN(CHAR(10), TRUE, A2607&amp;"";"", ARRAYFORMULA(VLOOKUP(SPLIT(S2607, "";"" &amp; CHAR(10)), $A:$AO, 41, FALSE)))))"),"3M;")</f>
        <v>3M;</v>
      </c>
      <c r="AP2607" s="89"/>
    </row>
    <row r="2608">
      <c r="A2608" s="151" t="str">
        <f>IFERROR(__xludf.DUMMYFUNCTION("""COMPUTED_VALUE"""),"3Vn")</f>
        <v>3Vn</v>
      </c>
      <c r="B2608" s="42" t="str">
        <f>IFERROR(__xludf.DUMMYFUNCTION("""COMPUTED_VALUE"""),"DHBA")</f>
        <v>DHBA</v>
      </c>
      <c r="C2608" s="42" t="str">
        <f>IFERROR(__xludf.DUMMYFUNCTION("""COMPUTED_VALUE"""),"ventral oculomotor nucleus")</f>
        <v>ventral oculomotor nucleus</v>
      </c>
      <c r="D2608" s="42">
        <f>IFERROR(__xludf.DUMMYFUNCTION("""COMPUTED_VALUE"""),2483.0)</f>
        <v>2483</v>
      </c>
      <c r="E2608" s="39" t="str">
        <f>IFERROR(__xludf.DUMMYFUNCTION("""COMPUTED_VALUE"""),"ventral oculomotor nucleus")</f>
        <v>ventral oculomotor nucleus</v>
      </c>
      <c r="F2608" s="9" t="str">
        <f>IFERROR(__xludf.DUMMYFUNCTION("""COMPUTED_VALUE"""),"Br")</f>
        <v>Br</v>
      </c>
      <c r="G2608" s="9" t="str">
        <f>IFERROR(__xludf.DUMMYFUNCTION("""COMPUTED_VALUE"""),"M")</f>
        <v>M</v>
      </c>
      <c r="H2608" s="9" t="str">
        <f>IFERROR(__xludf.DUMMYFUNCTION("""COMPUTED_VALUE"""),"MGM")</f>
        <v>MGM</v>
      </c>
      <c r="I2608" s="9" t="str">
        <f>IFERROR(__xludf.DUMMYFUNCTION("""COMPUTED_VALUE"""),"MTg")</f>
        <v>MTg</v>
      </c>
      <c r="J2608" s="9" t="str">
        <f>IFERROR(__xludf.DUMMYFUNCTION("""COMPUTED_VALUE"""),"MEN")</f>
        <v>MEN</v>
      </c>
      <c r="K2608" s="9" t="str">
        <f>IFERROR(__xludf.DUMMYFUNCTION("""COMPUTED_VALUE"""),"3N")</f>
        <v>3N</v>
      </c>
      <c r="L2608" s="9" t="str">
        <f>IFERROR(__xludf.DUMMYFUNCTION("""COMPUTED_VALUE"""),"3Vn")</f>
        <v>3Vn</v>
      </c>
      <c r="M2608" s="9"/>
      <c r="N2608" s="9"/>
      <c r="O2608" s="9"/>
      <c r="P2608" s="9"/>
      <c r="Q2608" s="9"/>
      <c r="R2608" s="9"/>
      <c r="S2608" s="42"/>
      <c r="T2608" s="42"/>
      <c r="U2608" s="42"/>
      <c r="V2608" s="42"/>
      <c r="W2608" s="42"/>
      <c r="X2608" s="42"/>
      <c r="Y2608" s="42"/>
      <c r="Z2608" s="42"/>
      <c r="AA2608" s="42"/>
      <c r="AB2608" s="42" t="str">
        <f>IFERROR(__xludf.DUMMYFUNCTION("""COMPUTED_VALUE"""),"allen institute")</f>
        <v>allen institute</v>
      </c>
      <c r="AC2608" s="42" t="str">
        <f>IFERROR(__xludf.DUMMYFUNCTION("""COMPUTED_VALUE"""),"DHBA")</f>
        <v>DHBA</v>
      </c>
      <c r="AD2608" s="42"/>
      <c r="AE2608" s="42"/>
      <c r="AF2608" s="9"/>
      <c r="AG2608" s="9"/>
      <c r="AH2608" s="42"/>
      <c r="AI2608" s="42"/>
      <c r="AJ2608" s="42"/>
      <c r="AK2608" s="42"/>
      <c r="AL2608" s="42"/>
      <c r="AM2608" s="42"/>
      <c r="AN2608" s="42"/>
      <c r="AO2608" s="63" t="str">
        <f>IFERROR(__xludf.DUMMYFUNCTION("IF(ISBLANK(A2608),,IF(ISBLANK(S2608), A2608&amp;"";"", TEXTJOIN(CHAR(10), TRUE, A2608&amp;"";"", ARRAYFORMULA(VLOOKUP(SPLIT(S2608, "";"" &amp; CHAR(10)), $A:$AO, 41, FALSE)))))"),"3Vn;")</f>
        <v>3Vn;</v>
      </c>
      <c r="AP2608" s="89"/>
    </row>
    <row r="2609">
      <c r="A2609" s="151" t="str">
        <f>IFERROR(__xludf.DUMMYFUNCTION("""COMPUTED_VALUE"""),"4N")</f>
        <v>4N</v>
      </c>
      <c r="B2609" s="42" t="str">
        <f>IFERROR(__xludf.DUMMYFUNCTION("""COMPUTED_VALUE"""),"DHBA")</f>
        <v>DHBA</v>
      </c>
      <c r="C2609" s="42" t="str">
        <f>IFERROR(__xludf.DUMMYFUNCTION("""COMPUTED_VALUE"""),"trochlear nucleus")</f>
        <v>trochlear nucleus</v>
      </c>
      <c r="D2609" s="42">
        <f>IFERROR(__xludf.DUMMYFUNCTION("""COMPUTED_VALUE"""),2484.0)</f>
        <v>2484</v>
      </c>
      <c r="E2609" s="39" t="str">
        <f>IFERROR(__xludf.DUMMYFUNCTION("""COMPUTED_VALUE"""),"trochlear nucleus")</f>
        <v>trochlear nucleus</v>
      </c>
      <c r="F2609" s="9" t="str">
        <f>IFERROR(__xludf.DUMMYFUNCTION("""COMPUTED_VALUE"""),"Br")</f>
        <v>Br</v>
      </c>
      <c r="G2609" s="9" t="str">
        <f>IFERROR(__xludf.DUMMYFUNCTION("""COMPUTED_VALUE"""),"M")</f>
        <v>M</v>
      </c>
      <c r="H2609" s="9" t="str">
        <f>IFERROR(__xludf.DUMMYFUNCTION("""COMPUTED_VALUE"""),"MGM")</f>
        <v>MGM</v>
      </c>
      <c r="I2609" s="9" t="str">
        <f>IFERROR(__xludf.DUMMYFUNCTION("""COMPUTED_VALUE"""),"MTg")</f>
        <v>MTg</v>
      </c>
      <c r="J2609" s="9" t="str">
        <f>IFERROR(__xludf.DUMMYFUNCTION("""COMPUTED_VALUE"""),"MEN")</f>
        <v>MEN</v>
      </c>
      <c r="K2609" s="9" t="str">
        <f>IFERROR(__xludf.DUMMYFUNCTION("""COMPUTED_VALUE"""),"4N")</f>
        <v>4N</v>
      </c>
      <c r="L2609" s="9"/>
      <c r="M2609" s="9"/>
      <c r="N2609" s="9"/>
      <c r="O2609" s="9"/>
      <c r="P2609" s="9"/>
      <c r="Q2609" s="9"/>
      <c r="R2609" s="9"/>
      <c r="S2609" s="42"/>
      <c r="T2609" s="42"/>
      <c r="U2609" s="42" t="b">
        <f>IFERROR(__xludf.DUMMYFUNCTION("""COMPUTED_VALUE"""),TRUE)</f>
        <v>1</v>
      </c>
      <c r="V2609" s="42"/>
      <c r="W2609" s="42" t="str">
        <f>IFERROR(__xludf.DUMMYFUNCTION("""COMPUTED_VALUE"""),"Excitatory")</f>
        <v>Excitatory</v>
      </c>
      <c r="X2609" s="42"/>
      <c r="Y2609" s="42"/>
      <c r="Z2609" s="42"/>
      <c r="AA2609" s="42"/>
      <c r="AB2609" s="42" t="str">
        <f>IFERROR(__xludf.DUMMYFUNCTION("""COMPUTED_VALUE"""),"allen institute")</f>
        <v>allen institute</v>
      </c>
      <c r="AC2609" s="42" t="str">
        <f>IFERROR(__xludf.DUMMYFUNCTION("""COMPUTED_VALUE"""),"DHBA")</f>
        <v>DHBA</v>
      </c>
      <c r="AD2609" s="42"/>
      <c r="AE2609" s="42"/>
      <c r="AF2609" s="9"/>
      <c r="AG2609" s="9"/>
      <c r="AH2609" s="42"/>
      <c r="AI2609" s="42"/>
      <c r="AJ2609" s="42"/>
      <c r="AK2609" s="42"/>
      <c r="AL2609" s="42"/>
      <c r="AM2609" s="42"/>
      <c r="AN2609" s="42"/>
      <c r="AO2609" s="63" t="str">
        <f>IFERROR(__xludf.DUMMYFUNCTION("IF(ISBLANK(A2609),,IF(ISBLANK(S2609), A2609&amp;"";"", TEXTJOIN(CHAR(10), TRUE, A2609&amp;"";"", ARRAYFORMULA(VLOOKUP(SPLIT(S2609, "";"" &amp; CHAR(10)), $A:$AO, 41, FALSE)))))"),"4N;")</f>
        <v>4N;</v>
      </c>
      <c r="AP2609" s="89"/>
    </row>
    <row r="2610">
      <c r="A2610" s="151" t="str">
        <f>IFERROR(__xludf.DUMMYFUNCTION("""COMPUTED_VALUE"""),"S4N")</f>
        <v>S4N</v>
      </c>
      <c r="B2610" s="42" t="str">
        <f>IFERROR(__xludf.DUMMYFUNCTION("""COMPUTED_VALUE"""),"DHBA")</f>
        <v>DHBA</v>
      </c>
      <c r="C2610" s="42" t="str">
        <f>IFERROR(__xludf.DUMMYFUNCTION("""COMPUTED_VALUE"""),"supratrochlear nucleus")</f>
        <v>supratrochlear nucleus</v>
      </c>
      <c r="D2610" s="42">
        <f>IFERROR(__xludf.DUMMYFUNCTION("""COMPUTED_VALUE"""),2485.0)</f>
        <v>2485</v>
      </c>
      <c r="E2610" s="39" t="str">
        <f>IFERROR(__xludf.DUMMYFUNCTION("""COMPUTED_VALUE"""),"supratrochlear nucleus")</f>
        <v>supratrochlear nucleus</v>
      </c>
      <c r="F2610" s="9" t="str">
        <f>IFERROR(__xludf.DUMMYFUNCTION("""COMPUTED_VALUE"""),"Br")</f>
        <v>Br</v>
      </c>
      <c r="G2610" s="9" t="str">
        <f>IFERROR(__xludf.DUMMYFUNCTION("""COMPUTED_VALUE"""),"M")</f>
        <v>M</v>
      </c>
      <c r="H2610" s="9" t="str">
        <f>IFERROR(__xludf.DUMMYFUNCTION("""COMPUTED_VALUE"""),"MGM")</f>
        <v>MGM</v>
      </c>
      <c r="I2610" s="9" t="str">
        <f>IFERROR(__xludf.DUMMYFUNCTION("""COMPUTED_VALUE"""),"MTg")</f>
        <v>MTg</v>
      </c>
      <c r="J2610" s="9" t="str">
        <f>IFERROR(__xludf.DUMMYFUNCTION("""COMPUTED_VALUE"""),"MEN")</f>
        <v>MEN</v>
      </c>
      <c r="K2610" s="9" t="str">
        <f>IFERROR(__xludf.DUMMYFUNCTION("""COMPUTED_VALUE"""),"S4N")</f>
        <v>S4N</v>
      </c>
      <c r="L2610" s="9"/>
      <c r="M2610" s="9"/>
      <c r="N2610" s="9"/>
      <c r="O2610" s="9"/>
      <c r="P2610" s="9"/>
      <c r="Q2610" s="9"/>
      <c r="R2610" s="9"/>
      <c r="S2610" s="42"/>
      <c r="T2610" s="42"/>
      <c r="U2610" s="42"/>
      <c r="V2610" s="42"/>
      <c r="W2610" s="42"/>
      <c r="X2610" s="42"/>
      <c r="Y2610" s="42"/>
      <c r="Z2610" s="42"/>
      <c r="AA2610" s="42"/>
      <c r="AB2610" s="42" t="str">
        <f>IFERROR(__xludf.DUMMYFUNCTION("""COMPUTED_VALUE"""),"allen institute")</f>
        <v>allen institute</v>
      </c>
      <c r="AC2610" s="42" t="str">
        <f>IFERROR(__xludf.DUMMYFUNCTION("""COMPUTED_VALUE"""),"DHBA")</f>
        <v>DHBA</v>
      </c>
      <c r="AD2610" s="42"/>
      <c r="AE2610" s="42"/>
      <c r="AF2610" s="9"/>
      <c r="AG2610" s="9"/>
      <c r="AH2610" s="42"/>
      <c r="AI2610" s="42"/>
      <c r="AJ2610" s="42"/>
      <c r="AK2610" s="42"/>
      <c r="AL2610" s="42"/>
      <c r="AM2610" s="42"/>
      <c r="AN2610" s="42"/>
      <c r="AO2610" s="63" t="str">
        <f>IFERROR(__xludf.DUMMYFUNCTION("IF(ISBLANK(A2610),,IF(ISBLANK(S2610), A2610&amp;"";"", TEXTJOIN(CHAR(10), TRUE, A2610&amp;"";"", ARRAYFORMULA(VLOOKUP(SPLIT(S2610, "";"" &amp; CHAR(10)), $A:$AO, 41, FALSE)))))"),"S4N;")</f>
        <v>S4N;</v>
      </c>
      <c r="AP2610" s="89"/>
    </row>
    <row r="2611">
      <c r="A2611" s="151" t="str">
        <f>IFERROR(__xludf.DUMMYFUNCTION("""COMPUTED_VALUE"""),"MAN")</f>
        <v>MAN</v>
      </c>
      <c r="B2611" s="42" t="str">
        <f>IFERROR(__xludf.DUMMYFUNCTION("""COMPUTED_VALUE"""),"DHBA")</f>
        <v>DHBA</v>
      </c>
      <c r="C2611" s="42" t="str">
        <f>IFERROR(__xludf.DUMMYFUNCTION("""COMPUTED_VALUE"""),"afferent nuclei of the cranial nerves in midbrain")</f>
        <v>afferent nuclei of the cranial nerves in midbrain</v>
      </c>
      <c r="D2611" s="42">
        <f>IFERROR(__xludf.DUMMYFUNCTION("""COMPUTED_VALUE"""),2486.0)</f>
        <v>2486</v>
      </c>
      <c r="E2611" s="39" t="str">
        <f>IFERROR(__xludf.DUMMYFUNCTION("""COMPUTED_VALUE"""),"afferent nuclei of the cranial nerves in midbrain")</f>
        <v>afferent nuclei of the cranial nerves in midbrain</v>
      </c>
      <c r="F2611" s="9" t="str">
        <f>IFERROR(__xludf.DUMMYFUNCTION("""COMPUTED_VALUE"""),"Br")</f>
        <v>Br</v>
      </c>
      <c r="G2611" s="9" t="str">
        <f>IFERROR(__xludf.DUMMYFUNCTION("""COMPUTED_VALUE"""),"M")</f>
        <v>M</v>
      </c>
      <c r="H2611" s="9" t="str">
        <f>IFERROR(__xludf.DUMMYFUNCTION("""COMPUTED_VALUE"""),"MGM")</f>
        <v>MGM</v>
      </c>
      <c r="I2611" s="9" t="str">
        <f>IFERROR(__xludf.DUMMYFUNCTION("""COMPUTED_VALUE"""),"MTg")</f>
        <v>MTg</v>
      </c>
      <c r="J2611" s="9" t="str">
        <f>IFERROR(__xludf.DUMMYFUNCTION("""COMPUTED_VALUE"""),"MAN")</f>
        <v>MAN</v>
      </c>
      <c r="K2611" s="9"/>
      <c r="L2611" s="9"/>
      <c r="M2611" s="9"/>
      <c r="N2611" s="9"/>
      <c r="O2611" s="9"/>
      <c r="P2611" s="9"/>
      <c r="Q2611" s="9"/>
      <c r="R2611" s="9"/>
      <c r="S2611" s="42" t="str">
        <f>IFERROR(__xludf.DUMMYFUNCTION("""COMPUTED_VALUE"""),"Me5")</f>
        <v>Me5</v>
      </c>
      <c r="T2611" s="42"/>
      <c r="U2611" s="42" t="b">
        <f>IFERROR(__xludf.DUMMYFUNCTION("""COMPUTED_VALUE"""),FALSE)</f>
        <v>0</v>
      </c>
      <c r="V2611" s="42"/>
      <c r="W2611" s="42"/>
      <c r="X2611" s="42"/>
      <c r="Y2611" s="42"/>
      <c r="Z2611" s="42"/>
      <c r="AA2611" s="42"/>
      <c r="AB2611" s="42" t="str">
        <f>IFERROR(__xludf.DUMMYFUNCTION("""COMPUTED_VALUE"""),"allen institute")</f>
        <v>allen institute</v>
      </c>
      <c r="AC2611" s="42" t="str">
        <f>IFERROR(__xludf.DUMMYFUNCTION("""COMPUTED_VALUE"""),"DHBA")</f>
        <v>DHBA</v>
      </c>
      <c r="AD2611" s="42"/>
      <c r="AE2611" s="42"/>
      <c r="AF2611" s="9"/>
      <c r="AG2611" s="9"/>
      <c r="AH2611" s="42"/>
      <c r="AI2611" s="42"/>
      <c r="AJ2611" s="42"/>
      <c r="AK2611" s="42"/>
      <c r="AL2611" s="42"/>
      <c r="AM2611" s="42"/>
      <c r="AN2611" s="42"/>
      <c r="AO2611" s="63" t="str">
        <f>IFERROR(__xludf.DUMMYFUNCTION("IF(ISBLANK(A2611),,IF(ISBLANK(S2611), A2611&amp;"";"", TEXTJOIN(CHAR(10), TRUE, A2611&amp;"";"", ARRAYFORMULA(VLOOKUP(SPLIT(S2611, "";"" &amp; CHAR(10)), $A:$AO, 41, FALSE)))))"),"MAN;
Me5;")</f>
        <v>MAN;
Me5;</v>
      </c>
      <c r="AP2611" s="89"/>
    </row>
    <row r="2612">
      <c r="A2612" s="151" t="str">
        <f>IFERROR(__xludf.DUMMYFUNCTION("""COMPUTED_VALUE"""),"Me5")</f>
        <v>Me5</v>
      </c>
      <c r="B2612" s="42" t="str">
        <f>IFERROR(__xludf.DUMMYFUNCTION("""COMPUTED_VALUE"""),"DHBA")</f>
        <v>DHBA</v>
      </c>
      <c r="C2612" s="42" t="str">
        <f>IFERROR(__xludf.DUMMYFUNCTION("""COMPUTED_VALUE"""),"mesencephalic trigeminal nucleus")</f>
        <v>mesencephalic trigeminal nucleus</v>
      </c>
      <c r="D2612" s="42">
        <f>IFERROR(__xludf.DUMMYFUNCTION("""COMPUTED_VALUE"""),2487.0)</f>
        <v>2487</v>
      </c>
      <c r="E2612" s="39" t="str">
        <f>IFERROR(__xludf.DUMMYFUNCTION("""COMPUTED_VALUE"""),"mesencephalic trigeminal nucleus")</f>
        <v>mesencephalic trigeminal nucleus</v>
      </c>
      <c r="F2612" s="9" t="str">
        <f>IFERROR(__xludf.DUMMYFUNCTION("""COMPUTED_VALUE"""),"Br")</f>
        <v>Br</v>
      </c>
      <c r="G2612" s="9" t="str">
        <f>IFERROR(__xludf.DUMMYFUNCTION("""COMPUTED_VALUE"""),"M")</f>
        <v>M</v>
      </c>
      <c r="H2612" s="9" t="str">
        <f>IFERROR(__xludf.DUMMYFUNCTION("""COMPUTED_VALUE"""),"MGM")</f>
        <v>MGM</v>
      </c>
      <c r="I2612" s="9" t="str">
        <f>IFERROR(__xludf.DUMMYFUNCTION("""COMPUTED_VALUE"""),"MTg")</f>
        <v>MTg</v>
      </c>
      <c r="J2612" s="9" t="str">
        <f>IFERROR(__xludf.DUMMYFUNCTION("""COMPUTED_VALUE"""),"MAN")</f>
        <v>MAN</v>
      </c>
      <c r="K2612" s="9" t="str">
        <f>IFERROR(__xludf.DUMMYFUNCTION("""COMPUTED_VALUE"""),"Me5")</f>
        <v>Me5</v>
      </c>
      <c r="L2612" s="9"/>
      <c r="M2612" s="9"/>
      <c r="N2612" s="9"/>
      <c r="O2612" s="9"/>
      <c r="P2612" s="9"/>
      <c r="Q2612" s="9"/>
      <c r="R2612" s="9"/>
      <c r="S2612" s="42"/>
      <c r="T2612" s="42"/>
      <c r="U2612" s="42"/>
      <c r="V2612" s="42"/>
      <c r="W2612" s="42"/>
      <c r="X2612" s="42"/>
      <c r="Y2612" s="42"/>
      <c r="Z2612" s="42"/>
      <c r="AA2612" s="42"/>
      <c r="AB2612" s="42" t="str">
        <f>IFERROR(__xludf.DUMMYFUNCTION("""COMPUTED_VALUE"""),"allen institute")</f>
        <v>allen institute</v>
      </c>
      <c r="AC2612" s="42" t="str">
        <f>IFERROR(__xludf.DUMMYFUNCTION("""COMPUTED_VALUE"""),"DHBA")</f>
        <v>DHBA</v>
      </c>
      <c r="AD2612" s="42"/>
      <c r="AE2612" s="42"/>
      <c r="AF2612" s="9"/>
      <c r="AG2612" s="9"/>
      <c r="AH2612" s="42"/>
      <c r="AI2612" s="42"/>
      <c r="AJ2612" s="42"/>
      <c r="AK2612" s="42"/>
      <c r="AL2612" s="42"/>
      <c r="AM2612" s="42"/>
      <c r="AN2612" s="42"/>
      <c r="AO2612" s="63" t="str">
        <f>IFERROR(__xludf.DUMMYFUNCTION("IF(ISBLANK(A2612),,IF(ISBLANK(S2612), A2612&amp;"";"", TEXTJOIN(CHAR(10), TRUE, A2612&amp;"";"", ARRAYFORMULA(VLOOKUP(SPLIT(S2612, "";"" &amp; CHAR(10)), $A:$AO, 41, FALSE)))))"),"Me5;")</f>
        <v>Me5;</v>
      </c>
      <c r="AP2612" s="89"/>
    </row>
    <row r="2613">
      <c r="A2613" s="151" t="str">
        <f>IFERROR(__xludf.DUMMYFUNCTION("""COMPUTED_VALUE"""),"PAG")</f>
        <v>PAG</v>
      </c>
      <c r="B2613" s="42" t="str">
        <f>IFERROR(__xludf.DUMMYFUNCTION("""COMPUTED_VALUE"""),"DHBA")</f>
        <v>DHBA</v>
      </c>
      <c r="C2613" s="42" t="str">
        <f>IFERROR(__xludf.DUMMYFUNCTION("""COMPUTED_VALUE"""),"periaqueductal gray substance, Periaqueductal grey")</f>
        <v>periaqueductal gray substance, Periaqueductal grey</v>
      </c>
      <c r="D2613" s="42">
        <f>IFERROR(__xludf.DUMMYFUNCTION("""COMPUTED_VALUE"""),2488.0)</f>
        <v>2488</v>
      </c>
      <c r="E2613" s="39" t="str">
        <f>IFERROR(__xludf.DUMMYFUNCTION("""COMPUTED_VALUE"""),"periaqueductal gray substance")</f>
        <v>periaqueductal gray substance</v>
      </c>
      <c r="F2613" s="9" t="str">
        <f>IFERROR(__xludf.DUMMYFUNCTION("""COMPUTED_VALUE"""),"Br")</f>
        <v>Br</v>
      </c>
      <c r="G2613" s="9" t="str">
        <f>IFERROR(__xludf.DUMMYFUNCTION("""COMPUTED_VALUE"""),"M")</f>
        <v>M</v>
      </c>
      <c r="H2613" s="9" t="str">
        <f>IFERROR(__xludf.DUMMYFUNCTION("""COMPUTED_VALUE"""),"MGM")</f>
        <v>MGM</v>
      </c>
      <c r="I2613" s="9" t="str">
        <f>IFERROR(__xludf.DUMMYFUNCTION("""COMPUTED_VALUE"""),"MTg")</f>
        <v>MTg</v>
      </c>
      <c r="J2613" s="9" t="str">
        <f>IFERROR(__xludf.DUMMYFUNCTION("""COMPUTED_VALUE"""),"PAG")</f>
        <v>PAG</v>
      </c>
      <c r="K2613" s="9"/>
      <c r="L2613" s="9"/>
      <c r="M2613" s="9"/>
      <c r="N2613" s="9"/>
      <c r="O2613" s="9"/>
      <c r="P2613" s="9"/>
      <c r="Q2613" s="9"/>
      <c r="R2613" s="9"/>
      <c r="S2613" s="42" t="str">
        <f>IFERROR(__xludf.DUMMYFUNCTION("""COMPUTED_VALUE"""),"PAGD;
PAGV")</f>
        <v>PAGD;
PAGV</v>
      </c>
      <c r="T2613" s="42"/>
      <c r="U2613" s="42" t="b">
        <f>IFERROR(__xludf.DUMMYFUNCTION("""COMPUTED_VALUE"""),FALSE)</f>
        <v>0</v>
      </c>
      <c r="V2613" s="42"/>
      <c r="W2613" s="42"/>
      <c r="X2613" s="42"/>
      <c r="Y2613" s="42"/>
      <c r="Z2613" s="42"/>
      <c r="AA2613" s="42"/>
      <c r="AB2613" s="42" t="str">
        <f>IFERROR(__xludf.DUMMYFUNCTION("""COMPUTED_VALUE"""),"allen institute")</f>
        <v>allen institute</v>
      </c>
      <c r="AC2613" s="42" t="str">
        <f>IFERROR(__xludf.DUMMYFUNCTION("""COMPUTED_VALUE"""),"DHBA")</f>
        <v>DHBA</v>
      </c>
      <c r="AD2613" s="42"/>
      <c r="AE2613" s="42"/>
      <c r="AF2613" s="9"/>
      <c r="AG2613" s="9"/>
      <c r="AH2613" s="42"/>
      <c r="AI2613" s="42"/>
      <c r="AJ2613" s="42"/>
      <c r="AK2613" s="42"/>
      <c r="AL2613" s="42"/>
      <c r="AM2613" s="42"/>
      <c r="AN2613" s="42"/>
      <c r="AO2613" s="63" t="str">
        <f>IFERROR(__xludf.DUMMYFUNCTION("IF(ISBLANK(A2613),,IF(ISBLANK(S2613), A2613&amp;"";"", TEXTJOIN(CHAR(10), TRUE, A2613&amp;"";"", ARRAYFORMULA(VLOOKUP(SPLIT(S2613, "";"" &amp; CHAR(10)), $A:$AO, 41, FALSE)))))"),"PAG;
PAGD;
PAGdm;
PAGdl;
PAGl;
PAGvl;
PAGpl;
PAGV;
DRc;
Dk;
PC3;
Su3C;
Su3;")</f>
        <v>PAG;
PAGD;
PAGdm;
PAGdl;
PAGl;
PAGvl;
PAGpl;
PAGV;
DRc;
Dk;
PC3;
Su3C;
Su3;</v>
      </c>
      <c r="AP2613" s="89"/>
    </row>
    <row r="2614">
      <c r="A2614" s="151" t="str">
        <f>IFERROR(__xludf.DUMMYFUNCTION("""COMPUTED_VALUE"""),"PAGD")</f>
        <v>PAGD</v>
      </c>
      <c r="B2614" s="42" t="str">
        <f>IFERROR(__xludf.DUMMYFUNCTION("""COMPUTED_VALUE"""),"DHBA")</f>
        <v>DHBA</v>
      </c>
      <c r="C2614" s="42" t="str">
        <f>IFERROR(__xludf.DUMMYFUNCTION("""COMPUTED_VALUE"""),"periaqueductal gray substance, dorsolateral portion")</f>
        <v>periaqueductal gray substance, dorsolateral portion</v>
      </c>
      <c r="D2614" s="42">
        <f>IFERROR(__xludf.DUMMYFUNCTION("""COMPUTED_VALUE"""),2489.0)</f>
        <v>2489</v>
      </c>
      <c r="E2614" s="39" t="str">
        <f>IFERROR(__xludf.DUMMYFUNCTION("""COMPUTED_VALUE"""),"periaqueductal gray substance, dorsolateral portion")</f>
        <v>periaqueductal gray substance, dorsolateral portion</v>
      </c>
      <c r="F2614" s="9" t="str">
        <f>IFERROR(__xludf.DUMMYFUNCTION("""COMPUTED_VALUE"""),"Br")</f>
        <v>Br</v>
      </c>
      <c r="G2614" s="9" t="str">
        <f>IFERROR(__xludf.DUMMYFUNCTION("""COMPUTED_VALUE"""),"M")</f>
        <v>M</v>
      </c>
      <c r="H2614" s="9" t="str">
        <f>IFERROR(__xludf.DUMMYFUNCTION("""COMPUTED_VALUE"""),"MGM")</f>
        <v>MGM</v>
      </c>
      <c r="I2614" s="9" t="str">
        <f>IFERROR(__xludf.DUMMYFUNCTION("""COMPUTED_VALUE"""),"MTg")</f>
        <v>MTg</v>
      </c>
      <c r="J2614" s="9" t="str">
        <f>IFERROR(__xludf.DUMMYFUNCTION("""COMPUTED_VALUE"""),"PAG")</f>
        <v>PAG</v>
      </c>
      <c r="K2614" s="9" t="str">
        <f>IFERROR(__xludf.DUMMYFUNCTION("""COMPUTED_VALUE"""),"PAGD")</f>
        <v>PAGD</v>
      </c>
      <c r="L2614" s="9"/>
      <c r="M2614" s="9"/>
      <c r="N2614" s="9"/>
      <c r="O2614" s="9"/>
      <c r="P2614" s="9"/>
      <c r="Q2614" s="9"/>
      <c r="R2614" s="9"/>
      <c r="S2614" s="42" t="str">
        <f>IFERROR(__xludf.DUMMYFUNCTION("""COMPUTED_VALUE"""),"PAGdm;
PAGdl;
PAGl;
PAGvl;
PAGpl")</f>
        <v>PAGdm;
PAGdl;
PAGl;
PAGvl;
PAGpl</v>
      </c>
      <c r="T2614" s="42"/>
      <c r="U2614" s="42" t="b">
        <f>IFERROR(__xludf.DUMMYFUNCTION("""COMPUTED_VALUE"""),FALSE)</f>
        <v>0</v>
      </c>
      <c r="V2614" s="42"/>
      <c r="W2614" s="42"/>
      <c r="X2614" s="42"/>
      <c r="Y2614" s="42"/>
      <c r="Z2614" s="42"/>
      <c r="AA2614" s="42"/>
      <c r="AB2614" s="42" t="str">
        <f>IFERROR(__xludf.DUMMYFUNCTION("""COMPUTED_VALUE"""),"allen institute")</f>
        <v>allen institute</v>
      </c>
      <c r="AC2614" s="42" t="str">
        <f>IFERROR(__xludf.DUMMYFUNCTION("""COMPUTED_VALUE"""),"DHBA")</f>
        <v>DHBA</v>
      </c>
      <c r="AD2614" s="42"/>
      <c r="AE2614" s="42"/>
      <c r="AF2614" s="9"/>
      <c r="AG2614" s="9"/>
      <c r="AH2614" s="42"/>
      <c r="AI2614" s="42"/>
      <c r="AJ2614" s="42"/>
      <c r="AK2614" s="42"/>
      <c r="AL2614" s="42"/>
      <c r="AM2614" s="42"/>
      <c r="AN2614" s="42"/>
      <c r="AO2614" s="63" t="str">
        <f>IFERROR(__xludf.DUMMYFUNCTION("IF(ISBLANK(A2614),,IF(ISBLANK(S2614), A2614&amp;"";"", TEXTJOIN(CHAR(10), TRUE, A2614&amp;"";"", ARRAYFORMULA(VLOOKUP(SPLIT(S2614, "";"" &amp; CHAR(10)), $A:$AO, 41, FALSE)))))"),"PAGD;
PAGdm;
PAGdl;
PAGl;
PAGvl;
PAGpl;")</f>
        <v>PAGD;
PAGdm;
PAGdl;
PAGl;
PAGvl;
PAGpl;</v>
      </c>
      <c r="AP2614" s="89"/>
    </row>
    <row r="2615">
      <c r="A2615" s="151" t="str">
        <f>IFERROR(__xludf.DUMMYFUNCTION("""COMPUTED_VALUE"""),"PAGdm")</f>
        <v>PAGdm</v>
      </c>
      <c r="B2615" s="42" t="str">
        <f>IFERROR(__xludf.DUMMYFUNCTION("""COMPUTED_VALUE"""),"DHBA")</f>
        <v>DHBA</v>
      </c>
      <c r="C2615" s="42" t="str">
        <f>IFERROR(__xludf.DUMMYFUNCTION("""COMPUTED_VALUE"""),"periaqueductal gray substance,dorsomedial division")</f>
        <v>periaqueductal gray substance,dorsomedial division</v>
      </c>
      <c r="D2615" s="42">
        <f>IFERROR(__xludf.DUMMYFUNCTION("""COMPUTED_VALUE"""),2490.0)</f>
        <v>2490</v>
      </c>
      <c r="E2615" s="39" t="str">
        <f>IFERROR(__xludf.DUMMYFUNCTION("""COMPUTED_VALUE"""),"periaqueductal gray substance,dorsomedial division")</f>
        <v>periaqueductal gray substance,dorsomedial division</v>
      </c>
      <c r="F2615" s="9" t="str">
        <f>IFERROR(__xludf.DUMMYFUNCTION("""COMPUTED_VALUE"""),"Br")</f>
        <v>Br</v>
      </c>
      <c r="G2615" s="9" t="str">
        <f>IFERROR(__xludf.DUMMYFUNCTION("""COMPUTED_VALUE"""),"M")</f>
        <v>M</v>
      </c>
      <c r="H2615" s="9" t="str">
        <f>IFERROR(__xludf.DUMMYFUNCTION("""COMPUTED_VALUE"""),"MGM")</f>
        <v>MGM</v>
      </c>
      <c r="I2615" s="9" t="str">
        <f>IFERROR(__xludf.DUMMYFUNCTION("""COMPUTED_VALUE"""),"MTg")</f>
        <v>MTg</v>
      </c>
      <c r="J2615" s="9" t="str">
        <f>IFERROR(__xludf.DUMMYFUNCTION("""COMPUTED_VALUE"""),"PAG")</f>
        <v>PAG</v>
      </c>
      <c r="K2615" s="9" t="str">
        <f>IFERROR(__xludf.DUMMYFUNCTION("""COMPUTED_VALUE"""),"PAGD")</f>
        <v>PAGD</v>
      </c>
      <c r="L2615" s="9" t="str">
        <f>IFERROR(__xludf.DUMMYFUNCTION("""COMPUTED_VALUE"""),"PAGdm")</f>
        <v>PAGdm</v>
      </c>
      <c r="M2615" s="9"/>
      <c r="N2615" s="9"/>
      <c r="O2615" s="9"/>
      <c r="P2615" s="9"/>
      <c r="Q2615" s="9"/>
      <c r="R2615" s="9"/>
      <c r="S2615" s="42"/>
      <c r="T2615" s="42"/>
      <c r="U2615" s="42"/>
      <c r="V2615" s="42"/>
      <c r="W2615" s="42"/>
      <c r="X2615" s="42"/>
      <c r="Y2615" s="42"/>
      <c r="Z2615" s="42"/>
      <c r="AA2615" s="42"/>
      <c r="AB2615" s="42" t="str">
        <f>IFERROR(__xludf.DUMMYFUNCTION("""COMPUTED_VALUE"""),"allen institute")</f>
        <v>allen institute</v>
      </c>
      <c r="AC2615" s="42" t="str">
        <f>IFERROR(__xludf.DUMMYFUNCTION("""COMPUTED_VALUE"""),"DHBA")</f>
        <v>DHBA</v>
      </c>
      <c r="AD2615" s="42"/>
      <c r="AE2615" s="42"/>
      <c r="AF2615" s="9"/>
      <c r="AG2615" s="9"/>
      <c r="AH2615" s="42"/>
      <c r="AI2615" s="42"/>
      <c r="AJ2615" s="42"/>
      <c r="AK2615" s="42"/>
      <c r="AL2615" s="42"/>
      <c r="AM2615" s="42"/>
      <c r="AN2615" s="42"/>
      <c r="AO2615" s="63" t="str">
        <f>IFERROR(__xludf.DUMMYFUNCTION("IF(ISBLANK(A2615),,IF(ISBLANK(S2615), A2615&amp;"";"", TEXTJOIN(CHAR(10), TRUE, A2615&amp;"";"", ARRAYFORMULA(VLOOKUP(SPLIT(S2615, "";"" &amp; CHAR(10)), $A:$AO, 41, FALSE)))))"),"PAGdm;")</f>
        <v>PAGdm;</v>
      </c>
      <c r="AP2615" s="89"/>
    </row>
    <row r="2616">
      <c r="A2616" s="151" t="str">
        <f>IFERROR(__xludf.DUMMYFUNCTION("""COMPUTED_VALUE"""),"PAGdl")</f>
        <v>PAGdl</v>
      </c>
      <c r="B2616" s="42" t="str">
        <f>IFERROR(__xludf.DUMMYFUNCTION("""COMPUTED_VALUE"""),"DHBA")</f>
        <v>DHBA</v>
      </c>
      <c r="C2616" s="42" t="str">
        <f>IFERROR(__xludf.DUMMYFUNCTION("""COMPUTED_VALUE"""),"periaqueductal gray substance, dorsolateral division")</f>
        <v>periaqueductal gray substance, dorsolateral division</v>
      </c>
      <c r="D2616" s="42">
        <f>IFERROR(__xludf.DUMMYFUNCTION("""COMPUTED_VALUE"""),2491.0)</f>
        <v>2491</v>
      </c>
      <c r="E2616" s="39" t="str">
        <f>IFERROR(__xludf.DUMMYFUNCTION("""COMPUTED_VALUE"""),"periaqueductal gray substance, dorsolateral division")</f>
        <v>periaqueductal gray substance, dorsolateral division</v>
      </c>
      <c r="F2616" s="9" t="str">
        <f>IFERROR(__xludf.DUMMYFUNCTION("""COMPUTED_VALUE"""),"Br")</f>
        <v>Br</v>
      </c>
      <c r="G2616" s="9" t="str">
        <f>IFERROR(__xludf.DUMMYFUNCTION("""COMPUTED_VALUE"""),"M")</f>
        <v>M</v>
      </c>
      <c r="H2616" s="9" t="str">
        <f>IFERROR(__xludf.DUMMYFUNCTION("""COMPUTED_VALUE"""),"MGM")</f>
        <v>MGM</v>
      </c>
      <c r="I2616" s="9" t="str">
        <f>IFERROR(__xludf.DUMMYFUNCTION("""COMPUTED_VALUE"""),"MTg")</f>
        <v>MTg</v>
      </c>
      <c r="J2616" s="9" t="str">
        <f>IFERROR(__xludf.DUMMYFUNCTION("""COMPUTED_VALUE"""),"PAG")</f>
        <v>PAG</v>
      </c>
      <c r="K2616" s="9" t="str">
        <f>IFERROR(__xludf.DUMMYFUNCTION("""COMPUTED_VALUE"""),"PAGD")</f>
        <v>PAGD</v>
      </c>
      <c r="L2616" s="9" t="str">
        <f>IFERROR(__xludf.DUMMYFUNCTION("""COMPUTED_VALUE"""),"PAGdl")</f>
        <v>PAGdl</v>
      </c>
      <c r="M2616" s="9"/>
      <c r="N2616" s="9"/>
      <c r="O2616" s="9"/>
      <c r="P2616" s="9"/>
      <c r="Q2616" s="9"/>
      <c r="R2616" s="9"/>
      <c r="S2616" s="42"/>
      <c r="T2616" s="42"/>
      <c r="U2616" s="42"/>
      <c r="V2616" s="42"/>
      <c r="W2616" s="42"/>
      <c r="X2616" s="42"/>
      <c r="Y2616" s="42"/>
      <c r="Z2616" s="42"/>
      <c r="AA2616" s="42"/>
      <c r="AB2616" s="42" t="str">
        <f>IFERROR(__xludf.DUMMYFUNCTION("""COMPUTED_VALUE"""),"allen institute")</f>
        <v>allen institute</v>
      </c>
      <c r="AC2616" s="42" t="str">
        <f>IFERROR(__xludf.DUMMYFUNCTION("""COMPUTED_VALUE"""),"DHBA")</f>
        <v>DHBA</v>
      </c>
      <c r="AD2616" s="42"/>
      <c r="AE2616" s="42"/>
      <c r="AF2616" s="9"/>
      <c r="AG2616" s="9"/>
      <c r="AH2616" s="42"/>
      <c r="AI2616" s="42"/>
      <c r="AJ2616" s="42"/>
      <c r="AK2616" s="42"/>
      <c r="AL2616" s="42"/>
      <c r="AM2616" s="42"/>
      <c r="AN2616" s="42"/>
      <c r="AO2616" s="63" t="str">
        <f>IFERROR(__xludf.DUMMYFUNCTION("IF(ISBLANK(A2616),,IF(ISBLANK(S2616), A2616&amp;"";"", TEXTJOIN(CHAR(10), TRUE, A2616&amp;"";"", ARRAYFORMULA(VLOOKUP(SPLIT(S2616, "";"" &amp; CHAR(10)), $A:$AO, 41, FALSE)))))"),"PAGdl;")</f>
        <v>PAGdl;</v>
      </c>
      <c r="AP2616" s="89"/>
    </row>
    <row r="2617">
      <c r="A2617" s="151" t="str">
        <f>IFERROR(__xludf.DUMMYFUNCTION("""COMPUTED_VALUE"""),"PAGl")</f>
        <v>PAGl</v>
      </c>
      <c r="B2617" s="42" t="str">
        <f>IFERROR(__xludf.DUMMYFUNCTION("""COMPUTED_VALUE"""),"DHBA")</f>
        <v>DHBA</v>
      </c>
      <c r="C2617" s="42" t="str">
        <f>IFERROR(__xludf.DUMMYFUNCTION("""COMPUTED_VALUE"""),"periaqueductal gray substance, lateral division")</f>
        <v>periaqueductal gray substance, lateral division</v>
      </c>
      <c r="D2617" s="42">
        <f>IFERROR(__xludf.DUMMYFUNCTION("""COMPUTED_VALUE"""),2492.0)</f>
        <v>2492</v>
      </c>
      <c r="E2617" s="39" t="str">
        <f>IFERROR(__xludf.DUMMYFUNCTION("""COMPUTED_VALUE"""),"periaqueductal gray substance, lateral division")</f>
        <v>periaqueductal gray substance, lateral division</v>
      </c>
      <c r="F2617" s="9" t="str">
        <f>IFERROR(__xludf.DUMMYFUNCTION("""COMPUTED_VALUE"""),"Br")</f>
        <v>Br</v>
      </c>
      <c r="G2617" s="9" t="str">
        <f>IFERROR(__xludf.DUMMYFUNCTION("""COMPUTED_VALUE"""),"M")</f>
        <v>M</v>
      </c>
      <c r="H2617" s="9" t="str">
        <f>IFERROR(__xludf.DUMMYFUNCTION("""COMPUTED_VALUE"""),"MGM")</f>
        <v>MGM</v>
      </c>
      <c r="I2617" s="9" t="str">
        <f>IFERROR(__xludf.DUMMYFUNCTION("""COMPUTED_VALUE"""),"MTg")</f>
        <v>MTg</v>
      </c>
      <c r="J2617" s="9" t="str">
        <f>IFERROR(__xludf.DUMMYFUNCTION("""COMPUTED_VALUE"""),"PAG")</f>
        <v>PAG</v>
      </c>
      <c r="K2617" s="9" t="str">
        <f>IFERROR(__xludf.DUMMYFUNCTION("""COMPUTED_VALUE"""),"PAGD")</f>
        <v>PAGD</v>
      </c>
      <c r="L2617" s="9" t="str">
        <f>IFERROR(__xludf.DUMMYFUNCTION("""COMPUTED_VALUE"""),"PAGl")</f>
        <v>PAGl</v>
      </c>
      <c r="M2617" s="9"/>
      <c r="N2617" s="9"/>
      <c r="O2617" s="9"/>
      <c r="P2617" s="9"/>
      <c r="Q2617" s="9"/>
      <c r="R2617" s="9"/>
      <c r="S2617" s="42"/>
      <c r="T2617" s="42"/>
      <c r="U2617" s="42"/>
      <c r="V2617" s="42"/>
      <c r="W2617" s="42"/>
      <c r="X2617" s="42"/>
      <c r="Y2617" s="42"/>
      <c r="Z2617" s="42"/>
      <c r="AA2617" s="42"/>
      <c r="AB2617" s="42" t="str">
        <f>IFERROR(__xludf.DUMMYFUNCTION("""COMPUTED_VALUE"""),"allen institute")</f>
        <v>allen institute</v>
      </c>
      <c r="AC2617" s="42" t="str">
        <f>IFERROR(__xludf.DUMMYFUNCTION("""COMPUTED_VALUE"""),"DHBA")</f>
        <v>DHBA</v>
      </c>
      <c r="AD2617" s="42"/>
      <c r="AE2617" s="42"/>
      <c r="AF2617" s="9"/>
      <c r="AG2617" s="9"/>
      <c r="AH2617" s="42"/>
      <c r="AI2617" s="42"/>
      <c r="AJ2617" s="42"/>
      <c r="AK2617" s="42"/>
      <c r="AL2617" s="42"/>
      <c r="AM2617" s="42"/>
      <c r="AN2617" s="42"/>
      <c r="AO2617" s="63" t="str">
        <f>IFERROR(__xludf.DUMMYFUNCTION("IF(ISBLANK(A2617),,IF(ISBLANK(S2617), A2617&amp;"";"", TEXTJOIN(CHAR(10), TRUE, A2617&amp;"";"", ARRAYFORMULA(VLOOKUP(SPLIT(S2617, "";"" &amp; CHAR(10)), $A:$AO, 41, FALSE)))))"),"PAGl;")</f>
        <v>PAGl;</v>
      </c>
      <c r="AP2617" s="89"/>
    </row>
    <row r="2618">
      <c r="A2618" s="151" t="str">
        <f>IFERROR(__xludf.DUMMYFUNCTION("""COMPUTED_VALUE"""),"PAGvl")</f>
        <v>PAGvl</v>
      </c>
      <c r="B2618" s="42" t="str">
        <f>IFERROR(__xludf.DUMMYFUNCTION("""COMPUTED_VALUE"""),"DHBA")</f>
        <v>DHBA</v>
      </c>
      <c r="C2618" s="42" t="str">
        <f>IFERROR(__xludf.DUMMYFUNCTION("""COMPUTED_VALUE"""),"periaqueductal gray substance, ventrolateral division")</f>
        <v>periaqueductal gray substance, ventrolateral division</v>
      </c>
      <c r="D2618" s="42">
        <f>IFERROR(__xludf.DUMMYFUNCTION("""COMPUTED_VALUE"""),2493.0)</f>
        <v>2493</v>
      </c>
      <c r="E2618" s="39" t="str">
        <f>IFERROR(__xludf.DUMMYFUNCTION("""COMPUTED_VALUE"""),"periaqueductal gray substance, ventrolateral division")</f>
        <v>periaqueductal gray substance, ventrolateral division</v>
      </c>
      <c r="F2618" s="9" t="str">
        <f>IFERROR(__xludf.DUMMYFUNCTION("""COMPUTED_VALUE"""),"Br")</f>
        <v>Br</v>
      </c>
      <c r="G2618" s="9" t="str">
        <f>IFERROR(__xludf.DUMMYFUNCTION("""COMPUTED_VALUE"""),"M")</f>
        <v>M</v>
      </c>
      <c r="H2618" s="9" t="str">
        <f>IFERROR(__xludf.DUMMYFUNCTION("""COMPUTED_VALUE"""),"MGM")</f>
        <v>MGM</v>
      </c>
      <c r="I2618" s="9" t="str">
        <f>IFERROR(__xludf.DUMMYFUNCTION("""COMPUTED_VALUE"""),"MTg")</f>
        <v>MTg</v>
      </c>
      <c r="J2618" s="9" t="str">
        <f>IFERROR(__xludf.DUMMYFUNCTION("""COMPUTED_VALUE"""),"PAG")</f>
        <v>PAG</v>
      </c>
      <c r="K2618" s="9" t="str">
        <f>IFERROR(__xludf.DUMMYFUNCTION("""COMPUTED_VALUE"""),"PAGD")</f>
        <v>PAGD</v>
      </c>
      <c r="L2618" s="9" t="str">
        <f>IFERROR(__xludf.DUMMYFUNCTION("""COMPUTED_VALUE"""),"PAGvl")</f>
        <v>PAGvl</v>
      </c>
      <c r="M2618" s="9"/>
      <c r="N2618" s="9"/>
      <c r="O2618" s="9"/>
      <c r="P2618" s="9"/>
      <c r="Q2618" s="9"/>
      <c r="R2618" s="9"/>
      <c r="S2618" s="42"/>
      <c r="T2618" s="42"/>
      <c r="U2618" s="42"/>
      <c r="V2618" s="42"/>
      <c r="W2618" s="42"/>
      <c r="X2618" s="42"/>
      <c r="Y2618" s="42"/>
      <c r="Z2618" s="42"/>
      <c r="AA2618" s="42"/>
      <c r="AB2618" s="42" t="str">
        <f>IFERROR(__xludf.DUMMYFUNCTION("""COMPUTED_VALUE"""),"allen institute")</f>
        <v>allen institute</v>
      </c>
      <c r="AC2618" s="42" t="str">
        <f>IFERROR(__xludf.DUMMYFUNCTION("""COMPUTED_VALUE"""),"DHBA")</f>
        <v>DHBA</v>
      </c>
      <c r="AD2618" s="42"/>
      <c r="AE2618" s="42"/>
      <c r="AF2618" s="9"/>
      <c r="AG2618" s="9"/>
      <c r="AH2618" s="42"/>
      <c r="AI2618" s="42"/>
      <c r="AJ2618" s="42"/>
      <c r="AK2618" s="42"/>
      <c r="AL2618" s="42"/>
      <c r="AM2618" s="42"/>
      <c r="AN2618" s="42"/>
      <c r="AO2618" s="63" t="str">
        <f>IFERROR(__xludf.DUMMYFUNCTION("IF(ISBLANK(A2618),,IF(ISBLANK(S2618), A2618&amp;"";"", TEXTJOIN(CHAR(10), TRUE, A2618&amp;"";"", ARRAYFORMULA(VLOOKUP(SPLIT(S2618, "";"" &amp; CHAR(10)), $A:$AO, 41, FALSE)))))"),"PAGvl;")</f>
        <v>PAGvl;</v>
      </c>
      <c r="AP2618" s="89"/>
    </row>
    <row r="2619">
      <c r="A2619" s="151" t="str">
        <f>IFERROR(__xludf.DUMMYFUNCTION("""COMPUTED_VALUE"""),"PAGpl")</f>
        <v>PAGpl</v>
      </c>
      <c r="B2619" s="42" t="str">
        <f>IFERROR(__xludf.DUMMYFUNCTION("""COMPUTED_VALUE"""),"DHBA")</f>
        <v>DHBA</v>
      </c>
      <c r="C2619" s="42" t="str">
        <f>IFERROR(__xludf.DUMMYFUNCTION("""COMPUTED_VALUE"""),"periaqueductal gray substance, pleioglial division")</f>
        <v>periaqueductal gray substance, pleioglial division</v>
      </c>
      <c r="D2619" s="42">
        <f>IFERROR(__xludf.DUMMYFUNCTION("""COMPUTED_VALUE"""),2494.0)</f>
        <v>2494</v>
      </c>
      <c r="E2619" s="39" t="str">
        <f>IFERROR(__xludf.DUMMYFUNCTION("""COMPUTED_VALUE"""),"periaqueductal gray substance, pleioglial division")</f>
        <v>periaqueductal gray substance, pleioglial division</v>
      </c>
      <c r="F2619" s="9" t="str">
        <f>IFERROR(__xludf.DUMMYFUNCTION("""COMPUTED_VALUE"""),"Br")</f>
        <v>Br</v>
      </c>
      <c r="G2619" s="9" t="str">
        <f>IFERROR(__xludf.DUMMYFUNCTION("""COMPUTED_VALUE"""),"M")</f>
        <v>M</v>
      </c>
      <c r="H2619" s="9" t="str">
        <f>IFERROR(__xludf.DUMMYFUNCTION("""COMPUTED_VALUE"""),"MGM")</f>
        <v>MGM</v>
      </c>
      <c r="I2619" s="9" t="str">
        <f>IFERROR(__xludf.DUMMYFUNCTION("""COMPUTED_VALUE"""),"MTg")</f>
        <v>MTg</v>
      </c>
      <c r="J2619" s="9" t="str">
        <f>IFERROR(__xludf.DUMMYFUNCTION("""COMPUTED_VALUE"""),"PAG")</f>
        <v>PAG</v>
      </c>
      <c r="K2619" s="9" t="str">
        <f>IFERROR(__xludf.DUMMYFUNCTION("""COMPUTED_VALUE"""),"PAGD")</f>
        <v>PAGD</v>
      </c>
      <c r="L2619" s="9" t="str">
        <f>IFERROR(__xludf.DUMMYFUNCTION("""COMPUTED_VALUE"""),"PAGpl")</f>
        <v>PAGpl</v>
      </c>
      <c r="M2619" s="9"/>
      <c r="N2619" s="9"/>
      <c r="O2619" s="9"/>
      <c r="P2619" s="9"/>
      <c r="Q2619" s="9"/>
      <c r="R2619" s="9"/>
      <c r="S2619" s="42"/>
      <c r="T2619" s="42"/>
      <c r="U2619" s="42"/>
      <c r="V2619" s="42"/>
      <c r="W2619" s="42"/>
      <c r="X2619" s="42"/>
      <c r="Y2619" s="42"/>
      <c r="Z2619" s="42"/>
      <c r="AA2619" s="42"/>
      <c r="AB2619" s="42" t="str">
        <f>IFERROR(__xludf.DUMMYFUNCTION("""COMPUTED_VALUE"""),"allen institute")</f>
        <v>allen institute</v>
      </c>
      <c r="AC2619" s="42" t="str">
        <f>IFERROR(__xludf.DUMMYFUNCTION("""COMPUTED_VALUE"""),"DHBA")</f>
        <v>DHBA</v>
      </c>
      <c r="AD2619" s="42"/>
      <c r="AE2619" s="42"/>
      <c r="AF2619" s="9"/>
      <c r="AG2619" s="9"/>
      <c r="AH2619" s="42"/>
      <c r="AI2619" s="42"/>
      <c r="AJ2619" s="42"/>
      <c r="AK2619" s="42"/>
      <c r="AL2619" s="42"/>
      <c r="AM2619" s="42"/>
      <c r="AN2619" s="42"/>
      <c r="AO2619" s="63" t="str">
        <f>IFERROR(__xludf.DUMMYFUNCTION("IF(ISBLANK(A2619),,IF(ISBLANK(S2619), A2619&amp;"";"", TEXTJOIN(CHAR(10), TRUE, A2619&amp;"";"", ARRAYFORMULA(VLOOKUP(SPLIT(S2619, "";"" &amp; CHAR(10)), $A:$AO, 41, FALSE)))))"),"PAGpl;")</f>
        <v>PAGpl;</v>
      </c>
      <c r="AP2619" s="89"/>
    </row>
    <row r="2620">
      <c r="A2620" s="151" t="str">
        <f>IFERROR(__xludf.DUMMYFUNCTION("""COMPUTED_VALUE"""),"PAGV")</f>
        <v>PAGV</v>
      </c>
      <c r="B2620" s="42" t="str">
        <f>IFERROR(__xludf.DUMMYFUNCTION("""COMPUTED_VALUE"""),"DHBA")</f>
        <v>DHBA</v>
      </c>
      <c r="C2620" s="42" t="str">
        <f>IFERROR(__xludf.DUMMYFUNCTION("""COMPUTED_VALUE"""),"periaqueductal gray substance, ventral portion")</f>
        <v>periaqueductal gray substance, ventral portion</v>
      </c>
      <c r="D2620" s="42">
        <f>IFERROR(__xludf.DUMMYFUNCTION("""COMPUTED_VALUE"""),2495.0)</f>
        <v>2495</v>
      </c>
      <c r="E2620" s="39" t="str">
        <f>IFERROR(__xludf.DUMMYFUNCTION("""COMPUTED_VALUE"""),"periaqueductal gray substance, ventral portion")</f>
        <v>periaqueductal gray substance, ventral portion</v>
      </c>
      <c r="F2620" s="9" t="str">
        <f>IFERROR(__xludf.DUMMYFUNCTION("""COMPUTED_VALUE"""),"Br")</f>
        <v>Br</v>
      </c>
      <c r="G2620" s="9" t="str">
        <f>IFERROR(__xludf.DUMMYFUNCTION("""COMPUTED_VALUE"""),"M")</f>
        <v>M</v>
      </c>
      <c r="H2620" s="9" t="str">
        <f>IFERROR(__xludf.DUMMYFUNCTION("""COMPUTED_VALUE"""),"MGM")</f>
        <v>MGM</v>
      </c>
      <c r="I2620" s="9" t="str">
        <f>IFERROR(__xludf.DUMMYFUNCTION("""COMPUTED_VALUE"""),"MTg")</f>
        <v>MTg</v>
      </c>
      <c r="J2620" s="9" t="str">
        <f>IFERROR(__xludf.DUMMYFUNCTION("""COMPUTED_VALUE"""),"PAG")</f>
        <v>PAG</v>
      </c>
      <c r="K2620" s="9" t="str">
        <f>IFERROR(__xludf.DUMMYFUNCTION("""COMPUTED_VALUE"""),"PAGV")</f>
        <v>PAGV</v>
      </c>
      <c r="L2620" s="9"/>
      <c r="M2620" s="9"/>
      <c r="N2620" s="9"/>
      <c r="O2620" s="9"/>
      <c r="P2620" s="9"/>
      <c r="Q2620" s="9"/>
      <c r="R2620" s="9"/>
      <c r="S2620" s="42" t="str">
        <f>IFERROR(__xludf.DUMMYFUNCTION("""COMPUTED_VALUE"""),"DRc;
Dk;
PC3;
Su3C;
Su3")</f>
        <v>DRc;
Dk;
PC3;
Su3C;
Su3</v>
      </c>
      <c r="T2620" s="42"/>
      <c r="U2620" s="42" t="b">
        <f>IFERROR(__xludf.DUMMYFUNCTION("""COMPUTED_VALUE"""),FALSE)</f>
        <v>0</v>
      </c>
      <c r="V2620" s="42"/>
      <c r="W2620" s="42"/>
      <c r="X2620" s="42"/>
      <c r="Y2620" s="42"/>
      <c r="Z2620" s="42"/>
      <c r="AA2620" s="42"/>
      <c r="AB2620" s="42" t="str">
        <f>IFERROR(__xludf.DUMMYFUNCTION("""COMPUTED_VALUE"""),"allen institute")</f>
        <v>allen institute</v>
      </c>
      <c r="AC2620" s="42" t="str">
        <f>IFERROR(__xludf.DUMMYFUNCTION("""COMPUTED_VALUE"""),"DHBA")</f>
        <v>DHBA</v>
      </c>
      <c r="AD2620" s="42"/>
      <c r="AE2620" s="42"/>
      <c r="AF2620" s="9"/>
      <c r="AG2620" s="9"/>
      <c r="AH2620" s="42"/>
      <c r="AI2620" s="42"/>
      <c r="AJ2620" s="42"/>
      <c r="AK2620" s="42"/>
      <c r="AL2620" s="42"/>
      <c r="AM2620" s="42"/>
      <c r="AN2620" s="42"/>
      <c r="AO2620" s="63" t="str">
        <f>IFERROR(__xludf.DUMMYFUNCTION("IF(ISBLANK(A2620),,IF(ISBLANK(S2620), A2620&amp;"";"", TEXTJOIN(CHAR(10), TRUE, A2620&amp;"";"", ARRAYFORMULA(VLOOKUP(SPLIT(S2620, "";"" &amp; CHAR(10)), $A:$AO, 41, FALSE)))))"),"PAGV;
DRc;
Dk;
PC3;
Su3C;
Su3;")</f>
        <v>PAGV;
DRc;
Dk;
PC3;
Su3C;
Su3;</v>
      </c>
      <c r="AP2620" s="89"/>
    </row>
    <row r="2621">
      <c r="A2621" s="151" t="str">
        <f>IFERROR(__xludf.DUMMYFUNCTION("""COMPUTED_VALUE"""),"DRc")</f>
        <v>DRc</v>
      </c>
      <c r="B2621" s="42" t="str">
        <f>IFERROR(__xludf.DUMMYFUNCTION("""COMPUTED_VALUE"""),"DHBA")</f>
        <v>DHBA</v>
      </c>
      <c r="C2621" s="42" t="str">
        <f>IFERROR(__xludf.DUMMYFUNCTION("""COMPUTED_VALUE"""),"cap of dorsal raphe nucleus")</f>
        <v>cap of dorsal raphe nucleus</v>
      </c>
      <c r="D2621" s="42">
        <f>IFERROR(__xludf.DUMMYFUNCTION("""COMPUTED_VALUE"""),2496.0)</f>
        <v>2496</v>
      </c>
      <c r="E2621" s="39" t="str">
        <f>IFERROR(__xludf.DUMMYFUNCTION("""COMPUTED_VALUE"""),"cap of dorsal raphe nucleus")</f>
        <v>cap of dorsal raphe nucleus</v>
      </c>
      <c r="F2621" s="9" t="str">
        <f>IFERROR(__xludf.DUMMYFUNCTION("""COMPUTED_VALUE"""),"Br")</f>
        <v>Br</v>
      </c>
      <c r="G2621" s="9" t="str">
        <f>IFERROR(__xludf.DUMMYFUNCTION("""COMPUTED_VALUE"""),"M")</f>
        <v>M</v>
      </c>
      <c r="H2621" s="9" t="str">
        <f>IFERROR(__xludf.DUMMYFUNCTION("""COMPUTED_VALUE"""),"MGM")</f>
        <v>MGM</v>
      </c>
      <c r="I2621" s="9" t="str">
        <f>IFERROR(__xludf.DUMMYFUNCTION("""COMPUTED_VALUE"""),"MTg")</f>
        <v>MTg</v>
      </c>
      <c r="J2621" s="9" t="str">
        <f>IFERROR(__xludf.DUMMYFUNCTION("""COMPUTED_VALUE"""),"PAG")</f>
        <v>PAG</v>
      </c>
      <c r="K2621" s="9" t="str">
        <f>IFERROR(__xludf.DUMMYFUNCTION("""COMPUTED_VALUE"""),"PAGV")</f>
        <v>PAGV</v>
      </c>
      <c r="L2621" s="9" t="str">
        <f>IFERROR(__xludf.DUMMYFUNCTION("""COMPUTED_VALUE"""),"DRc")</f>
        <v>DRc</v>
      </c>
      <c r="M2621" s="9"/>
      <c r="N2621" s="9"/>
      <c r="O2621" s="9"/>
      <c r="P2621" s="9"/>
      <c r="Q2621" s="9"/>
      <c r="R2621" s="9"/>
      <c r="S2621" s="42"/>
      <c r="T2621" s="42"/>
      <c r="U2621" s="42"/>
      <c r="V2621" s="42"/>
      <c r="W2621" s="42"/>
      <c r="X2621" s="42"/>
      <c r="Y2621" s="42"/>
      <c r="Z2621" s="42"/>
      <c r="AA2621" s="42"/>
      <c r="AB2621" s="42" t="str">
        <f>IFERROR(__xludf.DUMMYFUNCTION("""COMPUTED_VALUE"""),"allen institute")</f>
        <v>allen institute</v>
      </c>
      <c r="AC2621" s="42" t="str">
        <f>IFERROR(__xludf.DUMMYFUNCTION("""COMPUTED_VALUE"""),"DHBA")</f>
        <v>DHBA</v>
      </c>
      <c r="AD2621" s="42"/>
      <c r="AE2621" s="42"/>
      <c r="AF2621" s="9"/>
      <c r="AG2621" s="9"/>
      <c r="AH2621" s="42"/>
      <c r="AI2621" s="42"/>
      <c r="AJ2621" s="42"/>
      <c r="AK2621" s="42"/>
      <c r="AL2621" s="42"/>
      <c r="AM2621" s="42"/>
      <c r="AN2621" s="42"/>
      <c r="AO2621" s="63" t="str">
        <f>IFERROR(__xludf.DUMMYFUNCTION("IF(ISBLANK(A2621),,IF(ISBLANK(S2621), A2621&amp;"";"", TEXTJOIN(CHAR(10), TRUE, A2621&amp;"";"", ARRAYFORMULA(VLOOKUP(SPLIT(S2621, "";"" &amp; CHAR(10)), $A:$AO, 41, FALSE)))))"),"DRc;")</f>
        <v>DRc;</v>
      </c>
      <c r="AP2621" s="89"/>
    </row>
    <row r="2622">
      <c r="A2622" s="151" t="str">
        <f>IFERROR(__xludf.DUMMYFUNCTION("""COMPUTED_VALUE"""),"Dk")</f>
        <v>Dk</v>
      </c>
      <c r="B2622" s="42" t="str">
        <f>IFERROR(__xludf.DUMMYFUNCTION("""COMPUTED_VALUE"""),"DHBA")</f>
        <v>DHBA</v>
      </c>
      <c r="C2622" s="42" t="str">
        <f>IFERROR(__xludf.DUMMYFUNCTION("""COMPUTED_VALUE"""),"nucleus of Darkschewitsch")</f>
        <v>nucleus of Darkschewitsch</v>
      </c>
      <c r="D2622" s="42">
        <f>IFERROR(__xludf.DUMMYFUNCTION("""COMPUTED_VALUE"""),2497.0)</f>
        <v>2497</v>
      </c>
      <c r="E2622" s="39" t="str">
        <f>IFERROR(__xludf.DUMMYFUNCTION("""COMPUTED_VALUE"""),"nucleus of Darkschewitsch")</f>
        <v>nucleus of Darkschewitsch</v>
      </c>
      <c r="F2622" s="9" t="str">
        <f>IFERROR(__xludf.DUMMYFUNCTION("""COMPUTED_VALUE"""),"Br")</f>
        <v>Br</v>
      </c>
      <c r="G2622" s="9" t="str">
        <f>IFERROR(__xludf.DUMMYFUNCTION("""COMPUTED_VALUE"""),"M")</f>
        <v>M</v>
      </c>
      <c r="H2622" s="9" t="str">
        <f>IFERROR(__xludf.DUMMYFUNCTION("""COMPUTED_VALUE"""),"MGM")</f>
        <v>MGM</v>
      </c>
      <c r="I2622" s="9" t="str">
        <f>IFERROR(__xludf.DUMMYFUNCTION("""COMPUTED_VALUE"""),"MTg")</f>
        <v>MTg</v>
      </c>
      <c r="J2622" s="9" t="str">
        <f>IFERROR(__xludf.DUMMYFUNCTION("""COMPUTED_VALUE"""),"PAG")</f>
        <v>PAG</v>
      </c>
      <c r="K2622" s="9" t="str">
        <f>IFERROR(__xludf.DUMMYFUNCTION("""COMPUTED_VALUE"""),"PAGV")</f>
        <v>PAGV</v>
      </c>
      <c r="L2622" s="9" t="str">
        <f>IFERROR(__xludf.DUMMYFUNCTION("""COMPUTED_VALUE"""),"Dk")</f>
        <v>Dk</v>
      </c>
      <c r="M2622" s="9"/>
      <c r="N2622" s="9"/>
      <c r="O2622" s="9"/>
      <c r="P2622" s="9"/>
      <c r="Q2622" s="9"/>
      <c r="R2622" s="9"/>
      <c r="S2622" s="42"/>
      <c r="T2622" s="42"/>
      <c r="U2622" s="42"/>
      <c r="V2622" s="42"/>
      <c r="W2622" s="42"/>
      <c r="X2622" s="42"/>
      <c r="Y2622" s="42"/>
      <c r="Z2622" s="42"/>
      <c r="AA2622" s="42"/>
      <c r="AB2622" s="42" t="str">
        <f>IFERROR(__xludf.DUMMYFUNCTION("""COMPUTED_VALUE"""),"allen institute")</f>
        <v>allen institute</v>
      </c>
      <c r="AC2622" s="42" t="str">
        <f>IFERROR(__xludf.DUMMYFUNCTION("""COMPUTED_VALUE"""),"DHBA")</f>
        <v>DHBA</v>
      </c>
      <c r="AD2622" s="42"/>
      <c r="AE2622" s="42"/>
      <c r="AF2622" s="9"/>
      <c r="AG2622" s="9"/>
      <c r="AH2622" s="42"/>
      <c r="AI2622" s="42"/>
      <c r="AJ2622" s="42"/>
      <c r="AK2622" s="42"/>
      <c r="AL2622" s="42"/>
      <c r="AM2622" s="42"/>
      <c r="AN2622" s="42"/>
      <c r="AO2622" s="63" t="str">
        <f>IFERROR(__xludf.DUMMYFUNCTION("IF(ISBLANK(A2622),,IF(ISBLANK(S2622), A2622&amp;"";"", TEXTJOIN(CHAR(10), TRUE, A2622&amp;"";"", ARRAYFORMULA(VLOOKUP(SPLIT(S2622, "";"" &amp; CHAR(10)), $A:$AO, 41, FALSE)))))"),"Dk;")</f>
        <v>Dk;</v>
      </c>
      <c r="AP2622" s="89"/>
    </row>
    <row r="2623">
      <c r="A2623" s="151" t="str">
        <f>IFERROR(__xludf.DUMMYFUNCTION("""COMPUTED_VALUE"""),"PC3")</f>
        <v>PC3</v>
      </c>
      <c r="B2623" s="42" t="str">
        <f>IFERROR(__xludf.DUMMYFUNCTION("""COMPUTED_VALUE"""),"DHBA")</f>
        <v>DHBA</v>
      </c>
      <c r="C2623" s="42" t="str">
        <f>IFERROR(__xludf.DUMMYFUNCTION("""COMPUTED_VALUE"""),"parvicellular oculomotor nucleus")</f>
        <v>parvicellular oculomotor nucleus</v>
      </c>
      <c r="D2623" s="42">
        <f>IFERROR(__xludf.DUMMYFUNCTION("""COMPUTED_VALUE"""),2498.0)</f>
        <v>2498</v>
      </c>
      <c r="E2623" s="39" t="str">
        <f>IFERROR(__xludf.DUMMYFUNCTION("""COMPUTED_VALUE"""),"parvicellular oculomotor nucleus")</f>
        <v>parvicellular oculomotor nucleus</v>
      </c>
      <c r="F2623" s="9" t="str">
        <f>IFERROR(__xludf.DUMMYFUNCTION("""COMPUTED_VALUE"""),"Br")</f>
        <v>Br</v>
      </c>
      <c r="G2623" s="9" t="str">
        <f>IFERROR(__xludf.DUMMYFUNCTION("""COMPUTED_VALUE"""),"M")</f>
        <v>M</v>
      </c>
      <c r="H2623" s="9" t="str">
        <f>IFERROR(__xludf.DUMMYFUNCTION("""COMPUTED_VALUE"""),"MGM")</f>
        <v>MGM</v>
      </c>
      <c r="I2623" s="9" t="str">
        <f>IFERROR(__xludf.DUMMYFUNCTION("""COMPUTED_VALUE"""),"MTg")</f>
        <v>MTg</v>
      </c>
      <c r="J2623" s="9" t="str">
        <f>IFERROR(__xludf.DUMMYFUNCTION("""COMPUTED_VALUE"""),"PAG")</f>
        <v>PAG</v>
      </c>
      <c r="K2623" s="9" t="str">
        <f>IFERROR(__xludf.DUMMYFUNCTION("""COMPUTED_VALUE"""),"PAGV")</f>
        <v>PAGV</v>
      </c>
      <c r="L2623" s="9" t="str">
        <f>IFERROR(__xludf.DUMMYFUNCTION("""COMPUTED_VALUE"""),"PC3")</f>
        <v>PC3</v>
      </c>
      <c r="M2623" s="9"/>
      <c r="N2623" s="9"/>
      <c r="O2623" s="9"/>
      <c r="P2623" s="9"/>
      <c r="Q2623" s="9"/>
      <c r="R2623" s="9"/>
      <c r="S2623" s="42"/>
      <c r="T2623" s="42"/>
      <c r="U2623" s="42"/>
      <c r="V2623" s="42"/>
      <c r="W2623" s="42"/>
      <c r="X2623" s="42"/>
      <c r="Y2623" s="42"/>
      <c r="Z2623" s="42"/>
      <c r="AA2623" s="42"/>
      <c r="AB2623" s="42" t="str">
        <f>IFERROR(__xludf.DUMMYFUNCTION("""COMPUTED_VALUE"""),"allen institute")</f>
        <v>allen institute</v>
      </c>
      <c r="AC2623" s="42" t="str">
        <f>IFERROR(__xludf.DUMMYFUNCTION("""COMPUTED_VALUE"""),"DHBA")</f>
        <v>DHBA</v>
      </c>
      <c r="AD2623" s="42"/>
      <c r="AE2623" s="42"/>
      <c r="AF2623" s="9"/>
      <c r="AG2623" s="9"/>
      <c r="AH2623" s="42"/>
      <c r="AI2623" s="42"/>
      <c r="AJ2623" s="42"/>
      <c r="AK2623" s="42"/>
      <c r="AL2623" s="42"/>
      <c r="AM2623" s="42"/>
      <c r="AN2623" s="42"/>
      <c r="AO2623" s="63" t="str">
        <f>IFERROR(__xludf.DUMMYFUNCTION("IF(ISBLANK(A2623),,IF(ISBLANK(S2623), A2623&amp;"";"", TEXTJOIN(CHAR(10), TRUE, A2623&amp;"";"", ARRAYFORMULA(VLOOKUP(SPLIT(S2623, "";"" &amp; CHAR(10)), $A:$AO, 41, FALSE)))))"),"PC3;")</f>
        <v>PC3;</v>
      </c>
      <c r="AP2623" s="89"/>
    </row>
    <row r="2624">
      <c r="A2624" s="151" t="str">
        <f>IFERROR(__xludf.DUMMYFUNCTION("""COMPUTED_VALUE"""),"Su3C")</f>
        <v>Su3C</v>
      </c>
      <c r="B2624" s="42" t="str">
        <f>IFERROR(__xludf.DUMMYFUNCTION("""COMPUTED_VALUE"""),"DHBA")</f>
        <v>DHBA</v>
      </c>
      <c r="C2624" s="42" t="str">
        <f>IFERROR(__xludf.DUMMYFUNCTION("""COMPUTED_VALUE"""),"supraoculomotor cap")</f>
        <v>supraoculomotor cap</v>
      </c>
      <c r="D2624" s="42">
        <f>IFERROR(__xludf.DUMMYFUNCTION("""COMPUTED_VALUE"""),2499.0)</f>
        <v>2499</v>
      </c>
      <c r="E2624" s="39" t="str">
        <f>IFERROR(__xludf.DUMMYFUNCTION("""COMPUTED_VALUE"""),"supraoculomotor cap")</f>
        <v>supraoculomotor cap</v>
      </c>
      <c r="F2624" s="9" t="str">
        <f>IFERROR(__xludf.DUMMYFUNCTION("""COMPUTED_VALUE"""),"Br")</f>
        <v>Br</v>
      </c>
      <c r="G2624" s="9" t="str">
        <f>IFERROR(__xludf.DUMMYFUNCTION("""COMPUTED_VALUE"""),"M")</f>
        <v>M</v>
      </c>
      <c r="H2624" s="9" t="str">
        <f>IFERROR(__xludf.DUMMYFUNCTION("""COMPUTED_VALUE"""),"MGM")</f>
        <v>MGM</v>
      </c>
      <c r="I2624" s="9" t="str">
        <f>IFERROR(__xludf.DUMMYFUNCTION("""COMPUTED_VALUE"""),"MTg")</f>
        <v>MTg</v>
      </c>
      <c r="J2624" s="9" t="str">
        <f>IFERROR(__xludf.DUMMYFUNCTION("""COMPUTED_VALUE"""),"PAG")</f>
        <v>PAG</v>
      </c>
      <c r="K2624" s="9" t="str">
        <f>IFERROR(__xludf.DUMMYFUNCTION("""COMPUTED_VALUE"""),"PAGV")</f>
        <v>PAGV</v>
      </c>
      <c r="L2624" s="9" t="str">
        <f>IFERROR(__xludf.DUMMYFUNCTION("""COMPUTED_VALUE"""),"Su3C")</f>
        <v>Su3C</v>
      </c>
      <c r="M2624" s="9"/>
      <c r="N2624" s="9"/>
      <c r="O2624" s="9"/>
      <c r="P2624" s="9"/>
      <c r="Q2624" s="9"/>
      <c r="R2624" s="9"/>
      <c r="S2624" s="42"/>
      <c r="T2624" s="42"/>
      <c r="U2624" s="42"/>
      <c r="V2624" s="42"/>
      <c r="W2624" s="42"/>
      <c r="X2624" s="42"/>
      <c r="Y2624" s="42"/>
      <c r="Z2624" s="42"/>
      <c r="AA2624" s="42"/>
      <c r="AB2624" s="42" t="str">
        <f>IFERROR(__xludf.DUMMYFUNCTION("""COMPUTED_VALUE"""),"allen institute")</f>
        <v>allen institute</v>
      </c>
      <c r="AC2624" s="42" t="str">
        <f>IFERROR(__xludf.DUMMYFUNCTION("""COMPUTED_VALUE"""),"DHBA")</f>
        <v>DHBA</v>
      </c>
      <c r="AD2624" s="42"/>
      <c r="AE2624" s="42"/>
      <c r="AF2624" s="9"/>
      <c r="AG2624" s="9"/>
      <c r="AH2624" s="42"/>
      <c r="AI2624" s="42"/>
      <c r="AJ2624" s="42"/>
      <c r="AK2624" s="42"/>
      <c r="AL2624" s="42"/>
      <c r="AM2624" s="42"/>
      <c r="AN2624" s="42"/>
      <c r="AO2624" s="63" t="str">
        <f>IFERROR(__xludf.DUMMYFUNCTION("IF(ISBLANK(A2624),,IF(ISBLANK(S2624), A2624&amp;"";"", TEXTJOIN(CHAR(10), TRUE, A2624&amp;"";"", ARRAYFORMULA(VLOOKUP(SPLIT(S2624, "";"" &amp; CHAR(10)), $A:$AO, 41, FALSE)))))"),"Su3C;")</f>
        <v>Su3C;</v>
      </c>
      <c r="AP2624" s="89"/>
    </row>
    <row r="2625">
      <c r="A2625" s="151" t="str">
        <f>IFERROR(__xludf.DUMMYFUNCTION("""COMPUTED_VALUE"""),"Su3")</f>
        <v>Su3</v>
      </c>
      <c r="B2625" s="42" t="str">
        <f>IFERROR(__xludf.DUMMYFUNCTION("""COMPUTED_VALUE"""),"DHBA")</f>
        <v>DHBA</v>
      </c>
      <c r="C2625" s="42" t="str">
        <f>IFERROR(__xludf.DUMMYFUNCTION("""COMPUTED_VALUE"""),"supraoculomotor nucleus")</f>
        <v>supraoculomotor nucleus</v>
      </c>
      <c r="D2625" s="42">
        <f>IFERROR(__xludf.DUMMYFUNCTION("""COMPUTED_VALUE"""),2500.0)</f>
        <v>2500</v>
      </c>
      <c r="E2625" s="39" t="str">
        <f>IFERROR(__xludf.DUMMYFUNCTION("""COMPUTED_VALUE"""),"supraoculomotor nucleus")</f>
        <v>supraoculomotor nucleus</v>
      </c>
      <c r="F2625" s="9" t="str">
        <f>IFERROR(__xludf.DUMMYFUNCTION("""COMPUTED_VALUE"""),"Br")</f>
        <v>Br</v>
      </c>
      <c r="G2625" s="9" t="str">
        <f>IFERROR(__xludf.DUMMYFUNCTION("""COMPUTED_VALUE"""),"M")</f>
        <v>M</v>
      </c>
      <c r="H2625" s="9" t="str">
        <f>IFERROR(__xludf.DUMMYFUNCTION("""COMPUTED_VALUE"""),"MGM")</f>
        <v>MGM</v>
      </c>
      <c r="I2625" s="9" t="str">
        <f>IFERROR(__xludf.DUMMYFUNCTION("""COMPUTED_VALUE"""),"MTg")</f>
        <v>MTg</v>
      </c>
      <c r="J2625" s="9" t="str">
        <f>IFERROR(__xludf.DUMMYFUNCTION("""COMPUTED_VALUE"""),"PAG")</f>
        <v>PAG</v>
      </c>
      <c r="K2625" s="9" t="str">
        <f>IFERROR(__xludf.DUMMYFUNCTION("""COMPUTED_VALUE"""),"PAGV")</f>
        <v>PAGV</v>
      </c>
      <c r="L2625" s="9" t="str">
        <f>IFERROR(__xludf.DUMMYFUNCTION("""COMPUTED_VALUE"""),"Su3")</f>
        <v>Su3</v>
      </c>
      <c r="M2625" s="9"/>
      <c r="N2625" s="9"/>
      <c r="O2625" s="9"/>
      <c r="P2625" s="9"/>
      <c r="Q2625" s="9"/>
      <c r="R2625" s="9"/>
      <c r="S2625" s="42"/>
      <c r="T2625" s="42"/>
      <c r="U2625" s="42"/>
      <c r="V2625" s="42"/>
      <c r="W2625" s="42"/>
      <c r="X2625" s="42"/>
      <c r="Y2625" s="42"/>
      <c r="Z2625" s="42"/>
      <c r="AA2625" s="42"/>
      <c r="AB2625" s="42" t="str">
        <f>IFERROR(__xludf.DUMMYFUNCTION("""COMPUTED_VALUE"""),"allen institute")</f>
        <v>allen institute</v>
      </c>
      <c r="AC2625" s="42" t="str">
        <f>IFERROR(__xludf.DUMMYFUNCTION("""COMPUTED_VALUE"""),"DHBA")</f>
        <v>DHBA</v>
      </c>
      <c r="AD2625" s="42"/>
      <c r="AE2625" s="42"/>
      <c r="AF2625" s="9"/>
      <c r="AG2625" s="9"/>
      <c r="AH2625" s="42"/>
      <c r="AI2625" s="42"/>
      <c r="AJ2625" s="42"/>
      <c r="AK2625" s="42"/>
      <c r="AL2625" s="42"/>
      <c r="AM2625" s="42"/>
      <c r="AN2625" s="42"/>
      <c r="AO2625" s="63" t="str">
        <f>IFERROR(__xludf.DUMMYFUNCTION("IF(ISBLANK(A2625),,IF(ISBLANK(S2625), A2625&amp;"";"", TEXTJOIN(CHAR(10), TRUE, A2625&amp;"";"", ARRAYFORMULA(VLOOKUP(SPLIT(S2625, "";"" &amp; CHAR(10)), $A:$AO, 41, FALSE)))))"),"Su3;")</f>
        <v>Su3;</v>
      </c>
      <c r="AP2625" s="89"/>
    </row>
    <row r="2626">
      <c r="A2626" s="151" t="str">
        <f>IFERROR(__xludf.DUMMYFUNCTION("""COMPUTED_VALUE"""),"MRa")</f>
        <v>MRa</v>
      </c>
      <c r="B2626" s="42" t="str">
        <f>IFERROR(__xludf.DUMMYFUNCTION("""COMPUTED_VALUE"""),"DHBA")</f>
        <v>DHBA</v>
      </c>
      <c r="C2626" s="42" t="str">
        <f>IFERROR(__xludf.DUMMYFUNCTION("""COMPUTED_VALUE"""),"midbrain raphe nuclei, Raphe nucleus, R")</f>
        <v>midbrain raphe nuclei, Raphe nucleus, R</v>
      </c>
      <c r="D2626" s="42">
        <f>IFERROR(__xludf.DUMMYFUNCTION("""COMPUTED_VALUE"""),2501.0)</f>
        <v>2501</v>
      </c>
      <c r="E2626" s="39" t="str">
        <f>IFERROR(__xludf.DUMMYFUNCTION("""COMPUTED_VALUE"""),"midbrain raphe nuclei")</f>
        <v>midbrain raphe nuclei</v>
      </c>
      <c r="F2626" s="9" t="str">
        <f>IFERROR(__xludf.DUMMYFUNCTION("""COMPUTED_VALUE"""),"Br")</f>
        <v>Br</v>
      </c>
      <c r="G2626" s="9" t="str">
        <f>IFERROR(__xludf.DUMMYFUNCTION("""COMPUTED_VALUE"""),"M")</f>
        <v>M</v>
      </c>
      <c r="H2626" s="9" t="str">
        <f>IFERROR(__xludf.DUMMYFUNCTION("""COMPUTED_VALUE"""),"MGM")</f>
        <v>MGM</v>
      </c>
      <c r="I2626" s="9" t="str">
        <f>IFERROR(__xludf.DUMMYFUNCTION("""COMPUTED_VALUE"""),"MTg")</f>
        <v>MTg</v>
      </c>
      <c r="J2626" s="9" t="str">
        <f>IFERROR(__xludf.DUMMYFUNCTION("""COMPUTED_VALUE"""),"MRa")</f>
        <v>MRa</v>
      </c>
      <c r="K2626" s="9"/>
      <c r="L2626" s="9"/>
      <c r="M2626" s="9"/>
      <c r="N2626" s="9"/>
      <c r="O2626" s="9"/>
      <c r="P2626" s="9"/>
      <c r="Q2626" s="9"/>
      <c r="R2626" s="9"/>
      <c r="S2626" s="42" t="str">
        <f>IFERROR(__xludf.DUMMYFUNCTION("""COMPUTED_VALUE"""),"DR;
Lin;
MnR;
PMnR;
PDR;
Rbd")</f>
        <v>DR;
Lin;
MnR;
PMnR;
PDR;
Rbd</v>
      </c>
      <c r="T2626" s="42"/>
      <c r="U2626" s="42" t="b">
        <f>IFERROR(__xludf.DUMMYFUNCTION("""COMPUTED_VALUE"""),FALSE)</f>
        <v>0</v>
      </c>
      <c r="V2626" s="42"/>
      <c r="W2626" s="42"/>
      <c r="X2626" s="42"/>
      <c r="Y2626" s="42"/>
      <c r="Z2626" s="42"/>
      <c r="AA2626" s="42"/>
      <c r="AB2626" s="42" t="str">
        <f>IFERROR(__xludf.DUMMYFUNCTION("""COMPUTED_VALUE"""),"allen institute")</f>
        <v>allen institute</v>
      </c>
      <c r="AC2626" s="42" t="str">
        <f>IFERROR(__xludf.DUMMYFUNCTION("""COMPUTED_VALUE"""),"DHBA")</f>
        <v>DHBA</v>
      </c>
      <c r="AD2626" s="42"/>
      <c r="AE2626" s="42"/>
      <c r="AF2626" s="9"/>
      <c r="AG2626" s="9"/>
      <c r="AH2626" s="42"/>
      <c r="AI2626" s="42"/>
      <c r="AJ2626" s="42"/>
      <c r="AK2626" s="42"/>
      <c r="AL2626" s="42"/>
      <c r="AM2626" s="42"/>
      <c r="AN2626" s="42"/>
      <c r="AO2626" s="63" t="str">
        <f>IFERROR(__xludf.DUMMYFUNCTION("IF(ISBLANK(A2626),,IF(ISBLANK(S2626), A2626&amp;"";"", TEXTJOIN(CHAR(10), TRUE, A2626&amp;"";"", ARRAYFORMULA(VLOOKUP(SPLIT(S2626, "";"" &amp; CHAR(10)), $A:$AO, 41, FALSE)))))"),"MRa;
DR;
DRc;
DRD;
DRI;
DRL;
DRV;
DRVL;
Lin;
CLiZ;
CLinAz;
CLinZ;
RLin;
MnR;
PMnR;
PDR;
Rbd;")</f>
        <v>MRa;
DR;
DRc;
DRD;
DRI;
DRL;
DRV;
DRVL;
Lin;
CLiZ;
CLinAz;
CLinZ;
RLin;
MnR;
PMnR;
PDR;
Rbd;</v>
      </c>
      <c r="AP2626" s="89"/>
    </row>
    <row r="2627">
      <c r="A2627" s="151" t="str">
        <f>IFERROR(__xludf.DUMMYFUNCTION("""COMPUTED_VALUE"""),"DR")</f>
        <v>DR</v>
      </c>
      <c r="B2627" s="42" t="str">
        <f>IFERROR(__xludf.DUMMYFUNCTION("""COMPUTED_VALUE"""),"DHBA")</f>
        <v>DHBA</v>
      </c>
      <c r="C2627" s="42" t="str">
        <f>IFERROR(__xludf.DUMMYFUNCTION("""COMPUTED_VALUE"""),"dorsal raphe nucleus")</f>
        <v>dorsal raphe nucleus</v>
      </c>
      <c r="D2627" s="42">
        <f>IFERROR(__xludf.DUMMYFUNCTION("""COMPUTED_VALUE"""),2502.0)</f>
        <v>2502</v>
      </c>
      <c r="E2627" s="39" t="str">
        <f>IFERROR(__xludf.DUMMYFUNCTION("""COMPUTED_VALUE"""),"dorsal raphe nucleus")</f>
        <v>dorsal raphe nucleus</v>
      </c>
      <c r="F2627" s="9" t="str">
        <f>IFERROR(__xludf.DUMMYFUNCTION("""COMPUTED_VALUE"""),"Br")</f>
        <v>Br</v>
      </c>
      <c r="G2627" s="9" t="str">
        <f>IFERROR(__xludf.DUMMYFUNCTION("""COMPUTED_VALUE"""),"M")</f>
        <v>M</v>
      </c>
      <c r="H2627" s="9" t="str">
        <f>IFERROR(__xludf.DUMMYFUNCTION("""COMPUTED_VALUE"""),"MGM")</f>
        <v>MGM</v>
      </c>
      <c r="I2627" s="9" t="str">
        <f>IFERROR(__xludf.DUMMYFUNCTION("""COMPUTED_VALUE"""),"MTg")</f>
        <v>MTg</v>
      </c>
      <c r="J2627" s="9" t="str">
        <f>IFERROR(__xludf.DUMMYFUNCTION("""COMPUTED_VALUE"""),"MRa")</f>
        <v>MRa</v>
      </c>
      <c r="K2627" s="9" t="str">
        <f>IFERROR(__xludf.DUMMYFUNCTION("""COMPUTED_VALUE"""),"DR")</f>
        <v>DR</v>
      </c>
      <c r="L2627" s="9"/>
      <c r="M2627" s="9"/>
      <c r="N2627" s="9"/>
      <c r="O2627" s="9"/>
      <c r="P2627" s="9"/>
      <c r="Q2627" s="9"/>
      <c r="R2627" s="9"/>
      <c r="S2627" s="42" t="str">
        <f>IFERROR(__xludf.DUMMYFUNCTION("""COMPUTED_VALUE"""),"DRC;
DRD;
DRI;
DRL;
DRV;
DRVL")</f>
        <v>DRC;
DRD;
DRI;
DRL;
DRV;
DRVL</v>
      </c>
      <c r="T2627" s="42"/>
      <c r="U2627" s="42" t="b">
        <f>IFERROR(__xludf.DUMMYFUNCTION("""COMPUTED_VALUE"""),FALSE)</f>
        <v>0</v>
      </c>
      <c r="V2627" s="42" t="str">
        <f>IFERROR(__xludf.DUMMYFUNCTION("""COMPUTED_VALUE"""),"Serotonin")</f>
        <v>Serotonin</v>
      </c>
      <c r="W2627" s="42" t="str">
        <f>IFERROR(__xludf.DUMMYFUNCTION("""COMPUTED_VALUE"""),"Inhibitory")</f>
        <v>Inhibitory</v>
      </c>
      <c r="X2627" s="42"/>
      <c r="Y2627" s="42"/>
      <c r="Z2627" s="42"/>
      <c r="AA2627" s="42"/>
      <c r="AB2627" s="42" t="str">
        <f>IFERROR(__xludf.DUMMYFUNCTION("""COMPUTED_VALUE"""),"allen institute")</f>
        <v>allen institute</v>
      </c>
      <c r="AC2627" s="42" t="str">
        <f>IFERROR(__xludf.DUMMYFUNCTION("""COMPUTED_VALUE"""),"DHBA")</f>
        <v>DHBA</v>
      </c>
      <c r="AD2627" s="42"/>
      <c r="AE2627" s="42"/>
      <c r="AF2627" s="9"/>
      <c r="AG2627" s="9"/>
      <c r="AH2627" s="42"/>
      <c r="AI2627" s="42"/>
      <c r="AJ2627" s="42"/>
      <c r="AK2627" s="42"/>
      <c r="AL2627" s="42"/>
      <c r="AM2627" s="42"/>
      <c r="AN2627" s="42"/>
      <c r="AO2627" s="63" t="str">
        <f>IFERROR(__xludf.DUMMYFUNCTION("IF(ISBLANK(A2627),,IF(ISBLANK(S2627), A2627&amp;"";"", TEXTJOIN(CHAR(10), TRUE, A2627&amp;"";"", ARRAYFORMULA(VLOOKUP(SPLIT(S2627, "";"" &amp; CHAR(10)), $A:$AO, 41, FALSE)))))"),"DR;
DRc;
DRD;
DRI;
DRL;
DRV;
DRVL;")</f>
        <v>DR;
DRc;
DRD;
DRI;
DRL;
DRV;
DRVL;</v>
      </c>
      <c r="AP2627" s="89"/>
    </row>
    <row r="2628">
      <c r="A2628" s="151" t="str">
        <f>IFERROR(__xludf.DUMMYFUNCTION("""COMPUTED_VALUE"""),"DRC")</f>
        <v>DRC</v>
      </c>
      <c r="B2628" s="42" t="str">
        <f>IFERROR(__xludf.DUMMYFUNCTION("""COMPUTED_VALUE"""),"DHBA")</f>
        <v>DHBA</v>
      </c>
      <c r="C2628" s="42" t="str">
        <f>IFERROR(__xludf.DUMMYFUNCTION("""COMPUTED_VALUE"""),"dorsal raphe nucleus, caudal part")</f>
        <v>dorsal raphe nucleus, caudal part</v>
      </c>
      <c r="D2628" s="42">
        <f>IFERROR(__xludf.DUMMYFUNCTION("""COMPUTED_VALUE"""),2503.0)</f>
        <v>2503</v>
      </c>
      <c r="E2628" s="39" t="str">
        <f>IFERROR(__xludf.DUMMYFUNCTION("""COMPUTED_VALUE"""),"dorsal raphe nucleus, caudal part")</f>
        <v>dorsal raphe nucleus, caudal part</v>
      </c>
      <c r="F2628" s="9" t="str">
        <f>IFERROR(__xludf.DUMMYFUNCTION("""COMPUTED_VALUE"""),"Br")</f>
        <v>Br</v>
      </c>
      <c r="G2628" s="9" t="str">
        <f>IFERROR(__xludf.DUMMYFUNCTION("""COMPUTED_VALUE"""),"M")</f>
        <v>M</v>
      </c>
      <c r="H2628" s="9" t="str">
        <f>IFERROR(__xludf.DUMMYFUNCTION("""COMPUTED_VALUE"""),"MGM")</f>
        <v>MGM</v>
      </c>
      <c r="I2628" s="9" t="str">
        <f>IFERROR(__xludf.DUMMYFUNCTION("""COMPUTED_VALUE"""),"MTg")</f>
        <v>MTg</v>
      </c>
      <c r="J2628" s="9" t="str">
        <f>IFERROR(__xludf.DUMMYFUNCTION("""COMPUTED_VALUE"""),"MRa")</f>
        <v>MRa</v>
      </c>
      <c r="K2628" s="9" t="str">
        <f>IFERROR(__xludf.DUMMYFUNCTION("""COMPUTED_VALUE"""),"DR")</f>
        <v>DR</v>
      </c>
      <c r="L2628" s="9" t="str">
        <f>IFERROR(__xludf.DUMMYFUNCTION("""COMPUTED_VALUE"""),"DRC")</f>
        <v>DRC</v>
      </c>
      <c r="M2628" s="9"/>
      <c r="N2628" s="9"/>
      <c r="O2628" s="9"/>
      <c r="P2628" s="9"/>
      <c r="Q2628" s="9"/>
      <c r="R2628" s="9"/>
      <c r="S2628" s="42"/>
      <c r="T2628" s="42"/>
      <c r="U2628" s="42"/>
      <c r="V2628" s="42"/>
      <c r="W2628" s="42"/>
      <c r="X2628" s="42"/>
      <c r="Y2628" s="42"/>
      <c r="Z2628" s="42"/>
      <c r="AA2628" s="42"/>
      <c r="AB2628" s="42" t="str">
        <f>IFERROR(__xludf.DUMMYFUNCTION("""COMPUTED_VALUE"""),"allen institute")</f>
        <v>allen institute</v>
      </c>
      <c r="AC2628" s="42" t="str">
        <f>IFERROR(__xludf.DUMMYFUNCTION("""COMPUTED_VALUE"""),"DHBA")</f>
        <v>DHBA</v>
      </c>
      <c r="AD2628" s="42"/>
      <c r="AE2628" s="42"/>
      <c r="AF2628" s="9"/>
      <c r="AG2628" s="9"/>
      <c r="AH2628" s="42"/>
      <c r="AI2628" s="42"/>
      <c r="AJ2628" s="42"/>
      <c r="AK2628" s="42"/>
      <c r="AL2628" s="42"/>
      <c r="AM2628" s="42"/>
      <c r="AN2628" s="42"/>
      <c r="AO2628" s="63" t="str">
        <f>IFERROR(__xludf.DUMMYFUNCTION("IF(ISBLANK(A2628),,IF(ISBLANK(S2628), A2628&amp;"";"", TEXTJOIN(CHAR(10), TRUE, A2628&amp;"";"", ARRAYFORMULA(VLOOKUP(SPLIT(S2628, "";"" &amp; CHAR(10)), $A:$AO, 41, FALSE)))))"),"DRC;")</f>
        <v>DRC;</v>
      </c>
      <c r="AP2628" s="89"/>
    </row>
    <row r="2629">
      <c r="A2629" s="151" t="str">
        <f>IFERROR(__xludf.DUMMYFUNCTION("""COMPUTED_VALUE"""),"DRD")</f>
        <v>DRD</v>
      </c>
      <c r="B2629" s="42" t="str">
        <f>IFERROR(__xludf.DUMMYFUNCTION("""COMPUTED_VALUE"""),"DHBA")</f>
        <v>DHBA</v>
      </c>
      <c r="C2629" s="42" t="str">
        <f>IFERROR(__xludf.DUMMYFUNCTION("""COMPUTED_VALUE"""),"dorsal raphe nucleus, dorsal part")</f>
        <v>dorsal raphe nucleus, dorsal part</v>
      </c>
      <c r="D2629" s="42">
        <f>IFERROR(__xludf.DUMMYFUNCTION("""COMPUTED_VALUE"""),2504.0)</f>
        <v>2504</v>
      </c>
      <c r="E2629" s="39" t="str">
        <f>IFERROR(__xludf.DUMMYFUNCTION("""COMPUTED_VALUE"""),"dorsal raphe nucleus, dorsal part")</f>
        <v>dorsal raphe nucleus, dorsal part</v>
      </c>
      <c r="F2629" s="9" t="str">
        <f>IFERROR(__xludf.DUMMYFUNCTION("""COMPUTED_VALUE"""),"Br")</f>
        <v>Br</v>
      </c>
      <c r="G2629" s="9" t="str">
        <f>IFERROR(__xludf.DUMMYFUNCTION("""COMPUTED_VALUE"""),"M")</f>
        <v>M</v>
      </c>
      <c r="H2629" s="9" t="str">
        <f>IFERROR(__xludf.DUMMYFUNCTION("""COMPUTED_VALUE"""),"MGM")</f>
        <v>MGM</v>
      </c>
      <c r="I2629" s="9" t="str">
        <f>IFERROR(__xludf.DUMMYFUNCTION("""COMPUTED_VALUE"""),"MTg")</f>
        <v>MTg</v>
      </c>
      <c r="J2629" s="9" t="str">
        <f>IFERROR(__xludf.DUMMYFUNCTION("""COMPUTED_VALUE"""),"MRa")</f>
        <v>MRa</v>
      </c>
      <c r="K2629" s="9" t="str">
        <f>IFERROR(__xludf.DUMMYFUNCTION("""COMPUTED_VALUE"""),"DR")</f>
        <v>DR</v>
      </c>
      <c r="L2629" s="9" t="str">
        <f>IFERROR(__xludf.DUMMYFUNCTION("""COMPUTED_VALUE"""),"DRD")</f>
        <v>DRD</v>
      </c>
      <c r="M2629" s="9"/>
      <c r="N2629" s="9"/>
      <c r="O2629" s="9"/>
      <c r="P2629" s="9"/>
      <c r="Q2629" s="9"/>
      <c r="R2629" s="9"/>
      <c r="S2629" s="42"/>
      <c r="T2629" s="42"/>
      <c r="U2629" s="159"/>
      <c r="V2629" s="42"/>
      <c r="W2629" s="42"/>
      <c r="X2629" s="42"/>
      <c r="Y2629" s="42"/>
      <c r="Z2629" s="42"/>
      <c r="AA2629" s="42"/>
      <c r="AB2629" s="42" t="str">
        <f>IFERROR(__xludf.DUMMYFUNCTION("""COMPUTED_VALUE"""),"allen institute")</f>
        <v>allen institute</v>
      </c>
      <c r="AC2629" s="42" t="str">
        <f>IFERROR(__xludf.DUMMYFUNCTION("""COMPUTED_VALUE"""),"DHBA")</f>
        <v>DHBA</v>
      </c>
      <c r="AD2629" s="42"/>
      <c r="AE2629" s="42"/>
      <c r="AF2629" s="9"/>
      <c r="AG2629" s="9"/>
      <c r="AH2629" s="42"/>
      <c r="AI2629" s="42"/>
      <c r="AJ2629" s="42"/>
      <c r="AK2629" s="42"/>
      <c r="AL2629" s="42"/>
      <c r="AM2629" s="42"/>
      <c r="AN2629" s="42"/>
      <c r="AO2629" s="63" t="str">
        <f>IFERROR(__xludf.DUMMYFUNCTION("IF(ISBLANK(A2629),,IF(ISBLANK(S2629), A2629&amp;"";"", TEXTJOIN(CHAR(10), TRUE, A2629&amp;"";"", ARRAYFORMULA(VLOOKUP(SPLIT(S2629, "";"" &amp; CHAR(10)), $A:$AO, 41, FALSE)))))"),"DRD;")</f>
        <v>DRD;</v>
      </c>
      <c r="AP2629" s="89"/>
    </row>
    <row r="2630">
      <c r="A2630" s="151" t="str">
        <f>IFERROR(__xludf.DUMMYFUNCTION("""COMPUTED_VALUE"""),"DRI")</f>
        <v>DRI</v>
      </c>
      <c r="B2630" s="42" t="str">
        <f>IFERROR(__xludf.DUMMYFUNCTION("""COMPUTED_VALUE"""),"DHBA")</f>
        <v>DHBA</v>
      </c>
      <c r="C2630" s="42" t="str">
        <f>IFERROR(__xludf.DUMMYFUNCTION("""COMPUTED_VALUE"""),"dorsal raphe nucleus, interfascicular part")</f>
        <v>dorsal raphe nucleus, interfascicular part</v>
      </c>
      <c r="D2630" s="42">
        <f>IFERROR(__xludf.DUMMYFUNCTION("""COMPUTED_VALUE"""),2505.0)</f>
        <v>2505</v>
      </c>
      <c r="E2630" s="39" t="str">
        <f>IFERROR(__xludf.DUMMYFUNCTION("""COMPUTED_VALUE"""),"dorsal raphe nucleus, interfascicular part")</f>
        <v>dorsal raphe nucleus, interfascicular part</v>
      </c>
      <c r="F2630" s="9" t="str">
        <f>IFERROR(__xludf.DUMMYFUNCTION("""COMPUTED_VALUE"""),"Br")</f>
        <v>Br</v>
      </c>
      <c r="G2630" s="9" t="str">
        <f>IFERROR(__xludf.DUMMYFUNCTION("""COMPUTED_VALUE"""),"M")</f>
        <v>M</v>
      </c>
      <c r="H2630" s="9" t="str">
        <f>IFERROR(__xludf.DUMMYFUNCTION("""COMPUTED_VALUE"""),"MGM")</f>
        <v>MGM</v>
      </c>
      <c r="I2630" s="9" t="str">
        <f>IFERROR(__xludf.DUMMYFUNCTION("""COMPUTED_VALUE"""),"MTg")</f>
        <v>MTg</v>
      </c>
      <c r="J2630" s="9" t="str">
        <f>IFERROR(__xludf.DUMMYFUNCTION("""COMPUTED_VALUE"""),"MRa")</f>
        <v>MRa</v>
      </c>
      <c r="K2630" s="9" t="str">
        <f>IFERROR(__xludf.DUMMYFUNCTION("""COMPUTED_VALUE"""),"DR")</f>
        <v>DR</v>
      </c>
      <c r="L2630" s="9" t="str">
        <f>IFERROR(__xludf.DUMMYFUNCTION("""COMPUTED_VALUE"""),"DRI")</f>
        <v>DRI</v>
      </c>
      <c r="M2630" s="9"/>
      <c r="N2630" s="9"/>
      <c r="O2630" s="9"/>
      <c r="P2630" s="9"/>
      <c r="Q2630" s="9"/>
      <c r="R2630" s="9"/>
      <c r="S2630" s="42"/>
      <c r="T2630" s="42"/>
      <c r="U2630" s="42"/>
      <c r="V2630" s="42"/>
      <c r="W2630" s="42"/>
      <c r="X2630" s="42"/>
      <c r="Y2630" s="42"/>
      <c r="Z2630" s="42"/>
      <c r="AA2630" s="42"/>
      <c r="AB2630" s="42" t="str">
        <f>IFERROR(__xludf.DUMMYFUNCTION("""COMPUTED_VALUE"""),"allen institute")</f>
        <v>allen institute</v>
      </c>
      <c r="AC2630" s="42" t="str">
        <f>IFERROR(__xludf.DUMMYFUNCTION("""COMPUTED_VALUE"""),"DHBA")</f>
        <v>DHBA</v>
      </c>
      <c r="AD2630" s="42"/>
      <c r="AE2630" s="42"/>
      <c r="AF2630" s="9"/>
      <c r="AG2630" s="9"/>
      <c r="AH2630" s="42"/>
      <c r="AI2630" s="42"/>
      <c r="AJ2630" s="42"/>
      <c r="AK2630" s="42"/>
      <c r="AL2630" s="42"/>
      <c r="AM2630" s="42"/>
      <c r="AN2630" s="42"/>
      <c r="AO2630" s="63" t="str">
        <f>IFERROR(__xludf.DUMMYFUNCTION("IF(ISBLANK(A2630),,IF(ISBLANK(S2630), A2630&amp;"";"", TEXTJOIN(CHAR(10), TRUE, A2630&amp;"";"", ARRAYFORMULA(VLOOKUP(SPLIT(S2630, "";"" &amp; CHAR(10)), $A:$AO, 41, FALSE)))))"),"DRI;")</f>
        <v>DRI;</v>
      </c>
      <c r="AP2630" s="89"/>
    </row>
    <row r="2631">
      <c r="A2631" s="151" t="str">
        <f>IFERROR(__xludf.DUMMYFUNCTION("""COMPUTED_VALUE"""),"DRL")</f>
        <v>DRL</v>
      </c>
      <c r="B2631" s="42" t="str">
        <f>IFERROR(__xludf.DUMMYFUNCTION("""COMPUTED_VALUE"""),"DHBA")</f>
        <v>DHBA</v>
      </c>
      <c r="C2631" s="42" t="str">
        <f>IFERROR(__xludf.DUMMYFUNCTION("""COMPUTED_VALUE"""),"dorsal raphe nucleus, lateral part")</f>
        <v>dorsal raphe nucleus, lateral part</v>
      </c>
      <c r="D2631" s="42">
        <f>IFERROR(__xludf.DUMMYFUNCTION("""COMPUTED_VALUE"""),2506.0)</f>
        <v>2506</v>
      </c>
      <c r="E2631" s="39" t="str">
        <f>IFERROR(__xludf.DUMMYFUNCTION("""COMPUTED_VALUE"""),"dorsal raphe nucleus, lateral part")</f>
        <v>dorsal raphe nucleus, lateral part</v>
      </c>
      <c r="F2631" s="9" t="str">
        <f>IFERROR(__xludf.DUMMYFUNCTION("""COMPUTED_VALUE"""),"Br")</f>
        <v>Br</v>
      </c>
      <c r="G2631" s="9" t="str">
        <f>IFERROR(__xludf.DUMMYFUNCTION("""COMPUTED_VALUE"""),"M")</f>
        <v>M</v>
      </c>
      <c r="H2631" s="9" t="str">
        <f>IFERROR(__xludf.DUMMYFUNCTION("""COMPUTED_VALUE"""),"MGM")</f>
        <v>MGM</v>
      </c>
      <c r="I2631" s="9" t="str">
        <f>IFERROR(__xludf.DUMMYFUNCTION("""COMPUTED_VALUE"""),"MTg")</f>
        <v>MTg</v>
      </c>
      <c r="J2631" s="9" t="str">
        <f>IFERROR(__xludf.DUMMYFUNCTION("""COMPUTED_VALUE"""),"MRa")</f>
        <v>MRa</v>
      </c>
      <c r="K2631" s="9" t="str">
        <f>IFERROR(__xludf.DUMMYFUNCTION("""COMPUTED_VALUE"""),"DR")</f>
        <v>DR</v>
      </c>
      <c r="L2631" s="9" t="str">
        <f>IFERROR(__xludf.DUMMYFUNCTION("""COMPUTED_VALUE"""),"DRL")</f>
        <v>DRL</v>
      </c>
      <c r="M2631" s="9"/>
      <c r="N2631" s="9"/>
      <c r="O2631" s="9"/>
      <c r="P2631" s="9"/>
      <c r="Q2631" s="9"/>
      <c r="R2631" s="9"/>
      <c r="S2631" s="42"/>
      <c r="T2631" s="42"/>
      <c r="U2631" s="42"/>
      <c r="V2631" s="42"/>
      <c r="W2631" s="42"/>
      <c r="X2631" s="42"/>
      <c r="Y2631" s="42"/>
      <c r="Z2631" s="42"/>
      <c r="AA2631" s="42"/>
      <c r="AB2631" s="42" t="str">
        <f>IFERROR(__xludf.DUMMYFUNCTION("""COMPUTED_VALUE"""),"allen institute")</f>
        <v>allen institute</v>
      </c>
      <c r="AC2631" s="42" t="str">
        <f>IFERROR(__xludf.DUMMYFUNCTION("""COMPUTED_VALUE"""),"DHBA")</f>
        <v>DHBA</v>
      </c>
      <c r="AD2631" s="42"/>
      <c r="AE2631" s="42"/>
      <c r="AF2631" s="9"/>
      <c r="AG2631" s="9"/>
      <c r="AH2631" s="42"/>
      <c r="AI2631" s="42"/>
      <c r="AJ2631" s="42"/>
      <c r="AK2631" s="42"/>
      <c r="AL2631" s="42"/>
      <c r="AM2631" s="42"/>
      <c r="AN2631" s="42"/>
      <c r="AO2631" s="63" t="str">
        <f>IFERROR(__xludf.DUMMYFUNCTION("IF(ISBLANK(A2631),,IF(ISBLANK(S2631), A2631&amp;"";"", TEXTJOIN(CHAR(10), TRUE, A2631&amp;"";"", ARRAYFORMULA(VLOOKUP(SPLIT(S2631, "";"" &amp; CHAR(10)), $A:$AO, 41, FALSE)))))"),"DRL;")</f>
        <v>DRL;</v>
      </c>
      <c r="AP2631" s="89"/>
    </row>
    <row r="2632">
      <c r="A2632" s="151" t="str">
        <f>IFERROR(__xludf.DUMMYFUNCTION("""COMPUTED_VALUE"""),"DRV")</f>
        <v>DRV</v>
      </c>
      <c r="B2632" s="42" t="str">
        <f>IFERROR(__xludf.DUMMYFUNCTION("""COMPUTED_VALUE"""),"DHBA")</f>
        <v>DHBA</v>
      </c>
      <c r="C2632" s="42" t="str">
        <f>IFERROR(__xludf.DUMMYFUNCTION("""COMPUTED_VALUE"""),"dorsal raphe nucleus, ventral part")</f>
        <v>dorsal raphe nucleus, ventral part</v>
      </c>
      <c r="D2632" s="42">
        <f>IFERROR(__xludf.DUMMYFUNCTION("""COMPUTED_VALUE"""),2507.0)</f>
        <v>2507</v>
      </c>
      <c r="E2632" s="39" t="str">
        <f>IFERROR(__xludf.DUMMYFUNCTION("""COMPUTED_VALUE"""),"dorsal raphe nucleus, ventral part")</f>
        <v>dorsal raphe nucleus, ventral part</v>
      </c>
      <c r="F2632" s="9" t="str">
        <f>IFERROR(__xludf.DUMMYFUNCTION("""COMPUTED_VALUE"""),"Br")</f>
        <v>Br</v>
      </c>
      <c r="G2632" s="9" t="str">
        <f>IFERROR(__xludf.DUMMYFUNCTION("""COMPUTED_VALUE"""),"M")</f>
        <v>M</v>
      </c>
      <c r="H2632" s="9" t="str">
        <f>IFERROR(__xludf.DUMMYFUNCTION("""COMPUTED_VALUE"""),"MGM")</f>
        <v>MGM</v>
      </c>
      <c r="I2632" s="9" t="str">
        <f>IFERROR(__xludf.DUMMYFUNCTION("""COMPUTED_VALUE"""),"MTg")</f>
        <v>MTg</v>
      </c>
      <c r="J2632" s="9" t="str">
        <f>IFERROR(__xludf.DUMMYFUNCTION("""COMPUTED_VALUE"""),"MRa")</f>
        <v>MRa</v>
      </c>
      <c r="K2632" s="9" t="str">
        <f>IFERROR(__xludf.DUMMYFUNCTION("""COMPUTED_VALUE"""),"DR")</f>
        <v>DR</v>
      </c>
      <c r="L2632" s="9" t="str">
        <f>IFERROR(__xludf.DUMMYFUNCTION("""COMPUTED_VALUE"""),"DRV")</f>
        <v>DRV</v>
      </c>
      <c r="M2632" s="9"/>
      <c r="N2632" s="9"/>
      <c r="O2632" s="9"/>
      <c r="P2632" s="9"/>
      <c r="Q2632" s="9"/>
      <c r="R2632" s="9"/>
      <c r="S2632" s="42"/>
      <c r="T2632" s="42"/>
      <c r="U2632" s="42"/>
      <c r="V2632" s="42"/>
      <c r="W2632" s="42"/>
      <c r="X2632" s="42"/>
      <c r="Y2632" s="42"/>
      <c r="Z2632" s="42"/>
      <c r="AA2632" s="42"/>
      <c r="AB2632" s="42" t="str">
        <f>IFERROR(__xludf.DUMMYFUNCTION("""COMPUTED_VALUE"""),"allen institute")</f>
        <v>allen institute</v>
      </c>
      <c r="AC2632" s="42" t="str">
        <f>IFERROR(__xludf.DUMMYFUNCTION("""COMPUTED_VALUE"""),"DHBA")</f>
        <v>DHBA</v>
      </c>
      <c r="AD2632" s="42"/>
      <c r="AE2632" s="42"/>
      <c r="AF2632" s="9"/>
      <c r="AG2632" s="9"/>
      <c r="AH2632" s="42"/>
      <c r="AI2632" s="42"/>
      <c r="AJ2632" s="42"/>
      <c r="AK2632" s="42"/>
      <c r="AL2632" s="42"/>
      <c r="AM2632" s="42"/>
      <c r="AN2632" s="42"/>
      <c r="AO2632" s="63" t="str">
        <f>IFERROR(__xludf.DUMMYFUNCTION("IF(ISBLANK(A2632),,IF(ISBLANK(S2632), A2632&amp;"";"", TEXTJOIN(CHAR(10), TRUE, A2632&amp;"";"", ARRAYFORMULA(VLOOKUP(SPLIT(S2632, "";"" &amp; CHAR(10)), $A:$AO, 41, FALSE)))))"),"DRV;")</f>
        <v>DRV;</v>
      </c>
      <c r="AP2632" s="89"/>
    </row>
    <row r="2633">
      <c r="A2633" s="151" t="str">
        <f>IFERROR(__xludf.DUMMYFUNCTION("""COMPUTED_VALUE"""),"DRVL")</f>
        <v>DRVL</v>
      </c>
      <c r="B2633" s="42" t="str">
        <f>IFERROR(__xludf.DUMMYFUNCTION("""COMPUTED_VALUE"""),"DHBA")</f>
        <v>DHBA</v>
      </c>
      <c r="C2633" s="42" t="str">
        <f>IFERROR(__xludf.DUMMYFUNCTION("""COMPUTED_VALUE"""),"dorsal raphe nucleus, ventrolateral part")</f>
        <v>dorsal raphe nucleus, ventrolateral part</v>
      </c>
      <c r="D2633" s="42">
        <f>IFERROR(__xludf.DUMMYFUNCTION("""COMPUTED_VALUE"""),2508.0)</f>
        <v>2508</v>
      </c>
      <c r="E2633" s="39" t="str">
        <f>IFERROR(__xludf.DUMMYFUNCTION("""COMPUTED_VALUE"""),"dorsal raphe nucleus, ventrolateral part")</f>
        <v>dorsal raphe nucleus, ventrolateral part</v>
      </c>
      <c r="F2633" s="9" t="str">
        <f>IFERROR(__xludf.DUMMYFUNCTION("""COMPUTED_VALUE"""),"Br")</f>
        <v>Br</v>
      </c>
      <c r="G2633" s="9" t="str">
        <f>IFERROR(__xludf.DUMMYFUNCTION("""COMPUTED_VALUE"""),"M")</f>
        <v>M</v>
      </c>
      <c r="H2633" s="9" t="str">
        <f>IFERROR(__xludf.DUMMYFUNCTION("""COMPUTED_VALUE"""),"MGM")</f>
        <v>MGM</v>
      </c>
      <c r="I2633" s="9" t="str">
        <f>IFERROR(__xludf.DUMMYFUNCTION("""COMPUTED_VALUE"""),"MTg")</f>
        <v>MTg</v>
      </c>
      <c r="J2633" s="9" t="str">
        <f>IFERROR(__xludf.DUMMYFUNCTION("""COMPUTED_VALUE"""),"MRa")</f>
        <v>MRa</v>
      </c>
      <c r="K2633" s="9" t="str">
        <f>IFERROR(__xludf.DUMMYFUNCTION("""COMPUTED_VALUE"""),"DR")</f>
        <v>DR</v>
      </c>
      <c r="L2633" s="9" t="str">
        <f>IFERROR(__xludf.DUMMYFUNCTION("""COMPUTED_VALUE"""),"DRVL")</f>
        <v>DRVL</v>
      </c>
      <c r="M2633" s="9"/>
      <c r="N2633" s="9"/>
      <c r="O2633" s="9"/>
      <c r="P2633" s="9"/>
      <c r="Q2633" s="9"/>
      <c r="R2633" s="9"/>
      <c r="S2633" s="42"/>
      <c r="T2633" s="42"/>
      <c r="U2633" s="42"/>
      <c r="V2633" s="42"/>
      <c r="W2633" s="42"/>
      <c r="X2633" s="42"/>
      <c r="Y2633" s="42"/>
      <c r="Z2633" s="42"/>
      <c r="AA2633" s="42"/>
      <c r="AB2633" s="42" t="str">
        <f>IFERROR(__xludf.DUMMYFUNCTION("""COMPUTED_VALUE"""),"allen institute")</f>
        <v>allen institute</v>
      </c>
      <c r="AC2633" s="42" t="str">
        <f>IFERROR(__xludf.DUMMYFUNCTION("""COMPUTED_VALUE"""),"DHBA")</f>
        <v>DHBA</v>
      </c>
      <c r="AD2633" s="42"/>
      <c r="AE2633" s="42"/>
      <c r="AF2633" s="9"/>
      <c r="AG2633" s="9"/>
      <c r="AH2633" s="42"/>
      <c r="AI2633" s="42"/>
      <c r="AJ2633" s="42"/>
      <c r="AK2633" s="42"/>
      <c r="AL2633" s="42"/>
      <c r="AM2633" s="42"/>
      <c r="AN2633" s="42"/>
      <c r="AO2633" s="63" t="str">
        <f>IFERROR(__xludf.DUMMYFUNCTION("IF(ISBLANK(A2633),,IF(ISBLANK(S2633), A2633&amp;"";"", TEXTJOIN(CHAR(10), TRUE, A2633&amp;"";"", ARRAYFORMULA(VLOOKUP(SPLIT(S2633, "";"" &amp; CHAR(10)), $A:$AO, 41, FALSE)))))"),"DRVL;")</f>
        <v>DRVL;</v>
      </c>
      <c r="AP2633" s="89"/>
    </row>
    <row r="2634">
      <c r="A2634" s="151" t="str">
        <f>IFERROR(__xludf.DUMMYFUNCTION("""COMPUTED_VALUE"""),"Lin")</f>
        <v>Lin</v>
      </c>
      <c r="B2634" s="42" t="str">
        <f>IFERROR(__xludf.DUMMYFUNCTION("""COMPUTED_VALUE"""),"DHBA")</f>
        <v>DHBA</v>
      </c>
      <c r="C2634" s="42" t="str">
        <f>IFERROR(__xludf.DUMMYFUNCTION("""COMPUTED_VALUE"""),"linear nucleus of the midbrain")</f>
        <v>linear nucleus of the midbrain</v>
      </c>
      <c r="D2634" s="42">
        <f>IFERROR(__xludf.DUMMYFUNCTION("""COMPUTED_VALUE"""),2509.0)</f>
        <v>2509</v>
      </c>
      <c r="E2634" s="39" t="str">
        <f>IFERROR(__xludf.DUMMYFUNCTION("""COMPUTED_VALUE"""),"linear nucleus of the midbrain")</f>
        <v>linear nucleus of the midbrain</v>
      </c>
      <c r="F2634" s="9" t="str">
        <f>IFERROR(__xludf.DUMMYFUNCTION("""COMPUTED_VALUE"""),"Br")</f>
        <v>Br</v>
      </c>
      <c r="G2634" s="9" t="str">
        <f>IFERROR(__xludf.DUMMYFUNCTION("""COMPUTED_VALUE"""),"M")</f>
        <v>M</v>
      </c>
      <c r="H2634" s="9" t="str">
        <f>IFERROR(__xludf.DUMMYFUNCTION("""COMPUTED_VALUE"""),"MGM")</f>
        <v>MGM</v>
      </c>
      <c r="I2634" s="9" t="str">
        <f>IFERROR(__xludf.DUMMYFUNCTION("""COMPUTED_VALUE"""),"MTg")</f>
        <v>MTg</v>
      </c>
      <c r="J2634" s="9" t="str">
        <f>IFERROR(__xludf.DUMMYFUNCTION("""COMPUTED_VALUE"""),"MRa")</f>
        <v>MRa</v>
      </c>
      <c r="K2634" s="9" t="str">
        <f>IFERROR(__xludf.DUMMYFUNCTION("""COMPUTED_VALUE"""),"Lin")</f>
        <v>Lin</v>
      </c>
      <c r="L2634" s="9"/>
      <c r="M2634" s="9"/>
      <c r="N2634" s="9"/>
      <c r="O2634" s="9"/>
      <c r="P2634" s="9"/>
      <c r="Q2634" s="9"/>
      <c r="R2634" s="9"/>
      <c r="S2634" s="42" t="str">
        <f>IFERROR(__xludf.DUMMYFUNCTION("""COMPUTED_VALUE"""),"CLiZ;
RLin")</f>
        <v>CLiZ;
RLin</v>
      </c>
      <c r="T2634" s="42"/>
      <c r="U2634" s="42" t="b">
        <f>IFERROR(__xludf.DUMMYFUNCTION("""COMPUTED_VALUE"""),FALSE)</f>
        <v>0</v>
      </c>
      <c r="V2634" s="42"/>
      <c r="W2634" s="42"/>
      <c r="X2634" s="42"/>
      <c r="Y2634" s="42"/>
      <c r="Z2634" s="42"/>
      <c r="AA2634" s="42"/>
      <c r="AB2634" s="42" t="str">
        <f>IFERROR(__xludf.DUMMYFUNCTION("""COMPUTED_VALUE"""),"allen institute")</f>
        <v>allen institute</v>
      </c>
      <c r="AC2634" s="42" t="str">
        <f>IFERROR(__xludf.DUMMYFUNCTION("""COMPUTED_VALUE"""),"DHBA")</f>
        <v>DHBA</v>
      </c>
      <c r="AD2634" s="42"/>
      <c r="AE2634" s="42"/>
      <c r="AF2634" s="9"/>
      <c r="AG2634" s="9"/>
      <c r="AH2634" s="42"/>
      <c r="AI2634" s="42"/>
      <c r="AJ2634" s="42"/>
      <c r="AK2634" s="42"/>
      <c r="AL2634" s="42"/>
      <c r="AM2634" s="42"/>
      <c r="AN2634" s="42"/>
      <c r="AO2634" s="63" t="str">
        <f>IFERROR(__xludf.DUMMYFUNCTION("IF(ISBLANK(A2634),,IF(ISBLANK(S2634), A2634&amp;"";"", TEXTJOIN(CHAR(10), TRUE, A2634&amp;"";"", ARRAYFORMULA(VLOOKUP(SPLIT(S2634, "";"" &amp; CHAR(10)), $A:$AO, 41, FALSE)))))"),"Lin;
CLiZ;
CLinAz;
CLinZ;
RLin;")</f>
        <v>Lin;
CLiZ;
CLinAz;
CLinZ;
RLin;</v>
      </c>
      <c r="AP2634" s="89"/>
    </row>
    <row r="2635">
      <c r="A2635" s="151" t="str">
        <f>IFERROR(__xludf.DUMMYFUNCTION("""COMPUTED_VALUE"""),"CLiZ")</f>
        <v>CLiZ</v>
      </c>
      <c r="B2635" s="42" t="str">
        <f>IFERROR(__xludf.DUMMYFUNCTION("""COMPUTED_VALUE"""),"DHBA")</f>
        <v>DHBA</v>
      </c>
      <c r="C2635" s="42" t="str">
        <f>IFERROR(__xludf.DUMMYFUNCTION("""COMPUTED_VALUE"""),"caudal linear nucleus of the raphe, Nucleus linearis caudalis, LiC")</f>
        <v>caudal linear nucleus of the raphe, Nucleus linearis caudalis, LiC</v>
      </c>
      <c r="D2635" s="42">
        <f>IFERROR(__xludf.DUMMYFUNCTION("""COMPUTED_VALUE"""),2510.0)</f>
        <v>2510</v>
      </c>
      <c r="E2635" s="39" t="str">
        <f>IFERROR(__xludf.DUMMYFUNCTION("""COMPUTED_VALUE"""),"caudal linear nucleus of the raphe")</f>
        <v>caudal linear nucleus of the raphe</v>
      </c>
      <c r="F2635" s="9" t="str">
        <f>IFERROR(__xludf.DUMMYFUNCTION("""COMPUTED_VALUE"""),"Br")</f>
        <v>Br</v>
      </c>
      <c r="G2635" s="9" t="str">
        <f>IFERROR(__xludf.DUMMYFUNCTION("""COMPUTED_VALUE"""),"M")</f>
        <v>M</v>
      </c>
      <c r="H2635" s="9" t="str">
        <f>IFERROR(__xludf.DUMMYFUNCTION("""COMPUTED_VALUE"""),"MGM")</f>
        <v>MGM</v>
      </c>
      <c r="I2635" s="9" t="str">
        <f>IFERROR(__xludf.DUMMYFUNCTION("""COMPUTED_VALUE"""),"MTg")</f>
        <v>MTg</v>
      </c>
      <c r="J2635" s="9" t="str">
        <f>IFERROR(__xludf.DUMMYFUNCTION("""COMPUTED_VALUE"""),"MRa")</f>
        <v>MRa</v>
      </c>
      <c r="K2635" s="9" t="str">
        <f>IFERROR(__xludf.DUMMYFUNCTION("""COMPUTED_VALUE"""),"Lin")</f>
        <v>Lin</v>
      </c>
      <c r="L2635" s="9" t="str">
        <f>IFERROR(__xludf.DUMMYFUNCTION("""COMPUTED_VALUE"""),"CLiZ")</f>
        <v>CLiZ</v>
      </c>
      <c r="M2635" s="9"/>
      <c r="N2635" s="9"/>
      <c r="O2635" s="9"/>
      <c r="P2635" s="9"/>
      <c r="Q2635" s="9"/>
      <c r="R2635" s="9"/>
      <c r="S2635" s="42" t="str">
        <f>IFERROR(__xludf.DUMMYFUNCTION("""COMPUTED_VALUE"""),"CLinAz;
CLinZ")</f>
        <v>CLinAz;
CLinZ</v>
      </c>
      <c r="T2635" s="42"/>
      <c r="U2635" s="42" t="b">
        <f>IFERROR(__xludf.DUMMYFUNCTION("""COMPUTED_VALUE"""),FALSE)</f>
        <v>0</v>
      </c>
      <c r="V2635" s="42"/>
      <c r="W2635" s="42"/>
      <c r="X2635" s="42"/>
      <c r="Y2635" s="42"/>
      <c r="Z2635" s="42"/>
      <c r="AA2635" s="42"/>
      <c r="AB2635" s="42" t="str">
        <f>IFERROR(__xludf.DUMMYFUNCTION("""COMPUTED_VALUE"""),"allen institute")</f>
        <v>allen institute</v>
      </c>
      <c r="AC2635" s="42" t="str">
        <f>IFERROR(__xludf.DUMMYFUNCTION("""COMPUTED_VALUE"""),"DHBA")</f>
        <v>DHBA</v>
      </c>
      <c r="AD2635" s="42"/>
      <c r="AE2635" s="42"/>
      <c r="AF2635" s="9"/>
      <c r="AG2635" s="9"/>
      <c r="AH2635" s="42"/>
      <c r="AI2635" s="42"/>
      <c r="AJ2635" s="42"/>
      <c r="AK2635" s="42"/>
      <c r="AL2635" s="42"/>
      <c r="AM2635" s="42"/>
      <c r="AN2635" s="42"/>
      <c r="AO2635" s="63" t="str">
        <f>IFERROR(__xludf.DUMMYFUNCTION("IF(ISBLANK(A2635),,IF(ISBLANK(S2635), A2635&amp;"";"", TEXTJOIN(CHAR(10), TRUE, A2635&amp;"";"", ARRAYFORMULA(VLOOKUP(SPLIT(S2635, "";"" &amp; CHAR(10)), $A:$AO, 41, FALSE)))))"),"CLiZ;
CLinAz;
CLinZ;")</f>
        <v>CLiZ;
CLinAz;
CLinZ;</v>
      </c>
      <c r="AP2635" s="89"/>
    </row>
    <row r="2636">
      <c r="A2636" s="151" t="str">
        <f>IFERROR(__xludf.DUMMYFUNCTION("""COMPUTED_VALUE"""),"CLinAz")</f>
        <v>CLinAz</v>
      </c>
      <c r="B2636" s="42" t="str">
        <f>IFERROR(__xludf.DUMMYFUNCTION("""COMPUTED_VALUE"""),"DHBA")</f>
        <v>DHBA</v>
      </c>
      <c r="C2636" s="42" t="str">
        <f>IFERROR(__xludf.DUMMYFUNCTION("""COMPUTED_VALUE"""),"caudal linear nucleus of the raphe, azygos part")</f>
        <v>caudal linear nucleus of the raphe, azygos part</v>
      </c>
      <c r="D2636" s="42">
        <f>IFERROR(__xludf.DUMMYFUNCTION("""COMPUTED_VALUE"""),2511.0)</f>
        <v>2511</v>
      </c>
      <c r="E2636" s="39" t="str">
        <f>IFERROR(__xludf.DUMMYFUNCTION("""COMPUTED_VALUE"""),"caudal linear nucleus of the raphe, azygos part")</f>
        <v>caudal linear nucleus of the raphe, azygos part</v>
      </c>
      <c r="F2636" s="9" t="str">
        <f>IFERROR(__xludf.DUMMYFUNCTION("""COMPUTED_VALUE"""),"Br")</f>
        <v>Br</v>
      </c>
      <c r="G2636" s="9" t="str">
        <f>IFERROR(__xludf.DUMMYFUNCTION("""COMPUTED_VALUE"""),"M")</f>
        <v>M</v>
      </c>
      <c r="H2636" s="9" t="str">
        <f>IFERROR(__xludf.DUMMYFUNCTION("""COMPUTED_VALUE"""),"MGM")</f>
        <v>MGM</v>
      </c>
      <c r="I2636" s="9" t="str">
        <f>IFERROR(__xludf.DUMMYFUNCTION("""COMPUTED_VALUE"""),"MTg")</f>
        <v>MTg</v>
      </c>
      <c r="J2636" s="9" t="str">
        <f>IFERROR(__xludf.DUMMYFUNCTION("""COMPUTED_VALUE"""),"MRa")</f>
        <v>MRa</v>
      </c>
      <c r="K2636" s="9" t="str">
        <f>IFERROR(__xludf.DUMMYFUNCTION("""COMPUTED_VALUE"""),"Lin")</f>
        <v>Lin</v>
      </c>
      <c r="L2636" s="9" t="str">
        <f>IFERROR(__xludf.DUMMYFUNCTION("""COMPUTED_VALUE"""),"CLiZ")</f>
        <v>CLiZ</v>
      </c>
      <c r="M2636" s="9" t="str">
        <f>IFERROR(__xludf.DUMMYFUNCTION("""COMPUTED_VALUE"""),"CLinAz")</f>
        <v>CLinAz</v>
      </c>
      <c r="N2636" s="9"/>
      <c r="O2636" s="9"/>
      <c r="P2636" s="9"/>
      <c r="Q2636" s="9"/>
      <c r="R2636" s="9"/>
      <c r="S2636" s="42"/>
      <c r="T2636" s="42"/>
      <c r="U2636" s="42"/>
      <c r="V2636" s="42"/>
      <c r="W2636" s="42"/>
      <c r="X2636" s="42"/>
      <c r="Y2636" s="42"/>
      <c r="Z2636" s="42"/>
      <c r="AA2636" s="42"/>
      <c r="AB2636" s="42" t="str">
        <f>IFERROR(__xludf.DUMMYFUNCTION("""COMPUTED_VALUE"""),"allen institute")</f>
        <v>allen institute</v>
      </c>
      <c r="AC2636" s="42" t="str">
        <f>IFERROR(__xludf.DUMMYFUNCTION("""COMPUTED_VALUE"""),"DHBA")</f>
        <v>DHBA</v>
      </c>
      <c r="AD2636" s="42"/>
      <c r="AE2636" s="42"/>
      <c r="AF2636" s="9"/>
      <c r="AG2636" s="9"/>
      <c r="AH2636" s="42"/>
      <c r="AI2636" s="42"/>
      <c r="AJ2636" s="42"/>
      <c r="AK2636" s="42"/>
      <c r="AL2636" s="42"/>
      <c r="AM2636" s="42"/>
      <c r="AN2636" s="42"/>
      <c r="AO2636" s="63" t="str">
        <f>IFERROR(__xludf.DUMMYFUNCTION("IF(ISBLANK(A2636),,IF(ISBLANK(S2636), A2636&amp;"";"", TEXTJOIN(CHAR(10), TRUE, A2636&amp;"";"", ARRAYFORMULA(VLOOKUP(SPLIT(S2636, "";"" &amp; CHAR(10)), $A:$AO, 41, FALSE)))))"),"CLinAz;")</f>
        <v>CLinAz;</v>
      </c>
      <c r="AP2636" s="89"/>
    </row>
    <row r="2637">
      <c r="A2637" s="151" t="str">
        <f>IFERROR(__xludf.DUMMYFUNCTION("""COMPUTED_VALUE"""),"CLinZ")</f>
        <v>CLinZ</v>
      </c>
      <c r="B2637" s="42" t="str">
        <f>IFERROR(__xludf.DUMMYFUNCTION("""COMPUTED_VALUE"""),"DHBA")</f>
        <v>DHBA</v>
      </c>
      <c r="C2637" s="42" t="str">
        <f>IFERROR(__xludf.DUMMYFUNCTION("""COMPUTED_VALUE"""),"caudal linear nucleus of the raphe, zygos part")</f>
        <v>caudal linear nucleus of the raphe, zygos part</v>
      </c>
      <c r="D2637" s="42">
        <f>IFERROR(__xludf.DUMMYFUNCTION("""COMPUTED_VALUE"""),2512.0)</f>
        <v>2512</v>
      </c>
      <c r="E2637" s="39" t="str">
        <f>IFERROR(__xludf.DUMMYFUNCTION("""COMPUTED_VALUE"""),"caudal linear nucleus of the raphe, zygos part")</f>
        <v>caudal linear nucleus of the raphe, zygos part</v>
      </c>
      <c r="F2637" s="9" t="str">
        <f>IFERROR(__xludf.DUMMYFUNCTION("""COMPUTED_VALUE"""),"Br")</f>
        <v>Br</v>
      </c>
      <c r="G2637" s="9" t="str">
        <f>IFERROR(__xludf.DUMMYFUNCTION("""COMPUTED_VALUE"""),"M")</f>
        <v>M</v>
      </c>
      <c r="H2637" s="9" t="str">
        <f>IFERROR(__xludf.DUMMYFUNCTION("""COMPUTED_VALUE"""),"MGM")</f>
        <v>MGM</v>
      </c>
      <c r="I2637" s="9" t="str">
        <f>IFERROR(__xludf.DUMMYFUNCTION("""COMPUTED_VALUE"""),"MTg")</f>
        <v>MTg</v>
      </c>
      <c r="J2637" s="9" t="str">
        <f>IFERROR(__xludf.DUMMYFUNCTION("""COMPUTED_VALUE"""),"MRa")</f>
        <v>MRa</v>
      </c>
      <c r="K2637" s="9" t="str">
        <f>IFERROR(__xludf.DUMMYFUNCTION("""COMPUTED_VALUE"""),"Lin")</f>
        <v>Lin</v>
      </c>
      <c r="L2637" s="9" t="str">
        <f>IFERROR(__xludf.DUMMYFUNCTION("""COMPUTED_VALUE"""),"CLiZ")</f>
        <v>CLiZ</v>
      </c>
      <c r="M2637" s="9" t="str">
        <f>IFERROR(__xludf.DUMMYFUNCTION("""COMPUTED_VALUE"""),"CLinZ")</f>
        <v>CLinZ</v>
      </c>
      <c r="N2637" s="9"/>
      <c r="O2637" s="9"/>
      <c r="P2637" s="9"/>
      <c r="Q2637" s="9"/>
      <c r="R2637" s="9"/>
      <c r="S2637" s="42"/>
      <c r="T2637" s="42"/>
      <c r="U2637" s="42"/>
      <c r="V2637" s="42"/>
      <c r="W2637" s="42"/>
      <c r="X2637" s="42"/>
      <c r="Y2637" s="42"/>
      <c r="Z2637" s="42"/>
      <c r="AA2637" s="42"/>
      <c r="AB2637" s="42" t="str">
        <f>IFERROR(__xludf.DUMMYFUNCTION("""COMPUTED_VALUE"""),"allen institute")</f>
        <v>allen institute</v>
      </c>
      <c r="AC2637" s="42" t="str">
        <f>IFERROR(__xludf.DUMMYFUNCTION("""COMPUTED_VALUE"""),"DHBA")</f>
        <v>DHBA</v>
      </c>
      <c r="AD2637" s="42"/>
      <c r="AE2637" s="42"/>
      <c r="AF2637" s="9"/>
      <c r="AG2637" s="9"/>
      <c r="AH2637" s="42"/>
      <c r="AI2637" s="42"/>
      <c r="AJ2637" s="42"/>
      <c r="AK2637" s="42"/>
      <c r="AL2637" s="42"/>
      <c r="AM2637" s="42"/>
      <c r="AN2637" s="42"/>
      <c r="AO2637" s="63" t="str">
        <f>IFERROR(__xludf.DUMMYFUNCTION("IF(ISBLANK(A2637),,IF(ISBLANK(S2637), A2637&amp;"";"", TEXTJOIN(CHAR(10), TRUE, A2637&amp;"";"", ARRAYFORMULA(VLOOKUP(SPLIT(S2637, "";"" &amp; CHAR(10)), $A:$AO, 41, FALSE)))))"),"CLinZ;")</f>
        <v>CLinZ;</v>
      </c>
      <c r="AP2637" s="89"/>
    </row>
    <row r="2638">
      <c r="A2638" s="151" t="str">
        <f>IFERROR(__xludf.DUMMYFUNCTION("""COMPUTED_VALUE"""),"RLin")</f>
        <v>RLin</v>
      </c>
      <c r="B2638" s="42" t="str">
        <f>IFERROR(__xludf.DUMMYFUNCTION("""COMPUTED_VALUE"""),"DHBA")</f>
        <v>DHBA</v>
      </c>
      <c r="C2638" s="42" t="str">
        <f>IFERROR(__xludf.DUMMYFUNCTION("""COMPUTED_VALUE"""),"rostral linear nucleus of the raphe")</f>
        <v>rostral linear nucleus of the raphe</v>
      </c>
      <c r="D2638" s="42">
        <f>IFERROR(__xludf.DUMMYFUNCTION("""COMPUTED_VALUE"""),2513.0)</f>
        <v>2513</v>
      </c>
      <c r="E2638" s="39" t="str">
        <f>IFERROR(__xludf.DUMMYFUNCTION("""COMPUTED_VALUE"""),"rostral linear nucleus of the raphe")</f>
        <v>rostral linear nucleus of the raphe</v>
      </c>
      <c r="F2638" s="9" t="str">
        <f>IFERROR(__xludf.DUMMYFUNCTION("""COMPUTED_VALUE"""),"Br")</f>
        <v>Br</v>
      </c>
      <c r="G2638" s="9" t="str">
        <f>IFERROR(__xludf.DUMMYFUNCTION("""COMPUTED_VALUE"""),"M")</f>
        <v>M</v>
      </c>
      <c r="H2638" s="9" t="str">
        <f>IFERROR(__xludf.DUMMYFUNCTION("""COMPUTED_VALUE"""),"MGM")</f>
        <v>MGM</v>
      </c>
      <c r="I2638" s="9" t="str">
        <f>IFERROR(__xludf.DUMMYFUNCTION("""COMPUTED_VALUE"""),"MTg")</f>
        <v>MTg</v>
      </c>
      <c r="J2638" s="9" t="str">
        <f>IFERROR(__xludf.DUMMYFUNCTION("""COMPUTED_VALUE"""),"MRa")</f>
        <v>MRa</v>
      </c>
      <c r="K2638" s="9" t="str">
        <f>IFERROR(__xludf.DUMMYFUNCTION("""COMPUTED_VALUE"""),"Lin")</f>
        <v>Lin</v>
      </c>
      <c r="L2638" s="9" t="str">
        <f>IFERROR(__xludf.DUMMYFUNCTION("""COMPUTED_VALUE"""),"RLin")</f>
        <v>RLin</v>
      </c>
      <c r="M2638" s="9"/>
      <c r="N2638" s="9"/>
      <c r="O2638" s="9"/>
      <c r="P2638" s="9"/>
      <c r="Q2638" s="9"/>
      <c r="R2638" s="9"/>
      <c r="S2638" s="42"/>
      <c r="T2638" s="42"/>
      <c r="U2638" s="42"/>
      <c r="V2638" s="42"/>
      <c r="W2638" s="42"/>
      <c r="X2638" s="42"/>
      <c r="Y2638" s="42"/>
      <c r="Z2638" s="42"/>
      <c r="AA2638" s="42"/>
      <c r="AB2638" s="42" t="str">
        <f>IFERROR(__xludf.DUMMYFUNCTION("""COMPUTED_VALUE"""),"allen institute")</f>
        <v>allen institute</v>
      </c>
      <c r="AC2638" s="42" t="str">
        <f>IFERROR(__xludf.DUMMYFUNCTION("""COMPUTED_VALUE"""),"DHBA")</f>
        <v>DHBA</v>
      </c>
      <c r="AD2638" s="42"/>
      <c r="AE2638" s="42"/>
      <c r="AF2638" s="9"/>
      <c r="AG2638" s="9"/>
      <c r="AH2638" s="42"/>
      <c r="AI2638" s="42"/>
      <c r="AJ2638" s="42"/>
      <c r="AK2638" s="42"/>
      <c r="AL2638" s="42"/>
      <c r="AM2638" s="42"/>
      <c r="AN2638" s="42"/>
      <c r="AO2638" s="63" t="str">
        <f>IFERROR(__xludf.DUMMYFUNCTION("IF(ISBLANK(A2638),,IF(ISBLANK(S2638), A2638&amp;"";"", TEXTJOIN(CHAR(10), TRUE, A2638&amp;"";"", ARRAYFORMULA(VLOOKUP(SPLIT(S2638, "";"" &amp; CHAR(10)), $A:$AO, 41, FALSE)))))"),"RLin;")</f>
        <v>RLin;</v>
      </c>
      <c r="AP2638" s="89"/>
    </row>
    <row r="2639">
      <c r="A2639" s="151" t="str">
        <f>IFERROR(__xludf.DUMMYFUNCTION("""COMPUTED_VALUE"""),"MnR")</f>
        <v>MnR</v>
      </c>
      <c r="B2639" s="42" t="str">
        <f>IFERROR(__xludf.DUMMYFUNCTION("""COMPUTED_VALUE"""),"DHBA")</f>
        <v>DHBA</v>
      </c>
      <c r="C2639" s="42" t="str">
        <f>IFERROR(__xludf.DUMMYFUNCTION("""COMPUTED_VALUE"""),"median raphe nucleus")</f>
        <v>median raphe nucleus</v>
      </c>
      <c r="D2639" s="42">
        <f>IFERROR(__xludf.DUMMYFUNCTION("""COMPUTED_VALUE"""),2514.0)</f>
        <v>2514</v>
      </c>
      <c r="E2639" s="39" t="str">
        <f>IFERROR(__xludf.DUMMYFUNCTION("""COMPUTED_VALUE"""),"median raphe nucleus")</f>
        <v>median raphe nucleus</v>
      </c>
      <c r="F2639" s="9" t="str">
        <f>IFERROR(__xludf.DUMMYFUNCTION("""COMPUTED_VALUE"""),"Br")</f>
        <v>Br</v>
      </c>
      <c r="G2639" s="9" t="str">
        <f>IFERROR(__xludf.DUMMYFUNCTION("""COMPUTED_VALUE"""),"M")</f>
        <v>M</v>
      </c>
      <c r="H2639" s="9" t="str">
        <f>IFERROR(__xludf.DUMMYFUNCTION("""COMPUTED_VALUE"""),"MGM")</f>
        <v>MGM</v>
      </c>
      <c r="I2639" s="9" t="str">
        <f>IFERROR(__xludf.DUMMYFUNCTION("""COMPUTED_VALUE"""),"MTg")</f>
        <v>MTg</v>
      </c>
      <c r="J2639" s="9" t="str">
        <f>IFERROR(__xludf.DUMMYFUNCTION("""COMPUTED_VALUE"""),"MRa")</f>
        <v>MRa</v>
      </c>
      <c r="K2639" s="9" t="str">
        <f>IFERROR(__xludf.DUMMYFUNCTION("""COMPUTED_VALUE"""),"MnR")</f>
        <v>MnR</v>
      </c>
      <c r="L2639" s="9"/>
      <c r="M2639" s="9"/>
      <c r="N2639" s="9"/>
      <c r="O2639" s="9"/>
      <c r="P2639" s="9"/>
      <c r="Q2639" s="9"/>
      <c r="R2639" s="9"/>
      <c r="S2639" s="42"/>
      <c r="T2639" s="42"/>
      <c r="U2639" s="42"/>
      <c r="V2639" s="42"/>
      <c r="W2639" s="42"/>
      <c r="X2639" s="42"/>
      <c r="Y2639" s="42"/>
      <c r="Z2639" s="42"/>
      <c r="AA2639" s="42"/>
      <c r="AB2639" s="42" t="str">
        <f>IFERROR(__xludf.DUMMYFUNCTION("""COMPUTED_VALUE"""),"allen institute")</f>
        <v>allen institute</v>
      </c>
      <c r="AC2639" s="42" t="str">
        <f>IFERROR(__xludf.DUMMYFUNCTION("""COMPUTED_VALUE"""),"DHBA")</f>
        <v>DHBA</v>
      </c>
      <c r="AD2639" s="42"/>
      <c r="AE2639" s="42"/>
      <c r="AF2639" s="9"/>
      <c r="AG2639" s="9"/>
      <c r="AH2639" s="42"/>
      <c r="AI2639" s="42"/>
      <c r="AJ2639" s="42"/>
      <c r="AK2639" s="42"/>
      <c r="AL2639" s="42"/>
      <c r="AM2639" s="42"/>
      <c r="AN2639" s="42"/>
      <c r="AO2639" s="63" t="str">
        <f>IFERROR(__xludf.DUMMYFUNCTION("IF(ISBLANK(A2639),,IF(ISBLANK(S2639), A2639&amp;"";"", TEXTJOIN(CHAR(10), TRUE, A2639&amp;"";"", ARRAYFORMULA(VLOOKUP(SPLIT(S2639, "";"" &amp; CHAR(10)), $A:$AO, 41, FALSE)))))"),"MnR;")</f>
        <v>MnR;</v>
      </c>
      <c r="AP2639" s="89"/>
    </row>
    <row r="2640">
      <c r="A2640" s="151" t="str">
        <f>IFERROR(__xludf.DUMMYFUNCTION("""COMPUTED_VALUE"""),"PMnR")</f>
        <v>PMnR</v>
      </c>
      <c r="B2640" s="42" t="str">
        <f>IFERROR(__xludf.DUMMYFUNCTION("""COMPUTED_VALUE"""),"DHBA")</f>
        <v>DHBA</v>
      </c>
      <c r="C2640" s="42" t="str">
        <f>IFERROR(__xludf.DUMMYFUNCTION("""COMPUTED_VALUE"""),"paramedian raphe nucleus")</f>
        <v>paramedian raphe nucleus</v>
      </c>
      <c r="D2640" s="42">
        <f>IFERROR(__xludf.DUMMYFUNCTION("""COMPUTED_VALUE"""),2515.0)</f>
        <v>2515</v>
      </c>
      <c r="E2640" s="39" t="str">
        <f>IFERROR(__xludf.DUMMYFUNCTION("""COMPUTED_VALUE"""),"paramedian raphe nucleus")</f>
        <v>paramedian raphe nucleus</v>
      </c>
      <c r="F2640" s="9" t="str">
        <f>IFERROR(__xludf.DUMMYFUNCTION("""COMPUTED_VALUE"""),"Br")</f>
        <v>Br</v>
      </c>
      <c r="G2640" s="9" t="str">
        <f>IFERROR(__xludf.DUMMYFUNCTION("""COMPUTED_VALUE"""),"M")</f>
        <v>M</v>
      </c>
      <c r="H2640" s="9" t="str">
        <f>IFERROR(__xludf.DUMMYFUNCTION("""COMPUTED_VALUE"""),"MGM")</f>
        <v>MGM</v>
      </c>
      <c r="I2640" s="9" t="str">
        <f>IFERROR(__xludf.DUMMYFUNCTION("""COMPUTED_VALUE"""),"MTg")</f>
        <v>MTg</v>
      </c>
      <c r="J2640" s="9" t="str">
        <f>IFERROR(__xludf.DUMMYFUNCTION("""COMPUTED_VALUE"""),"MRa")</f>
        <v>MRa</v>
      </c>
      <c r="K2640" s="9" t="str">
        <f>IFERROR(__xludf.DUMMYFUNCTION("""COMPUTED_VALUE"""),"PMnR")</f>
        <v>PMnR</v>
      </c>
      <c r="L2640" s="9"/>
      <c r="M2640" s="9"/>
      <c r="N2640" s="9"/>
      <c r="O2640" s="9"/>
      <c r="P2640" s="9"/>
      <c r="Q2640" s="9"/>
      <c r="R2640" s="9"/>
      <c r="S2640" s="42"/>
      <c r="T2640" s="42"/>
      <c r="U2640" s="42"/>
      <c r="V2640" s="42"/>
      <c r="W2640" s="42"/>
      <c r="X2640" s="42"/>
      <c r="Y2640" s="42"/>
      <c r="Z2640" s="42"/>
      <c r="AA2640" s="42"/>
      <c r="AB2640" s="42" t="str">
        <f>IFERROR(__xludf.DUMMYFUNCTION("""COMPUTED_VALUE"""),"allen institute")</f>
        <v>allen institute</v>
      </c>
      <c r="AC2640" s="42" t="str">
        <f>IFERROR(__xludf.DUMMYFUNCTION("""COMPUTED_VALUE"""),"DHBA")</f>
        <v>DHBA</v>
      </c>
      <c r="AD2640" s="42"/>
      <c r="AE2640" s="42"/>
      <c r="AF2640" s="9"/>
      <c r="AG2640" s="9"/>
      <c r="AH2640" s="42"/>
      <c r="AI2640" s="42"/>
      <c r="AJ2640" s="42"/>
      <c r="AK2640" s="42"/>
      <c r="AL2640" s="42"/>
      <c r="AM2640" s="42"/>
      <c r="AN2640" s="42"/>
      <c r="AO2640" s="63" t="str">
        <f>IFERROR(__xludf.DUMMYFUNCTION("IF(ISBLANK(A2640),,IF(ISBLANK(S2640), A2640&amp;"";"", TEXTJOIN(CHAR(10), TRUE, A2640&amp;"";"", ARRAYFORMULA(VLOOKUP(SPLIT(S2640, "";"" &amp; CHAR(10)), $A:$AO, 41, FALSE)))))"),"PMnR;")</f>
        <v>PMnR;</v>
      </c>
      <c r="AP2640" s="89"/>
    </row>
    <row r="2641">
      <c r="A2641" s="151" t="str">
        <f>IFERROR(__xludf.DUMMYFUNCTION("""COMPUTED_VALUE"""),"PDR")</f>
        <v>PDR</v>
      </c>
      <c r="B2641" s="42" t="str">
        <f>IFERROR(__xludf.DUMMYFUNCTION("""COMPUTED_VALUE"""),"DHBA")</f>
        <v>DHBA</v>
      </c>
      <c r="C2641" s="42" t="str">
        <f>IFERROR(__xludf.DUMMYFUNCTION("""COMPUTED_VALUE"""),"posterodorsal raphe nucleus")</f>
        <v>posterodorsal raphe nucleus</v>
      </c>
      <c r="D2641" s="42">
        <f>IFERROR(__xludf.DUMMYFUNCTION("""COMPUTED_VALUE"""),2516.0)</f>
        <v>2516</v>
      </c>
      <c r="E2641" s="39" t="str">
        <f>IFERROR(__xludf.DUMMYFUNCTION("""COMPUTED_VALUE"""),"posterodorsal raphe nucleus")</f>
        <v>posterodorsal raphe nucleus</v>
      </c>
      <c r="F2641" s="9" t="str">
        <f>IFERROR(__xludf.DUMMYFUNCTION("""COMPUTED_VALUE"""),"Br")</f>
        <v>Br</v>
      </c>
      <c r="G2641" s="9" t="str">
        <f>IFERROR(__xludf.DUMMYFUNCTION("""COMPUTED_VALUE"""),"M")</f>
        <v>M</v>
      </c>
      <c r="H2641" s="9" t="str">
        <f>IFERROR(__xludf.DUMMYFUNCTION("""COMPUTED_VALUE"""),"MGM")</f>
        <v>MGM</v>
      </c>
      <c r="I2641" s="9" t="str">
        <f>IFERROR(__xludf.DUMMYFUNCTION("""COMPUTED_VALUE"""),"MTg")</f>
        <v>MTg</v>
      </c>
      <c r="J2641" s="9" t="str">
        <f>IFERROR(__xludf.DUMMYFUNCTION("""COMPUTED_VALUE"""),"MRa")</f>
        <v>MRa</v>
      </c>
      <c r="K2641" s="9" t="str">
        <f>IFERROR(__xludf.DUMMYFUNCTION("""COMPUTED_VALUE"""),"PDR")</f>
        <v>PDR</v>
      </c>
      <c r="L2641" s="9"/>
      <c r="M2641" s="9"/>
      <c r="N2641" s="9"/>
      <c r="O2641" s="9"/>
      <c r="P2641" s="9"/>
      <c r="Q2641" s="9"/>
      <c r="R2641" s="9"/>
      <c r="S2641" s="42"/>
      <c r="T2641" s="42"/>
      <c r="U2641" s="42"/>
      <c r="V2641" s="42"/>
      <c r="W2641" s="42"/>
      <c r="X2641" s="42"/>
      <c r="Y2641" s="42"/>
      <c r="Z2641" s="42"/>
      <c r="AA2641" s="42"/>
      <c r="AB2641" s="42" t="str">
        <f>IFERROR(__xludf.DUMMYFUNCTION("""COMPUTED_VALUE"""),"allen institute")</f>
        <v>allen institute</v>
      </c>
      <c r="AC2641" s="42" t="str">
        <f>IFERROR(__xludf.DUMMYFUNCTION("""COMPUTED_VALUE"""),"DHBA")</f>
        <v>DHBA</v>
      </c>
      <c r="AD2641" s="42"/>
      <c r="AE2641" s="42"/>
      <c r="AF2641" s="9"/>
      <c r="AG2641" s="9"/>
      <c r="AH2641" s="42"/>
      <c r="AI2641" s="42"/>
      <c r="AJ2641" s="42"/>
      <c r="AK2641" s="42"/>
      <c r="AL2641" s="42"/>
      <c r="AM2641" s="42"/>
      <c r="AN2641" s="42"/>
      <c r="AO2641" s="63" t="str">
        <f>IFERROR(__xludf.DUMMYFUNCTION("IF(ISBLANK(A2641),,IF(ISBLANK(S2641), A2641&amp;"";"", TEXTJOIN(CHAR(10), TRUE, A2641&amp;"";"", ARRAYFORMULA(VLOOKUP(SPLIT(S2641, "";"" &amp; CHAR(10)), $A:$AO, 41, FALSE)))))"),"PDR;")</f>
        <v>PDR;</v>
      </c>
      <c r="AP2641" s="89"/>
    </row>
    <row r="2642">
      <c r="A2642" s="151" t="str">
        <f>IFERROR(__xludf.DUMMYFUNCTION("""COMPUTED_VALUE"""),"Rbd")</f>
        <v>Rbd</v>
      </c>
      <c r="B2642" s="42" t="str">
        <f>IFERROR(__xludf.DUMMYFUNCTION("""COMPUTED_VALUE"""),"DHBA")</f>
        <v>DHBA</v>
      </c>
      <c r="C2642" s="42" t="str">
        <f>IFERROR(__xludf.DUMMYFUNCTION("""COMPUTED_VALUE"""),"rhabdoid nucleus")</f>
        <v>rhabdoid nucleus</v>
      </c>
      <c r="D2642" s="42">
        <f>IFERROR(__xludf.DUMMYFUNCTION("""COMPUTED_VALUE"""),2517.0)</f>
        <v>2517</v>
      </c>
      <c r="E2642" s="39" t="str">
        <f>IFERROR(__xludf.DUMMYFUNCTION("""COMPUTED_VALUE"""),"rhabdoid nucleus")</f>
        <v>rhabdoid nucleus</v>
      </c>
      <c r="F2642" s="9" t="str">
        <f>IFERROR(__xludf.DUMMYFUNCTION("""COMPUTED_VALUE"""),"Br")</f>
        <v>Br</v>
      </c>
      <c r="G2642" s="9" t="str">
        <f>IFERROR(__xludf.DUMMYFUNCTION("""COMPUTED_VALUE"""),"M")</f>
        <v>M</v>
      </c>
      <c r="H2642" s="9" t="str">
        <f>IFERROR(__xludf.DUMMYFUNCTION("""COMPUTED_VALUE"""),"MGM")</f>
        <v>MGM</v>
      </c>
      <c r="I2642" s="9" t="str">
        <f>IFERROR(__xludf.DUMMYFUNCTION("""COMPUTED_VALUE"""),"MTg")</f>
        <v>MTg</v>
      </c>
      <c r="J2642" s="9" t="str">
        <f>IFERROR(__xludf.DUMMYFUNCTION("""COMPUTED_VALUE"""),"MRa")</f>
        <v>MRa</v>
      </c>
      <c r="K2642" s="9" t="str">
        <f>IFERROR(__xludf.DUMMYFUNCTION("""COMPUTED_VALUE"""),"Rbd")</f>
        <v>Rbd</v>
      </c>
      <c r="L2642" s="9"/>
      <c r="M2642" s="9"/>
      <c r="N2642" s="9"/>
      <c r="O2642" s="9"/>
      <c r="P2642" s="9"/>
      <c r="Q2642" s="9"/>
      <c r="R2642" s="9"/>
      <c r="S2642" s="42"/>
      <c r="T2642" s="42"/>
      <c r="U2642" s="42"/>
      <c r="V2642" s="42"/>
      <c r="W2642" s="42"/>
      <c r="X2642" s="42"/>
      <c r="Y2642" s="42"/>
      <c r="Z2642" s="42"/>
      <c r="AA2642" s="42"/>
      <c r="AB2642" s="42" t="str">
        <f>IFERROR(__xludf.DUMMYFUNCTION("""COMPUTED_VALUE"""),"allen institute")</f>
        <v>allen institute</v>
      </c>
      <c r="AC2642" s="42" t="str">
        <f>IFERROR(__xludf.DUMMYFUNCTION("""COMPUTED_VALUE"""),"DHBA")</f>
        <v>DHBA</v>
      </c>
      <c r="AD2642" s="42"/>
      <c r="AE2642" s="42"/>
      <c r="AF2642" s="9"/>
      <c r="AG2642" s="9"/>
      <c r="AH2642" s="42"/>
      <c r="AI2642" s="42"/>
      <c r="AJ2642" s="42"/>
      <c r="AK2642" s="42"/>
      <c r="AL2642" s="42"/>
      <c r="AM2642" s="42"/>
      <c r="AN2642" s="42"/>
      <c r="AO2642" s="63" t="str">
        <f>IFERROR(__xludf.DUMMYFUNCTION("IF(ISBLANK(A2642),,IF(ISBLANK(S2642), A2642&amp;"";"", TEXTJOIN(CHAR(10), TRUE, A2642&amp;"";"", ARRAYFORMULA(VLOOKUP(SPLIT(S2642, "";"" &amp; CHAR(10)), $A:$AO, 41, FALSE)))))"),"Rbd;")</f>
        <v>Rbd;</v>
      </c>
      <c r="AP2642" s="89"/>
    </row>
    <row r="2643">
      <c r="A2643" s="151" t="str">
        <f>IFERROR(__xludf.DUMMYFUNCTION("""COMPUTED_VALUE"""),"isRt")</f>
        <v>isRt</v>
      </c>
      <c r="B2643" s="42" t="str">
        <f>IFERROR(__xludf.DUMMYFUNCTION("""COMPUTED_VALUE"""),"DHBA")</f>
        <v>DHBA</v>
      </c>
      <c r="C2643" s="42" t="str">
        <f>IFERROR(__xludf.DUMMYFUNCTION("""COMPUTED_VALUE"""),"isthmic reticular formation")</f>
        <v>isthmic reticular formation</v>
      </c>
      <c r="D2643" s="42">
        <f>IFERROR(__xludf.DUMMYFUNCTION("""COMPUTED_VALUE"""),2518.0)</f>
        <v>2518</v>
      </c>
      <c r="E2643" s="39" t="str">
        <f>IFERROR(__xludf.DUMMYFUNCTION("""COMPUTED_VALUE"""),"isthmic reticular formation")</f>
        <v>isthmic reticular formation</v>
      </c>
      <c r="F2643" s="9" t="str">
        <f>IFERROR(__xludf.DUMMYFUNCTION("""COMPUTED_VALUE"""),"Br")</f>
        <v>Br</v>
      </c>
      <c r="G2643" s="9" t="str">
        <f>IFERROR(__xludf.DUMMYFUNCTION("""COMPUTED_VALUE"""),"M")</f>
        <v>M</v>
      </c>
      <c r="H2643" s="9" t="str">
        <f>IFERROR(__xludf.DUMMYFUNCTION("""COMPUTED_VALUE"""),"MGM")</f>
        <v>MGM</v>
      </c>
      <c r="I2643" s="9" t="str">
        <f>IFERROR(__xludf.DUMMYFUNCTION("""COMPUTED_VALUE"""),"MTg")</f>
        <v>MTg</v>
      </c>
      <c r="J2643" s="9" t="str">
        <f>IFERROR(__xludf.DUMMYFUNCTION("""COMPUTED_VALUE"""),"isRt")</f>
        <v>isRt</v>
      </c>
      <c r="K2643" s="9"/>
      <c r="L2643" s="9"/>
      <c r="M2643" s="9"/>
      <c r="N2643" s="9"/>
      <c r="O2643" s="9"/>
      <c r="P2643" s="9"/>
      <c r="Q2643" s="9"/>
      <c r="R2643" s="9"/>
      <c r="S2643" s="42"/>
      <c r="T2643" s="42"/>
      <c r="U2643" s="42"/>
      <c r="V2643" s="42"/>
      <c r="W2643" s="42"/>
      <c r="X2643" s="42"/>
      <c r="Y2643" s="42"/>
      <c r="Z2643" s="42"/>
      <c r="AA2643" s="42"/>
      <c r="AB2643" s="42" t="str">
        <f>IFERROR(__xludf.DUMMYFUNCTION("""COMPUTED_VALUE"""),"allen institute")</f>
        <v>allen institute</v>
      </c>
      <c r="AC2643" s="42" t="str">
        <f>IFERROR(__xludf.DUMMYFUNCTION("""COMPUTED_VALUE"""),"DHBA")</f>
        <v>DHBA</v>
      </c>
      <c r="AD2643" s="42"/>
      <c r="AE2643" s="42"/>
      <c r="AF2643" s="9"/>
      <c r="AG2643" s="9"/>
      <c r="AH2643" s="42"/>
      <c r="AI2643" s="42"/>
      <c r="AJ2643" s="42"/>
      <c r="AK2643" s="42"/>
      <c r="AL2643" s="42"/>
      <c r="AM2643" s="42"/>
      <c r="AN2643" s="42"/>
      <c r="AO2643" s="63" t="str">
        <f>IFERROR(__xludf.DUMMYFUNCTION("IF(ISBLANK(A2643),,IF(ISBLANK(S2643), A2643&amp;"";"", TEXTJOIN(CHAR(10), TRUE, A2643&amp;"";"", ARRAYFORMULA(VLOOKUP(SPLIT(S2643, "";"" &amp; CHAR(10)), $A:$AO, 41, FALSE)))))"),"isRt;")</f>
        <v>isRt;</v>
      </c>
      <c r="AP2643" s="89"/>
    </row>
    <row r="2644">
      <c r="A2644" s="151" t="str">
        <f>IFERROR(__xludf.DUMMYFUNCTION("""COMPUTED_VALUE"""),"MRF")</f>
        <v>MRF</v>
      </c>
      <c r="B2644" s="42" t="str">
        <f>IFERROR(__xludf.DUMMYFUNCTION("""COMPUTED_VALUE"""),"DHBA")</f>
        <v>DHBA</v>
      </c>
      <c r="C2644" s="42" t="str">
        <f>IFERROR(__xludf.DUMMYFUNCTION("""COMPUTED_VALUE"""),"midbrain reticular formation")</f>
        <v>midbrain reticular formation</v>
      </c>
      <c r="D2644" s="42">
        <f>IFERROR(__xludf.DUMMYFUNCTION("""COMPUTED_VALUE"""),2519.0)</f>
        <v>2519</v>
      </c>
      <c r="E2644" s="39" t="str">
        <f>IFERROR(__xludf.DUMMYFUNCTION("""COMPUTED_VALUE"""),"midbrain reticular formation")</f>
        <v>midbrain reticular formation</v>
      </c>
      <c r="F2644" s="9" t="str">
        <f>IFERROR(__xludf.DUMMYFUNCTION("""COMPUTED_VALUE"""),"Br")</f>
        <v>Br</v>
      </c>
      <c r="G2644" s="9" t="str">
        <f>IFERROR(__xludf.DUMMYFUNCTION("""COMPUTED_VALUE"""),"M")</f>
        <v>M</v>
      </c>
      <c r="H2644" s="9" t="str">
        <f>IFERROR(__xludf.DUMMYFUNCTION("""COMPUTED_VALUE"""),"MGM")</f>
        <v>MGM</v>
      </c>
      <c r="I2644" s="9" t="str">
        <f>IFERROR(__xludf.DUMMYFUNCTION("""COMPUTED_VALUE"""),"MTg")</f>
        <v>MTg</v>
      </c>
      <c r="J2644" s="9" t="str">
        <f>IFERROR(__xludf.DUMMYFUNCTION("""COMPUTED_VALUE"""),"MRF")</f>
        <v>MRF</v>
      </c>
      <c r="K2644" s="9"/>
      <c r="L2644" s="9"/>
      <c r="M2644" s="9"/>
      <c r="N2644" s="9"/>
      <c r="O2644" s="9"/>
      <c r="P2644" s="9"/>
      <c r="Q2644" s="9"/>
      <c r="R2644" s="9"/>
      <c r="S2644" s="42" t="str">
        <f>IFERROR(__xludf.DUMMYFUNCTION("""COMPUTED_VALUE"""),"CnF;
PrCnF;
U;
PTg;
SubCn;
Lth")</f>
        <v>CnF;
PrCnF;
U;
PTg;
SubCn;
Lth</v>
      </c>
      <c r="T2644" s="42"/>
      <c r="U2644" s="42" t="b">
        <f>IFERROR(__xludf.DUMMYFUNCTION("""COMPUTED_VALUE"""),FALSE)</f>
        <v>0</v>
      </c>
      <c r="V2644" s="42"/>
      <c r="W2644" s="42"/>
      <c r="X2644" s="42"/>
      <c r="Y2644" s="42"/>
      <c r="Z2644" s="42"/>
      <c r="AA2644" s="42"/>
      <c r="AB2644" s="42" t="str">
        <f>IFERROR(__xludf.DUMMYFUNCTION("""COMPUTED_VALUE"""),"allen institute")</f>
        <v>allen institute</v>
      </c>
      <c r="AC2644" s="42" t="str">
        <f>IFERROR(__xludf.DUMMYFUNCTION("""COMPUTED_VALUE"""),"DHBA")</f>
        <v>DHBA</v>
      </c>
      <c r="AD2644" s="42"/>
      <c r="AE2644" s="42"/>
      <c r="AF2644" s="9"/>
      <c r="AG2644" s="9"/>
      <c r="AH2644" s="42"/>
      <c r="AI2644" s="42"/>
      <c r="AJ2644" s="42"/>
      <c r="AK2644" s="42"/>
      <c r="AL2644" s="42"/>
      <c r="AM2644" s="42"/>
      <c r="AN2644" s="42"/>
      <c r="AO2644" s="63" t="str">
        <f>IFERROR(__xludf.DUMMYFUNCTION("IF(ISBLANK(A2644),,IF(ISBLANK(S2644), A2644&amp;"";"", TEXTJOIN(CHAR(10), TRUE, A2644&amp;"";"", ARRAYFORMULA(VLOOKUP(SPLIT(S2644, "";"" &amp; CHAR(10)), $A:$AO, 41, FALSE)))))"),"MRF;
CnF;
PrCnF;
U;
ptg;
SubCn;
Lth;")</f>
        <v>MRF;
CnF;
PrCnF;
U;
ptg;
SubCn;
Lth;</v>
      </c>
      <c r="AP2644" s="89"/>
    </row>
    <row r="2645">
      <c r="A2645" s="151" t="str">
        <f>IFERROR(__xludf.DUMMYFUNCTION("""COMPUTED_VALUE"""),"CnF")</f>
        <v>CnF</v>
      </c>
      <c r="B2645" s="42" t="str">
        <f>IFERROR(__xludf.DUMMYFUNCTION("""COMPUTED_VALUE"""),"DHBA")</f>
        <v>DHBA</v>
      </c>
      <c r="C2645" s="42" t="str">
        <f>IFERROR(__xludf.DUMMYFUNCTION("""COMPUTED_VALUE"""),"Cuneiform nucleus")</f>
        <v>Cuneiform nucleus</v>
      </c>
      <c r="D2645" s="42">
        <f>IFERROR(__xludf.DUMMYFUNCTION("""COMPUTED_VALUE"""),2520.0)</f>
        <v>2520</v>
      </c>
      <c r="E2645" s="39" t="str">
        <f>IFERROR(__xludf.DUMMYFUNCTION("""COMPUTED_VALUE"""),"cuneiform nucleus")</f>
        <v>cuneiform nucleus</v>
      </c>
      <c r="F2645" s="9" t="str">
        <f>IFERROR(__xludf.DUMMYFUNCTION("""COMPUTED_VALUE"""),"Br")</f>
        <v>Br</v>
      </c>
      <c r="G2645" s="9" t="str">
        <f>IFERROR(__xludf.DUMMYFUNCTION("""COMPUTED_VALUE"""),"M")</f>
        <v>M</v>
      </c>
      <c r="H2645" s="9" t="str">
        <f>IFERROR(__xludf.DUMMYFUNCTION("""COMPUTED_VALUE"""),"MGM")</f>
        <v>MGM</v>
      </c>
      <c r="I2645" s="9" t="str">
        <f>IFERROR(__xludf.DUMMYFUNCTION("""COMPUTED_VALUE"""),"MTg")</f>
        <v>MTg</v>
      </c>
      <c r="J2645" s="9" t="str">
        <f>IFERROR(__xludf.DUMMYFUNCTION("""COMPUTED_VALUE"""),"MRF")</f>
        <v>MRF</v>
      </c>
      <c r="K2645" s="9" t="str">
        <f>IFERROR(__xludf.DUMMYFUNCTION("""COMPUTED_VALUE"""),"CnF")</f>
        <v>CnF</v>
      </c>
      <c r="L2645" s="9"/>
      <c r="M2645" s="9"/>
      <c r="N2645" s="9"/>
      <c r="O2645" s="9"/>
      <c r="P2645" s="9"/>
      <c r="Q2645" s="9"/>
      <c r="R2645" s="9"/>
      <c r="S2645" s="42"/>
      <c r="T2645" s="42"/>
      <c r="U2645" s="42"/>
      <c r="V2645" s="42"/>
      <c r="W2645" s="42"/>
      <c r="X2645" s="42"/>
      <c r="Y2645" s="42"/>
      <c r="Z2645" s="42"/>
      <c r="AA2645" s="42"/>
      <c r="AB2645" s="42" t="str">
        <f>IFERROR(__xludf.DUMMYFUNCTION("""COMPUTED_VALUE"""),"allen institute")</f>
        <v>allen institute</v>
      </c>
      <c r="AC2645" s="42" t="str">
        <f>IFERROR(__xludf.DUMMYFUNCTION("""COMPUTED_VALUE"""),"DHBA")</f>
        <v>DHBA</v>
      </c>
      <c r="AD2645" s="42"/>
      <c r="AE2645" s="42"/>
      <c r="AF2645" s="9"/>
      <c r="AG2645" s="9"/>
      <c r="AH2645" s="42"/>
      <c r="AI2645" s="42"/>
      <c r="AJ2645" s="42"/>
      <c r="AK2645" s="42"/>
      <c r="AL2645" s="42"/>
      <c r="AM2645" s="42"/>
      <c r="AN2645" s="42"/>
      <c r="AO2645" s="63" t="str">
        <f>IFERROR(__xludf.DUMMYFUNCTION("IF(ISBLANK(A2645),,IF(ISBLANK(S2645), A2645&amp;"";"", TEXTJOIN(CHAR(10), TRUE, A2645&amp;"";"", ARRAYFORMULA(VLOOKUP(SPLIT(S2645, "";"" &amp; CHAR(10)), $A:$AO, 41, FALSE)))))"),"CnF;")</f>
        <v>CnF;</v>
      </c>
      <c r="AP2645" s="89"/>
    </row>
    <row r="2646">
      <c r="A2646" s="151" t="str">
        <f>IFERROR(__xludf.DUMMYFUNCTION("""COMPUTED_VALUE"""),"PrCnF")</f>
        <v>PrCnF</v>
      </c>
      <c r="B2646" s="42" t="str">
        <f>IFERROR(__xludf.DUMMYFUNCTION("""COMPUTED_VALUE"""),"DHBA")</f>
        <v>DHBA</v>
      </c>
      <c r="C2646" s="42" t="str">
        <f>IFERROR(__xludf.DUMMYFUNCTION("""COMPUTED_VALUE"""),"precuneiform area")</f>
        <v>precuneiform area</v>
      </c>
      <c r="D2646" s="42">
        <f>IFERROR(__xludf.DUMMYFUNCTION("""COMPUTED_VALUE"""),2521.0)</f>
        <v>2521</v>
      </c>
      <c r="E2646" s="39" t="str">
        <f>IFERROR(__xludf.DUMMYFUNCTION("""COMPUTED_VALUE"""),"precuneiform area")</f>
        <v>precuneiform area</v>
      </c>
      <c r="F2646" s="9" t="str">
        <f>IFERROR(__xludf.DUMMYFUNCTION("""COMPUTED_VALUE"""),"Br")</f>
        <v>Br</v>
      </c>
      <c r="G2646" s="9" t="str">
        <f>IFERROR(__xludf.DUMMYFUNCTION("""COMPUTED_VALUE"""),"M")</f>
        <v>M</v>
      </c>
      <c r="H2646" s="9" t="str">
        <f>IFERROR(__xludf.DUMMYFUNCTION("""COMPUTED_VALUE"""),"MGM")</f>
        <v>MGM</v>
      </c>
      <c r="I2646" s="9" t="str">
        <f>IFERROR(__xludf.DUMMYFUNCTION("""COMPUTED_VALUE"""),"MTg")</f>
        <v>MTg</v>
      </c>
      <c r="J2646" s="9" t="str">
        <f>IFERROR(__xludf.DUMMYFUNCTION("""COMPUTED_VALUE"""),"MRF")</f>
        <v>MRF</v>
      </c>
      <c r="K2646" s="9" t="str">
        <f>IFERROR(__xludf.DUMMYFUNCTION("""COMPUTED_VALUE"""),"PrCnF")</f>
        <v>PrCnF</v>
      </c>
      <c r="L2646" s="9"/>
      <c r="M2646" s="9"/>
      <c r="N2646" s="9"/>
      <c r="O2646" s="9"/>
      <c r="P2646" s="9"/>
      <c r="Q2646" s="9"/>
      <c r="R2646" s="9"/>
      <c r="S2646" s="42"/>
      <c r="T2646" s="42"/>
      <c r="U2646" s="42"/>
      <c r="V2646" s="42"/>
      <c r="W2646" s="42"/>
      <c r="X2646" s="42"/>
      <c r="Y2646" s="42"/>
      <c r="Z2646" s="42"/>
      <c r="AA2646" s="42"/>
      <c r="AB2646" s="42" t="str">
        <f>IFERROR(__xludf.DUMMYFUNCTION("""COMPUTED_VALUE"""),"allen institute")</f>
        <v>allen institute</v>
      </c>
      <c r="AC2646" s="42" t="str">
        <f>IFERROR(__xludf.DUMMYFUNCTION("""COMPUTED_VALUE"""),"DHBA")</f>
        <v>DHBA</v>
      </c>
      <c r="AD2646" s="42"/>
      <c r="AE2646" s="42"/>
      <c r="AF2646" s="9"/>
      <c r="AG2646" s="9"/>
      <c r="AH2646" s="42"/>
      <c r="AI2646" s="42"/>
      <c r="AJ2646" s="42"/>
      <c r="AK2646" s="42"/>
      <c r="AL2646" s="42"/>
      <c r="AM2646" s="42"/>
      <c r="AN2646" s="42"/>
      <c r="AO2646" s="63" t="str">
        <f>IFERROR(__xludf.DUMMYFUNCTION("IF(ISBLANK(A2646),,IF(ISBLANK(S2646), A2646&amp;"";"", TEXTJOIN(CHAR(10), TRUE, A2646&amp;"";"", ARRAYFORMULA(VLOOKUP(SPLIT(S2646, "";"" &amp; CHAR(10)), $A:$AO, 41, FALSE)))))"),"PrCnF;")</f>
        <v>PrCnF;</v>
      </c>
      <c r="AP2646" s="89"/>
    </row>
    <row r="2647">
      <c r="A2647" s="151" t="str">
        <f>IFERROR(__xludf.DUMMYFUNCTION("""COMPUTED_VALUE"""),"U")</f>
        <v>U</v>
      </c>
      <c r="B2647" s="42" t="str">
        <f>IFERROR(__xludf.DUMMYFUNCTION("""COMPUTED_VALUE"""),"DHBA")</f>
        <v>DHBA</v>
      </c>
      <c r="C2647" s="42" t="str">
        <f>IFERROR(__xludf.DUMMYFUNCTION("""COMPUTED_VALUE"""),"nucleus U")</f>
        <v>nucleus U</v>
      </c>
      <c r="D2647" s="42">
        <f>IFERROR(__xludf.DUMMYFUNCTION("""COMPUTED_VALUE"""),2522.0)</f>
        <v>2522</v>
      </c>
      <c r="E2647" s="39" t="str">
        <f>IFERROR(__xludf.DUMMYFUNCTION("""COMPUTED_VALUE"""),"nucleus U")</f>
        <v>nucleus U</v>
      </c>
      <c r="F2647" s="9" t="str">
        <f>IFERROR(__xludf.DUMMYFUNCTION("""COMPUTED_VALUE"""),"Br")</f>
        <v>Br</v>
      </c>
      <c r="G2647" s="9" t="str">
        <f>IFERROR(__xludf.DUMMYFUNCTION("""COMPUTED_VALUE"""),"M")</f>
        <v>M</v>
      </c>
      <c r="H2647" s="9" t="str">
        <f>IFERROR(__xludf.DUMMYFUNCTION("""COMPUTED_VALUE"""),"MGM")</f>
        <v>MGM</v>
      </c>
      <c r="I2647" s="9" t="str">
        <f>IFERROR(__xludf.DUMMYFUNCTION("""COMPUTED_VALUE"""),"MTg")</f>
        <v>MTg</v>
      </c>
      <c r="J2647" s="9" t="str">
        <f>IFERROR(__xludf.DUMMYFUNCTION("""COMPUTED_VALUE"""),"MRF")</f>
        <v>MRF</v>
      </c>
      <c r="K2647" s="9" t="str">
        <f>IFERROR(__xludf.DUMMYFUNCTION("""COMPUTED_VALUE"""),"U")</f>
        <v>U</v>
      </c>
      <c r="L2647" s="9"/>
      <c r="M2647" s="9"/>
      <c r="N2647" s="9"/>
      <c r="O2647" s="9"/>
      <c r="P2647" s="9"/>
      <c r="Q2647" s="9"/>
      <c r="R2647" s="9"/>
      <c r="S2647" s="42"/>
      <c r="T2647" s="42"/>
      <c r="U2647" s="42"/>
      <c r="V2647" s="42"/>
      <c r="W2647" s="42"/>
      <c r="X2647" s="42"/>
      <c r="Y2647" s="42"/>
      <c r="Z2647" s="42"/>
      <c r="AA2647" s="42"/>
      <c r="AB2647" s="42" t="str">
        <f>IFERROR(__xludf.DUMMYFUNCTION("""COMPUTED_VALUE"""),"allen institute")</f>
        <v>allen institute</v>
      </c>
      <c r="AC2647" s="42" t="str">
        <f>IFERROR(__xludf.DUMMYFUNCTION("""COMPUTED_VALUE"""),"DHBA")</f>
        <v>DHBA</v>
      </c>
      <c r="AD2647" s="42"/>
      <c r="AE2647" s="42"/>
      <c r="AF2647" s="9"/>
      <c r="AG2647" s="9"/>
      <c r="AH2647" s="42"/>
      <c r="AI2647" s="42"/>
      <c r="AJ2647" s="42"/>
      <c r="AK2647" s="42"/>
      <c r="AL2647" s="42"/>
      <c r="AM2647" s="42"/>
      <c r="AN2647" s="42"/>
      <c r="AO2647" s="63" t="str">
        <f>IFERROR(__xludf.DUMMYFUNCTION("IF(ISBLANK(A2647),,IF(ISBLANK(S2647), A2647&amp;"";"", TEXTJOIN(CHAR(10), TRUE, A2647&amp;"";"", ARRAYFORMULA(VLOOKUP(SPLIT(S2647, "";"" &amp; CHAR(10)), $A:$AO, 41, FALSE)))))"),"U;")</f>
        <v>U;</v>
      </c>
      <c r="AP2647" s="89"/>
    </row>
    <row r="2648">
      <c r="A2648" s="151" t="str">
        <f>IFERROR(__xludf.DUMMYFUNCTION("""COMPUTED_VALUE"""),"PTg")</f>
        <v>PTg</v>
      </c>
      <c r="B2648" s="42" t="str">
        <f>IFERROR(__xludf.DUMMYFUNCTION("""COMPUTED_VALUE"""),"DHBA")</f>
        <v>DHBA</v>
      </c>
      <c r="C2648" s="42" t="str">
        <f>IFERROR(__xludf.DUMMYFUNCTION("""COMPUTED_VALUE"""),"pedunculo(pontine) tegmental nucleus")</f>
        <v>pedunculo(pontine) tegmental nucleus</v>
      </c>
      <c r="D2648" s="42">
        <f>IFERROR(__xludf.DUMMYFUNCTION("""COMPUTED_VALUE"""),2523.0)</f>
        <v>2523</v>
      </c>
      <c r="E2648" s="39" t="str">
        <f>IFERROR(__xludf.DUMMYFUNCTION("""COMPUTED_VALUE"""),"pedunculo(pontine) tegmental nucleus")</f>
        <v>pedunculo(pontine) tegmental nucleus</v>
      </c>
      <c r="F2648" s="9" t="str">
        <f>IFERROR(__xludf.DUMMYFUNCTION("""COMPUTED_VALUE"""),"Br")</f>
        <v>Br</v>
      </c>
      <c r="G2648" s="9" t="str">
        <f>IFERROR(__xludf.DUMMYFUNCTION("""COMPUTED_VALUE"""),"M")</f>
        <v>M</v>
      </c>
      <c r="H2648" s="9" t="str">
        <f>IFERROR(__xludf.DUMMYFUNCTION("""COMPUTED_VALUE"""),"MGM")</f>
        <v>MGM</v>
      </c>
      <c r="I2648" s="9" t="str">
        <f>IFERROR(__xludf.DUMMYFUNCTION("""COMPUTED_VALUE"""),"MTg")</f>
        <v>MTg</v>
      </c>
      <c r="J2648" s="9" t="str">
        <f>IFERROR(__xludf.DUMMYFUNCTION("""COMPUTED_VALUE"""),"MRF")</f>
        <v>MRF</v>
      </c>
      <c r="K2648" s="9" t="str">
        <f>IFERROR(__xludf.DUMMYFUNCTION("""COMPUTED_VALUE"""),"PTg")</f>
        <v>PTg</v>
      </c>
      <c r="L2648" s="9"/>
      <c r="M2648" s="9"/>
      <c r="N2648" s="9"/>
      <c r="O2648" s="9"/>
      <c r="P2648" s="9"/>
      <c r="Q2648" s="9"/>
      <c r="R2648" s="9"/>
      <c r="S2648" s="42" t="str">
        <f>IFERROR(__xludf.DUMMYFUNCTION("""COMPUTED_VALUE"""),"PTgC;
PTgD")</f>
        <v>PTgC;
PTgD</v>
      </c>
      <c r="T2648" s="42"/>
      <c r="U2648" s="42" t="b">
        <f>IFERROR(__xludf.DUMMYFUNCTION("""COMPUTED_VALUE"""),FALSE)</f>
        <v>0</v>
      </c>
      <c r="V2648" s="42"/>
      <c r="W2648" s="42"/>
      <c r="X2648" s="42"/>
      <c r="Y2648" s="42" t="str">
        <f>IFERROR(__xludf.DUMMYFUNCTION("""COMPUTED_VALUE"""),"Actual reward for the basal ganglia")</f>
        <v>Actual reward for the basal ganglia</v>
      </c>
      <c r="Z2648" s="42"/>
      <c r="AA2648" s="42"/>
      <c r="AB2648" s="42" t="str">
        <f>IFERROR(__xludf.DUMMYFUNCTION("""COMPUTED_VALUE"""),"Hiroshi Yamakawa")</f>
        <v>Hiroshi Yamakawa</v>
      </c>
      <c r="AC2648" s="42"/>
      <c r="AD2648" s="42"/>
      <c r="AE2648" s="42"/>
      <c r="AF2648" s="9"/>
      <c r="AG2648" s="9"/>
      <c r="AH2648" s="42"/>
      <c r="AI2648" s="42"/>
      <c r="AJ2648" s="42"/>
      <c r="AK2648" s="42"/>
      <c r="AL2648" s="42"/>
      <c r="AM2648" s="42"/>
      <c r="AN2648" s="42"/>
      <c r="AO2648" s="63" t="str">
        <f>IFERROR(__xludf.DUMMYFUNCTION("IF(ISBLANK(A2648),,IF(ISBLANK(S2648), A2648&amp;"";"", TEXTJOIN(CHAR(10), TRUE, A2648&amp;"";"", ARRAYFORMULA(VLOOKUP(SPLIT(S2648, "";"" &amp; CHAR(10)), $A:$AO, 41, FALSE)))))"),"PTg;
PTgC;
PTgD;")</f>
        <v>PTg;
PTgC;
PTgD;</v>
      </c>
      <c r="AP2648" s="89"/>
    </row>
    <row r="2649">
      <c r="A2649" s="151" t="str">
        <f>IFERROR(__xludf.DUMMYFUNCTION("""COMPUTED_VALUE"""),"PTgC")</f>
        <v>PTgC</v>
      </c>
      <c r="B2649" s="42" t="str">
        <f>IFERROR(__xludf.DUMMYFUNCTION("""COMPUTED_VALUE"""),"DHBA")</f>
        <v>DHBA</v>
      </c>
      <c r="C2649" s="42" t="str">
        <f>IFERROR(__xludf.DUMMYFUNCTION("""COMPUTED_VALUE"""),"pedunculo(pontine) tegmental nucleus, compact part")</f>
        <v>pedunculo(pontine) tegmental nucleus, compact part</v>
      </c>
      <c r="D2649" s="42">
        <f>IFERROR(__xludf.DUMMYFUNCTION("""COMPUTED_VALUE"""),2524.0)</f>
        <v>2524</v>
      </c>
      <c r="E2649" s="39" t="str">
        <f>IFERROR(__xludf.DUMMYFUNCTION("""COMPUTED_VALUE"""),"pedunculo(pontine) tegmental nucleus, compact part")</f>
        <v>pedunculo(pontine) tegmental nucleus, compact part</v>
      </c>
      <c r="F2649" s="9" t="str">
        <f>IFERROR(__xludf.DUMMYFUNCTION("""COMPUTED_VALUE"""),"Br")</f>
        <v>Br</v>
      </c>
      <c r="G2649" s="9" t="str">
        <f>IFERROR(__xludf.DUMMYFUNCTION("""COMPUTED_VALUE"""),"M")</f>
        <v>M</v>
      </c>
      <c r="H2649" s="9" t="str">
        <f>IFERROR(__xludf.DUMMYFUNCTION("""COMPUTED_VALUE"""),"MGM")</f>
        <v>MGM</v>
      </c>
      <c r="I2649" s="9" t="str">
        <f>IFERROR(__xludf.DUMMYFUNCTION("""COMPUTED_VALUE"""),"MTg")</f>
        <v>MTg</v>
      </c>
      <c r="J2649" s="9" t="str">
        <f>IFERROR(__xludf.DUMMYFUNCTION("""COMPUTED_VALUE"""),"MRF")</f>
        <v>MRF</v>
      </c>
      <c r="K2649" s="9" t="str">
        <f>IFERROR(__xludf.DUMMYFUNCTION("""COMPUTED_VALUE"""),"PTg")</f>
        <v>PTg</v>
      </c>
      <c r="L2649" s="9" t="str">
        <f>IFERROR(__xludf.DUMMYFUNCTION("""COMPUTED_VALUE"""),"PTgC")</f>
        <v>PTgC</v>
      </c>
      <c r="M2649" s="9"/>
      <c r="N2649" s="9"/>
      <c r="O2649" s="9"/>
      <c r="P2649" s="9"/>
      <c r="Q2649" s="9"/>
      <c r="R2649" s="9"/>
      <c r="S2649" s="42"/>
      <c r="T2649" s="42"/>
      <c r="U2649" s="42"/>
      <c r="V2649" s="42"/>
      <c r="W2649" s="42"/>
      <c r="X2649" s="42"/>
      <c r="Y2649" s="42"/>
      <c r="Z2649" s="42"/>
      <c r="AA2649" s="42"/>
      <c r="AB2649" s="42" t="str">
        <f>IFERROR(__xludf.DUMMYFUNCTION("""COMPUTED_VALUE"""),"allen institute")</f>
        <v>allen institute</v>
      </c>
      <c r="AC2649" s="42" t="str">
        <f>IFERROR(__xludf.DUMMYFUNCTION("""COMPUTED_VALUE"""),"DHBA")</f>
        <v>DHBA</v>
      </c>
      <c r="AD2649" s="42"/>
      <c r="AE2649" s="42"/>
      <c r="AF2649" s="9"/>
      <c r="AG2649" s="9"/>
      <c r="AH2649" s="42"/>
      <c r="AI2649" s="42"/>
      <c r="AJ2649" s="42"/>
      <c r="AK2649" s="42"/>
      <c r="AL2649" s="42"/>
      <c r="AM2649" s="42"/>
      <c r="AN2649" s="42"/>
      <c r="AO2649" s="63" t="str">
        <f>IFERROR(__xludf.DUMMYFUNCTION("IF(ISBLANK(A2649),,IF(ISBLANK(S2649), A2649&amp;"";"", TEXTJOIN(CHAR(10), TRUE, A2649&amp;"";"", ARRAYFORMULA(VLOOKUP(SPLIT(S2649, "";"" &amp; CHAR(10)), $A:$AO, 41, FALSE)))))"),"PTgC;")</f>
        <v>PTgC;</v>
      </c>
      <c r="AP2649" s="89"/>
    </row>
    <row r="2650">
      <c r="A2650" s="151" t="str">
        <f>IFERROR(__xludf.DUMMYFUNCTION("""COMPUTED_VALUE"""),"PTgD")</f>
        <v>PTgD</v>
      </c>
      <c r="B2650" s="42" t="str">
        <f>IFERROR(__xludf.DUMMYFUNCTION("""COMPUTED_VALUE"""),"DHBA")</f>
        <v>DHBA</v>
      </c>
      <c r="C2650" s="42" t="str">
        <f>IFERROR(__xludf.DUMMYFUNCTION("""COMPUTED_VALUE"""),"pedunculo(pontine) tegmental nucleus, dissipated part")</f>
        <v>pedunculo(pontine) tegmental nucleus, dissipated part</v>
      </c>
      <c r="D2650" s="42">
        <f>IFERROR(__xludf.DUMMYFUNCTION("""COMPUTED_VALUE"""),2525.0)</f>
        <v>2525</v>
      </c>
      <c r="E2650" s="39" t="str">
        <f>IFERROR(__xludf.DUMMYFUNCTION("""COMPUTED_VALUE"""),"pedunculo(pontine) tegmental nucleus, dissipated part")</f>
        <v>pedunculo(pontine) tegmental nucleus, dissipated part</v>
      </c>
      <c r="F2650" s="9" t="str">
        <f>IFERROR(__xludf.DUMMYFUNCTION("""COMPUTED_VALUE"""),"Br")</f>
        <v>Br</v>
      </c>
      <c r="G2650" s="9" t="str">
        <f>IFERROR(__xludf.DUMMYFUNCTION("""COMPUTED_VALUE"""),"M")</f>
        <v>M</v>
      </c>
      <c r="H2650" s="9" t="str">
        <f>IFERROR(__xludf.DUMMYFUNCTION("""COMPUTED_VALUE"""),"MGM")</f>
        <v>MGM</v>
      </c>
      <c r="I2650" s="9" t="str">
        <f>IFERROR(__xludf.DUMMYFUNCTION("""COMPUTED_VALUE"""),"MTg")</f>
        <v>MTg</v>
      </c>
      <c r="J2650" s="9" t="str">
        <f>IFERROR(__xludf.DUMMYFUNCTION("""COMPUTED_VALUE"""),"MRF")</f>
        <v>MRF</v>
      </c>
      <c r="K2650" s="9" t="str">
        <f>IFERROR(__xludf.DUMMYFUNCTION("""COMPUTED_VALUE"""),"PTg")</f>
        <v>PTg</v>
      </c>
      <c r="L2650" s="9" t="str">
        <f>IFERROR(__xludf.DUMMYFUNCTION("""COMPUTED_VALUE"""),"PTgD")</f>
        <v>PTgD</v>
      </c>
      <c r="M2650" s="9"/>
      <c r="N2650" s="9"/>
      <c r="O2650" s="9"/>
      <c r="P2650" s="9"/>
      <c r="Q2650" s="9"/>
      <c r="R2650" s="9"/>
      <c r="S2650" s="42"/>
      <c r="T2650" s="42"/>
      <c r="U2650" s="42"/>
      <c r="V2650" s="42"/>
      <c r="W2650" s="42"/>
      <c r="X2650" s="42"/>
      <c r="Y2650" s="42"/>
      <c r="Z2650" s="42"/>
      <c r="AA2650" s="42"/>
      <c r="AB2650" s="42" t="str">
        <f>IFERROR(__xludf.DUMMYFUNCTION("""COMPUTED_VALUE"""),"allen institute")</f>
        <v>allen institute</v>
      </c>
      <c r="AC2650" s="42" t="str">
        <f>IFERROR(__xludf.DUMMYFUNCTION("""COMPUTED_VALUE"""),"DHBA")</f>
        <v>DHBA</v>
      </c>
      <c r="AD2650" s="42"/>
      <c r="AE2650" s="42"/>
      <c r="AF2650" s="9"/>
      <c r="AG2650" s="9"/>
      <c r="AH2650" s="42"/>
      <c r="AI2650" s="42"/>
      <c r="AJ2650" s="42"/>
      <c r="AK2650" s="42"/>
      <c r="AL2650" s="42"/>
      <c r="AM2650" s="42"/>
      <c r="AN2650" s="42"/>
      <c r="AO2650" s="63" t="str">
        <f>IFERROR(__xludf.DUMMYFUNCTION("IF(ISBLANK(A2650),,IF(ISBLANK(S2650), A2650&amp;"";"", TEXTJOIN(CHAR(10), TRUE, A2650&amp;"";"", ARRAYFORMULA(VLOOKUP(SPLIT(S2650, "";"" &amp; CHAR(10)), $A:$AO, 41, FALSE)))))"),"PTgD;")</f>
        <v>PTgD;</v>
      </c>
      <c r="AP2650" s="89"/>
    </row>
    <row r="2651">
      <c r="A2651" s="151" t="str">
        <f>IFERROR(__xludf.DUMMYFUNCTION("""COMPUTED_VALUE"""),"SubCn")</f>
        <v>SubCn</v>
      </c>
      <c r="B2651" s="42" t="str">
        <f>IFERROR(__xludf.DUMMYFUNCTION("""COMPUTED_VALUE"""),"DHBA")</f>
        <v>DHBA</v>
      </c>
      <c r="C2651" s="42" t="str">
        <f>IFERROR(__xludf.DUMMYFUNCTION("""COMPUTED_VALUE"""),"subcuneiform nucleus")</f>
        <v>subcuneiform nucleus</v>
      </c>
      <c r="D2651" s="42">
        <f>IFERROR(__xludf.DUMMYFUNCTION("""COMPUTED_VALUE"""),2526.0)</f>
        <v>2526</v>
      </c>
      <c r="E2651" s="39" t="str">
        <f>IFERROR(__xludf.DUMMYFUNCTION("""COMPUTED_VALUE"""),"subcuneiform nucleus")</f>
        <v>subcuneiform nucleus</v>
      </c>
      <c r="F2651" s="9" t="str">
        <f>IFERROR(__xludf.DUMMYFUNCTION("""COMPUTED_VALUE"""),"Br")</f>
        <v>Br</v>
      </c>
      <c r="G2651" s="9" t="str">
        <f>IFERROR(__xludf.DUMMYFUNCTION("""COMPUTED_VALUE"""),"M")</f>
        <v>M</v>
      </c>
      <c r="H2651" s="9" t="str">
        <f>IFERROR(__xludf.DUMMYFUNCTION("""COMPUTED_VALUE"""),"MGM")</f>
        <v>MGM</v>
      </c>
      <c r="I2651" s="9" t="str">
        <f>IFERROR(__xludf.DUMMYFUNCTION("""COMPUTED_VALUE"""),"MTg")</f>
        <v>MTg</v>
      </c>
      <c r="J2651" s="9" t="str">
        <f>IFERROR(__xludf.DUMMYFUNCTION("""COMPUTED_VALUE"""),"MRF")</f>
        <v>MRF</v>
      </c>
      <c r="K2651" s="9" t="str">
        <f>IFERROR(__xludf.DUMMYFUNCTION("""COMPUTED_VALUE"""),"SubCn")</f>
        <v>SubCn</v>
      </c>
      <c r="L2651" s="9"/>
      <c r="M2651" s="9"/>
      <c r="N2651" s="9"/>
      <c r="O2651" s="9"/>
      <c r="P2651" s="9"/>
      <c r="Q2651" s="9"/>
      <c r="R2651" s="9"/>
      <c r="S2651" s="42"/>
      <c r="T2651" s="42"/>
      <c r="U2651" s="159"/>
      <c r="V2651" s="42"/>
      <c r="W2651" s="42"/>
      <c r="X2651" s="42"/>
      <c r="Y2651" s="42"/>
      <c r="Z2651" s="42"/>
      <c r="AA2651" s="42"/>
      <c r="AB2651" s="42" t="str">
        <f>IFERROR(__xludf.DUMMYFUNCTION("""COMPUTED_VALUE"""),"allen institute")</f>
        <v>allen institute</v>
      </c>
      <c r="AC2651" s="42" t="str">
        <f>IFERROR(__xludf.DUMMYFUNCTION("""COMPUTED_VALUE"""),"DHBA")</f>
        <v>DHBA</v>
      </c>
      <c r="AD2651" s="42"/>
      <c r="AE2651" s="42"/>
      <c r="AF2651" s="9"/>
      <c r="AG2651" s="9"/>
      <c r="AH2651" s="42"/>
      <c r="AI2651" s="42"/>
      <c r="AJ2651" s="42"/>
      <c r="AK2651" s="42"/>
      <c r="AL2651" s="42"/>
      <c r="AM2651" s="42"/>
      <c r="AN2651" s="42"/>
      <c r="AO2651" s="63" t="str">
        <f>IFERROR(__xludf.DUMMYFUNCTION("IF(ISBLANK(A2651),,IF(ISBLANK(S2651), A2651&amp;"";"", TEXTJOIN(CHAR(10), TRUE, A2651&amp;"";"", ARRAYFORMULA(VLOOKUP(SPLIT(S2651, "";"" &amp; CHAR(10)), $A:$AO, 41, FALSE)))))"),"SubCn;")</f>
        <v>SubCn;</v>
      </c>
      <c r="AP2651" s="89"/>
    </row>
    <row r="2652">
      <c r="A2652" s="151" t="str">
        <f>IFERROR(__xludf.DUMMYFUNCTION("""COMPUTED_VALUE"""),"Lth")</f>
        <v>Lth</v>
      </c>
      <c r="B2652" s="42" t="str">
        <f>IFERROR(__xludf.DUMMYFUNCTION("""COMPUTED_VALUE"""),"DHBA")</f>
        <v>DHBA</v>
      </c>
      <c r="C2652" s="42" t="str">
        <f>IFERROR(__xludf.DUMMYFUNCTION("""COMPUTED_VALUE"""),"lithoid nucleus")</f>
        <v>lithoid nucleus</v>
      </c>
      <c r="D2652" s="42">
        <f>IFERROR(__xludf.DUMMYFUNCTION("""COMPUTED_VALUE"""),2527.0)</f>
        <v>2527</v>
      </c>
      <c r="E2652" s="39" t="str">
        <f>IFERROR(__xludf.DUMMYFUNCTION("""COMPUTED_VALUE"""),"lithoid nucleus")</f>
        <v>lithoid nucleus</v>
      </c>
      <c r="F2652" s="9" t="str">
        <f>IFERROR(__xludf.DUMMYFUNCTION("""COMPUTED_VALUE"""),"Br")</f>
        <v>Br</v>
      </c>
      <c r="G2652" s="9" t="str">
        <f>IFERROR(__xludf.DUMMYFUNCTION("""COMPUTED_VALUE"""),"M")</f>
        <v>M</v>
      </c>
      <c r="H2652" s="9" t="str">
        <f>IFERROR(__xludf.DUMMYFUNCTION("""COMPUTED_VALUE"""),"MGM")</f>
        <v>MGM</v>
      </c>
      <c r="I2652" s="9" t="str">
        <f>IFERROR(__xludf.DUMMYFUNCTION("""COMPUTED_VALUE"""),"MTg")</f>
        <v>MTg</v>
      </c>
      <c r="J2652" s="9" t="str">
        <f>IFERROR(__xludf.DUMMYFUNCTION("""COMPUTED_VALUE"""),"MRF")</f>
        <v>MRF</v>
      </c>
      <c r="K2652" s="9" t="str">
        <f>IFERROR(__xludf.DUMMYFUNCTION("""COMPUTED_VALUE"""),"Lth")</f>
        <v>Lth</v>
      </c>
      <c r="L2652" s="9"/>
      <c r="M2652" s="9"/>
      <c r="N2652" s="9"/>
      <c r="O2652" s="9"/>
      <c r="P2652" s="9"/>
      <c r="Q2652" s="9"/>
      <c r="R2652" s="9"/>
      <c r="S2652" s="42"/>
      <c r="T2652" s="42"/>
      <c r="U2652" s="42"/>
      <c r="V2652" s="42"/>
      <c r="W2652" s="42"/>
      <c r="X2652" s="42"/>
      <c r="Y2652" s="42"/>
      <c r="Z2652" s="42"/>
      <c r="AA2652" s="42"/>
      <c r="AB2652" s="42" t="str">
        <f>IFERROR(__xludf.DUMMYFUNCTION("""COMPUTED_VALUE"""),"allen institute")</f>
        <v>allen institute</v>
      </c>
      <c r="AC2652" s="42" t="str">
        <f>IFERROR(__xludf.DUMMYFUNCTION("""COMPUTED_VALUE"""),"DHBA")</f>
        <v>DHBA</v>
      </c>
      <c r="AD2652" s="42"/>
      <c r="AE2652" s="42"/>
      <c r="AF2652" s="9"/>
      <c r="AG2652" s="9"/>
      <c r="AH2652" s="42"/>
      <c r="AI2652" s="42"/>
      <c r="AJ2652" s="42"/>
      <c r="AK2652" s="42"/>
      <c r="AL2652" s="42"/>
      <c r="AM2652" s="42"/>
      <c r="AN2652" s="42"/>
      <c r="AO2652" s="63" t="str">
        <f>IFERROR(__xludf.DUMMYFUNCTION("IF(ISBLANK(A2652),,IF(ISBLANK(S2652), A2652&amp;"";"", TEXTJOIN(CHAR(10), TRUE, A2652&amp;"";"", ARRAYFORMULA(VLOOKUP(SPLIT(S2652, "";"" &amp; CHAR(10)), $A:$AO, 41, FALSE)))))"),"Lth;")</f>
        <v>Lth;</v>
      </c>
      <c r="AP2652" s="89"/>
    </row>
    <row r="2653">
      <c r="A2653" s="151" t="str">
        <f>IFERROR(__xludf.DUMMYFUNCTION("""COMPUTED_VALUE"""),"RN")</f>
        <v>RN</v>
      </c>
      <c r="B2653" s="42" t="str">
        <f>IFERROR(__xludf.DUMMYFUNCTION("""COMPUTED_VALUE"""),"DHBA")</f>
        <v>DHBA</v>
      </c>
      <c r="C2653" s="42" t="str">
        <f>IFERROR(__xludf.DUMMYFUNCTION("""COMPUTED_VALUE"""),"red nucleus")</f>
        <v>red nucleus</v>
      </c>
      <c r="D2653" s="42">
        <f>IFERROR(__xludf.DUMMYFUNCTION("""COMPUTED_VALUE"""),2528.0)</f>
        <v>2528</v>
      </c>
      <c r="E2653" s="39" t="str">
        <f>IFERROR(__xludf.DUMMYFUNCTION("""COMPUTED_VALUE"""),"red nucleus")</f>
        <v>red nucleus</v>
      </c>
      <c r="F2653" s="9" t="str">
        <f>IFERROR(__xludf.DUMMYFUNCTION("""COMPUTED_VALUE"""),"Br")</f>
        <v>Br</v>
      </c>
      <c r="G2653" s="9" t="str">
        <f>IFERROR(__xludf.DUMMYFUNCTION("""COMPUTED_VALUE"""),"M")</f>
        <v>M</v>
      </c>
      <c r="H2653" s="9" t="str">
        <f>IFERROR(__xludf.DUMMYFUNCTION("""COMPUTED_VALUE"""),"MGM")</f>
        <v>MGM</v>
      </c>
      <c r="I2653" s="9" t="str">
        <f>IFERROR(__xludf.DUMMYFUNCTION("""COMPUTED_VALUE"""),"MTg")</f>
        <v>MTg</v>
      </c>
      <c r="J2653" s="9" t="str">
        <f>IFERROR(__xludf.DUMMYFUNCTION("""COMPUTED_VALUE"""),"RN")</f>
        <v>RN</v>
      </c>
      <c r="K2653" s="9"/>
      <c r="L2653" s="9"/>
      <c r="M2653" s="9"/>
      <c r="N2653" s="9"/>
      <c r="O2653" s="9"/>
      <c r="P2653" s="9"/>
      <c r="Q2653" s="9"/>
      <c r="R2653" s="9"/>
      <c r="S2653" s="42" t="str">
        <f>IFERROR(__xludf.DUMMYFUNCTION("""COMPUTED_VALUE"""),"RNdm;
RNmc;
RNpc")</f>
        <v>RNdm;
RNmc;
RNpc</v>
      </c>
      <c r="T2653" s="42"/>
      <c r="U2653" s="159" t="b">
        <f>IFERROR(__xludf.DUMMYFUNCTION("""COMPUTED_VALUE"""),FALSE)</f>
        <v>0</v>
      </c>
      <c r="V2653" s="42"/>
      <c r="W2653" s="42"/>
      <c r="X2653" s="42"/>
      <c r="Y2653" s="42"/>
      <c r="Z2653" s="42"/>
      <c r="AA2653" s="42"/>
      <c r="AB2653" s="42" t="str">
        <f>IFERROR(__xludf.DUMMYFUNCTION("""COMPUTED_VALUE"""),"allen institute")</f>
        <v>allen institute</v>
      </c>
      <c r="AC2653" s="42" t="str">
        <f>IFERROR(__xludf.DUMMYFUNCTION("""COMPUTED_VALUE"""),"DHBA")</f>
        <v>DHBA</v>
      </c>
      <c r="AD2653" s="42"/>
      <c r="AE2653" s="42"/>
      <c r="AF2653" s="9"/>
      <c r="AG2653" s="9"/>
      <c r="AH2653" s="42"/>
      <c r="AI2653" s="42"/>
      <c r="AJ2653" s="42"/>
      <c r="AK2653" s="42"/>
      <c r="AL2653" s="42"/>
      <c r="AM2653" s="42"/>
      <c r="AN2653" s="42"/>
      <c r="AO2653" s="63" t="str">
        <f>IFERROR(__xludf.DUMMYFUNCTION("IF(ISBLANK(A2653),,IF(ISBLANK(S2653), A2653&amp;"";"", TEXTJOIN(CHAR(10), TRUE, A2653&amp;"";"", ARRAYFORMULA(VLOOKUP(SPLIT(S2653, "";"" &amp; CHAR(10)), $A:$AO, 41, FALSE)))))"),"RN;
RNdm;
RNmc;
RNpc;")</f>
        <v>RN;
RNdm;
RNmc;
RNpc;</v>
      </c>
      <c r="AP2653" s="89"/>
    </row>
    <row r="2654">
      <c r="A2654" s="151" t="str">
        <f>IFERROR(__xludf.DUMMYFUNCTION("""COMPUTED_VALUE"""),"RNdm")</f>
        <v>RNdm</v>
      </c>
      <c r="B2654" s="42" t="str">
        <f>IFERROR(__xludf.DUMMYFUNCTION("""COMPUTED_VALUE"""),"DHBA")</f>
        <v>DHBA</v>
      </c>
      <c r="C2654" s="42" t="str">
        <f>IFERROR(__xludf.DUMMYFUNCTION("""COMPUTED_VALUE"""),"red nucleus, dorsomedial part")</f>
        <v>red nucleus, dorsomedial part</v>
      </c>
      <c r="D2654" s="42">
        <f>IFERROR(__xludf.DUMMYFUNCTION("""COMPUTED_VALUE"""),2529.0)</f>
        <v>2529</v>
      </c>
      <c r="E2654" s="39" t="str">
        <f>IFERROR(__xludf.DUMMYFUNCTION("""COMPUTED_VALUE"""),"red nucleus, dorsomedial part")</f>
        <v>red nucleus, dorsomedial part</v>
      </c>
      <c r="F2654" s="9" t="str">
        <f>IFERROR(__xludf.DUMMYFUNCTION("""COMPUTED_VALUE"""),"Br")</f>
        <v>Br</v>
      </c>
      <c r="G2654" s="9" t="str">
        <f>IFERROR(__xludf.DUMMYFUNCTION("""COMPUTED_VALUE"""),"M")</f>
        <v>M</v>
      </c>
      <c r="H2654" s="9" t="str">
        <f>IFERROR(__xludf.DUMMYFUNCTION("""COMPUTED_VALUE"""),"MGM")</f>
        <v>MGM</v>
      </c>
      <c r="I2654" s="9" t="str">
        <f>IFERROR(__xludf.DUMMYFUNCTION("""COMPUTED_VALUE"""),"MTg")</f>
        <v>MTg</v>
      </c>
      <c r="J2654" s="9" t="str">
        <f>IFERROR(__xludf.DUMMYFUNCTION("""COMPUTED_VALUE"""),"RN")</f>
        <v>RN</v>
      </c>
      <c r="K2654" s="9" t="str">
        <f>IFERROR(__xludf.DUMMYFUNCTION("""COMPUTED_VALUE"""),"RNdm")</f>
        <v>RNdm</v>
      </c>
      <c r="L2654" s="9"/>
      <c r="M2654" s="9"/>
      <c r="N2654" s="9"/>
      <c r="O2654" s="9"/>
      <c r="P2654" s="9"/>
      <c r="Q2654" s="9"/>
      <c r="R2654" s="9"/>
      <c r="S2654" s="42"/>
      <c r="T2654" s="42"/>
      <c r="U2654" s="42"/>
      <c r="V2654" s="42"/>
      <c r="W2654" s="42"/>
      <c r="X2654" s="42"/>
      <c r="Y2654" s="42"/>
      <c r="Z2654" s="42"/>
      <c r="AA2654" s="42"/>
      <c r="AB2654" s="42" t="str">
        <f>IFERROR(__xludf.DUMMYFUNCTION("""COMPUTED_VALUE"""),"allen institute")</f>
        <v>allen institute</v>
      </c>
      <c r="AC2654" s="42" t="str">
        <f>IFERROR(__xludf.DUMMYFUNCTION("""COMPUTED_VALUE"""),"DHBA")</f>
        <v>DHBA</v>
      </c>
      <c r="AD2654" s="42"/>
      <c r="AE2654" s="42"/>
      <c r="AF2654" s="9"/>
      <c r="AG2654" s="9"/>
      <c r="AH2654" s="42"/>
      <c r="AI2654" s="42"/>
      <c r="AJ2654" s="42"/>
      <c r="AK2654" s="42"/>
      <c r="AL2654" s="42"/>
      <c r="AM2654" s="42"/>
      <c r="AN2654" s="42"/>
      <c r="AO2654" s="63" t="str">
        <f>IFERROR(__xludf.DUMMYFUNCTION("IF(ISBLANK(A2654),,IF(ISBLANK(S2654), A2654&amp;"";"", TEXTJOIN(CHAR(10), TRUE, A2654&amp;"";"", ARRAYFORMULA(VLOOKUP(SPLIT(S2654, "";"" &amp; CHAR(10)), $A:$AO, 41, FALSE)))))"),"RNdm;")</f>
        <v>RNdm;</v>
      </c>
      <c r="AP2654" s="89"/>
    </row>
    <row r="2655">
      <c r="A2655" s="151" t="str">
        <f>IFERROR(__xludf.DUMMYFUNCTION("""COMPUTED_VALUE"""),"RNmc")</f>
        <v>RNmc</v>
      </c>
      <c r="B2655" s="42" t="str">
        <f>IFERROR(__xludf.DUMMYFUNCTION("""COMPUTED_VALUE"""),"DHBA")</f>
        <v>DHBA</v>
      </c>
      <c r="C2655" s="42" t="str">
        <f>IFERROR(__xludf.DUMMYFUNCTION("""COMPUTED_VALUE"""),"red nucleus, magnocellular part; mRN")</f>
        <v>red nucleus, magnocellular part; mRN</v>
      </c>
      <c r="D2655" s="42">
        <f>IFERROR(__xludf.DUMMYFUNCTION("""COMPUTED_VALUE"""),2530.0)</f>
        <v>2530</v>
      </c>
      <c r="E2655" s="39" t="str">
        <f>IFERROR(__xludf.DUMMYFUNCTION("""COMPUTED_VALUE"""),"red nucleus, magnocellular part")</f>
        <v>red nucleus, magnocellular part</v>
      </c>
      <c r="F2655" s="9" t="str">
        <f>IFERROR(__xludf.DUMMYFUNCTION("""COMPUTED_VALUE"""),"Br")</f>
        <v>Br</v>
      </c>
      <c r="G2655" s="9" t="str">
        <f>IFERROR(__xludf.DUMMYFUNCTION("""COMPUTED_VALUE"""),"M")</f>
        <v>M</v>
      </c>
      <c r="H2655" s="9" t="str">
        <f>IFERROR(__xludf.DUMMYFUNCTION("""COMPUTED_VALUE"""),"MGM")</f>
        <v>MGM</v>
      </c>
      <c r="I2655" s="9" t="str">
        <f>IFERROR(__xludf.DUMMYFUNCTION("""COMPUTED_VALUE"""),"MTg")</f>
        <v>MTg</v>
      </c>
      <c r="J2655" s="9" t="str">
        <f>IFERROR(__xludf.DUMMYFUNCTION("""COMPUTED_VALUE"""),"RN")</f>
        <v>RN</v>
      </c>
      <c r="K2655" s="9" t="str">
        <f>IFERROR(__xludf.DUMMYFUNCTION("""COMPUTED_VALUE"""),"RNmc")</f>
        <v>RNmc</v>
      </c>
      <c r="L2655" s="9"/>
      <c r="M2655" s="9"/>
      <c r="N2655" s="9"/>
      <c r="O2655" s="9"/>
      <c r="P2655" s="9"/>
      <c r="Q2655" s="9"/>
      <c r="R2655" s="9"/>
      <c r="S2655" s="42"/>
      <c r="T2655" s="42"/>
      <c r="U2655" s="42" t="b">
        <f>IFERROR(__xludf.DUMMYFUNCTION("""COMPUTED_VALUE"""),TRUE)</f>
        <v>1</v>
      </c>
      <c r="V2655" s="42"/>
      <c r="W2655" s="42"/>
      <c r="X2655" s="42"/>
      <c r="Y2655" s="42" t="str">
        <f>IFERROR(__xludf.DUMMYFUNCTION("""COMPUTED_VALUE"""),"Project to lateral descending tract / rubospinal tract. [Jimsheleishvili, 2020]
Control distal movement.")</f>
        <v>Project to lateral descending tract / rubospinal tract. [Jimsheleishvili, 2020]
Control distal movement.</v>
      </c>
      <c r="Z2655" s="42"/>
      <c r="AA2655" s="42"/>
      <c r="AB2655" s="42" t="str">
        <f>IFERROR(__xludf.DUMMYFUNCTION("""COMPUTED_VALUE"""),"allen institute")</f>
        <v>allen institute</v>
      </c>
      <c r="AC2655" s="42" t="str">
        <f>IFERROR(__xludf.DUMMYFUNCTION("""COMPUTED_VALUE"""),"DHBA")</f>
        <v>DHBA</v>
      </c>
      <c r="AD2655" s="42"/>
      <c r="AE2655" s="42"/>
      <c r="AF2655" s="9"/>
      <c r="AG2655" s="9"/>
      <c r="AH2655" s="42"/>
      <c r="AI2655" s="42"/>
      <c r="AJ2655" s="42"/>
      <c r="AK2655" s="42"/>
      <c r="AL2655" s="42"/>
      <c r="AM2655" s="42"/>
      <c r="AN2655" s="42"/>
      <c r="AO2655" s="63" t="str">
        <f>IFERROR(__xludf.DUMMYFUNCTION("IF(ISBLANK(A2655),,IF(ISBLANK(S2655), A2655&amp;"";"", TEXTJOIN(CHAR(10), TRUE, A2655&amp;"";"", ARRAYFORMULA(VLOOKUP(SPLIT(S2655, "";"" &amp; CHAR(10)), $A:$AO, 41, FALSE)))))"),"RNmc;")</f>
        <v>RNmc;</v>
      </c>
      <c r="AP2655" s="89"/>
    </row>
    <row r="2656">
      <c r="A2656" s="151" t="str">
        <f>IFERROR(__xludf.DUMMYFUNCTION("""COMPUTED_VALUE"""),"RNpc")</f>
        <v>RNpc</v>
      </c>
      <c r="B2656" s="42" t="str">
        <f>IFERROR(__xludf.DUMMYFUNCTION("""COMPUTED_VALUE"""),"DHBA")</f>
        <v>DHBA</v>
      </c>
      <c r="C2656" s="42" t="str">
        <f>IFERROR(__xludf.DUMMYFUNCTION("""COMPUTED_VALUE"""),"red nucleus, parvicellular part; pRN")</f>
        <v>red nucleus, parvicellular part; pRN</v>
      </c>
      <c r="D2656" s="42">
        <f>IFERROR(__xludf.DUMMYFUNCTION("""COMPUTED_VALUE"""),2531.0)</f>
        <v>2531</v>
      </c>
      <c r="E2656" s="39" t="str">
        <f>IFERROR(__xludf.DUMMYFUNCTION("""COMPUTED_VALUE"""),"red nucleus, parvicellular part")</f>
        <v>red nucleus, parvicellular part</v>
      </c>
      <c r="F2656" s="9" t="str">
        <f>IFERROR(__xludf.DUMMYFUNCTION("""COMPUTED_VALUE"""),"Br")</f>
        <v>Br</v>
      </c>
      <c r="G2656" s="9" t="str">
        <f>IFERROR(__xludf.DUMMYFUNCTION("""COMPUTED_VALUE"""),"M")</f>
        <v>M</v>
      </c>
      <c r="H2656" s="9" t="str">
        <f>IFERROR(__xludf.DUMMYFUNCTION("""COMPUTED_VALUE"""),"MGM")</f>
        <v>MGM</v>
      </c>
      <c r="I2656" s="9" t="str">
        <f>IFERROR(__xludf.DUMMYFUNCTION("""COMPUTED_VALUE"""),"MTg")</f>
        <v>MTg</v>
      </c>
      <c r="J2656" s="9" t="str">
        <f>IFERROR(__xludf.DUMMYFUNCTION("""COMPUTED_VALUE"""),"RN")</f>
        <v>RN</v>
      </c>
      <c r="K2656" s="9" t="str">
        <f>IFERROR(__xludf.DUMMYFUNCTION("""COMPUTED_VALUE"""),"RNpc")</f>
        <v>RNpc</v>
      </c>
      <c r="L2656" s="9"/>
      <c r="M2656" s="9"/>
      <c r="N2656" s="9"/>
      <c r="O2656" s="9"/>
      <c r="P2656" s="9"/>
      <c r="Q2656" s="9"/>
      <c r="R2656" s="9"/>
      <c r="S2656" s="42"/>
      <c r="T2656" s="42"/>
      <c r="U2656" s="42" t="b">
        <f>IFERROR(__xludf.DUMMYFUNCTION("""COMPUTED_VALUE"""),TRUE)</f>
        <v>1</v>
      </c>
      <c r="V2656" s="42"/>
      <c r="W2656" s="42"/>
      <c r="X2656" s="42"/>
      <c r="Y2656" s="42" t="str">
        <f>IFERROR(__xludf.DUMMYFUNCTION("""COMPUTED_VALUE"""),"associate cerebrocerebellum ")</f>
        <v>associate cerebrocerebellum </v>
      </c>
      <c r="Z2656" s="42"/>
      <c r="AA2656" s="42"/>
      <c r="AB2656" s="42" t="str">
        <f>IFERROR(__xludf.DUMMYFUNCTION("""COMPUTED_VALUE"""),"allen institute")</f>
        <v>allen institute</v>
      </c>
      <c r="AC2656" s="42" t="str">
        <f>IFERROR(__xludf.DUMMYFUNCTION("""COMPUTED_VALUE"""),"DHBA")</f>
        <v>DHBA</v>
      </c>
      <c r="AD2656" s="42"/>
      <c r="AE2656" s="42"/>
      <c r="AF2656" s="9"/>
      <c r="AG2656" s="9"/>
      <c r="AH2656" s="42"/>
      <c r="AI2656" s="42"/>
      <c r="AJ2656" s="42"/>
      <c r="AK2656" s="42"/>
      <c r="AL2656" s="42"/>
      <c r="AM2656" s="42"/>
      <c r="AN2656" s="42"/>
      <c r="AO2656" s="63" t="str">
        <f>IFERROR(__xludf.DUMMYFUNCTION("IF(ISBLANK(A2656),,IF(ISBLANK(S2656), A2656&amp;"";"", TEXTJOIN(CHAR(10), TRUE, A2656&amp;"";"", ARRAYFORMULA(VLOOKUP(SPLIT(S2656, "";"" &amp; CHAR(10)), $A:$AO, 41, FALSE)))))"),"RNpc;")</f>
        <v>RNpc;</v>
      </c>
      <c r="AP2656" s="89"/>
    </row>
    <row r="2657">
      <c r="A2657" s="151" t="str">
        <f>IFERROR(__xludf.DUMMYFUNCTION("""COMPUTED_VALUE"""),"SN")</f>
        <v>SN</v>
      </c>
      <c r="B2657" s="42" t="str">
        <f>IFERROR(__xludf.DUMMYFUNCTION("""COMPUTED_VALUE"""),"DHBA")</f>
        <v>DHBA</v>
      </c>
      <c r="C2657" s="42" t="str">
        <f>IFERROR(__xludf.DUMMYFUNCTION("""COMPUTED_VALUE"""),"substantia nigra")</f>
        <v>substantia nigra</v>
      </c>
      <c r="D2657" s="42">
        <f>IFERROR(__xludf.DUMMYFUNCTION("""COMPUTED_VALUE"""),2532.0)</f>
        <v>2532</v>
      </c>
      <c r="E2657" s="39" t="str">
        <f>IFERROR(__xludf.DUMMYFUNCTION("""COMPUTED_VALUE"""),"substantia nigra")</f>
        <v>substantia nigra</v>
      </c>
      <c r="F2657" s="9" t="str">
        <f>IFERROR(__xludf.DUMMYFUNCTION("""COMPUTED_VALUE"""),"Br")</f>
        <v>Br</v>
      </c>
      <c r="G2657" s="9" t="str">
        <f>IFERROR(__xludf.DUMMYFUNCTION("""COMPUTED_VALUE"""),"M")</f>
        <v>M</v>
      </c>
      <c r="H2657" s="9" t="str">
        <f>IFERROR(__xludf.DUMMYFUNCTION("""COMPUTED_VALUE"""),"MGM")</f>
        <v>MGM</v>
      </c>
      <c r="I2657" s="9" t="str">
        <f>IFERROR(__xludf.DUMMYFUNCTION("""COMPUTED_VALUE"""),"MTg")</f>
        <v>MTg</v>
      </c>
      <c r="J2657" s="9" t="str">
        <f>IFERROR(__xludf.DUMMYFUNCTION("""COMPUTED_VALUE"""),"SN")</f>
        <v>SN</v>
      </c>
      <c r="K2657" s="9"/>
      <c r="L2657" s="9"/>
      <c r="M2657" s="9"/>
      <c r="N2657" s="9"/>
      <c r="O2657" s="9"/>
      <c r="P2657" s="9"/>
      <c r="Q2657" s="9"/>
      <c r="R2657" s="9"/>
      <c r="S2657" s="42" t="str">
        <f>IFERROR(__xludf.DUMMYFUNCTION("""COMPUTED_VALUE"""),"SNC;
SNL;
SNR")</f>
        <v>SNC;
SNL;
SNR</v>
      </c>
      <c r="T2657" s="42" t="str">
        <f>IFERROR(__xludf.DUMMYFUNCTION("""COMPUTED_VALUE"""),"SN")</f>
        <v>SN</v>
      </c>
      <c r="U2657" s="42" t="b">
        <f>IFERROR(__xludf.DUMMYFUNCTION("""COMPUTED_VALUE"""),FALSE)</f>
        <v>0</v>
      </c>
      <c r="V2657" s="42"/>
      <c r="W2657" s="42"/>
      <c r="X2657" s="42"/>
      <c r="Y2657" s="42"/>
      <c r="Z2657" s="42"/>
      <c r="AA2657" s="42"/>
      <c r="AB2657" s="42" t="str">
        <f>IFERROR(__xludf.DUMMYFUNCTION("""COMPUTED_VALUE"""),"allen institute")</f>
        <v>allen institute</v>
      </c>
      <c r="AC2657" s="42" t="str">
        <f>IFERROR(__xludf.DUMMYFUNCTION("""COMPUTED_VALUE"""),"DHBA")</f>
        <v>DHBA</v>
      </c>
      <c r="AD2657" s="42"/>
      <c r="AE2657" s="42"/>
      <c r="AF2657" s="9"/>
      <c r="AG2657" s="9"/>
      <c r="AH2657" s="42"/>
      <c r="AI2657" s="42"/>
      <c r="AJ2657" s="42"/>
      <c r="AK2657" s="42"/>
      <c r="AL2657" s="42"/>
      <c r="AM2657" s="42"/>
      <c r="AN2657" s="42"/>
      <c r="AO2657" s="63" t="str">
        <f>IFERROR(__xludf.DUMMYFUNCTION("IF(ISBLANK(A2657),,IF(ISBLANK(S2657), A2657&amp;"";"", TEXTJOIN(CHAR(10), TRUE, A2657&amp;"";"", ARRAYFORMULA(VLOOKUP(SPLIT(S2657, "";"" &amp; CHAR(10)), $A:$AO, 41, FALSE)))))"),"SN;
SNC;
SNCd;
SNCm;
SNCv;
SNL;
SNR;")</f>
        <v>SN;
SNC;
SNCd;
SNCm;
SNCv;
SNL;
SNR;</v>
      </c>
      <c r="AP2657" s="89"/>
    </row>
    <row r="2658">
      <c r="A2658" s="151" t="str">
        <f>IFERROR(__xludf.DUMMYFUNCTION("""COMPUTED_VALUE"""),"SNC")</f>
        <v>SNC</v>
      </c>
      <c r="B2658" s="42" t="str">
        <f>IFERROR(__xludf.DUMMYFUNCTION("""COMPUTED_VALUE"""),"DHBA")</f>
        <v>DHBA</v>
      </c>
      <c r="C2658" s="42" t="str">
        <f>IFERROR(__xludf.DUMMYFUNCTION("""COMPUTED_VALUE"""),"substantia nigra, compact part")</f>
        <v>substantia nigra, compact part</v>
      </c>
      <c r="D2658" s="42">
        <f>IFERROR(__xludf.DUMMYFUNCTION("""COMPUTED_VALUE"""),2533.0)</f>
        <v>2533</v>
      </c>
      <c r="E2658" s="39" t="str">
        <f>IFERROR(__xludf.DUMMYFUNCTION("""COMPUTED_VALUE"""),"substantia nigra, compact part")</f>
        <v>substantia nigra, compact part</v>
      </c>
      <c r="F2658" s="9" t="str">
        <f>IFERROR(__xludf.DUMMYFUNCTION("""COMPUTED_VALUE"""),"Br")</f>
        <v>Br</v>
      </c>
      <c r="G2658" s="9" t="str">
        <f>IFERROR(__xludf.DUMMYFUNCTION("""COMPUTED_VALUE"""),"M")</f>
        <v>M</v>
      </c>
      <c r="H2658" s="9" t="str">
        <f>IFERROR(__xludf.DUMMYFUNCTION("""COMPUTED_VALUE"""),"MGM")</f>
        <v>MGM</v>
      </c>
      <c r="I2658" s="9" t="str">
        <f>IFERROR(__xludf.DUMMYFUNCTION("""COMPUTED_VALUE"""),"MTg")</f>
        <v>MTg</v>
      </c>
      <c r="J2658" s="9" t="str">
        <f>IFERROR(__xludf.DUMMYFUNCTION("""COMPUTED_VALUE"""),"SN")</f>
        <v>SN</v>
      </c>
      <c r="K2658" s="9" t="str">
        <f>IFERROR(__xludf.DUMMYFUNCTION("""COMPUTED_VALUE"""),"SNC")</f>
        <v>SNC</v>
      </c>
      <c r="L2658" s="9"/>
      <c r="M2658" s="9"/>
      <c r="N2658" s="9"/>
      <c r="O2658" s="9"/>
      <c r="P2658" s="9"/>
      <c r="Q2658" s="9"/>
      <c r="R2658" s="9"/>
      <c r="S2658" s="42" t="str">
        <f>IFERROR(__xludf.DUMMYFUNCTION("""COMPUTED_VALUE"""),"SNCd;
SNCm;
SNCv")</f>
        <v>SNCd;
SNCm;
SNCv</v>
      </c>
      <c r="T2658" s="42" t="str">
        <f>IFERROR(__xludf.DUMMYFUNCTION("""COMPUTED_VALUE"""),"SN")</f>
        <v>SN</v>
      </c>
      <c r="U2658" s="159" t="b">
        <f>IFERROR(__xludf.DUMMYFUNCTION("""COMPUTED_VALUE"""),FALSE)</f>
        <v>0</v>
      </c>
      <c r="V2658" s="42" t="str">
        <f>IFERROR(__xludf.DUMMYFUNCTION("""COMPUTED_VALUE"""),"Dopamine")</f>
        <v>Dopamine</v>
      </c>
      <c r="W2658" s="42" t="str">
        <f>IFERROR(__xludf.DUMMYFUNCTION("""COMPUTED_VALUE"""),"Modulatory")</f>
        <v>Modulatory</v>
      </c>
      <c r="X2658" s="42"/>
      <c r="Y2658" s="42" t="str">
        <f>IFERROR(__xludf.DUMMYFUNCTION("""COMPUTED_VALUE"""),"Involved in learning and task reward
Reward prediction error = reward from PPn - prediction by STR
regulation of the balance between the direct and the indirect pathways (decrease in striatal dopamine level results in decrease in indirect pathway activit"&amp;"y and increase in direct pathway acitivity, which will result in an increase in GPi and SNr activity and inhibition of movement)
Most dorsal tier SNC axons terminate within the STR_Matrix of the dorsal striatum, but their patterns of arborization vary ma"&amp;"rkedly; some axons inner- vate one specific matriceal area, whereas others arborize in multiple discontinuous loci. Some dorsal tier SNC axons also project to both STR_Striosomes and STR_Matrix. [Prensa, 2001]")</f>
        <v>Involved in learning and task reward
Reward prediction error = reward from PPn - prediction by STR
regulation of the balance between the direct and the indirect pathways (decrease in striatal dopamine level results in decrease in indirect pathway activity and increase in direct pathway acitivity, which will result in an increase in GPi and SNr activity and inhibition of movement)
Most dorsal tier SNC axons terminate within the STR_Matrix of the dorsal striatum, but their patterns of arborization vary markedly; some axons inner- vate one specific matriceal area, whereas others arborize in multiple discontinuous loci. Some dorsal tier SNC axons also project to both STR_Striosomes and STR_Matrix. [Prensa, 2001]</v>
      </c>
      <c r="Z2658" s="42"/>
      <c r="AA2658" s="42"/>
      <c r="AB2658" s="42" t="str">
        <f>IFERROR(__xludf.DUMMYFUNCTION("""COMPUTED_VALUE"""),"allen institute")</f>
        <v>allen institute</v>
      </c>
      <c r="AC2658" s="42" t="str">
        <f>IFERROR(__xludf.DUMMYFUNCTION("""COMPUTED_VALUE"""),"DHBA")</f>
        <v>DHBA</v>
      </c>
      <c r="AD2658" s="42"/>
      <c r="AE2658" s="42"/>
      <c r="AF2658" s="9"/>
      <c r="AG2658" s="9"/>
      <c r="AH2658" s="42"/>
      <c r="AI2658" s="42"/>
      <c r="AJ2658" s="42"/>
      <c r="AK2658" s="42"/>
      <c r="AL2658" s="42"/>
      <c r="AM2658" s="42"/>
      <c r="AN2658" s="42"/>
      <c r="AO2658" s="63" t="str">
        <f>IFERROR(__xludf.DUMMYFUNCTION("IF(ISBLANK(A2658),,IF(ISBLANK(S2658), A2658&amp;"";"", TEXTJOIN(CHAR(10), TRUE, A2658&amp;"";"", ARRAYFORMULA(VLOOKUP(SPLIT(S2658, "";"" &amp; CHAR(10)), $A:$AO, 41, FALSE)))))"),"SNC;
SNCd;
SNCm;
SNCv;")</f>
        <v>SNC;
SNCd;
SNCm;
SNCv;</v>
      </c>
      <c r="AP2658" s="89"/>
    </row>
    <row r="2659">
      <c r="A2659" s="151" t="str">
        <f>IFERROR(__xludf.DUMMYFUNCTION("""COMPUTED_VALUE"""),"SNCd")</f>
        <v>SNCd</v>
      </c>
      <c r="B2659" s="42" t="str">
        <f>IFERROR(__xludf.DUMMYFUNCTION("""COMPUTED_VALUE"""),"DHBA")</f>
        <v>DHBA</v>
      </c>
      <c r="C2659" s="42" t="str">
        <f>IFERROR(__xludf.DUMMYFUNCTION("""COMPUTED_VALUE"""),"substantia nigra, compact part, dorsal subdivision")</f>
        <v>substantia nigra, compact part, dorsal subdivision</v>
      </c>
      <c r="D2659" s="42">
        <f>IFERROR(__xludf.DUMMYFUNCTION("""COMPUTED_VALUE"""),2534.0)</f>
        <v>2534</v>
      </c>
      <c r="E2659" s="39" t="str">
        <f>IFERROR(__xludf.DUMMYFUNCTION("""COMPUTED_VALUE"""),"substantia nigra, compact part, dorsal subdivision")</f>
        <v>substantia nigra, compact part, dorsal subdivision</v>
      </c>
      <c r="F2659" s="9" t="str">
        <f>IFERROR(__xludf.DUMMYFUNCTION("""COMPUTED_VALUE"""),"Br")</f>
        <v>Br</v>
      </c>
      <c r="G2659" s="9" t="str">
        <f>IFERROR(__xludf.DUMMYFUNCTION("""COMPUTED_VALUE"""),"M")</f>
        <v>M</v>
      </c>
      <c r="H2659" s="9" t="str">
        <f>IFERROR(__xludf.DUMMYFUNCTION("""COMPUTED_VALUE"""),"MGM")</f>
        <v>MGM</v>
      </c>
      <c r="I2659" s="9" t="str">
        <f>IFERROR(__xludf.DUMMYFUNCTION("""COMPUTED_VALUE"""),"MTg")</f>
        <v>MTg</v>
      </c>
      <c r="J2659" s="9" t="str">
        <f>IFERROR(__xludf.DUMMYFUNCTION("""COMPUTED_VALUE"""),"SN")</f>
        <v>SN</v>
      </c>
      <c r="K2659" s="9" t="str">
        <f>IFERROR(__xludf.DUMMYFUNCTION("""COMPUTED_VALUE"""),"SNC")</f>
        <v>SNC</v>
      </c>
      <c r="L2659" s="9" t="str">
        <f>IFERROR(__xludf.DUMMYFUNCTION("""COMPUTED_VALUE"""),"SNCd")</f>
        <v>SNCd</v>
      </c>
      <c r="M2659" s="9"/>
      <c r="N2659" s="9"/>
      <c r="O2659" s="9"/>
      <c r="P2659" s="9"/>
      <c r="Q2659" s="9"/>
      <c r="R2659" s="9"/>
      <c r="S2659" s="42"/>
      <c r="T2659" s="42"/>
      <c r="U2659" s="159"/>
      <c r="V2659" s="42"/>
      <c r="W2659" s="42"/>
      <c r="X2659" s="42"/>
      <c r="Y2659" s="42"/>
      <c r="Z2659" s="42"/>
      <c r="AA2659" s="42"/>
      <c r="AB2659" s="42" t="str">
        <f>IFERROR(__xludf.DUMMYFUNCTION("""COMPUTED_VALUE"""),"allen institute")</f>
        <v>allen institute</v>
      </c>
      <c r="AC2659" s="42" t="str">
        <f>IFERROR(__xludf.DUMMYFUNCTION("""COMPUTED_VALUE"""),"DHBA")</f>
        <v>DHBA</v>
      </c>
      <c r="AD2659" s="42"/>
      <c r="AE2659" s="42"/>
      <c r="AF2659" s="9"/>
      <c r="AG2659" s="9"/>
      <c r="AH2659" s="42"/>
      <c r="AI2659" s="42"/>
      <c r="AJ2659" s="42"/>
      <c r="AK2659" s="42"/>
      <c r="AL2659" s="42"/>
      <c r="AM2659" s="42"/>
      <c r="AN2659" s="42"/>
      <c r="AO2659" s="63" t="str">
        <f>IFERROR(__xludf.DUMMYFUNCTION("IF(ISBLANK(A2659),,IF(ISBLANK(S2659), A2659&amp;"";"", TEXTJOIN(CHAR(10), TRUE, A2659&amp;"";"", ARRAYFORMULA(VLOOKUP(SPLIT(S2659, "";"" &amp; CHAR(10)), $A:$AO, 41, FALSE)))))"),"SNCd;")</f>
        <v>SNCd;</v>
      </c>
      <c r="AP2659" s="89"/>
    </row>
    <row r="2660">
      <c r="A2660" s="151" t="str">
        <f>IFERROR(__xludf.DUMMYFUNCTION("""COMPUTED_VALUE"""),"SNCm")</f>
        <v>SNCm</v>
      </c>
      <c r="B2660" s="42" t="str">
        <f>IFERROR(__xludf.DUMMYFUNCTION("""COMPUTED_VALUE"""),"DHBA")</f>
        <v>DHBA</v>
      </c>
      <c r="C2660" s="42" t="str">
        <f>IFERROR(__xludf.DUMMYFUNCTION("""COMPUTED_VALUE"""),"substantia nigra, compact part, medial subdivision")</f>
        <v>substantia nigra, compact part, medial subdivision</v>
      </c>
      <c r="D2660" s="42">
        <f>IFERROR(__xludf.DUMMYFUNCTION("""COMPUTED_VALUE"""),2535.0)</f>
        <v>2535</v>
      </c>
      <c r="E2660" s="39" t="str">
        <f>IFERROR(__xludf.DUMMYFUNCTION("""COMPUTED_VALUE"""),"substantia nigra, compact part, medial subdivision")</f>
        <v>substantia nigra, compact part, medial subdivision</v>
      </c>
      <c r="F2660" s="9" t="str">
        <f>IFERROR(__xludf.DUMMYFUNCTION("""COMPUTED_VALUE"""),"Br")</f>
        <v>Br</v>
      </c>
      <c r="G2660" s="9" t="str">
        <f>IFERROR(__xludf.DUMMYFUNCTION("""COMPUTED_VALUE"""),"M")</f>
        <v>M</v>
      </c>
      <c r="H2660" s="9" t="str">
        <f>IFERROR(__xludf.DUMMYFUNCTION("""COMPUTED_VALUE"""),"MGM")</f>
        <v>MGM</v>
      </c>
      <c r="I2660" s="9" t="str">
        <f>IFERROR(__xludf.DUMMYFUNCTION("""COMPUTED_VALUE"""),"MTg")</f>
        <v>MTg</v>
      </c>
      <c r="J2660" s="9" t="str">
        <f>IFERROR(__xludf.DUMMYFUNCTION("""COMPUTED_VALUE"""),"SN")</f>
        <v>SN</v>
      </c>
      <c r="K2660" s="9" t="str">
        <f>IFERROR(__xludf.DUMMYFUNCTION("""COMPUTED_VALUE"""),"SNC")</f>
        <v>SNC</v>
      </c>
      <c r="L2660" s="9" t="str">
        <f>IFERROR(__xludf.DUMMYFUNCTION("""COMPUTED_VALUE"""),"SNCm")</f>
        <v>SNCm</v>
      </c>
      <c r="M2660" s="9"/>
      <c r="N2660" s="9"/>
      <c r="O2660" s="9"/>
      <c r="P2660" s="9"/>
      <c r="Q2660" s="9"/>
      <c r="R2660" s="9"/>
      <c r="S2660" s="42"/>
      <c r="T2660" s="42"/>
      <c r="U2660" s="159"/>
      <c r="V2660" s="42"/>
      <c r="W2660" s="42"/>
      <c r="X2660" s="42"/>
      <c r="Y2660" s="42"/>
      <c r="Z2660" s="42"/>
      <c r="AA2660" s="42"/>
      <c r="AB2660" s="42" t="str">
        <f>IFERROR(__xludf.DUMMYFUNCTION("""COMPUTED_VALUE"""),"allen institute")</f>
        <v>allen institute</v>
      </c>
      <c r="AC2660" s="42" t="str">
        <f>IFERROR(__xludf.DUMMYFUNCTION("""COMPUTED_VALUE"""),"DHBA")</f>
        <v>DHBA</v>
      </c>
      <c r="AD2660" s="42"/>
      <c r="AE2660" s="42"/>
      <c r="AF2660" s="9"/>
      <c r="AG2660" s="9"/>
      <c r="AH2660" s="42"/>
      <c r="AI2660" s="42"/>
      <c r="AJ2660" s="42"/>
      <c r="AK2660" s="42"/>
      <c r="AL2660" s="42"/>
      <c r="AM2660" s="42"/>
      <c r="AN2660" s="42"/>
      <c r="AO2660" s="63" t="str">
        <f>IFERROR(__xludf.DUMMYFUNCTION("IF(ISBLANK(A2660),,IF(ISBLANK(S2660), A2660&amp;"";"", TEXTJOIN(CHAR(10), TRUE, A2660&amp;"";"", ARRAYFORMULA(VLOOKUP(SPLIT(S2660, "";"" &amp; CHAR(10)), $A:$AO, 41, FALSE)))))"),"SNCm;")</f>
        <v>SNCm;</v>
      </c>
      <c r="AP2660" s="89"/>
    </row>
    <row r="2661">
      <c r="A2661" s="151" t="str">
        <f>IFERROR(__xludf.DUMMYFUNCTION("""COMPUTED_VALUE"""),"SNCv")</f>
        <v>SNCv</v>
      </c>
      <c r="B2661" s="42" t="str">
        <f>IFERROR(__xludf.DUMMYFUNCTION("""COMPUTED_VALUE"""),"DHBA")</f>
        <v>DHBA</v>
      </c>
      <c r="C2661" s="42" t="str">
        <f>IFERROR(__xludf.DUMMYFUNCTION("""COMPUTED_VALUE"""),"substantia nigra, compact part, ventral subdivision")</f>
        <v>substantia nigra, compact part, ventral subdivision</v>
      </c>
      <c r="D2661" s="42">
        <f>IFERROR(__xludf.DUMMYFUNCTION("""COMPUTED_VALUE"""),2536.0)</f>
        <v>2536</v>
      </c>
      <c r="E2661" s="39" t="str">
        <f>IFERROR(__xludf.DUMMYFUNCTION("""COMPUTED_VALUE"""),"substantia nigra, compact part, ventral subdivision")</f>
        <v>substantia nigra, compact part, ventral subdivision</v>
      </c>
      <c r="F2661" s="9" t="str">
        <f>IFERROR(__xludf.DUMMYFUNCTION("""COMPUTED_VALUE"""),"Br")</f>
        <v>Br</v>
      </c>
      <c r="G2661" s="9" t="str">
        <f>IFERROR(__xludf.DUMMYFUNCTION("""COMPUTED_VALUE"""),"M")</f>
        <v>M</v>
      </c>
      <c r="H2661" s="9" t="str">
        <f>IFERROR(__xludf.DUMMYFUNCTION("""COMPUTED_VALUE"""),"MGM")</f>
        <v>MGM</v>
      </c>
      <c r="I2661" s="9" t="str">
        <f>IFERROR(__xludf.DUMMYFUNCTION("""COMPUTED_VALUE"""),"MTg")</f>
        <v>MTg</v>
      </c>
      <c r="J2661" s="9" t="str">
        <f>IFERROR(__xludf.DUMMYFUNCTION("""COMPUTED_VALUE"""),"SN")</f>
        <v>SN</v>
      </c>
      <c r="K2661" s="9" t="str">
        <f>IFERROR(__xludf.DUMMYFUNCTION("""COMPUTED_VALUE"""),"SNC")</f>
        <v>SNC</v>
      </c>
      <c r="L2661" s="9" t="str">
        <f>IFERROR(__xludf.DUMMYFUNCTION("""COMPUTED_VALUE"""),"SNCv")</f>
        <v>SNCv</v>
      </c>
      <c r="M2661" s="9"/>
      <c r="N2661" s="9"/>
      <c r="O2661" s="9"/>
      <c r="P2661" s="9"/>
      <c r="Q2661" s="9"/>
      <c r="R2661" s="9"/>
      <c r="S2661" s="42"/>
      <c r="T2661" s="42"/>
      <c r="U2661" s="159"/>
      <c r="V2661" s="42"/>
      <c r="W2661" s="42"/>
      <c r="X2661" s="42"/>
      <c r="Y2661" s="42"/>
      <c r="Z2661" s="42"/>
      <c r="AA2661" s="42"/>
      <c r="AB2661" s="42" t="str">
        <f>IFERROR(__xludf.DUMMYFUNCTION("""COMPUTED_VALUE"""),"allen institute")</f>
        <v>allen institute</v>
      </c>
      <c r="AC2661" s="42" t="str">
        <f>IFERROR(__xludf.DUMMYFUNCTION("""COMPUTED_VALUE"""),"DHBA")</f>
        <v>DHBA</v>
      </c>
      <c r="AD2661" s="42"/>
      <c r="AE2661" s="42"/>
      <c r="AF2661" s="9"/>
      <c r="AG2661" s="9"/>
      <c r="AH2661" s="42"/>
      <c r="AI2661" s="42"/>
      <c r="AJ2661" s="42"/>
      <c r="AK2661" s="42"/>
      <c r="AL2661" s="42"/>
      <c r="AM2661" s="42"/>
      <c r="AN2661" s="42"/>
      <c r="AO2661" s="63" t="str">
        <f>IFERROR(__xludf.DUMMYFUNCTION("IF(ISBLANK(A2661),,IF(ISBLANK(S2661), A2661&amp;"";"", TEXTJOIN(CHAR(10), TRUE, A2661&amp;"";"", ARRAYFORMULA(VLOOKUP(SPLIT(S2661, "";"" &amp; CHAR(10)), $A:$AO, 41, FALSE)))))"),"SNCv;")</f>
        <v>SNCv;</v>
      </c>
      <c r="AP2661" s="89"/>
    </row>
    <row r="2662">
      <c r="A2662" s="151" t="str">
        <f>IFERROR(__xludf.DUMMYFUNCTION("""COMPUTED_VALUE"""),"SNL")</f>
        <v>SNL</v>
      </c>
      <c r="B2662" s="42" t="str">
        <f>IFERROR(__xludf.DUMMYFUNCTION("""COMPUTED_VALUE"""),"DHBA")</f>
        <v>DHBA</v>
      </c>
      <c r="C2662" s="42" t="str">
        <f>IFERROR(__xludf.DUMMYFUNCTION("""COMPUTED_VALUE"""),"substantia nigra, lateral part")</f>
        <v>substantia nigra, lateral part</v>
      </c>
      <c r="D2662" s="42">
        <f>IFERROR(__xludf.DUMMYFUNCTION("""COMPUTED_VALUE"""),2537.0)</f>
        <v>2537</v>
      </c>
      <c r="E2662" s="39" t="str">
        <f>IFERROR(__xludf.DUMMYFUNCTION("""COMPUTED_VALUE"""),"substantia nigra, lateral part")</f>
        <v>substantia nigra, lateral part</v>
      </c>
      <c r="F2662" s="9" t="str">
        <f>IFERROR(__xludf.DUMMYFUNCTION("""COMPUTED_VALUE"""),"Br")</f>
        <v>Br</v>
      </c>
      <c r="G2662" s="9" t="str">
        <f>IFERROR(__xludf.DUMMYFUNCTION("""COMPUTED_VALUE"""),"M")</f>
        <v>M</v>
      </c>
      <c r="H2662" s="9" t="str">
        <f>IFERROR(__xludf.DUMMYFUNCTION("""COMPUTED_VALUE"""),"MGM")</f>
        <v>MGM</v>
      </c>
      <c r="I2662" s="9" t="str">
        <f>IFERROR(__xludf.DUMMYFUNCTION("""COMPUTED_VALUE"""),"MTg")</f>
        <v>MTg</v>
      </c>
      <c r="J2662" s="9" t="str">
        <f>IFERROR(__xludf.DUMMYFUNCTION("""COMPUTED_VALUE"""),"SN")</f>
        <v>SN</v>
      </c>
      <c r="K2662" s="9" t="str">
        <f>IFERROR(__xludf.DUMMYFUNCTION("""COMPUTED_VALUE"""),"SNL")</f>
        <v>SNL</v>
      </c>
      <c r="L2662" s="9"/>
      <c r="M2662" s="9"/>
      <c r="N2662" s="9"/>
      <c r="O2662" s="9"/>
      <c r="P2662" s="9"/>
      <c r="Q2662" s="9"/>
      <c r="R2662" s="9"/>
      <c r="S2662" s="42"/>
      <c r="T2662" s="42" t="str">
        <f>IFERROR(__xludf.DUMMYFUNCTION("""COMPUTED_VALUE"""),"SN")</f>
        <v>SN</v>
      </c>
      <c r="U2662" s="42"/>
      <c r="V2662" s="42"/>
      <c r="W2662" s="42"/>
      <c r="X2662" s="42"/>
      <c r="Y2662" s="42"/>
      <c r="Z2662" s="42"/>
      <c r="AA2662" s="42"/>
      <c r="AB2662" s="42" t="str">
        <f>IFERROR(__xludf.DUMMYFUNCTION("""COMPUTED_VALUE"""),"allen institute")</f>
        <v>allen institute</v>
      </c>
      <c r="AC2662" s="42" t="str">
        <f>IFERROR(__xludf.DUMMYFUNCTION("""COMPUTED_VALUE"""),"DHBA")</f>
        <v>DHBA</v>
      </c>
      <c r="AD2662" s="42"/>
      <c r="AE2662" s="42"/>
      <c r="AF2662" s="9"/>
      <c r="AG2662" s="9"/>
      <c r="AH2662" s="42"/>
      <c r="AI2662" s="42"/>
      <c r="AJ2662" s="42"/>
      <c r="AK2662" s="42"/>
      <c r="AL2662" s="42"/>
      <c r="AM2662" s="42"/>
      <c r="AN2662" s="42"/>
      <c r="AO2662" s="63" t="str">
        <f>IFERROR(__xludf.DUMMYFUNCTION("IF(ISBLANK(A2662),,IF(ISBLANK(S2662), A2662&amp;"";"", TEXTJOIN(CHAR(10), TRUE, A2662&amp;"";"", ARRAYFORMULA(VLOOKUP(SPLIT(S2662, "";"" &amp; CHAR(10)), $A:$AO, 41, FALSE)))))"),"SNL;")</f>
        <v>SNL;</v>
      </c>
      <c r="AP2662" s="89"/>
    </row>
    <row r="2663">
      <c r="A2663" s="151" t="str">
        <f>IFERROR(__xludf.DUMMYFUNCTION("""COMPUTED_VALUE"""),"SNR")</f>
        <v>SNR</v>
      </c>
      <c r="B2663" s="42" t="str">
        <f>IFERROR(__xludf.DUMMYFUNCTION("""COMPUTED_VALUE"""),"DHBA")</f>
        <v>DHBA</v>
      </c>
      <c r="C2663" s="42" t="str">
        <f>IFERROR(__xludf.DUMMYFUNCTION("""COMPUTED_VALUE"""),"substantia nigra, reticular part")</f>
        <v>substantia nigra, reticular part</v>
      </c>
      <c r="D2663" s="42">
        <f>IFERROR(__xludf.DUMMYFUNCTION("""COMPUTED_VALUE"""),2538.0)</f>
        <v>2538</v>
      </c>
      <c r="E2663" s="39" t="str">
        <f>IFERROR(__xludf.DUMMYFUNCTION("""COMPUTED_VALUE"""),"substantia nigra, reticular part")</f>
        <v>substantia nigra, reticular part</v>
      </c>
      <c r="F2663" s="9" t="str">
        <f>IFERROR(__xludf.DUMMYFUNCTION("""COMPUTED_VALUE"""),"Br")</f>
        <v>Br</v>
      </c>
      <c r="G2663" s="9" t="str">
        <f>IFERROR(__xludf.DUMMYFUNCTION("""COMPUTED_VALUE"""),"M")</f>
        <v>M</v>
      </c>
      <c r="H2663" s="9" t="str">
        <f>IFERROR(__xludf.DUMMYFUNCTION("""COMPUTED_VALUE"""),"MGM")</f>
        <v>MGM</v>
      </c>
      <c r="I2663" s="9" t="str">
        <f>IFERROR(__xludf.DUMMYFUNCTION("""COMPUTED_VALUE"""),"MTg")</f>
        <v>MTg</v>
      </c>
      <c r="J2663" s="9" t="str">
        <f>IFERROR(__xludf.DUMMYFUNCTION("""COMPUTED_VALUE"""),"SN")</f>
        <v>SN</v>
      </c>
      <c r="K2663" s="9" t="str">
        <f>IFERROR(__xludf.DUMMYFUNCTION("""COMPUTED_VALUE"""),"SNR")</f>
        <v>SNR</v>
      </c>
      <c r="L2663" s="9"/>
      <c r="M2663" s="9"/>
      <c r="N2663" s="9"/>
      <c r="O2663" s="9"/>
      <c r="P2663" s="9"/>
      <c r="Q2663" s="9"/>
      <c r="R2663" s="9"/>
      <c r="S2663" s="42"/>
      <c r="T2663" s="42" t="str">
        <f>IFERROR(__xludf.DUMMYFUNCTION("""COMPUTED_VALUE"""),"SN")</f>
        <v>SN</v>
      </c>
      <c r="U2663" s="42"/>
      <c r="V2663" s="42"/>
      <c r="W2663" s="42"/>
      <c r="X2663" s="42"/>
      <c r="Y2663" s="42"/>
      <c r="Z2663" s="42"/>
      <c r="AA2663" s="42"/>
      <c r="AB2663" s="42" t="str">
        <f>IFERROR(__xludf.DUMMYFUNCTION("""COMPUTED_VALUE"""),"allen institute")</f>
        <v>allen institute</v>
      </c>
      <c r="AC2663" s="42" t="str">
        <f>IFERROR(__xludf.DUMMYFUNCTION("""COMPUTED_VALUE"""),"DHBA")</f>
        <v>DHBA</v>
      </c>
      <c r="AD2663" s="42"/>
      <c r="AE2663" s="42"/>
      <c r="AF2663" s="9"/>
      <c r="AG2663" s="9"/>
      <c r="AH2663" s="42"/>
      <c r="AI2663" s="42"/>
      <c r="AJ2663" s="42"/>
      <c r="AK2663" s="42"/>
      <c r="AL2663" s="42"/>
      <c r="AM2663" s="42"/>
      <c r="AN2663" s="42"/>
      <c r="AO2663" s="63" t="str">
        <f>IFERROR(__xludf.DUMMYFUNCTION("IF(ISBLANK(A2663),,IF(ISBLANK(S2663), A2663&amp;"";"", TEXTJOIN(CHAR(10), TRUE, A2663&amp;"";"", ARRAYFORMULA(VLOOKUP(SPLIT(S2663, "";"" &amp; CHAR(10)), $A:$AO, 41, FALSE)))))"),"SNR;")</f>
        <v>SNR;</v>
      </c>
      <c r="AP2663" s="89"/>
    </row>
    <row r="2664">
      <c r="A2664" s="151" t="str">
        <f>IFERROR(__xludf.DUMMYFUNCTION("""COMPUTED_VALUE"""),"VTR")</f>
        <v>VTR</v>
      </c>
      <c r="B2664" s="42" t="str">
        <f>IFERROR(__xludf.DUMMYFUNCTION("""COMPUTED_VALUE"""),"DHBA")</f>
        <v>DHBA</v>
      </c>
      <c r="C2664" s="42" t="str">
        <f>IFERROR(__xludf.DUMMYFUNCTION("""COMPUTED_VALUE"""),"ventral tegmental region of midbrain")</f>
        <v>ventral tegmental region of midbrain</v>
      </c>
      <c r="D2664" s="42">
        <f>IFERROR(__xludf.DUMMYFUNCTION("""COMPUTED_VALUE"""),2539.0)</f>
        <v>2539</v>
      </c>
      <c r="E2664" s="39" t="str">
        <f>IFERROR(__xludf.DUMMYFUNCTION("""COMPUTED_VALUE"""),"ventral tegmental region of midbrain")</f>
        <v>ventral tegmental region of midbrain</v>
      </c>
      <c r="F2664" s="9" t="str">
        <f>IFERROR(__xludf.DUMMYFUNCTION("""COMPUTED_VALUE"""),"Br")</f>
        <v>Br</v>
      </c>
      <c r="G2664" s="9" t="str">
        <f>IFERROR(__xludf.DUMMYFUNCTION("""COMPUTED_VALUE"""),"M")</f>
        <v>M</v>
      </c>
      <c r="H2664" s="9" t="str">
        <f>IFERROR(__xludf.DUMMYFUNCTION("""COMPUTED_VALUE"""),"MGM")</f>
        <v>MGM</v>
      </c>
      <c r="I2664" s="9" t="str">
        <f>IFERROR(__xludf.DUMMYFUNCTION("""COMPUTED_VALUE"""),"MTg")</f>
        <v>MTg</v>
      </c>
      <c r="J2664" s="9" t="str">
        <f>IFERROR(__xludf.DUMMYFUNCTION("""COMPUTED_VALUE"""),"VTR")</f>
        <v>VTR</v>
      </c>
      <c r="K2664" s="9"/>
      <c r="L2664" s="9"/>
      <c r="M2664" s="9"/>
      <c r="N2664" s="9"/>
      <c r="O2664" s="9"/>
      <c r="P2664" s="9"/>
      <c r="Q2664" s="9"/>
      <c r="R2664" s="9"/>
      <c r="S2664" s="42" t="str">
        <f>IFERROR(__xludf.DUMMYFUNCTION("""COMPUTED_VALUE"""),"VTA;
IF;
PBP;
PIF;
PaN")</f>
        <v>VTA;
IF;
PBP;
PIF;
PaN</v>
      </c>
      <c r="T2664" s="42"/>
      <c r="U2664" s="42" t="b">
        <f>IFERROR(__xludf.DUMMYFUNCTION("""COMPUTED_VALUE"""),FALSE)</f>
        <v>0</v>
      </c>
      <c r="V2664" s="42"/>
      <c r="W2664" s="42"/>
      <c r="X2664" s="42"/>
      <c r="Y2664" s="42"/>
      <c r="Z2664" s="42"/>
      <c r="AA2664" s="42"/>
      <c r="AB2664" s="42" t="str">
        <f>IFERROR(__xludf.DUMMYFUNCTION("""COMPUTED_VALUE"""),"allen institute")</f>
        <v>allen institute</v>
      </c>
      <c r="AC2664" s="42" t="str">
        <f>IFERROR(__xludf.DUMMYFUNCTION("""COMPUTED_VALUE"""),"DHBA")</f>
        <v>DHBA</v>
      </c>
      <c r="AD2664" s="42"/>
      <c r="AE2664" s="42"/>
      <c r="AF2664" s="9"/>
      <c r="AG2664" s="9"/>
      <c r="AH2664" s="42"/>
      <c r="AI2664" s="42"/>
      <c r="AJ2664" s="42"/>
      <c r="AK2664" s="42"/>
      <c r="AL2664" s="42"/>
      <c r="AM2664" s="42"/>
      <c r="AN2664" s="42"/>
      <c r="AO2664" s="63" t="str">
        <f>IFERROR(__xludf.DUMMYFUNCTION("IF(ISBLANK(A2664),,IF(ISBLANK(S2664), A2664&amp;"";"", TEXTJOIN(CHAR(10), TRUE, A2664&amp;"";"", ARRAYFORMULA(VLOOKUP(SPLIT(S2664, "";"" &amp; CHAR(10)), $A:$AO, 41, FALSE)))))"),"VTR;
VTA;
IF;
PBP;
PIF;
PaN;")</f>
        <v>VTR;
VTA;
IF;
PBP;
PIF;
PaN;</v>
      </c>
      <c r="AP2664" s="89"/>
    </row>
    <row r="2665">
      <c r="A2665" s="151" t="str">
        <f>IFERROR(__xludf.DUMMYFUNCTION("""COMPUTED_VALUE"""),"VTA")</f>
        <v>VTA</v>
      </c>
      <c r="B2665" s="42" t="str">
        <f>IFERROR(__xludf.DUMMYFUNCTION("""COMPUTED_VALUE"""),"DHBA")</f>
        <v>DHBA</v>
      </c>
      <c r="C2665" s="42" t="str">
        <f>IFERROR(__xludf.DUMMYFUNCTION("""COMPUTED_VALUE"""),"ventral tegmental area")</f>
        <v>ventral tegmental area</v>
      </c>
      <c r="D2665" s="42">
        <f>IFERROR(__xludf.DUMMYFUNCTION("""COMPUTED_VALUE"""),2540.0)</f>
        <v>2540</v>
      </c>
      <c r="E2665" s="39" t="str">
        <f>IFERROR(__xludf.DUMMYFUNCTION("""COMPUTED_VALUE"""),"ventral tegmental area")</f>
        <v>ventral tegmental area</v>
      </c>
      <c r="F2665" s="9" t="str">
        <f>IFERROR(__xludf.DUMMYFUNCTION("""COMPUTED_VALUE"""),"Br")</f>
        <v>Br</v>
      </c>
      <c r="G2665" s="9" t="str">
        <f>IFERROR(__xludf.DUMMYFUNCTION("""COMPUTED_VALUE"""),"M")</f>
        <v>M</v>
      </c>
      <c r="H2665" s="9" t="str">
        <f>IFERROR(__xludf.DUMMYFUNCTION("""COMPUTED_VALUE"""),"MGM")</f>
        <v>MGM</v>
      </c>
      <c r="I2665" s="9" t="str">
        <f>IFERROR(__xludf.DUMMYFUNCTION("""COMPUTED_VALUE"""),"MTg")</f>
        <v>MTg</v>
      </c>
      <c r="J2665" s="9" t="str">
        <f>IFERROR(__xludf.DUMMYFUNCTION("""COMPUTED_VALUE"""),"VTR")</f>
        <v>VTR</v>
      </c>
      <c r="K2665" s="9" t="str">
        <f>IFERROR(__xludf.DUMMYFUNCTION("""COMPUTED_VALUE"""),"VTA")</f>
        <v>VTA</v>
      </c>
      <c r="L2665" s="9"/>
      <c r="M2665" s="9"/>
      <c r="N2665" s="9"/>
      <c r="O2665" s="9"/>
      <c r="P2665" s="9"/>
      <c r="Q2665" s="9"/>
      <c r="R2665" s="9"/>
      <c r="S2665" s="42"/>
      <c r="T2665" s="42"/>
      <c r="U2665" s="42" t="b">
        <f>IFERROR(__xludf.DUMMYFUNCTION("""COMPUTED_VALUE"""),FALSE)</f>
        <v>0</v>
      </c>
      <c r="V2665" s="42"/>
      <c r="W2665" s="42"/>
      <c r="X2665" s="42"/>
      <c r="Y2665" s="42" t="str">
        <f>IFERROR(__xludf.DUMMYFUNCTION("""COMPUTED_VALUE"""),"a critical role for cerebellar output in sustaining cortical preparative activity that underlies cognitive and working memory processes. [Wagner, 2020]")</f>
        <v>a critical role for cerebellar output in sustaining cortical preparative activity that underlies cognitive and working memory processes. [Wagner, 2020]</v>
      </c>
      <c r="Z2665" s="42"/>
      <c r="AA2665" s="42"/>
      <c r="AB2665" s="42" t="str">
        <f>IFERROR(__xludf.DUMMYFUNCTION("""COMPUTED_VALUE"""),"allen institute")</f>
        <v>allen institute</v>
      </c>
      <c r="AC2665" s="42" t="str">
        <f>IFERROR(__xludf.DUMMYFUNCTION("""COMPUTED_VALUE"""),"DHBA")</f>
        <v>DHBA</v>
      </c>
      <c r="AD2665" s="42"/>
      <c r="AE2665" s="42"/>
      <c r="AF2665" s="9"/>
      <c r="AG2665" s="9"/>
      <c r="AH2665" s="42"/>
      <c r="AI2665" s="42"/>
      <c r="AJ2665" s="42"/>
      <c r="AK2665" s="42"/>
      <c r="AL2665" s="42"/>
      <c r="AM2665" s="42"/>
      <c r="AN2665" s="42"/>
      <c r="AO2665" s="63" t="str">
        <f>IFERROR(__xludf.DUMMYFUNCTION("IF(ISBLANK(A2665),,IF(ISBLANK(S2665), A2665&amp;"";"", TEXTJOIN(CHAR(10), TRUE, A2665&amp;"";"", ARRAYFORMULA(VLOOKUP(SPLIT(S2665, "";"" &amp; CHAR(10)), $A:$AO, 41, FALSE)))))"),"VTA;")</f>
        <v>VTA;</v>
      </c>
      <c r="AP2665" s="89"/>
    </row>
    <row r="2666">
      <c r="A2666" s="151" t="str">
        <f>IFERROR(__xludf.DUMMYFUNCTION("""COMPUTED_VALUE"""),"IF")</f>
        <v>IF</v>
      </c>
      <c r="B2666" s="42" t="str">
        <f>IFERROR(__xludf.DUMMYFUNCTION("""COMPUTED_VALUE"""),"DHBA")</f>
        <v>DHBA</v>
      </c>
      <c r="C2666" s="42" t="str">
        <f>IFERROR(__xludf.DUMMYFUNCTION("""COMPUTED_VALUE"""),"interfascicular nucleus")</f>
        <v>interfascicular nucleus</v>
      </c>
      <c r="D2666" s="42">
        <f>IFERROR(__xludf.DUMMYFUNCTION("""COMPUTED_VALUE"""),2541.0)</f>
        <v>2541</v>
      </c>
      <c r="E2666" s="39" t="str">
        <f>IFERROR(__xludf.DUMMYFUNCTION("""COMPUTED_VALUE"""),"interfascicular nucleus")</f>
        <v>interfascicular nucleus</v>
      </c>
      <c r="F2666" s="9" t="str">
        <f>IFERROR(__xludf.DUMMYFUNCTION("""COMPUTED_VALUE"""),"Br")</f>
        <v>Br</v>
      </c>
      <c r="G2666" s="9" t="str">
        <f>IFERROR(__xludf.DUMMYFUNCTION("""COMPUTED_VALUE"""),"M")</f>
        <v>M</v>
      </c>
      <c r="H2666" s="9" t="str">
        <f>IFERROR(__xludf.DUMMYFUNCTION("""COMPUTED_VALUE"""),"MGM")</f>
        <v>MGM</v>
      </c>
      <c r="I2666" s="9" t="str">
        <f>IFERROR(__xludf.DUMMYFUNCTION("""COMPUTED_VALUE"""),"MTg")</f>
        <v>MTg</v>
      </c>
      <c r="J2666" s="9" t="str">
        <f>IFERROR(__xludf.DUMMYFUNCTION("""COMPUTED_VALUE"""),"VTR")</f>
        <v>VTR</v>
      </c>
      <c r="K2666" s="9" t="str">
        <f>IFERROR(__xludf.DUMMYFUNCTION("""COMPUTED_VALUE"""),"IF")</f>
        <v>IF</v>
      </c>
      <c r="L2666" s="9"/>
      <c r="M2666" s="9"/>
      <c r="N2666" s="9"/>
      <c r="O2666" s="9"/>
      <c r="P2666" s="9"/>
      <c r="Q2666" s="9"/>
      <c r="R2666" s="9"/>
      <c r="S2666" s="42"/>
      <c r="T2666" s="42"/>
      <c r="U2666" s="42"/>
      <c r="V2666" s="42"/>
      <c r="W2666" s="42"/>
      <c r="X2666" s="42"/>
      <c r="Y2666" s="42"/>
      <c r="Z2666" s="42"/>
      <c r="AA2666" s="42"/>
      <c r="AB2666" s="42" t="str">
        <f>IFERROR(__xludf.DUMMYFUNCTION("""COMPUTED_VALUE"""),"allen institute")</f>
        <v>allen institute</v>
      </c>
      <c r="AC2666" s="42" t="str">
        <f>IFERROR(__xludf.DUMMYFUNCTION("""COMPUTED_VALUE"""),"DHBA")</f>
        <v>DHBA</v>
      </c>
      <c r="AD2666" s="42"/>
      <c r="AE2666" s="42"/>
      <c r="AF2666" s="9"/>
      <c r="AG2666" s="9"/>
      <c r="AH2666" s="42"/>
      <c r="AI2666" s="42"/>
      <c r="AJ2666" s="42"/>
      <c r="AK2666" s="42"/>
      <c r="AL2666" s="42"/>
      <c r="AM2666" s="42"/>
      <c r="AN2666" s="42"/>
      <c r="AO2666" s="63" t="str">
        <f>IFERROR(__xludf.DUMMYFUNCTION("IF(ISBLANK(A2666),,IF(ISBLANK(S2666), A2666&amp;"";"", TEXTJOIN(CHAR(10), TRUE, A2666&amp;"";"", ARRAYFORMULA(VLOOKUP(SPLIT(S2666, "";"" &amp; CHAR(10)), $A:$AO, 41, FALSE)))))"),"IF;")</f>
        <v>IF;</v>
      </c>
      <c r="AP2666" s="89"/>
    </row>
    <row r="2667">
      <c r="A2667" s="151" t="str">
        <f>IFERROR(__xludf.DUMMYFUNCTION("""COMPUTED_VALUE"""),"PBP")</f>
        <v>PBP</v>
      </c>
      <c r="B2667" s="42" t="str">
        <f>IFERROR(__xludf.DUMMYFUNCTION("""COMPUTED_VALUE"""),"DHBA")</f>
        <v>DHBA</v>
      </c>
      <c r="C2667" s="42" t="str">
        <f>IFERROR(__xludf.DUMMYFUNCTION("""COMPUTED_VALUE"""),"parabrachial pigmented nucleus")</f>
        <v>parabrachial pigmented nucleus</v>
      </c>
      <c r="D2667" s="42">
        <f>IFERROR(__xludf.DUMMYFUNCTION("""COMPUTED_VALUE"""),2542.0)</f>
        <v>2542</v>
      </c>
      <c r="E2667" s="39" t="str">
        <f>IFERROR(__xludf.DUMMYFUNCTION("""COMPUTED_VALUE"""),"parabrachial pigmented nucleus")</f>
        <v>parabrachial pigmented nucleus</v>
      </c>
      <c r="F2667" s="9" t="str">
        <f>IFERROR(__xludf.DUMMYFUNCTION("""COMPUTED_VALUE"""),"Br")</f>
        <v>Br</v>
      </c>
      <c r="G2667" s="9" t="str">
        <f>IFERROR(__xludf.DUMMYFUNCTION("""COMPUTED_VALUE"""),"M")</f>
        <v>M</v>
      </c>
      <c r="H2667" s="9" t="str">
        <f>IFERROR(__xludf.DUMMYFUNCTION("""COMPUTED_VALUE"""),"MGM")</f>
        <v>MGM</v>
      </c>
      <c r="I2667" s="9" t="str">
        <f>IFERROR(__xludf.DUMMYFUNCTION("""COMPUTED_VALUE"""),"MTg")</f>
        <v>MTg</v>
      </c>
      <c r="J2667" s="9" t="str">
        <f>IFERROR(__xludf.DUMMYFUNCTION("""COMPUTED_VALUE"""),"VTR")</f>
        <v>VTR</v>
      </c>
      <c r="K2667" s="9" t="str">
        <f>IFERROR(__xludf.DUMMYFUNCTION("""COMPUTED_VALUE"""),"PBP")</f>
        <v>PBP</v>
      </c>
      <c r="L2667" s="9"/>
      <c r="M2667" s="9"/>
      <c r="N2667" s="9"/>
      <c r="O2667" s="9"/>
      <c r="P2667" s="9"/>
      <c r="Q2667" s="9"/>
      <c r="R2667" s="9"/>
      <c r="S2667" s="42"/>
      <c r="T2667" s="42"/>
      <c r="U2667" s="42"/>
      <c r="V2667" s="42"/>
      <c r="W2667" s="42"/>
      <c r="X2667" s="42"/>
      <c r="Y2667" s="42"/>
      <c r="Z2667" s="42"/>
      <c r="AA2667" s="42"/>
      <c r="AB2667" s="42" t="str">
        <f>IFERROR(__xludf.DUMMYFUNCTION("""COMPUTED_VALUE"""),"allen institute")</f>
        <v>allen institute</v>
      </c>
      <c r="AC2667" s="42" t="str">
        <f>IFERROR(__xludf.DUMMYFUNCTION("""COMPUTED_VALUE"""),"DHBA")</f>
        <v>DHBA</v>
      </c>
      <c r="AD2667" s="42"/>
      <c r="AE2667" s="42"/>
      <c r="AF2667" s="9"/>
      <c r="AG2667" s="9"/>
      <c r="AH2667" s="42"/>
      <c r="AI2667" s="42"/>
      <c r="AJ2667" s="42"/>
      <c r="AK2667" s="42"/>
      <c r="AL2667" s="42"/>
      <c r="AM2667" s="42"/>
      <c r="AN2667" s="42"/>
      <c r="AO2667" s="63" t="str">
        <f>IFERROR(__xludf.DUMMYFUNCTION("IF(ISBLANK(A2667),,IF(ISBLANK(S2667), A2667&amp;"";"", TEXTJOIN(CHAR(10), TRUE, A2667&amp;"";"", ARRAYFORMULA(VLOOKUP(SPLIT(S2667, "";"" &amp; CHAR(10)), $A:$AO, 41, FALSE)))))"),"PBP;")</f>
        <v>PBP;</v>
      </c>
      <c r="AP2667" s="89"/>
    </row>
    <row r="2668">
      <c r="A2668" s="151" t="str">
        <f>IFERROR(__xludf.DUMMYFUNCTION("""COMPUTED_VALUE"""),"PIF")</f>
        <v>PIF</v>
      </c>
      <c r="B2668" s="42" t="str">
        <f>IFERROR(__xludf.DUMMYFUNCTION("""COMPUTED_VALUE"""),"DHBA")</f>
        <v>DHBA</v>
      </c>
      <c r="C2668" s="42" t="str">
        <f>IFERROR(__xludf.DUMMYFUNCTION("""COMPUTED_VALUE"""),"parainterfascicular nucleus")</f>
        <v>parainterfascicular nucleus</v>
      </c>
      <c r="D2668" s="42">
        <f>IFERROR(__xludf.DUMMYFUNCTION("""COMPUTED_VALUE"""),2543.0)</f>
        <v>2543</v>
      </c>
      <c r="E2668" s="39" t="str">
        <f>IFERROR(__xludf.DUMMYFUNCTION("""COMPUTED_VALUE"""),"parainterfascicular nucleus")</f>
        <v>parainterfascicular nucleus</v>
      </c>
      <c r="F2668" s="9" t="str">
        <f>IFERROR(__xludf.DUMMYFUNCTION("""COMPUTED_VALUE"""),"Br")</f>
        <v>Br</v>
      </c>
      <c r="G2668" s="9" t="str">
        <f>IFERROR(__xludf.DUMMYFUNCTION("""COMPUTED_VALUE"""),"M")</f>
        <v>M</v>
      </c>
      <c r="H2668" s="9" t="str">
        <f>IFERROR(__xludf.DUMMYFUNCTION("""COMPUTED_VALUE"""),"MGM")</f>
        <v>MGM</v>
      </c>
      <c r="I2668" s="9" t="str">
        <f>IFERROR(__xludf.DUMMYFUNCTION("""COMPUTED_VALUE"""),"MTg")</f>
        <v>MTg</v>
      </c>
      <c r="J2668" s="9" t="str">
        <f>IFERROR(__xludf.DUMMYFUNCTION("""COMPUTED_VALUE"""),"VTR")</f>
        <v>VTR</v>
      </c>
      <c r="K2668" s="9" t="str">
        <f>IFERROR(__xludf.DUMMYFUNCTION("""COMPUTED_VALUE"""),"PIF")</f>
        <v>PIF</v>
      </c>
      <c r="L2668" s="9"/>
      <c r="M2668" s="9"/>
      <c r="N2668" s="9"/>
      <c r="O2668" s="9"/>
      <c r="P2668" s="9"/>
      <c r="Q2668" s="9"/>
      <c r="R2668" s="9"/>
      <c r="S2668" s="42"/>
      <c r="T2668" s="42"/>
      <c r="U2668" s="42"/>
      <c r="V2668" s="42"/>
      <c r="W2668" s="42"/>
      <c r="X2668" s="42"/>
      <c r="Y2668" s="42"/>
      <c r="Z2668" s="42"/>
      <c r="AA2668" s="42"/>
      <c r="AB2668" s="42" t="str">
        <f>IFERROR(__xludf.DUMMYFUNCTION("""COMPUTED_VALUE"""),"allen institute")</f>
        <v>allen institute</v>
      </c>
      <c r="AC2668" s="42" t="str">
        <f>IFERROR(__xludf.DUMMYFUNCTION("""COMPUTED_VALUE"""),"DHBA")</f>
        <v>DHBA</v>
      </c>
      <c r="AD2668" s="42"/>
      <c r="AE2668" s="42"/>
      <c r="AF2668" s="9"/>
      <c r="AG2668" s="9"/>
      <c r="AH2668" s="42"/>
      <c r="AI2668" s="42"/>
      <c r="AJ2668" s="42"/>
      <c r="AK2668" s="42"/>
      <c r="AL2668" s="42"/>
      <c r="AM2668" s="42"/>
      <c r="AN2668" s="42"/>
      <c r="AO2668" s="63" t="str">
        <f>IFERROR(__xludf.DUMMYFUNCTION("IF(ISBLANK(A2668),,IF(ISBLANK(S2668), A2668&amp;"";"", TEXTJOIN(CHAR(10), TRUE, A2668&amp;"";"", ARRAYFORMULA(VLOOKUP(SPLIT(S2668, "";"" &amp; CHAR(10)), $A:$AO, 41, FALSE)))))"),"PIF;")</f>
        <v>PIF;</v>
      </c>
      <c r="AP2668" s="89"/>
    </row>
    <row r="2669">
      <c r="A2669" s="151" t="str">
        <f>IFERROR(__xludf.DUMMYFUNCTION("""COMPUTED_VALUE"""),"PaN")</f>
        <v>PaN</v>
      </c>
      <c r="B2669" s="42" t="str">
        <f>IFERROR(__xludf.DUMMYFUNCTION("""COMPUTED_VALUE"""),"DHBA")</f>
        <v>DHBA</v>
      </c>
      <c r="C2669" s="42" t="str">
        <f>IFERROR(__xludf.DUMMYFUNCTION("""COMPUTED_VALUE"""),"paranigral nucleus")</f>
        <v>paranigral nucleus</v>
      </c>
      <c r="D2669" s="42">
        <f>IFERROR(__xludf.DUMMYFUNCTION("""COMPUTED_VALUE"""),2544.0)</f>
        <v>2544</v>
      </c>
      <c r="E2669" s="39" t="str">
        <f>IFERROR(__xludf.DUMMYFUNCTION("""COMPUTED_VALUE"""),"paranigral nucleus")</f>
        <v>paranigral nucleus</v>
      </c>
      <c r="F2669" s="9" t="str">
        <f>IFERROR(__xludf.DUMMYFUNCTION("""COMPUTED_VALUE"""),"Br")</f>
        <v>Br</v>
      </c>
      <c r="G2669" s="9" t="str">
        <f>IFERROR(__xludf.DUMMYFUNCTION("""COMPUTED_VALUE"""),"M")</f>
        <v>M</v>
      </c>
      <c r="H2669" s="9" t="str">
        <f>IFERROR(__xludf.DUMMYFUNCTION("""COMPUTED_VALUE"""),"MGM")</f>
        <v>MGM</v>
      </c>
      <c r="I2669" s="9" t="str">
        <f>IFERROR(__xludf.DUMMYFUNCTION("""COMPUTED_VALUE"""),"MTg")</f>
        <v>MTg</v>
      </c>
      <c r="J2669" s="9" t="str">
        <f>IFERROR(__xludf.DUMMYFUNCTION("""COMPUTED_VALUE"""),"VTR")</f>
        <v>VTR</v>
      </c>
      <c r="K2669" s="9" t="str">
        <f>IFERROR(__xludf.DUMMYFUNCTION("""COMPUTED_VALUE"""),"PaN")</f>
        <v>PaN</v>
      </c>
      <c r="L2669" s="9"/>
      <c r="M2669" s="9"/>
      <c r="N2669" s="9"/>
      <c r="O2669" s="9"/>
      <c r="P2669" s="9"/>
      <c r="Q2669" s="9"/>
      <c r="R2669" s="9"/>
      <c r="S2669" s="42"/>
      <c r="T2669" s="42"/>
      <c r="U2669" s="42"/>
      <c r="V2669" s="42"/>
      <c r="W2669" s="42"/>
      <c r="X2669" s="42"/>
      <c r="Y2669" s="42"/>
      <c r="Z2669" s="42"/>
      <c r="AA2669" s="42"/>
      <c r="AB2669" s="42" t="str">
        <f>IFERROR(__xludf.DUMMYFUNCTION("""COMPUTED_VALUE"""),"allen institute")</f>
        <v>allen institute</v>
      </c>
      <c r="AC2669" s="42" t="str">
        <f>IFERROR(__xludf.DUMMYFUNCTION("""COMPUTED_VALUE"""),"DHBA")</f>
        <v>DHBA</v>
      </c>
      <c r="AD2669" s="42"/>
      <c r="AE2669" s="42"/>
      <c r="AF2669" s="9"/>
      <c r="AG2669" s="9"/>
      <c r="AH2669" s="42"/>
      <c r="AI2669" s="42"/>
      <c r="AJ2669" s="42"/>
      <c r="AK2669" s="42"/>
      <c r="AL2669" s="42"/>
      <c r="AM2669" s="42"/>
      <c r="AN2669" s="42"/>
      <c r="AO2669" s="63" t="str">
        <f>IFERROR(__xludf.DUMMYFUNCTION("IF(ISBLANK(A2669),,IF(ISBLANK(S2669), A2669&amp;"";"", TEXTJOIN(CHAR(10), TRUE, A2669&amp;"";"", ARRAYFORMULA(VLOOKUP(SPLIT(S2669, "";"" &amp; CHAR(10)), $A:$AO, 41, FALSE)))))"),"PaN;")</f>
        <v>PaN;</v>
      </c>
      <c r="AP2669" s="89"/>
    </row>
    <row r="2670">
      <c r="A2670" s="151" t="str">
        <f>IFERROR(__xludf.DUMMYFUNCTION("""COMPUTED_VALUE"""),"IP")</f>
        <v>IP</v>
      </c>
      <c r="B2670" s="42" t="str">
        <f>IFERROR(__xludf.DUMMYFUNCTION("""COMPUTED_VALUE"""),"DHBA")</f>
        <v>DHBA</v>
      </c>
      <c r="C2670" s="42" t="str">
        <f>IFERROR(__xludf.DUMMYFUNCTION("""COMPUTED_VALUE"""),"interpeduncular nucleus")</f>
        <v>interpeduncular nucleus</v>
      </c>
      <c r="D2670" s="42">
        <f>IFERROR(__xludf.DUMMYFUNCTION("""COMPUTED_VALUE"""),2545.0)</f>
        <v>2545</v>
      </c>
      <c r="E2670" s="39" t="str">
        <f>IFERROR(__xludf.DUMMYFUNCTION("""COMPUTED_VALUE"""),"interpeduncular nucleus")</f>
        <v>interpeduncular nucleus</v>
      </c>
      <c r="F2670" s="9" t="str">
        <f>IFERROR(__xludf.DUMMYFUNCTION("""COMPUTED_VALUE"""),"Br")</f>
        <v>Br</v>
      </c>
      <c r="G2670" s="9" t="str">
        <f>IFERROR(__xludf.DUMMYFUNCTION("""COMPUTED_VALUE"""),"M")</f>
        <v>M</v>
      </c>
      <c r="H2670" s="9" t="str">
        <f>IFERROR(__xludf.DUMMYFUNCTION("""COMPUTED_VALUE"""),"MGM")</f>
        <v>MGM</v>
      </c>
      <c r="I2670" s="9" t="str">
        <f>IFERROR(__xludf.DUMMYFUNCTION("""COMPUTED_VALUE"""),"MTg")</f>
        <v>MTg</v>
      </c>
      <c r="J2670" s="9" t="str">
        <f>IFERROR(__xludf.DUMMYFUNCTION("""COMPUTED_VALUE"""),"IP")</f>
        <v>IP</v>
      </c>
      <c r="K2670" s="9"/>
      <c r="L2670" s="9"/>
      <c r="M2670" s="9"/>
      <c r="N2670" s="9"/>
      <c r="O2670" s="9"/>
      <c r="P2670" s="9"/>
      <c r="Q2670" s="9"/>
      <c r="R2670" s="9"/>
      <c r="S2670" s="42" t="str">
        <f>IFERROR(__xludf.DUMMYFUNCTION("""COMPUTED_VALUE"""),"IPa;
IPc;
IPdm;
IPi;
IPl;
IPr")</f>
        <v>IPa;
IPc;
IPdm;
IPi;
IPl;
IPr</v>
      </c>
      <c r="T2670" s="42"/>
      <c r="U2670" s="42" t="b">
        <f>IFERROR(__xludf.DUMMYFUNCTION("""COMPUTED_VALUE"""),FALSE)</f>
        <v>0</v>
      </c>
      <c r="V2670" s="42"/>
      <c r="W2670" s="42"/>
      <c r="X2670" s="42"/>
      <c r="Y2670" s="42"/>
      <c r="Z2670" s="42"/>
      <c r="AA2670" s="42"/>
      <c r="AB2670" s="42" t="str">
        <f>IFERROR(__xludf.DUMMYFUNCTION("""COMPUTED_VALUE"""),"allen institute")</f>
        <v>allen institute</v>
      </c>
      <c r="AC2670" s="42" t="str">
        <f>IFERROR(__xludf.DUMMYFUNCTION("""COMPUTED_VALUE"""),"DHBA")</f>
        <v>DHBA</v>
      </c>
      <c r="AD2670" s="42"/>
      <c r="AE2670" s="42"/>
      <c r="AF2670" s="9"/>
      <c r="AG2670" s="9"/>
      <c r="AH2670" s="42"/>
      <c r="AI2670" s="42"/>
      <c r="AJ2670" s="42"/>
      <c r="AK2670" s="42"/>
      <c r="AL2670" s="42"/>
      <c r="AM2670" s="42"/>
      <c r="AN2670" s="42"/>
      <c r="AO2670" s="63" t="str">
        <f>IFERROR(__xludf.DUMMYFUNCTION("IF(ISBLANK(A2670),,IF(ISBLANK(S2670), A2670&amp;"";"", TEXTJOIN(CHAR(10), TRUE, A2670&amp;"";"", ARRAYFORMULA(VLOOKUP(SPLIT(S2670, "";"" &amp; CHAR(10)), $A:$AO, 41, FALSE)))))"),"#N/A")</f>
        <v>#N/A</v>
      </c>
      <c r="AP2670" s="89"/>
    </row>
    <row r="2671">
      <c r="A2671" s="151" t="str">
        <f>IFERROR(__xludf.DUMMYFUNCTION("""COMPUTED_VALUE"""),"IPa")</f>
        <v>IPa</v>
      </c>
      <c r="B2671" s="42" t="str">
        <f>IFERROR(__xludf.DUMMYFUNCTION("""COMPUTED_VALUE"""),"DHBA")</f>
        <v>DHBA</v>
      </c>
      <c r="C2671" s="42" t="str">
        <f>IFERROR(__xludf.DUMMYFUNCTION("""COMPUTED_VALUE"""),"interpeduncular nucleus, apical subnucleus")</f>
        <v>interpeduncular nucleus, apical subnucleus</v>
      </c>
      <c r="D2671" s="42">
        <f>IFERROR(__xludf.DUMMYFUNCTION("""COMPUTED_VALUE"""),2546.0)</f>
        <v>2546</v>
      </c>
      <c r="E2671" s="39" t="str">
        <f>IFERROR(__xludf.DUMMYFUNCTION("""COMPUTED_VALUE"""),"interpeduncular nucleus, apical subnucleus")</f>
        <v>interpeduncular nucleus, apical subnucleus</v>
      </c>
      <c r="F2671" s="9" t="str">
        <f>IFERROR(__xludf.DUMMYFUNCTION("""COMPUTED_VALUE"""),"Br")</f>
        <v>Br</v>
      </c>
      <c r="G2671" s="9" t="str">
        <f>IFERROR(__xludf.DUMMYFUNCTION("""COMPUTED_VALUE"""),"M")</f>
        <v>M</v>
      </c>
      <c r="H2671" s="9" t="str">
        <f>IFERROR(__xludf.DUMMYFUNCTION("""COMPUTED_VALUE"""),"MGM")</f>
        <v>MGM</v>
      </c>
      <c r="I2671" s="9" t="str">
        <f>IFERROR(__xludf.DUMMYFUNCTION("""COMPUTED_VALUE"""),"MTg")</f>
        <v>MTg</v>
      </c>
      <c r="J2671" s="9" t="str">
        <f>IFERROR(__xludf.DUMMYFUNCTION("""COMPUTED_VALUE"""),"IP")</f>
        <v>IP</v>
      </c>
      <c r="K2671" s="9" t="str">
        <f>IFERROR(__xludf.DUMMYFUNCTION("""COMPUTED_VALUE"""),"IPa")</f>
        <v>IPa</v>
      </c>
      <c r="L2671" s="9"/>
      <c r="M2671" s="9"/>
      <c r="N2671" s="9"/>
      <c r="O2671" s="9"/>
      <c r="P2671" s="9"/>
      <c r="Q2671" s="9"/>
      <c r="R2671" s="9"/>
      <c r="S2671" s="42"/>
      <c r="T2671" s="42"/>
      <c r="U2671" s="42"/>
      <c r="V2671" s="42"/>
      <c r="W2671" s="42"/>
      <c r="X2671" s="42"/>
      <c r="Y2671" s="42"/>
      <c r="Z2671" s="42"/>
      <c r="AA2671" s="42"/>
      <c r="AB2671" s="42" t="str">
        <f>IFERROR(__xludf.DUMMYFUNCTION("""COMPUTED_VALUE"""),"allen institute")</f>
        <v>allen institute</v>
      </c>
      <c r="AC2671" s="42" t="str">
        <f>IFERROR(__xludf.DUMMYFUNCTION("""COMPUTED_VALUE"""),"DHBA")</f>
        <v>DHBA</v>
      </c>
      <c r="AD2671" s="42"/>
      <c r="AE2671" s="42"/>
      <c r="AF2671" s="9"/>
      <c r="AG2671" s="9"/>
      <c r="AH2671" s="42"/>
      <c r="AI2671" s="42"/>
      <c r="AJ2671" s="42"/>
      <c r="AK2671" s="42"/>
      <c r="AL2671" s="42"/>
      <c r="AM2671" s="42"/>
      <c r="AN2671" s="42"/>
      <c r="AO2671" s="63" t="str">
        <f>IFERROR(__xludf.DUMMYFUNCTION("IF(ISBLANK(A2671),,IF(ISBLANK(S2671), A2671&amp;"";"", TEXTJOIN(CHAR(10), TRUE, A2671&amp;"";"", ARRAYFORMULA(VLOOKUP(SPLIT(S2671, "";"" &amp; CHAR(10)), $A:$AO, 41, FALSE)))))"),"IPa;")</f>
        <v>IPa;</v>
      </c>
      <c r="AP2671" s="89"/>
    </row>
    <row r="2672">
      <c r="A2672" s="151" t="str">
        <f>IFERROR(__xludf.DUMMYFUNCTION("""COMPUTED_VALUE"""),"IPc")</f>
        <v>IPc</v>
      </c>
      <c r="B2672" s="42" t="str">
        <f>IFERROR(__xludf.DUMMYFUNCTION("""COMPUTED_VALUE"""),"DHBA")</f>
        <v>DHBA</v>
      </c>
      <c r="C2672" s="42" t="str">
        <f>IFERROR(__xludf.DUMMYFUNCTION("""COMPUTED_VALUE"""),"interpeduncular nucleus, caudal subnucleus")</f>
        <v>interpeduncular nucleus, caudal subnucleus</v>
      </c>
      <c r="D2672" s="42">
        <f>IFERROR(__xludf.DUMMYFUNCTION("""COMPUTED_VALUE"""),2547.0)</f>
        <v>2547</v>
      </c>
      <c r="E2672" s="39" t="str">
        <f>IFERROR(__xludf.DUMMYFUNCTION("""COMPUTED_VALUE"""),"interpeduncular nucleus, caudal subnucleus")</f>
        <v>interpeduncular nucleus, caudal subnucleus</v>
      </c>
      <c r="F2672" s="9" t="str">
        <f>IFERROR(__xludf.DUMMYFUNCTION("""COMPUTED_VALUE"""),"Br")</f>
        <v>Br</v>
      </c>
      <c r="G2672" s="9" t="str">
        <f>IFERROR(__xludf.DUMMYFUNCTION("""COMPUTED_VALUE"""),"M")</f>
        <v>M</v>
      </c>
      <c r="H2672" s="9" t="str">
        <f>IFERROR(__xludf.DUMMYFUNCTION("""COMPUTED_VALUE"""),"MGM")</f>
        <v>MGM</v>
      </c>
      <c r="I2672" s="9" t="str">
        <f>IFERROR(__xludf.DUMMYFUNCTION("""COMPUTED_VALUE"""),"MTg")</f>
        <v>MTg</v>
      </c>
      <c r="J2672" s="9" t="str">
        <f>IFERROR(__xludf.DUMMYFUNCTION("""COMPUTED_VALUE"""),"IP")</f>
        <v>IP</v>
      </c>
      <c r="K2672" s="9" t="str">
        <f>IFERROR(__xludf.DUMMYFUNCTION("""COMPUTED_VALUE"""),"IPc")</f>
        <v>IPc</v>
      </c>
      <c r="L2672" s="9"/>
      <c r="M2672" s="9"/>
      <c r="N2672" s="9"/>
      <c r="O2672" s="9"/>
      <c r="P2672" s="9"/>
      <c r="Q2672" s="9"/>
      <c r="R2672" s="9"/>
      <c r="S2672" s="42"/>
      <c r="T2672" s="42"/>
      <c r="U2672" s="42"/>
      <c r="V2672" s="42"/>
      <c r="W2672" s="42"/>
      <c r="X2672" s="42"/>
      <c r="Y2672" s="42"/>
      <c r="Z2672" s="42"/>
      <c r="AA2672" s="42"/>
      <c r="AB2672" s="42" t="str">
        <f>IFERROR(__xludf.DUMMYFUNCTION("""COMPUTED_VALUE"""),"allen institute")</f>
        <v>allen institute</v>
      </c>
      <c r="AC2672" s="42" t="str">
        <f>IFERROR(__xludf.DUMMYFUNCTION("""COMPUTED_VALUE"""),"DHBA")</f>
        <v>DHBA</v>
      </c>
      <c r="AD2672" s="42"/>
      <c r="AE2672" s="42"/>
      <c r="AF2672" s="9"/>
      <c r="AG2672" s="9"/>
      <c r="AH2672" s="42"/>
      <c r="AI2672" s="42"/>
      <c r="AJ2672" s="42"/>
      <c r="AK2672" s="42"/>
      <c r="AL2672" s="42"/>
      <c r="AM2672" s="42"/>
      <c r="AN2672" s="42"/>
      <c r="AO2672" s="63" t="str">
        <f>IFERROR(__xludf.DUMMYFUNCTION("IF(ISBLANK(A2672),,IF(ISBLANK(S2672), A2672&amp;"";"", TEXTJOIN(CHAR(10), TRUE, A2672&amp;"";"", ARRAYFORMULA(VLOOKUP(SPLIT(S2672, "";"" &amp; CHAR(10)), $A:$AO, 41, FALSE)))))"),"IPc;")</f>
        <v>IPc;</v>
      </c>
      <c r="AP2672" s="89"/>
    </row>
    <row r="2673">
      <c r="A2673" s="151" t="str">
        <f>IFERROR(__xludf.DUMMYFUNCTION("""COMPUTED_VALUE"""),"IPdm")</f>
        <v>IPdm</v>
      </c>
      <c r="B2673" s="42" t="str">
        <f>IFERROR(__xludf.DUMMYFUNCTION("""COMPUTED_VALUE"""),"DHBA")</f>
        <v>DHBA</v>
      </c>
      <c r="C2673" s="42" t="str">
        <f>IFERROR(__xludf.DUMMYFUNCTION("""COMPUTED_VALUE"""),"interpeduncular nucleus, dorsomedial subnucleus")</f>
        <v>interpeduncular nucleus, dorsomedial subnucleus</v>
      </c>
      <c r="D2673" s="42">
        <f>IFERROR(__xludf.DUMMYFUNCTION("""COMPUTED_VALUE"""),2548.0)</f>
        <v>2548</v>
      </c>
      <c r="E2673" s="39" t="str">
        <f>IFERROR(__xludf.DUMMYFUNCTION("""COMPUTED_VALUE"""),"interpeduncular nucleus, dorsomedial subnucleus")</f>
        <v>interpeduncular nucleus, dorsomedial subnucleus</v>
      </c>
      <c r="F2673" s="9" t="str">
        <f>IFERROR(__xludf.DUMMYFUNCTION("""COMPUTED_VALUE"""),"Br")</f>
        <v>Br</v>
      </c>
      <c r="G2673" s="9" t="str">
        <f>IFERROR(__xludf.DUMMYFUNCTION("""COMPUTED_VALUE"""),"M")</f>
        <v>M</v>
      </c>
      <c r="H2673" s="9" t="str">
        <f>IFERROR(__xludf.DUMMYFUNCTION("""COMPUTED_VALUE"""),"MGM")</f>
        <v>MGM</v>
      </c>
      <c r="I2673" s="9" t="str">
        <f>IFERROR(__xludf.DUMMYFUNCTION("""COMPUTED_VALUE"""),"MTg")</f>
        <v>MTg</v>
      </c>
      <c r="J2673" s="9" t="str">
        <f>IFERROR(__xludf.DUMMYFUNCTION("""COMPUTED_VALUE"""),"IP")</f>
        <v>IP</v>
      </c>
      <c r="K2673" s="9" t="str">
        <f>IFERROR(__xludf.DUMMYFUNCTION("""COMPUTED_VALUE"""),"IPdm")</f>
        <v>IPdm</v>
      </c>
      <c r="L2673" s="9"/>
      <c r="M2673" s="9"/>
      <c r="N2673" s="9"/>
      <c r="O2673" s="9"/>
      <c r="P2673" s="9"/>
      <c r="Q2673" s="9"/>
      <c r="R2673" s="9"/>
      <c r="S2673" s="42"/>
      <c r="T2673" s="42"/>
      <c r="U2673" s="42"/>
      <c r="V2673" s="42"/>
      <c r="W2673" s="42"/>
      <c r="X2673" s="42"/>
      <c r="Y2673" s="42"/>
      <c r="Z2673" s="42"/>
      <c r="AA2673" s="42"/>
      <c r="AB2673" s="42" t="str">
        <f>IFERROR(__xludf.DUMMYFUNCTION("""COMPUTED_VALUE"""),"allen institute")</f>
        <v>allen institute</v>
      </c>
      <c r="AC2673" s="42" t="str">
        <f>IFERROR(__xludf.DUMMYFUNCTION("""COMPUTED_VALUE"""),"DHBA")</f>
        <v>DHBA</v>
      </c>
      <c r="AD2673" s="42"/>
      <c r="AE2673" s="42"/>
      <c r="AF2673" s="9"/>
      <c r="AG2673" s="9"/>
      <c r="AH2673" s="42"/>
      <c r="AI2673" s="42"/>
      <c r="AJ2673" s="42"/>
      <c r="AK2673" s="42"/>
      <c r="AL2673" s="42"/>
      <c r="AM2673" s="42"/>
      <c r="AN2673" s="42"/>
      <c r="AO2673" s="63" t="str">
        <f>IFERROR(__xludf.DUMMYFUNCTION("IF(ISBLANK(A2673),,IF(ISBLANK(S2673), A2673&amp;"";"", TEXTJOIN(CHAR(10), TRUE, A2673&amp;"";"", ARRAYFORMULA(VLOOKUP(SPLIT(S2673, "";"" &amp; CHAR(10)), $A:$AO, 41, FALSE)))))"),"IPdm;")</f>
        <v>IPdm;</v>
      </c>
      <c r="AP2673" s="89"/>
    </row>
    <row r="2674">
      <c r="A2674" s="151" t="str">
        <f>IFERROR(__xludf.DUMMYFUNCTION("""COMPUTED_VALUE"""),"IPi")</f>
        <v>IPi</v>
      </c>
      <c r="B2674" s="42" t="str">
        <f>IFERROR(__xludf.DUMMYFUNCTION("""COMPUTED_VALUE"""),"DHBA")</f>
        <v>DHBA</v>
      </c>
      <c r="C2674" s="42" t="str">
        <f>IFERROR(__xludf.DUMMYFUNCTION("""COMPUTED_VALUE"""),"interpeduncular nucleus, intermediate subnucleus")</f>
        <v>interpeduncular nucleus, intermediate subnucleus</v>
      </c>
      <c r="D2674" s="42">
        <f>IFERROR(__xludf.DUMMYFUNCTION("""COMPUTED_VALUE"""),2549.0)</f>
        <v>2549</v>
      </c>
      <c r="E2674" s="39" t="str">
        <f>IFERROR(__xludf.DUMMYFUNCTION("""COMPUTED_VALUE"""),"interpeduncular nucleus, intermediate subnucleus")</f>
        <v>interpeduncular nucleus, intermediate subnucleus</v>
      </c>
      <c r="F2674" s="9" t="str">
        <f>IFERROR(__xludf.DUMMYFUNCTION("""COMPUTED_VALUE"""),"Br")</f>
        <v>Br</v>
      </c>
      <c r="G2674" s="9" t="str">
        <f>IFERROR(__xludf.DUMMYFUNCTION("""COMPUTED_VALUE"""),"M")</f>
        <v>M</v>
      </c>
      <c r="H2674" s="9" t="str">
        <f>IFERROR(__xludf.DUMMYFUNCTION("""COMPUTED_VALUE"""),"MGM")</f>
        <v>MGM</v>
      </c>
      <c r="I2674" s="9" t="str">
        <f>IFERROR(__xludf.DUMMYFUNCTION("""COMPUTED_VALUE"""),"MTg")</f>
        <v>MTg</v>
      </c>
      <c r="J2674" s="9" t="str">
        <f>IFERROR(__xludf.DUMMYFUNCTION("""COMPUTED_VALUE"""),"IP")</f>
        <v>IP</v>
      </c>
      <c r="K2674" s="9" t="str">
        <f>IFERROR(__xludf.DUMMYFUNCTION("""COMPUTED_VALUE"""),"IPi")</f>
        <v>IPi</v>
      </c>
      <c r="L2674" s="9"/>
      <c r="M2674" s="9"/>
      <c r="N2674" s="9"/>
      <c r="O2674" s="9"/>
      <c r="P2674" s="9"/>
      <c r="Q2674" s="9"/>
      <c r="R2674" s="9"/>
      <c r="S2674" s="42"/>
      <c r="T2674" s="42"/>
      <c r="U2674" s="42"/>
      <c r="V2674" s="42"/>
      <c r="W2674" s="42"/>
      <c r="X2674" s="42"/>
      <c r="Y2674" s="42"/>
      <c r="Z2674" s="42"/>
      <c r="AA2674" s="42"/>
      <c r="AB2674" s="42" t="str">
        <f>IFERROR(__xludf.DUMMYFUNCTION("""COMPUTED_VALUE"""),"allen institute")</f>
        <v>allen institute</v>
      </c>
      <c r="AC2674" s="42" t="str">
        <f>IFERROR(__xludf.DUMMYFUNCTION("""COMPUTED_VALUE"""),"DHBA")</f>
        <v>DHBA</v>
      </c>
      <c r="AD2674" s="42"/>
      <c r="AE2674" s="42"/>
      <c r="AF2674" s="9"/>
      <c r="AG2674" s="9"/>
      <c r="AH2674" s="42"/>
      <c r="AI2674" s="42"/>
      <c r="AJ2674" s="42"/>
      <c r="AK2674" s="42"/>
      <c r="AL2674" s="42"/>
      <c r="AM2674" s="42"/>
      <c r="AN2674" s="42"/>
      <c r="AO2674" s="63" t="str">
        <f>IFERROR(__xludf.DUMMYFUNCTION("IF(ISBLANK(A2674),,IF(ISBLANK(S2674), A2674&amp;"";"", TEXTJOIN(CHAR(10), TRUE, A2674&amp;"";"", ARRAYFORMULA(VLOOKUP(SPLIT(S2674, "";"" &amp; CHAR(10)), $A:$AO, 41, FALSE)))))"),"IPi;")</f>
        <v>IPi;</v>
      </c>
      <c r="AP2674" s="89"/>
    </row>
    <row r="2675">
      <c r="A2675" s="151" t="str">
        <f>IFERROR(__xludf.DUMMYFUNCTION("""COMPUTED_VALUE"""),"IPl")</f>
        <v>IPl</v>
      </c>
      <c r="B2675" s="42" t="str">
        <f>IFERROR(__xludf.DUMMYFUNCTION("""COMPUTED_VALUE"""),"DHBA")</f>
        <v>DHBA</v>
      </c>
      <c r="C2675" s="42" t="str">
        <f>IFERROR(__xludf.DUMMYFUNCTION("""COMPUTED_VALUE"""),"interpeduncular nucleus, lateral subnucleus")</f>
        <v>interpeduncular nucleus, lateral subnucleus</v>
      </c>
      <c r="D2675" s="42">
        <f>IFERROR(__xludf.DUMMYFUNCTION("""COMPUTED_VALUE"""),2550.0)</f>
        <v>2550</v>
      </c>
      <c r="E2675" s="39" t="str">
        <f>IFERROR(__xludf.DUMMYFUNCTION("""COMPUTED_VALUE"""),"interpeduncular nucleus, lateral subnucleus")</f>
        <v>interpeduncular nucleus, lateral subnucleus</v>
      </c>
      <c r="F2675" s="9" t="str">
        <f>IFERROR(__xludf.DUMMYFUNCTION("""COMPUTED_VALUE"""),"Br")</f>
        <v>Br</v>
      </c>
      <c r="G2675" s="9" t="str">
        <f>IFERROR(__xludf.DUMMYFUNCTION("""COMPUTED_VALUE"""),"M")</f>
        <v>M</v>
      </c>
      <c r="H2675" s="9" t="str">
        <f>IFERROR(__xludf.DUMMYFUNCTION("""COMPUTED_VALUE"""),"MGM")</f>
        <v>MGM</v>
      </c>
      <c r="I2675" s="9" t="str">
        <f>IFERROR(__xludf.DUMMYFUNCTION("""COMPUTED_VALUE"""),"MTg")</f>
        <v>MTg</v>
      </c>
      <c r="J2675" s="9" t="str">
        <f>IFERROR(__xludf.DUMMYFUNCTION("""COMPUTED_VALUE"""),"IP")</f>
        <v>IP</v>
      </c>
      <c r="K2675" s="9" t="str">
        <f>IFERROR(__xludf.DUMMYFUNCTION("""COMPUTED_VALUE"""),"IPl")</f>
        <v>IPl</v>
      </c>
      <c r="L2675" s="9"/>
      <c r="M2675" s="9"/>
      <c r="N2675" s="9"/>
      <c r="O2675" s="9"/>
      <c r="P2675" s="9"/>
      <c r="Q2675" s="9"/>
      <c r="R2675" s="9"/>
      <c r="S2675" s="42"/>
      <c r="T2675" s="42"/>
      <c r="U2675" s="42"/>
      <c r="V2675" s="42"/>
      <c r="W2675" s="42"/>
      <c r="X2675" s="42"/>
      <c r="Y2675" s="42"/>
      <c r="Z2675" s="42"/>
      <c r="AA2675" s="42"/>
      <c r="AB2675" s="42" t="str">
        <f>IFERROR(__xludf.DUMMYFUNCTION("""COMPUTED_VALUE"""),"allen institute")</f>
        <v>allen institute</v>
      </c>
      <c r="AC2675" s="42" t="str">
        <f>IFERROR(__xludf.DUMMYFUNCTION("""COMPUTED_VALUE"""),"DHBA")</f>
        <v>DHBA</v>
      </c>
      <c r="AD2675" s="42"/>
      <c r="AE2675" s="42"/>
      <c r="AF2675" s="9"/>
      <c r="AG2675" s="9"/>
      <c r="AH2675" s="42"/>
      <c r="AI2675" s="42"/>
      <c r="AJ2675" s="42"/>
      <c r="AK2675" s="42"/>
      <c r="AL2675" s="42"/>
      <c r="AM2675" s="42"/>
      <c r="AN2675" s="42"/>
      <c r="AO2675" s="63" t="str">
        <f>IFERROR(__xludf.DUMMYFUNCTION("IF(ISBLANK(A2675),,IF(ISBLANK(S2675), A2675&amp;"";"", TEXTJOIN(CHAR(10), TRUE, A2675&amp;"";"", ARRAYFORMULA(VLOOKUP(SPLIT(S2675, "";"" &amp; CHAR(10)), $A:$AO, 41, FALSE)))))"),"IPl;")</f>
        <v>IPl;</v>
      </c>
      <c r="AP2675" s="89"/>
    </row>
    <row r="2676">
      <c r="A2676" s="151" t="str">
        <f>IFERROR(__xludf.DUMMYFUNCTION("""COMPUTED_VALUE"""),"IPr")</f>
        <v>IPr</v>
      </c>
      <c r="B2676" s="42" t="str">
        <f>IFERROR(__xludf.DUMMYFUNCTION("""COMPUTED_VALUE"""),"DHBA")</f>
        <v>DHBA</v>
      </c>
      <c r="C2676" s="42" t="str">
        <f>IFERROR(__xludf.DUMMYFUNCTION("""COMPUTED_VALUE"""),"interpeduncular nucleus, rostral subnucleus")</f>
        <v>interpeduncular nucleus, rostral subnucleus</v>
      </c>
      <c r="D2676" s="42">
        <f>IFERROR(__xludf.DUMMYFUNCTION("""COMPUTED_VALUE"""),2551.0)</f>
        <v>2551</v>
      </c>
      <c r="E2676" s="39" t="str">
        <f>IFERROR(__xludf.DUMMYFUNCTION("""COMPUTED_VALUE"""),"interpeduncular nucleus, rostral subnucleus")</f>
        <v>interpeduncular nucleus, rostral subnucleus</v>
      </c>
      <c r="F2676" s="9" t="str">
        <f>IFERROR(__xludf.DUMMYFUNCTION("""COMPUTED_VALUE"""),"Br")</f>
        <v>Br</v>
      </c>
      <c r="G2676" s="9" t="str">
        <f>IFERROR(__xludf.DUMMYFUNCTION("""COMPUTED_VALUE"""),"M")</f>
        <v>M</v>
      </c>
      <c r="H2676" s="9" t="str">
        <f>IFERROR(__xludf.DUMMYFUNCTION("""COMPUTED_VALUE"""),"MGM")</f>
        <v>MGM</v>
      </c>
      <c r="I2676" s="9" t="str">
        <f>IFERROR(__xludf.DUMMYFUNCTION("""COMPUTED_VALUE"""),"MTg")</f>
        <v>MTg</v>
      </c>
      <c r="J2676" s="9" t="str">
        <f>IFERROR(__xludf.DUMMYFUNCTION("""COMPUTED_VALUE"""),"IP")</f>
        <v>IP</v>
      </c>
      <c r="K2676" s="9" t="str">
        <f>IFERROR(__xludf.DUMMYFUNCTION("""COMPUTED_VALUE"""),"IPr")</f>
        <v>IPr</v>
      </c>
      <c r="L2676" s="9"/>
      <c r="M2676" s="9"/>
      <c r="N2676" s="9"/>
      <c r="O2676" s="9"/>
      <c r="P2676" s="9"/>
      <c r="Q2676" s="9"/>
      <c r="R2676" s="9"/>
      <c r="S2676" s="42"/>
      <c r="T2676" s="42"/>
      <c r="U2676" s="159"/>
      <c r="V2676" s="42"/>
      <c r="W2676" s="42"/>
      <c r="X2676" s="42"/>
      <c r="Y2676" s="42"/>
      <c r="Z2676" s="42"/>
      <c r="AA2676" s="42"/>
      <c r="AB2676" s="42" t="str">
        <f>IFERROR(__xludf.DUMMYFUNCTION("""COMPUTED_VALUE"""),"allen institute")</f>
        <v>allen institute</v>
      </c>
      <c r="AC2676" s="42" t="str">
        <f>IFERROR(__xludf.DUMMYFUNCTION("""COMPUTED_VALUE"""),"DHBA")</f>
        <v>DHBA</v>
      </c>
      <c r="AD2676" s="42"/>
      <c r="AE2676" s="42"/>
      <c r="AF2676" s="9"/>
      <c r="AG2676" s="9"/>
      <c r="AH2676" s="42"/>
      <c r="AI2676" s="42"/>
      <c r="AJ2676" s="42"/>
      <c r="AK2676" s="42"/>
      <c r="AL2676" s="42"/>
      <c r="AM2676" s="42"/>
      <c r="AN2676" s="42"/>
      <c r="AO2676" s="63" t="str">
        <f>IFERROR(__xludf.DUMMYFUNCTION("IF(ISBLANK(A2676),,IF(ISBLANK(S2676), A2676&amp;"";"", TEXTJOIN(CHAR(10), TRUE, A2676&amp;"";"", ARRAYFORMULA(VLOOKUP(SPLIT(S2676, "";"" &amp; CHAR(10)), $A:$AO, 41, FALSE)))))"),"IPr;")</f>
        <v>IPr;</v>
      </c>
      <c r="AP2676" s="89"/>
    </row>
    <row r="2677">
      <c r="A2677" s="151" t="str">
        <f>IFERROR(__xludf.DUMMYFUNCTION("""COMPUTED_VALUE"""),"XMTg")</f>
        <v>XMTg</v>
      </c>
      <c r="B2677" s="42" t="str">
        <f>IFERROR(__xludf.DUMMYFUNCTION("""COMPUTED_VALUE"""),"DHBA")</f>
        <v>DHBA</v>
      </c>
      <c r="C2677" s="42" t="str">
        <f>IFERROR(__xludf.DUMMYFUNCTION("""COMPUTED_VALUE"""),"other nuclei in midbrain tegmentum")</f>
        <v>other nuclei in midbrain tegmentum</v>
      </c>
      <c r="D2677" s="42">
        <f>IFERROR(__xludf.DUMMYFUNCTION("""COMPUTED_VALUE"""),2552.0)</f>
        <v>2552</v>
      </c>
      <c r="E2677" s="39" t="str">
        <f>IFERROR(__xludf.DUMMYFUNCTION("""COMPUTED_VALUE"""),"other nuclei in midbrain tegmentum")</f>
        <v>other nuclei in midbrain tegmentum</v>
      </c>
      <c r="F2677" s="9" t="str">
        <f>IFERROR(__xludf.DUMMYFUNCTION("""COMPUTED_VALUE"""),"Br")</f>
        <v>Br</v>
      </c>
      <c r="G2677" s="9" t="str">
        <f>IFERROR(__xludf.DUMMYFUNCTION("""COMPUTED_VALUE"""),"M")</f>
        <v>M</v>
      </c>
      <c r="H2677" s="9" t="str">
        <f>IFERROR(__xludf.DUMMYFUNCTION("""COMPUTED_VALUE"""),"MGM")</f>
        <v>MGM</v>
      </c>
      <c r="I2677" s="9" t="str">
        <f>IFERROR(__xludf.DUMMYFUNCTION("""COMPUTED_VALUE"""),"MTg")</f>
        <v>MTg</v>
      </c>
      <c r="J2677" s="9" t="str">
        <f>IFERROR(__xludf.DUMMYFUNCTION("""COMPUTED_VALUE"""),"XMTg")</f>
        <v>XMTg</v>
      </c>
      <c r="K2677" s="9"/>
      <c r="L2677" s="9"/>
      <c r="M2677" s="9"/>
      <c r="N2677" s="9"/>
      <c r="O2677" s="9"/>
      <c r="P2677" s="9"/>
      <c r="Q2677" s="9"/>
      <c r="R2677" s="9"/>
      <c r="S2677" s="42" t="str">
        <f>IFERROR(__xludf.DUMMYFUNCTION("""COMPUTED_VALUE"""),"CeMe;
CTF;
DA8;
I3;
InC;
Lt;
MCPC;
MA3;
MiTg;
p1Rt;
PaC;
PaP;
Pa4;
PP;
PDTg;
PrC;
PrEW;
RIs;
RRF;
SubB")</f>
        <v>CeMe;
CTF;
DA8;
I3;
InC;
Lt;
MCPC;
MA3;
MiTg;
p1Rt;
PaC;
PaP;
Pa4;
PP;
PDTg;
PrC;
PrEW;
RIs;
RRF;
SubB</v>
      </c>
      <c r="T2677" s="42"/>
      <c r="U2677" s="42" t="b">
        <f>IFERROR(__xludf.DUMMYFUNCTION("""COMPUTED_VALUE"""),FALSE)</f>
        <v>0</v>
      </c>
      <c r="V2677" s="42"/>
      <c r="W2677" s="42"/>
      <c r="X2677" s="42"/>
      <c r="Y2677" s="42"/>
      <c r="Z2677" s="42"/>
      <c r="AA2677" s="42"/>
      <c r="AB2677" s="42" t="str">
        <f>IFERROR(__xludf.DUMMYFUNCTION("""COMPUTED_VALUE"""),"allen institute")</f>
        <v>allen institute</v>
      </c>
      <c r="AC2677" s="42" t="str">
        <f>IFERROR(__xludf.DUMMYFUNCTION("""COMPUTED_VALUE"""),"DHBA")</f>
        <v>DHBA</v>
      </c>
      <c r="AD2677" s="42"/>
      <c r="AE2677" s="42"/>
      <c r="AF2677" s="9"/>
      <c r="AG2677" s="9"/>
      <c r="AH2677" s="42"/>
      <c r="AI2677" s="42"/>
      <c r="AJ2677" s="42"/>
      <c r="AK2677" s="42"/>
      <c r="AL2677" s="42"/>
      <c r="AM2677" s="42"/>
      <c r="AN2677" s="42"/>
      <c r="AO2677" s="63" t="str">
        <f>IFERROR(__xludf.DUMMYFUNCTION("IF(ISBLANK(A2677),,IF(ISBLANK(S2677), A2677&amp;"";"", TEXTJOIN(CHAR(10), TRUE, A2677&amp;"";"", ARRAYFORMULA(VLOOKUP(SPLIT(S2677, "";"" &amp; CHAR(10)), $A:$AO, 41, FALSE)))))"),"XMTg;
CeMe;
CTF;
DA8;
I3;
InC;
InC1_l;
InC1_r;
InC2_l;
InC2_r;
LT;
MCPC;
MA3;
MiTg;
p1Rt;
PaC;
PaP;
Pa4;
PP;
PDTg;
PrC;
PrEW;
RIs;
RRF;
SubB;")</f>
        <v>XMTg;
CeMe;
CTF;
DA8;
I3;
InC;
InC1_l;
InC1_r;
InC2_l;
InC2_r;
LT;
MCPC;
MA3;
MiTg;
p1Rt;
PaC;
PaP;
Pa4;
PP;
PDTg;
PrC;
PrEW;
RIs;
RRF;
SubB;</v>
      </c>
      <c r="AP2677" s="89"/>
    </row>
    <row r="2678">
      <c r="A2678" s="151" t="str">
        <f>IFERROR(__xludf.DUMMYFUNCTION("""COMPUTED_VALUE"""),"CeMe")</f>
        <v>CeMe</v>
      </c>
      <c r="B2678" s="42" t="str">
        <f>IFERROR(__xludf.DUMMYFUNCTION("""COMPUTED_VALUE"""),"DHBA")</f>
        <v>DHBA</v>
      </c>
      <c r="C2678" s="42" t="str">
        <f>IFERROR(__xludf.DUMMYFUNCTION("""COMPUTED_VALUE"""),"central mesencephalic nucleus")</f>
        <v>central mesencephalic nucleus</v>
      </c>
      <c r="D2678" s="42">
        <f>IFERROR(__xludf.DUMMYFUNCTION("""COMPUTED_VALUE"""),2553.0)</f>
        <v>2553</v>
      </c>
      <c r="E2678" s="39" t="str">
        <f>IFERROR(__xludf.DUMMYFUNCTION("""COMPUTED_VALUE"""),"central mesencephalic nucleus")</f>
        <v>central mesencephalic nucleus</v>
      </c>
      <c r="F2678" s="9" t="str">
        <f>IFERROR(__xludf.DUMMYFUNCTION("""COMPUTED_VALUE"""),"Br")</f>
        <v>Br</v>
      </c>
      <c r="G2678" s="9" t="str">
        <f>IFERROR(__xludf.DUMMYFUNCTION("""COMPUTED_VALUE"""),"M")</f>
        <v>M</v>
      </c>
      <c r="H2678" s="9" t="str">
        <f>IFERROR(__xludf.DUMMYFUNCTION("""COMPUTED_VALUE"""),"MGM")</f>
        <v>MGM</v>
      </c>
      <c r="I2678" s="9" t="str">
        <f>IFERROR(__xludf.DUMMYFUNCTION("""COMPUTED_VALUE"""),"MTg")</f>
        <v>MTg</v>
      </c>
      <c r="J2678" s="9" t="str">
        <f>IFERROR(__xludf.DUMMYFUNCTION("""COMPUTED_VALUE"""),"XMTg")</f>
        <v>XMTg</v>
      </c>
      <c r="K2678" s="9" t="str">
        <f>IFERROR(__xludf.DUMMYFUNCTION("""COMPUTED_VALUE"""),"CeMe")</f>
        <v>CeMe</v>
      </c>
      <c r="L2678" s="9"/>
      <c r="M2678" s="9"/>
      <c r="N2678" s="9"/>
      <c r="O2678" s="9"/>
      <c r="P2678" s="9"/>
      <c r="Q2678" s="9"/>
      <c r="R2678" s="9"/>
      <c r="S2678" s="42"/>
      <c r="T2678" s="42"/>
      <c r="U2678" s="42"/>
      <c r="V2678" s="42"/>
      <c r="W2678" s="42"/>
      <c r="X2678" s="42"/>
      <c r="Y2678" s="42"/>
      <c r="Z2678" s="42"/>
      <c r="AA2678" s="42"/>
      <c r="AB2678" s="42" t="str">
        <f>IFERROR(__xludf.DUMMYFUNCTION("""COMPUTED_VALUE"""),"allen institute")</f>
        <v>allen institute</v>
      </c>
      <c r="AC2678" s="42" t="str">
        <f>IFERROR(__xludf.DUMMYFUNCTION("""COMPUTED_VALUE"""),"DHBA")</f>
        <v>DHBA</v>
      </c>
      <c r="AD2678" s="42"/>
      <c r="AE2678" s="42"/>
      <c r="AF2678" s="9"/>
      <c r="AG2678" s="9"/>
      <c r="AH2678" s="42"/>
      <c r="AI2678" s="42"/>
      <c r="AJ2678" s="42"/>
      <c r="AK2678" s="42"/>
      <c r="AL2678" s="42"/>
      <c r="AM2678" s="42"/>
      <c r="AN2678" s="42"/>
      <c r="AO2678" s="63" t="str">
        <f>IFERROR(__xludf.DUMMYFUNCTION("IF(ISBLANK(A2678),,IF(ISBLANK(S2678), A2678&amp;"";"", TEXTJOIN(CHAR(10), TRUE, A2678&amp;"";"", ARRAYFORMULA(VLOOKUP(SPLIT(S2678, "";"" &amp; CHAR(10)), $A:$AO, 41, FALSE)))))"),"CeMe;")</f>
        <v>CeMe;</v>
      </c>
      <c r="AP2678" s="89"/>
    </row>
    <row r="2679">
      <c r="A2679" s="151" t="str">
        <f>IFERROR(__xludf.DUMMYFUNCTION("""COMPUTED_VALUE"""),"CTF")</f>
        <v>CTF</v>
      </c>
      <c r="B2679" s="42" t="str">
        <f>IFERROR(__xludf.DUMMYFUNCTION("""COMPUTED_VALUE"""),"DHBA")</f>
        <v>DHBA</v>
      </c>
      <c r="C2679" s="42" t="str">
        <f>IFERROR(__xludf.DUMMYFUNCTION("""COMPUTED_VALUE"""),"central tegmental field")</f>
        <v>central tegmental field</v>
      </c>
      <c r="D2679" s="42">
        <f>IFERROR(__xludf.DUMMYFUNCTION("""COMPUTED_VALUE"""),2554.0)</f>
        <v>2554</v>
      </c>
      <c r="E2679" s="39" t="str">
        <f>IFERROR(__xludf.DUMMYFUNCTION("""COMPUTED_VALUE"""),"central tegmental field")</f>
        <v>central tegmental field</v>
      </c>
      <c r="F2679" s="9" t="str">
        <f>IFERROR(__xludf.DUMMYFUNCTION("""COMPUTED_VALUE"""),"Br")</f>
        <v>Br</v>
      </c>
      <c r="G2679" s="9" t="str">
        <f>IFERROR(__xludf.DUMMYFUNCTION("""COMPUTED_VALUE"""),"M")</f>
        <v>M</v>
      </c>
      <c r="H2679" s="9" t="str">
        <f>IFERROR(__xludf.DUMMYFUNCTION("""COMPUTED_VALUE"""),"MGM")</f>
        <v>MGM</v>
      </c>
      <c r="I2679" s="9" t="str">
        <f>IFERROR(__xludf.DUMMYFUNCTION("""COMPUTED_VALUE"""),"MTg")</f>
        <v>MTg</v>
      </c>
      <c r="J2679" s="9" t="str">
        <f>IFERROR(__xludf.DUMMYFUNCTION("""COMPUTED_VALUE"""),"XMTg")</f>
        <v>XMTg</v>
      </c>
      <c r="K2679" s="9" t="str">
        <f>IFERROR(__xludf.DUMMYFUNCTION("""COMPUTED_VALUE"""),"CTF")</f>
        <v>CTF</v>
      </c>
      <c r="L2679" s="9"/>
      <c r="M2679" s="9"/>
      <c r="N2679" s="9"/>
      <c r="O2679" s="9"/>
      <c r="P2679" s="9"/>
      <c r="Q2679" s="9"/>
      <c r="R2679" s="9"/>
      <c r="S2679" s="42"/>
      <c r="T2679" s="42"/>
      <c r="U2679" s="42"/>
      <c r="V2679" s="42"/>
      <c r="W2679" s="42"/>
      <c r="X2679" s="42"/>
      <c r="Y2679" s="42"/>
      <c r="Z2679" s="42"/>
      <c r="AA2679" s="42"/>
      <c r="AB2679" s="42" t="str">
        <f>IFERROR(__xludf.DUMMYFUNCTION("""COMPUTED_VALUE"""),"allen institute")</f>
        <v>allen institute</v>
      </c>
      <c r="AC2679" s="42" t="str">
        <f>IFERROR(__xludf.DUMMYFUNCTION("""COMPUTED_VALUE"""),"DHBA")</f>
        <v>DHBA</v>
      </c>
      <c r="AD2679" s="42"/>
      <c r="AE2679" s="42"/>
      <c r="AF2679" s="9"/>
      <c r="AG2679" s="9"/>
      <c r="AH2679" s="42"/>
      <c r="AI2679" s="42"/>
      <c r="AJ2679" s="42"/>
      <c r="AK2679" s="42"/>
      <c r="AL2679" s="42"/>
      <c r="AM2679" s="42"/>
      <c r="AN2679" s="42"/>
      <c r="AO2679" s="63" t="str">
        <f>IFERROR(__xludf.DUMMYFUNCTION("IF(ISBLANK(A2679),,IF(ISBLANK(S2679), A2679&amp;"";"", TEXTJOIN(CHAR(10), TRUE, A2679&amp;"";"", ARRAYFORMULA(VLOOKUP(SPLIT(S2679, "";"" &amp; CHAR(10)), $A:$AO, 41, FALSE)))))"),"CTF;")</f>
        <v>CTF;</v>
      </c>
      <c r="AP2679" s="89"/>
    </row>
    <row r="2680">
      <c r="A2680" s="151" t="str">
        <f>IFERROR(__xludf.DUMMYFUNCTION("""COMPUTED_VALUE"""),"DA8")</f>
        <v>DA8</v>
      </c>
      <c r="B2680" s="42" t="str">
        <f>IFERROR(__xludf.DUMMYFUNCTION("""COMPUTED_VALUE"""),"DHBA")</f>
        <v>DHBA</v>
      </c>
      <c r="C2680" s="42" t="str">
        <f>IFERROR(__xludf.DUMMYFUNCTION("""COMPUTED_VALUE"""),"A8 dopamine cells, A8")</f>
        <v>A8 dopamine cells, A8</v>
      </c>
      <c r="D2680" s="42">
        <f>IFERROR(__xludf.DUMMYFUNCTION("""COMPUTED_VALUE"""),2555.0)</f>
        <v>2555</v>
      </c>
      <c r="E2680" s="39" t="str">
        <f>IFERROR(__xludf.DUMMYFUNCTION("""COMPUTED_VALUE"""),"dopamine cells A8")</f>
        <v>dopamine cells A8</v>
      </c>
      <c r="F2680" s="9" t="str">
        <f>IFERROR(__xludf.DUMMYFUNCTION("""COMPUTED_VALUE"""),"Br")</f>
        <v>Br</v>
      </c>
      <c r="G2680" s="9" t="str">
        <f>IFERROR(__xludf.DUMMYFUNCTION("""COMPUTED_VALUE"""),"M")</f>
        <v>M</v>
      </c>
      <c r="H2680" s="9" t="str">
        <f>IFERROR(__xludf.DUMMYFUNCTION("""COMPUTED_VALUE"""),"MGM")</f>
        <v>MGM</v>
      </c>
      <c r="I2680" s="9" t="str">
        <f>IFERROR(__xludf.DUMMYFUNCTION("""COMPUTED_VALUE"""),"MTg")</f>
        <v>MTg</v>
      </c>
      <c r="J2680" s="9" t="str">
        <f>IFERROR(__xludf.DUMMYFUNCTION("""COMPUTED_VALUE"""),"XMTg")</f>
        <v>XMTg</v>
      </c>
      <c r="K2680" s="9" t="str">
        <f>IFERROR(__xludf.DUMMYFUNCTION("""COMPUTED_VALUE"""),"DA8")</f>
        <v>DA8</v>
      </c>
      <c r="L2680" s="9"/>
      <c r="M2680" s="9"/>
      <c r="N2680" s="9"/>
      <c r="O2680" s="9"/>
      <c r="P2680" s="9"/>
      <c r="Q2680" s="9"/>
      <c r="R2680" s="9"/>
      <c r="S2680" s="42"/>
      <c r="T2680" s="42"/>
      <c r="U2680" s="42"/>
      <c r="V2680" s="42"/>
      <c r="W2680" s="42"/>
      <c r="X2680" s="42"/>
      <c r="Y2680" s="42"/>
      <c r="Z2680" s="42"/>
      <c r="AA2680" s="42"/>
      <c r="AB2680" s="42" t="str">
        <f>IFERROR(__xludf.DUMMYFUNCTION("""COMPUTED_VALUE"""),"allen institute")</f>
        <v>allen institute</v>
      </c>
      <c r="AC2680" s="42" t="str">
        <f>IFERROR(__xludf.DUMMYFUNCTION("""COMPUTED_VALUE"""),"DHBA")</f>
        <v>DHBA</v>
      </c>
      <c r="AD2680" s="42"/>
      <c r="AE2680" s="42"/>
      <c r="AF2680" s="9"/>
      <c r="AG2680" s="9"/>
      <c r="AH2680" s="42"/>
      <c r="AI2680" s="42"/>
      <c r="AJ2680" s="42"/>
      <c r="AK2680" s="42"/>
      <c r="AL2680" s="42"/>
      <c r="AM2680" s="42"/>
      <c r="AN2680" s="42"/>
      <c r="AO2680" s="63" t="str">
        <f>IFERROR(__xludf.DUMMYFUNCTION("IF(ISBLANK(A2680),,IF(ISBLANK(S2680), A2680&amp;"";"", TEXTJOIN(CHAR(10), TRUE, A2680&amp;"";"", ARRAYFORMULA(VLOOKUP(SPLIT(S2680, "";"" &amp; CHAR(10)), $A:$AO, 41, FALSE)))))"),"DA8;")</f>
        <v>DA8;</v>
      </c>
      <c r="AP2680" s="89"/>
    </row>
    <row r="2681">
      <c r="A2681" s="151" t="str">
        <f>IFERROR(__xludf.DUMMYFUNCTION("""COMPUTED_VALUE"""),"I3")</f>
        <v>I3</v>
      </c>
      <c r="B2681" s="42" t="str">
        <f>IFERROR(__xludf.DUMMYFUNCTION("""COMPUTED_VALUE"""),"DHBA")</f>
        <v>DHBA</v>
      </c>
      <c r="C2681" s="42" t="str">
        <f>IFERROR(__xludf.DUMMYFUNCTION("""COMPUTED_VALUE"""),"interoculomotor nucleus")</f>
        <v>interoculomotor nucleus</v>
      </c>
      <c r="D2681" s="42">
        <f>IFERROR(__xludf.DUMMYFUNCTION("""COMPUTED_VALUE"""),2556.0)</f>
        <v>2556</v>
      </c>
      <c r="E2681" s="39" t="str">
        <f>IFERROR(__xludf.DUMMYFUNCTION("""COMPUTED_VALUE"""),"interoculomotor nucleus")</f>
        <v>interoculomotor nucleus</v>
      </c>
      <c r="F2681" s="9" t="str">
        <f>IFERROR(__xludf.DUMMYFUNCTION("""COMPUTED_VALUE"""),"Br")</f>
        <v>Br</v>
      </c>
      <c r="G2681" s="9" t="str">
        <f>IFERROR(__xludf.DUMMYFUNCTION("""COMPUTED_VALUE"""),"M")</f>
        <v>M</v>
      </c>
      <c r="H2681" s="9" t="str">
        <f>IFERROR(__xludf.DUMMYFUNCTION("""COMPUTED_VALUE"""),"MGM")</f>
        <v>MGM</v>
      </c>
      <c r="I2681" s="9" t="str">
        <f>IFERROR(__xludf.DUMMYFUNCTION("""COMPUTED_VALUE"""),"MTg")</f>
        <v>MTg</v>
      </c>
      <c r="J2681" s="9" t="str">
        <f>IFERROR(__xludf.DUMMYFUNCTION("""COMPUTED_VALUE"""),"XMTg")</f>
        <v>XMTg</v>
      </c>
      <c r="K2681" s="9" t="str">
        <f>IFERROR(__xludf.DUMMYFUNCTION("""COMPUTED_VALUE"""),"I3")</f>
        <v>I3</v>
      </c>
      <c r="L2681" s="9"/>
      <c r="M2681" s="9"/>
      <c r="N2681" s="9"/>
      <c r="O2681" s="9"/>
      <c r="P2681" s="9"/>
      <c r="Q2681" s="9"/>
      <c r="R2681" s="9"/>
      <c r="S2681" s="42"/>
      <c r="T2681" s="42"/>
      <c r="U2681" s="159"/>
      <c r="V2681" s="42"/>
      <c r="W2681" s="42"/>
      <c r="X2681" s="42"/>
      <c r="Y2681" s="42"/>
      <c r="Z2681" s="42"/>
      <c r="AA2681" s="42"/>
      <c r="AB2681" s="42" t="str">
        <f>IFERROR(__xludf.DUMMYFUNCTION("""COMPUTED_VALUE"""),"allen institute")</f>
        <v>allen institute</v>
      </c>
      <c r="AC2681" s="42" t="str">
        <f>IFERROR(__xludf.DUMMYFUNCTION("""COMPUTED_VALUE"""),"DHBA")</f>
        <v>DHBA</v>
      </c>
      <c r="AD2681" s="42"/>
      <c r="AE2681" s="42"/>
      <c r="AF2681" s="9"/>
      <c r="AG2681" s="9"/>
      <c r="AH2681" s="42"/>
      <c r="AI2681" s="42"/>
      <c r="AJ2681" s="42"/>
      <c r="AK2681" s="42"/>
      <c r="AL2681" s="42"/>
      <c r="AM2681" s="42"/>
      <c r="AN2681" s="42"/>
      <c r="AO2681" s="63" t="str">
        <f>IFERROR(__xludf.DUMMYFUNCTION("IF(ISBLANK(A2681),,IF(ISBLANK(S2681), A2681&amp;"";"", TEXTJOIN(CHAR(10), TRUE, A2681&amp;"";"", ARRAYFORMULA(VLOOKUP(SPLIT(S2681, "";"" &amp; CHAR(10)), $A:$AO, 41, FALSE)))))"),"I3;")</f>
        <v>I3;</v>
      </c>
      <c r="AP2681" s="89"/>
    </row>
    <row r="2682">
      <c r="A2682" s="151" t="str">
        <f>IFERROR(__xludf.DUMMYFUNCTION("""COMPUTED_VALUE"""),"InC")</f>
        <v>InC</v>
      </c>
      <c r="B2682" s="42" t="str">
        <f>IFERROR(__xludf.DUMMYFUNCTION("""COMPUTED_VALUE"""),"DHBA")</f>
        <v>DHBA</v>
      </c>
      <c r="C2682" s="42" t="str">
        <f>IFERROR(__xludf.DUMMYFUNCTION("""COMPUTED_VALUE"""),"interstitial nucleus of Cajal")</f>
        <v>interstitial nucleus of Cajal</v>
      </c>
      <c r="D2682" s="42">
        <f>IFERROR(__xludf.DUMMYFUNCTION("""COMPUTED_VALUE"""),2557.0)</f>
        <v>2557</v>
      </c>
      <c r="E2682" s="39" t="str">
        <f>IFERROR(__xludf.DUMMYFUNCTION("""COMPUTED_VALUE"""),"interstitial nucleus of Cajal")</f>
        <v>interstitial nucleus of Cajal</v>
      </c>
      <c r="F2682" s="9" t="str">
        <f>IFERROR(__xludf.DUMMYFUNCTION("""COMPUTED_VALUE"""),"Br")</f>
        <v>Br</v>
      </c>
      <c r="G2682" s="9" t="str">
        <f>IFERROR(__xludf.DUMMYFUNCTION("""COMPUTED_VALUE"""),"M")</f>
        <v>M</v>
      </c>
      <c r="H2682" s="9" t="str">
        <f>IFERROR(__xludf.DUMMYFUNCTION("""COMPUTED_VALUE"""),"MGM")</f>
        <v>MGM</v>
      </c>
      <c r="I2682" s="9" t="str">
        <f>IFERROR(__xludf.DUMMYFUNCTION("""COMPUTED_VALUE"""),"MTg")</f>
        <v>MTg</v>
      </c>
      <c r="J2682" s="9" t="str">
        <f>IFERROR(__xludf.DUMMYFUNCTION("""COMPUTED_VALUE"""),"XMTg")</f>
        <v>XMTg</v>
      </c>
      <c r="K2682" s="9" t="str">
        <f>IFERROR(__xludf.DUMMYFUNCTION("""COMPUTED_VALUE"""),"InC")</f>
        <v>InC</v>
      </c>
      <c r="L2682" s="9"/>
      <c r="M2682" s="9"/>
      <c r="N2682" s="9"/>
      <c r="O2682" s="9"/>
      <c r="P2682" s="9"/>
      <c r="Q2682" s="9"/>
      <c r="R2682" s="9"/>
      <c r="S2682" s="42" t="str">
        <f>IFERROR(__xludf.DUMMYFUNCTION("""COMPUTED_VALUE"""),"InC1_l;
InC1_r;
InC2_l;
InC2_r")</f>
        <v>InC1_l;
InC1_r;
InC2_l;
InC2_r</v>
      </c>
      <c r="T2682" s="42"/>
      <c r="U2682" s="42" t="b">
        <f>IFERROR(__xludf.DUMMYFUNCTION("""COMPUTED_VALUE"""),FALSE)</f>
        <v>0</v>
      </c>
      <c r="V2682" s="42"/>
      <c r="W2682" s="42" t="str">
        <f>IFERROR(__xludf.DUMMYFUNCTION("""COMPUTED_VALUE"""),"Inhibitory")</f>
        <v>Inhibitory</v>
      </c>
      <c r="X2682" s="42"/>
      <c r="Y2682" s="42"/>
      <c r="Z2682" s="42"/>
      <c r="AA2682" s="42"/>
      <c r="AB2682" s="42" t="str">
        <f>IFERROR(__xludf.DUMMYFUNCTION("""COMPUTED_VALUE"""),"allen institute")</f>
        <v>allen institute</v>
      </c>
      <c r="AC2682" s="42" t="str">
        <f>IFERROR(__xludf.DUMMYFUNCTION("""COMPUTED_VALUE"""),"DHBA")</f>
        <v>DHBA</v>
      </c>
      <c r="AD2682" s="42"/>
      <c r="AE2682" s="42"/>
      <c r="AF2682" s="9"/>
      <c r="AG2682" s="9"/>
      <c r="AH2682" s="42"/>
      <c r="AI2682" s="42"/>
      <c r="AJ2682" s="42"/>
      <c r="AK2682" s="42"/>
      <c r="AL2682" s="42"/>
      <c r="AM2682" s="42"/>
      <c r="AN2682" s="42"/>
      <c r="AO2682" s="63" t="str">
        <f>IFERROR(__xludf.DUMMYFUNCTION("IF(ISBLANK(A2682),,IF(ISBLANK(S2682), A2682&amp;"";"", TEXTJOIN(CHAR(10), TRUE, A2682&amp;"";"", ARRAYFORMULA(VLOOKUP(SPLIT(S2682, "";"" &amp; CHAR(10)), $A:$AO, 41, FALSE)))))"),"InC;
InC1_l;
InC1_r;
InC2_l;
InC2_r;")</f>
        <v>InC;
InC1_l;
InC1_r;
InC2_l;
InC2_r;</v>
      </c>
      <c r="AP2682" s="89"/>
    </row>
    <row r="2683">
      <c r="A2683" s="151" t="str">
        <f>IFERROR(__xludf.DUMMYFUNCTION("""COMPUTED_VALUE"""),"Lt")</f>
        <v>Lt</v>
      </c>
      <c r="B2683" s="42" t="str">
        <f>IFERROR(__xludf.DUMMYFUNCTION("""COMPUTED_VALUE"""),"DHBA")</f>
        <v>DHBA</v>
      </c>
      <c r="C2683" s="42" t="str">
        <f>IFERROR(__xludf.DUMMYFUNCTION("""COMPUTED_VALUE"""),"lateral terminal nucleus of accessory optic tract")</f>
        <v>lateral terminal nucleus of accessory optic tract</v>
      </c>
      <c r="D2683" s="42">
        <f>IFERROR(__xludf.DUMMYFUNCTION("""COMPUTED_VALUE"""),2558.0)</f>
        <v>2558</v>
      </c>
      <c r="E2683" s="39" t="str">
        <f>IFERROR(__xludf.DUMMYFUNCTION("""COMPUTED_VALUE"""),"lateral terminal nucleus of accessory optic tract")</f>
        <v>lateral terminal nucleus of accessory optic tract</v>
      </c>
      <c r="F2683" s="9" t="str">
        <f>IFERROR(__xludf.DUMMYFUNCTION("""COMPUTED_VALUE"""),"Br")</f>
        <v>Br</v>
      </c>
      <c r="G2683" s="9" t="str">
        <f>IFERROR(__xludf.DUMMYFUNCTION("""COMPUTED_VALUE"""),"M")</f>
        <v>M</v>
      </c>
      <c r="H2683" s="9" t="str">
        <f>IFERROR(__xludf.DUMMYFUNCTION("""COMPUTED_VALUE"""),"MGM")</f>
        <v>MGM</v>
      </c>
      <c r="I2683" s="9" t="str">
        <f>IFERROR(__xludf.DUMMYFUNCTION("""COMPUTED_VALUE"""),"MTg")</f>
        <v>MTg</v>
      </c>
      <c r="J2683" s="9" t="str">
        <f>IFERROR(__xludf.DUMMYFUNCTION("""COMPUTED_VALUE"""),"XMTg")</f>
        <v>XMTg</v>
      </c>
      <c r="K2683" s="9" t="str">
        <f>IFERROR(__xludf.DUMMYFUNCTION("""COMPUTED_VALUE"""),"Lt")</f>
        <v>Lt</v>
      </c>
      <c r="L2683" s="9"/>
      <c r="M2683" s="9"/>
      <c r="N2683" s="9"/>
      <c r="O2683" s="9"/>
      <c r="P2683" s="9"/>
      <c r="Q2683" s="9"/>
      <c r="R2683" s="9"/>
      <c r="S2683" s="42"/>
      <c r="T2683" s="42"/>
      <c r="U2683" s="42"/>
      <c r="V2683" s="42"/>
      <c r="W2683" s="42"/>
      <c r="X2683" s="42"/>
      <c r="Y2683" s="42"/>
      <c r="Z2683" s="42"/>
      <c r="AA2683" s="42"/>
      <c r="AB2683" s="42" t="str">
        <f>IFERROR(__xludf.DUMMYFUNCTION("""COMPUTED_VALUE"""),"allen institute")</f>
        <v>allen institute</v>
      </c>
      <c r="AC2683" s="42" t="str">
        <f>IFERROR(__xludf.DUMMYFUNCTION("""COMPUTED_VALUE"""),"DHBA")</f>
        <v>DHBA</v>
      </c>
      <c r="AD2683" s="42"/>
      <c r="AE2683" s="42"/>
      <c r="AF2683" s="9"/>
      <c r="AG2683" s="9"/>
      <c r="AH2683" s="42"/>
      <c r="AI2683" s="42"/>
      <c r="AJ2683" s="42"/>
      <c r="AK2683" s="42"/>
      <c r="AL2683" s="42"/>
      <c r="AM2683" s="42"/>
      <c r="AN2683" s="42"/>
      <c r="AO2683" s="63" t="str">
        <f>IFERROR(__xludf.DUMMYFUNCTION("IF(ISBLANK(A2683),,IF(ISBLANK(S2683), A2683&amp;"";"", TEXTJOIN(CHAR(10), TRUE, A2683&amp;"";"", ARRAYFORMULA(VLOOKUP(SPLIT(S2683, "";"" &amp; CHAR(10)), $A:$AO, 41, FALSE)))))"),"Lt;")</f>
        <v>Lt;</v>
      </c>
      <c r="AP2683" s="89"/>
    </row>
    <row r="2684">
      <c r="A2684" s="151" t="str">
        <f>IFERROR(__xludf.DUMMYFUNCTION("""COMPUTED_VALUE"""),"MCPC")</f>
        <v>MCPC</v>
      </c>
      <c r="B2684" s="42" t="str">
        <f>IFERROR(__xludf.DUMMYFUNCTION("""COMPUTED_VALUE"""),"DHBA")</f>
        <v>DHBA</v>
      </c>
      <c r="C2684" s="42" t="str">
        <f>IFERROR(__xludf.DUMMYFUNCTION("""COMPUTED_VALUE"""),"magnocellular nucleus of the posterior commissure")</f>
        <v>magnocellular nucleus of the posterior commissure</v>
      </c>
      <c r="D2684" s="42">
        <f>IFERROR(__xludf.DUMMYFUNCTION("""COMPUTED_VALUE"""),2559.0)</f>
        <v>2559</v>
      </c>
      <c r="E2684" s="39" t="str">
        <f>IFERROR(__xludf.DUMMYFUNCTION("""COMPUTED_VALUE"""),"magnocellular nucleus of the posterior commissure")</f>
        <v>magnocellular nucleus of the posterior commissure</v>
      </c>
      <c r="F2684" s="9" t="str">
        <f>IFERROR(__xludf.DUMMYFUNCTION("""COMPUTED_VALUE"""),"Br")</f>
        <v>Br</v>
      </c>
      <c r="G2684" s="9" t="str">
        <f>IFERROR(__xludf.DUMMYFUNCTION("""COMPUTED_VALUE"""),"M")</f>
        <v>M</v>
      </c>
      <c r="H2684" s="9" t="str">
        <f>IFERROR(__xludf.DUMMYFUNCTION("""COMPUTED_VALUE"""),"MGM")</f>
        <v>MGM</v>
      </c>
      <c r="I2684" s="9" t="str">
        <f>IFERROR(__xludf.DUMMYFUNCTION("""COMPUTED_VALUE"""),"MTg")</f>
        <v>MTg</v>
      </c>
      <c r="J2684" s="9" t="str">
        <f>IFERROR(__xludf.DUMMYFUNCTION("""COMPUTED_VALUE"""),"XMTg")</f>
        <v>XMTg</v>
      </c>
      <c r="K2684" s="9" t="str">
        <f>IFERROR(__xludf.DUMMYFUNCTION("""COMPUTED_VALUE"""),"MCPC")</f>
        <v>MCPC</v>
      </c>
      <c r="L2684" s="9"/>
      <c r="M2684" s="9"/>
      <c r="N2684" s="9"/>
      <c r="O2684" s="9"/>
      <c r="P2684" s="9"/>
      <c r="Q2684" s="9"/>
      <c r="R2684" s="9"/>
      <c r="S2684" s="42"/>
      <c r="T2684" s="42"/>
      <c r="U2684" s="42"/>
      <c r="V2684" s="42"/>
      <c r="W2684" s="42"/>
      <c r="X2684" s="42"/>
      <c r="Y2684" s="42"/>
      <c r="Z2684" s="42"/>
      <c r="AA2684" s="42"/>
      <c r="AB2684" s="42" t="str">
        <f>IFERROR(__xludf.DUMMYFUNCTION("""COMPUTED_VALUE"""),"allen institute")</f>
        <v>allen institute</v>
      </c>
      <c r="AC2684" s="42" t="str">
        <f>IFERROR(__xludf.DUMMYFUNCTION("""COMPUTED_VALUE"""),"DHBA")</f>
        <v>DHBA</v>
      </c>
      <c r="AD2684" s="42"/>
      <c r="AE2684" s="42"/>
      <c r="AF2684" s="9"/>
      <c r="AG2684" s="9"/>
      <c r="AH2684" s="42"/>
      <c r="AI2684" s="42"/>
      <c r="AJ2684" s="42"/>
      <c r="AK2684" s="42"/>
      <c r="AL2684" s="42"/>
      <c r="AM2684" s="42"/>
      <c r="AN2684" s="42"/>
      <c r="AO2684" s="63" t="str">
        <f>IFERROR(__xludf.DUMMYFUNCTION("IF(ISBLANK(A2684),,IF(ISBLANK(S2684), A2684&amp;"";"", TEXTJOIN(CHAR(10), TRUE, A2684&amp;"";"", ARRAYFORMULA(VLOOKUP(SPLIT(S2684, "";"" &amp; CHAR(10)), $A:$AO, 41, FALSE)))))"),"MCPC;")</f>
        <v>MCPC;</v>
      </c>
      <c r="AP2684" s="89"/>
    </row>
    <row r="2685">
      <c r="A2685" s="151" t="str">
        <f>IFERROR(__xludf.DUMMYFUNCTION("""COMPUTED_VALUE"""),"MA3")</f>
        <v>MA3</v>
      </c>
      <c r="B2685" s="42" t="str">
        <f>IFERROR(__xludf.DUMMYFUNCTION("""COMPUTED_VALUE"""),"DHBA")</f>
        <v>DHBA</v>
      </c>
      <c r="C2685" s="42" t="str">
        <f>IFERROR(__xludf.DUMMYFUNCTION("""COMPUTED_VALUE"""),"medial accessory oculomotor nucleus")</f>
        <v>medial accessory oculomotor nucleus</v>
      </c>
      <c r="D2685" s="42">
        <f>IFERROR(__xludf.DUMMYFUNCTION("""COMPUTED_VALUE"""),2560.0)</f>
        <v>2560</v>
      </c>
      <c r="E2685" s="39" t="str">
        <f>IFERROR(__xludf.DUMMYFUNCTION("""COMPUTED_VALUE"""),"medial accessory oculomotor nucleus")</f>
        <v>medial accessory oculomotor nucleus</v>
      </c>
      <c r="F2685" s="9" t="str">
        <f>IFERROR(__xludf.DUMMYFUNCTION("""COMPUTED_VALUE"""),"Br")</f>
        <v>Br</v>
      </c>
      <c r="G2685" s="9" t="str">
        <f>IFERROR(__xludf.DUMMYFUNCTION("""COMPUTED_VALUE"""),"M")</f>
        <v>M</v>
      </c>
      <c r="H2685" s="9" t="str">
        <f>IFERROR(__xludf.DUMMYFUNCTION("""COMPUTED_VALUE"""),"MGM")</f>
        <v>MGM</v>
      </c>
      <c r="I2685" s="9" t="str">
        <f>IFERROR(__xludf.DUMMYFUNCTION("""COMPUTED_VALUE"""),"MTg")</f>
        <v>MTg</v>
      </c>
      <c r="J2685" s="9" t="str">
        <f>IFERROR(__xludf.DUMMYFUNCTION("""COMPUTED_VALUE"""),"XMTg")</f>
        <v>XMTg</v>
      </c>
      <c r="K2685" s="9" t="str">
        <f>IFERROR(__xludf.DUMMYFUNCTION("""COMPUTED_VALUE"""),"MA3")</f>
        <v>MA3</v>
      </c>
      <c r="L2685" s="9"/>
      <c r="M2685" s="9"/>
      <c r="N2685" s="9"/>
      <c r="O2685" s="9"/>
      <c r="P2685" s="9"/>
      <c r="Q2685" s="9"/>
      <c r="R2685" s="9"/>
      <c r="S2685" s="42"/>
      <c r="T2685" s="42"/>
      <c r="U2685" s="42"/>
      <c r="V2685" s="42"/>
      <c r="W2685" s="42"/>
      <c r="X2685" s="42"/>
      <c r="Y2685" s="42"/>
      <c r="Z2685" s="42"/>
      <c r="AA2685" s="42"/>
      <c r="AB2685" s="42" t="str">
        <f>IFERROR(__xludf.DUMMYFUNCTION("""COMPUTED_VALUE"""),"allen institute")</f>
        <v>allen institute</v>
      </c>
      <c r="AC2685" s="42" t="str">
        <f>IFERROR(__xludf.DUMMYFUNCTION("""COMPUTED_VALUE"""),"DHBA")</f>
        <v>DHBA</v>
      </c>
      <c r="AD2685" s="42"/>
      <c r="AE2685" s="42"/>
      <c r="AF2685" s="9"/>
      <c r="AG2685" s="9"/>
      <c r="AH2685" s="42"/>
      <c r="AI2685" s="42"/>
      <c r="AJ2685" s="42"/>
      <c r="AK2685" s="42"/>
      <c r="AL2685" s="42"/>
      <c r="AM2685" s="42"/>
      <c r="AN2685" s="42"/>
      <c r="AO2685" s="63" t="str">
        <f>IFERROR(__xludf.DUMMYFUNCTION("IF(ISBLANK(A2685),,IF(ISBLANK(S2685), A2685&amp;"";"", TEXTJOIN(CHAR(10), TRUE, A2685&amp;"";"", ARRAYFORMULA(VLOOKUP(SPLIT(S2685, "";"" &amp; CHAR(10)), $A:$AO, 41, FALSE)))))"),"MA3;")</f>
        <v>MA3;</v>
      </c>
      <c r="AP2685" s="89"/>
    </row>
    <row r="2686">
      <c r="A2686" s="151" t="str">
        <f>IFERROR(__xludf.DUMMYFUNCTION("""COMPUTED_VALUE"""),"MiTg")</f>
        <v>MiTg</v>
      </c>
      <c r="B2686" s="42" t="str">
        <f>IFERROR(__xludf.DUMMYFUNCTION("""COMPUTED_VALUE"""),"DHBA")</f>
        <v>DHBA</v>
      </c>
      <c r="C2686" s="42" t="str">
        <f>IFERROR(__xludf.DUMMYFUNCTION("""COMPUTED_VALUE"""),"microcellular tegmental nucleus")</f>
        <v>microcellular tegmental nucleus</v>
      </c>
      <c r="D2686" s="42">
        <f>IFERROR(__xludf.DUMMYFUNCTION("""COMPUTED_VALUE"""),2561.0)</f>
        <v>2561</v>
      </c>
      <c r="E2686" s="39" t="str">
        <f>IFERROR(__xludf.DUMMYFUNCTION("""COMPUTED_VALUE"""),"microcellular tegmental nucleus")</f>
        <v>microcellular tegmental nucleus</v>
      </c>
      <c r="F2686" s="9" t="str">
        <f>IFERROR(__xludf.DUMMYFUNCTION("""COMPUTED_VALUE"""),"Br")</f>
        <v>Br</v>
      </c>
      <c r="G2686" s="9" t="str">
        <f>IFERROR(__xludf.DUMMYFUNCTION("""COMPUTED_VALUE"""),"M")</f>
        <v>M</v>
      </c>
      <c r="H2686" s="9" t="str">
        <f>IFERROR(__xludf.DUMMYFUNCTION("""COMPUTED_VALUE"""),"MGM")</f>
        <v>MGM</v>
      </c>
      <c r="I2686" s="9" t="str">
        <f>IFERROR(__xludf.DUMMYFUNCTION("""COMPUTED_VALUE"""),"MTg")</f>
        <v>MTg</v>
      </c>
      <c r="J2686" s="9" t="str">
        <f>IFERROR(__xludf.DUMMYFUNCTION("""COMPUTED_VALUE"""),"XMTg")</f>
        <v>XMTg</v>
      </c>
      <c r="K2686" s="9" t="str">
        <f>IFERROR(__xludf.DUMMYFUNCTION("""COMPUTED_VALUE"""),"MiTg")</f>
        <v>MiTg</v>
      </c>
      <c r="L2686" s="9"/>
      <c r="M2686" s="9"/>
      <c r="N2686" s="9"/>
      <c r="O2686" s="9"/>
      <c r="P2686" s="9"/>
      <c r="Q2686" s="9"/>
      <c r="R2686" s="9"/>
      <c r="S2686" s="42"/>
      <c r="T2686" s="42"/>
      <c r="U2686" s="159"/>
      <c r="V2686" s="42"/>
      <c r="W2686" s="42"/>
      <c r="X2686" s="42"/>
      <c r="Y2686" s="42"/>
      <c r="Z2686" s="42"/>
      <c r="AA2686" s="42"/>
      <c r="AB2686" s="42" t="str">
        <f>IFERROR(__xludf.DUMMYFUNCTION("""COMPUTED_VALUE"""),"allen institute")</f>
        <v>allen institute</v>
      </c>
      <c r="AC2686" s="42" t="str">
        <f>IFERROR(__xludf.DUMMYFUNCTION("""COMPUTED_VALUE"""),"DHBA")</f>
        <v>DHBA</v>
      </c>
      <c r="AD2686" s="42"/>
      <c r="AE2686" s="42"/>
      <c r="AF2686" s="9"/>
      <c r="AG2686" s="9"/>
      <c r="AH2686" s="42"/>
      <c r="AI2686" s="42"/>
      <c r="AJ2686" s="42"/>
      <c r="AK2686" s="42"/>
      <c r="AL2686" s="42"/>
      <c r="AM2686" s="42"/>
      <c r="AN2686" s="42"/>
      <c r="AO2686" s="63" t="str">
        <f>IFERROR(__xludf.DUMMYFUNCTION("IF(ISBLANK(A2686),,IF(ISBLANK(S2686), A2686&amp;"";"", TEXTJOIN(CHAR(10), TRUE, A2686&amp;"";"", ARRAYFORMULA(VLOOKUP(SPLIT(S2686, "";"" &amp; CHAR(10)), $A:$AO, 41, FALSE)))))"),"MiTg;")</f>
        <v>MiTg;</v>
      </c>
      <c r="AP2686" s="89"/>
    </row>
    <row r="2687">
      <c r="A2687" s="151" t="str">
        <f>IFERROR(__xludf.DUMMYFUNCTION("""COMPUTED_VALUE"""),"p1Rt")</f>
        <v>p1Rt</v>
      </c>
      <c r="B2687" s="42" t="str">
        <f>IFERROR(__xludf.DUMMYFUNCTION("""COMPUTED_VALUE"""),"DHBA")</f>
        <v>DHBA</v>
      </c>
      <c r="C2687" s="42" t="str">
        <f>IFERROR(__xludf.DUMMYFUNCTION("""COMPUTED_VALUE"""),"p1 reticular formation")</f>
        <v>p1 reticular formation</v>
      </c>
      <c r="D2687" s="42">
        <f>IFERROR(__xludf.DUMMYFUNCTION("""COMPUTED_VALUE"""),2562.0)</f>
        <v>2562</v>
      </c>
      <c r="E2687" s="39" t="str">
        <f>IFERROR(__xludf.DUMMYFUNCTION("""COMPUTED_VALUE"""),"p1 reticular formation")</f>
        <v>p1 reticular formation</v>
      </c>
      <c r="F2687" s="9" t="str">
        <f>IFERROR(__xludf.DUMMYFUNCTION("""COMPUTED_VALUE"""),"Br")</f>
        <v>Br</v>
      </c>
      <c r="G2687" s="9" t="str">
        <f>IFERROR(__xludf.DUMMYFUNCTION("""COMPUTED_VALUE"""),"M")</f>
        <v>M</v>
      </c>
      <c r="H2687" s="9" t="str">
        <f>IFERROR(__xludf.DUMMYFUNCTION("""COMPUTED_VALUE"""),"MGM")</f>
        <v>MGM</v>
      </c>
      <c r="I2687" s="9" t="str">
        <f>IFERROR(__xludf.DUMMYFUNCTION("""COMPUTED_VALUE"""),"MTg")</f>
        <v>MTg</v>
      </c>
      <c r="J2687" s="9" t="str">
        <f>IFERROR(__xludf.DUMMYFUNCTION("""COMPUTED_VALUE"""),"XMTg")</f>
        <v>XMTg</v>
      </c>
      <c r="K2687" s="9" t="str">
        <f>IFERROR(__xludf.DUMMYFUNCTION("""COMPUTED_VALUE"""),"p1Rt")</f>
        <v>p1Rt</v>
      </c>
      <c r="L2687" s="9"/>
      <c r="M2687" s="9"/>
      <c r="N2687" s="9"/>
      <c r="O2687" s="9"/>
      <c r="P2687" s="9"/>
      <c r="Q2687" s="9"/>
      <c r="R2687" s="9"/>
      <c r="S2687" s="42"/>
      <c r="T2687" s="42"/>
      <c r="U2687" s="42"/>
      <c r="V2687" s="42"/>
      <c r="W2687" s="42"/>
      <c r="X2687" s="42"/>
      <c r="Y2687" s="42"/>
      <c r="Z2687" s="42"/>
      <c r="AA2687" s="42"/>
      <c r="AB2687" s="42" t="str">
        <f>IFERROR(__xludf.DUMMYFUNCTION("""COMPUTED_VALUE"""),"allen institute")</f>
        <v>allen institute</v>
      </c>
      <c r="AC2687" s="42" t="str">
        <f>IFERROR(__xludf.DUMMYFUNCTION("""COMPUTED_VALUE"""),"DHBA")</f>
        <v>DHBA</v>
      </c>
      <c r="AD2687" s="42"/>
      <c r="AE2687" s="42"/>
      <c r="AF2687" s="9"/>
      <c r="AG2687" s="9"/>
      <c r="AH2687" s="42"/>
      <c r="AI2687" s="42"/>
      <c r="AJ2687" s="42"/>
      <c r="AK2687" s="42"/>
      <c r="AL2687" s="42"/>
      <c r="AM2687" s="42"/>
      <c r="AN2687" s="42"/>
      <c r="AO2687" s="63" t="str">
        <f>IFERROR(__xludf.DUMMYFUNCTION("IF(ISBLANK(A2687),,IF(ISBLANK(S2687), A2687&amp;"";"", TEXTJOIN(CHAR(10), TRUE, A2687&amp;"";"", ARRAYFORMULA(VLOOKUP(SPLIT(S2687, "";"" &amp; CHAR(10)), $A:$AO, 41, FALSE)))))"),"p1Rt;")</f>
        <v>p1Rt;</v>
      </c>
      <c r="AP2687" s="89"/>
    </row>
    <row r="2688">
      <c r="A2688" s="151" t="str">
        <f>IFERROR(__xludf.DUMMYFUNCTION("""COMPUTED_VALUE"""),"PaC")</f>
        <v>PaC</v>
      </c>
      <c r="B2688" s="42" t="str">
        <f>IFERROR(__xludf.DUMMYFUNCTION("""COMPUTED_VALUE"""),"DHBA")</f>
        <v>DHBA</v>
      </c>
      <c r="C2688" s="42" t="str">
        <f>IFERROR(__xludf.DUMMYFUNCTION("""COMPUTED_VALUE"""),"paracollicular tegmentum")</f>
        <v>paracollicular tegmentum</v>
      </c>
      <c r="D2688" s="42">
        <f>IFERROR(__xludf.DUMMYFUNCTION("""COMPUTED_VALUE"""),2563.0)</f>
        <v>2563</v>
      </c>
      <c r="E2688" s="39" t="str">
        <f>IFERROR(__xludf.DUMMYFUNCTION("""COMPUTED_VALUE"""),"paracollicular tegmentum")</f>
        <v>paracollicular tegmentum</v>
      </c>
      <c r="F2688" s="9" t="str">
        <f>IFERROR(__xludf.DUMMYFUNCTION("""COMPUTED_VALUE"""),"Br")</f>
        <v>Br</v>
      </c>
      <c r="G2688" s="9" t="str">
        <f>IFERROR(__xludf.DUMMYFUNCTION("""COMPUTED_VALUE"""),"M")</f>
        <v>M</v>
      </c>
      <c r="H2688" s="9" t="str">
        <f>IFERROR(__xludf.DUMMYFUNCTION("""COMPUTED_VALUE"""),"MGM")</f>
        <v>MGM</v>
      </c>
      <c r="I2688" s="9" t="str">
        <f>IFERROR(__xludf.DUMMYFUNCTION("""COMPUTED_VALUE"""),"MTg")</f>
        <v>MTg</v>
      </c>
      <c r="J2688" s="9" t="str">
        <f>IFERROR(__xludf.DUMMYFUNCTION("""COMPUTED_VALUE"""),"XMTg")</f>
        <v>XMTg</v>
      </c>
      <c r="K2688" s="9" t="str">
        <f>IFERROR(__xludf.DUMMYFUNCTION("""COMPUTED_VALUE"""),"PaC")</f>
        <v>PaC</v>
      </c>
      <c r="L2688" s="9"/>
      <c r="M2688" s="9"/>
      <c r="N2688" s="9"/>
      <c r="O2688" s="9"/>
      <c r="P2688" s="9"/>
      <c r="Q2688" s="9"/>
      <c r="R2688" s="9"/>
      <c r="S2688" s="42"/>
      <c r="T2688" s="42"/>
      <c r="U2688" s="159"/>
      <c r="V2688" s="42"/>
      <c r="W2688" s="42"/>
      <c r="X2688" s="42"/>
      <c r="Y2688" s="42"/>
      <c r="Z2688" s="42"/>
      <c r="AA2688" s="42"/>
      <c r="AB2688" s="42" t="str">
        <f>IFERROR(__xludf.DUMMYFUNCTION("""COMPUTED_VALUE"""),"allen institute")</f>
        <v>allen institute</v>
      </c>
      <c r="AC2688" s="42" t="str">
        <f>IFERROR(__xludf.DUMMYFUNCTION("""COMPUTED_VALUE"""),"DHBA")</f>
        <v>DHBA</v>
      </c>
      <c r="AD2688" s="42"/>
      <c r="AE2688" s="42"/>
      <c r="AF2688" s="9"/>
      <c r="AG2688" s="9"/>
      <c r="AH2688" s="42"/>
      <c r="AI2688" s="42"/>
      <c r="AJ2688" s="42"/>
      <c r="AK2688" s="42"/>
      <c r="AL2688" s="42"/>
      <c r="AM2688" s="42"/>
      <c r="AN2688" s="42"/>
      <c r="AO2688" s="63" t="str">
        <f>IFERROR(__xludf.DUMMYFUNCTION("IF(ISBLANK(A2688),,IF(ISBLANK(S2688), A2688&amp;"";"", TEXTJOIN(CHAR(10), TRUE, A2688&amp;"";"", ARRAYFORMULA(VLOOKUP(SPLIT(S2688, "";"" &amp; CHAR(10)), $A:$AO, 41, FALSE)))))"),"PaC;")</f>
        <v>PaC;</v>
      </c>
      <c r="AP2688" s="89"/>
    </row>
    <row r="2689">
      <c r="A2689" s="151" t="str">
        <f>IFERROR(__xludf.DUMMYFUNCTION("""COMPUTED_VALUE"""),"PaP")</f>
        <v>PaP</v>
      </c>
      <c r="B2689" s="42" t="str">
        <f>IFERROR(__xludf.DUMMYFUNCTION("""COMPUTED_VALUE"""),"DHBA")</f>
        <v>DHBA</v>
      </c>
      <c r="C2689" s="42" t="str">
        <f>IFERROR(__xludf.DUMMYFUNCTION("""COMPUTED_VALUE"""),"parapeduncular nucleus")</f>
        <v>parapeduncular nucleus</v>
      </c>
      <c r="D2689" s="42">
        <f>IFERROR(__xludf.DUMMYFUNCTION("""COMPUTED_VALUE"""),2564.0)</f>
        <v>2564</v>
      </c>
      <c r="E2689" s="39" t="str">
        <f>IFERROR(__xludf.DUMMYFUNCTION("""COMPUTED_VALUE"""),"parapeduncular nucleus")</f>
        <v>parapeduncular nucleus</v>
      </c>
      <c r="F2689" s="9" t="str">
        <f>IFERROR(__xludf.DUMMYFUNCTION("""COMPUTED_VALUE"""),"Br")</f>
        <v>Br</v>
      </c>
      <c r="G2689" s="9" t="str">
        <f>IFERROR(__xludf.DUMMYFUNCTION("""COMPUTED_VALUE"""),"M")</f>
        <v>M</v>
      </c>
      <c r="H2689" s="9" t="str">
        <f>IFERROR(__xludf.DUMMYFUNCTION("""COMPUTED_VALUE"""),"MGM")</f>
        <v>MGM</v>
      </c>
      <c r="I2689" s="9" t="str">
        <f>IFERROR(__xludf.DUMMYFUNCTION("""COMPUTED_VALUE"""),"MTg")</f>
        <v>MTg</v>
      </c>
      <c r="J2689" s="9" t="str">
        <f>IFERROR(__xludf.DUMMYFUNCTION("""COMPUTED_VALUE"""),"XMTg")</f>
        <v>XMTg</v>
      </c>
      <c r="K2689" s="9" t="str">
        <f>IFERROR(__xludf.DUMMYFUNCTION("""COMPUTED_VALUE"""),"PaP")</f>
        <v>PaP</v>
      </c>
      <c r="L2689" s="9"/>
      <c r="M2689" s="9"/>
      <c r="N2689" s="9"/>
      <c r="O2689" s="9"/>
      <c r="P2689" s="9"/>
      <c r="Q2689" s="9"/>
      <c r="R2689" s="9"/>
      <c r="S2689" s="42"/>
      <c r="T2689" s="42"/>
      <c r="U2689" s="42"/>
      <c r="V2689" s="42"/>
      <c r="W2689" s="42"/>
      <c r="X2689" s="42"/>
      <c r="Y2689" s="42"/>
      <c r="Z2689" s="42"/>
      <c r="AA2689" s="42"/>
      <c r="AB2689" s="42" t="str">
        <f>IFERROR(__xludf.DUMMYFUNCTION("""COMPUTED_VALUE"""),"allen institute")</f>
        <v>allen institute</v>
      </c>
      <c r="AC2689" s="42" t="str">
        <f>IFERROR(__xludf.DUMMYFUNCTION("""COMPUTED_VALUE"""),"DHBA")</f>
        <v>DHBA</v>
      </c>
      <c r="AD2689" s="42"/>
      <c r="AE2689" s="42"/>
      <c r="AF2689" s="9"/>
      <c r="AG2689" s="9"/>
      <c r="AH2689" s="42"/>
      <c r="AI2689" s="42"/>
      <c r="AJ2689" s="42"/>
      <c r="AK2689" s="42"/>
      <c r="AL2689" s="42"/>
      <c r="AM2689" s="42"/>
      <c r="AN2689" s="42"/>
      <c r="AO2689" s="63" t="str">
        <f>IFERROR(__xludf.DUMMYFUNCTION("IF(ISBLANK(A2689),,IF(ISBLANK(S2689), A2689&amp;"";"", TEXTJOIN(CHAR(10), TRUE, A2689&amp;"";"", ARRAYFORMULA(VLOOKUP(SPLIT(S2689, "";"" &amp; CHAR(10)), $A:$AO, 41, FALSE)))))"),"PaP;")</f>
        <v>PaP;</v>
      </c>
      <c r="AP2689" s="89"/>
    </row>
    <row r="2690">
      <c r="A2690" s="151" t="str">
        <f>IFERROR(__xludf.DUMMYFUNCTION("""COMPUTED_VALUE"""),"Pa4")</f>
        <v>Pa4</v>
      </c>
      <c r="B2690" s="42" t="str">
        <f>IFERROR(__xludf.DUMMYFUNCTION("""COMPUTED_VALUE"""),"DHBA")</f>
        <v>DHBA</v>
      </c>
      <c r="C2690" s="42" t="str">
        <f>IFERROR(__xludf.DUMMYFUNCTION("""COMPUTED_VALUE"""),"paratrochlear nucleus")</f>
        <v>paratrochlear nucleus</v>
      </c>
      <c r="D2690" s="42">
        <f>IFERROR(__xludf.DUMMYFUNCTION("""COMPUTED_VALUE"""),2565.0)</f>
        <v>2565</v>
      </c>
      <c r="E2690" s="39" t="str">
        <f>IFERROR(__xludf.DUMMYFUNCTION("""COMPUTED_VALUE"""),"paratrochlear nucleus")</f>
        <v>paratrochlear nucleus</v>
      </c>
      <c r="F2690" s="9" t="str">
        <f>IFERROR(__xludf.DUMMYFUNCTION("""COMPUTED_VALUE"""),"Br")</f>
        <v>Br</v>
      </c>
      <c r="G2690" s="9" t="str">
        <f>IFERROR(__xludf.DUMMYFUNCTION("""COMPUTED_VALUE"""),"M")</f>
        <v>M</v>
      </c>
      <c r="H2690" s="9" t="str">
        <f>IFERROR(__xludf.DUMMYFUNCTION("""COMPUTED_VALUE"""),"MGM")</f>
        <v>MGM</v>
      </c>
      <c r="I2690" s="9" t="str">
        <f>IFERROR(__xludf.DUMMYFUNCTION("""COMPUTED_VALUE"""),"MTg")</f>
        <v>MTg</v>
      </c>
      <c r="J2690" s="9" t="str">
        <f>IFERROR(__xludf.DUMMYFUNCTION("""COMPUTED_VALUE"""),"XMTg")</f>
        <v>XMTg</v>
      </c>
      <c r="K2690" s="9" t="str">
        <f>IFERROR(__xludf.DUMMYFUNCTION("""COMPUTED_VALUE"""),"Pa4")</f>
        <v>Pa4</v>
      </c>
      <c r="L2690" s="9"/>
      <c r="M2690" s="9"/>
      <c r="N2690" s="9"/>
      <c r="O2690" s="9"/>
      <c r="P2690" s="9"/>
      <c r="Q2690" s="9"/>
      <c r="R2690" s="9"/>
      <c r="S2690" s="42"/>
      <c r="T2690" s="42"/>
      <c r="U2690" s="42"/>
      <c r="V2690" s="42"/>
      <c r="W2690" s="42"/>
      <c r="X2690" s="42"/>
      <c r="Y2690" s="42"/>
      <c r="Z2690" s="42"/>
      <c r="AA2690" s="42"/>
      <c r="AB2690" s="42" t="str">
        <f>IFERROR(__xludf.DUMMYFUNCTION("""COMPUTED_VALUE"""),"allen institute")</f>
        <v>allen institute</v>
      </c>
      <c r="AC2690" s="42" t="str">
        <f>IFERROR(__xludf.DUMMYFUNCTION("""COMPUTED_VALUE"""),"DHBA")</f>
        <v>DHBA</v>
      </c>
      <c r="AD2690" s="42"/>
      <c r="AE2690" s="42"/>
      <c r="AF2690" s="9"/>
      <c r="AG2690" s="9"/>
      <c r="AH2690" s="42"/>
      <c r="AI2690" s="42"/>
      <c r="AJ2690" s="42"/>
      <c r="AK2690" s="42"/>
      <c r="AL2690" s="42"/>
      <c r="AM2690" s="42"/>
      <c r="AN2690" s="42"/>
      <c r="AO2690" s="63" t="str">
        <f>IFERROR(__xludf.DUMMYFUNCTION("IF(ISBLANK(A2690),,IF(ISBLANK(S2690), A2690&amp;"";"", TEXTJOIN(CHAR(10), TRUE, A2690&amp;"";"", ARRAYFORMULA(VLOOKUP(SPLIT(S2690, "";"" &amp; CHAR(10)), $A:$AO, 41, FALSE)))))"),"Pa4;")</f>
        <v>Pa4;</v>
      </c>
      <c r="AP2690" s="89"/>
    </row>
    <row r="2691">
      <c r="A2691" s="151" t="str">
        <f>IFERROR(__xludf.DUMMYFUNCTION("""COMPUTED_VALUE"""),"PP")</f>
        <v>PP</v>
      </c>
      <c r="B2691" s="42" t="str">
        <f>IFERROR(__xludf.DUMMYFUNCTION("""COMPUTED_VALUE"""),"DHBA")</f>
        <v>DHBA</v>
      </c>
      <c r="C2691" s="42" t="str">
        <f>IFERROR(__xludf.DUMMYFUNCTION("""COMPUTED_VALUE"""),"Peripeduncular nucleus")</f>
        <v>Peripeduncular nucleus</v>
      </c>
      <c r="D2691" s="42">
        <f>IFERROR(__xludf.DUMMYFUNCTION("""COMPUTED_VALUE"""),2566.0)</f>
        <v>2566</v>
      </c>
      <c r="E2691" s="39" t="str">
        <f>IFERROR(__xludf.DUMMYFUNCTION("""COMPUTED_VALUE"""),"peripeduncular nucleus")</f>
        <v>peripeduncular nucleus</v>
      </c>
      <c r="F2691" s="9" t="str">
        <f>IFERROR(__xludf.DUMMYFUNCTION("""COMPUTED_VALUE"""),"Br")</f>
        <v>Br</v>
      </c>
      <c r="G2691" s="9" t="str">
        <f>IFERROR(__xludf.DUMMYFUNCTION("""COMPUTED_VALUE"""),"M")</f>
        <v>M</v>
      </c>
      <c r="H2691" s="9" t="str">
        <f>IFERROR(__xludf.DUMMYFUNCTION("""COMPUTED_VALUE"""),"MGM")</f>
        <v>MGM</v>
      </c>
      <c r="I2691" s="9" t="str">
        <f>IFERROR(__xludf.DUMMYFUNCTION("""COMPUTED_VALUE"""),"MTg")</f>
        <v>MTg</v>
      </c>
      <c r="J2691" s="9" t="str">
        <f>IFERROR(__xludf.DUMMYFUNCTION("""COMPUTED_VALUE"""),"XMTg")</f>
        <v>XMTg</v>
      </c>
      <c r="K2691" s="9" t="str">
        <f>IFERROR(__xludf.DUMMYFUNCTION("""COMPUTED_VALUE"""),"PP")</f>
        <v>PP</v>
      </c>
      <c r="L2691" s="9"/>
      <c r="M2691" s="9"/>
      <c r="N2691" s="9"/>
      <c r="O2691" s="9"/>
      <c r="P2691" s="9"/>
      <c r="Q2691" s="9"/>
      <c r="R2691" s="9"/>
      <c r="S2691" s="42"/>
      <c r="T2691" s="42"/>
      <c r="U2691" s="42"/>
      <c r="V2691" s="42"/>
      <c r="W2691" s="42"/>
      <c r="X2691" s="42"/>
      <c r="Y2691" s="42"/>
      <c r="Z2691" s="42"/>
      <c r="AA2691" s="42"/>
      <c r="AB2691" s="42" t="str">
        <f>IFERROR(__xludf.DUMMYFUNCTION("""COMPUTED_VALUE"""),"allen institute")</f>
        <v>allen institute</v>
      </c>
      <c r="AC2691" s="42" t="str">
        <f>IFERROR(__xludf.DUMMYFUNCTION("""COMPUTED_VALUE"""),"DHBA")</f>
        <v>DHBA</v>
      </c>
      <c r="AD2691" s="42"/>
      <c r="AE2691" s="42"/>
      <c r="AF2691" s="9"/>
      <c r="AG2691" s="9"/>
      <c r="AH2691" s="42"/>
      <c r="AI2691" s="42"/>
      <c r="AJ2691" s="42"/>
      <c r="AK2691" s="42"/>
      <c r="AL2691" s="42"/>
      <c r="AM2691" s="42"/>
      <c r="AN2691" s="42"/>
      <c r="AO2691" s="63" t="str">
        <f>IFERROR(__xludf.DUMMYFUNCTION("IF(ISBLANK(A2691),,IF(ISBLANK(S2691), A2691&amp;"";"", TEXTJOIN(CHAR(10), TRUE, A2691&amp;"";"", ARRAYFORMULA(VLOOKUP(SPLIT(S2691, "";"" &amp; CHAR(10)), $A:$AO, 41, FALSE)))))"),"PP;")</f>
        <v>PP;</v>
      </c>
      <c r="AP2691" s="89"/>
    </row>
    <row r="2692">
      <c r="A2692" s="151" t="str">
        <f>IFERROR(__xludf.DUMMYFUNCTION("""COMPUTED_VALUE"""),"PDTg")</f>
        <v>PDTg</v>
      </c>
      <c r="B2692" s="42" t="str">
        <f>IFERROR(__xludf.DUMMYFUNCTION("""COMPUTED_VALUE"""),"DHBA")</f>
        <v>DHBA</v>
      </c>
      <c r="C2692" s="42" t="str">
        <f>IFERROR(__xludf.DUMMYFUNCTION("""COMPUTED_VALUE"""),"posterodorsal tegmental nucleus")</f>
        <v>posterodorsal tegmental nucleus</v>
      </c>
      <c r="D2692" s="42">
        <f>IFERROR(__xludf.DUMMYFUNCTION("""COMPUTED_VALUE"""),2567.0)</f>
        <v>2567</v>
      </c>
      <c r="E2692" s="39" t="str">
        <f>IFERROR(__xludf.DUMMYFUNCTION("""COMPUTED_VALUE"""),"posterodorsal tegmental nucleus")</f>
        <v>posterodorsal tegmental nucleus</v>
      </c>
      <c r="F2692" s="9" t="str">
        <f>IFERROR(__xludf.DUMMYFUNCTION("""COMPUTED_VALUE"""),"Br")</f>
        <v>Br</v>
      </c>
      <c r="G2692" s="9" t="str">
        <f>IFERROR(__xludf.DUMMYFUNCTION("""COMPUTED_VALUE"""),"M")</f>
        <v>M</v>
      </c>
      <c r="H2692" s="9" t="str">
        <f>IFERROR(__xludf.DUMMYFUNCTION("""COMPUTED_VALUE"""),"MGM")</f>
        <v>MGM</v>
      </c>
      <c r="I2692" s="9" t="str">
        <f>IFERROR(__xludf.DUMMYFUNCTION("""COMPUTED_VALUE"""),"MTg")</f>
        <v>MTg</v>
      </c>
      <c r="J2692" s="9" t="str">
        <f>IFERROR(__xludf.DUMMYFUNCTION("""COMPUTED_VALUE"""),"XMTg")</f>
        <v>XMTg</v>
      </c>
      <c r="K2692" s="9" t="str">
        <f>IFERROR(__xludf.DUMMYFUNCTION("""COMPUTED_VALUE"""),"PDTg")</f>
        <v>PDTg</v>
      </c>
      <c r="L2692" s="9"/>
      <c r="M2692" s="9"/>
      <c r="N2692" s="9"/>
      <c r="O2692" s="9"/>
      <c r="P2692" s="9"/>
      <c r="Q2692" s="9"/>
      <c r="R2692" s="9"/>
      <c r="S2692" s="42"/>
      <c r="T2692" s="42"/>
      <c r="U2692" s="42"/>
      <c r="V2692" s="42"/>
      <c r="W2692" s="42"/>
      <c r="X2692" s="42"/>
      <c r="Y2692" s="42"/>
      <c r="Z2692" s="42"/>
      <c r="AA2692" s="42"/>
      <c r="AB2692" s="42" t="str">
        <f>IFERROR(__xludf.DUMMYFUNCTION("""COMPUTED_VALUE"""),"allen institute")</f>
        <v>allen institute</v>
      </c>
      <c r="AC2692" s="42" t="str">
        <f>IFERROR(__xludf.DUMMYFUNCTION("""COMPUTED_VALUE"""),"DHBA")</f>
        <v>DHBA</v>
      </c>
      <c r="AD2692" s="42"/>
      <c r="AE2692" s="42"/>
      <c r="AF2692" s="9"/>
      <c r="AG2692" s="9"/>
      <c r="AH2692" s="42"/>
      <c r="AI2692" s="42"/>
      <c r="AJ2692" s="42"/>
      <c r="AK2692" s="42"/>
      <c r="AL2692" s="42"/>
      <c r="AM2692" s="42"/>
      <c r="AN2692" s="42"/>
      <c r="AO2692" s="63" t="str">
        <f>IFERROR(__xludf.DUMMYFUNCTION("IF(ISBLANK(A2692),,IF(ISBLANK(S2692), A2692&amp;"";"", TEXTJOIN(CHAR(10), TRUE, A2692&amp;"";"", ARRAYFORMULA(VLOOKUP(SPLIT(S2692, "";"" &amp; CHAR(10)), $A:$AO, 41, FALSE)))))"),"PDTg;")</f>
        <v>PDTg;</v>
      </c>
      <c r="AP2692" s="89"/>
    </row>
    <row r="2693">
      <c r="A2693" s="151" t="str">
        <f>IFERROR(__xludf.DUMMYFUNCTION("""COMPUTED_VALUE"""),"PrC")</f>
        <v>PrC</v>
      </c>
      <c r="B2693" s="42" t="str">
        <f>IFERROR(__xludf.DUMMYFUNCTION("""COMPUTED_VALUE"""),"DHBA")</f>
        <v>DHBA</v>
      </c>
      <c r="C2693" s="42" t="str">
        <f>IFERROR(__xludf.DUMMYFUNCTION("""COMPUTED_VALUE"""),"precommissural nucleus")</f>
        <v>precommissural nucleus</v>
      </c>
      <c r="D2693" s="42">
        <f>IFERROR(__xludf.DUMMYFUNCTION("""COMPUTED_VALUE"""),2568.0)</f>
        <v>2568</v>
      </c>
      <c r="E2693" s="39" t="str">
        <f>IFERROR(__xludf.DUMMYFUNCTION("""COMPUTED_VALUE"""),"precommissural nucleus")</f>
        <v>precommissural nucleus</v>
      </c>
      <c r="F2693" s="9" t="str">
        <f>IFERROR(__xludf.DUMMYFUNCTION("""COMPUTED_VALUE"""),"Br")</f>
        <v>Br</v>
      </c>
      <c r="G2693" s="9" t="str">
        <f>IFERROR(__xludf.DUMMYFUNCTION("""COMPUTED_VALUE"""),"M")</f>
        <v>M</v>
      </c>
      <c r="H2693" s="9" t="str">
        <f>IFERROR(__xludf.DUMMYFUNCTION("""COMPUTED_VALUE"""),"MGM")</f>
        <v>MGM</v>
      </c>
      <c r="I2693" s="9" t="str">
        <f>IFERROR(__xludf.DUMMYFUNCTION("""COMPUTED_VALUE"""),"MTg")</f>
        <v>MTg</v>
      </c>
      <c r="J2693" s="9" t="str">
        <f>IFERROR(__xludf.DUMMYFUNCTION("""COMPUTED_VALUE"""),"XMTg")</f>
        <v>XMTg</v>
      </c>
      <c r="K2693" s="9" t="str">
        <f>IFERROR(__xludf.DUMMYFUNCTION("""COMPUTED_VALUE"""),"PrC")</f>
        <v>PrC</v>
      </c>
      <c r="L2693" s="9"/>
      <c r="M2693" s="9"/>
      <c r="N2693" s="9"/>
      <c r="O2693" s="9"/>
      <c r="P2693" s="9"/>
      <c r="Q2693" s="9"/>
      <c r="R2693" s="9"/>
      <c r="S2693" s="42"/>
      <c r="T2693" s="42"/>
      <c r="U2693" s="159"/>
      <c r="V2693" s="42"/>
      <c r="W2693" s="42"/>
      <c r="X2693" s="42"/>
      <c r="Y2693" s="42"/>
      <c r="Z2693" s="42"/>
      <c r="AA2693" s="42"/>
      <c r="AB2693" s="42" t="str">
        <f>IFERROR(__xludf.DUMMYFUNCTION("""COMPUTED_VALUE"""),"allen institute")</f>
        <v>allen institute</v>
      </c>
      <c r="AC2693" s="42" t="str">
        <f>IFERROR(__xludf.DUMMYFUNCTION("""COMPUTED_VALUE"""),"DHBA")</f>
        <v>DHBA</v>
      </c>
      <c r="AD2693" s="42"/>
      <c r="AE2693" s="42"/>
      <c r="AF2693" s="9"/>
      <c r="AG2693" s="9"/>
      <c r="AH2693" s="42"/>
      <c r="AI2693" s="42"/>
      <c r="AJ2693" s="42"/>
      <c r="AK2693" s="42"/>
      <c r="AL2693" s="42"/>
      <c r="AM2693" s="42"/>
      <c r="AN2693" s="42"/>
      <c r="AO2693" s="63" t="str">
        <f>IFERROR(__xludf.DUMMYFUNCTION("IF(ISBLANK(A2693),,IF(ISBLANK(S2693), A2693&amp;"";"", TEXTJOIN(CHAR(10), TRUE, A2693&amp;"";"", ARRAYFORMULA(VLOOKUP(SPLIT(S2693, "";"" &amp; CHAR(10)), $A:$AO, 41, FALSE)))))"),"PrC;")</f>
        <v>PrC;</v>
      </c>
      <c r="AP2693" s="89"/>
    </row>
    <row r="2694">
      <c r="A2694" s="151" t="str">
        <f>IFERROR(__xludf.DUMMYFUNCTION("""COMPUTED_VALUE"""),"PrEW")</f>
        <v>PrEW</v>
      </c>
      <c r="B2694" s="42" t="str">
        <f>IFERROR(__xludf.DUMMYFUNCTION("""COMPUTED_VALUE"""),"DHBA")</f>
        <v>DHBA</v>
      </c>
      <c r="C2694" s="42" t="str">
        <f>IFERROR(__xludf.DUMMYFUNCTION("""COMPUTED_VALUE"""),"pre-Edinger-Westphal nucleus")</f>
        <v>pre-Edinger-Westphal nucleus</v>
      </c>
      <c r="D2694" s="42">
        <f>IFERROR(__xludf.DUMMYFUNCTION("""COMPUTED_VALUE"""),2569.0)</f>
        <v>2569</v>
      </c>
      <c r="E2694" s="39" t="str">
        <f>IFERROR(__xludf.DUMMYFUNCTION("""COMPUTED_VALUE"""),"pre-Edinger-Westphal nucleus")</f>
        <v>pre-Edinger-Westphal nucleus</v>
      </c>
      <c r="F2694" s="9" t="str">
        <f>IFERROR(__xludf.DUMMYFUNCTION("""COMPUTED_VALUE"""),"Br")</f>
        <v>Br</v>
      </c>
      <c r="G2694" s="9" t="str">
        <f>IFERROR(__xludf.DUMMYFUNCTION("""COMPUTED_VALUE"""),"M")</f>
        <v>M</v>
      </c>
      <c r="H2694" s="9" t="str">
        <f>IFERROR(__xludf.DUMMYFUNCTION("""COMPUTED_VALUE"""),"MGM")</f>
        <v>MGM</v>
      </c>
      <c r="I2694" s="9" t="str">
        <f>IFERROR(__xludf.DUMMYFUNCTION("""COMPUTED_VALUE"""),"MTg")</f>
        <v>MTg</v>
      </c>
      <c r="J2694" s="9" t="str">
        <f>IFERROR(__xludf.DUMMYFUNCTION("""COMPUTED_VALUE"""),"XMTg")</f>
        <v>XMTg</v>
      </c>
      <c r="K2694" s="9" t="str">
        <f>IFERROR(__xludf.DUMMYFUNCTION("""COMPUTED_VALUE"""),"PrEW")</f>
        <v>PrEW</v>
      </c>
      <c r="L2694" s="9"/>
      <c r="M2694" s="9"/>
      <c r="N2694" s="9"/>
      <c r="O2694" s="9"/>
      <c r="P2694" s="9"/>
      <c r="Q2694" s="9"/>
      <c r="R2694" s="9"/>
      <c r="S2694" s="42"/>
      <c r="T2694" s="42"/>
      <c r="U2694" s="42"/>
      <c r="V2694" s="42"/>
      <c r="W2694" s="42"/>
      <c r="X2694" s="42"/>
      <c r="Y2694" s="42"/>
      <c r="Z2694" s="42"/>
      <c r="AA2694" s="42"/>
      <c r="AB2694" s="42" t="str">
        <f>IFERROR(__xludf.DUMMYFUNCTION("""COMPUTED_VALUE"""),"allen institute")</f>
        <v>allen institute</v>
      </c>
      <c r="AC2694" s="42" t="str">
        <f>IFERROR(__xludf.DUMMYFUNCTION("""COMPUTED_VALUE"""),"DHBA")</f>
        <v>DHBA</v>
      </c>
      <c r="AD2694" s="42"/>
      <c r="AE2694" s="42"/>
      <c r="AF2694" s="9"/>
      <c r="AG2694" s="9"/>
      <c r="AH2694" s="42"/>
      <c r="AI2694" s="42"/>
      <c r="AJ2694" s="42"/>
      <c r="AK2694" s="42"/>
      <c r="AL2694" s="42"/>
      <c r="AM2694" s="42"/>
      <c r="AN2694" s="42"/>
      <c r="AO2694" s="63" t="str">
        <f>IFERROR(__xludf.DUMMYFUNCTION("IF(ISBLANK(A2694),,IF(ISBLANK(S2694), A2694&amp;"";"", TEXTJOIN(CHAR(10), TRUE, A2694&amp;"";"", ARRAYFORMULA(VLOOKUP(SPLIT(S2694, "";"" &amp; CHAR(10)), $A:$AO, 41, FALSE)))))"),"PrEW;")</f>
        <v>PrEW;</v>
      </c>
      <c r="AP2694" s="89"/>
    </row>
    <row r="2695">
      <c r="A2695" s="151" t="str">
        <f>IFERROR(__xludf.DUMMYFUNCTION("""COMPUTED_VALUE"""),"RIs")</f>
        <v>RIs</v>
      </c>
      <c r="B2695" s="42" t="str">
        <f>IFERROR(__xludf.DUMMYFUNCTION("""COMPUTED_VALUE"""),"DHBA")</f>
        <v>DHBA</v>
      </c>
      <c r="C2695" s="42" t="str">
        <f>IFERROR(__xludf.DUMMYFUNCTION("""COMPUTED_VALUE"""),"retroisthmic nucleus")</f>
        <v>retroisthmic nucleus</v>
      </c>
      <c r="D2695" s="42">
        <f>IFERROR(__xludf.DUMMYFUNCTION("""COMPUTED_VALUE"""),2570.0)</f>
        <v>2570</v>
      </c>
      <c r="E2695" s="39" t="str">
        <f>IFERROR(__xludf.DUMMYFUNCTION("""COMPUTED_VALUE"""),"retroisthmic nucleus")</f>
        <v>retroisthmic nucleus</v>
      </c>
      <c r="F2695" s="9" t="str">
        <f>IFERROR(__xludf.DUMMYFUNCTION("""COMPUTED_VALUE"""),"Br")</f>
        <v>Br</v>
      </c>
      <c r="G2695" s="9" t="str">
        <f>IFERROR(__xludf.DUMMYFUNCTION("""COMPUTED_VALUE"""),"M")</f>
        <v>M</v>
      </c>
      <c r="H2695" s="9" t="str">
        <f>IFERROR(__xludf.DUMMYFUNCTION("""COMPUTED_VALUE"""),"MGM")</f>
        <v>MGM</v>
      </c>
      <c r="I2695" s="9" t="str">
        <f>IFERROR(__xludf.DUMMYFUNCTION("""COMPUTED_VALUE"""),"MTg")</f>
        <v>MTg</v>
      </c>
      <c r="J2695" s="9" t="str">
        <f>IFERROR(__xludf.DUMMYFUNCTION("""COMPUTED_VALUE"""),"XMTg")</f>
        <v>XMTg</v>
      </c>
      <c r="K2695" s="9" t="str">
        <f>IFERROR(__xludf.DUMMYFUNCTION("""COMPUTED_VALUE"""),"RIs")</f>
        <v>RIs</v>
      </c>
      <c r="L2695" s="9"/>
      <c r="M2695" s="9"/>
      <c r="N2695" s="9"/>
      <c r="O2695" s="9"/>
      <c r="P2695" s="9"/>
      <c r="Q2695" s="9"/>
      <c r="R2695" s="9"/>
      <c r="S2695" s="42"/>
      <c r="T2695" s="42"/>
      <c r="U2695" s="42"/>
      <c r="V2695" s="42"/>
      <c r="W2695" s="42"/>
      <c r="X2695" s="42"/>
      <c r="Y2695" s="42"/>
      <c r="Z2695" s="42"/>
      <c r="AA2695" s="42"/>
      <c r="AB2695" s="42" t="str">
        <f>IFERROR(__xludf.DUMMYFUNCTION("""COMPUTED_VALUE"""),"allen institute")</f>
        <v>allen institute</v>
      </c>
      <c r="AC2695" s="42" t="str">
        <f>IFERROR(__xludf.DUMMYFUNCTION("""COMPUTED_VALUE"""),"DHBA")</f>
        <v>DHBA</v>
      </c>
      <c r="AD2695" s="42"/>
      <c r="AE2695" s="42"/>
      <c r="AF2695" s="9"/>
      <c r="AG2695" s="9"/>
      <c r="AH2695" s="42"/>
      <c r="AI2695" s="42"/>
      <c r="AJ2695" s="42"/>
      <c r="AK2695" s="42"/>
      <c r="AL2695" s="42"/>
      <c r="AM2695" s="42"/>
      <c r="AN2695" s="42"/>
      <c r="AO2695" s="63" t="str">
        <f>IFERROR(__xludf.DUMMYFUNCTION("IF(ISBLANK(A2695),,IF(ISBLANK(S2695), A2695&amp;"";"", TEXTJOIN(CHAR(10), TRUE, A2695&amp;"";"", ARRAYFORMULA(VLOOKUP(SPLIT(S2695, "";"" &amp; CHAR(10)), $A:$AO, 41, FALSE)))))"),"RIs;")</f>
        <v>RIs;</v>
      </c>
      <c r="AP2695" s="89"/>
    </row>
    <row r="2696">
      <c r="A2696" s="151" t="str">
        <f>IFERROR(__xludf.DUMMYFUNCTION("""COMPUTED_VALUE"""),"RRF")</f>
        <v>RRF</v>
      </c>
      <c r="B2696" s="42" t="str">
        <f>IFERROR(__xludf.DUMMYFUNCTION("""COMPUTED_VALUE"""),"DHBA")</f>
        <v>DHBA</v>
      </c>
      <c r="C2696" s="42" t="str">
        <f>IFERROR(__xludf.DUMMYFUNCTION("""COMPUTED_VALUE"""),"retrorubral field")</f>
        <v>retrorubral field</v>
      </c>
      <c r="D2696" s="42">
        <f>IFERROR(__xludf.DUMMYFUNCTION("""COMPUTED_VALUE"""),2571.0)</f>
        <v>2571</v>
      </c>
      <c r="E2696" s="39" t="str">
        <f>IFERROR(__xludf.DUMMYFUNCTION("""COMPUTED_VALUE"""),"retrorubral field")</f>
        <v>retrorubral field</v>
      </c>
      <c r="F2696" s="9" t="str">
        <f>IFERROR(__xludf.DUMMYFUNCTION("""COMPUTED_VALUE"""),"Br")</f>
        <v>Br</v>
      </c>
      <c r="G2696" s="9" t="str">
        <f>IFERROR(__xludf.DUMMYFUNCTION("""COMPUTED_VALUE"""),"M")</f>
        <v>M</v>
      </c>
      <c r="H2696" s="9" t="str">
        <f>IFERROR(__xludf.DUMMYFUNCTION("""COMPUTED_VALUE"""),"MGM")</f>
        <v>MGM</v>
      </c>
      <c r="I2696" s="9" t="str">
        <f>IFERROR(__xludf.DUMMYFUNCTION("""COMPUTED_VALUE"""),"MTg")</f>
        <v>MTg</v>
      </c>
      <c r="J2696" s="9" t="str">
        <f>IFERROR(__xludf.DUMMYFUNCTION("""COMPUTED_VALUE"""),"XMTg")</f>
        <v>XMTg</v>
      </c>
      <c r="K2696" s="9" t="str">
        <f>IFERROR(__xludf.DUMMYFUNCTION("""COMPUTED_VALUE"""),"RRF")</f>
        <v>RRF</v>
      </c>
      <c r="L2696" s="9"/>
      <c r="M2696" s="9"/>
      <c r="N2696" s="9"/>
      <c r="O2696" s="9"/>
      <c r="P2696" s="9"/>
      <c r="Q2696" s="9"/>
      <c r="R2696" s="9"/>
      <c r="S2696" s="42"/>
      <c r="T2696" s="42"/>
      <c r="U2696" s="42"/>
      <c r="V2696" s="42"/>
      <c r="W2696" s="42"/>
      <c r="X2696" s="42"/>
      <c r="Y2696" s="42"/>
      <c r="Z2696" s="42"/>
      <c r="AA2696" s="42"/>
      <c r="AB2696" s="42" t="str">
        <f>IFERROR(__xludf.DUMMYFUNCTION("""COMPUTED_VALUE"""),"allen institute")</f>
        <v>allen institute</v>
      </c>
      <c r="AC2696" s="42" t="str">
        <f>IFERROR(__xludf.DUMMYFUNCTION("""COMPUTED_VALUE"""),"DHBA")</f>
        <v>DHBA</v>
      </c>
      <c r="AD2696" s="42"/>
      <c r="AE2696" s="42"/>
      <c r="AF2696" s="9"/>
      <c r="AG2696" s="9"/>
      <c r="AH2696" s="42"/>
      <c r="AI2696" s="42"/>
      <c r="AJ2696" s="42"/>
      <c r="AK2696" s="42"/>
      <c r="AL2696" s="42"/>
      <c r="AM2696" s="42"/>
      <c r="AN2696" s="42"/>
      <c r="AO2696" s="63" t="str">
        <f>IFERROR(__xludf.DUMMYFUNCTION("IF(ISBLANK(A2696),,IF(ISBLANK(S2696), A2696&amp;"";"", TEXTJOIN(CHAR(10), TRUE, A2696&amp;"";"", ARRAYFORMULA(VLOOKUP(SPLIT(S2696, "";"" &amp; CHAR(10)), $A:$AO, 41, FALSE)))))"),"RRF;")</f>
        <v>RRF;</v>
      </c>
      <c r="AP2696" s="89"/>
    </row>
    <row r="2697">
      <c r="A2697" s="151" t="str">
        <f>IFERROR(__xludf.DUMMYFUNCTION("""COMPUTED_VALUE"""),"SubB")</f>
        <v>SubB</v>
      </c>
      <c r="B2697" s="42" t="str">
        <f>IFERROR(__xludf.DUMMYFUNCTION("""COMPUTED_VALUE"""),"DHBA")</f>
        <v>DHBA</v>
      </c>
      <c r="C2697" s="42" t="str">
        <f>IFERROR(__xludf.DUMMYFUNCTION("""COMPUTED_VALUE"""),"subbrachial nucleus")</f>
        <v>subbrachial nucleus</v>
      </c>
      <c r="D2697" s="42">
        <f>IFERROR(__xludf.DUMMYFUNCTION("""COMPUTED_VALUE"""),2572.0)</f>
        <v>2572</v>
      </c>
      <c r="E2697" s="39" t="str">
        <f>IFERROR(__xludf.DUMMYFUNCTION("""COMPUTED_VALUE"""),"subbrachial nucleus")</f>
        <v>subbrachial nucleus</v>
      </c>
      <c r="F2697" s="9" t="str">
        <f>IFERROR(__xludf.DUMMYFUNCTION("""COMPUTED_VALUE"""),"Br")</f>
        <v>Br</v>
      </c>
      <c r="G2697" s="9" t="str">
        <f>IFERROR(__xludf.DUMMYFUNCTION("""COMPUTED_VALUE"""),"M")</f>
        <v>M</v>
      </c>
      <c r="H2697" s="9" t="str">
        <f>IFERROR(__xludf.DUMMYFUNCTION("""COMPUTED_VALUE"""),"MGM")</f>
        <v>MGM</v>
      </c>
      <c r="I2697" s="9" t="str">
        <f>IFERROR(__xludf.DUMMYFUNCTION("""COMPUTED_VALUE"""),"MTg")</f>
        <v>MTg</v>
      </c>
      <c r="J2697" s="9" t="str">
        <f>IFERROR(__xludf.DUMMYFUNCTION("""COMPUTED_VALUE"""),"XMTg")</f>
        <v>XMTg</v>
      </c>
      <c r="K2697" s="9" t="str">
        <f>IFERROR(__xludf.DUMMYFUNCTION("""COMPUTED_VALUE"""),"SubB")</f>
        <v>SubB</v>
      </c>
      <c r="L2697" s="9"/>
      <c r="M2697" s="9"/>
      <c r="N2697" s="9"/>
      <c r="O2697" s="9"/>
      <c r="P2697" s="9"/>
      <c r="Q2697" s="9"/>
      <c r="R2697" s="9"/>
      <c r="S2697" s="42"/>
      <c r="T2697" s="42"/>
      <c r="U2697" s="42"/>
      <c r="V2697" s="42"/>
      <c r="W2697" s="42"/>
      <c r="X2697" s="42"/>
      <c r="Y2697" s="42"/>
      <c r="Z2697" s="42"/>
      <c r="AA2697" s="42"/>
      <c r="AB2697" s="42" t="str">
        <f>IFERROR(__xludf.DUMMYFUNCTION("""COMPUTED_VALUE"""),"allen institute")</f>
        <v>allen institute</v>
      </c>
      <c r="AC2697" s="42" t="str">
        <f>IFERROR(__xludf.DUMMYFUNCTION("""COMPUTED_VALUE"""),"DHBA")</f>
        <v>DHBA</v>
      </c>
      <c r="AD2697" s="42"/>
      <c r="AE2697" s="42"/>
      <c r="AF2697" s="9"/>
      <c r="AG2697" s="9"/>
      <c r="AH2697" s="42"/>
      <c r="AI2697" s="42"/>
      <c r="AJ2697" s="42"/>
      <c r="AK2697" s="42"/>
      <c r="AL2697" s="42"/>
      <c r="AM2697" s="42"/>
      <c r="AN2697" s="42"/>
      <c r="AO2697" s="63" t="str">
        <f>IFERROR(__xludf.DUMMYFUNCTION("IF(ISBLANK(A2697),,IF(ISBLANK(S2697), A2697&amp;"";"", TEXTJOIN(CHAR(10), TRUE, A2697&amp;"";"", ARRAYFORMULA(VLOOKUP(SPLIT(S2697, "";"" &amp; CHAR(10)), $A:$AO, 41, FALSE)))))"),"SubB;")</f>
        <v>SubB;</v>
      </c>
      <c r="AP2697" s="89"/>
    </row>
    <row r="2698">
      <c r="A2698" s="151" t="str">
        <f>IFERROR(__xludf.DUMMYFUNCTION("""COMPUTED_VALUE"""),"MTc")</f>
        <v>MTc</v>
      </c>
      <c r="B2698" s="42" t="str">
        <f>IFERROR(__xludf.DUMMYFUNCTION("""COMPUTED_VALUE"""),"DHBA")</f>
        <v>DHBA</v>
      </c>
      <c r="C2698" s="42" t="str">
        <f>IFERROR(__xludf.DUMMYFUNCTION("""COMPUTED_VALUE"""),"midbrain tectum")</f>
        <v>midbrain tectum</v>
      </c>
      <c r="D2698" s="42">
        <f>IFERROR(__xludf.DUMMYFUNCTION("""COMPUTED_VALUE"""),2573.0)</f>
        <v>2573</v>
      </c>
      <c r="E2698" s="39" t="str">
        <f>IFERROR(__xludf.DUMMYFUNCTION("""COMPUTED_VALUE"""),"midbrain tectum")</f>
        <v>midbrain tectum</v>
      </c>
      <c r="F2698" s="9" t="str">
        <f>IFERROR(__xludf.DUMMYFUNCTION("""COMPUTED_VALUE"""),"Br")</f>
        <v>Br</v>
      </c>
      <c r="G2698" s="9" t="str">
        <f>IFERROR(__xludf.DUMMYFUNCTION("""COMPUTED_VALUE"""),"M")</f>
        <v>M</v>
      </c>
      <c r="H2698" s="9" t="str">
        <f>IFERROR(__xludf.DUMMYFUNCTION("""COMPUTED_VALUE"""),"MGM")</f>
        <v>MGM</v>
      </c>
      <c r="I2698" s="9" t="str">
        <f>IFERROR(__xludf.DUMMYFUNCTION("""COMPUTED_VALUE"""),"MTc")</f>
        <v>MTc</v>
      </c>
      <c r="J2698" s="9"/>
      <c r="K2698" s="9"/>
      <c r="L2698" s="9"/>
      <c r="M2698" s="9"/>
      <c r="N2698" s="9"/>
      <c r="O2698" s="9"/>
      <c r="P2698" s="9"/>
      <c r="Q2698" s="9"/>
      <c r="R2698" s="9"/>
      <c r="S2698" s="42" t="str">
        <f>IFERROR(__xludf.DUMMYFUNCTION("""COMPUTED_VALUE"""),"SC;
IC;
ICN;
INPC;
MxTZ;
BrIC;
PBG;
Sag;
SCO")</f>
        <v>SC;
IC;
ICN;
INPC;
MxTZ;
BrIC;
PBG;
Sag;
SCO</v>
      </c>
      <c r="T2698" s="42"/>
      <c r="U2698" s="42" t="b">
        <f>IFERROR(__xludf.DUMMYFUNCTION("""COMPUTED_VALUE"""),FALSE)</f>
        <v>0</v>
      </c>
      <c r="V2698" s="42"/>
      <c r="W2698" s="42"/>
      <c r="X2698" s="42"/>
      <c r="Y2698" s="42"/>
      <c r="Z2698" s="42"/>
      <c r="AA2698" s="42"/>
      <c r="AB2698" s="42" t="str">
        <f>IFERROR(__xludf.DUMMYFUNCTION("""COMPUTED_VALUE"""),"allen institute")</f>
        <v>allen institute</v>
      </c>
      <c r="AC2698" s="42" t="str">
        <f>IFERROR(__xludf.DUMMYFUNCTION("""COMPUTED_VALUE"""),"DHBA")</f>
        <v>DHBA</v>
      </c>
      <c r="AD2698" s="42"/>
      <c r="AE2698" s="42"/>
      <c r="AF2698" s="9"/>
      <c r="AG2698" s="9"/>
      <c r="AH2698" s="42"/>
      <c r="AI2698" s="42"/>
      <c r="AJ2698" s="42"/>
      <c r="AK2698" s="42"/>
      <c r="AL2698" s="42"/>
      <c r="AM2698" s="42"/>
      <c r="AN2698" s="42"/>
      <c r="AO2698" s="63" t="str">
        <f>IFERROR(__xludf.DUMMYFUNCTION("IF(ISBLANK(A2698),,IF(ISBLANK(S2698), A2698&amp;"";"", TEXTJOIN(CHAR(10), TRUE, A2698&amp;"";"", ARRAYFORMULA(VLOOKUP(SPLIT(S2698, "";"" &amp; CHAR(10)), $A:$AO, 41, FALSE)))))"),"#N/A")</f>
        <v>#N/A</v>
      </c>
      <c r="AP2698" s="89"/>
    </row>
    <row r="2699">
      <c r="A2699" s="151" t="str">
        <f>IFERROR(__xludf.DUMMYFUNCTION("""COMPUTED_VALUE"""),"SC")</f>
        <v>SC</v>
      </c>
      <c r="B2699" s="42" t="str">
        <f>IFERROR(__xludf.DUMMYFUNCTION("""COMPUTED_VALUE"""),"DHBA")</f>
        <v>DHBA</v>
      </c>
      <c r="C2699" s="42" t="str">
        <f>IFERROR(__xludf.DUMMYFUNCTION("""COMPUTED_VALUE"""),"superior colliculus")</f>
        <v>superior colliculus</v>
      </c>
      <c r="D2699" s="42">
        <f>IFERROR(__xludf.DUMMYFUNCTION("""COMPUTED_VALUE"""),2574.0)</f>
        <v>2574</v>
      </c>
      <c r="E2699" s="39" t="str">
        <f>IFERROR(__xludf.DUMMYFUNCTION("""COMPUTED_VALUE"""),"superior colliculus")</f>
        <v>superior colliculus</v>
      </c>
      <c r="F2699" s="9" t="str">
        <f>IFERROR(__xludf.DUMMYFUNCTION("""COMPUTED_VALUE"""),"Br")</f>
        <v>Br</v>
      </c>
      <c r="G2699" s="9" t="str">
        <f>IFERROR(__xludf.DUMMYFUNCTION("""COMPUTED_VALUE"""),"M")</f>
        <v>M</v>
      </c>
      <c r="H2699" s="9" t="str">
        <f>IFERROR(__xludf.DUMMYFUNCTION("""COMPUTED_VALUE"""),"MGM")</f>
        <v>MGM</v>
      </c>
      <c r="I2699" s="9" t="str">
        <f>IFERROR(__xludf.DUMMYFUNCTION("""COMPUTED_VALUE"""),"MTc")</f>
        <v>MTc</v>
      </c>
      <c r="J2699" s="9" t="str">
        <f>IFERROR(__xludf.DUMMYFUNCTION("""COMPUTED_VALUE"""),"SC")</f>
        <v>SC</v>
      </c>
      <c r="K2699" s="9"/>
      <c r="L2699" s="9"/>
      <c r="M2699" s="9"/>
      <c r="N2699" s="9"/>
      <c r="O2699" s="9"/>
      <c r="P2699" s="9"/>
      <c r="Q2699" s="9"/>
      <c r="R2699" s="9"/>
      <c r="S2699" s="42" t="str">
        <f>IFERROR(__xludf.DUMMYFUNCTION("""COMPUTED_VALUE"""),"cSCS;
cSCI;
rSCS;
rSCI;
SCD;
SCS;
SCI;
BrSC")</f>
        <v>cSCS;
cSCI;
rSCS;
rSCI;
SCD;
SCS;
SCI;
BrSC</v>
      </c>
      <c r="T2699" s="42"/>
      <c r="U2699" s="42" t="b">
        <f>IFERROR(__xludf.DUMMYFUNCTION("""COMPUTED_VALUE"""),FALSE)</f>
        <v>0</v>
      </c>
      <c r="V2699" s="42"/>
      <c r="W2699" s="42" t="str">
        <f>IFERROR(__xludf.DUMMYFUNCTION("""COMPUTED_VALUE"""),"Excitatory")</f>
        <v>Excitatory</v>
      </c>
      <c r="X2699" s="42"/>
      <c r="Y2699" s="42"/>
      <c r="Z2699" s="42"/>
      <c r="AA2699" s="42"/>
      <c r="AB2699" s="42" t="str">
        <f>IFERROR(__xludf.DUMMYFUNCTION("""COMPUTED_VALUE"""),"allen institute")</f>
        <v>allen institute</v>
      </c>
      <c r="AC2699" s="42" t="str">
        <f>IFERROR(__xludf.DUMMYFUNCTION("""COMPUTED_VALUE"""),"DHBA")</f>
        <v>DHBA</v>
      </c>
      <c r="AD2699" s="42"/>
      <c r="AE2699" s="42"/>
      <c r="AF2699" s="9"/>
      <c r="AG2699" s="9"/>
      <c r="AH2699" s="42"/>
      <c r="AI2699" s="42"/>
      <c r="AJ2699" s="42"/>
      <c r="AK2699" s="42"/>
      <c r="AL2699" s="42"/>
      <c r="AM2699" s="42"/>
      <c r="AN2699" s="42"/>
      <c r="AO2699" s="63" t="str">
        <f>IFERROR(__xludf.DUMMYFUNCTION("IF(ISBLANK(A2699),,IF(ISBLANK(S2699), A2699&amp;"";"", TEXTJOIN(CHAR(10), TRUE, A2699&amp;"";"", ARRAYFORMULA(VLOOKUP(SPLIT(S2699, "";"" &amp; CHAR(10)), $A:$AO, 41, FALSE)))))"),"SC;
cSCS;
cSCI;
rSCS;
rSCI;
SCD;
SCDg;
SCDw;
SCS;
SCSon;
SCSg;
SCSw;
SCSz;
SCI;
SCIg;
SCIw;
BrSC;")</f>
        <v>SC;
cSCS;
cSCI;
rSCS;
rSCI;
SCD;
SCDg;
SCDw;
SCS;
SCSon;
SCSg;
SCSw;
SCSz;
SCI;
SCIg;
SCIw;
BrSC;</v>
      </c>
      <c r="AP2699" s="89"/>
    </row>
    <row r="2700">
      <c r="A2700" s="151" t="str">
        <f>IFERROR(__xludf.DUMMYFUNCTION("""COMPUTED_VALUE"""),"cSCI")</f>
        <v>cSCI</v>
      </c>
      <c r="B2700" s="42" t="str">
        <f>IFERROR(__xludf.DUMMYFUNCTION("""COMPUTED_VALUE"""),"makeshift")</f>
        <v>makeshift</v>
      </c>
      <c r="C2700" s="42" t="str">
        <f>IFERROR(__xludf.DUMMYFUNCTION("""COMPUTED_VALUE"""),"caudal parts of superior colliculus, intermediate layer")</f>
        <v>caudal parts of superior colliculus, intermediate layer</v>
      </c>
      <c r="D2700" s="42">
        <f>IFERROR(__xludf.DUMMYFUNCTION("""COMPUTED_VALUE"""),2574.1)</f>
        <v>2574.1</v>
      </c>
      <c r="E2700" s="39" t="str">
        <f>IFERROR(__xludf.DUMMYFUNCTION("""COMPUTED_VALUE"""),"")</f>
        <v/>
      </c>
      <c r="F2700" s="9" t="str">
        <f>IFERROR(__xludf.DUMMYFUNCTION("""COMPUTED_VALUE"""),"")</f>
        <v/>
      </c>
      <c r="G2700" s="9" t="str">
        <f>IFERROR(__xludf.DUMMYFUNCTION("""COMPUTED_VALUE"""),"")</f>
        <v/>
      </c>
      <c r="H2700" s="9" t="str">
        <f>IFERROR(__xludf.DUMMYFUNCTION("""COMPUTED_VALUE"""),"")</f>
        <v/>
      </c>
      <c r="I2700" s="9" t="str">
        <f>IFERROR(__xludf.DUMMYFUNCTION("""COMPUTED_VALUE"""),"")</f>
        <v/>
      </c>
      <c r="J2700" s="9" t="str">
        <f>IFERROR(__xludf.DUMMYFUNCTION("""COMPUTED_VALUE"""),"")</f>
        <v/>
      </c>
      <c r="K2700" s="9" t="str">
        <f>IFERROR(__xludf.DUMMYFUNCTION("""COMPUTED_VALUE"""),"")</f>
        <v/>
      </c>
      <c r="L2700" s="9" t="str">
        <f>IFERROR(__xludf.DUMMYFUNCTION("""COMPUTED_VALUE"""),"")</f>
        <v/>
      </c>
      <c r="M2700" s="9" t="str">
        <f>IFERROR(__xludf.DUMMYFUNCTION("""COMPUTED_VALUE"""),"")</f>
        <v/>
      </c>
      <c r="N2700" s="9" t="str">
        <f>IFERROR(__xludf.DUMMYFUNCTION("""COMPUTED_VALUE"""),"")</f>
        <v/>
      </c>
      <c r="O2700" s="9" t="str">
        <f>IFERROR(__xludf.DUMMYFUNCTION("""COMPUTED_VALUE"""),"")</f>
        <v/>
      </c>
      <c r="P2700" s="9" t="str">
        <f>IFERROR(__xludf.DUMMYFUNCTION("""COMPUTED_VALUE"""),"")</f>
        <v/>
      </c>
      <c r="Q2700" s="9" t="str">
        <f>IFERROR(__xludf.DUMMYFUNCTION("""COMPUTED_VALUE"""),"")</f>
        <v/>
      </c>
      <c r="R2700" s="9" t="str">
        <f>IFERROR(__xludf.DUMMYFUNCTION("""COMPUTED_VALUE"""),"")</f>
        <v/>
      </c>
      <c r="S2700" s="42"/>
      <c r="T2700" s="42"/>
      <c r="U2700" s="42" t="b">
        <f>IFERROR(__xludf.DUMMYFUNCTION("""COMPUTED_VALUE"""),TRUE)</f>
        <v>1</v>
      </c>
      <c r="V2700" s="42"/>
      <c r="W2700" s="42"/>
      <c r="X2700" s="42"/>
      <c r="Y2700" s="42"/>
      <c r="Z2700" s="42"/>
      <c r="AA2700" s="42"/>
      <c r="AB2700" s="42" t="str">
        <f>IFERROR(__xludf.DUMMYFUNCTION("""COMPUTED_VALUE"""),"Yoshimasa Tawatsuji")</f>
        <v>Yoshimasa Tawatsuji</v>
      </c>
      <c r="AC2700" s="42" t="str">
        <f>IFERROR(__xludf.DUMMYFUNCTION("""COMPUTED_VALUE"""),"YT20Oculomotor")</f>
        <v>YT20Oculomotor</v>
      </c>
      <c r="AD2700" s="42"/>
      <c r="AE2700" s="42"/>
      <c r="AF2700" s="9"/>
      <c r="AG2700" s="9"/>
      <c r="AH2700" s="42"/>
      <c r="AI2700" s="42"/>
      <c r="AJ2700" s="42"/>
      <c r="AK2700" s="42"/>
      <c r="AL2700" s="42"/>
      <c r="AM2700" s="42"/>
      <c r="AN2700" s="42"/>
      <c r="AO2700" s="63" t="str">
        <f>IFERROR(__xludf.DUMMYFUNCTION("IF(ISBLANK(A2700),,IF(ISBLANK(S2700), A2700&amp;"";"", TEXTJOIN(CHAR(10), TRUE, A2700&amp;"";"", ARRAYFORMULA(VLOOKUP(SPLIT(S2700, "";"" &amp; CHAR(10)), $A:$AO, 41, FALSE)))))"),"cSCI;")</f>
        <v>cSCI;</v>
      </c>
      <c r="AP2700" s="89"/>
    </row>
    <row r="2701">
      <c r="A2701" s="151" t="str">
        <f>IFERROR(__xludf.DUMMYFUNCTION("""COMPUTED_VALUE"""),"cSCS")</f>
        <v>cSCS</v>
      </c>
      <c r="B2701" s="42" t="str">
        <f>IFERROR(__xludf.DUMMYFUNCTION("""COMPUTED_VALUE"""),"makeshift")</f>
        <v>makeshift</v>
      </c>
      <c r="C2701" s="42" t="str">
        <f>IFERROR(__xludf.DUMMYFUNCTION("""COMPUTED_VALUE"""),"caudal parts of superior colliculus, superior layer")</f>
        <v>caudal parts of superior colliculus, superior layer</v>
      </c>
      <c r="D2701" s="42">
        <f>IFERROR(__xludf.DUMMYFUNCTION("""COMPUTED_VALUE"""),2574.1)</f>
        <v>2574.1</v>
      </c>
      <c r="E2701" s="39" t="str">
        <f>IFERROR(__xludf.DUMMYFUNCTION("""COMPUTED_VALUE"""),"")</f>
        <v/>
      </c>
      <c r="F2701" s="9" t="str">
        <f>IFERROR(__xludf.DUMMYFUNCTION("""COMPUTED_VALUE"""),"")</f>
        <v/>
      </c>
      <c r="G2701" s="9" t="str">
        <f>IFERROR(__xludf.DUMMYFUNCTION("""COMPUTED_VALUE"""),"")</f>
        <v/>
      </c>
      <c r="H2701" s="9" t="str">
        <f>IFERROR(__xludf.DUMMYFUNCTION("""COMPUTED_VALUE"""),"")</f>
        <v/>
      </c>
      <c r="I2701" s="9" t="str">
        <f>IFERROR(__xludf.DUMMYFUNCTION("""COMPUTED_VALUE"""),"")</f>
        <v/>
      </c>
      <c r="J2701" s="9" t="str">
        <f>IFERROR(__xludf.DUMMYFUNCTION("""COMPUTED_VALUE"""),"")</f>
        <v/>
      </c>
      <c r="K2701" s="9" t="str">
        <f>IFERROR(__xludf.DUMMYFUNCTION("""COMPUTED_VALUE"""),"")</f>
        <v/>
      </c>
      <c r="L2701" s="9" t="str">
        <f>IFERROR(__xludf.DUMMYFUNCTION("""COMPUTED_VALUE"""),"")</f>
        <v/>
      </c>
      <c r="M2701" s="9" t="str">
        <f>IFERROR(__xludf.DUMMYFUNCTION("""COMPUTED_VALUE"""),"")</f>
        <v/>
      </c>
      <c r="N2701" s="9" t="str">
        <f>IFERROR(__xludf.DUMMYFUNCTION("""COMPUTED_VALUE"""),"")</f>
        <v/>
      </c>
      <c r="O2701" s="9" t="str">
        <f>IFERROR(__xludf.DUMMYFUNCTION("""COMPUTED_VALUE"""),"")</f>
        <v/>
      </c>
      <c r="P2701" s="9" t="str">
        <f>IFERROR(__xludf.DUMMYFUNCTION("""COMPUTED_VALUE"""),"")</f>
        <v/>
      </c>
      <c r="Q2701" s="9" t="str">
        <f>IFERROR(__xludf.DUMMYFUNCTION("""COMPUTED_VALUE"""),"")</f>
        <v/>
      </c>
      <c r="R2701" s="9" t="str">
        <f>IFERROR(__xludf.DUMMYFUNCTION("""COMPUTED_VALUE"""),"")</f>
        <v/>
      </c>
      <c r="S2701" s="42"/>
      <c r="T2701" s="42"/>
      <c r="U2701" s="42" t="b">
        <f>IFERROR(__xludf.DUMMYFUNCTION("""COMPUTED_VALUE"""),TRUE)</f>
        <v>1</v>
      </c>
      <c r="V2701" s="42"/>
      <c r="W2701" s="42"/>
      <c r="X2701" s="42"/>
      <c r="Y2701" s="42"/>
      <c r="Z2701" s="42"/>
      <c r="AA2701" s="42"/>
      <c r="AB2701" s="42" t="str">
        <f>IFERROR(__xludf.DUMMYFUNCTION("""COMPUTED_VALUE"""),"Yoshimasa Tawatsuji")</f>
        <v>Yoshimasa Tawatsuji</v>
      </c>
      <c r="AC2701" s="42" t="str">
        <f>IFERROR(__xludf.DUMMYFUNCTION("""COMPUTED_VALUE"""),"YT20Oculomotor")</f>
        <v>YT20Oculomotor</v>
      </c>
      <c r="AD2701" s="42"/>
      <c r="AE2701" s="42"/>
      <c r="AF2701" s="9"/>
      <c r="AG2701" s="9"/>
      <c r="AH2701" s="42"/>
      <c r="AI2701" s="42"/>
      <c r="AJ2701" s="42"/>
      <c r="AK2701" s="42"/>
      <c r="AL2701" s="42"/>
      <c r="AM2701" s="42"/>
      <c r="AN2701" s="42"/>
      <c r="AO2701" s="63" t="str">
        <f>IFERROR(__xludf.DUMMYFUNCTION("IF(ISBLANK(A2701),,IF(ISBLANK(S2701), A2701&amp;"";"", TEXTJOIN(CHAR(10), TRUE, A2701&amp;"";"", ARRAYFORMULA(VLOOKUP(SPLIT(S2701, "";"" &amp; CHAR(10)), $A:$AO, 41, FALSE)))))"),"cSCS;")</f>
        <v>cSCS;</v>
      </c>
      <c r="AP2701" s="89"/>
    </row>
    <row r="2702">
      <c r="A2702" s="151" t="str">
        <f>IFERROR(__xludf.DUMMYFUNCTION("""COMPUTED_VALUE"""),"rSCI")</f>
        <v>rSCI</v>
      </c>
      <c r="B2702" s="42" t="str">
        <f>IFERROR(__xludf.DUMMYFUNCTION("""COMPUTED_VALUE"""),"makeshift")</f>
        <v>makeshift</v>
      </c>
      <c r="C2702" s="42" t="str">
        <f>IFERROR(__xludf.DUMMYFUNCTION("""COMPUTED_VALUE"""),"rostral parts of superior colliculus, intermediate layer")</f>
        <v>rostral parts of superior colliculus, intermediate layer</v>
      </c>
      <c r="D2702" s="42">
        <f>IFERROR(__xludf.DUMMYFUNCTION("""COMPUTED_VALUE"""),2574.1)</f>
        <v>2574.1</v>
      </c>
      <c r="E2702" s="39" t="str">
        <f>IFERROR(__xludf.DUMMYFUNCTION("""COMPUTED_VALUE"""),"")</f>
        <v/>
      </c>
      <c r="F2702" s="9" t="str">
        <f>IFERROR(__xludf.DUMMYFUNCTION("""COMPUTED_VALUE"""),"")</f>
        <v/>
      </c>
      <c r="G2702" s="9" t="str">
        <f>IFERROR(__xludf.DUMMYFUNCTION("""COMPUTED_VALUE"""),"")</f>
        <v/>
      </c>
      <c r="H2702" s="9" t="str">
        <f>IFERROR(__xludf.DUMMYFUNCTION("""COMPUTED_VALUE"""),"")</f>
        <v/>
      </c>
      <c r="I2702" s="9" t="str">
        <f>IFERROR(__xludf.DUMMYFUNCTION("""COMPUTED_VALUE"""),"")</f>
        <v/>
      </c>
      <c r="J2702" s="9" t="str">
        <f>IFERROR(__xludf.DUMMYFUNCTION("""COMPUTED_VALUE"""),"")</f>
        <v/>
      </c>
      <c r="K2702" s="9" t="str">
        <f>IFERROR(__xludf.DUMMYFUNCTION("""COMPUTED_VALUE"""),"")</f>
        <v/>
      </c>
      <c r="L2702" s="9" t="str">
        <f>IFERROR(__xludf.DUMMYFUNCTION("""COMPUTED_VALUE"""),"")</f>
        <v/>
      </c>
      <c r="M2702" s="9" t="str">
        <f>IFERROR(__xludf.DUMMYFUNCTION("""COMPUTED_VALUE"""),"")</f>
        <v/>
      </c>
      <c r="N2702" s="9" t="str">
        <f>IFERROR(__xludf.DUMMYFUNCTION("""COMPUTED_VALUE"""),"")</f>
        <v/>
      </c>
      <c r="O2702" s="9" t="str">
        <f>IFERROR(__xludf.DUMMYFUNCTION("""COMPUTED_VALUE"""),"")</f>
        <v/>
      </c>
      <c r="P2702" s="9" t="str">
        <f>IFERROR(__xludf.DUMMYFUNCTION("""COMPUTED_VALUE"""),"")</f>
        <v/>
      </c>
      <c r="Q2702" s="9" t="str">
        <f>IFERROR(__xludf.DUMMYFUNCTION("""COMPUTED_VALUE"""),"")</f>
        <v/>
      </c>
      <c r="R2702" s="9" t="str">
        <f>IFERROR(__xludf.DUMMYFUNCTION("""COMPUTED_VALUE"""),"")</f>
        <v/>
      </c>
      <c r="S2702" s="42"/>
      <c r="T2702" s="42"/>
      <c r="U2702" s="42" t="b">
        <f>IFERROR(__xludf.DUMMYFUNCTION("""COMPUTED_VALUE"""),TRUE)</f>
        <v>1</v>
      </c>
      <c r="V2702" s="42"/>
      <c r="W2702" s="42"/>
      <c r="X2702" s="42"/>
      <c r="Y2702" s="42"/>
      <c r="Z2702" s="42"/>
      <c r="AA2702" s="42"/>
      <c r="AB2702" s="42" t="str">
        <f>IFERROR(__xludf.DUMMYFUNCTION("""COMPUTED_VALUE"""),"Yoshimasa Tawatsuji")</f>
        <v>Yoshimasa Tawatsuji</v>
      </c>
      <c r="AC2702" s="42" t="str">
        <f>IFERROR(__xludf.DUMMYFUNCTION("""COMPUTED_VALUE"""),"YT20Oculomotor")</f>
        <v>YT20Oculomotor</v>
      </c>
      <c r="AD2702" s="42"/>
      <c r="AE2702" s="42"/>
      <c r="AF2702" s="9"/>
      <c r="AG2702" s="9"/>
      <c r="AH2702" s="42"/>
      <c r="AI2702" s="42"/>
      <c r="AJ2702" s="42"/>
      <c r="AK2702" s="42"/>
      <c r="AL2702" s="42"/>
      <c r="AM2702" s="42"/>
      <c r="AN2702" s="42"/>
      <c r="AO2702" s="63" t="str">
        <f>IFERROR(__xludf.DUMMYFUNCTION("IF(ISBLANK(A2702),,IF(ISBLANK(S2702), A2702&amp;"";"", TEXTJOIN(CHAR(10), TRUE, A2702&amp;"";"", ARRAYFORMULA(VLOOKUP(SPLIT(S2702, "";"" &amp; CHAR(10)), $A:$AO, 41, FALSE)))))"),"rSCI;")</f>
        <v>rSCI;</v>
      </c>
      <c r="AP2702" s="89"/>
    </row>
    <row r="2703">
      <c r="A2703" s="151" t="str">
        <f>IFERROR(__xludf.DUMMYFUNCTION("""COMPUTED_VALUE"""),"rSCS")</f>
        <v>rSCS</v>
      </c>
      <c r="B2703" s="42" t="str">
        <f>IFERROR(__xludf.DUMMYFUNCTION("""COMPUTED_VALUE"""),"makeshift")</f>
        <v>makeshift</v>
      </c>
      <c r="C2703" s="42" t="str">
        <f>IFERROR(__xludf.DUMMYFUNCTION("""COMPUTED_VALUE"""),"rostral parts of superior colliculus, superior layer")</f>
        <v>rostral parts of superior colliculus, superior layer</v>
      </c>
      <c r="D2703" s="42">
        <f>IFERROR(__xludf.DUMMYFUNCTION("""COMPUTED_VALUE"""),2574.1)</f>
        <v>2574.1</v>
      </c>
      <c r="E2703" s="39" t="str">
        <f>IFERROR(__xludf.DUMMYFUNCTION("""COMPUTED_VALUE"""),"")</f>
        <v/>
      </c>
      <c r="F2703" s="9" t="str">
        <f>IFERROR(__xludf.DUMMYFUNCTION("""COMPUTED_VALUE"""),"")</f>
        <v/>
      </c>
      <c r="G2703" s="9" t="str">
        <f>IFERROR(__xludf.DUMMYFUNCTION("""COMPUTED_VALUE"""),"")</f>
        <v/>
      </c>
      <c r="H2703" s="9" t="str">
        <f>IFERROR(__xludf.DUMMYFUNCTION("""COMPUTED_VALUE"""),"")</f>
        <v/>
      </c>
      <c r="I2703" s="9" t="str">
        <f>IFERROR(__xludf.DUMMYFUNCTION("""COMPUTED_VALUE"""),"")</f>
        <v/>
      </c>
      <c r="J2703" s="9" t="str">
        <f>IFERROR(__xludf.DUMMYFUNCTION("""COMPUTED_VALUE"""),"")</f>
        <v/>
      </c>
      <c r="K2703" s="9" t="str">
        <f>IFERROR(__xludf.DUMMYFUNCTION("""COMPUTED_VALUE"""),"")</f>
        <v/>
      </c>
      <c r="L2703" s="9" t="str">
        <f>IFERROR(__xludf.DUMMYFUNCTION("""COMPUTED_VALUE"""),"")</f>
        <v/>
      </c>
      <c r="M2703" s="9" t="str">
        <f>IFERROR(__xludf.DUMMYFUNCTION("""COMPUTED_VALUE"""),"")</f>
        <v/>
      </c>
      <c r="N2703" s="9" t="str">
        <f>IFERROR(__xludf.DUMMYFUNCTION("""COMPUTED_VALUE"""),"")</f>
        <v/>
      </c>
      <c r="O2703" s="9" t="str">
        <f>IFERROR(__xludf.DUMMYFUNCTION("""COMPUTED_VALUE"""),"")</f>
        <v/>
      </c>
      <c r="P2703" s="9" t="str">
        <f>IFERROR(__xludf.DUMMYFUNCTION("""COMPUTED_VALUE"""),"")</f>
        <v/>
      </c>
      <c r="Q2703" s="9" t="str">
        <f>IFERROR(__xludf.DUMMYFUNCTION("""COMPUTED_VALUE"""),"")</f>
        <v/>
      </c>
      <c r="R2703" s="9" t="str">
        <f>IFERROR(__xludf.DUMMYFUNCTION("""COMPUTED_VALUE"""),"")</f>
        <v/>
      </c>
      <c r="S2703" s="42"/>
      <c r="T2703" s="42"/>
      <c r="U2703" s="42" t="b">
        <f>IFERROR(__xludf.DUMMYFUNCTION("""COMPUTED_VALUE"""),TRUE)</f>
        <v>1</v>
      </c>
      <c r="V2703" s="42"/>
      <c r="W2703" s="42"/>
      <c r="X2703" s="42"/>
      <c r="Y2703" s="42"/>
      <c r="Z2703" s="42"/>
      <c r="AA2703" s="42"/>
      <c r="AB2703" s="42" t="str">
        <f>IFERROR(__xludf.DUMMYFUNCTION("""COMPUTED_VALUE"""),"Yoshimasa Tawatsuji")</f>
        <v>Yoshimasa Tawatsuji</v>
      </c>
      <c r="AC2703" s="42" t="str">
        <f>IFERROR(__xludf.DUMMYFUNCTION("""COMPUTED_VALUE"""),"YT20Oculomotor")</f>
        <v>YT20Oculomotor</v>
      </c>
      <c r="AD2703" s="42"/>
      <c r="AE2703" s="42"/>
      <c r="AF2703" s="9"/>
      <c r="AG2703" s="9"/>
      <c r="AH2703" s="42"/>
      <c r="AI2703" s="42"/>
      <c r="AJ2703" s="42"/>
      <c r="AK2703" s="42"/>
      <c r="AL2703" s="42"/>
      <c r="AM2703" s="42"/>
      <c r="AN2703" s="42"/>
      <c r="AO2703" s="63" t="str">
        <f>IFERROR(__xludf.DUMMYFUNCTION("IF(ISBLANK(A2703),,IF(ISBLANK(S2703), A2703&amp;"";"", TEXTJOIN(CHAR(10), TRUE, A2703&amp;"";"", ARRAYFORMULA(VLOOKUP(SPLIT(S2703, "";"" &amp; CHAR(10)), $A:$AO, 41, FALSE)))))"),"rSCS;")</f>
        <v>rSCS;</v>
      </c>
      <c r="AP2703" s="89"/>
    </row>
    <row r="2704">
      <c r="A2704" s="151" t="str">
        <f>IFERROR(__xludf.DUMMYFUNCTION("""COMPUTED_VALUE"""),"SCS")</f>
        <v>SCS</v>
      </c>
      <c r="B2704" s="42" t="str">
        <f>IFERROR(__xludf.DUMMYFUNCTION("""COMPUTED_VALUE"""),"DHBA")</f>
        <v>DHBA</v>
      </c>
      <c r="C2704" s="42" t="str">
        <f>IFERROR(__xludf.DUMMYFUNCTION("""COMPUTED_VALUE"""),"Superficial layer of superior colliculus")</f>
        <v>Superficial layer of superior colliculus</v>
      </c>
      <c r="D2704" s="42">
        <f>IFERROR(__xludf.DUMMYFUNCTION("""COMPUTED_VALUE"""),2575.0)</f>
        <v>2575</v>
      </c>
      <c r="E2704" s="39" t="str">
        <f>IFERROR(__xludf.DUMMYFUNCTION("""COMPUTED_VALUE"""),"superficial layer of superior colliculus")</f>
        <v>superficial layer of superior colliculus</v>
      </c>
      <c r="F2704" s="9" t="str">
        <f>IFERROR(__xludf.DUMMYFUNCTION("""COMPUTED_VALUE"""),"Br")</f>
        <v>Br</v>
      </c>
      <c r="G2704" s="9" t="str">
        <f>IFERROR(__xludf.DUMMYFUNCTION("""COMPUTED_VALUE"""),"M")</f>
        <v>M</v>
      </c>
      <c r="H2704" s="9" t="str">
        <f>IFERROR(__xludf.DUMMYFUNCTION("""COMPUTED_VALUE"""),"MGM")</f>
        <v>MGM</v>
      </c>
      <c r="I2704" s="9" t="str">
        <f>IFERROR(__xludf.DUMMYFUNCTION("""COMPUTED_VALUE"""),"MTc")</f>
        <v>MTc</v>
      </c>
      <c r="J2704" s="9" t="str">
        <f>IFERROR(__xludf.DUMMYFUNCTION("""COMPUTED_VALUE"""),"SC")</f>
        <v>SC</v>
      </c>
      <c r="K2704" s="9" t="str">
        <f>IFERROR(__xludf.DUMMYFUNCTION("""COMPUTED_VALUE"""),"SCS")</f>
        <v>SCS</v>
      </c>
      <c r="L2704" s="9"/>
      <c r="M2704" s="9"/>
      <c r="N2704" s="9"/>
      <c r="O2704" s="9"/>
      <c r="P2704" s="9"/>
      <c r="Q2704" s="9"/>
      <c r="R2704" s="9"/>
      <c r="S2704" s="42" t="str">
        <f>IFERROR(__xludf.DUMMYFUNCTION("""COMPUTED_VALUE"""),"SCSon;
SCSg;
SCSw;
SCSz")</f>
        <v>SCSon;
SCSg;
SCSw;
SCSz</v>
      </c>
      <c r="T2704" s="42"/>
      <c r="U2704" s="42" t="b">
        <f>IFERROR(__xludf.DUMMYFUNCTION("""COMPUTED_VALUE"""),FALSE)</f>
        <v>0</v>
      </c>
      <c r="V2704" s="42"/>
      <c r="W2704" s="42"/>
      <c r="X2704" s="42"/>
      <c r="Y2704" s="42" t="str">
        <f>IFERROR(__xludf.DUMMYFUNCTION("""COMPUTED_VALUE"""),"feature selectivity for orientation and direction")</f>
        <v>feature selectivity for orientation and direction</v>
      </c>
      <c r="Z2704" s="42"/>
      <c r="AA2704" s="42"/>
      <c r="AB2704" s="42" t="str">
        <f>IFERROR(__xludf.DUMMYFUNCTION("""COMPUTED_VALUE"""),"allen institute")</f>
        <v>allen institute</v>
      </c>
      <c r="AC2704" s="42" t="str">
        <f>IFERROR(__xludf.DUMMYFUNCTION("""COMPUTED_VALUE"""),"DHBA")</f>
        <v>DHBA</v>
      </c>
      <c r="AD2704" s="42"/>
      <c r="AE2704" s="42"/>
      <c r="AF2704" s="9"/>
      <c r="AG2704" s="9"/>
      <c r="AH2704" s="42"/>
      <c r="AI2704" s="42"/>
      <c r="AJ2704" s="42"/>
      <c r="AK2704" s="42"/>
      <c r="AL2704" s="42"/>
      <c r="AM2704" s="42"/>
      <c r="AN2704" s="42"/>
      <c r="AO2704" s="63" t="str">
        <f>IFERROR(__xludf.DUMMYFUNCTION("IF(ISBLANK(A2704),,IF(ISBLANK(S2704), A2704&amp;"";"", TEXTJOIN(CHAR(10), TRUE, A2704&amp;"";"", ARRAYFORMULA(VLOOKUP(SPLIT(S2704, "";"" &amp; CHAR(10)), $A:$AO, 41, FALSE)))))"),"SCS;
SCSon;
SCSg;
SCSw;
SCSz;")</f>
        <v>SCS;
SCSon;
SCSg;
SCSw;
SCSz;</v>
      </c>
      <c r="AP2704" s="89"/>
    </row>
    <row r="2705">
      <c r="A2705" s="151" t="str">
        <f>IFERROR(__xludf.DUMMYFUNCTION("""COMPUTED_VALUE"""),"SCSon")</f>
        <v>SCSon</v>
      </c>
      <c r="B2705" s="42" t="str">
        <f>IFERROR(__xludf.DUMMYFUNCTION("""COMPUTED_VALUE"""),"DHBA")</f>
        <v>DHBA</v>
      </c>
      <c r="C2705" s="42" t="str">
        <f>IFERROR(__xludf.DUMMYFUNCTION("""COMPUTED_VALUE"""),"optic nerve layer of superior colliculus")</f>
        <v>optic nerve layer of superior colliculus</v>
      </c>
      <c r="D2705" s="42">
        <f>IFERROR(__xludf.DUMMYFUNCTION("""COMPUTED_VALUE"""),2576.0)</f>
        <v>2576</v>
      </c>
      <c r="E2705" s="39" t="str">
        <f>IFERROR(__xludf.DUMMYFUNCTION("""COMPUTED_VALUE"""),"optic nerve layer of superior colliculus")</f>
        <v>optic nerve layer of superior colliculus</v>
      </c>
      <c r="F2705" s="9" t="str">
        <f>IFERROR(__xludf.DUMMYFUNCTION("""COMPUTED_VALUE"""),"Br")</f>
        <v>Br</v>
      </c>
      <c r="G2705" s="9" t="str">
        <f>IFERROR(__xludf.DUMMYFUNCTION("""COMPUTED_VALUE"""),"M")</f>
        <v>M</v>
      </c>
      <c r="H2705" s="9" t="str">
        <f>IFERROR(__xludf.DUMMYFUNCTION("""COMPUTED_VALUE"""),"MGM")</f>
        <v>MGM</v>
      </c>
      <c r="I2705" s="9" t="str">
        <f>IFERROR(__xludf.DUMMYFUNCTION("""COMPUTED_VALUE"""),"MTc")</f>
        <v>MTc</v>
      </c>
      <c r="J2705" s="9" t="str">
        <f>IFERROR(__xludf.DUMMYFUNCTION("""COMPUTED_VALUE"""),"SC")</f>
        <v>SC</v>
      </c>
      <c r="K2705" s="9" t="str">
        <f>IFERROR(__xludf.DUMMYFUNCTION("""COMPUTED_VALUE"""),"SCS")</f>
        <v>SCS</v>
      </c>
      <c r="L2705" s="9" t="str">
        <f>IFERROR(__xludf.DUMMYFUNCTION("""COMPUTED_VALUE"""),"SCSon")</f>
        <v>SCSon</v>
      </c>
      <c r="M2705" s="9"/>
      <c r="N2705" s="9"/>
      <c r="O2705" s="9"/>
      <c r="P2705" s="9"/>
      <c r="Q2705" s="9"/>
      <c r="R2705" s="9"/>
      <c r="S2705" s="42"/>
      <c r="T2705" s="42"/>
      <c r="U2705" s="42"/>
      <c r="V2705" s="42"/>
      <c r="W2705" s="42"/>
      <c r="X2705" s="42"/>
      <c r="Y2705" s="42"/>
      <c r="Z2705" s="42"/>
      <c r="AA2705" s="42"/>
      <c r="AB2705" s="42" t="str">
        <f>IFERROR(__xludf.DUMMYFUNCTION("""COMPUTED_VALUE"""),"allen institute")</f>
        <v>allen institute</v>
      </c>
      <c r="AC2705" s="42" t="str">
        <f>IFERROR(__xludf.DUMMYFUNCTION("""COMPUTED_VALUE"""),"DHBA")</f>
        <v>DHBA</v>
      </c>
      <c r="AD2705" s="42"/>
      <c r="AE2705" s="42"/>
      <c r="AF2705" s="9"/>
      <c r="AG2705" s="9"/>
      <c r="AH2705" s="42"/>
      <c r="AI2705" s="42"/>
      <c r="AJ2705" s="42"/>
      <c r="AK2705" s="42"/>
      <c r="AL2705" s="42"/>
      <c r="AM2705" s="42"/>
      <c r="AN2705" s="42"/>
      <c r="AO2705" s="63" t="str">
        <f>IFERROR(__xludf.DUMMYFUNCTION("IF(ISBLANK(A2705),,IF(ISBLANK(S2705), A2705&amp;"";"", TEXTJOIN(CHAR(10), TRUE, A2705&amp;"";"", ARRAYFORMULA(VLOOKUP(SPLIT(S2705, "";"" &amp; CHAR(10)), $A:$AO, 41, FALSE)))))"),"SCSon;")</f>
        <v>SCSon;</v>
      </c>
      <c r="AP2705" s="89"/>
    </row>
    <row r="2706">
      <c r="A2706" s="151" t="str">
        <f>IFERROR(__xludf.DUMMYFUNCTION("""COMPUTED_VALUE"""),"SCSg")</f>
        <v>SCSg</v>
      </c>
      <c r="B2706" s="42" t="str">
        <f>IFERROR(__xludf.DUMMYFUNCTION("""COMPUTED_VALUE"""),"DHBA")</f>
        <v>DHBA</v>
      </c>
      <c r="C2706" s="42" t="str">
        <f>IFERROR(__xludf.DUMMYFUNCTION("""COMPUTED_VALUE"""),"superficial gray layer of superior colliculus")</f>
        <v>superficial gray layer of superior colliculus</v>
      </c>
      <c r="D2706" s="42">
        <f>IFERROR(__xludf.DUMMYFUNCTION("""COMPUTED_VALUE"""),2577.0)</f>
        <v>2577</v>
      </c>
      <c r="E2706" s="39" t="str">
        <f>IFERROR(__xludf.DUMMYFUNCTION("""COMPUTED_VALUE"""),"superficial gray layer of superior colliculus")</f>
        <v>superficial gray layer of superior colliculus</v>
      </c>
      <c r="F2706" s="9" t="str">
        <f>IFERROR(__xludf.DUMMYFUNCTION("""COMPUTED_VALUE"""),"Br")</f>
        <v>Br</v>
      </c>
      <c r="G2706" s="9" t="str">
        <f>IFERROR(__xludf.DUMMYFUNCTION("""COMPUTED_VALUE"""),"M")</f>
        <v>M</v>
      </c>
      <c r="H2706" s="9" t="str">
        <f>IFERROR(__xludf.DUMMYFUNCTION("""COMPUTED_VALUE"""),"MGM")</f>
        <v>MGM</v>
      </c>
      <c r="I2706" s="9" t="str">
        <f>IFERROR(__xludf.DUMMYFUNCTION("""COMPUTED_VALUE"""),"MTc")</f>
        <v>MTc</v>
      </c>
      <c r="J2706" s="9" t="str">
        <f>IFERROR(__xludf.DUMMYFUNCTION("""COMPUTED_VALUE"""),"SC")</f>
        <v>SC</v>
      </c>
      <c r="K2706" s="9" t="str">
        <f>IFERROR(__xludf.DUMMYFUNCTION("""COMPUTED_VALUE"""),"SCS")</f>
        <v>SCS</v>
      </c>
      <c r="L2706" s="9" t="str">
        <f>IFERROR(__xludf.DUMMYFUNCTION("""COMPUTED_VALUE"""),"SCSg")</f>
        <v>SCSg</v>
      </c>
      <c r="M2706" s="9"/>
      <c r="N2706" s="9"/>
      <c r="O2706" s="9"/>
      <c r="P2706" s="9"/>
      <c r="Q2706" s="9"/>
      <c r="R2706" s="9"/>
      <c r="S2706" s="42"/>
      <c r="T2706" s="42"/>
      <c r="U2706" s="42"/>
      <c r="V2706" s="42"/>
      <c r="W2706" s="42"/>
      <c r="X2706" s="42"/>
      <c r="Y2706" s="42"/>
      <c r="Z2706" s="42"/>
      <c r="AA2706" s="42"/>
      <c r="AB2706" s="42" t="str">
        <f>IFERROR(__xludf.DUMMYFUNCTION("""COMPUTED_VALUE"""),"allen institute")</f>
        <v>allen institute</v>
      </c>
      <c r="AC2706" s="42" t="str">
        <f>IFERROR(__xludf.DUMMYFUNCTION("""COMPUTED_VALUE"""),"DHBA")</f>
        <v>DHBA</v>
      </c>
      <c r="AD2706" s="42"/>
      <c r="AE2706" s="42"/>
      <c r="AF2706" s="9"/>
      <c r="AG2706" s="9"/>
      <c r="AH2706" s="42"/>
      <c r="AI2706" s="42"/>
      <c r="AJ2706" s="42"/>
      <c r="AK2706" s="42"/>
      <c r="AL2706" s="42"/>
      <c r="AM2706" s="42"/>
      <c r="AN2706" s="42"/>
      <c r="AO2706" s="63" t="str">
        <f>IFERROR(__xludf.DUMMYFUNCTION("IF(ISBLANK(A2706),,IF(ISBLANK(S2706), A2706&amp;"";"", TEXTJOIN(CHAR(10), TRUE, A2706&amp;"";"", ARRAYFORMULA(VLOOKUP(SPLIT(S2706, "";"" &amp; CHAR(10)), $A:$AO, 41, FALSE)))))"),"SCSg;")</f>
        <v>SCSg;</v>
      </c>
      <c r="AP2706" s="89"/>
    </row>
    <row r="2707">
      <c r="A2707" s="151" t="str">
        <f>IFERROR(__xludf.DUMMYFUNCTION("""COMPUTED_VALUE"""),"SCSw")</f>
        <v>SCSw</v>
      </c>
      <c r="B2707" s="42" t="str">
        <f>IFERROR(__xludf.DUMMYFUNCTION("""COMPUTED_VALUE"""),"DHBA")</f>
        <v>DHBA</v>
      </c>
      <c r="C2707" s="42" t="str">
        <f>IFERROR(__xludf.DUMMYFUNCTION("""COMPUTED_VALUE"""),"superficial white layer of superior colliculus")</f>
        <v>superficial white layer of superior colliculus</v>
      </c>
      <c r="D2707" s="42">
        <f>IFERROR(__xludf.DUMMYFUNCTION("""COMPUTED_VALUE"""),2578.0)</f>
        <v>2578</v>
      </c>
      <c r="E2707" s="39" t="str">
        <f>IFERROR(__xludf.DUMMYFUNCTION("""COMPUTED_VALUE"""),"superficial white layer of superior colliculus")</f>
        <v>superficial white layer of superior colliculus</v>
      </c>
      <c r="F2707" s="9" t="str">
        <f>IFERROR(__xludf.DUMMYFUNCTION("""COMPUTED_VALUE"""),"Br")</f>
        <v>Br</v>
      </c>
      <c r="G2707" s="9" t="str">
        <f>IFERROR(__xludf.DUMMYFUNCTION("""COMPUTED_VALUE"""),"M")</f>
        <v>M</v>
      </c>
      <c r="H2707" s="9" t="str">
        <f>IFERROR(__xludf.DUMMYFUNCTION("""COMPUTED_VALUE"""),"MGM")</f>
        <v>MGM</v>
      </c>
      <c r="I2707" s="9" t="str">
        <f>IFERROR(__xludf.DUMMYFUNCTION("""COMPUTED_VALUE"""),"MTc")</f>
        <v>MTc</v>
      </c>
      <c r="J2707" s="9" t="str">
        <f>IFERROR(__xludf.DUMMYFUNCTION("""COMPUTED_VALUE"""),"SC")</f>
        <v>SC</v>
      </c>
      <c r="K2707" s="9" t="str">
        <f>IFERROR(__xludf.DUMMYFUNCTION("""COMPUTED_VALUE"""),"SCS")</f>
        <v>SCS</v>
      </c>
      <c r="L2707" s="9" t="str">
        <f>IFERROR(__xludf.DUMMYFUNCTION("""COMPUTED_VALUE"""),"SCSw")</f>
        <v>SCSw</v>
      </c>
      <c r="M2707" s="9"/>
      <c r="N2707" s="9"/>
      <c r="O2707" s="9"/>
      <c r="P2707" s="9"/>
      <c r="Q2707" s="9"/>
      <c r="R2707" s="9"/>
      <c r="S2707" s="42"/>
      <c r="T2707" s="42"/>
      <c r="U2707" s="42"/>
      <c r="V2707" s="42"/>
      <c r="W2707" s="42"/>
      <c r="X2707" s="42"/>
      <c r="Y2707" s="42"/>
      <c r="Z2707" s="42"/>
      <c r="AA2707" s="42"/>
      <c r="AB2707" s="42" t="str">
        <f>IFERROR(__xludf.DUMMYFUNCTION("""COMPUTED_VALUE"""),"allen institute")</f>
        <v>allen institute</v>
      </c>
      <c r="AC2707" s="42" t="str">
        <f>IFERROR(__xludf.DUMMYFUNCTION("""COMPUTED_VALUE"""),"DHBA")</f>
        <v>DHBA</v>
      </c>
      <c r="AD2707" s="42"/>
      <c r="AE2707" s="42"/>
      <c r="AF2707" s="9"/>
      <c r="AG2707" s="9"/>
      <c r="AH2707" s="42"/>
      <c r="AI2707" s="42"/>
      <c r="AJ2707" s="42"/>
      <c r="AK2707" s="42"/>
      <c r="AL2707" s="42"/>
      <c r="AM2707" s="42"/>
      <c r="AN2707" s="42"/>
      <c r="AO2707" s="63" t="str">
        <f>IFERROR(__xludf.DUMMYFUNCTION("IF(ISBLANK(A2707),,IF(ISBLANK(S2707), A2707&amp;"";"", TEXTJOIN(CHAR(10), TRUE, A2707&amp;"";"", ARRAYFORMULA(VLOOKUP(SPLIT(S2707, "";"" &amp; CHAR(10)), $A:$AO, 41, FALSE)))))"),"SCSw;")</f>
        <v>SCSw;</v>
      </c>
      <c r="AP2707" s="89"/>
    </row>
    <row r="2708">
      <c r="A2708" s="151" t="str">
        <f>IFERROR(__xludf.DUMMYFUNCTION("""COMPUTED_VALUE"""),"SCSz")</f>
        <v>SCSz</v>
      </c>
      <c r="B2708" s="42" t="str">
        <f>IFERROR(__xludf.DUMMYFUNCTION("""COMPUTED_VALUE"""),"DHBA")</f>
        <v>DHBA</v>
      </c>
      <c r="C2708" s="42" t="str">
        <f>IFERROR(__xludf.DUMMYFUNCTION("""COMPUTED_VALUE"""),"zonal layer of superior colliculus")</f>
        <v>zonal layer of superior colliculus</v>
      </c>
      <c r="D2708" s="42">
        <f>IFERROR(__xludf.DUMMYFUNCTION("""COMPUTED_VALUE"""),2579.0)</f>
        <v>2579</v>
      </c>
      <c r="E2708" s="39" t="str">
        <f>IFERROR(__xludf.DUMMYFUNCTION("""COMPUTED_VALUE"""),"zonal layer of superior colliculus")</f>
        <v>zonal layer of superior colliculus</v>
      </c>
      <c r="F2708" s="9" t="str">
        <f>IFERROR(__xludf.DUMMYFUNCTION("""COMPUTED_VALUE"""),"Br")</f>
        <v>Br</v>
      </c>
      <c r="G2708" s="9" t="str">
        <f>IFERROR(__xludf.DUMMYFUNCTION("""COMPUTED_VALUE"""),"M")</f>
        <v>M</v>
      </c>
      <c r="H2708" s="9" t="str">
        <f>IFERROR(__xludf.DUMMYFUNCTION("""COMPUTED_VALUE"""),"MGM")</f>
        <v>MGM</v>
      </c>
      <c r="I2708" s="9" t="str">
        <f>IFERROR(__xludf.DUMMYFUNCTION("""COMPUTED_VALUE"""),"MTc")</f>
        <v>MTc</v>
      </c>
      <c r="J2708" s="9" t="str">
        <f>IFERROR(__xludf.DUMMYFUNCTION("""COMPUTED_VALUE"""),"SC")</f>
        <v>SC</v>
      </c>
      <c r="K2708" s="9" t="str">
        <f>IFERROR(__xludf.DUMMYFUNCTION("""COMPUTED_VALUE"""),"SCS")</f>
        <v>SCS</v>
      </c>
      <c r="L2708" s="9" t="str">
        <f>IFERROR(__xludf.DUMMYFUNCTION("""COMPUTED_VALUE"""),"SCSz")</f>
        <v>SCSz</v>
      </c>
      <c r="M2708" s="9"/>
      <c r="N2708" s="9"/>
      <c r="O2708" s="9"/>
      <c r="P2708" s="9"/>
      <c r="Q2708" s="9"/>
      <c r="R2708" s="9"/>
      <c r="S2708" s="42"/>
      <c r="T2708" s="42"/>
      <c r="U2708" s="42"/>
      <c r="V2708" s="42"/>
      <c r="W2708" s="42"/>
      <c r="X2708" s="42"/>
      <c r="Y2708" s="42"/>
      <c r="Z2708" s="42"/>
      <c r="AA2708" s="42"/>
      <c r="AB2708" s="42" t="str">
        <f>IFERROR(__xludf.DUMMYFUNCTION("""COMPUTED_VALUE"""),"allen institute")</f>
        <v>allen institute</v>
      </c>
      <c r="AC2708" s="42" t="str">
        <f>IFERROR(__xludf.DUMMYFUNCTION("""COMPUTED_VALUE"""),"DHBA")</f>
        <v>DHBA</v>
      </c>
      <c r="AD2708" s="42"/>
      <c r="AE2708" s="42"/>
      <c r="AF2708" s="9"/>
      <c r="AG2708" s="9"/>
      <c r="AH2708" s="42"/>
      <c r="AI2708" s="42"/>
      <c r="AJ2708" s="42"/>
      <c r="AK2708" s="42"/>
      <c r="AL2708" s="42"/>
      <c r="AM2708" s="42"/>
      <c r="AN2708" s="42"/>
      <c r="AO2708" s="63" t="str">
        <f>IFERROR(__xludf.DUMMYFUNCTION("IF(ISBLANK(A2708),,IF(ISBLANK(S2708), A2708&amp;"";"", TEXTJOIN(CHAR(10), TRUE, A2708&amp;"";"", ARRAYFORMULA(VLOOKUP(SPLIT(S2708, "";"" &amp; CHAR(10)), $A:$AO, 41, FALSE)))))"),"SCSz;")</f>
        <v>SCSz;</v>
      </c>
      <c r="AP2708" s="89"/>
    </row>
    <row r="2709">
      <c r="A2709" s="151" t="str">
        <f>IFERROR(__xludf.DUMMYFUNCTION("""COMPUTED_VALUE"""),"SCI")</f>
        <v>SCI</v>
      </c>
      <c r="B2709" s="42" t="str">
        <f>IFERROR(__xludf.DUMMYFUNCTION("""COMPUTED_VALUE"""),"DHBA")</f>
        <v>DHBA</v>
      </c>
      <c r="C2709" s="42" t="str">
        <f>IFERROR(__xludf.DUMMYFUNCTION("""COMPUTED_VALUE"""),"Intermediage layer of the superior colliculus")</f>
        <v>Intermediage layer of the superior colliculus</v>
      </c>
      <c r="D2709" s="42">
        <f>IFERROR(__xludf.DUMMYFUNCTION("""COMPUTED_VALUE"""),2580.0)</f>
        <v>2580</v>
      </c>
      <c r="E2709" s="39" t="str">
        <f>IFERROR(__xludf.DUMMYFUNCTION("""COMPUTED_VALUE"""),"intermediate layer of the superior colliculus")</f>
        <v>intermediate layer of the superior colliculus</v>
      </c>
      <c r="F2709" s="9" t="str">
        <f>IFERROR(__xludf.DUMMYFUNCTION("""COMPUTED_VALUE"""),"Br")</f>
        <v>Br</v>
      </c>
      <c r="G2709" s="9" t="str">
        <f>IFERROR(__xludf.DUMMYFUNCTION("""COMPUTED_VALUE"""),"M")</f>
        <v>M</v>
      </c>
      <c r="H2709" s="9" t="str">
        <f>IFERROR(__xludf.DUMMYFUNCTION("""COMPUTED_VALUE"""),"MGM")</f>
        <v>MGM</v>
      </c>
      <c r="I2709" s="9" t="str">
        <f>IFERROR(__xludf.DUMMYFUNCTION("""COMPUTED_VALUE"""),"MTc")</f>
        <v>MTc</v>
      </c>
      <c r="J2709" s="9" t="str">
        <f>IFERROR(__xludf.DUMMYFUNCTION("""COMPUTED_VALUE"""),"SC")</f>
        <v>SC</v>
      </c>
      <c r="K2709" s="9" t="str">
        <f>IFERROR(__xludf.DUMMYFUNCTION("""COMPUTED_VALUE"""),"SCI")</f>
        <v>SCI</v>
      </c>
      <c r="L2709" s="9"/>
      <c r="M2709" s="9"/>
      <c r="N2709" s="9"/>
      <c r="O2709" s="9"/>
      <c r="P2709" s="9"/>
      <c r="Q2709" s="9"/>
      <c r="R2709" s="9"/>
      <c r="S2709" s="42" t="str">
        <f>IFERROR(__xludf.DUMMYFUNCTION("""COMPUTED_VALUE"""),"SCIg;
SCIw")</f>
        <v>SCIg;
SCIw</v>
      </c>
      <c r="T2709" s="42"/>
      <c r="U2709" s="159" t="b">
        <f>IFERROR(__xludf.DUMMYFUNCTION("""COMPUTED_VALUE"""),FALSE)</f>
        <v>0</v>
      </c>
      <c r="V2709" s="42"/>
      <c r="W2709" s="42"/>
      <c r="X2709" s="42"/>
      <c r="Y2709" s="42" t="str">
        <f>IFERROR(__xludf.DUMMYFUNCTION("""COMPUTED_VALUE"""),"SCi is more closely associated with the role of a priority map4, which plays an important role in determining which salient signals are selected for the moment-by-moment locus of gaze.
SCi has dominant inputs from FEF20, and plays an important role in vi"&amp;"sual attention and target selection")</f>
        <v>SCi is more closely associated with the role of a priority map4, which plays an important role in determining which salient signals are selected for the moment-by-moment locus of gaze.
SCi has dominant inputs from FEF20, and plays an important role in visual attention and target selection</v>
      </c>
      <c r="Z2709" s="42"/>
      <c r="AA2709" s="42"/>
      <c r="AB2709" s="42" t="str">
        <f>IFERROR(__xludf.DUMMYFUNCTION("""COMPUTED_VALUE"""),"allen institute")</f>
        <v>allen institute</v>
      </c>
      <c r="AC2709" s="42" t="str">
        <f>IFERROR(__xludf.DUMMYFUNCTION("""COMPUTED_VALUE"""),"DHBA")</f>
        <v>DHBA</v>
      </c>
      <c r="AD2709" s="42"/>
      <c r="AE2709" s="42"/>
      <c r="AF2709" s="9"/>
      <c r="AG2709" s="9"/>
      <c r="AH2709" s="42"/>
      <c r="AI2709" s="42"/>
      <c r="AJ2709" s="42"/>
      <c r="AK2709" s="42"/>
      <c r="AL2709" s="42"/>
      <c r="AM2709" s="42"/>
      <c r="AN2709" s="42"/>
      <c r="AO2709" s="63" t="str">
        <f>IFERROR(__xludf.DUMMYFUNCTION("IF(ISBLANK(A2709),,IF(ISBLANK(S2709), A2709&amp;"";"", TEXTJOIN(CHAR(10), TRUE, A2709&amp;"";"", ARRAYFORMULA(VLOOKUP(SPLIT(S2709, "";"" &amp; CHAR(10)), $A:$AO, 41, FALSE)))))"),"SCI;
SCIg;
SCIw;")</f>
        <v>SCI;
SCIg;
SCIw;</v>
      </c>
      <c r="AP2709" s="89"/>
    </row>
    <row r="2710">
      <c r="A2710" s="151" t="str">
        <f>IFERROR(__xludf.DUMMYFUNCTION("""COMPUTED_VALUE"""),"SCIg")</f>
        <v>SCIg</v>
      </c>
      <c r="B2710" s="42" t="str">
        <f>IFERROR(__xludf.DUMMYFUNCTION("""COMPUTED_VALUE"""),"DHBA")</f>
        <v>DHBA</v>
      </c>
      <c r="C2710" s="42" t="str">
        <f>IFERROR(__xludf.DUMMYFUNCTION("""COMPUTED_VALUE"""),"intermediate gray layer of superior colliculus")</f>
        <v>intermediate gray layer of superior colliculus</v>
      </c>
      <c r="D2710" s="42">
        <f>IFERROR(__xludf.DUMMYFUNCTION("""COMPUTED_VALUE"""),2581.0)</f>
        <v>2581</v>
      </c>
      <c r="E2710" s="39" t="str">
        <f>IFERROR(__xludf.DUMMYFUNCTION("""COMPUTED_VALUE"""),"intermediate gray layer of superior colliculus")</f>
        <v>intermediate gray layer of superior colliculus</v>
      </c>
      <c r="F2710" s="9" t="str">
        <f>IFERROR(__xludf.DUMMYFUNCTION("""COMPUTED_VALUE"""),"Br")</f>
        <v>Br</v>
      </c>
      <c r="G2710" s="9" t="str">
        <f>IFERROR(__xludf.DUMMYFUNCTION("""COMPUTED_VALUE"""),"M")</f>
        <v>M</v>
      </c>
      <c r="H2710" s="9" t="str">
        <f>IFERROR(__xludf.DUMMYFUNCTION("""COMPUTED_VALUE"""),"MGM")</f>
        <v>MGM</v>
      </c>
      <c r="I2710" s="9" t="str">
        <f>IFERROR(__xludf.DUMMYFUNCTION("""COMPUTED_VALUE"""),"MTc")</f>
        <v>MTc</v>
      </c>
      <c r="J2710" s="9" t="str">
        <f>IFERROR(__xludf.DUMMYFUNCTION("""COMPUTED_VALUE"""),"SC")</f>
        <v>SC</v>
      </c>
      <c r="K2710" s="9" t="str">
        <f>IFERROR(__xludf.DUMMYFUNCTION("""COMPUTED_VALUE"""),"SCI")</f>
        <v>SCI</v>
      </c>
      <c r="L2710" s="9" t="str">
        <f>IFERROR(__xludf.DUMMYFUNCTION("""COMPUTED_VALUE"""),"SCIg")</f>
        <v>SCIg</v>
      </c>
      <c r="M2710" s="9"/>
      <c r="N2710" s="9"/>
      <c r="O2710" s="9"/>
      <c r="P2710" s="9"/>
      <c r="Q2710" s="9"/>
      <c r="R2710" s="9"/>
      <c r="S2710" s="42"/>
      <c r="T2710" s="42"/>
      <c r="U2710" s="42"/>
      <c r="V2710" s="42"/>
      <c r="W2710" s="42"/>
      <c r="X2710" s="42"/>
      <c r="Y2710" s="42"/>
      <c r="Z2710" s="42"/>
      <c r="AA2710" s="42"/>
      <c r="AB2710" s="42" t="str">
        <f>IFERROR(__xludf.DUMMYFUNCTION("""COMPUTED_VALUE"""),"allen institute")</f>
        <v>allen institute</v>
      </c>
      <c r="AC2710" s="42" t="str">
        <f>IFERROR(__xludf.DUMMYFUNCTION("""COMPUTED_VALUE"""),"DHBA")</f>
        <v>DHBA</v>
      </c>
      <c r="AD2710" s="42"/>
      <c r="AE2710" s="42"/>
      <c r="AF2710" s="9"/>
      <c r="AG2710" s="9"/>
      <c r="AH2710" s="42"/>
      <c r="AI2710" s="42"/>
      <c r="AJ2710" s="42"/>
      <c r="AK2710" s="42"/>
      <c r="AL2710" s="42"/>
      <c r="AM2710" s="42"/>
      <c r="AN2710" s="42"/>
      <c r="AO2710" s="63" t="str">
        <f>IFERROR(__xludf.DUMMYFUNCTION("IF(ISBLANK(A2710),,IF(ISBLANK(S2710), A2710&amp;"";"", TEXTJOIN(CHAR(10), TRUE, A2710&amp;"";"", ARRAYFORMULA(VLOOKUP(SPLIT(S2710, "";"" &amp; CHAR(10)), $A:$AO, 41, FALSE)))))"),"SCIg;")</f>
        <v>SCIg;</v>
      </c>
      <c r="AP2710" s="89"/>
    </row>
    <row r="2711">
      <c r="A2711" s="151" t="str">
        <f>IFERROR(__xludf.DUMMYFUNCTION("""COMPUTED_VALUE"""),"SCIw")</f>
        <v>SCIw</v>
      </c>
      <c r="B2711" s="42" t="str">
        <f>IFERROR(__xludf.DUMMYFUNCTION("""COMPUTED_VALUE"""),"DHBA")</f>
        <v>DHBA</v>
      </c>
      <c r="C2711" s="42" t="str">
        <f>IFERROR(__xludf.DUMMYFUNCTION("""COMPUTED_VALUE"""),"intermediate white layer of superior colliculus")</f>
        <v>intermediate white layer of superior colliculus</v>
      </c>
      <c r="D2711" s="42">
        <f>IFERROR(__xludf.DUMMYFUNCTION("""COMPUTED_VALUE"""),2582.0)</f>
        <v>2582</v>
      </c>
      <c r="E2711" s="39" t="str">
        <f>IFERROR(__xludf.DUMMYFUNCTION("""COMPUTED_VALUE"""),"intermediate white layer of superior colliculus")</f>
        <v>intermediate white layer of superior colliculus</v>
      </c>
      <c r="F2711" s="9" t="str">
        <f>IFERROR(__xludf.DUMMYFUNCTION("""COMPUTED_VALUE"""),"Br")</f>
        <v>Br</v>
      </c>
      <c r="G2711" s="9" t="str">
        <f>IFERROR(__xludf.DUMMYFUNCTION("""COMPUTED_VALUE"""),"M")</f>
        <v>M</v>
      </c>
      <c r="H2711" s="9" t="str">
        <f>IFERROR(__xludf.DUMMYFUNCTION("""COMPUTED_VALUE"""),"MGM")</f>
        <v>MGM</v>
      </c>
      <c r="I2711" s="9" t="str">
        <f>IFERROR(__xludf.DUMMYFUNCTION("""COMPUTED_VALUE"""),"MTc")</f>
        <v>MTc</v>
      </c>
      <c r="J2711" s="9" t="str">
        <f>IFERROR(__xludf.DUMMYFUNCTION("""COMPUTED_VALUE"""),"SC")</f>
        <v>SC</v>
      </c>
      <c r="K2711" s="9" t="str">
        <f>IFERROR(__xludf.DUMMYFUNCTION("""COMPUTED_VALUE"""),"SCI")</f>
        <v>SCI</v>
      </c>
      <c r="L2711" s="9" t="str">
        <f>IFERROR(__xludf.DUMMYFUNCTION("""COMPUTED_VALUE"""),"SCIw")</f>
        <v>SCIw</v>
      </c>
      <c r="M2711" s="9"/>
      <c r="N2711" s="9"/>
      <c r="O2711" s="9"/>
      <c r="P2711" s="9"/>
      <c r="Q2711" s="9"/>
      <c r="R2711" s="9"/>
      <c r="S2711" s="42"/>
      <c r="T2711" s="42"/>
      <c r="U2711" s="42"/>
      <c r="V2711" s="42"/>
      <c r="W2711" s="42"/>
      <c r="X2711" s="42"/>
      <c r="Y2711" s="42"/>
      <c r="Z2711" s="42"/>
      <c r="AA2711" s="42"/>
      <c r="AB2711" s="42" t="str">
        <f>IFERROR(__xludf.DUMMYFUNCTION("""COMPUTED_VALUE"""),"allen institute")</f>
        <v>allen institute</v>
      </c>
      <c r="AC2711" s="42" t="str">
        <f>IFERROR(__xludf.DUMMYFUNCTION("""COMPUTED_VALUE"""),"DHBA")</f>
        <v>DHBA</v>
      </c>
      <c r="AD2711" s="42"/>
      <c r="AE2711" s="42"/>
      <c r="AF2711" s="9"/>
      <c r="AG2711" s="9"/>
      <c r="AH2711" s="42"/>
      <c r="AI2711" s="42"/>
      <c r="AJ2711" s="42"/>
      <c r="AK2711" s="42"/>
      <c r="AL2711" s="42"/>
      <c r="AM2711" s="42"/>
      <c r="AN2711" s="42"/>
      <c r="AO2711" s="63" t="str">
        <f>IFERROR(__xludf.DUMMYFUNCTION("IF(ISBLANK(A2711),,IF(ISBLANK(S2711), A2711&amp;"";"", TEXTJOIN(CHAR(10), TRUE, A2711&amp;"";"", ARRAYFORMULA(VLOOKUP(SPLIT(S2711, "";"" &amp; CHAR(10)), $A:$AO, 41, FALSE)))))"),"SCIw;")</f>
        <v>SCIw;</v>
      </c>
      <c r="AP2711" s="89"/>
    </row>
    <row r="2712">
      <c r="A2712" s="151" t="str">
        <f>IFERROR(__xludf.DUMMYFUNCTION("""COMPUTED_VALUE"""),"SCD")</f>
        <v>SCD</v>
      </c>
      <c r="B2712" s="42" t="str">
        <f>IFERROR(__xludf.DUMMYFUNCTION("""COMPUTED_VALUE"""),"DHBA")</f>
        <v>DHBA</v>
      </c>
      <c r="C2712" s="42" t="str">
        <f>IFERROR(__xludf.DUMMYFUNCTION("""COMPUTED_VALUE"""),"Deep layer of superior colliculus")</f>
        <v>Deep layer of superior colliculus</v>
      </c>
      <c r="D2712" s="42">
        <f>IFERROR(__xludf.DUMMYFUNCTION("""COMPUTED_VALUE"""),2583.0)</f>
        <v>2583</v>
      </c>
      <c r="E2712" s="39" t="str">
        <f>IFERROR(__xludf.DUMMYFUNCTION("""COMPUTED_VALUE"""),"deep layer of colliculus")</f>
        <v>deep layer of colliculus</v>
      </c>
      <c r="F2712" s="9" t="str">
        <f>IFERROR(__xludf.DUMMYFUNCTION("""COMPUTED_VALUE"""),"Br")</f>
        <v>Br</v>
      </c>
      <c r="G2712" s="9" t="str">
        <f>IFERROR(__xludf.DUMMYFUNCTION("""COMPUTED_VALUE"""),"M")</f>
        <v>M</v>
      </c>
      <c r="H2712" s="9" t="str">
        <f>IFERROR(__xludf.DUMMYFUNCTION("""COMPUTED_VALUE"""),"MGM")</f>
        <v>MGM</v>
      </c>
      <c r="I2712" s="9" t="str">
        <f>IFERROR(__xludf.DUMMYFUNCTION("""COMPUTED_VALUE"""),"MTc")</f>
        <v>MTc</v>
      </c>
      <c r="J2712" s="9" t="str">
        <f>IFERROR(__xludf.DUMMYFUNCTION("""COMPUTED_VALUE"""),"SC")</f>
        <v>SC</v>
      </c>
      <c r="K2712" s="9" t="str">
        <f>IFERROR(__xludf.DUMMYFUNCTION("""COMPUTED_VALUE"""),"SCD")</f>
        <v>SCD</v>
      </c>
      <c r="L2712" s="9"/>
      <c r="M2712" s="9"/>
      <c r="N2712" s="9"/>
      <c r="O2712" s="9"/>
      <c r="P2712" s="9"/>
      <c r="Q2712" s="9"/>
      <c r="R2712" s="9"/>
      <c r="S2712" s="42" t="str">
        <f>IFERROR(__xludf.DUMMYFUNCTION("""COMPUTED_VALUE"""),"SCDg;
SCDw")</f>
        <v>SCDg;
SCDw</v>
      </c>
      <c r="T2712" s="42"/>
      <c r="U2712" s="42" t="b">
        <f>IFERROR(__xludf.DUMMYFUNCTION("""COMPUTED_VALUE"""),FALSE)</f>
        <v>0</v>
      </c>
      <c r="V2712" s="42"/>
      <c r="W2712" s="42"/>
      <c r="X2712" s="42"/>
      <c r="Y2712" s="42"/>
      <c r="Z2712" s="42"/>
      <c r="AA2712" s="42"/>
      <c r="AB2712" s="42" t="str">
        <f>IFERROR(__xludf.DUMMYFUNCTION("""COMPUTED_VALUE"""),"allen institute")</f>
        <v>allen institute</v>
      </c>
      <c r="AC2712" s="42" t="str">
        <f>IFERROR(__xludf.DUMMYFUNCTION("""COMPUTED_VALUE"""),"DHBA")</f>
        <v>DHBA</v>
      </c>
      <c r="AD2712" s="42"/>
      <c r="AE2712" s="42"/>
      <c r="AF2712" s="9"/>
      <c r="AG2712" s="9"/>
      <c r="AH2712" s="42"/>
      <c r="AI2712" s="42"/>
      <c r="AJ2712" s="42"/>
      <c r="AK2712" s="42"/>
      <c r="AL2712" s="42"/>
      <c r="AM2712" s="42"/>
      <c r="AN2712" s="42"/>
      <c r="AO2712" s="63" t="str">
        <f>IFERROR(__xludf.DUMMYFUNCTION("IF(ISBLANK(A2712),,IF(ISBLANK(S2712), A2712&amp;"";"", TEXTJOIN(CHAR(10), TRUE, A2712&amp;"";"", ARRAYFORMULA(VLOOKUP(SPLIT(S2712, "";"" &amp; CHAR(10)), $A:$AO, 41, FALSE)))))"),"SCD;
SCDg;
SCDw;")</f>
        <v>SCD;
SCDg;
SCDw;</v>
      </c>
      <c r="AP2712" s="89"/>
    </row>
    <row r="2713">
      <c r="A2713" s="151" t="str">
        <f>IFERROR(__xludf.DUMMYFUNCTION("""COMPUTED_VALUE"""),"SCDg")</f>
        <v>SCDg</v>
      </c>
      <c r="B2713" s="42" t="str">
        <f>IFERROR(__xludf.DUMMYFUNCTION("""COMPUTED_VALUE"""),"DHBA")</f>
        <v>DHBA</v>
      </c>
      <c r="C2713" s="42" t="str">
        <f>IFERROR(__xludf.DUMMYFUNCTION("""COMPUTED_VALUE"""),"deep gray layer of superior colliculus")</f>
        <v>deep gray layer of superior colliculus</v>
      </c>
      <c r="D2713" s="42">
        <f>IFERROR(__xludf.DUMMYFUNCTION("""COMPUTED_VALUE"""),2584.0)</f>
        <v>2584</v>
      </c>
      <c r="E2713" s="39" t="str">
        <f>IFERROR(__xludf.DUMMYFUNCTION("""COMPUTED_VALUE"""),"deep gray layer of superior colliculus")</f>
        <v>deep gray layer of superior colliculus</v>
      </c>
      <c r="F2713" s="9" t="str">
        <f>IFERROR(__xludf.DUMMYFUNCTION("""COMPUTED_VALUE"""),"Br")</f>
        <v>Br</v>
      </c>
      <c r="G2713" s="9" t="str">
        <f>IFERROR(__xludf.DUMMYFUNCTION("""COMPUTED_VALUE"""),"M")</f>
        <v>M</v>
      </c>
      <c r="H2713" s="9" t="str">
        <f>IFERROR(__xludf.DUMMYFUNCTION("""COMPUTED_VALUE"""),"MGM")</f>
        <v>MGM</v>
      </c>
      <c r="I2713" s="9" t="str">
        <f>IFERROR(__xludf.DUMMYFUNCTION("""COMPUTED_VALUE"""),"MTc")</f>
        <v>MTc</v>
      </c>
      <c r="J2713" s="9" t="str">
        <f>IFERROR(__xludf.DUMMYFUNCTION("""COMPUTED_VALUE"""),"SC")</f>
        <v>SC</v>
      </c>
      <c r="K2713" s="9" t="str">
        <f>IFERROR(__xludf.DUMMYFUNCTION("""COMPUTED_VALUE"""),"SCD")</f>
        <v>SCD</v>
      </c>
      <c r="L2713" s="9" t="str">
        <f>IFERROR(__xludf.DUMMYFUNCTION("""COMPUTED_VALUE"""),"SCDg")</f>
        <v>SCDg</v>
      </c>
      <c r="M2713" s="9"/>
      <c r="N2713" s="9"/>
      <c r="O2713" s="9"/>
      <c r="P2713" s="9"/>
      <c r="Q2713" s="9"/>
      <c r="R2713" s="9"/>
      <c r="S2713" s="42"/>
      <c r="T2713" s="42"/>
      <c r="U2713" s="42"/>
      <c r="V2713" s="42"/>
      <c r="W2713" s="42"/>
      <c r="X2713" s="42"/>
      <c r="Y2713" s="42"/>
      <c r="Z2713" s="42"/>
      <c r="AA2713" s="42"/>
      <c r="AB2713" s="42" t="str">
        <f>IFERROR(__xludf.DUMMYFUNCTION("""COMPUTED_VALUE"""),"allen institute")</f>
        <v>allen institute</v>
      </c>
      <c r="AC2713" s="42" t="str">
        <f>IFERROR(__xludf.DUMMYFUNCTION("""COMPUTED_VALUE"""),"DHBA")</f>
        <v>DHBA</v>
      </c>
      <c r="AD2713" s="42"/>
      <c r="AE2713" s="42"/>
      <c r="AF2713" s="9"/>
      <c r="AG2713" s="9"/>
      <c r="AH2713" s="42"/>
      <c r="AI2713" s="42"/>
      <c r="AJ2713" s="42"/>
      <c r="AK2713" s="42"/>
      <c r="AL2713" s="42"/>
      <c r="AM2713" s="42"/>
      <c r="AN2713" s="42"/>
      <c r="AO2713" s="63" t="str">
        <f>IFERROR(__xludf.DUMMYFUNCTION("IF(ISBLANK(A2713),,IF(ISBLANK(S2713), A2713&amp;"";"", TEXTJOIN(CHAR(10), TRUE, A2713&amp;"";"", ARRAYFORMULA(VLOOKUP(SPLIT(S2713, "";"" &amp; CHAR(10)), $A:$AO, 41, FALSE)))))"),"SCDg;")</f>
        <v>SCDg;</v>
      </c>
      <c r="AP2713" s="89"/>
    </row>
    <row r="2714">
      <c r="A2714" s="151" t="str">
        <f>IFERROR(__xludf.DUMMYFUNCTION("""COMPUTED_VALUE"""),"SCDw")</f>
        <v>SCDw</v>
      </c>
      <c r="B2714" s="42" t="str">
        <f>IFERROR(__xludf.DUMMYFUNCTION("""COMPUTED_VALUE"""),"DHBA")</f>
        <v>DHBA</v>
      </c>
      <c r="C2714" s="42" t="str">
        <f>IFERROR(__xludf.DUMMYFUNCTION("""COMPUTED_VALUE"""),"deep white layer of superior colliculus")</f>
        <v>deep white layer of superior colliculus</v>
      </c>
      <c r="D2714" s="42">
        <f>IFERROR(__xludf.DUMMYFUNCTION("""COMPUTED_VALUE"""),2585.0)</f>
        <v>2585</v>
      </c>
      <c r="E2714" s="39" t="str">
        <f>IFERROR(__xludf.DUMMYFUNCTION("""COMPUTED_VALUE"""),"deep white layer of superior colliculus")</f>
        <v>deep white layer of superior colliculus</v>
      </c>
      <c r="F2714" s="9" t="str">
        <f>IFERROR(__xludf.DUMMYFUNCTION("""COMPUTED_VALUE"""),"Br")</f>
        <v>Br</v>
      </c>
      <c r="G2714" s="9" t="str">
        <f>IFERROR(__xludf.DUMMYFUNCTION("""COMPUTED_VALUE"""),"M")</f>
        <v>M</v>
      </c>
      <c r="H2714" s="9" t="str">
        <f>IFERROR(__xludf.DUMMYFUNCTION("""COMPUTED_VALUE"""),"MGM")</f>
        <v>MGM</v>
      </c>
      <c r="I2714" s="9" t="str">
        <f>IFERROR(__xludf.DUMMYFUNCTION("""COMPUTED_VALUE"""),"MTc")</f>
        <v>MTc</v>
      </c>
      <c r="J2714" s="9" t="str">
        <f>IFERROR(__xludf.DUMMYFUNCTION("""COMPUTED_VALUE"""),"SC")</f>
        <v>SC</v>
      </c>
      <c r="K2714" s="9" t="str">
        <f>IFERROR(__xludf.DUMMYFUNCTION("""COMPUTED_VALUE"""),"SCD")</f>
        <v>SCD</v>
      </c>
      <c r="L2714" s="9" t="str">
        <f>IFERROR(__xludf.DUMMYFUNCTION("""COMPUTED_VALUE"""),"SCDw")</f>
        <v>SCDw</v>
      </c>
      <c r="M2714" s="9"/>
      <c r="N2714" s="9"/>
      <c r="O2714" s="9"/>
      <c r="P2714" s="9"/>
      <c r="Q2714" s="9"/>
      <c r="R2714" s="9"/>
      <c r="S2714" s="42"/>
      <c r="T2714" s="42"/>
      <c r="U2714" s="42"/>
      <c r="V2714" s="42"/>
      <c r="W2714" s="42"/>
      <c r="X2714" s="42"/>
      <c r="Y2714" s="42"/>
      <c r="Z2714" s="42"/>
      <c r="AA2714" s="42"/>
      <c r="AB2714" s="42" t="str">
        <f>IFERROR(__xludf.DUMMYFUNCTION("""COMPUTED_VALUE"""),"allen institute")</f>
        <v>allen institute</v>
      </c>
      <c r="AC2714" s="42" t="str">
        <f>IFERROR(__xludf.DUMMYFUNCTION("""COMPUTED_VALUE"""),"DHBA")</f>
        <v>DHBA</v>
      </c>
      <c r="AD2714" s="42"/>
      <c r="AE2714" s="42"/>
      <c r="AF2714" s="9"/>
      <c r="AG2714" s="9"/>
      <c r="AH2714" s="42"/>
      <c r="AI2714" s="42"/>
      <c r="AJ2714" s="42"/>
      <c r="AK2714" s="42"/>
      <c r="AL2714" s="42"/>
      <c r="AM2714" s="42"/>
      <c r="AN2714" s="42"/>
      <c r="AO2714" s="63" t="str">
        <f>IFERROR(__xludf.DUMMYFUNCTION("IF(ISBLANK(A2714),,IF(ISBLANK(S2714), A2714&amp;"";"", TEXTJOIN(CHAR(10), TRUE, A2714&amp;"";"", ARRAYFORMULA(VLOOKUP(SPLIT(S2714, "";"" &amp; CHAR(10)), $A:$AO, 41, FALSE)))))"),"SCDw;")</f>
        <v>SCDw;</v>
      </c>
      <c r="AP2714" s="89"/>
    </row>
    <row r="2715">
      <c r="A2715" s="151" t="str">
        <f>IFERROR(__xludf.DUMMYFUNCTION("""COMPUTED_VALUE"""),"BrSC")</f>
        <v>BrSC</v>
      </c>
      <c r="B2715" s="42" t="str">
        <f>IFERROR(__xludf.DUMMYFUNCTION("""COMPUTED_VALUE"""),"DHBA")</f>
        <v>DHBA</v>
      </c>
      <c r="C2715" s="42" t="str">
        <f>IFERROR(__xludf.DUMMYFUNCTION("""COMPUTED_VALUE"""),"nucleus of branchium of superior colliculus")</f>
        <v>nucleus of branchium of superior colliculus</v>
      </c>
      <c r="D2715" s="42">
        <f>IFERROR(__xludf.DUMMYFUNCTION("""COMPUTED_VALUE"""),2586.0)</f>
        <v>2586</v>
      </c>
      <c r="E2715" s="39" t="str">
        <f>IFERROR(__xludf.DUMMYFUNCTION("""COMPUTED_VALUE"""),"nucleus of branchium of superior colliculus")</f>
        <v>nucleus of branchium of superior colliculus</v>
      </c>
      <c r="F2715" s="9" t="str">
        <f>IFERROR(__xludf.DUMMYFUNCTION("""COMPUTED_VALUE"""),"Br")</f>
        <v>Br</v>
      </c>
      <c r="G2715" s="9" t="str">
        <f>IFERROR(__xludf.DUMMYFUNCTION("""COMPUTED_VALUE"""),"M")</f>
        <v>M</v>
      </c>
      <c r="H2715" s="9" t="str">
        <f>IFERROR(__xludf.DUMMYFUNCTION("""COMPUTED_VALUE"""),"MGM")</f>
        <v>MGM</v>
      </c>
      <c r="I2715" s="9" t="str">
        <f>IFERROR(__xludf.DUMMYFUNCTION("""COMPUTED_VALUE"""),"MTc")</f>
        <v>MTc</v>
      </c>
      <c r="J2715" s="9" t="str">
        <f>IFERROR(__xludf.DUMMYFUNCTION("""COMPUTED_VALUE"""),"SC")</f>
        <v>SC</v>
      </c>
      <c r="K2715" s="9" t="str">
        <f>IFERROR(__xludf.DUMMYFUNCTION("""COMPUTED_VALUE"""),"BrSC")</f>
        <v>BrSC</v>
      </c>
      <c r="L2715" s="9"/>
      <c r="M2715" s="9"/>
      <c r="N2715" s="9"/>
      <c r="O2715" s="9"/>
      <c r="P2715" s="9"/>
      <c r="Q2715" s="9"/>
      <c r="R2715" s="9"/>
      <c r="S2715" s="42"/>
      <c r="T2715" s="42"/>
      <c r="U2715" s="42"/>
      <c r="V2715" s="42"/>
      <c r="W2715" s="42"/>
      <c r="X2715" s="42"/>
      <c r="Y2715" s="42"/>
      <c r="Z2715" s="42"/>
      <c r="AA2715" s="42"/>
      <c r="AB2715" s="42" t="str">
        <f>IFERROR(__xludf.DUMMYFUNCTION("""COMPUTED_VALUE"""),"allen institute")</f>
        <v>allen institute</v>
      </c>
      <c r="AC2715" s="42" t="str">
        <f>IFERROR(__xludf.DUMMYFUNCTION("""COMPUTED_VALUE"""),"DHBA")</f>
        <v>DHBA</v>
      </c>
      <c r="AD2715" s="42"/>
      <c r="AE2715" s="42"/>
      <c r="AF2715" s="9"/>
      <c r="AG2715" s="9"/>
      <c r="AH2715" s="42"/>
      <c r="AI2715" s="42"/>
      <c r="AJ2715" s="42"/>
      <c r="AK2715" s="42"/>
      <c r="AL2715" s="42"/>
      <c r="AM2715" s="42"/>
      <c r="AN2715" s="42"/>
      <c r="AO2715" s="63" t="str">
        <f>IFERROR(__xludf.DUMMYFUNCTION("IF(ISBLANK(A2715),,IF(ISBLANK(S2715), A2715&amp;"";"", TEXTJOIN(CHAR(10), TRUE, A2715&amp;"";"", ARRAYFORMULA(VLOOKUP(SPLIT(S2715, "";"" &amp; CHAR(10)), $A:$AO, 41, FALSE)))))"),"BrSC;")</f>
        <v>BrSC;</v>
      </c>
      <c r="AP2715" s="89"/>
    </row>
    <row r="2716">
      <c r="A2716" s="151" t="str">
        <f>IFERROR(__xludf.DUMMYFUNCTION("""COMPUTED_VALUE"""),"IC")</f>
        <v>IC</v>
      </c>
      <c r="B2716" s="42" t="str">
        <f>IFERROR(__xludf.DUMMYFUNCTION("""COMPUTED_VALUE"""),"DHBA")</f>
        <v>DHBA</v>
      </c>
      <c r="C2716" s="42" t="str">
        <f>IFERROR(__xludf.DUMMYFUNCTION("""COMPUTED_VALUE"""),"inferior colliculus")</f>
        <v>inferior colliculus</v>
      </c>
      <c r="D2716" s="42">
        <f>IFERROR(__xludf.DUMMYFUNCTION("""COMPUTED_VALUE"""),2587.0)</f>
        <v>2587</v>
      </c>
      <c r="E2716" s="39" t="str">
        <f>IFERROR(__xludf.DUMMYFUNCTION("""COMPUTED_VALUE"""),"inferior colliculus")</f>
        <v>inferior colliculus</v>
      </c>
      <c r="F2716" s="9" t="str">
        <f>IFERROR(__xludf.DUMMYFUNCTION("""COMPUTED_VALUE"""),"Br")</f>
        <v>Br</v>
      </c>
      <c r="G2716" s="9" t="str">
        <f>IFERROR(__xludf.DUMMYFUNCTION("""COMPUTED_VALUE"""),"M")</f>
        <v>M</v>
      </c>
      <c r="H2716" s="9" t="str">
        <f>IFERROR(__xludf.DUMMYFUNCTION("""COMPUTED_VALUE"""),"MGM")</f>
        <v>MGM</v>
      </c>
      <c r="I2716" s="9" t="str">
        <f>IFERROR(__xludf.DUMMYFUNCTION("""COMPUTED_VALUE"""),"MTc")</f>
        <v>MTc</v>
      </c>
      <c r="J2716" s="9" t="str">
        <f>IFERROR(__xludf.DUMMYFUNCTION("""COMPUTED_VALUE"""),"IC")</f>
        <v>IC</v>
      </c>
      <c r="K2716" s="9"/>
      <c r="L2716" s="9"/>
      <c r="M2716" s="9"/>
      <c r="N2716" s="9"/>
      <c r="O2716" s="9"/>
      <c r="P2716" s="9"/>
      <c r="Q2716" s="9"/>
      <c r="R2716" s="9"/>
      <c r="S2716" s="42" t="str">
        <f>IFERROR(__xludf.DUMMYFUNCTION("""COMPUTED_VALUE"""),"CxIC;
CIC")</f>
        <v>CxIC;
CIC</v>
      </c>
      <c r="T2716" s="42"/>
      <c r="U2716" s="42" t="b">
        <f>IFERROR(__xludf.DUMMYFUNCTION("""COMPUTED_VALUE"""),FALSE)</f>
        <v>0</v>
      </c>
      <c r="V2716" s="42"/>
      <c r="W2716" s="42"/>
      <c r="X2716" s="42"/>
      <c r="Y2716" s="42"/>
      <c r="Z2716" s="42"/>
      <c r="AA2716" s="42"/>
      <c r="AB2716" s="42" t="str">
        <f>IFERROR(__xludf.DUMMYFUNCTION("""COMPUTED_VALUE"""),"allen institute")</f>
        <v>allen institute</v>
      </c>
      <c r="AC2716" s="42" t="str">
        <f>IFERROR(__xludf.DUMMYFUNCTION("""COMPUTED_VALUE"""),"DHBA")</f>
        <v>DHBA</v>
      </c>
      <c r="AD2716" s="42"/>
      <c r="AE2716" s="42"/>
      <c r="AF2716" s="9"/>
      <c r="AG2716" s="9"/>
      <c r="AH2716" s="42"/>
      <c r="AI2716" s="42"/>
      <c r="AJ2716" s="42"/>
      <c r="AK2716" s="42"/>
      <c r="AL2716" s="42"/>
      <c r="AM2716" s="42"/>
      <c r="AN2716" s="42"/>
      <c r="AO2716" s="63" t="str">
        <f>IFERROR(__xludf.DUMMYFUNCTION("IF(ISBLANK(A2716),,IF(ISBLANK(S2716), A2716&amp;"";"", TEXTJOIN(CHAR(10), TRUE, A2716&amp;"";"", ARRAYFORMULA(VLOOKUP(SPLIT(S2716, "";"" &amp; CHAR(10)), $A:$AO, 41, FALSE)))))"),"IC;
CxIC;
CICd;
CICe;
CIC;")</f>
        <v>IC;
CxIC;
CICd;
CICe;
CIC;</v>
      </c>
      <c r="AP2716" s="89"/>
    </row>
    <row r="2717">
      <c r="A2717" s="151" t="str">
        <f>IFERROR(__xludf.DUMMYFUNCTION("""COMPUTED_VALUE"""),"CxIC")</f>
        <v>CxIC</v>
      </c>
      <c r="B2717" s="42" t="str">
        <f>IFERROR(__xludf.DUMMYFUNCTION("""COMPUTED_VALUE"""),"DHBA")</f>
        <v>DHBA</v>
      </c>
      <c r="C2717" s="42" t="str">
        <f>IFERROR(__xludf.DUMMYFUNCTION("""COMPUTED_VALUE"""),"cortex of inferior colliculus")</f>
        <v>cortex of inferior colliculus</v>
      </c>
      <c r="D2717" s="42">
        <f>IFERROR(__xludf.DUMMYFUNCTION("""COMPUTED_VALUE"""),2588.0)</f>
        <v>2588</v>
      </c>
      <c r="E2717" s="39" t="str">
        <f>IFERROR(__xludf.DUMMYFUNCTION("""COMPUTED_VALUE"""),"cortex of inferior colliculus")</f>
        <v>cortex of inferior colliculus</v>
      </c>
      <c r="F2717" s="9" t="str">
        <f>IFERROR(__xludf.DUMMYFUNCTION("""COMPUTED_VALUE"""),"Br")</f>
        <v>Br</v>
      </c>
      <c r="G2717" s="9" t="str">
        <f>IFERROR(__xludf.DUMMYFUNCTION("""COMPUTED_VALUE"""),"M")</f>
        <v>M</v>
      </c>
      <c r="H2717" s="9" t="str">
        <f>IFERROR(__xludf.DUMMYFUNCTION("""COMPUTED_VALUE"""),"MGM")</f>
        <v>MGM</v>
      </c>
      <c r="I2717" s="9" t="str">
        <f>IFERROR(__xludf.DUMMYFUNCTION("""COMPUTED_VALUE"""),"MTc")</f>
        <v>MTc</v>
      </c>
      <c r="J2717" s="9" t="str">
        <f>IFERROR(__xludf.DUMMYFUNCTION("""COMPUTED_VALUE"""),"IC")</f>
        <v>IC</v>
      </c>
      <c r="K2717" s="9" t="str">
        <f>IFERROR(__xludf.DUMMYFUNCTION("""COMPUTED_VALUE"""),"CxIC")</f>
        <v>CxIC</v>
      </c>
      <c r="L2717" s="9"/>
      <c r="M2717" s="9"/>
      <c r="N2717" s="9"/>
      <c r="O2717" s="9"/>
      <c r="P2717" s="9"/>
      <c r="Q2717" s="9"/>
      <c r="R2717" s="9"/>
      <c r="S2717" s="42" t="str">
        <f>IFERROR(__xludf.DUMMYFUNCTION("""COMPUTED_VALUE"""),"CICd;
CICe")</f>
        <v>CICd;
CICe</v>
      </c>
      <c r="T2717" s="42"/>
      <c r="U2717" s="42" t="b">
        <f>IFERROR(__xludf.DUMMYFUNCTION("""COMPUTED_VALUE"""),FALSE)</f>
        <v>0</v>
      </c>
      <c r="V2717" s="42"/>
      <c r="W2717" s="42"/>
      <c r="X2717" s="42"/>
      <c r="Y2717" s="42"/>
      <c r="Z2717" s="42"/>
      <c r="AA2717" s="42"/>
      <c r="AB2717" s="42" t="str">
        <f>IFERROR(__xludf.DUMMYFUNCTION("""COMPUTED_VALUE"""),"allen institute")</f>
        <v>allen institute</v>
      </c>
      <c r="AC2717" s="42" t="str">
        <f>IFERROR(__xludf.DUMMYFUNCTION("""COMPUTED_VALUE"""),"DHBA")</f>
        <v>DHBA</v>
      </c>
      <c r="AD2717" s="42"/>
      <c r="AE2717" s="42"/>
      <c r="AF2717" s="9"/>
      <c r="AG2717" s="9"/>
      <c r="AH2717" s="42"/>
      <c r="AI2717" s="42"/>
      <c r="AJ2717" s="42"/>
      <c r="AK2717" s="42"/>
      <c r="AL2717" s="42"/>
      <c r="AM2717" s="42"/>
      <c r="AN2717" s="42"/>
      <c r="AO2717" s="63" t="str">
        <f>IFERROR(__xludf.DUMMYFUNCTION("IF(ISBLANK(A2717),,IF(ISBLANK(S2717), A2717&amp;"";"", TEXTJOIN(CHAR(10), TRUE, A2717&amp;"";"", ARRAYFORMULA(VLOOKUP(SPLIT(S2717, "";"" &amp; CHAR(10)), $A:$AO, 41, FALSE)))))"),"CxIC;
CICd;
CICe;")</f>
        <v>CxIC;
CICd;
CICe;</v>
      </c>
      <c r="AP2717" s="89"/>
    </row>
    <row r="2718">
      <c r="A2718" s="151" t="str">
        <f>IFERROR(__xludf.DUMMYFUNCTION("""COMPUTED_VALUE"""),"CICd")</f>
        <v>CICd</v>
      </c>
      <c r="B2718" s="42" t="str">
        <f>IFERROR(__xludf.DUMMYFUNCTION("""COMPUTED_VALUE"""),"DHBA")</f>
        <v>DHBA</v>
      </c>
      <c r="C2718" s="42" t="str">
        <f>IFERROR(__xludf.DUMMYFUNCTION("""COMPUTED_VALUE"""),"dorsal cortex of inferior colliculus")</f>
        <v>dorsal cortex of inferior colliculus</v>
      </c>
      <c r="D2718" s="42">
        <f>IFERROR(__xludf.DUMMYFUNCTION("""COMPUTED_VALUE"""),2589.0)</f>
        <v>2589</v>
      </c>
      <c r="E2718" s="39" t="str">
        <f>IFERROR(__xludf.DUMMYFUNCTION("""COMPUTED_VALUE"""),"dorsal cortex of inferior colliculus")</f>
        <v>dorsal cortex of inferior colliculus</v>
      </c>
      <c r="F2718" s="9" t="str">
        <f>IFERROR(__xludf.DUMMYFUNCTION("""COMPUTED_VALUE"""),"Br")</f>
        <v>Br</v>
      </c>
      <c r="G2718" s="9" t="str">
        <f>IFERROR(__xludf.DUMMYFUNCTION("""COMPUTED_VALUE"""),"M")</f>
        <v>M</v>
      </c>
      <c r="H2718" s="9" t="str">
        <f>IFERROR(__xludf.DUMMYFUNCTION("""COMPUTED_VALUE"""),"MGM")</f>
        <v>MGM</v>
      </c>
      <c r="I2718" s="9" t="str">
        <f>IFERROR(__xludf.DUMMYFUNCTION("""COMPUTED_VALUE"""),"MTc")</f>
        <v>MTc</v>
      </c>
      <c r="J2718" s="9" t="str">
        <f>IFERROR(__xludf.DUMMYFUNCTION("""COMPUTED_VALUE"""),"IC")</f>
        <v>IC</v>
      </c>
      <c r="K2718" s="9" t="str">
        <f>IFERROR(__xludf.DUMMYFUNCTION("""COMPUTED_VALUE"""),"CxIC")</f>
        <v>CxIC</v>
      </c>
      <c r="L2718" s="9" t="str">
        <f>IFERROR(__xludf.DUMMYFUNCTION("""COMPUTED_VALUE"""),"CICd")</f>
        <v>CICd</v>
      </c>
      <c r="M2718" s="9"/>
      <c r="N2718" s="9"/>
      <c r="O2718" s="9"/>
      <c r="P2718" s="9"/>
      <c r="Q2718" s="9"/>
      <c r="R2718" s="9"/>
      <c r="S2718" s="42"/>
      <c r="T2718" s="42"/>
      <c r="U2718" s="42"/>
      <c r="V2718" s="42"/>
      <c r="W2718" s="42"/>
      <c r="X2718" s="42"/>
      <c r="Y2718" s="42"/>
      <c r="Z2718" s="42"/>
      <c r="AA2718" s="42"/>
      <c r="AB2718" s="42" t="str">
        <f>IFERROR(__xludf.DUMMYFUNCTION("""COMPUTED_VALUE"""),"allen institute")</f>
        <v>allen institute</v>
      </c>
      <c r="AC2718" s="42" t="str">
        <f>IFERROR(__xludf.DUMMYFUNCTION("""COMPUTED_VALUE"""),"DHBA")</f>
        <v>DHBA</v>
      </c>
      <c r="AD2718" s="42"/>
      <c r="AE2718" s="42"/>
      <c r="AF2718" s="9"/>
      <c r="AG2718" s="9"/>
      <c r="AH2718" s="42"/>
      <c r="AI2718" s="42"/>
      <c r="AJ2718" s="42"/>
      <c r="AK2718" s="42"/>
      <c r="AL2718" s="42"/>
      <c r="AM2718" s="42"/>
      <c r="AN2718" s="42"/>
      <c r="AO2718" s="63" t="str">
        <f>IFERROR(__xludf.DUMMYFUNCTION("IF(ISBLANK(A2718),,IF(ISBLANK(S2718), A2718&amp;"";"", TEXTJOIN(CHAR(10), TRUE, A2718&amp;"";"", ARRAYFORMULA(VLOOKUP(SPLIT(S2718, "";"" &amp; CHAR(10)), $A:$AO, 41, FALSE)))))"),"CICd;")</f>
        <v>CICd;</v>
      </c>
      <c r="AP2718" s="89"/>
    </row>
    <row r="2719">
      <c r="A2719" s="151" t="str">
        <f>IFERROR(__xludf.DUMMYFUNCTION("""COMPUTED_VALUE"""),"CICe")</f>
        <v>CICe</v>
      </c>
      <c r="B2719" s="42" t="str">
        <f>IFERROR(__xludf.DUMMYFUNCTION("""COMPUTED_VALUE"""),"DHBA")</f>
        <v>DHBA</v>
      </c>
      <c r="C2719" s="42" t="str">
        <f>IFERROR(__xludf.DUMMYFUNCTION("""COMPUTED_VALUE"""),"external cortex of inferior colliculus")</f>
        <v>external cortex of inferior colliculus</v>
      </c>
      <c r="D2719" s="42">
        <f>IFERROR(__xludf.DUMMYFUNCTION("""COMPUTED_VALUE"""),2590.0)</f>
        <v>2590</v>
      </c>
      <c r="E2719" s="39" t="str">
        <f>IFERROR(__xludf.DUMMYFUNCTION("""COMPUTED_VALUE"""),"external cortex of inferior colliculus")</f>
        <v>external cortex of inferior colliculus</v>
      </c>
      <c r="F2719" s="9" t="str">
        <f>IFERROR(__xludf.DUMMYFUNCTION("""COMPUTED_VALUE"""),"Br")</f>
        <v>Br</v>
      </c>
      <c r="G2719" s="9" t="str">
        <f>IFERROR(__xludf.DUMMYFUNCTION("""COMPUTED_VALUE"""),"M")</f>
        <v>M</v>
      </c>
      <c r="H2719" s="9" t="str">
        <f>IFERROR(__xludf.DUMMYFUNCTION("""COMPUTED_VALUE"""),"MGM")</f>
        <v>MGM</v>
      </c>
      <c r="I2719" s="9" t="str">
        <f>IFERROR(__xludf.DUMMYFUNCTION("""COMPUTED_VALUE"""),"MTc")</f>
        <v>MTc</v>
      </c>
      <c r="J2719" s="9" t="str">
        <f>IFERROR(__xludf.DUMMYFUNCTION("""COMPUTED_VALUE"""),"IC")</f>
        <v>IC</v>
      </c>
      <c r="K2719" s="9" t="str">
        <f>IFERROR(__xludf.DUMMYFUNCTION("""COMPUTED_VALUE"""),"CxIC")</f>
        <v>CxIC</v>
      </c>
      <c r="L2719" s="9" t="str">
        <f>IFERROR(__xludf.DUMMYFUNCTION("""COMPUTED_VALUE"""),"CICe")</f>
        <v>CICe</v>
      </c>
      <c r="M2719" s="9"/>
      <c r="N2719" s="9"/>
      <c r="O2719" s="9"/>
      <c r="P2719" s="9"/>
      <c r="Q2719" s="9"/>
      <c r="R2719" s="9"/>
      <c r="S2719" s="42"/>
      <c r="T2719" s="42"/>
      <c r="U2719" s="42"/>
      <c r="V2719" s="42"/>
      <c r="W2719" s="42"/>
      <c r="X2719" s="42"/>
      <c r="Y2719" s="42"/>
      <c r="Z2719" s="42"/>
      <c r="AA2719" s="42"/>
      <c r="AB2719" s="42" t="str">
        <f>IFERROR(__xludf.DUMMYFUNCTION("""COMPUTED_VALUE"""),"allen institute")</f>
        <v>allen institute</v>
      </c>
      <c r="AC2719" s="42" t="str">
        <f>IFERROR(__xludf.DUMMYFUNCTION("""COMPUTED_VALUE"""),"DHBA")</f>
        <v>DHBA</v>
      </c>
      <c r="AD2719" s="42"/>
      <c r="AE2719" s="42"/>
      <c r="AF2719" s="9"/>
      <c r="AG2719" s="9"/>
      <c r="AH2719" s="42"/>
      <c r="AI2719" s="42"/>
      <c r="AJ2719" s="42"/>
      <c r="AK2719" s="42"/>
      <c r="AL2719" s="42"/>
      <c r="AM2719" s="42"/>
      <c r="AN2719" s="42"/>
      <c r="AO2719" s="63" t="str">
        <f>IFERROR(__xludf.DUMMYFUNCTION("IF(ISBLANK(A2719),,IF(ISBLANK(S2719), A2719&amp;"";"", TEXTJOIN(CHAR(10), TRUE, A2719&amp;"";"", ARRAYFORMULA(VLOOKUP(SPLIT(S2719, "";"" &amp; CHAR(10)), $A:$AO, 41, FALSE)))))"),"CICe;")</f>
        <v>CICe;</v>
      </c>
      <c r="AP2719" s="89"/>
    </row>
    <row r="2720">
      <c r="A2720" s="151" t="str">
        <f>IFERROR(__xludf.DUMMYFUNCTION("""COMPUTED_VALUE"""),"CIC")</f>
        <v>CIC</v>
      </c>
      <c r="B2720" s="42" t="str">
        <f>IFERROR(__xludf.DUMMYFUNCTION("""COMPUTED_VALUE"""),"DHBA")</f>
        <v>DHBA</v>
      </c>
      <c r="C2720" s="42" t="str">
        <f>IFERROR(__xludf.DUMMYFUNCTION("""COMPUTED_VALUE"""),"central nucleus of inferior colliculus")</f>
        <v>central nucleus of inferior colliculus</v>
      </c>
      <c r="D2720" s="42">
        <f>IFERROR(__xludf.DUMMYFUNCTION("""COMPUTED_VALUE"""),2591.0)</f>
        <v>2591</v>
      </c>
      <c r="E2720" s="39" t="str">
        <f>IFERROR(__xludf.DUMMYFUNCTION("""COMPUTED_VALUE"""),"central nucleus of inferior colliculus")</f>
        <v>central nucleus of inferior colliculus</v>
      </c>
      <c r="F2720" s="9" t="str">
        <f>IFERROR(__xludf.DUMMYFUNCTION("""COMPUTED_VALUE"""),"Br")</f>
        <v>Br</v>
      </c>
      <c r="G2720" s="9" t="str">
        <f>IFERROR(__xludf.DUMMYFUNCTION("""COMPUTED_VALUE"""),"M")</f>
        <v>M</v>
      </c>
      <c r="H2720" s="9" t="str">
        <f>IFERROR(__xludf.DUMMYFUNCTION("""COMPUTED_VALUE"""),"MGM")</f>
        <v>MGM</v>
      </c>
      <c r="I2720" s="9" t="str">
        <f>IFERROR(__xludf.DUMMYFUNCTION("""COMPUTED_VALUE"""),"MTc")</f>
        <v>MTc</v>
      </c>
      <c r="J2720" s="9" t="str">
        <f>IFERROR(__xludf.DUMMYFUNCTION("""COMPUTED_VALUE"""),"IC")</f>
        <v>IC</v>
      </c>
      <c r="K2720" s="9" t="str">
        <f>IFERROR(__xludf.DUMMYFUNCTION("""COMPUTED_VALUE"""),"CIC")</f>
        <v>CIC</v>
      </c>
      <c r="L2720" s="9"/>
      <c r="M2720" s="9"/>
      <c r="N2720" s="9"/>
      <c r="O2720" s="9"/>
      <c r="P2720" s="9"/>
      <c r="Q2720" s="9"/>
      <c r="R2720" s="9"/>
      <c r="S2720" s="42"/>
      <c r="T2720" s="42"/>
      <c r="U2720" s="42"/>
      <c r="V2720" s="42"/>
      <c r="W2720" s="42"/>
      <c r="X2720" s="42"/>
      <c r="Y2720" s="42"/>
      <c r="Z2720" s="42"/>
      <c r="AA2720" s="42"/>
      <c r="AB2720" s="42" t="str">
        <f>IFERROR(__xludf.DUMMYFUNCTION("""COMPUTED_VALUE"""),"allen institute")</f>
        <v>allen institute</v>
      </c>
      <c r="AC2720" s="42" t="str">
        <f>IFERROR(__xludf.DUMMYFUNCTION("""COMPUTED_VALUE"""),"DHBA")</f>
        <v>DHBA</v>
      </c>
      <c r="AD2720" s="42"/>
      <c r="AE2720" s="42"/>
      <c r="AF2720" s="9"/>
      <c r="AG2720" s="9"/>
      <c r="AH2720" s="42"/>
      <c r="AI2720" s="42"/>
      <c r="AJ2720" s="42"/>
      <c r="AK2720" s="42"/>
      <c r="AL2720" s="42"/>
      <c r="AM2720" s="42"/>
      <c r="AN2720" s="42"/>
      <c r="AO2720" s="63" t="str">
        <f>IFERROR(__xludf.DUMMYFUNCTION("IF(ISBLANK(A2720),,IF(ISBLANK(S2720), A2720&amp;"";"", TEXTJOIN(CHAR(10), TRUE, A2720&amp;"";"", ARRAYFORMULA(VLOOKUP(SPLIT(S2720, "";"" &amp; CHAR(10)), $A:$AO, 41, FALSE)))))"),"CIC;")</f>
        <v>CIC;</v>
      </c>
      <c r="AP2720" s="89"/>
    </row>
    <row r="2721">
      <c r="A2721" s="151" t="str">
        <f>IFERROR(__xludf.DUMMYFUNCTION("""COMPUTED_VALUE"""),"ICN")</f>
        <v>ICN</v>
      </c>
      <c r="B2721" s="42" t="str">
        <f>IFERROR(__xludf.DUMMYFUNCTION("""COMPUTED_VALUE"""),"DHBA")</f>
        <v>DHBA</v>
      </c>
      <c r="C2721" s="42" t="str">
        <f>IFERROR(__xludf.DUMMYFUNCTION("""COMPUTED_VALUE"""),"intercollicular nucleus")</f>
        <v>intercollicular nucleus</v>
      </c>
      <c r="D2721" s="42">
        <f>IFERROR(__xludf.DUMMYFUNCTION("""COMPUTED_VALUE"""),2592.0)</f>
        <v>2592</v>
      </c>
      <c r="E2721" s="39" t="str">
        <f>IFERROR(__xludf.DUMMYFUNCTION("""COMPUTED_VALUE"""),"intercollicular nucleus")</f>
        <v>intercollicular nucleus</v>
      </c>
      <c r="F2721" s="9" t="str">
        <f>IFERROR(__xludf.DUMMYFUNCTION("""COMPUTED_VALUE"""),"Br")</f>
        <v>Br</v>
      </c>
      <c r="G2721" s="9" t="str">
        <f>IFERROR(__xludf.DUMMYFUNCTION("""COMPUTED_VALUE"""),"M")</f>
        <v>M</v>
      </c>
      <c r="H2721" s="9" t="str">
        <f>IFERROR(__xludf.DUMMYFUNCTION("""COMPUTED_VALUE"""),"MGM")</f>
        <v>MGM</v>
      </c>
      <c r="I2721" s="9" t="str">
        <f>IFERROR(__xludf.DUMMYFUNCTION("""COMPUTED_VALUE"""),"MTc")</f>
        <v>MTc</v>
      </c>
      <c r="J2721" s="9" t="str">
        <f>IFERROR(__xludf.DUMMYFUNCTION("""COMPUTED_VALUE"""),"ICN")</f>
        <v>ICN</v>
      </c>
      <c r="K2721" s="9"/>
      <c r="L2721" s="9"/>
      <c r="M2721" s="9"/>
      <c r="N2721" s="9"/>
      <c r="O2721" s="9"/>
      <c r="P2721" s="9"/>
      <c r="Q2721" s="9"/>
      <c r="R2721" s="9"/>
      <c r="S2721" s="42"/>
      <c r="T2721" s="42"/>
      <c r="U2721" s="42"/>
      <c r="V2721" s="42"/>
      <c r="W2721" s="42"/>
      <c r="X2721" s="42"/>
      <c r="Y2721" s="42"/>
      <c r="Z2721" s="42"/>
      <c r="AA2721" s="42"/>
      <c r="AB2721" s="42" t="str">
        <f>IFERROR(__xludf.DUMMYFUNCTION("""COMPUTED_VALUE"""),"allen institute")</f>
        <v>allen institute</v>
      </c>
      <c r="AC2721" s="42" t="str">
        <f>IFERROR(__xludf.DUMMYFUNCTION("""COMPUTED_VALUE"""),"DHBA")</f>
        <v>DHBA</v>
      </c>
      <c r="AD2721" s="42"/>
      <c r="AE2721" s="42"/>
      <c r="AF2721" s="9"/>
      <c r="AG2721" s="9"/>
      <c r="AH2721" s="42"/>
      <c r="AI2721" s="42"/>
      <c r="AJ2721" s="42"/>
      <c r="AK2721" s="42"/>
      <c r="AL2721" s="42"/>
      <c r="AM2721" s="42"/>
      <c r="AN2721" s="42"/>
      <c r="AO2721" s="63" t="str">
        <f>IFERROR(__xludf.DUMMYFUNCTION("IF(ISBLANK(A2721),,IF(ISBLANK(S2721), A2721&amp;"";"", TEXTJOIN(CHAR(10), TRUE, A2721&amp;"";"", ARRAYFORMULA(VLOOKUP(SPLIT(S2721, "";"" &amp; CHAR(10)), $A:$AO, 41, FALSE)))))"),"ICN;")</f>
        <v>ICN;</v>
      </c>
      <c r="AP2721" s="89"/>
    </row>
    <row r="2722">
      <c r="A2722" s="151" t="str">
        <f>IFERROR(__xludf.DUMMYFUNCTION("""COMPUTED_VALUE"""),"INPC")</f>
        <v>INPC</v>
      </c>
      <c r="B2722" s="42" t="str">
        <f>IFERROR(__xludf.DUMMYFUNCTION("""COMPUTED_VALUE"""),"DHBA")</f>
        <v>DHBA</v>
      </c>
      <c r="C2722" s="42" t="str">
        <f>IFERROR(__xludf.DUMMYFUNCTION("""COMPUTED_VALUE"""),"interstitial nucleus of posterior commissure")</f>
        <v>interstitial nucleus of posterior commissure</v>
      </c>
      <c r="D2722" s="42">
        <f>IFERROR(__xludf.DUMMYFUNCTION("""COMPUTED_VALUE"""),2593.0)</f>
        <v>2593</v>
      </c>
      <c r="E2722" s="39" t="str">
        <f>IFERROR(__xludf.DUMMYFUNCTION("""COMPUTED_VALUE"""),"interstitial nucleus of posterior commissure")</f>
        <v>interstitial nucleus of posterior commissure</v>
      </c>
      <c r="F2722" s="9" t="str">
        <f>IFERROR(__xludf.DUMMYFUNCTION("""COMPUTED_VALUE"""),"Br")</f>
        <v>Br</v>
      </c>
      <c r="G2722" s="9" t="str">
        <f>IFERROR(__xludf.DUMMYFUNCTION("""COMPUTED_VALUE"""),"M")</f>
        <v>M</v>
      </c>
      <c r="H2722" s="9" t="str">
        <f>IFERROR(__xludf.DUMMYFUNCTION("""COMPUTED_VALUE"""),"MGM")</f>
        <v>MGM</v>
      </c>
      <c r="I2722" s="9" t="str">
        <f>IFERROR(__xludf.DUMMYFUNCTION("""COMPUTED_VALUE"""),"MTc")</f>
        <v>MTc</v>
      </c>
      <c r="J2722" s="9" t="str">
        <f>IFERROR(__xludf.DUMMYFUNCTION("""COMPUTED_VALUE"""),"INPC")</f>
        <v>INPC</v>
      </c>
      <c r="K2722" s="9"/>
      <c r="L2722" s="9"/>
      <c r="M2722" s="9"/>
      <c r="N2722" s="9"/>
      <c r="O2722" s="9"/>
      <c r="P2722" s="9"/>
      <c r="Q2722" s="9"/>
      <c r="R2722" s="9"/>
      <c r="S2722" s="42"/>
      <c r="T2722" s="42"/>
      <c r="U2722" s="42"/>
      <c r="V2722" s="42"/>
      <c r="W2722" s="42"/>
      <c r="X2722" s="42"/>
      <c r="Y2722" s="42"/>
      <c r="Z2722" s="42"/>
      <c r="AA2722" s="42"/>
      <c r="AB2722" s="42" t="str">
        <f>IFERROR(__xludf.DUMMYFUNCTION("""COMPUTED_VALUE"""),"allen institute")</f>
        <v>allen institute</v>
      </c>
      <c r="AC2722" s="42" t="str">
        <f>IFERROR(__xludf.DUMMYFUNCTION("""COMPUTED_VALUE"""),"DHBA")</f>
        <v>DHBA</v>
      </c>
      <c r="AD2722" s="42"/>
      <c r="AE2722" s="42"/>
      <c r="AF2722" s="9"/>
      <c r="AG2722" s="9"/>
      <c r="AH2722" s="42"/>
      <c r="AI2722" s="42"/>
      <c r="AJ2722" s="42"/>
      <c r="AK2722" s="42"/>
      <c r="AL2722" s="42"/>
      <c r="AM2722" s="42"/>
      <c r="AN2722" s="42"/>
      <c r="AO2722" s="63" t="str">
        <f>IFERROR(__xludf.DUMMYFUNCTION("IF(ISBLANK(A2722),,IF(ISBLANK(S2722), A2722&amp;"";"", TEXTJOIN(CHAR(10), TRUE, A2722&amp;"";"", ARRAYFORMULA(VLOOKUP(SPLIT(S2722, "";"" &amp; CHAR(10)), $A:$AO, 41, FALSE)))))"),"INPC;")</f>
        <v>INPC;</v>
      </c>
      <c r="AP2722" s="89"/>
    </row>
    <row r="2723">
      <c r="A2723" s="151" t="str">
        <f>IFERROR(__xludf.DUMMYFUNCTION("""COMPUTED_VALUE"""),"MxTZ")</f>
        <v>MxTZ</v>
      </c>
      <c r="B2723" s="42" t="str">
        <f>IFERROR(__xludf.DUMMYFUNCTION("""COMPUTED_VALUE"""),"DHBA")</f>
        <v>DHBA</v>
      </c>
      <c r="C2723" s="42" t="str">
        <f>IFERROR(__xludf.DUMMYFUNCTION("""COMPUTED_VALUE"""),"matrix layer of the tectal zone")</f>
        <v>matrix layer of the tectal zone</v>
      </c>
      <c r="D2723" s="42">
        <f>IFERROR(__xludf.DUMMYFUNCTION("""COMPUTED_VALUE"""),2594.0)</f>
        <v>2594</v>
      </c>
      <c r="E2723" s="39" t="str">
        <f>IFERROR(__xludf.DUMMYFUNCTION("""COMPUTED_VALUE"""),"matrix layer of the tectal zone")</f>
        <v>matrix layer of the tectal zone</v>
      </c>
      <c r="F2723" s="9" t="str">
        <f>IFERROR(__xludf.DUMMYFUNCTION("""COMPUTED_VALUE"""),"Br")</f>
        <v>Br</v>
      </c>
      <c r="G2723" s="9" t="str">
        <f>IFERROR(__xludf.DUMMYFUNCTION("""COMPUTED_VALUE"""),"M")</f>
        <v>M</v>
      </c>
      <c r="H2723" s="9" t="str">
        <f>IFERROR(__xludf.DUMMYFUNCTION("""COMPUTED_VALUE"""),"MGM")</f>
        <v>MGM</v>
      </c>
      <c r="I2723" s="9" t="str">
        <f>IFERROR(__xludf.DUMMYFUNCTION("""COMPUTED_VALUE"""),"MTc")</f>
        <v>MTc</v>
      </c>
      <c r="J2723" s="9" t="str">
        <f>IFERROR(__xludf.DUMMYFUNCTION("""COMPUTED_VALUE"""),"MxTZ")</f>
        <v>MxTZ</v>
      </c>
      <c r="K2723" s="9"/>
      <c r="L2723" s="9"/>
      <c r="M2723" s="9"/>
      <c r="N2723" s="9"/>
      <c r="O2723" s="9"/>
      <c r="P2723" s="9"/>
      <c r="Q2723" s="9"/>
      <c r="R2723" s="9"/>
      <c r="S2723" s="42"/>
      <c r="T2723" s="42"/>
      <c r="U2723" s="42"/>
      <c r="V2723" s="42"/>
      <c r="W2723" s="42"/>
      <c r="X2723" s="42"/>
      <c r="Y2723" s="42"/>
      <c r="Z2723" s="42"/>
      <c r="AA2723" s="42"/>
      <c r="AB2723" s="42" t="str">
        <f>IFERROR(__xludf.DUMMYFUNCTION("""COMPUTED_VALUE"""),"allen institute")</f>
        <v>allen institute</v>
      </c>
      <c r="AC2723" s="42" t="str">
        <f>IFERROR(__xludf.DUMMYFUNCTION("""COMPUTED_VALUE"""),"DHBA")</f>
        <v>DHBA</v>
      </c>
      <c r="AD2723" s="42"/>
      <c r="AE2723" s="42"/>
      <c r="AF2723" s="9"/>
      <c r="AG2723" s="9"/>
      <c r="AH2723" s="42"/>
      <c r="AI2723" s="42"/>
      <c r="AJ2723" s="42"/>
      <c r="AK2723" s="42"/>
      <c r="AL2723" s="42"/>
      <c r="AM2723" s="42"/>
      <c r="AN2723" s="42"/>
      <c r="AO2723" s="63" t="str">
        <f>IFERROR(__xludf.DUMMYFUNCTION("IF(ISBLANK(A2723),,IF(ISBLANK(S2723), A2723&amp;"";"", TEXTJOIN(CHAR(10), TRUE, A2723&amp;"";"", ARRAYFORMULA(VLOOKUP(SPLIT(S2723, "";"" &amp; CHAR(10)), $A:$AO, 41, FALSE)))))"),"MxTZ;")</f>
        <v>MxTZ;</v>
      </c>
      <c r="AP2723" s="89"/>
    </row>
    <row r="2724">
      <c r="A2724" s="151" t="str">
        <f>IFERROR(__xludf.DUMMYFUNCTION("""COMPUTED_VALUE"""),"BrIC")</f>
        <v>BrIC</v>
      </c>
      <c r="B2724" s="42" t="str">
        <f>IFERROR(__xludf.DUMMYFUNCTION("""COMPUTED_VALUE"""),"DHBA")</f>
        <v>DHBA</v>
      </c>
      <c r="C2724" s="42" t="str">
        <f>IFERROR(__xludf.DUMMYFUNCTION("""COMPUTED_VALUE"""),"nucleus of the brachium of inferior colliculus")</f>
        <v>nucleus of the brachium of inferior colliculus</v>
      </c>
      <c r="D2724" s="42">
        <f>IFERROR(__xludf.DUMMYFUNCTION("""COMPUTED_VALUE"""),2595.0)</f>
        <v>2595</v>
      </c>
      <c r="E2724" s="39" t="str">
        <f>IFERROR(__xludf.DUMMYFUNCTION("""COMPUTED_VALUE"""),"nucleus of the brachium of inferior colliculus")</f>
        <v>nucleus of the brachium of inferior colliculus</v>
      </c>
      <c r="F2724" s="9" t="str">
        <f>IFERROR(__xludf.DUMMYFUNCTION("""COMPUTED_VALUE"""),"Br")</f>
        <v>Br</v>
      </c>
      <c r="G2724" s="9" t="str">
        <f>IFERROR(__xludf.DUMMYFUNCTION("""COMPUTED_VALUE"""),"M")</f>
        <v>M</v>
      </c>
      <c r="H2724" s="9" t="str">
        <f>IFERROR(__xludf.DUMMYFUNCTION("""COMPUTED_VALUE"""),"MGM")</f>
        <v>MGM</v>
      </c>
      <c r="I2724" s="9" t="str">
        <f>IFERROR(__xludf.DUMMYFUNCTION("""COMPUTED_VALUE"""),"MTc")</f>
        <v>MTc</v>
      </c>
      <c r="J2724" s="9" t="str">
        <f>IFERROR(__xludf.DUMMYFUNCTION("""COMPUTED_VALUE"""),"BrIC")</f>
        <v>BrIC</v>
      </c>
      <c r="K2724" s="9"/>
      <c r="L2724" s="9"/>
      <c r="M2724" s="9"/>
      <c r="N2724" s="9"/>
      <c r="O2724" s="9"/>
      <c r="P2724" s="9"/>
      <c r="Q2724" s="9"/>
      <c r="R2724" s="9"/>
      <c r="S2724" s="42"/>
      <c r="T2724" s="42"/>
      <c r="U2724" s="42"/>
      <c r="V2724" s="42"/>
      <c r="W2724" s="42"/>
      <c r="X2724" s="42"/>
      <c r="Y2724" s="42"/>
      <c r="Z2724" s="42"/>
      <c r="AA2724" s="42"/>
      <c r="AB2724" s="42" t="str">
        <f>IFERROR(__xludf.DUMMYFUNCTION("""COMPUTED_VALUE"""),"allen institute")</f>
        <v>allen institute</v>
      </c>
      <c r="AC2724" s="42" t="str">
        <f>IFERROR(__xludf.DUMMYFUNCTION("""COMPUTED_VALUE"""),"DHBA")</f>
        <v>DHBA</v>
      </c>
      <c r="AD2724" s="42"/>
      <c r="AE2724" s="42"/>
      <c r="AF2724" s="9"/>
      <c r="AG2724" s="9"/>
      <c r="AH2724" s="42"/>
      <c r="AI2724" s="42"/>
      <c r="AJ2724" s="42"/>
      <c r="AK2724" s="42"/>
      <c r="AL2724" s="42"/>
      <c r="AM2724" s="42"/>
      <c r="AN2724" s="42"/>
      <c r="AO2724" s="63" t="str">
        <f>IFERROR(__xludf.DUMMYFUNCTION("IF(ISBLANK(A2724),,IF(ISBLANK(S2724), A2724&amp;"";"", TEXTJOIN(CHAR(10), TRUE, A2724&amp;"";"", ARRAYFORMULA(VLOOKUP(SPLIT(S2724, "";"" &amp; CHAR(10)), $A:$AO, 41, FALSE)))))"),"BrIC;")</f>
        <v>BrIC;</v>
      </c>
      <c r="AP2724" s="89"/>
    </row>
    <row r="2725">
      <c r="A2725" s="151" t="str">
        <f>IFERROR(__xludf.DUMMYFUNCTION("""COMPUTED_VALUE"""),"PBG")</f>
        <v>PBG</v>
      </c>
      <c r="B2725" s="42" t="str">
        <f>IFERROR(__xludf.DUMMYFUNCTION("""COMPUTED_VALUE"""),"DHBA")</f>
        <v>DHBA</v>
      </c>
      <c r="C2725" s="42" t="str">
        <f>IFERROR(__xludf.DUMMYFUNCTION("""COMPUTED_VALUE"""),"parabigeminal nucleus")</f>
        <v>parabigeminal nucleus</v>
      </c>
      <c r="D2725" s="42">
        <f>IFERROR(__xludf.DUMMYFUNCTION("""COMPUTED_VALUE"""),2596.0)</f>
        <v>2596</v>
      </c>
      <c r="E2725" s="39" t="str">
        <f>IFERROR(__xludf.DUMMYFUNCTION("""COMPUTED_VALUE"""),"parabigeminal nucleus")</f>
        <v>parabigeminal nucleus</v>
      </c>
      <c r="F2725" s="9" t="str">
        <f>IFERROR(__xludf.DUMMYFUNCTION("""COMPUTED_VALUE"""),"Br")</f>
        <v>Br</v>
      </c>
      <c r="G2725" s="9" t="str">
        <f>IFERROR(__xludf.DUMMYFUNCTION("""COMPUTED_VALUE"""),"M")</f>
        <v>M</v>
      </c>
      <c r="H2725" s="9" t="str">
        <f>IFERROR(__xludf.DUMMYFUNCTION("""COMPUTED_VALUE"""),"MGM")</f>
        <v>MGM</v>
      </c>
      <c r="I2725" s="9" t="str">
        <f>IFERROR(__xludf.DUMMYFUNCTION("""COMPUTED_VALUE"""),"MTc")</f>
        <v>MTc</v>
      </c>
      <c r="J2725" s="9" t="str">
        <f>IFERROR(__xludf.DUMMYFUNCTION("""COMPUTED_VALUE"""),"PBG")</f>
        <v>PBG</v>
      </c>
      <c r="K2725" s="9"/>
      <c r="L2725" s="9"/>
      <c r="M2725" s="9"/>
      <c r="N2725" s="9"/>
      <c r="O2725" s="9"/>
      <c r="P2725" s="9"/>
      <c r="Q2725" s="9"/>
      <c r="R2725" s="9"/>
      <c r="S2725" s="42"/>
      <c r="T2725" s="42"/>
      <c r="U2725" s="42"/>
      <c r="V2725" s="42"/>
      <c r="W2725" s="42"/>
      <c r="X2725" s="42"/>
      <c r="Y2725" s="42"/>
      <c r="Z2725" s="42"/>
      <c r="AA2725" s="42"/>
      <c r="AB2725" s="42" t="str">
        <f>IFERROR(__xludf.DUMMYFUNCTION("""COMPUTED_VALUE"""),"allen institute")</f>
        <v>allen institute</v>
      </c>
      <c r="AC2725" s="42" t="str">
        <f>IFERROR(__xludf.DUMMYFUNCTION("""COMPUTED_VALUE"""),"DHBA")</f>
        <v>DHBA</v>
      </c>
      <c r="AD2725" s="42"/>
      <c r="AE2725" s="42"/>
      <c r="AF2725" s="9"/>
      <c r="AG2725" s="9"/>
      <c r="AH2725" s="42"/>
      <c r="AI2725" s="42"/>
      <c r="AJ2725" s="42"/>
      <c r="AK2725" s="42"/>
      <c r="AL2725" s="42"/>
      <c r="AM2725" s="42"/>
      <c r="AN2725" s="42"/>
      <c r="AO2725" s="63" t="str">
        <f>IFERROR(__xludf.DUMMYFUNCTION("IF(ISBLANK(A2725),,IF(ISBLANK(S2725), A2725&amp;"";"", TEXTJOIN(CHAR(10), TRUE, A2725&amp;"";"", ARRAYFORMULA(VLOOKUP(SPLIT(S2725, "";"" &amp; CHAR(10)), $A:$AO, 41, FALSE)))))"),"PBG;")</f>
        <v>PBG;</v>
      </c>
      <c r="AP2725" s="89"/>
    </row>
    <row r="2726">
      <c r="A2726" s="151" t="str">
        <f>IFERROR(__xludf.DUMMYFUNCTION("""COMPUTED_VALUE"""),"Sag")</f>
        <v>Sag</v>
      </c>
      <c r="B2726" s="42" t="str">
        <f>IFERROR(__xludf.DUMMYFUNCTION("""COMPUTED_VALUE"""),"DHBA")</f>
        <v>DHBA</v>
      </c>
      <c r="C2726" s="42" t="str">
        <f>IFERROR(__xludf.DUMMYFUNCTION("""COMPUTED_VALUE"""),"sagulum nucleus")</f>
        <v>sagulum nucleus</v>
      </c>
      <c r="D2726" s="42">
        <f>IFERROR(__xludf.DUMMYFUNCTION("""COMPUTED_VALUE"""),2597.0)</f>
        <v>2597</v>
      </c>
      <c r="E2726" s="39" t="str">
        <f>IFERROR(__xludf.DUMMYFUNCTION("""COMPUTED_VALUE"""),"sagulum nucleus")</f>
        <v>sagulum nucleus</v>
      </c>
      <c r="F2726" s="9" t="str">
        <f>IFERROR(__xludf.DUMMYFUNCTION("""COMPUTED_VALUE"""),"Br")</f>
        <v>Br</v>
      </c>
      <c r="G2726" s="9" t="str">
        <f>IFERROR(__xludf.DUMMYFUNCTION("""COMPUTED_VALUE"""),"M")</f>
        <v>M</v>
      </c>
      <c r="H2726" s="9" t="str">
        <f>IFERROR(__xludf.DUMMYFUNCTION("""COMPUTED_VALUE"""),"MGM")</f>
        <v>MGM</v>
      </c>
      <c r="I2726" s="9" t="str">
        <f>IFERROR(__xludf.DUMMYFUNCTION("""COMPUTED_VALUE"""),"MTc")</f>
        <v>MTc</v>
      </c>
      <c r="J2726" s="9" t="str">
        <f>IFERROR(__xludf.DUMMYFUNCTION("""COMPUTED_VALUE"""),"Sag")</f>
        <v>Sag</v>
      </c>
      <c r="K2726" s="9"/>
      <c r="L2726" s="9"/>
      <c r="M2726" s="9"/>
      <c r="N2726" s="9"/>
      <c r="O2726" s="9"/>
      <c r="P2726" s="9"/>
      <c r="Q2726" s="9"/>
      <c r="R2726" s="9"/>
      <c r="S2726" s="42"/>
      <c r="T2726" s="42"/>
      <c r="U2726" s="42"/>
      <c r="V2726" s="42"/>
      <c r="W2726" s="42"/>
      <c r="X2726" s="42"/>
      <c r="Y2726" s="42"/>
      <c r="Z2726" s="42"/>
      <c r="AA2726" s="42"/>
      <c r="AB2726" s="42" t="str">
        <f>IFERROR(__xludf.DUMMYFUNCTION("""COMPUTED_VALUE"""),"allen institute")</f>
        <v>allen institute</v>
      </c>
      <c r="AC2726" s="42" t="str">
        <f>IFERROR(__xludf.DUMMYFUNCTION("""COMPUTED_VALUE"""),"DHBA")</f>
        <v>DHBA</v>
      </c>
      <c r="AD2726" s="42"/>
      <c r="AE2726" s="42"/>
      <c r="AF2726" s="9"/>
      <c r="AG2726" s="9"/>
      <c r="AH2726" s="42"/>
      <c r="AI2726" s="42"/>
      <c r="AJ2726" s="42"/>
      <c r="AK2726" s="42"/>
      <c r="AL2726" s="42"/>
      <c r="AM2726" s="42"/>
      <c r="AN2726" s="42"/>
      <c r="AO2726" s="63" t="str">
        <f>IFERROR(__xludf.DUMMYFUNCTION("IF(ISBLANK(A2726),,IF(ISBLANK(S2726), A2726&amp;"";"", TEXTJOIN(CHAR(10), TRUE, A2726&amp;"";"", ARRAYFORMULA(VLOOKUP(SPLIT(S2726, "";"" &amp; CHAR(10)), $A:$AO, 41, FALSE)))))"),"Sag;")</f>
        <v>Sag;</v>
      </c>
      <c r="AP2726" s="89"/>
    </row>
    <row r="2727">
      <c r="A2727" s="151" t="str">
        <f>IFERROR(__xludf.DUMMYFUNCTION("""COMPUTED_VALUE"""),"SCO")</f>
        <v>SCO</v>
      </c>
      <c r="B2727" s="42" t="str">
        <f>IFERROR(__xludf.DUMMYFUNCTION("""COMPUTED_VALUE"""),"DHBA")</f>
        <v>DHBA</v>
      </c>
      <c r="C2727" s="42" t="str">
        <f>IFERROR(__xludf.DUMMYFUNCTION("""COMPUTED_VALUE"""),"subcommissural organ")</f>
        <v>subcommissural organ</v>
      </c>
      <c r="D2727" s="42">
        <f>IFERROR(__xludf.DUMMYFUNCTION("""COMPUTED_VALUE"""),2598.0)</f>
        <v>2598</v>
      </c>
      <c r="E2727" s="39" t="str">
        <f>IFERROR(__xludf.DUMMYFUNCTION("""COMPUTED_VALUE"""),"subcommissural organ")</f>
        <v>subcommissural organ</v>
      </c>
      <c r="F2727" s="9" t="str">
        <f>IFERROR(__xludf.DUMMYFUNCTION("""COMPUTED_VALUE"""),"Br")</f>
        <v>Br</v>
      </c>
      <c r="G2727" s="9" t="str">
        <f>IFERROR(__xludf.DUMMYFUNCTION("""COMPUTED_VALUE"""),"M")</f>
        <v>M</v>
      </c>
      <c r="H2727" s="9" t="str">
        <f>IFERROR(__xludf.DUMMYFUNCTION("""COMPUTED_VALUE"""),"MGM")</f>
        <v>MGM</v>
      </c>
      <c r="I2727" s="9" t="str">
        <f>IFERROR(__xludf.DUMMYFUNCTION("""COMPUTED_VALUE"""),"MTc")</f>
        <v>MTc</v>
      </c>
      <c r="J2727" s="9" t="str">
        <f>IFERROR(__xludf.DUMMYFUNCTION("""COMPUTED_VALUE"""),"SCO")</f>
        <v>SCO</v>
      </c>
      <c r="K2727" s="9"/>
      <c r="L2727" s="9"/>
      <c r="M2727" s="9"/>
      <c r="N2727" s="9"/>
      <c r="O2727" s="9"/>
      <c r="P2727" s="9"/>
      <c r="Q2727" s="9"/>
      <c r="R2727" s="9"/>
      <c r="S2727" s="42"/>
      <c r="T2727" s="42"/>
      <c r="U2727" s="42"/>
      <c r="V2727" s="42"/>
      <c r="W2727" s="42"/>
      <c r="X2727" s="42"/>
      <c r="Y2727" s="42"/>
      <c r="Z2727" s="42"/>
      <c r="AA2727" s="42"/>
      <c r="AB2727" s="42" t="str">
        <f>IFERROR(__xludf.DUMMYFUNCTION("""COMPUTED_VALUE"""),"allen institute")</f>
        <v>allen institute</v>
      </c>
      <c r="AC2727" s="42" t="str">
        <f>IFERROR(__xludf.DUMMYFUNCTION("""COMPUTED_VALUE"""),"DHBA")</f>
        <v>DHBA</v>
      </c>
      <c r="AD2727" s="42"/>
      <c r="AE2727" s="42"/>
      <c r="AF2727" s="9"/>
      <c r="AG2727" s="9"/>
      <c r="AH2727" s="42"/>
      <c r="AI2727" s="42"/>
      <c r="AJ2727" s="42"/>
      <c r="AK2727" s="42"/>
      <c r="AL2727" s="42"/>
      <c r="AM2727" s="42"/>
      <c r="AN2727" s="42"/>
      <c r="AO2727" s="63" t="str">
        <f>IFERROR(__xludf.DUMMYFUNCTION("IF(ISBLANK(A2727),,IF(ISBLANK(S2727), A2727&amp;"";"", TEXTJOIN(CHAR(10), TRUE, A2727&amp;"";"", ARRAYFORMULA(VLOOKUP(SPLIT(S2727, "";"" &amp; CHAR(10)), $A:$AO, 41, FALSE)))))"),"SCO;")</f>
        <v>SCO;</v>
      </c>
      <c r="AP2727" s="89"/>
    </row>
    <row r="2728">
      <c r="A2728" s="151" t="str">
        <f>IFERROR(__xludf.DUMMYFUNCTION("""COMPUTED_VALUE"""),"MTS")</f>
        <v>MTS</v>
      </c>
      <c r="B2728" s="42" t="str">
        <f>IFERROR(__xludf.DUMMYFUNCTION("""COMPUTED_VALUE"""),"DHBA")</f>
        <v>DHBA</v>
      </c>
      <c r="C2728" s="42" t="str">
        <f>IFERROR(__xludf.DUMMYFUNCTION("""COMPUTED_VALUE"""),"transient structures of midbrain")</f>
        <v>transient structures of midbrain</v>
      </c>
      <c r="D2728" s="42">
        <f>IFERROR(__xludf.DUMMYFUNCTION("""COMPUTED_VALUE"""),2599.0)</f>
        <v>2599</v>
      </c>
      <c r="E2728" s="39" t="str">
        <f>IFERROR(__xludf.DUMMYFUNCTION("""COMPUTED_VALUE"""),"transient structures of midbrain")</f>
        <v>transient structures of midbrain</v>
      </c>
      <c r="F2728" s="9" t="str">
        <f>IFERROR(__xludf.DUMMYFUNCTION("""COMPUTED_VALUE"""),"Br")</f>
        <v>Br</v>
      </c>
      <c r="G2728" s="9" t="str">
        <f>IFERROR(__xludf.DUMMYFUNCTION("""COMPUTED_VALUE"""),"M")</f>
        <v>M</v>
      </c>
      <c r="H2728" s="9" t="str">
        <f>IFERROR(__xludf.DUMMYFUNCTION("""COMPUTED_VALUE"""),"MGM")</f>
        <v>MGM</v>
      </c>
      <c r="I2728" s="9" t="str">
        <f>IFERROR(__xludf.DUMMYFUNCTION("""COMPUTED_VALUE"""),"MTS")</f>
        <v>MTS</v>
      </c>
      <c r="J2728" s="9"/>
      <c r="K2728" s="9"/>
      <c r="L2728" s="9"/>
      <c r="M2728" s="9"/>
      <c r="N2728" s="9"/>
      <c r="O2728" s="9"/>
      <c r="P2728" s="9"/>
      <c r="Q2728" s="9"/>
      <c r="R2728" s="9"/>
      <c r="S2728" s="42" t="str">
        <f>IFERROR(__xludf.DUMMYFUNCTION("""COMPUTED_VALUE"""),"MNM;
MZM;
IZM;
VZM")</f>
        <v>MNM;
MZM;
IZM;
VZM</v>
      </c>
      <c r="T2728" s="42"/>
      <c r="U2728" s="42" t="b">
        <f>IFERROR(__xludf.DUMMYFUNCTION("""COMPUTED_VALUE"""),FALSE)</f>
        <v>0</v>
      </c>
      <c r="V2728" s="42"/>
      <c r="W2728" s="42"/>
      <c r="X2728" s="42"/>
      <c r="Y2728" s="42"/>
      <c r="Z2728" s="42"/>
      <c r="AA2728" s="42"/>
      <c r="AB2728" s="42" t="str">
        <f>IFERROR(__xludf.DUMMYFUNCTION("""COMPUTED_VALUE"""),"allen institute")</f>
        <v>allen institute</v>
      </c>
      <c r="AC2728" s="42" t="str">
        <f>IFERROR(__xludf.DUMMYFUNCTION("""COMPUTED_VALUE"""),"DHBA")</f>
        <v>DHBA</v>
      </c>
      <c r="AD2728" s="42"/>
      <c r="AE2728" s="42"/>
      <c r="AF2728" s="9"/>
      <c r="AG2728" s="9"/>
      <c r="AH2728" s="42"/>
      <c r="AI2728" s="42"/>
      <c r="AJ2728" s="42"/>
      <c r="AK2728" s="42"/>
      <c r="AL2728" s="42"/>
      <c r="AM2728" s="42"/>
      <c r="AN2728" s="42"/>
      <c r="AO2728" s="63" t="str">
        <f>IFERROR(__xludf.DUMMYFUNCTION("IF(ISBLANK(A2728),,IF(ISBLANK(S2728), A2728&amp;"";"", TEXTJOIN(CHAR(10), TRUE, A2728&amp;"";"", ARRAYFORMULA(VLOOKUP(SPLIT(S2728, "";"" &amp; CHAR(10)), $A:$AO, 41, FALSE)))))"),"#N/A")</f>
        <v>#N/A</v>
      </c>
      <c r="AP2728" s="89"/>
    </row>
    <row r="2729">
      <c r="A2729" s="151" t="str">
        <f>IFERROR(__xludf.DUMMYFUNCTION("""COMPUTED_VALUE"""),"MNM")</f>
        <v>MNM</v>
      </c>
      <c r="B2729" s="42" t="str">
        <f>IFERROR(__xludf.DUMMYFUNCTION("""COMPUTED_VALUE"""),"DHBA")</f>
        <v>DHBA</v>
      </c>
      <c r="C2729" s="42" t="str">
        <f>IFERROR(__xludf.DUMMYFUNCTION("""COMPUTED_VALUE"""),"mesencephalic neuromere (mesomere)")</f>
        <v>mesencephalic neuromere (mesomere)</v>
      </c>
      <c r="D2729" s="42">
        <f>IFERROR(__xludf.DUMMYFUNCTION("""COMPUTED_VALUE"""),2600.0)</f>
        <v>2600</v>
      </c>
      <c r="E2729" s="39" t="str">
        <f>IFERROR(__xludf.DUMMYFUNCTION("""COMPUTED_VALUE"""),"mesencephalic neuromere (mesomere)")</f>
        <v>mesencephalic neuromere (mesomere)</v>
      </c>
      <c r="F2729" s="9" t="str">
        <f>IFERROR(__xludf.DUMMYFUNCTION("""COMPUTED_VALUE"""),"Br")</f>
        <v>Br</v>
      </c>
      <c r="G2729" s="9" t="str">
        <f>IFERROR(__xludf.DUMMYFUNCTION("""COMPUTED_VALUE"""),"M")</f>
        <v>M</v>
      </c>
      <c r="H2729" s="9" t="str">
        <f>IFERROR(__xludf.DUMMYFUNCTION("""COMPUTED_VALUE"""),"MGM")</f>
        <v>MGM</v>
      </c>
      <c r="I2729" s="9" t="str">
        <f>IFERROR(__xludf.DUMMYFUNCTION("""COMPUTED_VALUE"""),"MTS")</f>
        <v>MTS</v>
      </c>
      <c r="J2729" s="9" t="str">
        <f>IFERROR(__xludf.DUMMYFUNCTION("""COMPUTED_VALUE"""),"MNM")</f>
        <v>MNM</v>
      </c>
      <c r="K2729" s="9"/>
      <c r="L2729" s="9"/>
      <c r="M2729" s="9"/>
      <c r="N2729" s="9"/>
      <c r="O2729" s="9"/>
      <c r="P2729" s="9"/>
      <c r="Q2729" s="9"/>
      <c r="R2729" s="9"/>
      <c r="S2729" s="42" t="str">
        <f>IFERROR(__xludf.DUMMYFUNCTION("""COMPUTED_VALUE"""),"M_1;
M_2")</f>
        <v>M_1;
M_2</v>
      </c>
      <c r="T2729" s="42"/>
      <c r="U2729" s="42" t="b">
        <f>IFERROR(__xludf.DUMMYFUNCTION("""COMPUTED_VALUE"""),FALSE)</f>
        <v>0</v>
      </c>
      <c r="V2729" s="42"/>
      <c r="W2729" s="42"/>
      <c r="X2729" s="42"/>
      <c r="Y2729" s="42"/>
      <c r="Z2729" s="42"/>
      <c r="AA2729" s="42"/>
      <c r="AB2729" s="42" t="str">
        <f>IFERROR(__xludf.DUMMYFUNCTION("""COMPUTED_VALUE"""),"allen institute")</f>
        <v>allen institute</v>
      </c>
      <c r="AC2729" s="42" t="str">
        <f>IFERROR(__xludf.DUMMYFUNCTION("""COMPUTED_VALUE"""),"DHBA")</f>
        <v>DHBA</v>
      </c>
      <c r="AD2729" s="42"/>
      <c r="AE2729" s="42"/>
      <c r="AF2729" s="9"/>
      <c r="AG2729" s="9"/>
      <c r="AH2729" s="42"/>
      <c r="AI2729" s="42"/>
      <c r="AJ2729" s="42"/>
      <c r="AK2729" s="42"/>
      <c r="AL2729" s="42"/>
      <c r="AM2729" s="42"/>
      <c r="AN2729" s="42"/>
      <c r="AO2729" s="63" t="str">
        <f>IFERROR(__xludf.DUMMYFUNCTION("IF(ISBLANK(A2729),,IF(ISBLANK(S2729), A2729&amp;"";"", TEXTJOIN(CHAR(10), TRUE, A2729&amp;"";"", ARRAYFORMULA(VLOOKUP(SPLIT(S2729, "";"" &amp; CHAR(10)), $A:$AO, 41, FALSE)))))"),"#N/A")</f>
        <v>#N/A</v>
      </c>
      <c r="AP2729" s="89"/>
    </row>
    <row r="2730">
      <c r="A2730" s="151" t="str">
        <f>IFERROR(__xludf.DUMMYFUNCTION("""COMPUTED_VALUE"""),"M-1")</f>
        <v>M-1</v>
      </c>
      <c r="B2730" s="42" t="str">
        <f>IFERROR(__xludf.DUMMYFUNCTION("""COMPUTED_VALUE"""),"DHBA")</f>
        <v>DHBA</v>
      </c>
      <c r="C2730" s="42" t="str">
        <f>IFERROR(__xludf.DUMMYFUNCTION("""COMPUTED_VALUE"""),"mesomere 1")</f>
        <v>mesomere 1</v>
      </c>
      <c r="D2730" s="42">
        <f>IFERROR(__xludf.DUMMYFUNCTION("""COMPUTED_VALUE"""),2601.0)</f>
        <v>2601</v>
      </c>
      <c r="E2730" s="39" t="str">
        <f>IFERROR(__xludf.DUMMYFUNCTION("""COMPUTED_VALUE"""),"mesomere 1")</f>
        <v>mesomere 1</v>
      </c>
      <c r="F2730" s="9" t="str">
        <f>IFERROR(__xludf.DUMMYFUNCTION("""COMPUTED_VALUE"""),"Br")</f>
        <v>Br</v>
      </c>
      <c r="G2730" s="9" t="str">
        <f>IFERROR(__xludf.DUMMYFUNCTION("""COMPUTED_VALUE"""),"M")</f>
        <v>M</v>
      </c>
      <c r="H2730" s="9" t="str">
        <f>IFERROR(__xludf.DUMMYFUNCTION("""COMPUTED_VALUE"""),"MGM")</f>
        <v>MGM</v>
      </c>
      <c r="I2730" s="9" t="str">
        <f>IFERROR(__xludf.DUMMYFUNCTION("""COMPUTED_VALUE"""),"MTS")</f>
        <v>MTS</v>
      </c>
      <c r="J2730" s="9" t="str">
        <f>IFERROR(__xludf.DUMMYFUNCTION("""COMPUTED_VALUE"""),"MNM")</f>
        <v>MNM</v>
      </c>
      <c r="K2730" s="9" t="str">
        <f>IFERROR(__xludf.DUMMYFUNCTION("""COMPUTED_VALUE"""),"M-1")</f>
        <v>M-1</v>
      </c>
      <c r="L2730" s="9"/>
      <c r="M2730" s="9"/>
      <c r="N2730" s="9"/>
      <c r="O2730" s="9"/>
      <c r="P2730" s="9"/>
      <c r="Q2730" s="9"/>
      <c r="R2730" s="9"/>
      <c r="S2730" s="42"/>
      <c r="T2730" s="42"/>
      <c r="U2730" s="42"/>
      <c r="V2730" s="42"/>
      <c r="W2730" s="42"/>
      <c r="X2730" s="42"/>
      <c r="Y2730" s="42"/>
      <c r="Z2730" s="42"/>
      <c r="AA2730" s="42"/>
      <c r="AB2730" s="42" t="str">
        <f>IFERROR(__xludf.DUMMYFUNCTION("""COMPUTED_VALUE"""),"allen institute")</f>
        <v>allen institute</v>
      </c>
      <c r="AC2730" s="42" t="str">
        <f>IFERROR(__xludf.DUMMYFUNCTION("""COMPUTED_VALUE"""),"DHBA")</f>
        <v>DHBA</v>
      </c>
      <c r="AD2730" s="42"/>
      <c r="AE2730" s="42"/>
      <c r="AF2730" s="9"/>
      <c r="AG2730" s="9"/>
      <c r="AH2730" s="42"/>
      <c r="AI2730" s="42"/>
      <c r="AJ2730" s="42"/>
      <c r="AK2730" s="42"/>
      <c r="AL2730" s="42"/>
      <c r="AM2730" s="42"/>
      <c r="AN2730" s="42"/>
      <c r="AO2730" s="63" t="str">
        <f>IFERROR(__xludf.DUMMYFUNCTION("IF(ISBLANK(A2730),,IF(ISBLANK(S2730), A2730&amp;"";"", TEXTJOIN(CHAR(10), TRUE, A2730&amp;"";"", ARRAYFORMULA(VLOOKUP(SPLIT(S2730, "";"" &amp; CHAR(10)), $A:$AO, 41, FALSE)))))"),"M-1;")</f>
        <v>M-1;</v>
      </c>
      <c r="AP2730" s="89"/>
    </row>
    <row r="2731">
      <c r="A2731" s="151" t="str">
        <f>IFERROR(__xludf.DUMMYFUNCTION("""COMPUTED_VALUE"""),"M-2")</f>
        <v>M-2</v>
      </c>
      <c r="B2731" s="42" t="str">
        <f>IFERROR(__xludf.DUMMYFUNCTION("""COMPUTED_VALUE"""),"DHBA")</f>
        <v>DHBA</v>
      </c>
      <c r="C2731" s="42" t="str">
        <f>IFERROR(__xludf.DUMMYFUNCTION("""COMPUTED_VALUE"""),"mesomere 2")</f>
        <v>mesomere 2</v>
      </c>
      <c r="D2731" s="42">
        <f>IFERROR(__xludf.DUMMYFUNCTION("""COMPUTED_VALUE"""),2602.0)</f>
        <v>2602</v>
      </c>
      <c r="E2731" s="39" t="str">
        <f>IFERROR(__xludf.DUMMYFUNCTION("""COMPUTED_VALUE"""),"mesomere 2")</f>
        <v>mesomere 2</v>
      </c>
      <c r="F2731" s="9" t="str">
        <f>IFERROR(__xludf.DUMMYFUNCTION("""COMPUTED_VALUE"""),"Br")</f>
        <v>Br</v>
      </c>
      <c r="G2731" s="9" t="str">
        <f>IFERROR(__xludf.DUMMYFUNCTION("""COMPUTED_VALUE"""),"M")</f>
        <v>M</v>
      </c>
      <c r="H2731" s="9" t="str">
        <f>IFERROR(__xludf.DUMMYFUNCTION("""COMPUTED_VALUE"""),"MGM")</f>
        <v>MGM</v>
      </c>
      <c r="I2731" s="9" t="str">
        <f>IFERROR(__xludf.DUMMYFUNCTION("""COMPUTED_VALUE"""),"MTS")</f>
        <v>MTS</v>
      </c>
      <c r="J2731" s="9" t="str">
        <f>IFERROR(__xludf.DUMMYFUNCTION("""COMPUTED_VALUE"""),"MNM")</f>
        <v>MNM</v>
      </c>
      <c r="K2731" s="9" t="str">
        <f>IFERROR(__xludf.DUMMYFUNCTION("""COMPUTED_VALUE"""),"M-2")</f>
        <v>M-2</v>
      </c>
      <c r="L2731" s="9"/>
      <c r="M2731" s="9"/>
      <c r="N2731" s="9"/>
      <c r="O2731" s="9"/>
      <c r="P2731" s="9"/>
      <c r="Q2731" s="9"/>
      <c r="R2731" s="9"/>
      <c r="S2731" s="42"/>
      <c r="T2731" s="42"/>
      <c r="U2731" s="42"/>
      <c r="V2731" s="42"/>
      <c r="W2731" s="42"/>
      <c r="X2731" s="42"/>
      <c r="Y2731" s="42"/>
      <c r="Z2731" s="42"/>
      <c r="AA2731" s="42"/>
      <c r="AB2731" s="42" t="str">
        <f>IFERROR(__xludf.DUMMYFUNCTION("""COMPUTED_VALUE"""),"allen institute")</f>
        <v>allen institute</v>
      </c>
      <c r="AC2731" s="42" t="str">
        <f>IFERROR(__xludf.DUMMYFUNCTION("""COMPUTED_VALUE"""),"DHBA")</f>
        <v>DHBA</v>
      </c>
      <c r="AD2731" s="42"/>
      <c r="AE2731" s="42"/>
      <c r="AF2731" s="9"/>
      <c r="AG2731" s="9"/>
      <c r="AH2731" s="42"/>
      <c r="AI2731" s="42"/>
      <c r="AJ2731" s="42"/>
      <c r="AK2731" s="42"/>
      <c r="AL2731" s="42"/>
      <c r="AM2731" s="42"/>
      <c r="AN2731" s="42"/>
      <c r="AO2731" s="63" t="str">
        <f>IFERROR(__xludf.DUMMYFUNCTION("IF(ISBLANK(A2731),,IF(ISBLANK(S2731), A2731&amp;"";"", TEXTJOIN(CHAR(10), TRUE, A2731&amp;"";"", ARRAYFORMULA(VLOOKUP(SPLIT(S2731, "";"" &amp; CHAR(10)), $A:$AO, 41, FALSE)))))"),"M-2;")</f>
        <v>M-2;</v>
      </c>
      <c r="AP2731" s="89"/>
    </row>
    <row r="2732">
      <c r="A2732" s="151" t="str">
        <f>IFERROR(__xludf.DUMMYFUNCTION("""COMPUTED_VALUE"""),"MZM")</f>
        <v>MZM</v>
      </c>
      <c r="B2732" s="42" t="str">
        <f>IFERROR(__xludf.DUMMYFUNCTION("""COMPUTED_VALUE"""),"DHBA")</f>
        <v>DHBA</v>
      </c>
      <c r="C2732" s="42" t="str">
        <f>IFERROR(__xludf.DUMMYFUNCTION("""COMPUTED_VALUE"""),"marginal zone of midbrain")</f>
        <v>marginal zone of midbrain</v>
      </c>
      <c r="D2732" s="42">
        <f>IFERROR(__xludf.DUMMYFUNCTION("""COMPUTED_VALUE"""),2603.0)</f>
        <v>2603</v>
      </c>
      <c r="E2732" s="39" t="str">
        <f>IFERROR(__xludf.DUMMYFUNCTION("""COMPUTED_VALUE"""),"marginal zone of midbrain")</f>
        <v>marginal zone of midbrain</v>
      </c>
      <c r="F2732" s="9" t="str">
        <f>IFERROR(__xludf.DUMMYFUNCTION("""COMPUTED_VALUE"""),"Br")</f>
        <v>Br</v>
      </c>
      <c r="G2732" s="9" t="str">
        <f>IFERROR(__xludf.DUMMYFUNCTION("""COMPUTED_VALUE"""),"M")</f>
        <v>M</v>
      </c>
      <c r="H2732" s="9" t="str">
        <f>IFERROR(__xludf.DUMMYFUNCTION("""COMPUTED_VALUE"""),"MGM")</f>
        <v>MGM</v>
      </c>
      <c r="I2732" s="9" t="str">
        <f>IFERROR(__xludf.DUMMYFUNCTION("""COMPUTED_VALUE"""),"MTS")</f>
        <v>MTS</v>
      </c>
      <c r="J2732" s="9" t="str">
        <f>IFERROR(__xludf.DUMMYFUNCTION("""COMPUTED_VALUE"""),"MZM")</f>
        <v>MZM</v>
      </c>
      <c r="K2732" s="9"/>
      <c r="L2732" s="9"/>
      <c r="M2732" s="9"/>
      <c r="N2732" s="9"/>
      <c r="O2732" s="9"/>
      <c r="P2732" s="9"/>
      <c r="Q2732" s="9"/>
      <c r="R2732" s="9"/>
      <c r="S2732" s="42"/>
      <c r="T2732" s="42"/>
      <c r="U2732" s="42"/>
      <c r="V2732" s="42"/>
      <c r="W2732" s="42"/>
      <c r="X2732" s="42"/>
      <c r="Y2732" s="42"/>
      <c r="Z2732" s="42"/>
      <c r="AA2732" s="42"/>
      <c r="AB2732" s="42" t="str">
        <f>IFERROR(__xludf.DUMMYFUNCTION("""COMPUTED_VALUE"""),"allen institute")</f>
        <v>allen institute</v>
      </c>
      <c r="AC2732" s="42" t="str">
        <f>IFERROR(__xludf.DUMMYFUNCTION("""COMPUTED_VALUE"""),"DHBA")</f>
        <v>DHBA</v>
      </c>
      <c r="AD2732" s="42"/>
      <c r="AE2732" s="42"/>
      <c r="AF2732" s="9"/>
      <c r="AG2732" s="9"/>
      <c r="AH2732" s="42"/>
      <c r="AI2732" s="42"/>
      <c r="AJ2732" s="42"/>
      <c r="AK2732" s="42"/>
      <c r="AL2732" s="42"/>
      <c r="AM2732" s="42"/>
      <c r="AN2732" s="42"/>
      <c r="AO2732" s="63" t="str">
        <f>IFERROR(__xludf.DUMMYFUNCTION("IF(ISBLANK(A2732),,IF(ISBLANK(S2732), A2732&amp;"";"", TEXTJOIN(CHAR(10), TRUE, A2732&amp;"";"", ARRAYFORMULA(VLOOKUP(SPLIT(S2732, "";"" &amp; CHAR(10)), $A:$AO, 41, FALSE)))))"),"MZM;")</f>
        <v>MZM;</v>
      </c>
      <c r="AP2732" s="89"/>
    </row>
    <row r="2733">
      <c r="A2733" s="151" t="str">
        <f>IFERROR(__xludf.DUMMYFUNCTION("""COMPUTED_VALUE"""),"IZM")</f>
        <v>IZM</v>
      </c>
      <c r="B2733" s="42" t="str">
        <f>IFERROR(__xludf.DUMMYFUNCTION("""COMPUTED_VALUE"""),"DHBA")</f>
        <v>DHBA</v>
      </c>
      <c r="C2733" s="42" t="str">
        <f>IFERROR(__xludf.DUMMYFUNCTION("""COMPUTED_VALUE"""),"intermediate (mantle) zone of midbrain")</f>
        <v>intermediate (mantle) zone of midbrain</v>
      </c>
      <c r="D2733" s="42">
        <f>IFERROR(__xludf.DUMMYFUNCTION("""COMPUTED_VALUE"""),2604.0)</f>
        <v>2604</v>
      </c>
      <c r="E2733" s="39" t="str">
        <f>IFERROR(__xludf.DUMMYFUNCTION("""COMPUTED_VALUE"""),"intermediate (mantle) zone of midbrain")</f>
        <v>intermediate (mantle) zone of midbrain</v>
      </c>
      <c r="F2733" s="9" t="str">
        <f>IFERROR(__xludf.DUMMYFUNCTION("""COMPUTED_VALUE"""),"Br")</f>
        <v>Br</v>
      </c>
      <c r="G2733" s="9" t="str">
        <f>IFERROR(__xludf.DUMMYFUNCTION("""COMPUTED_VALUE"""),"M")</f>
        <v>M</v>
      </c>
      <c r="H2733" s="9" t="str">
        <f>IFERROR(__xludf.DUMMYFUNCTION("""COMPUTED_VALUE"""),"MGM")</f>
        <v>MGM</v>
      </c>
      <c r="I2733" s="9" t="str">
        <f>IFERROR(__xludf.DUMMYFUNCTION("""COMPUTED_VALUE"""),"MTS")</f>
        <v>MTS</v>
      </c>
      <c r="J2733" s="9" t="str">
        <f>IFERROR(__xludf.DUMMYFUNCTION("""COMPUTED_VALUE"""),"IZM")</f>
        <v>IZM</v>
      </c>
      <c r="K2733" s="9"/>
      <c r="L2733" s="9"/>
      <c r="M2733" s="9"/>
      <c r="N2733" s="9"/>
      <c r="O2733" s="9"/>
      <c r="P2733" s="9"/>
      <c r="Q2733" s="9"/>
      <c r="R2733" s="9"/>
      <c r="S2733" s="42" t="str">
        <f>IFERROR(__xludf.DUMMYFUNCTION("""COMPUTED_VALUE"""),"IZMro;
IZMal;
IZMba;
IZMfl")</f>
        <v>IZMro;
IZMal;
IZMba;
IZMfl</v>
      </c>
      <c r="T2733" s="42"/>
      <c r="U2733" s="42" t="b">
        <f>IFERROR(__xludf.DUMMYFUNCTION("""COMPUTED_VALUE"""),FALSE)</f>
        <v>0</v>
      </c>
      <c r="V2733" s="42"/>
      <c r="W2733" s="42"/>
      <c r="X2733" s="42"/>
      <c r="Y2733" s="42"/>
      <c r="Z2733" s="42"/>
      <c r="AA2733" s="42"/>
      <c r="AB2733" s="42" t="str">
        <f>IFERROR(__xludf.DUMMYFUNCTION("""COMPUTED_VALUE"""),"allen institute")</f>
        <v>allen institute</v>
      </c>
      <c r="AC2733" s="42" t="str">
        <f>IFERROR(__xludf.DUMMYFUNCTION("""COMPUTED_VALUE"""),"DHBA")</f>
        <v>DHBA</v>
      </c>
      <c r="AD2733" s="42"/>
      <c r="AE2733" s="42"/>
      <c r="AF2733" s="9"/>
      <c r="AG2733" s="9"/>
      <c r="AH2733" s="42"/>
      <c r="AI2733" s="42"/>
      <c r="AJ2733" s="42"/>
      <c r="AK2733" s="42"/>
      <c r="AL2733" s="42"/>
      <c r="AM2733" s="42"/>
      <c r="AN2733" s="42"/>
      <c r="AO2733" s="63" t="str">
        <f>IFERROR(__xludf.DUMMYFUNCTION("IF(ISBLANK(A2733),,IF(ISBLANK(S2733), A2733&amp;"";"", TEXTJOIN(CHAR(10), TRUE, A2733&amp;"";"", ARRAYFORMULA(VLOOKUP(SPLIT(S2733, "";"" &amp; CHAR(10)), $A:$AO, 41, FALSE)))))"),"IZM;
IZMro;
IZMal;
IZMba;
IZMbam;
IZMbal;
IZMfl;")</f>
        <v>IZM;
IZMro;
IZMal;
IZMba;
IZMbam;
IZMbal;
IZMfl;</v>
      </c>
      <c r="AP2733" s="89"/>
    </row>
    <row r="2734">
      <c r="A2734" s="151" t="str">
        <f>IFERROR(__xludf.DUMMYFUNCTION("""COMPUTED_VALUE"""),"IZMro")</f>
        <v>IZMro</v>
      </c>
      <c r="B2734" s="42" t="str">
        <f>IFERROR(__xludf.DUMMYFUNCTION("""COMPUTED_VALUE"""),"DHBA")</f>
        <v>DHBA</v>
      </c>
      <c r="C2734" s="42" t="str">
        <f>IFERROR(__xludf.DUMMYFUNCTION("""COMPUTED_VALUE"""),"roof plate of midbrain")</f>
        <v>roof plate of midbrain</v>
      </c>
      <c r="D2734" s="42">
        <f>IFERROR(__xludf.DUMMYFUNCTION("""COMPUTED_VALUE"""),2605.0)</f>
        <v>2605</v>
      </c>
      <c r="E2734" s="39" t="str">
        <f>IFERROR(__xludf.DUMMYFUNCTION("""COMPUTED_VALUE"""),"roof plate of midbrain")</f>
        <v>roof plate of midbrain</v>
      </c>
      <c r="F2734" s="9" t="str">
        <f>IFERROR(__xludf.DUMMYFUNCTION("""COMPUTED_VALUE"""),"Br")</f>
        <v>Br</v>
      </c>
      <c r="G2734" s="9" t="str">
        <f>IFERROR(__xludf.DUMMYFUNCTION("""COMPUTED_VALUE"""),"M")</f>
        <v>M</v>
      </c>
      <c r="H2734" s="9" t="str">
        <f>IFERROR(__xludf.DUMMYFUNCTION("""COMPUTED_VALUE"""),"MGM")</f>
        <v>MGM</v>
      </c>
      <c r="I2734" s="9" t="str">
        <f>IFERROR(__xludf.DUMMYFUNCTION("""COMPUTED_VALUE"""),"MTS")</f>
        <v>MTS</v>
      </c>
      <c r="J2734" s="9" t="str">
        <f>IFERROR(__xludf.DUMMYFUNCTION("""COMPUTED_VALUE"""),"IZM")</f>
        <v>IZM</v>
      </c>
      <c r="K2734" s="9" t="str">
        <f>IFERROR(__xludf.DUMMYFUNCTION("""COMPUTED_VALUE"""),"IZMro")</f>
        <v>IZMro</v>
      </c>
      <c r="L2734" s="9"/>
      <c r="M2734" s="9"/>
      <c r="N2734" s="9"/>
      <c r="O2734" s="9"/>
      <c r="P2734" s="9"/>
      <c r="Q2734" s="9"/>
      <c r="R2734" s="9"/>
      <c r="S2734" s="42"/>
      <c r="T2734" s="42"/>
      <c r="U2734" s="42"/>
      <c r="V2734" s="42"/>
      <c r="W2734" s="42"/>
      <c r="X2734" s="42"/>
      <c r="Y2734" s="42"/>
      <c r="Z2734" s="42"/>
      <c r="AA2734" s="42"/>
      <c r="AB2734" s="42" t="str">
        <f>IFERROR(__xludf.DUMMYFUNCTION("""COMPUTED_VALUE"""),"allen institute")</f>
        <v>allen institute</v>
      </c>
      <c r="AC2734" s="42" t="str">
        <f>IFERROR(__xludf.DUMMYFUNCTION("""COMPUTED_VALUE"""),"DHBA")</f>
        <v>DHBA</v>
      </c>
      <c r="AD2734" s="42"/>
      <c r="AE2734" s="42"/>
      <c r="AF2734" s="9"/>
      <c r="AG2734" s="9"/>
      <c r="AH2734" s="42"/>
      <c r="AI2734" s="42"/>
      <c r="AJ2734" s="42"/>
      <c r="AK2734" s="42"/>
      <c r="AL2734" s="42"/>
      <c r="AM2734" s="42"/>
      <c r="AN2734" s="42"/>
      <c r="AO2734" s="63" t="str">
        <f>IFERROR(__xludf.DUMMYFUNCTION("IF(ISBLANK(A2734),,IF(ISBLANK(S2734), A2734&amp;"";"", TEXTJOIN(CHAR(10), TRUE, A2734&amp;"";"", ARRAYFORMULA(VLOOKUP(SPLIT(S2734, "";"" &amp; CHAR(10)), $A:$AO, 41, FALSE)))))"),"IZMro;")</f>
        <v>IZMro;</v>
      </c>
      <c r="AP2734" s="89"/>
    </row>
    <row r="2735">
      <c r="A2735" s="151" t="str">
        <f>IFERROR(__xludf.DUMMYFUNCTION("""COMPUTED_VALUE"""),"IZMal")</f>
        <v>IZMal</v>
      </c>
      <c r="B2735" s="42" t="str">
        <f>IFERROR(__xludf.DUMMYFUNCTION("""COMPUTED_VALUE"""),"DHBA")</f>
        <v>DHBA</v>
      </c>
      <c r="C2735" s="42" t="str">
        <f>IFERROR(__xludf.DUMMYFUNCTION("""COMPUTED_VALUE"""),"alar plate (tectal zone) of midbrain")</f>
        <v>alar plate (tectal zone) of midbrain</v>
      </c>
      <c r="D2735" s="42">
        <f>IFERROR(__xludf.DUMMYFUNCTION("""COMPUTED_VALUE"""),2606.0)</f>
        <v>2606</v>
      </c>
      <c r="E2735" s="39" t="str">
        <f>IFERROR(__xludf.DUMMYFUNCTION("""COMPUTED_VALUE"""),"alar plate (tectal zone) of midbrain")</f>
        <v>alar plate (tectal zone) of midbrain</v>
      </c>
      <c r="F2735" s="9" t="str">
        <f>IFERROR(__xludf.DUMMYFUNCTION("""COMPUTED_VALUE"""),"Br")</f>
        <v>Br</v>
      </c>
      <c r="G2735" s="9" t="str">
        <f>IFERROR(__xludf.DUMMYFUNCTION("""COMPUTED_VALUE"""),"M")</f>
        <v>M</v>
      </c>
      <c r="H2735" s="9" t="str">
        <f>IFERROR(__xludf.DUMMYFUNCTION("""COMPUTED_VALUE"""),"MGM")</f>
        <v>MGM</v>
      </c>
      <c r="I2735" s="9" t="str">
        <f>IFERROR(__xludf.DUMMYFUNCTION("""COMPUTED_VALUE"""),"MTS")</f>
        <v>MTS</v>
      </c>
      <c r="J2735" s="9" t="str">
        <f>IFERROR(__xludf.DUMMYFUNCTION("""COMPUTED_VALUE"""),"IZM")</f>
        <v>IZM</v>
      </c>
      <c r="K2735" s="9" t="str">
        <f>IFERROR(__xludf.DUMMYFUNCTION("""COMPUTED_VALUE"""),"IZMal")</f>
        <v>IZMal</v>
      </c>
      <c r="L2735" s="9"/>
      <c r="M2735" s="9"/>
      <c r="N2735" s="9"/>
      <c r="O2735" s="9"/>
      <c r="P2735" s="9"/>
      <c r="Q2735" s="9"/>
      <c r="R2735" s="9"/>
      <c r="S2735" s="42"/>
      <c r="T2735" s="42"/>
      <c r="U2735" s="42"/>
      <c r="V2735" s="42"/>
      <c r="W2735" s="42"/>
      <c r="X2735" s="42"/>
      <c r="Y2735" s="42"/>
      <c r="Z2735" s="42"/>
      <c r="AA2735" s="42"/>
      <c r="AB2735" s="42" t="str">
        <f>IFERROR(__xludf.DUMMYFUNCTION("""COMPUTED_VALUE"""),"allen institute")</f>
        <v>allen institute</v>
      </c>
      <c r="AC2735" s="42" t="str">
        <f>IFERROR(__xludf.DUMMYFUNCTION("""COMPUTED_VALUE"""),"DHBA")</f>
        <v>DHBA</v>
      </c>
      <c r="AD2735" s="42"/>
      <c r="AE2735" s="42"/>
      <c r="AF2735" s="9"/>
      <c r="AG2735" s="9"/>
      <c r="AH2735" s="42"/>
      <c r="AI2735" s="42"/>
      <c r="AJ2735" s="42"/>
      <c r="AK2735" s="42"/>
      <c r="AL2735" s="42"/>
      <c r="AM2735" s="42"/>
      <c r="AN2735" s="42"/>
      <c r="AO2735" s="63" t="str">
        <f>IFERROR(__xludf.DUMMYFUNCTION("IF(ISBLANK(A2735),,IF(ISBLANK(S2735), A2735&amp;"";"", TEXTJOIN(CHAR(10), TRUE, A2735&amp;"";"", ARRAYFORMULA(VLOOKUP(SPLIT(S2735, "";"" &amp; CHAR(10)), $A:$AO, 41, FALSE)))))"),"IZMal;")</f>
        <v>IZMal;</v>
      </c>
      <c r="AP2735" s="89"/>
    </row>
    <row r="2736">
      <c r="A2736" s="151" t="str">
        <f>IFERROR(__xludf.DUMMYFUNCTION("""COMPUTED_VALUE"""),"IZMba")</f>
        <v>IZMba</v>
      </c>
      <c r="B2736" s="42" t="str">
        <f>IFERROR(__xludf.DUMMYFUNCTION("""COMPUTED_VALUE"""),"DHBA")</f>
        <v>DHBA</v>
      </c>
      <c r="C2736" s="42" t="str">
        <f>IFERROR(__xludf.DUMMYFUNCTION("""COMPUTED_VALUE"""),"basal plate of midbrain")</f>
        <v>basal plate of midbrain</v>
      </c>
      <c r="D2736" s="42">
        <f>IFERROR(__xludf.DUMMYFUNCTION("""COMPUTED_VALUE"""),2607.0)</f>
        <v>2607</v>
      </c>
      <c r="E2736" s="39" t="str">
        <f>IFERROR(__xludf.DUMMYFUNCTION("""COMPUTED_VALUE"""),"basal plate of midbrain")</f>
        <v>basal plate of midbrain</v>
      </c>
      <c r="F2736" s="9" t="str">
        <f>IFERROR(__xludf.DUMMYFUNCTION("""COMPUTED_VALUE"""),"Br")</f>
        <v>Br</v>
      </c>
      <c r="G2736" s="9" t="str">
        <f>IFERROR(__xludf.DUMMYFUNCTION("""COMPUTED_VALUE"""),"M")</f>
        <v>M</v>
      </c>
      <c r="H2736" s="9" t="str">
        <f>IFERROR(__xludf.DUMMYFUNCTION("""COMPUTED_VALUE"""),"MGM")</f>
        <v>MGM</v>
      </c>
      <c r="I2736" s="9" t="str">
        <f>IFERROR(__xludf.DUMMYFUNCTION("""COMPUTED_VALUE"""),"MTS")</f>
        <v>MTS</v>
      </c>
      <c r="J2736" s="9" t="str">
        <f>IFERROR(__xludf.DUMMYFUNCTION("""COMPUTED_VALUE"""),"IZM")</f>
        <v>IZM</v>
      </c>
      <c r="K2736" s="9" t="str">
        <f>IFERROR(__xludf.DUMMYFUNCTION("""COMPUTED_VALUE"""),"IZMba")</f>
        <v>IZMba</v>
      </c>
      <c r="L2736" s="9"/>
      <c r="M2736" s="9"/>
      <c r="N2736" s="9"/>
      <c r="O2736" s="9"/>
      <c r="P2736" s="9"/>
      <c r="Q2736" s="9"/>
      <c r="R2736" s="9"/>
      <c r="S2736" s="42" t="str">
        <f>IFERROR(__xludf.DUMMYFUNCTION("""COMPUTED_VALUE"""),"IZMbam;
IZMbal")</f>
        <v>IZMbam;
IZMbal</v>
      </c>
      <c r="T2736" s="42"/>
      <c r="U2736" s="159" t="b">
        <f>IFERROR(__xludf.DUMMYFUNCTION("""COMPUTED_VALUE"""),FALSE)</f>
        <v>0</v>
      </c>
      <c r="V2736" s="42"/>
      <c r="W2736" s="42"/>
      <c r="X2736" s="42"/>
      <c r="Y2736" s="42"/>
      <c r="Z2736" s="42"/>
      <c r="AA2736" s="42"/>
      <c r="AB2736" s="42" t="str">
        <f>IFERROR(__xludf.DUMMYFUNCTION("""COMPUTED_VALUE"""),"allen institute")</f>
        <v>allen institute</v>
      </c>
      <c r="AC2736" s="42" t="str">
        <f>IFERROR(__xludf.DUMMYFUNCTION("""COMPUTED_VALUE"""),"DHBA")</f>
        <v>DHBA</v>
      </c>
      <c r="AD2736" s="42"/>
      <c r="AE2736" s="42"/>
      <c r="AF2736" s="9"/>
      <c r="AG2736" s="9"/>
      <c r="AH2736" s="42"/>
      <c r="AI2736" s="42"/>
      <c r="AJ2736" s="42"/>
      <c r="AK2736" s="42"/>
      <c r="AL2736" s="42"/>
      <c r="AM2736" s="42"/>
      <c r="AN2736" s="42"/>
      <c r="AO2736" s="63" t="str">
        <f>IFERROR(__xludf.DUMMYFUNCTION("IF(ISBLANK(A2736),,IF(ISBLANK(S2736), A2736&amp;"";"", TEXTJOIN(CHAR(10), TRUE, A2736&amp;"";"", ARRAYFORMULA(VLOOKUP(SPLIT(S2736, "";"" &amp; CHAR(10)), $A:$AO, 41, FALSE)))))"),"IZMba;
IZMbam;
IZMbal;")</f>
        <v>IZMba;
IZMbam;
IZMbal;</v>
      </c>
      <c r="AP2736" s="89"/>
    </row>
    <row r="2737">
      <c r="A2737" s="151" t="str">
        <f>IFERROR(__xludf.DUMMYFUNCTION("""COMPUTED_VALUE"""),"IZMbam")</f>
        <v>IZMbam</v>
      </c>
      <c r="B2737" s="42" t="str">
        <f>IFERROR(__xludf.DUMMYFUNCTION("""COMPUTED_VALUE"""),"DHBA")</f>
        <v>DHBA</v>
      </c>
      <c r="C2737" s="42" t="str">
        <f>IFERROR(__xludf.DUMMYFUNCTION("""COMPUTED_VALUE"""),"medial tegmental zone")</f>
        <v>medial tegmental zone</v>
      </c>
      <c r="D2737" s="42">
        <f>IFERROR(__xludf.DUMMYFUNCTION("""COMPUTED_VALUE"""),2608.0)</f>
        <v>2608</v>
      </c>
      <c r="E2737" s="39" t="str">
        <f>IFERROR(__xludf.DUMMYFUNCTION("""COMPUTED_VALUE"""),"medial tegmental zone")</f>
        <v>medial tegmental zone</v>
      </c>
      <c r="F2737" s="9" t="str">
        <f>IFERROR(__xludf.DUMMYFUNCTION("""COMPUTED_VALUE"""),"Br")</f>
        <v>Br</v>
      </c>
      <c r="G2737" s="9" t="str">
        <f>IFERROR(__xludf.DUMMYFUNCTION("""COMPUTED_VALUE"""),"M")</f>
        <v>M</v>
      </c>
      <c r="H2737" s="9" t="str">
        <f>IFERROR(__xludf.DUMMYFUNCTION("""COMPUTED_VALUE"""),"MGM")</f>
        <v>MGM</v>
      </c>
      <c r="I2737" s="9" t="str">
        <f>IFERROR(__xludf.DUMMYFUNCTION("""COMPUTED_VALUE"""),"MTS")</f>
        <v>MTS</v>
      </c>
      <c r="J2737" s="9" t="str">
        <f>IFERROR(__xludf.DUMMYFUNCTION("""COMPUTED_VALUE"""),"IZM")</f>
        <v>IZM</v>
      </c>
      <c r="K2737" s="9" t="str">
        <f>IFERROR(__xludf.DUMMYFUNCTION("""COMPUTED_VALUE"""),"IZMba")</f>
        <v>IZMba</v>
      </c>
      <c r="L2737" s="9" t="str">
        <f>IFERROR(__xludf.DUMMYFUNCTION("""COMPUTED_VALUE"""),"IZMbam")</f>
        <v>IZMbam</v>
      </c>
      <c r="M2737" s="9"/>
      <c r="N2737" s="9"/>
      <c r="O2737" s="9"/>
      <c r="P2737" s="9"/>
      <c r="Q2737" s="9"/>
      <c r="R2737" s="9"/>
      <c r="S2737" s="42"/>
      <c r="T2737" s="42"/>
      <c r="U2737" s="42"/>
      <c r="V2737" s="42"/>
      <c r="W2737" s="42"/>
      <c r="X2737" s="42"/>
      <c r="Y2737" s="42"/>
      <c r="Z2737" s="42"/>
      <c r="AA2737" s="42"/>
      <c r="AB2737" s="42" t="str">
        <f>IFERROR(__xludf.DUMMYFUNCTION("""COMPUTED_VALUE"""),"allen institute")</f>
        <v>allen institute</v>
      </c>
      <c r="AC2737" s="42" t="str">
        <f>IFERROR(__xludf.DUMMYFUNCTION("""COMPUTED_VALUE"""),"DHBA")</f>
        <v>DHBA</v>
      </c>
      <c r="AD2737" s="42"/>
      <c r="AE2737" s="42"/>
      <c r="AF2737" s="9"/>
      <c r="AG2737" s="9"/>
      <c r="AH2737" s="42"/>
      <c r="AI2737" s="42"/>
      <c r="AJ2737" s="42"/>
      <c r="AK2737" s="42"/>
      <c r="AL2737" s="42"/>
      <c r="AM2737" s="42"/>
      <c r="AN2737" s="42"/>
      <c r="AO2737" s="63" t="str">
        <f>IFERROR(__xludf.DUMMYFUNCTION("IF(ISBLANK(A2737),,IF(ISBLANK(S2737), A2737&amp;"";"", TEXTJOIN(CHAR(10), TRUE, A2737&amp;"";"", ARRAYFORMULA(VLOOKUP(SPLIT(S2737, "";"" &amp; CHAR(10)), $A:$AO, 41, FALSE)))))"),"IZMbam;")</f>
        <v>IZMbam;</v>
      </c>
      <c r="AP2737" s="89"/>
    </row>
    <row r="2738">
      <c r="A2738" s="151" t="str">
        <f>IFERROR(__xludf.DUMMYFUNCTION("""COMPUTED_VALUE"""),"IZMbal")</f>
        <v>IZMbal</v>
      </c>
      <c r="B2738" s="42" t="str">
        <f>IFERROR(__xludf.DUMMYFUNCTION("""COMPUTED_VALUE"""),"DHBA")</f>
        <v>DHBA</v>
      </c>
      <c r="C2738" s="42" t="str">
        <f>IFERROR(__xludf.DUMMYFUNCTION("""COMPUTED_VALUE"""),"lateral tegmental zone")</f>
        <v>lateral tegmental zone</v>
      </c>
      <c r="D2738" s="42">
        <f>IFERROR(__xludf.DUMMYFUNCTION("""COMPUTED_VALUE"""),2609.0)</f>
        <v>2609</v>
      </c>
      <c r="E2738" s="39" t="str">
        <f>IFERROR(__xludf.DUMMYFUNCTION("""COMPUTED_VALUE"""),"lateral tegmental zone")</f>
        <v>lateral tegmental zone</v>
      </c>
      <c r="F2738" s="9" t="str">
        <f>IFERROR(__xludf.DUMMYFUNCTION("""COMPUTED_VALUE"""),"Br")</f>
        <v>Br</v>
      </c>
      <c r="G2738" s="9" t="str">
        <f>IFERROR(__xludf.DUMMYFUNCTION("""COMPUTED_VALUE"""),"M")</f>
        <v>M</v>
      </c>
      <c r="H2738" s="9" t="str">
        <f>IFERROR(__xludf.DUMMYFUNCTION("""COMPUTED_VALUE"""),"MGM")</f>
        <v>MGM</v>
      </c>
      <c r="I2738" s="9" t="str">
        <f>IFERROR(__xludf.DUMMYFUNCTION("""COMPUTED_VALUE"""),"MTS")</f>
        <v>MTS</v>
      </c>
      <c r="J2738" s="9" t="str">
        <f>IFERROR(__xludf.DUMMYFUNCTION("""COMPUTED_VALUE"""),"IZM")</f>
        <v>IZM</v>
      </c>
      <c r="K2738" s="9" t="str">
        <f>IFERROR(__xludf.DUMMYFUNCTION("""COMPUTED_VALUE"""),"IZMba")</f>
        <v>IZMba</v>
      </c>
      <c r="L2738" s="9" t="str">
        <f>IFERROR(__xludf.DUMMYFUNCTION("""COMPUTED_VALUE"""),"IZMbal")</f>
        <v>IZMbal</v>
      </c>
      <c r="M2738" s="9"/>
      <c r="N2738" s="9"/>
      <c r="O2738" s="9"/>
      <c r="P2738" s="9"/>
      <c r="Q2738" s="9"/>
      <c r="R2738" s="9"/>
      <c r="S2738" s="42"/>
      <c r="T2738" s="42"/>
      <c r="U2738" s="42"/>
      <c r="V2738" s="42"/>
      <c r="W2738" s="42"/>
      <c r="X2738" s="42"/>
      <c r="Y2738" s="42"/>
      <c r="Z2738" s="42"/>
      <c r="AA2738" s="42"/>
      <c r="AB2738" s="42" t="str">
        <f>IFERROR(__xludf.DUMMYFUNCTION("""COMPUTED_VALUE"""),"allen institute")</f>
        <v>allen institute</v>
      </c>
      <c r="AC2738" s="42" t="str">
        <f>IFERROR(__xludf.DUMMYFUNCTION("""COMPUTED_VALUE"""),"DHBA")</f>
        <v>DHBA</v>
      </c>
      <c r="AD2738" s="42"/>
      <c r="AE2738" s="42"/>
      <c r="AF2738" s="9"/>
      <c r="AG2738" s="9"/>
      <c r="AH2738" s="42"/>
      <c r="AI2738" s="42"/>
      <c r="AJ2738" s="42"/>
      <c r="AK2738" s="42"/>
      <c r="AL2738" s="42"/>
      <c r="AM2738" s="42"/>
      <c r="AN2738" s="42"/>
      <c r="AO2738" s="63" t="str">
        <f>IFERROR(__xludf.DUMMYFUNCTION("IF(ISBLANK(A2738),,IF(ISBLANK(S2738), A2738&amp;"";"", TEXTJOIN(CHAR(10), TRUE, A2738&amp;"";"", ARRAYFORMULA(VLOOKUP(SPLIT(S2738, "";"" &amp; CHAR(10)), $A:$AO, 41, FALSE)))))"),"IZMbal;")</f>
        <v>IZMbal;</v>
      </c>
      <c r="AP2738" s="89"/>
    </row>
    <row r="2739">
      <c r="A2739" s="151" t="str">
        <f>IFERROR(__xludf.DUMMYFUNCTION("""COMPUTED_VALUE"""),"IZMfl")</f>
        <v>IZMfl</v>
      </c>
      <c r="B2739" s="42" t="str">
        <f>IFERROR(__xludf.DUMMYFUNCTION("""COMPUTED_VALUE"""),"DHBA")</f>
        <v>DHBA</v>
      </c>
      <c r="C2739" s="42" t="str">
        <f>IFERROR(__xludf.DUMMYFUNCTION("""COMPUTED_VALUE"""),"floor plate of midbrain")</f>
        <v>floor plate of midbrain</v>
      </c>
      <c r="D2739" s="42">
        <f>IFERROR(__xludf.DUMMYFUNCTION("""COMPUTED_VALUE"""),2610.0)</f>
        <v>2610</v>
      </c>
      <c r="E2739" s="39" t="str">
        <f>IFERROR(__xludf.DUMMYFUNCTION("""COMPUTED_VALUE"""),"floor plate of midbrain")</f>
        <v>floor plate of midbrain</v>
      </c>
      <c r="F2739" s="9" t="str">
        <f>IFERROR(__xludf.DUMMYFUNCTION("""COMPUTED_VALUE"""),"Br")</f>
        <v>Br</v>
      </c>
      <c r="G2739" s="9" t="str">
        <f>IFERROR(__xludf.DUMMYFUNCTION("""COMPUTED_VALUE"""),"M")</f>
        <v>M</v>
      </c>
      <c r="H2739" s="9" t="str">
        <f>IFERROR(__xludf.DUMMYFUNCTION("""COMPUTED_VALUE"""),"MGM")</f>
        <v>MGM</v>
      </c>
      <c r="I2739" s="9" t="str">
        <f>IFERROR(__xludf.DUMMYFUNCTION("""COMPUTED_VALUE"""),"MTS")</f>
        <v>MTS</v>
      </c>
      <c r="J2739" s="9" t="str">
        <f>IFERROR(__xludf.DUMMYFUNCTION("""COMPUTED_VALUE"""),"IZM")</f>
        <v>IZM</v>
      </c>
      <c r="K2739" s="9" t="str">
        <f>IFERROR(__xludf.DUMMYFUNCTION("""COMPUTED_VALUE"""),"IZMfl")</f>
        <v>IZMfl</v>
      </c>
      <c r="L2739" s="9"/>
      <c r="M2739" s="9"/>
      <c r="N2739" s="9"/>
      <c r="O2739" s="9"/>
      <c r="P2739" s="9"/>
      <c r="Q2739" s="9"/>
      <c r="R2739" s="9"/>
      <c r="S2739" s="42"/>
      <c r="T2739" s="42"/>
      <c r="U2739" s="159"/>
      <c r="V2739" s="42"/>
      <c r="W2739" s="42"/>
      <c r="X2739" s="42"/>
      <c r="Y2739" s="42"/>
      <c r="Z2739" s="42"/>
      <c r="AA2739" s="42"/>
      <c r="AB2739" s="42" t="str">
        <f>IFERROR(__xludf.DUMMYFUNCTION("""COMPUTED_VALUE"""),"allen institute")</f>
        <v>allen institute</v>
      </c>
      <c r="AC2739" s="42" t="str">
        <f>IFERROR(__xludf.DUMMYFUNCTION("""COMPUTED_VALUE"""),"DHBA")</f>
        <v>DHBA</v>
      </c>
      <c r="AD2739" s="42"/>
      <c r="AE2739" s="42"/>
      <c r="AF2739" s="9"/>
      <c r="AG2739" s="9"/>
      <c r="AH2739" s="42"/>
      <c r="AI2739" s="42"/>
      <c r="AJ2739" s="42"/>
      <c r="AK2739" s="42"/>
      <c r="AL2739" s="42"/>
      <c r="AM2739" s="42"/>
      <c r="AN2739" s="42"/>
      <c r="AO2739" s="63" t="str">
        <f>IFERROR(__xludf.DUMMYFUNCTION("IF(ISBLANK(A2739),,IF(ISBLANK(S2739), A2739&amp;"";"", TEXTJOIN(CHAR(10), TRUE, A2739&amp;"";"", ARRAYFORMULA(VLOOKUP(SPLIT(S2739, "";"" &amp; CHAR(10)), $A:$AO, 41, FALSE)))))"),"IZMfl;")</f>
        <v>IZMfl;</v>
      </c>
      <c r="AP2739" s="89"/>
    </row>
    <row r="2740">
      <c r="A2740" s="151" t="str">
        <f>IFERROR(__xludf.DUMMYFUNCTION("""COMPUTED_VALUE"""),"VZM")</f>
        <v>VZM</v>
      </c>
      <c r="B2740" s="42" t="str">
        <f>IFERROR(__xludf.DUMMYFUNCTION("""COMPUTED_VALUE"""),"DHBA")</f>
        <v>DHBA</v>
      </c>
      <c r="C2740" s="42" t="str">
        <f>IFERROR(__xludf.DUMMYFUNCTION("""COMPUTED_VALUE"""),"ventricular (matrix) zone of midbrain")</f>
        <v>ventricular (matrix) zone of midbrain</v>
      </c>
      <c r="D2740" s="42">
        <f>IFERROR(__xludf.DUMMYFUNCTION("""COMPUTED_VALUE"""),2611.0)</f>
        <v>2611</v>
      </c>
      <c r="E2740" s="39" t="str">
        <f>IFERROR(__xludf.DUMMYFUNCTION("""COMPUTED_VALUE"""),"ventricular (matrix) zone of midbrain")</f>
        <v>ventricular (matrix) zone of midbrain</v>
      </c>
      <c r="F2740" s="9" t="str">
        <f>IFERROR(__xludf.DUMMYFUNCTION("""COMPUTED_VALUE"""),"Br")</f>
        <v>Br</v>
      </c>
      <c r="G2740" s="9" t="str">
        <f>IFERROR(__xludf.DUMMYFUNCTION("""COMPUTED_VALUE"""),"M")</f>
        <v>M</v>
      </c>
      <c r="H2740" s="9" t="str">
        <f>IFERROR(__xludf.DUMMYFUNCTION("""COMPUTED_VALUE"""),"MGM")</f>
        <v>MGM</v>
      </c>
      <c r="I2740" s="9" t="str">
        <f>IFERROR(__xludf.DUMMYFUNCTION("""COMPUTED_VALUE"""),"MTS")</f>
        <v>MTS</v>
      </c>
      <c r="J2740" s="9" t="str">
        <f>IFERROR(__xludf.DUMMYFUNCTION("""COMPUTED_VALUE"""),"VZM")</f>
        <v>VZM</v>
      </c>
      <c r="K2740" s="9"/>
      <c r="L2740" s="9"/>
      <c r="M2740" s="9"/>
      <c r="N2740" s="9"/>
      <c r="O2740" s="9"/>
      <c r="P2740" s="9"/>
      <c r="Q2740" s="9"/>
      <c r="R2740" s="9"/>
      <c r="S2740" s="42"/>
      <c r="T2740" s="42"/>
      <c r="U2740" s="159"/>
      <c r="V2740" s="42"/>
      <c r="W2740" s="42"/>
      <c r="X2740" s="42"/>
      <c r="Y2740" s="42"/>
      <c r="Z2740" s="42"/>
      <c r="AA2740" s="42"/>
      <c r="AB2740" s="42" t="str">
        <f>IFERROR(__xludf.DUMMYFUNCTION("""COMPUTED_VALUE"""),"allen institute")</f>
        <v>allen institute</v>
      </c>
      <c r="AC2740" s="42" t="str">
        <f>IFERROR(__xludf.DUMMYFUNCTION("""COMPUTED_VALUE"""),"DHBA")</f>
        <v>DHBA</v>
      </c>
      <c r="AD2740" s="42"/>
      <c r="AE2740" s="42"/>
      <c r="AF2740" s="9"/>
      <c r="AG2740" s="9"/>
      <c r="AH2740" s="42"/>
      <c r="AI2740" s="42"/>
      <c r="AJ2740" s="42"/>
      <c r="AK2740" s="42"/>
      <c r="AL2740" s="42"/>
      <c r="AM2740" s="42"/>
      <c r="AN2740" s="42"/>
      <c r="AO2740" s="63" t="str">
        <f>IFERROR(__xludf.DUMMYFUNCTION("IF(ISBLANK(A2740),,IF(ISBLANK(S2740), A2740&amp;"";"", TEXTJOIN(CHAR(10), TRUE, A2740&amp;"";"", ARRAYFORMULA(VLOOKUP(SPLIT(S2740, "";"" &amp; CHAR(10)), $A:$AO, 41, FALSE)))))"),"VZM;")</f>
        <v>VZM;</v>
      </c>
      <c r="AP2740" s="89"/>
    </row>
    <row r="2741">
      <c r="A2741" s="151" t="str">
        <f>IFERROR(__xludf.DUMMYFUNCTION("""COMPUTED_VALUE"""),"MWM")</f>
        <v>MWM</v>
      </c>
      <c r="B2741" s="42" t="str">
        <f>IFERROR(__xludf.DUMMYFUNCTION("""COMPUTED_VALUE"""),"DHBA")</f>
        <v>DHBA</v>
      </c>
      <c r="C2741" s="42" t="str">
        <f>IFERROR(__xludf.DUMMYFUNCTION("""COMPUTED_VALUE"""),"white matter of midbrain")</f>
        <v>white matter of midbrain</v>
      </c>
      <c r="D2741" s="42">
        <f>IFERROR(__xludf.DUMMYFUNCTION("""COMPUTED_VALUE"""),2612.0)</f>
        <v>2612</v>
      </c>
      <c r="E2741" s="39" t="str">
        <f>IFERROR(__xludf.DUMMYFUNCTION("""COMPUTED_VALUE"""),"white matter of midbrain")</f>
        <v>white matter of midbrain</v>
      </c>
      <c r="F2741" s="9" t="str">
        <f>IFERROR(__xludf.DUMMYFUNCTION("""COMPUTED_VALUE"""),"Br")</f>
        <v>Br</v>
      </c>
      <c r="G2741" s="9" t="str">
        <f>IFERROR(__xludf.DUMMYFUNCTION("""COMPUTED_VALUE"""),"M")</f>
        <v>M</v>
      </c>
      <c r="H2741" s="9" t="str">
        <f>IFERROR(__xludf.DUMMYFUNCTION("""COMPUTED_VALUE"""),"MWM")</f>
        <v>MWM</v>
      </c>
      <c r="I2741" s="9"/>
      <c r="J2741" s="9"/>
      <c r="K2741" s="9"/>
      <c r="L2741" s="9"/>
      <c r="M2741" s="9"/>
      <c r="N2741" s="9"/>
      <c r="O2741" s="9"/>
      <c r="P2741" s="9"/>
      <c r="Q2741" s="9"/>
      <c r="R2741" s="9"/>
      <c r="S2741" s="42" t="str">
        <f>IFERROR(__xludf.DUMMYFUNCTION("""COMPUTED_VALUE"""),"bic;
bsc;
ctg_m;
cpd;
cmic;
cme;
xrsp;
xscp;
x4;
dlf_m;
xdtg;
dtth_m;
fr;
hysp_m;
iptg;
issp_m;
ll_m;
ml_m;
mlf_m;
mtg_m;
me5_m;
poc;
rubu_m;
rol_m;
rsp_m;
sl_m;
scp;
tbu_m;
tol;
tpn;
tsp_m;
xvtg;
vtth_m;
wmtg")</f>
        <v>bic;
bsc;
ctg_m;
cpd;
cmic;
cme;
xrsp;
xscp;
x4;
dlf_m;
xdtg;
dtth_m;
fr;
hysp_m;
iptg;
issp_m;
ll_m;
ml_m;
mlf_m;
mtg_m;
me5_m;
poc;
rubu_m;
rol_m;
rsp_m;
sl_m;
scp;
tbu_m;
tol;
tpn;
tsp_m;
xvtg;
vtth_m;
wmtg</v>
      </c>
      <c r="T2741" s="42"/>
      <c r="U2741" s="159" t="b">
        <f>IFERROR(__xludf.DUMMYFUNCTION("""COMPUTED_VALUE"""),FALSE)</f>
        <v>0</v>
      </c>
      <c r="V2741" s="42"/>
      <c r="W2741" s="42"/>
      <c r="X2741" s="42"/>
      <c r="Y2741" s="42"/>
      <c r="Z2741" s="42"/>
      <c r="AA2741" s="42"/>
      <c r="AB2741" s="42" t="str">
        <f>IFERROR(__xludf.DUMMYFUNCTION("""COMPUTED_VALUE"""),"allen institute")</f>
        <v>allen institute</v>
      </c>
      <c r="AC2741" s="42" t="str">
        <f>IFERROR(__xludf.DUMMYFUNCTION("""COMPUTED_VALUE"""),"DHBA")</f>
        <v>DHBA</v>
      </c>
      <c r="AD2741" s="42"/>
      <c r="AE2741" s="42"/>
      <c r="AF2741" s="9"/>
      <c r="AG2741" s="9"/>
      <c r="AH2741" s="42"/>
      <c r="AI2741" s="42"/>
      <c r="AJ2741" s="42"/>
      <c r="AK2741" s="42"/>
      <c r="AL2741" s="42"/>
      <c r="AM2741" s="42"/>
      <c r="AN2741" s="42"/>
      <c r="AO2741" s="63" t="str">
        <f>IFERROR(__xludf.DUMMYFUNCTION("IF(ISBLANK(A2741),,IF(ISBLANK(S2741), A2741&amp;"";"", TEXTJOIN(CHAR(10), TRUE, A2741&amp;"";"", ARRAYFORMULA(VLOOKUP(SPLIT(S2741, "";"" &amp; CHAR(10)), $A:$AO, 41, FALSE)))))"),"#N/A")</f>
        <v>#N/A</v>
      </c>
      <c r="AP2741" s="89"/>
    </row>
    <row r="2742">
      <c r="A2742" s="151" t="str">
        <f>IFERROR(__xludf.DUMMYFUNCTION("""COMPUTED_VALUE"""),"bic")</f>
        <v>bic</v>
      </c>
      <c r="B2742" s="42" t="str">
        <f>IFERROR(__xludf.DUMMYFUNCTION("""COMPUTED_VALUE"""),"DHBA")</f>
        <v>DHBA</v>
      </c>
      <c r="C2742" s="42" t="str">
        <f>IFERROR(__xludf.DUMMYFUNCTION("""COMPUTED_VALUE"""),"brachium of inferior colliculus")</f>
        <v>brachium of inferior colliculus</v>
      </c>
      <c r="D2742" s="42">
        <f>IFERROR(__xludf.DUMMYFUNCTION("""COMPUTED_VALUE"""),2613.0)</f>
        <v>2613</v>
      </c>
      <c r="E2742" s="39" t="str">
        <f>IFERROR(__xludf.DUMMYFUNCTION("""COMPUTED_VALUE"""),"brachium of inferior colliculus")</f>
        <v>brachium of inferior colliculus</v>
      </c>
      <c r="F2742" s="9" t="str">
        <f>IFERROR(__xludf.DUMMYFUNCTION("""COMPUTED_VALUE"""),"Br")</f>
        <v>Br</v>
      </c>
      <c r="G2742" s="9" t="str">
        <f>IFERROR(__xludf.DUMMYFUNCTION("""COMPUTED_VALUE"""),"M")</f>
        <v>M</v>
      </c>
      <c r="H2742" s="9" t="str">
        <f>IFERROR(__xludf.DUMMYFUNCTION("""COMPUTED_VALUE"""),"MWM")</f>
        <v>MWM</v>
      </c>
      <c r="I2742" s="9" t="str">
        <f>IFERROR(__xludf.DUMMYFUNCTION("""COMPUTED_VALUE"""),"bic")</f>
        <v>bic</v>
      </c>
      <c r="J2742" s="9"/>
      <c r="K2742" s="9"/>
      <c r="L2742" s="9"/>
      <c r="M2742" s="9"/>
      <c r="N2742" s="9"/>
      <c r="O2742" s="9"/>
      <c r="P2742" s="9"/>
      <c r="Q2742" s="9"/>
      <c r="R2742" s="9"/>
      <c r="S2742" s="42"/>
      <c r="T2742" s="42"/>
      <c r="U2742" s="159"/>
      <c r="V2742" s="42"/>
      <c r="W2742" s="42"/>
      <c r="X2742" s="42"/>
      <c r="Y2742" s="42"/>
      <c r="Z2742" s="42"/>
      <c r="AA2742" s="42"/>
      <c r="AB2742" s="42" t="str">
        <f>IFERROR(__xludf.DUMMYFUNCTION("""COMPUTED_VALUE"""),"allen institute")</f>
        <v>allen institute</v>
      </c>
      <c r="AC2742" s="42" t="str">
        <f>IFERROR(__xludf.DUMMYFUNCTION("""COMPUTED_VALUE"""),"DHBA")</f>
        <v>DHBA</v>
      </c>
      <c r="AD2742" s="42"/>
      <c r="AE2742" s="42"/>
      <c r="AF2742" s="9"/>
      <c r="AG2742" s="9"/>
      <c r="AH2742" s="42"/>
      <c r="AI2742" s="42"/>
      <c r="AJ2742" s="42"/>
      <c r="AK2742" s="42"/>
      <c r="AL2742" s="42"/>
      <c r="AM2742" s="42"/>
      <c r="AN2742" s="42"/>
      <c r="AO2742" s="63" t="str">
        <f>IFERROR(__xludf.DUMMYFUNCTION("IF(ISBLANK(A2742),,IF(ISBLANK(S2742), A2742&amp;"";"", TEXTJOIN(CHAR(10), TRUE, A2742&amp;"";"", ARRAYFORMULA(VLOOKUP(SPLIT(S2742, "";"" &amp; CHAR(10)), $A:$AO, 41, FALSE)))))"),"bic;")</f>
        <v>bic;</v>
      </c>
      <c r="AP2742" s="89"/>
    </row>
    <row r="2743">
      <c r="A2743" s="151" t="str">
        <f>IFERROR(__xludf.DUMMYFUNCTION("""COMPUTED_VALUE"""),"bsc")</f>
        <v>bsc</v>
      </c>
      <c r="B2743" s="42" t="str">
        <f>IFERROR(__xludf.DUMMYFUNCTION("""COMPUTED_VALUE"""),"DHBA")</f>
        <v>DHBA</v>
      </c>
      <c r="C2743" s="42" t="str">
        <f>IFERROR(__xludf.DUMMYFUNCTION("""COMPUTED_VALUE"""),"brachium of superior colliculus")</f>
        <v>brachium of superior colliculus</v>
      </c>
      <c r="D2743" s="42">
        <f>IFERROR(__xludf.DUMMYFUNCTION("""COMPUTED_VALUE"""),2614.0)</f>
        <v>2614</v>
      </c>
      <c r="E2743" s="39" t="str">
        <f>IFERROR(__xludf.DUMMYFUNCTION("""COMPUTED_VALUE"""),"brachium of superior colliculus")</f>
        <v>brachium of superior colliculus</v>
      </c>
      <c r="F2743" s="9" t="str">
        <f>IFERROR(__xludf.DUMMYFUNCTION("""COMPUTED_VALUE"""),"Br")</f>
        <v>Br</v>
      </c>
      <c r="G2743" s="9" t="str">
        <f>IFERROR(__xludf.DUMMYFUNCTION("""COMPUTED_VALUE"""),"M")</f>
        <v>M</v>
      </c>
      <c r="H2743" s="9" t="str">
        <f>IFERROR(__xludf.DUMMYFUNCTION("""COMPUTED_VALUE"""),"MWM")</f>
        <v>MWM</v>
      </c>
      <c r="I2743" s="9" t="str">
        <f>IFERROR(__xludf.DUMMYFUNCTION("""COMPUTED_VALUE"""),"bsc")</f>
        <v>bsc</v>
      </c>
      <c r="J2743" s="9"/>
      <c r="K2743" s="9"/>
      <c r="L2743" s="9"/>
      <c r="M2743" s="9"/>
      <c r="N2743" s="9"/>
      <c r="O2743" s="9"/>
      <c r="P2743" s="9"/>
      <c r="Q2743" s="9"/>
      <c r="R2743" s="9"/>
      <c r="S2743" s="42"/>
      <c r="T2743" s="42"/>
      <c r="U2743" s="42"/>
      <c r="V2743" s="42"/>
      <c r="W2743" s="42"/>
      <c r="X2743" s="42"/>
      <c r="Y2743" s="42"/>
      <c r="Z2743" s="42"/>
      <c r="AA2743" s="42"/>
      <c r="AB2743" s="42" t="str">
        <f>IFERROR(__xludf.DUMMYFUNCTION("""COMPUTED_VALUE"""),"allen institute")</f>
        <v>allen institute</v>
      </c>
      <c r="AC2743" s="42" t="str">
        <f>IFERROR(__xludf.DUMMYFUNCTION("""COMPUTED_VALUE"""),"DHBA")</f>
        <v>DHBA</v>
      </c>
      <c r="AD2743" s="42"/>
      <c r="AE2743" s="42"/>
      <c r="AF2743" s="9"/>
      <c r="AG2743" s="9"/>
      <c r="AH2743" s="42"/>
      <c r="AI2743" s="42"/>
      <c r="AJ2743" s="42"/>
      <c r="AK2743" s="42"/>
      <c r="AL2743" s="42"/>
      <c r="AM2743" s="42"/>
      <c r="AN2743" s="42"/>
      <c r="AO2743" s="63" t="str">
        <f>IFERROR(__xludf.DUMMYFUNCTION("IF(ISBLANK(A2743),,IF(ISBLANK(S2743), A2743&amp;"";"", TEXTJOIN(CHAR(10), TRUE, A2743&amp;"";"", ARRAYFORMULA(VLOOKUP(SPLIT(S2743, "";"" &amp; CHAR(10)), $A:$AO, 41, FALSE)))))"),"bsc;")</f>
        <v>bsc;</v>
      </c>
      <c r="AP2743" s="89"/>
    </row>
    <row r="2744">
      <c r="A2744" s="151" t="str">
        <f>IFERROR(__xludf.DUMMYFUNCTION("""COMPUTED_VALUE"""),"ctg-m")</f>
        <v>ctg-m</v>
      </c>
      <c r="B2744" s="42" t="str">
        <f>IFERROR(__xludf.DUMMYFUNCTION("""COMPUTED_VALUE"""),"DHBA")</f>
        <v>DHBA</v>
      </c>
      <c r="C2744" s="42" t="str">
        <f>IFERROR(__xludf.DUMMYFUNCTION("""COMPUTED_VALUE"""),"central tegmental tract, midbrain portion")</f>
        <v>central tegmental tract, midbrain portion</v>
      </c>
      <c r="D2744" s="42">
        <f>IFERROR(__xludf.DUMMYFUNCTION("""COMPUTED_VALUE"""),2615.0)</f>
        <v>2615</v>
      </c>
      <c r="E2744" s="39" t="str">
        <f>IFERROR(__xludf.DUMMYFUNCTION("""COMPUTED_VALUE"""),"central tegmental tract, midbrain portion")</f>
        <v>central tegmental tract, midbrain portion</v>
      </c>
      <c r="F2744" s="9" t="str">
        <f>IFERROR(__xludf.DUMMYFUNCTION("""COMPUTED_VALUE"""),"Br")</f>
        <v>Br</v>
      </c>
      <c r="G2744" s="9" t="str">
        <f>IFERROR(__xludf.DUMMYFUNCTION("""COMPUTED_VALUE"""),"M")</f>
        <v>M</v>
      </c>
      <c r="H2744" s="9" t="str">
        <f>IFERROR(__xludf.DUMMYFUNCTION("""COMPUTED_VALUE"""),"MWM")</f>
        <v>MWM</v>
      </c>
      <c r="I2744" s="9" t="str">
        <f>IFERROR(__xludf.DUMMYFUNCTION("""COMPUTED_VALUE"""),"ctg-m")</f>
        <v>ctg-m</v>
      </c>
      <c r="J2744" s="9"/>
      <c r="K2744" s="9"/>
      <c r="L2744" s="9"/>
      <c r="M2744" s="9"/>
      <c r="N2744" s="9"/>
      <c r="O2744" s="9"/>
      <c r="P2744" s="9"/>
      <c r="Q2744" s="9"/>
      <c r="R2744" s="9"/>
      <c r="S2744" s="42"/>
      <c r="T2744" s="42"/>
      <c r="U2744" s="42"/>
      <c r="V2744" s="42"/>
      <c r="W2744" s="42"/>
      <c r="X2744" s="42"/>
      <c r="Y2744" s="42"/>
      <c r="Z2744" s="42"/>
      <c r="AA2744" s="42"/>
      <c r="AB2744" s="42" t="str">
        <f>IFERROR(__xludf.DUMMYFUNCTION("""COMPUTED_VALUE"""),"allen institute")</f>
        <v>allen institute</v>
      </c>
      <c r="AC2744" s="42" t="str">
        <f>IFERROR(__xludf.DUMMYFUNCTION("""COMPUTED_VALUE"""),"DHBA")</f>
        <v>DHBA</v>
      </c>
      <c r="AD2744" s="42"/>
      <c r="AE2744" s="42"/>
      <c r="AF2744" s="9"/>
      <c r="AG2744" s="9"/>
      <c r="AH2744" s="42"/>
      <c r="AI2744" s="42"/>
      <c r="AJ2744" s="42"/>
      <c r="AK2744" s="42"/>
      <c r="AL2744" s="42"/>
      <c r="AM2744" s="42"/>
      <c r="AN2744" s="42"/>
      <c r="AO2744" s="63" t="str">
        <f>IFERROR(__xludf.DUMMYFUNCTION("IF(ISBLANK(A2744),,IF(ISBLANK(S2744), A2744&amp;"";"", TEXTJOIN(CHAR(10), TRUE, A2744&amp;"";"", ARRAYFORMULA(VLOOKUP(SPLIT(S2744, "";"" &amp; CHAR(10)), $A:$AO, 41, FALSE)))))"),"ctg-m;")</f>
        <v>ctg-m;</v>
      </c>
      <c r="AP2744" s="89"/>
    </row>
    <row r="2745">
      <c r="A2745" s="151" t="str">
        <f>IFERROR(__xludf.DUMMYFUNCTION("""COMPUTED_VALUE"""),"cpd")</f>
        <v>cpd</v>
      </c>
      <c r="B2745" s="42" t="str">
        <f>IFERROR(__xludf.DUMMYFUNCTION("""COMPUTED_VALUE"""),"DHBA")</f>
        <v>DHBA</v>
      </c>
      <c r="C2745" s="42" t="str">
        <f>IFERROR(__xludf.DUMMYFUNCTION("""COMPUTED_VALUE"""),"cerebral peduncle (crus cerebri)")</f>
        <v>cerebral peduncle (crus cerebri)</v>
      </c>
      <c r="D2745" s="42">
        <f>IFERROR(__xludf.DUMMYFUNCTION("""COMPUTED_VALUE"""),2616.0)</f>
        <v>2616</v>
      </c>
      <c r="E2745" s="39" t="str">
        <f>IFERROR(__xludf.DUMMYFUNCTION("""COMPUTED_VALUE"""),"cerebral peduncle (crus cerebri)")</f>
        <v>cerebral peduncle (crus cerebri)</v>
      </c>
      <c r="F2745" s="9" t="str">
        <f>IFERROR(__xludf.DUMMYFUNCTION("""COMPUTED_VALUE"""),"Br")</f>
        <v>Br</v>
      </c>
      <c r="G2745" s="9" t="str">
        <f>IFERROR(__xludf.DUMMYFUNCTION("""COMPUTED_VALUE"""),"M")</f>
        <v>M</v>
      </c>
      <c r="H2745" s="9" t="str">
        <f>IFERROR(__xludf.DUMMYFUNCTION("""COMPUTED_VALUE"""),"MWM")</f>
        <v>MWM</v>
      </c>
      <c r="I2745" s="9" t="str">
        <f>IFERROR(__xludf.DUMMYFUNCTION("""COMPUTED_VALUE"""),"cpd")</f>
        <v>cpd</v>
      </c>
      <c r="J2745" s="9"/>
      <c r="K2745" s="9"/>
      <c r="L2745" s="9"/>
      <c r="M2745" s="9"/>
      <c r="N2745" s="9"/>
      <c r="O2745" s="9"/>
      <c r="P2745" s="9"/>
      <c r="Q2745" s="9"/>
      <c r="R2745" s="9"/>
      <c r="S2745" s="42" t="str">
        <f>IFERROR(__xludf.DUMMYFUNCTION("""COMPUTED_VALUE"""),"cpn_m;
py_m;
cbu_m")</f>
        <v>cpn_m;
py_m;
cbu_m</v>
      </c>
      <c r="T2745" s="42"/>
      <c r="U2745" s="42" t="b">
        <f>IFERROR(__xludf.DUMMYFUNCTION("""COMPUTED_VALUE"""),FALSE)</f>
        <v>0</v>
      </c>
      <c r="V2745" s="42"/>
      <c r="W2745" s="42"/>
      <c r="X2745" s="42"/>
      <c r="Y2745" s="42"/>
      <c r="Z2745" s="42"/>
      <c r="AA2745" s="42"/>
      <c r="AB2745" s="42" t="str">
        <f>IFERROR(__xludf.DUMMYFUNCTION("""COMPUTED_VALUE"""),"allen institute")</f>
        <v>allen institute</v>
      </c>
      <c r="AC2745" s="42" t="str">
        <f>IFERROR(__xludf.DUMMYFUNCTION("""COMPUTED_VALUE"""),"DHBA")</f>
        <v>DHBA</v>
      </c>
      <c r="AD2745" s="42"/>
      <c r="AE2745" s="42"/>
      <c r="AF2745" s="9"/>
      <c r="AG2745" s="9"/>
      <c r="AH2745" s="42"/>
      <c r="AI2745" s="42"/>
      <c r="AJ2745" s="42"/>
      <c r="AK2745" s="42"/>
      <c r="AL2745" s="42"/>
      <c r="AM2745" s="42"/>
      <c r="AN2745" s="42"/>
      <c r="AO2745" s="63" t="str">
        <f>IFERROR(__xludf.DUMMYFUNCTION("IF(ISBLANK(A2745),,IF(ISBLANK(S2745), A2745&amp;"";"", TEXTJOIN(CHAR(10), TRUE, A2745&amp;"";"", ARRAYFORMULA(VLOOKUP(SPLIT(S2745, "";"" &amp; CHAR(10)), $A:$AO, 41, FALSE)))))"),"#N/A")</f>
        <v>#N/A</v>
      </c>
      <c r="AP2745" s="89"/>
    </row>
    <row r="2746">
      <c r="A2746" s="151" t="str">
        <f>IFERROR(__xludf.DUMMYFUNCTION("""COMPUTED_VALUE"""),"cpn-m")</f>
        <v>cpn-m</v>
      </c>
      <c r="B2746" s="42" t="str">
        <f>IFERROR(__xludf.DUMMYFUNCTION("""COMPUTED_VALUE"""),"DHBA")</f>
        <v>DHBA</v>
      </c>
      <c r="C2746" s="42" t="str">
        <f>IFERROR(__xludf.DUMMYFUNCTION("""COMPUTED_VALUE"""),"corticopontine fibers, midbrain portion")</f>
        <v>corticopontine fibers, midbrain portion</v>
      </c>
      <c r="D2746" s="42">
        <f>IFERROR(__xludf.DUMMYFUNCTION("""COMPUTED_VALUE"""),2617.0)</f>
        <v>2617</v>
      </c>
      <c r="E2746" s="39" t="str">
        <f>IFERROR(__xludf.DUMMYFUNCTION("""COMPUTED_VALUE"""),"corticopontine fibers, midbrain portion")</f>
        <v>corticopontine fibers, midbrain portion</v>
      </c>
      <c r="F2746" s="9" t="str">
        <f>IFERROR(__xludf.DUMMYFUNCTION("""COMPUTED_VALUE"""),"Br")</f>
        <v>Br</v>
      </c>
      <c r="G2746" s="9" t="str">
        <f>IFERROR(__xludf.DUMMYFUNCTION("""COMPUTED_VALUE"""),"M")</f>
        <v>M</v>
      </c>
      <c r="H2746" s="9" t="str">
        <f>IFERROR(__xludf.DUMMYFUNCTION("""COMPUTED_VALUE"""),"MWM")</f>
        <v>MWM</v>
      </c>
      <c r="I2746" s="9" t="str">
        <f>IFERROR(__xludf.DUMMYFUNCTION("""COMPUTED_VALUE"""),"cpd")</f>
        <v>cpd</v>
      </c>
      <c r="J2746" s="9" t="str">
        <f>IFERROR(__xludf.DUMMYFUNCTION("""COMPUTED_VALUE"""),"cpn-m")</f>
        <v>cpn-m</v>
      </c>
      <c r="K2746" s="9"/>
      <c r="L2746" s="9"/>
      <c r="M2746" s="9"/>
      <c r="N2746" s="9"/>
      <c r="O2746" s="9"/>
      <c r="P2746" s="9"/>
      <c r="Q2746" s="9"/>
      <c r="R2746" s="9"/>
      <c r="S2746" s="42"/>
      <c r="T2746" s="42"/>
      <c r="U2746" s="42"/>
      <c r="V2746" s="42"/>
      <c r="W2746" s="42"/>
      <c r="X2746" s="42"/>
      <c r="Y2746" s="42"/>
      <c r="Z2746" s="42"/>
      <c r="AA2746" s="42"/>
      <c r="AB2746" s="42" t="str">
        <f>IFERROR(__xludf.DUMMYFUNCTION("""COMPUTED_VALUE"""),"allen institute")</f>
        <v>allen institute</v>
      </c>
      <c r="AC2746" s="42" t="str">
        <f>IFERROR(__xludf.DUMMYFUNCTION("""COMPUTED_VALUE"""),"DHBA")</f>
        <v>DHBA</v>
      </c>
      <c r="AD2746" s="42"/>
      <c r="AE2746" s="42"/>
      <c r="AF2746" s="9"/>
      <c r="AG2746" s="9"/>
      <c r="AH2746" s="42"/>
      <c r="AI2746" s="42"/>
      <c r="AJ2746" s="42"/>
      <c r="AK2746" s="42"/>
      <c r="AL2746" s="42"/>
      <c r="AM2746" s="42"/>
      <c r="AN2746" s="42"/>
      <c r="AO2746" s="63" t="str">
        <f>IFERROR(__xludf.DUMMYFUNCTION("IF(ISBLANK(A2746),,IF(ISBLANK(S2746), A2746&amp;"";"", TEXTJOIN(CHAR(10), TRUE, A2746&amp;"";"", ARRAYFORMULA(VLOOKUP(SPLIT(S2746, "";"" &amp; CHAR(10)), $A:$AO, 41, FALSE)))))"),"cpn-m;")</f>
        <v>cpn-m;</v>
      </c>
      <c r="AP2746" s="89"/>
    </row>
    <row r="2747">
      <c r="A2747" s="151" t="str">
        <f>IFERROR(__xludf.DUMMYFUNCTION("""COMPUTED_VALUE"""),"fpn-m")</f>
        <v>fpn-m</v>
      </c>
      <c r="B2747" s="42" t="str">
        <f>IFERROR(__xludf.DUMMYFUNCTION("""COMPUTED_VALUE"""),"DHBA")</f>
        <v>DHBA</v>
      </c>
      <c r="C2747" s="42" t="str">
        <f>IFERROR(__xludf.DUMMYFUNCTION("""COMPUTED_VALUE"""),"frontal pontine fibers, midbrain portion")</f>
        <v>frontal pontine fibers, midbrain portion</v>
      </c>
      <c r="D2747" s="42">
        <f>IFERROR(__xludf.DUMMYFUNCTION("""COMPUTED_VALUE"""),2618.0)</f>
        <v>2618</v>
      </c>
      <c r="E2747" s="39" t="str">
        <f>IFERROR(__xludf.DUMMYFUNCTION("""COMPUTED_VALUE"""),"frontal pontine fibers, midbrain portion")</f>
        <v>frontal pontine fibers, midbrain portion</v>
      </c>
      <c r="F2747" s="9" t="str">
        <f>IFERROR(__xludf.DUMMYFUNCTION("""COMPUTED_VALUE"""),"Br")</f>
        <v>Br</v>
      </c>
      <c r="G2747" s="9" t="str">
        <f>IFERROR(__xludf.DUMMYFUNCTION("""COMPUTED_VALUE"""),"M")</f>
        <v>M</v>
      </c>
      <c r="H2747" s="9" t="str">
        <f>IFERROR(__xludf.DUMMYFUNCTION("""COMPUTED_VALUE"""),"MWM")</f>
        <v>MWM</v>
      </c>
      <c r="I2747" s="9" t="str">
        <f>IFERROR(__xludf.DUMMYFUNCTION("""COMPUTED_VALUE"""),"cpd")</f>
        <v>cpd</v>
      </c>
      <c r="J2747" s="9" t="str">
        <f>IFERROR(__xludf.DUMMYFUNCTION("""COMPUTED_VALUE"""),"cpn-m")</f>
        <v>cpn-m</v>
      </c>
      <c r="K2747" s="9" t="str">
        <f>IFERROR(__xludf.DUMMYFUNCTION("""COMPUTED_VALUE"""),"fpn-m")</f>
        <v>fpn-m</v>
      </c>
      <c r="L2747" s="9"/>
      <c r="M2747" s="9"/>
      <c r="N2747" s="9"/>
      <c r="O2747" s="9"/>
      <c r="P2747" s="9"/>
      <c r="Q2747" s="9"/>
      <c r="R2747" s="9"/>
      <c r="S2747" s="42"/>
      <c r="T2747" s="42"/>
      <c r="U2747" s="42"/>
      <c r="V2747" s="42"/>
      <c r="W2747" s="42"/>
      <c r="X2747" s="42"/>
      <c r="Y2747" s="42"/>
      <c r="Z2747" s="42"/>
      <c r="AA2747" s="42"/>
      <c r="AB2747" s="42" t="str">
        <f>IFERROR(__xludf.DUMMYFUNCTION("""COMPUTED_VALUE"""),"allen institute")</f>
        <v>allen institute</v>
      </c>
      <c r="AC2747" s="42" t="str">
        <f>IFERROR(__xludf.DUMMYFUNCTION("""COMPUTED_VALUE"""),"DHBA")</f>
        <v>DHBA</v>
      </c>
      <c r="AD2747" s="42"/>
      <c r="AE2747" s="42"/>
      <c r="AF2747" s="9"/>
      <c r="AG2747" s="9"/>
      <c r="AH2747" s="42"/>
      <c r="AI2747" s="42"/>
      <c r="AJ2747" s="42"/>
      <c r="AK2747" s="42"/>
      <c r="AL2747" s="42"/>
      <c r="AM2747" s="42"/>
      <c r="AN2747" s="42"/>
      <c r="AO2747" s="63" t="str">
        <f>IFERROR(__xludf.DUMMYFUNCTION("IF(ISBLANK(A2747),,IF(ISBLANK(S2747), A2747&amp;"";"", TEXTJOIN(CHAR(10), TRUE, A2747&amp;"";"", ARRAYFORMULA(VLOOKUP(SPLIT(S2747, "";"" &amp; CHAR(10)), $A:$AO, 41, FALSE)))))"),"fpn-m;")</f>
        <v>fpn-m;</v>
      </c>
      <c r="AP2747" s="89"/>
    </row>
    <row r="2748">
      <c r="A2748" s="151" t="str">
        <f>IFERROR(__xludf.DUMMYFUNCTION("""COMPUTED_VALUE"""),"potpn-m")</f>
        <v>potpn-m</v>
      </c>
      <c r="B2748" s="42" t="str">
        <f>IFERROR(__xludf.DUMMYFUNCTION("""COMPUTED_VALUE"""),"DHBA")</f>
        <v>DHBA</v>
      </c>
      <c r="C2748" s="42" t="str">
        <f>IFERROR(__xludf.DUMMYFUNCTION("""COMPUTED_VALUE"""),"parieto-occipito-temporal pontine fibers, midbrain portion")</f>
        <v>parieto-occipito-temporal pontine fibers, midbrain portion</v>
      </c>
      <c r="D2748" s="42">
        <f>IFERROR(__xludf.DUMMYFUNCTION("""COMPUTED_VALUE"""),2619.0)</f>
        <v>2619</v>
      </c>
      <c r="E2748" s="39" t="str">
        <f>IFERROR(__xludf.DUMMYFUNCTION("""COMPUTED_VALUE"""),"parieto-occipito-temporal pontine fibers, midbrain portion")</f>
        <v>parieto-occipito-temporal pontine fibers, midbrain portion</v>
      </c>
      <c r="F2748" s="9" t="str">
        <f>IFERROR(__xludf.DUMMYFUNCTION("""COMPUTED_VALUE"""),"Br")</f>
        <v>Br</v>
      </c>
      <c r="G2748" s="9" t="str">
        <f>IFERROR(__xludf.DUMMYFUNCTION("""COMPUTED_VALUE"""),"M")</f>
        <v>M</v>
      </c>
      <c r="H2748" s="9" t="str">
        <f>IFERROR(__xludf.DUMMYFUNCTION("""COMPUTED_VALUE"""),"MWM")</f>
        <v>MWM</v>
      </c>
      <c r="I2748" s="9" t="str">
        <f>IFERROR(__xludf.DUMMYFUNCTION("""COMPUTED_VALUE"""),"cpd")</f>
        <v>cpd</v>
      </c>
      <c r="J2748" s="9" t="str">
        <f>IFERROR(__xludf.DUMMYFUNCTION("""COMPUTED_VALUE"""),"cpn-m")</f>
        <v>cpn-m</v>
      </c>
      <c r="K2748" s="9" t="str">
        <f>IFERROR(__xludf.DUMMYFUNCTION("""COMPUTED_VALUE"""),"potpn-m")</f>
        <v>potpn-m</v>
      </c>
      <c r="L2748" s="9"/>
      <c r="M2748" s="9"/>
      <c r="N2748" s="9"/>
      <c r="O2748" s="9"/>
      <c r="P2748" s="9"/>
      <c r="Q2748" s="9"/>
      <c r="R2748" s="9"/>
      <c r="S2748" s="42"/>
      <c r="T2748" s="42"/>
      <c r="U2748" s="42"/>
      <c r="V2748" s="42"/>
      <c r="W2748" s="42"/>
      <c r="X2748" s="42"/>
      <c r="Y2748" s="42"/>
      <c r="Z2748" s="42"/>
      <c r="AA2748" s="42"/>
      <c r="AB2748" s="42" t="str">
        <f>IFERROR(__xludf.DUMMYFUNCTION("""COMPUTED_VALUE"""),"allen institute")</f>
        <v>allen institute</v>
      </c>
      <c r="AC2748" s="42" t="str">
        <f>IFERROR(__xludf.DUMMYFUNCTION("""COMPUTED_VALUE"""),"DHBA")</f>
        <v>DHBA</v>
      </c>
      <c r="AD2748" s="42"/>
      <c r="AE2748" s="42"/>
      <c r="AF2748" s="9"/>
      <c r="AG2748" s="9"/>
      <c r="AH2748" s="42"/>
      <c r="AI2748" s="42"/>
      <c r="AJ2748" s="42"/>
      <c r="AK2748" s="42"/>
      <c r="AL2748" s="42"/>
      <c r="AM2748" s="42"/>
      <c r="AN2748" s="42"/>
      <c r="AO2748" s="63" t="str">
        <f>IFERROR(__xludf.DUMMYFUNCTION("IF(ISBLANK(A2748),,IF(ISBLANK(S2748), A2748&amp;"";"", TEXTJOIN(CHAR(10), TRUE, A2748&amp;"";"", ARRAYFORMULA(VLOOKUP(SPLIT(S2748, "";"" &amp; CHAR(10)), $A:$AO, 41, FALSE)))))"),"potpn-m;")</f>
        <v>potpn-m;</v>
      </c>
      <c r="AP2748" s="89"/>
    </row>
    <row r="2749">
      <c r="A2749" s="151" t="str">
        <f>IFERROR(__xludf.DUMMYFUNCTION("""COMPUTED_VALUE"""),"py-m")</f>
        <v>py-m</v>
      </c>
      <c r="B2749" s="42" t="str">
        <f>IFERROR(__xludf.DUMMYFUNCTION("""COMPUTED_VALUE"""),"DHBA")</f>
        <v>DHBA</v>
      </c>
      <c r="C2749" s="42" t="str">
        <f>IFERROR(__xludf.DUMMYFUNCTION("""COMPUTED_VALUE"""),"pyramidal tract, midbrain portion")</f>
        <v>pyramidal tract, midbrain portion</v>
      </c>
      <c r="D2749" s="42">
        <f>IFERROR(__xludf.DUMMYFUNCTION("""COMPUTED_VALUE"""),2620.0)</f>
        <v>2620</v>
      </c>
      <c r="E2749" s="39" t="str">
        <f>IFERROR(__xludf.DUMMYFUNCTION("""COMPUTED_VALUE"""),"pyramidal tract, midbrain portion")</f>
        <v>pyramidal tract, midbrain portion</v>
      </c>
      <c r="F2749" s="9" t="str">
        <f>IFERROR(__xludf.DUMMYFUNCTION("""COMPUTED_VALUE"""),"Br")</f>
        <v>Br</v>
      </c>
      <c r="G2749" s="9" t="str">
        <f>IFERROR(__xludf.DUMMYFUNCTION("""COMPUTED_VALUE"""),"M")</f>
        <v>M</v>
      </c>
      <c r="H2749" s="9" t="str">
        <f>IFERROR(__xludf.DUMMYFUNCTION("""COMPUTED_VALUE"""),"MWM")</f>
        <v>MWM</v>
      </c>
      <c r="I2749" s="9" t="str">
        <f>IFERROR(__xludf.DUMMYFUNCTION("""COMPUTED_VALUE"""),"cpd")</f>
        <v>cpd</v>
      </c>
      <c r="J2749" s="9" t="str">
        <f>IFERROR(__xludf.DUMMYFUNCTION("""COMPUTED_VALUE"""),"py-m")</f>
        <v>py-m</v>
      </c>
      <c r="K2749" s="9"/>
      <c r="L2749" s="9"/>
      <c r="M2749" s="9"/>
      <c r="N2749" s="9"/>
      <c r="O2749" s="9"/>
      <c r="P2749" s="9"/>
      <c r="Q2749" s="9"/>
      <c r="R2749" s="9"/>
      <c r="S2749" s="42"/>
      <c r="T2749" s="42"/>
      <c r="U2749" s="42"/>
      <c r="V2749" s="42"/>
      <c r="W2749" s="42"/>
      <c r="X2749" s="42"/>
      <c r="Y2749" s="42"/>
      <c r="Z2749" s="42"/>
      <c r="AA2749" s="42"/>
      <c r="AB2749" s="42" t="str">
        <f>IFERROR(__xludf.DUMMYFUNCTION("""COMPUTED_VALUE"""),"allen institute")</f>
        <v>allen institute</v>
      </c>
      <c r="AC2749" s="42" t="str">
        <f>IFERROR(__xludf.DUMMYFUNCTION("""COMPUTED_VALUE"""),"DHBA")</f>
        <v>DHBA</v>
      </c>
      <c r="AD2749" s="42"/>
      <c r="AE2749" s="42"/>
      <c r="AF2749" s="9"/>
      <c r="AG2749" s="9"/>
      <c r="AH2749" s="42"/>
      <c r="AI2749" s="42"/>
      <c r="AJ2749" s="42"/>
      <c r="AK2749" s="42"/>
      <c r="AL2749" s="42"/>
      <c r="AM2749" s="42"/>
      <c r="AN2749" s="42"/>
      <c r="AO2749" s="63" t="str">
        <f>IFERROR(__xludf.DUMMYFUNCTION("IF(ISBLANK(A2749),,IF(ISBLANK(S2749), A2749&amp;"";"", TEXTJOIN(CHAR(10), TRUE, A2749&amp;"";"", ARRAYFORMULA(VLOOKUP(SPLIT(S2749, "";"" &amp; CHAR(10)), $A:$AO, 41, FALSE)))))"),"py-m;")</f>
        <v>py-m;</v>
      </c>
      <c r="AP2749" s="89"/>
    </row>
    <row r="2750">
      <c r="A2750" s="151" t="str">
        <f>IFERROR(__xludf.DUMMYFUNCTION("""COMPUTED_VALUE"""),"cbu-m")</f>
        <v>cbu-m</v>
      </c>
      <c r="B2750" s="42" t="str">
        <f>IFERROR(__xludf.DUMMYFUNCTION("""COMPUTED_VALUE"""),"DHBA")</f>
        <v>DHBA</v>
      </c>
      <c r="C2750" s="42" t="str">
        <f>IFERROR(__xludf.DUMMYFUNCTION("""COMPUTED_VALUE"""),"corticobulbar tract, midbrain portion")</f>
        <v>corticobulbar tract, midbrain portion</v>
      </c>
      <c r="D2750" s="42">
        <f>IFERROR(__xludf.DUMMYFUNCTION("""COMPUTED_VALUE"""),2621.0)</f>
        <v>2621</v>
      </c>
      <c r="E2750" s="39" t="str">
        <f>IFERROR(__xludf.DUMMYFUNCTION("""COMPUTED_VALUE"""),"corticobulbar tract, midbrain portion")</f>
        <v>corticobulbar tract, midbrain portion</v>
      </c>
      <c r="F2750" s="9" t="str">
        <f>IFERROR(__xludf.DUMMYFUNCTION("""COMPUTED_VALUE"""),"Br")</f>
        <v>Br</v>
      </c>
      <c r="G2750" s="9" t="str">
        <f>IFERROR(__xludf.DUMMYFUNCTION("""COMPUTED_VALUE"""),"M")</f>
        <v>M</v>
      </c>
      <c r="H2750" s="9" t="str">
        <f>IFERROR(__xludf.DUMMYFUNCTION("""COMPUTED_VALUE"""),"MWM")</f>
        <v>MWM</v>
      </c>
      <c r="I2750" s="9" t="str">
        <f>IFERROR(__xludf.DUMMYFUNCTION("""COMPUTED_VALUE"""),"cpd")</f>
        <v>cpd</v>
      </c>
      <c r="J2750" s="9" t="str">
        <f>IFERROR(__xludf.DUMMYFUNCTION("""COMPUTED_VALUE"""),"cbu-m")</f>
        <v>cbu-m</v>
      </c>
      <c r="K2750" s="9"/>
      <c r="L2750" s="9"/>
      <c r="M2750" s="9"/>
      <c r="N2750" s="9"/>
      <c r="O2750" s="9"/>
      <c r="P2750" s="9"/>
      <c r="Q2750" s="9"/>
      <c r="R2750" s="9"/>
      <c r="S2750" s="42"/>
      <c r="T2750" s="42"/>
      <c r="U2750" s="42"/>
      <c r="V2750" s="42"/>
      <c r="W2750" s="42"/>
      <c r="X2750" s="42"/>
      <c r="Y2750" s="42"/>
      <c r="Z2750" s="42"/>
      <c r="AA2750" s="42"/>
      <c r="AB2750" s="42" t="str">
        <f>IFERROR(__xludf.DUMMYFUNCTION("""COMPUTED_VALUE"""),"allen institute")</f>
        <v>allen institute</v>
      </c>
      <c r="AC2750" s="42" t="str">
        <f>IFERROR(__xludf.DUMMYFUNCTION("""COMPUTED_VALUE"""),"DHBA")</f>
        <v>DHBA</v>
      </c>
      <c r="AD2750" s="42"/>
      <c r="AE2750" s="42"/>
      <c r="AF2750" s="9"/>
      <c r="AG2750" s="9"/>
      <c r="AH2750" s="42"/>
      <c r="AI2750" s="42"/>
      <c r="AJ2750" s="42"/>
      <c r="AK2750" s="42"/>
      <c r="AL2750" s="42"/>
      <c r="AM2750" s="42"/>
      <c r="AN2750" s="42"/>
      <c r="AO2750" s="63" t="str">
        <f>IFERROR(__xludf.DUMMYFUNCTION("IF(ISBLANK(A2750),,IF(ISBLANK(S2750), A2750&amp;"";"", TEXTJOIN(CHAR(10), TRUE, A2750&amp;"";"", ARRAYFORMULA(VLOOKUP(SPLIT(S2750, "";"" &amp; CHAR(10)), $A:$AO, 41, FALSE)))))"),"cbu-m;")</f>
        <v>cbu-m;</v>
      </c>
      <c r="AP2750" s="89"/>
    </row>
    <row r="2751">
      <c r="A2751" s="151" t="str">
        <f>IFERROR(__xludf.DUMMYFUNCTION("""COMPUTED_VALUE"""),"cmic")</f>
        <v>cmic</v>
      </c>
      <c r="B2751" s="42" t="str">
        <f>IFERROR(__xludf.DUMMYFUNCTION("""COMPUTED_VALUE"""),"DHBA")</f>
        <v>DHBA</v>
      </c>
      <c r="C2751" s="42" t="str">
        <f>IFERROR(__xludf.DUMMYFUNCTION("""COMPUTED_VALUE"""),"commissure of inferior colliculus")</f>
        <v>commissure of inferior colliculus</v>
      </c>
      <c r="D2751" s="42">
        <f>IFERROR(__xludf.DUMMYFUNCTION("""COMPUTED_VALUE"""),2622.0)</f>
        <v>2622</v>
      </c>
      <c r="E2751" s="39" t="str">
        <f>IFERROR(__xludf.DUMMYFUNCTION("""COMPUTED_VALUE"""),"commissure of inferior colliculus")</f>
        <v>commissure of inferior colliculus</v>
      </c>
      <c r="F2751" s="9" t="str">
        <f>IFERROR(__xludf.DUMMYFUNCTION("""COMPUTED_VALUE"""),"Br")</f>
        <v>Br</v>
      </c>
      <c r="G2751" s="9" t="str">
        <f>IFERROR(__xludf.DUMMYFUNCTION("""COMPUTED_VALUE"""),"M")</f>
        <v>M</v>
      </c>
      <c r="H2751" s="9" t="str">
        <f>IFERROR(__xludf.DUMMYFUNCTION("""COMPUTED_VALUE"""),"MWM")</f>
        <v>MWM</v>
      </c>
      <c r="I2751" s="9" t="str">
        <f>IFERROR(__xludf.DUMMYFUNCTION("""COMPUTED_VALUE"""),"cmic")</f>
        <v>cmic</v>
      </c>
      <c r="J2751" s="9"/>
      <c r="K2751" s="9"/>
      <c r="L2751" s="9"/>
      <c r="M2751" s="9"/>
      <c r="N2751" s="9"/>
      <c r="O2751" s="9"/>
      <c r="P2751" s="9"/>
      <c r="Q2751" s="9"/>
      <c r="R2751" s="9"/>
      <c r="S2751" s="42"/>
      <c r="T2751" s="42"/>
      <c r="U2751" s="42"/>
      <c r="V2751" s="42"/>
      <c r="W2751" s="42"/>
      <c r="X2751" s="42"/>
      <c r="Y2751" s="42"/>
      <c r="Z2751" s="42"/>
      <c r="AA2751" s="42"/>
      <c r="AB2751" s="42" t="str">
        <f>IFERROR(__xludf.DUMMYFUNCTION("""COMPUTED_VALUE"""),"allen institute")</f>
        <v>allen institute</v>
      </c>
      <c r="AC2751" s="42" t="str">
        <f>IFERROR(__xludf.DUMMYFUNCTION("""COMPUTED_VALUE"""),"DHBA")</f>
        <v>DHBA</v>
      </c>
      <c r="AD2751" s="42"/>
      <c r="AE2751" s="42"/>
      <c r="AF2751" s="9"/>
      <c r="AG2751" s="9"/>
      <c r="AH2751" s="42"/>
      <c r="AI2751" s="42"/>
      <c r="AJ2751" s="42"/>
      <c r="AK2751" s="42"/>
      <c r="AL2751" s="42"/>
      <c r="AM2751" s="42"/>
      <c r="AN2751" s="42"/>
      <c r="AO2751" s="63" t="str">
        <f>IFERROR(__xludf.DUMMYFUNCTION("IF(ISBLANK(A2751),,IF(ISBLANK(S2751), A2751&amp;"";"", TEXTJOIN(CHAR(10), TRUE, A2751&amp;"";"", ARRAYFORMULA(VLOOKUP(SPLIT(S2751, "";"" &amp; CHAR(10)), $A:$AO, 41, FALSE)))))"),"cmic;")</f>
        <v>cmic;</v>
      </c>
      <c r="AP2751" s="89"/>
    </row>
    <row r="2752">
      <c r="A2752" s="151" t="str">
        <f>IFERROR(__xludf.DUMMYFUNCTION("""COMPUTED_VALUE"""),"cme")</f>
        <v>cme</v>
      </c>
      <c r="B2752" s="42" t="str">
        <f>IFERROR(__xludf.DUMMYFUNCTION("""COMPUTED_VALUE"""),"DHBA")</f>
        <v>DHBA</v>
      </c>
      <c r="C2752" s="42" t="str">
        <f>IFERROR(__xludf.DUMMYFUNCTION("""COMPUTED_VALUE"""),"corticomesencephalic fibers")</f>
        <v>corticomesencephalic fibers</v>
      </c>
      <c r="D2752" s="42">
        <f>IFERROR(__xludf.DUMMYFUNCTION("""COMPUTED_VALUE"""),2623.0)</f>
        <v>2623</v>
      </c>
      <c r="E2752" s="39" t="str">
        <f>IFERROR(__xludf.DUMMYFUNCTION("""COMPUTED_VALUE"""),"corticomesencephalic fibers")</f>
        <v>corticomesencephalic fibers</v>
      </c>
      <c r="F2752" s="9" t="str">
        <f>IFERROR(__xludf.DUMMYFUNCTION("""COMPUTED_VALUE"""),"Br")</f>
        <v>Br</v>
      </c>
      <c r="G2752" s="9" t="str">
        <f>IFERROR(__xludf.DUMMYFUNCTION("""COMPUTED_VALUE"""),"M")</f>
        <v>M</v>
      </c>
      <c r="H2752" s="9" t="str">
        <f>IFERROR(__xludf.DUMMYFUNCTION("""COMPUTED_VALUE"""),"MWM")</f>
        <v>MWM</v>
      </c>
      <c r="I2752" s="9" t="str">
        <f>IFERROR(__xludf.DUMMYFUNCTION("""COMPUTED_VALUE"""),"cme")</f>
        <v>cme</v>
      </c>
      <c r="J2752" s="9"/>
      <c r="K2752" s="9"/>
      <c r="L2752" s="9"/>
      <c r="M2752" s="9"/>
      <c r="N2752" s="9"/>
      <c r="O2752" s="9"/>
      <c r="P2752" s="9"/>
      <c r="Q2752" s="9"/>
      <c r="R2752" s="9"/>
      <c r="S2752" s="42"/>
      <c r="T2752" s="42"/>
      <c r="U2752" s="42"/>
      <c r="V2752" s="42"/>
      <c r="W2752" s="42"/>
      <c r="X2752" s="42"/>
      <c r="Y2752" s="42"/>
      <c r="Z2752" s="42"/>
      <c r="AA2752" s="42"/>
      <c r="AB2752" s="42" t="str">
        <f>IFERROR(__xludf.DUMMYFUNCTION("""COMPUTED_VALUE"""),"allen institute")</f>
        <v>allen institute</v>
      </c>
      <c r="AC2752" s="42" t="str">
        <f>IFERROR(__xludf.DUMMYFUNCTION("""COMPUTED_VALUE"""),"DHBA")</f>
        <v>DHBA</v>
      </c>
      <c r="AD2752" s="42"/>
      <c r="AE2752" s="42"/>
      <c r="AF2752" s="9"/>
      <c r="AG2752" s="9"/>
      <c r="AH2752" s="42"/>
      <c r="AI2752" s="42"/>
      <c r="AJ2752" s="42"/>
      <c r="AK2752" s="42"/>
      <c r="AL2752" s="42"/>
      <c r="AM2752" s="42"/>
      <c r="AN2752" s="42"/>
      <c r="AO2752" s="63" t="str">
        <f>IFERROR(__xludf.DUMMYFUNCTION("IF(ISBLANK(A2752),,IF(ISBLANK(S2752), A2752&amp;"";"", TEXTJOIN(CHAR(10), TRUE, A2752&amp;"";"", ARRAYFORMULA(VLOOKUP(SPLIT(S2752, "";"" &amp; CHAR(10)), $A:$AO, 41, FALSE)))))"),"cme;")</f>
        <v>cme;</v>
      </c>
      <c r="AP2752" s="89"/>
    </row>
    <row r="2753">
      <c r="A2753" s="151" t="str">
        <f>IFERROR(__xludf.DUMMYFUNCTION("""COMPUTED_VALUE"""),"xrsp")</f>
        <v>xrsp</v>
      </c>
      <c r="B2753" s="42" t="str">
        <f>IFERROR(__xludf.DUMMYFUNCTION("""COMPUTED_VALUE"""),"DHBA")</f>
        <v>DHBA</v>
      </c>
      <c r="C2753" s="42" t="str">
        <f>IFERROR(__xludf.DUMMYFUNCTION("""COMPUTED_VALUE"""),"decussation of rubrospinal tract")</f>
        <v>decussation of rubrospinal tract</v>
      </c>
      <c r="D2753" s="42">
        <f>IFERROR(__xludf.DUMMYFUNCTION("""COMPUTED_VALUE"""),2624.0)</f>
        <v>2624</v>
      </c>
      <c r="E2753" s="39" t="str">
        <f>IFERROR(__xludf.DUMMYFUNCTION("""COMPUTED_VALUE"""),"decussation of rubrospinal tract")</f>
        <v>decussation of rubrospinal tract</v>
      </c>
      <c r="F2753" s="9" t="str">
        <f>IFERROR(__xludf.DUMMYFUNCTION("""COMPUTED_VALUE"""),"Br")</f>
        <v>Br</v>
      </c>
      <c r="G2753" s="9" t="str">
        <f>IFERROR(__xludf.DUMMYFUNCTION("""COMPUTED_VALUE"""),"M")</f>
        <v>M</v>
      </c>
      <c r="H2753" s="9" t="str">
        <f>IFERROR(__xludf.DUMMYFUNCTION("""COMPUTED_VALUE"""),"MWM")</f>
        <v>MWM</v>
      </c>
      <c r="I2753" s="9" t="str">
        <f>IFERROR(__xludf.DUMMYFUNCTION("""COMPUTED_VALUE"""),"xrsp")</f>
        <v>xrsp</v>
      </c>
      <c r="J2753" s="9"/>
      <c r="K2753" s="9"/>
      <c r="L2753" s="9"/>
      <c r="M2753" s="9"/>
      <c r="N2753" s="9"/>
      <c r="O2753" s="9"/>
      <c r="P2753" s="9"/>
      <c r="Q2753" s="9"/>
      <c r="R2753" s="9"/>
      <c r="S2753" s="42"/>
      <c r="T2753" s="42"/>
      <c r="U2753" s="42"/>
      <c r="V2753" s="42"/>
      <c r="W2753" s="42"/>
      <c r="X2753" s="42"/>
      <c r="Y2753" s="42"/>
      <c r="Z2753" s="42"/>
      <c r="AA2753" s="42"/>
      <c r="AB2753" s="42" t="str">
        <f>IFERROR(__xludf.DUMMYFUNCTION("""COMPUTED_VALUE"""),"allen institute")</f>
        <v>allen institute</v>
      </c>
      <c r="AC2753" s="42" t="str">
        <f>IFERROR(__xludf.DUMMYFUNCTION("""COMPUTED_VALUE"""),"DHBA")</f>
        <v>DHBA</v>
      </c>
      <c r="AD2753" s="42"/>
      <c r="AE2753" s="42"/>
      <c r="AF2753" s="9"/>
      <c r="AG2753" s="9"/>
      <c r="AH2753" s="42"/>
      <c r="AI2753" s="42"/>
      <c r="AJ2753" s="42"/>
      <c r="AK2753" s="42"/>
      <c r="AL2753" s="42"/>
      <c r="AM2753" s="42"/>
      <c r="AN2753" s="42"/>
      <c r="AO2753" s="63" t="str">
        <f>IFERROR(__xludf.DUMMYFUNCTION("IF(ISBLANK(A2753),,IF(ISBLANK(S2753), A2753&amp;"";"", TEXTJOIN(CHAR(10), TRUE, A2753&amp;"";"", ARRAYFORMULA(VLOOKUP(SPLIT(S2753, "";"" &amp; CHAR(10)), $A:$AO, 41, FALSE)))))"),"xrsp;")</f>
        <v>xrsp;</v>
      </c>
      <c r="AP2753" s="89"/>
    </row>
    <row r="2754">
      <c r="A2754" s="151" t="str">
        <f>IFERROR(__xludf.DUMMYFUNCTION("""COMPUTED_VALUE"""),"xscp")</f>
        <v>xscp</v>
      </c>
      <c r="B2754" s="42" t="str">
        <f>IFERROR(__xludf.DUMMYFUNCTION("""COMPUTED_VALUE"""),"DHBA")</f>
        <v>DHBA</v>
      </c>
      <c r="C2754" s="42" t="str">
        <f>IFERROR(__xludf.DUMMYFUNCTION("""COMPUTED_VALUE"""),"decussation of superior cerebellar peduncle")</f>
        <v>decussation of superior cerebellar peduncle</v>
      </c>
      <c r="D2754" s="42">
        <f>IFERROR(__xludf.DUMMYFUNCTION("""COMPUTED_VALUE"""),2625.0)</f>
        <v>2625</v>
      </c>
      <c r="E2754" s="39" t="str">
        <f>IFERROR(__xludf.DUMMYFUNCTION("""COMPUTED_VALUE"""),"decussation of superior cerebellar peduncle")</f>
        <v>decussation of superior cerebellar peduncle</v>
      </c>
      <c r="F2754" s="9" t="str">
        <f>IFERROR(__xludf.DUMMYFUNCTION("""COMPUTED_VALUE"""),"Br")</f>
        <v>Br</v>
      </c>
      <c r="G2754" s="9" t="str">
        <f>IFERROR(__xludf.DUMMYFUNCTION("""COMPUTED_VALUE"""),"M")</f>
        <v>M</v>
      </c>
      <c r="H2754" s="9" t="str">
        <f>IFERROR(__xludf.DUMMYFUNCTION("""COMPUTED_VALUE"""),"MWM")</f>
        <v>MWM</v>
      </c>
      <c r="I2754" s="9" t="str">
        <f>IFERROR(__xludf.DUMMYFUNCTION("""COMPUTED_VALUE"""),"xscp")</f>
        <v>xscp</v>
      </c>
      <c r="J2754" s="9"/>
      <c r="K2754" s="9"/>
      <c r="L2754" s="9"/>
      <c r="M2754" s="9"/>
      <c r="N2754" s="9"/>
      <c r="O2754" s="9"/>
      <c r="P2754" s="9"/>
      <c r="Q2754" s="9"/>
      <c r="R2754" s="9"/>
      <c r="S2754" s="42"/>
      <c r="T2754" s="42"/>
      <c r="U2754" s="42"/>
      <c r="V2754" s="42"/>
      <c r="W2754" s="42"/>
      <c r="X2754" s="42"/>
      <c r="Y2754" s="42"/>
      <c r="Z2754" s="42"/>
      <c r="AA2754" s="42"/>
      <c r="AB2754" s="42" t="str">
        <f>IFERROR(__xludf.DUMMYFUNCTION("""COMPUTED_VALUE"""),"allen institute")</f>
        <v>allen institute</v>
      </c>
      <c r="AC2754" s="42" t="str">
        <f>IFERROR(__xludf.DUMMYFUNCTION("""COMPUTED_VALUE"""),"DHBA")</f>
        <v>DHBA</v>
      </c>
      <c r="AD2754" s="42"/>
      <c r="AE2754" s="42"/>
      <c r="AF2754" s="9"/>
      <c r="AG2754" s="9"/>
      <c r="AH2754" s="42"/>
      <c r="AI2754" s="42"/>
      <c r="AJ2754" s="42"/>
      <c r="AK2754" s="42"/>
      <c r="AL2754" s="42"/>
      <c r="AM2754" s="42"/>
      <c r="AN2754" s="42"/>
      <c r="AO2754" s="63" t="str">
        <f>IFERROR(__xludf.DUMMYFUNCTION("IF(ISBLANK(A2754),,IF(ISBLANK(S2754), A2754&amp;"";"", TEXTJOIN(CHAR(10), TRUE, A2754&amp;"";"", ARRAYFORMULA(VLOOKUP(SPLIT(S2754, "";"" &amp; CHAR(10)), $A:$AO, 41, FALSE)))))"),"xscp;")</f>
        <v>xscp;</v>
      </c>
      <c r="AP2754" s="89"/>
    </row>
    <row r="2755">
      <c r="A2755" s="151" t="str">
        <f>IFERROR(__xludf.DUMMYFUNCTION("""COMPUTED_VALUE"""),"x4")</f>
        <v>x4</v>
      </c>
      <c r="B2755" s="42" t="str">
        <f>IFERROR(__xludf.DUMMYFUNCTION("""COMPUTED_VALUE"""),"DHBA")</f>
        <v>DHBA</v>
      </c>
      <c r="C2755" s="42" t="str">
        <f>IFERROR(__xludf.DUMMYFUNCTION("""COMPUTED_VALUE"""),"decussation of trochlear nerve fibers")</f>
        <v>decussation of trochlear nerve fibers</v>
      </c>
      <c r="D2755" s="42">
        <f>IFERROR(__xludf.DUMMYFUNCTION("""COMPUTED_VALUE"""),2626.0)</f>
        <v>2626</v>
      </c>
      <c r="E2755" s="39" t="str">
        <f>IFERROR(__xludf.DUMMYFUNCTION("""COMPUTED_VALUE"""),"decussation of trochlear nerve fibers")</f>
        <v>decussation of trochlear nerve fibers</v>
      </c>
      <c r="F2755" s="9" t="str">
        <f>IFERROR(__xludf.DUMMYFUNCTION("""COMPUTED_VALUE"""),"Br")</f>
        <v>Br</v>
      </c>
      <c r="G2755" s="9" t="str">
        <f>IFERROR(__xludf.DUMMYFUNCTION("""COMPUTED_VALUE"""),"M")</f>
        <v>M</v>
      </c>
      <c r="H2755" s="9" t="str">
        <f>IFERROR(__xludf.DUMMYFUNCTION("""COMPUTED_VALUE"""),"MWM")</f>
        <v>MWM</v>
      </c>
      <c r="I2755" s="9" t="str">
        <f>IFERROR(__xludf.DUMMYFUNCTION("""COMPUTED_VALUE"""),"x4")</f>
        <v>x4</v>
      </c>
      <c r="J2755" s="9"/>
      <c r="K2755" s="9"/>
      <c r="L2755" s="9"/>
      <c r="M2755" s="9"/>
      <c r="N2755" s="9"/>
      <c r="O2755" s="9"/>
      <c r="P2755" s="9"/>
      <c r="Q2755" s="9"/>
      <c r="R2755" s="9"/>
      <c r="S2755" s="42"/>
      <c r="T2755" s="42"/>
      <c r="U2755" s="42"/>
      <c r="V2755" s="42"/>
      <c r="W2755" s="42"/>
      <c r="X2755" s="42"/>
      <c r="Y2755" s="42"/>
      <c r="Z2755" s="42"/>
      <c r="AA2755" s="42"/>
      <c r="AB2755" s="42" t="str">
        <f>IFERROR(__xludf.DUMMYFUNCTION("""COMPUTED_VALUE"""),"allen institute")</f>
        <v>allen institute</v>
      </c>
      <c r="AC2755" s="42" t="str">
        <f>IFERROR(__xludf.DUMMYFUNCTION("""COMPUTED_VALUE"""),"DHBA")</f>
        <v>DHBA</v>
      </c>
      <c r="AD2755" s="42"/>
      <c r="AE2755" s="42"/>
      <c r="AF2755" s="9"/>
      <c r="AG2755" s="9"/>
      <c r="AH2755" s="42"/>
      <c r="AI2755" s="42"/>
      <c r="AJ2755" s="42"/>
      <c r="AK2755" s="42"/>
      <c r="AL2755" s="42"/>
      <c r="AM2755" s="42"/>
      <c r="AN2755" s="42"/>
      <c r="AO2755" s="63" t="str">
        <f>IFERROR(__xludf.DUMMYFUNCTION("IF(ISBLANK(A2755),,IF(ISBLANK(S2755), A2755&amp;"";"", TEXTJOIN(CHAR(10), TRUE, A2755&amp;"";"", ARRAYFORMULA(VLOOKUP(SPLIT(S2755, "";"" &amp; CHAR(10)), $A:$AO, 41, FALSE)))))"),"x4;")</f>
        <v>x4;</v>
      </c>
      <c r="AP2755" s="89"/>
    </row>
    <row r="2756">
      <c r="A2756" s="151" t="str">
        <f>IFERROR(__xludf.DUMMYFUNCTION("""COMPUTED_VALUE"""),"dlf-m")</f>
        <v>dlf-m</v>
      </c>
      <c r="B2756" s="42" t="str">
        <f>IFERROR(__xludf.DUMMYFUNCTION("""COMPUTED_VALUE"""),"DHBA")</f>
        <v>DHBA</v>
      </c>
      <c r="C2756" s="42" t="str">
        <f>IFERROR(__xludf.DUMMYFUNCTION("""COMPUTED_VALUE"""),"dorsal longitudinal fasciculus, midbrain portion")</f>
        <v>dorsal longitudinal fasciculus, midbrain portion</v>
      </c>
      <c r="D2756" s="42">
        <f>IFERROR(__xludf.DUMMYFUNCTION("""COMPUTED_VALUE"""),2627.0)</f>
        <v>2627</v>
      </c>
      <c r="E2756" s="39" t="str">
        <f>IFERROR(__xludf.DUMMYFUNCTION("""COMPUTED_VALUE"""),"dorsal longitudinal fasciculus, midbrain portion")</f>
        <v>dorsal longitudinal fasciculus, midbrain portion</v>
      </c>
      <c r="F2756" s="9" t="str">
        <f>IFERROR(__xludf.DUMMYFUNCTION("""COMPUTED_VALUE"""),"Br")</f>
        <v>Br</v>
      </c>
      <c r="G2756" s="9" t="str">
        <f>IFERROR(__xludf.DUMMYFUNCTION("""COMPUTED_VALUE"""),"M")</f>
        <v>M</v>
      </c>
      <c r="H2756" s="9" t="str">
        <f>IFERROR(__xludf.DUMMYFUNCTION("""COMPUTED_VALUE"""),"MWM")</f>
        <v>MWM</v>
      </c>
      <c r="I2756" s="9" t="str">
        <f>IFERROR(__xludf.DUMMYFUNCTION("""COMPUTED_VALUE"""),"dlf-m")</f>
        <v>dlf-m</v>
      </c>
      <c r="J2756" s="9"/>
      <c r="K2756" s="9"/>
      <c r="L2756" s="9"/>
      <c r="M2756" s="9"/>
      <c r="N2756" s="9"/>
      <c r="O2756" s="9"/>
      <c r="P2756" s="9"/>
      <c r="Q2756" s="9"/>
      <c r="R2756" s="9"/>
      <c r="S2756" s="42"/>
      <c r="T2756" s="42"/>
      <c r="U2756" s="42"/>
      <c r="V2756" s="42"/>
      <c r="W2756" s="42"/>
      <c r="X2756" s="42"/>
      <c r="Y2756" s="42"/>
      <c r="Z2756" s="42"/>
      <c r="AA2756" s="42"/>
      <c r="AB2756" s="42" t="str">
        <f>IFERROR(__xludf.DUMMYFUNCTION("""COMPUTED_VALUE"""),"allen institute")</f>
        <v>allen institute</v>
      </c>
      <c r="AC2756" s="42" t="str">
        <f>IFERROR(__xludf.DUMMYFUNCTION("""COMPUTED_VALUE"""),"DHBA")</f>
        <v>DHBA</v>
      </c>
      <c r="AD2756" s="42"/>
      <c r="AE2756" s="42"/>
      <c r="AF2756" s="9"/>
      <c r="AG2756" s="9"/>
      <c r="AH2756" s="42"/>
      <c r="AI2756" s="42"/>
      <c r="AJ2756" s="42"/>
      <c r="AK2756" s="42"/>
      <c r="AL2756" s="42"/>
      <c r="AM2756" s="42"/>
      <c r="AN2756" s="42"/>
      <c r="AO2756" s="63" t="str">
        <f>IFERROR(__xludf.DUMMYFUNCTION("IF(ISBLANK(A2756),,IF(ISBLANK(S2756), A2756&amp;"";"", TEXTJOIN(CHAR(10), TRUE, A2756&amp;"";"", ARRAYFORMULA(VLOOKUP(SPLIT(S2756, "";"" &amp; CHAR(10)), $A:$AO, 41, FALSE)))))"),"dlf-m;")</f>
        <v>dlf-m;</v>
      </c>
      <c r="AP2756" s="89"/>
    </row>
    <row r="2757">
      <c r="A2757" s="151" t="str">
        <f>IFERROR(__xludf.DUMMYFUNCTION("""COMPUTED_VALUE"""),"xdtg")</f>
        <v>xdtg</v>
      </c>
      <c r="B2757" s="42" t="str">
        <f>IFERROR(__xludf.DUMMYFUNCTION("""COMPUTED_VALUE"""),"DHBA")</f>
        <v>DHBA</v>
      </c>
      <c r="C2757" s="42" t="str">
        <f>IFERROR(__xludf.DUMMYFUNCTION("""COMPUTED_VALUE"""),"dorsal tegmental decussation")</f>
        <v>dorsal tegmental decussation</v>
      </c>
      <c r="D2757" s="42">
        <f>IFERROR(__xludf.DUMMYFUNCTION("""COMPUTED_VALUE"""),2628.0)</f>
        <v>2628</v>
      </c>
      <c r="E2757" s="39" t="str">
        <f>IFERROR(__xludf.DUMMYFUNCTION("""COMPUTED_VALUE"""),"dorsal tegmental decussation")</f>
        <v>dorsal tegmental decussation</v>
      </c>
      <c r="F2757" s="9" t="str">
        <f>IFERROR(__xludf.DUMMYFUNCTION("""COMPUTED_VALUE"""),"Br")</f>
        <v>Br</v>
      </c>
      <c r="G2757" s="9" t="str">
        <f>IFERROR(__xludf.DUMMYFUNCTION("""COMPUTED_VALUE"""),"M")</f>
        <v>M</v>
      </c>
      <c r="H2757" s="9" t="str">
        <f>IFERROR(__xludf.DUMMYFUNCTION("""COMPUTED_VALUE"""),"MWM")</f>
        <v>MWM</v>
      </c>
      <c r="I2757" s="9" t="str">
        <f>IFERROR(__xludf.DUMMYFUNCTION("""COMPUTED_VALUE"""),"xdtg")</f>
        <v>xdtg</v>
      </c>
      <c r="J2757" s="9"/>
      <c r="K2757" s="9"/>
      <c r="L2757" s="9"/>
      <c r="M2757" s="9"/>
      <c r="N2757" s="9"/>
      <c r="O2757" s="9"/>
      <c r="P2757" s="9"/>
      <c r="Q2757" s="9"/>
      <c r="R2757" s="9"/>
      <c r="S2757" s="42"/>
      <c r="T2757" s="42"/>
      <c r="U2757" s="42"/>
      <c r="V2757" s="42"/>
      <c r="W2757" s="42"/>
      <c r="X2757" s="42"/>
      <c r="Y2757" s="42"/>
      <c r="Z2757" s="42"/>
      <c r="AA2757" s="42"/>
      <c r="AB2757" s="42" t="str">
        <f>IFERROR(__xludf.DUMMYFUNCTION("""COMPUTED_VALUE"""),"allen institute")</f>
        <v>allen institute</v>
      </c>
      <c r="AC2757" s="42" t="str">
        <f>IFERROR(__xludf.DUMMYFUNCTION("""COMPUTED_VALUE"""),"DHBA")</f>
        <v>DHBA</v>
      </c>
      <c r="AD2757" s="42"/>
      <c r="AE2757" s="42"/>
      <c r="AF2757" s="9"/>
      <c r="AG2757" s="9"/>
      <c r="AH2757" s="42"/>
      <c r="AI2757" s="42"/>
      <c r="AJ2757" s="42"/>
      <c r="AK2757" s="42"/>
      <c r="AL2757" s="42"/>
      <c r="AM2757" s="42"/>
      <c r="AN2757" s="42"/>
      <c r="AO2757" s="63" t="str">
        <f>IFERROR(__xludf.DUMMYFUNCTION("IF(ISBLANK(A2757),,IF(ISBLANK(S2757), A2757&amp;"";"", TEXTJOIN(CHAR(10), TRUE, A2757&amp;"";"", ARRAYFORMULA(VLOOKUP(SPLIT(S2757, "";"" &amp; CHAR(10)), $A:$AO, 41, FALSE)))))"),"xdtg;")</f>
        <v>xdtg;</v>
      </c>
      <c r="AP2757" s="89"/>
    </row>
    <row r="2758">
      <c r="A2758" s="151" t="str">
        <f>IFERROR(__xludf.DUMMYFUNCTION("""COMPUTED_VALUE"""),"dtth-m")</f>
        <v>dtth-m</v>
      </c>
      <c r="B2758" s="42" t="str">
        <f>IFERROR(__xludf.DUMMYFUNCTION("""COMPUTED_VALUE"""),"DHBA")</f>
        <v>DHBA</v>
      </c>
      <c r="C2758" s="42" t="str">
        <f>IFERROR(__xludf.DUMMYFUNCTION("""COMPUTED_VALUE"""),"dorsal trigeminothalamic tract, midbrain portion")</f>
        <v>dorsal trigeminothalamic tract, midbrain portion</v>
      </c>
      <c r="D2758" s="42">
        <f>IFERROR(__xludf.DUMMYFUNCTION("""COMPUTED_VALUE"""),2629.0)</f>
        <v>2629</v>
      </c>
      <c r="E2758" s="39" t="str">
        <f>IFERROR(__xludf.DUMMYFUNCTION("""COMPUTED_VALUE"""),"dorsal trigeminothalamic tract, midbrain portion")</f>
        <v>dorsal trigeminothalamic tract, midbrain portion</v>
      </c>
      <c r="F2758" s="9" t="str">
        <f>IFERROR(__xludf.DUMMYFUNCTION("""COMPUTED_VALUE"""),"Br")</f>
        <v>Br</v>
      </c>
      <c r="G2758" s="9" t="str">
        <f>IFERROR(__xludf.DUMMYFUNCTION("""COMPUTED_VALUE"""),"M")</f>
        <v>M</v>
      </c>
      <c r="H2758" s="9" t="str">
        <f>IFERROR(__xludf.DUMMYFUNCTION("""COMPUTED_VALUE"""),"MWM")</f>
        <v>MWM</v>
      </c>
      <c r="I2758" s="9" t="str">
        <f>IFERROR(__xludf.DUMMYFUNCTION("""COMPUTED_VALUE"""),"dtth-m")</f>
        <v>dtth-m</v>
      </c>
      <c r="J2758" s="9"/>
      <c r="K2758" s="9"/>
      <c r="L2758" s="9"/>
      <c r="M2758" s="9"/>
      <c r="N2758" s="9"/>
      <c r="O2758" s="9"/>
      <c r="P2758" s="9"/>
      <c r="Q2758" s="9"/>
      <c r="R2758" s="9"/>
      <c r="S2758" s="42"/>
      <c r="T2758" s="42"/>
      <c r="U2758" s="42"/>
      <c r="V2758" s="42"/>
      <c r="W2758" s="42"/>
      <c r="X2758" s="42"/>
      <c r="Y2758" s="42"/>
      <c r="Z2758" s="42"/>
      <c r="AA2758" s="42"/>
      <c r="AB2758" s="42" t="str">
        <f>IFERROR(__xludf.DUMMYFUNCTION("""COMPUTED_VALUE"""),"allen institute")</f>
        <v>allen institute</v>
      </c>
      <c r="AC2758" s="42" t="str">
        <f>IFERROR(__xludf.DUMMYFUNCTION("""COMPUTED_VALUE"""),"DHBA")</f>
        <v>DHBA</v>
      </c>
      <c r="AD2758" s="42"/>
      <c r="AE2758" s="42"/>
      <c r="AF2758" s="9"/>
      <c r="AG2758" s="9"/>
      <c r="AH2758" s="42"/>
      <c r="AI2758" s="42"/>
      <c r="AJ2758" s="42"/>
      <c r="AK2758" s="42"/>
      <c r="AL2758" s="42"/>
      <c r="AM2758" s="42"/>
      <c r="AN2758" s="42"/>
      <c r="AO2758" s="63" t="str">
        <f>IFERROR(__xludf.DUMMYFUNCTION("IF(ISBLANK(A2758),,IF(ISBLANK(S2758), A2758&amp;"";"", TEXTJOIN(CHAR(10), TRUE, A2758&amp;"";"", ARRAYFORMULA(VLOOKUP(SPLIT(S2758, "";"" &amp; CHAR(10)), $A:$AO, 41, FALSE)))))"),"dtth-m;")</f>
        <v>dtth-m;</v>
      </c>
      <c r="AP2758" s="89"/>
    </row>
    <row r="2759">
      <c r="A2759" s="151" t="str">
        <f>IFERROR(__xludf.DUMMYFUNCTION("""COMPUTED_VALUE"""),"fr")</f>
        <v>fr</v>
      </c>
      <c r="B2759" s="42" t="str">
        <f>IFERROR(__xludf.DUMMYFUNCTION("""COMPUTED_VALUE"""),"DHBA")</f>
        <v>DHBA</v>
      </c>
      <c r="C2759" s="42" t="str">
        <f>IFERROR(__xludf.DUMMYFUNCTION("""COMPUTED_VALUE"""),"fasciculus retroflexus (habenuno-interpeduncular tract)")</f>
        <v>fasciculus retroflexus (habenuno-interpeduncular tract)</v>
      </c>
      <c r="D2759" s="42">
        <f>IFERROR(__xludf.DUMMYFUNCTION("""COMPUTED_VALUE"""),2630.0)</f>
        <v>2630</v>
      </c>
      <c r="E2759" s="39" t="str">
        <f>IFERROR(__xludf.DUMMYFUNCTION("""COMPUTED_VALUE"""),"fasciculus retroflexus (habenuno-interpeduncular tract)")</f>
        <v>fasciculus retroflexus (habenuno-interpeduncular tract)</v>
      </c>
      <c r="F2759" s="9" t="str">
        <f>IFERROR(__xludf.DUMMYFUNCTION("""COMPUTED_VALUE"""),"Br")</f>
        <v>Br</v>
      </c>
      <c r="G2759" s="9" t="str">
        <f>IFERROR(__xludf.DUMMYFUNCTION("""COMPUTED_VALUE"""),"M")</f>
        <v>M</v>
      </c>
      <c r="H2759" s="9" t="str">
        <f>IFERROR(__xludf.DUMMYFUNCTION("""COMPUTED_VALUE"""),"MWM")</f>
        <v>MWM</v>
      </c>
      <c r="I2759" s="9" t="str">
        <f>IFERROR(__xludf.DUMMYFUNCTION("""COMPUTED_VALUE"""),"fr")</f>
        <v>fr</v>
      </c>
      <c r="J2759" s="9"/>
      <c r="K2759" s="9"/>
      <c r="L2759" s="9"/>
      <c r="M2759" s="9"/>
      <c r="N2759" s="9"/>
      <c r="O2759" s="9"/>
      <c r="P2759" s="9"/>
      <c r="Q2759" s="9"/>
      <c r="R2759" s="9"/>
      <c r="S2759" s="42"/>
      <c r="T2759" s="42"/>
      <c r="U2759" s="42"/>
      <c r="V2759" s="42"/>
      <c r="W2759" s="42"/>
      <c r="X2759" s="42"/>
      <c r="Y2759" s="42"/>
      <c r="Z2759" s="42"/>
      <c r="AA2759" s="42"/>
      <c r="AB2759" s="42" t="str">
        <f>IFERROR(__xludf.DUMMYFUNCTION("""COMPUTED_VALUE"""),"allen institute")</f>
        <v>allen institute</v>
      </c>
      <c r="AC2759" s="42" t="str">
        <f>IFERROR(__xludf.DUMMYFUNCTION("""COMPUTED_VALUE"""),"DHBA")</f>
        <v>DHBA</v>
      </c>
      <c r="AD2759" s="42"/>
      <c r="AE2759" s="42"/>
      <c r="AF2759" s="9"/>
      <c r="AG2759" s="9"/>
      <c r="AH2759" s="42"/>
      <c r="AI2759" s="42"/>
      <c r="AJ2759" s="42"/>
      <c r="AK2759" s="42"/>
      <c r="AL2759" s="42"/>
      <c r="AM2759" s="42"/>
      <c r="AN2759" s="42"/>
      <c r="AO2759" s="63" t="str">
        <f>IFERROR(__xludf.DUMMYFUNCTION("IF(ISBLANK(A2759),,IF(ISBLANK(S2759), A2759&amp;"";"", TEXTJOIN(CHAR(10), TRUE, A2759&amp;"";"", ARRAYFORMULA(VLOOKUP(SPLIT(S2759, "";"" &amp; CHAR(10)), $A:$AO, 41, FALSE)))))"),"fr;")</f>
        <v>fr;</v>
      </c>
      <c r="AP2759" s="89"/>
    </row>
    <row r="2760">
      <c r="A2760" s="151" t="str">
        <f>IFERROR(__xludf.DUMMYFUNCTION("""COMPUTED_VALUE"""),"hysp-m")</f>
        <v>hysp-m</v>
      </c>
      <c r="B2760" s="42" t="str">
        <f>IFERROR(__xludf.DUMMYFUNCTION("""COMPUTED_VALUE"""),"DHBA")</f>
        <v>DHBA</v>
      </c>
      <c r="C2760" s="42" t="str">
        <f>IFERROR(__xludf.DUMMYFUNCTION("""COMPUTED_VALUE"""),"hypothalamospinal fibers, midbrain portion")</f>
        <v>hypothalamospinal fibers, midbrain portion</v>
      </c>
      <c r="D2760" s="42">
        <f>IFERROR(__xludf.DUMMYFUNCTION("""COMPUTED_VALUE"""),2631.0)</f>
        <v>2631</v>
      </c>
      <c r="E2760" s="39" t="str">
        <f>IFERROR(__xludf.DUMMYFUNCTION("""COMPUTED_VALUE"""),"hypothalamospinal fibers, midbrain portion")</f>
        <v>hypothalamospinal fibers, midbrain portion</v>
      </c>
      <c r="F2760" s="9" t="str">
        <f>IFERROR(__xludf.DUMMYFUNCTION("""COMPUTED_VALUE"""),"Br")</f>
        <v>Br</v>
      </c>
      <c r="G2760" s="9" t="str">
        <f>IFERROR(__xludf.DUMMYFUNCTION("""COMPUTED_VALUE"""),"M")</f>
        <v>M</v>
      </c>
      <c r="H2760" s="9" t="str">
        <f>IFERROR(__xludf.DUMMYFUNCTION("""COMPUTED_VALUE"""),"MWM")</f>
        <v>MWM</v>
      </c>
      <c r="I2760" s="9" t="str">
        <f>IFERROR(__xludf.DUMMYFUNCTION("""COMPUTED_VALUE"""),"hysp-m")</f>
        <v>hysp-m</v>
      </c>
      <c r="J2760" s="9"/>
      <c r="K2760" s="9"/>
      <c r="L2760" s="9"/>
      <c r="M2760" s="9"/>
      <c r="N2760" s="9"/>
      <c r="O2760" s="9"/>
      <c r="P2760" s="9"/>
      <c r="Q2760" s="9"/>
      <c r="R2760" s="9"/>
      <c r="S2760" s="42"/>
      <c r="T2760" s="42"/>
      <c r="U2760" s="42"/>
      <c r="V2760" s="42"/>
      <c r="W2760" s="42"/>
      <c r="X2760" s="42"/>
      <c r="Y2760" s="42"/>
      <c r="Z2760" s="42"/>
      <c r="AA2760" s="42"/>
      <c r="AB2760" s="42" t="str">
        <f>IFERROR(__xludf.DUMMYFUNCTION("""COMPUTED_VALUE"""),"allen institute")</f>
        <v>allen institute</v>
      </c>
      <c r="AC2760" s="42" t="str">
        <f>IFERROR(__xludf.DUMMYFUNCTION("""COMPUTED_VALUE"""),"DHBA")</f>
        <v>DHBA</v>
      </c>
      <c r="AD2760" s="42"/>
      <c r="AE2760" s="42"/>
      <c r="AF2760" s="9"/>
      <c r="AG2760" s="9"/>
      <c r="AH2760" s="42"/>
      <c r="AI2760" s="42"/>
      <c r="AJ2760" s="42"/>
      <c r="AK2760" s="42"/>
      <c r="AL2760" s="42"/>
      <c r="AM2760" s="42"/>
      <c r="AN2760" s="42"/>
      <c r="AO2760" s="63" t="str">
        <f>IFERROR(__xludf.DUMMYFUNCTION("IF(ISBLANK(A2760),,IF(ISBLANK(S2760), A2760&amp;"";"", TEXTJOIN(CHAR(10), TRUE, A2760&amp;"";"", ARRAYFORMULA(VLOOKUP(SPLIT(S2760, "";"" &amp; CHAR(10)), $A:$AO, 41, FALSE)))))"),"hysp-m;")</f>
        <v>hysp-m;</v>
      </c>
      <c r="AP2760" s="89"/>
    </row>
    <row r="2761">
      <c r="A2761" s="151" t="str">
        <f>IFERROR(__xludf.DUMMYFUNCTION("""COMPUTED_VALUE"""),"iptg")</f>
        <v>iptg</v>
      </c>
      <c r="B2761" s="42" t="str">
        <f>IFERROR(__xludf.DUMMYFUNCTION("""COMPUTED_VALUE"""),"DHBA")</f>
        <v>DHBA</v>
      </c>
      <c r="C2761" s="42" t="str">
        <f>IFERROR(__xludf.DUMMYFUNCTION("""COMPUTED_VALUE"""),"interpedunculotegmental tract")</f>
        <v>interpedunculotegmental tract</v>
      </c>
      <c r="D2761" s="42">
        <f>IFERROR(__xludf.DUMMYFUNCTION("""COMPUTED_VALUE"""),2632.0)</f>
        <v>2632</v>
      </c>
      <c r="E2761" s="39" t="str">
        <f>IFERROR(__xludf.DUMMYFUNCTION("""COMPUTED_VALUE"""),"interpedunculotegmental tract")</f>
        <v>interpedunculotegmental tract</v>
      </c>
      <c r="F2761" s="9" t="str">
        <f>IFERROR(__xludf.DUMMYFUNCTION("""COMPUTED_VALUE"""),"Br")</f>
        <v>Br</v>
      </c>
      <c r="G2761" s="9" t="str">
        <f>IFERROR(__xludf.DUMMYFUNCTION("""COMPUTED_VALUE"""),"M")</f>
        <v>M</v>
      </c>
      <c r="H2761" s="9" t="str">
        <f>IFERROR(__xludf.DUMMYFUNCTION("""COMPUTED_VALUE"""),"MWM")</f>
        <v>MWM</v>
      </c>
      <c r="I2761" s="9" t="str">
        <f>IFERROR(__xludf.DUMMYFUNCTION("""COMPUTED_VALUE"""),"iptg")</f>
        <v>iptg</v>
      </c>
      <c r="J2761" s="9"/>
      <c r="K2761" s="9"/>
      <c r="L2761" s="9"/>
      <c r="M2761" s="9"/>
      <c r="N2761" s="9"/>
      <c r="O2761" s="9"/>
      <c r="P2761" s="9"/>
      <c r="Q2761" s="9"/>
      <c r="R2761" s="9"/>
      <c r="S2761" s="42"/>
      <c r="T2761" s="42"/>
      <c r="U2761" s="42"/>
      <c r="V2761" s="42"/>
      <c r="W2761" s="42"/>
      <c r="X2761" s="42"/>
      <c r="Y2761" s="42"/>
      <c r="Z2761" s="42"/>
      <c r="AA2761" s="42"/>
      <c r="AB2761" s="42" t="str">
        <f>IFERROR(__xludf.DUMMYFUNCTION("""COMPUTED_VALUE"""),"allen institute")</f>
        <v>allen institute</v>
      </c>
      <c r="AC2761" s="42" t="str">
        <f>IFERROR(__xludf.DUMMYFUNCTION("""COMPUTED_VALUE"""),"DHBA")</f>
        <v>DHBA</v>
      </c>
      <c r="AD2761" s="42"/>
      <c r="AE2761" s="42"/>
      <c r="AF2761" s="9"/>
      <c r="AG2761" s="9"/>
      <c r="AH2761" s="42"/>
      <c r="AI2761" s="42"/>
      <c r="AJ2761" s="42"/>
      <c r="AK2761" s="42"/>
      <c r="AL2761" s="42"/>
      <c r="AM2761" s="42"/>
      <c r="AN2761" s="42"/>
      <c r="AO2761" s="63" t="str">
        <f>IFERROR(__xludf.DUMMYFUNCTION("IF(ISBLANK(A2761),,IF(ISBLANK(S2761), A2761&amp;"";"", TEXTJOIN(CHAR(10), TRUE, A2761&amp;"";"", ARRAYFORMULA(VLOOKUP(SPLIT(S2761, "";"" &amp; CHAR(10)), $A:$AO, 41, FALSE)))))"),"iptg;")</f>
        <v>iptg;</v>
      </c>
      <c r="AP2761" s="89"/>
    </row>
    <row r="2762">
      <c r="A2762" s="151" t="str">
        <f>IFERROR(__xludf.DUMMYFUNCTION("""COMPUTED_VALUE"""),"issp-m")</f>
        <v>issp-m</v>
      </c>
      <c r="B2762" s="42" t="str">
        <f>IFERROR(__xludf.DUMMYFUNCTION("""COMPUTED_VALUE"""),"DHBA")</f>
        <v>DHBA</v>
      </c>
      <c r="C2762" s="42" t="str">
        <f>IFERROR(__xludf.DUMMYFUNCTION("""COMPUTED_VALUE"""),"interstitiospinal tract, midbrain portion")</f>
        <v>interstitiospinal tract, midbrain portion</v>
      </c>
      <c r="D2762" s="42">
        <f>IFERROR(__xludf.DUMMYFUNCTION("""COMPUTED_VALUE"""),2633.0)</f>
        <v>2633</v>
      </c>
      <c r="E2762" s="39" t="str">
        <f>IFERROR(__xludf.DUMMYFUNCTION("""COMPUTED_VALUE"""),"interstitiospinal tract, midbrain portion")</f>
        <v>interstitiospinal tract, midbrain portion</v>
      </c>
      <c r="F2762" s="9" t="str">
        <f>IFERROR(__xludf.DUMMYFUNCTION("""COMPUTED_VALUE"""),"Br")</f>
        <v>Br</v>
      </c>
      <c r="G2762" s="9" t="str">
        <f>IFERROR(__xludf.DUMMYFUNCTION("""COMPUTED_VALUE"""),"M")</f>
        <v>M</v>
      </c>
      <c r="H2762" s="9" t="str">
        <f>IFERROR(__xludf.DUMMYFUNCTION("""COMPUTED_VALUE"""),"MWM")</f>
        <v>MWM</v>
      </c>
      <c r="I2762" s="9" t="str">
        <f>IFERROR(__xludf.DUMMYFUNCTION("""COMPUTED_VALUE"""),"issp-m")</f>
        <v>issp-m</v>
      </c>
      <c r="J2762" s="9"/>
      <c r="K2762" s="9"/>
      <c r="L2762" s="9"/>
      <c r="M2762" s="9"/>
      <c r="N2762" s="9"/>
      <c r="O2762" s="9"/>
      <c r="P2762" s="9"/>
      <c r="Q2762" s="9"/>
      <c r="R2762" s="9"/>
      <c r="S2762" s="42"/>
      <c r="T2762" s="42"/>
      <c r="U2762" s="42"/>
      <c r="V2762" s="42"/>
      <c r="W2762" s="42"/>
      <c r="X2762" s="42"/>
      <c r="Y2762" s="42"/>
      <c r="Z2762" s="42"/>
      <c r="AA2762" s="42"/>
      <c r="AB2762" s="42" t="str">
        <f>IFERROR(__xludf.DUMMYFUNCTION("""COMPUTED_VALUE"""),"allen institute")</f>
        <v>allen institute</v>
      </c>
      <c r="AC2762" s="42" t="str">
        <f>IFERROR(__xludf.DUMMYFUNCTION("""COMPUTED_VALUE"""),"DHBA")</f>
        <v>DHBA</v>
      </c>
      <c r="AD2762" s="42"/>
      <c r="AE2762" s="42"/>
      <c r="AF2762" s="9"/>
      <c r="AG2762" s="9"/>
      <c r="AH2762" s="42"/>
      <c r="AI2762" s="42"/>
      <c r="AJ2762" s="42"/>
      <c r="AK2762" s="42"/>
      <c r="AL2762" s="42"/>
      <c r="AM2762" s="42"/>
      <c r="AN2762" s="42"/>
      <c r="AO2762" s="63" t="str">
        <f>IFERROR(__xludf.DUMMYFUNCTION("IF(ISBLANK(A2762),,IF(ISBLANK(S2762), A2762&amp;"";"", TEXTJOIN(CHAR(10), TRUE, A2762&amp;"";"", ARRAYFORMULA(VLOOKUP(SPLIT(S2762, "";"" &amp; CHAR(10)), $A:$AO, 41, FALSE)))))"),"issp-m;")</f>
        <v>issp-m;</v>
      </c>
      <c r="AP2762" s="89"/>
    </row>
    <row r="2763">
      <c r="A2763" s="151" t="str">
        <f>IFERROR(__xludf.DUMMYFUNCTION("""COMPUTED_VALUE"""),"ll-m")</f>
        <v>ll-m</v>
      </c>
      <c r="B2763" s="42" t="str">
        <f>IFERROR(__xludf.DUMMYFUNCTION("""COMPUTED_VALUE"""),"DHBA")</f>
        <v>DHBA</v>
      </c>
      <c r="C2763" s="42" t="str">
        <f>IFERROR(__xludf.DUMMYFUNCTION("""COMPUTED_VALUE"""),"lateral lemniscus midbrain portion, Lateral lemniscus, LL")</f>
        <v>lateral lemniscus midbrain portion, Lateral lemniscus, LL</v>
      </c>
      <c r="D2763" s="42">
        <f>IFERROR(__xludf.DUMMYFUNCTION("""COMPUTED_VALUE"""),2634.0)</f>
        <v>2634</v>
      </c>
      <c r="E2763" s="39" t="str">
        <f>IFERROR(__xludf.DUMMYFUNCTION("""COMPUTED_VALUE"""),"lateral lemniscus, midbrain portion")</f>
        <v>lateral lemniscus, midbrain portion</v>
      </c>
      <c r="F2763" s="9" t="str">
        <f>IFERROR(__xludf.DUMMYFUNCTION("""COMPUTED_VALUE"""),"Br")</f>
        <v>Br</v>
      </c>
      <c r="G2763" s="9" t="str">
        <f>IFERROR(__xludf.DUMMYFUNCTION("""COMPUTED_VALUE"""),"M")</f>
        <v>M</v>
      </c>
      <c r="H2763" s="9" t="str">
        <f>IFERROR(__xludf.DUMMYFUNCTION("""COMPUTED_VALUE"""),"MWM")</f>
        <v>MWM</v>
      </c>
      <c r="I2763" s="9" t="str">
        <f>IFERROR(__xludf.DUMMYFUNCTION("""COMPUTED_VALUE"""),"ll-m")</f>
        <v>ll-m</v>
      </c>
      <c r="J2763" s="9"/>
      <c r="K2763" s="9"/>
      <c r="L2763" s="9"/>
      <c r="M2763" s="9"/>
      <c r="N2763" s="9"/>
      <c r="O2763" s="9"/>
      <c r="P2763" s="9"/>
      <c r="Q2763" s="9"/>
      <c r="R2763" s="9"/>
      <c r="S2763" s="42"/>
      <c r="T2763" s="42"/>
      <c r="U2763" s="42"/>
      <c r="V2763" s="42"/>
      <c r="W2763" s="42"/>
      <c r="X2763" s="42"/>
      <c r="Y2763" s="42"/>
      <c r="Z2763" s="42"/>
      <c r="AA2763" s="42"/>
      <c r="AB2763" s="42" t="str">
        <f>IFERROR(__xludf.DUMMYFUNCTION("""COMPUTED_VALUE"""),"allen institute")</f>
        <v>allen institute</v>
      </c>
      <c r="AC2763" s="42" t="str">
        <f>IFERROR(__xludf.DUMMYFUNCTION("""COMPUTED_VALUE"""),"DHBA")</f>
        <v>DHBA</v>
      </c>
      <c r="AD2763" s="42"/>
      <c r="AE2763" s="42"/>
      <c r="AF2763" s="9"/>
      <c r="AG2763" s="9"/>
      <c r="AH2763" s="42"/>
      <c r="AI2763" s="42"/>
      <c r="AJ2763" s="42"/>
      <c r="AK2763" s="42"/>
      <c r="AL2763" s="42"/>
      <c r="AM2763" s="42"/>
      <c r="AN2763" s="42"/>
      <c r="AO2763" s="63" t="str">
        <f>IFERROR(__xludf.DUMMYFUNCTION("IF(ISBLANK(A2763),,IF(ISBLANK(S2763), A2763&amp;"";"", TEXTJOIN(CHAR(10), TRUE, A2763&amp;"";"", ARRAYFORMULA(VLOOKUP(SPLIT(S2763, "";"" &amp; CHAR(10)), $A:$AO, 41, FALSE)))))"),"ll-m;")</f>
        <v>ll-m;</v>
      </c>
      <c r="AP2763" s="89"/>
    </row>
    <row r="2764">
      <c r="A2764" s="151" t="str">
        <f>IFERROR(__xludf.DUMMYFUNCTION("""COMPUTED_VALUE"""),"ml-m")</f>
        <v>ml-m</v>
      </c>
      <c r="B2764" s="42" t="str">
        <f>IFERROR(__xludf.DUMMYFUNCTION("""COMPUTED_VALUE"""),"DHBA")</f>
        <v>DHBA</v>
      </c>
      <c r="C2764" s="42" t="str">
        <f>IFERROR(__xludf.DUMMYFUNCTION("""COMPUTED_VALUE"""),"medial lemniscus, midbrain portion")</f>
        <v>medial lemniscus, midbrain portion</v>
      </c>
      <c r="D2764" s="42">
        <f>IFERROR(__xludf.DUMMYFUNCTION("""COMPUTED_VALUE"""),2635.0)</f>
        <v>2635</v>
      </c>
      <c r="E2764" s="39" t="str">
        <f>IFERROR(__xludf.DUMMYFUNCTION("""COMPUTED_VALUE"""),"medial lemniscus, midbrain portion")</f>
        <v>medial lemniscus, midbrain portion</v>
      </c>
      <c r="F2764" s="9" t="str">
        <f>IFERROR(__xludf.DUMMYFUNCTION("""COMPUTED_VALUE"""),"Br")</f>
        <v>Br</v>
      </c>
      <c r="G2764" s="9" t="str">
        <f>IFERROR(__xludf.DUMMYFUNCTION("""COMPUTED_VALUE"""),"M")</f>
        <v>M</v>
      </c>
      <c r="H2764" s="9" t="str">
        <f>IFERROR(__xludf.DUMMYFUNCTION("""COMPUTED_VALUE"""),"MWM")</f>
        <v>MWM</v>
      </c>
      <c r="I2764" s="9" t="str">
        <f>IFERROR(__xludf.DUMMYFUNCTION("""COMPUTED_VALUE"""),"ml-m")</f>
        <v>ml-m</v>
      </c>
      <c r="J2764" s="9"/>
      <c r="K2764" s="9"/>
      <c r="L2764" s="9"/>
      <c r="M2764" s="9"/>
      <c r="N2764" s="9"/>
      <c r="O2764" s="9"/>
      <c r="P2764" s="9"/>
      <c r="Q2764" s="9"/>
      <c r="R2764" s="9"/>
      <c r="S2764" s="42"/>
      <c r="T2764" s="42"/>
      <c r="U2764" s="42"/>
      <c r="V2764" s="42"/>
      <c r="W2764" s="42"/>
      <c r="X2764" s="42"/>
      <c r="Y2764" s="42"/>
      <c r="Z2764" s="42"/>
      <c r="AA2764" s="42"/>
      <c r="AB2764" s="42" t="str">
        <f>IFERROR(__xludf.DUMMYFUNCTION("""COMPUTED_VALUE"""),"allen institute")</f>
        <v>allen institute</v>
      </c>
      <c r="AC2764" s="42" t="str">
        <f>IFERROR(__xludf.DUMMYFUNCTION("""COMPUTED_VALUE"""),"DHBA")</f>
        <v>DHBA</v>
      </c>
      <c r="AD2764" s="42"/>
      <c r="AE2764" s="42"/>
      <c r="AF2764" s="9"/>
      <c r="AG2764" s="9"/>
      <c r="AH2764" s="42"/>
      <c r="AI2764" s="42"/>
      <c r="AJ2764" s="42"/>
      <c r="AK2764" s="42"/>
      <c r="AL2764" s="42"/>
      <c r="AM2764" s="42"/>
      <c r="AN2764" s="42"/>
      <c r="AO2764" s="63" t="str">
        <f>IFERROR(__xludf.DUMMYFUNCTION("IF(ISBLANK(A2764),,IF(ISBLANK(S2764), A2764&amp;"";"", TEXTJOIN(CHAR(10), TRUE, A2764&amp;"";"", ARRAYFORMULA(VLOOKUP(SPLIT(S2764, "";"" &amp; CHAR(10)), $A:$AO, 41, FALSE)))))"),"ml-m;")</f>
        <v>ml-m;</v>
      </c>
      <c r="AP2764" s="89"/>
    </row>
    <row r="2765">
      <c r="A2765" s="151" t="str">
        <f>IFERROR(__xludf.DUMMYFUNCTION("""COMPUTED_VALUE"""),"mlf-m")</f>
        <v>mlf-m</v>
      </c>
      <c r="B2765" s="42" t="str">
        <f>IFERROR(__xludf.DUMMYFUNCTION("""COMPUTED_VALUE"""),"DHBA")</f>
        <v>DHBA</v>
      </c>
      <c r="C2765" s="42" t="str">
        <f>IFERROR(__xludf.DUMMYFUNCTION("""COMPUTED_VALUE"""),"medial longitudinal fasciculus, midbrain portion")</f>
        <v>medial longitudinal fasciculus, midbrain portion</v>
      </c>
      <c r="D2765" s="42">
        <f>IFERROR(__xludf.DUMMYFUNCTION("""COMPUTED_VALUE"""),2636.0)</f>
        <v>2636</v>
      </c>
      <c r="E2765" s="39" t="str">
        <f>IFERROR(__xludf.DUMMYFUNCTION("""COMPUTED_VALUE"""),"medial longitudinal fasciculus, midbrain portion")</f>
        <v>medial longitudinal fasciculus, midbrain portion</v>
      </c>
      <c r="F2765" s="9" t="str">
        <f>IFERROR(__xludf.DUMMYFUNCTION("""COMPUTED_VALUE"""),"Br")</f>
        <v>Br</v>
      </c>
      <c r="G2765" s="9" t="str">
        <f>IFERROR(__xludf.DUMMYFUNCTION("""COMPUTED_VALUE"""),"M")</f>
        <v>M</v>
      </c>
      <c r="H2765" s="9" t="str">
        <f>IFERROR(__xludf.DUMMYFUNCTION("""COMPUTED_VALUE"""),"MWM")</f>
        <v>MWM</v>
      </c>
      <c r="I2765" s="9" t="str">
        <f>IFERROR(__xludf.DUMMYFUNCTION("""COMPUTED_VALUE"""),"mlf-m")</f>
        <v>mlf-m</v>
      </c>
      <c r="J2765" s="9"/>
      <c r="K2765" s="9"/>
      <c r="L2765" s="9"/>
      <c r="M2765" s="9"/>
      <c r="N2765" s="9"/>
      <c r="O2765" s="9"/>
      <c r="P2765" s="9"/>
      <c r="Q2765" s="9"/>
      <c r="R2765" s="9"/>
      <c r="S2765" s="42"/>
      <c r="T2765" s="42"/>
      <c r="U2765" s="42"/>
      <c r="V2765" s="42"/>
      <c r="W2765" s="42"/>
      <c r="X2765" s="42"/>
      <c r="Y2765" s="42"/>
      <c r="Z2765" s="42"/>
      <c r="AA2765" s="42"/>
      <c r="AB2765" s="42" t="str">
        <f>IFERROR(__xludf.DUMMYFUNCTION("""COMPUTED_VALUE"""),"allen institute")</f>
        <v>allen institute</v>
      </c>
      <c r="AC2765" s="42" t="str">
        <f>IFERROR(__xludf.DUMMYFUNCTION("""COMPUTED_VALUE"""),"DHBA")</f>
        <v>DHBA</v>
      </c>
      <c r="AD2765" s="42"/>
      <c r="AE2765" s="42"/>
      <c r="AF2765" s="9"/>
      <c r="AG2765" s="9"/>
      <c r="AH2765" s="42"/>
      <c r="AI2765" s="42"/>
      <c r="AJ2765" s="42"/>
      <c r="AK2765" s="42"/>
      <c r="AL2765" s="42"/>
      <c r="AM2765" s="42"/>
      <c r="AN2765" s="42"/>
      <c r="AO2765" s="63" t="str">
        <f>IFERROR(__xludf.DUMMYFUNCTION("IF(ISBLANK(A2765),,IF(ISBLANK(S2765), A2765&amp;"";"", TEXTJOIN(CHAR(10), TRUE, A2765&amp;"";"", ARRAYFORMULA(VLOOKUP(SPLIT(S2765, "";"" &amp; CHAR(10)), $A:$AO, 41, FALSE)))))"),"mlf-m;")</f>
        <v>mlf-m;</v>
      </c>
      <c r="AP2765" s="89"/>
    </row>
    <row r="2766">
      <c r="A2766" s="151" t="str">
        <f>IFERROR(__xludf.DUMMYFUNCTION("""COMPUTED_VALUE"""),"mtg-m")</f>
        <v>mtg-m</v>
      </c>
      <c r="B2766" s="42" t="str">
        <f>IFERROR(__xludf.DUMMYFUNCTION("""COMPUTED_VALUE"""),"DHBA")</f>
        <v>DHBA</v>
      </c>
      <c r="C2766" s="42" t="str">
        <f>IFERROR(__xludf.DUMMYFUNCTION("""COMPUTED_VALUE"""),"medial tegmental tract, midbrain portion")</f>
        <v>medial tegmental tract, midbrain portion</v>
      </c>
      <c r="D2766" s="42">
        <f>IFERROR(__xludf.DUMMYFUNCTION("""COMPUTED_VALUE"""),2637.0)</f>
        <v>2637</v>
      </c>
      <c r="E2766" s="39" t="str">
        <f>IFERROR(__xludf.DUMMYFUNCTION("""COMPUTED_VALUE"""),"medial tegmental tract, midbrain portion")</f>
        <v>medial tegmental tract, midbrain portion</v>
      </c>
      <c r="F2766" s="9" t="str">
        <f>IFERROR(__xludf.DUMMYFUNCTION("""COMPUTED_VALUE"""),"Br")</f>
        <v>Br</v>
      </c>
      <c r="G2766" s="9" t="str">
        <f>IFERROR(__xludf.DUMMYFUNCTION("""COMPUTED_VALUE"""),"M")</f>
        <v>M</v>
      </c>
      <c r="H2766" s="9" t="str">
        <f>IFERROR(__xludf.DUMMYFUNCTION("""COMPUTED_VALUE"""),"MWM")</f>
        <v>MWM</v>
      </c>
      <c r="I2766" s="9" t="str">
        <f>IFERROR(__xludf.DUMMYFUNCTION("""COMPUTED_VALUE"""),"mtg-m")</f>
        <v>mtg-m</v>
      </c>
      <c r="J2766" s="9"/>
      <c r="K2766" s="9"/>
      <c r="L2766" s="9"/>
      <c r="M2766" s="9"/>
      <c r="N2766" s="9"/>
      <c r="O2766" s="9"/>
      <c r="P2766" s="9"/>
      <c r="Q2766" s="9"/>
      <c r="R2766" s="9"/>
      <c r="S2766" s="42"/>
      <c r="T2766" s="42"/>
      <c r="U2766" s="42"/>
      <c r="V2766" s="42"/>
      <c r="W2766" s="42"/>
      <c r="X2766" s="42"/>
      <c r="Y2766" s="42"/>
      <c r="Z2766" s="42"/>
      <c r="AA2766" s="42"/>
      <c r="AB2766" s="42" t="str">
        <f>IFERROR(__xludf.DUMMYFUNCTION("""COMPUTED_VALUE"""),"allen institute")</f>
        <v>allen institute</v>
      </c>
      <c r="AC2766" s="42" t="str">
        <f>IFERROR(__xludf.DUMMYFUNCTION("""COMPUTED_VALUE"""),"DHBA")</f>
        <v>DHBA</v>
      </c>
      <c r="AD2766" s="42"/>
      <c r="AE2766" s="42"/>
      <c r="AF2766" s="9"/>
      <c r="AG2766" s="9"/>
      <c r="AH2766" s="42"/>
      <c r="AI2766" s="42"/>
      <c r="AJ2766" s="42"/>
      <c r="AK2766" s="42"/>
      <c r="AL2766" s="42"/>
      <c r="AM2766" s="42"/>
      <c r="AN2766" s="42"/>
      <c r="AO2766" s="63" t="str">
        <f>IFERROR(__xludf.DUMMYFUNCTION("IF(ISBLANK(A2766),,IF(ISBLANK(S2766), A2766&amp;"";"", TEXTJOIN(CHAR(10), TRUE, A2766&amp;"";"", ARRAYFORMULA(VLOOKUP(SPLIT(S2766, "";"" &amp; CHAR(10)), $A:$AO, 41, FALSE)))))"),"mtg-m;")</f>
        <v>mtg-m;</v>
      </c>
      <c r="AP2766" s="89"/>
    </row>
    <row r="2767">
      <c r="A2767" s="151" t="str">
        <f>IFERROR(__xludf.DUMMYFUNCTION("""COMPUTED_VALUE"""),"me5-m")</f>
        <v>me5-m</v>
      </c>
      <c r="B2767" s="42" t="str">
        <f>IFERROR(__xludf.DUMMYFUNCTION("""COMPUTED_VALUE"""),"DHBA")</f>
        <v>DHBA</v>
      </c>
      <c r="C2767" s="42" t="str">
        <f>IFERROR(__xludf.DUMMYFUNCTION("""COMPUTED_VALUE"""),"mesencephalic trigeminal tract, midbrain portion")</f>
        <v>mesencephalic trigeminal tract, midbrain portion</v>
      </c>
      <c r="D2767" s="42">
        <f>IFERROR(__xludf.DUMMYFUNCTION("""COMPUTED_VALUE"""),2638.0)</f>
        <v>2638</v>
      </c>
      <c r="E2767" s="39" t="str">
        <f>IFERROR(__xludf.DUMMYFUNCTION("""COMPUTED_VALUE"""),"mesencephalic trigeminal tract, midbrain portion")</f>
        <v>mesencephalic trigeminal tract, midbrain portion</v>
      </c>
      <c r="F2767" s="9" t="str">
        <f>IFERROR(__xludf.DUMMYFUNCTION("""COMPUTED_VALUE"""),"Br")</f>
        <v>Br</v>
      </c>
      <c r="G2767" s="9" t="str">
        <f>IFERROR(__xludf.DUMMYFUNCTION("""COMPUTED_VALUE"""),"M")</f>
        <v>M</v>
      </c>
      <c r="H2767" s="9" t="str">
        <f>IFERROR(__xludf.DUMMYFUNCTION("""COMPUTED_VALUE"""),"MWM")</f>
        <v>MWM</v>
      </c>
      <c r="I2767" s="9" t="str">
        <f>IFERROR(__xludf.DUMMYFUNCTION("""COMPUTED_VALUE"""),"me5-m")</f>
        <v>me5-m</v>
      </c>
      <c r="J2767" s="9"/>
      <c r="K2767" s="9"/>
      <c r="L2767" s="9"/>
      <c r="M2767" s="9"/>
      <c r="N2767" s="9"/>
      <c r="O2767" s="9"/>
      <c r="P2767" s="9"/>
      <c r="Q2767" s="9"/>
      <c r="R2767" s="9"/>
      <c r="S2767" s="42"/>
      <c r="T2767" s="42"/>
      <c r="U2767" s="42"/>
      <c r="V2767" s="42"/>
      <c r="W2767" s="42"/>
      <c r="X2767" s="42"/>
      <c r="Y2767" s="42"/>
      <c r="Z2767" s="42"/>
      <c r="AA2767" s="42"/>
      <c r="AB2767" s="42" t="str">
        <f>IFERROR(__xludf.DUMMYFUNCTION("""COMPUTED_VALUE"""),"allen institute")</f>
        <v>allen institute</v>
      </c>
      <c r="AC2767" s="42" t="str">
        <f>IFERROR(__xludf.DUMMYFUNCTION("""COMPUTED_VALUE"""),"DHBA")</f>
        <v>DHBA</v>
      </c>
      <c r="AD2767" s="42"/>
      <c r="AE2767" s="42"/>
      <c r="AF2767" s="9"/>
      <c r="AG2767" s="9"/>
      <c r="AH2767" s="42"/>
      <c r="AI2767" s="42"/>
      <c r="AJ2767" s="42"/>
      <c r="AK2767" s="42"/>
      <c r="AL2767" s="42"/>
      <c r="AM2767" s="42"/>
      <c r="AN2767" s="42"/>
      <c r="AO2767" s="63" t="str">
        <f>IFERROR(__xludf.DUMMYFUNCTION("IF(ISBLANK(A2767),,IF(ISBLANK(S2767), A2767&amp;"";"", TEXTJOIN(CHAR(10), TRUE, A2767&amp;"";"", ARRAYFORMULA(VLOOKUP(SPLIT(S2767, "";"" &amp; CHAR(10)), $A:$AO, 41, FALSE)))))"),"me5-m;")</f>
        <v>me5-m;</v>
      </c>
      <c r="AP2767" s="89"/>
    </row>
    <row r="2768">
      <c r="A2768" s="151" t="str">
        <f>IFERROR(__xludf.DUMMYFUNCTION("""COMPUTED_VALUE"""),"poc")</f>
        <v>poc</v>
      </c>
      <c r="B2768" s="42" t="str">
        <f>IFERROR(__xludf.DUMMYFUNCTION("""COMPUTED_VALUE"""),"DHBA")</f>
        <v>DHBA</v>
      </c>
      <c r="C2768" s="42" t="str">
        <f>IFERROR(__xludf.DUMMYFUNCTION("""COMPUTED_VALUE"""),"posterior commissure")</f>
        <v>posterior commissure</v>
      </c>
      <c r="D2768" s="42">
        <f>IFERROR(__xludf.DUMMYFUNCTION("""COMPUTED_VALUE"""),2639.0)</f>
        <v>2639</v>
      </c>
      <c r="E2768" s="39" t="str">
        <f>IFERROR(__xludf.DUMMYFUNCTION("""COMPUTED_VALUE"""),"posterior commissure")</f>
        <v>posterior commissure</v>
      </c>
      <c r="F2768" s="9" t="str">
        <f>IFERROR(__xludf.DUMMYFUNCTION("""COMPUTED_VALUE"""),"Br")</f>
        <v>Br</v>
      </c>
      <c r="G2768" s="9" t="str">
        <f>IFERROR(__xludf.DUMMYFUNCTION("""COMPUTED_VALUE"""),"M")</f>
        <v>M</v>
      </c>
      <c r="H2768" s="9" t="str">
        <f>IFERROR(__xludf.DUMMYFUNCTION("""COMPUTED_VALUE"""),"MWM")</f>
        <v>MWM</v>
      </c>
      <c r="I2768" s="9" t="str">
        <f>IFERROR(__xludf.DUMMYFUNCTION("""COMPUTED_VALUE"""),"poc")</f>
        <v>poc</v>
      </c>
      <c r="J2768" s="9"/>
      <c r="K2768" s="9"/>
      <c r="L2768" s="9"/>
      <c r="M2768" s="9"/>
      <c r="N2768" s="9"/>
      <c r="O2768" s="9"/>
      <c r="P2768" s="9"/>
      <c r="Q2768" s="9"/>
      <c r="R2768" s="9"/>
      <c r="S2768" s="42"/>
      <c r="T2768" s="42"/>
      <c r="U2768" s="42"/>
      <c r="V2768" s="42"/>
      <c r="W2768" s="42"/>
      <c r="X2768" s="42"/>
      <c r="Y2768" s="42"/>
      <c r="Z2768" s="42"/>
      <c r="AA2768" s="42"/>
      <c r="AB2768" s="42" t="str">
        <f>IFERROR(__xludf.DUMMYFUNCTION("""COMPUTED_VALUE"""),"allen institute")</f>
        <v>allen institute</v>
      </c>
      <c r="AC2768" s="42" t="str">
        <f>IFERROR(__xludf.DUMMYFUNCTION("""COMPUTED_VALUE"""),"DHBA")</f>
        <v>DHBA</v>
      </c>
      <c r="AD2768" s="42"/>
      <c r="AE2768" s="42"/>
      <c r="AF2768" s="9"/>
      <c r="AG2768" s="9"/>
      <c r="AH2768" s="42"/>
      <c r="AI2768" s="42"/>
      <c r="AJ2768" s="42"/>
      <c r="AK2768" s="42"/>
      <c r="AL2768" s="42"/>
      <c r="AM2768" s="42"/>
      <c r="AN2768" s="42"/>
      <c r="AO2768" s="63" t="str">
        <f>IFERROR(__xludf.DUMMYFUNCTION("IF(ISBLANK(A2768),,IF(ISBLANK(S2768), A2768&amp;"";"", TEXTJOIN(CHAR(10), TRUE, A2768&amp;"";"", ARRAYFORMULA(VLOOKUP(SPLIT(S2768, "";"" &amp; CHAR(10)), $A:$AO, 41, FALSE)))))"),"poc;")</f>
        <v>poc;</v>
      </c>
      <c r="AP2768" s="89"/>
    </row>
    <row r="2769">
      <c r="A2769" s="151" t="str">
        <f>IFERROR(__xludf.DUMMYFUNCTION("""COMPUTED_VALUE"""),"rubu-m")</f>
        <v>rubu-m</v>
      </c>
      <c r="B2769" s="42" t="str">
        <f>IFERROR(__xludf.DUMMYFUNCTION("""COMPUTED_VALUE"""),"DHBA")</f>
        <v>DHBA</v>
      </c>
      <c r="C2769" s="42" t="str">
        <f>IFERROR(__xludf.DUMMYFUNCTION("""COMPUTED_VALUE"""),"rubrobulbar (rubronuclear) tract, midbrain portion")</f>
        <v>rubrobulbar (rubronuclear) tract, midbrain portion</v>
      </c>
      <c r="D2769" s="42">
        <f>IFERROR(__xludf.DUMMYFUNCTION("""COMPUTED_VALUE"""),2640.0)</f>
        <v>2640</v>
      </c>
      <c r="E2769" s="39" t="str">
        <f>IFERROR(__xludf.DUMMYFUNCTION("""COMPUTED_VALUE"""),"rubrobulbar (rubronuclear) tract, midbrain portion")</f>
        <v>rubrobulbar (rubronuclear) tract, midbrain portion</v>
      </c>
      <c r="F2769" s="9" t="str">
        <f>IFERROR(__xludf.DUMMYFUNCTION("""COMPUTED_VALUE"""),"Br")</f>
        <v>Br</v>
      </c>
      <c r="G2769" s="9" t="str">
        <f>IFERROR(__xludf.DUMMYFUNCTION("""COMPUTED_VALUE"""),"M")</f>
        <v>M</v>
      </c>
      <c r="H2769" s="9" t="str">
        <f>IFERROR(__xludf.DUMMYFUNCTION("""COMPUTED_VALUE"""),"MWM")</f>
        <v>MWM</v>
      </c>
      <c r="I2769" s="9" t="str">
        <f>IFERROR(__xludf.DUMMYFUNCTION("""COMPUTED_VALUE"""),"rubu-m")</f>
        <v>rubu-m</v>
      </c>
      <c r="J2769" s="9"/>
      <c r="K2769" s="9"/>
      <c r="L2769" s="9"/>
      <c r="M2769" s="9"/>
      <c r="N2769" s="9"/>
      <c r="O2769" s="9"/>
      <c r="P2769" s="9"/>
      <c r="Q2769" s="9"/>
      <c r="R2769" s="9"/>
      <c r="S2769" s="42"/>
      <c r="T2769" s="42"/>
      <c r="U2769" s="42"/>
      <c r="V2769" s="42"/>
      <c r="W2769" s="42"/>
      <c r="X2769" s="42"/>
      <c r="Y2769" s="42"/>
      <c r="Z2769" s="42"/>
      <c r="AA2769" s="42"/>
      <c r="AB2769" s="42" t="str">
        <f>IFERROR(__xludf.DUMMYFUNCTION("""COMPUTED_VALUE"""),"allen institute")</f>
        <v>allen institute</v>
      </c>
      <c r="AC2769" s="42" t="str">
        <f>IFERROR(__xludf.DUMMYFUNCTION("""COMPUTED_VALUE"""),"DHBA")</f>
        <v>DHBA</v>
      </c>
      <c r="AD2769" s="42"/>
      <c r="AE2769" s="42"/>
      <c r="AF2769" s="9"/>
      <c r="AG2769" s="9"/>
      <c r="AH2769" s="42"/>
      <c r="AI2769" s="42"/>
      <c r="AJ2769" s="42"/>
      <c r="AK2769" s="42"/>
      <c r="AL2769" s="42"/>
      <c r="AM2769" s="42"/>
      <c r="AN2769" s="42"/>
      <c r="AO2769" s="63" t="str">
        <f>IFERROR(__xludf.DUMMYFUNCTION("IF(ISBLANK(A2769),,IF(ISBLANK(S2769), A2769&amp;"";"", TEXTJOIN(CHAR(10), TRUE, A2769&amp;"";"", ARRAYFORMULA(VLOOKUP(SPLIT(S2769, "";"" &amp; CHAR(10)), $A:$AO, 41, FALSE)))))"),"rubu-m;")</f>
        <v>rubu-m;</v>
      </c>
      <c r="AP2769" s="89"/>
    </row>
    <row r="2770">
      <c r="A2770" s="151" t="str">
        <f>IFERROR(__xludf.DUMMYFUNCTION("""COMPUTED_VALUE"""),"rol-m")</f>
        <v>rol-m</v>
      </c>
      <c r="B2770" s="42" t="str">
        <f>IFERROR(__xludf.DUMMYFUNCTION("""COMPUTED_VALUE"""),"DHBA")</f>
        <v>DHBA</v>
      </c>
      <c r="C2770" s="42" t="str">
        <f>IFERROR(__xludf.DUMMYFUNCTION("""COMPUTED_VALUE"""),"rubro-olivary tract, midbrain portion")</f>
        <v>rubro-olivary tract, midbrain portion</v>
      </c>
      <c r="D2770" s="42">
        <f>IFERROR(__xludf.DUMMYFUNCTION("""COMPUTED_VALUE"""),2641.0)</f>
        <v>2641</v>
      </c>
      <c r="E2770" s="39" t="str">
        <f>IFERROR(__xludf.DUMMYFUNCTION("""COMPUTED_VALUE"""),"rubro-olivary tract, midbrain portion")</f>
        <v>rubro-olivary tract, midbrain portion</v>
      </c>
      <c r="F2770" s="9" t="str">
        <f>IFERROR(__xludf.DUMMYFUNCTION("""COMPUTED_VALUE"""),"Br")</f>
        <v>Br</v>
      </c>
      <c r="G2770" s="9" t="str">
        <f>IFERROR(__xludf.DUMMYFUNCTION("""COMPUTED_VALUE"""),"M")</f>
        <v>M</v>
      </c>
      <c r="H2770" s="9" t="str">
        <f>IFERROR(__xludf.DUMMYFUNCTION("""COMPUTED_VALUE"""),"MWM")</f>
        <v>MWM</v>
      </c>
      <c r="I2770" s="9" t="str">
        <f>IFERROR(__xludf.DUMMYFUNCTION("""COMPUTED_VALUE"""),"rol-m")</f>
        <v>rol-m</v>
      </c>
      <c r="J2770" s="9"/>
      <c r="K2770" s="9"/>
      <c r="L2770" s="9"/>
      <c r="M2770" s="9"/>
      <c r="N2770" s="9"/>
      <c r="O2770" s="9"/>
      <c r="P2770" s="9"/>
      <c r="Q2770" s="9"/>
      <c r="R2770" s="9"/>
      <c r="S2770" s="42"/>
      <c r="T2770" s="42"/>
      <c r="U2770" s="42"/>
      <c r="V2770" s="42"/>
      <c r="W2770" s="42"/>
      <c r="X2770" s="42"/>
      <c r="Y2770" s="42"/>
      <c r="Z2770" s="42"/>
      <c r="AA2770" s="42"/>
      <c r="AB2770" s="42" t="str">
        <f>IFERROR(__xludf.DUMMYFUNCTION("""COMPUTED_VALUE"""),"allen institute")</f>
        <v>allen institute</v>
      </c>
      <c r="AC2770" s="42" t="str">
        <f>IFERROR(__xludf.DUMMYFUNCTION("""COMPUTED_VALUE"""),"DHBA")</f>
        <v>DHBA</v>
      </c>
      <c r="AD2770" s="42"/>
      <c r="AE2770" s="42"/>
      <c r="AF2770" s="9"/>
      <c r="AG2770" s="9"/>
      <c r="AH2770" s="42"/>
      <c r="AI2770" s="42"/>
      <c r="AJ2770" s="42"/>
      <c r="AK2770" s="42"/>
      <c r="AL2770" s="42"/>
      <c r="AM2770" s="42"/>
      <c r="AN2770" s="42"/>
      <c r="AO2770" s="63" t="str">
        <f>IFERROR(__xludf.DUMMYFUNCTION("IF(ISBLANK(A2770),,IF(ISBLANK(S2770), A2770&amp;"";"", TEXTJOIN(CHAR(10), TRUE, A2770&amp;"";"", ARRAYFORMULA(VLOOKUP(SPLIT(S2770, "";"" &amp; CHAR(10)), $A:$AO, 41, FALSE)))))"),"rol-m;")</f>
        <v>rol-m;</v>
      </c>
      <c r="AP2770" s="89"/>
    </row>
    <row r="2771">
      <c r="A2771" s="151" t="str">
        <f>IFERROR(__xludf.DUMMYFUNCTION("""COMPUTED_VALUE"""),"rsp-m")</f>
        <v>rsp-m</v>
      </c>
      <c r="B2771" s="42" t="str">
        <f>IFERROR(__xludf.DUMMYFUNCTION("""COMPUTED_VALUE"""),"DHBA")</f>
        <v>DHBA</v>
      </c>
      <c r="C2771" s="42" t="str">
        <f>IFERROR(__xludf.DUMMYFUNCTION("""COMPUTED_VALUE"""),"rubrospinal tract, midbrain portion")</f>
        <v>rubrospinal tract, midbrain portion</v>
      </c>
      <c r="D2771" s="42">
        <f>IFERROR(__xludf.DUMMYFUNCTION("""COMPUTED_VALUE"""),2642.0)</f>
        <v>2642</v>
      </c>
      <c r="E2771" s="39" t="str">
        <f>IFERROR(__xludf.DUMMYFUNCTION("""COMPUTED_VALUE"""),"rubrospinal tract, midbrain portion")</f>
        <v>rubrospinal tract, midbrain portion</v>
      </c>
      <c r="F2771" s="9" t="str">
        <f>IFERROR(__xludf.DUMMYFUNCTION("""COMPUTED_VALUE"""),"Br")</f>
        <v>Br</v>
      </c>
      <c r="G2771" s="9" t="str">
        <f>IFERROR(__xludf.DUMMYFUNCTION("""COMPUTED_VALUE"""),"M")</f>
        <v>M</v>
      </c>
      <c r="H2771" s="9" t="str">
        <f>IFERROR(__xludf.DUMMYFUNCTION("""COMPUTED_VALUE"""),"MWM")</f>
        <v>MWM</v>
      </c>
      <c r="I2771" s="9" t="str">
        <f>IFERROR(__xludf.DUMMYFUNCTION("""COMPUTED_VALUE"""),"rsp-m")</f>
        <v>rsp-m</v>
      </c>
      <c r="J2771" s="9"/>
      <c r="K2771" s="9"/>
      <c r="L2771" s="9"/>
      <c r="M2771" s="9"/>
      <c r="N2771" s="9"/>
      <c r="O2771" s="9"/>
      <c r="P2771" s="9"/>
      <c r="Q2771" s="9"/>
      <c r="R2771" s="9"/>
      <c r="S2771" s="42"/>
      <c r="T2771" s="42"/>
      <c r="U2771" s="42"/>
      <c r="V2771" s="42"/>
      <c r="W2771" s="42"/>
      <c r="X2771" s="42"/>
      <c r="Y2771" s="42"/>
      <c r="Z2771" s="42"/>
      <c r="AA2771" s="42"/>
      <c r="AB2771" s="42" t="str">
        <f>IFERROR(__xludf.DUMMYFUNCTION("""COMPUTED_VALUE"""),"allen institute")</f>
        <v>allen institute</v>
      </c>
      <c r="AC2771" s="42" t="str">
        <f>IFERROR(__xludf.DUMMYFUNCTION("""COMPUTED_VALUE"""),"DHBA")</f>
        <v>DHBA</v>
      </c>
      <c r="AD2771" s="42"/>
      <c r="AE2771" s="42"/>
      <c r="AF2771" s="9"/>
      <c r="AG2771" s="9"/>
      <c r="AH2771" s="42"/>
      <c r="AI2771" s="42"/>
      <c r="AJ2771" s="42"/>
      <c r="AK2771" s="42"/>
      <c r="AL2771" s="42"/>
      <c r="AM2771" s="42"/>
      <c r="AN2771" s="42"/>
      <c r="AO2771" s="63" t="str">
        <f>IFERROR(__xludf.DUMMYFUNCTION("IF(ISBLANK(A2771),,IF(ISBLANK(S2771), A2771&amp;"";"", TEXTJOIN(CHAR(10), TRUE, A2771&amp;"";"", ARRAYFORMULA(VLOOKUP(SPLIT(S2771, "";"" &amp; CHAR(10)), $A:$AO, 41, FALSE)))))"),"rsp-m;")</f>
        <v>rsp-m;</v>
      </c>
      <c r="AP2771" s="89"/>
    </row>
    <row r="2772">
      <c r="A2772" s="151" t="str">
        <f>IFERROR(__xludf.DUMMYFUNCTION("""COMPUTED_VALUE"""),"sl-m")</f>
        <v>sl-m</v>
      </c>
      <c r="B2772" s="42" t="str">
        <f>IFERROR(__xludf.DUMMYFUNCTION("""COMPUTED_VALUE"""),"DHBA")</f>
        <v>DHBA</v>
      </c>
      <c r="C2772" s="42" t="str">
        <f>IFERROR(__xludf.DUMMYFUNCTION("""COMPUTED_VALUE"""),"spinal lemniscus, midbrain portion")</f>
        <v>spinal lemniscus, midbrain portion</v>
      </c>
      <c r="D2772" s="42">
        <f>IFERROR(__xludf.DUMMYFUNCTION("""COMPUTED_VALUE"""),2643.0)</f>
        <v>2643</v>
      </c>
      <c r="E2772" s="39" t="str">
        <f>IFERROR(__xludf.DUMMYFUNCTION("""COMPUTED_VALUE"""),"spinal lemniscus, midbrain portion")</f>
        <v>spinal lemniscus, midbrain portion</v>
      </c>
      <c r="F2772" s="9" t="str">
        <f>IFERROR(__xludf.DUMMYFUNCTION("""COMPUTED_VALUE"""),"Br")</f>
        <v>Br</v>
      </c>
      <c r="G2772" s="9" t="str">
        <f>IFERROR(__xludf.DUMMYFUNCTION("""COMPUTED_VALUE"""),"M")</f>
        <v>M</v>
      </c>
      <c r="H2772" s="9" t="str">
        <f>IFERROR(__xludf.DUMMYFUNCTION("""COMPUTED_VALUE"""),"MWM")</f>
        <v>MWM</v>
      </c>
      <c r="I2772" s="9" t="str">
        <f>IFERROR(__xludf.DUMMYFUNCTION("""COMPUTED_VALUE"""),"sl-m")</f>
        <v>sl-m</v>
      </c>
      <c r="J2772" s="9"/>
      <c r="K2772" s="9"/>
      <c r="L2772" s="9"/>
      <c r="M2772" s="9"/>
      <c r="N2772" s="9"/>
      <c r="O2772" s="9"/>
      <c r="P2772" s="9"/>
      <c r="Q2772" s="9"/>
      <c r="R2772" s="9"/>
      <c r="S2772" s="42"/>
      <c r="T2772" s="42"/>
      <c r="U2772" s="42"/>
      <c r="V2772" s="42"/>
      <c r="W2772" s="42"/>
      <c r="X2772" s="42"/>
      <c r="Y2772" s="42"/>
      <c r="Z2772" s="42"/>
      <c r="AA2772" s="42"/>
      <c r="AB2772" s="42" t="str">
        <f>IFERROR(__xludf.DUMMYFUNCTION("""COMPUTED_VALUE"""),"allen institute")</f>
        <v>allen institute</v>
      </c>
      <c r="AC2772" s="42" t="str">
        <f>IFERROR(__xludf.DUMMYFUNCTION("""COMPUTED_VALUE"""),"DHBA")</f>
        <v>DHBA</v>
      </c>
      <c r="AD2772" s="42"/>
      <c r="AE2772" s="42"/>
      <c r="AF2772" s="9"/>
      <c r="AG2772" s="9"/>
      <c r="AH2772" s="42"/>
      <c r="AI2772" s="42"/>
      <c r="AJ2772" s="42"/>
      <c r="AK2772" s="42"/>
      <c r="AL2772" s="42"/>
      <c r="AM2772" s="42"/>
      <c r="AN2772" s="42"/>
      <c r="AO2772" s="63" t="str">
        <f>IFERROR(__xludf.DUMMYFUNCTION("IF(ISBLANK(A2772),,IF(ISBLANK(S2772), A2772&amp;"";"", TEXTJOIN(CHAR(10), TRUE, A2772&amp;"";"", ARRAYFORMULA(VLOOKUP(SPLIT(S2772, "";"" &amp; CHAR(10)), $A:$AO, 41, FALSE)))))"),"sl-m;")</f>
        <v>sl-m;</v>
      </c>
      <c r="AP2772" s="89"/>
    </row>
    <row r="2773">
      <c r="A2773" s="151" t="str">
        <f>IFERROR(__xludf.DUMMYFUNCTION("""COMPUTED_VALUE"""),"scp")</f>
        <v>scp</v>
      </c>
      <c r="B2773" s="42" t="str">
        <f>IFERROR(__xludf.DUMMYFUNCTION("""COMPUTED_VALUE"""),"DHBA")</f>
        <v>DHBA</v>
      </c>
      <c r="C2773" s="42" t="str">
        <f>IFERROR(__xludf.DUMMYFUNCTION("""COMPUTED_VALUE"""),"superior cerebellar peduncle (brachium conjunctivum)")</f>
        <v>superior cerebellar peduncle (brachium conjunctivum)</v>
      </c>
      <c r="D2773" s="42">
        <f>IFERROR(__xludf.DUMMYFUNCTION("""COMPUTED_VALUE"""),2644.0)</f>
        <v>2644</v>
      </c>
      <c r="E2773" s="39" t="str">
        <f>IFERROR(__xludf.DUMMYFUNCTION("""COMPUTED_VALUE"""),"superior cerebellar peduncle (brachium conjunctivum)")</f>
        <v>superior cerebellar peduncle (brachium conjunctivum)</v>
      </c>
      <c r="F2773" s="9" t="str">
        <f>IFERROR(__xludf.DUMMYFUNCTION("""COMPUTED_VALUE"""),"Br")</f>
        <v>Br</v>
      </c>
      <c r="G2773" s="9" t="str">
        <f>IFERROR(__xludf.DUMMYFUNCTION("""COMPUTED_VALUE"""),"M")</f>
        <v>M</v>
      </c>
      <c r="H2773" s="9" t="str">
        <f>IFERROR(__xludf.DUMMYFUNCTION("""COMPUTED_VALUE"""),"MWM")</f>
        <v>MWM</v>
      </c>
      <c r="I2773" s="9" t="str">
        <f>IFERROR(__xludf.DUMMYFUNCTION("""COMPUTED_VALUE"""),"scp")</f>
        <v>scp</v>
      </c>
      <c r="J2773" s="9"/>
      <c r="K2773" s="9"/>
      <c r="L2773" s="9"/>
      <c r="M2773" s="9"/>
      <c r="N2773" s="9"/>
      <c r="O2773" s="9"/>
      <c r="P2773" s="9"/>
      <c r="Q2773" s="9"/>
      <c r="R2773" s="9"/>
      <c r="S2773" s="42" t="str">
        <f>IFERROR(__xludf.DUMMYFUNCTION("""COMPUTED_VALUE"""),"cbru;
cbth;
dtth;
geru;
rucb;
tcb;
vscb_m")</f>
        <v>cbru;
cbth;
dtth;
geru;
rucb;
tcb;
vscb_m</v>
      </c>
      <c r="T2773" s="42"/>
      <c r="U2773" s="42" t="b">
        <f>IFERROR(__xludf.DUMMYFUNCTION("""COMPUTED_VALUE"""),FALSE)</f>
        <v>0</v>
      </c>
      <c r="V2773" s="42"/>
      <c r="W2773" s="42"/>
      <c r="X2773" s="42"/>
      <c r="Y2773" s="42"/>
      <c r="Z2773" s="42"/>
      <c r="AA2773" s="42"/>
      <c r="AB2773" s="42" t="str">
        <f>IFERROR(__xludf.DUMMYFUNCTION("""COMPUTED_VALUE"""),"allen institute")</f>
        <v>allen institute</v>
      </c>
      <c r="AC2773" s="42" t="str">
        <f>IFERROR(__xludf.DUMMYFUNCTION("""COMPUTED_VALUE"""),"DHBA")</f>
        <v>DHBA</v>
      </c>
      <c r="AD2773" s="42"/>
      <c r="AE2773" s="42"/>
      <c r="AF2773" s="9"/>
      <c r="AG2773" s="9"/>
      <c r="AH2773" s="42"/>
      <c r="AI2773" s="42"/>
      <c r="AJ2773" s="42"/>
      <c r="AK2773" s="42"/>
      <c r="AL2773" s="42"/>
      <c r="AM2773" s="42"/>
      <c r="AN2773" s="42"/>
      <c r="AO2773" s="63" t="str">
        <f>IFERROR(__xludf.DUMMYFUNCTION("IF(ISBLANK(A2773),,IF(ISBLANK(S2773), A2773&amp;"";"", TEXTJOIN(CHAR(10), TRUE, A2773&amp;"";"", ARRAYFORMULA(VLOOKUP(SPLIT(S2773, "";"" &amp; CHAR(10)), $A:$AO, 41, FALSE)))))"),"#N/A")</f>
        <v>#N/A</v>
      </c>
      <c r="AP2773" s="89"/>
    </row>
    <row r="2774">
      <c r="A2774" s="151" t="str">
        <f>IFERROR(__xludf.DUMMYFUNCTION("""COMPUTED_VALUE"""),"cbru")</f>
        <v>cbru</v>
      </c>
      <c r="B2774" s="42" t="str">
        <f>IFERROR(__xludf.DUMMYFUNCTION("""COMPUTED_VALUE"""),"DHBA")</f>
        <v>DHBA</v>
      </c>
      <c r="C2774" s="42" t="str">
        <f>IFERROR(__xludf.DUMMYFUNCTION("""COMPUTED_VALUE"""),"cerebellorubral tract")</f>
        <v>cerebellorubral tract</v>
      </c>
      <c r="D2774" s="42">
        <f>IFERROR(__xludf.DUMMYFUNCTION("""COMPUTED_VALUE"""),2645.0)</f>
        <v>2645</v>
      </c>
      <c r="E2774" s="39" t="str">
        <f>IFERROR(__xludf.DUMMYFUNCTION("""COMPUTED_VALUE"""),"cerebellorubral tract")</f>
        <v>cerebellorubral tract</v>
      </c>
      <c r="F2774" s="9" t="str">
        <f>IFERROR(__xludf.DUMMYFUNCTION("""COMPUTED_VALUE"""),"Br")</f>
        <v>Br</v>
      </c>
      <c r="G2774" s="9" t="str">
        <f>IFERROR(__xludf.DUMMYFUNCTION("""COMPUTED_VALUE"""),"M")</f>
        <v>M</v>
      </c>
      <c r="H2774" s="9" t="str">
        <f>IFERROR(__xludf.DUMMYFUNCTION("""COMPUTED_VALUE"""),"MWM")</f>
        <v>MWM</v>
      </c>
      <c r="I2774" s="9" t="str">
        <f>IFERROR(__xludf.DUMMYFUNCTION("""COMPUTED_VALUE"""),"scp")</f>
        <v>scp</v>
      </c>
      <c r="J2774" s="9" t="str">
        <f>IFERROR(__xludf.DUMMYFUNCTION("""COMPUTED_VALUE"""),"cbru")</f>
        <v>cbru</v>
      </c>
      <c r="K2774" s="9"/>
      <c r="L2774" s="9"/>
      <c r="M2774" s="9"/>
      <c r="N2774" s="9"/>
      <c r="O2774" s="9"/>
      <c r="P2774" s="9"/>
      <c r="Q2774" s="9"/>
      <c r="R2774" s="9"/>
      <c r="S2774" s="42"/>
      <c r="T2774" s="42"/>
      <c r="U2774" s="159"/>
      <c r="V2774" s="42"/>
      <c r="W2774" s="42"/>
      <c r="X2774" s="42"/>
      <c r="Y2774" s="42"/>
      <c r="Z2774" s="42"/>
      <c r="AA2774" s="42"/>
      <c r="AB2774" s="42" t="str">
        <f>IFERROR(__xludf.DUMMYFUNCTION("""COMPUTED_VALUE"""),"allen institute")</f>
        <v>allen institute</v>
      </c>
      <c r="AC2774" s="42" t="str">
        <f>IFERROR(__xludf.DUMMYFUNCTION("""COMPUTED_VALUE"""),"DHBA")</f>
        <v>DHBA</v>
      </c>
      <c r="AD2774" s="42"/>
      <c r="AE2774" s="42"/>
      <c r="AF2774" s="9"/>
      <c r="AG2774" s="9"/>
      <c r="AH2774" s="42"/>
      <c r="AI2774" s="42"/>
      <c r="AJ2774" s="42"/>
      <c r="AK2774" s="42"/>
      <c r="AL2774" s="42"/>
      <c r="AM2774" s="42"/>
      <c r="AN2774" s="42"/>
      <c r="AO2774" s="63" t="str">
        <f>IFERROR(__xludf.DUMMYFUNCTION("IF(ISBLANK(A2774),,IF(ISBLANK(S2774), A2774&amp;"";"", TEXTJOIN(CHAR(10), TRUE, A2774&amp;"";"", ARRAYFORMULA(VLOOKUP(SPLIT(S2774, "";"" &amp; CHAR(10)), $A:$AO, 41, FALSE)))))"),"cbru;")</f>
        <v>cbru;</v>
      </c>
      <c r="AP2774" s="89"/>
    </row>
    <row r="2775">
      <c r="A2775" s="151" t="str">
        <f>IFERROR(__xludf.DUMMYFUNCTION("""COMPUTED_VALUE"""),"cbth")</f>
        <v>cbth</v>
      </c>
      <c r="B2775" s="42" t="str">
        <f>IFERROR(__xludf.DUMMYFUNCTION("""COMPUTED_VALUE"""),"DHBA")</f>
        <v>DHBA</v>
      </c>
      <c r="C2775" s="42" t="str">
        <f>IFERROR(__xludf.DUMMYFUNCTION("""COMPUTED_VALUE"""),"cerebellothalamic tract")</f>
        <v>cerebellothalamic tract</v>
      </c>
      <c r="D2775" s="42">
        <f>IFERROR(__xludf.DUMMYFUNCTION("""COMPUTED_VALUE"""),2646.0)</f>
        <v>2646</v>
      </c>
      <c r="E2775" s="39" t="str">
        <f>IFERROR(__xludf.DUMMYFUNCTION("""COMPUTED_VALUE"""),"cerebellothalamic tract")</f>
        <v>cerebellothalamic tract</v>
      </c>
      <c r="F2775" s="9" t="str">
        <f>IFERROR(__xludf.DUMMYFUNCTION("""COMPUTED_VALUE"""),"Br")</f>
        <v>Br</v>
      </c>
      <c r="G2775" s="9" t="str">
        <f>IFERROR(__xludf.DUMMYFUNCTION("""COMPUTED_VALUE"""),"M")</f>
        <v>M</v>
      </c>
      <c r="H2775" s="9" t="str">
        <f>IFERROR(__xludf.DUMMYFUNCTION("""COMPUTED_VALUE"""),"MWM")</f>
        <v>MWM</v>
      </c>
      <c r="I2775" s="9" t="str">
        <f>IFERROR(__xludf.DUMMYFUNCTION("""COMPUTED_VALUE"""),"scp")</f>
        <v>scp</v>
      </c>
      <c r="J2775" s="9" t="str">
        <f>IFERROR(__xludf.DUMMYFUNCTION("""COMPUTED_VALUE"""),"cbth")</f>
        <v>cbth</v>
      </c>
      <c r="K2775" s="9"/>
      <c r="L2775" s="9"/>
      <c r="M2775" s="9"/>
      <c r="N2775" s="9"/>
      <c r="O2775" s="9"/>
      <c r="P2775" s="9"/>
      <c r="Q2775" s="9"/>
      <c r="R2775" s="9"/>
      <c r="S2775" s="42"/>
      <c r="T2775" s="42"/>
      <c r="U2775" s="42"/>
      <c r="V2775" s="42"/>
      <c r="W2775" s="42"/>
      <c r="X2775" s="42"/>
      <c r="Y2775" s="42"/>
      <c r="Z2775" s="42"/>
      <c r="AA2775" s="42"/>
      <c r="AB2775" s="42" t="str">
        <f>IFERROR(__xludf.DUMMYFUNCTION("""COMPUTED_VALUE"""),"allen institute")</f>
        <v>allen institute</v>
      </c>
      <c r="AC2775" s="42" t="str">
        <f>IFERROR(__xludf.DUMMYFUNCTION("""COMPUTED_VALUE"""),"DHBA")</f>
        <v>DHBA</v>
      </c>
      <c r="AD2775" s="42"/>
      <c r="AE2775" s="42"/>
      <c r="AF2775" s="9"/>
      <c r="AG2775" s="9"/>
      <c r="AH2775" s="42"/>
      <c r="AI2775" s="42"/>
      <c r="AJ2775" s="42"/>
      <c r="AK2775" s="42"/>
      <c r="AL2775" s="42"/>
      <c r="AM2775" s="42"/>
      <c r="AN2775" s="42"/>
      <c r="AO2775" s="63" t="str">
        <f>IFERROR(__xludf.DUMMYFUNCTION("IF(ISBLANK(A2775),,IF(ISBLANK(S2775), A2775&amp;"";"", TEXTJOIN(CHAR(10), TRUE, A2775&amp;"";"", ARRAYFORMULA(VLOOKUP(SPLIT(S2775, "";"" &amp; CHAR(10)), $A:$AO, 41, FALSE)))))"),"cbth;")</f>
        <v>cbth;</v>
      </c>
      <c r="AP2775" s="89"/>
    </row>
    <row r="2776">
      <c r="A2776" s="151" t="str">
        <f>IFERROR(__xludf.DUMMYFUNCTION("""COMPUTED_VALUE"""),"dtth")</f>
        <v>dtth</v>
      </c>
      <c r="B2776" s="42" t="str">
        <f>IFERROR(__xludf.DUMMYFUNCTION("""COMPUTED_VALUE"""),"DHBA")</f>
        <v>DHBA</v>
      </c>
      <c r="C2776" s="42" t="str">
        <f>IFERROR(__xludf.DUMMYFUNCTION("""COMPUTED_VALUE"""),"dentatothalamic tract")</f>
        <v>dentatothalamic tract</v>
      </c>
      <c r="D2776" s="42">
        <f>IFERROR(__xludf.DUMMYFUNCTION("""COMPUTED_VALUE"""),2647.0)</f>
        <v>2647</v>
      </c>
      <c r="E2776" s="39" t="str">
        <f>IFERROR(__xludf.DUMMYFUNCTION("""COMPUTED_VALUE"""),"dentatothalamic tract")</f>
        <v>dentatothalamic tract</v>
      </c>
      <c r="F2776" s="9" t="str">
        <f>IFERROR(__xludf.DUMMYFUNCTION("""COMPUTED_VALUE"""),"Br")</f>
        <v>Br</v>
      </c>
      <c r="G2776" s="9" t="str">
        <f>IFERROR(__xludf.DUMMYFUNCTION("""COMPUTED_VALUE"""),"M")</f>
        <v>M</v>
      </c>
      <c r="H2776" s="9" t="str">
        <f>IFERROR(__xludf.DUMMYFUNCTION("""COMPUTED_VALUE"""),"MWM")</f>
        <v>MWM</v>
      </c>
      <c r="I2776" s="9" t="str">
        <f>IFERROR(__xludf.DUMMYFUNCTION("""COMPUTED_VALUE"""),"scp")</f>
        <v>scp</v>
      </c>
      <c r="J2776" s="9" t="str">
        <f>IFERROR(__xludf.DUMMYFUNCTION("""COMPUTED_VALUE"""),"dtth")</f>
        <v>dtth</v>
      </c>
      <c r="K2776" s="9"/>
      <c r="L2776" s="9"/>
      <c r="M2776" s="9"/>
      <c r="N2776" s="9"/>
      <c r="O2776" s="9"/>
      <c r="P2776" s="9"/>
      <c r="Q2776" s="9"/>
      <c r="R2776" s="9"/>
      <c r="S2776" s="42"/>
      <c r="T2776" s="42"/>
      <c r="U2776" s="42"/>
      <c r="V2776" s="42"/>
      <c r="W2776" s="42"/>
      <c r="X2776" s="42"/>
      <c r="Y2776" s="42"/>
      <c r="Z2776" s="42"/>
      <c r="AA2776" s="42"/>
      <c r="AB2776" s="42" t="str">
        <f>IFERROR(__xludf.DUMMYFUNCTION("""COMPUTED_VALUE"""),"allen institute")</f>
        <v>allen institute</v>
      </c>
      <c r="AC2776" s="42" t="str">
        <f>IFERROR(__xludf.DUMMYFUNCTION("""COMPUTED_VALUE"""),"DHBA")</f>
        <v>DHBA</v>
      </c>
      <c r="AD2776" s="42"/>
      <c r="AE2776" s="42"/>
      <c r="AF2776" s="9"/>
      <c r="AG2776" s="9"/>
      <c r="AH2776" s="42"/>
      <c r="AI2776" s="42"/>
      <c r="AJ2776" s="42"/>
      <c r="AK2776" s="42"/>
      <c r="AL2776" s="42"/>
      <c r="AM2776" s="42"/>
      <c r="AN2776" s="42"/>
      <c r="AO2776" s="63" t="str">
        <f>IFERROR(__xludf.DUMMYFUNCTION("IF(ISBLANK(A2776),,IF(ISBLANK(S2776), A2776&amp;"";"", TEXTJOIN(CHAR(10), TRUE, A2776&amp;"";"", ARRAYFORMULA(VLOOKUP(SPLIT(S2776, "";"" &amp; CHAR(10)), $A:$AO, 41, FALSE)))))"),"dtth;")</f>
        <v>dtth;</v>
      </c>
      <c r="AP2776" s="89"/>
    </row>
    <row r="2777">
      <c r="A2777" s="151" t="str">
        <f>IFERROR(__xludf.DUMMYFUNCTION("""COMPUTED_VALUE"""),"geru")</f>
        <v>geru</v>
      </c>
      <c r="B2777" s="42" t="str">
        <f>IFERROR(__xludf.DUMMYFUNCTION("""COMPUTED_VALUE"""),"DHBA")</f>
        <v>DHBA</v>
      </c>
      <c r="C2777" s="42" t="str">
        <f>IFERROR(__xludf.DUMMYFUNCTION("""COMPUTED_VALUE"""),"globose-emboliform-rubral tract")</f>
        <v>globose-emboliform-rubral tract</v>
      </c>
      <c r="D2777" s="42">
        <f>IFERROR(__xludf.DUMMYFUNCTION("""COMPUTED_VALUE"""),2648.0)</f>
        <v>2648</v>
      </c>
      <c r="E2777" s="39" t="str">
        <f>IFERROR(__xludf.DUMMYFUNCTION("""COMPUTED_VALUE"""),"globose-emboliform-rubral tract")</f>
        <v>globose-emboliform-rubral tract</v>
      </c>
      <c r="F2777" s="9" t="str">
        <f>IFERROR(__xludf.DUMMYFUNCTION("""COMPUTED_VALUE"""),"Br")</f>
        <v>Br</v>
      </c>
      <c r="G2777" s="9" t="str">
        <f>IFERROR(__xludf.DUMMYFUNCTION("""COMPUTED_VALUE"""),"M")</f>
        <v>M</v>
      </c>
      <c r="H2777" s="9" t="str">
        <f>IFERROR(__xludf.DUMMYFUNCTION("""COMPUTED_VALUE"""),"MWM")</f>
        <v>MWM</v>
      </c>
      <c r="I2777" s="9" t="str">
        <f>IFERROR(__xludf.DUMMYFUNCTION("""COMPUTED_VALUE"""),"scp")</f>
        <v>scp</v>
      </c>
      <c r="J2777" s="9" t="str">
        <f>IFERROR(__xludf.DUMMYFUNCTION("""COMPUTED_VALUE"""),"geru")</f>
        <v>geru</v>
      </c>
      <c r="K2777" s="9"/>
      <c r="L2777" s="9"/>
      <c r="M2777" s="9"/>
      <c r="N2777" s="9"/>
      <c r="O2777" s="9"/>
      <c r="P2777" s="9"/>
      <c r="Q2777" s="9"/>
      <c r="R2777" s="9"/>
      <c r="S2777" s="42"/>
      <c r="T2777" s="42"/>
      <c r="U2777" s="42"/>
      <c r="V2777" s="42"/>
      <c r="W2777" s="42"/>
      <c r="X2777" s="42"/>
      <c r="Y2777" s="42"/>
      <c r="Z2777" s="42"/>
      <c r="AA2777" s="42"/>
      <c r="AB2777" s="42" t="str">
        <f>IFERROR(__xludf.DUMMYFUNCTION("""COMPUTED_VALUE"""),"allen institute")</f>
        <v>allen institute</v>
      </c>
      <c r="AC2777" s="42" t="str">
        <f>IFERROR(__xludf.DUMMYFUNCTION("""COMPUTED_VALUE"""),"DHBA")</f>
        <v>DHBA</v>
      </c>
      <c r="AD2777" s="42"/>
      <c r="AE2777" s="42"/>
      <c r="AF2777" s="9"/>
      <c r="AG2777" s="9"/>
      <c r="AH2777" s="42"/>
      <c r="AI2777" s="42"/>
      <c r="AJ2777" s="42"/>
      <c r="AK2777" s="42"/>
      <c r="AL2777" s="42"/>
      <c r="AM2777" s="42"/>
      <c r="AN2777" s="42"/>
      <c r="AO2777" s="63" t="str">
        <f>IFERROR(__xludf.DUMMYFUNCTION("IF(ISBLANK(A2777),,IF(ISBLANK(S2777), A2777&amp;"";"", TEXTJOIN(CHAR(10), TRUE, A2777&amp;"";"", ARRAYFORMULA(VLOOKUP(SPLIT(S2777, "";"" &amp; CHAR(10)), $A:$AO, 41, FALSE)))))"),"geru;")</f>
        <v>geru;</v>
      </c>
      <c r="AP2777" s="89"/>
    </row>
    <row r="2778">
      <c r="A2778" s="151" t="str">
        <f>IFERROR(__xludf.DUMMYFUNCTION("""COMPUTED_VALUE"""),"rucb")</f>
        <v>rucb</v>
      </c>
      <c r="B2778" s="42" t="str">
        <f>IFERROR(__xludf.DUMMYFUNCTION("""COMPUTED_VALUE"""),"DHBA")</f>
        <v>DHBA</v>
      </c>
      <c r="C2778" s="42" t="str">
        <f>IFERROR(__xludf.DUMMYFUNCTION("""COMPUTED_VALUE"""),"rubrocerebellar fibers")</f>
        <v>rubrocerebellar fibers</v>
      </c>
      <c r="D2778" s="42">
        <f>IFERROR(__xludf.DUMMYFUNCTION("""COMPUTED_VALUE"""),2649.0)</f>
        <v>2649</v>
      </c>
      <c r="E2778" s="39" t="str">
        <f>IFERROR(__xludf.DUMMYFUNCTION("""COMPUTED_VALUE"""),"rubrocerebellar fibers")</f>
        <v>rubrocerebellar fibers</v>
      </c>
      <c r="F2778" s="9" t="str">
        <f>IFERROR(__xludf.DUMMYFUNCTION("""COMPUTED_VALUE"""),"Br")</f>
        <v>Br</v>
      </c>
      <c r="G2778" s="9" t="str">
        <f>IFERROR(__xludf.DUMMYFUNCTION("""COMPUTED_VALUE"""),"M")</f>
        <v>M</v>
      </c>
      <c r="H2778" s="9" t="str">
        <f>IFERROR(__xludf.DUMMYFUNCTION("""COMPUTED_VALUE"""),"MWM")</f>
        <v>MWM</v>
      </c>
      <c r="I2778" s="9" t="str">
        <f>IFERROR(__xludf.DUMMYFUNCTION("""COMPUTED_VALUE"""),"scp")</f>
        <v>scp</v>
      </c>
      <c r="J2778" s="9" t="str">
        <f>IFERROR(__xludf.DUMMYFUNCTION("""COMPUTED_VALUE"""),"rucb")</f>
        <v>rucb</v>
      </c>
      <c r="K2778" s="9"/>
      <c r="L2778" s="9"/>
      <c r="M2778" s="9"/>
      <c r="N2778" s="9"/>
      <c r="O2778" s="9"/>
      <c r="P2778" s="9"/>
      <c r="Q2778" s="9"/>
      <c r="R2778" s="9"/>
      <c r="S2778" s="42"/>
      <c r="T2778" s="42"/>
      <c r="U2778" s="42"/>
      <c r="V2778" s="42"/>
      <c r="W2778" s="42"/>
      <c r="X2778" s="42"/>
      <c r="Y2778" s="42"/>
      <c r="Z2778" s="42"/>
      <c r="AA2778" s="42"/>
      <c r="AB2778" s="42" t="str">
        <f>IFERROR(__xludf.DUMMYFUNCTION("""COMPUTED_VALUE"""),"allen institute")</f>
        <v>allen institute</v>
      </c>
      <c r="AC2778" s="42" t="str">
        <f>IFERROR(__xludf.DUMMYFUNCTION("""COMPUTED_VALUE"""),"DHBA")</f>
        <v>DHBA</v>
      </c>
      <c r="AD2778" s="42"/>
      <c r="AE2778" s="42"/>
      <c r="AF2778" s="9"/>
      <c r="AG2778" s="9"/>
      <c r="AH2778" s="42"/>
      <c r="AI2778" s="42"/>
      <c r="AJ2778" s="42"/>
      <c r="AK2778" s="42"/>
      <c r="AL2778" s="42"/>
      <c r="AM2778" s="42"/>
      <c r="AN2778" s="42"/>
      <c r="AO2778" s="63" t="str">
        <f>IFERROR(__xludf.DUMMYFUNCTION("IF(ISBLANK(A2778),,IF(ISBLANK(S2778), A2778&amp;"";"", TEXTJOIN(CHAR(10), TRUE, A2778&amp;"";"", ARRAYFORMULA(VLOOKUP(SPLIT(S2778, "";"" &amp; CHAR(10)), $A:$AO, 41, FALSE)))))"),"rucb;")</f>
        <v>rucb;</v>
      </c>
      <c r="AP2778" s="89"/>
    </row>
    <row r="2779">
      <c r="A2779" s="151" t="str">
        <f>IFERROR(__xludf.DUMMYFUNCTION("""COMPUTED_VALUE"""),"tcb")</f>
        <v>tcb</v>
      </c>
      <c r="B2779" s="42" t="str">
        <f>IFERROR(__xludf.DUMMYFUNCTION("""COMPUTED_VALUE"""),"DHBA")</f>
        <v>DHBA</v>
      </c>
      <c r="C2779" s="42" t="str">
        <f>IFERROR(__xludf.DUMMYFUNCTION("""COMPUTED_VALUE"""),"tectocerebellar fibers")</f>
        <v>tectocerebellar fibers</v>
      </c>
      <c r="D2779" s="42">
        <f>IFERROR(__xludf.DUMMYFUNCTION("""COMPUTED_VALUE"""),2650.0)</f>
        <v>2650</v>
      </c>
      <c r="E2779" s="39" t="str">
        <f>IFERROR(__xludf.DUMMYFUNCTION("""COMPUTED_VALUE"""),"tectocerebellar fibers")</f>
        <v>tectocerebellar fibers</v>
      </c>
      <c r="F2779" s="9" t="str">
        <f>IFERROR(__xludf.DUMMYFUNCTION("""COMPUTED_VALUE"""),"Br")</f>
        <v>Br</v>
      </c>
      <c r="G2779" s="9" t="str">
        <f>IFERROR(__xludf.DUMMYFUNCTION("""COMPUTED_VALUE"""),"M")</f>
        <v>M</v>
      </c>
      <c r="H2779" s="9" t="str">
        <f>IFERROR(__xludf.DUMMYFUNCTION("""COMPUTED_VALUE"""),"MWM")</f>
        <v>MWM</v>
      </c>
      <c r="I2779" s="9" t="str">
        <f>IFERROR(__xludf.DUMMYFUNCTION("""COMPUTED_VALUE"""),"scp")</f>
        <v>scp</v>
      </c>
      <c r="J2779" s="9" t="str">
        <f>IFERROR(__xludf.DUMMYFUNCTION("""COMPUTED_VALUE"""),"tcb")</f>
        <v>tcb</v>
      </c>
      <c r="K2779" s="9"/>
      <c r="L2779" s="9"/>
      <c r="M2779" s="9"/>
      <c r="N2779" s="9"/>
      <c r="O2779" s="9"/>
      <c r="P2779" s="9"/>
      <c r="Q2779" s="9"/>
      <c r="R2779" s="9"/>
      <c r="S2779" s="42"/>
      <c r="T2779" s="42"/>
      <c r="U2779" s="42"/>
      <c r="V2779" s="42"/>
      <c r="W2779" s="42"/>
      <c r="X2779" s="42"/>
      <c r="Y2779" s="42"/>
      <c r="Z2779" s="42"/>
      <c r="AA2779" s="42"/>
      <c r="AB2779" s="42" t="str">
        <f>IFERROR(__xludf.DUMMYFUNCTION("""COMPUTED_VALUE"""),"allen institute")</f>
        <v>allen institute</v>
      </c>
      <c r="AC2779" s="42" t="str">
        <f>IFERROR(__xludf.DUMMYFUNCTION("""COMPUTED_VALUE"""),"DHBA")</f>
        <v>DHBA</v>
      </c>
      <c r="AD2779" s="42"/>
      <c r="AE2779" s="42"/>
      <c r="AF2779" s="9"/>
      <c r="AG2779" s="9"/>
      <c r="AH2779" s="42"/>
      <c r="AI2779" s="42"/>
      <c r="AJ2779" s="42"/>
      <c r="AK2779" s="42"/>
      <c r="AL2779" s="42"/>
      <c r="AM2779" s="42"/>
      <c r="AN2779" s="42"/>
      <c r="AO2779" s="63" t="str">
        <f>IFERROR(__xludf.DUMMYFUNCTION("IF(ISBLANK(A2779),,IF(ISBLANK(S2779), A2779&amp;"";"", TEXTJOIN(CHAR(10), TRUE, A2779&amp;"";"", ARRAYFORMULA(VLOOKUP(SPLIT(S2779, "";"" &amp; CHAR(10)), $A:$AO, 41, FALSE)))))"),"tcb;")</f>
        <v>tcb;</v>
      </c>
      <c r="AP2779" s="89"/>
    </row>
    <row r="2780">
      <c r="A2780" s="151" t="str">
        <f>IFERROR(__xludf.DUMMYFUNCTION("""COMPUTED_VALUE"""),"vscb-m")</f>
        <v>vscb-m</v>
      </c>
      <c r="B2780" s="42" t="str">
        <f>IFERROR(__xludf.DUMMYFUNCTION("""COMPUTED_VALUE"""),"DHBA")</f>
        <v>DHBA</v>
      </c>
      <c r="C2780" s="42" t="str">
        <f>IFERROR(__xludf.DUMMYFUNCTION("""COMPUTED_VALUE"""),"ventral spinocerebellar tract, midbrain portion")</f>
        <v>ventral spinocerebellar tract, midbrain portion</v>
      </c>
      <c r="D2780" s="42">
        <f>IFERROR(__xludf.DUMMYFUNCTION("""COMPUTED_VALUE"""),2651.0)</f>
        <v>2651</v>
      </c>
      <c r="E2780" s="39" t="str">
        <f>IFERROR(__xludf.DUMMYFUNCTION("""COMPUTED_VALUE"""),"ventral spinocerebellar tract, midbrain portion")</f>
        <v>ventral spinocerebellar tract, midbrain portion</v>
      </c>
      <c r="F2780" s="9" t="str">
        <f>IFERROR(__xludf.DUMMYFUNCTION("""COMPUTED_VALUE"""),"Br")</f>
        <v>Br</v>
      </c>
      <c r="G2780" s="9" t="str">
        <f>IFERROR(__xludf.DUMMYFUNCTION("""COMPUTED_VALUE"""),"M")</f>
        <v>M</v>
      </c>
      <c r="H2780" s="9" t="str">
        <f>IFERROR(__xludf.DUMMYFUNCTION("""COMPUTED_VALUE"""),"MWM")</f>
        <v>MWM</v>
      </c>
      <c r="I2780" s="9" t="str">
        <f>IFERROR(__xludf.DUMMYFUNCTION("""COMPUTED_VALUE"""),"scp")</f>
        <v>scp</v>
      </c>
      <c r="J2780" s="9" t="str">
        <f>IFERROR(__xludf.DUMMYFUNCTION("""COMPUTED_VALUE"""),"vscb-m")</f>
        <v>vscb-m</v>
      </c>
      <c r="K2780" s="9"/>
      <c r="L2780" s="9"/>
      <c r="M2780" s="9"/>
      <c r="N2780" s="9"/>
      <c r="O2780" s="9"/>
      <c r="P2780" s="9"/>
      <c r="Q2780" s="9"/>
      <c r="R2780" s="9"/>
      <c r="S2780" s="42"/>
      <c r="T2780" s="42"/>
      <c r="U2780" s="42"/>
      <c r="V2780" s="42"/>
      <c r="W2780" s="42"/>
      <c r="X2780" s="42"/>
      <c r="Y2780" s="42"/>
      <c r="Z2780" s="42"/>
      <c r="AA2780" s="42"/>
      <c r="AB2780" s="42" t="str">
        <f>IFERROR(__xludf.DUMMYFUNCTION("""COMPUTED_VALUE"""),"allen institute")</f>
        <v>allen institute</v>
      </c>
      <c r="AC2780" s="42" t="str">
        <f>IFERROR(__xludf.DUMMYFUNCTION("""COMPUTED_VALUE"""),"DHBA")</f>
        <v>DHBA</v>
      </c>
      <c r="AD2780" s="42"/>
      <c r="AE2780" s="42"/>
      <c r="AF2780" s="9"/>
      <c r="AG2780" s="9"/>
      <c r="AH2780" s="42"/>
      <c r="AI2780" s="42"/>
      <c r="AJ2780" s="42"/>
      <c r="AK2780" s="42"/>
      <c r="AL2780" s="42"/>
      <c r="AM2780" s="42"/>
      <c r="AN2780" s="42"/>
      <c r="AO2780" s="63" t="str">
        <f>IFERROR(__xludf.DUMMYFUNCTION("IF(ISBLANK(A2780),,IF(ISBLANK(S2780), A2780&amp;"";"", TEXTJOIN(CHAR(10), TRUE, A2780&amp;"";"", ARRAYFORMULA(VLOOKUP(SPLIT(S2780, "";"" &amp; CHAR(10)), $A:$AO, 41, FALSE)))))"),"vscb-m;")</f>
        <v>vscb-m;</v>
      </c>
      <c r="AP2780" s="89"/>
    </row>
    <row r="2781">
      <c r="A2781" s="151" t="str">
        <f>IFERROR(__xludf.DUMMYFUNCTION("""COMPUTED_VALUE"""),"tbu-m")</f>
        <v>tbu-m</v>
      </c>
      <c r="B2781" s="42" t="str">
        <f>IFERROR(__xludf.DUMMYFUNCTION("""COMPUTED_VALUE"""),"DHBA")</f>
        <v>DHBA</v>
      </c>
      <c r="C2781" s="42" t="str">
        <f>IFERROR(__xludf.DUMMYFUNCTION("""COMPUTED_VALUE"""),"tectobulbar tract, midbrain portion")</f>
        <v>tectobulbar tract, midbrain portion</v>
      </c>
      <c r="D2781" s="42">
        <f>IFERROR(__xludf.DUMMYFUNCTION("""COMPUTED_VALUE"""),2652.0)</f>
        <v>2652</v>
      </c>
      <c r="E2781" s="39" t="str">
        <f>IFERROR(__xludf.DUMMYFUNCTION("""COMPUTED_VALUE"""),"tectobulbar tract, midbrain portion")</f>
        <v>tectobulbar tract, midbrain portion</v>
      </c>
      <c r="F2781" s="9" t="str">
        <f>IFERROR(__xludf.DUMMYFUNCTION("""COMPUTED_VALUE"""),"Br")</f>
        <v>Br</v>
      </c>
      <c r="G2781" s="9" t="str">
        <f>IFERROR(__xludf.DUMMYFUNCTION("""COMPUTED_VALUE"""),"M")</f>
        <v>M</v>
      </c>
      <c r="H2781" s="9" t="str">
        <f>IFERROR(__xludf.DUMMYFUNCTION("""COMPUTED_VALUE"""),"MWM")</f>
        <v>MWM</v>
      </c>
      <c r="I2781" s="9" t="str">
        <f>IFERROR(__xludf.DUMMYFUNCTION("""COMPUTED_VALUE"""),"tbu-m")</f>
        <v>tbu-m</v>
      </c>
      <c r="J2781" s="9"/>
      <c r="K2781" s="9"/>
      <c r="L2781" s="9"/>
      <c r="M2781" s="9"/>
      <c r="N2781" s="9"/>
      <c r="O2781" s="9"/>
      <c r="P2781" s="9"/>
      <c r="Q2781" s="9"/>
      <c r="R2781" s="9"/>
      <c r="S2781" s="42"/>
      <c r="T2781" s="42"/>
      <c r="U2781" s="42"/>
      <c r="V2781" s="42"/>
      <c r="W2781" s="42"/>
      <c r="X2781" s="42"/>
      <c r="Y2781" s="42"/>
      <c r="Z2781" s="42"/>
      <c r="AA2781" s="42"/>
      <c r="AB2781" s="42" t="str">
        <f>IFERROR(__xludf.DUMMYFUNCTION("""COMPUTED_VALUE"""),"allen institute")</f>
        <v>allen institute</v>
      </c>
      <c r="AC2781" s="42" t="str">
        <f>IFERROR(__xludf.DUMMYFUNCTION("""COMPUTED_VALUE"""),"DHBA")</f>
        <v>DHBA</v>
      </c>
      <c r="AD2781" s="42"/>
      <c r="AE2781" s="42"/>
      <c r="AF2781" s="9"/>
      <c r="AG2781" s="9"/>
      <c r="AH2781" s="42"/>
      <c r="AI2781" s="42"/>
      <c r="AJ2781" s="42"/>
      <c r="AK2781" s="42"/>
      <c r="AL2781" s="42"/>
      <c r="AM2781" s="42"/>
      <c r="AN2781" s="42"/>
      <c r="AO2781" s="63" t="str">
        <f>IFERROR(__xludf.DUMMYFUNCTION("IF(ISBLANK(A2781),,IF(ISBLANK(S2781), A2781&amp;"";"", TEXTJOIN(CHAR(10), TRUE, A2781&amp;"";"", ARRAYFORMULA(VLOOKUP(SPLIT(S2781, "";"" &amp; CHAR(10)), $A:$AO, 41, FALSE)))))"),"tbu-m;")</f>
        <v>tbu-m;</v>
      </c>
      <c r="AP2781" s="89"/>
    </row>
    <row r="2782">
      <c r="A2782" s="151" t="str">
        <f>IFERROR(__xludf.DUMMYFUNCTION("""COMPUTED_VALUE"""),"tol")</f>
        <v>tol</v>
      </c>
      <c r="B2782" s="42" t="str">
        <f>IFERROR(__xludf.DUMMYFUNCTION("""COMPUTED_VALUE"""),"DHBA")</f>
        <v>DHBA</v>
      </c>
      <c r="C2782" s="42" t="str">
        <f>IFERROR(__xludf.DUMMYFUNCTION("""COMPUTED_VALUE"""),"tecto-olivary fibers")</f>
        <v>tecto-olivary fibers</v>
      </c>
      <c r="D2782" s="42">
        <f>IFERROR(__xludf.DUMMYFUNCTION("""COMPUTED_VALUE"""),2653.0)</f>
        <v>2653</v>
      </c>
      <c r="E2782" s="39" t="str">
        <f>IFERROR(__xludf.DUMMYFUNCTION("""COMPUTED_VALUE"""),"tecto-olivary fibers")</f>
        <v>tecto-olivary fibers</v>
      </c>
      <c r="F2782" s="9" t="str">
        <f>IFERROR(__xludf.DUMMYFUNCTION("""COMPUTED_VALUE"""),"Br")</f>
        <v>Br</v>
      </c>
      <c r="G2782" s="9" t="str">
        <f>IFERROR(__xludf.DUMMYFUNCTION("""COMPUTED_VALUE"""),"M")</f>
        <v>M</v>
      </c>
      <c r="H2782" s="9" t="str">
        <f>IFERROR(__xludf.DUMMYFUNCTION("""COMPUTED_VALUE"""),"MWM")</f>
        <v>MWM</v>
      </c>
      <c r="I2782" s="9" t="str">
        <f>IFERROR(__xludf.DUMMYFUNCTION("""COMPUTED_VALUE"""),"tol")</f>
        <v>tol</v>
      </c>
      <c r="J2782" s="9"/>
      <c r="K2782" s="9"/>
      <c r="L2782" s="9"/>
      <c r="M2782" s="9"/>
      <c r="N2782" s="9"/>
      <c r="O2782" s="9"/>
      <c r="P2782" s="9"/>
      <c r="Q2782" s="9"/>
      <c r="R2782" s="9"/>
      <c r="S2782" s="42"/>
      <c r="T2782" s="42"/>
      <c r="U2782" s="42"/>
      <c r="V2782" s="42"/>
      <c r="W2782" s="42"/>
      <c r="X2782" s="42"/>
      <c r="Y2782" s="42"/>
      <c r="Z2782" s="42"/>
      <c r="AA2782" s="42"/>
      <c r="AB2782" s="42" t="str">
        <f>IFERROR(__xludf.DUMMYFUNCTION("""COMPUTED_VALUE"""),"allen institute")</f>
        <v>allen institute</v>
      </c>
      <c r="AC2782" s="42" t="str">
        <f>IFERROR(__xludf.DUMMYFUNCTION("""COMPUTED_VALUE"""),"DHBA")</f>
        <v>DHBA</v>
      </c>
      <c r="AD2782" s="42"/>
      <c r="AE2782" s="42"/>
      <c r="AF2782" s="9"/>
      <c r="AG2782" s="9"/>
      <c r="AH2782" s="42"/>
      <c r="AI2782" s="42"/>
      <c r="AJ2782" s="42"/>
      <c r="AK2782" s="42"/>
      <c r="AL2782" s="42"/>
      <c r="AM2782" s="42"/>
      <c r="AN2782" s="42"/>
      <c r="AO2782" s="63" t="str">
        <f>IFERROR(__xludf.DUMMYFUNCTION("IF(ISBLANK(A2782),,IF(ISBLANK(S2782), A2782&amp;"";"", TEXTJOIN(CHAR(10), TRUE, A2782&amp;"";"", ARRAYFORMULA(VLOOKUP(SPLIT(S2782, "";"" &amp; CHAR(10)), $A:$AO, 41, FALSE)))))"),"tol;")</f>
        <v>tol;</v>
      </c>
      <c r="AP2782" s="89"/>
    </row>
    <row r="2783">
      <c r="A2783" s="151" t="str">
        <f>IFERROR(__xludf.DUMMYFUNCTION("""COMPUTED_VALUE"""),"tpn")</f>
        <v>tpn</v>
      </c>
      <c r="B2783" s="42" t="str">
        <f>IFERROR(__xludf.DUMMYFUNCTION("""COMPUTED_VALUE"""),"DHBA")</f>
        <v>DHBA</v>
      </c>
      <c r="C2783" s="42" t="str">
        <f>IFERROR(__xludf.DUMMYFUNCTION("""COMPUTED_VALUE"""),"tectopontine tract")</f>
        <v>tectopontine tract</v>
      </c>
      <c r="D2783" s="42">
        <f>IFERROR(__xludf.DUMMYFUNCTION("""COMPUTED_VALUE"""),2654.0)</f>
        <v>2654</v>
      </c>
      <c r="E2783" s="39" t="str">
        <f>IFERROR(__xludf.DUMMYFUNCTION("""COMPUTED_VALUE"""),"tectopontine tract")</f>
        <v>tectopontine tract</v>
      </c>
      <c r="F2783" s="9" t="str">
        <f>IFERROR(__xludf.DUMMYFUNCTION("""COMPUTED_VALUE"""),"Br")</f>
        <v>Br</v>
      </c>
      <c r="G2783" s="9" t="str">
        <f>IFERROR(__xludf.DUMMYFUNCTION("""COMPUTED_VALUE"""),"M")</f>
        <v>M</v>
      </c>
      <c r="H2783" s="9" t="str">
        <f>IFERROR(__xludf.DUMMYFUNCTION("""COMPUTED_VALUE"""),"MWM")</f>
        <v>MWM</v>
      </c>
      <c r="I2783" s="9" t="str">
        <f>IFERROR(__xludf.DUMMYFUNCTION("""COMPUTED_VALUE"""),"tpn")</f>
        <v>tpn</v>
      </c>
      <c r="J2783" s="9"/>
      <c r="K2783" s="9"/>
      <c r="L2783" s="9"/>
      <c r="M2783" s="9"/>
      <c r="N2783" s="9"/>
      <c r="O2783" s="9"/>
      <c r="P2783" s="9"/>
      <c r="Q2783" s="9"/>
      <c r="R2783" s="9"/>
      <c r="S2783" s="42"/>
      <c r="T2783" s="42"/>
      <c r="U2783" s="42"/>
      <c r="V2783" s="42"/>
      <c r="W2783" s="42"/>
      <c r="X2783" s="42"/>
      <c r="Y2783" s="42"/>
      <c r="Z2783" s="42"/>
      <c r="AA2783" s="42"/>
      <c r="AB2783" s="42" t="str">
        <f>IFERROR(__xludf.DUMMYFUNCTION("""COMPUTED_VALUE"""),"allen institute")</f>
        <v>allen institute</v>
      </c>
      <c r="AC2783" s="42" t="str">
        <f>IFERROR(__xludf.DUMMYFUNCTION("""COMPUTED_VALUE"""),"DHBA")</f>
        <v>DHBA</v>
      </c>
      <c r="AD2783" s="42"/>
      <c r="AE2783" s="42"/>
      <c r="AF2783" s="9"/>
      <c r="AG2783" s="9"/>
      <c r="AH2783" s="42"/>
      <c r="AI2783" s="42"/>
      <c r="AJ2783" s="42"/>
      <c r="AK2783" s="42"/>
      <c r="AL2783" s="42"/>
      <c r="AM2783" s="42"/>
      <c r="AN2783" s="42"/>
      <c r="AO2783" s="63" t="str">
        <f>IFERROR(__xludf.DUMMYFUNCTION("IF(ISBLANK(A2783),,IF(ISBLANK(S2783), A2783&amp;"";"", TEXTJOIN(CHAR(10), TRUE, A2783&amp;"";"", ARRAYFORMULA(VLOOKUP(SPLIT(S2783, "";"" &amp; CHAR(10)), $A:$AO, 41, FALSE)))))"),"tpn;")</f>
        <v>tpn;</v>
      </c>
      <c r="AP2783" s="89"/>
    </row>
    <row r="2784">
      <c r="A2784" s="151" t="str">
        <f>IFERROR(__xludf.DUMMYFUNCTION("""COMPUTED_VALUE"""),"tsp-m")</f>
        <v>tsp-m</v>
      </c>
      <c r="B2784" s="42" t="str">
        <f>IFERROR(__xludf.DUMMYFUNCTION("""COMPUTED_VALUE"""),"DHBA")</f>
        <v>DHBA</v>
      </c>
      <c r="C2784" s="42" t="str">
        <f>IFERROR(__xludf.DUMMYFUNCTION("""COMPUTED_VALUE"""),"tectospinal tract, midbrain portion")</f>
        <v>tectospinal tract, midbrain portion</v>
      </c>
      <c r="D2784" s="42">
        <f>IFERROR(__xludf.DUMMYFUNCTION("""COMPUTED_VALUE"""),2655.0)</f>
        <v>2655</v>
      </c>
      <c r="E2784" s="39" t="str">
        <f>IFERROR(__xludf.DUMMYFUNCTION("""COMPUTED_VALUE"""),"tectospinal tract, midbrain portion")</f>
        <v>tectospinal tract, midbrain portion</v>
      </c>
      <c r="F2784" s="9" t="str">
        <f>IFERROR(__xludf.DUMMYFUNCTION("""COMPUTED_VALUE"""),"Br")</f>
        <v>Br</v>
      </c>
      <c r="G2784" s="9" t="str">
        <f>IFERROR(__xludf.DUMMYFUNCTION("""COMPUTED_VALUE"""),"M")</f>
        <v>M</v>
      </c>
      <c r="H2784" s="9" t="str">
        <f>IFERROR(__xludf.DUMMYFUNCTION("""COMPUTED_VALUE"""),"MWM")</f>
        <v>MWM</v>
      </c>
      <c r="I2784" s="9" t="str">
        <f>IFERROR(__xludf.DUMMYFUNCTION("""COMPUTED_VALUE"""),"tsp-m")</f>
        <v>tsp-m</v>
      </c>
      <c r="J2784" s="9"/>
      <c r="K2784" s="9"/>
      <c r="L2784" s="9"/>
      <c r="M2784" s="9"/>
      <c r="N2784" s="9"/>
      <c r="O2784" s="9"/>
      <c r="P2784" s="9"/>
      <c r="Q2784" s="9"/>
      <c r="R2784" s="9"/>
      <c r="S2784" s="42"/>
      <c r="T2784" s="42"/>
      <c r="U2784" s="42"/>
      <c r="V2784" s="42"/>
      <c r="W2784" s="42"/>
      <c r="X2784" s="42"/>
      <c r="Y2784" s="42"/>
      <c r="Z2784" s="42"/>
      <c r="AA2784" s="42"/>
      <c r="AB2784" s="42" t="str">
        <f>IFERROR(__xludf.DUMMYFUNCTION("""COMPUTED_VALUE"""),"allen institute")</f>
        <v>allen institute</v>
      </c>
      <c r="AC2784" s="42" t="str">
        <f>IFERROR(__xludf.DUMMYFUNCTION("""COMPUTED_VALUE"""),"DHBA")</f>
        <v>DHBA</v>
      </c>
      <c r="AD2784" s="42"/>
      <c r="AE2784" s="42"/>
      <c r="AF2784" s="9"/>
      <c r="AG2784" s="9"/>
      <c r="AH2784" s="42"/>
      <c r="AI2784" s="42"/>
      <c r="AJ2784" s="42"/>
      <c r="AK2784" s="42"/>
      <c r="AL2784" s="42"/>
      <c r="AM2784" s="42"/>
      <c r="AN2784" s="42"/>
      <c r="AO2784" s="63" t="str">
        <f>IFERROR(__xludf.DUMMYFUNCTION("IF(ISBLANK(A2784),,IF(ISBLANK(S2784), A2784&amp;"";"", TEXTJOIN(CHAR(10), TRUE, A2784&amp;"";"", ARRAYFORMULA(VLOOKUP(SPLIT(S2784, "";"" &amp; CHAR(10)), $A:$AO, 41, FALSE)))))"),"tsp-m;")</f>
        <v>tsp-m;</v>
      </c>
      <c r="AP2784" s="89"/>
    </row>
    <row r="2785">
      <c r="A2785" s="151" t="str">
        <f>IFERROR(__xludf.DUMMYFUNCTION("""COMPUTED_VALUE"""),"xvtg")</f>
        <v>xvtg</v>
      </c>
      <c r="B2785" s="42" t="str">
        <f>IFERROR(__xludf.DUMMYFUNCTION("""COMPUTED_VALUE"""),"DHBA")</f>
        <v>DHBA</v>
      </c>
      <c r="C2785" s="42" t="str">
        <f>IFERROR(__xludf.DUMMYFUNCTION("""COMPUTED_VALUE"""),"ventral tegmental decussation")</f>
        <v>ventral tegmental decussation</v>
      </c>
      <c r="D2785" s="42">
        <f>IFERROR(__xludf.DUMMYFUNCTION("""COMPUTED_VALUE"""),2656.0)</f>
        <v>2656</v>
      </c>
      <c r="E2785" s="39" t="str">
        <f>IFERROR(__xludf.DUMMYFUNCTION("""COMPUTED_VALUE"""),"ventral tegmental decussation")</f>
        <v>ventral tegmental decussation</v>
      </c>
      <c r="F2785" s="9" t="str">
        <f>IFERROR(__xludf.DUMMYFUNCTION("""COMPUTED_VALUE"""),"Br")</f>
        <v>Br</v>
      </c>
      <c r="G2785" s="9" t="str">
        <f>IFERROR(__xludf.DUMMYFUNCTION("""COMPUTED_VALUE"""),"M")</f>
        <v>M</v>
      </c>
      <c r="H2785" s="9" t="str">
        <f>IFERROR(__xludf.DUMMYFUNCTION("""COMPUTED_VALUE"""),"MWM")</f>
        <v>MWM</v>
      </c>
      <c r="I2785" s="9" t="str">
        <f>IFERROR(__xludf.DUMMYFUNCTION("""COMPUTED_VALUE"""),"xvtg")</f>
        <v>xvtg</v>
      </c>
      <c r="J2785" s="9"/>
      <c r="K2785" s="9"/>
      <c r="L2785" s="9"/>
      <c r="M2785" s="9"/>
      <c r="N2785" s="9"/>
      <c r="O2785" s="9"/>
      <c r="P2785" s="9"/>
      <c r="Q2785" s="9"/>
      <c r="R2785" s="9"/>
      <c r="S2785" s="42"/>
      <c r="T2785" s="42"/>
      <c r="U2785" s="42"/>
      <c r="V2785" s="42"/>
      <c r="W2785" s="42"/>
      <c r="X2785" s="42"/>
      <c r="Y2785" s="42"/>
      <c r="Z2785" s="42"/>
      <c r="AA2785" s="42"/>
      <c r="AB2785" s="42" t="str">
        <f>IFERROR(__xludf.DUMMYFUNCTION("""COMPUTED_VALUE"""),"allen institute")</f>
        <v>allen institute</v>
      </c>
      <c r="AC2785" s="42" t="str">
        <f>IFERROR(__xludf.DUMMYFUNCTION("""COMPUTED_VALUE"""),"DHBA")</f>
        <v>DHBA</v>
      </c>
      <c r="AD2785" s="42"/>
      <c r="AE2785" s="42"/>
      <c r="AF2785" s="9"/>
      <c r="AG2785" s="9"/>
      <c r="AH2785" s="42"/>
      <c r="AI2785" s="42"/>
      <c r="AJ2785" s="42"/>
      <c r="AK2785" s="42"/>
      <c r="AL2785" s="42"/>
      <c r="AM2785" s="42"/>
      <c r="AN2785" s="42"/>
      <c r="AO2785" s="63" t="str">
        <f>IFERROR(__xludf.DUMMYFUNCTION("IF(ISBLANK(A2785),,IF(ISBLANK(S2785), A2785&amp;"";"", TEXTJOIN(CHAR(10), TRUE, A2785&amp;"";"", ARRAYFORMULA(VLOOKUP(SPLIT(S2785, "";"" &amp; CHAR(10)), $A:$AO, 41, FALSE)))))"),"xvtg;")</f>
        <v>xvtg;</v>
      </c>
      <c r="AP2785" s="89"/>
    </row>
    <row r="2786">
      <c r="A2786" s="151" t="str">
        <f>IFERROR(__xludf.DUMMYFUNCTION("""COMPUTED_VALUE"""),"vtth-m")</f>
        <v>vtth-m</v>
      </c>
      <c r="B2786" s="42" t="str">
        <f>IFERROR(__xludf.DUMMYFUNCTION("""COMPUTED_VALUE"""),"DHBA")</f>
        <v>DHBA</v>
      </c>
      <c r="C2786" s="42" t="str">
        <f>IFERROR(__xludf.DUMMYFUNCTION("""COMPUTED_VALUE"""),"ventral trigeminothalamic tract, midbrain portion")</f>
        <v>ventral trigeminothalamic tract, midbrain portion</v>
      </c>
      <c r="D2786" s="42">
        <f>IFERROR(__xludf.DUMMYFUNCTION("""COMPUTED_VALUE"""),2657.0)</f>
        <v>2657</v>
      </c>
      <c r="E2786" s="39" t="str">
        <f>IFERROR(__xludf.DUMMYFUNCTION("""COMPUTED_VALUE"""),"ventral trigeminothalamic tract, midbrain portion")</f>
        <v>ventral trigeminothalamic tract, midbrain portion</v>
      </c>
      <c r="F2786" s="9" t="str">
        <f>IFERROR(__xludf.DUMMYFUNCTION("""COMPUTED_VALUE"""),"Br")</f>
        <v>Br</v>
      </c>
      <c r="G2786" s="9" t="str">
        <f>IFERROR(__xludf.DUMMYFUNCTION("""COMPUTED_VALUE"""),"M")</f>
        <v>M</v>
      </c>
      <c r="H2786" s="9" t="str">
        <f>IFERROR(__xludf.DUMMYFUNCTION("""COMPUTED_VALUE"""),"MWM")</f>
        <v>MWM</v>
      </c>
      <c r="I2786" s="9" t="str">
        <f>IFERROR(__xludf.DUMMYFUNCTION("""COMPUTED_VALUE"""),"vtth-m")</f>
        <v>vtth-m</v>
      </c>
      <c r="J2786" s="9"/>
      <c r="K2786" s="9"/>
      <c r="L2786" s="9"/>
      <c r="M2786" s="9"/>
      <c r="N2786" s="9"/>
      <c r="O2786" s="9"/>
      <c r="P2786" s="9"/>
      <c r="Q2786" s="9"/>
      <c r="R2786" s="9"/>
      <c r="S2786" s="42"/>
      <c r="T2786" s="42"/>
      <c r="U2786" s="42"/>
      <c r="V2786" s="42"/>
      <c r="W2786" s="42"/>
      <c r="X2786" s="42"/>
      <c r="Y2786" s="42"/>
      <c r="Z2786" s="42"/>
      <c r="AA2786" s="42"/>
      <c r="AB2786" s="42" t="str">
        <f>IFERROR(__xludf.DUMMYFUNCTION("""COMPUTED_VALUE"""),"allen institute")</f>
        <v>allen institute</v>
      </c>
      <c r="AC2786" s="42" t="str">
        <f>IFERROR(__xludf.DUMMYFUNCTION("""COMPUTED_VALUE"""),"DHBA")</f>
        <v>DHBA</v>
      </c>
      <c r="AD2786" s="42"/>
      <c r="AE2786" s="42"/>
      <c r="AF2786" s="9"/>
      <c r="AG2786" s="9"/>
      <c r="AH2786" s="42"/>
      <c r="AI2786" s="42"/>
      <c r="AJ2786" s="42"/>
      <c r="AK2786" s="42"/>
      <c r="AL2786" s="42"/>
      <c r="AM2786" s="42"/>
      <c r="AN2786" s="42"/>
      <c r="AO2786" s="63" t="str">
        <f>IFERROR(__xludf.DUMMYFUNCTION("IF(ISBLANK(A2786),,IF(ISBLANK(S2786), A2786&amp;"";"", TEXTJOIN(CHAR(10), TRUE, A2786&amp;"";"", ARRAYFORMULA(VLOOKUP(SPLIT(S2786, "";"" &amp; CHAR(10)), $A:$AO, 41, FALSE)))))"),"vtth-m;")</f>
        <v>vtth-m;</v>
      </c>
      <c r="AP2786" s="89"/>
    </row>
    <row r="2787">
      <c r="A2787" s="151" t="str">
        <f>IFERROR(__xludf.DUMMYFUNCTION("""COMPUTED_VALUE"""),"wmtg")</f>
        <v>wmtg</v>
      </c>
      <c r="B2787" s="42" t="str">
        <f>IFERROR(__xludf.DUMMYFUNCTION("""COMPUTED_VALUE"""),"DHBA")</f>
        <v>DHBA</v>
      </c>
      <c r="C2787" s="42" t="str">
        <f>IFERROR(__xludf.DUMMYFUNCTION("""COMPUTED_VALUE"""),"white matter of tegmentum")</f>
        <v>white matter of tegmentum</v>
      </c>
      <c r="D2787" s="42">
        <f>IFERROR(__xludf.DUMMYFUNCTION("""COMPUTED_VALUE"""),2658.0)</f>
        <v>2658</v>
      </c>
      <c r="E2787" s="39" t="str">
        <f>IFERROR(__xludf.DUMMYFUNCTION("""COMPUTED_VALUE"""),"white matter of tegmentum")</f>
        <v>white matter of tegmentum</v>
      </c>
      <c r="F2787" s="9" t="str">
        <f>IFERROR(__xludf.DUMMYFUNCTION("""COMPUTED_VALUE"""),"Br")</f>
        <v>Br</v>
      </c>
      <c r="G2787" s="9" t="str">
        <f>IFERROR(__xludf.DUMMYFUNCTION("""COMPUTED_VALUE"""),"M")</f>
        <v>M</v>
      </c>
      <c r="H2787" s="9" t="str">
        <f>IFERROR(__xludf.DUMMYFUNCTION("""COMPUTED_VALUE"""),"MWM")</f>
        <v>MWM</v>
      </c>
      <c r="I2787" s="9" t="str">
        <f>IFERROR(__xludf.DUMMYFUNCTION("""COMPUTED_VALUE"""),"wmtg")</f>
        <v>wmtg</v>
      </c>
      <c r="J2787" s="9"/>
      <c r="K2787" s="9"/>
      <c r="L2787" s="9"/>
      <c r="M2787" s="9"/>
      <c r="N2787" s="9"/>
      <c r="O2787" s="9"/>
      <c r="P2787" s="9"/>
      <c r="Q2787" s="9"/>
      <c r="R2787" s="9"/>
      <c r="S2787" s="42"/>
      <c r="T2787" s="42"/>
      <c r="U2787" s="42"/>
      <c r="V2787" s="42"/>
      <c r="W2787" s="42"/>
      <c r="X2787" s="42"/>
      <c r="Y2787" s="42"/>
      <c r="Z2787" s="42"/>
      <c r="AA2787" s="42"/>
      <c r="AB2787" s="42" t="str">
        <f>IFERROR(__xludf.DUMMYFUNCTION("""COMPUTED_VALUE"""),"allen institute")</f>
        <v>allen institute</v>
      </c>
      <c r="AC2787" s="42" t="str">
        <f>IFERROR(__xludf.DUMMYFUNCTION("""COMPUTED_VALUE"""),"DHBA")</f>
        <v>DHBA</v>
      </c>
      <c r="AD2787" s="42"/>
      <c r="AE2787" s="42"/>
      <c r="AF2787" s="9"/>
      <c r="AG2787" s="9"/>
      <c r="AH2787" s="42"/>
      <c r="AI2787" s="42"/>
      <c r="AJ2787" s="42"/>
      <c r="AK2787" s="42"/>
      <c r="AL2787" s="42"/>
      <c r="AM2787" s="42"/>
      <c r="AN2787" s="42"/>
      <c r="AO2787" s="63" t="str">
        <f>IFERROR(__xludf.DUMMYFUNCTION("IF(ISBLANK(A2787),,IF(ISBLANK(S2787), A2787&amp;"";"", TEXTJOIN(CHAR(10), TRUE, A2787&amp;"";"", ARRAYFORMULA(VLOOKUP(SPLIT(S2787, "";"" &amp; CHAR(10)), $A:$AO, 41, FALSE)))))"),"wmtg;")</f>
        <v>wmtg;</v>
      </c>
      <c r="AP2787" s="89"/>
    </row>
    <row r="2788">
      <c r="A2788" s="151" t="str">
        <f>IFERROR(__xludf.DUMMYFUNCTION("""COMPUTED_VALUE"""),"MV")</f>
        <v>MV</v>
      </c>
      <c r="B2788" s="42" t="str">
        <f>IFERROR(__xludf.DUMMYFUNCTION("""COMPUTED_VALUE"""),"DHBA")</f>
        <v>DHBA</v>
      </c>
      <c r="C2788" s="42" t="str">
        <f>IFERROR(__xludf.DUMMYFUNCTION("""COMPUTED_VALUE"""),"ventricle of midbrain")</f>
        <v>ventricle of midbrain</v>
      </c>
      <c r="D2788" s="42">
        <f>IFERROR(__xludf.DUMMYFUNCTION("""COMPUTED_VALUE"""),2659.0)</f>
        <v>2659</v>
      </c>
      <c r="E2788" s="39" t="str">
        <f>IFERROR(__xludf.DUMMYFUNCTION("""COMPUTED_VALUE"""),"ventricle of midbrain")</f>
        <v>ventricle of midbrain</v>
      </c>
      <c r="F2788" s="9" t="str">
        <f>IFERROR(__xludf.DUMMYFUNCTION("""COMPUTED_VALUE"""),"Br")</f>
        <v>Br</v>
      </c>
      <c r="G2788" s="9" t="str">
        <f>IFERROR(__xludf.DUMMYFUNCTION("""COMPUTED_VALUE"""),"M")</f>
        <v>M</v>
      </c>
      <c r="H2788" s="9" t="str">
        <f>IFERROR(__xludf.DUMMYFUNCTION("""COMPUTED_VALUE"""),"MV")</f>
        <v>MV</v>
      </c>
      <c r="I2788" s="9"/>
      <c r="J2788" s="9"/>
      <c r="K2788" s="9"/>
      <c r="L2788" s="9"/>
      <c r="M2788" s="9"/>
      <c r="N2788" s="9"/>
      <c r="O2788" s="9"/>
      <c r="P2788" s="9"/>
      <c r="Q2788" s="9"/>
      <c r="R2788" s="9"/>
      <c r="S2788" s="42" t="str">
        <f>IFERROR(__xludf.DUMMYFUNCTION("""COMPUTED_VALUE"""),"Aq")</f>
        <v>Aq</v>
      </c>
      <c r="T2788" s="42"/>
      <c r="U2788" s="42" t="b">
        <f>IFERROR(__xludf.DUMMYFUNCTION("""COMPUTED_VALUE"""),FALSE)</f>
        <v>0</v>
      </c>
      <c r="V2788" s="42"/>
      <c r="W2788" s="42"/>
      <c r="X2788" s="42"/>
      <c r="Y2788" s="42"/>
      <c r="Z2788" s="42"/>
      <c r="AA2788" s="42"/>
      <c r="AB2788" s="42" t="str">
        <f>IFERROR(__xludf.DUMMYFUNCTION("""COMPUTED_VALUE"""),"allen institute")</f>
        <v>allen institute</v>
      </c>
      <c r="AC2788" s="42" t="str">
        <f>IFERROR(__xludf.DUMMYFUNCTION("""COMPUTED_VALUE"""),"DHBA")</f>
        <v>DHBA</v>
      </c>
      <c r="AD2788" s="42"/>
      <c r="AE2788" s="42"/>
      <c r="AF2788" s="9"/>
      <c r="AG2788" s="9"/>
      <c r="AH2788" s="42"/>
      <c r="AI2788" s="42"/>
      <c r="AJ2788" s="42"/>
      <c r="AK2788" s="42"/>
      <c r="AL2788" s="42"/>
      <c r="AM2788" s="42"/>
      <c r="AN2788" s="42"/>
      <c r="AO2788" s="63" t="str">
        <f>IFERROR(__xludf.DUMMYFUNCTION("IF(ISBLANK(A2788),,IF(ISBLANK(S2788), A2788&amp;"";"", TEXTJOIN(CHAR(10), TRUE, A2788&amp;"";"", ARRAYFORMULA(VLOOKUP(SPLIT(S2788, "";"" &amp; CHAR(10)), $A:$AO, 41, FALSE)))))"),"MV;
Aq;")</f>
        <v>MV;
Aq;</v>
      </c>
      <c r="AP2788" s="89"/>
    </row>
    <row r="2789">
      <c r="A2789" s="151" t="str">
        <f>IFERROR(__xludf.DUMMYFUNCTION("""COMPUTED_VALUE"""),"Aq")</f>
        <v>Aq</v>
      </c>
      <c r="B2789" s="42" t="str">
        <f>IFERROR(__xludf.DUMMYFUNCTION("""COMPUTED_VALUE"""),"DHBA")</f>
        <v>DHBA</v>
      </c>
      <c r="C2789" s="42" t="str">
        <f>IFERROR(__xludf.DUMMYFUNCTION("""COMPUTED_VALUE"""),"cerebral aqueduct")</f>
        <v>cerebral aqueduct</v>
      </c>
      <c r="D2789" s="42">
        <f>IFERROR(__xludf.DUMMYFUNCTION("""COMPUTED_VALUE"""),2660.0)</f>
        <v>2660</v>
      </c>
      <c r="E2789" s="39" t="str">
        <f>IFERROR(__xludf.DUMMYFUNCTION("""COMPUTED_VALUE"""),"cerebral aqueduct")</f>
        <v>cerebral aqueduct</v>
      </c>
      <c r="F2789" s="9" t="str">
        <f>IFERROR(__xludf.DUMMYFUNCTION("""COMPUTED_VALUE"""),"Br")</f>
        <v>Br</v>
      </c>
      <c r="G2789" s="9" t="str">
        <f>IFERROR(__xludf.DUMMYFUNCTION("""COMPUTED_VALUE"""),"M")</f>
        <v>M</v>
      </c>
      <c r="H2789" s="9" t="str">
        <f>IFERROR(__xludf.DUMMYFUNCTION("""COMPUTED_VALUE"""),"MV")</f>
        <v>MV</v>
      </c>
      <c r="I2789" s="9" t="str">
        <f>IFERROR(__xludf.DUMMYFUNCTION("""COMPUTED_VALUE"""),"Aq")</f>
        <v>Aq</v>
      </c>
      <c r="J2789" s="9"/>
      <c r="K2789" s="9"/>
      <c r="L2789" s="9"/>
      <c r="M2789" s="9"/>
      <c r="N2789" s="9"/>
      <c r="O2789" s="9"/>
      <c r="P2789" s="9"/>
      <c r="Q2789" s="9"/>
      <c r="R2789" s="9"/>
      <c r="S2789" s="42"/>
      <c r="T2789" s="42"/>
      <c r="U2789" s="42"/>
      <c r="V2789" s="42"/>
      <c r="W2789" s="42"/>
      <c r="X2789" s="42"/>
      <c r="Y2789" s="42"/>
      <c r="Z2789" s="42"/>
      <c r="AA2789" s="42"/>
      <c r="AB2789" s="42" t="str">
        <f>IFERROR(__xludf.DUMMYFUNCTION("""COMPUTED_VALUE"""),"allen institute")</f>
        <v>allen institute</v>
      </c>
      <c r="AC2789" s="42" t="str">
        <f>IFERROR(__xludf.DUMMYFUNCTION("""COMPUTED_VALUE"""),"DHBA")</f>
        <v>DHBA</v>
      </c>
      <c r="AD2789" s="42"/>
      <c r="AE2789" s="42"/>
      <c r="AF2789" s="9"/>
      <c r="AG2789" s="9"/>
      <c r="AH2789" s="42"/>
      <c r="AI2789" s="42"/>
      <c r="AJ2789" s="42"/>
      <c r="AK2789" s="42"/>
      <c r="AL2789" s="42"/>
      <c r="AM2789" s="42"/>
      <c r="AN2789" s="42"/>
      <c r="AO2789" s="63" t="str">
        <f>IFERROR(__xludf.DUMMYFUNCTION("IF(ISBLANK(A2789),,IF(ISBLANK(S2789), A2789&amp;"";"", TEXTJOIN(CHAR(10), TRUE, A2789&amp;"";"", ARRAYFORMULA(VLOOKUP(SPLIT(S2789, "";"" &amp; CHAR(10)), $A:$AO, 41, FALSE)))))"),"Aq;")</f>
        <v>Aq;</v>
      </c>
      <c r="AP2789" s="89"/>
    </row>
    <row r="2790">
      <c r="A2790" s="151" t="str">
        <f>IFERROR(__xludf.DUMMYFUNCTION("""COMPUTED_VALUE"""),"MSS")</f>
        <v>MSS</v>
      </c>
      <c r="B2790" s="42" t="str">
        <f>IFERROR(__xludf.DUMMYFUNCTION("""COMPUTED_VALUE"""),"DHBA")</f>
        <v>DHBA</v>
      </c>
      <c r="C2790" s="42" t="str">
        <f>IFERROR(__xludf.DUMMYFUNCTION("""COMPUTED_VALUE"""),"surface structures of midbrain")</f>
        <v>surface structures of midbrain</v>
      </c>
      <c r="D2790" s="42">
        <f>IFERROR(__xludf.DUMMYFUNCTION("""COMPUTED_VALUE"""),2661.0)</f>
        <v>2661</v>
      </c>
      <c r="E2790" s="39" t="str">
        <f>IFERROR(__xludf.DUMMYFUNCTION("""COMPUTED_VALUE"""),"surface structures of midbrain")</f>
        <v>surface structures of midbrain</v>
      </c>
      <c r="F2790" s="9" t="str">
        <f>IFERROR(__xludf.DUMMYFUNCTION("""COMPUTED_VALUE"""),"Br")</f>
        <v>Br</v>
      </c>
      <c r="G2790" s="9" t="str">
        <f>IFERROR(__xludf.DUMMYFUNCTION("""COMPUTED_VALUE"""),"M")</f>
        <v>M</v>
      </c>
      <c r="H2790" s="9" t="str">
        <f>IFERROR(__xludf.DUMMYFUNCTION("""COMPUTED_VALUE"""),"MSS")</f>
        <v>MSS</v>
      </c>
      <c r="I2790" s="9"/>
      <c r="J2790" s="9"/>
      <c r="K2790" s="9"/>
      <c r="L2790" s="9"/>
      <c r="M2790" s="9"/>
      <c r="N2790" s="9"/>
      <c r="O2790" s="9"/>
      <c r="P2790" s="9"/>
      <c r="Q2790" s="9"/>
      <c r="R2790" s="9"/>
      <c r="S2790" s="42" t="str">
        <f>IFERROR(__xludf.DUMMYFUNCTION("""COMPUTED_VALUE"""),"fsmv;
ipf;
icr;
ocs;
qgb;
r3;
r4;
trill")</f>
        <v>fsmv;
ipf;
icr;
ocs;
qgb;
r3;
r4;
trill</v>
      </c>
      <c r="T2790" s="42"/>
      <c r="U2790" s="159" t="b">
        <f>IFERROR(__xludf.DUMMYFUNCTION("""COMPUTED_VALUE"""),FALSE)</f>
        <v>0</v>
      </c>
      <c r="V2790" s="42"/>
      <c r="W2790" s="42"/>
      <c r="X2790" s="42"/>
      <c r="Y2790" s="42"/>
      <c r="Z2790" s="42"/>
      <c r="AA2790" s="42"/>
      <c r="AB2790" s="42" t="str">
        <f>IFERROR(__xludf.DUMMYFUNCTION("""COMPUTED_VALUE"""),"allen institute")</f>
        <v>allen institute</v>
      </c>
      <c r="AC2790" s="42" t="str">
        <f>IFERROR(__xludf.DUMMYFUNCTION("""COMPUTED_VALUE"""),"DHBA")</f>
        <v>DHBA</v>
      </c>
      <c r="AD2790" s="42"/>
      <c r="AE2790" s="42"/>
      <c r="AF2790" s="9"/>
      <c r="AG2790" s="9"/>
      <c r="AH2790" s="42"/>
      <c r="AI2790" s="42"/>
      <c r="AJ2790" s="42"/>
      <c r="AK2790" s="42"/>
      <c r="AL2790" s="42"/>
      <c r="AM2790" s="42"/>
      <c r="AN2790" s="42"/>
      <c r="AO2790" s="63" t="str">
        <f>IFERROR(__xludf.DUMMYFUNCTION("IF(ISBLANK(A2790),,IF(ISBLANK(S2790), A2790&amp;"";"", TEXTJOIN(CHAR(10), TRUE, A2790&amp;"";"", ARRAYFORMULA(VLOOKUP(SPLIT(S2790, "";"" &amp; CHAR(10)), $A:$AO, 41, FALSE)))))"),"MSS;
fsmv;
ipf;
pops;
icr;
ocs;
qgb;
r3;
r4;
trill;")</f>
        <v>MSS;
fsmv;
ipf;
pops;
icr;
ocs;
qgb;
r3;
r4;
trill;</v>
      </c>
      <c r="AP2790" s="89"/>
    </row>
    <row r="2791">
      <c r="A2791" s="151" t="str">
        <f>IFERROR(__xludf.DUMMYFUNCTION("""COMPUTED_VALUE"""),"fsmv")</f>
        <v>fsmv</v>
      </c>
      <c r="B2791" s="42" t="str">
        <f>IFERROR(__xludf.DUMMYFUNCTION("""COMPUTED_VALUE"""),"DHBA")</f>
        <v>DHBA</v>
      </c>
      <c r="C2791" s="42" t="str">
        <f>IFERROR(__xludf.DUMMYFUNCTION("""COMPUTED_VALUE"""),"frenulum of the superior medullary velum")</f>
        <v>frenulum of the superior medullary velum</v>
      </c>
      <c r="D2791" s="42">
        <f>IFERROR(__xludf.DUMMYFUNCTION("""COMPUTED_VALUE"""),2662.0)</f>
        <v>2662</v>
      </c>
      <c r="E2791" s="39" t="str">
        <f>IFERROR(__xludf.DUMMYFUNCTION("""COMPUTED_VALUE"""),"frenulum of the superior medullary velum")</f>
        <v>frenulum of the superior medullary velum</v>
      </c>
      <c r="F2791" s="9" t="str">
        <f>IFERROR(__xludf.DUMMYFUNCTION("""COMPUTED_VALUE"""),"Br")</f>
        <v>Br</v>
      </c>
      <c r="G2791" s="9" t="str">
        <f>IFERROR(__xludf.DUMMYFUNCTION("""COMPUTED_VALUE"""),"M")</f>
        <v>M</v>
      </c>
      <c r="H2791" s="9" t="str">
        <f>IFERROR(__xludf.DUMMYFUNCTION("""COMPUTED_VALUE"""),"MSS")</f>
        <v>MSS</v>
      </c>
      <c r="I2791" s="9" t="str">
        <f>IFERROR(__xludf.DUMMYFUNCTION("""COMPUTED_VALUE"""),"fsmv")</f>
        <v>fsmv</v>
      </c>
      <c r="J2791" s="9"/>
      <c r="K2791" s="9"/>
      <c r="L2791" s="9"/>
      <c r="M2791" s="9"/>
      <c r="N2791" s="9"/>
      <c r="O2791" s="9"/>
      <c r="P2791" s="9"/>
      <c r="Q2791" s="9"/>
      <c r="R2791" s="9"/>
      <c r="S2791" s="42"/>
      <c r="T2791" s="42"/>
      <c r="U2791" s="42"/>
      <c r="V2791" s="42"/>
      <c r="W2791" s="42"/>
      <c r="X2791" s="42"/>
      <c r="Y2791" s="42"/>
      <c r="Z2791" s="42"/>
      <c r="AA2791" s="42"/>
      <c r="AB2791" s="42" t="str">
        <f>IFERROR(__xludf.DUMMYFUNCTION("""COMPUTED_VALUE"""),"allen institute")</f>
        <v>allen institute</v>
      </c>
      <c r="AC2791" s="42" t="str">
        <f>IFERROR(__xludf.DUMMYFUNCTION("""COMPUTED_VALUE"""),"DHBA")</f>
        <v>DHBA</v>
      </c>
      <c r="AD2791" s="42"/>
      <c r="AE2791" s="42"/>
      <c r="AF2791" s="9"/>
      <c r="AG2791" s="9"/>
      <c r="AH2791" s="42"/>
      <c r="AI2791" s="42"/>
      <c r="AJ2791" s="42"/>
      <c r="AK2791" s="42"/>
      <c r="AL2791" s="42"/>
      <c r="AM2791" s="42"/>
      <c r="AN2791" s="42"/>
      <c r="AO2791" s="63" t="str">
        <f>IFERROR(__xludf.DUMMYFUNCTION("IF(ISBLANK(A2791),,IF(ISBLANK(S2791), A2791&amp;"";"", TEXTJOIN(CHAR(10), TRUE, A2791&amp;"";"", ARRAYFORMULA(VLOOKUP(SPLIT(S2791, "";"" &amp; CHAR(10)), $A:$AO, 41, FALSE)))))"),"fsmv;")</f>
        <v>fsmv;</v>
      </c>
      <c r="AP2791" s="89"/>
    </row>
    <row r="2792">
      <c r="A2792" s="151" t="str">
        <f>IFERROR(__xludf.DUMMYFUNCTION("""COMPUTED_VALUE"""),"ipf")</f>
        <v>ipf</v>
      </c>
      <c r="B2792" s="42" t="str">
        <f>IFERROR(__xludf.DUMMYFUNCTION("""COMPUTED_VALUE"""),"DHBA")</f>
        <v>DHBA</v>
      </c>
      <c r="C2792" s="42" t="str">
        <f>IFERROR(__xludf.DUMMYFUNCTION("""COMPUTED_VALUE"""),"interpeduncular fossa")</f>
        <v>interpeduncular fossa</v>
      </c>
      <c r="D2792" s="42">
        <f>IFERROR(__xludf.DUMMYFUNCTION("""COMPUTED_VALUE"""),2663.0)</f>
        <v>2663</v>
      </c>
      <c r="E2792" s="39" t="str">
        <f>IFERROR(__xludf.DUMMYFUNCTION("""COMPUTED_VALUE"""),"interpeduncular fossa")</f>
        <v>interpeduncular fossa</v>
      </c>
      <c r="F2792" s="9" t="str">
        <f>IFERROR(__xludf.DUMMYFUNCTION("""COMPUTED_VALUE"""),"Br")</f>
        <v>Br</v>
      </c>
      <c r="G2792" s="9" t="str">
        <f>IFERROR(__xludf.DUMMYFUNCTION("""COMPUTED_VALUE"""),"M")</f>
        <v>M</v>
      </c>
      <c r="H2792" s="9" t="str">
        <f>IFERROR(__xludf.DUMMYFUNCTION("""COMPUTED_VALUE"""),"MSS")</f>
        <v>MSS</v>
      </c>
      <c r="I2792" s="9" t="str">
        <f>IFERROR(__xludf.DUMMYFUNCTION("""COMPUTED_VALUE"""),"ipf")</f>
        <v>ipf</v>
      </c>
      <c r="J2792" s="9"/>
      <c r="K2792" s="9"/>
      <c r="L2792" s="9"/>
      <c r="M2792" s="9"/>
      <c r="N2792" s="9"/>
      <c r="O2792" s="9"/>
      <c r="P2792" s="9"/>
      <c r="Q2792" s="9"/>
      <c r="R2792" s="9"/>
      <c r="S2792" s="42" t="str">
        <f>IFERROR(__xludf.DUMMYFUNCTION("""COMPUTED_VALUE"""),"pops")</f>
        <v>pops</v>
      </c>
      <c r="T2792" s="42"/>
      <c r="U2792" s="159" t="b">
        <f>IFERROR(__xludf.DUMMYFUNCTION("""COMPUTED_VALUE"""),FALSE)</f>
        <v>0</v>
      </c>
      <c r="V2792" s="42"/>
      <c r="W2792" s="42"/>
      <c r="X2792" s="42"/>
      <c r="Y2792" s="42"/>
      <c r="Z2792" s="42"/>
      <c r="AA2792" s="42"/>
      <c r="AB2792" s="42" t="str">
        <f>IFERROR(__xludf.DUMMYFUNCTION("""COMPUTED_VALUE"""),"allen institute")</f>
        <v>allen institute</v>
      </c>
      <c r="AC2792" s="42" t="str">
        <f>IFERROR(__xludf.DUMMYFUNCTION("""COMPUTED_VALUE"""),"DHBA")</f>
        <v>DHBA</v>
      </c>
      <c r="AD2792" s="42"/>
      <c r="AE2792" s="42"/>
      <c r="AF2792" s="9"/>
      <c r="AG2792" s="9"/>
      <c r="AH2792" s="42"/>
      <c r="AI2792" s="42"/>
      <c r="AJ2792" s="42"/>
      <c r="AK2792" s="42"/>
      <c r="AL2792" s="42"/>
      <c r="AM2792" s="42"/>
      <c r="AN2792" s="42"/>
      <c r="AO2792" s="63" t="str">
        <f>IFERROR(__xludf.DUMMYFUNCTION("IF(ISBLANK(A2792),,IF(ISBLANK(S2792), A2792&amp;"";"", TEXTJOIN(CHAR(10), TRUE, A2792&amp;"";"", ARRAYFORMULA(VLOOKUP(SPLIT(S2792, "";"" &amp; CHAR(10)), $A:$AO, 41, FALSE)))))"),"ipf;
pops;")</f>
        <v>ipf;
pops;</v>
      </c>
      <c r="AP2792" s="89"/>
    </row>
    <row r="2793">
      <c r="A2793" s="151" t="str">
        <f>IFERROR(__xludf.DUMMYFUNCTION("""COMPUTED_VALUE"""),"pops")</f>
        <v>pops</v>
      </c>
      <c r="B2793" s="42" t="str">
        <f>IFERROR(__xludf.DUMMYFUNCTION("""COMPUTED_VALUE"""),"DHBA")</f>
        <v>DHBA</v>
      </c>
      <c r="C2793" s="42" t="str">
        <f>IFERROR(__xludf.DUMMYFUNCTION("""COMPUTED_VALUE"""),"posterior perforated substance")</f>
        <v>posterior perforated substance</v>
      </c>
      <c r="D2793" s="42">
        <f>IFERROR(__xludf.DUMMYFUNCTION("""COMPUTED_VALUE"""),2664.0)</f>
        <v>2664</v>
      </c>
      <c r="E2793" s="39" t="str">
        <f>IFERROR(__xludf.DUMMYFUNCTION("""COMPUTED_VALUE"""),"posterior perforated substance")</f>
        <v>posterior perforated substance</v>
      </c>
      <c r="F2793" s="9" t="str">
        <f>IFERROR(__xludf.DUMMYFUNCTION("""COMPUTED_VALUE"""),"Br")</f>
        <v>Br</v>
      </c>
      <c r="G2793" s="9" t="str">
        <f>IFERROR(__xludf.DUMMYFUNCTION("""COMPUTED_VALUE"""),"M")</f>
        <v>M</v>
      </c>
      <c r="H2793" s="9" t="str">
        <f>IFERROR(__xludf.DUMMYFUNCTION("""COMPUTED_VALUE"""),"MSS")</f>
        <v>MSS</v>
      </c>
      <c r="I2793" s="9" t="str">
        <f>IFERROR(__xludf.DUMMYFUNCTION("""COMPUTED_VALUE"""),"ipf")</f>
        <v>ipf</v>
      </c>
      <c r="J2793" s="9" t="str">
        <f>IFERROR(__xludf.DUMMYFUNCTION("""COMPUTED_VALUE"""),"pops")</f>
        <v>pops</v>
      </c>
      <c r="K2793" s="9"/>
      <c r="L2793" s="9"/>
      <c r="M2793" s="9"/>
      <c r="N2793" s="9"/>
      <c r="O2793" s="9"/>
      <c r="P2793" s="9"/>
      <c r="Q2793" s="9"/>
      <c r="R2793" s="9"/>
      <c r="S2793" s="42"/>
      <c r="T2793" s="42"/>
      <c r="U2793" s="159"/>
      <c r="V2793" s="42"/>
      <c r="W2793" s="42"/>
      <c r="X2793" s="42"/>
      <c r="Y2793" s="42"/>
      <c r="Z2793" s="42"/>
      <c r="AA2793" s="42"/>
      <c r="AB2793" s="42" t="str">
        <f>IFERROR(__xludf.DUMMYFUNCTION("""COMPUTED_VALUE"""),"allen institute")</f>
        <v>allen institute</v>
      </c>
      <c r="AC2793" s="42" t="str">
        <f>IFERROR(__xludf.DUMMYFUNCTION("""COMPUTED_VALUE"""),"DHBA")</f>
        <v>DHBA</v>
      </c>
      <c r="AD2793" s="42"/>
      <c r="AE2793" s="42"/>
      <c r="AF2793" s="9"/>
      <c r="AG2793" s="9"/>
      <c r="AH2793" s="42"/>
      <c r="AI2793" s="42"/>
      <c r="AJ2793" s="42"/>
      <c r="AK2793" s="42"/>
      <c r="AL2793" s="42"/>
      <c r="AM2793" s="42"/>
      <c r="AN2793" s="42"/>
      <c r="AO2793" s="63" t="str">
        <f>IFERROR(__xludf.DUMMYFUNCTION("IF(ISBLANK(A2793),,IF(ISBLANK(S2793), A2793&amp;"";"", TEXTJOIN(CHAR(10), TRUE, A2793&amp;"";"", ARRAYFORMULA(VLOOKUP(SPLIT(S2793, "";"" &amp; CHAR(10)), $A:$AO, 41, FALSE)))))"),"pops;")</f>
        <v>pops;</v>
      </c>
      <c r="AP2793" s="89"/>
    </row>
    <row r="2794">
      <c r="A2794" s="151" t="str">
        <f>IFERROR(__xludf.DUMMYFUNCTION("""COMPUTED_VALUE"""),"icr")</f>
        <v>icr</v>
      </c>
      <c r="B2794" s="42" t="str">
        <f>IFERROR(__xludf.DUMMYFUNCTION("""COMPUTED_VALUE"""),"DHBA")</f>
        <v>DHBA</v>
      </c>
      <c r="C2794" s="42" t="str">
        <f>IFERROR(__xludf.DUMMYFUNCTION("""COMPUTED_VALUE"""),"infracollicular recess")</f>
        <v>infracollicular recess</v>
      </c>
      <c r="D2794" s="42">
        <f>IFERROR(__xludf.DUMMYFUNCTION("""COMPUTED_VALUE"""),2665.0)</f>
        <v>2665</v>
      </c>
      <c r="E2794" s="39" t="str">
        <f>IFERROR(__xludf.DUMMYFUNCTION("""COMPUTED_VALUE"""),"infracollicular recess")</f>
        <v>infracollicular recess</v>
      </c>
      <c r="F2794" s="9" t="str">
        <f>IFERROR(__xludf.DUMMYFUNCTION("""COMPUTED_VALUE"""),"Br")</f>
        <v>Br</v>
      </c>
      <c r="G2794" s="9" t="str">
        <f>IFERROR(__xludf.DUMMYFUNCTION("""COMPUTED_VALUE"""),"M")</f>
        <v>M</v>
      </c>
      <c r="H2794" s="9" t="str">
        <f>IFERROR(__xludf.DUMMYFUNCTION("""COMPUTED_VALUE"""),"MSS")</f>
        <v>MSS</v>
      </c>
      <c r="I2794" s="9" t="str">
        <f>IFERROR(__xludf.DUMMYFUNCTION("""COMPUTED_VALUE"""),"icr")</f>
        <v>icr</v>
      </c>
      <c r="J2794" s="9"/>
      <c r="K2794" s="9"/>
      <c r="L2794" s="9"/>
      <c r="M2794" s="9"/>
      <c r="N2794" s="9"/>
      <c r="O2794" s="9"/>
      <c r="P2794" s="9"/>
      <c r="Q2794" s="9"/>
      <c r="R2794" s="9"/>
      <c r="S2794" s="42"/>
      <c r="T2794" s="42"/>
      <c r="U2794" s="42"/>
      <c r="V2794" s="42"/>
      <c r="W2794" s="42"/>
      <c r="X2794" s="42"/>
      <c r="Y2794" s="42"/>
      <c r="Z2794" s="42"/>
      <c r="AA2794" s="42"/>
      <c r="AB2794" s="42" t="str">
        <f>IFERROR(__xludf.DUMMYFUNCTION("""COMPUTED_VALUE"""),"allen institute")</f>
        <v>allen institute</v>
      </c>
      <c r="AC2794" s="42" t="str">
        <f>IFERROR(__xludf.DUMMYFUNCTION("""COMPUTED_VALUE"""),"DHBA")</f>
        <v>DHBA</v>
      </c>
      <c r="AD2794" s="42"/>
      <c r="AE2794" s="42"/>
      <c r="AF2794" s="9"/>
      <c r="AG2794" s="9"/>
      <c r="AH2794" s="42"/>
      <c r="AI2794" s="42"/>
      <c r="AJ2794" s="42"/>
      <c r="AK2794" s="42"/>
      <c r="AL2794" s="42"/>
      <c r="AM2794" s="42"/>
      <c r="AN2794" s="42"/>
      <c r="AO2794" s="63" t="str">
        <f>IFERROR(__xludf.DUMMYFUNCTION("IF(ISBLANK(A2794),,IF(ISBLANK(S2794), A2794&amp;"";"", TEXTJOIN(CHAR(10), TRUE, A2794&amp;"";"", ARRAYFORMULA(VLOOKUP(SPLIT(S2794, "";"" &amp; CHAR(10)), $A:$AO, 41, FALSE)))))"),"icr;")</f>
        <v>icr;</v>
      </c>
      <c r="AP2794" s="89"/>
    </row>
    <row r="2795">
      <c r="A2795" s="151" t="str">
        <f>IFERROR(__xludf.DUMMYFUNCTION("""COMPUTED_VALUE"""),"ocs")</f>
        <v>ocs</v>
      </c>
      <c r="B2795" s="42" t="str">
        <f>IFERROR(__xludf.DUMMYFUNCTION("""COMPUTED_VALUE"""),"DHBA")</f>
        <v>DHBA</v>
      </c>
      <c r="C2795" s="42" t="str">
        <f>IFERROR(__xludf.DUMMYFUNCTION("""COMPUTED_VALUE"""),"oculomotor sulcus")</f>
        <v>oculomotor sulcus</v>
      </c>
      <c r="D2795" s="42">
        <f>IFERROR(__xludf.DUMMYFUNCTION("""COMPUTED_VALUE"""),2666.0)</f>
        <v>2666</v>
      </c>
      <c r="E2795" s="39" t="str">
        <f>IFERROR(__xludf.DUMMYFUNCTION("""COMPUTED_VALUE"""),"oculomotor sulcus")</f>
        <v>oculomotor sulcus</v>
      </c>
      <c r="F2795" s="9" t="str">
        <f>IFERROR(__xludf.DUMMYFUNCTION("""COMPUTED_VALUE"""),"Br")</f>
        <v>Br</v>
      </c>
      <c r="G2795" s="9" t="str">
        <f>IFERROR(__xludf.DUMMYFUNCTION("""COMPUTED_VALUE"""),"M")</f>
        <v>M</v>
      </c>
      <c r="H2795" s="9" t="str">
        <f>IFERROR(__xludf.DUMMYFUNCTION("""COMPUTED_VALUE"""),"MSS")</f>
        <v>MSS</v>
      </c>
      <c r="I2795" s="9" t="str">
        <f>IFERROR(__xludf.DUMMYFUNCTION("""COMPUTED_VALUE"""),"ocs")</f>
        <v>ocs</v>
      </c>
      <c r="J2795" s="9"/>
      <c r="K2795" s="9"/>
      <c r="L2795" s="9"/>
      <c r="M2795" s="9"/>
      <c r="N2795" s="9"/>
      <c r="O2795" s="9"/>
      <c r="P2795" s="9"/>
      <c r="Q2795" s="9"/>
      <c r="R2795" s="9"/>
      <c r="S2795" s="42"/>
      <c r="T2795" s="42" t="str">
        <f>IFERROR(__xludf.DUMMYFUNCTION("""COMPUTED_VALUE"""),"sulcus")</f>
        <v>sulcus</v>
      </c>
      <c r="U2795" s="42" t="b">
        <f>IFERROR(__xludf.DUMMYFUNCTION("""COMPUTED_VALUE"""),FALSE)</f>
        <v>0</v>
      </c>
      <c r="V2795" s="42"/>
      <c r="W2795" s="42"/>
      <c r="X2795" s="42"/>
      <c r="Y2795" s="42"/>
      <c r="Z2795" s="42"/>
      <c r="AA2795" s="42"/>
      <c r="AB2795" s="42" t="str">
        <f>IFERROR(__xludf.DUMMYFUNCTION("""COMPUTED_VALUE"""),"allen institute")</f>
        <v>allen institute</v>
      </c>
      <c r="AC2795" s="42" t="str">
        <f>IFERROR(__xludf.DUMMYFUNCTION("""COMPUTED_VALUE"""),"DHBA")</f>
        <v>DHBA</v>
      </c>
      <c r="AD2795" s="42"/>
      <c r="AE2795" s="42"/>
      <c r="AF2795" s="9"/>
      <c r="AG2795" s="9"/>
      <c r="AH2795" s="42"/>
      <c r="AI2795" s="42"/>
      <c r="AJ2795" s="42"/>
      <c r="AK2795" s="42"/>
      <c r="AL2795" s="42"/>
      <c r="AM2795" s="42"/>
      <c r="AN2795" s="42"/>
      <c r="AO2795" s="63" t="str">
        <f>IFERROR(__xludf.DUMMYFUNCTION("IF(ISBLANK(A2795),,IF(ISBLANK(S2795), A2795&amp;"";"", TEXTJOIN(CHAR(10), TRUE, A2795&amp;"";"", ARRAYFORMULA(VLOOKUP(SPLIT(S2795, "";"" &amp; CHAR(10)), $A:$AO, 41, FALSE)))))"),"ocs;")</f>
        <v>ocs;</v>
      </c>
      <c r="AP2795" s="89"/>
    </row>
    <row r="2796">
      <c r="A2796" s="151" t="str">
        <f>IFERROR(__xludf.DUMMYFUNCTION("""COMPUTED_VALUE"""),"qgb")</f>
        <v>qgb</v>
      </c>
      <c r="B2796" s="42" t="str">
        <f>IFERROR(__xludf.DUMMYFUNCTION("""COMPUTED_VALUE"""),"DHBA")</f>
        <v>DHBA</v>
      </c>
      <c r="C2796" s="42" t="str">
        <f>IFERROR(__xludf.DUMMYFUNCTION("""COMPUTED_VALUE"""),"quadrigeminal body")</f>
        <v>quadrigeminal body</v>
      </c>
      <c r="D2796" s="42">
        <f>IFERROR(__xludf.DUMMYFUNCTION("""COMPUTED_VALUE"""),2667.0)</f>
        <v>2667</v>
      </c>
      <c r="E2796" s="39" t="str">
        <f>IFERROR(__xludf.DUMMYFUNCTION("""COMPUTED_VALUE"""),"quadrigeminal body")</f>
        <v>quadrigeminal body</v>
      </c>
      <c r="F2796" s="9" t="str">
        <f>IFERROR(__xludf.DUMMYFUNCTION("""COMPUTED_VALUE"""),"Br")</f>
        <v>Br</v>
      </c>
      <c r="G2796" s="9" t="str">
        <f>IFERROR(__xludf.DUMMYFUNCTION("""COMPUTED_VALUE"""),"M")</f>
        <v>M</v>
      </c>
      <c r="H2796" s="9" t="str">
        <f>IFERROR(__xludf.DUMMYFUNCTION("""COMPUTED_VALUE"""),"MSS")</f>
        <v>MSS</v>
      </c>
      <c r="I2796" s="9" t="str">
        <f>IFERROR(__xludf.DUMMYFUNCTION("""COMPUTED_VALUE"""),"qgb")</f>
        <v>qgb</v>
      </c>
      <c r="J2796" s="9"/>
      <c r="K2796" s="9"/>
      <c r="L2796" s="9"/>
      <c r="M2796" s="9"/>
      <c r="N2796" s="9"/>
      <c r="O2796" s="9"/>
      <c r="P2796" s="9"/>
      <c r="Q2796" s="9"/>
      <c r="R2796" s="9"/>
      <c r="S2796" s="42"/>
      <c r="T2796" s="42"/>
      <c r="U2796" s="42"/>
      <c r="V2796" s="42"/>
      <c r="W2796" s="42"/>
      <c r="X2796" s="42"/>
      <c r="Y2796" s="42"/>
      <c r="Z2796" s="42"/>
      <c r="AA2796" s="42"/>
      <c r="AB2796" s="42" t="str">
        <f>IFERROR(__xludf.DUMMYFUNCTION("""COMPUTED_VALUE"""),"allen institute")</f>
        <v>allen institute</v>
      </c>
      <c r="AC2796" s="42" t="str">
        <f>IFERROR(__xludf.DUMMYFUNCTION("""COMPUTED_VALUE"""),"DHBA")</f>
        <v>DHBA</v>
      </c>
      <c r="AD2796" s="42"/>
      <c r="AE2796" s="42"/>
      <c r="AF2796" s="9"/>
      <c r="AG2796" s="9"/>
      <c r="AH2796" s="42"/>
      <c r="AI2796" s="42"/>
      <c r="AJ2796" s="42"/>
      <c r="AK2796" s="42"/>
      <c r="AL2796" s="42"/>
      <c r="AM2796" s="42"/>
      <c r="AN2796" s="42"/>
      <c r="AO2796" s="63" t="str">
        <f>IFERROR(__xludf.DUMMYFUNCTION("IF(ISBLANK(A2796),,IF(ISBLANK(S2796), A2796&amp;"";"", TEXTJOIN(CHAR(10), TRUE, A2796&amp;"";"", ARRAYFORMULA(VLOOKUP(SPLIT(S2796, "";"" &amp; CHAR(10)), $A:$AO, 41, FALSE)))))"),"qgb;")</f>
        <v>qgb;</v>
      </c>
      <c r="AP2796" s="89"/>
    </row>
    <row r="2797">
      <c r="A2797" s="151" t="str">
        <f>IFERROR(__xludf.DUMMYFUNCTION("""COMPUTED_VALUE"""),"r3")</f>
        <v>r3</v>
      </c>
      <c r="B2797" s="42" t="str">
        <f>IFERROR(__xludf.DUMMYFUNCTION("""COMPUTED_VALUE"""),"DHBA")</f>
        <v>DHBA</v>
      </c>
      <c r="C2797" s="42" t="str">
        <f>IFERROR(__xludf.DUMMYFUNCTION("""COMPUTED_VALUE"""),"root of oculomotor nerve")</f>
        <v>root of oculomotor nerve</v>
      </c>
      <c r="D2797" s="42">
        <f>IFERROR(__xludf.DUMMYFUNCTION("""COMPUTED_VALUE"""),2668.0)</f>
        <v>2668</v>
      </c>
      <c r="E2797" s="39" t="str">
        <f>IFERROR(__xludf.DUMMYFUNCTION("""COMPUTED_VALUE"""),"root of oculomotor nerve")</f>
        <v>root of oculomotor nerve</v>
      </c>
      <c r="F2797" s="9" t="str">
        <f>IFERROR(__xludf.DUMMYFUNCTION("""COMPUTED_VALUE"""),"Br")</f>
        <v>Br</v>
      </c>
      <c r="G2797" s="9" t="str">
        <f>IFERROR(__xludf.DUMMYFUNCTION("""COMPUTED_VALUE"""),"M")</f>
        <v>M</v>
      </c>
      <c r="H2797" s="9" t="str">
        <f>IFERROR(__xludf.DUMMYFUNCTION("""COMPUTED_VALUE"""),"MSS")</f>
        <v>MSS</v>
      </c>
      <c r="I2797" s="9" t="str">
        <f>IFERROR(__xludf.DUMMYFUNCTION("""COMPUTED_VALUE"""),"r3")</f>
        <v>r3</v>
      </c>
      <c r="J2797" s="9"/>
      <c r="K2797" s="9"/>
      <c r="L2797" s="9"/>
      <c r="M2797" s="9"/>
      <c r="N2797" s="9"/>
      <c r="O2797" s="9"/>
      <c r="P2797" s="9"/>
      <c r="Q2797" s="9"/>
      <c r="R2797" s="9"/>
      <c r="S2797" s="42"/>
      <c r="T2797" s="42"/>
      <c r="U2797" s="159"/>
      <c r="V2797" s="42"/>
      <c r="W2797" s="42"/>
      <c r="X2797" s="42"/>
      <c r="Y2797" s="42"/>
      <c r="Z2797" s="42"/>
      <c r="AA2797" s="42"/>
      <c r="AB2797" s="42" t="str">
        <f>IFERROR(__xludf.DUMMYFUNCTION("""COMPUTED_VALUE"""),"allen institute")</f>
        <v>allen institute</v>
      </c>
      <c r="AC2797" s="42" t="str">
        <f>IFERROR(__xludf.DUMMYFUNCTION("""COMPUTED_VALUE"""),"DHBA")</f>
        <v>DHBA</v>
      </c>
      <c r="AD2797" s="42"/>
      <c r="AE2797" s="42"/>
      <c r="AF2797" s="9"/>
      <c r="AG2797" s="9"/>
      <c r="AH2797" s="42"/>
      <c r="AI2797" s="42"/>
      <c r="AJ2797" s="42"/>
      <c r="AK2797" s="42"/>
      <c r="AL2797" s="42"/>
      <c r="AM2797" s="42"/>
      <c r="AN2797" s="42"/>
      <c r="AO2797" s="63" t="str">
        <f>IFERROR(__xludf.DUMMYFUNCTION("IF(ISBLANK(A2797),,IF(ISBLANK(S2797), A2797&amp;"";"", TEXTJOIN(CHAR(10), TRUE, A2797&amp;"";"", ARRAYFORMULA(VLOOKUP(SPLIT(S2797, "";"" &amp; CHAR(10)), $A:$AO, 41, FALSE)))))"),"r3;")</f>
        <v>r3;</v>
      </c>
      <c r="AP2797" s="89"/>
    </row>
    <row r="2798">
      <c r="A2798" s="151" t="str">
        <f>IFERROR(__xludf.DUMMYFUNCTION("""COMPUTED_VALUE"""),"r4")</f>
        <v>r4</v>
      </c>
      <c r="B2798" s="42" t="str">
        <f>IFERROR(__xludf.DUMMYFUNCTION("""COMPUTED_VALUE"""),"DHBA")</f>
        <v>DHBA</v>
      </c>
      <c r="C2798" s="42" t="str">
        <f>IFERROR(__xludf.DUMMYFUNCTION("""COMPUTED_VALUE"""),"root of trochlear nerve")</f>
        <v>root of trochlear nerve</v>
      </c>
      <c r="D2798" s="42">
        <f>IFERROR(__xludf.DUMMYFUNCTION("""COMPUTED_VALUE"""),2669.0)</f>
        <v>2669</v>
      </c>
      <c r="E2798" s="39" t="str">
        <f>IFERROR(__xludf.DUMMYFUNCTION("""COMPUTED_VALUE"""),"root of trochlear nerve")</f>
        <v>root of trochlear nerve</v>
      </c>
      <c r="F2798" s="9" t="str">
        <f>IFERROR(__xludf.DUMMYFUNCTION("""COMPUTED_VALUE"""),"Br")</f>
        <v>Br</v>
      </c>
      <c r="G2798" s="9" t="str">
        <f>IFERROR(__xludf.DUMMYFUNCTION("""COMPUTED_VALUE"""),"M")</f>
        <v>M</v>
      </c>
      <c r="H2798" s="9" t="str">
        <f>IFERROR(__xludf.DUMMYFUNCTION("""COMPUTED_VALUE"""),"MSS")</f>
        <v>MSS</v>
      </c>
      <c r="I2798" s="9" t="str">
        <f>IFERROR(__xludf.DUMMYFUNCTION("""COMPUTED_VALUE"""),"r4")</f>
        <v>r4</v>
      </c>
      <c r="J2798" s="9"/>
      <c r="K2798" s="9"/>
      <c r="L2798" s="9"/>
      <c r="M2798" s="9"/>
      <c r="N2798" s="9"/>
      <c r="O2798" s="9"/>
      <c r="P2798" s="9"/>
      <c r="Q2798" s="9"/>
      <c r="R2798" s="9"/>
      <c r="S2798" s="42"/>
      <c r="T2798" s="42"/>
      <c r="U2798" s="159"/>
      <c r="V2798" s="42"/>
      <c r="W2798" s="42"/>
      <c r="X2798" s="42"/>
      <c r="Y2798" s="42"/>
      <c r="Z2798" s="42"/>
      <c r="AA2798" s="42"/>
      <c r="AB2798" s="42" t="str">
        <f>IFERROR(__xludf.DUMMYFUNCTION("""COMPUTED_VALUE"""),"allen institute")</f>
        <v>allen institute</v>
      </c>
      <c r="AC2798" s="42" t="str">
        <f>IFERROR(__xludf.DUMMYFUNCTION("""COMPUTED_VALUE"""),"DHBA")</f>
        <v>DHBA</v>
      </c>
      <c r="AD2798" s="42"/>
      <c r="AE2798" s="42"/>
      <c r="AF2798" s="9"/>
      <c r="AG2798" s="9"/>
      <c r="AH2798" s="42"/>
      <c r="AI2798" s="42"/>
      <c r="AJ2798" s="42"/>
      <c r="AK2798" s="42"/>
      <c r="AL2798" s="42"/>
      <c r="AM2798" s="42"/>
      <c r="AN2798" s="42"/>
      <c r="AO2798" s="63" t="str">
        <f>IFERROR(__xludf.DUMMYFUNCTION("IF(ISBLANK(A2798),,IF(ISBLANK(S2798), A2798&amp;"";"", TEXTJOIN(CHAR(10), TRUE, A2798&amp;"";"", ARRAYFORMULA(VLOOKUP(SPLIT(S2798, "";"" &amp; CHAR(10)), $A:$AO, 41, FALSE)))))"),"r4;")</f>
        <v>r4;</v>
      </c>
      <c r="AP2798" s="89"/>
    </row>
    <row r="2799">
      <c r="A2799" s="151" t="str">
        <f>IFERROR(__xludf.DUMMYFUNCTION("""COMPUTED_VALUE"""),"trill")</f>
        <v>trill</v>
      </c>
      <c r="B2799" s="42" t="str">
        <f>IFERROR(__xludf.DUMMYFUNCTION("""COMPUTED_VALUE"""),"DHBA")</f>
        <v>DHBA</v>
      </c>
      <c r="C2799" s="42" t="str">
        <f>IFERROR(__xludf.DUMMYFUNCTION("""COMPUTED_VALUE"""),"trigone of lateral lemniscus (acoustic trigone)")</f>
        <v>trigone of lateral lemniscus (acoustic trigone)</v>
      </c>
      <c r="D2799" s="42">
        <f>IFERROR(__xludf.DUMMYFUNCTION("""COMPUTED_VALUE"""),2670.0)</f>
        <v>2670</v>
      </c>
      <c r="E2799" s="39" t="str">
        <f>IFERROR(__xludf.DUMMYFUNCTION("""COMPUTED_VALUE"""),"trigone of lateral lemniscus (acoustic trigone)")</f>
        <v>trigone of lateral lemniscus (acoustic trigone)</v>
      </c>
      <c r="F2799" s="9" t="str">
        <f>IFERROR(__xludf.DUMMYFUNCTION("""COMPUTED_VALUE"""),"Br")</f>
        <v>Br</v>
      </c>
      <c r="G2799" s="9" t="str">
        <f>IFERROR(__xludf.DUMMYFUNCTION("""COMPUTED_VALUE"""),"M")</f>
        <v>M</v>
      </c>
      <c r="H2799" s="9" t="str">
        <f>IFERROR(__xludf.DUMMYFUNCTION("""COMPUTED_VALUE"""),"MSS")</f>
        <v>MSS</v>
      </c>
      <c r="I2799" s="9" t="str">
        <f>IFERROR(__xludf.DUMMYFUNCTION("""COMPUTED_VALUE"""),"trill")</f>
        <v>trill</v>
      </c>
      <c r="J2799" s="9"/>
      <c r="K2799" s="9"/>
      <c r="L2799" s="9"/>
      <c r="M2799" s="9"/>
      <c r="N2799" s="9"/>
      <c r="O2799" s="9"/>
      <c r="P2799" s="9"/>
      <c r="Q2799" s="9"/>
      <c r="R2799" s="9"/>
      <c r="S2799" s="42"/>
      <c r="T2799" s="42"/>
      <c r="U2799" s="42"/>
      <c r="V2799" s="42"/>
      <c r="W2799" s="42"/>
      <c r="X2799" s="42"/>
      <c r="Y2799" s="42"/>
      <c r="Z2799" s="42"/>
      <c r="AA2799" s="42"/>
      <c r="AB2799" s="42" t="str">
        <f>IFERROR(__xludf.DUMMYFUNCTION("""COMPUTED_VALUE"""),"allen institute")</f>
        <v>allen institute</v>
      </c>
      <c r="AC2799" s="42" t="str">
        <f>IFERROR(__xludf.DUMMYFUNCTION("""COMPUTED_VALUE"""),"DHBA")</f>
        <v>DHBA</v>
      </c>
      <c r="AD2799" s="42"/>
      <c r="AE2799" s="42"/>
      <c r="AF2799" s="9"/>
      <c r="AG2799" s="9"/>
      <c r="AH2799" s="42"/>
      <c r="AI2799" s="42"/>
      <c r="AJ2799" s="42"/>
      <c r="AK2799" s="42"/>
      <c r="AL2799" s="42"/>
      <c r="AM2799" s="42"/>
      <c r="AN2799" s="42"/>
      <c r="AO2799" s="63" t="str">
        <f>IFERROR(__xludf.DUMMYFUNCTION("IF(ISBLANK(A2799),,IF(ISBLANK(S2799), A2799&amp;"";"", TEXTJOIN(CHAR(10), TRUE, A2799&amp;"";"", ARRAYFORMULA(VLOOKUP(SPLIT(S2799, "";"" &amp; CHAR(10)), $A:$AO, 41, FALSE)))))"),"trill;")</f>
        <v>trill;</v>
      </c>
      <c r="AP2799" s="89"/>
    </row>
    <row r="2800">
      <c r="A2800" s="151" t="str">
        <f>IFERROR(__xludf.DUMMYFUNCTION("""COMPUTED_VALUE"""),"mbv")</f>
        <v>mbv</v>
      </c>
      <c r="B2800" s="42" t="str">
        <f>IFERROR(__xludf.DUMMYFUNCTION("""COMPUTED_VALUE"""),"DHBA")</f>
        <v>DHBA</v>
      </c>
      <c r="C2800" s="42" t="str">
        <f>IFERROR(__xludf.DUMMYFUNCTION("""COMPUTED_VALUE"""),"blood vessels of midbrain")</f>
        <v>blood vessels of midbrain</v>
      </c>
      <c r="D2800" s="42">
        <f>IFERROR(__xludf.DUMMYFUNCTION("""COMPUTED_VALUE"""),2671.0)</f>
        <v>2671</v>
      </c>
      <c r="E2800" s="39" t="str">
        <f>IFERROR(__xludf.DUMMYFUNCTION("""COMPUTED_VALUE"""),"blood vessels of midbrain")</f>
        <v>blood vessels of midbrain</v>
      </c>
      <c r="F2800" s="9" t="str">
        <f>IFERROR(__xludf.DUMMYFUNCTION("""COMPUTED_VALUE"""),"Br")</f>
        <v>Br</v>
      </c>
      <c r="G2800" s="9" t="str">
        <f>IFERROR(__xludf.DUMMYFUNCTION("""COMPUTED_VALUE"""),"M")</f>
        <v>M</v>
      </c>
      <c r="H2800" s="9" t="str">
        <f>IFERROR(__xludf.DUMMYFUNCTION("""COMPUTED_VALUE"""),"mbv")</f>
        <v>mbv</v>
      </c>
      <c r="I2800" s="9"/>
      <c r="J2800" s="9"/>
      <c r="K2800" s="9"/>
      <c r="L2800" s="9"/>
      <c r="M2800" s="9"/>
      <c r="N2800" s="9"/>
      <c r="O2800" s="9"/>
      <c r="P2800" s="9"/>
      <c r="Q2800" s="9"/>
      <c r="R2800" s="9"/>
      <c r="S2800" s="42"/>
      <c r="T2800" s="42"/>
      <c r="U2800" s="42"/>
      <c r="V2800" s="42"/>
      <c r="W2800" s="42"/>
      <c r="X2800" s="42"/>
      <c r="Y2800" s="42"/>
      <c r="Z2800" s="42"/>
      <c r="AA2800" s="42"/>
      <c r="AB2800" s="42" t="str">
        <f>IFERROR(__xludf.DUMMYFUNCTION("""COMPUTED_VALUE"""),"allen institute")</f>
        <v>allen institute</v>
      </c>
      <c r="AC2800" s="42" t="str">
        <f>IFERROR(__xludf.DUMMYFUNCTION("""COMPUTED_VALUE"""),"DHBA")</f>
        <v>DHBA</v>
      </c>
      <c r="AD2800" s="42"/>
      <c r="AE2800" s="42"/>
      <c r="AF2800" s="9"/>
      <c r="AG2800" s="9"/>
      <c r="AH2800" s="42"/>
      <c r="AI2800" s="42"/>
      <c r="AJ2800" s="42"/>
      <c r="AK2800" s="42"/>
      <c r="AL2800" s="42"/>
      <c r="AM2800" s="42"/>
      <c r="AN2800" s="42"/>
      <c r="AO2800" s="63" t="str">
        <f>IFERROR(__xludf.DUMMYFUNCTION("IF(ISBLANK(A2800),,IF(ISBLANK(S2800), A2800&amp;"";"", TEXTJOIN(CHAR(10), TRUE, A2800&amp;"";"", ARRAYFORMULA(VLOOKUP(SPLIT(S2800, "";"" &amp; CHAR(10)), $A:$AO, 41, FALSE)))))"),"mbv;")</f>
        <v>mbv;</v>
      </c>
      <c r="AP2800" s="89"/>
    </row>
    <row r="2801">
      <c r="A2801" s="151" t="str">
        <f>IFERROR(__xludf.DUMMYFUNCTION("""COMPUTED_VALUE"""),"H")</f>
        <v>H</v>
      </c>
      <c r="B2801" s="42" t="str">
        <f>IFERROR(__xludf.DUMMYFUNCTION("""COMPUTED_VALUE"""),"DHBA")</f>
        <v>DHBA</v>
      </c>
      <c r="C2801" s="42" t="str">
        <f>IFERROR(__xludf.DUMMYFUNCTION("""COMPUTED_VALUE"""),"hindbrain (rhombencephalon)")</f>
        <v>hindbrain (rhombencephalon)</v>
      </c>
      <c r="D2801" s="42">
        <f>IFERROR(__xludf.DUMMYFUNCTION("""COMPUTED_VALUE"""),2672.0)</f>
        <v>2672</v>
      </c>
      <c r="E2801" s="39" t="str">
        <f>IFERROR(__xludf.DUMMYFUNCTION("""COMPUTED_VALUE"""),"hindbrain (rhombencephalon)")</f>
        <v>hindbrain (rhombencephalon)</v>
      </c>
      <c r="F2801" s="9" t="str">
        <f>IFERROR(__xludf.DUMMYFUNCTION("""COMPUTED_VALUE"""),"Br")</f>
        <v>Br</v>
      </c>
      <c r="G2801" s="9" t="str">
        <f>IFERROR(__xludf.DUMMYFUNCTION("""COMPUTED_VALUE"""),"H")</f>
        <v>H</v>
      </c>
      <c r="H2801" s="9"/>
      <c r="I2801" s="9"/>
      <c r="J2801" s="9"/>
      <c r="K2801" s="9"/>
      <c r="L2801" s="9"/>
      <c r="M2801" s="9"/>
      <c r="N2801" s="9"/>
      <c r="O2801" s="9"/>
      <c r="P2801" s="9"/>
      <c r="Q2801" s="9"/>
      <c r="R2801" s="9"/>
      <c r="S2801" s="42" t="str">
        <f>IFERROR(__xludf.DUMMYFUNCTION("""COMPUTED_VALUE"""),"HGM;
HWM;
HV;
HSS;
hbv")</f>
        <v>HGM;
HWM;
HV;
HSS;
hbv</v>
      </c>
      <c r="T2801" s="42"/>
      <c r="U2801" s="159" t="b">
        <f>IFERROR(__xludf.DUMMYFUNCTION("""COMPUTED_VALUE"""),FALSE)</f>
        <v>0</v>
      </c>
      <c r="V2801" s="42"/>
      <c r="W2801" s="42"/>
      <c r="X2801" s="42"/>
      <c r="Y2801" s="42"/>
      <c r="Z2801" s="42"/>
      <c r="AA2801" s="42"/>
      <c r="AB2801" s="42" t="str">
        <f>IFERROR(__xludf.DUMMYFUNCTION("""COMPUTED_VALUE"""),"allen institute")</f>
        <v>allen institute</v>
      </c>
      <c r="AC2801" s="42" t="str">
        <f>IFERROR(__xludf.DUMMYFUNCTION("""COMPUTED_VALUE"""),"DHBA")</f>
        <v>DHBA</v>
      </c>
      <c r="AD2801" s="42"/>
      <c r="AE2801" s="42"/>
      <c r="AF2801" s="9"/>
      <c r="AG2801" s="9"/>
      <c r="AH2801" s="42"/>
      <c r="AI2801" s="42"/>
      <c r="AJ2801" s="42"/>
      <c r="AK2801" s="42"/>
      <c r="AL2801" s="42"/>
      <c r="AM2801" s="42"/>
      <c r="AN2801" s="42"/>
      <c r="AO2801" s="63" t="str">
        <f>IFERROR(__xludf.DUMMYFUNCTION("IF(ISBLANK(A2801),,IF(ISBLANK(S2801), A2801&amp;"";"", TEXTJOIN(CHAR(10), TRUE, A2801&amp;"";"", ARRAYFORMULA(VLOOKUP(SPLIT(S2801, "";"" &amp; CHAR(10)), $A:$AO, 41, FALSE)))))"),"#N/A")</f>
        <v>#N/A</v>
      </c>
      <c r="AP2801" s="89"/>
    </row>
    <row r="2802">
      <c r="A2802" s="151" t="str">
        <f>IFERROR(__xludf.DUMMYFUNCTION("""COMPUTED_VALUE"""),"HGM")</f>
        <v>HGM</v>
      </c>
      <c r="B2802" s="42" t="str">
        <f>IFERROR(__xludf.DUMMYFUNCTION("""COMPUTED_VALUE"""),"DHBA")</f>
        <v>DHBA</v>
      </c>
      <c r="C2802" s="42" t="str">
        <f>IFERROR(__xludf.DUMMYFUNCTION("""COMPUTED_VALUE"""),"gray matter of the hindbrain")</f>
        <v>gray matter of the hindbrain</v>
      </c>
      <c r="D2802" s="42">
        <f>IFERROR(__xludf.DUMMYFUNCTION("""COMPUTED_VALUE"""),2673.0)</f>
        <v>2673</v>
      </c>
      <c r="E2802" s="39" t="str">
        <f>IFERROR(__xludf.DUMMYFUNCTION("""COMPUTED_VALUE"""),"gray matter of the hindbrain")</f>
        <v>gray matter of the hindbrain</v>
      </c>
      <c r="F2802" s="9" t="str">
        <f>IFERROR(__xludf.DUMMYFUNCTION("""COMPUTED_VALUE"""),"Br")</f>
        <v>Br</v>
      </c>
      <c r="G2802" s="9" t="str">
        <f>IFERROR(__xludf.DUMMYFUNCTION("""COMPUTED_VALUE"""),"H")</f>
        <v>H</v>
      </c>
      <c r="H2802" s="9" t="str">
        <f>IFERROR(__xludf.DUMMYFUNCTION("""COMPUTED_VALUE"""),"HGM")</f>
        <v>HGM</v>
      </c>
      <c r="I2802" s="9"/>
      <c r="J2802" s="9"/>
      <c r="K2802" s="9"/>
      <c r="L2802" s="9"/>
      <c r="M2802" s="9"/>
      <c r="N2802" s="9"/>
      <c r="O2802" s="9"/>
      <c r="P2802" s="9"/>
      <c r="Q2802" s="9"/>
      <c r="R2802" s="9"/>
      <c r="S2802" s="42" t="str">
        <f>IFERROR(__xludf.DUMMYFUNCTION("""COMPUTED_VALUE"""),"Met;
Mo;
HTS")</f>
        <v>Met;
Mo;
HTS</v>
      </c>
      <c r="T2802" s="42"/>
      <c r="U2802" s="159" t="b">
        <f>IFERROR(__xludf.DUMMYFUNCTION("""COMPUTED_VALUE"""),FALSE)</f>
        <v>0</v>
      </c>
      <c r="V2802" s="42"/>
      <c r="W2802" s="42"/>
      <c r="X2802" s="42"/>
      <c r="Y2802" s="42"/>
      <c r="Z2802" s="42"/>
      <c r="AA2802" s="42"/>
      <c r="AB2802" s="42" t="str">
        <f>IFERROR(__xludf.DUMMYFUNCTION("""COMPUTED_VALUE"""),"allen institute")</f>
        <v>allen institute</v>
      </c>
      <c r="AC2802" s="42" t="str">
        <f>IFERROR(__xludf.DUMMYFUNCTION("""COMPUTED_VALUE"""),"DHBA")</f>
        <v>DHBA</v>
      </c>
      <c r="AD2802" s="42"/>
      <c r="AE2802" s="42"/>
      <c r="AF2802" s="9"/>
      <c r="AG2802" s="9"/>
      <c r="AH2802" s="42"/>
      <c r="AI2802" s="42"/>
      <c r="AJ2802" s="42"/>
      <c r="AK2802" s="42"/>
      <c r="AL2802" s="42"/>
      <c r="AM2802" s="42"/>
      <c r="AN2802" s="42"/>
      <c r="AO2802" s="63" t="str">
        <f>IFERROR(__xludf.DUMMYFUNCTION("IF(ISBLANK(A2802),,IF(ISBLANK(S2802), A2802&amp;"";"", TEXTJOIN(CHAR(10), TRUE, A2802&amp;"";"", ARRAYFORMULA(VLOOKUP(SPLIT(S2802, "";"" &amp; CHAR(10)), $A:$AO, 41, FALSE)))))"),"#N/A")</f>
        <v>#N/A</v>
      </c>
      <c r="AP2802" s="89"/>
    </row>
    <row r="2803">
      <c r="A2803" s="151" t="str">
        <f>IFERROR(__xludf.DUMMYFUNCTION("""COMPUTED_VALUE"""),"VeN")</f>
        <v>VeN</v>
      </c>
      <c r="B2803" s="42" t="str">
        <f>IFERROR(__xludf.DUMMYFUNCTION("""COMPUTED_VALUE"""),"collection")</f>
        <v>collection</v>
      </c>
      <c r="C2803" s="42" t="str">
        <f>IFERROR(__xludf.DUMMYFUNCTION("""COMPUTED_VALUE"""),"vestibular nuclei")</f>
        <v>vestibular nuclei</v>
      </c>
      <c r="D2803" s="42">
        <f>IFERROR(__xludf.DUMMYFUNCTION("""COMPUTED_VALUE"""),2673.1)</f>
        <v>2673.1</v>
      </c>
      <c r="E2803" s="39" t="str">
        <f>IFERROR(__xludf.DUMMYFUNCTION("""COMPUTED_VALUE"""),"")</f>
        <v/>
      </c>
      <c r="F2803" s="9" t="str">
        <f>IFERROR(__xludf.DUMMYFUNCTION("""COMPUTED_VALUE"""),"")</f>
        <v/>
      </c>
      <c r="G2803" s="9" t="str">
        <f>IFERROR(__xludf.DUMMYFUNCTION("""COMPUTED_VALUE"""),"")</f>
        <v/>
      </c>
      <c r="H2803" s="9" t="str">
        <f>IFERROR(__xludf.DUMMYFUNCTION("""COMPUTED_VALUE"""),"")</f>
        <v/>
      </c>
      <c r="I2803" s="9" t="str">
        <f>IFERROR(__xludf.DUMMYFUNCTION("""COMPUTED_VALUE"""),"")</f>
        <v/>
      </c>
      <c r="J2803" s="9" t="str">
        <f>IFERROR(__xludf.DUMMYFUNCTION("""COMPUTED_VALUE"""),"")</f>
        <v/>
      </c>
      <c r="K2803" s="9" t="str">
        <f>IFERROR(__xludf.DUMMYFUNCTION("""COMPUTED_VALUE"""),"")</f>
        <v/>
      </c>
      <c r="L2803" s="9" t="str">
        <f>IFERROR(__xludf.DUMMYFUNCTION("""COMPUTED_VALUE"""),"")</f>
        <v/>
      </c>
      <c r="M2803" s="9" t="str">
        <f>IFERROR(__xludf.DUMMYFUNCTION("""COMPUTED_VALUE"""),"")</f>
        <v/>
      </c>
      <c r="N2803" s="9" t="str">
        <f>IFERROR(__xludf.DUMMYFUNCTION("""COMPUTED_VALUE"""),"")</f>
        <v/>
      </c>
      <c r="O2803" s="9" t="str">
        <f>IFERROR(__xludf.DUMMYFUNCTION("""COMPUTED_VALUE"""),"")</f>
        <v/>
      </c>
      <c r="P2803" s="9" t="str">
        <f>IFERROR(__xludf.DUMMYFUNCTION("""COMPUTED_VALUE"""),"")</f>
        <v/>
      </c>
      <c r="Q2803" s="9" t="str">
        <f>IFERROR(__xludf.DUMMYFUNCTION("""COMPUTED_VALUE"""),"")</f>
        <v/>
      </c>
      <c r="R2803" s="9" t="str">
        <f>IFERROR(__xludf.DUMMYFUNCTION("""COMPUTED_VALUE"""),"")</f>
        <v/>
      </c>
      <c r="S2803" s="42" t="str">
        <f>IFERROR(__xludf.DUMMYFUNCTION("""COMPUTED_VALUE"""),"8Ve;
8Ve-p")</f>
        <v>8Ve;
8Ve-p</v>
      </c>
      <c r="T2803" s="42"/>
      <c r="U2803" s="159" t="b">
        <f>IFERROR(__xludf.DUMMYFUNCTION("""COMPUTED_VALUE"""),TRUE)</f>
        <v>1</v>
      </c>
      <c r="V2803" s="42"/>
      <c r="W2803" s="42"/>
      <c r="X2803" s="42"/>
      <c r="Y2803" s="42"/>
      <c r="Z2803" s="42"/>
      <c r="AA2803" s="42"/>
      <c r="AB2803" s="42" t="str">
        <f>IFERROR(__xludf.DUMMYFUNCTION("""COMPUTED_VALUE"""),"Hiroshi Yamakawa")</f>
        <v>Hiroshi Yamakawa</v>
      </c>
      <c r="AC2803" s="42" t="str">
        <f>IFERROR(__xludf.DUMMYFUNCTION("""COMPUTED_VALUE"""),"HY20Cerebellum")</f>
        <v>HY20Cerebellum</v>
      </c>
      <c r="AD2803" s="42"/>
      <c r="AE2803" s="42"/>
      <c r="AF2803" s="9"/>
      <c r="AG2803" s="9"/>
      <c r="AH2803" s="42"/>
      <c r="AI2803" s="42"/>
      <c r="AJ2803" s="42"/>
      <c r="AK2803" s="42"/>
      <c r="AL2803" s="42"/>
      <c r="AM2803" s="42"/>
      <c r="AN2803" s="42"/>
      <c r="AO2803" s="63" t="str">
        <f>IFERROR(__xludf.DUMMYFUNCTION("IF(ISBLANK(A2803),,IF(ISBLANK(S2803), A2803&amp;"";"", TEXTJOIN(CHAR(10), TRUE, A2803&amp;"";"", ARRAYFORMULA(VLOOKUP(SPLIT(S2803, "";"" &amp; CHAR(10)), $A:$AO, 41, FALSE)))))"),"VeN;
8Ve;
MVe;
MVeMC;
MVEPC;
8Ve-p;")</f>
        <v>VeN;
8Ve;
MVe;
MVeMC;
MVEPC;
8Ve-p;</v>
      </c>
      <c r="AP2803" s="89"/>
    </row>
    <row r="2804">
      <c r="A2804" s="151" t="str">
        <f>IFERROR(__xludf.DUMMYFUNCTION("""COMPUTED_VALUE"""),"Met")</f>
        <v>Met</v>
      </c>
      <c r="B2804" s="42" t="str">
        <f>IFERROR(__xludf.DUMMYFUNCTION("""COMPUTED_VALUE"""),"DHBA")</f>
        <v>DHBA</v>
      </c>
      <c r="C2804" s="42" t="str">
        <f>IFERROR(__xludf.DUMMYFUNCTION("""COMPUTED_VALUE"""),"metencephalon")</f>
        <v>metencephalon</v>
      </c>
      <c r="D2804" s="42">
        <f>IFERROR(__xludf.DUMMYFUNCTION("""COMPUTED_VALUE"""),2674.0)</f>
        <v>2674</v>
      </c>
      <c r="E2804" s="39" t="str">
        <f>IFERROR(__xludf.DUMMYFUNCTION("""COMPUTED_VALUE"""),"metencephalon")</f>
        <v>metencephalon</v>
      </c>
      <c r="F2804" s="9" t="str">
        <f>IFERROR(__xludf.DUMMYFUNCTION("""COMPUTED_VALUE"""),"Br")</f>
        <v>Br</v>
      </c>
      <c r="G2804" s="9" t="str">
        <f>IFERROR(__xludf.DUMMYFUNCTION("""COMPUTED_VALUE"""),"H")</f>
        <v>H</v>
      </c>
      <c r="H2804" s="9" t="str">
        <f>IFERROR(__xludf.DUMMYFUNCTION("""COMPUTED_VALUE"""),"HGM")</f>
        <v>HGM</v>
      </c>
      <c r="I2804" s="9" t="str">
        <f>IFERROR(__xludf.DUMMYFUNCTION("""COMPUTED_VALUE"""),"Met")</f>
        <v>Met</v>
      </c>
      <c r="J2804" s="9"/>
      <c r="K2804" s="9"/>
      <c r="L2804" s="9"/>
      <c r="M2804" s="9"/>
      <c r="N2804" s="9"/>
      <c r="O2804" s="9"/>
      <c r="P2804" s="9"/>
      <c r="Q2804" s="9"/>
      <c r="R2804" s="9"/>
      <c r="S2804" s="42" t="str">
        <f>IFERROR(__xludf.DUMMYFUNCTION("""COMPUTED_VALUE"""),"CB;
Pn")</f>
        <v>CB;
Pn</v>
      </c>
      <c r="T2804" s="42"/>
      <c r="U2804" s="42" t="b">
        <f>IFERROR(__xludf.DUMMYFUNCTION("""COMPUTED_VALUE"""),FALSE)</f>
        <v>0</v>
      </c>
      <c r="V2804" s="42"/>
      <c r="W2804" s="42"/>
      <c r="X2804" s="42"/>
      <c r="Y2804" s="42"/>
      <c r="Z2804" s="42"/>
      <c r="AA2804" s="42"/>
      <c r="AB2804" s="42" t="str">
        <f>IFERROR(__xludf.DUMMYFUNCTION("""COMPUTED_VALUE"""),"allen institute")</f>
        <v>allen institute</v>
      </c>
      <c r="AC2804" s="42" t="str">
        <f>IFERROR(__xludf.DUMMYFUNCTION("""COMPUTED_VALUE"""),"DHBA")</f>
        <v>DHBA</v>
      </c>
      <c r="AD2804" s="42"/>
      <c r="AE2804" s="42"/>
      <c r="AF2804" s="9"/>
      <c r="AG2804" s="9"/>
      <c r="AH2804" s="42"/>
      <c r="AI2804" s="42"/>
      <c r="AJ2804" s="42"/>
      <c r="AK2804" s="42"/>
      <c r="AL2804" s="42"/>
      <c r="AM2804" s="42"/>
      <c r="AN2804" s="42"/>
      <c r="AO2804" s="63" t="str">
        <f>IFERROR(__xludf.DUMMYFUNCTION("IF(ISBLANK(A2804),,IF(ISBLANK(S2804), A2804&amp;"";"", TEXTJOIN(CHAR(10), TRUE, A2804&amp;"";"", ARRAYFORMULA(VLOOKUP(SPLIT(S2804, "";"" &amp; CHAR(10)), $A:$AO, 41, FALSE)))))"),"#N/A")</f>
        <v>#N/A</v>
      </c>
      <c r="AP2804" s="89"/>
    </row>
    <row r="2805">
      <c r="A2805" s="151" t="str">
        <f>IFERROR(__xludf.DUMMYFUNCTION("""COMPUTED_VALUE"""),"CB")</f>
        <v>CB</v>
      </c>
      <c r="B2805" s="42" t="str">
        <f>IFERROR(__xludf.DUMMYFUNCTION("""COMPUTED_VALUE"""),"DHBA")</f>
        <v>DHBA</v>
      </c>
      <c r="C2805" s="42" t="str">
        <f>IFERROR(__xludf.DUMMYFUNCTION("""COMPUTED_VALUE"""),"cerebellum")</f>
        <v>cerebellum</v>
      </c>
      <c r="D2805" s="42">
        <f>IFERROR(__xludf.DUMMYFUNCTION("""COMPUTED_VALUE"""),2675.0)</f>
        <v>2675</v>
      </c>
      <c r="E2805" s="39" t="str">
        <f>IFERROR(__xludf.DUMMYFUNCTION("""COMPUTED_VALUE"""),"cerebellum")</f>
        <v>cerebellum</v>
      </c>
      <c r="F2805" s="9" t="str">
        <f>IFERROR(__xludf.DUMMYFUNCTION("""COMPUTED_VALUE"""),"Br")</f>
        <v>Br</v>
      </c>
      <c r="G2805" s="9" t="str">
        <f>IFERROR(__xludf.DUMMYFUNCTION("""COMPUTED_VALUE"""),"H")</f>
        <v>H</v>
      </c>
      <c r="H2805" s="9" t="str">
        <f>IFERROR(__xludf.DUMMYFUNCTION("""COMPUTED_VALUE"""),"HGM")</f>
        <v>HGM</v>
      </c>
      <c r="I2805" s="9" t="str">
        <f>IFERROR(__xludf.DUMMYFUNCTION("""COMPUTED_VALUE"""),"Met")</f>
        <v>Met</v>
      </c>
      <c r="J2805" s="9" t="str">
        <f>IFERROR(__xludf.DUMMYFUNCTION("""COMPUTED_VALUE"""),"CB")</f>
        <v>CB</v>
      </c>
      <c r="K2805" s="9"/>
      <c r="L2805" s="9"/>
      <c r="M2805" s="9"/>
      <c r="N2805" s="9"/>
      <c r="O2805" s="9"/>
      <c r="P2805" s="9"/>
      <c r="Q2805" s="9"/>
      <c r="R2805" s="9"/>
      <c r="S2805" s="42" t="str">
        <f>IFERROR(__xludf.DUMMYFUNCTION("""COMPUTED_VALUE"""),"CBC;
CbDN")</f>
        <v>CBC;
CbDN</v>
      </c>
      <c r="T2805" s="42"/>
      <c r="U2805" s="42" t="b">
        <f>IFERROR(__xludf.DUMMYFUNCTION("""COMPUTED_VALUE"""),FALSE)</f>
        <v>0</v>
      </c>
      <c r="V2805" s="42"/>
      <c r="W2805" s="42"/>
      <c r="X2805" s="42"/>
      <c r="Y2805" s="42"/>
      <c r="Z2805" s="42"/>
      <c r="AA2805" s="42"/>
      <c r="AB2805" s="42" t="str">
        <f>IFERROR(__xludf.DUMMYFUNCTION("""COMPUTED_VALUE"""),"allen institute")</f>
        <v>allen institute</v>
      </c>
      <c r="AC2805" s="42" t="str">
        <f>IFERROR(__xludf.DUMMYFUNCTION("""COMPUTED_VALUE"""),"DHBA")</f>
        <v>DHBA</v>
      </c>
      <c r="AD2805" s="42"/>
      <c r="AE2805" s="42"/>
      <c r="AF2805" s="9"/>
      <c r="AG2805" s="9"/>
      <c r="AH2805" s="42"/>
      <c r="AI2805" s="42"/>
      <c r="AJ2805" s="42"/>
      <c r="AK2805" s="42"/>
      <c r="AL2805" s="42"/>
      <c r="AM2805" s="42"/>
      <c r="AN2805" s="42"/>
      <c r="AO2805" s="63" t="str">
        <f>IFERROR(__xludf.DUMMYFUNCTION("IF(ISBLANK(A2805),,IF(ISBLANK(S2805), A2805&amp;"";"", TEXTJOIN(CHAR(10), TRUE, A2805&amp;"";"", ARRAYFORMULA(VLOOKUP(SPLIT(S2805, "";"" &amp; CHAR(10)), $A:$AO, 41, FALSE)))))"),"#N/A")</f>
        <v>#N/A</v>
      </c>
      <c r="AP2805" s="89"/>
    </row>
    <row r="2806">
      <c r="A2806" s="151" t="str">
        <f>IFERROR(__xludf.DUMMYFUNCTION("""COMPUTED_VALUE"""),"CBC")</f>
        <v>CBC</v>
      </c>
      <c r="B2806" s="42" t="str">
        <f>IFERROR(__xludf.DUMMYFUNCTION("""COMPUTED_VALUE"""),"DHBA")</f>
        <v>DHBA</v>
      </c>
      <c r="C2806" s="42" t="str">
        <f>IFERROR(__xludf.DUMMYFUNCTION("""COMPUTED_VALUE"""),"cerebellar cortex")</f>
        <v>cerebellar cortex</v>
      </c>
      <c r="D2806" s="42">
        <f>IFERROR(__xludf.DUMMYFUNCTION("""COMPUTED_VALUE"""),2676.0)</f>
        <v>2676</v>
      </c>
      <c r="E2806" s="39" t="str">
        <f>IFERROR(__xludf.DUMMYFUNCTION("""COMPUTED_VALUE"""),"cerebellar cortex")</f>
        <v>cerebellar cortex</v>
      </c>
      <c r="F2806" s="9" t="str">
        <f>IFERROR(__xludf.DUMMYFUNCTION("""COMPUTED_VALUE"""),"Br")</f>
        <v>Br</v>
      </c>
      <c r="G2806" s="9" t="str">
        <f>IFERROR(__xludf.DUMMYFUNCTION("""COMPUTED_VALUE"""),"H")</f>
        <v>H</v>
      </c>
      <c r="H2806" s="9" t="str">
        <f>IFERROR(__xludf.DUMMYFUNCTION("""COMPUTED_VALUE"""),"HGM")</f>
        <v>HGM</v>
      </c>
      <c r="I2806" s="9" t="str">
        <f>IFERROR(__xludf.DUMMYFUNCTION("""COMPUTED_VALUE"""),"Met")</f>
        <v>Met</v>
      </c>
      <c r="J2806" s="9" t="str">
        <f>IFERROR(__xludf.DUMMYFUNCTION("""COMPUTED_VALUE"""),"CB")</f>
        <v>CB</v>
      </c>
      <c r="K2806" s="9" t="str">
        <f>IFERROR(__xludf.DUMMYFUNCTION("""COMPUTED_VALUE"""),"CBC")</f>
        <v>CBC</v>
      </c>
      <c r="L2806" s="9"/>
      <c r="M2806" s="9"/>
      <c r="N2806" s="9"/>
      <c r="O2806" s="9"/>
      <c r="P2806" s="9"/>
      <c r="Q2806" s="9"/>
      <c r="R2806" s="9"/>
      <c r="S2806" s="42" t="str">
        <f>IFERROR(__xludf.DUMMYFUNCTION("""COMPUTED_VALUE"""),"p;
g;
CBV;
CBPV;
CBL;
CBH")</f>
        <v>p;
g;
CBV;
CBPV;
CBL;
CBH</v>
      </c>
      <c r="T2806" s="42"/>
      <c r="U2806" s="42" t="b">
        <f>IFERROR(__xludf.DUMMYFUNCTION("""COMPUTED_VALUE"""),FALSE)</f>
        <v>0</v>
      </c>
      <c r="V2806" s="42"/>
      <c r="W2806" s="42"/>
      <c r="X2806" s="42"/>
      <c r="Y2806" s="42"/>
      <c r="Z2806" s="42"/>
      <c r="AA2806" s="42"/>
      <c r="AB2806" s="42" t="str">
        <f>IFERROR(__xludf.DUMMYFUNCTION("""COMPUTED_VALUE"""),"allen institute")</f>
        <v>allen institute</v>
      </c>
      <c r="AC2806" s="42" t="str">
        <f>IFERROR(__xludf.DUMMYFUNCTION("""COMPUTED_VALUE"""),"DHBA")</f>
        <v>DHBA</v>
      </c>
      <c r="AD2806" s="42"/>
      <c r="AE2806" s="42"/>
      <c r="AF2806" s="9"/>
      <c r="AG2806" s="9"/>
      <c r="AH2806" s="42"/>
      <c r="AI2806" s="42"/>
      <c r="AJ2806" s="42"/>
      <c r="AK2806" s="42"/>
      <c r="AL2806" s="42"/>
      <c r="AM2806" s="42"/>
      <c r="AN2806" s="42"/>
      <c r="AO2806" s="63" t="str">
        <f>IFERROR(__xludf.DUMMYFUNCTION("IF(ISBLANK(A2806),,IF(ISBLANK(S2806), A2806&amp;"";"", TEXTJOIN(CHAR(10), TRUE, A2806&amp;"";"", ARRAYFORMULA(VLOOKUP(SPLIT(S2806, "";"" &amp; CHAR(10)), $A:$AO, 41, FALSE)))))"),"CBC;
p;
CBVp;
VeAp;
VePsp;
VePip;
VeFp;
CBPVp;
PVAp;
PVPsp;
PVPip;
PVFp;
CBLp;
CBLAp;
CBLPsp;
CBLPip;
CBLFp;
g;
CBVg;
VeAg;
VePsg;
VePig;
VeFg;
CBPVg;
PVAg;
PVPsg;
PVPig;
PVFg;
CBLg;
CBLAg;
CBLPsg;
CBLPig;
CBLFg;
CBV;
VeA;
VeAm;
VeAp;
VeAg;
VePo;
VePs;
Ve"&amp;"Psm;
VePsp;
VePsg;
VePi;
VePim;
VePip;
VePig;
VeF;
VeFm;
VeFp;
VeFg;
CBPV;
PVA;
PVAm;
PVAp;
PVAg;
PVP;
PVPs;
PVPsm;
PVPsp;
PVPsg;
PVPi;
PVPim;
PVPip;
PVPig;
PVF;
PVFm;
PVFp;
PVFg;
CBL;
CBLA;
CBLAm;
CBLAp;
CBLAg;
CBLp;
CBLAp;
CBLPsp;
CBLPip;
CBLFp;
CBLF;
C"&amp;"BLFm;
CBLFp;
CBLFg;
CBH;
CBPV;
PVA;
PVAm;
PVAp;
PVAg;
PVP;
PVPs;
PVPsm;
PVPsp;
PVPsg;
PVPi;
PVPim;
PVPip;
PVPig;
PVF;
PVFm;
PVFp;
PVFg;
CBL;
CBLA;
CBLAm;
CBLAp;
CBLAg;
CBLp;
CBLAp;
CBLPsp;
CBLPip;
CBLFp;
CBLF;
CBLFm;
CBLFp;
CBLFg;")</f>
        <v>CBC;
p;
CBVp;
VeAp;
VePsp;
VePip;
VeFp;
CBPVp;
PVAp;
PVPsp;
PVPip;
PVFp;
CBLp;
CBLAp;
CBLPsp;
CBLPip;
CBLFp;
g;
CBVg;
VeAg;
VePsg;
VePig;
VeFg;
CBPVg;
PVAg;
PVPsg;
PVPig;
PVFg;
CBLg;
CBLAg;
CBLPsg;
CBLPig;
CBLFg;
CBV;
VeA;
VeAm;
VeAp;
VeAg;
VePo;
VePs;
VePsm;
VePsp;
VePsg;
VePi;
VePim;
VePip;
VePig;
VeF;
VeFm;
VeFp;
VeFg;
CBPV;
PVA;
PVAm;
PVAp;
PVAg;
PVP;
PVPs;
PVPsm;
PVPsp;
PVPsg;
PVPi;
PVPim;
PVPip;
PVPig;
PVF;
PVFm;
PVFp;
PVFg;
CBL;
CBLA;
CBLAm;
CBLAp;
CBLAg;
CBLp;
CBLAp;
CBLPsp;
CBLPip;
CBLFp;
CBLF;
CBLFm;
CBLFp;
CBLFg;
CBH;
CBPV;
PVA;
PVAm;
PVAp;
PVAg;
PVP;
PVPs;
PVPsm;
PVPsp;
PVPsg;
PVPi;
PVPim;
PVPip;
PVPig;
PVF;
PVFm;
PVFp;
PVFg;
CBL;
CBLA;
CBLAm;
CBLAp;
CBLAg;
CBLp;
CBLAp;
CBLPsp;
CBLPip;
CBLFp;
CBLF;
CBLFm;
CBLFp;
CBLFg;</v>
      </c>
      <c r="AP2806" s="89"/>
    </row>
    <row r="2807">
      <c r="A2807" s="151" t="str">
        <f>IFERROR(__xludf.DUMMYFUNCTION("""COMPUTED_VALUE"""),"p")</f>
        <v>p</v>
      </c>
      <c r="B2807" s="42" t="str">
        <f>IFERROR(__xludf.DUMMYFUNCTION("""COMPUTED_VALUE"""),"collection")</f>
        <v>collection</v>
      </c>
      <c r="C2807" s="42" t="str">
        <f>IFERROR(__xludf.DUMMYFUNCTION("""COMPUTED_VALUE"""),"purkinjecell")</f>
        <v>purkinjecell</v>
      </c>
      <c r="D2807" s="42">
        <f>IFERROR(__xludf.DUMMYFUNCTION("""COMPUTED_VALUE"""),2676.1)</f>
        <v>2676.1</v>
      </c>
      <c r="E2807" s="39" t="str">
        <f>IFERROR(__xludf.DUMMYFUNCTION("""COMPUTED_VALUE"""),"")</f>
        <v/>
      </c>
      <c r="F2807" s="9" t="str">
        <f>IFERROR(__xludf.DUMMYFUNCTION("""COMPUTED_VALUE"""),"")</f>
        <v/>
      </c>
      <c r="G2807" s="9" t="str">
        <f>IFERROR(__xludf.DUMMYFUNCTION("""COMPUTED_VALUE"""),"")</f>
        <v/>
      </c>
      <c r="H2807" s="9" t="str">
        <f>IFERROR(__xludf.DUMMYFUNCTION("""COMPUTED_VALUE"""),"")</f>
        <v/>
      </c>
      <c r="I2807" s="9" t="str">
        <f>IFERROR(__xludf.DUMMYFUNCTION("""COMPUTED_VALUE"""),"")</f>
        <v/>
      </c>
      <c r="J2807" s="9" t="str">
        <f>IFERROR(__xludf.DUMMYFUNCTION("""COMPUTED_VALUE"""),"")</f>
        <v/>
      </c>
      <c r="K2807" s="9" t="str">
        <f>IFERROR(__xludf.DUMMYFUNCTION("""COMPUTED_VALUE"""),"")</f>
        <v/>
      </c>
      <c r="L2807" s="9" t="str">
        <f>IFERROR(__xludf.DUMMYFUNCTION("""COMPUTED_VALUE"""),"")</f>
        <v/>
      </c>
      <c r="M2807" s="9" t="str">
        <f>IFERROR(__xludf.DUMMYFUNCTION("""COMPUTED_VALUE"""),"")</f>
        <v/>
      </c>
      <c r="N2807" s="9" t="str">
        <f>IFERROR(__xludf.DUMMYFUNCTION("""COMPUTED_VALUE"""),"")</f>
        <v/>
      </c>
      <c r="O2807" s="9" t="str">
        <f>IFERROR(__xludf.DUMMYFUNCTION("""COMPUTED_VALUE"""),"")</f>
        <v/>
      </c>
      <c r="P2807" s="9" t="str">
        <f>IFERROR(__xludf.DUMMYFUNCTION("""COMPUTED_VALUE"""),"")</f>
        <v/>
      </c>
      <c r="Q2807" s="9" t="str">
        <f>IFERROR(__xludf.DUMMYFUNCTION("""COMPUTED_VALUE"""),"")</f>
        <v/>
      </c>
      <c r="R2807" s="9" t="str">
        <f>IFERROR(__xludf.DUMMYFUNCTION("""COMPUTED_VALUE"""),"")</f>
        <v/>
      </c>
      <c r="S2807" s="42" t="str">
        <f>IFERROR(__xludf.DUMMYFUNCTION("""COMPUTED_VALUE"""),"CBVp;
CBPVp;
CBLp")</f>
        <v>CBVp;
CBPVp;
CBLp</v>
      </c>
      <c r="T2807" s="42"/>
      <c r="U2807" s="42" t="b">
        <f>IFERROR(__xludf.DUMMYFUNCTION("""COMPUTED_VALUE"""),FALSE)</f>
        <v>0</v>
      </c>
      <c r="V2807" s="42" t="str">
        <f>IFERROR(__xludf.DUMMYFUNCTION("""COMPUTED_VALUE"""),"GABA")</f>
        <v>GABA</v>
      </c>
      <c r="W2807" s="42" t="str">
        <f>IFERROR(__xludf.DUMMYFUNCTION("""COMPUTED_VALUE"""),"Inhibitory")</f>
        <v>Inhibitory</v>
      </c>
      <c r="X2807" s="42"/>
      <c r="Y2807" s="42" t="str">
        <f>IFERROR(__xludf.DUMMYFUNCTION("""COMPUTED_VALUE"""),"each Purkinje cell receives input from only one climbing fiber.[Wanger,2020]")</f>
        <v>each Purkinje cell receives input from only one climbing fiber.[Wanger,2020]</v>
      </c>
      <c r="Z2807" s="42"/>
      <c r="AA2807" s="42"/>
      <c r="AB2807" s="42" t="str">
        <f>IFERROR(__xludf.DUMMYFUNCTION("""COMPUTED_VALUE"""),"Hiroshi Yamakawa")</f>
        <v>Hiroshi Yamakawa</v>
      </c>
      <c r="AC2807" s="42" t="str">
        <f>IFERROR(__xludf.DUMMYFUNCTION("""COMPUTED_VALUE"""),"HY20Cerebellum")</f>
        <v>HY20Cerebellum</v>
      </c>
      <c r="AD2807" s="42"/>
      <c r="AE2807" s="42"/>
      <c r="AF2807" s="9"/>
      <c r="AG2807" s="9"/>
      <c r="AH2807" s="42"/>
      <c r="AI2807" s="42"/>
      <c r="AJ2807" s="42"/>
      <c r="AK2807" s="42"/>
      <c r="AL2807" s="42"/>
      <c r="AM2807" s="42"/>
      <c r="AN2807" s="42"/>
      <c r="AO2807" s="63" t="str">
        <f>IFERROR(__xludf.DUMMYFUNCTION("IF(ISBLANK(A2807),,IF(ISBLANK(S2807), A2807&amp;"";"", TEXTJOIN(CHAR(10), TRUE, A2807&amp;"";"", ARRAYFORMULA(VLOOKUP(SPLIT(S2807, "";"" &amp; CHAR(10)), $A:$AO, 41, FALSE)))))"),"p;
CBVp;
VeAp;
VePsp;
VePip;
VeFp;
CBPVp;
PVAp;
PVPsp;
PVPip;
PVFp;
CBLp;
CBLAp;
CBLPsp;
CBLPip;
CBLFp;")</f>
        <v>p;
CBVp;
VeAp;
VePsp;
VePip;
VeFp;
CBPVp;
PVAp;
PVPsp;
PVPip;
PVFp;
CBLp;
CBLAp;
CBLPsp;
CBLPip;
CBLFp;</v>
      </c>
      <c r="AP2807" s="89"/>
    </row>
    <row r="2808">
      <c r="A2808" s="151" t="str">
        <f>IFERROR(__xludf.DUMMYFUNCTION("""COMPUTED_VALUE"""),"g")</f>
        <v>g</v>
      </c>
      <c r="B2808" s="42" t="str">
        <f>IFERROR(__xludf.DUMMYFUNCTION("""COMPUTED_VALUE"""),"collection")</f>
        <v>collection</v>
      </c>
      <c r="C2808" s="42" t="str">
        <f>IFERROR(__xludf.DUMMYFUNCTION("""COMPUTED_VALUE"""),"granular cell")</f>
        <v>granular cell</v>
      </c>
      <c r="D2808" s="42">
        <f>IFERROR(__xludf.DUMMYFUNCTION("""COMPUTED_VALUE"""),2676.2)</f>
        <v>2676.2</v>
      </c>
      <c r="E2808" s="39" t="str">
        <f>IFERROR(__xludf.DUMMYFUNCTION("""COMPUTED_VALUE"""),"")</f>
        <v/>
      </c>
      <c r="F2808" s="9" t="str">
        <f>IFERROR(__xludf.DUMMYFUNCTION("""COMPUTED_VALUE"""),"")</f>
        <v/>
      </c>
      <c r="G2808" s="9" t="str">
        <f>IFERROR(__xludf.DUMMYFUNCTION("""COMPUTED_VALUE"""),"")</f>
        <v/>
      </c>
      <c r="H2808" s="9" t="str">
        <f>IFERROR(__xludf.DUMMYFUNCTION("""COMPUTED_VALUE"""),"")</f>
        <v/>
      </c>
      <c r="I2808" s="9" t="str">
        <f>IFERROR(__xludf.DUMMYFUNCTION("""COMPUTED_VALUE"""),"")</f>
        <v/>
      </c>
      <c r="J2808" s="9" t="str">
        <f>IFERROR(__xludf.DUMMYFUNCTION("""COMPUTED_VALUE"""),"")</f>
        <v/>
      </c>
      <c r="K2808" s="9" t="str">
        <f>IFERROR(__xludf.DUMMYFUNCTION("""COMPUTED_VALUE"""),"")</f>
        <v/>
      </c>
      <c r="L2808" s="9" t="str">
        <f>IFERROR(__xludf.DUMMYFUNCTION("""COMPUTED_VALUE"""),"")</f>
        <v/>
      </c>
      <c r="M2808" s="9" t="str">
        <f>IFERROR(__xludf.DUMMYFUNCTION("""COMPUTED_VALUE"""),"")</f>
        <v/>
      </c>
      <c r="N2808" s="9" t="str">
        <f>IFERROR(__xludf.DUMMYFUNCTION("""COMPUTED_VALUE"""),"")</f>
        <v/>
      </c>
      <c r="O2808" s="9" t="str">
        <f>IFERROR(__xludf.DUMMYFUNCTION("""COMPUTED_VALUE"""),"")</f>
        <v/>
      </c>
      <c r="P2808" s="9" t="str">
        <f>IFERROR(__xludf.DUMMYFUNCTION("""COMPUTED_VALUE"""),"")</f>
        <v/>
      </c>
      <c r="Q2808" s="9" t="str">
        <f>IFERROR(__xludf.DUMMYFUNCTION("""COMPUTED_VALUE"""),"")</f>
        <v/>
      </c>
      <c r="R2808" s="9" t="str">
        <f>IFERROR(__xludf.DUMMYFUNCTION("""COMPUTED_VALUE"""),"")</f>
        <v/>
      </c>
      <c r="S2808" s="42" t="str">
        <f>IFERROR(__xludf.DUMMYFUNCTION("""COMPUTED_VALUE"""),"CBVg;
CBPVg;
CBLg")</f>
        <v>CBVg;
CBPVg;
CBLg</v>
      </c>
      <c r="T2808" s="42"/>
      <c r="U2808" s="159" t="b">
        <f>IFERROR(__xludf.DUMMYFUNCTION("""COMPUTED_VALUE"""),FALSE)</f>
        <v>0</v>
      </c>
      <c r="V2808" s="42"/>
      <c r="W2808" s="42" t="str">
        <f>IFERROR(__xludf.DUMMYFUNCTION("""COMPUTED_VALUE"""),"Excitatory")</f>
        <v>Excitatory</v>
      </c>
      <c r="X2808" s="42"/>
      <c r="Y2808" s="42" t="str">
        <f>IFERROR(__xludf.DUMMYFUNCTION("""COMPUTED_VALUE"""),"generates a dimensionally expanded representation of its mossy fiber inputs. [Wagner, 2020]
may perform a richer set of functions, including the faithful transmission of neocortical neuronal dynamics to the cerebellar circuit.[Wagner,2020]
granule cells a"&amp;"re thought to convey internal and external contextual information to the cerebellum, [Wagner, 2020 [41-43]]")</f>
        <v>generates a dimensionally expanded representation of its mossy fiber inputs. [Wagner, 2020]
may perform a richer set of functions, including the faithful transmission of neocortical neuronal dynamics to the cerebellar circuit.[Wagner,2020]
granule cells are thought to convey internal and external contextual information to the cerebellum, [Wagner, 2020 [41-43]]</v>
      </c>
      <c r="Z2808" s="42"/>
      <c r="AA2808" s="42"/>
      <c r="AB2808" s="42" t="str">
        <f>IFERROR(__xludf.DUMMYFUNCTION("""COMPUTED_VALUE"""),"Hiroshi Yamakawa")</f>
        <v>Hiroshi Yamakawa</v>
      </c>
      <c r="AC2808" s="42" t="str">
        <f>IFERROR(__xludf.DUMMYFUNCTION("""COMPUTED_VALUE"""),"HY20Cerebellum")</f>
        <v>HY20Cerebellum</v>
      </c>
      <c r="AD2808" s="42"/>
      <c r="AE2808" s="42"/>
      <c r="AF2808" s="9"/>
      <c r="AG2808" s="9"/>
      <c r="AH2808" s="42"/>
      <c r="AI2808" s="42"/>
      <c r="AJ2808" s="42"/>
      <c r="AK2808" s="42"/>
      <c r="AL2808" s="42"/>
      <c r="AM2808" s="42"/>
      <c r="AN2808" s="42"/>
      <c r="AO2808" s="63" t="str">
        <f>IFERROR(__xludf.DUMMYFUNCTION("IF(ISBLANK(A2808),,IF(ISBLANK(S2808), A2808&amp;"";"", TEXTJOIN(CHAR(10), TRUE, A2808&amp;"";"", ARRAYFORMULA(VLOOKUP(SPLIT(S2808, "";"" &amp; CHAR(10)), $A:$AO, 41, FALSE)))))"),"g;
CBVg;
VeAg;
VePsg;
VePig;
VeFg;
CBPVg;
PVAg;
PVPsg;
PVPig;
PVFg;
CBLg;
CBLAg;
CBLPsg;
CBLPig;
CBLFg;")</f>
        <v>g;
CBVg;
VeAg;
VePsg;
VePig;
VeFg;
CBPVg;
PVAg;
PVPsg;
PVPig;
PVFg;
CBLg;
CBLAg;
CBLPsg;
CBLPig;
CBLFg;</v>
      </c>
      <c r="AP2808" s="89"/>
    </row>
    <row r="2809">
      <c r="A2809" s="151" t="str">
        <f>IFERROR(__xludf.DUMMYFUNCTION("""COMPUTED_VALUE"""),"CBV")</f>
        <v>CBV</v>
      </c>
      <c r="B2809" s="42" t="str">
        <f>IFERROR(__xludf.DUMMYFUNCTION("""COMPUTED_VALUE"""),"DHBA")</f>
        <v>DHBA</v>
      </c>
      <c r="C2809" s="42" t="str">
        <f>IFERROR(__xludf.DUMMYFUNCTION("""COMPUTED_VALUE"""),"cerebellar vermis")</f>
        <v>cerebellar vermis</v>
      </c>
      <c r="D2809" s="42">
        <f>IFERROR(__xludf.DUMMYFUNCTION("""COMPUTED_VALUE"""),2677.0)</f>
        <v>2677</v>
      </c>
      <c r="E2809" s="39" t="str">
        <f>IFERROR(__xludf.DUMMYFUNCTION("""COMPUTED_VALUE"""),"cerebellar vermis")</f>
        <v>cerebellar vermis</v>
      </c>
      <c r="F2809" s="9" t="str">
        <f>IFERROR(__xludf.DUMMYFUNCTION("""COMPUTED_VALUE"""),"Br")</f>
        <v>Br</v>
      </c>
      <c r="G2809" s="9" t="str">
        <f>IFERROR(__xludf.DUMMYFUNCTION("""COMPUTED_VALUE"""),"H")</f>
        <v>H</v>
      </c>
      <c r="H2809" s="9" t="str">
        <f>IFERROR(__xludf.DUMMYFUNCTION("""COMPUTED_VALUE"""),"HGM")</f>
        <v>HGM</v>
      </c>
      <c r="I2809" s="9" t="str">
        <f>IFERROR(__xludf.DUMMYFUNCTION("""COMPUTED_VALUE"""),"Met")</f>
        <v>Met</v>
      </c>
      <c r="J2809" s="9" t="str">
        <f>IFERROR(__xludf.DUMMYFUNCTION("""COMPUTED_VALUE"""),"CB")</f>
        <v>CB</v>
      </c>
      <c r="K2809" s="9" t="str">
        <f>IFERROR(__xludf.DUMMYFUNCTION("""COMPUTED_VALUE"""),"CBC")</f>
        <v>CBC</v>
      </c>
      <c r="L2809" s="9" t="str">
        <f>IFERROR(__xludf.DUMMYFUNCTION("""COMPUTED_VALUE"""),"CBV")</f>
        <v>CBV</v>
      </c>
      <c r="M2809" s="9"/>
      <c r="N2809" s="9"/>
      <c r="O2809" s="9"/>
      <c r="P2809" s="9"/>
      <c r="Q2809" s="9"/>
      <c r="R2809" s="9"/>
      <c r="S2809" s="42" t="str">
        <f>IFERROR(__xludf.DUMMYFUNCTION("""COMPUTED_VALUE"""),"VeA;
VePo;
VeF")</f>
        <v>VeA;
VePo;
VeF</v>
      </c>
      <c r="T2809" s="42"/>
      <c r="U2809" s="159" t="b">
        <f>IFERROR(__xludf.DUMMYFUNCTION("""COMPUTED_VALUE"""),FALSE)</f>
        <v>0</v>
      </c>
      <c r="V2809" s="42"/>
      <c r="W2809" s="42" t="str">
        <f>IFERROR(__xludf.DUMMYFUNCTION("""COMPUTED_VALUE"""),"Excitatory")</f>
        <v>Excitatory</v>
      </c>
      <c r="X2809" s="42"/>
      <c r="Y2809" s="42" t="str">
        <f>IFERROR(__xludf.DUMMYFUNCTION("""COMPUTED_VALUE"""),"Defined as oculomotor vermis")</f>
        <v>Defined as oculomotor vermis</v>
      </c>
      <c r="Z2809" s="42"/>
      <c r="AA2809" s="42"/>
      <c r="AB2809" s="42" t="str">
        <f>IFERROR(__xludf.DUMMYFUNCTION("""COMPUTED_VALUE"""),"allen institute")</f>
        <v>allen institute</v>
      </c>
      <c r="AC2809" s="42" t="str">
        <f>IFERROR(__xludf.DUMMYFUNCTION("""COMPUTED_VALUE"""),"DHBA")</f>
        <v>DHBA</v>
      </c>
      <c r="AD2809" s="42"/>
      <c r="AE2809" s="42"/>
      <c r="AF2809" s="9"/>
      <c r="AG2809" s="9"/>
      <c r="AH2809" s="42"/>
      <c r="AI2809" s="42"/>
      <c r="AJ2809" s="42"/>
      <c r="AK2809" s="42"/>
      <c r="AL2809" s="42"/>
      <c r="AM2809" s="42"/>
      <c r="AN2809" s="42"/>
      <c r="AO2809" s="63" t="str">
        <f>IFERROR(__xludf.DUMMYFUNCTION("IF(ISBLANK(A2809),,IF(ISBLANK(S2809), A2809&amp;"";"", TEXTJOIN(CHAR(10), TRUE, A2809&amp;"";"", ARRAYFORMULA(VLOOKUP(SPLIT(S2809, "";"" &amp; CHAR(10)), $A:$AO, 41, FALSE)))))"),"CBV;
VeA;
VeAm;
VeAp;
VeAg;
VePo;
VePs;
VePsm;
VePsp;
VePsg;
VePi;
VePim;
VePip;
VePig;
VeF;
VeFm;
VeFp;
VeFg;")</f>
        <v>CBV;
VeA;
VeAm;
VeAp;
VeAg;
VePo;
VePs;
VePsm;
VePsp;
VePsg;
VePi;
VePim;
VePip;
VePig;
VeF;
VeFm;
VeFp;
VeFg;</v>
      </c>
      <c r="AP2809" s="89"/>
    </row>
    <row r="2810">
      <c r="A2810" s="151" t="str">
        <f>IFERROR(__xludf.DUMMYFUNCTION("""COMPUTED_VALUE"""),"CBVp")</f>
        <v>CBVp</v>
      </c>
      <c r="B2810" s="42" t="str">
        <f>IFERROR(__xludf.DUMMYFUNCTION("""COMPUTED_VALUE"""),"collection")</f>
        <v>collection</v>
      </c>
      <c r="C2810" s="42" t="str">
        <f>IFERROR(__xludf.DUMMYFUNCTION("""COMPUTED_VALUE"""),"purkinjecell of vermis")</f>
        <v>purkinjecell of vermis</v>
      </c>
      <c r="D2810" s="42">
        <f>IFERROR(__xludf.DUMMYFUNCTION("""COMPUTED_VALUE"""),2677.1)</f>
        <v>2677.1</v>
      </c>
      <c r="E2810" s="39" t="str">
        <f>IFERROR(__xludf.DUMMYFUNCTION("""COMPUTED_VALUE"""),"")</f>
        <v/>
      </c>
      <c r="F2810" s="9" t="str">
        <f>IFERROR(__xludf.DUMMYFUNCTION("""COMPUTED_VALUE"""),"")</f>
        <v/>
      </c>
      <c r="G2810" s="9" t="str">
        <f>IFERROR(__xludf.DUMMYFUNCTION("""COMPUTED_VALUE"""),"")</f>
        <v/>
      </c>
      <c r="H2810" s="9" t="str">
        <f>IFERROR(__xludf.DUMMYFUNCTION("""COMPUTED_VALUE"""),"")</f>
        <v/>
      </c>
      <c r="I2810" s="9" t="str">
        <f>IFERROR(__xludf.DUMMYFUNCTION("""COMPUTED_VALUE"""),"")</f>
        <v/>
      </c>
      <c r="J2810" s="9" t="str">
        <f>IFERROR(__xludf.DUMMYFUNCTION("""COMPUTED_VALUE"""),"")</f>
        <v/>
      </c>
      <c r="K2810" s="9" t="str">
        <f>IFERROR(__xludf.DUMMYFUNCTION("""COMPUTED_VALUE"""),"")</f>
        <v/>
      </c>
      <c r="L2810" s="9" t="str">
        <f>IFERROR(__xludf.DUMMYFUNCTION("""COMPUTED_VALUE"""),"")</f>
        <v/>
      </c>
      <c r="M2810" s="9" t="str">
        <f>IFERROR(__xludf.DUMMYFUNCTION("""COMPUTED_VALUE"""),"")</f>
        <v/>
      </c>
      <c r="N2810" s="9" t="str">
        <f>IFERROR(__xludf.DUMMYFUNCTION("""COMPUTED_VALUE"""),"")</f>
        <v/>
      </c>
      <c r="O2810" s="9" t="str">
        <f>IFERROR(__xludf.DUMMYFUNCTION("""COMPUTED_VALUE"""),"")</f>
        <v/>
      </c>
      <c r="P2810" s="9" t="str">
        <f>IFERROR(__xludf.DUMMYFUNCTION("""COMPUTED_VALUE"""),"")</f>
        <v/>
      </c>
      <c r="Q2810" s="9" t="str">
        <f>IFERROR(__xludf.DUMMYFUNCTION("""COMPUTED_VALUE"""),"")</f>
        <v/>
      </c>
      <c r="R2810" s="9" t="str">
        <f>IFERROR(__xludf.DUMMYFUNCTION("""COMPUTED_VALUE"""),"")</f>
        <v/>
      </c>
      <c r="S2810" s="42" t="str">
        <f>IFERROR(__xludf.DUMMYFUNCTION("""COMPUTED_VALUE"""),"VeAp;
VePsp;
VePip;
VeFp")</f>
        <v>VeAp;
VePsp;
VePip;
VeFp</v>
      </c>
      <c r="T2810" s="42" t="str">
        <f>IFERROR(__xludf.DUMMYFUNCTION("""COMPUTED_VALUE"""),"p")</f>
        <v>p</v>
      </c>
      <c r="U2810" s="159" t="b">
        <f>IFERROR(__xludf.DUMMYFUNCTION("""COMPUTED_VALUE"""),TRUE)</f>
        <v>1</v>
      </c>
      <c r="V2810" s="42" t="str">
        <f>IFERROR(__xludf.DUMMYFUNCTION("""COMPUTED_VALUE"""),"GABA")</f>
        <v>GABA</v>
      </c>
      <c r="W2810" s="42" t="str">
        <f>IFERROR(__xludf.DUMMYFUNCTION("""COMPUTED_VALUE"""),"Inhibitory")</f>
        <v>Inhibitory</v>
      </c>
      <c r="X2810" s="42"/>
      <c r="Y2810" s="42"/>
      <c r="Z2810" s="42"/>
      <c r="AA2810" s="42"/>
      <c r="AB2810" s="42" t="str">
        <f>IFERROR(__xludf.DUMMYFUNCTION("""COMPUTED_VALUE"""),"Hiroshi Yamakawa")</f>
        <v>Hiroshi Yamakawa</v>
      </c>
      <c r="AC2810" s="42" t="str">
        <f>IFERROR(__xludf.DUMMYFUNCTION("""COMPUTED_VALUE"""),"HY20Cerebellum")</f>
        <v>HY20Cerebellum</v>
      </c>
      <c r="AD2810" s="42"/>
      <c r="AE2810" s="42"/>
      <c r="AF2810" s="9"/>
      <c r="AG2810" s="9"/>
      <c r="AH2810" s="42"/>
      <c r="AI2810" s="42"/>
      <c r="AJ2810" s="42"/>
      <c r="AK2810" s="42"/>
      <c r="AL2810" s="42"/>
      <c r="AM2810" s="42"/>
      <c r="AN2810" s="42"/>
      <c r="AO2810" s="63" t="str">
        <f>IFERROR(__xludf.DUMMYFUNCTION("IF(ISBLANK(A2810),,IF(ISBLANK(S2810), A2810&amp;"";"", TEXTJOIN(CHAR(10), TRUE, A2810&amp;"";"", ARRAYFORMULA(VLOOKUP(SPLIT(S2810, "";"" &amp; CHAR(10)), $A:$AO, 41, FALSE)))))"),"CBVp;
VeAp;
VePsp;
VePip;
VeFp;")</f>
        <v>CBVp;
VeAp;
VePsp;
VePip;
VeFp;</v>
      </c>
      <c r="AP2810" s="89"/>
    </row>
    <row r="2811">
      <c r="A2811" s="151" t="str">
        <f>IFERROR(__xludf.DUMMYFUNCTION("""COMPUTED_VALUE"""),"CBVg")</f>
        <v>CBVg</v>
      </c>
      <c r="B2811" s="42" t="str">
        <f>IFERROR(__xludf.DUMMYFUNCTION("""COMPUTED_VALUE"""),"collection")</f>
        <v>collection</v>
      </c>
      <c r="C2811" s="42" t="str">
        <f>IFERROR(__xludf.DUMMYFUNCTION("""COMPUTED_VALUE"""),"granular cell of vermis")</f>
        <v>granular cell of vermis</v>
      </c>
      <c r="D2811" s="42">
        <f>IFERROR(__xludf.DUMMYFUNCTION("""COMPUTED_VALUE"""),2677.2)</f>
        <v>2677.2</v>
      </c>
      <c r="E2811" s="39" t="str">
        <f>IFERROR(__xludf.DUMMYFUNCTION("""COMPUTED_VALUE"""),"")</f>
        <v/>
      </c>
      <c r="F2811" s="9" t="str">
        <f>IFERROR(__xludf.DUMMYFUNCTION("""COMPUTED_VALUE"""),"")</f>
        <v/>
      </c>
      <c r="G2811" s="9" t="str">
        <f>IFERROR(__xludf.DUMMYFUNCTION("""COMPUTED_VALUE"""),"")</f>
        <v/>
      </c>
      <c r="H2811" s="9" t="str">
        <f>IFERROR(__xludf.DUMMYFUNCTION("""COMPUTED_VALUE"""),"")</f>
        <v/>
      </c>
      <c r="I2811" s="9" t="str">
        <f>IFERROR(__xludf.DUMMYFUNCTION("""COMPUTED_VALUE"""),"")</f>
        <v/>
      </c>
      <c r="J2811" s="9" t="str">
        <f>IFERROR(__xludf.DUMMYFUNCTION("""COMPUTED_VALUE"""),"")</f>
        <v/>
      </c>
      <c r="K2811" s="9" t="str">
        <f>IFERROR(__xludf.DUMMYFUNCTION("""COMPUTED_VALUE"""),"")</f>
        <v/>
      </c>
      <c r="L2811" s="9" t="str">
        <f>IFERROR(__xludf.DUMMYFUNCTION("""COMPUTED_VALUE"""),"")</f>
        <v/>
      </c>
      <c r="M2811" s="9" t="str">
        <f>IFERROR(__xludf.DUMMYFUNCTION("""COMPUTED_VALUE"""),"")</f>
        <v/>
      </c>
      <c r="N2811" s="9" t="str">
        <f>IFERROR(__xludf.DUMMYFUNCTION("""COMPUTED_VALUE"""),"")</f>
        <v/>
      </c>
      <c r="O2811" s="9" t="str">
        <f>IFERROR(__xludf.DUMMYFUNCTION("""COMPUTED_VALUE"""),"")</f>
        <v/>
      </c>
      <c r="P2811" s="9" t="str">
        <f>IFERROR(__xludf.DUMMYFUNCTION("""COMPUTED_VALUE"""),"")</f>
        <v/>
      </c>
      <c r="Q2811" s="9" t="str">
        <f>IFERROR(__xludf.DUMMYFUNCTION("""COMPUTED_VALUE"""),"")</f>
        <v/>
      </c>
      <c r="R2811" s="9" t="str">
        <f>IFERROR(__xludf.DUMMYFUNCTION("""COMPUTED_VALUE"""),"")</f>
        <v/>
      </c>
      <c r="S2811" s="42" t="str">
        <f>IFERROR(__xludf.DUMMYFUNCTION("""COMPUTED_VALUE"""),"VeAg;
VePsg;
VePig;
VeFg")</f>
        <v>VeAg;
VePsg;
VePig;
VeFg</v>
      </c>
      <c r="T2811" s="42" t="str">
        <f>IFERROR(__xludf.DUMMYFUNCTION("""COMPUTED_VALUE"""),"g")</f>
        <v>g</v>
      </c>
      <c r="U2811" s="159" t="b">
        <f>IFERROR(__xludf.DUMMYFUNCTION("""COMPUTED_VALUE"""),TRUE)</f>
        <v>1</v>
      </c>
      <c r="V2811" s="42"/>
      <c r="W2811" s="42" t="str">
        <f>IFERROR(__xludf.DUMMYFUNCTION("""COMPUTED_VALUE"""),"Excitatory")</f>
        <v>Excitatory</v>
      </c>
      <c r="X2811" s="42"/>
      <c r="Y2811" s="42"/>
      <c r="Z2811" s="42"/>
      <c r="AA2811" s="42"/>
      <c r="AB2811" s="42" t="str">
        <f>IFERROR(__xludf.DUMMYFUNCTION("""COMPUTED_VALUE"""),"Hiroshi Yamakawa")</f>
        <v>Hiroshi Yamakawa</v>
      </c>
      <c r="AC2811" s="42" t="str">
        <f>IFERROR(__xludf.DUMMYFUNCTION("""COMPUTED_VALUE"""),"HY20Cerebellum")</f>
        <v>HY20Cerebellum</v>
      </c>
      <c r="AD2811" s="42"/>
      <c r="AE2811" s="42"/>
      <c r="AF2811" s="9"/>
      <c r="AG2811" s="9"/>
      <c r="AH2811" s="42"/>
      <c r="AI2811" s="42"/>
      <c r="AJ2811" s="42"/>
      <c r="AK2811" s="42"/>
      <c r="AL2811" s="42"/>
      <c r="AM2811" s="42"/>
      <c r="AN2811" s="42"/>
      <c r="AO2811" s="63" t="str">
        <f>IFERROR(__xludf.DUMMYFUNCTION("IF(ISBLANK(A2811),,IF(ISBLANK(S2811), A2811&amp;"";"", TEXTJOIN(CHAR(10), TRUE, A2811&amp;"";"", ARRAYFORMULA(VLOOKUP(SPLIT(S2811, "";"" &amp; CHAR(10)), $A:$AO, 41, FALSE)))))"),"CBVg;
VeAg;
VePsg;
VePig;
VeFg;")</f>
        <v>CBVg;
VeAg;
VePsg;
VePig;
VeFg;</v>
      </c>
      <c r="AP2811" s="89"/>
    </row>
    <row r="2812">
      <c r="A2812" s="151" t="str">
        <f>IFERROR(__xludf.DUMMYFUNCTION("""COMPUTED_VALUE"""),"VeA")</f>
        <v>VeA</v>
      </c>
      <c r="B2812" s="42" t="str">
        <f>IFERROR(__xludf.DUMMYFUNCTION("""COMPUTED_VALUE"""),"DHBA")</f>
        <v>DHBA</v>
      </c>
      <c r="C2812" s="42" t="str">
        <f>IFERROR(__xludf.DUMMYFUNCTION("""COMPUTED_VALUE"""),"vermis, anterior lobe portion")</f>
        <v>vermis, anterior lobe portion</v>
      </c>
      <c r="D2812" s="42">
        <f>IFERROR(__xludf.DUMMYFUNCTION("""COMPUTED_VALUE"""),2678.0)</f>
        <v>2678</v>
      </c>
      <c r="E2812" s="39" t="str">
        <f>IFERROR(__xludf.DUMMYFUNCTION("""COMPUTED_VALUE"""),"vermis, anterior lobe portion")</f>
        <v>vermis, anterior lobe portion</v>
      </c>
      <c r="F2812" s="9" t="str">
        <f>IFERROR(__xludf.DUMMYFUNCTION("""COMPUTED_VALUE"""),"Br")</f>
        <v>Br</v>
      </c>
      <c r="G2812" s="9" t="str">
        <f>IFERROR(__xludf.DUMMYFUNCTION("""COMPUTED_VALUE"""),"H")</f>
        <v>H</v>
      </c>
      <c r="H2812" s="9" t="str">
        <f>IFERROR(__xludf.DUMMYFUNCTION("""COMPUTED_VALUE"""),"HGM")</f>
        <v>HGM</v>
      </c>
      <c r="I2812" s="9" t="str">
        <f>IFERROR(__xludf.DUMMYFUNCTION("""COMPUTED_VALUE"""),"Met")</f>
        <v>Met</v>
      </c>
      <c r="J2812" s="9" t="str">
        <f>IFERROR(__xludf.DUMMYFUNCTION("""COMPUTED_VALUE"""),"CB")</f>
        <v>CB</v>
      </c>
      <c r="K2812" s="9" t="str">
        <f>IFERROR(__xludf.DUMMYFUNCTION("""COMPUTED_VALUE"""),"CBC")</f>
        <v>CBC</v>
      </c>
      <c r="L2812" s="9" t="str">
        <f>IFERROR(__xludf.DUMMYFUNCTION("""COMPUTED_VALUE"""),"CBV")</f>
        <v>CBV</v>
      </c>
      <c r="M2812" s="9" t="str">
        <f>IFERROR(__xludf.DUMMYFUNCTION("""COMPUTED_VALUE"""),"VeA")</f>
        <v>VeA</v>
      </c>
      <c r="N2812" s="9"/>
      <c r="O2812" s="9"/>
      <c r="P2812" s="9"/>
      <c r="Q2812" s="9"/>
      <c r="R2812" s="9"/>
      <c r="S2812" s="42" t="str">
        <f>IFERROR(__xludf.DUMMYFUNCTION("""COMPUTED_VALUE"""),"VeAm;
VeAp;
VeAg")</f>
        <v>VeAm;
VeAp;
VeAg</v>
      </c>
      <c r="T2812" s="42" t="str">
        <f>IFERROR(__xludf.DUMMYFUNCTION("""COMPUTED_VALUE"""),"lobe")</f>
        <v>lobe</v>
      </c>
      <c r="U2812" s="159" t="b">
        <f>IFERROR(__xludf.DUMMYFUNCTION("""COMPUTED_VALUE"""),FALSE)</f>
        <v>0</v>
      </c>
      <c r="V2812" s="42"/>
      <c r="W2812" s="42"/>
      <c r="X2812" s="42"/>
      <c r="Y2812" s="42"/>
      <c r="Z2812" s="42"/>
      <c r="AA2812" s="42"/>
      <c r="AB2812" s="42" t="str">
        <f>IFERROR(__xludf.DUMMYFUNCTION("""COMPUTED_VALUE"""),"allen institute")</f>
        <v>allen institute</v>
      </c>
      <c r="AC2812" s="42" t="str">
        <f>IFERROR(__xludf.DUMMYFUNCTION("""COMPUTED_VALUE"""),"DHBA")</f>
        <v>DHBA</v>
      </c>
      <c r="AD2812" s="42"/>
      <c r="AE2812" s="42"/>
      <c r="AF2812" s="9"/>
      <c r="AG2812" s="9"/>
      <c r="AH2812" s="42"/>
      <c r="AI2812" s="42"/>
      <c r="AJ2812" s="42"/>
      <c r="AK2812" s="42"/>
      <c r="AL2812" s="42"/>
      <c r="AM2812" s="42"/>
      <c r="AN2812" s="42"/>
      <c r="AO2812" s="63" t="str">
        <f>IFERROR(__xludf.DUMMYFUNCTION("IF(ISBLANK(A2812),,IF(ISBLANK(S2812), A2812&amp;"";"", TEXTJOIN(CHAR(10), TRUE, A2812&amp;"";"", ARRAYFORMULA(VLOOKUP(SPLIT(S2812, "";"" &amp; CHAR(10)), $A:$AO, 41, FALSE)))))"),"VeA;
VeAm;
VeAp;
VeAg;")</f>
        <v>VeA;
VeAm;
VeAp;
VeAg;</v>
      </c>
      <c r="AP2812" s="89"/>
    </row>
    <row r="2813">
      <c r="A2813" s="151" t="str">
        <f>IFERROR(__xludf.DUMMYFUNCTION("""COMPUTED_VALUE"""),"VeAm")</f>
        <v>VeAm</v>
      </c>
      <c r="B2813" s="42" t="str">
        <f>IFERROR(__xludf.DUMMYFUNCTION("""COMPUTED_VALUE"""),"DHBA")</f>
        <v>DHBA</v>
      </c>
      <c r="C2813" s="42" t="str">
        <f>IFERROR(__xludf.DUMMYFUNCTION("""COMPUTED_VALUE"""),"molecular layer of VeA")</f>
        <v>molecular layer of VeA</v>
      </c>
      <c r="D2813" s="42">
        <f>IFERROR(__xludf.DUMMYFUNCTION("""COMPUTED_VALUE"""),2679.0)</f>
        <v>2679</v>
      </c>
      <c r="E2813" s="39" t="str">
        <f>IFERROR(__xludf.DUMMYFUNCTION("""COMPUTED_VALUE"""),"molecular layer of VeA")</f>
        <v>molecular layer of VeA</v>
      </c>
      <c r="F2813" s="9" t="str">
        <f>IFERROR(__xludf.DUMMYFUNCTION("""COMPUTED_VALUE"""),"Br")</f>
        <v>Br</v>
      </c>
      <c r="G2813" s="9" t="str">
        <f>IFERROR(__xludf.DUMMYFUNCTION("""COMPUTED_VALUE"""),"H")</f>
        <v>H</v>
      </c>
      <c r="H2813" s="9" t="str">
        <f>IFERROR(__xludf.DUMMYFUNCTION("""COMPUTED_VALUE"""),"HGM")</f>
        <v>HGM</v>
      </c>
      <c r="I2813" s="9" t="str">
        <f>IFERROR(__xludf.DUMMYFUNCTION("""COMPUTED_VALUE"""),"Met")</f>
        <v>Met</v>
      </c>
      <c r="J2813" s="9" t="str">
        <f>IFERROR(__xludf.DUMMYFUNCTION("""COMPUTED_VALUE"""),"CB")</f>
        <v>CB</v>
      </c>
      <c r="K2813" s="9" t="str">
        <f>IFERROR(__xludf.DUMMYFUNCTION("""COMPUTED_VALUE"""),"CBC")</f>
        <v>CBC</v>
      </c>
      <c r="L2813" s="9" t="str">
        <f>IFERROR(__xludf.DUMMYFUNCTION("""COMPUTED_VALUE"""),"CBV")</f>
        <v>CBV</v>
      </c>
      <c r="M2813" s="9" t="str">
        <f>IFERROR(__xludf.DUMMYFUNCTION("""COMPUTED_VALUE"""),"VeA")</f>
        <v>VeA</v>
      </c>
      <c r="N2813" s="9" t="str">
        <f>IFERROR(__xludf.DUMMYFUNCTION("""COMPUTED_VALUE"""),"VeAm")</f>
        <v>VeAm</v>
      </c>
      <c r="O2813" s="9"/>
      <c r="P2813" s="9"/>
      <c r="Q2813" s="9"/>
      <c r="R2813" s="9"/>
      <c r="S2813" s="42"/>
      <c r="T2813" s="42"/>
      <c r="U2813" s="42"/>
      <c r="V2813" s="42"/>
      <c r="W2813" s="42"/>
      <c r="X2813" s="42"/>
      <c r="Y2813" s="42"/>
      <c r="Z2813" s="42"/>
      <c r="AA2813" s="42"/>
      <c r="AB2813" s="42" t="str">
        <f>IFERROR(__xludf.DUMMYFUNCTION("""COMPUTED_VALUE"""),"allen institute")</f>
        <v>allen institute</v>
      </c>
      <c r="AC2813" s="42" t="str">
        <f>IFERROR(__xludf.DUMMYFUNCTION("""COMPUTED_VALUE"""),"DHBA")</f>
        <v>DHBA</v>
      </c>
      <c r="AD2813" s="42"/>
      <c r="AE2813" s="42"/>
      <c r="AF2813" s="9"/>
      <c r="AG2813" s="9"/>
      <c r="AH2813" s="42"/>
      <c r="AI2813" s="42"/>
      <c r="AJ2813" s="42"/>
      <c r="AK2813" s="42"/>
      <c r="AL2813" s="42"/>
      <c r="AM2813" s="42"/>
      <c r="AN2813" s="42"/>
      <c r="AO2813" s="63" t="str">
        <f>IFERROR(__xludf.DUMMYFUNCTION("IF(ISBLANK(A2813),,IF(ISBLANK(S2813), A2813&amp;"";"", TEXTJOIN(CHAR(10), TRUE, A2813&amp;"";"", ARRAYFORMULA(VLOOKUP(SPLIT(S2813, "";"" &amp; CHAR(10)), $A:$AO, 41, FALSE)))))"),"VeAm;")</f>
        <v>VeAm;</v>
      </c>
      <c r="AP2813" s="89"/>
    </row>
    <row r="2814">
      <c r="A2814" s="151" t="str">
        <f>IFERROR(__xludf.DUMMYFUNCTION("""COMPUTED_VALUE"""),"VeAp")</f>
        <v>VeAp</v>
      </c>
      <c r="B2814" s="42" t="str">
        <f>IFERROR(__xludf.DUMMYFUNCTION("""COMPUTED_VALUE"""),"DHBA")</f>
        <v>DHBA</v>
      </c>
      <c r="C2814" s="42" t="str">
        <f>IFERROR(__xludf.DUMMYFUNCTION("""COMPUTED_VALUE"""),"Purkinje cell layer of VeA")</f>
        <v>Purkinje cell layer of VeA</v>
      </c>
      <c r="D2814" s="42">
        <f>IFERROR(__xludf.DUMMYFUNCTION("""COMPUTED_VALUE"""),2680.0)</f>
        <v>2680</v>
      </c>
      <c r="E2814" s="39" t="str">
        <f>IFERROR(__xludf.DUMMYFUNCTION("""COMPUTED_VALUE"""),"Purkinje cell layer of VeA")</f>
        <v>Purkinje cell layer of VeA</v>
      </c>
      <c r="F2814" s="9" t="str">
        <f>IFERROR(__xludf.DUMMYFUNCTION("""COMPUTED_VALUE"""),"Br")</f>
        <v>Br</v>
      </c>
      <c r="G2814" s="9" t="str">
        <f>IFERROR(__xludf.DUMMYFUNCTION("""COMPUTED_VALUE"""),"H")</f>
        <v>H</v>
      </c>
      <c r="H2814" s="9" t="str">
        <f>IFERROR(__xludf.DUMMYFUNCTION("""COMPUTED_VALUE"""),"HGM")</f>
        <v>HGM</v>
      </c>
      <c r="I2814" s="9" t="str">
        <f>IFERROR(__xludf.DUMMYFUNCTION("""COMPUTED_VALUE"""),"Met")</f>
        <v>Met</v>
      </c>
      <c r="J2814" s="9" t="str">
        <f>IFERROR(__xludf.DUMMYFUNCTION("""COMPUTED_VALUE"""),"CB")</f>
        <v>CB</v>
      </c>
      <c r="K2814" s="9" t="str">
        <f>IFERROR(__xludf.DUMMYFUNCTION("""COMPUTED_VALUE"""),"CBC")</f>
        <v>CBC</v>
      </c>
      <c r="L2814" s="9" t="str">
        <f>IFERROR(__xludf.DUMMYFUNCTION("""COMPUTED_VALUE"""),"CBV")</f>
        <v>CBV</v>
      </c>
      <c r="M2814" s="9" t="str">
        <f>IFERROR(__xludf.DUMMYFUNCTION("""COMPUTED_VALUE"""),"VeA")</f>
        <v>VeA</v>
      </c>
      <c r="N2814" s="9" t="str">
        <f>IFERROR(__xludf.DUMMYFUNCTION("""COMPUTED_VALUE"""),"VeAp")</f>
        <v>VeAp</v>
      </c>
      <c r="O2814" s="9"/>
      <c r="P2814" s="9"/>
      <c r="Q2814" s="9"/>
      <c r="R2814" s="9"/>
      <c r="S2814" s="42"/>
      <c r="T2814" s="42"/>
      <c r="U2814" s="42"/>
      <c r="V2814" s="42"/>
      <c r="W2814" s="42"/>
      <c r="X2814" s="42"/>
      <c r="Y2814" s="42"/>
      <c r="Z2814" s="42"/>
      <c r="AA2814" s="42"/>
      <c r="AB2814" s="42" t="str">
        <f>IFERROR(__xludf.DUMMYFUNCTION("""COMPUTED_VALUE"""),"allen institute")</f>
        <v>allen institute</v>
      </c>
      <c r="AC2814" s="42" t="str">
        <f>IFERROR(__xludf.DUMMYFUNCTION("""COMPUTED_VALUE"""),"DHBA")</f>
        <v>DHBA</v>
      </c>
      <c r="AD2814" s="42"/>
      <c r="AE2814" s="42"/>
      <c r="AF2814" s="9"/>
      <c r="AG2814" s="9"/>
      <c r="AH2814" s="42"/>
      <c r="AI2814" s="42"/>
      <c r="AJ2814" s="42"/>
      <c r="AK2814" s="42"/>
      <c r="AL2814" s="42"/>
      <c r="AM2814" s="42"/>
      <c r="AN2814" s="42"/>
      <c r="AO2814" s="63" t="str">
        <f>IFERROR(__xludf.DUMMYFUNCTION("IF(ISBLANK(A2814),,IF(ISBLANK(S2814), A2814&amp;"";"", TEXTJOIN(CHAR(10), TRUE, A2814&amp;"";"", ARRAYFORMULA(VLOOKUP(SPLIT(S2814, "";"" &amp; CHAR(10)), $A:$AO, 41, FALSE)))))"),"VeAp;")</f>
        <v>VeAp;</v>
      </c>
      <c r="AP2814" s="89"/>
    </row>
    <row r="2815">
      <c r="A2815" s="151" t="str">
        <f>IFERROR(__xludf.DUMMYFUNCTION("""COMPUTED_VALUE"""),"VeAg")</f>
        <v>VeAg</v>
      </c>
      <c r="B2815" s="42" t="str">
        <f>IFERROR(__xludf.DUMMYFUNCTION("""COMPUTED_VALUE"""),"DHBA")</f>
        <v>DHBA</v>
      </c>
      <c r="C2815" s="42" t="str">
        <f>IFERROR(__xludf.DUMMYFUNCTION("""COMPUTED_VALUE"""),"granular cell layer of VeA")</f>
        <v>granular cell layer of VeA</v>
      </c>
      <c r="D2815" s="42">
        <f>IFERROR(__xludf.DUMMYFUNCTION("""COMPUTED_VALUE"""),2681.0)</f>
        <v>2681</v>
      </c>
      <c r="E2815" s="39" t="str">
        <f>IFERROR(__xludf.DUMMYFUNCTION("""COMPUTED_VALUE"""),"granular cell layer of VeA")</f>
        <v>granular cell layer of VeA</v>
      </c>
      <c r="F2815" s="9" t="str">
        <f>IFERROR(__xludf.DUMMYFUNCTION("""COMPUTED_VALUE"""),"Br")</f>
        <v>Br</v>
      </c>
      <c r="G2815" s="9" t="str">
        <f>IFERROR(__xludf.DUMMYFUNCTION("""COMPUTED_VALUE"""),"H")</f>
        <v>H</v>
      </c>
      <c r="H2815" s="9" t="str">
        <f>IFERROR(__xludf.DUMMYFUNCTION("""COMPUTED_VALUE"""),"HGM")</f>
        <v>HGM</v>
      </c>
      <c r="I2815" s="9" t="str">
        <f>IFERROR(__xludf.DUMMYFUNCTION("""COMPUTED_VALUE"""),"Met")</f>
        <v>Met</v>
      </c>
      <c r="J2815" s="9" t="str">
        <f>IFERROR(__xludf.DUMMYFUNCTION("""COMPUTED_VALUE"""),"CB")</f>
        <v>CB</v>
      </c>
      <c r="K2815" s="9" t="str">
        <f>IFERROR(__xludf.DUMMYFUNCTION("""COMPUTED_VALUE"""),"CBC")</f>
        <v>CBC</v>
      </c>
      <c r="L2815" s="9" t="str">
        <f>IFERROR(__xludf.DUMMYFUNCTION("""COMPUTED_VALUE"""),"CBV")</f>
        <v>CBV</v>
      </c>
      <c r="M2815" s="9" t="str">
        <f>IFERROR(__xludf.DUMMYFUNCTION("""COMPUTED_VALUE"""),"VeA")</f>
        <v>VeA</v>
      </c>
      <c r="N2815" s="9" t="str">
        <f>IFERROR(__xludf.DUMMYFUNCTION("""COMPUTED_VALUE"""),"VeAg")</f>
        <v>VeAg</v>
      </c>
      <c r="O2815" s="9"/>
      <c r="P2815" s="9"/>
      <c r="Q2815" s="9"/>
      <c r="R2815" s="9"/>
      <c r="S2815" s="42"/>
      <c r="T2815" s="42"/>
      <c r="U2815" s="42"/>
      <c r="V2815" s="42"/>
      <c r="W2815" s="42"/>
      <c r="X2815" s="42"/>
      <c r="Y2815" s="42"/>
      <c r="Z2815" s="42"/>
      <c r="AA2815" s="42"/>
      <c r="AB2815" s="42" t="str">
        <f>IFERROR(__xludf.DUMMYFUNCTION("""COMPUTED_VALUE"""),"allen institute")</f>
        <v>allen institute</v>
      </c>
      <c r="AC2815" s="42" t="str">
        <f>IFERROR(__xludf.DUMMYFUNCTION("""COMPUTED_VALUE"""),"DHBA")</f>
        <v>DHBA</v>
      </c>
      <c r="AD2815" s="42"/>
      <c r="AE2815" s="42"/>
      <c r="AF2815" s="9"/>
      <c r="AG2815" s="9"/>
      <c r="AH2815" s="42"/>
      <c r="AI2815" s="42"/>
      <c r="AJ2815" s="42"/>
      <c r="AK2815" s="42"/>
      <c r="AL2815" s="42"/>
      <c r="AM2815" s="42"/>
      <c r="AN2815" s="42"/>
      <c r="AO2815" s="63" t="str">
        <f>IFERROR(__xludf.DUMMYFUNCTION("IF(ISBLANK(A2815),,IF(ISBLANK(S2815), A2815&amp;"";"", TEXTJOIN(CHAR(10), TRUE, A2815&amp;"";"", ARRAYFORMULA(VLOOKUP(SPLIT(S2815, "";"" &amp; CHAR(10)), $A:$AO, 41, FALSE)))))"),"VeAg;")</f>
        <v>VeAg;</v>
      </c>
      <c r="AP2815" s="89"/>
    </row>
    <row r="2816">
      <c r="A2816" s="151" t="str">
        <f>IFERROR(__xludf.DUMMYFUNCTION("""COMPUTED_VALUE"""),"VePo")</f>
        <v>VePo</v>
      </c>
      <c r="B2816" s="42" t="str">
        <f>IFERROR(__xludf.DUMMYFUNCTION("""COMPUTED_VALUE"""),"DHBA")</f>
        <v>DHBA</v>
      </c>
      <c r="C2816" s="42" t="str">
        <f>IFERROR(__xludf.DUMMYFUNCTION("""COMPUTED_VALUE"""),"vermis, posterior lobe portion")</f>
        <v>vermis, posterior lobe portion</v>
      </c>
      <c r="D2816" s="42">
        <f>IFERROR(__xludf.DUMMYFUNCTION("""COMPUTED_VALUE"""),2682.0)</f>
        <v>2682</v>
      </c>
      <c r="E2816" s="39" t="str">
        <f>IFERROR(__xludf.DUMMYFUNCTION("""COMPUTED_VALUE"""),"vermis, posterior lobe portion")</f>
        <v>vermis, posterior lobe portion</v>
      </c>
      <c r="F2816" s="9" t="str">
        <f>IFERROR(__xludf.DUMMYFUNCTION("""COMPUTED_VALUE"""),"Br")</f>
        <v>Br</v>
      </c>
      <c r="G2816" s="9" t="str">
        <f>IFERROR(__xludf.DUMMYFUNCTION("""COMPUTED_VALUE"""),"H")</f>
        <v>H</v>
      </c>
      <c r="H2816" s="9" t="str">
        <f>IFERROR(__xludf.DUMMYFUNCTION("""COMPUTED_VALUE"""),"HGM")</f>
        <v>HGM</v>
      </c>
      <c r="I2816" s="9" t="str">
        <f>IFERROR(__xludf.DUMMYFUNCTION("""COMPUTED_VALUE"""),"Met")</f>
        <v>Met</v>
      </c>
      <c r="J2816" s="9" t="str">
        <f>IFERROR(__xludf.DUMMYFUNCTION("""COMPUTED_VALUE"""),"CB")</f>
        <v>CB</v>
      </c>
      <c r="K2816" s="9" t="str">
        <f>IFERROR(__xludf.DUMMYFUNCTION("""COMPUTED_VALUE"""),"CBC")</f>
        <v>CBC</v>
      </c>
      <c r="L2816" s="9" t="str">
        <f>IFERROR(__xludf.DUMMYFUNCTION("""COMPUTED_VALUE"""),"CBV")</f>
        <v>CBV</v>
      </c>
      <c r="M2816" s="9" t="str">
        <f>IFERROR(__xludf.DUMMYFUNCTION("""COMPUTED_VALUE"""),"VePo")</f>
        <v>VePo</v>
      </c>
      <c r="N2816" s="9"/>
      <c r="O2816" s="9"/>
      <c r="P2816" s="9"/>
      <c r="Q2816" s="9"/>
      <c r="R2816" s="9"/>
      <c r="S2816" s="42" t="str">
        <f>IFERROR(__xludf.DUMMYFUNCTION("""COMPUTED_VALUE"""),"VePs;
VePi")</f>
        <v>VePs;
VePi</v>
      </c>
      <c r="T2816" s="42" t="str">
        <f>IFERROR(__xludf.DUMMYFUNCTION("""COMPUTED_VALUE"""),"lobe")</f>
        <v>lobe</v>
      </c>
      <c r="U2816" s="42" t="b">
        <f>IFERROR(__xludf.DUMMYFUNCTION("""COMPUTED_VALUE"""),FALSE)</f>
        <v>0</v>
      </c>
      <c r="V2816" s="42"/>
      <c r="W2816" s="42"/>
      <c r="X2816" s="42"/>
      <c r="Y2816" s="42"/>
      <c r="Z2816" s="42"/>
      <c r="AA2816" s="42"/>
      <c r="AB2816" s="42" t="str">
        <f>IFERROR(__xludf.DUMMYFUNCTION("""COMPUTED_VALUE"""),"allen institute")</f>
        <v>allen institute</v>
      </c>
      <c r="AC2816" s="42" t="str">
        <f>IFERROR(__xludf.DUMMYFUNCTION("""COMPUTED_VALUE"""),"DHBA")</f>
        <v>DHBA</v>
      </c>
      <c r="AD2816" s="42"/>
      <c r="AE2816" s="42"/>
      <c r="AF2816" s="9"/>
      <c r="AG2816" s="9"/>
      <c r="AH2816" s="42"/>
      <c r="AI2816" s="42"/>
      <c r="AJ2816" s="42"/>
      <c r="AK2816" s="42"/>
      <c r="AL2816" s="42"/>
      <c r="AM2816" s="42"/>
      <c r="AN2816" s="42"/>
      <c r="AO2816" s="63" t="str">
        <f>IFERROR(__xludf.DUMMYFUNCTION("IF(ISBLANK(A2816),,IF(ISBLANK(S2816), A2816&amp;"";"", TEXTJOIN(CHAR(10), TRUE, A2816&amp;"";"", ARRAYFORMULA(VLOOKUP(SPLIT(S2816, "";"" &amp; CHAR(10)), $A:$AO, 41, FALSE)))))"),"VePo;
VePs;
VePsm;
VePsp;
VePsg;
VePi;
VePim;
VePip;
VePig;")</f>
        <v>VePo;
VePs;
VePsm;
VePsp;
VePsg;
VePi;
VePim;
VePip;
VePig;</v>
      </c>
      <c r="AP2816" s="89"/>
    </row>
    <row r="2817">
      <c r="A2817" s="151" t="str">
        <f>IFERROR(__xludf.DUMMYFUNCTION("""COMPUTED_VALUE"""),"VePs")</f>
        <v>VePs</v>
      </c>
      <c r="B2817" s="42" t="str">
        <f>IFERROR(__xludf.DUMMYFUNCTION("""COMPUTED_VALUE"""),"DHBA")</f>
        <v>DHBA</v>
      </c>
      <c r="C2817" s="42" t="str">
        <f>IFERROR(__xludf.DUMMYFUNCTION("""COMPUTED_VALUE"""),"vermis, posterior lobe portion, superior part")</f>
        <v>vermis, posterior lobe portion, superior part</v>
      </c>
      <c r="D2817" s="42">
        <f>IFERROR(__xludf.DUMMYFUNCTION("""COMPUTED_VALUE"""),2683.0)</f>
        <v>2683</v>
      </c>
      <c r="E2817" s="39" t="str">
        <f>IFERROR(__xludf.DUMMYFUNCTION("""COMPUTED_VALUE"""),"vermis, posterior lobe portion, superior part")</f>
        <v>vermis, posterior lobe portion, superior part</v>
      </c>
      <c r="F2817" s="9" t="str">
        <f>IFERROR(__xludf.DUMMYFUNCTION("""COMPUTED_VALUE"""),"Br")</f>
        <v>Br</v>
      </c>
      <c r="G2817" s="9" t="str">
        <f>IFERROR(__xludf.DUMMYFUNCTION("""COMPUTED_VALUE"""),"H")</f>
        <v>H</v>
      </c>
      <c r="H2817" s="9" t="str">
        <f>IFERROR(__xludf.DUMMYFUNCTION("""COMPUTED_VALUE"""),"HGM")</f>
        <v>HGM</v>
      </c>
      <c r="I2817" s="9" t="str">
        <f>IFERROR(__xludf.DUMMYFUNCTION("""COMPUTED_VALUE"""),"Met")</f>
        <v>Met</v>
      </c>
      <c r="J2817" s="9" t="str">
        <f>IFERROR(__xludf.DUMMYFUNCTION("""COMPUTED_VALUE"""),"CB")</f>
        <v>CB</v>
      </c>
      <c r="K2817" s="9" t="str">
        <f>IFERROR(__xludf.DUMMYFUNCTION("""COMPUTED_VALUE"""),"CBC")</f>
        <v>CBC</v>
      </c>
      <c r="L2817" s="9" t="str">
        <f>IFERROR(__xludf.DUMMYFUNCTION("""COMPUTED_VALUE"""),"CBV")</f>
        <v>CBV</v>
      </c>
      <c r="M2817" s="9" t="str">
        <f>IFERROR(__xludf.DUMMYFUNCTION("""COMPUTED_VALUE"""),"VePo")</f>
        <v>VePo</v>
      </c>
      <c r="N2817" s="9" t="str">
        <f>IFERROR(__xludf.DUMMYFUNCTION("""COMPUTED_VALUE"""),"VePs")</f>
        <v>VePs</v>
      </c>
      <c r="O2817" s="9"/>
      <c r="P2817" s="9"/>
      <c r="Q2817" s="9"/>
      <c r="R2817" s="9"/>
      <c r="S2817" s="42" t="str">
        <f>IFERROR(__xludf.DUMMYFUNCTION("""COMPUTED_VALUE"""),"VePsm;
VePsp;
VePsg")</f>
        <v>VePsm;
VePsp;
VePsg</v>
      </c>
      <c r="T2817" s="42" t="str">
        <f>IFERROR(__xludf.DUMMYFUNCTION("""COMPUTED_VALUE"""),"lobe")</f>
        <v>lobe</v>
      </c>
      <c r="U2817" s="159" t="b">
        <f>IFERROR(__xludf.DUMMYFUNCTION("""COMPUTED_VALUE"""),FALSE)</f>
        <v>0</v>
      </c>
      <c r="V2817" s="42"/>
      <c r="W2817" s="42"/>
      <c r="X2817" s="42"/>
      <c r="Y2817" s="42"/>
      <c r="Z2817" s="42"/>
      <c r="AA2817" s="42"/>
      <c r="AB2817" s="42" t="str">
        <f>IFERROR(__xludf.DUMMYFUNCTION("""COMPUTED_VALUE"""),"allen institute")</f>
        <v>allen institute</v>
      </c>
      <c r="AC2817" s="42" t="str">
        <f>IFERROR(__xludf.DUMMYFUNCTION("""COMPUTED_VALUE"""),"DHBA")</f>
        <v>DHBA</v>
      </c>
      <c r="AD2817" s="42"/>
      <c r="AE2817" s="42"/>
      <c r="AF2817" s="9"/>
      <c r="AG2817" s="9"/>
      <c r="AH2817" s="42"/>
      <c r="AI2817" s="42"/>
      <c r="AJ2817" s="42"/>
      <c r="AK2817" s="42"/>
      <c r="AL2817" s="42"/>
      <c r="AM2817" s="42"/>
      <c r="AN2817" s="42"/>
      <c r="AO2817" s="63" t="str">
        <f>IFERROR(__xludf.DUMMYFUNCTION("IF(ISBLANK(A2817),,IF(ISBLANK(S2817), A2817&amp;"";"", TEXTJOIN(CHAR(10), TRUE, A2817&amp;"";"", ARRAYFORMULA(VLOOKUP(SPLIT(S2817, "";"" &amp; CHAR(10)), $A:$AO, 41, FALSE)))))"),"VePs;
VePsm;
VePsp;
VePsg;")</f>
        <v>VePs;
VePsm;
VePsp;
VePsg;</v>
      </c>
      <c r="AP2817" s="89"/>
    </row>
    <row r="2818">
      <c r="A2818" s="151" t="str">
        <f>IFERROR(__xludf.DUMMYFUNCTION("""COMPUTED_VALUE"""),"VePsm")</f>
        <v>VePsm</v>
      </c>
      <c r="B2818" s="42" t="str">
        <f>IFERROR(__xludf.DUMMYFUNCTION("""COMPUTED_VALUE"""),"DHBA")</f>
        <v>DHBA</v>
      </c>
      <c r="C2818" s="42" t="str">
        <f>IFERROR(__xludf.DUMMYFUNCTION("""COMPUTED_VALUE"""),"molecular layer of VePs")</f>
        <v>molecular layer of VePs</v>
      </c>
      <c r="D2818" s="42">
        <f>IFERROR(__xludf.DUMMYFUNCTION("""COMPUTED_VALUE"""),2684.0)</f>
        <v>2684</v>
      </c>
      <c r="E2818" s="39" t="str">
        <f>IFERROR(__xludf.DUMMYFUNCTION("""COMPUTED_VALUE"""),"molecular layer of VePs")</f>
        <v>molecular layer of VePs</v>
      </c>
      <c r="F2818" s="9" t="str">
        <f>IFERROR(__xludf.DUMMYFUNCTION("""COMPUTED_VALUE"""),"Br")</f>
        <v>Br</v>
      </c>
      <c r="G2818" s="9" t="str">
        <f>IFERROR(__xludf.DUMMYFUNCTION("""COMPUTED_VALUE"""),"H")</f>
        <v>H</v>
      </c>
      <c r="H2818" s="9" t="str">
        <f>IFERROR(__xludf.DUMMYFUNCTION("""COMPUTED_VALUE"""),"HGM")</f>
        <v>HGM</v>
      </c>
      <c r="I2818" s="9" t="str">
        <f>IFERROR(__xludf.DUMMYFUNCTION("""COMPUTED_VALUE"""),"Met")</f>
        <v>Met</v>
      </c>
      <c r="J2818" s="9" t="str">
        <f>IFERROR(__xludf.DUMMYFUNCTION("""COMPUTED_VALUE"""),"CB")</f>
        <v>CB</v>
      </c>
      <c r="K2818" s="9" t="str">
        <f>IFERROR(__xludf.DUMMYFUNCTION("""COMPUTED_VALUE"""),"CBC")</f>
        <v>CBC</v>
      </c>
      <c r="L2818" s="9" t="str">
        <f>IFERROR(__xludf.DUMMYFUNCTION("""COMPUTED_VALUE"""),"CBV")</f>
        <v>CBV</v>
      </c>
      <c r="M2818" s="9" t="str">
        <f>IFERROR(__xludf.DUMMYFUNCTION("""COMPUTED_VALUE"""),"VePo")</f>
        <v>VePo</v>
      </c>
      <c r="N2818" s="9" t="str">
        <f>IFERROR(__xludf.DUMMYFUNCTION("""COMPUTED_VALUE"""),"VePs")</f>
        <v>VePs</v>
      </c>
      <c r="O2818" s="9" t="str">
        <f>IFERROR(__xludf.DUMMYFUNCTION("""COMPUTED_VALUE"""),"VePsm")</f>
        <v>VePsm</v>
      </c>
      <c r="P2818" s="9"/>
      <c r="Q2818" s="9"/>
      <c r="R2818" s="9"/>
      <c r="S2818" s="42"/>
      <c r="T2818" s="42"/>
      <c r="U2818" s="42"/>
      <c r="V2818" s="42"/>
      <c r="W2818" s="42"/>
      <c r="X2818" s="42"/>
      <c r="Y2818" s="42"/>
      <c r="Z2818" s="42"/>
      <c r="AA2818" s="42"/>
      <c r="AB2818" s="42" t="str">
        <f>IFERROR(__xludf.DUMMYFUNCTION("""COMPUTED_VALUE"""),"allen institute")</f>
        <v>allen institute</v>
      </c>
      <c r="AC2818" s="42" t="str">
        <f>IFERROR(__xludf.DUMMYFUNCTION("""COMPUTED_VALUE"""),"DHBA")</f>
        <v>DHBA</v>
      </c>
      <c r="AD2818" s="42"/>
      <c r="AE2818" s="42"/>
      <c r="AF2818" s="9"/>
      <c r="AG2818" s="9"/>
      <c r="AH2818" s="42"/>
      <c r="AI2818" s="42"/>
      <c r="AJ2818" s="42"/>
      <c r="AK2818" s="42"/>
      <c r="AL2818" s="42"/>
      <c r="AM2818" s="42"/>
      <c r="AN2818" s="42"/>
      <c r="AO2818" s="63" t="str">
        <f>IFERROR(__xludf.DUMMYFUNCTION("IF(ISBLANK(A2818),,IF(ISBLANK(S2818), A2818&amp;"";"", TEXTJOIN(CHAR(10), TRUE, A2818&amp;"";"", ARRAYFORMULA(VLOOKUP(SPLIT(S2818, "";"" &amp; CHAR(10)), $A:$AO, 41, FALSE)))))"),"VePsm;")</f>
        <v>VePsm;</v>
      </c>
      <c r="AP2818" s="89"/>
    </row>
    <row r="2819">
      <c r="A2819" s="151" t="str">
        <f>IFERROR(__xludf.DUMMYFUNCTION("""COMPUTED_VALUE"""),"VePsp")</f>
        <v>VePsp</v>
      </c>
      <c r="B2819" s="42" t="str">
        <f>IFERROR(__xludf.DUMMYFUNCTION("""COMPUTED_VALUE"""),"DHBA")</f>
        <v>DHBA</v>
      </c>
      <c r="C2819" s="42" t="str">
        <f>IFERROR(__xludf.DUMMYFUNCTION("""COMPUTED_VALUE"""),"Purkinje cell layer of VePs")</f>
        <v>Purkinje cell layer of VePs</v>
      </c>
      <c r="D2819" s="42">
        <f>IFERROR(__xludf.DUMMYFUNCTION("""COMPUTED_VALUE"""),2685.0)</f>
        <v>2685</v>
      </c>
      <c r="E2819" s="39" t="str">
        <f>IFERROR(__xludf.DUMMYFUNCTION("""COMPUTED_VALUE"""),"Purkinje cell layer of VePs")</f>
        <v>Purkinje cell layer of VePs</v>
      </c>
      <c r="F2819" s="9" t="str">
        <f>IFERROR(__xludf.DUMMYFUNCTION("""COMPUTED_VALUE"""),"Br")</f>
        <v>Br</v>
      </c>
      <c r="G2819" s="9" t="str">
        <f>IFERROR(__xludf.DUMMYFUNCTION("""COMPUTED_VALUE"""),"H")</f>
        <v>H</v>
      </c>
      <c r="H2819" s="9" t="str">
        <f>IFERROR(__xludf.DUMMYFUNCTION("""COMPUTED_VALUE"""),"HGM")</f>
        <v>HGM</v>
      </c>
      <c r="I2819" s="9" t="str">
        <f>IFERROR(__xludf.DUMMYFUNCTION("""COMPUTED_VALUE"""),"Met")</f>
        <v>Met</v>
      </c>
      <c r="J2819" s="9" t="str">
        <f>IFERROR(__xludf.DUMMYFUNCTION("""COMPUTED_VALUE"""),"CB")</f>
        <v>CB</v>
      </c>
      <c r="K2819" s="9" t="str">
        <f>IFERROR(__xludf.DUMMYFUNCTION("""COMPUTED_VALUE"""),"CBC")</f>
        <v>CBC</v>
      </c>
      <c r="L2819" s="9" t="str">
        <f>IFERROR(__xludf.DUMMYFUNCTION("""COMPUTED_VALUE"""),"CBV")</f>
        <v>CBV</v>
      </c>
      <c r="M2819" s="9" t="str">
        <f>IFERROR(__xludf.DUMMYFUNCTION("""COMPUTED_VALUE"""),"VePo")</f>
        <v>VePo</v>
      </c>
      <c r="N2819" s="9" t="str">
        <f>IFERROR(__xludf.DUMMYFUNCTION("""COMPUTED_VALUE"""),"VePs")</f>
        <v>VePs</v>
      </c>
      <c r="O2819" s="9" t="str">
        <f>IFERROR(__xludf.DUMMYFUNCTION("""COMPUTED_VALUE"""),"VePsp")</f>
        <v>VePsp</v>
      </c>
      <c r="P2819" s="9"/>
      <c r="Q2819" s="9"/>
      <c r="R2819" s="9"/>
      <c r="S2819" s="42"/>
      <c r="T2819" s="42"/>
      <c r="U2819" s="42"/>
      <c r="V2819" s="42"/>
      <c r="W2819" s="42"/>
      <c r="X2819" s="42"/>
      <c r="Y2819" s="42"/>
      <c r="Z2819" s="42"/>
      <c r="AA2819" s="42"/>
      <c r="AB2819" s="42" t="str">
        <f>IFERROR(__xludf.DUMMYFUNCTION("""COMPUTED_VALUE"""),"allen institute")</f>
        <v>allen institute</v>
      </c>
      <c r="AC2819" s="42" t="str">
        <f>IFERROR(__xludf.DUMMYFUNCTION("""COMPUTED_VALUE"""),"DHBA")</f>
        <v>DHBA</v>
      </c>
      <c r="AD2819" s="42"/>
      <c r="AE2819" s="42"/>
      <c r="AF2819" s="9"/>
      <c r="AG2819" s="9"/>
      <c r="AH2819" s="42"/>
      <c r="AI2819" s="42"/>
      <c r="AJ2819" s="42"/>
      <c r="AK2819" s="42"/>
      <c r="AL2819" s="42"/>
      <c r="AM2819" s="42"/>
      <c r="AN2819" s="42"/>
      <c r="AO2819" s="63" t="str">
        <f>IFERROR(__xludf.DUMMYFUNCTION("IF(ISBLANK(A2819),,IF(ISBLANK(S2819), A2819&amp;"";"", TEXTJOIN(CHAR(10), TRUE, A2819&amp;"";"", ARRAYFORMULA(VLOOKUP(SPLIT(S2819, "";"" &amp; CHAR(10)), $A:$AO, 41, FALSE)))))"),"VePsp;")</f>
        <v>VePsp;</v>
      </c>
      <c r="AP2819" s="89"/>
    </row>
    <row r="2820">
      <c r="A2820" s="151" t="str">
        <f>IFERROR(__xludf.DUMMYFUNCTION("""COMPUTED_VALUE"""),"VePsg")</f>
        <v>VePsg</v>
      </c>
      <c r="B2820" s="42" t="str">
        <f>IFERROR(__xludf.DUMMYFUNCTION("""COMPUTED_VALUE"""),"DHBA")</f>
        <v>DHBA</v>
      </c>
      <c r="C2820" s="42" t="str">
        <f>IFERROR(__xludf.DUMMYFUNCTION("""COMPUTED_VALUE"""),"granular cell layer of VePs")</f>
        <v>granular cell layer of VePs</v>
      </c>
      <c r="D2820" s="42">
        <f>IFERROR(__xludf.DUMMYFUNCTION("""COMPUTED_VALUE"""),2686.0)</f>
        <v>2686</v>
      </c>
      <c r="E2820" s="39" t="str">
        <f>IFERROR(__xludf.DUMMYFUNCTION("""COMPUTED_VALUE"""),"granular cell layer of VePs")</f>
        <v>granular cell layer of VePs</v>
      </c>
      <c r="F2820" s="9" t="str">
        <f>IFERROR(__xludf.DUMMYFUNCTION("""COMPUTED_VALUE"""),"Br")</f>
        <v>Br</v>
      </c>
      <c r="G2820" s="9" t="str">
        <f>IFERROR(__xludf.DUMMYFUNCTION("""COMPUTED_VALUE"""),"H")</f>
        <v>H</v>
      </c>
      <c r="H2820" s="9" t="str">
        <f>IFERROR(__xludf.DUMMYFUNCTION("""COMPUTED_VALUE"""),"HGM")</f>
        <v>HGM</v>
      </c>
      <c r="I2820" s="9" t="str">
        <f>IFERROR(__xludf.DUMMYFUNCTION("""COMPUTED_VALUE"""),"Met")</f>
        <v>Met</v>
      </c>
      <c r="J2820" s="9" t="str">
        <f>IFERROR(__xludf.DUMMYFUNCTION("""COMPUTED_VALUE"""),"CB")</f>
        <v>CB</v>
      </c>
      <c r="K2820" s="9" t="str">
        <f>IFERROR(__xludf.DUMMYFUNCTION("""COMPUTED_VALUE"""),"CBC")</f>
        <v>CBC</v>
      </c>
      <c r="L2820" s="9" t="str">
        <f>IFERROR(__xludf.DUMMYFUNCTION("""COMPUTED_VALUE"""),"CBV")</f>
        <v>CBV</v>
      </c>
      <c r="M2820" s="9" t="str">
        <f>IFERROR(__xludf.DUMMYFUNCTION("""COMPUTED_VALUE"""),"VePo")</f>
        <v>VePo</v>
      </c>
      <c r="N2820" s="9" t="str">
        <f>IFERROR(__xludf.DUMMYFUNCTION("""COMPUTED_VALUE"""),"VePs")</f>
        <v>VePs</v>
      </c>
      <c r="O2820" s="9" t="str">
        <f>IFERROR(__xludf.DUMMYFUNCTION("""COMPUTED_VALUE"""),"VePsg")</f>
        <v>VePsg</v>
      </c>
      <c r="P2820" s="9"/>
      <c r="Q2820" s="9"/>
      <c r="R2820" s="9"/>
      <c r="S2820" s="42"/>
      <c r="T2820" s="42"/>
      <c r="U2820" s="42"/>
      <c r="V2820" s="42"/>
      <c r="W2820" s="42"/>
      <c r="X2820" s="42"/>
      <c r="Y2820" s="42"/>
      <c r="Z2820" s="42"/>
      <c r="AA2820" s="42"/>
      <c r="AB2820" s="42" t="str">
        <f>IFERROR(__xludf.DUMMYFUNCTION("""COMPUTED_VALUE"""),"allen institute")</f>
        <v>allen institute</v>
      </c>
      <c r="AC2820" s="42" t="str">
        <f>IFERROR(__xludf.DUMMYFUNCTION("""COMPUTED_VALUE"""),"DHBA")</f>
        <v>DHBA</v>
      </c>
      <c r="AD2820" s="42"/>
      <c r="AE2820" s="42"/>
      <c r="AF2820" s="9"/>
      <c r="AG2820" s="9"/>
      <c r="AH2820" s="42"/>
      <c r="AI2820" s="42"/>
      <c r="AJ2820" s="42"/>
      <c r="AK2820" s="42"/>
      <c r="AL2820" s="42"/>
      <c r="AM2820" s="42"/>
      <c r="AN2820" s="42"/>
      <c r="AO2820" s="63" t="str">
        <f>IFERROR(__xludf.DUMMYFUNCTION("IF(ISBLANK(A2820),,IF(ISBLANK(S2820), A2820&amp;"";"", TEXTJOIN(CHAR(10), TRUE, A2820&amp;"";"", ARRAYFORMULA(VLOOKUP(SPLIT(S2820, "";"" &amp; CHAR(10)), $A:$AO, 41, FALSE)))))"),"VePsg;")</f>
        <v>VePsg;</v>
      </c>
      <c r="AP2820" s="89"/>
    </row>
    <row r="2821">
      <c r="A2821" s="151" t="str">
        <f>IFERROR(__xludf.DUMMYFUNCTION("""COMPUTED_VALUE"""),"VePi")</f>
        <v>VePi</v>
      </c>
      <c r="B2821" s="42" t="str">
        <f>IFERROR(__xludf.DUMMYFUNCTION("""COMPUTED_VALUE"""),"DHBA")</f>
        <v>DHBA</v>
      </c>
      <c r="C2821" s="42" t="str">
        <f>IFERROR(__xludf.DUMMYFUNCTION("""COMPUTED_VALUE"""),"vermis, posterior lobe portion, inferior part")</f>
        <v>vermis, posterior lobe portion, inferior part</v>
      </c>
      <c r="D2821" s="42">
        <f>IFERROR(__xludf.DUMMYFUNCTION("""COMPUTED_VALUE"""),2687.0)</f>
        <v>2687</v>
      </c>
      <c r="E2821" s="39" t="str">
        <f>IFERROR(__xludf.DUMMYFUNCTION("""COMPUTED_VALUE"""),"vermis, posterior lobe portion, inferior part")</f>
        <v>vermis, posterior lobe portion, inferior part</v>
      </c>
      <c r="F2821" s="9" t="str">
        <f>IFERROR(__xludf.DUMMYFUNCTION("""COMPUTED_VALUE"""),"Br")</f>
        <v>Br</v>
      </c>
      <c r="G2821" s="9" t="str">
        <f>IFERROR(__xludf.DUMMYFUNCTION("""COMPUTED_VALUE"""),"H")</f>
        <v>H</v>
      </c>
      <c r="H2821" s="9" t="str">
        <f>IFERROR(__xludf.DUMMYFUNCTION("""COMPUTED_VALUE"""),"HGM")</f>
        <v>HGM</v>
      </c>
      <c r="I2821" s="9" t="str">
        <f>IFERROR(__xludf.DUMMYFUNCTION("""COMPUTED_VALUE"""),"Met")</f>
        <v>Met</v>
      </c>
      <c r="J2821" s="9" t="str">
        <f>IFERROR(__xludf.DUMMYFUNCTION("""COMPUTED_VALUE"""),"CB")</f>
        <v>CB</v>
      </c>
      <c r="K2821" s="9" t="str">
        <f>IFERROR(__xludf.DUMMYFUNCTION("""COMPUTED_VALUE"""),"CBC")</f>
        <v>CBC</v>
      </c>
      <c r="L2821" s="9" t="str">
        <f>IFERROR(__xludf.DUMMYFUNCTION("""COMPUTED_VALUE"""),"CBV")</f>
        <v>CBV</v>
      </c>
      <c r="M2821" s="9" t="str">
        <f>IFERROR(__xludf.DUMMYFUNCTION("""COMPUTED_VALUE"""),"VePo")</f>
        <v>VePo</v>
      </c>
      <c r="N2821" s="9" t="str">
        <f>IFERROR(__xludf.DUMMYFUNCTION("""COMPUTED_VALUE"""),"VePi")</f>
        <v>VePi</v>
      </c>
      <c r="O2821" s="9"/>
      <c r="P2821" s="9"/>
      <c r="Q2821" s="9"/>
      <c r="R2821" s="9"/>
      <c r="S2821" s="42" t="str">
        <f>IFERROR(__xludf.DUMMYFUNCTION("""COMPUTED_VALUE"""),"VePim;
VePip;
VePig")</f>
        <v>VePim;
VePip;
VePig</v>
      </c>
      <c r="T2821" s="42" t="str">
        <f>IFERROR(__xludf.DUMMYFUNCTION("""COMPUTED_VALUE"""),"lobe")</f>
        <v>lobe</v>
      </c>
      <c r="U2821" s="42" t="b">
        <f>IFERROR(__xludf.DUMMYFUNCTION("""COMPUTED_VALUE"""),FALSE)</f>
        <v>0</v>
      </c>
      <c r="V2821" s="42"/>
      <c r="W2821" s="42"/>
      <c r="X2821" s="42"/>
      <c r="Y2821" s="42"/>
      <c r="Z2821" s="42"/>
      <c r="AA2821" s="42"/>
      <c r="AB2821" s="42" t="str">
        <f>IFERROR(__xludf.DUMMYFUNCTION("""COMPUTED_VALUE"""),"allen institute")</f>
        <v>allen institute</v>
      </c>
      <c r="AC2821" s="42" t="str">
        <f>IFERROR(__xludf.DUMMYFUNCTION("""COMPUTED_VALUE"""),"DHBA")</f>
        <v>DHBA</v>
      </c>
      <c r="AD2821" s="42"/>
      <c r="AE2821" s="42"/>
      <c r="AF2821" s="9"/>
      <c r="AG2821" s="9"/>
      <c r="AH2821" s="42"/>
      <c r="AI2821" s="42"/>
      <c r="AJ2821" s="42"/>
      <c r="AK2821" s="42"/>
      <c r="AL2821" s="42"/>
      <c r="AM2821" s="42"/>
      <c r="AN2821" s="42"/>
      <c r="AO2821" s="63" t="str">
        <f>IFERROR(__xludf.DUMMYFUNCTION("IF(ISBLANK(A2821),,IF(ISBLANK(S2821), A2821&amp;"";"", TEXTJOIN(CHAR(10), TRUE, A2821&amp;"";"", ARRAYFORMULA(VLOOKUP(SPLIT(S2821, "";"" &amp; CHAR(10)), $A:$AO, 41, FALSE)))))"),"VePi;
VePim;
VePip;
VePig;")</f>
        <v>VePi;
VePim;
VePip;
VePig;</v>
      </c>
      <c r="AP2821" s="89"/>
    </row>
    <row r="2822">
      <c r="A2822" s="151" t="str">
        <f>IFERROR(__xludf.DUMMYFUNCTION("""COMPUTED_VALUE"""),"VePim")</f>
        <v>VePim</v>
      </c>
      <c r="B2822" s="42" t="str">
        <f>IFERROR(__xludf.DUMMYFUNCTION("""COMPUTED_VALUE"""),"DHBA")</f>
        <v>DHBA</v>
      </c>
      <c r="C2822" s="42" t="str">
        <f>IFERROR(__xludf.DUMMYFUNCTION("""COMPUTED_VALUE"""),"molecular layer of VePi")</f>
        <v>molecular layer of VePi</v>
      </c>
      <c r="D2822" s="42">
        <f>IFERROR(__xludf.DUMMYFUNCTION("""COMPUTED_VALUE"""),2688.0)</f>
        <v>2688</v>
      </c>
      <c r="E2822" s="39" t="str">
        <f>IFERROR(__xludf.DUMMYFUNCTION("""COMPUTED_VALUE"""),"molecular layer of VePi")</f>
        <v>molecular layer of VePi</v>
      </c>
      <c r="F2822" s="9" t="str">
        <f>IFERROR(__xludf.DUMMYFUNCTION("""COMPUTED_VALUE"""),"Br")</f>
        <v>Br</v>
      </c>
      <c r="G2822" s="9" t="str">
        <f>IFERROR(__xludf.DUMMYFUNCTION("""COMPUTED_VALUE"""),"H")</f>
        <v>H</v>
      </c>
      <c r="H2822" s="9" t="str">
        <f>IFERROR(__xludf.DUMMYFUNCTION("""COMPUTED_VALUE"""),"HGM")</f>
        <v>HGM</v>
      </c>
      <c r="I2822" s="9" t="str">
        <f>IFERROR(__xludf.DUMMYFUNCTION("""COMPUTED_VALUE"""),"Met")</f>
        <v>Met</v>
      </c>
      <c r="J2822" s="9" t="str">
        <f>IFERROR(__xludf.DUMMYFUNCTION("""COMPUTED_VALUE"""),"CB")</f>
        <v>CB</v>
      </c>
      <c r="K2822" s="9" t="str">
        <f>IFERROR(__xludf.DUMMYFUNCTION("""COMPUTED_VALUE"""),"CBC")</f>
        <v>CBC</v>
      </c>
      <c r="L2822" s="9" t="str">
        <f>IFERROR(__xludf.DUMMYFUNCTION("""COMPUTED_VALUE"""),"CBV")</f>
        <v>CBV</v>
      </c>
      <c r="M2822" s="9" t="str">
        <f>IFERROR(__xludf.DUMMYFUNCTION("""COMPUTED_VALUE"""),"VePo")</f>
        <v>VePo</v>
      </c>
      <c r="N2822" s="9" t="str">
        <f>IFERROR(__xludf.DUMMYFUNCTION("""COMPUTED_VALUE"""),"VePi")</f>
        <v>VePi</v>
      </c>
      <c r="O2822" s="9" t="str">
        <f>IFERROR(__xludf.DUMMYFUNCTION("""COMPUTED_VALUE"""),"VePim")</f>
        <v>VePim</v>
      </c>
      <c r="P2822" s="9"/>
      <c r="Q2822" s="9"/>
      <c r="R2822" s="9"/>
      <c r="S2822" s="42"/>
      <c r="T2822" s="42"/>
      <c r="U2822" s="42"/>
      <c r="V2822" s="42"/>
      <c r="W2822" s="42"/>
      <c r="X2822" s="42"/>
      <c r="Y2822" s="42"/>
      <c r="Z2822" s="42"/>
      <c r="AA2822" s="42"/>
      <c r="AB2822" s="42" t="str">
        <f>IFERROR(__xludf.DUMMYFUNCTION("""COMPUTED_VALUE"""),"allen institute")</f>
        <v>allen institute</v>
      </c>
      <c r="AC2822" s="42" t="str">
        <f>IFERROR(__xludf.DUMMYFUNCTION("""COMPUTED_VALUE"""),"DHBA")</f>
        <v>DHBA</v>
      </c>
      <c r="AD2822" s="42"/>
      <c r="AE2822" s="42"/>
      <c r="AF2822" s="9"/>
      <c r="AG2822" s="9"/>
      <c r="AH2822" s="42"/>
      <c r="AI2822" s="42"/>
      <c r="AJ2822" s="42"/>
      <c r="AK2822" s="42"/>
      <c r="AL2822" s="42"/>
      <c r="AM2822" s="42"/>
      <c r="AN2822" s="42"/>
      <c r="AO2822" s="63" t="str">
        <f>IFERROR(__xludf.DUMMYFUNCTION("IF(ISBLANK(A2822),,IF(ISBLANK(S2822), A2822&amp;"";"", TEXTJOIN(CHAR(10), TRUE, A2822&amp;"";"", ARRAYFORMULA(VLOOKUP(SPLIT(S2822, "";"" &amp; CHAR(10)), $A:$AO, 41, FALSE)))))"),"VePim;")</f>
        <v>VePim;</v>
      </c>
      <c r="AP2822" s="89"/>
    </row>
    <row r="2823">
      <c r="A2823" s="151" t="str">
        <f>IFERROR(__xludf.DUMMYFUNCTION("""COMPUTED_VALUE"""),"VePip")</f>
        <v>VePip</v>
      </c>
      <c r="B2823" s="42" t="str">
        <f>IFERROR(__xludf.DUMMYFUNCTION("""COMPUTED_VALUE"""),"DHBA")</f>
        <v>DHBA</v>
      </c>
      <c r="C2823" s="42" t="str">
        <f>IFERROR(__xludf.DUMMYFUNCTION("""COMPUTED_VALUE"""),"Purkinje cell layer of VePi")</f>
        <v>Purkinje cell layer of VePi</v>
      </c>
      <c r="D2823" s="42">
        <f>IFERROR(__xludf.DUMMYFUNCTION("""COMPUTED_VALUE"""),2689.0)</f>
        <v>2689</v>
      </c>
      <c r="E2823" s="39" t="str">
        <f>IFERROR(__xludf.DUMMYFUNCTION("""COMPUTED_VALUE"""),"Purkinje cell layer of VePi")</f>
        <v>Purkinje cell layer of VePi</v>
      </c>
      <c r="F2823" s="9" t="str">
        <f>IFERROR(__xludf.DUMMYFUNCTION("""COMPUTED_VALUE"""),"Br")</f>
        <v>Br</v>
      </c>
      <c r="G2823" s="9" t="str">
        <f>IFERROR(__xludf.DUMMYFUNCTION("""COMPUTED_VALUE"""),"H")</f>
        <v>H</v>
      </c>
      <c r="H2823" s="9" t="str">
        <f>IFERROR(__xludf.DUMMYFUNCTION("""COMPUTED_VALUE"""),"HGM")</f>
        <v>HGM</v>
      </c>
      <c r="I2823" s="9" t="str">
        <f>IFERROR(__xludf.DUMMYFUNCTION("""COMPUTED_VALUE"""),"Met")</f>
        <v>Met</v>
      </c>
      <c r="J2823" s="9" t="str">
        <f>IFERROR(__xludf.DUMMYFUNCTION("""COMPUTED_VALUE"""),"CB")</f>
        <v>CB</v>
      </c>
      <c r="K2823" s="9" t="str">
        <f>IFERROR(__xludf.DUMMYFUNCTION("""COMPUTED_VALUE"""),"CBC")</f>
        <v>CBC</v>
      </c>
      <c r="L2823" s="9" t="str">
        <f>IFERROR(__xludf.DUMMYFUNCTION("""COMPUTED_VALUE"""),"CBV")</f>
        <v>CBV</v>
      </c>
      <c r="M2823" s="9" t="str">
        <f>IFERROR(__xludf.DUMMYFUNCTION("""COMPUTED_VALUE"""),"VePo")</f>
        <v>VePo</v>
      </c>
      <c r="N2823" s="9" t="str">
        <f>IFERROR(__xludf.DUMMYFUNCTION("""COMPUTED_VALUE"""),"VePi")</f>
        <v>VePi</v>
      </c>
      <c r="O2823" s="9" t="str">
        <f>IFERROR(__xludf.DUMMYFUNCTION("""COMPUTED_VALUE"""),"VePip")</f>
        <v>VePip</v>
      </c>
      <c r="P2823" s="9"/>
      <c r="Q2823" s="9"/>
      <c r="R2823" s="9"/>
      <c r="S2823" s="42"/>
      <c r="T2823" s="42"/>
      <c r="U2823" s="42"/>
      <c r="V2823" s="42"/>
      <c r="W2823" s="42"/>
      <c r="X2823" s="42"/>
      <c r="Y2823" s="42"/>
      <c r="Z2823" s="42"/>
      <c r="AA2823" s="42"/>
      <c r="AB2823" s="42" t="str">
        <f>IFERROR(__xludf.DUMMYFUNCTION("""COMPUTED_VALUE"""),"allen institute")</f>
        <v>allen institute</v>
      </c>
      <c r="AC2823" s="42" t="str">
        <f>IFERROR(__xludf.DUMMYFUNCTION("""COMPUTED_VALUE"""),"DHBA")</f>
        <v>DHBA</v>
      </c>
      <c r="AD2823" s="42"/>
      <c r="AE2823" s="42"/>
      <c r="AF2823" s="9"/>
      <c r="AG2823" s="9"/>
      <c r="AH2823" s="42"/>
      <c r="AI2823" s="42"/>
      <c r="AJ2823" s="42"/>
      <c r="AK2823" s="42"/>
      <c r="AL2823" s="42"/>
      <c r="AM2823" s="42"/>
      <c r="AN2823" s="42"/>
      <c r="AO2823" s="63" t="str">
        <f>IFERROR(__xludf.DUMMYFUNCTION("IF(ISBLANK(A2823),,IF(ISBLANK(S2823), A2823&amp;"";"", TEXTJOIN(CHAR(10), TRUE, A2823&amp;"";"", ARRAYFORMULA(VLOOKUP(SPLIT(S2823, "";"" &amp; CHAR(10)), $A:$AO, 41, FALSE)))))"),"VePip;")</f>
        <v>VePip;</v>
      </c>
      <c r="AP2823" s="89"/>
    </row>
    <row r="2824">
      <c r="A2824" s="151" t="str">
        <f>IFERROR(__xludf.DUMMYFUNCTION("""COMPUTED_VALUE"""),"VePig")</f>
        <v>VePig</v>
      </c>
      <c r="B2824" s="42" t="str">
        <f>IFERROR(__xludf.DUMMYFUNCTION("""COMPUTED_VALUE"""),"DHBA")</f>
        <v>DHBA</v>
      </c>
      <c r="C2824" s="42" t="str">
        <f>IFERROR(__xludf.DUMMYFUNCTION("""COMPUTED_VALUE"""),"granular cell layer of VePi")</f>
        <v>granular cell layer of VePi</v>
      </c>
      <c r="D2824" s="42">
        <f>IFERROR(__xludf.DUMMYFUNCTION("""COMPUTED_VALUE"""),2690.0)</f>
        <v>2690</v>
      </c>
      <c r="E2824" s="39" t="str">
        <f>IFERROR(__xludf.DUMMYFUNCTION("""COMPUTED_VALUE"""),"granular cell layer of VePi")</f>
        <v>granular cell layer of VePi</v>
      </c>
      <c r="F2824" s="9" t="str">
        <f>IFERROR(__xludf.DUMMYFUNCTION("""COMPUTED_VALUE"""),"Br")</f>
        <v>Br</v>
      </c>
      <c r="G2824" s="9" t="str">
        <f>IFERROR(__xludf.DUMMYFUNCTION("""COMPUTED_VALUE"""),"H")</f>
        <v>H</v>
      </c>
      <c r="H2824" s="9" t="str">
        <f>IFERROR(__xludf.DUMMYFUNCTION("""COMPUTED_VALUE"""),"HGM")</f>
        <v>HGM</v>
      </c>
      <c r="I2824" s="9" t="str">
        <f>IFERROR(__xludf.DUMMYFUNCTION("""COMPUTED_VALUE"""),"Met")</f>
        <v>Met</v>
      </c>
      <c r="J2824" s="9" t="str">
        <f>IFERROR(__xludf.DUMMYFUNCTION("""COMPUTED_VALUE"""),"CB")</f>
        <v>CB</v>
      </c>
      <c r="K2824" s="9" t="str">
        <f>IFERROR(__xludf.DUMMYFUNCTION("""COMPUTED_VALUE"""),"CBC")</f>
        <v>CBC</v>
      </c>
      <c r="L2824" s="9" t="str">
        <f>IFERROR(__xludf.DUMMYFUNCTION("""COMPUTED_VALUE"""),"CBV")</f>
        <v>CBV</v>
      </c>
      <c r="M2824" s="9" t="str">
        <f>IFERROR(__xludf.DUMMYFUNCTION("""COMPUTED_VALUE"""),"VePo")</f>
        <v>VePo</v>
      </c>
      <c r="N2824" s="9" t="str">
        <f>IFERROR(__xludf.DUMMYFUNCTION("""COMPUTED_VALUE"""),"VePi")</f>
        <v>VePi</v>
      </c>
      <c r="O2824" s="9" t="str">
        <f>IFERROR(__xludf.DUMMYFUNCTION("""COMPUTED_VALUE"""),"VePig")</f>
        <v>VePig</v>
      </c>
      <c r="P2824" s="9"/>
      <c r="Q2824" s="9"/>
      <c r="R2824" s="9"/>
      <c r="S2824" s="42"/>
      <c r="T2824" s="42"/>
      <c r="U2824" s="159"/>
      <c r="V2824" s="42"/>
      <c r="W2824" s="42"/>
      <c r="X2824" s="42"/>
      <c r="Y2824" s="42"/>
      <c r="Z2824" s="42"/>
      <c r="AA2824" s="42"/>
      <c r="AB2824" s="42" t="str">
        <f>IFERROR(__xludf.DUMMYFUNCTION("""COMPUTED_VALUE"""),"allen institute")</f>
        <v>allen institute</v>
      </c>
      <c r="AC2824" s="42" t="str">
        <f>IFERROR(__xludf.DUMMYFUNCTION("""COMPUTED_VALUE"""),"DHBA")</f>
        <v>DHBA</v>
      </c>
      <c r="AD2824" s="42"/>
      <c r="AE2824" s="42"/>
      <c r="AF2824" s="9"/>
      <c r="AG2824" s="9"/>
      <c r="AH2824" s="42"/>
      <c r="AI2824" s="42"/>
      <c r="AJ2824" s="42"/>
      <c r="AK2824" s="42"/>
      <c r="AL2824" s="42"/>
      <c r="AM2824" s="42"/>
      <c r="AN2824" s="42"/>
      <c r="AO2824" s="63" t="str">
        <f>IFERROR(__xludf.DUMMYFUNCTION("IF(ISBLANK(A2824),,IF(ISBLANK(S2824), A2824&amp;"";"", TEXTJOIN(CHAR(10), TRUE, A2824&amp;"";"", ARRAYFORMULA(VLOOKUP(SPLIT(S2824, "";"" &amp; CHAR(10)), $A:$AO, 41, FALSE)))))"),"VePig;")</f>
        <v>VePig;</v>
      </c>
      <c r="AP2824" s="89"/>
    </row>
    <row r="2825">
      <c r="A2825" s="151" t="str">
        <f>IFERROR(__xludf.DUMMYFUNCTION("""COMPUTED_VALUE"""),"VeF")</f>
        <v>VeF</v>
      </c>
      <c r="B2825" s="42" t="str">
        <f>IFERROR(__xludf.DUMMYFUNCTION("""COMPUTED_VALUE"""),"DHBA")</f>
        <v>DHBA</v>
      </c>
      <c r="C2825" s="42" t="str">
        <f>IFERROR(__xludf.DUMMYFUNCTION("""COMPUTED_VALUE"""),"vermis, flocculonodular lobe portion (nodulus)")</f>
        <v>vermis, flocculonodular lobe portion (nodulus)</v>
      </c>
      <c r="D2825" s="42">
        <f>IFERROR(__xludf.DUMMYFUNCTION("""COMPUTED_VALUE"""),2691.0)</f>
        <v>2691</v>
      </c>
      <c r="E2825" s="39" t="str">
        <f>IFERROR(__xludf.DUMMYFUNCTION("""COMPUTED_VALUE"""),"vermis, flocculonodular lobe portion (nodulus)")</f>
        <v>vermis, flocculonodular lobe portion (nodulus)</v>
      </c>
      <c r="F2825" s="9" t="str">
        <f>IFERROR(__xludf.DUMMYFUNCTION("""COMPUTED_VALUE"""),"Br")</f>
        <v>Br</v>
      </c>
      <c r="G2825" s="9" t="str">
        <f>IFERROR(__xludf.DUMMYFUNCTION("""COMPUTED_VALUE"""),"H")</f>
        <v>H</v>
      </c>
      <c r="H2825" s="9" t="str">
        <f>IFERROR(__xludf.DUMMYFUNCTION("""COMPUTED_VALUE"""),"HGM")</f>
        <v>HGM</v>
      </c>
      <c r="I2825" s="9" t="str">
        <f>IFERROR(__xludf.DUMMYFUNCTION("""COMPUTED_VALUE"""),"Met")</f>
        <v>Met</v>
      </c>
      <c r="J2825" s="9" t="str">
        <f>IFERROR(__xludf.DUMMYFUNCTION("""COMPUTED_VALUE"""),"CB")</f>
        <v>CB</v>
      </c>
      <c r="K2825" s="9" t="str">
        <f>IFERROR(__xludf.DUMMYFUNCTION("""COMPUTED_VALUE"""),"CBC")</f>
        <v>CBC</v>
      </c>
      <c r="L2825" s="9" t="str">
        <f>IFERROR(__xludf.DUMMYFUNCTION("""COMPUTED_VALUE"""),"CBV")</f>
        <v>CBV</v>
      </c>
      <c r="M2825" s="9" t="str">
        <f>IFERROR(__xludf.DUMMYFUNCTION("""COMPUTED_VALUE"""),"VeF")</f>
        <v>VeF</v>
      </c>
      <c r="N2825" s="9"/>
      <c r="O2825" s="9"/>
      <c r="P2825" s="9"/>
      <c r="Q2825" s="9"/>
      <c r="R2825" s="9"/>
      <c r="S2825" s="42" t="str">
        <f>IFERROR(__xludf.DUMMYFUNCTION("""COMPUTED_VALUE"""),"VeFm;
VeFp;
VeFg")</f>
        <v>VeFm;
VeFp;
VeFg</v>
      </c>
      <c r="T2825" s="42" t="str">
        <f>IFERROR(__xludf.DUMMYFUNCTION("""COMPUTED_VALUE"""),"lobe")</f>
        <v>lobe</v>
      </c>
      <c r="U2825" s="42" t="b">
        <f>IFERROR(__xludf.DUMMYFUNCTION("""COMPUTED_VALUE"""),FALSE)</f>
        <v>0</v>
      </c>
      <c r="V2825" s="42"/>
      <c r="W2825" s="42"/>
      <c r="X2825" s="42"/>
      <c r="Y2825" s="42"/>
      <c r="Z2825" s="42"/>
      <c r="AA2825" s="42"/>
      <c r="AB2825" s="42" t="str">
        <f>IFERROR(__xludf.DUMMYFUNCTION("""COMPUTED_VALUE"""),"allen institute")</f>
        <v>allen institute</v>
      </c>
      <c r="AC2825" s="42" t="str">
        <f>IFERROR(__xludf.DUMMYFUNCTION("""COMPUTED_VALUE"""),"DHBA")</f>
        <v>DHBA</v>
      </c>
      <c r="AD2825" s="42"/>
      <c r="AE2825" s="42"/>
      <c r="AF2825" s="9"/>
      <c r="AG2825" s="9"/>
      <c r="AH2825" s="42"/>
      <c r="AI2825" s="42"/>
      <c r="AJ2825" s="42"/>
      <c r="AK2825" s="42"/>
      <c r="AL2825" s="42"/>
      <c r="AM2825" s="42"/>
      <c r="AN2825" s="42"/>
      <c r="AO2825" s="63" t="str">
        <f>IFERROR(__xludf.DUMMYFUNCTION("IF(ISBLANK(A2825),,IF(ISBLANK(S2825), A2825&amp;"";"", TEXTJOIN(CHAR(10), TRUE, A2825&amp;"";"", ARRAYFORMULA(VLOOKUP(SPLIT(S2825, "";"" &amp; CHAR(10)), $A:$AO, 41, FALSE)))))"),"VeF;
VeFm;
VeFp;
VeFg;")</f>
        <v>VeF;
VeFm;
VeFp;
VeFg;</v>
      </c>
      <c r="AP2825" s="89"/>
    </row>
    <row r="2826">
      <c r="A2826" s="151" t="str">
        <f>IFERROR(__xludf.DUMMYFUNCTION("""COMPUTED_VALUE"""),"VeFm")</f>
        <v>VeFm</v>
      </c>
      <c r="B2826" s="42" t="str">
        <f>IFERROR(__xludf.DUMMYFUNCTION("""COMPUTED_VALUE"""),"DHBA")</f>
        <v>DHBA</v>
      </c>
      <c r="C2826" s="42" t="str">
        <f>IFERROR(__xludf.DUMMYFUNCTION("""COMPUTED_VALUE"""),"molecular layer of VeF")</f>
        <v>molecular layer of VeF</v>
      </c>
      <c r="D2826" s="42">
        <f>IFERROR(__xludf.DUMMYFUNCTION("""COMPUTED_VALUE"""),2692.0)</f>
        <v>2692</v>
      </c>
      <c r="E2826" s="39" t="str">
        <f>IFERROR(__xludf.DUMMYFUNCTION("""COMPUTED_VALUE"""),"molecular layer of VeF")</f>
        <v>molecular layer of VeF</v>
      </c>
      <c r="F2826" s="9" t="str">
        <f>IFERROR(__xludf.DUMMYFUNCTION("""COMPUTED_VALUE"""),"Br")</f>
        <v>Br</v>
      </c>
      <c r="G2826" s="9" t="str">
        <f>IFERROR(__xludf.DUMMYFUNCTION("""COMPUTED_VALUE"""),"H")</f>
        <v>H</v>
      </c>
      <c r="H2826" s="9" t="str">
        <f>IFERROR(__xludf.DUMMYFUNCTION("""COMPUTED_VALUE"""),"HGM")</f>
        <v>HGM</v>
      </c>
      <c r="I2826" s="9" t="str">
        <f>IFERROR(__xludf.DUMMYFUNCTION("""COMPUTED_VALUE"""),"Met")</f>
        <v>Met</v>
      </c>
      <c r="J2826" s="9" t="str">
        <f>IFERROR(__xludf.DUMMYFUNCTION("""COMPUTED_VALUE"""),"CB")</f>
        <v>CB</v>
      </c>
      <c r="K2826" s="9" t="str">
        <f>IFERROR(__xludf.DUMMYFUNCTION("""COMPUTED_VALUE"""),"CBC")</f>
        <v>CBC</v>
      </c>
      <c r="L2826" s="9" t="str">
        <f>IFERROR(__xludf.DUMMYFUNCTION("""COMPUTED_VALUE"""),"CBV")</f>
        <v>CBV</v>
      </c>
      <c r="M2826" s="9" t="str">
        <f>IFERROR(__xludf.DUMMYFUNCTION("""COMPUTED_VALUE"""),"VeF")</f>
        <v>VeF</v>
      </c>
      <c r="N2826" s="9" t="str">
        <f>IFERROR(__xludf.DUMMYFUNCTION("""COMPUTED_VALUE"""),"VeFm")</f>
        <v>VeFm</v>
      </c>
      <c r="O2826" s="9"/>
      <c r="P2826" s="9"/>
      <c r="Q2826" s="9"/>
      <c r="R2826" s="9"/>
      <c r="S2826" s="42"/>
      <c r="T2826" s="42"/>
      <c r="U2826" s="42"/>
      <c r="V2826" s="42"/>
      <c r="W2826" s="42"/>
      <c r="X2826" s="42"/>
      <c r="Y2826" s="42"/>
      <c r="Z2826" s="42"/>
      <c r="AA2826" s="42"/>
      <c r="AB2826" s="42" t="str">
        <f>IFERROR(__xludf.DUMMYFUNCTION("""COMPUTED_VALUE"""),"allen institute")</f>
        <v>allen institute</v>
      </c>
      <c r="AC2826" s="42" t="str">
        <f>IFERROR(__xludf.DUMMYFUNCTION("""COMPUTED_VALUE"""),"DHBA")</f>
        <v>DHBA</v>
      </c>
      <c r="AD2826" s="42"/>
      <c r="AE2826" s="42"/>
      <c r="AF2826" s="9"/>
      <c r="AG2826" s="9"/>
      <c r="AH2826" s="42"/>
      <c r="AI2826" s="42"/>
      <c r="AJ2826" s="42"/>
      <c r="AK2826" s="42"/>
      <c r="AL2826" s="42"/>
      <c r="AM2826" s="42"/>
      <c r="AN2826" s="42"/>
      <c r="AO2826" s="63" t="str">
        <f>IFERROR(__xludf.DUMMYFUNCTION("IF(ISBLANK(A2826),,IF(ISBLANK(S2826), A2826&amp;"";"", TEXTJOIN(CHAR(10), TRUE, A2826&amp;"";"", ARRAYFORMULA(VLOOKUP(SPLIT(S2826, "";"" &amp; CHAR(10)), $A:$AO, 41, FALSE)))))"),"VeFm;")</f>
        <v>VeFm;</v>
      </c>
      <c r="AP2826" s="89"/>
    </row>
    <row r="2827">
      <c r="A2827" s="151" t="str">
        <f>IFERROR(__xludf.DUMMYFUNCTION("""COMPUTED_VALUE"""),"VeFp")</f>
        <v>VeFp</v>
      </c>
      <c r="B2827" s="42" t="str">
        <f>IFERROR(__xludf.DUMMYFUNCTION("""COMPUTED_VALUE"""),"DHBA")</f>
        <v>DHBA</v>
      </c>
      <c r="C2827" s="42" t="str">
        <f>IFERROR(__xludf.DUMMYFUNCTION("""COMPUTED_VALUE"""),"Purkinje cell layer of VeF")</f>
        <v>Purkinje cell layer of VeF</v>
      </c>
      <c r="D2827" s="42">
        <f>IFERROR(__xludf.DUMMYFUNCTION("""COMPUTED_VALUE"""),2693.0)</f>
        <v>2693</v>
      </c>
      <c r="E2827" s="39" t="str">
        <f>IFERROR(__xludf.DUMMYFUNCTION("""COMPUTED_VALUE"""),"Purkinje cell layer of VeF")</f>
        <v>Purkinje cell layer of VeF</v>
      </c>
      <c r="F2827" s="9" t="str">
        <f>IFERROR(__xludf.DUMMYFUNCTION("""COMPUTED_VALUE"""),"Br")</f>
        <v>Br</v>
      </c>
      <c r="G2827" s="9" t="str">
        <f>IFERROR(__xludf.DUMMYFUNCTION("""COMPUTED_VALUE"""),"H")</f>
        <v>H</v>
      </c>
      <c r="H2827" s="9" t="str">
        <f>IFERROR(__xludf.DUMMYFUNCTION("""COMPUTED_VALUE"""),"HGM")</f>
        <v>HGM</v>
      </c>
      <c r="I2827" s="9" t="str">
        <f>IFERROR(__xludf.DUMMYFUNCTION("""COMPUTED_VALUE"""),"Met")</f>
        <v>Met</v>
      </c>
      <c r="J2827" s="9" t="str">
        <f>IFERROR(__xludf.DUMMYFUNCTION("""COMPUTED_VALUE"""),"CB")</f>
        <v>CB</v>
      </c>
      <c r="K2827" s="9" t="str">
        <f>IFERROR(__xludf.DUMMYFUNCTION("""COMPUTED_VALUE"""),"CBC")</f>
        <v>CBC</v>
      </c>
      <c r="L2827" s="9" t="str">
        <f>IFERROR(__xludf.DUMMYFUNCTION("""COMPUTED_VALUE"""),"CBV")</f>
        <v>CBV</v>
      </c>
      <c r="M2827" s="9" t="str">
        <f>IFERROR(__xludf.DUMMYFUNCTION("""COMPUTED_VALUE"""),"VeF")</f>
        <v>VeF</v>
      </c>
      <c r="N2827" s="9" t="str">
        <f>IFERROR(__xludf.DUMMYFUNCTION("""COMPUTED_VALUE"""),"VeFp")</f>
        <v>VeFp</v>
      </c>
      <c r="O2827" s="9"/>
      <c r="P2827" s="9"/>
      <c r="Q2827" s="9"/>
      <c r="R2827" s="9"/>
      <c r="S2827" s="42"/>
      <c r="T2827" s="42"/>
      <c r="U2827" s="159"/>
      <c r="V2827" s="42"/>
      <c r="W2827" s="42"/>
      <c r="X2827" s="42"/>
      <c r="Y2827" s="42"/>
      <c r="Z2827" s="42"/>
      <c r="AA2827" s="42"/>
      <c r="AB2827" s="42" t="str">
        <f>IFERROR(__xludf.DUMMYFUNCTION("""COMPUTED_VALUE"""),"allen institute")</f>
        <v>allen institute</v>
      </c>
      <c r="AC2827" s="42" t="str">
        <f>IFERROR(__xludf.DUMMYFUNCTION("""COMPUTED_VALUE"""),"DHBA")</f>
        <v>DHBA</v>
      </c>
      <c r="AD2827" s="42"/>
      <c r="AE2827" s="42"/>
      <c r="AF2827" s="9"/>
      <c r="AG2827" s="9"/>
      <c r="AH2827" s="42"/>
      <c r="AI2827" s="42"/>
      <c r="AJ2827" s="42"/>
      <c r="AK2827" s="42"/>
      <c r="AL2827" s="42"/>
      <c r="AM2827" s="42"/>
      <c r="AN2827" s="42"/>
      <c r="AO2827" s="63" t="str">
        <f>IFERROR(__xludf.DUMMYFUNCTION("IF(ISBLANK(A2827),,IF(ISBLANK(S2827), A2827&amp;"";"", TEXTJOIN(CHAR(10), TRUE, A2827&amp;"";"", ARRAYFORMULA(VLOOKUP(SPLIT(S2827, "";"" &amp; CHAR(10)), $A:$AO, 41, FALSE)))))"),"VeFp;")</f>
        <v>VeFp;</v>
      </c>
      <c r="AP2827" s="89"/>
    </row>
    <row r="2828">
      <c r="A2828" s="151" t="str">
        <f>IFERROR(__xludf.DUMMYFUNCTION("""COMPUTED_VALUE"""),"VeFg")</f>
        <v>VeFg</v>
      </c>
      <c r="B2828" s="42" t="str">
        <f>IFERROR(__xludf.DUMMYFUNCTION("""COMPUTED_VALUE"""),"DHBA")</f>
        <v>DHBA</v>
      </c>
      <c r="C2828" s="42" t="str">
        <f>IFERROR(__xludf.DUMMYFUNCTION("""COMPUTED_VALUE"""),"granular cell layer of VeF")</f>
        <v>granular cell layer of VeF</v>
      </c>
      <c r="D2828" s="42">
        <f>IFERROR(__xludf.DUMMYFUNCTION("""COMPUTED_VALUE"""),2694.0)</f>
        <v>2694</v>
      </c>
      <c r="E2828" s="39" t="str">
        <f>IFERROR(__xludf.DUMMYFUNCTION("""COMPUTED_VALUE"""),"granular cell layer of VeF")</f>
        <v>granular cell layer of VeF</v>
      </c>
      <c r="F2828" s="9" t="str">
        <f>IFERROR(__xludf.DUMMYFUNCTION("""COMPUTED_VALUE"""),"Br")</f>
        <v>Br</v>
      </c>
      <c r="G2828" s="9" t="str">
        <f>IFERROR(__xludf.DUMMYFUNCTION("""COMPUTED_VALUE"""),"H")</f>
        <v>H</v>
      </c>
      <c r="H2828" s="9" t="str">
        <f>IFERROR(__xludf.DUMMYFUNCTION("""COMPUTED_VALUE"""),"HGM")</f>
        <v>HGM</v>
      </c>
      <c r="I2828" s="9" t="str">
        <f>IFERROR(__xludf.DUMMYFUNCTION("""COMPUTED_VALUE"""),"Met")</f>
        <v>Met</v>
      </c>
      <c r="J2828" s="9" t="str">
        <f>IFERROR(__xludf.DUMMYFUNCTION("""COMPUTED_VALUE"""),"CB")</f>
        <v>CB</v>
      </c>
      <c r="K2828" s="9" t="str">
        <f>IFERROR(__xludf.DUMMYFUNCTION("""COMPUTED_VALUE"""),"CBC")</f>
        <v>CBC</v>
      </c>
      <c r="L2828" s="9" t="str">
        <f>IFERROR(__xludf.DUMMYFUNCTION("""COMPUTED_VALUE"""),"CBV")</f>
        <v>CBV</v>
      </c>
      <c r="M2828" s="9" t="str">
        <f>IFERROR(__xludf.DUMMYFUNCTION("""COMPUTED_VALUE"""),"VeF")</f>
        <v>VeF</v>
      </c>
      <c r="N2828" s="9" t="str">
        <f>IFERROR(__xludf.DUMMYFUNCTION("""COMPUTED_VALUE"""),"VeFg")</f>
        <v>VeFg</v>
      </c>
      <c r="O2828" s="9"/>
      <c r="P2828" s="9"/>
      <c r="Q2828" s="9"/>
      <c r="R2828" s="9"/>
      <c r="S2828" s="42"/>
      <c r="T2828" s="42"/>
      <c r="U2828" s="159"/>
      <c r="V2828" s="42"/>
      <c r="W2828" s="42"/>
      <c r="X2828" s="42"/>
      <c r="Y2828" s="42"/>
      <c r="Z2828" s="42"/>
      <c r="AA2828" s="42"/>
      <c r="AB2828" s="42" t="str">
        <f>IFERROR(__xludf.DUMMYFUNCTION("""COMPUTED_VALUE"""),"allen institute")</f>
        <v>allen institute</v>
      </c>
      <c r="AC2828" s="42" t="str">
        <f>IFERROR(__xludf.DUMMYFUNCTION("""COMPUTED_VALUE"""),"DHBA")</f>
        <v>DHBA</v>
      </c>
      <c r="AD2828" s="42"/>
      <c r="AE2828" s="42"/>
      <c r="AF2828" s="9"/>
      <c r="AG2828" s="9"/>
      <c r="AH2828" s="42"/>
      <c r="AI2828" s="42"/>
      <c r="AJ2828" s="42"/>
      <c r="AK2828" s="42"/>
      <c r="AL2828" s="42"/>
      <c r="AM2828" s="42"/>
      <c r="AN2828" s="42"/>
      <c r="AO2828" s="63" t="str">
        <f>IFERROR(__xludf.DUMMYFUNCTION("IF(ISBLANK(A2828),,IF(ISBLANK(S2828), A2828&amp;"";"", TEXTJOIN(CHAR(10), TRUE, A2828&amp;"";"", ARRAYFORMULA(VLOOKUP(SPLIT(S2828, "";"" &amp; CHAR(10)), $A:$AO, 41, FALSE)))))"),"VeFg;")</f>
        <v>VeFg;</v>
      </c>
      <c r="AP2828" s="89"/>
    </row>
    <row r="2829">
      <c r="A2829" s="151" t="str">
        <f>IFERROR(__xludf.DUMMYFUNCTION("""COMPUTED_VALUE"""),"CBH")</f>
        <v>CBH</v>
      </c>
      <c r="B2829" s="42" t="str">
        <f>IFERROR(__xludf.DUMMYFUNCTION("""COMPUTED_VALUE"""),"DHBA")</f>
        <v>DHBA</v>
      </c>
      <c r="C2829" s="42" t="str">
        <f>IFERROR(__xludf.DUMMYFUNCTION("""COMPUTED_VALUE"""),"cerebellar hemisphere")</f>
        <v>cerebellar hemisphere</v>
      </c>
      <c r="D2829" s="42">
        <f>IFERROR(__xludf.DUMMYFUNCTION("""COMPUTED_VALUE"""),2695.0)</f>
        <v>2695</v>
      </c>
      <c r="E2829" s="39" t="str">
        <f>IFERROR(__xludf.DUMMYFUNCTION("""COMPUTED_VALUE"""),"cerebellar hemisphere")</f>
        <v>cerebellar hemisphere</v>
      </c>
      <c r="F2829" s="9" t="str">
        <f>IFERROR(__xludf.DUMMYFUNCTION("""COMPUTED_VALUE"""),"Br")</f>
        <v>Br</v>
      </c>
      <c r="G2829" s="9" t="str">
        <f>IFERROR(__xludf.DUMMYFUNCTION("""COMPUTED_VALUE"""),"H")</f>
        <v>H</v>
      </c>
      <c r="H2829" s="9" t="str">
        <f>IFERROR(__xludf.DUMMYFUNCTION("""COMPUTED_VALUE"""),"HGM")</f>
        <v>HGM</v>
      </c>
      <c r="I2829" s="9" t="str">
        <f>IFERROR(__xludf.DUMMYFUNCTION("""COMPUTED_VALUE"""),"Met")</f>
        <v>Met</v>
      </c>
      <c r="J2829" s="9" t="str">
        <f>IFERROR(__xludf.DUMMYFUNCTION("""COMPUTED_VALUE"""),"CB")</f>
        <v>CB</v>
      </c>
      <c r="K2829" s="9" t="str">
        <f>IFERROR(__xludf.DUMMYFUNCTION("""COMPUTED_VALUE"""),"CBC")</f>
        <v>CBC</v>
      </c>
      <c r="L2829" s="9" t="str">
        <f>IFERROR(__xludf.DUMMYFUNCTION("""COMPUTED_VALUE"""),"CBH")</f>
        <v>CBH</v>
      </c>
      <c r="M2829" s="9"/>
      <c r="N2829" s="9"/>
      <c r="O2829" s="9"/>
      <c r="P2829" s="9"/>
      <c r="Q2829" s="9"/>
      <c r="R2829" s="9"/>
      <c r="S2829" s="42" t="str">
        <f>IFERROR(__xludf.DUMMYFUNCTION("""COMPUTED_VALUE"""),"CBPV;
CBL")</f>
        <v>CBPV;
CBL</v>
      </c>
      <c r="T2829" s="42"/>
      <c r="U2829" s="159" t="b">
        <f>IFERROR(__xludf.DUMMYFUNCTION("""COMPUTED_VALUE"""),FALSE)</f>
        <v>0</v>
      </c>
      <c r="V2829" s="42"/>
      <c r="W2829" s="42"/>
      <c r="X2829" s="42"/>
      <c r="Y2829" s="42"/>
      <c r="Z2829" s="42"/>
      <c r="AA2829" s="42"/>
      <c r="AB2829" s="42" t="str">
        <f>IFERROR(__xludf.DUMMYFUNCTION("""COMPUTED_VALUE"""),"allen institute")</f>
        <v>allen institute</v>
      </c>
      <c r="AC2829" s="42" t="str">
        <f>IFERROR(__xludf.DUMMYFUNCTION("""COMPUTED_VALUE"""),"DHBA")</f>
        <v>DHBA</v>
      </c>
      <c r="AD2829" s="42"/>
      <c r="AE2829" s="42"/>
      <c r="AF2829" s="9"/>
      <c r="AG2829" s="9"/>
      <c r="AH2829" s="42"/>
      <c r="AI2829" s="42"/>
      <c r="AJ2829" s="42"/>
      <c r="AK2829" s="42"/>
      <c r="AL2829" s="42"/>
      <c r="AM2829" s="42"/>
      <c r="AN2829" s="42"/>
      <c r="AO2829" s="63" t="str">
        <f>IFERROR(__xludf.DUMMYFUNCTION("IF(ISBLANK(A2829),,IF(ISBLANK(S2829), A2829&amp;"";"", TEXTJOIN(CHAR(10), TRUE, A2829&amp;"";"", ARRAYFORMULA(VLOOKUP(SPLIT(S2829, "";"" &amp; CHAR(10)), $A:$AO, 41, FALSE)))))"),"CBH;
CBPV;
PVA;
PVAm;
PVAp;
PVAg;
PVP;
PVPs;
PVPsm;
PVPsp;
PVPsg;
PVPi;
PVPim;
PVPip;
PVPig;
PVF;
PVFm;
PVFp;
PVFg;
CBL;
CBLA;
CBLAm;
CBLAp;
CBLAg;
CBLp;
CBLAp;
CBLPsp;
CBLPip;
CBLFp;
CBLF;
CBLFm;
CBLFp;
CBLFg;")</f>
        <v>CBH;
CBPV;
PVA;
PVAm;
PVAp;
PVAg;
PVP;
PVPs;
PVPsm;
PVPsp;
PVPsg;
PVPi;
PVPim;
PVPip;
PVPig;
PVF;
PVFm;
PVFp;
PVFg;
CBL;
CBLA;
CBLAm;
CBLAp;
CBLAg;
CBLp;
CBLAp;
CBLPsp;
CBLPip;
CBLFp;
CBLF;
CBLFm;
CBLFp;
CBLFg;</v>
      </c>
      <c r="AP2829" s="89"/>
    </row>
    <row r="2830">
      <c r="A2830" s="151" t="str">
        <f>IFERROR(__xludf.DUMMYFUNCTION("""COMPUTED_VALUE"""),"CBPV")</f>
        <v>CBPV</v>
      </c>
      <c r="B2830" s="42" t="str">
        <f>IFERROR(__xludf.DUMMYFUNCTION("""COMPUTED_VALUE"""),"DHBA")</f>
        <v>DHBA</v>
      </c>
      <c r="C2830" s="42" t="str">
        <f>IFERROR(__xludf.DUMMYFUNCTION("""COMPUTED_VALUE"""),"paravermis of cerebellum")</f>
        <v>paravermis of cerebellum</v>
      </c>
      <c r="D2830" s="42">
        <f>IFERROR(__xludf.DUMMYFUNCTION("""COMPUTED_VALUE"""),2696.0)</f>
        <v>2696</v>
      </c>
      <c r="E2830" s="39" t="str">
        <f>IFERROR(__xludf.DUMMYFUNCTION("""COMPUTED_VALUE"""),"paravermis of cerebellum")</f>
        <v>paravermis of cerebellum</v>
      </c>
      <c r="F2830" s="9" t="str">
        <f>IFERROR(__xludf.DUMMYFUNCTION("""COMPUTED_VALUE"""),"Br")</f>
        <v>Br</v>
      </c>
      <c r="G2830" s="9" t="str">
        <f>IFERROR(__xludf.DUMMYFUNCTION("""COMPUTED_VALUE"""),"H")</f>
        <v>H</v>
      </c>
      <c r="H2830" s="9" t="str">
        <f>IFERROR(__xludf.DUMMYFUNCTION("""COMPUTED_VALUE"""),"HGM")</f>
        <v>HGM</v>
      </c>
      <c r="I2830" s="9" t="str">
        <f>IFERROR(__xludf.DUMMYFUNCTION("""COMPUTED_VALUE"""),"Met")</f>
        <v>Met</v>
      </c>
      <c r="J2830" s="9" t="str">
        <f>IFERROR(__xludf.DUMMYFUNCTION("""COMPUTED_VALUE"""),"CB")</f>
        <v>CB</v>
      </c>
      <c r="K2830" s="9" t="str">
        <f>IFERROR(__xludf.DUMMYFUNCTION("""COMPUTED_VALUE"""),"CBC")</f>
        <v>CBC</v>
      </c>
      <c r="L2830" s="9" t="str">
        <f>IFERROR(__xludf.DUMMYFUNCTION("""COMPUTED_VALUE"""),"CBH")</f>
        <v>CBH</v>
      </c>
      <c r="M2830" s="9" t="str">
        <f>IFERROR(__xludf.DUMMYFUNCTION("""COMPUTED_VALUE"""),"CBPV")</f>
        <v>CBPV</v>
      </c>
      <c r="N2830" s="9"/>
      <c r="O2830" s="9"/>
      <c r="P2830" s="9"/>
      <c r="Q2830" s="9"/>
      <c r="R2830" s="9"/>
      <c r="S2830" s="42" t="str">
        <f>IFERROR(__xludf.DUMMYFUNCTION("""COMPUTED_VALUE"""),"PVA;
PVP;
PVF")</f>
        <v>PVA;
PVP;
PVF</v>
      </c>
      <c r="T2830" s="42"/>
      <c r="U2830" s="42" t="b">
        <f>IFERROR(__xludf.DUMMYFUNCTION("""COMPUTED_VALUE"""),FALSE)</f>
        <v>0</v>
      </c>
      <c r="V2830" s="42"/>
      <c r="W2830" s="42"/>
      <c r="X2830" s="42"/>
      <c r="Y2830" s="42"/>
      <c r="Z2830" s="42"/>
      <c r="AA2830" s="42"/>
      <c r="AB2830" s="42" t="str">
        <f>IFERROR(__xludf.DUMMYFUNCTION("""COMPUTED_VALUE"""),"allen institute")</f>
        <v>allen institute</v>
      </c>
      <c r="AC2830" s="42" t="str">
        <f>IFERROR(__xludf.DUMMYFUNCTION("""COMPUTED_VALUE"""),"DHBA")</f>
        <v>DHBA</v>
      </c>
      <c r="AD2830" s="42"/>
      <c r="AE2830" s="42"/>
      <c r="AF2830" s="9"/>
      <c r="AG2830" s="9"/>
      <c r="AH2830" s="42"/>
      <c r="AI2830" s="42"/>
      <c r="AJ2830" s="42"/>
      <c r="AK2830" s="42"/>
      <c r="AL2830" s="42"/>
      <c r="AM2830" s="42"/>
      <c r="AN2830" s="42"/>
      <c r="AO2830" s="63" t="str">
        <f>IFERROR(__xludf.DUMMYFUNCTION("IF(ISBLANK(A2830),,IF(ISBLANK(S2830), A2830&amp;"";"", TEXTJOIN(CHAR(10), TRUE, A2830&amp;"";"", ARRAYFORMULA(VLOOKUP(SPLIT(S2830, "";"" &amp; CHAR(10)), $A:$AO, 41, FALSE)))))"),"CBPV;
PVA;
PVAm;
PVAp;
PVAg;
PVP;
PVPs;
PVPsm;
PVPsp;
PVPsg;
PVPi;
PVPim;
PVPip;
PVPig;
PVF;
PVFm;
PVFp;
PVFg;")</f>
        <v>CBPV;
PVA;
PVAm;
PVAp;
PVAg;
PVP;
PVPs;
PVPsm;
PVPsp;
PVPsg;
PVPi;
PVPim;
PVPip;
PVPig;
PVF;
PVFm;
PVFp;
PVFg;</v>
      </c>
      <c r="AP2830" s="89"/>
    </row>
    <row r="2831">
      <c r="A2831" s="151" t="str">
        <f>IFERROR(__xludf.DUMMYFUNCTION("""COMPUTED_VALUE"""),"CBPVp")</f>
        <v>CBPVp</v>
      </c>
      <c r="B2831" s="42" t="str">
        <f>IFERROR(__xludf.DUMMYFUNCTION("""COMPUTED_VALUE"""),"collection")</f>
        <v>collection</v>
      </c>
      <c r="C2831" s="42" t="str">
        <f>IFERROR(__xludf.DUMMYFUNCTION("""COMPUTED_VALUE"""),"purkinjecell of paravermis")</f>
        <v>purkinjecell of paravermis</v>
      </c>
      <c r="D2831" s="42">
        <f>IFERROR(__xludf.DUMMYFUNCTION("""COMPUTED_VALUE"""),2696.1)</f>
        <v>2696.1</v>
      </c>
      <c r="E2831" s="39" t="str">
        <f>IFERROR(__xludf.DUMMYFUNCTION("""COMPUTED_VALUE"""),"")</f>
        <v/>
      </c>
      <c r="F2831" s="9" t="str">
        <f>IFERROR(__xludf.DUMMYFUNCTION("""COMPUTED_VALUE"""),"")</f>
        <v/>
      </c>
      <c r="G2831" s="9" t="str">
        <f>IFERROR(__xludf.DUMMYFUNCTION("""COMPUTED_VALUE"""),"")</f>
        <v/>
      </c>
      <c r="H2831" s="9" t="str">
        <f>IFERROR(__xludf.DUMMYFUNCTION("""COMPUTED_VALUE"""),"")</f>
        <v/>
      </c>
      <c r="I2831" s="9" t="str">
        <f>IFERROR(__xludf.DUMMYFUNCTION("""COMPUTED_VALUE"""),"")</f>
        <v/>
      </c>
      <c r="J2831" s="9" t="str">
        <f>IFERROR(__xludf.DUMMYFUNCTION("""COMPUTED_VALUE"""),"")</f>
        <v/>
      </c>
      <c r="K2831" s="9" t="str">
        <f>IFERROR(__xludf.DUMMYFUNCTION("""COMPUTED_VALUE"""),"")</f>
        <v/>
      </c>
      <c r="L2831" s="9" t="str">
        <f>IFERROR(__xludf.DUMMYFUNCTION("""COMPUTED_VALUE"""),"")</f>
        <v/>
      </c>
      <c r="M2831" s="9" t="str">
        <f>IFERROR(__xludf.DUMMYFUNCTION("""COMPUTED_VALUE"""),"")</f>
        <v/>
      </c>
      <c r="N2831" s="9" t="str">
        <f>IFERROR(__xludf.DUMMYFUNCTION("""COMPUTED_VALUE"""),"")</f>
        <v/>
      </c>
      <c r="O2831" s="9" t="str">
        <f>IFERROR(__xludf.DUMMYFUNCTION("""COMPUTED_VALUE"""),"")</f>
        <v/>
      </c>
      <c r="P2831" s="9" t="str">
        <f>IFERROR(__xludf.DUMMYFUNCTION("""COMPUTED_VALUE"""),"")</f>
        <v/>
      </c>
      <c r="Q2831" s="9" t="str">
        <f>IFERROR(__xludf.DUMMYFUNCTION("""COMPUTED_VALUE"""),"")</f>
        <v/>
      </c>
      <c r="R2831" s="9" t="str">
        <f>IFERROR(__xludf.DUMMYFUNCTION("""COMPUTED_VALUE"""),"")</f>
        <v/>
      </c>
      <c r="S2831" s="42" t="str">
        <f>IFERROR(__xludf.DUMMYFUNCTION("""COMPUTED_VALUE"""),"PVAp;
PVPsp;
PVPip;
PVFp")</f>
        <v>PVAp;
PVPsp;
PVPip;
PVFp</v>
      </c>
      <c r="T2831" s="42" t="str">
        <f>IFERROR(__xludf.DUMMYFUNCTION("""COMPUTED_VALUE"""),"p")</f>
        <v>p</v>
      </c>
      <c r="U2831" s="42" t="b">
        <f>IFERROR(__xludf.DUMMYFUNCTION("""COMPUTED_VALUE"""),TRUE)</f>
        <v>1</v>
      </c>
      <c r="V2831" s="42" t="str">
        <f>IFERROR(__xludf.DUMMYFUNCTION("""COMPUTED_VALUE"""),"GABA")</f>
        <v>GABA</v>
      </c>
      <c r="W2831" s="42" t="str">
        <f>IFERROR(__xludf.DUMMYFUNCTION("""COMPUTED_VALUE"""),"Inhibitory")</f>
        <v>Inhibitory</v>
      </c>
      <c r="X2831" s="42"/>
      <c r="Y2831" s="42"/>
      <c r="Z2831" s="42"/>
      <c r="AA2831" s="42"/>
      <c r="AB2831" s="42" t="str">
        <f>IFERROR(__xludf.DUMMYFUNCTION("""COMPUTED_VALUE"""),"Hiroshi Yamakawa")</f>
        <v>Hiroshi Yamakawa</v>
      </c>
      <c r="AC2831" s="42" t="str">
        <f>IFERROR(__xludf.DUMMYFUNCTION("""COMPUTED_VALUE"""),"HY20Cerebellum")</f>
        <v>HY20Cerebellum</v>
      </c>
      <c r="AD2831" s="42"/>
      <c r="AE2831" s="42"/>
      <c r="AF2831" s="9"/>
      <c r="AG2831" s="9"/>
      <c r="AH2831" s="42"/>
      <c r="AI2831" s="42"/>
      <c r="AJ2831" s="42"/>
      <c r="AK2831" s="42"/>
      <c r="AL2831" s="42"/>
      <c r="AM2831" s="42"/>
      <c r="AN2831" s="42"/>
      <c r="AO2831" s="63" t="str">
        <f>IFERROR(__xludf.DUMMYFUNCTION("IF(ISBLANK(A2831),,IF(ISBLANK(S2831), A2831&amp;"";"", TEXTJOIN(CHAR(10), TRUE, A2831&amp;"";"", ARRAYFORMULA(VLOOKUP(SPLIT(S2831, "";"" &amp; CHAR(10)), $A:$AO, 41, FALSE)))))"),"CBPVp;
PVAp;
PVPsp;
PVPip;
PVFp;")</f>
        <v>CBPVp;
PVAp;
PVPsp;
PVPip;
PVFp;</v>
      </c>
      <c r="AP2831" s="89"/>
    </row>
    <row r="2832">
      <c r="A2832" s="151" t="str">
        <f>IFERROR(__xludf.DUMMYFUNCTION("""COMPUTED_VALUE"""),"CBPVg")</f>
        <v>CBPVg</v>
      </c>
      <c r="B2832" s="42" t="str">
        <f>IFERROR(__xludf.DUMMYFUNCTION("""COMPUTED_VALUE"""),"collection")</f>
        <v>collection</v>
      </c>
      <c r="C2832" s="42" t="str">
        <f>IFERROR(__xludf.DUMMYFUNCTION("""COMPUTED_VALUE"""),"granular cell of paravermis")</f>
        <v>granular cell of paravermis</v>
      </c>
      <c r="D2832" s="42">
        <f>IFERROR(__xludf.DUMMYFUNCTION("""COMPUTED_VALUE"""),2696.2)</f>
        <v>2696.2</v>
      </c>
      <c r="E2832" s="39" t="str">
        <f>IFERROR(__xludf.DUMMYFUNCTION("""COMPUTED_VALUE"""),"")</f>
        <v/>
      </c>
      <c r="F2832" s="9" t="str">
        <f>IFERROR(__xludf.DUMMYFUNCTION("""COMPUTED_VALUE"""),"")</f>
        <v/>
      </c>
      <c r="G2832" s="9" t="str">
        <f>IFERROR(__xludf.DUMMYFUNCTION("""COMPUTED_VALUE"""),"")</f>
        <v/>
      </c>
      <c r="H2832" s="9" t="str">
        <f>IFERROR(__xludf.DUMMYFUNCTION("""COMPUTED_VALUE"""),"")</f>
        <v/>
      </c>
      <c r="I2832" s="9" t="str">
        <f>IFERROR(__xludf.DUMMYFUNCTION("""COMPUTED_VALUE"""),"")</f>
        <v/>
      </c>
      <c r="J2832" s="9" t="str">
        <f>IFERROR(__xludf.DUMMYFUNCTION("""COMPUTED_VALUE"""),"")</f>
        <v/>
      </c>
      <c r="K2832" s="9" t="str">
        <f>IFERROR(__xludf.DUMMYFUNCTION("""COMPUTED_VALUE"""),"")</f>
        <v/>
      </c>
      <c r="L2832" s="9" t="str">
        <f>IFERROR(__xludf.DUMMYFUNCTION("""COMPUTED_VALUE"""),"")</f>
        <v/>
      </c>
      <c r="M2832" s="9" t="str">
        <f>IFERROR(__xludf.DUMMYFUNCTION("""COMPUTED_VALUE"""),"")</f>
        <v/>
      </c>
      <c r="N2832" s="9" t="str">
        <f>IFERROR(__xludf.DUMMYFUNCTION("""COMPUTED_VALUE"""),"")</f>
        <v/>
      </c>
      <c r="O2832" s="9" t="str">
        <f>IFERROR(__xludf.DUMMYFUNCTION("""COMPUTED_VALUE"""),"")</f>
        <v/>
      </c>
      <c r="P2832" s="9" t="str">
        <f>IFERROR(__xludf.DUMMYFUNCTION("""COMPUTED_VALUE"""),"")</f>
        <v/>
      </c>
      <c r="Q2832" s="9" t="str">
        <f>IFERROR(__xludf.DUMMYFUNCTION("""COMPUTED_VALUE"""),"")</f>
        <v/>
      </c>
      <c r="R2832" s="9" t="str">
        <f>IFERROR(__xludf.DUMMYFUNCTION("""COMPUTED_VALUE"""),"")</f>
        <v/>
      </c>
      <c r="S2832" s="42" t="str">
        <f>IFERROR(__xludf.DUMMYFUNCTION("""COMPUTED_VALUE"""),"PVAg;
PVPsg;
PVPig;
PVFg")</f>
        <v>PVAg;
PVPsg;
PVPig;
PVFg</v>
      </c>
      <c r="T2832" s="42" t="str">
        <f>IFERROR(__xludf.DUMMYFUNCTION("""COMPUTED_VALUE"""),"g")</f>
        <v>g</v>
      </c>
      <c r="U2832" s="42" t="b">
        <f>IFERROR(__xludf.DUMMYFUNCTION("""COMPUTED_VALUE"""),TRUE)</f>
        <v>1</v>
      </c>
      <c r="V2832" s="42"/>
      <c r="W2832" s="42" t="str">
        <f>IFERROR(__xludf.DUMMYFUNCTION("""COMPUTED_VALUE"""),"Excitatory")</f>
        <v>Excitatory</v>
      </c>
      <c r="X2832" s="42"/>
      <c r="Y2832" s="42"/>
      <c r="Z2832" s="42"/>
      <c r="AA2832" s="42"/>
      <c r="AB2832" s="42" t="str">
        <f>IFERROR(__xludf.DUMMYFUNCTION("""COMPUTED_VALUE"""),"Hiroshi Yamakawa")</f>
        <v>Hiroshi Yamakawa</v>
      </c>
      <c r="AC2832" s="42" t="str">
        <f>IFERROR(__xludf.DUMMYFUNCTION("""COMPUTED_VALUE"""),"HY20Cerebellum")</f>
        <v>HY20Cerebellum</v>
      </c>
      <c r="AD2832" s="42"/>
      <c r="AE2832" s="42"/>
      <c r="AF2832" s="9"/>
      <c r="AG2832" s="9"/>
      <c r="AH2832" s="42"/>
      <c r="AI2832" s="42"/>
      <c r="AJ2832" s="42"/>
      <c r="AK2832" s="42"/>
      <c r="AL2832" s="42"/>
      <c r="AM2832" s="42"/>
      <c r="AN2832" s="42"/>
      <c r="AO2832" s="63" t="str">
        <f>IFERROR(__xludf.DUMMYFUNCTION("IF(ISBLANK(A2832),,IF(ISBLANK(S2832), A2832&amp;"";"", TEXTJOIN(CHAR(10), TRUE, A2832&amp;"";"", ARRAYFORMULA(VLOOKUP(SPLIT(S2832, "";"" &amp; CHAR(10)), $A:$AO, 41, FALSE)))))"),"CBPVg;
PVAg;
PVPsg;
PVPig;
PVFg;")</f>
        <v>CBPVg;
PVAg;
PVPsg;
PVPig;
PVFg;</v>
      </c>
      <c r="AP2832" s="89"/>
    </row>
    <row r="2833">
      <c r="A2833" s="151" t="str">
        <f>IFERROR(__xludf.DUMMYFUNCTION("""COMPUTED_VALUE"""),"PVA")</f>
        <v>PVA</v>
      </c>
      <c r="B2833" s="42" t="str">
        <f>IFERROR(__xludf.DUMMYFUNCTION("""COMPUTED_VALUE"""),"DHBA")</f>
        <v>DHBA</v>
      </c>
      <c r="C2833" s="42" t="str">
        <f>IFERROR(__xludf.DUMMYFUNCTION("""COMPUTED_VALUE"""),"paravermis, anterior lobe portion")</f>
        <v>paravermis, anterior lobe portion</v>
      </c>
      <c r="D2833" s="42">
        <f>IFERROR(__xludf.DUMMYFUNCTION("""COMPUTED_VALUE"""),2697.0)</f>
        <v>2697</v>
      </c>
      <c r="E2833" s="39" t="str">
        <f>IFERROR(__xludf.DUMMYFUNCTION("""COMPUTED_VALUE"""),"paravermis, anterior lobe portion")</f>
        <v>paravermis, anterior lobe portion</v>
      </c>
      <c r="F2833" s="9" t="str">
        <f>IFERROR(__xludf.DUMMYFUNCTION("""COMPUTED_VALUE"""),"Br")</f>
        <v>Br</v>
      </c>
      <c r="G2833" s="9" t="str">
        <f>IFERROR(__xludf.DUMMYFUNCTION("""COMPUTED_VALUE"""),"H")</f>
        <v>H</v>
      </c>
      <c r="H2833" s="9" t="str">
        <f>IFERROR(__xludf.DUMMYFUNCTION("""COMPUTED_VALUE"""),"HGM")</f>
        <v>HGM</v>
      </c>
      <c r="I2833" s="9" t="str">
        <f>IFERROR(__xludf.DUMMYFUNCTION("""COMPUTED_VALUE"""),"Met")</f>
        <v>Met</v>
      </c>
      <c r="J2833" s="9" t="str">
        <f>IFERROR(__xludf.DUMMYFUNCTION("""COMPUTED_VALUE"""),"CB")</f>
        <v>CB</v>
      </c>
      <c r="K2833" s="9" t="str">
        <f>IFERROR(__xludf.DUMMYFUNCTION("""COMPUTED_VALUE"""),"CBC")</f>
        <v>CBC</v>
      </c>
      <c r="L2833" s="9" t="str">
        <f>IFERROR(__xludf.DUMMYFUNCTION("""COMPUTED_VALUE"""),"CBH")</f>
        <v>CBH</v>
      </c>
      <c r="M2833" s="9" t="str">
        <f>IFERROR(__xludf.DUMMYFUNCTION("""COMPUTED_VALUE"""),"CBPV")</f>
        <v>CBPV</v>
      </c>
      <c r="N2833" s="9" t="str">
        <f>IFERROR(__xludf.DUMMYFUNCTION("""COMPUTED_VALUE"""),"PVA")</f>
        <v>PVA</v>
      </c>
      <c r="O2833" s="9"/>
      <c r="P2833" s="9"/>
      <c r="Q2833" s="9"/>
      <c r="R2833" s="9"/>
      <c r="S2833" s="42" t="str">
        <f>IFERROR(__xludf.DUMMYFUNCTION("""COMPUTED_VALUE"""),"PVAm;
PVAp;
PVAg")</f>
        <v>PVAm;
PVAp;
PVAg</v>
      </c>
      <c r="T2833" s="42" t="str">
        <f>IFERROR(__xludf.DUMMYFUNCTION("""COMPUTED_VALUE"""),"lobe")</f>
        <v>lobe</v>
      </c>
      <c r="U2833" s="159" t="b">
        <f>IFERROR(__xludf.DUMMYFUNCTION("""COMPUTED_VALUE"""),FALSE)</f>
        <v>0</v>
      </c>
      <c r="V2833" s="42"/>
      <c r="W2833" s="42"/>
      <c r="X2833" s="42"/>
      <c r="Y2833" s="42"/>
      <c r="Z2833" s="42"/>
      <c r="AA2833" s="42"/>
      <c r="AB2833" s="42" t="str">
        <f>IFERROR(__xludf.DUMMYFUNCTION("""COMPUTED_VALUE"""),"allen institute")</f>
        <v>allen institute</v>
      </c>
      <c r="AC2833" s="42" t="str">
        <f>IFERROR(__xludf.DUMMYFUNCTION("""COMPUTED_VALUE"""),"DHBA")</f>
        <v>DHBA</v>
      </c>
      <c r="AD2833" s="42"/>
      <c r="AE2833" s="42"/>
      <c r="AF2833" s="9"/>
      <c r="AG2833" s="9"/>
      <c r="AH2833" s="42"/>
      <c r="AI2833" s="42"/>
      <c r="AJ2833" s="42"/>
      <c r="AK2833" s="42"/>
      <c r="AL2833" s="42"/>
      <c r="AM2833" s="42"/>
      <c r="AN2833" s="42"/>
      <c r="AO2833" s="63" t="str">
        <f>IFERROR(__xludf.DUMMYFUNCTION("IF(ISBLANK(A2833),,IF(ISBLANK(S2833), A2833&amp;"";"", TEXTJOIN(CHAR(10), TRUE, A2833&amp;"";"", ARRAYFORMULA(VLOOKUP(SPLIT(S2833, "";"" &amp; CHAR(10)), $A:$AO, 41, FALSE)))))"),"PVA;
PVAm;
PVAp;
PVAg;")</f>
        <v>PVA;
PVAm;
PVAp;
PVAg;</v>
      </c>
      <c r="AP2833" s="89"/>
    </row>
    <row r="2834">
      <c r="A2834" s="151" t="str">
        <f>IFERROR(__xludf.DUMMYFUNCTION("""COMPUTED_VALUE"""),"PVAm")</f>
        <v>PVAm</v>
      </c>
      <c r="B2834" s="42" t="str">
        <f>IFERROR(__xludf.DUMMYFUNCTION("""COMPUTED_VALUE"""),"DHBA")</f>
        <v>DHBA</v>
      </c>
      <c r="C2834" s="42" t="str">
        <f>IFERROR(__xludf.DUMMYFUNCTION("""COMPUTED_VALUE"""),"molecular layer of PVA")</f>
        <v>molecular layer of PVA</v>
      </c>
      <c r="D2834" s="42">
        <f>IFERROR(__xludf.DUMMYFUNCTION("""COMPUTED_VALUE"""),2698.0)</f>
        <v>2698</v>
      </c>
      <c r="E2834" s="39" t="str">
        <f>IFERROR(__xludf.DUMMYFUNCTION("""COMPUTED_VALUE"""),"molecular layer of PVA")</f>
        <v>molecular layer of PVA</v>
      </c>
      <c r="F2834" s="9" t="str">
        <f>IFERROR(__xludf.DUMMYFUNCTION("""COMPUTED_VALUE"""),"Br")</f>
        <v>Br</v>
      </c>
      <c r="G2834" s="9" t="str">
        <f>IFERROR(__xludf.DUMMYFUNCTION("""COMPUTED_VALUE"""),"H")</f>
        <v>H</v>
      </c>
      <c r="H2834" s="9" t="str">
        <f>IFERROR(__xludf.DUMMYFUNCTION("""COMPUTED_VALUE"""),"HGM")</f>
        <v>HGM</v>
      </c>
      <c r="I2834" s="9" t="str">
        <f>IFERROR(__xludf.DUMMYFUNCTION("""COMPUTED_VALUE"""),"Met")</f>
        <v>Met</v>
      </c>
      <c r="J2834" s="9" t="str">
        <f>IFERROR(__xludf.DUMMYFUNCTION("""COMPUTED_VALUE"""),"CB")</f>
        <v>CB</v>
      </c>
      <c r="K2834" s="9" t="str">
        <f>IFERROR(__xludf.DUMMYFUNCTION("""COMPUTED_VALUE"""),"CBC")</f>
        <v>CBC</v>
      </c>
      <c r="L2834" s="9" t="str">
        <f>IFERROR(__xludf.DUMMYFUNCTION("""COMPUTED_VALUE"""),"CBH")</f>
        <v>CBH</v>
      </c>
      <c r="M2834" s="9" t="str">
        <f>IFERROR(__xludf.DUMMYFUNCTION("""COMPUTED_VALUE"""),"CBPV")</f>
        <v>CBPV</v>
      </c>
      <c r="N2834" s="9" t="str">
        <f>IFERROR(__xludf.DUMMYFUNCTION("""COMPUTED_VALUE"""),"PVA")</f>
        <v>PVA</v>
      </c>
      <c r="O2834" s="9" t="str">
        <f>IFERROR(__xludf.DUMMYFUNCTION("""COMPUTED_VALUE"""),"PVAm")</f>
        <v>PVAm</v>
      </c>
      <c r="P2834" s="9"/>
      <c r="Q2834" s="9"/>
      <c r="R2834" s="9"/>
      <c r="S2834" s="42"/>
      <c r="T2834" s="42"/>
      <c r="U2834" s="42"/>
      <c r="V2834" s="42"/>
      <c r="W2834" s="42"/>
      <c r="X2834" s="42"/>
      <c r="Y2834" s="42"/>
      <c r="Z2834" s="42"/>
      <c r="AA2834" s="42"/>
      <c r="AB2834" s="42" t="str">
        <f>IFERROR(__xludf.DUMMYFUNCTION("""COMPUTED_VALUE"""),"allen institute")</f>
        <v>allen institute</v>
      </c>
      <c r="AC2834" s="42" t="str">
        <f>IFERROR(__xludf.DUMMYFUNCTION("""COMPUTED_VALUE"""),"DHBA")</f>
        <v>DHBA</v>
      </c>
      <c r="AD2834" s="42"/>
      <c r="AE2834" s="42"/>
      <c r="AF2834" s="9"/>
      <c r="AG2834" s="9"/>
      <c r="AH2834" s="42"/>
      <c r="AI2834" s="42"/>
      <c r="AJ2834" s="42"/>
      <c r="AK2834" s="42"/>
      <c r="AL2834" s="42"/>
      <c r="AM2834" s="42"/>
      <c r="AN2834" s="42"/>
      <c r="AO2834" s="63" t="str">
        <f>IFERROR(__xludf.DUMMYFUNCTION("IF(ISBLANK(A2834),,IF(ISBLANK(S2834), A2834&amp;"";"", TEXTJOIN(CHAR(10), TRUE, A2834&amp;"";"", ARRAYFORMULA(VLOOKUP(SPLIT(S2834, "";"" &amp; CHAR(10)), $A:$AO, 41, FALSE)))))"),"PVAm;")</f>
        <v>PVAm;</v>
      </c>
      <c r="AP2834" s="89"/>
    </row>
    <row r="2835">
      <c r="A2835" s="151" t="str">
        <f>IFERROR(__xludf.DUMMYFUNCTION("""COMPUTED_VALUE"""),"PVAp")</f>
        <v>PVAp</v>
      </c>
      <c r="B2835" s="42" t="str">
        <f>IFERROR(__xludf.DUMMYFUNCTION("""COMPUTED_VALUE"""),"DHBA")</f>
        <v>DHBA</v>
      </c>
      <c r="C2835" s="42" t="str">
        <f>IFERROR(__xludf.DUMMYFUNCTION("""COMPUTED_VALUE"""),"Purkinje cell layer of PVA")</f>
        <v>Purkinje cell layer of PVA</v>
      </c>
      <c r="D2835" s="42">
        <f>IFERROR(__xludf.DUMMYFUNCTION("""COMPUTED_VALUE"""),2699.0)</f>
        <v>2699</v>
      </c>
      <c r="E2835" s="39" t="str">
        <f>IFERROR(__xludf.DUMMYFUNCTION("""COMPUTED_VALUE"""),"Purkinje cell layer of PVA")</f>
        <v>Purkinje cell layer of PVA</v>
      </c>
      <c r="F2835" s="9" t="str">
        <f>IFERROR(__xludf.DUMMYFUNCTION("""COMPUTED_VALUE"""),"Br")</f>
        <v>Br</v>
      </c>
      <c r="G2835" s="9" t="str">
        <f>IFERROR(__xludf.DUMMYFUNCTION("""COMPUTED_VALUE"""),"H")</f>
        <v>H</v>
      </c>
      <c r="H2835" s="9" t="str">
        <f>IFERROR(__xludf.DUMMYFUNCTION("""COMPUTED_VALUE"""),"HGM")</f>
        <v>HGM</v>
      </c>
      <c r="I2835" s="9" t="str">
        <f>IFERROR(__xludf.DUMMYFUNCTION("""COMPUTED_VALUE"""),"Met")</f>
        <v>Met</v>
      </c>
      <c r="J2835" s="9" t="str">
        <f>IFERROR(__xludf.DUMMYFUNCTION("""COMPUTED_VALUE"""),"CB")</f>
        <v>CB</v>
      </c>
      <c r="K2835" s="9" t="str">
        <f>IFERROR(__xludf.DUMMYFUNCTION("""COMPUTED_VALUE"""),"CBC")</f>
        <v>CBC</v>
      </c>
      <c r="L2835" s="9" t="str">
        <f>IFERROR(__xludf.DUMMYFUNCTION("""COMPUTED_VALUE"""),"CBH")</f>
        <v>CBH</v>
      </c>
      <c r="M2835" s="9" t="str">
        <f>IFERROR(__xludf.DUMMYFUNCTION("""COMPUTED_VALUE"""),"CBPV")</f>
        <v>CBPV</v>
      </c>
      <c r="N2835" s="9" t="str">
        <f>IFERROR(__xludf.DUMMYFUNCTION("""COMPUTED_VALUE"""),"PVA")</f>
        <v>PVA</v>
      </c>
      <c r="O2835" s="9" t="str">
        <f>IFERROR(__xludf.DUMMYFUNCTION("""COMPUTED_VALUE"""),"PVAp")</f>
        <v>PVAp</v>
      </c>
      <c r="P2835" s="9"/>
      <c r="Q2835" s="9"/>
      <c r="R2835" s="9"/>
      <c r="S2835" s="42"/>
      <c r="T2835" s="42"/>
      <c r="U2835" s="42"/>
      <c r="V2835" s="42"/>
      <c r="W2835" s="42"/>
      <c r="X2835" s="42"/>
      <c r="Y2835" s="42"/>
      <c r="Z2835" s="42"/>
      <c r="AA2835" s="42"/>
      <c r="AB2835" s="42" t="str">
        <f>IFERROR(__xludf.DUMMYFUNCTION("""COMPUTED_VALUE"""),"allen institute")</f>
        <v>allen institute</v>
      </c>
      <c r="AC2835" s="42" t="str">
        <f>IFERROR(__xludf.DUMMYFUNCTION("""COMPUTED_VALUE"""),"DHBA")</f>
        <v>DHBA</v>
      </c>
      <c r="AD2835" s="42"/>
      <c r="AE2835" s="42"/>
      <c r="AF2835" s="9"/>
      <c r="AG2835" s="9"/>
      <c r="AH2835" s="42"/>
      <c r="AI2835" s="42"/>
      <c r="AJ2835" s="42"/>
      <c r="AK2835" s="42"/>
      <c r="AL2835" s="42"/>
      <c r="AM2835" s="42"/>
      <c r="AN2835" s="42"/>
      <c r="AO2835" s="63" t="str">
        <f>IFERROR(__xludf.DUMMYFUNCTION("IF(ISBLANK(A2835),,IF(ISBLANK(S2835), A2835&amp;"";"", TEXTJOIN(CHAR(10), TRUE, A2835&amp;"";"", ARRAYFORMULA(VLOOKUP(SPLIT(S2835, "";"" &amp; CHAR(10)), $A:$AO, 41, FALSE)))))"),"PVAp;")</f>
        <v>PVAp;</v>
      </c>
      <c r="AP2835" s="89"/>
    </row>
    <row r="2836">
      <c r="A2836" s="151" t="str">
        <f>IFERROR(__xludf.DUMMYFUNCTION("""COMPUTED_VALUE"""),"PVAg")</f>
        <v>PVAg</v>
      </c>
      <c r="B2836" s="42" t="str">
        <f>IFERROR(__xludf.DUMMYFUNCTION("""COMPUTED_VALUE"""),"DHBA")</f>
        <v>DHBA</v>
      </c>
      <c r="C2836" s="42" t="str">
        <f>IFERROR(__xludf.DUMMYFUNCTION("""COMPUTED_VALUE"""),"granular cell layer of PVA")</f>
        <v>granular cell layer of PVA</v>
      </c>
      <c r="D2836" s="42">
        <f>IFERROR(__xludf.DUMMYFUNCTION("""COMPUTED_VALUE"""),2700.0)</f>
        <v>2700</v>
      </c>
      <c r="E2836" s="39" t="str">
        <f>IFERROR(__xludf.DUMMYFUNCTION("""COMPUTED_VALUE"""),"granular cell layer of PVA")</f>
        <v>granular cell layer of PVA</v>
      </c>
      <c r="F2836" s="9" t="str">
        <f>IFERROR(__xludf.DUMMYFUNCTION("""COMPUTED_VALUE"""),"Br")</f>
        <v>Br</v>
      </c>
      <c r="G2836" s="9" t="str">
        <f>IFERROR(__xludf.DUMMYFUNCTION("""COMPUTED_VALUE"""),"H")</f>
        <v>H</v>
      </c>
      <c r="H2836" s="9" t="str">
        <f>IFERROR(__xludf.DUMMYFUNCTION("""COMPUTED_VALUE"""),"HGM")</f>
        <v>HGM</v>
      </c>
      <c r="I2836" s="9" t="str">
        <f>IFERROR(__xludf.DUMMYFUNCTION("""COMPUTED_VALUE"""),"Met")</f>
        <v>Met</v>
      </c>
      <c r="J2836" s="9" t="str">
        <f>IFERROR(__xludf.DUMMYFUNCTION("""COMPUTED_VALUE"""),"CB")</f>
        <v>CB</v>
      </c>
      <c r="K2836" s="9" t="str">
        <f>IFERROR(__xludf.DUMMYFUNCTION("""COMPUTED_VALUE"""),"CBC")</f>
        <v>CBC</v>
      </c>
      <c r="L2836" s="9" t="str">
        <f>IFERROR(__xludf.DUMMYFUNCTION("""COMPUTED_VALUE"""),"CBH")</f>
        <v>CBH</v>
      </c>
      <c r="M2836" s="9" t="str">
        <f>IFERROR(__xludf.DUMMYFUNCTION("""COMPUTED_VALUE"""),"CBPV")</f>
        <v>CBPV</v>
      </c>
      <c r="N2836" s="9" t="str">
        <f>IFERROR(__xludf.DUMMYFUNCTION("""COMPUTED_VALUE"""),"PVA")</f>
        <v>PVA</v>
      </c>
      <c r="O2836" s="9" t="str">
        <f>IFERROR(__xludf.DUMMYFUNCTION("""COMPUTED_VALUE"""),"PVAg")</f>
        <v>PVAg</v>
      </c>
      <c r="P2836" s="9"/>
      <c r="Q2836" s="9"/>
      <c r="R2836" s="9"/>
      <c r="S2836" s="42"/>
      <c r="T2836" s="42"/>
      <c r="U2836" s="42"/>
      <c r="V2836" s="42"/>
      <c r="W2836" s="42"/>
      <c r="X2836" s="42"/>
      <c r="Y2836" s="42"/>
      <c r="Z2836" s="42"/>
      <c r="AA2836" s="42"/>
      <c r="AB2836" s="42" t="str">
        <f>IFERROR(__xludf.DUMMYFUNCTION("""COMPUTED_VALUE"""),"allen institute")</f>
        <v>allen institute</v>
      </c>
      <c r="AC2836" s="42" t="str">
        <f>IFERROR(__xludf.DUMMYFUNCTION("""COMPUTED_VALUE"""),"DHBA")</f>
        <v>DHBA</v>
      </c>
      <c r="AD2836" s="42"/>
      <c r="AE2836" s="42"/>
      <c r="AF2836" s="9"/>
      <c r="AG2836" s="9"/>
      <c r="AH2836" s="42"/>
      <c r="AI2836" s="42"/>
      <c r="AJ2836" s="42"/>
      <c r="AK2836" s="42"/>
      <c r="AL2836" s="42"/>
      <c r="AM2836" s="42"/>
      <c r="AN2836" s="42"/>
      <c r="AO2836" s="63" t="str">
        <f>IFERROR(__xludf.DUMMYFUNCTION("IF(ISBLANK(A2836),,IF(ISBLANK(S2836), A2836&amp;"";"", TEXTJOIN(CHAR(10), TRUE, A2836&amp;"";"", ARRAYFORMULA(VLOOKUP(SPLIT(S2836, "";"" &amp; CHAR(10)), $A:$AO, 41, FALSE)))))"),"PVAg;")</f>
        <v>PVAg;</v>
      </c>
      <c r="AP2836" s="89"/>
    </row>
    <row r="2837">
      <c r="A2837" s="151" t="str">
        <f>IFERROR(__xludf.DUMMYFUNCTION("""COMPUTED_VALUE"""),"PVP")</f>
        <v>PVP</v>
      </c>
      <c r="B2837" s="42" t="str">
        <f>IFERROR(__xludf.DUMMYFUNCTION("""COMPUTED_VALUE"""),"DHBA")</f>
        <v>DHBA</v>
      </c>
      <c r="C2837" s="42" t="str">
        <f>IFERROR(__xludf.DUMMYFUNCTION("""COMPUTED_VALUE"""),"paravermis, posterior lobe portion")</f>
        <v>paravermis, posterior lobe portion</v>
      </c>
      <c r="D2837" s="42">
        <f>IFERROR(__xludf.DUMMYFUNCTION("""COMPUTED_VALUE"""),2701.0)</f>
        <v>2701</v>
      </c>
      <c r="E2837" s="39" t="str">
        <f>IFERROR(__xludf.DUMMYFUNCTION("""COMPUTED_VALUE"""),"paravermis, posterior lobe portion")</f>
        <v>paravermis, posterior lobe portion</v>
      </c>
      <c r="F2837" s="9" t="str">
        <f>IFERROR(__xludf.DUMMYFUNCTION("""COMPUTED_VALUE"""),"Br")</f>
        <v>Br</v>
      </c>
      <c r="G2837" s="9" t="str">
        <f>IFERROR(__xludf.DUMMYFUNCTION("""COMPUTED_VALUE"""),"H")</f>
        <v>H</v>
      </c>
      <c r="H2837" s="9" t="str">
        <f>IFERROR(__xludf.DUMMYFUNCTION("""COMPUTED_VALUE"""),"HGM")</f>
        <v>HGM</v>
      </c>
      <c r="I2837" s="9" t="str">
        <f>IFERROR(__xludf.DUMMYFUNCTION("""COMPUTED_VALUE"""),"Met")</f>
        <v>Met</v>
      </c>
      <c r="J2837" s="9" t="str">
        <f>IFERROR(__xludf.DUMMYFUNCTION("""COMPUTED_VALUE"""),"CB")</f>
        <v>CB</v>
      </c>
      <c r="K2837" s="9" t="str">
        <f>IFERROR(__xludf.DUMMYFUNCTION("""COMPUTED_VALUE"""),"CBC")</f>
        <v>CBC</v>
      </c>
      <c r="L2837" s="9" t="str">
        <f>IFERROR(__xludf.DUMMYFUNCTION("""COMPUTED_VALUE"""),"CBH")</f>
        <v>CBH</v>
      </c>
      <c r="M2837" s="9" t="str">
        <f>IFERROR(__xludf.DUMMYFUNCTION("""COMPUTED_VALUE"""),"CBPV")</f>
        <v>CBPV</v>
      </c>
      <c r="N2837" s="9" t="str">
        <f>IFERROR(__xludf.DUMMYFUNCTION("""COMPUTED_VALUE"""),"PVP")</f>
        <v>PVP</v>
      </c>
      <c r="O2837" s="9"/>
      <c r="P2837" s="9"/>
      <c r="Q2837" s="9"/>
      <c r="R2837" s="9"/>
      <c r="S2837" s="42" t="str">
        <f>IFERROR(__xludf.DUMMYFUNCTION("""COMPUTED_VALUE"""),"PVPs;
PVPi")</f>
        <v>PVPs;
PVPi</v>
      </c>
      <c r="T2837" s="42" t="str">
        <f>IFERROR(__xludf.DUMMYFUNCTION("""COMPUTED_VALUE"""),"lobe")</f>
        <v>lobe</v>
      </c>
      <c r="U2837" s="42" t="b">
        <f>IFERROR(__xludf.DUMMYFUNCTION("""COMPUTED_VALUE"""),FALSE)</f>
        <v>0</v>
      </c>
      <c r="V2837" s="42"/>
      <c r="W2837" s="42"/>
      <c r="X2837" s="42"/>
      <c r="Y2837" s="42"/>
      <c r="Z2837" s="42"/>
      <c r="AA2837" s="42"/>
      <c r="AB2837" s="42" t="str">
        <f>IFERROR(__xludf.DUMMYFUNCTION("""COMPUTED_VALUE"""),"allen institute")</f>
        <v>allen institute</v>
      </c>
      <c r="AC2837" s="42" t="str">
        <f>IFERROR(__xludf.DUMMYFUNCTION("""COMPUTED_VALUE"""),"DHBA")</f>
        <v>DHBA</v>
      </c>
      <c r="AD2837" s="42"/>
      <c r="AE2837" s="42"/>
      <c r="AF2837" s="9"/>
      <c r="AG2837" s="9"/>
      <c r="AH2837" s="42"/>
      <c r="AI2837" s="42"/>
      <c r="AJ2837" s="42"/>
      <c r="AK2837" s="42"/>
      <c r="AL2837" s="42"/>
      <c r="AM2837" s="42"/>
      <c r="AN2837" s="42"/>
      <c r="AO2837" s="63" t="str">
        <f>IFERROR(__xludf.DUMMYFUNCTION("IF(ISBLANK(A2837),,IF(ISBLANK(S2837), A2837&amp;"";"", TEXTJOIN(CHAR(10), TRUE, A2837&amp;"";"", ARRAYFORMULA(VLOOKUP(SPLIT(S2837, "";"" &amp; CHAR(10)), $A:$AO, 41, FALSE)))))"),"PVP;
PVPs;
PVPsm;
PVPsp;
PVPsg;
PVPi;
PVPim;
PVPip;
PVPig;")</f>
        <v>PVP;
PVPs;
PVPsm;
PVPsp;
PVPsg;
PVPi;
PVPim;
PVPip;
PVPig;</v>
      </c>
      <c r="AP2837" s="89"/>
    </row>
    <row r="2838">
      <c r="A2838" s="151" t="str">
        <f>IFERROR(__xludf.DUMMYFUNCTION("""COMPUTED_VALUE"""),"PVPs")</f>
        <v>PVPs</v>
      </c>
      <c r="B2838" s="42" t="str">
        <f>IFERROR(__xludf.DUMMYFUNCTION("""COMPUTED_VALUE"""),"DHBA")</f>
        <v>DHBA</v>
      </c>
      <c r="C2838" s="42" t="str">
        <f>IFERROR(__xludf.DUMMYFUNCTION("""COMPUTED_VALUE"""),"paravermis, posterior lobe portion, superior part")</f>
        <v>paravermis, posterior lobe portion, superior part</v>
      </c>
      <c r="D2838" s="42">
        <f>IFERROR(__xludf.DUMMYFUNCTION("""COMPUTED_VALUE"""),2702.0)</f>
        <v>2702</v>
      </c>
      <c r="E2838" s="39" t="str">
        <f>IFERROR(__xludf.DUMMYFUNCTION("""COMPUTED_VALUE"""),"paravermis, posterior lobe portion, superior part")</f>
        <v>paravermis, posterior lobe portion, superior part</v>
      </c>
      <c r="F2838" s="9" t="str">
        <f>IFERROR(__xludf.DUMMYFUNCTION("""COMPUTED_VALUE"""),"Br")</f>
        <v>Br</v>
      </c>
      <c r="G2838" s="9" t="str">
        <f>IFERROR(__xludf.DUMMYFUNCTION("""COMPUTED_VALUE"""),"H")</f>
        <v>H</v>
      </c>
      <c r="H2838" s="9" t="str">
        <f>IFERROR(__xludf.DUMMYFUNCTION("""COMPUTED_VALUE"""),"HGM")</f>
        <v>HGM</v>
      </c>
      <c r="I2838" s="9" t="str">
        <f>IFERROR(__xludf.DUMMYFUNCTION("""COMPUTED_VALUE"""),"Met")</f>
        <v>Met</v>
      </c>
      <c r="J2838" s="9" t="str">
        <f>IFERROR(__xludf.DUMMYFUNCTION("""COMPUTED_VALUE"""),"CB")</f>
        <v>CB</v>
      </c>
      <c r="K2838" s="9" t="str">
        <f>IFERROR(__xludf.DUMMYFUNCTION("""COMPUTED_VALUE"""),"CBC")</f>
        <v>CBC</v>
      </c>
      <c r="L2838" s="9" t="str">
        <f>IFERROR(__xludf.DUMMYFUNCTION("""COMPUTED_VALUE"""),"CBH")</f>
        <v>CBH</v>
      </c>
      <c r="M2838" s="9" t="str">
        <f>IFERROR(__xludf.DUMMYFUNCTION("""COMPUTED_VALUE"""),"CBPV")</f>
        <v>CBPV</v>
      </c>
      <c r="N2838" s="9" t="str">
        <f>IFERROR(__xludf.DUMMYFUNCTION("""COMPUTED_VALUE"""),"PVP")</f>
        <v>PVP</v>
      </c>
      <c r="O2838" s="9" t="str">
        <f>IFERROR(__xludf.DUMMYFUNCTION("""COMPUTED_VALUE"""),"PVPs")</f>
        <v>PVPs</v>
      </c>
      <c r="P2838" s="9"/>
      <c r="Q2838" s="9"/>
      <c r="R2838" s="9"/>
      <c r="S2838" s="42" t="str">
        <f>IFERROR(__xludf.DUMMYFUNCTION("""COMPUTED_VALUE"""),"PVPsm;
PVPsp;
PVPsg")</f>
        <v>PVPsm;
PVPsp;
PVPsg</v>
      </c>
      <c r="T2838" s="42" t="str">
        <f>IFERROR(__xludf.DUMMYFUNCTION("""COMPUTED_VALUE"""),"lobe")</f>
        <v>lobe</v>
      </c>
      <c r="U2838" s="42" t="b">
        <f>IFERROR(__xludf.DUMMYFUNCTION("""COMPUTED_VALUE"""),FALSE)</f>
        <v>0</v>
      </c>
      <c r="V2838" s="42"/>
      <c r="W2838" s="42"/>
      <c r="X2838" s="42"/>
      <c r="Y2838" s="42"/>
      <c r="Z2838" s="42"/>
      <c r="AA2838" s="42"/>
      <c r="AB2838" s="42" t="str">
        <f>IFERROR(__xludf.DUMMYFUNCTION("""COMPUTED_VALUE"""),"allen institute")</f>
        <v>allen institute</v>
      </c>
      <c r="AC2838" s="42" t="str">
        <f>IFERROR(__xludf.DUMMYFUNCTION("""COMPUTED_VALUE"""),"DHBA")</f>
        <v>DHBA</v>
      </c>
      <c r="AD2838" s="42"/>
      <c r="AE2838" s="42"/>
      <c r="AF2838" s="9"/>
      <c r="AG2838" s="9"/>
      <c r="AH2838" s="42"/>
      <c r="AI2838" s="42"/>
      <c r="AJ2838" s="42"/>
      <c r="AK2838" s="42"/>
      <c r="AL2838" s="42"/>
      <c r="AM2838" s="42"/>
      <c r="AN2838" s="42"/>
      <c r="AO2838" s="63" t="str">
        <f>IFERROR(__xludf.DUMMYFUNCTION("IF(ISBLANK(A2838),,IF(ISBLANK(S2838), A2838&amp;"";"", TEXTJOIN(CHAR(10), TRUE, A2838&amp;"";"", ARRAYFORMULA(VLOOKUP(SPLIT(S2838, "";"" &amp; CHAR(10)), $A:$AO, 41, FALSE)))))"),"PVPs;
PVPsm;
PVPsp;
PVPsg;")</f>
        <v>PVPs;
PVPsm;
PVPsp;
PVPsg;</v>
      </c>
      <c r="AP2838" s="89"/>
    </row>
    <row r="2839">
      <c r="A2839" s="151" t="str">
        <f>IFERROR(__xludf.DUMMYFUNCTION("""COMPUTED_VALUE"""),"PVPsm")</f>
        <v>PVPsm</v>
      </c>
      <c r="B2839" s="42" t="str">
        <f>IFERROR(__xludf.DUMMYFUNCTION("""COMPUTED_VALUE"""),"DHBA")</f>
        <v>DHBA</v>
      </c>
      <c r="C2839" s="42" t="str">
        <f>IFERROR(__xludf.DUMMYFUNCTION("""COMPUTED_VALUE"""),"molecular layer of PVPs")</f>
        <v>molecular layer of PVPs</v>
      </c>
      <c r="D2839" s="42">
        <f>IFERROR(__xludf.DUMMYFUNCTION("""COMPUTED_VALUE"""),2703.0)</f>
        <v>2703</v>
      </c>
      <c r="E2839" s="39" t="str">
        <f>IFERROR(__xludf.DUMMYFUNCTION("""COMPUTED_VALUE"""),"molecular layer of PVPs")</f>
        <v>molecular layer of PVPs</v>
      </c>
      <c r="F2839" s="9" t="str">
        <f>IFERROR(__xludf.DUMMYFUNCTION("""COMPUTED_VALUE"""),"Br")</f>
        <v>Br</v>
      </c>
      <c r="G2839" s="9" t="str">
        <f>IFERROR(__xludf.DUMMYFUNCTION("""COMPUTED_VALUE"""),"H")</f>
        <v>H</v>
      </c>
      <c r="H2839" s="9" t="str">
        <f>IFERROR(__xludf.DUMMYFUNCTION("""COMPUTED_VALUE"""),"HGM")</f>
        <v>HGM</v>
      </c>
      <c r="I2839" s="9" t="str">
        <f>IFERROR(__xludf.DUMMYFUNCTION("""COMPUTED_VALUE"""),"Met")</f>
        <v>Met</v>
      </c>
      <c r="J2839" s="9" t="str">
        <f>IFERROR(__xludf.DUMMYFUNCTION("""COMPUTED_VALUE"""),"CB")</f>
        <v>CB</v>
      </c>
      <c r="K2839" s="9" t="str">
        <f>IFERROR(__xludf.DUMMYFUNCTION("""COMPUTED_VALUE"""),"CBC")</f>
        <v>CBC</v>
      </c>
      <c r="L2839" s="9" t="str">
        <f>IFERROR(__xludf.DUMMYFUNCTION("""COMPUTED_VALUE"""),"CBH")</f>
        <v>CBH</v>
      </c>
      <c r="M2839" s="9" t="str">
        <f>IFERROR(__xludf.DUMMYFUNCTION("""COMPUTED_VALUE"""),"CBPV")</f>
        <v>CBPV</v>
      </c>
      <c r="N2839" s="9" t="str">
        <f>IFERROR(__xludf.DUMMYFUNCTION("""COMPUTED_VALUE"""),"PVP")</f>
        <v>PVP</v>
      </c>
      <c r="O2839" s="9" t="str">
        <f>IFERROR(__xludf.DUMMYFUNCTION("""COMPUTED_VALUE"""),"PVPs")</f>
        <v>PVPs</v>
      </c>
      <c r="P2839" s="9" t="str">
        <f>IFERROR(__xludf.DUMMYFUNCTION("""COMPUTED_VALUE"""),"PVPsm")</f>
        <v>PVPsm</v>
      </c>
      <c r="Q2839" s="9"/>
      <c r="R2839" s="9"/>
      <c r="S2839" s="42"/>
      <c r="T2839" s="42"/>
      <c r="U2839" s="42"/>
      <c r="V2839" s="42"/>
      <c r="W2839" s="42"/>
      <c r="X2839" s="42"/>
      <c r="Y2839" s="42"/>
      <c r="Z2839" s="42"/>
      <c r="AA2839" s="42"/>
      <c r="AB2839" s="42" t="str">
        <f>IFERROR(__xludf.DUMMYFUNCTION("""COMPUTED_VALUE"""),"allen institute")</f>
        <v>allen institute</v>
      </c>
      <c r="AC2839" s="42" t="str">
        <f>IFERROR(__xludf.DUMMYFUNCTION("""COMPUTED_VALUE"""),"DHBA")</f>
        <v>DHBA</v>
      </c>
      <c r="AD2839" s="42"/>
      <c r="AE2839" s="42"/>
      <c r="AF2839" s="9"/>
      <c r="AG2839" s="9"/>
      <c r="AH2839" s="42"/>
      <c r="AI2839" s="42"/>
      <c r="AJ2839" s="42"/>
      <c r="AK2839" s="42"/>
      <c r="AL2839" s="42"/>
      <c r="AM2839" s="42"/>
      <c r="AN2839" s="42"/>
      <c r="AO2839" s="63" t="str">
        <f>IFERROR(__xludf.DUMMYFUNCTION("IF(ISBLANK(A2839),,IF(ISBLANK(S2839), A2839&amp;"";"", TEXTJOIN(CHAR(10), TRUE, A2839&amp;"";"", ARRAYFORMULA(VLOOKUP(SPLIT(S2839, "";"" &amp; CHAR(10)), $A:$AO, 41, FALSE)))))"),"PVPsm;")</f>
        <v>PVPsm;</v>
      </c>
      <c r="AP2839" s="89"/>
    </row>
    <row r="2840">
      <c r="A2840" s="151" t="str">
        <f>IFERROR(__xludf.DUMMYFUNCTION("""COMPUTED_VALUE"""),"PVPsp")</f>
        <v>PVPsp</v>
      </c>
      <c r="B2840" s="42" t="str">
        <f>IFERROR(__xludf.DUMMYFUNCTION("""COMPUTED_VALUE"""),"DHBA")</f>
        <v>DHBA</v>
      </c>
      <c r="C2840" s="42" t="str">
        <f>IFERROR(__xludf.DUMMYFUNCTION("""COMPUTED_VALUE"""),"Purkinje cell layer of PVPs")</f>
        <v>Purkinje cell layer of PVPs</v>
      </c>
      <c r="D2840" s="42">
        <f>IFERROR(__xludf.DUMMYFUNCTION("""COMPUTED_VALUE"""),2704.0)</f>
        <v>2704</v>
      </c>
      <c r="E2840" s="39" t="str">
        <f>IFERROR(__xludf.DUMMYFUNCTION("""COMPUTED_VALUE"""),"Purkinje cell layer of PVPs")</f>
        <v>Purkinje cell layer of PVPs</v>
      </c>
      <c r="F2840" s="9" t="str">
        <f>IFERROR(__xludf.DUMMYFUNCTION("""COMPUTED_VALUE"""),"Br")</f>
        <v>Br</v>
      </c>
      <c r="G2840" s="9" t="str">
        <f>IFERROR(__xludf.DUMMYFUNCTION("""COMPUTED_VALUE"""),"H")</f>
        <v>H</v>
      </c>
      <c r="H2840" s="9" t="str">
        <f>IFERROR(__xludf.DUMMYFUNCTION("""COMPUTED_VALUE"""),"HGM")</f>
        <v>HGM</v>
      </c>
      <c r="I2840" s="9" t="str">
        <f>IFERROR(__xludf.DUMMYFUNCTION("""COMPUTED_VALUE"""),"Met")</f>
        <v>Met</v>
      </c>
      <c r="J2840" s="9" t="str">
        <f>IFERROR(__xludf.DUMMYFUNCTION("""COMPUTED_VALUE"""),"CB")</f>
        <v>CB</v>
      </c>
      <c r="K2840" s="9" t="str">
        <f>IFERROR(__xludf.DUMMYFUNCTION("""COMPUTED_VALUE"""),"CBC")</f>
        <v>CBC</v>
      </c>
      <c r="L2840" s="9" t="str">
        <f>IFERROR(__xludf.DUMMYFUNCTION("""COMPUTED_VALUE"""),"CBH")</f>
        <v>CBH</v>
      </c>
      <c r="M2840" s="9" t="str">
        <f>IFERROR(__xludf.DUMMYFUNCTION("""COMPUTED_VALUE"""),"CBPV")</f>
        <v>CBPV</v>
      </c>
      <c r="N2840" s="9" t="str">
        <f>IFERROR(__xludf.DUMMYFUNCTION("""COMPUTED_VALUE"""),"PVP")</f>
        <v>PVP</v>
      </c>
      <c r="O2840" s="9" t="str">
        <f>IFERROR(__xludf.DUMMYFUNCTION("""COMPUTED_VALUE"""),"PVPs")</f>
        <v>PVPs</v>
      </c>
      <c r="P2840" s="9" t="str">
        <f>IFERROR(__xludf.DUMMYFUNCTION("""COMPUTED_VALUE"""),"PVPsp")</f>
        <v>PVPsp</v>
      </c>
      <c r="Q2840" s="9"/>
      <c r="R2840" s="9"/>
      <c r="S2840" s="42"/>
      <c r="T2840" s="42"/>
      <c r="U2840" s="42"/>
      <c r="V2840" s="42"/>
      <c r="W2840" s="42"/>
      <c r="X2840" s="42"/>
      <c r="Y2840" s="42"/>
      <c r="Z2840" s="42"/>
      <c r="AA2840" s="42"/>
      <c r="AB2840" s="42" t="str">
        <f>IFERROR(__xludf.DUMMYFUNCTION("""COMPUTED_VALUE"""),"allen institute")</f>
        <v>allen institute</v>
      </c>
      <c r="AC2840" s="42" t="str">
        <f>IFERROR(__xludf.DUMMYFUNCTION("""COMPUTED_VALUE"""),"DHBA")</f>
        <v>DHBA</v>
      </c>
      <c r="AD2840" s="42"/>
      <c r="AE2840" s="42"/>
      <c r="AF2840" s="9"/>
      <c r="AG2840" s="9"/>
      <c r="AH2840" s="42"/>
      <c r="AI2840" s="42"/>
      <c r="AJ2840" s="42"/>
      <c r="AK2840" s="42"/>
      <c r="AL2840" s="42"/>
      <c r="AM2840" s="42"/>
      <c r="AN2840" s="42"/>
      <c r="AO2840" s="63" t="str">
        <f>IFERROR(__xludf.DUMMYFUNCTION("IF(ISBLANK(A2840),,IF(ISBLANK(S2840), A2840&amp;"";"", TEXTJOIN(CHAR(10), TRUE, A2840&amp;"";"", ARRAYFORMULA(VLOOKUP(SPLIT(S2840, "";"" &amp; CHAR(10)), $A:$AO, 41, FALSE)))))"),"PVPsp;")</f>
        <v>PVPsp;</v>
      </c>
      <c r="AP2840" s="89"/>
    </row>
    <row r="2841">
      <c r="A2841" s="151" t="str">
        <f>IFERROR(__xludf.DUMMYFUNCTION("""COMPUTED_VALUE"""),"PVPsg")</f>
        <v>PVPsg</v>
      </c>
      <c r="B2841" s="42" t="str">
        <f>IFERROR(__xludf.DUMMYFUNCTION("""COMPUTED_VALUE"""),"DHBA")</f>
        <v>DHBA</v>
      </c>
      <c r="C2841" s="42" t="str">
        <f>IFERROR(__xludf.DUMMYFUNCTION("""COMPUTED_VALUE"""),"granular cell layer of PVPs")</f>
        <v>granular cell layer of PVPs</v>
      </c>
      <c r="D2841" s="42">
        <f>IFERROR(__xludf.DUMMYFUNCTION("""COMPUTED_VALUE"""),2705.0)</f>
        <v>2705</v>
      </c>
      <c r="E2841" s="39" t="str">
        <f>IFERROR(__xludf.DUMMYFUNCTION("""COMPUTED_VALUE"""),"granular cell layer of PVPs")</f>
        <v>granular cell layer of PVPs</v>
      </c>
      <c r="F2841" s="9" t="str">
        <f>IFERROR(__xludf.DUMMYFUNCTION("""COMPUTED_VALUE"""),"Br")</f>
        <v>Br</v>
      </c>
      <c r="G2841" s="9" t="str">
        <f>IFERROR(__xludf.DUMMYFUNCTION("""COMPUTED_VALUE"""),"H")</f>
        <v>H</v>
      </c>
      <c r="H2841" s="9" t="str">
        <f>IFERROR(__xludf.DUMMYFUNCTION("""COMPUTED_VALUE"""),"HGM")</f>
        <v>HGM</v>
      </c>
      <c r="I2841" s="9" t="str">
        <f>IFERROR(__xludf.DUMMYFUNCTION("""COMPUTED_VALUE"""),"Met")</f>
        <v>Met</v>
      </c>
      <c r="J2841" s="9" t="str">
        <f>IFERROR(__xludf.DUMMYFUNCTION("""COMPUTED_VALUE"""),"CB")</f>
        <v>CB</v>
      </c>
      <c r="K2841" s="9" t="str">
        <f>IFERROR(__xludf.DUMMYFUNCTION("""COMPUTED_VALUE"""),"CBC")</f>
        <v>CBC</v>
      </c>
      <c r="L2841" s="9" t="str">
        <f>IFERROR(__xludf.DUMMYFUNCTION("""COMPUTED_VALUE"""),"CBH")</f>
        <v>CBH</v>
      </c>
      <c r="M2841" s="9" t="str">
        <f>IFERROR(__xludf.DUMMYFUNCTION("""COMPUTED_VALUE"""),"CBPV")</f>
        <v>CBPV</v>
      </c>
      <c r="N2841" s="9" t="str">
        <f>IFERROR(__xludf.DUMMYFUNCTION("""COMPUTED_VALUE"""),"PVP")</f>
        <v>PVP</v>
      </c>
      <c r="O2841" s="9" t="str">
        <f>IFERROR(__xludf.DUMMYFUNCTION("""COMPUTED_VALUE"""),"PVPs")</f>
        <v>PVPs</v>
      </c>
      <c r="P2841" s="9" t="str">
        <f>IFERROR(__xludf.DUMMYFUNCTION("""COMPUTED_VALUE"""),"PVPsg")</f>
        <v>PVPsg</v>
      </c>
      <c r="Q2841" s="9"/>
      <c r="R2841" s="9"/>
      <c r="S2841" s="42"/>
      <c r="T2841" s="42"/>
      <c r="U2841" s="42"/>
      <c r="V2841" s="42"/>
      <c r="W2841" s="42"/>
      <c r="X2841" s="42"/>
      <c r="Y2841" s="42"/>
      <c r="Z2841" s="42"/>
      <c r="AA2841" s="42"/>
      <c r="AB2841" s="42" t="str">
        <f>IFERROR(__xludf.DUMMYFUNCTION("""COMPUTED_VALUE"""),"allen institute")</f>
        <v>allen institute</v>
      </c>
      <c r="AC2841" s="42" t="str">
        <f>IFERROR(__xludf.DUMMYFUNCTION("""COMPUTED_VALUE"""),"DHBA")</f>
        <v>DHBA</v>
      </c>
      <c r="AD2841" s="42"/>
      <c r="AE2841" s="42"/>
      <c r="AF2841" s="9"/>
      <c r="AG2841" s="9"/>
      <c r="AH2841" s="42"/>
      <c r="AI2841" s="42"/>
      <c r="AJ2841" s="42"/>
      <c r="AK2841" s="42"/>
      <c r="AL2841" s="42"/>
      <c r="AM2841" s="42"/>
      <c r="AN2841" s="42"/>
      <c r="AO2841" s="63" t="str">
        <f>IFERROR(__xludf.DUMMYFUNCTION("IF(ISBLANK(A2841),,IF(ISBLANK(S2841), A2841&amp;"";"", TEXTJOIN(CHAR(10), TRUE, A2841&amp;"";"", ARRAYFORMULA(VLOOKUP(SPLIT(S2841, "";"" &amp; CHAR(10)), $A:$AO, 41, FALSE)))))"),"PVPsg;")</f>
        <v>PVPsg;</v>
      </c>
      <c r="AP2841" s="89"/>
    </row>
    <row r="2842">
      <c r="A2842" s="151" t="str">
        <f>IFERROR(__xludf.DUMMYFUNCTION("""COMPUTED_VALUE"""),"PVPi")</f>
        <v>PVPi</v>
      </c>
      <c r="B2842" s="42" t="str">
        <f>IFERROR(__xludf.DUMMYFUNCTION("""COMPUTED_VALUE"""),"DHBA")</f>
        <v>DHBA</v>
      </c>
      <c r="C2842" s="42" t="str">
        <f>IFERROR(__xludf.DUMMYFUNCTION("""COMPUTED_VALUE"""),"paravermis, posterior lobe portion, inferior part")</f>
        <v>paravermis, posterior lobe portion, inferior part</v>
      </c>
      <c r="D2842" s="42">
        <f>IFERROR(__xludf.DUMMYFUNCTION("""COMPUTED_VALUE"""),2706.0)</f>
        <v>2706</v>
      </c>
      <c r="E2842" s="39" t="str">
        <f>IFERROR(__xludf.DUMMYFUNCTION("""COMPUTED_VALUE"""),"paravermis, posterior lobe portion, inferior part")</f>
        <v>paravermis, posterior lobe portion, inferior part</v>
      </c>
      <c r="F2842" s="9" t="str">
        <f>IFERROR(__xludf.DUMMYFUNCTION("""COMPUTED_VALUE"""),"Br")</f>
        <v>Br</v>
      </c>
      <c r="G2842" s="9" t="str">
        <f>IFERROR(__xludf.DUMMYFUNCTION("""COMPUTED_VALUE"""),"H")</f>
        <v>H</v>
      </c>
      <c r="H2842" s="9" t="str">
        <f>IFERROR(__xludf.DUMMYFUNCTION("""COMPUTED_VALUE"""),"HGM")</f>
        <v>HGM</v>
      </c>
      <c r="I2842" s="9" t="str">
        <f>IFERROR(__xludf.DUMMYFUNCTION("""COMPUTED_VALUE"""),"Met")</f>
        <v>Met</v>
      </c>
      <c r="J2842" s="9" t="str">
        <f>IFERROR(__xludf.DUMMYFUNCTION("""COMPUTED_VALUE"""),"CB")</f>
        <v>CB</v>
      </c>
      <c r="K2842" s="9" t="str">
        <f>IFERROR(__xludf.DUMMYFUNCTION("""COMPUTED_VALUE"""),"CBC")</f>
        <v>CBC</v>
      </c>
      <c r="L2842" s="9" t="str">
        <f>IFERROR(__xludf.DUMMYFUNCTION("""COMPUTED_VALUE"""),"CBH")</f>
        <v>CBH</v>
      </c>
      <c r="M2842" s="9" t="str">
        <f>IFERROR(__xludf.DUMMYFUNCTION("""COMPUTED_VALUE"""),"CBPV")</f>
        <v>CBPV</v>
      </c>
      <c r="N2842" s="9" t="str">
        <f>IFERROR(__xludf.DUMMYFUNCTION("""COMPUTED_VALUE"""),"PVP")</f>
        <v>PVP</v>
      </c>
      <c r="O2842" s="9" t="str">
        <f>IFERROR(__xludf.DUMMYFUNCTION("""COMPUTED_VALUE"""),"PVPi")</f>
        <v>PVPi</v>
      </c>
      <c r="P2842" s="9"/>
      <c r="Q2842" s="9"/>
      <c r="R2842" s="9"/>
      <c r="S2842" s="42" t="str">
        <f>IFERROR(__xludf.DUMMYFUNCTION("""COMPUTED_VALUE"""),"PVPim;
PVPip;
PVPig")</f>
        <v>PVPim;
PVPip;
PVPig</v>
      </c>
      <c r="T2842" s="42" t="str">
        <f>IFERROR(__xludf.DUMMYFUNCTION("""COMPUTED_VALUE"""),"lobe")</f>
        <v>lobe</v>
      </c>
      <c r="U2842" s="42" t="b">
        <f>IFERROR(__xludf.DUMMYFUNCTION("""COMPUTED_VALUE"""),FALSE)</f>
        <v>0</v>
      </c>
      <c r="V2842" s="42"/>
      <c r="W2842" s="42"/>
      <c r="X2842" s="42"/>
      <c r="Y2842" s="42"/>
      <c r="Z2842" s="42"/>
      <c r="AA2842" s="42"/>
      <c r="AB2842" s="42" t="str">
        <f>IFERROR(__xludf.DUMMYFUNCTION("""COMPUTED_VALUE"""),"allen institute")</f>
        <v>allen institute</v>
      </c>
      <c r="AC2842" s="42" t="str">
        <f>IFERROR(__xludf.DUMMYFUNCTION("""COMPUTED_VALUE"""),"DHBA")</f>
        <v>DHBA</v>
      </c>
      <c r="AD2842" s="42"/>
      <c r="AE2842" s="42"/>
      <c r="AF2842" s="9"/>
      <c r="AG2842" s="9"/>
      <c r="AH2842" s="42"/>
      <c r="AI2842" s="42"/>
      <c r="AJ2842" s="42"/>
      <c r="AK2842" s="42"/>
      <c r="AL2842" s="42"/>
      <c r="AM2842" s="42"/>
      <c r="AN2842" s="42"/>
      <c r="AO2842" s="63" t="str">
        <f>IFERROR(__xludf.DUMMYFUNCTION("IF(ISBLANK(A2842),,IF(ISBLANK(S2842), A2842&amp;"";"", TEXTJOIN(CHAR(10), TRUE, A2842&amp;"";"", ARRAYFORMULA(VLOOKUP(SPLIT(S2842, "";"" &amp; CHAR(10)), $A:$AO, 41, FALSE)))))"),"PVPi;
PVPim;
PVPip;
PVPig;")</f>
        <v>PVPi;
PVPim;
PVPip;
PVPig;</v>
      </c>
      <c r="AP2842" s="89"/>
    </row>
    <row r="2843">
      <c r="A2843" s="151" t="str">
        <f>IFERROR(__xludf.DUMMYFUNCTION("""COMPUTED_VALUE"""),"PVPim")</f>
        <v>PVPim</v>
      </c>
      <c r="B2843" s="42" t="str">
        <f>IFERROR(__xludf.DUMMYFUNCTION("""COMPUTED_VALUE"""),"DHBA")</f>
        <v>DHBA</v>
      </c>
      <c r="C2843" s="42" t="str">
        <f>IFERROR(__xludf.DUMMYFUNCTION("""COMPUTED_VALUE"""),"molecular layer of PVPi")</f>
        <v>molecular layer of PVPi</v>
      </c>
      <c r="D2843" s="42">
        <f>IFERROR(__xludf.DUMMYFUNCTION("""COMPUTED_VALUE"""),2707.0)</f>
        <v>2707</v>
      </c>
      <c r="E2843" s="39" t="str">
        <f>IFERROR(__xludf.DUMMYFUNCTION("""COMPUTED_VALUE"""),"molecular layer of PVPi")</f>
        <v>molecular layer of PVPi</v>
      </c>
      <c r="F2843" s="9" t="str">
        <f>IFERROR(__xludf.DUMMYFUNCTION("""COMPUTED_VALUE"""),"Br")</f>
        <v>Br</v>
      </c>
      <c r="G2843" s="9" t="str">
        <f>IFERROR(__xludf.DUMMYFUNCTION("""COMPUTED_VALUE"""),"H")</f>
        <v>H</v>
      </c>
      <c r="H2843" s="9" t="str">
        <f>IFERROR(__xludf.DUMMYFUNCTION("""COMPUTED_VALUE"""),"HGM")</f>
        <v>HGM</v>
      </c>
      <c r="I2843" s="9" t="str">
        <f>IFERROR(__xludf.DUMMYFUNCTION("""COMPUTED_VALUE"""),"Met")</f>
        <v>Met</v>
      </c>
      <c r="J2843" s="9" t="str">
        <f>IFERROR(__xludf.DUMMYFUNCTION("""COMPUTED_VALUE"""),"CB")</f>
        <v>CB</v>
      </c>
      <c r="K2843" s="9" t="str">
        <f>IFERROR(__xludf.DUMMYFUNCTION("""COMPUTED_VALUE"""),"CBC")</f>
        <v>CBC</v>
      </c>
      <c r="L2843" s="9" t="str">
        <f>IFERROR(__xludf.DUMMYFUNCTION("""COMPUTED_VALUE"""),"CBH")</f>
        <v>CBH</v>
      </c>
      <c r="M2843" s="9" t="str">
        <f>IFERROR(__xludf.DUMMYFUNCTION("""COMPUTED_VALUE"""),"CBPV")</f>
        <v>CBPV</v>
      </c>
      <c r="N2843" s="9" t="str">
        <f>IFERROR(__xludf.DUMMYFUNCTION("""COMPUTED_VALUE"""),"PVP")</f>
        <v>PVP</v>
      </c>
      <c r="O2843" s="9" t="str">
        <f>IFERROR(__xludf.DUMMYFUNCTION("""COMPUTED_VALUE"""),"PVPi")</f>
        <v>PVPi</v>
      </c>
      <c r="P2843" s="9" t="str">
        <f>IFERROR(__xludf.DUMMYFUNCTION("""COMPUTED_VALUE"""),"PVPim")</f>
        <v>PVPim</v>
      </c>
      <c r="Q2843" s="9"/>
      <c r="R2843" s="9"/>
      <c r="S2843" s="42"/>
      <c r="T2843" s="42"/>
      <c r="U2843" s="42"/>
      <c r="V2843" s="42"/>
      <c r="W2843" s="42"/>
      <c r="X2843" s="42"/>
      <c r="Y2843" s="42"/>
      <c r="Z2843" s="42"/>
      <c r="AA2843" s="42"/>
      <c r="AB2843" s="42" t="str">
        <f>IFERROR(__xludf.DUMMYFUNCTION("""COMPUTED_VALUE"""),"allen institute")</f>
        <v>allen institute</v>
      </c>
      <c r="AC2843" s="42" t="str">
        <f>IFERROR(__xludf.DUMMYFUNCTION("""COMPUTED_VALUE"""),"DHBA")</f>
        <v>DHBA</v>
      </c>
      <c r="AD2843" s="42"/>
      <c r="AE2843" s="42"/>
      <c r="AF2843" s="9"/>
      <c r="AG2843" s="9"/>
      <c r="AH2843" s="42"/>
      <c r="AI2843" s="42"/>
      <c r="AJ2843" s="42"/>
      <c r="AK2843" s="42"/>
      <c r="AL2843" s="42"/>
      <c r="AM2843" s="42"/>
      <c r="AN2843" s="42"/>
      <c r="AO2843" s="63" t="str">
        <f>IFERROR(__xludf.DUMMYFUNCTION("IF(ISBLANK(A2843),,IF(ISBLANK(S2843), A2843&amp;"";"", TEXTJOIN(CHAR(10), TRUE, A2843&amp;"";"", ARRAYFORMULA(VLOOKUP(SPLIT(S2843, "";"" &amp; CHAR(10)), $A:$AO, 41, FALSE)))))"),"PVPim;")</f>
        <v>PVPim;</v>
      </c>
      <c r="AP2843" s="89"/>
    </row>
    <row r="2844">
      <c r="A2844" s="151" t="str">
        <f>IFERROR(__xludf.DUMMYFUNCTION("""COMPUTED_VALUE"""),"PVPip")</f>
        <v>PVPip</v>
      </c>
      <c r="B2844" s="42" t="str">
        <f>IFERROR(__xludf.DUMMYFUNCTION("""COMPUTED_VALUE"""),"DHBA")</f>
        <v>DHBA</v>
      </c>
      <c r="C2844" s="42" t="str">
        <f>IFERROR(__xludf.DUMMYFUNCTION("""COMPUTED_VALUE"""),"Purkinje cell layer of PVPi")</f>
        <v>Purkinje cell layer of PVPi</v>
      </c>
      <c r="D2844" s="42">
        <f>IFERROR(__xludf.DUMMYFUNCTION("""COMPUTED_VALUE"""),2708.0)</f>
        <v>2708</v>
      </c>
      <c r="E2844" s="39" t="str">
        <f>IFERROR(__xludf.DUMMYFUNCTION("""COMPUTED_VALUE"""),"Purkinje cell layer of PVPi")</f>
        <v>Purkinje cell layer of PVPi</v>
      </c>
      <c r="F2844" s="9" t="str">
        <f>IFERROR(__xludf.DUMMYFUNCTION("""COMPUTED_VALUE"""),"Br")</f>
        <v>Br</v>
      </c>
      <c r="G2844" s="9" t="str">
        <f>IFERROR(__xludf.DUMMYFUNCTION("""COMPUTED_VALUE"""),"H")</f>
        <v>H</v>
      </c>
      <c r="H2844" s="9" t="str">
        <f>IFERROR(__xludf.DUMMYFUNCTION("""COMPUTED_VALUE"""),"HGM")</f>
        <v>HGM</v>
      </c>
      <c r="I2844" s="9" t="str">
        <f>IFERROR(__xludf.DUMMYFUNCTION("""COMPUTED_VALUE"""),"Met")</f>
        <v>Met</v>
      </c>
      <c r="J2844" s="9" t="str">
        <f>IFERROR(__xludf.DUMMYFUNCTION("""COMPUTED_VALUE"""),"CB")</f>
        <v>CB</v>
      </c>
      <c r="K2844" s="9" t="str">
        <f>IFERROR(__xludf.DUMMYFUNCTION("""COMPUTED_VALUE"""),"CBC")</f>
        <v>CBC</v>
      </c>
      <c r="L2844" s="9" t="str">
        <f>IFERROR(__xludf.DUMMYFUNCTION("""COMPUTED_VALUE"""),"CBH")</f>
        <v>CBH</v>
      </c>
      <c r="M2844" s="9" t="str">
        <f>IFERROR(__xludf.DUMMYFUNCTION("""COMPUTED_VALUE"""),"CBPV")</f>
        <v>CBPV</v>
      </c>
      <c r="N2844" s="9" t="str">
        <f>IFERROR(__xludf.DUMMYFUNCTION("""COMPUTED_VALUE"""),"PVP")</f>
        <v>PVP</v>
      </c>
      <c r="O2844" s="9" t="str">
        <f>IFERROR(__xludf.DUMMYFUNCTION("""COMPUTED_VALUE"""),"PVPi")</f>
        <v>PVPi</v>
      </c>
      <c r="P2844" s="9" t="str">
        <f>IFERROR(__xludf.DUMMYFUNCTION("""COMPUTED_VALUE"""),"PVPip")</f>
        <v>PVPip</v>
      </c>
      <c r="Q2844" s="9"/>
      <c r="R2844" s="9"/>
      <c r="S2844" s="42"/>
      <c r="T2844" s="42"/>
      <c r="U2844" s="42"/>
      <c r="V2844" s="42"/>
      <c r="W2844" s="42"/>
      <c r="X2844" s="42"/>
      <c r="Y2844" s="42"/>
      <c r="Z2844" s="42"/>
      <c r="AA2844" s="42"/>
      <c r="AB2844" s="42" t="str">
        <f>IFERROR(__xludf.DUMMYFUNCTION("""COMPUTED_VALUE"""),"allen institute")</f>
        <v>allen institute</v>
      </c>
      <c r="AC2844" s="42" t="str">
        <f>IFERROR(__xludf.DUMMYFUNCTION("""COMPUTED_VALUE"""),"DHBA")</f>
        <v>DHBA</v>
      </c>
      <c r="AD2844" s="42"/>
      <c r="AE2844" s="42"/>
      <c r="AF2844" s="9"/>
      <c r="AG2844" s="9"/>
      <c r="AH2844" s="42"/>
      <c r="AI2844" s="42"/>
      <c r="AJ2844" s="42"/>
      <c r="AK2844" s="42"/>
      <c r="AL2844" s="42"/>
      <c r="AM2844" s="42"/>
      <c r="AN2844" s="42"/>
      <c r="AO2844" s="63" t="str">
        <f>IFERROR(__xludf.DUMMYFUNCTION("IF(ISBLANK(A2844),,IF(ISBLANK(S2844), A2844&amp;"";"", TEXTJOIN(CHAR(10), TRUE, A2844&amp;"";"", ARRAYFORMULA(VLOOKUP(SPLIT(S2844, "";"" &amp; CHAR(10)), $A:$AO, 41, FALSE)))))"),"PVPip;")</f>
        <v>PVPip;</v>
      </c>
      <c r="AP2844" s="89"/>
    </row>
    <row r="2845">
      <c r="A2845" s="151" t="str">
        <f>IFERROR(__xludf.DUMMYFUNCTION("""COMPUTED_VALUE"""),"PVPig")</f>
        <v>PVPig</v>
      </c>
      <c r="B2845" s="42" t="str">
        <f>IFERROR(__xludf.DUMMYFUNCTION("""COMPUTED_VALUE"""),"DHBA")</f>
        <v>DHBA</v>
      </c>
      <c r="C2845" s="42" t="str">
        <f>IFERROR(__xludf.DUMMYFUNCTION("""COMPUTED_VALUE"""),"granular cell layer of PVPi")</f>
        <v>granular cell layer of PVPi</v>
      </c>
      <c r="D2845" s="42">
        <f>IFERROR(__xludf.DUMMYFUNCTION("""COMPUTED_VALUE"""),2709.0)</f>
        <v>2709</v>
      </c>
      <c r="E2845" s="39" t="str">
        <f>IFERROR(__xludf.DUMMYFUNCTION("""COMPUTED_VALUE"""),"granular cell layer of PVPi")</f>
        <v>granular cell layer of PVPi</v>
      </c>
      <c r="F2845" s="9" t="str">
        <f>IFERROR(__xludf.DUMMYFUNCTION("""COMPUTED_VALUE"""),"Br")</f>
        <v>Br</v>
      </c>
      <c r="G2845" s="9" t="str">
        <f>IFERROR(__xludf.DUMMYFUNCTION("""COMPUTED_VALUE"""),"H")</f>
        <v>H</v>
      </c>
      <c r="H2845" s="9" t="str">
        <f>IFERROR(__xludf.DUMMYFUNCTION("""COMPUTED_VALUE"""),"HGM")</f>
        <v>HGM</v>
      </c>
      <c r="I2845" s="9" t="str">
        <f>IFERROR(__xludf.DUMMYFUNCTION("""COMPUTED_VALUE"""),"Met")</f>
        <v>Met</v>
      </c>
      <c r="J2845" s="9" t="str">
        <f>IFERROR(__xludf.DUMMYFUNCTION("""COMPUTED_VALUE"""),"CB")</f>
        <v>CB</v>
      </c>
      <c r="K2845" s="9" t="str">
        <f>IFERROR(__xludf.DUMMYFUNCTION("""COMPUTED_VALUE"""),"CBC")</f>
        <v>CBC</v>
      </c>
      <c r="L2845" s="9" t="str">
        <f>IFERROR(__xludf.DUMMYFUNCTION("""COMPUTED_VALUE"""),"CBH")</f>
        <v>CBH</v>
      </c>
      <c r="M2845" s="9" t="str">
        <f>IFERROR(__xludf.DUMMYFUNCTION("""COMPUTED_VALUE"""),"CBPV")</f>
        <v>CBPV</v>
      </c>
      <c r="N2845" s="9" t="str">
        <f>IFERROR(__xludf.DUMMYFUNCTION("""COMPUTED_VALUE"""),"PVP")</f>
        <v>PVP</v>
      </c>
      <c r="O2845" s="9" t="str">
        <f>IFERROR(__xludf.DUMMYFUNCTION("""COMPUTED_VALUE"""),"PVPi")</f>
        <v>PVPi</v>
      </c>
      <c r="P2845" s="9" t="str">
        <f>IFERROR(__xludf.DUMMYFUNCTION("""COMPUTED_VALUE"""),"PVPig")</f>
        <v>PVPig</v>
      </c>
      <c r="Q2845" s="9"/>
      <c r="R2845" s="9"/>
      <c r="S2845" s="42"/>
      <c r="T2845" s="42"/>
      <c r="U2845" s="42"/>
      <c r="V2845" s="42"/>
      <c r="W2845" s="42"/>
      <c r="X2845" s="42"/>
      <c r="Y2845" s="42"/>
      <c r="Z2845" s="42"/>
      <c r="AA2845" s="42"/>
      <c r="AB2845" s="42" t="str">
        <f>IFERROR(__xludf.DUMMYFUNCTION("""COMPUTED_VALUE"""),"allen institute")</f>
        <v>allen institute</v>
      </c>
      <c r="AC2845" s="42" t="str">
        <f>IFERROR(__xludf.DUMMYFUNCTION("""COMPUTED_VALUE"""),"DHBA")</f>
        <v>DHBA</v>
      </c>
      <c r="AD2845" s="42"/>
      <c r="AE2845" s="42"/>
      <c r="AF2845" s="9"/>
      <c r="AG2845" s="9"/>
      <c r="AH2845" s="42"/>
      <c r="AI2845" s="42"/>
      <c r="AJ2845" s="42"/>
      <c r="AK2845" s="42"/>
      <c r="AL2845" s="42"/>
      <c r="AM2845" s="42"/>
      <c r="AN2845" s="42"/>
      <c r="AO2845" s="63" t="str">
        <f>IFERROR(__xludf.DUMMYFUNCTION("IF(ISBLANK(A2845),,IF(ISBLANK(S2845), A2845&amp;"";"", TEXTJOIN(CHAR(10), TRUE, A2845&amp;"";"", ARRAYFORMULA(VLOOKUP(SPLIT(S2845, "";"" &amp; CHAR(10)), $A:$AO, 41, FALSE)))))"),"PVPig;")</f>
        <v>PVPig;</v>
      </c>
      <c r="AP2845" s="89"/>
    </row>
    <row r="2846">
      <c r="A2846" s="151" t="str">
        <f>IFERROR(__xludf.DUMMYFUNCTION("""COMPUTED_VALUE"""),"PVF")</f>
        <v>PVF</v>
      </c>
      <c r="B2846" s="42" t="str">
        <f>IFERROR(__xludf.DUMMYFUNCTION("""COMPUTED_VALUE"""),"DHBA")</f>
        <v>DHBA</v>
      </c>
      <c r="C2846" s="42" t="str">
        <f>IFERROR(__xludf.DUMMYFUNCTION("""COMPUTED_VALUE"""),"paravermis, flocculonodular lobe portion")</f>
        <v>paravermis, flocculonodular lobe portion</v>
      </c>
      <c r="D2846" s="42">
        <f>IFERROR(__xludf.DUMMYFUNCTION("""COMPUTED_VALUE"""),2710.0)</f>
        <v>2710</v>
      </c>
      <c r="E2846" s="39" t="str">
        <f>IFERROR(__xludf.DUMMYFUNCTION("""COMPUTED_VALUE"""),"paravermis, flocculonodular lobe portion")</f>
        <v>paravermis, flocculonodular lobe portion</v>
      </c>
      <c r="F2846" s="9" t="str">
        <f>IFERROR(__xludf.DUMMYFUNCTION("""COMPUTED_VALUE"""),"Br")</f>
        <v>Br</v>
      </c>
      <c r="G2846" s="9" t="str">
        <f>IFERROR(__xludf.DUMMYFUNCTION("""COMPUTED_VALUE"""),"H")</f>
        <v>H</v>
      </c>
      <c r="H2846" s="9" t="str">
        <f>IFERROR(__xludf.DUMMYFUNCTION("""COMPUTED_VALUE"""),"HGM")</f>
        <v>HGM</v>
      </c>
      <c r="I2846" s="9" t="str">
        <f>IFERROR(__xludf.DUMMYFUNCTION("""COMPUTED_VALUE"""),"Met")</f>
        <v>Met</v>
      </c>
      <c r="J2846" s="9" t="str">
        <f>IFERROR(__xludf.DUMMYFUNCTION("""COMPUTED_VALUE"""),"CB")</f>
        <v>CB</v>
      </c>
      <c r="K2846" s="9" t="str">
        <f>IFERROR(__xludf.DUMMYFUNCTION("""COMPUTED_VALUE"""),"CBC")</f>
        <v>CBC</v>
      </c>
      <c r="L2846" s="9" t="str">
        <f>IFERROR(__xludf.DUMMYFUNCTION("""COMPUTED_VALUE"""),"CBH")</f>
        <v>CBH</v>
      </c>
      <c r="M2846" s="9" t="str">
        <f>IFERROR(__xludf.DUMMYFUNCTION("""COMPUTED_VALUE"""),"CBPV")</f>
        <v>CBPV</v>
      </c>
      <c r="N2846" s="9" t="str">
        <f>IFERROR(__xludf.DUMMYFUNCTION("""COMPUTED_VALUE"""),"PVF")</f>
        <v>PVF</v>
      </c>
      <c r="O2846" s="9"/>
      <c r="P2846" s="9"/>
      <c r="Q2846" s="9"/>
      <c r="R2846" s="9"/>
      <c r="S2846" s="42" t="str">
        <f>IFERROR(__xludf.DUMMYFUNCTION("""COMPUTED_VALUE"""),"PVFm;
PVFp;
PVFg")</f>
        <v>PVFm;
PVFp;
PVFg</v>
      </c>
      <c r="T2846" s="42" t="str">
        <f>IFERROR(__xludf.DUMMYFUNCTION("""COMPUTED_VALUE"""),"lobe")</f>
        <v>lobe</v>
      </c>
      <c r="U2846" s="42" t="b">
        <f>IFERROR(__xludf.DUMMYFUNCTION("""COMPUTED_VALUE"""),FALSE)</f>
        <v>0</v>
      </c>
      <c r="V2846" s="42"/>
      <c r="W2846" s="42"/>
      <c r="X2846" s="42"/>
      <c r="Y2846" s="42"/>
      <c r="Z2846" s="42"/>
      <c r="AA2846" s="42"/>
      <c r="AB2846" s="42" t="str">
        <f>IFERROR(__xludf.DUMMYFUNCTION("""COMPUTED_VALUE"""),"allen institute")</f>
        <v>allen institute</v>
      </c>
      <c r="AC2846" s="42" t="str">
        <f>IFERROR(__xludf.DUMMYFUNCTION("""COMPUTED_VALUE"""),"DHBA")</f>
        <v>DHBA</v>
      </c>
      <c r="AD2846" s="42"/>
      <c r="AE2846" s="42"/>
      <c r="AF2846" s="9"/>
      <c r="AG2846" s="9"/>
      <c r="AH2846" s="42"/>
      <c r="AI2846" s="42"/>
      <c r="AJ2846" s="42"/>
      <c r="AK2846" s="42"/>
      <c r="AL2846" s="42"/>
      <c r="AM2846" s="42"/>
      <c r="AN2846" s="42"/>
      <c r="AO2846" s="63" t="str">
        <f>IFERROR(__xludf.DUMMYFUNCTION("IF(ISBLANK(A2846),,IF(ISBLANK(S2846), A2846&amp;"";"", TEXTJOIN(CHAR(10), TRUE, A2846&amp;"";"", ARRAYFORMULA(VLOOKUP(SPLIT(S2846, "";"" &amp; CHAR(10)), $A:$AO, 41, FALSE)))))"),"PVF;
PVFm;
PVFp;
PVFg;")</f>
        <v>PVF;
PVFm;
PVFp;
PVFg;</v>
      </c>
      <c r="AP2846" s="89"/>
    </row>
    <row r="2847">
      <c r="A2847" s="151" t="str">
        <f>IFERROR(__xludf.DUMMYFUNCTION("""COMPUTED_VALUE"""),"PVFm")</f>
        <v>PVFm</v>
      </c>
      <c r="B2847" s="42" t="str">
        <f>IFERROR(__xludf.DUMMYFUNCTION("""COMPUTED_VALUE"""),"DHBA")</f>
        <v>DHBA</v>
      </c>
      <c r="C2847" s="42" t="str">
        <f>IFERROR(__xludf.DUMMYFUNCTION("""COMPUTED_VALUE"""),"molecular layer of PVF")</f>
        <v>molecular layer of PVF</v>
      </c>
      <c r="D2847" s="42">
        <f>IFERROR(__xludf.DUMMYFUNCTION("""COMPUTED_VALUE"""),2711.0)</f>
        <v>2711</v>
      </c>
      <c r="E2847" s="39" t="str">
        <f>IFERROR(__xludf.DUMMYFUNCTION("""COMPUTED_VALUE"""),"molecular layer of PVF")</f>
        <v>molecular layer of PVF</v>
      </c>
      <c r="F2847" s="9" t="str">
        <f>IFERROR(__xludf.DUMMYFUNCTION("""COMPUTED_VALUE"""),"Br")</f>
        <v>Br</v>
      </c>
      <c r="G2847" s="9" t="str">
        <f>IFERROR(__xludf.DUMMYFUNCTION("""COMPUTED_VALUE"""),"H")</f>
        <v>H</v>
      </c>
      <c r="H2847" s="9" t="str">
        <f>IFERROR(__xludf.DUMMYFUNCTION("""COMPUTED_VALUE"""),"HGM")</f>
        <v>HGM</v>
      </c>
      <c r="I2847" s="9" t="str">
        <f>IFERROR(__xludf.DUMMYFUNCTION("""COMPUTED_VALUE"""),"Met")</f>
        <v>Met</v>
      </c>
      <c r="J2847" s="9" t="str">
        <f>IFERROR(__xludf.DUMMYFUNCTION("""COMPUTED_VALUE"""),"CB")</f>
        <v>CB</v>
      </c>
      <c r="K2847" s="9" t="str">
        <f>IFERROR(__xludf.DUMMYFUNCTION("""COMPUTED_VALUE"""),"CBC")</f>
        <v>CBC</v>
      </c>
      <c r="L2847" s="9" t="str">
        <f>IFERROR(__xludf.DUMMYFUNCTION("""COMPUTED_VALUE"""),"CBH")</f>
        <v>CBH</v>
      </c>
      <c r="M2847" s="9" t="str">
        <f>IFERROR(__xludf.DUMMYFUNCTION("""COMPUTED_VALUE"""),"CBPV")</f>
        <v>CBPV</v>
      </c>
      <c r="N2847" s="9" t="str">
        <f>IFERROR(__xludf.DUMMYFUNCTION("""COMPUTED_VALUE"""),"PVF")</f>
        <v>PVF</v>
      </c>
      <c r="O2847" s="9" t="str">
        <f>IFERROR(__xludf.DUMMYFUNCTION("""COMPUTED_VALUE"""),"PVFm")</f>
        <v>PVFm</v>
      </c>
      <c r="P2847" s="9"/>
      <c r="Q2847" s="9"/>
      <c r="R2847" s="9"/>
      <c r="S2847" s="42"/>
      <c r="T2847" s="42"/>
      <c r="U2847" s="42"/>
      <c r="V2847" s="42"/>
      <c r="W2847" s="42"/>
      <c r="X2847" s="42"/>
      <c r="Y2847" s="42"/>
      <c r="Z2847" s="42"/>
      <c r="AA2847" s="42"/>
      <c r="AB2847" s="42" t="str">
        <f>IFERROR(__xludf.DUMMYFUNCTION("""COMPUTED_VALUE"""),"allen institute")</f>
        <v>allen institute</v>
      </c>
      <c r="AC2847" s="42" t="str">
        <f>IFERROR(__xludf.DUMMYFUNCTION("""COMPUTED_VALUE"""),"DHBA")</f>
        <v>DHBA</v>
      </c>
      <c r="AD2847" s="42"/>
      <c r="AE2847" s="42"/>
      <c r="AF2847" s="9"/>
      <c r="AG2847" s="9"/>
      <c r="AH2847" s="42"/>
      <c r="AI2847" s="42"/>
      <c r="AJ2847" s="42"/>
      <c r="AK2847" s="42"/>
      <c r="AL2847" s="42"/>
      <c r="AM2847" s="42"/>
      <c r="AN2847" s="42"/>
      <c r="AO2847" s="63" t="str">
        <f>IFERROR(__xludf.DUMMYFUNCTION("IF(ISBLANK(A2847),,IF(ISBLANK(S2847), A2847&amp;"";"", TEXTJOIN(CHAR(10), TRUE, A2847&amp;"";"", ARRAYFORMULA(VLOOKUP(SPLIT(S2847, "";"" &amp; CHAR(10)), $A:$AO, 41, FALSE)))))"),"PVFm;")</f>
        <v>PVFm;</v>
      </c>
      <c r="AP2847" s="89"/>
    </row>
    <row r="2848">
      <c r="A2848" s="151" t="str">
        <f>IFERROR(__xludf.DUMMYFUNCTION("""COMPUTED_VALUE"""),"PVFp")</f>
        <v>PVFp</v>
      </c>
      <c r="B2848" s="42" t="str">
        <f>IFERROR(__xludf.DUMMYFUNCTION("""COMPUTED_VALUE"""),"DHBA")</f>
        <v>DHBA</v>
      </c>
      <c r="C2848" s="42" t="str">
        <f>IFERROR(__xludf.DUMMYFUNCTION("""COMPUTED_VALUE"""),"Purkinje cell layer of PVF")</f>
        <v>Purkinje cell layer of PVF</v>
      </c>
      <c r="D2848" s="42">
        <f>IFERROR(__xludf.DUMMYFUNCTION("""COMPUTED_VALUE"""),2712.0)</f>
        <v>2712</v>
      </c>
      <c r="E2848" s="39" t="str">
        <f>IFERROR(__xludf.DUMMYFUNCTION("""COMPUTED_VALUE"""),"Purkinje cell layer of PVF")</f>
        <v>Purkinje cell layer of PVF</v>
      </c>
      <c r="F2848" s="9" t="str">
        <f>IFERROR(__xludf.DUMMYFUNCTION("""COMPUTED_VALUE"""),"Br")</f>
        <v>Br</v>
      </c>
      <c r="G2848" s="9" t="str">
        <f>IFERROR(__xludf.DUMMYFUNCTION("""COMPUTED_VALUE"""),"H")</f>
        <v>H</v>
      </c>
      <c r="H2848" s="9" t="str">
        <f>IFERROR(__xludf.DUMMYFUNCTION("""COMPUTED_VALUE"""),"HGM")</f>
        <v>HGM</v>
      </c>
      <c r="I2848" s="9" t="str">
        <f>IFERROR(__xludf.DUMMYFUNCTION("""COMPUTED_VALUE"""),"Met")</f>
        <v>Met</v>
      </c>
      <c r="J2848" s="9" t="str">
        <f>IFERROR(__xludf.DUMMYFUNCTION("""COMPUTED_VALUE"""),"CB")</f>
        <v>CB</v>
      </c>
      <c r="K2848" s="9" t="str">
        <f>IFERROR(__xludf.DUMMYFUNCTION("""COMPUTED_VALUE"""),"CBC")</f>
        <v>CBC</v>
      </c>
      <c r="L2848" s="9" t="str">
        <f>IFERROR(__xludf.DUMMYFUNCTION("""COMPUTED_VALUE"""),"CBH")</f>
        <v>CBH</v>
      </c>
      <c r="M2848" s="9" t="str">
        <f>IFERROR(__xludf.DUMMYFUNCTION("""COMPUTED_VALUE"""),"CBPV")</f>
        <v>CBPV</v>
      </c>
      <c r="N2848" s="9" t="str">
        <f>IFERROR(__xludf.DUMMYFUNCTION("""COMPUTED_VALUE"""),"PVF")</f>
        <v>PVF</v>
      </c>
      <c r="O2848" s="9" t="str">
        <f>IFERROR(__xludf.DUMMYFUNCTION("""COMPUTED_VALUE"""),"PVFp")</f>
        <v>PVFp</v>
      </c>
      <c r="P2848" s="9"/>
      <c r="Q2848" s="9"/>
      <c r="R2848" s="9"/>
      <c r="S2848" s="42"/>
      <c r="T2848" s="42"/>
      <c r="U2848" s="42"/>
      <c r="V2848" s="42"/>
      <c r="W2848" s="42"/>
      <c r="X2848" s="42"/>
      <c r="Y2848" s="42"/>
      <c r="Z2848" s="42"/>
      <c r="AA2848" s="42"/>
      <c r="AB2848" s="42" t="str">
        <f>IFERROR(__xludf.DUMMYFUNCTION("""COMPUTED_VALUE"""),"allen institute")</f>
        <v>allen institute</v>
      </c>
      <c r="AC2848" s="42" t="str">
        <f>IFERROR(__xludf.DUMMYFUNCTION("""COMPUTED_VALUE"""),"DHBA")</f>
        <v>DHBA</v>
      </c>
      <c r="AD2848" s="42"/>
      <c r="AE2848" s="42"/>
      <c r="AF2848" s="9"/>
      <c r="AG2848" s="9"/>
      <c r="AH2848" s="42"/>
      <c r="AI2848" s="42"/>
      <c r="AJ2848" s="42"/>
      <c r="AK2848" s="42"/>
      <c r="AL2848" s="42"/>
      <c r="AM2848" s="42"/>
      <c r="AN2848" s="42"/>
      <c r="AO2848" s="63" t="str">
        <f>IFERROR(__xludf.DUMMYFUNCTION("IF(ISBLANK(A2848),,IF(ISBLANK(S2848), A2848&amp;"";"", TEXTJOIN(CHAR(10), TRUE, A2848&amp;"";"", ARRAYFORMULA(VLOOKUP(SPLIT(S2848, "";"" &amp; CHAR(10)), $A:$AO, 41, FALSE)))))"),"PVFp;")</f>
        <v>PVFp;</v>
      </c>
      <c r="AP2848" s="89"/>
    </row>
    <row r="2849">
      <c r="A2849" s="151" t="str">
        <f>IFERROR(__xludf.DUMMYFUNCTION("""COMPUTED_VALUE"""),"PVFg")</f>
        <v>PVFg</v>
      </c>
      <c r="B2849" s="42" t="str">
        <f>IFERROR(__xludf.DUMMYFUNCTION("""COMPUTED_VALUE"""),"DHBA")</f>
        <v>DHBA</v>
      </c>
      <c r="C2849" s="42" t="str">
        <f>IFERROR(__xludf.DUMMYFUNCTION("""COMPUTED_VALUE"""),"granular cell layer of PVF")</f>
        <v>granular cell layer of PVF</v>
      </c>
      <c r="D2849" s="42">
        <f>IFERROR(__xludf.DUMMYFUNCTION("""COMPUTED_VALUE"""),2713.0)</f>
        <v>2713</v>
      </c>
      <c r="E2849" s="39" t="str">
        <f>IFERROR(__xludf.DUMMYFUNCTION("""COMPUTED_VALUE"""),"granular cell layer of PVF")</f>
        <v>granular cell layer of PVF</v>
      </c>
      <c r="F2849" s="9" t="str">
        <f>IFERROR(__xludf.DUMMYFUNCTION("""COMPUTED_VALUE"""),"Br")</f>
        <v>Br</v>
      </c>
      <c r="G2849" s="9" t="str">
        <f>IFERROR(__xludf.DUMMYFUNCTION("""COMPUTED_VALUE"""),"H")</f>
        <v>H</v>
      </c>
      <c r="H2849" s="9" t="str">
        <f>IFERROR(__xludf.DUMMYFUNCTION("""COMPUTED_VALUE"""),"HGM")</f>
        <v>HGM</v>
      </c>
      <c r="I2849" s="9" t="str">
        <f>IFERROR(__xludf.DUMMYFUNCTION("""COMPUTED_VALUE"""),"Met")</f>
        <v>Met</v>
      </c>
      <c r="J2849" s="9" t="str">
        <f>IFERROR(__xludf.DUMMYFUNCTION("""COMPUTED_VALUE"""),"CB")</f>
        <v>CB</v>
      </c>
      <c r="K2849" s="9" t="str">
        <f>IFERROR(__xludf.DUMMYFUNCTION("""COMPUTED_VALUE"""),"CBC")</f>
        <v>CBC</v>
      </c>
      <c r="L2849" s="9" t="str">
        <f>IFERROR(__xludf.DUMMYFUNCTION("""COMPUTED_VALUE"""),"CBH")</f>
        <v>CBH</v>
      </c>
      <c r="M2849" s="9" t="str">
        <f>IFERROR(__xludf.DUMMYFUNCTION("""COMPUTED_VALUE"""),"CBPV")</f>
        <v>CBPV</v>
      </c>
      <c r="N2849" s="9" t="str">
        <f>IFERROR(__xludf.DUMMYFUNCTION("""COMPUTED_VALUE"""),"PVF")</f>
        <v>PVF</v>
      </c>
      <c r="O2849" s="9" t="str">
        <f>IFERROR(__xludf.DUMMYFUNCTION("""COMPUTED_VALUE"""),"PVFg")</f>
        <v>PVFg</v>
      </c>
      <c r="P2849" s="9"/>
      <c r="Q2849" s="9"/>
      <c r="R2849" s="9"/>
      <c r="S2849" s="42"/>
      <c r="T2849" s="42"/>
      <c r="U2849" s="42"/>
      <c r="V2849" s="42"/>
      <c r="W2849" s="42"/>
      <c r="X2849" s="42"/>
      <c r="Y2849" s="42"/>
      <c r="Z2849" s="42"/>
      <c r="AA2849" s="42"/>
      <c r="AB2849" s="42" t="str">
        <f>IFERROR(__xludf.DUMMYFUNCTION("""COMPUTED_VALUE"""),"allen institute")</f>
        <v>allen institute</v>
      </c>
      <c r="AC2849" s="42" t="str">
        <f>IFERROR(__xludf.DUMMYFUNCTION("""COMPUTED_VALUE"""),"DHBA")</f>
        <v>DHBA</v>
      </c>
      <c r="AD2849" s="42"/>
      <c r="AE2849" s="42"/>
      <c r="AF2849" s="9"/>
      <c r="AG2849" s="9"/>
      <c r="AH2849" s="42"/>
      <c r="AI2849" s="42"/>
      <c r="AJ2849" s="42"/>
      <c r="AK2849" s="42"/>
      <c r="AL2849" s="42"/>
      <c r="AM2849" s="42"/>
      <c r="AN2849" s="42"/>
      <c r="AO2849" s="63" t="str">
        <f>IFERROR(__xludf.DUMMYFUNCTION("IF(ISBLANK(A2849),,IF(ISBLANK(S2849), A2849&amp;"";"", TEXTJOIN(CHAR(10), TRUE, A2849&amp;"";"", ARRAYFORMULA(VLOOKUP(SPLIT(S2849, "";"" &amp; CHAR(10)), $A:$AO, 41, FALSE)))))"),"PVFg;")</f>
        <v>PVFg;</v>
      </c>
      <c r="AP2849" s="89"/>
    </row>
    <row r="2850">
      <c r="A2850" s="151" t="str">
        <f>IFERROR(__xludf.DUMMYFUNCTION("""COMPUTED_VALUE"""),"CBL")</f>
        <v>CBL</v>
      </c>
      <c r="B2850" s="42" t="str">
        <f>IFERROR(__xludf.DUMMYFUNCTION("""COMPUTED_VALUE"""),"DHBA")</f>
        <v>DHBA</v>
      </c>
      <c r="C2850" s="42" t="str">
        <f>IFERROR(__xludf.DUMMYFUNCTION("""COMPUTED_VALUE"""),"lateral hemisphere of cerebellum")</f>
        <v>lateral hemisphere of cerebellum</v>
      </c>
      <c r="D2850" s="42">
        <f>IFERROR(__xludf.DUMMYFUNCTION("""COMPUTED_VALUE"""),2714.0)</f>
        <v>2714</v>
      </c>
      <c r="E2850" s="39" t="str">
        <f>IFERROR(__xludf.DUMMYFUNCTION("""COMPUTED_VALUE"""),"lateral hemisphere of cerebellum")</f>
        <v>lateral hemisphere of cerebellum</v>
      </c>
      <c r="F2850" s="9" t="str">
        <f>IFERROR(__xludf.DUMMYFUNCTION("""COMPUTED_VALUE"""),"Br")</f>
        <v>Br</v>
      </c>
      <c r="G2850" s="9" t="str">
        <f>IFERROR(__xludf.DUMMYFUNCTION("""COMPUTED_VALUE"""),"H")</f>
        <v>H</v>
      </c>
      <c r="H2850" s="9" t="str">
        <f>IFERROR(__xludf.DUMMYFUNCTION("""COMPUTED_VALUE"""),"HGM")</f>
        <v>HGM</v>
      </c>
      <c r="I2850" s="9" t="str">
        <f>IFERROR(__xludf.DUMMYFUNCTION("""COMPUTED_VALUE"""),"Met")</f>
        <v>Met</v>
      </c>
      <c r="J2850" s="9" t="str">
        <f>IFERROR(__xludf.DUMMYFUNCTION("""COMPUTED_VALUE"""),"CB")</f>
        <v>CB</v>
      </c>
      <c r="K2850" s="9" t="str">
        <f>IFERROR(__xludf.DUMMYFUNCTION("""COMPUTED_VALUE"""),"CBC")</f>
        <v>CBC</v>
      </c>
      <c r="L2850" s="9" t="str">
        <f>IFERROR(__xludf.DUMMYFUNCTION("""COMPUTED_VALUE"""),"CBH")</f>
        <v>CBH</v>
      </c>
      <c r="M2850" s="9" t="str">
        <f>IFERROR(__xludf.DUMMYFUNCTION("""COMPUTED_VALUE"""),"CBL")</f>
        <v>CBL</v>
      </c>
      <c r="N2850" s="9"/>
      <c r="O2850" s="9"/>
      <c r="P2850" s="9"/>
      <c r="Q2850" s="9"/>
      <c r="R2850" s="9"/>
      <c r="S2850" s="42" t="str">
        <f>IFERROR(__xludf.DUMMYFUNCTION("""COMPUTED_VALUE"""),"CBLA;
CBLP;
CBLF")</f>
        <v>CBLA;
CBLP;
CBLF</v>
      </c>
      <c r="T2850" s="42"/>
      <c r="U2850" s="42" t="b">
        <f>IFERROR(__xludf.DUMMYFUNCTION("""COMPUTED_VALUE"""),FALSE)</f>
        <v>0</v>
      </c>
      <c r="V2850" s="42"/>
      <c r="W2850" s="42"/>
      <c r="X2850" s="42"/>
      <c r="Y2850" s="42"/>
      <c r="Z2850" s="42"/>
      <c r="AA2850" s="42"/>
      <c r="AB2850" s="42" t="str">
        <f>IFERROR(__xludf.DUMMYFUNCTION("""COMPUTED_VALUE"""),"allen institute")</f>
        <v>allen institute</v>
      </c>
      <c r="AC2850" s="42" t="str">
        <f>IFERROR(__xludf.DUMMYFUNCTION("""COMPUTED_VALUE"""),"DHBA")</f>
        <v>DHBA</v>
      </c>
      <c r="AD2850" s="42"/>
      <c r="AE2850" s="42"/>
      <c r="AF2850" s="9"/>
      <c r="AG2850" s="9"/>
      <c r="AH2850" s="42"/>
      <c r="AI2850" s="42"/>
      <c r="AJ2850" s="42"/>
      <c r="AK2850" s="42"/>
      <c r="AL2850" s="42"/>
      <c r="AM2850" s="42"/>
      <c r="AN2850" s="42"/>
      <c r="AO2850" s="63" t="str">
        <f>IFERROR(__xludf.DUMMYFUNCTION("IF(ISBLANK(A2850),,IF(ISBLANK(S2850), A2850&amp;"";"", TEXTJOIN(CHAR(10), TRUE, A2850&amp;"";"", ARRAYFORMULA(VLOOKUP(SPLIT(S2850, "";"" &amp; CHAR(10)), $A:$AO, 41, FALSE)))))"),"CBL;
CBLA;
CBLAm;
CBLAp;
CBLAg;
CBLp;
CBLAp;
CBLPsp;
CBLPip;
CBLFp;
CBLF;
CBLFm;
CBLFp;
CBLFg;")</f>
        <v>CBL;
CBLA;
CBLAm;
CBLAp;
CBLAg;
CBLp;
CBLAp;
CBLPsp;
CBLPip;
CBLFp;
CBLF;
CBLFm;
CBLFp;
CBLFg;</v>
      </c>
      <c r="AP2850" s="89"/>
    </row>
    <row r="2851">
      <c r="A2851" s="151" t="str">
        <f>IFERROR(__xludf.DUMMYFUNCTION("""COMPUTED_VALUE"""),"CBLp")</f>
        <v>CBLp</v>
      </c>
      <c r="B2851" s="42" t="str">
        <f>IFERROR(__xludf.DUMMYFUNCTION("""COMPUTED_VALUE"""),"collection")</f>
        <v>collection</v>
      </c>
      <c r="C2851" s="42" t="str">
        <f>IFERROR(__xludf.DUMMYFUNCTION("""COMPUTED_VALUE"""),"purkinjecell of lateral heimisphere")</f>
        <v>purkinjecell of lateral heimisphere</v>
      </c>
      <c r="D2851" s="42">
        <f>IFERROR(__xludf.DUMMYFUNCTION("""COMPUTED_VALUE"""),2714.1)</f>
        <v>2714.1</v>
      </c>
      <c r="E2851" s="39" t="str">
        <f>IFERROR(__xludf.DUMMYFUNCTION("""COMPUTED_VALUE"""),"")</f>
        <v/>
      </c>
      <c r="F2851" s="9" t="str">
        <f>IFERROR(__xludf.DUMMYFUNCTION("""COMPUTED_VALUE"""),"")</f>
        <v/>
      </c>
      <c r="G2851" s="9" t="str">
        <f>IFERROR(__xludf.DUMMYFUNCTION("""COMPUTED_VALUE"""),"")</f>
        <v/>
      </c>
      <c r="H2851" s="9" t="str">
        <f>IFERROR(__xludf.DUMMYFUNCTION("""COMPUTED_VALUE"""),"")</f>
        <v/>
      </c>
      <c r="I2851" s="9" t="str">
        <f>IFERROR(__xludf.DUMMYFUNCTION("""COMPUTED_VALUE"""),"")</f>
        <v/>
      </c>
      <c r="J2851" s="9" t="str">
        <f>IFERROR(__xludf.DUMMYFUNCTION("""COMPUTED_VALUE"""),"")</f>
        <v/>
      </c>
      <c r="K2851" s="9" t="str">
        <f>IFERROR(__xludf.DUMMYFUNCTION("""COMPUTED_VALUE"""),"")</f>
        <v/>
      </c>
      <c r="L2851" s="9" t="str">
        <f>IFERROR(__xludf.DUMMYFUNCTION("""COMPUTED_VALUE"""),"")</f>
        <v/>
      </c>
      <c r="M2851" s="9" t="str">
        <f>IFERROR(__xludf.DUMMYFUNCTION("""COMPUTED_VALUE"""),"")</f>
        <v/>
      </c>
      <c r="N2851" s="9" t="str">
        <f>IFERROR(__xludf.DUMMYFUNCTION("""COMPUTED_VALUE"""),"")</f>
        <v/>
      </c>
      <c r="O2851" s="9" t="str">
        <f>IFERROR(__xludf.DUMMYFUNCTION("""COMPUTED_VALUE"""),"")</f>
        <v/>
      </c>
      <c r="P2851" s="9" t="str">
        <f>IFERROR(__xludf.DUMMYFUNCTION("""COMPUTED_VALUE"""),"")</f>
        <v/>
      </c>
      <c r="Q2851" s="9" t="str">
        <f>IFERROR(__xludf.DUMMYFUNCTION("""COMPUTED_VALUE"""),"")</f>
        <v/>
      </c>
      <c r="R2851" s="9" t="str">
        <f>IFERROR(__xludf.DUMMYFUNCTION("""COMPUTED_VALUE"""),"")</f>
        <v/>
      </c>
      <c r="S2851" s="42" t="str">
        <f>IFERROR(__xludf.DUMMYFUNCTION("""COMPUTED_VALUE"""),"CBLAp;
CBLPsp;
CBLPip;
CBLFp")</f>
        <v>CBLAp;
CBLPsp;
CBLPip;
CBLFp</v>
      </c>
      <c r="T2851" s="42" t="str">
        <f>IFERROR(__xludf.DUMMYFUNCTION("""COMPUTED_VALUE"""),"p")</f>
        <v>p</v>
      </c>
      <c r="U2851" s="42" t="b">
        <f>IFERROR(__xludf.DUMMYFUNCTION("""COMPUTED_VALUE"""),TRUE)</f>
        <v>1</v>
      </c>
      <c r="V2851" s="42" t="str">
        <f>IFERROR(__xludf.DUMMYFUNCTION("""COMPUTED_VALUE"""),"GABA")</f>
        <v>GABA</v>
      </c>
      <c r="W2851" s="42" t="str">
        <f>IFERROR(__xludf.DUMMYFUNCTION("""COMPUTED_VALUE"""),"Inhibitory")</f>
        <v>Inhibitory</v>
      </c>
      <c r="X2851" s="42"/>
      <c r="Y2851" s="42"/>
      <c r="Z2851" s="42"/>
      <c r="AA2851" s="42"/>
      <c r="AB2851" s="42" t="str">
        <f>IFERROR(__xludf.DUMMYFUNCTION("""COMPUTED_VALUE"""),"Hiroshi Yamakawa")</f>
        <v>Hiroshi Yamakawa</v>
      </c>
      <c r="AC2851" s="42" t="str">
        <f>IFERROR(__xludf.DUMMYFUNCTION("""COMPUTED_VALUE"""),"HY20Cerebellum")</f>
        <v>HY20Cerebellum</v>
      </c>
      <c r="AD2851" s="42"/>
      <c r="AE2851" s="42"/>
      <c r="AF2851" s="9"/>
      <c r="AG2851" s="9"/>
      <c r="AH2851" s="42"/>
      <c r="AI2851" s="42"/>
      <c r="AJ2851" s="42"/>
      <c r="AK2851" s="42"/>
      <c r="AL2851" s="42"/>
      <c r="AM2851" s="42"/>
      <c r="AN2851" s="42"/>
      <c r="AO2851" s="63" t="str">
        <f>IFERROR(__xludf.DUMMYFUNCTION("IF(ISBLANK(A2851),,IF(ISBLANK(S2851), A2851&amp;"";"", TEXTJOIN(CHAR(10), TRUE, A2851&amp;"";"", ARRAYFORMULA(VLOOKUP(SPLIT(S2851, "";"" &amp; CHAR(10)), $A:$AO, 41, FALSE)))))"),"CBLp;
CBLAp;
CBLPsp;
CBLPip;
CBLFp;")</f>
        <v>CBLp;
CBLAp;
CBLPsp;
CBLPip;
CBLFp;</v>
      </c>
      <c r="AP2851" s="89"/>
    </row>
    <row r="2852">
      <c r="A2852" s="151" t="str">
        <f>IFERROR(__xludf.DUMMYFUNCTION("""COMPUTED_VALUE"""),"CBLg")</f>
        <v>CBLg</v>
      </c>
      <c r="B2852" s="42" t="str">
        <f>IFERROR(__xludf.DUMMYFUNCTION("""COMPUTED_VALUE"""),"collection")</f>
        <v>collection</v>
      </c>
      <c r="C2852" s="42" t="str">
        <f>IFERROR(__xludf.DUMMYFUNCTION("""COMPUTED_VALUE"""),"granular cellof lateral heimisphere")</f>
        <v>granular cellof lateral heimisphere</v>
      </c>
      <c r="D2852" s="42">
        <f>IFERROR(__xludf.DUMMYFUNCTION("""COMPUTED_VALUE"""),2714.2)</f>
        <v>2714.2</v>
      </c>
      <c r="E2852" s="39" t="str">
        <f>IFERROR(__xludf.DUMMYFUNCTION("""COMPUTED_VALUE"""),"")</f>
        <v/>
      </c>
      <c r="F2852" s="9" t="str">
        <f>IFERROR(__xludf.DUMMYFUNCTION("""COMPUTED_VALUE"""),"")</f>
        <v/>
      </c>
      <c r="G2852" s="9" t="str">
        <f>IFERROR(__xludf.DUMMYFUNCTION("""COMPUTED_VALUE"""),"")</f>
        <v/>
      </c>
      <c r="H2852" s="9" t="str">
        <f>IFERROR(__xludf.DUMMYFUNCTION("""COMPUTED_VALUE"""),"")</f>
        <v/>
      </c>
      <c r="I2852" s="9" t="str">
        <f>IFERROR(__xludf.DUMMYFUNCTION("""COMPUTED_VALUE"""),"")</f>
        <v/>
      </c>
      <c r="J2852" s="9" t="str">
        <f>IFERROR(__xludf.DUMMYFUNCTION("""COMPUTED_VALUE"""),"")</f>
        <v/>
      </c>
      <c r="K2852" s="9" t="str">
        <f>IFERROR(__xludf.DUMMYFUNCTION("""COMPUTED_VALUE"""),"")</f>
        <v/>
      </c>
      <c r="L2852" s="9" t="str">
        <f>IFERROR(__xludf.DUMMYFUNCTION("""COMPUTED_VALUE"""),"")</f>
        <v/>
      </c>
      <c r="M2852" s="9" t="str">
        <f>IFERROR(__xludf.DUMMYFUNCTION("""COMPUTED_VALUE"""),"")</f>
        <v/>
      </c>
      <c r="N2852" s="9" t="str">
        <f>IFERROR(__xludf.DUMMYFUNCTION("""COMPUTED_VALUE"""),"")</f>
        <v/>
      </c>
      <c r="O2852" s="9" t="str">
        <f>IFERROR(__xludf.DUMMYFUNCTION("""COMPUTED_VALUE"""),"")</f>
        <v/>
      </c>
      <c r="P2852" s="9" t="str">
        <f>IFERROR(__xludf.DUMMYFUNCTION("""COMPUTED_VALUE"""),"")</f>
        <v/>
      </c>
      <c r="Q2852" s="9" t="str">
        <f>IFERROR(__xludf.DUMMYFUNCTION("""COMPUTED_VALUE"""),"")</f>
        <v/>
      </c>
      <c r="R2852" s="9" t="str">
        <f>IFERROR(__xludf.DUMMYFUNCTION("""COMPUTED_VALUE"""),"")</f>
        <v/>
      </c>
      <c r="S2852" s="42" t="str">
        <f>IFERROR(__xludf.DUMMYFUNCTION("""COMPUTED_VALUE"""),"CBLAg;
CBLPsg;
CBLPig;
CBLFg")</f>
        <v>CBLAg;
CBLPsg;
CBLPig;
CBLFg</v>
      </c>
      <c r="T2852" s="42" t="str">
        <f>IFERROR(__xludf.DUMMYFUNCTION("""COMPUTED_VALUE"""),"g")</f>
        <v>g</v>
      </c>
      <c r="U2852" s="42" t="b">
        <f>IFERROR(__xludf.DUMMYFUNCTION("""COMPUTED_VALUE"""),TRUE)</f>
        <v>1</v>
      </c>
      <c r="V2852" s="42"/>
      <c r="W2852" s="42" t="str">
        <f>IFERROR(__xludf.DUMMYFUNCTION("""COMPUTED_VALUE"""),"Excitatory")</f>
        <v>Excitatory</v>
      </c>
      <c r="X2852" s="42"/>
      <c r="Y2852" s="42"/>
      <c r="Z2852" s="42"/>
      <c r="AA2852" s="42"/>
      <c r="AB2852" s="42" t="str">
        <f>IFERROR(__xludf.DUMMYFUNCTION("""COMPUTED_VALUE"""),"Hiroshi Yamakawa")</f>
        <v>Hiroshi Yamakawa</v>
      </c>
      <c r="AC2852" s="42" t="str">
        <f>IFERROR(__xludf.DUMMYFUNCTION("""COMPUTED_VALUE"""),"HY20Cerebellum")</f>
        <v>HY20Cerebellum</v>
      </c>
      <c r="AD2852" s="42"/>
      <c r="AE2852" s="42"/>
      <c r="AF2852" s="9"/>
      <c r="AG2852" s="9"/>
      <c r="AH2852" s="42"/>
      <c r="AI2852" s="42"/>
      <c r="AJ2852" s="42"/>
      <c r="AK2852" s="42"/>
      <c r="AL2852" s="42"/>
      <c r="AM2852" s="42"/>
      <c r="AN2852" s="42"/>
      <c r="AO2852" s="63" t="str">
        <f>IFERROR(__xludf.DUMMYFUNCTION("IF(ISBLANK(A2852),,IF(ISBLANK(S2852), A2852&amp;"";"", TEXTJOIN(CHAR(10), TRUE, A2852&amp;"";"", ARRAYFORMULA(VLOOKUP(SPLIT(S2852, "";"" &amp; CHAR(10)), $A:$AO, 41, FALSE)))))"),"CBLg;
CBLAg;
CBLPsg;
CBLPig;
CBLFg;")</f>
        <v>CBLg;
CBLAg;
CBLPsg;
CBLPig;
CBLFg;</v>
      </c>
      <c r="AP2852" s="89"/>
    </row>
    <row r="2853">
      <c r="A2853" s="151" t="str">
        <f>IFERROR(__xludf.DUMMYFUNCTION("""COMPUTED_VALUE"""),"CBLA")</f>
        <v>CBLA</v>
      </c>
      <c r="B2853" s="42" t="str">
        <f>IFERROR(__xludf.DUMMYFUNCTION("""COMPUTED_VALUE"""),"DHBA")</f>
        <v>DHBA</v>
      </c>
      <c r="C2853" s="42" t="str">
        <f>IFERROR(__xludf.DUMMYFUNCTION("""COMPUTED_VALUE"""),"lateral hemisphere, anterior lobe portion")</f>
        <v>lateral hemisphere, anterior lobe portion</v>
      </c>
      <c r="D2853" s="42">
        <f>IFERROR(__xludf.DUMMYFUNCTION("""COMPUTED_VALUE"""),2715.0)</f>
        <v>2715</v>
      </c>
      <c r="E2853" s="39" t="str">
        <f>IFERROR(__xludf.DUMMYFUNCTION("""COMPUTED_VALUE"""),"lateral hemisphere, anterior lobe portion")</f>
        <v>lateral hemisphere, anterior lobe portion</v>
      </c>
      <c r="F2853" s="9" t="str">
        <f>IFERROR(__xludf.DUMMYFUNCTION("""COMPUTED_VALUE"""),"Br")</f>
        <v>Br</v>
      </c>
      <c r="G2853" s="9" t="str">
        <f>IFERROR(__xludf.DUMMYFUNCTION("""COMPUTED_VALUE"""),"H")</f>
        <v>H</v>
      </c>
      <c r="H2853" s="9" t="str">
        <f>IFERROR(__xludf.DUMMYFUNCTION("""COMPUTED_VALUE"""),"HGM")</f>
        <v>HGM</v>
      </c>
      <c r="I2853" s="9" t="str">
        <f>IFERROR(__xludf.DUMMYFUNCTION("""COMPUTED_VALUE"""),"Met")</f>
        <v>Met</v>
      </c>
      <c r="J2853" s="9" t="str">
        <f>IFERROR(__xludf.DUMMYFUNCTION("""COMPUTED_VALUE"""),"CB")</f>
        <v>CB</v>
      </c>
      <c r="K2853" s="9" t="str">
        <f>IFERROR(__xludf.DUMMYFUNCTION("""COMPUTED_VALUE"""),"CBC")</f>
        <v>CBC</v>
      </c>
      <c r="L2853" s="9" t="str">
        <f>IFERROR(__xludf.DUMMYFUNCTION("""COMPUTED_VALUE"""),"CBH")</f>
        <v>CBH</v>
      </c>
      <c r="M2853" s="9" t="str">
        <f>IFERROR(__xludf.DUMMYFUNCTION("""COMPUTED_VALUE"""),"CBL")</f>
        <v>CBL</v>
      </c>
      <c r="N2853" s="9" t="str">
        <f>IFERROR(__xludf.DUMMYFUNCTION("""COMPUTED_VALUE"""),"CBLA")</f>
        <v>CBLA</v>
      </c>
      <c r="O2853" s="9"/>
      <c r="P2853" s="9"/>
      <c r="Q2853" s="9"/>
      <c r="R2853" s="9"/>
      <c r="S2853" s="42" t="str">
        <f>IFERROR(__xludf.DUMMYFUNCTION("""COMPUTED_VALUE"""),"CBLAm;
CBLAp;
CBLAg")</f>
        <v>CBLAm;
CBLAp;
CBLAg</v>
      </c>
      <c r="T2853" s="42" t="str">
        <f>IFERROR(__xludf.DUMMYFUNCTION("""COMPUTED_VALUE"""),"lobe")</f>
        <v>lobe</v>
      </c>
      <c r="U2853" s="42" t="b">
        <f>IFERROR(__xludf.DUMMYFUNCTION("""COMPUTED_VALUE"""),FALSE)</f>
        <v>0</v>
      </c>
      <c r="V2853" s="42"/>
      <c r="W2853" s="42"/>
      <c r="X2853" s="42"/>
      <c r="Y2853" s="42"/>
      <c r="Z2853" s="42"/>
      <c r="AA2853" s="42"/>
      <c r="AB2853" s="42" t="str">
        <f>IFERROR(__xludf.DUMMYFUNCTION("""COMPUTED_VALUE"""),"allen institute")</f>
        <v>allen institute</v>
      </c>
      <c r="AC2853" s="42" t="str">
        <f>IFERROR(__xludf.DUMMYFUNCTION("""COMPUTED_VALUE"""),"DHBA")</f>
        <v>DHBA</v>
      </c>
      <c r="AD2853" s="42"/>
      <c r="AE2853" s="42"/>
      <c r="AF2853" s="9"/>
      <c r="AG2853" s="9"/>
      <c r="AH2853" s="42"/>
      <c r="AI2853" s="42"/>
      <c r="AJ2853" s="42"/>
      <c r="AK2853" s="42"/>
      <c r="AL2853" s="42"/>
      <c r="AM2853" s="42"/>
      <c r="AN2853" s="42"/>
      <c r="AO2853" s="63" t="str">
        <f>IFERROR(__xludf.DUMMYFUNCTION("IF(ISBLANK(A2853),,IF(ISBLANK(S2853), A2853&amp;"";"", TEXTJOIN(CHAR(10), TRUE, A2853&amp;"";"", ARRAYFORMULA(VLOOKUP(SPLIT(S2853, "";"" &amp; CHAR(10)), $A:$AO, 41, FALSE)))))"),"CBLA;
CBLAm;
CBLAp;
CBLAg;")</f>
        <v>CBLA;
CBLAm;
CBLAp;
CBLAg;</v>
      </c>
      <c r="AP2853" s="89"/>
    </row>
    <row r="2854">
      <c r="A2854" s="151" t="str">
        <f>IFERROR(__xludf.DUMMYFUNCTION("""COMPUTED_VALUE"""),"CBLAm")</f>
        <v>CBLAm</v>
      </c>
      <c r="B2854" s="42" t="str">
        <f>IFERROR(__xludf.DUMMYFUNCTION("""COMPUTED_VALUE"""),"DHBA")</f>
        <v>DHBA</v>
      </c>
      <c r="C2854" s="42" t="str">
        <f>IFERROR(__xludf.DUMMYFUNCTION("""COMPUTED_VALUE"""),"molecular layer of CBLA")</f>
        <v>molecular layer of CBLA</v>
      </c>
      <c r="D2854" s="42">
        <f>IFERROR(__xludf.DUMMYFUNCTION("""COMPUTED_VALUE"""),2716.0)</f>
        <v>2716</v>
      </c>
      <c r="E2854" s="39" t="str">
        <f>IFERROR(__xludf.DUMMYFUNCTION("""COMPUTED_VALUE"""),"molecular layer of CBLA")</f>
        <v>molecular layer of CBLA</v>
      </c>
      <c r="F2854" s="9" t="str">
        <f>IFERROR(__xludf.DUMMYFUNCTION("""COMPUTED_VALUE"""),"Br")</f>
        <v>Br</v>
      </c>
      <c r="G2854" s="9" t="str">
        <f>IFERROR(__xludf.DUMMYFUNCTION("""COMPUTED_VALUE"""),"H")</f>
        <v>H</v>
      </c>
      <c r="H2854" s="9" t="str">
        <f>IFERROR(__xludf.DUMMYFUNCTION("""COMPUTED_VALUE"""),"HGM")</f>
        <v>HGM</v>
      </c>
      <c r="I2854" s="9" t="str">
        <f>IFERROR(__xludf.DUMMYFUNCTION("""COMPUTED_VALUE"""),"Met")</f>
        <v>Met</v>
      </c>
      <c r="J2854" s="9" t="str">
        <f>IFERROR(__xludf.DUMMYFUNCTION("""COMPUTED_VALUE"""),"CB")</f>
        <v>CB</v>
      </c>
      <c r="K2854" s="9" t="str">
        <f>IFERROR(__xludf.DUMMYFUNCTION("""COMPUTED_VALUE"""),"CBC")</f>
        <v>CBC</v>
      </c>
      <c r="L2854" s="9" t="str">
        <f>IFERROR(__xludf.DUMMYFUNCTION("""COMPUTED_VALUE"""),"CBH")</f>
        <v>CBH</v>
      </c>
      <c r="M2854" s="9" t="str">
        <f>IFERROR(__xludf.DUMMYFUNCTION("""COMPUTED_VALUE"""),"CBL")</f>
        <v>CBL</v>
      </c>
      <c r="N2854" s="9" t="str">
        <f>IFERROR(__xludf.DUMMYFUNCTION("""COMPUTED_VALUE"""),"CBLA")</f>
        <v>CBLA</v>
      </c>
      <c r="O2854" s="9" t="str">
        <f>IFERROR(__xludf.DUMMYFUNCTION("""COMPUTED_VALUE"""),"CBLAm")</f>
        <v>CBLAm</v>
      </c>
      <c r="P2854" s="9"/>
      <c r="Q2854" s="9"/>
      <c r="R2854" s="9"/>
      <c r="S2854" s="42"/>
      <c r="T2854" s="42"/>
      <c r="U2854" s="42"/>
      <c r="V2854" s="42"/>
      <c r="W2854" s="42"/>
      <c r="X2854" s="42"/>
      <c r="Y2854" s="42"/>
      <c r="Z2854" s="42"/>
      <c r="AA2854" s="42"/>
      <c r="AB2854" s="42" t="str">
        <f>IFERROR(__xludf.DUMMYFUNCTION("""COMPUTED_VALUE"""),"allen institute")</f>
        <v>allen institute</v>
      </c>
      <c r="AC2854" s="42" t="str">
        <f>IFERROR(__xludf.DUMMYFUNCTION("""COMPUTED_VALUE"""),"DHBA")</f>
        <v>DHBA</v>
      </c>
      <c r="AD2854" s="42"/>
      <c r="AE2854" s="42"/>
      <c r="AF2854" s="9"/>
      <c r="AG2854" s="9"/>
      <c r="AH2854" s="42"/>
      <c r="AI2854" s="42"/>
      <c r="AJ2854" s="42"/>
      <c r="AK2854" s="42"/>
      <c r="AL2854" s="42"/>
      <c r="AM2854" s="42"/>
      <c r="AN2854" s="42"/>
      <c r="AO2854" s="63" t="str">
        <f>IFERROR(__xludf.DUMMYFUNCTION("IF(ISBLANK(A2854),,IF(ISBLANK(S2854), A2854&amp;"";"", TEXTJOIN(CHAR(10), TRUE, A2854&amp;"";"", ARRAYFORMULA(VLOOKUP(SPLIT(S2854, "";"" &amp; CHAR(10)), $A:$AO, 41, FALSE)))))"),"CBLAm;")</f>
        <v>CBLAm;</v>
      </c>
      <c r="AP2854" s="89"/>
    </row>
    <row r="2855">
      <c r="A2855" s="151" t="str">
        <f>IFERROR(__xludf.DUMMYFUNCTION("""COMPUTED_VALUE"""),"CBLAp")</f>
        <v>CBLAp</v>
      </c>
      <c r="B2855" s="42" t="str">
        <f>IFERROR(__xludf.DUMMYFUNCTION("""COMPUTED_VALUE"""),"DHBA")</f>
        <v>DHBA</v>
      </c>
      <c r="C2855" s="42" t="str">
        <f>IFERROR(__xludf.DUMMYFUNCTION("""COMPUTED_VALUE"""),"Purkinje cell layer of CBLA")</f>
        <v>Purkinje cell layer of CBLA</v>
      </c>
      <c r="D2855" s="42">
        <f>IFERROR(__xludf.DUMMYFUNCTION("""COMPUTED_VALUE"""),2717.0)</f>
        <v>2717</v>
      </c>
      <c r="E2855" s="39" t="str">
        <f>IFERROR(__xludf.DUMMYFUNCTION("""COMPUTED_VALUE"""),"Purkinje cell layer of CBLA")</f>
        <v>Purkinje cell layer of CBLA</v>
      </c>
      <c r="F2855" s="9" t="str">
        <f>IFERROR(__xludf.DUMMYFUNCTION("""COMPUTED_VALUE"""),"Br")</f>
        <v>Br</v>
      </c>
      <c r="G2855" s="9" t="str">
        <f>IFERROR(__xludf.DUMMYFUNCTION("""COMPUTED_VALUE"""),"H")</f>
        <v>H</v>
      </c>
      <c r="H2855" s="9" t="str">
        <f>IFERROR(__xludf.DUMMYFUNCTION("""COMPUTED_VALUE"""),"HGM")</f>
        <v>HGM</v>
      </c>
      <c r="I2855" s="9" t="str">
        <f>IFERROR(__xludf.DUMMYFUNCTION("""COMPUTED_VALUE"""),"Met")</f>
        <v>Met</v>
      </c>
      <c r="J2855" s="9" t="str">
        <f>IFERROR(__xludf.DUMMYFUNCTION("""COMPUTED_VALUE"""),"CB")</f>
        <v>CB</v>
      </c>
      <c r="K2855" s="9" t="str">
        <f>IFERROR(__xludf.DUMMYFUNCTION("""COMPUTED_VALUE"""),"CBC")</f>
        <v>CBC</v>
      </c>
      <c r="L2855" s="9" t="str">
        <f>IFERROR(__xludf.DUMMYFUNCTION("""COMPUTED_VALUE"""),"CBH")</f>
        <v>CBH</v>
      </c>
      <c r="M2855" s="9" t="str">
        <f>IFERROR(__xludf.DUMMYFUNCTION("""COMPUTED_VALUE"""),"CBL")</f>
        <v>CBL</v>
      </c>
      <c r="N2855" s="9" t="str">
        <f>IFERROR(__xludf.DUMMYFUNCTION("""COMPUTED_VALUE"""),"CBLA")</f>
        <v>CBLA</v>
      </c>
      <c r="O2855" s="9" t="str">
        <f>IFERROR(__xludf.DUMMYFUNCTION("""COMPUTED_VALUE"""),"CBLAp")</f>
        <v>CBLAp</v>
      </c>
      <c r="P2855" s="9"/>
      <c r="Q2855" s="9"/>
      <c r="R2855" s="9"/>
      <c r="S2855" s="42"/>
      <c r="T2855" s="42"/>
      <c r="U2855" s="42"/>
      <c r="V2855" s="42"/>
      <c r="W2855" s="42"/>
      <c r="X2855" s="42"/>
      <c r="Y2855" s="42"/>
      <c r="Z2855" s="42"/>
      <c r="AA2855" s="42"/>
      <c r="AB2855" s="42" t="str">
        <f>IFERROR(__xludf.DUMMYFUNCTION("""COMPUTED_VALUE"""),"allen institute")</f>
        <v>allen institute</v>
      </c>
      <c r="AC2855" s="42" t="str">
        <f>IFERROR(__xludf.DUMMYFUNCTION("""COMPUTED_VALUE"""),"DHBA")</f>
        <v>DHBA</v>
      </c>
      <c r="AD2855" s="42"/>
      <c r="AE2855" s="42"/>
      <c r="AF2855" s="9"/>
      <c r="AG2855" s="9"/>
      <c r="AH2855" s="42"/>
      <c r="AI2855" s="42"/>
      <c r="AJ2855" s="42"/>
      <c r="AK2855" s="42"/>
      <c r="AL2855" s="42"/>
      <c r="AM2855" s="42"/>
      <c r="AN2855" s="42"/>
      <c r="AO2855" s="63" t="str">
        <f>IFERROR(__xludf.DUMMYFUNCTION("IF(ISBLANK(A2855),,IF(ISBLANK(S2855), A2855&amp;"";"", TEXTJOIN(CHAR(10), TRUE, A2855&amp;"";"", ARRAYFORMULA(VLOOKUP(SPLIT(S2855, "";"" &amp; CHAR(10)), $A:$AO, 41, FALSE)))))"),"CBLAp;")</f>
        <v>CBLAp;</v>
      </c>
      <c r="AP2855" s="89"/>
    </row>
    <row r="2856">
      <c r="A2856" s="151" t="str">
        <f>IFERROR(__xludf.DUMMYFUNCTION("""COMPUTED_VALUE"""),"CBLAg")</f>
        <v>CBLAg</v>
      </c>
      <c r="B2856" s="42" t="str">
        <f>IFERROR(__xludf.DUMMYFUNCTION("""COMPUTED_VALUE"""),"DHBA")</f>
        <v>DHBA</v>
      </c>
      <c r="C2856" s="42" t="str">
        <f>IFERROR(__xludf.DUMMYFUNCTION("""COMPUTED_VALUE"""),"granular cell layer of CBLA")</f>
        <v>granular cell layer of CBLA</v>
      </c>
      <c r="D2856" s="42">
        <f>IFERROR(__xludf.DUMMYFUNCTION("""COMPUTED_VALUE"""),2718.0)</f>
        <v>2718</v>
      </c>
      <c r="E2856" s="39" t="str">
        <f>IFERROR(__xludf.DUMMYFUNCTION("""COMPUTED_VALUE"""),"granular cell layer of CBLA")</f>
        <v>granular cell layer of CBLA</v>
      </c>
      <c r="F2856" s="9" t="str">
        <f>IFERROR(__xludf.DUMMYFUNCTION("""COMPUTED_VALUE"""),"Br")</f>
        <v>Br</v>
      </c>
      <c r="G2856" s="9" t="str">
        <f>IFERROR(__xludf.DUMMYFUNCTION("""COMPUTED_VALUE"""),"H")</f>
        <v>H</v>
      </c>
      <c r="H2856" s="9" t="str">
        <f>IFERROR(__xludf.DUMMYFUNCTION("""COMPUTED_VALUE"""),"HGM")</f>
        <v>HGM</v>
      </c>
      <c r="I2856" s="9" t="str">
        <f>IFERROR(__xludf.DUMMYFUNCTION("""COMPUTED_VALUE"""),"Met")</f>
        <v>Met</v>
      </c>
      <c r="J2856" s="9" t="str">
        <f>IFERROR(__xludf.DUMMYFUNCTION("""COMPUTED_VALUE"""),"CB")</f>
        <v>CB</v>
      </c>
      <c r="K2856" s="9" t="str">
        <f>IFERROR(__xludf.DUMMYFUNCTION("""COMPUTED_VALUE"""),"CBC")</f>
        <v>CBC</v>
      </c>
      <c r="L2856" s="9" t="str">
        <f>IFERROR(__xludf.DUMMYFUNCTION("""COMPUTED_VALUE"""),"CBH")</f>
        <v>CBH</v>
      </c>
      <c r="M2856" s="9" t="str">
        <f>IFERROR(__xludf.DUMMYFUNCTION("""COMPUTED_VALUE"""),"CBL")</f>
        <v>CBL</v>
      </c>
      <c r="N2856" s="9" t="str">
        <f>IFERROR(__xludf.DUMMYFUNCTION("""COMPUTED_VALUE"""),"CBLA")</f>
        <v>CBLA</v>
      </c>
      <c r="O2856" s="9" t="str">
        <f>IFERROR(__xludf.DUMMYFUNCTION("""COMPUTED_VALUE"""),"CBLAg")</f>
        <v>CBLAg</v>
      </c>
      <c r="P2856" s="9"/>
      <c r="Q2856" s="9"/>
      <c r="R2856" s="9"/>
      <c r="S2856" s="42"/>
      <c r="T2856" s="42"/>
      <c r="U2856" s="42"/>
      <c r="V2856" s="42"/>
      <c r="W2856" s="42"/>
      <c r="X2856" s="42"/>
      <c r="Y2856" s="42"/>
      <c r="Z2856" s="42"/>
      <c r="AA2856" s="42"/>
      <c r="AB2856" s="42" t="str">
        <f>IFERROR(__xludf.DUMMYFUNCTION("""COMPUTED_VALUE"""),"allen institute")</f>
        <v>allen institute</v>
      </c>
      <c r="AC2856" s="42" t="str">
        <f>IFERROR(__xludf.DUMMYFUNCTION("""COMPUTED_VALUE"""),"DHBA")</f>
        <v>DHBA</v>
      </c>
      <c r="AD2856" s="42"/>
      <c r="AE2856" s="42"/>
      <c r="AF2856" s="9"/>
      <c r="AG2856" s="9"/>
      <c r="AH2856" s="42"/>
      <c r="AI2856" s="42"/>
      <c r="AJ2856" s="42"/>
      <c r="AK2856" s="42"/>
      <c r="AL2856" s="42"/>
      <c r="AM2856" s="42"/>
      <c r="AN2856" s="42"/>
      <c r="AO2856" s="63" t="str">
        <f>IFERROR(__xludf.DUMMYFUNCTION("IF(ISBLANK(A2856),,IF(ISBLANK(S2856), A2856&amp;"";"", TEXTJOIN(CHAR(10), TRUE, A2856&amp;"";"", ARRAYFORMULA(VLOOKUP(SPLIT(S2856, "";"" &amp; CHAR(10)), $A:$AO, 41, FALSE)))))"),"CBLAg;")</f>
        <v>CBLAg;</v>
      </c>
      <c r="AP2856" s="89"/>
    </row>
    <row r="2857">
      <c r="A2857" s="151" t="str">
        <f>IFERROR(__xludf.DUMMYFUNCTION("""COMPUTED_VALUE"""),"CBLP")</f>
        <v>CBLP</v>
      </c>
      <c r="B2857" s="42" t="str">
        <f>IFERROR(__xludf.DUMMYFUNCTION("""COMPUTED_VALUE"""),"DHBA")</f>
        <v>DHBA</v>
      </c>
      <c r="C2857" s="42" t="str">
        <f>IFERROR(__xludf.DUMMYFUNCTION("""COMPUTED_VALUE"""),"lateral hemisphere, posterior lobe portion")</f>
        <v>lateral hemisphere, posterior lobe portion</v>
      </c>
      <c r="D2857" s="42">
        <f>IFERROR(__xludf.DUMMYFUNCTION("""COMPUTED_VALUE"""),2719.0)</f>
        <v>2719</v>
      </c>
      <c r="E2857" s="39" t="str">
        <f>IFERROR(__xludf.DUMMYFUNCTION("""COMPUTED_VALUE"""),"lateral hemisphere, posterior lobe portion")</f>
        <v>lateral hemisphere, posterior lobe portion</v>
      </c>
      <c r="F2857" s="9" t="str">
        <f>IFERROR(__xludf.DUMMYFUNCTION("""COMPUTED_VALUE"""),"Br")</f>
        <v>Br</v>
      </c>
      <c r="G2857" s="9" t="str">
        <f>IFERROR(__xludf.DUMMYFUNCTION("""COMPUTED_VALUE"""),"H")</f>
        <v>H</v>
      </c>
      <c r="H2857" s="9" t="str">
        <f>IFERROR(__xludf.DUMMYFUNCTION("""COMPUTED_VALUE"""),"HGM")</f>
        <v>HGM</v>
      </c>
      <c r="I2857" s="9" t="str">
        <f>IFERROR(__xludf.DUMMYFUNCTION("""COMPUTED_VALUE"""),"Met")</f>
        <v>Met</v>
      </c>
      <c r="J2857" s="9" t="str">
        <f>IFERROR(__xludf.DUMMYFUNCTION("""COMPUTED_VALUE"""),"CB")</f>
        <v>CB</v>
      </c>
      <c r="K2857" s="9" t="str">
        <f>IFERROR(__xludf.DUMMYFUNCTION("""COMPUTED_VALUE"""),"CBC")</f>
        <v>CBC</v>
      </c>
      <c r="L2857" s="9" t="str">
        <f>IFERROR(__xludf.DUMMYFUNCTION("""COMPUTED_VALUE"""),"CBH")</f>
        <v>CBH</v>
      </c>
      <c r="M2857" s="9" t="str">
        <f>IFERROR(__xludf.DUMMYFUNCTION("""COMPUTED_VALUE"""),"CBL")</f>
        <v>CBL</v>
      </c>
      <c r="N2857" s="9" t="str">
        <f>IFERROR(__xludf.DUMMYFUNCTION("""COMPUTED_VALUE"""),"CBLP")</f>
        <v>CBLP</v>
      </c>
      <c r="O2857" s="9"/>
      <c r="P2857" s="9"/>
      <c r="Q2857" s="9"/>
      <c r="R2857" s="9"/>
      <c r="S2857" s="42" t="str">
        <f>IFERROR(__xludf.DUMMYFUNCTION("""COMPUTED_VALUE"""),"CBLPs;
CBLPi")</f>
        <v>CBLPs;
CBLPi</v>
      </c>
      <c r="T2857" s="42" t="str">
        <f>IFERROR(__xludf.DUMMYFUNCTION("""COMPUTED_VALUE"""),"lobe")</f>
        <v>lobe</v>
      </c>
      <c r="U2857" s="42" t="b">
        <f>IFERROR(__xludf.DUMMYFUNCTION("""COMPUTED_VALUE"""),FALSE)</f>
        <v>0</v>
      </c>
      <c r="V2857" s="42"/>
      <c r="W2857" s="42"/>
      <c r="X2857" s="42"/>
      <c r="Y2857" s="42"/>
      <c r="Z2857" s="42"/>
      <c r="AA2857" s="42"/>
      <c r="AB2857" s="42" t="str">
        <f>IFERROR(__xludf.DUMMYFUNCTION("""COMPUTED_VALUE"""),"allen institute")</f>
        <v>allen institute</v>
      </c>
      <c r="AC2857" s="42" t="str">
        <f>IFERROR(__xludf.DUMMYFUNCTION("""COMPUTED_VALUE"""),"DHBA")</f>
        <v>DHBA</v>
      </c>
      <c r="AD2857" s="42"/>
      <c r="AE2857" s="42"/>
      <c r="AF2857" s="9"/>
      <c r="AG2857" s="9"/>
      <c r="AH2857" s="42"/>
      <c r="AI2857" s="42"/>
      <c r="AJ2857" s="42"/>
      <c r="AK2857" s="42"/>
      <c r="AL2857" s="42"/>
      <c r="AM2857" s="42"/>
      <c r="AN2857" s="42"/>
      <c r="AO2857" s="63" t="str">
        <f>IFERROR(__xludf.DUMMYFUNCTION("IF(ISBLANK(A2857),,IF(ISBLANK(S2857), A2857&amp;"";"", TEXTJOIN(CHAR(10), TRUE, A2857&amp;"";"", ARRAYFORMULA(VLOOKUP(SPLIT(S2857, "";"" &amp; CHAR(10)), $A:$AO, 41, FALSE)))))"),"CBLP;
CBLPs;
CBLPsm;
CBLPsp;
CBLPsg;
CBLPi;
CBLPim;
CBLPip;
CBLPig;")</f>
        <v>CBLP;
CBLPs;
CBLPsm;
CBLPsp;
CBLPsg;
CBLPi;
CBLPim;
CBLPip;
CBLPig;</v>
      </c>
      <c r="AP2857" s="89"/>
    </row>
    <row r="2858">
      <c r="A2858" s="151" t="str">
        <f>IFERROR(__xludf.DUMMYFUNCTION("""COMPUTED_VALUE"""),"CBLPs")</f>
        <v>CBLPs</v>
      </c>
      <c r="B2858" s="42" t="str">
        <f>IFERROR(__xludf.DUMMYFUNCTION("""COMPUTED_VALUE"""),"DHBA")</f>
        <v>DHBA</v>
      </c>
      <c r="C2858" s="42" t="str">
        <f>IFERROR(__xludf.DUMMYFUNCTION("""COMPUTED_VALUE"""),"lateral hemisphere, posterior lobe portion, superior part")</f>
        <v>lateral hemisphere, posterior lobe portion, superior part</v>
      </c>
      <c r="D2858" s="42">
        <f>IFERROR(__xludf.DUMMYFUNCTION("""COMPUTED_VALUE"""),2720.0)</f>
        <v>2720</v>
      </c>
      <c r="E2858" s="39" t="str">
        <f>IFERROR(__xludf.DUMMYFUNCTION("""COMPUTED_VALUE"""),"lateral hemisphere, posterior lobe portion, superior part")</f>
        <v>lateral hemisphere, posterior lobe portion, superior part</v>
      </c>
      <c r="F2858" s="9" t="str">
        <f>IFERROR(__xludf.DUMMYFUNCTION("""COMPUTED_VALUE"""),"Br")</f>
        <v>Br</v>
      </c>
      <c r="G2858" s="9" t="str">
        <f>IFERROR(__xludf.DUMMYFUNCTION("""COMPUTED_VALUE"""),"H")</f>
        <v>H</v>
      </c>
      <c r="H2858" s="9" t="str">
        <f>IFERROR(__xludf.DUMMYFUNCTION("""COMPUTED_VALUE"""),"HGM")</f>
        <v>HGM</v>
      </c>
      <c r="I2858" s="9" t="str">
        <f>IFERROR(__xludf.DUMMYFUNCTION("""COMPUTED_VALUE"""),"Met")</f>
        <v>Met</v>
      </c>
      <c r="J2858" s="9" t="str">
        <f>IFERROR(__xludf.DUMMYFUNCTION("""COMPUTED_VALUE"""),"CB")</f>
        <v>CB</v>
      </c>
      <c r="K2858" s="9" t="str">
        <f>IFERROR(__xludf.DUMMYFUNCTION("""COMPUTED_VALUE"""),"CBC")</f>
        <v>CBC</v>
      </c>
      <c r="L2858" s="9" t="str">
        <f>IFERROR(__xludf.DUMMYFUNCTION("""COMPUTED_VALUE"""),"CBH")</f>
        <v>CBH</v>
      </c>
      <c r="M2858" s="9" t="str">
        <f>IFERROR(__xludf.DUMMYFUNCTION("""COMPUTED_VALUE"""),"CBL")</f>
        <v>CBL</v>
      </c>
      <c r="N2858" s="9" t="str">
        <f>IFERROR(__xludf.DUMMYFUNCTION("""COMPUTED_VALUE"""),"CBLP")</f>
        <v>CBLP</v>
      </c>
      <c r="O2858" s="9" t="str">
        <f>IFERROR(__xludf.DUMMYFUNCTION("""COMPUTED_VALUE"""),"CBLPs")</f>
        <v>CBLPs</v>
      </c>
      <c r="P2858" s="9"/>
      <c r="Q2858" s="9"/>
      <c r="R2858" s="9"/>
      <c r="S2858" s="42" t="str">
        <f>IFERROR(__xludf.DUMMYFUNCTION("""COMPUTED_VALUE"""),"CBLPsm;
CBLPsp;
CBLPsg")</f>
        <v>CBLPsm;
CBLPsp;
CBLPsg</v>
      </c>
      <c r="T2858" s="42" t="str">
        <f>IFERROR(__xludf.DUMMYFUNCTION("""COMPUTED_VALUE"""),"lobe")</f>
        <v>lobe</v>
      </c>
      <c r="U2858" s="42" t="b">
        <f>IFERROR(__xludf.DUMMYFUNCTION("""COMPUTED_VALUE"""),FALSE)</f>
        <v>0</v>
      </c>
      <c r="V2858" s="42"/>
      <c r="W2858" s="42"/>
      <c r="X2858" s="42"/>
      <c r="Y2858" s="42"/>
      <c r="Z2858" s="42"/>
      <c r="AA2858" s="42"/>
      <c r="AB2858" s="42" t="str">
        <f>IFERROR(__xludf.DUMMYFUNCTION("""COMPUTED_VALUE"""),"allen institute")</f>
        <v>allen institute</v>
      </c>
      <c r="AC2858" s="42" t="str">
        <f>IFERROR(__xludf.DUMMYFUNCTION("""COMPUTED_VALUE"""),"DHBA")</f>
        <v>DHBA</v>
      </c>
      <c r="AD2858" s="42"/>
      <c r="AE2858" s="42"/>
      <c r="AF2858" s="9"/>
      <c r="AG2858" s="9"/>
      <c r="AH2858" s="42"/>
      <c r="AI2858" s="42"/>
      <c r="AJ2858" s="42"/>
      <c r="AK2858" s="42"/>
      <c r="AL2858" s="42"/>
      <c r="AM2858" s="42"/>
      <c r="AN2858" s="42"/>
      <c r="AO2858" s="63" t="str">
        <f>IFERROR(__xludf.DUMMYFUNCTION("IF(ISBLANK(A2858),,IF(ISBLANK(S2858), A2858&amp;"";"", TEXTJOIN(CHAR(10), TRUE, A2858&amp;"";"", ARRAYFORMULA(VLOOKUP(SPLIT(S2858, "";"" &amp; CHAR(10)), $A:$AO, 41, FALSE)))))"),"CBLPs;
CBLPsm;
CBLPsp;
CBLPsg;")</f>
        <v>CBLPs;
CBLPsm;
CBLPsp;
CBLPsg;</v>
      </c>
      <c r="AP2858" s="89"/>
    </row>
    <row r="2859">
      <c r="A2859" s="151" t="str">
        <f>IFERROR(__xludf.DUMMYFUNCTION("""COMPUTED_VALUE"""),"CBLPsm")</f>
        <v>CBLPsm</v>
      </c>
      <c r="B2859" s="42" t="str">
        <f>IFERROR(__xludf.DUMMYFUNCTION("""COMPUTED_VALUE"""),"DHBA")</f>
        <v>DHBA</v>
      </c>
      <c r="C2859" s="42" t="str">
        <f>IFERROR(__xludf.DUMMYFUNCTION("""COMPUTED_VALUE"""),"molecular layer of CBLPs")</f>
        <v>molecular layer of CBLPs</v>
      </c>
      <c r="D2859" s="42">
        <f>IFERROR(__xludf.DUMMYFUNCTION("""COMPUTED_VALUE"""),2721.0)</f>
        <v>2721</v>
      </c>
      <c r="E2859" s="39" t="str">
        <f>IFERROR(__xludf.DUMMYFUNCTION("""COMPUTED_VALUE"""),"molecular layer of CBLPs")</f>
        <v>molecular layer of CBLPs</v>
      </c>
      <c r="F2859" s="9" t="str">
        <f>IFERROR(__xludf.DUMMYFUNCTION("""COMPUTED_VALUE"""),"Br")</f>
        <v>Br</v>
      </c>
      <c r="G2859" s="9" t="str">
        <f>IFERROR(__xludf.DUMMYFUNCTION("""COMPUTED_VALUE"""),"H")</f>
        <v>H</v>
      </c>
      <c r="H2859" s="9" t="str">
        <f>IFERROR(__xludf.DUMMYFUNCTION("""COMPUTED_VALUE"""),"HGM")</f>
        <v>HGM</v>
      </c>
      <c r="I2859" s="9" t="str">
        <f>IFERROR(__xludf.DUMMYFUNCTION("""COMPUTED_VALUE"""),"Met")</f>
        <v>Met</v>
      </c>
      <c r="J2859" s="9" t="str">
        <f>IFERROR(__xludf.DUMMYFUNCTION("""COMPUTED_VALUE"""),"CB")</f>
        <v>CB</v>
      </c>
      <c r="K2859" s="9" t="str">
        <f>IFERROR(__xludf.DUMMYFUNCTION("""COMPUTED_VALUE"""),"CBC")</f>
        <v>CBC</v>
      </c>
      <c r="L2859" s="9" t="str">
        <f>IFERROR(__xludf.DUMMYFUNCTION("""COMPUTED_VALUE"""),"CBH")</f>
        <v>CBH</v>
      </c>
      <c r="M2859" s="9" t="str">
        <f>IFERROR(__xludf.DUMMYFUNCTION("""COMPUTED_VALUE"""),"CBL")</f>
        <v>CBL</v>
      </c>
      <c r="N2859" s="9" t="str">
        <f>IFERROR(__xludf.DUMMYFUNCTION("""COMPUTED_VALUE"""),"CBLP")</f>
        <v>CBLP</v>
      </c>
      <c r="O2859" s="9" t="str">
        <f>IFERROR(__xludf.DUMMYFUNCTION("""COMPUTED_VALUE"""),"CBLPs")</f>
        <v>CBLPs</v>
      </c>
      <c r="P2859" s="9" t="str">
        <f>IFERROR(__xludf.DUMMYFUNCTION("""COMPUTED_VALUE"""),"CBLPsm")</f>
        <v>CBLPsm</v>
      </c>
      <c r="Q2859" s="9"/>
      <c r="R2859" s="9"/>
      <c r="S2859" s="42"/>
      <c r="T2859" s="42"/>
      <c r="U2859" s="42"/>
      <c r="V2859" s="42"/>
      <c r="W2859" s="42"/>
      <c r="X2859" s="42"/>
      <c r="Y2859" s="42"/>
      <c r="Z2859" s="42"/>
      <c r="AA2859" s="42"/>
      <c r="AB2859" s="42" t="str">
        <f>IFERROR(__xludf.DUMMYFUNCTION("""COMPUTED_VALUE"""),"allen institute")</f>
        <v>allen institute</v>
      </c>
      <c r="AC2859" s="42" t="str">
        <f>IFERROR(__xludf.DUMMYFUNCTION("""COMPUTED_VALUE"""),"DHBA")</f>
        <v>DHBA</v>
      </c>
      <c r="AD2859" s="42"/>
      <c r="AE2859" s="42"/>
      <c r="AF2859" s="9"/>
      <c r="AG2859" s="9"/>
      <c r="AH2859" s="42"/>
      <c r="AI2859" s="42"/>
      <c r="AJ2859" s="42"/>
      <c r="AK2859" s="42"/>
      <c r="AL2859" s="42"/>
      <c r="AM2859" s="42"/>
      <c r="AN2859" s="42"/>
      <c r="AO2859" s="63" t="str">
        <f>IFERROR(__xludf.DUMMYFUNCTION("IF(ISBLANK(A2859),,IF(ISBLANK(S2859), A2859&amp;"";"", TEXTJOIN(CHAR(10), TRUE, A2859&amp;"";"", ARRAYFORMULA(VLOOKUP(SPLIT(S2859, "";"" &amp; CHAR(10)), $A:$AO, 41, FALSE)))))"),"CBLPsm;")</f>
        <v>CBLPsm;</v>
      </c>
      <c r="AP2859" s="89"/>
    </row>
    <row r="2860">
      <c r="A2860" s="151" t="str">
        <f>IFERROR(__xludf.DUMMYFUNCTION("""COMPUTED_VALUE"""),"CBLPsp")</f>
        <v>CBLPsp</v>
      </c>
      <c r="B2860" s="42" t="str">
        <f>IFERROR(__xludf.DUMMYFUNCTION("""COMPUTED_VALUE"""),"DHBA")</f>
        <v>DHBA</v>
      </c>
      <c r="C2860" s="42" t="str">
        <f>IFERROR(__xludf.DUMMYFUNCTION("""COMPUTED_VALUE"""),"Purkinje cell layer of CBLPs")</f>
        <v>Purkinje cell layer of CBLPs</v>
      </c>
      <c r="D2860" s="42">
        <f>IFERROR(__xludf.DUMMYFUNCTION("""COMPUTED_VALUE"""),2722.0)</f>
        <v>2722</v>
      </c>
      <c r="E2860" s="39" t="str">
        <f>IFERROR(__xludf.DUMMYFUNCTION("""COMPUTED_VALUE"""),"Purkinje cell layer of CBLPs")</f>
        <v>Purkinje cell layer of CBLPs</v>
      </c>
      <c r="F2860" s="9" t="str">
        <f>IFERROR(__xludf.DUMMYFUNCTION("""COMPUTED_VALUE"""),"Br")</f>
        <v>Br</v>
      </c>
      <c r="G2860" s="9" t="str">
        <f>IFERROR(__xludf.DUMMYFUNCTION("""COMPUTED_VALUE"""),"H")</f>
        <v>H</v>
      </c>
      <c r="H2860" s="9" t="str">
        <f>IFERROR(__xludf.DUMMYFUNCTION("""COMPUTED_VALUE"""),"HGM")</f>
        <v>HGM</v>
      </c>
      <c r="I2860" s="9" t="str">
        <f>IFERROR(__xludf.DUMMYFUNCTION("""COMPUTED_VALUE"""),"Met")</f>
        <v>Met</v>
      </c>
      <c r="J2860" s="9" t="str">
        <f>IFERROR(__xludf.DUMMYFUNCTION("""COMPUTED_VALUE"""),"CB")</f>
        <v>CB</v>
      </c>
      <c r="K2860" s="9" t="str">
        <f>IFERROR(__xludf.DUMMYFUNCTION("""COMPUTED_VALUE"""),"CBC")</f>
        <v>CBC</v>
      </c>
      <c r="L2860" s="9" t="str">
        <f>IFERROR(__xludf.DUMMYFUNCTION("""COMPUTED_VALUE"""),"CBH")</f>
        <v>CBH</v>
      </c>
      <c r="M2860" s="9" t="str">
        <f>IFERROR(__xludf.DUMMYFUNCTION("""COMPUTED_VALUE"""),"CBL")</f>
        <v>CBL</v>
      </c>
      <c r="N2860" s="9" t="str">
        <f>IFERROR(__xludf.DUMMYFUNCTION("""COMPUTED_VALUE"""),"CBLP")</f>
        <v>CBLP</v>
      </c>
      <c r="O2860" s="9" t="str">
        <f>IFERROR(__xludf.DUMMYFUNCTION("""COMPUTED_VALUE"""),"CBLPs")</f>
        <v>CBLPs</v>
      </c>
      <c r="P2860" s="9" t="str">
        <f>IFERROR(__xludf.DUMMYFUNCTION("""COMPUTED_VALUE"""),"CBLPsp")</f>
        <v>CBLPsp</v>
      </c>
      <c r="Q2860" s="9"/>
      <c r="R2860" s="9"/>
      <c r="S2860" s="42"/>
      <c r="T2860" s="42"/>
      <c r="U2860" s="42"/>
      <c r="V2860" s="42"/>
      <c r="W2860" s="42"/>
      <c r="X2860" s="42"/>
      <c r="Y2860" s="42"/>
      <c r="Z2860" s="42"/>
      <c r="AA2860" s="42"/>
      <c r="AB2860" s="42" t="str">
        <f>IFERROR(__xludf.DUMMYFUNCTION("""COMPUTED_VALUE"""),"allen institute")</f>
        <v>allen institute</v>
      </c>
      <c r="AC2860" s="42" t="str">
        <f>IFERROR(__xludf.DUMMYFUNCTION("""COMPUTED_VALUE"""),"DHBA")</f>
        <v>DHBA</v>
      </c>
      <c r="AD2860" s="42"/>
      <c r="AE2860" s="42"/>
      <c r="AF2860" s="9"/>
      <c r="AG2860" s="9"/>
      <c r="AH2860" s="42"/>
      <c r="AI2860" s="42"/>
      <c r="AJ2860" s="42"/>
      <c r="AK2860" s="42"/>
      <c r="AL2860" s="42"/>
      <c r="AM2860" s="42"/>
      <c r="AN2860" s="42"/>
      <c r="AO2860" s="63" t="str">
        <f>IFERROR(__xludf.DUMMYFUNCTION("IF(ISBLANK(A2860),,IF(ISBLANK(S2860), A2860&amp;"";"", TEXTJOIN(CHAR(10), TRUE, A2860&amp;"";"", ARRAYFORMULA(VLOOKUP(SPLIT(S2860, "";"" &amp; CHAR(10)), $A:$AO, 41, FALSE)))))"),"CBLPsp;")</f>
        <v>CBLPsp;</v>
      </c>
      <c r="AP2860" s="89"/>
    </row>
    <row r="2861">
      <c r="A2861" s="151" t="str">
        <f>IFERROR(__xludf.DUMMYFUNCTION("""COMPUTED_VALUE"""),"CBLPsg")</f>
        <v>CBLPsg</v>
      </c>
      <c r="B2861" s="42" t="str">
        <f>IFERROR(__xludf.DUMMYFUNCTION("""COMPUTED_VALUE"""),"DHBA")</f>
        <v>DHBA</v>
      </c>
      <c r="C2861" s="42" t="str">
        <f>IFERROR(__xludf.DUMMYFUNCTION("""COMPUTED_VALUE"""),"granular cell layer of CBLPs")</f>
        <v>granular cell layer of CBLPs</v>
      </c>
      <c r="D2861" s="42">
        <f>IFERROR(__xludf.DUMMYFUNCTION("""COMPUTED_VALUE"""),2723.0)</f>
        <v>2723</v>
      </c>
      <c r="E2861" s="39" t="str">
        <f>IFERROR(__xludf.DUMMYFUNCTION("""COMPUTED_VALUE"""),"granular cell layer of CBLPs")</f>
        <v>granular cell layer of CBLPs</v>
      </c>
      <c r="F2861" s="9" t="str">
        <f>IFERROR(__xludf.DUMMYFUNCTION("""COMPUTED_VALUE"""),"Br")</f>
        <v>Br</v>
      </c>
      <c r="G2861" s="9" t="str">
        <f>IFERROR(__xludf.DUMMYFUNCTION("""COMPUTED_VALUE"""),"H")</f>
        <v>H</v>
      </c>
      <c r="H2861" s="9" t="str">
        <f>IFERROR(__xludf.DUMMYFUNCTION("""COMPUTED_VALUE"""),"HGM")</f>
        <v>HGM</v>
      </c>
      <c r="I2861" s="9" t="str">
        <f>IFERROR(__xludf.DUMMYFUNCTION("""COMPUTED_VALUE"""),"Met")</f>
        <v>Met</v>
      </c>
      <c r="J2861" s="9" t="str">
        <f>IFERROR(__xludf.DUMMYFUNCTION("""COMPUTED_VALUE"""),"CB")</f>
        <v>CB</v>
      </c>
      <c r="K2861" s="9" t="str">
        <f>IFERROR(__xludf.DUMMYFUNCTION("""COMPUTED_VALUE"""),"CBC")</f>
        <v>CBC</v>
      </c>
      <c r="L2861" s="9" t="str">
        <f>IFERROR(__xludf.DUMMYFUNCTION("""COMPUTED_VALUE"""),"CBH")</f>
        <v>CBH</v>
      </c>
      <c r="M2861" s="9" t="str">
        <f>IFERROR(__xludf.DUMMYFUNCTION("""COMPUTED_VALUE"""),"CBL")</f>
        <v>CBL</v>
      </c>
      <c r="N2861" s="9" t="str">
        <f>IFERROR(__xludf.DUMMYFUNCTION("""COMPUTED_VALUE"""),"CBLP")</f>
        <v>CBLP</v>
      </c>
      <c r="O2861" s="9" t="str">
        <f>IFERROR(__xludf.DUMMYFUNCTION("""COMPUTED_VALUE"""),"CBLPs")</f>
        <v>CBLPs</v>
      </c>
      <c r="P2861" s="9" t="str">
        <f>IFERROR(__xludf.DUMMYFUNCTION("""COMPUTED_VALUE"""),"CBLPsg")</f>
        <v>CBLPsg</v>
      </c>
      <c r="Q2861" s="9"/>
      <c r="R2861" s="9"/>
      <c r="S2861" s="42"/>
      <c r="T2861" s="42"/>
      <c r="U2861" s="42"/>
      <c r="V2861" s="42"/>
      <c r="W2861" s="42"/>
      <c r="X2861" s="42"/>
      <c r="Y2861" s="42"/>
      <c r="Z2861" s="42"/>
      <c r="AA2861" s="42"/>
      <c r="AB2861" s="42" t="str">
        <f>IFERROR(__xludf.DUMMYFUNCTION("""COMPUTED_VALUE"""),"allen institute")</f>
        <v>allen institute</v>
      </c>
      <c r="AC2861" s="42" t="str">
        <f>IFERROR(__xludf.DUMMYFUNCTION("""COMPUTED_VALUE"""),"DHBA")</f>
        <v>DHBA</v>
      </c>
      <c r="AD2861" s="42"/>
      <c r="AE2861" s="42"/>
      <c r="AF2861" s="9"/>
      <c r="AG2861" s="9"/>
      <c r="AH2861" s="42"/>
      <c r="AI2861" s="42"/>
      <c r="AJ2861" s="42"/>
      <c r="AK2861" s="42"/>
      <c r="AL2861" s="42"/>
      <c r="AM2861" s="42"/>
      <c r="AN2861" s="42"/>
      <c r="AO2861" s="63" t="str">
        <f>IFERROR(__xludf.DUMMYFUNCTION("IF(ISBLANK(A2861),,IF(ISBLANK(S2861), A2861&amp;"";"", TEXTJOIN(CHAR(10), TRUE, A2861&amp;"";"", ARRAYFORMULA(VLOOKUP(SPLIT(S2861, "";"" &amp; CHAR(10)), $A:$AO, 41, FALSE)))))"),"CBLPsg;")</f>
        <v>CBLPsg;</v>
      </c>
      <c r="AP2861" s="89"/>
    </row>
    <row r="2862">
      <c r="A2862" s="151" t="str">
        <f>IFERROR(__xludf.DUMMYFUNCTION("""COMPUTED_VALUE"""),"CBLPi")</f>
        <v>CBLPi</v>
      </c>
      <c r="B2862" s="42" t="str">
        <f>IFERROR(__xludf.DUMMYFUNCTION("""COMPUTED_VALUE"""),"DHBA")</f>
        <v>DHBA</v>
      </c>
      <c r="C2862" s="42" t="str">
        <f>IFERROR(__xludf.DUMMYFUNCTION("""COMPUTED_VALUE"""),"lateral hemisphere, posterior lobe portion, inferior part")</f>
        <v>lateral hemisphere, posterior lobe portion, inferior part</v>
      </c>
      <c r="D2862" s="42">
        <f>IFERROR(__xludf.DUMMYFUNCTION("""COMPUTED_VALUE"""),2724.0)</f>
        <v>2724</v>
      </c>
      <c r="E2862" s="39" t="str">
        <f>IFERROR(__xludf.DUMMYFUNCTION("""COMPUTED_VALUE"""),"lateral hemisphere, posterior lobe portion, inferior part")</f>
        <v>lateral hemisphere, posterior lobe portion, inferior part</v>
      </c>
      <c r="F2862" s="9" t="str">
        <f>IFERROR(__xludf.DUMMYFUNCTION("""COMPUTED_VALUE"""),"Br")</f>
        <v>Br</v>
      </c>
      <c r="G2862" s="9" t="str">
        <f>IFERROR(__xludf.DUMMYFUNCTION("""COMPUTED_VALUE"""),"H")</f>
        <v>H</v>
      </c>
      <c r="H2862" s="9" t="str">
        <f>IFERROR(__xludf.DUMMYFUNCTION("""COMPUTED_VALUE"""),"HGM")</f>
        <v>HGM</v>
      </c>
      <c r="I2862" s="9" t="str">
        <f>IFERROR(__xludf.DUMMYFUNCTION("""COMPUTED_VALUE"""),"Met")</f>
        <v>Met</v>
      </c>
      <c r="J2862" s="9" t="str">
        <f>IFERROR(__xludf.DUMMYFUNCTION("""COMPUTED_VALUE"""),"CB")</f>
        <v>CB</v>
      </c>
      <c r="K2862" s="9" t="str">
        <f>IFERROR(__xludf.DUMMYFUNCTION("""COMPUTED_VALUE"""),"CBC")</f>
        <v>CBC</v>
      </c>
      <c r="L2862" s="9" t="str">
        <f>IFERROR(__xludf.DUMMYFUNCTION("""COMPUTED_VALUE"""),"CBH")</f>
        <v>CBH</v>
      </c>
      <c r="M2862" s="9" t="str">
        <f>IFERROR(__xludf.DUMMYFUNCTION("""COMPUTED_VALUE"""),"CBL")</f>
        <v>CBL</v>
      </c>
      <c r="N2862" s="9" t="str">
        <f>IFERROR(__xludf.DUMMYFUNCTION("""COMPUTED_VALUE"""),"CBLP")</f>
        <v>CBLP</v>
      </c>
      <c r="O2862" s="9" t="str">
        <f>IFERROR(__xludf.DUMMYFUNCTION("""COMPUTED_VALUE"""),"CBLPi")</f>
        <v>CBLPi</v>
      </c>
      <c r="P2862" s="9"/>
      <c r="Q2862" s="9"/>
      <c r="R2862" s="9"/>
      <c r="S2862" s="42" t="str">
        <f>IFERROR(__xludf.DUMMYFUNCTION("""COMPUTED_VALUE"""),"CBLPim;
CBLPip;
CBLPig")</f>
        <v>CBLPim;
CBLPip;
CBLPig</v>
      </c>
      <c r="T2862" s="42" t="str">
        <f>IFERROR(__xludf.DUMMYFUNCTION("""COMPUTED_VALUE"""),"lobe")</f>
        <v>lobe</v>
      </c>
      <c r="U2862" s="42" t="b">
        <f>IFERROR(__xludf.DUMMYFUNCTION("""COMPUTED_VALUE"""),FALSE)</f>
        <v>0</v>
      </c>
      <c r="V2862" s="42"/>
      <c r="W2862" s="42"/>
      <c r="X2862" s="42"/>
      <c r="Y2862" s="42"/>
      <c r="Z2862" s="42"/>
      <c r="AA2862" s="42"/>
      <c r="AB2862" s="42" t="str">
        <f>IFERROR(__xludf.DUMMYFUNCTION("""COMPUTED_VALUE"""),"allen institute")</f>
        <v>allen institute</v>
      </c>
      <c r="AC2862" s="42" t="str">
        <f>IFERROR(__xludf.DUMMYFUNCTION("""COMPUTED_VALUE"""),"DHBA")</f>
        <v>DHBA</v>
      </c>
      <c r="AD2862" s="42"/>
      <c r="AE2862" s="42"/>
      <c r="AF2862" s="9"/>
      <c r="AG2862" s="9"/>
      <c r="AH2862" s="42"/>
      <c r="AI2862" s="42"/>
      <c r="AJ2862" s="42"/>
      <c r="AK2862" s="42"/>
      <c r="AL2862" s="42"/>
      <c r="AM2862" s="42"/>
      <c r="AN2862" s="42"/>
      <c r="AO2862" s="63" t="str">
        <f>IFERROR(__xludf.DUMMYFUNCTION("IF(ISBLANK(A2862),,IF(ISBLANK(S2862), A2862&amp;"";"", TEXTJOIN(CHAR(10), TRUE, A2862&amp;"";"", ARRAYFORMULA(VLOOKUP(SPLIT(S2862, "";"" &amp; CHAR(10)), $A:$AO, 41, FALSE)))))"),"CBLPi;
CBLPim;
CBLPip;
CBLPig;")</f>
        <v>CBLPi;
CBLPim;
CBLPip;
CBLPig;</v>
      </c>
      <c r="AP2862" s="89"/>
    </row>
    <row r="2863">
      <c r="A2863" s="151" t="str">
        <f>IFERROR(__xludf.DUMMYFUNCTION("""COMPUTED_VALUE"""),"CBLPim")</f>
        <v>CBLPim</v>
      </c>
      <c r="B2863" s="42" t="str">
        <f>IFERROR(__xludf.DUMMYFUNCTION("""COMPUTED_VALUE"""),"DHBA")</f>
        <v>DHBA</v>
      </c>
      <c r="C2863" s="42" t="str">
        <f>IFERROR(__xludf.DUMMYFUNCTION("""COMPUTED_VALUE"""),"molecular layer of CBLPi")</f>
        <v>molecular layer of CBLPi</v>
      </c>
      <c r="D2863" s="42">
        <f>IFERROR(__xludf.DUMMYFUNCTION("""COMPUTED_VALUE"""),2725.0)</f>
        <v>2725</v>
      </c>
      <c r="E2863" s="39" t="str">
        <f>IFERROR(__xludf.DUMMYFUNCTION("""COMPUTED_VALUE"""),"molecular layer of CBLPi")</f>
        <v>molecular layer of CBLPi</v>
      </c>
      <c r="F2863" s="9" t="str">
        <f>IFERROR(__xludf.DUMMYFUNCTION("""COMPUTED_VALUE"""),"Br")</f>
        <v>Br</v>
      </c>
      <c r="G2863" s="9" t="str">
        <f>IFERROR(__xludf.DUMMYFUNCTION("""COMPUTED_VALUE"""),"H")</f>
        <v>H</v>
      </c>
      <c r="H2863" s="9" t="str">
        <f>IFERROR(__xludf.DUMMYFUNCTION("""COMPUTED_VALUE"""),"HGM")</f>
        <v>HGM</v>
      </c>
      <c r="I2863" s="9" t="str">
        <f>IFERROR(__xludf.DUMMYFUNCTION("""COMPUTED_VALUE"""),"Met")</f>
        <v>Met</v>
      </c>
      <c r="J2863" s="9" t="str">
        <f>IFERROR(__xludf.DUMMYFUNCTION("""COMPUTED_VALUE"""),"CB")</f>
        <v>CB</v>
      </c>
      <c r="K2863" s="9" t="str">
        <f>IFERROR(__xludf.DUMMYFUNCTION("""COMPUTED_VALUE"""),"CBC")</f>
        <v>CBC</v>
      </c>
      <c r="L2863" s="9" t="str">
        <f>IFERROR(__xludf.DUMMYFUNCTION("""COMPUTED_VALUE"""),"CBH")</f>
        <v>CBH</v>
      </c>
      <c r="M2863" s="9" t="str">
        <f>IFERROR(__xludf.DUMMYFUNCTION("""COMPUTED_VALUE"""),"CBL")</f>
        <v>CBL</v>
      </c>
      <c r="N2863" s="9" t="str">
        <f>IFERROR(__xludf.DUMMYFUNCTION("""COMPUTED_VALUE"""),"CBLP")</f>
        <v>CBLP</v>
      </c>
      <c r="O2863" s="9" t="str">
        <f>IFERROR(__xludf.DUMMYFUNCTION("""COMPUTED_VALUE"""),"CBLPi")</f>
        <v>CBLPi</v>
      </c>
      <c r="P2863" s="9" t="str">
        <f>IFERROR(__xludf.DUMMYFUNCTION("""COMPUTED_VALUE"""),"CBLPim")</f>
        <v>CBLPim</v>
      </c>
      <c r="Q2863" s="9"/>
      <c r="R2863" s="9"/>
      <c r="S2863" s="42"/>
      <c r="T2863" s="42"/>
      <c r="U2863" s="42"/>
      <c r="V2863" s="42"/>
      <c r="W2863" s="42"/>
      <c r="X2863" s="42"/>
      <c r="Y2863" s="42"/>
      <c r="Z2863" s="42"/>
      <c r="AA2863" s="42"/>
      <c r="AB2863" s="42" t="str">
        <f>IFERROR(__xludf.DUMMYFUNCTION("""COMPUTED_VALUE"""),"allen institute")</f>
        <v>allen institute</v>
      </c>
      <c r="AC2863" s="42" t="str">
        <f>IFERROR(__xludf.DUMMYFUNCTION("""COMPUTED_VALUE"""),"DHBA")</f>
        <v>DHBA</v>
      </c>
      <c r="AD2863" s="42"/>
      <c r="AE2863" s="42"/>
      <c r="AF2863" s="9"/>
      <c r="AG2863" s="9"/>
      <c r="AH2863" s="42"/>
      <c r="AI2863" s="42"/>
      <c r="AJ2863" s="42"/>
      <c r="AK2863" s="42"/>
      <c r="AL2863" s="42"/>
      <c r="AM2863" s="42"/>
      <c r="AN2863" s="42"/>
      <c r="AO2863" s="63" t="str">
        <f>IFERROR(__xludf.DUMMYFUNCTION("IF(ISBLANK(A2863),,IF(ISBLANK(S2863), A2863&amp;"";"", TEXTJOIN(CHAR(10), TRUE, A2863&amp;"";"", ARRAYFORMULA(VLOOKUP(SPLIT(S2863, "";"" &amp; CHAR(10)), $A:$AO, 41, FALSE)))))"),"CBLPim;")</f>
        <v>CBLPim;</v>
      </c>
      <c r="AP2863" s="89"/>
    </row>
    <row r="2864">
      <c r="A2864" s="151" t="str">
        <f>IFERROR(__xludf.DUMMYFUNCTION("""COMPUTED_VALUE"""),"CBLPip")</f>
        <v>CBLPip</v>
      </c>
      <c r="B2864" s="42" t="str">
        <f>IFERROR(__xludf.DUMMYFUNCTION("""COMPUTED_VALUE"""),"DHBA")</f>
        <v>DHBA</v>
      </c>
      <c r="C2864" s="42" t="str">
        <f>IFERROR(__xludf.DUMMYFUNCTION("""COMPUTED_VALUE"""),"Purkinje cell layer of CBLPi")</f>
        <v>Purkinje cell layer of CBLPi</v>
      </c>
      <c r="D2864" s="42">
        <f>IFERROR(__xludf.DUMMYFUNCTION("""COMPUTED_VALUE"""),2726.0)</f>
        <v>2726</v>
      </c>
      <c r="E2864" s="39" t="str">
        <f>IFERROR(__xludf.DUMMYFUNCTION("""COMPUTED_VALUE"""),"Purkinje cell layer of CBLPi")</f>
        <v>Purkinje cell layer of CBLPi</v>
      </c>
      <c r="F2864" s="9" t="str">
        <f>IFERROR(__xludf.DUMMYFUNCTION("""COMPUTED_VALUE"""),"Br")</f>
        <v>Br</v>
      </c>
      <c r="G2864" s="9" t="str">
        <f>IFERROR(__xludf.DUMMYFUNCTION("""COMPUTED_VALUE"""),"H")</f>
        <v>H</v>
      </c>
      <c r="H2864" s="9" t="str">
        <f>IFERROR(__xludf.DUMMYFUNCTION("""COMPUTED_VALUE"""),"HGM")</f>
        <v>HGM</v>
      </c>
      <c r="I2864" s="9" t="str">
        <f>IFERROR(__xludf.DUMMYFUNCTION("""COMPUTED_VALUE"""),"Met")</f>
        <v>Met</v>
      </c>
      <c r="J2864" s="9" t="str">
        <f>IFERROR(__xludf.DUMMYFUNCTION("""COMPUTED_VALUE"""),"CB")</f>
        <v>CB</v>
      </c>
      <c r="K2864" s="9" t="str">
        <f>IFERROR(__xludf.DUMMYFUNCTION("""COMPUTED_VALUE"""),"CBC")</f>
        <v>CBC</v>
      </c>
      <c r="L2864" s="9" t="str">
        <f>IFERROR(__xludf.DUMMYFUNCTION("""COMPUTED_VALUE"""),"CBH")</f>
        <v>CBH</v>
      </c>
      <c r="M2864" s="9" t="str">
        <f>IFERROR(__xludf.DUMMYFUNCTION("""COMPUTED_VALUE"""),"CBL")</f>
        <v>CBL</v>
      </c>
      <c r="N2864" s="9" t="str">
        <f>IFERROR(__xludf.DUMMYFUNCTION("""COMPUTED_VALUE"""),"CBLP")</f>
        <v>CBLP</v>
      </c>
      <c r="O2864" s="9" t="str">
        <f>IFERROR(__xludf.DUMMYFUNCTION("""COMPUTED_VALUE"""),"CBLPi")</f>
        <v>CBLPi</v>
      </c>
      <c r="P2864" s="9" t="str">
        <f>IFERROR(__xludf.DUMMYFUNCTION("""COMPUTED_VALUE"""),"CBLPip")</f>
        <v>CBLPip</v>
      </c>
      <c r="Q2864" s="9"/>
      <c r="R2864" s="9"/>
      <c r="S2864" s="42"/>
      <c r="T2864" s="42"/>
      <c r="U2864" s="42"/>
      <c r="V2864" s="42"/>
      <c r="W2864" s="42"/>
      <c r="X2864" s="42"/>
      <c r="Y2864" s="42"/>
      <c r="Z2864" s="42"/>
      <c r="AA2864" s="42"/>
      <c r="AB2864" s="42" t="str">
        <f>IFERROR(__xludf.DUMMYFUNCTION("""COMPUTED_VALUE"""),"allen institute")</f>
        <v>allen institute</v>
      </c>
      <c r="AC2864" s="42" t="str">
        <f>IFERROR(__xludf.DUMMYFUNCTION("""COMPUTED_VALUE"""),"DHBA")</f>
        <v>DHBA</v>
      </c>
      <c r="AD2864" s="42"/>
      <c r="AE2864" s="42"/>
      <c r="AF2864" s="9"/>
      <c r="AG2864" s="9"/>
      <c r="AH2864" s="42"/>
      <c r="AI2864" s="42"/>
      <c r="AJ2864" s="42"/>
      <c r="AK2864" s="42"/>
      <c r="AL2864" s="42"/>
      <c r="AM2864" s="42"/>
      <c r="AN2864" s="42"/>
      <c r="AO2864" s="63" t="str">
        <f>IFERROR(__xludf.DUMMYFUNCTION("IF(ISBLANK(A2864),,IF(ISBLANK(S2864), A2864&amp;"";"", TEXTJOIN(CHAR(10), TRUE, A2864&amp;"";"", ARRAYFORMULA(VLOOKUP(SPLIT(S2864, "";"" &amp; CHAR(10)), $A:$AO, 41, FALSE)))))"),"CBLPip;")</f>
        <v>CBLPip;</v>
      </c>
      <c r="AP2864" s="89"/>
    </row>
    <row r="2865">
      <c r="A2865" s="151" t="str">
        <f>IFERROR(__xludf.DUMMYFUNCTION("""COMPUTED_VALUE"""),"CBLPig")</f>
        <v>CBLPig</v>
      </c>
      <c r="B2865" s="42" t="str">
        <f>IFERROR(__xludf.DUMMYFUNCTION("""COMPUTED_VALUE"""),"DHBA")</f>
        <v>DHBA</v>
      </c>
      <c r="C2865" s="42" t="str">
        <f>IFERROR(__xludf.DUMMYFUNCTION("""COMPUTED_VALUE"""),"granular cell layer of CBLPi")</f>
        <v>granular cell layer of CBLPi</v>
      </c>
      <c r="D2865" s="42">
        <f>IFERROR(__xludf.DUMMYFUNCTION("""COMPUTED_VALUE"""),2727.0)</f>
        <v>2727</v>
      </c>
      <c r="E2865" s="39" t="str">
        <f>IFERROR(__xludf.DUMMYFUNCTION("""COMPUTED_VALUE"""),"granular cell layer of CBLPi")</f>
        <v>granular cell layer of CBLPi</v>
      </c>
      <c r="F2865" s="9" t="str">
        <f>IFERROR(__xludf.DUMMYFUNCTION("""COMPUTED_VALUE"""),"Br")</f>
        <v>Br</v>
      </c>
      <c r="G2865" s="9" t="str">
        <f>IFERROR(__xludf.DUMMYFUNCTION("""COMPUTED_VALUE"""),"H")</f>
        <v>H</v>
      </c>
      <c r="H2865" s="9" t="str">
        <f>IFERROR(__xludf.DUMMYFUNCTION("""COMPUTED_VALUE"""),"HGM")</f>
        <v>HGM</v>
      </c>
      <c r="I2865" s="9" t="str">
        <f>IFERROR(__xludf.DUMMYFUNCTION("""COMPUTED_VALUE"""),"Met")</f>
        <v>Met</v>
      </c>
      <c r="J2865" s="9" t="str">
        <f>IFERROR(__xludf.DUMMYFUNCTION("""COMPUTED_VALUE"""),"CB")</f>
        <v>CB</v>
      </c>
      <c r="K2865" s="9" t="str">
        <f>IFERROR(__xludf.DUMMYFUNCTION("""COMPUTED_VALUE"""),"CBC")</f>
        <v>CBC</v>
      </c>
      <c r="L2865" s="9" t="str">
        <f>IFERROR(__xludf.DUMMYFUNCTION("""COMPUTED_VALUE"""),"CBH")</f>
        <v>CBH</v>
      </c>
      <c r="M2865" s="9" t="str">
        <f>IFERROR(__xludf.DUMMYFUNCTION("""COMPUTED_VALUE"""),"CBL")</f>
        <v>CBL</v>
      </c>
      <c r="N2865" s="9" t="str">
        <f>IFERROR(__xludf.DUMMYFUNCTION("""COMPUTED_VALUE"""),"CBLP")</f>
        <v>CBLP</v>
      </c>
      <c r="O2865" s="9" t="str">
        <f>IFERROR(__xludf.DUMMYFUNCTION("""COMPUTED_VALUE"""),"CBLPi")</f>
        <v>CBLPi</v>
      </c>
      <c r="P2865" s="9" t="str">
        <f>IFERROR(__xludf.DUMMYFUNCTION("""COMPUTED_VALUE"""),"CBLPig")</f>
        <v>CBLPig</v>
      </c>
      <c r="Q2865" s="9"/>
      <c r="R2865" s="9"/>
      <c r="S2865" s="42"/>
      <c r="T2865" s="42"/>
      <c r="U2865" s="42"/>
      <c r="V2865" s="42"/>
      <c r="W2865" s="42"/>
      <c r="X2865" s="42"/>
      <c r="Y2865" s="42"/>
      <c r="Z2865" s="42"/>
      <c r="AA2865" s="42"/>
      <c r="AB2865" s="42" t="str">
        <f>IFERROR(__xludf.DUMMYFUNCTION("""COMPUTED_VALUE"""),"allen institute")</f>
        <v>allen institute</v>
      </c>
      <c r="AC2865" s="42" t="str">
        <f>IFERROR(__xludf.DUMMYFUNCTION("""COMPUTED_VALUE"""),"DHBA")</f>
        <v>DHBA</v>
      </c>
      <c r="AD2865" s="42"/>
      <c r="AE2865" s="42"/>
      <c r="AF2865" s="9"/>
      <c r="AG2865" s="9"/>
      <c r="AH2865" s="42"/>
      <c r="AI2865" s="42"/>
      <c r="AJ2865" s="42"/>
      <c r="AK2865" s="42"/>
      <c r="AL2865" s="42"/>
      <c r="AM2865" s="42"/>
      <c r="AN2865" s="42"/>
      <c r="AO2865" s="63" t="str">
        <f>IFERROR(__xludf.DUMMYFUNCTION("IF(ISBLANK(A2865),,IF(ISBLANK(S2865), A2865&amp;"";"", TEXTJOIN(CHAR(10), TRUE, A2865&amp;"";"", ARRAYFORMULA(VLOOKUP(SPLIT(S2865, "";"" &amp; CHAR(10)), $A:$AO, 41, FALSE)))))"),"CBLPig;")</f>
        <v>CBLPig;</v>
      </c>
      <c r="AP2865" s="89"/>
    </row>
    <row r="2866">
      <c r="A2866" s="151" t="str">
        <f>IFERROR(__xludf.DUMMYFUNCTION("""COMPUTED_VALUE"""),"CBLF")</f>
        <v>CBLF</v>
      </c>
      <c r="B2866" s="42" t="str">
        <f>IFERROR(__xludf.DUMMYFUNCTION("""COMPUTED_VALUE"""),"DHBA")</f>
        <v>DHBA</v>
      </c>
      <c r="C2866" s="42" t="str">
        <f>IFERROR(__xludf.DUMMYFUNCTION("""COMPUTED_VALUE"""),"lateral hemisphere, flocculonodular lobe portion")</f>
        <v>lateral hemisphere, flocculonodular lobe portion</v>
      </c>
      <c r="D2866" s="42">
        <f>IFERROR(__xludf.DUMMYFUNCTION("""COMPUTED_VALUE"""),2728.0)</f>
        <v>2728</v>
      </c>
      <c r="E2866" s="39" t="str">
        <f>IFERROR(__xludf.DUMMYFUNCTION("""COMPUTED_VALUE"""),"lateral hemisphere, flocculonodular lobe portion")</f>
        <v>lateral hemisphere, flocculonodular lobe portion</v>
      </c>
      <c r="F2866" s="9" t="str">
        <f>IFERROR(__xludf.DUMMYFUNCTION("""COMPUTED_VALUE"""),"Br")</f>
        <v>Br</v>
      </c>
      <c r="G2866" s="9" t="str">
        <f>IFERROR(__xludf.DUMMYFUNCTION("""COMPUTED_VALUE"""),"H")</f>
        <v>H</v>
      </c>
      <c r="H2866" s="9" t="str">
        <f>IFERROR(__xludf.DUMMYFUNCTION("""COMPUTED_VALUE"""),"HGM")</f>
        <v>HGM</v>
      </c>
      <c r="I2866" s="9" t="str">
        <f>IFERROR(__xludf.DUMMYFUNCTION("""COMPUTED_VALUE"""),"Met")</f>
        <v>Met</v>
      </c>
      <c r="J2866" s="9" t="str">
        <f>IFERROR(__xludf.DUMMYFUNCTION("""COMPUTED_VALUE"""),"CB")</f>
        <v>CB</v>
      </c>
      <c r="K2866" s="9" t="str">
        <f>IFERROR(__xludf.DUMMYFUNCTION("""COMPUTED_VALUE"""),"CBC")</f>
        <v>CBC</v>
      </c>
      <c r="L2866" s="9" t="str">
        <f>IFERROR(__xludf.DUMMYFUNCTION("""COMPUTED_VALUE"""),"CBH")</f>
        <v>CBH</v>
      </c>
      <c r="M2866" s="9" t="str">
        <f>IFERROR(__xludf.DUMMYFUNCTION("""COMPUTED_VALUE"""),"CBL")</f>
        <v>CBL</v>
      </c>
      <c r="N2866" s="9" t="str">
        <f>IFERROR(__xludf.DUMMYFUNCTION("""COMPUTED_VALUE"""),"CBLF")</f>
        <v>CBLF</v>
      </c>
      <c r="O2866" s="9"/>
      <c r="P2866" s="9"/>
      <c r="Q2866" s="9"/>
      <c r="R2866" s="9"/>
      <c r="S2866" s="42" t="str">
        <f>IFERROR(__xludf.DUMMYFUNCTION("""COMPUTED_VALUE"""),"CBLFm;
CBLFp;
CBLFg")</f>
        <v>CBLFm;
CBLFp;
CBLFg</v>
      </c>
      <c r="T2866" s="42" t="str">
        <f>IFERROR(__xludf.DUMMYFUNCTION("""COMPUTED_VALUE"""),"lobe")</f>
        <v>lobe</v>
      </c>
      <c r="U2866" s="159" t="b">
        <f>IFERROR(__xludf.DUMMYFUNCTION("""COMPUTED_VALUE"""),FALSE)</f>
        <v>0</v>
      </c>
      <c r="V2866" s="42"/>
      <c r="W2866" s="42"/>
      <c r="X2866" s="42"/>
      <c r="Y2866" s="42"/>
      <c r="Z2866" s="42"/>
      <c r="AA2866" s="42"/>
      <c r="AB2866" s="42" t="str">
        <f>IFERROR(__xludf.DUMMYFUNCTION("""COMPUTED_VALUE"""),"allen institute")</f>
        <v>allen institute</v>
      </c>
      <c r="AC2866" s="42" t="str">
        <f>IFERROR(__xludf.DUMMYFUNCTION("""COMPUTED_VALUE"""),"DHBA")</f>
        <v>DHBA</v>
      </c>
      <c r="AD2866" s="42"/>
      <c r="AE2866" s="42"/>
      <c r="AF2866" s="9"/>
      <c r="AG2866" s="9"/>
      <c r="AH2866" s="42"/>
      <c r="AI2866" s="42"/>
      <c r="AJ2866" s="42"/>
      <c r="AK2866" s="42"/>
      <c r="AL2866" s="42"/>
      <c r="AM2866" s="42"/>
      <c r="AN2866" s="42"/>
      <c r="AO2866" s="63" t="str">
        <f>IFERROR(__xludf.DUMMYFUNCTION("IF(ISBLANK(A2866),,IF(ISBLANK(S2866), A2866&amp;"";"", TEXTJOIN(CHAR(10), TRUE, A2866&amp;"";"", ARRAYFORMULA(VLOOKUP(SPLIT(S2866, "";"" &amp; CHAR(10)), $A:$AO, 41, FALSE)))))"),"CBLF;
CBLFm;
CBLFp;
CBLFg;")</f>
        <v>CBLF;
CBLFm;
CBLFp;
CBLFg;</v>
      </c>
      <c r="AP2866" s="89"/>
    </row>
    <row r="2867">
      <c r="A2867" s="151" t="str">
        <f>IFERROR(__xludf.DUMMYFUNCTION("""COMPUTED_VALUE"""),"CBLFm")</f>
        <v>CBLFm</v>
      </c>
      <c r="B2867" s="42" t="str">
        <f>IFERROR(__xludf.DUMMYFUNCTION("""COMPUTED_VALUE"""),"DHBA")</f>
        <v>DHBA</v>
      </c>
      <c r="C2867" s="42" t="str">
        <f>IFERROR(__xludf.DUMMYFUNCTION("""COMPUTED_VALUE"""),"molecular layer of CBLF")</f>
        <v>molecular layer of CBLF</v>
      </c>
      <c r="D2867" s="42">
        <f>IFERROR(__xludf.DUMMYFUNCTION("""COMPUTED_VALUE"""),2729.0)</f>
        <v>2729</v>
      </c>
      <c r="E2867" s="39" t="str">
        <f>IFERROR(__xludf.DUMMYFUNCTION("""COMPUTED_VALUE"""),"molecular layer of CBLF")</f>
        <v>molecular layer of CBLF</v>
      </c>
      <c r="F2867" s="9" t="str">
        <f>IFERROR(__xludf.DUMMYFUNCTION("""COMPUTED_VALUE"""),"Br")</f>
        <v>Br</v>
      </c>
      <c r="G2867" s="9" t="str">
        <f>IFERROR(__xludf.DUMMYFUNCTION("""COMPUTED_VALUE"""),"H")</f>
        <v>H</v>
      </c>
      <c r="H2867" s="9" t="str">
        <f>IFERROR(__xludf.DUMMYFUNCTION("""COMPUTED_VALUE"""),"HGM")</f>
        <v>HGM</v>
      </c>
      <c r="I2867" s="9" t="str">
        <f>IFERROR(__xludf.DUMMYFUNCTION("""COMPUTED_VALUE"""),"Met")</f>
        <v>Met</v>
      </c>
      <c r="J2867" s="9" t="str">
        <f>IFERROR(__xludf.DUMMYFUNCTION("""COMPUTED_VALUE"""),"CB")</f>
        <v>CB</v>
      </c>
      <c r="K2867" s="9" t="str">
        <f>IFERROR(__xludf.DUMMYFUNCTION("""COMPUTED_VALUE"""),"CBC")</f>
        <v>CBC</v>
      </c>
      <c r="L2867" s="9" t="str">
        <f>IFERROR(__xludf.DUMMYFUNCTION("""COMPUTED_VALUE"""),"CBH")</f>
        <v>CBH</v>
      </c>
      <c r="M2867" s="9" t="str">
        <f>IFERROR(__xludf.DUMMYFUNCTION("""COMPUTED_VALUE"""),"CBL")</f>
        <v>CBL</v>
      </c>
      <c r="N2867" s="9" t="str">
        <f>IFERROR(__xludf.DUMMYFUNCTION("""COMPUTED_VALUE"""),"CBLF")</f>
        <v>CBLF</v>
      </c>
      <c r="O2867" s="9" t="str">
        <f>IFERROR(__xludf.DUMMYFUNCTION("""COMPUTED_VALUE"""),"CBLFm")</f>
        <v>CBLFm</v>
      </c>
      <c r="P2867" s="9"/>
      <c r="Q2867" s="9"/>
      <c r="R2867" s="9"/>
      <c r="S2867" s="42"/>
      <c r="T2867" s="42"/>
      <c r="U2867" s="42"/>
      <c r="V2867" s="42"/>
      <c r="W2867" s="42"/>
      <c r="X2867" s="42"/>
      <c r="Y2867" s="42"/>
      <c r="Z2867" s="42"/>
      <c r="AA2867" s="42"/>
      <c r="AB2867" s="42" t="str">
        <f>IFERROR(__xludf.DUMMYFUNCTION("""COMPUTED_VALUE"""),"allen institute")</f>
        <v>allen institute</v>
      </c>
      <c r="AC2867" s="42" t="str">
        <f>IFERROR(__xludf.DUMMYFUNCTION("""COMPUTED_VALUE"""),"DHBA")</f>
        <v>DHBA</v>
      </c>
      <c r="AD2867" s="42"/>
      <c r="AE2867" s="42"/>
      <c r="AF2867" s="9"/>
      <c r="AG2867" s="9"/>
      <c r="AH2867" s="42"/>
      <c r="AI2867" s="42"/>
      <c r="AJ2867" s="42"/>
      <c r="AK2867" s="42"/>
      <c r="AL2867" s="42"/>
      <c r="AM2867" s="42"/>
      <c r="AN2867" s="42"/>
      <c r="AO2867" s="63" t="str">
        <f>IFERROR(__xludf.DUMMYFUNCTION("IF(ISBLANK(A2867),,IF(ISBLANK(S2867), A2867&amp;"";"", TEXTJOIN(CHAR(10), TRUE, A2867&amp;"";"", ARRAYFORMULA(VLOOKUP(SPLIT(S2867, "";"" &amp; CHAR(10)), $A:$AO, 41, FALSE)))))"),"CBLFm;")</f>
        <v>CBLFm;</v>
      </c>
      <c r="AP2867" s="89"/>
    </row>
    <row r="2868">
      <c r="A2868" s="151" t="str">
        <f>IFERROR(__xludf.DUMMYFUNCTION("""COMPUTED_VALUE"""),"CBLFp")</f>
        <v>CBLFp</v>
      </c>
      <c r="B2868" s="42" t="str">
        <f>IFERROR(__xludf.DUMMYFUNCTION("""COMPUTED_VALUE"""),"DHBA")</f>
        <v>DHBA</v>
      </c>
      <c r="C2868" s="42" t="str">
        <f>IFERROR(__xludf.DUMMYFUNCTION("""COMPUTED_VALUE"""),"Purkinje cell layer of CBLF")</f>
        <v>Purkinje cell layer of CBLF</v>
      </c>
      <c r="D2868" s="42">
        <f>IFERROR(__xludf.DUMMYFUNCTION("""COMPUTED_VALUE"""),2730.0)</f>
        <v>2730</v>
      </c>
      <c r="E2868" s="39" t="str">
        <f>IFERROR(__xludf.DUMMYFUNCTION("""COMPUTED_VALUE"""),"Purkinje cell layer of CBLF")</f>
        <v>Purkinje cell layer of CBLF</v>
      </c>
      <c r="F2868" s="9" t="str">
        <f>IFERROR(__xludf.DUMMYFUNCTION("""COMPUTED_VALUE"""),"Br")</f>
        <v>Br</v>
      </c>
      <c r="G2868" s="9" t="str">
        <f>IFERROR(__xludf.DUMMYFUNCTION("""COMPUTED_VALUE"""),"H")</f>
        <v>H</v>
      </c>
      <c r="H2868" s="9" t="str">
        <f>IFERROR(__xludf.DUMMYFUNCTION("""COMPUTED_VALUE"""),"HGM")</f>
        <v>HGM</v>
      </c>
      <c r="I2868" s="9" t="str">
        <f>IFERROR(__xludf.DUMMYFUNCTION("""COMPUTED_VALUE"""),"Met")</f>
        <v>Met</v>
      </c>
      <c r="J2868" s="9" t="str">
        <f>IFERROR(__xludf.DUMMYFUNCTION("""COMPUTED_VALUE"""),"CB")</f>
        <v>CB</v>
      </c>
      <c r="K2868" s="9" t="str">
        <f>IFERROR(__xludf.DUMMYFUNCTION("""COMPUTED_VALUE"""),"CBC")</f>
        <v>CBC</v>
      </c>
      <c r="L2868" s="9" t="str">
        <f>IFERROR(__xludf.DUMMYFUNCTION("""COMPUTED_VALUE"""),"CBH")</f>
        <v>CBH</v>
      </c>
      <c r="M2868" s="9" t="str">
        <f>IFERROR(__xludf.DUMMYFUNCTION("""COMPUTED_VALUE"""),"CBL")</f>
        <v>CBL</v>
      </c>
      <c r="N2868" s="9" t="str">
        <f>IFERROR(__xludf.DUMMYFUNCTION("""COMPUTED_VALUE"""),"CBLF")</f>
        <v>CBLF</v>
      </c>
      <c r="O2868" s="9" t="str">
        <f>IFERROR(__xludf.DUMMYFUNCTION("""COMPUTED_VALUE"""),"CBLFp")</f>
        <v>CBLFp</v>
      </c>
      <c r="P2868" s="9"/>
      <c r="Q2868" s="9"/>
      <c r="R2868" s="9"/>
      <c r="S2868" s="42"/>
      <c r="T2868" s="42"/>
      <c r="U2868" s="42"/>
      <c r="V2868" s="42"/>
      <c r="W2868" s="42"/>
      <c r="X2868" s="42"/>
      <c r="Y2868" s="42"/>
      <c r="Z2868" s="42"/>
      <c r="AA2868" s="42"/>
      <c r="AB2868" s="42" t="str">
        <f>IFERROR(__xludf.DUMMYFUNCTION("""COMPUTED_VALUE"""),"allen institute")</f>
        <v>allen institute</v>
      </c>
      <c r="AC2868" s="42" t="str">
        <f>IFERROR(__xludf.DUMMYFUNCTION("""COMPUTED_VALUE"""),"DHBA")</f>
        <v>DHBA</v>
      </c>
      <c r="AD2868" s="42"/>
      <c r="AE2868" s="42"/>
      <c r="AF2868" s="9"/>
      <c r="AG2868" s="9"/>
      <c r="AH2868" s="42"/>
      <c r="AI2868" s="42"/>
      <c r="AJ2868" s="42"/>
      <c r="AK2868" s="42"/>
      <c r="AL2868" s="42"/>
      <c r="AM2868" s="42"/>
      <c r="AN2868" s="42"/>
      <c r="AO2868" s="63" t="str">
        <f>IFERROR(__xludf.DUMMYFUNCTION("IF(ISBLANK(A2868),,IF(ISBLANK(S2868), A2868&amp;"";"", TEXTJOIN(CHAR(10), TRUE, A2868&amp;"";"", ARRAYFORMULA(VLOOKUP(SPLIT(S2868, "";"" &amp; CHAR(10)), $A:$AO, 41, FALSE)))))"),"CBLFp;")</f>
        <v>CBLFp;</v>
      </c>
      <c r="AP2868" s="89"/>
    </row>
    <row r="2869">
      <c r="A2869" s="151" t="str">
        <f>IFERROR(__xludf.DUMMYFUNCTION("""COMPUTED_VALUE"""),"CBLFg")</f>
        <v>CBLFg</v>
      </c>
      <c r="B2869" s="42" t="str">
        <f>IFERROR(__xludf.DUMMYFUNCTION("""COMPUTED_VALUE"""),"DHBA")</f>
        <v>DHBA</v>
      </c>
      <c r="C2869" s="42" t="str">
        <f>IFERROR(__xludf.DUMMYFUNCTION("""COMPUTED_VALUE"""),"granular cell layer of CBLF")</f>
        <v>granular cell layer of CBLF</v>
      </c>
      <c r="D2869" s="42">
        <f>IFERROR(__xludf.DUMMYFUNCTION("""COMPUTED_VALUE"""),2731.0)</f>
        <v>2731</v>
      </c>
      <c r="E2869" s="39" t="str">
        <f>IFERROR(__xludf.DUMMYFUNCTION("""COMPUTED_VALUE"""),"granular cell layer of CBLF")</f>
        <v>granular cell layer of CBLF</v>
      </c>
      <c r="F2869" s="9" t="str">
        <f>IFERROR(__xludf.DUMMYFUNCTION("""COMPUTED_VALUE"""),"Br")</f>
        <v>Br</v>
      </c>
      <c r="G2869" s="9" t="str">
        <f>IFERROR(__xludf.DUMMYFUNCTION("""COMPUTED_VALUE"""),"H")</f>
        <v>H</v>
      </c>
      <c r="H2869" s="9" t="str">
        <f>IFERROR(__xludf.DUMMYFUNCTION("""COMPUTED_VALUE"""),"HGM")</f>
        <v>HGM</v>
      </c>
      <c r="I2869" s="9" t="str">
        <f>IFERROR(__xludf.DUMMYFUNCTION("""COMPUTED_VALUE"""),"Met")</f>
        <v>Met</v>
      </c>
      <c r="J2869" s="9" t="str">
        <f>IFERROR(__xludf.DUMMYFUNCTION("""COMPUTED_VALUE"""),"CB")</f>
        <v>CB</v>
      </c>
      <c r="K2869" s="9" t="str">
        <f>IFERROR(__xludf.DUMMYFUNCTION("""COMPUTED_VALUE"""),"CBC")</f>
        <v>CBC</v>
      </c>
      <c r="L2869" s="9" t="str">
        <f>IFERROR(__xludf.DUMMYFUNCTION("""COMPUTED_VALUE"""),"CBH")</f>
        <v>CBH</v>
      </c>
      <c r="M2869" s="9" t="str">
        <f>IFERROR(__xludf.DUMMYFUNCTION("""COMPUTED_VALUE"""),"CBL")</f>
        <v>CBL</v>
      </c>
      <c r="N2869" s="9" t="str">
        <f>IFERROR(__xludf.DUMMYFUNCTION("""COMPUTED_VALUE"""),"CBLF")</f>
        <v>CBLF</v>
      </c>
      <c r="O2869" s="9" t="str">
        <f>IFERROR(__xludf.DUMMYFUNCTION("""COMPUTED_VALUE"""),"CBLFg")</f>
        <v>CBLFg</v>
      </c>
      <c r="P2869" s="9"/>
      <c r="Q2869" s="9"/>
      <c r="R2869" s="9"/>
      <c r="S2869" s="42"/>
      <c r="T2869" s="42"/>
      <c r="U2869" s="42"/>
      <c r="V2869" s="42"/>
      <c r="W2869" s="42"/>
      <c r="X2869" s="42"/>
      <c r="Y2869" s="42"/>
      <c r="Z2869" s="42"/>
      <c r="AA2869" s="42"/>
      <c r="AB2869" s="42" t="str">
        <f>IFERROR(__xludf.DUMMYFUNCTION("""COMPUTED_VALUE"""),"allen institute")</f>
        <v>allen institute</v>
      </c>
      <c r="AC2869" s="42" t="str">
        <f>IFERROR(__xludf.DUMMYFUNCTION("""COMPUTED_VALUE"""),"DHBA")</f>
        <v>DHBA</v>
      </c>
      <c r="AD2869" s="42"/>
      <c r="AE2869" s="42"/>
      <c r="AF2869" s="9"/>
      <c r="AG2869" s="9"/>
      <c r="AH2869" s="42"/>
      <c r="AI2869" s="42"/>
      <c r="AJ2869" s="42"/>
      <c r="AK2869" s="42"/>
      <c r="AL2869" s="42"/>
      <c r="AM2869" s="42"/>
      <c r="AN2869" s="42"/>
      <c r="AO2869" s="63" t="str">
        <f>IFERROR(__xludf.DUMMYFUNCTION("IF(ISBLANK(A2869),,IF(ISBLANK(S2869), A2869&amp;"";"", TEXTJOIN(CHAR(10), TRUE, A2869&amp;"";"", ARRAYFORMULA(VLOOKUP(SPLIT(S2869, "";"" &amp; CHAR(10)), $A:$AO, 41, FALSE)))))"),"CBLFg;")</f>
        <v>CBLFg;</v>
      </c>
      <c r="AP2869" s="89"/>
    </row>
    <row r="2870">
      <c r="A2870" s="151" t="str">
        <f>IFERROR(__xludf.DUMMYFUNCTION("""COMPUTED_VALUE"""),"CbDN")</f>
        <v>CbDN</v>
      </c>
      <c r="B2870" s="42" t="str">
        <f>IFERROR(__xludf.DUMMYFUNCTION("""COMPUTED_VALUE"""),"DHBA")</f>
        <v>DHBA</v>
      </c>
      <c r="C2870" s="42" t="str">
        <f>IFERROR(__xludf.DUMMYFUNCTION("""COMPUTED_VALUE"""),"cerebellar deep nuclei")</f>
        <v>cerebellar deep nuclei</v>
      </c>
      <c r="D2870" s="42">
        <f>IFERROR(__xludf.DUMMYFUNCTION("""COMPUTED_VALUE"""),2732.0)</f>
        <v>2732</v>
      </c>
      <c r="E2870" s="39" t="str">
        <f>IFERROR(__xludf.DUMMYFUNCTION("""COMPUTED_VALUE"""),"cerebellar deep nuclei")</f>
        <v>cerebellar deep nuclei</v>
      </c>
      <c r="F2870" s="9" t="str">
        <f>IFERROR(__xludf.DUMMYFUNCTION("""COMPUTED_VALUE"""),"Br")</f>
        <v>Br</v>
      </c>
      <c r="G2870" s="9" t="str">
        <f>IFERROR(__xludf.DUMMYFUNCTION("""COMPUTED_VALUE"""),"H")</f>
        <v>H</v>
      </c>
      <c r="H2870" s="9" t="str">
        <f>IFERROR(__xludf.DUMMYFUNCTION("""COMPUTED_VALUE"""),"HGM")</f>
        <v>HGM</v>
      </c>
      <c r="I2870" s="9" t="str">
        <f>IFERROR(__xludf.DUMMYFUNCTION("""COMPUTED_VALUE"""),"Met")</f>
        <v>Met</v>
      </c>
      <c r="J2870" s="9" t="str">
        <f>IFERROR(__xludf.DUMMYFUNCTION("""COMPUTED_VALUE"""),"CB")</f>
        <v>CB</v>
      </c>
      <c r="K2870" s="9" t="str">
        <f>IFERROR(__xludf.DUMMYFUNCTION("""COMPUTED_VALUE"""),"CbDN")</f>
        <v>CbDN</v>
      </c>
      <c r="L2870" s="9"/>
      <c r="M2870" s="9"/>
      <c r="N2870" s="9"/>
      <c r="O2870" s="9"/>
      <c r="P2870" s="9"/>
      <c r="Q2870" s="9"/>
      <c r="R2870" s="9"/>
      <c r="S2870" s="42" t="str">
        <f>IFERROR(__xludf.DUMMYFUNCTION("""COMPUTED_VALUE"""),"DT;
InP;
Fas;
BIcb")</f>
        <v>DT;
InP;
Fas;
BIcb</v>
      </c>
      <c r="T2870" s="42"/>
      <c r="U2870" s="42" t="b">
        <f>IFERROR(__xludf.DUMMYFUNCTION("""COMPUTED_VALUE"""),FALSE)</f>
        <v>0</v>
      </c>
      <c r="V2870" s="42"/>
      <c r="W2870" s="42"/>
      <c r="X2870" s="42"/>
      <c r="Y2870" s="42" t="str">
        <f>IFERROR(__xludf.DUMMYFUNCTION("""COMPUTED_VALUE"""),"send the cerebellar output to diverse brain regions [Wagner, 2020]")</f>
        <v>send the cerebellar output to diverse brain regions [Wagner, 2020]</v>
      </c>
      <c r="Z2870" s="42"/>
      <c r="AA2870" s="42"/>
      <c r="AB2870" s="42" t="str">
        <f>IFERROR(__xludf.DUMMYFUNCTION("""COMPUTED_VALUE"""),"allen institute")</f>
        <v>allen institute</v>
      </c>
      <c r="AC2870" s="42" t="str">
        <f>IFERROR(__xludf.DUMMYFUNCTION("""COMPUTED_VALUE"""),"DHBA")</f>
        <v>DHBA</v>
      </c>
      <c r="AD2870" s="42"/>
      <c r="AE2870" s="42"/>
      <c r="AF2870" s="9"/>
      <c r="AG2870" s="9"/>
      <c r="AH2870" s="42"/>
      <c r="AI2870" s="42"/>
      <c r="AJ2870" s="42"/>
      <c r="AK2870" s="42"/>
      <c r="AL2870" s="42"/>
      <c r="AM2870" s="42"/>
      <c r="AN2870" s="42"/>
      <c r="AO2870" s="63" t="str">
        <f>IFERROR(__xludf.DUMMYFUNCTION("IF(ISBLANK(A2870),,IF(ISBLANK(S2870), A2870&amp;"";"", TEXTJOIN(CHAR(10), TRUE, A2870&amp;"";"", ARRAYFORMULA(VLOOKUP(SPLIT(S2870, "";"" &amp; CHAR(10)), $A:$AO, 41, FALSE)))))"),"#N/A")</f>
        <v>#N/A</v>
      </c>
      <c r="AP2870" s="89"/>
    </row>
    <row r="2871">
      <c r="A2871" s="151" t="str">
        <f>IFERROR(__xludf.DUMMYFUNCTION("""COMPUTED_VALUE"""),"DT")</f>
        <v>DT</v>
      </c>
      <c r="B2871" s="42" t="str">
        <f>IFERROR(__xludf.DUMMYFUNCTION("""COMPUTED_VALUE"""),"DHBA")</f>
        <v>DHBA</v>
      </c>
      <c r="C2871" s="42" t="str">
        <f>IFERROR(__xludf.DUMMYFUNCTION("""COMPUTED_VALUE"""),"dentate (lateral) nucleus")</f>
        <v>dentate (lateral) nucleus</v>
      </c>
      <c r="D2871" s="42">
        <f>IFERROR(__xludf.DUMMYFUNCTION("""COMPUTED_VALUE"""),2733.0)</f>
        <v>2733</v>
      </c>
      <c r="E2871" s="39" t="str">
        <f>IFERROR(__xludf.DUMMYFUNCTION("""COMPUTED_VALUE"""),"dentate (lateral) nucleus")</f>
        <v>dentate (lateral) nucleus</v>
      </c>
      <c r="F2871" s="9" t="str">
        <f>IFERROR(__xludf.DUMMYFUNCTION("""COMPUTED_VALUE"""),"Br")</f>
        <v>Br</v>
      </c>
      <c r="G2871" s="9" t="str">
        <f>IFERROR(__xludf.DUMMYFUNCTION("""COMPUTED_VALUE"""),"H")</f>
        <v>H</v>
      </c>
      <c r="H2871" s="9" t="str">
        <f>IFERROR(__xludf.DUMMYFUNCTION("""COMPUTED_VALUE"""),"HGM")</f>
        <v>HGM</v>
      </c>
      <c r="I2871" s="9" t="str">
        <f>IFERROR(__xludf.DUMMYFUNCTION("""COMPUTED_VALUE"""),"Met")</f>
        <v>Met</v>
      </c>
      <c r="J2871" s="9" t="str">
        <f>IFERROR(__xludf.DUMMYFUNCTION("""COMPUTED_VALUE"""),"CB")</f>
        <v>CB</v>
      </c>
      <c r="K2871" s="9" t="str">
        <f>IFERROR(__xludf.DUMMYFUNCTION("""COMPUTED_VALUE"""),"CbDN")</f>
        <v>CbDN</v>
      </c>
      <c r="L2871" s="9" t="str">
        <f>IFERROR(__xludf.DUMMYFUNCTION("""COMPUTED_VALUE"""),"DT")</f>
        <v>DT</v>
      </c>
      <c r="M2871" s="9"/>
      <c r="N2871" s="9"/>
      <c r="O2871" s="9"/>
      <c r="P2871" s="9"/>
      <c r="Q2871" s="9"/>
      <c r="R2871" s="9"/>
      <c r="S2871" s="42" t="str">
        <f>IFERROR(__xludf.DUMMYFUNCTION("""COMPUTED_VALUE"""),"DTlv;
DTmd")</f>
        <v>DTlv;
DTmd</v>
      </c>
      <c r="T2871" s="42"/>
      <c r="U2871" s="42" t="b">
        <f>IFERROR(__xludf.DUMMYFUNCTION("""COMPUTED_VALUE"""),FALSE)</f>
        <v>0</v>
      </c>
      <c r="V2871" s="42" t="str">
        <f>IFERROR(__xludf.DUMMYFUNCTION("""COMPUTED_VALUE"""),"Glutamate")</f>
        <v>Glutamate</v>
      </c>
      <c r="W2871" s="42" t="str">
        <f>IFERROR(__xludf.DUMMYFUNCTION("""COMPUTED_VALUE"""),"Excitatory")</f>
        <v>Excitatory</v>
      </c>
      <c r="X2871" s="42"/>
      <c r="Y2871" s="42"/>
      <c r="Z2871" s="42"/>
      <c r="AA2871" s="42"/>
      <c r="AB2871" s="42" t="str">
        <f>IFERROR(__xludf.DUMMYFUNCTION("""COMPUTED_VALUE"""),"allen institute")</f>
        <v>allen institute</v>
      </c>
      <c r="AC2871" s="42" t="str">
        <f>IFERROR(__xludf.DUMMYFUNCTION("""COMPUTED_VALUE"""),"DHBA")</f>
        <v>DHBA</v>
      </c>
      <c r="AD2871" s="42"/>
      <c r="AE2871" s="42"/>
      <c r="AF2871" s="9"/>
      <c r="AG2871" s="9"/>
      <c r="AH2871" s="42"/>
      <c r="AI2871" s="42"/>
      <c r="AJ2871" s="42"/>
      <c r="AK2871" s="42"/>
      <c r="AL2871" s="42"/>
      <c r="AM2871" s="42"/>
      <c r="AN2871" s="42"/>
      <c r="AO2871" s="63" t="str">
        <f>IFERROR(__xludf.DUMMYFUNCTION("IF(ISBLANK(A2871),,IF(ISBLANK(S2871), A2871&amp;"";"", TEXTJOIN(CHAR(10), TRUE, A2871&amp;"";"", ARRAYFORMULA(VLOOKUP(SPLIT(S2871, "";"" &amp; CHAR(10)), $A:$AO, 41, FALSE)))))"),"DT;
DTlv;
DTmd;")</f>
        <v>DT;
DTlv;
DTmd;</v>
      </c>
      <c r="AP2871" s="89"/>
    </row>
    <row r="2872">
      <c r="A2872" s="151" t="str">
        <f>IFERROR(__xludf.DUMMYFUNCTION("""COMPUTED_VALUE"""),"DTNO")</f>
        <v>DTNO</v>
      </c>
      <c r="B2872" s="42" t="str">
        <f>IFERROR(__xludf.DUMMYFUNCTION("""COMPUTED_VALUE"""),"makeshift")</f>
        <v>makeshift</v>
      </c>
      <c r="C2872" s="42" t="str">
        <f>IFERROR(__xludf.DUMMYFUNCTION("""COMPUTED_VALUE"""),"inhibit nucleoolivary nucleus of DT")</f>
        <v>inhibit nucleoolivary nucleus of DT</v>
      </c>
      <c r="D2872" s="42">
        <f>IFERROR(__xludf.DUMMYFUNCTION("""COMPUTED_VALUE"""),2733.2)</f>
        <v>2733.2</v>
      </c>
      <c r="E2872" s="39" t="str">
        <f>IFERROR(__xludf.DUMMYFUNCTION("""COMPUTED_VALUE"""),"")</f>
        <v/>
      </c>
      <c r="F2872" s="9" t="str">
        <f>IFERROR(__xludf.DUMMYFUNCTION("""COMPUTED_VALUE"""),"")</f>
        <v/>
      </c>
      <c r="G2872" s="9" t="str">
        <f>IFERROR(__xludf.DUMMYFUNCTION("""COMPUTED_VALUE"""),"")</f>
        <v/>
      </c>
      <c r="H2872" s="9" t="str">
        <f>IFERROR(__xludf.DUMMYFUNCTION("""COMPUTED_VALUE"""),"")</f>
        <v/>
      </c>
      <c r="I2872" s="9" t="str">
        <f>IFERROR(__xludf.DUMMYFUNCTION("""COMPUTED_VALUE"""),"")</f>
        <v/>
      </c>
      <c r="J2872" s="9" t="str">
        <f>IFERROR(__xludf.DUMMYFUNCTION("""COMPUTED_VALUE"""),"")</f>
        <v/>
      </c>
      <c r="K2872" s="9" t="str">
        <f>IFERROR(__xludf.DUMMYFUNCTION("""COMPUTED_VALUE"""),"")</f>
        <v/>
      </c>
      <c r="L2872" s="9" t="str">
        <f>IFERROR(__xludf.DUMMYFUNCTION("""COMPUTED_VALUE"""),"")</f>
        <v/>
      </c>
      <c r="M2872" s="9" t="str">
        <f>IFERROR(__xludf.DUMMYFUNCTION("""COMPUTED_VALUE"""),"")</f>
        <v/>
      </c>
      <c r="N2872" s="9" t="str">
        <f>IFERROR(__xludf.DUMMYFUNCTION("""COMPUTED_VALUE"""),"")</f>
        <v/>
      </c>
      <c r="O2872" s="9" t="str">
        <f>IFERROR(__xludf.DUMMYFUNCTION("""COMPUTED_VALUE"""),"")</f>
        <v/>
      </c>
      <c r="P2872" s="9" t="str">
        <f>IFERROR(__xludf.DUMMYFUNCTION("""COMPUTED_VALUE"""),"")</f>
        <v/>
      </c>
      <c r="Q2872" s="9" t="str">
        <f>IFERROR(__xludf.DUMMYFUNCTION("""COMPUTED_VALUE"""),"")</f>
        <v/>
      </c>
      <c r="R2872" s="9" t="str">
        <f>IFERROR(__xludf.DUMMYFUNCTION("""COMPUTED_VALUE"""),"")</f>
        <v/>
      </c>
      <c r="S2872" s="42"/>
      <c r="T2872" s="42"/>
      <c r="U2872" s="42" t="b">
        <f>IFERROR(__xludf.DUMMYFUNCTION("""COMPUTED_VALUE"""),TRUE)</f>
        <v>1</v>
      </c>
      <c r="V2872" s="42" t="str">
        <f>IFERROR(__xludf.DUMMYFUNCTION("""COMPUTED_VALUE"""),"GABA")</f>
        <v>GABA</v>
      </c>
      <c r="W2872" s="42" t="str">
        <f>IFERROR(__xludf.DUMMYFUNCTION("""COMPUTED_VALUE"""),"Inhibitory")</f>
        <v>Inhibitory</v>
      </c>
      <c r="X2872" s="42"/>
      <c r="Y2872" s="42"/>
      <c r="Z2872" s="42"/>
      <c r="AA2872" s="42"/>
      <c r="AB2872" s="42" t="str">
        <f>IFERROR(__xludf.DUMMYFUNCTION("""COMPUTED_VALUE"""),"Hiroshi Yamakawa")</f>
        <v>Hiroshi Yamakawa</v>
      </c>
      <c r="AC2872" s="42" t="str">
        <f>IFERROR(__xludf.DUMMYFUNCTION("""COMPUTED_VALUE"""),"HY20Cerebellum")</f>
        <v>HY20Cerebellum</v>
      </c>
      <c r="AD2872" s="42"/>
      <c r="AE2872" s="42"/>
      <c r="AF2872" s="9"/>
      <c r="AG2872" s="9"/>
      <c r="AH2872" s="42"/>
      <c r="AI2872" s="42"/>
      <c r="AJ2872" s="42"/>
      <c r="AK2872" s="42"/>
      <c r="AL2872" s="42"/>
      <c r="AM2872" s="42"/>
      <c r="AN2872" s="42"/>
      <c r="AO2872" s="63" t="str">
        <f>IFERROR(__xludf.DUMMYFUNCTION("IF(ISBLANK(A2872),,IF(ISBLANK(S2872), A2872&amp;"";"", TEXTJOIN(CHAR(10), TRUE, A2872&amp;"";"", ARRAYFORMULA(VLOOKUP(SPLIT(S2872, "";"" &amp; CHAR(10)), $A:$AO, 41, FALSE)))))"),"DTNO;")</f>
        <v>DTNO;</v>
      </c>
      <c r="AP2872" s="89"/>
    </row>
    <row r="2873">
      <c r="A2873" s="151" t="str">
        <f>IFERROR(__xludf.DUMMYFUNCTION("""COMPUTED_VALUE"""),"DTlv")</f>
        <v>DTlv</v>
      </c>
      <c r="B2873" s="42" t="str">
        <f>IFERROR(__xludf.DUMMYFUNCTION("""COMPUTED_VALUE"""),"DHBA")</f>
        <v>DHBA</v>
      </c>
      <c r="C2873" s="42" t="str">
        <f>IFERROR(__xludf.DUMMYFUNCTION("""COMPUTED_VALUE"""),"dentate nucleus, lateroventral part")</f>
        <v>dentate nucleus, lateroventral part</v>
      </c>
      <c r="D2873" s="42">
        <f>IFERROR(__xludf.DUMMYFUNCTION("""COMPUTED_VALUE"""),2734.0)</f>
        <v>2734</v>
      </c>
      <c r="E2873" s="39" t="str">
        <f>IFERROR(__xludf.DUMMYFUNCTION("""COMPUTED_VALUE"""),"dentate nucleus, lateroventral part")</f>
        <v>dentate nucleus, lateroventral part</v>
      </c>
      <c r="F2873" s="9" t="str">
        <f>IFERROR(__xludf.DUMMYFUNCTION("""COMPUTED_VALUE"""),"Br")</f>
        <v>Br</v>
      </c>
      <c r="G2873" s="9" t="str">
        <f>IFERROR(__xludf.DUMMYFUNCTION("""COMPUTED_VALUE"""),"H")</f>
        <v>H</v>
      </c>
      <c r="H2873" s="9" t="str">
        <f>IFERROR(__xludf.DUMMYFUNCTION("""COMPUTED_VALUE"""),"HGM")</f>
        <v>HGM</v>
      </c>
      <c r="I2873" s="9" t="str">
        <f>IFERROR(__xludf.DUMMYFUNCTION("""COMPUTED_VALUE"""),"Met")</f>
        <v>Met</v>
      </c>
      <c r="J2873" s="9" t="str">
        <f>IFERROR(__xludf.DUMMYFUNCTION("""COMPUTED_VALUE"""),"CB")</f>
        <v>CB</v>
      </c>
      <c r="K2873" s="9" t="str">
        <f>IFERROR(__xludf.DUMMYFUNCTION("""COMPUTED_VALUE"""),"CbDN")</f>
        <v>CbDN</v>
      </c>
      <c r="L2873" s="9" t="str">
        <f>IFERROR(__xludf.DUMMYFUNCTION("""COMPUTED_VALUE"""),"DT")</f>
        <v>DT</v>
      </c>
      <c r="M2873" s="9" t="str">
        <f>IFERROR(__xludf.DUMMYFUNCTION("""COMPUTED_VALUE"""),"DTlv")</f>
        <v>DTlv</v>
      </c>
      <c r="N2873" s="9"/>
      <c r="O2873" s="9"/>
      <c r="P2873" s="9"/>
      <c r="Q2873" s="9"/>
      <c r="R2873" s="9"/>
      <c r="S2873" s="42"/>
      <c r="T2873" s="42"/>
      <c r="U2873" s="159"/>
      <c r="V2873" s="42"/>
      <c r="W2873" s="42"/>
      <c r="X2873" s="42"/>
      <c r="Y2873" s="42"/>
      <c r="Z2873" s="42"/>
      <c r="AA2873" s="42"/>
      <c r="AB2873" s="42" t="str">
        <f>IFERROR(__xludf.DUMMYFUNCTION("""COMPUTED_VALUE"""),"allen institute")</f>
        <v>allen institute</v>
      </c>
      <c r="AC2873" s="42" t="str">
        <f>IFERROR(__xludf.DUMMYFUNCTION("""COMPUTED_VALUE"""),"DHBA")</f>
        <v>DHBA</v>
      </c>
      <c r="AD2873" s="42"/>
      <c r="AE2873" s="42"/>
      <c r="AF2873" s="9"/>
      <c r="AG2873" s="9"/>
      <c r="AH2873" s="42"/>
      <c r="AI2873" s="42"/>
      <c r="AJ2873" s="42"/>
      <c r="AK2873" s="42"/>
      <c r="AL2873" s="42"/>
      <c r="AM2873" s="42"/>
      <c r="AN2873" s="42"/>
      <c r="AO2873" s="63" t="str">
        <f>IFERROR(__xludf.DUMMYFUNCTION("IF(ISBLANK(A2873),,IF(ISBLANK(S2873), A2873&amp;"";"", TEXTJOIN(CHAR(10), TRUE, A2873&amp;"";"", ARRAYFORMULA(VLOOKUP(SPLIT(S2873, "";"" &amp; CHAR(10)), $A:$AO, 41, FALSE)))))"),"DTlv;")</f>
        <v>DTlv;</v>
      </c>
      <c r="AP2873" s="89"/>
    </row>
    <row r="2874">
      <c r="A2874" s="151" t="str">
        <f>IFERROR(__xludf.DUMMYFUNCTION("""COMPUTED_VALUE"""),"DTmd")</f>
        <v>DTmd</v>
      </c>
      <c r="B2874" s="42" t="str">
        <f>IFERROR(__xludf.DUMMYFUNCTION("""COMPUTED_VALUE"""),"DHBA")</f>
        <v>DHBA</v>
      </c>
      <c r="C2874" s="42" t="str">
        <f>IFERROR(__xludf.DUMMYFUNCTION("""COMPUTED_VALUE"""),"dentate nucleus, mediodorsal part")</f>
        <v>dentate nucleus, mediodorsal part</v>
      </c>
      <c r="D2874" s="42">
        <f>IFERROR(__xludf.DUMMYFUNCTION("""COMPUTED_VALUE"""),2735.0)</f>
        <v>2735</v>
      </c>
      <c r="E2874" s="39" t="str">
        <f>IFERROR(__xludf.DUMMYFUNCTION("""COMPUTED_VALUE"""),"dentate nucleus, mediodorsal part")</f>
        <v>dentate nucleus, mediodorsal part</v>
      </c>
      <c r="F2874" s="9" t="str">
        <f>IFERROR(__xludf.DUMMYFUNCTION("""COMPUTED_VALUE"""),"Br")</f>
        <v>Br</v>
      </c>
      <c r="G2874" s="9" t="str">
        <f>IFERROR(__xludf.DUMMYFUNCTION("""COMPUTED_VALUE"""),"H")</f>
        <v>H</v>
      </c>
      <c r="H2874" s="9" t="str">
        <f>IFERROR(__xludf.DUMMYFUNCTION("""COMPUTED_VALUE"""),"HGM")</f>
        <v>HGM</v>
      </c>
      <c r="I2874" s="9" t="str">
        <f>IFERROR(__xludf.DUMMYFUNCTION("""COMPUTED_VALUE"""),"Met")</f>
        <v>Met</v>
      </c>
      <c r="J2874" s="9" t="str">
        <f>IFERROR(__xludf.DUMMYFUNCTION("""COMPUTED_VALUE"""),"CB")</f>
        <v>CB</v>
      </c>
      <c r="K2874" s="9" t="str">
        <f>IFERROR(__xludf.DUMMYFUNCTION("""COMPUTED_VALUE"""),"CbDN")</f>
        <v>CbDN</v>
      </c>
      <c r="L2874" s="9" t="str">
        <f>IFERROR(__xludf.DUMMYFUNCTION("""COMPUTED_VALUE"""),"DT")</f>
        <v>DT</v>
      </c>
      <c r="M2874" s="9" t="str">
        <f>IFERROR(__xludf.DUMMYFUNCTION("""COMPUTED_VALUE"""),"DTmd")</f>
        <v>DTmd</v>
      </c>
      <c r="N2874" s="9"/>
      <c r="O2874" s="9"/>
      <c r="P2874" s="9"/>
      <c r="Q2874" s="9"/>
      <c r="R2874" s="9"/>
      <c r="S2874" s="42"/>
      <c r="T2874" s="42"/>
      <c r="U2874" s="42"/>
      <c r="V2874" s="42"/>
      <c r="W2874" s="42"/>
      <c r="X2874" s="42"/>
      <c r="Y2874" s="42"/>
      <c r="Z2874" s="42"/>
      <c r="AA2874" s="42"/>
      <c r="AB2874" s="42" t="str">
        <f>IFERROR(__xludf.DUMMYFUNCTION("""COMPUTED_VALUE"""),"allen institute")</f>
        <v>allen institute</v>
      </c>
      <c r="AC2874" s="42" t="str">
        <f>IFERROR(__xludf.DUMMYFUNCTION("""COMPUTED_VALUE"""),"DHBA")</f>
        <v>DHBA</v>
      </c>
      <c r="AD2874" s="42"/>
      <c r="AE2874" s="42"/>
      <c r="AF2874" s="9"/>
      <c r="AG2874" s="9"/>
      <c r="AH2874" s="42"/>
      <c r="AI2874" s="42"/>
      <c r="AJ2874" s="42"/>
      <c r="AK2874" s="42"/>
      <c r="AL2874" s="42"/>
      <c r="AM2874" s="42"/>
      <c r="AN2874" s="42"/>
      <c r="AO2874" s="63" t="str">
        <f>IFERROR(__xludf.DUMMYFUNCTION("IF(ISBLANK(A2874),,IF(ISBLANK(S2874), A2874&amp;"";"", TEXTJOIN(CHAR(10), TRUE, A2874&amp;"";"", ARRAYFORMULA(VLOOKUP(SPLIT(S2874, "";"" &amp; CHAR(10)), $A:$AO, 41, FALSE)))))"),"DTmd;")</f>
        <v>DTmd;</v>
      </c>
      <c r="AP2874" s="89"/>
    </row>
    <row r="2875">
      <c r="A2875" s="151" t="str">
        <f>IFERROR(__xludf.DUMMYFUNCTION("""COMPUTED_VALUE"""),"InP")</f>
        <v>InP</v>
      </c>
      <c r="B2875" s="42" t="str">
        <f>IFERROR(__xludf.DUMMYFUNCTION("""COMPUTED_VALUE"""),"DHBA")</f>
        <v>DHBA</v>
      </c>
      <c r="C2875" s="42" t="str">
        <f>IFERROR(__xludf.DUMMYFUNCTION("""COMPUTED_VALUE"""),"interpositus (intermediate) nucleus")</f>
        <v>interpositus (intermediate) nucleus</v>
      </c>
      <c r="D2875" s="42">
        <f>IFERROR(__xludf.DUMMYFUNCTION("""COMPUTED_VALUE"""),2736.0)</f>
        <v>2736</v>
      </c>
      <c r="E2875" s="39" t="str">
        <f>IFERROR(__xludf.DUMMYFUNCTION("""COMPUTED_VALUE"""),"interpositus (intermediate) nucleus")</f>
        <v>interpositus (intermediate) nucleus</v>
      </c>
      <c r="F2875" s="9" t="str">
        <f>IFERROR(__xludf.DUMMYFUNCTION("""COMPUTED_VALUE"""),"Br")</f>
        <v>Br</v>
      </c>
      <c r="G2875" s="9" t="str">
        <f>IFERROR(__xludf.DUMMYFUNCTION("""COMPUTED_VALUE"""),"H")</f>
        <v>H</v>
      </c>
      <c r="H2875" s="9" t="str">
        <f>IFERROR(__xludf.DUMMYFUNCTION("""COMPUTED_VALUE"""),"HGM")</f>
        <v>HGM</v>
      </c>
      <c r="I2875" s="9" t="str">
        <f>IFERROR(__xludf.DUMMYFUNCTION("""COMPUTED_VALUE"""),"Met")</f>
        <v>Met</v>
      </c>
      <c r="J2875" s="9" t="str">
        <f>IFERROR(__xludf.DUMMYFUNCTION("""COMPUTED_VALUE"""),"CB")</f>
        <v>CB</v>
      </c>
      <c r="K2875" s="9" t="str">
        <f>IFERROR(__xludf.DUMMYFUNCTION("""COMPUTED_VALUE"""),"CbDN")</f>
        <v>CbDN</v>
      </c>
      <c r="L2875" s="9" t="str">
        <f>IFERROR(__xludf.DUMMYFUNCTION("""COMPUTED_VALUE"""),"InP")</f>
        <v>InP</v>
      </c>
      <c r="M2875" s="9"/>
      <c r="N2875" s="9"/>
      <c r="O2875" s="9"/>
      <c r="P2875" s="9"/>
      <c r="Q2875" s="9"/>
      <c r="R2875" s="9"/>
      <c r="S2875" s="42" t="str">
        <f>IFERROR(__xludf.DUMMYFUNCTION("""COMPUTED_VALUE"""),"InPM;
InPL")</f>
        <v>InPM;
InPL</v>
      </c>
      <c r="T2875" s="42"/>
      <c r="U2875" s="42" t="b">
        <f>IFERROR(__xludf.DUMMYFUNCTION("""COMPUTED_VALUE"""),FALSE)</f>
        <v>0</v>
      </c>
      <c r="V2875" s="42" t="str">
        <f>IFERROR(__xludf.DUMMYFUNCTION("""COMPUTED_VALUE"""),"Glutamate")</f>
        <v>Glutamate</v>
      </c>
      <c r="W2875" s="42" t="str">
        <f>IFERROR(__xludf.DUMMYFUNCTION("""COMPUTED_VALUE"""),"Excitatory")</f>
        <v>Excitatory</v>
      </c>
      <c r="X2875" s="42"/>
      <c r="Y2875" s="42" t="str">
        <f>IFERROR(__xludf.DUMMYFUNCTION("""COMPUTED_VALUE"""),"Mainly related to limb movement (distal)")</f>
        <v>Mainly related to limb movement (distal)</v>
      </c>
      <c r="Z2875" s="42"/>
      <c r="AA2875" s="42"/>
      <c r="AB2875" s="42" t="str">
        <f>IFERROR(__xludf.DUMMYFUNCTION("""COMPUTED_VALUE"""),"allen institute")</f>
        <v>allen institute</v>
      </c>
      <c r="AC2875" s="42" t="str">
        <f>IFERROR(__xludf.DUMMYFUNCTION("""COMPUTED_VALUE"""),"DHBA")</f>
        <v>DHBA</v>
      </c>
      <c r="AD2875" s="42"/>
      <c r="AE2875" s="42"/>
      <c r="AF2875" s="9"/>
      <c r="AG2875" s="9"/>
      <c r="AH2875" s="42"/>
      <c r="AI2875" s="42"/>
      <c r="AJ2875" s="42"/>
      <c r="AK2875" s="42"/>
      <c r="AL2875" s="42"/>
      <c r="AM2875" s="42"/>
      <c r="AN2875" s="42"/>
      <c r="AO2875" s="63" t="str">
        <f>IFERROR(__xludf.DUMMYFUNCTION("IF(ISBLANK(A2875),,IF(ISBLANK(S2875), A2875&amp;"";"", TEXTJOIN(CHAR(10), TRUE, A2875&amp;"";"", ARRAYFORMULA(VLOOKUP(SPLIT(S2875, "";"" &amp; CHAR(10)), $A:$AO, 41, FALSE)))))"),"InP;
InPM;
InPL;")</f>
        <v>InP;
InPM;
InPL;</v>
      </c>
      <c r="AP2875" s="89"/>
    </row>
    <row r="2876">
      <c r="A2876" s="151" t="str">
        <f>IFERROR(__xludf.DUMMYFUNCTION("""COMPUTED_VALUE"""),"InPNO")</f>
        <v>InPNO</v>
      </c>
      <c r="B2876" s="42" t="str">
        <f>IFERROR(__xludf.DUMMYFUNCTION("""COMPUTED_VALUE"""),"makeshift")</f>
        <v>makeshift</v>
      </c>
      <c r="C2876" s="42" t="str">
        <f>IFERROR(__xludf.DUMMYFUNCTION("""COMPUTED_VALUE"""),"inhibit nucleoolivary nucleus of InP")</f>
        <v>inhibit nucleoolivary nucleus of InP</v>
      </c>
      <c r="D2876" s="42">
        <f>IFERROR(__xludf.DUMMYFUNCTION("""COMPUTED_VALUE"""),2736.2)</f>
        <v>2736.2</v>
      </c>
      <c r="E2876" s="39" t="str">
        <f>IFERROR(__xludf.DUMMYFUNCTION("""COMPUTED_VALUE"""),"")</f>
        <v/>
      </c>
      <c r="F2876" s="9" t="str">
        <f>IFERROR(__xludf.DUMMYFUNCTION("""COMPUTED_VALUE"""),"")</f>
        <v/>
      </c>
      <c r="G2876" s="9" t="str">
        <f>IFERROR(__xludf.DUMMYFUNCTION("""COMPUTED_VALUE"""),"")</f>
        <v/>
      </c>
      <c r="H2876" s="9" t="str">
        <f>IFERROR(__xludf.DUMMYFUNCTION("""COMPUTED_VALUE"""),"")</f>
        <v/>
      </c>
      <c r="I2876" s="9" t="str">
        <f>IFERROR(__xludf.DUMMYFUNCTION("""COMPUTED_VALUE"""),"")</f>
        <v/>
      </c>
      <c r="J2876" s="9" t="str">
        <f>IFERROR(__xludf.DUMMYFUNCTION("""COMPUTED_VALUE"""),"")</f>
        <v/>
      </c>
      <c r="K2876" s="9" t="str">
        <f>IFERROR(__xludf.DUMMYFUNCTION("""COMPUTED_VALUE"""),"")</f>
        <v/>
      </c>
      <c r="L2876" s="9" t="str">
        <f>IFERROR(__xludf.DUMMYFUNCTION("""COMPUTED_VALUE"""),"")</f>
        <v/>
      </c>
      <c r="M2876" s="9" t="str">
        <f>IFERROR(__xludf.DUMMYFUNCTION("""COMPUTED_VALUE"""),"")</f>
        <v/>
      </c>
      <c r="N2876" s="9" t="str">
        <f>IFERROR(__xludf.DUMMYFUNCTION("""COMPUTED_VALUE"""),"")</f>
        <v/>
      </c>
      <c r="O2876" s="9" t="str">
        <f>IFERROR(__xludf.DUMMYFUNCTION("""COMPUTED_VALUE"""),"")</f>
        <v/>
      </c>
      <c r="P2876" s="9" t="str">
        <f>IFERROR(__xludf.DUMMYFUNCTION("""COMPUTED_VALUE"""),"")</f>
        <v/>
      </c>
      <c r="Q2876" s="9" t="str">
        <f>IFERROR(__xludf.DUMMYFUNCTION("""COMPUTED_VALUE"""),"")</f>
        <v/>
      </c>
      <c r="R2876" s="9" t="str">
        <f>IFERROR(__xludf.DUMMYFUNCTION("""COMPUTED_VALUE"""),"")</f>
        <v/>
      </c>
      <c r="S2876" s="42"/>
      <c r="T2876" s="42"/>
      <c r="U2876" s="42" t="b">
        <f>IFERROR(__xludf.DUMMYFUNCTION("""COMPUTED_VALUE"""),TRUE)</f>
        <v>1</v>
      </c>
      <c r="V2876" s="42" t="str">
        <f>IFERROR(__xludf.DUMMYFUNCTION("""COMPUTED_VALUE"""),"GABA")</f>
        <v>GABA</v>
      </c>
      <c r="W2876" s="42" t="str">
        <f>IFERROR(__xludf.DUMMYFUNCTION("""COMPUTED_VALUE"""),"Inhibitory")</f>
        <v>Inhibitory</v>
      </c>
      <c r="X2876" s="42"/>
      <c r="Y2876" s="42"/>
      <c r="Z2876" s="42"/>
      <c r="AA2876" s="42"/>
      <c r="AB2876" s="42" t="str">
        <f>IFERROR(__xludf.DUMMYFUNCTION("""COMPUTED_VALUE"""),"Hiroshi Yamakawa")</f>
        <v>Hiroshi Yamakawa</v>
      </c>
      <c r="AC2876" s="42" t="str">
        <f>IFERROR(__xludf.DUMMYFUNCTION("""COMPUTED_VALUE"""),"HY20Cerebellum")</f>
        <v>HY20Cerebellum</v>
      </c>
      <c r="AD2876" s="42"/>
      <c r="AE2876" s="42"/>
      <c r="AF2876" s="9"/>
      <c r="AG2876" s="9"/>
      <c r="AH2876" s="42"/>
      <c r="AI2876" s="42"/>
      <c r="AJ2876" s="42"/>
      <c r="AK2876" s="42"/>
      <c r="AL2876" s="42"/>
      <c r="AM2876" s="42"/>
      <c r="AN2876" s="42"/>
      <c r="AO2876" s="63" t="str">
        <f>IFERROR(__xludf.DUMMYFUNCTION("IF(ISBLANK(A2876),,IF(ISBLANK(S2876), A2876&amp;"";"", TEXTJOIN(CHAR(10), TRUE, A2876&amp;"";"", ARRAYFORMULA(VLOOKUP(SPLIT(S2876, "";"" &amp; CHAR(10)), $A:$AO, 41, FALSE)))))"),"InPNO;")</f>
        <v>InPNO;</v>
      </c>
      <c r="AP2876" s="89"/>
    </row>
    <row r="2877">
      <c r="A2877" s="151" t="str">
        <f>IFERROR(__xludf.DUMMYFUNCTION("""COMPUTED_VALUE"""),"InPM")</f>
        <v>InPM</v>
      </c>
      <c r="B2877" s="42" t="str">
        <f>IFERROR(__xludf.DUMMYFUNCTION("""COMPUTED_VALUE"""),"DHBA")</f>
        <v>DHBA</v>
      </c>
      <c r="C2877" s="42" t="str">
        <f>IFERROR(__xludf.DUMMYFUNCTION("""COMPUTED_VALUE"""),"medial interpositus (globose) nucleus")</f>
        <v>medial interpositus (globose) nucleus</v>
      </c>
      <c r="D2877" s="42">
        <f>IFERROR(__xludf.DUMMYFUNCTION("""COMPUTED_VALUE"""),2737.0)</f>
        <v>2737</v>
      </c>
      <c r="E2877" s="39" t="str">
        <f>IFERROR(__xludf.DUMMYFUNCTION("""COMPUTED_VALUE"""),"medial interpositus (globose) nucleus")</f>
        <v>medial interpositus (globose) nucleus</v>
      </c>
      <c r="F2877" s="9" t="str">
        <f>IFERROR(__xludf.DUMMYFUNCTION("""COMPUTED_VALUE"""),"Br")</f>
        <v>Br</v>
      </c>
      <c r="G2877" s="9" t="str">
        <f>IFERROR(__xludf.DUMMYFUNCTION("""COMPUTED_VALUE"""),"H")</f>
        <v>H</v>
      </c>
      <c r="H2877" s="9" t="str">
        <f>IFERROR(__xludf.DUMMYFUNCTION("""COMPUTED_VALUE"""),"HGM")</f>
        <v>HGM</v>
      </c>
      <c r="I2877" s="9" t="str">
        <f>IFERROR(__xludf.DUMMYFUNCTION("""COMPUTED_VALUE"""),"Met")</f>
        <v>Met</v>
      </c>
      <c r="J2877" s="9" t="str">
        <f>IFERROR(__xludf.DUMMYFUNCTION("""COMPUTED_VALUE"""),"CB")</f>
        <v>CB</v>
      </c>
      <c r="K2877" s="9" t="str">
        <f>IFERROR(__xludf.DUMMYFUNCTION("""COMPUTED_VALUE"""),"CbDN")</f>
        <v>CbDN</v>
      </c>
      <c r="L2877" s="9" t="str">
        <f>IFERROR(__xludf.DUMMYFUNCTION("""COMPUTED_VALUE"""),"InP")</f>
        <v>InP</v>
      </c>
      <c r="M2877" s="9" t="str">
        <f>IFERROR(__xludf.DUMMYFUNCTION("""COMPUTED_VALUE"""),"InPM")</f>
        <v>InPM</v>
      </c>
      <c r="N2877" s="9"/>
      <c r="O2877" s="9"/>
      <c r="P2877" s="9"/>
      <c r="Q2877" s="9"/>
      <c r="R2877" s="9"/>
      <c r="S2877" s="42"/>
      <c r="T2877" s="42"/>
      <c r="U2877" s="42"/>
      <c r="V2877" s="42"/>
      <c r="W2877" s="42"/>
      <c r="X2877" s="42"/>
      <c r="Y2877" s="42"/>
      <c r="Z2877" s="42"/>
      <c r="AA2877" s="42"/>
      <c r="AB2877" s="42" t="str">
        <f>IFERROR(__xludf.DUMMYFUNCTION("""COMPUTED_VALUE"""),"allen institute")</f>
        <v>allen institute</v>
      </c>
      <c r="AC2877" s="42" t="str">
        <f>IFERROR(__xludf.DUMMYFUNCTION("""COMPUTED_VALUE"""),"DHBA")</f>
        <v>DHBA</v>
      </c>
      <c r="AD2877" s="42"/>
      <c r="AE2877" s="42"/>
      <c r="AF2877" s="9"/>
      <c r="AG2877" s="9"/>
      <c r="AH2877" s="42"/>
      <c r="AI2877" s="42"/>
      <c r="AJ2877" s="42"/>
      <c r="AK2877" s="42"/>
      <c r="AL2877" s="42"/>
      <c r="AM2877" s="42"/>
      <c r="AN2877" s="42"/>
      <c r="AO2877" s="63" t="str">
        <f>IFERROR(__xludf.DUMMYFUNCTION("IF(ISBLANK(A2877),,IF(ISBLANK(S2877), A2877&amp;"";"", TEXTJOIN(CHAR(10), TRUE, A2877&amp;"";"", ARRAYFORMULA(VLOOKUP(SPLIT(S2877, "";"" &amp; CHAR(10)), $A:$AO, 41, FALSE)))))"),"InPM;")</f>
        <v>InPM;</v>
      </c>
      <c r="AP2877" s="89"/>
    </row>
    <row r="2878">
      <c r="A2878" s="151" t="str">
        <f>IFERROR(__xludf.DUMMYFUNCTION("""COMPUTED_VALUE"""),"InPL")</f>
        <v>InPL</v>
      </c>
      <c r="B2878" s="42" t="str">
        <f>IFERROR(__xludf.DUMMYFUNCTION("""COMPUTED_VALUE"""),"DHBA")</f>
        <v>DHBA</v>
      </c>
      <c r="C2878" s="42" t="str">
        <f>IFERROR(__xludf.DUMMYFUNCTION("""COMPUTED_VALUE"""),"lateral interpositus (emboliform) nucleus")</f>
        <v>lateral interpositus (emboliform) nucleus</v>
      </c>
      <c r="D2878" s="42">
        <f>IFERROR(__xludf.DUMMYFUNCTION("""COMPUTED_VALUE"""),2738.0)</f>
        <v>2738</v>
      </c>
      <c r="E2878" s="39" t="str">
        <f>IFERROR(__xludf.DUMMYFUNCTION("""COMPUTED_VALUE"""),"lateral interpositus (emboliform) nucleus")</f>
        <v>lateral interpositus (emboliform) nucleus</v>
      </c>
      <c r="F2878" s="9" t="str">
        <f>IFERROR(__xludf.DUMMYFUNCTION("""COMPUTED_VALUE"""),"Br")</f>
        <v>Br</v>
      </c>
      <c r="G2878" s="9" t="str">
        <f>IFERROR(__xludf.DUMMYFUNCTION("""COMPUTED_VALUE"""),"H")</f>
        <v>H</v>
      </c>
      <c r="H2878" s="9" t="str">
        <f>IFERROR(__xludf.DUMMYFUNCTION("""COMPUTED_VALUE"""),"HGM")</f>
        <v>HGM</v>
      </c>
      <c r="I2878" s="9" t="str">
        <f>IFERROR(__xludf.DUMMYFUNCTION("""COMPUTED_VALUE"""),"Met")</f>
        <v>Met</v>
      </c>
      <c r="J2878" s="9" t="str">
        <f>IFERROR(__xludf.DUMMYFUNCTION("""COMPUTED_VALUE"""),"CB")</f>
        <v>CB</v>
      </c>
      <c r="K2878" s="9" t="str">
        <f>IFERROR(__xludf.DUMMYFUNCTION("""COMPUTED_VALUE"""),"CbDN")</f>
        <v>CbDN</v>
      </c>
      <c r="L2878" s="9" t="str">
        <f>IFERROR(__xludf.DUMMYFUNCTION("""COMPUTED_VALUE"""),"InP")</f>
        <v>InP</v>
      </c>
      <c r="M2878" s="9" t="str">
        <f>IFERROR(__xludf.DUMMYFUNCTION("""COMPUTED_VALUE"""),"InPL")</f>
        <v>InPL</v>
      </c>
      <c r="N2878" s="9"/>
      <c r="O2878" s="9"/>
      <c r="P2878" s="9"/>
      <c r="Q2878" s="9"/>
      <c r="R2878" s="9"/>
      <c r="S2878" s="42"/>
      <c r="T2878" s="42"/>
      <c r="U2878" s="42"/>
      <c r="V2878" s="42"/>
      <c r="W2878" s="42"/>
      <c r="X2878" s="42"/>
      <c r="Y2878" s="42"/>
      <c r="Z2878" s="42"/>
      <c r="AA2878" s="42"/>
      <c r="AB2878" s="42" t="str">
        <f>IFERROR(__xludf.DUMMYFUNCTION("""COMPUTED_VALUE"""),"allen institute")</f>
        <v>allen institute</v>
      </c>
      <c r="AC2878" s="42" t="str">
        <f>IFERROR(__xludf.DUMMYFUNCTION("""COMPUTED_VALUE"""),"DHBA")</f>
        <v>DHBA</v>
      </c>
      <c r="AD2878" s="42"/>
      <c r="AE2878" s="42"/>
      <c r="AF2878" s="9"/>
      <c r="AG2878" s="9"/>
      <c r="AH2878" s="42"/>
      <c r="AI2878" s="42"/>
      <c r="AJ2878" s="42"/>
      <c r="AK2878" s="42"/>
      <c r="AL2878" s="42"/>
      <c r="AM2878" s="42"/>
      <c r="AN2878" s="42"/>
      <c r="AO2878" s="63" t="str">
        <f>IFERROR(__xludf.DUMMYFUNCTION("IF(ISBLANK(A2878),,IF(ISBLANK(S2878), A2878&amp;"";"", TEXTJOIN(CHAR(10), TRUE, A2878&amp;"";"", ARRAYFORMULA(VLOOKUP(SPLIT(S2878, "";"" &amp; CHAR(10)), $A:$AO, 41, FALSE)))))"),"InPL;")</f>
        <v>InPL;</v>
      </c>
      <c r="AP2878" s="89"/>
    </row>
    <row r="2879">
      <c r="A2879" s="151" t="str">
        <f>IFERROR(__xludf.DUMMYFUNCTION("""COMPUTED_VALUE"""),"Fas")</f>
        <v>Fas</v>
      </c>
      <c r="B2879" s="42" t="str">
        <f>IFERROR(__xludf.DUMMYFUNCTION("""COMPUTED_VALUE"""),"DHBA")</f>
        <v>DHBA</v>
      </c>
      <c r="C2879" s="42" t="str">
        <f>IFERROR(__xludf.DUMMYFUNCTION("""COMPUTED_VALUE"""),"fastigial (medial) nucleus")</f>
        <v>fastigial (medial) nucleus</v>
      </c>
      <c r="D2879" s="42">
        <f>IFERROR(__xludf.DUMMYFUNCTION("""COMPUTED_VALUE"""),2739.0)</f>
        <v>2739</v>
      </c>
      <c r="E2879" s="39" t="str">
        <f>IFERROR(__xludf.DUMMYFUNCTION("""COMPUTED_VALUE"""),"fastigial (medial) nucleus")</f>
        <v>fastigial (medial) nucleus</v>
      </c>
      <c r="F2879" s="9" t="str">
        <f>IFERROR(__xludf.DUMMYFUNCTION("""COMPUTED_VALUE"""),"Br")</f>
        <v>Br</v>
      </c>
      <c r="G2879" s="9" t="str">
        <f>IFERROR(__xludf.DUMMYFUNCTION("""COMPUTED_VALUE"""),"H")</f>
        <v>H</v>
      </c>
      <c r="H2879" s="9" t="str">
        <f>IFERROR(__xludf.DUMMYFUNCTION("""COMPUTED_VALUE"""),"HGM")</f>
        <v>HGM</v>
      </c>
      <c r="I2879" s="9" t="str">
        <f>IFERROR(__xludf.DUMMYFUNCTION("""COMPUTED_VALUE"""),"Met")</f>
        <v>Met</v>
      </c>
      <c r="J2879" s="9" t="str">
        <f>IFERROR(__xludf.DUMMYFUNCTION("""COMPUTED_VALUE"""),"CB")</f>
        <v>CB</v>
      </c>
      <c r="K2879" s="9" t="str">
        <f>IFERROR(__xludf.DUMMYFUNCTION("""COMPUTED_VALUE"""),"CbDN")</f>
        <v>CbDN</v>
      </c>
      <c r="L2879" s="9" t="str">
        <f>IFERROR(__xludf.DUMMYFUNCTION("""COMPUTED_VALUE"""),"Fas")</f>
        <v>Fas</v>
      </c>
      <c r="M2879" s="9"/>
      <c r="N2879" s="9"/>
      <c r="O2879" s="9"/>
      <c r="P2879" s="9"/>
      <c r="Q2879" s="9"/>
      <c r="R2879" s="9"/>
      <c r="S2879" s="42" t="str">
        <f>IFERROR(__xludf.DUMMYFUNCTION("""COMPUTED_VALUE"""),"F1R;
F1;
FasL;
FasM")</f>
        <v>F1R;
F1;
FasL;
FasM</v>
      </c>
      <c r="T2879" s="42"/>
      <c r="U2879" s="42" t="b">
        <f>IFERROR(__xludf.DUMMYFUNCTION("""COMPUTED_VALUE"""),FALSE)</f>
        <v>0</v>
      </c>
      <c r="V2879" s="42" t="str">
        <f>IFERROR(__xludf.DUMMYFUNCTION("""COMPUTED_VALUE"""),"Glutamate")</f>
        <v>Glutamate</v>
      </c>
      <c r="W2879" s="42" t="str">
        <f>IFERROR(__xludf.DUMMYFUNCTION("""COMPUTED_VALUE"""),"Excitatory")</f>
        <v>Excitatory</v>
      </c>
      <c r="X2879" s="42"/>
      <c r="Y2879" s="42" t="str">
        <f>IFERROR(__xludf.DUMMYFUNCTION("""COMPUTED_VALUE"""),"Mainly related to trunk movement (proximal)")</f>
        <v>Mainly related to trunk movement (proximal)</v>
      </c>
      <c r="Z2879" s="42"/>
      <c r="AA2879" s="42"/>
      <c r="AB2879" s="42" t="str">
        <f>IFERROR(__xludf.DUMMYFUNCTION("""COMPUTED_VALUE"""),"allen institute")</f>
        <v>allen institute</v>
      </c>
      <c r="AC2879" s="42" t="str">
        <f>IFERROR(__xludf.DUMMYFUNCTION("""COMPUTED_VALUE"""),"DHBA")</f>
        <v>DHBA</v>
      </c>
      <c r="AD2879" s="42"/>
      <c r="AE2879" s="42"/>
      <c r="AF2879" s="9"/>
      <c r="AG2879" s="9"/>
      <c r="AH2879" s="42"/>
      <c r="AI2879" s="42"/>
      <c r="AJ2879" s="42"/>
      <c r="AK2879" s="42"/>
      <c r="AL2879" s="42"/>
      <c r="AM2879" s="42"/>
      <c r="AN2879" s="42"/>
      <c r="AO2879" s="63" t="str">
        <f>IFERROR(__xludf.DUMMYFUNCTION("IF(ISBLANK(A2879),,IF(ISBLANK(S2879), A2879&amp;"";"", TEXTJOIN(CHAR(10), TRUE, A2879&amp;"";"", ARRAYFORMULA(VLOOKUP(SPLIT(S2879, "";"" &amp; CHAR(10)), $A:$AO, 41, FALSE)))))"),"#N/A")</f>
        <v>#N/A</v>
      </c>
      <c r="AP2879" s="89"/>
    </row>
    <row r="2880">
      <c r="A2880" s="151" t="str">
        <f>IFERROR(__xludf.DUMMYFUNCTION("""COMPUTED_VALUE"""),"FasL")</f>
        <v>FasL</v>
      </c>
      <c r="B2880" s="42" t="str">
        <f>IFERROR(__xludf.DUMMYFUNCTION("""COMPUTED_VALUE"""),"DHBA")</f>
        <v>DHBA</v>
      </c>
      <c r="C2880" s="42" t="str">
        <f>IFERROR(__xludf.DUMMYFUNCTION("""COMPUTED_VALUE"""),"fastigial nucleus, lateral part")</f>
        <v>fastigial nucleus, lateral part</v>
      </c>
      <c r="D2880" s="42">
        <f>IFERROR(__xludf.DUMMYFUNCTION("""COMPUTED_VALUE"""),2740.0)</f>
        <v>2740</v>
      </c>
      <c r="E2880" s="39" t="str">
        <f>IFERROR(__xludf.DUMMYFUNCTION("""COMPUTED_VALUE"""),"fastigial nucleus, lateral part")</f>
        <v>fastigial nucleus, lateral part</v>
      </c>
      <c r="F2880" s="9" t="str">
        <f>IFERROR(__xludf.DUMMYFUNCTION("""COMPUTED_VALUE"""),"Br")</f>
        <v>Br</v>
      </c>
      <c r="G2880" s="9" t="str">
        <f>IFERROR(__xludf.DUMMYFUNCTION("""COMPUTED_VALUE"""),"H")</f>
        <v>H</v>
      </c>
      <c r="H2880" s="9" t="str">
        <f>IFERROR(__xludf.DUMMYFUNCTION("""COMPUTED_VALUE"""),"HGM")</f>
        <v>HGM</v>
      </c>
      <c r="I2880" s="9" t="str">
        <f>IFERROR(__xludf.DUMMYFUNCTION("""COMPUTED_VALUE"""),"Met")</f>
        <v>Met</v>
      </c>
      <c r="J2880" s="9" t="str">
        <f>IFERROR(__xludf.DUMMYFUNCTION("""COMPUTED_VALUE"""),"CB")</f>
        <v>CB</v>
      </c>
      <c r="K2880" s="9" t="str">
        <f>IFERROR(__xludf.DUMMYFUNCTION("""COMPUTED_VALUE"""),"CbDN")</f>
        <v>CbDN</v>
      </c>
      <c r="L2880" s="9" t="str">
        <f>IFERROR(__xludf.DUMMYFUNCTION("""COMPUTED_VALUE"""),"Fas")</f>
        <v>Fas</v>
      </c>
      <c r="M2880" s="9" t="str">
        <f>IFERROR(__xludf.DUMMYFUNCTION("""COMPUTED_VALUE"""),"FasL")</f>
        <v>FasL</v>
      </c>
      <c r="N2880" s="9"/>
      <c r="O2880" s="9"/>
      <c r="P2880" s="9"/>
      <c r="Q2880" s="9"/>
      <c r="R2880" s="9"/>
      <c r="S2880" s="42"/>
      <c r="T2880" s="42"/>
      <c r="U2880" s="42"/>
      <c r="V2880" s="42"/>
      <c r="W2880" s="42"/>
      <c r="X2880" s="42"/>
      <c r="Y2880" s="42"/>
      <c r="Z2880" s="42"/>
      <c r="AA2880" s="42"/>
      <c r="AB2880" s="42" t="str">
        <f>IFERROR(__xludf.DUMMYFUNCTION("""COMPUTED_VALUE"""),"allen institute")</f>
        <v>allen institute</v>
      </c>
      <c r="AC2880" s="42" t="str">
        <f>IFERROR(__xludf.DUMMYFUNCTION("""COMPUTED_VALUE"""),"DHBA")</f>
        <v>DHBA</v>
      </c>
      <c r="AD2880" s="42"/>
      <c r="AE2880" s="42"/>
      <c r="AF2880" s="9"/>
      <c r="AG2880" s="9"/>
      <c r="AH2880" s="42"/>
      <c r="AI2880" s="42"/>
      <c r="AJ2880" s="42"/>
      <c r="AK2880" s="42"/>
      <c r="AL2880" s="42"/>
      <c r="AM2880" s="42"/>
      <c r="AN2880" s="42"/>
      <c r="AO2880" s="63" t="str">
        <f>IFERROR(__xludf.DUMMYFUNCTION("IF(ISBLANK(A2880),,IF(ISBLANK(S2880), A2880&amp;"";"", TEXTJOIN(CHAR(10), TRUE, A2880&amp;"";"", ARRAYFORMULA(VLOOKUP(SPLIT(S2880, "";"" &amp; CHAR(10)), $A:$AO, 41, FALSE)))))"),"FasL;")</f>
        <v>FasL;</v>
      </c>
      <c r="AP2880" s="89"/>
    </row>
    <row r="2881">
      <c r="A2881" s="151" t="str">
        <f>IFERROR(__xludf.DUMMYFUNCTION("""COMPUTED_VALUE"""),"FasM")</f>
        <v>FasM</v>
      </c>
      <c r="B2881" s="42" t="str">
        <f>IFERROR(__xludf.DUMMYFUNCTION("""COMPUTED_VALUE"""),"DHBA")</f>
        <v>DHBA</v>
      </c>
      <c r="C2881" s="42" t="str">
        <f>IFERROR(__xludf.DUMMYFUNCTION("""COMPUTED_VALUE"""),"fastigial nucleus, medial part")</f>
        <v>fastigial nucleus, medial part</v>
      </c>
      <c r="D2881" s="42">
        <f>IFERROR(__xludf.DUMMYFUNCTION("""COMPUTED_VALUE"""),2741.0)</f>
        <v>2741</v>
      </c>
      <c r="E2881" s="39" t="str">
        <f>IFERROR(__xludf.DUMMYFUNCTION("""COMPUTED_VALUE"""),"fastigial nucleus, medial part")</f>
        <v>fastigial nucleus, medial part</v>
      </c>
      <c r="F2881" s="9" t="str">
        <f>IFERROR(__xludf.DUMMYFUNCTION("""COMPUTED_VALUE"""),"Br")</f>
        <v>Br</v>
      </c>
      <c r="G2881" s="9" t="str">
        <f>IFERROR(__xludf.DUMMYFUNCTION("""COMPUTED_VALUE"""),"H")</f>
        <v>H</v>
      </c>
      <c r="H2881" s="9" t="str">
        <f>IFERROR(__xludf.DUMMYFUNCTION("""COMPUTED_VALUE"""),"HGM")</f>
        <v>HGM</v>
      </c>
      <c r="I2881" s="9" t="str">
        <f>IFERROR(__xludf.DUMMYFUNCTION("""COMPUTED_VALUE"""),"Met")</f>
        <v>Met</v>
      </c>
      <c r="J2881" s="9" t="str">
        <f>IFERROR(__xludf.DUMMYFUNCTION("""COMPUTED_VALUE"""),"CB")</f>
        <v>CB</v>
      </c>
      <c r="K2881" s="9" t="str">
        <f>IFERROR(__xludf.DUMMYFUNCTION("""COMPUTED_VALUE"""),"CbDN")</f>
        <v>CbDN</v>
      </c>
      <c r="L2881" s="9" t="str">
        <f>IFERROR(__xludf.DUMMYFUNCTION("""COMPUTED_VALUE"""),"Fas")</f>
        <v>Fas</v>
      </c>
      <c r="M2881" s="9" t="str">
        <f>IFERROR(__xludf.DUMMYFUNCTION("""COMPUTED_VALUE"""),"FasM")</f>
        <v>FasM</v>
      </c>
      <c r="N2881" s="9"/>
      <c r="O2881" s="9"/>
      <c r="P2881" s="9"/>
      <c r="Q2881" s="9"/>
      <c r="R2881" s="9"/>
      <c r="S2881" s="42"/>
      <c r="T2881" s="42"/>
      <c r="U2881" s="42"/>
      <c r="V2881" s="42"/>
      <c r="W2881" s="42"/>
      <c r="X2881" s="42"/>
      <c r="Y2881" s="42"/>
      <c r="Z2881" s="42"/>
      <c r="AA2881" s="42"/>
      <c r="AB2881" s="42" t="str">
        <f>IFERROR(__xludf.DUMMYFUNCTION("""COMPUTED_VALUE"""),"allen institute")</f>
        <v>allen institute</v>
      </c>
      <c r="AC2881" s="42" t="str">
        <f>IFERROR(__xludf.DUMMYFUNCTION("""COMPUTED_VALUE"""),"DHBA")</f>
        <v>DHBA</v>
      </c>
      <c r="AD2881" s="42"/>
      <c r="AE2881" s="42"/>
      <c r="AF2881" s="9"/>
      <c r="AG2881" s="9"/>
      <c r="AH2881" s="42"/>
      <c r="AI2881" s="42"/>
      <c r="AJ2881" s="42"/>
      <c r="AK2881" s="42"/>
      <c r="AL2881" s="42"/>
      <c r="AM2881" s="42"/>
      <c r="AN2881" s="42"/>
      <c r="AO2881" s="63" t="str">
        <f>IFERROR(__xludf.DUMMYFUNCTION("IF(ISBLANK(A2881),,IF(ISBLANK(S2881), A2881&amp;"";"", TEXTJOIN(CHAR(10), TRUE, A2881&amp;"";"", ARRAYFORMULA(VLOOKUP(SPLIT(S2881, "";"" &amp; CHAR(10)), $A:$AO, 41, FALSE)))))"),"FasM;")</f>
        <v>FasM;</v>
      </c>
      <c r="AP2881" s="89"/>
    </row>
    <row r="2882">
      <c r="A2882" s="151" t="str">
        <f>IFERROR(__xludf.DUMMYFUNCTION("""COMPUTED_VALUE"""),"BIcb")</f>
        <v>BIcb</v>
      </c>
      <c r="B2882" s="42" t="str">
        <f>IFERROR(__xludf.DUMMYFUNCTION("""COMPUTED_VALUE"""),"DHBA")</f>
        <v>DHBA</v>
      </c>
      <c r="C2882" s="42" t="str">
        <f>IFERROR(__xludf.DUMMYFUNCTION("""COMPUTED_VALUE"""),"basal interstitial nucleus of cerebellum")</f>
        <v>basal interstitial nucleus of cerebellum</v>
      </c>
      <c r="D2882" s="42">
        <f>IFERROR(__xludf.DUMMYFUNCTION("""COMPUTED_VALUE"""),2742.0)</f>
        <v>2742</v>
      </c>
      <c r="E2882" s="39" t="str">
        <f>IFERROR(__xludf.DUMMYFUNCTION("""COMPUTED_VALUE"""),"basal interstitial nucleus of cerebellum")</f>
        <v>basal interstitial nucleus of cerebellum</v>
      </c>
      <c r="F2882" s="9" t="str">
        <f>IFERROR(__xludf.DUMMYFUNCTION("""COMPUTED_VALUE"""),"Br")</f>
        <v>Br</v>
      </c>
      <c r="G2882" s="9" t="str">
        <f>IFERROR(__xludf.DUMMYFUNCTION("""COMPUTED_VALUE"""),"H")</f>
        <v>H</v>
      </c>
      <c r="H2882" s="9" t="str">
        <f>IFERROR(__xludf.DUMMYFUNCTION("""COMPUTED_VALUE"""),"HGM")</f>
        <v>HGM</v>
      </c>
      <c r="I2882" s="9" t="str">
        <f>IFERROR(__xludf.DUMMYFUNCTION("""COMPUTED_VALUE"""),"Met")</f>
        <v>Met</v>
      </c>
      <c r="J2882" s="9" t="str">
        <f>IFERROR(__xludf.DUMMYFUNCTION("""COMPUTED_VALUE"""),"CB")</f>
        <v>CB</v>
      </c>
      <c r="K2882" s="9" t="str">
        <f>IFERROR(__xludf.DUMMYFUNCTION("""COMPUTED_VALUE"""),"CbDN")</f>
        <v>CbDN</v>
      </c>
      <c r="L2882" s="9" t="str">
        <f>IFERROR(__xludf.DUMMYFUNCTION("""COMPUTED_VALUE"""),"BIcb")</f>
        <v>BIcb</v>
      </c>
      <c r="M2882" s="9"/>
      <c r="N2882" s="9"/>
      <c r="O2882" s="9"/>
      <c r="P2882" s="9"/>
      <c r="Q2882" s="9"/>
      <c r="R2882" s="9"/>
      <c r="S2882" s="42"/>
      <c r="T2882" s="42"/>
      <c r="U2882" s="42"/>
      <c r="V2882" s="42"/>
      <c r="W2882" s="42"/>
      <c r="X2882" s="42"/>
      <c r="Y2882" s="42"/>
      <c r="Z2882" s="42"/>
      <c r="AA2882" s="42"/>
      <c r="AB2882" s="42" t="str">
        <f>IFERROR(__xludf.DUMMYFUNCTION("""COMPUTED_VALUE"""),"allen institute")</f>
        <v>allen institute</v>
      </c>
      <c r="AC2882" s="42" t="str">
        <f>IFERROR(__xludf.DUMMYFUNCTION("""COMPUTED_VALUE"""),"DHBA")</f>
        <v>DHBA</v>
      </c>
      <c r="AD2882" s="42"/>
      <c r="AE2882" s="42"/>
      <c r="AF2882" s="9"/>
      <c r="AG2882" s="9"/>
      <c r="AH2882" s="42"/>
      <c r="AI2882" s="42"/>
      <c r="AJ2882" s="42"/>
      <c r="AK2882" s="42"/>
      <c r="AL2882" s="42"/>
      <c r="AM2882" s="42"/>
      <c r="AN2882" s="42"/>
      <c r="AO2882" s="63" t="str">
        <f>IFERROR(__xludf.DUMMYFUNCTION("IF(ISBLANK(A2882),,IF(ISBLANK(S2882), A2882&amp;"";"", TEXTJOIN(CHAR(10), TRUE, A2882&amp;"";"", ARRAYFORMULA(VLOOKUP(SPLIT(S2882, "";"" &amp; CHAR(10)), $A:$AO, 41, FALSE)))))"),"BIcb;")</f>
        <v>BIcb;</v>
      </c>
      <c r="AP2882" s="89"/>
    </row>
    <row r="2883">
      <c r="A2883" s="151" t="str">
        <f>IFERROR(__xludf.DUMMYFUNCTION("""COMPUTED_VALUE"""),"Pn")</f>
        <v>Pn</v>
      </c>
      <c r="B2883" s="42" t="str">
        <f>IFERROR(__xludf.DUMMYFUNCTION("""COMPUTED_VALUE"""),"DHBA")</f>
        <v>DHBA</v>
      </c>
      <c r="C2883" s="42" t="str">
        <f>IFERROR(__xludf.DUMMYFUNCTION("""COMPUTED_VALUE"""),"pons")</f>
        <v>pons</v>
      </c>
      <c r="D2883" s="42">
        <f>IFERROR(__xludf.DUMMYFUNCTION("""COMPUTED_VALUE"""),2743.0)</f>
        <v>2743</v>
      </c>
      <c r="E2883" s="39" t="str">
        <f>IFERROR(__xludf.DUMMYFUNCTION("""COMPUTED_VALUE"""),"pons")</f>
        <v>pons</v>
      </c>
      <c r="F2883" s="9" t="str">
        <f>IFERROR(__xludf.DUMMYFUNCTION("""COMPUTED_VALUE"""),"Br")</f>
        <v>Br</v>
      </c>
      <c r="G2883" s="9" t="str">
        <f>IFERROR(__xludf.DUMMYFUNCTION("""COMPUTED_VALUE"""),"H")</f>
        <v>H</v>
      </c>
      <c r="H2883" s="9" t="str">
        <f>IFERROR(__xludf.DUMMYFUNCTION("""COMPUTED_VALUE"""),"HGM")</f>
        <v>HGM</v>
      </c>
      <c r="I2883" s="9" t="str">
        <f>IFERROR(__xludf.DUMMYFUNCTION("""COMPUTED_VALUE"""),"Met")</f>
        <v>Met</v>
      </c>
      <c r="J2883" s="9" t="str">
        <f>IFERROR(__xludf.DUMMYFUNCTION("""COMPUTED_VALUE"""),"Pn")</f>
        <v>Pn</v>
      </c>
      <c r="K2883" s="9"/>
      <c r="L2883" s="9"/>
      <c r="M2883" s="9"/>
      <c r="N2883" s="9"/>
      <c r="O2883" s="9"/>
      <c r="P2883" s="9"/>
      <c r="Q2883" s="9"/>
      <c r="R2883" s="9"/>
      <c r="S2883" s="42" t="str">
        <f>IFERROR(__xludf.DUMMYFUNCTION("""COMPUTED_VALUE"""),"PN;
PnRF;
PPRF;
PPMRF;
RIP;
PnBa;
PnTg")</f>
        <v>PN;
PnRF;
PPRF;
PPMRF;
RIP;
PnBa;
PnTg</v>
      </c>
      <c r="T2883" s="42"/>
      <c r="U2883" s="42" t="b">
        <f>IFERROR(__xludf.DUMMYFUNCTION("""COMPUTED_VALUE"""),FALSE)</f>
        <v>0</v>
      </c>
      <c r="V2883" s="42"/>
      <c r="W2883" s="42"/>
      <c r="X2883" s="42"/>
      <c r="Y2883" s="42"/>
      <c r="Z2883" s="42"/>
      <c r="AA2883" s="42"/>
      <c r="AB2883" s="42" t="str">
        <f>IFERROR(__xludf.DUMMYFUNCTION("""COMPUTED_VALUE"""),"allen institute")</f>
        <v>allen institute</v>
      </c>
      <c r="AC2883" s="42" t="str">
        <f>IFERROR(__xludf.DUMMYFUNCTION("""COMPUTED_VALUE"""),"DHBA")</f>
        <v>DHBA</v>
      </c>
      <c r="AD2883" s="42"/>
      <c r="AE2883" s="42"/>
      <c r="AF2883" s="9"/>
      <c r="AG2883" s="9"/>
      <c r="AH2883" s="42"/>
      <c r="AI2883" s="42"/>
      <c r="AJ2883" s="42"/>
      <c r="AK2883" s="42"/>
      <c r="AL2883" s="42"/>
      <c r="AM2883" s="42"/>
      <c r="AN2883" s="42"/>
      <c r="AO2883" s="63" t="str">
        <f>IFERROR(__xludf.DUMMYFUNCTION("IF(ISBLANK(A2883),,IF(ISBLANK(S2883), A2883&amp;"";"", TEXTJOIN(CHAR(10), TRUE, A2883&amp;"";"", ARRAYFORMULA(VLOOKUP(SPLIT(S2883, "";"" &amp; CHAR(10)), $A:$AO, 41, FALSE)))))"),"#REF!")</f>
        <v>#REF!</v>
      </c>
      <c r="AP2883" s="89"/>
    </row>
    <row r="2884">
      <c r="A2884" s="151" t="str">
        <f>IFERROR(__xludf.DUMMYFUNCTION("""COMPUTED_VALUE"""),"PnBa")</f>
        <v>PnBa</v>
      </c>
      <c r="B2884" s="42" t="str">
        <f>IFERROR(__xludf.DUMMYFUNCTION("""COMPUTED_VALUE"""),"DHBA")</f>
        <v>DHBA</v>
      </c>
      <c r="C2884" s="42" t="str">
        <f>IFERROR(__xludf.DUMMYFUNCTION("""COMPUTED_VALUE"""),"basilar part of pons")</f>
        <v>basilar part of pons</v>
      </c>
      <c r="D2884" s="42">
        <f>IFERROR(__xludf.DUMMYFUNCTION("""COMPUTED_VALUE"""),2744.0)</f>
        <v>2744</v>
      </c>
      <c r="E2884" s="39" t="str">
        <f>IFERROR(__xludf.DUMMYFUNCTION("""COMPUTED_VALUE"""),"basilar part of pons")</f>
        <v>basilar part of pons</v>
      </c>
      <c r="F2884" s="9" t="str">
        <f>IFERROR(__xludf.DUMMYFUNCTION("""COMPUTED_VALUE"""),"Br")</f>
        <v>Br</v>
      </c>
      <c r="G2884" s="9" t="str">
        <f>IFERROR(__xludf.DUMMYFUNCTION("""COMPUTED_VALUE"""),"H")</f>
        <v>H</v>
      </c>
      <c r="H2884" s="9" t="str">
        <f>IFERROR(__xludf.DUMMYFUNCTION("""COMPUTED_VALUE"""),"HGM")</f>
        <v>HGM</v>
      </c>
      <c r="I2884" s="9" t="str">
        <f>IFERROR(__xludf.DUMMYFUNCTION("""COMPUTED_VALUE"""),"Met")</f>
        <v>Met</v>
      </c>
      <c r="J2884" s="9" t="str">
        <f>IFERROR(__xludf.DUMMYFUNCTION("""COMPUTED_VALUE"""),"Pn")</f>
        <v>Pn</v>
      </c>
      <c r="K2884" s="9" t="str">
        <f>IFERROR(__xludf.DUMMYFUNCTION("""COMPUTED_VALUE"""),"PnBa")</f>
        <v>PnBa</v>
      </c>
      <c r="L2884" s="9"/>
      <c r="M2884" s="9"/>
      <c r="N2884" s="9"/>
      <c r="O2884" s="9"/>
      <c r="P2884" s="9"/>
      <c r="Q2884" s="9"/>
      <c r="R2884" s="9"/>
      <c r="S2884" s="42" t="str">
        <f>IFERROR(__xludf.DUMMYFUNCTION("""COMPUTED_VALUE"""),"PN")</f>
        <v>PN</v>
      </c>
      <c r="T2884" s="42"/>
      <c r="U2884" s="42" t="b">
        <f>IFERROR(__xludf.DUMMYFUNCTION("""COMPUTED_VALUE"""),FALSE)</f>
        <v>0</v>
      </c>
      <c r="V2884" s="42"/>
      <c r="W2884" s="42"/>
      <c r="X2884" s="42"/>
      <c r="Y2884" s="42"/>
      <c r="Z2884" s="42"/>
      <c r="AA2884" s="42"/>
      <c r="AB2884" s="42" t="str">
        <f>IFERROR(__xludf.DUMMYFUNCTION("""COMPUTED_VALUE"""),"allen institute")</f>
        <v>allen institute</v>
      </c>
      <c r="AC2884" s="42" t="str">
        <f>IFERROR(__xludf.DUMMYFUNCTION("""COMPUTED_VALUE"""),"DHBA")</f>
        <v>DHBA</v>
      </c>
      <c r="AD2884" s="42"/>
      <c r="AE2884" s="42"/>
      <c r="AF2884" s="9"/>
      <c r="AG2884" s="9"/>
      <c r="AH2884" s="42"/>
      <c r="AI2884" s="42"/>
      <c r="AJ2884" s="42"/>
      <c r="AK2884" s="42"/>
      <c r="AL2884" s="42"/>
      <c r="AM2884" s="42"/>
      <c r="AN2884" s="42"/>
      <c r="AO2884" s="63" t="str">
        <f>IFERROR(__xludf.DUMMYFUNCTION("IF(ISBLANK(A2884),,IF(ISBLANK(S2884), A2884&amp;"";"", TEXTJOIN(CHAR(10), TRUE, A2884&amp;"";"", ARRAYFORMULA(VLOOKUP(SPLIT(S2884, "";"" &amp; CHAR(10)), $A:$AO, 41, FALSE)))))"),"#REF!")</f>
        <v>#REF!</v>
      </c>
      <c r="AP2884" s="89"/>
    </row>
    <row r="2885">
      <c r="A2885" s="151" t="str">
        <f>IFERROR(__xludf.DUMMYFUNCTION("""COMPUTED_VALUE"""),"PN")</f>
        <v>PN</v>
      </c>
      <c r="B2885" s="42" t="str">
        <f>IFERROR(__xludf.DUMMYFUNCTION("""COMPUTED_VALUE"""),"DHBA")</f>
        <v>DHBA</v>
      </c>
      <c r="C2885" s="42" t="str">
        <f>IFERROR(__xludf.DUMMYFUNCTION("""COMPUTED_VALUE"""),"pontine nucleus")</f>
        <v>pontine nucleus</v>
      </c>
      <c r="D2885" s="42">
        <f>IFERROR(__xludf.DUMMYFUNCTION("""COMPUTED_VALUE"""),2745.0)</f>
        <v>2745</v>
      </c>
      <c r="E2885" s="39" t="str">
        <f>IFERROR(__xludf.DUMMYFUNCTION("""COMPUTED_VALUE"""),"pontine nucleus")</f>
        <v>pontine nucleus</v>
      </c>
      <c r="F2885" s="9" t="str">
        <f>IFERROR(__xludf.DUMMYFUNCTION("""COMPUTED_VALUE"""),"Br")</f>
        <v>Br</v>
      </c>
      <c r="G2885" s="9" t="str">
        <f>IFERROR(__xludf.DUMMYFUNCTION("""COMPUTED_VALUE"""),"H")</f>
        <v>H</v>
      </c>
      <c r="H2885" s="9" t="str">
        <f>IFERROR(__xludf.DUMMYFUNCTION("""COMPUTED_VALUE"""),"HGM")</f>
        <v>HGM</v>
      </c>
      <c r="I2885" s="9" t="str">
        <f>IFERROR(__xludf.DUMMYFUNCTION("""COMPUTED_VALUE"""),"Met")</f>
        <v>Met</v>
      </c>
      <c r="J2885" s="9" t="str">
        <f>IFERROR(__xludf.DUMMYFUNCTION("""COMPUTED_VALUE"""),"Pn")</f>
        <v>Pn</v>
      </c>
      <c r="K2885" s="9" t="str">
        <f>IFERROR(__xludf.DUMMYFUNCTION("""COMPUTED_VALUE"""),"PnBa")</f>
        <v>PnBa</v>
      </c>
      <c r="L2885" s="9" t="str">
        <f>IFERROR(__xludf.DUMMYFUNCTION("""COMPUTED_VALUE"""),"PN")</f>
        <v>PN</v>
      </c>
      <c r="M2885" s="9"/>
      <c r="N2885" s="9"/>
      <c r="O2885" s="9"/>
      <c r="P2885" s="9"/>
      <c r="Q2885" s="9"/>
      <c r="R2885" s="9"/>
      <c r="S2885" s="42" t="str">
        <f>IFERROR(__xludf.DUMMYFUNCTION("""COMPUTED_VALUE"""),"PNd;
PNdl;
...;
PNdm;
PNl;
PNm;
PNpar;
PNped;
RTg")</f>
        <v>PNd;
PNdl;
...;
PNdm;
PNl;
PNm;
PNpar;
PNped;
RTg</v>
      </c>
      <c r="T2885" s="42"/>
      <c r="U2885" s="42" t="b">
        <f>IFERROR(__xludf.DUMMYFUNCTION("""COMPUTED_VALUE"""),FALSE)</f>
        <v>0</v>
      </c>
      <c r="V2885" s="42" t="str">
        <f>IFERROR(__xludf.DUMMYFUNCTION("""COMPUTED_VALUE"""),"Glutamate")</f>
        <v>Glutamate</v>
      </c>
      <c r="W2885" s="42" t="str">
        <f>IFERROR(__xludf.DUMMYFUNCTION("""COMPUTED_VALUE"""),"Excitatory")</f>
        <v>Excitatory</v>
      </c>
      <c r="X2885" s="42"/>
      <c r="Y2885" s="42" t="str">
        <f>IFERROR(__xludf.DUMMYFUNCTION("""COMPUTED_VALUE"""),"the full diversity of neocortical representations of behavior can be faithfully transmitted to cerebellar granule cell activity via the pontine nuclei.[Wanger, 2020 ]")</f>
        <v>the full diversity of neocortical representations of behavior can be faithfully transmitted to cerebellar granule cell activity via the pontine nuclei.[Wanger, 2020 ]</v>
      </c>
      <c r="Z2885" s="42"/>
      <c r="AA2885" s="42"/>
      <c r="AB2885" s="42" t="str">
        <f>IFERROR(__xludf.DUMMYFUNCTION("""COMPUTED_VALUE"""),"allen institute")</f>
        <v>allen institute</v>
      </c>
      <c r="AC2885" s="42" t="str">
        <f>IFERROR(__xludf.DUMMYFUNCTION("""COMPUTED_VALUE"""),"DHBA")</f>
        <v>DHBA</v>
      </c>
      <c r="AD2885" s="42"/>
      <c r="AE2885" s="42"/>
      <c r="AF2885" s="9"/>
      <c r="AG2885" s="9"/>
      <c r="AH2885" s="42"/>
      <c r="AI2885" s="42"/>
      <c r="AJ2885" s="42"/>
      <c r="AK2885" s="42"/>
      <c r="AL2885" s="42"/>
      <c r="AM2885" s="42"/>
      <c r="AN2885" s="42"/>
      <c r="AO2885" s="63" t="str">
        <f>IFERROR(__xludf.DUMMYFUNCTION("IF(ISBLANK(A2885),,IF(ISBLANK(S2885), A2885&amp;"";"", TEXTJOIN(CHAR(10), TRUE, A2885&amp;"";"", ARRAYFORMULA(VLOOKUP(SPLIT(S2885, "";"" &amp; CHAR(10)), $A:$AO, 41, FALSE)))))"),"#N/A")</f>
        <v>#N/A</v>
      </c>
      <c r="AP2885" s="89"/>
    </row>
    <row r="2886">
      <c r="A2886" s="151" t="str">
        <f>IFERROR(__xludf.DUMMYFUNCTION("""COMPUTED_VALUE"""),"PNd")</f>
        <v>PNd</v>
      </c>
      <c r="B2886" s="42" t="str">
        <f>IFERROR(__xludf.DUMMYFUNCTION("""COMPUTED_VALUE"""),"DHBA")</f>
        <v>DHBA</v>
      </c>
      <c r="C2886" s="42" t="str">
        <f>IFERROR(__xludf.DUMMYFUNCTION("""COMPUTED_VALUE"""),"dorsal nucleus")</f>
        <v>dorsal nucleus</v>
      </c>
      <c r="D2886" s="42">
        <f>IFERROR(__xludf.DUMMYFUNCTION("""COMPUTED_VALUE"""),2746.0)</f>
        <v>2746</v>
      </c>
      <c r="E2886" s="39" t="str">
        <f>IFERROR(__xludf.DUMMYFUNCTION("""COMPUTED_VALUE"""),"dorsal nucleus")</f>
        <v>dorsal nucleus</v>
      </c>
      <c r="F2886" s="9" t="str">
        <f>IFERROR(__xludf.DUMMYFUNCTION("""COMPUTED_VALUE"""),"Br")</f>
        <v>Br</v>
      </c>
      <c r="G2886" s="9" t="str">
        <f>IFERROR(__xludf.DUMMYFUNCTION("""COMPUTED_VALUE"""),"H")</f>
        <v>H</v>
      </c>
      <c r="H2886" s="9" t="str">
        <f>IFERROR(__xludf.DUMMYFUNCTION("""COMPUTED_VALUE"""),"HGM")</f>
        <v>HGM</v>
      </c>
      <c r="I2886" s="9" t="str">
        <f>IFERROR(__xludf.DUMMYFUNCTION("""COMPUTED_VALUE"""),"Met")</f>
        <v>Met</v>
      </c>
      <c r="J2886" s="9" t="str">
        <f>IFERROR(__xludf.DUMMYFUNCTION("""COMPUTED_VALUE"""),"Pn")</f>
        <v>Pn</v>
      </c>
      <c r="K2886" s="9" t="str">
        <f>IFERROR(__xludf.DUMMYFUNCTION("""COMPUTED_VALUE"""),"PnBa")</f>
        <v>PnBa</v>
      </c>
      <c r="L2886" s="9" t="str">
        <f>IFERROR(__xludf.DUMMYFUNCTION("""COMPUTED_VALUE"""),"PN")</f>
        <v>PN</v>
      </c>
      <c r="M2886" s="9" t="str">
        <f>IFERROR(__xludf.DUMMYFUNCTION("""COMPUTED_VALUE"""),"PNd")</f>
        <v>PNd</v>
      </c>
      <c r="N2886" s="9"/>
      <c r="O2886" s="9"/>
      <c r="P2886" s="9"/>
      <c r="Q2886" s="9"/>
      <c r="R2886" s="9"/>
      <c r="S2886" s="42"/>
      <c r="T2886" s="42"/>
      <c r="U2886" s="42"/>
      <c r="V2886" s="42"/>
      <c r="W2886" s="42"/>
      <c r="X2886" s="42"/>
      <c r="Y2886" s="42"/>
      <c r="Z2886" s="42"/>
      <c r="AA2886" s="42"/>
      <c r="AB2886" s="42" t="str">
        <f>IFERROR(__xludf.DUMMYFUNCTION("""COMPUTED_VALUE"""),"allen institute")</f>
        <v>allen institute</v>
      </c>
      <c r="AC2886" s="42" t="str">
        <f>IFERROR(__xludf.DUMMYFUNCTION("""COMPUTED_VALUE"""),"DHBA")</f>
        <v>DHBA</v>
      </c>
      <c r="AD2886" s="42"/>
      <c r="AE2886" s="42"/>
      <c r="AF2886" s="9"/>
      <c r="AG2886" s="9"/>
      <c r="AH2886" s="42"/>
      <c r="AI2886" s="42"/>
      <c r="AJ2886" s="42"/>
      <c r="AK2886" s="42"/>
      <c r="AL2886" s="42"/>
      <c r="AM2886" s="42"/>
      <c r="AN2886" s="42"/>
      <c r="AO2886" s="63" t="str">
        <f>IFERROR(__xludf.DUMMYFUNCTION("IF(ISBLANK(A2886),,IF(ISBLANK(S2886), A2886&amp;"";"", TEXTJOIN(CHAR(10), TRUE, A2886&amp;"";"", ARRAYFORMULA(VLOOKUP(SPLIT(S2886, "";"" &amp; CHAR(10)), $A:$AO, 41, FALSE)))))"),"PNd;")</f>
        <v>PNd;</v>
      </c>
      <c r="AP2886" s="89"/>
    </row>
    <row r="2887">
      <c r="A2887" s="151" t="str">
        <f>IFERROR(__xludf.DUMMYFUNCTION("""COMPUTED_VALUE"""),"PNdl")</f>
        <v>PNdl</v>
      </c>
      <c r="B2887" s="42" t="str">
        <f>IFERROR(__xludf.DUMMYFUNCTION("""COMPUTED_VALUE"""),"DHBA")</f>
        <v>DHBA</v>
      </c>
      <c r="C2887" s="42" t="str">
        <f>IFERROR(__xludf.DUMMYFUNCTION("""COMPUTED_VALUE"""),"dorsolateral nucleus")</f>
        <v>dorsolateral nucleus</v>
      </c>
      <c r="D2887" s="42">
        <f>IFERROR(__xludf.DUMMYFUNCTION("""COMPUTED_VALUE"""),2747.0)</f>
        <v>2747</v>
      </c>
      <c r="E2887" s="39" t="str">
        <f>IFERROR(__xludf.DUMMYFUNCTION("""COMPUTED_VALUE"""),"dorsolateral nucleus")</f>
        <v>dorsolateral nucleus</v>
      </c>
      <c r="F2887" s="9" t="str">
        <f>IFERROR(__xludf.DUMMYFUNCTION("""COMPUTED_VALUE"""),"Br")</f>
        <v>Br</v>
      </c>
      <c r="G2887" s="9" t="str">
        <f>IFERROR(__xludf.DUMMYFUNCTION("""COMPUTED_VALUE"""),"H")</f>
        <v>H</v>
      </c>
      <c r="H2887" s="9" t="str">
        <f>IFERROR(__xludf.DUMMYFUNCTION("""COMPUTED_VALUE"""),"HGM")</f>
        <v>HGM</v>
      </c>
      <c r="I2887" s="9" t="str">
        <f>IFERROR(__xludf.DUMMYFUNCTION("""COMPUTED_VALUE"""),"Met")</f>
        <v>Met</v>
      </c>
      <c r="J2887" s="9" t="str">
        <f>IFERROR(__xludf.DUMMYFUNCTION("""COMPUTED_VALUE"""),"Pn")</f>
        <v>Pn</v>
      </c>
      <c r="K2887" s="9" t="str">
        <f>IFERROR(__xludf.DUMMYFUNCTION("""COMPUTED_VALUE"""),"PnBa")</f>
        <v>PnBa</v>
      </c>
      <c r="L2887" s="9" t="str">
        <f>IFERROR(__xludf.DUMMYFUNCTION("""COMPUTED_VALUE"""),"PN")</f>
        <v>PN</v>
      </c>
      <c r="M2887" s="9" t="str">
        <f>IFERROR(__xludf.DUMMYFUNCTION("""COMPUTED_VALUE"""),"PNdl")</f>
        <v>PNdl</v>
      </c>
      <c r="N2887" s="9"/>
      <c r="O2887" s="9"/>
      <c r="P2887" s="9"/>
      <c r="Q2887" s="9"/>
      <c r="R2887" s="9"/>
      <c r="S2887" s="42"/>
      <c r="T2887" s="42"/>
      <c r="U2887" s="42"/>
      <c r="V2887" s="42"/>
      <c r="W2887" s="42"/>
      <c r="X2887" s="42"/>
      <c r="Y2887" s="42"/>
      <c r="Z2887" s="42"/>
      <c r="AA2887" s="42"/>
      <c r="AB2887" s="42" t="str">
        <f>IFERROR(__xludf.DUMMYFUNCTION("""COMPUTED_VALUE"""),"allen institute")</f>
        <v>allen institute</v>
      </c>
      <c r="AC2887" s="42" t="str">
        <f>IFERROR(__xludf.DUMMYFUNCTION("""COMPUTED_VALUE"""),"DHBA")</f>
        <v>DHBA</v>
      </c>
      <c r="AD2887" s="42"/>
      <c r="AE2887" s="42"/>
      <c r="AF2887" s="9"/>
      <c r="AG2887" s="9"/>
      <c r="AH2887" s="42"/>
      <c r="AI2887" s="42"/>
      <c r="AJ2887" s="42"/>
      <c r="AK2887" s="42"/>
      <c r="AL2887" s="42"/>
      <c r="AM2887" s="42"/>
      <c r="AN2887" s="42"/>
      <c r="AO2887" s="63" t="str">
        <f>IFERROR(__xludf.DUMMYFUNCTION("IF(ISBLANK(A2887),,IF(ISBLANK(S2887), A2887&amp;"";"", TEXTJOIN(CHAR(10), TRUE, A2887&amp;"";"", ARRAYFORMULA(VLOOKUP(SPLIT(S2887, "";"" &amp; CHAR(10)), $A:$AO, 41, FALSE)))))"),"PNdl;")</f>
        <v>PNdl;</v>
      </c>
      <c r="AP2887" s="89"/>
    </row>
    <row r="2888">
      <c r="A2888" s="151" t="str">
        <f>IFERROR(__xludf.DUMMYFUNCTION("""COMPUTED_VALUE"""),"PNdm")</f>
        <v>PNdm</v>
      </c>
      <c r="B2888" s="42" t="str">
        <f>IFERROR(__xludf.DUMMYFUNCTION("""COMPUTED_VALUE"""),"DHBA")</f>
        <v>DHBA</v>
      </c>
      <c r="C2888" s="42" t="str">
        <f>IFERROR(__xludf.DUMMYFUNCTION("""COMPUTED_VALUE"""),"dorsomedial nucleus")</f>
        <v>dorsomedial nucleus</v>
      </c>
      <c r="D2888" s="42">
        <f>IFERROR(__xludf.DUMMYFUNCTION("""COMPUTED_VALUE"""),2748.0)</f>
        <v>2748</v>
      </c>
      <c r="E2888" s="39" t="str">
        <f>IFERROR(__xludf.DUMMYFUNCTION("""COMPUTED_VALUE"""),"dorsomedial nucleus")</f>
        <v>dorsomedial nucleus</v>
      </c>
      <c r="F2888" s="9" t="str">
        <f>IFERROR(__xludf.DUMMYFUNCTION("""COMPUTED_VALUE"""),"Br")</f>
        <v>Br</v>
      </c>
      <c r="G2888" s="9" t="str">
        <f>IFERROR(__xludf.DUMMYFUNCTION("""COMPUTED_VALUE"""),"H")</f>
        <v>H</v>
      </c>
      <c r="H2888" s="9" t="str">
        <f>IFERROR(__xludf.DUMMYFUNCTION("""COMPUTED_VALUE"""),"HGM")</f>
        <v>HGM</v>
      </c>
      <c r="I2888" s="9" t="str">
        <f>IFERROR(__xludf.DUMMYFUNCTION("""COMPUTED_VALUE"""),"Met")</f>
        <v>Met</v>
      </c>
      <c r="J2888" s="9" t="str">
        <f>IFERROR(__xludf.DUMMYFUNCTION("""COMPUTED_VALUE"""),"Pn")</f>
        <v>Pn</v>
      </c>
      <c r="K2888" s="9" t="str">
        <f>IFERROR(__xludf.DUMMYFUNCTION("""COMPUTED_VALUE"""),"PnBa")</f>
        <v>PnBa</v>
      </c>
      <c r="L2888" s="9" t="str">
        <f>IFERROR(__xludf.DUMMYFUNCTION("""COMPUTED_VALUE"""),"PN")</f>
        <v>PN</v>
      </c>
      <c r="M2888" s="9" t="str">
        <f>IFERROR(__xludf.DUMMYFUNCTION("""COMPUTED_VALUE"""),"PNdm")</f>
        <v>PNdm</v>
      </c>
      <c r="N2888" s="9"/>
      <c r="O2888" s="9"/>
      <c r="P2888" s="9"/>
      <c r="Q2888" s="9"/>
      <c r="R2888" s="9"/>
      <c r="S2888" s="42"/>
      <c r="T2888" s="42"/>
      <c r="U2888" s="42"/>
      <c r="V2888" s="42"/>
      <c r="W2888" s="42"/>
      <c r="X2888" s="42"/>
      <c r="Y2888" s="42"/>
      <c r="Z2888" s="42"/>
      <c r="AA2888" s="42"/>
      <c r="AB2888" s="42" t="str">
        <f>IFERROR(__xludf.DUMMYFUNCTION("""COMPUTED_VALUE"""),"allen institute")</f>
        <v>allen institute</v>
      </c>
      <c r="AC2888" s="42" t="str">
        <f>IFERROR(__xludf.DUMMYFUNCTION("""COMPUTED_VALUE"""),"DHBA")</f>
        <v>DHBA</v>
      </c>
      <c r="AD2888" s="42"/>
      <c r="AE2888" s="42"/>
      <c r="AF2888" s="9"/>
      <c r="AG2888" s="9"/>
      <c r="AH2888" s="42"/>
      <c r="AI2888" s="42"/>
      <c r="AJ2888" s="42"/>
      <c r="AK2888" s="42"/>
      <c r="AL2888" s="42"/>
      <c r="AM2888" s="42"/>
      <c r="AN2888" s="42"/>
      <c r="AO2888" s="63" t="str">
        <f>IFERROR(__xludf.DUMMYFUNCTION("IF(ISBLANK(A2888),,IF(ISBLANK(S2888), A2888&amp;"";"", TEXTJOIN(CHAR(10), TRUE, A2888&amp;"";"", ARRAYFORMULA(VLOOKUP(SPLIT(S2888, "";"" &amp; CHAR(10)), $A:$AO, 41, FALSE)))))"),"PNdm;")</f>
        <v>PNdm;</v>
      </c>
      <c r="AP2888" s="89"/>
    </row>
    <row r="2889">
      <c r="A2889" s="151" t="str">
        <f>IFERROR(__xludf.DUMMYFUNCTION("""COMPUTED_VALUE"""),"PNl")</f>
        <v>PNl</v>
      </c>
      <c r="B2889" s="42" t="str">
        <f>IFERROR(__xludf.DUMMYFUNCTION("""COMPUTED_VALUE"""),"DHBA")</f>
        <v>DHBA</v>
      </c>
      <c r="C2889" s="42" t="str">
        <f>IFERROR(__xludf.DUMMYFUNCTION("""COMPUTED_VALUE"""),"lateral nucleus")</f>
        <v>lateral nucleus</v>
      </c>
      <c r="D2889" s="42">
        <f>IFERROR(__xludf.DUMMYFUNCTION("""COMPUTED_VALUE"""),2749.0)</f>
        <v>2749</v>
      </c>
      <c r="E2889" s="39" t="str">
        <f>IFERROR(__xludf.DUMMYFUNCTION("""COMPUTED_VALUE"""),"lateral nucleus")</f>
        <v>lateral nucleus</v>
      </c>
      <c r="F2889" s="9" t="str">
        <f>IFERROR(__xludf.DUMMYFUNCTION("""COMPUTED_VALUE"""),"Br")</f>
        <v>Br</v>
      </c>
      <c r="G2889" s="9" t="str">
        <f>IFERROR(__xludf.DUMMYFUNCTION("""COMPUTED_VALUE"""),"H")</f>
        <v>H</v>
      </c>
      <c r="H2889" s="9" t="str">
        <f>IFERROR(__xludf.DUMMYFUNCTION("""COMPUTED_VALUE"""),"HGM")</f>
        <v>HGM</v>
      </c>
      <c r="I2889" s="9" t="str">
        <f>IFERROR(__xludf.DUMMYFUNCTION("""COMPUTED_VALUE"""),"Met")</f>
        <v>Met</v>
      </c>
      <c r="J2889" s="9" t="str">
        <f>IFERROR(__xludf.DUMMYFUNCTION("""COMPUTED_VALUE"""),"Pn")</f>
        <v>Pn</v>
      </c>
      <c r="K2889" s="9" t="str">
        <f>IFERROR(__xludf.DUMMYFUNCTION("""COMPUTED_VALUE"""),"PnBa")</f>
        <v>PnBa</v>
      </c>
      <c r="L2889" s="9" t="str">
        <f>IFERROR(__xludf.DUMMYFUNCTION("""COMPUTED_VALUE"""),"PN")</f>
        <v>PN</v>
      </c>
      <c r="M2889" s="9" t="str">
        <f>IFERROR(__xludf.DUMMYFUNCTION("""COMPUTED_VALUE"""),"PNl")</f>
        <v>PNl</v>
      </c>
      <c r="N2889" s="9"/>
      <c r="O2889" s="9"/>
      <c r="P2889" s="9"/>
      <c r="Q2889" s="9"/>
      <c r="R2889" s="9"/>
      <c r="S2889" s="42"/>
      <c r="T2889" s="42"/>
      <c r="U2889" s="42"/>
      <c r="V2889" s="42"/>
      <c r="W2889" s="42"/>
      <c r="X2889" s="42"/>
      <c r="Y2889" s="42"/>
      <c r="Z2889" s="42"/>
      <c r="AA2889" s="42"/>
      <c r="AB2889" s="42" t="str">
        <f>IFERROR(__xludf.DUMMYFUNCTION("""COMPUTED_VALUE"""),"allen institute")</f>
        <v>allen institute</v>
      </c>
      <c r="AC2889" s="42" t="str">
        <f>IFERROR(__xludf.DUMMYFUNCTION("""COMPUTED_VALUE"""),"DHBA")</f>
        <v>DHBA</v>
      </c>
      <c r="AD2889" s="42"/>
      <c r="AE2889" s="42"/>
      <c r="AF2889" s="9"/>
      <c r="AG2889" s="9"/>
      <c r="AH2889" s="42"/>
      <c r="AI2889" s="42"/>
      <c r="AJ2889" s="42"/>
      <c r="AK2889" s="42"/>
      <c r="AL2889" s="42"/>
      <c r="AM2889" s="42"/>
      <c r="AN2889" s="42"/>
      <c r="AO2889" s="63" t="str">
        <f>IFERROR(__xludf.DUMMYFUNCTION("IF(ISBLANK(A2889),,IF(ISBLANK(S2889), A2889&amp;"";"", TEXTJOIN(CHAR(10), TRUE, A2889&amp;"";"", ARRAYFORMULA(VLOOKUP(SPLIT(S2889, "";"" &amp; CHAR(10)), $A:$AO, 41, FALSE)))))"),"PNl;")</f>
        <v>PNl;</v>
      </c>
      <c r="AP2889" s="89"/>
    </row>
    <row r="2890">
      <c r="A2890" s="151" t="str">
        <f>IFERROR(__xludf.DUMMYFUNCTION("""COMPUTED_VALUE"""),"PNm")</f>
        <v>PNm</v>
      </c>
      <c r="B2890" s="42" t="str">
        <f>IFERROR(__xludf.DUMMYFUNCTION("""COMPUTED_VALUE"""),"DHBA")</f>
        <v>DHBA</v>
      </c>
      <c r="C2890" s="42" t="str">
        <f>IFERROR(__xludf.DUMMYFUNCTION("""COMPUTED_VALUE"""),"median nucleus")</f>
        <v>median nucleus</v>
      </c>
      <c r="D2890" s="42">
        <f>IFERROR(__xludf.DUMMYFUNCTION("""COMPUTED_VALUE"""),2750.0)</f>
        <v>2750</v>
      </c>
      <c r="E2890" s="39" t="str">
        <f>IFERROR(__xludf.DUMMYFUNCTION("""COMPUTED_VALUE"""),"median nucleus")</f>
        <v>median nucleus</v>
      </c>
      <c r="F2890" s="9" t="str">
        <f>IFERROR(__xludf.DUMMYFUNCTION("""COMPUTED_VALUE"""),"Br")</f>
        <v>Br</v>
      </c>
      <c r="G2890" s="9" t="str">
        <f>IFERROR(__xludf.DUMMYFUNCTION("""COMPUTED_VALUE"""),"H")</f>
        <v>H</v>
      </c>
      <c r="H2890" s="9" t="str">
        <f>IFERROR(__xludf.DUMMYFUNCTION("""COMPUTED_VALUE"""),"HGM")</f>
        <v>HGM</v>
      </c>
      <c r="I2890" s="9" t="str">
        <f>IFERROR(__xludf.DUMMYFUNCTION("""COMPUTED_VALUE"""),"Met")</f>
        <v>Met</v>
      </c>
      <c r="J2890" s="9" t="str">
        <f>IFERROR(__xludf.DUMMYFUNCTION("""COMPUTED_VALUE"""),"Pn")</f>
        <v>Pn</v>
      </c>
      <c r="K2890" s="9" t="str">
        <f>IFERROR(__xludf.DUMMYFUNCTION("""COMPUTED_VALUE"""),"PnBa")</f>
        <v>PnBa</v>
      </c>
      <c r="L2890" s="9" t="str">
        <f>IFERROR(__xludf.DUMMYFUNCTION("""COMPUTED_VALUE"""),"PN")</f>
        <v>PN</v>
      </c>
      <c r="M2890" s="9" t="str">
        <f>IFERROR(__xludf.DUMMYFUNCTION("""COMPUTED_VALUE"""),"PNm")</f>
        <v>PNm</v>
      </c>
      <c r="N2890" s="9"/>
      <c r="O2890" s="9"/>
      <c r="P2890" s="9"/>
      <c r="Q2890" s="9"/>
      <c r="R2890" s="9"/>
      <c r="S2890" s="42"/>
      <c r="T2890" s="42"/>
      <c r="U2890" s="42"/>
      <c r="V2890" s="42"/>
      <c r="W2890" s="42"/>
      <c r="X2890" s="42"/>
      <c r="Y2890" s="42"/>
      <c r="Z2890" s="42"/>
      <c r="AA2890" s="42"/>
      <c r="AB2890" s="42" t="str">
        <f>IFERROR(__xludf.DUMMYFUNCTION("""COMPUTED_VALUE"""),"allen institute")</f>
        <v>allen institute</v>
      </c>
      <c r="AC2890" s="42" t="str">
        <f>IFERROR(__xludf.DUMMYFUNCTION("""COMPUTED_VALUE"""),"DHBA")</f>
        <v>DHBA</v>
      </c>
      <c r="AD2890" s="42"/>
      <c r="AE2890" s="42"/>
      <c r="AF2890" s="9"/>
      <c r="AG2890" s="9"/>
      <c r="AH2890" s="42"/>
      <c r="AI2890" s="42"/>
      <c r="AJ2890" s="42"/>
      <c r="AK2890" s="42"/>
      <c r="AL2890" s="42"/>
      <c r="AM2890" s="42"/>
      <c r="AN2890" s="42"/>
      <c r="AO2890" s="63" t="str">
        <f>IFERROR(__xludf.DUMMYFUNCTION("IF(ISBLANK(A2890),,IF(ISBLANK(S2890), A2890&amp;"";"", TEXTJOIN(CHAR(10), TRUE, A2890&amp;"";"", ARRAYFORMULA(VLOOKUP(SPLIT(S2890, "";"" &amp; CHAR(10)), $A:$AO, 41, FALSE)))))"),"PNm;")</f>
        <v>PNm;</v>
      </c>
      <c r="AP2890" s="89"/>
    </row>
    <row r="2891">
      <c r="A2891" s="151" t="str">
        <f>IFERROR(__xludf.DUMMYFUNCTION("""COMPUTED_VALUE"""),"PNpar")</f>
        <v>PNpar</v>
      </c>
      <c r="B2891" s="42" t="str">
        <f>IFERROR(__xludf.DUMMYFUNCTION("""COMPUTED_VALUE"""),"DHBA")</f>
        <v>DHBA</v>
      </c>
      <c r="C2891" s="42" t="str">
        <f>IFERROR(__xludf.DUMMYFUNCTION("""COMPUTED_VALUE"""),"paramedian nucleus")</f>
        <v>paramedian nucleus</v>
      </c>
      <c r="D2891" s="42">
        <f>IFERROR(__xludf.DUMMYFUNCTION("""COMPUTED_VALUE"""),2751.0)</f>
        <v>2751</v>
      </c>
      <c r="E2891" s="39" t="str">
        <f>IFERROR(__xludf.DUMMYFUNCTION("""COMPUTED_VALUE"""),"paramedian nucleus")</f>
        <v>paramedian nucleus</v>
      </c>
      <c r="F2891" s="9" t="str">
        <f>IFERROR(__xludf.DUMMYFUNCTION("""COMPUTED_VALUE"""),"Br")</f>
        <v>Br</v>
      </c>
      <c r="G2891" s="9" t="str">
        <f>IFERROR(__xludf.DUMMYFUNCTION("""COMPUTED_VALUE"""),"H")</f>
        <v>H</v>
      </c>
      <c r="H2891" s="9" t="str">
        <f>IFERROR(__xludf.DUMMYFUNCTION("""COMPUTED_VALUE"""),"HGM")</f>
        <v>HGM</v>
      </c>
      <c r="I2891" s="9" t="str">
        <f>IFERROR(__xludf.DUMMYFUNCTION("""COMPUTED_VALUE"""),"Met")</f>
        <v>Met</v>
      </c>
      <c r="J2891" s="9" t="str">
        <f>IFERROR(__xludf.DUMMYFUNCTION("""COMPUTED_VALUE"""),"Pn")</f>
        <v>Pn</v>
      </c>
      <c r="K2891" s="9" t="str">
        <f>IFERROR(__xludf.DUMMYFUNCTION("""COMPUTED_VALUE"""),"PnBa")</f>
        <v>PnBa</v>
      </c>
      <c r="L2891" s="9" t="str">
        <f>IFERROR(__xludf.DUMMYFUNCTION("""COMPUTED_VALUE"""),"PN")</f>
        <v>PN</v>
      </c>
      <c r="M2891" s="9" t="str">
        <f>IFERROR(__xludf.DUMMYFUNCTION("""COMPUTED_VALUE"""),"PNpar")</f>
        <v>PNpar</v>
      </c>
      <c r="N2891" s="9"/>
      <c r="O2891" s="9"/>
      <c r="P2891" s="9"/>
      <c r="Q2891" s="9"/>
      <c r="R2891" s="9"/>
      <c r="S2891" s="42"/>
      <c r="T2891" s="42"/>
      <c r="U2891" s="42"/>
      <c r="V2891" s="42"/>
      <c r="W2891" s="42"/>
      <c r="X2891" s="42"/>
      <c r="Y2891" s="42"/>
      <c r="Z2891" s="42"/>
      <c r="AA2891" s="42"/>
      <c r="AB2891" s="42" t="str">
        <f>IFERROR(__xludf.DUMMYFUNCTION("""COMPUTED_VALUE"""),"allen institute")</f>
        <v>allen institute</v>
      </c>
      <c r="AC2891" s="42" t="str">
        <f>IFERROR(__xludf.DUMMYFUNCTION("""COMPUTED_VALUE"""),"DHBA")</f>
        <v>DHBA</v>
      </c>
      <c r="AD2891" s="42"/>
      <c r="AE2891" s="42"/>
      <c r="AF2891" s="9"/>
      <c r="AG2891" s="9"/>
      <c r="AH2891" s="42"/>
      <c r="AI2891" s="42"/>
      <c r="AJ2891" s="42"/>
      <c r="AK2891" s="42"/>
      <c r="AL2891" s="42"/>
      <c r="AM2891" s="42"/>
      <c r="AN2891" s="42"/>
      <c r="AO2891" s="63" t="str">
        <f>IFERROR(__xludf.DUMMYFUNCTION("IF(ISBLANK(A2891),,IF(ISBLANK(S2891), A2891&amp;"";"", TEXTJOIN(CHAR(10), TRUE, A2891&amp;"";"", ARRAYFORMULA(VLOOKUP(SPLIT(S2891, "";"" &amp; CHAR(10)), $A:$AO, 41, FALSE)))))"),"PNpar;")</f>
        <v>PNpar;</v>
      </c>
      <c r="AP2891" s="89"/>
    </row>
    <row r="2892">
      <c r="A2892" s="151" t="str">
        <f>IFERROR(__xludf.DUMMYFUNCTION("""COMPUTED_VALUE"""),"PNped")</f>
        <v>PNped</v>
      </c>
      <c r="B2892" s="42" t="str">
        <f>IFERROR(__xludf.DUMMYFUNCTION("""COMPUTED_VALUE"""),"DHBA")</f>
        <v>DHBA</v>
      </c>
      <c r="C2892" s="42" t="str">
        <f>IFERROR(__xludf.DUMMYFUNCTION("""COMPUTED_VALUE"""),"peduncular nucleus")</f>
        <v>peduncular nucleus</v>
      </c>
      <c r="D2892" s="42">
        <f>IFERROR(__xludf.DUMMYFUNCTION("""COMPUTED_VALUE"""),2752.0)</f>
        <v>2752</v>
      </c>
      <c r="E2892" s="39" t="str">
        <f>IFERROR(__xludf.DUMMYFUNCTION("""COMPUTED_VALUE"""),"peduncular nucleus")</f>
        <v>peduncular nucleus</v>
      </c>
      <c r="F2892" s="9" t="str">
        <f>IFERROR(__xludf.DUMMYFUNCTION("""COMPUTED_VALUE"""),"Br")</f>
        <v>Br</v>
      </c>
      <c r="G2892" s="9" t="str">
        <f>IFERROR(__xludf.DUMMYFUNCTION("""COMPUTED_VALUE"""),"H")</f>
        <v>H</v>
      </c>
      <c r="H2892" s="9" t="str">
        <f>IFERROR(__xludf.DUMMYFUNCTION("""COMPUTED_VALUE"""),"HGM")</f>
        <v>HGM</v>
      </c>
      <c r="I2892" s="9" t="str">
        <f>IFERROR(__xludf.DUMMYFUNCTION("""COMPUTED_VALUE"""),"Met")</f>
        <v>Met</v>
      </c>
      <c r="J2892" s="9" t="str">
        <f>IFERROR(__xludf.DUMMYFUNCTION("""COMPUTED_VALUE"""),"Pn")</f>
        <v>Pn</v>
      </c>
      <c r="K2892" s="9" t="str">
        <f>IFERROR(__xludf.DUMMYFUNCTION("""COMPUTED_VALUE"""),"PnBa")</f>
        <v>PnBa</v>
      </c>
      <c r="L2892" s="9" t="str">
        <f>IFERROR(__xludf.DUMMYFUNCTION("""COMPUTED_VALUE"""),"PN")</f>
        <v>PN</v>
      </c>
      <c r="M2892" s="9" t="str">
        <f>IFERROR(__xludf.DUMMYFUNCTION("""COMPUTED_VALUE"""),"PNped")</f>
        <v>PNped</v>
      </c>
      <c r="N2892" s="9"/>
      <c r="O2892" s="9"/>
      <c r="P2892" s="9"/>
      <c r="Q2892" s="9"/>
      <c r="R2892" s="9"/>
      <c r="S2892" s="42"/>
      <c r="T2892" s="42"/>
      <c r="U2892" s="159"/>
      <c r="V2892" s="42"/>
      <c r="W2892" s="42"/>
      <c r="X2892" s="42"/>
      <c r="Y2892" s="42"/>
      <c r="Z2892" s="42"/>
      <c r="AA2892" s="42"/>
      <c r="AB2892" s="42" t="str">
        <f>IFERROR(__xludf.DUMMYFUNCTION("""COMPUTED_VALUE"""),"allen institute")</f>
        <v>allen institute</v>
      </c>
      <c r="AC2892" s="42" t="str">
        <f>IFERROR(__xludf.DUMMYFUNCTION("""COMPUTED_VALUE"""),"DHBA")</f>
        <v>DHBA</v>
      </c>
      <c r="AD2892" s="42"/>
      <c r="AE2892" s="42"/>
      <c r="AF2892" s="9"/>
      <c r="AG2892" s="9"/>
      <c r="AH2892" s="42"/>
      <c r="AI2892" s="42"/>
      <c r="AJ2892" s="42"/>
      <c r="AK2892" s="42"/>
      <c r="AL2892" s="42"/>
      <c r="AM2892" s="42"/>
      <c r="AN2892" s="42"/>
      <c r="AO2892" s="63" t="str">
        <f>IFERROR(__xludf.DUMMYFUNCTION("IF(ISBLANK(A2892),,IF(ISBLANK(S2892), A2892&amp;"";"", TEXTJOIN(CHAR(10), TRUE, A2892&amp;"";"", ARRAYFORMULA(VLOOKUP(SPLIT(S2892, "";"" &amp; CHAR(10)), $A:$AO, 41, FALSE)))))"),"PNped;")</f>
        <v>PNped;</v>
      </c>
      <c r="AP2892" s="89"/>
    </row>
    <row r="2893">
      <c r="A2893" s="151" t="str">
        <f>IFERROR(__xludf.DUMMYFUNCTION("""COMPUTED_VALUE"""),"RTg")</f>
        <v>RTg</v>
      </c>
      <c r="B2893" s="42" t="str">
        <f>IFERROR(__xludf.DUMMYFUNCTION("""COMPUTED_VALUE"""),"DHBA")</f>
        <v>DHBA</v>
      </c>
      <c r="C2893" s="42" t="str">
        <f>IFERROR(__xludf.DUMMYFUNCTION("""COMPUTED_VALUE"""),"nucleus reticularis tegmenti pontis (NRTP)")</f>
        <v>nucleus reticularis tegmenti pontis (NRTP)</v>
      </c>
      <c r="D2893" s="42">
        <f>IFERROR(__xludf.DUMMYFUNCTION("""COMPUTED_VALUE"""),2753.0)</f>
        <v>2753</v>
      </c>
      <c r="E2893" s="39" t="str">
        <f>IFERROR(__xludf.DUMMYFUNCTION("""COMPUTED_VALUE"""),"reticulotegmental nucleus")</f>
        <v>reticulotegmental nucleus</v>
      </c>
      <c r="F2893" s="9" t="str">
        <f>IFERROR(__xludf.DUMMYFUNCTION("""COMPUTED_VALUE"""),"Br")</f>
        <v>Br</v>
      </c>
      <c r="G2893" s="9" t="str">
        <f>IFERROR(__xludf.DUMMYFUNCTION("""COMPUTED_VALUE"""),"H")</f>
        <v>H</v>
      </c>
      <c r="H2893" s="9" t="str">
        <f>IFERROR(__xludf.DUMMYFUNCTION("""COMPUTED_VALUE"""),"HGM")</f>
        <v>HGM</v>
      </c>
      <c r="I2893" s="9" t="str">
        <f>IFERROR(__xludf.DUMMYFUNCTION("""COMPUTED_VALUE"""),"Met")</f>
        <v>Met</v>
      </c>
      <c r="J2893" s="9" t="str">
        <f>IFERROR(__xludf.DUMMYFUNCTION("""COMPUTED_VALUE"""),"Pn")</f>
        <v>Pn</v>
      </c>
      <c r="K2893" s="9" t="str">
        <f>IFERROR(__xludf.DUMMYFUNCTION("""COMPUTED_VALUE"""),"PnBa")</f>
        <v>PnBa</v>
      </c>
      <c r="L2893" s="9" t="str">
        <f>IFERROR(__xludf.DUMMYFUNCTION("""COMPUTED_VALUE"""),"PN")</f>
        <v>PN</v>
      </c>
      <c r="M2893" s="9" t="str">
        <f>IFERROR(__xludf.DUMMYFUNCTION("""COMPUTED_VALUE"""),"RTg")</f>
        <v>RTg</v>
      </c>
      <c r="N2893" s="9"/>
      <c r="O2893" s="9"/>
      <c r="P2893" s="9"/>
      <c r="Q2893" s="9"/>
      <c r="R2893" s="9"/>
      <c r="S2893" s="42"/>
      <c r="T2893" s="42"/>
      <c r="U2893" s="159" t="b">
        <f>IFERROR(__xludf.DUMMYFUNCTION("""COMPUTED_VALUE"""),TRUE)</f>
        <v>1</v>
      </c>
      <c r="V2893" s="42"/>
      <c r="W2893" s="42" t="str">
        <f>IFERROR(__xludf.DUMMYFUNCTION("""COMPUTED_VALUE"""),"Excitatory")</f>
        <v>Excitatory</v>
      </c>
      <c r="X2893" s="42"/>
      <c r="Y2893" s="42"/>
      <c r="Z2893" s="42"/>
      <c r="AA2893" s="42"/>
      <c r="AB2893" s="42" t="str">
        <f>IFERROR(__xludf.DUMMYFUNCTION("""COMPUTED_VALUE"""),"allen institute")</f>
        <v>allen institute</v>
      </c>
      <c r="AC2893" s="42" t="str">
        <f>IFERROR(__xludf.DUMMYFUNCTION("""COMPUTED_VALUE"""),"DHBA")</f>
        <v>DHBA</v>
      </c>
      <c r="AD2893" s="42"/>
      <c r="AE2893" s="42"/>
      <c r="AF2893" s="9"/>
      <c r="AG2893" s="9"/>
      <c r="AH2893" s="42"/>
      <c r="AI2893" s="42"/>
      <c r="AJ2893" s="42"/>
      <c r="AK2893" s="42"/>
      <c r="AL2893" s="42"/>
      <c r="AM2893" s="42"/>
      <c r="AN2893" s="42"/>
      <c r="AO2893" s="63" t="str">
        <f>IFERROR(__xludf.DUMMYFUNCTION("IF(ISBLANK(A2893),,IF(ISBLANK(S2893), A2893&amp;"";"", TEXTJOIN(CHAR(10), TRUE, A2893&amp;"";"", ARRAYFORMULA(VLOOKUP(SPLIT(S2893, "";"" &amp; CHAR(10)), $A:$AO, 41, FALSE)))))"),"RTg;")</f>
        <v>RTg;</v>
      </c>
      <c r="AP2893" s="89"/>
    </row>
    <row r="2894">
      <c r="A2894" s="151" t="str">
        <f>IFERROR(__xludf.DUMMYFUNCTION("""COMPUTED_VALUE"""),"PnTg")</f>
        <v>PnTg</v>
      </c>
      <c r="B2894" s="42" t="str">
        <f>IFERROR(__xludf.DUMMYFUNCTION("""COMPUTED_VALUE"""),"DHBA")</f>
        <v>DHBA</v>
      </c>
      <c r="C2894" s="42" t="str">
        <f>IFERROR(__xludf.DUMMYFUNCTION("""COMPUTED_VALUE"""),"pontine tegmentum")</f>
        <v>pontine tegmentum</v>
      </c>
      <c r="D2894" s="42">
        <f>IFERROR(__xludf.DUMMYFUNCTION("""COMPUTED_VALUE"""),2754.0)</f>
        <v>2754</v>
      </c>
      <c r="E2894" s="39" t="str">
        <f>IFERROR(__xludf.DUMMYFUNCTION("""COMPUTED_VALUE"""),"pontine tegmentum")</f>
        <v>pontine tegmentum</v>
      </c>
      <c r="F2894" s="9" t="str">
        <f>IFERROR(__xludf.DUMMYFUNCTION("""COMPUTED_VALUE"""),"Br")</f>
        <v>Br</v>
      </c>
      <c r="G2894" s="9" t="str">
        <f>IFERROR(__xludf.DUMMYFUNCTION("""COMPUTED_VALUE"""),"H")</f>
        <v>H</v>
      </c>
      <c r="H2894" s="9" t="str">
        <f>IFERROR(__xludf.DUMMYFUNCTION("""COMPUTED_VALUE"""),"HGM")</f>
        <v>HGM</v>
      </c>
      <c r="I2894" s="9" t="str">
        <f>IFERROR(__xludf.DUMMYFUNCTION("""COMPUTED_VALUE"""),"Met")</f>
        <v>Met</v>
      </c>
      <c r="J2894" s="9" t="str">
        <f>IFERROR(__xludf.DUMMYFUNCTION("""COMPUTED_VALUE"""),"Pn")</f>
        <v>Pn</v>
      </c>
      <c r="K2894" s="9" t="str">
        <f>IFERROR(__xludf.DUMMYFUNCTION("""COMPUTED_VALUE"""),"PnTg")</f>
        <v>PnTg</v>
      </c>
      <c r="L2894" s="9"/>
      <c r="M2894" s="9"/>
      <c r="N2894" s="9"/>
      <c r="O2894" s="9"/>
      <c r="P2894" s="9"/>
      <c r="Q2894" s="9"/>
      <c r="R2894" s="9"/>
      <c r="S2894" s="42" t="str">
        <f>IFERROR(__xludf.DUMMYFUNCTION("""COMPUTED_VALUE"""),"PnEN;
PnAN;
VTg;
PnAR;
PnRa;
PnRF;
PnNA;
XPnTg")</f>
        <v>PnEN;
PnAN;
VTg;
PnAR;
PnRa;
PnRF;
PnNA;
XPnTg</v>
      </c>
      <c r="T2894" s="42"/>
      <c r="U2894" s="159" t="b">
        <f>IFERROR(__xludf.DUMMYFUNCTION("""COMPUTED_VALUE"""),FALSE)</f>
        <v>0</v>
      </c>
      <c r="V2894" s="42"/>
      <c r="W2894" s="42"/>
      <c r="X2894" s="42"/>
      <c r="Y2894" s="42"/>
      <c r="Z2894" s="42"/>
      <c r="AA2894" s="42"/>
      <c r="AB2894" s="42" t="str">
        <f>IFERROR(__xludf.DUMMYFUNCTION("""COMPUTED_VALUE"""),"allen institute")</f>
        <v>allen institute</v>
      </c>
      <c r="AC2894" s="42" t="str">
        <f>IFERROR(__xludf.DUMMYFUNCTION("""COMPUTED_VALUE"""),"DHBA")</f>
        <v>DHBA</v>
      </c>
      <c r="AD2894" s="42"/>
      <c r="AE2894" s="42"/>
      <c r="AF2894" s="9"/>
      <c r="AG2894" s="9"/>
      <c r="AH2894" s="42"/>
      <c r="AI2894" s="42"/>
      <c r="AJ2894" s="42"/>
      <c r="AK2894" s="42"/>
      <c r="AL2894" s="42"/>
      <c r="AM2894" s="42"/>
      <c r="AN2894" s="42"/>
      <c r="AO2894" s="63" t="str">
        <f>IFERROR(__xludf.DUMMYFUNCTION("IF(ISBLANK(A2894),,IF(ISBLANK(S2894), A2894&amp;"";"", TEXTJOIN(CHAR(10), TRUE, A2894&amp;"";"", ARRAYFORMULA(VLOOKUP(SPLIT(S2894, "";"" &amp; CHAR(10)), $A:$AO, 41, FALSE)))))"),"#N/A")</f>
        <v>#N/A</v>
      </c>
      <c r="AP2894" s="89"/>
    </row>
    <row r="2895">
      <c r="A2895" s="151" t="str">
        <f>IFERROR(__xludf.DUMMYFUNCTION("""COMPUTED_VALUE"""),"PnEN")</f>
        <v>PnEN</v>
      </c>
      <c r="B2895" s="42" t="str">
        <f>IFERROR(__xludf.DUMMYFUNCTION("""COMPUTED_VALUE"""),"DHBA")</f>
        <v>DHBA</v>
      </c>
      <c r="C2895" s="42" t="str">
        <f>IFERROR(__xludf.DUMMYFUNCTION("""COMPUTED_VALUE"""),"efferent nuclei of cranial nerves in pons")</f>
        <v>efferent nuclei of cranial nerves in pons</v>
      </c>
      <c r="D2895" s="42">
        <f>IFERROR(__xludf.DUMMYFUNCTION("""COMPUTED_VALUE"""),2755.0)</f>
        <v>2755</v>
      </c>
      <c r="E2895" s="39" t="str">
        <f>IFERROR(__xludf.DUMMYFUNCTION("""COMPUTED_VALUE"""),"efferent nuclei of cranial nerves in pons")</f>
        <v>efferent nuclei of cranial nerves in pons</v>
      </c>
      <c r="F2895" s="9" t="str">
        <f>IFERROR(__xludf.DUMMYFUNCTION("""COMPUTED_VALUE"""),"Br")</f>
        <v>Br</v>
      </c>
      <c r="G2895" s="9" t="str">
        <f>IFERROR(__xludf.DUMMYFUNCTION("""COMPUTED_VALUE"""),"H")</f>
        <v>H</v>
      </c>
      <c r="H2895" s="9" t="str">
        <f>IFERROR(__xludf.DUMMYFUNCTION("""COMPUTED_VALUE"""),"HGM")</f>
        <v>HGM</v>
      </c>
      <c r="I2895" s="9" t="str">
        <f>IFERROR(__xludf.DUMMYFUNCTION("""COMPUTED_VALUE"""),"Met")</f>
        <v>Met</v>
      </c>
      <c r="J2895" s="9" t="str">
        <f>IFERROR(__xludf.DUMMYFUNCTION("""COMPUTED_VALUE"""),"Pn")</f>
        <v>Pn</v>
      </c>
      <c r="K2895" s="9" t="str">
        <f>IFERROR(__xludf.DUMMYFUNCTION("""COMPUTED_VALUE"""),"PnTg")</f>
        <v>PnTg</v>
      </c>
      <c r="L2895" s="9" t="str">
        <f>IFERROR(__xludf.DUMMYFUNCTION("""COMPUTED_VALUE"""),"PnEN")</f>
        <v>PnEN</v>
      </c>
      <c r="M2895" s="9"/>
      <c r="N2895" s="9"/>
      <c r="O2895" s="9"/>
      <c r="P2895" s="9"/>
      <c r="Q2895" s="9"/>
      <c r="R2895" s="9"/>
      <c r="S2895" s="42" t="str">
        <f>IFERROR(__xludf.DUMMYFUNCTION("""COMPUTED_VALUE"""),"_6N;
Acs7;
_7N;
Lac;
Mo5;
SuSV")</f>
        <v>_6N;
Acs7;
_7N;
Lac;
Mo5;
SuSV</v>
      </c>
      <c r="T2895" s="42"/>
      <c r="U2895" s="42" t="b">
        <f>IFERROR(__xludf.DUMMYFUNCTION("""COMPUTED_VALUE"""),FALSE)</f>
        <v>0</v>
      </c>
      <c r="V2895" s="42"/>
      <c r="W2895" s="42"/>
      <c r="X2895" s="42"/>
      <c r="Y2895" s="42"/>
      <c r="Z2895" s="42"/>
      <c r="AA2895" s="42"/>
      <c r="AB2895" s="42" t="str">
        <f>IFERROR(__xludf.DUMMYFUNCTION("""COMPUTED_VALUE"""),"allen institute")</f>
        <v>allen institute</v>
      </c>
      <c r="AC2895" s="42" t="str">
        <f>IFERROR(__xludf.DUMMYFUNCTION("""COMPUTED_VALUE"""),"DHBA")</f>
        <v>DHBA</v>
      </c>
      <c r="AD2895" s="42"/>
      <c r="AE2895" s="42"/>
      <c r="AF2895" s="9"/>
      <c r="AG2895" s="9"/>
      <c r="AH2895" s="42"/>
      <c r="AI2895" s="42"/>
      <c r="AJ2895" s="42"/>
      <c r="AK2895" s="42"/>
      <c r="AL2895" s="42"/>
      <c r="AM2895" s="42"/>
      <c r="AN2895" s="42"/>
      <c r="AO2895" s="63" t="str">
        <f>IFERROR(__xludf.DUMMYFUNCTION("IF(ISBLANK(A2895),,IF(ISBLANK(S2895), A2895&amp;"";"", TEXTJOIN(CHAR(10), TRUE, A2895&amp;"";"", ARRAYFORMULA(VLOOKUP(SPLIT(S2895, "";"" &amp; CHAR(10)), $A:$AO, 41, FALSE)))))"),"#N/A")</f>
        <v>#N/A</v>
      </c>
      <c r="AP2895" s="89"/>
    </row>
    <row r="2896">
      <c r="A2896" s="151" t="str">
        <f>IFERROR(__xludf.DUMMYFUNCTION("""COMPUTED_VALUE"""),"6N")</f>
        <v>6N</v>
      </c>
      <c r="B2896" s="42" t="str">
        <f>IFERROR(__xludf.DUMMYFUNCTION("""COMPUTED_VALUE"""),"DHBA")</f>
        <v>DHBA</v>
      </c>
      <c r="C2896" s="42" t="str">
        <f>IFERROR(__xludf.DUMMYFUNCTION("""COMPUTED_VALUE"""),"abducens nucleus")</f>
        <v>abducens nucleus</v>
      </c>
      <c r="D2896" s="42">
        <f>IFERROR(__xludf.DUMMYFUNCTION("""COMPUTED_VALUE"""),2756.0)</f>
        <v>2756</v>
      </c>
      <c r="E2896" s="39" t="str">
        <f>IFERROR(__xludf.DUMMYFUNCTION("""COMPUTED_VALUE"""),"abducens nucleus")</f>
        <v>abducens nucleus</v>
      </c>
      <c r="F2896" s="9" t="str">
        <f>IFERROR(__xludf.DUMMYFUNCTION("""COMPUTED_VALUE"""),"Br")</f>
        <v>Br</v>
      </c>
      <c r="G2896" s="9" t="str">
        <f>IFERROR(__xludf.DUMMYFUNCTION("""COMPUTED_VALUE"""),"H")</f>
        <v>H</v>
      </c>
      <c r="H2896" s="9" t="str">
        <f>IFERROR(__xludf.DUMMYFUNCTION("""COMPUTED_VALUE"""),"HGM")</f>
        <v>HGM</v>
      </c>
      <c r="I2896" s="9" t="str">
        <f>IFERROR(__xludf.DUMMYFUNCTION("""COMPUTED_VALUE"""),"Met")</f>
        <v>Met</v>
      </c>
      <c r="J2896" s="9" t="str">
        <f>IFERROR(__xludf.DUMMYFUNCTION("""COMPUTED_VALUE"""),"Pn")</f>
        <v>Pn</v>
      </c>
      <c r="K2896" s="9" t="str">
        <f>IFERROR(__xludf.DUMMYFUNCTION("""COMPUTED_VALUE"""),"PnTg")</f>
        <v>PnTg</v>
      </c>
      <c r="L2896" s="9" t="str">
        <f>IFERROR(__xludf.DUMMYFUNCTION("""COMPUTED_VALUE"""),"PnEN")</f>
        <v>PnEN</v>
      </c>
      <c r="M2896" s="9" t="str">
        <f>IFERROR(__xludf.DUMMYFUNCTION("""COMPUTED_VALUE"""),"6N")</f>
        <v>6N</v>
      </c>
      <c r="N2896" s="9"/>
      <c r="O2896" s="9"/>
      <c r="P2896" s="9"/>
      <c r="Q2896" s="9"/>
      <c r="R2896" s="9"/>
      <c r="S2896" s="42" t="str">
        <f>IFERROR(__xludf.DUMMYFUNCTION("""COMPUTED_VALUE"""),"AIN;
MNs")</f>
        <v>AIN;
MNs</v>
      </c>
      <c r="T2896" s="42"/>
      <c r="U2896" s="42" t="b">
        <f>IFERROR(__xludf.DUMMYFUNCTION("""COMPUTED_VALUE"""),FALSE)</f>
        <v>0</v>
      </c>
      <c r="V2896" s="42"/>
      <c r="W2896" s="42" t="str">
        <f>IFERROR(__xludf.DUMMYFUNCTION("""COMPUTED_VALUE"""),"Excitatory")</f>
        <v>Excitatory</v>
      </c>
      <c r="X2896" s="42"/>
      <c r="Y2896" s="42"/>
      <c r="Z2896" s="42"/>
      <c r="AA2896" s="42"/>
      <c r="AB2896" s="42" t="str">
        <f>IFERROR(__xludf.DUMMYFUNCTION("""COMPUTED_VALUE"""),"allen institute")</f>
        <v>allen institute</v>
      </c>
      <c r="AC2896" s="42" t="str">
        <f>IFERROR(__xludf.DUMMYFUNCTION("""COMPUTED_VALUE"""),"DHBA")</f>
        <v>DHBA</v>
      </c>
      <c r="AD2896" s="42"/>
      <c r="AE2896" s="42"/>
      <c r="AF2896" s="9"/>
      <c r="AG2896" s="9"/>
      <c r="AH2896" s="42"/>
      <c r="AI2896" s="42"/>
      <c r="AJ2896" s="42"/>
      <c r="AK2896" s="42"/>
      <c r="AL2896" s="42"/>
      <c r="AM2896" s="42"/>
      <c r="AN2896" s="42"/>
      <c r="AO2896" s="63" t="str">
        <f>IFERROR(__xludf.DUMMYFUNCTION("IF(ISBLANK(A2896),,IF(ISBLANK(S2896), A2896&amp;"";"", TEXTJOIN(CHAR(10), TRUE, A2896&amp;"";"", ARRAYFORMULA(VLOOKUP(SPLIT(S2896, "";"" &amp; CHAR(10)), $A:$AO, 41, FALSE)))))"),"6N;
AIN;
MNs;")</f>
        <v>6N;
AIN;
MNs;</v>
      </c>
      <c r="AP2896" s="89"/>
    </row>
    <row r="2897">
      <c r="A2897" s="151" t="str">
        <f>IFERROR(__xludf.DUMMYFUNCTION("""COMPUTED_VALUE"""),"Acs7")</f>
        <v>Acs7</v>
      </c>
      <c r="B2897" s="42" t="str">
        <f>IFERROR(__xludf.DUMMYFUNCTION("""COMPUTED_VALUE"""),"DHBA")</f>
        <v>DHBA</v>
      </c>
      <c r="C2897" s="42" t="str">
        <f>IFERROR(__xludf.DUMMYFUNCTION("""COMPUTED_VALUE"""),"accessory facial nucleus")</f>
        <v>accessory facial nucleus</v>
      </c>
      <c r="D2897" s="42">
        <f>IFERROR(__xludf.DUMMYFUNCTION("""COMPUTED_VALUE"""),2757.0)</f>
        <v>2757</v>
      </c>
      <c r="E2897" s="39" t="str">
        <f>IFERROR(__xludf.DUMMYFUNCTION("""COMPUTED_VALUE"""),"accessory facial nucleus")</f>
        <v>accessory facial nucleus</v>
      </c>
      <c r="F2897" s="9" t="str">
        <f>IFERROR(__xludf.DUMMYFUNCTION("""COMPUTED_VALUE"""),"Br")</f>
        <v>Br</v>
      </c>
      <c r="G2897" s="9" t="str">
        <f>IFERROR(__xludf.DUMMYFUNCTION("""COMPUTED_VALUE"""),"H")</f>
        <v>H</v>
      </c>
      <c r="H2897" s="9" t="str">
        <f>IFERROR(__xludf.DUMMYFUNCTION("""COMPUTED_VALUE"""),"HGM")</f>
        <v>HGM</v>
      </c>
      <c r="I2897" s="9" t="str">
        <f>IFERROR(__xludf.DUMMYFUNCTION("""COMPUTED_VALUE"""),"Met")</f>
        <v>Met</v>
      </c>
      <c r="J2897" s="9" t="str">
        <f>IFERROR(__xludf.DUMMYFUNCTION("""COMPUTED_VALUE"""),"Pn")</f>
        <v>Pn</v>
      </c>
      <c r="K2897" s="9" t="str">
        <f>IFERROR(__xludf.DUMMYFUNCTION("""COMPUTED_VALUE"""),"PnTg")</f>
        <v>PnTg</v>
      </c>
      <c r="L2897" s="9" t="str">
        <f>IFERROR(__xludf.DUMMYFUNCTION("""COMPUTED_VALUE"""),"PnEN")</f>
        <v>PnEN</v>
      </c>
      <c r="M2897" s="9" t="str">
        <f>IFERROR(__xludf.DUMMYFUNCTION("""COMPUTED_VALUE"""),"Acs7")</f>
        <v>Acs7</v>
      </c>
      <c r="N2897" s="9"/>
      <c r="O2897" s="9"/>
      <c r="P2897" s="9"/>
      <c r="Q2897" s="9"/>
      <c r="R2897" s="9"/>
      <c r="S2897" s="42"/>
      <c r="T2897" s="42"/>
      <c r="U2897" s="42"/>
      <c r="V2897" s="42"/>
      <c r="W2897" s="42"/>
      <c r="X2897" s="42"/>
      <c r="Y2897" s="42"/>
      <c r="Z2897" s="42"/>
      <c r="AA2897" s="42"/>
      <c r="AB2897" s="42" t="str">
        <f>IFERROR(__xludf.DUMMYFUNCTION("""COMPUTED_VALUE"""),"allen institute")</f>
        <v>allen institute</v>
      </c>
      <c r="AC2897" s="42" t="str">
        <f>IFERROR(__xludf.DUMMYFUNCTION("""COMPUTED_VALUE"""),"DHBA")</f>
        <v>DHBA</v>
      </c>
      <c r="AD2897" s="42"/>
      <c r="AE2897" s="42"/>
      <c r="AF2897" s="9"/>
      <c r="AG2897" s="9"/>
      <c r="AH2897" s="42"/>
      <c r="AI2897" s="42"/>
      <c r="AJ2897" s="42"/>
      <c r="AK2897" s="42"/>
      <c r="AL2897" s="42"/>
      <c r="AM2897" s="42"/>
      <c r="AN2897" s="42"/>
      <c r="AO2897" s="63" t="str">
        <f>IFERROR(__xludf.DUMMYFUNCTION("IF(ISBLANK(A2897),,IF(ISBLANK(S2897), A2897&amp;"";"", TEXTJOIN(CHAR(10), TRUE, A2897&amp;"";"", ARRAYFORMULA(VLOOKUP(SPLIT(S2897, "";"" &amp; CHAR(10)), $A:$AO, 41, FALSE)))))"),"Acs7;")</f>
        <v>Acs7;</v>
      </c>
      <c r="AP2897" s="89"/>
    </row>
    <row r="2898">
      <c r="A2898" s="151" t="str">
        <f>IFERROR(__xludf.DUMMYFUNCTION("""COMPUTED_VALUE"""),"7N")</f>
        <v>7N</v>
      </c>
      <c r="B2898" s="42" t="str">
        <f>IFERROR(__xludf.DUMMYFUNCTION("""COMPUTED_VALUE"""),"DHBA")</f>
        <v>DHBA</v>
      </c>
      <c r="C2898" s="42" t="str">
        <f>IFERROR(__xludf.DUMMYFUNCTION("""COMPUTED_VALUE"""),"Facial nucleus, VII")</f>
        <v>Facial nucleus, VII</v>
      </c>
      <c r="D2898" s="42">
        <f>IFERROR(__xludf.DUMMYFUNCTION("""COMPUTED_VALUE"""),2758.0)</f>
        <v>2758</v>
      </c>
      <c r="E2898" s="39" t="str">
        <f>IFERROR(__xludf.DUMMYFUNCTION("""COMPUTED_VALUE"""),"facial nucleus")</f>
        <v>facial nucleus</v>
      </c>
      <c r="F2898" s="9" t="str">
        <f>IFERROR(__xludf.DUMMYFUNCTION("""COMPUTED_VALUE"""),"Br")</f>
        <v>Br</v>
      </c>
      <c r="G2898" s="9" t="str">
        <f>IFERROR(__xludf.DUMMYFUNCTION("""COMPUTED_VALUE"""),"H")</f>
        <v>H</v>
      </c>
      <c r="H2898" s="9" t="str">
        <f>IFERROR(__xludf.DUMMYFUNCTION("""COMPUTED_VALUE"""),"HGM")</f>
        <v>HGM</v>
      </c>
      <c r="I2898" s="9" t="str">
        <f>IFERROR(__xludf.DUMMYFUNCTION("""COMPUTED_VALUE"""),"Met")</f>
        <v>Met</v>
      </c>
      <c r="J2898" s="9" t="str">
        <f>IFERROR(__xludf.DUMMYFUNCTION("""COMPUTED_VALUE"""),"Pn")</f>
        <v>Pn</v>
      </c>
      <c r="K2898" s="9" t="str">
        <f>IFERROR(__xludf.DUMMYFUNCTION("""COMPUTED_VALUE"""),"PnTg")</f>
        <v>PnTg</v>
      </c>
      <c r="L2898" s="9" t="str">
        <f>IFERROR(__xludf.DUMMYFUNCTION("""COMPUTED_VALUE"""),"PnEN")</f>
        <v>PnEN</v>
      </c>
      <c r="M2898" s="9" t="str">
        <f>IFERROR(__xludf.DUMMYFUNCTION("""COMPUTED_VALUE"""),"7N")</f>
        <v>7N</v>
      </c>
      <c r="N2898" s="9"/>
      <c r="O2898" s="9"/>
      <c r="P2898" s="9"/>
      <c r="Q2898" s="9"/>
      <c r="R2898" s="9"/>
      <c r="S2898" s="42"/>
      <c r="T2898" s="42"/>
      <c r="U2898" s="159"/>
      <c r="V2898" s="42"/>
      <c r="W2898" s="42"/>
      <c r="X2898" s="42"/>
      <c r="Y2898" s="42"/>
      <c r="Z2898" s="42"/>
      <c r="AA2898" s="42"/>
      <c r="AB2898" s="42" t="str">
        <f>IFERROR(__xludf.DUMMYFUNCTION("""COMPUTED_VALUE"""),"allen institute")</f>
        <v>allen institute</v>
      </c>
      <c r="AC2898" s="42" t="str">
        <f>IFERROR(__xludf.DUMMYFUNCTION("""COMPUTED_VALUE"""),"DHBA")</f>
        <v>DHBA</v>
      </c>
      <c r="AD2898" s="42"/>
      <c r="AE2898" s="42"/>
      <c r="AF2898" s="9"/>
      <c r="AG2898" s="9"/>
      <c r="AH2898" s="42"/>
      <c r="AI2898" s="42"/>
      <c r="AJ2898" s="42"/>
      <c r="AK2898" s="42"/>
      <c r="AL2898" s="42"/>
      <c r="AM2898" s="42"/>
      <c r="AN2898" s="42"/>
      <c r="AO2898" s="63" t="str">
        <f>IFERROR(__xludf.DUMMYFUNCTION("IF(ISBLANK(A2898),,IF(ISBLANK(S2898), A2898&amp;"";"", TEXTJOIN(CHAR(10), TRUE, A2898&amp;"";"", ARRAYFORMULA(VLOOKUP(SPLIT(S2898, "";"" &amp; CHAR(10)), $A:$AO, 41, FALSE)))))"),"7N;")</f>
        <v>7N;</v>
      </c>
      <c r="AP2898" s="89"/>
    </row>
    <row r="2899">
      <c r="A2899" s="151" t="str">
        <f>IFERROR(__xludf.DUMMYFUNCTION("""COMPUTED_VALUE"""),"7D")</f>
        <v>7D</v>
      </c>
      <c r="B2899" s="42" t="str">
        <f>IFERROR(__xludf.DUMMYFUNCTION("""COMPUTED_VALUE"""),"DHBA")</f>
        <v>DHBA</v>
      </c>
      <c r="C2899" s="42" t="str">
        <f>IFERROR(__xludf.DUMMYFUNCTION("""COMPUTED_VALUE"""),"facial nucleus, dorsal subnucleus")</f>
        <v>facial nucleus, dorsal subnucleus</v>
      </c>
      <c r="D2899" s="42">
        <f>IFERROR(__xludf.DUMMYFUNCTION("""COMPUTED_VALUE"""),2759.0)</f>
        <v>2759</v>
      </c>
      <c r="E2899" s="39" t="str">
        <f>IFERROR(__xludf.DUMMYFUNCTION("""COMPUTED_VALUE"""),"facial nucleus, dorsal subnucleus")</f>
        <v>facial nucleus, dorsal subnucleus</v>
      </c>
      <c r="F2899" s="9" t="str">
        <f>IFERROR(__xludf.DUMMYFUNCTION("""COMPUTED_VALUE"""),"Br")</f>
        <v>Br</v>
      </c>
      <c r="G2899" s="9" t="str">
        <f>IFERROR(__xludf.DUMMYFUNCTION("""COMPUTED_VALUE"""),"H")</f>
        <v>H</v>
      </c>
      <c r="H2899" s="9" t="str">
        <f>IFERROR(__xludf.DUMMYFUNCTION("""COMPUTED_VALUE"""),"HGM")</f>
        <v>HGM</v>
      </c>
      <c r="I2899" s="9" t="str">
        <f>IFERROR(__xludf.DUMMYFUNCTION("""COMPUTED_VALUE"""),"Met")</f>
        <v>Met</v>
      </c>
      <c r="J2899" s="9" t="str">
        <f>IFERROR(__xludf.DUMMYFUNCTION("""COMPUTED_VALUE"""),"Pn")</f>
        <v>Pn</v>
      </c>
      <c r="K2899" s="9" t="str">
        <f>IFERROR(__xludf.DUMMYFUNCTION("""COMPUTED_VALUE"""),"PnTg")</f>
        <v>PnTg</v>
      </c>
      <c r="L2899" s="9" t="str">
        <f>IFERROR(__xludf.DUMMYFUNCTION("""COMPUTED_VALUE"""),"PnEN")</f>
        <v>PnEN</v>
      </c>
      <c r="M2899" s="9" t="str">
        <f>IFERROR(__xludf.DUMMYFUNCTION("""COMPUTED_VALUE"""),"7N")</f>
        <v>7N</v>
      </c>
      <c r="N2899" s="9" t="str">
        <f>IFERROR(__xludf.DUMMYFUNCTION("""COMPUTED_VALUE"""),"7D")</f>
        <v>7D</v>
      </c>
      <c r="O2899" s="9"/>
      <c r="P2899" s="9"/>
      <c r="Q2899" s="9"/>
      <c r="R2899" s="9"/>
      <c r="S2899" s="42"/>
      <c r="T2899" s="42"/>
      <c r="U2899" s="42"/>
      <c r="V2899" s="42"/>
      <c r="W2899" s="42"/>
      <c r="X2899" s="42"/>
      <c r="Y2899" s="42"/>
      <c r="Z2899" s="42"/>
      <c r="AA2899" s="42"/>
      <c r="AB2899" s="42" t="str">
        <f>IFERROR(__xludf.DUMMYFUNCTION("""COMPUTED_VALUE"""),"allen institute")</f>
        <v>allen institute</v>
      </c>
      <c r="AC2899" s="42" t="str">
        <f>IFERROR(__xludf.DUMMYFUNCTION("""COMPUTED_VALUE"""),"DHBA")</f>
        <v>DHBA</v>
      </c>
      <c r="AD2899" s="42"/>
      <c r="AE2899" s="42"/>
      <c r="AF2899" s="9"/>
      <c r="AG2899" s="9"/>
      <c r="AH2899" s="42"/>
      <c r="AI2899" s="42"/>
      <c r="AJ2899" s="42"/>
      <c r="AK2899" s="42"/>
      <c r="AL2899" s="42"/>
      <c r="AM2899" s="42"/>
      <c r="AN2899" s="42"/>
      <c r="AO2899" s="63" t="str">
        <f>IFERROR(__xludf.DUMMYFUNCTION("IF(ISBLANK(A2899),,IF(ISBLANK(S2899), A2899&amp;"";"", TEXTJOIN(CHAR(10), TRUE, A2899&amp;"";"", ARRAYFORMULA(VLOOKUP(SPLIT(S2899, "";"" &amp; CHAR(10)), $A:$AO, 41, FALSE)))))"),"7D;")</f>
        <v>7D;</v>
      </c>
      <c r="AP2899" s="89"/>
    </row>
    <row r="2900">
      <c r="A2900" s="151" t="str">
        <f>IFERROR(__xludf.DUMMYFUNCTION("""COMPUTED_VALUE"""),"7VI")</f>
        <v>7VI</v>
      </c>
      <c r="B2900" s="42" t="str">
        <f>IFERROR(__xludf.DUMMYFUNCTION("""COMPUTED_VALUE"""),"DHBA")</f>
        <v>DHBA</v>
      </c>
      <c r="C2900" s="42" t="str">
        <f>IFERROR(__xludf.DUMMYFUNCTION("""COMPUTED_VALUE"""),"facial nucleus, ventrointermediate subnucleus")</f>
        <v>facial nucleus, ventrointermediate subnucleus</v>
      </c>
      <c r="D2900" s="42">
        <f>IFERROR(__xludf.DUMMYFUNCTION("""COMPUTED_VALUE"""),2760.0)</f>
        <v>2760</v>
      </c>
      <c r="E2900" s="39" t="str">
        <f>IFERROR(__xludf.DUMMYFUNCTION("""COMPUTED_VALUE"""),"facial nucleus, ventrointermediate subnucleus")</f>
        <v>facial nucleus, ventrointermediate subnucleus</v>
      </c>
      <c r="F2900" s="9" t="str">
        <f>IFERROR(__xludf.DUMMYFUNCTION("""COMPUTED_VALUE"""),"Br")</f>
        <v>Br</v>
      </c>
      <c r="G2900" s="9" t="str">
        <f>IFERROR(__xludf.DUMMYFUNCTION("""COMPUTED_VALUE"""),"H")</f>
        <v>H</v>
      </c>
      <c r="H2900" s="9" t="str">
        <f>IFERROR(__xludf.DUMMYFUNCTION("""COMPUTED_VALUE"""),"HGM")</f>
        <v>HGM</v>
      </c>
      <c r="I2900" s="9" t="str">
        <f>IFERROR(__xludf.DUMMYFUNCTION("""COMPUTED_VALUE"""),"Met")</f>
        <v>Met</v>
      </c>
      <c r="J2900" s="9" t="str">
        <f>IFERROR(__xludf.DUMMYFUNCTION("""COMPUTED_VALUE"""),"Pn")</f>
        <v>Pn</v>
      </c>
      <c r="K2900" s="9" t="str">
        <f>IFERROR(__xludf.DUMMYFUNCTION("""COMPUTED_VALUE"""),"PnTg")</f>
        <v>PnTg</v>
      </c>
      <c r="L2900" s="9" t="str">
        <f>IFERROR(__xludf.DUMMYFUNCTION("""COMPUTED_VALUE"""),"PnEN")</f>
        <v>PnEN</v>
      </c>
      <c r="M2900" s="9" t="str">
        <f>IFERROR(__xludf.DUMMYFUNCTION("""COMPUTED_VALUE"""),"7N")</f>
        <v>7N</v>
      </c>
      <c r="N2900" s="9" t="str">
        <f>IFERROR(__xludf.DUMMYFUNCTION("""COMPUTED_VALUE"""),"7VI")</f>
        <v>7VI</v>
      </c>
      <c r="O2900" s="9"/>
      <c r="P2900" s="9"/>
      <c r="Q2900" s="9"/>
      <c r="R2900" s="9"/>
      <c r="S2900" s="42"/>
      <c r="T2900" s="42"/>
      <c r="U2900" s="42"/>
      <c r="V2900" s="42"/>
      <c r="W2900" s="42"/>
      <c r="X2900" s="42"/>
      <c r="Y2900" s="42"/>
      <c r="Z2900" s="42"/>
      <c r="AA2900" s="42"/>
      <c r="AB2900" s="42" t="str">
        <f>IFERROR(__xludf.DUMMYFUNCTION("""COMPUTED_VALUE"""),"allen institute")</f>
        <v>allen institute</v>
      </c>
      <c r="AC2900" s="42" t="str">
        <f>IFERROR(__xludf.DUMMYFUNCTION("""COMPUTED_VALUE"""),"DHBA")</f>
        <v>DHBA</v>
      </c>
      <c r="AD2900" s="42"/>
      <c r="AE2900" s="42"/>
      <c r="AF2900" s="9"/>
      <c r="AG2900" s="9"/>
      <c r="AH2900" s="42"/>
      <c r="AI2900" s="42"/>
      <c r="AJ2900" s="42"/>
      <c r="AK2900" s="42"/>
      <c r="AL2900" s="42"/>
      <c r="AM2900" s="42"/>
      <c r="AN2900" s="42"/>
      <c r="AO2900" s="63" t="str">
        <f>IFERROR(__xludf.DUMMYFUNCTION("IF(ISBLANK(A2900),,IF(ISBLANK(S2900), A2900&amp;"";"", TEXTJOIN(CHAR(10), TRUE, A2900&amp;"";"", ARRAYFORMULA(VLOOKUP(SPLIT(S2900, "";"" &amp; CHAR(10)), $A:$AO, 41, FALSE)))))"),"7VI;")</f>
        <v>7VI;</v>
      </c>
      <c r="AP2900" s="89"/>
    </row>
    <row r="2901">
      <c r="A2901" s="151" t="str">
        <f>IFERROR(__xludf.DUMMYFUNCTION("""COMPUTED_VALUE"""),"7VM")</f>
        <v>7VM</v>
      </c>
      <c r="B2901" s="42" t="str">
        <f>IFERROR(__xludf.DUMMYFUNCTION("""COMPUTED_VALUE"""),"DHBA")</f>
        <v>DHBA</v>
      </c>
      <c r="C2901" s="42" t="str">
        <f>IFERROR(__xludf.DUMMYFUNCTION("""COMPUTED_VALUE"""),"facial nucleus, ventromedial subnucleus")</f>
        <v>facial nucleus, ventromedial subnucleus</v>
      </c>
      <c r="D2901" s="42">
        <f>IFERROR(__xludf.DUMMYFUNCTION("""COMPUTED_VALUE"""),2761.0)</f>
        <v>2761</v>
      </c>
      <c r="E2901" s="39" t="str">
        <f>IFERROR(__xludf.DUMMYFUNCTION("""COMPUTED_VALUE"""),"facial nucleus, ventromedial subnucleus")</f>
        <v>facial nucleus, ventromedial subnucleus</v>
      </c>
      <c r="F2901" s="9" t="str">
        <f>IFERROR(__xludf.DUMMYFUNCTION("""COMPUTED_VALUE"""),"Br")</f>
        <v>Br</v>
      </c>
      <c r="G2901" s="9" t="str">
        <f>IFERROR(__xludf.DUMMYFUNCTION("""COMPUTED_VALUE"""),"H")</f>
        <v>H</v>
      </c>
      <c r="H2901" s="9" t="str">
        <f>IFERROR(__xludf.DUMMYFUNCTION("""COMPUTED_VALUE"""),"HGM")</f>
        <v>HGM</v>
      </c>
      <c r="I2901" s="9" t="str">
        <f>IFERROR(__xludf.DUMMYFUNCTION("""COMPUTED_VALUE"""),"Met")</f>
        <v>Met</v>
      </c>
      <c r="J2901" s="9" t="str">
        <f>IFERROR(__xludf.DUMMYFUNCTION("""COMPUTED_VALUE"""),"Pn")</f>
        <v>Pn</v>
      </c>
      <c r="K2901" s="9" t="str">
        <f>IFERROR(__xludf.DUMMYFUNCTION("""COMPUTED_VALUE"""),"PnTg")</f>
        <v>PnTg</v>
      </c>
      <c r="L2901" s="9" t="str">
        <f>IFERROR(__xludf.DUMMYFUNCTION("""COMPUTED_VALUE"""),"PnEN")</f>
        <v>PnEN</v>
      </c>
      <c r="M2901" s="9" t="str">
        <f>IFERROR(__xludf.DUMMYFUNCTION("""COMPUTED_VALUE"""),"7N")</f>
        <v>7N</v>
      </c>
      <c r="N2901" s="9" t="str">
        <f>IFERROR(__xludf.DUMMYFUNCTION("""COMPUTED_VALUE"""),"7VM")</f>
        <v>7VM</v>
      </c>
      <c r="O2901" s="9"/>
      <c r="P2901" s="9"/>
      <c r="Q2901" s="9"/>
      <c r="R2901" s="9"/>
      <c r="S2901" s="42"/>
      <c r="T2901" s="42"/>
      <c r="U2901" s="159"/>
      <c r="V2901" s="42"/>
      <c r="W2901" s="42"/>
      <c r="X2901" s="42"/>
      <c r="Y2901" s="42"/>
      <c r="Z2901" s="42"/>
      <c r="AA2901" s="42"/>
      <c r="AB2901" s="42" t="str">
        <f>IFERROR(__xludf.DUMMYFUNCTION("""COMPUTED_VALUE"""),"allen institute")</f>
        <v>allen institute</v>
      </c>
      <c r="AC2901" s="42" t="str">
        <f>IFERROR(__xludf.DUMMYFUNCTION("""COMPUTED_VALUE"""),"DHBA")</f>
        <v>DHBA</v>
      </c>
      <c r="AD2901" s="42"/>
      <c r="AE2901" s="42"/>
      <c r="AF2901" s="9"/>
      <c r="AG2901" s="9"/>
      <c r="AH2901" s="42"/>
      <c r="AI2901" s="42"/>
      <c r="AJ2901" s="42"/>
      <c r="AK2901" s="42"/>
      <c r="AL2901" s="42"/>
      <c r="AM2901" s="42"/>
      <c r="AN2901" s="42"/>
      <c r="AO2901" s="63" t="str">
        <f>IFERROR(__xludf.DUMMYFUNCTION("IF(ISBLANK(A2901),,IF(ISBLANK(S2901), A2901&amp;"";"", TEXTJOIN(CHAR(10), TRUE, A2901&amp;"";"", ARRAYFORMULA(VLOOKUP(SPLIT(S2901, "";"" &amp; CHAR(10)), $A:$AO, 41, FALSE)))))"),"7VM;")</f>
        <v>7VM;</v>
      </c>
      <c r="AP2901" s="89"/>
    </row>
    <row r="2902">
      <c r="A2902" s="151" t="str">
        <f>IFERROR(__xludf.DUMMYFUNCTION("""COMPUTED_VALUE"""),"7SH")</f>
        <v>7SH</v>
      </c>
      <c r="B2902" s="42" t="str">
        <f>IFERROR(__xludf.DUMMYFUNCTION("""COMPUTED_VALUE"""),"DHBA")</f>
        <v>DHBA</v>
      </c>
      <c r="C2902" s="42" t="str">
        <f>IFERROR(__xludf.DUMMYFUNCTION("""COMPUTED_VALUE"""),"facial nucleus,stylohyoid part")</f>
        <v>facial nucleus,stylohyoid part</v>
      </c>
      <c r="D2902" s="42">
        <f>IFERROR(__xludf.DUMMYFUNCTION("""COMPUTED_VALUE"""),2762.0)</f>
        <v>2762</v>
      </c>
      <c r="E2902" s="39" t="str">
        <f>IFERROR(__xludf.DUMMYFUNCTION("""COMPUTED_VALUE"""),"facial nucleus,stylohyoid part")</f>
        <v>facial nucleus,stylohyoid part</v>
      </c>
      <c r="F2902" s="9" t="str">
        <f>IFERROR(__xludf.DUMMYFUNCTION("""COMPUTED_VALUE"""),"Br")</f>
        <v>Br</v>
      </c>
      <c r="G2902" s="9" t="str">
        <f>IFERROR(__xludf.DUMMYFUNCTION("""COMPUTED_VALUE"""),"H")</f>
        <v>H</v>
      </c>
      <c r="H2902" s="9" t="str">
        <f>IFERROR(__xludf.DUMMYFUNCTION("""COMPUTED_VALUE"""),"HGM")</f>
        <v>HGM</v>
      </c>
      <c r="I2902" s="9" t="str">
        <f>IFERROR(__xludf.DUMMYFUNCTION("""COMPUTED_VALUE"""),"Met")</f>
        <v>Met</v>
      </c>
      <c r="J2902" s="9" t="str">
        <f>IFERROR(__xludf.DUMMYFUNCTION("""COMPUTED_VALUE"""),"Pn")</f>
        <v>Pn</v>
      </c>
      <c r="K2902" s="9" t="str">
        <f>IFERROR(__xludf.DUMMYFUNCTION("""COMPUTED_VALUE"""),"PnTg")</f>
        <v>PnTg</v>
      </c>
      <c r="L2902" s="9" t="str">
        <f>IFERROR(__xludf.DUMMYFUNCTION("""COMPUTED_VALUE"""),"PnEN")</f>
        <v>PnEN</v>
      </c>
      <c r="M2902" s="9" t="str">
        <f>IFERROR(__xludf.DUMMYFUNCTION("""COMPUTED_VALUE"""),"7N")</f>
        <v>7N</v>
      </c>
      <c r="N2902" s="9" t="str">
        <f>IFERROR(__xludf.DUMMYFUNCTION("""COMPUTED_VALUE"""),"7SH")</f>
        <v>7SH</v>
      </c>
      <c r="O2902" s="9"/>
      <c r="P2902" s="9"/>
      <c r="Q2902" s="9"/>
      <c r="R2902" s="9"/>
      <c r="S2902" s="42"/>
      <c r="T2902" s="42"/>
      <c r="U2902" s="42"/>
      <c r="V2902" s="42"/>
      <c r="W2902" s="42"/>
      <c r="X2902" s="42"/>
      <c r="Y2902" s="42"/>
      <c r="Z2902" s="42"/>
      <c r="AA2902" s="42"/>
      <c r="AB2902" s="42" t="str">
        <f>IFERROR(__xludf.DUMMYFUNCTION("""COMPUTED_VALUE"""),"allen institute")</f>
        <v>allen institute</v>
      </c>
      <c r="AC2902" s="42" t="str">
        <f>IFERROR(__xludf.DUMMYFUNCTION("""COMPUTED_VALUE"""),"DHBA")</f>
        <v>DHBA</v>
      </c>
      <c r="AD2902" s="42"/>
      <c r="AE2902" s="42"/>
      <c r="AF2902" s="9"/>
      <c r="AG2902" s="9"/>
      <c r="AH2902" s="42"/>
      <c r="AI2902" s="42"/>
      <c r="AJ2902" s="42"/>
      <c r="AK2902" s="42"/>
      <c r="AL2902" s="42"/>
      <c r="AM2902" s="42"/>
      <c r="AN2902" s="42"/>
      <c r="AO2902" s="63" t="str">
        <f>IFERROR(__xludf.DUMMYFUNCTION("IF(ISBLANK(A2902),,IF(ISBLANK(S2902), A2902&amp;"";"", TEXTJOIN(CHAR(10), TRUE, A2902&amp;"";"", ARRAYFORMULA(VLOOKUP(SPLIT(S2902, "";"" &amp; CHAR(10)), $A:$AO, 41, FALSE)))))"),"7SH;")</f>
        <v>7SH;</v>
      </c>
      <c r="AP2902" s="89"/>
    </row>
    <row r="2903">
      <c r="A2903" s="151" t="str">
        <f>IFERROR(__xludf.DUMMYFUNCTION("""COMPUTED_VALUE"""),"7VL")</f>
        <v>7VL</v>
      </c>
      <c r="B2903" s="42" t="str">
        <f>IFERROR(__xludf.DUMMYFUNCTION("""COMPUTED_VALUE"""),"DHBA")</f>
        <v>DHBA</v>
      </c>
      <c r="C2903" s="42" t="str">
        <f>IFERROR(__xludf.DUMMYFUNCTION("""COMPUTED_VALUE"""),"facial nucleus, ventrolateral subnucleus")</f>
        <v>facial nucleus, ventrolateral subnucleus</v>
      </c>
      <c r="D2903" s="42">
        <f>IFERROR(__xludf.DUMMYFUNCTION("""COMPUTED_VALUE"""),2763.0)</f>
        <v>2763</v>
      </c>
      <c r="E2903" s="39" t="str">
        <f>IFERROR(__xludf.DUMMYFUNCTION("""COMPUTED_VALUE"""),"facial nucleus, ventrolateral subnucleus")</f>
        <v>facial nucleus, ventrolateral subnucleus</v>
      </c>
      <c r="F2903" s="9" t="str">
        <f>IFERROR(__xludf.DUMMYFUNCTION("""COMPUTED_VALUE"""),"Br")</f>
        <v>Br</v>
      </c>
      <c r="G2903" s="9" t="str">
        <f>IFERROR(__xludf.DUMMYFUNCTION("""COMPUTED_VALUE"""),"H")</f>
        <v>H</v>
      </c>
      <c r="H2903" s="9" t="str">
        <f>IFERROR(__xludf.DUMMYFUNCTION("""COMPUTED_VALUE"""),"HGM")</f>
        <v>HGM</v>
      </c>
      <c r="I2903" s="9" t="str">
        <f>IFERROR(__xludf.DUMMYFUNCTION("""COMPUTED_VALUE"""),"Met")</f>
        <v>Met</v>
      </c>
      <c r="J2903" s="9" t="str">
        <f>IFERROR(__xludf.DUMMYFUNCTION("""COMPUTED_VALUE"""),"Pn")</f>
        <v>Pn</v>
      </c>
      <c r="K2903" s="9" t="str">
        <f>IFERROR(__xludf.DUMMYFUNCTION("""COMPUTED_VALUE"""),"PnTg")</f>
        <v>PnTg</v>
      </c>
      <c r="L2903" s="9" t="str">
        <f>IFERROR(__xludf.DUMMYFUNCTION("""COMPUTED_VALUE"""),"PnEN")</f>
        <v>PnEN</v>
      </c>
      <c r="M2903" s="9" t="str">
        <f>IFERROR(__xludf.DUMMYFUNCTION("""COMPUTED_VALUE"""),"7N")</f>
        <v>7N</v>
      </c>
      <c r="N2903" s="9" t="str">
        <f>IFERROR(__xludf.DUMMYFUNCTION("""COMPUTED_VALUE"""),"7VL")</f>
        <v>7VL</v>
      </c>
      <c r="O2903" s="9"/>
      <c r="P2903" s="9"/>
      <c r="Q2903" s="9"/>
      <c r="R2903" s="9"/>
      <c r="S2903" s="42"/>
      <c r="T2903" s="42"/>
      <c r="U2903" s="42"/>
      <c r="V2903" s="42"/>
      <c r="W2903" s="42"/>
      <c r="X2903" s="42"/>
      <c r="Y2903" s="42"/>
      <c r="Z2903" s="42"/>
      <c r="AA2903" s="42"/>
      <c r="AB2903" s="42" t="str">
        <f>IFERROR(__xludf.DUMMYFUNCTION("""COMPUTED_VALUE"""),"allen institute")</f>
        <v>allen institute</v>
      </c>
      <c r="AC2903" s="42" t="str">
        <f>IFERROR(__xludf.DUMMYFUNCTION("""COMPUTED_VALUE"""),"DHBA")</f>
        <v>DHBA</v>
      </c>
      <c r="AD2903" s="42"/>
      <c r="AE2903" s="42"/>
      <c r="AF2903" s="9"/>
      <c r="AG2903" s="9"/>
      <c r="AH2903" s="42"/>
      <c r="AI2903" s="42"/>
      <c r="AJ2903" s="42"/>
      <c r="AK2903" s="42"/>
      <c r="AL2903" s="42"/>
      <c r="AM2903" s="42"/>
      <c r="AN2903" s="42"/>
      <c r="AO2903" s="63" t="str">
        <f>IFERROR(__xludf.DUMMYFUNCTION("IF(ISBLANK(A2903),,IF(ISBLANK(S2903), A2903&amp;"";"", TEXTJOIN(CHAR(10), TRUE, A2903&amp;"";"", ARRAYFORMULA(VLOOKUP(SPLIT(S2903, "";"" &amp; CHAR(10)), $A:$AO, 41, FALSE)))))"),"7VL;")</f>
        <v>7VL;</v>
      </c>
      <c r="AP2903" s="89"/>
    </row>
    <row r="2904">
      <c r="A2904" s="151" t="str">
        <f>IFERROR(__xludf.DUMMYFUNCTION("""COMPUTED_VALUE"""),"Lac")</f>
        <v>Lac</v>
      </c>
      <c r="B2904" s="42" t="str">
        <f>IFERROR(__xludf.DUMMYFUNCTION("""COMPUTED_VALUE"""),"DHBA")</f>
        <v>DHBA</v>
      </c>
      <c r="C2904" s="42" t="str">
        <f>IFERROR(__xludf.DUMMYFUNCTION("""COMPUTED_VALUE"""),"lacrimal nucleus")</f>
        <v>lacrimal nucleus</v>
      </c>
      <c r="D2904" s="42">
        <f>IFERROR(__xludf.DUMMYFUNCTION("""COMPUTED_VALUE"""),2764.0)</f>
        <v>2764</v>
      </c>
      <c r="E2904" s="39" t="str">
        <f>IFERROR(__xludf.DUMMYFUNCTION("""COMPUTED_VALUE"""),"lacrimal nucleus")</f>
        <v>lacrimal nucleus</v>
      </c>
      <c r="F2904" s="9" t="str">
        <f>IFERROR(__xludf.DUMMYFUNCTION("""COMPUTED_VALUE"""),"Br")</f>
        <v>Br</v>
      </c>
      <c r="G2904" s="9" t="str">
        <f>IFERROR(__xludf.DUMMYFUNCTION("""COMPUTED_VALUE"""),"H")</f>
        <v>H</v>
      </c>
      <c r="H2904" s="9" t="str">
        <f>IFERROR(__xludf.DUMMYFUNCTION("""COMPUTED_VALUE"""),"HGM")</f>
        <v>HGM</v>
      </c>
      <c r="I2904" s="9" t="str">
        <f>IFERROR(__xludf.DUMMYFUNCTION("""COMPUTED_VALUE"""),"Met")</f>
        <v>Met</v>
      </c>
      <c r="J2904" s="9" t="str">
        <f>IFERROR(__xludf.DUMMYFUNCTION("""COMPUTED_VALUE"""),"Pn")</f>
        <v>Pn</v>
      </c>
      <c r="K2904" s="9" t="str">
        <f>IFERROR(__xludf.DUMMYFUNCTION("""COMPUTED_VALUE"""),"PnTg")</f>
        <v>PnTg</v>
      </c>
      <c r="L2904" s="9" t="str">
        <f>IFERROR(__xludf.DUMMYFUNCTION("""COMPUTED_VALUE"""),"PnEN")</f>
        <v>PnEN</v>
      </c>
      <c r="M2904" s="9" t="str">
        <f>IFERROR(__xludf.DUMMYFUNCTION("""COMPUTED_VALUE"""),"Lac")</f>
        <v>Lac</v>
      </c>
      <c r="N2904" s="9"/>
      <c r="O2904" s="9"/>
      <c r="P2904" s="9"/>
      <c r="Q2904" s="9"/>
      <c r="R2904" s="9"/>
      <c r="S2904" s="42"/>
      <c r="T2904" s="42"/>
      <c r="U2904" s="42"/>
      <c r="V2904" s="42"/>
      <c r="W2904" s="42"/>
      <c r="X2904" s="42"/>
      <c r="Y2904" s="42"/>
      <c r="Z2904" s="42"/>
      <c r="AA2904" s="42"/>
      <c r="AB2904" s="42" t="str">
        <f>IFERROR(__xludf.DUMMYFUNCTION("""COMPUTED_VALUE"""),"allen institute")</f>
        <v>allen institute</v>
      </c>
      <c r="AC2904" s="42" t="str">
        <f>IFERROR(__xludf.DUMMYFUNCTION("""COMPUTED_VALUE"""),"DHBA")</f>
        <v>DHBA</v>
      </c>
      <c r="AD2904" s="42"/>
      <c r="AE2904" s="42"/>
      <c r="AF2904" s="9"/>
      <c r="AG2904" s="9"/>
      <c r="AH2904" s="42"/>
      <c r="AI2904" s="42"/>
      <c r="AJ2904" s="42"/>
      <c r="AK2904" s="42"/>
      <c r="AL2904" s="42"/>
      <c r="AM2904" s="42"/>
      <c r="AN2904" s="42"/>
      <c r="AO2904" s="63" t="str">
        <f>IFERROR(__xludf.DUMMYFUNCTION("IF(ISBLANK(A2904),,IF(ISBLANK(S2904), A2904&amp;"";"", TEXTJOIN(CHAR(10), TRUE, A2904&amp;"";"", ARRAYFORMULA(VLOOKUP(SPLIT(S2904, "";"" &amp; CHAR(10)), $A:$AO, 41, FALSE)))))"),"Lac;")</f>
        <v>Lac;</v>
      </c>
      <c r="AP2904" s="89"/>
    </row>
    <row r="2905">
      <c r="A2905" s="151" t="str">
        <f>IFERROR(__xludf.DUMMYFUNCTION("""COMPUTED_VALUE"""),"Mo5")</f>
        <v>Mo5</v>
      </c>
      <c r="B2905" s="42" t="str">
        <f>IFERROR(__xludf.DUMMYFUNCTION("""COMPUTED_VALUE"""),"DHBA")</f>
        <v>DHBA</v>
      </c>
      <c r="C2905" s="42" t="str">
        <f>IFERROR(__xludf.DUMMYFUNCTION("""COMPUTED_VALUE"""),"motor nucleus of trigeminal nerve")</f>
        <v>motor nucleus of trigeminal nerve</v>
      </c>
      <c r="D2905" s="42">
        <f>IFERROR(__xludf.DUMMYFUNCTION("""COMPUTED_VALUE"""),2765.0)</f>
        <v>2765</v>
      </c>
      <c r="E2905" s="39" t="str">
        <f>IFERROR(__xludf.DUMMYFUNCTION("""COMPUTED_VALUE"""),"motor nucleus of trigeminal nerve")</f>
        <v>motor nucleus of trigeminal nerve</v>
      </c>
      <c r="F2905" s="9" t="str">
        <f>IFERROR(__xludf.DUMMYFUNCTION("""COMPUTED_VALUE"""),"Br")</f>
        <v>Br</v>
      </c>
      <c r="G2905" s="9" t="str">
        <f>IFERROR(__xludf.DUMMYFUNCTION("""COMPUTED_VALUE"""),"H")</f>
        <v>H</v>
      </c>
      <c r="H2905" s="9" t="str">
        <f>IFERROR(__xludf.DUMMYFUNCTION("""COMPUTED_VALUE"""),"HGM")</f>
        <v>HGM</v>
      </c>
      <c r="I2905" s="9" t="str">
        <f>IFERROR(__xludf.DUMMYFUNCTION("""COMPUTED_VALUE"""),"Met")</f>
        <v>Met</v>
      </c>
      <c r="J2905" s="9" t="str">
        <f>IFERROR(__xludf.DUMMYFUNCTION("""COMPUTED_VALUE"""),"Pn")</f>
        <v>Pn</v>
      </c>
      <c r="K2905" s="9" t="str">
        <f>IFERROR(__xludf.DUMMYFUNCTION("""COMPUTED_VALUE"""),"PnTg")</f>
        <v>PnTg</v>
      </c>
      <c r="L2905" s="9" t="str">
        <f>IFERROR(__xludf.DUMMYFUNCTION("""COMPUTED_VALUE"""),"PnEN")</f>
        <v>PnEN</v>
      </c>
      <c r="M2905" s="9" t="str">
        <f>IFERROR(__xludf.DUMMYFUNCTION("""COMPUTED_VALUE"""),"Mo5")</f>
        <v>Mo5</v>
      </c>
      <c r="N2905" s="9"/>
      <c r="O2905" s="9"/>
      <c r="P2905" s="9"/>
      <c r="Q2905" s="9"/>
      <c r="R2905" s="9"/>
      <c r="S2905" s="42" t="str">
        <f>IFERROR(__xludf.DUMMYFUNCTION("""COMPUTED_VALUE"""),"Mo5lpt;
Mo5ma;
Mo5mpt;
Mo5my;
Mo5te")</f>
        <v>Mo5lpt;
Mo5ma;
Mo5mpt;
Mo5my;
Mo5te</v>
      </c>
      <c r="T2905" s="42"/>
      <c r="U2905" s="42" t="b">
        <f>IFERROR(__xludf.DUMMYFUNCTION("""COMPUTED_VALUE"""),FALSE)</f>
        <v>0</v>
      </c>
      <c r="V2905" s="42"/>
      <c r="W2905" s="42"/>
      <c r="X2905" s="42"/>
      <c r="Y2905" s="42"/>
      <c r="Z2905" s="42"/>
      <c r="AA2905" s="42"/>
      <c r="AB2905" s="42" t="str">
        <f>IFERROR(__xludf.DUMMYFUNCTION("""COMPUTED_VALUE"""),"allen institute")</f>
        <v>allen institute</v>
      </c>
      <c r="AC2905" s="42" t="str">
        <f>IFERROR(__xludf.DUMMYFUNCTION("""COMPUTED_VALUE"""),"DHBA")</f>
        <v>DHBA</v>
      </c>
      <c r="AD2905" s="42"/>
      <c r="AE2905" s="42"/>
      <c r="AF2905" s="9"/>
      <c r="AG2905" s="9"/>
      <c r="AH2905" s="42"/>
      <c r="AI2905" s="42"/>
      <c r="AJ2905" s="42"/>
      <c r="AK2905" s="42"/>
      <c r="AL2905" s="42"/>
      <c r="AM2905" s="42"/>
      <c r="AN2905" s="42"/>
      <c r="AO2905" s="63" t="str">
        <f>IFERROR(__xludf.DUMMYFUNCTION("IF(ISBLANK(A2905),,IF(ISBLANK(S2905), A2905&amp;"";"", TEXTJOIN(CHAR(10), TRUE, A2905&amp;"";"", ARRAYFORMULA(VLOOKUP(SPLIT(S2905, "";"" &amp; CHAR(10)), $A:$AO, 41, FALSE)))))"),"Mo5;
Mo5lpt;
Mo5ma;
Mo5mpt;
Mo5my;
Mo5te;")</f>
        <v>Mo5;
Mo5lpt;
Mo5ma;
Mo5mpt;
Mo5my;
Mo5te;</v>
      </c>
      <c r="AP2905" s="89"/>
    </row>
    <row r="2906">
      <c r="A2906" s="151" t="str">
        <f>IFERROR(__xludf.DUMMYFUNCTION("""COMPUTED_VALUE"""),"Mo5lpt")</f>
        <v>Mo5lpt</v>
      </c>
      <c r="B2906" s="42" t="str">
        <f>IFERROR(__xludf.DUMMYFUNCTION("""COMPUTED_VALUE"""),"DHBA")</f>
        <v>DHBA</v>
      </c>
      <c r="C2906" s="42" t="str">
        <f>IFERROR(__xludf.DUMMYFUNCTION("""COMPUTED_VALUE"""),"motor nucleus of trigeminal nerve, lateral pterygoid part")</f>
        <v>motor nucleus of trigeminal nerve, lateral pterygoid part</v>
      </c>
      <c r="D2906" s="42">
        <f>IFERROR(__xludf.DUMMYFUNCTION("""COMPUTED_VALUE"""),2766.0)</f>
        <v>2766</v>
      </c>
      <c r="E2906" s="39" t="str">
        <f>IFERROR(__xludf.DUMMYFUNCTION("""COMPUTED_VALUE"""),"motor nucleus of trigeminal nerve, lateral pterygoid part")</f>
        <v>motor nucleus of trigeminal nerve, lateral pterygoid part</v>
      </c>
      <c r="F2906" s="9" t="str">
        <f>IFERROR(__xludf.DUMMYFUNCTION("""COMPUTED_VALUE"""),"Br")</f>
        <v>Br</v>
      </c>
      <c r="G2906" s="9" t="str">
        <f>IFERROR(__xludf.DUMMYFUNCTION("""COMPUTED_VALUE"""),"H")</f>
        <v>H</v>
      </c>
      <c r="H2906" s="9" t="str">
        <f>IFERROR(__xludf.DUMMYFUNCTION("""COMPUTED_VALUE"""),"HGM")</f>
        <v>HGM</v>
      </c>
      <c r="I2906" s="9" t="str">
        <f>IFERROR(__xludf.DUMMYFUNCTION("""COMPUTED_VALUE"""),"Met")</f>
        <v>Met</v>
      </c>
      <c r="J2906" s="9" t="str">
        <f>IFERROR(__xludf.DUMMYFUNCTION("""COMPUTED_VALUE"""),"Pn")</f>
        <v>Pn</v>
      </c>
      <c r="K2906" s="9" t="str">
        <f>IFERROR(__xludf.DUMMYFUNCTION("""COMPUTED_VALUE"""),"PnTg")</f>
        <v>PnTg</v>
      </c>
      <c r="L2906" s="9" t="str">
        <f>IFERROR(__xludf.DUMMYFUNCTION("""COMPUTED_VALUE"""),"PnEN")</f>
        <v>PnEN</v>
      </c>
      <c r="M2906" s="9" t="str">
        <f>IFERROR(__xludf.DUMMYFUNCTION("""COMPUTED_VALUE"""),"Mo5")</f>
        <v>Mo5</v>
      </c>
      <c r="N2906" s="9" t="str">
        <f>IFERROR(__xludf.DUMMYFUNCTION("""COMPUTED_VALUE"""),"Mo5lpt")</f>
        <v>Mo5lpt</v>
      </c>
      <c r="O2906" s="9"/>
      <c r="P2906" s="9"/>
      <c r="Q2906" s="9"/>
      <c r="R2906" s="9"/>
      <c r="S2906" s="42"/>
      <c r="T2906" s="42"/>
      <c r="U2906" s="42"/>
      <c r="V2906" s="42"/>
      <c r="W2906" s="42"/>
      <c r="X2906" s="42"/>
      <c r="Y2906" s="42"/>
      <c r="Z2906" s="42"/>
      <c r="AA2906" s="42"/>
      <c r="AB2906" s="42" t="str">
        <f>IFERROR(__xludf.DUMMYFUNCTION("""COMPUTED_VALUE"""),"allen institute")</f>
        <v>allen institute</v>
      </c>
      <c r="AC2906" s="42" t="str">
        <f>IFERROR(__xludf.DUMMYFUNCTION("""COMPUTED_VALUE"""),"DHBA")</f>
        <v>DHBA</v>
      </c>
      <c r="AD2906" s="42"/>
      <c r="AE2906" s="42"/>
      <c r="AF2906" s="9"/>
      <c r="AG2906" s="9"/>
      <c r="AH2906" s="42"/>
      <c r="AI2906" s="42"/>
      <c r="AJ2906" s="42"/>
      <c r="AK2906" s="42"/>
      <c r="AL2906" s="42"/>
      <c r="AM2906" s="42"/>
      <c r="AN2906" s="42"/>
      <c r="AO2906" s="63" t="str">
        <f>IFERROR(__xludf.DUMMYFUNCTION("IF(ISBLANK(A2906),,IF(ISBLANK(S2906), A2906&amp;"";"", TEXTJOIN(CHAR(10), TRUE, A2906&amp;"";"", ARRAYFORMULA(VLOOKUP(SPLIT(S2906, "";"" &amp; CHAR(10)), $A:$AO, 41, FALSE)))))"),"Mo5lpt;")</f>
        <v>Mo5lpt;</v>
      </c>
      <c r="AP2906" s="89"/>
    </row>
    <row r="2907">
      <c r="A2907" s="151" t="str">
        <f>IFERROR(__xludf.DUMMYFUNCTION("""COMPUTED_VALUE"""),"Mo5ma")</f>
        <v>Mo5ma</v>
      </c>
      <c r="B2907" s="42" t="str">
        <f>IFERROR(__xludf.DUMMYFUNCTION("""COMPUTED_VALUE"""),"DHBA")</f>
        <v>DHBA</v>
      </c>
      <c r="C2907" s="42" t="str">
        <f>IFERROR(__xludf.DUMMYFUNCTION("""COMPUTED_VALUE"""),"motor nucleus of trigeminal nerve, masseter part")</f>
        <v>motor nucleus of trigeminal nerve, masseter part</v>
      </c>
      <c r="D2907" s="42">
        <f>IFERROR(__xludf.DUMMYFUNCTION("""COMPUTED_VALUE"""),2767.0)</f>
        <v>2767</v>
      </c>
      <c r="E2907" s="39" t="str">
        <f>IFERROR(__xludf.DUMMYFUNCTION("""COMPUTED_VALUE"""),"motor nucleus of trigeminal nerve, masseter part")</f>
        <v>motor nucleus of trigeminal nerve, masseter part</v>
      </c>
      <c r="F2907" s="9" t="str">
        <f>IFERROR(__xludf.DUMMYFUNCTION("""COMPUTED_VALUE"""),"Br")</f>
        <v>Br</v>
      </c>
      <c r="G2907" s="9" t="str">
        <f>IFERROR(__xludf.DUMMYFUNCTION("""COMPUTED_VALUE"""),"H")</f>
        <v>H</v>
      </c>
      <c r="H2907" s="9" t="str">
        <f>IFERROR(__xludf.DUMMYFUNCTION("""COMPUTED_VALUE"""),"HGM")</f>
        <v>HGM</v>
      </c>
      <c r="I2907" s="9" t="str">
        <f>IFERROR(__xludf.DUMMYFUNCTION("""COMPUTED_VALUE"""),"Met")</f>
        <v>Met</v>
      </c>
      <c r="J2907" s="9" t="str">
        <f>IFERROR(__xludf.DUMMYFUNCTION("""COMPUTED_VALUE"""),"Pn")</f>
        <v>Pn</v>
      </c>
      <c r="K2907" s="9" t="str">
        <f>IFERROR(__xludf.DUMMYFUNCTION("""COMPUTED_VALUE"""),"PnTg")</f>
        <v>PnTg</v>
      </c>
      <c r="L2907" s="9" t="str">
        <f>IFERROR(__xludf.DUMMYFUNCTION("""COMPUTED_VALUE"""),"PnEN")</f>
        <v>PnEN</v>
      </c>
      <c r="M2907" s="9" t="str">
        <f>IFERROR(__xludf.DUMMYFUNCTION("""COMPUTED_VALUE"""),"Mo5")</f>
        <v>Mo5</v>
      </c>
      <c r="N2907" s="9" t="str">
        <f>IFERROR(__xludf.DUMMYFUNCTION("""COMPUTED_VALUE"""),"Mo5ma")</f>
        <v>Mo5ma</v>
      </c>
      <c r="O2907" s="9"/>
      <c r="P2907" s="9"/>
      <c r="Q2907" s="9"/>
      <c r="R2907" s="9"/>
      <c r="S2907" s="42"/>
      <c r="T2907" s="42"/>
      <c r="U2907" s="42"/>
      <c r="V2907" s="42"/>
      <c r="W2907" s="42"/>
      <c r="X2907" s="42"/>
      <c r="Y2907" s="42"/>
      <c r="Z2907" s="42"/>
      <c r="AA2907" s="42"/>
      <c r="AB2907" s="42" t="str">
        <f>IFERROR(__xludf.DUMMYFUNCTION("""COMPUTED_VALUE"""),"allen institute")</f>
        <v>allen institute</v>
      </c>
      <c r="AC2907" s="42" t="str">
        <f>IFERROR(__xludf.DUMMYFUNCTION("""COMPUTED_VALUE"""),"DHBA")</f>
        <v>DHBA</v>
      </c>
      <c r="AD2907" s="42"/>
      <c r="AE2907" s="42"/>
      <c r="AF2907" s="9"/>
      <c r="AG2907" s="9"/>
      <c r="AH2907" s="42"/>
      <c r="AI2907" s="42"/>
      <c r="AJ2907" s="42"/>
      <c r="AK2907" s="42"/>
      <c r="AL2907" s="42"/>
      <c r="AM2907" s="42"/>
      <c r="AN2907" s="42"/>
      <c r="AO2907" s="63" t="str">
        <f>IFERROR(__xludf.DUMMYFUNCTION("IF(ISBLANK(A2907),,IF(ISBLANK(S2907), A2907&amp;"";"", TEXTJOIN(CHAR(10), TRUE, A2907&amp;"";"", ARRAYFORMULA(VLOOKUP(SPLIT(S2907, "";"" &amp; CHAR(10)), $A:$AO, 41, FALSE)))))"),"Mo5ma;")</f>
        <v>Mo5ma;</v>
      </c>
      <c r="AP2907" s="89"/>
    </row>
    <row r="2908">
      <c r="A2908" s="151" t="str">
        <f>IFERROR(__xludf.DUMMYFUNCTION("""COMPUTED_VALUE"""),"Mo5mpt")</f>
        <v>Mo5mpt</v>
      </c>
      <c r="B2908" s="42" t="str">
        <f>IFERROR(__xludf.DUMMYFUNCTION("""COMPUTED_VALUE"""),"DHBA")</f>
        <v>DHBA</v>
      </c>
      <c r="C2908" s="42" t="str">
        <f>IFERROR(__xludf.DUMMYFUNCTION("""COMPUTED_VALUE"""),"motor nucleus of trigeminal nerve, medial pterygoid part")</f>
        <v>motor nucleus of trigeminal nerve, medial pterygoid part</v>
      </c>
      <c r="D2908" s="42">
        <f>IFERROR(__xludf.DUMMYFUNCTION("""COMPUTED_VALUE"""),2768.0)</f>
        <v>2768</v>
      </c>
      <c r="E2908" s="39" t="str">
        <f>IFERROR(__xludf.DUMMYFUNCTION("""COMPUTED_VALUE"""),"motor nucleus of trigeminal nerve, medial pterygoid part")</f>
        <v>motor nucleus of trigeminal nerve, medial pterygoid part</v>
      </c>
      <c r="F2908" s="9" t="str">
        <f>IFERROR(__xludf.DUMMYFUNCTION("""COMPUTED_VALUE"""),"Br")</f>
        <v>Br</v>
      </c>
      <c r="G2908" s="9" t="str">
        <f>IFERROR(__xludf.DUMMYFUNCTION("""COMPUTED_VALUE"""),"H")</f>
        <v>H</v>
      </c>
      <c r="H2908" s="9" t="str">
        <f>IFERROR(__xludf.DUMMYFUNCTION("""COMPUTED_VALUE"""),"HGM")</f>
        <v>HGM</v>
      </c>
      <c r="I2908" s="9" t="str">
        <f>IFERROR(__xludf.DUMMYFUNCTION("""COMPUTED_VALUE"""),"Met")</f>
        <v>Met</v>
      </c>
      <c r="J2908" s="9" t="str">
        <f>IFERROR(__xludf.DUMMYFUNCTION("""COMPUTED_VALUE"""),"Pn")</f>
        <v>Pn</v>
      </c>
      <c r="K2908" s="9" t="str">
        <f>IFERROR(__xludf.DUMMYFUNCTION("""COMPUTED_VALUE"""),"PnTg")</f>
        <v>PnTg</v>
      </c>
      <c r="L2908" s="9" t="str">
        <f>IFERROR(__xludf.DUMMYFUNCTION("""COMPUTED_VALUE"""),"PnEN")</f>
        <v>PnEN</v>
      </c>
      <c r="M2908" s="9" t="str">
        <f>IFERROR(__xludf.DUMMYFUNCTION("""COMPUTED_VALUE"""),"Mo5")</f>
        <v>Mo5</v>
      </c>
      <c r="N2908" s="9" t="str">
        <f>IFERROR(__xludf.DUMMYFUNCTION("""COMPUTED_VALUE"""),"Mo5mpt")</f>
        <v>Mo5mpt</v>
      </c>
      <c r="O2908" s="9"/>
      <c r="P2908" s="9"/>
      <c r="Q2908" s="9"/>
      <c r="R2908" s="9"/>
      <c r="S2908" s="42"/>
      <c r="T2908" s="42"/>
      <c r="U2908" s="42"/>
      <c r="V2908" s="42"/>
      <c r="W2908" s="42"/>
      <c r="X2908" s="42"/>
      <c r="Y2908" s="42"/>
      <c r="Z2908" s="42"/>
      <c r="AA2908" s="42"/>
      <c r="AB2908" s="42" t="str">
        <f>IFERROR(__xludf.DUMMYFUNCTION("""COMPUTED_VALUE"""),"allen institute")</f>
        <v>allen institute</v>
      </c>
      <c r="AC2908" s="42" t="str">
        <f>IFERROR(__xludf.DUMMYFUNCTION("""COMPUTED_VALUE"""),"DHBA")</f>
        <v>DHBA</v>
      </c>
      <c r="AD2908" s="42"/>
      <c r="AE2908" s="42"/>
      <c r="AF2908" s="9"/>
      <c r="AG2908" s="9"/>
      <c r="AH2908" s="42"/>
      <c r="AI2908" s="42"/>
      <c r="AJ2908" s="42"/>
      <c r="AK2908" s="42"/>
      <c r="AL2908" s="42"/>
      <c r="AM2908" s="42"/>
      <c r="AN2908" s="42"/>
      <c r="AO2908" s="63" t="str">
        <f>IFERROR(__xludf.DUMMYFUNCTION("IF(ISBLANK(A2908),,IF(ISBLANK(S2908), A2908&amp;"";"", TEXTJOIN(CHAR(10), TRUE, A2908&amp;"";"", ARRAYFORMULA(VLOOKUP(SPLIT(S2908, "";"" &amp; CHAR(10)), $A:$AO, 41, FALSE)))))"),"Mo5mpt;")</f>
        <v>Mo5mpt;</v>
      </c>
      <c r="AP2908" s="89"/>
    </row>
    <row r="2909">
      <c r="A2909" s="151" t="str">
        <f>IFERROR(__xludf.DUMMYFUNCTION("""COMPUTED_VALUE"""),"Mo5my")</f>
        <v>Mo5my</v>
      </c>
      <c r="B2909" s="42" t="str">
        <f>IFERROR(__xludf.DUMMYFUNCTION("""COMPUTED_VALUE"""),"DHBA")</f>
        <v>DHBA</v>
      </c>
      <c r="C2909" s="42" t="str">
        <f>IFERROR(__xludf.DUMMYFUNCTION("""COMPUTED_VALUE"""),"motor nucleus of trigeminal nerve, mylohyoid part")</f>
        <v>motor nucleus of trigeminal nerve, mylohyoid part</v>
      </c>
      <c r="D2909" s="42">
        <f>IFERROR(__xludf.DUMMYFUNCTION("""COMPUTED_VALUE"""),2769.0)</f>
        <v>2769</v>
      </c>
      <c r="E2909" s="39" t="str">
        <f>IFERROR(__xludf.DUMMYFUNCTION("""COMPUTED_VALUE"""),"motor nucleus of trigeminal nerve, mylohyoid part")</f>
        <v>motor nucleus of trigeminal nerve, mylohyoid part</v>
      </c>
      <c r="F2909" s="9" t="str">
        <f>IFERROR(__xludf.DUMMYFUNCTION("""COMPUTED_VALUE"""),"Br")</f>
        <v>Br</v>
      </c>
      <c r="G2909" s="9" t="str">
        <f>IFERROR(__xludf.DUMMYFUNCTION("""COMPUTED_VALUE"""),"H")</f>
        <v>H</v>
      </c>
      <c r="H2909" s="9" t="str">
        <f>IFERROR(__xludf.DUMMYFUNCTION("""COMPUTED_VALUE"""),"HGM")</f>
        <v>HGM</v>
      </c>
      <c r="I2909" s="9" t="str">
        <f>IFERROR(__xludf.DUMMYFUNCTION("""COMPUTED_VALUE"""),"Met")</f>
        <v>Met</v>
      </c>
      <c r="J2909" s="9" t="str">
        <f>IFERROR(__xludf.DUMMYFUNCTION("""COMPUTED_VALUE"""),"Pn")</f>
        <v>Pn</v>
      </c>
      <c r="K2909" s="9" t="str">
        <f>IFERROR(__xludf.DUMMYFUNCTION("""COMPUTED_VALUE"""),"PnTg")</f>
        <v>PnTg</v>
      </c>
      <c r="L2909" s="9" t="str">
        <f>IFERROR(__xludf.DUMMYFUNCTION("""COMPUTED_VALUE"""),"PnEN")</f>
        <v>PnEN</v>
      </c>
      <c r="M2909" s="9" t="str">
        <f>IFERROR(__xludf.DUMMYFUNCTION("""COMPUTED_VALUE"""),"Mo5")</f>
        <v>Mo5</v>
      </c>
      <c r="N2909" s="9" t="str">
        <f>IFERROR(__xludf.DUMMYFUNCTION("""COMPUTED_VALUE"""),"Mo5my")</f>
        <v>Mo5my</v>
      </c>
      <c r="O2909" s="9"/>
      <c r="P2909" s="9"/>
      <c r="Q2909" s="9"/>
      <c r="R2909" s="9"/>
      <c r="S2909" s="42"/>
      <c r="T2909" s="42"/>
      <c r="U2909" s="42"/>
      <c r="V2909" s="42"/>
      <c r="W2909" s="42"/>
      <c r="X2909" s="42"/>
      <c r="Y2909" s="42"/>
      <c r="Z2909" s="42"/>
      <c r="AA2909" s="42"/>
      <c r="AB2909" s="42" t="str">
        <f>IFERROR(__xludf.DUMMYFUNCTION("""COMPUTED_VALUE"""),"allen institute")</f>
        <v>allen institute</v>
      </c>
      <c r="AC2909" s="42" t="str">
        <f>IFERROR(__xludf.DUMMYFUNCTION("""COMPUTED_VALUE"""),"DHBA")</f>
        <v>DHBA</v>
      </c>
      <c r="AD2909" s="42"/>
      <c r="AE2909" s="42"/>
      <c r="AF2909" s="9"/>
      <c r="AG2909" s="9"/>
      <c r="AH2909" s="42"/>
      <c r="AI2909" s="42"/>
      <c r="AJ2909" s="42"/>
      <c r="AK2909" s="42"/>
      <c r="AL2909" s="42"/>
      <c r="AM2909" s="42"/>
      <c r="AN2909" s="42"/>
      <c r="AO2909" s="63" t="str">
        <f>IFERROR(__xludf.DUMMYFUNCTION("IF(ISBLANK(A2909),,IF(ISBLANK(S2909), A2909&amp;"";"", TEXTJOIN(CHAR(10), TRUE, A2909&amp;"";"", ARRAYFORMULA(VLOOKUP(SPLIT(S2909, "";"" &amp; CHAR(10)), $A:$AO, 41, FALSE)))))"),"Mo5my;")</f>
        <v>Mo5my;</v>
      </c>
      <c r="AP2909" s="89"/>
    </row>
    <row r="2910">
      <c r="A2910" s="151" t="str">
        <f>IFERROR(__xludf.DUMMYFUNCTION("""COMPUTED_VALUE"""),"Mo5te")</f>
        <v>Mo5te</v>
      </c>
      <c r="B2910" s="42" t="str">
        <f>IFERROR(__xludf.DUMMYFUNCTION("""COMPUTED_VALUE"""),"DHBA")</f>
        <v>DHBA</v>
      </c>
      <c r="C2910" s="42" t="str">
        <f>IFERROR(__xludf.DUMMYFUNCTION("""COMPUTED_VALUE"""),"motor nucleus of trigeminal nerve, temporalis part")</f>
        <v>motor nucleus of trigeminal nerve, temporalis part</v>
      </c>
      <c r="D2910" s="42">
        <f>IFERROR(__xludf.DUMMYFUNCTION("""COMPUTED_VALUE"""),2770.0)</f>
        <v>2770</v>
      </c>
      <c r="E2910" s="39" t="str">
        <f>IFERROR(__xludf.DUMMYFUNCTION("""COMPUTED_VALUE"""),"motor nucleus of trigeminal nerve, temporalis part")</f>
        <v>motor nucleus of trigeminal nerve, temporalis part</v>
      </c>
      <c r="F2910" s="9" t="str">
        <f>IFERROR(__xludf.DUMMYFUNCTION("""COMPUTED_VALUE"""),"Br")</f>
        <v>Br</v>
      </c>
      <c r="G2910" s="9" t="str">
        <f>IFERROR(__xludf.DUMMYFUNCTION("""COMPUTED_VALUE"""),"H")</f>
        <v>H</v>
      </c>
      <c r="H2910" s="9" t="str">
        <f>IFERROR(__xludf.DUMMYFUNCTION("""COMPUTED_VALUE"""),"HGM")</f>
        <v>HGM</v>
      </c>
      <c r="I2910" s="9" t="str">
        <f>IFERROR(__xludf.DUMMYFUNCTION("""COMPUTED_VALUE"""),"Met")</f>
        <v>Met</v>
      </c>
      <c r="J2910" s="9" t="str">
        <f>IFERROR(__xludf.DUMMYFUNCTION("""COMPUTED_VALUE"""),"Pn")</f>
        <v>Pn</v>
      </c>
      <c r="K2910" s="9" t="str">
        <f>IFERROR(__xludf.DUMMYFUNCTION("""COMPUTED_VALUE"""),"PnTg")</f>
        <v>PnTg</v>
      </c>
      <c r="L2910" s="9" t="str">
        <f>IFERROR(__xludf.DUMMYFUNCTION("""COMPUTED_VALUE"""),"PnEN")</f>
        <v>PnEN</v>
      </c>
      <c r="M2910" s="9" t="str">
        <f>IFERROR(__xludf.DUMMYFUNCTION("""COMPUTED_VALUE"""),"Mo5")</f>
        <v>Mo5</v>
      </c>
      <c r="N2910" s="9" t="str">
        <f>IFERROR(__xludf.DUMMYFUNCTION("""COMPUTED_VALUE"""),"Mo5te")</f>
        <v>Mo5te</v>
      </c>
      <c r="O2910" s="9"/>
      <c r="P2910" s="9"/>
      <c r="Q2910" s="9"/>
      <c r="R2910" s="9"/>
      <c r="S2910" s="42"/>
      <c r="T2910" s="42"/>
      <c r="U2910" s="42"/>
      <c r="V2910" s="42"/>
      <c r="W2910" s="42"/>
      <c r="X2910" s="42"/>
      <c r="Y2910" s="42"/>
      <c r="Z2910" s="42"/>
      <c r="AA2910" s="42"/>
      <c r="AB2910" s="42" t="str">
        <f>IFERROR(__xludf.DUMMYFUNCTION("""COMPUTED_VALUE"""),"allen institute")</f>
        <v>allen institute</v>
      </c>
      <c r="AC2910" s="42" t="str">
        <f>IFERROR(__xludf.DUMMYFUNCTION("""COMPUTED_VALUE"""),"DHBA")</f>
        <v>DHBA</v>
      </c>
      <c r="AD2910" s="42"/>
      <c r="AE2910" s="42"/>
      <c r="AF2910" s="9"/>
      <c r="AG2910" s="9"/>
      <c r="AH2910" s="42"/>
      <c r="AI2910" s="42"/>
      <c r="AJ2910" s="42"/>
      <c r="AK2910" s="42"/>
      <c r="AL2910" s="42"/>
      <c r="AM2910" s="42"/>
      <c r="AN2910" s="42"/>
      <c r="AO2910" s="63" t="str">
        <f>IFERROR(__xludf.DUMMYFUNCTION("IF(ISBLANK(A2910),,IF(ISBLANK(S2910), A2910&amp;"";"", TEXTJOIN(CHAR(10), TRUE, A2910&amp;"";"", ARRAYFORMULA(VLOOKUP(SPLIT(S2910, "";"" &amp; CHAR(10)), $A:$AO, 41, FALSE)))))"),"Mo5te;")</f>
        <v>Mo5te;</v>
      </c>
      <c r="AP2910" s="89"/>
    </row>
    <row r="2911">
      <c r="A2911" s="151" t="str">
        <f>IFERROR(__xludf.DUMMYFUNCTION("""COMPUTED_VALUE"""),"SuSV")</f>
        <v>SuSV</v>
      </c>
      <c r="B2911" s="42" t="str">
        <f>IFERROR(__xludf.DUMMYFUNCTION("""COMPUTED_VALUE"""),"DHBA")</f>
        <v>DHBA</v>
      </c>
      <c r="C2911" s="42" t="str">
        <f>IFERROR(__xludf.DUMMYFUNCTION("""COMPUTED_VALUE"""),"superior salivatory nucleus")</f>
        <v>superior salivatory nucleus</v>
      </c>
      <c r="D2911" s="42">
        <f>IFERROR(__xludf.DUMMYFUNCTION("""COMPUTED_VALUE"""),2771.0)</f>
        <v>2771</v>
      </c>
      <c r="E2911" s="39" t="str">
        <f>IFERROR(__xludf.DUMMYFUNCTION("""COMPUTED_VALUE"""),"superior salivatory nucleus")</f>
        <v>superior salivatory nucleus</v>
      </c>
      <c r="F2911" s="9" t="str">
        <f>IFERROR(__xludf.DUMMYFUNCTION("""COMPUTED_VALUE"""),"Br")</f>
        <v>Br</v>
      </c>
      <c r="G2911" s="9" t="str">
        <f>IFERROR(__xludf.DUMMYFUNCTION("""COMPUTED_VALUE"""),"H")</f>
        <v>H</v>
      </c>
      <c r="H2911" s="9" t="str">
        <f>IFERROR(__xludf.DUMMYFUNCTION("""COMPUTED_VALUE"""),"HGM")</f>
        <v>HGM</v>
      </c>
      <c r="I2911" s="9" t="str">
        <f>IFERROR(__xludf.DUMMYFUNCTION("""COMPUTED_VALUE"""),"Met")</f>
        <v>Met</v>
      </c>
      <c r="J2911" s="9" t="str">
        <f>IFERROR(__xludf.DUMMYFUNCTION("""COMPUTED_VALUE"""),"Pn")</f>
        <v>Pn</v>
      </c>
      <c r="K2911" s="9" t="str">
        <f>IFERROR(__xludf.DUMMYFUNCTION("""COMPUTED_VALUE"""),"PnTg")</f>
        <v>PnTg</v>
      </c>
      <c r="L2911" s="9" t="str">
        <f>IFERROR(__xludf.DUMMYFUNCTION("""COMPUTED_VALUE"""),"PnEN")</f>
        <v>PnEN</v>
      </c>
      <c r="M2911" s="9" t="str">
        <f>IFERROR(__xludf.DUMMYFUNCTION("""COMPUTED_VALUE"""),"SuSV")</f>
        <v>SuSV</v>
      </c>
      <c r="N2911" s="9"/>
      <c r="O2911" s="9"/>
      <c r="P2911" s="9"/>
      <c r="Q2911" s="9"/>
      <c r="R2911" s="9"/>
      <c r="S2911" s="42"/>
      <c r="T2911" s="42"/>
      <c r="U2911" s="42"/>
      <c r="V2911" s="42"/>
      <c r="W2911" s="42"/>
      <c r="X2911" s="42"/>
      <c r="Y2911" s="42"/>
      <c r="Z2911" s="42"/>
      <c r="AA2911" s="42"/>
      <c r="AB2911" s="42" t="str">
        <f>IFERROR(__xludf.DUMMYFUNCTION("""COMPUTED_VALUE"""),"allen institute")</f>
        <v>allen institute</v>
      </c>
      <c r="AC2911" s="42" t="str">
        <f>IFERROR(__xludf.DUMMYFUNCTION("""COMPUTED_VALUE"""),"DHBA")</f>
        <v>DHBA</v>
      </c>
      <c r="AD2911" s="42"/>
      <c r="AE2911" s="42"/>
      <c r="AF2911" s="9"/>
      <c r="AG2911" s="9"/>
      <c r="AH2911" s="42"/>
      <c r="AI2911" s="42"/>
      <c r="AJ2911" s="42"/>
      <c r="AK2911" s="42"/>
      <c r="AL2911" s="42"/>
      <c r="AM2911" s="42"/>
      <c r="AN2911" s="42"/>
      <c r="AO2911" s="63" t="str">
        <f>IFERROR(__xludf.DUMMYFUNCTION("IF(ISBLANK(A2911),,IF(ISBLANK(S2911), A2911&amp;"";"", TEXTJOIN(CHAR(10), TRUE, A2911&amp;"";"", ARRAYFORMULA(VLOOKUP(SPLIT(S2911, "";"" &amp; CHAR(10)), $A:$AO, 41, FALSE)))))"),"SuSV;")</f>
        <v>SuSV;</v>
      </c>
      <c r="AP2911" s="89"/>
    </row>
    <row r="2912">
      <c r="A2912" s="151" t="str">
        <f>IFERROR(__xludf.DUMMYFUNCTION("""COMPUTED_VALUE"""),"PnAN")</f>
        <v>PnAN</v>
      </c>
      <c r="B2912" s="42" t="str">
        <f>IFERROR(__xludf.DUMMYFUNCTION("""COMPUTED_VALUE"""),"DHBA")</f>
        <v>DHBA</v>
      </c>
      <c r="C2912" s="42" t="str">
        <f>IFERROR(__xludf.DUMMYFUNCTION("""COMPUTED_VALUE"""),"afferent nuclei of cranial nerves in pons")</f>
        <v>afferent nuclei of cranial nerves in pons</v>
      </c>
      <c r="D2912" s="42">
        <f>IFERROR(__xludf.DUMMYFUNCTION("""COMPUTED_VALUE"""),2772.0)</f>
        <v>2772</v>
      </c>
      <c r="E2912" s="39" t="str">
        <f>IFERROR(__xludf.DUMMYFUNCTION("""COMPUTED_VALUE"""),"afferent nuclei of cranial nerves in pons")</f>
        <v>afferent nuclei of cranial nerves in pons</v>
      </c>
      <c r="F2912" s="9" t="str">
        <f>IFERROR(__xludf.DUMMYFUNCTION("""COMPUTED_VALUE"""),"Br")</f>
        <v>Br</v>
      </c>
      <c r="G2912" s="9" t="str">
        <f>IFERROR(__xludf.DUMMYFUNCTION("""COMPUTED_VALUE"""),"H")</f>
        <v>H</v>
      </c>
      <c r="H2912" s="9" t="str">
        <f>IFERROR(__xludf.DUMMYFUNCTION("""COMPUTED_VALUE"""),"HGM")</f>
        <v>HGM</v>
      </c>
      <c r="I2912" s="9" t="str">
        <f>IFERROR(__xludf.DUMMYFUNCTION("""COMPUTED_VALUE"""),"Met")</f>
        <v>Met</v>
      </c>
      <c r="J2912" s="9" t="str">
        <f>IFERROR(__xludf.DUMMYFUNCTION("""COMPUTED_VALUE"""),"Pn")</f>
        <v>Pn</v>
      </c>
      <c r="K2912" s="9" t="str">
        <f>IFERROR(__xludf.DUMMYFUNCTION("""COMPUTED_VALUE"""),"PnTg")</f>
        <v>PnTg</v>
      </c>
      <c r="L2912" s="9" t="str">
        <f>IFERROR(__xludf.DUMMYFUNCTION("""COMPUTED_VALUE"""),"PnAN")</f>
        <v>PnAN</v>
      </c>
      <c r="M2912" s="9"/>
      <c r="N2912" s="9"/>
      <c r="O2912" s="9"/>
      <c r="P2912" s="9"/>
      <c r="Q2912" s="9"/>
      <c r="R2912" s="9"/>
      <c r="S2912" s="42" t="str">
        <f>IFERROR(__xludf.DUMMYFUNCTION("""COMPUTED_VALUE"""),"_8Co;
Me5_p;
Pr5;
Sp5o;
_8Ve_p")</f>
        <v>_8Co;
Me5_p;
Pr5;
Sp5o;
_8Ve_p</v>
      </c>
      <c r="T2912" s="42"/>
      <c r="U2912" s="42" t="b">
        <f>IFERROR(__xludf.DUMMYFUNCTION("""COMPUTED_VALUE"""),FALSE)</f>
        <v>0</v>
      </c>
      <c r="V2912" s="42"/>
      <c r="W2912" s="42"/>
      <c r="X2912" s="42"/>
      <c r="Y2912" s="42"/>
      <c r="Z2912" s="42"/>
      <c r="AA2912" s="42"/>
      <c r="AB2912" s="42" t="str">
        <f>IFERROR(__xludf.DUMMYFUNCTION("""COMPUTED_VALUE"""),"allen institute")</f>
        <v>allen institute</v>
      </c>
      <c r="AC2912" s="42" t="str">
        <f>IFERROR(__xludf.DUMMYFUNCTION("""COMPUTED_VALUE"""),"DHBA")</f>
        <v>DHBA</v>
      </c>
      <c r="AD2912" s="42"/>
      <c r="AE2912" s="42"/>
      <c r="AF2912" s="9"/>
      <c r="AG2912" s="9"/>
      <c r="AH2912" s="42"/>
      <c r="AI2912" s="42"/>
      <c r="AJ2912" s="42"/>
      <c r="AK2912" s="42"/>
      <c r="AL2912" s="42"/>
      <c r="AM2912" s="42"/>
      <c r="AN2912" s="42"/>
      <c r="AO2912" s="63" t="str">
        <f>IFERROR(__xludf.DUMMYFUNCTION("IF(ISBLANK(A2912),,IF(ISBLANK(S2912), A2912&amp;"";"", TEXTJOIN(CHAR(10), TRUE, A2912&amp;"";"", ARRAYFORMULA(VLOOKUP(SPLIT(S2912, "";"" &amp; CHAR(10)), $A:$AO, 41, FALSE)))))"),"#N/A")</f>
        <v>#N/A</v>
      </c>
      <c r="AP2912" s="89"/>
    </row>
    <row r="2913">
      <c r="A2913" s="151" t="str">
        <f>IFERROR(__xludf.DUMMYFUNCTION("""COMPUTED_VALUE"""),"8Co")</f>
        <v>8Co</v>
      </c>
      <c r="B2913" s="42" t="str">
        <f>IFERROR(__xludf.DUMMYFUNCTION("""COMPUTED_VALUE"""),"DHBA")</f>
        <v>DHBA</v>
      </c>
      <c r="C2913" s="42" t="str">
        <f>IFERROR(__xludf.DUMMYFUNCTION("""COMPUTED_VALUE"""),"cochlear nuclei")</f>
        <v>cochlear nuclei</v>
      </c>
      <c r="D2913" s="42">
        <f>IFERROR(__xludf.DUMMYFUNCTION("""COMPUTED_VALUE"""),2773.0)</f>
        <v>2773</v>
      </c>
      <c r="E2913" s="39" t="str">
        <f>IFERROR(__xludf.DUMMYFUNCTION("""COMPUTED_VALUE"""),"cochlear nuclei")</f>
        <v>cochlear nuclei</v>
      </c>
      <c r="F2913" s="9" t="str">
        <f>IFERROR(__xludf.DUMMYFUNCTION("""COMPUTED_VALUE"""),"Br")</f>
        <v>Br</v>
      </c>
      <c r="G2913" s="9" t="str">
        <f>IFERROR(__xludf.DUMMYFUNCTION("""COMPUTED_VALUE"""),"H")</f>
        <v>H</v>
      </c>
      <c r="H2913" s="9" t="str">
        <f>IFERROR(__xludf.DUMMYFUNCTION("""COMPUTED_VALUE"""),"HGM")</f>
        <v>HGM</v>
      </c>
      <c r="I2913" s="9" t="str">
        <f>IFERROR(__xludf.DUMMYFUNCTION("""COMPUTED_VALUE"""),"Met")</f>
        <v>Met</v>
      </c>
      <c r="J2913" s="9" t="str">
        <f>IFERROR(__xludf.DUMMYFUNCTION("""COMPUTED_VALUE"""),"Pn")</f>
        <v>Pn</v>
      </c>
      <c r="K2913" s="9" t="str">
        <f>IFERROR(__xludf.DUMMYFUNCTION("""COMPUTED_VALUE"""),"PnTg")</f>
        <v>PnTg</v>
      </c>
      <c r="L2913" s="9" t="str">
        <f>IFERROR(__xludf.DUMMYFUNCTION("""COMPUTED_VALUE"""),"PnAN")</f>
        <v>PnAN</v>
      </c>
      <c r="M2913" s="9" t="str">
        <f>IFERROR(__xludf.DUMMYFUNCTION("""COMPUTED_VALUE"""),"8Co")</f>
        <v>8Co</v>
      </c>
      <c r="N2913" s="9"/>
      <c r="O2913" s="9"/>
      <c r="P2913" s="9"/>
      <c r="Q2913" s="9"/>
      <c r="R2913" s="9"/>
      <c r="S2913" s="42"/>
      <c r="T2913" s="42"/>
      <c r="U2913" s="42"/>
      <c r="V2913" s="42"/>
      <c r="W2913" s="42"/>
      <c r="X2913" s="42"/>
      <c r="Y2913" s="42"/>
      <c r="Z2913" s="42"/>
      <c r="AA2913" s="42"/>
      <c r="AB2913" s="42" t="str">
        <f>IFERROR(__xludf.DUMMYFUNCTION("""COMPUTED_VALUE"""),"allen institute")</f>
        <v>allen institute</v>
      </c>
      <c r="AC2913" s="42" t="str">
        <f>IFERROR(__xludf.DUMMYFUNCTION("""COMPUTED_VALUE"""),"DHBA")</f>
        <v>DHBA</v>
      </c>
      <c r="AD2913" s="42"/>
      <c r="AE2913" s="42"/>
      <c r="AF2913" s="9"/>
      <c r="AG2913" s="9"/>
      <c r="AH2913" s="42"/>
      <c r="AI2913" s="42"/>
      <c r="AJ2913" s="42"/>
      <c r="AK2913" s="42"/>
      <c r="AL2913" s="42"/>
      <c r="AM2913" s="42"/>
      <c r="AN2913" s="42"/>
      <c r="AO2913" s="63" t="str">
        <f>IFERROR(__xludf.DUMMYFUNCTION("IF(ISBLANK(A2913),,IF(ISBLANK(S2913), A2913&amp;"";"", TEXTJOIN(CHAR(10), TRUE, A2913&amp;"";"", ARRAYFORMULA(VLOOKUP(SPLIT(S2913, "";"" &amp; CHAR(10)), $A:$AO, 41, FALSE)))))"),"8Co;")</f>
        <v>8Co;</v>
      </c>
      <c r="AP2913" s="89"/>
    </row>
    <row r="2914">
      <c r="A2914" s="151" t="str">
        <f>IFERROR(__xludf.DUMMYFUNCTION("""COMPUTED_VALUE"""),"DCo")</f>
        <v>DCo</v>
      </c>
      <c r="B2914" s="42" t="str">
        <f>IFERROR(__xludf.DUMMYFUNCTION("""COMPUTED_VALUE"""),"DHBA")</f>
        <v>DHBA</v>
      </c>
      <c r="C2914" s="42" t="str">
        <f>IFERROR(__xludf.DUMMYFUNCTION("""COMPUTED_VALUE"""),"dorsal cochlear nucleus")</f>
        <v>dorsal cochlear nucleus</v>
      </c>
      <c r="D2914" s="42">
        <f>IFERROR(__xludf.DUMMYFUNCTION("""COMPUTED_VALUE"""),2774.0)</f>
        <v>2774</v>
      </c>
      <c r="E2914" s="39" t="str">
        <f>IFERROR(__xludf.DUMMYFUNCTION("""COMPUTED_VALUE"""),"dorsal cochlear nucleus")</f>
        <v>dorsal cochlear nucleus</v>
      </c>
      <c r="F2914" s="9" t="str">
        <f>IFERROR(__xludf.DUMMYFUNCTION("""COMPUTED_VALUE"""),"Br")</f>
        <v>Br</v>
      </c>
      <c r="G2914" s="9" t="str">
        <f>IFERROR(__xludf.DUMMYFUNCTION("""COMPUTED_VALUE"""),"H")</f>
        <v>H</v>
      </c>
      <c r="H2914" s="9" t="str">
        <f>IFERROR(__xludf.DUMMYFUNCTION("""COMPUTED_VALUE"""),"HGM")</f>
        <v>HGM</v>
      </c>
      <c r="I2914" s="9" t="str">
        <f>IFERROR(__xludf.DUMMYFUNCTION("""COMPUTED_VALUE"""),"Met")</f>
        <v>Met</v>
      </c>
      <c r="J2914" s="9" t="str">
        <f>IFERROR(__xludf.DUMMYFUNCTION("""COMPUTED_VALUE"""),"Pn")</f>
        <v>Pn</v>
      </c>
      <c r="K2914" s="9" t="str">
        <f>IFERROR(__xludf.DUMMYFUNCTION("""COMPUTED_VALUE"""),"PnTg")</f>
        <v>PnTg</v>
      </c>
      <c r="L2914" s="9" t="str">
        <f>IFERROR(__xludf.DUMMYFUNCTION("""COMPUTED_VALUE"""),"PnAN")</f>
        <v>PnAN</v>
      </c>
      <c r="M2914" s="9" t="str">
        <f>IFERROR(__xludf.DUMMYFUNCTION("""COMPUTED_VALUE"""),"8Co")</f>
        <v>8Co</v>
      </c>
      <c r="N2914" s="9" t="str">
        <f>IFERROR(__xludf.DUMMYFUNCTION("""COMPUTED_VALUE"""),"DCo")</f>
        <v>DCo</v>
      </c>
      <c r="O2914" s="9"/>
      <c r="P2914" s="9"/>
      <c r="Q2914" s="9"/>
      <c r="R2914" s="9"/>
      <c r="S2914" s="42"/>
      <c r="T2914" s="42"/>
      <c r="U2914" s="42"/>
      <c r="V2914" s="42"/>
      <c r="W2914" s="42"/>
      <c r="X2914" s="42"/>
      <c r="Y2914" s="42"/>
      <c r="Z2914" s="42"/>
      <c r="AA2914" s="42"/>
      <c r="AB2914" s="42" t="str">
        <f>IFERROR(__xludf.DUMMYFUNCTION("""COMPUTED_VALUE"""),"allen institute")</f>
        <v>allen institute</v>
      </c>
      <c r="AC2914" s="42" t="str">
        <f>IFERROR(__xludf.DUMMYFUNCTION("""COMPUTED_VALUE"""),"DHBA")</f>
        <v>DHBA</v>
      </c>
      <c r="AD2914" s="42"/>
      <c r="AE2914" s="42"/>
      <c r="AF2914" s="9"/>
      <c r="AG2914" s="9"/>
      <c r="AH2914" s="42"/>
      <c r="AI2914" s="42"/>
      <c r="AJ2914" s="42"/>
      <c r="AK2914" s="42"/>
      <c r="AL2914" s="42"/>
      <c r="AM2914" s="42"/>
      <c r="AN2914" s="42"/>
      <c r="AO2914" s="63" t="str">
        <f>IFERROR(__xludf.DUMMYFUNCTION("IF(ISBLANK(A2914),,IF(ISBLANK(S2914), A2914&amp;"";"", TEXTJOIN(CHAR(10), TRUE, A2914&amp;"";"", ARRAYFORMULA(VLOOKUP(SPLIT(S2914, "";"" &amp; CHAR(10)), $A:$AO, 41, FALSE)))))"),"DCo;")</f>
        <v>DCo;</v>
      </c>
      <c r="AP2914" s="89"/>
    </row>
    <row r="2915">
      <c r="A2915" s="151" t="str">
        <f>IFERROR(__xludf.DUMMYFUNCTION("""COMPUTED_VALUE"""),"GrCo")</f>
        <v>GrCo</v>
      </c>
      <c r="B2915" s="42" t="str">
        <f>IFERROR(__xludf.DUMMYFUNCTION("""COMPUTED_VALUE"""),"DHBA")</f>
        <v>DHBA</v>
      </c>
      <c r="C2915" s="42" t="str">
        <f>IFERROR(__xludf.DUMMYFUNCTION("""COMPUTED_VALUE"""),"granular cell layer of cochlear nuclei")</f>
        <v>granular cell layer of cochlear nuclei</v>
      </c>
      <c r="D2915" s="42">
        <f>IFERROR(__xludf.DUMMYFUNCTION("""COMPUTED_VALUE"""),2775.0)</f>
        <v>2775</v>
      </c>
      <c r="E2915" s="39" t="str">
        <f>IFERROR(__xludf.DUMMYFUNCTION("""COMPUTED_VALUE"""),"granular cell layer of cochlear nuclei")</f>
        <v>granular cell layer of cochlear nuclei</v>
      </c>
      <c r="F2915" s="9" t="str">
        <f>IFERROR(__xludf.DUMMYFUNCTION("""COMPUTED_VALUE"""),"Br")</f>
        <v>Br</v>
      </c>
      <c r="G2915" s="9" t="str">
        <f>IFERROR(__xludf.DUMMYFUNCTION("""COMPUTED_VALUE"""),"H")</f>
        <v>H</v>
      </c>
      <c r="H2915" s="9" t="str">
        <f>IFERROR(__xludf.DUMMYFUNCTION("""COMPUTED_VALUE"""),"HGM")</f>
        <v>HGM</v>
      </c>
      <c r="I2915" s="9" t="str">
        <f>IFERROR(__xludf.DUMMYFUNCTION("""COMPUTED_VALUE"""),"Met")</f>
        <v>Met</v>
      </c>
      <c r="J2915" s="9" t="str">
        <f>IFERROR(__xludf.DUMMYFUNCTION("""COMPUTED_VALUE"""),"Pn")</f>
        <v>Pn</v>
      </c>
      <c r="K2915" s="9" t="str">
        <f>IFERROR(__xludf.DUMMYFUNCTION("""COMPUTED_VALUE"""),"PnTg")</f>
        <v>PnTg</v>
      </c>
      <c r="L2915" s="9" t="str">
        <f>IFERROR(__xludf.DUMMYFUNCTION("""COMPUTED_VALUE"""),"PnAN")</f>
        <v>PnAN</v>
      </c>
      <c r="M2915" s="9" t="str">
        <f>IFERROR(__xludf.DUMMYFUNCTION("""COMPUTED_VALUE"""),"8Co")</f>
        <v>8Co</v>
      </c>
      <c r="N2915" s="9" t="str">
        <f>IFERROR(__xludf.DUMMYFUNCTION("""COMPUTED_VALUE"""),"GrCo")</f>
        <v>GrCo</v>
      </c>
      <c r="O2915" s="9"/>
      <c r="P2915" s="9"/>
      <c r="Q2915" s="9"/>
      <c r="R2915" s="9"/>
      <c r="S2915" s="42"/>
      <c r="T2915" s="42"/>
      <c r="U2915" s="42"/>
      <c r="V2915" s="42"/>
      <c r="W2915" s="42"/>
      <c r="X2915" s="42"/>
      <c r="Y2915" s="42"/>
      <c r="Z2915" s="42"/>
      <c r="AA2915" s="42"/>
      <c r="AB2915" s="42" t="str">
        <f>IFERROR(__xludf.DUMMYFUNCTION("""COMPUTED_VALUE"""),"allen institute")</f>
        <v>allen institute</v>
      </c>
      <c r="AC2915" s="42" t="str">
        <f>IFERROR(__xludf.DUMMYFUNCTION("""COMPUTED_VALUE"""),"DHBA")</f>
        <v>DHBA</v>
      </c>
      <c r="AD2915" s="42"/>
      <c r="AE2915" s="42"/>
      <c r="AF2915" s="9"/>
      <c r="AG2915" s="9"/>
      <c r="AH2915" s="42"/>
      <c r="AI2915" s="42"/>
      <c r="AJ2915" s="42"/>
      <c r="AK2915" s="42"/>
      <c r="AL2915" s="42"/>
      <c r="AM2915" s="42"/>
      <c r="AN2915" s="42"/>
      <c r="AO2915" s="63" t="str">
        <f>IFERROR(__xludf.DUMMYFUNCTION("IF(ISBLANK(A2915),,IF(ISBLANK(S2915), A2915&amp;"";"", TEXTJOIN(CHAR(10), TRUE, A2915&amp;"";"", ARRAYFORMULA(VLOOKUP(SPLIT(S2915, "";"" &amp; CHAR(10)), $A:$AO, 41, FALSE)))))"),"GrCo;")</f>
        <v>GrCo;</v>
      </c>
      <c r="AP2915" s="89"/>
    </row>
    <row r="2916">
      <c r="A2916" s="151" t="str">
        <f>IFERROR(__xludf.DUMMYFUNCTION("""COMPUTED_VALUE"""),"VCo")</f>
        <v>VCo</v>
      </c>
      <c r="B2916" s="42" t="str">
        <f>IFERROR(__xludf.DUMMYFUNCTION("""COMPUTED_VALUE"""),"DHBA")</f>
        <v>DHBA</v>
      </c>
      <c r="C2916" s="42" t="str">
        <f>IFERROR(__xludf.DUMMYFUNCTION("""COMPUTED_VALUE"""),"ventral cochlear nucleus")</f>
        <v>ventral cochlear nucleus</v>
      </c>
      <c r="D2916" s="42">
        <f>IFERROR(__xludf.DUMMYFUNCTION("""COMPUTED_VALUE"""),2776.0)</f>
        <v>2776</v>
      </c>
      <c r="E2916" s="39" t="str">
        <f>IFERROR(__xludf.DUMMYFUNCTION("""COMPUTED_VALUE"""),"ventral cochlear nucleus")</f>
        <v>ventral cochlear nucleus</v>
      </c>
      <c r="F2916" s="9" t="str">
        <f>IFERROR(__xludf.DUMMYFUNCTION("""COMPUTED_VALUE"""),"Br")</f>
        <v>Br</v>
      </c>
      <c r="G2916" s="9" t="str">
        <f>IFERROR(__xludf.DUMMYFUNCTION("""COMPUTED_VALUE"""),"H")</f>
        <v>H</v>
      </c>
      <c r="H2916" s="9" t="str">
        <f>IFERROR(__xludf.DUMMYFUNCTION("""COMPUTED_VALUE"""),"HGM")</f>
        <v>HGM</v>
      </c>
      <c r="I2916" s="9" t="str">
        <f>IFERROR(__xludf.DUMMYFUNCTION("""COMPUTED_VALUE"""),"Met")</f>
        <v>Met</v>
      </c>
      <c r="J2916" s="9" t="str">
        <f>IFERROR(__xludf.DUMMYFUNCTION("""COMPUTED_VALUE"""),"Pn")</f>
        <v>Pn</v>
      </c>
      <c r="K2916" s="9" t="str">
        <f>IFERROR(__xludf.DUMMYFUNCTION("""COMPUTED_VALUE"""),"PnTg")</f>
        <v>PnTg</v>
      </c>
      <c r="L2916" s="9" t="str">
        <f>IFERROR(__xludf.DUMMYFUNCTION("""COMPUTED_VALUE"""),"PnAN")</f>
        <v>PnAN</v>
      </c>
      <c r="M2916" s="9" t="str">
        <f>IFERROR(__xludf.DUMMYFUNCTION("""COMPUTED_VALUE"""),"8Co")</f>
        <v>8Co</v>
      </c>
      <c r="N2916" s="9" t="str">
        <f>IFERROR(__xludf.DUMMYFUNCTION("""COMPUTED_VALUE"""),"VCo")</f>
        <v>VCo</v>
      </c>
      <c r="O2916" s="9"/>
      <c r="P2916" s="9"/>
      <c r="Q2916" s="9"/>
      <c r="R2916" s="9"/>
      <c r="S2916" s="42" t="str">
        <f>IFERROR(__xludf.DUMMYFUNCTION("""COMPUTED_VALUE"""),"VCoR;
VCoC")</f>
        <v>VCoR;
VCoC</v>
      </c>
      <c r="T2916" s="42"/>
      <c r="U2916" s="42" t="b">
        <f>IFERROR(__xludf.DUMMYFUNCTION("""COMPUTED_VALUE"""),FALSE)</f>
        <v>0</v>
      </c>
      <c r="V2916" s="42"/>
      <c r="W2916" s="42"/>
      <c r="X2916" s="42"/>
      <c r="Y2916" s="42"/>
      <c r="Z2916" s="42"/>
      <c r="AA2916" s="42"/>
      <c r="AB2916" s="42" t="str">
        <f>IFERROR(__xludf.DUMMYFUNCTION("""COMPUTED_VALUE"""),"allen institute")</f>
        <v>allen institute</v>
      </c>
      <c r="AC2916" s="42" t="str">
        <f>IFERROR(__xludf.DUMMYFUNCTION("""COMPUTED_VALUE"""),"DHBA")</f>
        <v>DHBA</v>
      </c>
      <c r="AD2916" s="42"/>
      <c r="AE2916" s="42"/>
      <c r="AF2916" s="9"/>
      <c r="AG2916" s="9"/>
      <c r="AH2916" s="42"/>
      <c r="AI2916" s="42"/>
      <c r="AJ2916" s="42"/>
      <c r="AK2916" s="42"/>
      <c r="AL2916" s="42"/>
      <c r="AM2916" s="42"/>
      <c r="AN2916" s="42"/>
      <c r="AO2916" s="63" t="str">
        <f>IFERROR(__xludf.DUMMYFUNCTION("IF(ISBLANK(A2916),,IF(ISBLANK(S2916), A2916&amp;"";"", TEXTJOIN(CHAR(10), TRUE, A2916&amp;"";"", ARRAYFORMULA(VLOOKUP(SPLIT(S2916, "";"" &amp; CHAR(10)), $A:$AO, 41, FALSE)))))"),"VCo;
VCoR;
VCoC;")</f>
        <v>VCo;
VCoR;
VCoC;</v>
      </c>
      <c r="AP2916" s="89"/>
    </row>
    <row r="2917">
      <c r="A2917" s="151" t="str">
        <f>IFERROR(__xludf.DUMMYFUNCTION("""COMPUTED_VALUE"""),"VCoR")</f>
        <v>VCoR</v>
      </c>
      <c r="B2917" s="42" t="str">
        <f>IFERROR(__xludf.DUMMYFUNCTION("""COMPUTED_VALUE"""),"DHBA")</f>
        <v>DHBA</v>
      </c>
      <c r="C2917" s="42" t="str">
        <f>IFERROR(__xludf.DUMMYFUNCTION("""COMPUTED_VALUE"""),"ventral cochlear nucleus, rostral part")</f>
        <v>ventral cochlear nucleus, rostral part</v>
      </c>
      <c r="D2917" s="42">
        <f>IFERROR(__xludf.DUMMYFUNCTION("""COMPUTED_VALUE"""),2777.0)</f>
        <v>2777</v>
      </c>
      <c r="E2917" s="39" t="str">
        <f>IFERROR(__xludf.DUMMYFUNCTION("""COMPUTED_VALUE"""),"ventral cochlear nucleus, rostral part")</f>
        <v>ventral cochlear nucleus, rostral part</v>
      </c>
      <c r="F2917" s="9" t="str">
        <f>IFERROR(__xludf.DUMMYFUNCTION("""COMPUTED_VALUE"""),"Br")</f>
        <v>Br</v>
      </c>
      <c r="G2917" s="9" t="str">
        <f>IFERROR(__xludf.DUMMYFUNCTION("""COMPUTED_VALUE"""),"H")</f>
        <v>H</v>
      </c>
      <c r="H2917" s="9" t="str">
        <f>IFERROR(__xludf.DUMMYFUNCTION("""COMPUTED_VALUE"""),"HGM")</f>
        <v>HGM</v>
      </c>
      <c r="I2917" s="9" t="str">
        <f>IFERROR(__xludf.DUMMYFUNCTION("""COMPUTED_VALUE"""),"Met")</f>
        <v>Met</v>
      </c>
      <c r="J2917" s="9" t="str">
        <f>IFERROR(__xludf.DUMMYFUNCTION("""COMPUTED_VALUE"""),"Pn")</f>
        <v>Pn</v>
      </c>
      <c r="K2917" s="9" t="str">
        <f>IFERROR(__xludf.DUMMYFUNCTION("""COMPUTED_VALUE"""),"PnTg")</f>
        <v>PnTg</v>
      </c>
      <c r="L2917" s="9" t="str">
        <f>IFERROR(__xludf.DUMMYFUNCTION("""COMPUTED_VALUE"""),"PnAN")</f>
        <v>PnAN</v>
      </c>
      <c r="M2917" s="9" t="str">
        <f>IFERROR(__xludf.DUMMYFUNCTION("""COMPUTED_VALUE"""),"8Co")</f>
        <v>8Co</v>
      </c>
      <c r="N2917" s="9" t="str">
        <f>IFERROR(__xludf.DUMMYFUNCTION("""COMPUTED_VALUE"""),"VCo")</f>
        <v>VCo</v>
      </c>
      <c r="O2917" s="9" t="str">
        <f>IFERROR(__xludf.DUMMYFUNCTION("""COMPUTED_VALUE"""),"VCoR")</f>
        <v>VCoR</v>
      </c>
      <c r="P2917" s="9"/>
      <c r="Q2917" s="9"/>
      <c r="R2917" s="9"/>
      <c r="S2917" s="42"/>
      <c r="T2917" s="42"/>
      <c r="U2917" s="42"/>
      <c r="V2917" s="42"/>
      <c r="W2917" s="42"/>
      <c r="X2917" s="42"/>
      <c r="Y2917" s="42"/>
      <c r="Z2917" s="42"/>
      <c r="AA2917" s="42"/>
      <c r="AB2917" s="42" t="str">
        <f>IFERROR(__xludf.DUMMYFUNCTION("""COMPUTED_VALUE"""),"allen institute")</f>
        <v>allen institute</v>
      </c>
      <c r="AC2917" s="42" t="str">
        <f>IFERROR(__xludf.DUMMYFUNCTION("""COMPUTED_VALUE"""),"DHBA")</f>
        <v>DHBA</v>
      </c>
      <c r="AD2917" s="42"/>
      <c r="AE2917" s="42"/>
      <c r="AF2917" s="9"/>
      <c r="AG2917" s="9"/>
      <c r="AH2917" s="42"/>
      <c r="AI2917" s="42"/>
      <c r="AJ2917" s="42"/>
      <c r="AK2917" s="42"/>
      <c r="AL2917" s="42"/>
      <c r="AM2917" s="42"/>
      <c r="AN2917" s="42"/>
      <c r="AO2917" s="63" t="str">
        <f>IFERROR(__xludf.DUMMYFUNCTION("IF(ISBLANK(A2917),,IF(ISBLANK(S2917), A2917&amp;"";"", TEXTJOIN(CHAR(10), TRUE, A2917&amp;"";"", ARRAYFORMULA(VLOOKUP(SPLIT(S2917, "";"" &amp; CHAR(10)), $A:$AO, 41, FALSE)))))"),"VCoR;")</f>
        <v>VCoR;</v>
      </c>
      <c r="AP2917" s="89"/>
    </row>
    <row r="2918">
      <c r="A2918" s="151" t="str">
        <f>IFERROR(__xludf.DUMMYFUNCTION("""COMPUTED_VALUE"""),"VCoC")</f>
        <v>VCoC</v>
      </c>
      <c r="B2918" s="42" t="str">
        <f>IFERROR(__xludf.DUMMYFUNCTION("""COMPUTED_VALUE"""),"DHBA")</f>
        <v>DHBA</v>
      </c>
      <c r="C2918" s="42" t="str">
        <f>IFERROR(__xludf.DUMMYFUNCTION("""COMPUTED_VALUE"""),"ventral cochlear nucleus, caudal part")</f>
        <v>ventral cochlear nucleus, caudal part</v>
      </c>
      <c r="D2918" s="42">
        <f>IFERROR(__xludf.DUMMYFUNCTION("""COMPUTED_VALUE"""),2778.0)</f>
        <v>2778</v>
      </c>
      <c r="E2918" s="39" t="str">
        <f>IFERROR(__xludf.DUMMYFUNCTION("""COMPUTED_VALUE"""),"ventral cochlear nucleus, caudal part")</f>
        <v>ventral cochlear nucleus, caudal part</v>
      </c>
      <c r="F2918" s="9" t="str">
        <f>IFERROR(__xludf.DUMMYFUNCTION("""COMPUTED_VALUE"""),"Br")</f>
        <v>Br</v>
      </c>
      <c r="G2918" s="9" t="str">
        <f>IFERROR(__xludf.DUMMYFUNCTION("""COMPUTED_VALUE"""),"H")</f>
        <v>H</v>
      </c>
      <c r="H2918" s="9" t="str">
        <f>IFERROR(__xludf.DUMMYFUNCTION("""COMPUTED_VALUE"""),"HGM")</f>
        <v>HGM</v>
      </c>
      <c r="I2918" s="9" t="str">
        <f>IFERROR(__xludf.DUMMYFUNCTION("""COMPUTED_VALUE"""),"Met")</f>
        <v>Met</v>
      </c>
      <c r="J2918" s="9" t="str">
        <f>IFERROR(__xludf.DUMMYFUNCTION("""COMPUTED_VALUE"""),"Pn")</f>
        <v>Pn</v>
      </c>
      <c r="K2918" s="9" t="str">
        <f>IFERROR(__xludf.DUMMYFUNCTION("""COMPUTED_VALUE"""),"PnTg")</f>
        <v>PnTg</v>
      </c>
      <c r="L2918" s="9" t="str">
        <f>IFERROR(__xludf.DUMMYFUNCTION("""COMPUTED_VALUE"""),"PnAN")</f>
        <v>PnAN</v>
      </c>
      <c r="M2918" s="9" t="str">
        <f>IFERROR(__xludf.DUMMYFUNCTION("""COMPUTED_VALUE"""),"8Co")</f>
        <v>8Co</v>
      </c>
      <c r="N2918" s="9" t="str">
        <f>IFERROR(__xludf.DUMMYFUNCTION("""COMPUTED_VALUE"""),"VCo")</f>
        <v>VCo</v>
      </c>
      <c r="O2918" s="9" t="str">
        <f>IFERROR(__xludf.DUMMYFUNCTION("""COMPUTED_VALUE"""),"VCoC")</f>
        <v>VCoC</v>
      </c>
      <c r="P2918" s="9"/>
      <c r="Q2918" s="9"/>
      <c r="R2918" s="9"/>
      <c r="S2918" s="42"/>
      <c r="T2918" s="42"/>
      <c r="U2918" s="42"/>
      <c r="V2918" s="42"/>
      <c r="W2918" s="42"/>
      <c r="X2918" s="42"/>
      <c r="Y2918" s="42"/>
      <c r="Z2918" s="42"/>
      <c r="AA2918" s="42"/>
      <c r="AB2918" s="42" t="str">
        <f>IFERROR(__xludf.DUMMYFUNCTION("""COMPUTED_VALUE"""),"allen institute")</f>
        <v>allen institute</v>
      </c>
      <c r="AC2918" s="42" t="str">
        <f>IFERROR(__xludf.DUMMYFUNCTION("""COMPUTED_VALUE"""),"DHBA")</f>
        <v>DHBA</v>
      </c>
      <c r="AD2918" s="42"/>
      <c r="AE2918" s="42"/>
      <c r="AF2918" s="9"/>
      <c r="AG2918" s="9"/>
      <c r="AH2918" s="42"/>
      <c r="AI2918" s="42"/>
      <c r="AJ2918" s="42"/>
      <c r="AK2918" s="42"/>
      <c r="AL2918" s="42"/>
      <c r="AM2918" s="42"/>
      <c r="AN2918" s="42"/>
      <c r="AO2918" s="63" t="str">
        <f>IFERROR(__xludf.DUMMYFUNCTION("IF(ISBLANK(A2918),,IF(ISBLANK(S2918), A2918&amp;"";"", TEXTJOIN(CHAR(10), TRUE, A2918&amp;"";"", ARRAYFORMULA(VLOOKUP(SPLIT(S2918, "";"" &amp; CHAR(10)), $A:$AO, 41, FALSE)))))"),"VCoC;")</f>
        <v>VCoC;</v>
      </c>
      <c r="AP2918" s="89"/>
    </row>
    <row r="2919">
      <c r="A2919" s="151" t="str">
        <f>IFERROR(__xludf.DUMMYFUNCTION("""COMPUTED_VALUE"""),"Me5-p")</f>
        <v>Me5-p</v>
      </c>
      <c r="B2919" s="42" t="str">
        <f>IFERROR(__xludf.DUMMYFUNCTION("""COMPUTED_VALUE"""),"DHBA")</f>
        <v>DHBA</v>
      </c>
      <c r="C2919" s="42" t="str">
        <f>IFERROR(__xludf.DUMMYFUNCTION("""COMPUTED_VALUE"""),"mesencephalic nucleus of trigeminal nerve, pontine part")</f>
        <v>mesencephalic nucleus of trigeminal nerve, pontine part</v>
      </c>
      <c r="D2919" s="42">
        <f>IFERROR(__xludf.DUMMYFUNCTION("""COMPUTED_VALUE"""),2779.0)</f>
        <v>2779</v>
      </c>
      <c r="E2919" s="39" t="str">
        <f>IFERROR(__xludf.DUMMYFUNCTION("""COMPUTED_VALUE"""),"mesencephalic nucleus of trigeminal nerve, pontine part")</f>
        <v>mesencephalic nucleus of trigeminal nerve, pontine part</v>
      </c>
      <c r="F2919" s="9" t="str">
        <f>IFERROR(__xludf.DUMMYFUNCTION("""COMPUTED_VALUE"""),"Br")</f>
        <v>Br</v>
      </c>
      <c r="G2919" s="9" t="str">
        <f>IFERROR(__xludf.DUMMYFUNCTION("""COMPUTED_VALUE"""),"H")</f>
        <v>H</v>
      </c>
      <c r="H2919" s="9" t="str">
        <f>IFERROR(__xludf.DUMMYFUNCTION("""COMPUTED_VALUE"""),"HGM")</f>
        <v>HGM</v>
      </c>
      <c r="I2919" s="9" t="str">
        <f>IFERROR(__xludf.DUMMYFUNCTION("""COMPUTED_VALUE"""),"Met")</f>
        <v>Met</v>
      </c>
      <c r="J2919" s="9" t="str">
        <f>IFERROR(__xludf.DUMMYFUNCTION("""COMPUTED_VALUE"""),"Pn")</f>
        <v>Pn</v>
      </c>
      <c r="K2919" s="9" t="str">
        <f>IFERROR(__xludf.DUMMYFUNCTION("""COMPUTED_VALUE"""),"PnTg")</f>
        <v>PnTg</v>
      </c>
      <c r="L2919" s="9" t="str">
        <f>IFERROR(__xludf.DUMMYFUNCTION("""COMPUTED_VALUE"""),"PnAN")</f>
        <v>PnAN</v>
      </c>
      <c r="M2919" s="9" t="str">
        <f>IFERROR(__xludf.DUMMYFUNCTION("""COMPUTED_VALUE"""),"Me5-p")</f>
        <v>Me5-p</v>
      </c>
      <c r="N2919" s="9"/>
      <c r="O2919" s="9"/>
      <c r="P2919" s="9"/>
      <c r="Q2919" s="9"/>
      <c r="R2919" s="9"/>
      <c r="S2919" s="42"/>
      <c r="T2919" s="42"/>
      <c r="U2919" s="42"/>
      <c r="V2919" s="42"/>
      <c r="W2919" s="42"/>
      <c r="X2919" s="42"/>
      <c r="Y2919" s="42"/>
      <c r="Z2919" s="42"/>
      <c r="AA2919" s="42"/>
      <c r="AB2919" s="42" t="str">
        <f>IFERROR(__xludf.DUMMYFUNCTION("""COMPUTED_VALUE"""),"allen institute")</f>
        <v>allen institute</v>
      </c>
      <c r="AC2919" s="42" t="str">
        <f>IFERROR(__xludf.DUMMYFUNCTION("""COMPUTED_VALUE"""),"DHBA")</f>
        <v>DHBA</v>
      </c>
      <c r="AD2919" s="42"/>
      <c r="AE2919" s="42"/>
      <c r="AF2919" s="9"/>
      <c r="AG2919" s="9"/>
      <c r="AH2919" s="42"/>
      <c r="AI2919" s="42"/>
      <c r="AJ2919" s="42"/>
      <c r="AK2919" s="42"/>
      <c r="AL2919" s="42"/>
      <c r="AM2919" s="42"/>
      <c r="AN2919" s="42"/>
      <c r="AO2919" s="63" t="str">
        <f>IFERROR(__xludf.DUMMYFUNCTION("IF(ISBLANK(A2919),,IF(ISBLANK(S2919), A2919&amp;"";"", TEXTJOIN(CHAR(10), TRUE, A2919&amp;"";"", ARRAYFORMULA(VLOOKUP(SPLIT(S2919, "";"" &amp; CHAR(10)), $A:$AO, 41, FALSE)))))"),"Me5-p;")</f>
        <v>Me5-p;</v>
      </c>
      <c r="AP2919" s="89"/>
    </row>
    <row r="2920">
      <c r="A2920" s="151" t="str">
        <f>IFERROR(__xludf.DUMMYFUNCTION("""COMPUTED_VALUE"""),"Pr5")</f>
        <v>Pr5</v>
      </c>
      <c r="B2920" s="42" t="str">
        <f>IFERROR(__xludf.DUMMYFUNCTION("""COMPUTED_VALUE"""),"DHBA")</f>
        <v>DHBA</v>
      </c>
      <c r="C2920" s="42" t="str">
        <f>IFERROR(__xludf.DUMMYFUNCTION("""COMPUTED_VALUE"""),"principal sensory nucleus of trigeminal nerve")</f>
        <v>principal sensory nucleus of trigeminal nerve</v>
      </c>
      <c r="D2920" s="42">
        <f>IFERROR(__xludf.DUMMYFUNCTION("""COMPUTED_VALUE"""),2780.0)</f>
        <v>2780</v>
      </c>
      <c r="E2920" s="39" t="str">
        <f>IFERROR(__xludf.DUMMYFUNCTION("""COMPUTED_VALUE"""),"principal sensory nucleus of trigeminal nerve")</f>
        <v>principal sensory nucleus of trigeminal nerve</v>
      </c>
      <c r="F2920" s="9" t="str">
        <f>IFERROR(__xludf.DUMMYFUNCTION("""COMPUTED_VALUE"""),"Br")</f>
        <v>Br</v>
      </c>
      <c r="G2920" s="9" t="str">
        <f>IFERROR(__xludf.DUMMYFUNCTION("""COMPUTED_VALUE"""),"H")</f>
        <v>H</v>
      </c>
      <c r="H2920" s="9" t="str">
        <f>IFERROR(__xludf.DUMMYFUNCTION("""COMPUTED_VALUE"""),"HGM")</f>
        <v>HGM</v>
      </c>
      <c r="I2920" s="9" t="str">
        <f>IFERROR(__xludf.DUMMYFUNCTION("""COMPUTED_VALUE"""),"Met")</f>
        <v>Met</v>
      </c>
      <c r="J2920" s="9" t="str">
        <f>IFERROR(__xludf.DUMMYFUNCTION("""COMPUTED_VALUE"""),"Pn")</f>
        <v>Pn</v>
      </c>
      <c r="K2920" s="9" t="str">
        <f>IFERROR(__xludf.DUMMYFUNCTION("""COMPUTED_VALUE"""),"PnTg")</f>
        <v>PnTg</v>
      </c>
      <c r="L2920" s="9" t="str">
        <f>IFERROR(__xludf.DUMMYFUNCTION("""COMPUTED_VALUE"""),"PnAN")</f>
        <v>PnAN</v>
      </c>
      <c r="M2920" s="9" t="str">
        <f>IFERROR(__xludf.DUMMYFUNCTION("""COMPUTED_VALUE"""),"Pr5")</f>
        <v>Pr5</v>
      </c>
      <c r="N2920" s="9"/>
      <c r="O2920" s="9"/>
      <c r="P2920" s="9"/>
      <c r="Q2920" s="9"/>
      <c r="R2920" s="9"/>
      <c r="S2920" s="42" t="str">
        <f>IFERROR(__xludf.DUMMYFUNCTION("""COMPUTED_VALUE"""),"Pr5dm;
Pr5vl")</f>
        <v>Pr5dm;
Pr5vl</v>
      </c>
      <c r="T2920" s="42"/>
      <c r="U2920" s="42" t="b">
        <f>IFERROR(__xludf.DUMMYFUNCTION("""COMPUTED_VALUE"""),FALSE)</f>
        <v>0</v>
      </c>
      <c r="V2920" s="42"/>
      <c r="W2920" s="42"/>
      <c r="X2920" s="42"/>
      <c r="Y2920" s="42"/>
      <c r="Z2920" s="42"/>
      <c r="AA2920" s="42"/>
      <c r="AB2920" s="42" t="str">
        <f>IFERROR(__xludf.DUMMYFUNCTION("""COMPUTED_VALUE"""),"allen institute")</f>
        <v>allen institute</v>
      </c>
      <c r="AC2920" s="42" t="str">
        <f>IFERROR(__xludf.DUMMYFUNCTION("""COMPUTED_VALUE"""),"DHBA")</f>
        <v>DHBA</v>
      </c>
      <c r="AD2920" s="42"/>
      <c r="AE2920" s="42"/>
      <c r="AF2920" s="9"/>
      <c r="AG2920" s="9"/>
      <c r="AH2920" s="42"/>
      <c r="AI2920" s="42"/>
      <c r="AJ2920" s="42"/>
      <c r="AK2920" s="42"/>
      <c r="AL2920" s="42"/>
      <c r="AM2920" s="42"/>
      <c r="AN2920" s="42"/>
      <c r="AO2920" s="63" t="str">
        <f>IFERROR(__xludf.DUMMYFUNCTION("IF(ISBLANK(A2920),,IF(ISBLANK(S2920), A2920&amp;"";"", TEXTJOIN(CHAR(10), TRUE, A2920&amp;"";"", ARRAYFORMULA(VLOOKUP(SPLIT(S2920, "";"" &amp; CHAR(10)), $A:$AO, 41, FALSE)))))"),"Pr5;
Pr5dm;
Pr5vl;")</f>
        <v>Pr5;
Pr5dm;
Pr5vl;</v>
      </c>
      <c r="AP2920" s="89"/>
    </row>
    <row r="2921">
      <c r="A2921" s="151" t="str">
        <f>IFERROR(__xludf.DUMMYFUNCTION("""COMPUTED_VALUE"""),"Pr5dm")</f>
        <v>Pr5dm</v>
      </c>
      <c r="B2921" s="42" t="str">
        <f>IFERROR(__xludf.DUMMYFUNCTION("""COMPUTED_VALUE"""),"DHBA")</f>
        <v>DHBA</v>
      </c>
      <c r="C2921" s="42" t="str">
        <f>IFERROR(__xludf.DUMMYFUNCTION("""COMPUTED_VALUE"""),"dorsomedial nucleus of Pr5")</f>
        <v>dorsomedial nucleus of Pr5</v>
      </c>
      <c r="D2921" s="42">
        <f>IFERROR(__xludf.DUMMYFUNCTION("""COMPUTED_VALUE"""),2781.0)</f>
        <v>2781</v>
      </c>
      <c r="E2921" s="39" t="str">
        <f>IFERROR(__xludf.DUMMYFUNCTION("""COMPUTED_VALUE"""),"dorsomedial nucleus of Pr5")</f>
        <v>dorsomedial nucleus of Pr5</v>
      </c>
      <c r="F2921" s="9" t="str">
        <f>IFERROR(__xludf.DUMMYFUNCTION("""COMPUTED_VALUE"""),"Br")</f>
        <v>Br</v>
      </c>
      <c r="G2921" s="9" t="str">
        <f>IFERROR(__xludf.DUMMYFUNCTION("""COMPUTED_VALUE"""),"H")</f>
        <v>H</v>
      </c>
      <c r="H2921" s="9" t="str">
        <f>IFERROR(__xludf.DUMMYFUNCTION("""COMPUTED_VALUE"""),"HGM")</f>
        <v>HGM</v>
      </c>
      <c r="I2921" s="9" t="str">
        <f>IFERROR(__xludf.DUMMYFUNCTION("""COMPUTED_VALUE"""),"Met")</f>
        <v>Met</v>
      </c>
      <c r="J2921" s="9" t="str">
        <f>IFERROR(__xludf.DUMMYFUNCTION("""COMPUTED_VALUE"""),"Pn")</f>
        <v>Pn</v>
      </c>
      <c r="K2921" s="9" t="str">
        <f>IFERROR(__xludf.DUMMYFUNCTION("""COMPUTED_VALUE"""),"PnTg")</f>
        <v>PnTg</v>
      </c>
      <c r="L2921" s="9" t="str">
        <f>IFERROR(__xludf.DUMMYFUNCTION("""COMPUTED_VALUE"""),"PnAN")</f>
        <v>PnAN</v>
      </c>
      <c r="M2921" s="9" t="str">
        <f>IFERROR(__xludf.DUMMYFUNCTION("""COMPUTED_VALUE"""),"Pr5")</f>
        <v>Pr5</v>
      </c>
      <c r="N2921" s="9" t="str">
        <f>IFERROR(__xludf.DUMMYFUNCTION("""COMPUTED_VALUE"""),"Pr5dm")</f>
        <v>Pr5dm</v>
      </c>
      <c r="O2921" s="9"/>
      <c r="P2921" s="9"/>
      <c r="Q2921" s="9"/>
      <c r="R2921" s="9"/>
      <c r="S2921" s="42"/>
      <c r="T2921" s="42"/>
      <c r="U2921" s="42"/>
      <c r="V2921" s="42"/>
      <c r="W2921" s="42"/>
      <c r="X2921" s="42"/>
      <c r="Y2921" s="42"/>
      <c r="Z2921" s="42"/>
      <c r="AA2921" s="42"/>
      <c r="AB2921" s="42" t="str">
        <f>IFERROR(__xludf.DUMMYFUNCTION("""COMPUTED_VALUE"""),"allen institute")</f>
        <v>allen institute</v>
      </c>
      <c r="AC2921" s="42" t="str">
        <f>IFERROR(__xludf.DUMMYFUNCTION("""COMPUTED_VALUE"""),"DHBA")</f>
        <v>DHBA</v>
      </c>
      <c r="AD2921" s="42"/>
      <c r="AE2921" s="42"/>
      <c r="AF2921" s="9"/>
      <c r="AG2921" s="9"/>
      <c r="AH2921" s="42"/>
      <c r="AI2921" s="42"/>
      <c r="AJ2921" s="42"/>
      <c r="AK2921" s="42"/>
      <c r="AL2921" s="42"/>
      <c r="AM2921" s="42"/>
      <c r="AN2921" s="42"/>
      <c r="AO2921" s="63" t="str">
        <f>IFERROR(__xludf.DUMMYFUNCTION("IF(ISBLANK(A2921),,IF(ISBLANK(S2921), A2921&amp;"";"", TEXTJOIN(CHAR(10), TRUE, A2921&amp;"";"", ARRAYFORMULA(VLOOKUP(SPLIT(S2921, "";"" &amp; CHAR(10)), $A:$AO, 41, FALSE)))))"),"Pr5dm;")</f>
        <v>Pr5dm;</v>
      </c>
      <c r="AP2921" s="89"/>
    </row>
    <row r="2922">
      <c r="A2922" s="151" t="str">
        <f>IFERROR(__xludf.DUMMYFUNCTION("""COMPUTED_VALUE"""),"Pr5vl")</f>
        <v>Pr5vl</v>
      </c>
      <c r="B2922" s="42" t="str">
        <f>IFERROR(__xludf.DUMMYFUNCTION("""COMPUTED_VALUE"""),"DHBA")</f>
        <v>DHBA</v>
      </c>
      <c r="C2922" s="42" t="str">
        <f>IFERROR(__xludf.DUMMYFUNCTION("""COMPUTED_VALUE"""),"ventrolateral nucleus of Pr5")</f>
        <v>ventrolateral nucleus of Pr5</v>
      </c>
      <c r="D2922" s="42">
        <f>IFERROR(__xludf.DUMMYFUNCTION("""COMPUTED_VALUE"""),2782.0)</f>
        <v>2782</v>
      </c>
      <c r="E2922" s="39" t="str">
        <f>IFERROR(__xludf.DUMMYFUNCTION("""COMPUTED_VALUE"""),"ventrolateral nucleus of Pr5")</f>
        <v>ventrolateral nucleus of Pr5</v>
      </c>
      <c r="F2922" s="9" t="str">
        <f>IFERROR(__xludf.DUMMYFUNCTION("""COMPUTED_VALUE"""),"Br")</f>
        <v>Br</v>
      </c>
      <c r="G2922" s="9" t="str">
        <f>IFERROR(__xludf.DUMMYFUNCTION("""COMPUTED_VALUE"""),"H")</f>
        <v>H</v>
      </c>
      <c r="H2922" s="9" t="str">
        <f>IFERROR(__xludf.DUMMYFUNCTION("""COMPUTED_VALUE"""),"HGM")</f>
        <v>HGM</v>
      </c>
      <c r="I2922" s="9" t="str">
        <f>IFERROR(__xludf.DUMMYFUNCTION("""COMPUTED_VALUE"""),"Met")</f>
        <v>Met</v>
      </c>
      <c r="J2922" s="9" t="str">
        <f>IFERROR(__xludf.DUMMYFUNCTION("""COMPUTED_VALUE"""),"Pn")</f>
        <v>Pn</v>
      </c>
      <c r="K2922" s="9" t="str">
        <f>IFERROR(__xludf.DUMMYFUNCTION("""COMPUTED_VALUE"""),"PnTg")</f>
        <v>PnTg</v>
      </c>
      <c r="L2922" s="9" t="str">
        <f>IFERROR(__xludf.DUMMYFUNCTION("""COMPUTED_VALUE"""),"PnAN")</f>
        <v>PnAN</v>
      </c>
      <c r="M2922" s="9" t="str">
        <f>IFERROR(__xludf.DUMMYFUNCTION("""COMPUTED_VALUE"""),"Pr5")</f>
        <v>Pr5</v>
      </c>
      <c r="N2922" s="9" t="str">
        <f>IFERROR(__xludf.DUMMYFUNCTION("""COMPUTED_VALUE"""),"Pr5vl")</f>
        <v>Pr5vl</v>
      </c>
      <c r="O2922" s="9"/>
      <c r="P2922" s="9"/>
      <c r="Q2922" s="9"/>
      <c r="R2922" s="9"/>
      <c r="S2922" s="42"/>
      <c r="T2922" s="42"/>
      <c r="U2922" s="42"/>
      <c r="V2922" s="42"/>
      <c r="W2922" s="42"/>
      <c r="X2922" s="42"/>
      <c r="Y2922" s="42"/>
      <c r="Z2922" s="42"/>
      <c r="AA2922" s="42"/>
      <c r="AB2922" s="42" t="str">
        <f>IFERROR(__xludf.DUMMYFUNCTION("""COMPUTED_VALUE"""),"allen institute")</f>
        <v>allen institute</v>
      </c>
      <c r="AC2922" s="42" t="str">
        <f>IFERROR(__xludf.DUMMYFUNCTION("""COMPUTED_VALUE"""),"DHBA")</f>
        <v>DHBA</v>
      </c>
      <c r="AD2922" s="42"/>
      <c r="AE2922" s="42"/>
      <c r="AF2922" s="9"/>
      <c r="AG2922" s="9"/>
      <c r="AH2922" s="42"/>
      <c r="AI2922" s="42"/>
      <c r="AJ2922" s="42"/>
      <c r="AK2922" s="42"/>
      <c r="AL2922" s="42"/>
      <c r="AM2922" s="42"/>
      <c r="AN2922" s="42"/>
      <c r="AO2922" s="63" t="str">
        <f>IFERROR(__xludf.DUMMYFUNCTION("IF(ISBLANK(A2922),,IF(ISBLANK(S2922), A2922&amp;"";"", TEXTJOIN(CHAR(10), TRUE, A2922&amp;"";"", ARRAYFORMULA(VLOOKUP(SPLIT(S2922, "";"" &amp; CHAR(10)), $A:$AO, 41, FALSE)))))"),"Pr5vl;")</f>
        <v>Pr5vl;</v>
      </c>
      <c r="AP2922" s="89"/>
    </row>
    <row r="2923">
      <c r="A2923" s="151" t="str">
        <f>IFERROR(__xludf.DUMMYFUNCTION("""COMPUTED_VALUE"""),"Sp5o")</f>
        <v>Sp5o</v>
      </c>
      <c r="B2923" s="42" t="str">
        <f>IFERROR(__xludf.DUMMYFUNCTION("""COMPUTED_VALUE"""),"DHBA")</f>
        <v>DHBA</v>
      </c>
      <c r="C2923" s="42" t="str">
        <f>IFERROR(__xludf.DUMMYFUNCTION("""COMPUTED_VALUE"""),"spinal nucleus of trigeminal nerve, oral subnucleus")</f>
        <v>spinal nucleus of trigeminal nerve, oral subnucleus</v>
      </c>
      <c r="D2923" s="42">
        <f>IFERROR(__xludf.DUMMYFUNCTION("""COMPUTED_VALUE"""),2783.0)</f>
        <v>2783</v>
      </c>
      <c r="E2923" s="39" t="str">
        <f>IFERROR(__xludf.DUMMYFUNCTION("""COMPUTED_VALUE"""),"spinal nucleus of trigeminal nerve, oral subnucleus")</f>
        <v>spinal nucleus of trigeminal nerve, oral subnucleus</v>
      </c>
      <c r="F2923" s="9" t="str">
        <f>IFERROR(__xludf.DUMMYFUNCTION("""COMPUTED_VALUE"""),"Br")</f>
        <v>Br</v>
      </c>
      <c r="G2923" s="9" t="str">
        <f>IFERROR(__xludf.DUMMYFUNCTION("""COMPUTED_VALUE"""),"H")</f>
        <v>H</v>
      </c>
      <c r="H2923" s="9" t="str">
        <f>IFERROR(__xludf.DUMMYFUNCTION("""COMPUTED_VALUE"""),"HGM")</f>
        <v>HGM</v>
      </c>
      <c r="I2923" s="9" t="str">
        <f>IFERROR(__xludf.DUMMYFUNCTION("""COMPUTED_VALUE"""),"Met")</f>
        <v>Met</v>
      </c>
      <c r="J2923" s="9" t="str">
        <f>IFERROR(__xludf.DUMMYFUNCTION("""COMPUTED_VALUE"""),"Pn")</f>
        <v>Pn</v>
      </c>
      <c r="K2923" s="9" t="str">
        <f>IFERROR(__xludf.DUMMYFUNCTION("""COMPUTED_VALUE"""),"PnTg")</f>
        <v>PnTg</v>
      </c>
      <c r="L2923" s="9" t="str">
        <f>IFERROR(__xludf.DUMMYFUNCTION("""COMPUTED_VALUE"""),"PnAN")</f>
        <v>PnAN</v>
      </c>
      <c r="M2923" s="9" t="str">
        <f>IFERROR(__xludf.DUMMYFUNCTION("""COMPUTED_VALUE"""),"Sp5o")</f>
        <v>Sp5o</v>
      </c>
      <c r="N2923" s="9"/>
      <c r="O2923" s="9"/>
      <c r="P2923" s="9"/>
      <c r="Q2923" s="9"/>
      <c r="R2923" s="9"/>
      <c r="S2923" s="42"/>
      <c r="T2923" s="42"/>
      <c r="U2923" s="42"/>
      <c r="V2923" s="42"/>
      <c r="W2923" s="42"/>
      <c r="X2923" s="42"/>
      <c r="Y2923" s="42"/>
      <c r="Z2923" s="42"/>
      <c r="AA2923" s="42"/>
      <c r="AB2923" s="42" t="str">
        <f>IFERROR(__xludf.DUMMYFUNCTION("""COMPUTED_VALUE"""),"allen institute")</f>
        <v>allen institute</v>
      </c>
      <c r="AC2923" s="42" t="str">
        <f>IFERROR(__xludf.DUMMYFUNCTION("""COMPUTED_VALUE"""),"DHBA")</f>
        <v>DHBA</v>
      </c>
      <c r="AD2923" s="42"/>
      <c r="AE2923" s="42"/>
      <c r="AF2923" s="9"/>
      <c r="AG2923" s="9"/>
      <c r="AH2923" s="42"/>
      <c r="AI2923" s="42"/>
      <c r="AJ2923" s="42"/>
      <c r="AK2923" s="42"/>
      <c r="AL2923" s="42"/>
      <c r="AM2923" s="42"/>
      <c r="AN2923" s="42"/>
      <c r="AO2923" s="63" t="str">
        <f>IFERROR(__xludf.DUMMYFUNCTION("IF(ISBLANK(A2923),,IF(ISBLANK(S2923), A2923&amp;"";"", TEXTJOIN(CHAR(10), TRUE, A2923&amp;"";"", ARRAYFORMULA(VLOOKUP(SPLIT(S2923, "";"" &amp; CHAR(10)), $A:$AO, 41, FALSE)))))"),"Sp5o;")</f>
        <v>Sp5o;</v>
      </c>
      <c r="AP2923" s="89"/>
    </row>
    <row r="2924">
      <c r="A2924" s="151" t="str">
        <f>IFERROR(__xludf.DUMMYFUNCTION("""COMPUTED_VALUE"""),"8Ve-p")</f>
        <v>8Ve-p</v>
      </c>
      <c r="B2924" s="42" t="str">
        <f>IFERROR(__xludf.DUMMYFUNCTION("""COMPUTED_VALUE"""),"DHBA")</f>
        <v>DHBA</v>
      </c>
      <c r="C2924" s="42" t="str">
        <f>IFERROR(__xludf.DUMMYFUNCTION("""COMPUTED_VALUE"""),"vestibular nuclei in pons")</f>
        <v>vestibular nuclei in pons</v>
      </c>
      <c r="D2924" s="42">
        <f>IFERROR(__xludf.DUMMYFUNCTION("""COMPUTED_VALUE"""),2784.0)</f>
        <v>2784</v>
      </c>
      <c r="E2924" s="39" t="str">
        <f>IFERROR(__xludf.DUMMYFUNCTION("""COMPUTED_VALUE"""),"vestibular nuclei in pons")</f>
        <v>vestibular nuclei in pons</v>
      </c>
      <c r="F2924" s="9" t="str">
        <f>IFERROR(__xludf.DUMMYFUNCTION("""COMPUTED_VALUE"""),"Br")</f>
        <v>Br</v>
      </c>
      <c r="G2924" s="9" t="str">
        <f>IFERROR(__xludf.DUMMYFUNCTION("""COMPUTED_VALUE"""),"H")</f>
        <v>H</v>
      </c>
      <c r="H2924" s="9" t="str">
        <f>IFERROR(__xludf.DUMMYFUNCTION("""COMPUTED_VALUE"""),"HGM")</f>
        <v>HGM</v>
      </c>
      <c r="I2924" s="9" t="str">
        <f>IFERROR(__xludf.DUMMYFUNCTION("""COMPUTED_VALUE"""),"Met")</f>
        <v>Met</v>
      </c>
      <c r="J2924" s="9" t="str">
        <f>IFERROR(__xludf.DUMMYFUNCTION("""COMPUTED_VALUE"""),"Pn")</f>
        <v>Pn</v>
      </c>
      <c r="K2924" s="9" t="str">
        <f>IFERROR(__xludf.DUMMYFUNCTION("""COMPUTED_VALUE"""),"PnTg")</f>
        <v>PnTg</v>
      </c>
      <c r="L2924" s="9" t="str">
        <f>IFERROR(__xludf.DUMMYFUNCTION("""COMPUTED_VALUE"""),"PnAN")</f>
        <v>PnAN</v>
      </c>
      <c r="M2924" s="9" t="str">
        <f>IFERROR(__xludf.DUMMYFUNCTION("""COMPUTED_VALUE"""),"8Ve-p")</f>
        <v>8Ve-p</v>
      </c>
      <c r="N2924" s="9"/>
      <c r="O2924" s="9"/>
      <c r="P2924" s="9"/>
      <c r="Q2924" s="9"/>
      <c r="R2924" s="9"/>
      <c r="S2924" s="42"/>
      <c r="T2924" s="42"/>
      <c r="U2924" s="42" t="b">
        <f>IFERROR(__xludf.DUMMYFUNCTION("""COMPUTED_VALUE"""),TRUE)</f>
        <v>1</v>
      </c>
      <c r="V2924" s="42"/>
      <c r="W2924" s="42" t="str">
        <f>IFERROR(__xludf.DUMMYFUNCTION("""COMPUTED_VALUE"""),"Excitatory")</f>
        <v>Excitatory</v>
      </c>
      <c r="X2924" s="42"/>
      <c r="Y2924" s="42"/>
      <c r="Z2924" s="42"/>
      <c r="AA2924" s="42"/>
      <c r="AB2924" s="42" t="str">
        <f>IFERROR(__xludf.DUMMYFUNCTION("""COMPUTED_VALUE"""),"allen institute")</f>
        <v>allen institute</v>
      </c>
      <c r="AC2924" s="42" t="str">
        <f>IFERROR(__xludf.DUMMYFUNCTION("""COMPUTED_VALUE"""),"DHBA")</f>
        <v>DHBA</v>
      </c>
      <c r="AD2924" s="42"/>
      <c r="AE2924" s="42"/>
      <c r="AF2924" s="9"/>
      <c r="AG2924" s="9"/>
      <c r="AH2924" s="42"/>
      <c r="AI2924" s="42"/>
      <c r="AJ2924" s="42"/>
      <c r="AK2924" s="42"/>
      <c r="AL2924" s="42"/>
      <c r="AM2924" s="42"/>
      <c r="AN2924" s="42"/>
      <c r="AO2924" s="63" t="str">
        <f>IFERROR(__xludf.DUMMYFUNCTION("IF(ISBLANK(A2924),,IF(ISBLANK(S2924), A2924&amp;"";"", TEXTJOIN(CHAR(10), TRUE, A2924&amp;"";"", ARRAYFORMULA(VLOOKUP(SPLIT(S2924, "";"" &amp; CHAR(10)), $A:$AO, 41, FALSE)))))"),"8Ve-p;")</f>
        <v>8Ve-p;</v>
      </c>
      <c r="AP2924" s="89"/>
    </row>
    <row r="2925">
      <c r="A2925" s="151" t="str">
        <f>IFERROR(__xludf.DUMMYFUNCTION("""COMPUTED_VALUE"""),"LVe")</f>
        <v>LVe</v>
      </c>
      <c r="B2925" s="42" t="str">
        <f>IFERROR(__xludf.DUMMYFUNCTION("""COMPUTED_VALUE"""),"DHBA")</f>
        <v>DHBA</v>
      </c>
      <c r="C2925" s="42" t="str">
        <f>IFERROR(__xludf.DUMMYFUNCTION("""COMPUTED_VALUE"""),"lateral vestibular nucleus")</f>
        <v>lateral vestibular nucleus</v>
      </c>
      <c r="D2925" s="42">
        <f>IFERROR(__xludf.DUMMYFUNCTION("""COMPUTED_VALUE"""),2785.0)</f>
        <v>2785</v>
      </c>
      <c r="E2925" s="39" t="str">
        <f>IFERROR(__xludf.DUMMYFUNCTION("""COMPUTED_VALUE"""),"lateral vestibular nucleus")</f>
        <v>lateral vestibular nucleus</v>
      </c>
      <c r="F2925" s="9" t="str">
        <f>IFERROR(__xludf.DUMMYFUNCTION("""COMPUTED_VALUE"""),"Br")</f>
        <v>Br</v>
      </c>
      <c r="G2925" s="9" t="str">
        <f>IFERROR(__xludf.DUMMYFUNCTION("""COMPUTED_VALUE"""),"H")</f>
        <v>H</v>
      </c>
      <c r="H2925" s="9" t="str">
        <f>IFERROR(__xludf.DUMMYFUNCTION("""COMPUTED_VALUE"""),"HGM")</f>
        <v>HGM</v>
      </c>
      <c r="I2925" s="9" t="str">
        <f>IFERROR(__xludf.DUMMYFUNCTION("""COMPUTED_VALUE"""),"Met")</f>
        <v>Met</v>
      </c>
      <c r="J2925" s="9" t="str">
        <f>IFERROR(__xludf.DUMMYFUNCTION("""COMPUTED_VALUE"""),"Pn")</f>
        <v>Pn</v>
      </c>
      <c r="K2925" s="9" t="str">
        <f>IFERROR(__xludf.DUMMYFUNCTION("""COMPUTED_VALUE"""),"PnTg")</f>
        <v>PnTg</v>
      </c>
      <c r="L2925" s="9" t="str">
        <f>IFERROR(__xludf.DUMMYFUNCTION("""COMPUTED_VALUE"""),"PnAN")</f>
        <v>PnAN</v>
      </c>
      <c r="M2925" s="9" t="str">
        <f>IFERROR(__xludf.DUMMYFUNCTION("""COMPUTED_VALUE"""),"8Ve-p")</f>
        <v>8Ve-p</v>
      </c>
      <c r="N2925" s="9" t="str">
        <f>IFERROR(__xludf.DUMMYFUNCTION("""COMPUTED_VALUE"""),"LVe")</f>
        <v>LVe</v>
      </c>
      <c r="O2925" s="9"/>
      <c r="P2925" s="9"/>
      <c r="Q2925" s="9"/>
      <c r="R2925" s="9"/>
      <c r="S2925" s="42" t="str">
        <f>IFERROR(__xludf.DUMMYFUNCTION("""COMPUTED_VALUE"""),"LVeMC;
LVePC")</f>
        <v>LVeMC;
LVePC</v>
      </c>
      <c r="T2925" s="42"/>
      <c r="U2925" s="42" t="b">
        <f>IFERROR(__xludf.DUMMYFUNCTION("""COMPUTED_VALUE"""),FALSE)</f>
        <v>0</v>
      </c>
      <c r="V2925" s="42"/>
      <c r="W2925" s="42"/>
      <c r="X2925" s="42"/>
      <c r="Y2925" s="42"/>
      <c r="Z2925" s="42"/>
      <c r="AA2925" s="42"/>
      <c r="AB2925" s="42" t="str">
        <f>IFERROR(__xludf.DUMMYFUNCTION("""COMPUTED_VALUE"""),"allen institute")</f>
        <v>allen institute</v>
      </c>
      <c r="AC2925" s="42" t="str">
        <f>IFERROR(__xludf.DUMMYFUNCTION("""COMPUTED_VALUE"""),"DHBA")</f>
        <v>DHBA</v>
      </c>
      <c r="AD2925" s="42"/>
      <c r="AE2925" s="42"/>
      <c r="AF2925" s="9"/>
      <c r="AG2925" s="9"/>
      <c r="AH2925" s="42"/>
      <c r="AI2925" s="42"/>
      <c r="AJ2925" s="42"/>
      <c r="AK2925" s="42"/>
      <c r="AL2925" s="42"/>
      <c r="AM2925" s="42"/>
      <c r="AN2925" s="42"/>
      <c r="AO2925" s="63" t="str">
        <f>IFERROR(__xludf.DUMMYFUNCTION("IF(ISBLANK(A2925),,IF(ISBLANK(S2925), A2925&amp;"";"", TEXTJOIN(CHAR(10), TRUE, A2925&amp;"";"", ARRAYFORMULA(VLOOKUP(SPLIT(S2925, "";"" &amp; CHAR(10)), $A:$AO, 41, FALSE)))))"),"LVe;
LVeMC;
LVePC;")</f>
        <v>LVe;
LVeMC;
LVePC;</v>
      </c>
      <c r="AP2925" s="89"/>
    </row>
    <row r="2926">
      <c r="A2926" s="151" t="str">
        <f>IFERROR(__xludf.DUMMYFUNCTION("""COMPUTED_VALUE"""),"LVeMC")</f>
        <v>LVeMC</v>
      </c>
      <c r="B2926" s="42" t="str">
        <f>IFERROR(__xludf.DUMMYFUNCTION("""COMPUTED_VALUE"""),"DHBA")</f>
        <v>DHBA</v>
      </c>
      <c r="C2926" s="42" t="str">
        <f>IFERROR(__xludf.DUMMYFUNCTION("""COMPUTED_VALUE"""),"lateral vestibular nucleus, magnocellular part")</f>
        <v>lateral vestibular nucleus, magnocellular part</v>
      </c>
      <c r="D2926" s="42">
        <f>IFERROR(__xludf.DUMMYFUNCTION("""COMPUTED_VALUE"""),2786.0)</f>
        <v>2786</v>
      </c>
      <c r="E2926" s="39" t="str">
        <f>IFERROR(__xludf.DUMMYFUNCTION("""COMPUTED_VALUE"""),"lateral vestibular nucleus, magnocellular part")</f>
        <v>lateral vestibular nucleus, magnocellular part</v>
      </c>
      <c r="F2926" s="9" t="str">
        <f>IFERROR(__xludf.DUMMYFUNCTION("""COMPUTED_VALUE"""),"Br")</f>
        <v>Br</v>
      </c>
      <c r="G2926" s="9" t="str">
        <f>IFERROR(__xludf.DUMMYFUNCTION("""COMPUTED_VALUE"""),"H")</f>
        <v>H</v>
      </c>
      <c r="H2926" s="9" t="str">
        <f>IFERROR(__xludf.DUMMYFUNCTION("""COMPUTED_VALUE"""),"HGM")</f>
        <v>HGM</v>
      </c>
      <c r="I2926" s="9" t="str">
        <f>IFERROR(__xludf.DUMMYFUNCTION("""COMPUTED_VALUE"""),"Met")</f>
        <v>Met</v>
      </c>
      <c r="J2926" s="9" t="str">
        <f>IFERROR(__xludf.DUMMYFUNCTION("""COMPUTED_VALUE"""),"Pn")</f>
        <v>Pn</v>
      </c>
      <c r="K2926" s="9" t="str">
        <f>IFERROR(__xludf.DUMMYFUNCTION("""COMPUTED_VALUE"""),"PnTg")</f>
        <v>PnTg</v>
      </c>
      <c r="L2926" s="9" t="str">
        <f>IFERROR(__xludf.DUMMYFUNCTION("""COMPUTED_VALUE"""),"PnAN")</f>
        <v>PnAN</v>
      </c>
      <c r="M2926" s="9" t="str">
        <f>IFERROR(__xludf.DUMMYFUNCTION("""COMPUTED_VALUE"""),"8Ve-p")</f>
        <v>8Ve-p</v>
      </c>
      <c r="N2926" s="9" t="str">
        <f>IFERROR(__xludf.DUMMYFUNCTION("""COMPUTED_VALUE"""),"LVe")</f>
        <v>LVe</v>
      </c>
      <c r="O2926" s="9" t="str">
        <f>IFERROR(__xludf.DUMMYFUNCTION("""COMPUTED_VALUE"""),"LVeMC")</f>
        <v>LVeMC</v>
      </c>
      <c r="P2926" s="9"/>
      <c r="Q2926" s="9"/>
      <c r="R2926" s="9"/>
      <c r="S2926" s="42"/>
      <c r="T2926" s="42"/>
      <c r="U2926" s="42"/>
      <c r="V2926" s="42"/>
      <c r="W2926" s="42"/>
      <c r="X2926" s="42"/>
      <c r="Y2926" s="42"/>
      <c r="Z2926" s="42"/>
      <c r="AA2926" s="42"/>
      <c r="AB2926" s="42" t="str">
        <f>IFERROR(__xludf.DUMMYFUNCTION("""COMPUTED_VALUE"""),"allen institute")</f>
        <v>allen institute</v>
      </c>
      <c r="AC2926" s="42" t="str">
        <f>IFERROR(__xludf.DUMMYFUNCTION("""COMPUTED_VALUE"""),"DHBA")</f>
        <v>DHBA</v>
      </c>
      <c r="AD2926" s="42"/>
      <c r="AE2926" s="42"/>
      <c r="AF2926" s="9"/>
      <c r="AG2926" s="9"/>
      <c r="AH2926" s="42"/>
      <c r="AI2926" s="42"/>
      <c r="AJ2926" s="42"/>
      <c r="AK2926" s="42"/>
      <c r="AL2926" s="42"/>
      <c r="AM2926" s="42"/>
      <c r="AN2926" s="42"/>
      <c r="AO2926" s="63" t="str">
        <f>IFERROR(__xludf.DUMMYFUNCTION("IF(ISBLANK(A2926),,IF(ISBLANK(S2926), A2926&amp;"";"", TEXTJOIN(CHAR(10), TRUE, A2926&amp;"";"", ARRAYFORMULA(VLOOKUP(SPLIT(S2926, "";"" &amp; CHAR(10)), $A:$AO, 41, FALSE)))))"),"LVeMC;")</f>
        <v>LVeMC;</v>
      </c>
      <c r="AP2926" s="89"/>
    </row>
    <row r="2927">
      <c r="A2927" s="151" t="str">
        <f>IFERROR(__xludf.DUMMYFUNCTION("""COMPUTED_VALUE"""),"LVePC")</f>
        <v>LVePC</v>
      </c>
      <c r="B2927" s="42" t="str">
        <f>IFERROR(__xludf.DUMMYFUNCTION("""COMPUTED_VALUE"""),"DHBA")</f>
        <v>DHBA</v>
      </c>
      <c r="C2927" s="42" t="str">
        <f>IFERROR(__xludf.DUMMYFUNCTION("""COMPUTED_VALUE"""),"lateral vestibular nucleus, parvicellular part")</f>
        <v>lateral vestibular nucleus, parvicellular part</v>
      </c>
      <c r="D2927" s="42">
        <f>IFERROR(__xludf.DUMMYFUNCTION("""COMPUTED_VALUE"""),2787.0)</f>
        <v>2787</v>
      </c>
      <c r="E2927" s="39" t="str">
        <f>IFERROR(__xludf.DUMMYFUNCTION("""COMPUTED_VALUE"""),"lateral vestibular nucleus, parvicellular part")</f>
        <v>lateral vestibular nucleus, parvicellular part</v>
      </c>
      <c r="F2927" s="9" t="str">
        <f>IFERROR(__xludf.DUMMYFUNCTION("""COMPUTED_VALUE"""),"Br")</f>
        <v>Br</v>
      </c>
      <c r="G2927" s="9" t="str">
        <f>IFERROR(__xludf.DUMMYFUNCTION("""COMPUTED_VALUE"""),"H")</f>
        <v>H</v>
      </c>
      <c r="H2927" s="9" t="str">
        <f>IFERROR(__xludf.DUMMYFUNCTION("""COMPUTED_VALUE"""),"HGM")</f>
        <v>HGM</v>
      </c>
      <c r="I2927" s="9" t="str">
        <f>IFERROR(__xludf.DUMMYFUNCTION("""COMPUTED_VALUE"""),"Met")</f>
        <v>Met</v>
      </c>
      <c r="J2927" s="9" t="str">
        <f>IFERROR(__xludf.DUMMYFUNCTION("""COMPUTED_VALUE"""),"Pn")</f>
        <v>Pn</v>
      </c>
      <c r="K2927" s="9" t="str">
        <f>IFERROR(__xludf.DUMMYFUNCTION("""COMPUTED_VALUE"""),"PnTg")</f>
        <v>PnTg</v>
      </c>
      <c r="L2927" s="9" t="str">
        <f>IFERROR(__xludf.DUMMYFUNCTION("""COMPUTED_VALUE"""),"PnAN")</f>
        <v>PnAN</v>
      </c>
      <c r="M2927" s="9" t="str">
        <f>IFERROR(__xludf.DUMMYFUNCTION("""COMPUTED_VALUE"""),"8Ve-p")</f>
        <v>8Ve-p</v>
      </c>
      <c r="N2927" s="9" t="str">
        <f>IFERROR(__xludf.DUMMYFUNCTION("""COMPUTED_VALUE"""),"LVe")</f>
        <v>LVe</v>
      </c>
      <c r="O2927" s="9" t="str">
        <f>IFERROR(__xludf.DUMMYFUNCTION("""COMPUTED_VALUE"""),"LVePC")</f>
        <v>LVePC</v>
      </c>
      <c r="P2927" s="9"/>
      <c r="Q2927" s="9"/>
      <c r="R2927" s="9"/>
      <c r="S2927" s="42"/>
      <c r="T2927" s="42"/>
      <c r="U2927" s="42"/>
      <c r="V2927" s="42"/>
      <c r="W2927" s="42"/>
      <c r="X2927" s="42"/>
      <c r="Y2927" s="42"/>
      <c r="Z2927" s="42"/>
      <c r="AA2927" s="42"/>
      <c r="AB2927" s="42" t="str">
        <f>IFERROR(__xludf.DUMMYFUNCTION("""COMPUTED_VALUE"""),"allen institute")</f>
        <v>allen institute</v>
      </c>
      <c r="AC2927" s="42" t="str">
        <f>IFERROR(__xludf.DUMMYFUNCTION("""COMPUTED_VALUE"""),"DHBA")</f>
        <v>DHBA</v>
      </c>
      <c r="AD2927" s="42"/>
      <c r="AE2927" s="42"/>
      <c r="AF2927" s="9"/>
      <c r="AG2927" s="9"/>
      <c r="AH2927" s="42"/>
      <c r="AI2927" s="42"/>
      <c r="AJ2927" s="42"/>
      <c r="AK2927" s="42"/>
      <c r="AL2927" s="42"/>
      <c r="AM2927" s="42"/>
      <c r="AN2927" s="42"/>
      <c r="AO2927" s="63" t="str">
        <f>IFERROR(__xludf.DUMMYFUNCTION("IF(ISBLANK(A2927),,IF(ISBLANK(S2927), A2927&amp;"";"", TEXTJOIN(CHAR(10), TRUE, A2927&amp;"";"", ARRAYFORMULA(VLOOKUP(SPLIT(S2927, "";"" &amp; CHAR(10)), $A:$AO, 41, FALSE)))))"),"LVePC;")</f>
        <v>LVePC;</v>
      </c>
      <c r="AP2927" s="89"/>
    </row>
    <row r="2928">
      <c r="A2928" s="151" t="str">
        <f>IFERROR(__xludf.DUMMYFUNCTION("""COMPUTED_VALUE"""),"SuVe")</f>
        <v>SuVe</v>
      </c>
      <c r="B2928" s="42" t="str">
        <f>IFERROR(__xludf.DUMMYFUNCTION("""COMPUTED_VALUE"""),"DHBA")</f>
        <v>DHBA</v>
      </c>
      <c r="C2928" s="42" t="str">
        <f>IFERROR(__xludf.DUMMYFUNCTION("""COMPUTED_VALUE"""),"superior vestibular nucleus")</f>
        <v>superior vestibular nucleus</v>
      </c>
      <c r="D2928" s="42">
        <f>IFERROR(__xludf.DUMMYFUNCTION("""COMPUTED_VALUE"""),2788.0)</f>
        <v>2788</v>
      </c>
      <c r="E2928" s="39" t="str">
        <f>IFERROR(__xludf.DUMMYFUNCTION("""COMPUTED_VALUE"""),"superior vestibular nucleus")</f>
        <v>superior vestibular nucleus</v>
      </c>
      <c r="F2928" s="9" t="str">
        <f>IFERROR(__xludf.DUMMYFUNCTION("""COMPUTED_VALUE"""),"Br")</f>
        <v>Br</v>
      </c>
      <c r="G2928" s="9" t="str">
        <f>IFERROR(__xludf.DUMMYFUNCTION("""COMPUTED_VALUE"""),"H")</f>
        <v>H</v>
      </c>
      <c r="H2928" s="9" t="str">
        <f>IFERROR(__xludf.DUMMYFUNCTION("""COMPUTED_VALUE"""),"HGM")</f>
        <v>HGM</v>
      </c>
      <c r="I2928" s="9" t="str">
        <f>IFERROR(__xludf.DUMMYFUNCTION("""COMPUTED_VALUE"""),"Met")</f>
        <v>Met</v>
      </c>
      <c r="J2928" s="9" t="str">
        <f>IFERROR(__xludf.DUMMYFUNCTION("""COMPUTED_VALUE"""),"Pn")</f>
        <v>Pn</v>
      </c>
      <c r="K2928" s="9" t="str">
        <f>IFERROR(__xludf.DUMMYFUNCTION("""COMPUTED_VALUE"""),"PnTg")</f>
        <v>PnTg</v>
      </c>
      <c r="L2928" s="9" t="str">
        <f>IFERROR(__xludf.DUMMYFUNCTION("""COMPUTED_VALUE"""),"PnAN")</f>
        <v>PnAN</v>
      </c>
      <c r="M2928" s="9" t="str">
        <f>IFERROR(__xludf.DUMMYFUNCTION("""COMPUTED_VALUE"""),"8Ve-p")</f>
        <v>8Ve-p</v>
      </c>
      <c r="N2928" s="9" t="str">
        <f>IFERROR(__xludf.DUMMYFUNCTION("""COMPUTED_VALUE"""),"SuVe")</f>
        <v>SuVe</v>
      </c>
      <c r="O2928" s="9"/>
      <c r="P2928" s="9"/>
      <c r="Q2928" s="9"/>
      <c r="R2928" s="9"/>
      <c r="S2928" s="42"/>
      <c r="T2928" s="42"/>
      <c r="U2928" s="42"/>
      <c r="V2928" s="42"/>
      <c r="W2928" s="42"/>
      <c r="X2928" s="42"/>
      <c r="Y2928" s="42"/>
      <c r="Z2928" s="42"/>
      <c r="AA2928" s="42"/>
      <c r="AB2928" s="42" t="str">
        <f>IFERROR(__xludf.DUMMYFUNCTION("""COMPUTED_VALUE"""),"allen institute")</f>
        <v>allen institute</v>
      </c>
      <c r="AC2928" s="42" t="str">
        <f>IFERROR(__xludf.DUMMYFUNCTION("""COMPUTED_VALUE"""),"DHBA")</f>
        <v>DHBA</v>
      </c>
      <c r="AD2928" s="42"/>
      <c r="AE2928" s="42"/>
      <c r="AF2928" s="9"/>
      <c r="AG2928" s="9"/>
      <c r="AH2928" s="42"/>
      <c r="AI2928" s="42"/>
      <c r="AJ2928" s="42"/>
      <c r="AK2928" s="42"/>
      <c r="AL2928" s="42"/>
      <c r="AM2928" s="42"/>
      <c r="AN2928" s="42"/>
      <c r="AO2928" s="63" t="str">
        <f>IFERROR(__xludf.DUMMYFUNCTION("IF(ISBLANK(A2928),,IF(ISBLANK(S2928), A2928&amp;"";"", TEXTJOIN(CHAR(10), TRUE, A2928&amp;"";"", ARRAYFORMULA(VLOOKUP(SPLIT(S2928, "";"" &amp; CHAR(10)), $A:$AO, 41, FALSE)))))"),"SuVe;")</f>
        <v>SuVe;</v>
      </c>
      <c r="AP2928" s="89"/>
    </row>
    <row r="2929">
      <c r="A2929" s="151" t="str">
        <f>IFERROR(__xludf.DUMMYFUNCTION("""COMPUTED_VALUE"""),"VTg")</f>
        <v>VTg</v>
      </c>
      <c r="B2929" s="42" t="str">
        <f>IFERROR(__xludf.DUMMYFUNCTION("""COMPUTED_VALUE"""),"DHBA")</f>
        <v>DHBA</v>
      </c>
      <c r="C2929" s="42" t="str">
        <f>IFERROR(__xludf.DUMMYFUNCTION("""COMPUTED_VALUE"""),"ventral tegmental nucleus")</f>
        <v>ventral tegmental nucleus</v>
      </c>
      <c r="D2929" s="42">
        <f>IFERROR(__xludf.DUMMYFUNCTION("""COMPUTED_VALUE"""),2789.0)</f>
        <v>2789</v>
      </c>
      <c r="E2929" s="39" t="str">
        <f>IFERROR(__xludf.DUMMYFUNCTION("""COMPUTED_VALUE"""),"ventral tegmental nucleus")</f>
        <v>ventral tegmental nucleus</v>
      </c>
      <c r="F2929" s="9" t="str">
        <f>IFERROR(__xludf.DUMMYFUNCTION("""COMPUTED_VALUE"""),"Br")</f>
        <v>Br</v>
      </c>
      <c r="G2929" s="9" t="str">
        <f>IFERROR(__xludf.DUMMYFUNCTION("""COMPUTED_VALUE"""),"H")</f>
        <v>H</v>
      </c>
      <c r="H2929" s="9" t="str">
        <f>IFERROR(__xludf.DUMMYFUNCTION("""COMPUTED_VALUE"""),"HGM")</f>
        <v>HGM</v>
      </c>
      <c r="I2929" s="9" t="str">
        <f>IFERROR(__xludf.DUMMYFUNCTION("""COMPUTED_VALUE"""),"Met")</f>
        <v>Met</v>
      </c>
      <c r="J2929" s="9" t="str">
        <f>IFERROR(__xludf.DUMMYFUNCTION("""COMPUTED_VALUE"""),"Pn")</f>
        <v>Pn</v>
      </c>
      <c r="K2929" s="9" t="str">
        <f>IFERROR(__xludf.DUMMYFUNCTION("""COMPUTED_VALUE"""),"PnTg")</f>
        <v>PnTg</v>
      </c>
      <c r="L2929" s="9" t="str">
        <f>IFERROR(__xludf.DUMMYFUNCTION("""COMPUTED_VALUE"""),"VTg")</f>
        <v>VTg</v>
      </c>
      <c r="M2929" s="9"/>
      <c r="N2929" s="9"/>
      <c r="O2929" s="9"/>
      <c r="P2929" s="9"/>
      <c r="Q2929" s="9"/>
      <c r="R2929" s="9"/>
      <c r="S2929" s="42" t="str">
        <f>IFERROR(__xludf.DUMMYFUNCTION("""COMPUTED_VALUE"""),"VTgR;
VTgI;
VTgP;
VTgS")</f>
        <v>VTgR;
VTgI;
VTgP;
VTgS</v>
      </c>
      <c r="T2929" s="42"/>
      <c r="U2929" s="42" t="b">
        <f>IFERROR(__xludf.DUMMYFUNCTION("""COMPUTED_VALUE"""),FALSE)</f>
        <v>0</v>
      </c>
      <c r="V2929" s="42"/>
      <c r="W2929" s="42"/>
      <c r="X2929" s="42"/>
      <c r="Y2929" s="42"/>
      <c r="Z2929" s="42"/>
      <c r="AA2929" s="42"/>
      <c r="AB2929" s="42" t="str">
        <f>IFERROR(__xludf.DUMMYFUNCTION("""COMPUTED_VALUE"""),"allen institute")</f>
        <v>allen institute</v>
      </c>
      <c r="AC2929" s="42" t="str">
        <f>IFERROR(__xludf.DUMMYFUNCTION("""COMPUTED_VALUE"""),"DHBA")</f>
        <v>DHBA</v>
      </c>
      <c r="AD2929" s="42"/>
      <c r="AE2929" s="42"/>
      <c r="AF2929" s="9"/>
      <c r="AG2929" s="9"/>
      <c r="AH2929" s="42"/>
      <c r="AI2929" s="42"/>
      <c r="AJ2929" s="42"/>
      <c r="AK2929" s="42"/>
      <c r="AL2929" s="42"/>
      <c r="AM2929" s="42"/>
      <c r="AN2929" s="42"/>
      <c r="AO2929" s="63" t="str">
        <f>IFERROR(__xludf.DUMMYFUNCTION("IF(ISBLANK(A2929),,IF(ISBLANK(S2929), A2929&amp;"";"", TEXTJOIN(CHAR(10), TRUE, A2929&amp;"";"", ARRAYFORMULA(VLOOKUP(SPLIT(S2929, "";"" &amp; CHAR(10)), $A:$AO, 41, FALSE)))))"),"VTg;
VTgR;
VTgI;
VTgP;
VTgS;")</f>
        <v>VTg;
VTgR;
VTgI;
VTgP;
VTgS;</v>
      </c>
      <c r="AP2929" s="89"/>
    </row>
    <row r="2930">
      <c r="A2930" s="151" t="str">
        <f>IFERROR(__xludf.DUMMYFUNCTION("""COMPUTED_VALUE"""),"VTgR")</f>
        <v>VTgR</v>
      </c>
      <c r="B2930" s="42" t="str">
        <f>IFERROR(__xludf.DUMMYFUNCTION("""COMPUTED_VALUE"""),"DHBA")</f>
        <v>DHBA</v>
      </c>
      <c r="C2930" s="42" t="str">
        <f>IFERROR(__xludf.DUMMYFUNCTION("""COMPUTED_VALUE"""),"ventral tegmental nucleus, rostral extension")</f>
        <v>ventral tegmental nucleus, rostral extension</v>
      </c>
      <c r="D2930" s="42">
        <f>IFERROR(__xludf.DUMMYFUNCTION("""COMPUTED_VALUE"""),2790.0)</f>
        <v>2790</v>
      </c>
      <c r="E2930" s="39" t="str">
        <f>IFERROR(__xludf.DUMMYFUNCTION("""COMPUTED_VALUE"""),"ventral tegmental nucleus, rostral extension")</f>
        <v>ventral tegmental nucleus, rostral extension</v>
      </c>
      <c r="F2930" s="9" t="str">
        <f>IFERROR(__xludf.DUMMYFUNCTION("""COMPUTED_VALUE"""),"Br")</f>
        <v>Br</v>
      </c>
      <c r="G2930" s="9" t="str">
        <f>IFERROR(__xludf.DUMMYFUNCTION("""COMPUTED_VALUE"""),"H")</f>
        <v>H</v>
      </c>
      <c r="H2930" s="9" t="str">
        <f>IFERROR(__xludf.DUMMYFUNCTION("""COMPUTED_VALUE"""),"HGM")</f>
        <v>HGM</v>
      </c>
      <c r="I2930" s="9" t="str">
        <f>IFERROR(__xludf.DUMMYFUNCTION("""COMPUTED_VALUE"""),"Met")</f>
        <v>Met</v>
      </c>
      <c r="J2930" s="9" t="str">
        <f>IFERROR(__xludf.DUMMYFUNCTION("""COMPUTED_VALUE"""),"Pn")</f>
        <v>Pn</v>
      </c>
      <c r="K2930" s="9" t="str">
        <f>IFERROR(__xludf.DUMMYFUNCTION("""COMPUTED_VALUE"""),"PnTg")</f>
        <v>PnTg</v>
      </c>
      <c r="L2930" s="9" t="str">
        <f>IFERROR(__xludf.DUMMYFUNCTION("""COMPUTED_VALUE"""),"VTg")</f>
        <v>VTg</v>
      </c>
      <c r="M2930" s="9" t="str">
        <f>IFERROR(__xludf.DUMMYFUNCTION("""COMPUTED_VALUE"""),"VTgR")</f>
        <v>VTgR</v>
      </c>
      <c r="N2930" s="9"/>
      <c r="O2930" s="9"/>
      <c r="P2930" s="9"/>
      <c r="Q2930" s="9"/>
      <c r="R2930" s="9"/>
      <c r="S2930" s="42"/>
      <c r="T2930" s="42"/>
      <c r="U2930" s="159"/>
      <c r="V2930" s="42"/>
      <c r="W2930" s="42"/>
      <c r="X2930" s="42"/>
      <c r="Y2930" s="42"/>
      <c r="Z2930" s="42"/>
      <c r="AA2930" s="42"/>
      <c r="AB2930" s="42" t="str">
        <f>IFERROR(__xludf.DUMMYFUNCTION("""COMPUTED_VALUE"""),"allen institute")</f>
        <v>allen institute</v>
      </c>
      <c r="AC2930" s="42" t="str">
        <f>IFERROR(__xludf.DUMMYFUNCTION("""COMPUTED_VALUE"""),"DHBA")</f>
        <v>DHBA</v>
      </c>
      <c r="AD2930" s="42"/>
      <c r="AE2930" s="42"/>
      <c r="AF2930" s="9"/>
      <c r="AG2930" s="9"/>
      <c r="AH2930" s="42"/>
      <c r="AI2930" s="42"/>
      <c r="AJ2930" s="42"/>
      <c r="AK2930" s="42"/>
      <c r="AL2930" s="42"/>
      <c r="AM2930" s="42"/>
      <c r="AN2930" s="42"/>
      <c r="AO2930" s="63" t="str">
        <f>IFERROR(__xludf.DUMMYFUNCTION("IF(ISBLANK(A2930),,IF(ISBLANK(S2930), A2930&amp;"";"", TEXTJOIN(CHAR(10), TRUE, A2930&amp;"";"", ARRAYFORMULA(VLOOKUP(SPLIT(S2930, "";"" &amp; CHAR(10)), $A:$AO, 41, FALSE)))))"),"VTgR;")</f>
        <v>VTgR;</v>
      </c>
      <c r="AP2930" s="89"/>
    </row>
    <row r="2931">
      <c r="A2931" s="151" t="str">
        <f>IFERROR(__xludf.DUMMYFUNCTION("""COMPUTED_VALUE"""),"VTgI")</f>
        <v>VTgI</v>
      </c>
      <c r="B2931" s="42" t="str">
        <f>IFERROR(__xludf.DUMMYFUNCTION("""COMPUTED_VALUE"""),"DHBA")</f>
        <v>DHBA</v>
      </c>
      <c r="C2931" s="42" t="str">
        <f>IFERROR(__xludf.DUMMYFUNCTION("""COMPUTED_VALUE"""),"ventral tegmental nucleus, infrafascicular part")</f>
        <v>ventral tegmental nucleus, infrafascicular part</v>
      </c>
      <c r="D2931" s="42">
        <f>IFERROR(__xludf.DUMMYFUNCTION("""COMPUTED_VALUE"""),2791.0)</f>
        <v>2791</v>
      </c>
      <c r="E2931" s="39" t="str">
        <f>IFERROR(__xludf.DUMMYFUNCTION("""COMPUTED_VALUE"""),"ventral tegmental nucleus, infrafascicular part")</f>
        <v>ventral tegmental nucleus, infrafascicular part</v>
      </c>
      <c r="F2931" s="9" t="str">
        <f>IFERROR(__xludf.DUMMYFUNCTION("""COMPUTED_VALUE"""),"Br")</f>
        <v>Br</v>
      </c>
      <c r="G2931" s="9" t="str">
        <f>IFERROR(__xludf.DUMMYFUNCTION("""COMPUTED_VALUE"""),"H")</f>
        <v>H</v>
      </c>
      <c r="H2931" s="9" t="str">
        <f>IFERROR(__xludf.DUMMYFUNCTION("""COMPUTED_VALUE"""),"HGM")</f>
        <v>HGM</v>
      </c>
      <c r="I2931" s="9" t="str">
        <f>IFERROR(__xludf.DUMMYFUNCTION("""COMPUTED_VALUE"""),"Met")</f>
        <v>Met</v>
      </c>
      <c r="J2931" s="9" t="str">
        <f>IFERROR(__xludf.DUMMYFUNCTION("""COMPUTED_VALUE"""),"Pn")</f>
        <v>Pn</v>
      </c>
      <c r="K2931" s="9" t="str">
        <f>IFERROR(__xludf.DUMMYFUNCTION("""COMPUTED_VALUE"""),"PnTg")</f>
        <v>PnTg</v>
      </c>
      <c r="L2931" s="9" t="str">
        <f>IFERROR(__xludf.DUMMYFUNCTION("""COMPUTED_VALUE"""),"VTg")</f>
        <v>VTg</v>
      </c>
      <c r="M2931" s="9" t="str">
        <f>IFERROR(__xludf.DUMMYFUNCTION("""COMPUTED_VALUE"""),"VTgI")</f>
        <v>VTgI</v>
      </c>
      <c r="N2931" s="9"/>
      <c r="O2931" s="9"/>
      <c r="P2931" s="9"/>
      <c r="Q2931" s="9"/>
      <c r="R2931" s="9"/>
      <c r="S2931" s="42"/>
      <c r="T2931" s="42"/>
      <c r="U2931" s="42"/>
      <c r="V2931" s="42"/>
      <c r="W2931" s="42"/>
      <c r="X2931" s="42"/>
      <c r="Y2931" s="42"/>
      <c r="Z2931" s="42"/>
      <c r="AA2931" s="42"/>
      <c r="AB2931" s="42" t="str">
        <f>IFERROR(__xludf.DUMMYFUNCTION("""COMPUTED_VALUE"""),"allen institute")</f>
        <v>allen institute</v>
      </c>
      <c r="AC2931" s="42" t="str">
        <f>IFERROR(__xludf.DUMMYFUNCTION("""COMPUTED_VALUE"""),"DHBA")</f>
        <v>DHBA</v>
      </c>
      <c r="AD2931" s="42"/>
      <c r="AE2931" s="42"/>
      <c r="AF2931" s="9"/>
      <c r="AG2931" s="9"/>
      <c r="AH2931" s="42"/>
      <c r="AI2931" s="42"/>
      <c r="AJ2931" s="42"/>
      <c r="AK2931" s="42"/>
      <c r="AL2931" s="42"/>
      <c r="AM2931" s="42"/>
      <c r="AN2931" s="42"/>
      <c r="AO2931" s="63" t="str">
        <f>IFERROR(__xludf.DUMMYFUNCTION("IF(ISBLANK(A2931),,IF(ISBLANK(S2931), A2931&amp;"";"", TEXTJOIN(CHAR(10), TRUE, A2931&amp;"";"", ARRAYFORMULA(VLOOKUP(SPLIT(S2931, "";"" &amp; CHAR(10)), $A:$AO, 41, FALSE)))))"),"VTgI;")</f>
        <v>VTgI;</v>
      </c>
      <c r="AP2931" s="89"/>
    </row>
    <row r="2932">
      <c r="A2932" s="151" t="str">
        <f>IFERROR(__xludf.DUMMYFUNCTION("""COMPUTED_VALUE"""),"VTgP")</f>
        <v>VTgP</v>
      </c>
      <c r="B2932" s="42" t="str">
        <f>IFERROR(__xludf.DUMMYFUNCTION("""COMPUTED_VALUE"""),"DHBA")</f>
        <v>DHBA</v>
      </c>
      <c r="C2932" s="42" t="str">
        <f>IFERROR(__xludf.DUMMYFUNCTION("""COMPUTED_VALUE"""),"ventral tegmental nucleus, principal part")</f>
        <v>ventral tegmental nucleus, principal part</v>
      </c>
      <c r="D2932" s="42">
        <f>IFERROR(__xludf.DUMMYFUNCTION("""COMPUTED_VALUE"""),2792.0)</f>
        <v>2792</v>
      </c>
      <c r="E2932" s="39" t="str">
        <f>IFERROR(__xludf.DUMMYFUNCTION("""COMPUTED_VALUE"""),"ventral tegmental nucleus, principal part")</f>
        <v>ventral tegmental nucleus, principal part</v>
      </c>
      <c r="F2932" s="9" t="str">
        <f>IFERROR(__xludf.DUMMYFUNCTION("""COMPUTED_VALUE"""),"Br")</f>
        <v>Br</v>
      </c>
      <c r="G2932" s="9" t="str">
        <f>IFERROR(__xludf.DUMMYFUNCTION("""COMPUTED_VALUE"""),"H")</f>
        <v>H</v>
      </c>
      <c r="H2932" s="9" t="str">
        <f>IFERROR(__xludf.DUMMYFUNCTION("""COMPUTED_VALUE"""),"HGM")</f>
        <v>HGM</v>
      </c>
      <c r="I2932" s="9" t="str">
        <f>IFERROR(__xludf.DUMMYFUNCTION("""COMPUTED_VALUE"""),"Met")</f>
        <v>Met</v>
      </c>
      <c r="J2932" s="9" t="str">
        <f>IFERROR(__xludf.DUMMYFUNCTION("""COMPUTED_VALUE"""),"Pn")</f>
        <v>Pn</v>
      </c>
      <c r="K2932" s="9" t="str">
        <f>IFERROR(__xludf.DUMMYFUNCTION("""COMPUTED_VALUE"""),"PnTg")</f>
        <v>PnTg</v>
      </c>
      <c r="L2932" s="9" t="str">
        <f>IFERROR(__xludf.DUMMYFUNCTION("""COMPUTED_VALUE"""),"VTg")</f>
        <v>VTg</v>
      </c>
      <c r="M2932" s="9" t="str">
        <f>IFERROR(__xludf.DUMMYFUNCTION("""COMPUTED_VALUE"""),"VTgP")</f>
        <v>VTgP</v>
      </c>
      <c r="N2932" s="9"/>
      <c r="O2932" s="9"/>
      <c r="P2932" s="9"/>
      <c r="Q2932" s="9"/>
      <c r="R2932" s="9"/>
      <c r="S2932" s="42"/>
      <c r="T2932" s="42"/>
      <c r="U2932" s="42"/>
      <c r="V2932" s="42"/>
      <c r="W2932" s="42"/>
      <c r="X2932" s="42"/>
      <c r="Y2932" s="42"/>
      <c r="Z2932" s="42"/>
      <c r="AA2932" s="42"/>
      <c r="AB2932" s="42" t="str">
        <f>IFERROR(__xludf.DUMMYFUNCTION("""COMPUTED_VALUE"""),"allen institute")</f>
        <v>allen institute</v>
      </c>
      <c r="AC2932" s="42" t="str">
        <f>IFERROR(__xludf.DUMMYFUNCTION("""COMPUTED_VALUE"""),"DHBA")</f>
        <v>DHBA</v>
      </c>
      <c r="AD2932" s="42"/>
      <c r="AE2932" s="42"/>
      <c r="AF2932" s="9"/>
      <c r="AG2932" s="9"/>
      <c r="AH2932" s="42"/>
      <c r="AI2932" s="42"/>
      <c r="AJ2932" s="42"/>
      <c r="AK2932" s="42"/>
      <c r="AL2932" s="42"/>
      <c r="AM2932" s="42"/>
      <c r="AN2932" s="42"/>
      <c r="AO2932" s="63" t="str">
        <f>IFERROR(__xludf.DUMMYFUNCTION("IF(ISBLANK(A2932),,IF(ISBLANK(S2932), A2932&amp;"";"", TEXTJOIN(CHAR(10), TRUE, A2932&amp;"";"", ARRAYFORMULA(VLOOKUP(SPLIT(S2932, "";"" &amp; CHAR(10)), $A:$AO, 41, FALSE)))))"),"VTgP;")</f>
        <v>VTgP;</v>
      </c>
      <c r="AP2932" s="89"/>
    </row>
    <row r="2933">
      <c r="A2933" s="151" t="str">
        <f>IFERROR(__xludf.DUMMYFUNCTION("""COMPUTED_VALUE"""),"VTgS")</f>
        <v>VTgS</v>
      </c>
      <c r="B2933" s="42" t="str">
        <f>IFERROR(__xludf.DUMMYFUNCTION("""COMPUTED_VALUE"""),"DHBA")</f>
        <v>DHBA</v>
      </c>
      <c r="C2933" s="42" t="str">
        <f>IFERROR(__xludf.DUMMYFUNCTION("""COMPUTED_VALUE"""),"ventral tegmental nucleus, suprafascicular part")</f>
        <v>ventral tegmental nucleus, suprafascicular part</v>
      </c>
      <c r="D2933" s="42">
        <f>IFERROR(__xludf.DUMMYFUNCTION("""COMPUTED_VALUE"""),2793.0)</f>
        <v>2793</v>
      </c>
      <c r="E2933" s="39" t="str">
        <f>IFERROR(__xludf.DUMMYFUNCTION("""COMPUTED_VALUE"""),"ventral tegmental nucleus, suprafascicular part")</f>
        <v>ventral tegmental nucleus, suprafascicular part</v>
      </c>
      <c r="F2933" s="9" t="str">
        <f>IFERROR(__xludf.DUMMYFUNCTION("""COMPUTED_VALUE"""),"Br")</f>
        <v>Br</v>
      </c>
      <c r="G2933" s="9" t="str">
        <f>IFERROR(__xludf.DUMMYFUNCTION("""COMPUTED_VALUE"""),"H")</f>
        <v>H</v>
      </c>
      <c r="H2933" s="9" t="str">
        <f>IFERROR(__xludf.DUMMYFUNCTION("""COMPUTED_VALUE"""),"HGM")</f>
        <v>HGM</v>
      </c>
      <c r="I2933" s="9" t="str">
        <f>IFERROR(__xludf.DUMMYFUNCTION("""COMPUTED_VALUE"""),"Met")</f>
        <v>Met</v>
      </c>
      <c r="J2933" s="9" t="str">
        <f>IFERROR(__xludf.DUMMYFUNCTION("""COMPUTED_VALUE"""),"Pn")</f>
        <v>Pn</v>
      </c>
      <c r="K2933" s="9" t="str">
        <f>IFERROR(__xludf.DUMMYFUNCTION("""COMPUTED_VALUE"""),"PnTg")</f>
        <v>PnTg</v>
      </c>
      <c r="L2933" s="9" t="str">
        <f>IFERROR(__xludf.DUMMYFUNCTION("""COMPUTED_VALUE"""),"VTg")</f>
        <v>VTg</v>
      </c>
      <c r="M2933" s="9" t="str">
        <f>IFERROR(__xludf.DUMMYFUNCTION("""COMPUTED_VALUE"""),"VTgS")</f>
        <v>VTgS</v>
      </c>
      <c r="N2933" s="9"/>
      <c r="O2933" s="9"/>
      <c r="P2933" s="9"/>
      <c r="Q2933" s="9"/>
      <c r="R2933" s="9"/>
      <c r="S2933" s="42"/>
      <c r="T2933" s="42"/>
      <c r="U2933" s="42"/>
      <c r="V2933" s="42"/>
      <c r="W2933" s="42"/>
      <c r="X2933" s="42"/>
      <c r="Y2933" s="42"/>
      <c r="Z2933" s="42"/>
      <c r="AA2933" s="42"/>
      <c r="AB2933" s="42" t="str">
        <f>IFERROR(__xludf.DUMMYFUNCTION("""COMPUTED_VALUE"""),"allen institute")</f>
        <v>allen institute</v>
      </c>
      <c r="AC2933" s="42" t="str">
        <f>IFERROR(__xludf.DUMMYFUNCTION("""COMPUTED_VALUE"""),"DHBA")</f>
        <v>DHBA</v>
      </c>
      <c r="AD2933" s="42"/>
      <c r="AE2933" s="42"/>
      <c r="AF2933" s="9"/>
      <c r="AG2933" s="9"/>
      <c r="AH2933" s="42"/>
      <c r="AI2933" s="42"/>
      <c r="AJ2933" s="42"/>
      <c r="AK2933" s="42"/>
      <c r="AL2933" s="42"/>
      <c r="AM2933" s="42"/>
      <c r="AN2933" s="42"/>
      <c r="AO2933" s="63" t="str">
        <f>IFERROR(__xludf.DUMMYFUNCTION("IF(ISBLANK(A2933),,IF(ISBLANK(S2933), A2933&amp;"";"", TEXTJOIN(CHAR(10), TRUE, A2933&amp;"";"", ARRAYFORMULA(VLOOKUP(SPLIT(S2933, "";"" &amp; CHAR(10)), $A:$AO, 41, FALSE)))))"),"VTgS;")</f>
        <v>VTgS;</v>
      </c>
      <c r="AP2933" s="89"/>
    </row>
    <row r="2934">
      <c r="A2934" s="151" t="str">
        <f>IFERROR(__xludf.DUMMYFUNCTION("""COMPUTED_VALUE"""),"PnAR")</f>
        <v>PnAR</v>
      </c>
      <c r="B2934" s="42" t="str">
        <f>IFERROR(__xludf.DUMMYFUNCTION("""COMPUTED_VALUE"""),"DHBA")</f>
        <v>DHBA</v>
      </c>
      <c r="C2934" s="42" t="str">
        <f>IFERROR(__xludf.DUMMYFUNCTION("""COMPUTED_VALUE"""),"auditory relay nuclei in pons")</f>
        <v>auditory relay nuclei in pons</v>
      </c>
      <c r="D2934" s="42">
        <f>IFERROR(__xludf.DUMMYFUNCTION("""COMPUTED_VALUE"""),2794.0)</f>
        <v>2794</v>
      </c>
      <c r="E2934" s="39" t="str">
        <f>IFERROR(__xludf.DUMMYFUNCTION("""COMPUTED_VALUE"""),"auditory relay nuclei in pons")</f>
        <v>auditory relay nuclei in pons</v>
      </c>
      <c r="F2934" s="9" t="str">
        <f>IFERROR(__xludf.DUMMYFUNCTION("""COMPUTED_VALUE"""),"Br")</f>
        <v>Br</v>
      </c>
      <c r="G2934" s="9" t="str">
        <f>IFERROR(__xludf.DUMMYFUNCTION("""COMPUTED_VALUE"""),"H")</f>
        <v>H</v>
      </c>
      <c r="H2934" s="9" t="str">
        <f>IFERROR(__xludf.DUMMYFUNCTION("""COMPUTED_VALUE"""),"HGM")</f>
        <v>HGM</v>
      </c>
      <c r="I2934" s="9" t="str">
        <f>IFERROR(__xludf.DUMMYFUNCTION("""COMPUTED_VALUE"""),"Met")</f>
        <v>Met</v>
      </c>
      <c r="J2934" s="9" t="str">
        <f>IFERROR(__xludf.DUMMYFUNCTION("""COMPUTED_VALUE"""),"Pn")</f>
        <v>Pn</v>
      </c>
      <c r="K2934" s="9" t="str">
        <f>IFERROR(__xludf.DUMMYFUNCTION("""COMPUTED_VALUE"""),"PnTg")</f>
        <v>PnTg</v>
      </c>
      <c r="L2934" s="9" t="str">
        <f>IFERROR(__xludf.DUMMYFUNCTION("""COMPUTED_VALUE"""),"PnAR")</f>
        <v>PnAR</v>
      </c>
      <c r="M2934" s="9"/>
      <c r="N2934" s="9"/>
      <c r="O2934" s="9"/>
      <c r="P2934" s="9"/>
      <c r="Q2934" s="9"/>
      <c r="R2934" s="9"/>
      <c r="S2934" s="42" t="str">
        <f>IFERROR(__xludf.DUMMYFUNCTION("""COMPUTED_VALUE"""),"LLN;
TrZ;
SOC;
PrO")</f>
        <v>LLN;
TrZ;
SOC;
PrO</v>
      </c>
      <c r="T2934" s="42"/>
      <c r="U2934" s="42" t="b">
        <f>IFERROR(__xludf.DUMMYFUNCTION("""COMPUTED_VALUE"""),FALSE)</f>
        <v>0</v>
      </c>
      <c r="V2934" s="42"/>
      <c r="W2934" s="42"/>
      <c r="X2934" s="42"/>
      <c r="Y2934" s="42"/>
      <c r="Z2934" s="42"/>
      <c r="AA2934" s="42"/>
      <c r="AB2934" s="42" t="str">
        <f>IFERROR(__xludf.DUMMYFUNCTION("""COMPUTED_VALUE"""),"allen institute")</f>
        <v>allen institute</v>
      </c>
      <c r="AC2934" s="42" t="str">
        <f>IFERROR(__xludf.DUMMYFUNCTION("""COMPUTED_VALUE"""),"DHBA")</f>
        <v>DHBA</v>
      </c>
      <c r="AD2934" s="42"/>
      <c r="AE2934" s="42"/>
      <c r="AF2934" s="9"/>
      <c r="AG2934" s="9"/>
      <c r="AH2934" s="42"/>
      <c r="AI2934" s="42"/>
      <c r="AJ2934" s="42"/>
      <c r="AK2934" s="42"/>
      <c r="AL2934" s="42"/>
      <c r="AM2934" s="42"/>
      <c r="AN2934" s="42"/>
      <c r="AO2934" s="63" t="str">
        <f>IFERROR(__xludf.DUMMYFUNCTION("IF(ISBLANK(A2934),,IF(ISBLANK(S2934), A2934&amp;"";"", TEXTJOIN(CHAR(10), TRUE, A2934&amp;"";"", ARRAYFORMULA(VLOOKUP(SPLIT(S2934, "";"" &amp; CHAR(10)), $A:$AO, 41, FALSE)))))"),"PnAR;
LLN;
DLL;
ILL;
VLL;
TrZ;
TrZl;
TrZm;
TrZv;
SOC;
POI;
LPOI;
MPOI;
RO;
SOI;
LSO;
MSO;
SPO;
Pro;
Pro1;
Pro2;
Pro3;
Pro4;
Pro5;
Pro6;")</f>
        <v>PnAR;
LLN;
DLL;
ILL;
VLL;
TrZ;
TrZl;
TrZm;
TrZv;
SOC;
POI;
LPOI;
MPOI;
RO;
SOI;
LSO;
MSO;
SPO;
Pro;
Pro1;
Pro2;
Pro3;
Pro4;
Pro5;
Pro6;</v>
      </c>
      <c r="AP2934" s="89"/>
    </row>
    <row r="2935">
      <c r="A2935" s="151" t="str">
        <f>IFERROR(__xludf.DUMMYFUNCTION("""COMPUTED_VALUE"""),"LLN")</f>
        <v>LLN</v>
      </c>
      <c r="B2935" s="42" t="str">
        <f>IFERROR(__xludf.DUMMYFUNCTION("""COMPUTED_VALUE"""),"DHBA")</f>
        <v>DHBA</v>
      </c>
      <c r="C2935" s="42" t="str">
        <f>IFERROR(__xludf.DUMMYFUNCTION("""COMPUTED_VALUE"""),"nuclei of lateral lemniscus")</f>
        <v>nuclei of lateral lemniscus</v>
      </c>
      <c r="D2935" s="42">
        <f>IFERROR(__xludf.DUMMYFUNCTION("""COMPUTED_VALUE"""),2795.0)</f>
        <v>2795</v>
      </c>
      <c r="E2935" s="39" t="str">
        <f>IFERROR(__xludf.DUMMYFUNCTION("""COMPUTED_VALUE"""),"nuclei of lateral lemniscus")</f>
        <v>nuclei of lateral lemniscus</v>
      </c>
      <c r="F2935" s="9" t="str">
        <f>IFERROR(__xludf.DUMMYFUNCTION("""COMPUTED_VALUE"""),"Br")</f>
        <v>Br</v>
      </c>
      <c r="G2935" s="9" t="str">
        <f>IFERROR(__xludf.DUMMYFUNCTION("""COMPUTED_VALUE"""),"H")</f>
        <v>H</v>
      </c>
      <c r="H2935" s="9" t="str">
        <f>IFERROR(__xludf.DUMMYFUNCTION("""COMPUTED_VALUE"""),"HGM")</f>
        <v>HGM</v>
      </c>
      <c r="I2935" s="9" t="str">
        <f>IFERROR(__xludf.DUMMYFUNCTION("""COMPUTED_VALUE"""),"Met")</f>
        <v>Met</v>
      </c>
      <c r="J2935" s="9" t="str">
        <f>IFERROR(__xludf.DUMMYFUNCTION("""COMPUTED_VALUE"""),"Pn")</f>
        <v>Pn</v>
      </c>
      <c r="K2935" s="9" t="str">
        <f>IFERROR(__xludf.DUMMYFUNCTION("""COMPUTED_VALUE"""),"PnTg")</f>
        <v>PnTg</v>
      </c>
      <c r="L2935" s="9" t="str">
        <f>IFERROR(__xludf.DUMMYFUNCTION("""COMPUTED_VALUE"""),"PnAR")</f>
        <v>PnAR</v>
      </c>
      <c r="M2935" s="9" t="str">
        <f>IFERROR(__xludf.DUMMYFUNCTION("""COMPUTED_VALUE"""),"LLN")</f>
        <v>LLN</v>
      </c>
      <c r="N2935" s="9"/>
      <c r="O2935" s="9"/>
      <c r="P2935" s="9"/>
      <c r="Q2935" s="9"/>
      <c r="R2935" s="9"/>
      <c r="S2935" s="42" t="str">
        <f>IFERROR(__xludf.DUMMYFUNCTION("""COMPUTED_VALUE"""),"DLL;
ILL;
VLL")</f>
        <v>DLL;
ILL;
VLL</v>
      </c>
      <c r="T2935" s="42"/>
      <c r="U2935" s="42" t="b">
        <f>IFERROR(__xludf.DUMMYFUNCTION("""COMPUTED_VALUE"""),FALSE)</f>
        <v>0</v>
      </c>
      <c r="V2935" s="42"/>
      <c r="W2935" s="42"/>
      <c r="X2935" s="42"/>
      <c r="Y2935" s="42"/>
      <c r="Z2935" s="42"/>
      <c r="AA2935" s="42"/>
      <c r="AB2935" s="42" t="str">
        <f>IFERROR(__xludf.DUMMYFUNCTION("""COMPUTED_VALUE"""),"allen institute")</f>
        <v>allen institute</v>
      </c>
      <c r="AC2935" s="42" t="str">
        <f>IFERROR(__xludf.DUMMYFUNCTION("""COMPUTED_VALUE"""),"DHBA")</f>
        <v>DHBA</v>
      </c>
      <c r="AD2935" s="42"/>
      <c r="AE2935" s="42"/>
      <c r="AF2935" s="9"/>
      <c r="AG2935" s="9"/>
      <c r="AH2935" s="42"/>
      <c r="AI2935" s="42"/>
      <c r="AJ2935" s="42"/>
      <c r="AK2935" s="42"/>
      <c r="AL2935" s="42"/>
      <c r="AM2935" s="42"/>
      <c r="AN2935" s="42"/>
      <c r="AO2935" s="63" t="str">
        <f>IFERROR(__xludf.DUMMYFUNCTION("IF(ISBLANK(A2935),,IF(ISBLANK(S2935), A2935&amp;"";"", TEXTJOIN(CHAR(10), TRUE, A2935&amp;"";"", ARRAYFORMULA(VLOOKUP(SPLIT(S2935, "";"" &amp; CHAR(10)), $A:$AO, 41, FALSE)))))"),"LLN;
DLL;
ILL;
VLL;")</f>
        <v>LLN;
DLL;
ILL;
VLL;</v>
      </c>
      <c r="AP2935" s="89"/>
    </row>
    <row r="2936">
      <c r="A2936" s="151" t="str">
        <f>IFERROR(__xludf.DUMMYFUNCTION("""COMPUTED_VALUE"""),"DLL")</f>
        <v>DLL</v>
      </c>
      <c r="B2936" s="42" t="str">
        <f>IFERROR(__xludf.DUMMYFUNCTION("""COMPUTED_VALUE"""),"DHBA")</f>
        <v>DHBA</v>
      </c>
      <c r="C2936" s="42" t="str">
        <f>IFERROR(__xludf.DUMMYFUNCTION("""COMPUTED_VALUE"""),"dorsal nucleus of lateral lemniscus")</f>
        <v>dorsal nucleus of lateral lemniscus</v>
      </c>
      <c r="D2936" s="42">
        <f>IFERROR(__xludf.DUMMYFUNCTION("""COMPUTED_VALUE"""),2796.0)</f>
        <v>2796</v>
      </c>
      <c r="E2936" s="39" t="str">
        <f>IFERROR(__xludf.DUMMYFUNCTION("""COMPUTED_VALUE"""),"dorsal nucleus of lateral lemniscus")</f>
        <v>dorsal nucleus of lateral lemniscus</v>
      </c>
      <c r="F2936" s="9" t="str">
        <f>IFERROR(__xludf.DUMMYFUNCTION("""COMPUTED_VALUE"""),"Br")</f>
        <v>Br</v>
      </c>
      <c r="G2936" s="9" t="str">
        <f>IFERROR(__xludf.DUMMYFUNCTION("""COMPUTED_VALUE"""),"H")</f>
        <v>H</v>
      </c>
      <c r="H2936" s="9" t="str">
        <f>IFERROR(__xludf.DUMMYFUNCTION("""COMPUTED_VALUE"""),"HGM")</f>
        <v>HGM</v>
      </c>
      <c r="I2936" s="9" t="str">
        <f>IFERROR(__xludf.DUMMYFUNCTION("""COMPUTED_VALUE"""),"Met")</f>
        <v>Met</v>
      </c>
      <c r="J2936" s="9" t="str">
        <f>IFERROR(__xludf.DUMMYFUNCTION("""COMPUTED_VALUE"""),"Pn")</f>
        <v>Pn</v>
      </c>
      <c r="K2936" s="9" t="str">
        <f>IFERROR(__xludf.DUMMYFUNCTION("""COMPUTED_VALUE"""),"PnTg")</f>
        <v>PnTg</v>
      </c>
      <c r="L2936" s="9" t="str">
        <f>IFERROR(__xludf.DUMMYFUNCTION("""COMPUTED_VALUE"""),"PnAR")</f>
        <v>PnAR</v>
      </c>
      <c r="M2936" s="9" t="str">
        <f>IFERROR(__xludf.DUMMYFUNCTION("""COMPUTED_VALUE"""),"LLN")</f>
        <v>LLN</v>
      </c>
      <c r="N2936" s="9" t="str">
        <f>IFERROR(__xludf.DUMMYFUNCTION("""COMPUTED_VALUE"""),"DLL")</f>
        <v>DLL</v>
      </c>
      <c r="O2936" s="9"/>
      <c r="P2936" s="9"/>
      <c r="Q2936" s="9"/>
      <c r="R2936" s="9"/>
      <c r="S2936" s="42"/>
      <c r="T2936" s="42"/>
      <c r="U2936" s="42"/>
      <c r="V2936" s="42"/>
      <c r="W2936" s="42"/>
      <c r="X2936" s="42"/>
      <c r="Y2936" s="42"/>
      <c r="Z2936" s="42"/>
      <c r="AA2936" s="42"/>
      <c r="AB2936" s="42" t="str">
        <f>IFERROR(__xludf.DUMMYFUNCTION("""COMPUTED_VALUE"""),"allen institute")</f>
        <v>allen institute</v>
      </c>
      <c r="AC2936" s="42" t="str">
        <f>IFERROR(__xludf.DUMMYFUNCTION("""COMPUTED_VALUE"""),"DHBA")</f>
        <v>DHBA</v>
      </c>
      <c r="AD2936" s="42"/>
      <c r="AE2936" s="42"/>
      <c r="AF2936" s="9"/>
      <c r="AG2936" s="9"/>
      <c r="AH2936" s="42"/>
      <c r="AI2936" s="42"/>
      <c r="AJ2936" s="42"/>
      <c r="AK2936" s="42"/>
      <c r="AL2936" s="42"/>
      <c r="AM2936" s="42"/>
      <c r="AN2936" s="42"/>
      <c r="AO2936" s="63" t="str">
        <f>IFERROR(__xludf.DUMMYFUNCTION("IF(ISBLANK(A2936),,IF(ISBLANK(S2936), A2936&amp;"";"", TEXTJOIN(CHAR(10), TRUE, A2936&amp;"";"", ARRAYFORMULA(VLOOKUP(SPLIT(S2936, "";"" &amp; CHAR(10)), $A:$AO, 41, FALSE)))))"),"DLL;")</f>
        <v>DLL;</v>
      </c>
      <c r="AP2936" s="89"/>
    </row>
    <row r="2937">
      <c r="A2937" s="151" t="str">
        <f>IFERROR(__xludf.DUMMYFUNCTION("""COMPUTED_VALUE"""),"ILL")</f>
        <v>ILL</v>
      </c>
      <c r="B2937" s="42" t="str">
        <f>IFERROR(__xludf.DUMMYFUNCTION("""COMPUTED_VALUE"""),"DHBA")</f>
        <v>DHBA</v>
      </c>
      <c r="C2937" s="42" t="str">
        <f>IFERROR(__xludf.DUMMYFUNCTION("""COMPUTED_VALUE"""),"intermediate nucleus of lateral lemniscus")</f>
        <v>intermediate nucleus of lateral lemniscus</v>
      </c>
      <c r="D2937" s="42">
        <f>IFERROR(__xludf.DUMMYFUNCTION("""COMPUTED_VALUE"""),2797.0)</f>
        <v>2797</v>
      </c>
      <c r="E2937" s="39" t="str">
        <f>IFERROR(__xludf.DUMMYFUNCTION("""COMPUTED_VALUE"""),"intermediate nucleus of lateral lemniscus")</f>
        <v>intermediate nucleus of lateral lemniscus</v>
      </c>
      <c r="F2937" s="9" t="str">
        <f>IFERROR(__xludf.DUMMYFUNCTION("""COMPUTED_VALUE"""),"Br")</f>
        <v>Br</v>
      </c>
      <c r="G2937" s="9" t="str">
        <f>IFERROR(__xludf.DUMMYFUNCTION("""COMPUTED_VALUE"""),"H")</f>
        <v>H</v>
      </c>
      <c r="H2937" s="9" t="str">
        <f>IFERROR(__xludf.DUMMYFUNCTION("""COMPUTED_VALUE"""),"HGM")</f>
        <v>HGM</v>
      </c>
      <c r="I2937" s="9" t="str">
        <f>IFERROR(__xludf.DUMMYFUNCTION("""COMPUTED_VALUE"""),"Met")</f>
        <v>Met</v>
      </c>
      <c r="J2937" s="9" t="str">
        <f>IFERROR(__xludf.DUMMYFUNCTION("""COMPUTED_VALUE"""),"Pn")</f>
        <v>Pn</v>
      </c>
      <c r="K2937" s="9" t="str">
        <f>IFERROR(__xludf.DUMMYFUNCTION("""COMPUTED_VALUE"""),"PnTg")</f>
        <v>PnTg</v>
      </c>
      <c r="L2937" s="9" t="str">
        <f>IFERROR(__xludf.DUMMYFUNCTION("""COMPUTED_VALUE"""),"PnAR")</f>
        <v>PnAR</v>
      </c>
      <c r="M2937" s="9" t="str">
        <f>IFERROR(__xludf.DUMMYFUNCTION("""COMPUTED_VALUE"""),"LLN")</f>
        <v>LLN</v>
      </c>
      <c r="N2937" s="9" t="str">
        <f>IFERROR(__xludf.DUMMYFUNCTION("""COMPUTED_VALUE"""),"ILL")</f>
        <v>ILL</v>
      </c>
      <c r="O2937" s="9"/>
      <c r="P2937" s="9"/>
      <c r="Q2937" s="9"/>
      <c r="R2937" s="9"/>
      <c r="S2937" s="42"/>
      <c r="T2937" s="42"/>
      <c r="U2937" s="42"/>
      <c r="V2937" s="42"/>
      <c r="W2937" s="42"/>
      <c r="X2937" s="42"/>
      <c r="Y2937" s="42"/>
      <c r="Z2937" s="42"/>
      <c r="AA2937" s="42"/>
      <c r="AB2937" s="42" t="str">
        <f>IFERROR(__xludf.DUMMYFUNCTION("""COMPUTED_VALUE"""),"allen institute")</f>
        <v>allen institute</v>
      </c>
      <c r="AC2937" s="42" t="str">
        <f>IFERROR(__xludf.DUMMYFUNCTION("""COMPUTED_VALUE"""),"DHBA")</f>
        <v>DHBA</v>
      </c>
      <c r="AD2937" s="42"/>
      <c r="AE2937" s="42"/>
      <c r="AF2937" s="9"/>
      <c r="AG2937" s="9"/>
      <c r="AH2937" s="42"/>
      <c r="AI2937" s="42"/>
      <c r="AJ2937" s="42"/>
      <c r="AK2937" s="42"/>
      <c r="AL2937" s="42"/>
      <c r="AM2937" s="42"/>
      <c r="AN2937" s="42"/>
      <c r="AO2937" s="63" t="str">
        <f>IFERROR(__xludf.DUMMYFUNCTION("IF(ISBLANK(A2937),,IF(ISBLANK(S2937), A2937&amp;"";"", TEXTJOIN(CHAR(10), TRUE, A2937&amp;"";"", ARRAYFORMULA(VLOOKUP(SPLIT(S2937, "";"" &amp; CHAR(10)), $A:$AO, 41, FALSE)))))"),"ILL;")</f>
        <v>ILL;</v>
      </c>
      <c r="AP2937" s="89"/>
    </row>
    <row r="2938">
      <c r="A2938" s="151" t="str">
        <f>IFERROR(__xludf.DUMMYFUNCTION("""COMPUTED_VALUE"""),"VLL")</f>
        <v>VLL</v>
      </c>
      <c r="B2938" s="42" t="str">
        <f>IFERROR(__xludf.DUMMYFUNCTION("""COMPUTED_VALUE"""),"DHBA")</f>
        <v>DHBA</v>
      </c>
      <c r="C2938" s="42" t="str">
        <f>IFERROR(__xludf.DUMMYFUNCTION("""COMPUTED_VALUE"""),"ventral nucleus of lateral lemniscus")</f>
        <v>ventral nucleus of lateral lemniscus</v>
      </c>
      <c r="D2938" s="42">
        <f>IFERROR(__xludf.DUMMYFUNCTION("""COMPUTED_VALUE"""),2798.0)</f>
        <v>2798</v>
      </c>
      <c r="E2938" s="39" t="str">
        <f>IFERROR(__xludf.DUMMYFUNCTION("""COMPUTED_VALUE"""),"ventral nucleus of lateral lemniscus")</f>
        <v>ventral nucleus of lateral lemniscus</v>
      </c>
      <c r="F2938" s="9" t="str">
        <f>IFERROR(__xludf.DUMMYFUNCTION("""COMPUTED_VALUE"""),"Br")</f>
        <v>Br</v>
      </c>
      <c r="G2938" s="9" t="str">
        <f>IFERROR(__xludf.DUMMYFUNCTION("""COMPUTED_VALUE"""),"H")</f>
        <v>H</v>
      </c>
      <c r="H2938" s="9" t="str">
        <f>IFERROR(__xludf.DUMMYFUNCTION("""COMPUTED_VALUE"""),"HGM")</f>
        <v>HGM</v>
      </c>
      <c r="I2938" s="9" t="str">
        <f>IFERROR(__xludf.DUMMYFUNCTION("""COMPUTED_VALUE"""),"Met")</f>
        <v>Met</v>
      </c>
      <c r="J2938" s="9" t="str">
        <f>IFERROR(__xludf.DUMMYFUNCTION("""COMPUTED_VALUE"""),"Pn")</f>
        <v>Pn</v>
      </c>
      <c r="K2938" s="9" t="str">
        <f>IFERROR(__xludf.DUMMYFUNCTION("""COMPUTED_VALUE"""),"PnTg")</f>
        <v>PnTg</v>
      </c>
      <c r="L2938" s="9" t="str">
        <f>IFERROR(__xludf.DUMMYFUNCTION("""COMPUTED_VALUE"""),"PnAR")</f>
        <v>PnAR</v>
      </c>
      <c r="M2938" s="9" t="str">
        <f>IFERROR(__xludf.DUMMYFUNCTION("""COMPUTED_VALUE"""),"LLN")</f>
        <v>LLN</v>
      </c>
      <c r="N2938" s="9" t="str">
        <f>IFERROR(__xludf.DUMMYFUNCTION("""COMPUTED_VALUE"""),"VLL")</f>
        <v>VLL</v>
      </c>
      <c r="O2938" s="9"/>
      <c r="P2938" s="9"/>
      <c r="Q2938" s="9"/>
      <c r="R2938" s="9"/>
      <c r="S2938" s="42"/>
      <c r="T2938" s="42"/>
      <c r="U2938" s="42"/>
      <c r="V2938" s="42"/>
      <c r="W2938" s="42"/>
      <c r="X2938" s="42"/>
      <c r="Y2938" s="42"/>
      <c r="Z2938" s="42"/>
      <c r="AA2938" s="42"/>
      <c r="AB2938" s="42" t="str">
        <f>IFERROR(__xludf.DUMMYFUNCTION("""COMPUTED_VALUE"""),"allen institute")</f>
        <v>allen institute</v>
      </c>
      <c r="AC2938" s="42" t="str">
        <f>IFERROR(__xludf.DUMMYFUNCTION("""COMPUTED_VALUE"""),"DHBA")</f>
        <v>DHBA</v>
      </c>
      <c r="AD2938" s="42"/>
      <c r="AE2938" s="42"/>
      <c r="AF2938" s="9"/>
      <c r="AG2938" s="9"/>
      <c r="AH2938" s="42"/>
      <c r="AI2938" s="42"/>
      <c r="AJ2938" s="42"/>
      <c r="AK2938" s="42"/>
      <c r="AL2938" s="42"/>
      <c r="AM2938" s="42"/>
      <c r="AN2938" s="42"/>
      <c r="AO2938" s="63" t="str">
        <f>IFERROR(__xludf.DUMMYFUNCTION("IF(ISBLANK(A2938),,IF(ISBLANK(S2938), A2938&amp;"";"", TEXTJOIN(CHAR(10), TRUE, A2938&amp;"";"", ARRAYFORMULA(VLOOKUP(SPLIT(S2938, "";"" &amp; CHAR(10)), $A:$AO, 41, FALSE)))))"),"VLL;")</f>
        <v>VLL;</v>
      </c>
      <c r="AP2938" s="89"/>
    </row>
    <row r="2939">
      <c r="A2939" s="151" t="str">
        <f>IFERROR(__xludf.DUMMYFUNCTION("""COMPUTED_VALUE"""),"TrZ")</f>
        <v>TrZ</v>
      </c>
      <c r="B2939" s="42" t="str">
        <f>IFERROR(__xludf.DUMMYFUNCTION("""COMPUTED_VALUE"""),"DHBA")</f>
        <v>DHBA</v>
      </c>
      <c r="C2939" s="42" t="str">
        <f>IFERROR(__xludf.DUMMYFUNCTION("""COMPUTED_VALUE"""),"nucleus of trapezoid body")</f>
        <v>nucleus of trapezoid body</v>
      </c>
      <c r="D2939" s="42">
        <f>IFERROR(__xludf.DUMMYFUNCTION("""COMPUTED_VALUE"""),2799.0)</f>
        <v>2799</v>
      </c>
      <c r="E2939" s="39" t="str">
        <f>IFERROR(__xludf.DUMMYFUNCTION("""COMPUTED_VALUE"""),"nucleus of trapezoid body")</f>
        <v>nucleus of trapezoid body</v>
      </c>
      <c r="F2939" s="9" t="str">
        <f>IFERROR(__xludf.DUMMYFUNCTION("""COMPUTED_VALUE"""),"Br")</f>
        <v>Br</v>
      </c>
      <c r="G2939" s="9" t="str">
        <f>IFERROR(__xludf.DUMMYFUNCTION("""COMPUTED_VALUE"""),"H")</f>
        <v>H</v>
      </c>
      <c r="H2939" s="9" t="str">
        <f>IFERROR(__xludf.DUMMYFUNCTION("""COMPUTED_VALUE"""),"HGM")</f>
        <v>HGM</v>
      </c>
      <c r="I2939" s="9" t="str">
        <f>IFERROR(__xludf.DUMMYFUNCTION("""COMPUTED_VALUE"""),"Met")</f>
        <v>Met</v>
      </c>
      <c r="J2939" s="9" t="str">
        <f>IFERROR(__xludf.DUMMYFUNCTION("""COMPUTED_VALUE"""),"Pn")</f>
        <v>Pn</v>
      </c>
      <c r="K2939" s="9" t="str">
        <f>IFERROR(__xludf.DUMMYFUNCTION("""COMPUTED_VALUE"""),"PnTg")</f>
        <v>PnTg</v>
      </c>
      <c r="L2939" s="9" t="str">
        <f>IFERROR(__xludf.DUMMYFUNCTION("""COMPUTED_VALUE"""),"PnAR")</f>
        <v>PnAR</v>
      </c>
      <c r="M2939" s="9" t="str">
        <f>IFERROR(__xludf.DUMMYFUNCTION("""COMPUTED_VALUE"""),"TrZ")</f>
        <v>TrZ</v>
      </c>
      <c r="N2939" s="9"/>
      <c r="O2939" s="9"/>
      <c r="P2939" s="9"/>
      <c r="Q2939" s="9"/>
      <c r="R2939" s="9"/>
      <c r="S2939" s="42" t="str">
        <f>IFERROR(__xludf.DUMMYFUNCTION("""COMPUTED_VALUE"""),"TrZl;
TrZm;
TrZv")</f>
        <v>TrZl;
TrZm;
TrZv</v>
      </c>
      <c r="T2939" s="42"/>
      <c r="U2939" s="42" t="b">
        <f>IFERROR(__xludf.DUMMYFUNCTION("""COMPUTED_VALUE"""),FALSE)</f>
        <v>0</v>
      </c>
      <c r="V2939" s="42"/>
      <c r="W2939" s="42"/>
      <c r="X2939" s="42"/>
      <c r="Y2939" s="42"/>
      <c r="Z2939" s="42"/>
      <c r="AA2939" s="42"/>
      <c r="AB2939" s="42" t="str">
        <f>IFERROR(__xludf.DUMMYFUNCTION("""COMPUTED_VALUE"""),"allen institute")</f>
        <v>allen institute</v>
      </c>
      <c r="AC2939" s="42" t="str">
        <f>IFERROR(__xludf.DUMMYFUNCTION("""COMPUTED_VALUE"""),"DHBA")</f>
        <v>DHBA</v>
      </c>
      <c r="AD2939" s="42"/>
      <c r="AE2939" s="42"/>
      <c r="AF2939" s="9"/>
      <c r="AG2939" s="9"/>
      <c r="AH2939" s="42"/>
      <c r="AI2939" s="42"/>
      <c r="AJ2939" s="42"/>
      <c r="AK2939" s="42"/>
      <c r="AL2939" s="42"/>
      <c r="AM2939" s="42"/>
      <c r="AN2939" s="42"/>
      <c r="AO2939" s="63" t="str">
        <f>IFERROR(__xludf.DUMMYFUNCTION("IF(ISBLANK(A2939),,IF(ISBLANK(S2939), A2939&amp;"";"", TEXTJOIN(CHAR(10), TRUE, A2939&amp;"";"", ARRAYFORMULA(VLOOKUP(SPLIT(S2939, "";"" &amp; CHAR(10)), $A:$AO, 41, FALSE)))))"),"TrZ;
TrZl;
TrZm;
TrZv;")</f>
        <v>TrZ;
TrZl;
TrZm;
TrZv;</v>
      </c>
      <c r="AP2939" s="89"/>
    </row>
    <row r="2940">
      <c r="A2940" s="151" t="str">
        <f>IFERROR(__xludf.DUMMYFUNCTION("""COMPUTED_VALUE"""),"TrZl")</f>
        <v>TrZl</v>
      </c>
      <c r="B2940" s="42" t="str">
        <f>IFERROR(__xludf.DUMMYFUNCTION("""COMPUTED_VALUE"""),"DHBA")</f>
        <v>DHBA</v>
      </c>
      <c r="C2940" s="42" t="str">
        <f>IFERROR(__xludf.DUMMYFUNCTION("""COMPUTED_VALUE"""),"lateral nucleus of trapezoid body")</f>
        <v>lateral nucleus of trapezoid body</v>
      </c>
      <c r="D2940" s="42">
        <f>IFERROR(__xludf.DUMMYFUNCTION("""COMPUTED_VALUE"""),2800.0)</f>
        <v>2800</v>
      </c>
      <c r="E2940" s="39" t="str">
        <f>IFERROR(__xludf.DUMMYFUNCTION("""COMPUTED_VALUE"""),"lateral nucleus of trapezoid body")</f>
        <v>lateral nucleus of trapezoid body</v>
      </c>
      <c r="F2940" s="9" t="str">
        <f>IFERROR(__xludf.DUMMYFUNCTION("""COMPUTED_VALUE"""),"Br")</f>
        <v>Br</v>
      </c>
      <c r="G2940" s="9" t="str">
        <f>IFERROR(__xludf.DUMMYFUNCTION("""COMPUTED_VALUE"""),"H")</f>
        <v>H</v>
      </c>
      <c r="H2940" s="9" t="str">
        <f>IFERROR(__xludf.DUMMYFUNCTION("""COMPUTED_VALUE"""),"HGM")</f>
        <v>HGM</v>
      </c>
      <c r="I2940" s="9" t="str">
        <f>IFERROR(__xludf.DUMMYFUNCTION("""COMPUTED_VALUE"""),"Met")</f>
        <v>Met</v>
      </c>
      <c r="J2940" s="9" t="str">
        <f>IFERROR(__xludf.DUMMYFUNCTION("""COMPUTED_VALUE"""),"Pn")</f>
        <v>Pn</v>
      </c>
      <c r="K2940" s="9" t="str">
        <f>IFERROR(__xludf.DUMMYFUNCTION("""COMPUTED_VALUE"""),"PnTg")</f>
        <v>PnTg</v>
      </c>
      <c r="L2940" s="9" t="str">
        <f>IFERROR(__xludf.DUMMYFUNCTION("""COMPUTED_VALUE"""),"PnAR")</f>
        <v>PnAR</v>
      </c>
      <c r="M2940" s="9" t="str">
        <f>IFERROR(__xludf.DUMMYFUNCTION("""COMPUTED_VALUE"""),"TrZ")</f>
        <v>TrZ</v>
      </c>
      <c r="N2940" s="9" t="str">
        <f>IFERROR(__xludf.DUMMYFUNCTION("""COMPUTED_VALUE"""),"TrZl")</f>
        <v>TrZl</v>
      </c>
      <c r="O2940" s="9"/>
      <c r="P2940" s="9"/>
      <c r="Q2940" s="9"/>
      <c r="R2940" s="9"/>
      <c r="S2940" s="42"/>
      <c r="T2940" s="42"/>
      <c r="U2940" s="159"/>
      <c r="V2940" s="42"/>
      <c r="W2940" s="42"/>
      <c r="X2940" s="42"/>
      <c r="Y2940" s="42"/>
      <c r="Z2940" s="42"/>
      <c r="AA2940" s="42"/>
      <c r="AB2940" s="42" t="str">
        <f>IFERROR(__xludf.DUMMYFUNCTION("""COMPUTED_VALUE"""),"allen institute")</f>
        <v>allen institute</v>
      </c>
      <c r="AC2940" s="42" t="str">
        <f>IFERROR(__xludf.DUMMYFUNCTION("""COMPUTED_VALUE"""),"DHBA")</f>
        <v>DHBA</v>
      </c>
      <c r="AD2940" s="42"/>
      <c r="AE2940" s="42"/>
      <c r="AF2940" s="9"/>
      <c r="AG2940" s="9"/>
      <c r="AH2940" s="42"/>
      <c r="AI2940" s="42"/>
      <c r="AJ2940" s="42"/>
      <c r="AK2940" s="42"/>
      <c r="AL2940" s="42"/>
      <c r="AM2940" s="42"/>
      <c r="AN2940" s="42"/>
      <c r="AO2940" s="63" t="str">
        <f>IFERROR(__xludf.DUMMYFUNCTION("IF(ISBLANK(A2940),,IF(ISBLANK(S2940), A2940&amp;"";"", TEXTJOIN(CHAR(10), TRUE, A2940&amp;"";"", ARRAYFORMULA(VLOOKUP(SPLIT(S2940, "";"" &amp; CHAR(10)), $A:$AO, 41, FALSE)))))"),"TrZl;")</f>
        <v>TrZl;</v>
      </c>
      <c r="AP2940" s="89"/>
    </row>
    <row r="2941">
      <c r="A2941" s="151" t="str">
        <f>IFERROR(__xludf.DUMMYFUNCTION("""COMPUTED_VALUE"""),"TrZm")</f>
        <v>TrZm</v>
      </c>
      <c r="B2941" s="42" t="str">
        <f>IFERROR(__xludf.DUMMYFUNCTION("""COMPUTED_VALUE"""),"DHBA")</f>
        <v>DHBA</v>
      </c>
      <c r="C2941" s="42" t="str">
        <f>IFERROR(__xludf.DUMMYFUNCTION("""COMPUTED_VALUE"""),"medial nucleus of trapezoid body")</f>
        <v>medial nucleus of trapezoid body</v>
      </c>
      <c r="D2941" s="42">
        <f>IFERROR(__xludf.DUMMYFUNCTION("""COMPUTED_VALUE"""),2801.0)</f>
        <v>2801</v>
      </c>
      <c r="E2941" s="39" t="str">
        <f>IFERROR(__xludf.DUMMYFUNCTION("""COMPUTED_VALUE"""),"medial nucleus of trapezoid body")</f>
        <v>medial nucleus of trapezoid body</v>
      </c>
      <c r="F2941" s="9" t="str">
        <f>IFERROR(__xludf.DUMMYFUNCTION("""COMPUTED_VALUE"""),"Br")</f>
        <v>Br</v>
      </c>
      <c r="G2941" s="9" t="str">
        <f>IFERROR(__xludf.DUMMYFUNCTION("""COMPUTED_VALUE"""),"H")</f>
        <v>H</v>
      </c>
      <c r="H2941" s="9" t="str">
        <f>IFERROR(__xludf.DUMMYFUNCTION("""COMPUTED_VALUE"""),"HGM")</f>
        <v>HGM</v>
      </c>
      <c r="I2941" s="9" t="str">
        <f>IFERROR(__xludf.DUMMYFUNCTION("""COMPUTED_VALUE"""),"Met")</f>
        <v>Met</v>
      </c>
      <c r="J2941" s="9" t="str">
        <f>IFERROR(__xludf.DUMMYFUNCTION("""COMPUTED_VALUE"""),"Pn")</f>
        <v>Pn</v>
      </c>
      <c r="K2941" s="9" t="str">
        <f>IFERROR(__xludf.DUMMYFUNCTION("""COMPUTED_VALUE"""),"PnTg")</f>
        <v>PnTg</v>
      </c>
      <c r="L2941" s="9" t="str">
        <f>IFERROR(__xludf.DUMMYFUNCTION("""COMPUTED_VALUE"""),"PnAR")</f>
        <v>PnAR</v>
      </c>
      <c r="M2941" s="9" t="str">
        <f>IFERROR(__xludf.DUMMYFUNCTION("""COMPUTED_VALUE"""),"TrZ")</f>
        <v>TrZ</v>
      </c>
      <c r="N2941" s="9" t="str">
        <f>IFERROR(__xludf.DUMMYFUNCTION("""COMPUTED_VALUE"""),"TrZm")</f>
        <v>TrZm</v>
      </c>
      <c r="O2941" s="9"/>
      <c r="P2941" s="9"/>
      <c r="Q2941" s="9"/>
      <c r="R2941" s="9"/>
      <c r="S2941" s="42"/>
      <c r="T2941" s="42"/>
      <c r="U2941" s="42"/>
      <c r="V2941" s="42"/>
      <c r="W2941" s="42"/>
      <c r="X2941" s="42"/>
      <c r="Y2941" s="42"/>
      <c r="Z2941" s="42"/>
      <c r="AA2941" s="42"/>
      <c r="AB2941" s="42" t="str">
        <f>IFERROR(__xludf.DUMMYFUNCTION("""COMPUTED_VALUE"""),"allen institute")</f>
        <v>allen institute</v>
      </c>
      <c r="AC2941" s="42" t="str">
        <f>IFERROR(__xludf.DUMMYFUNCTION("""COMPUTED_VALUE"""),"DHBA")</f>
        <v>DHBA</v>
      </c>
      <c r="AD2941" s="42"/>
      <c r="AE2941" s="42"/>
      <c r="AF2941" s="9"/>
      <c r="AG2941" s="9"/>
      <c r="AH2941" s="42"/>
      <c r="AI2941" s="42"/>
      <c r="AJ2941" s="42"/>
      <c r="AK2941" s="42"/>
      <c r="AL2941" s="42"/>
      <c r="AM2941" s="42"/>
      <c r="AN2941" s="42"/>
      <c r="AO2941" s="63" t="str">
        <f>IFERROR(__xludf.DUMMYFUNCTION("IF(ISBLANK(A2941),,IF(ISBLANK(S2941), A2941&amp;"";"", TEXTJOIN(CHAR(10), TRUE, A2941&amp;"";"", ARRAYFORMULA(VLOOKUP(SPLIT(S2941, "";"" &amp; CHAR(10)), $A:$AO, 41, FALSE)))))"),"TrZm;")</f>
        <v>TrZm;</v>
      </c>
      <c r="AP2941" s="89"/>
    </row>
    <row r="2942">
      <c r="A2942" s="151" t="str">
        <f>IFERROR(__xludf.DUMMYFUNCTION("""COMPUTED_VALUE"""),"TrZv")</f>
        <v>TrZv</v>
      </c>
      <c r="B2942" s="42" t="str">
        <f>IFERROR(__xludf.DUMMYFUNCTION("""COMPUTED_VALUE"""),"DHBA")</f>
        <v>DHBA</v>
      </c>
      <c r="C2942" s="42" t="str">
        <f>IFERROR(__xludf.DUMMYFUNCTION("""COMPUTED_VALUE"""),"ventral nucleus of trapezoid body")</f>
        <v>ventral nucleus of trapezoid body</v>
      </c>
      <c r="D2942" s="42">
        <f>IFERROR(__xludf.DUMMYFUNCTION("""COMPUTED_VALUE"""),2802.0)</f>
        <v>2802</v>
      </c>
      <c r="E2942" s="39" t="str">
        <f>IFERROR(__xludf.DUMMYFUNCTION("""COMPUTED_VALUE"""),"ventral nucleus of trapezoid body")</f>
        <v>ventral nucleus of trapezoid body</v>
      </c>
      <c r="F2942" s="9" t="str">
        <f>IFERROR(__xludf.DUMMYFUNCTION("""COMPUTED_VALUE"""),"Br")</f>
        <v>Br</v>
      </c>
      <c r="G2942" s="9" t="str">
        <f>IFERROR(__xludf.DUMMYFUNCTION("""COMPUTED_VALUE"""),"H")</f>
        <v>H</v>
      </c>
      <c r="H2942" s="9" t="str">
        <f>IFERROR(__xludf.DUMMYFUNCTION("""COMPUTED_VALUE"""),"HGM")</f>
        <v>HGM</v>
      </c>
      <c r="I2942" s="9" t="str">
        <f>IFERROR(__xludf.DUMMYFUNCTION("""COMPUTED_VALUE"""),"Met")</f>
        <v>Met</v>
      </c>
      <c r="J2942" s="9" t="str">
        <f>IFERROR(__xludf.DUMMYFUNCTION("""COMPUTED_VALUE"""),"Pn")</f>
        <v>Pn</v>
      </c>
      <c r="K2942" s="9" t="str">
        <f>IFERROR(__xludf.DUMMYFUNCTION("""COMPUTED_VALUE"""),"PnTg")</f>
        <v>PnTg</v>
      </c>
      <c r="L2942" s="9" t="str">
        <f>IFERROR(__xludf.DUMMYFUNCTION("""COMPUTED_VALUE"""),"PnAR")</f>
        <v>PnAR</v>
      </c>
      <c r="M2942" s="9" t="str">
        <f>IFERROR(__xludf.DUMMYFUNCTION("""COMPUTED_VALUE"""),"TrZ")</f>
        <v>TrZ</v>
      </c>
      <c r="N2942" s="9" t="str">
        <f>IFERROR(__xludf.DUMMYFUNCTION("""COMPUTED_VALUE"""),"TrZv")</f>
        <v>TrZv</v>
      </c>
      <c r="O2942" s="9"/>
      <c r="P2942" s="9"/>
      <c r="Q2942" s="9"/>
      <c r="R2942" s="9"/>
      <c r="S2942" s="42"/>
      <c r="T2942" s="42"/>
      <c r="U2942" s="42"/>
      <c r="V2942" s="42"/>
      <c r="W2942" s="42"/>
      <c r="X2942" s="42"/>
      <c r="Y2942" s="42"/>
      <c r="Z2942" s="42"/>
      <c r="AA2942" s="42"/>
      <c r="AB2942" s="42" t="str">
        <f>IFERROR(__xludf.DUMMYFUNCTION("""COMPUTED_VALUE"""),"allen institute")</f>
        <v>allen institute</v>
      </c>
      <c r="AC2942" s="42" t="str">
        <f>IFERROR(__xludf.DUMMYFUNCTION("""COMPUTED_VALUE"""),"DHBA")</f>
        <v>DHBA</v>
      </c>
      <c r="AD2942" s="42"/>
      <c r="AE2942" s="42"/>
      <c r="AF2942" s="9"/>
      <c r="AG2942" s="9"/>
      <c r="AH2942" s="42"/>
      <c r="AI2942" s="42"/>
      <c r="AJ2942" s="42"/>
      <c r="AK2942" s="42"/>
      <c r="AL2942" s="42"/>
      <c r="AM2942" s="42"/>
      <c r="AN2942" s="42"/>
      <c r="AO2942" s="63" t="str">
        <f>IFERROR(__xludf.DUMMYFUNCTION("IF(ISBLANK(A2942),,IF(ISBLANK(S2942), A2942&amp;"";"", TEXTJOIN(CHAR(10), TRUE, A2942&amp;"";"", ARRAYFORMULA(VLOOKUP(SPLIT(S2942, "";"" &amp; CHAR(10)), $A:$AO, 41, FALSE)))))"),"TrZv;")</f>
        <v>TrZv;</v>
      </c>
      <c r="AP2942" s="89"/>
    </row>
    <row r="2943">
      <c r="A2943" s="151" t="str">
        <f>IFERROR(__xludf.DUMMYFUNCTION("""COMPUTED_VALUE"""),"SOC")</f>
        <v>SOC</v>
      </c>
      <c r="B2943" s="42" t="str">
        <f>IFERROR(__xludf.DUMMYFUNCTION("""COMPUTED_VALUE"""),"DHBA")</f>
        <v>DHBA</v>
      </c>
      <c r="C2943" s="42" t="str">
        <f>IFERROR(__xludf.DUMMYFUNCTION("""COMPUTED_VALUE"""),"superior olivary complex")</f>
        <v>superior olivary complex</v>
      </c>
      <c r="D2943" s="42">
        <f>IFERROR(__xludf.DUMMYFUNCTION("""COMPUTED_VALUE"""),2803.0)</f>
        <v>2803</v>
      </c>
      <c r="E2943" s="39" t="str">
        <f>IFERROR(__xludf.DUMMYFUNCTION("""COMPUTED_VALUE"""),"superior olivary complex")</f>
        <v>superior olivary complex</v>
      </c>
      <c r="F2943" s="9" t="str">
        <f>IFERROR(__xludf.DUMMYFUNCTION("""COMPUTED_VALUE"""),"Br")</f>
        <v>Br</v>
      </c>
      <c r="G2943" s="9" t="str">
        <f>IFERROR(__xludf.DUMMYFUNCTION("""COMPUTED_VALUE"""),"H")</f>
        <v>H</v>
      </c>
      <c r="H2943" s="9" t="str">
        <f>IFERROR(__xludf.DUMMYFUNCTION("""COMPUTED_VALUE"""),"HGM")</f>
        <v>HGM</v>
      </c>
      <c r="I2943" s="9" t="str">
        <f>IFERROR(__xludf.DUMMYFUNCTION("""COMPUTED_VALUE"""),"Met")</f>
        <v>Met</v>
      </c>
      <c r="J2943" s="9" t="str">
        <f>IFERROR(__xludf.DUMMYFUNCTION("""COMPUTED_VALUE"""),"Pn")</f>
        <v>Pn</v>
      </c>
      <c r="K2943" s="9" t="str">
        <f>IFERROR(__xludf.DUMMYFUNCTION("""COMPUTED_VALUE"""),"PnTg")</f>
        <v>PnTg</v>
      </c>
      <c r="L2943" s="9" t="str">
        <f>IFERROR(__xludf.DUMMYFUNCTION("""COMPUTED_VALUE"""),"PnAR")</f>
        <v>PnAR</v>
      </c>
      <c r="M2943" s="9" t="str">
        <f>IFERROR(__xludf.DUMMYFUNCTION("""COMPUTED_VALUE"""),"SOC")</f>
        <v>SOC</v>
      </c>
      <c r="N2943" s="9"/>
      <c r="O2943" s="9"/>
      <c r="P2943" s="9"/>
      <c r="Q2943" s="9"/>
      <c r="R2943" s="9"/>
      <c r="S2943" s="42" t="str">
        <f>IFERROR(__xludf.DUMMYFUNCTION("""COMPUTED_VALUE"""),"POI;
RO;
SOI;
SPO")</f>
        <v>POI;
RO;
SOI;
SPO</v>
      </c>
      <c r="T2943" s="42"/>
      <c r="U2943" s="42" t="b">
        <f>IFERROR(__xludf.DUMMYFUNCTION("""COMPUTED_VALUE"""),FALSE)</f>
        <v>0</v>
      </c>
      <c r="V2943" s="42"/>
      <c r="W2943" s="42"/>
      <c r="X2943" s="42"/>
      <c r="Y2943" s="42"/>
      <c r="Z2943" s="42"/>
      <c r="AA2943" s="42"/>
      <c r="AB2943" s="42" t="str">
        <f>IFERROR(__xludf.DUMMYFUNCTION("""COMPUTED_VALUE"""),"allen institute")</f>
        <v>allen institute</v>
      </c>
      <c r="AC2943" s="42" t="str">
        <f>IFERROR(__xludf.DUMMYFUNCTION("""COMPUTED_VALUE"""),"DHBA")</f>
        <v>DHBA</v>
      </c>
      <c r="AD2943" s="42"/>
      <c r="AE2943" s="42"/>
      <c r="AF2943" s="9"/>
      <c r="AG2943" s="9"/>
      <c r="AH2943" s="42"/>
      <c r="AI2943" s="42"/>
      <c r="AJ2943" s="42"/>
      <c r="AK2943" s="42"/>
      <c r="AL2943" s="42"/>
      <c r="AM2943" s="42"/>
      <c r="AN2943" s="42"/>
      <c r="AO2943" s="63" t="str">
        <f>IFERROR(__xludf.DUMMYFUNCTION("IF(ISBLANK(A2943),,IF(ISBLANK(S2943), A2943&amp;"";"", TEXTJOIN(CHAR(10), TRUE, A2943&amp;"";"", ARRAYFORMULA(VLOOKUP(SPLIT(S2943, "";"" &amp; CHAR(10)), $A:$AO, 41, FALSE)))))"),"SOC;
POI;
LPOI;
MPOI;
RO;
SOI;
LSO;
MSO;
SPO;")</f>
        <v>SOC;
POI;
LPOI;
MPOI;
RO;
SOI;
LSO;
MSO;
SPO;</v>
      </c>
      <c r="AP2943" s="89"/>
    </row>
    <row r="2944">
      <c r="A2944" s="151" t="str">
        <f>IFERROR(__xludf.DUMMYFUNCTION("""COMPUTED_VALUE"""),"POI")</f>
        <v>POI</v>
      </c>
      <c r="B2944" s="42" t="str">
        <f>IFERROR(__xludf.DUMMYFUNCTION("""COMPUTED_VALUE"""),"DHBA")</f>
        <v>DHBA</v>
      </c>
      <c r="C2944" s="42" t="str">
        <f>IFERROR(__xludf.DUMMYFUNCTION("""COMPUTED_VALUE"""),"periolivary nuclei")</f>
        <v>periolivary nuclei</v>
      </c>
      <c r="D2944" s="42">
        <f>IFERROR(__xludf.DUMMYFUNCTION("""COMPUTED_VALUE"""),2804.0)</f>
        <v>2804</v>
      </c>
      <c r="E2944" s="39" t="str">
        <f>IFERROR(__xludf.DUMMYFUNCTION("""COMPUTED_VALUE"""),"periolivary nuclei")</f>
        <v>periolivary nuclei</v>
      </c>
      <c r="F2944" s="9" t="str">
        <f>IFERROR(__xludf.DUMMYFUNCTION("""COMPUTED_VALUE"""),"Br")</f>
        <v>Br</v>
      </c>
      <c r="G2944" s="9" t="str">
        <f>IFERROR(__xludf.DUMMYFUNCTION("""COMPUTED_VALUE"""),"H")</f>
        <v>H</v>
      </c>
      <c r="H2944" s="9" t="str">
        <f>IFERROR(__xludf.DUMMYFUNCTION("""COMPUTED_VALUE"""),"HGM")</f>
        <v>HGM</v>
      </c>
      <c r="I2944" s="9" t="str">
        <f>IFERROR(__xludf.DUMMYFUNCTION("""COMPUTED_VALUE"""),"Met")</f>
        <v>Met</v>
      </c>
      <c r="J2944" s="9" t="str">
        <f>IFERROR(__xludf.DUMMYFUNCTION("""COMPUTED_VALUE"""),"Pn")</f>
        <v>Pn</v>
      </c>
      <c r="K2944" s="9" t="str">
        <f>IFERROR(__xludf.DUMMYFUNCTION("""COMPUTED_VALUE"""),"PnTg")</f>
        <v>PnTg</v>
      </c>
      <c r="L2944" s="9" t="str">
        <f>IFERROR(__xludf.DUMMYFUNCTION("""COMPUTED_VALUE"""),"PnAR")</f>
        <v>PnAR</v>
      </c>
      <c r="M2944" s="9" t="str">
        <f>IFERROR(__xludf.DUMMYFUNCTION("""COMPUTED_VALUE"""),"SOC")</f>
        <v>SOC</v>
      </c>
      <c r="N2944" s="9" t="str">
        <f>IFERROR(__xludf.DUMMYFUNCTION("""COMPUTED_VALUE"""),"POI")</f>
        <v>POI</v>
      </c>
      <c r="O2944" s="9"/>
      <c r="P2944" s="9"/>
      <c r="Q2944" s="9"/>
      <c r="R2944" s="9"/>
      <c r="S2944" s="42" t="str">
        <f>IFERROR(__xludf.DUMMYFUNCTION("""COMPUTED_VALUE"""),"LPOI;
MPOI")</f>
        <v>LPOI;
MPOI</v>
      </c>
      <c r="T2944" s="42"/>
      <c r="U2944" s="42" t="b">
        <f>IFERROR(__xludf.DUMMYFUNCTION("""COMPUTED_VALUE"""),FALSE)</f>
        <v>0</v>
      </c>
      <c r="V2944" s="42"/>
      <c r="W2944" s="42"/>
      <c r="X2944" s="42"/>
      <c r="Y2944" s="42"/>
      <c r="Z2944" s="42"/>
      <c r="AA2944" s="42"/>
      <c r="AB2944" s="42" t="str">
        <f>IFERROR(__xludf.DUMMYFUNCTION("""COMPUTED_VALUE"""),"allen institute")</f>
        <v>allen institute</v>
      </c>
      <c r="AC2944" s="42" t="str">
        <f>IFERROR(__xludf.DUMMYFUNCTION("""COMPUTED_VALUE"""),"DHBA")</f>
        <v>DHBA</v>
      </c>
      <c r="AD2944" s="42"/>
      <c r="AE2944" s="42"/>
      <c r="AF2944" s="9"/>
      <c r="AG2944" s="9"/>
      <c r="AH2944" s="42"/>
      <c r="AI2944" s="42"/>
      <c r="AJ2944" s="42"/>
      <c r="AK2944" s="42"/>
      <c r="AL2944" s="42"/>
      <c r="AM2944" s="42"/>
      <c r="AN2944" s="42"/>
      <c r="AO2944" s="63" t="str">
        <f>IFERROR(__xludf.DUMMYFUNCTION("IF(ISBLANK(A2944),,IF(ISBLANK(S2944), A2944&amp;"";"", TEXTJOIN(CHAR(10), TRUE, A2944&amp;"";"", ARRAYFORMULA(VLOOKUP(SPLIT(S2944, "";"" &amp; CHAR(10)), $A:$AO, 41, FALSE)))))"),"POI;
LPOI;
MPOI;")</f>
        <v>POI;
LPOI;
MPOI;</v>
      </c>
      <c r="AP2944" s="89"/>
    </row>
    <row r="2945">
      <c r="A2945" s="151" t="str">
        <f>IFERROR(__xludf.DUMMYFUNCTION("""COMPUTED_VALUE"""),"LPOI")</f>
        <v>LPOI</v>
      </c>
      <c r="B2945" s="42" t="str">
        <f>IFERROR(__xludf.DUMMYFUNCTION("""COMPUTED_VALUE"""),"DHBA")</f>
        <v>DHBA</v>
      </c>
      <c r="C2945" s="42" t="str">
        <f>IFERROR(__xludf.DUMMYFUNCTION("""COMPUTED_VALUE"""),"lateral periolivary nucleus")</f>
        <v>lateral periolivary nucleus</v>
      </c>
      <c r="D2945" s="42">
        <f>IFERROR(__xludf.DUMMYFUNCTION("""COMPUTED_VALUE"""),2805.0)</f>
        <v>2805</v>
      </c>
      <c r="E2945" s="39" t="str">
        <f>IFERROR(__xludf.DUMMYFUNCTION("""COMPUTED_VALUE"""),"lateral periolivary nucleus")</f>
        <v>lateral periolivary nucleus</v>
      </c>
      <c r="F2945" s="9" t="str">
        <f>IFERROR(__xludf.DUMMYFUNCTION("""COMPUTED_VALUE"""),"Br")</f>
        <v>Br</v>
      </c>
      <c r="G2945" s="9" t="str">
        <f>IFERROR(__xludf.DUMMYFUNCTION("""COMPUTED_VALUE"""),"H")</f>
        <v>H</v>
      </c>
      <c r="H2945" s="9" t="str">
        <f>IFERROR(__xludf.DUMMYFUNCTION("""COMPUTED_VALUE"""),"HGM")</f>
        <v>HGM</v>
      </c>
      <c r="I2945" s="9" t="str">
        <f>IFERROR(__xludf.DUMMYFUNCTION("""COMPUTED_VALUE"""),"Met")</f>
        <v>Met</v>
      </c>
      <c r="J2945" s="9" t="str">
        <f>IFERROR(__xludf.DUMMYFUNCTION("""COMPUTED_VALUE"""),"Pn")</f>
        <v>Pn</v>
      </c>
      <c r="K2945" s="9" t="str">
        <f>IFERROR(__xludf.DUMMYFUNCTION("""COMPUTED_VALUE"""),"PnTg")</f>
        <v>PnTg</v>
      </c>
      <c r="L2945" s="9" t="str">
        <f>IFERROR(__xludf.DUMMYFUNCTION("""COMPUTED_VALUE"""),"PnAR")</f>
        <v>PnAR</v>
      </c>
      <c r="M2945" s="9" t="str">
        <f>IFERROR(__xludf.DUMMYFUNCTION("""COMPUTED_VALUE"""),"SOC")</f>
        <v>SOC</v>
      </c>
      <c r="N2945" s="9" t="str">
        <f>IFERROR(__xludf.DUMMYFUNCTION("""COMPUTED_VALUE"""),"POI")</f>
        <v>POI</v>
      </c>
      <c r="O2945" s="9" t="str">
        <f>IFERROR(__xludf.DUMMYFUNCTION("""COMPUTED_VALUE"""),"LPOI")</f>
        <v>LPOI</v>
      </c>
      <c r="P2945" s="9"/>
      <c r="Q2945" s="9"/>
      <c r="R2945" s="9"/>
      <c r="S2945" s="42"/>
      <c r="T2945" s="42"/>
      <c r="U2945" s="159"/>
      <c r="V2945" s="42"/>
      <c r="W2945" s="42"/>
      <c r="X2945" s="42"/>
      <c r="Y2945" s="42"/>
      <c r="Z2945" s="42"/>
      <c r="AA2945" s="42"/>
      <c r="AB2945" s="42" t="str">
        <f>IFERROR(__xludf.DUMMYFUNCTION("""COMPUTED_VALUE"""),"allen institute")</f>
        <v>allen institute</v>
      </c>
      <c r="AC2945" s="42" t="str">
        <f>IFERROR(__xludf.DUMMYFUNCTION("""COMPUTED_VALUE"""),"DHBA")</f>
        <v>DHBA</v>
      </c>
      <c r="AD2945" s="42"/>
      <c r="AE2945" s="42"/>
      <c r="AF2945" s="9"/>
      <c r="AG2945" s="9"/>
      <c r="AH2945" s="42"/>
      <c r="AI2945" s="42"/>
      <c r="AJ2945" s="42"/>
      <c r="AK2945" s="42"/>
      <c r="AL2945" s="42"/>
      <c r="AM2945" s="42"/>
      <c r="AN2945" s="42"/>
      <c r="AO2945" s="63" t="str">
        <f>IFERROR(__xludf.DUMMYFUNCTION("IF(ISBLANK(A2945),,IF(ISBLANK(S2945), A2945&amp;"";"", TEXTJOIN(CHAR(10), TRUE, A2945&amp;"";"", ARRAYFORMULA(VLOOKUP(SPLIT(S2945, "";"" &amp; CHAR(10)), $A:$AO, 41, FALSE)))))"),"LPOI;")</f>
        <v>LPOI;</v>
      </c>
      <c r="AP2945" s="89"/>
    </row>
    <row r="2946">
      <c r="A2946" s="151" t="str">
        <f>IFERROR(__xludf.DUMMYFUNCTION("""COMPUTED_VALUE"""),"MPOI")</f>
        <v>MPOI</v>
      </c>
      <c r="B2946" s="42" t="str">
        <f>IFERROR(__xludf.DUMMYFUNCTION("""COMPUTED_VALUE"""),"DHBA")</f>
        <v>DHBA</v>
      </c>
      <c r="C2946" s="42" t="str">
        <f>IFERROR(__xludf.DUMMYFUNCTION("""COMPUTED_VALUE"""),"medial periolivary nucleus")</f>
        <v>medial periolivary nucleus</v>
      </c>
      <c r="D2946" s="42">
        <f>IFERROR(__xludf.DUMMYFUNCTION("""COMPUTED_VALUE"""),2806.0)</f>
        <v>2806</v>
      </c>
      <c r="E2946" s="39" t="str">
        <f>IFERROR(__xludf.DUMMYFUNCTION("""COMPUTED_VALUE"""),"medial periolivary nucleus")</f>
        <v>medial periolivary nucleus</v>
      </c>
      <c r="F2946" s="9" t="str">
        <f>IFERROR(__xludf.DUMMYFUNCTION("""COMPUTED_VALUE"""),"Br")</f>
        <v>Br</v>
      </c>
      <c r="G2946" s="9" t="str">
        <f>IFERROR(__xludf.DUMMYFUNCTION("""COMPUTED_VALUE"""),"H")</f>
        <v>H</v>
      </c>
      <c r="H2946" s="9" t="str">
        <f>IFERROR(__xludf.DUMMYFUNCTION("""COMPUTED_VALUE"""),"HGM")</f>
        <v>HGM</v>
      </c>
      <c r="I2946" s="9" t="str">
        <f>IFERROR(__xludf.DUMMYFUNCTION("""COMPUTED_VALUE"""),"Met")</f>
        <v>Met</v>
      </c>
      <c r="J2946" s="9" t="str">
        <f>IFERROR(__xludf.DUMMYFUNCTION("""COMPUTED_VALUE"""),"Pn")</f>
        <v>Pn</v>
      </c>
      <c r="K2946" s="9" t="str">
        <f>IFERROR(__xludf.DUMMYFUNCTION("""COMPUTED_VALUE"""),"PnTg")</f>
        <v>PnTg</v>
      </c>
      <c r="L2946" s="9" t="str">
        <f>IFERROR(__xludf.DUMMYFUNCTION("""COMPUTED_VALUE"""),"PnAR")</f>
        <v>PnAR</v>
      </c>
      <c r="M2946" s="9" t="str">
        <f>IFERROR(__xludf.DUMMYFUNCTION("""COMPUTED_VALUE"""),"SOC")</f>
        <v>SOC</v>
      </c>
      <c r="N2946" s="9" t="str">
        <f>IFERROR(__xludf.DUMMYFUNCTION("""COMPUTED_VALUE"""),"POI")</f>
        <v>POI</v>
      </c>
      <c r="O2946" s="9" t="str">
        <f>IFERROR(__xludf.DUMMYFUNCTION("""COMPUTED_VALUE"""),"MPOI")</f>
        <v>MPOI</v>
      </c>
      <c r="P2946" s="9"/>
      <c r="Q2946" s="9"/>
      <c r="R2946" s="9"/>
      <c r="S2946" s="42"/>
      <c r="T2946" s="42"/>
      <c r="U2946" s="42"/>
      <c r="V2946" s="42"/>
      <c r="W2946" s="42"/>
      <c r="X2946" s="42"/>
      <c r="Y2946" s="42"/>
      <c r="Z2946" s="42"/>
      <c r="AA2946" s="42"/>
      <c r="AB2946" s="42" t="str">
        <f>IFERROR(__xludf.DUMMYFUNCTION("""COMPUTED_VALUE"""),"allen institute")</f>
        <v>allen institute</v>
      </c>
      <c r="AC2946" s="42" t="str">
        <f>IFERROR(__xludf.DUMMYFUNCTION("""COMPUTED_VALUE"""),"DHBA")</f>
        <v>DHBA</v>
      </c>
      <c r="AD2946" s="42"/>
      <c r="AE2946" s="42"/>
      <c r="AF2946" s="9"/>
      <c r="AG2946" s="9"/>
      <c r="AH2946" s="42"/>
      <c r="AI2946" s="42"/>
      <c r="AJ2946" s="42"/>
      <c r="AK2946" s="42"/>
      <c r="AL2946" s="42"/>
      <c r="AM2946" s="42"/>
      <c r="AN2946" s="42"/>
      <c r="AO2946" s="63" t="str">
        <f>IFERROR(__xludf.DUMMYFUNCTION("IF(ISBLANK(A2946),,IF(ISBLANK(S2946), A2946&amp;"";"", TEXTJOIN(CHAR(10), TRUE, A2946&amp;"";"", ARRAYFORMULA(VLOOKUP(SPLIT(S2946, "";"" &amp; CHAR(10)), $A:$AO, 41, FALSE)))))"),"MPOI;")</f>
        <v>MPOI;</v>
      </c>
      <c r="AP2946" s="89"/>
    </row>
    <row r="2947">
      <c r="A2947" s="151" t="str">
        <f>IFERROR(__xludf.DUMMYFUNCTION("""COMPUTED_VALUE"""),"RO")</f>
        <v>RO</v>
      </c>
      <c r="B2947" s="42" t="str">
        <f>IFERROR(__xludf.DUMMYFUNCTION("""COMPUTED_VALUE"""),"DHBA")</f>
        <v>DHBA</v>
      </c>
      <c r="C2947" s="42" t="str">
        <f>IFERROR(__xludf.DUMMYFUNCTION("""COMPUTED_VALUE"""),"retro-olivary cell group")</f>
        <v>retro-olivary cell group</v>
      </c>
      <c r="D2947" s="42">
        <f>IFERROR(__xludf.DUMMYFUNCTION("""COMPUTED_VALUE"""),2807.0)</f>
        <v>2807</v>
      </c>
      <c r="E2947" s="39" t="str">
        <f>IFERROR(__xludf.DUMMYFUNCTION("""COMPUTED_VALUE"""),"retro-olivary cell group")</f>
        <v>retro-olivary cell group</v>
      </c>
      <c r="F2947" s="9" t="str">
        <f>IFERROR(__xludf.DUMMYFUNCTION("""COMPUTED_VALUE"""),"Br")</f>
        <v>Br</v>
      </c>
      <c r="G2947" s="9" t="str">
        <f>IFERROR(__xludf.DUMMYFUNCTION("""COMPUTED_VALUE"""),"H")</f>
        <v>H</v>
      </c>
      <c r="H2947" s="9" t="str">
        <f>IFERROR(__xludf.DUMMYFUNCTION("""COMPUTED_VALUE"""),"HGM")</f>
        <v>HGM</v>
      </c>
      <c r="I2947" s="9" t="str">
        <f>IFERROR(__xludf.DUMMYFUNCTION("""COMPUTED_VALUE"""),"Met")</f>
        <v>Met</v>
      </c>
      <c r="J2947" s="9" t="str">
        <f>IFERROR(__xludf.DUMMYFUNCTION("""COMPUTED_VALUE"""),"Pn")</f>
        <v>Pn</v>
      </c>
      <c r="K2947" s="9" t="str">
        <f>IFERROR(__xludf.DUMMYFUNCTION("""COMPUTED_VALUE"""),"PnTg")</f>
        <v>PnTg</v>
      </c>
      <c r="L2947" s="9" t="str">
        <f>IFERROR(__xludf.DUMMYFUNCTION("""COMPUTED_VALUE"""),"PnAR")</f>
        <v>PnAR</v>
      </c>
      <c r="M2947" s="9" t="str">
        <f>IFERROR(__xludf.DUMMYFUNCTION("""COMPUTED_VALUE"""),"SOC")</f>
        <v>SOC</v>
      </c>
      <c r="N2947" s="9" t="str">
        <f>IFERROR(__xludf.DUMMYFUNCTION("""COMPUTED_VALUE"""),"RO")</f>
        <v>RO</v>
      </c>
      <c r="O2947" s="9"/>
      <c r="P2947" s="9"/>
      <c r="Q2947" s="9"/>
      <c r="R2947" s="9"/>
      <c r="S2947" s="42"/>
      <c r="T2947" s="42"/>
      <c r="U2947" s="159"/>
      <c r="V2947" s="42"/>
      <c r="W2947" s="42"/>
      <c r="X2947" s="42"/>
      <c r="Y2947" s="42"/>
      <c r="Z2947" s="42"/>
      <c r="AA2947" s="42"/>
      <c r="AB2947" s="42" t="str">
        <f>IFERROR(__xludf.DUMMYFUNCTION("""COMPUTED_VALUE"""),"allen institute")</f>
        <v>allen institute</v>
      </c>
      <c r="AC2947" s="42" t="str">
        <f>IFERROR(__xludf.DUMMYFUNCTION("""COMPUTED_VALUE"""),"DHBA")</f>
        <v>DHBA</v>
      </c>
      <c r="AD2947" s="42"/>
      <c r="AE2947" s="42"/>
      <c r="AF2947" s="9"/>
      <c r="AG2947" s="9"/>
      <c r="AH2947" s="42"/>
      <c r="AI2947" s="42"/>
      <c r="AJ2947" s="42"/>
      <c r="AK2947" s="42"/>
      <c r="AL2947" s="42"/>
      <c r="AM2947" s="42"/>
      <c r="AN2947" s="42"/>
      <c r="AO2947" s="63" t="str">
        <f>IFERROR(__xludf.DUMMYFUNCTION("IF(ISBLANK(A2947),,IF(ISBLANK(S2947), A2947&amp;"";"", TEXTJOIN(CHAR(10), TRUE, A2947&amp;"";"", ARRAYFORMULA(VLOOKUP(SPLIT(S2947, "";"" &amp; CHAR(10)), $A:$AO, 41, FALSE)))))"),"RO;")</f>
        <v>RO;</v>
      </c>
      <c r="AP2947" s="89"/>
    </row>
    <row r="2948">
      <c r="A2948" s="151" t="str">
        <f>IFERROR(__xludf.DUMMYFUNCTION("""COMPUTED_VALUE"""),"SOI")</f>
        <v>SOI</v>
      </c>
      <c r="B2948" s="42" t="str">
        <f>IFERROR(__xludf.DUMMYFUNCTION("""COMPUTED_VALUE"""),"DHBA")</f>
        <v>DHBA</v>
      </c>
      <c r="C2948" s="42" t="str">
        <f>IFERROR(__xludf.DUMMYFUNCTION("""COMPUTED_VALUE"""),"superior olivary nucleus")</f>
        <v>superior olivary nucleus</v>
      </c>
      <c r="D2948" s="42">
        <f>IFERROR(__xludf.DUMMYFUNCTION("""COMPUTED_VALUE"""),2808.0)</f>
        <v>2808</v>
      </c>
      <c r="E2948" s="39" t="str">
        <f>IFERROR(__xludf.DUMMYFUNCTION("""COMPUTED_VALUE"""),"superior olivary nucleus")</f>
        <v>superior olivary nucleus</v>
      </c>
      <c r="F2948" s="9" t="str">
        <f>IFERROR(__xludf.DUMMYFUNCTION("""COMPUTED_VALUE"""),"Br")</f>
        <v>Br</v>
      </c>
      <c r="G2948" s="9" t="str">
        <f>IFERROR(__xludf.DUMMYFUNCTION("""COMPUTED_VALUE"""),"H")</f>
        <v>H</v>
      </c>
      <c r="H2948" s="9" t="str">
        <f>IFERROR(__xludf.DUMMYFUNCTION("""COMPUTED_VALUE"""),"HGM")</f>
        <v>HGM</v>
      </c>
      <c r="I2948" s="9" t="str">
        <f>IFERROR(__xludf.DUMMYFUNCTION("""COMPUTED_VALUE"""),"Met")</f>
        <v>Met</v>
      </c>
      <c r="J2948" s="9" t="str">
        <f>IFERROR(__xludf.DUMMYFUNCTION("""COMPUTED_VALUE"""),"Pn")</f>
        <v>Pn</v>
      </c>
      <c r="K2948" s="9" t="str">
        <f>IFERROR(__xludf.DUMMYFUNCTION("""COMPUTED_VALUE"""),"PnTg")</f>
        <v>PnTg</v>
      </c>
      <c r="L2948" s="9" t="str">
        <f>IFERROR(__xludf.DUMMYFUNCTION("""COMPUTED_VALUE"""),"PnAR")</f>
        <v>PnAR</v>
      </c>
      <c r="M2948" s="9" t="str">
        <f>IFERROR(__xludf.DUMMYFUNCTION("""COMPUTED_VALUE"""),"SOC")</f>
        <v>SOC</v>
      </c>
      <c r="N2948" s="9" t="str">
        <f>IFERROR(__xludf.DUMMYFUNCTION("""COMPUTED_VALUE"""),"SOI")</f>
        <v>SOI</v>
      </c>
      <c r="O2948" s="9"/>
      <c r="P2948" s="9"/>
      <c r="Q2948" s="9"/>
      <c r="R2948" s="9"/>
      <c r="S2948" s="42" t="str">
        <f>IFERROR(__xludf.DUMMYFUNCTION("""COMPUTED_VALUE"""),"LSO;
MSO")</f>
        <v>LSO;
MSO</v>
      </c>
      <c r="T2948" s="42"/>
      <c r="U2948" s="159" t="b">
        <f>IFERROR(__xludf.DUMMYFUNCTION("""COMPUTED_VALUE"""),FALSE)</f>
        <v>0</v>
      </c>
      <c r="V2948" s="42"/>
      <c r="W2948" s="42"/>
      <c r="X2948" s="42"/>
      <c r="Y2948" s="42"/>
      <c r="Z2948" s="42"/>
      <c r="AA2948" s="42"/>
      <c r="AB2948" s="42" t="str">
        <f>IFERROR(__xludf.DUMMYFUNCTION("""COMPUTED_VALUE"""),"allen institute")</f>
        <v>allen institute</v>
      </c>
      <c r="AC2948" s="42" t="str">
        <f>IFERROR(__xludf.DUMMYFUNCTION("""COMPUTED_VALUE"""),"DHBA")</f>
        <v>DHBA</v>
      </c>
      <c r="AD2948" s="42"/>
      <c r="AE2948" s="42"/>
      <c r="AF2948" s="9"/>
      <c r="AG2948" s="9"/>
      <c r="AH2948" s="42"/>
      <c r="AI2948" s="42"/>
      <c r="AJ2948" s="42"/>
      <c r="AK2948" s="42"/>
      <c r="AL2948" s="42"/>
      <c r="AM2948" s="42"/>
      <c r="AN2948" s="42"/>
      <c r="AO2948" s="63" t="str">
        <f>IFERROR(__xludf.DUMMYFUNCTION("IF(ISBLANK(A2948),,IF(ISBLANK(S2948), A2948&amp;"";"", TEXTJOIN(CHAR(10), TRUE, A2948&amp;"";"", ARRAYFORMULA(VLOOKUP(SPLIT(S2948, "";"" &amp; CHAR(10)), $A:$AO, 41, FALSE)))))"),"SOI;
LSO;
MSO;")</f>
        <v>SOI;
LSO;
MSO;</v>
      </c>
      <c r="AP2948" s="89"/>
    </row>
    <row r="2949">
      <c r="A2949" s="151" t="str">
        <f>IFERROR(__xludf.DUMMYFUNCTION("""COMPUTED_VALUE"""),"LSO")</f>
        <v>LSO</v>
      </c>
      <c r="B2949" s="42" t="str">
        <f>IFERROR(__xludf.DUMMYFUNCTION("""COMPUTED_VALUE"""),"DHBA")</f>
        <v>DHBA</v>
      </c>
      <c r="C2949" s="42" t="str">
        <f>IFERROR(__xludf.DUMMYFUNCTION("""COMPUTED_VALUE"""),"lateral superior olivary nucleus")</f>
        <v>lateral superior olivary nucleus</v>
      </c>
      <c r="D2949" s="42">
        <f>IFERROR(__xludf.DUMMYFUNCTION("""COMPUTED_VALUE"""),2809.0)</f>
        <v>2809</v>
      </c>
      <c r="E2949" s="39" t="str">
        <f>IFERROR(__xludf.DUMMYFUNCTION("""COMPUTED_VALUE"""),"lateral superior olivary nucleus")</f>
        <v>lateral superior olivary nucleus</v>
      </c>
      <c r="F2949" s="9" t="str">
        <f>IFERROR(__xludf.DUMMYFUNCTION("""COMPUTED_VALUE"""),"Br")</f>
        <v>Br</v>
      </c>
      <c r="G2949" s="9" t="str">
        <f>IFERROR(__xludf.DUMMYFUNCTION("""COMPUTED_VALUE"""),"H")</f>
        <v>H</v>
      </c>
      <c r="H2949" s="9" t="str">
        <f>IFERROR(__xludf.DUMMYFUNCTION("""COMPUTED_VALUE"""),"HGM")</f>
        <v>HGM</v>
      </c>
      <c r="I2949" s="9" t="str">
        <f>IFERROR(__xludf.DUMMYFUNCTION("""COMPUTED_VALUE"""),"Met")</f>
        <v>Met</v>
      </c>
      <c r="J2949" s="9" t="str">
        <f>IFERROR(__xludf.DUMMYFUNCTION("""COMPUTED_VALUE"""),"Pn")</f>
        <v>Pn</v>
      </c>
      <c r="K2949" s="9" t="str">
        <f>IFERROR(__xludf.DUMMYFUNCTION("""COMPUTED_VALUE"""),"PnTg")</f>
        <v>PnTg</v>
      </c>
      <c r="L2949" s="9" t="str">
        <f>IFERROR(__xludf.DUMMYFUNCTION("""COMPUTED_VALUE"""),"PnAR")</f>
        <v>PnAR</v>
      </c>
      <c r="M2949" s="9" t="str">
        <f>IFERROR(__xludf.DUMMYFUNCTION("""COMPUTED_VALUE"""),"SOC")</f>
        <v>SOC</v>
      </c>
      <c r="N2949" s="9" t="str">
        <f>IFERROR(__xludf.DUMMYFUNCTION("""COMPUTED_VALUE"""),"SOI")</f>
        <v>SOI</v>
      </c>
      <c r="O2949" s="9" t="str">
        <f>IFERROR(__xludf.DUMMYFUNCTION("""COMPUTED_VALUE"""),"LSO")</f>
        <v>LSO</v>
      </c>
      <c r="P2949" s="9"/>
      <c r="Q2949" s="9"/>
      <c r="R2949" s="9"/>
      <c r="S2949" s="42"/>
      <c r="T2949" s="42"/>
      <c r="U2949" s="42"/>
      <c r="V2949" s="42"/>
      <c r="W2949" s="42"/>
      <c r="X2949" s="42"/>
      <c r="Y2949" s="42"/>
      <c r="Z2949" s="42"/>
      <c r="AA2949" s="42"/>
      <c r="AB2949" s="42" t="str">
        <f>IFERROR(__xludf.DUMMYFUNCTION("""COMPUTED_VALUE"""),"allen institute")</f>
        <v>allen institute</v>
      </c>
      <c r="AC2949" s="42" t="str">
        <f>IFERROR(__xludf.DUMMYFUNCTION("""COMPUTED_VALUE"""),"DHBA")</f>
        <v>DHBA</v>
      </c>
      <c r="AD2949" s="42"/>
      <c r="AE2949" s="42"/>
      <c r="AF2949" s="9"/>
      <c r="AG2949" s="9"/>
      <c r="AH2949" s="42"/>
      <c r="AI2949" s="42"/>
      <c r="AJ2949" s="42"/>
      <c r="AK2949" s="42"/>
      <c r="AL2949" s="42"/>
      <c r="AM2949" s="42"/>
      <c r="AN2949" s="42"/>
      <c r="AO2949" s="63" t="str">
        <f>IFERROR(__xludf.DUMMYFUNCTION("IF(ISBLANK(A2949),,IF(ISBLANK(S2949), A2949&amp;"";"", TEXTJOIN(CHAR(10), TRUE, A2949&amp;"";"", ARRAYFORMULA(VLOOKUP(SPLIT(S2949, "";"" &amp; CHAR(10)), $A:$AO, 41, FALSE)))))"),"LSO;")</f>
        <v>LSO;</v>
      </c>
      <c r="AP2949" s="89"/>
    </row>
    <row r="2950">
      <c r="A2950" s="151" t="str">
        <f>IFERROR(__xludf.DUMMYFUNCTION("""COMPUTED_VALUE"""),"MSO")</f>
        <v>MSO</v>
      </c>
      <c r="B2950" s="42" t="str">
        <f>IFERROR(__xludf.DUMMYFUNCTION("""COMPUTED_VALUE"""),"DHBA")</f>
        <v>DHBA</v>
      </c>
      <c r="C2950" s="42" t="str">
        <f>IFERROR(__xludf.DUMMYFUNCTION("""COMPUTED_VALUE"""),"medial superior olive")</f>
        <v>medial superior olive</v>
      </c>
      <c r="D2950" s="42">
        <f>IFERROR(__xludf.DUMMYFUNCTION("""COMPUTED_VALUE"""),2810.0)</f>
        <v>2810</v>
      </c>
      <c r="E2950" s="39" t="str">
        <f>IFERROR(__xludf.DUMMYFUNCTION("""COMPUTED_VALUE"""),"medial superior olive")</f>
        <v>medial superior olive</v>
      </c>
      <c r="F2950" s="9" t="str">
        <f>IFERROR(__xludf.DUMMYFUNCTION("""COMPUTED_VALUE"""),"Br")</f>
        <v>Br</v>
      </c>
      <c r="G2950" s="9" t="str">
        <f>IFERROR(__xludf.DUMMYFUNCTION("""COMPUTED_VALUE"""),"H")</f>
        <v>H</v>
      </c>
      <c r="H2950" s="9" t="str">
        <f>IFERROR(__xludf.DUMMYFUNCTION("""COMPUTED_VALUE"""),"HGM")</f>
        <v>HGM</v>
      </c>
      <c r="I2950" s="9" t="str">
        <f>IFERROR(__xludf.DUMMYFUNCTION("""COMPUTED_VALUE"""),"Met")</f>
        <v>Met</v>
      </c>
      <c r="J2950" s="9" t="str">
        <f>IFERROR(__xludf.DUMMYFUNCTION("""COMPUTED_VALUE"""),"Pn")</f>
        <v>Pn</v>
      </c>
      <c r="K2950" s="9" t="str">
        <f>IFERROR(__xludf.DUMMYFUNCTION("""COMPUTED_VALUE"""),"PnTg")</f>
        <v>PnTg</v>
      </c>
      <c r="L2950" s="9" t="str">
        <f>IFERROR(__xludf.DUMMYFUNCTION("""COMPUTED_VALUE"""),"PnAR")</f>
        <v>PnAR</v>
      </c>
      <c r="M2950" s="9" t="str">
        <f>IFERROR(__xludf.DUMMYFUNCTION("""COMPUTED_VALUE"""),"SOC")</f>
        <v>SOC</v>
      </c>
      <c r="N2950" s="9" t="str">
        <f>IFERROR(__xludf.DUMMYFUNCTION("""COMPUTED_VALUE"""),"SOI")</f>
        <v>SOI</v>
      </c>
      <c r="O2950" s="9" t="str">
        <f>IFERROR(__xludf.DUMMYFUNCTION("""COMPUTED_VALUE"""),"MSO")</f>
        <v>MSO</v>
      </c>
      <c r="P2950" s="9"/>
      <c r="Q2950" s="9"/>
      <c r="R2950" s="9"/>
      <c r="S2950" s="42"/>
      <c r="T2950" s="42"/>
      <c r="U2950" s="42"/>
      <c r="V2950" s="42"/>
      <c r="W2950" s="42"/>
      <c r="X2950" s="42"/>
      <c r="Y2950" s="42"/>
      <c r="Z2950" s="42"/>
      <c r="AA2950" s="42"/>
      <c r="AB2950" s="42" t="str">
        <f>IFERROR(__xludf.DUMMYFUNCTION("""COMPUTED_VALUE"""),"allen institute")</f>
        <v>allen institute</v>
      </c>
      <c r="AC2950" s="42" t="str">
        <f>IFERROR(__xludf.DUMMYFUNCTION("""COMPUTED_VALUE"""),"DHBA")</f>
        <v>DHBA</v>
      </c>
      <c r="AD2950" s="42"/>
      <c r="AE2950" s="42"/>
      <c r="AF2950" s="9"/>
      <c r="AG2950" s="9"/>
      <c r="AH2950" s="42"/>
      <c r="AI2950" s="42"/>
      <c r="AJ2950" s="42"/>
      <c r="AK2950" s="42"/>
      <c r="AL2950" s="42"/>
      <c r="AM2950" s="42"/>
      <c r="AN2950" s="42"/>
      <c r="AO2950" s="63" t="str">
        <f>IFERROR(__xludf.DUMMYFUNCTION("IF(ISBLANK(A2950),,IF(ISBLANK(S2950), A2950&amp;"";"", TEXTJOIN(CHAR(10), TRUE, A2950&amp;"";"", ARRAYFORMULA(VLOOKUP(SPLIT(S2950, "";"" &amp; CHAR(10)), $A:$AO, 41, FALSE)))))"),"MSO;")</f>
        <v>MSO;</v>
      </c>
      <c r="AP2950" s="89"/>
    </row>
    <row r="2951">
      <c r="A2951" s="151" t="str">
        <f>IFERROR(__xludf.DUMMYFUNCTION("""COMPUTED_VALUE"""),"SPO")</f>
        <v>SPO</v>
      </c>
      <c r="B2951" s="42" t="str">
        <f>IFERROR(__xludf.DUMMYFUNCTION("""COMPUTED_VALUE"""),"DHBA")</f>
        <v>DHBA</v>
      </c>
      <c r="C2951" s="42" t="str">
        <f>IFERROR(__xludf.DUMMYFUNCTION("""COMPUTED_VALUE"""),"superior paraolivary nucleus")</f>
        <v>superior paraolivary nucleus</v>
      </c>
      <c r="D2951" s="42">
        <f>IFERROR(__xludf.DUMMYFUNCTION("""COMPUTED_VALUE"""),2811.0)</f>
        <v>2811</v>
      </c>
      <c r="E2951" s="39" t="str">
        <f>IFERROR(__xludf.DUMMYFUNCTION("""COMPUTED_VALUE"""),"superior paraolivary nucleus")</f>
        <v>superior paraolivary nucleus</v>
      </c>
      <c r="F2951" s="9" t="str">
        <f>IFERROR(__xludf.DUMMYFUNCTION("""COMPUTED_VALUE"""),"Br")</f>
        <v>Br</v>
      </c>
      <c r="G2951" s="9" t="str">
        <f>IFERROR(__xludf.DUMMYFUNCTION("""COMPUTED_VALUE"""),"H")</f>
        <v>H</v>
      </c>
      <c r="H2951" s="9" t="str">
        <f>IFERROR(__xludf.DUMMYFUNCTION("""COMPUTED_VALUE"""),"HGM")</f>
        <v>HGM</v>
      </c>
      <c r="I2951" s="9" t="str">
        <f>IFERROR(__xludf.DUMMYFUNCTION("""COMPUTED_VALUE"""),"Met")</f>
        <v>Met</v>
      </c>
      <c r="J2951" s="9" t="str">
        <f>IFERROR(__xludf.DUMMYFUNCTION("""COMPUTED_VALUE"""),"Pn")</f>
        <v>Pn</v>
      </c>
      <c r="K2951" s="9" t="str">
        <f>IFERROR(__xludf.DUMMYFUNCTION("""COMPUTED_VALUE"""),"PnTg")</f>
        <v>PnTg</v>
      </c>
      <c r="L2951" s="9" t="str">
        <f>IFERROR(__xludf.DUMMYFUNCTION("""COMPUTED_VALUE"""),"PnAR")</f>
        <v>PnAR</v>
      </c>
      <c r="M2951" s="9" t="str">
        <f>IFERROR(__xludf.DUMMYFUNCTION("""COMPUTED_VALUE"""),"SOC")</f>
        <v>SOC</v>
      </c>
      <c r="N2951" s="9" t="str">
        <f>IFERROR(__xludf.DUMMYFUNCTION("""COMPUTED_VALUE"""),"SPO")</f>
        <v>SPO</v>
      </c>
      <c r="O2951" s="9"/>
      <c r="P2951" s="9"/>
      <c r="Q2951" s="9"/>
      <c r="R2951" s="9"/>
      <c r="S2951" s="42"/>
      <c r="T2951" s="42"/>
      <c r="U2951" s="42"/>
      <c r="V2951" s="42"/>
      <c r="W2951" s="42"/>
      <c r="X2951" s="42"/>
      <c r="Y2951" s="42"/>
      <c r="Z2951" s="42"/>
      <c r="AA2951" s="42"/>
      <c r="AB2951" s="42" t="str">
        <f>IFERROR(__xludf.DUMMYFUNCTION("""COMPUTED_VALUE"""),"allen institute")</f>
        <v>allen institute</v>
      </c>
      <c r="AC2951" s="42" t="str">
        <f>IFERROR(__xludf.DUMMYFUNCTION("""COMPUTED_VALUE"""),"DHBA")</f>
        <v>DHBA</v>
      </c>
      <c r="AD2951" s="42"/>
      <c r="AE2951" s="42"/>
      <c r="AF2951" s="9"/>
      <c r="AG2951" s="9"/>
      <c r="AH2951" s="42"/>
      <c r="AI2951" s="42"/>
      <c r="AJ2951" s="42"/>
      <c r="AK2951" s="42"/>
      <c r="AL2951" s="42"/>
      <c r="AM2951" s="42"/>
      <c r="AN2951" s="42"/>
      <c r="AO2951" s="63" t="str">
        <f>IFERROR(__xludf.DUMMYFUNCTION("IF(ISBLANK(A2951),,IF(ISBLANK(S2951), A2951&amp;"";"", TEXTJOIN(CHAR(10), TRUE, A2951&amp;"";"", ARRAYFORMULA(VLOOKUP(SPLIT(S2951, "";"" &amp; CHAR(10)), $A:$AO, 41, FALSE)))))"),"SPO;")</f>
        <v>SPO;</v>
      </c>
      <c r="AP2951" s="89"/>
    </row>
    <row r="2952">
      <c r="A2952" s="151" t="str">
        <f>IFERROR(__xludf.DUMMYFUNCTION("""COMPUTED_VALUE"""),"PrO")</f>
        <v>PrO</v>
      </c>
      <c r="B2952" s="42" t="str">
        <f>IFERROR(__xludf.DUMMYFUNCTION("""COMPUTED_VALUE"""),"DHBA")</f>
        <v>DHBA</v>
      </c>
      <c r="C2952" s="42" t="str">
        <f>IFERROR(__xludf.DUMMYFUNCTION("""COMPUTED_VALUE"""),"preolivary nucleus")</f>
        <v>preolivary nucleus</v>
      </c>
      <c r="D2952" s="42">
        <f>IFERROR(__xludf.DUMMYFUNCTION("""COMPUTED_VALUE"""),2812.0)</f>
        <v>2812</v>
      </c>
      <c r="E2952" s="39" t="str">
        <f>IFERROR(__xludf.DUMMYFUNCTION("""COMPUTED_VALUE"""),"preolivary nucleus")</f>
        <v>preolivary nucleus</v>
      </c>
      <c r="F2952" s="9" t="str">
        <f>IFERROR(__xludf.DUMMYFUNCTION("""COMPUTED_VALUE"""),"Br")</f>
        <v>Br</v>
      </c>
      <c r="G2952" s="9" t="str">
        <f>IFERROR(__xludf.DUMMYFUNCTION("""COMPUTED_VALUE"""),"H")</f>
        <v>H</v>
      </c>
      <c r="H2952" s="9" t="str">
        <f>IFERROR(__xludf.DUMMYFUNCTION("""COMPUTED_VALUE"""),"HGM")</f>
        <v>HGM</v>
      </c>
      <c r="I2952" s="9" t="str">
        <f>IFERROR(__xludf.DUMMYFUNCTION("""COMPUTED_VALUE"""),"Met")</f>
        <v>Met</v>
      </c>
      <c r="J2952" s="9" t="str">
        <f>IFERROR(__xludf.DUMMYFUNCTION("""COMPUTED_VALUE"""),"Pn")</f>
        <v>Pn</v>
      </c>
      <c r="K2952" s="9" t="str">
        <f>IFERROR(__xludf.DUMMYFUNCTION("""COMPUTED_VALUE"""),"PnTg")</f>
        <v>PnTg</v>
      </c>
      <c r="L2952" s="9" t="str">
        <f>IFERROR(__xludf.DUMMYFUNCTION("""COMPUTED_VALUE"""),"PnAR")</f>
        <v>PnAR</v>
      </c>
      <c r="M2952" s="9" t="str">
        <f>IFERROR(__xludf.DUMMYFUNCTION("""COMPUTED_VALUE"""),"PrO")</f>
        <v>PrO</v>
      </c>
      <c r="N2952" s="9"/>
      <c r="O2952" s="9"/>
      <c r="P2952" s="9"/>
      <c r="Q2952" s="9"/>
      <c r="R2952" s="9"/>
      <c r="S2952" s="42"/>
      <c r="T2952" s="42"/>
      <c r="U2952" s="42"/>
      <c r="V2952" s="42"/>
      <c r="W2952" s="42"/>
      <c r="X2952" s="42"/>
      <c r="Y2952" s="42"/>
      <c r="Z2952" s="42"/>
      <c r="AA2952" s="42"/>
      <c r="AB2952" s="42" t="str">
        <f>IFERROR(__xludf.DUMMYFUNCTION("""COMPUTED_VALUE"""),"allen institute")</f>
        <v>allen institute</v>
      </c>
      <c r="AC2952" s="42" t="str">
        <f>IFERROR(__xludf.DUMMYFUNCTION("""COMPUTED_VALUE"""),"DHBA")</f>
        <v>DHBA</v>
      </c>
      <c r="AD2952" s="42"/>
      <c r="AE2952" s="42"/>
      <c r="AF2952" s="9"/>
      <c r="AG2952" s="9"/>
      <c r="AH2952" s="42"/>
      <c r="AI2952" s="42"/>
      <c r="AJ2952" s="42"/>
      <c r="AK2952" s="42"/>
      <c r="AL2952" s="42"/>
      <c r="AM2952" s="42"/>
      <c r="AN2952" s="42"/>
      <c r="AO2952" s="63" t="str">
        <f>IFERROR(__xludf.DUMMYFUNCTION("IF(ISBLANK(A2952),,IF(ISBLANK(S2952), A2952&amp;"";"", TEXTJOIN(CHAR(10), TRUE, A2952&amp;"";"", ARRAYFORMULA(VLOOKUP(SPLIT(S2952, "";"" &amp; CHAR(10)), $A:$AO, 41, FALSE)))))"),"PrO;")</f>
        <v>PrO;</v>
      </c>
      <c r="AP2952" s="89"/>
    </row>
    <row r="2953">
      <c r="A2953" s="151" t="str">
        <f>IFERROR(__xludf.DUMMYFUNCTION("""COMPUTED_VALUE"""),"PnRa")</f>
        <v>PnRa</v>
      </c>
      <c r="B2953" s="42" t="str">
        <f>IFERROR(__xludf.DUMMYFUNCTION("""COMPUTED_VALUE"""),"DHBA")</f>
        <v>DHBA</v>
      </c>
      <c r="C2953" s="42" t="str">
        <f>IFERROR(__xludf.DUMMYFUNCTION("""COMPUTED_VALUE"""),"raphe pontis nucleus")</f>
        <v>raphe pontis nucleus</v>
      </c>
      <c r="D2953" s="42">
        <f>IFERROR(__xludf.DUMMYFUNCTION("""COMPUTED_VALUE"""),2813.0)</f>
        <v>2813</v>
      </c>
      <c r="E2953" s="39" t="str">
        <f>IFERROR(__xludf.DUMMYFUNCTION("""COMPUTED_VALUE"""),"raphe pontis nucleus")</f>
        <v>raphe pontis nucleus</v>
      </c>
      <c r="F2953" s="9" t="str">
        <f>IFERROR(__xludf.DUMMYFUNCTION("""COMPUTED_VALUE"""),"Br")</f>
        <v>Br</v>
      </c>
      <c r="G2953" s="9" t="str">
        <f>IFERROR(__xludf.DUMMYFUNCTION("""COMPUTED_VALUE"""),"H")</f>
        <v>H</v>
      </c>
      <c r="H2953" s="9" t="str">
        <f>IFERROR(__xludf.DUMMYFUNCTION("""COMPUTED_VALUE"""),"HGM")</f>
        <v>HGM</v>
      </c>
      <c r="I2953" s="9" t="str">
        <f>IFERROR(__xludf.DUMMYFUNCTION("""COMPUTED_VALUE"""),"Met")</f>
        <v>Met</v>
      </c>
      <c r="J2953" s="9" t="str">
        <f>IFERROR(__xludf.DUMMYFUNCTION("""COMPUTED_VALUE"""),"Pn")</f>
        <v>Pn</v>
      </c>
      <c r="K2953" s="9" t="str">
        <f>IFERROR(__xludf.DUMMYFUNCTION("""COMPUTED_VALUE"""),"PnTg")</f>
        <v>PnTg</v>
      </c>
      <c r="L2953" s="9" t="str">
        <f>IFERROR(__xludf.DUMMYFUNCTION("""COMPUTED_VALUE"""),"PnRa")</f>
        <v>PnRa</v>
      </c>
      <c r="M2953" s="9"/>
      <c r="N2953" s="9"/>
      <c r="O2953" s="9"/>
      <c r="P2953" s="9"/>
      <c r="Q2953" s="9"/>
      <c r="R2953" s="9"/>
      <c r="S2953" s="42" t="str">
        <f>IFERROR(__xludf.DUMMYFUNCTION("""COMPUTED_VALUE"""),"DR_p;
MnR_p;
PMnRt;
PRn;
RIP")</f>
        <v>DR_p;
MnR_p;
PMnRt;
PRn;
RIP</v>
      </c>
      <c r="T2953" s="42"/>
      <c r="U2953" s="42" t="b">
        <f>IFERROR(__xludf.DUMMYFUNCTION("""COMPUTED_VALUE"""),FALSE)</f>
        <v>0</v>
      </c>
      <c r="V2953" s="42"/>
      <c r="W2953" s="42"/>
      <c r="X2953" s="42"/>
      <c r="Y2953" s="42"/>
      <c r="Z2953" s="42"/>
      <c r="AA2953" s="42"/>
      <c r="AB2953" s="42" t="str">
        <f>IFERROR(__xludf.DUMMYFUNCTION("""COMPUTED_VALUE"""),"allen institute")</f>
        <v>allen institute</v>
      </c>
      <c r="AC2953" s="42" t="str">
        <f>IFERROR(__xludf.DUMMYFUNCTION("""COMPUTED_VALUE"""),"DHBA")</f>
        <v>DHBA</v>
      </c>
      <c r="AD2953" s="42"/>
      <c r="AE2953" s="42"/>
      <c r="AF2953" s="9"/>
      <c r="AG2953" s="9"/>
      <c r="AH2953" s="42"/>
      <c r="AI2953" s="42"/>
      <c r="AJ2953" s="42"/>
      <c r="AK2953" s="42"/>
      <c r="AL2953" s="42"/>
      <c r="AM2953" s="42"/>
      <c r="AN2953" s="42"/>
      <c r="AO2953" s="63" t="str">
        <f>IFERROR(__xludf.DUMMYFUNCTION("IF(ISBLANK(A2953),,IF(ISBLANK(S2953), A2953&amp;"";"", TEXTJOIN(CHAR(10), TRUE, A2953&amp;"";"", ARRAYFORMULA(VLOOKUP(SPLIT(S2953, "";"" &amp; CHAR(10)), $A:$AO, 41, FALSE)))))"),"#N/A")</f>
        <v>#N/A</v>
      </c>
      <c r="AP2953" s="89"/>
    </row>
    <row r="2954">
      <c r="A2954" s="151" t="str">
        <f>IFERROR(__xludf.DUMMYFUNCTION("""COMPUTED_VALUE"""),"DR-p")</f>
        <v>DR-p</v>
      </c>
      <c r="B2954" s="42" t="str">
        <f>IFERROR(__xludf.DUMMYFUNCTION("""COMPUTED_VALUE"""),"DHBA")</f>
        <v>DHBA</v>
      </c>
      <c r="C2954" s="42" t="str">
        <f>IFERROR(__xludf.DUMMYFUNCTION("""COMPUTED_VALUE"""),"dorsal raphe nucleus")</f>
        <v>dorsal raphe nucleus</v>
      </c>
      <c r="D2954" s="42">
        <f>IFERROR(__xludf.DUMMYFUNCTION("""COMPUTED_VALUE"""),2814.0)</f>
        <v>2814</v>
      </c>
      <c r="E2954" s="39" t="str">
        <f>IFERROR(__xludf.DUMMYFUNCTION("""COMPUTED_VALUE"""),"dorsal raphe nucleus")</f>
        <v>dorsal raphe nucleus</v>
      </c>
      <c r="F2954" s="9" t="str">
        <f>IFERROR(__xludf.DUMMYFUNCTION("""COMPUTED_VALUE"""),"Br")</f>
        <v>Br</v>
      </c>
      <c r="G2954" s="9" t="str">
        <f>IFERROR(__xludf.DUMMYFUNCTION("""COMPUTED_VALUE"""),"H")</f>
        <v>H</v>
      </c>
      <c r="H2954" s="9" t="str">
        <f>IFERROR(__xludf.DUMMYFUNCTION("""COMPUTED_VALUE"""),"HGM")</f>
        <v>HGM</v>
      </c>
      <c r="I2954" s="9" t="str">
        <f>IFERROR(__xludf.DUMMYFUNCTION("""COMPUTED_VALUE"""),"Met")</f>
        <v>Met</v>
      </c>
      <c r="J2954" s="9" t="str">
        <f>IFERROR(__xludf.DUMMYFUNCTION("""COMPUTED_VALUE"""),"Pn")</f>
        <v>Pn</v>
      </c>
      <c r="K2954" s="9" t="str">
        <f>IFERROR(__xludf.DUMMYFUNCTION("""COMPUTED_VALUE"""),"PnTg")</f>
        <v>PnTg</v>
      </c>
      <c r="L2954" s="9" t="str">
        <f>IFERROR(__xludf.DUMMYFUNCTION("""COMPUTED_VALUE"""),"PnRa")</f>
        <v>PnRa</v>
      </c>
      <c r="M2954" s="9" t="str">
        <f>IFERROR(__xludf.DUMMYFUNCTION("""COMPUTED_VALUE"""),"DR-p")</f>
        <v>DR-p</v>
      </c>
      <c r="N2954" s="9"/>
      <c r="O2954" s="9"/>
      <c r="P2954" s="9"/>
      <c r="Q2954" s="9"/>
      <c r="R2954" s="9"/>
      <c r="S2954" s="42"/>
      <c r="T2954" s="42"/>
      <c r="U2954" s="42"/>
      <c r="V2954" s="42"/>
      <c r="W2954" s="42"/>
      <c r="X2954" s="42"/>
      <c r="Y2954" s="42"/>
      <c r="Z2954" s="42"/>
      <c r="AA2954" s="42"/>
      <c r="AB2954" s="42" t="str">
        <f>IFERROR(__xludf.DUMMYFUNCTION("""COMPUTED_VALUE"""),"allen institute")</f>
        <v>allen institute</v>
      </c>
      <c r="AC2954" s="42" t="str">
        <f>IFERROR(__xludf.DUMMYFUNCTION("""COMPUTED_VALUE"""),"DHBA")</f>
        <v>DHBA</v>
      </c>
      <c r="AD2954" s="42"/>
      <c r="AE2954" s="42"/>
      <c r="AF2954" s="9"/>
      <c r="AG2954" s="9"/>
      <c r="AH2954" s="42"/>
      <c r="AI2954" s="42"/>
      <c r="AJ2954" s="42"/>
      <c r="AK2954" s="42"/>
      <c r="AL2954" s="42"/>
      <c r="AM2954" s="42"/>
      <c r="AN2954" s="42"/>
      <c r="AO2954" s="63" t="str">
        <f>IFERROR(__xludf.DUMMYFUNCTION("IF(ISBLANK(A2954),,IF(ISBLANK(S2954), A2954&amp;"";"", TEXTJOIN(CHAR(10), TRUE, A2954&amp;"";"", ARRAYFORMULA(VLOOKUP(SPLIT(S2954, "";"" &amp; CHAR(10)), $A:$AO, 41, FALSE)))))"),"DR-p;")</f>
        <v>DR-p;</v>
      </c>
      <c r="AP2954" s="89"/>
    </row>
    <row r="2955">
      <c r="A2955" s="151" t="str">
        <f>IFERROR(__xludf.DUMMYFUNCTION("""COMPUTED_VALUE"""),"MnR-p")</f>
        <v>MnR-p</v>
      </c>
      <c r="B2955" s="42" t="str">
        <f>IFERROR(__xludf.DUMMYFUNCTION("""COMPUTED_VALUE"""),"DHBA")</f>
        <v>DHBA</v>
      </c>
      <c r="C2955" s="42" t="str">
        <f>IFERROR(__xludf.DUMMYFUNCTION("""COMPUTED_VALUE"""),"median raphe nucleus")</f>
        <v>median raphe nucleus</v>
      </c>
      <c r="D2955" s="42">
        <f>IFERROR(__xludf.DUMMYFUNCTION("""COMPUTED_VALUE"""),2815.0)</f>
        <v>2815</v>
      </c>
      <c r="E2955" s="39" t="str">
        <f>IFERROR(__xludf.DUMMYFUNCTION("""COMPUTED_VALUE"""),"median raphe nucleus")</f>
        <v>median raphe nucleus</v>
      </c>
      <c r="F2955" s="9" t="str">
        <f>IFERROR(__xludf.DUMMYFUNCTION("""COMPUTED_VALUE"""),"Br")</f>
        <v>Br</v>
      </c>
      <c r="G2955" s="9" t="str">
        <f>IFERROR(__xludf.DUMMYFUNCTION("""COMPUTED_VALUE"""),"H")</f>
        <v>H</v>
      </c>
      <c r="H2955" s="9" t="str">
        <f>IFERROR(__xludf.DUMMYFUNCTION("""COMPUTED_VALUE"""),"HGM")</f>
        <v>HGM</v>
      </c>
      <c r="I2955" s="9" t="str">
        <f>IFERROR(__xludf.DUMMYFUNCTION("""COMPUTED_VALUE"""),"Met")</f>
        <v>Met</v>
      </c>
      <c r="J2955" s="9" t="str">
        <f>IFERROR(__xludf.DUMMYFUNCTION("""COMPUTED_VALUE"""),"Pn")</f>
        <v>Pn</v>
      </c>
      <c r="K2955" s="9" t="str">
        <f>IFERROR(__xludf.DUMMYFUNCTION("""COMPUTED_VALUE"""),"PnTg")</f>
        <v>PnTg</v>
      </c>
      <c r="L2955" s="9" t="str">
        <f>IFERROR(__xludf.DUMMYFUNCTION("""COMPUTED_VALUE"""),"PnRa")</f>
        <v>PnRa</v>
      </c>
      <c r="M2955" s="9" t="str">
        <f>IFERROR(__xludf.DUMMYFUNCTION("""COMPUTED_VALUE"""),"MnR-p")</f>
        <v>MnR-p</v>
      </c>
      <c r="N2955" s="9"/>
      <c r="O2955" s="9"/>
      <c r="P2955" s="9"/>
      <c r="Q2955" s="9"/>
      <c r="R2955" s="9"/>
      <c r="S2955" s="42"/>
      <c r="T2955" s="42"/>
      <c r="U2955" s="42"/>
      <c r="V2955" s="42"/>
      <c r="W2955" s="42"/>
      <c r="X2955" s="42"/>
      <c r="Y2955" s="42"/>
      <c r="Z2955" s="42"/>
      <c r="AA2955" s="42"/>
      <c r="AB2955" s="42" t="str">
        <f>IFERROR(__xludf.DUMMYFUNCTION("""COMPUTED_VALUE"""),"allen institute")</f>
        <v>allen institute</v>
      </c>
      <c r="AC2955" s="42" t="str">
        <f>IFERROR(__xludf.DUMMYFUNCTION("""COMPUTED_VALUE"""),"DHBA")</f>
        <v>DHBA</v>
      </c>
      <c r="AD2955" s="42"/>
      <c r="AE2955" s="42"/>
      <c r="AF2955" s="9"/>
      <c r="AG2955" s="9"/>
      <c r="AH2955" s="42"/>
      <c r="AI2955" s="42"/>
      <c r="AJ2955" s="42"/>
      <c r="AK2955" s="42"/>
      <c r="AL2955" s="42"/>
      <c r="AM2955" s="42"/>
      <c r="AN2955" s="42"/>
      <c r="AO2955" s="63" t="str">
        <f>IFERROR(__xludf.DUMMYFUNCTION("IF(ISBLANK(A2955),,IF(ISBLANK(S2955), A2955&amp;"";"", TEXTJOIN(CHAR(10), TRUE, A2955&amp;"";"", ARRAYFORMULA(VLOOKUP(SPLIT(S2955, "";"" &amp; CHAR(10)), $A:$AO, 41, FALSE)))))"),"MnR-p;")</f>
        <v>MnR-p;</v>
      </c>
      <c r="AP2955" s="89"/>
    </row>
    <row r="2956">
      <c r="A2956" s="151" t="str">
        <f>IFERROR(__xludf.DUMMYFUNCTION("""COMPUTED_VALUE"""),"PMnRt")</f>
        <v>PMnRt</v>
      </c>
      <c r="B2956" s="42" t="str">
        <f>IFERROR(__xludf.DUMMYFUNCTION("""COMPUTED_VALUE"""),"DHBA")</f>
        <v>DHBA</v>
      </c>
      <c r="C2956" s="42" t="str">
        <f>IFERROR(__xludf.DUMMYFUNCTION("""COMPUTED_VALUE"""),"paramedian raphe nucleus, reticular part")</f>
        <v>paramedian raphe nucleus, reticular part</v>
      </c>
      <c r="D2956" s="42">
        <f>IFERROR(__xludf.DUMMYFUNCTION("""COMPUTED_VALUE"""),2816.0)</f>
        <v>2816</v>
      </c>
      <c r="E2956" s="39" t="str">
        <f>IFERROR(__xludf.DUMMYFUNCTION("""COMPUTED_VALUE"""),"paramedian raphe nucleus, reticular part")</f>
        <v>paramedian raphe nucleus, reticular part</v>
      </c>
      <c r="F2956" s="9" t="str">
        <f>IFERROR(__xludf.DUMMYFUNCTION("""COMPUTED_VALUE"""),"Br")</f>
        <v>Br</v>
      </c>
      <c r="G2956" s="9" t="str">
        <f>IFERROR(__xludf.DUMMYFUNCTION("""COMPUTED_VALUE"""),"H")</f>
        <v>H</v>
      </c>
      <c r="H2956" s="9" t="str">
        <f>IFERROR(__xludf.DUMMYFUNCTION("""COMPUTED_VALUE"""),"HGM")</f>
        <v>HGM</v>
      </c>
      <c r="I2956" s="9" t="str">
        <f>IFERROR(__xludf.DUMMYFUNCTION("""COMPUTED_VALUE"""),"Met")</f>
        <v>Met</v>
      </c>
      <c r="J2956" s="9" t="str">
        <f>IFERROR(__xludf.DUMMYFUNCTION("""COMPUTED_VALUE"""),"Pn")</f>
        <v>Pn</v>
      </c>
      <c r="K2956" s="9" t="str">
        <f>IFERROR(__xludf.DUMMYFUNCTION("""COMPUTED_VALUE"""),"PnTg")</f>
        <v>PnTg</v>
      </c>
      <c r="L2956" s="9" t="str">
        <f>IFERROR(__xludf.DUMMYFUNCTION("""COMPUTED_VALUE"""),"PnRa")</f>
        <v>PnRa</v>
      </c>
      <c r="M2956" s="9" t="str">
        <f>IFERROR(__xludf.DUMMYFUNCTION("""COMPUTED_VALUE"""),"PMnRt")</f>
        <v>PMnRt</v>
      </c>
      <c r="N2956" s="9"/>
      <c r="O2956" s="9"/>
      <c r="P2956" s="9"/>
      <c r="Q2956" s="9"/>
      <c r="R2956" s="9"/>
      <c r="S2956" s="42"/>
      <c r="T2956" s="42"/>
      <c r="U2956" s="42"/>
      <c r="V2956" s="42"/>
      <c r="W2956" s="42"/>
      <c r="X2956" s="42"/>
      <c r="Y2956" s="42"/>
      <c r="Z2956" s="42"/>
      <c r="AA2956" s="42"/>
      <c r="AB2956" s="42" t="str">
        <f>IFERROR(__xludf.DUMMYFUNCTION("""COMPUTED_VALUE"""),"allen institute")</f>
        <v>allen institute</v>
      </c>
      <c r="AC2956" s="42" t="str">
        <f>IFERROR(__xludf.DUMMYFUNCTION("""COMPUTED_VALUE"""),"DHBA")</f>
        <v>DHBA</v>
      </c>
      <c r="AD2956" s="42"/>
      <c r="AE2956" s="42"/>
      <c r="AF2956" s="9"/>
      <c r="AG2956" s="9"/>
      <c r="AH2956" s="42"/>
      <c r="AI2956" s="42"/>
      <c r="AJ2956" s="42"/>
      <c r="AK2956" s="42"/>
      <c r="AL2956" s="42"/>
      <c r="AM2956" s="42"/>
      <c r="AN2956" s="42"/>
      <c r="AO2956" s="63" t="str">
        <f>IFERROR(__xludf.DUMMYFUNCTION("IF(ISBLANK(A2956),,IF(ISBLANK(S2956), A2956&amp;"";"", TEXTJOIN(CHAR(10), TRUE, A2956&amp;"";"", ARRAYFORMULA(VLOOKUP(SPLIT(S2956, "";"" &amp; CHAR(10)), $A:$AO, 41, FALSE)))))"),"PMnRt;")</f>
        <v>PMnRt;</v>
      </c>
      <c r="AP2956" s="89"/>
    </row>
    <row r="2957">
      <c r="A2957" s="151" t="str">
        <f>IFERROR(__xludf.DUMMYFUNCTION("""COMPUTED_VALUE"""),"PRn")</f>
        <v>PRn</v>
      </c>
      <c r="B2957" s="42" t="str">
        <f>IFERROR(__xludf.DUMMYFUNCTION("""COMPUTED_VALUE"""),"DHBA")</f>
        <v>DHBA</v>
      </c>
      <c r="C2957" s="42" t="str">
        <f>IFERROR(__xludf.DUMMYFUNCTION("""COMPUTED_VALUE"""),"raphe pontis nucleus")</f>
        <v>raphe pontis nucleus</v>
      </c>
      <c r="D2957" s="42">
        <f>IFERROR(__xludf.DUMMYFUNCTION("""COMPUTED_VALUE"""),2817.0)</f>
        <v>2817</v>
      </c>
      <c r="E2957" s="39" t="str">
        <f>IFERROR(__xludf.DUMMYFUNCTION("""COMPUTED_VALUE"""),"raphe pontis nucleus")</f>
        <v>raphe pontis nucleus</v>
      </c>
      <c r="F2957" s="9" t="str">
        <f>IFERROR(__xludf.DUMMYFUNCTION("""COMPUTED_VALUE"""),"Br")</f>
        <v>Br</v>
      </c>
      <c r="G2957" s="9" t="str">
        <f>IFERROR(__xludf.DUMMYFUNCTION("""COMPUTED_VALUE"""),"H")</f>
        <v>H</v>
      </c>
      <c r="H2957" s="9" t="str">
        <f>IFERROR(__xludf.DUMMYFUNCTION("""COMPUTED_VALUE"""),"HGM")</f>
        <v>HGM</v>
      </c>
      <c r="I2957" s="9" t="str">
        <f>IFERROR(__xludf.DUMMYFUNCTION("""COMPUTED_VALUE"""),"Met")</f>
        <v>Met</v>
      </c>
      <c r="J2957" s="9" t="str">
        <f>IFERROR(__xludf.DUMMYFUNCTION("""COMPUTED_VALUE"""),"Pn")</f>
        <v>Pn</v>
      </c>
      <c r="K2957" s="9" t="str">
        <f>IFERROR(__xludf.DUMMYFUNCTION("""COMPUTED_VALUE"""),"PnTg")</f>
        <v>PnTg</v>
      </c>
      <c r="L2957" s="9" t="str">
        <f>IFERROR(__xludf.DUMMYFUNCTION("""COMPUTED_VALUE"""),"PnRa")</f>
        <v>PnRa</v>
      </c>
      <c r="M2957" s="9" t="str">
        <f>IFERROR(__xludf.DUMMYFUNCTION("""COMPUTED_VALUE"""),"PRn")</f>
        <v>PRn</v>
      </c>
      <c r="N2957" s="9"/>
      <c r="O2957" s="9"/>
      <c r="P2957" s="9"/>
      <c r="Q2957" s="9"/>
      <c r="R2957" s="9"/>
      <c r="S2957" s="42"/>
      <c r="T2957" s="42"/>
      <c r="U2957" s="159"/>
      <c r="V2957" s="42"/>
      <c r="W2957" s="42"/>
      <c r="X2957" s="42"/>
      <c r="Y2957" s="42"/>
      <c r="Z2957" s="42"/>
      <c r="AA2957" s="42"/>
      <c r="AB2957" s="42" t="str">
        <f>IFERROR(__xludf.DUMMYFUNCTION("""COMPUTED_VALUE"""),"allen institute")</f>
        <v>allen institute</v>
      </c>
      <c r="AC2957" s="42" t="str">
        <f>IFERROR(__xludf.DUMMYFUNCTION("""COMPUTED_VALUE"""),"DHBA")</f>
        <v>DHBA</v>
      </c>
      <c r="AD2957" s="42"/>
      <c r="AE2957" s="42"/>
      <c r="AF2957" s="9"/>
      <c r="AG2957" s="9"/>
      <c r="AH2957" s="42"/>
      <c r="AI2957" s="42"/>
      <c r="AJ2957" s="42"/>
      <c r="AK2957" s="42"/>
      <c r="AL2957" s="42"/>
      <c r="AM2957" s="42"/>
      <c r="AN2957" s="42"/>
      <c r="AO2957" s="63" t="str">
        <f>IFERROR(__xludf.DUMMYFUNCTION("IF(ISBLANK(A2957),,IF(ISBLANK(S2957), A2957&amp;"";"", TEXTJOIN(CHAR(10), TRUE, A2957&amp;"";"", ARRAYFORMULA(VLOOKUP(SPLIT(S2957, "";"" &amp; CHAR(10)), $A:$AO, 41, FALSE)))))"),"PRn;")</f>
        <v>PRn;</v>
      </c>
      <c r="AP2957" s="89"/>
    </row>
    <row r="2958">
      <c r="A2958" s="151" t="str">
        <f>IFERROR(__xludf.DUMMYFUNCTION("""COMPUTED_VALUE"""),"RIP")</f>
        <v>RIP</v>
      </c>
      <c r="B2958" s="42" t="str">
        <f>IFERROR(__xludf.DUMMYFUNCTION("""COMPUTED_VALUE"""),"DHBA")</f>
        <v>DHBA</v>
      </c>
      <c r="C2958" s="42" t="str">
        <f>IFERROR(__xludf.DUMMYFUNCTION("""COMPUTED_VALUE"""),"raphe interpositus nucleus")</f>
        <v>raphe interpositus nucleus</v>
      </c>
      <c r="D2958" s="42">
        <f>IFERROR(__xludf.DUMMYFUNCTION("""COMPUTED_VALUE"""),2818.0)</f>
        <v>2818</v>
      </c>
      <c r="E2958" s="39" t="str">
        <f>IFERROR(__xludf.DUMMYFUNCTION("""COMPUTED_VALUE"""),"raphe interpositus nucleus")</f>
        <v>raphe interpositus nucleus</v>
      </c>
      <c r="F2958" s="9" t="str">
        <f>IFERROR(__xludf.DUMMYFUNCTION("""COMPUTED_VALUE"""),"Br")</f>
        <v>Br</v>
      </c>
      <c r="G2958" s="9" t="str">
        <f>IFERROR(__xludf.DUMMYFUNCTION("""COMPUTED_VALUE"""),"H")</f>
        <v>H</v>
      </c>
      <c r="H2958" s="9" t="str">
        <f>IFERROR(__xludf.DUMMYFUNCTION("""COMPUTED_VALUE"""),"HGM")</f>
        <v>HGM</v>
      </c>
      <c r="I2958" s="9" t="str">
        <f>IFERROR(__xludf.DUMMYFUNCTION("""COMPUTED_VALUE"""),"Met")</f>
        <v>Met</v>
      </c>
      <c r="J2958" s="9" t="str">
        <f>IFERROR(__xludf.DUMMYFUNCTION("""COMPUTED_VALUE"""),"Pn")</f>
        <v>Pn</v>
      </c>
      <c r="K2958" s="9" t="str">
        <f>IFERROR(__xludf.DUMMYFUNCTION("""COMPUTED_VALUE"""),"PnTg")</f>
        <v>PnTg</v>
      </c>
      <c r="L2958" s="9" t="str">
        <f>IFERROR(__xludf.DUMMYFUNCTION("""COMPUTED_VALUE"""),"PnRa")</f>
        <v>PnRa</v>
      </c>
      <c r="M2958" s="9" t="str">
        <f>IFERROR(__xludf.DUMMYFUNCTION("""COMPUTED_VALUE"""),"RIP")</f>
        <v>RIP</v>
      </c>
      <c r="N2958" s="9"/>
      <c r="O2958" s="9"/>
      <c r="P2958" s="9"/>
      <c r="Q2958" s="9"/>
      <c r="R2958" s="9"/>
      <c r="S2958" s="42"/>
      <c r="T2958" s="42"/>
      <c r="U2958" s="42" t="b">
        <f>IFERROR(__xludf.DUMMYFUNCTION("""COMPUTED_VALUE"""),TRUE)</f>
        <v>1</v>
      </c>
      <c r="V2958" s="42"/>
      <c r="W2958" s="42"/>
      <c r="X2958" s="42"/>
      <c r="Y2958" s="42" t="str">
        <f>IFERROR(__xludf.DUMMYFUNCTION("""COMPUTED_VALUE"""),"pause neuron")</f>
        <v>pause neuron</v>
      </c>
      <c r="Z2958" s="42"/>
      <c r="AA2958" s="42"/>
      <c r="AB2958" s="42" t="str">
        <f>IFERROR(__xludf.DUMMYFUNCTION("""COMPUTED_VALUE"""),"allen institute")</f>
        <v>allen institute</v>
      </c>
      <c r="AC2958" s="42" t="str">
        <f>IFERROR(__xludf.DUMMYFUNCTION("""COMPUTED_VALUE"""),"DHBA")</f>
        <v>DHBA</v>
      </c>
      <c r="AD2958" s="42"/>
      <c r="AE2958" s="42"/>
      <c r="AF2958" s="9"/>
      <c r="AG2958" s="9"/>
      <c r="AH2958" s="42"/>
      <c r="AI2958" s="42"/>
      <c r="AJ2958" s="42"/>
      <c r="AK2958" s="42"/>
      <c r="AL2958" s="42"/>
      <c r="AM2958" s="42"/>
      <c r="AN2958" s="42"/>
      <c r="AO2958" s="63" t="str">
        <f>IFERROR(__xludf.DUMMYFUNCTION("IF(ISBLANK(A2958),,IF(ISBLANK(S2958), A2958&amp;"";"", TEXTJOIN(CHAR(10), TRUE, A2958&amp;"";"", ARRAYFORMULA(VLOOKUP(SPLIT(S2958, "";"" &amp; CHAR(10)), $A:$AO, 41, FALSE)))))"),"RIP;")</f>
        <v>RIP;</v>
      </c>
      <c r="AP2958" s="89"/>
    </row>
    <row r="2959">
      <c r="A2959" s="151" t="str">
        <f>IFERROR(__xludf.DUMMYFUNCTION("""COMPUTED_VALUE"""),"PnRF")</f>
        <v>PnRF</v>
      </c>
      <c r="B2959" s="42" t="str">
        <f>IFERROR(__xludf.DUMMYFUNCTION("""COMPUTED_VALUE"""),"DHBA")</f>
        <v>DHBA</v>
      </c>
      <c r="C2959" s="42" t="str">
        <f>IFERROR(__xludf.DUMMYFUNCTION("""COMPUTED_VALUE"""),"pontine reticular formation;")</f>
        <v>pontine reticular formation;</v>
      </c>
      <c r="D2959" s="42">
        <f>IFERROR(__xludf.DUMMYFUNCTION("""COMPUTED_VALUE"""),2819.0)</f>
        <v>2819</v>
      </c>
      <c r="E2959" s="39" t="str">
        <f>IFERROR(__xludf.DUMMYFUNCTION("""COMPUTED_VALUE"""),"Pontine reticular formation")</f>
        <v>Pontine reticular formation</v>
      </c>
      <c r="F2959" s="9" t="str">
        <f>IFERROR(__xludf.DUMMYFUNCTION("""COMPUTED_VALUE"""),"Br")</f>
        <v>Br</v>
      </c>
      <c r="G2959" s="9" t="str">
        <f>IFERROR(__xludf.DUMMYFUNCTION("""COMPUTED_VALUE"""),"H")</f>
        <v>H</v>
      </c>
      <c r="H2959" s="9" t="str">
        <f>IFERROR(__xludf.DUMMYFUNCTION("""COMPUTED_VALUE"""),"HGM")</f>
        <v>HGM</v>
      </c>
      <c r="I2959" s="9" t="str">
        <f>IFERROR(__xludf.DUMMYFUNCTION("""COMPUTED_VALUE"""),"Met")</f>
        <v>Met</v>
      </c>
      <c r="J2959" s="9" t="str">
        <f>IFERROR(__xludf.DUMMYFUNCTION("""COMPUTED_VALUE"""),"Pn")</f>
        <v>Pn</v>
      </c>
      <c r="K2959" s="9" t="str">
        <f>IFERROR(__xludf.DUMMYFUNCTION("""COMPUTED_VALUE"""),"PnTg")</f>
        <v>PnTg</v>
      </c>
      <c r="L2959" s="9" t="str">
        <f>IFERROR(__xludf.DUMMYFUNCTION("""COMPUTED_VALUE"""),"PnRF")</f>
        <v>PnRF</v>
      </c>
      <c r="M2959" s="9"/>
      <c r="N2959" s="9"/>
      <c r="O2959" s="9"/>
      <c r="P2959" s="9"/>
      <c r="Q2959" s="9"/>
      <c r="R2959" s="9"/>
      <c r="S2959" s="42" t="str">
        <f>IFERROR(__xludf.DUMMYFUNCTION("""COMPUTED_VALUE"""),"PB;
PnRt")</f>
        <v>PB;
PnRt</v>
      </c>
      <c r="T2959" s="42"/>
      <c r="U2959" s="42" t="b">
        <f>IFERROR(__xludf.DUMMYFUNCTION("""COMPUTED_VALUE"""),FALSE)</f>
        <v>0</v>
      </c>
      <c r="V2959" s="42"/>
      <c r="W2959" s="42" t="str">
        <f>IFERROR(__xludf.DUMMYFUNCTION("""COMPUTED_VALUE"""),"Excitatory")</f>
        <v>Excitatory</v>
      </c>
      <c r="X2959" s="42"/>
      <c r="Y2959" s="42"/>
      <c r="Z2959" s="42"/>
      <c r="AA2959" s="42"/>
      <c r="AB2959" s="42" t="str">
        <f>IFERROR(__xludf.DUMMYFUNCTION("""COMPUTED_VALUE"""),"allen institute")</f>
        <v>allen institute</v>
      </c>
      <c r="AC2959" s="42" t="str">
        <f>IFERROR(__xludf.DUMMYFUNCTION("""COMPUTED_VALUE"""),"DHBA")</f>
        <v>DHBA</v>
      </c>
      <c r="AD2959" s="42"/>
      <c r="AE2959" s="42"/>
      <c r="AF2959" s="9"/>
      <c r="AG2959" s="9"/>
      <c r="AH2959" s="42"/>
      <c r="AI2959" s="42"/>
      <c r="AJ2959" s="42"/>
      <c r="AK2959" s="42"/>
      <c r="AL2959" s="42"/>
      <c r="AM2959" s="42"/>
      <c r="AN2959" s="42"/>
      <c r="AO2959" s="63" t="str">
        <f>IFERROR(__xludf.DUMMYFUNCTION("IF(ISBLANK(A2959),,IF(ISBLANK(S2959), A2959&amp;"";"", TEXTJOIN(CHAR(10), TRUE, A2959&amp;"";"", ARRAYFORMULA(VLOOKUP(SPLIT(S2959, "";"" &amp; CHAR(10)), $A:$AO, 41, FALSE)))))"),"PnRF;
PB;
LPB;
LPBc;
LPBd;
LPBe;
LPBs;
MPB;
MPBe;
MPBm;
SPP;
SPB;
PnRt;
PnC;
PnO;
PLN;
PMN;
RtTg;
RtTgD;")</f>
        <v>PnRF;
PB;
LPB;
LPBc;
LPBd;
LPBe;
LPBs;
MPB;
MPBe;
MPBm;
SPP;
SPB;
PnRt;
PnC;
PnO;
PLN;
PMN;
RtTg;
RtTgD;</v>
      </c>
      <c r="AP2959" s="89"/>
    </row>
    <row r="2960">
      <c r="A2960" s="151" t="str">
        <f>IFERROR(__xludf.DUMMYFUNCTION("""COMPUTED_VALUE"""),"PB")</f>
        <v>PB</v>
      </c>
      <c r="B2960" s="42" t="str">
        <f>IFERROR(__xludf.DUMMYFUNCTION("""COMPUTED_VALUE"""),"DHBA")</f>
        <v>DHBA</v>
      </c>
      <c r="C2960" s="42" t="str">
        <f>IFERROR(__xludf.DUMMYFUNCTION("""COMPUTED_VALUE"""),"Parabrachial nucleus, parabrachial neclei")</f>
        <v>Parabrachial nucleus, parabrachial neclei</v>
      </c>
      <c r="D2960" s="42">
        <f>IFERROR(__xludf.DUMMYFUNCTION("""COMPUTED_VALUE"""),2820.0)</f>
        <v>2820</v>
      </c>
      <c r="E2960" s="39" t="str">
        <f>IFERROR(__xludf.DUMMYFUNCTION("""COMPUTED_VALUE"""),"parabrachial nuclei")</f>
        <v>parabrachial nuclei</v>
      </c>
      <c r="F2960" s="9" t="str">
        <f>IFERROR(__xludf.DUMMYFUNCTION("""COMPUTED_VALUE"""),"Br")</f>
        <v>Br</v>
      </c>
      <c r="G2960" s="9" t="str">
        <f>IFERROR(__xludf.DUMMYFUNCTION("""COMPUTED_VALUE"""),"H")</f>
        <v>H</v>
      </c>
      <c r="H2960" s="9" t="str">
        <f>IFERROR(__xludf.DUMMYFUNCTION("""COMPUTED_VALUE"""),"HGM")</f>
        <v>HGM</v>
      </c>
      <c r="I2960" s="9" t="str">
        <f>IFERROR(__xludf.DUMMYFUNCTION("""COMPUTED_VALUE"""),"Met")</f>
        <v>Met</v>
      </c>
      <c r="J2960" s="9" t="str">
        <f>IFERROR(__xludf.DUMMYFUNCTION("""COMPUTED_VALUE"""),"Pn")</f>
        <v>Pn</v>
      </c>
      <c r="K2960" s="9" t="str">
        <f>IFERROR(__xludf.DUMMYFUNCTION("""COMPUTED_VALUE"""),"PnTg")</f>
        <v>PnTg</v>
      </c>
      <c r="L2960" s="9" t="str">
        <f>IFERROR(__xludf.DUMMYFUNCTION("""COMPUTED_VALUE"""),"PnRF")</f>
        <v>PnRF</v>
      </c>
      <c r="M2960" s="9" t="str">
        <f>IFERROR(__xludf.DUMMYFUNCTION("""COMPUTED_VALUE"""),"PB")</f>
        <v>PB</v>
      </c>
      <c r="N2960" s="9"/>
      <c r="O2960" s="9"/>
      <c r="P2960" s="9"/>
      <c r="Q2960" s="9"/>
      <c r="R2960" s="9"/>
      <c r="S2960" s="42" t="str">
        <f>IFERROR(__xludf.DUMMYFUNCTION("""COMPUTED_VALUE"""),"LPB;
MPB;
SPP;
SPB")</f>
        <v>LPB;
MPB;
SPP;
SPB</v>
      </c>
      <c r="T2960" s="42"/>
      <c r="U2960" s="42" t="b">
        <f>IFERROR(__xludf.DUMMYFUNCTION("""COMPUTED_VALUE"""),FALSE)</f>
        <v>0</v>
      </c>
      <c r="V2960" s="42"/>
      <c r="W2960" s="42"/>
      <c r="X2960" s="42"/>
      <c r="Y2960" s="42"/>
      <c r="Z2960" s="42"/>
      <c r="AA2960" s="42"/>
      <c r="AB2960" s="42" t="str">
        <f>IFERROR(__xludf.DUMMYFUNCTION("""COMPUTED_VALUE"""),"allen institute")</f>
        <v>allen institute</v>
      </c>
      <c r="AC2960" s="42" t="str">
        <f>IFERROR(__xludf.DUMMYFUNCTION("""COMPUTED_VALUE"""),"DHBA")</f>
        <v>DHBA</v>
      </c>
      <c r="AD2960" s="42"/>
      <c r="AE2960" s="42"/>
      <c r="AF2960" s="9"/>
      <c r="AG2960" s="9"/>
      <c r="AH2960" s="42"/>
      <c r="AI2960" s="42"/>
      <c r="AJ2960" s="42"/>
      <c r="AK2960" s="42"/>
      <c r="AL2960" s="42"/>
      <c r="AM2960" s="42"/>
      <c r="AN2960" s="42"/>
      <c r="AO2960" s="63" t="str">
        <f>IFERROR(__xludf.DUMMYFUNCTION("IF(ISBLANK(A2960),,IF(ISBLANK(S2960), A2960&amp;"";"", TEXTJOIN(CHAR(10), TRUE, A2960&amp;"";"", ARRAYFORMULA(VLOOKUP(SPLIT(S2960, "";"" &amp; CHAR(10)), $A:$AO, 41, FALSE)))))"),"PB;
LPB;
LPBc;
LPBd;
LPBe;
LPBs;
MPB;
MPBe;
MPBm;
SPP;
SPB;")</f>
        <v>PB;
LPB;
LPBc;
LPBd;
LPBe;
LPBs;
MPB;
MPBe;
MPBm;
SPP;
SPB;</v>
      </c>
      <c r="AP2960" s="89"/>
    </row>
    <row r="2961">
      <c r="A2961" s="151" t="str">
        <f>IFERROR(__xludf.DUMMYFUNCTION("""COMPUTED_VALUE"""),"LPB")</f>
        <v>LPB</v>
      </c>
      <c r="B2961" s="42" t="str">
        <f>IFERROR(__xludf.DUMMYFUNCTION("""COMPUTED_VALUE"""),"DHBA")</f>
        <v>DHBA</v>
      </c>
      <c r="C2961" s="42" t="str">
        <f>IFERROR(__xludf.DUMMYFUNCTION("""COMPUTED_VALUE"""),"lateral parabrachial nucleus")</f>
        <v>lateral parabrachial nucleus</v>
      </c>
      <c r="D2961" s="42">
        <f>IFERROR(__xludf.DUMMYFUNCTION("""COMPUTED_VALUE"""),2821.0)</f>
        <v>2821</v>
      </c>
      <c r="E2961" s="39" t="str">
        <f>IFERROR(__xludf.DUMMYFUNCTION("""COMPUTED_VALUE"""),"lateral parabrachial nucleus")</f>
        <v>lateral parabrachial nucleus</v>
      </c>
      <c r="F2961" s="9" t="str">
        <f>IFERROR(__xludf.DUMMYFUNCTION("""COMPUTED_VALUE"""),"Br")</f>
        <v>Br</v>
      </c>
      <c r="G2961" s="9" t="str">
        <f>IFERROR(__xludf.DUMMYFUNCTION("""COMPUTED_VALUE"""),"H")</f>
        <v>H</v>
      </c>
      <c r="H2961" s="9" t="str">
        <f>IFERROR(__xludf.DUMMYFUNCTION("""COMPUTED_VALUE"""),"HGM")</f>
        <v>HGM</v>
      </c>
      <c r="I2961" s="9" t="str">
        <f>IFERROR(__xludf.DUMMYFUNCTION("""COMPUTED_VALUE"""),"Met")</f>
        <v>Met</v>
      </c>
      <c r="J2961" s="9" t="str">
        <f>IFERROR(__xludf.DUMMYFUNCTION("""COMPUTED_VALUE"""),"Pn")</f>
        <v>Pn</v>
      </c>
      <c r="K2961" s="9" t="str">
        <f>IFERROR(__xludf.DUMMYFUNCTION("""COMPUTED_VALUE"""),"PnTg")</f>
        <v>PnTg</v>
      </c>
      <c r="L2961" s="9" t="str">
        <f>IFERROR(__xludf.DUMMYFUNCTION("""COMPUTED_VALUE"""),"PnRF")</f>
        <v>PnRF</v>
      </c>
      <c r="M2961" s="9" t="str">
        <f>IFERROR(__xludf.DUMMYFUNCTION("""COMPUTED_VALUE"""),"PB")</f>
        <v>PB</v>
      </c>
      <c r="N2961" s="9" t="str">
        <f>IFERROR(__xludf.DUMMYFUNCTION("""COMPUTED_VALUE"""),"LPB")</f>
        <v>LPB</v>
      </c>
      <c r="O2961" s="9"/>
      <c r="P2961" s="9"/>
      <c r="Q2961" s="9"/>
      <c r="R2961" s="9"/>
      <c r="S2961" s="42" t="str">
        <f>IFERROR(__xludf.DUMMYFUNCTION("""COMPUTED_VALUE"""),"LPBc;
LPBd;
LPBe;
LPBs")</f>
        <v>LPBc;
LPBd;
LPBe;
LPBs</v>
      </c>
      <c r="T2961" s="42"/>
      <c r="U2961" s="42" t="b">
        <f>IFERROR(__xludf.DUMMYFUNCTION("""COMPUTED_VALUE"""),FALSE)</f>
        <v>0</v>
      </c>
      <c r="V2961" s="42"/>
      <c r="W2961" s="42"/>
      <c r="X2961" s="42"/>
      <c r="Y2961" s="42"/>
      <c r="Z2961" s="42"/>
      <c r="AA2961" s="42"/>
      <c r="AB2961" s="42" t="str">
        <f>IFERROR(__xludf.DUMMYFUNCTION("""COMPUTED_VALUE"""),"allen institute")</f>
        <v>allen institute</v>
      </c>
      <c r="AC2961" s="42" t="str">
        <f>IFERROR(__xludf.DUMMYFUNCTION("""COMPUTED_VALUE"""),"DHBA")</f>
        <v>DHBA</v>
      </c>
      <c r="AD2961" s="42"/>
      <c r="AE2961" s="42"/>
      <c r="AF2961" s="9"/>
      <c r="AG2961" s="9"/>
      <c r="AH2961" s="42"/>
      <c r="AI2961" s="42"/>
      <c r="AJ2961" s="42"/>
      <c r="AK2961" s="42"/>
      <c r="AL2961" s="42"/>
      <c r="AM2961" s="42"/>
      <c r="AN2961" s="42"/>
      <c r="AO2961" s="63" t="str">
        <f>IFERROR(__xludf.DUMMYFUNCTION("IF(ISBLANK(A2961),,IF(ISBLANK(S2961), A2961&amp;"";"", TEXTJOIN(CHAR(10), TRUE, A2961&amp;"";"", ARRAYFORMULA(VLOOKUP(SPLIT(S2961, "";"" &amp; CHAR(10)), $A:$AO, 41, FALSE)))))"),"LPB;
LPBc;
LPBd;
LPBe;
LPBs;")</f>
        <v>LPB;
LPBc;
LPBd;
LPBe;
LPBs;</v>
      </c>
      <c r="AP2961" s="89"/>
    </row>
    <row r="2962">
      <c r="A2962" s="151" t="str">
        <f>IFERROR(__xludf.DUMMYFUNCTION("""COMPUTED_VALUE"""),"LPBc")</f>
        <v>LPBc</v>
      </c>
      <c r="B2962" s="42" t="str">
        <f>IFERROR(__xludf.DUMMYFUNCTION("""COMPUTED_VALUE"""),"DHBA")</f>
        <v>DHBA</v>
      </c>
      <c r="C2962" s="42" t="str">
        <f>IFERROR(__xludf.DUMMYFUNCTION("""COMPUTED_VALUE"""),"lateral parabrachial nucleus, central part")</f>
        <v>lateral parabrachial nucleus, central part</v>
      </c>
      <c r="D2962" s="42">
        <f>IFERROR(__xludf.DUMMYFUNCTION("""COMPUTED_VALUE"""),2822.0)</f>
        <v>2822</v>
      </c>
      <c r="E2962" s="39" t="str">
        <f>IFERROR(__xludf.DUMMYFUNCTION("""COMPUTED_VALUE"""),"lateral parabrachial nucleus, central part")</f>
        <v>lateral parabrachial nucleus, central part</v>
      </c>
      <c r="F2962" s="9" t="str">
        <f>IFERROR(__xludf.DUMMYFUNCTION("""COMPUTED_VALUE"""),"Br")</f>
        <v>Br</v>
      </c>
      <c r="G2962" s="9" t="str">
        <f>IFERROR(__xludf.DUMMYFUNCTION("""COMPUTED_VALUE"""),"H")</f>
        <v>H</v>
      </c>
      <c r="H2962" s="9" t="str">
        <f>IFERROR(__xludf.DUMMYFUNCTION("""COMPUTED_VALUE"""),"HGM")</f>
        <v>HGM</v>
      </c>
      <c r="I2962" s="9" t="str">
        <f>IFERROR(__xludf.DUMMYFUNCTION("""COMPUTED_VALUE"""),"Met")</f>
        <v>Met</v>
      </c>
      <c r="J2962" s="9" t="str">
        <f>IFERROR(__xludf.DUMMYFUNCTION("""COMPUTED_VALUE"""),"Pn")</f>
        <v>Pn</v>
      </c>
      <c r="K2962" s="9" t="str">
        <f>IFERROR(__xludf.DUMMYFUNCTION("""COMPUTED_VALUE"""),"PnTg")</f>
        <v>PnTg</v>
      </c>
      <c r="L2962" s="9" t="str">
        <f>IFERROR(__xludf.DUMMYFUNCTION("""COMPUTED_VALUE"""),"PnRF")</f>
        <v>PnRF</v>
      </c>
      <c r="M2962" s="9" t="str">
        <f>IFERROR(__xludf.DUMMYFUNCTION("""COMPUTED_VALUE"""),"PB")</f>
        <v>PB</v>
      </c>
      <c r="N2962" s="9" t="str">
        <f>IFERROR(__xludf.DUMMYFUNCTION("""COMPUTED_VALUE"""),"LPB")</f>
        <v>LPB</v>
      </c>
      <c r="O2962" s="9" t="str">
        <f>IFERROR(__xludf.DUMMYFUNCTION("""COMPUTED_VALUE"""),"LPBc")</f>
        <v>LPBc</v>
      </c>
      <c r="P2962" s="9"/>
      <c r="Q2962" s="9"/>
      <c r="R2962" s="9"/>
      <c r="S2962" s="42"/>
      <c r="T2962" s="42"/>
      <c r="U2962" s="42"/>
      <c r="V2962" s="42"/>
      <c r="W2962" s="42"/>
      <c r="X2962" s="42"/>
      <c r="Y2962" s="42"/>
      <c r="Z2962" s="42"/>
      <c r="AA2962" s="42"/>
      <c r="AB2962" s="42" t="str">
        <f>IFERROR(__xludf.DUMMYFUNCTION("""COMPUTED_VALUE"""),"allen institute")</f>
        <v>allen institute</v>
      </c>
      <c r="AC2962" s="42" t="str">
        <f>IFERROR(__xludf.DUMMYFUNCTION("""COMPUTED_VALUE"""),"DHBA")</f>
        <v>DHBA</v>
      </c>
      <c r="AD2962" s="42"/>
      <c r="AE2962" s="42"/>
      <c r="AF2962" s="9"/>
      <c r="AG2962" s="9"/>
      <c r="AH2962" s="42"/>
      <c r="AI2962" s="42"/>
      <c r="AJ2962" s="42"/>
      <c r="AK2962" s="42"/>
      <c r="AL2962" s="42"/>
      <c r="AM2962" s="42"/>
      <c r="AN2962" s="42"/>
      <c r="AO2962" s="63" t="str">
        <f>IFERROR(__xludf.DUMMYFUNCTION("IF(ISBLANK(A2962),,IF(ISBLANK(S2962), A2962&amp;"";"", TEXTJOIN(CHAR(10), TRUE, A2962&amp;"";"", ARRAYFORMULA(VLOOKUP(SPLIT(S2962, "";"" &amp; CHAR(10)), $A:$AO, 41, FALSE)))))"),"LPBc;")</f>
        <v>LPBc;</v>
      </c>
      <c r="AP2962" s="89"/>
    </row>
    <row r="2963">
      <c r="A2963" s="151" t="str">
        <f>IFERROR(__xludf.DUMMYFUNCTION("""COMPUTED_VALUE"""),"LPBd")</f>
        <v>LPBd</v>
      </c>
      <c r="B2963" s="42" t="str">
        <f>IFERROR(__xludf.DUMMYFUNCTION("""COMPUTED_VALUE"""),"DHBA")</f>
        <v>DHBA</v>
      </c>
      <c r="C2963" s="42" t="str">
        <f>IFERROR(__xludf.DUMMYFUNCTION("""COMPUTED_VALUE"""),"lateral parabrachial nucleus, dorsal part")</f>
        <v>lateral parabrachial nucleus, dorsal part</v>
      </c>
      <c r="D2963" s="42">
        <f>IFERROR(__xludf.DUMMYFUNCTION("""COMPUTED_VALUE"""),2823.0)</f>
        <v>2823</v>
      </c>
      <c r="E2963" s="39" t="str">
        <f>IFERROR(__xludf.DUMMYFUNCTION("""COMPUTED_VALUE"""),"lateral parabrachial nucleus, dorsal part")</f>
        <v>lateral parabrachial nucleus, dorsal part</v>
      </c>
      <c r="F2963" s="9" t="str">
        <f>IFERROR(__xludf.DUMMYFUNCTION("""COMPUTED_VALUE"""),"Br")</f>
        <v>Br</v>
      </c>
      <c r="G2963" s="9" t="str">
        <f>IFERROR(__xludf.DUMMYFUNCTION("""COMPUTED_VALUE"""),"H")</f>
        <v>H</v>
      </c>
      <c r="H2963" s="9" t="str">
        <f>IFERROR(__xludf.DUMMYFUNCTION("""COMPUTED_VALUE"""),"HGM")</f>
        <v>HGM</v>
      </c>
      <c r="I2963" s="9" t="str">
        <f>IFERROR(__xludf.DUMMYFUNCTION("""COMPUTED_VALUE"""),"Met")</f>
        <v>Met</v>
      </c>
      <c r="J2963" s="9" t="str">
        <f>IFERROR(__xludf.DUMMYFUNCTION("""COMPUTED_VALUE"""),"Pn")</f>
        <v>Pn</v>
      </c>
      <c r="K2963" s="9" t="str">
        <f>IFERROR(__xludf.DUMMYFUNCTION("""COMPUTED_VALUE"""),"PnTg")</f>
        <v>PnTg</v>
      </c>
      <c r="L2963" s="9" t="str">
        <f>IFERROR(__xludf.DUMMYFUNCTION("""COMPUTED_VALUE"""),"PnRF")</f>
        <v>PnRF</v>
      </c>
      <c r="M2963" s="9" t="str">
        <f>IFERROR(__xludf.DUMMYFUNCTION("""COMPUTED_VALUE"""),"PB")</f>
        <v>PB</v>
      </c>
      <c r="N2963" s="9" t="str">
        <f>IFERROR(__xludf.DUMMYFUNCTION("""COMPUTED_VALUE"""),"LPB")</f>
        <v>LPB</v>
      </c>
      <c r="O2963" s="9" t="str">
        <f>IFERROR(__xludf.DUMMYFUNCTION("""COMPUTED_VALUE"""),"LPBd")</f>
        <v>LPBd</v>
      </c>
      <c r="P2963" s="9"/>
      <c r="Q2963" s="9"/>
      <c r="R2963" s="9"/>
      <c r="S2963" s="42"/>
      <c r="T2963" s="42"/>
      <c r="U2963" s="42"/>
      <c r="V2963" s="42"/>
      <c r="W2963" s="42"/>
      <c r="X2963" s="42"/>
      <c r="Y2963" s="42"/>
      <c r="Z2963" s="42"/>
      <c r="AA2963" s="42"/>
      <c r="AB2963" s="42" t="str">
        <f>IFERROR(__xludf.DUMMYFUNCTION("""COMPUTED_VALUE"""),"allen institute")</f>
        <v>allen institute</v>
      </c>
      <c r="AC2963" s="42" t="str">
        <f>IFERROR(__xludf.DUMMYFUNCTION("""COMPUTED_VALUE"""),"DHBA")</f>
        <v>DHBA</v>
      </c>
      <c r="AD2963" s="42"/>
      <c r="AE2963" s="42"/>
      <c r="AF2963" s="9"/>
      <c r="AG2963" s="9"/>
      <c r="AH2963" s="42"/>
      <c r="AI2963" s="42"/>
      <c r="AJ2963" s="42"/>
      <c r="AK2963" s="42"/>
      <c r="AL2963" s="42"/>
      <c r="AM2963" s="42"/>
      <c r="AN2963" s="42"/>
      <c r="AO2963" s="63" t="str">
        <f>IFERROR(__xludf.DUMMYFUNCTION("IF(ISBLANK(A2963),,IF(ISBLANK(S2963), A2963&amp;"";"", TEXTJOIN(CHAR(10), TRUE, A2963&amp;"";"", ARRAYFORMULA(VLOOKUP(SPLIT(S2963, "";"" &amp; CHAR(10)), $A:$AO, 41, FALSE)))))"),"LPBd;")</f>
        <v>LPBd;</v>
      </c>
      <c r="AP2963" s="89"/>
    </row>
    <row r="2964">
      <c r="A2964" s="151" t="str">
        <f>IFERROR(__xludf.DUMMYFUNCTION("""COMPUTED_VALUE"""),"LPBe")</f>
        <v>LPBe</v>
      </c>
      <c r="B2964" s="42" t="str">
        <f>IFERROR(__xludf.DUMMYFUNCTION("""COMPUTED_VALUE"""),"DHBA")</f>
        <v>DHBA</v>
      </c>
      <c r="C2964" s="42" t="str">
        <f>IFERROR(__xludf.DUMMYFUNCTION("""COMPUTED_VALUE"""),"lateral parabrachial nucleus, external part")</f>
        <v>lateral parabrachial nucleus, external part</v>
      </c>
      <c r="D2964" s="42">
        <f>IFERROR(__xludf.DUMMYFUNCTION("""COMPUTED_VALUE"""),2824.0)</f>
        <v>2824</v>
      </c>
      <c r="E2964" s="39" t="str">
        <f>IFERROR(__xludf.DUMMYFUNCTION("""COMPUTED_VALUE"""),"lateral parabrachial nucleus, external part")</f>
        <v>lateral parabrachial nucleus, external part</v>
      </c>
      <c r="F2964" s="9" t="str">
        <f>IFERROR(__xludf.DUMMYFUNCTION("""COMPUTED_VALUE"""),"Br")</f>
        <v>Br</v>
      </c>
      <c r="G2964" s="9" t="str">
        <f>IFERROR(__xludf.DUMMYFUNCTION("""COMPUTED_VALUE"""),"H")</f>
        <v>H</v>
      </c>
      <c r="H2964" s="9" t="str">
        <f>IFERROR(__xludf.DUMMYFUNCTION("""COMPUTED_VALUE"""),"HGM")</f>
        <v>HGM</v>
      </c>
      <c r="I2964" s="9" t="str">
        <f>IFERROR(__xludf.DUMMYFUNCTION("""COMPUTED_VALUE"""),"Met")</f>
        <v>Met</v>
      </c>
      <c r="J2964" s="9" t="str">
        <f>IFERROR(__xludf.DUMMYFUNCTION("""COMPUTED_VALUE"""),"Pn")</f>
        <v>Pn</v>
      </c>
      <c r="K2964" s="9" t="str">
        <f>IFERROR(__xludf.DUMMYFUNCTION("""COMPUTED_VALUE"""),"PnTg")</f>
        <v>PnTg</v>
      </c>
      <c r="L2964" s="9" t="str">
        <f>IFERROR(__xludf.DUMMYFUNCTION("""COMPUTED_VALUE"""),"PnRF")</f>
        <v>PnRF</v>
      </c>
      <c r="M2964" s="9" t="str">
        <f>IFERROR(__xludf.DUMMYFUNCTION("""COMPUTED_VALUE"""),"PB")</f>
        <v>PB</v>
      </c>
      <c r="N2964" s="9" t="str">
        <f>IFERROR(__xludf.DUMMYFUNCTION("""COMPUTED_VALUE"""),"LPB")</f>
        <v>LPB</v>
      </c>
      <c r="O2964" s="9" t="str">
        <f>IFERROR(__xludf.DUMMYFUNCTION("""COMPUTED_VALUE"""),"LPBe")</f>
        <v>LPBe</v>
      </c>
      <c r="P2964" s="9"/>
      <c r="Q2964" s="9"/>
      <c r="R2964" s="9"/>
      <c r="S2964" s="42"/>
      <c r="T2964" s="42"/>
      <c r="U2964" s="42"/>
      <c r="V2964" s="42"/>
      <c r="W2964" s="42"/>
      <c r="X2964" s="42"/>
      <c r="Y2964" s="42"/>
      <c r="Z2964" s="42"/>
      <c r="AA2964" s="42"/>
      <c r="AB2964" s="42" t="str">
        <f>IFERROR(__xludf.DUMMYFUNCTION("""COMPUTED_VALUE"""),"allen institute")</f>
        <v>allen institute</v>
      </c>
      <c r="AC2964" s="42" t="str">
        <f>IFERROR(__xludf.DUMMYFUNCTION("""COMPUTED_VALUE"""),"DHBA")</f>
        <v>DHBA</v>
      </c>
      <c r="AD2964" s="42"/>
      <c r="AE2964" s="42"/>
      <c r="AF2964" s="9"/>
      <c r="AG2964" s="9"/>
      <c r="AH2964" s="42"/>
      <c r="AI2964" s="42"/>
      <c r="AJ2964" s="42"/>
      <c r="AK2964" s="42"/>
      <c r="AL2964" s="42"/>
      <c r="AM2964" s="42"/>
      <c r="AN2964" s="42"/>
      <c r="AO2964" s="63" t="str">
        <f>IFERROR(__xludf.DUMMYFUNCTION("IF(ISBLANK(A2964),,IF(ISBLANK(S2964), A2964&amp;"";"", TEXTJOIN(CHAR(10), TRUE, A2964&amp;"";"", ARRAYFORMULA(VLOOKUP(SPLIT(S2964, "";"" &amp; CHAR(10)), $A:$AO, 41, FALSE)))))"),"LPBe;")</f>
        <v>LPBe;</v>
      </c>
      <c r="AP2964" s="89"/>
    </row>
    <row r="2965">
      <c r="A2965" s="151" t="str">
        <f>IFERROR(__xludf.DUMMYFUNCTION("""COMPUTED_VALUE"""),"LPBs")</f>
        <v>LPBs</v>
      </c>
      <c r="B2965" s="42" t="str">
        <f>IFERROR(__xludf.DUMMYFUNCTION("""COMPUTED_VALUE"""),"DHBA")</f>
        <v>DHBA</v>
      </c>
      <c r="C2965" s="42" t="str">
        <f>IFERROR(__xludf.DUMMYFUNCTION("""COMPUTED_VALUE"""),"lateral parabrachial nucleus, superior part")</f>
        <v>lateral parabrachial nucleus, superior part</v>
      </c>
      <c r="D2965" s="42">
        <f>IFERROR(__xludf.DUMMYFUNCTION("""COMPUTED_VALUE"""),2825.0)</f>
        <v>2825</v>
      </c>
      <c r="E2965" s="39" t="str">
        <f>IFERROR(__xludf.DUMMYFUNCTION("""COMPUTED_VALUE"""),"lateral parabrachial nucleus, superior part")</f>
        <v>lateral parabrachial nucleus, superior part</v>
      </c>
      <c r="F2965" s="9" t="str">
        <f>IFERROR(__xludf.DUMMYFUNCTION("""COMPUTED_VALUE"""),"Br")</f>
        <v>Br</v>
      </c>
      <c r="G2965" s="9" t="str">
        <f>IFERROR(__xludf.DUMMYFUNCTION("""COMPUTED_VALUE"""),"H")</f>
        <v>H</v>
      </c>
      <c r="H2965" s="9" t="str">
        <f>IFERROR(__xludf.DUMMYFUNCTION("""COMPUTED_VALUE"""),"HGM")</f>
        <v>HGM</v>
      </c>
      <c r="I2965" s="9" t="str">
        <f>IFERROR(__xludf.DUMMYFUNCTION("""COMPUTED_VALUE"""),"Met")</f>
        <v>Met</v>
      </c>
      <c r="J2965" s="9" t="str">
        <f>IFERROR(__xludf.DUMMYFUNCTION("""COMPUTED_VALUE"""),"Pn")</f>
        <v>Pn</v>
      </c>
      <c r="K2965" s="9" t="str">
        <f>IFERROR(__xludf.DUMMYFUNCTION("""COMPUTED_VALUE"""),"PnTg")</f>
        <v>PnTg</v>
      </c>
      <c r="L2965" s="9" t="str">
        <f>IFERROR(__xludf.DUMMYFUNCTION("""COMPUTED_VALUE"""),"PnRF")</f>
        <v>PnRF</v>
      </c>
      <c r="M2965" s="9" t="str">
        <f>IFERROR(__xludf.DUMMYFUNCTION("""COMPUTED_VALUE"""),"PB")</f>
        <v>PB</v>
      </c>
      <c r="N2965" s="9" t="str">
        <f>IFERROR(__xludf.DUMMYFUNCTION("""COMPUTED_VALUE"""),"LPB")</f>
        <v>LPB</v>
      </c>
      <c r="O2965" s="9" t="str">
        <f>IFERROR(__xludf.DUMMYFUNCTION("""COMPUTED_VALUE"""),"LPBs")</f>
        <v>LPBs</v>
      </c>
      <c r="P2965" s="9"/>
      <c r="Q2965" s="9"/>
      <c r="R2965" s="9"/>
      <c r="S2965" s="42"/>
      <c r="T2965" s="42"/>
      <c r="U2965" s="42"/>
      <c r="V2965" s="42"/>
      <c r="W2965" s="42"/>
      <c r="X2965" s="42"/>
      <c r="Y2965" s="42"/>
      <c r="Z2965" s="42"/>
      <c r="AA2965" s="42"/>
      <c r="AB2965" s="42" t="str">
        <f>IFERROR(__xludf.DUMMYFUNCTION("""COMPUTED_VALUE"""),"allen institute")</f>
        <v>allen institute</v>
      </c>
      <c r="AC2965" s="42" t="str">
        <f>IFERROR(__xludf.DUMMYFUNCTION("""COMPUTED_VALUE"""),"DHBA")</f>
        <v>DHBA</v>
      </c>
      <c r="AD2965" s="42"/>
      <c r="AE2965" s="42"/>
      <c r="AF2965" s="9"/>
      <c r="AG2965" s="9"/>
      <c r="AH2965" s="42"/>
      <c r="AI2965" s="42"/>
      <c r="AJ2965" s="42"/>
      <c r="AK2965" s="42"/>
      <c r="AL2965" s="42"/>
      <c r="AM2965" s="42"/>
      <c r="AN2965" s="42"/>
      <c r="AO2965" s="63" t="str">
        <f>IFERROR(__xludf.DUMMYFUNCTION("IF(ISBLANK(A2965),,IF(ISBLANK(S2965), A2965&amp;"";"", TEXTJOIN(CHAR(10), TRUE, A2965&amp;"";"", ARRAYFORMULA(VLOOKUP(SPLIT(S2965, "";"" &amp; CHAR(10)), $A:$AO, 41, FALSE)))))"),"LPBs;")</f>
        <v>LPBs;</v>
      </c>
      <c r="AP2965" s="89"/>
    </row>
    <row r="2966">
      <c r="A2966" s="151" t="str">
        <f>IFERROR(__xludf.DUMMYFUNCTION("""COMPUTED_VALUE"""),"MPB")</f>
        <v>MPB</v>
      </c>
      <c r="B2966" s="42" t="str">
        <f>IFERROR(__xludf.DUMMYFUNCTION("""COMPUTED_VALUE"""),"DHBA")</f>
        <v>DHBA</v>
      </c>
      <c r="C2966" s="42" t="str">
        <f>IFERROR(__xludf.DUMMYFUNCTION("""COMPUTED_VALUE"""),"medial parabrachial nucleus")</f>
        <v>medial parabrachial nucleus</v>
      </c>
      <c r="D2966" s="42">
        <f>IFERROR(__xludf.DUMMYFUNCTION("""COMPUTED_VALUE"""),2826.0)</f>
        <v>2826</v>
      </c>
      <c r="E2966" s="39" t="str">
        <f>IFERROR(__xludf.DUMMYFUNCTION("""COMPUTED_VALUE"""),"medial parabrachial nucleus")</f>
        <v>medial parabrachial nucleus</v>
      </c>
      <c r="F2966" s="9" t="str">
        <f>IFERROR(__xludf.DUMMYFUNCTION("""COMPUTED_VALUE"""),"Br")</f>
        <v>Br</v>
      </c>
      <c r="G2966" s="9" t="str">
        <f>IFERROR(__xludf.DUMMYFUNCTION("""COMPUTED_VALUE"""),"H")</f>
        <v>H</v>
      </c>
      <c r="H2966" s="9" t="str">
        <f>IFERROR(__xludf.DUMMYFUNCTION("""COMPUTED_VALUE"""),"HGM")</f>
        <v>HGM</v>
      </c>
      <c r="I2966" s="9" t="str">
        <f>IFERROR(__xludf.DUMMYFUNCTION("""COMPUTED_VALUE"""),"Met")</f>
        <v>Met</v>
      </c>
      <c r="J2966" s="9" t="str">
        <f>IFERROR(__xludf.DUMMYFUNCTION("""COMPUTED_VALUE"""),"Pn")</f>
        <v>Pn</v>
      </c>
      <c r="K2966" s="9" t="str">
        <f>IFERROR(__xludf.DUMMYFUNCTION("""COMPUTED_VALUE"""),"PnTg")</f>
        <v>PnTg</v>
      </c>
      <c r="L2966" s="9" t="str">
        <f>IFERROR(__xludf.DUMMYFUNCTION("""COMPUTED_VALUE"""),"PnRF")</f>
        <v>PnRF</v>
      </c>
      <c r="M2966" s="9" t="str">
        <f>IFERROR(__xludf.DUMMYFUNCTION("""COMPUTED_VALUE"""),"PB")</f>
        <v>PB</v>
      </c>
      <c r="N2966" s="9" t="str">
        <f>IFERROR(__xludf.DUMMYFUNCTION("""COMPUTED_VALUE"""),"MPB")</f>
        <v>MPB</v>
      </c>
      <c r="O2966" s="9"/>
      <c r="P2966" s="9"/>
      <c r="Q2966" s="9"/>
      <c r="R2966" s="9"/>
      <c r="S2966" s="42" t="str">
        <f>IFERROR(__xludf.DUMMYFUNCTION("""COMPUTED_VALUE"""),"MPBe;
MPBm")</f>
        <v>MPBe;
MPBm</v>
      </c>
      <c r="T2966" s="42"/>
      <c r="U2966" s="42" t="b">
        <f>IFERROR(__xludf.DUMMYFUNCTION("""COMPUTED_VALUE"""),FALSE)</f>
        <v>0</v>
      </c>
      <c r="V2966" s="42"/>
      <c r="W2966" s="42"/>
      <c r="X2966" s="42"/>
      <c r="Y2966" s="42"/>
      <c r="Z2966" s="42"/>
      <c r="AA2966" s="42"/>
      <c r="AB2966" s="42" t="str">
        <f>IFERROR(__xludf.DUMMYFUNCTION("""COMPUTED_VALUE"""),"allen institute")</f>
        <v>allen institute</v>
      </c>
      <c r="AC2966" s="42" t="str">
        <f>IFERROR(__xludf.DUMMYFUNCTION("""COMPUTED_VALUE"""),"DHBA")</f>
        <v>DHBA</v>
      </c>
      <c r="AD2966" s="42"/>
      <c r="AE2966" s="42"/>
      <c r="AF2966" s="9"/>
      <c r="AG2966" s="9"/>
      <c r="AH2966" s="42"/>
      <c r="AI2966" s="42"/>
      <c r="AJ2966" s="42"/>
      <c r="AK2966" s="42"/>
      <c r="AL2966" s="42"/>
      <c r="AM2966" s="42"/>
      <c r="AN2966" s="42"/>
      <c r="AO2966" s="63" t="str">
        <f>IFERROR(__xludf.DUMMYFUNCTION("IF(ISBLANK(A2966),,IF(ISBLANK(S2966), A2966&amp;"";"", TEXTJOIN(CHAR(10), TRUE, A2966&amp;"";"", ARRAYFORMULA(VLOOKUP(SPLIT(S2966, "";"" &amp; CHAR(10)), $A:$AO, 41, FALSE)))))"),"MPB;
MPBe;
MPBm;")</f>
        <v>MPB;
MPBe;
MPBm;</v>
      </c>
      <c r="AP2966" s="89"/>
    </row>
    <row r="2967">
      <c r="A2967" s="151" t="str">
        <f>IFERROR(__xludf.DUMMYFUNCTION("""COMPUTED_VALUE"""),"MPBe")</f>
        <v>MPBe</v>
      </c>
      <c r="B2967" s="42" t="str">
        <f>IFERROR(__xludf.DUMMYFUNCTION("""COMPUTED_VALUE"""),"DHBA")</f>
        <v>DHBA</v>
      </c>
      <c r="C2967" s="42" t="str">
        <f>IFERROR(__xludf.DUMMYFUNCTION("""COMPUTED_VALUE"""),"medial parabrachial nucleus, external part")</f>
        <v>medial parabrachial nucleus, external part</v>
      </c>
      <c r="D2967" s="42">
        <f>IFERROR(__xludf.DUMMYFUNCTION("""COMPUTED_VALUE"""),2827.0)</f>
        <v>2827</v>
      </c>
      <c r="E2967" s="39" t="str">
        <f>IFERROR(__xludf.DUMMYFUNCTION("""COMPUTED_VALUE"""),"medial parabrachial nucleus, external part")</f>
        <v>medial parabrachial nucleus, external part</v>
      </c>
      <c r="F2967" s="9" t="str">
        <f>IFERROR(__xludf.DUMMYFUNCTION("""COMPUTED_VALUE"""),"Br")</f>
        <v>Br</v>
      </c>
      <c r="G2967" s="9" t="str">
        <f>IFERROR(__xludf.DUMMYFUNCTION("""COMPUTED_VALUE"""),"H")</f>
        <v>H</v>
      </c>
      <c r="H2967" s="9" t="str">
        <f>IFERROR(__xludf.DUMMYFUNCTION("""COMPUTED_VALUE"""),"HGM")</f>
        <v>HGM</v>
      </c>
      <c r="I2967" s="9" t="str">
        <f>IFERROR(__xludf.DUMMYFUNCTION("""COMPUTED_VALUE"""),"Met")</f>
        <v>Met</v>
      </c>
      <c r="J2967" s="9" t="str">
        <f>IFERROR(__xludf.DUMMYFUNCTION("""COMPUTED_VALUE"""),"Pn")</f>
        <v>Pn</v>
      </c>
      <c r="K2967" s="9" t="str">
        <f>IFERROR(__xludf.DUMMYFUNCTION("""COMPUTED_VALUE"""),"PnTg")</f>
        <v>PnTg</v>
      </c>
      <c r="L2967" s="9" t="str">
        <f>IFERROR(__xludf.DUMMYFUNCTION("""COMPUTED_VALUE"""),"PnRF")</f>
        <v>PnRF</v>
      </c>
      <c r="M2967" s="9" t="str">
        <f>IFERROR(__xludf.DUMMYFUNCTION("""COMPUTED_VALUE"""),"PB")</f>
        <v>PB</v>
      </c>
      <c r="N2967" s="9" t="str">
        <f>IFERROR(__xludf.DUMMYFUNCTION("""COMPUTED_VALUE"""),"MPB")</f>
        <v>MPB</v>
      </c>
      <c r="O2967" s="9" t="str">
        <f>IFERROR(__xludf.DUMMYFUNCTION("""COMPUTED_VALUE"""),"MPBe")</f>
        <v>MPBe</v>
      </c>
      <c r="P2967" s="9"/>
      <c r="Q2967" s="9"/>
      <c r="R2967" s="9"/>
      <c r="S2967" s="42"/>
      <c r="T2967" s="42"/>
      <c r="U2967" s="42"/>
      <c r="V2967" s="42"/>
      <c r="W2967" s="42"/>
      <c r="X2967" s="42"/>
      <c r="Y2967" s="42"/>
      <c r="Z2967" s="42"/>
      <c r="AA2967" s="42"/>
      <c r="AB2967" s="42" t="str">
        <f>IFERROR(__xludf.DUMMYFUNCTION("""COMPUTED_VALUE"""),"allen institute")</f>
        <v>allen institute</v>
      </c>
      <c r="AC2967" s="42" t="str">
        <f>IFERROR(__xludf.DUMMYFUNCTION("""COMPUTED_VALUE"""),"DHBA")</f>
        <v>DHBA</v>
      </c>
      <c r="AD2967" s="42"/>
      <c r="AE2967" s="42"/>
      <c r="AF2967" s="9"/>
      <c r="AG2967" s="9"/>
      <c r="AH2967" s="42"/>
      <c r="AI2967" s="42"/>
      <c r="AJ2967" s="42"/>
      <c r="AK2967" s="42"/>
      <c r="AL2967" s="42"/>
      <c r="AM2967" s="42"/>
      <c r="AN2967" s="42"/>
      <c r="AO2967" s="63" t="str">
        <f>IFERROR(__xludf.DUMMYFUNCTION("IF(ISBLANK(A2967),,IF(ISBLANK(S2967), A2967&amp;"";"", TEXTJOIN(CHAR(10), TRUE, A2967&amp;"";"", ARRAYFORMULA(VLOOKUP(SPLIT(S2967, "";"" &amp; CHAR(10)), $A:$AO, 41, FALSE)))))"),"MPBe;")</f>
        <v>MPBe;</v>
      </c>
      <c r="AP2967" s="89"/>
    </row>
    <row r="2968">
      <c r="A2968" s="151" t="str">
        <f>IFERROR(__xludf.DUMMYFUNCTION("""COMPUTED_VALUE"""),"MPBm")</f>
        <v>MPBm</v>
      </c>
      <c r="B2968" s="42" t="str">
        <f>IFERROR(__xludf.DUMMYFUNCTION("""COMPUTED_VALUE"""),"DHBA")</f>
        <v>DHBA</v>
      </c>
      <c r="C2968" s="42" t="str">
        <f>IFERROR(__xludf.DUMMYFUNCTION("""COMPUTED_VALUE"""),"medial parabrachial nucleus, medial part")</f>
        <v>medial parabrachial nucleus, medial part</v>
      </c>
      <c r="D2968" s="42">
        <f>IFERROR(__xludf.DUMMYFUNCTION("""COMPUTED_VALUE"""),2828.0)</f>
        <v>2828</v>
      </c>
      <c r="E2968" s="39" t="str">
        <f>IFERROR(__xludf.DUMMYFUNCTION("""COMPUTED_VALUE"""),"medial parabrachial nucleus, medial part")</f>
        <v>medial parabrachial nucleus, medial part</v>
      </c>
      <c r="F2968" s="9" t="str">
        <f>IFERROR(__xludf.DUMMYFUNCTION("""COMPUTED_VALUE"""),"Br")</f>
        <v>Br</v>
      </c>
      <c r="G2968" s="9" t="str">
        <f>IFERROR(__xludf.DUMMYFUNCTION("""COMPUTED_VALUE"""),"H")</f>
        <v>H</v>
      </c>
      <c r="H2968" s="9" t="str">
        <f>IFERROR(__xludf.DUMMYFUNCTION("""COMPUTED_VALUE"""),"HGM")</f>
        <v>HGM</v>
      </c>
      <c r="I2968" s="9" t="str">
        <f>IFERROR(__xludf.DUMMYFUNCTION("""COMPUTED_VALUE"""),"Met")</f>
        <v>Met</v>
      </c>
      <c r="J2968" s="9" t="str">
        <f>IFERROR(__xludf.DUMMYFUNCTION("""COMPUTED_VALUE"""),"Pn")</f>
        <v>Pn</v>
      </c>
      <c r="K2968" s="9" t="str">
        <f>IFERROR(__xludf.DUMMYFUNCTION("""COMPUTED_VALUE"""),"PnTg")</f>
        <v>PnTg</v>
      </c>
      <c r="L2968" s="9" t="str">
        <f>IFERROR(__xludf.DUMMYFUNCTION("""COMPUTED_VALUE"""),"PnRF")</f>
        <v>PnRF</v>
      </c>
      <c r="M2968" s="9" t="str">
        <f>IFERROR(__xludf.DUMMYFUNCTION("""COMPUTED_VALUE"""),"PB")</f>
        <v>PB</v>
      </c>
      <c r="N2968" s="9" t="str">
        <f>IFERROR(__xludf.DUMMYFUNCTION("""COMPUTED_VALUE"""),"MPB")</f>
        <v>MPB</v>
      </c>
      <c r="O2968" s="9" t="str">
        <f>IFERROR(__xludf.DUMMYFUNCTION("""COMPUTED_VALUE"""),"MPBm")</f>
        <v>MPBm</v>
      </c>
      <c r="P2968" s="9"/>
      <c r="Q2968" s="9"/>
      <c r="R2968" s="9"/>
      <c r="S2968" s="42"/>
      <c r="T2968" s="42"/>
      <c r="U2968" s="42"/>
      <c r="V2968" s="42"/>
      <c r="W2968" s="42"/>
      <c r="X2968" s="42"/>
      <c r="Y2968" s="42"/>
      <c r="Z2968" s="42"/>
      <c r="AA2968" s="42"/>
      <c r="AB2968" s="42" t="str">
        <f>IFERROR(__xludf.DUMMYFUNCTION("""COMPUTED_VALUE"""),"allen institute")</f>
        <v>allen institute</v>
      </c>
      <c r="AC2968" s="42" t="str">
        <f>IFERROR(__xludf.DUMMYFUNCTION("""COMPUTED_VALUE"""),"DHBA")</f>
        <v>DHBA</v>
      </c>
      <c r="AD2968" s="42"/>
      <c r="AE2968" s="42"/>
      <c r="AF2968" s="9"/>
      <c r="AG2968" s="9"/>
      <c r="AH2968" s="42"/>
      <c r="AI2968" s="42"/>
      <c r="AJ2968" s="42"/>
      <c r="AK2968" s="42"/>
      <c r="AL2968" s="42"/>
      <c r="AM2968" s="42"/>
      <c r="AN2968" s="42"/>
      <c r="AO2968" s="63" t="str">
        <f>IFERROR(__xludf.DUMMYFUNCTION("IF(ISBLANK(A2968),,IF(ISBLANK(S2968), A2968&amp;"";"", TEXTJOIN(CHAR(10), TRUE, A2968&amp;"";"", ARRAYFORMULA(VLOOKUP(SPLIT(S2968, "";"" &amp; CHAR(10)), $A:$AO, 41, FALSE)))))"),"MPBm;")</f>
        <v>MPBm;</v>
      </c>
      <c r="AP2968" s="89"/>
    </row>
    <row r="2969">
      <c r="A2969" s="151" t="str">
        <f>IFERROR(__xludf.DUMMYFUNCTION("""COMPUTED_VALUE"""),"SPP")</f>
        <v>SPP</v>
      </c>
      <c r="B2969" s="42" t="str">
        <f>IFERROR(__xludf.DUMMYFUNCTION("""COMPUTED_VALUE"""),"DHBA")</f>
        <v>DHBA</v>
      </c>
      <c r="C2969" s="42" t="str">
        <f>IFERROR(__xludf.DUMMYFUNCTION("""COMPUTED_VALUE"""),"subpeduncular pigmented nucleus")</f>
        <v>subpeduncular pigmented nucleus</v>
      </c>
      <c r="D2969" s="42">
        <f>IFERROR(__xludf.DUMMYFUNCTION("""COMPUTED_VALUE"""),2829.0)</f>
        <v>2829</v>
      </c>
      <c r="E2969" s="39" t="str">
        <f>IFERROR(__xludf.DUMMYFUNCTION("""COMPUTED_VALUE"""),"subpeduncular pigmented nucleus")</f>
        <v>subpeduncular pigmented nucleus</v>
      </c>
      <c r="F2969" s="9" t="str">
        <f>IFERROR(__xludf.DUMMYFUNCTION("""COMPUTED_VALUE"""),"Br")</f>
        <v>Br</v>
      </c>
      <c r="G2969" s="9" t="str">
        <f>IFERROR(__xludf.DUMMYFUNCTION("""COMPUTED_VALUE"""),"H")</f>
        <v>H</v>
      </c>
      <c r="H2969" s="9" t="str">
        <f>IFERROR(__xludf.DUMMYFUNCTION("""COMPUTED_VALUE"""),"HGM")</f>
        <v>HGM</v>
      </c>
      <c r="I2969" s="9" t="str">
        <f>IFERROR(__xludf.DUMMYFUNCTION("""COMPUTED_VALUE"""),"Met")</f>
        <v>Met</v>
      </c>
      <c r="J2969" s="9" t="str">
        <f>IFERROR(__xludf.DUMMYFUNCTION("""COMPUTED_VALUE"""),"Pn")</f>
        <v>Pn</v>
      </c>
      <c r="K2969" s="9" t="str">
        <f>IFERROR(__xludf.DUMMYFUNCTION("""COMPUTED_VALUE"""),"PnTg")</f>
        <v>PnTg</v>
      </c>
      <c r="L2969" s="9" t="str">
        <f>IFERROR(__xludf.DUMMYFUNCTION("""COMPUTED_VALUE"""),"PnRF")</f>
        <v>PnRF</v>
      </c>
      <c r="M2969" s="9" t="str">
        <f>IFERROR(__xludf.DUMMYFUNCTION("""COMPUTED_VALUE"""),"PB")</f>
        <v>PB</v>
      </c>
      <c r="N2969" s="9" t="str">
        <f>IFERROR(__xludf.DUMMYFUNCTION("""COMPUTED_VALUE"""),"SPP")</f>
        <v>SPP</v>
      </c>
      <c r="O2969" s="9"/>
      <c r="P2969" s="9"/>
      <c r="Q2969" s="9"/>
      <c r="R2969" s="9"/>
      <c r="S2969" s="42"/>
      <c r="T2969" s="42"/>
      <c r="U2969" s="42"/>
      <c r="V2969" s="42"/>
      <c r="W2969" s="42"/>
      <c r="X2969" s="42"/>
      <c r="Y2969" s="42"/>
      <c r="Z2969" s="42"/>
      <c r="AA2969" s="42"/>
      <c r="AB2969" s="42" t="str">
        <f>IFERROR(__xludf.DUMMYFUNCTION("""COMPUTED_VALUE"""),"allen institute")</f>
        <v>allen institute</v>
      </c>
      <c r="AC2969" s="42" t="str">
        <f>IFERROR(__xludf.DUMMYFUNCTION("""COMPUTED_VALUE"""),"DHBA")</f>
        <v>DHBA</v>
      </c>
      <c r="AD2969" s="42"/>
      <c r="AE2969" s="42"/>
      <c r="AF2969" s="9"/>
      <c r="AG2969" s="9"/>
      <c r="AH2969" s="42"/>
      <c r="AI2969" s="42"/>
      <c r="AJ2969" s="42"/>
      <c r="AK2969" s="42"/>
      <c r="AL2969" s="42"/>
      <c r="AM2969" s="42"/>
      <c r="AN2969" s="42"/>
      <c r="AO2969" s="63" t="str">
        <f>IFERROR(__xludf.DUMMYFUNCTION("IF(ISBLANK(A2969),,IF(ISBLANK(S2969), A2969&amp;"";"", TEXTJOIN(CHAR(10), TRUE, A2969&amp;"";"", ARRAYFORMULA(VLOOKUP(SPLIT(S2969, "";"" &amp; CHAR(10)), $A:$AO, 41, FALSE)))))"),"SPP;")</f>
        <v>SPP;</v>
      </c>
      <c r="AP2969" s="89"/>
    </row>
    <row r="2970">
      <c r="A2970" s="151" t="str">
        <f>IFERROR(__xludf.DUMMYFUNCTION("""COMPUTED_VALUE"""),"SPB")</f>
        <v>SPB</v>
      </c>
      <c r="B2970" s="42" t="str">
        <f>IFERROR(__xludf.DUMMYFUNCTION("""COMPUTED_VALUE"""),"DHBA")</f>
        <v>DHBA</v>
      </c>
      <c r="C2970" s="42" t="str">
        <f>IFERROR(__xludf.DUMMYFUNCTION("""COMPUTED_VALUE"""),"subparabrachial nucleus")</f>
        <v>subparabrachial nucleus</v>
      </c>
      <c r="D2970" s="42">
        <f>IFERROR(__xludf.DUMMYFUNCTION("""COMPUTED_VALUE"""),2830.0)</f>
        <v>2830</v>
      </c>
      <c r="E2970" s="39" t="str">
        <f>IFERROR(__xludf.DUMMYFUNCTION("""COMPUTED_VALUE"""),"subparabrachial nucleus")</f>
        <v>subparabrachial nucleus</v>
      </c>
      <c r="F2970" s="9" t="str">
        <f>IFERROR(__xludf.DUMMYFUNCTION("""COMPUTED_VALUE"""),"Br")</f>
        <v>Br</v>
      </c>
      <c r="G2970" s="9" t="str">
        <f>IFERROR(__xludf.DUMMYFUNCTION("""COMPUTED_VALUE"""),"H")</f>
        <v>H</v>
      </c>
      <c r="H2970" s="9" t="str">
        <f>IFERROR(__xludf.DUMMYFUNCTION("""COMPUTED_VALUE"""),"HGM")</f>
        <v>HGM</v>
      </c>
      <c r="I2970" s="9" t="str">
        <f>IFERROR(__xludf.DUMMYFUNCTION("""COMPUTED_VALUE"""),"Met")</f>
        <v>Met</v>
      </c>
      <c r="J2970" s="9" t="str">
        <f>IFERROR(__xludf.DUMMYFUNCTION("""COMPUTED_VALUE"""),"Pn")</f>
        <v>Pn</v>
      </c>
      <c r="K2970" s="9" t="str">
        <f>IFERROR(__xludf.DUMMYFUNCTION("""COMPUTED_VALUE"""),"PnTg")</f>
        <v>PnTg</v>
      </c>
      <c r="L2970" s="9" t="str">
        <f>IFERROR(__xludf.DUMMYFUNCTION("""COMPUTED_VALUE"""),"PnRF")</f>
        <v>PnRF</v>
      </c>
      <c r="M2970" s="9" t="str">
        <f>IFERROR(__xludf.DUMMYFUNCTION("""COMPUTED_VALUE"""),"PB")</f>
        <v>PB</v>
      </c>
      <c r="N2970" s="9" t="str">
        <f>IFERROR(__xludf.DUMMYFUNCTION("""COMPUTED_VALUE"""),"SPB")</f>
        <v>SPB</v>
      </c>
      <c r="O2970" s="9"/>
      <c r="P2970" s="9"/>
      <c r="Q2970" s="9"/>
      <c r="R2970" s="9"/>
      <c r="S2970" s="42"/>
      <c r="T2970" s="42"/>
      <c r="U2970" s="42"/>
      <c r="V2970" s="42"/>
      <c r="W2970" s="42"/>
      <c r="X2970" s="42"/>
      <c r="Y2970" s="42"/>
      <c r="Z2970" s="42"/>
      <c r="AA2970" s="42"/>
      <c r="AB2970" s="42" t="str">
        <f>IFERROR(__xludf.DUMMYFUNCTION("""COMPUTED_VALUE"""),"allen institute")</f>
        <v>allen institute</v>
      </c>
      <c r="AC2970" s="42" t="str">
        <f>IFERROR(__xludf.DUMMYFUNCTION("""COMPUTED_VALUE"""),"DHBA")</f>
        <v>DHBA</v>
      </c>
      <c r="AD2970" s="42"/>
      <c r="AE2970" s="42"/>
      <c r="AF2970" s="9"/>
      <c r="AG2970" s="9"/>
      <c r="AH2970" s="42"/>
      <c r="AI2970" s="42"/>
      <c r="AJ2970" s="42"/>
      <c r="AK2970" s="42"/>
      <c r="AL2970" s="42"/>
      <c r="AM2970" s="42"/>
      <c r="AN2970" s="42"/>
      <c r="AO2970" s="63" t="str">
        <f>IFERROR(__xludf.DUMMYFUNCTION("IF(ISBLANK(A2970),,IF(ISBLANK(S2970), A2970&amp;"";"", TEXTJOIN(CHAR(10), TRUE, A2970&amp;"";"", ARRAYFORMULA(VLOOKUP(SPLIT(S2970, "";"" &amp; CHAR(10)), $A:$AO, 41, FALSE)))))"),"SPB;")</f>
        <v>SPB;</v>
      </c>
      <c r="AP2970" s="89"/>
    </row>
    <row r="2971">
      <c r="A2971" s="151" t="str">
        <f>IFERROR(__xludf.DUMMYFUNCTION("""COMPUTED_VALUE"""),"PnRt")</f>
        <v>PnRt</v>
      </c>
      <c r="B2971" s="42" t="str">
        <f>IFERROR(__xludf.DUMMYFUNCTION("""COMPUTED_VALUE"""),"DHBA")</f>
        <v>DHBA</v>
      </c>
      <c r="C2971" s="42" t="str">
        <f>IFERROR(__xludf.DUMMYFUNCTION("""COMPUTED_VALUE"""),"reticular nuclei of pons")</f>
        <v>reticular nuclei of pons</v>
      </c>
      <c r="D2971" s="42">
        <f>IFERROR(__xludf.DUMMYFUNCTION("""COMPUTED_VALUE"""),2831.0)</f>
        <v>2831</v>
      </c>
      <c r="E2971" s="39" t="str">
        <f>IFERROR(__xludf.DUMMYFUNCTION("""COMPUTED_VALUE"""),"reticular nuclei of pons")</f>
        <v>reticular nuclei of pons</v>
      </c>
      <c r="F2971" s="9" t="str">
        <f>IFERROR(__xludf.DUMMYFUNCTION("""COMPUTED_VALUE"""),"Br")</f>
        <v>Br</v>
      </c>
      <c r="G2971" s="9" t="str">
        <f>IFERROR(__xludf.DUMMYFUNCTION("""COMPUTED_VALUE"""),"H")</f>
        <v>H</v>
      </c>
      <c r="H2971" s="9" t="str">
        <f>IFERROR(__xludf.DUMMYFUNCTION("""COMPUTED_VALUE"""),"HGM")</f>
        <v>HGM</v>
      </c>
      <c r="I2971" s="9" t="str">
        <f>IFERROR(__xludf.DUMMYFUNCTION("""COMPUTED_VALUE"""),"Met")</f>
        <v>Met</v>
      </c>
      <c r="J2971" s="9" t="str">
        <f>IFERROR(__xludf.DUMMYFUNCTION("""COMPUTED_VALUE"""),"Pn")</f>
        <v>Pn</v>
      </c>
      <c r="K2971" s="9" t="str">
        <f>IFERROR(__xludf.DUMMYFUNCTION("""COMPUTED_VALUE"""),"PnTg")</f>
        <v>PnTg</v>
      </c>
      <c r="L2971" s="9" t="str">
        <f>IFERROR(__xludf.DUMMYFUNCTION("""COMPUTED_VALUE"""),"PnRF")</f>
        <v>PnRF</v>
      </c>
      <c r="M2971" s="9" t="str">
        <f>IFERROR(__xludf.DUMMYFUNCTION("""COMPUTED_VALUE"""),"PnRt")</f>
        <v>PnRt</v>
      </c>
      <c r="N2971" s="9"/>
      <c r="O2971" s="9"/>
      <c r="P2971" s="9"/>
      <c r="Q2971" s="9"/>
      <c r="R2971" s="9"/>
      <c r="S2971" s="42" t="str">
        <f>IFERROR(__xludf.DUMMYFUNCTION("""COMPUTED_VALUE"""),"PnC;
PnO;
PLN;
PMn;
RtTg;
RtTgD")</f>
        <v>PnC;
PnO;
PLN;
PMn;
RtTg;
RtTgD</v>
      </c>
      <c r="T2971" s="42"/>
      <c r="U2971" s="42" t="b">
        <f>IFERROR(__xludf.DUMMYFUNCTION("""COMPUTED_VALUE"""),FALSE)</f>
        <v>0</v>
      </c>
      <c r="V2971" s="42"/>
      <c r="W2971" s="42"/>
      <c r="X2971" s="42"/>
      <c r="Y2971" s="42"/>
      <c r="Z2971" s="42"/>
      <c r="AA2971" s="42"/>
      <c r="AB2971" s="42" t="str">
        <f>IFERROR(__xludf.DUMMYFUNCTION("""COMPUTED_VALUE"""),"allen institute")</f>
        <v>allen institute</v>
      </c>
      <c r="AC2971" s="42" t="str">
        <f>IFERROR(__xludf.DUMMYFUNCTION("""COMPUTED_VALUE"""),"DHBA")</f>
        <v>DHBA</v>
      </c>
      <c r="AD2971" s="42"/>
      <c r="AE2971" s="42"/>
      <c r="AF2971" s="9"/>
      <c r="AG2971" s="9"/>
      <c r="AH2971" s="42"/>
      <c r="AI2971" s="42"/>
      <c r="AJ2971" s="42"/>
      <c r="AK2971" s="42"/>
      <c r="AL2971" s="42"/>
      <c r="AM2971" s="42"/>
      <c r="AN2971" s="42"/>
      <c r="AO2971" s="63" t="str">
        <f>IFERROR(__xludf.DUMMYFUNCTION("IF(ISBLANK(A2971),,IF(ISBLANK(S2971), A2971&amp;"";"", TEXTJOIN(CHAR(10), TRUE, A2971&amp;"";"", ARRAYFORMULA(VLOOKUP(SPLIT(S2971, "";"" &amp; CHAR(10)), $A:$AO, 41, FALSE)))))"),"PnRt;
PnC;
PnO;
PLN;
PMN;
RtTg;
RtTgD;")</f>
        <v>PnRt;
PnC;
PnO;
PLN;
PMN;
RtTg;
RtTgD;</v>
      </c>
      <c r="AP2971" s="89"/>
    </row>
    <row r="2972">
      <c r="A2972" s="151" t="str">
        <f>IFERROR(__xludf.DUMMYFUNCTION("""COMPUTED_VALUE"""),"PnC")</f>
        <v>PnC</v>
      </c>
      <c r="B2972" s="42" t="str">
        <f>IFERROR(__xludf.DUMMYFUNCTION("""COMPUTED_VALUE"""),"DHBA")</f>
        <v>DHBA</v>
      </c>
      <c r="C2972" s="42" t="str">
        <f>IFERROR(__xludf.DUMMYFUNCTION("""COMPUTED_VALUE"""),"pontine reticular nuleus caudal part, Nucleus reticularis pontis caudalis, RPC")</f>
        <v>pontine reticular nuleus caudal part, Nucleus reticularis pontis caudalis, RPC</v>
      </c>
      <c r="D2972" s="42">
        <f>IFERROR(__xludf.DUMMYFUNCTION("""COMPUTED_VALUE"""),2832.0)</f>
        <v>2832</v>
      </c>
      <c r="E2972" s="39" t="str">
        <f>IFERROR(__xludf.DUMMYFUNCTION("""COMPUTED_VALUE"""),"pontine reticular nucleus, caudal part")</f>
        <v>pontine reticular nucleus, caudal part</v>
      </c>
      <c r="F2972" s="9" t="str">
        <f>IFERROR(__xludf.DUMMYFUNCTION("""COMPUTED_VALUE"""),"Br")</f>
        <v>Br</v>
      </c>
      <c r="G2972" s="9" t="str">
        <f>IFERROR(__xludf.DUMMYFUNCTION("""COMPUTED_VALUE"""),"H")</f>
        <v>H</v>
      </c>
      <c r="H2972" s="9" t="str">
        <f>IFERROR(__xludf.DUMMYFUNCTION("""COMPUTED_VALUE"""),"HGM")</f>
        <v>HGM</v>
      </c>
      <c r="I2972" s="9" t="str">
        <f>IFERROR(__xludf.DUMMYFUNCTION("""COMPUTED_VALUE"""),"Met")</f>
        <v>Met</v>
      </c>
      <c r="J2972" s="9" t="str">
        <f>IFERROR(__xludf.DUMMYFUNCTION("""COMPUTED_VALUE"""),"Pn")</f>
        <v>Pn</v>
      </c>
      <c r="K2972" s="9" t="str">
        <f>IFERROR(__xludf.DUMMYFUNCTION("""COMPUTED_VALUE"""),"PnTg")</f>
        <v>PnTg</v>
      </c>
      <c r="L2972" s="9" t="str">
        <f>IFERROR(__xludf.DUMMYFUNCTION("""COMPUTED_VALUE"""),"PnRF")</f>
        <v>PnRF</v>
      </c>
      <c r="M2972" s="9" t="str">
        <f>IFERROR(__xludf.DUMMYFUNCTION("""COMPUTED_VALUE"""),"PnRt")</f>
        <v>PnRt</v>
      </c>
      <c r="N2972" s="9" t="str">
        <f>IFERROR(__xludf.DUMMYFUNCTION("""COMPUTED_VALUE"""),"PnC")</f>
        <v>PnC</v>
      </c>
      <c r="O2972" s="9"/>
      <c r="P2972" s="9"/>
      <c r="Q2972" s="9"/>
      <c r="R2972" s="9"/>
      <c r="S2972" s="42"/>
      <c r="T2972" s="42"/>
      <c r="U2972" s="42"/>
      <c r="V2972" s="42"/>
      <c r="W2972" s="42"/>
      <c r="X2972" s="42"/>
      <c r="Y2972" s="42"/>
      <c r="Z2972" s="42"/>
      <c r="AA2972" s="42"/>
      <c r="AB2972" s="42" t="str">
        <f>IFERROR(__xludf.DUMMYFUNCTION("""COMPUTED_VALUE"""),"allen institute")</f>
        <v>allen institute</v>
      </c>
      <c r="AC2972" s="42" t="str">
        <f>IFERROR(__xludf.DUMMYFUNCTION("""COMPUTED_VALUE"""),"DHBA")</f>
        <v>DHBA</v>
      </c>
      <c r="AD2972" s="42"/>
      <c r="AE2972" s="42"/>
      <c r="AF2972" s="9"/>
      <c r="AG2972" s="9"/>
      <c r="AH2972" s="42"/>
      <c r="AI2972" s="42"/>
      <c r="AJ2972" s="42"/>
      <c r="AK2972" s="42"/>
      <c r="AL2972" s="42"/>
      <c r="AM2972" s="42"/>
      <c r="AN2972" s="42"/>
      <c r="AO2972" s="63" t="str">
        <f>IFERROR(__xludf.DUMMYFUNCTION("IF(ISBLANK(A2972),,IF(ISBLANK(S2972), A2972&amp;"";"", TEXTJOIN(CHAR(10), TRUE, A2972&amp;"";"", ARRAYFORMULA(VLOOKUP(SPLIT(S2972, "";"" &amp; CHAR(10)), $A:$AO, 41, FALSE)))))"),"PnC;")</f>
        <v>PnC;</v>
      </c>
      <c r="AP2972" s="89"/>
    </row>
    <row r="2973">
      <c r="A2973" s="151" t="str">
        <f>IFERROR(__xludf.DUMMYFUNCTION("""COMPUTED_VALUE"""),"PnO")</f>
        <v>PnO</v>
      </c>
      <c r="B2973" s="42" t="str">
        <f>IFERROR(__xludf.DUMMYFUNCTION("""COMPUTED_VALUE"""),"DHBA")</f>
        <v>DHBA</v>
      </c>
      <c r="C2973" s="42" t="str">
        <f>IFERROR(__xludf.DUMMYFUNCTION("""COMPUTED_VALUE"""),"pontine reticular nucleus, oral part")</f>
        <v>pontine reticular nucleus, oral part</v>
      </c>
      <c r="D2973" s="42">
        <f>IFERROR(__xludf.DUMMYFUNCTION("""COMPUTED_VALUE"""),2833.0)</f>
        <v>2833</v>
      </c>
      <c r="E2973" s="39" t="str">
        <f>IFERROR(__xludf.DUMMYFUNCTION("""COMPUTED_VALUE"""),"pontine reticular nucleus, oral part")</f>
        <v>pontine reticular nucleus, oral part</v>
      </c>
      <c r="F2973" s="9" t="str">
        <f>IFERROR(__xludf.DUMMYFUNCTION("""COMPUTED_VALUE"""),"Br")</f>
        <v>Br</v>
      </c>
      <c r="G2973" s="9" t="str">
        <f>IFERROR(__xludf.DUMMYFUNCTION("""COMPUTED_VALUE"""),"H")</f>
        <v>H</v>
      </c>
      <c r="H2973" s="9" t="str">
        <f>IFERROR(__xludf.DUMMYFUNCTION("""COMPUTED_VALUE"""),"HGM")</f>
        <v>HGM</v>
      </c>
      <c r="I2973" s="9" t="str">
        <f>IFERROR(__xludf.DUMMYFUNCTION("""COMPUTED_VALUE"""),"Met")</f>
        <v>Met</v>
      </c>
      <c r="J2973" s="9" t="str">
        <f>IFERROR(__xludf.DUMMYFUNCTION("""COMPUTED_VALUE"""),"Pn")</f>
        <v>Pn</v>
      </c>
      <c r="K2973" s="9" t="str">
        <f>IFERROR(__xludf.DUMMYFUNCTION("""COMPUTED_VALUE"""),"PnTg")</f>
        <v>PnTg</v>
      </c>
      <c r="L2973" s="9" t="str">
        <f>IFERROR(__xludf.DUMMYFUNCTION("""COMPUTED_VALUE"""),"PnRF")</f>
        <v>PnRF</v>
      </c>
      <c r="M2973" s="9" t="str">
        <f>IFERROR(__xludf.DUMMYFUNCTION("""COMPUTED_VALUE"""),"PnRt")</f>
        <v>PnRt</v>
      </c>
      <c r="N2973" s="9" t="str">
        <f>IFERROR(__xludf.DUMMYFUNCTION("""COMPUTED_VALUE"""),"PnO")</f>
        <v>PnO</v>
      </c>
      <c r="O2973" s="9"/>
      <c r="P2973" s="9"/>
      <c r="Q2973" s="9"/>
      <c r="R2973" s="9"/>
      <c r="S2973" s="42"/>
      <c r="T2973" s="42"/>
      <c r="U2973" s="42"/>
      <c r="V2973" s="42"/>
      <c r="W2973" s="42"/>
      <c r="X2973" s="42"/>
      <c r="Y2973" s="42"/>
      <c r="Z2973" s="42"/>
      <c r="AA2973" s="42"/>
      <c r="AB2973" s="42" t="str">
        <f>IFERROR(__xludf.DUMMYFUNCTION("""COMPUTED_VALUE"""),"allen institute")</f>
        <v>allen institute</v>
      </c>
      <c r="AC2973" s="42" t="str">
        <f>IFERROR(__xludf.DUMMYFUNCTION("""COMPUTED_VALUE"""),"DHBA")</f>
        <v>DHBA</v>
      </c>
      <c r="AD2973" s="42"/>
      <c r="AE2973" s="42"/>
      <c r="AF2973" s="9"/>
      <c r="AG2973" s="9"/>
      <c r="AH2973" s="42"/>
      <c r="AI2973" s="42"/>
      <c r="AJ2973" s="42"/>
      <c r="AK2973" s="42"/>
      <c r="AL2973" s="42"/>
      <c r="AM2973" s="42"/>
      <c r="AN2973" s="42"/>
      <c r="AO2973" s="63" t="str">
        <f>IFERROR(__xludf.DUMMYFUNCTION("IF(ISBLANK(A2973),,IF(ISBLANK(S2973), A2973&amp;"";"", TEXTJOIN(CHAR(10), TRUE, A2973&amp;"";"", ARRAYFORMULA(VLOOKUP(SPLIT(S2973, "";"" &amp; CHAR(10)), $A:$AO, 41, FALSE)))))"),"PnO;")</f>
        <v>PnO;</v>
      </c>
      <c r="AP2973" s="89"/>
    </row>
    <row r="2974">
      <c r="A2974" s="151" t="str">
        <f>IFERROR(__xludf.DUMMYFUNCTION("""COMPUTED_VALUE"""),"PLN")</f>
        <v>PLN</v>
      </c>
      <c r="B2974" s="42" t="str">
        <f>IFERROR(__xludf.DUMMYFUNCTION("""COMPUTED_VALUE"""),"DHBA")</f>
        <v>DHBA</v>
      </c>
      <c r="C2974" s="42" t="str">
        <f>IFERROR(__xludf.DUMMYFUNCTION("""COMPUTED_VALUE"""),"paralemniscal nucleus")</f>
        <v>paralemniscal nucleus</v>
      </c>
      <c r="D2974" s="42">
        <f>IFERROR(__xludf.DUMMYFUNCTION("""COMPUTED_VALUE"""),2834.0)</f>
        <v>2834</v>
      </c>
      <c r="E2974" s="39" t="str">
        <f>IFERROR(__xludf.DUMMYFUNCTION("""COMPUTED_VALUE"""),"paralemniscal nucleus")</f>
        <v>paralemniscal nucleus</v>
      </c>
      <c r="F2974" s="9" t="str">
        <f>IFERROR(__xludf.DUMMYFUNCTION("""COMPUTED_VALUE"""),"Br")</f>
        <v>Br</v>
      </c>
      <c r="G2974" s="9" t="str">
        <f>IFERROR(__xludf.DUMMYFUNCTION("""COMPUTED_VALUE"""),"H")</f>
        <v>H</v>
      </c>
      <c r="H2974" s="9" t="str">
        <f>IFERROR(__xludf.DUMMYFUNCTION("""COMPUTED_VALUE"""),"HGM")</f>
        <v>HGM</v>
      </c>
      <c r="I2974" s="9" t="str">
        <f>IFERROR(__xludf.DUMMYFUNCTION("""COMPUTED_VALUE"""),"Met")</f>
        <v>Met</v>
      </c>
      <c r="J2974" s="9" t="str">
        <f>IFERROR(__xludf.DUMMYFUNCTION("""COMPUTED_VALUE"""),"Pn")</f>
        <v>Pn</v>
      </c>
      <c r="K2974" s="9" t="str">
        <f>IFERROR(__xludf.DUMMYFUNCTION("""COMPUTED_VALUE"""),"PnTg")</f>
        <v>PnTg</v>
      </c>
      <c r="L2974" s="9" t="str">
        <f>IFERROR(__xludf.DUMMYFUNCTION("""COMPUTED_VALUE"""),"PnRF")</f>
        <v>PnRF</v>
      </c>
      <c r="M2974" s="9" t="str">
        <f>IFERROR(__xludf.DUMMYFUNCTION("""COMPUTED_VALUE"""),"PnRt")</f>
        <v>PnRt</v>
      </c>
      <c r="N2974" s="9" t="str">
        <f>IFERROR(__xludf.DUMMYFUNCTION("""COMPUTED_VALUE"""),"PLN")</f>
        <v>PLN</v>
      </c>
      <c r="O2974" s="9"/>
      <c r="P2974" s="9"/>
      <c r="Q2974" s="9"/>
      <c r="R2974" s="9"/>
      <c r="S2974" s="42"/>
      <c r="T2974" s="42"/>
      <c r="U2974" s="42"/>
      <c r="V2974" s="42"/>
      <c r="W2974" s="42"/>
      <c r="X2974" s="42"/>
      <c r="Y2974" s="42"/>
      <c r="Z2974" s="42"/>
      <c r="AA2974" s="42"/>
      <c r="AB2974" s="42" t="str">
        <f>IFERROR(__xludf.DUMMYFUNCTION("""COMPUTED_VALUE"""),"allen institute")</f>
        <v>allen institute</v>
      </c>
      <c r="AC2974" s="42" t="str">
        <f>IFERROR(__xludf.DUMMYFUNCTION("""COMPUTED_VALUE"""),"DHBA")</f>
        <v>DHBA</v>
      </c>
      <c r="AD2974" s="42"/>
      <c r="AE2974" s="42"/>
      <c r="AF2974" s="9"/>
      <c r="AG2974" s="9"/>
      <c r="AH2974" s="42"/>
      <c r="AI2974" s="42"/>
      <c r="AJ2974" s="42"/>
      <c r="AK2974" s="42"/>
      <c r="AL2974" s="42"/>
      <c r="AM2974" s="42"/>
      <c r="AN2974" s="42"/>
      <c r="AO2974" s="63" t="str">
        <f>IFERROR(__xludf.DUMMYFUNCTION("IF(ISBLANK(A2974),,IF(ISBLANK(S2974), A2974&amp;"";"", TEXTJOIN(CHAR(10), TRUE, A2974&amp;"";"", ARRAYFORMULA(VLOOKUP(SPLIT(S2974, "";"" &amp; CHAR(10)), $A:$AO, 41, FALSE)))))"),"PLN;")</f>
        <v>PLN;</v>
      </c>
      <c r="AP2974" s="89"/>
    </row>
    <row r="2975">
      <c r="A2975" s="151" t="str">
        <f>IFERROR(__xludf.DUMMYFUNCTION("""COMPUTED_VALUE"""),"PMn")</f>
        <v>PMn</v>
      </c>
      <c r="B2975" s="42" t="str">
        <f>IFERROR(__xludf.DUMMYFUNCTION("""COMPUTED_VALUE"""),"DHBA")</f>
        <v>DHBA</v>
      </c>
      <c r="C2975" s="42" t="str">
        <f>IFERROR(__xludf.DUMMYFUNCTION("""COMPUTED_VALUE"""),"paramedian reticular nucleus")</f>
        <v>paramedian reticular nucleus</v>
      </c>
      <c r="D2975" s="42">
        <f>IFERROR(__xludf.DUMMYFUNCTION("""COMPUTED_VALUE"""),2835.0)</f>
        <v>2835</v>
      </c>
      <c r="E2975" s="39" t="str">
        <f>IFERROR(__xludf.DUMMYFUNCTION("""COMPUTED_VALUE"""),"paramedian reticular nucleus")</f>
        <v>paramedian reticular nucleus</v>
      </c>
      <c r="F2975" s="9" t="str">
        <f>IFERROR(__xludf.DUMMYFUNCTION("""COMPUTED_VALUE"""),"Br")</f>
        <v>Br</v>
      </c>
      <c r="G2975" s="9" t="str">
        <f>IFERROR(__xludf.DUMMYFUNCTION("""COMPUTED_VALUE"""),"H")</f>
        <v>H</v>
      </c>
      <c r="H2975" s="9" t="str">
        <f>IFERROR(__xludf.DUMMYFUNCTION("""COMPUTED_VALUE"""),"HGM")</f>
        <v>HGM</v>
      </c>
      <c r="I2975" s="9" t="str">
        <f>IFERROR(__xludf.DUMMYFUNCTION("""COMPUTED_VALUE"""),"Met")</f>
        <v>Met</v>
      </c>
      <c r="J2975" s="9" t="str">
        <f>IFERROR(__xludf.DUMMYFUNCTION("""COMPUTED_VALUE"""),"Pn")</f>
        <v>Pn</v>
      </c>
      <c r="K2975" s="9" t="str">
        <f>IFERROR(__xludf.DUMMYFUNCTION("""COMPUTED_VALUE"""),"PnTg")</f>
        <v>PnTg</v>
      </c>
      <c r="L2975" s="9" t="str">
        <f>IFERROR(__xludf.DUMMYFUNCTION("""COMPUTED_VALUE"""),"PnRF")</f>
        <v>PnRF</v>
      </c>
      <c r="M2975" s="9" t="str">
        <f>IFERROR(__xludf.DUMMYFUNCTION("""COMPUTED_VALUE"""),"PnRt")</f>
        <v>PnRt</v>
      </c>
      <c r="N2975" s="9" t="str">
        <f>IFERROR(__xludf.DUMMYFUNCTION("""COMPUTED_VALUE"""),"PMn")</f>
        <v>PMn</v>
      </c>
      <c r="O2975" s="9"/>
      <c r="P2975" s="9"/>
      <c r="Q2975" s="9"/>
      <c r="R2975" s="9"/>
      <c r="S2975" s="42"/>
      <c r="T2975" s="42"/>
      <c r="U2975" s="42"/>
      <c r="V2975" s="42"/>
      <c r="W2975" s="42"/>
      <c r="X2975" s="42"/>
      <c r="Y2975" s="42"/>
      <c r="Z2975" s="42"/>
      <c r="AA2975" s="42"/>
      <c r="AB2975" s="42" t="str">
        <f>IFERROR(__xludf.DUMMYFUNCTION("""COMPUTED_VALUE"""),"allen institute")</f>
        <v>allen institute</v>
      </c>
      <c r="AC2975" s="42" t="str">
        <f>IFERROR(__xludf.DUMMYFUNCTION("""COMPUTED_VALUE"""),"DHBA")</f>
        <v>DHBA</v>
      </c>
      <c r="AD2975" s="42"/>
      <c r="AE2975" s="42"/>
      <c r="AF2975" s="9"/>
      <c r="AG2975" s="9"/>
      <c r="AH2975" s="42"/>
      <c r="AI2975" s="42"/>
      <c r="AJ2975" s="42"/>
      <c r="AK2975" s="42"/>
      <c r="AL2975" s="42"/>
      <c r="AM2975" s="42"/>
      <c r="AN2975" s="42"/>
      <c r="AO2975" s="63" t="str">
        <f>IFERROR(__xludf.DUMMYFUNCTION("IF(ISBLANK(A2975),,IF(ISBLANK(S2975), A2975&amp;"";"", TEXTJOIN(CHAR(10), TRUE, A2975&amp;"";"", ARRAYFORMULA(VLOOKUP(SPLIT(S2975, "";"" &amp; CHAR(10)), $A:$AO, 41, FALSE)))))"),"PMn;")</f>
        <v>PMn;</v>
      </c>
      <c r="AP2975" s="89"/>
    </row>
    <row r="2976">
      <c r="A2976" s="151" t="str">
        <f>IFERROR(__xludf.DUMMYFUNCTION("""COMPUTED_VALUE"""),"RtTg")</f>
        <v>RtTg</v>
      </c>
      <c r="B2976" s="42" t="str">
        <f>IFERROR(__xludf.DUMMYFUNCTION("""COMPUTED_VALUE"""),"DHBA")</f>
        <v>DHBA</v>
      </c>
      <c r="C2976" s="42" t="str">
        <f>IFERROR(__xludf.DUMMYFUNCTION("""COMPUTED_VALUE"""),"reticulotegmental nucleus")</f>
        <v>reticulotegmental nucleus</v>
      </c>
      <c r="D2976" s="42">
        <f>IFERROR(__xludf.DUMMYFUNCTION("""COMPUTED_VALUE"""),2836.0)</f>
        <v>2836</v>
      </c>
      <c r="E2976" s="39" t="str">
        <f>IFERROR(__xludf.DUMMYFUNCTION("""COMPUTED_VALUE"""),"reticulotegmental nucleus")</f>
        <v>reticulotegmental nucleus</v>
      </c>
      <c r="F2976" s="9" t="str">
        <f>IFERROR(__xludf.DUMMYFUNCTION("""COMPUTED_VALUE"""),"Br")</f>
        <v>Br</v>
      </c>
      <c r="G2976" s="9" t="str">
        <f>IFERROR(__xludf.DUMMYFUNCTION("""COMPUTED_VALUE"""),"H")</f>
        <v>H</v>
      </c>
      <c r="H2976" s="9" t="str">
        <f>IFERROR(__xludf.DUMMYFUNCTION("""COMPUTED_VALUE"""),"HGM")</f>
        <v>HGM</v>
      </c>
      <c r="I2976" s="9" t="str">
        <f>IFERROR(__xludf.DUMMYFUNCTION("""COMPUTED_VALUE"""),"Met")</f>
        <v>Met</v>
      </c>
      <c r="J2976" s="9" t="str">
        <f>IFERROR(__xludf.DUMMYFUNCTION("""COMPUTED_VALUE"""),"Pn")</f>
        <v>Pn</v>
      </c>
      <c r="K2976" s="9" t="str">
        <f>IFERROR(__xludf.DUMMYFUNCTION("""COMPUTED_VALUE"""),"PnTg")</f>
        <v>PnTg</v>
      </c>
      <c r="L2976" s="9" t="str">
        <f>IFERROR(__xludf.DUMMYFUNCTION("""COMPUTED_VALUE"""),"PnRF")</f>
        <v>PnRF</v>
      </c>
      <c r="M2976" s="9" t="str">
        <f>IFERROR(__xludf.DUMMYFUNCTION("""COMPUTED_VALUE"""),"PnRt")</f>
        <v>PnRt</v>
      </c>
      <c r="N2976" s="9" t="str">
        <f>IFERROR(__xludf.DUMMYFUNCTION("""COMPUTED_VALUE"""),"RtTg")</f>
        <v>RtTg</v>
      </c>
      <c r="O2976" s="9"/>
      <c r="P2976" s="9"/>
      <c r="Q2976" s="9"/>
      <c r="R2976" s="9"/>
      <c r="S2976" s="42"/>
      <c r="T2976" s="42"/>
      <c r="U2976" s="42"/>
      <c r="V2976" s="42"/>
      <c r="W2976" s="42"/>
      <c r="X2976" s="42"/>
      <c r="Y2976" s="42"/>
      <c r="Z2976" s="42"/>
      <c r="AA2976" s="42"/>
      <c r="AB2976" s="42" t="str">
        <f>IFERROR(__xludf.DUMMYFUNCTION("""COMPUTED_VALUE"""),"allen institute")</f>
        <v>allen institute</v>
      </c>
      <c r="AC2976" s="42" t="str">
        <f>IFERROR(__xludf.DUMMYFUNCTION("""COMPUTED_VALUE"""),"DHBA")</f>
        <v>DHBA</v>
      </c>
      <c r="AD2976" s="42"/>
      <c r="AE2976" s="42"/>
      <c r="AF2976" s="9"/>
      <c r="AG2976" s="9"/>
      <c r="AH2976" s="42"/>
      <c r="AI2976" s="42"/>
      <c r="AJ2976" s="42"/>
      <c r="AK2976" s="42"/>
      <c r="AL2976" s="42"/>
      <c r="AM2976" s="42"/>
      <c r="AN2976" s="42"/>
      <c r="AO2976" s="63" t="str">
        <f>IFERROR(__xludf.DUMMYFUNCTION("IF(ISBLANK(A2976),,IF(ISBLANK(S2976), A2976&amp;"";"", TEXTJOIN(CHAR(10), TRUE, A2976&amp;"";"", ARRAYFORMULA(VLOOKUP(SPLIT(S2976, "";"" &amp; CHAR(10)), $A:$AO, 41, FALSE)))))"),"RtTg;")</f>
        <v>RtTg;</v>
      </c>
      <c r="AP2976" s="89"/>
    </row>
    <row r="2977">
      <c r="A2977" s="151" t="str">
        <f>IFERROR(__xludf.DUMMYFUNCTION("""COMPUTED_VALUE"""),"RtTgD")</f>
        <v>RtTgD</v>
      </c>
      <c r="B2977" s="42" t="str">
        <f>IFERROR(__xludf.DUMMYFUNCTION("""COMPUTED_VALUE"""),"DHBA")</f>
        <v>DHBA</v>
      </c>
      <c r="C2977" s="42" t="str">
        <f>IFERROR(__xludf.DUMMYFUNCTION("""COMPUTED_VALUE"""),"reticulotegmental nucleus, dorsal part")</f>
        <v>reticulotegmental nucleus, dorsal part</v>
      </c>
      <c r="D2977" s="42">
        <f>IFERROR(__xludf.DUMMYFUNCTION("""COMPUTED_VALUE"""),2837.0)</f>
        <v>2837</v>
      </c>
      <c r="E2977" s="39" t="str">
        <f>IFERROR(__xludf.DUMMYFUNCTION("""COMPUTED_VALUE"""),"reticulotegmental nucleus, dorsal part")</f>
        <v>reticulotegmental nucleus, dorsal part</v>
      </c>
      <c r="F2977" s="9" t="str">
        <f>IFERROR(__xludf.DUMMYFUNCTION("""COMPUTED_VALUE"""),"Br")</f>
        <v>Br</v>
      </c>
      <c r="G2977" s="9" t="str">
        <f>IFERROR(__xludf.DUMMYFUNCTION("""COMPUTED_VALUE"""),"H")</f>
        <v>H</v>
      </c>
      <c r="H2977" s="9" t="str">
        <f>IFERROR(__xludf.DUMMYFUNCTION("""COMPUTED_VALUE"""),"HGM")</f>
        <v>HGM</v>
      </c>
      <c r="I2977" s="9" t="str">
        <f>IFERROR(__xludf.DUMMYFUNCTION("""COMPUTED_VALUE"""),"Met")</f>
        <v>Met</v>
      </c>
      <c r="J2977" s="9" t="str">
        <f>IFERROR(__xludf.DUMMYFUNCTION("""COMPUTED_VALUE"""),"Pn")</f>
        <v>Pn</v>
      </c>
      <c r="K2977" s="9" t="str">
        <f>IFERROR(__xludf.DUMMYFUNCTION("""COMPUTED_VALUE"""),"PnTg")</f>
        <v>PnTg</v>
      </c>
      <c r="L2977" s="9" t="str">
        <f>IFERROR(__xludf.DUMMYFUNCTION("""COMPUTED_VALUE"""),"PnRF")</f>
        <v>PnRF</v>
      </c>
      <c r="M2977" s="9" t="str">
        <f>IFERROR(__xludf.DUMMYFUNCTION("""COMPUTED_VALUE"""),"PnRt")</f>
        <v>PnRt</v>
      </c>
      <c r="N2977" s="9" t="str">
        <f>IFERROR(__xludf.DUMMYFUNCTION("""COMPUTED_VALUE"""),"RtTgD")</f>
        <v>RtTgD</v>
      </c>
      <c r="O2977" s="9"/>
      <c r="P2977" s="9"/>
      <c r="Q2977" s="9"/>
      <c r="R2977" s="9"/>
      <c r="S2977" s="42"/>
      <c r="T2977" s="42"/>
      <c r="U2977" s="42"/>
      <c r="V2977" s="42"/>
      <c r="W2977" s="42"/>
      <c r="X2977" s="42"/>
      <c r="Y2977" s="42"/>
      <c r="Z2977" s="42"/>
      <c r="AA2977" s="42"/>
      <c r="AB2977" s="42" t="str">
        <f>IFERROR(__xludf.DUMMYFUNCTION("""COMPUTED_VALUE"""),"allen institute")</f>
        <v>allen institute</v>
      </c>
      <c r="AC2977" s="42" t="str">
        <f>IFERROR(__xludf.DUMMYFUNCTION("""COMPUTED_VALUE"""),"DHBA")</f>
        <v>DHBA</v>
      </c>
      <c r="AD2977" s="42"/>
      <c r="AE2977" s="42"/>
      <c r="AF2977" s="9"/>
      <c r="AG2977" s="9"/>
      <c r="AH2977" s="42"/>
      <c r="AI2977" s="42"/>
      <c r="AJ2977" s="42"/>
      <c r="AK2977" s="42"/>
      <c r="AL2977" s="42"/>
      <c r="AM2977" s="42"/>
      <c r="AN2977" s="42"/>
      <c r="AO2977" s="63" t="str">
        <f>IFERROR(__xludf.DUMMYFUNCTION("IF(ISBLANK(A2977),,IF(ISBLANK(S2977), A2977&amp;"";"", TEXTJOIN(CHAR(10), TRUE, A2977&amp;"";"", ARRAYFORMULA(VLOOKUP(SPLIT(S2977, "";"" &amp; CHAR(10)), $A:$AO, 41, FALSE)))))"),"RtTgD;")</f>
        <v>RtTgD;</v>
      </c>
      <c r="AP2977" s="89"/>
    </row>
    <row r="2978">
      <c r="A2978" s="151" t="str">
        <f>IFERROR(__xludf.DUMMYFUNCTION("""COMPUTED_VALUE"""),"PnNA")</f>
        <v>PnNA</v>
      </c>
      <c r="B2978" s="42" t="str">
        <f>IFERROR(__xludf.DUMMYFUNCTION("""COMPUTED_VALUE"""),"DHBA")</f>
        <v>DHBA</v>
      </c>
      <c r="C2978" s="42" t="str">
        <f>IFERROR(__xludf.DUMMYFUNCTION("""COMPUTED_VALUE"""),"group of noradrenergic neurons in pons")</f>
        <v>group of noradrenergic neurons in pons</v>
      </c>
      <c r="D2978" s="42">
        <f>IFERROR(__xludf.DUMMYFUNCTION("""COMPUTED_VALUE"""),2838.0)</f>
        <v>2838</v>
      </c>
      <c r="E2978" s="39" t="str">
        <f>IFERROR(__xludf.DUMMYFUNCTION("""COMPUTED_VALUE"""),"group of noradrenergic neurons in pons")</f>
        <v>group of noradrenergic neurons in pons</v>
      </c>
      <c r="F2978" s="9" t="str">
        <f>IFERROR(__xludf.DUMMYFUNCTION("""COMPUTED_VALUE"""),"Br")</f>
        <v>Br</v>
      </c>
      <c r="G2978" s="9" t="str">
        <f>IFERROR(__xludf.DUMMYFUNCTION("""COMPUTED_VALUE"""),"H")</f>
        <v>H</v>
      </c>
      <c r="H2978" s="9" t="str">
        <f>IFERROR(__xludf.DUMMYFUNCTION("""COMPUTED_VALUE"""),"HGM")</f>
        <v>HGM</v>
      </c>
      <c r="I2978" s="9" t="str">
        <f>IFERROR(__xludf.DUMMYFUNCTION("""COMPUTED_VALUE"""),"Met")</f>
        <v>Met</v>
      </c>
      <c r="J2978" s="9" t="str">
        <f>IFERROR(__xludf.DUMMYFUNCTION("""COMPUTED_VALUE"""),"Pn")</f>
        <v>Pn</v>
      </c>
      <c r="K2978" s="9" t="str">
        <f>IFERROR(__xludf.DUMMYFUNCTION("""COMPUTED_VALUE"""),"PnTg")</f>
        <v>PnTg</v>
      </c>
      <c r="L2978" s="9" t="str">
        <f>IFERROR(__xludf.DUMMYFUNCTION("""COMPUTED_VALUE"""),"PnNA")</f>
        <v>PnNA</v>
      </c>
      <c r="M2978" s="9"/>
      <c r="N2978" s="9"/>
      <c r="O2978" s="9"/>
      <c r="P2978" s="9"/>
      <c r="Q2978" s="9"/>
      <c r="R2978" s="9"/>
      <c r="S2978" s="42" t="str">
        <f>IFERROR(__xludf.DUMMYFUNCTION("""COMPUTED_VALUE"""),"NC;
SubC")</f>
        <v>NC;
SubC</v>
      </c>
      <c r="T2978" s="42"/>
      <c r="U2978" s="42" t="b">
        <f>IFERROR(__xludf.DUMMYFUNCTION("""COMPUTED_VALUE"""),FALSE)</f>
        <v>0</v>
      </c>
      <c r="V2978" s="42"/>
      <c r="W2978" s="42"/>
      <c r="X2978" s="42"/>
      <c r="Y2978" s="42"/>
      <c r="Z2978" s="42"/>
      <c r="AA2978" s="42"/>
      <c r="AB2978" s="42" t="str">
        <f>IFERROR(__xludf.DUMMYFUNCTION("""COMPUTED_VALUE"""),"allen institute")</f>
        <v>allen institute</v>
      </c>
      <c r="AC2978" s="42" t="str">
        <f>IFERROR(__xludf.DUMMYFUNCTION("""COMPUTED_VALUE"""),"DHBA")</f>
        <v>DHBA</v>
      </c>
      <c r="AD2978" s="42"/>
      <c r="AE2978" s="42"/>
      <c r="AF2978" s="9"/>
      <c r="AG2978" s="9"/>
      <c r="AH2978" s="42"/>
      <c r="AI2978" s="42"/>
      <c r="AJ2978" s="42"/>
      <c r="AK2978" s="42"/>
      <c r="AL2978" s="42"/>
      <c r="AM2978" s="42"/>
      <c r="AN2978" s="42"/>
      <c r="AO2978" s="63" t="str">
        <f>IFERROR(__xludf.DUMMYFUNCTION("IF(ISBLANK(A2978),,IF(ISBLANK(S2978), A2978&amp;"";"", TEXTJOIN(CHAR(10), TRUE, A2978&amp;"";"", ARRAYFORMULA(VLOOKUP(SPLIT(S2978, "";"" &amp; CHAR(10)), $A:$AO, 41, FALSE)))))"),"PnNA;
NC;
SubC;
SubCd;
SubCv;")</f>
        <v>PnNA;
NC;
SubC;
SubCd;
SubCv;</v>
      </c>
      <c r="AP2978" s="89"/>
    </row>
    <row r="2979">
      <c r="A2979" s="151" t="str">
        <f>IFERROR(__xludf.DUMMYFUNCTION("""COMPUTED_VALUE"""),"NC")</f>
        <v>NC</v>
      </c>
      <c r="B2979" s="42" t="str">
        <f>IFERROR(__xludf.DUMMYFUNCTION("""COMPUTED_VALUE"""),"DHBA")</f>
        <v>DHBA</v>
      </c>
      <c r="C2979" s="42" t="str">
        <f>IFERROR(__xludf.DUMMYFUNCTION("""COMPUTED_VALUE"""),"nucleus coeruleus")</f>
        <v>nucleus coeruleus</v>
      </c>
      <c r="D2979" s="42">
        <f>IFERROR(__xludf.DUMMYFUNCTION("""COMPUTED_VALUE"""),2839.0)</f>
        <v>2839</v>
      </c>
      <c r="E2979" s="39" t="str">
        <f>IFERROR(__xludf.DUMMYFUNCTION("""COMPUTED_VALUE"""),"nucleus coeruleus")</f>
        <v>nucleus coeruleus</v>
      </c>
      <c r="F2979" s="9" t="str">
        <f>IFERROR(__xludf.DUMMYFUNCTION("""COMPUTED_VALUE"""),"Br")</f>
        <v>Br</v>
      </c>
      <c r="G2979" s="9" t="str">
        <f>IFERROR(__xludf.DUMMYFUNCTION("""COMPUTED_VALUE"""),"H")</f>
        <v>H</v>
      </c>
      <c r="H2979" s="9" t="str">
        <f>IFERROR(__xludf.DUMMYFUNCTION("""COMPUTED_VALUE"""),"HGM")</f>
        <v>HGM</v>
      </c>
      <c r="I2979" s="9" t="str">
        <f>IFERROR(__xludf.DUMMYFUNCTION("""COMPUTED_VALUE"""),"Met")</f>
        <v>Met</v>
      </c>
      <c r="J2979" s="9" t="str">
        <f>IFERROR(__xludf.DUMMYFUNCTION("""COMPUTED_VALUE"""),"Pn")</f>
        <v>Pn</v>
      </c>
      <c r="K2979" s="9" t="str">
        <f>IFERROR(__xludf.DUMMYFUNCTION("""COMPUTED_VALUE"""),"PnTg")</f>
        <v>PnTg</v>
      </c>
      <c r="L2979" s="9" t="str">
        <f>IFERROR(__xludf.DUMMYFUNCTION("""COMPUTED_VALUE"""),"PnNA")</f>
        <v>PnNA</v>
      </c>
      <c r="M2979" s="9" t="str">
        <f>IFERROR(__xludf.DUMMYFUNCTION("""COMPUTED_VALUE"""),"NC")</f>
        <v>NC</v>
      </c>
      <c r="N2979" s="9"/>
      <c r="O2979" s="9"/>
      <c r="P2979" s="9"/>
      <c r="Q2979" s="9"/>
      <c r="R2979" s="9"/>
      <c r="S2979" s="42"/>
      <c r="T2979" s="42"/>
      <c r="U2979" s="42"/>
      <c r="V2979" s="42"/>
      <c r="W2979" s="42"/>
      <c r="X2979" s="42"/>
      <c r="Y2979" s="42"/>
      <c r="Z2979" s="42"/>
      <c r="AA2979" s="42"/>
      <c r="AB2979" s="42" t="str">
        <f>IFERROR(__xludf.DUMMYFUNCTION("""COMPUTED_VALUE"""),"allen institute")</f>
        <v>allen institute</v>
      </c>
      <c r="AC2979" s="42" t="str">
        <f>IFERROR(__xludf.DUMMYFUNCTION("""COMPUTED_VALUE"""),"DHBA")</f>
        <v>DHBA</v>
      </c>
      <c r="AD2979" s="42"/>
      <c r="AE2979" s="42"/>
      <c r="AF2979" s="9"/>
      <c r="AG2979" s="9"/>
      <c r="AH2979" s="42"/>
      <c r="AI2979" s="42"/>
      <c r="AJ2979" s="42"/>
      <c r="AK2979" s="42"/>
      <c r="AL2979" s="42"/>
      <c r="AM2979" s="42"/>
      <c r="AN2979" s="42"/>
      <c r="AO2979" s="63" t="str">
        <f>IFERROR(__xludf.DUMMYFUNCTION("IF(ISBLANK(A2979),,IF(ISBLANK(S2979), A2979&amp;"";"", TEXTJOIN(CHAR(10), TRUE, A2979&amp;"";"", ARRAYFORMULA(VLOOKUP(SPLIT(S2979, "";"" &amp; CHAR(10)), $A:$AO, 41, FALSE)))))"),"NC;")</f>
        <v>NC;</v>
      </c>
      <c r="AP2979" s="89"/>
    </row>
    <row r="2980">
      <c r="A2980" s="151" t="str">
        <f>IFERROR(__xludf.DUMMYFUNCTION("""COMPUTED_VALUE"""),"SubC")</f>
        <v>SubC</v>
      </c>
      <c r="B2980" s="42" t="str">
        <f>IFERROR(__xludf.DUMMYFUNCTION("""COMPUTED_VALUE"""),"DHBA")</f>
        <v>DHBA</v>
      </c>
      <c r="C2980" s="42" t="str">
        <f>IFERROR(__xludf.DUMMYFUNCTION("""COMPUTED_VALUE"""),"SubCoeruleus nucleus, Nucleus SubCoeruleus, sC")</f>
        <v>SubCoeruleus nucleus, Nucleus SubCoeruleus, sC</v>
      </c>
      <c r="D2980" s="42">
        <f>IFERROR(__xludf.DUMMYFUNCTION("""COMPUTED_VALUE"""),2840.0)</f>
        <v>2840</v>
      </c>
      <c r="E2980" s="39" t="str">
        <f>IFERROR(__xludf.DUMMYFUNCTION("""COMPUTED_VALUE"""),"subcoeruleus nucleus")</f>
        <v>subcoeruleus nucleus</v>
      </c>
      <c r="F2980" s="9" t="str">
        <f>IFERROR(__xludf.DUMMYFUNCTION("""COMPUTED_VALUE"""),"Br")</f>
        <v>Br</v>
      </c>
      <c r="G2980" s="9" t="str">
        <f>IFERROR(__xludf.DUMMYFUNCTION("""COMPUTED_VALUE"""),"H")</f>
        <v>H</v>
      </c>
      <c r="H2980" s="9" t="str">
        <f>IFERROR(__xludf.DUMMYFUNCTION("""COMPUTED_VALUE"""),"HGM")</f>
        <v>HGM</v>
      </c>
      <c r="I2980" s="9" t="str">
        <f>IFERROR(__xludf.DUMMYFUNCTION("""COMPUTED_VALUE"""),"Met")</f>
        <v>Met</v>
      </c>
      <c r="J2980" s="9" t="str">
        <f>IFERROR(__xludf.DUMMYFUNCTION("""COMPUTED_VALUE"""),"Pn")</f>
        <v>Pn</v>
      </c>
      <c r="K2980" s="9" t="str">
        <f>IFERROR(__xludf.DUMMYFUNCTION("""COMPUTED_VALUE"""),"PnTg")</f>
        <v>PnTg</v>
      </c>
      <c r="L2980" s="9" t="str">
        <f>IFERROR(__xludf.DUMMYFUNCTION("""COMPUTED_VALUE"""),"PnNA")</f>
        <v>PnNA</v>
      </c>
      <c r="M2980" s="9" t="str">
        <f>IFERROR(__xludf.DUMMYFUNCTION("""COMPUTED_VALUE"""),"SubC")</f>
        <v>SubC</v>
      </c>
      <c r="N2980" s="9"/>
      <c r="O2980" s="9"/>
      <c r="P2980" s="9"/>
      <c r="Q2980" s="9"/>
      <c r="R2980" s="9"/>
      <c r="S2980" s="42" t="str">
        <f>IFERROR(__xludf.DUMMYFUNCTION("""COMPUTED_VALUE"""),"SubCd;
SubCv")</f>
        <v>SubCd;
SubCv</v>
      </c>
      <c r="T2980" s="42"/>
      <c r="U2980" s="42" t="b">
        <f>IFERROR(__xludf.DUMMYFUNCTION("""COMPUTED_VALUE"""),FALSE)</f>
        <v>0</v>
      </c>
      <c r="V2980" s="42"/>
      <c r="W2980" s="42"/>
      <c r="X2980" s="42"/>
      <c r="Y2980" s="42"/>
      <c r="Z2980" s="42"/>
      <c r="AA2980" s="42"/>
      <c r="AB2980" s="42" t="str">
        <f>IFERROR(__xludf.DUMMYFUNCTION("""COMPUTED_VALUE"""),"allen institute")</f>
        <v>allen institute</v>
      </c>
      <c r="AC2980" s="42" t="str">
        <f>IFERROR(__xludf.DUMMYFUNCTION("""COMPUTED_VALUE"""),"DHBA")</f>
        <v>DHBA</v>
      </c>
      <c r="AD2980" s="42"/>
      <c r="AE2980" s="42"/>
      <c r="AF2980" s="9"/>
      <c r="AG2980" s="9"/>
      <c r="AH2980" s="42"/>
      <c r="AI2980" s="42"/>
      <c r="AJ2980" s="42"/>
      <c r="AK2980" s="42"/>
      <c r="AL2980" s="42"/>
      <c r="AM2980" s="42"/>
      <c r="AN2980" s="42"/>
      <c r="AO2980" s="63" t="str">
        <f>IFERROR(__xludf.DUMMYFUNCTION("IF(ISBLANK(A2980),,IF(ISBLANK(S2980), A2980&amp;"";"", TEXTJOIN(CHAR(10), TRUE, A2980&amp;"";"", ARRAYFORMULA(VLOOKUP(SPLIT(S2980, "";"" &amp; CHAR(10)), $A:$AO, 41, FALSE)))))"),"SubC;
SubCd;
SubCv;")</f>
        <v>SubC;
SubCd;
SubCv;</v>
      </c>
      <c r="AP2980" s="89"/>
    </row>
    <row r="2981">
      <c r="A2981" s="151" t="str">
        <f>IFERROR(__xludf.DUMMYFUNCTION("""COMPUTED_VALUE"""),"SubCd")</f>
        <v>SubCd</v>
      </c>
      <c r="B2981" s="42" t="str">
        <f>IFERROR(__xludf.DUMMYFUNCTION("""COMPUTED_VALUE"""),"DHBA")</f>
        <v>DHBA</v>
      </c>
      <c r="C2981" s="42" t="str">
        <f>IFERROR(__xludf.DUMMYFUNCTION("""COMPUTED_VALUE"""),"subcoeruleus nucleus, dorsal part")</f>
        <v>subcoeruleus nucleus, dorsal part</v>
      </c>
      <c r="D2981" s="42">
        <f>IFERROR(__xludf.DUMMYFUNCTION("""COMPUTED_VALUE"""),2841.0)</f>
        <v>2841</v>
      </c>
      <c r="E2981" s="39" t="str">
        <f>IFERROR(__xludf.DUMMYFUNCTION("""COMPUTED_VALUE"""),"subcoeruleus nucleus, dorsal part")</f>
        <v>subcoeruleus nucleus, dorsal part</v>
      </c>
      <c r="F2981" s="9" t="str">
        <f>IFERROR(__xludf.DUMMYFUNCTION("""COMPUTED_VALUE"""),"Br")</f>
        <v>Br</v>
      </c>
      <c r="G2981" s="9" t="str">
        <f>IFERROR(__xludf.DUMMYFUNCTION("""COMPUTED_VALUE"""),"H")</f>
        <v>H</v>
      </c>
      <c r="H2981" s="9" t="str">
        <f>IFERROR(__xludf.DUMMYFUNCTION("""COMPUTED_VALUE"""),"HGM")</f>
        <v>HGM</v>
      </c>
      <c r="I2981" s="9" t="str">
        <f>IFERROR(__xludf.DUMMYFUNCTION("""COMPUTED_VALUE"""),"Met")</f>
        <v>Met</v>
      </c>
      <c r="J2981" s="9" t="str">
        <f>IFERROR(__xludf.DUMMYFUNCTION("""COMPUTED_VALUE"""),"Pn")</f>
        <v>Pn</v>
      </c>
      <c r="K2981" s="9" t="str">
        <f>IFERROR(__xludf.DUMMYFUNCTION("""COMPUTED_VALUE"""),"PnTg")</f>
        <v>PnTg</v>
      </c>
      <c r="L2981" s="9" t="str">
        <f>IFERROR(__xludf.DUMMYFUNCTION("""COMPUTED_VALUE"""),"PnNA")</f>
        <v>PnNA</v>
      </c>
      <c r="M2981" s="9" t="str">
        <f>IFERROR(__xludf.DUMMYFUNCTION("""COMPUTED_VALUE"""),"SubC")</f>
        <v>SubC</v>
      </c>
      <c r="N2981" s="9" t="str">
        <f>IFERROR(__xludf.DUMMYFUNCTION("""COMPUTED_VALUE"""),"SubCd")</f>
        <v>SubCd</v>
      </c>
      <c r="O2981" s="9"/>
      <c r="P2981" s="9"/>
      <c r="Q2981" s="9"/>
      <c r="R2981" s="9"/>
      <c r="S2981" s="42"/>
      <c r="T2981" s="42"/>
      <c r="U2981" s="42"/>
      <c r="V2981" s="42"/>
      <c r="W2981" s="42"/>
      <c r="X2981" s="42"/>
      <c r="Y2981" s="42"/>
      <c r="Z2981" s="42"/>
      <c r="AA2981" s="42"/>
      <c r="AB2981" s="42" t="str">
        <f>IFERROR(__xludf.DUMMYFUNCTION("""COMPUTED_VALUE"""),"allen institute")</f>
        <v>allen institute</v>
      </c>
      <c r="AC2981" s="42" t="str">
        <f>IFERROR(__xludf.DUMMYFUNCTION("""COMPUTED_VALUE"""),"DHBA")</f>
        <v>DHBA</v>
      </c>
      <c r="AD2981" s="42"/>
      <c r="AE2981" s="42"/>
      <c r="AF2981" s="9"/>
      <c r="AG2981" s="9"/>
      <c r="AH2981" s="42"/>
      <c r="AI2981" s="42"/>
      <c r="AJ2981" s="42"/>
      <c r="AK2981" s="42"/>
      <c r="AL2981" s="42"/>
      <c r="AM2981" s="42"/>
      <c r="AN2981" s="42"/>
      <c r="AO2981" s="63" t="str">
        <f>IFERROR(__xludf.DUMMYFUNCTION("IF(ISBLANK(A2981),,IF(ISBLANK(S2981), A2981&amp;"";"", TEXTJOIN(CHAR(10), TRUE, A2981&amp;"";"", ARRAYFORMULA(VLOOKUP(SPLIT(S2981, "";"" &amp; CHAR(10)), $A:$AO, 41, FALSE)))))"),"SubCd;")</f>
        <v>SubCd;</v>
      </c>
      <c r="AP2981" s="89"/>
    </row>
    <row r="2982">
      <c r="A2982" s="151" t="str">
        <f>IFERROR(__xludf.DUMMYFUNCTION("""COMPUTED_VALUE"""),"SubCv")</f>
        <v>SubCv</v>
      </c>
      <c r="B2982" s="42" t="str">
        <f>IFERROR(__xludf.DUMMYFUNCTION("""COMPUTED_VALUE"""),"DHBA")</f>
        <v>DHBA</v>
      </c>
      <c r="C2982" s="42" t="str">
        <f>IFERROR(__xludf.DUMMYFUNCTION("""COMPUTED_VALUE"""),"subcoeruleus nucleus, ventral part")</f>
        <v>subcoeruleus nucleus, ventral part</v>
      </c>
      <c r="D2982" s="42">
        <f>IFERROR(__xludf.DUMMYFUNCTION("""COMPUTED_VALUE"""),2842.0)</f>
        <v>2842</v>
      </c>
      <c r="E2982" s="39" t="str">
        <f>IFERROR(__xludf.DUMMYFUNCTION("""COMPUTED_VALUE"""),"subcoeruleus nucleus, ventral part")</f>
        <v>subcoeruleus nucleus, ventral part</v>
      </c>
      <c r="F2982" s="9" t="str">
        <f>IFERROR(__xludf.DUMMYFUNCTION("""COMPUTED_VALUE"""),"Br")</f>
        <v>Br</v>
      </c>
      <c r="G2982" s="9" t="str">
        <f>IFERROR(__xludf.DUMMYFUNCTION("""COMPUTED_VALUE"""),"H")</f>
        <v>H</v>
      </c>
      <c r="H2982" s="9" t="str">
        <f>IFERROR(__xludf.DUMMYFUNCTION("""COMPUTED_VALUE"""),"HGM")</f>
        <v>HGM</v>
      </c>
      <c r="I2982" s="9" t="str">
        <f>IFERROR(__xludf.DUMMYFUNCTION("""COMPUTED_VALUE"""),"Met")</f>
        <v>Met</v>
      </c>
      <c r="J2982" s="9" t="str">
        <f>IFERROR(__xludf.DUMMYFUNCTION("""COMPUTED_VALUE"""),"Pn")</f>
        <v>Pn</v>
      </c>
      <c r="K2982" s="9" t="str">
        <f>IFERROR(__xludf.DUMMYFUNCTION("""COMPUTED_VALUE"""),"PnTg")</f>
        <v>PnTg</v>
      </c>
      <c r="L2982" s="9" t="str">
        <f>IFERROR(__xludf.DUMMYFUNCTION("""COMPUTED_VALUE"""),"PnNA")</f>
        <v>PnNA</v>
      </c>
      <c r="M2982" s="9" t="str">
        <f>IFERROR(__xludf.DUMMYFUNCTION("""COMPUTED_VALUE"""),"SubC")</f>
        <v>SubC</v>
      </c>
      <c r="N2982" s="9" t="str">
        <f>IFERROR(__xludf.DUMMYFUNCTION("""COMPUTED_VALUE"""),"SubCv")</f>
        <v>SubCv</v>
      </c>
      <c r="O2982" s="9"/>
      <c r="P2982" s="9"/>
      <c r="Q2982" s="9"/>
      <c r="R2982" s="9"/>
      <c r="S2982" s="42"/>
      <c r="T2982" s="42"/>
      <c r="U2982" s="42"/>
      <c r="V2982" s="42"/>
      <c r="W2982" s="42"/>
      <c r="X2982" s="42"/>
      <c r="Y2982" s="42"/>
      <c r="Z2982" s="42"/>
      <c r="AA2982" s="42"/>
      <c r="AB2982" s="42" t="str">
        <f>IFERROR(__xludf.DUMMYFUNCTION("""COMPUTED_VALUE"""),"allen institute")</f>
        <v>allen institute</v>
      </c>
      <c r="AC2982" s="42" t="str">
        <f>IFERROR(__xludf.DUMMYFUNCTION("""COMPUTED_VALUE"""),"DHBA")</f>
        <v>DHBA</v>
      </c>
      <c r="AD2982" s="42"/>
      <c r="AE2982" s="42"/>
      <c r="AF2982" s="9"/>
      <c r="AG2982" s="9"/>
      <c r="AH2982" s="42"/>
      <c r="AI2982" s="42"/>
      <c r="AJ2982" s="42"/>
      <c r="AK2982" s="42"/>
      <c r="AL2982" s="42"/>
      <c r="AM2982" s="42"/>
      <c r="AN2982" s="42"/>
      <c r="AO2982" s="63" t="str">
        <f>IFERROR(__xludf.DUMMYFUNCTION("IF(ISBLANK(A2982),,IF(ISBLANK(S2982), A2982&amp;"";"", TEXTJOIN(CHAR(10), TRUE, A2982&amp;"";"", ARRAYFORMULA(VLOOKUP(SPLIT(S2982, "";"" &amp; CHAR(10)), $A:$AO, 41, FALSE)))))"),"SubCv;")</f>
        <v>SubCv;</v>
      </c>
      <c r="AP2982" s="89"/>
    </row>
    <row r="2983">
      <c r="A2983" s="151" t="str">
        <f>IFERROR(__xludf.DUMMYFUNCTION("""COMPUTED_VALUE"""),"XPnTg")</f>
        <v>XPnTg</v>
      </c>
      <c r="B2983" s="42" t="str">
        <f>IFERROR(__xludf.DUMMYFUNCTION("""COMPUTED_VALUE"""),"DHBA")</f>
        <v>DHBA</v>
      </c>
      <c r="C2983" s="42" t="str">
        <f>IFERROR(__xludf.DUMMYFUNCTION("""COMPUTED_VALUE"""),"other nuclei in pontine tegmentum")</f>
        <v>other nuclei in pontine tegmentum</v>
      </c>
      <c r="D2983" s="42">
        <f>IFERROR(__xludf.DUMMYFUNCTION("""COMPUTED_VALUE"""),2843.0)</f>
        <v>2843</v>
      </c>
      <c r="E2983" s="39" t="str">
        <f>IFERROR(__xludf.DUMMYFUNCTION("""COMPUTED_VALUE"""),"other nuclei in pontine tegmentum")</f>
        <v>other nuclei in pontine tegmentum</v>
      </c>
      <c r="F2983" s="9" t="str">
        <f>IFERROR(__xludf.DUMMYFUNCTION("""COMPUTED_VALUE"""),"Br")</f>
        <v>Br</v>
      </c>
      <c r="G2983" s="9" t="str">
        <f>IFERROR(__xludf.DUMMYFUNCTION("""COMPUTED_VALUE"""),"H")</f>
        <v>H</v>
      </c>
      <c r="H2983" s="9" t="str">
        <f>IFERROR(__xludf.DUMMYFUNCTION("""COMPUTED_VALUE"""),"HGM")</f>
        <v>HGM</v>
      </c>
      <c r="I2983" s="9" t="str">
        <f>IFERROR(__xludf.DUMMYFUNCTION("""COMPUTED_VALUE"""),"Met")</f>
        <v>Met</v>
      </c>
      <c r="J2983" s="9" t="str">
        <f>IFERROR(__xludf.DUMMYFUNCTION("""COMPUTED_VALUE"""),"Pn")</f>
        <v>Pn</v>
      </c>
      <c r="K2983" s="9" t="str">
        <f>IFERROR(__xludf.DUMMYFUNCTION("""COMPUTED_VALUE"""),"PnTg")</f>
        <v>PnTg</v>
      </c>
      <c r="L2983" s="9" t="str">
        <f>IFERROR(__xludf.DUMMYFUNCTION("""COMPUTED_VALUE"""),"XPnTg")</f>
        <v>XPnTg</v>
      </c>
      <c r="M2983" s="9"/>
      <c r="N2983" s="9"/>
      <c r="O2983" s="9"/>
      <c r="P2983" s="9"/>
      <c r="Q2983" s="9"/>
      <c r="R2983" s="9"/>
      <c r="S2983" s="42" t="str">
        <f>IFERROR(__xludf.DUMMYFUNCTION("""COMPUTED_VALUE"""),"Acs5;
AInS;
B9;
Bar;
PnCG;
CAT;
DTg;
DMTg;
PnE;
EpC;
PnG;
IIMLF;
IMLF;
I5;
JxO;
KF;
LDTg;
NI;
K;
L;
Pa6;
PCuN;
PF7;
PnBi;
P5;
R7;
RTz;
_5N;
VLTg;
SGe")</f>
        <v>Acs5;
AInS;
B9;
Bar;
PnCG;
CAT;
DTg;
DMTg;
PnE;
EpC;
PnG;
IIMLF;
IMLF;
I5;
JxO;
KF;
LDTg;
NI;
K;
L;
Pa6;
PCuN;
PF7;
PnBi;
P5;
R7;
RTz;
_5N;
VLTg;
SGe</v>
      </c>
      <c r="T2983" s="42"/>
      <c r="U2983" s="42" t="b">
        <f>IFERROR(__xludf.DUMMYFUNCTION("""COMPUTED_VALUE"""),FALSE)</f>
        <v>0</v>
      </c>
      <c r="V2983" s="42"/>
      <c r="W2983" s="42"/>
      <c r="X2983" s="42"/>
      <c r="Y2983" s="42"/>
      <c r="Z2983" s="42"/>
      <c r="AA2983" s="42"/>
      <c r="AB2983" s="42" t="str">
        <f>IFERROR(__xludf.DUMMYFUNCTION("""COMPUTED_VALUE"""),"allen institute")</f>
        <v>allen institute</v>
      </c>
      <c r="AC2983" s="42" t="str">
        <f>IFERROR(__xludf.DUMMYFUNCTION("""COMPUTED_VALUE"""),"DHBA")</f>
        <v>DHBA</v>
      </c>
      <c r="AD2983" s="42"/>
      <c r="AE2983" s="42"/>
      <c r="AF2983" s="9"/>
      <c r="AG2983" s="9"/>
      <c r="AH2983" s="42"/>
      <c r="AI2983" s="42"/>
      <c r="AJ2983" s="42"/>
      <c r="AK2983" s="42"/>
      <c r="AL2983" s="42"/>
      <c r="AM2983" s="42"/>
      <c r="AN2983" s="42"/>
      <c r="AO2983" s="63" t="str">
        <f>IFERROR(__xludf.DUMMYFUNCTION("IF(ISBLANK(A2983),,IF(ISBLANK(S2983), A2983&amp;"";"", TEXTJOIN(CHAR(10), TRUE, A2983&amp;"";"", ARRAYFORMULA(VLOOKUP(SPLIT(S2983, "";"" &amp; CHAR(10)), $A:$AO, 41, FALSE)))))"),"#N/A")</f>
        <v>#N/A</v>
      </c>
      <c r="AP2983" s="89"/>
    </row>
    <row r="2984">
      <c r="A2984" s="151" t="str">
        <f>IFERROR(__xludf.DUMMYFUNCTION("""COMPUTED_VALUE"""),"Acs5")</f>
        <v>Acs5</v>
      </c>
      <c r="B2984" s="42" t="str">
        <f>IFERROR(__xludf.DUMMYFUNCTION("""COMPUTED_VALUE"""),"DHBA")</f>
        <v>DHBA</v>
      </c>
      <c r="C2984" s="42" t="str">
        <f>IFERROR(__xludf.DUMMYFUNCTION("""COMPUTED_VALUE"""),"accessory trigeminal nucleus")</f>
        <v>accessory trigeminal nucleus</v>
      </c>
      <c r="D2984" s="42">
        <f>IFERROR(__xludf.DUMMYFUNCTION("""COMPUTED_VALUE"""),2844.0)</f>
        <v>2844</v>
      </c>
      <c r="E2984" s="39" t="str">
        <f>IFERROR(__xludf.DUMMYFUNCTION("""COMPUTED_VALUE"""),"accessory trigeminal nucleus")</f>
        <v>accessory trigeminal nucleus</v>
      </c>
      <c r="F2984" s="9" t="str">
        <f>IFERROR(__xludf.DUMMYFUNCTION("""COMPUTED_VALUE"""),"Br")</f>
        <v>Br</v>
      </c>
      <c r="G2984" s="9" t="str">
        <f>IFERROR(__xludf.DUMMYFUNCTION("""COMPUTED_VALUE"""),"H")</f>
        <v>H</v>
      </c>
      <c r="H2984" s="9" t="str">
        <f>IFERROR(__xludf.DUMMYFUNCTION("""COMPUTED_VALUE"""),"HGM")</f>
        <v>HGM</v>
      </c>
      <c r="I2984" s="9" t="str">
        <f>IFERROR(__xludf.DUMMYFUNCTION("""COMPUTED_VALUE"""),"Met")</f>
        <v>Met</v>
      </c>
      <c r="J2984" s="9" t="str">
        <f>IFERROR(__xludf.DUMMYFUNCTION("""COMPUTED_VALUE"""),"Pn")</f>
        <v>Pn</v>
      </c>
      <c r="K2984" s="9" t="str">
        <f>IFERROR(__xludf.DUMMYFUNCTION("""COMPUTED_VALUE"""),"PnTg")</f>
        <v>PnTg</v>
      </c>
      <c r="L2984" s="9" t="str">
        <f>IFERROR(__xludf.DUMMYFUNCTION("""COMPUTED_VALUE"""),"XPnTg")</f>
        <v>XPnTg</v>
      </c>
      <c r="M2984" s="9" t="str">
        <f>IFERROR(__xludf.DUMMYFUNCTION("""COMPUTED_VALUE"""),"Acs5")</f>
        <v>Acs5</v>
      </c>
      <c r="N2984" s="9"/>
      <c r="O2984" s="9"/>
      <c r="P2984" s="9"/>
      <c r="Q2984" s="9"/>
      <c r="R2984" s="9"/>
      <c r="S2984" s="42"/>
      <c r="T2984" s="42"/>
      <c r="U2984" s="42"/>
      <c r="V2984" s="42"/>
      <c r="W2984" s="42"/>
      <c r="X2984" s="42"/>
      <c r="Y2984" s="42"/>
      <c r="Z2984" s="42"/>
      <c r="AA2984" s="42"/>
      <c r="AB2984" s="42" t="str">
        <f>IFERROR(__xludf.DUMMYFUNCTION("""COMPUTED_VALUE"""),"allen institute")</f>
        <v>allen institute</v>
      </c>
      <c r="AC2984" s="42" t="str">
        <f>IFERROR(__xludf.DUMMYFUNCTION("""COMPUTED_VALUE"""),"DHBA")</f>
        <v>DHBA</v>
      </c>
      <c r="AD2984" s="42"/>
      <c r="AE2984" s="42"/>
      <c r="AF2984" s="9"/>
      <c r="AG2984" s="9"/>
      <c r="AH2984" s="42"/>
      <c r="AI2984" s="42"/>
      <c r="AJ2984" s="42"/>
      <c r="AK2984" s="42"/>
      <c r="AL2984" s="42"/>
      <c r="AM2984" s="42"/>
      <c r="AN2984" s="42"/>
      <c r="AO2984" s="63" t="str">
        <f>IFERROR(__xludf.DUMMYFUNCTION("IF(ISBLANK(A2984),,IF(ISBLANK(S2984), A2984&amp;"";"", TEXTJOIN(CHAR(10), TRUE, A2984&amp;"";"", ARRAYFORMULA(VLOOKUP(SPLIT(S2984, "";"" &amp; CHAR(10)), $A:$AO, 41, FALSE)))))"),"Acs5;")</f>
        <v>Acs5;</v>
      </c>
      <c r="AP2984" s="89"/>
    </row>
    <row r="2985">
      <c r="A2985" s="151" t="str">
        <f>IFERROR(__xludf.DUMMYFUNCTION("""COMPUTED_VALUE"""),"AInS")</f>
        <v>AInS</v>
      </c>
      <c r="B2985" s="42" t="str">
        <f>IFERROR(__xludf.DUMMYFUNCTION("""COMPUTED_VALUE"""),"DHBA")</f>
        <v>DHBA</v>
      </c>
      <c r="C2985" s="42" t="str">
        <f>IFERROR(__xludf.DUMMYFUNCTION("""COMPUTED_VALUE"""),"alar interstitial nucleus")</f>
        <v>alar interstitial nucleus</v>
      </c>
      <c r="D2985" s="42">
        <f>IFERROR(__xludf.DUMMYFUNCTION("""COMPUTED_VALUE"""),2845.0)</f>
        <v>2845</v>
      </c>
      <c r="E2985" s="39" t="str">
        <f>IFERROR(__xludf.DUMMYFUNCTION("""COMPUTED_VALUE"""),"alar interstitial nucleus")</f>
        <v>alar interstitial nucleus</v>
      </c>
      <c r="F2985" s="9" t="str">
        <f>IFERROR(__xludf.DUMMYFUNCTION("""COMPUTED_VALUE"""),"Br")</f>
        <v>Br</v>
      </c>
      <c r="G2985" s="9" t="str">
        <f>IFERROR(__xludf.DUMMYFUNCTION("""COMPUTED_VALUE"""),"H")</f>
        <v>H</v>
      </c>
      <c r="H2985" s="9" t="str">
        <f>IFERROR(__xludf.DUMMYFUNCTION("""COMPUTED_VALUE"""),"HGM")</f>
        <v>HGM</v>
      </c>
      <c r="I2985" s="9" t="str">
        <f>IFERROR(__xludf.DUMMYFUNCTION("""COMPUTED_VALUE"""),"Met")</f>
        <v>Met</v>
      </c>
      <c r="J2985" s="9" t="str">
        <f>IFERROR(__xludf.DUMMYFUNCTION("""COMPUTED_VALUE"""),"Pn")</f>
        <v>Pn</v>
      </c>
      <c r="K2985" s="9" t="str">
        <f>IFERROR(__xludf.DUMMYFUNCTION("""COMPUTED_VALUE"""),"PnTg")</f>
        <v>PnTg</v>
      </c>
      <c r="L2985" s="9" t="str">
        <f>IFERROR(__xludf.DUMMYFUNCTION("""COMPUTED_VALUE"""),"XPnTg")</f>
        <v>XPnTg</v>
      </c>
      <c r="M2985" s="9" t="str">
        <f>IFERROR(__xludf.DUMMYFUNCTION("""COMPUTED_VALUE"""),"AInS")</f>
        <v>AInS</v>
      </c>
      <c r="N2985" s="9"/>
      <c r="O2985" s="9"/>
      <c r="P2985" s="9"/>
      <c r="Q2985" s="9"/>
      <c r="R2985" s="9"/>
      <c r="S2985" s="42"/>
      <c r="T2985" s="42"/>
      <c r="U2985" s="42"/>
      <c r="V2985" s="42"/>
      <c r="W2985" s="42"/>
      <c r="X2985" s="42"/>
      <c r="Y2985" s="42"/>
      <c r="Z2985" s="42"/>
      <c r="AA2985" s="42"/>
      <c r="AB2985" s="42" t="str">
        <f>IFERROR(__xludf.DUMMYFUNCTION("""COMPUTED_VALUE"""),"allen institute")</f>
        <v>allen institute</v>
      </c>
      <c r="AC2985" s="42" t="str">
        <f>IFERROR(__xludf.DUMMYFUNCTION("""COMPUTED_VALUE"""),"DHBA")</f>
        <v>DHBA</v>
      </c>
      <c r="AD2985" s="42"/>
      <c r="AE2985" s="42"/>
      <c r="AF2985" s="9"/>
      <c r="AG2985" s="9"/>
      <c r="AH2985" s="42"/>
      <c r="AI2985" s="42"/>
      <c r="AJ2985" s="42"/>
      <c r="AK2985" s="42"/>
      <c r="AL2985" s="42"/>
      <c r="AM2985" s="42"/>
      <c r="AN2985" s="42"/>
      <c r="AO2985" s="63" t="str">
        <f>IFERROR(__xludf.DUMMYFUNCTION("IF(ISBLANK(A2985),,IF(ISBLANK(S2985), A2985&amp;"";"", TEXTJOIN(CHAR(10), TRUE, A2985&amp;"";"", ARRAYFORMULA(VLOOKUP(SPLIT(S2985, "";"" &amp; CHAR(10)), $A:$AO, 41, FALSE)))))"),"AInS;")</f>
        <v>AInS;</v>
      </c>
      <c r="AP2985" s="89"/>
    </row>
    <row r="2986">
      <c r="A2986" s="151" t="str">
        <f>IFERROR(__xludf.DUMMYFUNCTION("""COMPUTED_VALUE"""),"B9")</f>
        <v>B9</v>
      </c>
      <c r="B2986" s="42" t="str">
        <f>IFERROR(__xludf.DUMMYFUNCTION("""COMPUTED_VALUE"""),"DHBA")</f>
        <v>DHBA</v>
      </c>
      <c r="C2986" s="42" t="str">
        <f>IFERROR(__xludf.DUMMYFUNCTION("""COMPUTED_VALUE"""),"B9 serotonin cells")</f>
        <v>B9 serotonin cells</v>
      </c>
      <c r="D2986" s="42">
        <f>IFERROR(__xludf.DUMMYFUNCTION("""COMPUTED_VALUE"""),2846.0)</f>
        <v>2846</v>
      </c>
      <c r="E2986" s="39" t="str">
        <f>IFERROR(__xludf.DUMMYFUNCTION("""COMPUTED_VALUE"""),"B9 serotonin cells")</f>
        <v>B9 serotonin cells</v>
      </c>
      <c r="F2986" s="9" t="str">
        <f>IFERROR(__xludf.DUMMYFUNCTION("""COMPUTED_VALUE"""),"Br")</f>
        <v>Br</v>
      </c>
      <c r="G2986" s="9" t="str">
        <f>IFERROR(__xludf.DUMMYFUNCTION("""COMPUTED_VALUE"""),"H")</f>
        <v>H</v>
      </c>
      <c r="H2986" s="9" t="str">
        <f>IFERROR(__xludf.DUMMYFUNCTION("""COMPUTED_VALUE"""),"HGM")</f>
        <v>HGM</v>
      </c>
      <c r="I2986" s="9" t="str">
        <f>IFERROR(__xludf.DUMMYFUNCTION("""COMPUTED_VALUE"""),"Met")</f>
        <v>Met</v>
      </c>
      <c r="J2986" s="9" t="str">
        <f>IFERROR(__xludf.DUMMYFUNCTION("""COMPUTED_VALUE"""),"Pn")</f>
        <v>Pn</v>
      </c>
      <c r="K2986" s="9" t="str">
        <f>IFERROR(__xludf.DUMMYFUNCTION("""COMPUTED_VALUE"""),"PnTg")</f>
        <v>PnTg</v>
      </c>
      <c r="L2986" s="9" t="str">
        <f>IFERROR(__xludf.DUMMYFUNCTION("""COMPUTED_VALUE"""),"XPnTg")</f>
        <v>XPnTg</v>
      </c>
      <c r="M2986" s="9" t="str">
        <f>IFERROR(__xludf.DUMMYFUNCTION("""COMPUTED_VALUE"""),"B9")</f>
        <v>B9</v>
      </c>
      <c r="N2986" s="9"/>
      <c r="O2986" s="9"/>
      <c r="P2986" s="9"/>
      <c r="Q2986" s="9"/>
      <c r="R2986" s="9"/>
      <c r="S2986" s="42"/>
      <c r="T2986" s="42"/>
      <c r="U2986" s="159"/>
      <c r="V2986" s="42"/>
      <c r="W2986" s="42"/>
      <c r="X2986" s="42"/>
      <c r="Y2986" s="42"/>
      <c r="Z2986" s="42"/>
      <c r="AA2986" s="42"/>
      <c r="AB2986" s="42" t="str">
        <f>IFERROR(__xludf.DUMMYFUNCTION("""COMPUTED_VALUE"""),"allen institute")</f>
        <v>allen institute</v>
      </c>
      <c r="AC2986" s="42" t="str">
        <f>IFERROR(__xludf.DUMMYFUNCTION("""COMPUTED_VALUE"""),"DHBA")</f>
        <v>DHBA</v>
      </c>
      <c r="AD2986" s="42"/>
      <c r="AE2986" s="42"/>
      <c r="AF2986" s="9"/>
      <c r="AG2986" s="9"/>
      <c r="AH2986" s="42"/>
      <c r="AI2986" s="42"/>
      <c r="AJ2986" s="42"/>
      <c r="AK2986" s="42"/>
      <c r="AL2986" s="42"/>
      <c r="AM2986" s="42"/>
      <c r="AN2986" s="42"/>
      <c r="AO2986" s="63" t="str">
        <f>IFERROR(__xludf.DUMMYFUNCTION("IF(ISBLANK(A2986),,IF(ISBLANK(S2986), A2986&amp;"";"", TEXTJOIN(CHAR(10), TRUE, A2986&amp;"";"", ARRAYFORMULA(VLOOKUP(SPLIT(S2986, "";"" &amp; CHAR(10)), $A:$AO, 41, FALSE)))))"),"B9;")</f>
        <v>B9;</v>
      </c>
      <c r="AP2986" s="89"/>
    </row>
    <row r="2987">
      <c r="A2987" s="151" t="str">
        <f>IFERROR(__xludf.DUMMYFUNCTION("""COMPUTED_VALUE"""),"Bar")</f>
        <v>Bar</v>
      </c>
      <c r="B2987" s="42" t="str">
        <f>IFERROR(__xludf.DUMMYFUNCTION("""COMPUTED_VALUE"""),"DHBA")</f>
        <v>DHBA</v>
      </c>
      <c r="C2987" s="42" t="str">
        <f>IFERROR(__xludf.DUMMYFUNCTION("""COMPUTED_VALUE"""),"Barrington's nucleus")</f>
        <v>Barrington's nucleus</v>
      </c>
      <c r="D2987" s="42">
        <f>IFERROR(__xludf.DUMMYFUNCTION("""COMPUTED_VALUE"""),2847.0)</f>
        <v>2847</v>
      </c>
      <c r="E2987" s="39" t="str">
        <f>IFERROR(__xludf.DUMMYFUNCTION("""COMPUTED_VALUE"""),"Barrington's nucleus")</f>
        <v>Barrington's nucleus</v>
      </c>
      <c r="F2987" s="9" t="str">
        <f>IFERROR(__xludf.DUMMYFUNCTION("""COMPUTED_VALUE"""),"Br")</f>
        <v>Br</v>
      </c>
      <c r="G2987" s="9" t="str">
        <f>IFERROR(__xludf.DUMMYFUNCTION("""COMPUTED_VALUE"""),"H")</f>
        <v>H</v>
      </c>
      <c r="H2987" s="9" t="str">
        <f>IFERROR(__xludf.DUMMYFUNCTION("""COMPUTED_VALUE"""),"HGM")</f>
        <v>HGM</v>
      </c>
      <c r="I2987" s="9" t="str">
        <f>IFERROR(__xludf.DUMMYFUNCTION("""COMPUTED_VALUE"""),"Met")</f>
        <v>Met</v>
      </c>
      <c r="J2987" s="9" t="str">
        <f>IFERROR(__xludf.DUMMYFUNCTION("""COMPUTED_VALUE"""),"Pn")</f>
        <v>Pn</v>
      </c>
      <c r="K2987" s="9" t="str">
        <f>IFERROR(__xludf.DUMMYFUNCTION("""COMPUTED_VALUE"""),"PnTg")</f>
        <v>PnTg</v>
      </c>
      <c r="L2987" s="9" t="str">
        <f>IFERROR(__xludf.DUMMYFUNCTION("""COMPUTED_VALUE"""),"XPnTg")</f>
        <v>XPnTg</v>
      </c>
      <c r="M2987" s="9" t="str">
        <f>IFERROR(__xludf.DUMMYFUNCTION("""COMPUTED_VALUE"""),"Bar")</f>
        <v>Bar</v>
      </c>
      <c r="N2987" s="9"/>
      <c r="O2987" s="9"/>
      <c r="P2987" s="9"/>
      <c r="Q2987" s="9"/>
      <c r="R2987" s="9"/>
      <c r="S2987" s="42"/>
      <c r="T2987" s="42"/>
      <c r="U2987" s="42"/>
      <c r="V2987" s="42"/>
      <c r="W2987" s="42"/>
      <c r="X2987" s="42"/>
      <c r="Y2987" s="42"/>
      <c r="Z2987" s="42"/>
      <c r="AA2987" s="42"/>
      <c r="AB2987" s="42" t="str">
        <f>IFERROR(__xludf.DUMMYFUNCTION("""COMPUTED_VALUE"""),"allen institute")</f>
        <v>allen institute</v>
      </c>
      <c r="AC2987" s="42" t="str">
        <f>IFERROR(__xludf.DUMMYFUNCTION("""COMPUTED_VALUE"""),"DHBA")</f>
        <v>DHBA</v>
      </c>
      <c r="AD2987" s="42"/>
      <c r="AE2987" s="42"/>
      <c r="AF2987" s="9"/>
      <c r="AG2987" s="9"/>
      <c r="AH2987" s="42"/>
      <c r="AI2987" s="42"/>
      <c r="AJ2987" s="42"/>
      <c r="AK2987" s="42"/>
      <c r="AL2987" s="42"/>
      <c r="AM2987" s="42"/>
      <c r="AN2987" s="42"/>
      <c r="AO2987" s="63" t="str">
        <f>IFERROR(__xludf.DUMMYFUNCTION("IF(ISBLANK(A2987),,IF(ISBLANK(S2987), A2987&amp;"";"", TEXTJOIN(CHAR(10), TRUE, A2987&amp;"";"", ARRAYFORMULA(VLOOKUP(SPLIT(S2987, "";"" &amp; CHAR(10)), $A:$AO, 41, FALSE)))))"),"Bar;")</f>
        <v>Bar;</v>
      </c>
      <c r="AP2987" s="89"/>
    </row>
    <row r="2988">
      <c r="A2988" s="151" t="str">
        <f>IFERROR(__xludf.DUMMYFUNCTION("""COMPUTED_VALUE"""),"PnCG")</f>
        <v>PnCG</v>
      </c>
      <c r="B2988" s="42" t="str">
        <f>IFERROR(__xludf.DUMMYFUNCTION("""COMPUTED_VALUE"""),"DHBA")</f>
        <v>DHBA</v>
      </c>
      <c r="C2988" s="42" t="str">
        <f>IFERROR(__xludf.DUMMYFUNCTION("""COMPUTED_VALUE"""),"central gray of pons")</f>
        <v>central gray of pons</v>
      </c>
      <c r="D2988" s="42">
        <f>IFERROR(__xludf.DUMMYFUNCTION("""COMPUTED_VALUE"""),2848.0)</f>
        <v>2848</v>
      </c>
      <c r="E2988" s="39" t="str">
        <f>IFERROR(__xludf.DUMMYFUNCTION("""COMPUTED_VALUE"""),"central gray of pons")</f>
        <v>central gray of pons</v>
      </c>
      <c r="F2988" s="9" t="str">
        <f>IFERROR(__xludf.DUMMYFUNCTION("""COMPUTED_VALUE"""),"Br")</f>
        <v>Br</v>
      </c>
      <c r="G2988" s="9" t="str">
        <f>IFERROR(__xludf.DUMMYFUNCTION("""COMPUTED_VALUE"""),"H")</f>
        <v>H</v>
      </c>
      <c r="H2988" s="9" t="str">
        <f>IFERROR(__xludf.DUMMYFUNCTION("""COMPUTED_VALUE"""),"HGM")</f>
        <v>HGM</v>
      </c>
      <c r="I2988" s="9" t="str">
        <f>IFERROR(__xludf.DUMMYFUNCTION("""COMPUTED_VALUE"""),"Met")</f>
        <v>Met</v>
      </c>
      <c r="J2988" s="9" t="str">
        <f>IFERROR(__xludf.DUMMYFUNCTION("""COMPUTED_VALUE"""),"Pn")</f>
        <v>Pn</v>
      </c>
      <c r="K2988" s="9" t="str">
        <f>IFERROR(__xludf.DUMMYFUNCTION("""COMPUTED_VALUE"""),"PnTg")</f>
        <v>PnTg</v>
      </c>
      <c r="L2988" s="9" t="str">
        <f>IFERROR(__xludf.DUMMYFUNCTION("""COMPUTED_VALUE"""),"XPnTg")</f>
        <v>XPnTg</v>
      </c>
      <c r="M2988" s="9" t="str">
        <f>IFERROR(__xludf.DUMMYFUNCTION("""COMPUTED_VALUE"""),"PnCG")</f>
        <v>PnCG</v>
      </c>
      <c r="N2988" s="9"/>
      <c r="O2988" s="9"/>
      <c r="P2988" s="9"/>
      <c r="Q2988" s="9"/>
      <c r="R2988" s="9"/>
      <c r="S2988" s="42"/>
      <c r="T2988" s="42"/>
      <c r="U2988" s="42"/>
      <c r="V2988" s="42"/>
      <c r="W2988" s="42"/>
      <c r="X2988" s="42"/>
      <c r="Y2988" s="42"/>
      <c r="Z2988" s="42"/>
      <c r="AA2988" s="42"/>
      <c r="AB2988" s="42" t="str">
        <f>IFERROR(__xludf.DUMMYFUNCTION("""COMPUTED_VALUE"""),"allen institute")</f>
        <v>allen institute</v>
      </c>
      <c r="AC2988" s="42" t="str">
        <f>IFERROR(__xludf.DUMMYFUNCTION("""COMPUTED_VALUE"""),"DHBA")</f>
        <v>DHBA</v>
      </c>
      <c r="AD2988" s="42"/>
      <c r="AE2988" s="42"/>
      <c r="AF2988" s="9"/>
      <c r="AG2988" s="9"/>
      <c r="AH2988" s="42"/>
      <c r="AI2988" s="42"/>
      <c r="AJ2988" s="42"/>
      <c r="AK2988" s="42"/>
      <c r="AL2988" s="42"/>
      <c r="AM2988" s="42"/>
      <c r="AN2988" s="42"/>
      <c r="AO2988" s="63" t="str">
        <f>IFERROR(__xludf.DUMMYFUNCTION("IF(ISBLANK(A2988),,IF(ISBLANK(S2988), A2988&amp;"";"", TEXTJOIN(CHAR(10), TRUE, A2988&amp;"";"", ARRAYFORMULA(VLOOKUP(SPLIT(S2988, "";"" &amp; CHAR(10)), $A:$AO, 41, FALSE)))))"),"PnCG;")</f>
        <v>PnCG;</v>
      </c>
      <c r="AP2988" s="89"/>
    </row>
    <row r="2989">
      <c r="A2989" s="151" t="str">
        <f>IFERROR(__xludf.DUMMYFUNCTION("""COMPUTED_VALUE"""),"CAT")</f>
        <v>CAT</v>
      </c>
      <c r="B2989" s="42" t="str">
        <f>IFERROR(__xludf.DUMMYFUNCTION("""COMPUTED_VALUE"""),"DHBA")</f>
        <v>DHBA</v>
      </c>
      <c r="C2989" s="42" t="str">
        <f>IFERROR(__xludf.DUMMYFUNCTION("""COMPUTED_VALUE"""),"central nucleus of acoustic tract")</f>
        <v>central nucleus of acoustic tract</v>
      </c>
      <c r="D2989" s="42">
        <f>IFERROR(__xludf.DUMMYFUNCTION("""COMPUTED_VALUE"""),2849.0)</f>
        <v>2849</v>
      </c>
      <c r="E2989" s="39" t="str">
        <f>IFERROR(__xludf.DUMMYFUNCTION("""COMPUTED_VALUE"""),"central nucleus of acoustic tract")</f>
        <v>central nucleus of acoustic tract</v>
      </c>
      <c r="F2989" s="9" t="str">
        <f>IFERROR(__xludf.DUMMYFUNCTION("""COMPUTED_VALUE"""),"Br")</f>
        <v>Br</v>
      </c>
      <c r="G2989" s="9" t="str">
        <f>IFERROR(__xludf.DUMMYFUNCTION("""COMPUTED_VALUE"""),"H")</f>
        <v>H</v>
      </c>
      <c r="H2989" s="9" t="str">
        <f>IFERROR(__xludf.DUMMYFUNCTION("""COMPUTED_VALUE"""),"HGM")</f>
        <v>HGM</v>
      </c>
      <c r="I2989" s="9" t="str">
        <f>IFERROR(__xludf.DUMMYFUNCTION("""COMPUTED_VALUE"""),"Met")</f>
        <v>Met</v>
      </c>
      <c r="J2989" s="9" t="str">
        <f>IFERROR(__xludf.DUMMYFUNCTION("""COMPUTED_VALUE"""),"Pn")</f>
        <v>Pn</v>
      </c>
      <c r="K2989" s="9" t="str">
        <f>IFERROR(__xludf.DUMMYFUNCTION("""COMPUTED_VALUE"""),"PnTg")</f>
        <v>PnTg</v>
      </c>
      <c r="L2989" s="9" t="str">
        <f>IFERROR(__xludf.DUMMYFUNCTION("""COMPUTED_VALUE"""),"XPnTg")</f>
        <v>XPnTg</v>
      </c>
      <c r="M2989" s="9" t="str">
        <f>IFERROR(__xludf.DUMMYFUNCTION("""COMPUTED_VALUE"""),"CAT")</f>
        <v>CAT</v>
      </c>
      <c r="N2989" s="9"/>
      <c r="O2989" s="9"/>
      <c r="P2989" s="9"/>
      <c r="Q2989" s="9"/>
      <c r="R2989" s="9"/>
      <c r="S2989" s="42"/>
      <c r="T2989" s="42"/>
      <c r="U2989" s="42"/>
      <c r="V2989" s="42"/>
      <c r="W2989" s="42"/>
      <c r="X2989" s="42"/>
      <c r="Y2989" s="42"/>
      <c r="Z2989" s="42"/>
      <c r="AA2989" s="42"/>
      <c r="AB2989" s="42" t="str">
        <f>IFERROR(__xludf.DUMMYFUNCTION("""COMPUTED_VALUE"""),"allen institute")</f>
        <v>allen institute</v>
      </c>
      <c r="AC2989" s="42" t="str">
        <f>IFERROR(__xludf.DUMMYFUNCTION("""COMPUTED_VALUE"""),"DHBA")</f>
        <v>DHBA</v>
      </c>
      <c r="AD2989" s="42"/>
      <c r="AE2989" s="42"/>
      <c r="AF2989" s="9"/>
      <c r="AG2989" s="9"/>
      <c r="AH2989" s="42"/>
      <c r="AI2989" s="42"/>
      <c r="AJ2989" s="42"/>
      <c r="AK2989" s="42"/>
      <c r="AL2989" s="42"/>
      <c r="AM2989" s="42"/>
      <c r="AN2989" s="42"/>
      <c r="AO2989" s="63" t="str">
        <f>IFERROR(__xludf.DUMMYFUNCTION("IF(ISBLANK(A2989),,IF(ISBLANK(S2989), A2989&amp;"";"", TEXTJOIN(CHAR(10), TRUE, A2989&amp;"";"", ARRAYFORMULA(VLOOKUP(SPLIT(S2989, "";"" &amp; CHAR(10)), $A:$AO, 41, FALSE)))))"),"CAT;")</f>
        <v>CAT;</v>
      </c>
      <c r="AP2989" s="89"/>
    </row>
    <row r="2990">
      <c r="A2990" s="151" t="str">
        <f>IFERROR(__xludf.DUMMYFUNCTION("""COMPUTED_VALUE"""),"DTg")</f>
        <v>DTg</v>
      </c>
      <c r="B2990" s="42" t="str">
        <f>IFERROR(__xludf.DUMMYFUNCTION("""COMPUTED_VALUE"""),"DHBA")</f>
        <v>DHBA</v>
      </c>
      <c r="C2990" s="42" t="str">
        <f>IFERROR(__xludf.DUMMYFUNCTION("""COMPUTED_VALUE"""),"dorsal tegmental nucleus")</f>
        <v>dorsal tegmental nucleus</v>
      </c>
      <c r="D2990" s="42">
        <f>IFERROR(__xludf.DUMMYFUNCTION("""COMPUTED_VALUE"""),2850.0)</f>
        <v>2850</v>
      </c>
      <c r="E2990" s="39" t="str">
        <f>IFERROR(__xludf.DUMMYFUNCTION("""COMPUTED_VALUE"""),"dorsal tegmental nucleus")</f>
        <v>dorsal tegmental nucleus</v>
      </c>
      <c r="F2990" s="9" t="str">
        <f>IFERROR(__xludf.DUMMYFUNCTION("""COMPUTED_VALUE"""),"Br")</f>
        <v>Br</v>
      </c>
      <c r="G2990" s="9" t="str">
        <f>IFERROR(__xludf.DUMMYFUNCTION("""COMPUTED_VALUE"""),"H")</f>
        <v>H</v>
      </c>
      <c r="H2990" s="9" t="str">
        <f>IFERROR(__xludf.DUMMYFUNCTION("""COMPUTED_VALUE"""),"HGM")</f>
        <v>HGM</v>
      </c>
      <c r="I2990" s="9" t="str">
        <f>IFERROR(__xludf.DUMMYFUNCTION("""COMPUTED_VALUE"""),"Met")</f>
        <v>Met</v>
      </c>
      <c r="J2990" s="9" t="str">
        <f>IFERROR(__xludf.DUMMYFUNCTION("""COMPUTED_VALUE"""),"Pn")</f>
        <v>Pn</v>
      </c>
      <c r="K2990" s="9" t="str">
        <f>IFERROR(__xludf.DUMMYFUNCTION("""COMPUTED_VALUE"""),"PnTg")</f>
        <v>PnTg</v>
      </c>
      <c r="L2990" s="9" t="str">
        <f>IFERROR(__xludf.DUMMYFUNCTION("""COMPUTED_VALUE"""),"XPnTg")</f>
        <v>XPnTg</v>
      </c>
      <c r="M2990" s="9" t="str">
        <f>IFERROR(__xludf.DUMMYFUNCTION("""COMPUTED_VALUE"""),"DTg")</f>
        <v>DTg</v>
      </c>
      <c r="N2990" s="9"/>
      <c r="O2990" s="9"/>
      <c r="P2990" s="9"/>
      <c r="Q2990" s="9"/>
      <c r="R2990" s="9"/>
      <c r="S2990" s="42" t="str">
        <f>IFERROR(__xludf.DUMMYFUNCTION("""COMPUTED_VALUE"""),"DTgC;
DTgP")</f>
        <v>DTgC;
DTgP</v>
      </c>
      <c r="T2990" s="42"/>
      <c r="U2990" s="42" t="b">
        <f>IFERROR(__xludf.DUMMYFUNCTION("""COMPUTED_VALUE"""),FALSE)</f>
        <v>0</v>
      </c>
      <c r="V2990" s="42"/>
      <c r="W2990" s="42"/>
      <c r="X2990" s="42"/>
      <c r="Y2990" s="42"/>
      <c r="Z2990" s="42"/>
      <c r="AA2990" s="42"/>
      <c r="AB2990" s="42" t="str">
        <f>IFERROR(__xludf.DUMMYFUNCTION("""COMPUTED_VALUE"""),"allen institute")</f>
        <v>allen institute</v>
      </c>
      <c r="AC2990" s="42" t="str">
        <f>IFERROR(__xludf.DUMMYFUNCTION("""COMPUTED_VALUE"""),"DHBA")</f>
        <v>DHBA</v>
      </c>
      <c r="AD2990" s="42"/>
      <c r="AE2990" s="42"/>
      <c r="AF2990" s="9"/>
      <c r="AG2990" s="9"/>
      <c r="AH2990" s="42"/>
      <c r="AI2990" s="42"/>
      <c r="AJ2990" s="42"/>
      <c r="AK2990" s="42"/>
      <c r="AL2990" s="42"/>
      <c r="AM2990" s="42"/>
      <c r="AN2990" s="42"/>
      <c r="AO2990" s="63" t="str">
        <f>IFERROR(__xludf.DUMMYFUNCTION("IF(ISBLANK(A2990),,IF(ISBLANK(S2990), A2990&amp;"";"", TEXTJOIN(CHAR(10), TRUE, A2990&amp;"";"", ARRAYFORMULA(VLOOKUP(SPLIT(S2990, "";"" &amp; CHAR(10)), $A:$AO, 41, FALSE)))))"),"DTg;
DTgC;
DTgP;")</f>
        <v>DTg;
DTgC;
DTgP;</v>
      </c>
      <c r="AP2990" s="89"/>
    </row>
    <row r="2991">
      <c r="A2991" s="151" t="str">
        <f>IFERROR(__xludf.DUMMYFUNCTION("""COMPUTED_VALUE"""),"DTgC")</f>
        <v>DTgC</v>
      </c>
      <c r="B2991" s="42" t="str">
        <f>IFERROR(__xludf.DUMMYFUNCTION("""COMPUTED_VALUE"""),"DHBA")</f>
        <v>DHBA</v>
      </c>
      <c r="C2991" s="42" t="str">
        <f>IFERROR(__xludf.DUMMYFUNCTION("""COMPUTED_VALUE"""),"dorsal tegmental nucleus, central part")</f>
        <v>dorsal tegmental nucleus, central part</v>
      </c>
      <c r="D2991" s="42">
        <f>IFERROR(__xludf.DUMMYFUNCTION("""COMPUTED_VALUE"""),2851.0)</f>
        <v>2851</v>
      </c>
      <c r="E2991" s="39" t="str">
        <f>IFERROR(__xludf.DUMMYFUNCTION("""COMPUTED_VALUE"""),"dorsal tegmental nucleus, central part")</f>
        <v>dorsal tegmental nucleus, central part</v>
      </c>
      <c r="F2991" s="9" t="str">
        <f>IFERROR(__xludf.DUMMYFUNCTION("""COMPUTED_VALUE"""),"Br")</f>
        <v>Br</v>
      </c>
      <c r="G2991" s="9" t="str">
        <f>IFERROR(__xludf.DUMMYFUNCTION("""COMPUTED_VALUE"""),"H")</f>
        <v>H</v>
      </c>
      <c r="H2991" s="9" t="str">
        <f>IFERROR(__xludf.DUMMYFUNCTION("""COMPUTED_VALUE"""),"HGM")</f>
        <v>HGM</v>
      </c>
      <c r="I2991" s="9" t="str">
        <f>IFERROR(__xludf.DUMMYFUNCTION("""COMPUTED_VALUE"""),"Met")</f>
        <v>Met</v>
      </c>
      <c r="J2991" s="9" t="str">
        <f>IFERROR(__xludf.DUMMYFUNCTION("""COMPUTED_VALUE"""),"Pn")</f>
        <v>Pn</v>
      </c>
      <c r="K2991" s="9" t="str">
        <f>IFERROR(__xludf.DUMMYFUNCTION("""COMPUTED_VALUE"""),"PnTg")</f>
        <v>PnTg</v>
      </c>
      <c r="L2991" s="9" t="str">
        <f>IFERROR(__xludf.DUMMYFUNCTION("""COMPUTED_VALUE"""),"XPnTg")</f>
        <v>XPnTg</v>
      </c>
      <c r="M2991" s="9" t="str">
        <f>IFERROR(__xludf.DUMMYFUNCTION("""COMPUTED_VALUE"""),"DTg")</f>
        <v>DTg</v>
      </c>
      <c r="N2991" s="9" t="str">
        <f>IFERROR(__xludf.DUMMYFUNCTION("""COMPUTED_VALUE"""),"DTgC")</f>
        <v>DTgC</v>
      </c>
      <c r="O2991" s="9"/>
      <c r="P2991" s="9"/>
      <c r="Q2991" s="9"/>
      <c r="R2991" s="9"/>
      <c r="S2991" s="42"/>
      <c r="T2991" s="42"/>
      <c r="U2991" s="159"/>
      <c r="V2991" s="42"/>
      <c r="W2991" s="42"/>
      <c r="X2991" s="42"/>
      <c r="Y2991" s="42"/>
      <c r="Z2991" s="42"/>
      <c r="AA2991" s="42"/>
      <c r="AB2991" s="42" t="str">
        <f>IFERROR(__xludf.DUMMYFUNCTION("""COMPUTED_VALUE"""),"allen institute")</f>
        <v>allen institute</v>
      </c>
      <c r="AC2991" s="42" t="str">
        <f>IFERROR(__xludf.DUMMYFUNCTION("""COMPUTED_VALUE"""),"DHBA")</f>
        <v>DHBA</v>
      </c>
      <c r="AD2991" s="42"/>
      <c r="AE2991" s="42"/>
      <c r="AF2991" s="9"/>
      <c r="AG2991" s="9"/>
      <c r="AH2991" s="42"/>
      <c r="AI2991" s="42"/>
      <c r="AJ2991" s="42"/>
      <c r="AK2991" s="42"/>
      <c r="AL2991" s="42"/>
      <c r="AM2991" s="42"/>
      <c r="AN2991" s="42"/>
      <c r="AO2991" s="63" t="str">
        <f>IFERROR(__xludf.DUMMYFUNCTION("IF(ISBLANK(A2991),,IF(ISBLANK(S2991), A2991&amp;"";"", TEXTJOIN(CHAR(10), TRUE, A2991&amp;"";"", ARRAYFORMULA(VLOOKUP(SPLIT(S2991, "";"" &amp; CHAR(10)), $A:$AO, 41, FALSE)))))"),"DTgC;")</f>
        <v>DTgC;</v>
      </c>
      <c r="AP2991" s="89"/>
    </row>
    <row r="2992">
      <c r="A2992" s="151" t="str">
        <f>IFERROR(__xludf.DUMMYFUNCTION("""COMPUTED_VALUE"""),"DTgP")</f>
        <v>DTgP</v>
      </c>
      <c r="B2992" s="42" t="str">
        <f>IFERROR(__xludf.DUMMYFUNCTION("""COMPUTED_VALUE"""),"DHBA")</f>
        <v>DHBA</v>
      </c>
      <c r="C2992" s="42" t="str">
        <f>IFERROR(__xludf.DUMMYFUNCTION("""COMPUTED_VALUE"""),"dorsal tegmental nucleus, pericentral part")</f>
        <v>dorsal tegmental nucleus, pericentral part</v>
      </c>
      <c r="D2992" s="42">
        <f>IFERROR(__xludf.DUMMYFUNCTION("""COMPUTED_VALUE"""),2852.0)</f>
        <v>2852</v>
      </c>
      <c r="E2992" s="39" t="str">
        <f>IFERROR(__xludf.DUMMYFUNCTION("""COMPUTED_VALUE"""),"dorsal tegmental nucleus, pericentral part")</f>
        <v>dorsal tegmental nucleus, pericentral part</v>
      </c>
      <c r="F2992" s="9" t="str">
        <f>IFERROR(__xludf.DUMMYFUNCTION("""COMPUTED_VALUE"""),"Br")</f>
        <v>Br</v>
      </c>
      <c r="G2992" s="9" t="str">
        <f>IFERROR(__xludf.DUMMYFUNCTION("""COMPUTED_VALUE"""),"H")</f>
        <v>H</v>
      </c>
      <c r="H2992" s="9" t="str">
        <f>IFERROR(__xludf.DUMMYFUNCTION("""COMPUTED_VALUE"""),"HGM")</f>
        <v>HGM</v>
      </c>
      <c r="I2992" s="9" t="str">
        <f>IFERROR(__xludf.DUMMYFUNCTION("""COMPUTED_VALUE"""),"Met")</f>
        <v>Met</v>
      </c>
      <c r="J2992" s="9" t="str">
        <f>IFERROR(__xludf.DUMMYFUNCTION("""COMPUTED_VALUE"""),"Pn")</f>
        <v>Pn</v>
      </c>
      <c r="K2992" s="9" t="str">
        <f>IFERROR(__xludf.DUMMYFUNCTION("""COMPUTED_VALUE"""),"PnTg")</f>
        <v>PnTg</v>
      </c>
      <c r="L2992" s="9" t="str">
        <f>IFERROR(__xludf.DUMMYFUNCTION("""COMPUTED_VALUE"""),"XPnTg")</f>
        <v>XPnTg</v>
      </c>
      <c r="M2992" s="9" t="str">
        <f>IFERROR(__xludf.DUMMYFUNCTION("""COMPUTED_VALUE"""),"DTg")</f>
        <v>DTg</v>
      </c>
      <c r="N2992" s="9" t="str">
        <f>IFERROR(__xludf.DUMMYFUNCTION("""COMPUTED_VALUE"""),"DTgP")</f>
        <v>DTgP</v>
      </c>
      <c r="O2992" s="9"/>
      <c r="P2992" s="9"/>
      <c r="Q2992" s="9"/>
      <c r="R2992" s="9"/>
      <c r="S2992" s="42"/>
      <c r="T2992" s="42"/>
      <c r="U2992" s="42"/>
      <c r="V2992" s="42"/>
      <c r="W2992" s="42"/>
      <c r="X2992" s="42"/>
      <c r="Y2992" s="42"/>
      <c r="Z2992" s="42"/>
      <c r="AA2992" s="42"/>
      <c r="AB2992" s="42" t="str">
        <f>IFERROR(__xludf.DUMMYFUNCTION("""COMPUTED_VALUE"""),"allen institute")</f>
        <v>allen institute</v>
      </c>
      <c r="AC2992" s="42" t="str">
        <f>IFERROR(__xludf.DUMMYFUNCTION("""COMPUTED_VALUE"""),"DHBA")</f>
        <v>DHBA</v>
      </c>
      <c r="AD2992" s="42"/>
      <c r="AE2992" s="42"/>
      <c r="AF2992" s="9"/>
      <c r="AG2992" s="9"/>
      <c r="AH2992" s="42"/>
      <c r="AI2992" s="42"/>
      <c r="AJ2992" s="42"/>
      <c r="AK2992" s="42"/>
      <c r="AL2992" s="42"/>
      <c r="AM2992" s="42"/>
      <c r="AN2992" s="42"/>
      <c r="AO2992" s="63" t="str">
        <f>IFERROR(__xludf.DUMMYFUNCTION("IF(ISBLANK(A2992),,IF(ISBLANK(S2992), A2992&amp;"";"", TEXTJOIN(CHAR(10), TRUE, A2992&amp;"";"", ARRAYFORMULA(VLOOKUP(SPLIT(S2992, "";"" &amp; CHAR(10)), $A:$AO, 41, FALSE)))))"),"DTgP;")</f>
        <v>DTgP;</v>
      </c>
      <c r="AP2992" s="89"/>
    </row>
    <row r="2993">
      <c r="A2993" s="151" t="str">
        <f>IFERROR(__xludf.DUMMYFUNCTION("""COMPUTED_VALUE"""),"DMTg")</f>
        <v>DMTg</v>
      </c>
      <c r="B2993" s="42" t="str">
        <f>IFERROR(__xludf.DUMMYFUNCTION("""COMPUTED_VALUE"""),"DHBA")</f>
        <v>DHBA</v>
      </c>
      <c r="C2993" s="42" t="str">
        <f>IFERROR(__xludf.DUMMYFUNCTION("""COMPUTED_VALUE"""),"dorsomedial tegmental area")</f>
        <v>dorsomedial tegmental area</v>
      </c>
      <c r="D2993" s="42">
        <f>IFERROR(__xludf.DUMMYFUNCTION("""COMPUTED_VALUE"""),2853.0)</f>
        <v>2853</v>
      </c>
      <c r="E2993" s="39" t="str">
        <f>IFERROR(__xludf.DUMMYFUNCTION("""COMPUTED_VALUE"""),"dorsomedial tegmental area")</f>
        <v>dorsomedial tegmental area</v>
      </c>
      <c r="F2993" s="9" t="str">
        <f>IFERROR(__xludf.DUMMYFUNCTION("""COMPUTED_VALUE"""),"Br")</f>
        <v>Br</v>
      </c>
      <c r="G2993" s="9" t="str">
        <f>IFERROR(__xludf.DUMMYFUNCTION("""COMPUTED_VALUE"""),"H")</f>
        <v>H</v>
      </c>
      <c r="H2993" s="9" t="str">
        <f>IFERROR(__xludf.DUMMYFUNCTION("""COMPUTED_VALUE"""),"HGM")</f>
        <v>HGM</v>
      </c>
      <c r="I2993" s="9" t="str">
        <f>IFERROR(__xludf.DUMMYFUNCTION("""COMPUTED_VALUE"""),"Met")</f>
        <v>Met</v>
      </c>
      <c r="J2993" s="9" t="str">
        <f>IFERROR(__xludf.DUMMYFUNCTION("""COMPUTED_VALUE"""),"Pn")</f>
        <v>Pn</v>
      </c>
      <c r="K2993" s="9" t="str">
        <f>IFERROR(__xludf.DUMMYFUNCTION("""COMPUTED_VALUE"""),"PnTg")</f>
        <v>PnTg</v>
      </c>
      <c r="L2993" s="9" t="str">
        <f>IFERROR(__xludf.DUMMYFUNCTION("""COMPUTED_VALUE"""),"XPnTg")</f>
        <v>XPnTg</v>
      </c>
      <c r="M2993" s="9" t="str">
        <f>IFERROR(__xludf.DUMMYFUNCTION("""COMPUTED_VALUE"""),"DMTg")</f>
        <v>DMTg</v>
      </c>
      <c r="N2993" s="9"/>
      <c r="O2993" s="9"/>
      <c r="P2993" s="9"/>
      <c r="Q2993" s="9"/>
      <c r="R2993" s="9"/>
      <c r="S2993" s="42"/>
      <c r="T2993" s="42"/>
      <c r="U2993" s="42"/>
      <c r="V2993" s="42"/>
      <c r="W2993" s="42"/>
      <c r="X2993" s="42"/>
      <c r="Y2993" s="42"/>
      <c r="Z2993" s="42"/>
      <c r="AA2993" s="42"/>
      <c r="AB2993" s="42" t="str">
        <f>IFERROR(__xludf.DUMMYFUNCTION("""COMPUTED_VALUE"""),"allen institute")</f>
        <v>allen institute</v>
      </c>
      <c r="AC2993" s="42" t="str">
        <f>IFERROR(__xludf.DUMMYFUNCTION("""COMPUTED_VALUE"""),"DHBA")</f>
        <v>DHBA</v>
      </c>
      <c r="AD2993" s="42"/>
      <c r="AE2993" s="42"/>
      <c r="AF2993" s="9"/>
      <c r="AG2993" s="9"/>
      <c r="AH2993" s="42"/>
      <c r="AI2993" s="42"/>
      <c r="AJ2993" s="42"/>
      <c r="AK2993" s="42"/>
      <c r="AL2993" s="42"/>
      <c r="AM2993" s="42"/>
      <c r="AN2993" s="42"/>
      <c r="AO2993" s="63" t="str">
        <f>IFERROR(__xludf.DUMMYFUNCTION("IF(ISBLANK(A2993),,IF(ISBLANK(S2993), A2993&amp;"";"", TEXTJOIN(CHAR(10), TRUE, A2993&amp;"";"", ARRAYFORMULA(VLOOKUP(SPLIT(S2993, "";"" &amp; CHAR(10)), $A:$AO, 41, FALSE)))))"),"DMTg;")</f>
        <v>DMTg;</v>
      </c>
      <c r="AP2993" s="89"/>
    </row>
    <row r="2994">
      <c r="A2994" s="151" t="str">
        <f>IFERROR(__xludf.DUMMYFUNCTION("""COMPUTED_VALUE"""),"PnE")</f>
        <v>PnE</v>
      </c>
      <c r="B2994" s="42" t="str">
        <f>IFERROR(__xludf.DUMMYFUNCTION("""COMPUTED_VALUE"""),"DHBA")</f>
        <v>DHBA</v>
      </c>
      <c r="C2994" s="42" t="str">
        <f>IFERROR(__xludf.DUMMYFUNCTION("""COMPUTED_VALUE"""),"ependyma and subependymal layers of pons")</f>
        <v>ependyma and subependymal layers of pons</v>
      </c>
      <c r="D2994" s="42">
        <f>IFERROR(__xludf.DUMMYFUNCTION("""COMPUTED_VALUE"""),2854.0)</f>
        <v>2854</v>
      </c>
      <c r="E2994" s="39" t="str">
        <f>IFERROR(__xludf.DUMMYFUNCTION("""COMPUTED_VALUE"""),"ependyma and subependymal layers of pons")</f>
        <v>ependyma and subependymal layers of pons</v>
      </c>
      <c r="F2994" s="9" t="str">
        <f>IFERROR(__xludf.DUMMYFUNCTION("""COMPUTED_VALUE"""),"Br")</f>
        <v>Br</v>
      </c>
      <c r="G2994" s="9" t="str">
        <f>IFERROR(__xludf.DUMMYFUNCTION("""COMPUTED_VALUE"""),"H")</f>
        <v>H</v>
      </c>
      <c r="H2994" s="9" t="str">
        <f>IFERROR(__xludf.DUMMYFUNCTION("""COMPUTED_VALUE"""),"HGM")</f>
        <v>HGM</v>
      </c>
      <c r="I2994" s="9" t="str">
        <f>IFERROR(__xludf.DUMMYFUNCTION("""COMPUTED_VALUE"""),"Met")</f>
        <v>Met</v>
      </c>
      <c r="J2994" s="9" t="str">
        <f>IFERROR(__xludf.DUMMYFUNCTION("""COMPUTED_VALUE"""),"Pn")</f>
        <v>Pn</v>
      </c>
      <c r="K2994" s="9" t="str">
        <f>IFERROR(__xludf.DUMMYFUNCTION("""COMPUTED_VALUE"""),"PnTg")</f>
        <v>PnTg</v>
      </c>
      <c r="L2994" s="9" t="str">
        <f>IFERROR(__xludf.DUMMYFUNCTION("""COMPUTED_VALUE"""),"XPnTg")</f>
        <v>XPnTg</v>
      </c>
      <c r="M2994" s="9" t="str">
        <f>IFERROR(__xludf.DUMMYFUNCTION("""COMPUTED_VALUE"""),"PnE")</f>
        <v>PnE</v>
      </c>
      <c r="N2994" s="9"/>
      <c r="O2994" s="9"/>
      <c r="P2994" s="9"/>
      <c r="Q2994" s="9"/>
      <c r="R2994" s="9"/>
      <c r="S2994" s="42"/>
      <c r="T2994" s="42"/>
      <c r="U2994" s="42"/>
      <c r="V2994" s="42"/>
      <c r="W2994" s="42"/>
      <c r="X2994" s="42"/>
      <c r="Y2994" s="42"/>
      <c r="Z2994" s="42"/>
      <c r="AA2994" s="42"/>
      <c r="AB2994" s="42" t="str">
        <f>IFERROR(__xludf.DUMMYFUNCTION("""COMPUTED_VALUE"""),"allen institute")</f>
        <v>allen institute</v>
      </c>
      <c r="AC2994" s="42" t="str">
        <f>IFERROR(__xludf.DUMMYFUNCTION("""COMPUTED_VALUE"""),"DHBA")</f>
        <v>DHBA</v>
      </c>
      <c r="AD2994" s="42"/>
      <c r="AE2994" s="42"/>
      <c r="AF2994" s="9"/>
      <c r="AG2994" s="9"/>
      <c r="AH2994" s="42"/>
      <c r="AI2994" s="42"/>
      <c r="AJ2994" s="42"/>
      <c r="AK2994" s="42"/>
      <c r="AL2994" s="42"/>
      <c r="AM2994" s="42"/>
      <c r="AN2994" s="42"/>
      <c r="AO2994" s="63" t="str">
        <f>IFERROR(__xludf.DUMMYFUNCTION("IF(ISBLANK(A2994),,IF(ISBLANK(S2994), A2994&amp;"";"", TEXTJOIN(CHAR(10), TRUE, A2994&amp;"";"", ARRAYFORMULA(VLOOKUP(SPLIT(S2994, "";"" &amp; CHAR(10)), $A:$AO, 41, FALSE)))))"),"PnE;")</f>
        <v>PnE;</v>
      </c>
      <c r="AP2994" s="89"/>
    </row>
    <row r="2995">
      <c r="A2995" s="151" t="str">
        <f>IFERROR(__xludf.DUMMYFUNCTION("""COMPUTED_VALUE"""),"EpC")</f>
        <v>EpC</v>
      </c>
      <c r="B2995" s="42" t="str">
        <f>IFERROR(__xludf.DUMMYFUNCTION("""COMPUTED_VALUE"""),"DHBA")</f>
        <v>DHBA</v>
      </c>
      <c r="C2995" s="42" t="str">
        <f>IFERROR(__xludf.DUMMYFUNCTION("""COMPUTED_VALUE"""),"epicoeruleus nucleus")</f>
        <v>epicoeruleus nucleus</v>
      </c>
      <c r="D2995" s="42">
        <f>IFERROR(__xludf.DUMMYFUNCTION("""COMPUTED_VALUE"""),2855.0)</f>
        <v>2855</v>
      </c>
      <c r="E2995" s="39" t="str">
        <f>IFERROR(__xludf.DUMMYFUNCTION("""COMPUTED_VALUE"""),"epicoeruleus nucleus")</f>
        <v>epicoeruleus nucleus</v>
      </c>
      <c r="F2995" s="9" t="str">
        <f>IFERROR(__xludf.DUMMYFUNCTION("""COMPUTED_VALUE"""),"Br")</f>
        <v>Br</v>
      </c>
      <c r="G2995" s="9" t="str">
        <f>IFERROR(__xludf.DUMMYFUNCTION("""COMPUTED_VALUE"""),"H")</f>
        <v>H</v>
      </c>
      <c r="H2995" s="9" t="str">
        <f>IFERROR(__xludf.DUMMYFUNCTION("""COMPUTED_VALUE"""),"HGM")</f>
        <v>HGM</v>
      </c>
      <c r="I2995" s="9" t="str">
        <f>IFERROR(__xludf.DUMMYFUNCTION("""COMPUTED_VALUE"""),"Met")</f>
        <v>Met</v>
      </c>
      <c r="J2995" s="9" t="str">
        <f>IFERROR(__xludf.DUMMYFUNCTION("""COMPUTED_VALUE"""),"Pn")</f>
        <v>Pn</v>
      </c>
      <c r="K2995" s="9" t="str">
        <f>IFERROR(__xludf.DUMMYFUNCTION("""COMPUTED_VALUE"""),"PnTg")</f>
        <v>PnTg</v>
      </c>
      <c r="L2995" s="9" t="str">
        <f>IFERROR(__xludf.DUMMYFUNCTION("""COMPUTED_VALUE"""),"XPnTg")</f>
        <v>XPnTg</v>
      </c>
      <c r="M2995" s="9" t="str">
        <f>IFERROR(__xludf.DUMMYFUNCTION("""COMPUTED_VALUE"""),"EpC")</f>
        <v>EpC</v>
      </c>
      <c r="N2995" s="9"/>
      <c r="O2995" s="9"/>
      <c r="P2995" s="9"/>
      <c r="Q2995" s="9"/>
      <c r="R2995" s="9"/>
      <c r="S2995" s="42"/>
      <c r="T2995" s="42"/>
      <c r="U2995" s="42"/>
      <c r="V2995" s="42"/>
      <c r="W2995" s="42"/>
      <c r="X2995" s="42"/>
      <c r="Y2995" s="42"/>
      <c r="Z2995" s="42"/>
      <c r="AA2995" s="42"/>
      <c r="AB2995" s="42" t="str">
        <f>IFERROR(__xludf.DUMMYFUNCTION("""COMPUTED_VALUE"""),"allen institute")</f>
        <v>allen institute</v>
      </c>
      <c r="AC2995" s="42" t="str">
        <f>IFERROR(__xludf.DUMMYFUNCTION("""COMPUTED_VALUE"""),"DHBA")</f>
        <v>DHBA</v>
      </c>
      <c r="AD2995" s="42"/>
      <c r="AE2995" s="42"/>
      <c r="AF2995" s="9"/>
      <c r="AG2995" s="9"/>
      <c r="AH2995" s="42"/>
      <c r="AI2995" s="42"/>
      <c r="AJ2995" s="42"/>
      <c r="AK2995" s="42"/>
      <c r="AL2995" s="42"/>
      <c r="AM2995" s="42"/>
      <c r="AN2995" s="42"/>
      <c r="AO2995" s="63" t="str">
        <f>IFERROR(__xludf.DUMMYFUNCTION("IF(ISBLANK(A2995),,IF(ISBLANK(S2995), A2995&amp;"";"", TEXTJOIN(CHAR(10), TRUE, A2995&amp;"";"", ARRAYFORMULA(VLOOKUP(SPLIT(S2995, "";"" &amp; CHAR(10)), $A:$AO, 41, FALSE)))))"),"EpC;")</f>
        <v>EpC;</v>
      </c>
      <c r="AP2995" s="89"/>
    </row>
    <row r="2996">
      <c r="A2996" s="151" t="str">
        <f>IFERROR(__xludf.DUMMYFUNCTION("""COMPUTED_VALUE"""),"PnG")</f>
        <v>PnG</v>
      </c>
      <c r="B2996" s="42" t="str">
        <f>IFERROR(__xludf.DUMMYFUNCTION("""COMPUTED_VALUE"""),"DHBA")</f>
        <v>DHBA</v>
      </c>
      <c r="C2996" s="42" t="str">
        <f>IFERROR(__xludf.DUMMYFUNCTION("""COMPUTED_VALUE"""),"pontine gamma nucleus")</f>
        <v>pontine gamma nucleus</v>
      </c>
      <c r="D2996" s="42">
        <f>IFERROR(__xludf.DUMMYFUNCTION("""COMPUTED_VALUE"""),2856.0)</f>
        <v>2856</v>
      </c>
      <c r="E2996" s="39" t="str">
        <f>IFERROR(__xludf.DUMMYFUNCTION("""COMPUTED_VALUE"""),"pontine gamma nucleus")</f>
        <v>pontine gamma nucleus</v>
      </c>
      <c r="F2996" s="9" t="str">
        <f>IFERROR(__xludf.DUMMYFUNCTION("""COMPUTED_VALUE"""),"Br")</f>
        <v>Br</v>
      </c>
      <c r="G2996" s="9" t="str">
        <f>IFERROR(__xludf.DUMMYFUNCTION("""COMPUTED_VALUE"""),"H")</f>
        <v>H</v>
      </c>
      <c r="H2996" s="9" t="str">
        <f>IFERROR(__xludf.DUMMYFUNCTION("""COMPUTED_VALUE"""),"HGM")</f>
        <v>HGM</v>
      </c>
      <c r="I2996" s="9" t="str">
        <f>IFERROR(__xludf.DUMMYFUNCTION("""COMPUTED_VALUE"""),"Met")</f>
        <v>Met</v>
      </c>
      <c r="J2996" s="9" t="str">
        <f>IFERROR(__xludf.DUMMYFUNCTION("""COMPUTED_VALUE"""),"Pn")</f>
        <v>Pn</v>
      </c>
      <c r="K2996" s="9" t="str">
        <f>IFERROR(__xludf.DUMMYFUNCTION("""COMPUTED_VALUE"""),"PnTg")</f>
        <v>PnTg</v>
      </c>
      <c r="L2996" s="9" t="str">
        <f>IFERROR(__xludf.DUMMYFUNCTION("""COMPUTED_VALUE"""),"XPnTg")</f>
        <v>XPnTg</v>
      </c>
      <c r="M2996" s="9" t="str">
        <f>IFERROR(__xludf.DUMMYFUNCTION("""COMPUTED_VALUE"""),"PnG")</f>
        <v>PnG</v>
      </c>
      <c r="N2996" s="9"/>
      <c r="O2996" s="9"/>
      <c r="P2996" s="9"/>
      <c r="Q2996" s="9"/>
      <c r="R2996" s="9"/>
      <c r="S2996" s="42"/>
      <c r="T2996" s="42"/>
      <c r="U2996" s="42"/>
      <c r="V2996" s="42"/>
      <c r="W2996" s="42"/>
      <c r="X2996" s="42"/>
      <c r="Y2996" s="42"/>
      <c r="Z2996" s="42"/>
      <c r="AA2996" s="42"/>
      <c r="AB2996" s="42" t="str">
        <f>IFERROR(__xludf.DUMMYFUNCTION("""COMPUTED_VALUE"""),"allen institute")</f>
        <v>allen institute</v>
      </c>
      <c r="AC2996" s="42" t="str">
        <f>IFERROR(__xludf.DUMMYFUNCTION("""COMPUTED_VALUE"""),"DHBA")</f>
        <v>DHBA</v>
      </c>
      <c r="AD2996" s="42"/>
      <c r="AE2996" s="42"/>
      <c r="AF2996" s="9"/>
      <c r="AG2996" s="9"/>
      <c r="AH2996" s="42"/>
      <c r="AI2996" s="42"/>
      <c r="AJ2996" s="42"/>
      <c r="AK2996" s="42"/>
      <c r="AL2996" s="42"/>
      <c r="AM2996" s="42"/>
      <c r="AN2996" s="42"/>
      <c r="AO2996" s="63" t="str">
        <f>IFERROR(__xludf.DUMMYFUNCTION("IF(ISBLANK(A2996),,IF(ISBLANK(S2996), A2996&amp;"";"", TEXTJOIN(CHAR(10), TRUE, A2996&amp;"";"", ARRAYFORMULA(VLOOKUP(SPLIT(S2996, "";"" &amp; CHAR(10)), $A:$AO, 41, FALSE)))))"),"PnG;")</f>
        <v>PnG;</v>
      </c>
      <c r="AP2996" s="89"/>
    </row>
    <row r="2997">
      <c r="A2997" s="151" t="str">
        <f>IFERROR(__xludf.DUMMYFUNCTION("""COMPUTED_VALUE"""),"IIMLF")</f>
        <v>IIMLF</v>
      </c>
      <c r="B2997" s="42" t="str">
        <f>IFERROR(__xludf.DUMMYFUNCTION("""COMPUTED_VALUE"""),"DHBA")</f>
        <v>DHBA</v>
      </c>
      <c r="C2997" s="42" t="str">
        <f>IFERROR(__xludf.DUMMYFUNCTION("""COMPUTED_VALUE"""),"intermediate interstitial nucleus of medial longitudinal fasciculus")</f>
        <v>intermediate interstitial nucleus of medial longitudinal fasciculus</v>
      </c>
      <c r="D2997" s="42">
        <f>IFERROR(__xludf.DUMMYFUNCTION("""COMPUTED_VALUE"""),2857.0)</f>
        <v>2857</v>
      </c>
      <c r="E2997" s="39" t="str">
        <f>IFERROR(__xludf.DUMMYFUNCTION("""COMPUTED_VALUE"""),"intermediate interstitial nucleus of medial longitudinal fasciculus")</f>
        <v>intermediate interstitial nucleus of medial longitudinal fasciculus</v>
      </c>
      <c r="F2997" s="9" t="str">
        <f>IFERROR(__xludf.DUMMYFUNCTION("""COMPUTED_VALUE"""),"Br")</f>
        <v>Br</v>
      </c>
      <c r="G2997" s="9" t="str">
        <f>IFERROR(__xludf.DUMMYFUNCTION("""COMPUTED_VALUE"""),"H")</f>
        <v>H</v>
      </c>
      <c r="H2997" s="9" t="str">
        <f>IFERROR(__xludf.DUMMYFUNCTION("""COMPUTED_VALUE"""),"HGM")</f>
        <v>HGM</v>
      </c>
      <c r="I2997" s="9" t="str">
        <f>IFERROR(__xludf.DUMMYFUNCTION("""COMPUTED_VALUE"""),"Met")</f>
        <v>Met</v>
      </c>
      <c r="J2997" s="9" t="str">
        <f>IFERROR(__xludf.DUMMYFUNCTION("""COMPUTED_VALUE"""),"Pn")</f>
        <v>Pn</v>
      </c>
      <c r="K2997" s="9" t="str">
        <f>IFERROR(__xludf.DUMMYFUNCTION("""COMPUTED_VALUE"""),"PnTg")</f>
        <v>PnTg</v>
      </c>
      <c r="L2997" s="9" t="str">
        <f>IFERROR(__xludf.DUMMYFUNCTION("""COMPUTED_VALUE"""),"XPnTg")</f>
        <v>XPnTg</v>
      </c>
      <c r="M2997" s="9" t="str">
        <f>IFERROR(__xludf.DUMMYFUNCTION("""COMPUTED_VALUE"""),"IIMLF")</f>
        <v>IIMLF</v>
      </c>
      <c r="N2997" s="9"/>
      <c r="O2997" s="9"/>
      <c r="P2997" s="9"/>
      <c r="Q2997" s="9"/>
      <c r="R2997" s="9"/>
      <c r="S2997" s="42"/>
      <c r="T2997" s="42"/>
      <c r="U2997" s="42"/>
      <c r="V2997" s="42"/>
      <c r="W2997" s="42"/>
      <c r="X2997" s="42"/>
      <c r="Y2997" s="42"/>
      <c r="Z2997" s="42"/>
      <c r="AA2997" s="42"/>
      <c r="AB2997" s="42" t="str">
        <f>IFERROR(__xludf.DUMMYFUNCTION("""COMPUTED_VALUE"""),"allen institute")</f>
        <v>allen institute</v>
      </c>
      <c r="AC2997" s="42" t="str">
        <f>IFERROR(__xludf.DUMMYFUNCTION("""COMPUTED_VALUE"""),"DHBA")</f>
        <v>DHBA</v>
      </c>
      <c r="AD2997" s="42"/>
      <c r="AE2997" s="42"/>
      <c r="AF2997" s="9"/>
      <c r="AG2997" s="9"/>
      <c r="AH2997" s="42"/>
      <c r="AI2997" s="42"/>
      <c r="AJ2997" s="42"/>
      <c r="AK2997" s="42"/>
      <c r="AL2997" s="42"/>
      <c r="AM2997" s="42"/>
      <c r="AN2997" s="42"/>
      <c r="AO2997" s="63" t="str">
        <f>IFERROR(__xludf.DUMMYFUNCTION("IF(ISBLANK(A2997),,IF(ISBLANK(S2997), A2997&amp;"";"", TEXTJOIN(CHAR(10), TRUE, A2997&amp;"";"", ARRAYFORMULA(VLOOKUP(SPLIT(S2997, "";"" &amp; CHAR(10)), $A:$AO, 41, FALSE)))))"),"IIMLF;")</f>
        <v>IIMLF;</v>
      </c>
      <c r="AP2997" s="89"/>
    </row>
    <row r="2998">
      <c r="A2998" s="151" t="str">
        <f>IFERROR(__xludf.DUMMYFUNCTION("""COMPUTED_VALUE"""),"IMLF")</f>
        <v>IMLF</v>
      </c>
      <c r="B2998" s="42" t="str">
        <f>IFERROR(__xludf.DUMMYFUNCTION("""COMPUTED_VALUE"""),"DHBA")</f>
        <v>DHBA</v>
      </c>
      <c r="C2998" s="42" t="str">
        <f>IFERROR(__xludf.DUMMYFUNCTION("""COMPUTED_VALUE"""),"interstitial nucleus of medial longitudinal fasciculus")</f>
        <v>interstitial nucleus of medial longitudinal fasciculus</v>
      </c>
      <c r="D2998" s="42">
        <f>IFERROR(__xludf.DUMMYFUNCTION("""COMPUTED_VALUE"""),2858.0)</f>
        <v>2858</v>
      </c>
      <c r="E2998" s="39" t="str">
        <f>IFERROR(__xludf.DUMMYFUNCTION("""COMPUTED_VALUE"""),"interstitial nucleus of medial longitudinal fasciculus")</f>
        <v>interstitial nucleus of medial longitudinal fasciculus</v>
      </c>
      <c r="F2998" s="9" t="str">
        <f>IFERROR(__xludf.DUMMYFUNCTION("""COMPUTED_VALUE"""),"Br")</f>
        <v>Br</v>
      </c>
      <c r="G2998" s="9" t="str">
        <f>IFERROR(__xludf.DUMMYFUNCTION("""COMPUTED_VALUE"""),"H")</f>
        <v>H</v>
      </c>
      <c r="H2998" s="9" t="str">
        <f>IFERROR(__xludf.DUMMYFUNCTION("""COMPUTED_VALUE"""),"HGM")</f>
        <v>HGM</v>
      </c>
      <c r="I2998" s="9" t="str">
        <f>IFERROR(__xludf.DUMMYFUNCTION("""COMPUTED_VALUE"""),"Met")</f>
        <v>Met</v>
      </c>
      <c r="J2998" s="9" t="str">
        <f>IFERROR(__xludf.DUMMYFUNCTION("""COMPUTED_VALUE"""),"Pn")</f>
        <v>Pn</v>
      </c>
      <c r="K2998" s="9" t="str">
        <f>IFERROR(__xludf.DUMMYFUNCTION("""COMPUTED_VALUE"""),"PnTg")</f>
        <v>PnTg</v>
      </c>
      <c r="L2998" s="9" t="str">
        <f>IFERROR(__xludf.DUMMYFUNCTION("""COMPUTED_VALUE"""),"XPnTg")</f>
        <v>XPnTg</v>
      </c>
      <c r="M2998" s="9" t="str">
        <f>IFERROR(__xludf.DUMMYFUNCTION("""COMPUTED_VALUE"""),"IMLF")</f>
        <v>IMLF</v>
      </c>
      <c r="N2998" s="9"/>
      <c r="O2998" s="9"/>
      <c r="P2998" s="9"/>
      <c r="Q2998" s="9"/>
      <c r="R2998" s="9"/>
      <c r="S2998" s="42"/>
      <c r="T2998" s="42"/>
      <c r="U2998" s="42"/>
      <c r="V2998" s="42"/>
      <c r="W2998" s="42"/>
      <c r="X2998" s="42"/>
      <c r="Y2998" s="42"/>
      <c r="Z2998" s="42"/>
      <c r="AA2998" s="42"/>
      <c r="AB2998" s="42" t="str">
        <f>IFERROR(__xludf.DUMMYFUNCTION("""COMPUTED_VALUE"""),"allen institute")</f>
        <v>allen institute</v>
      </c>
      <c r="AC2998" s="42" t="str">
        <f>IFERROR(__xludf.DUMMYFUNCTION("""COMPUTED_VALUE"""),"DHBA")</f>
        <v>DHBA</v>
      </c>
      <c r="AD2998" s="42"/>
      <c r="AE2998" s="42"/>
      <c r="AF2998" s="9"/>
      <c r="AG2998" s="9"/>
      <c r="AH2998" s="42"/>
      <c r="AI2998" s="42"/>
      <c r="AJ2998" s="42"/>
      <c r="AK2998" s="42"/>
      <c r="AL2998" s="42"/>
      <c r="AM2998" s="42"/>
      <c r="AN2998" s="42"/>
      <c r="AO2998" s="63" t="str">
        <f>IFERROR(__xludf.DUMMYFUNCTION("IF(ISBLANK(A2998),,IF(ISBLANK(S2998), A2998&amp;"";"", TEXTJOIN(CHAR(10), TRUE, A2998&amp;"";"", ARRAYFORMULA(VLOOKUP(SPLIT(S2998, "";"" &amp; CHAR(10)), $A:$AO, 41, FALSE)))))"),"IMLF;")</f>
        <v>IMLF;</v>
      </c>
      <c r="AP2998" s="89"/>
    </row>
    <row r="2999">
      <c r="A2999" s="151" t="str">
        <f>IFERROR(__xludf.DUMMYFUNCTION("""COMPUTED_VALUE"""),"I5")</f>
        <v>I5</v>
      </c>
      <c r="B2999" s="42" t="str">
        <f>IFERROR(__xludf.DUMMYFUNCTION("""COMPUTED_VALUE"""),"DHBA")</f>
        <v>DHBA</v>
      </c>
      <c r="C2999" s="42" t="str">
        <f>IFERROR(__xludf.DUMMYFUNCTION("""COMPUTED_VALUE"""),"intertrigeminal nucleus")</f>
        <v>intertrigeminal nucleus</v>
      </c>
      <c r="D2999" s="42">
        <f>IFERROR(__xludf.DUMMYFUNCTION("""COMPUTED_VALUE"""),2859.0)</f>
        <v>2859</v>
      </c>
      <c r="E2999" s="39" t="str">
        <f>IFERROR(__xludf.DUMMYFUNCTION("""COMPUTED_VALUE"""),"intertrigeminal nucleus")</f>
        <v>intertrigeminal nucleus</v>
      </c>
      <c r="F2999" s="9" t="str">
        <f>IFERROR(__xludf.DUMMYFUNCTION("""COMPUTED_VALUE"""),"Br")</f>
        <v>Br</v>
      </c>
      <c r="G2999" s="9" t="str">
        <f>IFERROR(__xludf.DUMMYFUNCTION("""COMPUTED_VALUE"""),"H")</f>
        <v>H</v>
      </c>
      <c r="H2999" s="9" t="str">
        <f>IFERROR(__xludf.DUMMYFUNCTION("""COMPUTED_VALUE"""),"HGM")</f>
        <v>HGM</v>
      </c>
      <c r="I2999" s="9" t="str">
        <f>IFERROR(__xludf.DUMMYFUNCTION("""COMPUTED_VALUE"""),"Met")</f>
        <v>Met</v>
      </c>
      <c r="J2999" s="9" t="str">
        <f>IFERROR(__xludf.DUMMYFUNCTION("""COMPUTED_VALUE"""),"Pn")</f>
        <v>Pn</v>
      </c>
      <c r="K2999" s="9" t="str">
        <f>IFERROR(__xludf.DUMMYFUNCTION("""COMPUTED_VALUE"""),"PnTg")</f>
        <v>PnTg</v>
      </c>
      <c r="L2999" s="9" t="str">
        <f>IFERROR(__xludf.DUMMYFUNCTION("""COMPUTED_VALUE"""),"XPnTg")</f>
        <v>XPnTg</v>
      </c>
      <c r="M2999" s="9" t="str">
        <f>IFERROR(__xludf.DUMMYFUNCTION("""COMPUTED_VALUE"""),"I5")</f>
        <v>I5</v>
      </c>
      <c r="N2999" s="9"/>
      <c r="O2999" s="9"/>
      <c r="P2999" s="9"/>
      <c r="Q2999" s="9"/>
      <c r="R2999" s="9"/>
      <c r="S2999" s="42"/>
      <c r="T2999" s="42"/>
      <c r="U2999" s="42"/>
      <c r="V2999" s="42"/>
      <c r="W2999" s="42"/>
      <c r="X2999" s="42"/>
      <c r="Y2999" s="42"/>
      <c r="Z2999" s="42"/>
      <c r="AA2999" s="42"/>
      <c r="AB2999" s="42" t="str">
        <f>IFERROR(__xludf.DUMMYFUNCTION("""COMPUTED_VALUE"""),"allen institute")</f>
        <v>allen institute</v>
      </c>
      <c r="AC2999" s="42" t="str">
        <f>IFERROR(__xludf.DUMMYFUNCTION("""COMPUTED_VALUE"""),"DHBA")</f>
        <v>DHBA</v>
      </c>
      <c r="AD2999" s="42"/>
      <c r="AE2999" s="42"/>
      <c r="AF2999" s="9"/>
      <c r="AG2999" s="9"/>
      <c r="AH2999" s="42"/>
      <c r="AI2999" s="42"/>
      <c r="AJ2999" s="42"/>
      <c r="AK2999" s="42"/>
      <c r="AL2999" s="42"/>
      <c r="AM2999" s="42"/>
      <c r="AN2999" s="42"/>
      <c r="AO2999" s="63" t="str">
        <f>IFERROR(__xludf.DUMMYFUNCTION("IF(ISBLANK(A2999),,IF(ISBLANK(S2999), A2999&amp;"";"", TEXTJOIN(CHAR(10), TRUE, A2999&amp;"";"", ARRAYFORMULA(VLOOKUP(SPLIT(S2999, "";"" &amp; CHAR(10)), $A:$AO, 41, FALSE)))))"),"I5;")</f>
        <v>I5;</v>
      </c>
      <c r="AP2999" s="89"/>
    </row>
    <row r="3000">
      <c r="A3000" s="151" t="str">
        <f>IFERROR(__xludf.DUMMYFUNCTION("""COMPUTED_VALUE"""),"JxO")</f>
        <v>JxO</v>
      </c>
      <c r="B3000" s="42" t="str">
        <f>IFERROR(__xludf.DUMMYFUNCTION("""COMPUTED_VALUE"""),"DHBA")</f>
        <v>DHBA</v>
      </c>
      <c r="C3000" s="42" t="str">
        <f>IFERROR(__xludf.DUMMYFUNCTION("""COMPUTED_VALUE"""),"juxtaolivary nucleus")</f>
        <v>juxtaolivary nucleus</v>
      </c>
      <c r="D3000" s="42">
        <f>IFERROR(__xludf.DUMMYFUNCTION("""COMPUTED_VALUE"""),2860.0)</f>
        <v>2860</v>
      </c>
      <c r="E3000" s="39" t="str">
        <f>IFERROR(__xludf.DUMMYFUNCTION("""COMPUTED_VALUE"""),"juxtaolivary nucleus")</f>
        <v>juxtaolivary nucleus</v>
      </c>
      <c r="F3000" s="9" t="str">
        <f>IFERROR(__xludf.DUMMYFUNCTION("""COMPUTED_VALUE"""),"Br")</f>
        <v>Br</v>
      </c>
      <c r="G3000" s="9" t="str">
        <f>IFERROR(__xludf.DUMMYFUNCTION("""COMPUTED_VALUE"""),"H")</f>
        <v>H</v>
      </c>
      <c r="H3000" s="9" t="str">
        <f>IFERROR(__xludf.DUMMYFUNCTION("""COMPUTED_VALUE"""),"HGM")</f>
        <v>HGM</v>
      </c>
      <c r="I3000" s="9" t="str">
        <f>IFERROR(__xludf.DUMMYFUNCTION("""COMPUTED_VALUE"""),"Met")</f>
        <v>Met</v>
      </c>
      <c r="J3000" s="9" t="str">
        <f>IFERROR(__xludf.DUMMYFUNCTION("""COMPUTED_VALUE"""),"Pn")</f>
        <v>Pn</v>
      </c>
      <c r="K3000" s="9" t="str">
        <f>IFERROR(__xludf.DUMMYFUNCTION("""COMPUTED_VALUE"""),"PnTg")</f>
        <v>PnTg</v>
      </c>
      <c r="L3000" s="9" t="str">
        <f>IFERROR(__xludf.DUMMYFUNCTION("""COMPUTED_VALUE"""),"XPnTg")</f>
        <v>XPnTg</v>
      </c>
      <c r="M3000" s="9" t="str">
        <f>IFERROR(__xludf.DUMMYFUNCTION("""COMPUTED_VALUE"""),"JxO")</f>
        <v>JxO</v>
      </c>
      <c r="N3000" s="9"/>
      <c r="O3000" s="9"/>
      <c r="P3000" s="9"/>
      <c r="Q3000" s="9"/>
      <c r="R3000" s="9"/>
      <c r="S3000" s="42"/>
      <c r="T3000" s="42"/>
      <c r="U3000" s="42"/>
      <c r="V3000" s="42"/>
      <c r="W3000" s="42"/>
      <c r="X3000" s="42"/>
      <c r="Y3000" s="42"/>
      <c r="Z3000" s="42"/>
      <c r="AA3000" s="42"/>
      <c r="AB3000" s="42" t="str">
        <f>IFERROR(__xludf.DUMMYFUNCTION("""COMPUTED_VALUE"""),"allen institute")</f>
        <v>allen institute</v>
      </c>
      <c r="AC3000" s="42" t="str">
        <f>IFERROR(__xludf.DUMMYFUNCTION("""COMPUTED_VALUE"""),"DHBA")</f>
        <v>DHBA</v>
      </c>
      <c r="AD3000" s="42"/>
      <c r="AE3000" s="42"/>
      <c r="AF3000" s="9"/>
      <c r="AG3000" s="9"/>
      <c r="AH3000" s="42"/>
      <c r="AI3000" s="42"/>
      <c r="AJ3000" s="42"/>
      <c r="AK3000" s="42"/>
      <c r="AL3000" s="42"/>
      <c r="AM3000" s="42"/>
      <c r="AN3000" s="42"/>
      <c r="AO3000" s="63" t="str">
        <f>IFERROR(__xludf.DUMMYFUNCTION("IF(ISBLANK(A3000),,IF(ISBLANK(S3000), A3000&amp;"";"", TEXTJOIN(CHAR(10), TRUE, A3000&amp;"";"", ARRAYFORMULA(VLOOKUP(SPLIT(S3000, "";"" &amp; CHAR(10)), $A:$AO, 41, FALSE)))))"),"JxO;")</f>
        <v>JxO;</v>
      </c>
      <c r="AP3000" s="89"/>
    </row>
    <row r="3001">
      <c r="A3001" s="151" t="str">
        <f>IFERROR(__xludf.DUMMYFUNCTION("""COMPUTED_VALUE"""),"KF")</f>
        <v>KF</v>
      </c>
      <c r="B3001" s="42" t="str">
        <f>IFERROR(__xludf.DUMMYFUNCTION("""COMPUTED_VALUE"""),"DHBA")</f>
        <v>DHBA</v>
      </c>
      <c r="C3001" s="42" t="str">
        <f>IFERROR(__xludf.DUMMYFUNCTION("""COMPUTED_VALUE"""),"Koelliker-Fuse nucleus")</f>
        <v>Koelliker-Fuse nucleus</v>
      </c>
      <c r="D3001" s="42">
        <f>IFERROR(__xludf.DUMMYFUNCTION("""COMPUTED_VALUE"""),2861.0)</f>
        <v>2861</v>
      </c>
      <c r="E3001" s="39" t="str">
        <f>IFERROR(__xludf.DUMMYFUNCTION("""COMPUTED_VALUE"""),"Koelliker-Fuse nucleus")</f>
        <v>Koelliker-Fuse nucleus</v>
      </c>
      <c r="F3001" s="9" t="str">
        <f>IFERROR(__xludf.DUMMYFUNCTION("""COMPUTED_VALUE"""),"Br")</f>
        <v>Br</v>
      </c>
      <c r="G3001" s="9" t="str">
        <f>IFERROR(__xludf.DUMMYFUNCTION("""COMPUTED_VALUE"""),"H")</f>
        <v>H</v>
      </c>
      <c r="H3001" s="9" t="str">
        <f>IFERROR(__xludf.DUMMYFUNCTION("""COMPUTED_VALUE"""),"HGM")</f>
        <v>HGM</v>
      </c>
      <c r="I3001" s="9" t="str">
        <f>IFERROR(__xludf.DUMMYFUNCTION("""COMPUTED_VALUE"""),"Met")</f>
        <v>Met</v>
      </c>
      <c r="J3001" s="9" t="str">
        <f>IFERROR(__xludf.DUMMYFUNCTION("""COMPUTED_VALUE"""),"Pn")</f>
        <v>Pn</v>
      </c>
      <c r="K3001" s="9" t="str">
        <f>IFERROR(__xludf.DUMMYFUNCTION("""COMPUTED_VALUE"""),"PnTg")</f>
        <v>PnTg</v>
      </c>
      <c r="L3001" s="9" t="str">
        <f>IFERROR(__xludf.DUMMYFUNCTION("""COMPUTED_VALUE"""),"XPnTg")</f>
        <v>XPnTg</v>
      </c>
      <c r="M3001" s="9" t="str">
        <f>IFERROR(__xludf.DUMMYFUNCTION("""COMPUTED_VALUE"""),"KF")</f>
        <v>KF</v>
      </c>
      <c r="N3001" s="9"/>
      <c r="O3001" s="9"/>
      <c r="P3001" s="9"/>
      <c r="Q3001" s="9"/>
      <c r="R3001" s="9"/>
      <c r="S3001" s="42"/>
      <c r="T3001" s="42"/>
      <c r="U3001" s="42"/>
      <c r="V3001" s="42"/>
      <c r="W3001" s="42"/>
      <c r="X3001" s="42"/>
      <c r="Y3001" s="42"/>
      <c r="Z3001" s="42"/>
      <c r="AA3001" s="42"/>
      <c r="AB3001" s="42" t="str">
        <f>IFERROR(__xludf.DUMMYFUNCTION("""COMPUTED_VALUE"""),"allen institute")</f>
        <v>allen institute</v>
      </c>
      <c r="AC3001" s="42" t="str">
        <f>IFERROR(__xludf.DUMMYFUNCTION("""COMPUTED_VALUE"""),"DHBA")</f>
        <v>DHBA</v>
      </c>
      <c r="AD3001" s="42"/>
      <c r="AE3001" s="42"/>
      <c r="AF3001" s="9"/>
      <c r="AG3001" s="9"/>
      <c r="AH3001" s="42"/>
      <c r="AI3001" s="42"/>
      <c r="AJ3001" s="42"/>
      <c r="AK3001" s="42"/>
      <c r="AL3001" s="42"/>
      <c r="AM3001" s="42"/>
      <c r="AN3001" s="42"/>
      <c r="AO3001" s="63" t="str">
        <f>IFERROR(__xludf.DUMMYFUNCTION("IF(ISBLANK(A3001),,IF(ISBLANK(S3001), A3001&amp;"";"", TEXTJOIN(CHAR(10), TRUE, A3001&amp;"";"", ARRAYFORMULA(VLOOKUP(SPLIT(S3001, "";"" &amp; CHAR(10)), $A:$AO, 41, FALSE)))))"),"KF;")</f>
        <v>KF;</v>
      </c>
      <c r="AP3001" s="89"/>
    </row>
    <row r="3002">
      <c r="A3002" s="151" t="str">
        <f>IFERROR(__xludf.DUMMYFUNCTION("""COMPUTED_VALUE"""),"LDTg")</f>
        <v>LDTg</v>
      </c>
      <c r="B3002" s="42" t="str">
        <f>IFERROR(__xludf.DUMMYFUNCTION("""COMPUTED_VALUE"""),"DHBA")</f>
        <v>DHBA</v>
      </c>
      <c r="C3002" s="42" t="str">
        <f>IFERROR(__xludf.DUMMYFUNCTION("""COMPUTED_VALUE"""),"Laterodorsal tegmental nucleus")</f>
        <v>Laterodorsal tegmental nucleus</v>
      </c>
      <c r="D3002" s="42">
        <f>IFERROR(__xludf.DUMMYFUNCTION("""COMPUTED_VALUE"""),2862.0)</f>
        <v>2862</v>
      </c>
      <c r="E3002" s="39" t="str">
        <f>IFERROR(__xludf.DUMMYFUNCTION("""COMPUTED_VALUE"""),"laterodorsal tegmental nucleus")</f>
        <v>laterodorsal tegmental nucleus</v>
      </c>
      <c r="F3002" s="9" t="str">
        <f>IFERROR(__xludf.DUMMYFUNCTION("""COMPUTED_VALUE"""),"Br")</f>
        <v>Br</v>
      </c>
      <c r="G3002" s="9" t="str">
        <f>IFERROR(__xludf.DUMMYFUNCTION("""COMPUTED_VALUE"""),"H")</f>
        <v>H</v>
      </c>
      <c r="H3002" s="9" t="str">
        <f>IFERROR(__xludf.DUMMYFUNCTION("""COMPUTED_VALUE"""),"HGM")</f>
        <v>HGM</v>
      </c>
      <c r="I3002" s="9" t="str">
        <f>IFERROR(__xludf.DUMMYFUNCTION("""COMPUTED_VALUE"""),"Met")</f>
        <v>Met</v>
      </c>
      <c r="J3002" s="9" t="str">
        <f>IFERROR(__xludf.DUMMYFUNCTION("""COMPUTED_VALUE"""),"Pn")</f>
        <v>Pn</v>
      </c>
      <c r="K3002" s="9" t="str">
        <f>IFERROR(__xludf.DUMMYFUNCTION("""COMPUTED_VALUE"""),"PnTg")</f>
        <v>PnTg</v>
      </c>
      <c r="L3002" s="9" t="str">
        <f>IFERROR(__xludf.DUMMYFUNCTION("""COMPUTED_VALUE"""),"XPnTg")</f>
        <v>XPnTg</v>
      </c>
      <c r="M3002" s="9" t="str">
        <f>IFERROR(__xludf.DUMMYFUNCTION("""COMPUTED_VALUE"""),"LDTg")</f>
        <v>LDTg</v>
      </c>
      <c r="N3002" s="9"/>
      <c r="O3002" s="9"/>
      <c r="P3002" s="9"/>
      <c r="Q3002" s="9"/>
      <c r="R3002" s="9"/>
      <c r="S3002" s="42" t="str">
        <f>IFERROR(__xludf.DUMMYFUNCTION("""COMPUTED_VALUE"""),"LDTgD;
LDTgV")</f>
        <v>LDTgD;
LDTgV</v>
      </c>
      <c r="T3002" s="42"/>
      <c r="U3002" s="42" t="b">
        <f>IFERROR(__xludf.DUMMYFUNCTION("""COMPUTED_VALUE"""),FALSE)</f>
        <v>0</v>
      </c>
      <c r="V3002" s="42"/>
      <c r="W3002" s="42"/>
      <c r="X3002" s="42"/>
      <c r="Y3002" s="42"/>
      <c r="Z3002" s="42"/>
      <c r="AA3002" s="42"/>
      <c r="AB3002" s="42" t="str">
        <f>IFERROR(__xludf.DUMMYFUNCTION("""COMPUTED_VALUE"""),"allen institute")</f>
        <v>allen institute</v>
      </c>
      <c r="AC3002" s="42" t="str">
        <f>IFERROR(__xludf.DUMMYFUNCTION("""COMPUTED_VALUE"""),"DHBA")</f>
        <v>DHBA</v>
      </c>
      <c r="AD3002" s="42"/>
      <c r="AE3002" s="42"/>
      <c r="AF3002" s="9"/>
      <c r="AG3002" s="9"/>
      <c r="AH3002" s="42"/>
      <c r="AI3002" s="42"/>
      <c r="AJ3002" s="42"/>
      <c r="AK3002" s="42"/>
      <c r="AL3002" s="42"/>
      <c r="AM3002" s="42"/>
      <c r="AN3002" s="42"/>
      <c r="AO3002" s="63" t="str">
        <f>IFERROR(__xludf.DUMMYFUNCTION("IF(ISBLANK(A3002),,IF(ISBLANK(S3002), A3002&amp;"";"", TEXTJOIN(CHAR(10), TRUE, A3002&amp;"";"", ARRAYFORMULA(VLOOKUP(SPLIT(S3002, "";"" &amp; CHAR(10)), $A:$AO, 41, FALSE)))))"),"LDTg;
LDTgD;
LDTgV;")</f>
        <v>LDTg;
LDTgD;
LDTgV;</v>
      </c>
      <c r="AP3002" s="89"/>
    </row>
    <row r="3003">
      <c r="A3003" s="151" t="str">
        <f>IFERROR(__xludf.DUMMYFUNCTION("""COMPUTED_VALUE"""),"LDTgD")</f>
        <v>LDTgD</v>
      </c>
      <c r="B3003" s="42" t="str">
        <f>IFERROR(__xludf.DUMMYFUNCTION("""COMPUTED_VALUE"""),"DHBA")</f>
        <v>DHBA</v>
      </c>
      <c r="C3003" s="42" t="str">
        <f>IFERROR(__xludf.DUMMYFUNCTION("""COMPUTED_VALUE"""),"laterodorsal tegmental nucleus, dorsal part")</f>
        <v>laterodorsal tegmental nucleus, dorsal part</v>
      </c>
      <c r="D3003" s="42">
        <f>IFERROR(__xludf.DUMMYFUNCTION("""COMPUTED_VALUE"""),2863.0)</f>
        <v>2863</v>
      </c>
      <c r="E3003" s="39" t="str">
        <f>IFERROR(__xludf.DUMMYFUNCTION("""COMPUTED_VALUE"""),"laterodorsal tegmental nucleus, dorsal part")</f>
        <v>laterodorsal tegmental nucleus, dorsal part</v>
      </c>
      <c r="F3003" s="9" t="str">
        <f>IFERROR(__xludf.DUMMYFUNCTION("""COMPUTED_VALUE"""),"Br")</f>
        <v>Br</v>
      </c>
      <c r="G3003" s="9" t="str">
        <f>IFERROR(__xludf.DUMMYFUNCTION("""COMPUTED_VALUE"""),"H")</f>
        <v>H</v>
      </c>
      <c r="H3003" s="9" t="str">
        <f>IFERROR(__xludf.DUMMYFUNCTION("""COMPUTED_VALUE"""),"HGM")</f>
        <v>HGM</v>
      </c>
      <c r="I3003" s="9" t="str">
        <f>IFERROR(__xludf.DUMMYFUNCTION("""COMPUTED_VALUE"""),"Met")</f>
        <v>Met</v>
      </c>
      <c r="J3003" s="9" t="str">
        <f>IFERROR(__xludf.DUMMYFUNCTION("""COMPUTED_VALUE"""),"Pn")</f>
        <v>Pn</v>
      </c>
      <c r="K3003" s="9" t="str">
        <f>IFERROR(__xludf.DUMMYFUNCTION("""COMPUTED_VALUE"""),"PnTg")</f>
        <v>PnTg</v>
      </c>
      <c r="L3003" s="9" t="str">
        <f>IFERROR(__xludf.DUMMYFUNCTION("""COMPUTED_VALUE"""),"XPnTg")</f>
        <v>XPnTg</v>
      </c>
      <c r="M3003" s="9" t="str">
        <f>IFERROR(__xludf.DUMMYFUNCTION("""COMPUTED_VALUE"""),"LDTg")</f>
        <v>LDTg</v>
      </c>
      <c r="N3003" s="9" t="str">
        <f>IFERROR(__xludf.DUMMYFUNCTION("""COMPUTED_VALUE"""),"LDTgD")</f>
        <v>LDTgD</v>
      </c>
      <c r="O3003" s="9"/>
      <c r="P3003" s="9"/>
      <c r="Q3003" s="9"/>
      <c r="R3003" s="9"/>
      <c r="S3003" s="42"/>
      <c r="T3003" s="42"/>
      <c r="U3003" s="159"/>
      <c r="V3003" s="42"/>
      <c r="W3003" s="42"/>
      <c r="X3003" s="42"/>
      <c r="Y3003" s="42"/>
      <c r="Z3003" s="42"/>
      <c r="AA3003" s="42"/>
      <c r="AB3003" s="42" t="str">
        <f>IFERROR(__xludf.DUMMYFUNCTION("""COMPUTED_VALUE"""),"allen institute")</f>
        <v>allen institute</v>
      </c>
      <c r="AC3003" s="42" t="str">
        <f>IFERROR(__xludf.DUMMYFUNCTION("""COMPUTED_VALUE"""),"DHBA")</f>
        <v>DHBA</v>
      </c>
      <c r="AD3003" s="42"/>
      <c r="AE3003" s="42"/>
      <c r="AF3003" s="9"/>
      <c r="AG3003" s="9"/>
      <c r="AH3003" s="42"/>
      <c r="AI3003" s="42"/>
      <c r="AJ3003" s="42"/>
      <c r="AK3003" s="42"/>
      <c r="AL3003" s="42"/>
      <c r="AM3003" s="42"/>
      <c r="AN3003" s="42"/>
      <c r="AO3003" s="63" t="str">
        <f>IFERROR(__xludf.DUMMYFUNCTION("IF(ISBLANK(A3003),,IF(ISBLANK(S3003), A3003&amp;"";"", TEXTJOIN(CHAR(10), TRUE, A3003&amp;"";"", ARRAYFORMULA(VLOOKUP(SPLIT(S3003, "";"" &amp; CHAR(10)), $A:$AO, 41, FALSE)))))"),"LDTgD;")</f>
        <v>LDTgD;</v>
      </c>
      <c r="AP3003" s="89"/>
    </row>
    <row r="3004">
      <c r="A3004" s="151" t="str">
        <f>IFERROR(__xludf.DUMMYFUNCTION("""COMPUTED_VALUE"""),"LDTgV")</f>
        <v>LDTgV</v>
      </c>
      <c r="B3004" s="42" t="str">
        <f>IFERROR(__xludf.DUMMYFUNCTION("""COMPUTED_VALUE"""),"DHBA")</f>
        <v>DHBA</v>
      </c>
      <c r="C3004" s="42" t="str">
        <f>IFERROR(__xludf.DUMMYFUNCTION("""COMPUTED_VALUE"""),"laterodorsal tegmental nucleus, ventral part")</f>
        <v>laterodorsal tegmental nucleus, ventral part</v>
      </c>
      <c r="D3004" s="42">
        <f>IFERROR(__xludf.DUMMYFUNCTION("""COMPUTED_VALUE"""),2864.0)</f>
        <v>2864</v>
      </c>
      <c r="E3004" s="39" t="str">
        <f>IFERROR(__xludf.DUMMYFUNCTION("""COMPUTED_VALUE"""),"laterodorsal tegmental nucleus, ventral part")</f>
        <v>laterodorsal tegmental nucleus, ventral part</v>
      </c>
      <c r="F3004" s="9" t="str">
        <f>IFERROR(__xludf.DUMMYFUNCTION("""COMPUTED_VALUE"""),"Br")</f>
        <v>Br</v>
      </c>
      <c r="G3004" s="9" t="str">
        <f>IFERROR(__xludf.DUMMYFUNCTION("""COMPUTED_VALUE"""),"H")</f>
        <v>H</v>
      </c>
      <c r="H3004" s="9" t="str">
        <f>IFERROR(__xludf.DUMMYFUNCTION("""COMPUTED_VALUE"""),"HGM")</f>
        <v>HGM</v>
      </c>
      <c r="I3004" s="9" t="str">
        <f>IFERROR(__xludf.DUMMYFUNCTION("""COMPUTED_VALUE"""),"Met")</f>
        <v>Met</v>
      </c>
      <c r="J3004" s="9" t="str">
        <f>IFERROR(__xludf.DUMMYFUNCTION("""COMPUTED_VALUE"""),"Pn")</f>
        <v>Pn</v>
      </c>
      <c r="K3004" s="9" t="str">
        <f>IFERROR(__xludf.DUMMYFUNCTION("""COMPUTED_VALUE"""),"PnTg")</f>
        <v>PnTg</v>
      </c>
      <c r="L3004" s="9" t="str">
        <f>IFERROR(__xludf.DUMMYFUNCTION("""COMPUTED_VALUE"""),"XPnTg")</f>
        <v>XPnTg</v>
      </c>
      <c r="M3004" s="9" t="str">
        <f>IFERROR(__xludf.DUMMYFUNCTION("""COMPUTED_VALUE"""),"LDTg")</f>
        <v>LDTg</v>
      </c>
      <c r="N3004" s="9" t="str">
        <f>IFERROR(__xludf.DUMMYFUNCTION("""COMPUTED_VALUE"""),"LDTgV")</f>
        <v>LDTgV</v>
      </c>
      <c r="O3004" s="9"/>
      <c r="P3004" s="9"/>
      <c r="Q3004" s="9"/>
      <c r="R3004" s="9"/>
      <c r="S3004" s="42"/>
      <c r="T3004" s="42"/>
      <c r="U3004" s="42"/>
      <c r="V3004" s="42"/>
      <c r="W3004" s="42"/>
      <c r="X3004" s="42"/>
      <c r="Y3004" s="42"/>
      <c r="Z3004" s="42"/>
      <c r="AA3004" s="42"/>
      <c r="AB3004" s="42" t="str">
        <f>IFERROR(__xludf.DUMMYFUNCTION("""COMPUTED_VALUE"""),"allen institute")</f>
        <v>allen institute</v>
      </c>
      <c r="AC3004" s="42" t="str">
        <f>IFERROR(__xludf.DUMMYFUNCTION("""COMPUTED_VALUE"""),"DHBA")</f>
        <v>DHBA</v>
      </c>
      <c r="AD3004" s="42"/>
      <c r="AE3004" s="42"/>
      <c r="AF3004" s="9"/>
      <c r="AG3004" s="9"/>
      <c r="AH3004" s="42"/>
      <c r="AI3004" s="42"/>
      <c r="AJ3004" s="42"/>
      <c r="AK3004" s="42"/>
      <c r="AL3004" s="42"/>
      <c r="AM3004" s="42"/>
      <c r="AN3004" s="42"/>
      <c r="AO3004" s="63" t="str">
        <f>IFERROR(__xludf.DUMMYFUNCTION("IF(ISBLANK(A3004),,IF(ISBLANK(S3004), A3004&amp;"";"", TEXTJOIN(CHAR(10), TRUE, A3004&amp;"";"", ARRAYFORMULA(VLOOKUP(SPLIT(S3004, "";"" &amp; CHAR(10)), $A:$AO, 41, FALSE)))))"),"LDTgV;")</f>
        <v>LDTgV;</v>
      </c>
      <c r="AP3004" s="89"/>
    </row>
    <row r="3005">
      <c r="A3005" s="151" t="str">
        <f>IFERROR(__xludf.DUMMYFUNCTION("""COMPUTED_VALUE"""),"NI")</f>
        <v>NI</v>
      </c>
      <c r="B3005" s="42" t="str">
        <f>IFERROR(__xludf.DUMMYFUNCTION("""COMPUTED_VALUE"""),"DHBA")</f>
        <v>DHBA</v>
      </c>
      <c r="C3005" s="42" t="str">
        <f>IFERROR(__xludf.DUMMYFUNCTION("""COMPUTED_VALUE"""),"nucleus incertus")</f>
        <v>nucleus incertus</v>
      </c>
      <c r="D3005" s="42">
        <f>IFERROR(__xludf.DUMMYFUNCTION("""COMPUTED_VALUE"""),2865.0)</f>
        <v>2865</v>
      </c>
      <c r="E3005" s="39" t="str">
        <f>IFERROR(__xludf.DUMMYFUNCTION("""COMPUTED_VALUE"""),"nucleus incertus")</f>
        <v>nucleus incertus</v>
      </c>
      <c r="F3005" s="9" t="str">
        <f>IFERROR(__xludf.DUMMYFUNCTION("""COMPUTED_VALUE"""),"Br")</f>
        <v>Br</v>
      </c>
      <c r="G3005" s="9" t="str">
        <f>IFERROR(__xludf.DUMMYFUNCTION("""COMPUTED_VALUE"""),"H")</f>
        <v>H</v>
      </c>
      <c r="H3005" s="9" t="str">
        <f>IFERROR(__xludf.DUMMYFUNCTION("""COMPUTED_VALUE"""),"HGM")</f>
        <v>HGM</v>
      </c>
      <c r="I3005" s="9" t="str">
        <f>IFERROR(__xludf.DUMMYFUNCTION("""COMPUTED_VALUE"""),"Met")</f>
        <v>Met</v>
      </c>
      <c r="J3005" s="9" t="str">
        <f>IFERROR(__xludf.DUMMYFUNCTION("""COMPUTED_VALUE"""),"Pn")</f>
        <v>Pn</v>
      </c>
      <c r="K3005" s="9" t="str">
        <f>IFERROR(__xludf.DUMMYFUNCTION("""COMPUTED_VALUE"""),"PnTg")</f>
        <v>PnTg</v>
      </c>
      <c r="L3005" s="9" t="str">
        <f>IFERROR(__xludf.DUMMYFUNCTION("""COMPUTED_VALUE"""),"XPnTg")</f>
        <v>XPnTg</v>
      </c>
      <c r="M3005" s="9" t="str">
        <f>IFERROR(__xludf.DUMMYFUNCTION("""COMPUTED_VALUE"""),"NI")</f>
        <v>NI</v>
      </c>
      <c r="N3005" s="9"/>
      <c r="O3005" s="9"/>
      <c r="P3005" s="9"/>
      <c r="Q3005" s="9"/>
      <c r="R3005" s="9"/>
      <c r="S3005" s="42"/>
      <c r="T3005" s="42"/>
      <c r="U3005" s="42"/>
      <c r="V3005" s="42"/>
      <c r="W3005" s="42"/>
      <c r="X3005" s="42"/>
      <c r="Y3005" s="42"/>
      <c r="Z3005" s="42"/>
      <c r="AA3005" s="42"/>
      <c r="AB3005" s="42" t="str">
        <f>IFERROR(__xludf.DUMMYFUNCTION("""COMPUTED_VALUE"""),"allen institute")</f>
        <v>allen institute</v>
      </c>
      <c r="AC3005" s="42" t="str">
        <f>IFERROR(__xludf.DUMMYFUNCTION("""COMPUTED_VALUE"""),"DHBA")</f>
        <v>DHBA</v>
      </c>
      <c r="AD3005" s="42"/>
      <c r="AE3005" s="42"/>
      <c r="AF3005" s="9"/>
      <c r="AG3005" s="9"/>
      <c r="AH3005" s="42"/>
      <c r="AI3005" s="42"/>
      <c r="AJ3005" s="42"/>
      <c r="AK3005" s="42"/>
      <c r="AL3005" s="42"/>
      <c r="AM3005" s="42"/>
      <c r="AN3005" s="42"/>
      <c r="AO3005" s="63" t="str">
        <f>IFERROR(__xludf.DUMMYFUNCTION("IF(ISBLANK(A3005),,IF(ISBLANK(S3005), A3005&amp;"";"", TEXTJOIN(CHAR(10), TRUE, A3005&amp;"";"", ARRAYFORMULA(VLOOKUP(SPLIT(S3005, "";"" &amp; CHAR(10)), $A:$AO, 41, FALSE)))))"),"NI;")</f>
        <v>NI;</v>
      </c>
      <c r="AP3005" s="89"/>
    </row>
    <row r="3006">
      <c r="A3006" s="151" t="str">
        <f>IFERROR(__xludf.DUMMYFUNCTION("""COMPUTED_VALUE"""),"K")</f>
        <v>K</v>
      </c>
      <c r="B3006" s="42" t="str">
        <f>IFERROR(__xludf.DUMMYFUNCTION("""COMPUTED_VALUE"""),"DHBA")</f>
        <v>DHBA</v>
      </c>
      <c r="C3006" s="42" t="str">
        <f>IFERROR(__xludf.DUMMYFUNCTION("""COMPUTED_VALUE"""),"nucleus K")</f>
        <v>nucleus K</v>
      </c>
      <c r="D3006" s="42">
        <f>IFERROR(__xludf.DUMMYFUNCTION("""COMPUTED_VALUE"""),2866.0)</f>
        <v>2866</v>
      </c>
      <c r="E3006" s="39" t="str">
        <f>IFERROR(__xludf.DUMMYFUNCTION("""COMPUTED_VALUE"""),"nucleus K")</f>
        <v>nucleus K</v>
      </c>
      <c r="F3006" s="9" t="str">
        <f>IFERROR(__xludf.DUMMYFUNCTION("""COMPUTED_VALUE"""),"Br")</f>
        <v>Br</v>
      </c>
      <c r="G3006" s="9" t="str">
        <f>IFERROR(__xludf.DUMMYFUNCTION("""COMPUTED_VALUE"""),"H")</f>
        <v>H</v>
      </c>
      <c r="H3006" s="9" t="str">
        <f>IFERROR(__xludf.DUMMYFUNCTION("""COMPUTED_VALUE"""),"HGM")</f>
        <v>HGM</v>
      </c>
      <c r="I3006" s="9" t="str">
        <f>IFERROR(__xludf.DUMMYFUNCTION("""COMPUTED_VALUE"""),"Met")</f>
        <v>Met</v>
      </c>
      <c r="J3006" s="9" t="str">
        <f>IFERROR(__xludf.DUMMYFUNCTION("""COMPUTED_VALUE"""),"Pn")</f>
        <v>Pn</v>
      </c>
      <c r="K3006" s="9" t="str">
        <f>IFERROR(__xludf.DUMMYFUNCTION("""COMPUTED_VALUE"""),"PnTg")</f>
        <v>PnTg</v>
      </c>
      <c r="L3006" s="9" t="str">
        <f>IFERROR(__xludf.DUMMYFUNCTION("""COMPUTED_VALUE"""),"XPnTg")</f>
        <v>XPnTg</v>
      </c>
      <c r="M3006" s="9" t="str">
        <f>IFERROR(__xludf.DUMMYFUNCTION("""COMPUTED_VALUE"""),"K")</f>
        <v>K</v>
      </c>
      <c r="N3006" s="9"/>
      <c r="O3006" s="9"/>
      <c r="P3006" s="9"/>
      <c r="Q3006" s="9"/>
      <c r="R3006" s="9"/>
      <c r="S3006" s="42"/>
      <c r="T3006" s="42"/>
      <c r="U3006" s="42"/>
      <c r="V3006" s="42"/>
      <c r="W3006" s="42"/>
      <c r="X3006" s="42"/>
      <c r="Y3006" s="42"/>
      <c r="Z3006" s="42"/>
      <c r="AA3006" s="42"/>
      <c r="AB3006" s="42" t="str">
        <f>IFERROR(__xludf.DUMMYFUNCTION("""COMPUTED_VALUE"""),"allen institute")</f>
        <v>allen institute</v>
      </c>
      <c r="AC3006" s="42" t="str">
        <f>IFERROR(__xludf.DUMMYFUNCTION("""COMPUTED_VALUE"""),"DHBA")</f>
        <v>DHBA</v>
      </c>
      <c r="AD3006" s="42"/>
      <c r="AE3006" s="42"/>
      <c r="AF3006" s="9"/>
      <c r="AG3006" s="9"/>
      <c r="AH3006" s="42"/>
      <c r="AI3006" s="42"/>
      <c r="AJ3006" s="42"/>
      <c r="AK3006" s="42"/>
      <c r="AL3006" s="42"/>
      <c r="AM3006" s="42"/>
      <c r="AN3006" s="42"/>
      <c r="AO3006" s="63" t="str">
        <f>IFERROR(__xludf.DUMMYFUNCTION("IF(ISBLANK(A3006),,IF(ISBLANK(S3006), A3006&amp;"";"", TEXTJOIN(CHAR(10), TRUE, A3006&amp;"";"", ARRAYFORMULA(VLOOKUP(SPLIT(S3006, "";"" &amp; CHAR(10)), $A:$AO, 41, FALSE)))))"),"K;")</f>
        <v>K;</v>
      </c>
      <c r="AP3006" s="89"/>
    </row>
    <row r="3007">
      <c r="A3007" s="151" t="str">
        <f>IFERROR(__xludf.DUMMYFUNCTION("""COMPUTED_VALUE"""),"L")</f>
        <v>L</v>
      </c>
      <c r="B3007" s="42" t="str">
        <f>IFERROR(__xludf.DUMMYFUNCTION("""COMPUTED_VALUE"""),"DHBA")</f>
        <v>DHBA</v>
      </c>
      <c r="C3007" s="42" t="str">
        <f>IFERROR(__xludf.DUMMYFUNCTION("""COMPUTED_VALUE"""),"nucleus L")</f>
        <v>nucleus L</v>
      </c>
      <c r="D3007" s="42">
        <f>IFERROR(__xludf.DUMMYFUNCTION("""COMPUTED_VALUE"""),2867.0)</f>
        <v>2867</v>
      </c>
      <c r="E3007" s="39" t="str">
        <f>IFERROR(__xludf.DUMMYFUNCTION("""COMPUTED_VALUE"""),"nucleus L")</f>
        <v>nucleus L</v>
      </c>
      <c r="F3007" s="9" t="str">
        <f>IFERROR(__xludf.DUMMYFUNCTION("""COMPUTED_VALUE"""),"Br")</f>
        <v>Br</v>
      </c>
      <c r="G3007" s="9" t="str">
        <f>IFERROR(__xludf.DUMMYFUNCTION("""COMPUTED_VALUE"""),"H")</f>
        <v>H</v>
      </c>
      <c r="H3007" s="9" t="str">
        <f>IFERROR(__xludf.DUMMYFUNCTION("""COMPUTED_VALUE"""),"HGM")</f>
        <v>HGM</v>
      </c>
      <c r="I3007" s="9" t="str">
        <f>IFERROR(__xludf.DUMMYFUNCTION("""COMPUTED_VALUE"""),"Met")</f>
        <v>Met</v>
      </c>
      <c r="J3007" s="9" t="str">
        <f>IFERROR(__xludf.DUMMYFUNCTION("""COMPUTED_VALUE"""),"Pn")</f>
        <v>Pn</v>
      </c>
      <c r="K3007" s="9" t="str">
        <f>IFERROR(__xludf.DUMMYFUNCTION("""COMPUTED_VALUE"""),"PnTg")</f>
        <v>PnTg</v>
      </c>
      <c r="L3007" s="9" t="str">
        <f>IFERROR(__xludf.DUMMYFUNCTION("""COMPUTED_VALUE"""),"XPnTg")</f>
        <v>XPnTg</v>
      </c>
      <c r="M3007" s="9" t="str">
        <f>IFERROR(__xludf.DUMMYFUNCTION("""COMPUTED_VALUE"""),"L")</f>
        <v>L</v>
      </c>
      <c r="N3007" s="9"/>
      <c r="O3007" s="9"/>
      <c r="P3007" s="9"/>
      <c r="Q3007" s="9"/>
      <c r="R3007" s="9"/>
      <c r="S3007" s="42"/>
      <c r="T3007" s="42"/>
      <c r="U3007" s="42"/>
      <c r="V3007" s="42"/>
      <c r="W3007" s="42"/>
      <c r="X3007" s="42"/>
      <c r="Y3007" s="42"/>
      <c r="Z3007" s="42"/>
      <c r="AA3007" s="42"/>
      <c r="AB3007" s="42" t="str">
        <f>IFERROR(__xludf.DUMMYFUNCTION("""COMPUTED_VALUE"""),"allen institute")</f>
        <v>allen institute</v>
      </c>
      <c r="AC3007" s="42" t="str">
        <f>IFERROR(__xludf.DUMMYFUNCTION("""COMPUTED_VALUE"""),"DHBA")</f>
        <v>DHBA</v>
      </c>
      <c r="AD3007" s="42"/>
      <c r="AE3007" s="42"/>
      <c r="AF3007" s="9"/>
      <c r="AG3007" s="9"/>
      <c r="AH3007" s="42"/>
      <c r="AI3007" s="42"/>
      <c r="AJ3007" s="42"/>
      <c r="AK3007" s="42"/>
      <c r="AL3007" s="42"/>
      <c r="AM3007" s="42"/>
      <c r="AN3007" s="42"/>
      <c r="AO3007" s="63" t="str">
        <f>IFERROR(__xludf.DUMMYFUNCTION("IF(ISBLANK(A3007),,IF(ISBLANK(S3007), A3007&amp;"";"", TEXTJOIN(CHAR(10), TRUE, A3007&amp;"";"", ARRAYFORMULA(VLOOKUP(SPLIT(S3007, "";"" &amp; CHAR(10)), $A:$AO, 41, FALSE)))))"),"L;")</f>
        <v>L;</v>
      </c>
      <c r="AP3007" s="89"/>
    </row>
    <row r="3008">
      <c r="A3008" s="151" t="str">
        <f>IFERROR(__xludf.DUMMYFUNCTION("""COMPUTED_VALUE"""),"Pa6")</f>
        <v>Pa6</v>
      </c>
      <c r="B3008" s="42" t="str">
        <f>IFERROR(__xludf.DUMMYFUNCTION("""COMPUTED_VALUE"""),"DHBA")</f>
        <v>DHBA</v>
      </c>
      <c r="C3008" s="42" t="str">
        <f>IFERROR(__xludf.DUMMYFUNCTION("""COMPUTED_VALUE"""),"paraabducens nucleus")</f>
        <v>paraabducens nucleus</v>
      </c>
      <c r="D3008" s="42">
        <f>IFERROR(__xludf.DUMMYFUNCTION("""COMPUTED_VALUE"""),2868.0)</f>
        <v>2868</v>
      </c>
      <c r="E3008" s="39" t="str">
        <f>IFERROR(__xludf.DUMMYFUNCTION("""COMPUTED_VALUE"""),"paraabducens nucleus")</f>
        <v>paraabducens nucleus</v>
      </c>
      <c r="F3008" s="9" t="str">
        <f>IFERROR(__xludf.DUMMYFUNCTION("""COMPUTED_VALUE"""),"Br")</f>
        <v>Br</v>
      </c>
      <c r="G3008" s="9" t="str">
        <f>IFERROR(__xludf.DUMMYFUNCTION("""COMPUTED_VALUE"""),"H")</f>
        <v>H</v>
      </c>
      <c r="H3008" s="9" t="str">
        <f>IFERROR(__xludf.DUMMYFUNCTION("""COMPUTED_VALUE"""),"HGM")</f>
        <v>HGM</v>
      </c>
      <c r="I3008" s="9" t="str">
        <f>IFERROR(__xludf.DUMMYFUNCTION("""COMPUTED_VALUE"""),"Met")</f>
        <v>Met</v>
      </c>
      <c r="J3008" s="9" t="str">
        <f>IFERROR(__xludf.DUMMYFUNCTION("""COMPUTED_VALUE"""),"Pn")</f>
        <v>Pn</v>
      </c>
      <c r="K3008" s="9" t="str">
        <f>IFERROR(__xludf.DUMMYFUNCTION("""COMPUTED_VALUE"""),"PnTg")</f>
        <v>PnTg</v>
      </c>
      <c r="L3008" s="9" t="str">
        <f>IFERROR(__xludf.DUMMYFUNCTION("""COMPUTED_VALUE"""),"XPnTg")</f>
        <v>XPnTg</v>
      </c>
      <c r="M3008" s="9" t="str">
        <f>IFERROR(__xludf.DUMMYFUNCTION("""COMPUTED_VALUE"""),"Pa6")</f>
        <v>Pa6</v>
      </c>
      <c r="N3008" s="9"/>
      <c r="O3008" s="9"/>
      <c r="P3008" s="9"/>
      <c r="Q3008" s="9"/>
      <c r="R3008" s="9"/>
      <c r="S3008" s="42"/>
      <c r="T3008" s="42"/>
      <c r="U3008" s="42"/>
      <c r="V3008" s="42"/>
      <c r="W3008" s="42"/>
      <c r="X3008" s="42"/>
      <c r="Y3008" s="42"/>
      <c r="Z3008" s="42"/>
      <c r="AA3008" s="42"/>
      <c r="AB3008" s="42" t="str">
        <f>IFERROR(__xludf.DUMMYFUNCTION("""COMPUTED_VALUE"""),"allen institute")</f>
        <v>allen institute</v>
      </c>
      <c r="AC3008" s="42" t="str">
        <f>IFERROR(__xludf.DUMMYFUNCTION("""COMPUTED_VALUE"""),"DHBA")</f>
        <v>DHBA</v>
      </c>
      <c r="AD3008" s="42"/>
      <c r="AE3008" s="42"/>
      <c r="AF3008" s="9"/>
      <c r="AG3008" s="9"/>
      <c r="AH3008" s="42"/>
      <c r="AI3008" s="42"/>
      <c r="AJ3008" s="42"/>
      <c r="AK3008" s="42"/>
      <c r="AL3008" s="42"/>
      <c r="AM3008" s="42"/>
      <c r="AN3008" s="42"/>
      <c r="AO3008" s="63" t="str">
        <f>IFERROR(__xludf.DUMMYFUNCTION("IF(ISBLANK(A3008),,IF(ISBLANK(S3008), A3008&amp;"";"", TEXTJOIN(CHAR(10), TRUE, A3008&amp;"";"", ARRAYFORMULA(VLOOKUP(SPLIT(S3008, "";"" &amp; CHAR(10)), $A:$AO, 41, FALSE)))))"),"Pa6;")</f>
        <v>Pa6;</v>
      </c>
      <c r="AP3008" s="89"/>
    </row>
    <row r="3009">
      <c r="A3009" s="151" t="str">
        <f>IFERROR(__xludf.DUMMYFUNCTION("""COMPUTED_VALUE"""),"PCuN")</f>
        <v>PCuN</v>
      </c>
      <c r="B3009" s="42" t="str">
        <f>IFERROR(__xludf.DUMMYFUNCTION("""COMPUTED_VALUE"""),"DHBA")</f>
        <v>DHBA</v>
      </c>
      <c r="C3009" s="42" t="str">
        <f>IFERROR(__xludf.DUMMYFUNCTION("""COMPUTED_VALUE"""),"pericuneate nuclei")</f>
        <v>pericuneate nuclei</v>
      </c>
      <c r="D3009" s="42">
        <f>IFERROR(__xludf.DUMMYFUNCTION("""COMPUTED_VALUE"""),2869.0)</f>
        <v>2869</v>
      </c>
      <c r="E3009" s="39" t="str">
        <f>IFERROR(__xludf.DUMMYFUNCTION("""COMPUTED_VALUE"""),"pericuneate nuclei")</f>
        <v>pericuneate nuclei</v>
      </c>
      <c r="F3009" s="9" t="str">
        <f>IFERROR(__xludf.DUMMYFUNCTION("""COMPUTED_VALUE"""),"Br")</f>
        <v>Br</v>
      </c>
      <c r="G3009" s="9" t="str">
        <f>IFERROR(__xludf.DUMMYFUNCTION("""COMPUTED_VALUE"""),"H")</f>
        <v>H</v>
      </c>
      <c r="H3009" s="9" t="str">
        <f>IFERROR(__xludf.DUMMYFUNCTION("""COMPUTED_VALUE"""),"HGM")</f>
        <v>HGM</v>
      </c>
      <c r="I3009" s="9" t="str">
        <f>IFERROR(__xludf.DUMMYFUNCTION("""COMPUTED_VALUE"""),"Met")</f>
        <v>Met</v>
      </c>
      <c r="J3009" s="9" t="str">
        <f>IFERROR(__xludf.DUMMYFUNCTION("""COMPUTED_VALUE"""),"Pn")</f>
        <v>Pn</v>
      </c>
      <c r="K3009" s="9" t="str">
        <f>IFERROR(__xludf.DUMMYFUNCTION("""COMPUTED_VALUE"""),"PnTg")</f>
        <v>PnTg</v>
      </c>
      <c r="L3009" s="9" t="str">
        <f>IFERROR(__xludf.DUMMYFUNCTION("""COMPUTED_VALUE"""),"XPnTg")</f>
        <v>XPnTg</v>
      </c>
      <c r="M3009" s="9" t="str">
        <f>IFERROR(__xludf.DUMMYFUNCTION("""COMPUTED_VALUE"""),"PCuN")</f>
        <v>PCuN</v>
      </c>
      <c r="N3009" s="9"/>
      <c r="O3009" s="9"/>
      <c r="P3009" s="9"/>
      <c r="Q3009" s="9"/>
      <c r="R3009" s="9"/>
      <c r="S3009" s="42" t="str">
        <f>IFERROR(__xludf.DUMMYFUNCTION("""COMPUTED_VALUE"""),"LPCu;
MPCu")</f>
        <v>LPCu;
MPCu</v>
      </c>
      <c r="T3009" s="42"/>
      <c r="U3009" s="42" t="b">
        <f>IFERROR(__xludf.DUMMYFUNCTION("""COMPUTED_VALUE"""),FALSE)</f>
        <v>0</v>
      </c>
      <c r="V3009" s="42"/>
      <c r="W3009" s="42"/>
      <c r="X3009" s="42"/>
      <c r="Y3009" s="42"/>
      <c r="Z3009" s="42"/>
      <c r="AA3009" s="42"/>
      <c r="AB3009" s="42" t="str">
        <f>IFERROR(__xludf.DUMMYFUNCTION("""COMPUTED_VALUE"""),"allen institute")</f>
        <v>allen institute</v>
      </c>
      <c r="AC3009" s="42" t="str">
        <f>IFERROR(__xludf.DUMMYFUNCTION("""COMPUTED_VALUE"""),"DHBA")</f>
        <v>DHBA</v>
      </c>
      <c r="AD3009" s="42"/>
      <c r="AE3009" s="42"/>
      <c r="AF3009" s="9"/>
      <c r="AG3009" s="9"/>
      <c r="AH3009" s="42"/>
      <c r="AI3009" s="42"/>
      <c r="AJ3009" s="42"/>
      <c r="AK3009" s="42"/>
      <c r="AL3009" s="42"/>
      <c r="AM3009" s="42"/>
      <c r="AN3009" s="42"/>
      <c r="AO3009" s="63" t="str">
        <f>IFERROR(__xludf.DUMMYFUNCTION("IF(ISBLANK(A3009),,IF(ISBLANK(S3009), A3009&amp;"";"", TEXTJOIN(CHAR(10), TRUE, A3009&amp;"";"", ARRAYFORMULA(VLOOKUP(SPLIT(S3009, "";"" &amp; CHAR(10)), $A:$AO, 41, FALSE)))))"),"PCuN;
LPCu;
MPCu;")</f>
        <v>PCuN;
LPCu;
MPCu;</v>
      </c>
      <c r="AP3009" s="89"/>
    </row>
    <row r="3010">
      <c r="A3010" s="151" t="str">
        <f>IFERROR(__xludf.DUMMYFUNCTION("""COMPUTED_VALUE"""),"LPCu")</f>
        <v>LPCu</v>
      </c>
      <c r="B3010" s="42" t="str">
        <f>IFERROR(__xludf.DUMMYFUNCTION("""COMPUTED_VALUE"""),"DHBA")</f>
        <v>DHBA</v>
      </c>
      <c r="C3010" s="42" t="str">
        <f>IFERROR(__xludf.DUMMYFUNCTION("""COMPUTED_VALUE"""),"lateral pericuneate nucleus")</f>
        <v>lateral pericuneate nucleus</v>
      </c>
      <c r="D3010" s="42">
        <f>IFERROR(__xludf.DUMMYFUNCTION("""COMPUTED_VALUE"""),2870.0)</f>
        <v>2870</v>
      </c>
      <c r="E3010" s="39" t="str">
        <f>IFERROR(__xludf.DUMMYFUNCTION("""COMPUTED_VALUE"""),"lateral pericuneate nucleus")</f>
        <v>lateral pericuneate nucleus</v>
      </c>
      <c r="F3010" s="9" t="str">
        <f>IFERROR(__xludf.DUMMYFUNCTION("""COMPUTED_VALUE"""),"Br")</f>
        <v>Br</v>
      </c>
      <c r="G3010" s="9" t="str">
        <f>IFERROR(__xludf.DUMMYFUNCTION("""COMPUTED_VALUE"""),"H")</f>
        <v>H</v>
      </c>
      <c r="H3010" s="9" t="str">
        <f>IFERROR(__xludf.DUMMYFUNCTION("""COMPUTED_VALUE"""),"HGM")</f>
        <v>HGM</v>
      </c>
      <c r="I3010" s="9" t="str">
        <f>IFERROR(__xludf.DUMMYFUNCTION("""COMPUTED_VALUE"""),"Met")</f>
        <v>Met</v>
      </c>
      <c r="J3010" s="9" t="str">
        <f>IFERROR(__xludf.DUMMYFUNCTION("""COMPUTED_VALUE"""),"Pn")</f>
        <v>Pn</v>
      </c>
      <c r="K3010" s="9" t="str">
        <f>IFERROR(__xludf.DUMMYFUNCTION("""COMPUTED_VALUE"""),"PnTg")</f>
        <v>PnTg</v>
      </c>
      <c r="L3010" s="9" t="str">
        <f>IFERROR(__xludf.DUMMYFUNCTION("""COMPUTED_VALUE"""),"XPnTg")</f>
        <v>XPnTg</v>
      </c>
      <c r="M3010" s="9" t="str">
        <f>IFERROR(__xludf.DUMMYFUNCTION("""COMPUTED_VALUE"""),"PCuN")</f>
        <v>PCuN</v>
      </c>
      <c r="N3010" s="9" t="str">
        <f>IFERROR(__xludf.DUMMYFUNCTION("""COMPUTED_VALUE"""),"LPCu")</f>
        <v>LPCu</v>
      </c>
      <c r="O3010" s="9"/>
      <c r="P3010" s="9"/>
      <c r="Q3010" s="9"/>
      <c r="R3010" s="9"/>
      <c r="S3010" s="42"/>
      <c r="T3010" s="42"/>
      <c r="U3010" s="42"/>
      <c r="V3010" s="42"/>
      <c r="W3010" s="42"/>
      <c r="X3010" s="42"/>
      <c r="Y3010" s="42"/>
      <c r="Z3010" s="42"/>
      <c r="AA3010" s="42"/>
      <c r="AB3010" s="42" t="str">
        <f>IFERROR(__xludf.DUMMYFUNCTION("""COMPUTED_VALUE"""),"allen institute")</f>
        <v>allen institute</v>
      </c>
      <c r="AC3010" s="42" t="str">
        <f>IFERROR(__xludf.DUMMYFUNCTION("""COMPUTED_VALUE"""),"DHBA")</f>
        <v>DHBA</v>
      </c>
      <c r="AD3010" s="42"/>
      <c r="AE3010" s="42"/>
      <c r="AF3010" s="9"/>
      <c r="AG3010" s="9"/>
      <c r="AH3010" s="42"/>
      <c r="AI3010" s="42"/>
      <c r="AJ3010" s="42"/>
      <c r="AK3010" s="42"/>
      <c r="AL3010" s="42"/>
      <c r="AM3010" s="42"/>
      <c r="AN3010" s="42"/>
      <c r="AO3010" s="63" t="str">
        <f>IFERROR(__xludf.DUMMYFUNCTION("IF(ISBLANK(A3010),,IF(ISBLANK(S3010), A3010&amp;"";"", TEXTJOIN(CHAR(10), TRUE, A3010&amp;"";"", ARRAYFORMULA(VLOOKUP(SPLIT(S3010, "";"" &amp; CHAR(10)), $A:$AO, 41, FALSE)))))"),"LPCu;")</f>
        <v>LPCu;</v>
      </c>
      <c r="AP3010" s="89"/>
    </row>
    <row r="3011">
      <c r="A3011" s="151" t="str">
        <f>IFERROR(__xludf.DUMMYFUNCTION("""COMPUTED_VALUE"""),"MPCu")</f>
        <v>MPCu</v>
      </c>
      <c r="B3011" s="42" t="str">
        <f>IFERROR(__xludf.DUMMYFUNCTION("""COMPUTED_VALUE"""),"DHBA")</f>
        <v>DHBA</v>
      </c>
      <c r="C3011" s="42" t="str">
        <f>IFERROR(__xludf.DUMMYFUNCTION("""COMPUTED_VALUE"""),"medial pericuneate nucleus")</f>
        <v>medial pericuneate nucleus</v>
      </c>
      <c r="D3011" s="42">
        <f>IFERROR(__xludf.DUMMYFUNCTION("""COMPUTED_VALUE"""),2871.0)</f>
        <v>2871</v>
      </c>
      <c r="E3011" s="39" t="str">
        <f>IFERROR(__xludf.DUMMYFUNCTION("""COMPUTED_VALUE"""),"medial pericuneate nucleus")</f>
        <v>medial pericuneate nucleus</v>
      </c>
      <c r="F3011" s="9" t="str">
        <f>IFERROR(__xludf.DUMMYFUNCTION("""COMPUTED_VALUE"""),"Br")</f>
        <v>Br</v>
      </c>
      <c r="G3011" s="9" t="str">
        <f>IFERROR(__xludf.DUMMYFUNCTION("""COMPUTED_VALUE"""),"H")</f>
        <v>H</v>
      </c>
      <c r="H3011" s="9" t="str">
        <f>IFERROR(__xludf.DUMMYFUNCTION("""COMPUTED_VALUE"""),"HGM")</f>
        <v>HGM</v>
      </c>
      <c r="I3011" s="9" t="str">
        <f>IFERROR(__xludf.DUMMYFUNCTION("""COMPUTED_VALUE"""),"Met")</f>
        <v>Met</v>
      </c>
      <c r="J3011" s="9" t="str">
        <f>IFERROR(__xludf.DUMMYFUNCTION("""COMPUTED_VALUE"""),"Pn")</f>
        <v>Pn</v>
      </c>
      <c r="K3011" s="9" t="str">
        <f>IFERROR(__xludf.DUMMYFUNCTION("""COMPUTED_VALUE"""),"PnTg")</f>
        <v>PnTg</v>
      </c>
      <c r="L3011" s="9" t="str">
        <f>IFERROR(__xludf.DUMMYFUNCTION("""COMPUTED_VALUE"""),"XPnTg")</f>
        <v>XPnTg</v>
      </c>
      <c r="M3011" s="9" t="str">
        <f>IFERROR(__xludf.DUMMYFUNCTION("""COMPUTED_VALUE"""),"PCuN")</f>
        <v>PCuN</v>
      </c>
      <c r="N3011" s="9" t="str">
        <f>IFERROR(__xludf.DUMMYFUNCTION("""COMPUTED_VALUE"""),"MPCu")</f>
        <v>MPCu</v>
      </c>
      <c r="O3011" s="9"/>
      <c r="P3011" s="9"/>
      <c r="Q3011" s="9"/>
      <c r="R3011" s="9"/>
      <c r="S3011" s="42"/>
      <c r="T3011" s="42"/>
      <c r="U3011" s="42"/>
      <c r="V3011" s="42"/>
      <c r="W3011" s="42"/>
      <c r="X3011" s="42"/>
      <c r="Y3011" s="42"/>
      <c r="Z3011" s="42"/>
      <c r="AA3011" s="42"/>
      <c r="AB3011" s="42" t="str">
        <f>IFERROR(__xludf.DUMMYFUNCTION("""COMPUTED_VALUE"""),"allen institute")</f>
        <v>allen institute</v>
      </c>
      <c r="AC3011" s="42" t="str">
        <f>IFERROR(__xludf.DUMMYFUNCTION("""COMPUTED_VALUE"""),"DHBA")</f>
        <v>DHBA</v>
      </c>
      <c r="AD3011" s="42"/>
      <c r="AE3011" s="42"/>
      <c r="AF3011" s="9"/>
      <c r="AG3011" s="9"/>
      <c r="AH3011" s="42"/>
      <c r="AI3011" s="42"/>
      <c r="AJ3011" s="42"/>
      <c r="AK3011" s="42"/>
      <c r="AL3011" s="42"/>
      <c r="AM3011" s="42"/>
      <c r="AN3011" s="42"/>
      <c r="AO3011" s="63" t="str">
        <f>IFERROR(__xludf.DUMMYFUNCTION("IF(ISBLANK(A3011),,IF(ISBLANK(S3011), A3011&amp;"";"", TEXTJOIN(CHAR(10), TRUE, A3011&amp;"";"", ARRAYFORMULA(VLOOKUP(SPLIT(S3011, "";"" &amp; CHAR(10)), $A:$AO, 41, FALSE)))))"),"MPCu;")</f>
        <v>MPCu;</v>
      </c>
      <c r="AP3011" s="89"/>
    </row>
    <row r="3012">
      <c r="A3012" s="151" t="str">
        <f>IFERROR(__xludf.DUMMYFUNCTION("""COMPUTED_VALUE"""),"PF7")</f>
        <v>PF7</v>
      </c>
      <c r="B3012" s="42" t="str">
        <f>IFERROR(__xludf.DUMMYFUNCTION("""COMPUTED_VALUE"""),"DHBA")</f>
        <v>DHBA</v>
      </c>
      <c r="C3012" s="42" t="str">
        <f>IFERROR(__xludf.DUMMYFUNCTION("""COMPUTED_VALUE"""),"perifacial zone")</f>
        <v>perifacial zone</v>
      </c>
      <c r="D3012" s="42">
        <f>IFERROR(__xludf.DUMMYFUNCTION("""COMPUTED_VALUE"""),2872.0)</f>
        <v>2872</v>
      </c>
      <c r="E3012" s="39" t="str">
        <f>IFERROR(__xludf.DUMMYFUNCTION("""COMPUTED_VALUE"""),"perifacial zone")</f>
        <v>perifacial zone</v>
      </c>
      <c r="F3012" s="9" t="str">
        <f>IFERROR(__xludf.DUMMYFUNCTION("""COMPUTED_VALUE"""),"Br")</f>
        <v>Br</v>
      </c>
      <c r="G3012" s="9" t="str">
        <f>IFERROR(__xludf.DUMMYFUNCTION("""COMPUTED_VALUE"""),"H")</f>
        <v>H</v>
      </c>
      <c r="H3012" s="9" t="str">
        <f>IFERROR(__xludf.DUMMYFUNCTION("""COMPUTED_VALUE"""),"HGM")</f>
        <v>HGM</v>
      </c>
      <c r="I3012" s="9" t="str">
        <f>IFERROR(__xludf.DUMMYFUNCTION("""COMPUTED_VALUE"""),"Met")</f>
        <v>Met</v>
      </c>
      <c r="J3012" s="9" t="str">
        <f>IFERROR(__xludf.DUMMYFUNCTION("""COMPUTED_VALUE"""),"Pn")</f>
        <v>Pn</v>
      </c>
      <c r="K3012" s="9" t="str">
        <f>IFERROR(__xludf.DUMMYFUNCTION("""COMPUTED_VALUE"""),"PnTg")</f>
        <v>PnTg</v>
      </c>
      <c r="L3012" s="9" t="str">
        <f>IFERROR(__xludf.DUMMYFUNCTION("""COMPUTED_VALUE"""),"XPnTg")</f>
        <v>XPnTg</v>
      </c>
      <c r="M3012" s="9" t="str">
        <f>IFERROR(__xludf.DUMMYFUNCTION("""COMPUTED_VALUE"""),"PF7")</f>
        <v>PF7</v>
      </c>
      <c r="N3012" s="9"/>
      <c r="O3012" s="9"/>
      <c r="P3012" s="9"/>
      <c r="Q3012" s="9"/>
      <c r="R3012" s="9"/>
      <c r="S3012" s="42"/>
      <c r="T3012" s="42"/>
      <c r="U3012" s="42"/>
      <c r="V3012" s="42"/>
      <c r="W3012" s="42"/>
      <c r="X3012" s="42"/>
      <c r="Y3012" s="42"/>
      <c r="Z3012" s="42"/>
      <c r="AA3012" s="42"/>
      <c r="AB3012" s="42" t="str">
        <f>IFERROR(__xludf.DUMMYFUNCTION("""COMPUTED_VALUE"""),"allen institute")</f>
        <v>allen institute</v>
      </c>
      <c r="AC3012" s="42" t="str">
        <f>IFERROR(__xludf.DUMMYFUNCTION("""COMPUTED_VALUE"""),"DHBA")</f>
        <v>DHBA</v>
      </c>
      <c r="AD3012" s="42"/>
      <c r="AE3012" s="42"/>
      <c r="AF3012" s="9"/>
      <c r="AG3012" s="9"/>
      <c r="AH3012" s="42"/>
      <c r="AI3012" s="42"/>
      <c r="AJ3012" s="42"/>
      <c r="AK3012" s="42"/>
      <c r="AL3012" s="42"/>
      <c r="AM3012" s="42"/>
      <c r="AN3012" s="42"/>
      <c r="AO3012" s="63" t="str">
        <f>IFERROR(__xludf.DUMMYFUNCTION("IF(ISBLANK(A3012),,IF(ISBLANK(S3012), A3012&amp;"";"", TEXTJOIN(CHAR(10), TRUE, A3012&amp;"";"", ARRAYFORMULA(VLOOKUP(SPLIT(S3012, "";"" &amp; CHAR(10)), $A:$AO, 41, FALSE)))))"),"PF7;")</f>
        <v>PF7;</v>
      </c>
      <c r="AP3012" s="89"/>
    </row>
    <row r="3013">
      <c r="A3013" s="151" t="str">
        <f>IFERROR(__xludf.DUMMYFUNCTION("""COMPUTED_VALUE"""),"PnBi")</f>
        <v>PnBi</v>
      </c>
      <c r="B3013" s="42" t="str">
        <f>IFERROR(__xludf.DUMMYFUNCTION("""COMPUTED_VALUE"""),"DHBA")</f>
        <v>DHBA</v>
      </c>
      <c r="C3013" s="42" t="str">
        <f>IFERROR(__xludf.DUMMYFUNCTION("""COMPUTED_VALUE"""),"pontobulbar nucleus, inferior part")</f>
        <v>pontobulbar nucleus, inferior part</v>
      </c>
      <c r="D3013" s="42">
        <f>IFERROR(__xludf.DUMMYFUNCTION("""COMPUTED_VALUE"""),2873.0)</f>
        <v>2873</v>
      </c>
      <c r="E3013" s="39" t="str">
        <f>IFERROR(__xludf.DUMMYFUNCTION("""COMPUTED_VALUE"""),"pontobulbar nucleus, inferior part")</f>
        <v>pontobulbar nucleus, inferior part</v>
      </c>
      <c r="F3013" s="9" t="str">
        <f>IFERROR(__xludf.DUMMYFUNCTION("""COMPUTED_VALUE"""),"Br")</f>
        <v>Br</v>
      </c>
      <c r="G3013" s="9" t="str">
        <f>IFERROR(__xludf.DUMMYFUNCTION("""COMPUTED_VALUE"""),"H")</f>
        <v>H</v>
      </c>
      <c r="H3013" s="9" t="str">
        <f>IFERROR(__xludf.DUMMYFUNCTION("""COMPUTED_VALUE"""),"HGM")</f>
        <v>HGM</v>
      </c>
      <c r="I3013" s="9" t="str">
        <f>IFERROR(__xludf.DUMMYFUNCTION("""COMPUTED_VALUE"""),"Met")</f>
        <v>Met</v>
      </c>
      <c r="J3013" s="9" t="str">
        <f>IFERROR(__xludf.DUMMYFUNCTION("""COMPUTED_VALUE"""),"Pn")</f>
        <v>Pn</v>
      </c>
      <c r="K3013" s="9" t="str">
        <f>IFERROR(__xludf.DUMMYFUNCTION("""COMPUTED_VALUE"""),"PnTg")</f>
        <v>PnTg</v>
      </c>
      <c r="L3013" s="9" t="str">
        <f>IFERROR(__xludf.DUMMYFUNCTION("""COMPUTED_VALUE"""),"XPnTg")</f>
        <v>XPnTg</v>
      </c>
      <c r="M3013" s="9" t="str">
        <f>IFERROR(__xludf.DUMMYFUNCTION("""COMPUTED_VALUE"""),"PnBi")</f>
        <v>PnBi</v>
      </c>
      <c r="N3013" s="9"/>
      <c r="O3013" s="9"/>
      <c r="P3013" s="9"/>
      <c r="Q3013" s="9"/>
      <c r="R3013" s="9"/>
      <c r="S3013" s="42"/>
      <c r="T3013" s="42"/>
      <c r="U3013" s="42"/>
      <c r="V3013" s="42"/>
      <c r="W3013" s="42"/>
      <c r="X3013" s="42"/>
      <c r="Y3013" s="42"/>
      <c r="Z3013" s="42"/>
      <c r="AA3013" s="42"/>
      <c r="AB3013" s="42" t="str">
        <f>IFERROR(__xludf.DUMMYFUNCTION("""COMPUTED_VALUE"""),"allen institute")</f>
        <v>allen institute</v>
      </c>
      <c r="AC3013" s="42" t="str">
        <f>IFERROR(__xludf.DUMMYFUNCTION("""COMPUTED_VALUE"""),"DHBA")</f>
        <v>DHBA</v>
      </c>
      <c r="AD3013" s="42"/>
      <c r="AE3013" s="42"/>
      <c r="AF3013" s="9"/>
      <c r="AG3013" s="9"/>
      <c r="AH3013" s="42"/>
      <c r="AI3013" s="42"/>
      <c r="AJ3013" s="42"/>
      <c r="AK3013" s="42"/>
      <c r="AL3013" s="42"/>
      <c r="AM3013" s="42"/>
      <c r="AN3013" s="42"/>
      <c r="AO3013" s="63" t="str">
        <f>IFERROR(__xludf.DUMMYFUNCTION("IF(ISBLANK(A3013),,IF(ISBLANK(S3013), A3013&amp;"";"", TEXTJOIN(CHAR(10), TRUE, A3013&amp;"";"", ARRAYFORMULA(VLOOKUP(SPLIT(S3013, "";"" &amp; CHAR(10)), $A:$AO, 41, FALSE)))))"),"PnBi;")</f>
        <v>PnBi;</v>
      </c>
      <c r="AP3013" s="89"/>
    </row>
    <row r="3014">
      <c r="A3014" s="151" t="str">
        <f>IFERROR(__xludf.DUMMYFUNCTION("""COMPUTED_VALUE"""),"P5")</f>
        <v>P5</v>
      </c>
      <c r="B3014" s="42" t="str">
        <f>IFERROR(__xludf.DUMMYFUNCTION("""COMPUTED_VALUE"""),"DHBA")</f>
        <v>DHBA</v>
      </c>
      <c r="C3014" s="42" t="str">
        <f>IFERROR(__xludf.DUMMYFUNCTION("""COMPUTED_VALUE"""),"peritrigeminal zone")</f>
        <v>peritrigeminal zone</v>
      </c>
      <c r="D3014" s="42">
        <f>IFERROR(__xludf.DUMMYFUNCTION("""COMPUTED_VALUE"""),2874.0)</f>
        <v>2874</v>
      </c>
      <c r="E3014" s="39" t="str">
        <f>IFERROR(__xludf.DUMMYFUNCTION("""COMPUTED_VALUE"""),"peritrigeminal zone")</f>
        <v>peritrigeminal zone</v>
      </c>
      <c r="F3014" s="9" t="str">
        <f>IFERROR(__xludf.DUMMYFUNCTION("""COMPUTED_VALUE"""),"Br")</f>
        <v>Br</v>
      </c>
      <c r="G3014" s="9" t="str">
        <f>IFERROR(__xludf.DUMMYFUNCTION("""COMPUTED_VALUE"""),"H")</f>
        <v>H</v>
      </c>
      <c r="H3014" s="9" t="str">
        <f>IFERROR(__xludf.DUMMYFUNCTION("""COMPUTED_VALUE"""),"HGM")</f>
        <v>HGM</v>
      </c>
      <c r="I3014" s="9" t="str">
        <f>IFERROR(__xludf.DUMMYFUNCTION("""COMPUTED_VALUE"""),"Met")</f>
        <v>Met</v>
      </c>
      <c r="J3014" s="9" t="str">
        <f>IFERROR(__xludf.DUMMYFUNCTION("""COMPUTED_VALUE"""),"Pn")</f>
        <v>Pn</v>
      </c>
      <c r="K3014" s="9" t="str">
        <f>IFERROR(__xludf.DUMMYFUNCTION("""COMPUTED_VALUE"""),"PnTg")</f>
        <v>PnTg</v>
      </c>
      <c r="L3014" s="9" t="str">
        <f>IFERROR(__xludf.DUMMYFUNCTION("""COMPUTED_VALUE"""),"XPnTg")</f>
        <v>XPnTg</v>
      </c>
      <c r="M3014" s="9" t="str">
        <f>IFERROR(__xludf.DUMMYFUNCTION("""COMPUTED_VALUE"""),"P5")</f>
        <v>P5</v>
      </c>
      <c r="N3014" s="9"/>
      <c r="O3014" s="9"/>
      <c r="P3014" s="9"/>
      <c r="Q3014" s="9"/>
      <c r="R3014" s="9"/>
      <c r="S3014" s="42"/>
      <c r="T3014" s="42"/>
      <c r="U3014" s="42"/>
      <c r="V3014" s="42"/>
      <c r="W3014" s="42"/>
      <c r="X3014" s="42"/>
      <c r="Y3014" s="42"/>
      <c r="Z3014" s="42"/>
      <c r="AA3014" s="42"/>
      <c r="AB3014" s="42" t="str">
        <f>IFERROR(__xludf.DUMMYFUNCTION("""COMPUTED_VALUE"""),"allen institute")</f>
        <v>allen institute</v>
      </c>
      <c r="AC3014" s="42" t="str">
        <f>IFERROR(__xludf.DUMMYFUNCTION("""COMPUTED_VALUE"""),"DHBA")</f>
        <v>DHBA</v>
      </c>
      <c r="AD3014" s="42"/>
      <c r="AE3014" s="42"/>
      <c r="AF3014" s="9"/>
      <c r="AG3014" s="9"/>
      <c r="AH3014" s="42"/>
      <c r="AI3014" s="42"/>
      <c r="AJ3014" s="42"/>
      <c r="AK3014" s="42"/>
      <c r="AL3014" s="42"/>
      <c r="AM3014" s="42"/>
      <c r="AN3014" s="42"/>
      <c r="AO3014" s="63" t="str">
        <f>IFERROR(__xludf.DUMMYFUNCTION("IF(ISBLANK(A3014),,IF(ISBLANK(S3014), A3014&amp;"";"", TEXTJOIN(CHAR(10), TRUE, A3014&amp;"";"", ARRAYFORMULA(VLOOKUP(SPLIT(S3014, "";"" &amp; CHAR(10)), $A:$AO, 41, FALSE)))))"),"P5;")</f>
        <v>P5;</v>
      </c>
      <c r="AP3014" s="89"/>
    </row>
    <row r="3015">
      <c r="A3015" s="151" t="str">
        <f>IFERROR(__xludf.DUMMYFUNCTION("""COMPUTED_VALUE"""),"R7")</f>
        <v>R7</v>
      </c>
      <c r="B3015" s="42" t="str">
        <f>IFERROR(__xludf.DUMMYFUNCTION("""COMPUTED_VALUE"""),"DHBA")</f>
        <v>DHBA</v>
      </c>
      <c r="C3015" s="42" t="str">
        <f>IFERROR(__xludf.DUMMYFUNCTION("""COMPUTED_VALUE"""),"retrofacial nucleus")</f>
        <v>retrofacial nucleus</v>
      </c>
      <c r="D3015" s="42">
        <f>IFERROR(__xludf.DUMMYFUNCTION("""COMPUTED_VALUE"""),2875.0)</f>
        <v>2875</v>
      </c>
      <c r="E3015" s="39" t="str">
        <f>IFERROR(__xludf.DUMMYFUNCTION("""COMPUTED_VALUE"""),"retrofacial nucleus")</f>
        <v>retrofacial nucleus</v>
      </c>
      <c r="F3015" s="9" t="str">
        <f>IFERROR(__xludf.DUMMYFUNCTION("""COMPUTED_VALUE"""),"Br")</f>
        <v>Br</v>
      </c>
      <c r="G3015" s="9" t="str">
        <f>IFERROR(__xludf.DUMMYFUNCTION("""COMPUTED_VALUE"""),"H")</f>
        <v>H</v>
      </c>
      <c r="H3015" s="9" t="str">
        <f>IFERROR(__xludf.DUMMYFUNCTION("""COMPUTED_VALUE"""),"HGM")</f>
        <v>HGM</v>
      </c>
      <c r="I3015" s="9" t="str">
        <f>IFERROR(__xludf.DUMMYFUNCTION("""COMPUTED_VALUE"""),"Met")</f>
        <v>Met</v>
      </c>
      <c r="J3015" s="9" t="str">
        <f>IFERROR(__xludf.DUMMYFUNCTION("""COMPUTED_VALUE"""),"Pn")</f>
        <v>Pn</v>
      </c>
      <c r="K3015" s="9" t="str">
        <f>IFERROR(__xludf.DUMMYFUNCTION("""COMPUTED_VALUE"""),"PnTg")</f>
        <v>PnTg</v>
      </c>
      <c r="L3015" s="9" t="str">
        <f>IFERROR(__xludf.DUMMYFUNCTION("""COMPUTED_VALUE"""),"XPnTg")</f>
        <v>XPnTg</v>
      </c>
      <c r="M3015" s="9" t="str">
        <f>IFERROR(__xludf.DUMMYFUNCTION("""COMPUTED_VALUE"""),"R7")</f>
        <v>R7</v>
      </c>
      <c r="N3015" s="9"/>
      <c r="O3015" s="9"/>
      <c r="P3015" s="9"/>
      <c r="Q3015" s="9"/>
      <c r="R3015" s="9"/>
      <c r="S3015" s="42"/>
      <c r="T3015" s="42"/>
      <c r="U3015" s="42"/>
      <c r="V3015" s="42"/>
      <c r="W3015" s="42"/>
      <c r="X3015" s="42"/>
      <c r="Y3015" s="42"/>
      <c r="Z3015" s="42"/>
      <c r="AA3015" s="42"/>
      <c r="AB3015" s="42" t="str">
        <f>IFERROR(__xludf.DUMMYFUNCTION("""COMPUTED_VALUE"""),"allen institute")</f>
        <v>allen institute</v>
      </c>
      <c r="AC3015" s="42" t="str">
        <f>IFERROR(__xludf.DUMMYFUNCTION("""COMPUTED_VALUE"""),"DHBA")</f>
        <v>DHBA</v>
      </c>
      <c r="AD3015" s="42"/>
      <c r="AE3015" s="42"/>
      <c r="AF3015" s="9"/>
      <c r="AG3015" s="9"/>
      <c r="AH3015" s="42"/>
      <c r="AI3015" s="42"/>
      <c r="AJ3015" s="42"/>
      <c r="AK3015" s="42"/>
      <c r="AL3015" s="42"/>
      <c r="AM3015" s="42"/>
      <c r="AN3015" s="42"/>
      <c r="AO3015" s="63" t="str">
        <f>IFERROR(__xludf.DUMMYFUNCTION("IF(ISBLANK(A3015),,IF(ISBLANK(S3015), A3015&amp;"";"", TEXTJOIN(CHAR(10), TRUE, A3015&amp;"";"", ARRAYFORMULA(VLOOKUP(SPLIT(S3015, "";"" &amp; CHAR(10)), $A:$AO, 41, FALSE)))))"),"R7;")</f>
        <v>R7;</v>
      </c>
      <c r="AP3015" s="89"/>
    </row>
    <row r="3016">
      <c r="A3016" s="151" t="str">
        <f>IFERROR(__xludf.DUMMYFUNCTION("""COMPUTED_VALUE"""),"RTz")</f>
        <v>RTz</v>
      </c>
      <c r="B3016" s="42" t="str">
        <f>IFERROR(__xludf.DUMMYFUNCTION("""COMPUTED_VALUE"""),"DHBA")</f>
        <v>DHBA</v>
      </c>
      <c r="C3016" s="42" t="str">
        <f>IFERROR(__xludf.DUMMYFUNCTION("""COMPUTED_VALUE"""),"retrotrapezoid nucleus")</f>
        <v>retrotrapezoid nucleus</v>
      </c>
      <c r="D3016" s="42">
        <f>IFERROR(__xludf.DUMMYFUNCTION("""COMPUTED_VALUE"""),2876.0)</f>
        <v>2876</v>
      </c>
      <c r="E3016" s="39" t="str">
        <f>IFERROR(__xludf.DUMMYFUNCTION("""COMPUTED_VALUE"""),"retrotrapezoid nucleus")</f>
        <v>retrotrapezoid nucleus</v>
      </c>
      <c r="F3016" s="9" t="str">
        <f>IFERROR(__xludf.DUMMYFUNCTION("""COMPUTED_VALUE"""),"Br")</f>
        <v>Br</v>
      </c>
      <c r="G3016" s="9" t="str">
        <f>IFERROR(__xludf.DUMMYFUNCTION("""COMPUTED_VALUE"""),"H")</f>
        <v>H</v>
      </c>
      <c r="H3016" s="9" t="str">
        <f>IFERROR(__xludf.DUMMYFUNCTION("""COMPUTED_VALUE"""),"HGM")</f>
        <v>HGM</v>
      </c>
      <c r="I3016" s="9" t="str">
        <f>IFERROR(__xludf.DUMMYFUNCTION("""COMPUTED_VALUE"""),"Met")</f>
        <v>Met</v>
      </c>
      <c r="J3016" s="9" t="str">
        <f>IFERROR(__xludf.DUMMYFUNCTION("""COMPUTED_VALUE"""),"Pn")</f>
        <v>Pn</v>
      </c>
      <c r="K3016" s="9" t="str">
        <f>IFERROR(__xludf.DUMMYFUNCTION("""COMPUTED_VALUE"""),"PnTg")</f>
        <v>PnTg</v>
      </c>
      <c r="L3016" s="9" t="str">
        <f>IFERROR(__xludf.DUMMYFUNCTION("""COMPUTED_VALUE"""),"XPnTg")</f>
        <v>XPnTg</v>
      </c>
      <c r="M3016" s="9" t="str">
        <f>IFERROR(__xludf.DUMMYFUNCTION("""COMPUTED_VALUE"""),"RTz")</f>
        <v>RTz</v>
      </c>
      <c r="N3016" s="9"/>
      <c r="O3016" s="9"/>
      <c r="P3016" s="9"/>
      <c r="Q3016" s="9"/>
      <c r="R3016" s="9"/>
      <c r="S3016" s="42"/>
      <c r="T3016" s="42"/>
      <c r="U3016" s="42"/>
      <c r="V3016" s="42"/>
      <c r="W3016" s="42"/>
      <c r="X3016" s="42"/>
      <c r="Y3016" s="42"/>
      <c r="Z3016" s="42"/>
      <c r="AA3016" s="42"/>
      <c r="AB3016" s="42" t="str">
        <f>IFERROR(__xludf.DUMMYFUNCTION("""COMPUTED_VALUE"""),"allen institute")</f>
        <v>allen institute</v>
      </c>
      <c r="AC3016" s="42" t="str">
        <f>IFERROR(__xludf.DUMMYFUNCTION("""COMPUTED_VALUE"""),"DHBA")</f>
        <v>DHBA</v>
      </c>
      <c r="AD3016" s="42"/>
      <c r="AE3016" s="42"/>
      <c r="AF3016" s="9"/>
      <c r="AG3016" s="9"/>
      <c r="AH3016" s="42"/>
      <c r="AI3016" s="42"/>
      <c r="AJ3016" s="42"/>
      <c r="AK3016" s="42"/>
      <c r="AL3016" s="42"/>
      <c r="AM3016" s="42"/>
      <c r="AN3016" s="42"/>
      <c r="AO3016" s="63" t="str">
        <f>IFERROR(__xludf.DUMMYFUNCTION("IF(ISBLANK(A3016),,IF(ISBLANK(S3016), A3016&amp;"";"", TEXTJOIN(CHAR(10), TRUE, A3016&amp;"";"", ARRAYFORMULA(VLOOKUP(SPLIT(S3016, "";"" &amp; CHAR(10)), $A:$AO, 41, FALSE)))))"),"RTz;")</f>
        <v>RTz;</v>
      </c>
      <c r="AP3016" s="89"/>
    </row>
    <row r="3017">
      <c r="A3017" s="151" t="str">
        <f>IFERROR(__xludf.DUMMYFUNCTION("""COMPUTED_VALUE"""),"5N")</f>
        <v>5N</v>
      </c>
      <c r="B3017" s="42" t="str">
        <f>IFERROR(__xludf.DUMMYFUNCTION("""COMPUTED_VALUE"""),"DHBA")</f>
        <v>DHBA</v>
      </c>
      <c r="C3017" s="42" t="str">
        <f>IFERROR(__xludf.DUMMYFUNCTION("""COMPUTED_VALUE"""),"trigeminal nuclei")</f>
        <v>trigeminal nuclei</v>
      </c>
      <c r="D3017" s="42">
        <f>IFERROR(__xludf.DUMMYFUNCTION("""COMPUTED_VALUE"""),2877.0)</f>
        <v>2877</v>
      </c>
      <c r="E3017" s="39" t="str">
        <f>IFERROR(__xludf.DUMMYFUNCTION("""COMPUTED_VALUE"""),"trigeminal nuclei")</f>
        <v>trigeminal nuclei</v>
      </c>
      <c r="F3017" s="9" t="str">
        <f>IFERROR(__xludf.DUMMYFUNCTION("""COMPUTED_VALUE"""),"Br")</f>
        <v>Br</v>
      </c>
      <c r="G3017" s="9" t="str">
        <f>IFERROR(__xludf.DUMMYFUNCTION("""COMPUTED_VALUE"""),"H")</f>
        <v>H</v>
      </c>
      <c r="H3017" s="9" t="str">
        <f>IFERROR(__xludf.DUMMYFUNCTION("""COMPUTED_VALUE"""),"HGM")</f>
        <v>HGM</v>
      </c>
      <c r="I3017" s="9" t="str">
        <f>IFERROR(__xludf.DUMMYFUNCTION("""COMPUTED_VALUE"""),"Met")</f>
        <v>Met</v>
      </c>
      <c r="J3017" s="9" t="str">
        <f>IFERROR(__xludf.DUMMYFUNCTION("""COMPUTED_VALUE"""),"Pn")</f>
        <v>Pn</v>
      </c>
      <c r="K3017" s="9" t="str">
        <f>IFERROR(__xludf.DUMMYFUNCTION("""COMPUTED_VALUE"""),"PnTg")</f>
        <v>PnTg</v>
      </c>
      <c r="L3017" s="9" t="str">
        <f>IFERROR(__xludf.DUMMYFUNCTION("""COMPUTED_VALUE"""),"XPnTg")</f>
        <v>XPnTg</v>
      </c>
      <c r="M3017" s="9" t="str">
        <f>IFERROR(__xludf.DUMMYFUNCTION("""COMPUTED_VALUE"""),"5N")</f>
        <v>5N</v>
      </c>
      <c r="N3017" s="9"/>
      <c r="O3017" s="9"/>
      <c r="P3017" s="9"/>
      <c r="Q3017" s="9"/>
      <c r="R3017" s="9"/>
      <c r="S3017" s="42"/>
      <c r="T3017" s="42"/>
      <c r="U3017" s="42"/>
      <c r="V3017" s="42"/>
      <c r="W3017" s="42"/>
      <c r="X3017" s="42"/>
      <c r="Y3017" s="42"/>
      <c r="Z3017" s="42"/>
      <c r="AA3017" s="42"/>
      <c r="AB3017" s="42" t="str">
        <f>IFERROR(__xludf.DUMMYFUNCTION("""COMPUTED_VALUE"""),"allen institute")</f>
        <v>allen institute</v>
      </c>
      <c r="AC3017" s="42" t="str">
        <f>IFERROR(__xludf.DUMMYFUNCTION("""COMPUTED_VALUE"""),"DHBA")</f>
        <v>DHBA</v>
      </c>
      <c r="AD3017" s="42"/>
      <c r="AE3017" s="42"/>
      <c r="AF3017" s="9"/>
      <c r="AG3017" s="9"/>
      <c r="AH3017" s="42"/>
      <c r="AI3017" s="42"/>
      <c r="AJ3017" s="42"/>
      <c r="AK3017" s="42"/>
      <c r="AL3017" s="42"/>
      <c r="AM3017" s="42"/>
      <c r="AN3017" s="42"/>
      <c r="AO3017" s="63" t="str">
        <f>IFERROR(__xludf.DUMMYFUNCTION("IF(ISBLANK(A3017),,IF(ISBLANK(S3017), A3017&amp;"";"", TEXTJOIN(CHAR(10), TRUE, A3017&amp;"";"", ARRAYFORMULA(VLOOKUP(SPLIT(S3017, "";"" &amp; CHAR(10)), $A:$AO, 41, FALSE)))))"),"5N;")</f>
        <v>5N;</v>
      </c>
      <c r="AP3017" s="89"/>
    </row>
    <row r="3018">
      <c r="A3018" s="151" t="str">
        <f>IFERROR(__xludf.DUMMYFUNCTION("""COMPUTED_VALUE"""),"VLTg")</f>
        <v>VLTg</v>
      </c>
      <c r="B3018" s="42" t="str">
        <f>IFERROR(__xludf.DUMMYFUNCTION("""COMPUTED_VALUE"""),"DHBA")</f>
        <v>DHBA</v>
      </c>
      <c r="C3018" s="42" t="str">
        <f>IFERROR(__xludf.DUMMYFUNCTION("""COMPUTED_VALUE"""),"ventrolateral tegmental nucleus")</f>
        <v>ventrolateral tegmental nucleus</v>
      </c>
      <c r="D3018" s="42">
        <f>IFERROR(__xludf.DUMMYFUNCTION("""COMPUTED_VALUE"""),2878.0)</f>
        <v>2878</v>
      </c>
      <c r="E3018" s="39" t="str">
        <f>IFERROR(__xludf.DUMMYFUNCTION("""COMPUTED_VALUE"""),"ventrolateral tegmental nucleus")</f>
        <v>ventrolateral tegmental nucleus</v>
      </c>
      <c r="F3018" s="9" t="str">
        <f>IFERROR(__xludf.DUMMYFUNCTION("""COMPUTED_VALUE"""),"Br")</f>
        <v>Br</v>
      </c>
      <c r="G3018" s="9" t="str">
        <f>IFERROR(__xludf.DUMMYFUNCTION("""COMPUTED_VALUE"""),"H")</f>
        <v>H</v>
      </c>
      <c r="H3018" s="9" t="str">
        <f>IFERROR(__xludf.DUMMYFUNCTION("""COMPUTED_VALUE"""),"HGM")</f>
        <v>HGM</v>
      </c>
      <c r="I3018" s="9" t="str">
        <f>IFERROR(__xludf.DUMMYFUNCTION("""COMPUTED_VALUE"""),"Met")</f>
        <v>Met</v>
      </c>
      <c r="J3018" s="9" t="str">
        <f>IFERROR(__xludf.DUMMYFUNCTION("""COMPUTED_VALUE"""),"Pn")</f>
        <v>Pn</v>
      </c>
      <c r="K3018" s="9" t="str">
        <f>IFERROR(__xludf.DUMMYFUNCTION("""COMPUTED_VALUE"""),"PnTg")</f>
        <v>PnTg</v>
      </c>
      <c r="L3018" s="9" t="str">
        <f>IFERROR(__xludf.DUMMYFUNCTION("""COMPUTED_VALUE"""),"XPnTg")</f>
        <v>XPnTg</v>
      </c>
      <c r="M3018" s="9" t="str">
        <f>IFERROR(__xludf.DUMMYFUNCTION("""COMPUTED_VALUE"""),"VLTg")</f>
        <v>VLTg</v>
      </c>
      <c r="N3018" s="9"/>
      <c r="O3018" s="9"/>
      <c r="P3018" s="9"/>
      <c r="Q3018" s="9"/>
      <c r="R3018" s="9"/>
      <c r="S3018" s="42"/>
      <c r="T3018" s="42"/>
      <c r="U3018" s="42"/>
      <c r="V3018" s="42"/>
      <c r="W3018" s="42"/>
      <c r="X3018" s="42"/>
      <c r="Y3018" s="42"/>
      <c r="Z3018" s="42"/>
      <c r="AA3018" s="42"/>
      <c r="AB3018" s="42" t="str">
        <f>IFERROR(__xludf.DUMMYFUNCTION("""COMPUTED_VALUE"""),"allen institute")</f>
        <v>allen institute</v>
      </c>
      <c r="AC3018" s="42" t="str">
        <f>IFERROR(__xludf.DUMMYFUNCTION("""COMPUTED_VALUE"""),"DHBA")</f>
        <v>DHBA</v>
      </c>
      <c r="AD3018" s="42"/>
      <c r="AE3018" s="42"/>
      <c r="AF3018" s="9"/>
      <c r="AG3018" s="9"/>
      <c r="AH3018" s="42"/>
      <c r="AI3018" s="42"/>
      <c r="AJ3018" s="42"/>
      <c r="AK3018" s="42"/>
      <c r="AL3018" s="42"/>
      <c r="AM3018" s="42"/>
      <c r="AN3018" s="42"/>
      <c r="AO3018" s="63" t="str">
        <f>IFERROR(__xludf.DUMMYFUNCTION("IF(ISBLANK(A3018),,IF(ISBLANK(S3018), A3018&amp;"";"", TEXTJOIN(CHAR(10), TRUE, A3018&amp;"";"", ARRAYFORMULA(VLOOKUP(SPLIT(S3018, "";"" &amp; CHAR(10)), $A:$AO, 41, FALSE)))))"),"VLTg;")</f>
        <v>VLTg;</v>
      </c>
      <c r="AP3018" s="89"/>
    </row>
    <row r="3019">
      <c r="A3019" s="151" t="str">
        <f>IFERROR(__xludf.DUMMYFUNCTION("""COMPUTED_VALUE"""),"SGe")</f>
        <v>SGe</v>
      </c>
      <c r="B3019" s="42" t="str">
        <f>IFERROR(__xludf.DUMMYFUNCTION("""COMPUTED_VALUE"""),"DHBA")</f>
        <v>DHBA</v>
      </c>
      <c r="C3019" s="42" t="str">
        <f>IFERROR(__xludf.DUMMYFUNCTION("""COMPUTED_VALUE"""),"supragenual nucleus")</f>
        <v>supragenual nucleus</v>
      </c>
      <c r="D3019" s="42">
        <f>IFERROR(__xludf.DUMMYFUNCTION("""COMPUTED_VALUE"""),2879.0)</f>
        <v>2879</v>
      </c>
      <c r="E3019" s="39" t="str">
        <f>IFERROR(__xludf.DUMMYFUNCTION("""COMPUTED_VALUE"""),"supragenual nucleus")</f>
        <v>supragenual nucleus</v>
      </c>
      <c r="F3019" s="9" t="str">
        <f>IFERROR(__xludf.DUMMYFUNCTION("""COMPUTED_VALUE"""),"Br")</f>
        <v>Br</v>
      </c>
      <c r="G3019" s="9" t="str">
        <f>IFERROR(__xludf.DUMMYFUNCTION("""COMPUTED_VALUE"""),"H")</f>
        <v>H</v>
      </c>
      <c r="H3019" s="9" t="str">
        <f>IFERROR(__xludf.DUMMYFUNCTION("""COMPUTED_VALUE"""),"HGM")</f>
        <v>HGM</v>
      </c>
      <c r="I3019" s="9" t="str">
        <f>IFERROR(__xludf.DUMMYFUNCTION("""COMPUTED_VALUE"""),"Met")</f>
        <v>Met</v>
      </c>
      <c r="J3019" s="9" t="str">
        <f>IFERROR(__xludf.DUMMYFUNCTION("""COMPUTED_VALUE"""),"Pn")</f>
        <v>Pn</v>
      </c>
      <c r="K3019" s="9" t="str">
        <f>IFERROR(__xludf.DUMMYFUNCTION("""COMPUTED_VALUE"""),"PnTg")</f>
        <v>PnTg</v>
      </c>
      <c r="L3019" s="9" t="str">
        <f>IFERROR(__xludf.DUMMYFUNCTION("""COMPUTED_VALUE"""),"XPnTg")</f>
        <v>XPnTg</v>
      </c>
      <c r="M3019" s="9" t="str">
        <f>IFERROR(__xludf.DUMMYFUNCTION("""COMPUTED_VALUE"""),"SGe")</f>
        <v>SGe</v>
      </c>
      <c r="N3019" s="9"/>
      <c r="O3019" s="9"/>
      <c r="P3019" s="9"/>
      <c r="Q3019" s="9"/>
      <c r="R3019" s="9"/>
      <c r="S3019" s="42"/>
      <c r="T3019" s="42"/>
      <c r="U3019" s="42"/>
      <c r="V3019" s="42"/>
      <c r="W3019" s="42"/>
      <c r="X3019" s="42"/>
      <c r="Y3019" s="42"/>
      <c r="Z3019" s="42"/>
      <c r="AA3019" s="42"/>
      <c r="AB3019" s="42" t="str">
        <f>IFERROR(__xludf.DUMMYFUNCTION("""COMPUTED_VALUE"""),"allen institute")</f>
        <v>allen institute</v>
      </c>
      <c r="AC3019" s="42" t="str">
        <f>IFERROR(__xludf.DUMMYFUNCTION("""COMPUTED_VALUE"""),"DHBA")</f>
        <v>DHBA</v>
      </c>
      <c r="AD3019" s="42"/>
      <c r="AE3019" s="42"/>
      <c r="AF3019" s="9"/>
      <c r="AG3019" s="9"/>
      <c r="AH3019" s="42"/>
      <c r="AI3019" s="42"/>
      <c r="AJ3019" s="42"/>
      <c r="AK3019" s="42"/>
      <c r="AL3019" s="42"/>
      <c r="AM3019" s="42"/>
      <c r="AN3019" s="42"/>
      <c r="AO3019" s="63" t="str">
        <f>IFERROR(__xludf.DUMMYFUNCTION("IF(ISBLANK(A3019),,IF(ISBLANK(S3019), A3019&amp;"";"", TEXTJOIN(CHAR(10), TRUE, A3019&amp;"";"", ARRAYFORMULA(VLOOKUP(SPLIT(S3019, "";"" &amp; CHAR(10)), $A:$AO, 41, FALSE)))))"),"SGe;")</f>
        <v>SGe;</v>
      </c>
      <c r="AP3019" s="89"/>
    </row>
    <row r="3020">
      <c r="A3020" s="151" t="str">
        <f>IFERROR(__xludf.DUMMYFUNCTION("""COMPUTED_VALUE"""),"Mo")</f>
        <v>Mo</v>
      </c>
      <c r="B3020" s="42" t="str">
        <f>IFERROR(__xludf.DUMMYFUNCTION("""COMPUTED_VALUE"""),"DHBA")</f>
        <v>DHBA</v>
      </c>
      <c r="C3020" s="42" t="str">
        <f>IFERROR(__xludf.DUMMYFUNCTION("""COMPUTED_VALUE"""),"myelencephalon(medulla oblongata)")</f>
        <v>myelencephalon(medulla oblongata)</v>
      </c>
      <c r="D3020" s="42">
        <f>IFERROR(__xludf.DUMMYFUNCTION("""COMPUTED_VALUE"""),2880.0)</f>
        <v>2880</v>
      </c>
      <c r="E3020" s="39" t="str">
        <f>IFERROR(__xludf.DUMMYFUNCTION("""COMPUTED_VALUE"""),"myelencephalon (medulla oblongata)")</f>
        <v>myelencephalon (medulla oblongata)</v>
      </c>
      <c r="F3020" s="9" t="str">
        <f>IFERROR(__xludf.DUMMYFUNCTION("""COMPUTED_VALUE"""),"Br")</f>
        <v>Br</v>
      </c>
      <c r="G3020" s="9" t="str">
        <f>IFERROR(__xludf.DUMMYFUNCTION("""COMPUTED_VALUE"""),"H")</f>
        <v>H</v>
      </c>
      <c r="H3020" s="9" t="str">
        <f>IFERROR(__xludf.DUMMYFUNCTION("""COMPUTED_VALUE"""),"HGM")</f>
        <v>HGM</v>
      </c>
      <c r="I3020" s="9" t="str">
        <f>IFERROR(__xludf.DUMMYFUNCTION("""COMPUTED_VALUE"""),"Mo")</f>
        <v>Mo</v>
      </c>
      <c r="J3020" s="9"/>
      <c r="K3020" s="9"/>
      <c r="L3020" s="9"/>
      <c r="M3020" s="9"/>
      <c r="N3020" s="9"/>
      <c r="O3020" s="9"/>
      <c r="P3020" s="9"/>
      <c r="Q3020" s="9"/>
      <c r="R3020" s="9"/>
      <c r="S3020" s="42" t="str">
        <f>IFERROR(__xludf.DUMMYFUNCTION("""COMPUTED_VALUE"""),"ECu;
MoRF;
MoPy;
MoTg")</f>
        <v>ECu;
MoRF;
MoPy;
MoTg</v>
      </c>
      <c r="T3020" s="42"/>
      <c r="U3020" s="42" t="b">
        <f>IFERROR(__xludf.DUMMYFUNCTION("""COMPUTED_VALUE"""),FALSE)</f>
        <v>0</v>
      </c>
      <c r="V3020" s="42"/>
      <c r="W3020" s="42"/>
      <c r="X3020" s="42"/>
      <c r="Y3020" s="42"/>
      <c r="Z3020" s="42"/>
      <c r="AA3020" s="42"/>
      <c r="AB3020" s="42" t="str">
        <f>IFERROR(__xludf.DUMMYFUNCTION("""COMPUTED_VALUE"""),"allen institute")</f>
        <v>allen institute</v>
      </c>
      <c r="AC3020" s="42" t="str">
        <f>IFERROR(__xludf.DUMMYFUNCTION("""COMPUTED_VALUE"""),"DHBA")</f>
        <v>DHBA</v>
      </c>
      <c r="AD3020" s="42"/>
      <c r="AE3020" s="42"/>
      <c r="AF3020" s="9"/>
      <c r="AG3020" s="9"/>
      <c r="AH3020" s="42"/>
      <c r="AI3020" s="42"/>
      <c r="AJ3020" s="42"/>
      <c r="AK3020" s="42"/>
      <c r="AL3020" s="42"/>
      <c r="AM3020" s="42"/>
      <c r="AN3020" s="42"/>
      <c r="AO3020" s="63" t="str">
        <f>IFERROR(__xludf.DUMMYFUNCTION("IF(ISBLANK(A3020),,IF(ISBLANK(S3020), A3020&amp;"";"", TEXTJOIN(CHAR(10), TRUE, A3020&amp;"";"", ARRAYFORMULA(VLOOKUP(SPLIT(S3020, "";"" &amp; CHAR(10)), $A:$AO, 41, FALSE)))))"),"#N/A")</f>
        <v>#N/A</v>
      </c>
      <c r="AP3020" s="89"/>
    </row>
    <row r="3021">
      <c r="A3021" s="151" t="str">
        <f>IFERROR(__xludf.DUMMYFUNCTION("""COMPUTED_VALUE"""),"MDJ")</f>
        <v>MDJ</v>
      </c>
      <c r="B3021" s="42" t="str">
        <f>IFERROR(__xludf.DUMMYFUNCTION("""COMPUTED_VALUE"""),"[Wang, 2021]")</f>
        <v>[Wang, 2021]</v>
      </c>
      <c r="C3021" s="42" t="str">
        <f>IFERROR(__xludf.DUMMYFUNCTION("""COMPUTED_VALUE"""),"mesodiencephalic junction")</f>
        <v>mesodiencephalic junction</v>
      </c>
      <c r="D3021" s="42">
        <f>IFERROR(__xludf.DUMMYFUNCTION("""COMPUTED_VALUE"""),2880.1)</f>
        <v>2880.1</v>
      </c>
      <c r="E3021" s="39" t="str">
        <f>IFERROR(__xludf.DUMMYFUNCTION("""COMPUTED_VALUE"""),"")</f>
        <v/>
      </c>
      <c r="F3021" s="9" t="str">
        <f>IFERROR(__xludf.DUMMYFUNCTION("""COMPUTED_VALUE"""),"")</f>
        <v/>
      </c>
      <c r="G3021" s="9" t="str">
        <f>IFERROR(__xludf.DUMMYFUNCTION("""COMPUTED_VALUE"""),"")</f>
        <v/>
      </c>
      <c r="H3021" s="9" t="str">
        <f>IFERROR(__xludf.DUMMYFUNCTION("""COMPUTED_VALUE"""),"")</f>
        <v/>
      </c>
      <c r="I3021" s="9" t="str">
        <f>IFERROR(__xludf.DUMMYFUNCTION("""COMPUTED_VALUE"""),"")</f>
        <v/>
      </c>
      <c r="J3021" s="9" t="str">
        <f>IFERROR(__xludf.DUMMYFUNCTION("""COMPUTED_VALUE"""),"")</f>
        <v/>
      </c>
      <c r="K3021" s="9" t="str">
        <f>IFERROR(__xludf.DUMMYFUNCTION("""COMPUTED_VALUE"""),"")</f>
        <v/>
      </c>
      <c r="L3021" s="9" t="str">
        <f>IFERROR(__xludf.DUMMYFUNCTION("""COMPUTED_VALUE"""),"")</f>
        <v/>
      </c>
      <c r="M3021" s="9" t="str">
        <f>IFERROR(__xludf.DUMMYFUNCTION("""COMPUTED_VALUE"""),"")</f>
        <v/>
      </c>
      <c r="N3021" s="9" t="str">
        <f>IFERROR(__xludf.DUMMYFUNCTION("""COMPUTED_VALUE"""),"")</f>
        <v/>
      </c>
      <c r="O3021" s="9" t="str">
        <f>IFERROR(__xludf.DUMMYFUNCTION("""COMPUTED_VALUE"""),"")</f>
        <v/>
      </c>
      <c r="P3021" s="9" t="str">
        <f>IFERROR(__xludf.DUMMYFUNCTION("""COMPUTED_VALUE"""),"")</f>
        <v/>
      </c>
      <c r="Q3021" s="9" t="str">
        <f>IFERROR(__xludf.DUMMYFUNCTION("""COMPUTED_VALUE"""),"")</f>
        <v/>
      </c>
      <c r="R3021" s="9" t="str">
        <f>IFERROR(__xludf.DUMMYFUNCTION("""COMPUTED_VALUE"""),"")</f>
        <v/>
      </c>
      <c r="S3021" s="42"/>
      <c r="T3021" s="42"/>
      <c r="U3021" s="42" t="b">
        <f>IFERROR(__xludf.DUMMYFUNCTION("""COMPUTED_VALUE"""),FALSE)</f>
        <v>0</v>
      </c>
      <c r="V3021" s="42"/>
      <c r="W3021" s="42" t="str">
        <f>IFERROR(__xludf.DUMMYFUNCTION("""COMPUTED_VALUE"""),"Excitatory")</f>
        <v>Excitatory</v>
      </c>
      <c r="X3021" s="42"/>
      <c r="Y3021" s="42"/>
      <c r="Z3021" s="42"/>
      <c r="AA3021" s="42"/>
      <c r="AB3021" s="42" t="str">
        <f>IFERROR(__xludf.DUMMYFUNCTION("""COMPUTED_VALUE"""),"Hiroshi Yamakawa")</f>
        <v>Hiroshi Yamakawa</v>
      </c>
      <c r="AC3021" s="42" t="str">
        <f>IFERROR(__xludf.DUMMYFUNCTION("""COMPUTED_VALUE"""),"HY20Cerebellum")</f>
        <v>HY20Cerebellum</v>
      </c>
      <c r="AD3021" s="42"/>
      <c r="AE3021" s="42"/>
      <c r="AF3021" s="9"/>
      <c r="AG3021" s="9"/>
      <c r="AH3021" s="42"/>
      <c r="AI3021" s="42"/>
      <c r="AJ3021" s="42"/>
      <c r="AK3021" s="42"/>
      <c r="AL3021" s="42"/>
      <c r="AM3021" s="42"/>
      <c r="AN3021" s="42"/>
      <c r="AO3021" s="63" t="str">
        <f>IFERROR(__xludf.DUMMYFUNCTION("IF(ISBLANK(A3021),,IF(ISBLANK(S3021), A3021&amp;"";"", TEXTJOIN(CHAR(10), TRUE, A3021&amp;"";"", ARRAYFORMULA(VLOOKUP(SPLIT(S3021, "";"" &amp; CHAR(10)), $A:$AO, 41, FALSE)))))"),"MDJ;")</f>
        <v>MDJ;</v>
      </c>
      <c r="AP3021" s="89"/>
    </row>
    <row r="3022">
      <c r="A3022" s="151" t="str">
        <f>IFERROR(__xludf.DUMMYFUNCTION("""COMPUTED_VALUE"""),"MoPy")</f>
        <v>MoPy</v>
      </c>
      <c r="B3022" s="42" t="str">
        <f>IFERROR(__xludf.DUMMYFUNCTION("""COMPUTED_VALUE"""),"DHBA")</f>
        <v>DHBA</v>
      </c>
      <c r="C3022" s="42" t="str">
        <f>IFERROR(__xludf.DUMMYFUNCTION("""COMPUTED_VALUE"""),"pyramidal part of medulla oblongata")</f>
        <v>pyramidal part of medulla oblongata</v>
      </c>
      <c r="D3022" s="42">
        <f>IFERROR(__xludf.DUMMYFUNCTION("""COMPUTED_VALUE"""),2881.0)</f>
        <v>2881</v>
      </c>
      <c r="E3022" s="39" t="str">
        <f>IFERROR(__xludf.DUMMYFUNCTION("""COMPUTED_VALUE"""),"pyramidal part of medulla oblongata")</f>
        <v>pyramidal part of medulla oblongata</v>
      </c>
      <c r="F3022" s="9" t="str">
        <f>IFERROR(__xludf.DUMMYFUNCTION("""COMPUTED_VALUE"""),"Br")</f>
        <v>Br</v>
      </c>
      <c r="G3022" s="9" t="str">
        <f>IFERROR(__xludf.DUMMYFUNCTION("""COMPUTED_VALUE"""),"H")</f>
        <v>H</v>
      </c>
      <c r="H3022" s="9" t="str">
        <f>IFERROR(__xludf.DUMMYFUNCTION("""COMPUTED_VALUE"""),"HGM")</f>
        <v>HGM</v>
      </c>
      <c r="I3022" s="9" t="str">
        <f>IFERROR(__xludf.DUMMYFUNCTION("""COMPUTED_VALUE"""),"Mo")</f>
        <v>Mo</v>
      </c>
      <c r="J3022" s="9" t="str">
        <f>IFERROR(__xludf.DUMMYFUNCTION("""COMPUTED_VALUE"""),"MoPy")</f>
        <v>MoPy</v>
      </c>
      <c r="K3022" s="9"/>
      <c r="L3022" s="9"/>
      <c r="M3022" s="9"/>
      <c r="N3022" s="9"/>
      <c r="O3022" s="9"/>
      <c r="P3022" s="9"/>
      <c r="Q3022" s="9"/>
      <c r="R3022" s="9"/>
      <c r="S3022" s="42" t="str">
        <f>IFERROR(__xludf.DUMMYFUNCTION("""COMPUTED_VALUE"""),"Ar;
Ct")</f>
        <v>Ar;
Ct</v>
      </c>
      <c r="T3022" s="42"/>
      <c r="U3022" s="159" t="b">
        <f>IFERROR(__xludf.DUMMYFUNCTION("""COMPUTED_VALUE"""),FALSE)</f>
        <v>0</v>
      </c>
      <c r="V3022" s="42"/>
      <c r="W3022" s="42"/>
      <c r="X3022" s="42"/>
      <c r="Y3022" s="42"/>
      <c r="Z3022" s="42"/>
      <c r="AA3022" s="42"/>
      <c r="AB3022" s="42" t="str">
        <f>IFERROR(__xludf.DUMMYFUNCTION("""COMPUTED_VALUE"""),"allen institute")</f>
        <v>allen institute</v>
      </c>
      <c r="AC3022" s="42" t="str">
        <f>IFERROR(__xludf.DUMMYFUNCTION("""COMPUTED_VALUE"""),"DHBA")</f>
        <v>DHBA</v>
      </c>
      <c r="AD3022" s="42"/>
      <c r="AE3022" s="42"/>
      <c r="AF3022" s="9"/>
      <c r="AG3022" s="9"/>
      <c r="AH3022" s="42"/>
      <c r="AI3022" s="42"/>
      <c r="AJ3022" s="42"/>
      <c r="AK3022" s="42"/>
      <c r="AL3022" s="42"/>
      <c r="AM3022" s="42"/>
      <c r="AN3022" s="42"/>
      <c r="AO3022" s="63" t="str">
        <f>IFERROR(__xludf.DUMMYFUNCTION("IF(ISBLANK(A3022),,IF(ISBLANK(S3022), A3022&amp;"";"", TEXTJOIN(CHAR(10), TRUE, A3022&amp;"";"", ARRAYFORMULA(VLOOKUP(SPLIT(S3022, "";"" &amp; CHAR(10)), $A:$AO, 41, FALSE)))))"),"MoPy;
ar;
Ct;")</f>
        <v>MoPy;
ar;
Ct;</v>
      </c>
      <c r="AP3022" s="89"/>
    </row>
    <row r="3023">
      <c r="A3023" s="151" t="str">
        <f>IFERROR(__xludf.DUMMYFUNCTION("""COMPUTED_VALUE"""),"Ar")</f>
        <v>Ar</v>
      </c>
      <c r="B3023" s="42" t="str">
        <f>IFERROR(__xludf.DUMMYFUNCTION("""COMPUTED_VALUE"""),"DHBA")</f>
        <v>DHBA</v>
      </c>
      <c r="C3023" s="42" t="str">
        <f>IFERROR(__xludf.DUMMYFUNCTION("""COMPUTED_VALUE"""),"arcuate nucleus of medulla oblongata")</f>
        <v>arcuate nucleus of medulla oblongata</v>
      </c>
      <c r="D3023" s="42">
        <f>IFERROR(__xludf.DUMMYFUNCTION("""COMPUTED_VALUE"""),2882.0)</f>
        <v>2882</v>
      </c>
      <c r="E3023" s="39" t="str">
        <f>IFERROR(__xludf.DUMMYFUNCTION("""COMPUTED_VALUE"""),"arcuate nucleus of medulla oblongata")</f>
        <v>arcuate nucleus of medulla oblongata</v>
      </c>
      <c r="F3023" s="9" t="str">
        <f>IFERROR(__xludf.DUMMYFUNCTION("""COMPUTED_VALUE"""),"Br")</f>
        <v>Br</v>
      </c>
      <c r="G3023" s="9" t="str">
        <f>IFERROR(__xludf.DUMMYFUNCTION("""COMPUTED_VALUE"""),"H")</f>
        <v>H</v>
      </c>
      <c r="H3023" s="9" t="str">
        <f>IFERROR(__xludf.DUMMYFUNCTION("""COMPUTED_VALUE"""),"HGM")</f>
        <v>HGM</v>
      </c>
      <c r="I3023" s="9" t="str">
        <f>IFERROR(__xludf.DUMMYFUNCTION("""COMPUTED_VALUE"""),"Mo")</f>
        <v>Mo</v>
      </c>
      <c r="J3023" s="9" t="str">
        <f>IFERROR(__xludf.DUMMYFUNCTION("""COMPUTED_VALUE"""),"MoPy")</f>
        <v>MoPy</v>
      </c>
      <c r="K3023" s="9" t="str">
        <f>IFERROR(__xludf.DUMMYFUNCTION("""COMPUTED_VALUE"""),"Ar")</f>
        <v>Ar</v>
      </c>
      <c r="L3023" s="9"/>
      <c r="M3023" s="9"/>
      <c r="N3023" s="9"/>
      <c r="O3023" s="9"/>
      <c r="P3023" s="9"/>
      <c r="Q3023" s="9"/>
      <c r="R3023" s="9"/>
      <c r="S3023" s="42"/>
      <c r="T3023" s="42"/>
      <c r="U3023" s="42"/>
      <c r="V3023" s="42"/>
      <c r="W3023" s="42"/>
      <c r="X3023" s="42"/>
      <c r="Y3023" s="42"/>
      <c r="Z3023" s="42"/>
      <c r="AA3023" s="42"/>
      <c r="AB3023" s="42" t="str">
        <f>IFERROR(__xludf.DUMMYFUNCTION("""COMPUTED_VALUE"""),"allen institute")</f>
        <v>allen institute</v>
      </c>
      <c r="AC3023" s="42" t="str">
        <f>IFERROR(__xludf.DUMMYFUNCTION("""COMPUTED_VALUE"""),"DHBA")</f>
        <v>DHBA</v>
      </c>
      <c r="AD3023" s="42"/>
      <c r="AE3023" s="42"/>
      <c r="AF3023" s="9"/>
      <c r="AG3023" s="9"/>
      <c r="AH3023" s="42"/>
      <c r="AI3023" s="42"/>
      <c r="AJ3023" s="42"/>
      <c r="AK3023" s="42"/>
      <c r="AL3023" s="42"/>
      <c r="AM3023" s="42"/>
      <c r="AN3023" s="42"/>
      <c r="AO3023" s="63" t="str">
        <f>IFERROR(__xludf.DUMMYFUNCTION("IF(ISBLANK(A3023),,IF(ISBLANK(S3023), A3023&amp;"";"", TEXTJOIN(CHAR(10), TRUE, A3023&amp;"";"", ARRAYFORMULA(VLOOKUP(SPLIT(S3023, "";"" &amp; CHAR(10)), $A:$AO, 41, FALSE)))))"),"Ar;")</f>
        <v>Ar;</v>
      </c>
      <c r="AP3023" s="89"/>
    </row>
    <row r="3024">
      <c r="A3024" s="151" t="str">
        <f>IFERROR(__xludf.DUMMYFUNCTION("""COMPUTED_VALUE"""),"Ct")</f>
        <v>Ct</v>
      </c>
      <c r="B3024" s="42" t="str">
        <f>IFERROR(__xludf.DUMMYFUNCTION("""COMPUTED_VALUE"""),"DHBA")</f>
        <v>DHBA</v>
      </c>
      <c r="C3024" s="42" t="str">
        <f>IFERROR(__xludf.DUMMYFUNCTION("""COMPUTED_VALUE"""),"conterminal nucleus")</f>
        <v>conterminal nucleus</v>
      </c>
      <c r="D3024" s="42">
        <f>IFERROR(__xludf.DUMMYFUNCTION("""COMPUTED_VALUE"""),2883.0)</f>
        <v>2883</v>
      </c>
      <c r="E3024" s="39" t="str">
        <f>IFERROR(__xludf.DUMMYFUNCTION("""COMPUTED_VALUE"""),"conterminal nucleus")</f>
        <v>conterminal nucleus</v>
      </c>
      <c r="F3024" s="9" t="str">
        <f>IFERROR(__xludf.DUMMYFUNCTION("""COMPUTED_VALUE"""),"Br")</f>
        <v>Br</v>
      </c>
      <c r="G3024" s="9" t="str">
        <f>IFERROR(__xludf.DUMMYFUNCTION("""COMPUTED_VALUE"""),"H")</f>
        <v>H</v>
      </c>
      <c r="H3024" s="9" t="str">
        <f>IFERROR(__xludf.DUMMYFUNCTION("""COMPUTED_VALUE"""),"HGM")</f>
        <v>HGM</v>
      </c>
      <c r="I3024" s="9" t="str">
        <f>IFERROR(__xludf.DUMMYFUNCTION("""COMPUTED_VALUE"""),"Mo")</f>
        <v>Mo</v>
      </c>
      <c r="J3024" s="9" t="str">
        <f>IFERROR(__xludf.DUMMYFUNCTION("""COMPUTED_VALUE"""),"MoPy")</f>
        <v>MoPy</v>
      </c>
      <c r="K3024" s="9" t="str">
        <f>IFERROR(__xludf.DUMMYFUNCTION("""COMPUTED_VALUE"""),"Ct")</f>
        <v>Ct</v>
      </c>
      <c r="L3024" s="9"/>
      <c r="M3024" s="9"/>
      <c r="N3024" s="9"/>
      <c r="O3024" s="9"/>
      <c r="P3024" s="9"/>
      <c r="Q3024" s="9"/>
      <c r="R3024" s="9"/>
      <c r="S3024" s="42"/>
      <c r="T3024" s="42"/>
      <c r="U3024" s="42"/>
      <c r="V3024" s="42"/>
      <c r="W3024" s="42"/>
      <c r="X3024" s="42"/>
      <c r="Y3024" s="42"/>
      <c r="Z3024" s="42"/>
      <c r="AA3024" s="42"/>
      <c r="AB3024" s="42" t="str">
        <f>IFERROR(__xludf.DUMMYFUNCTION("""COMPUTED_VALUE"""),"allen institute")</f>
        <v>allen institute</v>
      </c>
      <c r="AC3024" s="42" t="str">
        <f>IFERROR(__xludf.DUMMYFUNCTION("""COMPUTED_VALUE"""),"DHBA")</f>
        <v>DHBA</v>
      </c>
      <c r="AD3024" s="42"/>
      <c r="AE3024" s="42"/>
      <c r="AF3024" s="9"/>
      <c r="AG3024" s="9"/>
      <c r="AH3024" s="42"/>
      <c r="AI3024" s="42"/>
      <c r="AJ3024" s="42"/>
      <c r="AK3024" s="42"/>
      <c r="AL3024" s="42"/>
      <c r="AM3024" s="42"/>
      <c r="AN3024" s="42"/>
      <c r="AO3024" s="63" t="str">
        <f>IFERROR(__xludf.DUMMYFUNCTION("IF(ISBLANK(A3024),,IF(ISBLANK(S3024), A3024&amp;"";"", TEXTJOIN(CHAR(10), TRUE, A3024&amp;"";"", ARRAYFORMULA(VLOOKUP(SPLIT(S3024, "";"" &amp; CHAR(10)), $A:$AO, 41, FALSE)))))"),"Ct;")</f>
        <v>Ct;</v>
      </c>
      <c r="AP3024" s="89"/>
    </row>
    <row r="3025">
      <c r="A3025" s="151" t="str">
        <f>IFERROR(__xludf.DUMMYFUNCTION("""COMPUTED_VALUE"""),"MoTg")</f>
        <v>MoTg</v>
      </c>
      <c r="B3025" s="42" t="str">
        <f>IFERROR(__xludf.DUMMYFUNCTION("""COMPUTED_VALUE"""),"DHBA")</f>
        <v>DHBA</v>
      </c>
      <c r="C3025" s="42" t="str">
        <f>IFERROR(__xludf.DUMMYFUNCTION("""COMPUTED_VALUE"""),"tegmentum of medulla oblongata")</f>
        <v>tegmentum of medulla oblongata</v>
      </c>
      <c r="D3025" s="42">
        <f>IFERROR(__xludf.DUMMYFUNCTION("""COMPUTED_VALUE"""),2884.0)</f>
        <v>2884</v>
      </c>
      <c r="E3025" s="39" t="str">
        <f>IFERROR(__xludf.DUMMYFUNCTION("""COMPUTED_VALUE"""),"tegmentum of medulla oblongata")</f>
        <v>tegmentum of medulla oblongata</v>
      </c>
      <c r="F3025" s="9" t="str">
        <f>IFERROR(__xludf.DUMMYFUNCTION("""COMPUTED_VALUE"""),"Br")</f>
        <v>Br</v>
      </c>
      <c r="G3025" s="9" t="str">
        <f>IFERROR(__xludf.DUMMYFUNCTION("""COMPUTED_VALUE"""),"H")</f>
        <v>H</v>
      </c>
      <c r="H3025" s="9" t="str">
        <f>IFERROR(__xludf.DUMMYFUNCTION("""COMPUTED_VALUE"""),"HGM")</f>
        <v>HGM</v>
      </c>
      <c r="I3025" s="9" t="str">
        <f>IFERROR(__xludf.DUMMYFUNCTION("""COMPUTED_VALUE"""),"Mo")</f>
        <v>Mo</v>
      </c>
      <c r="J3025" s="9" t="str">
        <f>IFERROR(__xludf.DUMMYFUNCTION("""COMPUTED_VALUE"""),"MoTg")</f>
        <v>MoTg</v>
      </c>
      <c r="K3025" s="9"/>
      <c r="L3025" s="9"/>
      <c r="M3025" s="9"/>
      <c r="N3025" s="9"/>
      <c r="O3025" s="9"/>
      <c r="P3025" s="9"/>
      <c r="Q3025" s="9"/>
      <c r="R3025" s="9"/>
      <c r="S3025" s="42" t="str">
        <f>IFERROR(__xludf.DUMMYFUNCTION("""COMPUTED_VALUE"""),"MoEN;
MoAN;
MoSR;
PrCbN;
MoRF;
MoRa;
XMoTg")</f>
        <v>MoEN;
MoAN;
MoSR;
PrCbN;
MoRF;
MoRa;
XMoTg</v>
      </c>
      <c r="T3025" s="42"/>
      <c r="U3025" s="42" t="b">
        <f>IFERROR(__xludf.DUMMYFUNCTION("""COMPUTED_VALUE"""),FALSE)</f>
        <v>0</v>
      </c>
      <c r="V3025" s="42"/>
      <c r="W3025" s="42"/>
      <c r="X3025" s="42"/>
      <c r="Y3025" s="42"/>
      <c r="Z3025" s="42"/>
      <c r="AA3025" s="42"/>
      <c r="AB3025" s="42" t="str">
        <f>IFERROR(__xludf.DUMMYFUNCTION("""COMPUTED_VALUE"""),"allen institute")</f>
        <v>allen institute</v>
      </c>
      <c r="AC3025" s="42" t="str">
        <f>IFERROR(__xludf.DUMMYFUNCTION("""COMPUTED_VALUE"""),"DHBA")</f>
        <v>DHBA</v>
      </c>
      <c r="AD3025" s="42"/>
      <c r="AE3025" s="42"/>
      <c r="AF3025" s="9"/>
      <c r="AG3025" s="9"/>
      <c r="AH3025" s="42"/>
      <c r="AI3025" s="42"/>
      <c r="AJ3025" s="42"/>
      <c r="AK3025" s="42"/>
      <c r="AL3025" s="42"/>
      <c r="AM3025" s="42"/>
      <c r="AN3025" s="42"/>
      <c r="AO3025" s="63" t="str">
        <f>IFERROR(__xludf.DUMMYFUNCTION("IF(ISBLANK(A3025),,IF(ISBLANK(S3025), A3025&amp;"";"", TEXTJOIN(CHAR(10), TRUE, A3025&amp;"";"", ARRAYFORMULA(VLOOKUP(SPLIT(S3025, "";"" &amp; CHAR(10)), $A:$AO, 41, FALSE)))))"),"#N/A")</f>
        <v>#N/A</v>
      </c>
      <c r="AP3025" s="89"/>
    </row>
    <row r="3026">
      <c r="A3026" s="151" t="str">
        <f>IFERROR(__xludf.DUMMYFUNCTION("""COMPUTED_VALUE"""),"MoEN")</f>
        <v>MoEN</v>
      </c>
      <c r="B3026" s="42" t="str">
        <f>IFERROR(__xludf.DUMMYFUNCTION("""COMPUTED_VALUE"""),"DHBA")</f>
        <v>DHBA</v>
      </c>
      <c r="C3026" s="42" t="str">
        <f>IFERROR(__xludf.DUMMYFUNCTION("""COMPUTED_VALUE"""),"efferent nuclei of cranial nerves in the medulla oblongata")</f>
        <v>efferent nuclei of cranial nerves in the medulla oblongata</v>
      </c>
      <c r="D3026" s="42">
        <f>IFERROR(__xludf.DUMMYFUNCTION("""COMPUTED_VALUE"""),2885.0)</f>
        <v>2885</v>
      </c>
      <c r="E3026" s="39" t="str">
        <f>IFERROR(__xludf.DUMMYFUNCTION("""COMPUTED_VALUE"""),"efferent nuclei of cranial nerves in the medulla oblongata")</f>
        <v>efferent nuclei of cranial nerves in the medulla oblongata</v>
      </c>
      <c r="F3026" s="9" t="str">
        <f>IFERROR(__xludf.DUMMYFUNCTION("""COMPUTED_VALUE"""),"Br")</f>
        <v>Br</v>
      </c>
      <c r="G3026" s="9" t="str">
        <f>IFERROR(__xludf.DUMMYFUNCTION("""COMPUTED_VALUE"""),"H")</f>
        <v>H</v>
      </c>
      <c r="H3026" s="9" t="str">
        <f>IFERROR(__xludf.DUMMYFUNCTION("""COMPUTED_VALUE"""),"HGM")</f>
        <v>HGM</v>
      </c>
      <c r="I3026" s="9" t="str">
        <f>IFERROR(__xludf.DUMMYFUNCTION("""COMPUTED_VALUE"""),"Mo")</f>
        <v>Mo</v>
      </c>
      <c r="J3026" s="9" t="str">
        <f>IFERROR(__xludf.DUMMYFUNCTION("""COMPUTED_VALUE"""),"MoTg")</f>
        <v>MoTg</v>
      </c>
      <c r="K3026" s="9" t="str">
        <f>IFERROR(__xludf.DUMMYFUNCTION("""COMPUTED_VALUE"""),"MoEN")</f>
        <v>MoEN</v>
      </c>
      <c r="L3026" s="9"/>
      <c r="M3026" s="9"/>
      <c r="N3026" s="9"/>
      <c r="O3026" s="9"/>
      <c r="P3026" s="9"/>
      <c r="Q3026" s="9"/>
      <c r="R3026" s="9"/>
      <c r="S3026" s="42" t="str">
        <f>IFERROR(__xludf.DUMMYFUNCTION("""COMPUTED_VALUE"""),"Amb;
_12N;
InSV;
_10N")</f>
        <v>Amb;
_12N;
InSV;
_10N</v>
      </c>
      <c r="T3026" s="42"/>
      <c r="U3026" s="42" t="b">
        <f>IFERROR(__xludf.DUMMYFUNCTION("""COMPUTED_VALUE"""),FALSE)</f>
        <v>0</v>
      </c>
      <c r="V3026" s="42"/>
      <c r="W3026" s="42"/>
      <c r="X3026" s="42"/>
      <c r="Y3026" s="42"/>
      <c r="Z3026" s="42"/>
      <c r="AA3026" s="42"/>
      <c r="AB3026" s="42" t="str">
        <f>IFERROR(__xludf.DUMMYFUNCTION("""COMPUTED_VALUE"""),"allen institute")</f>
        <v>allen institute</v>
      </c>
      <c r="AC3026" s="42" t="str">
        <f>IFERROR(__xludf.DUMMYFUNCTION("""COMPUTED_VALUE"""),"DHBA")</f>
        <v>DHBA</v>
      </c>
      <c r="AD3026" s="42"/>
      <c r="AE3026" s="42"/>
      <c r="AF3026" s="9"/>
      <c r="AG3026" s="9"/>
      <c r="AH3026" s="42"/>
      <c r="AI3026" s="42"/>
      <c r="AJ3026" s="42"/>
      <c r="AK3026" s="42"/>
      <c r="AL3026" s="42"/>
      <c r="AM3026" s="42"/>
      <c r="AN3026" s="42"/>
      <c r="AO3026" s="63" t="str">
        <f>IFERROR(__xludf.DUMMYFUNCTION("IF(ISBLANK(A3026),,IF(ISBLANK(S3026), A3026&amp;"";"", TEXTJOIN(CHAR(10), TRUE, A3026&amp;"";"", ARRAYFORMULA(VLOOKUP(SPLIT(S3026, "";"" &amp; CHAR(10)), $A:$AO, 41, FALSE)))))"),"#N/A")</f>
        <v>#N/A</v>
      </c>
      <c r="AP3026" s="89"/>
    </row>
    <row r="3027">
      <c r="A3027" s="151" t="str">
        <f>IFERROR(__xludf.DUMMYFUNCTION("""COMPUTED_VALUE"""),"Amb")</f>
        <v>Amb</v>
      </c>
      <c r="B3027" s="42" t="str">
        <f>IFERROR(__xludf.DUMMYFUNCTION("""COMPUTED_VALUE"""),"DHBA")</f>
        <v>DHBA</v>
      </c>
      <c r="C3027" s="42" t="str">
        <f>IFERROR(__xludf.DUMMYFUNCTION("""COMPUTED_VALUE"""),"ambiguus nucleus, Nucleus ambiguus")</f>
        <v>ambiguus nucleus, Nucleus ambiguus</v>
      </c>
      <c r="D3027" s="42">
        <f>IFERROR(__xludf.DUMMYFUNCTION("""COMPUTED_VALUE"""),2886.0)</f>
        <v>2886</v>
      </c>
      <c r="E3027" s="39" t="str">
        <f>IFERROR(__xludf.DUMMYFUNCTION("""COMPUTED_VALUE"""),"ambiguus nucleus")</f>
        <v>ambiguus nucleus</v>
      </c>
      <c r="F3027" s="9" t="str">
        <f>IFERROR(__xludf.DUMMYFUNCTION("""COMPUTED_VALUE"""),"Br")</f>
        <v>Br</v>
      </c>
      <c r="G3027" s="9" t="str">
        <f>IFERROR(__xludf.DUMMYFUNCTION("""COMPUTED_VALUE"""),"H")</f>
        <v>H</v>
      </c>
      <c r="H3027" s="9" t="str">
        <f>IFERROR(__xludf.DUMMYFUNCTION("""COMPUTED_VALUE"""),"HGM")</f>
        <v>HGM</v>
      </c>
      <c r="I3027" s="9" t="str">
        <f>IFERROR(__xludf.DUMMYFUNCTION("""COMPUTED_VALUE"""),"Mo")</f>
        <v>Mo</v>
      </c>
      <c r="J3027" s="9" t="str">
        <f>IFERROR(__xludf.DUMMYFUNCTION("""COMPUTED_VALUE"""),"MoTg")</f>
        <v>MoTg</v>
      </c>
      <c r="K3027" s="9" t="str">
        <f>IFERROR(__xludf.DUMMYFUNCTION("""COMPUTED_VALUE"""),"MoEN")</f>
        <v>MoEN</v>
      </c>
      <c r="L3027" s="9" t="str">
        <f>IFERROR(__xludf.DUMMYFUNCTION("""COMPUTED_VALUE"""),"Amb")</f>
        <v>Amb</v>
      </c>
      <c r="M3027" s="9"/>
      <c r="N3027" s="9"/>
      <c r="O3027" s="9"/>
      <c r="P3027" s="9"/>
      <c r="Q3027" s="9"/>
      <c r="R3027" s="9"/>
      <c r="S3027" s="42" t="str">
        <f>IFERROR(__xludf.DUMMYFUNCTION("""COMPUTED_VALUE"""),"AmbC;
AmbL;
AmbSC")</f>
        <v>AmbC;
AmbL;
AmbSC</v>
      </c>
      <c r="T3027" s="42"/>
      <c r="U3027" s="42" t="b">
        <f>IFERROR(__xludf.DUMMYFUNCTION("""COMPUTED_VALUE"""),FALSE)</f>
        <v>0</v>
      </c>
      <c r="V3027" s="42"/>
      <c r="W3027" s="42"/>
      <c r="X3027" s="42"/>
      <c r="Y3027" s="42"/>
      <c r="Z3027" s="42"/>
      <c r="AA3027" s="42"/>
      <c r="AB3027" s="42" t="str">
        <f>IFERROR(__xludf.DUMMYFUNCTION("""COMPUTED_VALUE"""),"allen institute")</f>
        <v>allen institute</v>
      </c>
      <c r="AC3027" s="42" t="str">
        <f>IFERROR(__xludf.DUMMYFUNCTION("""COMPUTED_VALUE"""),"DHBA")</f>
        <v>DHBA</v>
      </c>
      <c r="AD3027" s="42"/>
      <c r="AE3027" s="42"/>
      <c r="AF3027" s="9"/>
      <c r="AG3027" s="9"/>
      <c r="AH3027" s="42"/>
      <c r="AI3027" s="42"/>
      <c r="AJ3027" s="42"/>
      <c r="AK3027" s="42"/>
      <c r="AL3027" s="42"/>
      <c r="AM3027" s="42"/>
      <c r="AN3027" s="42"/>
      <c r="AO3027" s="63" t="str">
        <f>IFERROR(__xludf.DUMMYFUNCTION("IF(ISBLANK(A3027),,IF(ISBLANK(S3027), A3027&amp;"";"", TEXTJOIN(CHAR(10), TRUE, A3027&amp;"";"", ARRAYFORMULA(VLOOKUP(SPLIT(S3027, "";"" &amp; CHAR(10)), $A:$AO, 41, FALSE)))))"),"Amb;
AmbC;
AmbL;
AmbSC;")</f>
        <v>Amb;
AmbC;
AmbL;
AmbSC;</v>
      </c>
      <c r="AP3027" s="89"/>
    </row>
    <row r="3028">
      <c r="A3028" s="151" t="str">
        <f>IFERROR(__xludf.DUMMYFUNCTION("""COMPUTED_VALUE"""),"AmbC")</f>
        <v>AmbC</v>
      </c>
      <c r="B3028" s="42" t="str">
        <f>IFERROR(__xludf.DUMMYFUNCTION("""COMPUTED_VALUE"""),"DHBA")</f>
        <v>DHBA</v>
      </c>
      <c r="C3028" s="42" t="str">
        <f>IFERROR(__xludf.DUMMYFUNCTION("""COMPUTED_VALUE"""),"ambiguus nucleus, compact part")</f>
        <v>ambiguus nucleus, compact part</v>
      </c>
      <c r="D3028" s="42">
        <f>IFERROR(__xludf.DUMMYFUNCTION("""COMPUTED_VALUE"""),2887.0)</f>
        <v>2887</v>
      </c>
      <c r="E3028" s="39" t="str">
        <f>IFERROR(__xludf.DUMMYFUNCTION("""COMPUTED_VALUE"""),"ambiguus nucleus, compact part")</f>
        <v>ambiguus nucleus, compact part</v>
      </c>
      <c r="F3028" s="9" t="str">
        <f>IFERROR(__xludf.DUMMYFUNCTION("""COMPUTED_VALUE"""),"Br")</f>
        <v>Br</v>
      </c>
      <c r="G3028" s="9" t="str">
        <f>IFERROR(__xludf.DUMMYFUNCTION("""COMPUTED_VALUE"""),"H")</f>
        <v>H</v>
      </c>
      <c r="H3028" s="9" t="str">
        <f>IFERROR(__xludf.DUMMYFUNCTION("""COMPUTED_VALUE"""),"HGM")</f>
        <v>HGM</v>
      </c>
      <c r="I3028" s="9" t="str">
        <f>IFERROR(__xludf.DUMMYFUNCTION("""COMPUTED_VALUE"""),"Mo")</f>
        <v>Mo</v>
      </c>
      <c r="J3028" s="9" t="str">
        <f>IFERROR(__xludf.DUMMYFUNCTION("""COMPUTED_VALUE"""),"MoTg")</f>
        <v>MoTg</v>
      </c>
      <c r="K3028" s="9" t="str">
        <f>IFERROR(__xludf.DUMMYFUNCTION("""COMPUTED_VALUE"""),"MoEN")</f>
        <v>MoEN</v>
      </c>
      <c r="L3028" s="9" t="str">
        <f>IFERROR(__xludf.DUMMYFUNCTION("""COMPUTED_VALUE"""),"Amb")</f>
        <v>Amb</v>
      </c>
      <c r="M3028" s="9" t="str">
        <f>IFERROR(__xludf.DUMMYFUNCTION("""COMPUTED_VALUE"""),"AmbC")</f>
        <v>AmbC</v>
      </c>
      <c r="N3028" s="9"/>
      <c r="O3028" s="9"/>
      <c r="P3028" s="9"/>
      <c r="Q3028" s="9"/>
      <c r="R3028" s="9"/>
      <c r="S3028" s="42"/>
      <c r="T3028" s="42"/>
      <c r="U3028" s="42"/>
      <c r="V3028" s="42"/>
      <c r="W3028" s="42"/>
      <c r="X3028" s="42"/>
      <c r="Y3028" s="42"/>
      <c r="Z3028" s="42"/>
      <c r="AA3028" s="42"/>
      <c r="AB3028" s="42" t="str">
        <f>IFERROR(__xludf.DUMMYFUNCTION("""COMPUTED_VALUE"""),"allen institute")</f>
        <v>allen institute</v>
      </c>
      <c r="AC3028" s="42" t="str">
        <f>IFERROR(__xludf.DUMMYFUNCTION("""COMPUTED_VALUE"""),"DHBA")</f>
        <v>DHBA</v>
      </c>
      <c r="AD3028" s="42"/>
      <c r="AE3028" s="42"/>
      <c r="AF3028" s="9"/>
      <c r="AG3028" s="9"/>
      <c r="AH3028" s="42"/>
      <c r="AI3028" s="42"/>
      <c r="AJ3028" s="42"/>
      <c r="AK3028" s="42"/>
      <c r="AL3028" s="42"/>
      <c r="AM3028" s="42"/>
      <c r="AN3028" s="42"/>
      <c r="AO3028" s="63" t="str">
        <f>IFERROR(__xludf.DUMMYFUNCTION("IF(ISBLANK(A3028),,IF(ISBLANK(S3028), A3028&amp;"";"", TEXTJOIN(CHAR(10), TRUE, A3028&amp;"";"", ARRAYFORMULA(VLOOKUP(SPLIT(S3028, "";"" &amp; CHAR(10)), $A:$AO, 41, FALSE)))))"),"AmbC;")</f>
        <v>AmbC;</v>
      </c>
      <c r="AP3028" s="89"/>
    </row>
    <row r="3029">
      <c r="A3029" s="151" t="str">
        <f>IFERROR(__xludf.DUMMYFUNCTION("""COMPUTED_VALUE"""),"AmbL")</f>
        <v>AmbL</v>
      </c>
      <c r="B3029" s="42" t="str">
        <f>IFERROR(__xludf.DUMMYFUNCTION("""COMPUTED_VALUE"""),"DHBA")</f>
        <v>DHBA</v>
      </c>
      <c r="C3029" s="42" t="str">
        <f>IFERROR(__xludf.DUMMYFUNCTION("""COMPUTED_VALUE"""),"ambiguus nucleus, loose part")</f>
        <v>ambiguus nucleus, loose part</v>
      </c>
      <c r="D3029" s="42">
        <f>IFERROR(__xludf.DUMMYFUNCTION("""COMPUTED_VALUE"""),2888.0)</f>
        <v>2888</v>
      </c>
      <c r="E3029" s="39" t="str">
        <f>IFERROR(__xludf.DUMMYFUNCTION("""COMPUTED_VALUE"""),"ambiguus nucleus, loose part")</f>
        <v>ambiguus nucleus, loose part</v>
      </c>
      <c r="F3029" s="9" t="str">
        <f>IFERROR(__xludf.DUMMYFUNCTION("""COMPUTED_VALUE"""),"Br")</f>
        <v>Br</v>
      </c>
      <c r="G3029" s="9" t="str">
        <f>IFERROR(__xludf.DUMMYFUNCTION("""COMPUTED_VALUE"""),"H")</f>
        <v>H</v>
      </c>
      <c r="H3029" s="9" t="str">
        <f>IFERROR(__xludf.DUMMYFUNCTION("""COMPUTED_VALUE"""),"HGM")</f>
        <v>HGM</v>
      </c>
      <c r="I3029" s="9" t="str">
        <f>IFERROR(__xludf.DUMMYFUNCTION("""COMPUTED_VALUE"""),"Mo")</f>
        <v>Mo</v>
      </c>
      <c r="J3029" s="9" t="str">
        <f>IFERROR(__xludf.DUMMYFUNCTION("""COMPUTED_VALUE"""),"MoTg")</f>
        <v>MoTg</v>
      </c>
      <c r="K3029" s="9" t="str">
        <f>IFERROR(__xludf.DUMMYFUNCTION("""COMPUTED_VALUE"""),"MoEN")</f>
        <v>MoEN</v>
      </c>
      <c r="L3029" s="9" t="str">
        <f>IFERROR(__xludf.DUMMYFUNCTION("""COMPUTED_VALUE"""),"Amb")</f>
        <v>Amb</v>
      </c>
      <c r="M3029" s="9" t="str">
        <f>IFERROR(__xludf.DUMMYFUNCTION("""COMPUTED_VALUE"""),"AmbL")</f>
        <v>AmbL</v>
      </c>
      <c r="N3029" s="9"/>
      <c r="O3029" s="9"/>
      <c r="P3029" s="9"/>
      <c r="Q3029" s="9"/>
      <c r="R3029" s="9"/>
      <c r="S3029" s="42"/>
      <c r="T3029" s="42"/>
      <c r="U3029" s="42"/>
      <c r="V3029" s="42"/>
      <c r="W3029" s="42"/>
      <c r="X3029" s="42"/>
      <c r="Y3029" s="42"/>
      <c r="Z3029" s="42"/>
      <c r="AA3029" s="42"/>
      <c r="AB3029" s="42" t="str">
        <f>IFERROR(__xludf.DUMMYFUNCTION("""COMPUTED_VALUE"""),"allen institute")</f>
        <v>allen institute</v>
      </c>
      <c r="AC3029" s="42" t="str">
        <f>IFERROR(__xludf.DUMMYFUNCTION("""COMPUTED_VALUE"""),"DHBA")</f>
        <v>DHBA</v>
      </c>
      <c r="AD3029" s="42"/>
      <c r="AE3029" s="42"/>
      <c r="AF3029" s="9"/>
      <c r="AG3029" s="9"/>
      <c r="AH3029" s="42"/>
      <c r="AI3029" s="42"/>
      <c r="AJ3029" s="42"/>
      <c r="AK3029" s="42"/>
      <c r="AL3029" s="42"/>
      <c r="AM3029" s="42"/>
      <c r="AN3029" s="42"/>
      <c r="AO3029" s="63" t="str">
        <f>IFERROR(__xludf.DUMMYFUNCTION("IF(ISBLANK(A3029),,IF(ISBLANK(S3029), A3029&amp;"";"", TEXTJOIN(CHAR(10), TRUE, A3029&amp;"";"", ARRAYFORMULA(VLOOKUP(SPLIT(S3029, "";"" &amp; CHAR(10)), $A:$AO, 41, FALSE)))))"),"AmbL;")</f>
        <v>AmbL;</v>
      </c>
      <c r="AP3029" s="89"/>
    </row>
    <row r="3030">
      <c r="A3030" s="151" t="str">
        <f>IFERROR(__xludf.DUMMYFUNCTION("""COMPUTED_VALUE"""),"AmbSC")</f>
        <v>AmbSC</v>
      </c>
      <c r="B3030" s="42" t="str">
        <f>IFERROR(__xludf.DUMMYFUNCTION("""COMPUTED_VALUE"""),"DHBA")</f>
        <v>DHBA</v>
      </c>
      <c r="C3030" s="42" t="str">
        <f>IFERROR(__xludf.DUMMYFUNCTION("""COMPUTED_VALUE"""),"ambiguus nucleus, semicompact part")</f>
        <v>ambiguus nucleus, semicompact part</v>
      </c>
      <c r="D3030" s="42">
        <f>IFERROR(__xludf.DUMMYFUNCTION("""COMPUTED_VALUE"""),2889.0)</f>
        <v>2889</v>
      </c>
      <c r="E3030" s="39" t="str">
        <f>IFERROR(__xludf.DUMMYFUNCTION("""COMPUTED_VALUE"""),"ambiguus nucleus, semicompact part")</f>
        <v>ambiguus nucleus, semicompact part</v>
      </c>
      <c r="F3030" s="9" t="str">
        <f>IFERROR(__xludf.DUMMYFUNCTION("""COMPUTED_VALUE"""),"Br")</f>
        <v>Br</v>
      </c>
      <c r="G3030" s="9" t="str">
        <f>IFERROR(__xludf.DUMMYFUNCTION("""COMPUTED_VALUE"""),"H")</f>
        <v>H</v>
      </c>
      <c r="H3030" s="9" t="str">
        <f>IFERROR(__xludf.DUMMYFUNCTION("""COMPUTED_VALUE"""),"HGM")</f>
        <v>HGM</v>
      </c>
      <c r="I3030" s="9" t="str">
        <f>IFERROR(__xludf.DUMMYFUNCTION("""COMPUTED_VALUE"""),"Mo")</f>
        <v>Mo</v>
      </c>
      <c r="J3030" s="9" t="str">
        <f>IFERROR(__xludf.DUMMYFUNCTION("""COMPUTED_VALUE"""),"MoTg")</f>
        <v>MoTg</v>
      </c>
      <c r="K3030" s="9" t="str">
        <f>IFERROR(__xludf.DUMMYFUNCTION("""COMPUTED_VALUE"""),"MoEN")</f>
        <v>MoEN</v>
      </c>
      <c r="L3030" s="9" t="str">
        <f>IFERROR(__xludf.DUMMYFUNCTION("""COMPUTED_VALUE"""),"Amb")</f>
        <v>Amb</v>
      </c>
      <c r="M3030" s="9" t="str">
        <f>IFERROR(__xludf.DUMMYFUNCTION("""COMPUTED_VALUE"""),"AmbSC")</f>
        <v>AmbSC</v>
      </c>
      <c r="N3030" s="9"/>
      <c r="O3030" s="9"/>
      <c r="P3030" s="9"/>
      <c r="Q3030" s="9"/>
      <c r="R3030" s="9"/>
      <c r="S3030" s="42"/>
      <c r="T3030" s="42"/>
      <c r="U3030" s="42"/>
      <c r="V3030" s="42"/>
      <c r="W3030" s="42"/>
      <c r="X3030" s="42"/>
      <c r="Y3030" s="42"/>
      <c r="Z3030" s="42"/>
      <c r="AA3030" s="42"/>
      <c r="AB3030" s="42" t="str">
        <f>IFERROR(__xludf.DUMMYFUNCTION("""COMPUTED_VALUE"""),"allen institute")</f>
        <v>allen institute</v>
      </c>
      <c r="AC3030" s="42" t="str">
        <f>IFERROR(__xludf.DUMMYFUNCTION("""COMPUTED_VALUE"""),"DHBA")</f>
        <v>DHBA</v>
      </c>
      <c r="AD3030" s="42"/>
      <c r="AE3030" s="42"/>
      <c r="AF3030" s="9"/>
      <c r="AG3030" s="9"/>
      <c r="AH3030" s="42"/>
      <c r="AI3030" s="42"/>
      <c r="AJ3030" s="42"/>
      <c r="AK3030" s="42"/>
      <c r="AL3030" s="42"/>
      <c r="AM3030" s="42"/>
      <c r="AN3030" s="42"/>
      <c r="AO3030" s="63" t="str">
        <f>IFERROR(__xludf.DUMMYFUNCTION("IF(ISBLANK(A3030),,IF(ISBLANK(S3030), A3030&amp;"";"", TEXTJOIN(CHAR(10), TRUE, A3030&amp;"";"", ARRAYFORMULA(VLOOKUP(SPLIT(S3030, "";"" &amp; CHAR(10)), $A:$AO, 41, FALSE)))))"),"AmbSC;")</f>
        <v>AmbSC;</v>
      </c>
      <c r="AP3030" s="89"/>
    </row>
    <row r="3031">
      <c r="A3031" s="151" t="str">
        <f>IFERROR(__xludf.DUMMYFUNCTION("""COMPUTED_VALUE"""),"12N")</f>
        <v>12N</v>
      </c>
      <c r="B3031" s="42" t="str">
        <f>IFERROR(__xludf.DUMMYFUNCTION("""COMPUTED_VALUE"""),"DHBA")</f>
        <v>DHBA</v>
      </c>
      <c r="C3031" s="42" t="str">
        <f>IFERROR(__xludf.DUMMYFUNCTION("""COMPUTED_VALUE"""),"hypoglossal nucleus")</f>
        <v>hypoglossal nucleus</v>
      </c>
      <c r="D3031" s="42">
        <f>IFERROR(__xludf.DUMMYFUNCTION("""COMPUTED_VALUE"""),2890.0)</f>
        <v>2890</v>
      </c>
      <c r="E3031" s="39" t="str">
        <f>IFERROR(__xludf.DUMMYFUNCTION("""COMPUTED_VALUE"""),"hypoglossal nucleus")</f>
        <v>hypoglossal nucleus</v>
      </c>
      <c r="F3031" s="9" t="str">
        <f>IFERROR(__xludf.DUMMYFUNCTION("""COMPUTED_VALUE"""),"Br")</f>
        <v>Br</v>
      </c>
      <c r="G3031" s="9" t="str">
        <f>IFERROR(__xludf.DUMMYFUNCTION("""COMPUTED_VALUE"""),"H")</f>
        <v>H</v>
      </c>
      <c r="H3031" s="9" t="str">
        <f>IFERROR(__xludf.DUMMYFUNCTION("""COMPUTED_VALUE"""),"HGM")</f>
        <v>HGM</v>
      </c>
      <c r="I3031" s="9" t="str">
        <f>IFERROR(__xludf.DUMMYFUNCTION("""COMPUTED_VALUE"""),"Mo")</f>
        <v>Mo</v>
      </c>
      <c r="J3031" s="9" t="str">
        <f>IFERROR(__xludf.DUMMYFUNCTION("""COMPUTED_VALUE"""),"MoTg")</f>
        <v>MoTg</v>
      </c>
      <c r="K3031" s="9" t="str">
        <f>IFERROR(__xludf.DUMMYFUNCTION("""COMPUTED_VALUE"""),"MoEN")</f>
        <v>MoEN</v>
      </c>
      <c r="L3031" s="9" t="str">
        <f>IFERROR(__xludf.DUMMYFUNCTION("""COMPUTED_VALUE"""),"12N")</f>
        <v>12N</v>
      </c>
      <c r="M3031" s="9"/>
      <c r="N3031" s="9"/>
      <c r="O3031" s="9"/>
      <c r="P3031" s="9"/>
      <c r="Q3031" s="9"/>
      <c r="R3031" s="9"/>
      <c r="S3031" s="42"/>
      <c r="T3031" s="42"/>
      <c r="U3031" s="42"/>
      <c r="V3031" s="42"/>
      <c r="W3031" s="42"/>
      <c r="X3031" s="42"/>
      <c r="Y3031" s="42"/>
      <c r="Z3031" s="42"/>
      <c r="AA3031" s="42"/>
      <c r="AB3031" s="42" t="str">
        <f>IFERROR(__xludf.DUMMYFUNCTION("""COMPUTED_VALUE"""),"allen institute")</f>
        <v>allen institute</v>
      </c>
      <c r="AC3031" s="42" t="str">
        <f>IFERROR(__xludf.DUMMYFUNCTION("""COMPUTED_VALUE"""),"DHBA")</f>
        <v>DHBA</v>
      </c>
      <c r="AD3031" s="42"/>
      <c r="AE3031" s="42"/>
      <c r="AF3031" s="9"/>
      <c r="AG3031" s="9"/>
      <c r="AH3031" s="42"/>
      <c r="AI3031" s="42"/>
      <c r="AJ3031" s="42"/>
      <c r="AK3031" s="42"/>
      <c r="AL3031" s="42"/>
      <c r="AM3031" s="42"/>
      <c r="AN3031" s="42"/>
      <c r="AO3031" s="63" t="str">
        <f>IFERROR(__xludf.DUMMYFUNCTION("IF(ISBLANK(A3031),,IF(ISBLANK(S3031), A3031&amp;"";"", TEXTJOIN(CHAR(10), TRUE, A3031&amp;"";"", ARRAYFORMULA(VLOOKUP(SPLIT(S3031, "";"" &amp; CHAR(10)), $A:$AO, 41, FALSE)))))"),"12N;")</f>
        <v>12N;</v>
      </c>
      <c r="AP3031" s="89"/>
    </row>
    <row r="3032">
      <c r="A3032" s="151" t="str">
        <f>IFERROR(__xludf.DUMMYFUNCTION("""COMPUTED_VALUE"""),"12GH")</f>
        <v>12GH</v>
      </c>
      <c r="B3032" s="42" t="str">
        <f>IFERROR(__xludf.DUMMYFUNCTION("""COMPUTED_VALUE"""),"DHBA")</f>
        <v>DHBA</v>
      </c>
      <c r="C3032" s="42" t="str">
        <f>IFERROR(__xludf.DUMMYFUNCTION("""COMPUTED_VALUE"""),"hypoglossal nucleus, geniohyoid part")</f>
        <v>hypoglossal nucleus, geniohyoid part</v>
      </c>
      <c r="D3032" s="42">
        <f>IFERROR(__xludf.DUMMYFUNCTION("""COMPUTED_VALUE"""),2891.0)</f>
        <v>2891</v>
      </c>
      <c r="E3032" s="39" t="str">
        <f>IFERROR(__xludf.DUMMYFUNCTION("""COMPUTED_VALUE"""),"hypoglossal nucleus, geniohyoid part")</f>
        <v>hypoglossal nucleus, geniohyoid part</v>
      </c>
      <c r="F3032" s="9" t="str">
        <f>IFERROR(__xludf.DUMMYFUNCTION("""COMPUTED_VALUE"""),"Br")</f>
        <v>Br</v>
      </c>
      <c r="G3032" s="9" t="str">
        <f>IFERROR(__xludf.DUMMYFUNCTION("""COMPUTED_VALUE"""),"H")</f>
        <v>H</v>
      </c>
      <c r="H3032" s="9" t="str">
        <f>IFERROR(__xludf.DUMMYFUNCTION("""COMPUTED_VALUE"""),"HGM")</f>
        <v>HGM</v>
      </c>
      <c r="I3032" s="9" t="str">
        <f>IFERROR(__xludf.DUMMYFUNCTION("""COMPUTED_VALUE"""),"Mo")</f>
        <v>Mo</v>
      </c>
      <c r="J3032" s="9" t="str">
        <f>IFERROR(__xludf.DUMMYFUNCTION("""COMPUTED_VALUE"""),"MoTg")</f>
        <v>MoTg</v>
      </c>
      <c r="K3032" s="9" t="str">
        <f>IFERROR(__xludf.DUMMYFUNCTION("""COMPUTED_VALUE"""),"MoEN")</f>
        <v>MoEN</v>
      </c>
      <c r="L3032" s="9" t="str">
        <f>IFERROR(__xludf.DUMMYFUNCTION("""COMPUTED_VALUE"""),"12N")</f>
        <v>12N</v>
      </c>
      <c r="M3032" s="9" t="str">
        <f>IFERROR(__xludf.DUMMYFUNCTION("""COMPUTED_VALUE"""),"12GH")</f>
        <v>12GH</v>
      </c>
      <c r="N3032" s="9"/>
      <c r="O3032" s="9"/>
      <c r="P3032" s="9"/>
      <c r="Q3032" s="9"/>
      <c r="R3032" s="9"/>
      <c r="S3032" s="42"/>
      <c r="T3032" s="42"/>
      <c r="U3032" s="42"/>
      <c r="V3032" s="42"/>
      <c r="W3032" s="42"/>
      <c r="X3032" s="42"/>
      <c r="Y3032" s="42"/>
      <c r="Z3032" s="42"/>
      <c r="AA3032" s="42"/>
      <c r="AB3032" s="42" t="str">
        <f>IFERROR(__xludf.DUMMYFUNCTION("""COMPUTED_VALUE"""),"allen institute")</f>
        <v>allen institute</v>
      </c>
      <c r="AC3032" s="42" t="str">
        <f>IFERROR(__xludf.DUMMYFUNCTION("""COMPUTED_VALUE"""),"DHBA")</f>
        <v>DHBA</v>
      </c>
      <c r="AD3032" s="42"/>
      <c r="AE3032" s="42"/>
      <c r="AF3032" s="9"/>
      <c r="AG3032" s="9"/>
      <c r="AH3032" s="42"/>
      <c r="AI3032" s="42"/>
      <c r="AJ3032" s="42"/>
      <c r="AK3032" s="42"/>
      <c r="AL3032" s="42"/>
      <c r="AM3032" s="42"/>
      <c r="AN3032" s="42"/>
      <c r="AO3032" s="63" t="str">
        <f>IFERROR(__xludf.DUMMYFUNCTION("IF(ISBLANK(A3032),,IF(ISBLANK(S3032), A3032&amp;"";"", TEXTJOIN(CHAR(10), TRUE, A3032&amp;"";"", ARRAYFORMULA(VLOOKUP(SPLIT(S3032, "";"" &amp; CHAR(10)), $A:$AO, 41, FALSE)))))"),"12GH;")</f>
        <v>12GH;</v>
      </c>
      <c r="AP3032" s="89"/>
    </row>
    <row r="3033">
      <c r="A3033" s="151" t="str">
        <f>IFERROR(__xludf.DUMMYFUNCTION("""COMPUTED_VALUE"""),"12L")</f>
        <v>12L</v>
      </c>
      <c r="B3033" s="42" t="str">
        <f>IFERROR(__xludf.DUMMYFUNCTION("""COMPUTED_VALUE"""),"DHBA")</f>
        <v>DHBA</v>
      </c>
      <c r="C3033" s="42" t="str">
        <f>IFERROR(__xludf.DUMMYFUNCTION("""COMPUTED_VALUE"""),"hypoglossal nucleus, lateral part")</f>
        <v>hypoglossal nucleus, lateral part</v>
      </c>
      <c r="D3033" s="42">
        <f>IFERROR(__xludf.DUMMYFUNCTION("""COMPUTED_VALUE"""),2892.0)</f>
        <v>2892</v>
      </c>
      <c r="E3033" s="39" t="str">
        <f>IFERROR(__xludf.DUMMYFUNCTION("""COMPUTED_VALUE"""),"hypoglossal nucleus, lateral part")</f>
        <v>hypoglossal nucleus, lateral part</v>
      </c>
      <c r="F3033" s="9" t="str">
        <f>IFERROR(__xludf.DUMMYFUNCTION("""COMPUTED_VALUE"""),"Br")</f>
        <v>Br</v>
      </c>
      <c r="G3033" s="9" t="str">
        <f>IFERROR(__xludf.DUMMYFUNCTION("""COMPUTED_VALUE"""),"H")</f>
        <v>H</v>
      </c>
      <c r="H3033" s="9" t="str">
        <f>IFERROR(__xludf.DUMMYFUNCTION("""COMPUTED_VALUE"""),"HGM")</f>
        <v>HGM</v>
      </c>
      <c r="I3033" s="9" t="str">
        <f>IFERROR(__xludf.DUMMYFUNCTION("""COMPUTED_VALUE"""),"Mo")</f>
        <v>Mo</v>
      </c>
      <c r="J3033" s="9" t="str">
        <f>IFERROR(__xludf.DUMMYFUNCTION("""COMPUTED_VALUE"""),"MoTg")</f>
        <v>MoTg</v>
      </c>
      <c r="K3033" s="9" t="str">
        <f>IFERROR(__xludf.DUMMYFUNCTION("""COMPUTED_VALUE"""),"MoEN")</f>
        <v>MoEN</v>
      </c>
      <c r="L3033" s="9" t="str">
        <f>IFERROR(__xludf.DUMMYFUNCTION("""COMPUTED_VALUE"""),"12N")</f>
        <v>12N</v>
      </c>
      <c r="M3033" s="9" t="str">
        <f>IFERROR(__xludf.DUMMYFUNCTION("""COMPUTED_VALUE"""),"12L")</f>
        <v>12L</v>
      </c>
      <c r="N3033" s="9"/>
      <c r="O3033" s="9"/>
      <c r="P3033" s="9"/>
      <c r="Q3033" s="9"/>
      <c r="R3033" s="9"/>
      <c r="S3033" s="42"/>
      <c r="T3033" s="42"/>
      <c r="U3033" s="42"/>
      <c r="V3033" s="42"/>
      <c r="W3033" s="42"/>
      <c r="X3033" s="42"/>
      <c r="Y3033" s="42"/>
      <c r="Z3033" s="42"/>
      <c r="AA3033" s="42"/>
      <c r="AB3033" s="42" t="str">
        <f>IFERROR(__xludf.DUMMYFUNCTION("""COMPUTED_VALUE"""),"allen institute")</f>
        <v>allen institute</v>
      </c>
      <c r="AC3033" s="42" t="str">
        <f>IFERROR(__xludf.DUMMYFUNCTION("""COMPUTED_VALUE"""),"DHBA")</f>
        <v>DHBA</v>
      </c>
      <c r="AD3033" s="42"/>
      <c r="AE3033" s="42"/>
      <c r="AF3033" s="9"/>
      <c r="AG3033" s="9"/>
      <c r="AH3033" s="42"/>
      <c r="AI3033" s="42"/>
      <c r="AJ3033" s="42"/>
      <c r="AK3033" s="42"/>
      <c r="AL3033" s="42"/>
      <c r="AM3033" s="42"/>
      <c r="AN3033" s="42"/>
      <c r="AO3033" s="63" t="str">
        <f>IFERROR(__xludf.DUMMYFUNCTION("IF(ISBLANK(A3033),,IF(ISBLANK(S3033), A3033&amp;"";"", TEXTJOIN(CHAR(10), TRUE, A3033&amp;"";"", ARRAYFORMULA(VLOOKUP(SPLIT(S3033, "";"" &amp; CHAR(10)), $A:$AO, 41, FALSE)))))"),"12L;")</f>
        <v>12L;</v>
      </c>
      <c r="AP3033" s="89"/>
    </row>
    <row r="3034">
      <c r="A3034" s="151" t="str">
        <f>IFERROR(__xludf.DUMMYFUNCTION("""COMPUTED_VALUE"""),"12M")</f>
        <v>12M</v>
      </c>
      <c r="B3034" s="42" t="str">
        <f>IFERROR(__xludf.DUMMYFUNCTION("""COMPUTED_VALUE"""),"DHBA")</f>
        <v>DHBA</v>
      </c>
      <c r="C3034" s="42" t="str">
        <f>IFERROR(__xludf.DUMMYFUNCTION("""COMPUTED_VALUE"""),"hypoglossal nucleus, medial part")</f>
        <v>hypoglossal nucleus, medial part</v>
      </c>
      <c r="D3034" s="42">
        <f>IFERROR(__xludf.DUMMYFUNCTION("""COMPUTED_VALUE"""),2893.0)</f>
        <v>2893</v>
      </c>
      <c r="E3034" s="39" t="str">
        <f>IFERROR(__xludf.DUMMYFUNCTION("""COMPUTED_VALUE"""),"hypoglossal nucleus, medial part")</f>
        <v>hypoglossal nucleus, medial part</v>
      </c>
      <c r="F3034" s="9" t="str">
        <f>IFERROR(__xludf.DUMMYFUNCTION("""COMPUTED_VALUE"""),"Br")</f>
        <v>Br</v>
      </c>
      <c r="G3034" s="9" t="str">
        <f>IFERROR(__xludf.DUMMYFUNCTION("""COMPUTED_VALUE"""),"H")</f>
        <v>H</v>
      </c>
      <c r="H3034" s="9" t="str">
        <f>IFERROR(__xludf.DUMMYFUNCTION("""COMPUTED_VALUE"""),"HGM")</f>
        <v>HGM</v>
      </c>
      <c r="I3034" s="9" t="str">
        <f>IFERROR(__xludf.DUMMYFUNCTION("""COMPUTED_VALUE"""),"Mo")</f>
        <v>Mo</v>
      </c>
      <c r="J3034" s="9" t="str">
        <f>IFERROR(__xludf.DUMMYFUNCTION("""COMPUTED_VALUE"""),"MoTg")</f>
        <v>MoTg</v>
      </c>
      <c r="K3034" s="9" t="str">
        <f>IFERROR(__xludf.DUMMYFUNCTION("""COMPUTED_VALUE"""),"MoEN")</f>
        <v>MoEN</v>
      </c>
      <c r="L3034" s="9" t="str">
        <f>IFERROR(__xludf.DUMMYFUNCTION("""COMPUTED_VALUE"""),"12N")</f>
        <v>12N</v>
      </c>
      <c r="M3034" s="9" t="str">
        <f>IFERROR(__xludf.DUMMYFUNCTION("""COMPUTED_VALUE"""),"12M")</f>
        <v>12M</v>
      </c>
      <c r="N3034" s="9"/>
      <c r="O3034" s="9"/>
      <c r="P3034" s="9"/>
      <c r="Q3034" s="9"/>
      <c r="R3034" s="9"/>
      <c r="S3034" s="42"/>
      <c r="T3034" s="42"/>
      <c r="U3034" s="42"/>
      <c r="V3034" s="42"/>
      <c r="W3034" s="42"/>
      <c r="X3034" s="42"/>
      <c r="Y3034" s="42"/>
      <c r="Z3034" s="42"/>
      <c r="AA3034" s="42"/>
      <c r="AB3034" s="42" t="str">
        <f>IFERROR(__xludf.DUMMYFUNCTION("""COMPUTED_VALUE"""),"allen institute")</f>
        <v>allen institute</v>
      </c>
      <c r="AC3034" s="42" t="str">
        <f>IFERROR(__xludf.DUMMYFUNCTION("""COMPUTED_VALUE"""),"DHBA")</f>
        <v>DHBA</v>
      </c>
      <c r="AD3034" s="42"/>
      <c r="AE3034" s="42"/>
      <c r="AF3034" s="9"/>
      <c r="AG3034" s="9"/>
      <c r="AH3034" s="42"/>
      <c r="AI3034" s="42"/>
      <c r="AJ3034" s="42"/>
      <c r="AK3034" s="42"/>
      <c r="AL3034" s="42"/>
      <c r="AM3034" s="42"/>
      <c r="AN3034" s="42"/>
      <c r="AO3034" s="63" t="str">
        <f>IFERROR(__xludf.DUMMYFUNCTION("IF(ISBLANK(A3034),,IF(ISBLANK(S3034), A3034&amp;"";"", TEXTJOIN(CHAR(10), TRUE, A3034&amp;"";"", ARRAYFORMULA(VLOOKUP(SPLIT(S3034, "";"" &amp; CHAR(10)), $A:$AO, 41, FALSE)))))"),"12M;")</f>
        <v>12M;</v>
      </c>
      <c r="AP3034" s="89"/>
    </row>
    <row r="3035">
      <c r="A3035" s="151" t="str">
        <f>IFERROR(__xludf.DUMMYFUNCTION("""COMPUTED_VALUE"""),"12V")</f>
        <v>12V</v>
      </c>
      <c r="B3035" s="42" t="str">
        <f>IFERROR(__xludf.DUMMYFUNCTION("""COMPUTED_VALUE"""),"DHBA")</f>
        <v>DHBA</v>
      </c>
      <c r="C3035" s="42" t="str">
        <f>IFERROR(__xludf.DUMMYFUNCTION("""COMPUTED_VALUE"""),"hypoglossal nucleus, ventral part")</f>
        <v>hypoglossal nucleus, ventral part</v>
      </c>
      <c r="D3035" s="42">
        <f>IFERROR(__xludf.DUMMYFUNCTION("""COMPUTED_VALUE"""),2894.0)</f>
        <v>2894</v>
      </c>
      <c r="E3035" s="39" t="str">
        <f>IFERROR(__xludf.DUMMYFUNCTION("""COMPUTED_VALUE"""),"hypoglossal nucleus, ventral part")</f>
        <v>hypoglossal nucleus, ventral part</v>
      </c>
      <c r="F3035" s="9" t="str">
        <f>IFERROR(__xludf.DUMMYFUNCTION("""COMPUTED_VALUE"""),"Br")</f>
        <v>Br</v>
      </c>
      <c r="G3035" s="9" t="str">
        <f>IFERROR(__xludf.DUMMYFUNCTION("""COMPUTED_VALUE"""),"H")</f>
        <v>H</v>
      </c>
      <c r="H3035" s="9" t="str">
        <f>IFERROR(__xludf.DUMMYFUNCTION("""COMPUTED_VALUE"""),"HGM")</f>
        <v>HGM</v>
      </c>
      <c r="I3035" s="9" t="str">
        <f>IFERROR(__xludf.DUMMYFUNCTION("""COMPUTED_VALUE"""),"Mo")</f>
        <v>Mo</v>
      </c>
      <c r="J3035" s="9" t="str">
        <f>IFERROR(__xludf.DUMMYFUNCTION("""COMPUTED_VALUE"""),"MoTg")</f>
        <v>MoTg</v>
      </c>
      <c r="K3035" s="9" t="str">
        <f>IFERROR(__xludf.DUMMYFUNCTION("""COMPUTED_VALUE"""),"MoEN")</f>
        <v>MoEN</v>
      </c>
      <c r="L3035" s="9" t="str">
        <f>IFERROR(__xludf.DUMMYFUNCTION("""COMPUTED_VALUE"""),"12N")</f>
        <v>12N</v>
      </c>
      <c r="M3035" s="9" t="str">
        <f>IFERROR(__xludf.DUMMYFUNCTION("""COMPUTED_VALUE"""),"12V")</f>
        <v>12V</v>
      </c>
      <c r="N3035" s="9"/>
      <c r="O3035" s="9"/>
      <c r="P3035" s="9"/>
      <c r="Q3035" s="9"/>
      <c r="R3035" s="9"/>
      <c r="S3035" s="42"/>
      <c r="T3035" s="42"/>
      <c r="U3035" s="159"/>
      <c r="V3035" s="42"/>
      <c r="W3035" s="42"/>
      <c r="X3035" s="42"/>
      <c r="Y3035" s="42"/>
      <c r="Z3035" s="42"/>
      <c r="AA3035" s="42"/>
      <c r="AB3035" s="42" t="str">
        <f>IFERROR(__xludf.DUMMYFUNCTION("""COMPUTED_VALUE"""),"allen institute")</f>
        <v>allen institute</v>
      </c>
      <c r="AC3035" s="42" t="str">
        <f>IFERROR(__xludf.DUMMYFUNCTION("""COMPUTED_VALUE"""),"DHBA")</f>
        <v>DHBA</v>
      </c>
      <c r="AD3035" s="42"/>
      <c r="AE3035" s="42"/>
      <c r="AF3035" s="9"/>
      <c r="AG3035" s="9"/>
      <c r="AH3035" s="42"/>
      <c r="AI3035" s="42"/>
      <c r="AJ3035" s="42"/>
      <c r="AK3035" s="42"/>
      <c r="AL3035" s="42"/>
      <c r="AM3035" s="42"/>
      <c r="AN3035" s="42"/>
      <c r="AO3035" s="63" t="str">
        <f>IFERROR(__xludf.DUMMYFUNCTION("IF(ISBLANK(A3035),,IF(ISBLANK(S3035), A3035&amp;"";"", TEXTJOIN(CHAR(10), TRUE, A3035&amp;"";"", ARRAYFORMULA(VLOOKUP(SPLIT(S3035, "";"" &amp; CHAR(10)), $A:$AO, 41, FALSE)))))"),"12V;")</f>
        <v>12V;</v>
      </c>
      <c r="AP3035" s="89"/>
    </row>
    <row r="3036">
      <c r="A3036" s="151" t="str">
        <f>IFERROR(__xludf.DUMMYFUNCTION("""COMPUTED_VALUE"""),"InSV")</f>
        <v>InSV</v>
      </c>
      <c r="B3036" s="42" t="str">
        <f>IFERROR(__xludf.DUMMYFUNCTION("""COMPUTED_VALUE"""),"DHBA")</f>
        <v>DHBA</v>
      </c>
      <c r="C3036" s="42" t="str">
        <f>IFERROR(__xludf.DUMMYFUNCTION("""COMPUTED_VALUE"""),"inferior salivatory nucleus")</f>
        <v>inferior salivatory nucleus</v>
      </c>
      <c r="D3036" s="42">
        <f>IFERROR(__xludf.DUMMYFUNCTION("""COMPUTED_VALUE"""),2895.0)</f>
        <v>2895</v>
      </c>
      <c r="E3036" s="39" t="str">
        <f>IFERROR(__xludf.DUMMYFUNCTION("""COMPUTED_VALUE"""),"inferior salivatory nucleus")</f>
        <v>inferior salivatory nucleus</v>
      </c>
      <c r="F3036" s="9" t="str">
        <f>IFERROR(__xludf.DUMMYFUNCTION("""COMPUTED_VALUE"""),"Br")</f>
        <v>Br</v>
      </c>
      <c r="G3036" s="9" t="str">
        <f>IFERROR(__xludf.DUMMYFUNCTION("""COMPUTED_VALUE"""),"H")</f>
        <v>H</v>
      </c>
      <c r="H3036" s="9" t="str">
        <f>IFERROR(__xludf.DUMMYFUNCTION("""COMPUTED_VALUE"""),"HGM")</f>
        <v>HGM</v>
      </c>
      <c r="I3036" s="9" t="str">
        <f>IFERROR(__xludf.DUMMYFUNCTION("""COMPUTED_VALUE"""),"Mo")</f>
        <v>Mo</v>
      </c>
      <c r="J3036" s="9" t="str">
        <f>IFERROR(__xludf.DUMMYFUNCTION("""COMPUTED_VALUE"""),"MoTg")</f>
        <v>MoTg</v>
      </c>
      <c r="K3036" s="9" t="str">
        <f>IFERROR(__xludf.DUMMYFUNCTION("""COMPUTED_VALUE"""),"MoEN")</f>
        <v>MoEN</v>
      </c>
      <c r="L3036" s="9" t="str">
        <f>IFERROR(__xludf.DUMMYFUNCTION("""COMPUTED_VALUE"""),"InSV")</f>
        <v>InSV</v>
      </c>
      <c r="M3036" s="9"/>
      <c r="N3036" s="9"/>
      <c r="O3036" s="9"/>
      <c r="P3036" s="9"/>
      <c r="Q3036" s="9"/>
      <c r="R3036" s="9"/>
      <c r="S3036" s="42"/>
      <c r="T3036" s="42"/>
      <c r="U3036" s="42"/>
      <c r="V3036" s="42"/>
      <c r="W3036" s="42"/>
      <c r="X3036" s="42"/>
      <c r="Y3036" s="42"/>
      <c r="Z3036" s="42"/>
      <c r="AA3036" s="42"/>
      <c r="AB3036" s="42" t="str">
        <f>IFERROR(__xludf.DUMMYFUNCTION("""COMPUTED_VALUE"""),"allen institute")</f>
        <v>allen institute</v>
      </c>
      <c r="AC3036" s="42" t="str">
        <f>IFERROR(__xludf.DUMMYFUNCTION("""COMPUTED_VALUE"""),"DHBA")</f>
        <v>DHBA</v>
      </c>
      <c r="AD3036" s="42"/>
      <c r="AE3036" s="42"/>
      <c r="AF3036" s="9"/>
      <c r="AG3036" s="9"/>
      <c r="AH3036" s="42"/>
      <c r="AI3036" s="42"/>
      <c r="AJ3036" s="42"/>
      <c r="AK3036" s="42"/>
      <c r="AL3036" s="42"/>
      <c r="AM3036" s="42"/>
      <c r="AN3036" s="42"/>
      <c r="AO3036" s="63" t="str">
        <f>IFERROR(__xludf.DUMMYFUNCTION("IF(ISBLANK(A3036),,IF(ISBLANK(S3036), A3036&amp;"";"", TEXTJOIN(CHAR(10), TRUE, A3036&amp;"";"", ARRAYFORMULA(VLOOKUP(SPLIT(S3036, "";"" &amp; CHAR(10)), $A:$AO, 41, FALSE)))))"),"InSV;")</f>
        <v>InSV;</v>
      </c>
      <c r="AP3036" s="89"/>
    </row>
    <row r="3037">
      <c r="A3037" s="151" t="str">
        <f>IFERROR(__xludf.DUMMYFUNCTION("""COMPUTED_VALUE"""),"10N")</f>
        <v>10N</v>
      </c>
      <c r="B3037" s="42" t="str">
        <f>IFERROR(__xludf.DUMMYFUNCTION("""COMPUTED_VALUE"""),"DHBA")</f>
        <v>DHBA</v>
      </c>
      <c r="C3037" s="42" t="str">
        <f>IFERROR(__xludf.DUMMYFUNCTION("""COMPUTED_VALUE"""),"Dorsal motor nucleus of vagus, dmX")</f>
        <v>Dorsal motor nucleus of vagus, dmX</v>
      </c>
      <c r="D3037" s="42">
        <f>IFERROR(__xludf.DUMMYFUNCTION("""COMPUTED_VALUE"""),2896.0)</f>
        <v>2896</v>
      </c>
      <c r="E3037" s="39" t="str">
        <f>IFERROR(__xludf.DUMMYFUNCTION("""COMPUTED_VALUE"""),"dorsal motor nucleus of the vagus (vagal nucleus)")</f>
        <v>dorsal motor nucleus of the vagus (vagal nucleus)</v>
      </c>
      <c r="F3037" s="9" t="str">
        <f>IFERROR(__xludf.DUMMYFUNCTION("""COMPUTED_VALUE"""),"Br")</f>
        <v>Br</v>
      </c>
      <c r="G3037" s="9" t="str">
        <f>IFERROR(__xludf.DUMMYFUNCTION("""COMPUTED_VALUE"""),"H")</f>
        <v>H</v>
      </c>
      <c r="H3037" s="9" t="str">
        <f>IFERROR(__xludf.DUMMYFUNCTION("""COMPUTED_VALUE"""),"HGM")</f>
        <v>HGM</v>
      </c>
      <c r="I3037" s="9" t="str">
        <f>IFERROR(__xludf.DUMMYFUNCTION("""COMPUTED_VALUE"""),"Mo")</f>
        <v>Mo</v>
      </c>
      <c r="J3037" s="9" t="str">
        <f>IFERROR(__xludf.DUMMYFUNCTION("""COMPUTED_VALUE"""),"MoTg")</f>
        <v>MoTg</v>
      </c>
      <c r="K3037" s="9" t="str">
        <f>IFERROR(__xludf.DUMMYFUNCTION("""COMPUTED_VALUE"""),"MoEN")</f>
        <v>MoEN</v>
      </c>
      <c r="L3037" s="9" t="str">
        <f>IFERROR(__xludf.DUMMYFUNCTION("""COMPUTED_VALUE"""),"10N")</f>
        <v>10N</v>
      </c>
      <c r="M3037" s="9"/>
      <c r="N3037" s="9"/>
      <c r="O3037" s="9"/>
      <c r="P3037" s="9"/>
      <c r="Q3037" s="9"/>
      <c r="R3037" s="9"/>
      <c r="S3037" s="42"/>
      <c r="T3037" s="42"/>
      <c r="U3037" s="42"/>
      <c r="V3037" s="42"/>
      <c r="W3037" s="42"/>
      <c r="X3037" s="42"/>
      <c r="Y3037" s="42"/>
      <c r="Z3037" s="42"/>
      <c r="AA3037" s="42"/>
      <c r="AB3037" s="42" t="str">
        <f>IFERROR(__xludf.DUMMYFUNCTION("""COMPUTED_VALUE"""),"allen institute")</f>
        <v>allen institute</v>
      </c>
      <c r="AC3037" s="42" t="str">
        <f>IFERROR(__xludf.DUMMYFUNCTION("""COMPUTED_VALUE"""),"DHBA")</f>
        <v>DHBA</v>
      </c>
      <c r="AD3037" s="42"/>
      <c r="AE3037" s="42"/>
      <c r="AF3037" s="9"/>
      <c r="AG3037" s="9"/>
      <c r="AH3037" s="42"/>
      <c r="AI3037" s="42"/>
      <c r="AJ3037" s="42"/>
      <c r="AK3037" s="42"/>
      <c r="AL3037" s="42"/>
      <c r="AM3037" s="42"/>
      <c r="AN3037" s="42"/>
      <c r="AO3037" s="63" t="str">
        <f>IFERROR(__xludf.DUMMYFUNCTION("IF(ISBLANK(A3037),,IF(ISBLANK(S3037), A3037&amp;"";"", TEXTJOIN(CHAR(10), TRUE, A3037&amp;"";"", ARRAYFORMULA(VLOOKUP(SPLIT(S3037, "";"" &amp; CHAR(10)), $A:$AO, 41, FALSE)))))"),"10N;")</f>
        <v>10N;</v>
      </c>
      <c r="AP3037" s="89"/>
    </row>
    <row r="3038">
      <c r="A3038" s="151" t="str">
        <f>IFERROR(__xludf.DUMMYFUNCTION("""COMPUTED_VALUE"""),"10CaI")</f>
        <v>10CaI</v>
      </c>
      <c r="B3038" s="42" t="str">
        <f>IFERROR(__xludf.DUMMYFUNCTION("""COMPUTED_VALUE"""),"DHBA")</f>
        <v>DHBA</v>
      </c>
      <c r="C3038" s="42" t="str">
        <f>IFERROR(__xludf.DUMMYFUNCTION("""COMPUTED_VALUE"""),"dorsal motor nucleus of vagus, caudointermediate part")</f>
        <v>dorsal motor nucleus of vagus, caudointermediate part</v>
      </c>
      <c r="D3038" s="42">
        <f>IFERROR(__xludf.DUMMYFUNCTION("""COMPUTED_VALUE"""),2897.0)</f>
        <v>2897</v>
      </c>
      <c r="E3038" s="39" t="str">
        <f>IFERROR(__xludf.DUMMYFUNCTION("""COMPUTED_VALUE"""),"dorsal motor nucleus of vagus, caudointermediate part")</f>
        <v>dorsal motor nucleus of vagus, caudointermediate part</v>
      </c>
      <c r="F3038" s="9" t="str">
        <f>IFERROR(__xludf.DUMMYFUNCTION("""COMPUTED_VALUE"""),"Br")</f>
        <v>Br</v>
      </c>
      <c r="G3038" s="9" t="str">
        <f>IFERROR(__xludf.DUMMYFUNCTION("""COMPUTED_VALUE"""),"H")</f>
        <v>H</v>
      </c>
      <c r="H3038" s="9" t="str">
        <f>IFERROR(__xludf.DUMMYFUNCTION("""COMPUTED_VALUE"""),"HGM")</f>
        <v>HGM</v>
      </c>
      <c r="I3038" s="9" t="str">
        <f>IFERROR(__xludf.DUMMYFUNCTION("""COMPUTED_VALUE"""),"Mo")</f>
        <v>Mo</v>
      </c>
      <c r="J3038" s="9" t="str">
        <f>IFERROR(__xludf.DUMMYFUNCTION("""COMPUTED_VALUE"""),"MoTg")</f>
        <v>MoTg</v>
      </c>
      <c r="K3038" s="9" t="str">
        <f>IFERROR(__xludf.DUMMYFUNCTION("""COMPUTED_VALUE"""),"MoEN")</f>
        <v>MoEN</v>
      </c>
      <c r="L3038" s="9" t="str">
        <f>IFERROR(__xludf.DUMMYFUNCTION("""COMPUTED_VALUE"""),"10N")</f>
        <v>10N</v>
      </c>
      <c r="M3038" s="9" t="str">
        <f>IFERROR(__xludf.DUMMYFUNCTION("""COMPUTED_VALUE"""),"10CaI")</f>
        <v>10CaI</v>
      </c>
      <c r="N3038" s="9"/>
      <c r="O3038" s="9"/>
      <c r="P3038" s="9"/>
      <c r="Q3038" s="9"/>
      <c r="R3038" s="9"/>
      <c r="S3038" s="42"/>
      <c r="T3038" s="42"/>
      <c r="U3038" s="159"/>
      <c r="V3038" s="42"/>
      <c r="W3038" s="42"/>
      <c r="X3038" s="42"/>
      <c r="Y3038" s="42"/>
      <c r="Z3038" s="42"/>
      <c r="AA3038" s="42"/>
      <c r="AB3038" s="42" t="str">
        <f>IFERROR(__xludf.DUMMYFUNCTION("""COMPUTED_VALUE"""),"allen institute")</f>
        <v>allen institute</v>
      </c>
      <c r="AC3038" s="42" t="str">
        <f>IFERROR(__xludf.DUMMYFUNCTION("""COMPUTED_VALUE"""),"DHBA")</f>
        <v>DHBA</v>
      </c>
      <c r="AD3038" s="42"/>
      <c r="AE3038" s="42"/>
      <c r="AF3038" s="9"/>
      <c r="AG3038" s="9"/>
      <c r="AH3038" s="42"/>
      <c r="AI3038" s="42"/>
      <c r="AJ3038" s="42"/>
      <c r="AK3038" s="42"/>
      <c r="AL3038" s="42"/>
      <c r="AM3038" s="42"/>
      <c r="AN3038" s="42"/>
      <c r="AO3038" s="63" t="str">
        <f>IFERROR(__xludf.DUMMYFUNCTION("IF(ISBLANK(A3038),,IF(ISBLANK(S3038), A3038&amp;"";"", TEXTJOIN(CHAR(10), TRUE, A3038&amp;"";"", ARRAYFORMULA(VLOOKUP(SPLIT(S3038, "";"" &amp; CHAR(10)), $A:$AO, 41, FALSE)))))"),"10CaI;")</f>
        <v>10CaI;</v>
      </c>
      <c r="AP3038" s="89"/>
    </row>
    <row r="3039">
      <c r="A3039" s="151" t="str">
        <f>IFERROR(__xludf.DUMMYFUNCTION("""COMPUTED_VALUE"""),"10CeI")</f>
        <v>10CeI</v>
      </c>
      <c r="B3039" s="42" t="str">
        <f>IFERROR(__xludf.DUMMYFUNCTION("""COMPUTED_VALUE"""),"DHBA")</f>
        <v>DHBA</v>
      </c>
      <c r="C3039" s="42" t="str">
        <f>IFERROR(__xludf.DUMMYFUNCTION("""COMPUTED_VALUE"""),"dorsal motor nucleus of vagus, centrointermediate part")</f>
        <v>dorsal motor nucleus of vagus, centrointermediate part</v>
      </c>
      <c r="D3039" s="42">
        <f>IFERROR(__xludf.DUMMYFUNCTION("""COMPUTED_VALUE"""),2898.0)</f>
        <v>2898</v>
      </c>
      <c r="E3039" s="39" t="str">
        <f>IFERROR(__xludf.DUMMYFUNCTION("""COMPUTED_VALUE"""),"dorsal motor nucleus of vagus, centrointermediate part")</f>
        <v>dorsal motor nucleus of vagus, centrointermediate part</v>
      </c>
      <c r="F3039" s="9" t="str">
        <f>IFERROR(__xludf.DUMMYFUNCTION("""COMPUTED_VALUE"""),"Br")</f>
        <v>Br</v>
      </c>
      <c r="G3039" s="9" t="str">
        <f>IFERROR(__xludf.DUMMYFUNCTION("""COMPUTED_VALUE"""),"H")</f>
        <v>H</v>
      </c>
      <c r="H3039" s="9" t="str">
        <f>IFERROR(__xludf.DUMMYFUNCTION("""COMPUTED_VALUE"""),"HGM")</f>
        <v>HGM</v>
      </c>
      <c r="I3039" s="9" t="str">
        <f>IFERROR(__xludf.DUMMYFUNCTION("""COMPUTED_VALUE"""),"Mo")</f>
        <v>Mo</v>
      </c>
      <c r="J3039" s="9" t="str">
        <f>IFERROR(__xludf.DUMMYFUNCTION("""COMPUTED_VALUE"""),"MoTg")</f>
        <v>MoTg</v>
      </c>
      <c r="K3039" s="9" t="str">
        <f>IFERROR(__xludf.DUMMYFUNCTION("""COMPUTED_VALUE"""),"MoEN")</f>
        <v>MoEN</v>
      </c>
      <c r="L3039" s="9" t="str">
        <f>IFERROR(__xludf.DUMMYFUNCTION("""COMPUTED_VALUE"""),"10N")</f>
        <v>10N</v>
      </c>
      <c r="M3039" s="9" t="str">
        <f>IFERROR(__xludf.DUMMYFUNCTION("""COMPUTED_VALUE"""),"10CeI")</f>
        <v>10CeI</v>
      </c>
      <c r="N3039" s="9"/>
      <c r="O3039" s="9"/>
      <c r="P3039" s="9"/>
      <c r="Q3039" s="9"/>
      <c r="R3039" s="9"/>
      <c r="S3039" s="42"/>
      <c r="T3039" s="42"/>
      <c r="U3039" s="42"/>
      <c r="V3039" s="42"/>
      <c r="W3039" s="42"/>
      <c r="X3039" s="42"/>
      <c r="Y3039" s="42"/>
      <c r="Z3039" s="42"/>
      <c r="AA3039" s="42"/>
      <c r="AB3039" s="42" t="str">
        <f>IFERROR(__xludf.DUMMYFUNCTION("""COMPUTED_VALUE"""),"allen institute")</f>
        <v>allen institute</v>
      </c>
      <c r="AC3039" s="42" t="str">
        <f>IFERROR(__xludf.DUMMYFUNCTION("""COMPUTED_VALUE"""),"DHBA")</f>
        <v>DHBA</v>
      </c>
      <c r="AD3039" s="42"/>
      <c r="AE3039" s="42"/>
      <c r="AF3039" s="9"/>
      <c r="AG3039" s="9"/>
      <c r="AH3039" s="42"/>
      <c r="AI3039" s="42"/>
      <c r="AJ3039" s="42"/>
      <c r="AK3039" s="42"/>
      <c r="AL3039" s="42"/>
      <c r="AM3039" s="42"/>
      <c r="AN3039" s="42"/>
      <c r="AO3039" s="63" t="str">
        <f>IFERROR(__xludf.DUMMYFUNCTION("IF(ISBLANK(A3039),,IF(ISBLANK(S3039), A3039&amp;"";"", TEXTJOIN(CHAR(10), TRUE, A3039&amp;"";"", ARRAYFORMULA(VLOOKUP(SPLIT(S3039, "";"" &amp; CHAR(10)), $A:$AO, 41, FALSE)))))"),"10CeI;")</f>
        <v>10CeI;</v>
      </c>
      <c r="AP3039" s="89"/>
    </row>
    <row r="3040">
      <c r="A3040" s="151" t="str">
        <f>IFERROR(__xludf.DUMMYFUNCTION("""COMPUTED_VALUE"""),"10DI")</f>
        <v>10DI</v>
      </c>
      <c r="B3040" s="42" t="str">
        <f>IFERROR(__xludf.DUMMYFUNCTION("""COMPUTED_VALUE"""),"DHBA")</f>
        <v>DHBA</v>
      </c>
      <c r="C3040" s="42" t="str">
        <f>IFERROR(__xludf.DUMMYFUNCTION("""COMPUTED_VALUE"""),"dorsal motor nucleus of vagus, dorsointermediate part")</f>
        <v>dorsal motor nucleus of vagus, dorsointermediate part</v>
      </c>
      <c r="D3040" s="42">
        <f>IFERROR(__xludf.DUMMYFUNCTION("""COMPUTED_VALUE"""),2899.0)</f>
        <v>2899</v>
      </c>
      <c r="E3040" s="39" t="str">
        <f>IFERROR(__xludf.DUMMYFUNCTION("""COMPUTED_VALUE"""),"dorsal motor nucleus of vagus, dorsointermediate part")</f>
        <v>dorsal motor nucleus of vagus, dorsointermediate part</v>
      </c>
      <c r="F3040" s="9" t="str">
        <f>IFERROR(__xludf.DUMMYFUNCTION("""COMPUTED_VALUE"""),"Br")</f>
        <v>Br</v>
      </c>
      <c r="G3040" s="9" t="str">
        <f>IFERROR(__xludf.DUMMYFUNCTION("""COMPUTED_VALUE"""),"H")</f>
        <v>H</v>
      </c>
      <c r="H3040" s="9" t="str">
        <f>IFERROR(__xludf.DUMMYFUNCTION("""COMPUTED_VALUE"""),"HGM")</f>
        <v>HGM</v>
      </c>
      <c r="I3040" s="9" t="str">
        <f>IFERROR(__xludf.DUMMYFUNCTION("""COMPUTED_VALUE"""),"Mo")</f>
        <v>Mo</v>
      </c>
      <c r="J3040" s="9" t="str">
        <f>IFERROR(__xludf.DUMMYFUNCTION("""COMPUTED_VALUE"""),"MoTg")</f>
        <v>MoTg</v>
      </c>
      <c r="K3040" s="9" t="str">
        <f>IFERROR(__xludf.DUMMYFUNCTION("""COMPUTED_VALUE"""),"MoEN")</f>
        <v>MoEN</v>
      </c>
      <c r="L3040" s="9" t="str">
        <f>IFERROR(__xludf.DUMMYFUNCTION("""COMPUTED_VALUE"""),"10N")</f>
        <v>10N</v>
      </c>
      <c r="M3040" s="9" t="str">
        <f>IFERROR(__xludf.DUMMYFUNCTION("""COMPUTED_VALUE"""),"10DI")</f>
        <v>10DI</v>
      </c>
      <c r="N3040" s="9"/>
      <c r="O3040" s="9"/>
      <c r="P3040" s="9"/>
      <c r="Q3040" s="9"/>
      <c r="R3040" s="9"/>
      <c r="S3040" s="42"/>
      <c r="T3040" s="42"/>
      <c r="U3040" s="159"/>
      <c r="V3040" s="42"/>
      <c r="W3040" s="42"/>
      <c r="X3040" s="42"/>
      <c r="Y3040" s="42"/>
      <c r="Z3040" s="42"/>
      <c r="AA3040" s="42"/>
      <c r="AB3040" s="42" t="str">
        <f>IFERROR(__xludf.DUMMYFUNCTION("""COMPUTED_VALUE"""),"allen institute")</f>
        <v>allen institute</v>
      </c>
      <c r="AC3040" s="42" t="str">
        <f>IFERROR(__xludf.DUMMYFUNCTION("""COMPUTED_VALUE"""),"DHBA")</f>
        <v>DHBA</v>
      </c>
      <c r="AD3040" s="42"/>
      <c r="AE3040" s="42"/>
      <c r="AF3040" s="9"/>
      <c r="AG3040" s="9"/>
      <c r="AH3040" s="42"/>
      <c r="AI3040" s="42"/>
      <c r="AJ3040" s="42"/>
      <c r="AK3040" s="42"/>
      <c r="AL3040" s="42"/>
      <c r="AM3040" s="42"/>
      <c r="AN3040" s="42"/>
      <c r="AO3040" s="63" t="str">
        <f>IFERROR(__xludf.DUMMYFUNCTION("IF(ISBLANK(A3040),,IF(ISBLANK(S3040), A3040&amp;"";"", TEXTJOIN(CHAR(10), TRUE, A3040&amp;"";"", ARRAYFORMULA(VLOOKUP(SPLIT(S3040, "";"" &amp; CHAR(10)), $A:$AO, 41, FALSE)))))"),"10DI;")</f>
        <v>10DI;</v>
      </c>
      <c r="AP3040" s="89"/>
    </row>
    <row r="3041">
      <c r="A3041" s="151" t="str">
        <f>IFERROR(__xludf.DUMMYFUNCTION("""COMPUTED_VALUE"""),"10DR")</f>
        <v>10DR</v>
      </c>
      <c r="B3041" s="42" t="str">
        <f>IFERROR(__xludf.DUMMYFUNCTION("""COMPUTED_VALUE"""),"DHBA")</f>
        <v>DHBA</v>
      </c>
      <c r="C3041" s="42" t="str">
        <f>IFERROR(__xludf.DUMMYFUNCTION("""COMPUTED_VALUE"""),"dorsal motor nucleus of vagus, dorsorostral part")</f>
        <v>dorsal motor nucleus of vagus, dorsorostral part</v>
      </c>
      <c r="D3041" s="42">
        <f>IFERROR(__xludf.DUMMYFUNCTION("""COMPUTED_VALUE"""),2900.0)</f>
        <v>2900</v>
      </c>
      <c r="E3041" s="39" t="str">
        <f>IFERROR(__xludf.DUMMYFUNCTION("""COMPUTED_VALUE"""),"dorsal motor nucleus of vagus, dorsorostral part")</f>
        <v>dorsal motor nucleus of vagus, dorsorostral part</v>
      </c>
      <c r="F3041" s="9" t="str">
        <f>IFERROR(__xludf.DUMMYFUNCTION("""COMPUTED_VALUE"""),"Br")</f>
        <v>Br</v>
      </c>
      <c r="G3041" s="9" t="str">
        <f>IFERROR(__xludf.DUMMYFUNCTION("""COMPUTED_VALUE"""),"H")</f>
        <v>H</v>
      </c>
      <c r="H3041" s="9" t="str">
        <f>IFERROR(__xludf.DUMMYFUNCTION("""COMPUTED_VALUE"""),"HGM")</f>
        <v>HGM</v>
      </c>
      <c r="I3041" s="9" t="str">
        <f>IFERROR(__xludf.DUMMYFUNCTION("""COMPUTED_VALUE"""),"Mo")</f>
        <v>Mo</v>
      </c>
      <c r="J3041" s="9" t="str">
        <f>IFERROR(__xludf.DUMMYFUNCTION("""COMPUTED_VALUE"""),"MoTg")</f>
        <v>MoTg</v>
      </c>
      <c r="K3041" s="9" t="str">
        <f>IFERROR(__xludf.DUMMYFUNCTION("""COMPUTED_VALUE"""),"MoEN")</f>
        <v>MoEN</v>
      </c>
      <c r="L3041" s="9" t="str">
        <f>IFERROR(__xludf.DUMMYFUNCTION("""COMPUTED_VALUE"""),"10N")</f>
        <v>10N</v>
      </c>
      <c r="M3041" s="9" t="str">
        <f>IFERROR(__xludf.DUMMYFUNCTION("""COMPUTED_VALUE"""),"10DR")</f>
        <v>10DR</v>
      </c>
      <c r="N3041" s="9"/>
      <c r="O3041" s="9"/>
      <c r="P3041" s="9"/>
      <c r="Q3041" s="9"/>
      <c r="R3041" s="9"/>
      <c r="S3041" s="42"/>
      <c r="T3041" s="42"/>
      <c r="U3041" s="42"/>
      <c r="V3041" s="42"/>
      <c r="W3041" s="42"/>
      <c r="X3041" s="42"/>
      <c r="Y3041" s="42"/>
      <c r="Z3041" s="42"/>
      <c r="AA3041" s="42"/>
      <c r="AB3041" s="42" t="str">
        <f>IFERROR(__xludf.DUMMYFUNCTION("""COMPUTED_VALUE"""),"allen institute")</f>
        <v>allen institute</v>
      </c>
      <c r="AC3041" s="42" t="str">
        <f>IFERROR(__xludf.DUMMYFUNCTION("""COMPUTED_VALUE"""),"DHBA")</f>
        <v>DHBA</v>
      </c>
      <c r="AD3041" s="42"/>
      <c r="AE3041" s="42"/>
      <c r="AF3041" s="9"/>
      <c r="AG3041" s="9"/>
      <c r="AH3041" s="42"/>
      <c r="AI3041" s="42"/>
      <c r="AJ3041" s="42"/>
      <c r="AK3041" s="42"/>
      <c r="AL3041" s="42"/>
      <c r="AM3041" s="42"/>
      <c r="AN3041" s="42"/>
      <c r="AO3041" s="63" t="str">
        <f>IFERROR(__xludf.DUMMYFUNCTION("IF(ISBLANK(A3041),,IF(ISBLANK(S3041), A3041&amp;"";"", TEXTJOIN(CHAR(10), TRUE, A3041&amp;"";"", ARRAYFORMULA(VLOOKUP(SPLIT(S3041, "";"" &amp; CHAR(10)), $A:$AO, 41, FALSE)))))"),"10DR;")</f>
        <v>10DR;</v>
      </c>
      <c r="AP3041" s="89"/>
    </row>
    <row r="3042">
      <c r="A3042" s="151" t="str">
        <f>IFERROR(__xludf.DUMMYFUNCTION("""COMPUTED_VALUE"""),"10F")</f>
        <v>10F</v>
      </c>
      <c r="B3042" s="42" t="str">
        <f>IFERROR(__xludf.DUMMYFUNCTION("""COMPUTED_VALUE"""),"DHBA")</f>
        <v>DHBA</v>
      </c>
      <c r="C3042" s="42" t="str">
        <f>IFERROR(__xludf.DUMMYFUNCTION("""COMPUTED_VALUE"""),"dorsal motor nucleus of vagus, medial fringe")</f>
        <v>dorsal motor nucleus of vagus, medial fringe</v>
      </c>
      <c r="D3042" s="42">
        <f>IFERROR(__xludf.DUMMYFUNCTION("""COMPUTED_VALUE"""),2901.0)</f>
        <v>2901</v>
      </c>
      <c r="E3042" s="39" t="str">
        <f>IFERROR(__xludf.DUMMYFUNCTION("""COMPUTED_VALUE"""),"dorsal motor nucleus of vagus, medial fringe")</f>
        <v>dorsal motor nucleus of vagus, medial fringe</v>
      </c>
      <c r="F3042" s="9" t="str">
        <f>IFERROR(__xludf.DUMMYFUNCTION("""COMPUTED_VALUE"""),"Br")</f>
        <v>Br</v>
      </c>
      <c r="G3042" s="9" t="str">
        <f>IFERROR(__xludf.DUMMYFUNCTION("""COMPUTED_VALUE"""),"H")</f>
        <v>H</v>
      </c>
      <c r="H3042" s="9" t="str">
        <f>IFERROR(__xludf.DUMMYFUNCTION("""COMPUTED_VALUE"""),"HGM")</f>
        <v>HGM</v>
      </c>
      <c r="I3042" s="9" t="str">
        <f>IFERROR(__xludf.DUMMYFUNCTION("""COMPUTED_VALUE"""),"Mo")</f>
        <v>Mo</v>
      </c>
      <c r="J3042" s="9" t="str">
        <f>IFERROR(__xludf.DUMMYFUNCTION("""COMPUTED_VALUE"""),"MoTg")</f>
        <v>MoTg</v>
      </c>
      <c r="K3042" s="9" t="str">
        <f>IFERROR(__xludf.DUMMYFUNCTION("""COMPUTED_VALUE"""),"MoEN")</f>
        <v>MoEN</v>
      </c>
      <c r="L3042" s="9" t="str">
        <f>IFERROR(__xludf.DUMMYFUNCTION("""COMPUTED_VALUE"""),"10N")</f>
        <v>10N</v>
      </c>
      <c r="M3042" s="9" t="str">
        <f>IFERROR(__xludf.DUMMYFUNCTION("""COMPUTED_VALUE"""),"10F")</f>
        <v>10F</v>
      </c>
      <c r="N3042" s="9"/>
      <c r="O3042" s="9"/>
      <c r="P3042" s="9"/>
      <c r="Q3042" s="9"/>
      <c r="R3042" s="9"/>
      <c r="S3042" s="42"/>
      <c r="T3042" s="42"/>
      <c r="U3042" s="42"/>
      <c r="V3042" s="42"/>
      <c r="W3042" s="42"/>
      <c r="X3042" s="42"/>
      <c r="Y3042" s="42"/>
      <c r="Z3042" s="42"/>
      <c r="AA3042" s="42"/>
      <c r="AB3042" s="42" t="str">
        <f>IFERROR(__xludf.DUMMYFUNCTION("""COMPUTED_VALUE"""),"allen institute")</f>
        <v>allen institute</v>
      </c>
      <c r="AC3042" s="42" t="str">
        <f>IFERROR(__xludf.DUMMYFUNCTION("""COMPUTED_VALUE"""),"DHBA")</f>
        <v>DHBA</v>
      </c>
      <c r="AD3042" s="42"/>
      <c r="AE3042" s="42"/>
      <c r="AF3042" s="9"/>
      <c r="AG3042" s="9"/>
      <c r="AH3042" s="42"/>
      <c r="AI3042" s="42"/>
      <c r="AJ3042" s="42"/>
      <c r="AK3042" s="42"/>
      <c r="AL3042" s="42"/>
      <c r="AM3042" s="42"/>
      <c r="AN3042" s="42"/>
      <c r="AO3042" s="63" t="str">
        <f>IFERROR(__xludf.DUMMYFUNCTION("IF(ISBLANK(A3042),,IF(ISBLANK(S3042), A3042&amp;"";"", TEXTJOIN(CHAR(10), TRUE, A3042&amp;"";"", ARRAYFORMULA(VLOOKUP(SPLIT(S3042, "";"" &amp; CHAR(10)), $A:$AO, 41, FALSE)))))"),"10F;")</f>
        <v>10F;</v>
      </c>
      <c r="AP3042" s="89"/>
    </row>
    <row r="3043">
      <c r="A3043" s="151" t="str">
        <f>IFERROR(__xludf.DUMMYFUNCTION("""COMPUTED_VALUE"""),"10VI")</f>
        <v>10VI</v>
      </c>
      <c r="B3043" s="42" t="str">
        <f>IFERROR(__xludf.DUMMYFUNCTION("""COMPUTED_VALUE"""),"DHBA")</f>
        <v>DHBA</v>
      </c>
      <c r="C3043" s="42" t="str">
        <f>IFERROR(__xludf.DUMMYFUNCTION("""COMPUTED_VALUE"""),"dorsal motor nucleus of vagus, ventrointermediate part")</f>
        <v>dorsal motor nucleus of vagus, ventrointermediate part</v>
      </c>
      <c r="D3043" s="42">
        <f>IFERROR(__xludf.DUMMYFUNCTION("""COMPUTED_VALUE"""),2902.0)</f>
        <v>2902</v>
      </c>
      <c r="E3043" s="39" t="str">
        <f>IFERROR(__xludf.DUMMYFUNCTION("""COMPUTED_VALUE"""),"dorsal motor nucleus of vagus, ventrointermediate part")</f>
        <v>dorsal motor nucleus of vagus, ventrointermediate part</v>
      </c>
      <c r="F3043" s="9" t="str">
        <f>IFERROR(__xludf.DUMMYFUNCTION("""COMPUTED_VALUE"""),"Br")</f>
        <v>Br</v>
      </c>
      <c r="G3043" s="9" t="str">
        <f>IFERROR(__xludf.DUMMYFUNCTION("""COMPUTED_VALUE"""),"H")</f>
        <v>H</v>
      </c>
      <c r="H3043" s="9" t="str">
        <f>IFERROR(__xludf.DUMMYFUNCTION("""COMPUTED_VALUE"""),"HGM")</f>
        <v>HGM</v>
      </c>
      <c r="I3043" s="9" t="str">
        <f>IFERROR(__xludf.DUMMYFUNCTION("""COMPUTED_VALUE"""),"Mo")</f>
        <v>Mo</v>
      </c>
      <c r="J3043" s="9" t="str">
        <f>IFERROR(__xludf.DUMMYFUNCTION("""COMPUTED_VALUE"""),"MoTg")</f>
        <v>MoTg</v>
      </c>
      <c r="K3043" s="9" t="str">
        <f>IFERROR(__xludf.DUMMYFUNCTION("""COMPUTED_VALUE"""),"MoEN")</f>
        <v>MoEN</v>
      </c>
      <c r="L3043" s="9" t="str">
        <f>IFERROR(__xludf.DUMMYFUNCTION("""COMPUTED_VALUE"""),"10N")</f>
        <v>10N</v>
      </c>
      <c r="M3043" s="9" t="str">
        <f>IFERROR(__xludf.DUMMYFUNCTION("""COMPUTED_VALUE"""),"10VI")</f>
        <v>10VI</v>
      </c>
      <c r="N3043" s="9"/>
      <c r="O3043" s="9"/>
      <c r="P3043" s="9"/>
      <c r="Q3043" s="9"/>
      <c r="R3043" s="9"/>
      <c r="S3043" s="42"/>
      <c r="T3043" s="42"/>
      <c r="U3043" s="42"/>
      <c r="V3043" s="42"/>
      <c r="W3043" s="42"/>
      <c r="X3043" s="42"/>
      <c r="Y3043" s="42"/>
      <c r="Z3043" s="42"/>
      <c r="AA3043" s="42"/>
      <c r="AB3043" s="42" t="str">
        <f>IFERROR(__xludf.DUMMYFUNCTION("""COMPUTED_VALUE"""),"allen institute")</f>
        <v>allen institute</v>
      </c>
      <c r="AC3043" s="42" t="str">
        <f>IFERROR(__xludf.DUMMYFUNCTION("""COMPUTED_VALUE"""),"DHBA")</f>
        <v>DHBA</v>
      </c>
      <c r="AD3043" s="42"/>
      <c r="AE3043" s="42"/>
      <c r="AF3043" s="9"/>
      <c r="AG3043" s="9"/>
      <c r="AH3043" s="42"/>
      <c r="AI3043" s="42"/>
      <c r="AJ3043" s="42"/>
      <c r="AK3043" s="42"/>
      <c r="AL3043" s="42"/>
      <c r="AM3043" s="42"/>
      <c r="AN3043" s="42"/>
      <c r="AO3043" s="63" t="str">
        <f>IFERROR(__xludf.DUMMYFUNCTION("IF(ISBLANK(A3043),,IF(ISBLANK(S3043), A3043&amp;"";"", TEXTJOIN(CHAR(10), TRUE, A3043&amp;"";"", ARRAYFORMULA(VLOOKUP(SPLIT(S3043, "";"" &amp; CHAR(10)), $A:$AO, 41, FALSE)))))"),"10VI;")</f>
        <v>10VI;</v>
      </c>
      <c r="AP3043" s="89"/>
    </row>
    <row r="3044">
      <c r="A3044" s="151" t="str">
        <f>IFERROR(__xludf.DUMMYFUNCTION("""COMPUTED_VALUE"""),"10VR")</f>
        <v>10VR</v>
      </c>
      <c r="B3044" s="42" t="str">
        <f>IFERROR(__xludf.DUMMYFUNCTION("""COMPUTED_VALUE"""),"DHBA")</f>
        <v>DHBA</v>
      </c>
      <c r="C3044" s="42" t="str">
        <f>IFERROR(__xludf.DUMMYFUNCTION("""COMPUTED_VALUE"""),"dorsal motor nucleus of the vagus, ventrorostral part")</f>
        <v>dorsal motor nucleus of the vagus, ventrorostral part</v>
      </c>
      <c r="D3044" s="42">
        <f>IFERROR(__xludf.DUMMYFUNCTION("""COMPUTED_VALUE"""),2903.0)</f>
        <v>2903</v>
      </c>
      <c r="E3044" s="39" t="str">
        <f>IFERROR(__xludf.DUMMYFUNCTION("""COMPUTED_VALUE"""),"dorsal motor nucleus of the vagus, ventrorostral part")</f>
        <v>dorsal motor nucleus of the vagus, ventrorostral part</v>
      </c>
      <c r="F3044" s="9" t="str">
        <f>IFERROR(__xludf.DUMMYFUNCTION("""COMPUTED_VALUE"""),"Br")</f>
        <v>Br</v>
      </c>
      <c r="G3044" s="9" t="str">
        <f>IFERROR(__xludf.DUMMYFUNCTION("""COMPUTED_VALUE"""),"H")</f>
        <v>H</v>
      </c>
      <c r="H3044" s="9" t="str">
        <f>IFERROR(__xludf.DUMMYFUNCTION("""COMPUTED_VALUE"""),"HGM")</f>
        <v>HGM</v>
      </c>
      <c r="I3044" s="9" t="str">
        <f>IFERROR(__xludf.DUMMYFUNCTION("""COMPUTED_VALUE"""),"Mo")</f>
        <v>Mo</v>
      </c>
      <c r="J3044" s="9" t="str">
        <f>IFERROR(__xludf.DUMMYFUNCTION("""COMPUTED_VALUE"""),"MoTg")</f>
        <v>MoTg</v>
      </c>
      <c r="K3044" s="9" t="str">
        <f>IFERROR(__xludf.DUMMYFUNCTION("""COMPUTED_VALUE"""),"MoEN")</f>
        <v>MoEN</v>
      </c>
      <c r="L3044" s="9" t="str">
        <f>IFERROR(__xludf.DUMMYFUNCTION("""COMPUTED_VALUE"""),"10N")</f>
        <v>10N</v>
      </c>
      <c r="M3044" s="9" t="str">
        <f>IFERROR(__xludf.DUMMYFUNCTION("""COMPUTED_VALUE"""),"10VR")</f>
        <v>10VR</v>
      </c>
      <c r="N3044" s="9"/>
      <c r="O3044" s="9"/>
      <c r="P3044" s="9"/>
      <c r="Q3044" s="9"/>
      <c r="R3044" s="9"/>
      <c r="S3044" s="42"/>
      <c r="T3044" s="42"/>
      <c r="U3044" s="42"/>
      <c r="V3044" s="42"/>
      <c r="W3044" s="42"/>
      <c r="X3044" s="42"/>
      <c r="Y3044" s="42"/>
      <c r="Z3044" s="42"/>
      <c r="AA3044" s="42"/>
      <c r="AB3044" s="42" t="str">
        <f>IFERROR(__xludf.DUMMYFUNCTION("""COMPUTED_VALUE"""),"allen institute")</f>
        <v>allen institute</v>
      </c>
      <c r="AC3044" s="42" t="str">
        <f>IFERROR(__xludf.DUMMYFUNCTION("""COMPUTED_VALUE"""),"DHBA")</f>
        <v>DHBA</v>
      </c>
      <c r="AD3044" s="42"/>
      <c r="AE3044" s="42"/>
      <c r="AF3044" s="9"/>
      <c r="AG3044" s="9"/>
      <c r="AH3044" s="42"/>
      <c r="AI3044" s="42"/>
      <c r="AJ3044" s="42"/>
      <c r="AK3044" s="42"/>
      <c r="AL3044" s="42"/>
      <c r="AM3044" s="42"/>
      <c r="AN3044" s="42"/>
      <c r="AO3044" s="63" t="str">
        <f>IFERROR(__xludf.DUMMYFUNCTION("IF(ISBLANK(A3044),,IF(ISBLANK(S3044), A3044&amp;"";"", TEXTJOIN(CHAR(10), TRUE, A3044&amp;"";"", ARRAYFORMULA(VLOOKUP(SPLIT(S3044, "";"" &amp; CHAR(10)), $A:$AO, 41, FALSE)))))"),"10VR;")</f>
        <v>10VR;</v>
      </c>
      <c r="AP3044" s="89"/>
    </row>
    <row r="3045">
      <c r="A3045" s="151" t="str">
        <f>IFERROR(__xludf.DUMMYFUNCTION("""COMPUTED_VALUE"""),"MoAN")</f>
        <v>MoAN</v>
      </c>
      <c r="B3045" s="42" t="str">
        <f>IFERROR(__xludf.DUMMYFUNCTION("""COMPUTED_VALUE"""),"DHBA")</f>
        <v>DHBA</v>
      </c>
      <c r="C3045" s="42" t="str">
        <f>IFERROR(__xludf.DUMMYFUNCTION("""COMPUTED_VALUE"""),"afferent nuclei of cranial nerves in medulla oblongata")</f>
        <v>afferent nuclei of cranial nerves in medulla oblongata</v>
      </c>
      <c r="D3045" s="42">
        <f>IFERROR(__xludf.DUMMYFUNCTION("""COMPUTED_VALUE"""),2904.0)</f>
        <v>2904</v>
      </c>
      <c r="E3045" s="39" t="str">
        <f>IFERROR(__xludf.DUMMYFUNCTION("""COMPUTED_VALUE"""),"afferent nuclei of cranial nerves in medulla oblongata")</f>
        <v>afferent nuclei of cranial nerves in medulla oblongata</v>
      </c>
      <c r="F3045" s="9" t="str">
        <f>IFERROR(__xludf.DUMMYFUNCTION("""COMPUTED_VALUE"""),"Br")</f>
        <v>Br</v>
      </c>
      <c r="G3045" s="9" t="str">
        <f>IFERROR(__xludf.DUMMYFUNCTION("""COMPUTED_VALUE"""),"H")</f>
        <v>H</v>
      </c>
      <c r="H3045" s="9" t="str">
        <f>IFERROR(__xludf.DUMMYFUNCTION("""COMPUTED_VALUE"""),"HGM")</f>
        <v>HGM</v>
      </c>
      <c r="I3045" s="9" t="str">
        <f>IFERROR(__xludf.DUMMYFUNCTION("""COMPUTED_VALUE"""),"Mo")</f>
        <v>Mo</v>
      </c>
      <c r="J3045" s="9" t="str">
        <f>IFERROR(__xludf.DUMMYFUNCTION("""COMPUTED_VALUE"""),"MoTg")</f>
        <v>MoTg</v>
      </c>
      <c r="K3045" s="9" t="str">
        <f>IFERROR(__xludf.DUMMYFUNCTION("""COMPUTED_VALUE"""),"MoAN")</f>
        <v>MoAN</v>
      </c>
      <c r="L3045" s="9"/>
      <c r="M3045" s="9"/>
      <c r="N3045" s="9"/>
      <c r="O3045" s="9"/>
      <c r="P3045" s="9"/>
      <c r="Q3045" s="9"/>
      <c r="R3045" s="9"/>
      <c r="S3045" s="42" t="str">
        <f>IFERROR(__xludf.DUMMYFUNCTION("""COMPUTED_VALUE"""),"Sol;
Sp5;
_8Ve")</f>
        <v>Sol;
Sp5;
_8Ve</v>
      </c>
      <c r="T3045" s="42"/>
      <c r="U3045" s="42" t="b">
        <f>IFERROR(__xludf.DUMMYFUNCTION("""COMPUTED_VALUE"""),FALSE)</f>
        <v>0</v>
      </c>
      <c r="V3045" s="42"/>
      <c r="W3045" s="42"/>
      <c r="X3045" s="42"/>
      <c r="Y3045" s="42"/>
      <c r="Z3045" s="42"/>
      <c r="AA3045" s="42"/>
      <c r="AB3045" s="42" t="str">
        <f>IFERROR(__xludf.DUMMYFUNCTION("""COMPUTED_VALUE"""),"allen institute")</f>
        <v>allen institute</v>
      </c>
      <c r="AC3045" s="42" t="str">
        <f>IFERROR(__xludf.DUMMYFUNCTION("""COMPUTED_VALUE"""),"DHBA")</f>
        <v>DHBA</v>
      </c>
      <c r="AD3045" s="42"/>
      <c r="AE3045" s="42"/>
      <c r="AF3045" s="9"/>
      <c r="AG3045" s="9"/>
      <c r="AH3045" s="42"/>
      <c r="AI3045" s="42"/>
      <c r="AJ3045" s="42"/>
      <c r="AK3045" s="42"/>
      <c r="AL3045" s="42"/>
      <c r="AM3045" s="42"/>
      <c r="AN3045" s="42"/>
      <c r="AO3045" s="63" t="str">
        <f>IFERROR(__xludf.DUMMYFUNCTION("IF(ISBLANK(A3045),,IF(ISBLANK(S3045), A3045&amp;"";"", TEXTJOIN(CHAR(10), TRUE, A3045&amp;"";"", ARRAYFORMULA(VLOOKUP(SPLIT(S3045, "";"" &amp; CHAR(10)), $A:$AO, 41, FALSE)))))"),"#N/A")</f>
        <v>#N/A</v>
      </c>
      <c r="AP3045" s="89"/>
    </row>
    <row r="3046">
      <c r="A3046" s="151" t="str">
        <f>IFERROR(__xludf.DUMMYFUNCTION("""COMPUTED_VALUE"""),"Sol")</f>
        <v>Sol</v>
      </c>
      <c r="B3046" s="42" t="str">
        <f>IFERROR(__xludf.DUMMYFUNCTION("""COMPUTED_VALUE"""),"DHBA")</f>
        <v>DHBA</v>
      </c>
      <c r="C3046" s="42" t="str">
        <f>IFERROR(__xludf.DUMMYFUNCTION("""COMPUTED_VALUE"""),"solitary nucleus")</f>
        <v>solitary nucleus</v>
      </c>
      <c r="D3046" s="42">
        <f>IFERROR(__xludf.DUMMYFUNCTION("""COMPUTED_VALUE"""),2905.0)</f>
        <v>2905</v>
      </c>
      <c r="E3046" s="39" t="str">
        <f>IFERROR(__xludf.DUMMYFUNCTION("""COMPUTED_VALUE"""),"solitary nucleus")</f>
        <v>solitary nucleus</v>
      </c>
      <c r="F3046" s="9" t="str">
        <f>IFERROR(__xludf.DUMMYFUNCTION("""COMPUTED_VALUE"""),"Br")</f>
        <v>Br</v>
      </c>
      <c r="G3046" s="9" t="str">
        <f>IFERROR(__xludf.DUMMYFUNCTION("""COMPUTED_VALUE"""),"H")</f>
        <v>H</v>
      </c>
      <c r="H3046" s="9" t="str">
        <f>IFERROR(__xludf.DUMMYFUNCTION("""COMPUTED_VALUE"""),"HGM")</f>
        <v>HGM</v>
      </c>
      <c r="I3046" s="9" t="str">
        <f>IFERROR(__xludf.DUMMYFUNCTION("""COMPUTED_VALUE"""),"Mo")</f>
        <v>Mo</v>
      </c>
      <c r="J3046" s="9" t="str">
        <f>IFERROR(__xludf.DUMMYFUNCTION("""COMPUTED_VALUE"""),"MoTg")</f>
        <v>MoTg</v>
      </c>
      <c r="K3046" s="9" t="str">
        <f>IFERROR(__xludf.DUMMYFUNCTION("""COMPUTED_VALUE"""),"MoAN")</f>
        <v>MoAN</v>
      </c>
      <c r="L3046" s="9" t="str">
        <f>IFERROR(__xludf.DUMMYFUNCTION("""COMPUTED_VALUE"""),"Sol")</f>
        <v>Sol</v>
      </c>
      <c r="M3046" s="9"/>
      <c r="N3046" s="9"/>
      <c r="O3046" s="9"/>
      <c r="P3046" s="9"/>
      <c r="Q3046" s="9"/>
      <c r="R3046" s="9"/>
      <c r="S3046" s="42" t="str">
        <f>IFERROR(__xludf.DUMMYFUNCTION("""COMPUTED_VALUE"""),"SolC;
SolD;
SolDL;
SolG;
SolIM;
SolI;
SolM;
SolPaC;
SolV;
SolVL;
SSol;
PSol")</f>
        <v>SolC;
SolD;
SolDL;
SolG;
SolIM;
SolI;
SolM;
SolPaC;
SolV;
SolVL;
SSol;
PSol</v>
      </c>
      <c r="T3046" s="42"/>
      <c r="U3046" s="42" t="b">
        <f>IFERROR(__xludf.DUMMYFUNCTION("""COMPUTED_VALUE"""),FALSE)</f>
        <v>0</v>
      </c>
      <c r="V3046" s="42"/>
      <c r="W3046" s="42"/>
      <c r="X3046" s="42"/>
      <c r="Y3046" s="42"/>
      <c r="Z3046" s="42"/>
      <c r="AA3046" s="42"/>
      <c r="AB3046" s="42" t="str">
        <f>IFERROR(__xludf.DUMMYFUNCTION("""COMPUTED_VALUE"""),"allen institute")</f>
        <v>allen institute</v>
      </c>
      <c r="AC3046" s="42" t="str">
        <f>IFERROR(__xludf.DUMMYFUNCTION("""COMPUTED_VALUE"""),"DHBA")</f>
        <v>DHBA</v>
      </c>
      <c r="AD3046" s="42"/>
      <c r="AE3046" s="42"/>
      <c r="AF3046" s="9"/>
      <c r="AG3046" s="9"/>
      <c r="AH3046" s="42"/>
      <c r="AI3046" s="42"/>
      <c r="AJ3046" s="42"/>
      <c r="AK3046" s="42"/>
      <c r="AL3046" s="42"/>
      <c r="AM3046" s="42"/>
      <c r="AN3046" s="42"/>
      <c r="AO3046" s="63" t="str">
        <f>IFERROR(__xludf.DUMMYFUNCTION("IF(ISBLANK(A3046),,IF(ISBLANK(S3046), A3046&amp;"";"", TEXTJOIN(CHAR(10), TRUE, A3046&amp;"";"", ARRAYFORMULA(VLOOKUP(SPLIT(S3046, "";"" &amp; CHAR(10)), $A:$AO, 41, FALSE)))))"),"Sol;
SolC;
SolD;
SolDL;
SolG;
SolIM;
SolI;
SolIc;
SolIr;
SolM;
SolPaC;
SolV;
SolVL;
SSol;
PSol;")</f>
        <v>Sol;
SolC;
SolD;
SolDL;
SolG;
SolIM;
SolI;
SolIc;
SolIr;
SolM;
SolPaC;
SolV;
SolVL;
SSol;
PSol;</v>
      </c>
      <c r="AP3046" s="89"/>
    </row>
    <row r="3047">
      <c r="A3047" s="151" t="str">
        <f>IFERROR(__xludf.DUMMYFUNCTION("""COMPUTED_VALUE"""),"SolC")</f>
        <v>SolC</v>
      </c>
      <c r="B3047" s="42" t="str">
        <f>IFERROR(__xludf.DUMMYFUNCTION("""COMPUTED_VALUE"""),"DHBA")</f>
        <v>DHBA</v>
      </c>
      <c r="C3047" s="42" t="str">
        <f>IFERROR(__xludf.DUMMYFUNCTION("""COMPUTED_VALUE"""),"solitary nucleus, commissural part")</f>
        <v>solitary nucleus, commissural part</v>
      </c>
      <c r="D3047" s="42">
        <f>IFERROR(__xludf.DUMMYFUNCTION("""COMPUTED_VALUE"""),2906.0)</f>
        <v>2906</v>
      </c>
      <c r="E3047" s="39" t="str">
        <f>IFERROR(__xludf.DUMMYFUNCTION("""COMPUTED_VALUE"""),"solitary nucleus, commissural part")</f>
        <v>solitary nucleus, commissural part</v>
      </c>
      <c r="F3047" s="9" t="str">
        <f>IFERROR(__xludf.DUMMYFUNCTION("""COMPUTED_VALUE"""),"Br")</f>
        <v>Br</v>
      </c>
      <c r="G3047" s="9" t="str">
        <f>IFERROR(__xludf.DUMMYFUNCTION("""COMPUTED_VALUE"""),"H")</f>
        <v>H</v>
      </c>
      <c r="H3047" s="9" t="str">
        <f>IFERROR(__xludf.DUMMYFUNCTION("""COMPUTED_VALUE"""),"HGM")</f>
        <v>HGM</v>
      </c>
      <c r="I3047" s="9" t="str">
        <f>IFERROR(__xludf.DUMMYFUNCTION("""COMPUTED_VALUE"""),"Mo")</f>
        <v>Mo</v>
      </c>
      <c r="J3047" s="9" t="str">
        <f>IFERROR(__xludf.DUMMYFUNCTION("""COMPUTED_VALUE"""),"MoTg")</f>
        <v>MoTg</v>
      </c>
      <c r="K3047" s="9" t="str">
        <f>IFERROR(__xludf.DUMMYFUNCTION("""COMPUTED_VALUE"""),"MoAN")</f>
        <v>MoAN</v>
      </c>
      <c r="L3047" s="9" t="str">
        <f>IFERROR(__xludf.DUMMYFUNCTION("""COMPUTED_VALUE"""),"Sol")</f>
        <v>Sol</v>
      </c>
      <c r="M3047" s="9" t="str">
        <f>IFERROR(__xludf.DUMMYFUNCTION("""COMPUTED_VALUE"""),"SolC")</f>
        <v>SolC</v>
      </c>
      <c r="N3047" s="9"/>
      <c r="O3047" s="9"/>
      <c r="P3047" s="9"/>
      <c r="Q3047" s="9"/>
      <c r="R3047" s="9"/>
      <c r="S3047" s="42"/>
      <c r="T3047" s="42"/>
      <c r="U3047" s="42"/>
      <c r="V3047" s="42"/>
      <c r="W3047" s="42"/>
      <c r="X3047" s="42"/>
      <c r="Y3047" s="42"/>
      <c r="Z3047" s="42"/>
      <c r="AA3047" s="42"/>
      <c r="AB3047" s="42" t="str">
        <f>IFERROR(__xludf.DUMMYFUNCTION("""COMPUTED_VALUE"""),"allen institute")</f>
        <v>allen institute</v>
      </c>
      <c r="AC3047" s="42" t="str">
        <f>IFERROR(__xludf.DUMMYFUNCTION("""COMPUTED_VALUE"""),"DHBA")</f>
        <v>DHBA</v>
      </c>
      <c r="AD3047" s="42"/>
      <c r="AE3047" s="42"/>
      <c r="AF3047" s="9"/>
      <c r="AG3047" s="9"/>
      <c r="AH3047" s="42"/>
      <c r="AI3047" s="42"/>
      <c r="AJ3047" s="42"/>
      <c r="AK3047" s="42"/>
      <c r="AL3047" s="42"/>
      <c r="AM3047" s="42"/>
      <c r="AN3047" s="42"/>
      <c r="AO3047" s="63" t="str">
        <f>IFERROR(__xludf.DUMMYFUNCTION("IF(ISBLANK(A3047),,IF(ISBLANK(S3047), A3047&amp;"";"", TEXTJOIN(CHAR(10), TRUE, A3047&amp;"";"", ARRAYFORMULA(VLOOKUP(SPLIT(S3047, "";"" &amp; CHAR(10)), $A:$AO, 41, FALSE)))))"),"SolC;")</f>
        <v>SolC;</v>
      </c>
      <c r="AP3047" s="89"/>
    </row>
    <row r="3048">
      <c r="A3048" s="151" t="str">
        <f>IFERROR(__xludf.DUMMYFUNCTION("""COMPUTED_VALUE"""),"SolD")</f>
        <v>SolD</v>
      </c>
      <c r="B3048" s="42" t="str">
        <f>IFERROR(__xludf.DUMMYFUNCTION("""COMPUTED_VALUE"""),"DHBA")</f>
        <v>DHBA</v>
      </c>
      <c r="C3048" s="42" t="str">
        <f>IFERROR(__xludf.DUMMYFUNCTION("""COMPUTED_VALUE"""),"solitary nucleus, dorsal part")</f>
        <v>solitary nucleus, dorsal part</v>
      </c>
      <c r="D3048" s="42">
        <f>IFERROR(__xludf.DUMMYFUNCTION("""COMPUTED_VALUE"""),2907.0)</f>
        <v>2907</v>
      </c>
      <c r="E3048" s="39" t="str">
        <f>IFERROR(__xludf.DUMMYFUNCTION("""COMPUTED_VALUE"""),"solitary nucleus, dorsal part")</f>
        <v>solitary nucleus, dorsal part</v>
      </c>
      <c r="F3048" s="9" t="str">
        <f>IFERROR(__xludf.DUMMYFUNCTION("""COMPUTED_VALUE"""),"Br")</f>
        <v>Br</v>
      </c>
      <c r="G3048" s="9" t="str">
        <f>IFERROR(__xludf.DUMMYFUNCTION("""COMPUTED_VALUE"""),"H")</f>
        <v>H</v>
      </c>
      <c r="H3048" s="9" t="str">
        <f>IFERROR(__xludf.DUMMYFUNCTION("""COMPUTED_VALUE"""),"HGM")</f>
        <v>HGM</v>
      </c>
      <c r="I3048" s="9" t="str">
        <f>IFERROR(__xludf.DUMMYFUNCTION("""COMPUTED_VALUE"""),"Mo")</f>
        <v>Mo</v>
      </c>
      <c r="J3048" s="9" t="str">
        <f>IFERROR(__xludf.DUMMYFUNCTION("""COMPUTED_VALUE"""),"MoTg")</f>
        <v>MoTg</v>
      </c>
      <c r="K3048" s="9" t="str">
        <f>IFERROR(__xludf.DUMMYFUNCTION("""COMPUTED_VALUE"""),"MoAN")</f>
        <v>MoAN</v>
      </c>
      <c r="L3048" s="9" t="str">
        <f>IFERROR(__xludf.DUMMYFUNCTION("""COMPUTED_VALUE"""),"Sol")</f>
        <v>Sol</v>
      </c>
      <c r="M3048" s="9" t="str">
        <f>IFERROR(__xludf.DUMMYFUNCTION("""COMPUTED_VALUE"""),"SolD")</f>
        <v>SolD</v>
      </c>
      <c r="N3048" s="9"/>
      <c r="O3048" s="9"/>
      <c r="P3048" s="9"/>
      <c r="Q3048" s="9"/>
      <c r="R3048" s="9"/>
      <c r="S3048" s="42"/>
      <c r="T3048" s="42"/>
      <c r="U3048" s="159"/>
      <c r="V3048" s="42"/>
      <c r="W3048" s="42"/>
      <c r="X3048" s="42"/>
      <c r="Y3048" s="42"/>
      <c r="Z3048" s="42"/>
      <c r="AA3048" s="42"/>
      <c r="AB3048" s="42" t="str">
        <f>IFERROR(__xludf.DUMMYFUNCTION("""COMPUTED_VALUE"""),"allen institute")</f>
        <v>allen institute</v>
      </c>
      <c r="AC3048" s="42" t="str">
        <f>IFERROR(__xludf.DUMMYFUNCTION("""COMPUTED_VALUE"""),"DHBA")</f>
        <v>DHBA</v>
      </c>
      <c r="AD3048" s="42"/>
      <c r="AE3048" s="42"/>
      <c r="AF3048" s="9"/>
      <c r="AG3048" s="9"/>
      <c r="AH3048" s="42"/>
      <c r="AI3048" s="42"/>
      <c r="AJ3048" s="42"/>
      <c r="AK3048" s="42"/>
      <c r="AL3048" s="42"/>
      <c r="AM3048" s="42"/>
      <c r="AN3048" s="42"/>
      <c r="AO3048" s="63" t="str">
        <f>IFERROR(__xludf.DUMMYFUNCTION("IF(ISBLANK(A3048),,IF(ISBLANK(S3048), A3048&amp;"";"", TEXTJOIN(CHAR(10), TRUE, A3048&amp;"";"", ARRAYFORMULA(VLOOKUP(SPLIT(S3048, "";"" &amp; CHAR(10)), $A:$AO, 41, FALSE)))))"),"SolD;")</f>
        <v>SolD;</v>
      </c>
      <c r="AP3048" s="89"/>
    </row>
    <row r="3049">
      <c r="A3049" s="151" t="str">
        <f>IFERROR(__xludf.DUMMYFUNCTION("""COMPUTED_VALUE"""),"SolDL")</f>
        <v>SolDL</v>
      </c>
      <c r="B3049" s="42" t="str">
        <f>IFERROR(__xludf.DUMMYFUNCTION("""COMPUTED_VALUE"""),"DHBA")</f>
        <v>DHBA</v>
      </c>
      <c r="C3049" s="42" t="str">
        <f>IFERROR(__xludf.DUMMYFUNCTION("""COMPUTED_VALUE"""),"solitary nucleus, dorsolateral part")</f>
        <v>solitary nucleus, dorsolateral part</v>
      </c>
      <c r="D3049" s="42">
        <f>IFERROR(__xludf.DUMMYFUNCTION("""COMPUTED_VALUE"""),2908.0)</f>
        <v>2908</v>
      </c>
      <c r="E3049" s="39" t="str">
        <f>IFERROR(__xludf.DUMMYFUNCTION("""COMPUTED_VALUE"""),"solitary nucleus, dorsolateral part")</f>
        <v>solitary nucleus, dorsolateral part</v>
      </c>
      <c r="F3049" s="9" t="str">
        <f>IFERROR(__xludf.DUMMYFUNCTION("""COMPUTED_VALUE"""),"Br")</f>
        <v>Br</v>
      </c>
      <c r="G3049" s="9" t="str">
        <f>IFERROR(__xludf.DUMMYFUNCTION("""COMPUTED_VALUE"""),"H")</f>
        <v>H</v>
      </c>
      <c r="H3049" s="9" t="str">
        <f>IFERROR(__xludf.DUMMYFUNCTION("""COMPUTED_VALUE"""),"HGM")</f>
        <v>HGM</v>
      </c>
      <c r="I3049" s="9" t="str">
        <f>IFERROR(__xludf.DUMMYFUNCTION("""COMPUTED_VALUE"""),"Mo")</f>
        <v>Mo</v>
      </c>
      <c r="J3049" s="9" t="str">
        <f>IFERROR(__xludf.DUMMYFUNCTION("""COMPUTED_VALUE"""),"MoTg")</f>
        <v>MoTg</v>
      </c>
      <c r="K3049" s="9" t="str">
        <f>IFERROR(__xludf.DUMMYFUNCTION("""COMPUTED_VALUE"""),"MoAN")</f>
        <v>MoAN</v>
      </c>
      <c r="L3049" s="9" t="str">
        <f>IFERROR(__xludf.DUMMYFUNCTION("""COMPUTED_VALUE"""),"Sol")</f>
        <v>Sol</v>
      </c>
      <c r="M3049" s="9" t="str">
        <f>IFERROR(__xludf.DUMMYFUNCTION("""COMPUTED_VALUE"""),"SolDL")</f>
        <v>SolDL</v>
      </c>
      <c r="N3049" s="9"/>
      <c r="O3049" s="9"/>
      <c r="P3049" s="9"/>
      <c r="Q3049" s="9"/>
      <c r="R3049" s="9"/>
      <c r="S3049" s="42"/>
      <c r="T3049" s="42"/>
      <c r="U3049" s="159"/>
      <c r="V3049" s="42"/>
      <c r="W3049" s="42"/>
      <c r="X3049" s="42"/>
      <c r="Y3049" s="42"/>
      <c r="Z3049" s="42"/>
      <c r="AA3049" s="42"/>
      <c r="AB3049" s="42" t="str">
        <f>IFERROR(__xludf.DUMMYFUNCTION("""COMPUTED_VALUE"""),"allen institute")</f>
        <v>allen institute</v>
      </c>
      <c r="AC3049" s="42" t="str">
        <f>IFERROR(__xludf.DUMMYFUNCTION("""COMPUTED_VALUE"""),"DHBA")</f>
        <v>DHBA</v>
      </c>
      <c r="AD3049" s="42"/>
      <c r="AE3049" s="42"/>
      <c r="AF3049" s="9"/>
      <c r="AG3049" s="9"/>
      <c r="AH3049" s="42"/>
      <c r="AI3049" s="42"/>
      <c r="AJ3049" s="42"/>
      <c r="AK3049" s="42"/>
      <c r="AL3049" s="42"/>
      <c r="AM3049" s="42"/>
      <c r="AN3049" s="42"/>
      <c r="AO3049" s="63" t="str">
        <f>IFERROR(__xludf.DUMMYFUNCTION("IF(ISBLANK(A3049),,IF(ISBLANK(S3049), A3049&amp;"";"", TEXTJOIN(CHAR(10), TRUE, A3049&amp;"";"", ARRAYFORMULA(VLOOKUP(SPLIT(S3049, "";"" &amp; CHAR(10)), $A:$AO, 41, FALSE)))))"),"SolDL;")</f>
        <v>SolDL;</v>
      </c>
      <c r="AP3049" s="89"/>
    </row>
    <row r="3050">
      <c r="A3050" s="151" t="str">
        <f>IFERROR(__xludf.DUMMYFUNCTION("""COMPUTED_VALUE"""),"SolG")</f>
        <v>SolG</v>
      </c>
      <c r="B3050" s="42" t="str">
        <f>IFERROR(__xludf.DUMMYFUNCTION("""COMPUTED_VALUE"""),"DHBA")</f>
        <v>DHBA</v>
      </c>
      <c r="C3050" s="42" t="str">
        <f>IFERROR(__xludf.DUMMYFUNCTION("""COMPUTED_VALUE"""),"solitary nucleus, gelatinous part")</f>
        <v>solitary nucleus, gelatinous part</v>
      </c>
      <c r="D3050" s="42">
        <f>IFERROR(__xludf.DUMMYFUNCTION("""COMPUTED_VALUE"""),2909.0)</f>
        <v>2909</v>
      </c>
      <c r="E3050" s="39" t="str">
        <f>IFERROR(__xludf.DUMMYFUNCTION("""COMPUTED_VALUE"""),"solitary nucleus, gelatinous part")</f>
        <v>solitary nucleus, gelatinous part</v>
      </c>
      <c r="F3050" s="9" t="str">
        <f>IFERROR(__xludf.DUMMYFUNCTION("""COMPUTED_VALUE"""),"Br")</f>
        <v>Br</v>
      </c>
      <c r="G3050" s="9" t="str">
        <f>IFERROR(__xludf.DUMMYFUNCTION("""COMPUTED_VALUE"""),"H")</f>
        <v>H</v>
      </c>
      <c r="H3050" s="9" t="str">
        <f>IFERROR(__xludf.DUMMYFUNCTION("""COMPUTED_VALUE"""),"HGM")</f>
        <v>HGM</v>
      </c>
      <c r="I3050" s="9" t="str">
        <f>IFERROR(__xludf.DUMMYFUNCTION("""COMPUTED_VALUE"""),"Mo")</f>
        <v>Mo</v>
      </c>
      <c r="J3050" s="9" t="str">
        <f>IFERROR(__xludf.DUMMYFUNCTION("""COMPUTED_VALUE"""),"MoTg")</f>
        <v>MoTg</v>
      </c>
      <c r="K3050" s="9" t="str">
        <f>IFERROR(__xludf.DUMMYFUNCTION("""COMPUTED_VALUE"""),"MoAN")</f>
        <v>MoAN</v>
      </c>
      <c r="L3050" s="9" t="str">
        <f>IFERROR(__xludf.DUMMYFUNCTION("""COMPUTED_VALUE"""),"Sol")</f>
        <v>Sol</v>
      </c>
      <c r="M3050" s="9" t="str">
        <f>IFERROR(__xludf.DUMMYFUNCTION("""COMPUTED_VALUE"""),"SolG")</f>
        <v>SolG</v>
      </c>
      <c r="N3050" s="9"/>
      <c r="O3050" s="9"/>
      <c r="P3050" s="9"/>
      <c r="Q3050" s="9"/>
      <c r="R3050" s="9"/>
      <c r="S3050" s="42"/>
      <c r="T3050" s="42"/>
      <c r="U3050" s="42"/>
      <c r="V3050" s="42"/>
      <c r="W3050" s="42"/>
      <c r="X3050" s="42"/>
      <c r="Y3050" s="42"/>
      <c r="Z3050" s="42"/>
      <c r="AA3050" s="42"/>
      <c r="AB3050" s="42" t="str">
        <f>IFERROR(__xludf.DUMMYFUNCTION("""COMPUTED_VALUE"""),"allen institute")</f>
        <v>allen institute</v>
      </c>
      <c r="AC3050" s="42" t="str">
        <f>IFERROR(__xludf.DUMMYFUNCTION("""COMPUTED_VALUE"""),"DHBA")</f>
        <v>DHBA</v>
      </c>
      <c r="AD3050" s="42"/>
      <c r="AE3050" s="42"/>
      <c r="AF3050" s="9"/>
      <c r="AG3050" s="9"/>
      <c r="AH3050" s="42"/>
      <c r="AI3050" s="42"/>
      <c r="AJ3050" s="42"/>
      <c r="AK3050" s="42"/>
      <c r="AL3050" s="42"/>
      <c r="AM3050" s="42"/>
      <c r="AN3050" s="42"/>
      <c r="AO3050" s="63" t="str">
        <f>IFERROR(__xludf.DUMMYFUNCTION("IF(ISBLANK(A3050),,IF(ISBLANK(S3050), A3050&amp;"";"", TEXTJOIN(CHAR(10), TRUE, A3050&amp;"";"", ARRAYFORMULA(VLOOKUP(SPLIT(S3050, "";"" &amp; CHAR(10)), $A:$AO, 41, FALSE)))))"),"SolG;")</f>
        <v>SolG;</v>
      </c>
      <c r="AP3050" s="89"/>
    </row>
    <row r="3051">
      <c r="A3051" s="151" t="str">
        <f>IFERROR(__xludf.DUMMYFUNCTION("""COMPUTED_VALUE"""),"SolIM")</f>
        <v>SolIM</v>
      </c>
      <c r="B3051" s="42" t="str">
        <f>IFERROR(__xludf.DUMMYFUNCTION("""COMPUTED_VALUE"""),"DHBA")</f>
        <v>DHBA</v>
      </c>
      <c r="C3051" s="42" t="str">
        <f>IFERROR(__xludf.DUMMYFUNCTION("""COMPUTED_VALUE"""),"solitary nucleus, intermediate part")</f>
        <v>solitary nucleus, intermediate part</v>
      </c>
      <c r="D3051" s="42">
        <f>IFERROR(__xludf.DUMMYFUNCTION("""COMPUTED_VALUE"""),2910.0)</f>
        <v>2910</v>
      </c>
      <c r="E3051" s="39" t="str">
        <f>IFERROR(__xludf.DUMMYFUNCTION("""COMPUTED_VALUE"""),"solitary nucleus, intermediate part")</f>
        <v>solitary nucleus, intermediate part</v>
      </c>
      <c r="F3051" s="9" t="str">
        <f>IFERROR(__xludf.DUMMYFUNCTION("""COMPUTED_VALUE"""),"Br")</f>
        <v>Br</v>
      </c>
      <c r="G3051" s="9" t="str">
        <f>IFERROR(__xludf.DUMMYFUNCTION("""COMPUTED_VALUE"""),"H")</f>
        <v>H</v>
      </c>
      <c r="H3051" s="9" t="str">
        <f>IFERROR(__xludf.DUMMYFUNCTION("""COMPUTED_VALUE"""),"HGM")</f>
        <v>HGM</v>
      </c>
      <c r="I3051" s="9" t="str">
        <f>IFERROR(__xludf.DUMMYFUNCTION("""COMPUTED_VALUE"""),"Mo")</f>
        <v>Mo</v>
      </c>
      <c r="J3051" s="9" t="str">
        <f>IFERROR(__xludf.DUMMYFUNCTION("""COMPUTED_VALUE"""),"MoTg")</f>
        <v>MoTg</v>
      </c>
      <c r="K3051" s="9" t="str">
        <f>IFERROR(__xludf.DUMMYFUNCTION("""COMPUTED_VALUE"""),"MoAN")</f>
        <v>MoAN</v>
      </c>
      <c r="L3051" s="9" t="str">
        <f>IFERROR(__xludf.DUMMYFUNCTION("""COMPUTED_VALUE"""),"Sol")</f>
        <v>Sol</v>
      </c>
      <c r="M3051" s="9" t="str">
        <f>IFERROR(__xludf.DUMMYFUNCTION("""COMPUTED_VALUE"""),"SolIM")</f>
        <v>SolIM</v>
      </c>
      <c r="N3051" s="9"/>
      <c r="O3051" s="9"/>
      <c r="P3051" s="9"/>
      <c r="Q3051" s="9"/>
      <c r="R3051" s="9"/>
      <c r="S3051" s="42"/>
      <c r="T3051" s="42"/>
      <c r="U3051" s="159"/>
      <c r="V3051" s="42"/>
      <c r="W3051" s="42"/>
      <c r="X3051" s="42"/>
      <c r="Y3051" s="42"/>
      <c r="Z3051" s="42"/>
      <c r="AA3051" s="42"/>
      <c r="AB3051" s="42" t="str">
        <f>IFERROR(__xludf.DUMMYFUNCTION("""COMPUTED_VALUE"""),"allen institute")</f>
        <v>allen institute</v>
      </c>
      <c r="AC3051" s="42" t="str">
        <f>IFERROR(__xludf.DUMMYFUNCTION("""COMPUTED_VALUE"""),"DHBA")</f>
        <v>DHBA</v>
      </c>
      <c r="AD3051" s="42"/>
      <c r="AE3051" s="42"/>
      <c r="AF3051" s="9"/>
      <c r="AG3051" s="9"/>
      <c r="AH3051" s="42"/>
      <c r="AI3051" s="42"/>
      <c r="AJ3051" s="42"/>
      <c r="AK3051" s="42"/>
      <c r="AL3051" s="42"/>
      <c r="AM3051" s="42"/>
      <c r="AN3051" s="42"/>
      <c r="AO3051" s="63" t="str">
        <f>IFERROR(__xludf.DUMMYFUNCTION("IF(ISBLANK(A3051),,IF(ISBLANK(S3051), A3051&amp;"";"", TEXTJOIN(CHAR(10), TRUE, A3051&amp;"";"", ARRAYFORMULA(VLOOKUP(SPLIT(S3051, "";"" &amp; CHAR(10)), $A:$AO, 41, FALSE)))))"),"SolIM;")</f>
        <v>SolIM;</v>
      </c>
      <c r="AP3051" s="89"/>
    </row>
    <row r="3052">
      <c r="A3052" s="151" t="str">
        <f>IFERROR(__xludf.DUMMYFUNCTION("""COMPUTED_VALUE"""),"SolI")</f>
        <v>SolI</v>
      </c>
      <c r="B3052" s="42" t="str">
        <f>IFERROR(__xludf.DUMMYFUNCTION("""COMPUTED_VALUE"""),"DHBA")</f>
        <v>DHBA</v>
      </c>
      <c r="C3052" s="42" t="str">
        <f>IFERROR(__xludf.DUMMYFUNCTION("""COMPUTED_VALUE"""),"solitary nucleus, interstitial part")</f>
        <v>solitary nucleus, interstitial part</v>
      </c>
      <c r="D3052" s="42">
        <f>IFERROR(__xludf.DUMMYFUNCTION("""COMPUTED_VALUE"""),2911.0)</f>
        <v>2911</v>
      </c>
      <c r="E3052" s="39" t="str">
        <f>IFERROR(__xludf.DUMMYFUNCTION("""COMPUTED_VALUE"""),"solitary nucleus, interstitial part")</f>
        <v>solitary nucleus, interstitial part</v>
      </c>
      <c r="F3052" s="9" t="str">
        <f>IFERROR(__xludf.DUMMYFUNCTION("""COMPUTED_VALUE"""),"Br")</f>
        <v>Br</v>
      </c>
      <c r="G3052" s="9" t="str">
        <f>IFERROR(__xludf.DUMMYFUNCTION("""COMPUTED_VALUE"""),"H")</f>
        <v>H</v>
      </c>
      <c r="H3052" s="9" t="str">
        <f>IFERROR(__xludf.DUMMYFUNCTION("""COMPUTED_VALUE"""),"HGM")</f>
        <v>HGM</v>
      </c>
      <c r="I3052" s="9" t="str">
        <f>IFERROR(__xludf.DUMMYFUNCTION("""COMPUTED_VALUE"""),"Mo")</f>
        <v>Mo</v>
      </c>
      <c r="J3052" s="9" t="str">
        <f>IFERROR(__xludf.DUMMYFUNCTION("""COMPUTED_VALUE"""),"MoTg")</f>
        <v>MoTg</v>
      </c>
      <c r="K3052" s="9" t="str">
        <f>IFERROR(__xludf.DUMMYFUNCTION("""COMPUTED_VALUE"""),"MoAN")</f>
        <v>MoAN</v>
      </c>
      <c r="L3052" s="9" t="str">
        <f>IFERROR(__xludf.DUMMYFUNCTION("""COMPUTED_VALUE"""),"Sol")</f>
        <v>Sol</v>
      </c>
      <c r="M3052" s="9" t="str">
        <f>IFERROR(__xludf.DUMMYFUNCTION("""COMPUTED_VALUE"""),"SolI")</f>
        <v>SolI</v>
      </c>
      <c r="N3052" s="9"/>
      <c r="O3052" s="9"/>
      <c r="P3052" s="9"/>
      <c r="Q3052" s="9"/>
      <c r="R3052" s="9"/>
      <c r="S3052" s="42" t="str">
        <f>IFERROR(__xludf.DUMMYFUNCTION("""COMPUTED_VALUE"""),"SolIc;
SolIr")</f>
        <v>SolIc;
SolIr</v>
      </c>
      <c r="T3052" s="42"/>
      <c r="U3052" s="42" t="b">
        <f>IFERROR(__xludf.DUMMYFUNCTION("""COMPUTED_VALUE"""),FALSE)</f>
        <v>0</v>
      </c>
      <c r="V3052" s="42"/>
      <c r="W3052" s="42"/>
      <c r="X3052" s="42"/>
      <c r="Y3052" s="42"/>
      <c r="Z3052" s="42"/>
      <c r="AA3052" s="42"/>
      <c r="AB3052" s="42" t="str">
        <f>IFERROR(__xludf.DUMMYFUNCTION("""COMPUTED_VALUE"""),"allen institute")</f>
        <v>allen institute</v>
      </c>
      <c r="AC3052" s="42" t="str">
        <f>IFERROR(__xludf.DUMMYFUNCTION("""COMPUTED_VALUE"""),"DHBA")</f>
        <v>DHBA</v>
      </c>
      <c r="AD3052" s="42"/>
      <c r="AE3052" s="42"/>
      <c r="AF3052" s="9"/>
      <c r="AG3052" s="9"/>
      <c r="AH3052" s="42"/>
      <c r="AI3052" s="42"/>
      <c r="AJ3052" s="42"/>
      <c r="AK3052" s="42"/>
      <c r="AL3052" s="42"/>
      <c r="AM3052" s="42"/>
      <c r="AN3052" s="42"/>
      <c r="AO3052" s="63" t="str">
        <f>IFERROR(__xludf.DUMMYFUNCTION("IF(ISBLANK(A3052),,IF(ISBLANK(S3052), A3052&amp;"";"", TEXTJOIN(CHAR(10), TRUE, A3052&amp;"";"", ARRAYFORMULA(VLOOKUP(SPLIT(S3052, "";"" &amp; CHAR(10)), $A:$AO, 41, FALSE)))))"),"SolI;
SolIc;
SolIr;")</f>
        <v>SolI;
SolIc;
SolIr;</v>
      </c>
      <c r="AP3052" s="89"/>
    </row>
    <row r="3053">
      <c r="A3053" s="151" t="str">
        <f>IFERROR(__xludf.DUMMYFUNCTION("""COMPUTED_VALUE"""),"SolIc")</f>
        <v>SolIc</v>
      </c>
      <c r="B3053" s="42" t="str">
        <f>IFERROR(__xludf.DUMMYFUNCTION("""COMPUTED_VALUE"""),"DHBA")</f>
        <v>DHBA</v>
      </c>
      <c r="C3053" s="42" t="str">
        <f>IFERROR(__xludf.DUMMYFUNCTION("""COMPUTED_VALUE"""),"solitary nucleus, interstitial part, caudal subdivision")</f>
        <v>solitary nucleus, interstitial part, caudal subdivision</v>
      </c>
      <c r="D3053" s="42">
        <f>IFERROR(__xludf.DUMMYFUNCTION("""COMPUTED_VALUE"""),2912.0)</f>
        <v>2912</v>
      </c>
      <c r="E3053" s="39" t="str">
        <f>IFERROR(__xludf.DUMMYFUNCTION("""COMPUTED_VALUE"""),"solitary nucleus, interstitial part, caudal subdivision")</f>
        <v>solitary nucleus, interstitial part, caudal subdivision</v>
      </c>
      <c r="F3053" s="9" t="str">
        <f>IFERROR(__xludf.DUMMYFUNCTION("""COMPUTED_VALUE"""),"Br")</f>
        <v>Br</v>
      </c>
      <c r="G3053" s="9" t="str">
        <f>IFERROR(__xludf.DUMMYFUNCTION("""COMPUTED_VALUE"""),"H")</f>
        <v>H</v>
      </c>
      <c r="H3053" s="9" t="str">
        <f>IFERROR(__xludf.DUMMYFUNCTION("""COMPUTED_VALUE"""),"HGM")</f>
        <v>HGM</v>
      </c>
      <c r="I3053" s="9" t="str">
        <f>IFERROR(__xludf.DUMMYFUNCTION("""COMPUTED_VALUE"""),"Mo")</f>
        <v>Mo</v>
      </c>
      <c r="J3053" s="9" t="str">
        <f>IFERROR(__xludf.DUMMYFUNCTION("""COMPUTED_VALUE"""),"MoTg")</f>
        <v>MoTg</v>
      </c>
      <c r="K3053" s="9" t="str">
        <f>IFERROR(__xludf.DUMMYFUNCTION("""COMPUTED_VALUE"""),"MoAN")</f>
        <v>MoAN</v>
      </c>
      <c r="L3053" s="9" t="str">
        <f>IFERROR(__xludf.DUMMYFUNCTION("""COMPUTED_VALUE"""),"Sol")</f>
        <v>Sol</v>
      </c>
      <c r="M3053" s="9" t="str">
        <f>IFERROR(__xludf.DUMMYFUNCTION("""COMPUTED_VALUE"""),"SolI")</f>
        <v>SolI</v>
      </c>
      <c r="N3053" s="9" t="str">
        <f>IFERROR(__xludf.DUMMYFUNCTION("""COMPUTED_VALUE"""),"SolIc")</f>
        <v>SolIc</v>
      </c>
      <c r="O3053" s="9"/>
      <c r="P3053" s="9"/>
      <c r="Q3053" s="9"/>
      <c r="R3053" s="9"/>
      <c r="S3053" s="42"/>
      <c r="T3053" s="42"/>
      <c r="U3053" s="159"/>
      <c r="V3053" s="42"/>
      <c r="W3053" s="42"/>
      <c r="X3053" s="42"/>
      <c r="Y3053" s="42"/>
      <c r="Z3053" s="42"/>
      <c r="AA3053" s="42"/>
      <c r="AB3053" s="42" t="str">
        <f>IFERROR(__xludf.DUMMYFUNCTION("""COMPUTED_VALUE"""),"allen institute")</f>
        <v>allen institute</v>
      </c>
      <c r="AC3053" s="42" t="str">
        <f>IFERROR(__xludf.DUMMYFUNCTION("""COMPUTED_VALUE"""),"DHBA")</f>
        <v>DHBA</v>
      </c>
      <c r="AD3053" s="42"/>
      <c r="AE3053" s="42"/>
      <c r="AF3053" s="9"/>
      <c r="AG3053" s="9"/>
      <c r="AH3053" s="42"/>
      <c r="AI3053" s="42"/>
      <c r="AJ3053" s="42"/>
      <c r="AK3053" s="42"/>
      <c r="AL3053" s="42"/>
      <c r="AM3053" s="42"/>
      <c r="AN3053" s="42"/>
      <c r="AO3053" s="63" t="str">
        <f>IFERROR(__xludf.DUMMYFUNCTION("IF(ISBLANK(A3053),,IF(ISBLANK(S3053), A3053&amp;"";"", TEXTJOIN(CHAR(10), TRUE, A3053&amp;"";"", ARRAYFORMULA(VLOOKUP(SPLIT(S3053, "";"" &amp; CHAR(10)), $A:$AO, 41, FALSE)))))"),"SolIc;")</f>
        <v>SolIc;</v>
      </c>
      <c r="AP3053" s="89"/>
    </row>
    <row r="3054">
      <c r="A3054" s="151" t="str">
        <f>IFERROR(__xludf.DUMMYFUNCTION("""COMPUTED_VALUE"""),"SolIr")</f>
        <v>SolIr</v>
      </c>
      <c r="B3054" s="42" t="str">
        <f>IFERROR(__xludf.DUMMYFUNCTION("""COMPUTED_VALUE"""),"DHBA")</f>
        <v>DHBA</v>
      </c>
      <c r="C3054" s="42" t="str">
        <f>IFERROR(__xludf.DUMMYFUNCTION("""COMPUTED_VALUE"""),"solitary nucleus, interstitial part, rostral (tast) subdivision")</f>
        <v>solitary nucleus, interstitial part, rostral (tast) subdivision</v>
      </c>
      <c r="D3054" s="42">
        <f>IFERROR(__xludf.DUMMYFUNCTION("""COMPUTED_VALUE"""),2913.0)</f>
        <v>2913</v>
      </c>
      <c r="E3054" s="39" t="str">
        <f>IFERROR(__xludf.DUMMYFUNCTION("""COMPUTED_VALUE"""),"solitary nucleus, interstitial part, rostral (tast) subdivision")</f>
        <v>solitary nucleus, interstitial part, rostral (tast) subdivision</v>
      </c>
      <c r="F3054" s="9" t="str">
        <f>IFERROR(__xludf.DUMMYFUNCTION("""COMPUTED_VALUE"""),"Br")</f>
        <v>Br</v>
      </c>
      <c r="G3054" s="9" t="str">
        <f>IFERROR(__xludf.DUMMYFUNCTION("""COMPUTED_VALUE"""),"H")</f>
        <v>H</v>
      </c>
      <c r="H3054" s="9" t="str">
        <f>IFERROR(__xludf.DUMMYFUNCTION("""COMPUTED_VALUE"""),"HGM")</f>
        <v>HGM</v>
      </c>
      <c r="I3054" s="9" t="str">
        <f>IFERROR(__xludf.DUMMYFUNCTION("""COMPUTED_VALUE"""),"Mo")</f>
        <v>Mo</v>
      </c>
      <c r="J3054" s="9" t="str">
        <f>IFERROR(__xludf.DUMMYFUNCTION("""COMPUTED_VALUE"""),"MoTg")</f>
        <v>MoTg</v>
      </c>
      <c r="K3054" s="9" t="str">
        <f>IFERROR(__xludf.DUMMYFUNCTION("""COMPUTED_VALUE"""),"MoAN")</f>
        <v>MoAN</v>
      </c>
      <c r="L3054" s="9" t="str">
        <f>IFERROR(__xludf.DUMMYFUNCTION("""COMPUTED_VALUE"""),"Sol")</f>
        <v>Sol</v>
      </c>
      <c r="M3054" s="9" t="str">
        <f>IFERROR(__xludf.DUMMYFUNCTION("""COMPUTED_VALUE"""),"SolI")</f>
        <v>SolI</v>
      </c>
      <c r="N3054" s="9" t="str">
        <f>IFERROR(__xludf.DUMMYFUNCTION("""COMPUTED_VALUE"""),"SolIr")</f>
        <v>SolIr</v>
      </c>
      <c r="O3054" s="9"/>
      <c r="P3054" s="9"/>
      <c r="Q3054" s="9"/>
      <c r="R3054" s="9"/>
      <c r="S3054" s="42"/>
      <c r="T3054" s="42"/>
      <c r="U3054" s="159"/>
      <c r="V3054" s="42"/>
      <c r="W3054" s="42"/>
      <c r="X3054" s="42"/>
      <c r="Y3054" s="42"/>
      <c r="Z3054" s="42"/>
      <c r="AA3054" s="42"/>
      <c r="AB3054" s="42" t="str">
        <f>IFERROR(__xludf.DUMMYFUNCTION("""COMPUTED_VALUE"""),"allen institute")</f>
        <v>allen institute</v>
      </c>
      <c r="AC3054" s="42" t="str">
        <f>IFERROR(__xludf.DUMMYFUNCTION("""COMPUTED_VALUE"""),"DHBA")</f>
        <v>DHBA</v>
      </c>
      <c r="AD3054" s="42"/>
      <c r="AE3054" s="42"/>
      <c r="AF3054" s="9"/>
      <c r="AG3054" s="9"/>
      <c r="AH3054" s="42"/>
      <c r="AI3054" s="42"/>
      <c r="AJ3054" s="42"/>
      <c r="AK3054" s="42"/>
      <c r="AL3054" s="42"/>
      <c r="AM3054" s="42"/>
      <c r="AN3054" s="42"/>
      <c r="AO3054" s="63" t="str">
        <f>IFERROR(__xludf.DUMMYFUNCTION("IF(ISBLANK(A3054),,IF(ISBLANK(S3054), A3054&amp;"";"", TEXTJOIN(CHAR(10), TRUE, A3054&amp;"";"", ARRAYFORMULA(VLOOKUP(SPLIT(S3054, "";"" &amp; CHAR(10)), $A:$AO, 41, FALSE)))))"),"SolIr;")</f>
        <v>SolIr;</v>
      </c>
      <c r="AP3054" s="89"/>
    </row>
    <row r="3055">
      <c r="A3055" s="151" t="str">
        <f>IFERROR(__xludf.DUMMYFUNCTION("""COMPUTED_VALUE"""),"SolM")</f>
        <v>SolM</v>
      </c>
      <c r="B3055" s="42" t="str">
        <f>IFERROR(__xludf.DUMMYFUNCTION("""COMPUTED_VALUE"""),"DHBA")</f>
        <v>DHBA</v>
      </c>
      <c r="C3055" s="42" t="str">
        <f>IFERROR(__xludf.DUMMYFUNCTION("""COMPUTED_VALUE"""),"solitary nucleus, medial part")</f>
        <v>solitary nucleus, medial part</v>
      </c>
      <c r="D3055" s="42">
        <f>IFERROR(__xludf.DUMMYFUNCTION("""COMPUTED_VALUE"""),2914.0)</f>
        <v>2914</v>
      </c>
      <c r="E3055" s="39" t="str">
        <f>IFERROR(__xludf.DUMMYFUNCTION("""COMPUTED_VALUE"""),"solitary nucleus, medial part")</f>
        <v>solitary nucleus, medial part</v>
      </c>
      <c r="F3055" s="9" t="str">
        <f>IFERROR(__xludf.DUMMYFUNCTION("""COMPUTED_VALUE"""),"Br")</f>
        <v>Br</v>
      </c>
      <c r="G3055" s="9" t="str">
        <f>IFERROR(__xludf.DUMMYFUNCTION("""COMPUTED_VALUE"""),"H")</f>
        <v>H</v>
      </c>
      <c r="H3055" s="9" t="str">
        <f>IFERROR(__xludf.DUMMYFUNCTION("""COMPUTED_VALUE"""),"HGM")</f>
        <v>HGM</v>
      </c>
      <c r="I3055" s="9" t="str">
        <f>IFERROR(__xludf.DUMMYFUNCTION("""COMPUTED_VALUE"""),"Mo")</f>
        <v>Mo</v>
      </c>
      <c r="J3055" s="9" t="str">
        <f>IFERROR(__xludf.DUMMYFUNCTION("""COMPUTED_VALUE"""),"MoTg")</f>
        <v>MoTg</v>
      </c>
      <c r="K3055" s="9" t="str">
        <f>IFERROR(__xludf.DUMMYFUNCTION("""COMPUTED_VALUE"""),"MoAN")</f>
        <v>MoAN</v>
      </c>
      <c r="L3055" s="9" t="str">
        <f>IFERROR(__xludf.DUMMYFUNCTION("""COMPUTED_VALUE"""),"Sol")</f>
        <v>Sol</v>
      </c>
      <c r="M3055" s="9" t="str">
        <f>IFERROR(__xludf.DUMMYFUNCTION("""COMPUTED_VALUE"""),"SolM")</f>
        <v>SolM</v>
      </c>
      <c r="N3055" s="9"/>
      <c r="O3055" s="9"/>
      <c r="P3055" s="9"/>
      <c r="Q3055" s="9"/>
      <c r="R3055" s="9"/>
      <c r="S3055" s="42"/>
      <c r="T3055" s="42"/>
      <c r="U3055" s="159"/>
      <c r="V3055" s="42"/>
      <c r="W3055" s="42"/>
      <c r="X3055" s="42"/>
      <c r="Y3055" s="42"/>
      <c r="Z3055" s="42"/>
      <c r="AA3055" s="42"/>
      <c r="AB3055" s="42" t="str">
        <f>IFERROR(__xludf.DUMMYFUNCTION("""COMPUTED_VALUE"""),"allen institute")</f>
        <v>allen institute</v>
      </c>
      <c r="AC3055" s="42" t="str">
        <f>IFERROR(__xludf.DUMMYFUNCTION("""COMPUTED_VALUE"""),"DHBA")</f>
        <v>DHBA</v>
      </c>
      <c r="AD3055" s="42"/>
      <c r="AE3055" s="42"/>
      <c r="AF3055" s="9"/>
      <c r="AG3055" s="9"/>
      <c r="AH3055" s="42"/>
      <c r="AI3055" s="42"/>
      <c r="AJ3055" s="42"/>
      <c r="AK3055" s="42"/>
      <c r="AL3055" s="42"/>
      <c r="AM3055" s="42"/>
      <c r="AN3055" s="42"/>
      <c r="AO3055" s="63" t="str">
        <f>IFERROR(__xludf.DUMMYFUNCTION("IF(ISBLANK(A3055),,IF(ISBLANK(S3055), A3055&amp;"";"", TEXTJOIN(CHAR(10), TRUE, A3055&amp;"";"", ARRAYFORMULA(VLOOKUP(SPLIT(S3055, "";"" &amp; CHAR(10)), $A:$AO, 41, FALSE)))))"),"SolM;")</f>
        <v>SolM;</v>
      </c>
      <c r="AP3055" s="89"/>
    </row>
    <row r="3056">
      <c r="A3056" s="151" t="str">
        <f>IFERROR(__xludf.DUMMYFUNCTION("""COMPUTED_VALUE"""),"SolPaC")</f>
        <v>SolPaC</v>
      </c>
      <c r="B3056" s="42" t="str">
        <f>IFERROR(__xludf.DUMMYFUNCTION("""COMPUTED_VALUE"""),"DHBA")</f>
        <v>DHBA</v>
      </c>
      <c r="C3056" s="42" t="str">
        <f>IFERROR(__xludf.DUMMYFUNCTION("""COMPUTED_VALUE"""),"solitary nucleus, paracommissural part")</f>
        <v>solitary nucleus, paracommissural part</v>
      </c>
      <c r="D3056" s="42">
        <f>IFERROR(__xludf.DUMMYFUNCTION("""COMPUTED_VALUE"""),2915.0)</f>
        <v>2915</v>
      </c>
      <c r="E3056" s="39" t="str">
        <f>IFERROR(__xludf.DUMMYFUNCTION("""COMPUTED_VALUE"""),"solitary nucleus, paracommissural part")</f>
        <v>solitary nucleus, paracommissural part</v>
      </c>
      <c r="F3056" s="9" t="str">
        <f>IFERROR(__xludf.DUMMYFUNCTION("""COMPUTED_VALUE"""),"Br")</f>
        <v>Br</v>
      </c>
      <c r="G3056" s="9" t="str">
        <f>IFERROR(__xludf.DUMMYFUNCTION("""COMPUTED_VALUE"""),"H")</f>
        <v>H</v>
      </c>
      <c r="H3056" s="9" t="str">
        <f>IFERROR(__xludf.DUMMYFUNCTION("""COMPUTED_VALUE"""),"HGM")</f>
        <v>HGM</v>
      </c>
      <c r="I3056" s="9" t="str">
        <f>IFERROR(__xludf.DUMMYFUNCTION("""COMPUTED_VALUE"""),"Mo")</f>
        <v>Mo</v>
      </c>
      <c r="J3056" s="9" t="str">
        <f>IFERROR(__xludf.DUMMYFUNCTION("""COMPUTED_VALUE"""),"MoTg")</f>
        <v>MoTg</v>
      </c>
      <c r="K3056" s="9" t="str">
        <f>IFERROR(__xludf.DUMMYFUNCTION("""COMPUTED_VALUE"""),"MoAN")</f>
        <v>MoAN</v>
      </c>
      <c r="L3056" s="9" t="str">
        <f>IFERROR(__xludf.DUMMYFUNCTION("""COMPUTED_VALUE"""),"Sol")</f>
        <v>Sol</v>
      </c>
      <c r="M3056" s="9" t="str">
        <f>IFERROR(__xludf.DUMMYFUNCTION("""COMPUTED_VALUE"""),"SolPaC")</f>
        <v>SolPaC</v>
      </c>
      <c r="N3056" s="9"/>
      <c r="O3056" s="9"/>
      <c r="P3056" s="9"/>
      <c r="Q3056" s="9"/>
      <c r="R3056" s="9"/>
      <c r="S3056" s="42"/>
      <c r="T3056" s="42"/>
      <c r="U3056" s="42"/>
      <c r="V3056" s="42"/>
      <c r="W3056" s="42"/>
      <c r="X3056" s="42"/>
      <c r="Y3056" s="42"/>
      <c r="Z3056" s="42"/>
      <c r="AA3056" s="42"/>
      <c r="AB3056" s="42" t="str">
        <f>IFERROR(__xludf.DUMMYFUNCTION("""COMPUTED_VALUE"""),"allen institute")</f>
        <v>allen institute</v>
      </c>
      <c r="AC3056" s="42" t="str">
        <f>IFERROR(__xludf.DUMMYFUNCTION("""COMPUTED_VALUE"""),"DHBA")</f>
        <v>DHBA</v>
      </c>
      <c r="AD3056" s="42"/>
      <c r="AE3056" s="42"/>
      <c r="AF3056" s="9"/>
      <c r="AG3056" s="9"/>
      <c r="AH3056" s="42"/>
      <c r="AI3056" s="42"/>
      <c r="AJ3056" s="42"/>
      <c r="AK3056" s="42"/>
      <c r="AL3056" s="42"/>
      <c r="AM3056" s="42"/>
      <c r="AN3056" s="42"/>
      <c r="AO3056" s="63" t="str">
        <f>IFERROR(__xludf.DUMMYFUNCTION("IF(ISBLANK(A3056),,IF(ISBLANK(S3056), A3056&amp;"";"", TEXTJOIN(CHAR(10), TRUE, A3056&amp;"";"", ARRAYFORMULA(VLOOKUP(SPLIT(S3056, "";"" &amp; CHAR(10)), $A:$AO, 41, FALSE)))))"),"SolPaC;")</f>
        <v>SolPaC;</v>
      </c>
      <c r="AP3056" s="89"/>
    </row>
    <row r="3057">
      <c r="A3057" s="151" t="str">
        <f>IFERROR(__xludf.DUMMYFUNCTION("""COMPUTED_VALUE"""),"SolV")</f>
        <v>SolV</v>
      </c>
      <c r="B3057" s="42" t="str">
        <f>IFERROR(__xludf.DUMMYFUNCTION("""COMPUTED_VALUE"""),"DHBA")</f>
        <v>DHBA</v>
      </c>
      <c r="C3057" s="42" t="str">
        <f>IFERROR(__xludf.DUMMYFUNCTION("""COMPUTED_VALUE"""),"solitary nucleus, ventral part")</f>
        <v>solitary nucleus, ventral part</v>
      </c>
      <c r="D3057" s="42">
        <f>IFERROR(__xludf.DUMMYFUNCTION("""COMPUTED_VALUE"""),2916.0)</f>
        <v>2916</v>
      </c>
      <c r="E3057" s="39" t="str">
        <f>IFERROR(__xludf.DUMMYFUNCTION("""COMPUTED_VALUE"""),"solitary nucleus, ventral part")</f>
        <v>solitary nucleus, ventral part</v>
      </c>
      <c r="F3057" s="9" t="str">
        <f>IFERROR(__xludf.DUMMYFUNCTION("""COMPUTED_VALUE"""),"Br")</f>
        <v>Br</v>
      </c>
      <c r="G3057" s="9" t="str">
        <f>IFERROR(__xludf.DUMMYFUNCTION("""COMPUTED_VALUE"""),"H")</f>
        <v>H</v>
      </c>
      <c r="H3057" s="9" t="str">
        <f>IFERROR(__xludf.DUMMYFUNCTION("""COMPUTED_VALUE"""),"HGM")</f>
        <v>HGM</v>
      </c>
      <c r="I3057" s="9" t="str">
        <f>IFERROR(__xludf.DUMMYFUNCTION("""COMPUTED_VALUE"""),"Mo")</f>
        <v>Mo</v>
      </c>
      <c r="J3057" s="9" t="str">
        <f>IFERROR(__xludf.DUMMYFUNCTION("""COMPUTED_VALUE"""),"MoTg")</f>
        <v>MoTg</v>
      </c>
      <c r="K3057" s="9" t="str">
        <f>IFERROR(__xludf.DUMMYFUNCTION("""COMPUTED_VALUE"""),"MoAN")</f>
        <v>MoAN</v>
      </c>
      <c r="L3057" s="9" t="str">
        <f>IFERROR(__xludf.DUMMYFUNCTION("""COMPUTED_VALUE"""),"Sol")</f>
        <v>Sol</v>
      </c>
      <c r="M3057" s="9" t="str">
        <f>IFERROR(__xludf.DUMMYFUNCTION("""COMPUTED_VALUE"""),"SolV")</f>
        <v>SolV</v>
      </c>
      <c r="N3057" s="9"/>
      <c r="O3057" s="9"/>
      <c r="P3057" s="9"/>
      <c r="Q3057" s="9"/>
      <c r="R3057" s="9"/>
      <c r="S3057" s="42"/>
      <c r="T3057" s="42"/>
      <c r="U3057" s="159"/>
      <c r="V3057" s="42"/>
      <c r="W3057" s="42"/>
      <c r="X3057" s="42"/>
      <c r="Y3057" s="42"/>
      <c r="Z3057" s="42"/>
      <c r="AA3057" s="42"/>
      <c r="AB3057" s="42" t="str">
        <f>IFERROR(__xludf.DUMMYFUNCTION("""COMPUTED_VALUE"""),"allen institute")</f>
        <v>allen institute</v>
      </c>
      <c r="AC3057" s="42" t="str">
        <f>IFERROR(__xludf.DUMMYFUNCTION("""COMPUTED_VALUE"""),"DHBA")</f>
        <v>DHBA</v>
      </c>
      <c r="AD3057" s="42"/>
      <c r="AE3057" s="42"/>
      <c r="AF3057" s="9"/>
      <c r="AG3057" s="9"/>
      <c r="AH3057" s="42"/>
      <c r="AI3057" s="42"/>
      <c r="AJ3057" s="42"/>
      <c r="AK3057" s="42"/>
      <c r="AL3057" s="42"/>
      <c r="AM3057" s="42"/>
      <c r="AN3057" s="42"/>
      <c r="AO3057" s="63" t="str">
        <f>IFERROR(__xludf.DUMMYFUNCTION("IF(ISBLANK(A3057),,IF(ISBLANK(S3057), A3057&amp;"";"", TEXTJOIN(CHAR(10), TRUE, A3057&amp;"";"", ARRAYFORMULA(VLOOKUP(SPLIT(S3057, "";"" &amp; CHAR(10)), $A:$AO, 41, FALSE)))))"),"SolV;")</f>
        <v>SolV;</v>
      </c>
      <c r="AP3057" s="89"/>
    </row>
    <row r="3058">
      <c r="A3058" s="151" t="str">
        <f>IFERROR(__xludf.DUMMYFUNCTION("""COMPUTED_VALUE"""),"SolVL")</f>
        <v>SolVL</v>
      </c>
      <c r="B3058" s="42" t="str">
        <f>IFERROR(__xludf.DUMMYFUNCTION("""COMPUTED_VALUE"""),"DHBA")</f>
        <v>DHBA</v>
      </c>
      <c r="C3058" s="42" t="str">
        <f>IFERROR(__xludf.DUMMYFUNCTION("""COMPUTED_VALUE"""),"solitary nucleus, ventrolateral part")</f>
        <v>solitary nucleus, ventrolateral part</v>
      </c>
      <c r="D3058" s="42">
        <f>IFERROR(__xludf.DUMMYFUNCTION("""COMPUTED_VALUE"""),2917.0)</f>
        <v>2917</v>
      </c>
      <c r="E3058" s="39" t="str">
        <f>IFERROR(__xludf.DUMMYFUNCTION("""COMPUTED_VALUE"""),"solitary nucleus, ventrolateral part")</f>
        <v>solitary nucleus, ventrolateral part</v>
      </c>
      <c r="F3058" s="9" t="str">
        <f>IFERROR(__xludf.DUMMYFUNCTION("""COMPUTED_VALUE"""),"Br")</f>
        <v>Br</v>
      </c>
      <c r="G3058" s="9" t="str">
        <f>IFERROR(__xludf.DUMMYFUNCTION("""COMPUTED_VALUE"""),"H")</f>
        <v>H</v>
      </c>
      <c r="H3058" s="9" t="str">
        <f>IFERROR(__xludf.DUMMYFUNCTION("""COMPUTED_VALUE"""),"HGM")</f>
        <v>HGM</v>
      </c>
      <c r="I3058" s="9" t="str">
        <f>IFERROR(__xludf.DUMMYFUNCTION("""COMPUTED_VALUE"""),"Mo")</f>
        <v>Mo</v>
      </c>
      <c r="J3058" s="9" t="str">
        <f>IFERROR(__xludf.DUMMYFUNCTION("""COMPUTED_VALUE"""),"MoTg")</f>
        <v>MoTg</v>
      </c>
      <c r="K3058" s="9" t="str">
        <f>IFERROR(__xludf.DUMMYFUNCTION("""COMPUTED_VALUE"""),"MoAN")</f>
        <v>MoAN</v>
      </c>
      <c r="L3058" s="9" t="str">
        <f>IFERROR(__xludf.DUMMYFUNCTION("""COMPUTED_VALUE"""),"Sol")</f>
        <v>Sol</v>
      </c>
      <c r="M3058" s="9" t="str">
        <f>IFERROR(__xludf.DUMMYFUNCTION("""COMPUTED_VALUE"""),"SolVL")</f>
        <v>SolVL</v>
      </c>
      <c r="N3058" s="9"/>
      <c r="O3058" s="9"/>
      <c r="P3058" s="9"/>
      <c r="Q3058" s="9"/>
      <c r="R3058" s="9"/>
      <c r="S3058" s="42"/>
      <c r="T3058" s="42"/>
      <c r="U3058" s="159"/>
      <c r="V3058" s="42"/>
      <c r="W3058" s="42"/>
      <c r="X3058" s="42"/>
      <c r="Y3058" s="42"/>
      <c r="Z3058" s="42"/>
      <c r="AA3058" s="42"/>
      <c r="AB3058" s="42" t="str">
        <f>IFERROR(__xludf.DUMMYFUNCTION("""COMPUTED_VALUE"""),"allen institute")</f>
        <v>allen institute</v>
      </c>
      <c r="AC3058" s="42" t="str">
        <f>IFERROR(__xludf.DUMMYFUNCTION("""COMPUTED_VALUE"""),"DHBA")</f>
        <v>DHBA</v>
      </c>
      <c r="AD3058" s="42"/>
      <c r="AE3058" s="42"/>
      <c r="AF3058" s="9"/>
      <c r="AG3058" s="9"/>
      <c r="AH3058" s="42"/>
      <c r="AI3058" s="42"/>
      <c r="AJ3058" s="42"/>
      <c r="AK3058" s="42"/>
      <c r="AL3058" s="42"/>
      <c r="AM3058" s="42"/>
      <c r="AN3058" s="42"/>
      <c r="AO3058" s="63" t="str">
        <f>IFERROR(__xludf.DUMMYFUNCTION("IF(ISBLANK(A3058),,IF(ISBLANK(S3058), A3058&amp;"";"", TEXTJOIN(CHAR(10), TRUE, A3058&amp;"";"", ARRAYFORMULA(VLOOKUP(SPLIT(S3058, "";"" &amp; CHAR(10)), $A:$AO, 41, FALSE)))))"),"SolVL;")</f>
        <v>SolVL;</v>
      </c>
      <c r="AP3058" s="89"/>
    </row>
    <row r="3059">
      <c r="A3059" s="151" t="str">
        <f>IFERROR(__xludf.DUMMYFUNCTION("""COMPUTED_VALUE"""),"SSol")</f>
        <v>SSol</v>
      </c>
      <c r="B3059" s="42" t="str">
        <f>IFERROR(__xludf.DUMMYFUNCTION("""COMPUTED_VALUE"""),"DHBA")</f>
        <v>DHBA</v>
      </c>
      <c r="C3059" s="42" t="str">
        <f>IFERROR(__xludf.DUMMYFUNCTION("""COMPUTED_VALUE"""),"subsolitary nucleus")</f>
        <v>subsolitary nucleus</v>
      </c>
      <c r="D3059" s="42">
        <f>IFERROR(__xludf.DUMMYFUNCTION("""COMPUTED_VALUE"""),2918.0)</f>
        <v>2918</v>
      </c>
      <c r="E3059" s="39" t="str">
        <f>IFERROR(__xludf.DUMMYFUNCTION("""COMPUTED_VALUE"""),"subsolitary nucleus")</f>
        <v>subsolitary nucleus</v>
      </c>
      <c r="F3059" s="9" t="str">
        <f>IFERROR(__xludf.DUMMYFUNCTION("""COMPUTED_VALUE"""),"Br")</f>
        <v>Br</v>
      </c>
      <c r="G3059" s="9" t="str">
        <f>IFERROR(__xludf.DUMMYFUNCTION("""COMPUTED_VALUE"""),"H")</f>
        <v>H</v>
      </c>
      <c r="H3059" s="9" t="str">
        <f>IFERROR(__xludf.DUMMYFUNCTION("""COMPUTED_VALUE"""),"HGM")</f>
        <v>HGM</v>
      </c>
      <c r="I3059" s="9" t="str">
        <f>IFERROR(__xludf.DUMMYFUNCTION("""COMPUTED_VALUE"""),"Mo")</f>
        <v>Mo</v>
      </c>
      <c r="J3059" s="9" t="str">
        <f>IFERROR(__xludf.DUMMYFUNCTION("""COMPUTED_VALUE"""),"MoTg")</f>
        <v>MoTg</v>
      </c>
      <c r="K3059" s="9" t="str">
        <f>IFERROR(__xludf.DUMMYFUNCTION("""COMPUTED_VALUE"""),"MoAN")</f>
        <v>MoAN</v>
      </c>
      <c r="L3059" s="9" t="str">
        <f>IFERROR(__xludf.DUMMYFUNCTION("""COMPUTED_VALUE"""),"Sol")</f>
        <v>Sol</v>
      </c>
      <c r="M3059" s="9" t="str">
        <f>IFERROR(__xludf.DUMMYFUNCTION("""COMPUTED_VALUE"""),"SSol")</f>
        <v>SSol</v>
      </c>
      <c r="N3059" s="9"/>
      <c r="O3059" s="9"/>
      <c r="P3059" s="9"/>
      <c r="Q3059" s="9"/>
      <c r="R3059" s="9"/>
      <c r="S3059" s="42"/>
      <c r="T3059" s="42"/>
      <c r="U3059" s="159"/>
      <c r="V3059" s="42"/>
      <c r="W3059" s="42"/>
      <c r="X3059" s="42"/>
      <c r="Y3059" s="42"/>
      <c r="Z3059" s="42"/>
      <c r="AA3059" s="42"/>
      <c r="AB3059" s="42" t="str">
        <f>IFERROR(__xludf.DUMMYFUNCTION("""COMPUTED_VALUE"""),"allen institute")</f>
        <v>allen institute</v>
      </c>
      <c r="AC3059" s="42" t="str">
        <f>IFERROR(__xludf.DUMMYFUNCTION("""COMPUTED_VALUE"""),"DHBA")</f>
        <v>DHBA</v>
      </c>
      <c r="AD3059" s="42"/>
      <c r="AE3059" s="42"/>
      <c r="AF3059" s="9"/>
      <c r="AG3059" s="9"/>
      <c r="AH3059" s="42"/>
      <c r="AI3059" s="42"/>
      <c r="AJ3059" s="42"/>
      <c r="AK3059" s="42"/>
      <c r="AL3059" s="42"/>
      <c r="AM3059" s="42"/>
      <c r="AN3059" s="42"/>
      <c r="AO3059" s="63" t="str">
        <f>IFERROR(__xludf.DUMMYFUNCTION("IF(ISBLANK(A3059),,IF(ISBLANK(S3059), A3059&amp;"";"", TEXTJOIN(CHAR(10), TRUE, A3059&amp;"";"", ARRAYFORMULA(VLOOKUP(SPLIT(S3059, "";"" &amp; CHAR(10)), $A:$AO, 41, FALSE)))))"),"SSol;")</f>
        <v>SSol;</v>
      </c>
      <c r="AP3059" s="89"/>
    </row>
    <row r="3060">
      <c r="A3060" s="151" t="str">
        <f>IFERROR(__xludf.DUMMYFUNCTION("""COMPUTED_VALUE"""),"PSol")</f>
        <v>PSol</v>
      </c>
      <c r="B3060" s="42" t="str">
        <f>IFERROR(__xludf.DUMMYFUNCTION("""COMPUTED_VALUE"""),"DHBA")</f>
        <v>DHBA</v>
      </c>
      <c r="C3060" s="42" t="str">
        <f>IFERROR(__xludf.DUMMYFUNCTION("""COMPUTED_VALUE"""),"parasolitary nucleus")</f>
        <v>parasolitary nucleus</v>
      </c>
      <c r="D3060" s="42">
        <f>IFERROR(__xludf.DUMMYFUNCTION("""COMPUTED_VALUE"""),2919.0)</f>
        <v>2919</v>
      </c>
      <c r="E3060" s="39" t="str">
        <f>IFERROR(__xludf.DUMMYFUNCTION("""COMPUTED_VALUE"""),"parasolitary nucleus")</f>
        <v>parasolitary nucleus</v>
      </c>
      <c r="F3060" s="9" t="str">
        <f>IFERROR(__xludf.DUMMYFUNCTION("""COMPUTED_VALUE"""),"Br")</f>
        <v>Br</v>
      </c>
      <c r="G3060" s="9" t="str">
        <f>IFERROR(__xludf.DUMMYFUNCTION("""COMPUTED_VALUE"""),"H")</f>
        <v>H</v>
      </c>
      <c r="H3060" s="9" t="str">
        <f>IFERROR(__xludf.DUMMYFUNCTION("""COMPUTED_VALUE"""),"HGM")</f>
        <v>HGM</v>
      </c>
      <c r="I3060" s="9" t="str">
        <f>IFERROR(__xludf.DUMMYFUNCTION("""COMPUTED_VALUE"""),"Mo")</f>
        <v>Mo</v>
      </c>
      <c r="J3060" s="9" t="str">
        <f>IFERROR(__xludf.DUMMYFUNCTION("""COMPUTED_VALUE"""),"MoTg")</f>
        <v>MoTg</v>
      </c>
      <c r="K3060" s="9" t="str">
        <f>IFERROR(__xludf.DUMMYFUNCTION("""COMPUTED_VALUE"""),"MoAN")</f>
        <v>MoAN</v>
      </c>
      <c r="L3060" s="9" t="str">
        <f>IFERROR(__xludf.DUMMYFUNCTION("""COMPUTED_VALUE"""),"Sol")</f>
        <v>Sol</v>
      </c>
      <c r="M3060" s="9" t="str">
        <f>IFERROR(__xludf.DUMMYFUNCTION("""COMPUTED_VALUE"""),"PSol")</f>
        <v>PSol</v>
      </c>
      <c r="N3060" s="9"/>
      <c r="O3060" s="9"/>
      <c r="P3060" s="9"/>
      <c r="Q3060" s="9"/>
      <c r="R3060" s="9"/>
      <c r="S3060" s="42"/>
      <c r="T3060" s="42"/>
      <c r="U3060" s="159"/>
      <c r="V3060" s="42"/>
      <c r="W3060" s="42"/>
      <c r="X3060" s="42"/>
      <c r="Y3060" s="42"/>
      <c r="Z3060" s="42"/>
      <c r="AA3060" s="42"/>
      <c r="AB3060" s="42" t="str">
        <f>IFERROR(__xludf.DUMMYFUNCTION("""COMPUTED_VALUE"""),"allen institute")</f>
        <v>allen institute</v>
      </c>
      <c r="AC3060" s="42" t="str">
        <f>IFERROR(__xludf.DUMMYFUNCTION("""COMPUTED_VALUE"""),"DHBA")</f>
        <v>DHBA</v>
      </c>
      <c r="AD3060" s="42"/>
      <c r="AE3060" s="42"/>
      <c r="AF3060" s="9"/>
      <c r="AG3060" s="9"/>
      <c r="AH3060" s="42"/>
      <c r="AI3060" s="42"/>
      <c r="AJ3060" s="42"/>
      <c r="AK3060" s="42"/>
      <c r="AL3060" s="42"/>
      <c r="AM3060" s="42"/>
      <c r="AN3060" s="42"/>
      <c r="AO3060" s="63" t="str">
        <f>IFERROR(__xludf.DUMMYFUNCTION("IF(ISBLANK(A3060),,IF(ISBLANK(S3060), A3060&amp;"";"", TEXTJOIN(CHAR(10), TRUE, A3060&amp;"";"", ARRAYFORMULA(VLOOKUP(SPLIT(S3060, "";"" &amp; CHAR(10)), $A:$AO, 41, FALSE)))))"),"PSol;")</f>
        <v>PSol;</v>
      </c>
      <c r="AP3060" s="89"/>
    </row>
    <row r="3061">
      <c r="A3061" s="151" t="str">
        <f>IFERROR(__xludf.DUMMYFUNCTION("""COMPUTED_VALUE"""),"Sp5")</f>
        <v>Sp5</v>
      </c>
      <c r="B3061" s="42" t="str">
        <f>IFERROR(__xludf.DUMMYFUNCTION("""COMPUTED_VALUE"""),"DHBA")</f>
        <v>DHBA</v>
      </c>
      <c r="C3061" s="42" t="str">
        <f>IFERROR(__xludf.DUMMYFUNCTION("""COMPUTED_VALUE"""),"spinal trigeminal nucleus")</f>
        <v>spinal trigeminal nucleus</v>
      </c>
      <c r="D3061" s="42">
        <f>IFERROR(__xludf.DUMMYFUNCTION("""COMPUTED_VALUE"""),2920.0)</f>
        <v>2920</v>
      </c>
      <c r="E3061" s="39" t="str">
        <f>IFERROR(__xludf.DUMMYFUNCTION("""COMPUTED_VALUE"""),"spinal trigeminal nucleus")</f>
        <v>spinal trigeminal nucleus</v>
      </c>
      <c r="F3061" s="9" t="str">
        <f>IFERROR(__xludf.DUMMYFUNCTION("""COMPUTED_VALUE"""),"Br")</f>
        <v>Br</v>
      </c>
      <c r="G3061" s="9" t="str">
        <f>IFERROR(__xludf.DUMMYFUNCTION("""COMPUTED_VALUE"""),"H")</f>
        <v>H</v>
      </c>
      <c r="H3061" s="9" t="str">
        <f>IFERROR(__xludf.DUMMYFUNCTION("""COMPUTED_VALUE"""),"HGM")</f>
        <v>HGM</v>
      </c>
      <c r="I3061" s="9" t="str">
        <f>IFERROR(__xludf.DUMMYFUNCTION("""COMPUTED_VALUE"""),"Mo")</f>
        <v>Mo</v>
      </c>
      <c r="J3061" s="9" t="str">
        <f>IFERROR(__xludf.DUMMYFUNCTION("""COMPUTED_VALUE"""),"MoTg")</f>
        <v>MoTg</v>
      </c>
      <c r="K3061" s="9" t="str">
        <f>IFERROR(__xludf.DUMMYFUNCTION("""COMPUTED_VALUE"""),"MoAN")</f>
        <v>MoAN</v>
      </c>
      <c r="L3061" s="9" t="str">
        <f>IFERROR(__xludf.DUMMYFUNCTION("""COMPUTED_VALUE"""),"Sp5")</f>
        <v>Sp5</v>
      </c>
      <c r="M3061" s="9"/>
      <c r="N3061" s="9"/>
      <c r="O3061" s="9"/>
      <c r="P3061" s="9"/>
      <c r="Q3061" s="9"/>
      <c r="R3061" s="9"/>
      <c r="S3061" s="42" t="str">
        <f>IFERROR(__xludf.DUMMYFUNCTION("""COMPUTED_VALUE"""),"Sp5C;
DM5;
Sp5ip")</f>
        <v>Sp5C;
DM5;
Sp5ip</v>
      </c>
      <c r="T3061" s="42"/>
      <c r="U3061" s="159" t="b">
        <f>IFERROR(__xludf.DUMMYFUNCTION("""COMPUTED_VALUE"""),FALSE)</f>
        <v>0</v>
      </c>
      <c r="V3061" s="42"/>
      <c r="W3061" s="42"/>
      <c r="X3061" s="42"/>
      <c r="Y3061" s="42"/>
      <c r="Z3061" s="42"/>
      <c r="AA3061" s="42"/>
      <c r="AB3061" s="42" t="str">
        <f>IFERROR(__xludf.DUMMYFUNCTION("""COMPUTED_VALUE"""),"allen institute")</f>
        <v>allen institute</v>
      </c>
      <c r="AC3061" s="42" t="str">
        <f>IFERROR(__xludf.DUMMYFUNCTION("""COMPUTED_VALUE"""),"DHBA")</f>
        <v>DHBA</v>
      </c>
      <c r="AD3061" s="42"/>
      <c r="AE3061" s="42"/>
      <c r="AF3061" s="9"/>
      <c r="AG3061" s="9"/>
      <c r="AH3061" s="42"/>
      <c r="AI3061" s="42"/>
      <c r="AJ3061" s="42"/>
      <c r="AK3061" s="42"/>
      <c r="AL3061" s="42"/>
      <c r="AM3061" s="42"/>
      <c r="AN3061" s="42"/>
      <c r="AO3061" s="63" t="str">
        <f>IFERROR(__xludf.DUMMYFUNCTION("IF(ISBLANK(A3061),,IF(ISBLANK(S3061), A3061&amp;"";"", TEXTJOIN(CHAR(10), TRUE, A3061&amp;"";"", ARRAYFORMULA(VLOOKUP(SPLIT(S3061, "";"" &amp; CHAR(10)), $A:$AO, 41, FALSE)))))"),"#N/A")</f>
        <v>#N/A</v>
      </c>
      <c r="AP3061" s="89"/>
    </row>
    <row r="3062">
      <c r="A3062" s="151" t="str">
        <f>IFERROR(__xludf.DUMMYFUNCTION("""COMPUTED_VALUE"""),"Sp5C")</f>
        <v>Sp5C</v>
      </c>
      <c r="B3062" s="42" t="str">
        <f>IFERROR(__xludf.DUMMYFUNCTION("""COMPUTED_VALUE"""),"DHBA")</f>
        <v>DHBA</v>
      </c>
      <c r="C3062" s="42" t="str">
        <f>IFERROR(__xludf.DUMMYFUNCTION("""COMPUTED_VALUE"""),"spinal trigeminal nucleus, caudal part")</f>
        <v>spinal trigeminal nucleus, caudal part</v>
      </c>
      <c r="D3062" s="42">
        <f>IFERROR(__xludf.DUMMYFUNCTION("""COMPUTED_VALUE"""),2921.0)</f>
        <v>2921</v>
      </c>
      <c r="E3062" s="39" t="str">
        <f>IFERROR(__xludf.DUMMYFUNCTION("""COMPUTED_VALUE"""),"spinal trigeminal nucleus, caudal part")</f>
        <v>spinal trigeminal nucleus, caudal part</v>
      </c>
      <c r="F3062" s="9" t="str">
        <f>IFERROR(__xludf.DUMMYFUNCTION("""COMPUTED_VALUE"""),"Br")</f>
        <v>Br</v>
      </c>
      <c r="G3062" s="9" t="str">
        <f>IFERROR(__xludf.DUMMYFUNCTION("""COMPUTED_VALUE"""),"H")</f>
        <v>H</v>
      </c>
      <c r="H3062" s="9" t="str">
        <f>IFERROR(__xludf.DUMMYFUNCTION("""COMPUTED_VALUE"""),"HGM")</f>
        <v>HGM</v>
      </c>
      <c r="I3062" s="9" t="str">
        <f>IFERROR(__xludf.DUMMYFUNCTION("""COMPUTED_VALUE"""),"Mo")</f>
        <v>Mo</v>
      </c>
      <c r="J3062" s="9" t="str">
        <f>IFERROR(__xludf.DUMMYFUNCTION("""COMPUTED_VALUE"""),"MoTg")</f>
        <v>MoTg</v>
      </c>
      <c r="K3062" s="9" t="str">
        <f>IFERROR(__xludf.DUMMYFUNCTION("""COMPUTED_VALUE"""),"MoAN")</f>
        <v>MoAN</v>
      </c>
      <c r="L3062" s="9" t="str">
        <f>IFERROR(__xludf.DUMMYFUNCTION("""COMPUTED_VALUE"""),"Sp5")</f>
        <v>Sp5</v>
      </c>
      <c r="M3062" s="9" t="str">
        <f>IFERROR(__xludf.DUMMYFUNCTION("""COMPUTED_VALUE"""),"Sp5C")</f>
        <v>Sp5C</v>
      </c>
      <c r="N3062" s="9"/>
      <c r="O3062" s="9"/>
      <c r="P3062" s="9"/>
      <c r="Q3062" s="9"/>
      <c r="R3062" s="9"/>
      <c r="S3062" s="42" t="str">
        <f>IFERROR(__xludf.DUMMYFUNCTION("""COMPUTED_VALUE"""),"Sp5C1;
Sp5C2;
SP5C3_4")</f>
        <v>Sp5C1;
Sp5C2;
SP5C3_4</v>
      </c>
      <c r="T3062" s="42"/>
      <c r="U3062" s="159" t="b">
        <f>IFERROR(__xludf.DUMMYFUNCTION("""COMPUTED_VALUE"""),FALSE)</f>
        <v>0</v>
      </c>
      <c r="V3062" s="42"/>
      <c r="W3062" s="42"/>
      <c r="X3062" s="42"/>
      <c r="Y3062" s="42"/>
      <c r="Z3062" s="42"/>
      <c r="AA3062" s="42"/>
      <c r="AB3062" s="42" t="str">
        <f>IFERROR(__xludf.DUMMYFUNCTION("""COMPUTED_VALUE"""),"allen institute")</f>
        <v>allen institute</v>
      </c>
      <c r="AC3062" s="42" t="str">
        <f>IFERROR(__xludf.DUMMYFUNCTION("""COMPUTED_VALUE"""),"DHBA")</f>
        <v>DHBA</v>
      </c>
      <c r="AD3062" s="42"/>
      <c r="AE3062" s="42"/>
      <c r="AF3062" s="9"/>
      <c r="AG3062" s="9"/>
      <c r="AH3062" s="42"/>
      <c r="AI3062" s="42"/>
      <c r="AJ3062" s="42"/>
      <c r="AK3062" s="42"/>
      <c r="AL3062" s="42"/>
      <c r="AM3062" s="42"/>
      <c r="AN3062" s="42"/>
      <c r="AO3062" s="63" t="str">
        <f>IFERROR(__xludf.DUMMYFUNCTION("IF(ISBLANK(A3062),,IF(ISBLANK(S3062), A3062&amp;"";"", TEXTJOIN(CHAR(10), TRUE, A3062&amp;"";"", ARRAYFORMULA(VLOOKUP(SPLIT(S3062, "";"" &amp; CHAR(10)), $A:$AO, 41, FALSE)))))"),"#N/A")</f>
        <v>#N/A</v>
      </c>
      <c r="AP3062" s="89"/>
    </row>
    <row r="3063">
      <c r="A3063" s="151" t="str">
        <f>IFERROR(__xludf.DUMMYFUNCTION("""COMPUTED_VALUE"""),"Sp5C1")</f>
        <v>Sp5C1</v>
      </c>
      <c r="B3063" s="42" t="str">
        <f>IFERROR(__xludf.DUMMYFUNCTION("""COMPUTED_VALUE"""),"DHBA")</f>
        <v>DHBA</v>
      </c>
      <c r="C3063" s="42" t="str">
        <f>IFERROR(__xludf.DUMMYFUNCTION("""COMPUTED_VALUE"""),"layer 1 (marginal layer) of caudal spinal trigeminal nucleus")</f>
        <v>layer 1 (marginal layer) of caudal spinal trigeminal nucleus</v>
      </c>
      <c r="D3063" s="42">
        <f>IFERROR(__xludf.DUMMYFUNCTION("""COMPUTED_VALUE"""),2922.0)</f>
        <v>2922</v>
      </c>
      <c r="E3063" s="39" t="str">
        <f>IFERROR(__xludf.DUMMYFUNCTION("""COMPUTED_VALUE"""),"layer 1 (marginal layer) of caudal spinal trigeminal nucleus")</f>
        <v>layer 1 (marginal layer) of caudal spinal trigeminal nucleus</v>
      </c>
      <c r="F3063" s="9" t="str">
        <f>IFERROR(__xludf.DUMMYFUNCTION("""COMPUTED_VALUE"""),"Br")</f>
        <v>Br</v>
      </c>
      <c r="G3063" s="9" t="str">
        <f>IFERROR(__xludf.DUMMYFUNCTION("""COMPUTED_VALUE"""),"H")</f>
        <v>H</v>
      </c>
      <c r="H3063" s="9" t="str">
        <f>IFERROR(__xludf.DUMMYFUNCTION("""COMPUTED_VALUE"""),"HGM")</f>
        <v>HGM</v>
      </c>
      <c r="I3063" s="9" t="str">
        <f>IFERROR(__xludf.DUMMYFUNCTION("""COMPUTED_VALUE"""),"Mo")</f>
        <v>Mo</v>
      </c>
      <c r="J3063" s="9" t="str">
        <f>IFERROR(__xludf.DUMMYFUNCTION("""COMPUTED_VALUE"""),"MoTg")</f>
        <v>MoTg</v>
      </c>
      <c r="K3063" s="9" t="str">
        <f>IFERROR(__xludf.DUMMYFUNCTION("""COMPUTED_VALUE"""),"MoAN")</f>
        <v>MoAN</v>
      </c>
      <c r="L3063" s="9" t="str">
        <f>IFERROR(__xludf.DUMMYFUNCTION("""COMPUTED_VALUE"""),"Sp5")</f>
        <v>Sp5</v>
      </c>
      <c r="M3063" s="9" t="str">
        <f>IFERROR(__xludf.DUMMYFUNCTION("""COMPUTED_VALUE"""),"Sp5C")</f>
        <v>Sp5C</v>
      </c>
      <c r="N3063" s="9" t="str">
        <f>IFERROR(__xludf.DUMMYFUNCTION("""COMPUTED_VALUE"""),"Sp5C1")</f>
        <v>Sp5C1</v>
      </c>
      <c r="O3063" s="9"/>
      <c r="P3063" s="9"/>
      <c r="Q3063" s="9"/>
      <c r="R3063" s="9"/>
      <c r="S3063" s="42"/>
      <c r="T3063" s="42"/>
      <c r="U3063" s="42"/>
      <c r="V3063" s="42"/>
      <c r="W3063" s="42"/>
      <c r="X3063" s="42"/>
      <c r="Y3063" s="42"/>
      <c r="Z3063" s="42"/>
      <c r="AA3063" s="42"/>
      <c r="AB3063" s="42" t="str">
        <f>IFERROR(__xludf.DUMMYFUNCTION("""COMPUTED_VALUE"""),"allen institute")</f>
        <v>allen institute</v>
      </c>
      <c r="AC3063" s="42" t="str">
        <f>IFERROR(__xludf.DUMMYFUNCTION("""COMPUTED_VALUE"""),"DHBA")</f>
        <v>DHBA</v>
      </c>
      <c r="AD3063" s="42"/>
      <c r="AE3063" s="42"/>
      <c r="AF3063" s="9"/>
      <c r="AG3063" s="9"/>
      <c r="AH3063" s="42"/>
      <c r="AI3063" s="42"/>
      <c r="AJ3063" s="42"/>
      <c r="AK3063" s="42"/>
      <c r="AL3063" s="42"/>
      <c r="AM3063" s="42"/>
      <c r="AN3063" s="42"/>
      <c r="AO3063" s="63" t="str">
        <f>IFERROR(__xludf.DUMMYFUNCTION("IF(ISBLANK(A3063),,IF(ISBLANK(S3063), A3063&amp;"";"", TEXTJOIN(CHAR(10), TRUE, A3063&amp;"";"", ARRAYFORMULA(VLOOKUP(SPLIT(S3063, "";"" &amp; CHAR(10)), $A:$AO, 41, FALSE)))))"),"Sp5C1;")</f>
        <v>Sp5C1;</v>
      </c>
      <c r="AP3063" s="89"/>
    </row>
    <row r="3064">
      <c r="A3064" s="151" t="str">
        <f>IFERROR(__xludf.DUMMYFUNCTION("""COMPUTED_VALUE"""),"Sp5C2")</f>
        <v>Sp5C2</v>
      </c>
      <c r="B3064" s="42" t="str">
        <f>IFERROR(__xludf.DUMMYFUNCTION("""COMPUTED_VALUE"""),"DHBA")</f>
        <v>DHBA</v>
      </c>
      <c r="C3064" s="42" t="str">
        <f>IFERROR(__xludf.DUMMYFUNCTION("""COMPUTED_VALUE"""),"layer 2 (gelatenous layer) of caudal spinal trigeminal nucleus")</f>
        <v>layer 2 (gelatenous layer) of caudal spinal trigeminal nucleus</v>
      </c>
      <c r="D3064" s="42">
        <f>IFERROR(__xludf.DUMMYFUNCTION("""COMPUTED_VALUE"""),2923.0)</f>
        <v>2923</v>
      </c>
      <c r="E3064" s="39" t="str">
        <f>IFERROR(__xludf.DUMMYFUNCTION("""COMPUTED_VALUE"""),"layer 2 (gelatenous layer) of caudal spinal trigeminal nucleus")</f>
        <v>layer 2 (gelatenous layer) of caudal spinal trigeminal nucleus</v>
      </c>
      <c r="F3064" s="9" t="str">
        <f>IFERROR(__xludf.DUMMYFUNCTION("""COMPUTED_VALUE"""),"Br")</f>
        <v>Br</v>
      </c>
      <c r="G3064" s="9" t="str">
        <f>IFERROR(__xludf.DUMMYFUNCTION("""COMPUTED_VALUE"""),"H")</f>
        <v>H</v>
      </c>
      <c r="H3064" s="9" t="str">
        <f>IFERROR(__xludf.DUMMYFUNCTION("""COMPUTED_VALUE"""),"HGM")</f>
        <v>HGM</v>
      </c>
      <c r="I3064" s="9" t="str">
        <f>IFERROR(__xludf.DUMMYFUNCTION("""COMPUTED_VALUE"""),"Mo")</f>
        <v>Mo</v>
      </c>
      <c r="J3064" s="9" t="str">
        <f>IFERROR(__xludf.DUMMYFUNCTION("""COMPUTED_VALUE"""),"MoTg")</f>
        <v>MoTg</v>
      </c>
      <c r="K3064" s="9" t="str">
        <f>IFERROR(__xludf.DUMMYFUNCTION("""COMPUTED_VALUE"""),"MoAN")</f>
        <v>MoAN</v>
      </c>
      <c r="L3064" s="9" t="str">
        <f>IFERROR(__xludf.DUMMYFUNCTION("""COMPUTED_VALUE"""),"Sp5")</f>
        <v>Sp5</v>
      </c>
      <c r="M3064" s="9" t="str">
        <f>IFERROR(__xludf.DUMMYFUNCTION("""COMPUTED_VALUE"""),"Sp5C")</f>
        <v>Sp5C</v>
      </c>
      <c r="N3064" s="9" t="str">
        <f>IFERROR(__xludf.DUMMYFUNCTION("""COMPUTED_VALUE"""),"Sp5C2")</f>
        <v>Sp5C2</v>
      </c>
      <c r="O3064" s="9"/>
      <c r="P3064" s="9"/>
      <c r="Q3064" s="9"/>
      <c r="R3064" s="9"/>
      <c r="S3064" s="42"/>
      <c r="T3064" s="42"/>
      <c r="U3064" s="42"/>
      <c r="V3064" s="42"/>
      <c r="W3064" s="42"/>
      <c r="X3064" s="42"/>
      <c r="Y3064" s="42"/>
      <c r="Z3064" s="42"/>
      <c r="AA3064" s="42"/>
      <c r="AB3064" s="42" t="str">
        <f>IFERROR(__xludf.DUMMYFUNCTION("""COMPUTED_VALUE"""),"allen institute")</f>
        <v>allen institute</v>
      </c>
      <c r="AC3064" s="42" t="str">
        <f>IFERROR(__xludf.DUMMYFUNCTION("""COMPUTED_VALUE"""),"DHBA")</f>
        <v>DHBA</v>
      </c>
      <c r="AD3064" s="42"/>
      <c r="AE3064" s="42"/>
      <c r="AF3064" s="9"/>
      <c r="AG3064" s="9"/>
      <c r="AH3064" s="42"/>
      <c r="AI3064" s="42"/>
      <c r="AJ3064" s="42"/>
      <c r="AK3064" s="42"/>
      <c r="AL3064" s="42"/>
      <c r="AM3064" s="42"/>
      <c r="AN3064" s="42"/>
      <c r="AO3064" s="63" t="str">
        <f>IFERROR(__xludf.DUMMYFUNCTION("IF(ISBLANK(A3064),,IF(ISBLANK(S3064), A3064&amp;"";"", TEXTJOIN(CHAR(10), TRUE, A3064&amp;"";"", ARRAYFORMULA(VLOOKUP(SPLIT(S3064, "";"" &amp; CHAR(10)), $A:$AO, 41, FALSE)))))"),"Sp5C2;")</f>
        <v>Sp5C2;</v>
      </c>
      <c r="AP3064" s="89"/>
    </row>
    <row r="3065">
      <c r="A3065" s="151" t="str">
        <f>IFERROR(__xludf.DUMMYFUNCTION("""COMPUTED_VALUE"""),"SP5C3/4")</f>
        <v>SP5C3/4</v>
      </c>
      <c r="B3065" s="42" t="str">
        <f>IFERROR(__xludf.DUMMYFUNCTION("""COMPUTED_VALUE"""),"DHBA")</f>
        <v>DHBA</v>
      </c>
      <c r="C3065" s="42" t="str">
        <f>IFERROR(__xludf.DUMMYFUNCTION("""COMPUTED_VALUE"""),"layer 3/4 (magnocellular layer) of caudal spinal trigeminal nucleus")</f>
        <v>layer 3/4 (magnocellular layer) of caudal spinal trigeminal nucleus</v>
      </c>
      <c r="D3065" s="42">
        <f>IFERROR(__xludf.DUMMYFUNCTION("""COMPUTED_VALUE"""),2924.0)</f>
        <v>2924</v>
      </c>
      <c r="E3065" s="39" t="str">
        <f>IFERROR(__xludf.DUMMYFUNCTION("""COMPUTED_VALUE"""),"layer 3/4 (magnocellular layer) of caudal spinal trigeminal nucleus")</f>
        <v>layer 3/4 (magnocellular layer) of caudal spinal trigeminal nucleus</v>
      </c>
      <c r="F3065" s="9" t="str">
        <f>IFERROR(__xludf.DUMMYFUNCTION("""COMPUTED_VALUE"""),"Br")</f>
        <v>Br</v>
      </c>
      <c r="G3065" s="9" t="str">
        <f>IFERROR(__xludf.DUMMYFUNCTION("""COMPUTED_VALUE"""),"H")</f>
        <v>H</v>
      </c>
      <c r="H3065" s="9" t="str">
        <f>IFERROR(__xludf.DUMMYFUNCTION("""COMPUTED_VALUE"""),"HGM")</f>
        <v>HGM</v>
      </c>
      <c r="I3065" s="9" t="str">
        <f>IFERROR(__xludf.DUMMYFUNCTION("""COMPUTED_VALUE"""),"Mo")</f>
        <v>Mo</v>
      </c>
      <c r="J3065" s="9" t="str">
        <f>IFERROR(__xludf.DUMMYFUNCTION("""COMPUTED_VALUE"""),"MoTg")</f>
        <v>MoTg</v>
      </c>
      <c r="K3065" s="9" t="str">
        <f>IFERROR(__xludf.DUMMYFUNCTION("""COMPUTED_VALUE"""),"MoAN")</f>
        <v>MoAN</v>
      </c>
      <c r="L3065" s="9" t="str">
        <f>IFERROR(__xludf.DUMMYFUNCTION("""COMPUTED_VALUE"""),"Sp5")</f>
        <v>Sp5</v>
      </c>
      <c r="M3065" s="9" t="str">
        <f>IFERROR(__xludf.DUMMYFUNCTION("""COMPUTED_VALUE"""),"Sp5C")</f>
        <v>Sp5C</v>
      </c>
      <c r="N3065" s="9" t="str">
        <f>IFERROR(__xludf.DUMMYFUNCTION("""COMPUTED_VALUE"""),"SP5C3/4")</f>
        <v>SP5C3/4</v>
      </c>
      <c r="O3065" s="9"/>
      <c r="P3065" s="9"/>
      <c r="Q3065" s="9"/>
      <c r="R3065" s="9"/>
      <c r="S3065" s="42"/>
      <c r="T3065" s="42"/>
      <c r="U3065" s="42"/>
      <c r="V3065" s="42"/>
      <c r="W3065" s="42"/>
      <c r="X3065" s="42"/>
      <c r="Y3065" s="42"/>
      <c r="Z3065" s="42"/>
      <c r="AA3065" s="42"/>
      <c r="AB3065" s="42" t="str">
        <f>IFERROR(__xludf.DUMMYFUNCTION("""COMPUTED_VALUE"""),"allen institute")</f>
        <v>allen institute</v>
      </c>
      <c r="AC3065" s="42" t="str">
        <f>IFERROR(__xludf.DUMMYFUNCTION("""COMPUTED_VALUE"""),"DHBA")</f>
        <v>DHBA</v>
      </c>
      <c r="AD3065" s="42"/>
      <c r="AE3065" s="42"/>
      <c r="AF3065" s="9"/>
      <c r="AG3065" s="9"/>
      <c r="AH3065" s="42"/>
      <c r="AI3065" s="42"/>
      <c r="AJ3065" s="42"/>
      <c r="AK3065" s="42"/>
      <c r="AL3065" s="42"/>
      <c r="AM3065" s="42"/>
      <c r="AN3065" s="42"/>
      <c r="AO3065" s="63" t="str">
        <f>IFERROR(__xludf.DUMMYFUNCTION("IF(ISBLANK(A3065),,IF(ISBLANK(S3065), A3065&amp;"";"", TEXTJOIN(CHAR(10), TRUE, A3065&amp;"";"", ARRAYFORMULA(VLOOKUP(SPLIT(S3065, "";"" &amp; CHAR(10)), $A:$AO, 41, FALSE)))))"),"SP5C3/4;")</f>
        <v>SP5C3/4;</v>
      </c>
      <c r="AP3065" s="89"/>
    </row>
    <row r="3066">
      <c r="A3066" s="151" t="str">
        <f>IFERROR(__xludf.DUMMYFUNCTION("""COMPUTED_VALUE"""),"DM5")</f>
        <v>DM5</v>
      </c>
      <c r="B3066" s="42" t="str">
        <f>IFERROR(__xludf.DUMMYFUNCTION("""COMPUTED_VALUE"""),"DHBA")</f>
        <v>DHBA</v>
      </c>
      <c r="C3066" s="42" t="str">
        <f>IFERROR(__xludf.DUMMYFUNCTION("""COMPUTED_VALUE"""),"dorsomedial spinal trigeminal nucleus")</f>
        <v>dorsomedial spinal trigeminal nucleus</v>
      </c>
      <c r="D3066" s="42">
        <f>IFERROR(__xludf.DUMMYFUNCTION("""COMPUTED_VALUE"""),2925.0)</f>
        <v>2925</v>
      </c>
      <c r="E3066" s="39" t="str">
        <f>IFERROR(__xludf.DUMMYFUNCTION("""COMPUTED_VALUE"""),"dorsomedial spinal trigeminal nucleus")</f>
        <v>dorsomedial spinal trigeminal nucleus</v>
      </c>
      <c r="F3066" s="9" t="str">
        <f>IFERROR(__xludf.DUMMYFUNCTION("""COMPUTED_VALUE"""),"Br")</f>
        <v>Br</v>
      </c>
      <c r="G3066" s="9" t="str">
        <f>IFERROR(__xludf.DUMMYFUNCTION("""COMPUTED_VALUE"""),"H")</f>
        <v>H</v>
      </c>
      <c r="H3066" s="9" t="str">
        <f>IFERROR(__xludf.DUMMYFUNCTION("""COMPUTED_VALUE"""),"HGM")</f>
        <v>HGM</v>
      </c>
      <c r="I3066" s="9" t="str">
        <f>IFERROR(__xludf.DUMMYFUNCTION("""COMPUTED_VALUE"""),"Mo")</f>
        <v>Mo</v>
      </c>
      <c r="J3066" s="9" t="str">
        <f>IFERROR(__xludf.DUMMYFUNCTION("""COMPUTED_VALUE"""),"MoTg")</f>
        <v>MoTg</v>
      </c>
      <c r="K3066" s="9" t="str">
        <f>IFERROR(__xludf.DUMMYFUNCTION("""COMPUTED_VALUE"""),"MoAN")</f>
        <v>MoAN</v>
      </c>
      <c r="L3066" s="9" t="str">
        <f>IFERROR(__xludf.DUMMYFUNCTION("""COMPUTED_VALUE"""),"Sp5")</f>
        <v>Sp5</v>
      </c>
      <c r="M3066" s="9" t="str">
        <f>IFERROR(__xludf.DUMMYFUNCTION("""COMPUTED_VALUE"""),"DM5")</f>
        <v>DM5</v>
      </c>
      <c r="N3066" s="9"/>
      <c r="O3066" s="9"/>
      <c r="P3066" s="9"/>
      <c r="Q3066" s="9"/>
      <c r="R3066" s="9"/>
      <c r="S3066" s="42"/>
      <c r="T3066" s="42"/>
      <c r="U3066" s="42"/>
      <c r="V3066" s="42"/>
      <c r="W3066" s="42"/>
      <c r="X3066" s="42"/>
      <c r="Y3066" s="42"/>
      <c r="Z3066" s="42"/>
      <c r="AA3066" s="42"/>
      <c r="AB3066" s="42" t="str">
        <f>IFERROR(__xludf.DUMMYFUNCTION("""COMPUTED_VALUE"""),"allen institute")</f>
        <v>allen institute</v>
      </c>
      <c r="AC3066" s="42" t="str">
        <f>IFERROR(__xludf.DUMMYFUNCTION("""COMPUTED_VALUE"""),"DHBA")</f>
        <v>DHBA</v>
      </c>
      <c r="AD3066" s="42"/>
      <c r="AE3066" s="42"/>
      <c r="AF3066" s="9"/>
      <c r="AG3066" s="9"/>
      <c r="AH3066" s="42"/>
      <c r="AI3066" s="42"/>
      <c r="AJ3066" s="42"/>
      <c r="AK3066" s="42"/>
      <c r="AL3066" s="42"/>
      <c r="AM3066" s="42"/>
      <c r="AN3066" s="42"/>
      <c r="AO3066" s="63" t="str">
        <f>IFERROR(__xludf.DUMMYFUNCTION("IF(ISBLANK(A3066),,IF(ISBLANK(S3066), A3066&amp;"";"", TEXTJOIN(CHAR(10), TRUE, A3066&amp;"";"", ARRAYFORMULA(VLOOKUP(SPLIT(S3066, "";"" &amp; CHAR(10)), $A:$AO, 41, FALSE)))))"),"DM5;")</f>
        <v>DM5;</v>
      </c>
      <c r="AP3066" s="89"/>
    </row>
    <row r="3067">
      <c r="A3067" s="151" t="str">
        <f>IFERROR(__xludf.DUMMYFUNCTION("""COMPUTED_VALUE"""),"Sp5ip")</f>
        <v>Sp5ip</v>
      </c>
      <c r="B3067" s="42" t="str">
        <f>IFERROR(__xludf.DUMMYFUNCTION("""COMPUTED_VALUE"""),"DHBA")</f>
        <v>DHBA</v>
      </c>
      <c r="C3067" s="42" t="str">
        <f>IFERROR(__xludf.DUMMYFUNCTION("""COMPUTED_VALUE"""),"spinal trigeminal nucleus, interpolar part")</f>
        <v>spinal trigeminal nucleus, interpolar part</v>
      </c>
      <c r="D3067" s="42">
        <f>IFERROR(__xludf.DUMMYFUNCTION("""COMPUTED_VALUE"""),2926.0)</f>
        <v>2926</v>
      </c>
      <c r="E3067" s="39" t="str">
        <f>IFERROR(__xludf.DUMMYFUNCTION("""COMPUTED_VALUE"""),"spinal trigeminal nucleus, interpolar part")</f>
        <v>spinal trigeminal nucleus, interpolar part</v>
      </c>
      <c r="F3067" s="9" t="str">
        <f>IFERROR(__xludf.DUMMYFUNCTION("""COMPUTED_VALUE"""),"Br")</f>
        <v>Br</v>
      </c>
      <c r="G3067" s="9" t="str">
        <f>IFERROR(__xludf.DUMMYFUNCTION("""COMPUTED_VALUE"""),"H")</f>
        <v>H</v>
      </c>
      <c r="H3067" s="9" t="str">
        <f>IFERROR(__xludf.DUMMYFUNCTION("""COMPUTED_VALUE"""),"HGM")</f>
        <v>HGM</v>
      </c>
      <c r="I3067" s="9" t="str">
        <f>IFERROR(__xludf.DUMMYFUNCTION("""COMPUTED_VALUE"""),"Mo")</f>
        <v>Mo</v>
      </c>
      <c r="J3067" s="9" t="str">
        <f>IFERROR(__xludf.DUMMYFUNCTION("""COMPUTED_VALUE"""),"MoTg")</f>
        <v>MoTg</v>
      </c>
      <c r="K3067" s="9" t="str">
        <f>IFERROR(__xludf.DUMMYFUNCTION("""COMPUTED_VALUE"""),"MoAN")</f>
        <v>MoAN</v>
      </c>
      <c r="L3067" s="9" t="str">
        <f>IFERROR(__xludf.DUMMYFUNCTION("""COMPUTED_VALUE"""),"Sp5")</f>
        <v>Sp5</v>
      </c>
      <c r="M3067" s="9" t="str">
        <f>IFERROR(__xludf.DUMMYFUNCTION("""COMPUTED_VALUE"""),"Sp5ip")</f>
        <v>Sp5ip</v>
      </c>
      <c r="N3067" s="9"/>
      <c r="O3067" s="9"/>
      <c r="P3067" s="9"/>
      <c r="Q3067" s="9"/>
      <c r="R3067" s="9"/>
      <c r="S3067" s="42"/>
      <c r="T3067" s="42"/>
      <c r="U3067" s="42"/>
      <c r="V3067" s="42"/>
      <c r="W3067" s="42"/>
      <c r="X3067" s="42"/>
      <c r="Y3067" s="42"/>
      <c r="Z3067" s="42"/>
      <c r="AA3067" s="42"/>
      <c r="AB3067" s="42" t="str">
        <f>IFERROR(__xludf.DUMMYFUNCTION("""COMPUTED_VALUE"""),"allen institute")</f>
        <v>allen institute</v>
      </c>
      <c r="AC3067" s="42" t="str">
        <f>IFERROR(__xludf.DUMMYFUNCTION("""COMPUTED_VALUE"""),"DHBA")</f>
        <v>DHBA</v>
      </c>
      <c r="AD3067" s="42"/>
      <c r="AE3067" s="42"/>
      <c r="AF3067" s="9"/>
      <c r="AG3067" s="9"/>
      <c r="AH3067" s="42"/>
      <c r="AI3067" s="42"/>
      <c r="AJ3067" s="42"/>
      <c r="AK3067" s="42"/>
      <c r="AL3067" s="42"/>
      <c r="AM3067" s="42"/>
      <c r="AN3067" s="42"/>
      <c r="AO3067" s="63" t="str">
        <f>IFERROR(__xludf.DUMMYFUNCTION("IF(ISBLANK(A3067),,IF(ISBLANK(S3067), A3067&amp;"";"", TEXTJOIN(CHAR(10), TRUE, A3067&amp;"";"", ARRAYFORMULA(VLOOKUP(SPLIT(S3067, "";"" &amp; CHAR(10)), $A:$AO, 41, FALSE)))))"),"Sp5ip;")</f>
        <v>Sp5ip;</v>
      </c>
      <c r="AP3067" s="89"/>
    </row>
    <row r="3068">
      <c r="A3068" s="151" t="str">
        <f>IFERROR(__xludf.DUMMYFUNCTION("""COMPUTED_VALUE"""),"8Ve")</f>
        <v>8Ve</v>
      </c>
      <c r="B3068" s="42" t="str">
        <f>IFERROR(__xludf.DUMMYFUNCTION("""COMPUTED_VALUE"""),"DHBA")</f>
        <v>DHBA</v>
      </c>
      <c r="C3068" s="42" t="str">
        <f>IFERROR(__xludf.DUMMYFUNCTION("""COMPUTED_VALUE"""),"vestibular nuclei in medula")</f>
        <v>vestibular nuclei in medula</v>
      </c>
      <c r="D3068" s="42">
        <f>IFERROR(__xludf.DUMMYFUNCTION("""COMPUTED_VALUE"""),2927.0)</f>
        <v>2927</v>
      </c>
      <c r="E3068" s="39" t="str">
        <f>IFERROR(__xludf.DUMMYFUNCTION("""COMPUTED_VALUE"""),"vestibular nuclei in medulla")</f>
        <v>vestibular nuclei in medulla</v>
      </c>
      <c r="F3068" s="9" t="str">
        <f>IFERROR(__xludf.DUMMYFUNCTION("""COMPUTED_VALUE"""),"Br")</f>
        <v>Br</v>
      </c>
      <c r="G3068" s="9" t="str">
        <f>IFERROR(__xludf.DUMMYFUNCTION("""COMPUTED_VALUE"""),"H")</f>
        <v>H</v>
      </c>
      <c r="H3068" s="9" t="str">
        <f>IFERROR(__xludf.DUMMYFUNCTION("""COMPUTED_VALUE"""),"HGM")</f>
        <v>HGM</v>
      </c>
      <c r="I3068" s="9" t="str">
        <f>IFERROR(__xludf.DUMMYFUNCTION("""COMPUTED_VALUE"""),"Mo")</f>
        <v>Mo</v>
      </c>
      <c r="J3068" s="9" t="str">
        <f>IFERROR(__xludf.DUMMYFUNCTION("""COMPUTED_VALUE"""),"MoTg")</f>
        <v>MoTg</v>
      </c>
      <c r="K3068" s="9" t="str">
        <f>IFERROR(__xludf.DUMMYFUNCTION("""COMPUTED_VALUE"""),"MoAN")</f>
        <v>MoAN</v>
      </c>
      <c r="L3068" s="9" t="str">
        <f>IFERROR(__xludf.DUMMYFUNCTION("""COMPUTED_VALUE"""),"8Ve")</f>
        <v>8Ve</v>
      </c>
      <c r="M3068" s="9"/>
      <c r="N3068" s="9"/>
      <c r="O3068" s="9"/>
      <c r="P3068" s="9"/>
      <c r="Q3068" s="9"/>
      <c r="R3068" s="9"/>
      <c r="S3068" s="42" t="str">
        <f>IFERROR(__xludf.DUMMYFUNCTION("""COMPUTED_VALUE"""),"MVe")</f>
        <v>MVe</v>
      </c>
      <c r="T3068" s="42"/>
      <c r="U3068" s="42" t="b">
        <f>IFERROR(__xludf.DUMMYFUNCTION("""COMPUTED_VALUE"""),TRUE)</f>
        <v>1</v>
      </c>
      <c r="V3068" s="42"/>
      <c r="W3068" s="42"/>
      <c r="X3068" s="42"/>
      <c r="Y3068" s="42"/>
      <c r="Z3068" s="42"/>
      <c r="AA3068" s="42"/>
      <c r="AB3068" s="42" t="str">
        <f>IFERROR(__xludf.DUMMYFUNCTION("""COMPUTED_VALUE"""),"allen institute")</f>
        <v>allen institute</v>
      </c>
      <c r="AC3068" s="42" t="str">
        <f>IFERROR(__xludf.DUMMYFUNCTION("""COMPUTED_VALUE"""),"DHBA")</f>
        <v>DHBA</v>
      </c>
      <c r="AD3068" s="42"/>
      <c r="AE3068" s="42"/>
      <c r="AF3068" s="9"/>
      <c r="AG3068" s="9"/>
      <c r="AH3068" s="42"/>
      <c r="AI3068" s="42"/>
      <c r="AJ3068" s="42"/>
      <c r="AK3068" s="42"/>
      <c r="AL3068" s="42"/>
      <c r="AM3068" s="42"/>
      <c r="AN3068" s="42"/>
      <c r="AO3068" s="63" t="str">
        <f>IFERROR(__xludf.DUMMYFUNCTION("IF(ISBLANK(A3068),,IF(ISBLANK(S3068), A3068&amp;"";"", TEXTJOIN(CHAR(10), TRUE, A3068&amp;"";"", ARRAYFORMULA(VLOOKUP(SPLIT(S3068, "";"" &amp; CHAR(10)), $A:$AO, 41, FALSE)))))"),"8Ve;
MVe;
MVeMC;
MVEPC;")</f>
        <v>8Ve;
MVe;
MVeMC;
MVEPC;</v>
      </c>
      <c r="AP3068" s="89"/>
    </row>
    <row r="3069">
      <c r="A3069" s="151" t="str">
        <f>IFERROR(__xludf.DUMMYFUNCTION("""COMPUTED_VALUE"""),"I8")</f>
        <v>I8</v>
      </c>
      <c r="B3069" s="42" t="str">
        <f>IFERROR(__xludf.DUMMYFUNCTION("""COMPUTED_VALUE"""),"DHBA")</f>
        <v>DHBA</v>
      </c>
      <c r="C3069" s="42" t="str">
        <f>IFERROR(__xludf.DUMMYFUNCTION("""COMPUTED_VALUE"""),"interstial nucleus of the vestibulocochlear nerve")</f>
        <v>interstial nucleus of the vestibulocochlear nerve</v>
      </c>
      <c r="D3069" s="42">
        <f>IFERROR(__xludf.DUMMYFUNCTION("""COMPUTED_VALUE"""),2928.0)</f>
        <v>2928</v>
      </c>
      <c r="E3069" s="39" t="str">
        <f>IFERROR(__xludf.DUMMYFUNCTION("""COMPUTED_VALUE"""),"interstial nucleus of the vestibulocochlear nerve")</f>
        <v>interstial nucleus of the vestibulocochlear nerve</v>
      </c>
      <c r="F3069" s="9" t="str">
        <f>IFERROR(__xludf.DUMMYFUNCTION("""COMPUTED_VALUE"""),"Br")</f>
        <v>Br</v>
      </c>
      <c r="G3069" s="9" t="str">
        <f>IFERROR(__xludf.DUMMYFUNCTION("""COMPUTED_VALUE"""),"H")</f>
        <v>H</v>
      </c>
      <c r="H3069" s="9" t="str">
        <f>IFERROR(__xludf.DUMMYFUNCTION("""COMPUTED_VALUE"""),"HGM")</f>
        <v>HGM</v>
      </c>
      <c r="I3069" s="9" t="str">
        <f>IFERROR(__xludf.DUMMYFUNCTION("""COMPUTED_VALUE"""),"Mo")</f>
        <v>Mo</v>
      </c>
      <c r="J3069" s="9" t="str">
        <f>IFERROR(__xludf.DUMMYFUNCTION("""COMPUTED_VALUE"""),"MoTg")</f>
        <v>MoTg</v>
      </c>
      <c r="K3069" s="9" t="str">
        <f>IFERROR(__xludf.DUMMYFUNCTION("""COMPUTED_VALUE"""),"MoAN")</f>
        <v>MoAN</v>
      </c>
      <c r="L3069" s="9" t="str">
        <f>IFERROR(__xludf.DUMMYFUNCTION("""COMPUTED_VALUE"""),"8Ve")</f>
        <v>8Ve</v>
      </c>
      <c r="M3069" s="9" t="str">
        <f>IFERROR(__xludf.DUMMYFUNCTION("""COMPUTED_VALUE"""),"I8")</f>
        <v>I8</v>
      </c>
      <c r="N3069" s="9"/>
      <c r="O3069" s="9"/>
      <c r="P3069" s="9"/>
      <c r="Q3069" s="9"/>
      <c r="R3069" s="9"/>
      <c r="S3069" s="42"/>
      <c r="T3069" s="42"/>
      <c r="U3069" s="42"/>
      <c r="V3069" s="42"/>
      <c r="W3069" s="42"/>
      <c r="X3069" s="42"/>
      <c r="Y3069" s="42"/>
      <c r="Z3069" s="42"/>
      <c r="AA3069" s="42"/>
      <c r="AB3069" s="42" t="str">
        <f>IFERROR(__xludf.DUMMYFUNCTION("""COMPUTED_VALUE"""),"allen institute")</f>
        <v>allen institute</v>
      </c>
      <c r="AC3069" s="42" t="str">
        <f>IFERROR(__xludf.DUMMYFUNCTION("""COMPUTED_VALUE"""),"DHBA")</f>
        <v>DHBA</v>
      </c>
      <c r="AD3069" s="42"/>
      <c r="AE3069" s="42"/>
      <c r="AF3069" s="9"/>
      <c r="AG3069" s="9"/>
      <c r="AH3069" s="42"/>
      <c r="AI3069" s="42"/>
      <c r="AJ3069" s="42"/>
      <c r="AK3069" s="42"/>
      <c r="AL3069" s="42"/>
      <c r="AM3069" s="42"/>
      <c r="AN3069" s="42"/>
      <c r="AO3069" s="63" t="str">
        <f>IFERROR(__xludf.DUMMYFUNCTION("IF(ISBLANK(A3069),,IF(ISBLANK(S3069), A3069&amp;"";"", TEXTJOIN(CHAR(10), TRUE, A3069&amp;"";"", ARRAYFORMULA(VLOOKUP(SPLIT(S3069, "";"" &amp; CHAR(10)), $A:$AO, 41, FALSE)))))"),"I8;")</f>
        <v>I8;</v>
      </c>
      <c r="AP3069" s="89"/>
    </row>
    <row r="3070">
      <c r="A3070" s="151" t="str">
        <f>IFERROR(__xludf.DUMMYFUNCTION("""COMPUTED_VALUE"""),"MVe")</f>
        <v>MVe</v>
      </c>
      <c r="B3070" s="42" t="str">
        <f>IFERROR(__xludf.DUMMYFUNCTION("""COMPUTED_VALUE"""),"DHBA")</f>
        <v>DHBA</v>
      </c>
      <c r="C3070" s="42" t="str">
        <f>IFERROR(__xludf.DUMMYFUNCTION("""COMPUTED_VALUE"""),"medial vestibular nucleus")</f>
        <v>medial vestibular nucleus</v>
      </c>
      <c r="D3070" s="42">
        <f>IFERROR(__xludf.DUMMYFUNCTION("""COMPUTED_VALUE"""),2929.0)</f>
        <v>2929</v>
      </c>
      <c r="E3070" s="39" t="str">
        <f>IFERROR(__xludf.DUMMYFUNCTION("""COMPUTED_VALUE"""),"medial vestibular nucleus")</f>
        <v>medial vestibular nucleus</v>
      </c>
      <c r="F3070" s="9" t="str">
        <f>IFERROR(__xludf.DUMMYFUNCTION("""COMPUTED_VALUE"""),"Br")</f>
        <v>Br</v>
      </c>
      <c r="G3070" s="9" t="str">
        <f>IFERROR(__xludf.DUMMYFUNCTION("""COMPUTED_VALUE"""),"H")</f>
        <v>H</v>
      </c>
      <c r="H3070" s="9" t="str">
        <f>IFERROR(__xludf.DUMMYFUNCTION("""COMPUTED_VALUE"""),"HGM")</f>
        <v>HGM</v>
      </c>
      <c r="I3070" s="9" t="str">
        <f>IFERROR(__xludf.DUMMYFUNCTION("""COMPUTED_VALUE"""),"Mo")</f>
        <v>Mo</v>
      </c>
      <c r="J3070" s="9" t="str">
        <f>IFERROR(__xludf.DUMMYFUNCTION("""COMPUTED_VALUE"""),"MoTg")</f>
        <v>MoTg</v>
      </c>
      <c r="K3070" s="9" t="str">
        <f>IFERROR(__xludf.DUMMYFUNCTION("""COMPUTED_VALUE"""),"MoAN")</f>
        <v>MoAN</v>
      </c>
      <c r="L3070" s="9" t="str">
        <f>IFERROR(__xludf.DUMMYFUNCTION("""COMPUTED_VALUE"""),"8Ve")</f>
        <v>8Ve</v>
      </c>
      <c r="M3070" s="9" t="str">
        <f>IFERROR(__xludf.DUMMYFUNCTION("""COMPUTED_VALUE"""),"MVe")</f>
        <v>MVe</v>
      </c>
      <c r="N3070" s="9"/>
      <c r="O3070" s="9"/>
      <c r="P3070" s="9"/>
      <c r="Q3070" s="9"/>
      <c r="R3070" s="9"/>
      <c r="S3070" s="42" t="str">
        <f>IFERROR(__xludf.DUMMYFUNCTION("""COMPUTED_VALUE"""),"MVeMC;
MVePC")</f>
        <v>MVeMC;
MVePC</v>
      </c>
      <c r="T3070" s="42"/>
      <c r="U3070" s="42" t="b">
        <f>IFERROR(__xludf.DUMMYFUNCTION("""COMPUTED_VALUE"""),FALSE)</f>
        <v>0</v>
      </c>
      <c r="V3070" s="42"/>
      <c r="W3070" s="42"/>
      <c r="X3070" s="42"/>
      <c r="Y3070" s="42"/>
      <c r="Z3070" s="42"/>
      <c r="AA3070" s="42"/>
      <c r="AB3070" s="42" t="str">
        <f>IFERROR(__xludf.DUMMYFUNCTION("""COMPUTED_VALUE"""),"allen institute")</f>
        <v>allen institute</v>
      </c>
      <c r="AC3070" s="42" t="str">
        <f>IFERROR(__xludf.DUMMYFUNCTION("""COMPUTED_VALUE"""),"DHBA")</f>
        <v>DHBA</v>
      </c>
      <c r="AD3070" s="42"/>
      <c r="AE3070" s="42"/>
      <c r="AF3070" s="9"/>
      <c r="AG3070" s="9"/>
      <c r="AH3070" s="42"/>
      <c r="AI3070" s="42"/>
      <c r="AJ3070" s="42"/>
      <c r="AK3070" s="42"/>
      <c r="AL3070" s="42"/>
      <c r="AM3070" s="42"/>
      <c r="AN3070" s="42"/>
      <c r="AO3070" s="63" t="str">
        <f>IFERROR(__xludf.DUMMYFUNCTION("IF(ISBLANK(A3070),,IF(ISBLANK(S3070), A3070&amp;"";"", TEXTJOIN(CHAR(10), TRUE, A3070&amp;"";"", ARRAYFORMULA(VLOOKUP(SPLIT(S3070, "";"" &amp; CHAR(10)), $A:$AO, 41, FALSE)))))"),"MVe;
MVeMC;
MVEPC;")</f>
        <v>MVe;
MVeMC;
MVEPC;</v>
      </c>
      <c r="AP3070" s="89"/>
    </row>
    <row r="3071">
      <c r="A3071" s="151" t="str">
        <f>IFERROR(__xludf.DUMMYFUNCTION("""COMPUTED_VALUE"""),"MVeMC")</f>
        <v>MVeMC</v>
      </c>
      <c r="B3071" s="42" t="str">
        <f>IFERROR(__xludf.DUMMYFUNCTION("""COMPUTED_VALUE"""),"DHBA")</f>
        <v>DHBA</v>
      </c>
      <c r="C3071" s="42" t="str">
        <f>IFERROR(__xludf.DUMMYFUNCTION("""COMPUTED_VALUE"""),"medial vestibular neucleus, magnocellular part")</f>
        <v>medial vestibular neucleus, magnocellular part</v>
      </c>
      <c r="D3071" s="42">
        <f>IFERROR(__xludf.DUMMYFUNCTION("""COMPUTED_VALUE"""),2930.0)</f>
        <v>2930</v>
      </c>
      <c r="E3071" s="39" t="str">
        <f>IFERROR(__xludf.DUMMYFUNCTION("""COMPUTED_VALUE"""),"medial vestibular nucleus, magnocellular part")</f>
        <v>medial vestibular nucleus, magnocellular part</v>
      </c>
      <c r="F3071" s="9" t="str">
        <f>IFERROR(__xludf.DUMMYFUNCTION("""COMPUTED_VALUE"""),"Br")</f>
        <v>Br</v>
      </c>
      <c r="G3071" s="9" t="str">
        <f>IFERROR(__xludf.DUMMYFUNCTION("""COMPUTED_VALUE"""),"H")</f>
        <v>H</v>
      </c>
      <c r="H3071" s="9" t="str">
        <f>IFERROR(__xludf.DUMMYFUNCTION("""COMPUTED_VALUE"""),"HGM")</f>
        <v>HGM</v>
      </c>
      <c r="I3071" s="9" t="str">
        <f>IFERROR(__xludf.DUMMYFUNCTION("""COMPUTED_VALUE"""),"Mo")</f>
        <v>Mo</v>
      </c>
      <c r="J3071" s="9" t="str">
        <f>IFERROR(__xludf.DUMMYFUNCTION("""COMPUTED_VALUE"""),"MoTg")</f>
        <v>MoTg</v>
      </c>
      <c r="K3071" s="9" t="str">
        <f>IFERROR(__xludf.DUMMYFUNCTION("""COMPUTED_VALUE"""),"MoAN")</f>
        <v>MoAN</v>
      </c>
      <c r="L3071" s="9" t="str">
        <f>IFERROR(__xludf.DUMMYFUNCTION("""COMPUTED_VALUE"""),"8Ve")</f>
        <v>8Ve</v>
      </c>
      <c r="M3071" s="9" t="str">
        <f>IFERROR(__xludf.DUMMYFUNCTION("""COMPUTED_VALUE"""),"MVe")</f>
        <v>MVe</v>
      </c>
      <c r="N3071" s="9" t="str">
        <f>IFERROR(__xludf.DUMMYFUNCTION("""COMPUTED_VALUE"""),"MVeMC")</f>
        <v>MVeMC</v>
      </c>
      <c r="O3071" s="9"/>
      <c r="P3071" s="9"/>
      <c r="Q3071" s="9"/>
      <c r="R3071" s="9"/>
      <c r="S3071" s="42"/>
      <c r="T3071" s="42"/>
      <c r="U3071" s="42" t="b">
        <f>IFERROR(__xludf.DUMMYFUNCTION("""COMPUTED_VALUE"""),TRUE)</f>
        <v>1</v>
      </c>
      <c r="V3071" s="42" t="str">
        <f>IFERROR(__xludf.DUMMYFUNCTION("""COMPUTED_VALUE"""),"Glycine")</f>
        <v>Glycine</v>
      </c>
      <c r="W3071" s="42" t="str">
        <f>IFERROR(__xludf.DUMMYFUNCTION("""COMPUTED_VALUE"""),"Inhibitory")</f>
        <v>Inhibitory</v>
      </c>
      <c r="X3071" s="42"/>
      <c r="Y3071" s="42"/>
      <c r="Z3071" s="42"/>
      <c r="AA3071" s="42"/>
      <c r="AB3071" s="42" t="str">
        <f>IFERROR(__xludf.DUMMYFUNCTION("""COMPUTED_VALUE"""),"allen institute")</f>
        <v>allen institute</v>
      </c>
      <c r="AC3071" s="42" t="str">
        <f>IFERROR(__xludf.DUMMYFUNCTION("""COMPUTED_VALUE"""),"DHBA")</f>
        <v>DHBA</v>
      </c>
      <c r="AD3071" s="42"/>
      <c r="AE3071" s="42"/>
      <c r="AF3071" s="9"/>
      <c r="AG3071" s="9"/>
      <c r="AH3071" s="42"/>
      <c r="AI3071" s="42"/>
      <c r="AJ3071" s="42"/>
      <c r="AK3071" s="42"/>
      <c r="AL3071" s="42"/>
      <c r="AM3071" s="42"/>
      <c r="AN3071" s="42"/>
      <c r="AO3071" s="63" t="str">
        <f>IFERROR(__xludf.DUMMYFUNCTION("IF(ISBLANK(A3071),,IF(ISBLANK(S3071), A3071&amp;"";"", TEXTJOIN(CHAR(10), TRUE, A3071&amp;"";"", ARRAYFORMULA(VLOOKUP(SPLIT(S3071, "";"" &amp; CHAR(10)), $A:$AO, 41, FALSE)))))"),"MVeMC;")</f>
        <v>MVeMC;</v>
      </c>
      <c r="AP3071" s="89"/>
    </row>
    <row r="3072">
      <c r="A3072" s="151" t="str">
        <f>IFERROR(__xludf.DUMMYFUNCTION("""COMPUTED_VALUE"""),"MVEPC")</f>
        <v>MVEPC</v>
      </c>
      <c r="B3072" s="42" t="str">
        <f>IFERROR(__xludf.DUMMYFUNCTION("""COMPUTED_VALUE"""),"DHBA")</f>
        <v>DHBA</v>
      </c>
      <c r="C3072" s="42" t="str">
        <f>IFERROR(__xludf.DUMMYFUNCTION("""COMPUTED_VALUE"""),"medial vestibular neucleus, parvocellular part")</f>
        <v>medial vestibular neucleus, parvocellular part</v>
      </c>
      <c r="D3072" s="42">
        <f>IFERROR(__xludf.DUMMYFUNCTION("""COMPUTED_VALUE"""),2931.0)</f>
        <v>2931</v>
      </c>
      <c r="E3072" s="39" t="str">
        <f>IFERROR(__xludf.DUMMYFUNCTION("""COMPUTED_VALUE"""),"medial vestibular nucleus, parvicellular part")</f>
        <v>medial vestibular nucleus, parvicellular part</v>
      </c>
      <c r="F3072" s="9" t="str">
        <f>IFERROR(__xludf.DUMMYFUNCTION("""COMPUTED_VALUE"""),"Br")</f>
        <v>Br</v>
      </c>
      <c r="G3072" s="9" t="str">
        <f>IFERROR(__xludf.DUMMYFUNCTION("""COMPUTED_VALUE"""),"H")</f>
        <v>H</v>
      </c>
      <c r="H3072" s="9" t="str">
        <f>IFERROR(__xludf.DUMMYFUNCTION("""COMPUTED_VALUE"""),"HGM")</f>
        <v>HGM</v>
      </c>
      <c r="I3072" s="9" t="str">
        <f>IFERROR(__xludf.DUMMYFUNCTION("""COMPUTED_VALUE"""),"Mo")</f>
        <v>Mo</v>
      </c>
      <c r="J3072" s="9" t="str">
        <f>IFERROR(__xludf.DUMMYFUNCTION("""COMPUTED_VALUE"""),"MoTg")</f>
        <v>MoTg</v>
      </c>
      <c r="K3072" s="9" t="str">
        <f>IFERROR(__xludf.DUMMYFUNCTION("""COMPUTED_VALUE"""),"MoAN")</f>
        <v>MoAN</v>
      </c>
      <c r="L3072" s="9" t="str">
        <f>IFERROR(__xludf.DUMMYFUNCTION("""COMPUTED_VALUE"""),"8Ve")</f>
        <v>8Ve</v>
      </c>
      <c r="M3072" s="9" t="str">
        <f>IFERROR(__xludf.DUMMYFUNCTION("""COMPUTED_VALUE"""),"MVe")</f>
        <v>MVe</v>
      </c>
      <c r="N3072" s="9" t="str">
        <f>IFERROR(__xludf.DUMMYFUNCTION("""COMPUTED_VALUE"""),"MVePC")</f>
        <v>MVePC</v>
      </c>
      <c r="O3072" s="9"/>
      <c r="P3072" s="9"/>
      <c r="Q3072" s="9"/>
      <c r="R3072" s="9"/>
      <c r="S3072" s="42"/>
      <c r="T3072" s="42"/>
      <c r="U3072" s="42" t="b">
        <f>IFERROR(__xludf.DUMMYFUNCTION("""COMPUTED_VALUE"""),TRUE)</f>
        <v>1</v>
      </c>
      <c r="V3072" s="42" t="str">
        <f>IFERROR(__xludf.DUMMYFUNCTION("""COMPUTED_VALUE"""),"Glutamate")</f>
        <v>Glutamate</v>
      </c>
      <c r="W3072" s="42" t="str">
        <f>IFERROR(__xludf.DUMMYFUNCTION("""COMPUTED_VALUE"""),"Excitatory")</f>
        <v>Excitatory</v>
      </c>
      <c r="X3072" s="42"/>
      <c r="Y3072" s="42"/>
      <c r="Z3072" s="42"/>
      <c r="AA3072" s="42"/>
      <c r="AB3072" s="42" t="str">
        <f>IFERROR(__xludf.DUMMYFUNCTION("""COMPUTED_VALUE"""),"allen institute")</f>
        <v>allen institute</v>
      </c>
      <c r="AC3072" s="42" t="str">
        <f>IFERROR(__xludf.DUMMYFUNCTION("""COMPUTED_VALUE"""),"DHBA")</f>
        <v>DHBA</v>
      </c>
      <c r="AD3072" s="42"/>
      <c r="AE3072" s="42"/>
      <c r="AF3072" s="9"/>
      <c r="AG3072" s="9"/>
      <c r="AH3072" s="42"/>
      <c r="AI3072" s="42"/>
      <c r="AJ3072" s="42"/>
      <c r="AK3072" s="42"/>
      <c r="AL3072" s="42"/>
      <c r="AM3072" s="42"/>
      <c r="AN3072" s="42"/>
      <c r="AO3072" s="63" t="str">
        <f>IFERROR(__xludf.DUMMYFUNCTION("IF(ISBLANK(A3072),,IF(ISBLANK(S3072), A3072&amp;"";"", TEXTJOIN(CHAR(10), TRUE, A3072&amp;"";"", ARRAYFORMULA(VLOOKUP(SPLIT(S3072, "";"" &amp; CHAR(10)), $A:$AO, 41, FALSE)))))"),"MVEPC;")</f>
        <v>MVEPC;</v>
      </c>
      <c r="AP3072" s="89"/>
    </row>
    <row r="3073">
      <c r="A3073" s="151" t="str">
        <f>IFERROR(__xludf.DUMMYFUNCTION("""COMPUTED_VALUE"""),"EVe")</f>
        <v>EVe</v>
      </c>
      <c r="B3073" s="42" t="str">
        <f>IFERROR(__xludf.DUMMYFUNCTION("""COMPUTED_VALUE"""),"DHBA")</f>
        <v>DHBA</v>
      </c>
      <c r="C3073" s="42" t="str">
        <f>IFERROR(__xludf.DUMMYFUNCTION("""COMPUTED_VALUE"""),"nucleus of origin of vestibular efferents of vestibular nerve")</f>
        <v>nucleus of origin of vestibular efferents of vestibular nerve</v>
      </c>
      <c r="D3073" s="42">
        <f>IFERROR(__xludf.DUMMYFUNCTION("""COMPUTED_VALUE"""),2932.0)</f>
        <v>2932</v>
      </c>
      <c r="E3073" s="39" t="str">
        <f>IFERROR(__xludf.DUMMYFUNCTION("""COMPUTED_VALUE"""),"nucleus of origin of vestibular efferents of vestibular nerve")</f>
        <v>nucleus of origin of vestibular efferents of vestibular nerve</v>
      </c>
      <c r="F3073" s="9" t="str">
        <f>IFERROR(__xludf.DUMMYFUNCTION("""COMPUTED_VALUE"""),"Br")</f>
        <v>Br</v>
      </c>
      <c r="G3073" s="9" t="str">
        <f>IFERROR(__xludf.DUMMYFUNCTION("""COMPUTED_VALUE"""),"H")</f>
        <v>H</v>
      </c>
      <c r="H3073" s="9" t="str">
        <f>IFERROR(__xludf.DUMMYFUNCTION("""COMPUTED_VALUE"""),"HGM")</f>
        <v>HGM</v>
      </c>
      <c r="I3073" s="9" t="str">
        <f>IFERROR(__xludf.DUMMYFUNCTION("""COMPUTED_VALUE"""),"Mo")</f>
        <v>Mo</v>
      </c>
      <c r="J3073" s="9" t="str">
        <f>IFERROR(__xludf.DUMMYFUNCTION("""COMPUTED_VALUE"""),"MoTg")</f>
        <v>MoTg</v>
      </c>
      <c r="K3073" s="9" t="str">
        <f>IFERROR(__xludf.DUMMYFUNCTION("""COMPUTED_VALUE"""),"MoAN")</f>
        <v>MoAN</v>
      </c>
      <c r="L3073" s="9" t="str">
        <f>IFERROR(__xludf.DUMMYFUNCTION("""COMPUTED_VALUE"""),"8Ve")</f>
        <v>8Ve</v>
      </c>
      <c r="M3073" s="9" t="str">
        <f>IFERROR(__xludf.DUMMYFUNCTION("""COMPUTED_VALUE"""),"EVe")</f>
        <v>EVe</v>
      </c>
      <c r="N3073" s="9"/>
      <c r="O3073" s="9"/>
      <c r="P3073" s="9"/>
      <c r="Q3073" s="9"/>
      <c r="R3073" s="9"/>
      <c r="S3073" s="42"/>
      <c r="T3073" s="42"/>
      <c r="U3073" s="42"/>
      <c r="V3073" s="42"/>
      <c r="W3073" s="42"/>
      <c r="X3073" s="42"/>
      <c r="Y3073" s="42"/>
      <c r="Z3073" s="42"/>
      <c r="AA3073" s="42"/>
      <c r="AB3073" s="42" t="str">
        <f>IFERROR(__xludf.DUMMYFUNCTION("""COMPUTED_VALUE"""),"allen institute")</f>
        <v>allen institute</v>
      </c>
      <c r="AC3073" s="42" t="str">
        <f>IFERROR(__xludf.DUMMYFUNCTION("""COMPUTED_VALUE"""),"DHBA")</f>
        <v>DHBA</v>
      </c>
      <c r="AD3073" s="42"/>
      <c r="AE3073" s="42"/>
      <c r="AF3073" s="9"/>
      <c r="AG3073" s="9"/>
      <c r="AH3073" s="42"/>
      <c r="AI3073" s="42"/>
      <c r="AJ3073" s="42"/>
      <c r="AK3073" s="42"/>
      <c r="AL3073" s="42"/>
      <c r="AM3073" s="42"/>
      <c r="AN3073" s="42"/>
      <c r="AO3073" s="63" t="str">
        <f>IFERROR(__xludf.DUMMYFUNCTION("IF(ISBLANK(A3073),,IF(ISBLANK(S3073), A3073&amp;"";"", TEXTJOIN(CHAR(10), TRUE, A3073&amp;"";"", ARRAYFORMULA(VLOOKUP(SPLIT(S3073, "";"" &amp; CHAR(10)), $A:$AO, 41, FALSE)))))"),"EVe;")</f>
        <v>EVe;</v>
      </c>
      <c r="AP3073" s="89"/>
    </row>
    <row r="3074">
      <c r="A3074" s="151" t="str">
        <f>IFERROR(__xludf.DUMMYFUNCTION("""COMPUTED_VALUE"""),"SpVe")</f>
        <v>SpVe</v>
      </c>
      <c r="B3074" s="42" t="str">
        <f>IFERROR(__xludf.DUMMYFUNCTION("""COMPUTED_VALUE"""),"DHBA")</f>
        <v>DHBA</v>
      </c>
      <c r="C3074" s="42" t="str">
        <f>IFERROR(__xludf.DUMMYFUNCTION("""COMPUTED_VALUE"""),"spinal (inferior) vestibular nucleus")</f>
        <v>spinal (inferior) vestibular nucleus</v>
      </c>
      <c r="D3074" s="42">
        <f>IFERROR(__xludf.DUMMYFUNCTION("""COMPUTED_VALUE"""),2933.0)</f>
        <v>2933</v>
      </c>
      <c r="E3074" s="39" t="str">
        <f>IFERROR(__xludf.DUMMYFUNCTION("""COMPUTED_VALUE"""),"spinal (inferior) vestibular nucleus")</f>
        <v>spinal (inferior) vestibular nucleus</v>
      </c>
      <c r="F3074" s="9" t="str">
        <f>IFERROR(__xludf.DUMMYFUNCTION("""COMPUTED_VALUE"""),"Br")</f>
        <v>Br</v>
      </c>
      <c r="G3074" s="9" t="str">
        <f>IFERROR(__xludf.DUMMYFUNCTION("""COMPUTED_VALUE"""),"H")</f>
        <v>H</v>
      </c>
      <c r="H3074" s="9" t="str">
        <f>IFERROR(__xludf.DUMMYFUNCTION("""COMPUTED_VALUE"""),"HGM")</f>
        <v>HGM</v>
      </c>
      <c r="I3074" s="9" t="str">
        <f>IFERROR(__xludf.DUMMYFUNCTION("""COMPUTED_VALUE"""),"Mo")</f>
        <v>Mo</v>
      </c>
      <c r="J3074" s="9" t="str">
        <f>IFERROR(__xludf.DUMMYFUNCTION("""COMPUTED_VALUE"""),"MoTg")</f>
        <v>MoTg</v>
      </c>
      <c r="K3074" s="9" t="str">
        <f>IFERROR(__xludf.DUMMYFUNCTION("""COMPUTED_VALUE"""),"MoAN")</f>
        <v>MoAN</v>
      </c>
      <c r="L3074" s="9" t="str">
        <f>IFERROR(__xludf.DUMMYFUNCTION("""COMPUTED_VALUE"""),"8Ve")</f>
        <v>8Ve</v>
      </c>
      <c r="M3074" s="9" t="str">
        <f>IFERROR(__xludf.DUMMYFUNCTION("""COMPUTED_VALUE"""),"SpVe")</f>
        <v>SpVe</v>
      </c>
      <c r="N3074" s="9"/>
      <c r="O3074" s="9"/>
      <c r="P3074" s="9"/>
      <c r="Q3074" s="9"/>
      <c r="R3074" s="9"/>
      <c r="S3074" s="42"/>
      <c r="T3074" s="42"/>
      <c r="U3074" s="159"/>
      <c r="V3074" s="42"/>
      <c r="W3074" s="42"/>
      <c r="X3074" s="42"/>
      <c r="Y3074" s="42"/>
      <c r="Z3074" s="42"/>
      <c r="AA3074" s="42"/>
      <c r="AB3074" s="42" t="str">
        <f>IFERROR(__xludf.DUMMYFUNCTION("""COMPUTED_VALUE"""),"allen institute")</f>
        <v>allen institute</v>
      </c>
      <c r="AC3074" s="42" t="str">
        <f>IFERROR(__xludf.DUMMYFUNCTION("""COMPUTED_VALUE"""),"DHBA")</f>
        <v>DHBA</v>
      </c>
      <c r="AD3074" s="42"/>
      <c r="AE3074" s="42"/>
      <c r="AF3074" s="9"/>
      <c r="AG3074" s="9"/>
      <c r="AH3074" s="42"/>
      <c r="AI3074" s="42"/>
      <c r="AJ3074" s="42"/>
      <c r="AK3074" s="42"/>
      <c r="AL3074" s="42"/>
      <c r="AM3074" s="42"/>
      <c r="AN3074" s="42"/>
      <c r="AO3074" s="63" t="str">
        <f>IFERROR(__xludf.DUMMYFUNCTION("IF(ISBLANK(A3074),,IF(ISBLANK(S3074), A3074&amp;"";"", TEXTJOIN(CHAR(10), TRUE, A3074&amp;"";"", ARRAYFORMULA(VLOOKUP(SPLIT(S3074, "";"" &amp; CHAR(10)), $A:$AO, 41, FALSE)))))"),"SpVe;")</f>
        <v>SpVe;</v>
      </c>
      <c r="AP3074" s="89"/>
    </row>
    <row r="3075">
      <c r="A3075" s="151" t="str">
        <f>IFERROR(__xludf.DUMMYFUNCTION("""COMPUTED_VALUE"""),"PaVe")</f>
        <v>PaVe</v>
      </c>
      <c r="B3075" s="42" t="str">
        <f>IFERROR(__xludf.DUMMYFUNCTION("""COMPUTED_VALUE"""),"DHBA")</f>
        <v>DHBA</v>
      </c>
      <c r="C3075" s="42" t="str">
        <f>IFERROR(__xludf.DUMMYFUNCTION("""COMPUTED_VALUE"""),"paravestibular nucleus")</f>
        <v>paravestibular nucleus</v>
      </c>
      <c r="D3075" s="42">
        <f>IFERROR(__xludf.DUMMYFUNCTION("""COMPUTED_VALUE"""),2934.0)</f>
        <v>2934</v>
      </c>
      <c r="E3075" s="39" t="str">
        <f>IFERROR(__xludf.DUMMYFUNCTION("""COMPUTED_VALUE"""),"paravestibular nucleus")</f>
        <v>paravestibular nucleus</v>
      </c>
      <c r="F3075" s="9" t="str">
        <f>IFERROR(__xludf.DUMMYFUNCTION("""COMPUTED_VALUE"""),"Br")</f>
        <v>Br</v>
      </c>
      <c r="G3075" s="9" t="str">
        <f>IFERROR(__xludf.DUMMYFUNCTION("""COMPUTED_VALUE"""),"H")</f>
        <v>H</v>
      </c>
      <c r="H3075" s="9" t="str">
        <f>IFERROR(__xludf.DUMMYFUNCTION("""COMPUTED_VALUE"""),"HGM")</f>
        <v>HGM</v>
      </c>
      <c r="I3075" s="9" t="str">
        <f>IFERROR(__xludf.DUMMYFUNCTION("""COMPUTED_VALUE"""),"Mo")</f>
        <v>Mo</v>
      </c>
      <c r="J3075" s="9" t="str">
        <f>IFERROR(__xludf.DUMMYFUNCTION("""COMPUTED_VALUE"""),"MoTg")</f>
        <v>MoTg</v>
      </c>
      <c r="K3075" s="9" t="str">
        <f>IFERROR(__xludf.DUMMYFUNCTION("""COMPUTED_VALUE"""),"MoAN")</f>
        <v>MoAN</v>
      </c>
      <c r="L3075" s="9" t="str">
        <f>IFERROR(__xludf.DUMMYFUNCTION("""COMPUTED_VALUE"""),"8Ve")</f>
        <v>8Ve</v>
      </c>
      <c r="M3075" s="9" t="str">
        <f>IFERROR(__xludf.DUMMYFUNCTION("""COMPUTED_VALUE"""),"PaVe")</f>
        <v>PaVe</v>
      </c>
      <c r="N3075" s="9"/>
      <c r="O3075" s="9"/>
      <c r="P3075" s="9"/>
      <c r="Q3075" s="9"/>
      <c r="R3075" s="9"/>
      <c r="S3075" s="42"/>
      <c r="T3075" s="42"/>
      <c r="U3075" s="42"/>
      <c r="V3075" s="42"/>
      <c r="W3075" s="42"/>
      <c r="X3075" s="42"/>
      <c r="Y3075" s="42"/>
      <c r="Z3075" s="42"/>
      <c r="AA3075" s="42"/>
      <c r="AB3075" s="42" t="str">
        <f>IFERROR(__xludf.DUMMYFUNCTION("""COMPUTED_VALUE"""),"allen institute")</f>
        <v>allen institute</v>
      </c>
      <c r="AC3075" s="42" t="str">
        <f>IFERROR(__xludf.DUMMYFUNCTION("""COMPUTED_VALUE"""),"DHBA")</f>
        <v>DHBA</v>
      </c>
      <c r="AD3075" s="42"/>
      <c r="AE3075" s="42"/>
      <c r="AF3075" s="9"/>
      <c r="AG3075" s="9"/>
      <c r="AH3075" s="42"/>
      <c r="AI3075" s="42"/>
      <c r="AJ3075" s="42"/>
      <c r="AK3075" s="42"/>
      <c r="AL3075" s="42"/>
      <c r="AM3075" s="42"/>
      <c r="AN3075" s="42"/>
      <c r="AO3075" s="63" t="str">
        <f>IFERROR(__xludf.DUMMYFUNCTION("IF(ISBLANK(A3075),,IF(ISBLANK(S3075), A3075&amp;"";"", TEXTJOIN(CHAR(10), TRUE, A3075&amp;"";"", ARRAYFORMULA(VLOOKUP(SPLIT(S3075, "";"" &amp; CHAR(10)), $A:$AO, 41, FALSE)))))"),"PaVe;")</f>
        <v>PaVe;</v>
      </c>
      <c r="AP3075" s="89"/>
    </row>
    <row r="3076">
      <c r="A3076" s="151" t="str">
        <f>IFERROR(__xludf.DUMMYFUNCTION("""COMPUTED_VALUE"""),"MoSR")</f>
        <v>MoSR</v>
      </c>
      <c r="B3076" s="42" t="str">
        <f>IFERROR(__xludf.DUMMYFUNCTION("""COMPUTED_VALUE"""),"DHBA")</f>
        <v>DHBA</v>
      </c>
      <c r="C3076" s="42" t="str">
        <f>IFERROR(__xludf.DUMMYFUNCTION("""COMPUTED_VALUE"""),"sensory relay nuclei in medulla oblongata")</f>
        <v>sensory relay nuclei in medulla oblongata</v>
      </c>
      <c r="D3076" s="42">
        <f>IFERROR(__xludf.DUMMYFUNCTION("""COMPUTED_VALUE"""),2935.0)</f>
        <v>2935</v>
      </c>
      <c r="E3076" s="39" t="str">
        <f>IFERROR(__xludf.DUMMYFUNCTION("""COMPUTED_VALUE"""),"sensory relay nuclei in medulla oblongata")</f>
        <v>sensory relay nuclei in medulla oblongata</v>
      </c>
      <c r="F3076" s="9" t="str">
        <f>IFERROR(__xludf.DUMMYFUNCTION("""COMPUTED_VALUE"""),"Br")</f>
        <v>Br</v>
      </c>
      <c r="G3076" s="9" t="str">
        <f>IFERROR(__xludf.DUMMYFUNCTION("""COMPUTED_VALUE"""),"H")</f>
        <v>H</v>
      </c>
      <c r="H3076" s="9" t="str">
        <f>IFERROR(__xludf.DUMMYFUNCTION("""COMPUTED_VALUE"""),"HGM")</f>
        <v>HGM</v>
      </c>
      <c r="I3076" s="9" t="str">
        <f>IFERROR(__xludf.DUMMYFUNCTION("""COMPUTED_VALUE"""),"Mo")</f>
        <v>Mo</v>
      </c>
      <c r="J3076" s="9" t="str">
        <f>IFERROR(__xludf.DUMMYFUNCTION("""COMPUTED_VALUE"""),"MoTg")</f>
        <v>MoTg</v>
      </c>
      <c r="K3076" s="9" t="str">
        <f>IFERROR(__xludf.DUMMYFUNCTION("""COMPUTED_VALUE"""),"MoSR")</f>
        <v>MoSR</v>
      </c>
      <c r="L3076" s="9"/>
      <c r="M3076" s="9"/>
      <c r="N3076" s="9"/>
      <c r="O3076" s="9"/>
      <c r="P3076" s="9"/>
      <c r="Q3076" s="9"/>
      <c r="R3076" s="9"/>
      <c r="S3076" s="42" t="str">
        <f>IFERROR(__xludf.DUMMYFUNCTION("""COMPUTED_VALUE"""),"ECu;
Cu;
Gr")</f>
        <v>ECu;
Cu;
Gr</v>
      </c>
      <c r="T3076" s="42"/>
      <c r="U3076" s="42" t="b">
        <f>IFERROR(__xludf.DUMMYFUNCTION("""COMPUTED_VALUE"""),FALSE)</f>
        <v>0</v>
      </c>
      <c r="V3076" s="42"/>
      <c r="W3076" s="42"/>
      <c r="X3076" s="42"/>
      <c r="Y3076" s="42"/>
      <c r="Z3076" s="42"/>
      <c r="AA3076" s="42"/>
      <c r="AB3076" s="42" t="str">
        <f>IFERROR(__xludf.DUMMYFUNCTION("""COMPUTED_VALUE"""),"allen institute")</f>
        <v>allen institute</v>
      </c>
      <c r="AC3076" s="42" t="str">
        <f>IFERROR(__xludf.DUMMYFUNCTION("""COMPUTED_VALUE"""),"DHBA")</f>
        <v>DHBA</v>
      </c>
      <c r="AD3076" s="42"/>
      <c r="AE3076" s="42"/>
      <c r="AF3076" s="9"/>
      <c r="AG3076" s="9"/>
      <c r="AH3076" s="42"/>
      <c r="AI3076" s="42"/>
      <c r="AJ3076" s="42"/>
      <c r="AK3076" s="42"/>
      <c r="AL3076" s="42"/>
      <c r="AM3076" s="42"/>
      <c r="AN3076" s="42"/>
      <c r="AO3076" s="63" t="str">
        <f>IFERROR(__xludf.DUMMYFUNCTION("IF(ISBLANK(A3076),,IF(ISBLANK(S3076), A3076&amp;"";"", TEXTJOIN(CHAR(10), TRUE, A3076&amp;"";"", ARRAYFORMULA(VLOOKUP(SPLIT(S3076, "";"" &amp; CHAR(10)), $A:$AO, 41, FALSE)))))"),"MoSR;
ECu;
Cu;
CuR;
CuT;
Gr;
GrC;
GrR;")</f>
        <v>MoSR;
ECu;
Cu;
CuR;
CuT;
Gr;
GrC;
GrR;</v>
      </c>
      <c r="AP3076" s="89"/>
    </row>
    <row r="3077">
      <c r="A3077" s="151" t="str">
        <f>IFERROR(__xludf.DUMMYFUNCTION("""COMPUTED_VALUE"""),"ECu")</f>
        <v>ECu</v>
      </c>
      <c r="B3077" s="42" t="str">
        <f>IFERROR(__xludf.DUMMYFUNCTION("""COMPUTED_VALUE"""),"DHBA")</f>
        <v>DHBA</v>
      </c>
      <c r="C3077" s="42" t="str">
        <f>IFERROR(__xludf.DUMMYFUNCTION("""COMPUTED_VALUE"""),"external cuneate nucleus")</f>
        <v>external cuneate nucleus</v>
      </c>
      <c r="D3077" s="42">
        <f>IFERROR(__xludf.DUMMYFUNCTION("""COMPUTED_VALUE"""),2936.0)</f>
        <v>2936</v>
      </c>
      <c r="E3077" s="39" t="str">
        <f>IFERROR(__xludf.DUMMYFUNCTION("""COMPUTED_VALUE"""),"external (accessory/lateral) cuneate nucleus")</f>
        <v>external (accessory/lateral) cuneate nucleus</v>
      </c>
      <c r="F3077" s="9" t="str">
        <f>IFERROR(__xludf.DUMMYFUNCTION("""COMPUTED_VALUE"""),"Br")</f>
        <v>Br</v>
      </c>
      <c r="G3077" s="9" t="str">
        <f>IFERROR(__xludf.DUMMYFUNCTION("""COMPUTED_VALUE"""),"H")</f>
        <v>H</v>
      </c>
      <c r="H3077" s="9" t="str">
        <f>IFERROR(__xludf.DUMMYFUNCTION("""COMPUTED_VALUE"""),"HGM")</f>
        <v>HGM</v>
      </c>
      <c r="I3077" s="9" t="str">
        <f>IFERROR(__xludf.DUMMYFUNCTION("""COMPUTED_VALUE"""),"Mo")</f>
        <v>Mo</v>
      </c>
      <c r="J3077" s="9" t="str">
        <f>IFERROR(__xludf.DUMMYFUNCTION("""COMPUTED_VALUE"""),"MoTg")</f>
        <v>MoTg</v>
      </c>
      <c r="K3077" s="9" t="str">
        <f>IFERROR(__xludf.DUMMYFUNCTION("""COMPUTED_VALUE"""),"MoSR")</f>
        <v>MoSR</v>
      </c>
      <c r="L3077" s="9" t="str">
        <f>IFERROR(__xludf.DUMMYFUNCTION("""COMPUTED_VALUE"""),"ECu")</f>
        <v>ECu</v>
      </c>
      <c r="M3077" s="9"/>
      <c r="N3077" s="9"/>
      <c r="O3077" s="9"/>
      <c r="P3077" s="9"/>
      <c r="Q3077" s="9"/>
      <c r="R3077" s="9"/>
      <c r="S3077" s="42"/>
      <c r="T3077" s="42"/>
      <c r="U3077" s="42" t="b">
        <f>IFERROR(__xludf.DUMMYFUNCTION("""COMPUTED_VALUE"""),FALSE)</f>
        <v>0</v>
      </c>
      <c r="V3077" s="42"/>
      <c r="W3077" s="42"/>
      <c r="X3077" s="42"/>
      <c r="Y3077" s="42" t="str">
        <f>IFERROR(__xludf.DUMMYFUNCTION("""COMPUTED_VALUE"""),"the source of spinocerebellar connections for proprioception from the lower limb [Wikipedia-ECu]")</f>
        <v>the source of spinocerebellar connections for proprioception from the lower limb [Wikipedia-ECu]</v>
      </c>
      <c r="Z3077" s="42"/>
      <c r="AA3077" s="42"/>
      <c r="AB3077" s="42" t="str">
        <f>IFERROR(__xludf.DUMMYFUNCTION("""COMPUTED_VALUE"""),"allen institute")</f>
        <v>allen institute</v>
      </c>
      <c r="AC3077" s="42" t="str">
        <f>IFERROR(__xludf.DUMMYFUNCTION("""COMPUTED_VALUE"""),"DHBA")</f>
        <v>DHBA</v>
      </c>
      <c r="AD3077" s="42"/>
      <c r="AE3077" s="42"/>
      <c r="AF3077" s="9"/>
      <c r="AG3077" s="9"/>
      <c r="AH3077" s="42"/>
      <c r="AI3077" s="42"/>
      <c r="AJ3077" s="42"/>
      <c r="AK3077" s="42"/>
      <c r="AL3077" s="42"/>
      <c r="AM3077" s="42"/>
      <c r="AN3077" s="42"/>
      <c r="AO3077" s="63" t="str">
        <f>IFERROR(__xludf.DUMMYFUNCTION("IF(ISBLANK(A3077),,IF(ISBLANK(S3077), A3077&amp;"";"", TEXTJOIN(CHAR(10), TRUE, A3077&amp;"";"", ARRAYFORMULA(VLOOKUP(SPLIT(S3077, "";"" &amp; CHAR(10)), $A:$AO, 41, FALSE)))))"),"ECu;")</f>
        <v>ECu;</v>
      </c>
      <c r="AP3077" s="89"/>
    </row>
    <row r="3078">
      <c r="A3078" s="151" t="str">
        <f>IFERROR(__xludf.DUMMYFUNCTION("""COMPUTED_VALUE"""),"Cu")</f>
        <v>Cu</v>
      </c>
      <c r="B3078" s="42" t="str">
        <f>IFERROR(__xludf.DUMMYFUNCTION("""COMPUTED_VALUE"""),"DHBA")</f>
        <v>DHBA</v>
      </c>
      <c r="C3078" s="42" t="str">
        <f>IFERROR(__xludf.DUMMYFUNCTION("""COMPUTED_VALUE"""),"cuneate nucleus")</f>
        <v>cuneate nucleus</v>
      </c>
      <c r="D3078" s="42">
        <f>IFERROR(__xludf.DUMMYFUNCTION("""COMPUTED_VALUE"""),2937.0)</f>
        <v>2937</v>
      </c>
      <c r="E3078" s="39" t="str">
        <f>IFERROR(__xludf.DUMMYFUNCTION("""COMPUTED_VALUE"""),"cuneate nucleus")</f>
        <v>cuneate nucleus</v>
      </c>
      <c r="F3078" s="9" t="str">
        <f>IFERROR(__xludf.DUMMYFUNCTION("""COMPUTED_VALUE"""),"Br")</f>
        <v>Br</v>
      </c>
      <c r="G3078" s="9" t="str">
        <f>IFERROR(__xludf.DUMMYFUNCTION("""COMPUTED_VALUE"""),"H")</f>
        <v>H</v>
      </c>
      <c r="H3078" s="9" t="str">
        <f>IFERROR(__xludf.DUMMYFUNCTION("""COMPUTED_VALUE"""),"HGM")</f>
        <v>HGM</v>
      </c>
      <c r="I3078" s="9" t="str">
        <f>IFERROR(__xludf.DUMMYFUNCTION("""COMPUTED_VALUE"""),"Mo")</f>
        <v>Mo</v>
      </c>
      <c r="J3078" s="9" t="str">
        <f>IFERROR(__xludf.DUMMYFUNCTION("""COMPUTED_VALUE"""),"MoTg")</f>
        <v>MoTg</v>
      </c>
      <c r="K3078" s="9" t="str">
        <f>IFERROR(__xludf.DUMMYFUNCTION("""COMPUTED_VALUE"""),"MoSR")</f>
        <v>MoSR</v>
      </c>
      <c r="L3078" s="9" t="str">
        <f>IFERROR(__xludf.DUMMYFUNCTION("""COMPUTED_VALUE"""),"Cu")</f>
        <v>Cu</v>
      </c>
      <c r="M3078" s="9"/>
      <c r="N3078" s="9"/>
      <c r="O3078" s="9"/>
      <c r="P3078" s="9"/>
      <c r="Q3078" s="9"/>
      <c r="R3078" s="9"/>
      <c r="S3078" s="42" t="str">
        <f>IFERROR(__xludf.DUMMYFUNCTION("""COMPUTED_VALUE"""),"CuR;
CuT")</f>
        <v>CuR;
CuT</v>
      </c>
      <c r="T3078" s="42"/>
      <c r="U3078" s="42" t="b">
        <f>IFERROR(__xludf.DUMMYFUNCTION("""COMPUTED_VALUE"""),FALSE)</f>
        <v>0</v>
      </c>
      <c r="V3078" s="42"/>
      <c r="W3078" s="42"/>
      <c r="X3078" s="42"/>
      <c r="Y3078" s="42"/>
      <c r="Z3078" s="42"/>
      <c r="AA3078" s="42"/>
      <c r="AB3078" s="42" t="str">
        <f>IFERROR(__xludf.DUMMYFUNCTION("""COMPUTED_VALUE"""),"allen institute")</f>
        <v>allen institute</v>
      </c>
      <c r="AC3078" s="42" t="str">
        <f>IFERROR(__xludf.DUMMYFUNCTION("""COMPUTED_VALUE"""),"DHBA")</f>
        <v>DHBA</v>
      </c>
      <c r="AD3078" s="42"/>
      <c r="AE3078" s="42"/>
      <c r="AF3078" s="9"/>
      <c r="AG3078" s="9"/>
      <c r="AH3078" s="42"/>
      <c r="AI3078" s="42"/>
      <c r="AJ3078" s="42"/>
      <c r="AK3078" s="42"/>
      <c r="AL3078" s="42"/>
      <c r="AM3078" s="42"/>
      <c r="AN3078" s="42"/>
      <c r="AO3078" s="63" t="str">
        <f>IFERROR(__xludf.DUMMYFUNCTION("IF(ISBLANK(A3078),,IF(ISBLANK(S3078), A3078&amp;"";"", TEXTJOIN(CHAR(10), TRUE, A3078&amp;"";"", ARRAYFORMULA(VLOOKUP(SPLIT(S3078, "";"" &amp; CHAR(10)), $A:$AO, 41, FALSE)))))"),"Cu;
CuR;
CuT;")</f>
        <v>Cu;
CuR;
CuT;</v>
      </c>
      <c r="AP3078" s="89"/>
    </row>
    <row r="3079">
      <c r="A3079" s="151" t="str">
        <f>IFERROR(__xludf.DUMMYFUNCTION("""COMPUTED_VALUE"""),"CuR")</f>
        <v>CuR</v>
      </c>
      <c r="B3079" s="42" t="str">
        <f>IFERROR(__xludf.DUMMYFUNCTION("""COMPUTED_VALUE"""),"DHBA")</f>
        <v>DHBA</v>
      </c>
      <c r="C3079" s="42" t="str">
        <f>IFERROR(__xludf.DUMMYFUNCTION("""COMPUTED_VALUE"""),"Cuneate nucleus, rotundus part")</f>
        <v>Cuneate nucleus, rotundus part</v>
      </c>
      <c r="D3079" s="42">
        <f>IFERROR(__xludf.DUMMYFUNCTION("""COMPUTED_VALUE"""),2938.0)</f>
        <v>2938</v>
      </c>
      <c r="E3079" s="39" t="str">
        <f>IFERROR(__xludf.DUMMYFUNCTION("""COMPUTED_VALUE"""),"Cuneate nucleus, rotundus part")</f>
        <v>Cuneate nucleus, rotundus part</v>
      </c>
      <c r="F3079" s="9" t="str">
        <f>IFERROR(__xludf.DUMMYFUNCTION("""COMPUTED_VALUE"""),"Br")</f>
        <v>Br</v>
      </c>
      <c r="G3079" s="9" t="str">
        <f>IFERROR(__xludf.DUMMYFUNCTION("""COMPUTED_VALUE"""),"H")</f>
        <v>H</v>
      </c>
      <c r="H3079" s="9" t="str">
        <f>IFERROR(__xludf.DUMMYFUNCTION("""COMPUTED_VALUE"""),"HGM")</f>
        <v>HGM</v>
      </c>
      <c r="I3079" s="9" t="str">
        <f>IFERROR(__xludf.DUMMYFUNCTION("""COMPUTED_VALUE"""),"Mo")</f>
        <v>Mo</v>
      </c>
      <c r="J3079" s="9" t="str">
        <f>IFERROR(__xludf.DUMMYFUNCTION("""COMPUTED_VALUE"""),"MoTg")</f>
        <v>MoTg</v>
      </c>
      <c r="K3079" s="9" t="str">
        <f>IFERROR(__xludf.DUMMYFUNCTION("""COMPUTED_VALUE"""),"MoSR")</f>
        <v>MoSR</v>
      </c>
      <c r="L3079" s="9" t="str">
        <f>IFERROR(__xludf.DUMMYFUNCTION("""COMPUTED_VALUE"""),"Cu")</f>
        <v>Cu</v>
      </c>
      <c r="M3079" s="9" t="str">
        <f>IFERROR(__xludf.DUMMYFUNCTION("""COMPUTED_VALUE"""),"CuR")</f>
        <v>CuR</v>
      </c>
      <c r="N3079" s="9"/>
      <c r="O3079" s="9"/>
      <c r="P3079" s="9"/>
      <c r="Q3079" s="9"/>
      <c r="R3079" s="9"/>
      <c r="S3079" s="42"/>
      <c r="T3079" s="42"/>
      <c r="U3079" s="42"/>
      <c r="V3079" s="42"/>
      <c r="W3079" s="42"/>
      <c r="X3079" s="42"/>
      <c r="Y3079" s="42"/>
      <c r="Z3079" s="42"/>
      <c r="AA3079" s="42"/>
      <c r="AB3079" s="42" t="str">
        <f>IFERROR(__xludf.DUMMYFUNCTION("""COMPUTED_VALUE"""),"allen institute")</f>
        <v>allen institute</v>
      </c>
      <c r="AC3079" s="42" t="str">
        <f>IFERROR(__xludf.DUMMYFUNCTION("""COMPUTED_VALUE"""),"DHBA")</f>
        <v>DHBA</v>
      </c>
      <c r="AD3079" s="42"/>
      <c r="AE3079" s="42"/>
      <c r="AF3079" s="9"/>
      <c r="AG3079" s="9"/>
      <c r="AH3079" s="42"/>
      <c r="AI3079" s="42"/>
      <c r="AJ3079" s="42"/>
      <c r="AK3079" s="42"/>
      <c r="AL3079" s="42"/>
      <c r="AM3079" s="42"/>
      <c r="AN3079" s="42"/>
      <c r="AO3079" s="63" t="str">
        <f>IFERROR(__xludf.DUMMYFUNCTION("IF(ISBLANK(A3079),,IF(ISBLANK(S3079), A3079&amp;"";"", TEXTJOIN(CHAR(10), TRUE, A3079&amp;"";"", ARRAYFORMULA(VLOOKUP(SPLIT(S3079, "";"" &amp; CHAR(10)), $A:$AO, 41, FALSE)))))"),"CuR;")</f>
        <v>CuR;</v>
      </c>
      <c r="AP3079" s="89"/>
    </row>
    <row r="3080">
      <c r="A3080" s="151" t="str">
        <f>IFERROR(__xludf.DUMMYFUNCTION("""COMPUTED_VALUE"""),"CuT")</f>
        <v>CuT</v>
      </c>
      <c r="B3080" s="42" t="str">
        <f>IFERROR(__xludf.DUMMYFUNCTION("""COMPUTED_VALUE"""),"DHBA")</f>
        <v>DHBA</v>
      </c>
      <c r="C3080" s="42" t="str">
        <f>IFERROR(__xludf.DUMMYFUNCTION("""COMPUTED_VALUE"""),"Cuneate nucleus, triangular part")</f>
        <v>Cuneate nucleus, triangular part</v>
      </c>
      <c r="D3080" s="42">
        <f>IFERROR(__xludf.DUMMYFUNCTION("""COMPUTED_VALUE"""),2939.0)</f>
        <v>2939</v>
      </c>
      <c r="E3080" s="39" t="str">
        <f>IFERROR(__xludf.DUMMYFUNCTION("""COMPUTED_VALUE"""),"Cuneate nucleus, triangular part")</f>
        <v>Cuneate nucleus, triangular part</v>
      </c>
      <c r="F3080" s="9" t="str">
        <f>IFERROR(__xludf.DUMMYFUNCTION("""COMPUTED_VALUE"""),"Br")</f>
        <v>Br</v>
      </c>
      <c r="G3080" s="9" t="str">
        <f>IFERROR(__xludf.DUMMYFUNCTION("""COMPUTED_VALUE"""),"H")</f>
        <v>H</v>
      </c>
      <c r="H3080" s="9" t="str">
        <f>IFERROR(__xludf.DUMMYFUNCTION("""COMPUTED_VALUE"""),"HGM")</f>
        <v>HGM</v>
      </c>
      <c r="I3080" s="9" t="str">
        <f>IFERROR(__xludf.DUMMYFUNCTION("""COMPUTED_VALUE"""),"Mo")</f>
        <v>Mo</v>
      </c>
      <c r="J3080" s="9" t="str">
        <f>IFERROR(__xludf.DUMMYFUNCTION("""COMPUTED_VALUE"""),"MoTg")</f>
        <v>MoTg</v>
      </c>
      <c r="K3080" s="9" t="str">
        <f>IFERROR(__xludf.DUMMYFUNCTION("""COMPUTED_VALUE"""),"MoSR")</f>
        <v>MoSR</v>
      </c>
      <c r="L3080" s="9" t="str">
        <f>IFERROR(__xludf.DUMMYFUNCTION("""COMPUTED_VALUE"""),"Cu")</f>
        <v>Cu</v>
      </c>
      <c r="M3080" s="9" t="str">
        <f>IFERROR(__xludf.DUMMYFUNCTION("""COMPUTED_VALUE"""),"CuT")</f>
        <v>CuT</v>
      </c>
      <c r="N3080" s="9"/>
      <c r="O3080" s="9"/>
      <c r="P3080" s="9"/>
      <c r="Q3080" s="9"/>
      <c r="R3080" s="9"/>
      <c r="S3080" s="42"/>
      <c r="T3080" s="42"/>
      <c r="U3080" s="42"/>
      <c r="V3080" s="42"/>
      <c r="W3080" s="42"/>
      <c r="X3080" s="42"/>
      <c r="Y3080" s="42"/>
      <c r="Z3080" s="42"/>
      <c r="AA3080" s="42"/>
      <c r="AB3080" s="42" t="str">
        <f>IFERROR(__xludf.DUMMYFUNCTION("""COMPUTED_VALUE"""),"allen institute")</f>
        <v>allen institute</v>
      </c>
      <c r="AC3080" s="42" t="str">
        <f>IFERROR(__xludf.DUMMYFUNCTION("""COMPUTED_VALUE"""),"DHBA")</f>
        <v>DHBA</v>
      </c>
      <c r="AD3080" s="42"/>
      <c r="AE3080" s="42"/>
      <c r="AF3080" s="9"/>
      <c r="AG3080" s="9"/>
      <c r="AH3080" s="42"/>
      <c r="AI3080" s="42"/>
      <c r="AJ3080" s="42"/>
      <c r="AK3080" s="42"/>
      <c r="AL3080" s="42"/>
      <c r="AM3080" s="42"/>
      <c r="AN3080" s="42"/>
      <c r="AO3080" s="63" t="str">
        <f>IFERROR(__xludf.DUMMYFUNCTION("IF(ISBLANK(A3080),,IF(ISBLANK(S3080), A3080&amp;"";"", TEXTJOIN(CHAR(10), TRUE, A3080&amp;"";"", ARRAYFORMULA(VLOOKUP(SPLIT(S3080, "";"" &amp; CHAR(10)), $A:$AO, 41, FALSE)))))"),"CuT;")</f>
        <v>CuT;</v>
      </c>
      <c r="AP3080" s="89"/>
    </row>
    <row r="3081">
      <c r="A3081" s="151" t="str">
        <f>IFERROR(__xludf.DUMMYFUNCTION("""COMPUTED_VALUE"""),"Gr")</f>
        <v>Gr</v>
      </c>
      <c r="B3081" s="42" t="str">
        <f>IFERROR(__xludf.DUMMYFUNCTION("""COMPUTED_VALUE"""),"DHBA")</f>
        <v>DHBA</v>
      </c>
      <c r="C3081" s="42" t="str">
        <f>IFERROR(__xludf.DUMMYFUNCTION("""COMPUTED_VALUE"""),"gracile nucleus")</f>
        <v>gracile nucleus</v>
      </c>
      <c r="D3081" s="42">
        <f>IFERROR(__xludf.DUMMYFUNCTION("""COMPUTED_VALUE"""),2940.0)</f>
        <v>2940</v>
      </c>
      <c r="E3081" s="39" t="str">
        <f>IFERROR(__xludf.DUMMYFUNCTION("""COMPUTED_VALUE"""),"gracile nucleus")</f>
        <v>gracile nucleus</v>
      </c>
      <c r="F3081" s="9" t="str">
        <f>IFERROR(__xludf.DUMMYFUNCTION("""COMPUTED_VALUE"""),"Br")</f>
        <v>Br</v>
      </c>
      <c r="G3081" s="9" t="str">
        <f>IFERROR(__xludf.DUMMYFUNCTION("""COMPUTED_VALUE"""),"H")</f>
        <v>H</v>
      </c>
      <c r="H3081" s="9" t="str">
        <f>IFERROR(__xludf.DUMMYFUNCTION("""COMPUTED_VALUE"""),"HGM")</f>
        <v>HGM</v>
      </c>
      <c r="I3081" s="9" t="str">
        <f>IFERROR(__xludf.DUMMYFUNCTION("""COMPUTED_VALUE"""),"Mo")</f>
        <v>Mo</v>
      </c>
      <c r="J3081" s="9" t="str">
        <f>IFERROR(__xludf.DUMMYFUNCTION("""COMPUTED_VALUE"""),"MoTg")</f>
        <v>MoTg</v>
      </c>
      <c r="K3081" s="9" t="str">
        <f>IFERROR(__xludf.DUMMYFUNCTION("""COMPUTED_VALUE"""),"MoSR")</f>
        <v>MoSR</v>
      </c>
      <c r="L3081" s="9" t="str">
        <f>IFERROR(__xludf.DUMMYFUNCTION("""COMPUTED_VALUE"""),"Gr")</f>
        <v>Gr</v>
      </c>
      <c r="M3081" s="9"/>
      <c r="N3081" s="9"/>
      <c r="O3081" s="9"/>
      <c r="P3081" s="9"/>
      <c r="Q3081" s="9"/>
      <c r="R3081" s="9"/>
      <c r="S3081" s="42" t="str">
        <f>IFERROR(__xludf.DUMMYFUNCTION("""COMPUTED_VALUE"""),"GrC;
GrR")</f>
        <v>GrC;
GrR</v>
      </c>
      <c r="T3081" s="42"/>
      <c r="U3081" s="42" t="b">
        <f>IFERROR(__xludf.DUMMYFUNCTION("""COMPUTED_VALUE"""),FALSE)</f>
        <v>0</v>
      </c>
      <c r="V3081" s="42"/>
      <c r="W3081" s="42"/>
      <c r="X3081" s="42"/>
      <c r="Y3081" s="42"/>
      <c r="Z3081" s="42"/>
      <c r="AA3081" s="42"/>
      <c r="AB3081" s="42" t="str">
        <f>IFERROR(__xludf.DUMMYFUNCTION("""COMPUTED_VALUE"""),"allen institute")</f>
        <v>allen institute</v>
      </c>
      <c r="AC3081" s="42" t="str">
        <f>IFERROR(__xludf.DUMMYFUNCTION("""COMPUTED_VALUE"""),"DHBA")</f>
        <v>DHBA</v>
      </c>
      <c r="AD3081" s="42"/>
      <c r="AE3081" s="42"/>
      <c r="AF3081" s="9"/>
      <c r="AG3081" s="9"/>
      <c r="AH3081" s="42"/>
      <c r="AI3081" s="42"/>
      <c r="AJ3081" s="42"/>
      <c r="AK3081" s="42"/>
      <c r="AL3081" s="42"/>
      <c r="AM3081" s="42"/>
      <c r="AN3081" s="42"/>
      <c r="AO3081" s="63" t="str">
        <f>IFERROR(__xludf.DUMMYFUNCTION("IF(ISBLANK(A3081),,IF(ISBLANK(S3081), A3081&amp;"";"", TEXTJOIN(CHAR(10), TRUE, A3081&amp;"";"", ARRAYFORMULA(VLOOKUP(SPLIT(S3081, "";"" &amp; CHAR(10)), $A:$AO, 41, FALSE)))))"),"Gr;
GrC;
GrR;")</f>
        <v>Gr;
GrC;
GrR;</v>
      </c>
      <c r="AP3081" s="89"/>
    </row>
    <row r="3082">
      <c r="A3082" s="151" t="str">
        <f>IFERROR(__xludf.DUMMYFUNCTION("""COMPUTED_VALUE"""),"GrC")</f>
        <v>GrC</v>
      </c>
      <c r="B3082" s="42" t="str">
        <f>IFERROR(__xludf.DUMMYFUNCTION("""COMPUTED_VALUE"""),"DHBA")</f>
        <v>DHBA</v>
      </c>
      <c r="C3082" s="42" t="str">
        <f>IFERROR(__xludf.DUMMYFUNCTION("""COMPUTED_VALUE"""),"gracile nucleus, central part")</f>
        <v>gracile nucleus, central part</v>
      </c>
      <c r="D3082" s="42">
        <f>IFERROR(__xludf.DUMMYFUNCTION("""COMPUTED_VALUE"""),2941.0)</f>
        <v>2941</v>
      </c>
      <c r="E3082" s="39" t="str">
        <f>IFERROR(__xludf.DUMMYFUNCTION("""COMPUTED_VALUE"""),"gracile nucleus, central part")</f>
        <v>gracile nucleus, central part</v>
      </c>
      <c r="F3082" s="9" t="str">
        <f>IFERROR(__xludf.DUMMYFUNCTION("""COMPUTED_VALUE"""),"Br")</f>
        <v>Br</v>
      </c>
      <c r="G3082" s="9" t="str">
        <f>IFERROR(__xludf.DUMMYFUNCTION("""COMPUTED_VALUE"""),"H")</f>
        <v>H</v>
      </c>
      <c r="H3082" s="9" t="str">
        <f>IFERROR(__xludf.DUMMYFUNCTION("""COMPUTED_VALUE"""),"HGM")</f>
        <v>HGM</v>
      </c>
      <c r="I3082" s="9" t="str">
        <f>IFERROR(__xludf.DUMMYFUNCTION("""COMPUTED_VALUE"""),"Mo")</f>
        <v>Mo</v>
      </c>
      <c r="J3082" s="9" t="str">
        <f>IFERROR(__xludf.DUMMYFUNCTION("""COMPUTED_VALUE"""),"MoTg")</f>
        <v>MoTg</v>
      </c>
      <c r="K3082" s="9" t="str">
        <f>IFERROR(__xludf.DUMMYFUNCTION("""COMPUTED_VALUE"""),"MoSR")</f>
        <v>MoSR</v>
      </c>
      <c r="L3082" s="9" t="str">
        <f>IFERROR(__xludf.DUMMYFUNCTION("""COMPUTED_VALUE"""),"Gr")</f>
        <v>Gr</v>
      </c>
      <c r="M3082" s="9" t="str">
        <f>IFERROR(__xludf.DUMMYFUNCTION("""COMPUTED_VALUE"""),"GrC")</f>
        <v>GrC</v>
      </c>
      <c r="N3082" s="9"/>
      <c r="O3082" s="9"/>
      <c r="P3082" s="9"/>
      <c r="Q3082" s="9"/>
      <c r="R3082" s="9"/>
      <c r="S3082" s="42"/>
      <c r="T3082" s="42"/>
      <c r="U3082" s="42"/>
      <c r="V3082" s="42"/>
      <c r="W3082" s="42"/>
      <c r="X3082" s="42"/>
      <c r="Y3082" s="42"/>
      <c r="Z3082" s="42"/>
      <c r="AA3082" s="42"/>
      <c r="AB3082" s="42" t="str">
        <f>IFERROR(__xludf.DUMMYFUNCTION("""COMPUTED_VALUE"""),"allen institute")</f>
        <v>allen institute</v>
      </c>
      <c r="AC3082" s="42" t="str">
        <f>IFERROR(__xludf.DUMMYFUNCTION("""COMPUTED_VALUE"""),"DHBA")</f>
        <v>DHBA</v>
      </c>
      <c r="AD3082" s="42"/>
      <c r="AE3082" s="42"/>
      <c r="AF3082" s="9"/>
      <c r="AG3082" s="9"/>
      <c r="AH3082" s="42"/>
      <c r="AI3082" s="42"/>
      <c r="AJ3082" s="42"/>
      <c r="AK3082" s="42"/>
      <c r="AL3082" s="42"/>
      <c r="AM3082" s="42"/>
      <c r="AN3082" s="42"/>
      <c r="AO3082" s="63" t="str">
        <f>IFERROR(__xludf.DUMMYFUNCTION("IF(ISBLANK(A3082),,IF(ISBLANK(S3082), A3082&amp;"";"", TEXTJOIN(CHAR(10), TRUE, A3082&amp;"";"", ARRAYFORMULA(VLOOKUP(SPLIT(S3082, "";"" &amp; CHAR(10)), $A:$AO, 41, FALSE)))))"),"GrC;")</f>
        <v>GrC;</v>
      </c>
      <c r="AP3082" s="89"/>
    </row>
    <row r="3083">
      <c r="A3083" s="151" t="str">
        <f>IFERROR(__xludf.DUMMYFUNCTION("""COMPUTED_VALUE"""),"GrR")</f>
        <v>GrR</v>
      </c>
      <c r="B3083" s="42" t="str">
        <f>IFERROR(__xludf.DUMMYFUNCTION("""COMPUTED_VALUE"""),"DHBA")</f>
        <v>DHBA</v>
      </c>
      <c r="C3083" s="42" t="str">
        <f>IFERROR(__xludf.DUMMYFUNCTION("""COMPUTED_VALUE"""),"gracile nucleus, rostral part (shell)")</f>
        <v>gracile nucleus, rostral part (shell)</v>
      </c>
      <c r="D3083" s="42">
        <f>IFERROR(__xludf.DUMMYFUNCTION("""COMPUTED_VALUE"""),2942.0)</f>
        <v>2942</v>
      </c>
      <c r="E3083" s="39" t="str">
        <f>IFERROR(__xludf.DUMMYFUNCTION("""COMPUTED_VALUE"""),"gracile nucleus, rostral part (shell)")</f>
        <v>gracile nucleus, rostral part (shell)</v>
      </c>
      <c r="F3083" s="9" t="str">
        <f>IFERROR(__xludf.DUMMYFUNCTION("""COMPUTED_VALUE"""),"Br")</f>
        <v>Br</v>
      </c>
      <c r="G3083" s="9" t="str">
        <f>IFERROR(__xludf.DUMMYFUNCTION("""COMPUTED_VALUE"""),"H")</f>
        <v>H</v>
      </c>
      <c r="H3083" s="9" t="str">
        <f>IFERROR(__xludf.DUMMYFUNCTION("""COMPUTED_VALUE"""),"HGM")</f>
        <v>HGM</v>
      </c>
      <c r="I3083" s="9" t="str">
        <f>IFERROR(__xludf.DUMMYFUNCTION("""COMPUTED_VALUE"""),"Mo")</f>
        <v>Mo</v>
      </c>
      <c r="J3083" s="9" t="str">
        <f>IFERROR(__xludf.DUMMYFUNCTION("""COMPUTED_VALUE"""),"MoTg")</f>
        <v>MoTg</v>
      </c>
      <c r="K3083" s="9" t="str">
        <f>IFERROR(__xludf.DUMMYFUNCTION("""COMPUTED_VALUE"""),"MoSR")</f>
        <v>MoSR</v>
      </c>
      <c r="L3083" s="9" t="str">
        <f>IFERROR(__xludf.DUMMYFUNCTION("""COMPUTED_VALUE"""),"Gr")</f>
        <v>Gr</v>
      </c>
      <c r="M3083" s="9" t="str">
        <f>IFERROR(__xludf.DUMMYFUNCTION("""COMPUTED_VALUE"""),"GrR")</f>
        <v>GrR</v>
      </c>
      <c r="N3083" s="9"/>
      <c r="O3083" s="9"/>
      <c r="P3083" s="9"/>
      <c r="Q3083" s="9"/>
      <c r="R3083" s="9"/>
      <c r="S3083" s="42"/>
      <c r="T3083" s="42"/>
      <c r="U3083" s="42"/>
      <c r="V3083" s="42"/>
      <c r="W3083" s="42"/>
      <c r="X3083" s="42"/>
      <c r="Y3083" s="42"/>
      <c r="Z3083" s="42"/>
      <c r="AA3083" s="42"/>
      <c r="AB3083" s="42" t="str">
        <f>IFERROR(__xludf.DUMMYFUNCTION("""COMPUTED_VALUE"""),"allen institute")</f>
        <v>allen institute</v>
      </c>
      <c r="AC3083" s="42" t="str">
        <f>IFERROR(__xludf.DUMMYFUNCTION("""COMPUTED_VALUE"""),"DHBA")</f>
        <v>DHBA</v>
      </c>
      <c r="AD3083" s="42"/>
      <c r="AE3083" s="42"/>
      <c r="AF3083" s="9"/>
      <c r="AG3083" s="9"/>
      <c r="AH3083" s="42"/>
      <c r="AI3083" s="42"/>
      <c r="AJ3083" s="42"/>
      <c r="AK3083" s="42"/>
      <c r="AL3083" s="42"/>
      <c r="AM3083" s="42"/>
      <c r="AN3083" s="42"/>
      <c r="AO3083" s="63" t="str">
        <f>IFERROR(__xludf.DUMMYFUNCTION("IF(ISBLANK(A3083),,IF(ISBLANK(S3083), A3083&amp;"";"", TEXTJOIN(CHAR(10), TRUE, A3083&amp;"";"", ARRAYFORMULA(VLOOKUP(SPLIT(S3083, "";"" &amp; CHAR(10)), $A:$AO, 41, FALSE)))))"),"GrR;")</f>
        <v>GrR;</v>
      </c>
      <c r="AP3083" s="89"/>
    </row>
    <row r="3084">
      <c r="A3084" s="151" t="str">
        <f>IFERROR(__xludf.DUMMYFUNCTION("""COMPUTED_VALUE"""),"PrCbN")</f>
        <v>PrCbN</v>
      </c>
      <c r="B3084" s="42" t="str">
        <f>IFERROR(__xludf.DUMMYFUNCTION("""COMPUTED_VALUE"""),"DHBA")</f>
        <v>DHBA</v>
      </c>
      <c r="C3084" s="42" t="str">
        <f>IFERROR(__xludf.DUMMYFUNCTION("""COMPUTED_VALUE"""),"precerebellar nuclei")</f>
        <v>precerebellar nuclei</v>
      </c>
      <c r="D3084" s="42">
        <f>IFERROR(__xludf.DUMMYFUNCTION("""COMPUTED_VALUE"""),2943.0)</f>
        <v>2943</v>
      </c>
      <c r="E3084" s="39" t="str">
        <f>IFERROR(__xludf.DUMMYFUNCTION("""COMPUTED_VALUE"""),"precerebellar nuclei")</f>
        <v>precerebellar nuclei</v>
      </c>
      <c r="F3084" s="9" t="str">
        <f>IFERROR(__xludf.DUMMYFUNCTION("""COMPUTED_VALUE"""),"Br")</f>
        <v>Br</v>
      </c>
      <c r="G3084" s="9" t="str">
        <f>IFERROR(__xludf.DUMMYFUNCTION("""COMPUTED_VALUE"""),"H")</f>
        <v>H</v>
      </c>
      <c r="H3084" s="9" t="str">
        <f>IFERROR(__xludf.DUMMYFUNCTION("""COMPUTED_VALUE"""),"HGM")</f>
        <v>HGM</v>
      </c>
      <c r="I3084" s="9" t="str">
        <f>IFERROR(__xludf.DUMMYFUNCTION("""COMPUTED_VALUE"""),"Mo")</f>
        <v>Mo</v>
      </c>
      <c r="J3084" s="9" t="str">
        <f>IFERROR(__xludf.DUMMYFUNCTION("""COMPUTED_VALUE"""),"MoTg")</f>
        <v>MoTg</v>
      </c>
      <c r="K3084" s="9" t="str">
        <f>IFERROR(__xludf.DUMMYFUNCTION("""COMPUTED_VALUE"""),"PrCbN")</f>
        <v>PrCbN</v>
      </c>
      <c r="L3084" s="9"/>
      <c r="M3084" s="9"/>
      <c r="N3084" s="9"/>
      <c r="O3084" s="9"/>
      <c r="P3084" s="9"/>
      <c r="Q3084" s="9"/>
      <c r="R3084" s="9"/>
      <c r="S3084" s="42" t="str">
        <f>IFERROR(__xludf.DUMMYFUNCTION("""COMPUTED_VALUE"""),"Crb;
DPMn;
IO;
InM;
IPo;
PnbN;
PrH")</f>
        <v>Crb;
DPMn;
IO;
InM;
IPo;
PnbN;
PrH</v>
      </c>
      <c r="T3084" s="42"/>
      <c r="U3084" s="42" t="b">
        <f>IFERROR(__xludf.DUMMYFUNCTION("""COMPUTED_VALUE"""),FALSE)</f>
        <v>0</v>
      </c>
      <c r="V3084" s="42"/>
      <c r="W3084" s="42"/>
      <c r="X3084" s="42"/>
      <c r="Y3084" s="42"/>
      <c r="Z3084" s="42"/>
      <c r="AA3084" s="42"/>
      <c r="AB3084" s="42" t="str">
        <f>IFERROR(__xludf.DUMMYFUNCTION("""COMPUTED_VALUE"""),"allen institute")</f>
        <v>allen institute</v>
      </c>
      <c r="AC3084" s="42" t="str">
        <f>IFERROR(__xludf.DUMMYFUNCTION("""COMPUTED_VALUE"""),"DHBA")</f>
        <v>DHBA</v>
      </c>
      <c r="AD3084" s="42"/>
      <c r="AE3084" s="42"/>
      <c r="AF3084" s="9"/>
      <c r="AG3084" s="9"/>
      <c r="AH3084" s="42"/>
      <c r="AI3084" s="42"/>
      <c r="AJ3084" s="42"/>
      <c r="AK3084" s="42"/>
      <c r="AL3084" s="42"/>
      <c r="AM3084" s="42"/>
      <c r="AN3084" s="42"/>
      <c r="AO3084" s="63" t="str">
        <f>IFERROR(__xludf.DUMMYFUNCTION("IF(ISBLANK(A3084),,IF(ISBLANK(S3084), A3084&amp;"";"", TEXTJOIN(CHAR(10), TRUE, A3084&amp;"";"", ARRAYFORMULA(VLOOKUP(SPLIT(S3084, "";"" &amp; CHAR(10)), $A:$AO, 41, FALSE)))))"),"PrCbN;
Crb;
DPMn;
CDPMn;
ODPMn;
IO;
IODM;
IOBe;
IOD;
IODC;
IOM;
IOK;
IOA;
IOB;
IOC;
IOPr;
IOVL;
InM;
IPo;
PnbN;
PrH;")</f>
        <v>PrCbN;
Crb;
DPMn;
CDPMn;
ODPMn;
IO;
IODM;
IOBe;
IOD;
IODC;
IOM;
IOK;
IOA;
IOB;
IOC;
IOPr;
IOVL;
InM;
IPo;
PnbN;
PrH;</v>
      </c>
      <c r="AP3084" s="89"/>
    </row>
    <row r="3085">
      <c r="A3085" s="151" t="str">
        <f>IFERROR(__xludf.DUMMYFUNCTION("""COMPUTED_VALUE"""),"Crb")</f>
        <v>Crb</v>
      </c>
      <c r="B3085" s="42" t="str">
        <f>IFERROR(__xludf.DUMMYFUNCTION("""COMPUTED_VALUE"""),"DHBA")</f>
        <v>DHBA</v>
      </c>
      <c r="C3085" s="42" t="str">
        <f>IFERROR(__xludf.DUMMYFUNCTION("""COMPUTED_VALUE"""),"cribriform nucleus")</f>
        <v>cribriform nucleus</v>
      </c>
      <c r="D3085" s="42">
        <f>IFERROR(__xludf.DUMMYFUNCTION("""COMPUTED_VALUE"""),2944.0)</f>
        <v>2944</v>
      </c>
      <c r="E3085" s="39" t="str">
        <f>IFERROR(__xludf.DUMMYFUNCTION("""COMPUTED_VALUE"""),"cribriform nucleus")</f>
        <v>cribriform nucleus</v>
      </c>
      <c r="F3085" s="9" t="str">
        <f>IFERROR(__xludf.DUMMYFUNCTION("""COMPUTED_VALUE"""),"Br")</f>
        <v>Br</v>
      </c>
      <c r="G3085" s="9" t="str">
        <f>IFERROR(__xludf.DUMMYFUNCTION("""COMPUTED_VALUE"""),"H")</f>
        <v>H</v>
      </c>
      <c r="H3085" s="9" t="str">
        <f>IFERROR(__xludf.DUMMYFUNCTION("""COMPUTED_VALUE"""),"HGM")</f>
        <v>HGM</v>
      </c>
      <c r="I3085" s="9" t="str">
        <f>IFERROR(__xludf.DUMMYFUNCTION("""COMPUTED_VALUE"""),"Mo")</f>
        <v>Mo</v>
      </c>
      <c r="J3085" s="9" t="str">
        <f>IFERROR(__xludf.DUMMYFUNCTION("""COMPUTED_VALUE"""),"MoTg")</f>
        <v>MoTg</v>
      </c>
      <c r="K3085" s="9" t="str">
        <f>IFERROR(__xludf.DUMMYFUNCTION("""COMPUTED_VALUE"""),"PrCbN")</f>
        <v>PrCbN</v>
      </c>
      <c r="L3085" s="9" t="str">
        <f>IFERROR(__xludf.DUMMYFUNCTION("""COMPUTED_VALUE"""),"Crb")</f>
        <v>Crb</v>
      </c>
      <c r="M3085" s="9"/>
      <c r="N3085" s="9"/>
      <c r="O3085" s="9"/>
      <c r="P3085" s="9"/>
      <c r="Q3085" s="9"/>
      <c r="R3085" s="9"/>
      <c r="S3085" s="42"/>
      <c r="T3085" s="42"/>
      <c r="U3085" s="42"/>
      <c r="V3085" s="42"/>
      <c r="W3085" s="42"/>
      <c r="X3085" s="42"/>
      <c r="Y3085" s="42"/>
      <c r="Z3085" s="42"/>
      <c r="AA3085" s="42"/>
      <c r="AB3085" s="42" t="str">
        <f>IFERROR(__xludf.DUMMYFUNCTION("""COMPUTED_VALUE"""),"allen institute")</f>
        <v>allen institute</v>
      </c>
      <c r="AC3085" s="42" t="str">
        <f>IFERROR(__xludf.DUMMYFUNCTION("""COMPUTED_VALUE"""),"DHBA")</f>
        <v>DHBA</v>
      </c>
      <c r="AD3085" s="42"/>
      <c r="AE3085" s="42"/>
      <c r="AF3085" s="9"/>
      <c r="AG3085" s="9"/>
      <c r="AH3085" s="42"/>
      <c r="AI3085" s="42"/>
      <c r="AJ3085" s="42"/>
      <c r="AK3085" s="42"/>
      <c r="AL3085" s="42"/>
      <c r="AM3085" s="42"/>
      <c r="AN3085" s="42"/>
      <c r="AO3085" s="63" t="str">
        <f>IFERROR(__xludf.DUMMYFUNCTION("IF(ISBLANK(A3085),,IF(ISBLANK(S3085), A3085&amp;"";"", TEXTJOIN(CHAR(10), TRUE, A3085&amp;"";"", ARRAYFORMULA(VLOOKUP(SPLIT(S3085, "";"" &amp; CHAR(10)), $A:$AO, 41, FALSE)))))"),"Crb;")</f>
        <v>Crb;</v>
      </c>
      <c r="AP3085" s="89"/>
    </row>
    <row r="3086">
      <c r="A3086" s="151" t="str">
        <f>IFERROR(__xludf.DUMMYFUNCTION("""COMPUTED_VALUE"""),"DPMn")</f>
        <v>DPMn</v>
      </c>
      <c r="B3086" s="42" t="str">
        <f>IFERROR(__xludf.DUMMYFUNCTION("""COMPUTED_VALUE"""),"DHBA")</f>
        <v>DHBA</v>
      </c>
      <c r="C3086" s="42" t="str">
        <f>IFERROR(__xludf.DUMMYFUNCTION("""COMPUTED_VALUE"""),"dorsal paramedian nucleus")</f>
        <v>dorsal paramedian nucleus</v>
      </c>
      <c r="D3086" s="42">
        <f>IFERROR(__xludf.DUMMYFUNCTION("""COMPUTED_VALUE"""),2945.0)</f>
        <v>2945</v>
      </c>
      <c r="E3086" s="39" t="str">
        <f>IFERROR(__xludf.DUMMYFUNCTION("""COMPUTED_VALUE"""),"dorsal paramedian nucleus")</f>
        <v>dorsal paramedian nucleus</v>
      </c>
      <c r="F3086" s="9" t="str">
        <f>IFERROR(__xludf.DUMMYFUNCTION("""COMPUTED_VALUE"""),"Br")</f>
        <v>Br</v>
      </c>
      <c r="G3086" s="9" t="str">
        <f>IFERROR(__xludf.DUMMYFUNCTION("""COMPUTED_VALUE"""),"H")</f>
        <v>H</v>
      </c>
      <c r="H3086" s="9" t="str">
        <f>IFERROR(__xludf.DUMMYFUNCTION("""COMPUTED_VALUE"""),"HGM")</f>
        <v>HGM</v>
      </c>
      <c r="I3086" s="9" t="str">
        <f>IFERROR(__xludf.DUMMYFUNCTION("""COMPUTED_VALUE"""),"Mo")</f>
        <v>Mo</v>
      </c>
      <c r="J3086" s="9" t="str">
        <f>IFERROR(__xludf.DUMMYFUNCTION("""COMPUTED_VALUE"""),"MoTg")</f>
        <v>MoTg</v>
      </c>
      <c r="K3086" s="9" t="str">
        <f>IFERROR(__xludf.DUMMYFUNCTION("""COMPUTED_VALUE"""),"PrCbN")</f>
        <v>PrCbN</v>
      </c>
      <c r="L3086" s="9" t="str">
        <f>IFERROR(__xludf.DUMMYFUNCTION("""COMPUTED_VALUE"""),"DPMn")</f>
        <v>DPMn</v>
      </c>
      <c r="M3086" s="9"/>
      <c r="N3086" s="9"/>
      <c r="O3086" s="9"/>
      <c r="P3086" s="9"/>
      <c r="Q3086" s="9"/>
      <c r="R3086" s="9"/>
      <c r="S3086" s="42" t="str">
        <f>IFERROR(__xludf.DUMMYFUNCTION("""COMPUTED_VALUE"""),"CDPMn;
ODPMn")</f>
        <v>CDPMn;
ODPMn</v>
      </c>
      <c r="T3086" s="42"/>
      <c r="U3086" s="42" t="b">
        <f>IFERROR(__xludf.DUMMYFUNCTION("""COMPUTED_VALUE"""),FALSE)</f>
        <v>0</v>
      </c>
      <c r="V3086" s="42"/>
      <c r="W3086" s="42"/>
      <c r="X3086" s="42"/>
      <c r="Y3086" s="42"/>
      <c r="Z3086" s="42"/>
      <c r="AA3086" s="42"/>
      <c r="AB3086" s="42" t="str">
        <f>IFERROR(__xludf.DUMMYFUNCTION("""COMPUTED_VALUE"""),"allen institute")</f>
        <v>allen institute</v>
      </c>
      <c r="AC3086" s="42" t="str">
        <f>IFERROR(__xludf.DUMMYFUNCTION("""COMPUTED_VALUE"""),"DHBA")</f>
        <v>DHBA</v>
      </c>
      <c r="AD3086" s="42"/>
      <c r="AE3086" s="42"/>
      <c r="AF3086" s="9"/>
      <c r="AG3086" s="9"/>
      <c r="AH3086" s="42"/>
      <c r="AI3086" s="42"/>
      <c r="AJ3086" s="42"/>
      <c r="AK3086" s="42"/>
      <c r="AL3086" s="42"/>
      <c r="AM3086" s="42"/>
      <c r="AN3086" s="42"/>
      <c r="AO3086" s="63" t="str">
        <f>IFERROR(__xludf.DUMMYFUNCTION("IF(ISBLANK(A3086),,IF(ISBLANK(S3086), A3086&amp;"";"", TEXTJOIN(CHAR(10), TRUE, A3086&amp;"";"", ARRAYFORMULA(VLOOKUP(SPLIT(S3086, "";"" &amp; CHAR(10)), $A:$AO, 41, FALSE)))))"),"DPMn;
CDPMn;
ODPMn;")</f>
        <v>DPMn;
CDPMn;
ODPMn;</v>
      </c>
      <c r="AP3086" s="89"/>
    </row>
    <row r="3087">
      <c r="A3087" s="151" t="str">
        <f>IFERROR(__xludf.DUMMYFUNCTION("""COMPUTED_VALUE"""),"CDPMn")</f>
        <v>CDPMn</v>
      </c>
      <c r="B3087" s="42" t="str">
        <f>IFERROR(__xludf.DUMMYFUNCTION("""COMPUTED_VALUE"""),"DHBA")</f>
        <v>DHBA</v>
      </c>
      <c r="C3087" s="42" t="str">
        <f>IFERROR(__xludf.DUMMYFUNCTION("""COMPUTED_VALUE"""),"caudal dorsal paramedian nucleus")</f>
        <v>caudal dorsal paramedian nucleus</v>
      </c>
      <c r="D3087" s="42">
        <f>IFERROR(__xludf.DUMMYFUNCTION("""COMPUTED_VALUE"""),2946.0)</f>
        <v>2946</v>
      </c>
      <c r="E3087" s="39" t="str">
        <f>IFERROR(__xludf.DUMMYFUNCTION("""COMPUTED_VALUE"""),"caudal dorsal paramedian nucleus")</f>
        <v>caudal dorsal paramedian nucleus</v>
      </c>
      <c r="F3087" s="9" t="str">
        <f>IFERROR(__xludf.DUMMYFUNCTION("""COMPUTED_VALUE"""),"Br")</f>
        <v>Br</v>
      </c>
      <c r="G3087" s="9" t="str">
        <f>IFERROR(__xludf.DUMMYFUNCTION("""COMPUTED_VALUE"""),"H")</f>
        <v>H</v>
      </c>
      <c r="H3087" s="9" t="str">
        <f>IFERROR(__xludf.DUMMYFUNCTION("""COMPUTED_VALUE"""),"HGM")</f>
        <v>HGM</v>
      </c>
      <c r="I3087" s="9" t="str">
        <f>IFERROR(__xludf.DUMMYFUNCTION("""COMPUTED_VALUE"""),"Mo")</f>
        <v>Mo</v>
      </c>
      <c r="J3087" s="9" t="str">
        <f>IFERROR(__xludf.DUMMYFUNCTION("""COMPUTED_VALUE"""),"MoTg")</f>
        <v>MoTg</v>
      </c>
      <c r="K3087" s="9" t="str">
        <f>IFERROR(__xludf.DUMMYFUNCTION("""COMPUTED_VALUE"""),"PrCbN")</f>
        <v>PrCbN</v>
      </c>
      <c r="L3087" s="9" t="str">
        <f>IFERROR(__xludf.DUMMYFUNCTION("""COMPUTED_VALUE"""),"DPMn")</f>
        <v>DPMn</v>
      </c>
      <c r="M3087" s="9" t="str">
        <f>IFERROR(__xludf.DUMMYFUNCTION("""COMPUTED_VALUE"""),"CDPMn")</f>
        <v>CDPMn</v>
      </c>
      <c r="N3087" s="9"/>
      <c r="O3087" s="9"/>
      <c r="P3087" s="9"/>
      <c r="Q3087" s="9"/>
      <c r="R3087" s="9"/>
      <c r="S3087" s="42"/>
      <c r="T3087" s="42"/>
      <c r="U3087" s="42"/>
      <c r="V3087" s="42"/>
      <c r="W3087" s="42"/>
      <c r="X3087" s="42"/>
      <c r="Y3087" s="42"/>
      <c r="Z3087" s="42"/>
      <c r="AA3087" s="42"/>
      <c r="AB3087" s="42" t="str">
        <f>IFERROR(__xludf.DUMMYFUNCTION("""COMPUTED_VALUE"""),"allen institute")</f>
        <v>allen institute</v>
      </c>
      <c r="AC3087" s="42" t="str">
        <f>IFERROR(__xludf.DUMMYFUNCTION("""COMPUTED_VALUE"""),"DHBA")</f>
        <v>DHBA</v>
      </c>
      <c r="AD3087" s="42"/>
      <c r="AE3087" s="42"/>
      <c r="AF3087" s="9"/>
      <c r="AG3087" s="9"/>
      <c r="AH3087" s="42"/>
      <c r="AI3087" s="42"/>
      <c r="AJ3087" s="42"/>
      <c r="AK3087" s="42"/>
      <c r="AL3087" s="42"/>
      <c r="AM3087" s="42"/>
      <c r="AN3087" s="42"/>
      <c r="AO3087" s="63" t="str">
        <f>IFERROR(__xludf.DUMMYFUNCTION("IF(ISBLANK(A3087),,IF(ISBLANK(S3087), A3087&amp;"";"", TEXTJOIN(CHAR(10), TRUE, A3087&amp;"";"", ARRAYFORMULA(VLOOKUP(SPLIT(S3087, "";"" &amp; CHAR(10)), $A:$AO, 41, FALSE)))))"),"CDPMn;")</f>
        <v>CDPMn;</v>
      </c>
      <c r="AP3087" s="89"/>
    </row>
    <row r="3088">
      <c r="A3088" s="151" t="str">
        <f>IFERROR(__xludf.DUMMYFUNCTION("""COMPUTED_VALUE"""),"ODPMn")</f>
        <v>ODPMn</v>
      </c>
      <c r="B3088" s="42" t="str">
        <f>IFERROR(__xludf.DUMMYFUNCTION("""COMPUTED_VALUE"""),"DHBA")</f>
        <v>DHBA</v>
      </c>
      <c r="C3088" s="42" t="str">
        <f>IFERROR(__xludf.DUMMYFUNCTION("""COMPUTED_VALUE"""),"rostral (oral) dorsal paramedian nucleus")</f>
        <v>rostral (oral) dorsal paramedian nucleus</v>
      </c>
      <c r="D3088" s="42">
        <f>IFERROR(__xludf.DUMMYFUNCTION("""COMPUTED_VALUE"""),2947.0)</f>
        <v>2947</v>
      </c>
      <c r="E3088" s="39" t="str">
        <f>IFERROR(__xludf.DUMMYFUNCTION("""COMPUTED_VALUE"""),"rostral (oral) dorsal paramedian nucleus")</f>
        <v>rostral (oral) dorsal paramedian nucleus</v>
      </c>
      <c r="F3088" s="9" t="str">
        <f>IFERROR(__xludf.DUMMYFUNCTION("""COMPUTED_VALUE"""),"Br")</f>
        <v>Br</v>
      </c>
      <c r="G3088" s="9" t="str">
        <f>IFERROR(__xludf.DUMMYFUNCTION("""COMPUTED_VALUE"""),"H")</f>
        <v>H</v>
      </c>
      <c r="H3088" s="9" t="str">
        <f>IFERROR(__xludf.DUMMYFUNCTION("""COMPUTED_VALUE"""),"HGM")</f>
        <v>HGM</v>
      </c>
      <c r="I3088" s="9" t="str">
        <f>IFERROR(__xludf.DUMMYFUNCTION("""COMPUTED_VALUE"""),"Mo")</f>
        <v>Mo</v>
      </c>
      <c r="J3088" s="9" t="str">
        <f>IFERROR(__xludf.DUMMYFUNCTION("""COMPUTED_VALUE"""),"MoTg")</f>
        <v>MoTg</v>
      </c>
      <c r="K3088" s="9" t="str">
        <f>IFERROR(__xludf.DUMMYFUNCTION("""COMPUTED_VALUE"""),"PrCbN")</f>
        <v>PrCbN</v>
      </c>
      <c r="L3088" s="9" t="str">
        <f>IFERROR(__xludf.DUMMYFUNCTION("""COMPUTED_VALUE"""),"DPMn")</f>
        <v>DPMn</v>
      </c>
      <c r="M3088" s="9" t="str">
        <f>IFERROR(__xludf.DUMMYFUNCTION("""COMPUTED_VALUE"""),"ODPMn")</f>
        <v>ODPMn</v>
      </c>
      <c r="N3088" s="9"/>
      <c r="O3088" s="9"/>
      <c r="P3088" s="9"/>
      <c r="Q3088" s="9"/>
      <c r="R3088" s="9"/>
      <c r="S3088" s="42"/>
      <c r="T3088" s="42"/>
      <c r="U3088" s="42"/>
      <c r="V3088" s="42"/>
      <c r="W3088" s="42"/>
      <c r="X3088" s="42"/>
      <c r="Y3088" s="42"/>
      <c r="Z3088" s="42"/>
      <c r="AA3088" s="42"/>
      <c r="AB3088" s="42" t="str">
        <f>IFERROR(__xludf.DUMMYFUNCTION("""COMPUTED_VALUE"""),"allen institute")</f>
        <v>allen institute</v>
      </c>
      <c r="AC3088" s="42" t="str">
        <f>IFERROR(__xludf.DUMMYFUNCTION("""COMPUTED_VALUE"""),"DHBA")</f>
        <v>DHBA</v>
      </c>
      <c r="AD3088" s="42"/>
      <c r="AE3088" s="42"/>
      <c r="AF3088" s="9"/>
      <c r="AG3088" s="9"/>
      <c r="AH3088" s="42"/>
      <c r="AI3088" s="42"/>
      <c r="AJ3088" s="42"/>
      <c r="AK3088" s="42"/>
      <c r="AL3088" s="42"/>
      <c r="AM3088" s="42"/>
      <c r="AN3088" s="42"/>
      <c r="AO3088" s="63" t="str">
        <f>IFERROR(__xludf.DUMMYFUNCTION("IF(ISBLANK(A3088),,IF(ISBLANK(S3088), A3088&amp;"";"", TEXTJOIN(CHAR(10), TRUE, A3088&amp;"";"", ARRAYFORMULA(VLOOKUP(SPLIT(S3088, "";"" &amp; CHAR(10)), $A:$AO, 41, FALSE)))))"),"ODPMn;")</f>
        <v>ODPMn;</v>
      </c>
      <c r="AP3088" s="89"/>
    </row>
    <row r="3089">
      <c r="A3089" s="151" t="str">
        <f>IFERROR(__xludf.DUMMYFUNCTION("""COMPUTED_VALUE"""),"IO")</f>
        <v>IO</v>
      </c>
      <c r="B3089" s="42" t="str">
        <f>IFERROR(__xludf.DUMMYFUNCTION("""COMPUTED_VALUE"""),"DHBA")</f>
        <v>DHBA</v>
      </c>
      <c r="C3089" s="42" t="str">
        <f>IFERROR(__xludf.DUMMYFUNCTION("""COMPUTED_VALUE"""),"inferior olive")</f>
        <v>inferior olive</v>
      </c>
      <c r="D3089" s="42">
        <f>IFERROR(__xludf.DUMMYFUNCTION("""COMPUTED_VALUE"""),2948.0)</f>
        <v>2948</v>
      </c>
      <c r="E3089" s="39" t="str">
        <f>IFERROR(__xludf.DUMMYFUNCTION("""COMPUTED_VALUE"""),"inferior olive")</f>
        <v>inferior olive</v>
      </c>
      <c r="F3089" s="9" t="str">
        <f>IFERROR(__xludf.DUMMYFUNCTION("""COMPUTED_VALUE"""),"Br")</f>
        <v>Br</v>
      </c>
      <c r="G3089" s="9" t="str">
        <f>IFERROR(__xludf.DUMMYFUNCTION("""COMPUTED_VALUE"""),"H")</f>
        <v>H</v>
      </c>
      <c r="H3089" s="9" t="str">
        <f>IFERROR(__xludf.DUMMYFUNCTION("""COMPUTED_VALUE"""),"HGM")</f>
        <v>HGM</v>
      </c>
      <c r="I3089" s="9" t="str">
        <f>IFERROR(__xludf.DUMMYFUNCTION("""COMPUTED_VALUE"""),"Mo")</f>
        <v>Mo</v>
      </c>
      <c r="J3089" s="9" t="str">
        <f>IFERROR(__xludf.DUMMYFUNCTION("""COMPUTED_VALUE"""),"MoTg")</f>
        <v>MoTg</v>
      </c>
      <c r="K3089" s="9" t="str">
        <f>IFERROR(__xludf.DUMMYFUNCTION("""COMPUTED_VALUE"""),"PrCbN")</f>
        <v>PrCbN</v>
      </c>
      <c r="L3089" s="9" t="str">
        <f>IFERROR(__xludf.DUMMYFUNCTION("""COMPUTED_VALUE"""),"IO")</f>
        <v>IO</v>
      </c>
      <c r="M3089" s="9"/>
      <c r="N3089" s="9"/>
      <c r="O3089" s="9"/>
      <c r="P3089" s="9"/>
      <c r="Q3089" s="9"/>
      <c r="R3089" s="9"/>
      <c r="S3089" s="42" t="str">
        <f>IFERROR(__xludf.DUMMYFUNCTION("""COMPUTED_VALUE"""),"IODM;
IOBe;
IOD;
IODC;
IOM;
IOPr;
IOVL")</f>
        <v>IODM;
IOBe;
IOD;
IODC;
IOM;
IOPr;
IOVL</v>
      </c>
      <c r="T3089" s="42"/>
      <c r="U3089" s="42" t="b">
        <f>IFERROR(__xludf.DUMMYFUNCTION("""COMPUTED_VALUE"""),FALSE)</f>
        <v>0</v>
      </c>
      <c r="V3089" s="42"/>
      <c r="W3089" s="42" t="str">
        <f>IFERROR(__xludf.DUMMYFUNCTION("""COMPUTED_VALUE"""),"Modulatory")</f>
        <v>Modulatory</v>
      </c>
      <c r="X3089" s="42"/>
      <c r="Y3089" s="42" t="str">
        <f>IFERROR(__xludf.DUMMYFUNCTION("""COMPUTED_VALUE"""),"reporting movement errors have broadened to incorporate instructive signals that might drive more flexible and varied types of reinforcement learning.[Wagner, 2020]
climbing fibers are thought to play a key role in cerebellar learning by instructing a Pur"&amp;"kinje neuron as to which of its granule cell inputs are most informative[Wagner, 2020 [41-43]]
unsigned reward prediction error.[Wagner, 2020]")</f>
        <v>reporting movement errors have broadened to incorporate instructive signals that might drive more flexible and varied types of reinforcement learning.[Wagner, 2020]
climbing fibers are thought to play a key role in cerebellar learning by instructing a Purkinje neuron as to which of its granule cell inputs are most informative[Wagner, 2020 [41-43]]
unsigned reward prediction error.[Wagner, 2020]</v>
      </c>
      <c r="Z3089" s="42"/>
      <c r="AA3089" s="42"/>
      <c r="AB3089" s="42" t="str">
        <f>IFERROR(__xludf.DUMMYFUNCTION("""COMPUTED_VALUE"""),"allen institute")</f>
        <v>allen institute</v>
      </c>
      <c r="AC3089" s="42" t="str">
        <f>IFERROR(__xludf.DUMMYFUNCTION("""COMPUTED_VALUE"""),"DHBA")</f>
        <v>DHBA</v>
      </c>
      <c r="AD3089" s="42"/>
      <c r="AE3089" s="42"/>
      <c r="AF3089" s="9"/>
      <c r="AG3089" s="9"/>
      <c r="AH3089" s="42"/>
      <c r="AI3089" s="42"/>
      <c r="AJ3089" s="42"/>
      <c r="AK3089" s="42"/>
      <c r="AL3089" s="42"/>
      <c r="AM3089" s="42"/>
      <c r="AN3089" s="42"/>
      <c r="AO3089" s="63" t="str">
        <f>IFERROR(__xludf.DUMMYFUNCTION("IF(ISBLANK(A3089),,IF(ISBLANK(S3089), A3089&amp;"";"", TEXTJOIN(CHAR(10), TRUE, A3089&amp;"";"", ARRAYFORMULA(VLOOKUP(SPLIT(S3089, "";"" &amp; CHAR(10)), $A:$AO, 41, FALSE)))))"),"IO;
IODM;
IOBe;
IOD;
IODC;
IOM;
IOK;
IOA;
IOB;
IOC;
IOPr;
IOVL;")</f>
        <v>IO;
IODM;
IOBe;
IOD;
IODC;
IOM;
IOK;
IOA;
IOB;
IOC;
IOPr;
IOVL;</v>
      </c>
      <c r="AP3089" s="89"/>
    </row>
    <row r="3090">
      <c r="A3090" s="151" t="str">
        <f>IFERROR(__xludf.DUMMYFUNCTION("""COMPUTED_VALUE"""),"IOVeN")</f>
        <v>IOVeN</v>
      </c>
      <c r="B3090" s="42" t="str">
        <f>IFERROR(__xludf.DUMMYFUNCTION("""COMPUTED_VALUE"""),"collection")</f>
        <v>collection</v>
      </c>
      <c r="C3090" s="42" t="str">
        <f>IFERROR(__xludf.DUMMYFUNCTION("""COMPUTED_VALUE"""),"inferior olive associated with vestibular")</f>
        <v>inferior olive associated with vestibular</v>
      </c>
      <c r="D3090" s="42">
        <f>IFERROR(__xludf.DUMMYFUNCTION("""COMPUTED_VALUE"""),2948.1)</f>
        <v>2948.1</v>
      </c>
      <c r="E3090" s="39" t="str">
        <f>IFERROR(__xludf.DUMMYFUNCTION("""COMPUTED_VALUE"""),"")</f>
        <v/>
      </c>
      <c r="F3090" s="9" t="str">
        <f>IFERROR(__xludf.DUMMYFUNCTION("""COMPUTED_VALUE"""),"")</f>
        <v/>
      </c>
      <c r="G3090" s="9" t="str">
        <f>IFERROR(__xludf.DUMMYFUNCTION("""COMPUTED_VALUE"""),"")</f>
        <v/>
      </c>
      <c r="H3090" s="9" t="str">
        <f>IFERROR(__xludf.DUMMYFUNCTION("""COMPUTED_VALUE"""),"")</f>
        <v/>
      </c>
      <c r="I3090" s="9" t="str">
        <f>IFERROR(__xludf.DUMMYFUNCTION("""COMPUTED_VALUE"""),"")</f>
        <v/>
      </c>
      <c r="J3090" s="9" t="str">
        <f>IFERROR(__xludf.DUMMYFUNCTION("""COMPUTED_VALUE"""),"")</f>
        <v/>
      </c>
      <c r="K3090" s="9" t="str">
        <f>IFERROR(__xludf.DUMMYFUNCTION("""COMPUTED_VALUE"""),"")</f>
        <v/>
      </c>
      <c r="L3090" s="9" t="str">
        <f>IFERROR(__xludf.DUMMYFUNCTION("""COMPUTED_VALUE"""),"")</f>
        <v/>
      </c>
      <c r="M3090" s="9" t="str">
        <f>IFERROR(__xludf.DUMMYFUNCTION("""COMPUTED_VALUE"""),"")</f>
        <v/>
      </c>
      <c r="N3090" s="9" t="str">
        <f>IFERROR(__xludf.DUMMYFUNCTION("""COMPUTED_VALUE"""),"")</f>
        <v/>
      </c>
      <c r="O3090" s="9" t="str">
        <f>IFERROR(__xludf.DUMMYFUNCTION("""COMPUTED_VALUE"""),"")</f>
        <v/>
      </c>
      <c r="P3090" s="9" t="str">
        <f>IFERROR(__xludf.DUMMYFUNCTION("""COMPUTED_VALUE"""),"")</f>
        <v/>
      </c>
      <c r="Q3090" s="9" t="str">
        <f>IFERROR(__xludf.DUMMYFUNCTION("""COMPUTED_VALUE"""),"")</f>
        <v/>
      </c>
      <c r="R3090" s="9" t="str">
        <f>IFERROR(__xludf.DUMMYFUNCTION("""COMPUTED_VALUE"""),"")</f>
        <v/>
      </c>
      <c r="S3090" s="42" t="str">
        <f>IFERROR(__xludf.DUMMYFUNCTION("""COMPUTED_VALUE"""),"IOM")</f>
        <v>IOM</v>
      </c>
      <c r="T3090" s="42" t="str">
        <f>IFERROR(__xludf.DUMMYFUNCTION("""COMPUTED_VALUE"""),"IO")</f>
        <v>IO</v>
      </c>
      <c r="U3090" s="42" t="b">
        <f>IFERROR(__xludf.DUMMYFUNCTION("""COMPUTED_VALUE"""),TRUE)</f>
        <v>1</v>
      </c>
      <c r="V3090" s="42" t="str">
        <f>IFERROR(__xludf.DUMMYFUNCTION("""COMPUTED_VALUE"""),"Glutamate")</f>
        <v>Glutamate</v>
      </c>
      <c r="W3090" s="42" t="str">
        <f>IFERROR(__xludf.DUMMYFUNCTION("""COMPUTED_VALUE"""),"Modulatory")</f>
        <v>Modulatory</v>
      </c>
      <c r="X3090" s="42"/>
      <c r="Y3090" s="42"/>
      <c r="Z3090" s="42"/>
      <c r="AA3090" s="42"/>
      <c r="AB3090" s="42" t="str">
        <f>IFERROR(__xludf.DUMMYFUNCTION("""COMPUTED_VALUE"""),"Hiroshi Yamakawa")</f>
        <v>Hiroshi Yamakawa</v>
      </c>
      <c r="AC3090" s="42" t="str">
        <f>IFERROR(__xludf.DUMMYFUNCTION("""COMPUTED_VALUE"""),"HY20Cerebellum")</f>
        <v>HY20Cerebellum</v>
      </c>
      <c r="AD3090" s="42"/>
      <c r="AE3090" s="42"/>
      <c r="AF3090" s="9"/>
      <c r="AG3090" s="9"/>
      <c r="AH3090" s="42"/>
      <c r="AI3090" s="42"/>
      <c r="AJ3090" s="42"/>
      <c r="AK3090" s="42"/>
      <c r="AL3090" s="42"/>
      <c r="AM3090" s="42"/>
      <c r="AN3090" s="42"/>
      <c r="AO3090" s="63" t="str">
        <f>IFERROR(__xludf.DUMMYFUNCTION("IF(ISBLANK(A3090),,IF(ISBLANK(S3090), A3090&amp;"";"", TEXTJOIN(CHAR(10), TRUE, A3090&amp;"";"", ARRAYFORMULA(VLOOKUP(SPLIT(S3090, "";"" &amp; CHAR(10)), $A:$AO, 41, FALSE)))))"),"IOVeN;
IOM;
IOK;
IOA;
IOB;
IOC;")</f>
        <v>IOVeN;
IOM;
IOK;
IOA;
IOB;
IOC;</v>
      </c>
      <c r="AP3090" s="89"/>
    </row>
    <row r="3091">
      <c r="A3091" s="151" t="str">
        <f>IFERROR(__xludf.DUMMYFUNCTION("""COMPUTED_VALUE"""),"IOFas")</f>
        <v>IOFas</v>
      </c>
      <c r="B3091" s="42" t="str">
        <f>IFERROR(__xludf.DUMMYFUNCTION("""COMPUTED_VALUE"""),"collection")</f>
        <v>collection</v>
      </c>
      <c r="C3091" s="42" t="str">
        <f>IFERROR(__xludf.DUMMYFUNCTION("""COMPUTED_VALUE"""),"inferior olive associated with CBV")</f>
        <v>inferior olive associated with CBV</v>
      </c>
      <c r="D3091" s="42">
        <f>IFERROR(__xludf.DUMMYFUNCTION("""COMPUTED_VALUE"""),2948.2)</f>
        <v>2948.2</v>
      </c>
      <c r="E3091" s="39" t="str">
        <f>IFERROR(__xludf.DUMMYFUNCTION("""COMPUTED_VALUE"""),"")</f>
        <v/>
      </c>
      <c r="F3091" s="9" t="str">
        <f>IFERROR(__xludf.DUMMYFUNCTION("""COMPUTED_VALUE"""),"")</f>
        <v/>
      </c>
      <c r="G3091" s="9" t="str">
        <f>IFERROR(__xludf.DUMMYFUNCTION("""COMPUTED_VALUE"""),"")</f>
        <v/>
      </c>
      <c r="H3091" s="9" t="str">
        <f>IFERROR(__xludf.DUMMYFUNCTION("""COMPUTED_VALUE"""),"")</f>
        <v/>
      </c>
      <c r="I3091" s="9" t="str">
        <f>IFERROR(__xludf.DUMMYFUNCTION("""COMPUTED_VALUE"""),"")</f>
        <v/>
      </c>
      <c r="J3091" s="9" t="str">
        <f>IFERROR(__xludf.DUMMYFUNCTION("""COMPUTED_VALUE"""),"")</f>
        <v/>
      </c>
      <c r="K3091" s="9" t="str">
        <f>IFERROR(__xludf.DUMMYFUNCTION("""COMPUTED_VALUE"""),"")</f>
        <v/>
      </c>
      <c r="L3091" s="9" t="str">
        <f>IFERROR(__xludf.DUMMYFUNCTION("""COMPUTED_VALUE"""),"")</f>
        <v/>
      </c>
      <c r="M3091" s="9" t="str">
        <f>IFERROR(__xludf.DUMMYFUNCTION("""COMPUTED_VALUE"""),"")</f>
        <v/>
      </c>
      <c r="N3091" s="9" t="str">
        <f>IFERROR(__xludf.DUMMYFUNCTION("""COMPUTED_VALUE"""),"")</f>
        <v/>
      </c>
      <c r="O3091" s="9" t="str">
        <f>IFERROR(__xludf.DUMMYFUNCTION("""COMPUTED_VALUE"""),"")</f>
        <v/>
      </c>
      <c r="P3091" s="9" t="str">
        <f>IFERROR(__xludf.DUMMYFUNCTION("""COMPUTED_VALUE"""),"")</f>
        <v/>
      </c>
      <c r="Q3091" s="9" t="str">
        <f>IFERROR(__xludf.DUMMYFUNCTION("""COMPUTED_VALUE"""),"")</f>
        <v/>
      </c>
      <c r="R3091" s="9" t="str">
        <f>IFERROR(__xludf.DUMMYFUNCTION("""COMPUTED_VALUE"""),"")</f>
        <v/>
      </c>
      <c r="S3091" s="42" t="str">
        <f>IFERROR(__xludf.DUMMYFUNCTION("""COMPUTED_VALUE"""),"IOM;
IOBe")</f>
        <v>IOM;
IOBe</v>
      </c>
      <c r="T3091" s="42" t="str">
        <f>IFERROR(__xludf.DUMMYFUNCTION("""COMPUTED_VALUE"""),"IO")</f>
        <v>IO</v>
      </c>
      <c r="U3091" s="42" t="b">
        <f>IFERROR(__xludf.DUMMYFUNCTION("""COMPUTED_VALUE"""),TRUE)</f>
        <v>1</v>
      </c>
      <c r="V3091" s="42" t="str">
        <f>IFERROR(__xludf.DUMMYFUNCTION("""COMPUTED_VALUE"""),"Glutamate")</f>
        <v>Glutamate</v>
      </c>
      <c r="W3091" s="42" t="str">
        <f>IFERROR(__xludf.DUMMYFUNCTION("""COMPUTED_VALUE"""),"Modulatory")</f>
        <v>Modulatory</v>
      </c>
      <c r="X3091" s="42"/>
      <c r="Y3091" s="42" t="str">
        <f>IFERROR(__xludf.DUMMYFUNCTION("""COMPUTED_VALUE"""),"Project to each pair consisting of one Fas neuron and one FasNO neuron.")</f>
        <v>Project to each pair consisting of one Fas neuron and one FasNO neuron.</v>
      </c>
      <c r="Z3091" s="42"/>
      <c r="AA3091" s="42"/>
      <c r="AB3091" s="42" t="str">
        <f>IFERROR(__xludf.DUMMYFUNCTION("""COMPUTED_VALUE"""),"Hiroshi Yamakawa")</f>
        <v>Hiroshi Yamakawa</v>
      </c>
      <c r="AC3091" s="42" t="str">
        <f>IFERROR(__xludf.DUMMYFUNCTION("""COMPUTED_VALUE"""),"HY20Cerebellum")</f>
        <v>HY20Cerebellum</v>
      </c>
      <c r="AD3091" s="42"/>
      <c r="AE3091" s="42"/>
      <c r="AF3091" s="9"/>
      <c r="AG3091" s="9"/>
      <c r="AH3091" s="42"/>
      <c r="AI3091" s="42"/>
      <c r="AJ3091" s="42"/>
      <c r="AK3091" s="42"/>
      <c r="AL3091" s="42"/>
      <c r="AM3091" s="42"/>
      <c r="AN3091" s="42"/>
      <c r="AO3091" s="63" t="str">
        <f>IFERROR(__xludf.DUMMYFUNCTION("IF(ISBLANK(A3091),,IF(ISBLANK(S3091), A3091&amp;"";"", TEXTJOIN(CHAR(10), TRUE, A3091&amp;"";"", ARRAYFORMULA(VLOOKUP(SPLIT(S3091, "";"" &amp; CHAR(10)), $A:$AO, 41, FALSE)))))"),"IOFas;
IOM;
IOK;
IOA;
IOB;
IOC;
IOBe;")</f>
        <v>IOFas;
IOM;
IOK;
IOA;
IOB;
IOC;
IOBe;</v>
      </c>
      <c r="AP3091" s="89"/>
    </row>
    <row r="3092">
      <c r="A3092" s="151" t="str">
        <f>IFERROR(__xludf.DUMMYFUNCTION("""COMPUTED_VALUE"""),"IOInP")</f>
        <v>IOInP</v>
      </c>
      <c r="B3092" s="42" t="str">
        <f>IFERROR(__xludf.DUMMYFUNCTION("""COMPUTED_VALUE"""),"collection")</f>
        <v>collection</v>
      </c>
      <c r="C3092" s="42" t="str">
        <f>IFERROR(__xludf.DUMMYFUNCTION("""COMPUTED_VALUE"""),"inferior olive associated with CPBV")</f>
        <v>inferior olive associated with CPBV</v>
      </c>
      <c r="D3092" s="42">
        <f>IFERROR(__xludf.DUMMYFUNCTION("""COMPUTED_VALUE"""),2948.3)</f>
        <v>2948.3</v>
      </c>
      <c r="E3092" s="39" t="str">
        <f>IFERROR(__xludf.DUMMYFUNCTION("""COMPUTED_VALUE"""),"")</f>
        <v/>
      </c>
      <c r="F3092" s="9" t="str">
        <f>IFERROR(__xludf.DUMMYFUNCTION("""COMPUTED_VALUE"""),"")</f>
        <v/>
      </c>
      <c r="G3092" s="9" t="str">
        <f>IFERROR(__xludf.DUMMYFUNCTION("""COMPUTED_VALUE"""),"")</f>
        <v/>
      </c>
      <c r="H3092" s="9" t="str">
        <f>IFERROR(__xludf.DUMMYFUNCTION("""COMPUTED_VALUE"""),"")</f>
        <v/>
      </c>
      <c r="I3092" s="9" t="str">
        <f>IFERROR(__xludf.DUMMYFUNCTION("""COMPUTED_VALUE"""),"")</f>
        <v/>
      </c>
      <c r="J3092" s="9" t="str">
        <f>IFERROR(__xludf.DUMMYFUNCTION("""COMPUTED_VALUE"""),"")</f>
        <v/>
      </c>
      <c r="K3092" s="9" t="str">
        <f>IFERROR(__xludf.DUMMYFUNCTION("""COMPUTED_VALUE"""),"")</f>
        <v/>
      </c>
      <c r="L3092" s="9" t="str">
        <f>IFERROR(__xludf.DUMMYFUNCTION("""COMPUTED_VALUE"""),"")</f>
        <v/>
      </c>
      <c r="M3092" s="9" t="str">
        <f>IFERROR(__xludf.DUMMYFUNCTION("""COMPUTED_VALUE"""),"")</f>
        <v/>
      </c>
      <c r="N3092" s="9" t="str">
        <f>IFERROR(__xludf.DUMMYFUNCTION("""COMPUTED_VALUE"""),"")</f>
        <v/>
      </c>
      <c r="O3092" s="9" t="str">
        <f>IFERROR(__xludf.DUMMYFUNCTION("""COMPUTED_VALUE"""),"")</f>
        <v/>
      </c>
      <c r="P3092" s="9" t="str">
        <f>IFERROR(__xludf.DUMMYFUNCTION("""COMPUTED_VALUE"""),"")</f>
        <v/>
      </c>
      <c r="Q3092" s="9" t="str">
        <f>IFERROR(__xludf.DUMMYFUNCTION("""COMPUTED_VALUE"""),"")</f>
        <v/>
      </c>
      <c r="R3092" s="9" t="str">
        <f>IFERROR(__xludf.DUMMYFUNCTION("""COMPUTED_VALUE"""),"")</f>
        <v/>
      </c>
      <c r="S3092" s="42" t="str">
        <f>IFERROR(__xludf.DUMMYFUNCTION("""COMPUTED_VALUE"""),"IOD")</f>
        <v>IOD</v>
      </c>
      <c r="T3092" s="42" t="str">
        <f>IFERROR(__xludf.DUMMYFUNCTION("""COMPUTED_VALUE"""),"IO")</f>
        <v>IO</v>
      </c>
      <c r="U3092" s="42" t="b">
        <f>IFERROR(__xludf.DUMMYFUNCTION("""COMPUTED_VALUE"""),TRUE)</f>
        <v>1</v>
      </c>
      <c r="V3092" s="42" t="str">
        <f>IFERROR(__xludf.DUMMYFUNCTION("""COMPUTED_VALUE"""),"Glutamate")</f>
        <v>Glutamate</v>
      </c>
      <c r="W3092" s="42" t="str">
        <f>IFERROR(__xludf.DUMMYFUNCTION("""COMPUTED_VALUE"""),"Modulatory")</f>
        <v>Modulatory</v>
      </c>
      <c r="X3092" s="42"/>
      <c r="Y3092" s="42" t="str">
        <f>IFERROR(__xludf.DUMMYFUNCTION("""COMPUTED_VALUE"""),"Project to each pair consisting of one InP neuron and one InPNO neuron.")</f>
        <v>Project to each pair consisting of one InP neuron and one InPNO neuron.</v>
      </c>
      <c r="Z3092" s="42"/>
      <c r="AA3092" s="42"/>
      <c r="AB3092" s="42" t="str">
        <f>IFERROR(__xludf.DUMMYFUNCTION("""COMPUTED_VALUE"""),"Hiroshi Yamakawa")</f>
        <v>Hiroshi Yamakawa</v>
      </c>
      <c r="AC3092" s="42" t="str">
        <f>IFERROR(__xludf.DUMMYFUNCTION("""COMPUTED_VALUE"""),"HY20Cerebellum")</f>
        <v>HY20Cerebellum</v>
      </c>
      <c r="AD3092" s="42"/>
      <c r="AE3092" s="42"/>
      <c r="AF3092" s="9"/>
      <c r="AG3092" s="9"/>
      <c r="AH3092" s="42"/>
      <c r="AI3092" s="42"/>
      <c r="AJ3092" s="42"/>
      <c r="AK3092" s="42"/>
      <c r="AL3092" s="42"/>
      <c r="AM3092" s="42"/>
      <c r="AN3092" s="42"/>
      <c r="AO3092" s="63" t="str">
        <f>IFERROR(__xludf.DUMMYFUNCTION("IF(ISBLANK(A3092),,IF(ISBLANK(S3092), A3092&amp;"";"", TEXTJOIN(CHAR(10), TRUE, A3092&amp;"";"", ARRAYFORMULA(VLOOKUP(SPLIT(S3092, "";"" &amp; CHAR(10)), $A:$AO, 41, FALSE)))))"),"IOInP;
IOD;")</f>
        <v>IOInP;
IOD;</v>
      </c>
      <c r="AP3092" s="89"/>
    </row>
    <row r="3093">
      <c r="A3093" s="151" t="str">
        <f>IFERROR(__xludf.DUMMYFUNCTION("""COMPUTED_VALUE"""),"IODT")</f>
        <v>IODT</v>
      </c>
      <c r="B3093" s="42" t="str">
        <f>IFERROR(__xludf.DUMMYFUNCTION("""COMPUTED_VALUE"""),"collection")</f>
        <v>collection</v>
      </c>
      <c r="C3093" s="42" t="str">
        <f>IFERROR(__xludf.DUMMYFUNCTION("""COMPUTED_VALUE"""),"inferior olive associated with CBL")</f>
        <v>inferior olive associated with CBL</v>
      </c>
      <c r="D3093" s="42">
        <f>IFERROR(__xludf.DUMMYFUNCTION("""COMPUTED_VALUE"""),2948.4)</f>
        <v>2948.4</v>
      </c>
      <c r="E3093" s="39" t="str">
        <f>IFERROR(__xludf.DUMMYFUNCTION("""COMPUTED_VALUE"""),"")</f>
        <v/>
      </c>
      <c r="F3093" s="9" t="str">
        <f>IFERROR(__xludf.DUMMYFUNCTION("""COMPUTED_VALUE"""),"")</f>
        <v/>
      </c>
      <c r="G3093" s="9" t="str">
        <f>IFERROR(__xludf.DUMMYFUNCTION("""COMPUTED_VALUE"""),"")</f>
        <v/>
      </c>
      <c r="H3093" s="9" t="str">
        <f>IFERROR(__xludf.DUMMYFUNCTION("""COMPUTED_VALUE"""),"")</f>
        <v/>
      </c>
      <c r="I3093" s="9" t="str">
        <f>IFERROR(__xludf.DUMMYFUNCTION("""COMPUTED_VALUE"""),"")</f>
        <v/>
      </c>
      <c r="J3093" s="9" t="str">
        <f>IFERROR(__xludf.DUMMYFUNCTION("""COMPUTED_VALUE"""),"")</f>
        <v/>
      </c>
      <c r="K3093" s="9" t="str">
        <f>IFERROR(__xludf.DUMMYFUNCTION("""COMPUTED_VALUE"""),"")</f>
        <v/>
      </c>
      <c r="L3093" s="9" t="str">
        <f>IFERROR(__xludf.DUMMYFUNCTION("""COMPUTED_VALUE"""),"")</f>
        <v/>
      </c>
      <c r="M3093" s="9" t="str">
        <f>IFERROR(__xludf.DUMMYFUNCTION("""COMPUTED_VALUE"""),"")</f>
        <v/>
      </c>
      <c r="N3093" s="9" t="str">
        <f>IFERROR(__xludf.DUMMYFUNCTION("""COMPUTED_VALUE"""),"")</f>
        <v/>
      </c>
      <c r="O3093" s="9" t="str">
        <f>IFERROR(__xludf.DUMMYFUNCTION("""COMPUTED_VALUE"""),"")</f>
        <v/>
      </c>
      <c r="P3093" s="9" t="str">
        <f>IFERROR(__xludf.DUMMYFUNCTION("""COMPUTED_VALUE"""),"")</f>
        <v/>
      </c>
      <c r="Q3093" s="9" t="str">
        <f>IFERROR(__xludf.DUMMYFUNCTION("""COMPUTED_VALUE"""),"")</f>
        <v/>
      </c>
      <c r="R3093" s="9" t="str">
        <f>IFERROR(__xludf.DUMMYFUNCTION("""COMPUTED_VALUE"""),"")</f>
        <v/>
      </c>
      <c r="S3093" s="42" t="str">
        <f>IFERROR(__xludf.DUMMYFUNCTION("""COMPUTED_VALUE"""),"IOPr;
IOM")</f>
        <v>IOPr;
IOM</v>
      </c>
      <c r="T3093" s="42" t="str">
        <f>IFERROR(__xludf.DUMMYFUNCTION("""COMPUTED_VALUE"""),"IO")</f>
        <v>IO</v>
      </c>
      <c r="U3093" s="42" t="b">
        <f>IFERROR(__xludf.DUMMYFUNCTION("""COMPUTED_VALUE"""),TRUE)</f>
        <v>1</v>
      </c>
      <c r="V3093" s="42" t="str">
        <f>IFERROR(__xludf.DUMMYFUNCTION("""COMPUTED_VALUE"""),"Glutamate")</f>
        <v>Glutamate</v>
      </c>
      <c r="W3093" s="42" t="str">
        <f>IFERROR(__xludf.DUMMYFUNCTION("""COMPUTED_VALUE"""),"Modulatory")</f>
        <v>Modulatory</v>
      </c>
      <c r="X3093" s="42"/>
      <c r="Y3093" s="42" t="str">
        <f>IFERROR(__xludf.DUMMYFUNCTION("""COMPUTED_VALUE"""),"Project to each pair consisting of one DT neuron and one DTNO neuron.")</f>
        <v>Project to each pair consisting of one DT neuron and one DTNO neuron.</v>
      </c>
      <c r="Z3093" s="42"/>
      <c r="AA3093" s="42"/>
      <c r="AB3093" s="42" t="str">
        <f>IFERROR(__xludf.DUMMYFUNCTION("""COMPUTED_VALUE"""),"Hiroshi Yamakawa")</f>
        <v>Hiroshi Yamakawa</v>
      </c>
      <c r="AC3093" s="42" t="str">
        <f>IFERROR(__xludf.DUMMYFUNCTION("""COMPUTED_VALUE"""),"HY20Cerebellum")</f>
        <v>HY20Cerebellum</v>
      </c>
      <c r="AD3093" s="42"/>
      <c r="AE3093" s="42"/>
      <c r="AF3093" s="9"/>
      <c r="AG3093" s="9"/>
      <c r="AH3093" s="42"/>
      <c r="AI3093" s="42"/>
      <c r="AJ3093" s="42"/>
      <c r="AK3093" s="42"/>
      <c r="AL3093" s="42"/>
      <c r="AM3093" s="42"/>
      <c r="AN3093" s="42"/>
      <c r="AO3093" s="63" t="str">
        <f>IFERROR(__xludf.DUMMYFUNCTION("IF(ISBLANK(A3093),,IF(ISBLANK(S3093), A3093&amp;"";"", TEXTJOIN(CHAR(10), TRUE, A3093&amp;"";"", ARRAYFORMULA(VLOOKUP(SPLIT(S3093, "";"" &amp; CHAR(10)), $A:$AO, 41, FALSE)))))"),"IODT;
IOPr;
IOM;
IOK;
IOA;
IOB;
IOC;")</f>
        <v>IODT;
IOPr;
IOM;
IOK;
IOA;
IOB;
IOC;</v>
      </c>
      <c r="AP3093" s="89"/>
    </row>
    <row r="3094">
      <c r="A3094" s="151" t="str">
        <f>IFERROR(__xludf.DUMMYFUNCTION("""COMPUTED_VALUE"""),"IODM")</f>
        <v>IODM</v>
      </c>
      <c r="B3094" s="42" t="str">
        <f>IFERROR(__xludf.DUMMYFUNCTION("""COMPUTED_VALUE"""),"DHBA")</f>
        <v>DHBA</v>
      </c>
      <c r="C3094" s="42"/>
      <c r="D3094" s="42">
        <f>IFERROR(__xludf.DUMMYFUNCTION("""COMPUTED_VALUE"""),2949.0)</f>
        <v>2949</v>
      </c>
      <c r="E3094" s="39" t="str">
        <f>IFERROR(__xludf.DUMMYFUNCTION("""COMPUTED_VALUE"""),"inferior olive, dorsomedial cell group")</f>
        <v>inferior olive, dorsomedial cell group</v>
      </c>
      <c r="F3094" s="9" t="str">
        <f>IFERROR(__xludf.DUMMYFUNCTION("""COMPUTED_VALUE"""),"Br")</f>
        <v>Br</v>
      </c>
      <c r="G3094" s="9" t="str">
        <f>IFERROR(__xludf.DUMMYFUNCTION("""COMPUTED_VALUE"""),"H")</f>
        <v>H</v>
      </c>
      <c r="H3094" s="9" t="str">
        <f>IFERROR(__xludf.DUMMYFUNCTION("""COMPUTED_VALUE"""),"HGM")</f>
        <v>HGM</v>
      </c>
      <c r="I3094" s="9" t="str">
        <f>IFERROR(__xludf.DUMMYFUNCTION("""COMPUTED_VALUE"""),"Mo")</f>
        <v>Mo</v>
      </c>
      <c r="J3094" s="9" t="str">
        <f>IFERROR(__xludf.DUMMYFUNCTION("""COMPUTED_VALUE"""),"MoTg")</f>
        <v>MoTg</v>
      </c>
      <c r="K3094" s="9" t="str">
        <f>IFERROR(__xludf.DUMMYFUNCTION("""COMPUTED_VALUE"""),"PrCbN")</f>
        <v>PrCbN</v>
      </c>
      <c r="L3094" s="9" t="str">
        <f>IFERROR(__xludf.DUMMYFUNCTION("""COMPUTED_VALUE"""),"IO")</f>
        <v>IO</v>
      </c>
      <c r="M3094" s="9" t="str">
        <f>IFERROR(__xludf.DUMMYFUNCTION("""COMPUTED_VALUE"""),"IODM")</f>
        <v>IODM</v>
      </c>
      <c r="N3094" s="9"/>
      <c r="O3094" s="9"/>
      <c r="P3094" s="9"/>
      <c r="Q3094" s="9"/>
      <c r="R3094" s="9"/>
      <c r="S3094" s="42"/>
      <c r="T3094" s="42" t="str">
        <f>IFERROR(__xludf.DUMMYFUNCTION("""COMPUTED_VALUE"""),"IO")</f>
        <v>IO</v>
      </c>
      <c r="U3094" s="42" t="b">
        <f>IFERROR(__xludf.DUMMYFUNCTION("""COMPUTED_VALUE"""),TRUE)</f>
        <v>1</v>
      </c>
      <c r="V3094" s="42" t="str">
        <f>IFERROR(__xludf.DUMMYFUNCTION("""COMPUTED_VALUE"""),"Glutamate")</f>
        <v>Glutamate</v>
      </c>
      <c r="W3094" s="42" t="str">
        <f>IFERROR(__xludf.DUMMYFUNCTION("""COMPUTED_VALUE"""),"Modulatory")</f>
        <v>Modulatory</v>
      </c>
      <c r="X3094" s="42"/>
      <c r="Y3094" s="42"/>
      <c r="Z3094" s="42"/>
      <c r="AA3094" s="42"/>
      <c r="AB3094" s="42" t="str">
        <f>IFERROR(__xludf.DUMMYFUNCTION("""COMPUTED_VALUE"""),"allen institute")</f>
        <v>allen institute</v>
      </c>
      <c r="AC3094" s="42" t="str">
        <f>IFERROR(__xludf.DUMMYFUNCTION("""COMPUTED_VALUE"""),"DHBA")</f>
        <v>DHBA</v>
      </c>
      <c r="AD3094" s="42"/>
      <c r="AE3094" s="42"/>
      <c r="AF3094" s="9"/>
      <c r="AG3094" s="9"/>
      <c r="AH3094" s="42"/>
      <c r="AI3094" s="42"/>
      <c r="AJ3094" s="42"/>
      <c r="AK3094" s="42"/>
      <c r="AL3094" s="42"/>
      <c r="AM3094" s="42"/>
      <c r="AN3094" s="42"/>
      <c r="AO3094" s="63" t="str">
        <f>IFERROR(__xludf.DUMMYFUNCTION("IF(ISBLANK(A3094),,IF(ISBLANK(S3094), A3094&amp;"";"", TEXTJOIN(CHAR(10), TRUE, A3094&amp;"";"", ARRAYFORMULA(VLOOKUP(SPLIT(S3094, "";"" &amp; CHAR(10)), $A:$AO, 41, FALSE)))))"),"IODM;")</f>
        <v>IODM;</v>
      </c>
      <c r="AP3094" s="89"/>
    </row>
    <row r="3095">
      <c r="A3095" s="151" t="str">
        <f>IFERROR(__xludf.DUMMYFUNCTION("""COMPUTED_VALUE"""),"IOBe")</f>
        <v>IOBe</v>
      </c>
      <c r="B3095" s="42" t="str">
        <f>IFERROR(__xludf.DUMMYFUNCTION("""COMPUTED_VALUE"""),"DHBA")</f>
        <v>DHBA</v>
      </c>
      <c r="C3095" s="42" t="str">
        <f>IFERROR(__xludf.DUMMYFUNCTION("""COMPUTED_VALUE"""),"inferior olive, beta nucleus")</f>
        <v>inferior olive, beta nucleus</v>
      </c>
      <c r="D3095" s="42">
        <f>IFERROR(__xludf.DUMMYFUNCTION("""COMPUTED_VALUE"""),2950.0)</f>
        <v>2950</v>
      </c>
      <c r="E3095" s="39" t="str">
        <f>IFERROR(__xludf.DUMMYFUNCTION("""COMPUTED_VALUE"""),"inferior olive, beta nucleus")</f>
        <v>inferior olive, beta nucleus</v>
      </c>
      <c r="F3095" s="9" t="str">
        <f>IFERROR(__xludf.DUMMYFUNCTION("""COMPUTED_VALUE"""),"Br")</f>
        <v>Br</v>
      </c>
      <c r="G3095" s="9" t="str">
        <f>IFERROR(__xludf.DUMMYFUNCTION("""COMPUTED_VALUE"""),"H")</f>
        <v>H</v>
      </c>
      <c r="H3095" s="9" t="str">
        <f>IFERROR(__xludf.DUMMYFUNCTION("""COMPUTED_VALUE"""),"HGM")</f>
        <v>HGM</v>
      </c>
      <c r="I3095" s="9" t="str">
        <f>IFERROR(__xludf.DUMMYFUNCTION("""COMPUTED_VALUE"""),"Mo")</f>
        <v>Mo</v>
      </c>
      <c r="J3095" s="9" t="str">
        <f>IFERROR(__xludf.DUMMYFUNCTION("""COMPUTED_VALUE"""),"MoTg")</f>
        <v>MoTg</v>
      </c>
      <c r="K3095" s="9" t="str">
        <f>IFERROR(__xludf.DUMMYFUNCTION("""COMPUTED_VALUE"""),"PrCbN")</f>
        <v>PrCbN</v>
      </c>
      <c r="L3095" s="9" t="str">
        <f>IFERROR(__xludf.DUMMYFUNCTION("""COMPUTED_VALUE"""),"IO")</f>
        <v>IO</v>
      </c>
      <c r="M3095" s="9" t="str">
        <f>IFERROR(__xludf.DUMMYFUNCTION("""COMPUTED_VALUE"""),"IOBe")</f>
        <v>IOBe</v>
      </c>
      <c r="N3095" s="9"/>
      <c r="O3095" s="9"/>
      <c r="P3095" s="9"/>
      <c r="Q3095" s="9"/>
      <c r="R3095" s="9"/>
      <c r="S3095" s="42"/>
      <c r="T3095" s="42" t="str">
        <f>IFERROR(__xludf.DUMMYFUNCTION("""COMPUTED_VALUE"""),"IO")</f>
        <v>IO</v>
      </c>
      <c r="U3095" s="42" t="b">
        <f>IFERROR(__xludf.DUMMYFUNCTION("""COMPUTED_VALUE"""),TRUE)</f>
        <v>1</v>
      </c>
      <c r="V3095" s="42" t="str">
        <f>IFERROR(__xludf.DUMMYFUNCTION("""COMPUTED_VALUE"""),"Glutamate")</f>
        <v>Glutamate</v>
      </c>
      <c r="W3095" s="42" t="str">
        <f>IFERROR(__xludf.DUMMYFUNCTION("""COMPUTED_VALUE"""),"Modulatory")</f>
        <v>Modulatory</v>
      </c>
      <c r="X3095" s="42"/>
      <c r="Y3095" s="42"/>
      <c r="Z3095" s="42"/>
      <c r="AA3095" s="42"/>
      <c r="AB3095" s="42" t="str">
        <f>IFERROR(__xludf.DUMMYFUNCTION("""COMPUTED_VALUE"""),"allen institute")</f>
        <v>allen institute</v>
      </c>
      <c r="AC3095" s="42" t="str">
        <f>IFERROR(__xludf.DUMMYFUNCTION("""COMPUTED_VALUE"""),"DHBA")</f>
        <v>DHBA</v>
      </c>
      <c r="AD3095" s="42"/>
      <c r="AE3095" s="42"/>
      <c r="AF3095" s="9"/>
      <c r="AG3095" s="9"/>
      <c r="AH3095" s="42"/>
      <c r="AI3095" s="42"/>
      <c r="AJ3095" s="42"/>
      <c r="AK3095" s="42"/>
      <c r="AL3095" s="42"/>
      <c r="AM3095" s="42"/>
      <c r="AN3095" s="42"/>
      <c r="AO3095" s="63" t="str">
        <f>IFERROR(__xludf.DUMMYFUNCTION("IF(ISBLANK(A3095),,IF(ISBLANK(S3095), A3095&amp;"";"", TEXTJOIN(CHAR(10), TRUE, A3095&amp;"";"", ARRAYFORMULA(VLOOKUP(SPLIT(S3095, "";"" &amp; CHAR(10)), $A:$AO, 41, FALSE)))))"),"IOBe;")</f>
        <v>IOBe;</v>
      </c>
      <c r="AP3095" s="89"/>
    </row>
    <row r="3096">
      <c r="A3096" s="151" t="str">
        <f>IFERROR(__xludf.DUMMYFUNCTION("""COMPUTED_VALUE"""),"IOD")</f>
        <v>IOD</v>
      </c>
      <c r="B3096" s="42" t="str">
        <f>IFERROR(__xludf.DUMMYFUNCTION("""COMPUTED_VALUE"""),"DHBA")</f>
        <v>DHBA</v>
      </c>
      <c r="C3096" s="42"/>
      <c r="D3096" s="42">
        <f>IFERROR(__xludf.DUMMYFUNCTION("""COMPUTED_VALUE"""),2951.0)</f>
        <v>2951</v>
      </c>
      <c r="E3096" s="39" t="str">
        <f>IFERROR(__xludf.DUMMYFUNCTION("""COMPUTED_VALUE"""),"inferior olive, dorsal nucleus")</f>
        <v>inferior olive, dorsal nucleus</v>
      </c>
      <c r="F3096" s="9" t="str">
        <f>IFERROR(__xludf.DUMMYFUNCTION("""COMPUTED_VALUE"""),"Br")</f>
        <v>Br</v>
      </c>
      <c r="G3096" s="9" t="str">
        <f>IFERROR(__xludf.DUMMYFUNCTION("""COMPUTED_VALUE"""),"H")</f>
        <v>H</v>
      </c>
      <c r="H3096" s="9" t="str">
        <f>IFERROR(__xludf.DUMMYFUNCTION("""COMPUTED_VALUE"""),"HGM")</f>
        <v>HGM</v>
      </c>
      <c r="I3096" s="9" t="str">
        <f>IFERROR(__xludf.DUMMYFUNCTION("""COMPUTED_VALUE"""),"Mo")</f>
        <v>Mo</v>
      </c>
      <c r="J3096" s="9" t="str">
        <f>IFERROR(__xludf.DUMMYFUNCTION("""COMPUTED_VALUE"""),"MoTg")</f>
        <v>MoTg</v>
      </c>
      <c r="K3096" s="9" t="str">
        <f>IFERROR(__xludf.DUMMYFUNCTION("""COMPUTED_VALUE"""),"PrCbN")</f>
        <v>PrCbN</v>
      </c>
      <c r="L3096" s="9" t="str">
        <f>IFERROR(__xludf.DUMMYFUNCTION("""COMPUTED_VALUE"""),"IO")</f>
        <v>IO</v>
      </c>
      <c r="M3096" s="9" t="str">
        <f>IFERROR(__xludf.DUMMYFUNCTION("""COMPUTED_VALUE"""),"IOD")</f>
        <v>IOD</v>
      </c>
      <c r="N3096" s="9"/>
      <c r="O3096" s="9"/>
      <c r="P3096" s="9"/>
      <c r="Q3096" s="9"/>
      <c r="R3096" s="9"/>
      <c r="S3096" s="42"/>
      <c r="T3096" s="42" t="str">
        <f>IFERROR(__xludf.DUMMYFUNCTION("""COMPUTED_VALUE"""),"IO")</f>
        <v>IO</v>
      </c>
      <c r="U3096" s="42" t="b">
        <f>IFERROR(__xludf.DUMMYFUNCTION("""COMPUTED_VALUE"""),TRUE)</f>
        <v>1</v>
      </c>
      <c r="V3096" s="42" t="str">
        <f>IFERROR(__xludf.DUMMYFUNCTION("""COMPUTED_VALUE"""),"Glutamate")</f>
        <v>Glutamate</v>
      </c>
      <c r="W3096" s="42" t="str">
        <f>IFERROR(__xludf.DUMMYFUNCTION("""COMPUTED_VALUE"""),"Modulatory")</f>
        <v>Modulatory</v>
      </c>
      <c r="X3096" s="42"/>
      <c r="Y3096" s="42"/>
      <c r="Z3096" s="42"/>
      <c r="AA3096" s="42"/>
      <c r="AB3096" s="42" t="str">
        <f>IFERROR(__xludf.DUMMYFUNCTION("""COMPUTED_VALUE"""),"allen institute")</f>
        <v>allen institute</v>
      </c>
      <c r="AC3096" s="42" t="str">
        <f>IFERROR(__xludf.DUMMYFUNCTION("""COMPUTED_VALUE"""),"DHBA")</f>
        <v>DHBA</v>
      </c>
      <c r="AD3096" s="42"/>
      <c r="AE3096" s="42"/>
      <c r="AF3096" s="9"/>
      <c r="AG3096" s="9"/>
      <c r="AH3096" s="42"/>
      <c r="AI3096" s="42"/>
      <c r="AJ3096" s="42"/>
      <c r="AK3096" s="42"/>
      <c r="AL3096" s="42"/>
      <c r="AM3096" s="42"/>
      <c r="AN3096" s="42"/>
      <c r="AO3096" s="63" t="str">
        <f>IFERROR(__xludf.DUMMYFUNCTION("IF(ISBLANK(A3096),,IF(ISBLANK(S3096), A3096&amp;"";"", TEXTJOIN(CHAR(10), TRUE, A3096&amp;"";"", ARRAYFORMULA(VLOOKUP(SPLIT(S3096, "";"" &amp; CHAR(10)), $A:$AO, 41, FALSE)))))"),"IOD;")</f>
        <v>IOD;</v>
      </c>
      <c r="AP3096" s="89"/>
    </row>
    <row r="3097">
      <c r="A3097" s="151" t="str">
        <f>IFERROR(__xludf.DUMMYFUNCTION("""COMPUTED_VALUE"""),"IODC")</f>
        <v>IODC</v>
      </c>
      <c r="B3097" s="42" t="str">
        <f>IFERROR(__xludf.DUMMYFUNCTION("""COMPUTED_VALUE"""),"DHBA")</f>
        <v>DHBA</v>
      </c>
      <c r="C3097" s="42"/>
      <c r="D3097" s="42">
        <f>IFERROR(__xludf.DUMMYFUNCTION("""COMPUTED_VALUE"""),2952.0)</f>
        <v>2952</v>
      </c>
      <c r="E3097" s="39" t="str">
        <f>IFERROR(__xludf.DUMMYFUNCTION("""COMPUTED_VALUE"""),"inferior olive, dorsal nucleus, caudal part")</f>
        <v>inferior olive, dorsal nucleus, caudal part</v>
      </c>
      <c r="F3097" s="9" t="str">
        <f>IFERROR(__xludf.DUMMYFUNCTION("""COMPUTED_VALUE"""),"Br")</f>
        <v>Br</v>
      </c>
      <c r="G3097" s="9" t="str">
        <f>IFERROR(__xludf.DUMMYFUNCTION("""COMPUTED_VALUE"""),"H")</f>
        <v>H</v>
      </c>
      <c r="H3097" s="9" t="str">
        <f>IFERROR(__xludf.DUMMYFUNCTION("""COMPUTED_VALUE"""),"HGM")</f>
        <v>HGM</v>
      </c>
      <c r="I3097" s="9" t="str">
        <f>IFERROR(__xludf.DUMMYFUNCTION("""COMPUTED_VALUE"""),"Mo")</f>
        <v>Mo</v>
      </c>
      <c r="J3097" s="9" t="str">
        <f>IFERROR(__xludf.DUMMYFUNCTION("""COMPUTED_VALUE"""),"MoTg")</f>
        <v>MoTg</v>
      </c>
      <c r="K3097" s="9" t="str">
        <f>IFERROR(__xludf.DUMMYFUNCTION("""COMPUTED_VALUE"""),"PrCbN")</f>
        <v>PrCbN</v>
      </c>
      <c r="L3097" s="9" t="str">
        <f>IFERROR(__xludf.DUMMYFUNCTION("""COMPUTED_VALUE"""),"IO")</f>
        <v>IO</v>
      </c>
      <c r="M3097" s="9" t="str">
        <f>IFERROR(__xludf.DUMMYFUNCTION("""COMPUTED_VALUE"""),"IODC")</f>
        <v>IODC</v>
      </c>
      <c r="N3097" s="9"/>
      <c r="O3097" s="9"/>
      <c r="P3097" s="9"/>
      <c r="Q3097" s="9"/>
      <c r="R3097" s="9"/>
      <c r="S3097" s="42"/>
      <c r="T3097" s="42" t="str">
        <f>IFERROR(__xludf.DUMMYFUNCTION("""COMPUTED_VALUE"""),"IO")</f>
        <v>IO</v>
      </c>
      <c r="U3097" s="42" t="b">
        <f>IFERROR(__xludf.DUMMYFUNCTION("""COMPUTED_VALUE"""),TRUE)</f>
        <v>1</v>
      </c>
      <c r="V3097" s="42" t="str">
        <f>IFERROR(__xludf.DUMMYFUNCTION("""COMPUTED_VALUE"""),"Glutamate")</f>
        <v>Glutamate</v>
      </c>
      <c r="W3097" s="42" t="str">
        <f>IFERROR(__xludf.DUMMYFUNCTION("""COMPUTED_VALUE"""),"Modulatory")</f>
        <v>Modulatory</v>
      </c>
      <c r="X3097" s="42"/>
      <c r="Y3097" s="42"/>
      <c r="Z3097" s="42"/>
      <c r="AA3097" s="42"/>
      <c r="AB3097" s="42" t="str">
        <f>IFERROR(__xludf.DUMMYFUNCTION("""COMPUTED_VALUE"""),"allen institute")</f>
        <v>allen institute</v>
      </c>
      <c r="AC3097" s="42" t="str">
        <f>IFERROR(__xludf.DUMMYFUNCTION("""COMPUTED_VALUE"""),"DHBA")</f>
        <v>DHBA</v>
      </c>
      <c r="AD3097" s="42"/>
      <c r="AE3097" s="42"/>
      <c r="AF3097" s="9"/>
      <c r="AG3097" s="9"/>
      <c r="AH3097" s="42"/>
      <c r="AI3097" s="42"/>
      <c r="AJ3097" s="42"/>
      <c r="AK3097" s="42"/>
      <c r="AL3097" s="42"/>
      <c r="AM3097" s="42"/>
      <c r="AN3097" s="42"/>
      <c r="AO3097" s="63" t="str">
        <f>IFERROR(__xludf.DUMMYFUNCTION("IF(ISBLANK(A3097),,IF(ISBLANK(S3097), A3097&amp;"";"", TEXTJOIN(CHAR(10), TRUE, A3097&amp;"";"", ARRAYFORMULA(VLOOKUP(SPLIT(S3097, "";"" &amp; CHAR(10)), $A:$AO, 41, FALSE)))))"),"IODC;")</f>
        <v>IODC;</v>
      </c>
      <c r="AP3097" s="89"/>
    </row>
    <row r="3098">
      <c r="A3098" s="151" t="str">
        <f>IFERROR(__xludf.DUMMYFUNCTION("""COMPUTED_VALUE"""),"IOM")</f>
        <v>IOM</v>
      </c>
      <c r="B3098" s="42" t="str">
        <f>IFERROR(__xludf.DUMMYFUNCTION("""COMPUTED_VALUE"""),"DHBA")</f>
        <v>DHBA</v>
      </c>
      <c r="C3098" s="42" t="str">
        <f>IFERROR(__xludf.DUMMYFUNCTION("""COMPUTED_VALUE"""),"inferior olive, medial nucleus (MAO)")</f>
        <v>inferior olive, medial nucleus (MAO)</v>
      </c>
      <c r="D3098" s="42">
        <f>IFERROR(__xludf.DUMMYFUNCTION("""COMPUTED_VALUE"""),2953.0)</f>
        <v>2953</v>
      </c>
      <c r="E3098" s="39" t="str">
        <f>IFERROR(__xludf.DUMMYFUNCTION("""COMPUTED_VALUE"""),"inferior olive, medial nucleus")</f>
        <v>inferior olive, medial nucleus</v>
      </c>
      <c r="F3098" s="9" t="str">
        <f>IFERROR(__xludf.DUMMYFUNCTION("""COMPUTED_VALUE"""),"Br")</f>
        <v>Br</v>
      </c>
      <c r="G3098" s="9" t="str">
        <f>IFERROR(__xludf.DUMMYFUNCTION("""COMPUTED_VALUE"""),"H")</f>
        <v>H</v>
      </c>
      <c r="H3098" s="9" t="str">
        <f>IFERROR(__xludf.DUMMYFUNCTION("""COMPUTED_VALUE"""),"HGM")</f>
        <v>HGM</v>
      </c>
      <c r="I3098" s="9" t="str">
        <f>IFERROR(__xludf.DUMMYFUNCTION("""COMPUTED_VALUE"""),"Mo")</f>
        <v>Mo</v>
      </c>
      <c r="J3098" s="9" t="str">
        <f>IFERROR(__xludf.DUMMYFUNCTION("""COMPUTED_VALUE"""),"MoTg")</f>
        <v>MoTg</v>
      </c>
      <c r="K3098" s="9" t="str">
        <f>IFERROR(__xludf.DUMMYFUNCTION("""COMPUTED_VALUE"""),"PrCbN")</f>
        <v>PrCbN</v>
      </c>
      <c r="L3098" s="9" t="str">
        <f>IFERROR(__xludf.DUMMYFUNCTION("""COMPUTED_VALUE"""),"IO")</f>
        <v>IO</v>
      </c>
      <c r="M3098" s="9" t="str">
        <f>IFERROR(__xludf.DUMMYFUNCTION("""COMPUTED_VALUE"""),"IOM")</f>
        <v>IOM</v>
      </c>
      <c r="N3098" s="9"/>
      <c r="O3098" s="9"/>
      <c r="P3098" s="9"/>
      <c r="Q3098" s="9"/>
      <c r="R3098" s="9"/>
      <c r="S3098" s="42" t="str">
        <f>IFERROR(__xludf.DUMMYFUNCTION("""COMPUTED_VALUE"""),"IOK;
IOA;
IOB;
IOC")</f>
        <v>IOK;
IOA;
IOB;
IOC</v>
      </c>
      <c r="T3098" s="42" t="str">
        <f>IFERROR(__xludf.DUMMYFUNCTION("""COMPUTED_VALUE"""),"IO")</f>
        <v>IO</v>
      </c>
      <c r="U3098" s="42" t="b">
        <f>IFERROR(__xludf.DUMMYFUNCTION("""COMPUTED_VALUE"""),FALSE)</f>
        <v>0</v>
      </c>
      <c r="V3098" s="42" t="str">
        <f>IFERROR(__xludf.DUMMYFUNCTION("""COMPUTED_VALUE"""),"Glutamate")</f>
        <v>Glutamate</v>
      </c>
      <c r="W3098" s="42" t="str">
        <f>IFERROR(__xludf.DUMMYFUNCTION("""COMPUTED_VALUE"""),"Modulatory")</f>
        <v>Modulatory</v>
      </c>
      <c r="X3098" s="42"/>
      <c r="Y3098" s="42"/>
      <c r="Z3098" s="42"/>
      <c r="AA3098" s="42"/>
      <c r="AB3098" s="42" t="str">
        <f>IFERROR(__xludf.DUMMYFUNCTION("""COMPUTED_VALUE"""),"allen institute")</f>
        <v>allen institute</v>
      </c>
      <c r="AC3098" s="42" t="str">
        <f>IFERROR(__xludf.DUMMYFUNCTION("""COMPUTED_VALUE"""),"DHBA")</f>
        <v>DHBA</v>
      </c>
      <c r="AD3098" s="42"/>
      <c r="AE3098" s="42"/>
      <c r="AF3098" s="9"/>
      <c r="AG3098" s="9"/>
      <c r="AH3098" s="42"/>
      <c r="AI3098" s="42"/>
      <c r="AJ3098" s="42"/>
      <c r="AK3098" s="42"/>
      <c r="AL3098" s="42"/>
      <c r="AM3098" s="42"/>
      <c r="AN3098" s="42"/>
      <c r="AO3098" s="63" t="str">
        <f>IFERROR(__xludf.DUMMYFUNCTION("IF(ISBLANK(A3098),,IF(ISBLANK(S3098), A3098&amp;"";"", TEXTJOIN(CHAR(10), TRUE, A3098&amp;"";"", ARRAYFORMULA(VLOOKUP(SPLIT(S3098, "";"" &amp; CHAR(10)), $A:$AO, 41, FALSE)))))"),"IOM;
IOK;
IOA;
IOB;
IOC;")</f>
        <v>IOM;
IOK;
IOA;
IOB;
IOC;</v>
      </c>
      <c r="AP3098" s="89"/>
    </row>
    <row r="3099">
      <c r="A3099" s="151" t="str">
        <f>IFERROR(__xludf.DUMMYFUNCTION("""COMPUTED_VALUE"""),"IOK")</f>
        <v>IOK</v>
      </c>
      <c r="B3099" s="42" t="str">
        <f>IFERROR(__xludf.DUMMYFUNCTION("""COMPUTED_VALUE"""),"DHBA")</f>
        <v>DHBA</v>
      </c>
      <c r="C3099" s="42" t="str">
        <f>IFERROR(__xludf.DUMMYFUNCTION("""COMPUTED_VALUE"""),"Cap of Kooy of medial nucleus")</f>
        <v>Cap of Kooy of medial nucleus</v>
      </c>
      <c r="D3099" s="42">
        <f>IFERROR(__xludf.DUMMYFUNCTION("""COMPUTED_VALUE"""),2954.0)</f>
        <v>2954</v>
      </c>
      <c r="E3099" s="39" t="str">
        <f>IFERROR(__xludf.DUMMYFUNCTION("""COMPUTED_VALUE"""),"Cap of Kooy of medial nucleus")</f>
        <v>Cap of Kooy of medial nucleus</v>
      </c>
      <c r="F3099" s="9" t="str">
        <f>IFERROR(__xludf.DUMMYFUNCTION("""COMPUTED_VALUE"""),"Br")</f>
        <v>Br</v>
      </c>
      <c r="G3099" s="9" t="str">
        <f>IFERROR(__xludf.DUMMYFUNCTION("""COMPUTED_VALUE"""),"H")</f>
        <v>H</v>
      </c>
      <c r="H3099" s="9" t="str">
        <f>IFERROR(__xludf.DUMMYFUNCTION("""COMPUTED_VALUE"""),"HGM")</f>
        <v>HGM</v>
      </c>
      <c r="I3099" s="9" t="str">
        <f>IFERROR(__xludf.DUMMYFUNCTION("""COMPUTED_VALUE"""),"Mo")</f>
        <v>Mo</v>
      </c>
      <c r="J3099" s="9" t="str">
        <f>IFERROR(__xludf.DUMMYFUNCTION("""COMPUTED_VALUE"""),"MoTg")</f>
        <v>MoTg</v>
      </c>
      <c r="K3099" s="9" t="str">
        <f>IFERROR(__xludf.DUMMYFUNCTION("""COMPUTED_VALUE"""),"PrCbN")</f>
        <v>PrCbN</v>
      </c>
      <c r="L3099" s="9" t="str">
        <f>IFERROR(__xludf.DUMMYFUNCTION("""COMPUTED_VALUE"""),"IO")</f>
        <v>IO</v>
      </c>
      <c r="M3099" s="9" t="str">
        <f>IFERROR(__xludf.DUMMYFUNCTION("""COMPUTED_VALUE"""),"IOM")</f>
        <v>IOM</v>
      </c>
      <c r="N3099" s="9" t="str">
        <f>IFERROR(__xludf.DUMMYFUNCTION("""COMPUTED_VALUE"""),"IOK")</f>
        <v>IOK</v>
      </c>
      <c r="O3099" s="9"/>
      <c r="P3099" s="9"/>
      <c r="Q3099" s="9"/>
      <c r="R3099" s="9"/>
      <c r="S3099" s="42"/>
      <c r="T3099" s="42" t="str">
        <f>IFERROR(__xludf.DUMMYFUNCTION("""COMPUTED_VALUE"""),"IO")</f>
        <v>IO</v>
      </c>
      <c r="U3099" s="42" t="b">
        <f>IFERROR(__xludf.DUMMYFUNCTION("""COMPUTED_VALUE"""),TRUE)</f>
        <v>1</v>
      </c>
      <c r="V3099" s="42" t="str">
        <f>IFERROR(__xludf.DUMMYFUNCTION("""COMPUTED_VALUE"""),"Glutamate")</f>
        <v>Glutamate</v>
      </c>
      <c r="W3099" s="42" t="str">
        <f>IFERROR(__xludf.DUMMYFUNCTION("""COMPUTED_VALUE"""),"Modulatory")</f>
        <v>Modulatory</v>
      </c>
      <c r="X3099" s="42"/>
      <c r="Y3099" s="42"/>
      <c r="Z3099" s="42"/>
      <c r="AA3099" s="42"/>
      <c r="AB3099" s="42" t="str">
        <f>IFERROR(__xludf.DUMMYFUNCTION("""COMPUTED_VALUE"""),"allen institute")</f>
        <v>allen institute</v>
      </c>
      <c r="AC3099" s="42" t="str">
        <f>IFERROR(__xludf.DUMMYFUNCTION("""COMPUTED_VALUE"""),"DHBA")</f>
        <v>DHBA</v>
      </c>
      <c r="AD3099" s="42"/>
      <c r="AE3099" s="42"/>
      <c r="AF3099" s="9"/>
      <c r="AG3099" s="9"/>
      <c r="AH3099" s="42"/>
      <c r="AI3099" s="42"/>
      <c r="AJ3099" s="42"/>
      <c r="AK3099" s="42"/>
      <c r="AL3099" s="42"/>
      <c r="AM3099" s="42"/>
      <c r="AN3099" s="42"/>
      <c r="AO3099" s="63" t="str">
        <f>IFERROR(__xludf.DUMMYFUNCTION("IF(ISBLANK(A3099),,IF(ISBLANK(S3099), A3099&amp;"";"", TEXTJOIN(CHAR(10), TRUE, A3099&amp;"";"", ARRAYFORMULA(VLOOKUP(SPLIT(S3099, "";"" &amp; CHAR(10)), $A:$AO, 41, FALSE)))))"),"IOK;")</f>
        <v>IOK;</v>
      </c>
      <c r="AP3099" s="89"/>
    </row>
    <row r="3100">
      <c r="A3100" s="151" t="str">
        <f>IFERROR(__xludf.DUMMYFUNCTION("""COMPUTED_VALUE"""),"IOA")</f>
        <v>IOA</v>
      </c>
      <c r="B3100" s="42" t="str">
        <f>IFERROR(__xludf.DUMMYFUNCTION("""COMPUTED_VALUE"""),"DHBA")</f>
        <v>DHBA</v>
      </c>
      <c r="C3100" s="42" t="str">
        <f>IFERROR(__xludf.DUMMYFUNCTION("""COMPUTED_VALUE"""),"subnucleus A of medial nucleus")</f>
        <v>subnucleus A of medial nucleus</v>
      </c>
      <c r="D3100" s="42">
        <f>IFERROR(__xludf.DUMMYFUNCTION("""COMPUTED_VALUE"""),2955.0)</f>
        <v>2955</v>
      </c>
      <c r="E3100" s="39" t="str">
        <f>IFERROR(__xludf.DUMMYFUNCTION("""COMPUTED_VALUE"""),"subnucleus A of medial nucleus")</f>
        <v>subnucleus A of medial nucleus</v>
      </c>
      <c r="F3100" s="9" t="str">
        <f>IFERROR(__xludf.DUMMYFUNCTION("""COMPUTED_VALUE"""),"Br")</f>
        <v>Br</v>
      </c>
      <c r="G3100" s="9" t="str">
        <f>IFERROR(__xludf.DUMMYFUNCTION("""COMPUTED_VALUE"""),"H")</f>
        <v>H</v>
      </c>
      <c r="H3100" s="9" t="str">
        <f>IFERROR(__xludf.DUMMYFUNCTION("""COMPUTED_VALUE"""),"HGM")</f>
        <v>HGM</v>
      </c>
      <c r="I3100" s="9" t="str">
        <f>IFERROR(__xludf.DUMMYFUNCTION("""COMPUTED_VALUE"""),"Mo")</f>
        <v>Mo</v>
      </c>
      <c r="J3100" s="9" t="str">
        <f>IFERROR(__xludf.DUMMYFUNCTION("""COMPUTED_VALUE"""),"MoTg")</f>
        <v>MoTg</v>
      </c>
      <c r="K3100" s="9" t="str">
        <f>IFERROR(__xludf.DUMMYFUNCTION("""COMPUTED_VALUE"""),"PrCbN")</f>
        <v>PrCbN</v>
      </c>
      <c r="L3100" s="9" t="str">
        <f>IFERROR(__xludf.DUMMYFUNCTION("""COMPUTED_VALUE"""),"IO")</f>
        <v>IO</v>
      </c>
      <c r="M3100" s="9" t="str">
        <f>IFERROR(__xludf.DUMMYFUNCTION("""COMPUTED_VALUE"""),"IOM")</f>
        <v>IOM</v>
      </c>
      <c r="N3100" s="9" t="str">
        <f>IFERROR(__xludf.DUMMYFUNCTION("""COMPUTED_VALUE"""),"IOA")</f>
        <v>IOA</v>
      </c>
      <c r="O3100" s="9"/>
      <c r="P3100" s="9"/>
      <c r="Q3100" s="9"/>
      <c r="R3100" s="9"/>
      <c r="S3100" s="42"/>
      <c r="T3100" s="42" t="str">
        <f>IFERROR(__xludf.DUMMYFUNCTION("""COMPUTED_VALUE"""),"IO")</f>
        <v>IO</v>
      </c>
      <c r="U3100" s="42" t="b">
        <f>IFERROR(__xludf.DUMMYFUNCTION("""COMPUTED_VALUE"""),TRUE)</f>
        <v>1</v>
      </c>
      <c r="V3100" s="42" t="str">
        <f>IFERROR(__xludf.DUMMYFUNCTION("""COMPUTED_VALUE"""),"Glutamate")</f>
        <v>Glutamate</v>
      </c>
      <c r="W3100" s="42" t="str">
        <f>IFERROR(__xludf.DUMMYFUNCTION("""COMPUTED_VALUE"""),"Modulatory")</f>
        <v>Modulatory</v>
      </c>
      <c r="X3100" s="42"/>
      <c r="Y3100" s="42"/>
      <c r="Z3100" s="42"/>
      <c r="AA3100" s="42"/>
      <c r="AB3100" s="42" t="str">
        <f>IFERROR(__xludf.DUMMYFUNCTION("""COMPUTED_VALUE"""),"allen institute")</f>
        <v>allen institute</v>
      </c>
      <c r="AC3100" s="42" t="str">
        <f>IFERROR(__xludf.DUMMYFUNCTION("""COMPUTED_VALUE"""),"DHBA")</f>
        <v>DHBA</v>
      </c>
      <c r="AD3100" s="42"/>
      <c r="AE3100" s="42"/>
      <c r="AF3100" s="9"/>
      <c r="AG3100" s="9"/>
      <c r="AH3100" s="42"/>
      <c r="AI3100" s="42"/>
      <c r="AJ3100" s="42"/>
      <c r="AK3100" s="42"/>
      <c r="AL3100" s="42"/>
      <c r="AM3100" s="42"/>
      <c r="AN3100" s="42"/>
      <c r="AO3100" s="63" t="str">
        <f>IFERROR(__xludf.DUMMYFUNCTION("IF(ISBLANK(A3100),,IF(ISBLANK(S3100), A3100&amp;"";"", TEXTJOIN(CHAR(10), TRUE, A3100&amp;"";"", ARRAYFORMULA(VLOOKUP(SPLIT(S3100, "";"" &amp; CHAR(10)), $A:$AO, 41, FALSE)))))"),"IOA;")</f>
        <v>IOA;</v>
      </c>
      <c r="AP3100" s="89"/>
    </row>
    <row r="3101">
      <c r="A3101" s="151" t="str">
        <f>IFERROR(__xludf.DUMMYFUNCTION("""COMPUTED_VALUE"""),"IOB")</f>
        <v>IOB</v>
      </c>
      <c r="B3101" s="42" t="str">
        <f>IFERROR(__xludf.DUMMYFUNCTION("""COMPUTED_VALUE"""),"DHBA")</f>
        <v>DHBA</v>
      </c>
      <c r="C3101" s="42" t="str">
        <f>IFERROR(__xludf.DUMMYFUNCTION("""COMPUTED_VALUE"""),"subnucleus B of medial nucleus")</f>
        <v>subnucleus B of medial nucleus</v>
      </c>
      <c r="D3101" s="42">
        <f>IFERROR(__xludf.DUMMYFUNCTION("""COMPUTED_VALUE"""),2956.0)</f>
        <v>2956</v>
      </c>
      <c r="E3101" s="39" t="str">
        <f>IFERROR(__xludf.DUMMYFUNCTION("""COMPUTED_VALUE"""),"subnucleus B of medial nucleus")</f>
        <v>subnucleus B of medial nucleus</v>
      </c>
      <c r="F3101" s="9" t="str">
        <f>IFERROR(__xludf.DUMMYFUNCTION("""COMPUTED_VALUE"""),"Br")</f>
        <v>Br</v>
      </c>
      <c r="G3101" s="9" t="str">
        <f>IFERROR(__xludf.DUMMYFUNCTION("""COMPUTED_VALUE"""),"H")</f>
        <v>H</v>
      </c>
      <c r="H3101" s="9" t="str">
        <f>IFERROR(__xludf.DUMMYFUNCTION("""COMPUTED_VALUE"""),"HGM")</f>
        <v>HGM</v>
      </c>
      <c r="I3101" s="9" t="str">
        <f>IFERROR(__xludf.DUMMYFUNCTION("""COMPUTED_VALUE"""),"Mo")</f>
        <v>Mo</v>
      </c>
      <c r="J3101" s="9" t="str">
        <f>IFERROR(__xludf.DUMMYFUNCTION("""COMPUTED_VALUE"""),"MoTg")</f>
        <v>MoTg</v>
      </c>
      <c r="K3101" s="9" t="str">
        <f>IFERROR(__xludf.DUMMYFUNCTION("""COMPUTED_VALUE"""),"PrCbN")</f>
        <v>PrCbN</v>
      </c>
      <c r="L3101" s="9" t="str">
        <f>IFERROR(__xludf.DUMMYFUNCTION("""COMPUTED_VALUE"""),"IO")</f>
        <v>IO</v>
      </c>
      <c r="M3101" s="9" t="str">
        <f>IFERROR(__xludf.DUMMYFUNCTION("""COMPUTED_VALUE"""),"IOM")</f>
        <v>IOM</v>
      </c>
      <c r="N3101" s="9" t="str">
        <f>IFERROR(__xludf.DUMMYFUNCTION("""COMPUTED_VALUE"""),"IOB")</f>
        <v>IOB</v>
      </c>
      <c r="O3101" s="9"/>
      <c r="P3101" s="9"/>
      <c r="Q3101" s="9"/>
      <c r="R3101" s="9"/>
      <c r="S3101" s="42"/>
      <c r="T3101" s="42" t="str">
        <f>IFERROR(__xludf.DUMMYFUNCTION("""COMPUTED_VALUE"""),"IO")</f>
        <v>IO</v>
      </c>
      <c r="U3101" s="42" t="b">
        <f>IFERROR(__xludf.DUMMYFUNCTION("""COMPUTED_VALUE"""),TRUE)</f>
        <v>1</v>
      </c>
      <c r="V3101" s="42" t="str">
        <f>IFERROR(__xludf.DUMMYFUNCTION("""COMPUTED_VALUE"""),"Glutamate")</f>
        <v>Glutamate</v>
      </c>
      <c r="W3101" s="42" t="str">
        <f>IFERROR(__xludf.DUMMYFUNCTION("""COMPUTED_VALUE"""),"Modulatory")</f>
        <v>Modulatory</v>
      </c>
      <c r="X3101" s="42"/>
      <c r="Y3101" s="42"/>
      <c r="Z3101" s="42"/>
      <c r="AA3101" s="42"/>
      <c r="AB3101" s="42" t="str">
        <f>IFERROR(__xludf.DUMMYFUNCTION("""COMPUTED_VALUE"""),"allen institute")</f>
        <v>allen institute</v>
      </c>
      <c r="AC3101" s="42" t="str">
        <f>IFERROR(__xludf.DUMMYFUNCTION("""COMPUTED_VALUE"""),"DHBA")</f>
        <v>DHBA</v>
      </c>
      <c r="AD3101" s="42"/>
      <c r="AE3101" s="42"/>
      <c r="AF3101" s="9"/>
      <c r="AG3101" s="9"/>
      <c r="AH3101" s="42"/>
      <c r="AI3101" s="42"/>
      <c r="AJ3101" s="42"/>
      <c r="AK3101" s="42"/>
      <c r="AL3101" s="42"/>
      <c r="AM3101" s="42"/>
      <c r="AN3101" s="42"/>
      <c r="AO3101" s="63" t="str">
        <f>IFERROR(__xludf.DUMMYFUNCTION("IF(ISBLANK(A3101),,IF(ISBLANK(S3101), A3101&amp;"";"", TEXTJOIN(CHAR(10), TRUE, A3101&amp;"";"", ARRAYFORMULA(VLOOKUP(SPLIT(S3101, "";"" &amp; CHAR(10)), $A:$AO, 41, FALSE)))))"),"IOB;")</f>
        <v>IOB;</v>
      </c>
      <c r="AP3101" s="89"/>
    </row>
    <row r="3102">
      <c r="A3102" s="151" t="str">
        <f>IFERROR(__xludf.DUMMYFUNCTION("""COMPUTED_VALUE"""),"IOC")</f>
        <v>IOC</v>
      </c>
      <c r="B3102" s="42" t="str">
        <f>IFERROR(__xludf.DUMMYFUNCTION("""COMPUTED_VALUE"""),"DHBA")</f>
        <v>DHBA</v>
      </c>
      <c r="C3102" s="42" t="str">
        <f>IFERROR(__xludf.DUMMYFUNCTION("""COMPUTED_VALUE"""),"subnucleus C of medial nucleus")</f>
        <v>subnucleus C of medial nucleus</v>
      </c>
      <c r="D3102" s="42">
        <f>IFERROR(__xludf.DUMMYFUNCTION("""COMPUTED_VALUE"""),2957.0)</f>
        <v>2957</v>
      </c>
      <c r="E3102" s="39" t="str">
        <f>IFERROR(__xludf.DUMMYFUNCTION("""COMPUTED_VALUE"""),"subnucleus C of medial nucleus")</f>
        <v>subnucleus C of medial nucleus</v>
      </c>
      <c r="F3102" s="9" t="str">
        <f>IFERROR(__xludf.DUMMYFUNCTION("""COMPUTED_VALUE"""),"Br")</f>
        <v>Br</v>
      </c>
      <c r="G3102" s="9" t="str">
        <f>IFERROR(__xludf.DUMMYFUNCTION("""COMPUTED_VALUE"""),"H")</f>
        <v>H</v>
      </c>
      <c r="H3102" s="9" t="str">
        <f>IFERROR(__xludf.DUMMYFUNCTION("""COMPUTED_VALUE"""),"HGM")</f>
        <v>HGM</v>
      </c>
      <c r="I3102" s="9" t="str">
        <f>IFERROR(__xludf.DUMMYFUNCTION("""COMPUTED_VALUE"""),"Mo")</f>
        <v>Mo</v>
      </c>
      <c r="J3102" s="9" t="str">
        <f>IFERROR(__xludf.DUMMYFUNCTION("""COMPUTED_VALUE"""),"MoTg")</f>
        <v>MoTg</v>
      </c>
      <c r="K3102" s="9" t="str">
        <f>IFERROR(__xludf.DUMMYFUNCTION("""COMPUTED_VALUE"""),"PrCbN")</f>
        <v>PrCbN</v>
      </c>
      <c r="L3102" s="9" t="str">
        <f>IFERROR(__xludf.DUMMYFUNCTION("""COMPUTED_VALUE"""),"IO")</f>
        <v>IO</v>
      </c>
      <c r="M3102" s="9" t="str">
        <f>IFERROR(__xludf.DUMMYFUNCTION("""COMPUTED_VALUE"""),"IOM")</f>
        <v>IOM</v>
      </c>
      <c r="N3102" s="9" t="str">
        <f>IFERROR(__xludf.DUMMYFUNCTION("""COMPUTED_VALUE"""),"IOC")</f>
        <v>IOC</v>
      </c>
      <c r="O3102" s="9"/>
      <c r="P3102" s="9"/>
      <c r="Q3102" s="9"/>
      <c r="R3102" s="9"/>
      <c r="S3102" s="42"/>
      <c r="T3102" s="42" t="str">
        <f>IFERROR(__xludf.DUMMYFUNCTION("""COMPUTED_VALUE"""),"IO")</f>
        <v>IO</v>
      </c>
      <c r="U3102" s="42" t="b">
        <f>IFERROR(__xludf.DUMMYFUNCTION("""COMPUTED_VALUE"""),TRUE)</f>
        <v>1</v>
      </c>
      <c r="V3102" s="42" t="str">
        <f>IFERROR(__xludf.DUMMYFUNCTION("""COMPUTED_VALUE"""),"Glutamate")</f>
        <v>Glutamate</v>
      </c>
      <c r="W3102" s="42" t="str">
        <f>IFERROR(__xludf.DUMMYFUNCTION("""COMPUTED_VALUE"""),"Modulatory")</f>
        <v>Modulatory</v>
      </c>
      <c r="X3102" s="42"/>
      <c r="Y3102" s="42"/>
      <c r="Z3102" s="42"/>
      <c r="AA3102" s="42"/>
      <c r="AB3102" s="42" t="str">
        <f>IFERROR(__xludf.DUMMYFUNCTION("""COMPUTED_VALUE"""),"allen institute")</f>
        <v>allen institute</v>
      </c>
      <c r="AC3102" s="42" t="str">
        <f>IFERROR(__xludf.DUMMYFUNCTION("""COMPUTED_VALUE"""),"DHBA")</f>
        <v>DHBA</v>
      </c>
      <c r="AD3102" s="42"/>
      <c r="AE3102" s="42"/>
      <c r="AF3102" s="9"/>
      <c r="AG3102" s="9"/>
      <c r="AH3102" s="42"/>
      <c r="AI3102" s="42"/>
      <c r="AJ3102" s="42"/>
      <c r="AK3102" s="42"/>
      <c r="AL3102" s="42"/>
      <c r="AM3102" s="42"/>
      <c r="AN3102" s="42"/>
      <c r="AO3102" s="63" t="str">
        <f>IFERROR(__xludf.DUMMYFUNCTION("IF(ISBLANK(A3102),,IF(ISBLANK(S3102), A3102&amp;"";"", TEXTJOIN(CHAR(10), TRUE, A3102&amp;"";"", ARRAYFORMULA(VLOOKUP(SPLIT(S3102, "";"" &amp; CHAR(10)), $A:$AO, 41, FALSE)))))"),"IOC;")</f>
        <v>IOC;</v>
      </c>
      <c r="AP3102" s="89"/>
    </row>
    <row r="3103">
      <c r="A3103" s="151" t="str">
        <f>IFERROR(__xludf.DUMMYFUNCTION("""COMPUTED_VALUE"""),"IOPr")</f>
        <v>IOPr</v>
      </c>
      <c r="B3103" s="42" t="str">
        <f>IFERROR(__xludf.DUMMYFUNCTION("""COMPUTED_VALUE"""),"DHBA")</f>
        <v>DHBA</v>
      </c>
      <c r="C3103" s="42" t="str">
        <f>IFERROR(__xludf.DUMMYFUNCTION("""COMPUTED_VALUE"""),"inferior olive, principal nucleus")</f>
        <v>inferior olive, principal nucleus</v>
      </c>
      <c r="D3103" s="42">
        <f>IFERROR(__xludf.DUMMYFUNCTION("""COMPUTED_VALUE"""),2958.0)</f>
        <v>2958</v>
      </c>
      <c r="E3103" s="39" t="str">
        <f>IFERROR(__xludf.DUMMYFUNCTION("""COMPUTED_VALUE"""),"inferior olive, principal nucleus")</f>
        <v>inferior olive, principal nucleus</v>
      </c>
      <c r="F3103" s="9" t="str">
        <f>IFERROR(__xludf.DUMMYFUNCTION("""COMPUTED_VALUE"""),"Br")</f>
        <v>Br</v>
      </c>
      <c r="G3103" s="9" t="str">
        <f>IFERROR(__xludf.DUMMYFUNCTION("""COMPUTED_VALUE"""),"H")</f>
        <v>H</v>
      </c>
      <c r="H3103" s="9" t="str">
        <f>IFERROR(__xludf.DUMMYFUNCTION("""COMPUTED_VALUE"""),"HGM")</f>
        <v>HGM</v>
      </c>
      <c r="I3103" s="9" t="str">
        <f>IFERROR(__xludf.DUMMYFUNCTION("""COMPUTED_VALUE"""),"Mo")</f>
        <v>Mo</v>
      </c>
      <c r="J3103" s="9" t="str">
        <f>IFERROR(__xludf.DUMMYFUNCTION("""COMPUTED_VALUE"""),"MoTg")</f>
        <v>MoTg</v>
      </c>
      <c r="K3103" s="9" t="str">
        <f>IFERROR(__xludf.DUMMYFUNCTION("""COMPUTED_VALUE"""),"PrCbN")</f>
        <v>PrCbN</v>
      </c>
      <c r="L3103" s="9" t="str">
        <f>IFERROR(__xludf.DUMMYFUNCTION("""COMPUTED_VALUE"""),"IO")</f>
        <v>IO</v>
      </c>
      <c r="M3103" s="9" t="str">
        <f>IFERROR(__xludf.DUMMYFUNCTION("""COMPUTED_VALUE"""),"IOPr")</f>
        <v>IOPr</v>
      </c>
      <c r="N3103" s="9"/>
      <c r="O3103" s="9"/>
      <c r="P3103" s="9"/>
      <c r="Q3103" s="9"/>
      <c r="R3103" s="9"/>
      <c r="S3103" s="42"/>
      <c r="T3103" s="42" t="str">
        <f>IFERROR(__xludf.DUMMYFUNCTION("""COMPUTED_VALUE"""),"IO")</f>
        <v>IO</v>
      </c>
      <c r="U3103" s="42" t="b">
        <f>IFERROR(__xludf.DUMMYFUNCTION("""COMPUTED_VALUE"""),TRUE)</f>
        <v>1</v>
      </c>
      <c r="V3103" s="42" t="str">
        <f>IFERROR(__xludf.DUMMYFUNCTION("""COMPUTED_VALUE"""),"Glutamate")</f>
        <v>Glutamate</v>
      </c>
      <c r="W3103" s="42" t="str">
        <f>IFERROR(__xludf.DUMMYFUNCTION("""COMPUTED_VALUE"""),"Modulatory")</f>
        <v>Modulatory</v>
      </c>
      <c r="X3103" s="42"/>
      <c r="Y3103" s="42"/>
      <c r="Z3103" s="42"/>
      <c r="AA3103" s="42"/>
      <c r="AB3103" s="42" t="str">
        <f>IFERROR(__xludf.DUMMYFUNCTION("""COMPUTED_VALUE"""),"allen institute")</f>
        <v>allen institute</v>
      </c>
      <c r="AC3103" s="42" t="str">
        <f>IFERROR(__xludf.DUMMYFUNCTION("""COMPUTED_VALUE"""),"DHBA")</f>
        <v>DHBA</v>
      </c>
      <c r="AD3103" s="42"/>
      <c r="AE3103" s="42"/>
      <c r="AF3103" s="9"/>
      <c r="AG3103" s="9"/>
      <c r="AH3103" s="42"/>
      <c r="AI3103" s="42"/>
      <c r="AJ3103" s="42"/>
      <c r="AK3103" s="42"/>
      <c r="AL3103" s="42"/>
      <c r="AM3103" s="42"/>
      <c r="AN3103" s="42"/>
      <c r="AO3103" s="63" t="str">
        <f>IFERROR(__xludf.DUMMYFUNCTION("IF(ISBLANK(A3103),,IF(ISBLANK(S3103), A3103&amp;"";"", TEXTJOIN(CHAR(10), TRUE, A3103&amp;"";"", ARRAYFORMULA(VLOOKUP(SPLIT(S3103, "";"" &amp; CHAR(10)), $A:$AO, 41, FALSE)))))"),"IOPr;")</f>
        <v>IOPr;</v>
      </c>
      <c r="AP3103" s="89"/>
    </row>
    <row r="3104">
      <c r="A3104" s="151" t="str">
        <f>IFERROR(__xludf.DUMMYFUNCTION("""COMPUTED_VALUE"""),"IOVL")</f>
        <v>IOVL</v>
      </c>
      <c r="B3104" s="42" t="str">
        <f>IFERROR(__xludf.DUMMYFUNCTION("""COMPUTED_VALUE"""),"DHBA")</f>
        <v>DHBA</v>
      </c>
      <c r="C3104" s="42"/>
      <c r="D3104" s="42">
        <f>IFERROR(__xludf.DUMMYFUNCTION("""COMPUTED_VALUE"""),2959.0)</f>
        <v>2959</v>
      </c>
      <c r="E3104" s="39" t="str">
        <f>IFERROR(__xludf.DUMMYFUNCTION("""COMPUTED_VALUE"""),"ventrolateral outgrowth of inferior olive")</f>
        <v>ventrolateral outgrowth of inferior olive</v>
      </c>
      <c r="F3104" s="9" t="str">
        <f>IFERROR(__xludf.DUMMYFUNCTION("""COMPUTED_VALUE"""),"Br")</f>
        <v>Br</v>
      </c>
      <c r="G3104" s="9" t="str">
        <f>IFERROR(__xludf.DUMMYFUNCTION("""COMPUTED_VALUE"""),"H")</f>
        <v>H</v>
      </c>
      <c r="H3104" s="9" t="str">
        <f>IFERROR(__xludf.DUMMYFUNCTION("""COMPUTED_VALUE"""),"HGM")</f>
        <v>HGM</v>
      </c>
      <c r="I3104" s="9" t="str">
        <f>IFERROR(__xludf.DUMMYFUNCTION("""COMPUTED_VALUE"""),"Mo")</f>
        <v>Mo</v>
      </c>
      <c r="J3104" s="9" t="str">
        <f>IFERROR(__xludf.DUMMYFUNCTION("""COMPUTED_VALUE"""),"MoTg")</f>
        <v>MoTg</v>
      </c>
      <c r="K3104" s="9" t="str">
        <f>IFERROR(__xludf.DUMMYFUNCTION("""COMPUTED_VALUE"""),"PrCbN")</f>
        <v>PrCbN</v>
      </c>
      <c r="L3104" s="9" t="str">
        <f>IFERROR(__xludf.DUMMYFUNCTION("""COMPUTED_VALUE"""),"IO")</f>
        <v>IO</v>
      </c>
      <c r="M3104" s="9" t="str">
        <f>IFERROR(__xludf.DUMMYFUNCTION("""COMPUTED_VALUE"""),"IOVL")</f>
        <v>IOVL</v>
      </c>
      <c r="N3104" s="9"/>
      <c r="O3104" s="9"/>
      <c r="P3104" s="9"/>
      <c r="Q3104" s="9"/>
      <c r="R3104" s="9"/>
      <c r="S3104" s="42"/>
      <c r="T3104" s="42" t="str">
        <f>IFERROR(__xludf.DUMMYFUNCTION("""COMPUTED_VALUE"""),"IO")</f>
        <v>IO</v>
      </c>
      <c r="U3104" s="42" t="b">
        <f>IFERROR(__xludf.DUMMYFUNCTION("""COMPUTED_VALUE"""),TRUE)</f>
        <v>1</v>
      </c>
      <c r="V3104" s="42" t="str">
        <f>IFERROR(__xludf.DUMMYFUNCTION("""COMPUTED_VALUE"""),"Glutamate")</f>
        <v>Glutamate</v>
      </c>
      <c r="W3104" s="42" t="str">
        <f>IFERROR(__xludf.DUMMYFUNCTION("""COMPUTED_VALUE"""),"Modulatory")</f>
        <v>Modulatory</v>
      </c>
      <c r="X3104" s="42"/>
      <c r="Y3104" s="42"/>
      <c r="Z3104" s="42"/>
      <c r="AA3104" s="42"/>
      <c r="AB3104" s="42" t="str">
        <f>IFERROR(__xludf.DUMMYFUNCTION("""COMPUTED_VALUE"""),"allen institute")</f>
        <v>allen institute</v>
      </c>
      <c r="AC3104" s="42" t="str">
        <f>IFERROR(__xludf.DUMMYFUNCTION("""COMPUTED_VALUE"""),"DHBA")</f>
        <v>DHBA</v>
      </c>
      <c r="AD3104" s="42"/>
      <c r="AE3104" s="42"/>
      <c r="AF3104" s="9"/>
      <c r="AG3104" s="9"/>
      <c r="AH3104" s="42"/>
      <c r="AI3104" s="42"/>
      <c r="AJ3104" s="42"/>
      <c r="AK3104" s="42"/>
      <c r="AL3104" s="42"/>
      <c r="AM3104" s="42"/>
      <c r="AN3104" s="42"/>
      <c r="AO3104" s="63" t="str">
        <f>IFERROR(__xludf.DUMMYFUNCTION("IF(ISBLANK(A3104),,IF(ISBLANK(S3104), A3104&amp;"";"", TEXTJOIN(CHAR(10), TRUE, A3104&amp;"";"", ARRAYFORMULA(VLOOKUP(SPLIT(S3104, "";"" &amp; CHAR(10)), $A:$AO, 41, FALSE)))))"),"IOVL;")</f>
        <v>IOVL;</v>
      </c>
      <c r="AP3104" s="89"/>
    </row>
    <row r="3105">
      <c r="A3105" s="151" t="str">
        <f>IFERROR(__xludf.DUMMYFUNCTION("""COMPUTED_VALUE"""),"InM")</f>
        <v>InM</v>
      </c>
      <c r="B3105" s="42" t="str">
        <f>IFERROR(__xludf.DUMMYFUNCTION("""COMPUTED_VALUE"""),"DHBA")</f>
        <v>DHBA</v>
      </c>
      <c r="C3105" s="42" t="str">
        <f>IFERROR(__xludf.DUMMYFUNCTION("""COMPUTED_VALUE"""),"intercalated nucleus of medulla")</f>
        <v>intercalated nucleus of medulla</v>
      </c>
      <c r="D3105" s="42">
        <f>IFERROR(__xludf.DUMMYFUNCTION("""COMPUTED_VALUE"""),2960.0)</f>
        <v>2960</v>
      </c>
      <c r="E3105" s="39" t="str">
        <f>IFERROR(__xludf.DUMMYFUNCTION("""COMPUTED_VALUE"""),"intercalated nucleus of medulla")</f>
        <v>intercalated nucleus of medulla</v>
      </c>
      <c r="F3105" s="9" t="str">
        <f>IFERROR(__xludf.DUMMYFUNCTION("""COMPUTED_VALUE"""),"Br")</f>
        <v>Br</v>
      </c>
      <c r="G3105" s="9" t="str">
        <f>IFERROR(__xludf.DUMMYFUNCTION("""COMPUTED_VALUE"""),"H")</f>
        <v>H</v>
      </c>
      <c r="H3105" s="9" t="str">
        <f>IFERROR(__xludf.DUMMYFUNCTION("""COMPUTED_VALUE"""),"HGM")</f>
        <v>HGM</v>
      </c>
      <c r="I3105" s="9" t="str">
        <f>IFERROR(__xludf.DUMMYFUNCTION("""COMPUTED_VALUE"""),"Mo")</f>
        <v>Mo</v>
      </c>
      <c r="J3105" s="9" t="str">
        <f>IFERROR(__xludf.DUMMYFUNCTION("""COMPUTED_VALUE"""),"MoTg")</f>
        <v>MoTg</v>
      </c>
      <c r="K3105" s="9" t="str">
        <f>IFERROR(__xludf.DUMMYFUNCTION("""COMPUTED_VALUE"""),"PrCbN")</f>
        <v>PrCbN</v>
      </c>
      <c r="L3105" s="9" t="str">
        <f>IFERROR(__xludf.DUMMYFUNCTION("""COMPUTED_VALUE"""),"InM")</f>
        <v>InM</v>
      </c>
      <c r="M3105" s="9"/>
      <c r="N3105" s="9"/>
      <c r="O3105" s="9"/>
      <c r="P3105" s="9"/>
      <c r="Q3105" s="9"/>
      <c r="R3105" s="9"/>
      <c r="S3105" s="42"/>
      <c r="T3105" s="42"/>
      <c r="U3105" s="42"/>
      <c r="V3105" s="42"/>
      <c r="W3105" s="42"/>
      <c r="X3105" s="42"/>
      <c r="Y3105" s="42"/>
      <c r="Z3105" s="42"/>
      <c r="AA3105" s="42"/>
      <c r="AB3105" s="42" t="str">
        <f>IFERROR(__xludf.DUMMYFUNCTION("""COMPUTED_VALUE"""),"allen institute")</f>
        <v>allen institute</v>
      </c>
      <c r="AC3105" s="42" t="str">
        <f>IFERROR(__xludf.DUMMYFUNCTION("""COMPUTED_VALUE"""),"DHBA")</f>
        <v>DHBA</v>
      </c>
      <c r="AD3105" s="42"/>
      <c r="AE3105" s="42"/>
      <c r="AF3105" s="9"/>
      <c r="AG3105" s="9"/>
      <c r="AH3105" s="42"/>
      <c r="AI3105" s="42"/>
      <c r="AJ3105" s="42"/>
      <c r="AK3105" s="42"/>
      <c r="AL3105" s="42"/>
      <c r="AM3105" s="42"/>
      <c r="AN3105" s="42"/>
      <c r="AO3105" s="63" t="str">
        <f>IFERROR(__xludf.DUMMYFUNCTION("IF(ISBLANK(A3105),,IF(ISBLANK(S3105), A3105&amp;"";"", TEXTJOIN(CHAR(10), TRUE, A3105&amp;"";"", ARRAYFORMULA(VLOOKUP(SPLIT(S3105, "";"" &amp; CHAR(10)), $A:$AO, 41, FALSE)))))"),"InM;")</f>
        <v>InM;</v>
      </c>
      <c r="AP3105" s="89"/>
    </row>
    <row r="3106">
      <c r="A3106" s="151" t="str">
        <f>IFERROR(__xludf.DUMMYFUNCTION("""COMPUTED_VALUE"""),"IPo")</f>
        <v>IPo</v>
      </c>
      <c r="B3106" s="42" t="str">
        <f>IFERROR(__xludf.DUMMYFUNCTION("""COMPUTED_VALUE"""),"DHBA")</f>
        <v>DHBA</v>
      </c>
      <c r="C3106" s="42" t="str">
        <f>IFERROR(__xludf.DUMMYFUNCTION("""COMPUTED_VALUE"""),"interpositus nucleus")</f>
        <v>interpositus nucleus</v>
      </c>
      <c r="D3106" s="42">
        <f>IFERROR(__xludf.DUMMYFUNCTION("""COMPUTED_VALUE"""),2961.0)</f>
        <v>2961</v>
      </c>
      <c r="E3106" s="39" t="str">
        <f>IFERROR(__xludf.DUMMYFUNCTION("""COMPUTED_VALUE"""),"interpositus nucleus")</f>
        <v>interpositus nucleus</v>
      </c>
      <c r="F3106" s="9" t="str">
        <f>IFERROR(__xludf.DUMMYFUNCTION("""COMPUTED_VALUE"""),"Br")</f>
        <v>Br</v>
      </c>
      <c r="G3106" s="9" t="str">
        <f>IFERROR(__xludf.DUMMYFUNCTION("""COMPUTED_VALUE"""),"H")</f>
        <v>H</v>
      </c>
      <c r="H3106" s="9" t="str">
        <f>IFERROR(__xludf.DUMMYFUNCTION("""COMPUTED_VALUE"""),"HGM")</f>
        <v>HGM</v>
      </c>
      <c r="I3106" s="9" t="str">
        <f>IFERROR(__xludf.DUMMYFUNCTION("""COMPUTED_VALUE"""),"Mo")</f>
        <v>Mo</v>
      </c>
      <c r="J3106" s="9" t="str">
        <f>IFERROR(__xludf.DUMMYFUNCTION("""COMPUTED_VALUE"""),"MoTg")</f>
        <v>MoTg</v>
      </c>
      <c r="K3106" s="9" t="str">
        <f>IFERROR(__xludf.DUMMYFUNCTION("""COMPUTED_VALUE"""),"PrCbN")</f>
        <v>PrCbN</v>
      </c>
      <c r="L3106" s="9" t="str">
        <f>IFERROR(__xludf.DUMMYFUNCTION("""COMPUTED_VALUE"""),"IPo")</f>
        <v>IPo</v>
      </c>
      <c r="M3106" s="9"/>
      <c r="N3106" s="9"/>
      <c r="O3106" s="9"/>
      <c r="P3106" s="9"/>
      <c r="Q3106" s="9"/>
      <c r="R3106" s="9"/>
      <c r="S3106" s="42"/>
      <c r="T3106" s="42"/>
      <c r="U3106" s="42"/>
      <c r="V3106" s="42"/>
      <c r="W3106" s="42"/>
      <c r="X3106" s="42"/>
      <c r="Y3106" s="42"/>
      <c r="Z3106" s="42"/>
      <c r="AA3106" s="42"/>
      <c r="AB3106" s="42" t="str">
        <f>IFERROR(__xludf.DUMMYFUNCTION("""COMPUTED_VALUE"""),"allen institute")</f>
        <v>allen institute</v>
      </c>
      <c r="AC3106" s="42" t="str">
        <f>IFERROR(__xludf.DUMMYFUNCTION("""COMPUTED_VALUE"""),"DHBA")</f>
        <v>DHBA</v>
      </c>
      <c r="AD3106" s="42"/>
      <c r="AE3106" s="42"/>
      <c r="AF3106" s="9"/>
      <c r="AG3106" s="9"/>
      <c r="AH3106" s="42"/>
      <c r="AI3106" s="42"/>
      <c r="AJ3106" s="42"/>
      <c r="AK3106" s="42"/>
      <c r="AL3106" s="42"/>
      <c r="AM3106" s="42"/>
      <c r="AN3106" s="42"/>
      <c r="AO3106" s="63" t="str">
        <f>IFERROR(__xludf.DUMMYFUNCTION("IF(ISBLANK(A3106),,IF(ISBLANK(S3106), A3106&amp;"";"", TEXTJOIN(CHAR(10), TRUE, A3106&amp;"";"", ARRAYFORMULA(VLOOKUP(SPLIT(S3106, "";"" &amp; CHAR(10)), $A:$AO, 41, FALSE)))))"),"IPo;")</f>
        <v>IPo;</v>
      </c>
      <c r="AP3106" s="89"/>
    </row>
    <row r="3107">
      <c r="A3107" s="151" t="str">
        <f>IFERROR(__xludf.DUMMYFUNCTION("""COMPUTED_VALUE"""),"PnbN")</f>
        <v>PnbN</v>
      </c>
      <c r="B3107" s="42" t="str">
        <f>IFERROR(__xludf.DUMMYFUNCTION("""COMPUTED_VALUE"""),"DHBA")</f>
        <v>DHBA</v>
      </c>
      <c r="C3107" s="42" t="str">
        <f>IFERROR(__xludf.DUMMYFUNCTION("""COMPUTED_VALUE"""),"pontobulbar nucleus")</f>
        <v>pontobulbar nucleus</v>
      </c>
      <c r="D3107" s="42">
        <f>IFERROR(__xludf.DUMMYFUNCTION("""COMPUTED_VALUE"""),2962.0)</f>
        <v>2962</v>
      </c>
      <c r="E3107" s="39" t="str">
        <f>IFERROR(__xludf.DUMMYFUNCTION("""COMPUTED_VALUE"""),"pontobulbar nucleus")</f>
        <v>pontobulbar nucleus</v>
      </c>
      <c r="F3107" s="9" t="str">
        <f>IFERROR(__xludf.DUMMYFUNCTION("""COMPUTED_VALUE"""),"Br")</f>
        <v>Br</v>
      </c>
      <c r="G3107" s="9" t="str">
        <f>IFERROR(__xludf.DUMMYFUNCTION("""COMPUTED_VALUE"""),"H")</f>
        <v>H</v>
      </c>
      <c r="H3107" s="9" t="str">
        <f>IFERROR(__xludf.DUMMYFUNCTION("""COMPUTED_VALUE"""),"HGM")</f>
        <v>HGM</v>
      </c>
      <c r="I3107" s="9" t="str">
        <f>IFERROR(__xludf.DUMMYFUNCTION("""COMPUTED_VALUE"""),"Mo")</f>
        <v>Mo</v>
      </c>
      <c r="J3107" s="9" t="str">
        <f>IFERROR(__xludf.DUMMYFUNCTION("""COMPUTED_VALUE"""),"MoTg")</f>
        <v>MoTg</v>
      </c>
      <c r="K3107" s="9" t="str">
        <f>IFERROR(__xludf.DUMMYFUNCTION("""COMPUTED_VALUE"""),"PrCbN")</f>
        <v>PrCbN</v>
      </c>
      <c r="L3107" s="9" t="str">
        <f>IFERROR(__xludf.DUMMYFUNCTION("""COMPUTED_VALUE"""),"PnbN")</f>
        <v>PnbN</v>
      </c>
      <c r="M3107" s="9"/>
      <c r="N3107" s="9"/>
      <c r="O3107" s="9"/>
      <c r="P3107" s="9"/>
      <c r="Q3107" s="9"/>
      <c r="R3107" s="9"/>
      <c r="S3107" s="42"/>
      <c r="T3107" s="42"/>
      <c r="U3107" s="42"/>
      <c r="V3107" s="42"/>
      <c r="W3107" s="42"/>
      <c r="X3107" s="42"/>
      <c r="Y3107" s="42"/>
      <c r="Z3107" s="42"/>
      <c r="AA3107" s="42"/>
      <c r="AB3107" s="42" t="str">
        <f>IFERROR(__xludf.DUMMYFUNCTION("""COMPUTED_VALUE"""),"allen institute")</f>
        <v>allen institute</v>
      </c>
      <c r="AC3107" s="42" t="str">
        <f>IFERROR(__xludf.DUMMYFUNCTION("""COMPUTED_VALUE"""),"DHBA")</f>
        <v>DHBA</v>
      </c>
      <c r="AD3107" s="42"/>
      <c r="AE3107" s="42"/>
      <c r="AF3107" s="9"/>
      <c r="AG3107" s="9"/>
      <c r="AH3107" s="42"/>
      <c r="AI3107" s="42"/>
      <c r="AJ3107" s="42"/>
      <c r="AK3107" s="42"/>
      <c r="AL3107" s="42"/>
      <c r="AM3107" s="42"/>
      <c r="AN3107" s="42"/>
      <c r="AO3107" s="63" t="str">
        <f>IFERROR(__xludf.DUMMYFUNCTION("IF(ISBLANK(A3107),,IF(ISBLANK(S3107), A3107&amp;"";"", TEXTJOIN(CHAR(10), TRUE, A3107&amp;"";"", ARRAYFORMULA(VLOOKUP(SPLIT(S3107, "";"" &amp; CHAR(10)), $A:$AO, 41, FALSE)))))"),"PnbN;")</f>
        <v>PnbN;</v>
      </c>
      <c r="AP3107" s="89"/>
    </row>
    <row r="3108">
      <c r="A3108" s="151" t="str">
        <f>IFERROR(__xludf.DUMMYFUNCTION("""COMPUTED_VALUE"""),"PrH")</f>
        <v>PrH</v>
      </c>
      <c r="B3108" s="42" t="str">
        <f>IFERROR(__xludf.DUMMYFUNCTION("""COMPUTED_VALUE"""),"DHBA")</f>
        <v>DHBA</v>
      </c>
      <c r="C3108" s="42" t="str">
        <f>IFERROR(__xludf.DUMMYFUNCTION("""COMPUTED_VALUE"""),"prepositus hypoglossal nucleus;
nucleus prepositus hypoglossi (NPH)")</f>
        <v>prepositus hypoglossal nucleus;
nucleus prepositus hypoglossi (NPH)</v>
      </c>
      <c r="D3108" s="42">
        <f>IFERROR(__xludf.DUMMYFUNCTION("""COMPUTED_VALUE"""),2963.0)</f>
        <v>2963</v>
      </c>
      <c r="E3108" s="39" t="str">
        <f>IFERROR(__xludf.DUMMYFUNCTION("""COMPUTED_VALUE"""),"prepositus hypoglossal nucleus")</f>
        <v>prepositus hypoglossal nucleus</v>
      </c>
      <c r="F3108" s="9" t="str">
        <f>IFERROR(__xludf.DUMMYFUNCTION("""COMPUTED_VALUE"""),"Br")</f>
        <v>Br</v>
      </c>
      <c r="G3108" s="9" t="str">
        <f>IFERROR(__xludf.DUMMYFUNCTION("""COMPUTED_VALUE"""),"H")</f>
        <v>H</v>
      </c>
      <c r="H3108" s="9" t="str">
        <f>IFERROR(__xludf.DUMMYFUNCTION("""COMPUTED_VALUE"""),"HGM")</f>
        <v>HGM</v>
      </c>
      <c r="I3108" s="9" t="str">
        <f>IFERROR(__xludf.DUMMYFUNCTION("""COMPUTED_VALUE"""),"Mo")</f>
        <v>Mo</v>
      </c>
      <c r="J3108" s="9" t="str">
        <f>IFERROR(__xludf.DUMMYFUNCTION("""COMPUTED_VALUE"""),"MoTg")</f>
        <v>MoTg</v>
      </c>
      <c r="K3108" s="9" t="str">
        <f>IFERROR(__xludf.DUMMYFUNCTION("""COMPUTED_VALUE"""),"PrCbN")</f>
        <v>PrCbN</v>
      </c>
      <c r="L3108" s="9" t="str">
        <f>IFERROR(__xludf.DUMMYFUNCTION("""COMPUTED_VALUE"""),"PrH")</f>
        <v>PrH</v>
      </c>
      <c r="M3108" s="9"/>
      <c r="N3108" s="9"/>
      <c r="O3108" s="9"/>
      <c r="P3108" s="9"/>
      <c r="Q3108" s="9"/>
      <c r="R3108" s="9"/>
      <c r="S3108" s="42"/>
      <c r="T3108" s="42"/>
      <c r="U3108" s="42" t="b">
        <f>IFERROR(__xludf.DUMMYFUNCTION("""COMPUTED_VALUE"""),TRUE)</f>
        <v>1</v>
      </c>
      <c r="V3108" s="42" t="str">
        <f>IFERROR(__xludf.DUMMYFUNCTION("""COMPUTED_VALUE"""),"Glutamate")</f>
        <v>Glutamate</v>
      </c>
      <c r="W3108" s="42" t="str">
        <f>IFERROR(__xludf.DUMMYFUNCTION("""COMPUTED_VALUE"""),"Excitatory")</f>
        <v>Excitatory</v>
      </c>
      <c r="X3108" s="42"/>
      <c r="Y3108" s="42" t="str">
        <f>IFERROR(__xludf.DUMMYFUNCTION("""COMPUTED_VALUE"""),"part of the horizontal gaze holding system. It functions as a neural integrator.(Wikipedia)")</f>
        <v>part of the horizontal gaze holding system. It functions as a neural integrator.(Wikipedia)</v>
      </c>
      <c r="Z3108" s="42"/>
      <c r="AA3108" s="42"/>
      <c r="AB3108" s="42" t="str">
        <f>IFERROR(__xludf.DUMMYFUNCTION("""COMPUTED_VALUE"""),"allen institute")</f>
        <v>allen institute</v>
      </c>
      <c r="AC3108" s="42" t="str">
        <f>IFERROR(__xludf.DUMMYFUNCTION("""COMPUTED_VALUE"""),"DHBA")</f>
        <v>DHBA</v>
      </c>
      <c r="AD3108" s="42"/>
      <c r="AE3108" s="42"/>
      <c r="AF3108" s="9"/>
      <c r="AG3108" s="9"/>
      <c r="AH3108" s="42"/>
      <c r="AI3108" s="42"/>
      <c r="AJ3108" s="42"/>
      <c r="AK3108" s="42"/>
      <c r="AL3108" s="42"/>
      <c r="AM3108" s="42"/>
      <c r="AN3108" s="42"/>
      <c r="AO3108" s="63" t="str">
        <f>IFERROR(__xludf.DUMMYFUNCTION("IF(ISBLANK(A3108),,IF(ISBLANK(S3108), A3108&amp;"";"", TEXTJOIN(CHAR(10), TRUE, A3108&amp;"";"", ARRAYFORMULA(VLOOKUP(SPLIT(S3108, "";"" &amp; CHAR(10)), $A:$AO, 41, FALSE)))))"),"PrH;")</f>
        <v>PrH;</v>
      </c>
      <c r="AP3108" s="89"/>
    </row>
    <row r="3109">
      <c r="A3109" s="151" t="str">
        <f>IFERROR(__xludf.DUMMYFUNCTION("""COMPUTED_VALUE"""),"MoRF")</f>
        <v>MoRF</v>
      </c>
      <c r="B3109" s="42" t="str">
        <f>IFERROR(__xludf.DUMMYFUNCTION("""COMPUTED_VALUE"""),"DHBA")</f>
        <v>DHBA</v>
      </c>
      <c r="C3109" s="42" t="str">
        <f>IFERROR(__xludf.DUMMYFUNCTION("""COMPUTED_VALUE"""),"medullary reticular formation, Reticular formation, Rt")</f>
        <v>medullary reticular formation, Reticular formation, Rt</v>
      </c>
      <c r="D3109" s="42">
        <f>IFERROR(__xludf.DUMMYFUNCTION("""COMPUTED_VALUE"""),2964.0)</f>
        <v>2964</v>
      </c>
      <c r="E3109" s="39" t="str">
        <f>IFERROR(__xludf.DUMMYFUNCTION("""COMPUTED_VALUE"""),"medullary reticular formation")</f>
        <v>medullary reticular formation</v>
      </c>
      <c r="F3109" s="9" t="str">
        <f>IFERROR(__xludf.DUMMYFUNCTION("""COMPUTED_VALUE"""),"Br")</f>
        <v>Br</v>
      </c>
      <c r="G3109" s="9" t="str">
        <f>IFERROR(__xludf.DUMMYFUNCTION("""COMPUTED_VALUE"""),"H")</f>
        <v>H</v>
      </c>
      <c r="H3109" s="9" t="str">
        <f>IFERROR(__xludf.DUMMYFUNCTION("""COMPUTED_VALUE"""),"HGM")</f>
        <v>HGM</v>
      </c>
      <c r="I3109" s="9" t="str">
        <f>IFERROR(__xludf.DUMMYFUNCTION("""COMPUTED_VALUE"""),"Mo")</f>
        <v>Mo</v>
      </c>
      <c r="J3109" s="9" t="str">
        <f>IFERROR(__xludf.DUMMYFUNCTION("""COMPUTED_VALUE"""),"MoTg")</f>
        <v>MoTg</v>
      </c>
      <c r="K3109" s="9" t="str">
        <f>IFERROR(__xludf.DUMMYFUNCTION("""COMPUTED_VALUE"""),"MoRF")</f>
        <v>MoRF</v>
      </c>
      <c r="L3109" s="9"/>
      <c r="M3109" s="9"/>
      <c r="N3109" s="9"/>
      <c r="O3109" s="9"/>
      <c r="P3109" s="9"/>
      <c r="Q3109" s="9"/>
      <c r="R3109" s="9"/>
      <c r="S3109" s="42" t="str">
        <f>IFERROR(__xludf.DUMMYFUNCTION("""COMPUTED_VALUE"""),"DRt;
IRt;
GiRt;
LMRt;
Li;
MdD;
MdV;
PCRt")</f>
        <v>DRt;
IRt;
GiRt;
LMRt;
Li;
MdD;
MdV;
PCRt</v>
      </c>
      <c r="T3109" s="42"/>
      <c r="U3109" s="42" t="b">
        <f>IFERROR(__xludf.DUMMYFUNCTION("""COMPUTED_VALUE"""),FALSE)</f>
        <v>0</v>
      </c>
      <c r="V3109" s="42"/>
      <c r="W3109" s="42" t="str">
        <f>IFERROR(__xludf.DUMMYFUNCTION("""COMPUTED_VALUE"""),"Excitatory")</f>
        <v>Excitatory</v>
      </c>
      <c r="X3109" s="42"/>
      <c r="Y3109" s="42"/>
      <c r="Z3109" s="42"/>
      <c r="AA3109" s="42"/>
      <c r="AB3109" s="42" t="str">
        <f>IFERROR(__xludf.DUMMYFUNCTION("""COMPUTED_VALUE"""),"allen institute")</f>
        <v>allen institute</v>
      </c>
      <c r="AC3109" s="42" t="str">
        <f>IFERROR(__xludf.DUMMYFUNCTION("""COMPUTED_VALUE"""),"DHBA")</f>
        <v>DHBA</v>
      </c>
      <c r="AD3109" s="42"/>
      <c r="AE3109" s="42"/>
      <c r="AF3109" s="9"/>
      <c r="AG3109" s="9"/>
      <c r="AH3109" s="42"/>
      <c r="AI3109" s="42"/>
      <c r="AJ3109" s="42"/>
      <c r="AK3109" s="42"/>
      <c r="AL3109" s="42"/>
      <c r="AM3109" s="42"/>
      <c r="AN3109" s="42"/>
      <c r="AO3109" s="63" t="str">
        <f>IFERROR(__xludf.DUMMYFUNCTION("IF(ISBLANK(A3109),,IF(ISBLANK(S3109), A3109&amp;"";"", TEXTJOIN(CHAR(10), TRUE, A3109&amp;"";"", ARRAYFORMULA(VLOOKUP(SPLIT(S3109, "";"" &amp; CHAR(10)), $A:$AO, 41, FALSE)))))"),"#N/A")</f>
        <v>#N/A</v>
      </c>
      <c r="AP3109" s="89"/>
    </row>
    <row r="3110">
      <c r="A3110" s="151" t="str">
        <f>IFERROR(__xludf.DUMMYFUNCTION("""COMPUTED_VALUE"""),"DRt")</f>
        <v>DRt</v>
      </c>
      <c r="B3110" s="42" t="str">
        <f>IFERROR(__xludf.DUMMYFUNCTION("""COMPUTED_VALUE"""),"DHBA")</f>
        <v>DHBA</v>
      </c>
      <c r="C3110" s="42" t="str">
        <f>IFERROR(__xludf.DUMMYFUNCTION("""COMPUTED_VALUE"""),"dorsal reticular nucleus")</f>
        <v>dorsal reticular nucleus</v>
      </c>
      <c r="D3110" s="42">
        <f>IFERROR(__xludf.DUMMYFUNCTION("""COMPUTED_VALUE"""),2965.0)</f>
        <v>2965</v>
      </c>
      <c r="E3110" s="39" t="str">
        <f>IFERROR(__xludf.DUMMYFUNCTION("""COMPUTED_VALUE"""),"dorsal reticular nucleus")</f>
        <v>dorsal reticular nucleus</v>
      </c>
      <c r="F3110" s="9" t="str">
        <f>IFERROR(__xludf.DUMMYFUNCTION("""COMPUTED_VALUE"""),"Br")</f>
        <v>Br</v>
      </c>
      <c r="G3110" s="9" t="str">
        <f>IFERROR(__xludf.DUMMYFUNCTION("""COMPUTED_VALUE"""),"H")</f>
        <v>H</v>
      </c>
      <c r="H3110" s="9" t="str">
        <f>IFERROR(__xludf.DUMMYFUNCTION("""COMPUTED_VALUE"""),"HGM")</f>
        <v>HGM</v>
      </c>
      <c r="I3110" s="9" t="str">
        <f>IFERROR(__xludf.DUMMYFUNCTION("""COMPUTED_VALUE"""),"Mo")</f>
        <v>Mo</v>
      </c>
      <c r="J3110" s="9" t="str">
        <f>IFERROR(__xludf.DUMMYFUNCTION("""COMPUTED_VALUE"""),"MoTg")</f>
        <v>MoTg</v>
      </c>
      <c r="K3110" s="9" t="str">
        <f>IFERROR(__xludf.DUMMYFUNCTION("""COMPUTED_VALUE"""),"MoRF")</f>
        <v>MoRF</v>
      </c>
      <c r="L3110" s="9" t="str">
        <f>IFERROR(__xludf.DUMMYFUNCTION("""COMPUTED_VALUE"""),"DRt")</f>
        <v>DRt</v>
      </c>
      <c r="M3110" s="9"/>
      <c r="N3110" s="9"/>
      <c r="O3110" s="9"/>
      <c r="P3110" s="9"/>
      <c r="Q3110" s="9"/>
      <c r="R3110" s="9"/>
      <c r="S3110" s="42"/>
      <c r="T3110" s="42"/>
      <c r="U3110" s="42"/>
      <c r="V3110" s="42"/>
      <c r="W3110" s="42"/>
      <c r="X3110" s="42"/>
      <c r="Y3110" s="42"/>
      <c r="Z3110" s="42"/>
      <c r="AA3110" s="42"/>
      <c r="AB3110" s="42" t="str">
        <f>IFERROR(__xludf.DUMMYFUNCTION("""COMPUTED_VALUE"""),"allen institute")</f>
        <v>allen institute</v>
      </c>
      <c r="AC3110" s="42" t="str">
        <f>IFERROR(__xludf.DUMMYFUNCTION("""COMPUTED_VALUE"""),"DHBA")</f>
        <v>DHBA</v>
      </c>
      <c r="AD3110" s="42"/>
      <c r="AE3110" s="42"/>
      <c r="AF3110" s="9"/>
      <c r="AG3110" s="9"/>
      <c r="AH3110" s="42"/>
      <c r="AI3110" s="42"/>
      <c r="AJ3110" s="42"/>
      <c r="AK3110" s="42"/>
      <c r="AL3110" s="42"/>
      <c r="AM3110" s="42"/>
      <c r="AN3110" s="42"/>
      <c r="AO3110" s="63" t="str">
        <f>IFERROR(__xludf.DUMMYFUNCTION("IF(ISBLANK(A3110),,IF(ISBLANK(S3110), A3110&amp;"";"", TEXTJOIN(CHAR(10), TRUE, A3110&amp;"";"", ARRAYFORMULA(VLOOKUP(SPLIT(S3110, "";"" &amp; CHAR(10)), $A:$AO, 41, FALSE)))))"),"DRt;")</f>
        <v>DRt;</v>
      </c>
      <c r="AP3110" s="89"/>
    </row>
    <row r="3111">
      <c r="A3111" s="151" t="str">
        <f>IFERROR(__xludf.DUMMYFUNCTION("""COMPUTED_VALUE"""),"IRt")</f>
        <v>IRt</v>
      </c>
      <c r="B3111" s="42" t="str">
        <f>IFERROR(__xludf.DUMMYFUNCTION("""COMPUTED_VALUE"""),"DHBA")</f>
        <v>DHBA</v>
      </c>
      <c r="C3111" s="42" t="str">
        <f>IFERROR(__xludf.DUMMYFUNCTION("""COMPUTED_VALUE"""),"intermediate reticular nucleus")</f>
        <v>intermediate reticular nucleus</v>
      </c>
      <c r="D3111" s="42">
        <f>IFERROR(__xludf.DUMMYFUNCTION("""COMPUTED_VALUE"""),2966.0)</f>
        <v>2966</v>
      </c>
      <c r="E3111" s="39" t="str">
        <f>IFERROR(__xludf.DUMMYFUNCTION("""COMPUTED_VALUE"""),"intermediate reticular nucleus")</f>
        <v>intermediate reticular nucleus</v>
      </c>
      <c r="F3111" s="9" t="str">
        <f>IFERROR(__xludf.DUMMYFUNCTION("""COMPUTED_VALUE"""),"Br")</f>
        <v>Br</v>
      </c>
      <c r="G3111" s="9" t="str">
        <f>IFERROR(__xludf.DUMMYFUNCTION("""COMPUTED_VALUE"""),"H")</f>
        <v>H</v>
      </c>
      <c r="H3111" s="9" t="str">
        <f>IFERROR(__xludf.DUMMYFUNCTION("""COMPUTED_VALUE"""),"HGM")</f>
        <v>HGM</v>
      </c>
      <c r="I3111" s="9" t="str">
        <f>IFERROR(__xludf.DUMMYFUNCTION("""COMPUTED_VALUE"""),"Mo")</f>
        <v>Mo</v>
      </c>
      <c r="J3111" s="9" t="str">
        <f>IFERROR(__xludf.DUMMYFUNCTION("""COMPUTED_VALUE"""),"MoTg")</f>
        <v>MoTg</v>
      </c>
      <c r="K3111" s="9" t="str">
        <f>IFERROR(__xludf.DUMMYFUNCTION("""COMPUTED_VALUE"""),"MoRF")</f>
        <v>MoRF</v>
      </c>
      <c r="L3111" s="9" t="str">
        <f>IFERROR(__xludf.DUMMYFUNCTION("""COMPUTED_VALUE"""),"IRt")</f>
        <v>IRt</v>
      </c>
      <c r="M3111" s="9"/>
      <c r="N3111" s="9"/>
      <c r="O3111" s="9"/>
      <c r="P3111" s="9"/>
      <c r="Q3111" s="9"/>
      <c r="R3111" s="9"/>
      <c r="S3111" s="42" t="str">
        <f>IFERROR(__xludf.DUMMYFUNCTION("""COMPUTED_VALUE"""),"CVL;
NA_A;
RVRG;
RVL")</f>
        <v>CVL;
NA_A;
RVRG;
RVL</v>
      </c>
      <c r="T3111" s="42"/>
      <c r="U3111" s="42" t="b">
        <f>IFERROR(__xludf.DUMMYFUNCTION("""COMPUTED_VALUE"""),FALSE)</f>
        <v>0</v>
      </c>
      <c r="V3111" s="42"/>
      <c r="W3111" s="42"/>
      <c r="X3111" s="42"/>
      <c r="Y3111" s="42"/>
      <c r="Z3111" s="42"/>
      <c r="AA3111" s="42"/>
      <c r="AB3111" s="42" t="str">
        <f>IFERROR(__xludf.DUMMYFUNCTION("""COMPUTED_VALUE"""),"allen institute")</f>
        <v>allen institute</v>
      </c>
      <c r="AC3111" s="42" t="str">
        <f>IFERROR(__xludf.DUMMYFUNCTION("""COMPUTED_VALUE"""),"DHBA")</f>
        <v>DHBA</v>
      </c>
      <c r="AD3111" s="42"/>
      <c r="AE3111" s="42"/>
      <c r="AF3111" s="9"/>
      <c r="AG3111" s="9"/>
      <c r="AH3111" s="42"/>
      <c r="AI3111" s="42"/>
      <c r="AJ3111" s="42"/>
      <c r="AK3111" s="42"/>
      <c r="AL3111" s="42"/>
      <c r="AM3111" s="42"/>
      <c r="AN3111" s="42"/>
      <c r="AO3111" s="63" t="str">
        <f>IFERROR(__xludf.DUMMYFUNCTION("IF(ISBLANK(A3111),,IF(ISBLANK(S3111), A3111&amp;"";"", TEXTJOIN(CHAR(10), TRUE, A3111&amp;"";"", ARRAYFORMULA(VLOOKUP(SPLIT(S3111, "";"" &amp; CHAR(10)), $A:$AO, 41, FALSE)))))"),"#N/A")</f>
        <v>#N/A</v>
      </c>
      <c r="AP3111" s="89"/>
    </row>
    <row r="3112">
      <c r="A3112" s="151" t="str">
        <f>IFERROR(__xludf.DUMMYFUNCTION("""COMPUTED_VALUE"""),"CVL")</f>
        <v>CVL</v>
      </c>
      <c r="B3112" s="42" t="str">
        <f>IFERROR(__xludf.DUMMYFUNCTION("""COMPUTED_VALUE"""),"DHBA")</f>
        <v>DHBA</v>
      </c>
      <c r="C3112" s="42" t="str">
        <f>IFERROR(__xludf.DUMMYFUNCTION("""COMPUTED_VALUE"""),"caudoventrolateral reticular nucleus")</f>
        <v>caudoventrolateral reticular nucleus</v>
      </c>
      <c r="D3112" s="42">
        <f>IFERROR(__xludf.DUMMYFUNCTION("""COMPUTED_VALUE"""),2967.0)</f>
        <v>2967</v>
      </c>
      <c r="E3112" s="39" t="str">
        <f>IFERROR(__xludf.DUMMYFUNCTION("""COMPUTED_VALUE"""),"caudoventrolateral reticular nucleus")</f>
        <v>caudoventrolateral reticular nucleus</v>
      </c>
      <c r="F3112" s="9" t="str">
        <f>IFERROR(__xludf.DUMMYFUNCTION("""COMPUTED_VALUE"""),"Br")</f>
        <v>Br</v>
      </c>
      <c r="G3112" s="9" t="str">
        <f>IFERROR(__xludf.DUMMYFUNCTION("""COMPUTED_VALUE"""),"H")</f>
        <v>H</v>
      </c>
      <c r="H3112" s="9" t="str">
        <f>IFERROR(__xludf.DUMMYFUNCTION("""COMPUTED_VALUE"""),"HGM")</f>
        <v>HGM</v>
      </c>
      <c r="I3112" s="9" t="str">
        <f>IFERROR(__xludf.DUMMYFUNCTION("""COMPUTED_VALUE"""),"Mo")</f>
        <v>Mo</v>
      </c>
      <c r="J3112" s="9" t="str">
        <f>IFERROR(__xludf.DUMMYFUNCTION("""COMPUTED_VALUE"""),"MoTg")</f>
        <v>MoTg</v>
      </c>
      <c r="K3112" s="9" t="str">
        <f>IFERROR(__xludf.DUMMYFUNCTION("""COMPUTED_VALUE"""),"MoRF")</f>
        <v>MoRF</v>
      </c>
      <c r="L3112" s="9" t="str">
        <f>IFERROR(__xludf.DUMMYFUNCTION("""COMPUTED_VALUE"""),"IRt")</f>
        <v>IRt</v>
      </c>
      <c r="M3112" s="9" t="str">
        <f>IFERROR(__xludf.DUMMYFUNCTION("""COMPUTED_VALUE"""),"CVL")</f>
        <v>CVL</v>
      </c>
      <c r="N3112" s="9"/>
      <c r="O3112" s="9"/>
      <c r="P3112" s="9"/>
      <c r="Q3112" s="9"/>
      <c r="R3112" s="9"/>
      <c r="S3112" s="42"/>
      <c r="T3112" s="42"/>
      <c r="U3112" s="42"/>
      <c r="V3112" s="42"/>
      <c r="W3112" s="42"/>
      <c r="X3112" s="42"/>
      <c r="Y3112" s="42"/>
      <c r="Z3112" s="42"/>
      <c r="AA3112" s="42"/>
      <c r="AB3112" s="42" t="str">
        <f>IFERROR(__xludf.DUMMYFUNCTION("""COMPUTED_VALUE"""),"allen institute")</f>
        <v>allen institute</v>
      </c>
      <c r="AC3112" s="42" t="str">
        <f>IFERROR(__xludf.DUMMYFUNCTION("""COMPUTED_VALUE"""),"DHBA")</f>
        <v>DHBA</v>
      </c>
      <c r="AD3112" s="42"/>
      <c r="AE3112" s="42"/>
      <c r="AF3112" s="9"/>
      <c r="AG3112" s="9"/>
      <c r="AH3112" s="42"/>
      <c r="AI3112" s="42"/>
      <c r="AJ3112" s="42"/>
      <c r="AK3112" s="42"/>
      <c r="AL3112" s="42"/>
      <c r="AM3112" s="42"/>
      <c r="AN3112" s="42"/>
      <c r="AO3112" s="63" t="str">
        <f>IFERROR(__xludf.DUMMYFUNCTION("IF(ISBLANK(A3112),,IF(ISBLANK(S3112), A3112&amp;"";"", TEXTJOIN(CHAR(10), TRUE, A3112&amp;"";"", ARRAYFORMULA(VLOOKUP(SPLIT(S3112, "";"" &amp; CHAR(10)), $A:$AO, 41, FALSE)))))"),"CVL;")</f>
        <v>CVL;</v>
      </c>
      <c r="AP3112" s="89"/>
    </row>
    <row r="3113">
      <c r="A3113" s="151" t="str">
        <f>IFERROR(__xludf.DUMMYFUNCTION("""COMPUTED_VALUE"""),"NA/A")</f>
        <v>NA/A</v>
      </c>
      <c r="B3113" s="42" t="str">
        <f>IFERROR(__xludf.DUMMYFUNCTION("""COMPUTED_VALUE"""),"DHBA")</f>
        <v>DHBA</v>
      </c>
      <c r="C3113" s="42" t="str">
        <f>IFERROR(__xludf.DUMMYFUNCTION("""COMPUTED_VALUE"""),"noradrenaline/adrenaline cell group 1")</f>
        <v>noradrenaline/adrenaline cell group 1</v>
      </c>
      <c r="D3113" s="42">
        <f>IFERROR(__xludf.DUMMYFUNCTION("""COMPUTED_VALUE"""),2968.0)</f>
        <v>2968</v>
      </c>
      <c r="E3113" s="39" t="str">
        <f>IFERROR(__xludf.DUMMYFUNCTION("""COMPUTED_VALUE"""),"noradrenaline/adrenaline cell group 1")</f>
        <v>noradrenaline/adrenaline cell group 1</v>
      </c>
      <c r="F3113" s="9" t="str">
        <f>IFERROR(__xludf.DUMMYFUNCTION("""COMPUTED_VALUE"""),"Br")</f>
        <v>Br</v>
      </c>
      <c r="G3113" s="9" t="str">
        <f>IFERROR(__xludf.DUMMYFUNCTION("""COMPUTED_VALUE"""),"H")</f>
        <v>H</v>
      </c>
      <c r="H3113" s="9" t="str">
        <f>IFERROR(__xludf.DUMMYFUNCTION("""COMPUTED_VALUE"""),"HGM")</f>
        <v>HGM</v>
      </c>
      <c r="I3113" s="9" t="str">
        <f>IFERROR(__xludf.DUMMYFUNCTION("""COMPUTED_VALUE"""),"Mo")</f>
        <v>Mo</v>
      </c>
      <c r="J3113" s="9" t="str">
        <f>IFERROR(__xludf.DUMMYFUNCTION("""COMPUTED_VALUE"""),"MoTg")</f>
        <v>MoTg</v>
      </c>
      <c r="K3113" s="9" t="str">
        <f>IFERROR(__xludf.DUMMYFUNCTION("""COMPUTED_VALUE"""),"MoRF")</f>
        <v>MoRF</v>
      </c>
      <c r="L3113" s="9" t="str">
        <f>IFERROR(__xludf.DUMMYFUNCTION("""COMPUTED_VALUE"""),"IRt")</f>
        <v>IRt</v>
      </c>
      <c r="M3113" s="9" t="str">
        <f>IFERROR(__xludf.DUMMYFUNCTION("""COMPUTED_VALUE"""),"NA/A")</f>
        <v>NA/A</v>
      </c>
      <c r="N3113" s="9"/>
      <c r="O3113" s="9"/>
      <c r="P3113" s="9"/>
      <c r="Q3113" s="9"/>
      <c r="R3113" s="9"/>
      <c r="S3113" s="42"/>
      <c r="T3113" s="42"/>
      <c r="U3113" s="42"/>
      <c r="V3113" s="42"/>
      <c r="W3113" s="42"/>
      <c r="X3113" s="42"/>
      <c r="Y3113" s="42"/>
      <c r="Z3113" s="42"/>
      <c r="AA3113" s="42"/>
      <c r="AB3113" s="42" t="str">
        <f>IFERROR(__xludf.DUMMYFUNCTION("""COMPUTED_VALUE"""),"allen institute")</f>
        <v>allen institute</v>
      </c>
      <c r="AC3113" s="42" t="str">
        <f>IFERROR(__xludf.DUMMYFUNCTION("""COMPUTED_VALUE"""),"DHBA")</f>
        <v>DHBA</v>
      </c>
      <c r="AD3113" s="42"/>
      <c r="AE3113" s="42"/>
      <c r="AF3113" s="9"/>
      <c r="AG3113" s="9"/>
      <c r="AH3113" s="42"/>
      <c r="AI3113" s="42"/>
      <c r="AJ3113" s="42"/>
      <c r="AK3113" s="42"/>
      <c r="AL3113" s="42"/>
      <c r="AM3113" s="42"/>
      <c r="AN3113" s="42"/>
      <c r="AO3113" s="63" t="str">
        <f>IFERROR(__xludf.DUMMYFUNCTION("IF(ISBLANK(A3113),,IF(ISBLANK(S3113), A3113&amp;"";"", TEXTJOIN(CHAR(10), TRUE, A3113&amp;"";"", ARRAYFORMULA(VLOOKUP(SPLIT(S3113, "";"" &amp; CHAR(10)), $A:$AO, 41, FALSE)))))"),"NA/A;")</f>
        <v>NA/A;</v>
      </c>
      <c r="AP3113" s="89"/>
    </row>
    <row r="3114">
      <c r="A3114" s="151" t="str">
        <f>IFERROR(__xludf.DUMMYFUNCTION("""COMPUTED_VALUE"""),"RVRG")</f>
        <v>RVRG</v>
      </c>
      <c r="B3114" s="42" t="str">
        <f>IFERROR(__xludf.DUMMYFUNCTION("""COMPUTED_VALUE"""),"DHBA")</f>
        <v>DHBA</v>
      </c>
      <c r="C3114" s="42" t="str">
        <f>IFERROR(__xludf.DUMMYFUNCTION("""COMPUTED_VALUE"""),"rostral ventral respiratory cell group")</f>
        <v>rostral ventral respiratory cell group</v>
      </c>
      <c r="D3114" s="42">
        <f>IFERROR(__xludf.DUMMYFUNCTION("""COMPUTED_VALUE"""),2969.0)</f>
        <v>2969</v>
      </c>
      <c r="E3114" s="39" t="str">
        <f>IFERROR(__xludf.DUMMYFUNCTION("""COMPUTED_VALUE"""),"rostral ventral respiratory cell group")</f>
        <v>rostral ventral respiratory cell group</v>
      </c>
      <c r="F3114" s="9" t="str">
        <f>IFERROR(__xludf.DUMMYFUNCTION("""COMPUTED_VALUE"""),"Br")</f>
        <v>Br</v>
      </c>
      <c r="G3114" s="9" t="str">
        <f>IFERROR(__xludf.DUMMYFUNCTION("""COMPUTED_VALUE"""),"H")</f>
        <v>H</v>
      </c>
      <c r="H3114" s="9" t="str">
        <f>IFERROR(__xludf.DUMMYFUNCTION("""COMPUTED_VALUE"""),"HGM")</f>
        <v>HGM</v>
      </c>
      <c r="I3114" s="9" t="str">
        <f>IFERROR(__xludf.DUMMYFUNCTION("""COMPUTED_VALUE"""),"Mo")</f>
        <v>Mo</v>
      </c>
      <c r="J3114" s="9" t="str">
        <f>IFERROR(__xludf.DUMMYFUNCTION("""COMPUTED_VALUE"""),"MoTg")</f>
        <v>MoTg</v>
      </c>
      <c r="K3114" s="9" t="str">
        <f>IFERROR(__xludf.DUMMYFUNCTION("""COMPUTED_VALUE"""),"MoRF")</f>
        <v>MoRF</v>
      </c>
      <c r="L3114" s="9" t="str">
        <f>IFERROR(__xludf.DUMMYFUNCTION("""COMPUTED_VALUE"""),"IRt")</f>
        <v>IRt</v>
      </c>
      <c r="M3114" s="9" t="str">
        <f>IFERROR(__xludf.DUMMYFUNCTION("""COMPUTED_VALUE"""),"RVRG")</f>
        <v>RVRG</v>
      </c>
      <c r="N3114" s="9"/>
      <c r="O3114" s="9"/>
      <c r="P3114" s="9"/>
      <c r="Q3114" s="9"/>
      <c r="R3114" s="9"/>
      <c r="S3114" s="42"/>
      <c r="T3114" s="42"/>
      <c r="U3114" s="42"/>
      <c r="V3114" s="42"/>
      <c r="W3114" s="42"/>
      <c r="X3114" s="42"/>
      <c r="Y3114" s="42"/>
      <c r="Z3114" s="42"/>
      <c r="AA3114" s="42"/>
      <c r="AB3114" s="42" t="str">
        <f>IFERROR(__xludf.DUMMYFUNCTION("""COMPUTED_VALUE"""),"allen institute")</f>
        <v>allen institute</v>
      </c>
      <c r="AC3114" s="42" t="str">
        <f>IFERROR(__xludf.DUMMYFUNCTION("""COMPUTED_VALUE"""),"DHBA")</f>
        <v>DHBA</v>
      </c>
      <c r="AD3114" s="42"/>
      <c r="AE3114" s="42"/>
      <c r="AF3114" s="9"/>
      <c r="AG3114" s="9"/>
      <c r="AH3114" s="42"/>
      <c r="AI3114" s="42"/>
      <c r="AJ3114" s="42"/>
      <c r="AK3114" s="42"/>
      <c r="AL3114" s="42"/>
      <c r="AM3114" s="42"/>
      <c r="AN3114" s="42"/>
      <c r="AO3114" s="63" t="str">
        <f>IFERROR(__xludf.DUMMYFUNCTION("IF(ISBLANK(A3114),,IF(ISBLANK(S3114), A3114&amp;"";"", TEXTJOIN(CHAR(10), TRUE, A3114&amp;"";"", ARRAYFORMULA(VLOOKUP(SPLIT(S3114, "";"" &amp; CHAR(10)), $A:$AO, 41, FALSE)))))"),"RVRG;")</f>
        <v>RVRG;</v>
      </c>
      <c r="AP3114" s="89"/>
    </row>
    <row r="3115">
      <c r="A3115" s="151" t="str">
        <f>IFERROR(__xludf.DUMMYFUNCTION("""COMPUTED_VALUE"""),"RVL")</f>
        <v>RVL</v>
      </c>
      <c r="B3115" s="42" t="str">
        <f>IFERROR(__xludf.DUMMYFUNCTION("""COMPUTED_VALUE"""),"DHBA")</f>
        <v>DHBA</v>
      </c>
      <c r="C3115" s="42" t="str">
        <f>IFERROR(__xludf.DUMMYFUNCTION("""COMPUTED_VALUE"""),"rostroventrolateral reticular nucleus of hindbrain")</f>
        <v>rostroventrolateral reticular nucleus of hindbrain</v>
      </c>
      <c r="D3115" s="42">
        <f>IFERROR(__xludf.DUMMYFUNCTION("""COMPUTED_VALUE"""),2970.0)</f>
        <v>2970</v>
      </c>
      <c r="E3115" s="39" t="str">
        <f>IFERROR(__xludf.DUMMYFUNCTION("""COMPUTED_VALUE"""),"rostroventrolateral reticular nucleus of hindbrain")</f>
        <v>rostroventrolateral reticular nucleus of hindbrain</v>
      </c>
      <c r="F3115" s="9" t="str">
        <f>IFERROR(__xludf.DUMMYFUNCTION("""COMPUTED_VALUE"""),"Br")</f>
        <v>Br</v>
      </c>
      <c r="G3115" s="9" t="str">
        <f>IFERROR(__xludf.DUMMYFUNCTION("""COMPUTED_VALUE"""),"H")</f>
        <v>H</v>
      </c>
      <c r="H3115" s="9" t="str">
        <f>IFERROR(__xludf.DUMMYFUNCTION("""COMPUTED_VALUE"""),"HGM")</f>
        <v>HGM</v>
      </c>
      <c r="I3115" s="9" t="str">
        <f>IFERROR(__xludf.DUMMYFUNCTION("""COMPUTED_VALUE"""),"Mo")</f>
        <v>Mo</v>
      </c>
      <c r="J3115" s="9" t="str">
        <f>IFERROR(__xludf.DUMMYFUNCTION("""COMPUTED_VALUE"""),"MoTg")</f>
        <v>MoTg</v>
      </c>
      <c r="K3115" s="9" t="str">
        <f>IFERROR(__xludf.DUMMYFUNCTION("""COMPUTED_VALUE"""),"MoRF")</f>
        <v>MoRF</v>
      </c>
      <c r="L3115" s="9" t="str">
        <f>IFERROR(__xludf.DUMMYFUNCTION("""COMPUTED_VALUE"""),"IRt")</f>
        <v>IRt</v>
      </c>
      <c r="M3115" s="9" t="str">
        <f>IFERROR(__xludf.DUMMYFUNCTION("""COMPUTED_VALUE"""),"RVL")</f>
        <v>RVL</v>
      </c>
      <c r="N3115" s="9"/>
      <c r="O3115" s="9"/>
      <c r="P3115" s="9"/>
      <c r="Q3115" s="9"/>
      <c r="R3115" s="9"/>
      <c r="S3115" s="42"/>
      <c r="T3115" s="42"/>
      <c r="U3115" s="42"/>
      <c r="V3115" s="42"/>
      <c r="W3115" s="42"/>
      <c r="X3115" s="42"/>
      <c r="Y3115" s="42"/>
      <c r="Z3115" s="42"/>
      <c r="AA3115" s="42"/>
      <c r="AB3115" s="42" t="str">
        <f>IFERROR(__xludf.DUMMYFUNCTION("""COMPUTED_VALUE"""),"allen institute")</f>
        <v>allen institute</v>
      </c>
      <c r="AC3115" s="42" t="str">
        <f>IFERROR(__xludf.DUMMYFUNCTION("""COMPUTED_VALUE"""),"DHBA")</f>
        <v>DHBA</v>
      </c>
      <c r="AD3115" s="42"/>
      <c r="AE3115" s="42"/>
      <c r="AF3115" s="9"/>
      <c r="AG3115" s="9"/>
      <c r="AH3115" s="42"/>
      <c r="AI3115" s="42"/>
      <c r="AJ3115" s="42"/>
      <c r="AK3115" s="42"/>
      <c r="AL3115" s="42"/>
      <c r="AM3115" s="42"/>
      <c r="AN3115" s="42"/>
      <c r="AO3115" s="63" t="str">
        <f>IFERROR(__xludf.DUMMYFUNCTION("IF(ISBLANK(A3115),,IF(ISBLANK(S3115), A3115&amp;"";"", TEXTJOIN(CHAR(10), TRUE, A3115&amp;"";"", ARRAYFORMULA(VLOOKUP(SPLIT(S3115, "";"" &amp; CHAR(10)), $A:$AO, 41, FALSE)))))"),"RVL;")</f>
        <v>RVL;</v>
      </c>
      <c r="AP3115" s="89"/>
    </row>
    <row r="3116">
      <c r="A3116" s="151" t="str">
        <f>IFERROR(__xludf.DUMMYFUNCTION("""COMPUTED_VALUE"""),"GiRt")</f>
        <v>GiRt</v>
      </c>
      <c r="B3116" s="42" t="str">
        <f>IFERROR(__xludf.DUMMYFUNCTION("""COMPUTED_VALUE"""),"DHBA")</f>
        <v>DHBA</v>
      </c>
      <c r="C3116" s="42" t="str">
        <f>IFERROR(__xludf.DUMMYFUNCTION("""COMPUTED_VALUE"""),"gigantocellular reticular nuclei, Nucleus gigantocellularis, GS")</f>
        <v>gigantocellular reticular nuclei, Nucleus gigantocellularis, GS</v>
      </c>
      <c r="D3116" s="42">
        <f>IFERROR(__xludf.DUMMYFUNCTION("""COMPUTED_VALUE"""),2971.0)</f>
        <v>2971</v>
      </c>
      <c r="E3116" s="39" t="str">
        <f>IFERROR(__xludf.DUMMYFUNCTION("""COMPUTED_VALUE"""),"gigantocellular reticular nuclei")</f>
        <v>gigantocellular reticular nuclei</v>
      </c>
      <c r="F3116" s="9" t="str">
        <f>IFERROR(__xludf.DUMMYFUNCTION("""COMPUTED_VALUE"""),"Br")</f>
        <v>Br</v>
      </c>
      <c r="G3116" s="9" t="str">
        <f>IFERROR(__xludf.DUMMYFUNCTION("""COMPUTED_VALUE"""),"H")</f>
        <v>H</v>
      </c>
      <c r="H3116" s="9" t="str">
        <f>IFERROR(__xludf.DUMMYFUNCTION("""COMPUTED_VALUE"""),"HGM")</f>
        <v>HGM</v>
      </c>
      <c r="I3116" s="9" t="str">
        <f>IFERROR(__xludf.DUMMYFUNCTION("""COMPUTED_VALUE"""),"Mo")</f>
        <v>Mo</v>
      </c>
      <c r="J3116" s="9" t="str">
        <f>IFERROR(__xludf.DUMMYFUNCTION("""COMPUTED_VALUE"""),"MoTg")</f>
        <v>MoTg</v>
      </c>
      <c r="K3116" s="9" t="str">
        <f>IFERROR(__xludf.DUMMYFUNCTION("""COMPUTED_VALUE"""),"MoRF")</f>
        <v>MoRF</v>
      </c>
      <c r="L3116" s="9" t="str">
        <f>IFERROR(__xludf.DUMMYFUNCTION("""COMPUTED_VALUE"""),"GiRt")</f>
        <v>GiRt</v>
      </c>
      <c r="M3116" s="9"/>
      <c r="N3116" s="9"/>
      <c r="O3116" s="9"/>
      <c r="P3116" s="9"/>
      <c r="Q3116" s="9"/>
      <c r="R3116" s="9"/>
      <c r="S3116" s="42" t="str">
        <f>IFERROR(__xludf.DUMMYFUNCTION("""COMPUTED_VALUE"""),"GiRtA;
LPGi;
PGi;
GiRtV")</f>
        <v>GiRtA;
LPGi;
PGi;
GiRtV</v>
      </c>
      <c r="T3116" s="42"/>
      <c r="U3116" s="42" t="b">
        <f>IFERROR(__xludf.DUMMYFUNCTION("""COMPUTED_VALUE"""),FALSE)</f>
        <v>0</v>
      </c>
      <c r="V3116" s="42"/>
      <c r="W3116" s="42"/>
      <c r="X3116" s="42"/>
      <c r="Y3116" s="42"/>
      <c r="Z3116" s="42"/>
      <c r="AA3116" s="42"/>
      <c r="AB3116" s="42" t="str">
        <f>IFERROR(__xludf.DUMMYFUNCTION("""COMPUTED_VALUE"""),"allen institute")</f>
        <v>allen institute</v>
      </c>
      <c r="AC3116" s="42" t="str">
        <f>IFERROR(__xludf.DUMMYFUNCTION("""COMPUTED_VALUE"""),"DHBA")</f>
        <v>DHBA</v>
      </c>
      <c r="AD3116" s="42"/>
      <c r="AE3116" s="42"/>
      <c r="AF3116" s="9"/>
      <c r="AG3116" s="9"/>
      <c r="AH3116" s="42"/>
      <c r="AI3116" s="42"/>
      <c r="AJ3116" s="42"/>
      <c r="AK3116" s="42"/>
      <c r="AL3116" s="42"/>
      <c r="AM3116" s="42"/>
      <c r="AN3116" s="42"/>
      <c r="AO3116" s="63" t="str">
        <f>IFERROR(__xludf.DUMMYFUNCTION("IF(ISBLANK(A3116),,IF(ISBLANK(S3116), A3116&amp;"";"", TEXTJOIN(CHAR(10), TRUE, A3116&amp;"";"", ARRAYFORMULA(VLOOKUP(SPLIT(S3116, "";"" &amp; CHAR(10)), $A:$AO, 41, FALSE)))))"),"GiRt;
GiRtA;
LPGi;
PGi;
APGi;
DPGi;
GiRtV;")</f>
        <v>GiRt;
GiRtA;
LPGi;
PGi;
APGi;
DPGi;
GiRtV;</v>
      </c>
      <c r="AP3116" s="89"/>
    </row>
    <row r="3117">
      <c r="A3117" s="151" t="str">
        <f>IFERROR(__xludf.DUMMYFUNCTION("""COMPUTED_VALUE"""),"GiRtA")</f>
        <v>GiRtA</v>
      </c>
      <c r="B3117" s="42" t="str">
        <f>IFERROR(__xludf.DUMMYFUNCTION("""COMPUTED_VALUE"""),"DHBA")</f>
        <v>DHBA</v>
      </c>
      <c r="C3117" s="42" t="str">
        <f>IFERROR(__xludf.DUMMYFUNCTION("""COMPUTED_VALUE"""),"alpha gigantocellular reticular nucleus")</f>
        <v>alpha gigantocellular reticular nucleus</v>
      </c>
      <c r="D3117" s="42">
        <f>IFERROR(__xludf.DUMMYFUNCTION("""COMPUTED_VALUE"""),2972.0)</f>
        <v>2972</v>
      </c>
      <c r="E3117" s="39" t="str">
        <f>IFERROR(__xludf.DUMMYFUNCTION("""COMPUTED_VALUE"""),"alpha gigantocellular reticular nucleus")</f>
        <v>alpha gigantocellular reticular nucleus</v>
      </c>
      <c r="F3117" s="9" t="str">
        <f>IFERROR(__xludf.DUMMYFUNCTION("""COMPUTED_VALUE"""),"Br")</f>
        <v>Br</v>
      </c>
      <c r="G3117" s="9" t="str">
        <f>IFERROR(__xludf.DUMMYFUNCTION("""COMPUTED_VALUE"""),"H")</f>
        <v>H</v>
      </c>
      <c r="H3117" s="9" t="str">
        <f>IFERROR(__xludf.DUMMYFUNCTION("""COMPUTED_VALUE"""),"HGM")</f>
        <v>HGM</v>
      </c>
      <c r="I3117" s="9" t="str">
        <f>IFERROR(__xludf.DUMMYFUNCTION("""COMPUTED_VALUE"""),"Mo")</f>
        <v>Mo</v>
      </c>
      <c r="J3117" s="9" t="str">
        <f>IFERROR(__xludf.DUMMYFUNCTION("""COMPUTED_VALUE"""),"MoTg")</f>
        <v>MoTg</v>
      </c>
      <c r="K3117" s="9" t="str">
        <f>IFERROR(__xludf.DUMMYFUNCTION("""COMPUTED_VALUE"""),"MoRF")</f>
        <v>MoRF</v>
      </c>
      <c r="L3117" s="9" t="str">
        <f>IFERROR(__xludf.DUMMYFUNCTION("""COMPUTED_VALUE"""),"GiRt")</f>
        <v>GiRt</v>
      </c>
      <c r="M3117" s="9" t="str">
        <f>IFERROR(__xludf.DUMMYFUNCTION("""COMPUTED_VALUE"""),"GiRtA")</f>
        <v>GiRtA</v>
      </c>
      <c r="N3117" s="9"/>
      <c r="O3117" s="9"/>
      <c r="P3117" s="9"/>
      <c r="Q3117" s="9"/>
      <c r="R3117" s="9"/>
      <c r="S3117" s="42"/>
      <c r="T3117" s="42"/>
      <c r="U3117" s="42"/>
      <c r="V3117" s="42"/>
      <c r="W3117" s="42"/>
      <c r="X3117" s="42"/>
      <c r="Y3117" s="42"/>
      <c r="Z3117" s="42"/>
      <c r="AA3117" s="42"/>
      <c r="AB3117" s="42" t="str">
        <f>IFERROR(__xludf.DUMMYFUNCTION("""COMPUTED_VALUE"""),"allen institute")</f>
        <v>allen institute</v>
      </c>
      <c r="AC3117" s="42" t="str">
        <f>IFERROR(__xludf.DUMMYFUNCTION("""COMPUTED_VALUE"""),"DHBA")</f>
        <v>DHBA</v>
      </c>
      <c r="AD3117" s="42"/>
      <c r="AE3117" s="42"/>
      <c r="AF3117" s="9"/>
      <c r="AG3117" s="9"/>
      <c r="AH3117" s="42"/>
      <c r="AI3117" s="42"/>
      <c r="AJ3117" s="42"/>
      <c r="AK3117" s="42"/>
      <c r="AL3117" s="42"/>
      <c r="AM3117" s="42"/>
      <c r="AN3117" s="42"/>
      <c r="AO3117" s="63" t="str">
        <f>IFERROR(__xludf.DUMMYFUNCTION("IF(ISBLANK(A3117),,IF(ISBLANK(S3117), A3117&amp;"";"", TEXTJOIN(CHAR(10), TRUE, A3117&amp;"";"", ARRAYFORMULA(VLOOKUP(SPLIT(S3117, "";"" &amp; CHAR(10)), $A:$AO, 41, FALSE)))))"),"GiRtA;")</f>
        <v>GiRtA;</v>
      </c>
      <c r="AP3117" s="89"/>
    </row>
    <row r="3118">
      <c r="A3118" s="151" t="str">
        <f>IFERROR(__xludf.DUMMYFUNCTION("""COMPUTED_VALUE"""),"LPGi")</f>
        <v>LPGi</v>
      </c>
      <c r="B3118" s="42" t="str">
        <f>IFERROR(__xludf.DUMMYFUNCTION("""COMPUTED_VALUE"""),"DHBA")</f>
        <v>DHBA</v>
      </c>
      <c r="C3118" s="42" t="str">
        <f>IFERROR(__xludf.DUMMYFUNCTION("""COMPUTED_VALUE"""),"lateral paragigantocellular nucleus")</f>
        <v>lateral paragigantocellular nucleus</v>
      </c>
      <c r="D3118" s="42">
        <f>IFERROR(__xludf.DUMMYFUNCTION("""COMPUTED_VALUE"""),2973.0)</f>
        <v>2973</v>
      </c>
      <c r="E3118" s="39" t="str">
        <f>IFERROR(__xludf.DUMMYFUNCTION("""COMPUTED_VALUE"""),"lateral paragigantocellular nucleus")</f>
        <v>lateral paragigantocellular nucleus</v>
      </c>
      <c r="F3118" s="9" t="str">
        <f>IFERROR(__xludf.DUMMYFUNCTION("""COMPUTED_VALUE"""),"Br")</f>
        <v>Br</v>
      </c>
      <c r="G3118" s="9" t="str">
        <f>IFERROR(__xludf.DUMMYFUNCTION("""COMPUTED_VALUE"""),"H")</f>
        <v>H</v>
      </c>
      <c r="H3118" s="9" t="str">
        <f>IFERROR(__xludf.DUMMYFUNCTION("""COMPUTED_VALUE"""),"HGM")</f>
        <v>HGM</v>
      </c>
      <c r="I3118" s="9" t="str">
        <f>IFERROR(__xludf.DUMMYFUNCTION("""COMPUTED_VALUE"""),"Mo")</f>
        <v>Mo</v>
      </c>
      <c r="J3118" s="9" t="str">
        <f>IFERROR(__xludf.DUMMYFUNCTION("""COMPUTED_VALUE"""),"MoTg")</f>
        <v>MoTg</v>
      </c>
      <c r="K3118" s="9" t="str">
        <f>IFERROR(__xludf.DUMMYFUNCTION("""COMPUTED_VALUE"""),"MoRF")</f>
        <v>MoRF</v>
      </c>
      <c r="L3118" s="9" t="str">
        <f>IFERROR(__xludf.DUMMYFUNCTION("""COMPUTED_VALUE"""),"GiRt")</f>
        <v>GiRt</v>
      </c>
      <c r="M3118" s="9" t="str">
        <f>IFERROR(__xludf.DUMMYFUNCTION("""COMPUTED_VALUE"""),"LPGi")</f>
        <v>LPGi</v>
      </c>
      <c r="N3118" s="9"/>
      <c r="O3118" s="9"/>
      <c r="P3118" s="9"/>
      <c r="Q3118" s="9"/>
      <c r="R3118" s="9"/>
      <c r="S3118" s="42"/>
      <c r="T3118" s="42"/>
      <c r="U3118" s="42"/>
      <c r="V3118" s="42"/>
      <c r="W3118" s="42"/>
      <c r="X3118" s="42"/>
      <c r="Y3118" s="42"/>
      <c r="Z3118" s="42"/>
      <c r="AA3118" s="42"/>
      <c r="AB3118" s="42" t="str">
        <f>IFERROR(__xludf.DUMMYFUNCTION("""COMPUTED_VALUE"""),"allen institute")</f>
        <v>allen institute</v>
      </c>
      <c r="AC3118" s="42" t="str">
        <f>IFERROR(__xludf.DUMMYFUNCTION("""COMPUTED_VALUE"""),"DHBA")</f>
        <v>DHBA</v>
      </c>
      <c r="AD3118" s="42"/>
      <c r="AE3118" s="42"/>
      <c r="AF3118" s="9"/>
      <c r="AG3118" s="9"/>
      <c r="AH3118" s="42"/>
      <c r="AI3118" s="42"/>
      <c r="AJ3118" s="42"/>
      <c r="AK3118" s="42"/>
      <c r="AL3118" s="42"/>
      <c r="AM3118" s="42"/>
      <c r="AN3118" s="42"/>
      <c r="AO3118" s="63" t="str">
        <f>IFERROR(__xludf.DUMMYFUNCTION("IF(ISBLANK(A3118),,IF(ISBLANK(S3118), A3118&amp;"";"", TEXTJOIN(CHAR(10), TRUE, A3118&amp;"";"", ARRAYFORMULA(VLOOKUP(SPLIT(S3118, "";"" &amp; CHAR(10)), $A:$AO, 41, FALSE)))))"),"LPGi;")</f>
        <v>LPGi;</v>
      </c>
      <c r="AP3118" s="89"/>
    </row>
    <row r="3119">
      <c r="A3119" s="151" t="str">
        <f>IFERROR(__xludf.DUMMYFUNCTION("""COMPUTED_VALUE"""),"PGi")</f>
        <v>PGi</v>
      </c>
      <c r="B3119" s="42" t="str">
        <f>IFERROR(__xludf.DUMMYFUNCTION("""COMPUTED_VALUE"""),"DHBA")</f>
        <v>DHBA</v>
      </c>
      <c r="C3119" s="42" t="str">
        <f>IFERROR(__xludf.DUMMYFUNCTION("""COMPUTED_VALUE"""),"paragigantocellular nucleus, Nucleus paragigantocellularis, pGS")</f>
        <v>paragigantocellular nucleus, Nucleus paragigantocellularis, pGS</v>
      </c>
      <c r="D3119" s="42">
        <f>IFERROR(__xludf.DUMMYFUNCTION("""COMPUTED_VALUE"""),2974.0)</f>
        <v>2974</v>
      </c>
      <c r="E3119" s="39" t="str">
        <f>IFERROR(__xludf.DUMMYFUNCTION("""COMPUTED_VALUE"""),"paragigantocellular nucleus")</f>
        <v>paragigantocellular nucleus</v>
      </c>
      <c r="F3119" s="9" t="str">
        <f>IFERROR(__xludf.DUMMYFUNCTION("""COMPUTED_VALUE"""),"Br")</f>
        <v>Br</v>
      </c>
      <c r="G3119" s="9" t="str">
        <f>IFERROR(__xludf.DUMMYFUNCTION("""COMPUTED_VALUE"""),"H")</f>
        <v>H</v>
      </c>
      <c r="H3119" s="9" t="str">
        <f>IFERROR(__xludf.DUMMYFUNCTION("""COMPUTED_VALUE"""),"HGM")</f>
        <v>HGM</v>
      </c>
      <c r="I3119" s="9" t="str">
        <f>IFERROR(__xludf.DUMMYFUNCTION("""COMPUTED_VALUE"""),"Mo")</f>
        <v>Mo</v>
      </c>
      <c r="J3119" s="9" t="str">
        <f>IFERROR(__xludf.DUMMYFUNCTION("""COMPUTED_VALUE"""),"MoTg")</f>
        <v>MoTg</v>
      </c>
      <c r="K3119" s="9" t="str">
        <f>IFERROR(__xludf.DUMMYFUNCTION("""COMPUTED_VALUE"""),"MoRF")</f>
        <v>MoRF</v>
      </c>
      <c r="L3119" s="9" t="str">
        <f>IFERROR(__xludf.DUMMYFUNCTION("""COMPUTED_VALUE"""),"GiRt")</f>
        <v>GiRt</v>
      </c>
      <c r="M3119" s="9" t="str">
        <f>IFERROR(__xludf.DUMMYFUNCTION("""COMPUTED_VALUE"""),"PGi")</f>
        <v>PGi</v>
      </c>
      <c r="N3119" s="9"/>
      <c r="O3119" s="9"/>
      <c r="P3119" s="9"/>
      <c r="Q3119" s="9"/>
      <c r="R3119" s="9"/>
      <c r="S3119" s="42" t="str">
        <f>IFERROR(__xludf.DUMMYFUNCTION("""COMPUTED_VALUE"""),"APGi;
DPGi")</f>
        <v>APGi;
DPGi</v>
      </c>
      <c r="T3119" s="42"/>
      <c r="U3119" s="42" t="b">
        <f>IFERROR(__xludf.DUMMYFUNCTION("""COMPUTED_VALUE"""),FALSE)</f>
        <v>0</v>
      </c>
      <c r="V3119" s="42"/>
      <c r="W3119" s="42"/>
      <c r="X3119" s="42"/>
      <c r="Y3119" s="42"/>
      <c r="Z3119" s="42"/>
      <c r="AA3119" s="42"/>
      <c r="AB3119" s="42" t="str">
        <f>IFERROR(__xludf.DUMMYFUNCTION("""COMPUTED_VALUE"""),"allen institute")</f>
        <v>allen institute</v>
      </c>
      <c r="AC3119" s="42" t="str">
        <f>IFERROR(__xludf.DUMMYFUNCTION("""COMPUTED_VALUE"""),"DHBA")</f>
        <v>DHBA</v>
      </c>
      <c r="AD3119" s="42"/>
      <c r="AE3119" s="42"/>
      <c r="AF3119" s="9"/>
      <c r="AG3119" s="9"/>
      <c r="AH3119" s="42"/>
      <c r="AI3119" s="42"/>
      <c r="AJ3119" s="42"/>
      <c r="AK3119" s="42"/>
      <c r="AL3119" s="42"/>
      <c r="AM3119" s="42"/>
      <c r="AN3119" s="42"/>
      <c r="AO3119" s="63" t="str">
        <f>IFERROR(__xludf.DUMMYFUNCTION("IF(ISBLANK(A3119),,IF(ISBLANK(S3119), A3119&amp;"";"", TEXTJOIN(CHAR(10), TRUE, A3119&amp;"";"", ARRAYFORMULA(VLOOKUP(SPLIT(S3119, "";"" &amp; CHAR(10)), $A:$AO, 41, FALSE)))))"),"PGi;
APGi;
DPGi;")</f>
        <v>PGi;
APGi;
DPGi;</v>
      </c>
      <c r="AP3119" s="89"/>
    </row>
    <row r="3120">
      <c r="A3120" s="151" t="str">
        <f>IFERROR(__xludf.DUMMYFUNCTION("""COMPUTED_VALUE"""),"APGi")</f>
        <v>APGi</v>
      </c>
      <c r="B3120" s="42" t="str">
        <f>IFERROR(__xludf.DUMMYFUNCTION("""COMPUTED_VALUE"""),"DHBA")</f>
        <v>DHBA</v>
      </c>
      <c r="C3120" s="42" t="str">
        <f>IFERROR(__xludf.DUMMYFUNCTION("""COMPUTED_VALUE"""),"alpha part of paragigantocellular nucleus")</f>
        <v>alpha part of paragigantocellular nucleus</v>
      </c>
      <c r="D3120" s="42">
        <f>IFERROR(__xludf.DUMMYFUNCTION("""COMPUTED_VALUE"""),2975.0)</f>
        <v>2975</v>
      </c>
      <c r="E3120" s="39" t="str">
        <f>IFERROR(__xludf.DUMMYFUNCTION("""COMPUTED_VALUE"""),"alpha part of paragigantocellular nucleus")</f>
        <v>alpha part of paragigantocellular nucleus</v>
      </c>
      <c r="F3120" s="9" t="str">
        <f>IFERROR(__xludf.DUMMYFUNCTION("""COMPUTED_VALUE"""),"Br")</f>
        <v>Br</v>
      </c>
      <c r="G3120" s="9" t="str">
        <f>IFERROR(__xludf.DUMMYFUNCTION("""COMPUTED_VALUE"""),"H")</f>
        <v>H</v>
      </c>
      <c r="H3120" s="9" t="str">
        <f>IFERROR(__xludf.DUMMYFUNCTION("""COMPUTED_VALUE"""),"HGM")</f>
        <v>HGM</v>
      </c>
      <c r="I3120" s="9" t="str">
        <f>IFERROR(__xludf.DUMMYFUNCTION("""COMPUTED_VALUE"""),"Mo")</f>
        <v>Mo</v>
      </c>
      <c r="J3120" s="9" t="str">
        <f>IFERROR(__xludf.DUMMYFUNCTION("""COMPUTED_VALUE"""),"MoTg")</f>
        <v>MoTg</v>
      </c>
      <c r="K3120" s="9" t="str">
        <f>IFERROR(__xludf.DUMMYFUNCTION("""COMPUTED_VALUE"""),"MoRF")</f>
        <v>MoRF</v>
      </c>
      <c r="L3120" s="9" t="str">
        <f>IFERROR(__xludf.DUMMYFUNCTION("""COMPUTED_VALUE"""),"GiRt")</f>
        <v>GiRt</v>
      </c>
      <c r="M3120" s="9" t="str">
        <f>IFERROR(__xludf.DUMMYFUNCTION("""COMPUTED_VALUE"""),"PGi")</f>
        <v>PGi</v>
      </c>
      <c r="N3120" s="9" t="str">
        <f>IFERROR(__xludf.DUMMYFUNCTION("""COMPUTED_VALUE"""),"APGi")</f>
        <v>APGi</v>
      </c>
      <c r="O3120" s="9"/>
      <c r="P3120" s="9"/>
      <c r="Q3120" s="9"/>
      <c r="R3120" s="9"/>
      <c r="S3120" s="42"/>
      <c r="T3120" s="42"/>
      <c r="U3120" s="42"/>
      <c r="V3120" s="42"/>
      <c r="W3120" s="42"/>
      <c r="X3120" s="42"/>
      <c r="Y3120" s="42"/>
      <c r="Z3120" s="42"/>
      <c r="AA3120" s="42"/>
      <c r="AB3120" s="42" t="str">
        <f>IFERROR(__xludf.DUMMYFUNCTION("""COMPUTED_VALUE"""),"allen institute")</f>
        <v>allen institute</v>
      </c>
      <c r="AC3120" s="42" t="str">
        <f>IFERROR(__xludf.DUMMYFUNCTION("""COMPUTED_VALUE"""),"DHBA")</f>
        <v>DHBA</v>
      </c>
      <c r="AD3120" s="42"/>
      <c r="AE3120" s="42"/>
      <c r="AF3120" s="9"/>
      <c r="AG3120" s="9"/>
      <c r="AH3120" s="42"/>
      <c r="AI3120" s="42"/>
      <c r="AJ3120" s="42"/>
      <c r="AK3120" s="42"/>
      <c r="AL3120" s="42"/>
      <c r="AM3120" s="42"/>
      <c r="AN3120" s="42"/>
      <c r="AO3120" s="63" t="str">
        <f>IFERROR(__xludf.DUMMYFUNCTION("IF(ISBLANK(A3120),,IF(ISBLANK(S3120), A3120&amp;"";"", TEXTJOIN(CHAR(10), TRUE, A3120&amp;"";"", ARRAYFORMULA(VLOOKUP(SPLIT(S3120, "";"" &amp; CHAR(10)), $A:$AO, 41, FALSE)))))"),"APGi;")</f>
        <v>APGi;</v>
      </c>
      <c r="AP3120" s="89"/>
    </row>
    <row r="3121">
      <c r="A3121" s="151" t="str">
        <f>IFERROR(__xludf.DUMMYFUNCTION("""COMPUTED_VALUE"""),"DPGi")</f>
        <v>DPGi</v>
      </c>
      <c r="B3121" s="42" t="str">
        <f>IFERROR(__xludf.DUMMYFUNCTION("""COMPUTED_VALUE"""),"DHBA")</f>
        <v>DHBA</v>
      </c>
      <c r="C3121" s="42" t="str">
        <f>IFERROR(__xludf.DUMMYFUNCTION("""COMPUTED_VALUE"""),"dorsal paragigantocellular nucleus")</f>
        <v>dorsal paragigantocellular nucleus</v>
      </c>
      <c r="D3121" s="42">
        <f>IFERROR(__xludf.DUMMYFUNCTION("""COMPUTED_VALUE"""),2976.0)</f>
        <v>2976</v>
      </c>
      <c r="E3121" s="39" t="str">
        <f>IFERROR(__xludf.DUMMYFUNCTION("""COMPUTED_VALUE"""),"dorsal paragigantocellular nucleus")</f>
        <v>dorsal paragigantocellular nucleus</v>
      </c>
      <c r="F3121" s="9" t="str">
        <f>IFERROR(__xludf.DUMMYFUNCTION("""COMPUTED_VALUE"""),"Br")</f>
        <v>Br</v>
      </c>
      <c r="G3121" s="9" t="str">
        <f>IFERROR(__xludf.DUMMYFUNCTION("""COMPUTED_VALUE"""),"H")</f>
        <v>H</v>
      </c>
      <c r="H3121" s="9" t="str">
        <f>IFERROR(__xludf.DUMMYFUNCTION("""COMPUTED_VALUE"""),"HGM")</f>
        <v>HGM</v>
      </c>
      <c r="I3121" s="9" t="str">
        <f>IFERROR(__xludf.DUMMYFUNCTION("""COMPUTED_VALUE"""),"Mo")</f>
        <v>Mo</v>
      </c>
      <c r="J3121" s="9" t="str">
        <f>IFERROR(__xludf.DUMMYFUNCTION("""COMPUTED_VALUE"""),"MoTg")</f>
        <v>MoTg</v>
      </c>
      <c r="K3121" s="9" t="str">
        <f>IFERROR(__xludf.DUMMYFUNCTION("""COMPUTED_VALUE"""),"MoRF")</f>
        <v>MoRF</v>
      </c>
      <c r="L3121" s="9" t="str">
        <f>IFERROR(__xludf.DUMMYFUNCTION("""COMPUTED_VALUE"""),"GiRt")</f>
        <v>GiRt</v>
      </c>
      <c r="M3121" s="9" t="str">
        <f>IFERROR(__xludf.DUMMYFUNCTION("""COMPUTED_VALUE"""),"PGi")</f>
        <v>PGi</v>
      </c>
      <c r="N3121" s="9" t="str">
        <f>IFERROR(__xludf.DUMMYFUNCTION("""COMPUTED_VALUE"""),"DPGi")</f>
        <v>DPGi</v>
      </c>
      <c r="O3121" s="9"/>
      <c r="P3121" s="9"/>
      <c r="Q3121" s="9"/>
      <c r="R3121" s="9"/>
      <c r="S3121" s="42"/>
      <c r="T3121" s="42"/>
      <c r="U3121" s="42"/>
      <c r="V3121" s="42"/>
      <c r="W3121" s="42"/>
      <c r="X3121" s="42"/>
      <c r="Y3121" s="42"/>
      <c r="Z3121" s="42"/>
      <c r="AA3121" s="42"/>
      <c r="AB3121" s="42" t="str">
        <f>IFERROR(__xludf.DUMMYFUNCTION("""COMPUTED_VALUE"""),"allen institute")</f>
        <v>allen institute</v>
      </c>
      <c r="AC3121" s="42" t="str">
        <f>IFERROR(__xludf.DUMMYFUNCTION("""COMPUTED_VALUE"""),"DHBA")</f>
        <v>DHBA</v>
      </c>
      <c r="AD3121" s="42"/>
      <c r="AE3121" s="42"/>
      <c r="AF3121" s="9"/>
      <c r="AG3121" s="9"/>
      <c r="AH3121" s="42"/>
      <c r="AI3121" s="42"/>
      <c r="AJ3121" s="42"/>
      <c r="AK3121" s="42"/>
      <c r="AL3121" s="42"/>
      <c r="AM3121" s="42"/>
      <c r="AN3121" s="42"/>
      <c r="AO3121" s="63" t="str">
        <f>IFERROR(__xludf.DUMMYFUNCTION("IF(ISBLANK(A3121),,IF(ISBLANK(S3121), A3121&amp;"";"", TEXTJOIN(CHAR(10), TRUE, A3121&amp;"";"", ARRAYFORMULA(VLOOKUP(SPLIT(S3121, "";"" &amp; CHAR(10)), $A:$AO, 41, FALSE)))))"),"DPGi;")</f>
        <v>DPGi;</v>
      </c>
      <c r="AP3121" s="89"/>
    </row>
    <row r="3122">
      <c r="A3122" s="151" t="str">
        <f>IFERROR(__xludf.DUMMYFUNCTION("""COMPUTED_VALUE"""),"GiRtV")</f>
        <v>GiRtV</v>
      </c>
      <c r="B3122" s="42" t="str">
        <f>IFERROR(__xludf.DUMMYFUNCTION("""COMPUTED_VALUE"""),"DHBA")</f>
        <v>DHBA</v>
      </c>
      <c r="C3122" s="42" t="str">
        <f>IFERROR(__xludf.DUMMYFUNCTION("""COMPUTED_VALUE"""),"ventral gigantocellular reticular nucleus")</f>
        <v>ventral gigantocellular reticular nucleus</v>
      </c>
      <c r="D3122" s="42">
        <f>IFERROR(__xludf.DUMMYFUNCTION("""COMPUTED_VALUE"""),2977.0)</f>
        <v>2977</v>
      </c>
      <c r="E3122" s="39" t="str">
        <f>IFERROR(__xludf.DUMMYFUNCTION("""COMPUTED_VALUE"""),"ventral gigantocellular reticular nucleus")</f>
        <v>ventral gigantocellular reticular nucleus</v>
      </c>
      <c r="F3122" s="9" t="str">
        <f>IFERROR(__xludf.DUMMYFUNCTION("""COMPUTED_VALUE"""),"Br")</f>
        <v>Br</v>
      </c>
      <c r="G3122" s="9" t="str">
        <f>IFERROR(__xludf.DUMMYFUNCTION("""COMPUTED_VALUE"""),"H")</f>
        <v>H</v>
      </c>
      <c r="H3122" s="9" t="str">
        <f>IFERROR(__xludf.DUMMYFUNCTION("""COMPUTED_VALUE"""),"HGM")</f>
        <v>HGM</v>
      </c>
      <c r="I3122" s="9" t="str">
        <f>IFERROR(__xludf.DUMMYFUNCTION("""COMPUTED_VALUE"""),"Mo")</f>
        <v>Mo</v>
      </c>
      <c r="J3122" s="9" t="str">
        <f>IFERROR(__xludf.DUMMYFUNCTION("""COMPUTED_VALUE"""),"MoTg")</f>
        <v>MoTg</v>
      </c>
      <c r="K3122" s="9" t="str">
        <f>IFERROR(__xludf.DUMMYFUNCTION("""COMPUTED_VALUE"""),"MoRF")</f>
        <v>MoRF</v>
      </c>
      <c r="L3122" s="9" t="str">
        <f>IFERROR(__xludf.DUMMYFUNCTION("""COMPUTED_VALUE"""),"GiRt")</f>
        <v>GiRt</v>
      </c>
      <c r="M3122" s="9" t="str">
        <f>IFERROR(__xludf.DUMMYFUNCTION("""COMPUTED_VALUE"""),"GiRtV")</f>
        <v>GiRtV</v>
      </c>
      <c r="N3122" s="9"/>
      <c r="O3122" s="9"/>
      <c r="P3122" s="9"/>
      <c r="Q3122" s="9"/>
      <c r="R3122" s="9"/>
      <c r="S3122" s="42"/>
      <c r="T3122" s="42"/>
      <c r="U3122" s="42"/>
      <c r="V3122" s="42"/>
      <c r="W3122" s="42"/>
      <c r="X3122" s="42"/>
      <c r="Y3122" s="42"/>
      <c r="Z3122" s="42"/>
      <c r="AA3122" s="42"/>
      <c r="AB3122" s="42" t="str">
        <f>IFERROR(__xludf.DUMMYFUNCTION("""COMPUTED_VALUE"""),"allen institute")</f>
        <v>allen institute</v>
      </c>
      <c r="AC3122" s="42" t="str">
        <f>IFERROR(__xludf.DUMMYFUNCTION("""COMPUTED_VALUE"""),"DHBA")</f>
        <v>DHBA</v>
      </c>
      <c r="AD3122" s="42"/>
      <c r="AE3122" s="42"/>
      <c r="AF3122" s="9"/>
      <c r="AG3122" s="9"/>
      <c r="AH3122" s="42"/>
      <c r="AI3122" s="42"/>
      <c r="AJ3122" s="42"/>
      <c r="AK3122" s="42"/>
      <c r="AL3122" s="42"/>
      <c r="AM3122" s="42"/>
      <c r="AN3122" s="42"/>
      <c r="AO3122" s="63" t="str">
        <f>IFERROR(__xludf.DUMMYFUNCTION("IF(ISBLANK(A3122),,IF(ISBLANK(S3122), A3122&amp;"";"", TEXTJOIN(CHAR(10), TRUE, A3122&amp;"";"", ARRAYFORMULA(VLOOKUP(SPLIT(S3122, "";"" &amp; CHAR(10)), $A:$AO, 41, FALSE)))))"),"GiRtV;")</f>
        <v>GiRtV;</v>
      </c>
      <c r="AP3122" s="89"/>
    </row>
    <row r="3123">
      <c r="A3123" s="151" t="str">
        <f>IFERROR(__xludf.DUMMYFUNCTION("""COMPUTED_VALUE"""),"LMRt")</f>
        <v>LMRt</v>
      </c>
      <c r="B3123" s="42" t="str">
        <f>IFERROR(__xludf.DUMMYFUNCTION("""COMPUTED_VALUE"""),"DHBA")</f>
        <v>DHBA</v>
      </c>
      <c r="C3123" s="42" t="str">
        <f>IFERROR(__xludf.DUMMYFUNCTION("""COMPUTED_VALUE"""),"lateral reticular nuclei")</f>
        <v>lateral reticular nuclei</v>
      </c>
      <c r="D3123" s="42">
        <f>IFERROR(__xludf.DUMMYFUNCTION("""COMPUTED_VALUE"""),2978.0)</f>
        <v>2978</v>
      </c>
      <c r="E3123" s="39" t="str">
        <f>IFERROR(__xludf.DUMMYFUNCTION("""COMPUTED_VALUE"""),"lateral reticular nuclei")</f>
        <v>lateral reticular nuclei</v>
      </c>
      <c r="F3123" s="9" t="str">
        <f>IFERROR(__xludf.DUMMYFUNCTION("""COMPUTED_VALUE"""),"Br")</f>
        <v>Br</v>
      </c>
      <c r="G3123" s="9" t="str">
        <f>IFERROR(__xludf.DUMMYFUNCTION("""COMPUTED_VALUE"""),"H")</f>
        <v>H</v>
      </c>
      <c r="H3123" s="9" t="str">
        <f>IFERROR(__xludf.DUMMYFUNCTION("""COMPUTED_VALUE"""),"HGM")</f>
        <v>HGM</v>
      </c>
      <c r="I3123" s="9" t="str">
        <f>IFERROR(__xludf.DUMMYFUNCTION("""COMPUTED_VALUE"""),"Mo")</f>
        <v>Mo</v>
      </c>
      <c r="J3123" s="9" t="str">
        <f>IFERROR(__xludf.DUMMYFUNCTION("""COMPUTED_VALUE"""),"MoTg")</f>
        <v>MoTg</v>
      </c>
      <c r="K3123" s="9" t="str">
        <f>IFERROR(__xludf.DUMMYFUNCTION("""COMPUTED_VALUE"""),"MoRF")</f>
        <v>MoRF</v>
      </c>
      <c r="L3123" s="9" t="str">
        <f>IFERROR(__xludf.DUMMYFUNCTION("""COMPUTED_VALUE"""),"LMRt")</f>
        <v>LMRt</v>
      </c>
      <c r="M3123" s="9"/>
      <c r="N3123" s="9"/>
      <c r="O3123" s="9"/>
      <c r="P3123" s="9"/>
      <c r="Q3123" s="9"/>
      <c r="R3123" s="9"/>
      <c r="S3123" s="42" t="str">
        <f>IFERROR(__xludf.DUMMYFUNCTION("""COMPUTED_VALUE"""),"LRt")</f>
        <v>LRt</v>
      </c>
      <c r="T3123" s="42"/>
      <c r="U3123" s="42" t="b">
        <f>IFERROR(__xludf.DUMMYFUNCTION("""COMPUTED_VALUE"""),FALSE)</f>
        <v>0</v>
      </c>
      <c r="V3123" s="42"/>
      <c r="W3123" s="42"/>
      <c r="X3123" s="42"/>
      <c r="Y3123" s="42"/>
      <c r="Z3123" s="42"/>
      <c r="AA3123" s="42"/>
      <c r="AB3123" s="42" t="str">
        <f>IFERROR(__xludf.DUMMYFUNCTION("""COMPUTED_VALUE"""),"allen institute")</f>
        <v>allen institute</v>
      </c>
      <c r="AC3123" s="42" t="str">
        <f>IFERROR(__xludf.DUMMYFUNCTION("""COMPUTED_VALUE"""),"DHBA")</f>
        <v>DHBA</v>
      </c>
      <c r="AD3123" s="42"/>
      <c r="AE3123" s="42"/>
      <c r="AF3123" s="9"/>
      <c r="AG3123" s="9"/>
      <c r="AH3123" s="42"/>
      <c r="AI3123" s="42"/>
      <c r="AJ3123" s="42"/>
      <c r="AK3123" s="42"/>
      <c r="AL3123" s="42"/>
      <c r="AM3123" s="42"/>
      <c r="AN3123" s="42"/>
      <c r="AO3123" s="63" t="str">
        <f>IFERROR(__xludf.DUMMYFUNCTION("IF(ISBLANK(A3123),,IF(ISBLANK(S3123), A3123&amp;"";"", TEXTJOIN(CHAR(10), TRUE, A3123&amp;"";"", ARRAYFORMULA(VLOOKUP(SPLIT(S3123, "";"" &amp; CHAR(10)), $A:$AO, 41, FALSE)))))"),"LMRt;
LRt;
LRtMC;
LRtPC;
LRtS5;")</f>
        <v>LMRt;
LRt;
LRtMC;
LRtPC;
LRtS5;</v>
      </c>
      <c r="AP3123" s="89"/>
    </row>
    <row r="3124">
      <c r="A3124" s="151" t="str">
        <f>IFERROR(__xludf.DUMMYFUNCTION("""COMPUTED_VALUE"""),"LRt")</f>
        <v>LRt</v>
      </c>
      <c r="B3124" s="42" t="str">
        <f>IFERROR(__xludf.DUMMYFUNCTION("""COMPUTED_VALUE"""),"DHBA")</f>
        <v>DHBA</v>
      </c>
      <c r="C3124" s="42" t="str">
        <f>IFERROR(__xludf.DUMMYFUNCTION("""COMPUTED_VALUE"""),"lateral reticular nucleus (principal part)")</f>
        <v>lateral reticular nucleus (principal part)</v>
      </c>
      <c r="D3124" s="42">
        <f>IFERROR(__xludf.DUMMYFUNCTION("""COMPUTED_VALUE"""),2979.0)</f>
        <v>2979</v>
      </c>
      <c r="E3124" s="39" t="str">
        <f>IFERROR(__xludf.DUMMYFUNCTION("""COMPUTED_VALUE"""),"lateral reticular nucleus (principal part)")</f>
        <v>lateral reticular nucleus (principal part)</v>
      </c>
      <c r="F3124" s="9" t="str">
        <f>IFERROR(__xludf.DUMMYFUNCTION("""COMPUTED_VALUE"""),"Br")</f>
        <v>Br</v>
      </c>
      <c r="G3124" s="9" t="str">
        <f>IFERROR(__xludf.DUMMYFUNCTION("""COMPUTED_VALUE"""),"H")</f>
        <v>H</v>
      </c>
      <c r="H3124" s="9" t="str">
        <f>IFERROR(__xludf.DUMMYFUNCTION("""COMPUTED_VALUE"""),"HGM")</f>
        <v>HGM</v>
      </c>
      <c r="I3124" s="9" t="str">
        <f>IFERROR(__xludf.DUMMYFUNCTION("""COMPUTED_VALUE"""),"Mo")</f>
        <v>Mo</v>
      </c>
      <c r="J3124" s="9" t="str">
        <f>IFERROR(__xludf.DUMMYFUNCTION("""COMPUTED_VALUE"""),"MoTg")</f>
        <v>MoTg</v>
      </c>
      <c r="K3124" s="9" t="str">
        <f>IFERROR(__xludf.DUMMYFUNCTION("""COMPUTED_VALUE"""),"MoRF")</f>
        <v>MoRF</v>
      </c>
      <c r="L3124" s="9" t="str">
        <f>IFERROR(__xludf.DUMMYFUNCTION("""COMPUTED_VALUE"""),"LMRt")</f>
        <v>LMRt</v>
      </c>
      <c r="M3124" s="9" t="str">
        <f>IFERROR(__xludf.DUMMYFUNCTION("""COMPUTED_VALUE"""),"LRt")</f>
        <v>LRt</v>
      </c>
      <c r="N3124" s="9"/>
      <c r="O3124" s="9"/>
      <c r="P3124" s="9"/>
      <c r="Q3124" s="9"/>
      <c r="R3124" s="9"/>
      <c r="S3124" s="42" t="str">
        <f>IFERROR(__xludf.DUMMYFUNCTION("""COMPUTED_VALUE"""),"LRtMC;
LRtPC;
LRtS5")</f>
        <v>LRtMC;
LRtPC;
LRtS5</v>
      </c>
      <c r="T3124" s="42"/>
      <c r="U3124" s="42" t="b">
        <f>IFERROR(__xludf.DUMMYFUNCTION("""COMPUTED_VALUE"""),FALSE)</f>
        <v>0</v>
      </c>
      <c r="V3124" s="42"/>
      <c r="W3124" s="42"/>
      <c r="X3124" s="42"/>
      <c r="Y3124" s="42"/>
      <c r="Z3124" s="42"/>
      <c r="AA3124" s="42"/>
      <c r="AB3124" s="42" t="str">
        <f>IFERROR(__xludf.DUMMYFUNCTION("""COMPUTED_VALUE"""),"allen institute")</f>
        <v>allen institute</v>
      </c>
      <c r="AC3124" s="42" t="str">
        <f>IFERROR(__xludf.DUMMYFUNCTION("""COMPUTED_VALUE"""),"DHBA")</f>
        <v>DHBA</v>
      </c>
      <c r="AD3124" s="42"/>
      <c r="AE3124" s="42"/>
      <c r="AF3124" s="9"/>
      <c r="AG3124" s="9"/>
      <c r="AH3124" s="42"/>
      <c r="AI3124" s="42"/>
      <c r="AJ3124" s="42"/>
      <c r="AK3124" s="42"/>
      <c r="AL3124" s="42"/>
      <c r="AM3124" s="42"/>
      <c r="AN3124" s="42"/>
      <c r="AO3124" s="63" t="str">
        <f>IFERROR(__xludf.DUMMYFUNCTION("IF(ISBLANK(A3124),,IF(ISBLANK(S3124), A3124&amp;"";"", TEXTJOIN(CHAR(10), TRUE, A3124&amp;"";"", ARRAYFORMULA(VLOOKUP(SPLIT(S3124, "";"" &amp; CHAR(10)), $A:$AO, 41, FALSE)))))"),"LRt;
LRtMC;
LRtPC;
LRtS5;")</f>
        <v>LRt;
LRtMC;
LRtPC;
LRtS5;</v>
      </c>
      <c r="AP3124" s="89"/>
    </row>
    <row r="3125">
      <c r="A3125" s="151" t="str">
        <f>IFERROR(__xludf.DUMMYFUNCTION("""COMPUTED_VALUE"""),"LRtMC")</f>
        <v>LRtMC</v>
      </c>
      <c r="B3125" s="42" t="str">
        <f>IFERROR(__xludf.DUMMYFUNCTION("""COMPUTED_VALUE"""),"DHBA")</f>
        <v>DHBA</v>
      </c>
      <c r="C3125" s="42" t="str">
        <f>IFERROR(__xludf.DUMMYFUNCTION("""COMPUTED_VALUE"""),"lateral reticular nucleus, magnocellular part")</f>
        <v>lateral reticular nucleus, magnocellular part</v>
      </c>
      <c r="D3125" s="42">
        <f>IFERROR(__xludf.DUMMYFUNCTION("""COMPUTED_VALUE"""),2980.0)</f>
        <v>2980</v>
      </c>
      <c r="E3125" s="39" t="str">
        <f>IFERROR(__xludf.DUMMYFUNCTION("""COMPUTED_VALUE"""),"lateral reticular nucleus, magnocellular part")</f>
        <v>lateral reticular nucleus, magnocellular part</v>
      </c>
      <c r="F3125" s="9" t="str">
        <f>IFERROR(__xludf.DUMMYFUNCTION("""COMPUTED_VALUE"""),"Br")</f>
        <v>Br</v>
      </c>
      <c r="G3125" s="9" t="str">
        <f>IFERROR(__xludf.DUMMYFUNCTION("""COMPUTED_VALUE"""),"H")</f>
        <v>H</v>
      </c>
      <c r="H3125" s="9" t="str">
        <f>IFERROR(__xludf.DUMMYFUNCTION("""COMPUTED_VALUE"""),"HGM")</f>
        <v>HGM</v>
      </c>
      <c r="I3125" s="9" t="str">
        <f>IFERROR(__xludf.DUMMYFUNCTION("""COMPUTED_VALUE"""),"Mo")</f>
        <v>Mo</v>
      </c>
      <c r="J3125" s="9" t="str">
        <f>IFERROR(__xludf.DUMMYFUNCTION("""COMPUTED_VALUE"""),"MoTg")</f>
        <v>MoTg</v>
      </c>
      <c r="K3125" s="9" t="str">
        <f>IFERROR(__xludf.DUMMYFUNCTION("""COMPUTED_VALUE"""),"MoRF")</f>
        <v>MoRF</v>
      </c>
      <c r="L3125" s="9" t="str">
        <f>IFERROR(__xludf.DUMMYFUNCTION("""COMPUTED_VALUE"""),"LMRt")</f>
        <v>LMRt</v>
      </c>
      <c r="M3125" s="9" t="str">
        <f>IFERROR(__xludf.DUMMYFUNCTION("""COMPUTED_VALUE"""),"LRt")</f>
        <v>LRt</v>
      </c>
      <c r="N3125" s="9" t="str">
        <f>IFERROR(__xludf.DUMMYFUNCTION("""COMPUTED_VALUE"""),"LRtMC")</f>
        <v>LRtMC</v>
      </c>
      <c r="O3125" s="9"/>
      <c r="P3125" s="9"/>
      <c r="Q3125" s="9"/>
      <c r="R3125" s="9"/>
      <c r="S3125" s="42"/>
      <c r="T3125" s="42"/>
      <c r="U3125" s="42"/>
      <c r="V3125" s="42"/>
      <c r="W3125" s="42"/>
      <c r="X3125" s="42"/>
      <c r="Y3125" s="42"/>
      <c r="Z3125" s="42"/>
      <c r="AA3125" s="42"/>
      <c r="AB3125" s="42" t="str">
        <f>IFERROR(__xludf.DUMMYFUNCTION("""COMPUTED_VALUE"""),"allen institute")</f>
        <v>allen institute</v>
      </c>
      <c r="AC3125" s="42" t="str">
        <f>IFERROR(__xludf.DUMMYFUNCTION("""COMPUTED_VALUE"""),"DHBA")</f>
        <v>DHBA</v>
      </c>
      <c r="AD3125" s="42"/>
      <c r="AE3125" s="42"/>
      <c r="AF3125" s="9"/>
      <c r="AG3125" s="9"/>
      <c r="AH3125" s="42"/>
      <c r="AI3125" s="42"/>
      <c r="AJ3125" s="42"/>
      <c r="AK3125" s="42"/>
      <c r="AL3125" s="42"/>
      <c r="AM3125" s="42"/>
      <c r="AN3125" s="42"/>
      <c r="AO3125" s="63" t="str">
        <f>IFERROR(__xludf.DUMMYFUNCTION("IF(ISBLANK(A3125),,IF(ISBLANK(S3125), A3125&amp;"";"", TEXTJOIN(CHAR(10), TRUE, A3125&amp;"";"", ARRAYFORMULA(VLOOKUP(SPLIT(S3125, "";"" &amp; CHAR(10)), $A:$AO, 41, FALSE)))))"),"LRtMC;")</f>
        <v>LRtMC;</v>
      </c>
      <c r="AP3125" s="89"/>
    </row>
    <row r="3126">
      <c r="A3126" s="151" t="str">
        <f>IFERROR(__xludf.DUMMYFUNCTION("""COMPUTED_VALUE"""),"LRtPC")</f>
        <v>LRtPC</v>
      </c>
      <c r="B3126" s="42" t="str">
        <f>IFERROR(__xludf.DUMMYFUNCTION("""COMPUTED_VALUE"""),"DHBA")</f>
        <v>DHBA</v>
      </c>
      <c r="C3126" s="42" t="str">
        <f>IFERROR(__xludf.DUMMYFUNCTION("""COMPUTED_VALUE"""),"lateral reticular nucleus, parvicellular part")</f>
        <v>lateral reticular nucleus, parvicellular part</v>
      </c>
      <c r="D3126" s="42">
        <f>IFERROR(__xludf.DUMMYFUNCTION("""COMPUTED_VALUE"""),2981.0)</f>
        <v>2981</v>
      </c>
      <c r="E3126" s="39" t="str">
        <f>IFERROR(__xludf.DUMMYFUNCTION("""COMPUTED_VALUE"""),"lateral reticular nucleus, parvicellular part")</f>
        <v>lateral reticular nucleus, parvicellular part</v>
      </c>
      <c r="F3126" s="9" t="str">
        <f>IFERROR(__xludf.DUMMYFUNCTION("""COMPUTED_VALUE"""),"Br")</f>
        <v>Br</v>
      </c>
      <c r="G3126" s="9" t="str">
        <f>IFERROR(__xludf.DUMMYFUNCTION("""COMPUTED_VALUE"""),"H")</f>
        <v>H</v>
      </c>
      <c r="H3126" s="9" t="str">
        <f>IFERROR(__xludf.DUMMYFUNCTION("""COMPUTED_VALUE"""),"HGM")</f>
        <v>HGM</v>
      </c>
      <c r="I3126" s="9" t="str">
        <f>IFERROR(__xludf.DUMMYFUNCTION("""COMPUTED_VALUE"""),"Mo")</f>
        <v>Mo</v>
      </c>
      <c r="J3126" s="9" t="str">
        <f>IFERROR(__xludf.DUMMYFUNCTION("""COMPUTED_VALUE"""),"MoTg")</f>
        <v>MoTg</v>
      </c>
      <c r="K3126" s="9" t="str">
        <f>IFERROR(__xludf.DUMMYFUNCTION("""COMPUTED_VALUE"""),"MoRF")</f>
        <v>MoRF</v>
      </c>
      <c r="L3126" s="9" t="str">
        <f>IFERROR(__xludf.DUMMYFUNCTION("""COMPUTED_VALUE"""),"LMRt")</f>
        <v>LMRt</v>
      </c>
      <c r="M3126" s="9" t="str">
        <f>IFERROR(__xludf.DUMMYFUNCTION("""COMPUTED_VALUE"""),"LRt")</f>
        <v>LRt</v>
      </c>
      <c r="N3126" s="9" t="str">
        <f>IFERROR(__xludf.DUMMYFUNCTION("""COMPUTED_VALUE"""),"LRtPC")</f>
        <v>LRtPC</v>
      </c>
      <c r="O3126" s="9"/>
      <c r="P3126" s="9"/>
      <c r="Q3126" s="9"/>
      <c r="R3126" s="9"/>
      <c r="S3126" s="42"/>
      <c r="T3126" s="42"/>
      <c r="U3126" s="42"/>
      <c r="V3126" s="42"/>
      <c r="W3126" s="42"/>
      <c r="X3126" s="42"/>
      <c r="Y3126" s="42"/>
      <c r="Z3126" s="42"/>
      <c r="AA3126" s="42"/>
      <c r="AB3126" s="42" t="str">
        <f>IFERROR(__xludf.DUMMYFUNCTION("""COMPUTED_VALUE"""),"allen institute")</f>
        <v>allen institute</v>
      </c>
      <c r="AC3126" s="42" t="str">
        <f>IFERROR(__xludf.DUMMYFUNCTION("""COMPUTED_VALUE"""),"DHBA")</f>
        <v>DHBA</v>
      </c>
      <c r="AD3126" s="42"/>
      <c r="AE3126" s="42"/>
      <c r="AF3126" s="9"/>
      <c r="AG3126" s="9"/>
      <c r="AH3126" s="42"/>
      <c r="AI3126" s="42"/>
      <c r="AJ3126" s="42"/>
      <c r="AK3126" s="42"/>
      <c r="AL3126" s="42"/>
      <c r="AM3126" s="42"/>
      <c r="AN3126" s="42"/>
      <c r="AO3126" s="63" t="str">
        <f>IFERROR(__xludf.DUMMYFUNCTION("IF(ISBLANK(A3126),,IF(ISBLANK(S3126), A3126&amp;"";"", TEXTJOIN(CHAR(10), TRUE, A3126&amp;"";"", ARRAYFORMULA(VLOOKUP(SPLIT(S3126, "";"" &amp; CHAR(10)), $A:$AO, 41, FALSE)))))"),"LRtPC;")</f>
        <v>LRtPC;</v>
      </c>
      <c r="AP3126" s="89"/>
    </row>
    <row r="3127">
      <c r="A3127" s="151" t="str">
        <f>IFERROR(__xludf.DUMMYFUNCTION("""COMPUTED_VALUE"""),"LRtS5")</f>
        <v>LRtS5</v>
      </c>
      <c r="B3127" s="42" t="str">
        <f>IFERROR(__xludf.DUMMYFUNCTION("""COMPUTED_VALUE"""),"DHBA")</f>
        <v>DHBA</v>
      </c>
      <c r="C3127" s="42" t="str">
        <f>IFERROR(__xludf.DUMMYFUNCTION("""COMPUTED_VALUE"""),"lateral reticular nucleus, subtrigeminal part")</f>
        <v>lateral reticular nucleus, subtrigeminal part</v>
      </c>
      <c r="D3127" s="42">
        <f>IFERROR(__xludf.DUMMYFUNCTION("""COMPUTED_VALUE"""),2982.0)</f>
        <v>2982</v>
      </c>
      <c r="E3127" s="39" t="str">
        <f>IFERROR(__xludf.DUMMYFUNCTION("""COMPUTED_VALUE"""),"lateral reticular nucleus, subtrigeminal part")</f>
        <v>lateral reticular nucleus, subtrigeminal part</v>
      </c>
      <c r="F3127" s="9" t="str">
        <f>IFERROR(__xludf.DUMMYFUNCTION("""COMPUTED_VALUE"""),"Br")</f>
        <v>Br</v>
      </c>
      <c r="G3127" s="9" t="str">
        <f>IFERROR(__xludf.DUMMYFUNCTION("""COMPUTED_VALUE"""),"H")</f>
        <v>H</v>
      </c>
      <c r="H3127" s="9" t="str">
        <f>IFERROR(__xludf.DUMMYFUNCTION("""COMPUTED_VALUE"""),"HGM")</f>
        <v>HGM</v>
      </c>
      <c r="I3127" s="9" t="str">
        <f>IFERROR(__xludf.DUMMYFUNCTION("""COMPUTED_VALUE"""),"Mo")</f>
        <v>Mo</v>
      </c>
      <c r="J3127" s="9" t="str">
        <f>IFERROR(__xludf.DUMMYFUNCTION("""COMPUTED_VALUE"""),"MoTg")</f>
        <v>MoTg</v>
      </c>
      <c r="K3127" s="9" t="str">
        <f>IFERROR(__xludf.DUMMYFUNCTION("""COMPUTED_VALUE"""),"MoRF")</f>
        <v>MoRF</v>
      </c>
      <c r="L3127" s="9" t="str">
        <f>IFERROR(__xludf.DUMMYFUNCTION("""COMPUTED_VALUE"""),"LMRt")</f>
        <v>LMRt</v>
      </c>
      <c r="M3127" s="9" t="str">
        <f>IFERROR(__xludf.DUMMYFUNCTION("""COMPUTED_VALUE"""),"LRt")</f>
        <v>LRt</v>
      </c>
      <c r="N3127" s="9" t="str">
        <f>IFERROR(__xludf.DUMMYFUNCTION("""COMPUTED_VALUE"""),"LRtS5")</f>
        <v>LRtS5</v>
      </c>
      <c r="O3127" s="9"/>
      <c r="P3127" s="9"/>
      <c r="Q3127" s="9"/>
      <c r="R3127" s="9"/>
      <c r="S3127" s="42"/>
      <c r="T3127" s="42"/>
      <c r="U3127" s="42"/>
      <c r="V3127" s="42"/>
      <c r="W3127" s="42"/>
      <c r="X3127" s="42"/>
      <c r="Y3127" s="42"/>
      <c r="Z3127" s="42"/>
      <c r="AA3127" s="42"/>
      <c r="AB3127" s="42" t="str">
        <f>IFERROR(__xludf.DUMMYFUNCTION("""COMPUTED_VALUE"""),"allen institute")</f>
        <v>allen institute</v>
      </c>
      <c r="AC3127" s="42" t="str">
        <f>IFERROR(__xludf.DUMMYFUNCTION("""COMPUTED_VALUE"""),"DHBA")</f>
        <v>DHBA</v>
      </c>
      <c r="AD3127" s="42"/>
      <c r="AE3127" s="42"/>
      <c r="AF3127" s="9"/>
      <c r="AG3127" s="9"/>
      <c r="AH3127" s="42"/>
      <c r="AI3127" s="42"/>
      <c r="AJ3127" s="42"/>
      <c r="AK3127" s="42"/>
      <c r="AL3127" s="42"/>
      <c r="AM3127" s="42"/>
      <c r="AN3127" s="42"/>
      <c r="AO3127" s="63" t="str">
        <f>IFERROR(__xludf.DUMMYFUNCTION("IF(ISBLANK(A3127),,IF(ISBLANK(S3127), A3127&amp;"";"", TEXTJOIN(CHAR(10), TRUE, A3127&amp;"";"", ARRAYFORMULA(VLOOKUP(SPLIT(S3127, "";"" &amp; CHAR(10)), $A:$AO, 41, FALSE)))))"),"LRtS5;")</f>
        <v>LRtS5;</v>
      </c>
      <c r="AP3127" s="89"/>
    </row>
    <row r="3128">
      <c r="A3128" s="151" t="str">
        <f>IFERROR(__xludf.DUMMYFUNCTION("""COMPUTED_VALUE"""),"Li")</f>
        <v>Li</v>
      </c>
      <c r="B3128" s="42" t="str">
        <f>IFERROR(__xludf.DUMMYFUNCTION("""COMPUTED_VALUE"""),"DHBA")</f>
        <v>DHBA</v>
      </c>
      <c r="C3128" s="42" t="str">
        <f>IFERROR(__xludf.DUMMYFUNCTION("""COMPUTED_VALUE"""),"linear nucleus of hindbrain")</f>
        <v>linear nucleus of hindbrain</v>
      </c>
      <c r="D3128" s="42">
        <f>IFERROR(__xludf.DUMMYFUNCTION("""COMPUTED_VALUE"""),2983.0)</f>
        <v>2983</v>
      </c>
      <c r="E3128" s="39" t="str">
        <f>IFERROR(__xludf.DUMMYFUNCTION("""COMPUTED_VALUE"""),"linear nucleus of hindbrain")</f>
        <v>linear nucleus of hindbrain</v>
      </c>
      <c r="F3128" s="9" t="str">
        <f>IFERROR(__xludf.DUMMYFUNCTION("""COMPUTED_VALUE"""),"Br")</f>
        <v>Br</v>
      </c>
      <c r="G3128" s="9" t="str">
        <f>IFERROR(__xludf.DUMMYFUNCTION("""COMPUTED_VALUE"""),"H")</f>
        <v>H</v>
      </c>
      <c r="H3128" s="9" t="str">
        <f>IFERROR(__xludf.DUMMYFUNCTION("""COMPUTED_VALUE"""),"HGM")</f>
        <v>HGM</v>
      </c>
      <c r="I3128" s="9" t="str">
        <f>IFERROR(__xludf.DUMMYFUNCTION("""COMPUTED_VALUE"""),"Mo")</f>
        <v>Mo</v>
      </c>
      <c r="J3128" s="9" t="str">
        <f>IFERROR(__xludf.DUMMYFUNCTION("""COMPUTED_VALUE"""),"MoTg")</f>
        <v>MoTg</v>
      </c>
      <c r="K3128" s="9" t="str">
        <f>IFERROR(__xludf.DUMMYFUNCTION("""COMPUTED_VALUE"""),"MoRF")</f>
        <v>MoRF</v>
      </c>
      <c r="L3128" s="9" t="str">
        <f>IFERROR(__xludf.DUMMYFUNCTION("""COMPUTED_VALUE"""),"Li")</f>
        <v>Li</v>
      </c>
      <c r="M3128" s="9"/>
      <c r="N3128" s="9"/>
      <c r="O3128" s="9"/>
      <c r="P3128" s="9"/>
      <c r="Q3128" s="9"/>
      <c r="R3128" s="9"/>
      <c r="S3128" s="42"/>
      <c r="T3128" s="42"/>
      <c r="U3128" s="42"/>
      <c r="V3128" s="42"/>
      <c r="W3128" s="42"/>
      <c r="X3128" s="42"/>
      <c r="Y3128" s="42"/>
      <c r="Z3128" s="42"/>
      <c r="AA3128" s="42"/>
      <c r="AB3128" s="42" t="str">
        <f>IFERROR(__xludf.DUMMYFUNCTION("""COMPUTED_VALUE"""),"allen institute")</f>
        <v>allen institute</v>
      </c>
      <c r="AC3128" s="42" t="str">
        <f>IFERROR(__xludf.DUMMYFUNCTION("""COMPUTED_VALUE"""),"DHBA")</f>
        <v>DHBA</v>
      </c>
      <c r="AD3128" s="42"/>
      <c r="AE3128" s="42"/>
      <c r="AF3128" s="9"/>
      <c r="AG3128" s="9"/>
      <c r="AH3128" s="42"/>
      <c r="AI3128" s="42"/>
      <c r="AJ3128" s="42"/>
      <c r="AK3128" s="42"/>
      <c r="AL3128" s="42"/>
      <c r="AM3128" s="42"/>
      <c r="AN3128" s="42"/>
      <c r="AO3128" s="63" t="str">
        <f>IFERROR(__xludf.DUMMYFUNCTION("IF(ISBLANK(A3128),,IF(ISBLANK(S3128), A3128&amp;"";"", TEXTJOIN(CHAR(10), TRUE, A3128&amp;"";"", ARRAYFORMULA(VLOOKUP(SPLIT(S3128, "";"" &amp; CHAR(10)), $A:$AO, 41, FALSE)))))"),"Li;")</f>
        <v>Li;</v>
      </c>
      <c r="AP3128" s="89"/>
    </row>
    <row r="3129">
      <c r="A3129" s="151" t="str">
        <f>IFERROR(__xludf.DUMMYFUNCTION("""COMPUTED_VALUE"""),"MdD")</f>
        <v>MdD</v>
      </c>
      <c r="B3129" s="42" t="str">
        <f>IFERROR(__xludf.DUMMYFUNCTION("""COMPUTED_VALUE"""),"DHBA")</f>
        <v>DHBA</v>
      </c>
      <c r="C3129" s="42" t="str">
        <f>IFERROR(__xludf.DUMMYFUNCTION("""COMPUTED_VALUE"""),"medullary reticular nucleus, dorsal part (ventral reticular nucleus)")</f>
        <v>medullary reticular nucleus, dorsal part (ventral reticular nucleus)</v>
      </c>
      <c r="D3129" s="42">
        <f>IFERROR(__xludf.DUMMYFUNCTION("""COMPUTED_VALUE"""),2984.0)</f>
        <v>2984</v>
      </c>
      <c r="E3129" s="39" t="str">
        <f>IFERROR(__xludf.DUMMYFUNCTION("""COMPUTED_VALUE"""),"medullary reticular nucleus, dorsal part (ventral reticular nucleus)")</f>
        <v>medullary reticular nucleus, dorsal part (ventral reticular nucleus)</v>
      </c>
      <c r="F3129" s="9" t="str">
        <f>IFERROR(__xludf.DUMMYFUNCTION("""COMPUTED_VALUE"""),"Br")</f>
        <v>Br</v>
      </c>
      <c r="G3129" s="9" t="str">
        <f>IFERROR(__xludf.DUMMYFUNCTION("""COMPUTED_VALUE"""),"H")</f>
        <v>H</v>
      </c>
      <c r="H3129" s="9" t="str">
        <f>IFERROR(__xludf.DUMMYFUNCTION("""COMPUTED_VALUE"""),"HGM")</f>
        <v>HGM</v>
      </c>
      <c r="I3129" s="9" t="str">
        <f>IFERROR(__xludf.DUMMYFUNCTION("""COMPUTED_VALUE"""),"Mo")</f>
        <v>Mo</v>
      </c>
      <c r="J3129" s="9" t="str">
        <f>IFERROR(__xludf.DUMMYFUNCTION("""COMPUTED_VALUE"""),"MoTg")</f>
        <v>MoTg</v>
      </c>
      <c r="K3129" s="9" t="str">
        <f>IFERROR(__xludf.DUMMYFUNCTION("""COMPUTED_VALUE"""),"MoRF")</f>
        <v>MoRF</v>
      </c>
      <c r="L3129" s="9" t="str">
        <f>IFERROR(__xludf.DUMMYFUNCTION("""COMPUTED_VALUE"""),"MdD")</f>
        <v>MdD</v>
      </c>
      <c r="M3129" s="9"/>
      <c r="N3129" s="9"/>
      <c r="O3129" s="9"/>
      <c r="P3129" s="9"/>
      <c r="Q3129" s="9"/>
      <c r="R3129" s="9"/>
      <c r="S3129" s="42"/>
      <c r="T3129" s="42"/>
      <c r="U3129" s="42"/>
      <c r="V3129" s="42"/>
      <c r="W3129" s="42"/>
      <c r="X3129" s="42"/>
      <c r="Y3129" s="42"/>
      <c r="Z3129" s="42"/>
      <c r="AA3129" s="42"/>
      <c r="AB3129" s="42" t="str">
        <f>IFERROR(__xludf.DUMMYFUNCTION("""COMPUTED_VALUE"""),"allen institute")</f>
        <v>allen institute</v>
      </c>
      <c r="AC3129" s="42" t="str">
        <f>IFERROR(__xludf.DUMMYFUNCTION("""COMPUTED_VALUE"""),"DHBA")</f>
        <v>DHBA</v>
      </c>
      <c r="AD3129" s="42"/>
      <c r="AE3129" s="42"/>
      <c r="AF3129" s="9"/>
      <c r="AG3129" s="9"/>
      <c r="AH3129" s="42"/>
      <c r="AI3129" s="42"/>
      <c r="AJ3129" s="42"/>
      <c r="AK3129" s="42"/>
      <c r="AL3129" s="42"/>
      <c r="AM3129" s="42"/>
      <c r="AN3129" s="42"/>
      <c r="AO3129" s="63" t="str">
        <f>IFERROR(__xludf.DUMMYFUNCTION("IF(ISBLANK(A3129),,IF(ISBLANK(S3129), A3129&amp;"";"", TEXTJOIN(CHAR(10), TRUE, A3129&amp;"";"", ARRAYFORMULA(VLOOKUP(SPLIT(S3129, "";"" &amp; CHAR(10)), $A:$AO, 41, FALSE)))))"),"MdD;")</f>
        <v>MdD;</v>
      </c>
      <c r="AP3129" s="89"/>
    </row>
    <row r="3130">
      <c r="A3130" s="151" t="str">
        <f>IFERROR(__xludf.DUMMYFUNCTION("""COMPUTED_VALUE"""),"MdV")</f>
        <v>MdV</v>
      </c>
      <c r="B3130" s="42" t="str">
        <f>IFERROR(__xludf.DUMMYFUNCTION("""COMPUTED_VALUE"""),"DHBA")</f>
        <v>DHBA</v>
      </c>
      <c r="C3130" s="42" t="str">
        <f>IFERROR(__xludf.DUMMYFUNCTION("""COMPUTED_VALUE"""),"medullary reticular nucleus, ventral part (medial reticular nucleus)")</f>
        <v>medullary reticular nucleus, ventral part (medial reticular nucleus)</v>
      </c>
      <c r="D3130" s="42">
        <f>IFERROR(__xludf.DUMMYFUNCTION("""COMPUTED_VALUE"""),2985.0)</f>
        <v>2985</v>
      </c>
      <c r="E3130" s="39" t="str">
        <f>IFERROR(__xludf.DUMMYFUNCTION("""COMPUTED_VALUE"""),"medullary reticular nucleus, ventral part (medial reticular nucleus)")</f>
        <v>medullary reticular nucleus, ventral part (medial reticular nucleus)</v>
      </c>
      <c r="F3130" s="9" t="str">
        <f>IFERROR(__xludf.DUMMYFUNCTION("""COMPUTED_VALUE"""),"Br")</f>
        <v>Br</v>
      </c>
      <c r="G3130" s="9" t="str">
        <f>IFERROR(__xludf.DUMMYFUNCTION("""COMPUTED_VALUE"""),"H")</f>
        <v>H</v>
      </c>
      <c r="H3130" s="9" t="str">
        <f>IFERROR(__xludf.DUMMYFUNCTION("""COMPUTED_VALUE"""),"HGM")</f>
        <v>HGM</v>
      </c>
      <c r="I3130" s="9" t="str">
        <f>IFERROR(__xludf.DUMMYFUNCTION("""COMPUTED_VALUE"""),"Mo")</f>
        <v>Mo</v>
      </c>
      <c r="J3130" s="9" t="str">
        <f>IFERROR(__xludf.DUMMYFUNCTION("""COMPUTED_VALUE"""),"MoTg")</f>
        <v>MoTg</v>
      </c>
      <c r="K3130" s="9" t="str">
        <f>IFERROR(__xludf.DUMMYFUNCTION("""COMPUTED_VALUE"""),"MoRF")</f>
        <v>MoRF</v>
      </c>
      <c r="L3130" s="9" t="str">
        <f>IFERROR(__xludf.DUMMYFUNCTION("""COMPUTED_VALUE"""),"MdV")</f>
        <v>MdV</v>
      </c>
      <c r="M3130" s="9"/>
      <c r="N3130" s="9"/>
      <c r="O3130" s="9"/>
      <c r="P3130" s="9"/>
      <c r="Q3130" s="9"/>
      <c r="R3130" s="9"/>
      <c r="S3130" s="42"/>
      <c r="T3130" s="42"/>
      <c r="U3130" s="42"/>
      <c r="V3130" s="42"/>
      <c r="W3130" s="42"/>
      <c r="X3130" s="42"/>
      <c r="Y3130" s="42"/>
      <c r="Z3130" s="42"/>
      <c r="AA3130" s="42"/>
      <c r="AB3130" s="42" t="str">
        <f>IFERROR(__xludf.DUMMYFUNCTION("""COMPUTED_VALUE"""),"allen institute")</f>
        <v>allen institute</v>
      </c>
      <c r="AC3130" s="42" t="str">
        <f>IFERROR(__xludf.DUMMYFUNCTION("""COMPUTED_VALUE"""),"DHBA")</f>
        <v>DHBA</v>
      </c>
      <c r="AD3130" s="42"/>
      <c r="AE3130" s="42"/>
      <c r="AF3130" s="9"/>
      <c r="AG3130" s="9"/>
      <c r="AH3130" s="42"/>
      <c r="AI3130" s="42"/>
      <c r="AJ3130" s="42"/>
      <c r="AK3130" s="42"/>
      <c r="AL3130" s="42"/>
      <c r="AM3130" s="42"/>
      <c r="AN3130" s="42"/>
      <c r="AO3130" s="63" t="str">
        <f>IFERROR(__xludf.DUMMYFUNCTION("IF(ISBLANK(A3130),,IF(ISBLANK(S3130), A3130&amp;"";"", TEXTJOIN(CHAR(10), TRUE, A3130&amp;"";"", ARRAYFORMULA(VLOOKUP(SPLIT(S3130, "";"" &amp; CHAR(10)), $A:$AO, 41, FALSE)))))"),"MdV;")</f>
        <v>MdV;</v>
      </c>
      <c r="AP3130" s="89"/>
    </row>
    <row r="3131">
      <c r="A3131" s="151" t="str">
        <f>IFERROR(__xludf.DUMMYFUNCTION("""COMPUTED_VALUE"""),"PCRt")</f>
        <v>PCRt</v>
      </c>
      <c r="B3131" s="42" t="str">
        <f>IFERROR(__xludf.DUMMYFUNCTION("""COMPUTED_VALUE"""),"DHBA")</f>
        <v>DHBA</v>
      </c>
      <c r="C3131" s="42" t="str">
        <f>IFERROR(__xludf.DUMMYFUNCTION("""COMPUTED_VALUE"""),"parvicellular reticular nucleus")</f>
        <v>parvicellular reticular nucleus</v>
      </c>
      <c r="D3131" s="42">
        <f>IFERROR(__xludf.DUMMYFUNCTION("""COMPUTED_VALUE"""),2986.0)</f>
        <v>2986</v>
      </c>
      <c r="E3131" s="39" t="str">
        <f>IFERROR(__xludf.DUMMYFUNCTION("""COMPUTED_VALUE"""),"parvicellular reticular nucleus")</f>
        <v>parvicellular reticular nucleus</v>
      </c>
      <c r="F3131" s="9" t="str">
        <f>IFERROR(__xludf.DUMMYFUNCTION("""COMPUTED_VALUE"""),"Br")</f>
        <v>Br</v>
      </c>
      <c r="G3131" s="9" t="str">
        <f>IFERROR(__xludf.DUMMYFUNCTION("""COMPUTED_VALUE"""),"H")</f>
        <v>H</v>
      </c>
      <c r="H3131" s="9" t="str">
        <f>IFERROR(__xludf.DUMMYFUNCTION("""COMPUTED_VALUE"""),"HGM")</f>
        <v>HGM</v>
      </c>
      <c r="I3131" s="9" t="str">
        <f>IFERROR(__xludf.DUMMYFUNCTION("""COMPUTED_VALUE"""),"Mo")</f>
        <v>Mo</v>
      </c>
      <c r="J3131" s="9" t="str">
        <f>IFERROR(__xludf.DUMMYFUNCTION("""COMPUTED_VALUE"""),"MoTg")</f>
        <v>MoTg</v>
      </c>
      <c r="K3131" s="9" t="str">
        <f>IFERROR(__xludf.DUMMYFUNCTION("""COMPUTED_VALUE"""),"MoRF")</f>
        <v>MoRF</v>
      </c>
      <c r="L3131" s="9" t="str">
        <f>IFERROR(__xludf.DUMMYFUNCTION("""COMPUTED_VALUE"""),"PCRt")</f>
        <v>PCRt</v>
      </c>
      <c r="M3131" s="9"/>
      <c r="N3131" s="9"/>
      <c r="O3131" s="9"/>
      <c r="P3131" s="9"/>
      <c r="Q3131" s="9"/>
      <c r="R3131" s="9"/>
      <c r="S3131" s="42" t="str">
        <f>IFERROR(__xludf.DUMMYFUNCTION("""COMPUTED_VALUE"""),"PCRtA")</f>
        <v>PCRtA</v>
      </c>
      <c r="T3131" s="42"/>
      <c r="U3131" s="42" t="b">
        <f>IFERROR(__xludf.DUMMYFUNCTION("""COMPUTED_VALUE"""),FALSE)</f>
        <v>0</v>
      </c>
      <c r="V3131" s="42"/>
      <c r="W3131" s="42"/>
      <c r="X3131" s="42"/>
      <c r="Y3131" s="42"/>
      <c r="Z3131" s="42"/>
      <c r="AA3131" s="42"/>
      <c r="AB3131" s="42" t="str">
        <f>IFERROR(__xludf.DUMMYFUNCTION("""COMPUTED_VALUE"""),"allen institute")</f>
        <v>allen institute</v>
      </c>
      <c r="AC3131" s="42" t="str">
        <f>IFERROR(__xludf.DUMMYFUNCTION("""COMPUTED_VALUE"""),"DHBA")</f>
        <v>DHBA</v>
      </c>
      <c r="AD3131" s="42"/>
      <c r="AE3131" s="42"/>
      <c r="AF3131" s="9"/>
      <c r="AG3131" s="9"/>
      <c r="AH3131" s="42"/>
      <c r="AI3131" s="42"/>
      <c r="AJ3131" s="42"/>
      <c r="AK3131" s="42"/>
      <c r="AL3131" s="42"/>
      <c r="AM3131" s="42"/>
      <c r="AN3131" s="42"/>
      <c r="AO3131" s="63" t="str">
        <f>IFERROR(__xludf.DUMMYFUNCTION("IF(ISBLANK(A3131),,IF(ISBLANK(S3131), A3131&amp;"";"", TEXTJOIN(CHAR(10), TRUE, A3131&amp;"";"", ARRAYFORMULA(VLOOKUP(SPLIT(S3131, "";"" &amp; CHAR(10)), $A:$AO, 41, FALSE)))))"),"PCRt;
PCRtA;")</f>
        <v>PCRt;
PCRtA;</v>
      </c>
      <c r="AP3131" s="89"/>
    </row>
    <row r="3132">
      <c r="A3132" s="151" t="str">
        <f>IFERROR(__xludf.DUMMYFUNCTION("""COMPUTED_VALUE"""),"PCRtA")</f>
        <v>PCRtA</v>
      </c>
      <c r="B3132" s="42" t="str">
        <f>IFERROR(__xludf.DUMMYFUNCTION("""COMPUTED_VALUE"""),"DHBA")</f>
        <v>DHBA</v>
      </c>
      <c r="C3132" s="42" t="str">
        <f>IFERROR(__xludf.DUMMYFUNCTION("""COMPUTED_VALUE"""),"alpha division of parvicellular reticular nucleus")</f>
        <v>alpha division of parvicellular reticular nucleus</v>
      </c>
      <c r="D3132" s="42">
        <f>IFERROR(__xludf.DUMMYFUNCTION("""COMPUTED_VALUE"""),2987.0)</f>
        <v>2987</v>
      </c>
      <c r="E3132" s="39" t="str">
        <f>IFERROR(__xludf.DUMMYFUNCTION("""COMPUTED_VALUE"""),"alpha division of parvicellular reticular nucleus")</f>
        <v>alpha division of parvicellular reticular nucleus</v>
      </c>
      <c r="F3132" s="9" t="str">
        <f>IFERROR(__xludf.DUMMYFUNCTION("""COMPUTED_VALUE"""),"Br")</f>
        <v>Br</v>
      </c>
      <c r="G3132" s="9" t="str">
        <f>IFERROR(__xludf.DUMMYFUNCTION("""COMPUTED_VALUE"""),"H")</f>
        <v>H</v>
      </c>
      <c r="H3132" s="9" t="str">
        <f>IFERROR(__xludf.DUMMYFUNCTION("""COMPUTED_VALUE"""),"HGM")</f>
        <v>HGM</v>
      </c>
      <c r="I3132" s="9" t="str">
        <f>IFERROR(__xludf.DUMMYFUNCTION("""COMPUTED_VALUE"""),"Mo")</f>
        <v>Mo</v>
      </c>
      <c r="J3132" s="9" t="str">
        <f>IFERROR(__xludf.DUMMYFUNCTION("""COMPUTED_VALUE"""),"MoTg")</f>
        <v>MoTg</v>
      </c>
      <c r="K3132" s="9" t="str">
        <f>IFERROR(__xludf.DUMMYFUNCTION("""COMPUTED_VALUE"""),"MoRF")</f>
        <v>MoRF</v>
      </c>
      <c r="L3132" s="9" t="str">
        <f>IFERROR(__xludf.DUMMYFUNCTION("""COMPUTED_VALUE"""),"PCRt")</f>
        <v>PCRt</v>
      </c>
      <c r="M3132" s="9" t="str">
        <f>IFERROR(__xludf.DUMMYFUNCTION("""COMPUTED_VALUE"""),"PCRtA")</f>
        <v>PCRtA</v>
      </c>
      <c r="N3132" s="9"/>
      <c r="O3132" s="9"/>
      <c r="P3132" s="9"/>
      <c r="Q3132" s="9"/>
      <c r="R3132" s="9"/>
      <c r="S3132" s="42"/>
      <c r="T3132" s="42"/>
      <c r="U3132" s="42"/>
      <c r="V3132" s="42"/>
      <c r="W3132" s="42"/>
      <c r="X3132" s="42"/>
      <c r="Y3132" s="42"/>
      <c r="Z3132" s="42"/>
      <c r="AA3132" s="42"/>
      <c r="AB3132" s="42" t="str">
        <f>IFERROR(__xludf.DUMMYFUNCTION("""COMPUTED_VALUE"""),"allen institute")</f>
        <v>allen institute</v>
      </c>
      <c r="AC3132" s="42" t="str">
        <f>IFERROR(__xludf.DUMMYFUNCTION("""COMPUTED_VALUE"""),"DHBA")</f>
        <v>DHBA</v>
      </c>
      <c r="AD3132" s="42"/>
      <c r="AE3132" s="42"/>
      <c r="AF3132" s="9"/>
      <c r="AG3132" s="9"/>
      <c r="AH3132" s="42"/>
      <c r="AI3132" s="42"/>
      <c r="AJ3132" s="42"/>
      <c r="AK3132" s="42"/>
      <c r="AL3132" s="42"/>
      <c r="AM3132" s="42"/>
      <c r="AN3132" s="42"/>
      <c r="AO3132" s="63" t="str">
        <f>IFERROR(__xludf.DUMMYFUNCTION("IF(ISBLANK(A3132),,IF(ISBLANK(S3132), A3132&amp;"";"", TEXTJOIN(CHAR(10), TRUE, A3132&amp;"";"", ARRAYFORMULA(VLOOKUP(SPLIT(S3132, "";"" &amp; CHAR(10)), $A:$AO, 41, FALSE)))))"),"PCRtA;")</f>
        <v>PCRtA;</v>
      </c>
      <c r="AP3132" s="89"/>
    </row>
    <row r="3133">
      <c r="A3133" s="151" t="str">
        <f>IFERROR(__xludf.DUMMYFUNCTION("""COMPUTED_VALUE"""),"MoRa")</f>
        <v>MoRa</v>
      </c>
      <c r="B3133" s="42" t="str">
        <f>IFERROR(__xludf.DUMMYFUNCTION("""COMPUTED_VALUE"""),"DHBA")</f>
        <v>DHBA</v>
      </c>
      <c r="C3133" s="42" t="str">
        <f>IFERROR(__xludf.DUMMYFUNCTION("""COMPUTED_VALUE"""),"raphe nuclei in medulla oblongata")</f>
        <v>raphe nuclei in medulla oblongata</v>
      </c>
      <c r="D3133" s="42">
        <f>IFERROR(__xludf.DUMMYFUNCTION("""COMPUTED_VALUE"""),2988.0)</f>
        <v>2988</v>
      </c>
      <c r="E3133" s="39" t="str">
        <f>IFERROR(__xludf.DUMMYFUNCTION("""COMPUTED_VALUE"""),"raphe nuclei in medulla oblongata")</f>
        <v>raphe nuclei in medulla oblongata</v>
      </c>
      <c r="F3133" s="9" t="str">
        <f>IFERROR(__xludf.DUMMYFUNCTION("""COMPUTED_VALUE"""),"Br")</f>
        <v>Br</v>
      </c>
      <c r="G3133" s="9" t="str">
        <f>IFERROR(__xludf.DUMMYFUNCTION("""COMPUTED_VALUE"""),"H")</f>
        <v>H</v>
      </c>
      <c r="H3133" s="9" t="str">
        <f>IFERROR(__xludf.DUMMYFUNCTION("""COMPUTED_VALUE"""),"HGM")</f>
        <v>HGM</v>
      </c>
      <c r="I3133" s="9" t="str">
        <f>IFERROR(__xludf.DUMMYFUNCTION("""COMPUTED_VALUE"""),"Mo")</f>
        <v>Mo</v>
      </c>
      <c r="J3133" s="9" t="str">
        <f>IFERROR(__xludf.DUMMYFUNCTION("""COMPUTED_VALUE"""),"MoTg")</f>
        <v>MoTg</v>
      </c>
      <c r="K3133" s="9" t="str">
        <f>IFERROR(__xludf.DUMMYFUNCTION("""COMPUTED_VALUE"""),"MoRa")</f>
        <v>MoRa</v>
      </c>
      <c r="L3133" s="9"/>
      <c r="M3133" s="9"/>
      <c r="N3133" s="9"/>
      <c r="O3133" s="9"/>
      <c r="P3133" s="9"/>
      <c r="Q3133" s="9"/>
      <c r="R3133" s="9"/>
      <c r="S3133" s="42" t="str">
        <f>IFERROR(__xludf.DUMMYFUNCTION("""COMPUTED_VALUE"""),"RMg;
ROb;
RPa;
NPRa")</f>
        <v>RMg;
ROb;
RPa;
NPRa</v>
      </c>
      <c r="T3133" s="42"/>
      <c r="U3133" s="42" t="b">
        <f>IFERROR(__xludf.DUMMYFUNCTION("""COMPUTED_VALUE"""),FALSE)</f>
        <v>0</v>
      </c>
      <c r="V3133" s="42"/>
      <c r="W3133" s="42"/>
      <c r="X3133" s="42"/>
      <c r="Y3133" s="42"/>
      <c r="Z3133" s="42"/>
      <c r="AA3133" s="42"/>
      <c r="AB3133" s="42" t="str">
        <f>IFERROR(__xludf.DUMMYFUNCTION("""COMPUTED_VALUE"""),"allen institute")</f>
        <v>allen institute</v>
      </c>
      <c r="AC3133" s="42" t="str">
        <f>IFERROR(__xludf.DUMMYFUNCTION("""COMPUTED_VALUE"""),"DHBA")</f>
        <v>DHBA</v>
      </c>
      <c r="AD3133" s="42"/>
      <c r="AE3133" s="42"/>
      <c r="AF3133" s="9"/>
      <c r="AG3133" s="9"/>
      <c r="AH3133" s="42"/>
      <c r="AI3133" s="42"/>
      <c r="AJ3133" s="42"/>
      <c r="AK3133" s="42"/>
      <c r="AL3133" s="42"/>
      <c r="AM3133" s="42"/>
      <c r="AN3133" s="42"/>
      <c r="AO3133" s="63" t="str">
        <f>IFERROR(__xludf.DUMMYFUNCTION("IF(ISBLANK(A3133),,IF(ISBLANK(S3133), A3133&amp;"";"", TEXTJOIN(CHAR(10), TRUE, A3133&amp;"";"", ARRAYFORMULA(VLOOKUP(SPLIT(S3133, "";"" &amp; CHAR(10)), $A:$AO, 41, FALSE)))))"),"MoRa;
RMg;
ROb;
RPa;
NPRa;")</f>
        <v>MoRa;
RMg;
ROb;
RPa;
NPRa;</v>
      </c>
      <c r="AP3133" s="89"/>
    </row>
    <row r="3134">
      <c r="A3134" s="151" t="str">
        <f>IFERROR(__xludf.DUMMYFUNCTION("""COMPUTED_VALUE"""),"RMg")</f>
        <v>RMg</v>
      </c>
      <c r="B3134" s="42" t="str">
        <f>IFERROR(__xludf.DUMMYFUNCTION("""COMPUTED_VALUE"""),"DHBA")</f>
        <v>DHBA</v>
      </c>
      <c r="C3134" s="42" t="str">
        <f>IFERROR(__xludf.DUMMYFUNCTION("""COMPUTED_VALUE"""),"raphe magnus nucleus")</f>
        <v>raphe magnus nucleus</v>
      </c>
      <c r="D3134" s="42">
        <f>IFERROR(__xludf.DUMMYFUNCTION("""COMPUTED_VALUE"""),2989.0)</f>
        <v>2989</v>
      </c>
      <c r="E3134" s="39" t="str">
        <f>IFERROR(__xludf.DUMMYFUNCTION("""COMPUTED_VALUE"""),"raphe magnus nucleus")</f>
        <v>raphe magnus nucleus</v>
      </c>
      <c r="F3134" s="9" t="str">
        <f>IFERROR(__xludf.DUMMYFUNCTION("""COMPUTED_VALUE"""),"Br")</f>
        <v>Br</v>
      </c>
      <c r="G3134" s="9" t="str">
        <f>IFERROR(__xludf.DUMMYFUNCTION("""COMPUTED_VALUE"""),"H")</f>
        <v>H</v>
      </c>
      <c r="H3134" s="9" t="str">
        <f>IFERROR(__xludf.DUMMYFUNCTION("""COMPUTED_VALUE"""),"HGM")</f>
        <v>HGM</v>
      </c>
      <c r="I3134" s="9" t="str">
        <f>IFERROR(__xludf.DUMMYFUNCTION("""COMPUTED_VALUE"""),"Mo")</f>
        <v>Mo</v>
      </c>
      <c r="J3134" s="9" t="str">
        <f>IFERROR(__xludf.DUMMYFUNCTION("""COMPUTED_VALUE"""),"MoTg")</f>
        <v>MoTg</v>
      </c>
      <c r="K3134" s="9" t="str">
        <f>IFERROR(__xludf.DUMMYFUNCTION("""COMPUTED_VALUE"""),"MoRa")</f>
        <v>MoRa</v>
      </c>
      <c r="L3134" s="9" t="str">
        <f>IFERROR(__xludf.DUMMYFUNCTION("""COMPUTED_VALUE"""),"RMg")</f>
        <v>RMg</v>
      </c>
      <c r="M3134" s="9"/>
      <c r="N3134" s="9"/>
      <c r="O3134" s="9"/>
      <c r="P3134" s="9"/>
      <c r="Q3134" s="9"/>
      <c r="R3134" s="9"/>
      <c r="S3134" s="42"/>
      <c r="T3134" s="42"/>
      <c r="U3134" s="42"/>
      <c r="V3134" s="42"/>
      <c r="W3134" s="42"/>
      <c r="X3134" s="42"/>
      <c r="Y3134" s="42"/>
      <c r="Z3134" s="42"/>
      <c r="AA3134" s="42"/>
      <c r="AB3134" s="42" t="str">
        <f>IFERROR(__xludf.DUMMYFUNCTION("""COMPUTED_VALUE"""),"allen institute")</f>
        <v>allen institute</v>
      </c>
      <c r="AC3134" s="42" t="str">
        <f>IFERROR(__xludf.DUMMYFUNCTION("""COMPUTED_VALUE"""),"DHBA")</f>
        <v>DHBA</v>
      </c>
      <c r="AD3134" s="42"/>
      <c r="AE3134" s="42"/>
      <c r="AF3134" s="9"/>
      <c r="AG3134" s="9"/>
      <c r="AH3134" s="42"/>
      <c r="AI3134" s="42"/>
      <c r="AJ3134" s="42"/>
      <c r="AK3134" s="42"/>
      <c r="AL3134" s="42"/>
      <c r="AM3134" s="42"/>
      <c r="AN3134" s="42"/>
      <c r="AO3134" s="63" t="str">
        <f>IFERROR(__xludf.DUMMYFUNCTION("IF(ISBLANK(A3134),,IF(ISBLANK(S3134), A3134&amp;"";"", TEXTJOIN(CHAR(10), TRUE, A3134&amp;"";"", ARRAYFORMULA(VLOOKUP(SPLIT(S3134, "";"" &amp; CHAR(10)), $A:$AO, 41, FALSE)))))"),"RMg;")</f>
        <v>RMg;</v>
      </c>
      <c r="AP3134" s="89"/>
    </row>
    <row r="3135">
      <c r="A3135" s="151" t="str">
        <f>IFERROR(__xludf.DUMMYFUNCTION("""COMPUTED_VALUE"""),"ROb")</f>
        <v>ROb</v>
      </c>
      <c r="B3135" s="42" t="str">
        <f>IFERROR(__xludf.DUMMYFUNCTION("""COMPUTED_VALUE"""),"DHBA")</f>
        <v>DHBA</v>
      </c>
      <c r="C3135" s="42" t="str">
        <f>IFERROR(__xludf.DUMMYFUNCTION("""COMPUTED_VALUE"""),"raphe obscurus nucleus")</f>
        <v>raphe obscurus nucleus</v>
      </c>
      <c r="D3135" s="42">
        <f>IFERROR(__xludf.DUMMYFUNCTION("""COMPUTED_VALUE"""),2990.0)</f>
        <v>2990</v>
      </c>
      <c r="E3135" s="39" t="str">
        <f>IFERROR(__xludf.DUMMYFUNCTION("""COMPUTED_VALUE"""),"raphe obscurus nucleus")</f>
        <v>raphe obscurus nucleus</v>
      </c>
      <c r="F3135" s="9" t="str">
        <f>IFERROR(__xludf.DUMMYFUNCTION("""COMPUTED_VALUE"""),"Br")</f>
        <v>Br</v>
      </c>
      <c r="G3135" s="9" t="str">
        <f>IFERROR(__xludf.DUMMYFUNCTION("""COMPUTED_VALUE"""),"H")</f>
        <v>H</v>
      </c>
      <c r="H3135" s="9" t="str">
        <f>IFERROR(__xludf.DUMMYFUNCTION("""COMPUTED_VALUE"""),"HGM")</f>
        <v>HGM</v>
      </c>
      <c r="I3135" s="9" t="str">
        <f>IFERROR(__xludf.DUMMYFUNCTION("""COMPUTED_VALUE"""),"Mo")</f>
        <v>Mo</v>
      </c>
      <c r="J3135" s="9" t="str">
        <f>IFERROR(__xludf.DUMMYFUNCTION("""COMPUTED_VALUE"""),"MoTg")</f>
        <v>MoTg</v>
      </c>
      <c r="K3135" s="9" t="str">
        <f>IFERROR(__xludf.DUMMYFUNCTION("""COMPUTED_VALUE"""),"MoRa")</f>
        <v>MoRa</v>
      </c>
      <c r="L3135" s="9" t="str">
        <f>IFERROR(__xludf.DUMMYFUNCTION("""COMPUTED_VALUE"""),"ROb")</f>
        <v>ROb</v>
      </c>
      <c r="M3135" s="9"/>
      <c r="N3135" s="9"/>
      <c r="O3135" s="9"/>
      <c r="P3135" s="9"/>
      <c r="Q3135" s="9"/>
      <c r="R3135" s="9"/>
      <c r="S3135" s="42"/>
      <c r="T3135" s="42"/>
      <c r="U3135" s="42"/>
      <c r="V3135" s="42"/>
      <c r="W3135" s="42"/>
      <c r="X3135" s="42"/>
      <c r="Y3135" s="42"/>
      <c r="Z3135" s="42"/>
      <c r="AA3135" s="42"/>
      <c r="AB3135" s="42" t="str">
        <f>IFERROR(__xludf.DUMMYFUNCTION("""COMPUTED_VALUE"""),"allen institute")</f>
        <v>allen institute</v>
      </c>
      <c r="AC3135" s="42" t="str">
        <f>IFERROR(__xludf.DUMMYFUNCTION("""COMPUTED_VALUE"""),"DHBA")</f>
        <v>DHBA</v>
      </c>
      <c r="AD3135" s="42"/>
      <c r="AE3135" s="42"/>
      <c r="AF3135" s="9"/>
      <c r="AG3135" s="9"/>
      <c r="AH3135" s="42"/>
      <c r="AI3135" s="42"/>
      <c r="AJ3135" s="42"/>
      <c r="AK3135" s="42"/>
      <c r="AL3135" s="42"/>
      <c r="AM3135" s="42"/>
      <c r="AN3135" s="42"/>
      <c r="AO3135" s="63" t="str">
        <f>IFERROR(__xludf.DUMMYFUNCTION("IF(ISBLANK(A3135),,IF(ISBLANK(S3135), A3135&amp;"";"", TEXTJOIN(CHAR(10), TRUE, A3135&amp;"";"", ARRAYFORMULA(VLOOKUP(SPLIT(S3135, "";"" &amp; CHAR(10)), $A:$AO, 41, FALSE)))))"),"ROb;")</f>
        <v>ROb;</v>
      </c>
      <c r="AP3135" s="89"/>
    </row>
    <row r="3136">
      <c r="A3136" s="151" t="str">
        <f>IFERROR(__xludf.DUMMYFUNCTION("""COMPUTED_VALUE"""),"RPa")</f>
        <v>RPa</v>
      </c>
      <c r="B3136" s="42" t="str">
        <f>IFERROR(__xludf.DUMMYFUNCTION("""COMPUTED_VALUE"""),"DHBA")</f>
        <v>DHBA</v>
      </c>
      <c r="C3136" s="42" t="str">
        <f>IFERROR(__xludf.DUMMYFUNCTION("""COMPUTED_VALUE"""),"raphe pallidus nucleus")</f>
        <v>raphe pallidus nucleus</v>
      </c>
      <c r="D3136" s="42">
        <f>IFERROR(__xludf.DUMMYFUNCTION("""COMPUTED_VALUE"""),2991.0)</f>
        <v>2991</v>
      </c>
      <c r="E3136" s="39" t="str">
        <f>IFERROR(__xludf.DUMMYFUNCTION("""COMPUTED_VALUE"""),"raphe pallidus nucleus")</f>
        <v>raphe pallidus nucleus</v>
      </c>
      <c r="F3136" s="9" t="str">
        <f>IFERROR(__xludf.DUMMYFUNCTION("""COMPUTED_VALUE"""),"Br")</f>
        <v>Br</v>
      </c>
      <c r="G3136" s="9" t="str">
        <f>IFERROR(__xludf.DUMMYFUNCTION("""COMPUTED_VALUE"""),"H")</f>
        <v>H</v>
      </c>
      <c r="H3136" s="9" t="str">
        <f>IFERROR(__xludf.DUMMYFUNCTION("""COMPUTED_VALUE"""),"HGM")</f>
        <v>HGM</v>
      </c>
      <c r="I3136" s="9" t="str">
        <f>IFERROR(__xludf.DUMMYFUNCTION("""COMPUTED_VALUE"""),"Mo")</f>
        <v>Mo</v>
      </c>
      <c r="J3136" s="9" t="str">
        <f>IFERROR(__xludf.DUMMYFUNCTION("""COMPUTED_VALUE"""),"MoTg")</f>
        <v>MoTg</v>
      </c>
      <c r="K3136" s="9" t="str">
        <f>IFERROR(__xludf.DUMMYFUNCTION("""COMPUTED_VALUE"""),"MoRa")</f>
        <v>MoRa</v>
      </c>
      <c r="L3136" s="9" t="str">
        <f>IFERROR(__xludf.DUMMYFUNCTION("""COMPUTED_VALUE"""),"RPa")</f>
        <v>RPa</v>
      </c>
      <c r="M3136" s="9"/>
      <c r="N3136" s="9"/>
      <c r="O3136" s="9"/>
      <c r="P3136" s="9"/>
      <c r="Q3136" s="9"/>
      <c r="R3136" s="9"/>
      <c r="S3136" s="42"/>
      <c r="T3136" s="42"/>
      <c r="U3136" s="42"/>
      <c r="V3136" s="42"/>
      <c r="W3136" s="42"/>
      <c r="X3136" s="42"/>
      <c r="Y3136" s="42"/>
      <c r="Z3136" s="42"/>
      <c r="AA3136" s="42"/>
      <c r="AB3136" s="42" t="str">
        <f>IFERROR(__xludf.DUMMYFUNCTION("""COMPUTED_VALUE"""),"allen institute")</f>
        <v>allen institute</v>
      </c>
      <c r="AC3136" s="42" t="str">
        <f>IFERROR(__xludf.DUMMYFUNCTION("""COMPUTED_VALUE"""),"DHBA")</f>
        <v>DHBA</v>
      </c>
      <c r="AD3136" s="42"/>
      <c r="AE3136" s="42"/>
      <c r="AF3136" s="9"/>
      <c r="AG3136" s="9"/>
      <c r="AH3136" s="42"/>
      <c r="AI3136" s="42"/>
      <c r="AJ3136" s="42"/>
      <c r="AK3136" s="42"/>
      <c r="AL3136" s="42"/>
      <c r="AM3136" s="42"/>
      <c r="AN3136" s="42"/>
      <c r="AO3136" s="63" t="str">
        <f>IFERROR(__xludf.DUMMYFUNCTION("IF(ISBLANK(A3136),,IF(ISBLANK(S3136), A3136&amp;"";"", TEXTJOIN(CHAR(10), TRUE, A3136&amp;"";"", ARRAYFORMULA(VLOOKUP(SPLIT(S3136, "";"" &amp; CHAR(10)), $A:$AO, 41, FALSE)))))"),"RPa;")</f>
        <v>RPa;</v>
      </c>
      <c r="AP3136" s="89"/>
    </row>
    <row r="3137">
      <c r="A3137" s="151" t="str">
        <f>IFERROR(__xludf.DUMMYFUNCTION("""COMPUTED_VALUE"""),"NPRa")</f>
        <v>NPRa</v>
      </c>
      <c r="B3137" s="42" t="str">
        <f>IFERROR(__xludf.DUMMYFUNCTION("""COMPUTED_VALUE"""),"DHBA")</f>
        <v>DHBA</v>
      </c>
      <c r="C3137" s="42" t="str">
        <f>IFERROR(__xludf.DUMMYFUNCTION("""COMPUTED_VALUE"""),"nucleus pararaphales")</f>
        <v>nucleus pararaphales</v>
      </c>
      <c r="D3137" s="42">
        <f>IFERROR(__xludf.DUMMYFUNCTION("""COMPUTED_VALUE"""),2992.0)</f>
        <v>2992</v>
      </c>
      <c r="E3137" s="39" t="str">
        <f>IFERROR(__xludf.DUMMYFUNCTION("""COMPUTED_VALUE"""),"nucleus pararaphales")</f>
        <v>nucleus pararaphales</v>
      </c>
      <c r="F3137" s="9" t="str">
        <f>IFERROR(__xludf.DUMMYFUNCTION("""COMPUTED_VALUE"""),"Br")</f>
        <v>Br</v>
      </c>
      <c r="G3137" s="9" t="str">
        <f>IFERROR(__xludf.DUMMYFUNCTION("""COMPUTED_VALUE"""),"H")</f>
        <v>H</v>
      </c>
      <c r="H3137" s="9" t="str">
        <f>IFERROR(__xludf.DUMMYFUNCTION("""COMPUTED_VALUE"""),"HGM")</f>
        <v>HGM</v>
      </c>
      <c r="I3137" s="9" t="str">
        <f>IFERROR(__xludf.DUMMYFUNCTION("""COMPUTED_VALUE"""),"Mo")</f>
        <v>Mo</v>
      </c>
      <c r="J3137" s="9" t="str">
        <f>IFERROR(__xludf.DUMMYFUNCTION("""COMPUTED_VALUE"""),"MoTg")</f>
        <v>MoTg</v>
      </c>
      <c r="K3137" s="9" t="str">
        <f>IFERROR(__xludf.DUMMYFUNCTION("""COMPUTED_VALUE"""),"MoRa")</f>
        <v>MoRa</v>
      </c>
      <c r="L3137" s="9" t="str">
        <f>IFERROR(__xludf.DUMMYFUNCTION("""COMPUTED_VALUE"""),"NPRa")</f>
        <v>NPRa</v>
      </c>
      <c r="M3137" s="9"/>
      <c r="N3137" s="9"/>
      <c r="O3137" s="9"/>
      <c r="P3137" s="9"/>
      <c r="Q3137" s="9"/>
      <c r="R3137" s="9"/>
      <c r="S3137" s="42"/>
      <c r="T3137" s="42"/>
      <c r="U3137" s="42"/>
      <c r="V3137" s="42"/>
      <c r="W3137" s="42"/>
      <c r="X3137" s="42"/>
      <c r="Y3137" s="42"/>
      <c r="Z3137" s="42"/>
      <c r="AA3137" s="42"/>
      <c r="AB3137" s="42" t="str">
        <f>IFERROR(__xludf.DUMMYFUNCTION("""COMPUTED_VALUE"""),"allen institute")</f>
        <v>allen institute</v>
      </c>
      <c r="AC3137" s="42" t="str">
        <f>IFERROR(__xludf.DUMMYFUNCTION("""COMPUTED_VALUE"""),"DHBA")</f>
        <v>DHBA</v>
      </c>
      <c r="AD3137" s="42"/>
      <c r="AE3137" s="42"/>
      <c r="AF3137" s="9"/>
      <c r="AG3137" s="9"/>
      <c r="AH3137" s="42"/>
      <c r="AI3137" s="42"/>
      <c r="AJ3137" s="42"/>
      <c r="AK3137" s="42"/>
      <c r="AL3137" s="42"/>
      <c r="AM3137" s="42"/>
      <c r="AN3137" s="42"/>
      <c r="AO3137" s="63" t="str">
        <f>IFERROR(__xludf.DUMMYFUNCTION("IF(ISBLANK(A3137),,IF(ISBLANK(S3137), A3137&amp;"";"", TEXTJOIN(CHAR(10), TRUE, A3137&amp;"";"", ARRAYFORMULA(VLOOKUP(SPLIT(S3137, "";"" &amp; CHAR(10)), $A:$AO, 41, FALSE)))))"),"NPRa;")</f>
        <v>NPRa;</v>
      </c>
      <c r="AP3137" s="89"/>
    </row>
    <row r="3138">
      <c r="A3138" s="151" t="str">
        <f>IFERROR(__xludf.DUMMYFUNCTION("""COMPUTED_VALUE"""),"XMoTg")</f>
        <v>XMoTg</v>
      </c>
      <c r="B3138" s="42" t="str">
        <f>IFERROR(__xludf.DUMMYFUNCTION("""COMPUTED_VALUE"""),"DHBA")</f>
        <v>DHBA</v>
      </c>
      <c r="C3138" s="42" t="str">
        <f>IFERROR(__xludf.DUMMYFUNCTION("""COMPUTED_VALUE"""),"other nuclei in medullary tegmentum")</f>
        <v>other nuclei in medullary tegmentum</v>
      </c>
      <c r="D3138" s="42">
        <f>IFERROR(__xludf.DUMMYFUNCTION("""COMPUTED_VALUE"""),2993.0)</f>
        <v>2993</v>
      </c>
      <c r="E3138" s="39" t="str">
        <f>IFERROR(__xludf.DUMMYFUNCTION("""COMPUTED_VALUE"""),"other nuclei in medullary tegmentum")</f>
        <v>other nuclei in medullary tegmentum</v>
      </c>
      <c r="F3138" s="9" t="str">
        <f>IFERROR(__xludf.DUMMYFUNCTION("""COMPUTED_VALUE"""),"Br")</f>
        <v>Br</v>
      </c>
      <c r="G3138" s="9" t="str">
        <f>IFERROR(__xludf.DUMMYFUNCTION("""COMPUTED_VALUE"""),"H")</f>
        <v>H</v>
      </c>
      <c r="H3138" s="9" t="str">
        <f>IFERROR(__xludf.DUMMYFUNCTION("""COMPUTED_VALUE"""),"HGM")</f>
        <v>HGM</v>
      </c>
      <c r="I3138" s="9" t="str">
        <f>IFERROR(__xludf.DUMMYFUNCTION("""COMPUTED_VALUE"""),"Mo")</f>
        <v>Mo</v>
      </c>
      <c r="J3138" s="9" t="str">
        <f>IFERROR(__xludf.DUMMYFUNCTION("""COMPUTED_VALUE"""),"MoTg")</f>
        <v>MoTg</v>
      </c>
      <c r="K3138" s="9" t="str">
        <f>IFERROR(__xludf.DUMMYFUNCTION("""COMPUTED_VALUE"""),"XMoTg")</f>
        <v>XMoTg</v>
      </c>
      <c r="L3138" s="9"/>
      <c r="M3138" s="9"/>
      <c r="N3138" s="9"/>
      <c r="O3138" s="9"/>
      <c r="P3138" s="9"/>
      <c r="Q3138" s="9"/>
      <c r="R3138" s="9"/>
      <c r="S3138" s="42" t="str">
        <f>IFERROR(__xludf.DUMMYFUNCTION("""COMPUTED_VALUE"""),"Au;
BI;
Bo;
CGL;
MoCG;
DPO;
MoE;
EL;
EF;
IF12;
IB;
Nt;
Z;
Y;
X;
Ro;
PaRa;
Pa5;
PeCu;
Pe5;
PrBo;
RAmb;
SSp;
SuL")</f>
        <v>Au;
BI;
Bo;
CGL;
MoCG;
DPO;
MoE;
EL;
EF;
IF12;
IB;
Nt;
Z;
Y;
X;
Ro;
PaRa;
Pa5;
PeCu;
Pe5;
PrBo;
RAmb;
SSp;
SuL</v>
      </c>
      <c r="T3138" s="42"/>
      <c r="U3138" s="42" t="b">
        <f>IFERROR(__xludf.DUMMYFUNCTION("""COMPUTED_VALUE"""),FALSE)</f>
        <v>0</v>
      </c>
      <c r="V3138" s="42"/>
      <c r="W3138" s="42"/>
      <c r="X3138" s="42"/>
      <c r="Y3138" s="42"/>
      <c r="Z3138" s="42"/>
      <c r="AA3138" s="42"/>
      <c r="AB3138" s="42" t="str">
        <f>IFERROR(__xludf.DUMMYFUNCTION("""COMPUTED_VALUE"""),"allen institute")</f>
        <v>allen institute</v>
      </c>
      <c r="AC3138" s="42" t="str">
        <f>IFERROR(__xludf.DUMMYFUNCTION("""COMPUTED_VALUE"""),"DHBA")</f>
        <v>DHBA</v>
      </c>
      <c r="AD3138" s="42"/>
      <c r="AE3138" s="42"/>
      <c r="AF3138" s="9"/>
      <c r="AG3138" s="9"/>
      <c r="AH3138" s="42"/>
      <c r="AI3138" s="42"/>
      <c r="AJ3138" s="42"/>
      <c r="AK3138" s="42"/>
      <c r="AL3138" s="42"/>
      <c r="AM3138" s="42"/>
      <c r="AN3138" s="42"/>
      <c r="AO3138" s="63" t="str">
        <f>IFERROR(__xludf.DUMMYFUNCTION("IF(ISBLANK(A3138),,IF(ISBLANK(S3138), A3138&amp;"";"", TEXTJOIN(CHAR(10), TRUE, A3138&amp;"";"", ARRAYFORMULA(VLOOKUP(SPLIT(S3138, "";"" &amp; CHAR(10)), $A:$AO, 41, FALSE)))))"),"XMoTg;
Au;
BI;
Bo;
CGL;
MoCG;
DPO;
MoE;
EL;
EF;
IF12;
IB;
Nt;
Z;
Y;
X;
RO;
PaRa;
Pa5;
PeCu;
Pe5;
PrBo;
RAmb;
SSp;
SuL;")</f>
        <v>XMoTg;
Au;
BI;
Bo;
CGL;
MoCG;
DPO;
MoE;
EL;
EF;
IF12;
IB;
Nt;
Z;
Y;
X;
RO;
PaRa;
Pa5;
PeCu;
Pe5;
PrBo;
RAmb;
SSp;
SuL;</v>
      </c>
      <c r="AP3138" s="89"/>
    </row>
    <row r="3139">
      <c r="A3139" s="151" t="str">
        <f>IFERROR(__xludf.DUMMYFUNCTION("""COMPUTED_VALUE"""),"Au")</f>
        <v>Au</v>
      </c>
      <c r="B3139" s="42" t="str">
        <f>IFERROR(__xludf.DUMMYFUNCTION("""COMPUTED_VALUE"""),"DHBA")</f>
        <v>DHBA</v>
      </c>
      <c r="C3139" s="42" t="str">
        <f>IFERROR(__xludf.DUMMYFUNCTION("""COMPUTED_VALUE"""),"austral nucleus")</f>
        <v>austral nucleus</v>
      </c>
      <c r="D3139" s="42">
        <f>IFERROR(__xludf.DUMMYFUNCTION("""COMPUTED_VALUE"""),2994.0)</f>
        <v>2994</v>
      </c>
      <c r="E3139" s="39" t="str">
        <f>IFERROR(__xludf.DUMMYFUNCTION("""COMPUTED_VALUE"""),"austral nucleus")</f>
        <v>austral nucleus</v>
      </c>
      <c r="F3139" s="9" t="str">
        <f>IFERROR(__xludf.DUMMYFUNCTION("""COMPUTED_VALUE"""),"Br")</f>
        <v>Br</v>
      </c>
      <c r="G3139" s="9" t="str">
        <f>IFERROR(__xludf.DUMMYFUNCTION("""COMPUTED_VALUE"""),"H")</f>
        <v>H</v>
      </c>
      <c r="H3139" s="9" t="str">
        <f>IFERROR(__xludf.DUMMYFUNCTION("""COMPUTED_VALUE"""),"HGM")</f>
        <v>HGM</v>
      </c>
      <c r="I3139" s="9" t="str">
        <f>IFERROR(__xludf.DUMMYFUNCTION("""COMPUTED_VALUE"""),"Mo")</f>
        <v>Mo</v>
      </c>
      <c r="J3139" s="9" t="str">
        <f>IFERROR(__xludf.DUMMYFUNCTION("""COMPUTED_VALUE"""),"MoTg")</f>
        <v>MoTg</v>
      </c>
      <c r="K3139" s="9" t="str">
        <f>IFERROR(__xludf.DUMMYFUNCTION("""COMPUTED_VALUE"""),"XMoTg")</f>
        <v>XMoTg</v>
      </c>
      <c r="L3139" s="9" t="str">
        <f>IFERROR(__xludf.DUMMYFUNCTION("""COMPUTED_VALUE"""),"Au")</f>
        <v>Au</v>
      </c>
      <c r="M3139" s="9"/>
      <c r="N3139" s="9"/>
      <c r="O3139" s="9"/>
      <c r="P3139" s="9"/>
      <c r="Q3139" s="9"/>
      <c r="R3139" s="9"/>
      <c r="S3139" s="42"/>
      <c r="T3139" s="42"/>
      <c r="U3139" s="42"/>
      <c r="V3139" s="42"/>
      <c r="W3139" s="42"/>
      <c r="X3139" s="42"/>
      <c r="Y3139" s="42"/>
      <c r="Z3139" s="42"/>
      <c r="AA3139" s="42"/>
      <c r="AB3139" s="42" t="str">
        <f>IFERROR(__xludf.DUMMYFUNCTION("""COMPUTED_VALUE"""),"allen institute")</f>
        <v>allen institute</v>
      </c>
      <c r="AC3139" s="42" t="str">
        <f>IFERROR(__xludf.DUMMYFUNCTION("""COMPUTED_VALUE"""),"DHBA")</f>
        <v>DHBA</v>
      </c>
      <c r="AD3139" s="42"/>
      <c r="AE3139" s="42"/>
      <c r="AF3139" s="9"/>
      <c r="AG3139" s="9"/>
      <c r="AH3139" s="42"/>
      <c r="AI3139" s="42"/>
      <c r="AJ3139" s="42"/>
      <c r="AK3139" s="42"/>
      <c r="AL3139" s="42"/>
      <c r="AM3139" s="42"/>
      <c r="AN3139" s="42"/>
      <c r="AO3139" s="63" t="str">
        <f>IFERROR(__xludf.DUMMYFUNCTION("IF(ISBLANK(A3139),,IF(ISBLANK(S3139), A3139&amp;"";"", TEXTJOIN(CHAR(10), TRUE, A3139&amp;"";"", ARRAYFORMULA(VLOOKUP(SPLIT(S3139, "";"" &amp; CHAR(10)), $A:$AO, 41, FALSE)))))"),"Au;")</f>
        <v>Au;</v>
      </c>
      <c r="AP3139" s="89"/>
    </row>
    <row r="3140">
      <c r="A3140" s="151" t="str">
        <f>IFERROR(__xludf.DUMMYFUNCTION("""COMPUTED_VALUE"""),"BI")</f>
        <v>BI</v>
      </c>
      <c r="B3140" s="42" t="str">
        <f>IFERROR(__xludf.DUMMYFUNCTION("""COMPUTED_VALUE"""),"DHBA")</f>
        <v>DHBA</v>
      </c>
      <c r="C3140" s="42" t="str">
        <f>IFERROR(__xludf.DUMMYFUNCTION("""COMPUTED_VALUE"""),"basal interstitial nucleus")</f>
        <v>basal interstitial nucleus</v>
      </c>
      <c r="D3140" s="42">
        <f>IFERROR(__xludf.DUMMYFUNCTION("""COMPUTED_VALUE"""),2995.0)</f>
        <v>2995</v>
      </c>
      <c r="E3140" s="39" t="str">
        <f>IFERROR(__xludf.DUMMYFUNCTION("""COMPUTED_VALUE"""),"basal interstitial nucleus")</f>
        <v>basal interstitial nucleus</v>
      </c>
      <c r="F3140" s="9" t="str">
        <f>IFERROR(__xludf.DUMMYFUNCTION("""COMPUTED_VALUE"""),"Br")</f>
        <v>Br</v>
      </c>
      <c r="G3140" s="9" t="str">
        <f>IFERROR(__xludf.DUMMYFUNCTION("""COMPUTED_VALUE"""),"H")</f>
        <v>H</v>
      </c>
      <c r="H3140" s="9" t="str">
        <f>IFERROR(__xludf.DUMMYFUNCTION("""COMPUTED_VALUE"""),"HGM")</f>
        <v>HGM</v>
      </c>
      <c r="I3140" s="9" t="str">
        <f>IFERROR(__xludf.DUMMYFUNCTION("""COMPUTED_VALUE"""),"Mo")</f>
        <v>Mo</v>
      </c>
      <c r="J3140" s="9" t="str">
        <f>IFERROR(__xludf.DUMMYFUNCTION("""COMPUTED_VALUE"""),"MoTg")</f>
        <v>MoTg</v>
      </c>
      <c r="K3140" s="9" t="str">
        <f>IFERROR(__xludf.DUMMYFUNCTION("""COMPUTED_VALUE"""),"XMoTg")</f>
        <v>XMoTg</v>
      </c>
      <c r="L3140" s="9" t="str">
        <f>IFERROR(__xludf.DUMMYFUNCTION("""COMPUTED_VALUE"""),"BI")</f>
        <v>BI</v>
      </c>
      <c r="M3140" s="9"/>
      <c r="N3140" s="9"/>
      <c r="O3140" s="9"/>
      <c r="P3140" s="9"/>
      <c r="Q3140" s="9"/>
      <c r="R3140" s="9"/>
      <c r="S3140" s="42"/>
      <c r="T3140" s="42"/>
      <c r="U3140" s="42"/>
      <c r="V3140" s="42"/>
      <c r="W3140" s="42"/>
      <c r="X3140" s="42"/>
      <c r="Y3140" s="42"/>
      <c r="Z3140" s="42"/>
      <c r="AA3140" s="42"/>
      <c r="AB3140" s="42" t="str">
        <f>IFERROR(__xludf.DUMMYFUNCTION("""COMPUTED_VALUE"""),"allen institute")</f>
        <v>allen institute</v>
      </c>
      <c r="AC3140" s="42" t="str">
        <f>IFERROR(__xludf.DUMMYFUNCTION("""COMPUTED_VALUE"""),"DHBA")</f>
        <v>DHBA</v>
      </c>
      <c r="AD3140" s="42"/>
      <c r="AE3140" s="42"/>
      <c r="AF3140" s="9"/>
      <c r="AG3140" s="9"/>
      <c r="AH3140" s="42"/>
      <c r="AI3140" s="42"/>
      <c r="AJ3140" s="42"/>
      <c r="AK3140" s="42"/>
      <c r="AL3140" s="42"/>
      <c r="AM3140" s="42"/>
      <c r="AN3140" s="42"/>
      <c r="AO3140" s="63" t="str">
        <f>IFERROR(__xludf.DUMMYFUNCTION("IF(ISBLANK(A3140),,IF(ISBLANK(S3140), A3140&amp;"";"", TEXTJOIN(CHAR(10), TRUE, A3140&amp;"";"", ARRAYFORMULA(VLOOKUP(SPLIT(S3140, "";"" &amp; CHAR(10)), $A:$AO, 41, FALSE)))))"),"BI;")</f>
        <v>BI;</v>
      </c>
      <c r="AP3140" s="89"/>
    </row>
    <row r="3141">
      <c r="A3141" s="151" t="str">
        <f>IFERROR(__xludf.DUMMYFUNCTION("""COMPUTED_VALUE"""),"Bo")</f>
        <v>Bo</v>
      </c>
      <c r="B3141" s="42" t="str">
        <f>IFERROR(__xludf.DUMMYFUNCTION("""COMPUTED_VALUE"""),"DHBA")</f>
        <v>DHBA</v>
      </c>
      <c r="C3141" s="42" t="str">
        <f>IFERROR(__xludf.DUMMYFUNCTION("""COMPUTED_VALUE"""),"Botzinger complex")</f>
        <v>Botzinger complex</v>
      </c>
      <c r="D3141" s="42">
        <f>IFERROR(__xludf.DUMMYFUNCTION("""COMPUTED_VALUE"""),2996.0)</f>
        <v>2996</v>
      </c>
      <c r="E3141" s="39" t="str">
        <f>IFERROR(__xludf.DUMMYFUNCTION("""COMPUTED_VALUE"""),"Botzinger complex")</f>
        <v>Botzinger complex</v>
      </c>
      <c r="F3141" s="9" t="str">
        <f>IFERROR(__xludf.DUMMYFUNCTION("""COMPUTED_VALUE"""),"Br")</f>
        <v>Br</v>
      </c>
      <c r="G3141" s="9" t="str">
        <f>IFERROR(__xludf.DUMMYFUNCTION("""COMPUTED_VALUE"""),"H")</f>
        <v>H</v>
      </c>
      <c r="H3141" s="9" t="str">
        <f>IFERROR(__xludf.DUMMYFUNCTION("""COMPUTED_VALUE"""),"HGM")</f>
        <v>HGM</v>
      </c>
      <c r="I3141" s="9" t="str">
        <f>IFERROR(__xludf.DUMMYFUNCTION("""COMPUTED_VALUE"""),"Mo")</f>
        <v>Mo</v>
      </c>
      <c r="J3141" s="9" t="str">
        <f>IFERROR(__xludf.DUMMYFUNCTION("""COMPUTED_VALUE"""),"MoTg")</f>
        <v>MoTg</v>
      </c>
      <c r="K3141" s="9" t="str">
        <f>IFERROR(__xludf.DUMMYFUNCTION("""COMPUTED_VALUE"""),"XMoTg")</f>
        <v>XMoTg</v>
      </c>
      <c r="L3141" s="9" t="str">
        <f>IFERROR(__xludf.DUMMYFUNCTION("""COMPUTED_VALUE"""),"Bo")</f>
        <v>Bo</v>
      </c>
      <c r="M3141" s="9"/>
      <c r="N3141" s="9"/>
      <c r="O3141" s="9"/>
      <c r="P3141" s="9"/>
      <c r="Q3141" s="9"/>
      <c r="R3141" s="9"/>
      <c r="S3141" s="42"/>
      <c r="T3141" s="42"/>
      <c r="U3141" s="42"/>
      <c r="V3141" s="42"/>
      <c r="W3141" s="42"/>
      <c r="X3141" s="42"/>
      <c r="Y3141" s="42"/>
      <c r="Z3141" s="42"/>
      <c r="AA3141" s="42"/>
      <c r="AB3141" s="42" t="str">
        <f>IFERROR(__xludf.DUMMYFUNCTION("""COMPUTED_VALUE"""),"allen institute")</f>
        <v>allen institute</v>
      </c>
      <c r="AC3141" s="42" t="str">
        <f>IFERROR(__xludf.DUMMYFUNCTION("""COMPUTED_VALUE"""),"DHBA")</f>
        <v>DHBA</v>
      </c>
      <c r="AD3141" s="42"/>
      <c r="AE3141" s="42"/>
      <c r="AF3141" s="9"/>
      <c r="AG3141" s="9"/>
      <c r="AH3141" s="42"/>
      <c r="AI3141" s="42"/>
      <c r="AJ3141" s="42"/>
      <c r="AK3141" s="42"/>
      <c r="AL3141" s="42"/>
      <c r="AM3141" s="42"/>
      <c r="AN3141" s="42"/>
      <c r="AO3141" s="63" t="str">
        <f>IFERROR(__xludf.DUMMYFUNCTION("IF(ISBLANK(A3141),,IF(ISBLANK(S3141), A3141&amp;"";"", TEXTJOIN(CHAR(10), TRUE, A3141&amp;"";"", ARRAYFORMULA(VLOOKUP(SPLIT(S3141, "";"" &amp; CHAR(10)), $A:$AO, 41, FALSE)))))"),"Bo;")</f>
        <v>Bo;</v>
      </c>
      <c r="AP3141" s="89"/>
    </row>
    <row r="3142">
      <c r="A3142" s="151" t="str">
        <f>IFERROR(__xludf.DUMMYFUNCTION("""COMPUTED_VALUE"""),"CGL")</f>
        <v>CGL</v>
      </c>
      <c r="B3142" s="42" t="str">
        <f>IFERROR(__xludf.DUMMYFUNCTION("""COMPUTED_VALUE"""),"DHBA")</f>
        <v>DHBA</v>
      </c>
      <c r="C3142" s="42" t="str">
        <f>IFERROR(__xludf.DUMMYFUNCTION("""COMPUTED_VALUE"""),"central glial substance")</f>
        <v>central glial substance</v>
      </c>
      <c r="D3142" s="42">
        <f>IFERROR(__xludf.DUMMYFUNCTION("""COMPUTED_VALUE"""),2997.0)</f>
        <v>2997</v>
      </c>
      <c r="E3142" s="39" t="str">
        <f>IFERROR(__xludf.DUMMYFUNCTION("""COMPUTED_VALUE"""),"central glial substance")</f>
        <v>central glial substance</v>
      </c>
      <c r="F3142" s="9" t="str">
        <f>IFERROR(__xludf.DUMMYFUNCTION("""COMPUTED_VALUE"""),"Br")</f>
        <v>Br</v>
      </c>
      <c r="G3142" s="9" t="str">
        <f>IFERROR(__xludf.DUMMYFUNCTION("""COMPUTED_VALUE"""),"H")</f>
        <v>H</v>
      </c>
      <c r="H3142" s="9" t="str">
        <f>IFERROR(__xludf.DUMMYFUNCTION("""COMPUTED_VALUE"""),"HGM")</f>
        <v>HGM</v>
      </c>
      <c r="I3142" s="9" t="str">
        <f>IFERROR(__xludf.DUMMYFUNCTION("""COMPUTED_VALUE"""),"Mo")</f>
        <v>Mo</v>
      </c>
      <c r="J3142" s="9" t="str">
        <f>IFERROR(__xludf.DUMMYFUNCTION("""COMPUTED_VALUE"""),"MoTg")</f>
        <v>MoTg</v>
      </c>
      <c r="K3142" s="9" t="str">
        <f>IFERROR(__xludf.DUMMYFUNCTION("""COMPUTED_VALUE"""),"XMoTg")</f>
        <v>XMoTg</v>
      </c>
      <c r="L3142" s="9" t="str">
        <f>IFERROR(__xludf.DUMMYFUNCTION("""COMPUTED_VALUE"""),"CGL")</f>
        <v>CGL</v>
      </c>
      <c r="M3142" s="9"/>
      <c r="N3142" s="9"/>
      <c r="O3142" s="9"/>
      <c r="P3142" s="9"/>
      <c r="Q3142" s="9"/>
      <c r="R3142" s="9"/>
      <c r="S3142" s="42"/>
      <c r="T3142" s="42"/>
      <c r="U3142" s="42"/>
      <c r="V3142" s="42"/>
      <c r="W3142" s="42"/>
      <c r="X3142" s="42"/>
      <c r="Y3142" s="42"/>
      <c r="Z3142" s="42"/>
      <c r="AA3142" s="42"/>
      <c r="AB3142" s="42" t="str">
        <f>IFERROR(__xludf.DUMMYFUNCTION("""COMPUTED_VALUE"""),"allen institute")</f>
        <v>allen institute</v>
      </c>
      <c r="AC3142" s="42" t="str">
        <f>IFERROR(__xludf.DUMMYFUNCTION("""COMPUTED_VALUE"""),"DHBA")</f>
        <v>DHBA</v>
      </c>
      <c r="AD3142" s="42"/>
      <c r="AE3142" s="42"/>
      <c r="AF3142" s="9"/>
      <c r="AG3142" s="9"/>
      <c r="AH3142" s="42"/>
      <c r="AI3142" s="42"/>
      <c r="AJ3142" s="42"/>
      <c r="AK3142" s="42"/>
      <c r="AL3142" s="42"/>
      <c r="AM3142" s="42"/>
      <c r="AN3142" s="42"/>
      <c r="AO3142" s="63" t="str">
        <f>IFERROR(__xludf.DUMMYFUNCTION("IF(ISBLANK(A3142),,IF(ISBLANK(S3142), A3142&amp;"";"", TEXTJOIN(CHAR(10), TRUE, A3142&amp;"";"", ARRAYFORMULA(VLOOKUP(SPLIT(S3142, "";"" &amp; CHAR(10)), $A:$AO, 41, FALSE)))))"),"CGL;")</f>
        <v>CGL;</v>
      </c>
      <c r="AP3142" s="89"/>
    </row>
    <row r="3143">
      <c r="A3143" s="151" t="str">
        <f>IFERROR(__xludf.DUMMYFUNCTION("""COMPUTED_VALUE"""),"MoCG")</f>
        <v>MoCG</v>
      </c>
      <c r="B3143" s="42" t="str">
        <f>IFERROR(__xludf.DUMMYFUNCTION("""COMPUTED_VALUE"""),"DHBA")</f>
        <v>DHBA</v>
      </c>
      <c r="C3143" s="42" t="str">
        <f>IFERROR(__xludf.DUMMYFUNCTION("""COMPUTED_VALUE"""),"central gray of medulla oblongata")</f>
        <v>central gray of medulla oblongata</v>
      </c>
      <c r="D3143" s="42">
        <f>IFERROR(__xludf.DUMMYFUNCTION("""COMPUTED_VALUE"""),2998.0)</f>
        <v>2998</v>
      </c>
      <c r="E3143" s="39" t="str">
        <f>IFERROR(__xludf.DUMMYFUNCTION("""COMPUTED_VALUE"""),"central gray of medulla oblongata")</f>
        <v>central gray of medulla oblongata</v>
      </c>
      <c r="F3143" s="9" t="str">
        <f>IFERROR(__xludf.DUMMYFUNCTION("""COMPUTED_VALUE"""),"Br")</f>
        <v>Br</v>
      </c>
      <c r="G3143" s="9" t="str">
        <f>IFERROR(__xludf.DUMMYFUNCTION("""COMPUTED_VALUE"""),"H")</f>
        <v>H</v>
      </c>
      <c r="H3143" s="9" t="str">
        <f>IFERROR(__xludf.DUMMYFUNCTION("""COMPUTED_VALUE"""),"HGM")</f>
        <v>HGM</v>
      </c>
      <c r="I3143" s="9" t="str">
        <f>IFERROR(__xludf.DUMMYFUNCTION("""COMPUTED_VALUE"""),"Mo")</f>
        <v>Mo</v>
      </c>
      <c r="J3143" s="9" t="str">
        <f>IFERROR(__xludf.DUMMYFUNCTION("""COMPUTED_VALUE"""),"MoTg")</f>
        <v>MoTg</v>
      </c>
      <c r="K3143" s="9" t="str">
        <f>IFERROR(__xludf.DUMMYFUNCTION("""COMPUTED_VALUE"""),"XMoTg")</f>
        <v>XMoTg</v>
      </c>
      <c r="L3143" s="9" t="str">
        <f>IFERROR(__xludf.DUMMYFUNCTION("""COMPUTED_VALUE"""),"MoCG")</f>
        <v>MoCG</v>
      </c>
      <c r="M3143" s="9"/>
      <c r="N3143" s="9"/>
      <c r="O3143" s="9"/>
      <c r="P3143" s="9"/>
      <c r="Q3143" s="9"/>
      <c r="R3143" s="9"/>
      <c r="S3143" s="42"/>
      <c r="T3143" s="42"/>
      <c r="U3143" s="42"/>
      <c r="V3143" s="42"/>
      <c r="W3143" s="42"/>
      <c r="X3143" s="42"/>
      <c r="Y3143" s="42"/>
      <c r="Z3143" s="42"/>
      <c r="AA3143" s="42"/>
      <c r="AB3143" s="42" t="str">
        <f>IFERROR(__xludf.DUMMYFUNCTION("""COMPUTED_VALUE"""),"allen institute")</f>
        <v>allen institute</v>
      </c>
      <c r="AC3143" s="42" t="str">
        <f>IFERROR(__xludf.DUMMYFUNCTION("""COMPUTED_VALUE"""),"DHBA")</f>
        <v>DHBA</v>
      </c>
      <c r="AD3143" s="42"/>
      <c r="AE3143" s="42"/>
      <c r="AF3143" s="9"/>
      <c r="AG3143" s="9"/>
      <c r="AH3143" s="42"/>
      <c r="AI3143" s="42"/>
      <c r="AJ3143" s="42"/>
      <c r="AK3143" s="42"/>
      <c r="AL3143" s="42"/>
      <c r="AM3143" s="42"/>
      <c r="AN3143" s="42"/>
      <c r="AO3143" s="63" t="str">
        <f>IFERROR(__xludf.DUMMYFUNCTION("IF(ISBLANK(A3143),,IF(ISBLANK(S3143), A3143&amp;"";"", TEXTJOIN(CHAR(10), TRUE, A3143&amp;"";"", ARRAYFORMULA(VLOOKUP(SPLIT(S3143, "";"" &amp; CHAR(10)), $A:$AO, 41, FALSE)))))"),"MoCG;")</f>
        <v>MoCG;</v>
      </c>
      <c r="AP3143" s="89"/>
    </row>
    <row r="3144">
      <c r="A3144" s="151" t="str">
        <f>IFERROR(__xludf.DUMMYFUNCTION("""COMPUTED_VALUE"""),"DPO")</f>
        <v>DPO</v>
      </c>
      <c r="B3144" s="42" t="str">
        <f>IFERROR(__xludf.DUMMYFUNCTION("""COMPUTED_VALUE"""),"DHBA")</f>
        <v>DHBA</v>
      </c>
      <c r="C3144" s="42" t="str">
        <f>IFERROR(__xludf.DUMMYFUNCTION("""COMPUTED_VALUE"""),"dorsal periolivary nucleus")</f>
        <v>dorsal periolivary nucleus</v>
      </c>
      <c r="D3144" s="42">
        <f>IFERROR(__xludf.DUMMYFUNCTION("""COMPUTED_VALUE"""),2999.0)</f>
        <v>2999</v>
      </c>
      <c r="E3144" s="39" t="str">
        <f>IFERROR(__xludf.DUMMYFUNCTION("""COMPUTED_VALUE"""),"dorsal periolivary nucleus")</f>
        <v>dorsal periolivary nucleus</v>
      </c>
      <c r="F3144" s="9" t="str">
        <f>IFERROR(__xludf.DUMMYFUNCTION("""COMPUTED_VALUE"""),"Br")</f>
        <v>Br</v>
      </c>
      <c r="G3144" s="9" t="str">
        <f>IFERROR(__xludf.DUMMYFUNCTION("""COMPUTED_VALUE"""),"H")</f>
        <v>H</v>
      </c>
      <c r="H3144" s="9" t="str">
        <f>IFERROR(__xludf.DUMMYFUNCTION("""COMPUTED_VALUE"""),"HGM")</f>
        <v>HGM</v>
      </c>
      <c r="I3144" s="9" t="str">
        <f>IFERROR(__xludf.DUMMYFUNCTION("""COMPUTED_VALUE"""),"Mo")</f>
        <v>Mo</v>
      </c>
      <c r="J3144" s="9" t="str">
        <f>IFERROR(__xludf.DUMMYFUNCTION("""COMPUTED_VALUE"""),"MoTg")</f>
        <v>MoTg</v>
      </c>
      <c r="K3144" s="9" t="str">
        <f>IFERROR(__xludf.DUMMYFUNCTION("""COMPUTED_VALUE"""),"XMoTg")</f>
        <v>XMoTg</v>
      </c>
      <c r="L3144" s="9" t="str">
        <f>IFERROR(__xludf.DUMMYFUNCTION("""COMPUTED_VALUE"""),"DPO")</f>
        <v>DPO</v>
      </c>
      <c r="M3144" s="9"/>
      <c r="N3144" s="9"/>
      <c r="O3144" s="9"/>
      <c r="P3144" s="9"/>
      <c r="Q3144" s="9"/>
      <c r="R3144" s="9"/>
      <c r="S3144" s="42"/>
      <c r="T3144" s="42"/>
      <c r="U3144" s="42"/>
      <c r="V3144" s="42"/>
      <c r="W3144" s="42"/>
      <c r="X3144" s="42"/>
      <c r="Y3144" s="42"/>
      <c r="Z3144" s="42"/>
      <c r="AA3144" s="42"/>
      <c r="AB3144" s="42" t="str">
        <f>IFERROR(__xludf.DUMMYFUNCTION("""COMPUTED_VALUE"""),"allen institute")</f>
        <v>allen institute</v>
      </c>
      <c r="AC3144" s="42" t="str">
        <f>IFERROR(__xludf.DUMMYFUNCTION("""COMPUTED_VALUE"""),"DHBA")</f>
        <v>DHBA</v>
      </c>
      <c r="AD3144" s="42"/>
      <c r="AE3144" s="42"/>
      <c r="AF3144" s="9"/>
      <c r="AG3144" s="9"/>
      <c r="AH3144" s="42"/>
      <c r="AI3144" s="42"/>
      <c r="AJ3144" s="42"/>
      <c r="AK3144" s="42"/>
      <c r="AL3144" s="42"/>
      <c r="AM3144" s="42"/>
      <c r="AN3144" s="42"/>
      <c r="AO3144" s="63" t="str">
        <f>IFERROR(__xludf.DUMMYFUNCTION("IF(ISBLANK(A3144),,IF(ISBLANK(S3144), A3144&amp;"";"", TEXTJOIN(CHAR(10), TRUE, A3144&amp;"";"", ARRAYFORMULA(VLOOKUP(SPLIT(S3144, "";"" &amp; CHAR(10)), $A:$AO, 41, FALSE)))))"),"DPO;")</f>
        <v>DPO;</v>
      </c>
      <c r="AP3144" s="89"/>
    </row>
    <row r="3145">
      <c r="A3145" s="151" t="str">
        <f>IFERROR(__xludf.DUMMYFUNCTION("""COMPUTED_VALUE"""),"MoE")</f>
        <v>MoE</v>
      </c>
      <c r="B3145" s="42" t="str">
        <f>IFERROR(__xludf.DUMMYFUNCTION("""COMPUTED_VALUE"""),"DHBA")</f>
        <v>DHBA</v>
      </c>
      <c r="C3145" s="42" t="str">
        <f>IFERROR(__xludf.DUMMYFUNCTION("""COMPUTED_VALUE"""),"ependyma and subependymal layers of the medulla")</f>
        <v>ependyma and subependymal layers of the medulla</v>
      </c>
      <c r="D3145" s="42">
        <f>IFERROR(__xludf.DUMMYFUNCTION("""COMPUTED_VALUE"""),3000.0)</f>
        <v>3000</v>
      </c>
      <c r="E3145" s="39" t="str">
        <f>IFERROR(__xludf.DUMMYFUNCTION("""COMPUTED_VALUE"""),"ependyma and subependymal layers of the medulla")</f>
        <v>ependyma and subependymal layers of the medulla</v>
      </c>
      <c r="F3145" s="9" t="str">
        <f>IFERROR(__xludf.DUMMYFUNCTION("""COMPUTED_VALUE"""),"Br")</f>
        <v>Br</v>
      </c>
      <c r="G3145" s="9" t="str">
        <f>IFERROR(__xludf.DUMMYFUNCTION("""COMPUTED_VALUE"""),"H")</f>
        <v>H</v>
      </c>
      <c r="H3145" s="9" t="str">
        <f>IFERROR(__xludf.DUMMYFUNCTION("""COMPUTED_VALUE"""),"HGM")</f>
        <v>HGM</v>
      </c>
      <c r="I3145" s="9" t="str">
        <f>IFERROR(__xludf.DUMMYFUNCTION("""COMPUTED_VALUE"""),"Mo")</f>
        <v>Mo</v>
      </c>
      <c r="J3145" s="9" t="str">
        <f>IFERROR(__xludf.DUMMYFUNCTION("""COMPUTED_VALUE"""),"MoTg")</f>
        <v>MoTg</v>
      </c>
      <c r="K3145" s="9" t="str">
        <f>IFERROR(__xludf.DUMMYFUNCTION("""COMPUTED_VALUE"""),"XMoTg")</f>
        <v>XMoTg</v>
      </c>
      <c r="L3145" s="9" t="str">
        <f>IFERROR(__xludf.DUMMYFUNCTION("""COMPUTED_VALUE"""),"MoE")</f>
        <v>MoE</v>
      </c>
      <c r="M3145" s="9"/>
      <c r="N3145" s="9"/>
      <c r="O3145" s="9"/>
      <c r="P3145" s="9"/>
      <c r="Q3145" s="9"/>
      <c r="R3145" s="9"/>
      <c r="S3145" s="42"/>
      <c r="T3145" s="42"/>
      <c r="U3145" s="159"/>
      <c r="V3145" s="42"/>
      <c r="W3145" s="42"/>
      <c r="X3145" s="42"/>
      <c r="Y3145" s="42"/>
      <c r="Z3145" s="42"/>
      <c r="AA3145" s="42"/>
      <c r="AB3145" s="42" t="str">
        <f>IFERROR(__xludf.DUMMYFUNCTION("""COMPUTED_VALUE"""),"allen institute")</f>
        <v>allen institute</v>
      </c>
      <c r="AC3145" s="42" t="str">
        <f>IFERROR(__xludf.DUMMYFUNCTION("""COMPUTED_VALUE"""),"DHBA")</f>
        <v>DHBA</v>
      </c>
      <c r="AD3145" s="42"/>
      <c r="AE3145" s="42"/>
      <c r="AF3145" s="9"/>
      <c r="AG3145" s="9"/>
      <c r="AH3145" s="42"/>
      <c r="AI3145" s="42"/>
      <c r="AJ3145" s="42"/>
      <c r="AK3145" s="42"/>
      <c r="AL3145" s="42"/>
      <c r="AM3145" s="42"/>
      <c r="AN3145" s="42"/>
      <c r="AO3145" s="63" t="str">
        <f>IFERROR(__xludf.DUMMYFUNCTION("IF(ISBLANK(A3145),,IF(ISBLANK(S3145), A3145&amp;"";"", TEXTJOIN(CHAR(10), TRUE, A3145&amp;"";"", ARRAYFORMULA(VLOOKUP(SPLIT(S3145, "";"" &amp; CHAR(10)), $A:$AO, 41, FALSE)))))"),"MoE;")</f>
        <v>MoE;</v>
      </c>
      <c r="AP3145" s="89"/>
    </row>
    <row r="3146">
      <c r="A3146" s="151" t="str">
        <f>IFERROR(__xludf.DUMMYFUNCTION("""COMPUTED_VALUE"""),"EL")</f>
        <v>EL</v>
      </c>
      <c r="B3146" s="42" t="str">
        <f>IFERROR(__xludf.DUMMYFUNCTION("""COMPUTED_VALUE"""),"DHBA")</f>
        <v>DHBA</v>
      </c>
      <c r="C3146" s="42" t="str">
        <f>IFERROR(__xludf.DUMMYFUNCTION("""COMPUTED_VALUE"""),"endolemniscal nucleus")</f>
        <v>endolemniscal nucleus</v>
      </c>
      <c r="D3146" s="42">
        <f>IFERROR(__xludf.DUMMYFUNCTION("""COMPUTED_VALUE"""),3001.0)</f>
        <v>3001</v>
      </c>
      <c r="E3146" s="39" t="str">
        <f>IFERROR(__xludf.DUMMYFUNCTION("""COMPUTED_VALUE"""),"endolemniscal nucleus")</f>
        <v>endolemniscal nucleus</v>
      </c>
      <c r="F3146" s="9" t="str">
        <f>IFERROR(__xludf.DUMMYFUNCTION("""COMPUTED_VALUE"""),"Br")</f>
        <v>Br</v>
      </c>
      <c r="G3146" s="9" t="str">
        <f>IFERROR(__xludf.DUMMYFUNCTION("""COMPUTED_VALUE"""),"H")</f>
        <v>H</v>
      </c>
      <c r="H3146" s="9" t="str">
        <f>IFERROR(__xludf.DUMMYFUNCTION("""COMPUTED_VALUE"""),"HGM")</f>
        <v>HGM</v>
      </c>
      <c r="I3146" s="9" t="str">
        <f>IFERROR(__xludf.DUMMYFUNCTION("""COMPUTED_VALUE"""),"Mo")</f>
        <v>Mo</v>
      </c>
      <c r="J3146" s="9" t="str">
        <f>IFERROR(__xludf.DUMMYFUNCTION("""COMPUTED_VALUE"""),"MoTg")</f>
        <v>MoTg</v>
      </c>
      <c r="K3146" s="9" t="str">
        <f>IFERROR(__xludf.DUMMYFUNCTION("""COMPUTED_VALUE"""),"XMoTg")</f>
        <v>XMoTg</v>
      </c>
      <c r="L3146" s="9" t="str">
        <f>IFERROR(__xludf.DUMMYFUNCTION("""COMPUTED_VALUE"""),"EL")</f>
        <v>EL</v>
      </c>
      <c r="M3146" s="9"/>
      <c r="N3146" s="9"/>
      <c r="O3146" s="9"/>
      <c r="P3146" s="9"/>
      <c r="Q3146" s="9"/>
      <c r="R3146" s="9"/>
      <c r="S3146" s="42"/>
      <c r="T3146" s="42"/>
      <c r="U3146" s="42"/>
      <c r="V3146" s="42"/>
      <c r="W3146" s="42"/>
      <c r="X3146" s="42"/>
      <c r="Y3146" s="42"/>
      <c r="Z3146" s="42"/>
      <c r="AA3146" s="42"/>
      <c r="AB3146" s="42" t="str">
        <f>IFERROR(__xludf.DUMMYFUNCTION("""COMPUTED_VALUE"""),"allen institute")</f>
        <v>allen institute</v>
      </c>
      <c r="AC3146" s="42" t="str">
        <f>IFERROR(__xludf.DUMMYFUNCTION("""COMPUTED_VALUE"""),"DHBA")</f>
        <v>DHBA</v>
      </c>
      <c r="AD3146" s="42"/>
      <c r="AE3146" s="42"/>
      <c r="AF3146" s="9"/>
      <c r="AG3146" s="9"/>
      <c r="AH3146" s="42"/>
      <c r="AI3146" s="42"/>
      <c r="AJ3146" s="42"/>
      <c r="AK3146" s="42"/>
      <c r="AL3146" s="42"/>
      <c r="AM3146" s="42"/>
      <c r="AN3146" s="42"/>
      <c r="AO3146" s="63" t="str">
        <f>IFERROR(__xludf.DUMMYFUNCTION("IF(ISBLANK(A3146),,IF(ISBLANK(S3146), A3146&amp;"";"", TEXTJOIN(CHAR(10), TRUE, A3146&amp;"";"", ARRAYFORMULA(VLOOKUP(SPLIT(S3146, "";"" &amp; CHAR(10)), $A:$AO, 41, FALSE)))))"),"EL;")</f>
        <v>EL;</v>
      </c>
      <c r="AP3146" s="89"/>
    </row>
    <row r="3147">
      <c r="A3147" s="151" t="str">
        <f>IFERROR(__xludf.DUMMYFUNCTION("""COMPUTED_VALUE"""),"EF")</f>
        <v>EF</v>
      </c>
      <c r="B3147" s="42" t="str">
        <f>IFERROR(__xludf.DUMMYFUNCTION("""COMPUTED_VALUE"""),"DHBA")</f>
        <v>DHBA</v>
      </c>
      <c r="C3147" s="42" t="str">
        <f>IFERROR(__xludf.DUMMYFUNCTION("""COMPUTED_VALUE"""),"epifascicular nucleus")</f>
        <v>epifascicular nucleus</v>
      </c>
      <c r="D3147" s="42">
        <f>IFERROR(__xludf.DUMMYFUNCTION("""COMPUTED_VALUE"""),3002.0)</f>
        <v>3002</v>
      </c>
      <c r="E3147" s="39" t="str">
        <f>IFERROR(__xludf.DUMMYFUNCTION("""COMPUTED_VALUE"""),"epifascicular nucleus")</f>
        <v>epifascicular nucleus</v>
      </c>
      <c r="F3147" s="9" t="str">
        <f>IFERROR(__xludf.DUMMYFUNCTION("""COMPUTED_VALUE"""),"Br")</f>
        <v>Br</v>
      </c>
      <c r="G3147" s="9" t="str">
        <f>IFERROR(__xludf.DUMMYFUNCTION("""COMPUTED_VALUE"""),"H")</f>
        <v>H</v>
      </c>
      <c r="H3147" s="9" t="str">
        <f>IFERROR(__xludf.DUMMYFUNCTION("""COMPUTED_VALUE"""),"HGM")</f>
        <v>HGM</v>
      </c>
      <c r="I3147" s="9" t="str">
        <f>IFERROR(__xludf.DUMMYFUNCTION("""COMPUTED_VALUE"""),"Mo")</f>
        <v>Mo</v>
      </c>
      <c r="J3147" s="9" t="str">
        <f>IFERROR(__xludf.DUMMYFUNCTION("""COMPUTED_VALUE"""),"MoTg")</f>
        <v>MoTg</v>
      </c>
      <c r="K3147" s="9" t="str">
        <f>IFERROR(__xludf.DUMMYFUNCTION("""COMPUTED_VALUE"""),"XMoTg")</f>
        <v>XMoTg</v>
      </c>
      <c r="L3147" s="9" t="str">
        <f>IFERROR(__xludf.DUMMYFUNCTION("""COMPUTED_VALUE"""),"EF")</f>
        <v>EF</v>
      </c>
      <c r="M3147" s="9"/>
      <c r="N3147" s="9"/>
      <c r="O3147" s="9"/>
      <c r="P3147" s="9"/>
      <c r="Q3147" s="9"/>
      <c r="R3147" s="9"/>
      <c r="S3147" s="42"/>
      <c r="T3147" s="42"/>
      <c r="U3147" s="42"/>
      <c r="V3147" s="42"/>
      <c r="W3147" s="42"/>
      <c r="X3147" s="42"/>
      <c r="Y3147" s="42"/>
      <c r="Z3147" s="42"/>
      <c r="AA3147" s="42"/>
      <c r="AB3147" s="42" t="str">
        <f>IFERROR(__xludf.DUMMYFUNCTION("""COMPUTED_VALUE"""),"allen institute")</f>
        <v>allen institute</v>
      </c>
      <c r="AC3147" s="42" t="str">
        <f>IFERROR(__xludf.DUMMYFUNCTION("""COMPUTED_VALUE"""),"DHBA")</f>
        <v>DHBA</v>
      </c>
      <c r="AD3147" s="42"/>
      <c r="AE3147" s="42"/>
      <c r="AF3147" s="9"/>
      <c r="AG3147" s="9"/>
      <c r="AH3147" s="42"/>
      <c r="AI3147" s="42"/>
      <c r="AJ3147" s="42"/>
      <c r="AK3147" s="42"/>
      <c r="AL3147" s="42"/>
      <c r="AM3147" s="42"/>
      <c r="AN3147" s="42"/>
      <c r="AO3147" s="63" t="str">
        <f>IFERROR(__xludf.DUMMYFUNCTION("IF(ISBLANK(A3147),,IF(ISBLANK(S3147), A3147&amp;"";"", TEXTJOIN(CHAR(10), TRUE, A3147&amp;"";"", ARRAYFORMULA(VLOOKUP(SPLIT(S3147, "";"" &amp; CHAR(10)), $A:$AO, 41, FALSE)))))"),"EF;")</f>
        <v>EF;</v>
      </c>
      <c r="AP3147" s="89"/>
    </row>
    <row r="3148">
      <c r="A3148" s="151" t="str">
        <f>IFERROR(__xludf.DUMMYFUNCTION("""COMPUTED_VALUE"""),"IF12")</f>
        <v>IF12</v>
      </c>
      <c r="B3148" s="42" t="str">
        <f>IFERROR(__xludf.DUMMYFUNCTION("""COMPUTED_VALUE"""),"DHBA")</f>
        <v>DHBA</v>
      </c>
      <c r="C3148" s="42" t="str">
        <f>IFERROR(__xludf.DUMMYFUNCTION("""COMPUTED_VALUE"""),"interfascicular hypoglossal nucleus")</f>
        <v>interfascicular hypoglossal nucleus</v>
      </c>
      <c r="D3148" s="42">
        <f>IFERROR(__xludf.DUMMYFUNCTION("""COMPUTED_VALUE"""),3003.0)</f>
        <v>3003</v>
      </c>
      <c r="E3148" s="39" t="str">
        <f>IFERROR(__xludf.DUMMYFUNCTION("""COMPUTED_VALUE"""),"interfascicular hypoglossal nucleus")</f>
        <v>interfascicular hypoglossal nucleus</v>
      </c>
      <c r="F3148" s="9" t="str">
        <f>IFERROR(__xludf.DUMMYFUNCTION("""COMPUTED_VALUE"""),"Br")</f>
        <v>Br</v>
      </c>
      <c r="G3148" s="9" t="str">
        <f>IFERROR(__xludf.DUMMYFUNCTION("""COMPUTED_VALUE"""),"H")</f>
        <v>H</v>
      </c>
      <c r="H3148" s="9" t="str">
        <f>IFERROR(__xludf.DUMMYFUNCTION("""COMPUTED_VALUE"""),"HGM")</f>
        <v>HGM</v>
      </c>
      <c r="I3148" s="9" t="str">
        <f>IFERROR(__xludf.DUMMYFUNCTION("""COMPUTED_VALUE"""),"Mo")</f>
        <v>Mo</v>
      </c>
      <c r="J3148" s="9" t="str">
        <f>IFERROR(__xludf.DUMMYFUNCTION("""COMPUTED_VALUE"""),"MoTg")</f>
        <v>MoTg</v>
      </c>
      <c r="K3148" s="9" t="str">
        <f>IFERROR(__xludf.DUMMYFUNCTION("""COMPUTED_VALUE"""),"XMoTg")</f>
        <v>XMoTg</v>
      </c>
      <c r="L3148" s="9" t="str">
        <f>IFERROR(__xludf.DUMMYFUNCTION("""COMPUTED_VALUE"""),"IF12")</f>
        <v>IF12</v>
      </c>
      <c r="M3148" s="9"/>
      <c r="N3148" s="9"/>
      <c r="O3148" s="9"/>
      <c r="P3148" s="9"/>
      <c r="Q3148" s="9"/>
      <c r="R3148" s="9"/>
      <c r="S3148" s="42"/>
      <c r="T3148" s="42"/>
      <c r="U3148" s="42"/>
      <c r="V3148" s="42"/>
      <c r="W3148" s="42"/>
      <c r="X3148" s="42"/>
      <c r="Y3148" s="42"/>
      <c r="Z3148" s="42"/>
      <c r="AA3148" s="42"/>
      <c r="AB3148" s="42" t="str">
        <f>IFERROR(__xludf.DUMMYFUNCTION("""COMPUTED_VALUE"""),"allen institute")</f>
        <v>allen institute</v>
      </c>
      <c r="AC3148" s="42" t="str">
        <f>IFERROR(__xludf.DUMMYFUNCTION("""COMPUTED_VALUE"""),"DHBA")</f>
        <v>DHBA</v>
      </c>
      <c r="AD3148" s="42"/>
      <c r="AE3148" s="42"/>
      <c r="AF3148" s="9"/>
      <c r="AG3148" s="9"/>
      <c r="AH3148" s="42"/>
      <c r="AI3148" s="42"/>
      <c r="AJ3148" s="42"/>
      <c r="AK3148" s="42"/>
      <c r="AL3148" s="42"/>
      <c r="AM3148" s="42"/>
      <c r="AN3148" s="42"/>
      <c r="AO3148" s="63" t="str">
        <f>IFERROR(__xludf.DUMMYFUNCTION("IF(ISBLANK(A3148),,IF(ISBLANK(S3148), A3148&amp;"";"", TEXTJOIN(CHAR(10), TRUE, A3148&amp;"";"", ARRAYFORMULA(VLOOKUP(SPLIT(S3148, "";"" &amp; CHAR(10)), $A:$AO, 41, FALSE)))))"),"IF12;")</f>
        <v>IF12;</v>
      </c>
      <c r="AP3148" s="89"/>
    </row>
    <row r="3149">
      <c r="A3149" s="151" t="str">
        <f>IFERROR(__xludf.DUMMYFUNCTION("""COMPUTED_VALUE"""),"IB")</f>
        <v>IB</v>
      </c>
      <c r="B3149" s="42" t="str">
        <f>IFERROR(__xludf.DUMMYFUNCTION("""COMPUTED_VALUE"""),"DHBA")</f>
        <v>DHBA</v>
      </c>
      <c r="C3149" s="42" t="str">
        <f>IFERROR(__xludf.DUMMYFUNCTION("""COMPUTED_VALUE"""),"internal basal nucleus")</f>
        <v>internal basal nucleus</v>
      </c>
      <c r="D3149" s="42">
        <f>IFERROR(__xludf.DUMMYFUNCTION("""COMPUTED_VALUE"""),3004.0)</f>
        <v>3004</v>
      </c>
      <c r="E3149" s="39" t="str">
        <f>IFERROR(__xludf.DUMMYFUNCTION("""COMPUTED_VALUE"""),"internal basal nucleus")</f>
        <v>internal basal nucleus</v>
      </c>
      <c r="F3149" s="9" t="str">
        <f>IFERROR(__xludf.DUMMYFUNCTION("""COMPUTED_VALUE"""),"Br")</f>
        <v>Br</v>
      </c>
      <c r="G3149" s="9" t="str">
        <f>IFERROR(__xludf.DUMMYFUNCTION("""COMPUTED_VALUE"""),"H")</f>
        <v>H</v>
      </c>
      <c r="H3149" s="9" t="str">
        <f>IFERROR(__xludf.DUMMYFUNCTION("""COMPUTED_VALUE"""),"HGM")</f>
        <v>HGM</v>
      </c>
      <c r="I3149" s="9" t="str">
        <f>IFERROR(__xludf.DUMMYFUNCTION("""COMPUTED_VALUE"""),"Mo")</f>
        <v>Mo</v>
      </c>
      <c r="J3149" s="9" t="str">
        <f>IFERROR(__xludf.DUMMYFUNCTION("""COMPUTED_VALUE"""),"MoTg")</f>
        <v>MoTg</v>
      </c>
      <c r="K3149" s="9" t="str">
        <f>IFERROR(__xludf.DUMMYFUNCTION("""COMPUTED_VALUE"""),"XMoTg")</f>
        <v>XMoTg</v>
      </c>
      <c r="L3149" s="9" t="str">
        <f>IFERROR(__xludf.DUMMYFUNCTION("""COMPUTED_VALUE"""),"IB")</f>
        <v>IB</v>
      </c>
      <c r="M3149" s="9"/>
      <c r="N3149" s="9"/>
      <c r="O3149" s="9"/>
      <c r="P3149" s="9"/>
      <c r="Q3149" s="9"/>
      <c r="R3149" s="9"/>
      <c r="S3149" s="42"/>
      <c r="T3149" s="42"/>
      <c r="U3149" s="42"/>
      <c r="V3149" s="42"/>
      <c r="W3149" s="42"/>
      <c r="X3149" s="42"/>
      <c r="Y3149" s="42"/>
      <c r="Z3149" s="42"/>
      <c r="AA3149" s="42"/>
      <c r="AB3149" s="42" t="str">
        <f>IFERROR(__xludf.DUMMYFUNCTION("""COMPUTED_VALUE"""),"allen institute")</f>
        <v>allen institute</v>
      </c>
      <c r="AC3149" s="42" t="str">
        <f>IFERROR(__xludf.DUMMYFUNCTION("""COMPUTED_VALUE"""),"DHBA")</f>
        <v>DHBA</v>
      </c>
      <c r="AD3149" s="42"/>
      <c r="AE3149" s="42"/>
      <c r="AF3149" s="9"/>
      <c r="AG3149" s="9"/>
      <c r="AH3149" s="42"/>
      <c r="AI3149" s="42"/>
      <c r="AJ3149" s="42"/>
      <c r="AK3149" s="42"/>
      <c r="AL3149" s="42"/>
      <c r="AM3149" s="42"/>
      <c r="AN3149" s="42"/>
      <c r="AO3149" s="63" t="str">
        <f>IFERROR(__xludf.DUMMYFUNCTION("IF(ISBLANK(A3149),,IF(ISBLANK(S3149), A3149&amp;"";"", TEXTJOIN(CHAR(10), TRUE, A3149&amp;"";"", ARRAYFORMULA(VLOOKUP(SPLIT(S3149, "";"" &amp; CHAR(10)), $A:$AO, 41, FALSE)))))"),"IB;")</f>
        <v>IB;</v>
      </c>
      <c r="AP3149" s="89"/>
    </row>
    <row r="3150">
      <c r="A3150" s="151" t="str">
        <f>IFERROR(__xludf.DUMMYFUNCTION("""COMPUTED_VALUE"""),"Nt")</f>
        <v>Nt</v>
      </c>
      <c r="B3150" s="42" t="str">
        <f>IFERROR(__xludf.DUMMYFUNCTION("""COMPUTED_VALUE"""),"DHBA")</f>
        <v>DHBA</v>
      </c>
      <c r="C3150" s="42" t="str">
        <f>IFERROR(__xludf.DUMMYFUNCTION("""COMPUTED_VALUE"""),"notocuneate nucleus")</f>
        <v>notocuneate nucleus</v>
      </c>
      <c r="D3150" s="42">
        <f>IFERROR(__xludf.DUMMYFUNCTION("""COMPUTED_VALUE"""),3005.0)</f>
        <v>3005</v>
      </c>
      <c r="E3150" s="39" t="str">
        <f>IFERROR(__xludf.DUMMYFUNCTION("""COMPUTED_VALUE"""),"notocuneate nucleus")</f>
        <v>notocuneate nucleus</v>
      </c>
      <c r="F3150" s="9" t="str">
        <f>IFERROR(__xludf.DUMMYFUNCTION("""COMPUTED_VALUE"""),"Br")</f>
        <v>Br</v>
      </c>
      <c r="G3150" s="9" t="str">
        <f>IFERROR(__xludf.DUMMYFUNCTION("""COMPUTED_VALUE"""),"H")</f>
        <v>H</v>
      </c>
      <c r="H3150" s="9" t="str">
        <f>IFERROR(__xludf.DUMMYFUNCTION("""COMPUTED_VALUE"""),"HGM")</f>
        <v>HGM</v>
      </c>
      <c r="I3150" s="9" t="str">
        <f>IFERROR(__xludf.DUMMYFUNCTION("""COMPUTED_VALUE"""),"Mo")</f>
        <v>Mo</v>
      </c>
      <c r="J3150" s="9" t="str">
        <f>IFERROR(__xludf.DUMMYFUNCTION("""COMPUTED_VALUE"""),"MoTg")</f>
        <v>MoTg</v>
      </c>
      <c r="K3150" s="9" t="str">
        <f>IFERROR(__xludf.DUMMYFUNCTION("""COMPUTED_VALUE"""),"XMoTg")</f>
        <v>XMoTg</v>
      </c>
      <c r="L3150" s="9" t="str">
        <f>IFERROR(__xludf.DUMMYFUNCTION("""COMPUTED_VALUE"""),"Nt")</f>
        <v>Nt</v>
      </c>
      <c r="M3150" s="9"/>
      <c r="N3150" s="9"/>
      <c r="O3150" s="9"/>
      <c r="P3150" s="9"/>
      <c r="Q3150" s="9"/>
      <c r="R3150" s="9"/>
      <c r="S3150" s="42"/>
      <c r="T3150" s="42"/>
      <c r="U3150" s="42"/>
      <c r="V3150" s="42"/>
      <c r="W3150" s="42"/>
      <c r="X3150" s="42"/>
      <c r="Y3150" s="42"/>
      <c r="Z3150" s="42"/>
      <c r="AA3150" s="42"/>
      <c r="AB3150" s="42" t="str">
        <f>IFERROR(__xludf.DUMMYFUNCTION("""COMPUTED_VALUE"""),"allen institute")</f>
        <v>allen institute</v>
      </c>
      <c r="AC3150" s="42" t="str">
        <f>IFERROR(__xludf.DUMMYFUNCTION("""COMPUTED_VALUE"""),"DHBA")</f>
        <v>DHBA</v>
      </c>
      <c r="AD3150" s="42"/>
      <c r="AE3150" s="42"/>
      <c r="AF3150" s="9"/>
      <c r="AG3150" s="9"/>
      <c r="AH3150" s="42"/>
      <c r="AI3150" s="42"/>
      <c r="AJ3150" s="42"/>
      <c r="AK3150" s="42"/>
      <c r="AL3150" s="42"/>
      <c r="AM3150" s="42"/>
      <c r="AN3150" s="42"/>
      <c r="AO3150" s="63" t="str">
        <f>IFERROR(__xludf.DUMMYFUNCTION("IF(ISBLANK(A3150),,IF(ISBLANK(S3150), A3150&amp;"";"", TEXTJOIN(CHAR(10), TRUE, A3150&amp;"";"", ARRAYFORMULA(VLOOKUP(SPLIT(S3150, "";"" &amp; CHAR(10)), $A:$AO, 41, FALSE)))))"),"Nt;")</f>
        <v>Nt;</v>
      </c>
      <c r="AP3150" s="89"/>
    </row>
    <row r="3151">
      <c r="A3151" s="151" t="str">
        <f>IFERROR(__xludf.DUMMYFUNCTION("""COMPUTED_VALUE"""),"Z")</f>
        <v>Z</v>
      </c>
      <c r="B3151" s="42" t="str">
        <f>IFERROR(__xludf.DUMMYFUNCTION("""COMPUTED_VALUE"""),"DHBA")</f>
        <v>DHBA</v>
      </c>
      <c r="C3151" s="42" t="str">
        <f>IFERROR(__xludf.DUMMYFUNCTION("""COMPUTED_VALUE"""),"nucleus Z (posterodorsal subnucleus)")</f>
        <v>nucleus Z (posterodorsal subnucleus)</v>
      </c>
      <c r="D3151" s="42">
        <f>IFERROR(__xludf.DUMMYFUNCTION("""COMPUTED_VALUE"""),3006.0)</f>
        <v>3006</v>
      </c>
      <c r="E3151" s="39" t="str">
        <f>IFERROR(__xludf.DUMMYFUNCTION("""COMPUTED_VALUE"""),"nucleus Z (posterodorsal subnucleus)")</f>
        <v>nucleus Z (posterodorsal subnucleus)</v>
      </c>
      <c r="F3151" s="9" t="str">
        <f>IFERROR(__xludf.DUMMYFUNCTION("""COMPUTED_VALUE"""),"Br")</f>
        <v>Br</v>
      </c>
      <c r="G3151" s="9" t="str">
        <f>IFERROR(__xludf.DUMMYFUNCTION("""COMPUTED_VALUE"""),"H")</f>
        <v>H</v>
      </c>
      <c r="H3151" s="9" t="str">
        <f>IFERROR(__xludf.DUMMYFUNCTION("""COMPUTED_VALUE"""),"HGM")</f>
        <v>HGM</v>
      </c>
      <c r="I3151" s="9" t="str">
        <f>IFERROR(__xludf.DUMMYFUNCTION("""COMPUTED_VALUE"""),"Mo")</f>
        <v>Mo</v>
      </c>
      <c r="J3151" s="9" t="str">
        <f>IFERROR(__xludf.DUMMYFUNCTION("""COMPUTED_VALUE"""),"MoTg")</f>
        <v>MoTg</v>
      </c>
      <c r="K3151" s="9" t="str">
        <f>IFERROR(__xludf.DUMMYFUNCTION("""COMPUTED_VALUE"""),"XMoTg")</f>
        <v>XMoTg</v>
      </c>
      <c r="L3151" s="9" t="str">
        <f>IFERROR(__xludf.DUMMYFUNCTION("""COMPUTED_VALUE"""),"Z")</f>
        <v>Z</v>
      </c>
      <c r="M3151" s="9"/>
      <c r="N3151" s="9"/>
      <c r="O3151" s="9"/>
      <c r="P3151" s="9"/>
      <c r="Q3151" s="9"/>
      <c r="R3151" s="9"/>
      <c r="S3151" s="42"/>
      <c r="T3151" s="42"/>
      <c r="U3151" s="42"/>
      <c r="V3151" s="42"/>
      <c r="W3151" s="42"/>
      <c r="X3151" s="42"/>
      <c r="Y3151" s="42"/>
      <c r="Z3151" s="42"/>
      <c r="AA3151" s="42"/>
      <c r="AB3151" s="42" t="str">
        <f>IFERROR(__xludf.DUMMYFUNCTION("""COMPUTED_VALUE"""),"allen institute")</f>
        <v>allen institute</v>
      </c>
      <c r="AC3151" s="42" t="str">
        <f>IFERROR(__xludf.DUMMYFUNCTION("""COMPUTED_VALUE"""),"DHBA")</f>
        <v>DHBA</v>
      </c>
      <c r="AD3151" s="42"/>
      <c r="AE3151" s="42"/>
      <c r="AF3151" s="9"/>
      <c r="AG3151" s="9"/>
      <c r="AH3151" s="42"/>
      <c r="AI3151" s="42"/>
      <c r="AJ3151" s="42"/>
      <c r="AK3151" s="42"/>
      <c r="AL3151" s="42"/>
      <c r="AM3151" s="42"/>
      <c r="AN3151" s="42"/>
      <c r="AO3151" s="63" t="str">
        <f>IFERROR(__xludf.DUMMYFUNCTION("IF(ISBLANK(A3151),,IF(ISBLANK(S3151), A3151&amp;"";"", TEXTJOIN(CHAR(10), TRUE, A3151&amp;"";"", ARRAYFORMULA(VLOOKUP(SPLIT(S3151, "";"" &amp; CHAR(10)), $A:$AO, 41, FALSE)))))"),"Z;")</f>
        <v>Z;</v>
      </c>
      <c r="AP3151" s="89"/>
    </row>
    <row r="3152">
      <c r="A3152" s="151" t="str">
        <f>IFERROR(__xludf.DUMMYFUNCTION("""COMPUTED_VALUE"""),"Y")</f>
        <v>Y</v>
      </c>
      <c r="B3152" s="42" t="str">
        <f>IFERROR(__xludf.DUMMYFUNCTION("""COMPUTED_VALUE"""),"DHBA")</f>
        <v>DHBA</v>
      </c>
      <c r="C3152" s="42" t="str">
        <f>IFERROR(__xludf.DUMMYFUNCTION("""COMPUTED_VALUE"""),"nucleus Y")</f>
        <v>nucleus Y</v>
      </c>
      <c r="D3152" s="42">
        <f>IFERROR(__xludf.DUMMYFUNCTION("""COMPUTED_VALUE"""),3007.0)</f>
        <v>3007</v>
      </c>
      <c r="E3152" s="39" t="str">
        <f>IFERROR(__xludf.DUMMYFUNCTION("""COMPUTED_VALUE"""),"nucleus Y")</f>
        <v>nucleus Y</v>
      </c>
      <c r="F3152" s="9" t="str">
        <f>IFERROR(__xludf.DUMMYFUNCTION("""COMPUTED_VALUE"""),"Br")</f>
        <v>Br</v>
      </c>
      <c r="G3152" s="9" t="str">
        <f>IFERROR(__xludf.DUMMYFUNCTION("""COMPUTED_VALUE"""),"H")</f>
        <v>H</v>
      </c>
      <c r="H3152" s="9" t="str">
        <f>IFERROR(__xludf.DUMMYFUNCTION("""COMPUTED_VALUE"""),"HGM")</f>
        <v>HGM</v>
      </c>
      <c r="I3152" s="9" t="str">
        <f>IFERROR(__xludf.DUMMYFUNCTION("""COMPUTED_VALUE"""),"Mo")</f>
        <v>Mo</v>
      </c>
      <c r="J3152" s="9" t="str">
        <f>IFERROR(__xludf.DUMMYFUNCTION("""COMPUTED_VALUE"""),"MoTg")</f>
        <v>MoTg</v>
      </c>
      <c r="K3152" s="9" t="str">
        <f>IFERROR(__xludf.DUMMYFUNCTION("""COMPUTED_VALUE"""),"XMoTg")</f>
        <v>XMoTg</v>
      </c>
      <c r="L3152" s="9" t="str">
        <f>IFERROR(__xludf.DUMMYFUNCTION("""COMPUTED_VALUE"""),"Y")</f>
        <v>Y</v>
      </c>
      <c r="M3152" s="9"/>
      <c r="N3152" s="9"/>
      <c r="O3152" s="9"/>
      <c r="P3152" s="9"/>
      <c r="Q3152" s="9"/>
      <c r="R3152" s="9"/>
      <c r="S3152" s="42"/>
      <c r="T3152" s="42"/>
      <c r="U3152" s="42"/>
      <c r="V3152" s="42"/>
      <c r="W3152" s="42"/>
      <c r="X3152" s="42"/>
      <c r="Y3152" s="42"/>
      <c r="Z3152" s="42"/>
      <c r="AA3152" s="42"/>
      <c r="AB3152" s="42" t="str">
        <f>IFERROR(__xludf.DUMMYFUNCTION("""COMPUTED_VALUE"""),"allen institute")</f>
        <v>allen institute</v>
      </c>
      <c r="AC3152" s="42" t="str">
        <f>IFERROR(__xludf.DUMMYFUNCTION("""COMPUTED_VALUE"""),"DHBA")</f>
        <v>DHBA</v>
      </c>
      <c r="AD3152" s="42"/>
      <c r="AE3152" s="42"/>
      <c r="AF3152" s="9"/>
      <c r="AG3152" s="9"/>
      <c r="AH3152" s="42"/>
      <c r="AI3152" s="42"/>
      <c r="AJ3152" s="42"/>
      <c r="AK3152" s="42"/>
      <c r="AL3152" s="42"/>
      <c r="AM3152" s="42"/>
      <c r="AN3152" s="42"/>
      <c r="AO3152" s="63" t="str">
        <f>IFERROR(__xludf.DUMMYFUNCTION("IF(ISBLANK(A3152),,IF(ISBLANK(S3152), A3152&amp;"";"", TEXTJOIN(CHAR(10), TRUE, A3152&amp;"";"", ARRAYFORMULA(VLOOKUP(SPLIT(S3152, "";"" &amp; CHAR(10)), $A:$AO, 41, FALSE)))))"),"Y;")</f>
        <v>Y;</v>
      </c>
      <c r="AP3152" s="89"/>
    </row>
    <row r="3153">
      <c r="A3153" s="151" t="str">
        <f>IFERROR(__xludf.DUMMYFUNCTION("""COMPUTED_VALUE"""),"X")</f>
        <v>X</v>
      </c>
      <c r="B3153" s="42" t="str">
        <f>IFERROR(__xludf.DUMMYFUNCTION("""COMPUTED_VALUE"""),"DHBA")</f>
        <v>DHBA</v>
      </c>
      <c r="C3153" s="42" t="str">
        <f>IFERROR(__xludf.DUMMYFUNCTION("""COMPUTED_VALUE"""),"nucleus X (preaccessory cuneate nucleus)")</f>
        <v>nucleus X (preaccessory cuneate nucleus)</v>
      </c>
      <c r="D3153" s="42">
        <f>IFERROR(__xludf.DUMMYFUNCTION("""COMPUTED_VALUE"""),3008.0)</f>
        <v>3008</v>
      </c>
      <c r="E3153" s="39" t="str">
        <f>IFERROR(__xludf.DUMMYFUNCTION("""COMPUTED_VALUE"""),"nucleus X (preaccessory cuneate nucleus)")</f>
        <v>nucleus X (preaccessory cuneate nucleus)</v>
      </c>
      <c r="F3153" s="9" t="str">
        <f>IFERROR(__xludf.DUMMYFUNCTION("""COMPUTED_VALUE"""),"Br")</f>
        <v>Br</v>
      </c>
      <c r="G3153" s="9" t="str">
        <f>IFERROR(__xludf.DUMMYFUNCTION("""COMPUTED_VALUE"""),"H")</f>
        <v>H</v>
      </c>
      <c r="H3153" s="9" t="str">
        <f>IFERROR(__xludf.DUMMYFUNCTION("""COMPUTED_VALUE"""),"HGM")</f>
        <v>HGM</v>
      </c>
      <c r="I3153" s="9" t="str">
        <f>IFERROR(__xludf.DUMMYFUNCTION("""COMPUTED_VALUE"""),"Mo")</f>
        <v>Mo</v>
      </c>
      <c r="J3153" s="9" t="str">
        <f>IFERROR(__xludf.DUMMYFUNCTION("""COMPUTED_VALUE"""),"MoTg")</f>
        <v>MoTg</v>
      </c>
      <c r="K3153" s="9" t="str">
        <f>IFERROR(__xludf.DUMMYFUNCTION("""COMPUTED_VALUE"""),"XMoTg")</f>
        <v>XMoTg</v>
      </c>
      <c r="L3153" s="9" t="str">
        <f>IFERROR(__xludf.DUMMYFUNCTION("""COMPUTED_VALUE"""),"X")</f>
        <v>X</v>
      </c>
      <c r="M3153" s="9"/>
      <c r="N3153" s="9"/>
      <c r="O3153" s="9"/>
      <c r="P3153" s="9"/>
      <c r="Q3153" s="9"/>
      <c r="R3153" s="9"/>
      <c r="S3153" s="42"/>
      <c r="T3153" s="42"/>
      <c r="U3153" s="42"/>
      <c r="V3153" s="42"/>
      <c r="W3153" s="42"/>
      <c r="X3153" s="42"/>
      <c r="Y3153" s="42"/>
      <c r="Z3153" s="42"/>
      <c r="AA3153" s="42"/>
      <c r="AB3153" s="42" t="str">
        <f>IFERROR(__xludf.DUMMYFUNCTION("""COMPUTED_VALUE"""),"allen institute")</f>
        <v>allen institute</v>
      </c>
      <c r="AC3153" s="42" t="str">
        <f>IFERROR(__xludf.DUMMYFUNCTION("""COMPUTED_VALUE"""),"DHBA")</f>
        <v>DHBA</v>
      </c>
      <c r="AD3153" s="42"/>
      <c r="AE3153" s="42"/>
      <c r="AF3153" s="9"/>
      <c r="AG3153" s="9"/>
      <c r="AH3153" s="42"/>
      <c r="AI3153" s="42"/>
      <c r="AJ3153" s="42"/>
      <c r="AK3153" s="42"/>
      <c r="AL3153" s="42"/>
      <c r="AM3153" s="42"/>
      <c r="AN3153" s="42"/>
      <c r="AO3153" s="63" t="str">
        <f>IFERROR(__xludf.DUMMYFUNCTION("IF(ISBLANK(A3153),,IF(ISBLANK(S3153), A3153&amp;"";"", TEXTJOIN(CHAR(10), TRUE, A3153&amp;"";"", ARRAYFORMULA(VLOOKUP(SPLIT(S3153, "";"" &amp; CHAR(10)), $A:$AO, 41, FALSE)))))"),"X;")</f>
        <v>X;</v>
      </c>
      <c r="AP3153" s="89"/>
    </row>
    <row r="3154">
      <c r="A3154" s="151" t="str">
        <f>IFERROR(__xludf.DUMMYFUNCTION("""COMPUTED_VALUE"""),"Ro")</f>
        <v>Ro</v>
      </c>
      <c r="B3154" s="42" t="str">
        <f>IFERROR(__xludf.DUMMYFUNCTION("""COMPUTED_VALUE"""),"DHBA")</f>
        <v>DHBA</v>
      </c>
      <c r="C3154" s="42" t="str">
        <f>IFERROR(__xludf.DUMMYFUNCTION("""COMPUTED_VALUE"""),"nucleus of Roller")</f>
        <v>nucleus of Roller</v>
      </c>
      <c r="D3154" s="42">
        <f>IFERROR(__xludf.DUMMYFUNCTION("""COMPUTED_VALUE"""),3009.0)</f>
        <v>3009</v>
      </c>
      <c r="E3154" s="39" t="str">
        <f>IFERROR(__xludf.DUMMYFUNCTION("""COMPUTED_VALUE"""),"nucleus of Roller")</f>
        <v>nucleus of Roller</v>
      </c>
      <c r="F3154" s="9" t="str">
        <f>IFERROR(__xludf.DUMMYFUNCTION("""COMPUTED_VALUE"""),"Br")</f>
        <v>Br</v>
      </c>
      <c r="G3154" s="9" t="str">
        <f>IFERROR(__xludf.DUMMYFUNCTION("""COMPUTED_VALUE"""),"H")</f>
        <v>H</v>
      </c>
      <c r="H3154" s="9" t="str">
        <f>IFERROR(__xludf.DUMMYFUNCTION("""COMPUTED_VALUE"""),"HGM")</f>
        <v>HGM</v>
      </c>
      <c r="I3154" s="9" t="str">
        <f>IFERROR(__xludf.DUMMYFUNCTION("""COMPUTED_VALUE"""),"Mo")</f>
        <v>Mo</v>
      </c>
      <c r="J3154" s="9" t="str">
        <f>IFERROR(__xludf.DUMMYFUNCTION("""COMPUTED_VALUE"""),"MoTg")</f>
        <v>MoTg</v>
      </c>
      <c r="K3154" s="9" t="str">
        <f>IFERROR(__xludf.DUMMYFUNCTION("""COMPUTED_VALUE"""),"XMoTg")</f>
        <v>XMoTg</v>
      </c>
      <c r="L3154" s="9" t="str">
        <f>IFERROR(__xludf.DUMMYFUNCTION("""COMPUTED_VALUE"""),"Ro")</f>
        <v>Ro</v>
      </c>
      <c r="M3154" s="9"/>
      <c r="N3154" s="9"/>
      <c r="O3154" s="9"/>
      <c r="P3154" s="9"/>
      <c r="Q3154" s="9"/>
      <c r="R3154" s="9"/>
      <c r="S3154" s="42"/>
      <c r="T3154" s="42"/>
      <c r="U3154" s="42"/>
      <c r="V3154" s="42"/>
      <c r="W3154" s="42"/>
      <c r="X3154" s="42"/>
      <c r="Y3154" s="42"/>
      <c r="Z3154" s="42"/>
      <c r="AA3154" s="42"/>
      <c r="AB3154" s="42" t="str">
        <f>IFERROR(__xludf.DUMMYFUNCTION("""COMPUTED_VALUE"""),"allen institute")</f>
        <v>allen institute</v>
      </c>
      <c r="AC3154" s="42" t="str">
        <f>IFERROR(__xludf.DUMMYFUNCTION("""COMPUTED_VALUE"""),"DHBA")</f>
        <v>DHBA</v>
      </c>
      <c r="AD3154" s="42"/>
      <c r="AE3154" s="42"/>
      <c r="AF3154" s="9"/>
      <c r="AG3154" s="9"/>
      <c r="AH3154" s="42"/>
      <c r="AI3154" s="42"/>
      <c r="AJ3154" s="42"/>
      <c r="AK3154" s="42"/>
      <c r="AL3154" s="42"/>
      <c r="AM3154" s="42"/>
      <c r="AN3154" s="42"/>
      <c r="AO3154" s="63" t="str">
        <f>IFERROR(__xludf.DUMMYFUNCTION("IF(ISBLANK(A3154),,IF(ISBLANK(S3154), A3154&amp;"";"", TEXTJOIN(CHAR(10), TRUE, A3154&amp;"";"", ARRAYFORMULA(VLOOKUP(SPLIT(S3154, "";"" &amp; CHAR(10)), $A:$AO, 41, FALSE)))))"),"Ro;")</f>
        <v>Ro;</v>
      </c>
      <c r="AP3154" s="89"/>
    </row>
    <row r="3155">
      <c r="A3155" s="151" t="str">
        <f>IFERROR(__xludf.DUMMYFUNCTION("""COMPUTED_VALUE"""),"PaRa")</f>
        <v>PaRa</v>
      </c>
      <c r="B3155" s="42" t="str">
        <f>IFERROR(__xludf.DUMMYFUNCTION("""COMPUTED_VALUE"""),"DHBA")</f>
        <v>DHBA</v>
      </c>
      <c r="C3155" s="42" t="str">
        <f>IFERROR(__xludf.DUMMYFUNCTION("""COMPUTED_VALUE"""),"pararaphales nucleus")</f>
        <v>pararaphales nucleus</v>
      </c>
      <c r="D3155" s="42">
        <f>IFERROR(__xludf.DUMMYFUNCTION("""COMPUTED_VALUE"""),3010.0)</f>
        <v>3010</v>
      </c>
      <c r="E3155" s="39" t="str">
        <f>IFERROR(__xludf.DUMMYFUNCTION("""COMPUTED_VALUE"""),"pararaphales nucleus")</f>
        <v>pararaphales nucleus</v>
      </c>
      <c r="F3155" s="9" t="str">
        <f>IFERROR(__xludf.DUMMYFUNCTION("""COMPUTED_VALUE"""),"Br")</f>
        <v>Br</v>
      </c>
      <c r="G3155" s="9" t="str">
        <f>IFERROR(__xludf.DUMMYFUNCTION("""COMPUTED_VALUE"""),"H")</f>
        <v>H</v>
      </c>
      <c r="H3155" s="9" t="str">
        <f>IFERROR(__xludf.DUMMYFUNCTION("""COMPUTED_VALUE"""),"HGM")</f>
        <v>HGM</v>
      </c>
      <c r="I3155" s="9" t="str">
        <f>IFERROR(__xludf.DUMMYFUNCTION("""COMPUTED_VALUE"""),"Mo")</f>
        <v>Mo</v>
      </c>
      <c r="J3155" s="9" t="str">
        <f>IFERROR(__xludf.DUMMYFUNCTION("""COMPUTED_VALUE"""),"MoTg")</f>
        <v>MoTg</v>
      </c>
      <c r="K3155" s="9" t="str">
        <f>IFERROR(__xludf.DUMMYFUNCTION("""COMPUTED_VALUE"""),"XMoTg")</f>
        <v>XMoTg</v>
      </c>
      <c r="L3155" s="9" t="str">
        <f>IFERROR(__xludf.DUMMYFUNCTION("""COMPUTED_VALUE"""),"PaRa")</f>
        <v>PaRa</v>
      </c>
      <c r="M3155" s="9"/>
      <c r="N3155" s="9"/>
      <c r="O3155" s="9"/>
      <c r="P3155" s="9"/>
      <c r="Q3155" s="9"/>
      <c r="R3155" s="9"/>
      <c r="S3155" s="42"/>
      <c r="T3155" s="42"/>
      <c r="U3155" s="42"/>
      <c r="V3155" s="42"/>
      <c r="W3155" s="42"/>
      <c r="X3155" s="42"/>
      <c r="Y3155" s="42"/>
      <c r="Z3155" s="42"/>
      <c r="AA3155" s="42"/>
      <c r="AB3155" s="42" t="str">
        <f>IFERROR(__xludf.DUMMYFUNCTION("""COMPUTED_VALUE"""),"allen institute")</f>
        <v>allen institute</v>
      </c>
      <c r="AC3155" s="42" t="str">
        <f>IFERROR(__xludf.DUMMYFUNCTION("""COMPUTED_VALUE"""),"DHBA")</f>
        <v>DHBA</v>
      </c>
      <c r="AD3155" s="42"/>
      <c r="AE3155" s="42"/>
      <c r="AF3155" s="9"/>
      <c r="AG3155" s="9"/>
      <c r="AH3155" s="42"/>
      <c r="AI3155" s="42"/>
      <c r="AJ3155" s="42"/>
      <c r="AK3155" s="42"/>
      <c r="AL3155" s="42"/>
      <c r="AM3155" s="42"/>
      <c r="AN3155" s="42"/>
      <c r="AO3155" s="63" t="str">
        <f>IFERROR(__xludf.DUMMYFUNCTION("IF(ISBLANK(A3155),,IF(ISBLANK(S3155), A3155&amp;"";"", TEXTJOIN(CHAR(10), TRUE, A3155&amp;"";"", ARRAYFORMULA(VLOOKUP(SPLIT(S3155, "";"" &amp; CHAR(10)), $A:$AO, 41, FALSE)))))"),"PaRa;")</f>
        <v>PaRa;</v>
      </c>
      <c r="AP3155" s="89"/>
    </row>
    <row r="3156">
      <c r="A3156" s="151" t="str">
        <f>IFERROR(__xludf.DUMMYFUNCTION("""COMPUTED_VALUE"""),"Pa5")</f>
        <v>Pa5</v>
      </c>
      <c r="B3156" s="42" t="str">
        <f>IFERROR(__xludf.DUMMYFUNCTION("""COMPUTED_VALUE"""),"DHBA")</f>
        <v>DHBA</v>
      </c>
      <c r="C3156" s="42" t="str">
        <f>IFERROR(__xludf.DUMMYFUNCTION("""COMPUTED_VALUE"""),"paratrigeminal nucleus")</f>
        <v>paratrigeminal nucleus</v>
      </c>
      <c r="D3156" s="42">
        <f>IFERROR(__xludf.DUMMYFUNCTION("""COMPUTED_VALUE"""),3011.0)</f>
        <v>3011</v>
      </c>
      <c r="E3156" s="39" t="str">
        <f>IFERROR(__xludf.DUMMYFUNCTION("""COMPUTED_VALUE"""),"paratrigeminal nucleus")</f>
        <v>paratrigeminal nucleus</v>
      </c>
      <c r="F3156" s="9" t="str">
        <f>IFERROR(__xludf.DUMMYFUNCTION("""COMPUTED_VALUE"""),"Br")</f>
        <v>Br</v>
      </c>
      <c r="G3156" s="9" t="str">
        <f>IFERROR(__xludf.DUMMYFUNCTION("""COMPUTED_VALUE"""),"H")</f>
        <v>H</v>
      </c>
      <c r="H3156" s="9" t="str">
        <f>IFERROR(__xludf.DUMMYFUNCTION("""COMPUTED_VALUE"""),"HGM")</f>
        <v>HGM</v>
      </c>
      <c r="I3156" s="9" t="str">
        <f>IFERROR(__xludf.DUMMYFUNCTION("""COMPUTED_VALUE"""),"Mo")</f>
        <v>Mo</v>
      </c>
      <c r="J3156" s="9" t="str">
        <f>IFERROR(__xludf.DUMMYFUNCTION("""COMPUTED_VALUE"""),"MoTg")</f>
        <v>MoTg</v>
      </c>
      <c r="K3156" s="9" t="str">
        <f>IFERROR(__xludf.DUMMYFUNCTION("""COMPUTED_VALUE"""),"XMoTg")</f>
        <v>XMoTg</v>
      </c>
      <c r="L3156" s="9" t="str">
        <f>IFERROR(__xludf.DUMMYFUNCTION("""COMPUTED_VALUE"""),"Pa5")</f>
        <v>Pa5</v>
      </c>
      <c r="M3156" s="9"/>
      <c r="N3156" s="9"/>
      <c r="O3156" s="9"/>
      <c r="P3156" s="9"/>
      <c r="Q3156" s="9"/>
      <c r="R3156" s="9"/>
      <c r="S3156" s="42"/>
      <c r="T3156" s="42"/>
      <c r="U3156" s="42"/>
      <c r="V3156" s="42"/>
      <c r="W3156" s="42"/>
      <c r="X3156" s="42"/>
      <c r="Y3156" s="42"/>
      <c r="Z3156" s="42"/>
      <c r="AA3156" s="42"/>
      <c r="AB3156" s="42" t="str">
        <f>IFERROR(__xludf.DUMMYFUNCTION("""COMPUTED_VALUE"""),"allen institute")</f>
        <v>allen institute</v>
      </c>
      <c r="AC3156" s="42" t="str">
        <f>IFERROR(__xludf.DUMMYFUNCTION("""COMPUTED_VALUE"""),"DHBA")</f>
        <v>DHBA</v>
      </c>
      <c r="AD3156" s="42"/>
      <c r="AE3156" s="42"/>
      <c r="AF3156" s="9"/>
      <c r="AG3156" s="9"/>
      <c r="AH3156" s="42"/>
      <c r="AI3156" s="42"/>
      <c r="AJ3156" s="42"/>
      <c r="AK3156" s="42"/>
      <c r="AL3156" s="42"/>
      <c r="AM3156" s="42"/>
      <c r="AN3156" s="42"/>
      <c r="AO3156" s="63" t="str">
        <f>IFERROR(__xludf.DUMMYFUNCTION("IF(ISBLANK(A3156),,IF(ISBLANK(S3156), A3156&amp;"";"", TEXTJOIN(CHAR(10), TRUE, A3156&amp;"";"", ARRAYFORMULA(VLOOKUP(SPLIT(S3156, "";"" &amp; CHAR(10)), $A:$AO, 41, FALSE)))))"),"Pa5;")</f>
        <v>Pa5;</v>
      </c>
      <c r="AP3156" s="89"/>
    </row>
    <row r="3157">
      <c r="A3157" s="151" t="str">
        <f>IFERROR(__xludf.DUMMYFUNCTION("""COMPUTED_VALUE"""),"PeCu")</f>
        <v>PeCu</v>
      </c>
      <c r="B3157" s="42" t="str">
        <f>IFERROR(__xludf.DUMMYFUNCTION("""COMPUTED_VALUE"""),"DHBA")</f>
        <v>DHBA</v>
      </c>
      <c r="C3157" s="42" t="str">
        <f>IFERROR(__xludf.DUMMYFUNCTION("""COMPUTED_VALUE"""),"pericuneate nucleus")</f>
        <v>pericuneate nucleus</v>
      </c>
      <c r="D3157" s="42">
        <f>IFERROR(__xludf.DUMMYFUNCTION("""COMPUTED_VALUE"""),3012.0)</f>
        <v>3012</v>
      </c>
      <c r="E3157" s="39" t="str">
        <f>IFERROR(__xludf.DUMMYFUNCTION("""COMPUTED_VALUE"""),"pericuneate nucleus")</f>
        <v>pericuneate nucleus</v>
      </c>
      <c r="F3157" s="9" t="str">
        <f>IFERROR(__xludf.DUMMYFUNCTION("""COMPUTED_VALUE"""),"Br")</f>
        <v>Br</v>
      </c>
      <c r="G3157" s="9" t="str">
        <f>IFERROR(__xludf.DUMMYFUNCTION("""COMPUTED_VALUE"""),"H")</f>
        <v>H</v>
      </c>
      <c r="H3157" s="9" t="str">
        <f>IFERROR(__xludf.DUMMYFUNCTION("""COMPUTED_VALUE"""),"HGM")</f>
        <v>HGM</v>
      </c>
      <c r="I3157" s="9" t="str">
        <f>IFERROR(__xludf.DUMMYFUNCTION("""COMPUTED_VALUE"""),"Mo")</f>
        <v>Mo</v>
      </c>
      <c r="J3157" s="9" t="str">
        <f>IFERROR(__xludf.DUMMYFUNCTION("""COMPUTED_VALUE"""),"MoTg")</f>
        <v>MoTg</v>
      </c>
      <c r="K3157" s="9" t="str">
        <f>IFERROR(__xludf.DUMMYFUNCTION("""COMPUTED_VALUE"""),"XMoTg")</f>
        <v>XMoTg</v>
      </c>
      <c r="L3157" s="9" t="str">
        <f>IFERROR(__xludf.DUMMYFUNCTION("""COMPUTED_VALUE"""),"PeCu")</f>
        <v>PeCu</v>
      </c>
      <c r="M3157" s="9"/>
      <c r="N3157" s="9"/>
      <c r="O3157" s="9"/>
      <c r="P3157" s="9"/>
      <c r="Q3157" s="9"/>
      <c r="R3157" s="9"/>
      <c r="S3157" s="42"/>
      <c r="T3157" s="42"/>
      <c r="U3157" s="42"/>
      <c r="V3157" s="42"/>
      <c r="W3157" s="42"/>
      <c r="X3157" s="42"/>
      <c r="Y3157" s="42"/>
      <c r="Z3157" s="42"/>
      <c r="AA3157" s="42"/>
      <c r="AB3157" s="42" t="str">
        <f>IFERROR(__xludf.DUMMYFUNCTION("""COMPUTED_VALUE"""),"allen institute")</f>
        <v>allen institute</v>
      </c>
      <c r="AC3157" s="42" t="str">
        <f>IFERROR(__xludf.DUMMYFUNCTION("""COMPUTED_VALUE"""),"DHBA")</f>
        <v>DHBA</v>
      </c>
      <c r="AD3157" s="42"/>
      <c r="AE3157" s="42"/>
      <c r="AF3157" s="9"/>
      <c r="AG3157" s="9"/>
      <c r="AH3157" s="42"/>
      <c r="AI3157" s="42"/>
      <c r="AJ3157" s="42"/>
      <c r="AK3157" s="42"/>
      <c r="AL3157" s="42"/>
      <c r="AM3157" s="42"/>
      <c r="AN3157" s="42"/>
      <c r="AO3157" s="63" t="str">
        <f>IFERROR(__xludf.DUMMYFUNCTION("IF(ISBLANK(A3157),,IF(ISBLANK(S3157), A3157&amp;"";"", TEXTJOIN(CHAR(10), TRUE, A3157&amp;"";"", ARRAYFORMULA(VLOOKUP(SPLIT(S3157, "";"" &amp; CHAR(10)), $A:$AO, 41, FALSE)))))"),"PeCu;")</f>
        <v>PeCu;</v>
      </c>
      <c r="AP3157" s="89"/>
    </row>
    <row r="3158">
      <c r="A3158" s="151" t="str">
        <f>IFERROR(__xludf.DUMMYFUNCTION("""COMPUTED_VALUE"""),"Pe5")</f>
        <v>Pe5</v>
      </c>
      <c r="B3158" s="42" t="str">
        <f>IFERROR(__xludf.DUMMYFUNCTION("""COMPUTED_VALUE"""),"DHBA")</f>
        <v>DHBA</v>
      </c>
      <c r="C3158" s="42" t="str">
        <f>IFERROR(__xludf.DUMMYFUNCTION("""COMPUTED_VALUE"""),"peritrigeminal nucleus")</f>
        <v>peritrigeminal nucleus</v>
      </c>
      <c r="D3158" s="42">
        <f>IFERROR(__xludf.DUMMYFUNCTION("""COMPUTED_VALUE"""),3013.0)</f>
        <v>3013</v>
      </c>
      <c r="E3158" s="39" t="str">
        <f>IFERROR(__xludf.DUMMYFUNCTION("""COMPUTED_VALUE"""),"peritrigeminal nucleus")</f>
        <v>peritrigeminal nucleus</v>
      </c>
      <c r="F3158" s="9" t="str">
        <f>IFERROR(__xludf.DUMMYFUNCTION("""COMPUTED_VALUE"""),"Br")</f>
        <v>Br</v>
      </c>
      <c r="G3158" s="9" t="str">
        <f>IFERROR(__xludf.DUMMYFUNCTION("""COMPUTED_VALUE"""),"H")</f>
        <v>H</v>
      </c>
      <c r="H3158" s="9" t="str">
        <f>IFERROR(__xludf.DUMMYFUNCTION("""COMPUTED_VALUE"""),"HGM")</f>
        <v>HGM</v>
      </c>
      <c r="I3158" s="9" t="str">
        <f>IFERROR(__xludf.DUMMYFUNCTION("""COMPUTED_VALUE"""),"Mo")</f>
        <v>Mo</v>
      </c>
      <c r="J3158" s="9" t="str">
        <f>IFERROR(__xludf.DUMMYFUNCTION("""COMPUTED_VALUE"""),"MoTg")</f>
        <v>MoTg</v>
      </c>
      <c r="K3158" s="9" t="str">
        <f>IFERROR(__xludf.DUMMYFUNCTION("""COMPUTED_VALUE"""),"XMoTg")</f>
        <v>XMoTg</v>
      </c>
      <c r="L3158" s="9" t="str">
        <f>IFERROR(__xludf.DUMMYFUNCTION("""COMPUTED_VALUE"""),"Pe5")</f>
        <v>Pe5</v>
      </c>
      <c r="M3158" s="9"/>
      <c r="N3158" s="9"/>
      <c r="O3158" s="9"/>
      <c r="P3158" s="9"/>
      <c r="Q3158" s="9"/>
      <c r="R3158" s="9"/>
      <c r="S3158" s="42"/>
      <c r="T3158" s="42"/>
      <c r="U3158" s="42"/>
      <c r="V3158" s="42"/>
      <c r="W3158" s="42"/>
      <c r="X3158" s="42"/>
      <c r="Y3158" s="42"/>
      <c r="Z3158" s="42"/>
      <c r="AA3158" s="42"/>
      <c r="AB3158" s="42" t="str">
        <f>IFERROR(__xludf.DUMMYFUNCTION("""COMPUTED_VALUE"""),"allen institute")</f>
        <v>allen institute</v>
      </c>
      <c r="AC3158" s="42" t="str">
        <f>IFERROR(__xludf.DUMMYFUNCTION("""COMPUTED_VALUE"""),"DHBA")</f>
        <v>DHBA</v>
      </c>
      <c r="AD3158" s="42"/>
      <c r="AE3158" s="42"/>
      <c r="AF3158" s="9"/>
      <c r="AG3158" s="9"/>
      <c r="AH3158" s="42"/>
      <c r="AI3158" s="42"/>
      <c r="AJ3158" s="42"/>
      <c r="AK3158" s="42"/>
      <c r="AL3158" s="42"/>
      <c r="AM3158" s="42"/>
      <c r="AN3158" s="42"/>
      <c r="AO3158" s="63" t="str">
        <f>IFERROR(__xludf.DUMMYFUNCTION("IF(ISBLANK(A3158),,IF(ISBLANK(S3158), A3158&amp;"";"", TEXTJOIN(CHAR(10), TRUE, A3158&amp;"";"", ARRAYFORMULA(VLOOKUP(SPLIT(S3158, "";"" &amp; CHAR(10)), $A:$AO, 41, FALSE)))))"),"Pe5;")</f>
        <v>Pe5;</v>
      </c>
      <c r="AP3158" s="89"/>
    </row>
    <row r="3159">
      <c r="A3159" s="151" t="str">
        <f>IFERROR(__xludf.DUMMYFUNCTION("""COMPUTED_VALUE"""),"PrBo")</f>
        <v>PrBo</v>
      </c>
      <c r="B3159" s="42" t="str">
        <f>IFERROR(__xludf.DUMMYFUNCTION("""COMPUTED_VALUE"""),"DHBA")</f>
        <v>DHBA</v>
      </c>
      <c r="C3159" s="42" t="str">
        <f>IFERROR(__xludf.DUMMYFUNCTION("""COMPUTED_VALUE"""),"pre-Botzinger complex")</f>
        <v>pre-Botzinger complex</v>
      </c>
      <c r="D3159" s="42">
        <f>IFERROR(__xludf.DUMMYFUNCTION("""COMPUTED_VALUE"""),3014.0)</f>
        <v>3014</v>
      </c>
      <c r="E3159" s="39" t="str">
        <f>IFERROR(__xludf.DUMMYFUNCTION("""COMPUTED_VALUE"""),"pre-Botzinger complex")</f>
        <v>pre-Botzinger complex</v>
      </c>
      <c r="F3159" s="9" t="str">
        <f>IFERROR(__xludf.DUMMYFUNCTION("""COMPUTED_VALUE"""),"Br")</f>
        <v>Br</v>
      </c>
      <c r="G3159" s="9" t="str">
        <f>IFERROR(__xludf.DUMMYFUNCTION("""COMPUTED_VALUE"""),"H")</f>
        <v>H</v>
      </c>
      <c r="H3159" s="9" t="str">
        <f>IFERROR(__xludf.DUMMYFUNCTION("""COMPUTED_VALUE"""),"HGM")</f>
        <v>HGM</v>
      </c>
      <c r="I3159" s="9" t="str">
        <f>IFERROR(__xludf.DUMMYFUNCTION("""COMPUTED_VALUE"""),"Mo")</f>
        <v>Mo</v>
      </c>
      <c r="J3159" s="9" t="str">
        <f>IFERROR(__xludf.DUMMYFUNCTION("""COMPUTED_VALUE"""),"MoTg")</f>
        <v>MoTg</v>
      </c>
      <c r="K3159" s="9" t="str">
        <f>IFERROR(__xludf.DUMMYFUNCTION("""COMPUTED_VALUE"""),"XMoTg")</f>
        <v>XMoTg</v>
      </c>
      <c r="L3159" s="9" t="str">
        <f>IFERROR(__xludf.DUMMYFUNCTION("""COMPUTED_VALUE"""),"PrBo")</f>
        <v>PrBo</v>
      </c>
      <c r="M3159" s="9"/>
      <c r="N3159" s="9"/>
      <c r="O3159" s="9"/>
      <c r="P3159" s="9"/>
      <c r="Q3159" s="9"/>
      <c r="R3159" s="9"/>
      <c r="S3159" s="42"/>
      <c r="T3159" s="42"/>
      <c r="U3159" s="42"/>
      <c r="V3159" s="42"/>
      <c r="W3159" s="42"/>
      <c r="X3159" s="42"/>
      <c r="Y3159" s="42"/>
      <c r="Z3159" s="42"/>
      <c r="AA3159" s="42"/>
      <c r="AB3159" s="42" t="str">
        <f>IFERROR(__xludf.DUMMYFUNCTION("""COMPUTED_VALUE"""),"allen institute")</f>
        <v>allen institute</v>
      </c>
      <c r="AC3159" s="42" t="str">
        <f>IFERROR(__xludf.DUMMYFUNCTION("""COMPUTED_VALUE"""),"DHBA")</f>
        <v>DHBA</v>
      </c>
      <c r="AD3159" s="42"/>
      <c r="AE3159" s="42"/>
      <c r="AF3159" s="9"/>
      <c r="AG3159" s="9"/>
      <c r="AH3159" s="42"/>
      <c r="AI3159" s="42"/>
      <c r="AJ3159" s="42"/>
      <c r="AK3159" s="42"/>
      <c r="AL3159" s="42"/>
      <c r="AM3159" s="42"/>
      <c r="AN3159" s="42"/>
      <c r="AO3159" s="63" t="str">
        <f>IFERROR(__xludf.DUMMYFUNCTION("IF(ISBLANK(A3159),,IF(ISBLANK(S3159), A3159&amp;"";"", TEXTJOIN(CHAR(10), TRUE, A3159&amp;"";"", ARRAYFORMULA(VLOOKUP(SPLIT(S3159, "";"" &amp; CHAR(10)), $A:$AO, 41, FALSE)))))"),"PrBo;")</f>
        <v>PrBo;</v>
      </c>
      <c r="AP3159" s="89"/>
    </row>
    <row r="3160">
      <c r="A3160" s="151" t="str">
        <f>IFERROR(__xludf.DUMMYFUNCTION("""COMPUTED_VALUE"""),"RAmb")</f>
        <v>RAmb</v>
      </c>
      <c r="B3160" s="42" t="str">
        <f>IFERROR(__xludf.DUMMYFUNCTION("""COMPUTED_VALUE"""),"DHBA")</f>
        <v>DHBA</v>
      </c>
      <c r="C3160" s="42" t="str">
        <f>IFERROR(__xludf.DUMMYFUNCTION("""COMPUTED_VALUE"""),"retroambiguous nucleus")</f>
        <v>retroambiguous nucleus</v>
      </c>
      <c r="D3160" s="42">
        <f>IFERROR(__xludf.DUMMYFUNCTION("""COMPUTED_VALUE"""),3015.0)</f>
        <v>3015</v>
      </c>
      <c r="E3160" s="39" t="str">
        <f>IFERROR(__xludf.DUMMYFUNCTION("""COMPUTED_VALUE"""),"retroambiguous nucleus")</f>
        <v>retroambiguous nucleus</v>
      </c>
      <c r="F3160" s="9" t="str">
        <f>IFERROR(__xludf.DUMMYFUNCTION("""COMPUTED_VALUE"""),"Br")</f>
        <v>Br</v>
      </c>
      <c r="G3160" s="9" t="str">
        <f>IFERROR(__xludf.DUMMYFUNCTION("""COMPUTED_VALUE"""),"H")</f>
        <v>H</v>
      </c>
      <c r="H3160" s="9" t="str">
        <f>IFERROR(__xludf.DUMMYFUNCTION("""COMPUTED_VALUE"""),"HGM")</f>
        <v>HGM</v>
      </c>
      <c r="I3160" s="9" t="str">
        <f>IFERROR(__xludf.DUMMYFUNCTION("""COMPUTED_VALUE"""),"Mo")</f>
        <v>Mo</v>
      </c>
      <c r="J3160" s="9" t="str">
        <f>IFERROR(__xludf.DUMMYFUNCTION("""COMPUTED_VALUE"""),"MoTg")</f>
        <v>MoTg</v>
      </c>
      <c r="K3160" s="9" t="str">
        <f>IFERROR(__xludf.DUMMYFUNCTION("""COMPUTED_VALUE"""),"XMoTg")</f>
        <v>XMoTg</v>
      </c>
      <c r="L3160" s="9" t="str">
        <f>IFERROR(__xludf.DUMMYFUNCTION("""COMPUTED_VALUE"""),"RAmb")</f>
        <v>RAmb</v>
      </c>
      <c r="M3160" s="9"/>
      <c r="N3160" s="9"/>
      <c r="O3160" s="9"/>
      <c r="P3160" s="9"/>
      <c r="Q3160" s="9"/>
      <c r="R3160" s="9"/>
      <c r="S3160" s="42"/>
      <c r="T3160" s="42"/>
      <c r="U3160" s="42"/>
      <c r="V3160" s="42"/>
      <c r="W3160" s="42"/>
      <c r="X3160" s="42"/>
      <c r="Y3160" s="42"/>
      <c r="Z3160" s="42"/>
      <c r="AA3160" s="42"/>
      <c r="AB3160" s="42" t="str">
        <f>IFERROR(__xludf.DUMMYFUNCTION("""COMPUTED_VALUE"""),"allen institute")</f>
        <v>allen institute</v>
      </c>
      <c r="AC3160" s="42" t="str">
        <f>IFERROR(__xludf.DUMMYFUNCTION("""COMPUTED_VALUE"""),"DHBA")</f>
        <v>DHBA</v>
      </c>
      <c r="AD3160" s="42"/>
      <c r="AE3160" s="42"/>
      <c r="AF3160" s="9"/>
      <c r="AG3160" s="9"/>
      <c r="AH3160" s="42"/>
      <c r="AI3160" s="42"/>
      <c r="AJ3160" s="42"/>
      <c r="AK3160" s="42"/>
      <c r="AL3160" s="42"/>
      <c r="AM3160" s="42"/>
      <c r="AN3160" s="42"/>
      <c r="AO3160" s="63" t="str">
        <f>IFERROR(__xludf.DUMMYFUNCTION("IF(ISBLANK(A3160),,IF(ISBLANK(S3160), A3160&amp;"";"", TEXTJOIN(CHAR(10), TRUE, A3160&amp;"";"", ARRAYFORMULA(VLOOKUP(SPLIT(S3160, "";"" &amp; CHAR(10)), $A:$AO, 41, FALSE)))))"),"RAmb;")</f>
        <v>RAmb;</v>
      </c>
      <c r="AP3160" s="89"/>
    </row>
    <row r="3161">
      <c r="A3161" s="151" t="str">
        <f>IFERROR(__xludf.DUMMYFUNCTION("""COMPUTED_VALUE"""),"SSp")</f>
        <v>SSp</v>
      </c>
      <c r="B3161" s="42" t="str">
        <f>IFERROR(__xludf.DUMMYFUNCTION("""COMPUTED_VALUE"""),"DHBA")</f>
        <v>DHBA</v>
      </c>
      <c r="C3161" s="42" t="str">
        <f>IFERROR(__xludf.DUMMYFUNCTION("""COMPUTED_VALUE"""),"spinal accessory (supraspinal) nucleus")</f>
        <v>spinal accessory (supraspinal) nucleus</v>
      </c>
      <c r="D3161" s="42">
        <f>IFERROR(__xludf.DUMMYFUNCTION("""COMPUTED_VALUE"""),3016.0)</f>
        <v>3016</v>
      </c>
      <c r="E3161" s="39" t="str">
        <f>IFERROR(__xludf.DUMMYFUNCTION("""COMPUTED_VALUE"""),"spinal accessory (supraspinal) nucleus")</f>
        <v>spinal accessory (supraspinal) nucleus</v>
      </c>
      <c r="F3161" s="9" t="str">
        <f>IFERROR(__xludf.DUMMYFUNCTION("""COMPUTED_VALUE"""),"Br")</f>
        <v>Br</v>
      </c>
      <c r="G3161" s="9" t="str">
        <f>IFERROR(__xludf.DUMMYFUNCTION("""COMPUTED_VALUE"""),"H")</f>
        <v>H</v>
      </c>
      <c r="H3161" s="9" t="str">
        <f>IFERROR(__xludf.DUMMYFUNCTION("""COMPUTED_VALUE"""),"HGM")</f>
        <v>HGM</v>
      </c>
      <c r="I3161" s="9" t="str">
        <f>IFERROR(__xludf.DUMMYFUNCTION("""COMPUTED_VALUE"""),"Mo")</f>
        <v>Mo</v>
      </c>
      <c r="J3161" s="9" t="str">
        <f>IFERROR(__xludf.DUMMYFUNCTION("""COMPUTED_VALUE"""),"MoTg")</f>
        <v>MoTg</v>
      </c>
      <c r="K3161" s="9" t="str">
        <f>IFERROR(__xludf.DUMMYFUNCTION("""COMPUTED_VALUE"""),"XMoTg")</f>
        <v>XMoTg</v>
      </c>
      <c r="L3161" s="9" t="str">
        <f>IFERROR(__xludf.DUMMYFUNCTION("""COMPUTED_VALUE"""),"SSp")</f>
        <v>SSp</v>
      </c>
      <c r="M3161" s="9"/>
      <c r="N3161" s="9"/>
      <c r="O3161" s="9"/>
      <c r="P3161" s="9"/>
      <c r="Q3161" s="9"/>
      <c r="R3161" s="9"/>
      <c r="S3161" s="42"/>
      <c r="T3161" s="42"/>
      <c r="U3161" s="42"/>
      <c r="V3161" s="42"/>
      <c r="W3161" s="42"/>
      <c r="X3161" s="42"/>
      <c r="Y3161" s="42"/>
      <c r="Z3161" s="42"/>
      <c r="AA3161" s="42"/>
      <c r="AB3161" s="42" t="str">
        <f>IFERROR(__xludf.DUMMYFUNCTION("""COMPUTED_VALUE"""),"allen institute")</f>
        <v>allen institute</v>
      </c>
      <c r="AC3161" s="42" t="str">
        <f>IFERROR(__xludf.DUMMYFUNCTION("""COMPUTED_VALUE"""),"DHBA")</f>
        <v>DHBA</v>
      </c>
      <c r="AD3161" s="42"/>
      <c r="AE3161" s="42"/>
      <c r="AF3161" s="9"/>
      <c r="AG3161" s="9"/>
      <c r="AH3161" s="42"/>
      <c r="AI3161" s="42"/>
      <c r="AJ3161" s="42"/>
      <c r="AK3161" s="42"/>
      <c r="AL3161" s="42"/>
      <c r="AM3161" s="42"/>
      <c r="AN3161" s="42"/>
      <c r="AO3161" s="63" t="str">
        <f>IFERROR(__xludf.DUMMYFUNCTION("IF(ISBLANK(A3161),,IF(ISBLANK(S3161), A3161&amp;"";"", TEXTJOIN(CHAR(10), TRUE, A3161&amp;"";"", ARRAYFORMULA(VLOOKUP(SPLIT(S3161, "";"" &amp; CHAR(10)), $A:$AO, 41, FALSE)))))"),"SSp;")</f>
        <v>SSp;</v>
      </c>
      <c r="AP3161" s="89"/>
    </row>
    <row r="3162">
      <c r="A3162" s="151" t="str">
        <f>IFERROR(__xludf.DUMMYFUNCTION("""COMPUTED_VALUE"""),"SuL")</f>
        <v>SuL</v>
      </c>
      <c r="B3162" s="42" t="str">
        <f>IFERROR(__xludf.DUMMYFUNCTION("""COMPUTED_VALUE"""),"DHBA")</f>
        <v>DHBA</v>
      </c>
      <c r="C3162" s="42" t="str">
        <f>IFERROR(__xludf.DUMMYFUNCTION("""COMPUTED_VALUE"""),"supralemniscal nucleus")</f>
        <v>supralemniscal nucleus</v>
      </c>
      <c r="D3162" s="42">
        <f>IFERROR(__xludf.DUMMYFUNCTION("""COMPUTED_VALUE"""),3017.0)</f>
        <v>3017</v>
      </c>
      <c r="E3162" s="39" t="str">
        <f>IFERROR(__xludf.DUMMYFUNCTION("""COMPUTED_VALUE"""),"supralemniscal nucleus")</f>
        <v>supralemniscal nucleus</v>
      </c>
      <c r="F3162" s="9" t="str">
        <f>IFERROR(__xludf.DUMMYFUNCTION("""COMPUTED_VALUE"""),"Br")</f>
        <v>Br</v>
      </c>
      <c r="G3162" s="9" t="str">
        <f>IFERROR(__xludf.DUMMYFUNCTION("""COMPUTED_VALUE"""),"H")</f>
        <v>H</v>
      </c>
      <c r="H3162" s="9" t="str">
        <f>IFERROR(__xludf.DUMMYFUNCTION("""COMPUTED_VALUE"""),"HGM")</f>
        <v>HGM</v>
      </c>
      <c r="I3162" s="9" t="str">
        <f>IFERROR(__xludf.DUMMYFUNCTION("""COMPUTED_VALUE"""),"Mo")</f>
        <v>Mo</v>
      </c>
      <c r="J3162" s="9" t="str">
        <f>IFERROR(__xludf.DUMMYFUNCTION("""COMPUTED_VALUE"""),"MoTg")</f>
        <v>MoTg</v>
      </c>
      <c r="K3162" s="9" t="str">
        <f>IFERROR(__xludf.DUMMYFUNCTION("""COMPUTED_VALUE"""),"XMoTg")</f>
        <v>XMoTg</v>
      </c>
      <c r="L3162" s="9" t="str">
        <f>IFERROR(__xludf.DUMMYFUNCTION("""COMPUTED_VALUE"""),"SuL")</f>
        <v>SuL</v>
      </c>
      <c r="M3162" s="9"/>
      <c r="N3162" s="9"/>
      <c r="O3162" s="9"/>
      <c r="P3162" s="9"/>
      <c r="Q3162" s="9"/>
      <c r="R3162" s="9"/>
      <c r="S3162" s="42"/>
      <c r="T3162" s="42"/>
      <c r="U3162" s="42"/>
      <c r="V3162" s="42"/>
      <c r="W3162" s="42"/>
      <c r="X3162" s="42"/>
      <c r="Y3162" s="42"/>
      <c r="Z3162" s="42"/>
      <c r="AA3162" s="42"/>
      <c r="AB3162" s="42" t="str">
        <f>IFERROR(__xludf.DUMMYFUNCTION("""COMPUTED_VALUE"""),"allen institute")</f>
        <v>allen institute</v>
      </c>
      <c r="AC3162" s="42" t="str">
        <f>IFERROR(__xludf.DUMMYFUNCTION("""COMPUTED_VALUE"""),"DHBA")</f>
        <v>DHBA</v>
      </c>
      <c r="AD3162" s="42"/>
      <c r="AE3162" s="42"/>
      <c r="AF3162" s="9"/>
      <c r="AG3162" s="9"/>
      <c r="AH3162" s="42"/>
      <c r="AI3162" s="42"/>
      <c r="AJ3162" s="42"/>
      <c r="AK3162" s="42"/>
      <c r="AL3162" s="42"/>
      <c r="AM3162" s="42"/>
      <c r="AN3162" s="42"/>
      <c r="AO3162" s="63" t="str">
        <f>IFERROR(__xludf.DUMMYFUNCTION("IF(ISBLANK(A3162),,IF(ISBLANK(S3162), A3162&amp;"";"", TEXTJOIN(CHAR(10), TRUE, A3162&amp;"";"", ARRAYFORMULA(VLOOKUP(SPLIT(S3162, "";"" &amp; CHAR(10)), $A:$AO, 41, FALSE)))))"),"SuL;")</f>
        <v>SuL;</v>
      </c>
      <c r="AP3162" s="89"/>
    </row>
    <row r="3163">
      <c r="A3163" s="151" t="str">
        <f>IFERROR(__xludf.DUMMYFUNCTION("""COMPUTED_VALUE"""),"HTS")</f>
        <v>HTS</v>
      </c>
      <c r="B3163" s="42" t="str">
        <f>IFERROR(__xludf.DUMMYFUNCTION("""COMPUTED_VALUE"""),"DHBA")</f>
        <v>DHBA</v>
      </c>
      <c r="C3163" s="42" t="str">
        <f>IFERROR(__xludf.DUMMYFUNCTION("""COMPUTED_VALUE"""),"transient structures of hindbrain")</f>
        <v>transient structures of hindbrain</v>
      </c>
      <c r="D3163" s="42">
        <f>IFERROR(__xludf.DUMMYFUNCTION("""COMPUTED_VALUE"""),3018.0)</f>
        <v>3018</v>
      </c>
      <c r="E3163" s="39" t="str">
        <f>IFERROR(__xludf.DUMMYFUNCTION("""COMPUTED_VALUE"""),"transient structures of hindbrain")</f>
        <v>transient structures of hindbrain</v>
      </c>
      <c r="F3163" s="9" t="str">
        <f>IFERROR(__xludf.DUMMYFUNCTION("""COMPUTED_VALUE"""),"Br")</f>
        <v>Br</v>
      </c>
      <c r="G3163" s="9" t="str">
        <f>IFERROR(__xludf.DUMMYFUNCTION("""COMPUTED_VALUE"""),"H")</f>
        <v>H</v>
      </c>
      <c r="H3163" s="9" t="str">
        <f>IFERROR(__xludf.DUMMYFUNCTION("""COMPUTED_VALUE"""),"HGM")</f>
        <v>HGM</v>
      </c>
      <c r="I3163" s="9" t="str">
        <f>IFERROR(__xludf.DUMMYFUNCTION("""COMPUTED_VALUE"""),"HTS")</f>
        <v>HTS</v>
      </c>
      <c r="J3163" s="9"/>
      <c r="K3163" s="9"/>
      <c r="L3163" s="9"/>
      <c r="M3163" s="9"/>
      <c r="N3163" s="9"/>
      <c r="O3163" s="9"/>
      <c r="P3163" s="9"/>
      <c r="Q3163" s="9"/>
      <c r="R3163" s="9"/>
      <c r="S3163" s="42" t="str">
        <f>IFERROR(__xludf.DUMMYFUNCTION("""COMPUTED_VALUE"""),"CBT;
TGCbN;
CbP;
CbS;
HNM;
RhL;
TCC;
TPk;
MSH;
MZH;
IZH;
VZH;
PnFlx;
PnbB;
RhGv")</f>
        <v>CBT;
TGCbN;
CbP;
CbS;
HNM;
RhL;
TCC;
TPk;
MSH;
MZH;
IZH;
VZH;
PnFlx;
PnbB;
RhGv</v>
      </c>
      <c r="T3163" s="42"/>
      <c r="U3163" s="42" t="b">
        <f>IFERROR(__xludf.DUMMYFUNCTION("""COMPUTED_VALUE"""),FALSE)</f>
        <v>0</v>
      </c>
      <c r="V3163" s="42"/>
      <c r="W3163" s="42"/>
      <c r="X3163" s="42"/>
      <c r="Y3163" s="42"/>
      <c r="Z3163" s="42"/>
      <c r="AA3163" s="42"/>
      <c r="AB3163" s="42" t="str">
        <f>IFERROR(__xludf.DUMMYFUNCTION("""COMPUTED_VALUE"""),"allen institute")</f>
        <v>allen institute</v>
      </c>
      <c r="AC3163" s="42" t="str">
        <f>IFERROR(__xludf.DUMMYFUNCTION("""COMPUTED_VALUE"""),"DHBA")</f>
        <v>DHBA</v>
      </c>
      <c r="AD3163" s="42"/>
      <c r="AE3163" s="42"/>
      <c r="AF3163" s="9"/>
      <c r="AG3163" s="9"/>
      <c r="AH3163" s="42"/>
      <c r="AI3163" s="42"/>
      <c r="AJ3163" s="42"/>
      <c r="AK3163" s="42"/>
      <c r="AL3163" s="42"/>
      <c r="AM3163" s="42"/>
      <c r="AN3163" s="42"/>
      <c r="AO3163" s="63" t="str">
        <f>IFERROR(__xludf.DUMMYFUNCTION("IF(ISBLANK(A3163),,IF(ISBLANK(S3163), A3163&amp;"";"", TEXTJOIN(CHAR(10), TRUE, A3163&amp;"";"", ARRAYFORMULA(VLOOKUP(SPLIT(S3163, "";"" &amp; CHAR(10)), $A:$AO, 41, FALSE)))))"),"HTS;
CBT;
VeT;
VeTe;
VeTm;
VeTp;
VeTi;
VeTis;
VeTid;
VeTv;
PRVT;
PRVTe;
PRVTm;
PRVTp;
PRVTi;
PRVTis;
PRVTid;
PRVTv;
CbLT;
CbLTe;
CbLTm;
CbLTp;
CbLTi;
CbLTis;
CbLTid;
CbLTv;
CbFT;
CbFTe;
CbFTm;
CbFTp;
CbFTi;
CbFTis;
CbFTid;
CbFTv;
TGCbN;
CbP;
MZCbP;
IZCbP;"&amp;"
NTZ;
CTZ;
VZCbP;
CbS;
CbSi;
CbSe;
HNM;
RhIS;
RhA;
Rh1;
Rh2;
Rh3;
RhB;
Rh4;
RhC;
Rh5;
Rh6;
Rh7;
RhD;
Rh8;
RhL;
URL;
EGLU;
LRL;
EGLL;
TCC;
MCCP;
ICCP;
LCCP;
TPk;
PkA;
PkB;
PkC;
PkD;
PkE;
PkF;
PkG;
PkH;
MSH;
REMS;
CEMS;
ImMS;
MZH;
MZCB;
MZPN;
MZMO;
IZH;
IZH"&amp;"al;
SSA;
GSA;
GVA;
SVA;
IZHba;
GVE;
SVE;
GSE;
IZHfl;
IZHro;
VZH;
VZCB;
VZPN;
VZMO;
PnFlx;
CrSlp;
CaSlp;
PnbB;
RhGv;")</f>
        <v>HTS;
CBT;
VeT;
VeTe;
VeTm;
VeTp;
VeTi;
VeTis;
VeTid;
VeTv;
PRVT;
PRVTe;
PRVTm;
PRVTp;
PRVTi;
PRVTis;
PRVTid;
PRVTv;
CbLT;
CbLTe;
CbLTm;
CbLTp;
CbLTi;
CbLTis;
CbLTid;
CbLTv;
CbFT;
CbFTe;
CbFTm;
CbFTp;
CbFTi;
CbFTis;
CbFTid;
CbFTv;
TGCbN;
CbP;
MZCbP;
IZCbP;
NTZ;
CTZ;
VZCbP;
CbS;
CbSi;
CbSe;
HNM;
RhIS;
RhA;
Rh1;
Rh2;
Rh3;
RhB;
Rh4;
RhC;
Rh5;
Rh6;
Rh7;
RhD;
Rh8;
RhL;
URL;
EGLU;
LRL;
EGLL;
TCC;
MCCP;
ICCP;
LCCP;
TPk;
PkA;
PkB;
PkC;
PkD;
PkE;
PkF;
PkG;
PkH;
MSH;
REMS;
CEMS;
ImMS;
MZH;
MZCB;
MZPN;
MZMO;
IZH;
IZHal;
SSA;
GSA;
GVA;
SVA;
IZHba;
GVE;
SVE;
GSE;
IZHfl;
IZHro;
VZH;
VZCB;
VZPN;
VZMO;
PnFlx;
CrSlp;
CaSlp;
PnbB;
RhGv;</v>
      </c>
      <c r="AP3163" s="89"/>
    </row>
    <row r="3164">
      <c r="A3164" s="151" t="str">
        <f>IFERROR(__xludf.DUMMYFUNCTION("""COMPUTED_VALUE"""),"CBT")</f>
        <v>CBT</v>
      </c>
      <c r="B3164" s="42" t="str">
        <f>IFERROR(__xludf.DUMMYFUNCTION("""COMPUTED_VALUE"""),"DHBA")</f>
        <v>DHBA</v>
      </c>
      <c r="C3164" s="42" t="str">
        <f>IFERROR(__xludf.DUMMYFUNCTION("""COMPUTED_VALUE"""),"transient zones of cerebellar cortex")</f>
        <v>transient zones of cerebellar cortex</v>
      </c>
      <c r="D3164" s="42">
        <f>IFERROR(__xludf.DUMMYFUNCTION("""COMPUTED_VALUE"""),3019.0)</f>
        <v>3019</v>
      </c>
      <c r="E3164" s="39" t="str">
        <f>IFERROR(__xludf.DUMMYFUNCTION("""COMPUTED_VALUE"""),"transient zones of cerebellar cortex")</f>
        <v>transient zones of cerebellar cortex</v>
      </c>
      <c r="F3164" s="9" t="str">
        <f>IFERROR(__xludf.DUMMYFUNCTION("""COMPUTED_VALUE"""),"Br")</f>
        <v>Br</v>
      </c>
      <c r="G3164" s="9" t="str">
        <f>IFERROR(__xludf.DUMMYFUNCTION("""COMPUTED_VALUE"""),"H")</f>
        <v>H</v>
      </c>
      <c r="H3164" s="9" t="str">
        <f>IFERROR(__xludf.DUMMYFUNCTION("""COMPUTED_VALUE"""),"HGM")</f>
        <v>HGM</v>
      </c>
      <c r="I3164" s="9" t="str">
        <f>IFERROR(__xludf.DUMMYFUNCTION("""COMPUTED_VALUE"""),"HTS")</f>
        <v>HTS</v>
      </c>
      <c r="J3164" s="9" t="str">
        <f>IFERROR(__xludf.DUMMYFUNCTION("""COMPUTED_VALUE"""),"CBT")</f>
        <v>CBT</v>
      </c>
      <c r="K3164" s="9"/>
      <c r="L3164" s="9"/>
      <c r="M3164" s="9"/>
      <c r="N3164" s="9"/>
      <c r="O3164" s="9"/>
      <c r="P3164" s="9"/>
      <c r="Q3164" s="9"/>
      <c r="R3164" s="9"/>
      <c r="S3164" s="42" t="str">
        <f>IFERROR(__xludf.DUMMYFUNCTION("""COMPUTED_VALUE"""),"VeT;
PRVT;
CbLT;
CbFT")</f>
        <v>VeT;
PRVT;
CbLT;
CbFT</v>
      </c>
      <c r="T3164" s="42"/>
      <c r="U3164" s="42" t="b">
        <f>IFERROR(__xludf.DUMMYFUNCTION("""COMPUTED_VALUE"""),FALSE)</f>
        <v>0</v>
      </c>
      <c r="V3164" s="42"/>
      <c r="W3164" s="42"/>
      <c r="X3164" s="42"/>
      <c r="Y3164" s="42"/>
      <c r="Z3164" s="42"/>
      <c r="AA3164" s="42"/>
      <c r="AB3164" s="42" t="str">
        <f>IFERROR(__xludf.DUMMYFUNCTION("""COMPUTED_VALUE"""),"allen institute")</f>
        <v>allen institute</v>
      </c>
      <c r="AC3164" s="42" t="str">
        <f>IFERROR(__xludf.DUMMYFUNCTION("""COMPUTED_VALUE"""),"DHBA")</f>
        <v>DHBA</v>
      </c>
      <c r="AD3164" s="42"/>
      <c r="AE3164" s="42"/>
      <c r="AF3164" s="9"/>
      <c r="AG3164" s="9"/>
      <c r="AH3164" s="42"/>
      <c r="AI3164" s="42"/>
      <c r="AJ3164" s="42"/>
      <c r="AK3164" s="42"/>
      <c r="AL3164" s="42"/>
      <c r="AM3164" s="42"/>
      <c r="AN3164" s="42"/>
      <c r="AO3164" s="63" t="str">
        <f>IFERROR(__xludf.DUMMYFUNCTION("IF(ISBLANK(A3164),,IF(ISBLANK(S3164), A3164&amp;"";"", TEXTJOIN(CHAR(10), TRUE, A3164&amp;"";"", ARRAYFORMULA(VLOOKUP(SPLIT(S3164, "";"" &amp; CHAR(10)), $A:$AO, 41, FALSE)))))"),"CBT;
VeT;
VeTe;
VeTm;
VeTp;
VeTi;
VeTis;
VeTid;
VeTv;
PRVT;
PRVTe;
PRVTm;
PRVTp;
PRVTi;
PRVTis;
PRVTid;
PRVTv;
CbLT;
CbLTe;
CbLTm;
CbLTp;
CbLTi;
CbLTis;
CbLTid;
CbLTv;
CbFT;
CbFTe;
CbFTm;
CbFTp;
CbFTi;
CbFTis;
CbFTid;
CbFTv;")</f>
        <v>CBT;
VeT;
VeTe;
VeTm;
VeTp;
VeTi;
VeTis;
VeTid;
VeTv;
PRVT;
PRVTe;
PRVTm;
PRVTp;
PRVTi;
PRVTis;
PRVTid;
PRVTv;
CbLT;
CbLTe;
CbLTm;
CbLTp;
CbLTi;
CbLTis;
CbLTid;
CbLTv;
CbFT;
CbFTe;
CbFTm;
CbFTp;
CbFTi;
CbFTis;
CbFTid;
CbFTv;</v>
      </c>
      <c r="AP3164" s="89"/>
    </row>
    <row r="3165">
      <c r="A3165" s="151" t="str">
        <f>IFERROR(__xludf.DUMMYFUNCTION("""COMPUTED_VALUE"""),"VeT")</f>
        <v>VeT</v>
      </c>
      <c r="B3165" s="42" t="str">
        <f>IFERROR(__xludf.DUMMYFUNCTION("""COMPUTED_VALUE"""),"DHBA")</f>
        <v>DHBA</v>
      </c>
      <c r="C3165" s="42" t="str">
        <f>IFERROR(__xludf.DUMMYFUNCTION("""COMPUTED_VALUE"""),"transient zones of cerebellar vermis")</f>
        <v>transient zones of cerebellar vermis</v>
      </c>
      <c r="D3165" s="42">
        <f>IFERROR(__xludf.DUMMYFUNCTION("""COMPUTED_VALUE"""),3020.0)</f>
        <v>3020</v>
      </c>
      <c r="E3165" s="39" t="str">
        <f>IFERROR(__xludf.DUMMYFUNCTION("""COMPUTED_VALUE"""),"transient zones of cerebellar vermis")</f>
        <v>transient zones of cerebellar vermis</v>
      </c>
      <c r="F3165" s="9" t="str">
        <f>IFERROR(__xludf.DUMMYFUNCTION("""COMPUTED_VALUE"""),"Br")</f>
        <v>Br</v>
      </c>
      <c r="G3165" s="9" t="str">
        <f>IFERROR(__xludf.DUMMYFUNCTION("""COMPUTED_VALUE"""),"H")</f>
        <v>H</v>
      </c>
      <c r="H3165" s="9" t="str">
        <f>IFERROR(__xludf.DUMMYFUNCTION("""COMPUTED_VALUE"""),"HGM")</f>
        <v>HGM</v>
      </c>
      <c r="I3165" s="9" t="str">
        <f>IFERROR(__xludf.DUMMYFUNCTION("""COMPUTED_VALUE"""),"HTS")</f>
        <v>HTS</v>
      </c>
      <c r="J3165" s="9" t="str">
        <f>IFERROR(__xludf.DUMMYFUNCTION("""COMPUTED_VALUE"""),"CBT")</f>
        <v>CBT</v>
      </c>
      <c r="K3165" s="9" t="str">
        <f>IFERROR(__xludf.DUMMYFUNCTION("""COMPUTED_VALUE"""),"VeT")</f>
        <v>VeT</v>
      </c>
      <c r="L3165" s="9"/>
      <c r="M3165" s="9"/>
      <c r="N3165" s="9"/>
      <c r="O3165" s="9"/>
      <c r="P3165" s="9"/>
      <c r="Q3165" s="9"/>
      <c r="R3165" s="9"/>
      <c r="S3165" s="42" t="str">
        <f>IFERROR(__xludf.DUMMYFUNCTION("""COMPUTED_VALUE"""),"VeTe;
VeTm;
VeTp;
VeTi;
VeTv")</f>
        <v>VeTe;
VeTm;
VeTp;
VeTi;
VeTv</v>
      </c>
      <c r="T3165" s="42"/>
      <c r="U3165" s="42" t="b">
        <f>IFERROR(__xludf.DUMMYFUNCTION("""COMPUTED_VALUE"""),FALSE)</f>
        <v>0</v>
      </c>
      <c r="V3165" s="42"/>
      <c r="W3165" s="42"/>
      <c r="X3165" s="42"/>
      <c r="Y3165" s="42"/>
      <c r="Z3165" s="42"/>
      <c r="AA3165" s="42"/>
      <c r="AB3165" s="42" t="str">
        <f>IFERROR(__xludf.DUMMYFUNCTION("""COMPUTED_VALUE"""),"allen institute")</f>
        <v>allen institute</v>
      </c>
      <c r="AC3165" s="42" t="str">
        <f>IFERROR(__xludf.DUMMYFUNCTION("""COMPUTED_VALUE"""),"DHBA")</f>
        <v>DHBA</v>
      </c>
      <c r="AD3165" s="42"/>
      <c r="AE3165" s="42"/>
      <c r="AF3165" s="9"/>
      <c r="AG3165" s="9"/>
      <c r="AH3165" s="42"/>
      <c r="AI3165" s="42"/>
      <c r="AJ3165" s="42"/>
      <c r="AK3165" s="42"/>
      <c r="AL3165" s="42"/>
      <c r="AM3165" s="42"/>
      <c r="AN3165" s="42"/>
      <c r="AO3165" s="63" t="str">
        <f>IFERROR(__xludf.DUMMYFUNCTION("IF(ISBLANK(A3165),,IF(ISBLANK(S3165), A3165&amp;"";"", TEXTJOIN(CHAR(10), TRUE, A3165&amp;"";"", ARRAYFORMULA(VLOOKUP(SPLIT(S3165, "";"" &amp; CHAR(10)), $A:$AO, 41, FALSE)))))"),"VeT;
VeTe;
VeTm;
VeTp;
VeTi;
VeTis;
VeTid;
VeTv;")</f>
        <v>VeT;
VeTe;
VeTm;
VeTp;
VeTi;
VeTis;
VeTid;
VeTv;</v>
      </c>
      <c r="AP3165" s="89"/>
    </row>
    <row r="3166">
      <c r="A3166" s="151" t="str">
        <f>IFERROR(__xludf.DUMMYFUNCTION("""COMPUTED_VALUE"""),"VeTe")</f>
        <v>VeTe</v>
      </c>
      <c r="B3166" s="42" t="str">
        <f>IFERROR(__xludf.DUMMYFUNCTION("""COMPUTED_VALUE"""),"DHBA")</f>
        <v>DHBA</v>
      </c>
      <c r="C3166" s="42" t="str">
        <f>IFERROR(__xludf.DUMMYFUNCTION("""COMPUTED_VALUE"""),"external granular (germinal) zone of the vermis")</f>
        <v>external granular (germinal) zone of the vermis</v>
      </c>
      <c r="D3166" s="42">
        <f>IFERROR(__xludf.DUMMYFUNCTION("""COMPUTED_VALUE"""),3021.0)</f>
        <v>3021</v>
      </c>
      <c r="E3166" s="39" t="str">
        <f>IFERROR(__xludf.DUMMYFUNCTION("""COMPUTED_VALUE"""),"external granular (germinal) zone of the vermis")</f>
        <v>external granular (germinal) zone of the vermis</v>
      </c>
      <c r="F3166" s="9" t="str">
        <f>IFERROR(__xludf.DUMMYFUNCTION("""COMPUTED_VALUE"""),"Br")</f>
        <v>Br</v>
      </c>
      <c r="G3166" s="9" t="str">
        <f>IFERROR(__xludf.DUMMYFUNCTION("""COMPUTED_VALUE"""),"H")</f>
        <v>H</v>
      </c>
      <c r="H3166" s="9" t="str">
        <f>IFERROR(__xludf.DUMMYFUNCTION("""COMPUTED_VALUE"""),"HGM")</f>
        <v>HGM</v>
      </c>
      <c r="I3166" s="9" t="str">
        <f>IFERROR(__xludf.DUMMYFUNCTION("""COMPUTED_VALUE"""),"HTS")</f>
        <v>HTS</v>
      </c>
      <c r="J3166" s="9" t="str">
        <f>IFERROR(__xludf.DUMMYFUNCTION("""COMPUTED_VALUE"""),"CBT")</f>
        <v>CBT</v>
      </c>
      <c r="K3166" s="9" t="str">
        <f>IFERROR(__xludf.DUMMYFUNCTION("""COMPUTED_VALUE"""),"VeT")</f>
        <v>VeT</v>
      </c>
      <c r="L3166" s="9" t="str">
        <f>IFERROR(__xludf.DUMMYFUNCTION("""COMPUTED_VALUE"""),"VeTe")</f>
        <v>VeTe</v>
      </c>
      <c r="M3166" s="9"/>
      <c r="N3166" s="9"/>
      <c r="O3166" s="9"/>
      <c r="P3166" s="9"/>
      <c r="Q3166" s="9"/>
      <c r="R3166" s="9"/>
      <c r="S3166" s="42"/>
      <c r="T3166" s="42"/>
      <c r="U3166" s="42"/>
      <c r="V3166" s="42"/>
      <c r="W3166" s="42"/>
      <c r="X3166" s="42"/>
      <c r="Y3166" s="42"/>
      <c r="Z3166" s="42"/>
      <c r="AA3166" s="42"/>
      <c r="AB3166" s="42" t="str">
        <f>IFERROR(__xludf.DUMMYFUNCTION("""COMPUTED_VALUE"""),"allen institute")</f>
        <v>allen institute</v>
      </c>
      <c r="AC3166" s="42" t="str">
        <f>IFERROR(__xludf.DUMMYFUNCTION("""COMPUTED_VALUE"""),"DHBA")</f>
        <v>DHBA</v>
      </c>
      <c r="AD3166" s="42"/>
      <c r="AE3166" s="42"/>
      <c r="AF3166" s="9"/>
      <c r="AG3166" s="9"/>
      <c r="AH3166" s="42"/>
      <c r="AI3166" s="42"/>
      <c r="AJ3166" s="42"/>
      <c r="AK3166" s="42"/>
      <c r="AL3166" s="42"/>
      <c r="AM3166" s="42"/>
      <c r="AN3166" s="42"/>
      <c r="AO3166" s="63" t="str">
        <f>IFERROR(__xludf.DUMMYFUNCTION("IF(ISBLANK(A3166),,IF(ISBLANK(S3166), A3166&amp;"";"", TEXTJOIN(CHAR(10), TRUE, A3166&amp;"";"", ARRAYFORMULA(VLOOKUP(SPLIT(S3166, "";"" &amp; CHAR(10)), $A:$AO, 41, FALSE)))))"),"VeTe;")</f>
        <v>VeTe;</v>
      </c>
      <c r="AP3166" s="89"/>
    </row>
    <row r="3167">
      <c r="A3167" s="151" t="str">
        <f>IFERROR(__xludf.DUMMYFUNCTION("""COMPUTED_VALUE"""),"VeTm")</f>
        <v>VeTm</v>
      </c>
      <c r="B3167" s="42" t="str">
        <f>IFERROR(__xludf.DUMMYFUNCTION("""COMPUTED_VALUE"""),"DHBA")</f>
        <v>DHBA</v>
      </c>
      <c r="C3167" s="42" t="str">
        <f>IFERROR(__xludf.DUMMYFUNCTION("""COMPUTED_VALUE"""),"marginal zone of the vermis")</f>
        <v>marginal zone of the vermis</v>
      </c>
      <c r="D3167" s="42">
        <f>IFERROR(__xludf.DUMMYFUNCTION("""COMPUTED_VALUE"""),3022.0)</f>
        <v>3022</v>
      </c>
      <c r="E3167" s="39" t="str">
        <f>IFERROR(__xludf.DUMMYFUNCTION("""COMPUTED_VALUE"""),"marginal zone of the vermis")</f>
        <v>marginal zone of the vermis</v>
      </c>
      <c r="F3167" s="9" t="str">
        <f>IFERROR(__xludf.DUMMYFUNCTION("""COMPUTED_VALUE"""),"Br")</f>
        <v>Br</v>
      </c>
      <c r="G3167" s="9" t="str">
        <f>IFERROR(__xludf.DUMMYFUNCTION("""COMPUTED_VALUE"""),"H")</f>
        <v>H</v>
      </c>
      <c r="H3167" s="9" t="str">
        <f>IFERROR(__xludf.DUMMYFUNCTION("""COMPUTED_VALUE"""),"HGM")</f>
        <v>HGM</v>
      </c>
      <c r="I3167" s="9" t="str">
        <f>IFERROR(__xludf.DUMMYFUNCTION("""COMPUTED_VALUE"""),"HTS")</f>
        <v>HTS</v>
      </c>
      <c r="J3167" s="9" t="str">
        <f>IFERROR(__xludf.DUMMYFUNCTION("""COMPUTED_VALUE"""),"CBT")</f>
        <v>CBT</v>
      </c>
      <c r="K3167" s="9" t="str">
        <f>IFERROR(__xludf.DUMMYFUNCTION("""COMPUTED_VALUE"""),"VeT")</f>
        <v>VeT</v>
      </c>
      <c r="L3167" s="9" t="str">
        <f>IFERROR(__xludf.DUMMYFUNCTION("""COMPUTED_VALUE"""),"VeTm")</f>
        <v>VeTm</v>
      </c>
      <c r="M3167" s="9"/>
      <c r="N3167" s="9"/>
      <c r="O3167" s="9"/>
      <c r="P3167" s="9"/>
      <c r="Q3167" s="9"/>
      <c r="R3167" s="9"/>
      <c r="S3167" s="42"/>
      <c r="T3167" s="42"/>
      <c r="U3167" s="42"/>
      <c r="V3167" s="42"/>
      <c r="W3167" s="42"/>
      <c r="X3167" s="42"/>
      <c r="Y3167" s="42"/>
      <c r="Z3167" s="42"/>
      <c r="AA3167" s="42"/>
      <c r="AB3167" s="42" t="str">
        <f>IFERROR(__xludf.DUMMYFUNCTION("""COMPUTED_VALUE"""),"allen institute")</f>
        <v>allen institute</v>
      </c>
      <c r="AC3167" s="42" t="str">
        <f>IFERROR(__xludf.DUMMYFUNCTION("""COMPUTED_VALUE"""),"DHBA")</f>
        <v>DHBA</v>
      </c>
      <c r="AD3167" s="42"/>
      <c r="AE3167" s="42"/>
      <c r="AF3167" s="9"/>
      <c r="AG3167" s="9"/>
      <c r="AH3167" s="42"/>
      <c r="AI3167" s="42"/>
      <c r="AJ3167" s="42"/>
      <c r="AK3167" s="42"/>
      <c r="AL3167" s="42"/>
      <c r="AM3167" s="42"/>
      <c r="AN3167" s="42"/>
      <c r="AO3167" s="63" t="str">
        <f>IFERROR(__xludf.DUMMYFUNCTION("IF(ISBLANK(A3167),,IF(ISBLANK(S3167), A3167&amp;"";"", TEXTJOIN(CHAR(10), TRUE, A3167&amp;"";"", ARRAYFORMULA(VLOOKUP(SPLIT(S3167, "";"" &amp; CHAR(10)), $A:$AO, 41, FALSE)))))"),"VeTm;")</f>
        <v>VeTm;</v>
      </c>
      <c r="AP3167" s="89"/>
    </row>
    <row r="3168">
      <c r="A3168" s="151" t="str">
        <f>IFERROR(__xludf.DUMMYFUNCTION("""COMPUTED_VALUE"""),"VeTp")</f>
        <v>VeTp</v>
      </c>
      <c r="B3168" s="42" t="str">
        <f>IFERROR(__xludf.DUMMYFUNCTION("""COMPUTED_VALUE"""),"DHBA")</f>
        <v>DHBA</v>
      </c>
      <c r="C3168" s="42" t="str">
        <f>IFERROR(__xludf.DUMMYFUNCTION("""COMPUTED_VALUE"""),"Purkinje cell zone of the vermis")</f>
        <v>Purkinje cell zone of the vermis</v>
      </c>
      <c r="D3168" s="42">
        <f>IFERROR(__xludf.DUMMYFUNCTION("""COMPUTED_VALUE"""),3023.0)</f>
        <v>3023</v>
      </c>
      <c r="E3168" s="39" t="str">
        <f>IFERROR(__xludf.DUMMYFUNCTION("""COMPUTED_VALUE"""),"Purkinje cell zone of the vermis")</f>
        <v>Purkinje cell zone of the vermis</v>
      </c>
      <c r="F3168" s="9" t="str">
        <f>IFERROR(__xludf.DUMMYFUNCTION("""COMPUTED_VALUE"""),"Br")</f>
        <v>Br</v>
      </c>
      <c r="G3168" s="9" t="str">
        <f>IFERROR(__xludf.DUMMYFUNCTION("""COMPUTED_VALUE"""),"H")</f>
        <v>H</v>
      </c>
      <c r="H3168" s="9" t="str">
        <f>IFERROR(__xludf.DUMMYFUNCTION("""COMPUTED_VALUE"""),"HGM")</f>
        <v>HGM</v>
      </c>
      <c r="I3168" s="9" t="str">
        <f>IFERROR(__xludf.DUMMYFUNCTION("""COMPUTED_VALUE"""),"HTS")</f>
        <v>HTS</v>
      </c>
      <c r="J3168" s="9" t="str">
        <f>IFERROR(__xludf.DUMMYFUNCTION("""COMPUTED_VALUE"""),"CBT")</f>
        <v>CBT</v>
      </c>
      <c r="K3168" s="9" t="str">
        <f>IFERROR(__xludf.DUMMYFUNCTION("""COMPUTED_VALUE"""),"VeT")</f>
        <v>VeT</v>
      </c>
      <c r="L3168" s="9" t="str">
        <f>IFERROR(__xludf.DUMMYFUNCTION("""COMPUTED_VALUE"""),"VeTp")</f>
        <v>VeTp</v>
      </c>
      <c r="M3168" s="9"/>
      <c r="N3168" s="9"/>
      <c r="O3168" s="9"/>
      <c r="P3168" s="9"/>
      <c r="Q3168" s="9"/>
      <c r="R3168" s="9"/>
      <c r="S3168" s="42"/>
      <c r="T3168" s="42"/>
      <c r="U3168" s="42"/>
      <c r="V3168" s="42"/>
      <c r="W3168" s="42"/>
      <c r="X3168" s="42"/>
      <c r="Y3168" s="42"/>
      <c r="Z3168" s="42"/>
      <c r="AA3168" s="42"/>
      <c r="AB3168" s="42" t="str">
        <f>IFERROR(__xludf.DUMMYFUNCTION("""COMPUTED_VALUE"""),"allen institute")</f>
        <v>allen institute</v>
      </c>
      <c r="AC3168" s="42" t="str">
        <f>IFERROR(__xludf.DUMMYFUNCTION("""COMPUTED_VALUE"""),"DHBA")</f>
        <v>DHBA</v>
      </c>
      <c r="AD3168" s="42"/>
      <c r="AE3168" s="42"/>
      <c r="AF3168" s="9"/>
      <c r="AG3168" s="9"/>
      <c r="AH3168" s="42"/>
      <c r="AI3168" s="42"/>
      <c r="AJ3168" s="42"/>
      <c r="AK3168" s="42"/>
      <c r="AL3168" s="42"/>
      <c r="AM3168" s="42"/>
      <c r="AN3168" s="42"/>
      <c r="AO3168" s="63" t="str">
        <f>IFERROR(__xludf.DUMMYFUNCTION("IF(ISBLANK(A3168),,IF(ISBLANK(S3168), A3168&amp;"";"", TEXTJOIN(CHAR(10), TRUE, A3168&amp;"";"", ARRAYFORMULA(VLOOKUP(SPLIT(S3168, "";"" &amp; CHAR(10)), $A:$AO, 41, FALSE)))))"),"VeTp;")</f>
        <v>VeTp;</v>
      </c>
      <c r="AP3168" s="89"/>
    </row>
    <row r="3169">
      <c r="A3169" s="151" t="str">
        <f>IFERROR(__xludf.DUMMYFUNCTION("""COMPUTED_VALUE"""),"VeTi")</f>
        <v>VeTi</v>
      </c>
      <c r="B3169" s="42" t="str">
        <f>IFERROR(__xludf.DUMMYFUNCTION("""COMPUTED_VALUE"""),"DHBA")</f>
        <v>DHBA</v>
      </c>
      <c r="C3169" s="42" t="str">
        <f>IFERROR(__xludf.DUMMYFUNCTION("""COMPUTED_VALUE"""),"inner granular cell zone of the vermis")</f>
        <v>inner granular cell zone of the vermis</v>
      </c>
      <c r="D3169" s="42">
        <f>IFERROR(__xludf.DUMMYFUNCTION("""COMPUTED_VALUE"""),3024.0)</f>
        <v>3024</v>
      </c>
      <c r="E3169" s="39" t="str">
        <f>IFERROR(__xludf.DUMMYFUNCTION("""COMPUTED_VALUE"""),"inner granular cell zone of the vermis")</f>
        <v>inner granular cell zone of the vermis</v>
      </c>
      <c r="F3169" s="9" t="str">
        <f>IFERROR(__xludf.DUMMYFUNCTION("""COMPUTED_VALUE"""),"Br")</f>
        <v>Br</v>
      </c>
      <c r="G3169" s="9" t="str">
        <f>IFERROR(__xludf.DUMMYFUNCTION("""COMPUTED_VALUE"""),"H")</f>
        <v>H</v>
      </c>
      <c r="H3169" s="9" t="str">
        <f>IFERROR(__xludf.DUMMYFUNCTION("""COMPUTED_VALUE"""),"HGM")</f>
        <v>HGM</v>
      </c>
      <c r="I3169" s="9" t="str">
        <f>IFERROR(__xludf.DUMMYFUNCTION("""COMPUTED_VALUE"""),"HTS")</f>
        <v>HTS</v>
      </c>
      <c r="J3169" s="9" t="str">
        <f>IFERROR(__xludf.DUMMYFUNCTION("""COMPUTED_VALUE"""),"CBT")</f>
        <v>CBT</v>
      </c>
      <c r="K3169" s="9" t="str">
        <f>IFERROR(__xludf.DUMMYFUNCTION("""COMPUTED_VALUE"""),"VeT")</f>
        <v>VeT</v>
      </c>
      <c r="L3169" s="9" t="str">
        <f>IFERROR(__xludf.DUMMYFUNCTION("""COMPUTED_VALUE"""),"VeTi")</f>
        <v>VeTi</v>
      </c>
      <c r="M3169" s="9"/>
      <c r="N3169" s="9"/>
      <c r="O3169" s="9"/>
      <c r="P3169" s="9"/>
      <c r="Q3169" s="9"/>
      <c r="R3169" s="9"/>
      <c r="S3169" s="42" t="str">
        <f>IFERROR(__xludf.DUMMYFUNCTION("""COMPUTED_VALUE"""),"VeTis;
VeTid")</f>
        <v>VeTis;
VeTid</v>
      </c>
      <c r="T3169" s="42"/>
      <c r="U3169" s="42" t="b">
        <f>IFERROR(__xludf.DUMMYFUNCTION("""COMPUTED_VALUE"""),FALSE)</f>
        <v>0</v>
      </c>
      <c r="V3169" s="42"/>
      <c r="W3169" s="42"/>
      <c r="X3169" s="42"/>
      <c r="Y3169" s="42"/>
      <c r="Z3169" s="42"/>
      <c r="AA3169" s="42"/>
      <c r="AB3169" s="42" t="str">
        <f>IFERROR(__xludf.DUMMYFUNCTION("""COMPUTED_VALUE"""),"allen institute")</f>
        <v>allen institute</v>
      </c>
      <c r="AC3169" s="42" t="str">
        <f>IFERROR(__xludf.DUMMYFUNCTION("""COMPUTED_VALUE"""),"DHBA")</f>
        <v>DHBA</v>
      </c>
      <c r="AD3169" s="42"/>
      <c r="AE3169" s="42"/>
      <c r="AF3169" s="9"/>
      <c r="AG3169" s="9"/>
      <c r="AH3169" s="42"/>
      <c r="AI3169" s="42"/>
      <c r="AJ3169" s="42"/>
      <c r="AK3169" s="42"/>
      <c r="AL3169" s="42"/>
      <c r="AM3169" s="42"/>
      <c r="AN3169" s="42"/>
      <c r="AO3169" s="63" t="str">
        <f>IFERROR(__xludf.DUMMYFUNCTION("IF(ISBLANK(A3169),,IF(ISBLANK(S3169), A3169&amp;"";"", TEXTJOIN(CHAR(10), TRUE, A3169&amp;"";"", ARRAYFORMULA(VLOOKUP(SPLIT(S3169, "";"" &amp; CHAR(10)), $A:$AO, 41, FALSE)))))"),"VeTi;
VeTis;
VeTid;")</f>
        <v>VeTi;
VeTis;
VeTid;</v>
      </c>
      <c r="AP3169" s="89"/>
    </row>
    <row r="3170">
      <c r="A3170" s="151" t="str">
        <f>IFERROR(__xludf.DUMMYFUNCTION("""COMPUTED_VALUE"""),"VeTis")</f>
        <v>VeTis</v>
      </c>
      <c r="B3170" s="42" t="str">
        <f>IFERROR(__xludf.DUMMYFUNCTION("""COMPUTED_VALUE"""),"DHBA")</f>
        <v>DHBA</v>
      </c>
      <c r="C3170" s="42" t="str">
        <f>IFERROR(__xludf.DUMMYFUNCTION("""COMPUTED_VALUE"""),"superficial (cell dense) portion of VeTi")</f>
        <v>superficial (cell dense) portion of VeTi</v>
      </c>
      <c r="D3170" s="42">
        <f>IFERROR(__xludf.DUMMYFUNCTION("""COMPUTED_VALUE"""),3025.0)</f>
        <v>3025</v>
      </c>
      <c r="E3170" s="39" t="str">
        <f>IFERROR(__xludf.DUMMYFUNCTION("""COMPUTED_VALUE"""),"superficial (cell dense) portion of VeTi")</f>
        <v>superficial (cell dense) portion of VeTi</v>
      </c>
      <c r="F3170" s="9" t="str">
        <f>IFERROR(__xludf.DUMMYFUNCTION("""COMPUTED_VALUE"""),"Br")</f>
        <v>Br</v>
      </c>
      <c r="G3170" s="9" t="str">
        <f>IFERROR(__xludf.DUMMYFUNCTION("""COMPUTED_VALUE"""),"H")</f>
        <v>H</v>
      </c>
      <c r="H3170" s="9" t="str">
        <f>IFERROR(__xludf.DUMMYFUNCTION("""COMPUTED_VALUE"""),"HGM")</f>
        <v>HGM</v>
      </c>
      <c r="I3170" s="9" t="str">
        <f>IFERROR(__xludf.DUMMYFUNCTION("""COMPUTED_VALUE"""),"HTS")</f>
        <v>HTS</v>
      </c>
      <c r="J3170" s="9" t="str">
        <f>IFERROR(__xludf.DUMMYFUNCTION("""COMPUTED_VALUE"""),"CBT")</f>
        <v>CBT</v>
      </c>
      <c r="K3170" s="9" t="str">
        <f>IFERROR(__xludf.DUMMYFUNCTION("""COMPUTED_VALUE"""),"VeT")</f>
        <v>VeT</v>
      </c>
      <c r="L3170" s="9" t="str">
        <f>IFERROR(__xludf.DUMMYFUNCTION("""COMPUTED_VALUE"""),"VeTi")</f>
        <v>VeTi</v>
      </c>
      <c r="M3170" s="9" t="str">
        <f>IFERROR(__xludf.DUMMYFUNCTION("""COMPUTED_VALUE"""),"VeTis")</f>
        <v>VeTis</v>
      </c>
      <c r="N3170" s="9"/>
      <c r="O3170" s="9"/>
      <c r="P3170" s="9"/>
      <c r="Q3170" s="9"/>
      <c r="R3170" s="9"/>
      <c r="S3170" s="42"/>
      <c r="T3170" s="42"/>
      <c r="U3170" s="42"/>
      <c r="V3170" s="42"/>
      <c r="W3170" s="42"/>
      <c r="X3170" s="42"/>
      <c r="Y3170" s="42"/>
      <c r="Z3170" s="42"/>
      <c r="AA3170" s="42"/>
      <c r="AB3170" s="42" t="str">
        <f>IFERROR(__xludf.DUMMYFUNCTION("""COMPUTED_VALUE"""),"allen institute")</f>
        <v>allen institute</v>
      </c>
      <c r="AC3170" s="42" t="str">
        <f>IFERROR(__xludf.DUMMYFUNCTION("""COMPUTED_VALUE"""),"DHBA")</f>
        <v>DHBA</v>
      </c>
      <c r="AD3170" s="42"/>
      <c r="AE3170" s="42"/>
      <c r="AF3170" s="9"/>
      <c r="AG3170" s="9"/>
      <c r="AH3170" s="42"/>
      <c r="AI3170" s="42"/>
      <c r="AJ3170" s="42"/>
      <c r="AK3170" s="42"/>
      <c r="AL3170" s="42"/>
      <c r="AM3170" s="42"/>
      <c r="AN3170" s="42"/>
      <c r="AO3170" s="63" t="str">
        <f>IFERROR(__xludf.DUMMYFUNCTION("IF(ISBLANK(A3170),,IF(ISBLANK(S3170), A3170&amp;"";"", TEXTJOIN(CHAR(10), TRUE, A3170&amp;"";"", ARRAYFORMULA(VLOOKUP(SPLIT(S3170, "";"" &amp; CHAR(10)), $A:$AO, 41, FALSE)))))"),"VeTis;")</f>
        <v>VeTis;</v>
      </c>
      <c r="AP3170" s="89"/>
    </row>
    <row r="3171">
      <c r="A3171" s="151" t="str">
        <f>IFERROR(__xludf.DUMMYFUNCTION("""COMPUTED_VALUE"""),"VeTid")</f>
        <v>VeTid</v>
      </c>
      <c r="B3171" s="42" t="str">
        <f>IFERROR(__xludf.DUMMYFUNCTION("""COMPUTED_VALUE"""),"DHBA")</f>
        <v>DHBA</v>
      </c>
      <c r="C3171" s="42" t="str">
        <f>IFERROR(__xludf.DUMMYFUNCTION("""COMPUTED_VALUE"""),"deep (cell loose) portion of VeTi")</f>
        <v>deep (cell loose) portion of VeTi</v>
      </c>
      <c r="D3171" s="42">
        <f>IFERROR(__xludf.DUMMYFUNCTION("""COMPUTED_VALUE"""),3026.0)</f>
        <v>3026</v>
      </c>
      <c r="E3171" s="39" t="str">
        <f>IFERROR(__xludf.DUMMYFUNCTION("""COMPUTED_VALUE"""),"deep (cell loose) portion of VeTi")</f>
        <v>deep (cell loose) portion of VeTi</v>
      </c>
      <c r="F3171" s="9" t="str">
        <f>IFERROR(__xludf.DUMMYFUNCTION("""COMPUTED_VALUE"""),"Br")</f>
        <v>Br</v>
      </c>
      <c r="G3171" s="9" t="str">
        <f>IFERROR(__xludf.DUMMYFUNCTION("""COMPUTED_VALUE"""),"H")</f>
        <v>H</v>
      </c>
      <c r="H3171" s="9" t="str">
        <f>IFERROR(__xludf.DUMMYFUNCTION("""COMPUTED_VALUE"""),"HGM")</f>
        <v>HGM</v>
      </c>
      <c r="I3171" s="9" t="str">
        <f>IFERROR(__xludf.DUMMYFUNCTION("""COMPUTED_VALUE"""),"HTS")</f>
        <v>HTS</v>
      </c>
      <c r="J3171" s="9" t="str">
        <f>IFERROR(__xludf.DUMMYFUNCTION("""COMPUTED_VALUE"""),"CBT")</f>
        <v>CBT</v>
      </c>
      <c r="K3171" s="9" t="str">
        <f>IFERROR(__xludf.DUMMYFUNCTION("""COMPUTED_VALUE"""),"VeT")</f>
        <v>VeT</v>
      </c>
      <c r="L3171" s="9" t="str">
        <f>IFERROR(__xludf.DUMMYFUNCTION("""COMPUTED_VALUE"""),"VeTi")</f>
        <v>VeTi</v>
      </c>
      <c r="M3171" s="9" t="str">
        <f>IFERROR(__xludf.DUMMYFUNCTION("""COMPUTED_VALUE"""),"VeTid")</f>
        <v>VeTid</v>
      </c>
      <c r="N3171" s="9"/>
      <c r="O3171" s="9"/>
      <c r="P3171" s="9"/>
      <c r="Q3171" s="9"/>
      <c r="R3171" s="9"/>
      <c r="S3171" s="42"/>
      <c r="T3171" s="42"/>
      <c r="U3171" s="159"/>
      <c r="V3171" s="42"/>
      <c r="W3171" s="42"/>
      <c r="X3171" s="42"/>
      <c r="Y3171" s="42"/>
      <c r="Z3171" s="42"/>
      <c r="AA3171" s="42"/>
      <c r="AB3171" s="42" t="str">
        <f>IFERROR(__xludf.DUMMYFUNCTION("""COMPUTED_VALUE"""),"allen institute")</f>
        <v>allen institute</v>
      </c>
      <c r="AC3171" s="42" t="str">
        <f>IFERROR(__xludf.DUMMYFUNCTION("""COMPUTED_VALUE"""),"DHBA")</f>
        <v>DHBA</v>
      </c>
      <c r="AD3171" s="42"/>
      <c r="AE3171" s="42"/>
      <c r="AF3171" s="9"/>
      <c r="AG3171" s="9"/>
      <c r="AH3171" s="42"/>
      <c r="AI3171" s="42"/>
      <c r="AJ3171" s="42"/>
      <c r="AK3171" s="42"/>
      <c r="AL3171" s="42"/>
      <c r="AM3171" s="42"/>
      <c r="AN3171" s="42"/>
      <c r="AO3171" s="63" t="str">
        <f>IFERROR(__xludf.DUMMYFUNCTION("IF(ISBLANK(A3171),,IF(ISBLANK(S3171), A3171&amp;"";"", TEXTJOIN(CHAR(10), TRUE, A3171&amp;"";"", ARRAYFORMULA(VLOOKUP(SPLIT(S3171, "";"" &amp; CHAR(10)), $A:$AO, 41, FALSE)))))"),"VeTid;")</f>
        <v>VeTid;</v>
      </c>
      <c r="AP3171" s="89"/>
    </row>
    <row r="3172">
      <c r="A3172" s="151" t="str">
        <f>IFERROR(__xludf.DUMMYFUNCTION("""COMPUTED_VALUE"""),"VeTv")</f>
        <v>VeTv</v>
      </c>
      <c r="B3172" s="42" t="str">
        <f>IFERROR(__xludf.DUMMYFUNCTION("""COMPUTED_VALUE"""),"DHBA")</f>
        <v>DHBA</v>
      </c>
      <c r="C3172" s="42" t="str">
        <f>IFERROR(__xludf.DUMMYFUNCTION("""COMPUTED_VALUE"""),"ventricular (germinal) zone of the vermis")</f>
        <v>ventricular (germinal) zone of the vermis</v>
      </c>
      <c r="D3172" s="42">
        <f>IFERROR(__xludf.DUMMYFUNCTION("""COMPUTED_VALUE"""),3027.0)</f>
        <v>3027</v>
      </c>
      <c r="E3172" s="39" t="str">
        <f>IFERROR(__xludf.DUMMYFUNCTION("""COMPUTED_VALUE"""),"ventricular (germinal) zone of the vermis")</f>
        <v>ventricular (germinal) zone of the vermis</v>
      </c>
      <c r="F3172" s="9" t="str">
        <f>IFERROR(__xludf.DUMMYFUNCTION("""COMPUTED_VALUE"""),"Br")</f>
        <v>Br</v>
      </c>
      <c r="G3172" s="9" t="str">
        <f>IFERROR(__xludf.DUMMYFUNCTION("""COMPUTED_VALUE"""),"H")</f>
        <v>H</v>
      </c>
      <c r="H3172" s="9" t="str">
        <f>IFERROR(__xludf.DUMMYFUNCTION("""COMPUTED_VALUE"""),"HGM")</f>
        <v>HGM</v>
      </c>
      <c r="I3172" s="9" t="str">
        <f>IFERROR(__xludf.DUMMYFUNCTION("""COMPUTED_VALUE"""),"HTS")</f>
        <v>HTS</v>
      </c>
      <c r="J3172" s="9" t="str">
        <f>IFERROR(__xludf.DUMMYFUNCTION("""COMPUTED_VALUE"""),"CBT")</f>
        <v>CBT</v>
      </c>
      <c r="K3172" s="9" t="str">
        <f>IFERROR(__xludf.DUMMYFUNCTION("""COMPUTED_VALUE"""),"VeT")</f>
        <v>VeT</v>
      </c>
      <c r="L3172" s="9" t="str">
        <f>IFERROR(__xludf.DUMMYFUNCTION("""COMPUTED_VALUE"""),"VeTv")</f>
        <v>VeTv</v>
      </c>
      <c r="M3172" s="9"/>
      <c r="N3172" s="9"/>
      <c r="O3172" s="9"/>
      <c r="P3172" s="9"/>
      <c r="Q3172" s="9"/>
      <c r="R3172" s="9"/>
      <c r="S3172" s="42"/>
      <c r="T3172" s="42"/>
      <c r="U3172" s="42"/>
      <c r="V3172" s="42"/>
      <c r="W3172" s="42"/>
      <c r="X3172" s="42"/>
      <c r="Y3172" s="42"/>
      <c r="Z3172" s="42"/>
      <c r="AA3172" s="42"/>
      <c r="AB3172" s="42" t="str">
        <f>IFERROR(__xludf.DUMMYFUNCTION("""COMPUTED_VALUE"""),"allen institute")</f>
        <v>allen institute</v>
      </c>
      <c r="AC3172" s="42" t="str">
        <f>IFERROR(__xludf.DUMMYFUNCTION("""COMPUTED_VALUE"""),"DHBA")</f>
        <v>DHBA</v>
      </c>
      <c r="AD3172" s="42"/>
      <c r="AE3172" s="42"/>
      <c r="AF3172" s="9"/>
      <c r="AG3172" s="9"/>
      <c r="AH3172" s="42"/>
      <c r="AI3172" s="42"/>
      <c r="AJ3172" s="42"/>
      <c r="AK3172" s="42"/>
      <c r="AL3172" s="42"/>
      <c r="AM3172" s="42"/>
      <c r="AN3172" s="42"/>
      <c r="AO3172" s="63" t="str">
        <f>IFERROR(__xludf.DUMMYFUNCTION("IF(ISBLANK(A3172),,IF(ISBLANK(S3172), A3172&amp;"";"", TEXTJOIN(CHAR(10), TRUE, A3172&amp;"";"", ARRAYFORMULA(VLOOKUP(SPLIT(S3172, "";"" &amp; CHAR(10)), $A:$AO, 41, FALSE)))))"),"VeTv;")</f>
        <v>VeTv;</v>
      </c>
      <c r="AP3172" s="89"/>
    </row>
    <row r="3173">
      <c r="A3173" s="151" t="str">
        <f>IFERROR(__xludf.DUMMYFUNCTION("""COMPUTED_VALUE"""),"PRVT")</f>
        <v>PRVT</v>
      </c>
      <c r="B3173" s="42" t="str">
        <f>IFERROR(__xludf.DUMMYFUNCTION("""COMPUTED_VALUE"""),"DHBA")</f>
        <v>DHBA</v>
      </c>
      <c r="C3173" s="42" t="str">
        <f>IFERROR(__xludf.DUMMYFUNCTION("""COMPUTED_VALUE"""),"transient zones of cerebellar paravermis")</f>
        <v>transient zones of cerebellar paravermis</v>
      </c>
      <c r="D3173" s="42">
        <f>IFERROR(__xludf.DUMMYFUNCTION("""COMPUTED_VALUE"""),3028.0)</f>
        <v>3028</v>
      </c>
      <c r="E3173" s="39" t="str">
        <f>IFERROR(__xludf.DUMMYFUNCTION("""COMPUTED_VALUE"""),"transient zones of cerebellar paravermis")</f>
        <v>transient zones of cerebellar paravermis</v>
      </c>
      <c r="F3173" s="9" t="str">
        <f>IFERROR(__xludf.DUMMYFUNCTION("""COMPUTED_VALUE"""),"Br")</f>
        <v>Br</v>
      </c>
      <c r="G3173" s="9" t="str">
        <f>IFERROR(__xludf.DUMMYFUNCTION("""COMPUTED_VALUE"""),"H")</f>
        <v>H</v>
      </c>
      <c r="H3173" s="9" t="str">
        <f>IFERROR(__xludf.DUMMYFUNCTION("""COMPUTED_VALUE"""),"HGM")</f>
        <v>HGM</v>
      </c>
      <c r="I3173" s="9" t="str">
        <f>IFERROR(__xludf.DUMMYFUNCTION("""COMPUTED_VALUE"""),"HTS")</f>
        <v>HTS</v>
      </c>
      <c r="J3173" s="9" t="str">
        <f>IFERROR(__xludf.DUMMYFUNCTION("""COMPUTED_VALUE"""),"CBT")</f>
        <v>CBT</v>
      </c>
      <c r="K3173" s="9" t="str">
        <f>IFERROR(__xludf.DUMMYFUNCTION("""COMPUTED_VALUE"""),"PRVT")</f>
        <v>PRVT</v>
      </c>
      <c r="L3173" s="9"/>
      <c r="M3173" s="9"/>
      <c r="N3173" s="9"/>
      <c r="O3173" s="9"/>
      <c r="P3173" s="9"/>
      <c r="Q3173" s="9"/>
      <c r="R3173" s="9"/>
      <c r="S3173" s="42" t="str">
        <f>IFERROR(__xludf.DUMMYFUNCTION("""COMPUTED_VALUE"""),"PRVTe;
PRVTm;
PRVTp;
PRVTi;
PRVTv")</f>
        <v>PRVTe;
PRVTm;
PRVTp;
PRVTi;
PRVTv</v>
      </c>
      <c r="T3173" s="42"/>
      <c r="U3173" s="42" t="b">
        <f>IFERROR(__xludf.DUMMYFUNCTION("""COMPUTED_VALUE"""),FALSE)</f>
        <v>0</v>
      </c>
      <c r="V3173" s="42"/>
      <c r="W3173" s="42"/>
      <c r="X3173" s="42"/>
      <c r="Y3173" s="42"/>
      <c r="Z3173" s="42"/>
      <c r="AA3173" s="42"/>
      <c r="AB3173" s="42" t="str">
        <f>IFERROR(__xludf.DUMMYFUNCTION("""COMPUTED_VALUE"""),"allen institute")</f>
        <v>allen institute</v>
      </c>
      <c r="AC3173" s="42" t="str">
        <f>IFERROR(__xludf.DUMMYFUNCTION("""COMPUTED_VALUE"""),"DHBA")</f>
        <v>DHBA</v>
      </c>
      <c r="AD3173" s="42"/>
      <c r="AE3173" s="42"/>
      <c r="AF3173" s="9"/>
      <c r="AG3173" s="9"/>
      <c r="AH3173" s="42"/>
      <c r="AI3173" s="42"/>
      <c r="AJ3173" s="42"/>
      <c r="AK3173" s="42"/>
      <c r="AL3173" s="42"/>
      <c r="AM3173" s="42"/>
      <c r="AN3173" s="42"/>
      <c r="AO3173" s="63" t="str">
        <f>IFERROR(__xludf.DUMMYFUNCTION("IF(ISBLANK(A3173),,IF(ISBLANK(S3173), A3173&amp;"";"", TEXTJOIN(CHAR(10), TRUE, A3173&amp;"";"", ARRAYFORMULA(VLOOKUP(SPLIT(S3173, "";"" &amp; CHAR(10)), $A:$AO, 41, FALSE)))))"),"PRVT;
PRVTe;
PRVTm;
PRVTp;
PRVTi;
PRVTis;
PRVTid;
PRVTv;")</f>
        <v>PRVT;
PRVTe;
PRVTm;
PRVTp;
PRVTi;
PRVTis;
PRVTid;
PRVTv;</v>
      </c>
      <c r="AP3173" s="89"/>
    </row>
    <row r="3174">
      <c r="A3174" s="151" t="str">
        <f>IFERROR(__xludf.DUMMYFUNCTION("""COMPUTED_VALUE"""),"PRVTe")</f>
        <v>PRVTe</v>
      </c>
      <c r="B3174" s="42" t="str">
        <f>IFERROR(__xludf.DUMMYFUNCTION("""COMPUTED_VALUE"""),"DHBA")</f>
        <v>DHBA</v>
      </c>
      <c r="C3174" s="42" t="str">
        <f>IFERROR(__xludf.DUMMYFUNCTION("""COMPUTED_VALUE"""),"external granular (germinal) zone of the paravermis")</f>
        <v>external granular (germinal) zone of the paravermis</v>
      </c>
      <c r="D3174" s="42">
        <f>IFERROR(__xludf.DUMMYFUNCTION("""COMPUTED_VALUE"""),3029.0)</f>
        <v>3029</v>
      </c>
      <c r="E3174" s="39" t="str">
        <f>IFERROR(__xludf.DUMMYFUNCTION("""COMPUTED_VALUE"""),"external granular (germinal) zone of the paravermis")</f>
        <v>external granular (germinal) zone of the paravermis</v>
      </c>
      <c r="F3174" s="9" t="str">
        <f>IFERROR(__xludf.DUMMYFUNCTION("""COMPUTED_VALUE"""),"Br")</f>
        <v>Br</v>
      </c>
      <c r="G3174" s="9" t="str">
        <f>IFERROR(__xludf.DUMMYFUNCTION("""COMPUTED_VALUE"""),"H")</f>
        <v>H</v>
      </c>
      <c r="H3174" s="9" t="str">
        <f>IFERROR(__xludf.DUMMYFUNCTION("""COMPUTED_VALUE"""),"HGM")</f>
        <v>HGM</v>
      </c>
      <c r="I3174" s="9" t="str">
        <f>IFERROR(__xludf.DUMMYFUNCTION("""COMPUTED_VALUE"""),"HTS")</f>
        <v>HTS</v>
      </c>
      <c r="J3174" s="9" t="str">
        <f>IFERROR(__xludf.DUMMYFUNCTION("""COMPUTED_VALUE"""),"CBT")</f>
        <v>CBT</v>
      </c>
      <c r="K3174" s="9" t="str">
        <f>IFERROR(__xludf.DUMMYFUNCTION("""COMPUTED_VALUE"""),"PRVT")</f>
        <v>PRVT</v>
      </c>
      <c r="L3174" s="9" t="str">
        <f>IFERROR(__xludf.DUMMYFUNCTION("""COMPUTED_VALUE"""),"PRVTe")</f>
        <v>PRVTe</v>
      </c>
      <c r="M3174" s="9"/>
      <c r="N3174" s="9"/>
      <c r="O3174" s="9"/>
      <c r="P3174" s="9"/>
      <c r="Q3174" s="9"/>
      <c r="R3174" s="9"/>
      <c r="S3174" s="42"/>
      <c r="T3174" s="42"/>
      <c r="U3174" s="42"/>
      <c r="V3174" s="42"/>
      <c r="W3174" s="42"/>
      <c r="X3174" s="42"/>
      <c r="Y3174" s="42"/>
      <c r="Z3174" s="42"/>
      <c r="AA3174" s="42"/>
      <c r="AB3174" s="42" t="str">
        <f>IFERROR(__xludf.DUMMYFUNCTION("""COMPUTED_VALUE"""),"allen institute")</f>
        <v>allen institute</v>
      </c>
      <c r="AC3174" s="42" t="str">
        <f>IFERROR(__xludf.DUMMYFUNCTION("""COMPUTED_VALUE"""),"DHBA")</f>
        <v>DHBA</v>
      </c>
      <c r="AD3174" s="42"/>
      <c r="AE3174" s="42"/>
      <c r="AF3174" s="9"/>
      <c r="AG3174" s="9"/>
      <c r="AH3174" s="42"/>
      <c r="AI3174" s="42"/>
      <c r="AJ3174" s="42"/>
      <c r="AK3174" s="42"/>
      <c r="AL3174" s="42"/>
      <c r="AM3174" s="42"/>
      <c r="AN3174" s="42"/>
      <c r="AO3174" s="63" t="str">
        <f>IFERROR(__xludf.DUMMYFUNCTION("IF(ISBLANK(A3174),,IF(ISBLANK(S3174), A3174&amp;"";"", TEXTJOIN(CHAR(10), TRUE, A3174&amp;"";"", ARRAYFORMULA(VLOOKUP(SPLIT(S3174, "";"" &amp; CHAR(10)), $A:$AO, 41, FALSE)))))"),"PRVTe;")</f>
        <v>PRVTe;</v>
      </c>
      <c r="AP3174" s="89"/>
    </row>
    <row r="3175">
      <c r="A3175" s="151" t="str">
        <f>IFERROR(__xludf.DUMMYFUNCTION("""COMPUTED_VALUE"""),"PRVTm")</f>
        <v>PRVTm</v>
      </c>
      <c r="B3175" s="42" t="str">
        <f>IFERROR(__xludf.DUMMYFUNCTION("""COMPUTED_VALUE"""),"DHBA")</f>
        <v>DHBA</v>
      </c>
      <c r="C3175" s="42" t="str">
        <f>IFERROR(__xludf.DUMMYFUNCTION("""COMPUTED_VALUE"""),"marginal zone of the paravermis")</f>
        <v>marginal zone of the paravermis</v>
      </c>
      <c r="D3175" s="42">
        <f>IFERROR(__xludf.DUMMYFUNCTION("""COMPUTED_VALUE"""),3030.0)</f>
        <v>3030</v>
      </c>
      <c r="E3175" s="39" t="str">
        <f>IFERROR(__xludf.DUMMYFUNCTION("""COMPUTED_VALUE"""),"marginal zone of the paravermis")</f>
        <v>marginal zone of the paravermis</v>
      </c>
      <c r="F3175" s="9" t="str">
        <f>IFERROR(__xludf.DUMMYFUNCTION("""COMPUTED_VALUE"""),"Br")</f>
        <v>Br</v>
      </c>
      <c r="G3175" s="9" t="str">
        <f>IFERROR(__xludf.DUMMYFUNCTION("""COMPUTED_VALUE"""),"H")</f>
        <v>H</v>
      </c>
      <c r="H3175" s="9" t="str">
        <f>IFERROR(__xludf.DUMMYFUNCTION("""COMPUTED_VALUE"""),"HGM")</f>
        <v>HGM</v>
      </c>
      <c r="I3175" s="9" t="str">
        <f>IFERROR(__xludf.DUMMYFUNCTION("""COMPUTED_VALUE"""),"HTS")</f>
        <v>HTS</v>
      </c>
      <c r="J3175" s="9" t="str">
        <f>IFERROR(__xludf.DUMMYFUNCTION("""COMPUTED_VALUE"""),"CBT")</f>
        <v>CBT</v>
      </c>
      <c r="K3175" s="9" t="str">
        <f>IFERROR(__xludf.DUMMYFUNCTION("""COMPUTED_VALUE"""),"PRVT")</f>
        <v>PRVT</v>
      </c>
      <c r="L3175" s="9" t="str">
        <f>IFERROR(__xludf.DUMMYFUNCTION("""COMPUTED_VALUE"""),"PRVTm")</f>
        <v>PRVTm</v>
      </c>
      <c r="M3175" s="9"/>
      <c r="N3175" s="9"/>
      <c r="O3175" s="9"/>
      <c r="P3175" s="9"/>
      <c r="Q3175" s="9"/>
      <c r="R3175" s="9"/>
      <c r="S3175" s="42"/>
      <c r="T3175" s="42"/>
      <c r="U3175" s="42"/>
      <c r="V3175" s="42"/>
      <c r="W3175" s="42"/>
      <c r="X3175" s="42"/>
      <c r="Y3175" s="42"/>
      <c r="Z3175" s="42"/>
      <c r="AA3175" s="42"/>
      <c r="AB3175" s="42" t="str">
        <f>IFERROR(__xludf.DUMMYFUNCTION("""COMPUTED_VALUE"""),"allen institute")</f>
        <v>allen institute</v>
      </c>
      <c r="AC3175" s="42" t="str">
        <f>IFERROR(__xludf.DUMMYFUNCTION("""COMPUTED_VALUE"""),"DHBA")</f>
        <v>DHBA</v>
      </c>
      <c r="AD3175" s="42"/>
      <c r="AE3175" s="42"/>
      <c r="AF3175" s="9"/>
      <c r="AG3175" s="9"/>
      <c r="AH3175" s="42"/>
      <c r="AI3175" s="42"/>
      <c r="AJ3175" s="42"/>
      <c r="AK3175" s="42"/>
      <c r="AL3175" s="42"/>
      <c r="AM3175" s="42"/>
      <c r="AN3175" s="42"/>
      <c r="AO3175" s="63" t="str">
        <f>IFERROR(__xludf.DUMMYFUNCTION("IF(ISBLANK(A3175),,IF(ISBLANK(S3175), A3175&amp;"";"", TEXTJOIN(CHAR(10), TRUE, A3175&amp;"";"", ARRAYFORMULA(VLOOKUP(SPLIT(S3175, "";"" &amp; CHAR(10)), $A:$AO, 41, FALSE)))))"),"PRVTm;")</f>
        <v>PRVTm;</v>
      </c>
      <c r="AP3175" s="89"/>
    </row>
    <row r="3176">
      <c r="A3176" s="151" t="str">
        <f>IFERROR(__xludf.DUMMYFUNCTION("""COMPUTED_VALUE"""),"PRVTp")</f>
        <v>PRVTp</v>
      </c>
      <c r="B3176" s="42" t="str">
        <f>IFERROR(__xludf.DUMMYFUNCTION("""COMPUTED_VALUE"""),"DHBA")</f>
        <v>DHBA</v>
      </c>
      <c r="C3176" s="42" t="str">
        <f>IFERROR(__xludf.DUMMYFUNCTION("""COMPUTED_VALUE"""),"Purkinje cell zone of the paravermis")</f>
        <v>Purkinje cell zone of the paravermis</v>
      </c>
      <c r="D3176" s="42">
        <f>IFERROR(__xludf.DUMMYFUNCTION("""COMPUTED_VALUE"""),3031.0)</f>
        <v>3031</v>
      </c>
      <c r="E3176" s="39" t="str">
        <f>IFERROR(__xludf.DUMMYFUNCTION("""COMPUTED_VALUE"""),"Purkinje cell zone of the paravermis")</f>
        <v>Purkinje cell zone of the paravermis</v>
      </c>
      <c r="F3176" s="9" t="str">
        <f>IFERROR(__xludf.DUMMYFUNCTION("""COMPUTED_VALUE"""),"Br")</f>
        <v>Br</v>
      </c>
      <c r="G3176" s="9" t="str">
        <f>IFERROR(__xludf.DUMMYFUNCTION("""COMPUTED_VALUE"""),"H")</f>
        <v>H</v>
      </c>
      <c r="H3176" s="9" t="str">
        <f>IFERROR(__xludf.DUMMYFUNCTION("""COMPUTED_VALUE"""),"HGM")</f>
        <v>HGM</v>
      </c>
      <c r="I3176" s="9" t="str">
        <f>IFERROR(__xludf.DUMMYFUNCTION("""COMPUTED_VALUE"""),"HTS")</f>
        <v>HTS</v>
      </c>
      <c r="J3176" s="9" t="str">
        <f>IFERROR(__xludf.DUMMYFUNCTION("""COMPUTED_VALUE"""),"CBT")</f>
        <v>CBT</v>
      </c>
      <c r="K3176" s="9" t="str">
        <f>IFERROR(__xludf.DUMMYFUNCTION("""COMPUTED_VALUE"""),"PRVT")</f>
        <v>PRVT</v>
      </c>
      <c r="L3176" s="9" t="str">
        <f>IFERROR(__xludf.DUMMYFUNCTION("""COMPUTED_VALUE"""),"PRVTp")</f>
        <v>PRVTp</v>
      </c>
      <c r="M3176" s="9"/>
      <c r="N3176" s="9"/>
      <c r="O3176" s="9"/>
      <c r="P3176" s="9"/>
      <c r="Q3176" s="9"/>
      <c r="R3176" s="9"/>
      <c r="S3176" s="42"/>
      <c r="T3176" s="42"/>
      <c r="U3176" s="42"/>
      <c r="V3176" s="42"/>
      <c r="W3176" s="42"/>
      <c r="X3176" s="42"/>
      <c r="Y3176" s="42"/>
      <c r="Z3176" s="42"/>
      <c r="AA3176" s="42"/>
      <c r="AB3176" s="42" t="str">
        <f>IFERROR(__xludf.DUMMYFUNCTION("""COMPUTED_VALUE"""),"allen institute")</f>
        <v>allen institute</v>
      </c>
      <c r="AC3176" s="42" t="str">
        <f>IFERROR(__xludf.DUMMYFUNCTION("""COMPUTED_VALUE"""),"DHBA")</f>
        <v>DHBA</v>
      </c>
      <c r="AD3176" s="42"/>
      <c r="AE3176" s="42"/>
      <c r="AF3176" s="9"/>
      <c r="AG3176" s="9"/>
      <c r="AH3176" s="42"/>
      <c r="AI3176" s="42"/>
      <c r="AJ3176" s="42"/>
      <c r="AK3176" s="42"/>
      <c r="AL3176" s="42"/>
      <c r="AM3176" s="42"/>
      <c r="AN3176" s="42"/>
      <c r="AO3176" s="63" t="str">
        <f>IFERROR(__xludf.DUMMYFUNCTION("IF(ISBLANK(A3176),,IF(ISBLANK(S3176), A3176&amp;"";"", TEXTJOIN(CHAR(10), TRUE, A3176&amp;"";"", ARRAYFORMULA(VLOOKUP(SPLIT(S3176, "";"" &amp; CHAR(10)), $A:$AO, 41, FALSE)))))"),"PRVTp;")</f>
        <v>PRVTp;</v>
      </c>
      <c r="AP3176" s="89"/>
    </row>
    <row r="3177">
      <c r="A3177" s="151" t="str">
        <f>IFERROR(__xludf.DUMMYFUNCTION("""COMPUTED_VALUE"""),"PRVTi")</f>
        <v>PRVTi</v>
      </c>
      <c r="B3177" s="42" t="str">
        <f>IFERROR(__xludf.DUMMYFUNCTION("""COMPUTED_VALUE"""),"DHBA")</f>
        <v>DHBA</v>
      </c>
      <c r="C3177" s="42" t="str">
        <f>IFERROR(__xludf.DUMMYFUNCTION("""COMPUTED_VALUE"""),"inner granular cell zone of the paravermis")</f>
        <v>inner granular cell zone of the paravermis</v>
      </c>
      <c r="D3177" s="42">
        <f>IFERROR(__xludf.DUMMYFUNCTION("""COMPUTED_VALUE"""),3032.0)</f>
        <v>3032</v>
      </c>
      <c r="E3177" s="39" t="str">
        <f>IFERROR(__xludf.DUMMYFUNCTION("""COMPUTED_VALUE"""),"inner granular cell zone of the paravermis")</f>
        <v>inner granular cell zone of the paravermis</v>
      </c>
      <c r="F3177" s="9" t="str">
        <f>IFERROR(__xludf.DUMMYFUNCTION("""COMPUTED_VALUE"""),"Br")</f>
        <v>Br</v>
      </c>
      <c r="G3177" s="9" t="str">
        <f>IFERROR(__xludf.DUMMYFUNCTION("""COMPUTED_VALUE"""),"H")</f>
        <v>H</v>
      </c>
      <c r="H3177" s="9" t="str">
        <f>IFERROR(__xludf.DUMMYFUNCTION("""COMPUTED_VALUE"""),"HGM")</f>
        <v>HGM</v>
      </c>
      <c r="I3177" s="9" t="str">
        <f>IFERROR(__xludf.DUMMYFUNCTION("""COMPUTED_VALUE"""),"HTS")</f>
        <v>HTS</v>
      </c>
      <c r="J3177" s="9" t="str">
        <f>IFERROR(__xludf.DUMMYFUNCTION("""COMPUTED_VALUE"""),"CBT")</f>
        <v>CBT</v>
      </c>
      <c r="K3177" s="9" t="str">
        <f>IFERROR(__xludf.DUMMYFUNCTION("""COMPUTED_VALUE"""),"PRVT")</f>
        <v>PRVT</v>
      </c>
      <c r="L3177" s="9" t="str">
        <f>IFERROR(__xludf.DUMMYFUNCTION("""COMPUTED_VALUE"""),"PRVTi")</f>
        <v>PRVTi</v>
      </c>
      <c r="M3177" s="9"/>
      <c r="N3177" s="9"/>
      <c r="O3177" s="9"/>
      <c r="P3177" s="9"/>
      <c r="Q3177" s="9"/>
      <c r="R3177" s="9"/>
      <c r="S3177" s="42" t="str">
        <f>IFERROR(__xludf.DUMMYFUNCTION("""COMPUTED_VALUE"""),"PRVTis;
PRVTid")</f>
        <v>PRVTis;
PRVTid</v>
      </c>
      <c r="T3177" s="42"/>
      <c r="U3177" s="42" t="b">
        <f>IFERROR(__xludf.DUMMYFUNCTION("""COMPUTED_VALUE"""),FALSE)</f>
        <v>0</v>
      </c>
      <c r="V3177" s="42"/>
      <c r="W3177" s="42"/>
      <c r="X3177" s="42"/>
      <c r="Y3177" s="42"/>
      <c r="Z3177" s="42"/>
      <c r="AA3177" s="42"/>
      <c r="AB3177" s="42" t="str">
        <f>IFERROR(__xludf.DUMMYFUNCTION("""COMPUTED_VALUE"""),"allen institute")</f>
        <v>allen institute</v>
      </c>
      <c r="AC3177" s="42" t="str">
        <f>IFERROR(__xludf.DUMMYFUNCTION("""COMPUTED_VALUE"""),"DHBA")</f>
        <v>DHBA</v>
      </c>
      <c r="AD3177" s="42"/>
      <c r="AE3177" s="42"/>
      <c r="AF3177" s="9"/>
      <c r="AG3177" s="9"/>
      <c r="AH3177" s="42"/>
      <c r="AI3177" s="42"/>
      <c r="AJ3177" s="42"/>
      <c r="AK3177" s="42"/>
      <c r="AL3177" s="42"/>
      <c r="AM3177" s="42"/>
      <c r="AN3177" s="42"/>
      <c r="AO3177" s="63" t="str">
        <f>IFERROR(__xludf.DUMMYFUNCTION("IF(ISBLANK(A3177),,IF(ISBLANK(S3177), A3177&amp;"";"", TEXTJOIN(CHAR(10), TRUE, A3177&amp;"";"", ARRAYFORMULA(VLOOKUP(SPLIT(S3177, "";"" &amp; CHAR(10)), $A:$AO, 41, FALSE)))))"),"PRVTi;
PRVTis;
PRVTid;")</f>
        <v>PRVTi;
PRVTis;
PRVTid;</v>
      </c>
      <c r="AP3177" s="89"/>
    </row>
    <row r="3178">
      <c r="A3178" s="151" t="str">
        <f>IFERROR(__xludf.DUMMYFUNCTION("""COMPUTED_VALUE"""),"PRVTis")</f>
        <v>PRVTis</v>
      </c>
      <c r="B3178" s="42" t="str">
        <f>IFERROR(__xludf.DUMMYFUNCTION("""COMPUTED_VALUE"""),"DHBA")</f>
        <v>DHBA</v>
      </c>
      <c r="C3178" s="42" t="str">
        <f>IFERROR(__xludf.DUMMYFUNCTION("""COMPUTED_VALUE"""),"superficial (cell dense) portion of PRVTi")</f>
        <v>superficial (cell dense) portion of PRVTi</v>
      </c>
      <c r="D3178" s="42">
        <f>IFERROR(__xludf.DUMMYFUNCTION("""COMPUTED_VALUE"""),3033.0)</f>
        <v>3033</v>
      </c>
      <c r="E3178" s="39" t="str">
        <f>IFERROR(__xludf.DUMMYFUNCTION("""COMPUTED_VALUE"""),"superficial (cell dense) portion of PRVTi")</f>
        <v>superficial (cell dense) portion of PRVTi</v>
      </c>
      <c r="F3178" s="9" t="str">
        <f>IFERROR(__xludf.DUMMYFUNCTION("""COMPUTED_VALUE"""),"Br")</f>
        <v>Br</v>
      </c>
      <c r="G3178" s="9" t="str">
        <f>IFERROR(__xludf.DUMMYFUNCTION("""COMPUTED_VALUE"""),"H")</f>
        <v>H</v>
      </c>
      <c r="H3178" s="9" t="str">
        <f>IFERROR(__xludf.DUMMYFUNCTION("""COMPUTED_VALUE"""),"HGM")</f>
        <v>HGM</v>
      </c>
      <c r="I3178" s="9" t="str">
        <f>IFERROR(__xludf.DUMMYFUNCTION("""COMPUTED_VALUE"""),"HTS")</f>
        <v>HTS</v>
      </c>
      <c r="J3178" s="9" t="str">
        <f>IFERROR(__xludf.DUMMYFUNCTION("""COMPUTED_VALUE"""),"CBT")</f>
        <v>CBT</v>
      </c>
      <c r="K3178" s="9" t="str">
        <f>IFERROR(__xludf.DUMMYFUNCTION("""COMPUTED_VALUE"""),"PRVT")</f>
        <v>PRVT</v>
      </c>
      <c r="L3178" s="9" t="str">
        <f>IFERROR(__xludf.DUMMYFUNCTION("""COMPUTED_VALUE"""),"PRVTi")</f>
        <v>PRVTi</v>
      </c>
      <c r="M3178" s="9" t="str">
        <f>IFERROR(__xludf.DUMMYFUNCTION("""COMPUTED_VALUE"""),"PRVTis")</f>
        <v>PRVTis</v>
      </c>
      <c r="N3178" s="9"/>
      <c r="O3178" s="9"/>
      <c r="P3178" s="9"/>
      <c r="Q3178" s="9"/>
      <c r="R3178" s="9"/>
      <c r="S3178" s="42"/>
      <c r="T3178" s="42"/>
      <c r="U3178" s="42"/>
      <c r="V3178" s="42"/>
      <c r="W3178" s="42"/>
      <c r="X3178" s="42"/>
      <c r="Y3178" s="42"/>
      <c r="Z3178" s="42"/>
      <c r="AA3178" s="42"/>
      <c r="AB3178" s="42" t="str">
        <f>IFERROR(__xludf.DUMMYFUNCTION("""COMPUTED_VALUE"""),"allen institute")</f>
        <v>allen institute</v>
      </c>
      <c r="AC3178" s="42" t="str">
        <f>IFERROR(__xludf.DUMMYFUNCTION("""COMPUTED_VALUE"""),"DHBA")</f>
        <v>DHBA</v>
      </c>
      <c r="AD3178" s="42"/>
      <c r="AE3178" s="42"/>
      <c r="AF3178" s="9"/>
      <c r="AG3178" s="9"/>
      <c r="AH3178" s="42"/>
      <c r="AI3178" s="42"/>
      <c r="AJ3178" s="42"/>
      <c r="AK3178" s="42"/>
      <c r="AL3178" s="42"/>
      <c r="AM3178" s="42"/>
      <c r="AN3178" s="42"/>
      <c r="AO3178" s="63" t="str">
        <f>IFERROR(__xludf.DUMMYFUNCTION("IF(ISBLANK(A3178),,IF(ISBLANK(S3178), A3178&amp;"";"", TEXTJOIN(CHAR(10), TRUE, A3178&amp;"";"", ARRAYFORMULA(VLOOKUP(SPLIT(S3178, "";"" &amp; CHAR(10)), $A:$AO, 41, FALSE)))))"),"PRVTis;")</f>
        <v>PRVTis;</v>
      </c>
      <c r="AP3178" s="89"/>
    </row>
    <row r="3179">
      <c r="A3179" s="151" t="str">
        <f>IFERROR(__xludf.DUMMYFUNCTION("""COMPUTED_VALUE"""),"PRVTid")</f>
        <v>PRVTid</v>
      </c>
      <c r="B3179" s="42" t="str">
        <f>IFERROR(__xludf.DUMMYFUNCTION("""COMPUTED_VALUE"""),"DHBA")</f>
        <v>DHBA</v>
      </c>
      <c r="C3179" s="42" t="str">
        <f>IFERROR(__xludf.DUMMYFUNCTION("""COMPUTED_VALUE"""),"deep (cell loose) portion of PRVTi")</f>
        <v>deep (cell loose) portion of PRVTi</v>
      </c>
      <c r="D3179" s="42">
        <f>IFERROR(__xludf.DUMMYFUNCTION("""COMPUTED_VALUE"""),3034.0)</f>
        <v>3034</v>
      </c>
      <c r="E3179" s="39" t="str">
        <f>IFERROR(__xludf.DUMMYFUNCTION("""COMPUTED_VALUE"""),"deep (cell loose) portion of PRVTi")</f>
        <v>deep (cell loose) portion of PRVTi</v>
      </c>
      <c r="F3179" s="9" t="str">
        <f>IFERROR(__xludf.DUMMYFUNCTION("""COMPUTED_VALUE"""),"Br")</f>
        <v>Br</v>
      </c>
      <c r="G3179" s="9" t="str">
        <f>IFERROR(__xludf.DUMMYFUNCTION("""COMPUTED_VALUE"""),"H")</f>
        <v>H</v>
      </c>
      <c r="H3179" s="9" t="str">
        <f>IFERROR(__xludf.DUMMYFUNCTION("""COMPUTED_VALUE"""),"HGM")</f>
        <v>HGM</v>
      </c>
      <c r="I3179" s="9" t="str">
        <f>IFERROR(__xludf.DUMMYFUNCTION("""COMPUTED_VALUE"""),"HTS")</f>
        <v>HTS</v>
      </c>
      <c r="J3179" s="9" t="str">
        <f>IFERROR(__xludf.DUMMYFUNCTION("""COMPUTED_VALUE"""),"CBT")</f>
        <v>CBT</v>
      </c>
      <c r="K3179" s="9" t="str">
        <f>IFERROR(__xludf.DUMMYFUNCTION("""COMPUTED_VALUE"""),"PRVT")</f>
        <v>PRVT</v>
      </c>
      <c r="L3179" s="9" t="str">
        <f>IFERROR(__xludf.DUMMYFUNCTION("""COMPUTED_VALUE"""),"PRVTi")</f>
        <v>PRVTi</v>
      </c>
      <c r="M3179" s="9" t="str">
        <f>IFERROR(__xludf.DUMMYFUNCTION("""COMPUTED_VALUE"""),"PRVTid")</f>
        <v>PRVTid</v>
      </c>
      <c r="N3179" s="9"/>
      <c r="O3179" s="9"/>
      <c r="P3179" s="9"/>
      <c r="Q3179" s="9"/>
      <c r="R3179" s="9"/>
      <c r="S3179" s="42"/>
      <c r="T3179" s="42"/>
      <c r="U3179" s="42"/>
      <c r="V3179" s="42"/>
      <c r="W3179" s="42"/>
      <c r="X3179" s="42"/>
      <c r="Y3179" s="42"/>
      <c r="Z3179" s="42"/>
      <c r="AA3179" s="42"/>
      <c r="AB3179" s="42" t="str">
        <f>IFERROR(__xludf.DUMMYFUNCTION("""COMPUTED_VALUE"""),"allen institute")</f>
        <v>allen institute</v>
      </c>
      <c r="AC3179" s="42" t="str">
        <f>IFERROR(__xludf.DUMMYFUNCTION("""COMPUTED_VALUE"""),"DHBA")</f>
        <v>DHBA</v>
      </c>
      <c r="AD3179" s="42"/>
      <c r="AE3179" s="42"/>
      <c r="AF3179" s="9"/>
      <c r="AG3179" s="9"/>
      <c r="AH3179" s="42"/>
      <c r="AI3179" s="42"/>
      <c r="AJ3179" s="42"/>
      <c r="AK3179" s="42"/>
      <c r="AL3179" s="42"/>
      <c r="AM3179" s="42"/>
      <c r="AN3179" s="42"/>
      <c r="AO3179" s="63" t="str">
        <f>IFERROR(__xludf.DUMMYFUNCTION("IF(ISBLANK(A3179),,IF(ISBLANK(S3179), A3179&amp;"";"", TEXTJOIN(CHAR(10), TRUE, A3179&amp;"";"", ARRAYFORMULA(VLOOKUP(SPLIT(S3179, "";"" &amp; CHAR(10)), $A:$AO, 41, FALSE)))))"),"PRVTid;")</f>
        <v>PRVTid;</v>
      </c>
      <c r="AP3179" s="89"/>
    </row>
    <row r="3180">
      <c r="A3180" s="151" t="str">
        <f>IFERROR(__xludf.DUMMYFUNCTION("""COMPUTED_VALUE"""),"PRVTv")</f>
        <v>PRVTv</v>
      </c>
      <c r="B3180" s="42" t="str">
        <f>IFERROR(__xludf.DUMMYFUNCTION("""COMPUTED_VALUE"""),"DHBA")</f>
        <v>DHBA</v>
      </c>
      <c r="C3180" s="42" t="str">
        <f>IFERROR(__xludf.DUMMYFUNCTION("""COMPUTED_VALUE"""),"ventricular (germinal) zone of the paravermis")</f>
        <v>ventricular (germinal) zone of the paravermis</v>
      </c>
      <c r="D3180" s="42">
        <f>IFERROR(__xludf.DUMMYFUNCTION("""COMPUTED_VALUE"""),3035.0)</f>
        <v>3035</v>
      </c>
      <c r="E3180" s="39" t="str">
        <f>IFERROR(__xludf.DUMMYFUNCTION("""COMPUTED_VALUE"""),"ventricular (germinal) zone of the paravermis")</f>
        <v>ventricular (germinal) zone of the paravermis</v>
      </c>
      <c r="F3180" s="9" t="str">
        <f>IFERROR(__xludf.DUMMYFUNCTION("""COMPUTED_VALUE"""),"Br")</f>
        <v>Br</v>
      </c>
      <c r="G3180" s="9" t="str">
        <f>IFERROR(__xludf.DUMMYFUNCTION("""COMPUTED_VALUE"""),"H")</f>
        <v>H</v>
      </c>
      <c r="H3180" s="9" t="str">
        <f>IFERROR(__xludf.DUMMYFUNCTION("""COMPUTED_VALUE"""),"HGM")</f>
        <v>HGM</v>
      </c>
      <c r="I3180" s="9" t="str">
        <f>IFERROR(__xludf.DUMMYFUNCTION("""COMPUTED_VALUE"""),"HTS")</f>
        <v>HTS</v>
      </c>
      <c r="J3180" s="9" t="str">
        <f>IFERROR(__xludf.DUMMYFUNCTION("""COMPUTED_VALUE"""),"CBT")</f>
        <v>CBT</v>
      </c>
      <c r="K3180" s="9" t="str">
        <f>IFERROR(__xludf.DUMMYFUNCTION("""COMPUTED_VALUE"""),"PRVT")</f>
        <v>PRVT</v>
      </c>
      <c r="L3180" s="9" t="str">
        <f>IFERROR(__xludf.DUMMYFUNCTION("""COMPUTED_VALUE"""),"PRVTv")</f>
        <v>PRVTv</v>
      </c>
      <c r="M3180" s="9"/>
      <c r="N3180" s="9"/>
      <c r="O3180" s="9"/>
      <c r="P3180" s="9"/>
      <c r="Q3180" s="9"/>
      <c r="R3180" s="9"/>
      <c r="S3180" s="42"/>
      <c r="T3180" s="42"/>
      <c r="U3180" s="42"/>
      <c r="V3180" s="42"/>
      <c r="W3180" s="42"/>
      <c r="X3180" s="42"/>
      <c r="Y3180" s="42"/>
      <c r="Z3180" s="42"/>
      <c r="AA3180" s="42"/>
      <c r="AB3180" s="42" t="str">
        <f>IFERROR(__xludf.DUMMYFUNCTION("""COMPUTED_VALUE"""),"allen institute")</f>
        <v>allen institute</v>
      </c>
      <c r="AC3180" s="42" t="str">
        <f>IFERROR(__xludf.DUMMYFUNCTION("""COMPUTED_VALUE"""),"DHBA")</f>
        <v>DHBA</v>
      </c>
      <c r="AD3180" s="42"/>
      <c r="AE3180" s="42"/>
      <c r="AF3180" s="9"/>
      <c r="AG3180" s="9"/>
      <c r="AH3180" s="42"/>
      <c r="AI3180" s="42"/>
      <c r="AJ3180" s="42"/>
      <c r="AK3180" s="42"/>
      <c r="AL3180" s="42"/>
      <c r="AM3180" s="42"/>
      <c r="AN3180" s="42"/>
      <c r="AO3180" s="63" t="str">
        <f>IFERROR(__xludf.DUMMYFUNCTION("IF(ISBLANK(A3180),,IF(ISBLANK(S3180), A3180&amp;"";"", TEXTJOIN(CHAR(10), TRUE, A3180&amp;"";"", ARRAYFORMULA(VLOOKUP(SPLIT(S3180, "";"" &amp; CHAR(10)), $A:$AO, 41, FALSE)))))"),"PRVTv;")</f>
        <v>PRVTv;</v>
      </c>
      <c r="AP3180" s="89"/>
    </row>
    <row r="3181">
      <c r="A3181" s="151" t="str">
        <f>IFERROR(__xludf.DUMMYFUNCTION("""COMPUTED_VALUE"""),"CbLT")</f>
        <v>CbLT</v>
      </c>
      <c r="B3181" s="42" t="str">
        <f>IFERROR(__xludf.DUMMYFUNCTION("""COMPUTED_VALUE"""),"DHBA")</f>
        <v>DHBA</v>
      </c>
      <c r="C3181" s="42" t="str">
        <f>IFERROR(__xludf.DUMMYFUNCTION("""COMPUTED_VALUE"""),"transient zones of cerebellar lateral hemisphere")</f>
        <v>transient zones of cerebellar lateral hemisphere</v>
      </c>
      <c r="D3181" s="42">
        <f>IFERROR(__xludf.DUMMYFUNCTION("""COMPUTED_VALUE"""),3036.0)</f>
        <v>3036</v>
      </c>
      <c r="E3181" s="39" t="str">
        <f>IFERROR(__xludf.DUMMYFUNCTION("""COMPUTED_VALUE"""),"transient zones of cerebellar lateral hemisphere")</f>
        <v>transient zones of cerebellar lateral hemisphere</v>
      </c>
      <c r="F3181" s="9" t="str">
        <f>IFERROR(__xludf.DUMMYFUNCTION("""COMPUTED_VALUE"""),"Br")</f>
        <v>Br</v>
      </c>
      <c r="G3181" s="9" t="str">
        <f>IFERROR(__xludf.DUMMYFUNCTION("""COMPUTED_VALUE"""),"H")</f>
        <v>H</v>
      </c>
      <c r="H3181" s="9" t="str">
        <f>IFERROR(__xludf.DUMMYFUNCTION("""COMPUTED_VALUE"""),"HGM")</f>
        <v>HGM</v>
      </c>
      <c r="I3181" s="9" t="str">
        <f>IFERROR(__xludf.DUMMYFUNCTION("""COMPUTED_VALUE"""),"HTS")</f>
        <v>HTS</v>
      </c>
      <c r="J3181" s="9" t="str">
        <f>IFERROR(__xludf.DUMMYFUNCTION("""COMPUTED_VALUE"""),"CBT")</f>
        <v>CBT</v>
      </c>
      <c r="K3181" s="9" t="str">
        <f>IFERROR(__xludf.DUMMYFUNCTION("""COMPUTED_VALUE"""),"CbLT")</f>
        <v>CbLT</v>
      </c>
      <c r="L3181" s="9"/>
      <c r="M3181" s="9"/>
      <c r="N3181" s="9"/>
      <c r="O3181" s="9"/>
      <c r="P3181" s="9"/>
      <c r="Q3181" s="9"/>
      <c r="R3181" s="9"/>
      <c r="S3181" s="42" t="str">
        <f>IFERROR(__xludf.DUMMYFUNCTION("""COMPUTED_VALUE"""),"CbLTe;
CbLTm;
CbLTp;
CbLTi;
CbLTv")</f>
        <v>CbLTe;
CbLTm;
CbLTp;
CbLTi;
CbLTv</v>
      </c>
      <c r="T3181" s="42"/>
      <c r="U3181" s="42" t="b">
        <f>IFERROR(__xludf.DUMMYFUNCTION("""COMPUTED_VALUE"""),FALSE)</f>
        <v>0</v>
      </c>
      <c r="V3181" s="42"/>
      <c r="W3181" s="42"/>
      <c r="X3181" s="42"/>
      <c r="Y3181" s="42"/>
      <c r="Z3181" s="42"/>
      <c r="AA3181" s="42"/>
      <c r="AB3181" s="42" t="str">
        <f>IFERROR(__xludf.DUMMYFUNCTION("""COMPUTED_VALUE"""),"allen institute")</f>
        <v>allen institute</v>
      </c>
      <c r="AC3181" s="42" t="str">
        <f>IFERROR(__xludf.DUMMYFUNCTION("""COMPUTED_VALUE"""),"DHBA")</f>
        <v>DHBA</v>
      </c>
      <c r="AD3181" s="42"/>
      <c r="AE3181" s="42"/>
      <c r="AF3181" s="9"/>
      <c r="AG3181" s="9"/>
      <c r="AH3181" s="42"/>
      <c r="AI3181" s="42"/>
      <c r="AJ3181" s="42"/>
      <c r="AK3181" s="42"/>
      <c r="AL3181" s="42"/>
      <c r="AM3181" s="42"/>
      <c r="AN3181" s="42"/>
      <c r="AO3181" s="63" t="str">
        <f>IFERROR(__xludf.DUMMYFUNCTION("IF(ISBLANK(A3181),,IF(ISBLANK(S3181), A3181&amp;"";"", TEXTJOIN(CHAR(10), TRUE, A3181&amp;"";"", ARRAYFORMULA(VLOOKUP(SPLIT(S3181, "";"" &amp; CHAR(10)), $A:$AO, 41, FALSE)))))"),"CbLT;
CbLTe;
CbLTm;
CbLTp;
CbLTi;
CbLTis;
CbLTid;
CbLTv;")</f>
        <v>CbLT;
CbLTe;
CbLTm;
CbLTp;
CbLTi;
CbLTis;
CbLTid;
CbLTv;</v>
      </c>
      <c r="AP3181" s="89"/>
    </row>
    <row r="3182">
      <c r="A3182" s="151" t="str">
        <f>IFERROR(__xludf.DUMMYFUNCTION("""COMPUTED_VALUE"""),"CbLTe")</f>
        <v>CbLTe</v>
      </c>
      <c r="B3182" s="42" t="str">
        <f>IFERROR(__xludf.DUMMYFUNCTION("""COMPUTED_VALUE"""),"DHBA")</f>
        <v>DHBA</v>
      </c>
      <c r="C3182" s="42" t="str">
        <f>IFERROR(__xludf.DUMMYFUNCTION("""COMPUTED_VALUE"""),"external granular (germinal) zone of lateral hemisphere")</f>
        <v>external granular (germinal) zone of lateral hemisphere</v>
      </c>
      <c r="D3182" s="42">
        <f>IFERROR(__xludf.DUMMYFUNCTION("""COMPUTED_VALUE"""),3037.0)</f>
        <v>3037</v>
      </c>
      <c r="E3182" s="39" t="str">
        <f>IFERROR(__xludf.DUMMYFUNCTION("""COMPUTED_VALUE"""),"external granular (germinal) zone of lateral hemisphere")</f>
        <v>external granular (germinal) zone of lateral hemisphere</v>
      </c>
      <c r="F3182" s="9" t="str">
        <f>IFERROR(__xludf.DUMMYFUNCTION("""COMPUTED_VALUE"""),"Br")</f>
        <v>Br</v>
      </c>
      <c r="G3182" s="9" t="str">
        <f>IFERROR(__xludf.DUMMYFUNCTION("""COMPUTED_VALUE"""),"H")</f>
        <v>H</v>
      </c>
      <c r="H3182" s="9" t="str">
        <f>IFERROR(__xludf.DUMMYFUNCTION("""COMPUTED_VALUE"""),"HGM")</f>
        <v>HGM</v>
      </c>
      <c r="I3182" s="9" t="str">
        <f>IFERROR(__xludf.DUMMYFUNCTION("""COMPUTED_VALUE"""),"HTS")</f>
        <v>HTS</v>
      </c>
      <c r="J3182" s="9" t="str">
        <f>IFERROR(__xludf.DUMMYFUNCTION("""COMPUTED_VALUE"""),"CBT")</f>
        <v>CBT</v>
      </c>
      <c r="K3182" s="9" t="str">
        <f>IFERROR(__xludf.DUMMYFUNCTION("""COMPUTED_VALUE"""),"CbLT")</f>
        <v>CbLT</v>
      </c>
      <c r="L3182" s="9" t="str">
        <f>IFERROR(__xludf.DUMMYFUNCTION("""COMPUTED_VALUE"""),"CbLTe")</f>
        <v>CbLTe</v>
      </c>
      <c r="M3182" s="9"/>
      <c r="N3182" s="9"/>
      <c r="O3182" s="9"/>
      <c r="P3182" s="9"/>
      <c r="Q3182" s="9"/>
      <c r="R3182" s="9"/>
      <c r="S3182" s="42"/>
      <c r="T3182" s="42"/>
      <c r="U3182" s="42"/>
      <c r="V3182" s="42"/>
      <c r="W3182" s="42"/>
      <c r="X3182" s="42"/>
      <c r="Y3182" s="42"/>
      <c r="Z3182" s="42"/>
      <c r="AA3182" s="42"/>
      <c r="AB3182" s="42" t="str">
        <f>IFERROR(__xludf.DUMMYFUNCTION("""COMPUTED_VALUE"""),"allen institute")</f>
        <v>allen institute</v>
      </c>
      <c r="AC3182" s="42" t="str">
        <f>IFERROR(__xludf.DUMMYFUNCTION("""COMPUTED_VALUE"""),"DHBA")</f>
        <v>DHBA</v>
      </c>
      <c r="AD3182" s="42"/>
      <c r="AE3182" s="42"/>
      <c r="AF3182" s="9"/>
      <c r="AG3182" s="9"/>
      <c r="AH3182" s="42"/>
      <c r="AI3182" s="42"/>
      <c r="AJ3182" s="42"/>
      <c r="AK3182" s="42"/>
      <c r="AL3182" s="42"/>
      <c r="AM3182" s="42"/>
      <c r="AN3182" s="42"/>
      <c r="AO3182" s="63" t="str">
        <f>IFERROR(__xludf.DUMMYFUNCTION("IF(ISBLANK(A3182),,IF(ISBLANK(S3182), A3182&amp;"";"", TEXTJOIN(CHAR(10), TRUE, A3182&amp;"";"", ARRAYFORMULA(VLOOKUP(SPLIT(S3182, "";"" &amp; CHAR(10)), $A:$AO, 41, FALSE)))))"),"CbLTe;")</f>
        <v>CbLTe;</v>
      </c>
      <c r="AP3182" s="89"/>
    </row>
    <row r="3183">
      <c r="A3183" s="151" t="str">
        <f>IFERROR(__xludf.DUMMYFUNCTION("""COMPUTED_VALUE"""),"CbLTm")</f>
        <v>CbLTm</v>
      </c>
      <c r="B3183" s="42" t="str">
        <f>IFERROR(__xludf.DUMMYFUNCTION("""COMPUTED_VALUE"""),"DHBA")</f>
        <v>DHBA</v>
      </c>
      <c r="C3183" s="42" t="str">
        <f>IFERROR(__xludf.DUMMYFUNCTION("""COMPUTED_VALUE"""),"marginal zone of lateral hemisphere")</f>
        <v>marginal zone of lateral hemisphere</v>
      </c>
      <c r="D3183" s="42">
        <f>IFERROR(__xludf.DUMMYFUNCTION("""COMPUTED_VALUE"""),3038.0)</f>
        <v>3038</v>
      </c>
      <c r="E3183" s="39" t="str">
        <f>IFERROR(__xludf.DUMMYFUNCTION("""COMPUTED_VALUE"""),"marginal zone of lateral hemisphere")</f>
        <v>marginal zone of lateral hemisphere</v>
      </c>
      <c r="F3183" s="9" t="str">
        <f>IFERROR(__xludf.DUMMYFUNCTION("""COMPUTED_VALUE"""),"Br")</f>
        <v>Br</v>
      </c>
      <c r="G3183" s="9" t="str">
        <f>IFERROR(__xludf.DUMMYFUNCTION("""COMPUTED_VALUE"""),"H")</f>
        <v>H</v>
      </c>
      <c r="H3183" s="9" t="str">
        <f>IFERROR(__xludf.DUMMYFUNCTION("""COMPUTED_VALUE"""),"HGM")</f>
        <v>HGM</v>
      </c>
      <c r="I3183" s="9" t="str">
        <f>IFERROR(__xludf.DUMMYFUNCTION("""COMPUTED_VALUE"""),"HTS")</f>
        <v>HTS</v>
      </c>
      <c r="J3183" s="9" t="str">
        <f>IFERROR(__xludf.DUMMYFUNCTION("""COMPUTED_VALUE"""),"CBT")</f>
        <v>CBT</v>
      </c>
      <c r="K3183" s="9" t="str">
        <f>IFERROR(__xludf.DUMMYFUNCTION("""COMPUTED_VALUE"""),"CbLT")</f>
        <v>CbLT</v>
      </c>
      <c r="L3183" s="9" t="str">
        <f>IFERROR(__xludf.DUMMYFUNCTION("""COMPUTED_VALUE"""),"CbLTm")</f>
        <v>CbLTm</v>
      </c>
      <c r="M3183" s="9"/>
      <c r="N3183" s="9"/>
      <c r="O3183" s="9"/>
      <c r="P3183" s="9"/>
      <c r="Q3183" s="9"/>
      <c r="R3183" s="9"/>
      <c r="S3183" s="42"/>
      <c r="T3183" s="42"/>
      <c r="U3183" s="42"/>
      <c r="V3183" s="42"/>
      <c r="W3183" s="42"/>
      <c r="X3183" s="42"/>
      <c r="Y3183" s="42"/>
      <c r="Z3183" s="42"/>
      <c r="AA3183" s="42"/>
      <c r="AB3183" s="42" t="str">
        <f>IFERROR(__xludf.DUMMYFUNCTION("""COMPUTED_VALUE"""),"allen institute")</f>
        <v>allen institute</v>
      </c>
      <c r="AC3183" s="42" t="str">
        <f>IFERROR(__xludf.DUMMYFUNCTION("""COMPUTED_VALUE"""),"DHBA")</f>
        <v>DHBA</v>
      </c>
      <c r="AD3183" s="42"/>
      <c r="AE3183" s="42"/>
      <c r="AF3183" s="9"/>
      <c r="AG3183" s="9"/>
      <c r="AH3183" s="42"/>
      <c r="AI3183" s="42"/>
      <c r="AJ3183" s="42"/>
      <c r="AK3183" s="42"/>
      <c r="AL3183" s="42"/>
      <c r="AM3183" s="42"/>
      <c r="AN3183" s="42"/>
      <c r="AO3183" s="63" t="str">
        <f>IFERROR(__xludf.DUMMYFUNCTION("IF(ISBLANK(A3183),,IF(ISBLANK(S3183), A3183&amp;"";"", TEXTJOIN(CHAR(10), TRUE, A3183&amp;"";"", ARRAYFORMULA(VLOOKUP(SPLIT(S3183, "";"" &amp; CHAR(10)), $A:$AO, 41, FALSE)))))"),"CbLTm;")</f>
        <v>CbLTm;</v>
      </c>
      <c r="AP3183" s="89"/>
    </row>
    <row r="3184">
      <c r="A3184" s="151" t="str">
        <f>IFERROR(__xludf.DUMMYFUNCTION("""COMPUTED_VALUE"""),"CbLTp")</f>
        <v>CbLTp</v>
      </c>
      <c r="B3184" s="42" t="str">
        <f>IFERROR(__xludf.DUMMYFUNCTION("""COMPUTED_VALUE"""),"DHBA")</f>
        <v>DHBA</v>
      </c>
      <c r="C3184" s="42" t="str">
        <f>IFERROR(__xludf.DUMMYFUNCTION("""COMPUTED_VALUE"""),"Purkinje cell zone of lateral hemisphere")</f>
        <v>Purkinje cell zone of lateral hemisphere</v>
      </c>
      <c r="D3184" s="42">
        <f>IFERROR(__xludf.DUMMYFUNCTION("""COMPUTED_VALUE"""),3039.0)</f>
        <v>3039</v>
      </c>
      <c r="E3184" s="39" t="str">
        <f>IFERROR(__xludf.DUMMYFUNCTION("""COMPUTED_VALUE"""),"Purkinje cell zone of lateral hemisphere")</f>
        <v>Purkinje cell zone of lateral hemisphere</v>
      </c>
      <c r="F3184" s="9" t="str">
        <f>IFERROR(__xludf.DUMMYFUNCTION("""COMPUTED_VALUE"""),"Br")</f>
        <v>Br</v>
      </c>
      <c r="G3184" s="9" t="str">
        <f>IFERROR(__xludf.DUMMYFUNCTION("""COMPUTED_VALUE"""),"H")</f>
        <v>H</v>
      </c>
      <c r="H3184" s="9" t="str">
        <f>IFERROR(__xludf.DUMMYFUNCTION("""COMPUTED_VALUE"""),"HGM")</f>
        <v>HGM</v>
      </c>
      <c r="I3184" s="9" t="str">
        <f>IFERROR(__xludf.DUMMYFUNCTION("""COMPUTED_VALUE"""),"HTS")</f>
        <v>HTS</v>
      </c>
      <c r="J3184" s="9" t="str">
        <f>IFERROR(__xludf.DUMMYFUNCTION("""COMPUTED_VALUE"""),"CBT")</f>
        <v>CBT</v>
      </c>
      <c r="K3184" s="9" t="str">
        <f>IFERROR(__xludf.DUMMYFUNCTION("""COMPUTED_VALUE"""),"CbLT")</f>
        <v>CbLT</v>
      </c>
      <c r="L3184" s="9" t="str">
        <f>IFERROR(__xludf.DUMMYFUNCTION("""COMPUTED_VALUE"""),"CbLTp")</f>
        <v>CbLTp</v>
      </c>
      <c r="M3184" s="9"/>
      <c r="N3184" s="9"/>
      <c r="O3184" s="9"/>
      <c r="P3184" s="9"/>
      <c r="Q3184" s="9"/>
      <c r="R3184" s="9"/>
      <c r="S3184" s="42"/>
      <c r="T3184" s="42"/>
      <c r="U3184" s="42"/>
      <c r="V3184" s="42"/>
      <c r="W3184" s="42"/>
      <c r="X3184" s="42"/>
      <c r="Y3184" s="42"/>
      <c r="Z3184" s="42"/>
      <c r="AA3184" s="42"/>
      <c r="AB3184" s="42" t="str">
        <f>IFERROR(__xludf.DUMMYFUNCTION("""COMPUTED_VALUE"""),"allen institute")</f>
        <v>allen institute</v>
      </c>
      <c r="AC3184" s="42" t="str">
        <f>IFERROR(__xludf.DUMMYFUNCTION("""COMPUTED_VALUE"""),"DHBA")</f>
        <v>DHBA</v>
      </c>
      <c r="AD3184" s="42"/>
      <c r="AE3184" s="42"/>
      <c r="AF3184" s="9"/>
      <c r="AG3184" s="9"/>
      <c r="AH3184" s="42"/>
      <c r="AI3184" s="42"/>
      <c r="AJ3184" s="42"/>
      <c r="AK3184" s="42"/>
      <c r="AL3184" s="42"/>
      <c r="AM3184" s="42"/>
      <c r="AN3184" s="42"/>
      <c r="AO3184" s="63" t="str">
        <f>IFERROR(__xludf.DUMMYFUNCTION("IF(ISBLANK(A3184),,IF(ISBLANK(S3184), A3184&amp;"";"", TEXTJOIN(CHAR(10), TRUE, A3184&amp;"";"", ARRAYFORMULA(VLOOKUP(SPLIT(S3184, "";"" &amp; CHAR(10)), $A:$AO, 41, FALSE)))))"),"CbLTp;")</f>
        <v>CbLTp;</v>
      </c>
      <c r="AP3184" s="89"/>
    </row>
    <row r="3185">
      <c r="A3185" s="151" t="str">
        <f>IFERROR(__xludf.DUMMYFUNCTION("""COMPUTED_VALUE"""),"CbLTi")</f>
        <v>CbLTi</v>
      </c>
      <c r="B3185" s="42" t="str">
        <f>IFERROR(__xludf.DUMMYFUNCTION("""COMPUTED_VALUE"""),"DHBA")</f>
        <v>DHBA</v>
      </c>
      <c r="C3185" s="42" t="str">
        <f>IFERROR(__xludf.DUMMYFUNCTION("""COMPUTED_VALUE"""),"inner granular cell zone of lateral hemisphere")</f>
        <v>inner granular cell zone of lateral hemisphere</v>
      </c>
      <c r="D3185" s="42">
        <f>IFERROR(__xludf.DUMMYFUNCTION("""COMPUTED_VALUE"""),3040.0)</f>
        <v>3040</v>
      </c>
      <c r="E3185" s="39" t="str">
        <f>IFERROR(__xludf.DUMMYFUNCTION("""COMPUTED_VALUE"""),"inner granular cell zone of lateral hemisphere")</f>
        <v>inner granular cell zone of lateral hemisphere</v>
      </c>
      <c r="F3185" s="9" t="str">
        <f>IFERROR(__xludf.DUMMYFUNCTION("""COMPUTED_VALUE"""),"Br")</f>
        <v>Br</v>
      </c>
      <c r="G3185" s="9" t="str">
        <f>IFERROR(__xludf.DUMMYFUNCTION("""COMPUTED_VALUE"""),"H")</f>
        <v>H</v>
      </c>
      <c r="H3185" s="9" t="str">
        <f>IFERROR(__xludf.DUMMYFUNCTION("""COMPUTED_VALUE"""),"HGM")</f>
        <v>HGM</v>
      </c>
      <c r="I3185" s="9" t="str">
        <f>IFERROR(__xludf.DUMMYFUNCTION("""COMPUTED_VALUE"""),"HTS")</f>
        <v>HTS</v>
      </c>
      <c r="J3185" s="9" t="str">
        <f>IFERROR(__xludf.DUMMYFUNCTION("""COMPUTED_VALUE"""),"CBT")</f>
        <v>CBT</v>
      </c>
      <c r="K3185" s="9" t="str">
        <f>IFERROR(__xludf.DUMMYFUNCTION("""COMPUTED_VALUE"""),"CbLT")</f>
        <v>CbLT</v>
      </c>
      <c r="L3185" s="9" t="str">
        <f>IFERROR(__xludf.DUMMYFUNCTION("""COMPUTED_VALUE"""),"CbLTi")</f>
        <v>CbLTi</v>
      </c>
      <c r="M3185" s="9"/>
      <c r="N3185" s="9"/>
      <c r="O3185" s="9"/>
      <c r="P3185" s="9"/>
      <c r="Q3185" s="9"/>
      <c r="R3185" s="9"/>
      <c r="S3185" s="42" t="str">
        <f>IFERROR(__xludf.DUMMYFUNCTION("""COMPUTED_VALUE"""),"CbLTis;
CbLTid")</f>
        <v>CbLTis;
CbLTid</v>
      </c>
      <c r="T3185" s="42"/>
      <c r="U3185" s="42" t="b">
        <f>IFERROR(__xludf.DUMMYFUNCTION("""COMPUTED_VALUE"""),FALSE)</f>
        <v>0</v>
      </c>
      <c r="V3185" s="42"/>
      <c r="W3185" s="42"/>
      <c r="X3185" s="42"/>
      <c r="Y3185" s="42"/>
      <c r="Z3185" s="42"/>
      <c r="AA3185" s="42"/>
      <c r="AB3185" s="42" t="str">
        <f>IFERROR(__xludf.DUMMYFUNCTION("""COMPUTED_VALUE"""),"allen institute")</f>
        <v>allen institute</v>
      </c>
      <c r="AC3185" s="42" t="str">
        <f>IFERROR(__xludf.DUMMYFUNCTION("""COMPUTED_VALUE"""),"DHBA")</f>
        <v>DHBA</v>
      </c>
      <c r="AD3185" s="42"/>
      <c r="AE3185" s="42"/>
      <c r="AF3185" s="9"/>
      <c r="AG3185" s="9"/>
      <c r="AH3185" s="42"/>
      <c r="AI3185" s="42"/>
      <c r="AJ3185" s="42"/>
      <c r="AK3185" s="42"/>
      <c r="AL3185" s="42"/>
      <c r="AM3185" s="42"/>
      <c r="AN3185" s="42"/>
      <c r="AO3185" s="63" t="str">
        <f>IFERROR(__xludf.DUMMYFUNCTION("IF(ISBLANK(A3185),,IF(ISBLANK(S3185), A3185&amp;"";"", TEXTJOIN(CHAR(10), TRUE, A3185&amp;"";"", ARRAYFORMULA(VLOOKUP(SPLIT(S3185, "";"" &amp; CHAR(10)), $A:$AO, 41, FALSE)))))"),"CbLTi;
CbLTis;
CbLTid;")</f>
        <v>CbLTi;
CbLTis;
CbLTid;</v>
      </c>
      <c r="AP3185" s="89"/>
    </row>
    <row r="3186">
      <c r="A3186" s="151" t="str">
        <f>IFERROR(__xludf.DUMMYFUNCTION("""COMPUTED_VALUE"""),"CbLTis")</f>
        <v>CbLTis</v>
      </c>
      <c r="B3186" s="42" t="str">
        <f>IFERROR(__xludf.DUMMYFUNCTION("""COMPUTED_VALUE"""),"DHBA")</f>
        <v>DHBA</v>
      </c>
      <c r="C3186" s="42" t="str">
        <f>IFERROR(__xludf.DUMMYFUNCTION("""COMPUTED_VALUE"""),"superficial (cell dense) portion of CbLTi")</f>
        <v>superficial (cell dense) portion of CbLTi</v>
      </c>
      <c r="D3186" s="42">
        <f>IFERROR(__xludf.DUMMYFUNCTION("""COMPUTED_VALUE"""),3041.0)</f>
        <v>3041</v>
      </c>
      <c r="E3186" s="39" t="str">
        <f>IFERROR(__xludf.DUMMYFUNCTION("""COMPUTED_VALUE"""),"superficial (cell dense) portion of CbLTi")</f>
        <v>superficial (cell dense) portion of CbLTi</v>
      </c>
      <c r="F3186" s="9" t="str">
        <f>IFERROR(__xludf.DUMMYFUNCTION("""COMPUTED_VALUE"""),"Br")</f>
        <v>Br</v>
      </c>
      <c r="G3186" s="9" t="str">
        <f>IFERROR(__xludf.DUMMYFUNCTION("""COMPUTED_VALUE"""),"H")</f>
        <v>H</v>
      </c>
      <c r="H3186" s="9" t="str">
        <f>IFERROR(__xludf.DUMMYFUNCTION("""COMPUTED_VALUE"""),"HGM")</f>
        <v>HGM</v>
      </c>
      <c r="I3186" s="9" t="str">
        <f>IFERROR(__xludf.DUMMYFUNCTION("""COMPUTED_VALUE"""),"HTS")</f>
        <v>HTS</v>
      </c>
      <c r="J3186" s="9" t="str">
        <f>IFERROR(__xludf.DUMMYFUNCTION("""COMPUTED_VALUE"""),"CBT")</f>
        <v>CBT</v>
      </c>
      <c r="K3186" s="9" t="str">
        <f>IFERROR(__xludf.DUMMYFUNCTION("""COMPUTED_VALUE"""),"CbLT")</f>
        <v>CbLT</v>
      </c>
      <c r="L3186" s="9" t="str">
        <f>IFERROR(__xludf.DUMMYFUNCTION("""COMPUTED_VALUE"""),"CbLTi")</f>
        <v>CbLTi</v>
      </c>
      <c r="M3186" s="9" t="str">
        <f>IFERROR(__xludf.DUMMYFUNCTION("""COMPUTED_VALUE"""),"CbLTis")</f>
        <v>CbLTis</v>
      </c>
      <c r="N3186" s="9"/>
      <c r="O3186" s="9"/>
      <c r="P3186" s="9"/>
      <c r="Q3186" s="9"/>
      <c r="R3186" s="9"/>
      <c r="S3186" s="42"/>
      <c r="T3186" s="42"/>
      <c r="U3186" s="42"/>
      <c r="V3186" s="42"/>
      <c r="W3186" s="42"/>
      <c r="X3186" s="42"/>
      <c r="Y3186" s="42"/>
      <c r="Z3186" s="42"/>
      <c r="AA3186" s="42"/>
      <c r="AB3186" s="42" t="str">
        <f>IFERROR(__xludf.DUMMYFUNCTION("""COMPUTED_VALUE"""),"allen institute")</f>
        <v>allen institute</v>
      </c>
      <c r="AC3186" s="42" t="str">
        <f>IFERROR(__xludf.DUMMYFUNCTION("""COMPUTED_VALUE"""),"DHBA")</f>
        <v>DHBA</v>
      </c>
      <c r="AD3186" s="42"/>
      <c r="AE3186" s="42"/>
      <c r="AF3186" s="9"/>
      <c r="AG3186" s="9"/>
      <c r="AH3186" s="42"/>
      <c r="AI3186" s="42"/>
      <c r="AJ3186" s="42"/>
      <c r="AK3186" s="42"/>
      <c r="AL3186" s="42"/>
      <c r="AM3186" s="42"/>
      <c r="AN3186" s="42"/>
      <c r="AO3186" s="63" t="str">
        <f>IFERROR(__xludf.DUMMYFUNCTION("IF(ISBLANK(A3186),,IF(ISBLANK(S3186), A3186&amp;"";"", TEXTJOIN(CHAR(10), TRUE, A3186&amp;"";"", ARRAYFORMULA(VLOOKUP(SPLIT(S3186, "";"" &amp; CHAR(10)), $A:$AO, 41, FALSE)))))"),"CbLTis;")</f>
        <v>CbLTis;</v>
      </c>
      <c r="AP3186" s="89"/>
    </row>
    <row r="3187">
      <c r="A3187" s="151" t="str">
        <f>IFERROR(__xludf.DUMMYFUNCTION("""COMPUTED_VALUE"""),"CbLTid")</f>
        <v>CbLTid</v>
      </c>
      <c r="B3187" s="42" t="str">
        <f>IFERROR(__xludf.DUMMYFUNCTION("""COMPUTED_VALUE"""),"DHBA")</f>
        <v>DHBA</v>
      </c>
      <c r="C3187" s="42" t="str">
        <f>IFERROR(__xludf.DUMMYFUNCTION("""COMPUTED_VALUE"""),"deep (cell loose) portionof CbLTi")</f>
        <v>deep (cell loose) portionof CbLTi</v>
      </c>
      <c r="D3187" s="42">
        <f>IFERROR(__xludf.DUMMYFUNCTION("""COMPUTED_VALUE"""),3042.0)</f>
        <v>3042</v>
      </c>
      <c r="E3187" s="39" t="str">
        <f>IFERROR(__xludf.DUMMYFUNCTION("""COMPUTED_VALUE"""),"deep (cell loose) portionof CbLTi")</f>
        <v>deep (cell loose) portionof CbLTi</v>
      </c>
      <c r="F3187" s="9" t="str">
        <f>IFERROR(__xludf.DUMMYFUNCTION("""COMPUTED_VALUE"""),"Br")</f>
        <v>Br</v>
      </c>
      <c r="G3187" s="9" t="str">
        <f>IFERROR(__xludf.DUMMYFUNCTION("""COMPUTED_VALUE"""),"H")</f>
        <v>H</v>
      </c>
      <c r="H3187" s="9" t="str">
        <f>IFERROR(__xludf.DUMMYFUNCTION("""COMPUTED_VALUE"""),"HGM")</f>
        <v>HGM</v>
      </c>
      <c r="I3187" s="9" t="str">
        <f>IFERROR(__xludf.DUMMYFUNCTION("""COMPUTED_VALUE"""),"HTS")</f>
        <v>HTS</v>
      </c>
      <c r="J3187" s="9" t="str">
        <f>IFERROR(__xludf.DUMMYFUNCTION("""COMPUTED_VALUE"""),"CBT")</f>
        <v>CBT</v>
      </c>
      <c r="K3187" s="9" t="str">
        <f>IFERROR(__xludf.DUMMYFUNCTION("""COMPUTED_VALUE"""),"CbLT")</f>
        <v>CbLT</v>
      </c>
      <c r="L3187" s="9" t="str">
        <f>IFERROR(__xludf.DUMMYFUNCTION("""COMPUTED_VALUE"""),"CbLTi")</f>
        <v>CbLTi</v>
      </c>
      <c r="M3187" s="9" t="str">
        <f>IFERROR(__xludf.DUMMYFUNCTION("""COMPUTED_VALUE"""),"CbLTid")</f>
        <v>CbLTid</v>
      </c>
      <c r="N3187" s="9"/>
      <c r="O3187" s="9"/>
      <c r="P3187" s="9"/>
      <c r="Q3187" s="9"/>
      <c r="R3187" s="9"/>
      <c r="S3187" s="42"/>
      <c r="T3187" s="42"/>
      <c r="U3187" s="42"/>
      <c r="V3187" s="42"/>
      <c r="W3187" s="42"/>
      <c r="X3187" s="42"/>
      <c r="Y3187" s="42"/>
      <c r="Z3187" s="42"/>
      <c r="AA3187" s="42"/>
      <c r="AB3187" s="42" t="str">
        <f>IFERROR(__xludf.DUMMYFUNCTION("""COMPUTED_VALUE"""),"allen institute")</f>
        <v>allen institute</v>
      </c>
      <c r="AC3187" s="42" t="str">
        <f>IFERROR(__xludf.DUMMYFUNCTION("""COMPUTED_VALUE"""),"DHBA")</f>
        <v>DHBA</v>
      </c>
      <c r="AD3187" s="42"/>
      <c r="AE3187" s="42"/>
      <c r="AF3187" s="9"/>
      <c r="AG3187" s="9"/>
      <c r="AH3187" s="42"/>
      <c r="AI3187" s="42"/>
      <c r="AJ3187" s="42"/>
      <c r="AK3187" s="42"/>
      <c r="AL3187" s="42"/>
      <c r="AM3187" s="42"/>
      <c r="AN3187" s="42"/>
      <c r="AO3187" s="63" t="str">
        <f>IFERROR(__xludf.DUMMYFUNCTION("IF(ISBLANK(A3187),,IF(ISBLANK(S3187), A3187&amp;"";"", TEXTJOIN(CHAR(10), TRUE, A3187&amp;"";"", ARRAYFORMULA(VLOOKUP(SPLIT(S3187, "";"" &amp; CHAR(10)), $A:$AO, 41, FALSE)))))"),"CbLTid;")</f>
        <v>CbLTid;</v>
      </c>
      <c r="AP3187" s="89"/>
    </row>
    <row r="3188">
      <c r="A3188" s="151" t="str">
        <f>IFERROR(__xludf.DUMMYFUNCTION("""COMPUTED_VALUE"""),"CbLTv")</f>
        <v>CbLTv</v>
      </c>
      <c r="B3188" s="42" t="str">
        <f>IFERROR(__xludf.DUMMYFUNCTION("""COMPUTED_VALUE"""),"DHBA")</f>
        <v>DHBA</v>
      </c>
      <c r="C3188" s="42" t="str">
        <f>IFERROR(__xludf.DUMMYFUNCTION("""COMPUTED_VALUE"""),"ventricular (germinal) zone of lateral hemisphere")</f>
        <v>ventricular (germinal) zone of lateral hemisphere</v>
      </c>
      <c r="D3188" s="42">
        <f>IFERROR(__xludf.DUMMYFUNCTION("""COMPUTED_VALUE"""),3043.0)</f>
        <v>3043</v>
      </c>
      <c r="E3188" s="39" t="str">
        <f>IFERROR(__xludf.DUMMYFUNCTION("""COMPUTED_VALUE"""),"ventricular (germinal) zone of lateral hemisphere")</f>
        <v>ventricular (germinal) zone of lateral hemisphere</v>
      </c>
      <c r="F3188" s="9" t="str">
        <f>IFERROR(__xludf.DUMMYFUNCTION("""COMPUTED_VALUE"""),"Br")</f>
        <v>Br</v>
      </c>
      <c r="G3188" s="9" t="str">
        <f>IFERROR(__xludf.DUMMYFUNCTION("""COMPUTED_VALUE"""),"H")</f>
        <v>H</v>
      </c>
      <c r="H3188" s="9" t="str">
        <f>IFERROR(__xludf.DUMMYFUNCTION("""COMPUTED_VALUE"""),"HGM")</f>
        <v>HGM</v>
      </c>
      <c r="I3188" s="9" t="str">
        <f>IFERROR(__xludf.DUMMYFUNCTION("""COMPUTED_VALUE"""),"HTS")</f>
        <v>HTS</v>
      </c>
      <c r="J3188" s="9" t="str">
        <f>IFERROR(__xludf.DUMMYFUNCTION("""COMPUTED_VALUE"""),"CBT")</f>
        <v>CBT</v>
      </c>
      <c r="K3188" s="9" t="str">
        <f>IFERROR(__xludf.DUMMYFUNCTION("""COMPUTED_VALUE"""),"CbLT")</f>
        <v>CbLT</v>
      </c>
      <c r="L3188" s="9" t="str">
        <f>IFERROR(__xludf.DUMMYFUNCTION("""COMPUTED_VALUE"""),"CbLTv")</f>
        <v>CbLTv</v>
      </c>
      <c r="M3188" s="9"/>
      <c r="N3188" s="9"/>
      <c r="O3188" s="9"/>
      <c r="P3188" s="9"/>
      <c r="Q3188" s="9"/>
      <c r="R3188" s="9"/>
      <c r="S3188" s="42"/>
      <c r="T3188" s="42"/>
      <c r="U3188" s="42"/>
      <c r="V3188" s="42"/>
      <c r="W3188" s="42"/>
      <c r="X3188" s="42"/>
      <c r="Y3188" s="42"/>
      <c r="Z3188" s="42"/>
      <c r="AA3188" s="42"/>
      <c r="AB3188" s="42" t="str">
        <f>IFERROR(__xludf.DUMMYFUNCTION("""COMPUTED_VALUE"""),"allen institute")</f>
        <v>allen institute</v>
      </c>
      <c r="AC3188" s="42" t="str">
        <f>IFERROR(__xludf.DUMMYFUNCTION("""COMPUTED_VALUE"""),"DHBA")</f>
        <v>DHBA</v>
      </c>
      <c r="AD3188" s="42"/>
      <c r="AE3188" s="42"/>
      <c r="AF3188" s="9"/>
      <c r="AG3188" s="9"/>
      <c r="AH3188" s="42"/>
      <c r="AI3188" s="42"/>
      <c r="AJ3188" s="42"/>
      <c r="AK3188" s="42"/>
      <c r="AL3188" s="42"/>
      <c r="AM3188" s="42"/>
      <c r="AN3188" s="42"/>
      <c r="AO3188" s="63" t="str">
        <f>IFERROR(__xludf.DUMMYFUNCTION("IF(ISBLANK(A3188),,IF(ISBLANK(S3188), A3188&amp;"";"", TEXTJOIN(CHAR(10), TRUE, A3188&amp;"";"", ARRAYFORMULA(VLOOKUP(SPLIT(S3188, "";"" &amp; CHAR(10)), $A:$AO, 41, FALSE)))))"),"CbLTv;")</f>
        <v>CbLTv;</v>
      </c>
      <c r="AP3188" s="89"/>
    </row>
    <row r="3189">
      <c r="A3189" s="151" t="str">
        <f>IFERROR(__xludf.DUMMYFUNCTION("""COMPUTED_VALUE"""),"CbFT")</f>
        <v>CbFT</v>
      </c>
      <c r="B3189" s="42" t="str">
        <f>IFERROR(__xludf.DUMMYFUNCTION("""COMPUTED_VALUE"""),"DHBA")</f>
        <v>DHBA</v>
      </c>
      <c r="C3189" s="42" t="str">
        <f>IFERROR(__xludf.DUMMYFUNCTION("""COMPUTED_VALUE"""),"transient zones of cerebellar flocculus")</f>
        <v>transient zones of cerebellar flocculus</v>
      </c>
      <c r="D3189" s="42">
        <f>IFERROR(__xludf.DUMMYFUNCTION("""COMPUTED_VALUE"""),3044.0)</f>
        <v>3044</v>
      </c>
      <c r="E3189" s="39" t="str">
        <f>IFERROR(__xludf.DUMMYFUNCTION("""COMPUTED_VALUE"""),"transient zones of cerebellar flocculus")</f>
        <v>transient zones of cerebellar flocculus</v>
      </c>
      <c r="F3189" s="9" t="str">
        <f>IFERROR(__xludf.DUMMYFUNCTION("""COMPUTED_VALUE"""),"Br")</f>
        <v>Br</v>
      </c>
      <c r="G3189" s="9" t="str">
        <f>IFERROR(__xludf.DUMMYFUNCTION("""COMPUTED_VALUE"""),"H")</f>
        <v>H</v>
      </c>
      <c r="H3189" s="9" t="str">
        <f>IFERROR(__xludf.DUMMYFUNCTION("""COMPUTED_VALUE"""),"HGM")</f>
        <v>HGM</v>
      </c>
      <c r="I3189" s="9" t="str">
        <f>IFERROR(__xludf.DUMMYFUNCTION("""COMPUTED_VALUE"""),"HTS")</f>
        <v>HTS</v>
      </c>
      <c r="J3189" s="9" t="str">
        <f>IFERROR(__xludf.DUMMYFUNCTION("""COMPUTED_VALUE"""),"CBT")</f>
        <v>CBT</v>
      </c>
      <c r="K3189" s="9" t="str">
        <f>IFERROR(__xludf.DUMMYFUNCTION("""COMPUTED_VALUE"""),"CbFT")</f>
        <v>CbFT</v>
      </c>
      <c r="L3189" s="9"/>
      <c r="M3189" s="9"/>
      <c r="N3189" s="9"/>
      <c r="O3189" s="9"/>
      <c r="P3189" s="9"/>
      <c r="Q3189" s="9"/>
      <c r="R3189" s="9"/>
      <c r="S3189" s="42" t="str">
        <f>IFERROR(__xludf.DUMMYFUNCTION("""COMPUTED_VALUE"""),"CbFTe;
CbFTm;
CbFTp;
CbFTi;
CbFTv")</f>
        <v>CbFTe;
CbFTm;
CbFTp;
CbFTi;
CbFTv</v>
      </c>
      <c r="T3189" s="42"/>
      <c r="U3189" s="42" t="b">
        <f>IFERROR(__xludf.DUMMYFUNCTION("""COMPUTED_VALUE"""),FALSE)</f>
        <v>0</v>
      </c>
      <c r="V3189" s="42"/>
      <c r="W3189" s="42"/>
      <c r="X3189" s="42"/>
      <c r="Y3189" s="42"/>
      <c r="Z3189" s="42"/>
      <c r="AA3189" s="42"/>
      <c r="AB3189" s="42" t="str">
        <f>IFERROR(__xludf.DUMMYFUNCTION("""COMPUTED_VALUE"""),"allen institute")</f>
        <v>allen institute</v>
      </c>
      <c r="AC3189" s="42" t="str">
        <f>IFERROR(__xludf.DUMMYFUNCTION("""COMPUTED_VALUE"""),"DHBA")</f>
        <v>DHBA</v>
      </c>
      <c r="AD3189" s="42"/>
      <c r="AE3189" s="42"/>
      <c r="AF3189" s="9"/>
      <c r="AG3189" s="9"/>
      <c r="AH3189" s="42"/>
      <c r="AI3189" s="42"/>
      <c r="AJ3189" s="42"/>
      <c r="AK3189" s="42"/>
      <c r="AL3189" s="42"/>
      <c r="AM3189" s="42"/>
      <c r="AN3189" s="42"/>
      <c r="AO3189" s="63" t="str">
        <f>IFERROR(__xludf.DUMMYFUNCTION("IF(ISBLANK(A3189),,IF(ISBLANK(S3189), A3189&amp;"";"", TEXTJOIN(CHAR(10), TRUE, A3189&amp;"";"", ARRAYFORMULA(VLOOKUP(SPLIT(S3189, "";"" &amp; CHAR(10)), $A:$AO, 41, FALSE)))))"),"CbFT;
CbFTe;
CbFTm;
CbFTp;
CbFTi;
CbFTis;
CbFTid;
CbFTv;")</f>
        <v>CbFT;
CbFTe;
CbFTm;
CbFTp;
CbFTi;
CbFTis;
CbFTid;
CbFTv;</v>
      </c>
      <c r="AP3189" s="89"/>
    </row>
    <row r="3190">
      <c r="A3190" s="151" t="str">
        <f>IFERROR(__xludf.DUMMYFUNCTION("""COMPUTED_VALUE"""),"CbFTe")</f>
        <v>CbFTe</v>
      </c>
      <c r="B3190" s="42" t="str">
        <f>IFERROR(__xludf.DUMMYFUNCTION("""COMPUTED_VALUE"""),"DHBA")</f>
        <v>DHBA</v>
      </c>
      <c r="C3190" s="42" t="str">
        <f>IFERROR(__xludf.DUMMYFUNCTION("""COMPUTED_VALUE"""),"external granular (germinal) zone of flocculus")</f>
        <v>external granular (germinal) zone of flocculus</v>
      </c>
      <c r="D3190" s="42">
        <f>IFERROR(__xludf.DUMMYFUNCTION("""COMPUTED_VALUE"""),3045.0)</f>
        <v>3045</v>
      </c>
      <c r="E3190" s="39" t="str">
        <f>IFERROR(__xludf.DUMMYFUNCTION("""COMPUTED_VALUE"""),"external granular (germinal) zone of flocculus")</f>
        <v>external granular (germinal) zone of flocculus</v>
      </c>
      <c r="F3190" s="9" t="str">
        <f>IFERROR(__xludf.DUMMYFUNCTION("""COMPUTED_VALUE"""),"Br")</f>
        <v>Br</v>
      </c>
      <c r="G3190" s="9" t="str">
        <f>IFERROR(__xludf.DUMMYFUNCTION("""COMPUTED_VALUE"""),"H")</f>
        <v>H</v>
      </c>
      <c r="H3190" s="9" t="str">
        <f>IFERROR(__xludf.DUMMYFUNCTION("""COMPUTED_VALUE"""),"HGM")</f>
        <v>HGM</v>
      </c>
      <c r="I3190" s="9" t="str">
        <f>IFERROR(__xludf.DUMMYFUNCTION("""COMPUTED_VALUE"""),"HTS")</f>
        <v>HTS</v>
      </c>
      <c r="J3190" s="9" t="str">
        <f>IFERROR(__xludf.DUMMYFUNCTION("""COMPUTED_VALUE"""),"CBT")</f>
        <v>CBT</v>
      </c>
      <c r="K3190" s="9" t="str">
        <f>IFERROR(__xludf.DUMMYFUNCTION("""COMPUTED_VALUE"""),"CbFT")</f>
        <v>CbFT</v>
      </c>
      <c r="L3190" s="9" t="str">
        <f>IFERROR(__xludf.DUMMYFUNCTION("""COMPUTED_VALUE"""),"CbFTe")</f>
        <v>CbFTe</v>
      </c>
      <c r="M3190" s="9"/>
      <c r="N3190" s="9"/>
      <c r="O3190" s="9"/>
      <c r="P3190" s="9"/>
      <c r="Q3190" s="9"/>
      <c r="R3190" s="9"/>
      <c r="S3190" s="42"/>
      <c r="T3190" s="42"/>
      <c r="U3190" s="42"/>
      <c r="V3190" s="42"/>
      <c r="W3190" s="42"/>
      <c r="X3190" s="42"/>
      <c r="Y3190" s="42"/>
      <c r="Z3190" s="42"/>
      <c r="AA3190" s="42"/>
      <c r="AB3190" s="42" t="str">
        <f>IFERROR(__xludf.DUMMYFUNCTION("""COMPUTED_VALUE"""),"allen institute")</f>
        <v>allen institute</v>
      </c>
      <c r="AC3190" s="42" t="str">
        <f>IFERROR(__xludf.DUMMYFUNCTION("""COMPUTED_VALUE"""),"DHBA")</f>
        <v>DHBA</v>
      </c>
      <c r="AD3190" s="42"/>
      <c r="AE3190" s="42"/>
      <c r="AF3190" s="9"/>
      <c r="AG3190" s="9"/>
      <c r="AH3190" s="42"/>
      <c r="AI3190" s="42"/>
      <c r="AJ3190" s="42"/>
      <c r="AK3190" s="42"/>
      <c r="AL3190" s="42"/>
      <c r="AM3190" s="42"/>
      <c r="AN3190" s="42"/>
      <c r="AO3190" s="63" t="str">
        <f>IFERROR(__xludf.DUMMYFUNCTION("IF(ISBLANK(A3190),,IF(ISBLANK(S3190), A3190&amp;"";"", TEXTJOIN(CHAR(10), TRUE, A3190&amp;"";"", ARRAYFORMULA(VLOOKUP(SPLIT(S3190, "";"" &amp; CHAR(10)), $A:$AO, 41, FALSE)))))"),"CbFTe;")</f>
        <v>CbFTe;</v>
      </c>
      <c r="AP3190" s="89"/>
    </row>
    <row r="3191">
      <c r="A3191" s="151" t="str">
        <f>IFERROR(__xludf.DUMMYFUNCTION("""COMPUTED_VALUE"""),"CbFTm")</f>
        <v>CbFTm</v>
      </c>
      <c r="B3191" s="42" t="str">
        <f>IFERROR(__xludf.DUMMYFUNCTION("""COMPUTED_VALUE"""),"DHBA")</f>
        <v>DHBA</v>
      </c>
      <c r="C3191" s="42" t="str">
        <f>IFERROR(__xludf.DUMMYFUNCTION("""COMPUTED_VALUE"""),"marginal zone of flocculus")</f>
        <v>marginal zone of flocculus</v>
      </c>
      <c r="D3191" s="42">
        <f>IFERROR(__xludf.DUMMYFUNCTION("""COMPUTED_VALUE"""),3046.0)</f>
        <v>3046</v>
      </c>
      <c r="E3191" s="39" t="str">
        <f>IFERROR(__xludf.DUMMYFUNCTION("""COMPUTED_VALUE"""),"marginal zone of flocculus")</f>
        <v>marginal zone of flocculus</v>
      </c>
      <c r="F3191" s="9" t="str">
        <f>IFERROR(__xludf.DUMMYFUNCTION("""COMPUTED_VALUE"""),"Br")</f>
        <v>Br</v>
      </c>
      <c r="G3191" s="9" t="str">
        <f>IFERROR(__xludf.DUMMYFUNCTION("""COMPUTED_VALUE"""),"H")</f>
        <v>H</v>
      </c>
      <c r="H3191" s="9" t="str">
        <f>IFERROR(__xludf.DUMMYFUNCTION("""COMPUTED_VALUE"""),"HGM")</f>
        <v>HGM</v>
      </c>
      <c r="I3191" s="9" t="str">
        <f>IFERROR(__xludf.DUMMYFUNCTION("""COMPUTED_VALUE"""),"HTS")</f>
        <v>HTS</v>
      </c>
      <c r="J3191" s="9" t="str">
        <f>IFERROR(__xludf.DUMMYFUNCTION("""COMPUTED_VALUE"""),"CBT")</f>
        <v>CBT</v>
      </c>
      <c r="K3191" s="9" t="str">
        <f>IFERROR(__xludf.DUMMYFUNCTION("""COMPUTED_VALUE"""),"CbFT")</f>
        <v>CbFT</v>
      </c>
      <c r="L3191" s="9" t="str">
        <f>IFERROR(__xludf.DUMMYFUNCTION("""COMPUTED_VALUE"""),"CbFTm")</f>
        <v>CbFTm</v>
      </c>
      <c r="M3191" s="9"/>
      <c r="N3191" s="9"/>
      <c r="O3191" s="9"/>
      <c r="P3191" s="9"/>
      <c r="Q3191" s="9"/>
      <c r="R3191" s="9"/>
      <c r="S3191" s="42"/>
      <c r="T3191" s="42"/>
      <c r="U3191" s="42"/>
      <c r="V3191" s="42"/>
      <c r="W3191" s="42"/>
      <c r="X3191" s="42"/>
      <c r="Y3191" s="42"/>
      <c r="Z3191" s="42"/>
      <c r="AA3191" s="42"/>
      <c r="AB3191" s="42" t="str">
        <f>IFERROR(__xludf.DUMMYFUNCTION("""COMPUTED_VALUE"""),"allen institute")</f>
        <v>allen institute</v>
      </c>
      <c r="AC3191" s="42" t="str">
        <f>IFERROR(__xludf.DUMMYFUNCTION("""COMPUTED_VALUE"""),"DHBA")</f>
        <v>DHBA</v>
      </c>
      <c r="AD3191" s="42"/>
      <c r="AE3191" s="42"/>
      <c r="AF3191" s="9"/>
      <c r="AG3191" s="9"/>
      <c r="AH3191" s="42"/>
      <c r="AI3191" s="42"/>
      <c r="AJ3191" s="42"/>
      <c r="AK3191" s="42"/>
      <c r="AL3191" s="42"/>
      <c r="AM3191" s="42"/>
      <c r="AN3191" s="42"/>
      <c r="AO3191" s="63" t="str">
        <f>IFERROR(__xludf.DUMMYFUNCTION("IF(ISBLANK(A3191),,IF(ISBLANK(S3191), A3191&amp;"";"", TEXTJOIN(CHAR(10), TRUE, A3191&amp;"";"", ARRAYFORMULA(VLOOKUP(SPLIT(S3191, "";"" &amp; CHAR(10)), $A:$AO, 41, FALSE)))))"),"CbFTm;")</f>
        <v>CbFTm;</v>
      </c>
      <c r="AP3191" s="89"/>
    </row>
    <row r="3192">
      <c r="A3192" s="151" t="str">
        <f>IFERROR(__xludf.DUMMYFUNCTION("""COMPUTED_VALUE"""),"CbFTp")</f>
        <v>CbFTp</v>
      </c>
      <c r="B3192" s="42" t="str">
        <f>IFERROR(__xludf.DUMMYFUNCTION("""COMPUTED_VALUE"""),"DHBA")</f>
        <v>DHBA</v>
      </c>
      <c r="C3192" s="42" t="str">
        <f>IFERROR(__xludf.DUMMYFUNCTION("""COMPUTED_VALUE"""),"Purkinje cell zone of flocculus")</f>
        <v>Purkinje cell zone of flocculus</v>
      </c>
      <c r="D3192" s="42">
        <f>IFERROR(__xludf.DUMMYFUNCTION("""COMPUTED_VALUE"""),3047.0)</f>
        <v>3047</v>
      </c>
      <c r="E3192" s="39" t="str">
        <f>IFERROR(__xludf.DUMMYFUNCTION("""COMPUTED_VALUE"""),"Purkinje cell zone of flocculus")</f>
        <v>Purkinje cell zone of flocculus</v>
      </c>
      <c r="F3192" s="9" t="str">
        <f>IFERROR(__xludf.DUMMYFUNCTION("""COMPUTED_VALUE"""),"Br")</f>
        <v>Br</v>
      </c>
      <c r="G3192" s="9" t="str">
        <f>IFERROR(__xludf.DUMMYFUNCTION("""COMPUTED_VALUE"""),"H")</f>
        <v>H</v>
      </c>
      <c r="H3192" s="9" t="str">
        <f>IFERROR(__xludf.DUMMYFUNCTION("""COMPUTED_VALUE"""),"HGM")</f>
        <v>HGM</v>
      </c>
      <c r="I3192" s="9" t="str">
        <f>IFERROR(__xludf.DUMMYFUNCTION("""COMPUTED_VALUE"""),"HTS")</f>
        <v>HTS</v>
      </c>
      <c r="J3192" s="9" t="str">
        <f>IFERROR(__xludf.DUMMYFUNCTION("""COMPUTED_VALUE"""),"CBT")</f>
        <v>CBT</v>
      </c>
      <c r="K3192" s="9" t="str">
        <f>IFERROR(__xludf.DUMMYFUNCTION("""COMPUTED_VALUE"""),"CbFT")</f>
        <v>CbFT</v>
      </c>
      <c r="L3192" s="9" t="str">
        <f>IFERROR(__xludf.DUMMYFUNCTION("""COMPUTED_VALUE"""),"CbFTp")</f>
        <v>CbFTp</v>
      </c>
      <c r="M3192" s="9"/>
      <c r="N3192" s="9"/>
      <c r="O3192" s="9"/>
      <c r="P3192" s="9"/>
      <c r="Q3192" s="9"/>
      <c r="R3192" s="9"/>
      <c r="S3192" s="42"/>
      <c r="T3192" s="42"/>
      <c r="U3192" s="42"/>
      <c r="V3192" s="42"/>
      <c r="W3192" s="42"/>
      <c r="X3192" s="42"/>
      <c r="Y3192" s="42"/>
      <c r="Z3192" s="42"/>
      <c r="AA3192" s="42"/>
      <c r="AB3192" s="42" t="str">
        <f>IFERROR(__xludf.DUMMYFUNCTION("""COMPUTED_VALUE"""),"allen institute")</f>
        <v>allen institute</v>
      </c>
      <c r="AC3192" s="42" t="str">
        <f>IFERROR(__xludf.DUMMYFUNCTION("""COMPUTED_VALUE"""),"DHBA")</f>
        <v>DHBA</v>
      </c>
      <c r="AD3192" s="42"/>
      <c r="AE3192" s="42"/>
      <c r="AF3192" s="9"/>
      <c r="AG3192" s="9"/>
      <c r="AH3192" s="42"/>
      <c r="AI3192" s="42"/>
      <c r="AJ3192" s="42"/>
      <c r="AK3192" s="42"/>
      <c r="AL3192" s="42"/>
      <c r="AM3192" s="42"/>
      <c r="AN3192" s="42"/>
      <c r="AO3192" s="63" t="str">
        <f>IFERROR(__xludf.DUMMYFUNCTION("IF(ISBLANK(A3192),,IF(ISBLANK(S3192), A3192&amp;"";"", TEXTJOIN(CHAR(10), TRUE, A3192&amp;"";"", ARRAYFORMULA(VLOOKUP(SPLIT(S3192, "";"" &amp; CHAR(10)), $A:$AO, 41, FALSE)))))"),"CbFTp;")</f>
        <v>CbFTp;</v>
      </c>
      <c r="AP3192" s="89"/>
    </row>
    <row r="3193">
      <c r="A3193" s="151" t="str">
        <f>IFERROR(__xludf.DUMMYFUNCTION("""COMPUTED_VALUE"""),"CbFTi")</f>
        <v>CbFTi</v>
      </c>
      <c r="B3193" s="42" t="str">
        <f>IFERROR(__xludf.DUMMYFUNCTION("""COMPUTED_VALUE"""),"DHBA")</f>
        <v>DHBA</v>
      </c>
      <c r="C3193" s="42" t="str">
        <f>IFERROR(__xludf.DUMMYFUNCTION("""COMPUTED_VALUE"""),"inner granular cell zone of flocculus")</f>
        <v>inner granular cell zone of flocculus</v>
      </c>
      <c r="D3193" s="42">
        <f>IFERROR(__xludf.DUMMYFUNCTION("""COMPUTED_VALUE"""),3048.0)</f>
        <v>3048</v>
      </c>
      <c r="E3193" s="39" t="str">
        <f>IFERROR(__xludf.DUMMYFUNCTION("""COMPUTED_VALUE"""),"inner granular cell zone of flocculus")</f>
        <v>inner granular cell zone of flocculus</v>
      </c>
      <c r="F3193" s="9" t="str">
        <f>IFERROR(__xludf.DUMMYFUNCTION("""COMPUTED_VALUE"""),"Br")</f>
        <v>Br</v>
      </c>
      <c r="G3193" s="9" t="str">
        <f>IFERROR(__xludf.DUMMYFUNCTION("""COMPUTED_VALUE"""),"H")</f>
        <v>H</v>
      </c>
      <c r="H3193" s="9" t="str">
        <f>IFERROR(__xludf.DUMMYFUNCTION("""COMPUTED_VALUE"""),"HGM")</f>
        <v>HGM</v>
      </c>
      <c r="I3193" s="9" t="str">
        <f>IFERROR(__xludf.DUMMYFUNCTION("""COMPUTED_VALUE"""),"HTS")</f>
        <v>HTS</v>
      </c>
      <c r="J3193" s="9" t="str">
        <f>IFERROR(__xludf.DUMMYFUNCTION("""COMPUTED_VALUE"""),"CBT")</f>
        <v>CBT</v>
      </c>
      <c r="K3193" s="9" t="str">
        <f>IFERROR(__xludf.DUMMYFUNCTION("""COMPUTED_VALUE"""),"CbFT")</f>
        <v>CbFT</v>
      </c>
      <c r="L3193" s="9" t="str">
        <f>IFERROR(__xludf.DUMMYFUNCTION("""COMPUTED_VALUE"""),"CbFTi")</f>
        <v>CbFTi</v>
      </c>
      <c r="M3193" s="9"/>
      <c r="N3193" s="9"/>
      <c r="O3193" s="9"/>
      <c r="P3193" s="9"/>
      <c r="Q3193" s="9"/>
      <c r="R3193" s="9"/>
      <c r="S3193" s="42" t="str">
        <f>IFERROR(__xludf.DUMMYFUNCTION("""COMPUTED_VALUE"""),"CbFTis;
CbFTid")</f>
        <v>CbFTis;
CbFTid</v>
      </c>
      <c r="T3193" s="42"/>
      <c r="U3193" s="42" t="b">
        <f>IFERROR(__xludf.DUMMYFUNCTION("""COMPUTED_VALUE"""),FALSE)</f>
        <v>0</v>
      </c>
      <c r="V3193" s="42"/>
      <c r="W3193" s="42"/>
      <c r="X3193" s="42"/>
      <c r="Y3193" s="42"/>
      <c r="Z3193" s="42"/>
      <c r="AA3193" s="42"/>
      <c r="AB3193" s="42" t="str">
        <f>IFERROR(__xludf.DUMMYFUNCTION("""COMPUTED_VALUE"""),"allen institute")</f>
        <v>allen institute</v>
      </c>
      <c r="AC3193" s="42" t="str">
        <f>IFERROR(__xludf.DUMMYFUNCTION("""COMPUTED_VALUE"""),"DHBA")</f>
        <v>DHBA</v>
      </c>
      <c r="AD3193" s="42"/>
      <c r="AE3193" s="42"/>
      <c r="AF3193" s="9"/>
      <c r="AG3193" s="9"/>
      <c r="AH3193" s="42"/>
      <c r="AI3193" s="42"/>
      <c r="AJ3193" s="42"/>
      <c r="AK3193" s="42"/>
      <c r="AL3193" s="42"/>
      <c r="AM3193" s="42"/>
      <c r="AN3193" s="42"/>
      <c r="AO3193" s="63" t="str">
        <f>IFERROR(__xludf.DUMMYFUNCTION("IF(ISBLANK(A3193),,IF(ISBLANK(S3193), A3193&amp;"";"", TEXTJOIN(CHAR(10), TRUE, A3193&amp;"";"", ARRAYFORMULA(VLOOKUP(SPLIT(S3193, "";"" &amp; CHAR(10)), $A:$AO, 41, FALSE)))))"),"CbFTi;
CbFTis;
CbFTid;")</f>
        <v>CbFTi;
CbFTis;
CbFTid;</v>
      </c>
      <c r="AP3193" s="89"/>
    </row>
    <row r="3194">
      <c r="A3194" s="151" t="str">
        <f>IFERROR(__xludf.DUMMYFUNCTION("""COMPUTED_VALUE"""),"CbFTis")</f>
        <v>CbFTis</v>
      </c>
      <c r="B3194" s="42" t="str">
        <f>IFERROR(__xludf.DUMMYFUNCTION("""COMPUTED_VALUE"""),"DHBA")</f>
        <v>DHBA</v>
      </c>
      <c r="C3194" s="42" t="str">
        <f>IFERROR(__xludf.DUMMYFUNCTION("""COMPUTED_VALUE"""),"superficial (cell dense) portion of CbFTi")</f>
        <v>superficial (cell dense) portion of CbFTi</v>
      </c>
      <c r="D3194" s="42">
        <f>IFERROR(__xludf.DUMMYFUNCTION("""COMPUTED_VALUE"""),3049.0)</f>
        <v>3049</v>
      </c>
      <c r="E3194" s="39" t="str">
        <f>IFERROR(__xludf.DUMMYFUNCTION("""COMPUTED_VALUE"""),"superficial (cell dense) portion of CbFTi")</f>
        <v>superficial (cell dense) portion of CbFTi</v>
      </c>
      <c r="F3194" s="9" t="str">
        <f>IFERROR(__xludf.DUMMYFUNCTION("""COMPUTED_VALUE"""),"Br")</f>
        <v>Br</v>
      </c>
      <c r="G3194" s="9" t="str">
        <f>IFERROR(__xludf.DUMMYFUNCTION("""COMPUTED_VALUE"""),"H")</f>
        <v>H</v>
      </c>
      <c r="H3194" s="9" t="str">
        <f>IFERROR(__xludf.DUMMYFUNCTION("""COMPUTED_VALUE"""),"HGM")</f>
        <v>HGM</v>
      </c>
      <c r="I3194" s="9" t="str">
        <f>IFERROR(__xludf.DUMMYFUNCTION("""COMPUTED_VALUE"""),"HTS")</f>
        <v>HTS</v>
      </c>
      <c r="J3194" s="9" t="str">
        <f>IFERROR(__xludf.DUMMYFUNCTION("""COMPUTED_VALUE"""),"CBT")</f>
        <v>CBT</v>
      </c>
      <c r="K3194" s="9" t="str">
        <f>IFERROR(__xludf.DUMMYFUNCTION("""COMPUTED_VALUE"""),"CbFT")</f>
        <v>CbFT</v>
      </c>
      <c r="L3194" s="9" t="str">
        <f>IFERROR(__xludf.DUMMYFUNCTION("""COMPUTED_VALUE"""),"CbFTi")</f>
        <v>CbFTi</v>
      </c>
      <c r="M3194" s="9" t="str">
        <f>IFERROR(__xludf.DUMMYFUNCTION("""COMPUTED_VALUE"""),"CbFTis")</f>
        <v>CbFTis</v>
      </c>
      <c r="N3194" s="9"/>
      <c r="O3194" s="9"/>
      <c r="P3194" s="9"/>
      <c r="Q3194" s="9"/>
      <c r="R3194" s="9"/>
      <c r="S3194" s="42"/>
      <c r="T3194" s="42"/>
      <c r="U3194" s="42"/>
      <c r="V3194" s="42"/>
      <c r="W3194" s="42"/>
      <c r="X3194" s="42"/>
      <c r="Y3194" s="42"/>
      <c r="Z3194" s="42"/>
      <c r="AA3194" s="42"/>
      <c r="AB3194" s="42" t="str">
        <f>IFERROR(__xludf.DUMMYFUNCTION("""COMPUTED_VALUE"""),"allen institute")</f>
        <v>allen institute</v>
      </c>
      <c r="AC3194" s="42" t="str">
        <f>IFERROR(__xludf.DUMMYFUNCTION("""COMPUTED_VALUE"""),"DHBA")</f>
        <v>DHBA</v>
      </c>
      <c r="AD3194" s="42"/>
      <c r="AE3194" s="42"/>
      <c r="AF3194" s="9"/>
      <c r="AG3194" s="9"/>
      <c r="AH3194" s="42"/>
      <c r="AI3194" s="42"/>
      <c r="AJ3194" s="42"/>
      <c r="AK3194" s="42"/>
      <c r="AL3194" s="42"/>
      <c r="AM3194" s="42"/>
      <c r="AN3194" s="42"/>
      <c r="AO3194" s="63" t="str">
        <f>IFERROR(__xludf.DUMMYFUNCTION("IF(ISBLANK(A3194),,IF(ISBLANK(S3194), A3194&amp;"";"", TEXTJOIN(CHAR(10), TRUE, A3194&amp;"";"", ARRAYFORMULA(VLOOKUP(SPLIT(S3194, "";"" &amp; CHAR(10)), $A:$AO, 41, FALSE)))))"),"CbFTis;")</f>
        <v>CbFTis;</v>
      </c>
      <c r="AP3194" s="89"/>
    </row>
    <row r="3195">
      <c r="A3195" s="151" t="str">
        <f>IFERROR(__xludf.DUMMYFUNCTION("""COMPUTED_VALUE"""),"CbFTid")</f>
        <v>CbFTid</v>
      </c>
      <c r="B3195" s="42" t="str">
        <f>IFERROR(__xludf.DUMMYFUNCTION("""COMPUTED_VALUE"""),"DHBA")</f>
        <v>DHBA</v>
      </c>
      <c r="C3195" s="42" t="str">
        <f>IFERROR(__xludf.DUMMYFUNCTION("""COMPUTED_VALUE"""),"deep (cell loose) portionof CbFTi")</f>
        <v>deep (cell loose) portionof CbFTi</v>
      </c>
      <c r="D3195" s="42">
        <f>IFERROR(__xludf.DUMMYFUNCTION("""COMPUTED_VALUE"""),3050.0)</f>
        <v>3050</v>
      </c>
      <c r="E3195" s="39" t="str">
        <f>IFERROR(__xludf.DUMMYFUNCTION("""COMPUTED_VALUE"""),"deep (cell loose) portionof CbFTi")</f>
        <v>deep (cell loose) portionof CbFTi</v>
      </c>
      <c r="F3195" s="9" t="str">
        <f>IFERROR(__xludf.DUMMYFUNCTION("""COMPUTED_VALUE"""),"Br")</f>
        <v>Br</v>
      </c>
      <c r="G3195" s="9" t="str">
        <f>IFERROR(__xludf.DUMMYFUNCTION("""COMPUTED_VALUE"""),"H")</f>
        <v>H</v>
      </c>
      <c r="H3195" s="9" t="str">
        <f>IFERROR(__xludf.DUMMYFUNCTION("""COMPUTED_VALUE"""),"HGM")</f>
        <v>HGM</v>
      </c>
      <c r="I3195" s="9" t="str">
        <f>IFERROR(__xludf.DUMMYFUNCTION("""COMPUTED_VALUE"""),"HTS")</f>
        <v>HTS</v>
      </c>
      <c r="J3195" s="9" t="str">
        <f>IFERROR(__xludf.DUMMYFUNCTION("""COMPUTED_VALUE"""),"CBT")</f>
        <v>CBT</v>
      </c>
      <c r="K3195" s="9" t="str">
        <f>IFERROR(__xludf.DUMMYFUNCTION("""COMPUTED_VALUE"""),"CbFT")</f>
        <v>CbFT</v>
      </c>
      <c r="L3195" s="9" t="str">
        <f>IFERROR(__xludf.DUMMYFUNCTION("""COMPUTED_VALUE"""),"CbFTi")</f>
        <v>CbFTi</v>
      </c>
      <c r="M3195" s="9" t="str">
        <f>IFERROR(__xludf.DUMMYFUNCTION("""COMPUTED_VALUE"""),"CbFTid")</f>
        <v>CbFTid</v>
      </c>
      <c r="N3195" s="9"/>
      <c r="O3195" s="9"/>
      <c r="P3195" s="9"/>
      <c r="Q3195" s="9"/>
      <c r="R3195" s="9"/>
      <c r="S3195" s="42"/>
      <c r="T3195" s="42"/>
      <c r="U3195" s="42"/>
      <c r="V3195" s="42"/>
      <c r="W3195" s="42"/>
      <c r="X3195" s="42"/>
      <c r="Y3195" s="42"/>
      <c r="Z3195" s="42"/>
      <c r="AA3195" s="42"/>
      <c r="AB3195" s="42" t="str">
        <f>IFERROR(__xludf.DUMMYFUNCTION("""COMPUTED_VALUE"""),"allen institute")</f>
        <v>allen institute</v>
      </c>
      <c r="AC3195" s="42" t="str">
        <f>IFERROR(__xludf.DUMMYFUNCTION("""COMPUTED_VALUE"""),"DHBA")</f>
        <v>DHBA</v>
      </c>
      <c r="AD3195" s="42"/>
      <c r="AE3195" s="42"/>
      <c r="AF3195" s="9"/>
      <c r="AG3195" s="9"/>
      <c r="AH3195" s="42"/>
      <c r="AI3195" s="42"/>
      <c r="AJ3195" s="42"/>
      <c r="AK3195" s="42"/>
      <c r="AL3195" s="42"/>
      <c r="AM3195" s="42"/>
      <c r="AN3195" s="42"/>
      <c r="AO3195" s="63" t="str">
        <f>IFERROR(__xludf.DUMMYFUNCTION("IF(ISBLANK(A3195),,IF(ISBLANK(S3195), A3195&amp;"";"", TEXTJOIN(CHAR(10), TRUE, A3195&amp;"";"", ARRAYFORMULA(VLOOKUP(SPLIT(S3195, "";"" &amp; CHAR(10)), $A:$AO, 41, FALSE)))))"),"CbFTid;")</f>
        <v>CbFTid;</v>
      </c>
      <c r="AP3195" s="89"/>
    </row>
    <row r="3196">
      <c r="A3196" s="151" t="str">
        <f>IFERROR(__xludf.DUMMYFUNCTION("""COMPUTED_VALUE"""),"CbFTv")</f>
        <v>CbFTv</v>
      </c>
      <c r="B3196" s="42" t="str">
        <f>IFERROR(__xludf.DUMMYFUNCTION("""COMPUTED_VALUE"""),"DHBA")</f>
        <v>DHBA</v>
      </c>
      <c r="C3196" s="42" t="str">
        <f>IFERROR(__xludf.DUMMYFUNCTION("""COMPUTED_VALUE"""),"ventricular (germinal) zone of flocculus")</f>
        <v>ventricular (germinal) zone of flocculus</v>
      </c>
      <c r="D3196" s="42">
        <f>IFERROR(__xludf.DUMMYFUNCTION("""COMPUTED_VALUE"""),3051.0)</f>
        <v>3051</v>
      </c>
      <c r="E3196" s="39" t="str">
        <f>IFERROR(__xludf.DUMMYFUNCTION("""COMPUTED_VALUE"""),"ventricular (germinal) zone of flocculus")</f>
        <v>ventricular (germinal) zone of flocculus</v>
      </c>
      <c r="F3196" s="9" t="str">
        <f>IFERROR(__xludf.DUMMYFUNCTION("""COMPUTED_VALUE"""),"Br")</f>
        <v>Br</v>
      </c>
      <c r="G3196" s="9" t="str">
        <f>IFERROR(__xludf.DUMMYFUNCTION("""COMPUTED_VALUE"""),"H")</f>
        <v>H</v>
      </c>
      <c r="H3196" s="9" t="str">
        <f>IFERROR(__xludf.DUMMYFUNCTION("""COMPUTED_VALUE"""),"HGM")</f>
        <v>HGM</v>
      </c>
      <c r="I3196" s="9" t="str">
        <f>IFERROR(__xludf.DUMMYFUNCTION("""COMPUTED_VALUE"""),"HTS")</f>
        <v>HTS</v>
      </c>
      <c r="J3196" s="9" t="str">
        <f>IFERROR(__xludf.DUMMYFUNCTION("""COMPUTED_VALUE"""),"CBT")</f>
        <v>CBT</v>
      </c>
      <c r="K3196" s="9" t="str">
        <f>IFERROR(__xludf.DUMMYFUNCTION("""COMPUTED_VALUE"""),"CbFT")</f>
        <v>CbFT</v>
      </c>
      <c r="L3196" s="9" t="str">
        <f>IFERROR(__xludf.DUMMYFUNCTION("""COMPUTED_VALUE"""),"CbFTv")</f>
        <v>CbFTv</v>
      </c>
      <c r="M3196" s="9"/>
      <c r="N3196" s="9"/>
      <c r="O3196" s="9"/>
      <c r="P3196" s="9"/>
      <c r="Q3196" s="9"/>
      <c r="R3196" s="9"/>
      <c r="S3196" s="42"/>
      <c r="T3196" s="42"/>
      <c r="U3196" s="42"/>
      <c r="V3196" s="42"/>
      <c r="W3196" s="42"/>
      <c r="X3196" s="42"/>
      <c r="Y3196" s="42"/>
      <c r="Z3196" s="42"/>
      <c r="AA3196" s="42"/>
      <c r="AB3196" s="42" t="str">
        <f>IFERROR(__xludf.DUMMYFUNCTION("""COMPUTED_VALUE"""),"allen institute")</f>
        <v>allen institute</v>
      </c>
      <c r="AC3196" s="42" t="str">
        <f>IFERROR(__xludf.DUMMYFUNCTION("""COMPUTED_VALUE"""),"DHBA")</f>
        <v>DHBA</v>
      </c>
      <c r="AD3196" s="42"/>
      <c r="AE3196" s="42"/>
      <c r="AF3196" s="9"/>
      <c r="AG3196" s="9"/>
      <c r="AH3196" s="42"/>
      <c r="AI3196" s="42"/>
      <c r="AJ3196" s="42"/>
      <c r="AK3196" s="42"/>
      <c r="AL3196" s="42"/>
      <c r="AM3196" s="42"/>
      <c r="AN3196" s="42"/>
      <c r="AO3196" s="63" t="str">
        <f>IFERROR(__xludf.DUMMYFUNCTION("IF(ISBLANK(A3196),,IF(ISBLANK(S3196), A3196&amp;"";"", TEXTJOIN(CHAR(10), TRUE, A3196&amp;"";"", ARRAYFORMULA(VLOOKUP(SPLIT(S3196, "";"" &amp; CHAR(10)), $A:$AO, 41, FALSE)))))"),"CbFTv;")</f>
        <v>CbFTv;</v>
      </c>
      <c r="AP3196" s="89"/>
    </row>
    <row r="3197">
      <c r="A3197" s="151" t="str">
        <f>IFERROR(__xludf.DUMMYFUNCTION("""COMPUTED_VALUE"""),"TGCbN")</f>
        <v>TGCbN</v>
      </c>
      <c r="B3197" s="42" t="str">
        <f>IFERROR(__xludf.DUMMYFUNCTION("""COMPUTED_VALUE"""),"DHBA")</f>
        <v>DHBA</v>
      </c>
      <c r="C3197" s="42" t="str">
        <f>IFERROR(__xludf.DUMMYFUNCTION("""COMPUTED_VALUE"""),"transient glia cell group of cerebellar deep nucleus")</f>
        <v>transient glia cell group of cerebellar deep nucleus</v>
      </c>
      <c r="D3197" s="42">
        <f>IFERROR(__xludf.DUMMYFUNCTION("""COMPUTED_VALUE"""),3052.0)</f>
        <v>3052</v>
      </c>
      <c r="E3197" s="39" t="str">
        <f>IFERROR(__xludf.DUMMYFUNCTION("""COMPUTED_VALUE"""),"transient glia cell group of cerebellar deep nucleus")</f>
        <v>transient glia cell group of cerebellar deep nucleus</v>
      </c>
      <c r="F3197" s="9" t="str">
        <f>IFERROR(__xludf.DUMMYFUNCTION("""COMPUTED_VALUE"""),"Br")</f>
        <v>Br</v>
      </c>
      <c r="G3197" s="9" t="str">
        <f>IFERROR(__xludf.DUMMYFUNCTION("""COMPUTED_VALUE"""),"H")</f>
        <v>H</v>
      </c>
      <c r="H3197" s="9" t="str">
        <f>IFERROR(__xludf.DUMMYFUNCTION("""COMPUTED_VALUE"""),"HGM")</f>
        <v>HGM</v>
      </c>
      <c r="I3197" s="9" t="str">
        <f>IFERROR(__xludf.DUMMYFUNCTION("""COMPUTED_VALUE"""),"HTS")</f>
        <v>HTS</v>
      </c>
      <c r="J3197" s="9" t="str">
        <f>IFERROR(__xludf.DUMMYFUNCTION("""COMPUTED_VALUE"""),"TGCbN")</f>
        <v>TGCbN</v>
      </c>
      <c r="K3197" s="9"/>
      <c r="L3197" s="9"/>
      <c r="M3197" s="9"/>
      <c r="N3197" s="9"/>
      <c r="O3197" s="9"/>
      <c r="P3197" s="9"/>
      <c r="Q3197" s="9"/>
      <c r="R3197" s="9"/>
      <c r="S3197" s="42"/>
      <c r="T3197" s="42"/>
      <c r="U3197" s="42"/>
      <c r="V3197" s="42"/>
      <c r="W3197" s="42"/>
      <c r="X3197" s="42"/>
      <c r="Y3197" s="42"/>
      <c r="Z3197" s="42"/>
      <c r="AA3197" s="42"/>
      <c r="AB3197" s="42" t="str">
        <f>IFERROR(__xludf.DUMMYFUNCTION("""COMPUTED_VALUE"""),"allen institute")</f>
        <v>allen institute</v>
      </c>
      <c r="AC3197" s="42" t="str">
        <f>IFERROR(__xludf.DUMMYFUNCTION("""COMPUTED_VALUE"""),"DHBA")</f>
        <v>DHBA</v>
      </c>
      <c r="AD3197" s="42"/>
      <c r="AE3197" s="42"/>
      <c r="AF3197" s="9"/>
      <c r="AG3197" s="9"/>
      <c r="AH3197" s="42"/>
      <c r="AI3197" s="42"/>
      <c r="AJ3197" s="42"/>
      <c r="AK3197" s="42"/>
      <c r="AL3197" s="42"/>
      <c r="AM3197" s="42"/>
      <c r="AN3197" s="42"/>
      <c r="AO3197" s="63" t="str">
        <f>IFERROR(__xludf.DUMMYFUNCTION("IF(ISBLANK(A3197),,IF(ISBLANK(S3197), A3197&amp;"";"", TEXTJOIN(CHAR(10), TRUE, A3197&amp;"";"", ARRAYFORMULA(VLOOKUP(SPLIT(S3197, "";"" &amp; CHAR(10)), $A:$AO, 41, FALSE)))))"),"TGCbN;")</f>
        <v>TGCbN;</v>
      </c>
      <c r="AP3197" s="89"/>
    </row>
    <row r="3198">
      <c r="A3198" s="151" t="str">
        <f>IFERROR(__xludf.DUMMYFUNCTION("""COMPUTED_VALUE"""),"CbP")</f>
        <v>CbP</v>
      </c>
      <c r="B3198" s="42" t="str">
        <f>IFERROR(__xludf.DUMMYFUNCTION("""COMPUTED_VALUE"""),"DHBA")</f>
        <v>DHBA</v>
      </c>
      <c r="C3198" s="42" t="str">
        <f>IFERROR(__xludf.DUMMYFUNCTION("""COMPUTED_VALUE"""),"cerebellar plate")</f>
        <v>cerebellar plate</v>
      </c>
      <c r="D3198" s="42">
        <f>IFERROR(__xludf.DUMMYFUNCTION("""COMPUTED_VALUE"""),3053.0)</f>
        <v>3053</v>
      </c>
      <c r="E3198" s="39" t="str">
        <f>IFERROR(__xludf.DUMMYFUNCTION("""COMPUTED_VALUE"""),"cerebellar plate")</f>
        <v>cerebellar plate</v>
      </c>
      <c r="F3198" s="9" t="str">
        <f>IFERROR(__xludf.DUMMYFUNCTION("""COMPUTED_VALUE"""),"Br")</f>
        <v>Br</v>
      </c>
      <c r="G3198" s="9" t="str">
        <f>IFERROR(__xludf.DUMMYFUNCTION("""COMPUTED_VALUE"""),"H")</f>
        <v>H</v>
      </c>
      <c r="H3198" s="9" t="str">
        <f>IFERROR(__xludf.DUMMYFUNCTION("""COMPUTED_VALUE"""),"HGM")</f>
        <v>HGM</v>
      </c>
      <c r="I3198" s="9" t="str">
        <f>IFERROR(__xludf.DUMMYFUNCTION("""COMPUTED_VALUE"""),"HTS")</f>
        <v>HTS</v>
      </c>
      <c r="J3198" s="9" t="str">
        <f>IFERROR(__xludf.DUMMYFUNCTION("""COMPUTED_VALUE"""),"CbP")</f>
        <v>CbP</v>
      </c>
      <c r="K3198" s="9"/>
      <c r="L3198" s="9"/>
      <c r="M3198" s="9"/>
      <c r="N3198" s="9"/>
      <c r="O3198" s="9"/>
      <c r="P3198" s="9"/>
      <c r="Q3198" s="9"/>
      <c r="R3198" s="9"/>
      <c r="S3198" s="42" t="str">
        <f>IFERROR(__xludf.DUMMYFUNCTION("""COMPUTED_VALUE"""),"MZCbP;
IZCbP;
VZCbP")</f>
        <v>MZCbP;
IZCbP;
VZCbP</v>
      </c>
      <c r="T3198" s="42"/>
      <c r="U3198" s="42" t="b">
        <f>IFERROR(__xludf.DUMMYFUNCTION("""COMPUTED_VALUE"""),FALSE)</f>
        <v>0</v>
      </c>
      <c r="V3198" s="42"/>
      <c r="W3198" s="42"/>
      <c r="X3198" s="42"/>
      <c r="Y3198" s="42"/>
      <c r="Z3198" s="42"/>
      <c r="AA3198" s="42"/>
      <c r="AB3198" s="42" t="str">
        <f>IFERROR(__xludf.DUMMYFUNCTION("""COMPUTED_VALUE"""),"allen institute")</f>
        <v>allen institute</v>
      </c>
      <c r="AC3198" s="42" t="str">
        <f>IFERROR(__xludf.DUMMYFUNCTION("""COMPUTED_VALUE"""),"DHBA")</f>
        <v>DHBA</v>
      </c>
      <c r="AD3198" s="42"/>
      <c r="AE3198" s="42"/>
      <c r="AF3198" s="9"/>
      <c r="AG3198" s="9"/>
      <c r="AH3198" s="42"/>
      <c r="AI3198" s="42"/>
      <c r="AJ3198" s="42"/>
      <c r="AK3198" s="42"/>
      <c r="AL3198" s="42"/>
      <c r="AM3198" s="42"/>
      <c r="AN3198" s="42"/>
      <c r="AO3198" s="63" t="str">
        <f>IFERROR(__xludf.DUMMYFUNCTION("IF(ISBLANK(A3198),,IF(ISBLANK(S3198), A3198&amp;"";"", TEXTJOIN(CHAR(10), TRUE, A3198&amp;"";"", ARRAYFORMULA(VLOOKUP(SPLIT(S3198, "";"" &amp; CHAR(10)), $A:$AO, 41, FALSE)))))"),"CbP;
MZCbP;
IZCbP;
NTZ;
CTZ;
VZCbP;")</f>
        <v>CbP;
MZCbP;
IZCbP;
NTZ;
CTZ;
VZCbP;</v>
      </c>
      <c r="AP3198" s="89"/>
    </row>
    <row r="3199">
      <c r="A3199" s="151" t="str">
        <f>IFERROR(__xludf.DUMMYFUNCTION("""COMPUTED_VALUE"""),"MZCbP")</f>
        <v>MZCbP</v>
      </c>
      <c r="B3199" s="42" t="str">
        <f>IFERROR(__xludf.DUMMYFUNCTION("""COMPUTED_VALUE"""),"DHBA")</f>
        <v>DHBA</v>
      </c>
      <c r="C3199" s="42" t="str">
        <f>IFERROR(__xludf.DUMMYFUNCTION("""COMPUTED_VALUE"""),"marginal (subpial stream) zone of cerebellar plate")</f>
        <v>marginal (subpial stream) zone of cerebellar plate</v>
      </c>
      <c r="D3199" s="42">
        <f>IFERROR(__xludf.DUMMYFUNCTION("""COMPUTED_VALUE"""),3054.0)</f>
        <v>3054</v>
      </c>
      <c r="E3199" s="39" t="str">
        <f>IFERROR(__xludf.DUMMYFUNCTION("""COMPUTED_VALUE"""),"marginal (subpial stream) zone of cerebellar plate")</f>
        <v>marginal (subpial stream) zone of cerebellar plate</v>
      </c>
      <c r="F3199" s="9" t="str">
        <f>IFERROR(__xludf.DUMMYFUNCTION("""COMPUTED_VALUE"""),"Br")</f>
        <v>Br</v>
      </c>
      <c r="G3199" s="9" t="str">
        <f>IFERROR(__xludf.DUMMYFUNCTION("""COMPUTED_VALUE"""),"H")</f>
        <v>H</v>
      </c>
      <c r="H3199" s="9" t="str">
        <f>IFERROR(__xludf.DUMMYFUNCTION("""COMPUTED_VALUE"""),"HGM")</f>
        <v>HGM</v>
      </c>
      <c r="I3199" s="9" t="str">
        <f>IFERROR(__xludf.DUMMYFUNCTION("""COMPUTED_VALUE"""),"HTS")</f>
        <v>HTS</v>
      </c>
      <c r="J3199" s="9" t="str">
        <f>IFERROR(__xludf.DUMMYFUNCTION("""COMPUTED_VALUE"""),"CbP")</f>
        <v>CbP</v>
      </c>
      <c r="K3199" s="9" t="str">
        <f>IFERROR(__xludf.DUMMYFUNCTION("""COMPUTED_VALUE"""),"MZCbP")</f>
        <v>MZCbP</v>
      </c>
      <c r="L3199" s="9"/>
      <c r="M3199" s="9"/>
      <c r="N3199" s="9"/>
      <c r="O3199" s="9"/>
      <c r="P3199" s="9"/>
      <c r="Q3199" s="9"/>
      <c r="R3199" s="9"/>
      <c r="S3199" s="42"/>
      <c r="T3199" s="42"/>
      <c r="U3199" s="42"/>
      <c r="V3199" s="42"/>
      <c r="W3199" s="42"/>
      <c r="X3199" s="42"/>
      <c r="Y3199" s="42"/>
      <c r="Z3199" s="42"/>
      <c r="AA3199" s="42"/>
      <c r="AB3199" s="42" t="str">
        <f>IFERROR(__xludf.DUMMYFUNCTION("""COMPUTED_VALUE"""),"allen institute")</f>
        <v>allen institute</v>
      </c>
      <c r="AC3199" s="42" t="str">
        <f>IFERROR(__xludf.DUMMYFUNCTION("""COMPUTED_VALUE"""),"DHBA")</f>
        <v>DHBA</v>
      </c>
      <c r="AD3199" s="42"/>
      <c r="AE3199" s="42"/>
      <c r="AF3199" s="9"/>
      <c r="AG3199" s="9"/>
      <c r="AH3199" s="42"/>
      <c r="AI3199" s="42"/>
      <c r="AJ3199" s="42"/>
      <c r="AK3199" s="42"/>
      <c r="AL3199" s="42"/>
      <c r="AM3199" s="42"/>
      <c r="AN3199" s="42"/>
      <c r="AO3199" s="63" t="str">
        <f>IFERROR(__xludf.DUMMYFUNCTION("IF(ISBLANK(A3199),,IF(ISBLANK(S3199), A3199&amp;"";"", TEXTJOIN(CHAR(10), TRUE, A3199&amp;"";"", ARRAYFORMULA(VLOOKUP(SPLIT(S3199, "";"" &amp; CHAR(10)), $A:$AO, 41, FALSE)))))"),"MZCbP;")</f>
        <v>MZCbP;</v>
      </c>
      <c r="AP3199" s="89"/>
    </row>
    <row r="3200">
      <c r="A3200" s="151" t="str">
        <f>IFERROR(__xludf.DUMMYFUNCTION("""COMPUTED_VALUE"""),"IZCbP")</f>
        <v>IZCbP</v>
      </c>
      <c r="B3200" s="42" t="str">
        <f>IFERROR(__xludf.DUMMYFUNCTION("""COMPUTED_VALUE"""),"DHBA")</f>
        <v>DHBA</v>
      </c>
      <c r="C3200" s="42" t="str">
        <f>IFERROR(__xludf.DUMMYFUNCTION("""COMPUTED_VALUE"""),"intermediate (mantle) zone of cerebellar plate")</f>
        <v>intermediate (mantle) zone of cerebellar plate</v>
      </c>
      <c r="D3200" s="42">
        <f>IFERROR(__xludf.DUMMYFUNCTION("""COMPUTED_VALUE"""),3055.0)</f>
        <v>3055</v>
      </c>
      <c r="E3200" s="39" t="str">
        <f>IFERROR(__xludf.DUMMYFUNCTION("""COMPUTED_VALUE"""),"intermediate (mantle) zone of cerebellar plate")</f>
        <v>intermediate (mantle) zone of cerebellar plate</v>
      </c>
      <c r="F3200" s="9" t="str">
        <f>IFERROR(__xludf.DUMMYFUNCTION("""COMPUTED_VALUE"""),"Br")</f>
        <v>Br</v>
      </c>
      <c r="G3200" s="9" t="str">
        <f>IFERROR(__xludf.DUMMYFUNCTION("""COMPUTED_VALUE"""),"H")</f>
        <v>H</v>
      </c>
      <c r="H3200" s="9" t="str">
        <f>IFERROR(__xludf.DUMMYFUNCTION("""COMPUTED_VALUE"""),"HGM")</f>
        <v>HGM</v>
      </c>
      <c r="I3200" s="9" t="str">
        <f>IFERROR(__xludf.DUMMYFUNCTION("""COMPUTED_VALUE"""),"HTS")</f>
        <v>HTS</v>
      </c>
      <c r="J3200" s="9" t="str">
        <f>IFERROR(__xludf.DUMMYFUNCTION("""COMPUTED_VALUE"""),"CbP")</f>
        <v>CbP</v>
      </c>
      <c r="K3200" s="9" t="str">
        <f>IFERROR(__xludf.DUMMYFUNCTION("""COMPUTED_VALUE"""),"IZCbP")</f>
        <v>IZCbP</v>
      </c>
      <c r="L3200" s="9"/>
      <c r="M3200" s="9"/>
      <c r="N3200" s="9"/>
      <c r="O3200" s="9"/>
      <c r="P3200" s="9"/>
      <c r="Q3200" s="9"/>
      <c r="R3200" s="9"/>
      <c r="S3200" s="42" t="str">
        <f>IFERROR(__xludf.DUMMYFUNCTION("""COMPUTED_VALUE"""),"NTZ;
CTZ")</f>
        <v>NTZ;
CTZ</v>
      </c>
      <c r="T3200" s="42"/>
      <c r="U3200" s="42" t="b">
        <f>IFERROR(__xludf.DUMMYFUNCTION("""COMPUTED_VALUE"""),FALSE)</f>
        <v>0</v>
      </c>
      <c r="V3200" s="42"/>
      <c r="W3200" s="42"/>
      <c r="X3200" s="42"/>
      <c r="Y3200" s="42"/>
      <c r="Z3200" s="42"/>
      <c r="AA3200" s="42"/>
      <c r="AB3200" s="42" t="str">
        <f>IFERROR(__xludf.DUMMYFUNCTION("""COMPUTED_VALUE"""),"allen institute")</f>
        <v>allen institute</v>
      </c>
      <c r="AC3200" s="42" t="str">
        <f>IFERROR(__xludf.DUMMYFUNCTION("""COMPUTED_VALUE"""),"DHBA")</f>
        <v>DHBA</v>
      </c>
      <c r="AD3200" s="42"/>
      <c r="AE3200" s="42"/>
      <c r="AF3200" s="9"/>
      <c r="AG3200" s="9"/>
      <c r="AH3200" s="42"/>
      <c r="AI3200" s="42"/>
      <c r="AJ3200" s="42"/>
      <c r="AK3200" s="42"/>
      <c r="AL3200" s="42"/>
      <c r="AM3200" s="42"/>
      <c r="AN3200" s="42"/>
      <c r="AO3200" s="63" t="str">
        <f>IFERROR(__xludf.DUMMYFUNCTION("IF(ISBLANK(A3200),,IF(ISBLANK(S3200), A3200&amp;"";"", TEXTJOIN(CHAR(10), TRUE, A3200&amp;"";"", ARRAYFORMULA(VLOOKUP(SPLIT(S3200, "";"" &amp; CHAR(10)), $A:$AO, 41, FALSE)))))"),"IZCbP;
NTZ;
CTZ;")</f>
        <v>IZCbP;
NTZ;
CTZ;</v>
      </c>
      <c r="AP3200" s="89"/>
    </row>
    <row r="3201">
      <c r="A3201" s="151" t="str">
        <f>IFERROR(__xludf.DUMMYFUNCTION("""COMPUTED_VALUE"""),"NTZ")</f>
        <v>NTZ</v>
      </c>
      <c r="B3201" s="42" t="str">
        <f>IFERROR(__xludf.DUMMYFUNCTION("""COMPUTED_VALUE"""),"DHBA")</f>
        <v>DHBA</v>
      </c>
      <c r="C3201" s="42" t="str">
        <f>IFERROR(__xludf.DUMMYFUNCTION("""COMPUTED_VALUE"""),"nuclear transitory zone of cerebellar plate")</f>
        <v>nuclear transitory zone of cerebellar plate</v>
      </c>
      <c r="D3201" s="42">
        <f>IFERROR(__xludf.DUMMYFUNCTION("""COMPUTED_VALUE"""),3056.0)</f>
        <v>3056</v>
      </c>
      <c r="E3201" s="39" t="str">
        <f>IFERROR(__xludf.DUMMYFUNCTION("""COMPUTED_VALUE"""),"nuclear transitory zone of cerebellar plate")</f>
        <v>nuclear transitory zone of cerebellar plate</v>
      </c>
      <c r="F3201" s="9" t="str">
        <f>IFERROR(__xludf.DUMMYFUNCTION("""COMPUTED_VALUE"""),"Br")</f>
        <v>Br</v>
      </c>
      <c r="G3201" s="9" t="str">
        <f>IFERROR(__xludf.DUMMYFUNCTION("""COMPUTED_VALUE"""),"H")</f>
        <v>H</v>
      </c>
      <c r="H3201" s="9" t="str">
        <f>IFERROR(__xludf.DUMMYFUNCTION("""COMPUTED_VALUE"""),"HGM")</f>
        <v>HGM</v>
      </c>
      <c r="I3201" s="9" t="str">
        <f>IFERROR(__xludf.DUMMYFUNCTION("""COMPUTED_VALUE"""),"HTS")</f>
        <v>HTS</v>
      </c>
      <c r="J3201" s="9" t="str">
        <f>IFERROR(__xludf.DUMMYFUNCTION("""COMPUTED_VALUE"""),"CbP")</f>
        <v>CbP</v>
      </c>
      <c r="K3201" s="9" t="str">
        <f>IFERROR(__xludf.DUMMYFUNCTION("""COMPUTED_VALUE"""),"IZCbP")</f>
        <v>IZCbP</v>
      </c>
      <c r="L3201" s="9" t="str">
        <f>IFERROR(__xludf.DUMMYFUNCTION("""COMPUTED_VALUE"""),"NTZ")</f>
        <v>NTZ</v>
      </c>
      <c r="M3201" s="9"/>
      <c r="N3201" s="9"/>
      <c r="O3201" s="9"/>
      <c r="P3201" s="9"/>
      <c r="Q3201" s="9"/>
      <c r="R3201" s="9"/>
      <c r="S3201" s="42"/>
      <c r="T3201" s="42"/>
      <c r="U3201" s="42"/>
      <c r="V3201" s="42"/>
      <c r="W3201" s="42"/>
      <c r="X3201" s="42"/>
      <c r="Y3201" s="42"/>
      <c r="Z3201" s="42"/>
      <c r="AA3201" s="42"/>
      <c r="AB3201" s="42" t="str">
        <f>IFERROR(__xludf.DUMMYFUNCTION("""COMPUTED_VALUE"""),"allen institute")</f>
        <v>allen institute</v>
      </c>
      <c r="AC3201" s="42" t="str">
        <f>IFERROR(__xludf.DUMMYFUNCTION("""COMPUTED_VALUE"""),"DHBA")</f>
        <v>DHBA</v>
      </c>
      <c r="AD3201" s="42"/>
      <c r="AE3201" s="42"/>
      <c r="AF3201" s="9"/>
      <c r="AG3201" s="9"/>
      <c r="AH3201" s="42"/>
      <c r="AI3201" s="42"/>
      <c r="AJ3201" s="42"/>
      <c r="AK3201" s="42"/>
      <c r="AL3201" s="42"/>
      <c r="AM3201" s="42"/>
      <c r="AN3201" s="42"/>
      <c r="AO3201" s="63" t="str">
        <f>IFERROR(__xludf.DUMMYFUNCTION("IF(ISBLANK(A3201),,IF(ISBLANK(S3201), A3201&amp;"";"", TEXTJOIN(CHAR(10), TRUE, A3201&amp;"";"", ARRAYFORMULA(VLOOKUP(SPLIT(S3201, "";"" &amp; CHAR(10)), $A:$AO, 41, FALSE)))))"),"NTZ;")</f>
        <v>NTZ;</v>
      </c>
      <c r="AP3201" s="89"/>
    </row>
    <row r="3202">
      <c r="A3202" s="151" t="str">
        <f>IFERROR(__xludf.DUMMYFUNCTION("""COMPUTED_VALUE"""),"CTZ")</f>
        <v>CTZ</v>
      </c>
      <c r="B3202" s="42" t="str">
        <f>IFERROR(__xludf.DUMMYFUNCTION("""COMPUTED_VALUE"""),"DHBA")</f>
        <v>DHBA</v>
      </c>
      <c r="C3202" s="42" t="str">
        <f>IFERROR(__xludf.DUMMYFUNCTION("""COMPUTED_VALUE"""),"cortical transitory zone of cerebellar plate")</f>
        <v>cortical transitory zone of cerebellar plate</v>
      </c>
      <c r="D3202" s="42">
        <f>IFERROR(__xludf.DUMMYFUNCTION("""COMPUTED_VALUE"""),3057.0)</f>
        <v>3057</v>
      </c>
      <c r="E3202" s="39" t="str">
        <f>IFERROR(__xludf.DUMMYFUNCTION("""COMPUTED_VALUE"""),"cortical transitory zone of cerebellar plate")</f>
        <v>cortical transitory zone of cerebellar plate</v>
      </c>
      <c r="F3202" s="9" t="str">
        <f>IFERROR(__xludf.DUMMYFUNCTION("""COMPUTED_VALUE"""),"Br")</f>
        <v>Br</v>
      </c>
      <c r="G3202" s="9" t="str">
        <f>IFERROR(__xludf.DUMMYFUNCTION("""COMPUTED_VALUE"""),"H")</f>
        <v>H</v>
      </c>
      <c r="H3202" s="9" t="str">
        <f>IFERROR(__xludf.DUMMYFUNCTION("""COMPUTED_VALUE"""),"HGM")</f>
        <v>HGM</v>
      </c>
      <c r="I3202" s="9" t="str">
        <f>IFERROR(__xludf.DUMMYFUNCTION("""COMPUTED_VALUE"""),"HTS")</f>
        <v>HTS</v>
      </c>
      <c r="J3202" s="9" t="str">
        <f>IFERROR(__xludf.DUMMYFUNCTION("""COMPUTED_VALUE"""),"CbP")</f>
        <v>CbP</v>
      </c>
      <c r="K3202" s="9" t="str">
        <f>IFERROR(__xludf.DUMMYFUNCTION("""COMPUTED_VALUE"""),"IZCbP")</f>
        <v>IZCbP</v>
      </c>
      <c r="L3202" s="9" t="str">
        <f>IFERROR(__xludf.DUMMYFUNCTION("""COMPUTED_VALUE"""),"CTZ")</f>
        <v>CTZ</v>
      </c>
      <c r="M3202" s="9"/>
      <c r="N3202" s="9"/>
      <c r="O3202" s="9"/>
      <c r="P3202" s="9"/>
      <c r="Q3202" s="9"/>
      <c r="R3202" s="9"/>
      <c r="S3202" s="42"/>
      <c r="T3202" s="42"/>
      <c r="U3202" s="42"/>
      <c r="V3202" s="42"/>
      <c r="W3202" s="42"/>
      <c r="X3202" s="42"/>
      <c r="Y3202" s="42"/>
      <c r="Z3202" s="42"/>
      <c r="AA3202" s="42"/>
      <c r="AB3202" s="42" t="str">
        <f>IFERROR(__xludf.DUMMYFUNCTION("""COMPUTED_VALUE"""),"allen institute")</f>
        <v>allen institute</v>
      </c>
      <c r="AC3202" s="42" t="str">
        <f>IFERROR(__xludf.DUMMYFUNCTION("""COMPUTED_VALUE"""),"DHBA")</f>
        <v>DHBA</v>
      </c>
      <c r="AD3202" s="42"/>
      <c r="AE3202" s="42"/>
      <c r="AF3202" s="9"/>
      <c r="AG3202" s="9"/>
      <c r="AH3202" s="42"/>
      <c r="AI3202" s="42"/>
      <c r="AJ3202" s="42"/>
      <c r="AK3202" s="42"/>
      <c r="AL3202" s="42"/>
      <c r="AM3202" s="42"/>
      <c r="AN3202" s="42"/>
      <c r="AO3202" s="63" t="str">
        <f>IFERROR(__xludf.DUMMYFUNCTION("IF(ISBLANK(A3202),,IF(ISBLANK(S3202), A3202&amp;"";"", TEXTJOIN(CHAR(10), TRUE, A3202&amp;"";"", ARRAYFORMULA(VLOOKUP(SPLIT(S3202, "";"" &amp; CHAR(10)), $A:$AO, 41, FALSE)))))"),"CTZ;")</f>
        <v>CTZ;</v>
      </c>
      <c r="AP3202" s="89"/>
    </row>
    <row r="3203">
      <c r="A3203" s="151" t="str">
        <f>IFERROR(__xludf.DUMMYFUNCTION("""COMPUTED_VALUE"""),"VZCbP")</f>
        <v>VZCbP</v>
      </c>
      <c r="B3203" s="42" t="str">
        <f>IFERROR(__xludf.DUMMYFUNCTION("""COMPUTED_VALUE"""),"DHBA")</f>
        <v>DHBA</v>
      </c>
      <c r="C3203" s="42" t="str">
        <f>IFERROR(__xludf.DUMMYFUNCTION("""COMPUTED_VALUE"""),"ventricular (neuroepithelial) zone of cerebellar plate")</f>
        <v>ventricular (neuroepithelial) zone of cerebellar plate</v>
      </c>
      <c r="D3203" s="42">
        <f>IFERROR(__xludf.DUMMYFUNCTION("""COMPUTED_VALUE"""),3058.0)</f>
        <v>3058</v>
      </c>
      <c r="E3203" s="39" t="str">
        <f>IFERROR(__xludf.DUMMYFUNCTION("""COMPUTED_VALUE"""),"ventricular (neuroepithelial) zone of cerebellar plate")</f>
        <v>ventricular (neuroepithelial) zone of cerebellar plate</v>
      </c>
      <c r="F3203" s="9" t="str">
        <f>IFERROR(__xludf.DUMMYFUNCTION("""COMPUTED_VALUE"""),"Br")</f>
        <v>Br</v>
      </c>
      <c r="G3203" s="9" t="str">
        <f>IFERROR(__xludf.DUMMYFUNCTION("""COMPUTED_VALUE"""),"H")</f>
        <v>H</v>
      </c>
      <c r="H3203" s="9" t="str">
        <f>IFERROR(__xludf.DUMMYFUNCTION("""COMPUTED_VALUE"""),"HGM")</f>
        <v>HGM</v>
      </c>
      <c r="I3203" s="9" t="str">
        <f>IFERROR(__xludf.DUMMYFUNCTION("""COMPUTED_VALUE"""),"HTS")</f>
        <v>HTS</v>
      </c>
      <c r="J3203" s="9" t="str">
        <f>IFERROR(__xludf.DUMMYFUNCTION("""COMPUTED_VALUE"""),"CbP")</f>
        <v>CbP</v>
      </c>
      <c r="K3203" s="9" t="str">
        <f>IFERROR(__xludf.DUMMYFUNCTION("""COMPUTED_VALUE"""),"VZCbP")</f>
        <v>VZCbP</v>
      </c>
      <c r="L3203" s="9"/>
      <c r="M3203" s="9"/>
      <c r="N3203" s="9"/>
      <c r="O3203" s="9"/>
      <c r="P3203" s="9"/>
      <c r="Q3203" s="9"/>
      <c r="R3203" s="9"/>
      <c r="S3203" s="42"/>
      <c r="T3203" s="42"/>
      <c r="U3203" s="42"/>
      <c r="V3203" s="42"/>
      <c r="W3203" s="42"/>
      <c r="X3203" s="42"/>
      <c r="Y3203" s="42"/>
      <c r="Z3203" s="42"/>
      <c r="AA3203" s="42"/>
      <c r="AB3203" s="42" t="str">
        <f>IFERROR(__xludf.DUMMYFUNCTION("""COMPUTED_VALUE"""),"allen institute")</f>
        <v>allen institute</v>
      </c>
      <c r="AC3203" s="42" t="str">
        <f>IFERROR(__xludf.DUMMYFUNCTION("""COMPUTED_VALUE"""),"DHBA")</f>
        <v>DHBA</v>
      </c>
      <c r="AD3203" s="42"/>
      <c r="AE3203" s="42"/>
      <c r="AF3203" s="9"/>
      <c r="AG3203" s="9"/>
      <c r="AH3203" s="42"/>
      <c r="AI3203" s="42"/>
      <c r="AJ3203" s="42"/>
      <c r="AK3203" s="42"/>
      <c r="AL3203" s="42"/>
      <c r="AM3203" s="42"/>
      <c r="AN3203" s="42"/>
      <c r="AO3203" s="63" t="str">
        <f>IFERROR(__xludf.DUMMYFUNCTION("IF(ISBLANK(A3203),,IF(ISBLANK(S3203), A3203&amp;"";"", TEXTJOIN(CHAR(10), TRUE, A3203&amp;"";"", ARRAYFORMULA(VLOOKUP(SPLIT(S3203, "";"" &amp; CHAR(10)), $A:$AO, 41, FALSE)))))"),"VZCbP;")</f>
        <v>VZCbP;</v>
      </c>
      <c r="AP3203" s="89"/>
    </row>
    <row r="3204">
      <c r="A3204" s="151" t="str">
        <f>IFERROR(__xludf.DUMMYFUNCTION("""COMPUTED_VALUE"""),"CbS")</f>
        <v>CbS</v>
      </c>
      <c r="B3204" s="42" t="str">
        <f>IFERROR(__xludf.DUMMYFUNCTION("""COMPUTED_VALUE"""),"DHBA")</f>
        <v>DHBA</v>
      </c>
      <c r="C3204" s="42" t="str">
        <f>IFERROR(__xludf.DUMMYFUNCTION("""COMPUTED_VALUE"""),"cerebellar swelling")</f>
        <v>cerebellar swelling</v>
      </c>
      <c r="D3204" s="42">
        <f>IFERROR(__xludf.DUMMYFUNCTION("""COMPUTED_VALUE"""),3059.0)</f>
        <v>3059</v>
      </c>
      <c r="E3204" s="39" t="str">
        <f>IFERROR(__xludf.DUMMYFUNCTION("""COMPUTED_VALUE"""),"cerebellar swelling")</f>
        <v>cerebellar swelling</v>
      </c>
      <c r="F3204" s="9" t="str">
        <f>IFERROR(__xludf.DUMMYFUNCTION("""COMPUTED_VALUE"""),"Br")</f>
        <v>Br</v>
      </c>
      <c r="G3204" s="9" t="str">
        <f>IFERROR(__xludf.DUMMYFUNCTION("""COMPUTED_VALUE"""),"H")</f>
        <v>H</v>
      </c>
      <c r="H3204" s="9" t="str">
        <f>IFERROR(__xludf.DUMMYFUNCTION("""COMPUTED_VALUE"""),"HGM")</f>
        <v>HGM</v>
      </c>
      <c r="I3204" s="9" t="str">
        <f>IFERROR(__xludf.DUMMYFUNCTION("""COMPUTED_VALUE"""),"HTS")</f>
        <v>HTS</v>
      </c>
      <c r="J3204" s="9" t="str">
        <f>IFERROR(__xludf.DUMMYFUNCTION("""COMPUTED_VALUE"""),"CbS")</f>
        <v>CbS</v>
      </c>
      <c r="K3204" s="9"/>
      <c r="L3204" s="9"/>
      <c r="M3204" s="9"/>
      <c r="N3204" s="9"/>
      <c r="O3204" s="9"/>
      <c r="P3204" s="9"/>
      <c r="Q3204" s="9"/>
      <c r="R3204" s="9"/>
      <c r="S3204" s="42" t="str">
        <f>IFERROR(__xludf.DUMMYFUNCTION("""COMPUTED_VALUE"""),"CbSi;
CbSe")</f>
        <v>CbSi;
CbSe</v>
      </c>
      <c r="T3204" s="42"/>
      <c r="U3204" s="42" t="b">
        <f>IFERROR(__xludf.DUMMYFUNCTION("""COMPUTED_VALUE"""),FALSE)</f>
        <v>0</v>
      </c>
      <c r="V3204" s="42"/>
      <c r="W3204" s="42"/>
      <c r="X3204" s="42"/>
      <c r="Y3204" s="42"/>
      <c r="Z3204" s="42"/>
      <c r="AA3204" s="42"/>
      <c r="AB3204" s="42" t="str">
        <f>IFERROR(__xludf.DUMMYFUNCTION("""COMPUTED_VALUE"""),"allen institute")</f>
        <v>allen institute</v>
      </c>
      <c r="AC3204" s="42" t="str">
        <f>IFERROR(__xludf.DUMMYFUNCTION("""COMPUTED_VALUE"""),"DHBA")</f>
        <v>DHBA</v>
      </c>
      <c r="AD3204" s="42"/>
      <c r="AE3204" s="42"/>
      <c r="AF3204" s="9"/>
      <c r="AG3204" s="9"/>
      <c r="AH3204" s="42"/>
      <c r="AI3204" s="42"/>
      <c r="AJ3204" s="42"/>
      <c r="AK3204" s="42"/>
      <c r="AL3204" s="42"/>
      <c r="AM3204" s="42"/>
      <c r="AN3204" s="42"/>
      <c r="AO3204" s="63" t="str">
        <f>IFERROR(__xludf.DUMMYFUNCTION("IF(ISBLANK(A3204),,IF(ISBLANK(S3204), A3204&amp;"";"", TEXTJOIN(CHAR(10), TRUE, A3204&amp;"";"", ARRAYFORMULA(VLOOKUP(SPLIT(S3204, "";"" &amp; CHAR(10)), $A:$AO, 41, FALSE)))))"),"CbS;
CbSi;
CbSe;")</f>
        <v>CbS;
CbSi;
CbSe;</v>
      </c>
      <c r="AP3204" s="89"/>
    </row>
    <row r="3205">
      <c r="A3205" s="151" t="str">
        <f>IFERROR(__xludf.DUMMYFUNCTION("""COMPUTED_VALUE"""),"CbSi")</f>
        <v>CbSi</v>
      </c>
      <c r="B3205" s="42" t="str">
        <f>IFERROR(__xludf.DUMMYFUNCTION("""COMPUTED_VALUE"""),"DHBA")</f>
        <v>DHBA</v>
      </c>
      <c r="C3205" s="42" t="str">
        <f>IFERROR(__xludf.DUMMYFUNCTION("""COMPUTED_VALUE"""),"internal cerebellar swelling")</f>
        <v>internal cerebellar swelling</v>
      </c>
      <c r="D3205" s="42">
        <f>IFERROR(__xludf.DUMMYFUNCTION("""COMPUTED_VALUE"""),3060.0)</f>
        <v>3060</v>
      </c>
      <c r="E3205" s="39" t="str">
        <f>IFERROR(__xludf.DUMMYFUNCTION("""COMPUTED_VALUE"""),"internal cerebellar swelling")</f>
        <v>internal cerebellar swelling</v>
      </c>
      <c r="F3205" s="9" t="str">
        <f>IFERROR(__xludf.DUMMYFUNCTION("""COMPUTED_VALUE"""),"Br")</f>
        <v>Br</v>
      </c>
      <c r="G3205" s="9" t="str">
        <f>IFERROR(__xludf.DUMMYFUNCTION("""COMPUTED_VALUE"""),"H")</f>
        <v>H</v>
      </c>
      <c r="H3205" s="9" t="str">
        <f>IFERROR(__xludf.DUMMYFUNCTION("""COMPUTED_VALUE"""),"HGM")</f>
        <v>HGM</v>
      </c>
      <c r="I3205" s="9" t="str">
        <f>IFERROR(__xludf.DUMMYFUNCTION("""COMPUTED_VALUE"""),"HTS")</f>
        <v>HTS</v>
      </c>
      <c r="J3205" s="9" t="str">
        <f>IFERROR(__xludf.DUMMYFUNCTION("""COMPUTED_VALUE"""),"CbS")</f>
        <v>CbS</v>
      </c>
      <c r="K3205" s="9" t="str">
        <f>IFERROR(__xludf.DUMMYFUNCTION("""COMPUTED_VALUE"""),"CbSi")</f>
        <v>CbSi</v>
      </c>
      <c r="L3205" s="9"/>
      <c r="M3205" s="9"/>
      <c r="N3205" s="9"/>
      <c r="O3205" s="9"/>
      <c r="P3205" s="9"/>
      <c r="Q3205" s="9"/>
      <c r="R3205" s="9"/>
      <c r="S3205" s="42"/>
      <c r="T3205" s="42"/>
      <c r="U3205" s="42"/>
      <c r="V3205" s="42"/>
      <c r="W3205" s="42"/>
      <c r="X3205" s="42"/>
      <c r="Y3205" s="42"/>
      <c r="Z3205" s="42"/>
      <c r="AA3205" s="42"/>
      <c r="AB3205" s="42" t="str">
        <f>IFERROR(__xludf.DUMMYFUNCTION("""COMPUTED_VALUE"""),"allen institute")</f>
        <v>allen institute</v>
      </c>
      <c r="AC3205" s="42" t="str">
        <f>IFERROR(__xludf.DUMMYFUNCTION("""COMPUTED_VALUE"""),"DHBA")</f>
        <v>DHBA</v>
      </c>
      <c r="AD3205" s="42"/>
      <c r="AE3205" s="42"/>
      <c r="AF3205" s="9"/>
      <c r="AG3205" s="9"/>
      <c r="AH3205" s="42"/>
      <c r="AI3205" s="42"/>
      <c r="AJ3205" s="42"/>
      <c r="AK3205" s="42"/>
      <c r="AL3205" s="42"/>
      <c r="AM3205" s="42"/>
      <c r="AN3205" s="42"/>
      <c r="AO3205" s="63" t="str">
        <f>IFERROR(__xludf.DUMMYFUNCTION("IF(ISBLANK(A3205),,IF(ISBLANK(S3205), A3205&amp;"";"", TEXTJOIN(CHAR(10), TRUE, A3205&amp;"";"", ARRAYFORMULA(VLOOKUP(SPLIT(S3205, "";"" &amp; CHAR(10)), $A:$AO, 41, FALSE)))))"),"CbSi;")</f>
        <v>CbSi;</v>
      </c>
      <c r="AP3205" s="89"/>
    </row>
    <row r="3206">
      <c r="A3206" s="151" t="str">
        <f>IFERROR(__xludf.DUMMYFUNCTION("""COMPUTED_VALUE"""),"CbSe")</f>
        <v>CbSe</v>
      </c>
      <c r="B3206" s="42" t="str">
        <f>IFERROR(__xludf.DUMMYFUNCTION("""COMPUTED_VALUE"""),"DHBA")</f>
        <v>DHBA</v>
      </c>
      <c r="C3206" s="42" t="str">
        <f>IFERROR(__xludf.DUMMYFUNCTION("""COMPUTED_VALUE"""),"external cerebellar swelling")</f>
        <v>external cerebellar swelling</v>
      </c>
      <c r="D3206" s="42">
        <f>IFERROR(__xludf.DUMMYFUNCTION("""COMPUTED_VALUE"""),3061.0)</f>
        <v>3061</v>
      </c>
      <c r="E3206" s="39" t="str">
        <f>IFERROR(__xludf.DUMMYFUNCTION("""COMPUTED_VALUE"""),"external cerebellar swelling")</f>
        <v>external cerebellar swelling</v>
      </c>
      <c r="F3206" s="9" t="str">
        <f>IFERROR(__xludf.DUMMYFUNCTION("""COMPUTED_VALUE"""),"Br")</f>
        <v>Br</v>
      </c>
      <c r="G3206" s="9" t="str">
        <f>IFERROR(__xludf.DUMMYFUNCTION("""COMPUTED_VALUE"""),"H")</f>
        <v>H</v>
      </c>
      <c r="H3206" s="9" t="str">
        <f>IFERROR(__xludf.DUMMYFUNCTION("""COMPUTED_VALUE"""),"HGM")</f>
        <v>HGM</v>
      </c>
      <c r="I3206" s="9" t="str">
        <f>IFERROR(__xludf.DUMMYFUNCTION("""COMPUTED_VALUE"""),"HTS")</f>
        <v>HTS</v>
      </c>
      <c r="J3206" s="9" t="str">
        <f>IFERROR(__xludf.DUMMYFUNCTION("""COMPUTED_VALUE"""),"CbS")</f>
        <v>CbS</v>
      </c>
      <c r="K3206" s="9" t="str">
        <f>IFERROR(__xludf.DUMMYFUNCTION("""COMPUTED_VALUE"""),"CbSe")</f>
        <v>CbSe</v>
      </c>
      <c r="L3206" s="9"/>
      <c r="M3206" s="9"/>
      <c r="N3206" s="9"/>
      <c r="O3206" s="9"/>
      <c r="P3206" s="9"/>
      <c r="Q3206" s="9"/>
      <c r="R3206" s="9"/>
      <c r="S3206" s="42"/>
      <c r="T3206" s="42"/>
      <c r="U3206" s="42"/>
      <c r="V3206" s="42"/>
      <c r="W3206" s="42"/>
      <c r="X3206" s="42"/>
      <c r="Y3206" s="42"/>
      <c r="Z3206" s="42"/>
      <c r="AA3206" s="42"/>
      <c r="AB3206" s="42" t="str">
        <f>IFERROR(__xludf.DUMMYFUNCTION("""COMPUTED_VALUE"""),"allen institute")</f>
        <v>allen institute</v>
      </c>
      <c r="AC3206" s="42" t="str">
        <f>IFERROR(__xludf.DUMMYFUNCTION("""COMPUTED_VALUE"""),"DHBA")</f>
        <v>DHBA</v>
      </c>
      <c r="AD3206" s="42"/>
      <c r="AE3206" s="42"/>
      <c r="AF3206" s="9"/>
      <c r="AG3206" s="9"/>
      <c r="AH3206" s="42"/>
      <c r="AI3206" s="42"/>
      <c r="AJ3206" s="42"/>
      <c r="AK3206" s="42"/>
      <c r="AL3206" s="42"/>
      <c r="AM3206" s="42"/>
      <c r="AN3206" s="42"/>
      <c r="AO3206" s="63" t="str">
        <f>IFERROR(__xludf.DUMMYFUNCTION("IF(ISBLANK(A3206),,IF(ISBLANK(S3206), A3206&amp;"";"", TEXTJOIN(CHAR(10), TRUE, A3206&amp;"";"", ARRAYFORMULA(VLOOKUP(SPLIT(S3206, "";"" &amp; CHAR(10)), $A:$AO, 41, FALSE)))))"),"CbSe;")</f>
        <v>CbSe;</v>
      </c>
      <c r="AP3206" s="89"/>
    </row>
    <row r="3207">
      <c r="A3207" s="151" t="str">
        <f>IFERROR(__xludf.DUMMYFUNCTION("""COMPUTED_VALUE"""),"HNM")</f>
        <v>HNM</v>
      </c>
      <c r="B3207" s="42" t="str">
        <f>IFERROR(__xludf.DUMMYFUNCTION("""COMPUTED_VALUE"""),"DHBA")</f>
        <v>DHBA</v>
      </c>
      <c r="C3207" s="42" t="str">
        <f>IFERROR(__xludf.DUMMYFUNCTION("""COMPUTED_VALUE"""),"hindbrain neuromeres")</f>
        <v>hindbrain neuromeres</v>
      </c>
      <c r="D3207" s="42">
        <f>IFERROR(__xludf.DUMMYFUNCTION("""COMPUTED_VALUE"""),3062.0)</f>
        <v>3062</v>
      </c>
      <c r="E3207" s="39" t="str">
        <f>IFERROR(__xludf.DUMMYFUNCTION("""COMPUTED_VALUE"""),"hindbrain neuromeres")</f>
        <v>hindbrain neuromeres</v>
      </c>
      <c r="F3207" s="9" t="str">
        <f>IFERROR(__xludf.DUMMYFUNCTION("""COMPUTED_VALUE"""),"Br")</f>
        <v>Br</v>
      </c>
      <c r="G3207" s="9" t="str">
        <f>IFERROR(__xludf.DUMMYFUNCTION("""COMPUTED_VALUE"""),"H")</f>
        <v>H</v>
      </c>
      <c r="H3207" s="9" t="str">
        <f>IFERROR(__xludf.DUMMYFUNCTION("""COMPUTED_VALUE"""),"HGM")</f>
        <v>HGM</v>
      </c>
      <c r="I3207" s="9" t="str">
        <f>IFERROR(__xludf.DUMMYFUNCTION("""COMPUTED_VALUE"""),"HTS")</f>
        <v>HTS</v>
      </c>
      <c r="J3207" s="9" t="str">
        <f>IFERROR(__xludf.DUMMYFUNCTION("""COMPUTED_VALUE"""),"HNM")</f>
        <v>HNM</v>
      </c>
      <c r="K3207" s="9"/>
      <c r="L3207" s="9"/>
      <c r="M3207" s="9"/>
      <c r="N3207" s="9"/>
      <c r="O3207" s="9"/>
      <c r="P3207" s="9"/>
      <c r="Q3207" s="9"/>
      <c r="R3207" s="9"/>
      <c r="S3207" s="42" t="str">
        <f>IFERROR(__xludf.DUMMYFUNCTION("""COMPUTED_VALUE"""),"RhIS;
RhA;
RhB;
RhC;
RhD")</f>
        <v>RhIS;
RhA;
RhB;
RhC;
RhD</v>
      </c>
      <c r="T3207" s="42"/>
      <c r="U3207" s="42" t="b">
        <f>IFERROR(__xludf.DUMMYFUNCTION("""COMPUTED_VALUE"""),FALSE)</f>
        <v>0</v>
      </c>
      <c r="V3207" s="42"/>
      <c r="W3207" s="42"/>
      <c r="X3207" s="42"/>
      <c r="Y3207" s="42"/>
      <c r="Z3207" s="42"/>
      <c r="AA3207" s="42"/>
      <c r="AB3207" s="42" t="str">
        <f>IFERROR(__xludf.DUMMYFUNCTION("""COMPUTED_VALUE"""),"allen institute")</f>
        <v>allen institute</v>
      </c>
      <c r="AC3207" s="42" t="str">
        <f>IFERROR(__xludf.DUMMYFUNCTION("""COMPUTED_VALUE"""),"DHBA")</f>
        <v>DHBA</v>
      </c>
      <c r="AD3207" s="42"/>
      <c r="AE3207" s="42"/>
      <c r="AF3207" s="9"/>
      <c r="AG3207" s="9"/>
      <c r="AH3207" s="42"/>
      <c r="AI3207" s="42"/>
      <c r="AJ3207" s="42"/>
      <c r="AK3207" s="42"/>
      <c r="AL3207" s="42"/>
      <c r="AM3207" s="42"/>
      <c r="AN3207" s="42"/>
      <c r="AO3207" s="63" t="str">
        <f>IFERROR(__xludf.DUMMYFUNCTION("IF(ISBLANK(A3207),,IF(ISBLANK(S3207), A3207&amp;"";"", TEXTJOIN(CHAR(10), TRUE, A3207&amp;"";"", ARRAYFORMULA(VLOOKUP(SPLIT(S3207, "";"" &amp; CHAR(10)), $A:$AO, 41, FALSE)))))"),"HNM;
RhIS;
RhA;
Rh1;
Rh2;
Rh3;
RhB;
Rh4;
RhC;
Rh5;
Rh6;
Rh7;
RhD;
Rh8;")</f>
        <v>HNM;
RhIS;
RhA;
Rh1;
Rh2;
Rh3;
RhB;
Rh4;
RhC;
Rh5;
Rh6;
Rh7;
RhD;
Rh8;</v>
      </c>
      <c r="AP3207" s="89"/>
    </row>
    <row r="3208">
      <c r="A3208" s="151" t="str">
        <f>IFERROR(__xludf.DUMMYFUNCTION("""COMPUTED_VALUE"""),"RhIS")</f>
        <v>RhIS</v>
      </c>
      <c r="B3208" s="42" t="str">
        <f>IFERROR(__xludf.DUMMYFUNCTION("""COMPUTED_VALUE"""),"DHBA")</f>
        <v>DHBA</v>
      </c>
      <c r="C3208" s="42" t="str">
        <f>IFERROR(__xludf.DUMMYFUNCTION("""COMPUTED_VALUE"""),"rhombencephalic isthmus")</f>
        <v>rhombencephalic isthmus</v>
      </c>
      <c r="D3208" s="42">
        <f>IFERROR(__xludf.DUMMYFUNCTION("""COMPUTED_VALUE"""),3063.0)</f>
        <v>3063</v>
      </c>
      <c r="E3208" s="39" t="str">
        <f>IFERROR(__xludf.DUMMYFUNCTION("""COMPUTED_VALUE"""),"rhombencephalic isthmus")</f>
        <v>rhombencephalic isthmus</v>
      </c>
      <c r="F3208" s="9" t="str">
        <f>IFERROR(__xludf.DUMMYFUNCTION("""COMPUTED_VALUE"""),"Br")</f>
        <v>Br</v>
      </c>
      <c r="G3208" s="9" t="str">
        <f>IFERROR(__xludf.DUMMYFUNCTION("""COMPUTED_VALUE"""),"H")</f>
        <v>H</v>
      </c>
      <c r="H3208" s="9" t="str">
        <f>IFERROR(__xludf.DUMMYFUNCTION("""COMPUTED_VALUE"""),"HGM")</f>
        <v>HGM</v>
      </c>
      <c r="I3208" s="9" t="str">
        <f>IFERROR(__xludf.DUMMYFUNCTION("""COMPUTED_VALUE"""),"HTS")</f>
        <v>HTS</v>
      </c>
      <c r="J3208" s="9" t="str">
        <f>IFERROR(__xludf.DUMMYFUNCTION("""COMPUTED_VALUE"""),"HNM")</f>
        <v>HNM</v>
      </c>
      <c r="K3208" s="9" t="str">
        <f>IFERROR(__xludf.DUMMYFUNCTION("""COMPUTED_VALUE"""),"RhIS")</f>
        <v>RhIS</v>
      </c>
      <c r="L3208" s="9"/>
      <c r="M3208" s="9"/>
      <c r="N3208" s="9"/>
      <c r="O3208" s="9"/>
      <c r="P3208" s="9"/>
      <c r="Q3208" s="9"/>
      <c r="R3208" s="9"/>
      <c r="S3208" s="42"/>
      <c r="T3208" s="42"/>
      <c r="U3208" s="42"/>
      <c r="V3208" s="42"/>
      <c r="W3208" s="42"/>
      <c r="X3208" s="42"/>
      <c r="Y3208" s="42"/>
      <c r="Z3208" s="42"/>
      <c r="AA3208" s="42"/>
      <c r="AB3208" s="42" t="str">
        <f>IFERROR(__xludf.DUMMYFUNCTION("""COMPUTED_VALUE"""),"allen institute")</f>
        <v>allen institute</v>
      </c>
      <c r="AC3208" s="42" t="str">
        <f>IFERROR(__xludf.DUMMYFUNCTION("""COMPUTED_VALUE"""),"DHBA")</f>
        <v>DHBA</v>
      </c>
      <c r="AD3208" s="42"/>
      <c r="AE3208" s="42"/>
      <c r="AF3208" s="9"/>
      <c r="AG3208" s="9"/>
      <c r="AH3208" s="42"/>
      <c r="AI3208" s="42"/>
      <c r="AJ3208" s="42"/>
      <c r="AK3208" s="42"/>
      <c r="AL3208" s="42"/>
      <c r="AM3208" s="42"/>
      <c r="AN3208" s="42"/>
      <c r="AO3208" s="63" t="str">
        <f>IFERROR(__xludf.DUMMYFUNCTION("IF(ISBLANK(A3208),,IF(ISBLANK(S3208), A3208&amp;"";"", TEXTJOIN(CHAR(10), TRUE, A3208&amp;"";"", ARRAYFORMULA(VLOOKUP(SPLIT(S3208, "";"" &amp; CHAR(10)), $A:$AO, 41, FALSE)))))"),"RhIS;")</f>
        <v>RhIS;</v>
      </c>
      <c r="AP3208" s="89"/>
    </row>
    <row r="3209">
      <c r="A3209" s="151" t="str">
        <f>IFERROR(__xludf.DUMMYFUNCTION("""COMPUTED_VALUE"""),"RhA")</f>
        <v>RhA</v>
      </c>
      <c r="B3209" s="42" t="str">
        <f>IFERROR(__xludf.DUMMYFUNCTION("""COMPUTED_VALUE"""),"DHBA")</f>
        <v>DHBA</v>
      </c>
      <c r="C3209" s="42" t="str">
        <f>IFERROR(__xludf.DUMMYFUNCTION("""COMPUTED_VALUE"""),"rhombomere A")</f>
        <v>rhombomere A</v>
      </c>
      <c r="D3209" s="42">
        <f>IFERROR(__xludf.DUMMYFUNCTION("""COMPUTED_VALUE"""),3064.0)</f>
        <v>3064</v>
      </c>
      <c r="E3209" s="39" t="str">
        <f>IFERROR(__xludf.DUMMYFUNCTION("""COMPUTED_VALUE"""),"rhombomere A")</f>
        <v>rhombomere A</v>
      </c>
      <c r="F3209" s="9" t="str">
        <f>IFERROR(__xludf.DUMMYFUNCTION("""COMPUTED_VALUE"""),"Br")</f>
        <v>Br</v>
      </c>
      <c r="G3209" s="9" t="str">
        <f>IFERROR(__xludf.DUMMYFUNCTION("""COMPUTED_VALUE"""),"H")</f>
        <v>H</v>
      </c>
      <c r="H3209" s="9" t="str">
        <f>IFERROR(__xludf.DUMMYFUNCTION("""COMPUTED_VALUE"""),"HGM")</f>
        <v>HGM</v>
      </c>
      <c r="I3209" s="9" t="str">
        <f>IFERROR(__xludf.DUMMYFUNCTION("""COMPUTED_VALUE"""),"HTS")</f>
        <v>HTS</v>
      </c>
      <c r="J3209" s="9" t="str">
        <f>IFERROR(__xludf.DUMMYFUNCTION("""COMPUTED_VALUE"""),"HNM")</f>
        <v>HNM</v>
      </c>
      <c r="K3209" s="9" t="str">
        <f>IFERROR(__xludf.DUMMYFUNCTION("""COMPUTED_VALUE"""),"RhA")</f>
        <v>RhA</v>
      </c>
      <c r="L3209" s="9"/>
      <c r="M3209" s="9"/>
      <c r="N3209" s="9"/>
      <c r="O3209" s="9"/>
      <c r="P3209" s="9"/>
      <c r="Q3209" s="9"/>
      <c r="R3209" s="9"/>
      <c r="S3209" s="42" t="str">
        <f>IFERROR(__xludf.DUMMYFUNCTION("""COMPUTED_VALUE"""),"Rh1;
Rh2;
Rh3")</f>
        <v>Rh1;
Rh2;
Rh3</v>
      </c>
      <c r="T3209" s="42"/>
      <c r="U3209" s="42" t="b">
        <f>IFERROR(__xludf.DUMMYFUNCTION("""COMPUTED_VALUE"""),FALSE)</f>
        <v>0</v>
      </c>
      <c r="V3209" s="42"/>
      <c r="W3209" s="42"/>
      <c r="X3209" s="42"/>
      <c r="Y3209" s="42"/>
      <c r="Z3209" s="42"/>
      <c r="AA3209" s="42"/>
      <c r="AB3209" s="42" t="str">
        <f>IFERROR(__xludf.DUMMYFUNCTION("""COMPUTED_VALUE"""),"allen institute")</f>
        <v>allen institute</v>
      </c>
      <c r="AC3209" s="42" t="str">
        <f>IFERROR(__xludf.DUMMYFUNCTION("""COMPUTED_VALUE"""),"DHBA")</f>
        <v>DHBA</v>
      </c>
      <c r="AD3209" s="42"/>
      <c r="AE3209" s="42"/>
      <c r="AF3209" s="9"/>
      <c r="AG3209" s="9"/>
      <c r="AH3209" s="42"/>
      <c r="AI3209" s="42"/>
      <c r="AJ3209" s="42"/>
      <c r="AK3209" s="42"/>
      <c r="AL3209" s="42"/>
      <c r="AM3209" s="42"/>
      <c r="AN3209" s="42"/>
      <c r="AO3209" s="63" t="str">
        <f>IFERROR(__xludf.DUMMYFUNCTION("IF(ISBLANK(A3209),,IF(ISBLANK(S3209), A3209&amp;"";"", TEXTJOIN(CHAR(10), TRUE, A3209&amp;"";"", ARRAYFORMULA(VLOOKUP(SPLIT(S3209, "";"" &amp; CHAR(10)), $A:$AO, 41, FALSE)))))"),"RhA;
Rh1;
Rh2;
Rh3;")</f>
        <v>RhA;
Rh1;
Rh2;
Rh3;</v>
      </c>
      <c r="AP3209" s="89"/>
    </row>
    <row r="3210">
      <c r="A3210" s="151" t="str">
        <f>IFERROR(__xludf.DUMMYFUNCTION("""COMPUTED_VALUE"""),"Rh1")</f>
        <v>Rh1</v>
      </c>
      <c r="B3210" s="42" t="str">
        <f>IFERROR(__xludf.DUMMYFUNCTION("""COMPUTED_VALUE"""),"DHBA")</f>
        <v>DHBA</v>
      </c>
      <c r="C3210" s="42" t="str">
        <f>IFERROR(__xludf.DUMMYFUNCTION("""COMPUTED_VALUE"""),"rhombomere 1")</f>
        <v>rhombomere 1</v>
      </c>
      <c r="D3210" s="42">
        <f>IFERROR(__xludf.DUMMYFUNCTION("""COMPUTED_VALUE"""),3065.0)</f>
        <v>3065</v>
      </c>
      <c r="E3210" s="39" t="str">
        <f>IFERROR(__xludf.DUMMYFUNCTION("""COMPUTED_VALUE"""),"rhombomere 1")</f>
        <v>rhombomere 1</v>
      </c>
      <c r="F3210" s="9" t="str">
        <f>IFERROR(__xludf.DUMMYFUNCTION("""COMPUTED_VALUE"""),"Br")</f>
        <v>Br</v>
      </c>
      <c r="G3210" s="9" t="str">
        <f>IFERROR(__xludf.DUMMYFUNCTION("""COMPUTED_VALUE"""),"H")</f>
        <v>H</v>
      </c>
      <c r="H3210" s="9" t="str">
        <f>IFERROR(__xludf.DUMMYFUNCTION("""COMPUTED_VALUE"""),"HGM")</f>
        <v>HGM</v>
      </c>
      <c r="I3210" s="9" t="str">
        <f>IFERROR(__xludf.DUMMYFUNCTION("""COMPUTED_VALUE"""),"HTS")</f>
        <v>HTS</v>
      </c>
      <c r="J3210" s="9" t="str">
        <f>IFERROR(__xludf.DUMMYFUNCTION("""COMPUTED_VALUE"""),"HNM")</f>
        <v>HNM</v>
      </c>
      <c r="K3210" s="9" t="str">
        <f>IFERROR(__xludf.DUMMYFUNCTION("""COMPUTED_VALUE"""),"RhA")</f>
        <v>RhA</v>
      </c>
      <c r="L3210" s="9" t="str">
        <f>IFERROR(__xludf.DUMMYFUNCTION("""COMPUTED_VALUE"""),"Rh1")</f>
        <v>Rh1</v>
      </c>
      <c r="M3210" s="9"/>
      <c r="N3210" s="9"/>
      <c r="O3210" s="9"/>
      <c r="P3210" s="9"/>
      <c r="Q3210" s="9"/>
      <c r="R3210" s="9"/>
      <c r="S3210" s="42"/>
      <c r="T3210" s="42"/>
      <c r="U3210" s="42"/>
      <c r="V3210" s="42"/>
      <c r="W3210" s="42"/>
      <c r="X3210" s="42"/>
      <c r="Y3210" s="42"/>
      <c r="Z3210" s="42"/>
      <c r="AA3210" s="42"/>
      <c r="AB3210" s="42" t="str">
        <f>IFERROR(__xludf.DUMMYFUNCTION("""COMPUTED_VALUE"""),"allen institute")</f>
        <v>allen institute</v>
      </c>
      <c r="AC3210" s="42" t="str">
        <f>IFERROR(__xludf.DUMMYFUNCTION("""COMPUTED_VALUE"""),"DHBA")</f>
        <v>DHBA</v>
      </c>
      <c r="AD3210" s="42"/>
      <c r="AE3210" s="42"/>
      <c r="AF3210" s="9"/>
      <c r="AG3210" s="9"/>
      <c r="AH3210" s="42"/>
      <c r="AI3210" s="42"/>
      <c r="AJ3210" s="42"/>
      <c r="AK3210" s="42"/>
      <c r="AL3210" s="42"/>
      <c r="AM3210" s="42"/>
      <c r="AN3210" s="42"/>
      <c r="AO3210" s="63" t="str">
        <f>IFERROR(__xludf.DUMMYFUNCTION("IF(ISBLANK(A3210),,IF(ISBLANK(S3210), A3210&amp;"";"", TEXTJOIN(CHAR(10), TRUE, A3210&amp;"";"", ARRAYFORMULA(VLOOKUP(SPLIT(S3210, "";"" &amp; CHAR(10)), $A:$AO, 41, FALSE)))))"),"Rh1;")</f>
        <v>Rh1;</v>
      </c>
      <c r="AP3210" s="89"/>
    </row>
    <row r="3211">
      <c r="A3211" s="151" t="str">
        <f>IFERROR(__xludf.DUMMYFUNCTION("""COMPUTED_VALUE"""),"Rh2")</f>
        <v>Rh2</v>
      </c>
      <c r="B3211" s="42" t="str">
        <f>IFERROR(__xludf.DUMMYFUNCTION("""COMPUTED_VALUE"""),"DHBA")</f>
        <v>DHBA</v>
      </c>
      <c r="C3211" s="42" t="str">
        <f>IFERROR(__xludf.DUMMYFUNCTION("""COMPUTED_VALUE"""),"rhombomere 2")</f>
        <v>rhombomere 2</v>
      </c>
      <c r="D3211" s="42">
        <f>IFERROR(__xludf.DUMMYFUNCTION("""COMPUTED_VALUE"""),3066.0)</f>
        <v>3066</v>
      </c>
      <c r="E3211" s="39" t="str">
        <f>IFERROR(__xludf.DUMMYFUNCTION("""COMPUTED_VALUE"""),"rhombomere 2")</f>
        <v>rhombomere 2</v>
      </c>
      <c r="F3211" s="9" t="str">
        <f>IFERROR(__xludf.DUMMYFUNCTION("""COMPUTED_VALUE"""),"Br")</f>
        <v>Br</v>
      </c>
      <c r="G3211" s="9" t="str">
        <f>IFERROR(__xludf.DUMMYFUNCTION("""COMPUTED_VALUE"""),"H")</f>
        <v>H</v>
      </c>
      <c r="H3211" s="9" t="str">
        <f>IFERROR(__xludf.DUMMYFUNCTION("""COMPUTED_VALUE"""),"HGM")</f>
        <v>HGM</v>
      </c>
      <c r="I3211" s="9" t="str">
        <f>IFERROR(__xludf.DUMMYFUNCTION("""COMPUTED_VALUE"""),"HTS")</f>
        <v>HTS</v>
      </c>
      <c r="J3211" s="9" t="str">
        <f>IFERROR(__xludf.DUMMYFUNCTION("""COMPUTED_VALUE"""),"HNM")</f>
        <v>HNM</v>
      </c>
      <c r="K3211" s="9" t="str">
        <f>IFERROR(__xludf.DUMMYFUNCTION("""COMPUTED_VALUE"""),"RhA")</f>
        <v>RhA</v>
      </c>
      <c r="L3211" s="9" t="str">
        <f>IFERROR(__xludf.DUMMYFUNCTION("""COMPUTED_VALUE"""),"Rh2")</f>
        <v>Rh2</v>
      </c>
      <c r="M3211" s="9"/>
      <c r="N3211" s="9"/>
      <c r="O3211" s="9"/>
      <c r="P3211" s="9"/>
      <c r="Q3211" s="9"/>
      <c r="R3211" s="9"/>
      <c r="S3211" s="42"/>
      <c r="T3211" s="42"/>
      <c r="U3211" s="42"/>
      <c r="V3211" s="42"/>
      <c r="W3211" s="42"/>
      <c r="X3211" s="42"/>
      <c r="Y3211" s="42"/>
      <c r="Z3211" s="42"/>
      <c r="AA3211" s="42"/>
      <c r="AB3211" s="42" t="str">
        <f>IFERROR(__xludf.DUMMYFUNCTION("""COMPUTED_VALUE"""),"allen institute")</f>
        <v>allen institute</v>
      </c>
      <c r="AC3211" s="42" t="str">
        <f>IFERROR(__xludf.DUMMYFUNCTION("""COMPUTED_VALUE"""),"DHBA")</f>
        <v>DHBA</v>
      </c>
      <c r="AD3211" s="42"/>
      <c r="AE3211" s="42"/>
      <c r="AF3211" s="9"/>
      <c r="AG3211" s="9"/>
      <c r="AH3211" s="42"/>
      <c r="AI3211" s="42"/>
      <c r="AJ3211" s="42"/>
      <c r="AK3211" s="42"/>
      <c r="AL3211" s="42"/>
      <c r="AM3211" s="42"/>
      <c r="AN3211" s="42"/>
      <c r="AO3211" s="63" t="str">
        <f>IFERROR(__xludf.DUMMYFUNCTION("IF(ISBLANK(A3211),,IF(ISBLANK(S3211), A3211&amp;"";"", TEXTJOIN(CHAR(10), TRUE, A3211&amp;"";"", ARRAYFORMULA(VLOOKUP(SPLIT(S3211, "";"" &amp; CHAR(10)), $A:$AO, 41, FALSE)))))"),"Rh2;")</f>
        <v>Rh2;</v>
      </c>
      <c r="AP3211" s="89"/>
    </row>
    <row r="3212">
      <c r="A3212" s="151" t="str">
        <f>IFERROR(__xludf.DUMMYFUNCTION("""COMPUTED_VALUE"""),"Rh3")</f>
        <v>Rh3</v>
      </c>
      <c r="B3212" s="42" t="str">
        <f>IFERROR(__xludf.DUMMYFUNCTION("""COMPUTED_VALUE"""),"DHBA")</f>
        <v>DHBA</v>
      </c>
      <c r="C3212" s="42" t="str">
        <f>IFERROR(__xludf.DUMMYFUNCTION("""COMPUTED_VALUE"""),"rhombomere 3")</f>
        <v>rhombomere 3</v>
      </c>
      <c r="D3212" s="42">
        <f>IFERROR(__xludf.DUMMYFUNCTION("""COMPUTED_VALUE"""),3067.0)</f>
        <v>3067</v>
      </c>
      <c r="E3212" s="39" t="str">
        <f>IFERROR(__xludf.DUMMYFUNCTION("""COMPUTED_VALUE"""),"rhombomere 3")</f>
        <v>rhombomere 3</v>
      </c>
      <c r="F3212" s="9" t="str">
        <f>IFERROR(__xludf.DUMMYFUNCTION("""COMPUTED_VALUE"""),"Br")</f>
        <v>Br</v>
      </c>
      <c r="G3212" s="9" t="str">
        <f>IFERROR(__xludf.DUMMYFUNCTION("""COMPUTED_VALUE"""),"H")</f>
        <v>H</v>
      </c>
      <c r="H3212" s="9" t="str">
        <f>IFERROR(__xludf.DUMMYFUNCTION("""COMPUTED_VALUE"""),"HGM")</f>
        <v>HGM</v>
      </c>
      <c r="I3212" s="9" t="str">
        <f>IFERROR(__xludf.DUMMYFUNCTION("""COMPUTED_VALUE"""),"HTS")</f>
        <v>HTS</v>
      </c>
      <c r="J3212" s="9" t="str">
        <f>IFERROR(__xludf.DUMMYFUNCTION("""COMPUTED_VALUE"""),"HNM")</f>
        <v>HNM</v>
      </c>
      <c r="K3212" s="9" t="str">
        <f>IFERROR(__xludf.DUMMYFUNCTION("""COMPUTED_VALUE"""),"RhA")</f>
        <v>RhA</v>
      </c>
      <c r="L3212" s="9" t="str">
        <f>IFERROR(__xludf.DUMMYFUNCTION("""COMPUTED_VALUE"""),"Rh3")</f>
        <v>Rh3</v>
      </c>
      <c r="M3212" s="9"/>
      <c r="N3212" s="9"/>
      <c r="O3212" s="9"/>
      <c r="P3212" s="9"/>
      <c r="Q3212" s="9"/>
      <c r="R3212" s="9"/>
      <c r="S3212" s="42"/>
      <c r="T3212" s="42"/>
      <c r="U3212" s="42"/>
      <c r="V3212" s="42"/>
      <c r="W3212" s="42"/>
      <c r="X3212" s="42"/>
      <c r="Y3212" s="42"/>
      <c r="Z3212" s="42"/>
      <c r="AA3212" s="42"/>
      <c r="AB3212" s="42" t="str">
        <f>IFERROR(__xludf.DUMMYFUNCTION("""COMPUTED_VALUE"""),"allen institute")</f>
        <v>allen institute</v>
      </c>
      <c r="AC3212" s="42" t="str">
        <f>IFERROR(__xludf.DUMMYFUNCTION("""COMPUTED_VALUE"""),"DHBA")</f>
        <v>DHBA</v>
      </c>
      <c r="AD3212" s="42"/>
      <c r="AE3212" s="42"/>
      <c r="AF3212" s="9"/>
      <c r="AG3212" s="9"/>
      <c r="AH3212" s="42"/>
      <c r="AI3212" s="42"/>
      <c r="AJ3212" s="42"/>
      <c r="AK3212" s="42"/>
      <c r="AL3212" s="42"/>
      <c r="AM3212" s="42"/>
      <c r="AN3212" s="42"/>
      <c r="AO3212" s="63" t="str">
        <f>IFERROR(__xludf.DUMMYFUNCTION("IF(ISBLANK(A3212),,IF(ISBLANK(S3212), A3212&amp;"";"", TEXTJOIN(CHAR(10), TRUE, A3212&amp;"";"", ARRAYFORMULA(VLOOKUP(SPLIT(S3212, "";"" &amp; CHAR(10)), $A:$AO, 41, FALSE)))))"),"Rh3;")</f>
        <v>Rh3;</v>
      </c>
      <c r="AP3212" s="89"/>
    </row>
    <row r="3213">
      <c r="A3213" s="151" t="str">
        <f>IFERROR(__xludf.DUMMYFUNCTION("""COMPUTED_VALUE"""),"RhB")</f>
        <v>RhB</v>
      </c>
      <c r="B3213" s="42" t="str">
        <f>IFERROR(__xludf.DUMMYFUNCTION("""COMPUTED_VALUE"""),"DHBA")</f>
        <v>DHBA</v>
      </c>
      <c r="C3213" s="42" t="str">
        <f>IFERROR(__xludf.DUMMYFUNCTION("""COMPUTED_VALUE"""),"rhombomere B")</f>
        <v>rhombomere B</v>
      </c>
      <c r="D3213" s="42">
        <f>IFERROR(__xludf.DUMMYFUNCTION("""COMPUTED_VALUE"""),3068.0)</f>
        <v>3068</v>
      </c>
      <c r="E3213" s="39" t="str">
        <f>IFERROR(__xludf.DUMMYFUNCTION("""COMPUTED_VALUE"""),"rhombomere B")</f>
        <v>rhombomere B</v>
      </c>
      <c r="F3213" s="9" t="str">
        <f>IFERROR(__xludf.DUMMYFUNCTION("""COMPUTED_VALUE"""),"Br")</f>
        <v>Br</v>
      </c>
      <c r="G3213" s="9" t="str">
        <f>IFERROR(__xludf.DUMMYFUNCTION("""COMPUTED_VALUE"""),"H")</f>
        <v>H</v>
      </c>
      <c r="H3213" s="9" t="str">
        <f>IFERROR(__xludf.DUMMYFUNCTION("""COMPUTED_VALUE"""),"HGM")</f>
        <v>HGM</v>
      </c>
      <c r="I3213" s="9" t="str">
        <f>IFERROR(__xludf.DUMMYFUNCTION("""COMPUTED_VALUE"""),"HTS")</f>
        <v>HTS</v>
      </c>
      <c r="J3213" s="9" t="str">
        <f>IFERROR(__xludf.DUMMYFUNCTION("""COMPUTED_VALUE"""),"HNM")</f>
        <v>HNM</v>
      </c>
      <c r="K3213" s="9" t="str">
        <f>IFERROR(__xludf.DUMMYFUNCTION("""COMPUTED_VALUE"""),"RhB")</f>
        <v>RhB</v>
      </c>
      <c r="L3213" s="9"/>
      <c r="M3213" s="9"/>
      <c r="N3213" s="9"/>
      <c r="O3213" s="9"/>
      <c r="P3213" s="9"/>
      <c r="Q3213" s="9"/>
      <c r="R3213" s="9"/>
      <c r="S3213" s="42" t="str">
        <f>IFERROR(__xludf.DUMMYFUNCTION("""COMPUTED_VALUE"""),"Rh4")</f>
        <v>Rh4</v>
      </c>
      <c r="T3213" s="42"/>
      <c r="U3213" s="42" t="b">
        <f>IFERROR(__xludf.DUMMYFUNCTION("""COMPUTED_VALUE"""),FALSE)</f>
        <v>0</v>
      </c>
      <c r="V3213" s="42"/>
      <c r="W3213" s="42"/>
      <c r="X3213" s="42"/>
      <c r="Y3213" s="42"/>
      <c r="Z3213" s="42"/>
      <c r="AA3213" s="42"/>
      <c r="AB3213" s="42" t="str">
        <f>IFERROR(__xludf.DUMMYFUNCTION("""COMPUTED_VALUE"""),"allen institute")</f>
        <v>allen institute</v>
      </c>
      <c r="AC3213" s="42" t="str">
        <f>IFERROR(__xludf.DUMMYFUNCTION("""COMPUTED_VALUE"""),"DHBA")</f>
        <v>DHBA</v>
      </c>
      <c r="AD3213" s="42"/>
      <c r="AE3213" s="42"/>
      <c r="AF3213" s="9"/>
      <c r="AG3213" s="9"/>
      <c r="AH3213" s="42"/>
      <c r="AI3213" s="42"/>
      <c r="AJ3213" s="42"/>
      <c r="AK3213" s="42"/>
      <c r="AL3213" s="42"/>
      <c r="AM3213" s="42"/>
      <c r="AN3213" s="42"/>
      <c r="AO3213" s="63" t="str">
        <f>IFERROR(__xludf.DUMMYFUNCTION("IF(ISBLANK(A3213),,IF(ISBLANK(S3213), A3213&amp;"";"", TEXTJOIN(CHAR(10), TRUE, A3213&amp;"";"", ARRAYFORMULA(VLOOKUP(SPLIT(S3213, "";"" &amp; CHAR(10)), $A:$AO, 41, FALSE)))))"),"RhB;
Rh4;")</f>
        <v>RhB;
Rh4;</v>
      </c>
      <c r="AP3213" s="89"/>
    </row>
    <row r="3214">
      <c r="A3214" s="151" t="str">
        <f>IFERROR(__xludf.DUMMYFUNCTION("""COMPUTED_VALUE"""),"Rh4")</f>
        <v>Rh4</v>
      </c>
      <c r="B3214" s="42" t="str">
        <f>IFERROR(__xludf.DUMMYFUNCTION("""COMPUTED_VALUE"""),"DHBA")</f>
        <v>DHBA</v>
      </c>
      <c r="C3214" s="42" t="str">
        <f>IFERROR(__xludf.DUMMYFUNCTION("""COMPUTED_VALUE"""),"rhombomere 4")</f>
        <v>rhombomere 4</v>
      </c>
      <c r="D3214" s="42">
        <f>IFERROR(__xludf.DUMMYFUNCTION("""COMPUTED_VALUE"""),3069.0)</f>
        <v>3069</v>
      </c>
      <c r="E3214" s="39" t="str">
        <f>IFERROR(__xludf.DUMMYFUNCTION("""COMPUTED_VALUE"""),"rhombomere 4")</f>
        <v>rhombomere 4</v>
      </c>
      <c r="F3214" s="9" t="str">
        <f>IFERROR(__xludf.DUMMYFUNCTION("""COMPUTED_VALUE"""),"Br")</f>
        <v>Br</v>
      </c>
      <c r="G3214" s="9" t="str">
        <f>IFERROR(__xludf.DUMMYFUNCTION("""COMPUTED_VALUE"""),"H")</f>
        <v>H</v>
      </c>
      <c r="H3214" s="9" t="str">
        <f>IFERROR(__xludf.DUMMYFUNCTION("""COMPUTED_VALUE"""),"HGM")</f>
        <v>HGM</v>
      </c>
      <c r="I3214" s="9" t="str">
        <f>IFERROR(__xludf.DUMMYFUNCTION("""COMPUTED_VALUE"""),"HTS")</f>
        <v>HTS</v>
      </c>
      <c r="J3214" s="9" t="str">
        <f>IFERROR(__xludf.DUMMYFUNCTION("""COMPUTED_VALUE"""),"HNM")</f>
        <v>HNM</v>
      </c>
      <c r="K3214" s="9" t="str">
        <f>IFERROR(__xludf.DUMMYFUNCTION("""COMPUTED_VALUE"""),"RhB")</f>
        <v>RhB</v>
      </c>
      <c r="L3214" s="9" t="str">
        <f>IFERROR(__xludf.DUMMYFUNCTION("""COMPUTED_VALUE"""),"Rh4")</f>
        <v>Rh4</v>
      </c>
      <c r="M3214" s="9"/>
      <c r="N3214" s="9"/>
      <c r="O3214" s="9"/>
      <c r="P3214" s="9"/>
      <c r="Q3214" s="9"/>
      <c r="R3214" s="9"/>
      <c r="S3214" s="42"/>
      <c r="T3214" s="42"/>
      <c r="U3214" s="42"/>
      <c r="V3214" s="42"/>
      <c r="W3214" s="42"/>
      <c r="X3214" s="42"/>
      <c r="Y3214" s="42"/>
      <c r="Z3214" s="42"/>
      <c r="AA3214" s="42"/>
      <c r="AB3214" s="42" t="str">
        <f>IFERROR(__xludf.DUMMYFUNCTION("""COMPUTED_VALUE"""),"allen institute")</f>
        <v>allen institute</v>
      </c>
      <c r="AC3214" s="42" t="str">
        <f>IFERROR(__xludf.DUMMYFUNCTION("""COMPUTED_VALUE"""),"DHBA")</f>
        <v>DHBA</v>
      </c>
      <c r="AD3214" s="42"/>
      <c r="AE3214" s="42"/>
      <c r="AF3214" s="9"/>
      <c r="AG3214" s="9"/>
      <c r="AH3214" s="42"/>
      <c r="AI3214" s="42"/>
      <c r="AJ3214" s="42"/>
      <c r="AK3214" s="42"/>
      <c r="AL3214" s="42"/>
      <c r="AM3214" s="42"/>
      <c r="AN3214" s="42"/>
      <c r="AO3214" s="63" t="str">
        <f>IFERROR(__xludf.DUMMYFUNCTION("IF(ISBLANK(A3214),,IF(ISBLANK(S3214), A3214&amp;"";"", TEXTJOIN(CHAR(10), TRUE, A3214&amp;"";"", ARRAYFORMULA(VLOOKUP(SPLIT(S3214, "";"" &amp; CHAR(10)), $A:$AO, 41, FALSE)))))"),"Rh4;")</f>
        <v>Rh4;</v>
      </c>
      <c r="AP3214" s="89"/>
    </row>
    <row r="3215">
      <c r="A3215" s="151" t="str">
        <f>IFERROR(__xludf.DUMMYFUNCTION("""COMPUTED_VALUE"""),"RhC")</f>
        <v>RhC</v>
      </c>
      <c r="B3215" s="42" t="str">
        <f>IFERROR(__xludf.DUMMYFUNCTION("""COMPUTED_VALUE"""),"DHBA")</f>
        <v>DHBA</v>
      </c>
      <c r="C3215" s="42" t="str">
        <f>IFERROR(__xludf.DUMMYFUNCTION("""COMPUTED_VALUE"""),"rhombomere C")</f>
        <v>rhombomere C</v>
      </c>
      <c r="D3215" s="42">
        <f>IFERROR(__xludf.DUMMYFUNCTION("""COMPUTED_VALUE"""),3070.0)</f>
        <v>3070</v>
      </c>
      <c r="E3215" s="39" t="str">
        <f>IFERROR(__xludf.DUMMYFUNCTION("""COMPUTED_VALUE"""),"rhombomere C")</f>
        <v>rhombomere C</v>
      </c>
      <c r="F3215" s="9" t="str">
        <f>IFERROR(__xludf.DUMMYFUNCTION("""COMPUTED_VALUE"""),"Br")</f>
        <v>Br</v>
      </c>
      <c r="G3215" s="9" t="str">
        <f>IFERROR(__xludf.DUMMYFUNCTION("""COMPUTED_VALUE"""),"H")</f>
        <v>H</v>
      </c>
      <c r="H3215" s="9" t="str">
        <f>IFERROR(__xludf.DUMMYFUNCTION("""COMPUTED_VALUE"""),"HGM")</f>
        <v>HGM</v>
      </c>
      <c r="I3215" s="9" t="str">
        <f>IFERROR(__xludf.DUMMYFUNCTION("""COMPUTED_VALUE"""),"HTS")</f>
        <v>HTS</v>
      </c>
      <c r="J3215" s="9" t="str">
        <f>IFERROR(__xludf.DUMMYFUNCTION("""COMPUTED_VALUE"""),"HNM")</f>
        <v>HNM</v>
      </c>
      <c r="K3215" s="9" t="str">
        <f>IFERROR(__xludf.DUMMYFUNCTION("""COMPUTED_VALUE"""),"RhC")</f>
        <v>RhC</v>
      </c>
      <c r="L3215" s="9"/>
      <c r="M3215" s="9"/>
      <c r="N3215" s="9"/>
      <c r="O3215" s="9"/>
      <c r="P3215" s="9"/>
      <c r="Q3215" s="9"/>
      <c r="R3215" s="9"/>
      <c r="S3215" s="42" t="str">
        <f>IFERROR(__xludf.DUMMYFUNCTION("""COMPUTED_VALUE"""),"Rh5;
Rh6;
Rh7")</f>
        <v>Rh5;
Rh6;
Rh7</v>
      </c>
      <c r="T3215" s="42"/>
      <c r="U3215" s="42" t="b">
        <f>IFERROR(__xludf.DUMMYFUNCTION("""COMPUTED_VALUE"""),FALSE)</f>
        <v>0</v>
      </c>
      <c r="V3215" s="42"/>
      <c r="W3215" s="42"/>
      <c r="X3215" s="42"/>
      <c r="Y3215" s="42"/>
      <c r="Z3215" s="42"/>
      <c r="AA3215" s="42"/>
      <c r="AB3215" s="42" t="str">
        <f>IFERROR(__xludf.DUMMYFUNCTION("""COMPUTED_VALUE"""),"allen institute")</f>
        <v>allen institute</v>
      </c>
      <c r="AC3215" s="42" t="str">
        <f>IFERROR(__xludf.DUMMYFUNCTION("""COMPUTED_VALUE"""),"DHBA")</f>
        <v>DHBA</v>
      </c>
      <c r="AD3215" s="42"/>
      <c r="AE3215" s="42"/>
      <c r="AF3215" s="9"/>
      <c r="AG3215" s="9"/>
      <c r="AH3215" s="42"/>
      <c r="AI3215" s="42"/>
      <c r="AJ3215" s="42"/>
      <c r="AK3215" s="42"/>
      <c r="AL3215" s="42"/>
      <c r="AM3215" s="42"/>
      <c r="AN3215" s="42"/>
      <c r="AO3215" s="63" t="str">
        <f>IFERROR(__xludf.DUMMYFUNCTION("IF(ISBLANK(A3215),,IF(ISBLANK(S3215), A3215&amp;"";"", TEXTJOIN(CHAR(10), TRUE, A3215&amp;"";"", ARRAYFORMULA(VLOOKUP(SPLIT(S3215, "";"" &amp; CHAR(10)), $A:$AO, 41, FALSE)))))"),"RhC;
Rh5;
Rh6;
Rh7;")</f>
        <v>RhC;
Rh5;
Rh6;
Rh7;</v>
      </c>
      <c r="AP3215" s="89"/>
    </row>
    <row r="3216">
      <c r="A3216" s="151" t="str">
        <f>IFERROR(__xludf.DUMMYFUNCTION("""COMPUTED_VALUE"""),"Rh5")</f>
        <v>Rh5</v>
      </c>
      <c r="B3216" s="42" t="str">
        <f>IFERROR(__xludf.DUMMYFUNCTION("""COMPUTED_VALUE"""),"DHBA")</f>
        <v>DHBA</v>
      </c>
      <c r="C3216" s="42" t="str">
        <f>IFERROR(__xludf.DUMMYFUNCTION("""COMPUTED_VALUE"""),"rhombomere 5")</f>
        <v>rhombomere 5</v>
      </c>
      <c r="D3216" s="42">
        <f>IFERROR(__xludf.DUMMYFUNCTION("""COMPUTED_VALUE"""),3071.0)</f>
        <v>3071</v>
      </c>
      <c r="E3216" s="39" t="str">
        <f>IFERROR(__xludf.DUMMYFUNCTION("""COMPUTED_VALUE"""),"rhombomere 5")</f>
        <v>rhombomere 5</v>
      </c>
      <c r="F3216" s="9" t="str">
        <f>IFERROR(__xludf.DUMMYFUNCTION("""COMPUTED_VALUE"""),"Br")</f>
        <v>Br</v>
      </c>
      <c r="G3216" s="9" t="str">
        <f>IFERROR(__xludf.DUMMYFUNCTION("""COMPUTED_VALUE"""),"H")</f>
        <v>H</v>
      </c>
      <c r="H3216" s="9" t="str">
        <f>IFERROR(__xludf.DUMMYFUNCTION("""COMPUTED_VALUE"""),"HGM")</f>
        <v>HGM</v>
      </c>
      <c r="I3216" s="9" t="str">
        <f>IFERROR(__xludf.DUMMYFUNCTION("""COMPUTED_VALUE"""),"HTS")</f>
        <v>HTS</v>
      </c>
      <c r="J3216" s="9" t="str">
        <f>IFERROR(__xludf.DUMMYFUNCTION("""COMPUTED_VALUE"""),"HNM")</f>
        <v>HNM</v>
      </c>
      <c r="K3216" s="9" t="str">
        <f>IFERROR(__xludf.DUMMYFUNCTION("""COMPUTED_VALUE"""),"RhC")</f>
        <v>RhC</v>
      </c>
      <c r="L3216" s="9" t="str">
        <f>IFERROR(__xludf.DUMMYFUNCTION("""COMPUTED_VALUE"""),"Rh5")</f>
        <v>Rh5</v>
      </c>
      <c r="M3216" s="9"/>
      <c r="N3216" s="9"/>
      <c r="O3216" s="9"/>
      <c r="P3216" s="9"/>
      <c r="Q3216" s="9"/>
      <c r="R3216" s="9"/>
      <c r="S3216" s="42"/>
      <c r="T3216" s="42"/>
      <c r="U3216" s="42"/>
      <c r="V3216" s="42"/>
      <c r="W3216" s="42"/>
      <c r="X3216" s="42"/>
      <c r="Y3216" s="42"/>
      <c r="Z3216" s="42"/>
      <c r="AA3216" s="42"/>
      <c r="AB3216" s="42" t="str">
        <f>IFERROR(__xludf.DUMMYFUNCTION("""COMPUTED_VALUE"""),"allen institute")</f>
        <v>allen institute</v>
      </c>
      <c r="AC3216" s="42" t="str">
        <f>IFERROR(__xludf.DUMMYFUNCTION("""COMPUTED_VALUE"""),"DHBA")</f>
        <v>DHBA</v>
      </c>
      <c r="AD3216" s="42"/>
      <c r="AE3216" s="42"/>
      <c r="AF3216" s="9"/>
      <c r="AG3216" s="9"/>
      <c r="AH3216" s="42"/>
      <c r="AI3216" s="42"/>
      <c r="AJ3216" s="42"/>
      <c r="AK3216" s="42"/>
      <c r="AL3216" s="42"/>
      <c r="AM3216" s="42"/>
      <c r="AN3216" s="42"/>
      <c r="AO3216" s="63" t="str">
        <f>IFERROR(__xludf.DUMMYFUNCTION("IF(ISBLANK(A3216),,IF(ISBLANK(S3216), A3216&amp;"";"", TEXTJOIN(CHAR(10), TRUE, A3216&amp;"";"", ARRAYFORMULA(VLOOKUP(SPLIT(S3216, "";"" &amp; CHAR(10)), $A:$AO, 41, FALSE)))))"),"Rh5;")</f>
        <v>Rh5;</v>
      </c>
      <c r="AP3216" s="89"/>
    </row>
    <row r="3217">
      <c r="A3217" s="151" t="str">
        <f>IFERROR(__xludf.DUMMYFUNCTION("""COMPUTED_VALUE"""),"Rh6")</f>
        <v>Rh6</v>
      </c>
      <c r="B3217" s="42" t="str">
        <f>IFERROR(__xludf.DUMMYFUNCTION("""COMPUTED_VALUE"""),"DHBA")</f>
        <v>DHBA</v>
      </c>
      <c r="C3217" s="42" t="str">
        <f>IFERROR(__xludf.DUMMYFUNCTION("""COMPUTED_VALUE"""),"rhombomere 6")</f>
        <v>rhombomere 6</v>
      </c>
      <c r="D3217" s="42">
        <f>IFERROR(__xludf.DUMMYFUNCTION("""COMPUTED_VALUE"""),3072.0)</f>
        <v>3072</v>
      </c>
      <c r="E3217" s="39" t="str">
        <f>IFERROR(__xludf.DUMMYFUNCTION("""COMPUTED_VALUE"""),"rhombomere 6")</f>
        <v>rhombomere 6</v>
      </c>
      <c r="F3217" s="9" t="str">
        <f>IFERROR(__xludf.DUMMYFUNCTION("""COMPUTED_VALUE"""),"Br")</f>
        <v>Br</v>
      </c>
      <c r="G3217" s="9" t="str">
        <f>IFERROR(__xludf.DUMMYFUNCTION("""COMPUTED_VALUE"""),"H")</f>
        <v>H</v>
      </c>
      <c r="H3217" s="9" t="str">
        <f>IFERROR(__xludf.DUMMYFUNCTION("""COMPUTED_VALUE"""),"HGM")</f>
        <v>HGM</v>
      </c>
      <c r="I3217" s="9" t="str">
        <f>IFERROR(__xludf.DUMMYFUNCTION("""COMPUTED_VALUE"""),"HTS")</f>
        <v>HTS</v>
      </c>
      <c r="J3217" s="9" t="str">
        <f>IFERROR(__xludf.DUMMYFUNCTION("""COMPUTED_VALUE"""),"HNM")</f>
        <v>HNM</v>
      </c>
      <c r="K3217" s="9" t="str">
        <f>IFERROR(__xludf.DUMMYFUNCTION("""COMPUTED_VALUE"""),"RhC")</f>
        <v>RhC</v>
      </c>
      <c r="L3217" s="9" t="str">
        <f>IFERROR(__xludf.DUMMYFUNCTION("""COMPUTED_VALUE"""),"Rh6")</f>
        <v>Rh6</v>
      </c>
      <c r="M3217" s="9"/>
      <c r="N3217" s="9"/>
      <c r="O3217" s="9"/>
      <c r="P3217" s="9"/>
      <c r="Q3217" s="9"/>
      <c r="R3217" s="9"/>
      <c r="S3217" s="42"/>
      <c r="T3217" s="42"/>
      <c r="U3217" s="42"/>
      <c r="V3217" s="42"/>
      <c r="W3217" s="42"/>
      <c r="X3217" s="42"/>
      <c r="Y3217" s="42"/>
      <c r="Z3217" s="42"/>
      <c r="AA3217" s="42"/>
      <c r="AB3217" s="42" t="str">
        <f>IFERROR(__xludf.DUMMYFUNCTION("""COMPUTED_VALUE"""),"allen institute")</f>
        <v>allen institute</v>
      </c>
      <c r="AC3217" s="42" t="str">
        <f>IFERROR(__xludf.DUMMYFUNCTION("""COMPUTED_VALUE"""),"DHBA")</f>
        <v>DHBA</v>
      </c>
      <c r="AD3217" s="42"/>
      <c r="AE3217" s="42"/>
      <c r="AF3217" s="9"/>
      <c r="AG3217" s="9"/>
      <c r="AH3217" s="42"/>
      <c r="AI3217" s="42"/>
      <c r="AJ3217" s="42"/>
      <c r="AK3217" s="42"/>
      <c r="AL3217" s="42"/>
      <c r="AM3217" s="42"/>
      <c r="AN3217" s="42"/>
      <c r="AO3217" s="63" t="str">
        <f>IFERROR(__xludf.DUMMYFUNCTION("IF(ISBLANK(A3217),,IF(ISBLANK(S3217), A3217&amp;"";"", TEXTJOIN(CHAR(10), TRUE, A3217&amp;"";"", ARRAYFORMULA(VLOOKUP(SPLIT(S3217, "";"" &amp; CHAR(10)), $A:$AO, 41, FALSE)))))"),"Rh6;")</f>
        <v>Rh6;</v>
      </c>
      <c r="AP3217" s="89"/>
    </row>
    <row r="3218">
      <c r="A3218" s="151" t="str">
        <f>IFERROR(__xludf.DUMMYFUNCTION("""COMPUTED_VALUE"""),"Rh7")</f>
        <v>Rh7</v>
      </c>
      <c r="B3218" s="42" t="str">
        <f>IFERROR(__xludf.DUMMYFUNCTION("""COMPUTED_VALUE"""),"DHBA")</f>
        <v>DHBA</v>
      </c>
      <c r="C3218" s="42" t="str">
        <f>IFERROR(__xludf.DUMMYFUNCTION("""COMPUTED_VALUE"""),"rhombomere 7")</f>
        <v>rhombomere 7</v>
      </c>
      <c r="D3218" s="42">
        <f>IFERROR(__xludf.DUMMYFUNCTION("""COMPUTED_VALUE"""),3073.0)</f>
        <v>3073</v>
      </c>
      <c r="E3218" s="39" t="str">
        <f>IFERROR(__xludf.DUMMYFUNCTION("""COMPUTED_VALUE"""),"rhombomere 7")</f>
        <v>rhombomere 7</v>
      </c>
      <c r="F3218" s="9" t="str">
        <f>IFERROR(__xludf.DUMMYFUNCTION("""COMPUTED_VALUE"""),"Br")</f>
        <v>Br</v>
      </c>
      <c r="G3218" s="9" t="str">
        <f>IFERROR(__xludf.DUMMYFUNCTION("""COMPUTED_VALUE"""),"H")</f>
        <v>H</v>
      </c>
      <c r="H3218" s="9" t="str">
        <f>IFERROR(__xludf.DUMMYFUNCTION("""COMPUTED_VALUE"""),"HGM")</f>
        <v>HGM</v>
      </c>
      <c r="I3218" s="9" t="str">
        <f>IFERROR(__xludf.DUMMYFUNCTION("""COMPUTED_VALUE"""),"HTS")</f>
        <v>HTS</v>
      </c>
      <c r="J3218" s="9" t="str">
        <f>IFERROR(__xludf.DUMMYFUNCTION("""COMPUTED_VALUE"""),"HNM")</f>
        <v>HNM</v>
      </c>
      <c r="K3218" s="9" t="str">
        <f>IFERROR(__xludf.DUMMYFUNCTION("""COMPUTED_VALUE"""),"RhC")</f>
        <v>RhC</v>
      </c>
      <c r="L3218" s="9" t="str">
        <f>IFERROR(__xludf.DUMMYFUNCTION("""COMPUTED_VALUE"""),"Rh7")</f>
        <v>Rh7</v>
      </c>
      <c r="M3218" s="9"/>
      <c r="N3218" s="9"/>
      <c r="O3218" s="9"/>
      <c r="P3218" s="9"/>
      <c r="Q3218" s="9"/>
      <c r="R3218" s="9"/>
      <c r="S3218" s="42"/>
      <c r="T3218" s="42"/>
      <c r="U3218" s="42"/>
      <c r="V3218" s="42"/>
      <c r="W3218" s="42"/>
      <c r="X3218" s="42"/>
      <c r="Y3218" s="42"/>
      <c r="Z3218" s="42"/>
      <c r="AA3218" s="42"/>
      <c r="AB3218" s="42" t="str">
        <f>IFERROR(__xludf.DUMMYFUNCTION("""COMPUTED_VALUE"""),"allen institute")</f>
        <v>allen institute</v>
      </c>
      <c r="AC3218" s="42" t="str">
        <f>IFERROR(__xludf.DUMMYFUNCTION("""COMPUTED_VALUE"""),"DHBA")</f>
        <v>DHBA</v>
      </c>
      <c r="AD3218" s="42"/>
      <c r="AE3218" s="42"/>
      <c r="AF3218" s="9"/>
      <c r="AG3218" s="9"/>
      <c r="AH3218" s="42"/>
      <c r="AI3218" s="42"/>
      <c r="AJ3218" s="42"/>
      <c r="AK3218" s="42"/>
      <c r="AL3218" s="42"/>
      <c r="AM3218" s="42"/>
      <c r="AN3218" s="42"/>
      <c r="AO3218" s="63" t="str">
        <f>IFERROR(__xludf.DUMMYFUNCTION("IF(ISBLANK(A3218),,IF(ISBLANK(S3218), A3218&amp;"";"", TEXTJOIN(CHAR(10), TRUE, A3218&amp;"";"", ARRAYFORMULA(VLOOKUP(SPLIT(S3218, "";"" &amp; CHAR(10)), $A:$AO, 41, FALSE)))))"),"Rh7;")</f>
        <v>Rh7;</v>
      </c>
      <c r="AP3218" s="89"/>
    </row>
    <row r="3219">
      <c r="A3219" s="151" t="str">
        <f>IFERROR(__xludf.DUMMYFUNCTION("""COMPUTED_VALUE"""),"RhD")</f>
        <v>RhD</v>
      </c>
      <c r="B3219" s="42" t="str">
        <f>IFERROR(__xludf.DUMMYFUNCTION("""COMPUTED_VALUE"""),"DHBA")</f>
        <v>DHBA</v>
      </c>
      <c r="C3219" s="42" t="str">
        <f>IFERROR(__xludf.DUMMYFUNCTION("""COMPUTED_VALUE"""),"rhombomere D")</f>
        <v>rhombomere D</v>
      </c>
      <c r="D3219" s="42">
        <f>IFERROR(__xludf.DUMMYFUNCTION("""COMPUTED_VALUE"""),3074.0)</f>
        <v>3074</v>
      </c>
      <c r="E3219" s="39" t="str">
        <f>IFERROR(__xludf.DUMMYFUNCTION("""COMPUTED_VALUE"""),"rhombomere D")</f>
        <v>rhombomere D</v>
      </c>
      <c r="F3219" s="9" t="str">
        <f>IFERROR(__xludf.DUMMYFUNCTION("""COMPUTED_VALUE"""),"Br")</f>
        <v>Br</v>
      </c>
      <c r="G3219" s="9" t="str">
        <f>IFERROR(__xludf.DUMMYFUNCTION("""COMPUTED_VALUE"""),"H")</f>
        <v>H</v>
      </c>
      <c r="H3219" s="9" t="str">
        <f>IFERROR(__xludf.DUMMYFUNCTION("""COMPUTED_VALUE"""),"HGM")</f>
        <v>HGM</v>
      </c>
      <c r="I3219" s="9" t="str">
        <f>IFERROR(__xludf.DUMMYFUNCTION("""COMPUTED_VALUE"""),"HTS")</f>
        <v>HTS</v>
      </c>
      <c r="J3219" s="9" t="str">
        <f>IFERROR(__xludf.DUMMYFUNCTION("""COMPUTED_VALUE"""),"HNM")</f>
        <v>HNM</v>
      </c>
      <c r="K3219" s="9" t="str">
        <f>IFERROR(__xludf.DUMMYFUNCTION("""COMPUTED_VALUE"""),"RhD")</f>
        <v>RhD</v>
      </c>
      <c r="L3219" s="9"/>
      <c r="M3219" s="9"/>
      <c r="N3219" s="9"/>
      <c r="O3219" s="9"/>
      <c r="P3219" s="9"/>
      <c r="Q3219" s="9"/>
      <c r="R3219" s="9"/>
      <c r="S3219" s="42" t="str">
        <f>IFERROR(__xludf.DUMMYFUNCTION("""COMPUTED_VALUE"""),"Rh8")</f>
        <v>Rh8</v>
      </c>
      <c r="T3219" s="42"/>
      <c r="U3219" s="42" t="b">
        <f>IFERROR(__xludf.DUMMYFUNCTION("""COMPUTED_VALUE"""),FALSE)</f>
        <v>0</v>
      </c>
      <c r="V3219" s="42"/>
      <c r="W3219" s="42"/>
      <c r="X3219" s="42"/>
      <c r="Y3219" s="42"/>
      <c r="Z3219" s="42"/>
      <c r="AA3219" s="42"/>
      <c r="AB3219" s="42" t="str">
        <f>IFERROR(__xludf.DUMMYFUNCTION("""COMPUTED_VALUE"""),"allen institute")</f>
        <v>allen institute</v>
      </c>
      <c r="AC3219" s="42" t="str">
        <f>IFERROR(__xludf.DUMMYFUNCTION("""COMPUTED_VALUE"""),"DHBA")</f>
        <v>DHBA</v>
      </c>
      <c r="AD3219" s="42"/>
      <c r="AE3219" s="42"/>
      <c r="AF3219" s="9"/>
      <c r="AG3219" s="9"/>
      <c r="AH3219" s="42"/>
      <c r="AI3219" s="42"/>
      <c r="AJ3219" s="42"/>
      <c r="AK3219" s="42"/>
      <c r="AL3219" s="42"/>
      <c r="AM3219" s="42"/>
      <c r="AN3219" s="42"/>
      <c r="AO3219" s="63" t="str">
        <f>IFERROR(__xludf.DUMMYFUNCTION("IF(ISBLANK(A3219),,IF(ISBLANK(S3219), A3219&amp;"";"", TEXTJOIN(CHAR(10), TRUE, A3219&amp;"";"", ARRAYFORMULA(VLOOKUP(SPLIT(S3219, "";"" &amp; CHAR(10)), $A:$AO, 41, FALSE)))))"),"RhD;
Rh8;")</f>
        <v>RhD;
Rh8;</v>
      </c>
      <c r="AP3219" s="89"/>
    </row>
    <row r="3220">
      <c r="A3220" s="151" t="str">
        <f>IFERROR(__xludf.DUMMYFUNCTION("""COMPUTED_VALUE"""),"Rh8")</f>
        <v>Rh8</v>
      </c>
      <c r="B3220" s="42" t="str">
        <f>IFERROR(__xludf.DUMMYFUNCTION("""COMPUTED_VALUE"""),"DHBA")</f>
        <v>DHBA</v>
      </c>
      <c r="C3220" s="42" t="str">
        <f>IFERROR(__xludf.DUMMYFUNCTION("""COMPUTED_VALUE"""),"rhombomere 8")</f>
        <v>rhombomere 8</v>
      </c>
      <c r="D3220" s="42">
        <f>IFERROR(__xludf.DUMMYFUNCTION("""COMPUTED_VALUE"""),3075.0)</f>
        <v>3075</v>
      </c>
      <c r="E3220" s="39" t="str">
        <f>IFERROR(__xludf.DUMMYFUNCTION("""COMPUTED_VALUE"""),"rhombomere 8")</f>
        <v>rhombomere 8</v>
      </c>
      <c r="F3220" s="9" t="str">
        <f>IFERROR(__xludf.DUMMYFUNCTION("""COMPUTED_VALUE"""),"Br")</f>
        <v>Br</v>
      </c>
      <c r="G3220" s="9" t="str">
        <f>IFERROR(__xludf.DUMMYFUNCTION("""COMPUTED_VALUE"""),"H")</f>
        <v>H</v>
      </c>
      <c r="H3220" s="9" t="str">
        <f>IFERROR(__xludf.DUMMYFUNCTION("""COMPUTED_VALUE"""),"HGM")</f>
        <v>HGM</v>
      </c>
      <c r="I3220" s="9" t="str">
        <f>IFERROR(__xludf.DUMMYFUNCTION("""COMPUTED_VALUE"""),"HTS")</f>
        <v>HTS</v>
      </c>
      <c r="J3220" s="9" t="str">
        <f>IFERROR(__xludf.DUMMYFUNCTION("""COMPUTED_VALUE"""),"HNM")</f>
        <v>HNM</v>
      </c>
      <c r="K3220" s="9" t="str">
        <f>IFERROR(__xludf.DUMMYFUNCTION("""COMPUTED_VALUE"""),"RhD")</f>
        <v>RhD</v>
      </c>
      <c r="L3220" s="9" t="str">
        <f>IFERROR(__xludf.DUMMYFUNCTION("""COMPUTED_VALUE"""),"Rh8")</f>
        <v>Rh8</v>
      </c>
      <c r="M3220" s="9"/>
      <c r="N3220" s="9"/>
      <c r="O3220" s="9"/>
      <c r="P3220" s="9"/>
      <c r="Q3220" s="9"/>
      <c r="R3220" s="9"/>
      <c r="S3220" s="42"/>
      <c r="T3220" s="42"/>
      <c r="U3220" s="42"/>
      <c r="V3220" s="42"/>
      <c r="W3220" s="42"/>
      <c r="X3220" s="42"/>
      <c r="Y3220" s="42"/>
      <c r="Z3220" s="42"/>
      <c r="AA3220" s="42"/>
      <c r="AB3220" s="42" t="str">
        <f>IFERROR(__xludf.DUMMYFUNCTION("""COMPUTED_VALUE"""),"allen institute")</f>
        <v>allen institute</v>
      </c>
      <c r="AC3220" s="42" t="str">
        <f>IFERROR(__xludf.DUMMYFUNCTION("""COMPUTED_VALUE"""),"DHBA")</f>
        <v>DHBA</v>
      </c>
      <c r="AD3220" s="42"/>
      <c r="AE3220" s="42"/>
      <c r="AF3220" s="9"/>
      <c r="AG3220" s="9"/>
      <c r="AH3220" s="42"/>
      <c r="AI3220" s="42"/>
      <c r="AJ3220" s="42"/>
      <c r="AK3220" s="42"/>
      <c r="AL3220" s="42"/>
      <c r="AM3220" s="42"/>
      <c r="AN3220" s="42"/>
      <c r="AO3220" s="63" t="str">
        <f>IFERROR(__xludf.DUMMYFUNCTION("IF(ISBLANK(A3220),,IF(ISBLANK(S3220), A3220&amp;"";"", TEXTJOIN(CHAR(10), TRUE, A3220&amp;"";"", ARRAYFORMULA(VLOOKUP(SPLIT(S3220, "";"" &amp; CHAR(10)), $A:$AO, 41, FALSE)))))"),"Rh8;")</f>
        <v>Rh8;</v>
      </c>
      <c r="AP3220" s="89"/>
    </row>
    <row r="3221">
      <c r="A3221" s="151" t="str">
        <f>IFERROR(__xludf.DUMMYFUNCTION("""COMPUTED_VALUE"""),"RhL")</f>
        <v>RhL</v>
      </c>
      <c r="B3221" s="42" t="str">
        <f>IFERROR(__xludf.DUMMYFUNCTION("""COMPUTED_VALUE"""),"DHBA")</f>
        <v>DHBA</v>
      </c>
      <c r="C3221" s="42" t="str">
        <f>IFERROR(__xludf.DUMMYFUNCTION("""COMPUTED_VALUE"""),"rhombic lip")</f>
        <v>rhombic lip</v>
      </c>
      <c r="D3221" s="42">
        <f>IFERROR(__xludf.DUMMYFUNCTION("""COMPUTED_VALUE"""),3076.0)</f>
        <v>3076</v>
      </c>
      <c r="E3221" s="39" t="str">
        <f>IFERROR(__xludf.DUMMYFUNCTION("""COMPUTED_VALUE"""),"rhombic lip")</f>
        <v>rhombic lip</v>
      </c>
      <c r="F3221" s="9" t="str">
        <f>IFERROR(__xludf.DUMMYFUNCTION("""COMPUTED_VALUE"""),"Br")</f>
        <v>Br</v>
      </c>
      <c r="G3221" s="9" t="str">
        <f>IFERROR(__xludf.DUMMYFUNCTION("""COMPUTED_VALUE"""),"H")</f>
        <v>H</v>
      </c>
      <c r="H3221" s="9" t="str">
        <f>IFERROR(__xludf.DUMMYFUNCTION("""COMPUTED_VALUE"""),"HGM")</f>
        <v>HGM</v>
      </c>
      <c r="I3221" s="9" t="str">
        <f>IFERROR(__xludf.DUMMYFUNCTION("""COMPUTED_VALUE"""),"HTS")</f>
        <v>HTS</v>
      </c>
      <c r="J3221" s="9" t="str">
        <f>IFERROR(__xludf.DUMMYFUNCTION("""COMPUTED_VALUE"""),"RhL")</f>
        <v>RhL</v>
      </c>
      <c r="K3221" s="9"/>
      <c r="L3221" s="9"/>
      <c r="M3221" s="9"/>
      <c r="N3221" s="9"/>
      <c r="O3221" s="9"/>
      <c r="P3221" s="9"/>
      <c r="Q3221" s="9"/>
      <c r="R3221" s="9"/>
      <c r="S3221" s="42" t="str">
        <f>IFERROR(__xludf.DUMMYFUNCTION("""COMPUTED_VALUE"""),"URL;
LRL")</f>
        <v>URL;
LRL</v>
      </c>
      <c r="T3221" s="42"/>
      <c r="U3221" s="42" t="b">
        <f>IFERROR(__xludf.DUMMYFUNCTION("""COMPUTED_VALUE"""),FALSE)</f>
        <v>0</v>
      </c>
      <c r="V3221" s="42"/>
      <c r="W3221" s="42"/>
      <c r="X3221" s="42"/>
      <c r="Y3221" s="42"/>
      <c r="Z3221" s="42"/>
      <c r="AA3221" s="42"/>
      <c r="AB3221" s="42" t="str">
        <f>IFERROR(__xludf.DUMMYFUNCTION("""COMPUTED_VALUE"""),"allen institute")</f>
        <v>allen institute</v>
      </c>
      <c r="AC3221" s="42" t="str">
        <f>IFERROR(__xludf.DUMMYFUNCTION("""COMPUTED_VALUE"""),"DHBA")</f>
        <v>DHBA</v>
      </c>
      <c r="AD3221" s="42"/>
      <c r="AE3221" s="42"/>
      <c r="AF3221" s="9"/>
      <c r="AG3221" s="9"/>
      <c r="AH3221" s="42"/>
      <c r="AI3221" s="42"/>
      <c r="AJ3221" s="42"/>
      <c r="AK3221" s="42"/>
      <c r="AL3221" s="42"/>
      <c r="AM3221" s="42"/>
      <c r="AN3221" s="42"/>
      <c r="AO3221" s="63" t="str">
        <f>IFERROR(__xludf.DUMMYFUNCTION("IF(ISBLANK(A3221),,IF(ISBLANK(S3221), A3221&amp;"";"", TEXTJOIN(CHAR(10), TRUE, A3221&amp;"";"", ARRAYFORMULA(VLOOKUP(SPLIT(S3221, "";"" &amp; CHAR(10)), $A:$AO, 41, FALSE)))))"),"RhL;
URL;
EGLU;
LRL;
EGLL;")</f>
        <v>RhL;
URL;
EGLU;
LRL;
EGLL;</v>
      </c>
      <c r="AP3221" s="89"/>
    </row>
    <row r="3222">
      <c r="A3222" s="151" t="str">
        <f>IFERROR(__xludf.DUMMYFUNCTION("""COMPUTED_VALUE"""),"URL")</f>
        <v>URL</v>
      </c>
      <c r="B3222" s="42" t="str">
        <f>IFERROR(__xludf.DUMMYFUNCTION("""COMPUTED_VALUE"""),"DHBA")</f>
        <v>DHBA</v>
      </c>
      <c r="C3222" s="42" t="str">
        <f>IFERROR(__xludf.DUMMYFUNCTION("""COMPUTED_VALUE"""),"upper (rostral) rhombic lip")</f>
        <v>upper (rostral) rhombic lip</v>
      </c>
      <c r="D3222" s="42">
        <f>IFERROR(__xludf.DUMMYFUNCTION("""COMPUTED_VALUE"""),3077.0)</f>
        <v>3077</v>
      </c>
      <c r="E3222" s="39" t="str">
        <f>IFERROR(__xludf.DUMMYFUNCTION("""COMPUTED_VALUE"""),"upper (rostral) rhombic lip")</f>
        <v>upper (rostral) rhombic lip</v>
      </c>
      <c r="F3222" s="9" t="str">
        <f>IFERROR(__xludf.DUMMYFUNCTION("""COMPUTED_VALUE"""),"Br")</f>
        <v>Br</v>
      </c>
      <c r="G3222" s="9" t="str">
        <f>IFERROR(__xludf.DUMMYFUNCTION("""COMPUTED_VALUE"""),"H")</f>
        <v>H</v>
      </c>
      <c r="H3222" s="9" t="str">
        <f>IFERROR(__xludf.DUMMYFUNCTION("""COMPUTED_VALUE"""),"HGM")</f>
        <v>HGM</v>
      </c>
      <c r="I3222" s="9" t="str">
        <f>IFERROR(__xludf.DUMMYFUNCTION("""COMPUTED_VALUE"""),"HTS")</f>
        <v>HTS</v>
      </c>
      <c r="J3222" s="9" t="str">
        <f>IFERROR(__xludf.DUMMYFUNCTION("""COMPUTED_VALUE"""),"RhL")</f>
        <v>RhL</v>
      </c>
      <c r="K3222" s="9" t="str">
        <f>IFERROR(__xludf.DUMMYFUNCTION("""COMPUTED_VALUE"""),"URL")</f>
        <v>URL</v>
      </c>
      <c r="L3222" s="9"/>
      <c r="M3222" s="9"/>
      <c r="N3222" s="9"/>
      <c r="O3222" s="9"/>
      <c r="P3222" s="9"/>
      <c r="Q3222" s="9"/>
      <c r="R3222" s="9"/>
      <c r="S3222" s="42" t="str">
        <f>IFERROR(__xludf.DUMMYFUNCTION("""COMPUTED_VALUE"""),"EGLU")</f>
        <v>EGLU</v>
      </c>
      <c r="T3222" s="42"/>
      <c r="U3222" s="42" t="b">
        <f>IFERROR(__xludf.DUMMYFUNCTION("""COMPUTED_VALUE"""),FALSE)</f>
        <v>0</v>
      </c>
      <c r="V3222" s="42"/>
      <c r="W3222" s="42"/>
      <c r="X3222" s="42"/>
      <c r="Y3222" s="42"/>
      <c r="Z3222" s="42"/>
      <c r="AA3222" s="42"/>
      <c r="AB3222" s="42" t="str">
        <f>IFERROR(__xludf.DUMMYFUNCTION("""COMPUTED_VALUE"""),"allen institute")</f>
        <v>allen institute</v>
      </c>
      <c r="AC3222" s="42" t="str">
        <f>IFERROR(__xludf.DUMMYFUNCTION("""COMPUTED_VALUE"""),"DHBA")</f>
        <v>DHBA</v>
      </c>
      <c r="AD3222" s="42"/>
      <c r="AE3222" s="42"/>
      <c r="AF3222" s="9"/>
      <c r="AG3222" s="9"/>
      <c r="AH3222" s="42"/>
      <c r="AI3222" s="42"/>
      <c r="AJ3222" s="42"/>
      <c r="AK3222" s="42"/>
      <c r="AL3222" s="42"/>
      <c r="AM3222" s="42"/>
      <c r="AN3222" s="42"/>
      <c r="AO3222" s="63" t="str">
        <f>IFERROR(__xludf.DUMMYFUNCTION("IF(ISBLANK(A3222),,IF(ISBLANK(S3222), A3222&amp;"";"", TEXTJOIN(CHAR(10), TRUE, A3222&amp;"";"", ARRAYFORMULA(VLOOKUP(SPLIT(S3222, "";"" &amp; CHAR(10)), $A:$AO, 41, FALSE)))))"),"URL;
EGLU;")</f>
        <v>URL;
EGLU;</v>
      </c>
      <c r="AP3222" s="89"/>
    </row>
    <row r="3223">
      <c r="A3223" s="151" t="str">
        <f>IFERROR(__xludf.DUMMYFUNCTION("""COMPUTED_VALUE"""),"EGLU")</f>
        <v>EGLU</v>
      </c>
      <c r="B3223" s="42" t="str">
        <f>IFERROR(__xludf.DUMMYFUNCTION("""COMPUTED_VALUE"""),"DHBA")</f>
        <v>DHBA</v>
      </c>
      <c r="C3223" s="42" t="str">
        <f>IFERROR(__xludf.DUMMYFUNCTION("""COMPUTED_VALUE"""),"external granular (germinal) layer of upper rhombic lip")</f>
        <v>external granular (germinal) layer of upper rhombic lip</v>
      </c>
      <c r="D3223" s="42">
        <f>IFERROR(__xludf.DUMMYFUNCTION("""COMPUTED_VALUE"""),3078.0)</f>
        <v>3078</v>
      </c>
      <c r="E3223" s="39" t="str">
        <f>IFERROR(__xludf.DUMMYFUNCTION("""COMPUTED_VALUE"""),"external granular (germinal) layer of upper rhombic lip")</f>
        <v>external granular (germinal) layer of upper rhombic lip</v>
      </c>
      <c r="F3223" s="9" t="str">
        <f>IFERROR(__xludf.DUMMYFUNCTION("""COMPUTED_VALUE"""),"Br")</f>
        <v>Br</v>
      </c>
      <c r="G3223" s="9" t="str">
        <f>IFERROR(__xludf.DUMMYFUNCTION("""COMPUTED_VALUE"""),"H")</f>
        <v>H</v>
      </c>
      <c r="H3223" s="9" t="str">
        <f>IFERROR(__xludf.DUMMYFUNCTION("""COMPUTED_VALUE"""),"HGM")</f>
        <v>HGM</v>
      </c>
      <c r="I3223" s="9" t="str">
        <f>IFERROR(__xludf.DUMMYFUNCTION("""COMPUTED_VALUE"""),"HTS")</f>
        <v>HTS</v>
      </c>
      <c r="J3223" s="9" t="str">
        <f>IFERROR(__xludf.DUMMYFUNCTION("""COMPUTED_VALUE"""),"RhL")</f>
        <v>RhL</v>
      </c>
      <c r="K3223" s="9" t="str">
        <f>IFERROR(__xludf.DUMMYFUNCTION("""COMPUTED_VALUE"""),"URL")</f>
        <v>URL</v>
      </c>
      <c r="L3223" s="9" t="str">
        <f>IFERROR(__xludf.DUMMYFUNCTION("""COMPUTED_VALUE"""),"EGLU")</f>
        <v>EGLU</v>
      </c>
      <c r="M3223" s="9"/>
      <c r="N3223" s="9"/>
      <c r="O3223" s="9"/>
      <c r="P3223" s="9"/>
      <c r="Q3223" s="9"/>
      <c r="R3223" s="9"/>
      <c r="S3223" s="42"/>
      <c r="T3223" s="42"/>
      <c r="U3223" s="42"/>
      <c r="V3223" s="42"/>
      <c r="W3223" s="42"/>
      <c r="X3223" s="42"/>
      <c r="Y3223" s="42"/>
      <c r="Z3223" s="42"/>
      <c r="AA3223" s="42"/>
      <c r="AB3223" s="42" t="str">
        <f>IFERROR(__xludf.DUMMYFUNCTION("""COMPUTED_VALUE"""),"allen institute")</f>
        <v>allen institute</v>
      </c>
      <c r="AC3223" s="42" t="str">
        <f>IFERROR(__xludf.DUMMYFUNCTION("""COMPUTED_VALUE"""),"DHBA")</f>
        <v>DHBA</v>
      </c>
      <c r="AD3223" s="42"/>
      <c r="AE3223" s="42"/>
      <c r="AF3223" s="9"/>
      <c r="AG3223" s="9"/>
      <c r="AH3223" s="42"/>
      <c r="AI3223" s="42"/>
      <c r="AJ3223" s="42"/>
      <c r="AK3223" s="42"/>
      <c r="AL3223" s="42"/>
      <c r="AM3223" s="42"/>
      <c r="AN3223" s="42"/>
      <c r="AO3223" s="63" t="str">
        <f>IFERROR(__xludf.DUMMYFUNCTION("IF(ISBLANK(A3223),,IF(ISBLANK(S3223), A3223&amp;"";"", TEXTJOIN(CHAR(10), TRUE, A3223&amp;"";"", ARRAYFORMULA(VLOOKUP(SPLIT(S3223, "";"" &amp; CHAR(10)), $A:$AO, 41, FALSE)))))"),"EGLU;")</f>
        <v>EGLU;</v>
      </c>
      <c r="AP3223" s="89"/>
    </row>
    <row r="3224">
      <c r="A3224" s="151" t="str">
        <f>IFERROR(__xludf.DUMMYFUNCTION("""COMPUTED_VALUE"""),"LRL")</f>
        <v>LRL</v>
      </c>
      <c r="B3224" s="42" t="str">
        <f>IFERROR(__xludf.DUMMYFUNCTION("""COMPUTED_VALUE"""),"DHBA")</f>
        <v>DHBA</v>
      </c>
      <c r="C3224" s="42" t="str">
        <f>IFERROR(__xludf.DUMMYFUNCTION("""COMPUTED_VALUE"""),"lower (caudal) rhombic lip")</f>
        <v>lower (caudal) rhombic lip</v>
      </c>
      <c r="D3224" s="42">
        <f>IFERROR(__xludf.DUMMYFUNCTION("""COMPUTED_VALUE"""),3079.0)</f>
        <v>3079</v>
      </c>
      <c r="E3224" s="39" t="str">
        <f>IFERROR(__xludf.DUMMYFUNCTION("""COMPUTED_VALUE"""),"lower (caudal) rhombic lip")</f>
        <v>lower (caudal) rhombic lip</v>
      </c>
      <c r="F3224" s="9" t="str">
        <f>IFERROR(__xludf.DUMMYFUNCTION("""COMPUTED_VALUE"""),"Br")</f>
        <v>Br</v>
      </c>
      <c r="G3224" s="9" t="str">
        <f>IFERROR(__xludf.DUMMYFUNCTION("""COMPUTED_VALUE"""),"H")</f>
        <v>H</v>
      </c>
      <c r="H3224" s="9" t="str">
        <f>IFERROR(__xludf.DUMMYFUNCTION("""COMPUTED_VALUE"""),"HGM")</f>
        <v>HGM</v>
      </c>
      <c r="I3224" s="9" t="str">
        <f>IFERROR(__xludf.DUMMYFUNCTION("""COMPUTED_VALUE"""),"HTS")</f>
        <v>HTS</v>
      </c>
      <c r="J3224" s="9" t="str">
        <f>IFERROR(__xludf.DUMMYFUNCTION("""COMPUTED_VALUE"""),"RhL")</f>
        <v>RhL</v>
      </c>
      <c r="K3224" s="9" t="str">
        <f>IFERROR(__xludf.DUMMYFUNCTION("""COMPUTED_VALUE"""),"LRL")</f>
        <v>LRL</v>
      </c>
      <c r="L3224" s="9"/>
      <c r="M3224" s="9"/>
      <c r="N3224" s="9"/>
      <c r="O3224" s="9"/>
      <c r="P3224" s="9"/>
      <c r="Q3224" s="9"/>
      <c r="R3224" s="9"/>
      <c r="S3224" s="42" t="str">
        <f>IFERROR(__xludf.DUMMYFUNCTION("""COMPUTED_VALUE"""),"EGLL")</f>
        <v>EGLL</v>
      </c>
      <c r="T3224" s="42"/>
      <c r="U3224" s="159" t="b">
        <f>IFERROR(__xludf.DUMMYFUNCTION("""COMPUTED_VALUE"""),FALSE)</f>
        <v>0</v>
      </c>
      <c r="V3224" s="42"/>
      <c r="W3224" s="42"/>
      <c r="X3224" s="42"/>
      <c r="Y3224" s="42"/>
      <c r="Z3224" s="42"/>
      <c r="AA3224" s="42"/>
      <c r="AB3224" s="42" t="str">
        <f>IFERROR(__xludf.DUMMYFUNCTION("""COMPUTED_VALUE"""),"allen institute")</f>
        <v>allen institute</v>
      </c>
      <c r="AC3224" s="42" t="str">
        <f>IFERROR(__xludf.DUMMYFUNCTION("""COMPUTED_VALUE"""),"DHBA")</f>
        <v>DHBA</v>
      </c>
      <c r="AD3224" s="42"/>
      <c r="AE3224" s="42"/>
      <c r="AF3224" s="9"/>
      <c r="AG3224" s="9"/>
      <c r="AH3224" s="42"/>
      <c r="AI3224" s="42"/>
      <c r="AJ3224" s="42"/>
      <c r="AK3224" s="42"/>
      <c r="AL3224" s="42"/>
      <c r="AM3224" s="42"/>
      <c r="AN3224" s="42"/>
      <c r="AO3224" s="63" t="str">
        <f>IFERROR(__xludf.DUMMYFUNCTION("IF(ISBLANK(A3224),,IF(ISBLANK(S3224), A3224&amp;"";"", TEXTJOIN(CHAR(10), TRUE, A3224&amp;"";"", ARRAYFORMULA(VLOOKUP(SPLIT(S3224, "";"" &amp; CHAR(10)), $A:$AO, 41, FALSE)))))"),"LRL;
EGLL;")</f>
        <v>LRL;
EGLL;</v>
      </c>
      <c r="AP3224" s="89"/>
    </row>
    <row r="3225">
      <c r="A3225" s="151" t="str">
        <f>IFERROR(__xludf.DUMMYFUNCTION("""COMPUTED_VALUE"""),"EGLL")</f>
        <v>EGLL</v>
      </c>
      <c r="B3225" s="42" t="str">
        <f>IFERROR(__xludf.DUMMYFUNCTION("""COMPUTED_VALUE"""),"DHBA")</f>
        <v>DHBA</v>
      </c>
      <c r="C3225" s="42" t="str">
        <f>IFERROR(__xludf.DUMMYFUNCTION("""COMPUTED_VALUE"""),"external granular (germinal) layer of lower rhombic lip")</f>
        <v>external granular (germinal) layer of lower rhombic lip</v>
      </c>
      <c r="D3225" s="42">
        <f>IFERROR(__xludf.DUMMYFUNCTION("""COMPUTED_VALUE"""),3080.0)</f>
        <v>3080</v>
      </c>
      <c r="E3225" s="39" t="str">
        <f>IFERROR(__xludf.DUMMYFUNCTION("""COMPUTED_VALUE"""),"external granular (germinal) layer of lower rhombic lip")</f>
        <v>external granular (germinal) layer of lower rhombic lip</v>
      </c>
      <c r="F3225" s="9" t="str">
        <f>IFERROR(__xludf.DUMMYFUNCTION("""COMPUTED_VALUE"""),"Br")</f>
        <v>Br</v>
      </c>
      <c r="G3225" s="9" t="str">
        <f>IFERROR(__xludf.DUMMYFUNCTION("""COMPUTED_VALUE"""),"H")</f>
        <v>H</v>
      </c>
      <c r="H3225" s="9" t="str">
        <f>IFERROR(__xludf.DUMMYFUNCTION("""COMPUTED_VALUE"""),"HGM")</f>
        <v>HGM</v>
      </c>
      <c r="I3225" s="9" t="str">
        <f>IFERROR(__xludf.DUMMYFUNCTION("""COMPUTED_VALUE"""),"HTS")</f>
        <v>HTS</v>
      </c>
      <c r="J3225" s="9" t="str">
        <f>IFERROR(__xludf.DUMMYFUNCTION("""COMPUTED_VALUE"""),"RhL")</f>
        <v>RhL</v>
      </c>
      <c r="K3225" s="9" t="str">
        <f>IFERROR(__xludf.DUMMYFUNCTION("""COMPUTED_VALUE"""),"LRL")</f>
        <v>LRL</v>
      </c>
      <c r="L3225" s="9" t="str">
        <f>IFERROR(__xludf.DUMMYFUNCTION("""COMPUTED_VALUE"""),"EGLL")</f>
        <v>EGLL</v>
      </c>
      <c r="M3225" s="9"/>
      <c r="N3225" s="9"/>
      <c r="O3225" s="9"/>
      <c r="P3225" s="9"/>
      <c r="Q3225" s="9"/>
      <c r="R3225" s="9"/>
      <c r="S3225" s="42"/>
      <c r="T3225" s="42"/>
      <c r="U3225" s="42"/>
      <c r="V3225" s="42"/>
      <c r="W3225" s="42"/>
      <c r="X3225" s="42"/>
      <c r="Y3225" s="42"/>
      <c r="Z3225" s="42"/>
      <c r="AA3225" s="42"/>
      <c r="AB3225" s="42" t="str">
        <f>IFERROR(__xludf.DUMMYFUNCTION("""COMPUTED_VALUE"""),"allen institute")</f>
        <v>allen institute</v>
      </c>
      <c r="AC3225" s="42" t="str">
        <f>IFERROR(__xludf.DUMMYFUNCTION("""COMPUTED_VALUE"""),"DHBA")</f>
        <v>DHBA</v>
      </c>
      <c r="AD3225" s="42"/>
      <c r="AE3225" s="42"/>
      <c r="AF3225" s="9"/>
      <c r="AG3225" s="9"/>
      <c r="AH3225" s="42"/>
      <c r="AI3225" s="42"/>
      <c r="AJ3225" s="42"/>
      <c r="AK3225" s="42"/>
      <c r="AL3225" s="42"/>
      <c r="AM3225" s="42"/>
      <c r="AN3225" s="42"/>
      <c r="AO3225" s="63" t="str">
        <f>IFERROR(__xludf.DUMMYFUNCTION("IF(ISBLANK(A3225),,IF(ISBLANK(S3225), A3225&amp;"";"", TEXTJOIN(CHAR(10), TRUE, A3225&amp;"";"", ARRAYFORMULA(VLOOKUP(SPLIT(S3225, "";"" &amp; CHAR(10)), $A:$AO, 41, FALSE)))))"),"EGLL;")</f>
        <v>EGLL;</v>
      </c>
      <c r="AP3225" s="89"/>
    </row>
    <row r="3226">
      <c r="A3226" s="151" t="str">
        <f>IFERROR(__xludf.DUMMYFUNCTION("""COMPUTED_VALUE"""),"TCC")</f>
        <v>TCC</v>
      </c>
      <c r="B3226" s="42" t="str">
        <f>IFERROR(__xludf.DUMMYFUNCTION("""COMPUTED_VALUE"""),"DHBA")</f>
        <v>DHBA</v>
      </c>
      <c r="C3226" s="42" t="str">
        <f>IFERROR(__xludf.DUMMYFUNCTION("""COMPUTED_VALUE"""),"transient cell columns in pons")</f>
        <v>transient cell columns in pons</v>
      </c>
      <c r="D3226" s="42">
        <f>IFERROR(__xludf.DUMMYFUNCTION("""COMPUTED_VALUE"""),3081.0)</f>
        <v>3081</v>
      </c>
      <c r="E3226" s="39" t="str">
        <f>IFERROR(__xludf.DUMMYFUNCTION("""COMPUTED_VALUE"""),"transient cell columns in pons")</f>
        <v>transient cell columns in pons</v>
      </c>
      <c r="F3226" s="9" t="str">
        <f>IFERROR(__xludf.DUMMYFUNCTION("""COMPUTED_VALUE"""),"Br")</f>
        <v>Br</v>
      </c>
      <c r="G3226" s="9" t="str">
        <f>IFERROR(__xludf.DUMMYFUNCTION("""COMPUTED_VALUE"""),"H")</f>
        <v>H</v>
      </c>
      <c r="H3226" s="9" t="str">
        <f>IFERROR(__xludf.DUMMYFUNCTION("""COMPUTED_VALUE"""),"HGM")</f>
        <v>HGM</v>
      </c>
      <c r="I3226" s="9" t="str">
        <f>IFERROR(__xludf.DUMMYFUNCTION("""COMPUTED_VALUE"""),"HTS")</f>
        <v>HTS</v>
      </c>
      <c r="J3226" s="9" t="str">
        <f>IFERROR(__xludf.DUMMYFUNCTION("""COMPUTED_VALUE"""),"TCC")</f>
        <v>TCC</v>
      </c>
      <c r="K3226" s="9"/>
      <c r="L3226" s="9"/>
      <c r="M3226" s="9"/>
      <c r="N3226" s="9"/>
      <c r="O3226" s="9"/>
      <c r="P3226" s="9"/>
      <c r="Q3226" s="9"/>
      <c r="R3226" s="9"/>
      <c r="S3226" s="42" t="str">
        <f>IFERROR(__xludf.DUMMYFUNCTION("""COMPUTED_VALUE"""),"MCCP;
ICCP;
LCCP")</f>
        <v>MCCP;
ICCP;
LCCP</v>
      </c>
      <c r="T3226" s="42"/>
      <c r="U3226" s="159" t="b">
        <f>IFERROR(__xludf.DUMMYFUNCTION("""COMPUTED_VALUE"""),FALSE)</f>
        <v>0</v>
      </c>
      <c r="V3226" s="42"/>
      <c r="W3226" s="42"/>
      <c r="X3226" s="42"/>
      <c r="Y3226" s="42"/>
      <c r="Z3226" s="42"/>
      <c r="AA3226" s="42"/>
      <c r="AB3226" s="42" t="str">
        <f>IFERROR(__xludf.DUMMYFUNCTION("""COMPUTED_VALUE"""),"allen institute")</f>
        <v>allen institute</v>
      </c>
      <c r="AC3226" s="42" t="str">
        <f>IFERROR(__xludf.DUMMYFUNCTION("""COMPUTED_VALUE"""),"DHBA")</f>
        <v>DHBA</v>
      </c>
      <c r="AD3226" s="42"/>
      <c r="AE3226" s="42"/>
      <c r="AF3226" s="9"/>
      <c r="AG3226" s="9"/>
      <c r="AH3226" s="42"/>
      <c r="AI3226" s="42"/>
      <c r="AJ3226" s="42"/>
      <c r="AK3226" s="42"/>
      <c r="AL3226" s="42"/>
      <c r="AM3226" s="42"/>
      <c r="AN3226" s="42"/>
      <c r="AO3226" s="63" t="str">
        <f>IFERROR(__xludf.DUMMYFUNCTION("IF(ISBLANK(A3226),,IF(ISBLANK(S3226), A3226&amp;"";"", TEXTJOIN(CHAR(10), TRUE, A3226&amp;"";"", ARRAYFORMULA(VLOOKUP(SPLIT(S3226, "";"" &amp; CHAR(10)), $A:$AO, 41, FALSE)))))"),"TCC;
MCCP;
ICCP;
LCCP;")</f>
        <v>TCC;
MCCP;
ICCP;
LCCP;</v>
      </c>
      <c r="AP3226" s="89"/>
    </row>
    <row r="3227">
      <c r="A3227" s="151" t="str">
        <f>IFERROR(__xludf.DUMMYFUNCTION("""COMPUTED_VALUE"""),"MCCP")</f>
        <v>MCCP</v>
      </c>
      <c r="B3227" s="42" t="str">
        <f>IFERROR(__xludf.DUMMYFUNCTION("""COMPUTED_VALUE"""),"DHBA")</f>
        <v>DHBA</v>
      </c>
      <c r="C3227" s="42" t="str">
        <f>IFERROR(__xludf.DUMMYFUNCTION("""COMPUTED_VALUE"""),"medial cell column of pons")</f>
        <v>medial cell column of pons</v>
      </c>
      <c r="D3227" s="42">
        <f>IFERROR(__xludf.DUMMYFUNCTION("""COMPUTED_VALUE"""),3082.0)</f>
        <v>3082</v>
      </c>
      <c r="E3227" s="39" t="str">
        <f>IFERROR(__xludf.DUMMYFUNCTION("""COMPUTED_VALUE"""),"medial cell column of pons")</f>
        <v>medial cell column of pons</v>
      </c>
      <c r="F3227" s="9" t="str">
        <f>IFERROR(__xludf.DUMMYFUNCTION("""COMPUTED_VALUE"""),"Br")</f>
        <v>Br</v>
      </c>
      <c r="G3227" s="9" t="str">
        <f>IFERROR(__xludf.DUMMYFUNCTION("""COMPUTED_VALUE"""),"H")</f>
        <v>H</v>
      </c>
      <c r="H3227" s="9" t="str">
        <f>IFERROR(__xludf.DUMMYFUNCTION("""COMPUTED_VALUE"""),"HGM")</f>
        <v>HGM</v>
      </c>
      <c r="I3227" s="9" t="str">
        <f>IFERROR(__xludf.DUMMYFUNCTION("""COMPUTED_VALUE"""),"HTS")</f>
        <v>HTS</v>
      </c>
      <c r="J3227" s="9" t="str">
        <f>IFERROR(__xludf.DUMMYFUNCTION("""COMPUTED_VALUE"""),"TCC")</f>
        <v>TCC</v>
      </c>
      <c r="K3227" s="9" t="str">
        <f>IFERROR(__xludf.DUMMYFUNCTION("""COMPUTED_VALUE"""),"MCCP")</f>
        <v>MCCP</v>
      </c>
      <c r="L3227" s="9"/>
      <c r="M3227" s="9"/>
      <c r="N3227" s="9"/>
      <c r="O3227" s="9"/>
      <c r="P3227" s="9"/>
      <c r="Q3227" s="9"/>
      <c r="R3227" s="9"/>
      <c r="S3227" s="42"/>
      <c r="T3227" s="42"/>
      <c r="U3227" s="42"/>
      <c r="V3227" s="42"/>
      <c r="W3227" s="42"/>
      <c r="X3227" s="42"/>
      <c r="Y3227" s="42"/>
      <c r="Z3227" s="42"/>
      <c r="AA3227" s="42"/>
      <c r="AB3227" s="42" t="str">
        <f>IFERROR(__xludf.DUMMYFUNCTION("""COMPUTED_VALUE"""),"allen institute")</f>
        <v>allen institute</v>
      </c>
      <c r="AC3227" s="42" t="str">
        <f>IFERROR(__xludf.DUMMYFUNCTION("""COMPUTED_VALUE"""),"DHBA")</f>
        <v>DHBA</v>
      </c>
      <c r="AD3227" s="42"/>
      <c r="AE3227" s="42"/>
      <c r="AF3227" s="9"/>
      <c r="AG3227" s="9"/>
      <c r="AH3227" s="42"/>
      <c r="AI3227" s="42"/>
      <c r="AJ3227" s="42"/>
      <c r="AK3227" s="42"/>
      <c r="AL3227" s="42"/>
      <c r="AM3227" s="42"/>
      <c r="AN3227" s="42"/>
      <c r="AO3227" s="63" t="str">
        <f>IFERROR(__xludf.DUMMYFUNCTION("IF(ISBLANK(A3227),,IF(ISBLANK(S3227), A3227&amp;"";"", TEXTJOIN(CHAR(10), TRUE, A3227&amp;"";"", ARRAYFORMULA(VLOOKUP(SPLIT(S3227, "";"" &amp; CHAR(10)), $A:$AO, 41, FALSE)))))"),"MCCP;")</f>
        <v>MCCP;</v>
      </c>
      <c r="AP3227" s="89"/>
    </row>
    <row r="3228">
      <c r="A3228" s="151" t="str">
        <f>IFERROR(__xludf.DUMMYFUNCTION("""COMPUTED_VALUE"""),"ICCP")</f>
        <v>ICCP</v>
      </c>
      <c r="B3228" s="42" t="str">
        <f>IFERROR(__xludf.DUMMYFUNCTION("""COMPUTED_VALUE"""),"DHBA")</f>
        <v>DHBA</v>
      </c>
      <c r="C3228" s="42" t="str">
        <f>IFERROR(__xludf.DUMMYFUNCTION("""COMPUTED_VALUE"""),"intermediate cell column of pons")</f>
        <v>intermediate cell column of pons</v>
      </c>
      <c r="D3228" s="42">
        <f>IFERROR(__xludf.DUMMYFUNCTION("""COMPUTED_VALUE"""),3083.0)</f>
        <v>3083</v>
      </c>
      <c r="E3228" s="39" t="str">
        <f>IFERROR(__xludf.DUMMYFUNCTION("""COMPUTED_VALUE"""),"intermediate cell column of pons")</f>
        <v>intermediate cell column of pons</v>
      </c>
      <c r="F3228" s="9" t="str">
        <f>IFERROR(__xludf.DUMMYFUNCTION("""COMPUTED_VALUE"""),"Br")</f>
        <v>Br</v>
      </c>
      <c r="G3228" s="9" t="str">
        <f>IFERROR(__xludf.DUMMYFUNCTION("""COMPUTED_VALUE"""),"H")</f>
        <v>H</v>
      </c>
      <c r="H3228" s="9" t="str">
        <f>IFERROR(__xludf.DUMMYFUNCTION("""COMPUTED_VALUE"""),"HGM")</f>
        <v>HGM</v>
      </c>
      <c r="I3228" s="9" t="str">
        <f>IFERROR(__xludf.DUMMYFUNCTION("""COMPUTED_VALUE"""),"HTS")</f>
        <v>HTS</v>
      </c>
      <c r="J3228" s="9" t="str">
        <f>IFERROR(__xludf.DUMMYFUNCTION("""COMPUTED_VALUE"""),"TCC")</f>
        <v>TCC</v>
      </c>
      <c r="K3228" s="9" t="str">
        <f>IFERROR(__xludf.DUMMYFUNCTION("""COMPUTED_VALUE"""),"ICCP")</f>
        <v>ICCP</v>
      </c>
      <c r="L3228" s="9"/>
      <c r="M3228" s="9"/>
      <c r="N3228" s="9"/>
      <c r="O3228" s="9"/>
      <c r="P3228" s="9"/>
      <c r="Q3228" s="9"/>
      <c r="R3228" s="9"/>
      <c r="S3228" s="42"/>
      <c r="T3228" s="42"/>
      <c r="U3228" s="42"/>
      <c r="V3228" s="42"/>
      <c r="W3228" s="42"/>
      <c r="X3228" s="42"/>
      <c r="Y3228" s="42"/>
      <c r="Z3228" s="42"/>
      <c r="AA3228" s="42"/>
      <c r="AB3228" s="42" t="str">
        <f>IFERROR(__xludf.DUMMYFUNCTION("""COMPUTED_VALUE"""),"allen institute")</f>
        <v>allen institute</v>
      </c>
      <c r="AC3228" s="42" t="str">
        <f>IFERROR(__xludf.DUMMYFUNCTION("""COMPUTED_VALUE"""),"DHBA")</f>
        <v>DHBA</v>
      </c>
      <c r="AD3228" s="42"/>
      <c r="AE3228" s="42"/>
      <c r="AF3228" s="9"/>
      <c r="AG3228" s="9"/>
      <c r="AH3228" s="42"/>
      <c r="AI3228" s="42"/>
      <c r="AJ3228" s="42"/>
      <c r="AK3228" s="42"/>
      <c r="AL3228" s="42"/>
      <c r="AM3228" s="42"/>
      <c r="AN3228" s="42"/>
      <c r="AO3228" s="63" t="str">
        <f>IFERROR(__xludf.DUMMYFUNCTION("IF(ISBLANK(A3228),,IF(ISBLANK(S3228), A3228&amp;"";"", TEXTJOIN(CHAR(10), TRUE, A3228&amp;"";"", ARRAYFORMULA(VLOOKUP(SPLIT(S3228, "";"" &amp; CHAR(10)), $A:$AO, 41, FALSE)))))"),"ICCP;")</f>
        <v>ICCP;</v>
      </c>
      <c r="AP3228" s="89"/>
    </row>
    <row r="3229">
      <c r="A3229" s="151" t="str">
        <f>IFERROR(__xludf.DUMMYFUNCTION("""COMPUTED_VALUE"""),"LCCP")</f>
        <v>LCCP</v>
      </c>
      <c r="B3229" s="42" t="str">
        <f>IFERROR(__xludf.DUMMYFUNCTION("""COMPUTED_VALUE"""),"DHBA")</f>
        <v>DHBA</v>
      </c>
      <c r="C3229" s="42" t="str">
        <f>IFERROR(__xludf.DUMMYFUNCTION("""COMPUTED_VALUE"""),"lateral cell column of pons")</f>
        <v>lateral cell column of pons</v>
      </c>
      <c r="D3229" s="42">
        <f>IFERROR(__xludf.DUMMYFUNCTION("""COMPUTED_VALUE"""),3084.0)</f>
        <v>3084</v>
      </c>
      <c r="E3229" s="39" t="str">
        <f>IFERROR(__xludf.DUMMYFUNCTION("""COMPUTED_VALUE"""),"lateral cell column of pons")</f>
        <v>lateral cell column of pons</v>
      </c>
      <c r="F3229" s="9" t="str">
        <f>IFERROR(__xludf.DUMMYFUNCTION("""COMPUTED_VALUE"""),"Br")</f>
        <v>Br</v>
      </c>
      <c r="G3229" s="9" t="str">
        <f>IFERROR(__xludf.DUMMYFUNCTION("""COMPUTED_VALUE"""),"H")</f>
        <v>H</v>
      </c>
      <c r="H3229" s="9" t="str">
        <f>IFERROR(__xludf.DUMMYFUNCTION("""COMPUTED_VALUE"""),"HGM")</f>
        <v>HGM</v>
      </c>
      <c r="I3229" s="9" t="str">
        <f>IFERROR(__xludf.DUMMYFUNCTION("""COMPUTED_VALUE"""),"HTS")</f>
        <v>HTS</v>
      </c>
      <c r="J3229" s="9" t="str">
        <f>IFERROR(__xludf.DUMMYFUNCTION("""COMPUTED_VALUE"""),"TCC")</f>
        <v>TCC</v>
      </c>
      <c r="K3229" s="9" t="str">
        <f>IFERROR(__xludf.DUMMYFUNCTION("""COMPUTED_VALUE"""),"LCCP")</f>
        <v>LCCP</v>
      </c>
      <c r="L3229" s="9"/>
      <c r="M3229" s="9"/>
      <c r="N3229" s="9"/>
      <c r="O3229" s="9"/>
      <c r="P3229" s="9"/>
      <c r="Q3229" s="9"/>
      <c r="R3229" s="9"/>
      <c r="S3229" s="42"/>
      <c r="T3229" s="42"/>
      <c r="U3229" s="159"/>
      <c r="V3229" s="42"/>
      <c r="W3229" s="42"/>
      <c r="X3229" s="42"/>
      <c r="Y3229" s="42"/>
      <c r="Z3229" s="42"/>
      <c r="AA3229" s="42"/>
      <c r="AB3229" s="42" t="str">
        <f>IFERROR(__xludf.DUMMYFUNCTION("""COMPUTED_VALUE"""),"allen institute")</f>
        <v>allen institute</v>
      </c>
      <c r="AC3229" s="42" t="str">
        <f>IFERROR(__xludf.DUMMYFUNCTION("""COMPUTED_VALUE"""),"DHBA")</f>
        <v>DHBA</v>
      </c>
      <c r="AD3229" s="42"/>
      <c r="AE3229" s="42"/>
      <c r="AF3229" s="9"/>
      <c r="AG3229" s="9"/>
      <c r="AH3229" s="42"/>
      <c r="AI3229" s="42"/>
      <c r="AJ3229" s="42"/>
      <c r="AK3229" s="42"/>
      <c r="AL3229" s="42"/>
      <c r="AM3229" s="42"/>
      <c r="AN3229" s="42"/>
      <c r="AO3229" s="63" t="str">
        <f>IFERROR(__xludf.DUMMYFUNCTION("IF(ISBLANK(A3229),,IF(ISBLANK(S3229), A3229&amp;"";"", TEXTJOIN(CHAR(10), TRUE, A3229&amp;"";"", ARRAYFORMULA(VLOOKUP(SPLIT(S3229, "";"" &amp; CHAR(10)), $A:$AO, 41, FALSE)))))"),"LCCP;")</f>
        <v>LCCP;</v>
      </c>
      <c r="AP3229" s="89"/>
    </row>
    <row r="3230">
      <c r="A3230" s="151" t="str">
        <f>IFERROR(__xludf.DUMMYFUNCTION("""COMPUTED_VALUE"""),"TPk")</f>
        <v>TPk</v>
      </c>
      <c r="B3230" s="42" t="str">
        <f>IFERROR(__xludf.DUMMYFUNCTION("""COMPUTED_VALUE"""),"DHBA")</f>
        <v>DHBA</v>
      </c>
      <c r="C3230" s="42" t="str">
        <f>IFERROR(__xludf.DUMMYFUNCTION("""COMPUTED_VALUE"""),"transient Purkinje cell clusters")</f>
        <v>transient Purkinje cell clusters</v>
      </c>
      <c r="D3230" s="42">
        <f>IFERROR(__xludf.DUMMYFUNCTION("""COMPUTED_VALUE"""),3085.0)</f>
        <v>3085</v>
      </c>
      <c r="E3230" s="39" t="str">
        <f>IFERROR(__xludf.DUMMYFUNCTION("""COMPUTED_VALUE"""),"transient Purkinje cell clusters")</f>
        <v>transient Purkinje cell clusters</v>
      </c>
      <c r="F3230" s="9" t="str">
        <f>IFERROR(__xludf.DUMMYFUNCTION("""COMPUTED_VALUE"""),"Br")</f>
        <v>Br</v>
      </c>
      <c r="G3230" s="9" t="str">
        <f>IFERROR(__xludf.DUMMYFUNCTION("""COMPUTED_VALUE"""),"H")</f>
        <v>H</v>
      </c>
      <c r="H3230" s="9" t="str">
        <f>IFERROR(__xludf.DUMMYFUNCTION("""COMPUTED_VALUE"""),"HGM")</f>
        <v>HGM</v>
      </c>
      <c r="I3230" s="9" t="str">
        <f>IFERROR(__xludf.DUMMYFUNCTION("""COMPUTED_VALUE"""),"HTS")</f>
        <v>HTS</v>
      </c>
      <c r="J3230" s="9" t="str">
        <f>IFERROR(__xludf.DUMMYFUNCTION("""COMPUTED_VALUE"""),"TPk")</f>
        <v>TPk</v>
      </c>
      <c r="K3230" s="9"/>
      <c r="L3230" s="9"/>
      <c r="M3230" s="9"/>
      <c r="N3230" s="9"/>
      <c r="O3230" s="9"/>
      <c r="P3230" s="9"/>
      <c r="Q3230" s="9"/>
      <c r="R3230" s="9"/>
      <c r="S3230" s="42" t="str">
        <f>IFERROR(__xludf.DUMMYFUNCTION("""COMPUTED_VALUE"""),"PkA;
PkB;
PkC;
PkD;
PkE;
PkF;
PkG;
PkH")</f>
        <v>PkA;
PkB;
PkC;
PkD;
PkE;
PkF;
PkG;
PkH</v>
      </c>
      <c r="T3230" s="42"/>
      <c r="U3230" s="159" t="b">
        <f>IFERROR(__xludf.DUMMYFUNCTION("""COMPUTED_VALUE"""),FALSE)</f>
        <v>0</v>
      </c>
      <c r="V3230" s="42"/>
      <c r="W3230" s="42"/>
      <c r="X3230" s="42"/>
      <c r="Y3230" s="42"/>
      <c r="Z3230" s="42"/>
      <c r="AA3230" s="42"/>
      <c r="AB3230" s="42" t="str">
        <f>IFERROR(__xludf.DUMMYFUNCTION("""COMPUTED_VALUE"""),"allen institute")</f>
        <v>allen institute</v>
      </c>
      <c r="AC3230" s="42" t="str">
        <f>IFERROR(__xludf.DUMMYFUNCTION("""COMPUTED_VALUE"""),"DHBA")</f>
        <v>DHBA</v>
      </c>
      <c r="AD3230" s="42"/>
      <c r="AE3230" s="42"/>
      <c r="AF3230" s="9"/>
      <c r="AG3230" s="9"/>
      <c r="AH3230" s="42"/>
      <c r="AI3230" s="42"/>
      <c r="AJ3230" s="42"/>
      <c r="AK3230" s="42"/>
      <c r="AL3230" s="42"/>
      <c r="AM3230" s="42"/>
      <c r="AN3230" s="42"/>
      <c r="AO3230" s="63" t="str">
        <f>IFERROR(__xludf.DUMMYFUNCTION("IF(ISBLANK(A3230),,IF(ISBLANK(S3230), A3230&amp;"";"", TEXTJOIN(CHAR(10), TRUE, A3230&amp;"";"", ARRAYFORMULA(VLOOKUP(SPLIT(S3230, "";"" &amp; CHAR(10)), $A:$AO, 41, FALSE)))))"),"TPk;
PkA;
PkB;
PkC;
PkD;
PkE;
PkF;
PkG;
PkH;")</f>
        <v>TPk;
PkA;
PkB;
PkC;
PkD;
PkE;
PkF;
PkG;
PkH;</v>
      </c>
      <c r="AP3230" s="89"/>
    </row>
    <row r="3231">
      <c r="A3231" s="151" t="str">
        <f>IFERROR(__xludf.DUMMYFUNCTION("""COMPUTED_VALUE"""),"PkA")</f>
        <v>PkA</v>
      </c>
      <c r="B3231" s="42" t="str">
        <f>IFERROR(__xludf.DUMMYFUNCTION("""COMPUTED_VALUE"""),"DHBA")</f>
        <v>DHBA</v>
      </c>
      <c r="C3231" s="42" t="str">
        <f>IFERROR(__xludf.DUMMYFUNCTION("""COMPUTED_VALUE"""),"cluster A of Purkinje cells")</f>
        <v>cluster A of Purkinje cells</v>
      </c>
      <c r="D3231" s="42">
        <f>IFERROR(__xludf.DUMMYFUNCTION("""COMPUTED_VALUE"""),3086.0)</f>
        <v>3086</v>
      </c>
      <c r="E3231" s="39" t="str">
        <f>IFERROR(__xludf.DUMMYFUNCTION("""COMPUTED_VALUE"""),"cluster A of Purkinje cells")</f>
        <v>cluster A of Purkinje cells</v>
      </c>
      <c r="F3231" s="9" t="str">
        <f>IFERROR(__xludf.DUMMYFUNCTION("""COMPUTED_VALUE"""),"Br")</f>
        <v>Br</v>
      </c>
      <c r="G3231" s="9" t="str">
        <f>IFERROR(__xludf.DUMMYFUNCTION("""COMPUTED_VALUE"""),"H")</f>
        <v>H</v>
      </c>
      <c r="H3231" s="9" t="str">
        <f>IFERROR(__xludf.DUMMYFUNCTION("""COMPUTED_VALUE"""),"HGM")</f>
        <v>HGM</v>
      </c>
      <c r="I3231" s="9" t="str">
        <f>IFERROR(__xludf.DUMMYFUNCTION("""COMPUTED_VALUE"""),"HTS")</f>
        <v>HTS</v>
      </c>
      <c r="J3231" s="9" t="str">
        <f>IFERROR(__xludf.DUMMYFUNCTION("""COMPUTED_VALUE"""),"TPk")</f>
        <v>TPk</v>
      </c>
      <c r="K3231" s="9" t="str">
        <f>IFERROR(__xludf.DUMMYFUNCTION("""COMPUTED_VALUE"""),"PkA")</f>
        <v>PkA</v>
      </c>
      <c r="L3231" s="9"/>
      <c r="M3231" s="9"/>
      <c r="N3231" s="9"/>
      <c r="O3231" s="9"/>
      <c r="P3231" s="9"/>
      <c r="Q3231" s="9"/>
      <c r="R3231" s="9"/>
      <c r="S3231" s="42"/>
      <c r="T3231" s="42"/>
      <c r="U3231" s="159"/>
      <c r="V3231" s="42"/>
      <c r="W3231" s="42"/>
      <c r="X3231" s="42"/>
      <c r="Y3231" s="42"/>
      <c r="Z3231" s="42"/>
      <c r="AA3231" s="42"/>
      <c r="AB3231" s="42" t="str">
        <f>IFERROR(__xludf.DUMMYFUNCTION("""COMPUTED_VALUE"""),"allen institute")</f>
        <v>allen institute</v>
      </c>
      <c r="AC3231" s="42" t="str">
        <f>IFERROR(__xludf.DUMMYFUNCTION("""COMPUTED_VALUE"""),"DHBA")</f>
        <v>DHBA</v>
      </c>
      <c r="AD3231" s="42"/>
      <c r="AE3231" s="42"/>
      <c r="AF3231" s="9"/>
      <c r="AG3231" s="9"/>
      <c r="AH3231" s="42"/>
      <c r="AI3231" s="42"/>
      <c r="AJ3231" s="42"/>
      <c r="AK3231" s="42"/>
      <c r="AL3231" s="42"/>
      <c r="AM3231" s="42"/>
      <c r="AN3231" s="42"/>
      <c r="AO3231" s="63" t="str">
        <f>IFERROR(__xludf.DUMMYFUNCTION("IF(ISBLANK(A3231),,IF(ISBLANK(S3231), A3231&amp;"";"", TEXTJOIN(CHAR(10), TRUE, A3231&amp;"";"", ARRAYFORMULA(VLOOKUP(SPLIT(S3231, "";"" &amp; CHAR(10)), $A:$AO, 41, FALSE)))))"),"PkA;")</f>
        <v>PkA;</v>
      </c>
      <c r="AP3231" s="89"/>
    </row>
    <row r="3232">
      <c r="A3232" s="151" t="str">
        <f>IFERROR(__xludf.DUMMYFUNCTION("""COMPUTED_VALUE"""),"PkB")</f>
        <v>PkB</v>
      </c>
      <c r="B3232" s="42" t="str">
        <f>IFERROR(__xludf.DUMMYFUNCTION("""COMPUTED_VALUE"""),"DHBA")</f>
        <v>DHBA</v>
      </c>
      <c r="C3232" s="42" t="str">
        <f>IFERROR(__xludf.DUMMYFUNCTION("""COMPUTED_VALUE"""),"cluster B of Purkinje cells")</f>
        <v>cluster B of Purkinje cells</v>
      </c>
      <c r="D3232" s="42">
        <f>IFERROR(__xludf.DUMMYFUNCTION("""COMPUTED_VALUE"""),3087.0)</f>
        <v>3087</v>
      </c>
      <c r="E3232" s="39" t="str">
        <f>IFERROR(__xludf.DUMMYFUNCTION("""COMPUTED_VALUE"""),"cluster B of Purkinje cells")</f>
        <v>cluster B of Purkinje cells</v>
      </c>
      <c r="F3232" s="9" t="str">
        <f>IFERROR(__xludf.DUMMYFUNCTION("""COMPUTED_VALUE"""),"Br")</f>
        <v>Br</v>
      </c>
      <c r="G3232" s="9" t="str">
        <f>IFERROR(__xludf.DUMMYFUNCTION("""COMPUTED_VALUE"""),"H")</f>
        <v>H</v>
      </c>
      <c r="H3232" s="9" t="str">
        <f>IFERROR(__xludf.DUMMYFUNCTION("""COMPUTED_VALUE"""),"HGM")</f>
        <v>HGM</v>
      </c>
      <c r="I3232" s="9" t="str">
        <f>IFERROR(__xludf.DUMMYFUNCTION("""COMPUTED_VALUE"""),"HTS")</f>
        <v>HTS</v>
      </c>
      <c r="J3232" s="9" t="str">
        <f>IFERROR(__xludf.DUMMYFUNCTION("""COMPUTED_VALUE"""),"TPk")</f>
        <v>TPk</v>
      </c>
      <c r="K3232" s="9" t="str">
        <f>IFERROR(__xludf.DUMMYFUNCTION("""COMPUTED_VALUE"""),"PkB")</f>
        <v>PkB</v>
      </c>
      <c r="L3232" s="9"/>
      <c r="M3232" s="9"/>
      <c r="N3232" s="9"/>
      <c r="O3232" s="9"/>
      <c r="P3232" s="9"/>
      <c r="Q3232" s="9"/>
      <c r="R3232" s="9"/>
      <c r="S3232" s="42"/>
      <c r="T3232" s="42"/>
      <c r="U3232" s="159"/>
      <c r="V3232" s="42"/>
      <c r="W3232" s="42"/>
      <c r="X3232" s="42"/>
      <c r="Y3232" s="42"/>
      <c r="Z3232" s="42"/>
      <c r="AA3232" s="42"/>
      <c r="AB3232" s="42" t="str">
        <f>IFERROR(__xludf.DUMMYFUNCTION("""COMPUTED_VALUE"""),"allen institute")</f>
        <v>allen institute</v>
      </c>
      <c r="AC3232" s="42" t="str">
        <f>IFERROR(__xludf.DUMMYFUNCTION("""COMPUTED_VALUE"""),"DHBA")</f>
        <v>DHBA</v>
      </c>
      <c r="AD3232" s="42"/>
      <c r="AE3232" s="42"/>
      <c r="AF3232" s="9"/>
      <c r="AG3232" s="9"/>
      <c r="AH3232" s="42"/>
      <c r="AI3232" s="42"/>
      <c r="AJ3232" s="42"/>
      <c r="AK3232" s="42"/>
      <c r="AL3232" s="42"/>
      <c r="AM3232" s="42"/>
      <c r="AN3232" s="42"/>
      <c r="AO3232" s="63" t="str">
        <f>IFERROR(__xludf.DUMMYFUNCTION("IF(ISBLANK(A3232),,IF(ISBLANK(S3232), A3232&amp;"";"", TEXTJOIN(CHAR(10), TRUE, A3232&amp;"";"", ARRAYFORMULA(VLOOKUP(SPLIT(S3232, "";"" &amp; CHAR(10)), $A:$AO, 41, FALSE)))))"),"PkB;")</f>
        <v>PkB;</v>
      </c>
      <c r="AP3232" s="89"/>
    </row>
    <row r="3233">
      <c r="A3233" s="151" t="str">
        <f>IFERROR(__xludf.DUMMYFUNCTION("""COMPUTED_VALUE"""),"PkC")</f>
        <v>PkC</v>
      </c>
      <c r="B3233" s="42" t="str">
        <f>IFERROR(__xludf.DUMMYFUNCTION("""COMPUTED_VALUE"""),"DHBA")</f>
        <v>DHBA</v>
      </c>
      <c r="C3233" s="42" t="str">
        <f>IFERROR(__xludf.DUMMYFUNCTION("""COMPUTED_VALUE"""),"cluster C of Purkinje cells")</f>
        <v>cluster C of Purkinje cells</v>
      </c>
      <c r="D3233" s="42">
        <f>IFERROR(__xludf.DUMMYFUNCTION("""COMPUTED_VALUE"""),3088.0)</f>
        <v>3088</v>
      </c>
      <c r="E3233" s="39" t="str">
        <f>IFERROR(__xludf.DUMMYFUNCTION("""COMPUTED_VALUE"""),"cluster C of Purkinje cells")</f>
        <v>cluster C of Purkinje cells</v>
      </c>
      <c r="F3233" s="9" t="str">
        <f>IFERROR(__xludf.DUMMYFUNCTION("""COMPUTED_VALUE"""),"Br")</f>
        <v>Br</v>
      </c>
      <c r="G3233" s="9" t="str">
        <f>IFERROR(__xludf.DUMMYFUNCTION("""COMPUTED_VALUE"""),"H")</f>
        <v>H</v>
      </c>
      <c r="H3233" s="9" t="str">
        <f>IFERROR(__xludf.DUMMYFUNCTION("""COMPUTED_VALUE"""),"HGM")</f>
        <v>HGM</v>
      </c>
      <c r="I3233" s="9" t="str">
        <f>IFERROR(__xludf.DUMMYFUNCTION("""COMPUTED_VALUE"""),"HTS")</f>
        <v>HTS</v>
      </c>
      <c r="J3233" s="9" t="str">
        <f>IFERROR(__xludf.DUMMYFUNCTION("""COMPUTED_VALUE"""),"TPk")</f>
        <v>TPk</v>
      </c>
      <c r="K3233" s="9" t="str">
        <f>IFERROR(__xludf.DUMMYFUNCTION("""COMPUTED_VALUE"""),"PkC")</f>
        <v>PkC</v>
      </c>
      <c r="L3233" s="9"/>
      <c r="M3233" s="9"/>
      <c r="N3233" s="9"/>
      <c r="O3233" s="9"/>
      <c r="P3233" s="9"/>
      <c r="Q3233" s="9"/>
      <c r="R3233" s="9"/>
      <c r="S3233" s="42"/>
      <c r="T3233" s="42"/>
      <c r="U3233" s="42"/>
      <c r="V3233" s="42"/>
      <c r="W3233" s="42"/>
      <c r="X3233" s="42"/>
      <c r="Y3233" s="42"/>
      <c r="Z3233" s="42"/>
      <c r="AA3233" s="42"/>
      <c r="AB3233" s="42" t="str">
        <f>IFERROR(__xludf.DUMMYFUNCTION("""COMPUTED_VALUE"""),"allen institute")</f>
        <v>allen institute</v>
      </c>
      <c r="AC3233" s="42" t="str">
        <f>IFERROR(__xludf.DUMMYFUNCTION("""COMPUTED_VALUE"""),"DHBA")</f>
        <v>DHBA</v>
      </c>
      <c r="AD3233" s="42"/>
      <c r="AE3233" s="42"/>
      <c r="AF3233" s="9"/>
      <c r="AG3233" s="9"/>
      <c r="AH3233" s="42"/>
      <c r="AI3233" s="42"/>
      <c r="AJ3233" s="42"/>
      <c r="AK3233" s="42"/>
      <c r="AL3233" s="42"/>
      <c r="AM3233" s="42"/>
      <c r="AN3233" s="42"/>
      <c r="AO3233" s="63" t="str">
        <f>IFERROR(__xludf.DUMMYFUNCTION("IF(ISBLANK(A3233),,IF(ISBLANK(S3233), A3233&amp;"";"", TEXTJOIN(CHAR(10), TRUE, A3233&amp;"";"", ARRAYFORMULA(VLOOKUP(SPLIT(S3233, "";"" &amp; CHAR(10)), $A:$AO, 41, FALSE)))))"),"PkC;")</f>
        <v>PkC;</v>
      </c>
      <c r="AP3233" s="89"/>
    </row>
    <row r="3234">
      <c r="A3234" s="151" t="str">
        <f>IFERROR(__xludf.DUMMYFUNCTION("""COMPUTED_VALUE"""),"PkD")</f>
        <v>PkD</v>
      </c>
      <c r="B3234" s="42" t="str">
        <f>IFERROR(__xludf.DUMMYFUNCTION("""COMPUTED_VALUE"""),"DHBA")</f>
        <v>DHBA</v>
      </c>
      <c r="C3234" s="42" t="str">
        <f>IFERROR(__xludf.DUMMYFUNCTION("""COMPUTED_VALUE"""),"cluster D of Purkinje cells")</f>
        <v>cluster D of Purkinje cells</v>
      </c>
      <c r="D3234" s="42">
        <f>IFERROR(__xludf.DUMMYFUNCTION("""COMPUTED_VALUE"""),3089.0)</f>
        <v>3089</v>
      </c>
      <c r="E3234" s="39" t="str">
        <f>IFERROR(__xludf.DUMMYFUNCTION("""COMPUTED_VALUE"""),"cluster D of Purkinje cells")</f>
        <v>cluster D of Purkinje cells</v>
      </c>
      <c r="F3234" s="9" t="str">
        <f>IFERROR(__xludf.DUMMYFUNCTION("""COMPUTED_VALUE"""),"Br")</f>
        <v>Br</v>
      </c>
      <c r="G3234" s="9" t="str">
        <f>IFERROR(__xludf.DUMMYFUNCTION("""COMPUTED_VALUE"""),"H")</f>
        <v>H</v>
      </c>
      <c r="H3234" s="9" t="str">
        <f>IFERROR(__xludf.DUMMYFUNCTION("""COMPUTED_VALUE"""),"HGM")</f>
        <v>HGM</v>
      </c>
      <c r="I3234" s="9" t="str">
        <f>IFERROR(__xludf.DUMMYFUNCTION("""COMPUTED_VALUE"""),"HTS")</f>
        <v>HTS</v>
      </c>
      <c r="J3234" s="9" t="str">
        <f>IFERROR(__xludf.DUMMYFUNCTION("""COMPUTED_VALUE"""),"TPk")</f>
        <v>TPk</v>
      </c>
      <c r="K3234" s="9" t="str">
        <f>IFERROR(__xludf.DUMMYFUNCTION("""COMPUTED_VALUE"""),"PkD")</f>
        <v>PkD</v>
      </c>
      <c r="L3234" s="9"/>
      <c r="M3234" s="9"/>
      <c r="N3234" s="9"/>
      <c r="O3234" s="9"/>
      <c r="P3234" s="9"/>
      <c r="Q3234" s="9"/>
      <c r="R3234" s="9"/>
      <c r="S3234" s="42"/>
      <c r="T3234" s="42"/>
      <c r="U3234" s="42"/>
      <c r="V3234" s="42"/>
      <c r="W3234" s="42"/>
      <c r="X3234" s="42"/>
      <c r="Y3234" s="42"/>
      <c r="Z3234" s="42"/>
      <c r="AA3234" s="42"/>
      <c r="AB3234" s="42" t="str">
        <f>IFERROR(__xludf.DUMMYFUNCTION("""COMPUTED_VALUE"""),"allen institute")</f>
        <v>allen institute</v>
      </c>
      <c r="AC3234" s="42" t="str">
        <f>IFERROR(__xludf.DUMMYFUNCTION("""COMPUTED_VALUE"""),"DHBA")</f>
        <v>DHBA</v>
      </c>
      <c r="AD3234" s="42"/>
      <c r="AE3234" s="42"/>
      <c r="AF3234" s="9"/>
      <c r="AG3234" s="9"/>
      <c r="AH3234" s="42"/>
      <c r="AI3234" s="42"/>
      <c r="AJ3234" s="42"/>
      <c r="AK3234" s="42"/>
      <c r="AL3234" s="42"/>
      <c r="AM3234" s="42"/>
      <c r="AN3234" s="42"/>
      <c r="AO3234" s="63" t="str">
        <f>IFERROR(__xludf.DUMMYFUNCTION("IF(ISBLANK(A3234),,IF(ISBLANK(S3234), A3234&amp;"";"", TEXTJOIN(CHAR(10), TRUE, A3234&amp;"";"", ARRAYFORMULA(VLOOKUP(SPLIT(S3234, "";"" &amp; CHAR(10)), $A:$AO, 41, FALSE)))))"),"PkD;")</f>
        <v>PkD;</v>
      </c>
      <c r="AP3234" s="89"/>
    </row>
    <row r="3235">
      <c r="A3235" s="151" t="str">
        <f>IFERROR(__xludf.DUMMYFUNCTION("""COMPUTED_VALUE"""),"PkE")</f>
        <v>PkE</v>
      </c>
      <c r="B3235" s="42" t="str">
        <f>IFERROR(__xludf.DUMMYFUNCTION("""COMPUTED_VALUE"""),"DHBA")</f>
        <v>DHBA</v>
      </c>
      <c r="C3235" s="42" t="str">
        <f>IFERROR(__xludf.DUMMYFUNCTION("""COMPUTED_VALUE"""),"cluster E of Purkinje cells")</f>
        <v>cluster E of Purkinje cells</v>
      </c>
      <c r="D3235" s="42">
        <f>IFERROR(__xludf.DUMMYFUNCTION("""COMPUTED_VALUE"""),3090.0)</f>
        <v>3090</v>
      </c>
      <c r="E3235" s="39" t="str">
        <f>IFERROR(__xludf.DUMMYFUNCTION("""COMPUTED_VALUE"""),"cluster E of Purkinje cells")</f>
        <v>cluster E of Purkinje cells</v>
      </c>
      <c r="F3235" s="9" t="str">
        <f>IFERROR(__xludf.DUMMYFUNCTION("""COMPUTED_VALUE"""),"Br")</f>
        <v>Br</v>
      </c>
      <c r="G3235" s="9" t="str">
        <f>IFERROR(__xludf.DUMMYFUNCTION("""COMPUTED_VALUE"""),"H")</f>
        <v>H</v>
      </c>
      <c r="H3235" s="9" t="str">
        <f>IFERROR(__xludf.DUMMYFUNCTION("""COMPUTED_VALUE"""),"HGM")</f>
        <v>HGM</v>
      </c>
      <c r="I3235" s="9" t="str">
        <f>IFERROR(__xludf.DUMMYFUNCTION("""COMPUTED_VALUE"""),"HTS")</f>
        <v>HTS</v>
      </c>
      <c r="J3235" s="9" t="str">
        <f>IFERROR(__xludf.DUMMYFUNCTION("""COMPUTED_VALUE"""),"TPk")</f>
        <v>TPk</v>
      </c>
      <c r="K3235" s="9" t="str">
        <f>IFERROR(__xludf.DUMMYFUNCTION("""COMPUTED_VALUE"""),"PkE")</f>
        <v>PkE</v>
      </c>
      <c r="L3235" s="9"/>
      <c r="M3235" s="9"/>
      <c r="N3235" s="9"/>
      <c r="O3235" s="9"/>
      <c r="P3235" s="9"/>
      <c r="Q3235" s="9"/>
      <c r="R3235" s="9"/>
      <c r="S3235" s="42"/>
      <c r="T3235" s="42"/>
      <c r="U3235" s="42"/>
      <c r="V3235" s="42"/>
      <c r="W3235" s="42"/>
      <c r="X3235" s="42"/>
      <c r="Y3235" s="42"/>
      <c r="Z3235" s="42"/>
      <c r="AA3235" s="42"/>
      <c r="AB3235" s="42" t="str">
        <f>IFERROR(__xludf.DUMMYFUNCTION("""COMPUTED_VALUE"""),"allen institute")</f>
        <v>allen institute</v>
      </c>
      <c r="AC3235" s="42" t="str">
        <f>IFERROR(__xludf.DUMMYFUNCTION("""COMPUTED_VALUE"""),"DHBA")</f>
        <v>DHBA</v>
      </c>
      <c r="AD3235" s="42"/>
      <c r="AE3235" s="42"/>
      <c r="AF3235" s="9"/>
      <c r="AG3235" s="9"/>
      <c r="AH3235" s="42"/>
      <c r="AI3235" s="42"/>
      <c r="AJ3235" s="42"/>
      <c r="AK3235" s="42"/>
      <c r="AL3235" s="42"/>
      <c r="AM3235" s="42"/>
      <c r="AN3235" s="42"/>
      <c r="AO3235" s="63" t="str">
        <f>IFERROR(__xludf.DUMMYFUNCTION("IF(ISBLANK(A3235),,IF(ISBLANK(S3235), A3235&amp;"";"", TEXTJOIN(CHAR(10), TRUE, A3235&amp;"";"", ARRAYFORMULA(VLOOKUP(SPLIT(S3235, "";"" &amp; CHAR(10)), $A:$AO, 41, FALSE)))))"),"PkE;")</f>
        <v>PkE;</v>
      </c>
      <c r="AP3235" s="89"/>
    </row>
    <row r="3236">
      <c r="A3236" s="151" t="str">
        <f>IFERROR(__xludf.DUMMYFUNCTION("""COMPUTED_VALUE"""),"PkF")</f>
        <v>PkF</v>
      </c>
      <c r="B3236" s="42" t="str">
        <f>IFERROR(__xludf.DUMMYFUNCTION("""COMPUTED_VALUE"""),"DHBA")</f>
        <v>DHBA</v>
      </c>
      <c r="C3236" s="42" t="str">
        <f>IFERROR(__xludf.DUMMYFUNCTION("""COMPUTED_VALUE"""),"cluster F of Purkinje cells")</f>
        <v>cluster F of Purkinje cells</v>
      </c>
      <c r="D3236" s="42">
        <f>IFERROR(__xludf.DUMMYFUNCTION("""COMPUTED_VALUE"""),3091.0)</f>
        <v>3091</v>
      </c>
      <c r="E3236" s="39" t="str">
        <f>IFERROR(__xludf.DUMMYFUNCTION("""COMPUTED_VALUE"""),"cluster F of Purkinje cells")</f>
        <v>cluster F of Purkinje cells</v>
      </c>
      <c r="F3236" s="9" t="str">
        <f>IFERROR(__xludf.DUMMYFUNCTION("""COMPUTED_VALUE"""),"Br")</f>
        <v>Br</v>
      </c>
      <c r="G3236" s="9" t="str">
        <f>IFERROR(__xludf.DUMMYFUNCTION("""COMPUTED_VALUE"""),"H")</f>
        <v>H</v>
      </c>
      <c r="H3236" s="9" t="str">
        <f>IFERROR(__xludf.DUMMYFUNCTION("""COMPUTED_VALUE"""),"HGM")</f>
        <v>HGM</v>
      </c>
      <c r="I3236" s="9" t="str">
        <f>IFERROR(__xludf.DUMMYFUNCTION("""COMPUTED_VALUE"""),"HTS")</f>
        <v>HTS</v>
      </c>
      <c r="J3236" s="9" t="str">
        <f>IFERROR(__xludf.DUMMYFUNCTION("""COMPUTED_VALUE"""),"TPk")</f>
        <v>TPk</v>
      </c>
      <c r="K3236" s="9" t="str">
        <f>IFERROR(__xludf.DUMMYFUNCTION("""COMPUTED_VALUE"""),"PkF")</f>
        <v>PkF</v>
      </c>
      <c r="L3236" s="9"/>
      <c r="M3236" s="9"/>
      <c r="N3236" s="9"/>
      <c r="O3236" s="9"/>
      <c r="P3236" s="9"/>
      <c r="Q3236" s="9"/>
      <c r="R3236" s="9"/>
      <c r="S3236" s="42"/>
      <c r="T3236" s="42"/>
      <c r="U3236" s="42"/>
      <c r="V3236" s="42"/>
      <c r="W3236" s="42"/>
      <c r="X3236" s="42"/>
      <c r="Y3236" s="42"/>
      <c r="Z3236" s="42"/>
      <c r="AA3236" s="42"/>
      <c r="AB3236" s="42" t="str">
        <f>IFERROR(__xludf.DUMMYFUNCTION("""COMPUTED_VALUE"""),"allen institute")</f>
        <v>allen institute</v>
      </c>
      <c r="AC3236" s="42" t="str">
        <f>IFERROR(__xludf.DUMMYFUNCTION("""COMPUTED_VALUE"""),"DHBA")</f>
        <v>DHBA</v>
      </c>
      <c r="AD3236" s="42"/>
      <c r="AE3236" s="42"/>
      <c r="AF3236" s="9"/>
      <c r="AG3236" s="9"/>
      <c r="AH3236" s="42"/>
      <c r="AI3236" s="42"/>
      <c r="AJ3236" s="42"/>
      <c r="AK3236" s="42"/>
      <c r="AL3236" s="42"/>
      <c r="AM3236" s="42"/>
      <c r="AN3236" s="42"/>
      <c r="AO3236" s="63" t="str">
        <f>IFERROR(__xludf.DUMMYFUNCTION("IF(ISBLANK(A3236),,IF(ISBLANK(S3236), A3236&amp;"";"", TEXTJOIN(CHAR(10), TRUE, A3236&amp;"";"", ARRAYFORMULA(VLOOKUP(SPLIT(S3236, "";"" &amp; CHAR(10)), $A:$AO, 41, FALSE)))))"),"PkF;")</f>
        <v>PkF;</v>
      </c>
      <c r="AP3236" s="89"/>
    </row>
    <row r="3237">
      <c r="A3237" s="151" t="str">
        <f>IFERROR(__xludf.DUMMYFUNCTION("""COMPUTED_VALUE"""),"PkG")</f>
        <v>PkG</v>
      </c>
      <c r="B3237" s="42" t="str">
        <f>IFERROR(__xludf.DUMMYFUNCTION("""COMPUTED_VALUE"""),"DHBA")</f>
        <v>DHBA</v>
      </c>
      <c r="C3237" s="42" t="str">
        <f>IFERROR(__xludf.DUMMYFUNCTION("""COMPUTED_VALUE"""),"cluster G of Purkinje cells")</f>
        <v>cluster G of Purkinje cells</v>
      </c>
      <c r="D3237" s="42">
        <f>IFERROR(__xludf.DUMMYFUNCTION("""COMPUTED_VALUE"""),3092.0)</f>
        <v>3092</v>
      </c>
      <c r="E3237" s="39" t="str">
        <f>IFERROR(__xludf.DUMMYFUNCTION("""COMPUTED_VALUE"""),"cluster G of Purkinje cells")</f>
        <v>cluster G of Purkinje cells</v>
      </c>
      <c r="F3237" s="9" t="str">
        <f>IFERROR(__xludf.DUMMYFUNCTION("""COMPUTED_VALUE"""),"Br")</f>
        <v>Br</v>
      </c>
      <c r="G3237" s="9" t="str">
        <f>IFERROR(__xludf.DUMMYFUNCTION("""COMPUTED_VALUE"""),"H")</f>
        <v>H</v>
      </c>
      <c r="H3237" s="9" t="str">
        <f>IFERROR(__xludf.DUMMYFUNCTION("""COMPUTED_VALUE"""),"HGM")</f>
        <v>HGM</v>
      </c>
      <c r="I3237" s="9" t="str">
        <f>IFERROR(__xludf.DUMMYFUNCTION("""COMPUTED_VALUE"""),"HTS")</f>
        <v>HTS</v>
      </c>
      <c r="J3237" s="9" t="str">
        <f>IFERROR(__xludf.DUMMYFUNCTION("""COMPUTED_VALUE"""),"TPk")</f>
        <v>TPk</v>
      </c>
      <c r="K3237" s="9" t="str">
        <f>IFERROR(__xludf.DUMMYFUNCTION("""COMPUTED_VALUE"""),"PkG")</f>
        <v>PkG</v>
      </c>
      <c r="L3237" s="9"/>
      <c r="M3237" s="9"/>
      <c r="N3237" s="9"/>
      <c r="O3237" s="9"/>
      <c r="P3237" s="9"/>
      <c r="Q3237" s="9"/>
      <c r="R3237" s="9"/>
      <c r="S3237" s="42"/>
      <c r="T3237" s="42"/>
      <c r="U3237" s="159"/>
      <c r="V3237" s="42"/>
      <c r="W3237" s="42"/>
      <c r="X3237" s="42"/>
      <c r="Y3237" s="42"/>
      <c r="Z3237" s="42"/>
      <c r="AA3237" s="42"/>
      <c r="AB3237" s="42" t="str">
        <f>IFERROR(__xludf.DUMMYFUNCTION("""COMPUTED_VALUE"""),"allen institute")</f>
        <v>allen institute</v>
      </c>
      <c r="AC3237" s="42" t="str">
        <f>IFERROR(__xludf.DUMMYFUNCTION("""COMPUTED_VALUE"""),"DHBA")</f>
        <v>DHBA</v>
      </c>
      <c r="AD3237" s="42"/>
      <c r="AE3237" s="42"/>
      <c r="AF3237" s="9"/>
      <c r="AG3237" s="9"/>
      <c r="AH3237" s="42"/>
      <c r="AI3237" s="42"/>
      <c r="AJ3237" s="42"/>
      <c r="AK3237" s="42"/>
      <c r="AL3237" s="42"/>
      <c r="AM3237" s="42"/>
      <c r="AN3237" s="42"/>
      <c r="AO3237" s="63" t="str">
        <f>IFERROR(__xludf.DUMMYFUNCTION("IF(ISBLANK(A3237),,IF(ISBLANK(S3237), A3237&amp;"";"", TEXTJOIN(CHAR(10), TRUE, A3237&amp;"";"", ARRAYFORMULA(VLOOKUP(SPLIT(S3237, "";"" &amp; CHAR(10)), $A:$AO, 41, FALSE)))))"),"PkG;")</f>
        <v>PkG;</v>
      </c>
      <c r="AP3237" s="89"/>
    </row>
    <row r="3238">
      <c r="A3238" s="151" t="str">
        <f>IFERROR(__xludf.DUMMYFUNCTION("""COMPUTED_VALUE"""),"PkH")</f>
        <v>PkH</v>
      </c>
      <c r="B3238" s="42" t="str">
        <f>IFERROR(__xludf.DUMMYFUNCTION("""COMPUTED_VALUE"""),"DHBA")</f>
        <v>DHBA</v>
      </c>
      <c r="C3238" s="42" t="str">
        <f>IFERROR(__xludf.DUMMYFUNCTION("""COMPUTED_VALUE"""),"cluster H of Purkinje cells")</f>
        <v>cluster H of Purkinje cells</v>
      </c>
      <c r="D3238" s="42">
        <f>IFERROR(__xludf.DUMMYFUNCTION("""COMPUTED_VALUE"""),3093.0)</f>
        <v>3093</v>
      </c>
      <c r="E3238" s="39" t="str">
        <f>IFERROR(__xludf.DUMMYFUNCTION("""COMPUTED_VALUE"""),"cluster H of Purkinje cells")</f>
        <v>cluster H of Purkinje cells</v>
      </c>
      <c r="F3238" s="9" t="str">
        <f>IFERROR(__xludf.DUMMYFUNCTION("""COMPUTED_VALUE"""),"Br")</f>
        <v>Br</v>
      </c>
      <c r="G3238" s="9" t="str">
        <f>IFERROR(__xludf.DUMMYFUNCTION("""COMPUTED_VALUE"""),"H")</f>
        <v>H</v>
      </c>
      <c r="H3238" s="9" t="str">
        <f>IFERROR(__xludf.DUMMYFUNCTION("""COMPUTED_VALUE"""),"HGM")</f>
        <v>HGM</v>
      </c>
      <c r="I3238" s="9" t="str">
        <f>IFERROR(__xludf.DUMMYFUNCTION("""COMPUTED_VALUE"""),"HTS")</f>
        <v>HTS</v>
      </c>
      <c r="J3238" s="9" t="str">
        <f>IFERROR(__xludf.DUMMYFUNCTION("""COMPUTED_VALUE"""),"TPk")</f>
        <v>TPk</v>
      </c>
      <c r="K3238" s="9" t="str">
        <f>IFERROR(__xludf.DUMMYFUNCTION("""COMPUTED_VALUE"""),"PkH")</f>
        <v>PkH</v>
      </c>
      <c r="L3238" s="9"/>
      <c r="M3238" s="9"/>
      <c r="N3238" s="9"/>
      <c r="O3238" s="9"/>
      <c r="P3238" s="9"/>
      <c r="Q3238" s="9"/>
      <c r="R3238" s="9"/>
      <c r="S3238" s="42"/>
      <c r="T3238" s="42"/>
      <c r="U3238" s="159"/>
      <c r="V3238" s="42"/>
      <c r="W3238" s="42"/>
      <c r="X3238" s="42"/>
      <c r="Y3238" s="42"/>
      <c r="Z3238" s="42"/>
      <c r="AA3238" s="42"/>
      <c r="AB3238" s="42" t="str">
        <f>IFERROR(__xludf.DUMMYFUNCTION("""COMPUTED_VALUE"""),"allen institute")</f>
        <v>allen institute</v>
      </c>
      <c r="AC3238" s="42" t="str">
        <f>IFERROR(__xludf.DUMMYFUNCTION("""COMPUTED_VALUE"""),"DHBA")</f>
        <v>DHBA</v>
      </c>
      <c r="AD3238" s="42"/>
      <c r="AE3238" s="42"/>
      <c r="AF3238" s="9"/>
      <c r="AG3238" s="9"/>
      <c r="AH3238" s="42"/>
      <c r="AI3238" s="42"/>
      <c r="AJ3238" s="42"/>
      <c r="AK3238" s="42"/>
      <c r="AL3238" s="42"/>
      <c r="AM3238" s="42"/>
      <c r="AN3238" s="42"/>
      <c r="AO3238" s="63" t="str">
        <f>IFERROR(__xludf.DUMMYFUNCTION("IF(ISBLANK(A3238),,IF(ISBLANK(S3238), A3238&amp;"";"", TEXTJOIN(CHAR(10), TRUE, A3238&amp;"";"", ARRAYFORMULA(VLOOKUP(SPLIT(S3238, "";"" &amp; CHAR(10)), $A:$AO, 41, FALSE)))))"),"PkH;")</f>
        <v>PkH;</v>
      </c>
      <c r="AP3238" s="89"/>
    </row>
    <row r="3239">
      <c r="A3239" s="151" t="str">
        <f>IFERROR(__xludf.DUMMYFUNCTION("""COMPUTED_VALUE"""),"MSH")</f>
        <v>MSH</v>
      </c>
      <c r="B3239" s="42" t="str">
        <f>IFERROR(__xludf.DUMMYFUNCTION("""COMPUTED_VALUE"""),"DHBA")</f>
        <v>DHBA</v>
      </c>
      <c r="C3239" s="42" t="str">
        <f>IFERROR(__xludf.DUMMYFUNCTION("""COMPUTED_VALUE"""),"migratory streams in hindbrain")</f>
        <v>migratory streams in hindbrain</v>
      </c>
      <c r="D3239" s="42">
        <f>IFERROR(__xludf.DUMMYFUNCTION("""COMPUTED_VALUE"""),3094.0)</f>
        <v>3094</v>
      </c>
      <c r="E3239" s="39" t="str">
        <f>IFERROR(__xludf.DUMMYFUNCTION("""COMPUTED_VALUE"""),"migratory streams in hindbrain")</f>
        <v>migratory streams in hindbrain</v>
      </c>
      <c r="F3239" s="9" t="str">
        <f>IFERROR(__xludf.DUMMYFUNCTION("""COMPUTED_VALUE"""),"Br")</f>
        <v>Br</v>
      </c>
      <c r="G3239" s="9" t="str">
        <f>IFERROR(__xludf.DUMMYFUNCTION("""COMPUTED_VALUE"""),"H")</f>
        <v>H</v>
      </c>
      <c r="H3239" s="9" t="str">
        <f>IFERROR(__xludf.DUMMYFUNCTION("""COMPUTED_VALUE"""),"HGM")</f>
        <v>HGM</v>
      </c>
      <c r="I3239" s="9" t="str">
        <f>IFERROR(__xludf.DUMMYFUNCTION("""COMPUTED_VALUE"""),"HTS")</f>
        <v>HTS</v>
      </c>
      <c r="J3239" s="9" t="str">
        <f>IFERROR(__xludf.DUMMYFUNCTION("""COMPUTED_VALUE"""),"MSH")</f>
        <v>MSH</v>
      </c>
      <c r="K3239" s="9"/>
      <c r="L3239" s="9"/>
      <c r="M3239" s="9"/>
      <c r="N3239" s="9"/>
      <c r="O3239" s="9"/>
      <c r="P3239" s="9"/>
      <c r="Q3239" s="9"/>
      <c r="R3239" s="9"/>
      <c r="S3239" s="42" t="str">
        <f>IFERROR(__xludf.DUMMYFUNCTION("""COMPUTED_VALUE"""),"REMS;
CEMS;
ImMS")</f>
        <v>REMS;
CEMS;
ImMS</v>
      </c>
      <c r="T3239" s="42"/>
      <c r="U3239" s="159" t="b">
        <f>IFERROR(__xludf.DUMMYFUNCTION("""COMPUTED_VALUE"""),FALSE)</f>
        <v>0</v>
      </c>
      <c r="V3239" s="42"/>
      <c r="W3239" s="42"/>
      <c r="X3239" s="42"/>
      <c r="Y3239" s="42"/>
      <c r="Z3239" s="42"/>
      <c r="AA3239" s="42"/>
      <c r="AB3239" s="42" t="str">
        <f>IFERROR(__xludf.DUMMYFUNCTION("""COMPUTED_VALUE"""),"allen institute")</f>
        <v>allen institute</v>
      </c>
      <c r="AC3239" s="42" t="str">
        <f>IFERROR(__xludf.DUMMYFUNCTION("""COMPUTED_VALUE"""),"DHBA")</f>
        <v>DHBA</v>
      </c>
      <c r="AD3239" s="42"/>
      <c r="AE3239" s="42"/>
      <c r="AF3239" s="9"/>
      <c r="AG3239" s="9"/>
      <c r="AH3239" s="42"/>
      <c r="AI3239" s="42"/>
      <c r="AJ3239" s="42"/>
      <c r="AK3239" s="42"/>
      <c r="AL3239" s="42"/>
      <c r="AM3239" s="42"/>
      <c r="AN3239" s="42"/>
      <c r="AO3239" s="63" t="str">
        <f>IFERROR(__xludf.DUMMYFUNCTION("IF(ISBLANK(A3239),,IF(ISBLANK(S3239), A3239&amp;"";"", TEXTJOIN(CHAR(10), TRUE, A3239&amp;"";"", ARRAYFORMULA(VLOOKUP(SPLIT(S3239, "";"" &amp; CHAR(10)), $A:$AO, 41, FALSE)))))"),"MSH;
REMS;
CEMS;
ImMS;")</f>
        <v>MSH;
REMS;
CEMS;
ImMS;</v>
      </c>
      <c r="AP3239" s="89"/>
    </row>
    <row r="3240">
      <c r="A3240" s="151" t="str">
        <f>IFERROR(__xludf.DUMMYFUNCTION("""COMPUTED_VALUE"""),"REMS")</f>
        <v>REMS</v>
      </c>
      <c r="B3240" s="42" t="str">
        <f>IFERROR(__xludf.DUMMYFUNCTION("""COMPUTED_VALUE"""),"DHBA")</f>
        <v>DHBA</v>
      </c>
      <c r="C3240" s="42" t="str">
        <f>IFERROR(__xludf.DUMMYFUNCTION("""COMPUTED_VALUE"""),"rostral (anterior) extramural migratory stream")</f>
        <v>rostral (anterior) extramural migratory stream</v>
      </c>
      <c r="D3240" s="42">
        <f>IFERROR(__xludf.DUMMYFUNCTION("""COMPUTED_VALUE"""),3095.0)</f>
        <v>3095</v>
      </c>
      <c r="E3240" s="39" t="str">
        <f>IFERROR(__xludf.DUMMYFUNCTION("""COMPUTED_VALUE"""),"rostral (anterior) extramural migratory stream")</f>
        <v>rostral (anterior) extramural migratory stream</v>
      </c>
      <c r="F3240" s="9" t="str">
        <f>IFERROR(__xludf.DUMMYFUNCTION("""COMPUTED_VALUE"""),"Br")</f>
        <v>Br</v>
      </c>
      <c r="G3240" s="9" t="str">
        <f>IFERROR(__xludf.DUMMYFUNCTION("""COMPUTED_VALUE"""),"H")</f>
        <v>H</v>
      </c>
      <c r="H3240" s="9" t="str">
        <f>IFERROR(__xludf.DUMMYFUNCTION("""COMPUTED_VALUE"""),"HGM")</f>
        <v>HGM</v>
      </c>
      <c r="I3240" s="9" t="str">
        <f>IFERROR(__xludf.DUMMYFUNCTION("""COMPUTED_VALUE"""),"HTS")</f>
        <v>HTS</v>
      </c>
      <c r="J3240" s="9" t="str">
        <f>IFERROR(__xludf.DUMMYFUNCTION("""COMPUTED_VALUE"""),"MSH")</f>
        <v>MSH</v>
      </c>
      <c r="K3240" s="9" t="str">
        <f>IFERROR(__xludf.DUMMYFUNCTION("""COMPUTED_VALUE"""),"REMS")</f>
        <v>REMS</v>
      </c>
      <c r="L3240" s="9"/>
      <c r="M3240" s="9"/>
      <c r="N3240" s="9"/>
      <c r="O3240" s="9"/>
      <c r="P3240" s="9"/>
      <c r="Q3240" s="9"/>
      <c r="R3240" s="9"/>
      <c r="S3240" s="42"/>
      <c r="T3240" s="42"/>
      <c r="U3240" s="159"/>
      <c r="V3240" s="42"/>
      <c r="W3240" s="42"/>
      <c r="X3240" s="42"/>
      <c r="Y3240" s="42"/>
      <c r="Z3240" s="42"/>
      <c r="AA3240" s="42"/>
      <c r="AB3240" s="42" t="str">
        <f>IFERROR(__xludf.DUMMYFUNCTION("""COMPUTED_VALUE"""),"allen institute")</f>
        <v>allen institute</v>
      </c>
      <c r="AC3240" s="42" t="str">
        <f>IFERROR(__xludf.DUMMYFUNCTION("""COMPUTED_VALUE"""),"DHBA")</f>
        <v>DHBA</v>
      </c>
      <c r="AD3240" s="42"/>
      <c r="AE3240" s="42"/>
      <c r="AF3240" s="9"/>
      <c r="AG3240" s="9"/>
      <c r="AH3240" s="42"/>
      <c r="AI3240" s="42"/>
      <c r="AJ3240" s="42"/>
      <c r="AK3240" s="42"/>
      <c r="AL3240" s="42"/>
      <c r="AM3240" s="42"/>
      <c r="AN3240" s="42"/>
      <c r="AO3240" s="63" t="str">
        <f>IFERROR(__xludf.DUMMYFUNCTION("IF(ISBLANK(A3240),,IF(ISBLANK(S3240), A3240&amp;"";"", TEXTJOIN(CHAR(10), TRUE, A3240&amp;"";"", ARRAYFORMULA(VLOOKUP(SPLIT(S3240, "";"" &amp; CHAR(10)), $A:$AO, 41, FALSE)))))"),"REMS;")</f>
        <v>REMS;</v>
      </c>
      <c r="AP3240" s="89"/>
    </row>
    <row r="3241">
      <c r="A3241" s="151" t="str">
        <f>IFERROR(__xludf.DUMMYFUNCTION("""COMPUTED_VALUE"""),"CEMS")</f>
        <v>CEMS</v>
      </c>
      <c r="B3241" s="42" t="str">
        <f>IFERROR(__xludf.DUMMYFUNCTION("""COMPUTED_VALUE"""),"DHBA")</f>
        <v>DHBA</v>
      </c>
      <c r="C3241" s="42" t="str">
        <f>IFERROR(__xludf.DUMMYFUNCTION("""COMPUTED_VALUE"""),"caudal (posterior) extramural migratory stream")</f>
        <v>caudal (posterior) extramural migratory stream</v>
      </c>
      <c r="D3241" s="42">
        <f>IFERROR(__xludf.DUMMYFUNCTION("""COMPUTED_VALUE"""),3096.0)</f>
        <v>3096</v>
      </c>
      <c r="E3241" s="39" t="str">
        <f>IFERROR(__xludf.DUMMYFUNCTION("""COMPUTED_VALUE"""),"caudal (posterior) extramural migratory stream")</f>
        <v>caudal (posterior) extramural migratory stream</v>
      </c>
      <c r="F3241" s="9" t="str">
        <f>IFERROR(__xludf.DUMMYFUNCTION("""COMPUTED_VALUE"""),"Br")</f>
        <v>Br</v>
      </c>
      <c r="G3241" s="9" t="str">
        <f>IFERROR(__xludf.DUMMYFUNCTION("""COMPUTED_VALUE"""),"H")</f>
        <v>H</v>
      </c>
      <c r="H3241" s="9" t="str">
        <f>IFERROR(__xludf.DUMMYFUNCTION("""COMPUTED_VALUE"""),"HGM")</f>
        <v>HGM</v>
      </c>
      <c r="I3241" s="9" t="str">
        <f>IFERROR(__xludf.DUMMYFUNCTION("""COMPUTED_VALUE"""),"HTS")</f>
        <v>HTS</v>
      </c>
      <c r="J3241" s="9" t="str">
        <f>IFERROR(__xludf.DUMMYFUNCTION("""COMPUTED_VALUE"""),"MSH")</f>
        <v>MSH</v>
      </c>
      <c r="K3241" s="9" t="str">
        <f>IFERROR(__xludf.DUMMYFUNCTION("""COMPUTED_VALUE"""),"CEMS")</f>
        <v>CEMS</v>
      </c>
      <c r="L3241" s="9"/>
      <c r="M3241" s="9"/>
      <c r="N3241" s="9"/>
      <c r="O3241" s="9"/>
      <c r="P3241" s="9"/>
      <c r="Q3241" s="9"/>
      <c r="R3241" s="9"/>
      <c r="S3241" s="42"/>
      <c r="T3241" s="42"/>
      <c r="U3241" s="159"/>
      <c r="V3241" s="42"/>
      <c r="W3241" s="42"/>
      <c r="X3241" s="42"/>
      <c r="Y3241" s="42"/>
      <c r="Z3241" s="42"/>
      <c r="AA3241" s="42"/>
      <c r="AB3241" s="42" t="str">
        <f>IFERROR(__xludf.DUMMYFUNCTION("""COMPUTED_VALUE"""),"allen institute")</f>
        <v>allen institute</v>
      </c>
      <c r="AC3241" s="42" t="str">
        <f>IFERROR(__xludf.DUMMYFUNCTION("""COMPUTED_VALUE"""),"DHBA")</f>
        <v>DHBA</v>
      </c>
      <c r="AD3241" s="42"/>
      <c r="AE3241" s="42"/>
      <c r="AF3241" s="9"/>
      <c r="AG3241" s="9"/>
      <c r="AH3241" s="42"/>
      <c r="AI3241" s="42"/>
      <c r="AJ3241" s="42"/>
      <c r="AK3241" s="42"/>
      <c r="AL3241" s="42"/>
      <c r="AM3241" s="42"/>
      <c r="AN3241" s="42"/>
      <c r="AO3241" s="63" t="str">
        <f>IFERROR(__xludf.DUMMYFUNCTION("IF(ISBLANK(A3241),,IF(ISBLANK(S3241), A3241&amp;"";"", TEXTJOIN(CHAR(10), TRUE, A3241&amp;"";"", ARRAYFORMULA(VLOOKUP(SPLIT(S3241, "";"" &amp; CHAR(10)), $A:$AO, 41, FALSE)))))"),"CEMS;")</f>
        <v>CEMS;</v>
      </c>
      <c r="AP3241" s="89"/>
    </row>
    <row r="3242">
      <c r="A3242" s="151" t="str">
        <f>IFERROR(__xludf.DUMMYFUNCTION("""COMPUTED_VALUE"""),"ImMS")</f>
        <v>ImMS</v>
      </c>
      <c r="B3242" s="42" t="str">
        <f>IFERROR(__xludf.DUMMYFUNCTION("""COMPUTED_VALUE"""),"DHBA")</f>
        <v>DHBA</v>
      </c>
      <c r="C3242" s="42" t="str">
        <f>IFERROR(__xludf.DUMMYFUNCTION("""COMPUTED_VALUE"""),"intramural migratory stream")</f>
        <v>intramural migratory stream</v>
      </c>
      <c r="D3242" s="42">
        <f>IFERROR(__xludf.DUMMYFUNCTION("""COMPUTED_VALUE"""),3097.0)</f>
        <v>3097</v>
      </c>
      <c r="E3242" s="39" t="str">
        <f>IFERROR(__xludf.DUMMYFUNCTION("""COMPUTED_VALUE"""),"intramural migratory stream")</f>
        <v>intramural migratory stream</v>
      </c>
      <c r="F3242" s="9" t="str">
        <f>IFERROR(__xludf.DUMMYFUNCTION("""COMPUTED_VALUE"""),"Br")</f>
        <v>Br</v>
      </c>
      <c r="G3242" s="9" t="str">
        <f>IFERROR(__xludf.DUMMYFUNCTION("""COMPUTED_VALUE"""),"H")</f>
        <v>H</v>
      </c>
      <c r="H3242" s="9" t="str">
        <f>IFERROR(__xludf.DUMMYFUNCTION("""COMPUTED_VALUE"""),"HGM")</f>
        <v>HGM</v>
      </c>
      <c r="I3242" s="9" t="str">
        <f>IFERROR(__xludf.DUMMYFUNCTION("""COMPUTED_VALUE"""),"HTS")</f>
        <v>HTS</v>
      </c>
      <c r="J3242" s="9" t="str">
        <f>IFERROR(__xludf.DUMMYFUNCTION("""COMPUTED_VALUE"""),"MSH")</f>
        <v>MSH</v>
      </c>
      <c r="K3242" s="9" t="str">
        <f>IFERROR(__xludf.DUMMYFUNCTION("""COMPUTED_VALUE"""),"ImMS")</f>
        <v>ImMS</v>
      </c>
      <c r="L3242" s="9"/>
      <c r="M3242" s="9"/>
      <c r="N3242" s="9"/>
      <c r="O3242" s="9"/>
      <c r="P3242" s="9"/>
      <c r="Q3242" s="9"/>
      <c r="R3242" s="9"/>
      <c r="S3242" s="42"/>
      <c r="T3242" s="42"/>
      <c r="U3242" s="159"/>
      <c r="V3242" s="42"/>
      <c r="W3242" s="42"/>
      <c r="X3242" s="42"/>
      <c r="Y3242" s="42"/>
      <c r="Z3242" s="42"/>
      <c r="AA3242" s="42"/>
      <c r="AB3242" s="42" t="str">
        <f>IFERROR(__xludf.DUMMYFUNCTION("""COMPUTED_VALUE"""),"allen institute")</f>
        <v>allen institute</v>
      </c>
      <c r="AC3242" s="42" t="str">
        <f>IFERROR(__xludf.DUMMYFUNCTION("""COMPUTED_VALUE"""),"DHBA")</f>
        <v>DHBA</v>
      </c>
      <c r="AD3242" s="42"/>
      <c r="AE3242" s="42"/>
      <c r="AF3242" s="9"/>
      <c r="AG3242" s="9"/>
      <c r="AH3242" s="42"/>
      <c r="AI3242" s="42"/>
      <c r="AJ3242" s="42"/>
      <c r="AK3242" s="42"/>
      <c r="AL3242" s="42"/>
      <c r="AM3242" s="42"/>
      <c r="AN3242" s="42"/>
      <c r="AO3242" s="63" t="str">
        <f>IFERROR(__xludf.DUMMYFUNCTION("IF(ISBLANK(A3242),,IF(ISBLANK(S3242), A3242&amp;"";"", TEXTJOIN(CHAR(10), TRUE, A3242&amp;"";"", ARRAYFORMULA(VLOOKUP(SPLIT(S3242, "";"" &amp; CHAR(10)), $A:$AO, 41, FALSE)))))"),"ImMS;")</f>
        <v>ImMS;</v>
      </c>
      <c r="AP3242" s="89"/>
    </row>
    <row r="3243">
      <c r="A3243" s="151" t="str">
        <f>IFERROR(__xludf.DUMMYFUNCTION("""COMPUTED_VALUE"""),"MZH")</f>
        <v>MZH</v>
      </c>
      <c r="B3243" s="42" t="str">
        <f>IFERROR(__xludf.DUMMYFUNCTION("""COMPUTED_VALUE"""),"DHBA")</f>
        <v>DHBA</v>
      </c>
      <c r="C3243" s="42" t="str">
        <f>IFERROR(__xludf.DUMMYFUNCTION("""COMPUTED_VALUE"""),"marginal zone of hindbrain")</f>
        <v>marginal zone of hindbrain</v>
      </c>
      <c r="D3243" s="42">
        <f>IFERROR(__xludf.DUMMYFUNCTION("""COMPUTED_VALUE"""),3098.0)</f>
        <v>3098</v>
      </c>
      <c r="E3243" s="39" t="str">
        <f>IFERROR(__xludf.DUMMYFUNCTION("""COMPUTED_VALUE"""),"marginal zone of hindbrain")</f>
        <v>marginal zone of hindbrain</v>
      </c>
      <c r="F3243" s="9" t="str">
        <f>IFERROR(__xludf.DUMMYFUNCTION("""COMPUTED_VALUE"""),"Br")</f>
        <v>Br</v>
      </c>
      <c r="G3243" s="9" t="str">
        <f>IFERROR(__xludf.DUMMYFUNCTION("""COMPUTED_VALUE"""),"H")</f>
        <v>H</v>
      </c>
      <c r="H3243" s="9" t="str">
        <f>IFERROR(__xludf.DUMMYFUNCTION("""COMPUTED_VALUE"""),"HGM")</f>
        <v>HGM</v>
      </c>
      <c r="I3243" s="9" t="str">
        <f>IFERROR(__xludf.DUMMYFUNCTION("""COMPUTED_VALUE"""),"HTS")</f>
        <v>HTS</v>
      </c>
      <c r="J3243" s="9" t="str">
        <f>IFERROR(__xludf.DUMMYFUNCTION("""COMPUTED_VALUE"""),"MZH")</f>
        <v>MZH</v>
      </c>
      <c r="K3243" s="9"/>
      <c r="L3243" s="9"/>
      <c r="M3243" s="9"/>
      <c r="N3243" s="9"/>
      <c r="O3243" s="9"/>
      <c r="P3243" s="9"/>
      <c r="Q3243" s="9"/>
      <c r="R3243" s="9"/>
      <c r="S3243" s="42" t="str">
        <f>IFERROR(__xludf.DUMMYFUNCTION("""COMPUTED_VALUE"""),"MZCB;
MZPN;
MZMO")</f>
        <v>MZCB;
MZPN;
MZMO</v>
      </c>
      <c r="T3243" s="42"/>
      <c r="U3243" s="42" t="b">
        <f>IFERROR(__xludf.DUMMYFUNCTION("""COMPUTED_VALUE"""),FALSE)</f>
        <v>0</v>
      </c>
      <c r="V3243" s="42"/>
      <c r="W3243" s="42"/>
      <c r="X3243" s="42"/>
      <c r="Y3243" s="42"/>
      <c r="Z3243" s="42"/>
      <c r="AA3243" s="42"/>
      <c r="AB3243" s="42" t="str">
        <f>IFERROR(__xludf.DUMMYFUNCTION("""COMPUTED_VALUE"""),"allen institute")</f>
        <v>allen institute</v>
      </c>
      <c r="AC3243" s="42" t="str">
        <f>IFERROR(__xludf.DUMMYFUNCTION("""COMPUTED_VALUE"""),"DHBA")</f>
        <v>DHBA</v>
      </c>
      <c r="AD3243" s="42"/>
      <c r="AE3243" s="42"/>
      <c r="AF3243" s="9"/>
      <c r="AG3243" s="9"/>
      <c r="AH3243" s="42"/>
      <c r="AI3243" s="42"/>
      <c r="AJ3243" s="42"/>
      <c r="AK3243" s="42"/>
      <c r="AL3243" s="42"/>
      <c r="AM3243" s="42"/>
      <c r="AN3243" s="42"/>
      <c r="AO3243" s="63" t="str">
        <f>IFERROR(__xludf.DUMMYFUNCTION("IF(ISBLANK(A3243),,IF(ISBLANK(S3243), A3243&amp;"";"", TEXTJOIN(CHAR(10), TRUE, A3243&amp;"";"", ARRAYFORMULA(VLOOKUP(SPLIT(S3243, "";"" &amp; CHAR(10)), $A:$AO, 41, FALSE)))))"),"MZH;
MZCB;
MZPN;
MZMO;")</f>
        <v>MZH;
MZCB;
MZPN;
MZMO;</v>
      </c>
      <c r="AP3243" s="89"/>
    </row>
    <row r="3244">
      <c r="A3244" s="151" t="str">
        <f>IFERROR(__xludf.DUMMYFUNCTION("""COMPUTED_VALUE"""),"MZCB")</f>
        <v>MZCB</v>
      </c>
      <c r="B3244" s="42" t="str">
        <f>IFERROR(__xludf.DUMMYFUNCTION("""COMPUTED_VALUE"""),"DHBA")</f>
        <v>DHBA</v>
      </c>
      <c r="C3244" s="42" t="str">
        <f>IFERROR(__xludf.DUMMYFUNCTION("""COMPUTED_VALUE"""),"marginal zone of cerebellum")</f>
        <v>marginal zone of cerebellum</v>
      </c>
      <c r="D3244" s="42">
        <f>IFERROR(__xludf.DUMMYFUNCTION("""COMPUTED_VALUE"""),3099.0)</f>
        <v>3099</v>
      </c>
      <c r="E3244" s="39" t="str">
        <f>IFERROR(__xludf.DUMMYFUNCTION("""COMPUTED_VALUE"""),"marginal zone of cerebellum")</f>
        <v>marginal zone of cerebellum</v>
      </c>
      <c r="F3244" s="9" t="str">
        <f>IFERROR(__xludf.DUMMYFUNCTION("""COMPUTED_VALUE"""),"Br")</f>
        <v>Br</v>
      </c>
      <c r="G3244" s="9" t="str">
        <f>IFERROR(__xludf.DUMMYFUNCTION("""COMPUTED_VALUE"""),"H")</f>
        <v>H</v>
      </c>
      <c r="H3244" s="9" t="str">
        <f>IFERROR(__xludf.DUMMYFUNCTION("""COMPUTED_VALUE"""),"HGM")</f>
        <v>HGM</v>
      </c>
      <c r="I3244" s="9" t="str">
        <f>IFERROR(__xludf.DUMMYFUNCTION("""COMPUTED_VALUE"""),"HTS")</f>
        <v>HTS</v>
      </c>
      <c r="J3244" s="9" t="str">
        <f>IFERROR(__xludf.DUMMYFUNCTION("""COMPUTED_VALUE"""),"MZH")</f>
        <v>MZH</v>
      </c>
      <c r="K3244" s="9" t="str">
        <f>IFERROR(__xludf.DUMMYFUNCTION("""COMPUTED_VALUE"""),"MZCB")</f>
        <v>MZCB</v>
      </c>
      <c r="L3244" s="9"/>
      <c r="M3244" s="9"/>
      <c r="N3244" s="9"/>
      <c r="O3244" s="9"/>
      <c r="P3244" s="9"/>
      <c r="Q3244" s="9"/>
      <c r="R3244" s="9"/>
      <c r="S3244" s="42"/>
      <c r="T3244" s="42"/>
      <c r="U3244" s="42"/>
      <c r="V3244" s="42"/>
      <c r="W3244" s="42"/>
      <c r="X3244" s="42"/>
      <c r="Y3244" s="42"/>
      <c r="Z3244" s="42"/>
      <c r="AA3244" s="42"/>
      <c r="AB3244" s="42" t="str">
        <f>IFERROR(__xludf.DUMMYFUNCTION("""COMPUTED_VALUE"""),"allen institute")</f>
        <v>allen institute</v>
      </c>
      <c r="AC3244" s="42" t="str">
        <f>IFERROR(__xludf.DUMMYFUNCTION("""COMPUTED_VALUE"""),"DHBA")</f>
        <v>DHBA</v>
      </c>
      <c r="AD3244" s="42"/>
      <c r="AE3244" s="42"/>
      <c r="AF3244" s="9"/>
      <c r="AG3244" s="9"/>
      <c r="AH3244" s="42"/>
      <c r="AI3244" s="42"/>
      <c r="AJ3244" s="42"/>
      <c r="AK3244" s="42"/>
      <c r="AL3244" s="42"/>
      <c r="AM3244" s="42"/>
      <c r="AN3244" s="42"/>
      <c r="AO3244" s="63" t="str">
        <f>IFERROR(__xludf.DUMMYFUNCTION("IF(ISBLANK(A3244),,IF(ISBLANK(S3244), A3244&amp;"";"", TEXTJOIN(CHAR(10), TRUE, A3244&amp;"";"", ARRAYFORMULA(VLOOKUP(SPLIT(S3244, "";"" &amp; CHAR(10)), $A:$AO, 41, FALSE)))))"),"MZCB;")</f>
        <v>MZCB;</v>
      </c>
      <c r="AP3244" s="89"/>
    </row>
    <row r="3245">
      <c r="A3245" s="151" t="str">
        <f>IFERROR(__xludf.DUMMYFUNCTION("""COMPUTED_VALUE"""),"MZPN")</f>
        <v>MZPN</v>
      </c>
      <c r="B3245" s="42" t="str">
        <f>IFERROR(__xludf.DUMMYFUNCTION("""COMPUTED_VALUE"""),"DHBA")</f>
        <v>DHBA</v>
      </c>
      <c r="C3245" s="42" t="str">
        <f>IFERROR(__xludf.DUMMYFUNCTION("""COMPUTED_VALUE"""),"marginal zone of pons")</f>
        <v>marginal zone of pons</v>
      </c>
      <c r="D3245" s="42">
        <f>IFERROR(__xludf.DUMMYFUNCTION("""COMPUTED_VALUE"""),3100.0)</f>
        <v>3100</v>
      </c>
      <c r="E3245" s="39" t="str">
        <f>IFERROR(__xludf.DUMMYFUNCTION("""COMPUTED_VALUE"""),"marginal zone of pons")</f>
        <v>marginal zone of pons</v>
      </c>
      <c r="F3245" s="9" t="str">
        <f>IFERROR(__xludf.DUMMYFUNCTION("""COMPUTED_VALUE"""),"Br")</f>
        <v>Br</v>
      </c>
      <c r="G3245" s="9" t="str">
        <f>IFERROR(__xludf.DUMMYFUNCTION("""COMPUTED_VALUE"""),"H")</f>
        <v>H</v>
      </c>
      <c r="H3245" s="9" t="str">
        <f>IFERROR(__xludf.DUMMYFUNCTION("""COMPUTED_VALUE"""),"HGM")</f>
        <v>HGM</v>
      </c>
      <c r="I3245" s="9" t="str">
        <f>IFERROR(__xludf.DUMMYFUNCTION("""COMPUTED_VALUE"""),"HTS")</f>
        <v>HTS</v>
      </c>
      <c r="J3245" s="9" t="str">
        <f>IFERROR(__xludf.DUMMYFUNCTION("""COMPUTED_VALUE"""),"MZH")</f>
        <v>MZH</v>
      </c>
      <c r="K3245" s="9" t="str">
        <f>IFERROR(__xludf.DUMMYFUNCTION("""COMPUTED_VALUE"""),"MZPN")</f>
        <v>MZPN</v>
      </c>
      <c r="L3245" s="9"/>
      <c r="M3245" s="9"/>
      <c r="N3245" s="9"/>
      <c r="O3245" s="9"/>
      <c r="P3245" s="9"/>
      <c r="Q3245" s="9"/>
      <c r="R3245" s="9"/>
      <c r="S3245" s="42"/>
      <c r="T3245" s="42"/>
      <c r="U3245" s="42"/>
      <c r="V3245" s="42"/>
      <c r="W3245" s="42"/>
      <c r="X3245" s="42"/>
      <c r="Y3245" s="42"/>
      <c r="Z3245" s="42"/>
      <c r="AA3245" s="42"/>
      <c r="AB3245" s="42" t="str">
        <f>IFERROR(__xludf.DUMMYFUNCTION("""COMPUTED_VALUE"""),"allen institute")</f>
        <v>allen institute</v>
      </c>
      <c r="AC3245" s="42" t="str">
        <f>IFERROR(__xludf.DUMMYFUNCTION("""COMPUTED_VALUE"""),"DHBA")</f>
        <v>DHBA</v>
      </c>
      <c r="AD3245" s="42"/>
      <c r="AE3245" s="42"/>
      <c r="AF3245" s="9"/>
      <c r="AG3245" s="9"/>
      <c r="AH3245" s="42"/>
      <c r="AI3245" s="42"/>
      <c r="AJ3245" s="42"/>
      <c r="AK3245" s="42"/>
      <c r="AL3245" s="42"/>
      <c r="AM3245" s="42"/>
      <c r="AN3245" s="42"/>
      <c r="AO3245" s="63" t="str">
        <f>IFERROR(__xludf.DUMMYFUNCTION("IF(ISBLANK(A3245),,IF(ISBLANK(S3245), A3245&amp;"";"", TEXTJOIN(CHAR(10), TRUE, A3245&amp;"";"", ARRAYFORMULA(VLOOKUP(SPLIT(S3245, "";"" &amp; CHAR(10)), $A:$AO, 41, FALSE)))))"),"MZPN;")</f>
        <v>MZPN;</v>
      </c>
      <c r="AP3245" s="89"/>
    </row>
    <row r="3246">
      <c r="A3246" s="151" t="str">
        <f>IFERROR(__xludf.DUMMYFUNCTION("""COMPUTED_VALUE"""),"MZMO")</f>
        <v>MZMO</v>
      </c>
      <c r="B3246" s="42" t="str">
        <f>IFERROR(__xludf.DUMMYFUNCTION("""COMPUTED_VALUE"""),"DHBA")</f>
        <v>DHBA</v>
      </c>
      <c r="C3246" s="42" t="str">
        <f>IFERROR(__xludf.DUMMYFUNCTION("""COMPUTED_VALUE"""),"marginal zone of medulla")</f>
        <v>marginal zone of medulla</v>
      </c>
      <c r="D3246" s="42">
        <f>IFERROR(__xludf.DUMMYFUNCTION("""COMPUTED_VALUE"""),3101.0)</f>
        <v>3101</v>
      </c>
      <c r="E3246" s="39" t="str">
        <f>IFERROR(__xludf.DUMMYFUNCTION("""COMPUTED_VALUE"""),"marginal zone of medulla")</f>
        <v>marginal zone of medulla</v>
      </c>
      <c r="F3246" s="9" t="str">
        <f>IFERROR(__xludf.DUMMYFUNCTION("""COMPUTED_VALUE"""),"Br")</f>
        <v>Br</v>
      </c>
      <c r="G3246" s="9" t="str">
        <f>IFERROR(__xludf.DUMMYFUNCTION("""COMPUTED_VALUE"""),"H")</f>
        <v>H</v>
      </c>
      <c r="H3246" s="9" t="str">
        <f>IFERROR(__xludf.DUMMYFUNCTION("""COMPUTED_VALUE"""),"HGM")</f>
        <v>HGM</v>
      </c>
      <c r="I3246" s="9" t="str">
        <f>IFERROR(__xludf.DUMMYFUNCTION("""COMPUTED_VALUE"""),"HTS")</f>
        <v>HTS</v>
      </c>
      <c r="J3246" s="9" t="str">
        <f>IFERROR(__xludf.DUMMYFUNCTION("""COMPUTED_VALUE"""),"MZH")</f>
        <v>MZH</v>
      </c>
      <c r="K3246" s="9" t="str">
        <f>IFERROR(__xludf.DUMMYFUNCTION("""COMPUTED_VALUE"""),"MZMO")</f>
        <v>MZMO</v>
      </c>
      <c r="L3246" s="9"/>
      <c r="M3246" s="9"/>
      <c r="N3246" s="9"/>
      <c r="O3246" s="9"/>
      <c r="P3246" s="9"/>
      <c r="Q3246" s="9"/>
      <c r="R3246" s="9"/>
      <c r="S3246" s="42"/>
      <c r="T3246" s="42"/>
      <c r="U3246" s="42"/>
      <c r="V3246" s="42"/>
      <c r="W3246" s="42"/>
      <c r="X3246" s="42"/>
      <c r="Y3246" s="42"/>
      <c r="Z3246" s="42"/>
      <c r="AA3246" s="42"/>
      <c r="AB3246" s="42" t="str">
        <f>IFERROR(__xludf.DUMMYFUNCTION("""COMPUTED_VALUE"""),"allen institute")</f>
        <v>allen institute</v>
      </c>
      <c r="AC3246" s="42" t="str">
        <f>IFERROR(__xludf.DUMMYFUNCTION("""COMPUTED_VALUE"""),"DHBA")</f>
        <v>DHBA</v>
      </c>
      <c r="AD3246" s="42"/>
      <c r="AE3246" s="42"/>
      <c r="AF3246" s="9"/>
      <c r="AG3246" s="9"/>
      <c r="AH3246" s="42"/>
      <c r="AI3246" s="42"/>
      <c r="AJ3246" s="42"/>
      <c r="AK3246" s="42"/>
      <c r="AL3246" s="42"/>
      <c r="AM3246" s="42"/>
      <c r="AN3246" s="42"/>
      <c r="AO3246" s="63" t="str">
        <f>IFERROR(__xludf.DUMMYFUNCTION("IF(ISBLANK(A3246),,IF(ISBLANK(S3246), A3246&amp;"";"", TEXTJOIN(CHAR(10), TRUE, A3246&amp;"";"", ARRAYFORMULA(VLOOKUP(SPLIT(S3246, "";"" &amp; CHAR(10)), $A:$AO, 41, FALSE)))))"),"MZMO;")</f>
        <v>MZMO;</v>
      </c>
      <c r="AP3246" s="89"/>
    </row>
    <row r="3247">
      <c r="A3247" s="151" t="str">
        <f>IFERROR(__xludf.DUMMYFUNCTION("""COMPUTED_VALUE"""),"IZH")</f>
        <v>IZH</v>
      </c>
      <c r="B3247" s="42" t="str">
        <f>IFERROR(__xludf.DUMMYFUNCTION("""COMPUTED_VALUE"""),"DHBA")</f>
        <v>DHBA</v>
      </c>
      <c r="C3247" s="42" t="str">
        <f>IFERROR(__xludf.DUMMYFUNCTION("""COMPUTED_VALUE"""),"intermediate (mantle) zone of hindbrain")</f>
        <v>intermediate (mantle) zone of hindbrain</v>
      </c>
      <c r="D3247" s="42">
        <f>IFERROR(__xludf.DUMMYFUNCTION("""COMPUTED_VALUE"""),3102.0)</f>
        <v>3102</v>
      </c>
      <c r="E3247" s="39" t="str">
        <f>IFERROR(__xludf.DUMMYFUNCTION("""COMPUTED_VALUE"""),"intermediate (mantle) zone of hindbrain")</f>
        <v>intermediate (mantle) zone of hindbrain</v>
      </c>
      <c r="F3247" s="9" t="str">
        <f>IFERROR(__xludf.DUMMYFUNCTION("""COMPUTED_VALUE"""),"Br")</f>
        <v>Br</v>
      </c>
      <c r="G3247" s="9" t="str">
        <f>IFERROR(__xludf.DUMMYFUNCTION("""COMPUTED_VALUE"""),"H")</f>
        <v>H</v>
      </c>
      <c r="H3247" s="9" t="str">
        <f>IFERROR(__xludf.DUMMYFUNCTION("""COMPUTED_VALUE"""),"HGM")</f>
        <v>HGM</v>
      </c>
      <c r="I3247" s="9" t="str">
        <f>IFERROR(__xludf.DUMMYFUNCTION("""COMPUTED_VALUE"""),"HTS")</f>
        <v>HTS</v>
      </c>
      <c r="J3247" s="9" t="str">
        <f>IFERROR(__xludf.DUMMYFUNCTION("""COMPUTED_VALUE"""),"IZH")</f>
        <v>IZH</v>
      </c>
      <c r="K3247" s="9"/>
      <c r="L3247" s="9"/>
      <c r="M3247" s="9"/>
      <c r="N3247" s="9"/>
      <c r="O3247" s="9"/>
      <c r="P3247" s="9"/>
      <c r="Q3247" s="9"/>
      <c r="R3247" s="9"/>
      <c r="S3247" s="42" t="str">
        <f>IFERROR(__xludf.DUMMYFUNCTION("""COMPUTED_VALUE"""),"IZHal;
IZHba;
IZHfl;
IZHro")</f>
        <v>IZHal;
IZHba;
IZHfl;
IZHro</v>
      </c>
      <c r="T3247" s="42"/>
      <c r="U3247" s="42" t="b">
        <f>IFERROR(__xludf.DUMMYFUNCTION("""COMPUTED_VALUE"""),FALSE)</f>
        <v>0</v>
      </c>
      <c r="V3247" s="42"/>
      <c r="W3247" s="42"/>
      <c r="X3247" s="42"/>
      <c r="Y3247" s="42"/>
      <c r="Z3247" s="42"/>
      <c r="AA3247" s="42"/>
      <c r="AB3247" s="42" t="str">
        <f>IFERROR(__xludf.DUMMYFUNCTION("""COMPUTED_VALUE"""),"allen institute")</f>
        <v>allen institute</v>
      </c>
      <c r="AC3247" s="42" t="str">
        <f>IFERROR(__xludf.DUMMYFUNCTION("""COMPUTED_VALUE"""),"DHBA")</f>
        <v>DHBA</v>
      </c>
      <c r="AD3247" s="42"/>
      <c r="AE3247" s="42"/>
      <c r="AF3247" s="9"/>
      <c r="AG3247" s="9"/>
      <c r="AH3247" s="42"/>
      <c r="AI3247" s="42"/>
      <c r="AJ3247" s="42"/>
      <c r="AK3247" s="42"/>
      <c r="AL3247" s="42"/>
      <c r="AM3247" s="42"/>
      <c r="AN3247" s="42"/>
      <c r="AO3247" s="63" t="str">
        <f>IFERROR(__xludf.DUMMYFUNCTION("IF(ISBLANK(A3247),,IF(ISBLANK(S3247), A3247&amp;"";"", TEXTJOIN(CHAR(10), TRUE, A3247&amp;"";"", ARRAYFORMULA(VLOOKUP(SPLIT(S3247, "";"" &amp; CHAR(10)), $A:$AO, 41, FALSE)))))"),"IZH;
IZHal;
SSA;
GSA;
GVA;
SVA;
IZHba;
GVE;
SVE;
GSE;
IZHfl;
IZHro;")</f>
        <v>IZH;
IZHal;
SSA;
GSA;
GVA;
SVA;
IZHba;
GVE;
SVE;
GSE;
IZHfl;
IZHro;</v>
      </c>
      <c r="AP3247" s="89"/>
    </row>
    <row r="3248">
      <c r="A3248" s="151" t="str">
        <f>IFERROR(__xludf.DUMMYFUNCTION("""COMPUTED_VALUE"""),"IZHal")</f>
        <v>IZHal</v>
      </c>
      <c r="B3248" s="42" t="str">
        <f>IFERROR(__xludf.DUMMYFUNCTION("""COMPUTED_VALUE"""),"DHBA")</f>
        <v>DHBA</v>
      </c>
      <c r="C3248" s="42" t="str">
        <f>IFERROR(__xludf.DUMMYFUNCTION("""COMPUTED_VALUE"""),"alar plate of intermediate zone of hindbrain")</f>
        <v>alar plate of intermediate zone of hindbrain</v>
      </c>
      <c r="D3248" s="42">
        <f>IFERROR(__xludf.DUMMYFUNCTION("""COMPUTED_VALUE"""),3103.0)</f>
        <v>3103</v>
      </c>
      <c r="E3248" s="39" t="str">
        <f>IFERROR(__xludf.DUMMYFUNCTION("""COMPUTED_VALUE"""),"alar plate of intermediate zone of hindbrain")</f>
        <v>alar plate of intermediate zone of hindbrain</v>
      </c>
      <c r="F3248" s="9" t="str">
        <f>IFERROR(__xludf.DUMMYFUNCTION("""COMPUTED_VALUE"""),"Br")</f>
        <v>Br</v>
      </c>
      <c r="G3248" s="9" t="str">
        <f>IFERROR(__xludf.DUMMYFUNCTION("""COMPUTED_VALUE"""),"H")</f>
        <v>H</v>
      </c>
      <c r="H3248" s="9" t="str">
        <f>IFERROR(__xludf.DUMMYFUNCTION("""COMPUTED_VALUE"""),"HGM")</f>
        <v>HGM</v>
      </c>
      <c r="I3248" s="9" t="str">
        <f>IFERROR(__xludf.DUMMYFUNCTION("""COMPUTED_VALUE"""),"HTS")</f>
        <v>HTS</v>
      </c>
      <c r="J3248" s="9" t="str">
        <f>IFERROR(__xludf.DUMMYFUNCTION("""COMPUTED_VALUE"""),"IZH")</f>
        <v>IZH</v>
      </c>
      <c r="K3248" s="9" t="str">
        <f>IFERROR(__xludf.DUMMYFUNCTION("""COMPUTED_VALUE"""),"IZHal")</f>
        <v>IZHal</v>
      </c>
      <c r="L3248" s="9"/>
      <c r="M3248" s="9"/>
      <c r="N3248" s="9"/>
      <c r="O3248" s="9"/>
      <c r="P3248" s="9"/>
      <c r="Q3248" s="9"/>
      <c r="R3248" s="9"/>
      <c r="S3248" s="42" t="str">
        <f>IFERROR(__xludf.DUMMYFUNCTION("""COMPUTED_VALUE"""),"SSA;
GSA;
GVA;
SVA")</f>
        <v>SSA;
GSA;
GVA;
SVA</v>
      </c>
      <c r="T3248" s="42"/>
      <c r="U3248" s="42" t="b">
        <f>IFERROR(__xludf.DUMMYFUNCTION("""COMPUTED_VALUE"""),FALSE)</f>
        <v>0</v>
      </c>
      <c r="V3248" s="42"/>
      <c r="W3248" s="42"/>
      <c r="X3248" s="42"/>
      <c r="Y3248" s="42"/>
      <c r="Z3248" s="42"/>
      <c r="AA3248" s="42"/>
      <c r="AB3248" s="42" t="str">
        <f>IFERROR(__xludf.DUMMYFUNCTION("""COMPUTED_VALUE"""),"allen institute")</f>
        <v>allen institute</v>
      </c>
      <c r="AC3248" s="42" t="str">
        <f>IFERROR(__xludf.DUMMYFUNCTION("""COMPUTED_VALUE"""),"DHBA")</f>
        <v>DHBA</v>
      </c>
      <c r="AD3248" s="42"/>
      <c r="AE3248" s="42"/>
      <c r="AF3248" s="9"/>
      <c r="AG3248" s="9"/>
      <c r="AH3248" s="42"/>
      <c r="AI3248" s="42"/>
      <c r="AJ3248" s="42"/>
      <c r="AK3248" s="42"/>
      <c r="AL3248" s="42"/>
      <c r="AM3248" s="42"/>
      <c r="AN3248" s="42"/>
      <c r="AO3248" s="63" t="str">
        <f>IFERROR(__xludf.DUMMYFUNCTION("IF(ISBLANK(A3248),,IF(ISBLANK(S3248), A3248&amp;"";"", TEXTJOIN(CHAR(10), TRUE, A3248&amp;"";"", ARRAYFORMULA(VLOOKUP(SPLIT(S3248, "";"" &amp; CHAR(10)), $A:$AO, 41, FALSE)))))"),"IZHal;
SSA;
GSA;
GVA;
SVA;")</f>
        <v>IZHal;
SSA;
GSA;
GVA;
SVA;</v>
      </c>
      <c r="AP3248" s="89"/>
    </row>
    <row r="3249">
      <c r="A3249" s="151" t="str">
        <f>IFERROR(__xludf.DUMMYFUNCTION("""COMPUTED_VALUE"""),"SSA")</f>
        <v>SSA</v>
      </c>
      <c r="B3249" s="42" t="str">
        <f>IFERROR(__xludf.DUMMYFUNCTION("""COMPUTED_VALUE"""),"DHBA")</f>
        <v>DHBA</v>
      </c>
      <c r="C3249" s="42" t="str">
        <f>IFERROR(__xludf.DUMMYFUNCTION("""COMPUTED_VALUE"""),"special somatic afferent cell column of hindbrain")</f>
        <v>special somatic afferent cell column of hindbrain</v>
      </c>
      <c r="D3249" s="42">
        <f>IFERROR(__xludf.DUMMYFUNCTION("""COMPUTED_VALUE"""),3104.0)</f>
        <v>3104</v>
      </c>
      <c r="E3249" s="39" t="str">
        <f>IFERROR(__xludf.DUMMYFUNCTION("""COMPUTED_VALUE"""),"special somatic afferent cell column of hindbrain")</f>
        <v>special somatic afferent cell column of hindbrain</v>
      </c>
      <c r="F3249" s="9" t="str">
        <f>IFERROR(__xludf.DUMMYFUNCTION("""COMPUTED_VALUE"""),"Br")</f>
        <v>Br</v>
      </c>
      <c r="G3249" s="9" t="str">
        <f>IFERROR(__xludf.DUMMYFUNCTION("""COMPUTED_VALUE"""),"H")</f>
        <v>H</v>
      </c>
      <c r="H3249" s="9" t="str">
        <f>IFERROR(__xludf.DUMMYFUNCTION("""COMPUTED_VALUE"""),"HGM")</f>
        <v>HGM</v>
      </c>
      <c r="I3249" s="9" t="str">
        <f>IFERROR(__xludf.DUMMYFUNCTION("""COMPUTED_VALUE"""),"HTS")</f>
        <v>HTS</v>
      </c>
      <c r="J3249" s="9" t="str">
        <f>IFERROR(__xludf.DUMMYFUNCTION("""COMPUTED_VALUE"""),"IZH")</f>
        <v>IZH</v>
      </c>
      <c r="K3249" s="9" t="str">
        <f>IFERROR(__xludf.DUMMYFUNCTION("""COMPUTED_VALUE"""),"IZHal")</f>
        <v>IZHal</v>
      </c>
      <c r="L3249" s="9" t="str">
        <f>IFERROR(__xludf.DUMMYFUNCTION("""COMPUTED_VALUE"""),"SSA")</f>
        <v>SSA</v>
      </c>
      <c r="M3249" s="9"/>
      <c r="N3249" s="9"/>
      <c r="O3249" s="9"/>
      <c r="P3249" s="9"/>
      <c r="Q3249" s="9"/>
      <c r="R3249" s="9"/>
      <c r="S3249" s="42"/>
      <c r="T3249" s="42"/>
      <c r="U3249" s="42"/>
      <c r="V3249" s="42"/>
      <c r="W3249" s="42"/>
      <c r="X3249" s="42"/>
      <c r="Y3249" s="42"/>
      <c r="Z3249" s="42"/>
      <c r="AA3249" s="42"/>
      <c r="AB3249" s="42" t="str">
        <f>IFERROR(__xludf.DUMMYFUNCTION("""COMPUTED_VALUE"""),"allen institute")</f>
        <v>allen institute</v>
      </c>
      <c r="AC3249" s="42" t="str">
        <f>IFERROR(__xludf.DUMMYFUNCTION("""COMPUTED_VALUE"""),"DHBA")</f>
        <v>DHBA</v>
      </c>
      <c r="AD3249" s="42"/>
      <c r="AE3249" s="42"/>
      <c r="AF3249" s="9"/>
      <c r="AG3249" s="9"/>
      <c r="AH3249" s="42"/>
      <c r="AI3249" s="42"/>
      <c r="AJ3249" s="42"/>
      <c r="AK3249" s="42"/>
      <c r="AL3249" s="42"/>
      <c r="AM3249" s="42"/>
      <c r="AN3249" s="42"/>
      <c r="AO3249" s="63" t="str">
        <f>IFERROR(__xludf.DUMMYFUNCTION("IF(ISBLANK(A3249),,IF(ISBLANK(S3249), A3249&amp;"";"", TEXTJOIN(CHAR(10), TRUE, A3249&amp;"";"", ARRAYFORMULA(VLOOKUP(SPLIT(S3249, "";"" &amp; CHAR(10)), $A:$AO, 41, FALSE)))))"),"SSA;")</f>
        <v>SSA;</v>
      </c>
      <c r="AP3249" s="89"/>
    </row>
    <row r="3250">
      <c r="A3250" s="151" t="str">
        <f>IFERROR(__xludf.DUMMYFUNCTION("""COMPUTED_VALUE"""),"GSA")</f>
        <v>GSA</v>
      </c>
      <c r="B3250" s="42" t="str">
        <f>IFERROR(__xludf.DUMMYFUNCTION("""COMPUTED_VALUE"""),"DHBA")</f>
        <v>DHBA</v>
      </c>
      <c r="C3250" s="42" t="str">
        <f>IFERROR(__xludf.DUMMYFUNCTION("""COMPUTED_VALUE"""),"general somatic afferent cell column of hindbrain")</f>
        <v>general somatic afferent cell column of hindbrain</v>
      </c>
      <c r="D3250" s="42">
        <f>IFERROR(__xludf.DUMMYFUNCTION("""COMPUTED_VALUE"""),3105.0)</f>
        <v>3105</v>
      </c>
      <c r="E3250" s="39" t="str">
        <f>IFERROR(__xludf.DUMMYFUNCTION("""COMPUTED_VALUE"""),"general somatic afferent cell column of hindbrain")</f>
        <v>general somatic afferent cell column of hindbrain</v>
      </c>
      <c r="F3250" s="9" t="str">
        <f>IFERROR(__xludf.DUMMYFUNCTION("""COMPUTED_VALUE"""),"Br")</f>
        <v>Br</v>
      </c>
      <c r="G3250" s="9" t="str">
        <f>IFERROR(__xludf.DUMMYFUNCTION("""COMPUTED_VALUE"""),"H")</f>
        <v>H</v>
      </c>
      <c r="H3250" s="9" t="str">
        <f>IFERROR(__xludf.DUMMYFUNCTION("""COMPUTED_VALUE"""),"HGM")</f>
        <v>HGM</v>
      </c>
      <c r="I3250" s="9" t="str">
        <f>IFERROR(__xludf.DUMMYFUNCTION("""COMPUTED_VALUE"""),"HTS")</f>
        <v>HTS</v>
      </c>
      <c r="J3250" s="9" t="str">
        <f>IFERROR(__xludf.DUMMYFUNCTION("""COMPUTED_VALUE"""),"IZH")</f>
        <v>IZH</v>
      </c>
      <c r="K3250" s="9" t="str">
        <f>IFERROR(__xludf.DUMMYFUNCTION("""COMPUTED_VALUE"""),"IZHal")</f>
        <v>IZHal</v>
      </c>
      <c r="L3250" s="9" t="str">
        <f>IFERROR(__xludf.DUMMYFUNCTION("""COMPUTED_VALUE"""),"GSA")</f>
        <v>GSA</v>
      </c>
      <c r="M3250" s="9"/>
      <c r="N3250" s="9"/>
      <c r="O3250" s="9"/>
      <c r="P3250" s="9"/>
      <c r="Q3250" s="9"/>
      <c r="R3250" s="9"/>
      <c r="S3250" s="42"/>
      <c r="T3250" s="42"/>
      <c r="U3250" s="42"/>
      <c r="V3250" s="42"/>
      <c r="W3250" s="42"/>
      <c r="X3250" s="42"/>
      <c r="Y3250" s="42"/>
      <c r="Z3250" s="42"/>
      <c r="AA3250" s="42"/>
      <c r="AB3250" s="42" t="str">
        <f>IFERROR(__xludf.DUMMYFUNCTION("""COMPUTED_VALUE"""),"allen institute")</f>
        <v>allen institute</v>
      </c>
      <c r="AC3250" s="42" t="str">
        <f>IFERROR(__xludf.DUMMYFUNCTION("""COMPUTED_VALUE"""),"DHBA")</f>
        <v>DHBA</v>
      </c>
      <c r="AD3250" s="42"/>
      <c r="AE3250" s="42"/>
      <c r="AF3250" s="9"/>
      <c r="AG3250" s="9"/>
      <c r="AH3250" s="42"/>
      <c r="AI3250" s="42"/>
      <c r="AJ3250" s="42"/>
      <c r="AK3250" s="42"/>
      <c r="AL3250" s="42"/>
      <c r="AM3250" s="42"/>
      <c r="AN3250" s="42"/>
      <c r="AO3250" s="63" t="str">
        <f>IFERROR(__xludf.DUMMYFUNCTION("IF(ISBLANK(A3250),,IF(ISBLANK(S3250), A3250&amp;"";"", TEXTJOIN(CHAR(10), TRUE, A3250&amp;"";"", ARRAYFORMULA(VLOOKUP(SPLIT(S3250, "";"" &amp; CHAR(10)), $A:$AO, 41, FALSE)))))"),"GSA;")</f>
        <v>GSA;</v>
      </c>
      <c r="AP3250" s="89"/>
    </row>
    <row r="3251">
      <c r="A3251" s="151" t="str">
        <f>IFERROR(__xludf.DUMMYFUNCTION("""COMPUTED_VALUE"""),"GVA")</f>
        <v>GVA</v>
      </c>
      <c r="B3251" s="42" t="str">
        <f>IFERROR(__xludf.DUMMYFUNCTION("""COMPUTED_VALUE"""),"DHBA")</f>
        <v>DHBA</v>
      </c>
      <c r="C3251" s="42" t="str">
        <f>IFERROR(__xludf.DUMMYFUNCTION("""COMPUTED_VALUE"""),"general visceral afferent cell column of hindbrain")</f>
        <v>general visceral afferent cell column of hindbrain</v>
      </c>
      <c r="D3251" s="42">
        <f>IFERROR(__xludf.DUMMYFUNCTION("""COMPUTED_VALUE"""),3106.0)</f>
        <v>3106</v>
      </c>
      <c r="E3251" s="39" t="str">
        <f>IFERROR(__xludf.DUMMYFUNCTION("""COMPUTED_VALUE"""),"general visceral afferent cell column of hindbrain")</f>
        <v>general visceral afferent cell column of hindbrain</v>
      </c>
      <c r="F3251" s="9" t="str">
        <f>IFERROR(__xludf.DUMMYFUNCTION("""COMPUTED_VALUE"""),"Br")</f>
        <v>Br</v>
      </c>
      <c r="G3251" s="9" t="str">
        <f>IFERROR(__xludf.DUMMYFUNCTION("""COMPUTED_VALUE"""),"H")</f>
        <v>H</v>
      </c>
      <c r="H3251" s="9" t="str">
        <f>IFERROR(__xludf.DUMMYFUNCTION("""COMPUTED_VALUE"""),"HGM")</f>
        <v>HGM</v>
      </c>
      <c r="I3251" s="9" t="str">
        <f>IFERROR(__xludf.DUMMYFUNCTION("""COMPUTED_VALUE"""),"HTS")</f>
        <v>HTS</v>
      </c>
      <c r="J3251" s="9" t="str">
        <f>IFERROR(__xludf.DUMMYFUNCTION("""COMPUTED_VALUE"""),"IZH")</f>
        <v>IZH</v>
      </c>
      <c r="K3251" s="9" t="str">
        <f>IFERROR(__xludf.DUMMYFUNCTION("""COMPUTED_VALUE"""),"IZHal")</f>
        <v>IZHal</v>
      </c>
      <c r="L3251" s="9" t="str">
        <f>IFERROR(__xludf.DUMMYFUNCTION("""COMPUTED_VALUE"""),"GVA")</f>
        <v>GVA</v>
      </c>
      <c r="M3251" s="9"/>
      <c r="N3251" s="9"/>
      <c r="O3251" s="9"/>
      <c r="P3251" s="9"/>
      <c r="Q3251" s="9"/>
      <c r="R3251" s="9"/>
      <c r="S3251" s="42"/>
      <c r="T3251" s="42"/>
      <c r="U3251" s="42"/>
      <c r="V3251" s="42"/>
      <c r="W3251" s="42"/>
      <c r="X3251" s="42"/>
      <c r="Y3251" s="42"/>
      <c r="Z3251" s="42"/>
      <c r="AA3251" s="42"/>
      <c r="AB3251" s="42" t="str">
        <f>IFERROR(__xludf.DUMMYFUNCTION("""COMPUTED_VALUE"""),"allen institute")</f>
        <v>allen institute</v>
      </c>
      <c r="AC3251" s="42" t="str">
        <f>IFERROR(__xludf.DUMMYFUNCTION("""COMPUTED_VALUE"""),"DHBA")</f>
        <v>DHBA</v>
      </c>
      <c r="AD3251" s="42"/>
      <c r="AE3251" s="42"/>
      <c r="AF3251" s="9"/>
      <c r="AG3251" s="9"/>
      <c r="AH3251" s="42"/>
      <c r="AI3251" s="42"/>
      <c r="AJ3251" s="42"/>
      <c r="AK3251" s="42"/>
      <c r="AL3251" s="42"/>
      <c r="AM3251" s="42"/>
      <c r="AN3251" s="42"/>
      <c r="AO3251" s="63" t="str">
        <f>IFERROR(__xludf.DUMMYFUNCTION("IF(ISBLANK(A3251),,IF(ISBLANK(S3251), A3251&amp;"";"", TEXTJOIN(CHAR(10), TRUE, A3251&amp;"";"", ARRAYFORMULA(VLOOKUP(SPLIT(S3251, "";"" &amp; CHAR(10)), $A:$AO, 41, FALSE)))))"),"GVA;")</f>
        <v>GVA;</v>
      </c>
      <c r="AP3251" s="89"/>
    </row>
    <row r="3252">
      <c r="A3252" s="151" t="str">
        <f>IFERROR(__xludf.DUMMYFUNCTION("""COMPUTED_VALUE"""),"SVA")</f>
        <v>SVA</v>
      </c>
      <c r="B3252" s="42" t="str">
        <f>IFERROR(__xludf.DUMMYFUNCTION("""COMPUTED_VALUE"""),"DHBA")</f>
        <v>DHBA</v>
      </c>
      <c r="C3252" s="42" t="str">
        <f>IFERROR(__xludf.DUMMYFUNCTION("""COMPUTED_VALUE"""),"special visceral afferent cell column of hindbrain")</f>
        <v>special visceral afferent cell column of hindbrain</v>
      </c>
      <c r="D3252" s="42">
        <f>IFERROR(__xludf.DUMMYFUNCTION("""COMPUTED_VALUE"""),3107.0)</f>
        <v>3107</v>
      </c>
      <c r="E3252" s="39" t="str">
        <f>IFERROR(__xludf.DUMMYFUNCTION("""COMPUTED_VALUE"""),"special visceral afferent cell column of hindbrain")</f>
        <v>special visceral afferent cell column of hindbrain</v>
      </c>
      <c r="F3252" s="9" t="str">
        <f>IFERROR(__xludf.DUMMYFUNCTION("""COMPUTED_VALUE"""),"Br")</f>
        <v>Br</v>
      </c>
      <c r="G3252" s="9" t="str">
        <f>IFERROR(__xludf.DUMMYFUNCTION("""COMPUTED_VALUE"""),"H")</f>
        <v>H</v>
      </c>
      <c r="H3252" s="9" t="str">
        <f>IFERROR(__xludf.DUMMYFUNCTION("""COMPUTED_VALUE"""),"HGM")</f>
        <v>HGM</v>
      </c>
      <c r="I3252" s="9" t="str">
        <f>IFERROR(__xludf.DUMMYFUNCTION("""COMPUTED_VALUE"""),"HTS")</f>
        <v>HTS</v>
      </c>
      <c r="J3252" s="9" t="str">
        <f>IFERROR(__xludf.DUMMYFUNCTION("""COMPUTED_VALUE"""),"IZH")</f>
        <v>IZH</v>
      </c>
      <c r="K3252" s="9" t="str">
        <f>IFERROR(__xludf.DUMMYFUNCTION("""COMPUTED_VALUE"""),"IZHal")</f>
        <v>IZHal</v>
      </c>
      <c r="L3252" s="9" t="str">
        <f>IFERROR(__xludf.DUMMYFUNCTION("""COMPUTED_VALUE"""),"SVA")</f>
        <v>SVA</v>
      </c>
      <c r="M3252" s="9"/>
      <c r="N3252" s="9"/>
      <c r="O3252" s="9"/>
      <c r="P3252" s="9"/>
      <c r="Q3252" s="9"/>
      <c r="R3252" s="9"/>
      <c r="S3252" s="42"/>
      <c r="T3252" s="42"/>
      <c r="U3252" s="42"/>
      <c r="V3252" s="42"/>
      <c r="W3252" s="42"/>
      <c r="X3252" s="42"/>
      <c r="Y3252" s="42"/>
      <c r="Z3252" s="42"/>
      <c r="AA3252" s="42"/>
      <c r="AB3252" s="42" t="str">
        <f>IFERROR(__xludf.DUMMYFUNCTION("""COMPUTED_VALUE"""),"allen institute")</f>
        <v>allen institute</v>
      </c>
      <c r="AC3252" s="42" t="str">
        <f>IFERROR(__xludf.DUMMYFUNCTION("""COMPUTED_VALUE"""),"DHBA")</f>
        <v>DHBA</v>
      </c>
      <c r="AD3252" s="42"/>
      <c r="AE3252" s="42"/>
      <c r="AF3252" s="9"/>
      <c r="AG3252" s="9"/>
      <c r="AH3252" s="42"/>
      <c r="AI3252" s="42"/>
      <c r="AJ3252" s="42"/>
      <c r="AK3252" s="42"/>
      <c r="AL3252" s="42"/>
      <c r="AM3252" s="42"/>
      <c r="AN3252" s="42"/>
      <c r="AO3252" s="63" t="str">
        <f>IFERROR(__xludf.DUMMYFUNCTION("IF(ISBLANK(A3252),,IF(ISBLANK(S3252), A3252&amp;"";"", TEXTJOIN(CHAR(10), TRUE, A3252&amp;"";"", ARRAYFORMULA(VLOOKUP(SPLIT(S3252, "";"" &amp; CHAR(10)), $A:$AO, 41, FALSE)))))"),"SVA;")</f>
        <v>SVA;</v>
      </c>
      <c r="AP3252" s="89"/>
    </row>
    <row r="3253">
      <c r="A3253" s="151" t="str">
        <f>IFERROR(__xludf.DUMMYFUNCTION("""COMPUTED_VALUE"""),"IZHba")</f>
        <v>IZHba</v>
      </c>
      <c r="B3253" s="42" t="str">
        <f>IFERROR(__xludf.DUMMYFUNCTION("""COMPUTED_VALUE"""),"DHBA")</f>
        <v>DHBA</v>
      </c>
      <c r="C3253" s="42" t="str">
        <f>IFERROR(__xludf.DUMMYFUNCTION("""COMPUTED_VALUE"""),"basal plate of intermediate zone of hindbrain")</f>
        <v>basal plate of intermediate zone of hindbrain</v>
      </c>
      <c r="D3253" s="42">
        <f>IFERROR(__xludf.DUMMYFUNCTION("""COMPUTED_VALUE"""),3108.0)</f>
        <v>3108</v>
      </c>
      <c r="E3253" s="39" t="str">
        <f>IFERROR(__xludf.DUMMYFUNCTION("""COMPUTED_VALUE"""),"basal plate of intermediate zone of hindbrain")</f>
        <v>basal plate of intermediate zone of hindbrain</v>
      </c>
      <c r="F3253" s="9" t="str">
        <f>IFERROR(__xludf.DUMMYFUNCTION("""COMPUTED_VALUE"""),"Br")</f>
        <v>Br</v>
      </c>
      <c r="G3253" s="9" t="str">
        <f>IFERROR(__xludf.DUMMYFUNCTION("""COMPUTED_VALUE"""),"H")</f>
        <v>H</v>
      </c>
      <c r="H3253" s="9" t="str">
        <f>IFERROR(__xludf.DUMMYFUNCTION("""COMPUTED_VALUE"""),"HGM")</f>
        <v>HGM</v>
      </c>
      <c r="I3253" s="9" t="str">
        <f>IFERROR(__xludf.DUMMYFUNCTION("""COMPUTED_VALUE"""),"HTS")</f>
        <v>HTS</v>
      </c>
      <c r="J3253" s="9" t="str">
        <f>IFERROR(__xludf.DUMMYFUNCTION("""COMPUTED_VALUE"""),"IZH")</f>
        <v>IZH</v>
      </c>
      <c r="K3253" s="9" t="str">
        <f>IFERROR(__xludf.DUMMYFUNCTION("""COMPUTED_VALUE"""),"IZHba")</f>
        <v>IZHba</v>
      </c>
      <c r="L3253" s="9"/>
      <c r="M3253" s="9"/>
      <c r="N3253" s="9"/>
      <c r="O3253" s="9"/>
      <c r="P3253" s="9"/>
      <c r="Q3253" s="9"/>
      <c r="R3253" s="9"/>
      <c r="S3253" s="42" t="str">
        <f>IFERROR(__xludf.DUMMYFUNCTION("""COMPUTED_VALUE"""),"GVE;
SVE;
GSE")</f>
        <v>GVE;
SVE;
GSE</v>
      </c>
      <c r="T3253" s="42"/>
      <c r="U3253" s="42" t="b">
        <f>IFERROR(__xludf.DUMMYFUNCTION("""COMPUTED_VALUE"""),FALSE)</f>
        <v>0</v>
      </c>
      <c r="V3253" s="42"/>
      <c r="W3253" s="42"/>
      <c r="X3253" s="42"/>
      <c r="Y3253" s="42"/>
      <c r="Z3253" s="42"/>
      <c r="AA3253" s="42"/>
      <c r="AB3253" s="42" t="str">
        <f>IFERROR(__xludf.DUMMYFUNCTION("""COMPUTED_VALUE"""),"allen institute")</f>
        <v>allen institute</v>
      </c>
      <c r="AC3253" s="42" t="str">
        <f>IFERROR(__xludf.DUMMYFUNCTION("""COMPUTED_VALUE"""),"DHBA")</f>
        <v>DHBA</v>
      </c>
      <c r="AD3253" s="42"/>
      <c r="AE3253" s="42"/>
      <c r="AF3253" s="9"/>
      <c r="AG3253" s="9"/>
      <c r="AH3253" s="42"/>
      <c r="AI3253" s="42"/>
      <c r="AJ3253" s="42"/>
      <c r="AK3253" s="42"/>
      <c r="AL3253" s="42"/>
      <c r="AM3253" s="42"/>
      <c r="AN3253" s="42"/>
      <c r="AO3253" s="63" t="str">
        <f>IFERROR(__xludf.DUMMYFUNCTION("IF(ISBLANK(A3253),,IF(ISBLANK(S3253), A3253&amp;"";"", TEXTJOIN(CHAR(10), TRUE, A3253&amp;"";"", ARRAYFORMULA(VLOOKUP(SPLIT(S3253, "";"" &amp; CHAR(10)), $A:$AO, 41, FALSE)))))"),"IZHba;
GVE;
SVE;
GSE;")</f>
        <v>IZHba;
GVE;
SVE;
GSE;</v>
      </c>
      <c r="AP3253" s="89"/>
    </row>
    <row r="3254">
      <c r="A3254" s="151" t="str">
        <f>IFERROR(__xludf.DUMMYFUNCTION("""COMPUTED_VALUE"""),"GVE")</f>
        <v>GVE</v>
      </c>
      <c r="B3254" s="42" t="str">
        <f>IFERROR(__xludf.DUMMYFUNCTION("""COMPUTED_VALUE"""),"DHBA")</f>
        <v>DHBA</v>
      </c>
      <c r="C3254" s="42" t="str">
        <f>IFERROR(__xludf.DUMMYFUNCTION("""COMPUTED_VALUE"""),"general visceral efferent cell column of hindbrain")</f>
        <v>general visceral efferent cell column of hindbrain</v>
      </c>
      <c r="D3254" s="42">
        <f>IFERROR(__xludf.DUMMYFUNCTION("""COMPUTED_VALUE"""),3109.0)</f>
        <v>3109</v>
      </c>
      <c r="E3254" s="39" t="str">
        <f>IFERROR(__xludf.DUMMYFUNCTION("""COMPUTED_VALUE"""),"general visceral efferent cell column of hindbrain")</f>
        <v>general visceral efferent cell column of hindbrain</v>
      </c>
      <c r="F3254" s="9" t="str">
        <f>IFERROR(__xludf.DUMMYFUNCTION("""COMPUTED_VALUE"""),"Br")</f>
        <v>Br</v>
      </c>
      <c r="G3254" s="9" t="str">
        <f>IFERROR(__xludf.DUMMYFUNCTION("""COMPUTED_VALUE"""),"H")</f>
        <v>H</v>
      </c>
      <c r="H3254" s="9" t="str">
        <f>IFERROR(__xludf.DUMMYFUNCTION("""COMPUTED_VALUE"""),"HGM")</f>
        <v>HGM</v>
      </c>
      <c r="I3254" s="9" t="str">
        <f>IFERROR(__xludf.DUMMYFUNCTION("""COMPUTED_VALUE"""),"HTS")</f>
        <v>HTS</v>
      </c>
      <c r="J3254" s="9" t="str">
        <f>IFERROR(__xludf.DUMMYFUNCTION("""COMPUTED_VALUE"""),"IZH")</f>
        <v>IZH</v>
      </c>
      <c r="K3254" s="9" t="str">
        <f>IFERROR(__xludf.DUMMYFUNCTION("""COMPUTED_VALUE"""),"IZHba")</f>
        <v>IZHba</v>
      </c>
      <c r="L3254" s="9" t="str">
        <f>IFERROR(__xludf.DUMMYFUNCTION("""COMPUTED_VALUE"""),"GVE")</f>
        <v>GVE</v>
      </c>
      <c r="M3254" s="9"/>
      <c r="N3254" s="9"/>
      <c r="O3254" s="9"/>
      <c r="P3254" s="9"/>
      <c r="Q3254" s="9"/>
      <c r="R3254" s="9"/>
      <c r="S3254" s="42"/>
      <c r="T3254" s="42"/>
      <c r="U3254" s="42"/>
      <c r="V3254" s="42"/>
      <c r="W3254" s="42"/>
      <c r="X3254" s="42"/>
      <c r="Y3254" s="42"/>
      <c r="Z3254" s="42"/>
      <c r="AA3254" s="42"/>
      <c r="AB3254" s="42" t="str">
        <f>IFERROR(__xludf.DUMMYFUNCTION("""COMPUTED_VALUE"""),"allen institute")</f>
        <v>allen institute</v>
      </c>
      <c r="AC3254" s="42" t="str">
        <f>IFERROR(__xludf.DUMMYFUNCTION("""COMPUTED_VALUE"""),"DHBA")</f>
        <v>DHBA</v>
      </c>
      <c r="AD3254" s="42"/>
      <c r="AE3254" s="42"/>
      <c r="AF3254" s="9"/>
      <c r="AG3254" s="9"/>
      <c r="AH3254" s="42"/>
      <c r="AI3254" s="42"/>
      <c r="AJ3254" s="42"/>
      <c r="AK3254" s="42"/>
      <c r="AL3254" s="42"/>
      <c r="AM3254" s="42"/>
      <c r="AN3254" s="42"/>
      <c r="AO3254" s="63" t="str">
        <f>IFERROR(__xludf.DUMMYFUNCTION("IF(ISBLANK(A3254),,IF(ISBLANK(S3254), A3254&amp;"";"", TEXTJOIN(CHAR(10), TRUE, A3254&amp;"";"", ARRAYFORMULA(VLOOKUP(SPLIT(S3254, "";"" &amp; CHAR(10)), $A:$AO, 41, FALSE)))))"),"GVE;")</f>
        <v>GVE;</v>
      </c>
      <c r="AP3254" s="89"/>
    </row>
    <row r="3255">
      <c r="A3255" s="151" t="str">
        <f>IFERROR(__xludf.DUMMYFUNCTION("""COMPUTED_VALUE"""),"SVE")</f>
        <v>SVE</v>
      </c>
      <c r="B3255" s="42" t="str">
        <f>IFERROR(__xludf.DUMMYFUNCTION("""COMPUTED_VALUE"""),"DHBA")</f>
        <v>DHBA</v>
      </c>
      <c r="C3255" s="42" t="str">
        <f>IFERROR(__xludf.DUMMYFUNCTION("""COMPUTED_VALUE"""),"special visceral efferent cell column of hindbrain")</f>
        <v>special visceral efferent cell column of hindbrain</v>
      </c>
      <c r="D3255" s="42">
        <f>IFERROR(__xludf.DUMMYFUNCTION("""COMPUTED_VALUE"""),3110.0)</f>
        <v>3110</v>
      </c>
      <c r="E3255" s="39" t="str">
        <f>IFERROR(__xludf.DUMMYFUNCTION("""COMPUTED_VALUE"""),"special visceral efferent cell column of hindbrain")</f>
        <v>special visceral efferent cell column of hindbrain</v>
      </c>
      <c r="F3255" s="9" t="str">
        <f>IFERROR(__xludf.DUMMYFUNCTION("""COMPUTED_VALUE"""),"Br")</f>
        <v>Br</v>
      </c>
      <c r="G3255" s="9" t="str">
        <f>IFERROR(__xludf.DUMMYFUNCTION("""COMPUTED_VALUE"""),"H")</f>
        <v>H</v>
      </c>
      <c r="H3255" s="9" t="str">
        <f>IFERROR(__xludf.DUMMYFUNCTION("""COMPUTED_VALUE"""),"HGM")</f>
        <v>HGM</v>
      </c>
      <c r="I3255" s="9" t="str">
        <f>IFERROR(__xludf.DUMMYFUNCTION("""COMPUTED_VALUE"""),"HTS")</f>
        <v>HTS</v>
      </c>
      <c r="J3255" s="9" t="str">
        <f>IFERROR(__xludf.DUMMYFUNCTION("""COMPUTED_VALUE"""),"IZH")</f>
        <v>IZH</v>
      </c>
      <c r="K3255" s="9" t="str">
        <f>IFERROR(__xludf.DUMMYFUNCTION("""COMPUTED_VALUE"""),"IZHba")</f>
        <v>IZHba</v>
      </c>
      <c r="L3255" s="9" t="str">
        <f>IFERROR(__xludf.DUMMYFUNCTION("""COMPUTED_VALUE"""),"SVE")</f>
        <v>SVE</v>
      </c>
      <c r="M3255" s="9"/>
      <c r="N3255" s="9"/>
      <c r="O3255" s="9"/>
      <c r="P3255" s="9"/>
      <c r="Q3255" s="9"/>
      <c r="R3255" s="9"/>
      <c r="S3255" s="42"/>
      <c r="T3255" s="42"/>
      <c r="U3255" s="42"/>
      <c r="V3255" s="42"/>
      <c r="W3255" s="42"/>
      <c r="X3255" s="42"/>
      <c r="Y3255" s="42"/>
      <c r="Z3255" s="42"/>
      <c r="AA3255" s="42"/>
      <c r="AB3255" s="42" t="str">
        <f>IFERROR(__xludf.DUMMYFUNCTION("""COMPUTED_VALUE"""),"allen institute")</f>
        <v>allen institute</v>
      </c>
      <c r="AC3255" s="42" t="str">
        <f>IFERROR(__xludf.DUMMYFUNCTION("""COMPUTED_VALUE"""),"DHBA")</f>
        <v>DHBA</v>
      </c>
      <c r="AD3255" s="42"/>
      <c r="AE3255" s="42"/>
      <c r="AF3255" s="9"/>
      <c r="AG3255" s="9"/>
      <c r="AH3255" s="42"/>
      <c r="AI3255" s="42"/>
      <c r="AJ3255" s="42"/>
      <c r="AK3255" s="42"/>
      <c r="AL3255" s="42"/>
      <c r="AM3255" s="42"/>
      <c r="AN3255" s="42"/>
      <c r="AO3255" s="63" t="str">
        <f>IFERROR(__xludf.DUMMYFUNCTION("IF(ISBLANK(A3255),,IF(ISBLANK(S3255), A3255&amp;"";"", TEXTJOIN(CHAR(10), TRUE, A3255&amp;"";"", ARRAYFORMULA(VLOOKUP(SPLIT(S3255, "";"" &amp; CHAR(10)), $A:$AO, 41, FALSE)))))"),"SVE;")</f>
        <v>SVE;</v>
      </c>
      <c r="AP3255" s="89"/>
    </row>
    <row r="3256">
      <c r="A3256" s="151" t="str">
        <f>IFERROR(__xludf.DUMMYFUNCTION("""COMPUTED_VALUE"""),"GSE")</f>
        <v>GSE</v>
      </c>
      <c r="B3256" s="42" t="str">
        <f>IFERROR(__xludf.DUMMYFUNCTION("""COMPUTED_VALUE"""),"DHBA")</f>
        <v>DHBA</v>
      </c>
      <c r="C3256" s="42" t="str">
        <f>IFERROR(__xludf.DUMMYFUNCTION("""COMPUTED_VALUE"""),"general somatic efferent cell column of hindbrain")</f>
        <v>general somatic efferent cell column of hindbrain</v>
      </c>
      <c r="D3256" s="42">
        <f>IFERROR(__xludf.DUMMYFUNCTION("""COMPUTED_VALUE"""),3111.0)</f>
        <v>3111</v>
      </c>
      <c r="E3256" s="39" t="str">
        <f>IFERROR(__xludf.DUMMYFUNCTION("""COMPUTED_VALUE"""),"general somatic efferent cell column of hindbrain")</f>
        <v>general somatic efferent cell column of hindbrain</v>
      </c>
      <c r="F3256" s="9" t="str">
        <f>IFERROR(__xludf.DUMMYFUNCTION("""COMPUTED_VALUE"""),"Br")</f>
        <v>Br</v>
      </c>
      <c r="G3256" s="9" t="str">
        <f>IFERROR(__xludf.DUMMYFUNCTION("""COMPUTED_VALUE"""),"H")</f>
        <v>H</v>
      </c>
      <c r="H3256" s="9" t="str">
        <f>IFERROR(__xludf.DUMMYFUNCTION("""COMPUTED_VALUE"""),"HGM")</f>
        <v>HGM</v>
      </c>
      <c r="I3256" s="9" t="str">
        <f>IFERROR(__xludf.DUMMYFUNCTION("""COMPUTED_VALUE"""),"HTS")</f>
        <v>HTS</v>
      </c>
      <c r="J3256" s="9" t="str">
        <f>IFERROR(__xludf.DUMMYFUNCTION("""COMPUTED_VALUE"""),"IZH")</f>
        <v>IZH</v>
      </c>
      <c r="K3256" s="9" t="str">
        <f>IFERROR(__xludf.DUMMYFUNCTION("""COMPUTED_VALUE"""),"IZHba")</f>
        <v>IZHba</v>
      </c>
      <c r="L3256" s="9" t="str">
        <f>IFERROR(__xludf.DUMMYFUNCTION("""COMPUTED_VALUE"""),"GSE")</f>
        <v>GSE</v>
      </c>
      <c r="M3256" s="9"/>
      <c r="N3256" s="9"/>
      <c r="O3256" s="9"/>
      <c r="P3256" s="9"/>
      <c r="Q3256" s="9"/>
      <c r="R3256" s="9"/>
      <c r="S3256" s="42"/>
      <c r="T3256" s="42"/>
      <c r="U3256" s="42"/>
      <c r="V3256" s="42"/>
      <c r="W3256" s="42"/>
      <c r="X3256" s="42"/>
      <c r="Y3256" s="42"/>
      <c r="Z3256" s="42"/>
      <c r="AA3256" s="42"/>
      <c r="AB3256" s="42" t="str">
        <f>IFERROR(__xludf.DUMMYFUNCTION("""COMPUTED_VALUE"""),"allen institute")</f>
        <v>allen institute</v>
      </c>
      <c r="AC3256" s="42" t="str">
        <f>IFERROR(__xludf.DUMMYFUNCTION("""COMPUTED_VALUE"""),"DHBA")</f>
        <v>DHBA</v>
      </c>
      <c r="AD3256" s="42"/>
      <c r="AE3256" s="42"/>
      <c r="AF3256" s="9"/>
      <c r="AG3256" s="9"/>
      <c r="AH3256" s="42"/>
      <c r="AI3256" s="42"/>
      <c r="AJ3256" s="42"/>
      <c r="AK3256" s="42"/>
      <c r="AL3256" s="42"/>
      <c r="AM3256" s="42"/>
      <c r="AN3256" s="42"/>
      <c r="AO3256" s="63" t="str">
        <f>IFERROR(__xludf.DUMMYFUNCTION("IF(ISBLANK(A3256),,IF(ISBLANK(S3256), A3256&amp;"";"", TEXTJOIN(CHAR(10), TRUE, A3256&amp;"";"", ARRAYFORMULA(VLOOKUP(SPLIT(S3256, "";"" &amp; CHAR(10)), $A:$AO, 41, FALSE)))))"),"GSE;")</f>
        <v>GSE;</v>
      </c>
      <c r="AP3256" s="89"/>
    </row>
    <row r="3257">
      <c r="A3257" s="151" t="str">
        <f>IFERROR(__xludf.DUMMYFUNCTION("""COMPUTED_VALUE"""),"IZHfl")</f>
        <v>IZHfl</v>
      </c>
      <c r="B3257" s="42" t="str">
        <f>IFERROR(__xludf.DUMMYFUNCTION("""COMPUTED_VALUE"""),"DHBA")</f>
        <v>DHBA</v>
      </c>
      <c r="C3257" s="42" t="str">
        <f>IFERROR(__xludf.DUMMYFUNCTION("""COMPUTED_VALUE"""),"floor plate of intermediate zone of hindbrain")</f>
        <v>floor plate of intermediate zone of hindbrain</v>
      </c>
      <c r="D3257" s="42">
        <f>IFERROR(__xludf.DUMMYFUNCTION("""COMPUTED_VALUE"""),3112.0)</f>
        <v>3112</v>
      </c>
      <c r="E3257" s="39" t="str">
        <f>IFERROR(__xludf.DUMMYFUNCTION("""COMPUTED_VALUE"""),"floor plate of intermediate zone of hindbrain")</f>
        <v>floor plate of intermediate zone of hindbrain</v>
      </c>
      <c r="F3257" s="9" t="str">
        <f>IFERROR(__xludf.DUMMYFUNCTION("""COMPUTED_VALUE"""),"Br")</f>
        <v>Br</v>
      </c>
      <c r="G3257" s="9" t="str">
        <f>IFERROR(__xludf.DUMMYFUNCTION("""COMPUTED_VALUE"""),"H")</f>
        <v>H</v>
      </c>
      <c r="H3257" s="9" t="str">
        <f>IFERROR(__xludf.DUMMYFUNCTION("""COMPUTED_VALUE"""),"HGM")</f>
        <v>HGM</v>
      </c>
      <c r="I3257" s="9" t="str">
        <f>IFERROR(__xludf.DUMMYFUNCTION("""COMPUTED_VALUE"""),"HTS")</f>
        <v>HTS</v>
      </c>
      <c r="J3257" s="9" t="str">
        <f>IFERROR(__xludf.DUMMYFUNCTION("""COMPUTED_VALUE"""),"IZH")</f>
        <v>IZH</v>
      </c>
      <c r="K3257" s="9" t="str">
        <f>IFERROR(__xludf.DUMMYFUNCTION("""COMPUTED_VALUE"""),"IZHfl")</f>
        <v>IZHfl</v>
      </c>
      <c r="L3257" s="9"/>
      <c r="M3257" s="9"/>
      <c r="N3257" s="9"/>
      <c r="O3257" s="9"/>
      <c r="P3257" s="9"/>
      <c r="Q3257" s="9"/>
      <c r="R3257" s="9"/>
      <c r="S3257" s="42"/>
      <c r="T3257" s="42"/>
      <c r="U3257" s="42"/>
      <c r="V3257" s="42"/>
      <c r="W3257" s="42"/>
      <c r="X3257" s="42"/>
      <c r="Y3257" s="42"/>
      <c r="Z3257" s="42"/>
      <c r="AA3257" s="42"/>
      <c r="AB3257" s="42" t="str">
        <f>IFERROR(__xludf.DUMMYFUNCTION("""COMPUTED_VALUE"""),"allen institute")</f>
        <v>allen institute</v>
      </c>
      <c r="AC3257" s="42" t="str">
        <f>IFERROR(__xludf.DUMMYFUNCTION("""COMPUTED_VALUE"""),"DHBA")</f>
        <v>DHBA</v>
      </c>
      <c r="AD3257" s="42"/>
      <c r="AE3257" s="42"/>
      <c r="AF3257" s="9"/>
      <c r="AG3257" s="9"/>
      <c r="AH3257" s="42"/>
      <c r="AI3257" s="42"/>
      <c r="AJ3257" s="42"/>
      <c r="AK3257" s="42"/>
      <c r="AL3257" s="42"/>
      <c r="AM3257" s="42"/>
      <c r="AN3257" s="42"/>
      <c r="AO3257" s="63" t="str">
        <f>IFERROR(__xludf.DUMMYFUNCTION("IF(ISBLANK(A3257),,IF(ISBLANK(S3257), A3257&amp;"";"", TEXTJOIN(CHAR(10), TRUE, A3257&amp;"";"", ARRAYFORMULA(VLOOKUP(SPLIT(S3257, "";"" &amp; CHAR(10)), $A:$AO, 41, FALSE)))))"),"IZHfl;")</f>
        <v>IZHfl;</v>
      </c>
      <c r="AP3257" s="89"/>
    </row>
    <row r="3258">
      <c r="A3258" s="151" t="str">
        <f>IFERROR(__xludf.DUMMYFUNCTION("""COMPUTED_VALUE"""),"IZHro")</f>
        <v>IZHro</v>
      </c>
      <c r="B3258" s="42" t="str">
        <f>IFERROR(__xludf.DUMMYFUNCTION("""COMPUTED_VALUE"""),"DHBA")</f>
        <v>DHBA</v>
      </c>
      <c r="C3258" s="42" t="str">
        <f>IFERROR(__xludf.DUMMYFUNCTION("""COMPUTED_VALUE"""),"roof plate of intermediate zone of hindbrain")</f>
        <v>roof plate of intermediate zone of hindbrain</v>
      </c>
      <c r="D3258" s="42">
        <f>IFERROR(__xludf.DUMMYFUNCTION("""COMPUTED_VALUE"""),3113.0)</f>
        <v>3113</v>
      </c>
      <c r="E3258" s="39" t="str">
        <f>IFERROR(__xludf.DUMMYFUNCTION("""COMPUTED_VALUE"""),"roof plate of intermediate zone of hindbrain")</f>
        <v>roof plate of intermediate zone of hindbrain</v>
      </c>
      <c r="F3258" s="9" t="str">
        <f>IFERROR(__xludf.DUMMYFUNCTION("""COMPUTED_VALUE"""),"Br")</f>
        <v>Br</v>
      </c>
      <c r="G3258" s="9" t="str">
        <f>IFERROR(__xludf.DUMMYFUNCTION("""COMPUTED_VALUE"""),"H")</f>
        <v>H</v>
      </c>
      <c r="H3258" s="9" t="str">
        <f>IFERROR(__xludf.DUMMYFUNCTION("""COMPUTED_VALUE"""),"HGM")</f>
        <v>HGM</v>
      </c>
      <c r="I3258" s="9" t="str">
        <f>IFERROR(__xludf.DUMMYFUNCTION("""COMPUTED_VALUE"""),"HTS")</f>
        <v>HTS</v>
      </c>
      <c r="J3258" s="9" t="str">
        <f>IFERROR(__xludf.DUMMYFUNCTION("""COMPUTED_VALUE"""),"IZH")</f>
        <v>IZH</v>
      </c>
      <c r="K3258" s="9" t="str">
        <f>IFERROR(__xludf.DUMMYFUNCTION("""COMPUTED_VALUE"""),"IZHro")</f>
        <v>IZHro</v>
      </c>
      <c r="L3258" s="9"/>
      <c r="M3258" s="9"/>
      <c r="N3258" s="9"/>
      <c r="O3258" s="9"/>
      <c r="P3258" s="9"/>
      <c r="Q3258" s="9"/>
      <c r="R3258" s="9"/>
      <c r="S3258" s="42"/>
      <c r="T3258" s="42"/>
      <c r="U3258" s="42"/>
      <c r="V3258" s="42"/>
      <c r="W3258" s="42"/>
      <c r="X3258" s="42"/>
      <c r="Y3258" s="42"/>
      <c r="Z3258" s="42"/>
      <c r="AA3258" s="42"/>
      <c r="AB3258" s="42" t="str">
        <f>IFERROR(__xludf.DUMMYFUNCTION("""COMPUTED_VALUE"""),"allen institute")</f>
        <v>allen institute</v>
      </c>
      <c r="AC3258" s="42" t="str">
        <f>IFERROR(__xludf.DUMMYFUNCTION("""COMPUTED_VALUE"""),"DHBA")</f>
        <v>DHBA</v>
      </c>
      <c r="AD3258" s="42"/>
      <c r="AE3258" s="42"/>
      <c r="AF3258" s="9"/>
      <c r="AG3258" s="9"/>
      <c r="AH3258" s="42"/>
      <c r="AI3258" s="42"/>
      <c r="AJ3258" s="42"/>
      <c r="AK3258" s="42"/>
      <c r="AL3258" s="42"/>
      <c r="AM3258" s="42"/>
      <c r="AN3258" s="42"/>
      <c r="AO3258" s="63" t="str">
        <f>IFERROR(__xludf.DUMMYFUNCTION("IF(ISBLANK(A3258),,IF(ISBLANK(S3258), A3258&amp;"";"", TEXTJOIN(CHAR(10), TRUE, A3258&amp;"";"", ARRAYFORMULA(VLOOKUP(SPLIT(S3258, "";"" &amp; CHAR(10)), $A:$AO, 41, FALSE)))))"),"IZHro;")</f>
        <v>IZHro;</v>
      </c>
      <c r="AP3258" s="89"/>
    </row>
    <row r="3259">
      <c r="A3259" s="151" t="str">
        <f>IFERROR(__xludf.DUMMYFUNCTION("""COMPUTED_VALUE"""),"VZH")</f>
        <v>VZH</v>
      </c>
      <c r="B3259" s="42" t="str">
        <f>IFERROR(__xludf.DUMMYFUNCTION("""COMPUTED_VALUE"""),"DHBA")</f>
        <v>DHBA</v>
      </c>
      <c r="C3259" s="42" t="str">
        <f>IFERROR(__xludf.DUMMYFUNCTION("""COMPUTED_VALUE"""),"ventricular (matrix) zone in hindbrain")</f>
        <v>ventricular (matrix) zone in hindbrain</v>
      </c>
      <c r="D3259" s="42">
        <f>IFERROR(__xludf.DUMMYFUNCTION("""COMPUTED_VALUE"""),3114.0)</f>
        <v>3114</v>
      </c>
      <c r="E3259" s="39" t="str">
        <f>IFERROR(__xludf.DUMMYFUNCTION("""COMPUTED_VALUE"""),"ventricular (matrix) zone in hindbrain")</f>
        <v>ventricular (matrix) zone in hindbrain</v>
      </c>
      <c r="F3259" s="9" t="str">
        <f>IFERROR(__xludf.DUMMYFUNCTION("""COMPUTED_VALUE"""),"Br")</f>
        <v>Br</v>
      </c>
      <c r="G3259" s="9" t="str">
        <f>IFERROR(__xludf.DUMMYFUNCTION("""COMPUTED_VALUE"""),"H")</f>
        <v>H</v>
      </c>
      <c r="H3259" s="9" t="str">
        <f>IFERROR(__xludf.DUMMYFUNCTION("""COMPUTED_VALUE"""),"HGM")</f>
        <v>HGM</v>
      </c>
      <c r="I3259" s="9" t="str">
        <f>IFERROR(__xludf.DUMMYFUNCTION("""COMPUTED_VALUE"""),"HTS")</f>
        <v>HTS</v>
      </c>
      <c r="J3259" s="9" t="str">
        <f>IFERROR(__xludf.DUMMYFUNCTION("""COMPUTED_VALUE"""),"VZH")</f>
        <v>VZH</v>
      </c>
      <c r="K3259" s="9"/>
      <c r="L3259" s="9"/>
      <c r="M3259" s="9"/>
      <c r="N3259" s="9"/>
      <c r="O3259" s="9"/>
      <c r="P3259" s="9"/>
      <c r="Q3259" s="9"/>
      <c r="R3259" s="9"/>
      <c r="S3259" s="42" t="str">
        <f>IFERROR(__xludf.DUMMYFUNCTION("""COMPUTED_VALUE"""),"VZCB;
VZPN;
VZMO")</f>
        <v>VZCB;
VZPN;
VZMO</v>
      </c>
      <c r="T3259" s="42"/>
      <c r="U3259" s="42" t="b">
        <f>IFERROR(__xludf.DUMMYFUNCTION("""COMPUTED_VALUE"""),FALSE)</f>
        <v>0</v>
      </c>
      <c r="V3259" s="42"/>
      <c r="W3259" s="42"/>
      <c r="X3259" s="42"/>
      <c r="Y3259" s="42"/>
      <c r="Z3259" s="42"/>
      <c r="AA3259" s="42"/>
      <c r="AB3259" s="42" t="str">
        <f>IFERROR(__xludf.DUMMYFUNCTION("""COMPUTED_VALUE"""),"allen institute")</f>
        <v>allen institute</v>
      </c>
      <c r="AC3259" s="42" t="str">
        <f>IFERROR(__xludf.DUMMYFUNCTION("""COMPUTED_VALUE"""),"DHBA")</f>
        <v>DHBA</v>
      </c>
      <c r="AD3259" s="42"/>
      <c r="AE3259" s="42"/>
      <c r="AF3259" s="9"/>
      <c r="AG3259" s="9"/>
      <c r="AH3259" s="42"/>
      <c r="AI3259" s="42"/>
      <c r="AJ3259" s="42"/>
      <c r="AK3259" s="42"/>
      <c r="AL3259" s="42"/>
      <c r="AM3259" s="42"/>
      <c r="AN3259" s="42"/>
      <c r="AO3259" s="63" t="str">
        <f>IFERROR(__xludf.DUMMYFUNCTION("IF(ISBLANK(A3259),,IF(ISBLANK(S3259), A3259&amp;"";"", TEXTJOIN(CHAR(10), TRUE, A3259&amp;"";"", ARRAYFORMULA(VLOOKUP(SPLIT(S3259, "";"" &amp; CHAR(10)), $A:$AO, 41, FALSE)))))"),"VZH;
VZCB;
VZPN;
VZMO;")</f>
        <v>VZH;
VZCB;
VZPN;
VZMO;</v>
      </c>
      <c r="AP3259" s="89"/>
    </row>
    <row r="3260">
      <c r="A3260" s="151" t="str">
        <f>IFERROR(__xludf.DUMMYFUNCTION("""COMPUTED_VALUE"""),"VZCB")</f>
        <v>VZCB</v>
      </c>
      <c r="B3260" s="42" t="str">
        <f>IFERROR(__xludf.DUMMYFUNCTION("""COMPUTED_VALUE"""),"DHBA")</f>
        <v>DHBA</v>
      </c>
      <c r="C3260" s="42" t="str">
        <f>IFERROR(__xludf.DUMMYFUNCTION("""COMPUTED_VALUE"""),"ventricular (matrix) zone of cerebellum")</f>
        <v>ventricular (matrix) zone of cerebellum</v>
      </c>
      <c r="D3260" s="42">
        <f>IFERROR(__xludf.DUMMYFUNCTION("""COMPUTED_VALUE"""),3115.0)</f>
        <v>3115</v>
      </c>
      <c r="E3260" s="39" t="str">
        <f>IFERROR(__xludf.DUMMYFUNCTION("""COMPUTED_VALUE"""),"ventricular (matrix) zone of cerebellum")</f>
        <v>ventricular (matrix) zone of cerebellum</v>
      </c>
      <c r="F3260" s="9" t="str">
        <f>IFERROR(__xludf.DUMMYFUNCTION("""COMPUTED_VALUE"""),"Br")</f>
        <v>Br</v>
      </c>
      <c r="G3260" s="9" t="str">
        <f>IFERROR(__xludf.DUMMYFUNCTION("""COMPUTED_VALUE"""),"H")</f>
        <v>H</v>
      </c>
      <c r="H3260" s="9" t="str">
        <f>IFERROR(__xludf.DUMMYFUNCTION("""COMPUTED_VALUE"""),"HGM")</f>
        <v>HGM</v>
      </c>
      <c r="I3260" s="9" t="str">
        <f>IFERROR(__xludf.DUMMYFUNCTION("""COMPUTED_VALUE"""),"HTS")</f>
        <v>HTS</v>
      </c>
      <c r="J3260" s="9" t="str">
        <f>IFERROR(__xludf.DUMMYFUNCTION("""COMPUTED_VALUE"""),"VZH")</f>
        <v>VZH</v>
      </c>
      <c r="K3260" s="9" t="str">
        <f>IFERROR(__xludf.DUMMYFUNCTION("""COMPUTED_VALUE"""),"VZCB")</f>
        <v>VZCB</v>
      </c>
      <c r="L3260" s="9"/>
      <c r="M3260" s="9"/>
      <c r="N3260" s="9"/>
      <c r="O3260" s="9"/>
      <c r="P3260" s="9"/>
      <c r="Q3260" s="9"/>
      <c r="R3260" s="9"/>
      <c r="S3260" s="42"/>
      <c r="T3260" s="42"/>
      <c r="U3260" s="42"/>
      <c r="V3260" s="42"/>
      <c r="W3260" s="42"/>
      <c r="X3260" s="42"/>
      <c r="Y3260" s="42"/>
      <c r="Z3260" s="42"/>
      <c r="AA3260" s="42"/>
      <c r="AB3260" s="42" t="str">
        <f>IFERROR(__xludf.DUMMYFUNCTION("""COMPUTED_VALUE"""),"allen institute")</f>
        <v>allen institute</v>
      </c>
      <c r="AC3260" s="42" t="str">
        <f>IFERROR(__xludf.DUMMYFUNCTION("""COMPUTED_VALUE"""),"DHBA")</f>
        <v>DHBA</v>
      </c>
      <c r="AD3260" s="42"/>
      <c r="AE3260" s="42"/>
      <c r="AF3260" s="9"/>
      <c r="AG3260" s="9"/>
      <c r="AH3260" s="42"/>
      <c r="AI3260" s="42"/>
      <c r="AJ3260" s="42"/>
      <c r="AK3260" s="42"/>
      <c r="AL3260" s="42"/>
      <c r="AM3260" s="42"/>
      <c r="AN3260" s="42"/>
      <c r="AO3260" s="63" t="str">
        <f>IFERROR(__xludf.DUMMYFUNCTION("IF(ISBLANK(A3260),,IF(ISBLANK(S3260), A3260&amp;"";"", TEXTJOIN(CHAR(10), TRUE, A3260&amp;"";"", ARRAYFORMULA(VLOOKUP(SPLIT(S3260, "";"" &amp; CHAR(10)), $A:$AO, 41, FALSE)))))"),"VZCB;")</f>
        <v>VZCB;</v>
      </c>
      <c r="AP3260" s="89"/>
    </row>
    <row r="3261">
      <c r="A3261" s="151" t="str">
        <f>IFERROR(__xludf.DUMMYFUNCTION("""COMPUTED_VALUE"""),"VZPN")</f>
        <v>VZPN</v>
      </c>
      <c r="B3261" s="42" t="str">
        <f>IFERROR(__xludf.DUMMYFUNCTION("""COMPUTED_VALUE"""),"DHBA")</f>
        <v>DHBA</v>
      </c>
      <c r="C3261" s="42" t="str">
        <f>IFERROR(__xludf.DUMMYFUNCTION("""COMPUTED_VALUE"""),"ventricular (matrix) zone of pons")</f>
        <v>ventricular (matrix) zone of pons</v>
      </c>
      <c r="D3261" s="42">
        <f>IFERROR(__xludf.DUMMYFUNCTION("""COMPUTED_VALUE"""),3116.0)</f>
        <v>3116</v>
      </c>
      <c r="E3261" s="39" t="str">
        <f>IFERROR(__xludf.DUMMYFUNCTION("""COMPUTED_VALUE"""),"ventricular (matrix) zone of pons")</f>
        <v>ventricular (matrix) zone of pons</v>
      </c>
      <c r="F3261" s="9" t="str">
        <f>IFERROR(__xludf.DUMMYFUNCTION("""COMPUTED_VALUE"""),"Br")</f>
        <v>Br</v>
      </c>
      <c r="G3261" s="9" t="str">
        <f>IFERROR(__xludf.DUMMYFUNCTION("""COMPUTED_VALUE"""),"H")</f>
        <v>H</v>
      </c>
      <c r="H3261" s="9" t="str">
        <f>IFERROR(__xludf.DUMMYFUNCTION("""COMPUTED_VALUE"""),"HGM")</f>
        <v>HGM</v>
      </c>
      <c r="I3261" s="9" t="str">
        <f>IFERROR(__xludf.DUMMYFUNCTION("""COMPUTED_VALUE"""),"HTS")</f>
        <v>HTS</v>
      </c>
      <c r="J3261" s="9" t="str">
        <f>IFERROR(__xludf.DUMMYFUNCTION("""COMPUTED_VALUE"""),"VZH")</f>
        <v>VZH</v>
      </c>
      <c r="K3261" s="9" t="str">
        <f>IFERROR(__xludf.DUMMYFUNCTION("""COMPUTED_VALUE"""),"VZPN")</f>
        <v>VZPN</v>
      </c>
      <c r="L3261" s="9"/>
      <c r="M3261" s="9"/>
      <c r="N3261" s="9"/>
      <c r="O3261" s="9"/>
      <c r="P3261" s="9"/>
      <c r="Q3261" s="9"/>
      <c r="R3261" s="9"/>
      <c r="S3261" s="42"/>
      <c r="T3261" s="42"/>
      <c r="U3261" s="42"/>
      <c r="V3261" s="42"/>
      <c r="W3261" s="42"/>
      <c r="X3261" s="42"/>
      <c r="Y3261" s="42"/>
      <c r="Z3261" s="42"/>
      <c r="AA3261" s="42"/>
      <c r="AB3261" s="42" t="str">
        <f>IFERROR(__xludf.DUMMYFUNCTION("""COMPUTED_VALUE"""),"allen institute")</f>
        <v>allen institute</v>
      </c>
      <c r="AC3261" s="42" t="str">
        <f>IFERROR(__xludf.DUMMYFUNCTION("""COMPUTED_VALUE"""),"DHBA")</f>
        <v>DHBA</v>
      </c>
      <c r="AD3261" s="42"/>
      <c r="AE3261" s="42"/>
      <c r="AF3261" s="9"/>
      <c r="AG3261" s="9"/>
      <c r="AH3261" s="42"/>
      <c r="AI3261" s="42"/>
      <c r="AJ3261" s="42"/>
      <c r="AK3261" s="42"/>
      <c r="AL3261" s="42"/>
      <c r="AM3261" s="42"/>
      <c r="AN3261" s="42"/>
      <c r="AO3261" s="63" t="str">
        <f>IFERROR(__xludf.DUMMYFUNCTION("IF(ISBLANK(A3261),,IF(ISBLANK(S3261), A3261&amp;"";"", TEXTJOIN(CHAR(10), TRUE, A3261&amp;"";"", ARRAYFORMULA(VLOOKUP(SPLIT(S3261, "";"" &amp; CHAR(10)), $A:$AO, 41, FALSE)))))"),"VZPN;")</f>
        <v>VZPN;</v>
      </c>
      <c r="AP3261" s="89"/>
    </row>
    <row r="3262">
      <c r="A3262" s="151" t="str">
        <f>IFERROR(__xludf.DUMMYFUNCTION("""COMPUTED_VALUE"""),"VZMO")</f>
        <v>VZMO</v>
      </c>
      <c r="B3262" s="42" t="str">
        <f>IFERROR(__xludf.DUMMYFUNCTION("""COMPUTED_VALUE"""),"DHBA")</f>
        <v>DHBA</v>
      </c>
      <c r="C3262" s="42" t="str">
        <f>IFERROR(__xludf.DUMMYFUNCTION("""COMPUTED_VALUE"""),"ventricular (matrix) zone of medulla")</f>
        <v>ventricular (matrix) zone of medulla</v>
      </c>
      <c r="D3262" s="42">
        <f>IFERROR(__xludf.DUMMYFUNCTION("""COMPUTED_VALUE"""),3117.0)</f>
        <v>3117</v>
      </c>
      <c r="E3262" s="39" t="str">
        <f>IFERROR(__xludf.DUMMYFUNCTION("""COMPUTED_VALUE"""),"ventricular (matrix) zone of medulla")</f>
        <v>ventricular (matrix) zone of medulla</v>
      </c>
      <c r="F3262" s="9" t="str">
        <f>IFERROR(__xludf.DUMMYFUNCTION("""COMPUTED_VALUE"""),"Br")</f>
        <v>Br</v>
      </c>
      <c r="G3262" s="9" t="str">
        <f>IFERROR(__xludf.DUMMYFUNCTION("""COMPUTED_VALUE"""),"H")</f>
        <v>H</v>
      </c>
      <c r="H3262" s="9" t="str">
        <f>IFERROR(__xludf.DUMMYFUNCTION("""COMPUTED_VALUE"""),"HGM")</f>
        <v>HGM</v>
      </c>
      <c r="I3262" s="9" t="str">
        <f>IFERROR(__xludf.DUMMYFUNCTION("""COMPUTED_VALUE"""),"HTS")</f>
        <v>HTS</v>
      </c>
      <c r="J3262" s="9" t="str">
        <f>IFERROR(__xludf.DUMMYFUNCTION("""COMPUTED_VALUE"""),"VZH")</f>
        <v>VZH</v>
      </c>
      <c r="K3262" s="9" t="str">
        <f>IFERROR(__xludf.DUMMYFUNCTION("""COMPUTED_VALUE"""),"VZMO")</f>
        <v>VZMO</v>
      </c>
      <c r="L3262" s="9"/>
      <c r="M3262" s="9"/>
      <c r="N3262" s="9"/>
      <c r="O3262" s="9"/>
      <c r="P3262" s="9"/>
      <c r="Q3262" s="9"/>
      <c r="R3262" s="9"/>
      <c r="S3262" s="42"/>
      <c r="T3262" s="42"/>
      <c r="U3262" s="42"/>
      <c r="V3262" s="42"/>
      <c r="W3262" s="42"/>
      <c r="X3262" s="42"/>
      <c r="Y3262" s="42"/>
      <c r="Z3262" s="42"/>
      <c r="AA3262" s="42"/>
      <c r="AB3262" s="42" t="str">
        <f>IFERROR(__xludf.DUMMYFUNCTION("""COMPUTED_VALUE"""),"allen institute")</f>
        <v>allen institute</v>
      </c>
      <c r="AC3262" s="42" t="str">
        <f>IFERROR(__xludf.DUMMYFUNCTION("""COMPUTED_VALUE"""),"DHBA")</f>
        <v>DHBA</v>
      </c>
      <c r="AD3262" s="42"/>
      <c r="AE3262" s="42"/>
      <c r="AF3262" s="9"/>
      <c r="AG3262" s="9"/>
      <c r="AH3262" s="42"/>
      <c r="AI3262" s="42"/>
      <c r="AJ3262" s="42"/>
      <c r="AK3262" s="42"/>
      <c r="AL3262" s="42"/>
      <c r="AM3262" s="42"/>
      <c r="AN3262" s="42"/>
      <c r="AO3262" s="63" t="str">
        <f>IFERROR(__xludf.DUMMYFUNCTION("IF(ISBLANK(A3262),,IF(ISBLANK(S3262), A3262&amp;"";"", TEXTJOIN(CHAR(10), TRUE, A3262&amp;"";"", ARRAYFORMULA(VLOOKUP(SPLIT(S3262, "";"" &amp; CHAR(10)), $A:$AO, 41, FALSE)))))"),"VZMO;")</f>
        <v>VZMO;</v>
      </c>
      <c r="AP3262" s="89"/>
    </row>
    <row r="3263">
      <c r="A3263" s="151" t="str">
        <f>IFERROR(__xludf.DUMMYFUNCTION("""COMPUTED_VALUE"""),"PnFlx")</f>
        <v>PnFlx</v>
      </c>
      <c r="B3263" s="42" t="str">
        <f>IFERROR(__xludf.DUMMYFUNCTION("""COMPUTED_VALUE"""),"DHBA")</f>
        <v>DHBA</v>
      </c>
      <c r="C3263" s="42" t="str">
        <f>IFERROR(__xludf.DUMMYFUNCTION("""COMPUTED_VALUE"""),"pontine flexures")</f>
        <v>pontine flexures</v>
      </c>
      <c r="D3263" s="42">
        <f>IFERROR(__xludf.DUMMYFUNCTION("""COMPUTED_VALUE"""),3118.0)</f>
        <v>3118</v>
      </c>
      <c r="E3263" s="39" t="str">
        <f>IFERROR(__xludf.DUMMYFUNCTION("""COMPUTED_VALUE"""),"pontine flexures")</f>
        <v>pontine flexures</v>
      </c>
      <c r="F3263" s="9" t="str">
        <f>IFERROR(__xludf.DUMMYFUNCTION("""COMPUTED_VALUE"""),"Br")</f>
        <v>Br</v>
      </c>
      <c r="G3263" s="9" t="str">
        <f>IFERROR(__xludf.DUMMYFUNCTION("""COMPUTED_VALUE"""),"H")</f>
        <v>H</v>
      </c>
      <c r="H3263" s="9" t="str">
        <f>IFERROR(__xludf.DUMMYFUNCTION("""COMPUTED_VALUE"""),"HGM")</f>
        <v>HGM</v>
      </c>
      <c r="I3263" s="9" t="str">
        <f>IFERROR(__xludf.DUMMYFUNCTION("""COMPUTED_VALUE"""),"HTS")</f>
        <v>HTS</v>
      </c>
      <c r="J3263" s="9" t="str">
        <f>IFERROR(__xludf.DUMMYFUNCTION("""COMPUTED_VALUE"""),"PnFlx")</f>
        <v>PnFlx</v>
      </c>
      <c r="K3263" s="9"/>
      <c r="L3263" s="9"/>
      <c r="M3263" s="9"/>
      <c r="N3263" s="9"/>
      <c r="O3263" s="9"/>
      <c r="P3263" s="9"/>
      <c r="Q3263" s="9"/>
      <c r="R3263" s="9"/>
      <c r="S3263" s="42" t="str">
        <f>IFERROR(__xludf.DUMMYFUNCTION("""COMPUTED_VALUE"""),"CrSlp;
CaSlp")</f>
        <v>CrSlp;
CaSlp</v>
      </c>
      <c r="T3263" s="42"/>
      <c r="U3263" s="42" t="b">
        <f>IFERROR(__xludf.DUMMYFUNCTION("""COMPUTED_VALUE"""),FALSE)</f>
        <v>0</v>
      </c>
      <c r="V3263" s="42"/>
      <c r="W3263" s="42"/>
      <c r="X3263" s="42"/>
      <c r="Y3263" s="42"/>
      <c r="Z3263" s="42"/>
      <c r="AA3263" s="42"/>
      <c r="AB3263" s="42" t="str">
        <f>IFERROR(__xludf.DUMMYFUNCTION("""COMPUTED_VALUE"""),"allen institute")</f>
        <v>allen institute</v>
      </c>
      <c r="AC3263" s="42" t="str">
        <f>IFERROR(__xludf.DUMMYFUNCTION("""COMPUTED_VALUE"""),"DHBA")</f>
        <v>DHBA</v>
      </c>
      <c r="AD3263" s="42"/>
      <c r="AE3263" s="42"/>
      <c r="AF3263" s="9"/>
      <c r="AG3263" s="9"/>
      <c r="AH3263" s="42"/>
      <c r="AI3263" s="42"/>
      <c r="AJ3263" s="42"/>
      <c r="AK3263" s="42"/>
      <c r="AL3263" s="42"/>
      <c r="AM3263" s="42"/>
      <c r="AN3263" s="42"/>
      <c r="AO3263" s="63" t="str">
        <f>IFERROR(__xludf.DUMMYFUNCTION("IF(ISBLANK(A3263),,IF(ISBLANK(S3263), A3263&amp;"";"", TEXTJOIN(CHAR(10), TRUE, A3263&amp;"";"", ARRAYFORMULA(VLOOKUP(SPLIT(S3263, "";"" &amp; CHAR(10)), $A:$AO, 41, FALSE)))))"),"PnFlx;
CrSlp;
CaSlp;")</f>
        <v>PnFlx;
CrSlp;
CaSlp;</v>
      </c>
      <c r="AP3263" s="89"/>
    </row>
    <row r="3264">
      <c r="A3264" s="151" t="str">
        <f>IFERROR(__xludf.DUMMYFUNCTION("""COMPUTED_VALUE"""),"CrSlp")</f>
        <v>CrSlp</v>
      </c>
      <c r="B3264" s="42" t="str">
        <f>IFERROR(__xludf.DUMMYFUNCTION("""COMPUTED_VALUE"""),"DHBA")</f>
        <v>DHBA</v>
      </c>
      <c r="C3264" s="42" t="str">
        <f>IFERROR(__xludf.DUMMYFUNCTION("""COMPUTED_VALUE"""),"cranial (metacephalic) slope")</f>
        <v>cranial (metacephalic) slope</v>
      </c>
      <c r="D3264" s="42">
        <f>IFERROR(__xludf.DUMMYFUNCTION("""COMPUTED_VALUE"""),3119.0)</f>
        <v>3119</v>
      </c>
      <c r="E3264" s="39" t="str">
        <f>IFERROR(__xludf.DUMMYFUNCTION("""COMPUTED_VALUE"""),"cranial (metacephalic) slope")</f>
        <v>cranial (metacephalic) slope</v>
      </c>
      <c r="F3264" s="9" t="str">
        <f>IFERROR(__xludf.DUMMYFUNCTION("""COMPUTED_VALUE"""),"Br")</f>
        <v>Br</v>
      </c>
      <c r="G3264" s="9" t="str">
        <f>IFERROR(__xludf.DUMMYFUNCTION("""COMPUTED_VALUE"""),"H")</f>
        <v>H</v>
      </c>
      <c r="H3264" s="9" t="str">
        <f>IFERROR(__xludf.DUMMYFUNCTION("""COMPUTED_VALUE"""),"HGM")</f>
        <v>HGM</v>
      </c>
      <c r="I3264" s="9" t="str">
        <f>IFERROR(__xludf.DUMMYFUNCTION("""COMPUTED_VALUE"""),"HTS")</f>
        <v>HTS</v>
      </c>
      <c r="J3264" s="9" t="str">
        <f>IFERROR(__xludf.DUMMYFUNCTION("""COMPUTED_VALUE"""),"PnFlx")</f>
        <v>PnFlx</v>
      </c>
      <c r="K3264" s="9" t="str">
        <f>IFERROR(__xludf.DUMMYFUNCTION("""COMPUTED_VALUE"""),"CrSlp")</f>
        <v>CrSlp</v>
      </c>
      <c r="L3264" s="9"/>
      <c r="M3264" s="9"/>
      <c r="N3264" s="9"/>
      <c r="O3264" s="9"/>
      <c r="P3264" s="9"/>
      <c r="Q3264" s="9"/>
      <c r="R3264" s="9"/>
      <c r="S3264" s="42"/>
      <c r="T3264" s="42"/>
      <c r="U3264" s="42"/>
      <c r="V3264" s="42"/>
      <c r="W3264" s="42"/>
      <c r="X3264" s="42"/>
      <c r="Y3264" s="42"/>
      <c r="Z3264" s="42"/>
      <c r="AA3264" s="42"/>
      <c r="AB3264" s="42" t="str">
        <f>IFERROR(__xludf.DUMMYFUNCTION("""COMPUTED_VALUE"""),"allen institute")</f>
        <v>allen institute</v>
      </c>
      <c r="AC3264" s="42" t="str">
        <f>IFERROR(__xludf.DUMMYFUNCTION("""COMPUTED_VALUE"""),"DHBA")</f>
        <v>DHBA</v>
      </c>
      <c r="AD3264" s="42"/>
      <c r="AE3264" s="42"/>
      <c r="AF3264" s="9"/>
      <c r="AG3264" s="9"/>
      <c r="AH3264" s="42"/>
      <c r="AI3264" s="42"/>
      <c r="AJ3264" s="42"/>
      <c r="AK3264" s="42"/>
      <c r="AL3264" s="42"/>
      <c r="AM3264" s="42"/>
      <c r="AN3264" s="42"/>
      <c r="AO3264" s="63" t="str">
        <f>IFERROR(__xludf.DUMMYFUNCTION("IF(ISBLANK(A3264),,IF(ISBLANK(S3264), A3264&amp;"";"", TEXTJOIN(CHAR(10), TRUE, A3264&amp;"";"", ARRAYFORMULA(VLOOKUP(SPLIT(S3264, "";"" &amp; CHAR(10)), $A:$AO, 41, FALSE)))))"),"CrSlp;")</f>
        <v>CrSlp;</v>
      </c>
      <c r="AP3264" s="89"/>
    </row>
    <row r="3265">
      <c r="A3265" s="151" t="str">
        <f>IFERROR(__xludf.DUMMYFUNCTION("""COMPUTED_VALUE"""),"CaSlp")</f>
        <v>CaSlp</v>
      </c>
      <c r="B3265" s="42" t="str">
        <f>IFERROR(__xludf.DUMMYFUNCTION("""COMPUTED_VALUE"""),"DHBA")</f>
        <v>DHBA</v>
      </c>
      <c r="C3265" s="42" t="str">
        <f>IFERROR(__xludf.DUMMYFUNCTION("""COMPUTED_VALUE"""),"caudal (myelencephalic) slope")</f>
        <v>caudal (myelencephalic) slope</v>
      </c>
      <c r="D3265" s="42">
        <f>IFERROR(__xludf.DUMMYFUNCTION("""COMPUTED_VALUE"""),3120.0)</f>
        <v>3120</v>
      </c>
      <c r="E3265" s="39" t="str">
        <f>IFERROR(__xludf.DUMMYFUNCTION("""COMPUTED_VALUE"""),"caudal (myelencephalic) slope")</f>
        <v>caudal (myelencephalic) slope</v>
      </c>
      <c r="F3265" s="9" t="str">
        <f>IFERROR(__xludf.DUMMYFUNCTION("""COMPUTED_VALUE"""),"Br")</f>
        <v>Br</v>
      </c>
      <c r="G3265" s="9" t="str">
        <f>IFERROR(__xludf.DUMMYFUNCTION("""COMPUTED_VALUE"""),"H")</f>
        <v>H</v>
      </c>
      <c r="H3265" s="9" t="str">
        <f>IFERROR(__xludf.DUMMYFUNCTION("""COMPUTED_VALUE"""),"HGM")</f>
        <v>HGM</v>
      </c>
      <c r="I3265" s="9" t="str">
        <f>IFERROR(__xludf.DUMMYFUNCTION("""COMPUTED_VALUE"""),"HTS")</f>
        <v>HTS</v>
      </c>
      <c r="J3265" s="9" t="str">
        <f>IFERROR(__xludf.DUMMYFUNCTION("""COMPUTED_VALUE"""),"PnFlx")</f>
        <v>PnFlx</v>
      </c>
      <c r="K3265" s="9" t="str">
        <f>IFERROR(__xludf.DUMMYFUNCTION("""COMPUTED_VALUE"""),"CaSlp")</f>
        <v>CaSlp</v>
      </c>
      <c r="L3265" s="9"/>
      <c r="M3265" s="9"/>
      <c r="N3265" s="9"/>
      <c r="O3265" s="9"/>
      <c r="P3265" s="9"/>
      <c r="Q3265" s="9"/>
      <c r="R3265" s="9"/>
      <c r="S3265" s="42"/>
      <c r="T3265" s="42"/>
      <c r="U3265" s="42"/>
      <c r="V3265" s="42"/>
      <c r="W3265" s="42"/>
      <c r="X3265" s="42"/>
      <c r="Y3265" s="42"/>
      <c r="Z3265" s="42"/>
      <c r="AA3265" s="42"/>
      <c r="AB3265" s="42" t="str">
        <f>IFERROR(__xludf.DUMMYFUNCTION("""COMPUTED_VALUE"""),"allen institute")</f>
        <v>allen institute</v>
      </c>
      <c r="AC3265" s="42" t="str">
        <f>IFERROR(__xludf.DUMMYFUNCTION("""COMPUTED_VALUE"""),"DHBA")</f>
        <v>DHBA</v>
      </c>
      <c r="AD3265" s="42"/>
      <c r="AE3265" s="42"/>
      <c r="AF3265" s="9"/>
      <c r="AG3265" s="9"/>
      <c r="AH3265" s="42"/>
      <c r="AI3265" s="42"/>
      <c r="AJ3265" s="42"/>
      <c r="AK3265" s="42"/>
      <c r="AL3265" s="42"/>
      <c r="AM3265" s="42"/>
      <c r="AN3265" s="42"/>
      <c r="AO3265" s="63" t="str">
        <f>IFERROR(__xludf.DUMMYFUNCTION("IF(ISBLANK(A3265),,IF(ISBLANK(S3265), A3265&amp;"";"", TEXTJOIN(CHAR(10), TRUE, A3265&amp;"";"", ARRAYFORMULA(VLOOKUP(SPLIT(S3265, "";"" &amp; CHAR(10)), $A:$AO, 41, FALSE)))))"),"CaSlp;")</f>
        <v>CaSlp;</v>
      </c>
      <c r="AP3265" s="89"/>
    </row>
    <row r="3266">
      <c r="A3266" s="151" t="str">
        <f>IFERROR(__xludf.DUMMYFUNCTION("""COMPUTED_VALUE"""),"PnbB")</f>
        <v>PnbB</v>
      </c>
      <c r="B3266" s="42" t="str">
        <f>IFERROR(__xludf.DUMMYFUNCTION("""COMPUTED_VALUE"""),"DHBA")</f>
        <v>DHBA</v>
      </c>
      <c r="C3266" s="42" t="str">
        <f>IFERROR(__xludf.DUMMYFUNCTION("""COMPUTED_VALUE"""),"pontobulbar body")</f>
        <v>pontobulbar body</v>
      </c>
      <c r="D3266" s="42">
        <f>IFERROR(__xludf.DUMMYFUNCTION("""COMPUTED_VALUE"""),3121.0)</f>
        <v>3121</v>
      </c>
      <c r="E3266" s="39" t="str">
        <f>IFERROR(__xludf.DUMMYFUNCTION("""COMPUTED_VALUE"""),"pontobulbar body")</f>
        <v>pontobulbar body</v>
      </c>
      <c r="F3266" s="9" t="str">
        <f>IFERROR(__xludf.DUMMYFUNCTION("""COMPUTED_VALUE"""),"Br")</f>
        <v>Br</v>
      </c>
      <c r="G3266" s="9" t="str">
        <f>IFERROR(__xludf.DUMMYFUNCTION("""COMPUTED_VALUE"""),"H")</f>
        <v>H</v>
      </c>
      <c r="H3266" s="9" t="str">
        <f>IFERROR(__xludf.DUMMYFUNCTION("""COMPUTED_VALUE"""),"HGM")</f>
        <v>HGM</v>
      </c>
      <c r="I3266" s="9" t="str">
        <f>IFERROR(__xludf.DUMMYFUNCTION("""COMPUTED_VALUE"""),"HTS")</f>
        <v>HTS</v>
      </c>
      <c r="J3266" s="9" t="str">
        <f>IFERROR(__xludf.DUMMYFUNCTION("""COMPUTED_VALUE"""),"PnbB")</f>
        <v>PnbB</v>
      </c>
      <c r="K3266" s="9"/>
      <c r="L3266" s="9"/>
      <c r="M3266" s="9"/>
      <c r="N3266" s="9"/>
      <c r="O3266" s="9"/>
      <c r="P3266" s="9"/>
      <c r="Q3266" s="9"/>
      <c r="R3266" s="9"/>
      <c r="S3266" s="42"/>
      <c r="T3266" s="42"/>
      <c r="U3266" s="42"/>
      <c r="V3266" s="42"/>
      <c r="W3266" s="42"/>
      <c r="X3266" s="42"/>
      <c r="Y3266" s="42"/>
      <c r="Z3266" s="42"/>
      <c r="AA3266" s="42"/>
      <c r="AB3266" s="42" t="str">
        <f>IFERROR(__xludf.DUMMYFUNCTION("""COMPUTED_VALUE"""),"allen institute")</f>
        <v>allen institute</v>
      </c>
      <c r="AC3266" s="42" t="str">
        <f>IFERROR(__xludf.DUMMYFUNCTION("""COMPUTED_VALUE"""),"DHBA")</f>
        <v>DHBA</v>
      </c>
      <c r="AD3266" s="42"/>
      <c r="AE3266" s="42"/>
      <c r="AF3266" s="9"/>
      <c r="AG3266" s="9"/>
      <c r="AH3266" s="42"/>
      <c r="AI3266" s="42"/>
      <c r="AJ3266" s="42"/>
      <c r="AK3266" s="42"/>
      <c r="AL3266" s="42"/>
      <c r="AM3266" s="42"/>
      <c r="AN3266" s="42"/>
      <c r="AO3266" s="63" t="str">
        <f>IFERROR(__xludf.DUMMYFUNCTION("IF(ISBLANK(A3266),,IF(ISBLANK(S3266), A3266&amp;"";"", TEXTJOIN(CHAR(10), TRUE, A3266&amp;"";"", ARRAYFORMULA(VLOOKUP(SPLIT(S3266, "";"" &amp; CHAR(10)), $A:$AO, 41, FALSE)))))"),"PnbB;")</f>
        <v>PnbB;</v>
      </c>
      <c r="AP3266" s="89"/>
    </row>
    <row r="3267">
      <c r="A3267" s="151" t="str">
        <f>IFERROR(__xludf.DUMMYFUNCTION("""COMPUTED_VALUE"""),"RhGv")</f>
        <v>RhGv</v>
      </c>
      <c r="B3267" s="42" t="str">
        <f>IFERROR(__xludf.DUMMYFUNCTION("""COMPUTED_VALUE"""),"DHBA")</f>
        <v>DHBA</v>
      </c>
      <c r="C3267" s="42" t="str">
        <f>IFERROR(__xludf.DUMMYFUNCTION("""COMPUTED_VALUE"""),"rhombic grooves")</f>
        <v>rhombic grooves</v>
      </c>
      <c r="D3267" s="42">
        <f>IFERROR(__xludf.DUMMYFUNCTION("""COMPUTED_VALUE"""),3122.0)</f>
        <v>3122</v>
      </c>
      <c r="E3267" s="39" t="str">
        <f>IFERROR(__xludf.DUMMYFUNCTION("""COMPUTED_VALUE"""),"rhombic grooves")</f>
        <v>rhombic grooves</v>
      </c>
      <c r="F3267" s="9" t="str">
        <f>IFERROR(__xludf.DUMMYFUNCTION("""COMPUTED_VALUE"""),"Br")</f>
        <v>Br</v>
      </c>
      <c r="G3267" s="9" t="str">
        <f>IFERROR(__xludf.DUMMYFUNCTION("""COMPUTED_VALUE"""),"H")</f>
        <v>H</v>
      </c>
      <c r="H3267" s="9" t="str">
        <f>IFERROR(__xludf.DUMMYFUNCTION("""COMPUTED_VALUE"""),"HGM")</f>
        <v>HGM</v>
      </c>
      <c r="I3267" s="9" t="str">
        <f>IFERROR(__xludf.DUMMYFUNCTION("""COMPUTED_VALUE"""),"HTS")</f>
        <v>HTS</v>
      </c>
      <c r="J3267" s="9" t="str">
        <f>IFERROR(__xludf.DUMMYFUNCTION("""COMPUTED_VALUE"""),"RhGv")</f>
        <v>RhGv</v>
      </c>
      <c r="K3267" s="9"/>
      <c r="L3267" s="9"/>
      <c r="M3267" s="9"/>
      <c r="N3267" s="9"/>
      <c r="O3267" s="9"/>
      <c r="P3267" s="9"/>
      <c r="Q3267" s="9"/>
      <c r="R3267" s="9"/>
      <c r="S3267" s="42"/>
      <c r="T3267" s="42"/>
      <c r="U3267" s="42"/>
      <c r="V3267" s="42"/>
      <c r="W3267" s="42"/>
      <c r="X3267" s="42"/>
      <c r="Y3267" s="42"/>
      <c r="Z3267" s="42"/>
      <c r="AA3267" s="42"/>
      <c r="AB3267" s="42" t="str">
        <f>IFERROR(__xludf.DUMMYFUNCTION("""COMPUTED_VALUE"""),"allen institute")</f>
        <v>allen institute</v>
      </c>
      <c r="AC3267" s="42" t="str">
        <f>IFERROR(__xludf.DUMMYFUNCTION("""COMPUTED_VALUE"""),"DHBA")</f>
        <v>DHBA</v>
      </c>
      <c r="AD3267" s="42"/>
      <c r="AE3267" s="42"/>
      <c r="AF3267" s="9"/>
      <c r="AG3267" s="9"/>
      <c r="AH3267" s="42"/>
      <c r="AI3267" s="42"/>
      <c r="AJ3267" s="42"/>
      <c r="AK3267" s="42"/>
      <c r="AL3267" s="42"/>
      <c r="AM3267" s="42"/>
      <c r="AN3267" s="42"/>
      <c r="AO3267" s="63" t="str">
        <f>IFERROR(__xludf.DUMMYFUNCTION("IF(ISBLANK(A3267),,IF(ISBLANK(S3267), A3267&amp;"";"", TEXTJOIN(CHAR(10), TRUE, A3267&amp;"";"", ARRAYFORMULA(VLOOKUP(SPLIT(S3267, "";"" &amp; CHAR(10)), $A:$AO, 41, FALSE)))))"),"RhGv;")</f>
        <v>RhGv;</v>
      </c>
      <c r="AP3267" s="89"/>
    </row>
    <row r="3268">
      <c r="A3268" s="151" t="str">
        <f>IFERROR(__xludf.DUMMYFUNCTION("""COMPUTED_VALUE"""),"HWM")</f>
        <v>HWM</v>
      </c>
      <c r="B3268" s="42" t="str">
        <f>IFERROR(__xludf.DUMMYFUNCTION("""COMPUTED_VALUE"""),"DHBA")</f>
        <v>DHBA</v>
      </c>
      <c r="C3268" s="42" t="str">
        <f>IFERROR(__xludf.DUMMYFUNCTION("""COMPUTED_VALUE"""),"white matter of hindbrain")</f>
        <v>white matter of hindbrain</v>
      </c>
      <c r="D3268" s="42">
        <f>IFERROR(__xludf.DUMMYFUNCTION("""COMPUTED_VALUE"""),3123.0)</f>
        <v>3123</v>
      </c>
      <c r="E3268" s="39" t="str">
        <f>IFERROR(__xludf.DUMMYFUNCTION("""COMPUTED_VALUE"""),"white matter of hindbrain")</f>
        <v>white matter of hindbrain</v>
      </c>
      <c r="F3268" s="9" t="str">
        <f>IFERROR(__xludf.DUMMYFUNCTION("""COMPUTED_VALUE"""),"Br")</f>
        <v>Br</v>
      </c>
      <c r="G3268" s="9" t="str">
        <f>IFERROR(__xludf.DUMMYFUNCTION("""COMPUTED_VALUE"""),"H")</f>
        <v>H</v>
      </c>
      <c r="H3268" s="9" t="str">
        <f>IFERROR(__xludf.DUMMYFUNCTION("""COMPUTED_VALUE"""),"HWM")</f>
        <v>HWM</v>
      </c>
      <c r="I3268" s="9"/>
      <c r="J3268" s="9"/>
      <c r="K3268" s="9"/>
      <c r="L3268" s="9"/>
      <c r="M3268" s="9"/>
      <c r="N3268" s="9"/>
      <c r="O3268" s="9"/>
      <c r="P3268" s="9"/>
      <c r="Q3268" s="9"/>
      <c r="R3268" s="9"/>
      <c r="S3268" s="42" t="str">
        <f>IFERROR(__xludf.DUMMYFUNCTION("""COMPUTED_VALUE"""),"ami;
af7;
ctg;
cpn;
cuf;
xml;
das;
_def;
dlf_h;
dtgth;
eaf;
g7;
gr;
hio;
hysp;
icp;
ias;
iaf;
issp;
lbrs;
lcs;
ll;
lvs;
lfpn;
ml;
mlf;
metg;
mvet;
me5;
mcp;
olcob;
xpy;
py;
rsp;
rbb;
rol;
rusp;
sol;
slh;
sp5;
spol;
sm4V;
tsp;
tfp;
tz;
tri5;
ubcb;
vcsp;
ve"&amp;"xf;
vresp;
vscb;
vtg;
vtth;
veme")</f>
        <v>ami;
af7;
ctg;
cpn;
cuf;
xml;
das;
_def;
dlf_h;
dtgth;
eaf;
g7;
gr;
hio;
hysp;
icp;
ias;
iaf;
issp;
lbrs;
lcs;
ll;
lvs;
lfpn;
ml;
mlf;
metg;
mvet;
me5;
mcp;
olcob;
xpy;
py;
rsp;
rbb;
rol;
rusp;
sol;
slh;
sp5;
spol;
sm4V;
tsp;
tfp;
tz;
tri5;
ubcb;
vcsp;
vexf;
vresp;
vscb;
vtg;
vtth;
veme</v>
      </c>
      <c r="T3268" s="42"/>
      <c r="U3268" s="42" t="b">
        <f>IFERROR(__xludf.DUMMYFUNCTION("""COMPUTED_VALUE"""),FALSE)</f>
        <v>0</v>
      </c>
      <c r="V3268" s="42"/>
      <c r="W3268" s="42"/>
      <c r="X3268" s="42"/>
      <c r="Y3268" s="42"/>
      <c r="Z3268" s="42"/>
      <c r="AA3268" s="42"/>
      <c r="AB3268" s="42" t="str">
        <f>IFERROR(__xludf.DUMMYFUNCTION("""COMPUTED_VALUE"""),"allen institute")</f>
        <v>allen institute</v>
      </c>
      <c r="AC3268" s="42" t="str">
        <f>IFERROR(__xludf.DUMMYFUNCTION("""COMPUTED_VALUE"""),"DHBA")</f>
        <v>DHBA</v>
      </c>
      <c r="AD3268" s="42"/>
      <c r="AE3268" s="42"/>
      <c r="AF3268" s="9"/>
      <c r="AG3268" s="9"/>
      <c r="AH3268" s="42"/>
      <c r="AI3268" s="42"/>
      <c r="AJ3268" s="42"/>
      <c r="AK3268" s="42"/>
      <c r="AL3268" s="42"/>
      <c r="AM3268" s="42"/>
      <c r="AN3268" s="42"/>
      <c r="AO3268" s="63" t="str">
        <f>IFERROR(__xludf.DUMMYFUNCTION("IF(ISBLANK(A3268),,IF(ISBLANK(S3268), A3268&amp;"";"", TEXTJOIN(CHAR(10), TRUE, A3268&amp;"";"", ARRAYFORMULA(VLOOKUP(SPLIT(S3268, "";"" &amp; CHAR(10)), $A:$AO, 41, FALSE)))))"),"#N/A")</f>
        <v>#N/A</v>
      </c>
      <c r="AP3268" s="89"/>
    </row>
    <row r="3269">
      <c r="A3269" s="151" t="str">
        <f>IFERROR(__xludf.DUMMYFUNCTION("""COMPUTED_VALUE"""),"vst")</f>
        <v>vst</v>
      </c>
      <c r="B3269" s="42" t="str">
        <f>IFERROR(__xludf.DUMMYFUNCTION("""COMPUTED_VALUE"""),"collection")</f>
        <v>collection</v>
      </c>
      <c r="C3269" s="42" t="str">
        <f>IFERROR(__xludf.DUMMYFUNCTION("""COMPUTED_VALUE"""),"vestibulospinal tract")</f>
        <v>vestibulospinal tract</v>
      </c>
      <c r="D3269" s="42">
        <f>IFERROR(__xludf.DUMMYFUNCTION("""COMPUTED_VALUE"""),3123.1)</f>
        <v>3123.1</v>
      </c>
      <c r="E3269" s="39" t="str">
        <f>IFERROR(__xludf.DUMMYFUNCTION("""COMPUTED_VALUE"""),"")</f>
        <v/>
      </c>
      <c r="F3269" s="9" t="str">
        <f>IFERROR(__xludf.DUMMYFUNCTION("""COMPUTED_VALUE"""),"")</f>
        <v/>
      </c>
      <c r="G3269" s="9" t="str">
        <f>IFERROR(__xludf.DUMMYFUNCTION("""COMPUTED_VALUE"""),"")</f>
        <v/>
      </c>
      <c r="H3269" s="9" t="str">
        <f>IFERROR(__xludf.DUMMYFUNCTION("""COMPUTED_VALUE"""),"")</f>
        <v/>
      </c>
      <c r="I3269" s="9" t="str">
        <f>IFERROR(__xludf.DUMMYFUNCTION("""COMPUTED_VALUE"""),"")</f>
        <v/>
      </c>
      <c r="J3269" s="9" t="str">
        <f>IFERROR(__xludf.DUMMYFUNCTION("""COMPUTED_VALUE"""),"")</f>
        <v/>
      </c>
      <c r="K3269" s="9" t="str">
        <f>IFERROR(__xludf.DUMMYFUNCTION("""COMPUTED_VALUE"""),"")</f>
        <v/>
      </c>
      <c r="L3269" s="9" t="str">
        <f>IFERROR(__xludf.DUMMYFUNCTION("""COMPUTED_VALUE"""),"")</f>
        <v/>
      </c>
      <c r="M3269" s="9" t="str">
        <f>IFERROR(__xludf.DUMMYFUNCTION("""COMPUTED_VALUE"""),"")</f>
        <v/>
      </c>
      <c r="N3269" s="9" t="str">
        <f>IFERROR(__xludf.DUMMYFUNCTION("""COMPUTED_VALUE"""),"")</f>
        <v/>
      </c>
      <c r="O3269" s="9" t="str">
        <f>IFERROR(__xludf.DUMMYFUNCTION("""COMPUTED_VALUE"""),"")</f>
        <v/>
      </c>
      <c r="P3269" s="9" t="str">
        <f>IFERROR(__xludf.DUMMYFUNCTION("""COMPUTED_VALUE"""),"")</f>
        <v/>
      </c>
      <c r="Q3269" s="9" t="str">
        <f>IFERROR(__xludf.DUMMYFUNCTION("""COMPUTED_VALUE"""),"")</f>
        <v/>
      </c>
      <c r="R3269" s="9" t="str">
        <f>IFERROR(__xludf.DUMMYFUNCTION("""COMPUTED_VALUE"""),"")</f>
        <v/>
      </c>
      <c r="S3269" s="42" t="str">
        <f>IFERROR(__xludf.DUMMYFUNCTION("""COMPUTED_VALUE"""),"lvs;
mvet")</f>
        <v>lvs;
mvet</v>
      </c>
      <c r="T3269" s="42"/>
      <c r="U3269" s="42" t="b">
        <f>IFERROR(__xludf.DUMMYFUNCTION("""COMPUTED_VALUE"""),FALSE)</f>
        <v>0</v>
      </c>
      <c r="V3269" s="42"/>
      <c r="W3269" s="42"/>
      <c r="X3269" s="42"/>
      <c r="Y3269" s="42"/>
      <c r="Z3269" s="42"/>
      <c r="AA3269" s="42"/>
      <c r="AB3269" s="42" t="str">
        <f>IFERROR(__xludf.DUMMYFUNCTION("""COMPUTED_VALUE"""),"Hiroshi Yamakawa")</f>
        <v>Hiroshi Yamakawa</v>
      </c>
      <c r="AC3269" s="42" t="str">
        <f>IFERROR(__xludf.DUMMYFUNCTION("""COMPUTED_VALUE"""),"HY20Cerebellum")</f>
        <v>HY20Cerebellum</v>
      </c>
      <c r="AD3269" s="42"/>
      <c r="AE3269" s="42"/>
      <c r="AF3269" s="9"/>
      <c r="AG3269" s="9"/>
      <c r="AH3269" s="42"/>
      <c r="AI3269" s="42"/>
      <c r="AJ3269" s="42"/>
      <c r="AK3269" s="42"/>
      <c r="AL3269" s="42"/>
      <c r="AM3269" s="42"/>
      <c r="AN3269" s="42"/>
      <c r="AO3269" s="63" t="str">
        <f>IFERROR(__xludf.DUMMYFUNCTION("IF(ISBLANK(A3269),,IF(ISBLANK(S3269), A3269&amp;"";"", TEXTJOIN(CHAR(10), TRUE, A3269&amp;"";"", ARRAYFORMULA(VLOOKUP(SPLIT(S3269, "";"" &amp; CHAR(10)), $A:$AO, 41, FALSE)))))"),"vst;
lvs;
mvet;")</f>
        <v>vst;
lvs;
mvet;</v>
      </c>
      <c r="AP3269" s="89"/>
    </row>
    <row r="3270">
      <c r="A3270" s="151" t="str">
        <f>IFERROR(__xludf.DUMMYFUNCTION("""COMPUTED_VALUE"""),"resp")</f>
        <v>resp</v>
      </c>
      <c r="B3270" s="42" t="str">
        <f>IFERROR(__xludf.DUMMYFUNCTION("""COMPUTED_VALUE"""),"collection")</f>
        <v>collection</v>
      </c>
      <c r="C3270" s="42" t="str">
        <f>IFERROR(__xludf.DUMMYFUNCTION("""COMPUTED_VALUE"""),"reticulospinal tract")</f>
        <v>reticulospinal tract</v>
      </c>
      <c r="D3270" s="42">
        <f>IFERROR(__xludf.DUMMYFUNCTION("""COMPUTED_VALUE"""),3123.1)</f>
        <v>3123.1</v>
      </c>
      <c r="E3270" s="39" t="str">
        <f>IFERROR(__xludf.DUMMYFUNCTION("""COMPUTED_VALUE"""),"")</f>
        <v/>
      </c>
      <c r="F3270" s="9" t="str">
        <f>IFERROR(__xludf.DUMMYFUNCTION("""COMPUTED_VALUE"""),"")</f>
        <v/>
      </c>
      <c r="G3270" s="9" t="str">
        <f>IFERROR(__xludf.DUMMYFUNCTION("""COMPUTED_VALUE"""),"")</f>
        <v/>
      </c>
      <c r="H3270" s="9" t="str">
        <f>IFERROR(__xludf.DUMMYFUNCTION("""COMPUTED_VALUE"""),"")</f>
        <v/>
      </c>
      <c r="I3270" s="9" t="str">
        <f>IFERROR(__xludf.DUMMYFUNCTION("""COMPUTED_VALUE"""),"")</f>
        <v/>
      </c>
      <c r="J3270" s="9" t="str">
        <f>IFERROR(__xludf.DUMMYFUNCTION("""COMPUTED_VALUE"""),"")</f>
        <v/>
      </c>
      <c r="K3270" s="9" t="str">
        <f>IFERROR(__xludf.DUMMYFUNCTION("""COMPUTED_VALUE"""),"")</f>
        <v/>
      </c>
      <c r="L3270" s="9" t="str">
        <f>IFERROR(__xludf.DUMMYFUNCTION("""COMPUTED_VALUE"""),"")</f>
        <v/>
      </c>
      <c r="M3270" s="9" t="str">
        <f>IFERROR(__xludf.DUMMYFUNCTION("""COMPUTED_VALUE"""),"")</f>
        <v/>
      </c>
      <c r="N3270" s="9" t="str">
        <f>IFERROR(__xludf.DUMMYFUNCTION("""COMPUTED_VALUE"""),"")</f>
        <v/>
      </c>
      <c r="O3270" s="9" t="str">
        <f>IFERROR(__xludf.DUMMYFUNCTION("""COMPUTED_VALUE"""),"")</f>
        <v/>
      </c>
      <c r="P3270" s="9" t="str">
        <f>IFERROR(__xludf.DUMMYFUNCTION("""COMPUTED_VALUE"""),"")</f>
        <v/>
      </c>
      <c r="Q3270" s="9" t="str">
        <f>IFERROR(__xludf.DUMMYFUNCTION("""COMPUTED_VALUE"""),"")</f>
        <v/>
      </c>
      <c r="R3270" s="9" t="str">
        <f>IFERROR(__xludf.DUMMYFUNCTION("""COMPUTED_VALUE"""),"")</f>
        <v/>
      </c>
      <c r="S3270" s="42" t="str">
        <f>IFERROR(__xludf.DUMMYFUNCTION("""COMPUTED_VALUE"""),"vresp")</f>
        <v>vresp</v>
      </c>
      <c r="T3270" s="42"/>
      <c r="U3270" s="42" t="b">
        <f>IFERROR(__xludf.DUMMYFUNCTION("""COMPUTED_VALUE"""),FALSE)</f>
        <v>0</v>
      </c>
      <c r="V3270" s="42"/>
      <c r="W3270" s="42"/>
      <c r="X3270" s="42"/>
      <c r="Y3270" s="42"/>
      <c r="Z3270" s="42"/>
      <c r="AA3270" s="42"/>
      <c r="AB3270" s="42" t="str">
        <f>IFERROR(__xludf.DUMMYFUNCTION("""COMPUTED_VALUE"""),"Hiroshi Yamakawa")</f>
        <v>Hiroshi Yamakawa</v>
      </c>
      <c r="AC3270" s="42" t="str">
        <f>IFERROR(__xludf.DUMMYFUNCTION("""COMPUTED_VALUE"""),"HY20Cerebellum")</f>
        <v>HY20Cerebellum</v>
      </c>
      <c r="AD3270" s="42"/>
      <c r="AE3270" s="42"/>
      <c r="AF3270" s="9"/>
      <c r="AG3270" s="9"/>
      <c r="AH3270" s="42"/>
      <c r="AI3270" s="42"/>
      <c r="AJ3270" s="42"/>
      <c r="AK3270" s="42"/>
      <c r="AL3270" s="42"/>
      <c r="AM3270" s="42"/>
      <c r="AN3270" s="42"/>
      <c r="AO3270" s="63" t="str">
        <f>IFERROR(__xludf.DUMMYFUNCTION("IF(ISBLANK(A3270),,IF(ISBLANK(S3270), A3270&amp;"";"", TEXTJOIN(CHAR(10), TRUE, A3270&amp;"";"", ARRAYFORMULA(VLOOKUP(SPLIT(S3270, "";"" &amp; CHAR(10)), $A:$AO, 41, FALSE)))))"),"resp;
vresp;")</f>
        <v>resp;
vresp;</v>
      </c>
      <c r="AP3270" s="89"/>
    </row>
    <row r="3271">
      <c r="A3271" s="151" t="str">
        <f>IFERROR(__xludf.DUMMYFUNCTION("""COMPUTED_VALUE"""),"ami")</f>
        <v>ami</v>
      </c>
      <c r="B3271" s="42" t="str">
        <f>IFERROR(__xludf.DUMMYFUNCTION("""COMPUTED_VALUE"""),"DHBA")</f>
        <v>DHBA</v>
      </c>
      <c r="C3271" s="42" t="str">
        <f>IFERROR(__xludf.DUMMYFUNCTION("""COMPUTED_VALUE"""),"amiculum of the olive")</f>
        <v>amiculum of the olive</v>
      </c>
      <c r="D3271" s="42">
        <f>IFERROR(__xludf.DUMMYFUNCTION("""COMPUTED_VALUE"""),3124.0)</f>
        <v>3124</v>
      </c>
      <c r="E3271" s="39" t="str">
        <f>IFERROR(__xludf.DUMMYFUNCTION("""COMPUTED_VALUE"""),"amiculum of the olive")</f>
        <v>amiculum of the olive</v>
      </c>
      <c r="F3271" s="9" t="str">
        <f>IFERROR(__xludf.DUMMYFUNCTION("""COMPUTED_VALUE"""),"Br")</f>
        <v>Br</v>
      </c>
      <c r="G3271" s="9" t="str">
        <f>IFERROR(__xludf.DUMMYFUNCTION("""COMPUTED_VALUE"""),"H")</f>
        <v>H</v>
      </c>
      <c r="H3271" s="9" t="str">
        <f>IFERROR(__xludf.DUMMYFUNCTION("""COMPUTED_VALUE"""),"HWM")</f>
        <v>HWM</v>
      </c>
      <c r="I3271" s="9" t="str">
        <f>IFERROR(__xludf.DUMMYFUNCTION("""COMPUTED_VALUE"""),"ami")</f>
        <v>ami</v>
      </c>
      <c r="J3271" s="9"/>
      <c r="K3271" s="9"/>
      <c r="L3271" s="9"/>
      <c r="M3271" s="9"/>
      <c r="N3271" s="9"/>
      <c r="O3271" s="9"/>
      <c r="P3271" s="9"/>
      <c r="Q3271" s="9"/>
      <c r="R3271" s="9"/>
      <c r="S3271" s="42"/>
      <c r="T3271" s="42"/>
      <c r="U3271" s="42"/>
      <c r="V3271" s="42"/>
      <c r="W3271" s="42"/>
      <c r="X3271" s="42"/>
      <c r="Y3271" s="42"/>
      <c r="Z3271" s="42"/>
      <c r="AA3271" s="42"/>
      <c r="AB3271" s="42" t="str">
        <f>IFERROR(__xludf.DUMMYFUNCTION("""COMPUTED_VALUE"""),"allen institute")</f>
        <v>allen institute</v>
      </c>
      <c r="AC3271" s="42" t="str">
        <f>IFERROR(__xludf.DUMMYFUNCTION("""COMPUTED_VALUE"""),"DHBA")</f>
        <v>DHBA</v>
      </c>
      <c r="AD3271" s="42"/>
      <c r="AE3271" s="42"/>
      <c r="AF3271" s="9"/>
      <c r="AG3271" s="9"/>
      <c r="AH3271" s="42"/>
      <c r="AI3271" s="42"/>
      <c r="AJ3271" s="42"/>
      <c r="AK3271" s="42"/>
      <c r="AL3271" s="42"/>
      <c r="AM3271" s="42"/>
      <c r="AN3271" s="42"/>
      <c r="AO3271" s="63" t="str">
        <f>IFERROR(__xludf.DUMMYFUNCTION("IF(ISBLANK(A3271),,IF(ISBLANK(S3271), A3271&amp;"";"", TEXTJOIN(CHAR(10), TRUE, A3271&amp;"";"", ARRAYFORMULA(VLOOKUP(SPLIT(S3271, "";"" &amp; CHAR(10)), $A:$AO, 41, FALSE)))))"),"ami;")</f>
        <v>ami;</v>
      </c>
      <c r="AP3271" s="89"/>
    </row>
    <row r="3272">
      <c r="A3272" s="151" t="str">
        <f>IFERROR(__xludf.DUMMYFUNCTION("""COMPUTED_VALUE"""),"af7")</f>
        <v>af7</v>
      </c>
      <c r="B3272" s="42" t="str">
        <f>IFERROR(__xludf.DUMMYFUNCTION("""COMPUTED_VALUE"""),"DHBA")</f>
        <v>DHBA</v>
      </c>
      <c r="C3272" s="42" t="str">
        <f>IFERROR(__xludf.DUMMYFUNCTION("""COMPUTED_VALUE"""),"ascending fibers of the facial nerve")</f>
        <v>ascending fibers of the facial nerve</v>
      </c>
      <c r="D3272" s="42">
        <f>IFERROR(__xludf.DUMMYFUNCTION("""COMPUTED_VALUE"""),3125.0)</f>
        <v>3125</v>
      </c>
      <c r="E3272" s="39" t="str">
        <f>IFERROR(__xludf.DUMMYFUNCTION("""COMPUTED_VALUE"""),"ascending fibers of the facial nerve")</f>
        <v>ascending fibers of the facial nerve</v>
      </c>
      <c r="F3272" s="9" t="str">
        <f>IFERROR(__xludf.DUMMYFUNCTION("""COMPUTED_VALUE"""),"Br")</f>
        <v>Br</v>
      </c>
      <c r="G3272" s="9" t="str">
        <f>IFERROR(__xludf.DUMMYFUNCTION("""COMPUTED_VALUE"""),"H")</f>
        <v>H</v>
      </c>
      <c r="H3272" s="9" t="str">
        <f>IFERROR(__xludf.DUMMYFUNCTION("""COMPUTED_VALUE"""),"HWM")</f>
        <v>HWM</v>
      </c>
      <c r="I3272" s="9" t="str">
        <f>IFERROR(__xludf.DUMMYFUNCTION("""COMPUTED_VALUE"""),"af7")</f>
        <v>af7</v>
      </c>
      <c r="J3272" s="9"/>
      <c r="K3272" s="9"/>
      <c r="L3272" s="9"/>
      <c r="M3272" s="9"/>
      <c r="N3272" s="9"/>
      <c r="O3272" s="9"/>
      <c r="P3272" s="9"/>
      <c r="Q3272" s="9"/>
      <c r="R3272" s="9"/>
      <c r="S3272" s="42"/>
      <c r="T3272" s="42"/>
      <c r="U3272" s="42"/>
      <c r="V3272" s="42"/>
      <c r="W3272" s="42"/>
      <c r="X3272" s="42"/>
      <c r="Y3272" s="42"/>
      <c r="Z3272" s="42"/>
      <c r="AA3272" s="42"/>
      <c r="AB3272" s="42" t="str">
        <f>IFERROR(__xludf.DUMMYFUNCTION("""COMPUTED_VALUE"""),"allen institute")</f>
        <v>allen institute</v>
      </c>
      <c r="AC3272" s="42" t="str">
        <f>IFERROR(__xludf.DUMMYFUNCTION("""COMPUTED_VALUE"""),"DHBA")</f>
        <v>DHBA</v>
      </c>
      <c r="AD3272" s="42"/>
      <c r="AE3272" s="42"/>
      <c r="AF3272" s="9"/>
      <c r="AG3272" s="9"/>
      <c r="AH3272" s="42"/>
      <c r="AI3272" s="42"/>
      <c r="AJ3272" s="42"/>
      <c r="AK3272" s="42"/>
      <c r="AL3272" s="42"/>
      <c r="AM3272" s="42"/>
      <c r="AN3272" s="42"/>
      <c r="AO3272" s="63" t="str">
        <f>IFERROR(__xludf.DUMMYFUNCTION("IF(ISBLANK(A3272),,IF(ISBLANK(S3272), A3272&amp;"";"", TEXTJOIN(CHAR(10), TRUE, A3272&amp;"";"", ARRAYFORMULA(VLOOKUP(SPLIT(S3272, "";"" &amp; CHAR(10)), $A:$AO, 41, FALSE)))))"),"af7;")</f>
        <v>af7;</v>
      </c>
      <c r="AP3272" s="89"/>
    </row>
    <row r="3273">
      <c r="A3273" s="151" t="str">
        <f>IFERROR(__xludf.DUMMYFUNCTION("""COMPUTED_VALUE"""),"ctg")</f>
        <v>ctg</v>
      </c>
      <c r="B3273" s="42" t="str">
        <f>IFERROR(__xludf.DUMMYFUNCTION("""COMPUTED_VALUE"""),"DHBA")</f>
        <v>DHBA</v>
      </c>
      <c r="C3273" s="42" t="str">
        <f>IFERROR(__xludf.DUMMYFUNCTION("""COMPUTED_VALUE"""),"central tegmental tract")</f>
        <v>central tegmental tract</v>
      </c>
      <c r="D3273" s="42">
        <f>IFERROR(__xludf.DUMMYFUNCTION("""COMPUTED_VALUE"""),3126.0)</f>
        <v>3126</v>
      </c>
      <c r="E3273" s="39" t="str">
        <f>IFERROR(__xludf.DUMMYFUNCTION("""COMPUTED_VALUE"""),"central tegmental tract")</f>
        <v>central tegmental tract</v>
      </c>
      <c r="F3273" s="9" t="str">
        <f>IFERROR(__xludf.DUMMYFUNCTION("""COMPUTED_VALUE"""),"Br")</f>
        <v>Br</v>
      </c>
      <c r="G3273" s="9" t="str">
        <f>IFERROR(__xludf.DUMMYFUNCTION("""COMPUTED_VALUE"""),"H")</f>
        <v>H</v>
      </c>
      <c r="H3273" s="9" t="str">
        <f>IFERROR(__xludf.DUMMYFUNCTION("""COMPUTED_VALUE"""),"HWM")</f>
        <v>HWM</v>
      </c>
      <c r="I3273" s="9" t="str">
        <f>IFERROR(__xludf.DUMMYFUNCTION("""COMPUTED_VALUE"""),"ctg")</f>
        <v>ctg</v>
      </c>
      <c r="J3273" s="9"/>
      <c r="K3273" s="9"/>
      <c r="L3273" s="9"/>
      <c r="M3273" s="9"/>
      <c r="N3273" s="9"/>
      <c r="O3273" s="9"/>
      <c r="P3273" s="9"/>
      <c r="Q3273" s="9"/>
      <c r="R3273" s="9"/>
      <c r="S3273" s="42"/>
      <c r="T3273" s="42"/>
      <c r="U3273" s="42"/>
      <c r="V3273" s="42"/>
      <c r="W3273" s="42"/>
      <c r="X3273" s="42"/>
      <c r="Y3273" s="42"/>
      <c r="Z3273" s="42"/>
      <c r="AA3273" s="42"/>
      <c r="AB3273" s="42" t="str">
        <f>IFERROR(__xludf.DUMMYFUNCTION("""COMPUTED_VALUE"""),"allen institute")</f>
        <v>allen institute</v>
      </c>
      <c r="AC3273" s="42" t="str">
        <f>IFERROR(__xludf.DUMMYFUNCTION("""COMPUTED_VALUE"""),"DHBA")</f>
        <v>DHBA</v>
      </c>
      <c r="AD3273" s="42"/>
      <c r="AE3273" s="42"/>
      <c r="AF3273" s="9"/>
      <c r="AG3273" s="9"/>
      <c r="AH3273" s="42"/>
      <c r="AI3273" s="42"/>
      <c r="AJ3273" s="42"/>
      <c r="AK3273" s="42"/>
      <c r="AL3273" s="42"/>
      <c r="AM3273" s="42"/>
      <c r="AN3273" s="42"/>
      <c r="AO3273" s="63" t="str">
        <f>IFERROR(__xludf.DUMMYFUNCTION("IF(ISBLANK(A3273),,IF(ISBLANK(S3273), A3273&amp;"";"", TEXTJOIN(CHAR(10), TRUE, A3273&amp;"";"", ARRAYFORMULA(VLOOKUP(SPLIT(S3273, "";"" &amp; CHAR(10)), $A:$AO, 41, FALSE)))))"),"ctg;")</f>
        <v>ctg;</v>
      </c>
      <c r="AP3273" s="89"/>
    </row>
    <row r="3274">
      <c r="A3274" s="151" t="str">
        <f>IFERROR(__xludf.DUMMYFUNCTION("""COMPUTED_VALUE"""),"cpn")</f>
        <v>cpn</v>
      </c>
      <c r="B3274" s="42" t="str">
        <f>IFERROR(__xludf.DUMMYFUNCTION("""COMPUTED_VALUE"""),"DHBA")</f>
        <v>DHBA</v>
      </c>
      <c r="C3274" s="42" t="str">
        <f>IFERROR(__xludf.DUMMYFUNCTION("""COMPUTED_VALUE"""),"cortico-pontine fibers, pontine part")</f>
        <v>cortico-pontine fibers, pontine part</v>
      </c>
      <c r="D3274" s="42">
        <f>IFERROR(__xludf.DUMMYFUNCTION("""COMPUTED_VALUE"""),3127.0)</f>
        <v>3127</v>
      </c>
      <c r="E3274" s="39" t="str">
        <f>IFERROR(__xludf.DUMMYFUNCTION("""COMPUTED_VALUE"""),"cortico-pontine fibers, pontine part")</f>
        <v>cortico-pontine fibers, pontine part</v>
      </c>
      <c r="F3274" s="9" t="str">
        <f>IFERROR(__xludf.DUMMYFUNCTION("""COMPUTED_VALUE"""),"Br")</f>
        <v>Br</v>
      </c>
      <c r="G3274" s="9" t="str">
        <f>IFERROR(__xludf.DUMMYFUNCTION("""COMPUTED_VALUE"""),"H")</f>
        <v>H</v>
      </c>
      <c r="H3274" s="9" t="str">
        <f>IFERROR(__xludf.DUMMYFUNCTION("""COMPUTED_VALUE"""),"HWM")</f>
        <v>HWM</v>
      </c>
      <c r="I3274" s="9" t="str">
        <f>IFERROR(__xludf.DUMMYFUNCTION("""COMPUTED_VALUE"""),"cpn")</f>
        <v>cpn</v>
      </c>
      <c r="J3274" s="9"/>
      <c r="K3274" s="9"/>
      <c r="L3274" s="9"/>
      <c r="M3274" s="9"/>
      <c r="N3274" s="9"/>
      <c r="O3274" s="9"/>
      <c r="P3274" s="9"/>
      <c r="Q3274" s="9"/>
      <c r="R3274" s="9"/>
      <c r="S3274" s="42"/>
      <c r="T3274" s="42"/>
      <c r="U3274" s="42"/>
      <c r="V3274" s="42"/>
      <c r="W3274" s="42"/>
      <c r="X3274" s="42"/>
      <c r="Y3274" s="42"/>
      <c r="Z3274" s="42"/>
      <c r="AA3274" s="42"/>
      <c r="AB3274" s="42" t="str">
        <f>IFERROR(__xludf.DUMMYFUNCTION("""COMPUTED_VALUE"""),"allen institute")</f>
        <v>allen institute</v>
      </c>
      <c r="AC3274" s="42" t="str">
        <f>IFERROR(__xludf.DUMMYFUNCTION("""COMPUTED_VALUE"""),"DHBA")</f>
        <v>DHBA</v>
      </c>
      <c r="AD3274" s="42"/>
      <c r="AE3274" s="42"/>
      <c r="AF3274" s="9"/>
      <c r="AG3274" s="9"/>
      <c r="AH3274" s="42"/>
      <c r="AI3274" s="42"/>
      <c r="AJ3274" s="42"/>
      <c r="AK3274" s="42"/>
      <c r="AL3274" s="42"/>
      <c r="AM3274" s="42"/>
      <c r="AN3274" s="42"/>
      <c r="AO3274" s="63" t="str">
        <f>IFERROR(__xludf.DUMMYFUNCTION("IF(ISBLANK(A3274),,IF(ISBLANK(S3274), A3274&amp;"";"", TEXTJOIN(CHAR(10), TRUE, A3274&amp;"";"", ARRAYFORMULA(VLOOKUP(SPLIT(S3274, "";"" &amp; CHAR(10)), $A:$AO, 41, FALSE)))))"),"cpn;")</f>
        <v>cpn;</v>
      </c>
      <c r="AP3274" s="89"/>
    </row>
    <row r="3275">
      <c r="A3275" s="151" t="str">
        <f>IFERROR(__xludf.DUMMYFUNCTION("""COMPUTED_VALUE"""),"cuf")</f>
        <v>cuf</v>
      </c>
      <c r="B3275" s="42" t="str">
        <f>IFERROR(__xludf.DUMMYFUNCTION("""COMPUTED_VALUE"""),"DHBA")</f>
        <v>DHBA</v>
      </c>
      <c r="C3275" s="42" t="str">
        <f>IFERROR(__xludf.DUMMYFUNCTION("""COMPUTED_VALUE"""),"cuneate fasciculus")</f>
        <v>cuneate fasciculus</v>
      </c>
      <c r="D3275" s="42">
        <f>IFERROR(__xludf.DUMMYFUNCTION("""COMPUTED_VALUE"""),3128.0)</f>
        <v>3128</v>
      </c>
      <c r="E3275" s="39" t="str">
        <f>IFERROR(__xludf.DUMMYFUNCTION("""COMPUTED_VALUE"""),"cuneate fasciculus")</f>
        <v>cuneate fasciculus</v>
      </c>
      <c r="F3275" s="9" t="str">
        <f>IFERROR(__xludf.DUMMYFUNCTION("""COMPUTED_VALUE"""),"Br")</f>
        <v>Br</v>
      </c>
      <c r="G3275" s="9" t="str">
        <f>IFERROR(__xludf.DUMMYFUNCTION("""COMPUTED_VALUE"""),"H")</f>
        <v>H</v>
      </c>
      <c r="H3275" s="9" t="str">
        <f>IFERROR(__xludf.DUMMYFUNCTION("""COMPUTED_VALUE"""),"HWM")</f>
        <v>HWM</v>
      </c>
      <c r="I3275" s="9" t="str">
        <f>IFERROR(__xludf.DUMMYFUNCTION("""COMPUTED_VALUE"""),"cuf")</f>
        <v>cuf</v>
      </c>
      <c r="J3275" s="9"/>
      <c r="K3275" s="9"/>
      <c r="L3275" s="9"/>
      <c r="M3275" s="9"/>
      <c r="N3275" s="9"/>
      <c r="O3275" s="9"/>
      <c r="P3275" s="9"/>
      <c r="Q3275" s="9"/>
      <c r="R3275" s="9"/>
      <c r="S3275" s="42"/>
      <c r="T3275" s="42"/>
      <c r="U3275" s="42"/>
      <c r="V3275" s="42"/>
      <c r="W3275" s="42"/>
      <c r="X3275" s="42"/>
      <c r="Y3275" s="42"/>
      <c r="Z3275" s="42"/>
      <c r="AA3275" s="42"/>
      <c r="AB3275" s="42" t="str">
        <f>IFERROR(__xludf.DUMMYFUNCTION("""COMPUTED_VALUE"""),"allen institute")</f>
        <v>allen institute</v>
      </c>
      <c r="AC3275" s="42" t="str">
        <f>IFERROR(__xludf.DUMMYFUNCTION("""COMPUTED_VALUE"""),"DHBA")</f>
        <v>DHBA</v>
      </c>
      <c r="AD3275" s="42"/>
      <c r="AE3275" s="42"/>
      <c r="AF3275" s="9"/>
      <c r="AG3275" s="9"/>
      <c r="AH3275" s="42"/>
      <c r="AI3275" s="42"/>
      <c r="AJ3275" s="42"/>
      <c r="AK3275" s="42"/>
      <c r="AL3275" s="42"/>
      <c r="AM3275" s="42"/>
      <c r="AN3275" s="42"/>
      <c r="AO3275" s="63" t="str">
        <f>IFERROR(__xludf.DUMMYFUNCTION("IF(ISBLANK(A3275),,IF(ISBLANK(S3275), A3275&amp;"";"", TEXTJOIN(CHAR(10), TRUE, A3275&amp;"";"", ARRAYFORMULA(VLOOKUP(SPLIT(S3275, "";"" &amp; CHAR(10)), $A:$AO, 41, FALSE)))))"),"cuf;")</f>
        <v>cuf;</v>
      </c>
      <c r="AP3275" s="89"/>
    </row>
    <row r="3276">
      <c r="A3276" s="151" t="str">
        <f>IFERROR(__xludf.DUMMYFUNCTION("""COMPUTED_VALUE"""),"xml")</f>
        <v>xml</v>
      </c>
      <c r="B3276" s="42" t="str">
        <f>IFERROR(__xludf.DUMMYFUNCTION("""COMPUTED_VALUE"""),"DHBA")</f>
        <v>DHBA</v>
      </c>
      <c r="C3276" s="42" t="str">
        <f>IFERROR(__xludf.DUMMYFUNCTION("""COMPUTED_VALUE"""),"decussation of medial lemniscus")</f>
        <v>decussation of medial lemniscus</v>
      </c>
      <c r="D3276" s="42">
        <f>IFERROR(__xludf.DUMMYFUNCTION("""COMPUTED_VALUE"""),3129.0)</f>
        <v>3129</v>
      </c>
      <c r="E3276" s="39" t="str">
        <f>IFERROR(__xludf.DUMMYFUNCTION("""COMPUTED_VALUE"""),"decussation of medial lemniscus")</f>
        <v>decussation of medial lemniscus</v>
      </c>
      <c r="F3276" s="9" t="str">
        <f>IFERROR(__xludf.DUMMYFUNCTION("""COMPUTED_VALUE"""),"Br")</f>
        <v>Br</v>
      </c>
      <c r="G3276" s="9" t="str">
        <f>IFERROR(__xludf.DUMMYFUNCTION("""COMPUTED_VALUE"""),"H")</f>
        <v>H</v>
      </c>
      <c r="H3276" s="9" t="str">
        <f>IFERROR(__xludf.DUMMYFUNCTION("""COMPUTED_VALUE"""),"HWM")</f>
        <v>HWM</v>
      </c>
      <c r="I3276" s="9" t="str">
        <f>IFERROR(__xludf.DUMMYFUNCTION("""COMPUTED_VALUE"""),"xml")</f>
        <v>xml</v>
      </c>
      <c r="J3276" s="9"/>
      <c r="K3276" s="9"/>
      <c r="L3276" s="9"/>
      <c r="M3276" s="9"/>
      <c r="N3276" s="9"/>
      <c r="O3276" s="9"/>
      <c r="P3276" s="9"/>
      <c r="Q3276" s="9"/>
      <c r="R3276" s="9"/>
      <c r="S3276" s="42"/>
      <c r="T3276" s="42"/>
      <c r="U3276" s="42"/>
      <c r="V3276" s="42"/>
      <c r="W3276" s="42"/>
      <c r="X3276" s="42"/>
      <c r="Y3276" s="42"/>
      <c r="Z3276" s="42"/>
      <c r="AA3276" s="42"/>
      <c r="AB3276" s="42" t="str">
        <f>IFERROR(__xludf.DUMMYFUNCTION("""COMPUTED_VALUE"""),"allen institute")</f>
        <v>allen institute</v>
      </c>
      <c r="AC3276" s="42" t="str">
        <f>IFERROR(__xludf.DUMMYFUNCTION("""COMPUTED_VALUE"""),"DHBA")</f>
        <v>DHBA</v>
      </c>
      <c r="AD3276" s="42"/>
      <c r="AE3276" s="42"/>
      <c r="AF3276" s="9"/>
      <c r="AG3276" s="9"/>
      <c r="AH3276" s="42"/>
      <c r="AI3276" s="42"/>
      <c r="AJ3276" s="42"/>
      <c r="AK3276" s="42"/>
      <c r="AL3276" s="42"/>
      <c r="AM3276" s="42"/>
      <c r="AN3276" s="42"/>
      <c r="AO3276" s="63" t="str">
        <f>IFERROR(__xludf.DUMMYFUNCTION("IF(ISBLANK(A3276),,IF(ISBLANK(S3276), A3276&amp;"";"", TEXTJOIN(CHAR(10), TRUE, A3276&amp;"";"", ARRAYFORMULA(VLOOKUP(SPLIT(S3276, "";"" &amp; CHAR(10)), $A:$AO, 41, FALSE)))))"),"xml;")</f>
        <v>xml;</v>
      </c>
      <c r="AP3276" s="89"/>
    </row>
    <row r="3277">
      <c r="A3277" s="151" t="str">
        <f>IFERROR(__xludf.DUMMYFUNCTION("""COMPUTED_VALUE"""),"das")</f>
        <v>das</v>
      </c>
      <c r="B3277" s="42" t="str">
        <f>IFERROR(__xludf.DUMMYFUNCTION("""COMPUTED_VALUE"""),"DHBA")</f>
        <v>DHBA</v>
      </c>
      <c r="C3277" s="42" t="str">
        <f>IFERROR(__xludf.DUMMYFUNCTION("""COMPUTED_VALUE"""),"dorsal acoustic stria")</f>
        <v>dorsal acoustic stria</v>
      </c>
      <c r="D3277" s="42">
        <f>IFERROR(__xludf.DUMMYFUNCTION("""COMPUTED_VALUE"""),3130.0)</f>
        <v>3130</v>
      </c>
      <c r="E3277" s="39" t="str">
        <f>IFERROR(__xludf.DUMMYFUNCTION("""COMPUTED_VALUE"""),"dorsal acoustic stria")</f>
        <v>dorsal acoustic stria</v>
      </c>
      <c r="F3277" s="9" t="str">
        <f>IFERROR(__xludf.DUMMYFUNCTION("""COMPUTED_VALUE"""),"Br")</f>
        <v>Br</v>
      </c>
      <c r="G3277" s="9" t="str">
        <f>IFERROR(__xludf.DUMMYFUNCTION("""COMPUTED_VALUE"""),"H")</f>
        <v>H</v>
      </c>
      <c r="H3277" s="9" t="str">
        <f>IFERROR(__xludf.DUMMYFUNCTION("""COMPUTED_VALUE"""),"HWM")</f>
        <v>HWM</v>
      </c>
      <c r="I3277" s="9" t="str">
        <f>IFERROR(__xludf.DUMMYFUNCTION("""COMPUTED_VALUE"""),"das")</f>
        <v>das</v>
      </c>
      <c r="J3277" s="9"/>
      <c r="K3277" s="9"/>
      <c r="L3277" s="9"/>
      <c r="M3277" s="9"/>
      <c r="N3277" s="9"/>
      <c r="O3277" s="9"/>
      <c r="P3277" s="9"/>
      <c r="Q3277" s="9"/>
      <c r="R3277" s="9"/>
      <c r="S3277" s="42"/>
      <c r="T3277" s="42"/>
      <c r="U3277" s="42"/>
      <c r="V3277" s="42"/>
      <c r="W3277" s="42"/>
      <c r="X3277" s="42"/>
      <c r="Y3277" s="42"/>
      <c r="Z3277" s="42"/>
      <c r="AA3277" s="42"/>
      <c r="AB3277" s="42" t="str">
        <f>IFERROR(__xludf.DUMMYFUNCTION("""COMPUTED_VALUE"""),"allen institute")</f>
        <v>allen institute</v>
      </c>
      <c r="AC3277" s="42" t="str">
        <f>IFERROR(__xludf.DUMMYFUNCTION("""COMPUTED_VALUE"""),"DHBA")</f>
        <v>DHBA</v>
      </c>
      <c r="AD3277" s="42"/>
      <c r="AE3277" s="42"/>
      <c r="AF3277" s="9"/>
      <c r="AG3277" s="9"/>
      <c r="AH3277" s="42"/>
      <c r="AI3277" s="42"/>
      <c r="AJ3277" s="42"/>
      <c r="AK3277" s="42"/>
      <c r="AL3277" s="42"/>
      <c r="AM3277" s="42"/>
      <c r="AN3277" s="42"/>
      <c r="AO3277" s="63" t="str">
        <f>IFERROR(__xludf.DUMMYFUNCTION("IF(ISBLANK(A3277),,IF(ISBLANK(S3277), A3277&amp;"";"", TEXTJOIN(CHAR(10), TRUE, A3277&amp;"";"", ARRAYFORMULA(VLOOKUP(SPLIT(S3277, "";"" &amp; CHAR(10)), $A:$AO, 41, FALSE)))))"),"das;")</f>
        <v>das;</v>
      </c>
      <c r="AP3277" s="89"/>
    </row>
    <row r="3278">
      <c r="A3278" s="151" t="str">
        <f>IFERROR(__xludf.DUMMYFUNCTION("""COMPUTED_VALUE"""),"def")</f>
        <v>def</v>
      </c>
      <c r="B3278" s="42" t="str">
        <f>IFERROR(__xludf.DUMMYFUNCTION("""COMPUTED_VALUE"""),"DHBA")</f>
        <v>DHBA</v>
      </c>
      <c r="C3278" s="42" t="str">
        <f>IFERROR(__xludf.DUMMYFUNCTION("""COMPUTED_VALUE"""),"dorsal external fibers")</f>
        <v>dorsal external fibers</v>
      </c>
      <c r="D3278" s="42">
        <f>IFERROR(__xludf.DUMMYFUNCTION("""COMPUTED_VALUE"""),3131.0)</f>
        <v>3131</v>
      </c>
      <c r="E3278" s="39" t="str">
        <f>IFERROR(__xludf.DUMMYFUNCTION("""COMPUTED_VALUE"""),"dorsal external fibers")</f>
        <v>dorsal external fibers</v>
      </c>
      <c r="F3278" s="9" t="str">
        <f>IFERROR(__xludf.DUMMYFUNCTION("""COMPUTED_VALUE"""),"Br")</f>
        <v>Br</v>
      </c>
      <c r="G3278" s="9" t="str">
        <f>IFERROR(__xludf.DUMMYFUNCTION("""COMPUTED_VALUE"""),"H")</f>
        <v>H</v>
      </c>
      <c r="H3278" s="9" t="str">
        <f>IFERROR(__xludf.DUMMYFUNCTION("""COMPUTED_VALUE"""),"HWM")</f>
        <v>HWM</v>
      </c>
      <c r="I3278" s="9" t="str">
        <f>IFERROR(__xludf.DUMMYFUNCTION("""COMPUTED_VALUE"""),"def")</f>
        <v>def</v>
      </c>
      <c r="J3278" s="9"/>
      <c r="K3278" s="9"/>
      <c r="L3278" s="9"/>
      <c r="M3278" s="9"/>
      <c r="N3278" s="9"/>
      <c r="O3278" s="9"/>
      <c r="P3278" s="9"/>
      <c r="Q3278" s="9"/>
      <c r="R3278" s="9"/>
      <c r="S3278" s="42"/>
      <c r="T3278" s="42"/>
      <c r="U3278" s="42"/>
      <c r="V3278" s="42"/>
      <c r="W3278" s="42"/>
      <c r="X3278" s="42"/>
      <c r="Y3278" s="42"/>
      <c r="Z3278" s="42"/>
      <c r="AA3278" s="42"/>
      <c r="AB3278" s="42" t="str">
        <f>IFERROR(__xludf.DUMMYFUNCTION("""COMPUTED_VALUE"""),"allen institute")</f>
        <v>allen institute</v>
      </c>
      <c r="AC3278" s="42" t="str">
        <f>IFERROR(__xludf.DUMMYFUNCTION("""COMPUTED_VALUE"""),"DHBA")</f>
        <v>DHBA</v>
      </c>
      <c r="AD3278" s="42"/>
      <c r="AE3278" s="42"/>
      <c r="AF3278" s="9"/>
      <c r="AG3278" s="9"/>
      <c r="AH3278" s="42"/>
      <c r="AI3278" s="42"/>
      <c r="AJ3278" s="42"/>
      <c r="AK3278" s="42"/>
      <c r="AL3278" s="42"/>
      <c r="AM3278" s="42"/>
      <c r="AN3278" s="42"/>
      <c r="AO3278" s="63" t="str">
        <f>IFERROR(__xludf.DUMMYFUNCTION("IF(ISBLANK(A3278),,IF(ISBLANK(S3278), A3278&amp;"";"", TEXTJOIN(CHAR(10), TRUE, A3278&amp;"";"", ARRAYFORMULA(VLOOKUP(SPLIT(S3278, "";"" &amp; CHAR(10)), $A:$AO, 41, FALSE)))))"),"def;")</f>
        <v>def;</v>
      </c>
      <c r="AP3278" s="89"/>
    </row>
    <row r="3279">
      <c r="A3279" s="151" t="str">
        <f>IFERROR(__xludf.DUMMYFUNCTION("""COMPUTED_VALUE"""),"dlf-h")</f>
        <v>dlf-h</v>
      </c>
      <c r="B3279" s="42" t="str">
        <f>IFERROR(__xludf.DUMMYFUNCTION("""COMPUTED_VALUE"""),"DHBA")</f>
        <v>DHBA</v>
      </c>
      <c r="C3279" s="42" t="str">
        <f>IFERROR(__xludf.DUMMYFUNCTION("""COMPUTED_VALUE"""),"dorsal longitudinal fasciculus")</f>
        <v>dorsal longitudinal fasciculus</v>
      </c>
      <c r="D3279" s="42">
        <f>IFERROR(__xludf.DUMMYFUNCTION("""COMPUTED_VALUE"""),3132.0)</f>
        <v>3132</v>
      </c>
      <c r="E3279" s="39" t="str">
        <f>IFERROR(__xludf.DUMMYFUNCTION("""COMPUTED_VALUE"""),"dorsal longitudinal fasciculus")</f>
        <v>dorsal longitudinal fasciculus</v>
      </c>
      <c r="F3279" s="9" t="str">
        <f>IFERROR(__xludf.DUMMYFUNCTION("""COMPUTED_VALUE"""),"Br")</f>
        <v>Br</v>
      </c>
      <c r="G3279" s="9" t="str">
        <f>IFERROR(__xludf.DUMMYFUNCTION("""COMPUTED_VALUE"""),"H")</f>
        <v>H</v>
      </c>
      <c r="H3279" s="9" t="str">
        <f>IFERROR(__xludf.DUMMYFUNCTION("""COMPUTED_VALUE"""),"HWM")</f>
        <v>HWM</v>
      </c>
      <c r="I3279" s="9" t="str">
        <f>IFERROR(__xludf.DUMMYFUNCTION("""COMPUTED_VALUE"""),"dlf-h")</f>
        <v>dlf-h</v>
      </c>
      <c r="J3279" s="9"/>
      <c r="K3279" s="9"/>
      <c r="L3279" s="9"/>
      <c r="M3279" s="9"/>
      <c r="N3279" s="9"/>
      <c r="O3279" s="9"/>
      <c r="P3279" s="9"/>
      <c r="Q3279" s="9"/>
      <c r="R3279" s="9"/>
      <c r="S3279" s="42"/>
      <c r="T3279" s="42"/>
      <c r="U3279" s="42"/>
      <c r="V3279" s="42"/>
      <c r="W3279" s="42"/>
      <c r="X3279" s="42"/>
      <c r="Y3279" s="42"/>
      <c r="Z3279" s="42"/>
      <c r="AA3279" s="42"/>
      <c r="AB3279" s="42" t="str">
        <f>IFERROR(__xludf.DUMMYFUNCTION("""COMPUTED_VALUE"""),"allen institute")</f>
        <v>allen institute</v>
      </c>
      <c r="AC3279" s="42" t="str">
        <f>IFERROR(__xludf.DUMMYFUNCTION("""COMPUTED_VALUE"""),"DHBA")</f>
        <v>DHBA</v>
      </c>
      <c r="AD3279" s="42"/>
      <c r="AE3279" s="42"/>
      <c r="AF3279" s="9"/>
      <c r="AG3279" s="9"/>
      <c r="AH3279" s="42"/>
      <c r="AI3279" s="42"/>
      <c r="AJ3279" s="42"/>
      <c r="AK3279" s="42"/>
      <c r="AL3279" s="42"/>
      <c r="AM3279" s="42"/>
      <c r="AN3279" s="42"/>
      <c r="AO3279" s="63" t="str">
        <f>IFERROR(__xludf.DUMMYFUNCTION("IF(ISBLANK(A3279),,IF(ISBLANK(S3279), A3279&amp;"";"", TEXTJOIN(CHAR(10), TRUE, A3279&amp;"";"", ARRAYFORMULA(VLOOKUP(SPLIT(S3279, "";"" &amp; CHAR(10)), $A:$AO, 41, FALSE)))))"),"dlf-h;")</f>
        <v>dlf-h;</v>
      </c>
      <c r="AP3279" s="89"/>
    </row>
    <row r="3280">
      <c r="A3280" s="151" t="str">
        <f>IFERROR(__xludf.DUMMYFUNCTION("""COMPUTED_VALUE"""),"dtgth")</f>
        <v>dtgth</v>
      </c>
      <c r="B3280" s="42" t="str">
        <f>IFERROR(__xludf.DUMMYFUNCTION("""COMPUTED_VALUE"""),"DHBA")</f>
        <v>DHBA</v>
      </c>
      <c r="C3280" s="42" t="str">
        <f>IFERROR(__xludf.DUMMYFUNCTION("""COMPUTED_VALUE"""),"dorsal trigeminothalamic tract")</f>
        <v>dorsal trigeminothalamic tract</v>
      </c>
      <c r="D3280" s="42">
        <f>IFERROR(__xludf.DUMMYFUNCTION("""COMPUTED_VALUE"""),3133.0)</f>
        <v>3133</v>
      </c>
      <c r="E3280" s="39" t="str">
        <f>IFERROR(__xludf.DUMMYFUNCTION("""COMPUTED_VALUE"""),"dorsal trigeminothalamic tract")</f>
        <v>dorsal trigeminothalamic tract</v>
      </c>
      <c r="F3280" s="9" t="str">
        <f>IFERROR(__xludf.DUMMYFUNCTION("""COMPUTED_VALUE"""),"Br")</f>
        <v>Br</v>
      </c>
      <c r="G3280" s="9" t="str">
        <f>IFERROR(__xludf.DUMMYFUNCTION("""COMPUTED_VALUE"""),"H")</f>
        <v>H</v>
      </c>
      <c r="H3280" s="9" t="str">
        <f>IFERROR(__xludf.DUMMYFUNCTION("""COMPUTED_VALUE"""),"HWM")</f>
        <v>HWM</v>
      </c>
      <c r="I3280" s="9" t="str">
        <f>IFERROR(__xludf.DUMMYFUNCTION("""COMPUTED_VALUE"""),"dtgth")</f>
        <v>dtgth</v>
      </c>
      <c r="J3280" s="9"/>
      <c r="K3280" s="9"/>
      <c r="L3280" s="9"/>
      <c r="M3280" s="9"/>
      <c r="N3280" s="9"/>
      <c r="O3280" s="9"/>
      <c r="P3280" s="9"/>
      <c r="Q3280" s="9"/>
      <c r="R3280" s="9"/>
      <c r="S3280" s="42"/>
      <c r="T3280" s="42"/>
      <c r="U3280" s="42"/>
      <c r="V3280" s="42"/>
      <c r="W3280" s="42"/>
      <c r="X3280" s="42"/>
      <c r="Y3280" s="42"/>
      <c r="Z3280" s="42"/>
      <c r="AA3280" s="42"/>
      <c r="AB3280" s="42" t="str">
        <f>IFERROR(__xludf.DUMMYFUNCTION("""COMPUTED_VALUE"""),"allen institute")</f>
        <v>allen institute</v>
      </c>
      <c r="AC3280" s="42" t="str">
        <f>IFERROR(__xludf.DUMMYFUNCTION("""COMPUTED_VALUE"""),"DHBA")</f>
        <v>DHBA</v>
      </c>
      <c r="AD3280" s="42"/>
      <c r="AE3280" s="42"/>
      <c r="AF3280" s="9"/>
      <c r="AG3280" s="9"/>
      <c r="AH3280" s="42"/>
      <c r="AI3280" s="42"/>
      <c r="AJ3280" s="42"/>
      <c r="AK3280" s="42"/>
      <c r="AL3280" s="42"/>
      <c r="AM3280" s="42"/>
      <c r="AN3280" s="42"/>
      <c r="AO3280" s="63" t="str">
        <f>IFERROR(__xludf.DUMMYFUNCTION("IF(ISBLANK(A3280),,IF(ISBLANK(S3280), A3280&amp;"";"", TEXTJOIN(CHAR(10), TRUE, A3280&amp;"";"", ARRAYFORMULA(VLOOKUP(SPLIT(S3280, "";"" &amp; CHAR(10)), $A:$AO, 41, FALSE)))))"),"dtgth;")</f>
        <v>dtgth;</v>
      </c>
      <c r="AP3280" s="89"/>
    </row>
    <row r="3281">
      <c r="A3281" s="151" t="str">
        <f>IFERROR(__xludf.DUMMYFUNCTION("""COMPUTED_VALUE"""),"eaf")</f>
        <v>eaf</v>
      </c>
      <c r="B3281" s="42" t="str">
        <f>IFERROR(__xludf.DUMMYFUNCTION("""COMPUTED_VALUE"""),"DHBA")</f>
        <v>DHBA</v>
      </c>
      <c r="C3281" s="42" t="str">
        <f>IFERROR(__xludf.DUMMYFUNCTION("""COMPUTED_VALUE"""),"external arcuate fibers")</f>
        <v>external arcuate fibers</v>
      </c>
      <c r="D3281" s="42">
        <f>IFERROR(__xludf.DUMMYFUNCTION("""COMPUTED_VALUE"""),3134.0)</f>
        <v>3134</v>
      </c>
      <c r="E3281" s="39" t="str">
        <f>IFERROR(__xludf.DUMMYFUNCTION("""COMPUTED_VALUE"""),"external arcuate fibers")</f>
        <v>external arcuate fibers</v>
      </c>
      <c r="F3281" s="9" t="str">
        <f>IFERROR(__xludf.DUMMYFUNCTION("""COMPUTED_VALUE"""),"Br")</f>
        <v>Br</v>
      </c>
      <c r="G3281" s="9" t="str">
        <f>IFERROR(__xludf.DUMMYFUNCTION("""COMPUTED_VALUE"""),"H")</f>
        <v>H</v>
      </c>
      <c r="H3281" s="9" t="str">
        <f>IFERROR(__xludf.DUMMYFUNCTION("""COMPUTED_VALUE"""),"HWM")</f>
        <v>HWM</v>
      </c>
      <c r="I3281" s="9" t="str">
        <f>IFERROR(__xludf.DUMMYFUNCTION("""COMPUTED_VALUE"""),"eaf")</f>
        <v>eaf</v>
      </c>
      <c r="J3281" s="9"/>
      <c r="K3281" s="9"/>
      <c r="L3281" s="9"/>
      <c r="M3281" s="9"/>
      <c r="N3281" s="9"/>
      <c r="O3281" s="9"/>
      <c r="P3281" s="9"/>
      <c r="Q3281" s="9"/>
      <c r="R3281" s="9"/>
      <c r="S3281" s="42"/>
      <c r="T3281" s="42"/>
      <c r="U3281" s="42"/>
      <c r="V3281" s="42"/>
      <c r="W3281" s="42"/>
      <c r="X3281" s="42"/>
      <c r="Y3281" s="42"/>
      <c r="Z3281" s="42"/>
      <c r="AA3281" s="42"/>
      <c r="AB3281" s="42" t="str">
        <f>IFERROR(__xludf.DUMMYFUNCTION("""COMPUTED_VALUE"""),"allen institute")</f>
        <v>allen institute</v>
      </c>
      <c r="AC3281" s="42" t="str">
        <f>IFERROR(__xludf.DUMMYFUNCTION("""COMPUTED_VALUE"""),"DHBA")</f>
        <v>DHBA</v>
      </c>
      <c r="AD3281" s="42"/>
      <c r="AE3281" s="42"/>
      <c r="AF3281" s="9"/>
      <c r="AG3281" s="9"/>
      <c r="AH3281" s="42"/>
      <c r="AI3281" s="42"/>
      <c r="AJ3281" s="42"/>
      <c r="AK3281" s="42"/>
      <c r="AL3281" s="42"/>
      <c r="AM3281" s="42"/>
      <c r="AN3281" s="42"/>
      <c r="AO3281" s="63" t="str">
        <f>IFERROR(__xludf.DUMMYFUNCTION("IF(ISBLANK(A3281),,IF(ISBLANK(S3281), A3281&amp;"";"", TEXTJOIN(CHAR(10), TRUE, A3281&amp;"";"", ARRAYFORMULA(VLOOKUP(SPLIT(S3281, "";"" &amp; CHAR(10)), $A:$AO, 41, FALSE)))))"),"eaf;")</f>
        <v>eaf;</v>
      </c>
      <c r="AP3281" s="89"/>
    </row>
    <row r="3282">
      <c r="A3282" s="151" t="str">
        <f>IFERROR(__xludf.DUMMYFUNCTION("""COMPUTED_VALUE"""),"g7")</f>
        <v>g7</v>
      </c>
      <c r="B3282" s="42" t="str">
        <f>IFERROR(__xludf.DUMMYFUNCTION("""COMPUTED_VALUE"""),"DHBA")</f>
        <v>DHBA</v>
      </c>
      <c r="C3282" s="42" t="str">
        <f>IFERROR(__xludf.DUMMYFUNCTION("""COMPUTED_VALUE"""),"genu of the facial nerve")</f>
        <v>genu of the facial nerve</v>
      </c>
      <c r="D3282" s="42">
        <f>IFERROR(__xludf.DUMMYFUNCTION("""COMPUTED_VALUE"""),3135.0)</f>
        <v>3135</v>
      </c>
      <c r="E3282" s="39" t="str">
        <f>IFERROR(__xludf.DUMMYFUNCTION("""COMPUTED_VALUE"""),"genu of the facial nerve")</f>
        <v>genu of the facial nerve</v>
      </c>
      <c r="F3282" s="9" t="str">
        <f>IFERROR(__xludf.DUMMYFUNCTION("""COMPUTED_VALUE"""),"Br")</f>
        <v>Br</v>
      </c>
      <c r="G3282" s="9" t="str">
        <f>IFERROR(__xludf.DUMMYFUNCTION("""COMPUTED_VALUE"""),"H")</f>
        <v>H</v>
      </c>
      <c r="H3282" s="9" t="str">
        <f>IFERROR(__xludf.DUMMYFUNCTION("""COMPUTED_VALUE"""),"HWM")</f>
        <v>HWM</v>
      </c>
      <c r="I3282" s="9" t="str">
        <f>IFERROR(__xludf.DUMMYFUNCTION("""COMPUTED_VALUE"""),"g7")</f>
        <v>g7</v>
      </c>
      <c r="J3282" s="9"/>
      <c r="K3282" s="9"/>
      <c r="L3282" s="9"/>
      <c r="M3282" s="9"/>
      <c r="N3282" s="9"/>
      <c r="O3282" s="9"/>
      <c r="P3282" s="9"/>
      <c r="Q3282" s="9"/>
      <c r="R3282" s="9"/>
      <c r="S3282" s="42"/>
      <c r="T3282" s="42"/>
      <c r="U3282" s="42"/>
      <c r="V3282" s="42"/>
      <c r="W3282" s="42"/>
      <c r="X3282" s="42"/>
      <c r="Y3282" s="42"/>
      <c r="Z3282" s="42"/>
      <c r="AA3282" s="42"/>
      <c r="AB3282" s="42" t="str">
        <f>IFERROR(__xludf.DUMMYFUNCTION("""COMPUTED_VALUE"""),"allen institute")</f>
        <v>allen institute</v>
      </c>
      <c r="AC3282" s="42" t="str">
        <f>IFERROR(__xludf.DUMMYFUNCTION("""COMPUTED_VALUE"""),"DHBA")</f>
        <v>DHBA</v>
      </c>
      <c r="AD3282" s="42"/>
      <c r="AE3282" s="42"/>
      <c r="AF3282" s="9"/>
      <c r="AG3282" s="9"/>
      <c r="AH3282" s="42"/>
      <c r="AI3282" s="42"/>
      <c r="AJ3282" s="42"/>
      <c r="AK3282" s="42"/>
      <c r="AL3282" s="42"/>
      <c r="AM3282" s="42"/>
      <c r="AN3282" s="42"/>
      <c r="AO3282" s="63" t="str">
        <f>IFERROR(__xludf.DUMMYFUNCTION("IF(ISBLANK(A3282),,IF(ISBLANK(S3282), A3282&amp;"";"", TEXTJOIN(CHAR(10), TRUE, A3282&amp;"";"", ARRAYFORMULA(VLOOKUP(SPLIT(S3282, "";"" &amp; CHAR(10)), $A:$AO, 41, FALSE)))))"),"g7;")</f>
        <v>g7;</v>
      </c>
      <c r="AP3282" s="89"/>
    </row>
    <row r="3283">
      <c r="A3283" s="151" t="str">
        <f>IFERROR(__xludf.DUMMYFUNCTION("""COMPUTED_VALUE"""),"gr")</f>
        <v>gr</v>
      </c>
      <c r="B3283" s="42" t="str">
        <f>IFERROR(__xludf.DUMMYFUNCTION("""COMPUTED_VALUE"""),"DHBA")</f>
        <v>DHBA</v>
      </c>
      <c r="C3283" s="42" t="str">
        <f>IFERROR(__xludf.DUMMYFUNCTION("""COMPUTED_VALUE"""),"gracile fasciculus")</f>
        <v>gracile fasciculus</v>
      </c>
      <c r="D3283" s="42">
        <f>IFERROR(__xludf.DUMMYFUNCTION("""COMPUTED_VALUE"""),3136.0)</f>
        <v>3136</v>
      </c>
      <c r="E3283" s="39" t="str">
        <f>IFERROR(__xludf.DUMMYFUNCTION("""COMPUTED_VALUE"""),"gracile fasciculus")</f>
        <v>gracile fasciculus</v>
      </c>
      <c r="F3283" s="9" t="str">
        <f>IFERROR(__xludf.DUMMYFUNCTION("""COMPUTED_VALUE"""),"Br")</f>
        <v>Br</v>
      </c>
      <c r="G3283" s="9" t="str">
        <f>IFERROR(__xludf.DUMMYFUNCTION("""COMPUTED_VALUE"""),"H")</f>
        <v>H</v>
      </c>
      <c r="H3283" s="9" t="str">
        <f>IFERROR(__xludf.DUMMYFUNCTION("""COMPUTED_VALUE"""),"HWM")</f>
        <v>HWM</v>
      </c>
      <c r="I3283" s="9" t="str">
        <f>IFERROR(__xludf.DUMMYFUNCTION("""COMPUTED_VALUE"""),"gr")</f>
        <v>gr</v>
      </c>
      <c r="J3283" s="9"/>
      <c r="K3283" s="9"/>
      <c r="L3283" s="9"/>
      <c r="M3283" s="9"/>
      <c r="N3283" s="9"/>
      <c r="O3283" s="9"/>
      <c r="P3283" s="9"/>
      <c r="Q3283" s="9"/>
      <c r="R3283" s="9"/>
      <c r="S3283" s="42"/>
      <c r="T3283" s="42"/>
      <c r="U3283" s="42"/>
      <c r="V3283" s="42"/>
      <c r="W3283" s="42"/>
      <c r="X3283" s="42"/>
      <c r="Y3283" s="42"/>
      <c r="Z3283" s="42"/>
      <c r="AA3283" s="42"/>
      <c r="AB3283" s="42" t="str">
        <f>IFERROR(__xludf.DUMMYFUNCTION("""COMPUTED_VALUE"""),"allen institute")</f>
        <v>allen institute</v>
      </c>
      <c r="AC3283" s="42" t="str">
        <f>IFERROR(__xludf.DUMMYFUNCTION("""COMPUTED_VALUE"""),"DHBA")</f>
        <v>DHBA</v>
      </c>
      <c r="AD3283" s="42"/>
      <c r="AE3283" s="42"/>
      <c r="AF3283" s="9"/>
      <c r="AG3283" s="9"/>
      <c r="AH3283" s="42"/>
      <c r="AI3283" s="42"/>
      <c r="AJ3283" s="42"/>
      <c r="AK3283" s="42"/>
      <c r="AL3283" s="42"/>
      <c r="AM3283" s="42"/>
      <c r="AN3283" s="42"/>
      <c r="AO3283" s="63" t="str">
        <f>IFERROR(__xludf.DUMMYFUNCTION("IF(ISBLANK(A3283),,IF(ISBLANK(S3283), A3283&amp;"";"", TEXTJOIN(CHAR(10), TRUE, A3283&amp;"";"", ARRAYFORMULA(VLOOKUP(SPLIT(S3283, "";"" &amp; CHAR(10)), $A:$AO, 41, FALSE)))))"),"gr;")</f>
        <v>gr;</v>
      </c>
      <c r="AP3283" s="89"/>
    </row>
    <row r="3284">
      <c r="A3284" s="151" t="str">
        <f>IFERROR(__xludf.DUMMYFUNCTION("""COMPUTED_VALUE"""),"hio")</f>
        <v>hio</v>
      </c>
      <c r="B3284" s="42" t="str">
        <f>IFERROR(__xludf.DUMMYFUNCTION("""COMPUTED_VALUE"""),"DHBA")</f>
        <v>DHBA</v>
      </c>
      <c r="C3284" s="42" t="str">
        <f>IFERROR(__xludf.DUMMYFUNCTION("""COMPUTED_VALUE"""),"hilus of the inferior olive")</f>
        <v>hilus of the inferior olive</v>
      </c>
      <c r="D3284" s="42">
        <f>IFERROR(__xludf.DUMMYFUNCTION("""COMPUTED_VALUE"""),3137.0)</f>
        <v>3137</v>
      </c>
      <c r="E3284" s="39" t="str">
        <f>IFERROR(__xludf.DUMMYFUNCTION("""COMPUTED_VALUE"""),"hilus of the inferior olive")</f>
        <v>hilus of the inferior olive</v>
      </c>
      <c r="F3284" s="9" t="str">
        <f>IFERROR(__xludf.DUMMYFUNCTION("""COMPUTED_VALUE"""),"Br")</f>
        <v>Br</v>
      </c>
      <c r="G3284" s="9" t="str">
        <f>IFERROR(__xludf.DUMMYFUNCTION("""COMPUTED_VALUE"""),"H")</f>
        <v>H</v>
      </c>
      <c r="H3284" s="9" t="str">
        <f>IFERROR(__xludf.DUMMYFUNCTION("""COMPUTED_VALUE"""),"HWM")</f>
        <v>HWM</v>
      </c>
      <c r="I3284" s="9" t="str">
        <f>IFERROR(__xludf.DUMMYFUNCTION("""COMPUTED_VALUE"""),"hio")</f>
        <v>hio</v>
      </c>
      <c r="J3284" s="9"/>
      <c r="K3284" s="9"/>
      <c r="L3284" s="9"/>
      <c r="M3284" s="9"/>
      <c r="N3284" s="9"/>
      <c r="O3284" s="9"/>
      <c r="P3284" s="9"/>
      <c r="Q3284" s="9"/>
      <c r="R3284" s="9"/>
      <c r="S3284" s="42"/>
      <c r="T3284" s="42"/>
      <c r="U3284" s="42"/>
      <c r="V3284" s="42"/>
      <c r="W3284" s="42"/>
      <c r="X3284" s="42"/>
      <c r="Y3284" s="42"/>
      <c r="Z3284" s="42"/>
      <c r="AA3284" s="42"/>
      <c r="AB3284" s="42" t="str">
        <f>IFERROR(__xludf.DUMMYFUNCTION("""COMPUTED_VALUE"""),"allen institute")</f>
        <v>allen institute</v>
      </c>
      <c r="AC3284" s="42" t="str">
        <f>IFERROR(__xludf.DUMMYFUNCTION("""COMPUTED_VALUE"""),"DHBA")</f>
        <v>DHBA</v>
      </c>
      <c r="AD3284" s="42"/>
      <c r="AE3284" s="42"/>
      <c r="AF3284" s="9"/>
      <c r="AG3284" s="9"/>
      <c r="AH3284" s="42"/>
      <c r="AI3284" s="42"/>
      <c r="AJ3284" s="42"/>
      <c r="AK3284" s="42"/>
      <c r="AL3284" s="42"/>
      <c r="AM3284" s="42"/>
      <c r="AN3284" s="42"/>
      <c r="AO3284" s="63" t="str">
        <f>IFERROR(__xludf.DUMMYFUNCTION("IF(ISBLANK(A3284),,IF(ISBLANK(S3284), A3284&amp;"";"", TEXTJOIN(CHAR(10), TRUE, A3284&amp;"";"", ARRAYFORMULA(VLOOKUP(SPLIT(S3284, "";"" &amp; CHAR(10)), $A:$AO, 41, FALSE)))))"),"hio;")</f>
        <v>hio;</v>
      </c>
      <c r="AP3284" s="89"/>
    </row>
    <row r="3285">
      <c r="A3285" s="151" t="str">
        <f>IFERROR(__xludf.DUMMYFUNCTION("""COMPUTED_VALUE"""),"hysp")</f>
        <v>hysp</v>
      </c>
      <c r="B3285" s="42" t="str">
        <f>IFERROR(__xludf.DUMMYFUNCTION("""COMPUTED_VALUE"""),"DHBA")</f>
        <v>DHBA</v>
      </c>
      <c r="C3285" s="42" t="str">
        <f>IFERROR(__xludf.DUMMYFUNCTION("""COMPUTED_VALUE"""),"hypothalamospinal tract")</f>
        <v>hypothalamospinal tract</v>
      </c>
      <c r="D3285" s="42">
        <f>IFERROR(__xludf.DUMMYFUNCTION("""COMPUTED_VALUE"""),3138.0)</f>
        <v>3138</v>
      </c>
      <c r="E3285" s="39" t="str">
        <f>IFERROR(__xludf.DUMMYFUNCTION("""COMPUTED_VALUE"""),"hypothalamospinal tract")</f>
        <v>hypothalamospinal tract</v>
      </c>
      <c r="F3285" s="9" t="str">
        <f>IFERROR(__xludf.DUMMYFUNCTION("""COMPUTED_VALUE"""),"Br")</f>
        <v>Br</v>
      </c>
      <c r="G3285" s="9" t="str">
        <f>IFERROR(__xludf.DUMMYFUNCTION("""COMPUTED_VALUE"""),"H")</f>
        <v>H</v>
      </c>
      <c r="H3285" s="9" t="str">
        <f>IFERROR(__xludf.DUMMYFUNCTION("""COMPUTED_VALUE"""),"HWM")</f>
        <v>HWM</v>
      </c>
      <c r="I3285" s="9" t="str">
        <f>IFERROR(__xludf.DUMMYFUNCTION("""COMPUTED_VALUE"""),"hysp")</f>
        <v>hysp</v>
      </c>
      <c r="J3285" s="9"/>
      <c r="K3285" s="9"/>
      <c r="L3285" s="9"/>
      <c r="M3285" s="9"/>
      <c r="N3285" s="9"/>
      <c r="O3285" s="9"/>
      <c r="P3285" s="9"/>
      <c r="Q3285" s="9"/>
      <c r="R3285" s="9"/>
      <c r="S3285" s="42"/>
      <c r="T3285" s="42"/>
      <c r="U3285" s="42"/>
      <c r="V3285" s="42"/>
      <c r="W3285" s="42"/>
      <c r="X3285" s="42"/>
      <c r="Y3285" s="42"/>
      <c r="Z3285" s="42"/>
      <c r="AA3285" s="42"/>
      <c r="AB3285" s="42" t="str">
        <f>IFERROR(__xludf.DUMMYFUNCTION("""COMPUTED_VALUE"""),"allen institute")</f>
        <v>allen institute</v>
      </c>
      <c r="AC3285" s="42" t="str">
        <f>IFERROR(__xludf.DUMMYFUNCTION("""COMPUTED_VALUE"""),"DHBA")</f>
        <v>DHBA</v>
      </c>
      <c r="AD3285" s="42"/>
      <c r="AE3285" s="42"/>
      <c r="AF3285" s="9"/>
      <c r="AG3285" s="9"/>
      <c r="AH3285" s="42"/>
      <c r="AI3285" s="42"/>
      <c r="AJ3285" s="42"/>
      <c r="AK3285" s="42"/>
      <c r="AL3285" s="42"/>
      <c r="AM3285" s="42"/>
      <c r="AN3285" s="42"/>
      <c r="AO3285" s="63" t="str">
        <f>IFERROR(__xludf.DUMMYFUNCTION("IF(ISBLANK(A3285),,IF(ISBLANK(S3285), A3285&amp;"";"", TEXTJOIN(CHAR(10), TRUE, A3285&amp;"";"", ARRAYFORMULA(VLOOKUP(SPLIT(S3285, "";"" &amp; CHAR(10)), $A:$AO, 41, FALSE)))))"),"hysp;")</f>
        <v>hysp;</v>
      </c>
      <c r="AP3285" s="89"/>
    </row>
    <row r="3286">
      <c r="A3286" s="151" t="str">
        <f>IFERROR(__xludf.DUMMYFUNCTION("""COMPUTED_VALUE"""),"icp")</f>
        <v>icp</v>
      </c>
      <c r="B3286" s="42" t="str">
        <f>IFERROR(__xludf.DUMMYFUNCTION("""COMPUTED_VALUE"""),"DHBA")</f>
        <v>DHBA</v>
      </c>
      <c r="C3286" s="42" t="str">
        <f>IFERROR(__xludf.DUMMYFUNCTION("""COMPUTED_VALUE"""),"inferior cerebellar peduncle")</f>
        <v>inferior cerebellar peduncle</v>
      </c>
      <c r="D3286" s="42">
        <f>IFERROR(__xludf.DUMMYFUNCTION("""COMPUTED_VALUE"""),3139.0)</f>
        <v>3139</v>
      </c>
      <c r="E3286" s="39" t="str">
        <f>IFERROR(__xludf.DUMMYFUNCTION("""COMPUTED_VALUE"""),"inferior cerebellar peduncle")</f>
        <v>inferior cerebellar peduncle</v>
      </c>
      <c r="F3286" s="9" t="str">
        <f>IFERROR(__xludf.DUMMYFUNCTION("""COMPUTED_VALUE"""),"Br")</f>
        <v>Br</v>
      </c>
      <c r="G3286" s="9" t="str">
        <f>IFERROR(__xludf.DUMMYFUNCTION("""COMPUTED_VALUE"""),"H")</f>
        <v>H</v>
      </c>
      <c r="H3286" s="9" t="str">
        <f>IFERROR(__xludf.DUMMYFUNCTION("""COMPUTED_VALUE"""),"HWM")</f>
        <v>HWM</v>
      </c>
      <c r="I3286" s="9" t="str">
        <f>IFERROR(__xludf.DUMMYFUNCTION("""COMPUTED_VALUE"""),"icp")</f>
        <v>icp</v>
      </c>
      <c r="J3286" s="9"/>
      <c r="K3286" s="9"/>
      <c r="L3286" s="9"/>
      <c r="M3286" s="9"/>
      <c r="N3286" s="9"/>
      <c r="O3286" s="9"/>
      <c r="P3286" s="9"/>
      <c r="Q3286" s="9"/>
      <c r="R3286" s="9"/>
      <c r="S3286" s="42" t="str">
        <f>IFERROR(__xludf.DUMMYFUNCTION("""COMPUTED_VALUE"""),"rsf;
jx")</f>
        <v>rsf;
jx</v>
      </c>
      <c r="T3286" s="42"/>
      <c r="U3286" s="42" t="b">
        <f>IFERROR(__xludf.DUMMYFUNCTION("""COMPUTED_VALUE"""),FALSE)</f>
        <v>0</v>
      </c>
      <c r="V3286" s="42"/>
      <c r="W3286" s="42"/>
      <c r="X3286" s="42"/>
      <c r="Y3286" s="42"/>
      <c r="Z3286" s="42"/>
      <c r="AA3286" s="42"/>
      <c r="AB3286" s="42" t="str">
        <f>IFERROR(__xludf.DUMMYFUNCTION("""COMPUTED_VALUE"""),"allen institute")</f>
        <v>allen institute</v>
      </c>
      <c r="AC3286" s="42" t="str">
        <f>IFERROR(__xludf.DUMMYFUNCTION("""COMPUTED_VALUE"""),"DHBA")</f>
        <v>DHBA</v>
      </c>
      <c r="AD3286" s="42"/>
      <c r="AE3286" s="42"/>
      <c r="AF3286" s="9"/>
      <c r="AG3286" s="9"/>
      <c r="AH3286" s="42"/>
      <c r="AI3286" s="42"/>
      <c r="AJ3286" s="42"/>
      <c r="AK3286" s="42"/>
      <c r="AL3286" s="42"/>
      <c r="AM3286" s="42"/>
      <c r="AN3286" s="42"/>
      <c r="AO3286" s="63" t="str">
        <f>IFERROR(__xludf.DUMMYFUNCTION("IF(ISBLANK(A3286),,IF(ISBLANK(S3286), A3286&amp;"";"", TEXTJOIN(CHAR(10), TRUE, A3286&amp;"";"", ARRAYFORMULA(VLOOKUP(SPLIT(S3286, "";"" &amp; CHAR(10)), $A:$AO, 41, FALSE)))))"),"icp;
rsf;
cbrf;
cbvf;
cucb;
dsc;
ocb;
rcbtm;
sct;
jx;
fasr;
fasv;
tgcb;
vecb;")</f>
        <v>icp;
rsf;
cbrf;
cbvf;
cucb;
dsc;
ocb;
rcbtm;
sct;
jx;
fasr;
fasv;
tgcb;
vecb;</v>
      </c>
      <c r="AP3286" s="89"/>
    </row>
    <row r="3287">
      <c r="A3287" s="151" t="str">
        <f>IFERROR(__xludf.DUMMYFUNCTION("""COMPUTED_VALUE"""),"rsf")</f>
        <v>rsf</v>
      </c>
      <c r="B3287" s="42" t="str">
        <f>IFERROR(__xludf.DUMMYFUNCTION("""COMPUTED_VALUE"""),"DHBA")</f>
        <v>DHBA</v>
      </c>
      <c r="C3287" s="42" t="str">
        <f>IFERROR(__xludf.DUMMYFUNCTION("""COMPUTED_VALUE"""),"restiform body")</f>
        <v>restiform body</v>
      </c>
      <c r="D3287" s="42">
        <f>IFERROR(__xludf.DUMMYFUNCTION("""COMPUTED_VALUE"""),3140.0)</f>
        <v>3140</v>
      </c>
      <c r="E3287" s="39" t="str">
        <f>IFERROR(__xludf.DUMMYFUNCTION("""COMPUTED_VALUE"""),"restiform body")</f>
        <v>restiform body</v>
      </c>
      <c r="F3287" s="9" t="str">
        <f>IFERROR(__xludf.DUMMYFUNCTION("""COMPUTED_VALUE"""),"Br")</f>
        <v>Br</v>
      </c>
      <c r="G3287" s="9" t="str">
        <f>IFERROR(__xludf.DUMMYFUNCTION("""COMPUTED_VALUE"""),"H")</f>
        <v>H</v>
      </c>
      <c r="H3287" s="9" t="str">
        <f>IFERROR(__xludf.DUMMYFUNCTION("""COMPUTED_VALUE"""),"HWM")</f>
        <v>HWM</v>
      </c>
      <c r="I3287" s="9" t="str">
        <f>IFERROR(__xludf.DUMMYFUNCTION("""COMPUTED_VALUE"""),"icp")</f>
        <v>icp</v>
      </c>
      <c r="J3287" s="9" t="str">
        <f>IFERROR(__xludf.DUMMYFUNCTION("""COMPUTED_VALUE"""),"rsf")</f>
        <v>rsf</v>
      </c>
      <c r="K3287" s="9"/>
      <c r="L3287" s="9"/>
      <c r="M3287" s="9"/>
      <c r="N3287" s="9"/>
      <c r="O3287" s="9"/>
      <c r="P3287" s="9"/>
      <c r="Q3287" s="9"/>
      <c r="R3287" s="9"/>
      <c r="S3287" s="42" t="str">
        <f>IFERROR(__xludf.DUMMYFUNCTION("""COMPUTED_VALUE"""),"cbrf;
cbvf;
cucb;
dsc;
ocb;
rcbtm;
sct")</f>
        <v>cbrf;
cbvf;
cucb;
dsc;
ocb;
rcbtm;
sct</v>
      </c>
      <c r="T3287" s="42"/>
      <c r="U3287" s="42" t="b">
        <f>IFERROR(__xludf.DUMMYFUNCTION("""COMPUTED_VALUE"""),FALSE)</f>
        <v>0</v>
      </c>
      <c r="V3287" s="42"/>
      <c r="W3287" s="42"/>
      <c r="X3287" s="42"/>
      <c r="Y3287" s="42"/>
      <c r="Z3287" s="42"/>
      <c r="AA3287" s="42"/>
      <c r="AB3287" s="42" t="str">
        <f>IFERROR(__xludf.DUMMYFUNCTION("""COMPUTED_VALUE"""),"allen institute")</f>
        <v>allen institute</v>
      </c>
      <c r="AC3287" s="42" t="str">
        <f>IFERROR(__xludf.DUMMYFUNCTION("""COMPUTED_VALUE"""),"DHBA")</f>
        <v>DHBA</v>
      </c>
      <c r="AD3287" s="42"/>
      <c r="AE3287" s="42"/>
      <c r="AF3287" s="9"/>
      <c r="AG3287" s="9"/>
      <c r="AH3287" s="42"/>
      <c r="AI3287" s="42"/>
      <c r="AJ3287" s="42"/>
      <c r="AK3287" s="42"/>
      <c r="AL3287" s="42"/>
      <c r="AM3287" s="42"/>
      <c r="AN3287" s="42"/>
      <c r="AO3287" s="63" t="str">
        <f>IFERROR(__xludf.DUMMYFUNCTION("IF(ISBLANK(A3287),,IF(ISBLANK(S3287), A3287&amp;"";"", TEXTJOIN(CHAR(10), TRUE, A3287&amp;"";"", ARRAYFORMULA(VLOOKUP(SPLIT(S3287, "";"" &amp; CHAR(10)), $A:$AO, 41, FALSE)))))"),"rsf;
cbrf;
cbvf;
cucb;
dsc;
ocb;
rcbtm;
sct;")</f>
        <v>rsf;
cbrf;
cbvf;
cucb;
dsc;
ocb;
rcbtm;
sct;</v>
      </c>
      <c r="AP3287" s="89"/>
    </row>
    <row r="3288">
      <c r="A3288" s="151" t="str">
        <f>IFERROR(__xludf.DUMMYFUNCTION("""COMPUTED_VALUE"""),"cbrf")</f>
        <v>cbrf</v>
      </c>
      <c r="B3288" s="42" t="str">
        <f>IFERROR(__xludf.DUMMYFUNCTION("""COMPUTED_VALUE"""),"DHBA")</f>
        <v>DHBA</v>
      </c>
      <c r="C3288" s="42" t="str">
        <f>IFERROR(__xludf.DUMMYFUNCTION("""COMPUTED_VALUE"""),"cerebelloreticular fibers")</f>
        <v>cerebelloreticular fibers</v>
      </c>
      <c r="D3288" s="42">
        <f>IFERROR(__xludf.DUMMYFUNCTION("""COMPUTED_VALUE"""),3141.0)</f>
        <v>3141</v>
      </c>
      <c r="E3288" s="39" t="str">
        <f>IFERROR(__xludf.DUMMYFUNCTION("""COMPUTED_VALUE"""),"cerebelloreticular fibers")</f>
        <v>cerebelloreticular fibers</v>
      </c>
      <c r="F3288" s="9" t="str">
        <f>IFERROR(__xludf.DUMMYFUNCTION("""COMPUTED_VALUE"""),"Br")</f>
        <v>Br</v>
      </c>
      <c r="G3288" s="9" t="str">
        <f>IFERROR(__xludf.DUMMYFUNCTION("""COMPUTED_VALUE"""),"H")</f>
        <v>H</v>
      </c>
      <c r="H3288" s="9" t="str">
        <f>IFERROR(__xludf.DUMMYFUNCTION("""COMPUTED_VALUE"""),"HWM")</f>
        <v>HWM</v>
      </c>
      <c r="I3288" s="9" t="str">
        <f>IFERROR(__xludf.DUMMYFUNCTION("""COMPUTED_VALUE"""),"icp")</f>
        <v>icp</v>
      </c>
      <c r="J3288" s="9" t="str">
        <f>IFERROR(__xludf.DUMMYFUNCTION("""COMPUTED_VALUE"""),"rsf")</f>
        <v>rsf</v>
      </c>
      <c r="K3288" s="9" t="str">
        <f>IFERROR(__xludf.DUMMYFUNCTION("""COMPUTED_VALUE"""),"cbrf")</f>
        <v>cbrf</v>
      </c>
      <c r="L3288" s="9"/>
      <c r="M3288" s="9"/>
      <c r="N3288" s="9"/>
      <c r="O3288" s="9"/>
      <c r="P3288" s="9"/>
      <c r="Q3288" s="9"/>
      <c r="R3288" s="9"/>
      <c r="S3288" s="42"/>
      <c r="T3288" s="42"/>
      <c r="U3288" s="42"/>
      <c r="V3288" s="42"/>
      <c r="W3288" s="42"/>
      <c r="X3288" s="42"/>
      <c r="Y3288" s="42"/>
      <c r="Z3288" s="42"/>
      <c r="AA3288" s="42"/>
      <c r="AB3288" s="42" t="str">
        <f>IFERROR(__xludf.DUMMYFUNCTION("""COMPUTED_VALUE"""),"allen institute")</f>
        <v>allen institute</v>
      </c>
      <c r="AC3288" s="42" t="str">
        <f>IFERROR(__xludf.DUMMYFUNCTION("""COMPUTED_VALUE"""),"DHBA")</f>
        <v>DHBA</v>
      </c>
      <c r="AD3288" s="42"/>
      <c r="AE3288" s="42"/>
      <c r="AF3288" s="9"/>
      <c r="AG3288" s="9"/>
      <c r="AH3288" s="42"/>
      <c r="AI3288" s="42"/>
      <c r="AJ3288" s="42"/>
      <c r="AK3288" s="42"/>
      <c r="AL3288" s="42"/>
      <c r="AM3288" s="42"/>
      <c r="AN3288" s="42"/>
      <c r="AO3288" s="63" t="str">
        <f>IFERROR(__xludf.DUMMYFUNCTION("IF(ISBLANK(A3288),,IF(ISBLANK(S3288), A3288&amp;"";"", TEXTJOIN(CHAR(10), TRUE, A3288&amp;"";"", ARRAYFORMULA(VLOOKUP(SPLIT(S3288, "";"" &amp; CHAR(10)), $A:$AO, 41, FALSE)))))"),"cbrf;")</f>
        <v>cbrf;</v>
      </c>
      <c r="AP3288" s="89"/>
    </row>
    <row r="3289">
      <c r="A3289" s="151" t="str">
        <f>IFERROR(__xludf.DUMMYFUNCTION("""COMPUTED_VALUE"""),"cbvf")</f>
        <v>cbvf</v>
      </c>
      <c r="B3289" s="42" t="str">
        <f>IFERROR(__xludf.DUMMYFUNCTION("""COMPUTED_VALUE"""),"DHBA")</f>
        <v>DHBA</v>
      </c>
      <c r="C3289" s="42" t="str">
        <f>IFERROR(__xludf.DUMMYFUNCTION("""COMPUTED_VALUE"""),"cerebellovestibular fibers")</f>
        <v>cerebellovestibular fibers</v>
      </c>
      <c r="D3289" s="42">
        <f>IFERROR(__xludf.DUMMYFUNCTION("""COMPUTED_VALUE"""),3142.0)</f>
        <v>3142</v>
      </c>
      <c r="E3289" s="39" t="str">
        <f>IFERROR(__xludf.DUMMYFUNCTION("""COMPUTED_VALUE"""),"cerebellovestibular fibers")</f>
        <v>cerebellovestibular fibers</v>
      </c>
      <c r="F3289" s="9" t="str">
        <f>IFERROR(__xludf.DUMMYFUNCTION("""COMPUTED_VALUE"""),"Br")</f>
        <v>Br</v>
      </c>
      <c r="G3289" s="9" t="str">
        <f>IFERROR(__xludf.DUMMYFUNCTION("""COMPUTED_VALUE"""),"H")</f>
        <v>H</v>
      </c>
      <c r="H3289" s="9" t="str">
        <f>IFERROR(__xludf.DUMMYFUNCTION("""COMPUTED_VALUE"""),"HWM")</f>
        <v>HWM</v>
      </c>
      <c r="I3289" s="9" t="str">
        <f>IFERROR(__xludf.DUMMYFUNCTION("""COMPUTED_VALUE"""),"icp")</f>
        <v>icp</v>
      </c>
      <c r="J3289" s="9" t="str">
        <f>IFERROR(__xludf.DUMMYFUNCTION("""COMPUTED_VALUE"""),"rsf")</f>
        <v>rsf</v>
      </c>
      <c r="K3289" s="9" t="str">
        <f>IFERROR(__xludf.DUMMYFUNCTION("""COMPUTED_VALUE"""),"cbvf")</f>
        <v>cbvf</v>
      </c>
      <c r="L3289" s="9"/>
      <c r="M3289" s="9"/>
      <c r="N3289" s="9"/>
      <c r="O3289" s="9"/>
      <c r="P3289" s="9"/>
      <c r="Q3289" s="9"/>
      <c r="R3289" s="9"/>
      <c r="S3289" s="42"/>
      <c r="T3289" s="42"/>
      <c r="U3289" s="42"/>
      <c r="V3289" s="42"/>
      <c r="W3289" s="42"/>
      <c r="X3289" s="42"/>
      <c r="Y3289" s="42"/>
      <c r="Z3289" s="42"/>
      <c r="AA3289" s="42"/>
      <c r="AB3289" s="42" t="str">
        <f>IFERROR(__xludf.DUMMYFUNCTION("""COMPUTED_VALUE"""),"allen institute")</f>
        <v>allen institute</v>
      </c>
      <c r="AC3289" s="42" t="str">
        <f>IFERROR(__xludf.DUMMYFUNCTION("""COMPUTED_VALUE"""),"DHBA")</f>
        <v>DHBA</v>
      </c>
      <c r="AD3289" s="42"/>
      <c r="AE3289" s="42"/>
      <c r="AF3289" s="9"/>
      <c r="AG3289" s="9"/>
      <c r="AH3289" s="42"/>
      <c r="AI3289" s="42"/>
      <c r="AJ3289" s="42"/>
      <c r="AK3289" s="42"/>
      <c r="AL3289" s="42"/>
      <c r="AM3289" s="42"/>
      <c r="AN3289" s="42"/>
      <c r="AO3289" s="63" t="str">
        <f>IFERROR(__xludf.DUMMYFUNCTION("IF(ISBLANK(A3289),,IF(ISBLANK(S3289), A3289&amp;"";"", TEXTJOIN(CHAR(10), TRUE, A3289&amp;"";"", ARRAYFORMULA(VLOOKUP(SPLIT(S3289, "";"" &amp; CHAR(10)), $A:$AO, 41, FALSE)))))"),"cbvf;")</f>
        <v>cbvf;</v>
      </c>
      <c r="AP3289" s="89"/>
    </row>
    <row r="3290">
      <c r="A3290" s="151" t="str">
        <f>IFERROR(__xludf.DUMMYFUNCTION("""COMPUTED_VALUE"""),"cucb")</f>
        <v>cucb</v>
      </c>
      <c r="B3290" s="42" t="str">
        <f>IFERROR(__xludf.DUMMYFUNCTION("""COMPUTED_VALUE"""),"DHBA")</f>
        <v>DHBA</v>
      </c>
      <c r="C3290" s="42" t="str">
        <f>IFERROR(__xludf.DUMMYFUNCTION("""COMPUTED_VALUE"""),"cuneocerebellar tract")</f>
        <v>cuneocerebellar tract</v>
      </c>
      <c r="D3290" s="42">
        <f>IFERROR(__xludf.DUMMYFUNCTION("""COMPUTED_VALUE"""),3143.0)</f>
        <v>3143</v>
      </c>
      <c r="E3290" s="39" t="str">
        <f>IFERROR(__xludf.DUMMYFUNCTION("""COMPUTED_VALUE"""),"cuneocerebellar tract")</f>
        <v>cuneocerebellar tract</v>
      </c>
      <c r="F3290" s="9" t="str">
        <f>IFERROR(__xludf.DUMMYFUNCTION("""COMPUTED_VALUE"""),"Br")</f>
        <v>Br</v>
      </c>
      <c r="G3290" s="9" t="str">
        <f>IFERROR(__xludf.DUMMYFUNCTION("""COMPUTED_VALUE"""),"H")</f>
        <v>H</v>
      </c>
      <c r="H3290" s="9" t="str">
        <f>IFERROR(__xludf.DUMMYFUNCTION("""COMPUTED_VALUE"""),"HWM")</f>
        <v>HWM</v>
      </c>
      <c r="I3290" s="9" t="str">
        <f>IFERROR(__xludf.DUMMYFUNCTION("""COMPUTED_VALUE"""),"icp")</f>
        <v>icp</v>
      </c>
      <c r="J3290" s="9" t="str">
        <f>IFERROR(__xludf.DUMMYFUNCTION("""COMPUTED_VALUE"""),"rsf")</f>
        <v>rsf</v>
      </c>
      <c r="K3290" s="9" t="str">
        <f>IFERROR(__xludf.DUMMYFUNCTION("""COMPUTED_VALUE"""),"cucb")</f>
        <v>cucb</v>
      </c>
      <c r="L3290" s="9"/>
      <c r="M3290" s="9"/>
      <c r="N3290" s="9"/>
      <c r="O3290" s="9"/>
      <c r="P3290" s="9"/>
      <c r="Q3290" s="9"/>
      <c r="R3290" s="9"/>
      <c r="S3290" s="42"/>
      <c r="T3290" s="42"/>
      <c r="U3290" s="42"/>
      <c r="V3290" s="42"/>
      <c r="W3290" s="42"/>
      <c r="X3290" s="42"/>
      <c r="Y3290" s="42"/>
      <c r="Z3290" s="42"/>
      <c r="AA3290" s="42"/>
      <c r="AB3290" s="42" t="str">
        <f>IFERROR(__xludf.DUMMYFUNCTION("""COMPUTED_VALUE"""),"allen institute")</f>
        <v>allen institute</v>
      </c>
      <c r="AC3290" s="42" t="str">
        <f>IFERROR(__xludf.DUMMYFUNCTION("""COMPUTED_VALUE"""),"DHBA")</f>
        <v>DHBA</v>
      </c>
      <c r="AD3290" s="42"/>
      <c r="AE3290" s="42"/>
      <c r="AF3290" s="9"/>
      <c r="AG3290" s="9"/>
      <c r="AH3290" s="42"/>
      <c r="AI3290" s="42"/>
      <c r="AJ3290" s="42"/>
      <c r="AK3290" s="42"/>
      <c r="AL3290" s="42"/>
      <c r="AM3290" s="42"/>
      <c r="AN3290" s="42"/>
      <c r="AO3290" s="63" t="str">
        <f>IFERROR(__xludf.DUMMYFUNCTION("IF(ISBLANK(A3290),,IF(ISBLANK(S3290), A3290&amp;"";"", TEXTJOIN(CHAR(10), TRUE, A3290&amp;"";"", ARRAYFORMULA(VLOOKUP(SPLIT(S3290, "";"" &amp; CHAR(10)), $A:$AO, 41, FALSE)))))"),"cucb;")</f>
        <v>cucb;</v>
      </c>
      <c r="AP3290" s="89"/>
    </row>
    <row r="3291">
      <c r="A3291" s="151" t="str">
        <f>IFERROR(__xludf.DUMMYFUNCTION("""COMPUTED_VALUE"""),"dsc")</f>
        <v>dsc</v>
      </c>
      <c r="B3291" s="42" t="str">
        <f>IFERROR(__xludf.DUMMYFUNCTION("""COMPUTED_VALUE"""),"DHBA")</f>
        <v>DHBA</v>
      </c>
      <c r="C3291" s="42" t="str">
        <f>IFERROR(__xludf.DUMMYFUNCTION("""COMPUTED_VALUE"""),"dorsal spinocerebellar tract")</f>
        <v>dorsal spinocerebellar tract</v>
      </c>
      <c r="D3291" s="42">
        <f>IFERROR(__xludf.DUMMYFUNCTION("""COMPUTED_VALUE"""),3144.0)</f>
        <v>3144</v>
      </c>
      <c r="E3291" s="39" t="str">
        <f>IFERROR(__xludf.DUMMYFUNCTION("""COMPUTED_VALUE"""),"dorsal spinocerebellar tract")</f>
        <v>dorsal spinocerebellar tract</v>
      </c>
      <c r="F3291" s="9" t="str">
        <f>IFERROR(__xludf.DUMMYFUNCTION("""COMPUTED_VALUE"""),"Br")</f>
        <v>Br</v>
      </c>
      <c r="G3291" s="9" t="str">
        <f>IFERROR(__xludf.DUMMYFUNCTION("""COMPUTED_VALUE"""),"H")</f>
        <v>H</v>
      </c>
      <c r="H3291" s="9" t="str">
        <f>IFERROR(__xludf.DUMMYFUNCTION("""COMPUTED_VALUE"""),"HWM")</f>
        <v>HWM</v>
      </c>
      <c r="I3291" s="9" t="str">
        <f>IFERROR(__xludf.DUMMYFUNCTION("""COMPUTED_VALUE"""),"icp")</f>
        <v>icp</v>
      </c>
      <c r="J3291" s="9" t="str">
        <f>IFERROR(__xludf.DUMMYFUNCTION("""COMPUTED_VALUE"""),"rsf")</f>
        <v>rsf</v>
      </c>
      <c r="K3291" s="9" t="str">
        <f>IFERROR(__xludf.DUMMYFUNCTION("""COMPUTED_VALUE"""),"dsc")</f>
        <v>dsc</v>
      </c>
      <c r="L3291" s="9"/>
      <c r="M3291" s="9"/>
      <c r="N3291" s="9"/>
      <c r="O3291" s="9"/>
      <c r="P3291" s="9"/>
      <c r="Q3291" s="9"/>
      <c r="R3291" s="9"/>
      <c r="S3291" s="42"/>
      <c r="T3291" s="42"/>
      <c r="U3291" s="42"/>
      <c r="V3291" s="42"/>
      <c r="W3291" s="42"/>
      <c r="X3291" s="42"/>
      <c r="Y3291" s="42"/>
      <c r="Z3291" s="42"/>
      <c r="AA3291" s="42"/>
      <c r="AB3291" s="42" t="str">
        <f>IFERROR(__xludf.DUMMYFUNCTION("""COMPUTED_VALUE"""),"allen institute")</f>
        <v>allen institute</v>
      </c>
      <c r="AC3291" s="42" t="str">
        <f>IFERROR(__xludf.DUMMYFUNCTION("""COMPUTED_VALUE"""),"DHBA")</f>
        <v>DHBA</v>
      </c>
      <c r="AD3291" s="42"/>
      <c r="AE3291" s="42"/>
      <c r="AF3291" s="9"/>
      <c r="AG3291" s="9"/>
      <c r="AH3291" s="42"/>
      <c r="AI3291" s="42"/>
      <c r="AJ3291" s="42"/>
      <c r="AK3291" s="42"/>
      <c r="AL3291" s="42"/>
      <c r="AM3291" s="42"/>
      <c r="AN3291" s="42"/>
      <c r="AO3291" s="63" t="str">
        <f>IFERROR(__xludf.DUMMYFUNCTION("IF(ISBLANK(A3291),,IF(ISBLANK(S3291), A3291&amp;"";"", TEXTJOIN(CHAR(10), TRUE, A3291&amp;"";"", ARRAYFORMULA(VLOOKUP(SPLIT(S3291, "";"" &amp; CHAR(10)), $A:$AO, 41, FALSE)))))"),"dsc;")</f>
        <v>dsc;</v>
      </c>
      <c r="AP3291" s="89"/>
    </row>
    <row r="3292">
      <c r="A3292" s="151" t="str">
        <f>IFERROR(__xludf.DUMMYFUNCTION("""COMPUTED_VALUE"""),"ocb")</f>
        <v>ocb</v>
      </c>
      <c r="B3292" s="42" t="str">
        <f>IFERROR(__xludf.DUMMYFUNCTION("""COMPUTED_VALUE"""),"DHBA")</f>
        <v>DHBA</v>
      </c>
      <c r="C3292" s="42" t="str">
        <f>IFERROR(__xludf.DUMMYFUNCTION("""COMPUTED_VALUE"""),"olivocerebellar tract")</f>
        <v>olivocerebellar tract</v>
      </c>
      <c r="D3292" s="42">
        <f>IFERROR(__xludf.DUMMYFUNCTION("""COMPUTED_VALUE"""),3145.0)</f>
        <v>3145</v>
      </c>
      <c r="E3292" s="39" t="str">
        <f>IFERROR(__xludf.DUMMYFUNCTION("""COMPUTED_VALUE"""),"olivocerebellar tract")</f>
        <v>olivocerebellar tract</v>
      </c>
      <c r="F3292" s="9" t="str">
        <f>IFERROR(__xludf.DUMMYFUNCTION("""COMPUTED_VALUE"""),"Br")</f>
        <v>Br</v>
      </c>
      <c r="G3292" s="9" t="str">
        <f>IFERROR(__xludf.DUMMYFUNCTION("""COMPUTED_VALUE"""),"H")</f>
        <v>H</v>
      </c>
      <c r="H3292" s="9" t="str">
        <f>IFERROR(__xludf.DUMMYFUNCTION("""COMPUTED_VALUE"""),"HWM")</f>
        <v>HWM</v>
      </c>
      <c r="I3292" s="9" t="str">
        <f>IFERROR(__xludf.DUMMYFUNCTION("""COMPUTED_VALUE"""),"icp")</f>
        <v>icp</v>
      </c>
      <c r="J3292" s="9" t="str">
        <f>IFERROR(__xludf.DUMMYFUNCTION("""COMPUTED_VALUE"""),"rsf")</f>
        <v>rsf</v>
      </c>
      <c r="K3292" s="9" t="str">
        <f>IFERROR(__xludf.DUMMYFUNCTION("""COMPUTED_VALUE"""),"ocb")</f>
        <v>ocb</v>
      </c>
      <c r="L3292" s="9"/>
      <c r="M3292" s="9"/>
      <c r="N3292" s="9"/>
      <c r="O3292" s="9"/>
      <c r="P3292" s="9"/>
      <c r="Q3292" s="9"/>
      <c r="R3292" s="9"/>
      <c r="S3292" s="42"/>
      <c r="T3292" s="42"/>
      <c r="U3292" s="42"/>
      <c r="V3292" s="42"/>
      <c r="W3292" s="42"/>
      <c r="X3292" s="42"/>
      <c r="Y3292" s="42"/>
      <c r="Z3292" s="42"/>
      <c r="AA3292" s="42"/>
      <c r="AB3292" s="42" t="str">
        <f>IFERROR(__xludf.DUMMYFUNCTION("""COMPUTED_VALUE"""),"allen institute")</f>
        <v>allen institute</v>
      </c>
      <c r="AC3292" s="42" t="str">
        <f>IFERROR(__xludf.DUMMYFUNCTION("""COMPUTED_VALUE"""),"DHBA")</f>
        <v>DHBA</v>
      </c>
      <c r="AD3292" s="42"/>
      <c r="AE3292" s="42"/>
      <c r="AF3292" s="9"/>
      <c r="AG3292" s="9"/>
      <c r="AH3292" s="42"/>
      <c r="AI3292" s="42"/>
      <c r="AJ3292" s="42"/>
      <c r="AK3292" s="42"/>
      <c r="AL3292" s="42"/>
      <c r="AM3292" s="42"/>
      <c r="AN3292" s="42"/>
      <c r="AO3292" s="63" t="str">
        <f>IFERROR(__xludf.DUMMYFUNCTION("IF(ISBLANK(A3292),,IF(ISBLANK(S3292), A3292&amp;"";"", TEXTJOIN(CHAR(10), TRUE, A3292&amp;"";"", ARRAYFORMULA(VLOOKUP(SPLIT(S3292, "";"" &amp; CHAR(10)), $A:$AO, 41, FALSE)))))"),"ocb;")</f>
        <v>ocb;</v>
      </c>
      <c r="AP3292" s="89"/>
    </row>
    <row r="3293">
      <c r="A3293" s="151" t="str">
        <f>IFERROR(__xludf.DUMMYFUNCTION("""COMPUTED_VALUE"""),"rcbtm")</f>
        <v>rcbtm</v>
      </c>
      <c r="B3293" s="42" t="str">
        <f>IFERROR(__xludf.DUMMYFUNCTION("""COMPUTED_VALUE"""),"DHBA")</f>
        <v>DHBA</v>
      </c>
      <c r="C3293" s="42" t="str">
        <f>IFERROR(__xludf.DUMMYFUNCTION("""COMPUTED_VALUE"""),"reticulocerebellar tract, medullary division")</f>
        <v>reticulocerebellar tract, medullary division</v>
      </c>
      <c r="D3293" s="42">
        <f>IFERROR(__xludf.DUMMYFUNCTION("""COMPUTED_VALUE"""),3146.0)</f>
        <v>3146</v>
      </c>
      <c r="E3293" s="39" t="str">
        <f>IFERROR(__xludf.DUMMYFUNCTION("""COMPUTED_VALUE"""),"reticulocerebellar tract, medullary division")</f>
        <v>reticulocerebellar tract, medullary division</v>
      </c>
      <c r="F3293" s="9" t="str">
        <f>IFERROR(__xludf.DUMMYFUNCTION("""COMPUTED_VALUE"""),"Br")</f>
        <v>Br</v>
      </c>
      <c r="G3293" s="9" t="str">
        <f>IFERROR(__xludf.DUMMYFUNCTION("""COMPUTED_VALUE"""),"H")</f>
        <v>H</v>
      </c>
      <c r="H3293" s="9" t="str">
        <f>IFERROR(__xludf.DUMMYFUNCTION("""COMPUTED_VALUE"""),"HWM")</f>
        <v>HWM</v>
      </c>
      <c r="I3293" s="9" t="str">
        <f>IFERROR(__xludf.DUMMYFUNCTION("""COMPUTED_VALUE"""),"icp")</f>
        <v>icp</v>
      </c>
      <c r="J3293" s="9" t="str">
        <f>IFERROR(__xludf.DUMMYFUNCTION("""COMPUTED_VALUE"""),"rsf")</f>
        <v>rsf</v>
      </c>
      <c r="K3293" s="9" t="str">
        <f>IFERROR(__xludf.DUMMYFUNCTION("""COMPUTED_VALUE"""),"rcbtm")</f>
        <v>rcbtm</v>
      </c>
      <c r="L3293" s="9"/>
      <c r="M3293" s="9"/>
      <c r="N3293" s="9"/>
      <c r="O3293" s="9"/>
      <c r="P3293" s="9"/>
      <c r="Q3293" s="9"/>
      <c r="R3293" s="9"/>
      <c r="S3293" s="42"/>
      <c r="T3293" s="42"/>
      <c r="U3293" s="42"/>
      <c r="V3293" s="42"/>
      <c r="W3293" s="42"/>
      <c r="X3293" s="42"/>
      <c r="Y3293" s="42"/>
      <c r="Z3293" s="42"/>
      <c r="AA3293" s="42"/>
      <c r="AB3293" s="42" t="str">
        <f>IFERROR(__xludf.DUMMYFUNCTION("""COMPUTED_VALUE"""),"allen institute")</f>
        <v>allen institute</v>
      </c>
      <c r="AC3293" s="42" t="str">
        <f>IFERROR(__xludf.DUMMYFUNCTION("""COMPUTED_VALUE"""),"DHBA")</f>
        <v>DHBA</v>
      </c>
      <c r="AD3293" s="42"/>
      <c r="AE3293" s="42"/>
      <c r="AF3293" s="9"/>
      <c r="AG3293" s="9"/>
      <c r="AH3293" s="42"/>
      <c r="AI3293" s="42"/>
      <c r="AJ3293" s="42"/>
      <c r="AK3293" s="42"/>
      <c r="AL3293" s="42"/>
      <c r="AM3293" s="42"/>
      <c r="AN3293" s="42"/>
      <c r="AO3293" s="63" t="str">
        <f>IFERROR(__xludf.DUMMYFUNCTION("IF(ISBLANK(A3293),,IF(ISBLANK(S3293), A3293&amp;"";"", TEXTJOIN(CHAR(10), TRUE, A3293&amp;"";"", ARRAYFORMULA(VLOOKUP(SPLIT(S3293, "";"" &amp; CHAR(10)), $A:$AO, 41, FALSE)))))"),"rcbtm;")</f>
        <v>rcbtm;</v>
      </c>
      <c r="AP3293" s="89"/>
    </row>
    <row r="3294">
      <c r="A3294" s="151" t="str">
        <f>IFERROR(__xludf.DUMMYFUNCTION("""COMPUTED_VALUE"""),"sct")</f>
        <v>sct</v>
      </c>
      <c r="B3294" s="42" t="str">
        <f>IFERROR(__xludf.DUMMYFUNCTION("""COMPUTED_VALUE"""),"DHBA")</f>
        <v>DHBA</v>
      </c>
      <c r="C3294" s="42" t="str">
        <f>IFERROR(__xludf.DUMMYFUNCTION("""COMPUTED_VALUE"""),"spinocerebellar tract")</f>
        <v>spinocerebellar tract</v>
      </c>
      <c r="D3294" s="42">
        <f>IFERROR(__xludf.DUMMYFUNCTION("""COMPUTED_VALUE"""),3147.0)</f>
        <v>3147</v>
      </c>
      <c r="E3294" s="39" t="str">
        <f>IFERROR(__xludf.DUMMYFUNCTION("""COMPUTED_VALUE"""),"spinocerebellar tract")</f>
        <v>spinocerebellar tract</v>
      </c>
      <c r="F3294" s="9" t="str">
        <f>IFERROR(__xludf.DUMMYFUNCTION("""COMPUTED_VALUE"""),"Br")</f>
        <v>Br</v>
      </c>
      <c r="G3294" s="9" t="str">
        <f>IFERROR(__xludf.DUMMYFUNCTION("""COMPUTED_VALUE"""),"H")</f>
        <v>H</v>
      </c>
      <c r="H3294" s="9" t="str">
        <f>IFERROR(__xludf.DUMMYFUNCTION("""COMPUTED_VALUE"""),"HWM")</f>
        <v>HWM</v>
      </c>
      <c r="I3294" s="9" t="str">
        <f>IFERROR(__xludf.DUMMYFUNCTION("""COMPUTED_VALUE"""),"icp")</f>
        <v>icp</v>
      </c>
      <c r="J3294" s="9" t="str">
        <f>IFERROR(__xludf.DUMMYFUNCTION("""COMPUTED_VALUE"""),"rsf")</f>
        <v>rsf</v>
      </c>
      <c r="K3294" s="9" t="str">
        <f>IFERROR(__xludf.DUMMYFUNCTION("""COMPUTED_VALUE"""),"sct")</f>
        <v>sct</v>
      </c>
      <c r="L3294" s="9"/>
      <c r="M3294" s="9"/>
      <c r="N3294" s="9"/>
      <c r="O3294" s="9"/>
      <c r="P3294" s="9"/>
      <c r="Q3294" s="9"/>
      <c r="R3294" s="9"/>
      <c r="S3294" s="42"/>
      <c r="T3294" s="42"/>
      <c r="U3294" s="42"/>
      <c r="V3294" s="42"/>
      <c r="W3294" s="42"/>
      <c r="X3294" s="42"/>
      <c r="Y3294" s="42"/>
      <c r="Z3294" s="42"/>
      <c r="AA3294" s="42"/>
      <c r="AB3294" s="42" t="str">
        <f>IFERROR(__xludf.DUMMYFUNCTION("""COMPUTED_VALUE"""),"allen institute")</f>
        <v>allen institute</v>
      </c>
      <c r="AC3294" s="42" t="str">
        <f>IFERROR(__xludf.DUMMYFUNCTION("""COMPUTED_VALUE"""),"DHBA")</f>
        <v>DHBA</v>
      </c>
      <c r="AD3294" s="42"/>
      <c r="AE3294" s="42"/>
      <c r="AF3294" s="9"/>
      <c r="AG3294" s="9"/>
      <c r="AH3294" s="42"/>
      <c r="AI3294" s="42"/>
      <c r="AJ3294" s="42"/>
      <c r="AK3294" s="42"/>
      <c r="AL3294" s="42"/>
      <c r="AM3294" s="42"/>
      <c r="AN3294" s="42"/>
      <c r="AO3294" s="63" t="str">
        <f>IFERROR(__xludf.DUMMYFUNCTION("IF(ISBLANK(A3294),,IF(ISBLANK(S3294), A3294&amp;"";"", TEXTJOIN(CHAR(10), TRUE, A3294&amp;"";"", ARRAYFORMULA(VLOOKUP(SPLIT(S3294, "";"" &amp; CHAR(10)), $A:$AO, 41, FALSE)))))"),"sct;")</f>
        <v>sct;</v>
      </c>
      <c r="AP3294" s="89"/>
    </row>
    <row r="3295">
      <c r="A3295" s="151" t="str">
        <f>IFERROR(__xludf.DUMMYFUNCTION("""COMPUTED_VALUE"""),"jx")</f>
        <v>jx</v>
      </c>
      <c r="B3295" s="42" t="str">
        <f>IFERROR(__xludf.DUMMYFUNCTION("""COMPUTED_VALUE"""),"DHBA")</f>
        <v>DHBA</v>
      </c>
      <c r="C3295" s="42" t="str">
        <f>IFERROR(__xludf.DUMMYFUNCTION("""COMPUTED_VALUE"""),"juxtarestiform body")</f>
        <v>juxtarestiform body</v>
      </c>
      <c r="D3295" s="42">
        <f>IFERROR(__xludf.DUMMYFUNCTION("""COMPUTED_VALUE"""),3148.0)</f>
        <v>3148</v>
      </c>
      <c r="E3295" s="39" t="str">
        <f>IFERROR(__xludf.DUMMYFUNCTION("""COMPUTED_VALUE"""),"juxtarestiform body")</f>
        <v>juxtarestiform body</v>
      </c>
      <c r="F3295" s="9" t="str">
        <f>IFERROR(__xludf.DUMMYFUNCTION("""COMPUTED_VALUE"""),"Br")</f>
        <v>Br</v>
      </c>
      <c r="G3295" s="9" t="str">
        <f>IFERROR(__xludf.DUMMYFUNCTION("""COMPUTED_VALUE"""),"H")</f>
        <v>H</v>
      </c>
      <c r="H3295" s="9" t="str">
        <f>IFERROR(__xludf.DUMMYFUNCTION("""COMPUTED_VALUE"""),"HWM")</f>
        <v>HWM</v>
      </c>
      <c r="I3295" s="9" t="str">
        <f>IFERROR(__xludf.DUMMYFUNCTION("""COMPUTED_VALUE"""),"icp")</f>
        <v>icp</v>
      </c>
      <c r="J3295" s="9" t="str">
        <f>IFERROR(__xludf.DUMMYFUNCTION("""COMPUTED_VALUE"""),"jx")</f>
        <v>jx</v>
      </c>
      <c r="K3295" s="9"/>
      <c r="L3295" s="9"/>
      <c r="M3295" s="9"/>
      <c r="N3295" s="9"/>
      <c r="O3295" s="9"/>
      <c r="P3295" s="9"/>
      <c r="Q3295" s="9"/>
      <c r="R3295" s="9"/>
      <c r="S3295" s="42" t="str">
        <f>IFERROR(__xludf.DUMMYFUNCTION("""COMPUTED_VALUE"""),"fasr;
fasv;
tgcb;
vecb")</f>
        <v>fasr;
fasv;
tgcb;
vecb</v>
      </c>
      <c r="T3295" s="42"/>
      <c r="U3295" s="42" t="b">
        <f>IFERROR(__xludf.DUMMYFUNCTION("""COMPUTED_VALUE"""),FALSE)</f>
        <v>0</v>
      </c>
      <c r="V3295" s="42"/>
      <c r="W3295" s="42"/>
      <c r="X3295" s="42"/>
      <c r="Y3295" s="42"/>
      <c r="Z3295" s="42"/>
      <c r="AA3295" s="42"/>
      <c r="AB3295" s="42" t="str">
        <f>IFERROR(__xludf.DUMMYFUNCTION("""COMPUTED_VALUE"""),"allen institute")</f>
        <v>allen institute</v>
      </c>
      <c r="AC3295" s="42" t="str">
        <f>IFERROR(__xludf.DUMMYFUNCTION("""COMPUTED_VALUE"""),"DHBA")</f>
        <v>DHBA</v>
      </c>
      <c r="AD3295" s="42"/>
      <c r="AE3295" s="42"/>
      <c r="AF3295" s="9"/>
      <c r="AG3295" s="9"/>
      <c r="AH3295" s="42"/>
      <c r="AI3295" s="42"/>
      <c r="AJ3295" s="42"/>
      <c r="AK3295" s="42"/>
      <c r="AL3295" s="42"/>
      <c r="AM3295" s="42"/>
      <c r="AN3295" s="42"/>
      <c r="AO3295" s="63" t="str">
        <f>IFERROR(__xludf.DUMMYFUNCTION("IF(ISBLANK(A3295),,IF(ISBLANK(S3295), A3295&amp;"";"", TEXTJOIN(CHAR(10), TRUE, A3295&amp;"";"", ARRAYFORMULA(VLOOKUP(SPLIT(S3295, "";"" &amp; CHAR(10)), $A:$AO, 41, FALSE)))))"),"jx;
fasr;
fasv;
tgcb;
vecb;")</f>
        <v>jx;
fasr;
fasv;
tgcb;
vecb;</v>
      </c>
      <c r="AP3295" s="89"/>
    </row>
    <row r="3296">
      <c r="A3296" s="151" t="str">
        <f>IFERROR(__xludf.DUMMYFUNCTION("""COMPUTED_VALUE"""),"fasr")</f>
        <v>fasr</v>
      </c>
      <c r="B3296" s="42" t="str">
        <f>IFERROR(__xludf.DUMMYFUNCTION("""COMPUTED_VALUE"""),"DHBA")</f>
        <v>DHBA</v>
      </c>
      <c r="C3296" s="42" t="str">
        <f>IFERROR(__xludf.DUMMYFUNCTION("""COMPUTED_VALUE"""),"fastigial reticular tract")</f>
        <v>fastigial reticular tract</v>
      </c>
      <c r="D3296" s="42">
        <f>IFERROR(__xludf.DUMMYFUNCTION("""COMPUTED_VALUE"""),3149.0)</f>
        <v>3149</v>
      </c>
      <c r="E3296" s="39" t="str">
        <f>IFERROR(__xludf.DUMMYFUNCTION("""COMPUTED_VALUE"""),"fastigial reticular tract")</f>
        <v>fastigial reticular tract</v>
      </c>
      <c r="F3296" s="9" t="str">
        <f>IFERROR(__xludf.DUMMYFUNCTION("""COMPUTED_VALUE"""),"Br")</f>
        <v>Br</v>
      </c>
      <c r="G3296" s="9" t="str">
        <f>IFERROR(__xludf.DUMMYFUNCTION("""COMPUTED_VALUE"""),"H")</f>
        <v>H</v>
      </c>
      <c r="H3296" s="9" t="str">
        <f>IFERROR(__xludf.DUMMYFUNCTION("""COMPUTED_VALUE"""),"HWM")</f>
        <v>HWM</v>
      </c>
      <c r="I3296" s="9" t="str">
        <f>IFERROR(__xludf.DUMMYFUNCTION("""COMPUTED_VALUE"""),"icp")</f>
        <v>icp</v>
      </c>
      <c r="J3296" s="9" t="str">
        <f>IFERROR(__xludf.DUMMYFUNCTION("""COMPUTED_VALUE"""),"jx")</f>
        <v>jx</v>
      </c>
      <c r="K3296" s="9" t="str">
        <f>IFERROR(__xludf.DUMMYFUNCTION("""COMPUTED_VALUE"""),"fasr")</f>
        <v>fasr</v>
      </c>
      <c r="L3296" s="9"/>
      <c r="M3296" s="9"/>
      <c r="N3296" s="9"/>
      <c r="O3296" s="9"/>
      <c r="P3296" s="9"/>
      <c r="Q3296" s="9"/>
      <c r="R3296" s="9"/>
      <c r="S3296" s="42"/>
      <c r="T3296" s="42"/>
      <c r="U3296" s="42"/>
      <c r="V3296" s="42"/>
      <c r="W3296" s="42"/>
      <c r="X3296" s="42"/>
      <c r="Y3296" s="42"/>
      <c r="Z3296" s="42"/>
      <c r="AA3296" s="42"/>
      <c r="AB3296" s="42" t="str">
        <f>IFERROR(__xludf.DUMMYFUNCTION("""COMPUTED_VALUE"""),"allen institute")</f>
        <v>allen institute</v>
      </c>
      <c r="AC3296" s="42" t="str">
        <f>IFERROR(__xludf.DUMMYFUNCTION("""COMPUTED_VALUE"""),"DHBA")</f>
        <v>DHBA</v>
      </c>
      <c r="AD3296" s="42"/>
      <c r="AE3296" s="42"/>
      <c r="AF3296" s="9"/>
      <c r="AG3296" s="9"/>
      <c r="AH3296" s="42"/>
      <c r="AI3296" s="42"/>
      <c r="AJ3296" s="42"/>
      <c r="AK3296" s="42"/>
      <c r="AL3296" s="42"/>
      <c r="AM3296" s="42"/>
      <c r="AN3296" s="42"/>
      <c r="AO3296" s="63" t="str">
        <f>IFERROR(__xludf.DUMMYFUNCTION("IF(ISBLANK(A3296),,IF(ISBLANK(S3296), A3296&amp;"";"", TEXTJOIN(CHAR(10), TRUE, A3296&amp;"";"", ARRAYFORMULA(VLOOKUP(SPLIT(S3296, "";"" &amp; CHAR(10)), $A:$AO, 41, FALSE)))))"),"fasr;")</f>
        <v>fasr;</v>
      </c>
      <c r="AP3296" s="89"/>
    </row>
    <row r="3297">
      <c r="A3297" s="151" t="str">
        <f>IFERROR(__xludf.DUMMYFUNCTION("""COMPUTED_VALUE"""),"fasv")</f>
        <v>fasv</v>
      </c>
      <c r="B3297" s="42" t="str">
        <f>IFERROR(__xludf.DUMMYFUNCTION("""COMPUTED_VALUE"""),"DHBA")</f>
        <v>DHBA</v>
      </c>
      <c r="C3297" s="42" t="str">
        <f>IFERROR(__xludf.DUMMYFUNCTION("""COMPUTED_VALUE"""),"fastigial vestibular tract")</f>
        <v>fastigial vestibular tract</v>
      </c>
      <c r="D3297" s="42">
        <f>IFERROR(__xludf.DUMMYFUNCTION("""COMPUTED_VALUE"""),3150.0)</f>
        <v>3150</v>
      </c>
      <c r="E3297" s="39" t="str">
        <f>IFERROR(__xludf.DUMMYFUNCTION("""COMPUTED_VALUE"""),"fastigial vestibular tract")</f>
        <v>fastigial vestibular tract</v>
      </c>
      <c r="F3297" s="9" t="str">
        <f>IFERROR(__xludf.DUMMYFUNCTION("""COMPUTED_VALUE"""),"Br")</f>
        <v>Br</v>
      </c>
      <c r="G3297" s="9" t="str">
        <f>IFERROR(__xludf.DUMMYFUNCTION("""COMPUTED_VALUE"""),"H")</f>
        <v>H</v>
      </c>
      <c r="H3297" s="9" t="str">
        <f>IFERROR(__xludf.DUMMYFUNCTION("""COMPUTED_VALUE"""),"HWM")</f>
        <v>HWM</v>
      </c>
      <c r="I3297" s="9" t="str">
        <f>IFERROR(__xludf.DUMMYFUNCTION("""COMPUTED_VALUE"""),"icp")</f>
        <v>icp</v>
      </c>
      <c r="J3297" s="9" t="str">
        <f>IFERROR(__xludf.DUMMYFUNCTION("""COMPUTED_VALUE"""),"jx")</f>
        <v>jx</v>
      </c>
      <c r="K3297" s="9" t="str">
        <f>IFERROR(__xludf.DUMMYFUNCTION("""COMPUTED_VALUE"""),"fasv")</f>
        <v>fasv</v>
      </c>
      <c r="L3297" s="9"/>
      <c r="M3297" s="9"/>
      <c r="N3297" s="9"/>
      <c r="O3297" s="9"/>
      <c r="P3297" s="9"/>
      <c r="Q3297" s="9"/>
      <c r="R3297" s="9"/>
      <c r="S3297" s="42"/>
      <c r="T3297" s="42"/>
      <c r="U3297" s="42"/>
      <c r="V3297" s="42"/>
      <c r="W3297" s="42"/>
      <c r="X3297" s="42"/>
      <c r="Y3297" s="42"/>
      <c r="Z3297" s="42"/>
      <c r="AA3297" s="42"/>
      <c r="AB3297" s="42" t="str">
        <f>IFERROR(__xludf.DUMMYFUNCTION("""COMPUTED_VALUE"""),"allen institute")</f>
        <v>allen institute</v>
      </c>
      <c r="AC3297" s="42" t="str">
        <f>IFERROR(__xludf.DUMMYFUNCTION("""COMPUTED_VALUE"""),"DHBA")</f>
        <v>DHBA</v>
      </c>
      <c r="AD3297" s="42"/>
      <c r="AE3297" s="42"/>
      <c r="AF3297" s="9"/>
      <c r="AG3297" s="9"/>
      <c r="AH3297" s="42"/>
      <c r="AI3297" s="42"/>
      <c r="AJ3297" s="42"/>
      <c r="AK3297" s="42"/>
      <c r="AL3297" s="42"/>
      <c r="AM3297" s="42"/>
      <c r="AN3297" s="42"/>
      <c r="AO3297" s="63" t="str">
        <f>IFERROR(__xludf.DUMMYFUNCTION("IF(ISBLANK(A3297),,IF(ISBLANK(S3297), A3297&amp;"";"", TEXTJOIN(CHAR(10), TRUE, A3297&amp;"";"", ARRAYFORMULA(VLOOKUP(SPLIT(S3297, "";"" &amp; CHAR(10)), $A:$AO, 41, FALSE)))))"),"fasv;")</f>
        <v>fasv;</v>
      </c>
      <c r="AP3297" s="89"/>
    </row>
    <row r="3298">
      <c r="A3298" s="151" t="str">
        <f>IFERROR(__xludf.DUMMYFUNCTION("""COMPUTED_VALUE"""),"tgcb")</f>
        <v>tgcb</v>
      </c>
      <c r="B3298" s="42" t="str">
        <f>IFERROR(__xludf.DUMMYFUNCTION("""COMPUTED_VALUE"""),"DHBA")</f>
        <v>DHBA</v>
      </c>
      <c r="C3298" s="42" t="str">
        <f>IFERROR(__xludf.DUMMYFUNCTION("""COMPUTED_VALUE"""),"trigeminocerebellar tract")</f>
        <v>trigeminocerebellar tract</v>
      </c>
      <c r="D3298" s="42">
        <f>IFERROR(__xludf.DUMMYFUNCTION("""COMPUTED_VALUE"""),3151.0)</f>
        <v>3151</v>
      </c>
      <c r="E3298" s="39" t="str">
        <f>IFERROR(__xludf.DUMMYFUNCTION("""COMPUTED_VALUE"""),"trigeminocerebellar tract")</f>
        <v>trigeminocerebellar tract</v>
      </c>
      <c r="F3298" s="9" t="str">
        <f>IFERROR(__xludf.DUMMYFUNCTION("""COMPUTED_VALUE"""),"Br")</f>
        <v>Br</v>
      </c>
      <c r="G3298" s="9" t="str">
        <f>IFERROR(__xludf.DUMMYFUNCTION("""COMPUTED_VALUE"""),"H")</f>
        <v>H</v>
      </c>
      <c r="H3298" s="9" t="str">
        <f>IFERROR(__xludf.DUMMYFUNCTION("""COMPUTED_VALUE"""),"HWM")</f>
        <v>HWM</v>
      </c>
      <c r="I3298" s="9" t="str">
        <f>IFERROR(__xludf.DUMMYFUNCTION("""COMPUTED_VALUE"""),"icp")</f>
        <v>icp</v>
      </c>
      <c r="J3298" s="9" t="str">
        <f>IFERROR(__xludf.DUMMYFUNCTION("""COMPUTED_VALUE"""),"jx")</f>
        <v>jx</v>
      </c>
      <c r="K3298" s="9" t="str">
        <f>IFERROR(__xludf.DUMMYFUNCTION("""COMPUTED_VALUE"""),"tgcb")</f>
        <v>tgcb</v>
      </c>
      <c r="L3298" s="9"/>
      <c r="M3298" s="9"/>
      <c r="N3298" s="9"/>
      <c r="O3298" s="9"/>
      <c r="P3298" s="9"/>
      <c r="Q3298" s="9"/>
      <c r="R3298" s="9"/>
      <c r="S3298" s="42"/>
      <c r="T3298" s="42"/>
      <c r="U3298" s="42"/>
      <c r="V3298" s="42"/>
      <c r="W3298" s="42"/>
      <c r="X3298" s="42"/>
      <c r="Y3298" s="42"/>
      <c r="Z3298" s="42"/>
      <c r="AA3298" s="42"/>
      <c r="AB3298" s="42" t="str">
        <f>IFERROR(__xludf.DUMMYFUNCTION("""COMPUTED_VALUE"""),"allen institute")</f>
        <v>allen institute</v>
      </c>
      <c r="AC3298" s="42" t="str">
        <f>IFERROR(__xludf.DUMMYFUNCTION("""COMPUTED_VALUE"""),"DHBA")</f>
        <v>DHBA</v>
      </c>
      <c r="AD3298" s="42"/>
      <c r="AE3298" s="42"/>
      <c r="AF3298" s="9"/>
      <c r="AG3298" s="9"/>
      <c r="AH3298" s="42"/>
      <c r="AI3298" s="42"/>
      <c r="AJ3298" s="42"/>
      <c r="AK3298" s="42"/>
      <c r="AL3298" s="42"/>
      <c r="AM3298" s="42"/>
      <c r="AN3298" s="42"/>
      <c r="AO3298" s="63" t="str">
        <f>IFERROR(__xludf.DUMMYFUNCTION("IF(ISBLANK(A3298),,IF(ISBLANK(S3298), A3298&amp;"";"", TEXTJOIN(CHAR(10), TRUE, A3298&amp;"";"", ARRAYFORMULA(VLOOKUP(SPLIT(S3298, "";"" &amp; CHAR(10)), $A:$AO, 41, FALSE)))))"),"tgcb;")</f>
        <v>tgcb;</v>
      </c>
      <c r="AP3298" s="89"/>
    </row>
    <row r="3299">
      <c r="A3299" s="151" t="str">
        <f>IFERROR(__xludf.DUMMYFUNCTION("""COMPUTED_VALUE"""),"vecb")</f>
        <v>vecb</v>
      </c>
      <c r="B3299" s="42" t="str">
        <f>IFERROR(__xludf.DUMMYFUNCTION("""COMPUTED_VALUE"""),"DHBA")</f>
        <v>DHBA</v>
      </c>
      <c r="C3299" s="42" t="str">
        <f>IFERROR(__xludf.DUMMYFUNCTION("""COMPUTED_VALUE"""),"vestibulocerebellar tract")</f>
        <v>vestibulocerebellar tract</v>
      </c>
      <c r="D3299" s="42">
        <f>IFERROR(__xludf.DUMMYFUNCTION("""COMPUTED_VALUE"""),3152.0)</f>
        <v>3152</v>
      </c>
      <c r="E3299" s="39" t="str">
        <f>IFERROR(__xludf.DUMMYFUNCTION("""COMPUTED_VALUE"""),"vestibulocerebellar tract")</f>
        <v>vestibulocerebellar tract</v>
      </c>
      <c r="F3299" s="9" t="str">
        <f>IFERROR(__xludf.DUMMYFUNCTION("""COMPUTED_VALUE"""),"Br")</f>
        <v>Br</v>
      </c>
      <c r="G3299" s="9" t="str">
        <f>IFERROR(__xludf.DUMMYFUNCTION("""COMPUTED_VALUE"""),"H")</f>
        <v>H</v>
      </c>
      <c r="H3299" s="9" t="str">
        <f>IFERROR(__xludf.DUMMYFUNCTION("""COMPUTED_VALUE"""),"HWM")</f>
        <v>HWM</v>
      </c>
      <c r="I3299" s="9" t="str">
        <f>IFERROR(__xludf.DUMMYFUNCTION("""COMPUTED_VALUE"""),"icp")</f>
        <v>icp</v>
      </c>
      <c r="J3299" s="9" t="str">
        <f>IFERROR(__xludf.DUMMYFUNCTION("""COMPUTED_VALUE"""),"jx")</f>
        <v>jx</v>
      </c>
      <c r="K3299" s="9" t="str">
        <f>IFERROR(__xludf.DUMMYFUNCTION("""COMPUTED_VALUE"""),"vecb")</f>
        <v>vecb</v>
      </c>
      <c r="L3299" s="9"/>
      <c r="M3299" s="9"/>
      <c r="N3299" s="9"/>
      <c r="O3299" s="9"/>
      <c r="P3299" s="9"/>
      <c r="Q3299" s="9"/>
      <c r="R3299" s="9"/>
      <c r="S3299" s="42"/>
      <c r="T3299" s="42"/>
      <c r="U3299" s="42"/>
      <c r="V3299" s="42"/>
      <c r="W3299" s="42"/>
      <c r="X3299" s="42"/>
      <c r="Y3299" s="42"/>
      <c r="Z3299" s="42"/>
      <c r="AA3299" s="42"/>
      <c r="AB3299" s="42" t="str">
        <f>IFERROR(__xludf.DUMMYFUNCTION("""COMPUTED_VALUE"""),"allen institute")</f>
        <v>allen institute</v>
      </c>
      <c r="AC3299" s="42" t="str">
        <f>IFERROR(__xludf.DUMMYFUNCTION("""COMPUTED_VALUE"""),"DHBA")</f>
        <v>DHBA</v>
      </c>
      <c r="AD3299" s="42"/>
      <c r="AE3299" s="42"/>
      <c r="AF3299" s="9"/>
      <c r="AG3299" s="9"/>
      <c r="AH3299" s="42"/>
      <c r="AI3299" s="42"/>
      <c r="AJ3299" s="42"/>
      <c r="AK3299" s="42"/>
      <c r="AL3299" s="42"/>
      <c r="AM3299" s="42"/>
      <c r="AN3299" s="42"/>
      <c r="AO3299" s="63" t="str">
        <f>IFERROR(__xludf.DUMMYFUNCTION("IF(ISBLANK(A3299),,IF(ISBLANK(S3299), A3299&amp;"";"", TEXTJOIN(CHAR(10), TRUE, A3299&amp;"";"", ARRAYFORMULA(VLOOKUP(SPLIT(S3299, "";"" &amp; CHAR(10)), $A:$AO, 41, FALSE)))))"),"vecb;")</f>
        <v>vecb;</v>
      </c>
      <c r="AP3299" s="89"/>
    </row>
    <row r="3300">
      <c r="A3300" s="151" t="str">
        <f>IFERROR(__xludf.DUMMYFUNCTION("""COMPUTED_VALUE"""),"ias")</f>
        <v>ias</v>
      </c>
      <c r="B3300" s="42" t="str">
        <f>IFERROR(__xludf.DUMMYFUNCTION("""COMPUTED_VALUE"""),"DHBA")</f>
        <v>DHBA</v>
      </c>
      <c r="C3300" s="42" t="str">
        <f>IFERROR(__xludf.DUMMYFUNCTION("""COMPUTED_VALUE"""),"intermediate acoustic stria")</f>
        <v>intermediate acoustic stria</v>
      </c>
      <c r="D3300" s="42">
        <f>IFERROR(__xludf.DUMMYFUNCTION("""COMPUTED_VALUE"""),3153.0)</f>
        <v>3153</v>
      </c>
      <c r="E3300" s="39" t="str">
        <f>IFERROR(__xludf.DUMMYFUNCTION("""COMPUTED_VALUE"""),"intermediate acoustic stria")</f>
        <v>intermediate acoustic stria</v>
      </c>
      <c r="F3300" s="9" t="str">
        <f>IFERROR(__xludf.DUMMYFUNCTION("""COMPUTED_VALUE"""),"Br")</f>
        <v>Br</v>
      </c>
      <c r="G3300" s="9" t="str">
        <f>IFERROR(__xludf.DUMMYFUNCTION("""COMPUTED_VALUE"""),"H")</f>
        <v>H</v>
      </c>
      <c r="H3300" s="9" t="str">
        <f>IFERROR(__xludf.DUMMYFUNCTION("""COMPUTED_VALUE"""),"HWM")</f>
        <v>HWM</v>
      </c>
      <c r="I3300" s="9" t="str">
        <f>IFERROR(__xludf.DUMMYFUNCTION("""COMPUTED_VALUE"""),"ias")</f>
        <v>ias</v>
      </c>
      <c r="J3300" s="9"/>
      <c r="K3300" s="9"/>
      <c r="L3300" s="9"/>
      <c r="M3300" s="9"/>
      <c r="N3300" s="9"/>
      <c r="O3300" s="9"/>
      <c r="P3300" s="9"/>
      <c r="Q3300" s="9"/>
      <c r="R3300" s="9"/>
      <c r="S3300" s="42"/>
      <c r="T3300" s="42"/>
      <c r="U3300" s="42"/>
      <c r="V3300" s="42"/>
      <c r="W3300" s="42"/>
      <c r="X3300" s="42"/>
      <c r="Y3300" s="42"/>
      <c r="Z3300" s="42"/>
      <c r="AA3300" s="42"/>
      <c r="AB3300" s="42" t="str">
        <f>IFERROR(__xludf.DUMMYFUNCTION("""COMPUTED_VALUE"""),"allen institute")</f>
        <v>allen institute</v>
      </c>
      <c r="AC3300" s="42" t="str">
        <f>IFERROR(__xludf.DUMMYFUNCTION("""COMPUTED_VALUE"""),"DHBA")</f>
        <v>DHBA</v>
      </c>
      <c r="AD3300" s="42"/>
      <c r="AE3300" s="42"/>
      <c r="AF3300" s="9"/>
      <c r="AG3300" s="9"/>
      <c r="AH3300" s="42"/>
      <c r="AI3300" s="42"/>
      <c r="AJ3300" s="42"/>
      <c r="AK3300" s="42"/>
      <c r="AL3300" s="42"/>
      <c r="AM3300" s="42"/>
      <c r="AN3300" s="42"/>
      <c r="AO3300" s="63" t="str">
        <f>IFERROR(__xludf.DUMMYFUNCTION("IF(ISBLANK(A3300),,IF(ISBLANK(S3300), A3300&amp;"";"", TEXTJOIN(CHAR(10), TRUE, A3300&amp;"";"", ARRAYFORMULA(VLOOKUP(SPLIT(S3300, "";"" &amp; CHAR(10)), $A:$AO, 41, FALSE)))))"),"ias;")</f>
        <v>ias;</v>
      </c>
      <c r="AP3300" s="89"/>
    </row>
    <row r="3301">
      <c r="A3301" s="151" t="str">
        <f>IFERROR(__xludf.DUMMYFUNCTION("""COMPUTED_VALUE"""),"iaf")</f>
        <v>iaf</v>
      </c>
      <c r="B3301" s="42" t="str">
        <f>IFERROR(__xludf.DUMMYFUNCTION("""COMPUTED_VALUE"""),"DHBA")</f>
        <v>DHBA</v>
      </c>
      <c r="C3301" s="42" t="str">
        <f>IFERROR(__xludf.DUMMYFUNCTION("""COMPUTED_VALUE"""),"internal arcuate fibers")</f>
        <v>internal arcuate fibers</v>
      </c>
      <c r="D3301" s="42">
        <f>IFERROR(__xludf.DUMMYFUNCTION("""COMPUTED_VALUE"""),3154.0)</f>
        <v>3154</v>
      </c>
      <c r="E3301" s="39" t="str">
        <f>IFERROR(__xludf.DUMMYFUNCTION("""COMPUTED_VALUE"""),"internal arcuate fibers")</f>
        <v>internal arcuate fibers</v>
      </c>
      <c r="F3301" s="9" t="str">
        <f>IFERROR(__xludf.DUMMYFUNCTION("""COMPUTED_VALUE"""),"Br")</f>
        <v>Br</v>
      </c>
      <c r="G3301" s="9" t="str">
        <f>IFERROR(__xludf.DUMMYFUNCTION("""COMPUTED_VALUE"""),"H")</f>
        <v>H</v>
      </c>
      <c r="H3301" s="9" t="str">
        <f>IFERROR(__xludf.DUMMYFUNCTION("""COMPUTED_VALUE"""),"HWM")</f>
        <v>HWM</v>
      </c>
      <c r="I3301" s="9" t="str">
        <f>IFERROR(__xludf.DUMMYFUNCTION("""COMPUTED_VALUE"""),"iaf")</f>
        <v>iaf</v>
      </c>
      <c r="J3301" s="9"/>
      <c r="K3301" s="9"/>
      <c r="L3301" s="9"/>
      <c r="M3301" s="9"/>
      <c r="N3301" s="9"/>
      <c r="O3301" s="9"/>
      <c r="P3301" s="9"/>
      <c r="Q3301" s="9"/>
      <c r="R3301" s="9"/>
      <c r="S3301" s="42"/>
      <c r="T3301" s="42"/>
      <c r="U3301" s="42"/>
      <c r="V3301" s="42"/>
      <c r="W3301" s="42"/>
      <c r="X3301" s="42"/>
      <c r="Y3301" s="42"/>
      <c r="Z3301" s="42"/>
      <c r="AA3301" s="42"/>
      <c r="AB3301" s="42" t="str">
        <f>IFERROR(__xludf.DUMMYFUNCTION("""COMPUTED_VALUE"""),"allen institute")</f>
        <v>allen institute</v>
      </c>
      <c r="AC3301" s="42" t="str">
        <f>IFERROR(__xludf.DUMMYFUNCTION("""COMPUTED_VALUE"""),"DHBA")</f>
        <v>DHBA</v>
      </c>
      <c r="AD3301" s="42"/>
      <c r="AE3301" s="42"/>
      <c r="AF3301" s="9"/>
      <c r="AG3301" s="9"/>
      <c r="AH3301" s="42"/>
      <c r="AI3301" s="42"/>
      <c r="AJ3301" s="42"/>
      <c r="AK3301" s="42"/>
      <c r="AL3301" s="42"/>
      <c r="AM3301" s="42"/>
      <c r="AN3301" s="42"/>
      <c r="AO3301" s="63" t="str">
        <f>IFERROR(__xludf.DUMMYFUNCTION("IF(ISBLANK(A3301),,IF(ISBLANK(S3301), A3301&amp;"";"", TEXTJOIN(CHAR(10), TRUE, A3301&amp;"";"", ARRAYFORMULA(VLOOKUP(SPLIT(S3301, "";"" &amp; CHAR(10)), $A:$AO, 41, FALSE)))))"),"iaf;")</f>
        <v>iaf;</v>
      </c>
      <c r="AP3301" s="89"/>
    </row>
    <row r="3302">
      <c r="A3302" s="151" t="str">
        <f>IFERROR(__xludf.DUMMYFUNCTION("""COMPUTED_VALUE"""),"issp")</f>
        <v>issp</v>
      </c>
      <c r="B3302" s="42" t="str">
        <f>IFERROR(__xludf.DUMMYFUNCTION("""COMPUTED_VALUE"""),"DHBA")</f>
        <v>DHBA</v>
      </c>
      <c r="C3302" s="42" t="str">
        <f>IFERROR(__xludf.DUMMYFUNCTION("""COMPUTED_VALUE"""),"interstitiospinal tract")</f>
        <v>interstitiospinal tract</v>
      </c>
      <c r="D3302" s="42">
        <f>IFERROR(__xludf.DUMMYFUNCTION("""COMPUTED_VALUE"""),3155.0)</f>
        <v>3155</v>
      </c>
      <c r="E3302" s="39" t="str">
        <f>IFERROR(__xludf.DUMMYFUNCTION("""COMPUTED_VALUE"""),"interstitiospinal tract")</f>
        <v>interstitiospinal tract</v>
      </c>
      <c r="F3302" s="9" t="str">
        <f>IFERROR(__xludf.DUMMYFUNCTION("""COMPUTED_VALUE"""),"Br")</f>
        <v>Br</v>
      </c>
      <c r="G3302" s="9" t="str">
        <f>IFERROR(__xludf.DUMMYFUNCTION("""COMPUTED_VALUE"""),"H")</f>
        <v>H</v>
      </c>
      <c r="H3302" s="9" t="str">
        <f>IFERROR(__xludf.DUMMYFUNCTION("""COMPUTED_VALUE"""),"HWM")</f>
        <v>HWM</v>
      </c>
      <c r="I3302" s="9" t="str">
        <f>IFERROR(__xludf.DUMMYFUNCTION("""COMPUTED_VALUE"""),"issp")</f>
        <v>issp</v>
      </c>
      <c r="J3302" s="9"/>
      <c r="K3302" s="9"/>
      <c r="L3302" s="9"/>
      <c r="M3302" s="9"/>
      <c r="N3302" s="9"/>
      <c r="O3302" s="9"/>
      <c r="P3302" s="9"/>
      <c r="Q3302" s="9"/>
      <c r="R3302" s="9"/>
      <c r="S3302" s="42"/>
      <c r="T3302" s="42"/>
      <c r="U3302" s="42"/>
      <c r="V3302" s="42"/>
      <c r="W3302" s="42"/>
      <c r="X3302" s="42"/>
      <c r="Y3302" s="42"/>
      <c r="Z3302" s="42"/>
      <c r="AA3302" s="42"/>
      <c r="AB3302" s="42" t="str">
        <f>IFERROR(__xludf.DUMMYFUNCTION("""COMPUTED_VALUE"""),"allen institute")</f>
        <v>allen institute</v>
      </c>
      <c r="AC3302" s="42" t="str">
        <f>IFERROR(__xludf.DUMMYFUNCTION("""COMPUTED_VALUE"""),"DHBA")</f>
        <v>DHBA</v>
      </c>
      <c r="AD3302" s="42"/>
      <c r="AE3302" s="42"/>
      <c r="AF3302" s="9"/>
      <c r="AG3302" s="9"/>
      <c r="AH3302" s="42"/>
      <c r="AI3302" s="42"/>
      <c r="AJ3302" s="42"/>
      <c r="AK3302" s="42"/>
      <c r="AL3302" s="42"/>
      <c r="AM3302" s="42"/>
      <c r="AN3302" s="42"/>
      <c r="AO3302" s="63" t="str">
        <f>IFERROR(__xludf.DUMMYFUNCTION("IF(ISBLANK(A3302),,IF(ISBLANK(S3302), A3302&amp;"";"", TEXTJOIN(CHAR(10), TRUE, A3302&amp;"";"", ARRAYFORMULA(VLOOKUP(SPLIT(S3302, "";"" &amp; CHAR(10)), $A:$AO, 41, FALSE)))))"),"issp;")</f>
        <v>issp;</v>
      </c>
      <c r="AP3302" s="89"/>
    </row>
    <row r="3303">
      <c r="A3303" s="151" t="str">
        <f>IFERROR(__xludf.DUMMYFUNCTION("""COMPUTED_VALUE"""),"lbrs")</f>
        <v>lbrs</v>
      </c>
      <c r="B3303" s="42" t="str">
        <f>IFERROR(__xludf.DUMMYFUNCTION("""COMPUTED_VALUE"""),"DHBA")</f>
        <v>DHBA</v>
      </c>
      <c r="C3303" s="42" t="str">
        <f>IFERROR(__xludf.DUMMYFUNCTION("""COMPUTED_VALUE"""),"lateral bulboreticulospinal tract")</f>
        <v>lateral bulboreticulospinal tract</v>
      </c>
      <c r="D3303" s="42">
        <f>IFERROR(__xludf.DUMMYFUNCTION("""COMPUTED_VALUE"""),3156.0)</f>
        <v>3156</v>
      </c>
      <c r="E3303" s="39" t="str">
        <f>IFERROR(__xludf.DUMMYFUNCTION("""COMPUTED_VALUE"""),"lateral bulboreticulospinal tract")</f>
        <v>lateral bulboreticulospinal tract</v>
      </c>
      <c r="F3303" s="9" t="str">
        <f>IFERROR(__xludf.DUMMYFUNCTION("""COMPUTED_VALUE"""),"Br")</f>
        <v>Br</v>
      </c>
      <c r="G3303" s="9" t="str">
        <f>IFERROR(__xludf.DUMMYFUNCTION("""COMPUTED_VALUE"""),"H")</f>
        <v>H</v>
      </c>
      <c r="H3303" s="9" t="str">
        <f>IFERROR(__xludf.DUMMYFUNCTION("""COMPUTED_VALUE"""),"HWM")</f>
        <v>HWM</v>
      </c>
      <c r="I3303" s="9" t="str">
        <f>IFERROR(__xludf.DUMMYFUNCTION("""COMPUTED_VALUE"""),"lbrs")</f>
        <v>lbrs</v>
      </c>
      <c r="J3303" s="9"/>
      <c r="K3303" s="9"/>
      <c r="L3303" s="9"/>
      <c r="M3303" s="9"/>
      <c r="N3303" s="9"/>
      <c r="O3303" s="9"/>
      <c r="P3303" s="9"/>
      <c r="Q3303" s="9"/>
      <c r="R3303" s="9"/>
      <c r="S3303" s="42"/>
      <c r="T3303" s="42"/>
      <c r="U3303" s="42"/>
      <c r="V3303" s="42"/>
      <c r="W3303" s="42"/>
      <c r="X3303" s="42"/>
      <c r="Y3303" s="42"/>
      <c r="Z3303" s="42"/>
      <c r="AA3303" s="42"/>
      <c r="AB3303" s="42" t="str">
        <f>IFERROR(__xludf.DUMMYFUNCTION("""COMPUTED_VALUE"""),"allen institute")</f>
        <v>allen institute</v>
      </c>
      <c r="AC3303" s="42" t="str">
        <f>IFERROR(__xludf.DUMMYFUNCTION("""COMPUTED_VALUE"""),"DHBA")</f>
        <v>DHBA</v>
      </c>
      <c r="AD3303" s="42"/>
      <c r="AE3303" s="42"/>
      <c r="AF3303" s="9"/>
      <c r="AG3303" s="9"/>
      <c r="AH3303" s="42"/>
      <c r="AI3303" s="42"/>
      <c r="AJ3303" s="42"/>
      <c r="AK3303" s="42"/>
      <c r="AL3303" s="42"/>
      <c r="AM3303" s="42"/>
      <c r="AN3303" s="42"/>
      <c r="AO3303" s="63" t="str">
        <f>IFERROR(__xludf.DUMMYFUNCTION("IF(ISBLANK(A3303),,IF(ISBLANK(S3303), A3303&amp;"";"", TEXTJOIN(CHAR(10), TRUE, A3303&amp;"";"", ARRAYFORMULA(VLOOKUP(SPLIT(S3303, "";"" &amp; CHAR(10)), $A:$AO, 41, FALSE)))))"),"lbrs;")</f>
        <v>lbrs;</v>
      </c>
      <c r="AP3303" s="89"/>
    </row>
    <row r="3304">
      <c r="A3304" s="151" t="str">
        <f>IFERROR(__xludf.DUMMYFUNCTION("""COMPUTED_VALUE"""),"lcs")</f>
        <v>lcs</v>
      </c>
      <c r="B3304" s="42" t="str">
        <f>IFERROR(__xludf.DUMMYFUNCTION("""COMPUTED_VALUE"""),"DHBA")</f>
        <v>DHBA</v>
      </c>
      <c r="C3304" s="42" t="str">
        <f>IFERROR(__xludf.DUMMYFUNCTION("""COMPUTED_VALUE"""),"lateral corticospinal tract")</f>
        <v>lateral corticospinal tract</v>
      </c>
      <c r="D3304" s="42">
        <f>IFERROR(__xludf.DUMMYFUNCTION("""COMPUTED_VALUE"""),3157.0)</f>
        <v>3157</v>
      </c>
      <c r="E3304" s="39" t="str">
        <f>IFERROR(__xludf.DUMMYFUNCTION("""COMPUTED_VALUE"""),"lateral corticospinal tract")</f>
        <v>lateral corticospinal tract</v>
      </c>
      <c r="F3304" s="9" t="str">
        <f>IFERROR(__xludf.DUMMYFUNCTION("""COMPUTED_VALUE"""),"Br")</f>
        <v>Br</v>
      </c>
      <c r="G3304" s="9" t="str">
        <f>IFERROR(__xludf.DUMMYFUNCTION("""COMPUTED_VALUE"""),"H")</f>
        <v>H</v>
      </c>
      <c r="H3304" s="9" t="str">
        <f>IFERROR(__xludf.DUMMYFUNCTION("""COMPUTED_VALUE"""),"HWM")</f>
        <v>HWM</v>
      </c>
      <c r="I3304" s="9" t="str">
        <f>IFERROR(__xludf.DUMMYFUNCTION("""COMPUTED_VALUE"""),"lcs")</f>
        <v>lcs</v>
      </c>
      <c r="J3304" s="9"/>
      <c r="K3304" s="9"/>
      <c r="L3304" s="9"/>
      <c r="M3304" s="9"/>
      <c r="N3304" s="9"/>
      <c r="O3304" s="9"/>
      <c r="P3304" s="9"/>
      <c r="Q3304" s="9"/>
      <c r="R3304" s="9"/>
      <c r="S3304" s="42"/>
      <c r="T3304" s="42"/>
      <c r="U3304" s="42"/>
      <c r="V3304" s="42"/>
      <c r="W3304" s="42"/>
      <c r="X3304" s="42"/>
      <c r="Y3304" s="42"/>
      <c r="Z3304" s="42"/>
      <c r="AA3304" s="42"/>
      <c r="AB3304" s="42" t="str">
        <f>IFERROR(__xludf.DUMMYFUNCTION("""COMPUTED_VALUE"""),"allen institute")</f>
        <v>allen institute</v>
      </c>
      <c r="AC3304" s="42" t="str">
        <f>IFERROR(__xludf.DUMMYFUNCTION("""COMPUTED_VALUE"""),"DHBA")</f>
        <v>DHBA</v>
      </c>
      <c r="AD3304" s="42"/>
      <c r="AE3304" s="42"/>
      <c r="AF3304" s="9"/>
      <c r="AG3304" s="9"/>
      <c r="AH3304" s="42"/>
      <c r="AI3304" s="42"/>
      <c r="AJ3304" s="42"/>
      <c r="AK3304" s="42"/>
      <c r="AL3304" s="42"/>
      <c r="AM3304" s="42"/>
      <c r="AN3304" s="42"/>
      <c r="AO3304" s="63" t="str">
        <f>IFERROR(__xludf.DUMMYFUNCTION("IF(ISBLANK(A3304),,IF(ISBLANK(S3304), A3304&amp;"";"", TEXTJOIN(CHAR(10), TRUE, A3304&amp;"";"", ARRAYFORMULA(VLOOKUP(SPLIT(S3304, "";"" &amp; CHAR(10)), $A:$AO, 41, FALSE)))))"),"lcs;")</f>
        <v>lcs;</v>
      </c>
      <c r="AP3304" s="89"/>
    </row>
    <row r="3305">
      <c r="A3305" s="151" t="str">
        <f>IFERROR(__xludf.DUMMYFUNCTION("""COMPUTED_VALUE"""),"ll")</f>
        <v>ll</v>
      </c>
      <c r="B3305" s="42" t="str">
        <f>IFERROR(__xludf.DUMMYFUNCTION("""COMPUTED_VALUE"""),"DHBA")</f>
        <v>DHBA</v>
      </c>
      <c r="C3305" s="42" t="str">
        <f>IFERROR(__xludf.DUMMYFUNCTION("""COMPUTED_VALUE"""),"lateral lemniscus")</f>
        <v>lateral lemniscus</v>
      </c>
      <c r="D3305" s="42">
        <f>IFERROR(__xludf.DUMMYFUNCTION("""COMPUTED_VALUE"""),3158.0)</f>
        <v>3158</v>
      </c>
      <c r="E3305" s="39" t="str">
        <f>IFERROR(__xludf.DUMMYFUNCTION("""COMPUTED_VALUE"""),"lateral lemniscus")</f>
        <v>lateral lemniscus</v>
      </c>
      <c r="F3305" s="9" t="str">
        <f>IFERROR(__xludf.DUMMYFUNCTION("""COMPUTED_VALUE"""),"Br")</f>
        <v>Br</v>
      </c>
      <c r="G3305" s="9" t="str">
        <f>IFERROR(__xludf.DUMMYFUNCTION("""COMPUTED_VALUE"""),"H")</f>
        <v>H</v>
      </c>
      <c r="H3305" s="9" t="str">
        <f>IFERROR(__xludf.DUMMYFUNCTION("""COMPUTED_VALUE"""),"HWM")</f>
        <v>HWM</v>
      </c>
      <c r="I3305" s="9" t="str">
        <f>IFERROR(__xludf.DUMMYFUNCTION("""COMPUTED_VALUE"""),"ll")</f>
        <v>ll</v>
      </c>
      <c r="J3305" s="9"/>
      <c r="K3305" s="9"/>
      <c r="L3305" s="9"/>
      <c r="M3305" s="9"/>
      <c r="N3305" s="9"/>
      <c r="O3305" s="9"/>
      <c r="P3305" s="9"/>
      <c r="Q3305" s="9"/>
      <c r="R3305" s="9"/>
      <c r="S3305" s="42"/>
      <c r="T3305" s="42"/>
      <c r="U3305" s="42"/>
      <c r="V3305" s="42"/>
      <c r="W3305" s="42"/>
      <c r="X3305" s="42"/>
      <c r="Y3305" s="42"/>
      <c r="Z3305" s="42"/>
      <c r="AA3305" s="42"/>
      <c r="AB3305" s="42" t="str">
        <f>IFERROR(__xludf.DUMMYFUNCTION("""COMPUTED_VALUE"""),"allen institute")</f>
        <v>allen institute</v>
      </c>
      <c r="AC3305" s="42" t="str">
        <f>IFERROR(__xludf.DUMMYFUNCTION("""COMPUTED_VALUE"""),"DHBA")</f>
        <v>DHBA</v>
      </c>
      <c r="AD3305" s="42"/>
      <c r="AE3305" s="42"/>
      <c r="AF3305" s="9"/>
      <c r="AG3305" s="9"/>
      <c r="AH3305" s="42"/>
      <c r="AI3305" s="42"/>
      <c r="AJ3305" s="42"/>
      <c r="AK3305" s="42"/>
      <c r="AL3305" s="42"/>
      <c r="AM3305" s="42"/>
      <c r="AN3305" s="42"/>
      <c r="AO3305" s="63" t="str">
        <f>IFERROR(__xludf.DUMMYFUNCTION("IF(ISBLANK(A3305),,IF(ISBLANK(S3305), A3305&amp;"";"", TEXTJOIN(CHAR(10), TRUE, A3305&amp;"";"", ARRAYFORMULA(VLOOKUP(SPLIT(S3305, "";"" &amp; CHAR(10)), $A:$AO, 41, FALSE)))))"),"ll;")</f>
        <v>ll;</v>
      </c>
      <c r="AP3305" s="89"/>
    </row>
    <row r="3306">
      <c r="A3306" s="151" t="str">
        <f>IFERROR(__xludf.DUMMYFUNCTION("""COMPUTED_VALUE"""),"lvs")</f>
        <v>lvs</v>
      </c>
      <c r="B3306" s="42" t="str">
        <f>IFERROR(__xludf.DUMMYFUNCTION("""COMPUTED_VALUE"""),"DHBA")</f>
        <v>DHBA</v>
      </c>
      <c r="C3306" s="42" t="str">
        <f>IFERROR(__xludf.DUMMYFUNCTION("""COMPUTED_VALUE"""),"lateral vestibulospinal tract")</f>
        <v>lateral vestibulospinal tract</v>
      </c>
      <c r="D3306" s="42">
        <f>IFERROR(__xludf.DUMMYFUNCTION("""COMPUTED_VALUE"""),3159.0)</f>
        <v>3159</v>
      </c>
      <c r="E3306" s="39" t="str">
        <f>IFERROR(__xludf.DUMMYFUNCTION("""COMPUTED_VALUE"""),"lateral vestibulospinal tract")</f>
        <v>lateral vestibulospinal tract</v>
      </c>
      <c r="F3306" s="9" t="str">
        <f>IFERROR(__xludf.DUMMYFUNCTION("""COMPUTED_VALUE"""),"Br")</f>
        <v>Br</v>
      </c>
      <c r="G3306" s="9" t="str">
        <f>IFERROR(__xludf.DUMMYFUNCTION("""COMPUTED_VALUE"""),"H")</f>
        <v>H</v>
      </c>
      <c r="H3306" s="9" t="str">
        <f>IFERROR(__xludf.DUMMYFUNCTION("""COMPUTED_VALUE"""),"HWM")</f>
        <v>HWM</v>
      </c>
      <c r="I3306" s="9" t="str">
        <f>IFERROR(__xludf.DUMMYFUNCTION("""COMPUTED_VALUE"""),"lvs")</f>
        <v>lvs</v>
      </c>
      <c r="J3306" s="9"/>
      <c r="K3306" s="9"/>
      <c r="L3306" s="9"/>
      <c r="M3306" s="9"/>
      <c r="N3306" s="9"/>
      <c r="O3306" s="9"/>
      <c r="P3306" s="9"/>
      <c r="Q3306" s="9"/>
      <c r="R3306" s="9"/>
      <c r="S3306" s="42"/>
      <c r="T3306" s="42"/>
      <c r="U3306" s="42" t="b">
        <f>IFERROR(__xludf.DUMMYFUNCTION("""COMPUTED_VALUE"""),FALSE)</f>
        <v>0</v>
      </c>
      <c r="V3306" s="42"/>
      <c r="W3306" s="42"/>
      <c r="X3306" s="42"/>
      <c r="Y3306" s="42"/>
      <c r="Z3306" s="42"/>
      <c r="AA3306" s="42"/>
      <c r="AB3306" s="42" t="str">
        <f>IFERROR(__xludf.DUMMYFUNCTION("""COMPUTED_VALUE"""),"allen institute")</f>
        <v>allen institute</v>
      </c>
      <c r="AC3306" s="42" t="str">
        <f>IFERROR(__xludf.DUMMYFUNCTION("""COMPUTED_VALUE"""),"DHBA")</f>
        <v>DHBA</v>
      </c>
      <c r="AD3306" s="42"/>
      <c r="AE3306" s="42"/>
      <c r="AF3306" s="9"/>
      <c r="AG3306" s="9"/>
      <c r="AH3306" s="42"/>
      <c r="AI3306" s="42"/>
      <c r="AJ3306" s="42"/>
      <c r="AK3306" s="42"/>
      <c r="AL3306" s="42"/>
      <c r="AM3306" s="42"/>
      <c r="AN3306" s="42"/>
      <c r="AO3306" s="63" t="str">
        <f>IFERROR(__xludf.DUMMYFUNCTION("IF(ISBLANK(A3306),,IF(ISBLANK(S3306), A3306&amp;"";"", TEXTJOIN(CHAR(10), TRUE, A3306&amp;"";"", ARRAYFORMULA(VLOOKUP(SPLIT(S3306, "";"" &amp; CHAR(10)), $A:$AO, 41, FALSE)))))"),"lvs;")</f>
        <v>lvs;</v>
      </c>
      <c r="AP3306" s="89"/>
    </row>
    <row r="3307">
      <c r="A3307" s="151" t="str">
        <f>IFERROR(__xludf.DUMMYFUNCTION("""COMPUTED_VALUE"""),"lfpn")</f>
        <v>lfpn</v>
      </c>
      <c r="B3307" s="42" t="str">
        <f>IFERROR(__xludf.DUMMYFUNCTION("""COMPUTED_VALUE"""),"DHBA")</f>
        <v>DHBA</v>
      </c>
      <c r="C3307" s="42" t="str">
        <f>IFERROR(__xludf.DUMMYFUNCTION("""COMPUTED_VALUE"""),"longitudinal fasciculus of the pons")</f>
        <v>longitudinal fasciculus of the pons</v>
      </c>
      <c r="D3307" s="42">
        <f>IFERROR(__xludf.DUMMYFUNCTION("""COMPUTED_VALUE"""),3160.0)</f>
        <v>3160</v>
      </c>
      <c r="E3307" s="39" t="str">
        <f>IFERROR(__xludf.DUMMYFUNCTION("""COMPUTED_VALUE"""),"longitudinal fasciculus of the pons")</f>
        <v>longitudinal fasciculus of the pons</v>
      </c>
      <c r="F3307" s="9" t="str">
        <f>IFERROR(__xludf.DUMMYFUNCTION("""COMPUTED_VALUE"""),"Br")</f>
        <v>Br</v>
      </c>
      <c r="G3307" s="9" t="str">
        <f>IFERROR(__xludf.DUMMYFUNCTION("""COMPUTED_VALUE"""),"H")</f>
        <v>H</v>
      </c>
      <c r="H3307" s="9" t="str">
        <f>IFERROR(__xludf.DUMMYFUNCTION("""COMPUTED_VALUE"""),"HWM")</f>
        <v>HWM</v>
      </c>
      <c r="I3307" s="9" t="str">
        <f>IFERROR(__xludf.DUMMYFUNCTION("""COMPUTED_VALUE"""),"lfpn")</f>
        <v>lfpn</v>
      </c>
      <c r="J3307" s="9"/>
      <c r="K3307" s="9"/>
      <c r="L3307" s="9"/>
      <c r="M3307" s="9"/>
      <c r="N3307" s="9"/>
      <c r="O3307" s="9"/>
      <c r="P3307" s="9"/>
      <c r="Q3307" s="9"/>
      <c r="R3307" s="9"/>
      <c r="S3307" s="42"/>
      <c r="T3307" s="42"/>
      <c r="U3307" s="42"/>
      <c r="V3307" s="42"/>
      <c r="W3307" s="42"/>
      <c r="X3307" s="42"/>
      <c r="Y3307" s="42"/>
      <c r="Z3307" s="42"/>
      <c r="AA3307" s="42"/>
      <c r="AB3307" s="42" t="str">
        <f>IFERROR(__xludf.DUMMYFUNCTION("""COMPUTED_VALUE"""),"allen institute")</f>
        <v>allen institute</v>
      </c>
      <c r="AC3307" s="42" t="str">
        <f>IFERROR(__xludf.DUMMYFUNCTION("""COMPUTED_VALUE"""),"DHBA")</f>
        <v>DHBA</v>
      </c>
      <c r="AD3307" s="42"/>
      <c r="AE3307" s="42"/>
      <c r="AF3307" s="9"/>
      <c r="AG3307" s="9"/>
      <c r="AH3307" s="42"/>
      <c r="AI3307" s="42"/>
      <c r="AJ3307" s="42"/>
      <c r="AK3307" s="42"/>
      <c r="AL3307" s="42"/>
      <c r="AM3307" s="42"/>
      <c r="AN3307" s="42"/>
      <c r="AO3307" s="63" t="str">
        <f>IFERROR(__xludf.DUMMYFUNCTION("IF(ISBLANK(A3307),,IF(ISBLANK(S3307), A3307&amp;"";"", TEXTJOIN(CHAR(10), TRUE, A3307&amp;"";"", ARRAYFORMULA(VLOOKUP(SPLIT(S3307, "";"" &amp; CHAR(10)), $A:$AO, 41, FALSE)))))"),"lfpn;")</f>
        <v>lfpn;</v>
      </c>
      <c r="AP3307" s="89"/>
    </row>
    <row r="3308">
      <c r="A3308" s="151" t="str">
        <f>IFERROR(__xludf.DUMMYFUNCTION("""COMPUTED_VALUE"""),"ml")</f>
        <v>ml</v>
      </c>
      <c r="B3308" s="42" t="str">
        <f>IFERROR(__xludf.DUMMYFUNCTION("""COMPUTED_VALUE"""),"DHBA")</f>
        <v>DHBA</v>
      </c>
      <c r="C3308" s="42" t="str">
        <f>IFERROR(__xludf.DUMMYFUNCTION("""COMPUTED_VALUE"""),"medial lemniscus")</f>
        <v>medial lemniscus</v>
      </c>
      <c r="D3308" s="42">
        <f>IFERROR(__xludf.DUMMYFUNCTION("""COMPUTED_VALUE"""),3161.0)</f>
        <v>3161</v>
      </c>
      <c r="E3308" s="39" t="str">
        <f>IFERROR(__xludf.DUMMYFUNCTION("""COMPUTED_VALUE"""),"medial lemniscus")</f>
        <v>medial lemniscus</v>
      </c>
      <c r="F3308" s="9" t="str">
        <f>IFERROR(__xludf.DUMMYFUNCTION("""COMPUTED_VALUE"""),"Br")</f>
        <v>Br</v>
      </c>
      <c r="G3308" s="9" t="str">
        <f>IFERROR(__xludf.DUMMYFUNCTION("""COMPUTED_VALUE"""),"H")</f>
        <v>H</v>
      </c>
      <c r="H3308" s="9" t="str">
        <f>IFERROR(__xludf.DUMMYFUNCTION("""COMPUTED_VALUE"""),"HWM")</f>
        <v>HWM</v>
      </c>
      <c r="I3308" s="9" t="str">
        <f>IFERROR(__xludf.DUMMYFUNCTION("""COMPUTED_VALUE"""),"ml")</f>
        <v>ml</v>
      </c>
      <c r="J3308" s="9"/>
      <c r="K3308" s="9"/>
      <c r="L3308" s="9"/>
      <c r="M3308" s="9"/>
      <c r="N3308" s="9"/>
      <c r="O3308" s="9"/>
      <c r="P3308" s="9"/>
      <c r="Q3308" s="9"/>
      <c r="R3308" s="9"/>
      <c r="S3308" s="42"/>
      <c r="T3308" s="42"/>
      <c r="U3308" s="42"/>
      <c r="V3308" s="42"/>
      <c r="W3308" s="42"/>
      <c r="X3308" s="42"/>
      <c r="Y3308" s="42"/>
      <c r="Z3308" s="42"/>
      <c r="AA3308" s="42"/>
      <c r="AB3308" s="42" t="str">
        <f>IFERROR(__xludf.DUMMYFUNCTION("""COMPUTED_VALUE"""),"allen institute")</f>
        <v>allen institute</v>
      </c>
      <c r="AC3308" s="42" t="str">
        <f>IFERROR(__xludf.DUMMYFUNCTION("""COMPUTED_VALUE"""),"DHBA")</f>
        <v>DHBA</v>
      </c>
      <c r="AD3308" s="42"/>
      <c r="AE3308" s="42"/>
      <c r="AF3308" s="9"/>
      <c r="AG3308" s="9"/>
      <c r="AH3308" s="42"/>
      <c r="AI3308" s="42"/>
      <c r="AJ3308" s="42"/>
      <c r="AK3308" s="42"/>
      <c r="AL3308" s="42"/>
      <c r="AM3308" s="42"/>
      <c r="AN3308" s="42"/>
      <c r="AO3308" s="63" t="str">
        <f>IFERROR(__xludf.DUMMYFUNCTION("IF(ISBLANK(A3308),,IF(ISBLANK(S3308), A3308&amp;"";"", TEXTJOIN(CHAR(10), TRUE, A3308&amp;"";"", ARRAYFORMULA(VLOOKUP(SPLIT(S3308, "";"" &amp; CHAR(10)), $A:$AO, 41, FALSE)))))"),"ml;")</f>
        <v>ml;</v>
      </c>
      <c r="AP3308" s="89"/>
    </row>
    <row r="3309">
      <c r="A3309" s="151" t="str">
        <f>IFERROR(__xludf.DUMMYFUNCTION("""COMPUTED_VALUE"""),"mlf")</f>
        <v>mlf</v>
      </c>
      <c r="B3309" s="42" t="str">
        <f>IFERROR(__xludf.DUMMYFUNCTION("""COMPUTED_VALUE"""),"DHBA")</f>
        <v>DHBA</v>
      </c>
      <c r="C3309" s="42" t="str">
        <f>IFERROR(__xludf.DUMMYFUNCTION("""COMPUTED_VALUE"""),"medial longitudinal fasciculus")</f>
        <v>medial longitudinal fasciculus</v>
      </c>
      <c r="D3309" s="42">
        <f>IFERROR(__xludf.DUMMYFUNCTION("""COMPUTED_VALUE"""),3162.0)</f>
        <v>3162</v>
      </c>
      <c r="E3309" s="39" t="str">
        <f>IFERROR(__xludf.DUMMYFUNCTION("""COMPUTED_VALUE"""),"medial longitudinal fasciculus")</f>
        <v>medial longitudinal fasciculus</v>
      </c>
      <c r="F3309" s="9" t="str">
        <f>IFERROR(__xludf.DUMMYFUNCTION("""COMPUTED_VALUE"""),"Br")</f>
        <v>Br</v>
      </c>
      <c r="G3309" s="9" t="str">
        <f>IFERROR(__xludf.DUMMYFUNCTION("""COMPUTED_VALUE"""),"H")</f>
        <v>H</v>
      </c>
      <c r="H3309" s="9" t="str">
        <f>IFERROR(__xludf.DUMMYFUNCTION("""COMPUTED_VALUE"""),"HWM")</f>
        <v>HWM</v>
      </c>
      <c r="I3309" s="9" t="str">
        <f>IFERROR(__xludf.DUMMYFUNCTION("""COMPUTED_VALUE"""),"mlf")</f>
        <v>mlf</v>
      </c>
      <c r="J3309" s="9"/>
      <c r="K3309" s="9"/>
      <c r="L3309" s="9"/>
      <c r="M3309" s="9"/>
      <c r="N3309" s="9"/>
      <c r="O3309" s="9"/>
      <c r="P3309" s="9"/>
      <c r="Q3309" s="9"/>
      <c r="R3309" s="9"/>
      <c r="S3309" s="42"/>
      <c r="T3309" s="42"/>
      <c r="U3309" s="42"/>
      <c r="V3309" s="42"/>
      <c r="W3309" s="42"/>
      <c r="X3309" s="42"/>
      <c r="Y3309" s="42"/>
      <c r="Z3309" s="42"/>
      <c r="AA3309" s="42"/>
      <c r="AB3309" s="42" t="str">
        <f>IFERROR(__xludf.DUMMYFUNCTION("""COMPUTED_VALUE"""),"allen institute")</f>
        <v>allen institute</v>
      </c>
      <c r="AC3309" s="42" t="str">
        <f>IFERROR(__xludf.DUMMYFUNCTION("""COMPUTED_VALUE"""),"DHBA")</f>
        <v>DHBA</v>
      </c>
      <c r="AD3309" s="42"/>
      <c r="AE3309" s="42"/>
      <c r="AF3309" s="9"/>
      <c r="AG3309" s="9"/>
      <c r="AH3309" s="42"/>
      <c r="AI3309" s="42"/>
      <c r="AJ3309" s="42"/>
      <c r="AK3309" s="42"/>
      <c r="AL3309" s="42"/>
      <c r="AM3309" s="42"/>
      <c r="AN3309" s="42"/>
      <c r="AO3309" s="63" t="str">
        <f>IFERROR(__xludf.DUMMYFUNCTION("IF(ISBLANK(A3309),,IF(ISBLANK(S3309), A3309&amp;"";"", TEXTJOIN(CHAR(10), TRUE, A3309&amp;"";"", ARRAYFORMULA(VLOOKUP(SPLIT(S3309, "";"" &amp; CHAR(10)), $A:$AO, 41, FALSE)))))"),"mlf;")</f>
        <v>mlf;</v>
      </c>
      <c r="AP3309" s="89"/>
    </row>
    <row r="3310">
      <c r="A3310" s="151" t="str">
        <f>IFERROR(__xludf.DUMMYFUNCTION("""COMPUTED_VALUE"""),"metg")</f>
        <v>metg</v>
      </c>
      <c r="B3310" s="42" t="str">
        <f>IFERROR(__xludf.DUMMYFUNCTION("""COMPUTED_VALUE"""),"DHBA")</f>
        <v>DHBA</v>
      </c>
      <c r="C3310" s="42" t="str">
        <f>IFERROR(__xludf.DUMMYFUNCTION("""COMPUTED_VALUE"""),"medial tegmental tract")</f>
        <v>medial tegmental tract</v>
      </c>
      <c r="D3310" s="42">
        <f>IFERROR(__xludf.DUMMYFUNCTION("""COMPUTED_VALUE"""),3163.0)</f>
        <v>3163</v>
      </c>
      <c r="E3310" s="39" t="str">
        <f>IFERROR(__xludf.DUMMYFUNCTION("""COMPUTED_VALUE"""),"medial tegmental tract")</f>
        <v>medial tegmental tract</v>
      </c>
      <c r="F3310" s="9" t="str">
        <f>IFERROR(__xludf.DUMMYFUNCTION("""COMPUTED_VALUE"""),"Br")</f>
        <v>Br</v>
      </c>
      <c r="G3310" s="9" t="str">
        <f>IFERROR(__xludf.DUMMYFUNCTION("""COMPUTED_VALUE"""),"H")</f>
        <v>H</v>
      </c>
      <c r="H3310" s="9" t="str">
        <f>IFERROR(__xludf.DUMMYFUNCTION("""COMPUTED_VALUE"""),"HWM")</f>
        <v>HWM</v>
      </c>
      <c r="I3310" s="9" t="str">
        <f>IFERROR(__xludf.DUMMYFUNCTION("""COMPUTED_VALUE"""),"metg")</f>
        <v>metg</v>
      </c>
      <c r="J3310" s="9"/>
      <c r="K3310" s="9"/>
      <c r="L3310" s="9"/>
      <c r="M3310" s="9"/>
      <c r="N3310" s="9"/>
      <c r="O3310" s="9"/>
      <c r="P3310" s="9"/>
      <c r="Q3310" s="9"/>
      <c r="R3310" s="9"/>
      <c r="S3310" s="42"/>
      <c r="T3310" s="42"/>
      <c r="U3310" s="42"/>
      <c r="V3310" s="42"/>
      <c r="W3310" s="42"/>
      <c r="X3310" s="42"/>
      <c r="Y3310" s="42"/>
      <c r="Z3310" s="42"/>
      <c r="AA3310" s="42"/>
      <c r="AB3310" s="42" t="str">
        <f>IFERROR(__xludf.DUMMYFUNCTION("""COMPUTED_VALUE"""),"allen institute")</f>
        <v>allen institute</v>
      </c>
      <c r="AC3310" s="42" t="str">
        <f>IFERROR(__xludf.DUMMYFUNCTION("""COMPUTED_VALUE"""),"DHBA")</f>
        <v>DHBA</v>
      </c>
      <c r="AD3310" s="42"/>
      <c r="AE3310" s="42"/>
      <c r="AF3310" s="9"/>
      <c r="AG3310" s="9"/>
      <c r="AH3310" s="42"/>
      <c r="AI3310" s="42"/>
      <c r="AJ3310" s="42"/>
      <c r="AK3310" s="42"/>
      <c r="AL3310" s="42"/>
      <c r="AM3310" s="42"/>
      <c r="AN3310" s="42"/>
      <c r="AO3310" s="63" t="str">
        <f>IFERROR(__xludf.DUMMYFUNCTION("IF(ISBLANK(A3310),,IF(ISBLANK(S3310), A3310&amp;"";"", TEXTJOIN(CHAR(10), TRUE, A3310&amp;"";"", ARRAYFORMULA(VLOOKUP(SPLIT(S3310, "";"" &amp; CHAR(10)), $A:$AO, 41, FALSE)))))"),"metg;")</f>
        <v>metg;</v>
      </c>
      <c r="AP3310" s="89"/>
    </row>
    <row r="3311">
      <c r="A3311" s="151" t="str">
        <f>IFERROR(__xludf.DUMMYFUNCTION("""COMPUTED_VALUE"""),"mvet")</f>
        <v>mvet</v>
      </c>
      <c r="B3311" s="42" t="str">
        <f>IFERROR(__xludf.DUMMYFUNCTION("""COMPUTED_VALUE"""),"DHBA")</f>
        <v>DHBA</v>
      </c>
      <c r="C3311" s="42" t="str">
        <f>IFERROR(__xludf.DUMMYFUNCTION("""COMPUTED_VALUE"""),"medial vestibulospinal tract")</f>
        <v>medial vestibulospinal tract</v>
      </c>
      <c r="D3311" s="42">
        <f>IFERROR(__xludf.DUMMYFUNCTION("""COMPUTED_VALUE"""),3164.0)</f>
        <v>3164</v>
      </c>
      <c r="E3311" s="39" t="str">
        <f>IFERROR(__xludf.DUMMYFUNCTION("""COMPUTED_VALUE"""),"medial vestibulospinal tract")</f>
        <v>medial vestibulospinal tract</v>
      </c>
      <c r="F3311" s="9" t="str">
        <f>IFERROR(__xludf.DUMMYFUNCTION("""COMPUTED_VALUE"""),"Br")</f>
        <v>Br</v>
      </c>
      <c r="G3311" s="9" t="str">
        <f>IFERROR(__xludf.DUMMYFUNCTION("""COMPUTED_VALUE"""),"H")</f>
        <v>H</v>
      </c>
      <c r="H3311" s="9" t="str">
        <f>IFERROR(__xludf.DUMMYFUNCTION("""COMPUTED_VALUE"""),"HWM")</f>
        <v>HWM</v>
      </c>
      <c r="I3311" s="9" t="str">
        <f>IFERROR(__xludf.DUMMYFUNCTION("""COMPUTED_VALUE"""),"mvet")</f>
        <v>mvet</v>
      </c>
      <c r="J3311" s="9"/>
      <c r="K3311" s="9"/>
      <c r="L3311" s="9"/>
      <c r="M3311" s="9"/>
      <c r="N3311" s="9"/>
      <c r="O3311" s="9"/>
      <c r="P3311" s="9"/>
      <c r="Q3311" s="9"/>
      <c r="R3311" s="9"/>
      <c r="S3311" s="42"/>
      <c r="T3311" s="42"/>
      <c r="U3311" s="42" t="b">
        <f>IFERROR(__xludf.DUMMYFUNCTION("""COMPUTED_VALUE"""),FALSE)</f>
        <v>0</v>
      </c>
      <c r="V3311" s="42"/>
      <c r="W3311" s="42"/>
      <c r="X3311" s="42"/>
      <c r="Y3311" s="42"/>
      <c r="Z3311" s="42"/>
      <c r="AA3311" s="42"/>
      <c r="AB3311" s="42" t="str">
        <f>IFERROR(__xludf.DUMMYFUNCTION("""COMPUTED_VALUE"""),"allen institute")</f>
        <v>allen institute</v>
      </c>
      <c r="AC3311" s="42" t="str">
        <f>IFERROR(__xludf.DUMMYFUNCTION("""COMPUTED_VALUE"""),"DHBA")</f>
        <v>DHBA</v>
      </c>
      <c r="AD3311" s="42"/>
      <c r="AE3311" s="42"/>
      <c r="AF3311" s="9"/>
      <c r="AG3311" s="9"/>
      <c r="AH3311" s="42"/>
      <c r="AI3311" s="42"/>
      <c r="AJ3311" s="42"/>
      <c r="AK3311" s="42"/>
      <c r="AL3311" s="42"/>
      <c r="AM3311" s="42"/>
      <c r="AN3311" s="42"/>
      <c r="AO3311" s="63" t="str">
        <f>IFERROR(__xludf.DUMMYFUNCTION("IF(ISBLANK(A3311),,IF(ISBLANK(S3311), A3311&amp;"";"", TEXTJOIN(CHAR(10), TRUE, A3311&amp;"";"", ARRAYFORMULA(VLOOKUP(SPLIT(S3311, "";"" &amp; CHAR(10)), $A:$AO, 41, FALSE)))))"),"mvet;")</f>
        <v>mvet;</v>
      </c>
      <c r="AP3311" s="89"/>
    </row>
    <row r="3312">
      <c r="A3312" s="151" t="str">
        <f>IFERROR(__xludf.DUMMYFUNCTION("""COMPUTED_VALUE"""),"me5")</f>
        <v>me5</v>
      </c>
      <c r="B3312" s="42" t="str">
        <f>IFERROR(__xludf.DUMMYFUNCTION("""COMPUTED_VALUE"""),"DHBA")</f>
        <v>DHBA</v>
      </c>
      <c r="C3312" s="42" t="str">
        <f>IFERROR(__xludf.DUMMYFUNCTION("""COMPUTED_VALUE"""),"mesencephalic trigeminal tract")</f>
        <v>mesencephalic trigeminal tract</v>
      </c>
      <c r="D3312" s="42">
        <f>IFERROR(__xludf.DUMMYFUNCTION("""COMPUTED_VALUE"""),3165.0)</f>
        <v>3165</v>
      </c>
      <c r="E3312" s="39" t="str">
        <f>IFERROR(__xludf.DUMMYFUNCTION("""COMPUTED_VALUE"""),"mesencephalic trigeminal tract")</f>
        <v>mesencephalic trigeminal tract</v>
      </c>
      <c r="F3312" s="9" t="str">
        <f>IFERROR(__xludf.DUMMYFUNCTION("""COMPUTED_VALUE"""),"Br")</f>
        <v>Br</v>
      </c>
      <c r="G3312" s="9" t="str">
        <f>IFERROR(__xludf.DUMMYFUNCTION("""COMPUTED_VALUE"""),"H")</f>
        <v>H</v>
      </c>
      <c r="H3312" s="9" t="str">
        <f>IFERROR(__xludf.DUMMYFUNCTION("""COMPUTED_VALUE"""),"HWM")</f>
        <v>HWM</v>
      </c>
      <c r="I3312" s="9" t="str">
        <f>IFERROR(__xludf.DUMMYFUNCTION("""COMPUTED_VALUE"""),"me5")</f>
        <v>me5</v>
      </c>
      <c r="J3312" s="9"/>
      <c r="K3312" s="9"/>
      <c r="L3312" s="9"/>
      <c r="M3312" s="9"/>
      <c r="N3312" s="9"/>
      <c r="O3312" s="9"/>
      <c r="P3312" s="9"/>
      <c r="Q3312" s="9"/>
      <c r="R3312" s="9"/>
      <c r="S3312" s="42"/>
      <c r="T3312" s="42"/>
      <c r="U3312" s="42"/>
      <c r="V3312" s="42"/>
      <c r="W3312" s="42"/>
      <c r="X3312" s="42"/>
      <c r="Y3312" s="42"/>
      <c r="Z3312" s="42"/>
      <c r="AA3312" s="42"/>
      <c r="AB3312" s="42" t="str">
        <f>IFERROR(__xludf.DUMMYFUNCTION("""COMPUTED_VALUE"""),"allen institute")</f>
        <v>allen institute</v>
      </c>
      <c r="AC3312" s="42" t="str">
        <f>IFERROR(__xludf.DUMMYFUNCTION("""COMPUTED_VALUE"""),"DHBA")</f>
        <v>DHBA</v>
      </c>
      <c r="AD3312" s="42"/>
      <c r="AE3312" s="42"/>
      <c r="AF3312" s="9"/>
      <c r="AG3312" s="9"/>
      <c r="AH3312" s="42"/>
      <c r="AI3312" s="42"/>
      <c r="AJ3312" s="42"/>
      <c r="AK3312" s="42"/>
      <c r="AL3312" s="42"/>
      <c r="AM3312" s="42"/>
      <c r="AN3312" s="42"/>
      <c r="AO3312" s="63" t="str">
        <f>IFERROR(__xludf.DUMMYFUNCTION("IF(ISBLANK(A3312),,IF(ISBLANK(S3312), A3312&amp;"";"", TEXTJOIN(CHAR(10), TRUE, A3312&amp;"";"", ARRAYFORMULA(VLOOKUP(SPLIT(S3312, "";"" &amp; CHAR(10)), $A:$AO, 41, FALSE)))))"),"me5;")</f>
        <v>me5;</v>
      </c>
      <c r="AP3312" s="89"/>
    </row>
    <row r="3313">
      <c r="A3313" s="151" t="str">
        <f>IFERROR(__xludf.DUMMYFUNCTION("""COMPUTED_VALUE"""),"mcp")</f>
        <v>mcp</v>
      </c>
      <c r="B3313" s="42" t="str">
        <f>IFERROR(__xludf.DUMMYFUNCTION("""COMPUTED_VALUE"""),"DHBA")</f>
        <v>DHBA</v>
      </c>
      <c r="C3313" s="42" t="str">
        <f>IFERROR(__xludf.DUMMYFUNCTION("""COMPUTED_VALUE"""),"middle cerebellar peduncle")</f>
        <v>middle cerebellar peduncle</v>
      </c>
      <c r="D3313" s="42">
        <f>IFERROR(__xludf.DUMMYFUNCTION("""COMPUTED_VALUE"""),3166.0)</f>
        <v>3166</v>
      </c>
      <c r="E3313" s="39" t="str">
        <f>IFERROR(__xludf.DUMMYFUNCTION("""COMPUTED_VALUE"""),"middle cerebellar peduncle")</f>
        <v>middle cerebellar peduncle</v>
      </c>
      <c r="F3313" s="9" t="str">
        <f>IFERROR(__xludf.DUMMYFUNCTION("""COMPUTED_VALUE"""),"Br")</f>
        <v>Br</v>
      </c>
      <c r="G3313" s="9" t="str">
        <f>IFERROR(__xludf.DUMMYFUNCTION("""COMPUTED_VALUE"""),"H")</f>
        <v>H</v>
      </c>
      <c r="H3313" s="9" t="str">
        <f>IFERROR(__xludf.DUMMYFUNCTION("""COMPUTED_VALUE"""),"HWM")</f>
        <v>HWM</v>
      </c>
      <c r="I3313" s="9" t="str">
        <f>IFERROR(__xludf.DUMMYFUNCTION("""COMPUTED_VALUE"""),"mcp")</f>
        <v>mcp</v>
      </c>
      <c r="J3313" s="9"/>
      <c r="K3313" s="9"/>
      <c r="L3313" s="9"/>
      <c r="M3313" s="9"/>
      <c r="N3313" s="9"/>
      <c r="O3313" s="9"/>
      <c r="P3313" s="9"/>
      <c r="Q3313" s="9"/>
      <c r="R3313" s="9"/>
      <c r="S3313" s="42" t="str">
        <f>IFERROR(__xludf.DUMMYFUNCTION("""COMPUTED_VALUE"""),"pncb;
rctp")</f>
        <v>pncb;
rctp</v>
      </c>
      <c r="T3313" s="42"/>
      <c r="U3313" s="42" t="b">
        <f>IFERROR(__xludf.DUMMYFUNCTION("""COMPUTED_VALUE"""),FALSE)</f>
        <v>0</v>
      </c>
      <c r="V3313" s="42"/>
      <c r="W3313" s="42"/>
      <c r="X3313" s="42"/>
      <c r="Y3313" s="42"/>
      <c r="Z3313" s="42"/>
      <c r="AA3313" s="42"/>
      <c r="AB3313" s="42" t="str">
        <f>IFERROR(__xludf.DUMMYFUNCTION("""COMPUTED_VALUE"""),"allen institute")</f>
        <v>allen institute</v>
      </c>
      <c r="AC3313" s="42" t="str">
        <f>IFERROR(__xludf.DUMMYFUNCTION("""COMPUTED_VALUE"""),"DHBA")</f>
        <v>DHBA</v>
      </c>
      <c r="AD3313" s="42"/>
      <c r="AE3313" s="42"/>
      <c r="AF3313" s="9"/>
      <c r="AG3313" s="9"/>
      <c r="AH3313" s="42"/>
      <c r="AI3313" s="42"/>
      <c r="AJ3313" s="42"/>
      <c r="AK3313" s="42"/>
      <c r="AL3313" s="42"/>
      <c r="AM3313" s="42"/>
      <c r="AN3313" s="42"/>
      <c r="AO3313" s="63" t="str">
        <f>IFERROR(__xludf.DUMMYFUNCTION("IF(ISBLANK(A3313),,IF(ISBLANK(S3313), A3313&amp;"";"", TEXTJOIN(CHAR(10), TRUE, A3313&amp;"";"", ARRAYFORMULA(VLOOKUP(SPLIT(S3313, "";"" &amp; CHAR(10)), $A:$AO, 41, FALSE)))))"),"mcp;
pncb;
rctp;")</f>
        <v>mcp;
pncb;
rctp;</v>
      </c>
      <c r="AP3313" s="89"/>
    </row>
    <row r="3314">
      <c r="A3314" s="151" t="str">
        <f>IFERROR(__xludf.DUMMYFUNCTION("""COMPUTED_VALUE"""),"pncb")</f>
        <v>pncb</v>
      </c>
      <c r="B3314" s="42" t="str">
        <f>IFERROR(__xludf.DUMMYFUNCTION("""COMPUTED_VALUE"""),"DHBA")</f>
        <v>DHBA</v>
      </c>
      <c r="C3314" s="42" t="str">
        <f>IFERROR(__xludf.DUMMYFUNCTION("""COMPUTED_VALUE"""),"pontocerebellar tract")</f>
        <v>pontocerebellar tract</v>
      </c>
      <c r="D3314" s="42">
        <f>IFERROR(__xludf.DUMMYFUNCTION("""COMPUTED_VALUE"""),3167.0)</f>
        <v>3167</v>
      </c>
      <c r="E3314" s="39" t="str">
        <f>IFERROR(__xludf.DUMMYFUNCTION("""COMPUTED_VALUE"""),"pontocerebellar tract")</f>
        <v>pontocerebellar tract</v>
      </c>
      <c r="F3314" s="9" t="str">
        <f>IFERROR(__xludf.DUMMYFUNCTION("""COMPUTED_VALUE"""),"Br")</f>
        <v>Br</v>
      </c>
      <c r="G3314" s="9" t="str">
        <f>IFERROR(__xludf.DUMMYFUNCTION("""COMPUTED_VALUE"""),"H")</f>
        <v>H</v>
      </c>
      <c r="H3314" s="9" t="str">
        <f>IFERROR(__xludf.DUMMYFUNCTION("""COMPUTED_VALUE"""),"HWM")</f>
        <v>HWM</v>
      </c>
      <c r="I3314" s="9" t="str">
        <f>IFERROR(__xludf.DUMMYFUNCTION("""COMPUTED_VALUE"""),"mcp")</f>
        <v>mcp</v>
      </c>
      <c r="J3314" s="9" t="str">
        <f>IFERROR(__xludf.DUMMYFUNCTION("""COMPUTED_VALUE"""),"pncb")</f>
        <v>pncb</v>
      </c>
      <c r="K3314" s="9"/>
      <c r="L3314" s="9"/>
      <c r="M3314" s="9"/>
      <c r="N3314" s="9"/>
      <c r="O3314" s="9"/>
      <c r="P3314" s="9"/>
      <c r="Q3314" s="9"/>
      <c r="R3314" s="9"/>
      <c r="S3314" s="42"/>
      <c r="T3314" s="42"/>
      <c r="U3314" s="42"/>
      <c r="V3314" s="42"/>
      <c r="W3314" s="42"/>
      <c r="X3314" s="42"/>
      <c r="Y3314" s="42"/>
      <c r="Z3314" s="42"/>
      <c r="AA3314" s="42"/>
      <c r="AB3314" s="42" t="str">
        <f>IFERROR(__xludf.DUMMYFUNCTION("""COMPUTED_VALUE"""),"allen institute")</f>
        <v>allen institute</v>
      </c>
      <c r="AC3314" s="42" t="str">
        <f>IFERROR(__xludf.DUMMYFUNCTION("""COMPUTED_VALUE"""),"DHBA")</f>
        <v>DHBA</v>
      </c>
      <c r="AD3314" s="42"/>
      <c r="AE3314" s="42"/>
      <c r="AF3314" s="9"/>
      <c r="AG3314" s="9"/>
      <c r="AH3314" s="42"/>
      <c r="AI3314" s="42"/>
      <c r="AJ3314" s="42"/>
      <c r="AK3314" s="42"/>
      <c r="AL3314" s="42"/>
      <c r="AM3314" s="42"/>
      <c r="AN3314" s="42"/>
      <c r="AO3314" s="63" t="str">
        <f>IFERROR(__xludf.DUMMYFUNCTION("IF(ISBLANK(A3314),,IF(ISBLANK(S3314), A3314&amp;"";"", TEXTJOIN(CHAR(10), TRUE, A3314&amp;"";"", ARRAYFORMULA(VLOOKUP(SPLIT(S3314, "";"" &amp; CHAR(10)), $A:$AO, 41, FALSE)))))"),"pncb;")</f>
        <v>pncb;</v>
      </c>
      <c r="AP3314" s="89"/>
    </row>
    <row r="3315">
      <c r="A3315" s="151" t="str">
        <f>IFERROR(__xludf.DUMMYFUNCTION("""COMPUTED_VALUE"""),"rctp")</f>
        <v>rctp</v>
      </c>
      <c r="B3315" s="42" t="str">
        <f>IFERROR(__xludf.DUMMYFUNCTION("""COMPUTED_VALUE"""),"DHBA")</f>
        <v>DHBA</v>
      </c>
      <c r="C3315" s="42" t="str">
        <f>IFERROR(__xludf.DUMMYFUNCTION("""COMPUTED_VALUE"""),"reticulocerebellar tract, pontine division")</f>
        <v>reticulocerebellar tract, pontine division</v>
      </c>
      <c r="D3315" s="42">
        <f>IFERROR(__xludf.DUMMYFUNCTION("""COMPUTED_VALUE"""),3168.0)</f>
        <v>3168</v>
      </c>
      <c r="E3315" s="39" t="str">
        <f>IFERROR(__xludf.DUMMYFUNCTION("""COMPUTED_VALUE"""),"reticulocerebellar tract, pontine division")</f>
        <v>reticulocerebellar tract, pontine division</v>
      </c>
      <c r="F3315" s="9" t="str">
        <f>IFERROR(__xludf.DUMMYFUNCTION("""COMPUTED_VALUE"""),"Br")</f>
        <v>Br</v>
      </c>
      <c r="G3315" s="9" t="str">
        <f>IFERROR(__xludf.DUMMYFUNCTION("""COMPUTED_VALUE"""),"H")</f>
        <v>H</v>
      </c>
      <c r="H3315" s="9" t="str">
        <f>IFERROR(__xludf.DUMMYFUNCTION("""COMPUTED_VALUE"""),"HWM")</f>
        <v>HWM</v>
      </c>
      <c r="I3315" s="9" t="str">
        <f>IFERROR(__xludf.DUMMYFUNCTION("""COMPUTED_VALUE"""),"mcp")</f>
        <v>mcp</v>
      </c>
      <c r="J3315" s="9" t="str">
        <f>IFERROR(__xludf.DUMMYFUNCTION("""COMPUTED_VALUE"""),"rctp")</f>
        <v>rctp</v>
      </c>
      <c r="K3315" s="9"/>
      <c r="L3315" s="9"/>
      <c r="M3315" s="9"/>
      <c r="N3315" s="9"/>
      <c r="O3315" s="9"/>
      <c r="P3315" s="9"/>
      <c r="Q3315" s="9"/>
      <c r="R3315" s="9"/>
      <c r="S3315" s="42"/>
      <c r="T3315" s="42"/>
      <c r="U3315" s="42"/>
      <c r="V3315" s="42"/>
      <c r="W3315" s="42"/>
      <c r="X3315" s="42"/>
      <c r="Y3315" s="42"/>
      <c r="Z3315" s="42"/>
      <c r="AA3315" s="42"/>
      <c r="AB3315" s="42" t="str">
        <f>IFERROR(__xludf.DUMMYFUNCTION("""COMPUTED_VALUE"""),"allen institute")</f>
        <v>allen institute</v>
      </c>
      <c r="AC3315" s="42" t="str">
        <f>IFERROR(__xludf.DUMMYFUNCTION("""COMPUTED_VALUE"""),"DHBA")</f>
        <v>DHBA</v>
      </c>
      <c r="AD3315" s="42"/>
      <c r="AE3315" s="42"/>
      <c r="AF3315" s="9"/>
      <c r="AG3315" s="9"/>
      <c r="AH3315" s="42"/>
      <c r="AI3315" s="42"/>
      <c r="AJ3315" s="42"/>
      <c r="AK3315" s="42"/>
      <c r="AL3315" s="42"/>
      <c r="AM3315" s="42"/>
      <c r="AN3315" s="42"/>
      <c r="AO3315" s="63" t="str">
        <f>IFERROR(__xludf.DUMMYFUNCTION("IF(ISBLANK(A3315),,IF(ISBLANK(S3315), A3315&amp;"";"", TEXTJOIN(CHAR(10), TRUE, A3315&amp;"";"", ARRAYFORMULA(VLOOKUP(SPLIT(S3315, "";"" &amp; CHAR(10)), $A:$AO, 41, FALSE)))))"),"rctp;")</f>
        <v>rctp;</v>
      </c>
      <c r="AP3315" s="89"/>
    </row>
    <row r="3316">
      <c r="A3316" s="151" t="str">
        <f>IFERROR(__xludf.DUMMYFUNCTION("""COMPUTED_VALUE"""),"olcob")</f>
        <v>olcob</v>
      </c>
      <c r="B3316" s="42" t="str">
        <f>IFERROR(__xludf.DUMMYFUNCTION("""COMPUTED_VALUE"""),"DHBA")</f>
        <v>DHBA</v>
      </c>
      <c r="C3316" s="42" t="str">
        <f>IFERROR(__xludf.DUMMYFUNCTION("""COMPUTED_VALUE"""),"olivocochlear bundle")</f>
        <v>olivocochlear bundle</v>
      </c>
      <c r="D3316" s="42">
        <f>IFERROR(__xludf.DUMMYFUNCTION("""COMPUTED_VALUE"""),3169.0)</f>
        <v>3169</v>
      </c>
      <c r="E3316" s="39" t="str">
        <f>IFERROR(__xludf.DUMMYFUNCTION("""COMPUTED_VALUE"""),"olivocochlear bundle")</f>
        <v>olivocochlear bundle</v>
      </c>
      <c r="F3316" s="9" t="str">
        <f>IFERROR(__xludf.DUMMYFUNCTION("""COMPUTED_VALUE"""),"Br")</f>
        <v>Br</v>
      </c>
      <c r="G3316" s="9" t="str">
        <f>IFERROR(__xludf.DUMMYFUNCTION("""COMPUTED_VALUE"""),"H")</f>
        <v>H</v>
      </c>
      <c r="H3316" s="9" t="str">
        <f>IFERROR(__xludf.DUMMYFUNCTION("""COMPUTED_VALUE"""),"HWM")</f>
        <v>HWM</v>
      </c>
      <c r="I3316" s="9" t="str">
        <f>IFERROR(__xludf.DUMMYFUNCTION("""COMPUTED_VALUE"""),"olcob")</f>
        <v>olcob</v>
      </c>
      <c r="J3316" s="9"/>
      <c r="K3316" s="9"/>
      <c r="L3316" s="9"/>
      <c r="M3316" s="9"/>
      <c r="N3316" s="9"/>
      <c r="O3316" s="9"/>
      <c r="P3316" s="9"/>
      <c r="Q3316" s="9"/>
      <c r="R3316" s="9"/>
      <c r="S3316" s="42"/>
      <c r="T3316" s="42"/>
      <c r="U3316" s="42"/>
      <c r="V3316" s="42"/>
      <c r="W3316" s="42"/>
      <c r="X3316" s="42"/>
      <c r="Y3316" s="42"/>
      <c r="Z3316" s="42"/>
      <c r="AA3316" s="42"/>
      <c r="AB3316" s="42" t="str">
        <f>IFERROR(__xludf.DUMMYFUNCTION("""COMPUTED_VALUE"""),"allen institute")</f>
        <v>allen institute</v>
      </c>
      <c r="AC3316" s="42" t="str">
        <f>IFERROR(__xludf.DUMMYFUNCTION("""COMPUTED_VALUE"""),"DHBA")</f>
        <v>DHBA</v>
      </c>
      <c r="AD3316" s="42"/>
      <c r="AE3316" s="42"/>
      <c r="AF3316" s="9"/>
      <c r="AG3316" s="9"/>
      <c r="AH3316" s="42"/>
      <c r="AI3316" s="42"/>
      <c r="AJ3316" s="42"/>
      <c r="AK3316" s="42"/>
      <c r="AL3316" s="42"/>
      <c r="AM3316" s="42"/>
      <c r="AN3316" s="42"/>
      <c r="AO3316" s="63" t="str">
        <f>IFERROR(__xludf.DUMMYFUNCTION("IF(ISBLANK(A3316),,IF(ISBLANK(S3316), A3316&amp;"";"", TEXTJOIN(CHAR(10), TRUE, A3316&amp;"";"", ARRAYFORMULA(VLOOKUP(SPLIT(S3316, "";"" &amp; CHAR(10)), $A:$AO, 41, FALSE)))))"),"olcob;")</f>
        <v>olcob;</v>
      </c>
      <c r="AP3316" s="89"/>
    </row>
    <row r="3317">
      <c r="A3317" s="151" t="str">
        <f>IFERROR(__xludf.DUMMYFUNCTION("""COMPUTED_VALUE"""),"xpy")</f>
        <v>xpy</v>
      </c>
      <c r="B3317" s="42" t="str">
        <f>IFERROR(__xludf.DUMMYFUNCTION("""COMPUTED_VALUE"""),"DHBA")</f>
        <v>DHBA</v>
      </c>
      <c r="C3317" s="42" t="str">
        <f>IFERROR(__xludf.DUMMYFUNCTION("""COMPUTED_VALUE"""),"pyramidal decussation")</f>
        <v>pyramidal decussation</v>
      </c>
      <c r="D3317" s="42">
        <f>IFERROR(__xludf.DUMMYFUNCTION("""COMPUTED_VALUE"""),3170.0)</f>
        <v>3170</v>
      </c>
      <c r="E3317" s="39" t="str">
        <f>IFERROR(__xludf.DUMMYFUNCTION("""COMPUTED_VALUE"""),"pyramidal decussation")</f>
        <v>pyramidal decussation</v>
      </c>
      <c r="F3317" s="9" t="str">
        <f>IFERROR(__xludf.DUMMYFUNCTION("""COMPUTED_VALUE"""),"Br")</f>
        <v>Br</v>
      </c>
      <c r="G3317" s="9" t="str">
        <f>IFERROR(__xludf.DUMMYFUNCTION("""COMPUTED_VALUE"""),"H")</f>
        <v>H</v>
      </c>
      <c r="H3317" s="9" t="str">
        <f>IFERROR(__xludf.DUMMYFUNCTION("""COMPUTED_VALUE"""),"HWM")</f>
        <v>HWM</v>
      </c>
      <c r="I3317" s="9" t="str">
        <f>IFERROR(__xludf.DUMMYFUNCTION("""COMPUTED_VALUE"""),"xpy")</f>
        <v>xpy</v>
      </c>
      <c r="J3317" s="9"/>
      <c r="K3317" s="9"/>
      <c r="L3317" s="9"/>
      <c r="M3317" s="9"/>
      <c r="N3317" s="9"/>
      <c r="O3317" s="9"/>
      <c r="P3317" s="9"/>
      <c r="Q3317" s="9"/>
      <c r="R3317" s="9"/>
      <c r="S3317" s="42"/>
      <c r="T3317" s="42"/>
      <c r="U3317" s="42"/>
      <c r="V3317" s="42"/>
      <c r="W3317" s="42"/>
      <c r="X3317" s="42"/>
      <c r="Y3317" s="42"/>
      <c r="Z3317" s="42"/>
      <c r="AA3317" s="42"/>
      <c r="AB3317" s="42" t="str">
        <f>IFERROR(__xludf.DUMMYFUNCTION("""COMPUTED_VALUE"""),"allen institute")</f>
        <v>allen institute</v>
      </c>
      <c r="AC3317" s="42" t="str">
        <f>IFERROR(__xludf.DUMMYFUNCTION("""COMPUTED_VALUE"""),"DHBA")</f>
        <v>DHBA</v>
      </c>
      <c r="AD3317" s="42"/>
      <c r="AE3317" s="42"/>
      <c r="AF3317" s="9"/>
      <c r="AG3317" s="9"/>
      <c r="AH3317" s="42"/>
      <c r="AI3317" s="42"/>
      <c r="AJ3317" s="42"/>
      <c r="AK3317" s="42"/>
      <c r="AL3317" s="42"/>
      <c r="AM3317" s="42"/>
      <c r="AN3317" s="42"/>
      <c r="AO3317" s="63" t="str">
        <f>IFERROR(__xludf.DUMMYFUNCTION("IF(ISBLANK(A3317),,IF(ISBLANK(S3317), A3317&amp;"";"", TEXTJOIN(CHAR(10), TRUE, A3317&amp;"";"", ARRAYFORMULA(VLOOKUP(SPLIT(S3317, "";"" &amp; CHAR(10)), $A:$AO, 41, FALSE)))))"),"xpy;")</f>
        <v>xpy;</v>
      </c>
      <c r="AP3317" s="89"/>
    </row>
    <row r="3318">
      <c r="A3318" s="151" t="str">
        <f>IFERROR(__xludf.DUMMYFUNCTION("""COMPUTED_VALUE"""),"py")</f>
        <v>py</v>
      </c>
      <c r="B3318" s="42" t="str">
        <f>IFERROR(__xludf.DUMMYFUNCTION("""COMPUTED_VALUE"""),"DHBA")</f>
        <v>DHBA</v>
      </c>
      <c r="C3318" s="42" t="str">
        <f>IFERROR(__xludf.DUMMYFUNCTION("""COMPUTED_VALUE"""),"pyramidal tract")</f>
        <v>pyramidal tract</v>
      </c>
      <c r="D3318" s="42">
        <f>IFERROR(__xludf.DUMMYFUNCTION("""COMPUTED_VALUE"""),3171.0)</f>
        <v>3171</v>
      </c>
      <c r="E3318" s="39" t="str">
        <f>IFERROR(__xludf.DUMMYFUNCTION("""COMPUTED_VALUE"""),"pyramidal tract")</f>
        <v>pyramidal tract</v>
      </c>
      <c r="F3318" s="9" t="str">
        <f>IFERROR(__xludf.DUMMYFUNCTION("""COMPUTED_VALUE"""),"Br")</f>
        <v>Br</v>
      </c>
      <c r="G3318" s="9" t="str">
        <f>IFERROR(__xludf.DUMMYFUNCTION("""COMPUTED_VALUE"""),"H")</f>
        <v>H</v>
      </c>
      <c r="H3318" s="9" t="str">
        <f>IFERROR(__xludf.DUMMYFUNCTION("""COMPUTED_VALUE"""),"HWM")</f>
        <v>HWM</v>
      </c>
      <c r="I3318" s="9" t="str">
        <f>IFERROR(__xludf.DUMMYFUNCTION("""COMPUTED_VALUE"""),"py")</f>
        <v>py</v>
      </c>
      <c r="J3318" s="9"/>
      <c r="K3318" s="9"/>
      <c r="L3318" s="9"/>
      <c r="M3318" s="9"/>
      <c r="N3318" s="9"/>
      <c r="O3318" s="9"/>
      <c r="P3318" s="9"/>
      <c r="Q3318" s="9"/>
      <c r="R3318" s="9"/>
      <c r="S3318" s="42" t="str">
        <f>IFERROR(__xludf.DUMMYFUNCTION("""COMPUTED_VALUE"""),"cbu_h;
cre_h;
csp_h")</f>
        <v>cbu_h;
cre_h;
csp_h</v>
      </c>
      <c r="T3318" s="42"/>
      <c r="U3318" s="42" t="b">
        <f>IFERROR(__xludf.DUMMYFUNCTION("""COMPUTED_VALUE"""),FALSE)</f>
        <v>0</v>
      </c>
      <c r="V3318" s="42"/>
      <c r="W3318" s="42"/>
      <c r="X3318" s="42"/>
      <c r="Y3318" s="42"/>
      <c r="Z3318" s="42"/>
      <c r="AA3318" s="42"/>
      <c r="AB3318" s="42" t="str">
        <f>IFERROR(__xludf.DUMMYFUNCTION("""COMPUTED_VALUE"""),"allen institute")</f>
        <v>allen institute</v>
      </c>
      <c r="AC3318" s="42" t="str">
        <f>IFERROR(__xludf.DUMMYFUNCTION("""COMPUTED_VALUE"""),"DHBA")</f>
        <v>DHBA</v>
      </c>
      <c r="AD3318" s="42"/>
      <c r="AE3318" s="42"/>
      <c r="AF3318" s="9"/>
      <c r="AG3318" s="9"/>
      <c r="AH3318" s="42"/>
      <c r="AI3318" s="42"/>
      <c r="AJ3318" s="42"/>
      <c r="AK3318" s="42"/>
      <c r="AL3318" s="42"/>
      <c r="AM3318" s="42"/>
      <c r="AN3318" s="42"/>
      <c r="AO3318" s="63" t="str">
        <f>IFERROR(__xludf.DUMMYFUNCTION("IF(ISBLANK(A3318),,IF(ISBLANK(S3318), A3318&amp;"";"", TEXTJOIN(CHAR(10), TRUE, A3318&amp;"";"", ARRAYFORMULA(VLOOKUP(SPLIT(S3318, "";"" &amp; CHAR(10)), $A:$AO, 41, FALSE)))))"),"#N/A")</f>
        <v>#N/A</v>
      </c>
      <c r="AP3318" s="89"/>
    </row>
    <row r="3319">
      <c r="A3319" s="151" t="str">
        <f>IFERROR(__xludf.DUMMYFUNCTION("""COMPUTED_VALUE"""),"cbu-h")</f>
        <v>cbu-h</v>
      </c>
      <c r="B3319" s="42" t="str">
        <f>IFERROR(__xludf.DUMMYFUNCTION("""COMPUTED_VALUE"""),"DHBA")</f>
        <v>DHBA</v>
      </c>
      <c r="C3319" s="42" t="str">
        <f>IFERROR(__xludf.DUMMYFUNCTION("""COMPUTED_VALUE"""),"corticobulbar tract")</f>
        <v>corticobulbar tract</v>
      </c>
      <c r="D3319" s="42">
        <f>IFERROR(__xludf.DUMMYFUNCTION("""COMPUTED_VALUE"""),3172.0)</f>
        <v>3172</v>
      </c>
      <c r="E3319" s="39" t="str">
        <f>IFERROR(__xludf.DUMMYFUNCTION("""COMPUTED_VALUE"""),"corticobulbar tract")</f>
        <v>corticobulbar tract</v>
      </c>
      <c r="F3319" s="9" t="str">
        <f>IFERROR(__xludf.DUMMYFUNCTION("""COMPUTED_VALUE"""),"Br")</f>
        <v>Br</v>
      </c>
      <c r="G3319" s="9" t="str">
        <f>IFERROR(__xludf.DUMMYFUNCTION("""COMPUTED_VALUE"""),"H")</f>
        <v>H</v>
      </c>
      <c r="H3319" s="9" t="str">
        <f>IFERROR(__xludf.DUMMYFUNCTION("""COMPUTED_VALUE"""),"HWM")</f>
        <v>HWM</v>
      </c>
      <c r="I3319" s="9" t="str">
        <f>IFERROR(__xludf.DUMMYFUNCTION("""COMPUTED_VALUE"""),"py")</f>
        <v>py</v>
      </c>
      <c r="J3319" s="9" t="str">
        <f>IFERROR(__xludf.DUMMYFUNCTION("""COMPUTED_VALUE"""),"cbu-h")</f>
        <v>cbu-h</v>
      </c>
      <c r="K3319" s="9"/>
      <c r="L3319" s="9"/>
      <c r="M3319" s="9"/>
      <c r="N3319" s="9"/>
      <c r="O3319" s="9"/>
      <c r="P3319" s="9"/>
      <c r="Q3319" s="9"/>
      <c r="R3319" s="9"/>
      <c r="S3319" s="42"/>
      <c r="T3319" s="42"/>
      <c r="U3319" s="42"/>
      <c r="V3319" s="42"/>
      <c r="W3319" s="42"/>
      <c r="X3319" s="42"/>
      <c r="Y3319" s="42"/>
      <c r="Z3319" s="42"/>
      <c r="AA3319" s="42"/>
      <c r="AB3319" s="42" t="str">
        <f>IFERROR(__xludf.DUMMYFUNCTION("""COMPUTED_VALUE"""),"allen institute")</f>
        <v>allen institute</v>
      </c>
      <c r="AC3319" s="42" t="str">
        <f>IFERROR(__xludf.DUMMYFUNCTION("""COMPUTED_VALUE"""),"DHBA")</f>
        <v>DHBA</v>
      </c>
      <c r="AD3319" s="42"/>
      <c r="AE3319" s="42"/>
      <c r="AF3319" s="9"/>
      <c r="AG3319" s="9"/>
      <c r="AH3319" s="42"/>
      <c r="AI3319" s="42"/>
      <c r="AJ3319" s="42"/>
      <c r="AK3319" s="42"/>
      <c r="AL3319" s="42"/>
      <c r="AM3319" s="42"/>
      <c r="AN3319" s="42"/>
      <c r="AO3319" s="63" t="str">
        <f>IFERROR(__xludf.DUMMYFUNCTION("IF(ISBLANK(A3319),,IF(ISBLANK(S3319), A3319&amp;"";"", TEXTJOIN(CHAR(10), TRUE, A3319&amp;"";"", ARRAYFORMULA(VLOOKUP(SPLIT(S3319, "";"" &amp; CHAR(10)), $A:$AO, 41, FALSE)))))"),"cbu-h;")</f>
        <v>cbu-h;</v>
      </c>
      <c r="AP3319" s="89"/>
    </row>
    <row r="3320">
      <c r="A3320" s="151" t="str">
        <f>IFERROR(__xludf.DUMMYFUNCTION("""COMPUTED_VALUE"""),"cre-h")</f>
        <v>cre-h</v>
      </c>
      <c r="B3320" s="42" t="str">
        <f>IFERROR(__xludf.DUMMYFUNCTION("""COMPUTED_VALUE"""),"DHBA")</f>
        <v>DHBA</v>
      </c>
      <c r="C3320" s="42" t="str">
        <f>IFERROR(__xludf.DUMMYFUNCTION("""COMPUTED_VALUE"""),"corticoreticular tract")</f>
        <v>corticoreticular tract</v>
      </c>
      <c r="D3320" s="42">
        <f>IFERROR(__xludf.DUMMYFUNCTION("""COMPUTED_VALUE"""),3173.0)</f>
        <v>3173</v>
      </c>
      <c r="E3320" s="39" t="str">
        <f>IFERROR(__xludf.DUMMYFUNCTION("""COMPUTED_VALUE"""),"corticoreticular tract")</f>
        <v>corticoreticular tract</v>
      </c>
      <c r="F3320" s="9" t="str">
        <f>IFERROR(__xludf.DUMMYFUNCTION("""COMPUTED_VALUE"""),"Br")</f>
        <v>Br</v>
      </c>
      <c r="G3320" s="9" t="str">
        <f>IFERROR(__xludf.DUMMYFUNCTION("""COMPUTED_VALUE"""),"H")</f>
        <v>H</v>
      </c>
      <c r="H3320" s="9" t="str">
        <f>IFERROR(__xludf.DUMMYFUNCTION("""COMPUTED_VALUE"""),"HWM")</f>
        <v>HWM</v>
      </c>
      <c r="I3320" s="9" t="str">
        <f>IFERROR(__xludf.DUMMYFUNCTION("""COMPUTED_VALUE"""),"py")</f>
        <v>py</v>
      </c>
      <c r="J3320" s="9" t="str">
        <f>IFERROR(__xludf.DUMMYFUNCTION("""COMPUTED_VALUE"""),"cre-h")</f>
        <v>cre-h</v>
      </c>
      <c r="K3320" s="9"/>
      <c r="L3320" s="9"/>
      <c r="M3320" s="9"/>
      <c r="N3320" s="9"/>
      <c r="O3320" s="9"/>
      <c r="P3320" s="9"/>
      <c r="Q3320" s="9"/>
      <c r="R3320" s="9"/>
      <c r="S3320" s="42"/>
      <c r="T3320" s="42"/>
      <c r="U3320" s="42"/>
      <c r="V3320" s="42"/>
      <c r="W3320" s="42"/>
      <c r="X3320" s="42"/>
      <c r="Y3320" s="42"/>
      <c r="Z3320" s="42"/>
      <c r="AA3320" s="42"/>
      <c r="AB3320" s="42" t="str">
        <f>IFERROR(__xludf.DUMMYFUNCTION("""COMPUTED_VALUE"""),"allen institute")</f>
        <v>allen institute</v>
      </c>
      <c r="AC3320" s="42" t="str">
        <f>IFERROR(__xludf.DUMMYFUNCTION("""COMPUTED_VALUE"""),"DHBA")</f>
        <v>DHBA</v>
      </c>
      <c r="AD3320" s="42"/>
      <c r="AE3320" s="42"/>
      <c r="AF3320" s="9"/>
      <c r="AG3320" s="9"/>
      <c r="AH3320" s="42"/>
      <c r="AI3320" s="42"/>
      <c r="AJ3320" s="42"/>
      <c r="AK3320" s="42"/>
      <c r="AL3320" s="42"/>
      <c r="AM3320" s="42"/>
      <c r="AN3320" s="42"/>
      <c r="AO3320" s="63" t="str">
        <f>IFERROR(__xludf.DUMMYFUNCTION("IF(ISBLANK(A3320),,IF(ISBLANK(S3320), A3320&amp;"";"", TEXTJOIN(CHAR(10), TRUE, A3320&amp;"";"", ARRAYFORMULA(VLOOKUP(SPLIT(S3320, "";"" &amp; CHAR(10)), $A:$AO, 41, FALSE)))))"),"cre-h;")</f>
        <v>cre-h;</v>
      </c>
      <c r="AP3320" s="89"/>
    </row>
    <row r="3321">
      <c r="A3321" s="151" t="str">
        <f>IFERROR(__xludf.DUMMYFUNCTION("""COMPUTED_VALUE"""),"csp-h")</f>
        <v>csp-h</v>
      </c>
      <c r="B3321" s="42" t="str">
        <f>IFERROR(__xludf.DUMMYFUNCTION("""COMPUTED_VALUE"""),"DHBA")</f>
        <v>DHBA</v>
      </c>
      <c r="C3321" s="42" t="str">
        <f>IFERROR(__xludf.DUMMYFUNCTION("""COMPUTED_VALUE"""),"corticospinal tract")</f>
        <v>corticospinal tract</v>
      </c>
      <c r="D3321" s="42">
        <f>IFERROR(__xludf.DUMMYFUNCTION("""COMPUTED_VALUE"""),3174.0)</f>
        <v>3174</v>
      </c>
      <c r="E3321" s="39" t="str">
        <f>IFERROR(__xludf.DUMMYFUNCTION("""COMPUTED_VALUE"""),"corticospinal tract")</f>
        <v>corticospinal tract</v>
      </c>
      <c r="F3321" s="9" t="str">
        <f>IFERROR(__xludf.DUMMYFUNCTION("""COMPUTED_VALUE"""),"Br")</f>
        <v>Br</v>
      </c>
      <c r="G3321" s="9" t="str">
        <f>IFERROR(__xludf.DUMMYFUNCTION("""COMPUTED_VALUE"""),"H")</f>
        <v>H</v>
      </c>
      <c r="H3321" s="9" t="str">
        <f>IFERROR(__xludf.DUMMYFUNCTION("""COMPUTED_VALUE"""),"HWM")</f>
        <v>HWM</v>
      </c>
      <c r="I3321" s="9" t="str">
        <f>IFERROR(__xludf.DUMMYFUNCTION("""COMPUTED_VALUE"""),"py")</f>
        <v>py</v>
      </c>
      <c r="J3321" s="9" t="str">
        <f>IFERROR(__xludf.DUMMYFUNCTION("""COMPUTED_VALUE"""),"csp-h")</f>
        <v>csp-h</v>
      </c>
      <c r="K3321" s="9"/>
      <c r="L3321" s="9"/>
      <c r="M3321" s="9"/>
      <c r="N3321" s="9"/>
      <c r="O3321" s="9"/>
      <c r="P3321" s="9"/>
      <c r="Q3321" s="9"/>
      <c r="R3321" s="9"/>
      <c r="S3321" s="42"/>
      <c r="T3321" s="42"/>
      <c r="U3321" s="42" t="b">
        <f>IFERROR(__xludf.DUMMYFUNCTION("""COMPUTED_VALUE"""),FALSE)</f>
        <v>0</v>
      </c>
      <c r="V3321" s="42"/>
      <c r="W3321" s="42"/>
      <c r="X3321" s="42"/>
      <c r="Y3321" s="42"/>
      <c r="Z3321" s="42"/>
      <c r="AA3321" s="42"/>
      <c r="AB3321" s="42" t="str">
        <f>IFERROR(__xludf.DUMMYFUNCTION("""COMPUTED_VALUE"""),"allen institute")</f>
        <v>allen institute</v>
      </c>
      <c r="AC3321" s="42" t="str">
        <f>IFERROR(__xludf.DUMMYFUNCTION("""COMPUTED_VALUE"""),"DHBA")</f>
        <v>DHBA</v>
      </c>
      <c r="AD3321" s="42"/>
      <c r="AE3321" s="42"/>
      <c r="AF3321" s="9"/>
      <c r="AG3321" s="9"/>
      <c r="AH3321" s="42"/>
      <c r="AI3321" s="42"/>
      <c r="AJ3321" s="42"/>
      <c r="AK3321" s="42"/>
      <c r="AL3321" s="42"/>
      <c r="AM3321" s="42"/>
      <c r="AN3321" s="42"/>
      <c r="AO3321" s="63" t="str">
        <f>IFERROR(__xludf.DUMMYFUNCTION("IF(ISBLANK(A3321),,IF(ISBLANK(S3321), A3321&amp;"";"", TEXTJOIN(CHAR(10), TRUE, A3321&amp;"";"", ARRAYFORMULA(VLOOKUP(SPLIT(S3321, "";"" &amp; CHAR(10)), $A:$AO, 41, FALSE)))))"),"csp-h;")</f>
        <v>csp-h;</v>
      </c>
      <c r="AP3321" s="89"/>
    </row>
    <row r="3322">
      <c r="A3322" s="151" t="str">
        <f>IFERROR(__xludf.DUMMYFUNCTION("""COMPUTED_VALUE"""),"rsp")</f>
        <v>rsp</v>
      </c>
      <c r="B3322" s="42" t="str">
        <f>IFERROR(__xludf.DUMMYFUNCTION("""COMPUTED_VALUE"""),"DHBA")</f>
        <v>DHBA</v>
      </c>
      <c r="C3322" s="42" t="str">
        <f>IFERROR(__xludf.DUMMYFUNCTION("""COMPUTED_VALUE"""),"raphespinal tract")</f>
        <v>raphespinal tract</v>
      </c>
      <c r="D3322" s="42">
        <f>IFERROR(__xludf.DUMMYFUNCTION("""COMPUTED_VALUE"""),3175.0)</f>
        <v>3175</v>
      </c>
      <c r="E3322" s="39" t="str">
        <f>IFERROR(__xludf.DUMMYFUNCTION("""COMPUTED_VALUE"""),"raphespinal tract")</f>
        <v>raphespinal tract</v>
      </c>
      <c r="F3322" s="9" t="str">
        <f>IFERROR(__xludf.DUMMYFUNCTION("""COMPUTED_VALUE"""),"Br")</f>
        <v>Br</v>
      </c>
      <c r="G3322" s="9" t="str">
        <f>IFERROR(__xludf.DUMMYFUNCTION("""COMPUTED_VALUE"""),"H")</f>
        <v>H</v>
      </c>
      <c r="H3322" s="9" t="str">
        <f>IFERROR(__xludf.DUMMYFUNCTION("""COMPUTED_VALUE"""),"HWM")</f>
        <v>HWM</v>
      </c>
      <c r="I3322" s="9" t="str">
        <f>IFERROR(__xludf.DUMMYFUNCTION("""COMPUTED_VALUE"""),"rsp")</f>
        <v>rsp</v>
      </c>
      <c r="J3322" s="9"/>
      <c r="K3322" s="9"/>
      <c r="L3322" s="9"/>
      <c r="M3322" s="9"/>
      <c r="N3322" s="9"/>
      <c r="O3322" s="9"/>
      <c r="P3322" s="9"/>
      <c r="Q3322" s="9"/>
      <c r="R3322" s="9"/>
      <c r="S3322" s="42" t="str">
        <f>IFERROR(__xludf.DUMMYFUNCTION("""COMPUTED_VALUE"""),"lrsp;
vrsp")</f>
        <v>lrsp;
vrsp</v>
      </c>
      <c r="T3322" s="42"/>
      <c r="U3322" s="42" t="b">
        <f>IFERROR(__xludf.DUMMYFUNCTION("""COMPUTED_VALUE"""),FALSE)</f>
        <v>0</v>
      </c>
      <c r="V3322" s="42"/>
      <c r="W3322" s="42"/>
      <c r="X3322" s="42"/>
      <c r="Y3322" s="42"/>
      <c r="Z3322" s="42"/>
      <c r="AA3322" s="42"/>
      <c r="AB3322" s="42" t="str">
        <f>IFERROR(__xludf.DUMMYFUNCTION("""COMPUTED_VALUE"""),"allen institute")</f>
        <v>allen institute</v>
      </c>
      <c r="AC3322" s="42" t="str">
        <f>IFERROR(__xludf.DUMMYFUNCTION("""COMPUTED_VALUE"""),"DHBA")</f>
        <v>DHBA</v>
      </c>
      <c r="AD3322" s="42"/>
      <c r="AE3322" s="42"/>
      <c r="AF3322" s="9"/>
      <c r="AG3322" s="9"/>
      <c r="AH3322" s="42"/>
      <c r="AI3322" s="42"/>
      <c r="AJ3322" s="42"/>
      <c r="AK3322" s="42"/>
      <c r="AL3322" s="42"/>
      <c r="AM3322" s="42"/>
      <c r="AN3322" s="42"/>
      <c r="AO3322" s="63" t="str">
        <f>IFERROR(__xludf.DUMMYFUNCTION("IF(ISBLANK(A3322),,IF(ISBLANK(S3322), A3322&amp;"";"", TEXTJOIN(CHAR(10), TRUE, A3322&amp;"";"", ARRAYFORMULA(VLOOKUP(SPLIT(S3322, "";"" &amp; CHAR(10)), $A:$AO, 41, FALSE)))))"),"rsp;
lrsp;
vrsp;")</f>
        <v>rsp;
lrsp;
vrsp;</v>
      </c>
      <c r="AP3322" s="89"/>
    </row>
    <row r="3323">
      <c r="A3323" s="151" t="str">
        <f>IFERROR(__xludf.DUMMYFUNCTION("""COMPUTED_VALUE"""),"lrsp")</f>
        <v>lrsp</v>
      </c>
      <c r="B3323" s="42" t="str">
        <f>IFERROR(__xludf.DUMMYFUNCTION("""COMPUTED_VALUE"""),"DHBA")</f>
        <v>DHBA</v>
      </c>
      <c r="C3323" s="42" t="str">
        <f>IFERROR(__xludf.DUMMYFUNCTION("""COMPUTED_VALUE"""),"lateral raphespinal tract")</f>
        <v>lateral raphespinal tract</v>
      </c>
      <c r="D3323" s="42">
        <f>IFERROR(__xludf.DUMMYFUNCTION("""COMPUTED_VALUE"""),3176.0)</f>
        <v>3176</v>
      </c>
      <c r="E3323" s="39" t="str">
        <f>IFERROR(__xludf.DUMMYFUNCTION("""COMPUTED_VALUE"""),"lateral raphespinal tract")</f>
        <v>lateral raphespinal tract</v>
      </c>
      <c r="F3323" s="9" t="str">
        <f>IFERROR(__xludf.DUMMYFUNCTION("""COMPUTED_VALUE"""),"Br")</f>
        <v>Br</v>
      </c>
      <c r="G3323" s="9" t="str">
        <f>IFERROR(__xludf.DUMMYFUNCTION("""COMPUTED_VALUE"""),"H")</f>
        <v>H</v>
      </c>
      <c r="H3323" s="9" t="str">
        <f>IFERROR(__xludf.DUMMYFUNCTION("""COMPUTED_VALUE"""),"HWM")</f>
        <v>HWM</v>
      </c>
      <c r="I3323" s="9" t="str">
        <f>IFERROR(__xludf.DUMMYFUNCTION("""COMPUTED_VALUE"""),"rsp")</f>
        <v>rsp</v>
      </c>
      <c r="J3323" s="9" t="str">
        <f>IFERROR(__xludf.DUMMYFUNCTION("""COMPUTED_VALUE"""),"lrsp")</f>
        <v>lrsp</v>
      </c>
      <c r="K3323" s="9"/>
      <c r="L3323" s="9"/>
      <c r="M3323" s="9"/>
      <c r="N3323" s="9"/>
      <c r="O3323" s="9"/>
      <c r="P3323" s="9"/>
      <c r="Q3323" s="9"/>
      <c r="R3323" s="9"/>
      <c r="S3323" s="42"/>
      <c r="T3323" s="42"/>
      <c r="U3323" s="42"/>
      <c r="V3323" s="42"/>
      <c r="W3323" s="42"/>
      <c r="X3323" s="42"/>
      <c r="Y3323" s="42"/>
      <c r="Z3323" s="42"/>
      <c r="AA3323" s="42"/>
      <c r="AB3323" s="42" t="str">
        <f>IFERROR(__xludf.DUMMYFUNCTION("""COMPUTED_VALUE"""),"allen institute")</f>
        <v>allen institute</v>
      </c>
      <c r="AC3323" s="42" t="str">
        <f>IFERROR(__xludf.DUMMYFUNCTION("""COMPUTED_VALUE"""),"DHBA")</f>
        <v>DHBA</v>
      </c>
      <c r="AD3323" s="42"/>
      <c r="AE3323" s="42"/>
      <c r="AF3323" s="9"/>
      <c r="AG3323" s="9"/>
      <c r="AH3323" s="42"/>
      <c r="AI3323" s="42"/>
      <c r="AJ3323" s="42"/>
      <c r="AK3323" s="42"/>
      <c r="AL3323" s="42"/>
      <c r="AM3323" s="42"/>
      <c r="AN3323" s="42"/>
      <c r="AO3323" s="63" t="str">
        <f>IFERROR(__xludf.DUMMYFUNCTION("IF(ISBLANK(A3323),,IF(ISBLANK(S3323), A3323&amp;"";"", TEXTJOIN(CHAR(10), TRUE, A3323&amp;"";"", ARRAYFORMULA(VLOOKUP(SPLIT(S3323, "";"" &amp; CHAR(10)), $A:$AO, 41, FALSE)))))"),"lrsp;")</f>
        <v>lrsp;</v>
      </c>
      <c r="AP3323" s="89"/>
    </row>
    <row r="3324">
      <c r="A3324" s="151" t="str">
        <f>IFERROR(__xludf.DUMMYFUNCTION("""COMPUTED_VALUE"""),"vrsp")</f>
        <v>vrsp</v>
      </c>
      <c r="B3324" s="42" t="str">
        <f>IFERROR(__xludf.DUMMYFUNCTION("""COMPUTED_VALUE"""),"DHBA")</f>
        <v>DHBA</v>
      </c>
      <c r="C3324" s="42" t="str">
        <f>IFERROR(__xludf.DUMMYFUNCTION("""COMPUTED_VALUE"""),"ventral raphespinal tract")</f>
        <v>ventral raphespinal tract</v>
      </c>
      <c r="D3324" s="42">
        <f>IFERROR(__xludf.DUMMYFUNCTION("""COMPUTED_VALUE"""),3177.0)</f>
        <v>3177</v>
      </c>
      <c r="E3324" s="39" t="str">
        <f>IFERROR(__xludf.DUMMYFUNCTION("""COMPUTED_VALUE"""),"ventral raphespinal tract")</f>
        <v>ventral raphespinal tract</v>
      </c>
      <c r="F3324" s="9" t="str">
        <f>IFERROR(__xludf.DUMMYFUNCTION("""COMPUTED_VALUE"""),"Br")</f>
        <v>Br</v>
      </c>
      <c r="G3324" s="9" t="str">
        <f>IFERROR(__xludf.DUMMYFUNCTION("""COMPUTED_VALUE"""),"H")</f>
        <v>H</v>
      </c>
      <c r="H3324" s="9" t="str">
        <f>IFERROR(__xludf.DUMMYFUNCTION("""COMPUTED_VALUE"""),"HWM")</f>
        <v>HWM</v>
      </c>
      <c r="I3324" s="9" t="str">
        <f>IFERROR(__xludf.DUMMYFUNCTION("""COMPUTED_VALUE"""),"rsp")</f>
        <v>rsp</v>
      </c>
      <c r="J3324" s="9" t="str">
        <f>IFERROR(__xludf.DUMMYFUNCTION("""COMPUTED_VALUE"""),"vrsp")</f>
        <v>vrsp</v>
      </c>
      <c r="K3324" s="9"/>
      <c r="L3324" s="9"/>
      <c r="M3324" s="9"/>
      <c r="N3324" s="9"/>
      <c r="O3324" s="9"/>
      <c r="P3324" s="9"/>
      <c r="Q3324" s="9"/>
      <c r="R3324" s="9"/>
      <c r="S3324" s="42"/>
      <c r="T3324" s="42"/>
      <c r="U3324" s="42"/>
      <c r="V3324" s="42"/>
      <c r="W3324" s="42"/>
      <c r="X3324" s="42"/>
      <c r="Y3324" s="42"/>
      <c r="Z3324" s="42"/>
      <c r="AA3324" s="42"/>
      <c r="AB3324" s="42" t="str">
        <f>IFERROR(__xludf.DUMMYFUNCTION("""COMPUTED_VALUE"""),"allen institute")</f>
        <v>allen institute</v>
      </c>
      <c r="AC3324" s="42" t="str">
        <f>IFERROR(__xludf.DUMMYFUNCTION("""COMPUTED_VALUE"""),"DHBA")</f>
        <v>DHBA</v>
      </c>
      <c r="AD3324" s="42"/>
      <c r="AE3324" s="42"/>
      <c r="AF3324" s="9"/>
      <c r="AG3324" s="9"/>
      <c r="AH3324" s="42"/>
      <c r="AI3324" s="42"/>
      <c r="AJ3324" s="42"/>
      <c r="AK3324" s="42"/>
      <c r="AL3324" s="42"/>
      <c r="AM3324" s="42"/>
      <c r="AN3324" s="42"/>
      <c r="AO3324" s="63" t="str">
        <f>IFERROR(__xludf.DUMMYFUNCTION("IF(ISBLANK(A3324),,IF(ISBLANK(S3324), A3324&amp;"";"", TEXTJOIN(CHAR(10), TRUE, A3324&amp;"";"", ARRAYFORMULA(VLOOKUP(SPLIT(S3324, "";"" &amp; CHAR(10)), $A:$AO, 41, FALSE)))))"),"vrsp;")</f>
        <v>vrsp;</v>
      </c>
      <c r="AP3324" s="89"/>
    </row>
    <row r="3325">
      <c r="A3325" s="151" t="str">
        <f>IFERROR(__xludf.DUMMYFUNCTION("""COMPUTED_VALUE"""),"rbb")</f>
        <v>rbb</v>
      </c>
      <c r="B3325" s="42" t="str">
        <f>IFERROR(__xludf.DUMMYFUNCTION("""COMPUTED_VALUE"""),"DHBA")</f>
        <v>DHBA</v>
      </c>
      <c r="C3325" s="42" t="str">
        <f>IFERROR(__xludf.DUMMYFUNCTION("""COMPUTED_VALUE"""),"rubrobulbar tract")</f>
        <v>rubrobulbar tract</v>
      </c>
      <c r="D3325" s="42">
        <f>IFERROR(__xludf.DUMMYFUNCTION("""COMPUTED_VALUE"""),3178.0)</f>
        <v>3178</v>
      </c>
      <c r="E3325" s="39" t="str">
        <f>IFERROR(__xludf.DUMMYFUNCTION("""COMPUTED_VALUE"""),"rubrobulbar tract")</f>
        <v>rubrobulbar tract</v>
      </c>
      <c r="F3325" s="9" t="str">
        <f>IFERROR(__xludf.DUMMYFUNCTION("""COMPUTED_VALUE"""),"Br")</f>
        <v>Br</v>
      </c>
      <c r="G3325" s="9" t="str">
        <f>IFERROR(__xludf.DUMMYFUNCTION("""COMPUTED_VALUE"""),"H")</f>
        <v>H</v>
      </c>
      <c r="H3325" s="9" t="str">
        <f>IFERROR(__xludf.DUMMYFUNCTION("""COMPUTED_VALUE"""),"HWM")</f>
        <v>HWM</v>
      </c>
      <c r="I3325" s="9" t="str">
        <f>IFERROR(__xludf.DUMMYFUNCTION("""COMPUTED_VALUE"""),"rbb")</f>
        <v>rbb</v>
      </c>
      <c r="J3325" s="9"/>
      <c r="K3325" s="9"/>
      <c r="L3325" s="9"/>
      <c r="M3325" s="9"/>
      <c r="N3325" s="9"/>
      <c r="O3325" s="9"/>
      <c r="P3325" s="9"/>
      <c r="Q3325" s="9"/>
      <c r="R3325" s="9"/>
      <c r="S3325" s="42"/>
      <c r="T3325" s="42"/>
      <c r="U3325" s="42"/>
      <c r="V3325" s="42"/>
      <c r="W3325" s="42"/>
      <c r="X3325" s="42"/>
      <c r="Y3325" s="42"/>
      <c r="Z3325" s="42"/>
      <c r="AA3325" s="42"/>
      <c r="AB3325" s="42" t="str">
        <f>IFERROR(__xludf.DUMMYFUNCTION("""COMPUTED_VALUE"""),"allen institute")</f>
        <v>allen institute</v>
      </c>
      <c r="AC3325" s="42" t="str">
        <f>IFERROR(__xludf.DUMMYFUNCTION("""COMPUTED_VALUE"""),"DHBA")</f>
        <v>DHBA</v>
      </c>
      <c r="AD3325" s="42"/>
      <c r="AE3325" s="42"/>
      <c r="AF3325" s="9"/>
      <c r="AG3325" s="9"/>
      <c r="AH3325" s="42"/>
      <c r="AI3325" s="42"/>
      <c r="AJ3325" s="42"/>
      <c r="AK3325" s="42"/>
      <c r="AL3325" s="42"/>
      <c r="AM3325" s="42"/>
      <c r="AN3325" s="42"/>
      <c r="AO3325" s="63" t="str">
        <f>IFERROR(__xludf.DUMMYFUNCTION("IF(ISBLANK(A3325),,IF(ISBLANK(S3325), A3325&amp;"";"", TEXTJOIN(CHAR(10), TRUE, A3325&amp;"";"", ARRAYFORMULA(VLOOKUP(SPLIT(S3325, "";"" &amp; CHAR(10)), $A:$AO, 41, FALSE)))))"),"rbb;")</f>
        <v>rbb;</v>
      </c>
      <c r="AP3325" s="89"/>
    </row>
    <row r="3326">
      <c r="A3326" s="151" t="str">
        <f>IFERROR(__xludf.DUMMYFUNCTION("""COMPUTED_VALUE"""),"rol")</f>
        <v>rol</v>
      </c>
      <c r="B3326" s="42" t="str">
        <f>IFERROR(__xludf.DUMMYFUNCTION("""COMPUTED_VALUE"""),"DHBA")</f>
        <v>DHBA</v>
      </c>
      <c r="C3326" s="42" t="str">
        <f>IFERROR(__xludf.DUMMYFUNCTION("""COMPUTED_VALUE"""),"rubro-olivary tract")</f>
        <v>rubro-olivary tract</v>
      </c>
      <c r="D3326" s="42">
        <f>IFERROR(__xludf.DUMMYFUNCTION("""COMPUTED_VALUE"""),3179.0)</f>
        <v>3179</v>
      </c>
      <c r="E3326" s="39" t="str">
        <f>IFERROR(__xludf.DUMMYFUNCTION("""COMPUTED_VALUE"""),"rubro-olivary tract")</f>
        <v>rubro-olivary tract</v>
      </c>
      <c r="F3326" s="9" t="str">
        <f>IFERROR(__xludf.DUMMYFUNCTION("""COMPUTED_VALUE"""),"Br")</f>
        <v>Br</v>
      </c>
      <c r="G3326" s="9" t="str">
        <f>IFERROR(__xludf.DUMMYFUNCTION("""COMPUTED_VALUE"""),"H")</f>
        <v>H</v>
      </c>
      <c r="H3326" s="9" t="str">
        <f>IFERROR(__xludf.DUMMYFUNCTION("""COMPUTED_VALUE"""),"HWM")</f>
        <v>HWM</v>
      </c>
      <c r="I3326" s="9" t="str">
        <f>IFERROR(__xludf.DUMMYFUNCTION("""COMPUTED_VALUE"""),"rol")</f>
        <v>rol</v>
      </c>
      <c r="J3326" s="9"/>
      <c r="K3326" s="9"/>
      <c r="L3326" s="9"/>
      <c r="M3326" s="9"/>
      <c r="N3326" s="9"/>
      <c r="O3326" s="9"/>
      <c r="P3326" s="9"/>
      <c r="Q3326" s="9"/>
      <c r="R3326" s="9"/>
      <c r="S3326" s="42"/>
      <c r="T3326" s="42"/>
      <c r="U3326" s="42"/>
      <c r="V3326" s="42"/>
      <c r="W3326" s="42"/>
      <c r="X3326" s="42"/>
      <c r="Y3326" s="42"/>
      <c r="Z3326" s="42"/>
      <c r="AA3326" s="42"/>
      <c r="AB3326" s="42" t="str">
        <f>IFERROR(__xludf.DUMMYFUNCTION("""COMPUTED_VALUE"""),"allen institute")</f>
        <v>allen institute</v>
      </c>
      <c r="AC3326" s="42" t="str">
        <f>IFERROR(__xludf.DUMMYFUNCTION("""COMPUTED_VALUE"""),"DHBA")</f>
        <v>DHBA</v>
      </c>
      <c r="AD3326" s="42"/>
      <c r="AE3326" s="42"/>
      <c r="AF3326" s="9"/>
      <c r="AG3326" s="9"/>
      <c r="AH3326" s="42"/>
      <c r="AI3326" s="42"/>
      <c r="AJ3326" s="42"/>
      <c r="AK3326" s="42"/>
      <c r="AL3326" s="42"/>
      <c r="AM3326" s="42"/>
      <c r="AN3326" s="42"/>
      <c r="AO3326" s="63" t="str">
        <f>IFERROR(__xludf.DUMMYFUNCTION("IF(ISBLANK(A3326),,IF(ISBLANK(S3326), A3326&amp;"";"", TEXTJOIN(CHAR(10), TRUE, A3326&amp;"";"", ARRAYFORMULA(VLOOKUP(SPLIT(S3326, "";"" &amp; CHAR(10)), $A:$AO, 41, FALSE)))))"),"rol;")</f>
        <v>rol;</v>
      </c>
      <c r="AP3326" s="89"/>
    </row>
    <row r="3327">
      <c r="A3327" s="151" t="str">
        <f>IFERROR(__xludf.DUMMYFUNCTION("""COMPUTED_VALUE"""),"rusp")</f>
        <v>rusp</v>
      </c>
      <c r="B3327" s="42" t="str">
        <f>IFERROR(__xludf.DUMMYFUNCTION("""COMPUTED_VALUE"""),"DHBA")</f>
        <v>DHBA</v>
      </c>
      <c r="C3327" s="42" t="str">
        <f>IFERROR(__xludf.DUMMYFUNCTION("""COMPUTED_VALUE"""),"rubospinal tract")</f>
        <v>rubospinal tract</v>
      </c>
      <c r="D3327" s="42">
        <f>IFERROR(__xludf.DUMMYFUNCTION("""COMPUTED_VALUE"""),3180.0)</f>
        <v>3180</v>
      </c>
      <c r="E3327" s="39" t="str">
        <f>IFERROR(__xludf.DUMMYFUNCTION("""COMPUTED_VALUE"""),"rubrospinal tract")</f>
        <v>rubrospinal tract</v>
      </c>
      <c r="F3327" s="9" t="str">
        <f>IFERROR(__xludf.DUMMYFUNCTION("""COMPUTED_VALUE"""),"Br")</f>
        <v>Br</v>
      </c>
      <c r="G3327" s="9" t="str">
        <f>IFERROR(__xludf.DUMMYFUNCTION("""COMPUTED_VALUE"""),"H")</f>
        <v>H</v>
      </c>
      <c r="H3327" s="9" t="str">
        <f>IFERROR(__xludf.DUMMYFUNCTION("""COMPUTED_VALUE"""),"HWM")</f>
        <v>HWM</v>
      </c>
      <c r="I3327" s="9" t="str">
        <f>IFERROR(__xludf.DUMMYFUNCTION("""COMPUTED_VALUE"""),"rusp")</f>
        <v>rusp</v>
      </c>
      <c r="J3327" s="9"/>
      <c r="K3327" s="9"/>
      <c r="L3327" s="9"/>
      <c r="M3327" s="9"/>
      <c r="N3327" s="9"/>
      <c r="O3327" s="9"/>
      <c r="P3327" s="9"/>
      <c r="Q3327" s="9"/>
      <c r="R3327" s="9"/>
      <c r="S3327" s="42"/>
      <c r="T3327" s="42"/>
      <c r="U3327" s="42" t="b">
        <f>IFERROR(__xludf.DUMMYFUNCTION("""COMPUTED_VALUE"""),FALSE)</f>
        <v>0</v>
      </c>
      <c r="V3327" s="42"/>
      <c r="W3327" s="42"/>
      <c r="X3327" s="42"/>
      <c r="Y3327" s="42"/>
      <c r="Z3327" s="42"/>
      <c r="AA3327" s="42"/>
      <c r="AB3327" s="42" t="str">
        <f>IFERROR(__xludf.DUMMYFUNCTION("""COMPUTED_VALUE"""),"allen institute")</f>
        <v>allen institute</v>
      </c>
      <c r="AC3327" s="42" t="str">
        <f>IFERROR(__xludf.DUMMYFUNCTION("""COMPUTED_VALUE"""),"DHBA")</f>
        <v>DHBA</v>
      </c>
      <c r="AD3327" s="42"/>
      <c r="AE3327" s="42"/>
      <c r="AF3327" s="9"/>
      <c r="AG3327" s="9"/>
      <c r="AH3327" s="42"/>
      <c r="AI3327" s="42"/>
      <c r="AJ3327" s="42"/>
      <c r="AK3327" s="42"/>
      <c r="AL3327" s="42"/>
      <c r="AM3327" s="42"/>
      <c r="AN3327" s="42"/>
      <c r="AO3327" s="63" t="str">
        <f>IFERROR(__xludf.DUMMYFUNCTION("IF(ISBLANK(A3327),,IF(ISBLANK(S3327), A3327&amp;"";"", TEXTJOIN(CHAR(10), TRUE, A3327&amp;"";"", ARRAYFORMULA(VLOOKUP(SPLIT(S3327, "";"" &amp; CHAR(10)), $A:$AO, 41, FALSE)))))"),"rusp;")</f>
        <v>rusp;</v>
      </c>
      <c r="AP3327" s="89"/>
    </row>
    <row r="3328">
      <c r="A3328" s="151" t="str">
        <f>IFERROR(__xludf.DUMMYFUNCTION("""COMPUTED_VALUE"""),"sol")</f>
        <v>sol</v>
      </c>
      <c r="B3328" s="42" t="str">
        <f>IFERROR(__xludf.DUMMYFUNCTION("""COMPUTED_VALUE"""),"DHBA")</f>
        <v>DHBA</v>
      </c>
      <c r="C3328" s="42" t="str">
        <f>IFERROR(__xludf.DUMMYFUNCTION("""COMPUTED_VALUE"""),"solitary tract")</f>
        <v>solitary tract</v>
      </c>
      <c r="D3328" s="42">
        <f>IFERROR(__xludf.DUMMYFUNCTION("""COMPUTED_VALUE"""),3181.0)</f>
        <v>3181</v>
      </c>
      <c r="E3328" s="39" t="str">
        <f>IFERROR(__xludf.DUMMYFUNCTION("""COMPUTED_VALUE"""),"solitary tract")</f>
        <v>solitary tract</v>
      </c>
      <c r="F3328" s="9" t="str">
        <f>IFERROR(__xludf.DUMMYFUNCTION("""COMPUTED_VALUE"""),"Br")</f>
        <v>Br</v>
      </c>
      <c r="G3328" s="9" t="str">
        <f>IFERROR(__xludf.DUMMYFUNCTION("""COMPUTED_VALUE"""),"H")</f>
        <v>H</v>
      </c>
      <c r="H3328" s="9" t="str">
        <f>IFERROR(__xludf.DUMMYFUNCTION("""COMPUTED_VALUE"""),"HWM")</f>
        <v>HWM</v>
      </c>
      <c r="I3328" s="9" t="str">
        <f>IFERROR(__xludf.DUMMYFUNCTION("""COMPUTED_VALUE"""),"sol")</f>
        <v>sol</v>
      </c>
      <c r="J3328" s="9"/>
      <c r="K3328" s="9"/>
      <c r="L3328" s="9"/>
      <c r="M3328" s="9"/>
      <c r="N3328" s="9"/>
      <c r="O3328" s="9"/>
      <c r="P3328" s="9"/>
      <c r="Q3328" s="9"/>
      <c r="R3328" s="9"/>
      <c r="S3328" s="42"/>
      <c r="T3328" s="42"/>
      <c r="U3328" s="42"/>
      <c r="V3328" s="42"/>
      <c r="W3328" s="42"/>
      <c r="X3328" s="42"/>
      <c r="Y3328" s="42"/>
      <c r="Z3328" s="42"/>
      <c r="AA3328" s="42"/>
      <c r="AB3328" s="42" t="str">
        <f>IFERROR(__xludf.DUMMYFUNCTION("""COMPUTED_VALUE"""),"allen institute")</f>
        <v>allen institute</v>
      </c>
      <c r="AC3328" s="42" t="str">
        <f>IFERROR(__xludf.DUMMYFUNCTION("""COMPUTED_VALUE"""),"DHBA")</f>
        <v>DHBA</v>
      </c>
      <c r="AD3328" s="42"/>
      <c r="AE3328" s="42"/>
      <c r="AF3328" s="9"/>
      <c r="AG3328" s="9"/>
      <c r="AH3328" s="42"/>
      <c r="AI3328" s="42"/>
      <c r="AJ3328" s="42"/>
      <c r="AK3328" s="42"/>
      <c r="AL3328" s="42"/>
      <c r="AM3328" s="42"/>
      <c r="AN3328" s="42"/>
      <c r="AO3328" s="63" t="str">
        <f>IFERROR(__xludf.DUMMYFUNCTION("IF(ISBLANK(A3328),,IF(ISBLANK(S3328), A3328&amp;"";"", TEXTJOIN(CHAR(10), TRUE, A3328&amp;"";"", ARRAYFORMULA(VLOOKUP(SPLIT(S3328, "";"" &amp; CHAR(10)), $A:$AO, 41, FALSE)))))"),"sol;")</f>
        <v>sol;</v>
      </c>
      <c r="AP3328" s="89"/>
    </row>
    <row r="3329">
      <c r="A3329" s="151" t="str">
        <f>IFERROR(__xludf.DUMMYFUNCTION("""COMPUTED_VALUE"""),"slh")</f>
        <v>slh</v>
      </c>
      <c r="B3329" s="42" t="str">
        <f>IFERROR(__xludf.DUMMYFUNCTION("""COMPUTED_VALUE"""),"DHBA")</f>
        <v>DHBA</v>
      </c>
      <c r="C3329" s="42" t="str">
        <f>IFERROR(__xludf.DUMMYFUNCTION("""COMPUTED_VALUE"""),"spinal lemniscus in hindbrain")</f>
        <v>spinal lemniscus in hindbrain</v>
      </c>
      <c r="D3329" s="42">
        <f>IFERROR(__xludf.DUMMYFUNCTION("""COMPUTED_VALUE"""),3182.0)</f>
        <v>3182</v>
      </c>
      <c r="E3329" s="39" t="str">
        <f>IFERROR(__xludf.DUMMYFUNCTION("""COMPUTED_VALUE"""),"spinal lemniscus in hindbrain")</f>
        <v>spinal lemniscus in hindbrain</v>
      </c>
      <c r="F3329" s="9" t="str">
        <f>IFERROR(__xludf.DUMMYFUNCTION("""COMPUTED_VALUE"""),"Br")</f>
        <v>Br</v>
      </c>
      <c r="G3329" s="9" t="str">
        <f>IFERROR(__xludf.DUMMYFUNCTION("""COMPUTED_VALUE"""),"H")</f>
        <v>H</v>
      </c>
      <c r="H3329" s="9" t="str">
        <f>IFERROR(__xludf.DUMMYFUNCTION("""COMPUTED_VALUE"""),"HWM")</f>
        <v>HWM</v>
      </c>
      <c r="I3329" s="9" t="str">
        <f>IFERROR(__xludf.DUMMYFUNCTION("""COMPUTED_VALUE"""),"slh")</f>
        <v>slh</v>
      </c>
      <c r="J3329" s="9"/>
      <c r="K3329" s="9"/>
      <c r="L3329" s="9"/>
      <c r="M3329" s="9"/>
      <c r="N3329" s="9"/>
      <c r="O3329" s="9"/>
      <c r="P3329" s="9"/>
      <c r="Q3329" s="9"/>
      <c r="R3329" s="9"/>
      <c r="S3329" s="42" t="str">
        <f>IFERROR(__xludf.DUMMYFUNCTION("""COMPUTED_VALUE"""),"spb;
sphy;
spme;
spre;
spth;
spve;
tbu")</f>
        <v>spb;
sphy;
spme;
spre;
spth;
spve;
tbu</v>
      </c>
      <c r="T3329" s="42"/>
      <c r="U3329" s="42" t="b">
        <f>IFERROR(__xludf.DUMMYFUNCTION("""COMPUTED_VALUE"""),FALSE)</f>
        <v>0</v>
      </c>
      <c r="V3329" s="42"/>
      <c r="W3329" s="42"/>
      <c r="X3329" s="42"/>
      <c r="Y3329" s="42"/>
      <c r="Z3329" s="42"/>
      <c r="AA3329" s="42"/>
      <c r="AB3329" s="42" t="str">
        <f>IFERROR(__xludf.DUMMYFUNCTION("""COMPUTED_VALUE"""),"allen institute")</f>
        <v>allen institute</v>
      </c>
      <c r="AC3329" s="42" t="str">
        <f>IFERROR(__xludf.DUMMYFUNCTION("""COMPUTED_VALUE"""),"DHBA")</f>
        <v>DHBA</v>
      </c>
      <c r="AD3329" s="42"/>
      <c r="AE3329" s="42"/>
      <c r="AF3329" s="9"/>
      <c r="AG3329" s="9"/>
      <c r="AH3329" s="42"/>
      <c r="AI3329" s="42"/>
      <c r="AJ3329" s="42"/>
      <c r="AK3329" s="42"/>
      <c r="AL3329" s="42"/>
      <c r="AM3329" s="42"/>
      <c r="AN3329" s="42"/>
      <c r="AO3329" s="63" t="str">
        <f>IFERROR(__xludf.DUMMYFUNCTION("IF(ISBLANK(A3329),,IF(ISBLANK(S3329), A3329&amp;"";"", TEXTJOIN(CHAR(10), TRUE, A3329&amp;"";"", ARRAYFORMULA(VLOOKUP(SPLIT(S3329, "";"" &amp; CHAR(10)), $A:$AO, 41, FALSE)))))"),"slh;
SPB;
sphy;
spme;
spre;
spth;
SpVe;
tbu;")</f>
        <v>slh;
SPB;
sphy;
spme;
spre;
spth;
SpVe;
tbu;</v>
      </c>
      <c r="AP3329" s="89"/>
    </row>
    <row r="3330">
      <c r="A3330" s="151" t="str">
        <f>IFERROR(__xludf.DUMMYFUNCTION("""COMPUTED_VALUE"""),"spb")</f>
        <v>spb</v>
      </c>
      <c r="B3330" s="42" t="str">
        <f>IFERROR(__xludf.DUMMYFUNCTION("""COMPUTED_VALUE"""),"DHBA")</f>
        <v>DHBA</v>
      </c>
      <c r="C3330" s="42" t="str">
        <f>IFERROR(__xludf.DUMMYFUNCTION("""COMPUTED_VALUE"""),"spinobulbar tract")</f>
        <v>spinobulbar tract</v>
      </c>
      <c r="D3330" s="42">
        <f>IFERROR(__xludf.DUMMYFUNCTION("""COMPUTED_VALUE"""),3183.0)</f>
        <v>3183</v>
      </c>
      <c r="E3330" s="39" t="str">
        <f>IFERROR(__xludf.DUMMYFUNCTION("""COMPUTED_VALUE"""),"spinobulbar tract")</f>
        <v>spinobulbar tract</v>
      </c>
      <c r="F3330" s="9" t="str">
        <f>IFERROR(__xludf.DUMMYFUNCTION("""COMPUTED_VALUE"""),"Br")</f>
        <v>Br</v>
      </c>
      <c r="G3330" s="9" t="str">
        <f>IFERROR(__xludf.DUMMYFUNCTION("""COMPUTED_VALUE"""),"H")</f>
        <v>H</v>
      </c>
      <c r="H3330" s="9" t="str">
        <f>IFERROR(__xludf.DUMMYFUNCTION("""COMPUTED_VALUE"""),"HWM")</f>
        <v>HWM</v>
      </c>
      <c r="I3330" s="9" t="str">
        <f>IFERROR(__xludf.DUMMYFUNCTION("""COMPUTED_VALUE"""),"slh")</f>
        <v>slh</v>
      </c>
      <c r="J3330" s="9" t="str">
        <f>IFERROR(__xludf.DUMMYFUNCTION("""COMPUTED_VALUE"""),"spb")</f>
        <v>spb</v>
      </c>
      <c r="K3330" s="9"/>
      <c r="L3330" s="9"/>
      <c r="M3330" s="9"/>
      <c r="N3330" s="9"/>
      <c r="O3330" s="9"/>
      <c r="P3330" s="9"/>
      <c r="Q3330" s="9"/>
      <c r="R3330" s="9"/>
      <c r="S3330" s="42"/>
      <c r="T3330" s="42"/>
      <c r="U3330" s="42"/>
      <c r="V3330" s="42"/>
      <c r="W3330" s="42"/>
      <c r="X3330" s="42"/>
      <c r="Y3330" s="42"/>
      <c r="Z3330" s="42"/>
      <c r="AA3330" s="42"/>
      <c r="AB3330" s="42" t="str">
        <f>IFERROR(__xludf.DUMMYFUNCTION("""COMPUTED_VALUE"""),"allen institute")</f>
        <v>allen institute</v>
      </c>
      <c r="AC3330" s="42" t="str">
        <f>IFERROR(__xludf.DUMMYFUNCTION("""COMPUTED_VALUE"""),"DHBA")</f>
        <v>DHBA</v>
      </c>
      <c r="AD3330" s="42"/>
      <c r="AE3330" s="42"/>
      <c r="AF3330" s="9"/>
      <c r="AG3330" s="9"/>
      <c r="AH3330" s="42"/>
      <c r="AI3330" s="42"/>
      <c r="AJ3330" s="42"/>
      <c r="AK3330" s="42"/>
      <c r="AL3330" s="42"/>
      <c r="AM3330" s="42"/>
      <c r="AN3330" s="42"/>
      <c r="AO3330" s="63" t="str">
        <f>IFERROR(__xludf.DUMMYFUNCTION("IF(ISBLANK(A3330),,IF(ISBLANK(S3330), A3330&amp;"";"", TEXTJOIN(CHAR(10), TRUE, A3330&amp;"";"", ARRAYFORMULA(VLOOKUP(SPLIT(S3330, "";"" &amp; CHAR(10)), $A:$AO, 41, FALSE)))))"),"spb;")</f>
        <v>spb;</v>
      </c>
      <c r="AP3330" s="89"/>
    </row>
    <row r="3331">
      <c r="A3331" s="151" t="str">
        <f>IFERROR(__xludf.DUMMYFUNCTION("""COMPUTED_VALUE"""),"sphy")</f>
        <v>sphy</v>
      </c>
      <c r="B3331" s="42" t="str">
        <f>IFERROR(__xludf.DUMMYFUNCTION("""COMPUTED_VALUE"""),"DHBA")</f>
        <v>DHBA</v>
      </c>
      <c r="C3331" s="42" t="str">
        <f>IFERROR(__xludf.DUMMYFUNCTION("""COMPUTED_VALUE"""),"spinohypothalamic tract")</f>
        <v>spinohypothalamic tract</v>
      </c>
      <c r="D3331" s="42">
        <f>IFERROR(__xludf.DUMMYFUNCTION("""COMPUTED_VALUE"""),3184.0)</f>
        <v>3184</v>
      </c>
      <c r="E3331" s="39" t="str">
        <f>IFERROR(__xludf.DUMMYFUNCTION("""COMPUTED_VALUE"""),"spinohypothalamic tract")</f>
        <v>spinohypothalamic tract</v>
      </c>
      <c r="F3331" s="9" t="str">
        <f>IFERROR(__xludf.DUMMYFUNCTION("""COMPUTED_VALUE"""),"Br")</f>
        <v>Br</v>
      </c>
      <c r="G3331" s="9" t="str">
        <f>IFERROR(__xludf.DUMMYFUNCTION("""COMPUTED_VALUE"""),"H")</f>
        <v>H</v>
      </c>
      <c r="H3331" s="9" t="str">
        <f>IFERROR(__xludf.DUMMYFUNCTION("""COMPUTED_VALUE"""),"HWM")</f>
        <v>HWM</v>
      </c>
      <c r="I3331" s="9" t="str">
        <f>IFERROR(__xludf.DUMMYFUNCTION("""COMPUTED_VALUE"""),"slh")</f>
        <v>slh</v>
      </c>
      <c r="J3331" s="9" t="str">
        <f>IFERROR(__xludf.DUMMYFUNCTION("""COMPUTED_VALUE"""),"sphy")</f>
        <v>sphy</v>
      </c>
      <c r="K3331" s="9"/>
      <c r="L3331" s="9"/>
      <c r="M3331" s="9"/>
      <c r="N3331" s="9"/>
      <c r="O3331" s="9"/>
      <c r="P3331" s="9"/>
      <c r="Q3331" s="9"/>
      <c r="R3331" s="9"/>
      <c r="S3331" s="42"/>
      <c r="T3331" s="42"/>
      <c r="U3331" s="42"/>
      <c r="V3331" s="42"/>
      <c r="W3331" s="42"/>
      <c r="X3331" s="42"/>
      <c r="Y3331" s="42"/>
      <c r="Z3331" s="42"/>
      <c r="AA3331" s="42"/>
      <c r="AB3331" s="42" t="str">
        <f>IFERROR(__xludf.DUMMYFUNCTION("""COMPUTED_VALUE"""),"allen institute")</f>
        <v>allen institute</v>
      </c>
      <c r="AC3331" s="42" t="str">
        <f>IFERROR(__xludf.DUMMYFUNCTION("""COMPUTED_VALUE"""),"DHBA")</f>
        <v>DHBA</v>
      </c>
      <c r="AD3331" s="42"/>
      <c r="AE3331" s="42"/>
      <c r="AF3331" s="9"/>
      <c r="AG3331" s="9"/>
      <c r="AH3331" s="42"/>
      <c r="AI3331" s="42"/>
      <c r="AJ3331" s="42"/>
      <c r="AK3331" s="42"/>
      <c r="AL3331" s="42"/>
      <c r="AM3331" s="42"/>
      <c r="AN3331" s="42"/>
      <c r="AO3331" s="63" t="str">
        <f>IFERROR(__xludf.DUMMYFUNCTION("IF(ISBLANK(A3331),,IF(ISBLANK(S3331), A3331&amp;"";"", TEXTJOIN(CHAR(10), TRUE, A3331&amp;"";"", ARRAYFORMULA(VLOOKUP(SPLIT(S3331, "";"" &amp; CHAR(10)), $A:$AO, 41, FALSE)))))"),"sphy;")</f>
        <v>sphy;</v>
      </c>
      <c r="AP3331" s="89"/>
    </row>
    <row r="3332">
      <c r="A3332" s="151" t="str">
        <f>IFERROR(__xludf.DUMMYFUNCTION("""COMPUTED_VALUE"""),"spme")</f>
        <v>spme</v>
      </c>
      <c r="B3332" s="42" t="str">
        <f>IFERROR(__xludf.DUMMYFUNCTION("""COMPUTED_VALUE"""),"DHBA")</f>
        <v>DHBA</v>
      </c>
      <c r="C3332" s="42" t="str">
        <f>IFERROR(__xludf.DUMMYFUNCTION("""COMPUTED_VALUE"""),"spinomesencephalic tract")</f>
        <v>spinomesencephalic tract</v>
      </c>
      <c r="D3332" s="42">
        <f>IFERROR(__xludf.DUMMYFUNCTION("""COMPUTED_VALUE"""),3185.0)</f>
        <v>3185</v>
      </c>
      <c r="E3332" s="39" t="str">
        <f>IFERROR(__xludf.DUMMYFUNCTION("""COMPUTED_VALUE"""),"spinomesencephalic tract")</f>
        <v>spinomesencephalic tract</v>
      </c>
      <c r="F3332" s="9" t="str">
        <f>IFERROR(__xludf.DUMMYFUNCTION("""COMPUTED_VALUE"""),"Br")</f>
        <v>Br</v>
      </c>
      <c r="G3332" s="9" t="str">
        <f>IFERROR(__xludf.DUMMYFUNCTION("""COMPUTED_VALUE"""),"H")</f>
        <v>H</v>
      </c>
      <c r="H3332" s="9" t="str">
        <f>IFERROR(__xludf.DUMMYFUNCTION("""COMPUTED_VALUE"""),"HWM")</f>
        <v>HWM</v>
      </c>
      <c r="I3332" s="9" t="str">
        <f>IFERROR(__xludf.DUMMYFUNCTION("""COMPUTED_VALUE"""),"slh")</f>
        <v>slh</v>
      </c>
      <c r="J3332" s="9" t="str">
        <f>IFERROR(__xludf.DUMMYFUNCTION("""COMPUTED_VALUE"""),"spme")</f>
        <v>spme</v>
      </c>
      <c r="K3332" s="9"/>
      <c r="L3332" s="9"/>
      <c r="M3332" s="9"/>
      <c r="N3332" s="9"/>
      <c r="O3332" s="9"/>
      <c r="P3332" s="9"/>
      <c r="Q3332" s="9"/>
      <c r="R3332" s="9"/>
      <c r="S3332" s="42"/>
      <c r="T3332" s="42"/>
      <c r="U3332" s="42"/>
      <c r="V3332" s="42"/>
      <c r="W3332" s="42"/>
      <c r="X3332" s="42"/>
      <c r="Y3332" s="42"/>
      <c r="Z3332" s="42"/>
      <c r="AA3332" s="42"/>
      <c r="AB3332" s="42" t="str">
        <f>IFERROR(__xludf.DUMMYFUNCTION("""COMPUTED_VALUE"""),"allen institute")</f>
        <v>allen institute</v>
      </c>
      <c r="AC3332" s="42" t="str">
        <f>IFERROR(__xludf.DUMMYFUNCTION("""COMPUTED_VALUE"""),"DHBA")</f>
        <v>DHBA</v>
      </c>
      <c r="AD3332" s="42"/>
      <c r="AE3332" s="42"/>
      <c r="AF3332" s="9"/>
      <c r="AG3332" s="9"/>
      <c r="AH3332" s="42"/>
      <c r="AI3332" s="42"/>
      <c r="AJ3332" s="42"/>
      <c r="AK3332" s="42"/>
      <c r="AL3332" s="42"/>
      <c r="AM3332" s="42"/>
      <c r="AN3332" s="42"/>
      <c r="AO3332" s="63" t="str">
        <f>IFERROR(__xludf.DUMMYFUNCTION("IF(ISBLANK(A3332),,IF(ISBLANK(S3332), A3332&amp;"";"", TEXTJOIN(CHAR(10), TRUE, A3332&amp;"";"", ARRAYFORMULA(VLOOKUP(SPLIT(S3332, "";"" &amp; CHAR(10)), $A:$AO, 41, FALSE)))))"),"spme;")</f>
        <v>spme;</v>
      </c>
      <c r="AP3332" s="89"/>
    </row>
    <row r="3333">
      <c r="A3333" s="151" t="str">
        <f>IFERROR(__xludf.DUMMYFUNCTION("""COMPUTED_VALUE"""),"spre")</f>
        <v>spre</v>
      </c>
      <c r="B3333" s="42" t="str">
        <f>IFERROR(__xludf.DUMMYFUNCTION("""COMPUTED_VALUE"""),"DHBA")</f>
        <v>DHBA</v>
      </c>
      <c r="C3333" s="42" t="str">
        <f>IFERROR(__xludf.DUMMYFUNCTION("""COMPUTED_VALUE"""),"spinoreticular tract")</f>
        <v>spinoreticular tract</v>
      </c>
      <c r="D3333" s="42">
        <f>IFERROR(__xludf.DUMMYFUNCTION("""COMPUTED_VALUE"""),3186.0)</f>
        <v>3186</v>
      </c>
      <c r="E3333" s="39" t="str">
        <f>IFERROR(__xludf.DUMMYFUNCTION("""COMPUTED_VALUE"""),"spinoreticular tract")</f>
        <v>spinoreticular tract</v>
      </c>
      <c r="F3333" s="9" t="str">
        <f>IFERROR(__xludf.DUMMYFUNCTION("""COMPUTED_VALUE"""),"Br")</f>
        <v>Br</v>
      </c>
      <c r="G3333" s="9" t="str">
        <f>IFERROR(__xludf.DUMMYFUNCTION("""COMPUTED_VALUE"""),"H")</f>
        <v>H</v>
      </c>
      <c r="H3333" s="9" t="str">
        <f>IFERROR(__xludf.DUMMYFUNCTION("""COMPUTED_VALUE"""),"HWM")</f>
        <v>HWM</v>
      </c>
      <c r="I3333" s="9" t="str">
        <f>IFERROR(__xludf.DUMMYFUNCTION("""COMPUTED_VALUE"""),"slh")</f>
        <v>slh</v>
      </c>
      <c r="J3333" s="9" t="str">
        <f>IFERROR(__xludf.DUMMYFUNCTION("""COMPUTED_VALUE"""),"spre")</f>
        <v>spre</v>
      </c>
      <c r="K3333" s="9"/>
      <c r="L3333" s="9"/>
      <c r="M3333" s="9"/>
      <c r="N3333" s="9"/>
      <c r="O3333" s="9"/>
      <c r="P3333" s="9"/>
      <c r="Q3333" s="9"/>
      <c r="R3333" s="9"/>
      <c r="S3333" s="42"/>
      <c r="T3333" s="42"/>
      <c r="U3333" s="42"/>
      <c r="V3333" s="42"/>
      <c r="W3333" s="42"/>
      <c r="X3333" s="42"/>
      <c r="Y3333" s="42"/>
      <c r="Z3333" s="42"/>
      <c r="AA3333" s="42"/>
      <c r="AB3333" s="42" t="str">
        <f>IFERROR(__xludf.DUMMYFUNCTION("""COMPUTED_VALUE"""),"allen institute")</f>
        <v>allen institute</v>
      </c>
      <c r="AC3333" s="42" t="str">
        <f>IFERROR(__xludf.DUMMYFUNCTION("""COMPUTED_VALUE"""),"DHBA")</f>
        <v>DHBA</v>
      </c>
      <c r="AD3333" s="42"/>
      <c r="AE3333" s="42"/>
      <c r="AF3333" s="9"/>
      <c r="AG3333" s="9"/>
      <c r="AH3333" s="42"/>
      <c r="AI3333" s="42"/>
      <c r="AJ3333" s="42"/>
      <c r="AK3333" s="42"/>
      <c r="AL3333" s="42"/>
      <c r="AM3333" s="42"/>
      <c r="AN3333" s="42"/>
      <c r="AO3333" s="63" t="str">
        <f>IFERROR(__xludf.DUMMYFUNCTION("IF(ISBLANK(A3333),,IF(ISBLANK(S3333), A3333&amp;"";"", TEXTJOIN(CHAR(10), TRUE, A3333&amp;"";"", ARRAYFORMULA(VLOOKUP(SPLIT(S3333, "";"" &amp; CHAR(10)), $A:$AO, 41, FALSE)))))"),"spre;")</f>
        <v>spre;</v>
      </c>
      <c r="AP3333" s="89"/>
    </row>
    <row r="3334">
      <c r="A3334" s="151" t="str">
        <f>IFERROR(__xludf.DUMMYFUNCTION("""COMPUTED_VALUE"""),"spth")</f>
        <v>spth</v>
      </c>
      <c r="B3334" s="42" t="str">
        <f>IFERROR(__xludf.DUMMYFUNCTION("""COMPUTED_VALUE"""),"DHBA")</f>
        <v>DHBA</v>
      </c>
      <c r="C3334" s="42" t="str">
        <f>IFERROR(__xludf.DUMMYFUNCTION("""COMPUTED_VALUE"""),"spinothalamic tract")</f>
        <v>spinothalamic tract</v>
      </c>
      <c r="D3334" s="42">
        <f>IFERROR(__xludf.DUMMYFUNCTION("""COMPUTED_VALUE"""),3187.0)</f>
        <v>3187</v>
      </c>
      <c r="E3334" s="39" t="str">
        <f>IFERROR(__xludf.DUMMYFUNCTION("""COMPUTED_VALUE"""),"spinothalamic tract")</f>
        <v>spinothalamic tract</v>
      </c>
      <c r="F3334" s="9" t="str">
        <f>IFERROR(__xludf.DUMMYFUNCTION("""COMPUTED_VALUE"""),"Br")</f>
        <v>Br</v>
      </c>
      <c r="G3334" s="9" t="str">
        <f>IFERROR(__xludf.DUMMYFUNCTION("""COMPUTED_VALUE"""),"H")</f>
        <v>H</v>
      </c>
      <c r="H3334" s="9" t="str">
        <f>IFERROR(__xludf.DUMMYFUNCTION("""COMPUTED_VALUE"""),"HWM")</f>
        <v>HWM</v>
      </c>
      <c r="I3334" s="9" t="str">
        <f>IFERROR(__xludf.DUMMYFUNCTION("""COMPUTED_VALUE"""),"slh")</f>
        <v>slh</v>
      </c>
      <c r="J3334" s="9" t="str">
        <f>IFERROR(__xludf.DUMMYFUNCTION("""COMPUTED_VALUE"""),"spth")</f>
        <v>spth</v>
      </c>
      <c r="K3334" s="9"/>
      <c r="L3334" s="9"/>
      <c r="M3334" s="9"/>
      <c r="N3334" s="9"/>
      <c r="O3334" s="9"/>
      <c r="P3334" s="9"/>
      <c r="Q3334" s="9"/>
      <c r="R3334" s="9"/>
      <c r="S3334" s="42"/>
      <c r="T3334" s="42"/>
      <c r="U3334" s="42"/>
      <c r="V3334" s="42"/>
      <c r="W3334" s="42"/>
      <c r="X3334" s="42"/>
      <c r="Y3334" s="42"/>
      <c r="Z3334" s="42"/>
      <c r="AA3334" s="42"/>
      <c r="AB3334" s="42" t="str">
        <f>IFERROR(__xludf.DUMMYFUNCTION("""COMPUTED_VALUE"""),"allen institute")</f>
        <v>allen institute</v>
      </c>
      <c r="AC3334" s="42" t="str">
        <f>IFERROR(__xludf.DUMMYFUNCTION("""COMPUTED_VALUE"""),"DHBA")</f>
        <v>DHBA</v>
      </c>
      <c r="AD3334" s="42"/>
      <c r="AE3334" s="42"/>
      <c r="AF3334" s="9"/>
      <c r="AG3334" s="9"/>
      <c r="AH3334" s="42"/>
      <c r="AI3334" s="42"/>
      <c r="AJ3334" s="42"/>
      <c r="AK3334" s="42"/>
      <c r="AL3334" s="42"/>
      <c r="AM3334" s="42"/>
      <c r="AN3334" s="42"/>
      <c r="AO3334" s="63" t="str">
        <f>IFERROR(__xludf.DUMMYFUNCTION("IF(ISBLANK(A3334),,IF(ISBLANK(S3334), A3334&amp;"";"", TEXTJOIN(CHAR(10), TRUE, A3334&amp;"";"", ARRAYFORMULA(VLOOKUP(SPLIT(S3334, "";"" &amp; CHAR(10)), $A:$AO, 41, FALSE)))))"),"spth;")</f>
        <v>spth;</v>
      </c>
      <c r="AP3334" s="89"/>
    </row>
    <row r="3335">
      <c r="A3335" s="151" t="str">
        <f>IFERROR(__xludf.DUMMYFUNCTION("""COMPUTED_VALUE"""),"spve")</f>
        <v>spve</v>
      </c>
      <c r="B3335" s="42" t="str">
        <f>IFERROR(__xludf.DUMMYFUNCTION("""COMPUTED_VALUE"""),"DHBA")</f>
        <v>DHBA</v>
      </c>
      <c r="C3335" s="42" t="str">
        <f>IFERROR(__xludf.DUMMYFUNCTION("""COMPUTED_VALUE"""),"spinovestibular tract")</f>
        <v>spinovestibular tract</v>
      </c>
      <c r="D3335" s="42">
        <f>IFERROR(__xludf.DUMMYFUNCTION("""COMPUTED_VALUE"""),3188.0)</f>
        <v>3188</v>
      </c>
      <c r="E3335" s="39" t="str">
        <f>IFERROR(__xludf.DUMMYFUNCTION("""COMPUTED_VALUE"""),"spinovestibular tract")</f>
        <v>spinovestibular tract</v>
      </c>
      <c r="F3335" s="9" t="str">
        <f>IFERROR(__xludf.DUMMYFUNCTION("""COMPUTED_VALUE"""),"Br")</f>
        <v>Br</v>
      </c>
      <c r="G3335" s="9" t="str">
        <f>IFERROR(__xludf.DUMMYFUNCTION("""COMPUTED_VALUE"""),"H")</f>
        <v>H</v>
      </c>
      <c r="H3335" s="9" t="str">
        <f>IFERROR(__xludf.DUMMYFUNCTION("""COMPUTED_VALUE"""),"HWM")</f>
        <v>HWM</v>
      </c>
      <c r="I3335" s="9" t="str">
        <f>IFERROR(__xludf.DUMMYFUNCTION("""COMPUTED_VALUE"""),"slh")</f>
        <v>slh</v>
      </c>
      <c r="J3335" s="9" t="str">
        <f>IFERROR(__xludf.DUMMYFUNCTION("""COMPUTED_VALUE"""),"spve")</f>
        <v>spve</v>
      </c>
      <c r="K3335" s="9"/>
      <c r="L3335" s="9"/>
      <c r="M3335" s="9"/>
      <c r="N3335" s="9"/>
      <c r="O3335" s="9"/>
      <c r="P3335" s="9"/>
      <c r="Q3335" s="9"/>
      <c r="R3335" s="9"/>
      <c r="S3335" s="42"/>
      <c r="T3335" s="42"/>
      <c r="U3335" s="42"/>
      <c r="V3335" s="42"/>
      <c r="W3335" s="42"/>
      <c r="X3335" s="42"/>
      <c r="Y3335" s="42"/>
      <c r="Z3335" s="42"/>
      <c r="AA3335" s="42"/>
      <c r="AB3335" s="42" t="str">
        <f>IFERROR(__xludf.DUMMYFUNCTION("""COMPUTED_VALUE"""),"allen institute")</f>
        <v>allen institute</v>
      </c>
      <c r="AC3335" s="42" t="str">
        <f>IFERROR(__xludf.DUMMYFUNCTION("""COMPUTED_VALUE"""),"DHBA")</f>
        <v>DHBA</v>
      </c>
      <c r="AD3335" s="42"/>
      <c r="AE3335" s="42"/>
      <c r="AF3335" s="9"/>
      <c r="AG3335" s="9"/>
      <c r="AH3335" s="42"/>
      <c r="AI3335" s="42"/>
      <c r="AJ3335" s="42"/>
      <c r="AK3335" s="42"/>
      <c r="AL3335" s="42"/>
      <c r="AM3335" s="42"/>
      <c r="AN3335" s="42"/>
      <c r="AO3335" s="63" t="str">
        <f>IFERROR(__xludf.DUMMYFUNCTION("IF(ISBLANK(A3335),,IF(ISBLANK(S3335), A3335&amp;"";"", TEXTJOIN(CHAR(10), TRUE, A3335&amp;"";"", ARRAYFORMULA(VLOOKUP(SPLIT(S3335, "";"" &amp; CHAR(10)), $A:$AO, 41, FALSE)))))"),"spve;")</f>
        <v>spve;</v>
      </c>
      <c r="AP3335" s="89"/>
    </row>
    <row r="3336">
      <c r="A3336" s="151" t="str">
        <f>IFERROR(__xludf.DUMMYFUNCTION("""COMPUTED_VALUE"""),"tbu")</f>
        <v>tbu</v>
      </c>
      <c r="B3336" s="42" t="str">
        <f>IFERROR(__xludf.DUMMYFUNCTION("""COMPUTED_VALUE"""),"DHBA")</f>
        <v>DHBA</v>
      </c>
      <c r="C3336" s="42" t="str">
        <f>IFERROR(__xludf.DUMMYFUNCTION("""COMPUTED_VALUE"""),"tectobulbar tract")</f>
        <v>tectobulbar tract</v>
      </c>
      <c r="D3336" s="42">
        <f>IFERROR(__xludf.DUMMYFUNCTION("""COMPUTED_VALUE"""),3189.0)</f>
        <v>3189</v>
      </c>
      <c r="E3336" s="39" t="str">
        <f>IFERROR(__xludf.DUMMYFUNCTION("""COMPUTED_VALUE"""),"tectobulbar tract")</f>
        <v>tectobulbar tract</v>
      </c>
      <c r="F3336" s="9" t="str">
        <f>IFERROR(__xludf.DUMMYFUNCTION("""COMPUTED_VALUE"""),"Br")</f>
        <v>Br</v>
      </c>
      <c r="G3336" s="9" t="str">
        <f>IFERROR(__xludf.DUMMYFUNCTION("""COMPUTED_VALUE"""),"H")</f>
        <v>H</v>
      </c>
      <c r="H3336" s="9" t="str">
        <f>IFERROR(__xludf.DUMMYFUNCTION("""COMPUTED_VALUE"""),"HWM")</f>
        <v>HWM</v>
      </c>
      <c r="I3336" s="9" t="str">
        <f>IFERROR(__xludf.DUMMYFUNCTION("""COMPUTED_VALUE"""),"slh")</f>
        <v>slh</v>
      </c>
      <c r="J3336" s="9" t="str">
        <f>IFERROR(__xludf.DUMMYFUNCTION("""COMPUTED_VALUE"""),"tbu")</f>
        <v>tbu</v>
      </c>
      <c r="K3336" s="9"/>
      <c r="L3336" s="9"/>
      <c r="M3336" s="9"/>
      <c r="N3336" s="9"/>
      <c r="O3336" s="9"/>
      <c r="P3336" s="9"/>
      <c r="Q3336" s="9"/>
      <c r="R3336" s="9"/>
      <c r="S3336" s="42"/>
      <c r="T3336" s="42"/>
      <c r="U3336" s="42"/>
      <c r="V3336" s="42"/>
      <c r="W3336" s="42"/>
      <c r="X3336" s="42"/>
      <c r="Y3336" s="42"/>
      <c r="Z3336" s="42"/>
      <c r="AA3336" s="42"/>
      <c r="AB3336" s="42" t="str">
        <f>IFERROR(__xludf.DUMMYFUNCTION("""COMPUTED_VALUE"""),"allen institute")</f>
        <v>allen institute</v>
      </c>
      <c r="AC3336" s="42" t="str">
        <f>IFERROR(__xludf.DUMMYFUNCTION("""COMPUTED_VALUE"""),"DHBA")</f>
        <v>DHBA</v>
      </c>
      <c r="AD3336" s="42"/>
      <c r="AE3336" s="42"/>
      <c r="AF3336" s="9"/>
      <c r="AG3336" s="9"/>
      <c r="AH3336" s="42"/>
      <c r="AI3336" s="42"/>
      <c r="AJ3336" s="42"/>
      <c r="AK3336" s="42"/>
      <c r="AL3336" s="42"/>
      <c r="AM3336" s="42"/>
      <c r="AN3336" s="42"/>
      <c r="AO3336" s="63" t="str">
        <f>IFERROR(__xludf.DUMMYFUNCTION("IF(ISBLANK(A3336),,IF(ISBLANK(S3336), A3336&amp;"";"", TEXTJOIN(CHAR(10), TRUE, A3336&amp;"";"", ARRAYFORMULA(VLOOKUP(SPLIT(S3336, "";"" &amp; CHAR(10)), $A:$AO, 41, FALSE)))))"),"tbu;")</f>
        <v>tbu;</v>
      </c>
      <c r="AP3336" s="89"/>
    </row>
    <row r="3337">
      <c r="A3337" s="151" t="str">
        <f>IFERROR(__xludf.DUMMYFUNCTION("""COMPUTED_VALUE"""),"sp5")</f>
        <v>sp5</v>
      </c>
      <c r="B3337" s="42" t="str">
        <f>IFERROR(__xludf.DUMMYFUNCTION("""COMPUTED_VALUE"""),"DHBA")</f>
        <v>DHBA</v>
      </c>
      <c r="C3337" s="42" t="str">
        <f>IFERROR(__xludf.DUMMYFUNCTION("""COMPUTED_VALUE"""),"spinal trigeminal tract")</f>
        <v>spinal trigeminal tract</v>
      </c>
      <c r="D3337" s="42">
        <f>IFERROR(__xludf.DUMMYFUNCTION("""COMPUTED_VALUE"""),3190.0)</f>
        <v>3190</v>
      </c>
      <c r="E3337" s="39" t="str">
        <f>IFERROR(__xludf.DUMMYFUNCTION("""COMPUTED_VALUE"""),"spinal trigeminal tract")</f>
        <v>spinal trigeminal tract</v>
      </c>
      <c r="F3337" s="9" t="str">
        <f>IFERROR(__xludf.DUMMYFUNCTION("""COMPUTED_VALUE"""),"Br")</f>
        <v>Br</v>
      </c>
      <c r="G3337" s="9" t="str">
        <f>IFERROR(__xludf.DUMMYFUNCTION("""COMPUTED_VALUE"""),"H")</f>
        <v>H</v>
      </c>
      <c r="H3337" s="9" t="str">
        <f>IFERROR(__xludf.DUMMYFUNCTION("""COMPUTED_VALUE"""),"HWM")</f>
        <v>HWM</v>
      </c>
      <c r="I3337" s="9" t="str">
        <f>IFERROR(__xludf.DUMMYFUNCTION("""COMPUTED_VALUE"""),"sp5")</f>
        <v>sp5</v>
      </c>
      <c r="J3337" s="9"/>
      <c r="K3337" s="9"/>
      <c r="L3337" s="9"/>
      <c r="M3337" s="9"/>
      <c r="N3337" s="9"/>
      <c r="O3337" s="9"/>
      <c r="P3337" s="9"/>
      <c r="Q3337" s="9"/>
      <c r="R3337" s="9"/>
      <c r="S3337" s="42"/>
      <c r="T3337" s="42"/>
      <c r="U3337" s="42"/>
      <c r="V3337" s="42"/>
      <c r="W3337" s="42"/>
      <c r="X3337" s="42"/>
      <c r="Y3337" s="42"/>
      <c r="Z3337" s="42"/>
      <c r="AA3337" s="42"/>
      <c r="AB3337" s="42" t="str">
        <f>IFERROR(__xludf.DUMMYFUNCTION("""COMPUTED_VALUE"""),"allen institute")</f>
        <v>allen institute</v>
      </c>
      <c r="AC3337" s="42" t="str">
        <f>IFERROR(__xludf.DUMMYFUNCTION("""COMPUTED_VALUE"""),"DHBA")</f>
        <v>DHBA</v>
      </c>
      <c r="AD3337" s="42"/>
      <c r="AE3337" s="42"/>
      <c r="AF3337" s="9"/>
      <c r="AG3337" s="9"/>
      <c r="AH3337" s="42"/>
      <c r="AI3337" s="42"/>
      <c r="AJ3337" s="42"/>
      <c r="AK3337" s="42"/>
      <c r="AL3337" s="42"/>
      <c r="AM3337" s="42"/>
      <c r="AN3337" s="42"/>
      <c r="AO3337" s="63" t="str">
        <f>IFERROR(__xludf.DUMMYFUNCTION("IF(ISBLANK(A3337),,IF(ISBLANK(S3337), A3337&amp;"";"", TEXTJOIN(CHAR(10), TRUE, A3337&amp;"";"", ARRAYFORMULA(VLOOKUP(SPLIT(S3337, "";"" &amp; CHAR(10)), $A:$AO, 41, FALSE)))))"),"sp5;")</f>
        <v>sp5;</v>
      </c>
      <c r="AP3337" s="89"/>
    </row>
    <row r="3338">
      <c r="A3338" s="151" t="str">
        <f>IFERROR(__xludf.DUMMYFUNCTION("""COMPUTED_VALUE"""),"spol")</f>
        <v>spol</v>
      </c>
      <c r="B3338" s="42" t="str">
        <f>IFERROR(__xludf.DUMMYFUNCTION("""COMPUTED_VALUE"""),"DHBA")</f>
        <v>DHBA</v>
      </c>
      <c r="C3338" s="42" t="str">
        <f>IFERROR(__xludf.DUMMYFUNCTION("""COMPUTED_VALUE"""),"spino-olivary tract")</f>
        <v>spino-olivary tract</v>
      </c>
      <c r="D3338" s="42">
        <f>IFERROR(__xludf.DUMMYFUNCTION("""COMPUTED_VALUE"""),3191.0)</f>
        <v>3191</v>
      </c>
      <c r="E3338" s="39" t="str">
        <f>IFERROR(__xludf.DUMMYFUNCTION("""COMPUTED_VALUE"""),"spino-olivary tract")</f>
        <v>spino-olivary tract</v>
      </c>
      <c r="F3338" s="9" t="str">
        <f>IFERROR(__xludf.DUMMYFUNCTION("""COMPUTED_VALUE"""),"Br")</f>
        <v>Br</v>
      </c>
      <c r="G3338" s="9" t="str">
        <f>IFERROR(__xludf.DUMMYFUNCTION("""COMPUTED_VALUE"""),"H")</f>
        <v>H</v>
      </c>
      <c r="H3338" s="9" t="str">
        <f>IFERROR(__xludf.DUMMYFUNCTION("""COMPUTED_VALUE"""),"HWM")</f>
        <v>HWM</v>
      </c>
      <c r="I3338" s="9" t="str">
        <f>IFERROR(__xludf.DUMMYFUNCTION("""COMPUTED_VALUE"""),"spol")</f>
        <v>spol</v>
      </c>
      <c r="J3338" s="9"/>
      <c r="K3338" s="9"/>
      <c r="L3338" s="9"/>
      <c r="M3338" s="9"/>
      <c r="N3338" s="9"/>
      <c r="O3338" s="9"/>
      <c r="P3338" s="9"/>
      <c r="Q3338" s="9"/>
      <c r="R3338" s="9"/>
      <c r="S3338" s="42"/>
      <c r="T3338" s="42"/>
      <c r="U3338" s="42"/>
      <c r="V3338" s="42"/>
      <c r="W3338" s="42"/>
      <c r="X3338" s="42"/>
      <c r="Y3338" s="42"/>
      <c r="Z3338" s="42"/>
      <c r="AA3338" s="42"/>
      <c r="AB3338" s="42" t="str">
        <f>IFERROR(__xludf.DUMMYFUNCTION("""COMPUTED_VALUE"""),"allen institute")</f>
        <v>allen institute</v>
      </c>
      <c r="AC3338" s="42" t="str">
        <f>IFERROR(__xludf.DUMMYFUNCTION("""COMPUTED_VALUE"""),"DHBA")</f>
        <v>DHBA</v>
      </c>
      <c r="AD3338" s="42"/>
      <c r="AE3338" s="42"/>
      <c r="AF3338" s="9"/>
      <c r="AG3338" s="9"/>
      <c r="AH3338" s="42"/>
      <c r="AI3338" s="42"/>
      <c r="AJ3338" s="42"/>
      <c r="AK3338" s="42"/>
      <c r="AL3338" s="42"/>
      <c r="AM3338" s="42"/>
      <c r="AN3338" s="42"/>
      <c r="AO3338" s="63" t="str">
        <f>IFERROR(__xludf.DUMMYFUNCTION("IF(ISBLANK(A3338),,IF(ISBLANK(S3338), A3338&amp;"";"", TEXTJOIN(CHAR(10), TRUE, A3338&amp;"";"", ARRAYFORMULA(VLOOKUP(SPLIT(S3338, "";"" &amp; CHAR(10)), $A:$AO, 41, FALSE)))))"),"spol;")</f>
        <v>spol;</v>
      </c>
      <c r="AP3338" s="89"/>
    </row>
    <row r="3339">
      <c r="A3339" s="151" t="str">
        <f>IFERROR(__xludf.DUMMYFUNCTION("""COMPUTED_VALUE"""),"sm4V")</f>
        <v>sm4V</v>
      </c>
      <c r="B3339" s="42" t="str">
        <f>IFERROR(__xludf.DUMMYFUNCTION("""COMPUTED_VALUE"""),"DHBA")</f>
        <v>DHBA</v>
      </c>
      <c r="C3339" s="42" t="str">
        <f>IFERROR(__xludf.DUMMYFUNCTION("""COMPUTED_VALUE"""),"stria medulares of the fourth ventricle")</f>
        <v>stria medulares of the fourth ventricle</v>
      </c>
      <c r="D3339" s="42">
        <f>IFERROR(__xludf.DUMMYFUNCTION("""COMPUTED_VALUE"""),3192.0)</f>
        <v>3192</v>
      </c>
      <c r="E3339" s="39" t="str">
        <f>IFERROR(__xludf.DUMMYFUNCTION("""COMPUTED_VALUE"""),"stria medulares of the fourth ventricle")</f>
        <v>stria medulares of the fourth ventricle</v>
      </c>
      <c r="F3339" s="9" t="str">
        <f>IFERROR(__xludf.DUMMYFUNCTION("""COMPUTED_VALUE"""),"Br")</f>
        <v>Br</v>
      </c>
      <c r="G3339" s="9" t="str">
        <f>IFERROR(__xludf.DUMMYFUNCTION("""COMPUTED_VALUE"""),"H")</f>
        <v>H</v>
      </c>
      <c r="H3339" s="9" t="str">
        <f>IFERROR(__xludf.DUMMYFUNCTION("""COMPUTED_VALUE"""),"HWM")</f>
        <v>HWM</v>
      </c>
      <c r="I3339" s="9" t="str">
        <f>IFERROR(__xludf.DUMMYFUNCTION("""COMPUTED_VALUE"""),"sm4V")</f>
        <v>sm4V</v>
      </c>
      <c r="J3339" s="9"/>
      <c r="K3339" s="9"/>
      <c r="L3339" s="9"/>
      <c r="M3339" s="9"/>
      <c r="N3339" s="9"/>
      <c r="O3339" s="9"/>
      <c r="P3339" s="9"/>
      <c r="Q3339" s="9"/>
      <c r="R3339" s="9"/>
      <c r="S3339" s="42"/>
      <c r="T3339" s="42"/>
      <c r="U3339" s="42"/>
      <c r="V3339" s="42"/>
      <c r="W3339" s="42"/>
      <c r="X3339" s="42"/>
      <c r="Y3339" s="42"/>
      <c r="Z3339" s="42"/>
      <c r="AA3339" s="42"/>
      <c r="AB3339" s="42" t="str">
        <f>IFERROR(__xludf.DUMMYFUNCTION("""COMPUTED_VALUE"""),"allen institute")</f>
        <v>allen institute</v>
      </c>
      <c r="AC3339" s="42" t="str">
        <f>IFERROR(__xludf.DUMMYFUNCTION("""COMPUTED_VALUE"""),"DHBA")</f>
        <v>DHBA</v>
      </c>
      <c r="AD3339" s="42"/>
      <c r="AE3339" s="42"/>
      <c r="AF3339" s="9"/>
      <c r="AG3339" s="9"/>
      <c r="AH3339" s="42"/>
      <c r="AI3339" s="42"/>
      <c r="AJ3339" s="42"/>
      <c r="AK3339" s="42"/>
      <c r="AL3339" s="42"/>
      <c r="AM3339" s="42"/>
      <c r="AN3339" s="42"/>
      <c r="AO3339" s="63" t="str">
        <f>IFERROR(__xludf.DUMMYFUNCTION("IF(ISBLANK(A3339),,IF(ISBLANK(S3339), A3339&amp;"";"", TEXTJOIN(CHAR(10), TRUE, A3339&amp;"";"", ARRAYFORMULA(VLOOKUP(SPLIT(S3339, "";"" &amp; CHAR(10)), $A:$AO, 41, FALSE)))))"),"sm4V;")</f>
        <v>sm4V;</v>
      </c>
      <c r="AP3339" s="89"/>
    </row>
    <row r="3340">
      <c r="A3340" s="151" t="str">
        <f>IFERROR(__xludf.DUMMYFUNCTION("""COMPUTED_VALUE"""),"tsp")</f>
        <v>tsp</v>
      </c>
      <c r="B3340" s="42" t="str">
        <f>IFERROR(__xludf.DUMMYFUNCTION("""COMPUTED_VALUE"""),"DHBA")</f>
        <v>DHBA</v>
      </c>
      <c r="C3340" s="42" t="str">
        <f>IFERROR(__xludf.DUMMYFUNCTION("""COMPUTED_VALUE"""),"tectospinal tract")</f>
        <v>tectospinal tract</v>
      </c>
      <c r="D3340" s="42">
        <f>IFERROR(__xludf.DUMMYFUNCTION("""COMPUTED_VALUE"""),3193.0)</f>
        <v>3193</v>
      </c>
      <c r="E3340" s="39" t="str">
        <f>IFERROR(__xludf.DUMMYFUNCTION("""COMPUTED_VALUE"""),"tectospinal tract")</f>
        <v>tectospinal tract</v>
      </c>
      <c r="F3340" s="9" t="str">
        <f>IFERROR(__xludf.DUMMYFUNCTION("""COMPUTED_VALUE"""),"Br")</f>
        <v>Br</v>
      </c>
      <c r="G3340" s="9" t="str">
        <f>IFERROR(__xludf.DUMMYFUNCTION("""COMPUTED_VALUE"""),"H")</f>
        <v>H</v>
      </c>
      <c r="H3340" s="9" t="str">
        <f>IFERROR(__xludf.DUMMYFUNCTION("""COMPUTED_VALUE"""),"HWM")</f>
        <v>HWM</v>
      </c>
      <c r="I3340" s="9" t="str">
        <f>IFERROR(__xludf.DUMMYFUNCTION("""COMPUTED_VALUE"""),"tsp")</f>
        <v>tsp</v>
      </c>
      <c r="J3340" s="9"/>
      <c r="K3340" s="9"/>
      <c r="L3340" s="9"/>
      <c r="M3340" s="9"/>
      <c r="N3340" s="9"/>
      <c r="O3340" s="9"/>
      <c r="P3340" s="9"/>
      <c r="Q3340" s="9"/>
      <c r="R3340" s="9"/>
      <c r="S3340" s="42"/>
      <c r="T3340" s="42"/>
      <c r="U3340" s="42"/>
      <c r="V3340" s="42"/>
      <c r="W3340" s="42"/>
      <c r="X3340" s="42"/>
      <c r="Y3340" s="42"/>
      <c r="Z3340" s="42"/>
      <c r="AA3340" s="42"/>
      <c r="AB3340" s="42" t="str">
        <f>IFERROR(__xludf.DUMMYFUNCTION("""COMPUTED_VALUE"""),"allen institute")</f>
        <v>allen institute</v>
      </c>
      <c r="AC3340" s="42" t="str">
        <f>IFERROR(__xludf.DUMMYFUNCTION("""COMPUTED_VALUE"""),"DHBA")</f>
        <v>DHBA</v>
      </c>
      <c r="AD3340" s="42"/>
      <c r="AE3340" s="42"/>
      <c r="AF3340" s="9"/>
      <c r="AG3340" s="9"/>
      <c r="AH3340" s="42"/>
      <c r="AI3340" s="42"/>
      <c r="AJ3340" s="42"/>
      <c r="AK3340" s="42"/>
      <c r="AL3340" s="42"/>
      <c r="AM3340" s="42"/>
      <c r="AN3340" s="42"/>
      <c r="AO3340" s="63" t="str">
        <f>IFERROR(__xludf.DUMMYFUNCTION("IF(ISBLANK(A3340),,IF(ISBLANK(S3340), A3340&amp;"";"", TEXTJOIN(CHAR(10), TRUE, A3340&amp;"";"", ARRAYFORMULA(VLOOKUP(SPLIT(S3340, "";"" &amp; CHAR(10)), $A:$AO, 41, FALSE)))))"),"tsp;")</f>
        <v>tsp;</v>
      </c>
      <c r="AP3340" s="89"/>
    </row>
    <row r="3341">
      <c r="A3341" s="151" t="str">
        <f>IFERROR(__xludf.DUMMYFUNCTION("""COMPUTED_VALUE"""),"tfp")</f>
        <v>tfp</v>
      </c>
      <c r="B3341" s="42" t="str">
        <f>IFERROR(__xludf.DUMMYFUNCTION("""COMPUTED_VALUE"""),"DHBA")</f>
        <v>DHBA</v>
      </c>
      <c r="C3341" s="42" t="str">
        <f>IFERROR(__xludf.DUMMYFUNCTION("""COMPUTED_VALUE"""),"transverse fibers of pons")</f>
        <v>transverse fibers of pons</v>
      </c>
      <c r="D3341" s="42">
        <f>IFERROR(__xludf.DUMMYFUNCTION("""COMPUTED_VALUE"""),3194.0)</f>
        <v>3194</v>
      </c>
      <c r="E3341" s="39" t="str">
        <f>IFERROR(__xludf.DUMMYFUNCTION("""COMPUTED_VALUE"""),"transverse fibers of pons")</f>
        <v>transverse fibers of pons</v>
      </c>
      <c r="F3341" s="9" t="str">
        <f>IFERROR(__xludf.DUMMYFUNCTION("""COMPUTED_VALUE"""),"Br")</f>
        <v>Br</v>
      </c>
      <c r="G3341" s="9" t="str">
        <f>IFERROR(__xludf.DUMMYFUNCTION("""COMPUTED_VALUE"""),"H")</f>
        <v>H</v>
      </c>
      <c r="H3341" s="9" t="str">
        <f>IFERROR(__xludf.DUMMYFUNCTION("""COMPUTED_VALUE"""),"HWM")</f>
        <v>HWM</v>
      </c>
      <c r="I3341" s="9" t="str">
        <f>IFERROR(__xludf.DUMMYFUNCTION("""COMPUTED_VALUE"""),"tfp")</f>
        <v>tfp</v>
      </c>
      <c r="J3341" s="9"/>
      <c r="K3341" s="9"/>
      <c r="L3341" s="9"/>
      <c r="M3341" s="9"/>
      <c r="N3341" s="9"/>
      <c r="O3341" s="9"/>
      <c r="P3341" s="9"/>
      <c r="Q3341" s="9"/>
      <c r="R3341" s="9"/>
      <c r="S3341" s="42"/>
      <c r="T3341" s="42"/>
      <c r="U3341" s="42"/>
      <c r="V3341" s="42"/>
      <c r="W3341" s="42"/>
      <c r="X3341" s="42"/>
      <c r="Y3341" s="42"/>
      <c r="Z3341" s="42"/>
      <c r="AA3341" s="42"/>
      <c r="AB3341" s="42" t="str">
        <f>IFERROR(__xludf.DUMMYFUNCTION("""COMPUTED_VALUE"""),"allen institute")</f>
        <v>allen institute</v>
      </c>
      <c r="AC3341" s="42" t="str">
        <f>IFERROR(__xludf.DUMMYFUNCTION("""COMPUTED_VALUE"""),"DHBA")</f>
        <v>DHBA</v>
      </c>
      <c r="AD3341" s="42"/>
      <c r="AE3341" s="42"/>
      <c r="AF3341" s="9"/>
      <c r="AG3341" s="9"/>
      <c r="AH3341" s="42"/>
      <c r="AI3341" s="42"/>
      <c r="AJ3341" s="42"/>
      <c r="AK3341" s="42"/>
      <c r="AL3341" s="42"/>
      <c r="AM3341" s="42"/>
      <c r="AN3341" s="42"/>
      <c r="AO3341" s="63" t="str">
        <f>IFERROR(__xludf.DUMMYFUNCTION("IF(ISBLANK(A3341),,IF(ISBLANK(S3341), A3341&amp;"";"", TEXTJOIN(CHAR(10), TRUE, A3341&amp;"";"", ARRAYFORMULA(VLOOKUP(SPLIT(S3341, "";"" &amp; CHAR(10)), $A:$AO, 41, FALSE)))))"),"tfp;")</f>
        <v>tfp;</v>
      </c>
      <c r="AP3341" s="89"/>
    </row>
    <row r="3342">
      <c r="A3342" s="151" t="str">
        <f>IFERROR(__xludf.DUMMYFUNCTION("""COMPUTED_VALUE"""),"tz")</f>
        <v>tz</v>
      </c>
      <c r="B3342" s="42" t="str">
        <f>IFERROR(__xludf.DUMMYFUNCTION("""COMPUTED_VALUE"""),"DHBA")</f>
        <v>DHBA</v>
      </c>
      <c r="C3342" s="42" t="str">
        <f>IFERROR(__xludf.DUMMYFUNCTION("""COMPUTED_VALUE"""),"trapezoid body")</f>
        <v>trapezoid body</v>
      </c>
      <c r="D3342" s="42">
        <f>IFERROR(__xludf.DUMMYFUNCTION("""COMPUTED_VALUE"""),3195.0)</f>
        <v>3195</v>
      </c>
      <c r="E3342" s="39" t="str">
        <f>IFERROR(__xludf.DUMMYFUNCTION("""COMPUTED_VALUE"""),"trapezoid body")</f>
        <v>trapezoid body</v>
      </c>
      <c r="F3342" s="9" t="str">
        <f>IFERROR(__xludf.DUMMYFUNCTION("""COMPUTED_VALUE"""),"Br")</f>
        <v>Br</v>
      </c>
      <c r="G3342" s="9" t="str">
        <f>IFERROR(__xludf.DUMMYFUNCTION("""COMPUTED_VALUE"""),"H")</f>
        <v>H</v>
      </c>
      <c r="H3342" s="9" t="str">
        <f>IFERROR(__xludf.DUMMYFUNCTION("""COMPUTED_VALUE"""),"HWM")</f>
        <v>HWM</v>
      </c>
      <c r="I3342" s="9" t="str">
        <f>IFERROR(__xludf.DUMMYFUNCTION("""COMPUTED_VALUE"""),"tz")</f>
        <v>tz</v>
      </c>
      <c r="J3342" s="9"/>
      <c r="K3342" s="9"/>
      <c r="L3342" s="9"/>
      <c r="M3342" s="9"/>
      <c r="N3342" s="9"/>
      <c r="O3342" s="9"/>
      <c r="P3342" s="9"/>
      <c r="Q3342" s="9"/>
      <c r="R3342" s="9"/>
      <c r="S3342" s="42"/>
      <c r="T3342" s="42"/>
      <c r="U3342" s="42"/>
      <c r="V3342" s="42"/>
      <c r="W3342" s="42"/>
      <c r="X3342" s="42"/>
      <c r="Y3342" s="42"/>
      <c r="Z3342" s="42"/>
      <c r="AA3342" s="42"/>
      <c r="AB3342" s="42" t="str">
        <f>IFERROR(__xludf.DUMMYFUNCTION("""COMPUTED_VALUE"""),"allen institute")</f>
        <v>allen institute</v>
      </c>
      <c r="AC3342" s="42" t="str">
        <f>IFERROR(__xludf.DUMMYFUNCTION("""COMPUTED_VALUE"""),"DHBA")</f>
        <v>DHBA</v>
      </c>
      <c r="AD3342" s="42"/>
      <c r="AE3342" s="42"/>
      <c r="AF3342" s="9"/>
      <c r="AG3342" s="9"/>
      <c r="AH3342" s="42"/>
      <c r="AI3342" s="42"/>
      <c r="AJ3342" s="42"/>
      <c r="AK3342" s="42"/>
      <c r="AL3342" s="42"/>
      <c r="AM3342" s="42"/>
      <c r="AN3342" s="42"/>
      <c r="AO3342" s="63" t="str">
        <f>IFERROR(__xludf.DUMMYFUNCTION("IF(ISBLANK(A3342),,IF(ISBLANK(S3342), A3342&amp;"";"", TEXTJOIN(CHAR(10), TRUE, A3342&amp;"";"", ARRAYFORMULA(VLOOKUP(SPLIT(S3342, "";"" &amp; CHAR(10)), $A:$AO, 41, FALSE)))))"),"tz;")</f>
        <v>tz;</v>
      </c>
      <c r="AP3342" s="89"/>
    </row>
    <row r="3343">
      <c r="A3343" s="151" t="str">
        <f>IFERROR(__xludf.DUMMYFUNCTION("""COMPUTED_VALUE"""),"tri5")</f>
        <v>tri5</v>
      </c>
      <c r="B3343" s="42" t="str">
        <f>IFERROR(__xludf.DUMMYFUNCTION("""COMPUTED_VALUE"""),"DHBA")</f>
        <v>DHBA</v>
      </c>
      <c r="C3343" s="42" t="str">
        <f>IFERROR(__xludf.DUMMYFUNCTION("""COMPUTED_VALUE"""),"trigeminothalamic tract")</f>
        <v>trigeminothalamic tract</v>
      </c>
      <c r="D3343" s="42">
        <f>IFERROR(__xludf.DUMMYFUNCTION("""COMPUTED_VALUE"""),3196.0)</f>
        <v>3196</v>
      </c>
      <c r="E3343" s="39" t="str">
        <f>IFERROR(__xludf.DUMMYFUNCTION("""COMPUTED_VALUE"""),"trigeminothalamic tract")</f>
        <v>trigeminothalamic tract</v>
      </c>
      <c r="F3343" s="9" t="str">
        <f>IFERROR(__xludf.DUMMYFUNCTION("""COMPUTED_VALUE"""),"Br")</f>
        <v>Br</v>
      </c>
      <c r="G3343" s="9" t="str">
        <f>IFERROR(__xludf.DUMMYFUNCTION("""COMPUTED_VALUE"""),"H")</f>
        <v>H</v>
      </c>
      <c r="H3343" s="9" t="str">
        <f>IFERROR(__xludf.DUMMYFUNCTION("""COMPUTED_VALUE"""),"HWM")</f>
        <v>HWM</v>
      </c>
      <c r="I3343" s="9" t="str">
        <f>IFERROR(__xludf.DUMMYFUNCTION("""COMPUTED_VALUE"""),"tri5")</f>
        <v>tri5</v>
      </c>
      <c r="J3343" s="9"/>
      <c r="K3343" s="9"/>
      <c r="L3343" s="9"/>
      <c r="M3343" s="9"/>
      <c r="N3343" s="9"/>
      <c r="O3343" s="9"/>
      <c r="P3343" s="9"/>
      <c r="Q3343" s="9"/>
      <c r="R3343" s="9"/>
      <c r="S3343" s="42"/>
      <c r="T3343" s="42"/>
      <c r="U3343" s="42"/>
      <c r="V3343" s="42"/>
      <c r="W3343" s="42"/>
      <c r="X3343" s="42"/>
      <c r="Y3343" s="42"/>
      <c r="Z3343" s="42"/>
      <c r="AA3343" s="42"/>
      <c r="AB3343" s="42" t="str">
        <f>IFERROR(__xludf.DUMMYFUNCTION("""COMPUTED_VALUE"""),"allen institute")</f>
        <v>allen institute</v>
      </c>
      <c r="AC3343" s="42" t="str">
        <f>IFERROR(__xludf.DUMMYFUNCTION("""COMPUTED_VALUE"""),"DHBA")</f>
        <v>DHBA</v>
      </c>
      <c r="AD3343" s="42"/>
      <c r="AE3343" s="42"/>
      <c r="AF3343" s="9"/>
      <c r="AG3343" s="9"/>
      <c r="AH3343" s="42"/>
      <c r="AI3343" s="42"/>
      <c r="AJ3343" s="42"/>
      <c r="AK3343" s="42"/>
      <c r="AL3343" s="42"/>
      <c r="AM3343" s="42"/>
      <c r="AN3343" s="42"/>
      <c r="AO3343" s="63" t="str">
        <f>IFERROR(__xludf.DUMMYFUNCTION("IF(ISBLANK(A3343),,IF(ISBLANK(S3343), A3343&amp;"";"", TEXTJOIN(CHAR(10), TRUE, A3343&amp;"";"", ARRAYFORMULA(VLOOKUP(SPLIT(S3343, "";"" &amp; CHAR(10)), $A:$AO, 41, FALSE)))))"),"tri5;")</f>
        <v>tri5;</v>
      </c>
      <c r="AP3343" s="89"/>
    </row>
    <row r="3344">
      <c r="A3344" s="151" t="str">
        <f>IFERROR(__xludf.DUMMYFUNCTION("""COMPUTED_VALUE"""),"ubcb")</f>
        <v>ubcb</v>
      </c>
      <c r="B3344" s="42" t="str">
        <f>IFERROR(__xludf.DUMMYFUNCTION("""COMPUTED_VALUE"""),"DHBA")</f>
        <v>DHBA</v>
      </c>
      <c r="C3344" s="42" t="str">
        <f>IFERROR(__xludf.DUMMYFUNCTION("""COMPUTED_VALUE"""),"uncinate (hooked) bundle of cerebellum")</f>
        <v>uncinate (hooked) bundle of cerebellum</v>
      </c>
      <c r="D3344" s="42">
        <f>IFERROR(__xludf.DUMMYFUNCTION("""COMPUTED_VALUE"""),3197.0)</f>
        <v>3197</v>
      </c>
      <c r="E3344" s="39" t="str">
        <f>IFERROR(__xludf.DUMMYFUNCTION("""COMPUTED_VALUE"""),"uncinate (hooked) bundle of cerebellum")</f>
        <v>uncinate (hooked) bundle of cerebellum</v>
      </c>
      <c r="F3344" s="9" t="str">
        <f>IFERROR(__xludf.DUMMYFUNCTION("""COMPUTED_VALUE"""),"Br")</f>
        <v>Br</v>
      </c>
      <c r="G3344" s="9" t="str">
        <f>IFERROR(__xludf.DUMMYFUNCTION("""COMPUTED_VALUE"""),"H")</f>
        <v>H</v>
      </c>
      <c r="H3344" s="9" t="str">
        <f>IFERROR(__xludf.DUMMYFUNCTION("""COMPUTED_VALUE"""),"HWM")</f>
        <v>HWM</v>
      </c>
      <c r="I3344" s="9" t="str">
        <f>IFERROR(__xludf.DUMMYFUNCTION("""COMPUTED_VALUE"""),"ubcb")</f>
        <v>ubcb</v>
      </c>
      <c r="J3344" s="9"/>
      <c r="K3344" s="9"/>
      <c r="L3344" s="9"/>
      <c r="M3344" s="9"/>
      <c r="N3344" s="9"/>
      <c r="O3344" s="9"/>
      <c r="P3344" s="9"/>
      <c r="Q3344" s="9"/>
      <c r="R3344" s="9"/>
      <c r="S3344" s="42"/>
      <c r="T3344" s="42"/>
      <c r="U3344" s="42"/>
      <c r="V3344" s="42"/>
      <c r="W3344" s="42"/>
      <c r="X3344" s="42"/>
      <c r="Y3344" s="42"/>
      <c r="Z3344" s="42"/>
      <c r="AA3344" s="42"/>
      <c r="AB3344" s="42" t="str">
        <f>IFERROR(__xludf.DUMMYFUNCTION("""COMPUTED_VALUE"""),"allen institute")</f>
        <v>allen institute</v>
      </c>
      <c r="AC3344" s="42" t="str">
        <f>IFERROR(__xludf.DUMMYFUNCTION("""COMPUTED_VALUE"""),"DHBA")</f>
        <v>DHBA</v>
      </c>
      <c r="AD3344" s="42"/>
      <c r="AE3344" s="42"/>
      <c r="AF3344" s="9"/>
      <c r="AG3344" s="9"/>
      <c r="AH3344" s="42"/>
      <c r="AI3344" s="42"/>
      <c r="AJ3344" s="42"/>
      <c r="AK3344" s="42"/>
      <c r="AL3344" s="42"/>
      <c r="AM3344" s="42"/>
      <c r="AN3344" s="42"/>
      <c r="AO3344" s="63" t="str">
        <f>IFERROR(__xludf.DUMMYFUNCTION("IF(ISBLANK(A3344),,IF(ISBLANK(S3344), A3344&amp;"";"", TEXTJOIN(CHAR(10), TRUE, A3344&amp;"";"", ARRAYFORMULA(VLOOKUP(SPLIT(S3344, "";"" &amp; CHAR(10)), $A:$AO, 41, FALSE)))))"),"ubcb;")</f>
        <v>ubcb;</v>
      </c>
      <c r="AP3344" s="89"/>
    </row>
    <row r="3345">
      <c r="A3345" s="151" t="str">
        <f>IFERROR(__xludf.DUMMYFUNCTION("""COMPUTED_VALUE"""),"vcsp")</f>
        <v>vcsp</v>
      </c>
      <c r="B3345" s="42" t="str">
        <f>IFERROR(__xludf.DUMMYFUNCTION("""COMPUTED_VALUE"""),"DHBA")</f>
        <v>DHBA</v>
      </c>
      <c r="C3345" s="42" t="str">
        <f>IFERROR(__xludf.DUMMYFUNCTION("""COMPUTED_VALUE"""),"ventral corticospinal tract")</f>
        <v>ventral corticospinal tract</v>
      </c>
      <c r="D3345" s="42">
        <f>IFERROR(__xludf.DUMMYFUNCTION("""COMPUTED_VALUE"""),3198.0)</f>
        <v>3198</v>
      </c>
      <c r="E3345" s="39" t="str">
        <f>IFERROR(__xludf.DUMMYFUNCTION("""COMPUTED_VALUE"""),"ventral corticospinal tract")</f>
        <v>ventral corticospinal tract</v>
      </c>
      <c r="F3345" s="9" t="str">
        <f>IFERROR(__xludf.DUMMYFUNCTION("""COMPUTED_VALUE"""),"Br")</f>
        <v>Br</v>
      </c>
      <c r="G3345" s="9" t="str">
        <f>IFERROR(__xludf.DUMMYFUNCTION("""COMPUTED_VALUE"""),"H")</f>
        <v>H</v>
      </c>
      <c r="H3345" s="9" t="str">
        <f>IFERROR(__xludf.DUMMYFUNCTION("""COMPUTED_VALUE"""),"HWM")</f>
        <v>HWM</v>
      </c>
      <c r="I3345" s="9" t="str">
        <f>IFERROR(__xludf.DUMMYFUNCTION("""COMPUTED_VALUE"""),"vcsp")</f>
        <v>vcsp</v>
      </c>
      <c r="J3345" s="9"/>
      <c r="K3345" s="9"/>
      <c r="L3345" s="9"/>
      <c r="M3345" s="9"/>
      <c r="N3345" s="9"/>
      <c r="O3345" s="9"/>
      <c r="P3345" s="9"/>
      <c r="Q3345" s="9"/>
      <c r="R3345" s="9"/>
      <c r="S3345" s="42"/>
      <c r="T3345" s="42"/>
      <c r="U3345" s="159"/>
      <c r="V3345" s="42"/>
      <c r="W3345" s="42"/>
      <c r="X3345" s="42"/>
      <c r="Y3345" s="42"/>
      <c r="Z3345" s="42"/>
      <c r="AA3345" s="42"/>
      <c r="AB3345" s="42" t="str">
        <f>IFERROR(__xludf.DUMMYFUNCTION("""COMPUTED_VALUE"""),"allen institute")</f>
        <v>allen institute</v>
      </c>
      <c r="AC3345" s="42" t="str">
        <f>IFERROR(__xludf.DUMMYFUNCTION("""COMPUTED_VALUE"""),"DHBA")</f>
        <v>DHBA</v>
      </c>
      <c r="AD3345" s="42"/>
      <c r="AE3345" s="42"/>
      <c r="AF3345" s="9"/>
      <c r="AG3345" s="9"/>
      <c r="AH3345" s="42"/>
      <c r="AI3345" s="42"/>
      <c r="AJ3345" s="42"/>
      <c r="AK3345" s="42"/>
      <c r="AL3345" s="42"/>
      <c r="AM3345" s="42"/>
      <c r="AN3345" s="42"/>
      <c r="AO3345" s="63" t="str">
        <f>IFERROR(__xludf.DUMMYFUNCTION("IF(ISBLANK(A3345),,IF(ISBLANK(S3345), A3345&amp;"";"", TEXTJOIN(CHAR(10), TRUE, A3345&amp;"";"", ARRAYFORMULA(VLOOKUP(SPLIT(S3345, "";"" &amp; CHAR(10)), $A:$AO, 41, FALSE)))))"),"vcsp;")</f>
        <v>vcsp;</v>
      </c>
      <c r="AP3345" s="89"/>
    </row>
    <row r="3346">
      <c r="A3346" s="151" t="str">
        <f>IFERROR(__xludf.DUMMYFUNCTION("""COMPUTED_VALUE"""),"vexf")</f>
        <v>vexf</v>
      </c>
      <c r="B3346" s="42" t="str">
        <f>IFERROR(__xludf.DUMMYFUNCTION("""COMPUTED_VALUE"""),"DHBA")</f>
        <v>DHBA</v>
      </c>
      <c r="C3346" s="42" t="str">
        <f>IFERROR(__xludf.DUMMYFUNCTION("""COMPUTED_VALUE"""),"ventral external fibers")</f>
        <v>ventral external fibers</v>
      </c>
      <c r="D3346" s="42">
        <f>IFERROR(__xludf.DUMMYFUNCTION("""COMPUTED_VALUE"""),3199.0)</f>
        <v>3199</v>
      </c>
      <c r="E3346" s="39" t="str">
        <f>IFERROR(__xludf.DUMMYFUNCTION("""COMPUTED_VALUE"""),"ventral external fibers")</f>
        <v>ventral external fibers</v>
      </c>
      <c r="F3346" s="9" t="str">
        <f>IFERROR(__xludf.DUMMYFUNCTION("""COMPUTED_VALUE"""),"Br")</f>
        <v>Br</v>
      </c>
      <c r="G3346" s="9" t="str">
        <f>IFERROR(__xludf.DUMMYFUNCTION("""COMPUTED_VALUE"""),"H")</f>
        <v>H</v>
      </c>
      <c r="H3346" s="9" t="str">
        <f>IFERROR(__xludf.DUMMYFUNCTION("""COMPUTED_VALUE"""),"HWM")</f>
        <v>HWM</v>
      </c>
      <c r="I3346" s="9" t="str">
        <f>IFERROR(__xludf.DUMMYFUNCTION("""COMPUTED_VALUE"""),"vexf")</f>
        <v>vexf</v>
      </c>
      <c r="J3346" s="9"/>
      <c r="K3346" s="9"/>
      <c r="L3346" s="9"/>
      <c r="M3346" s="9"/>
      <c r="N3346" s="9"/>
      <c r="O3346" s="9"/>
      <c r="P3346" s="9"/>
      <c r="Q3346" s="9"/>
      <c r="R3346" s="9"/>
      <c r="S3346" s="42"/>
      <c r="T3346" s="42"/>
      <c r="U3346" s="159"/>
      <c r="V3346" s="42"/>
      <c r="W3346" s="42"/>
      <c r="X3346" s="42"/>
      <c r="Y3346" s="42"/>
      <c r="Z3346" s="42"/>
      <c r="AA3346" s="42"/>
      <c r="AB3346" s="42" t="str">
        <f>IFERROR(__xludf.DUMMYFUNCTION("""COMPUTED_VALUE"""),"allen institute")</f>
        <v>allen institute</v>
      </c>
      <c r="AC3346" s="42" t="str">
        <f>IFERROR(__xludf.DUMMYFUNCTION("""COMPUTED_VALUE"""),"DHBA")</f>
        <v>DHBA</v>
      </c>
      <c r="AD3346" s="42"/>
      <c r="AE3346" s="42"/>
      <c r="AF3346" s="9"/>
      <c r="AG3346" s="9"/>
      <c r="AH3346" s="42"/>
      <c r="AI3346" s="42"/>
      <c r="AJ3346" s="42"/>
      <c r="AK3346" s="42"/>
      <c r="AL3346" s="42"/>
      <c r="AM3346" s="42"/>
      <c r="AN3346" s="42"/>
      <c r="AO3346" s="63" t="str">
        <f>IFERROR(__xludf.DUMMYFUNCTION("IF(ISBLANK(A3346),,IF(ISBLANK(S3346), A3346&amp;"";"", TEXTJOIN(CHAR(10), TRUE, A3346&amp;"";"", ARRAYFORMULA(VLOOKUP(SPLIT(S3346, "";"" &amp; CHAR(10)), $A:$AO, 41, FALSE)))))"),"vexf;")</f>
        <v>vexf;</v>
      </c>
      <c r="AP3346" s="89"/>
    </row>
    <row r="3347">
      <c r="A3347" s="151" t="str">
        <f>IFERROR(__xludf.DUMMYFUNCTION("""COMPUTED_VALUE"""),"vresp")</f>
        <v>vresp</v>
      </c>
      <c r="B3347" s="42" t="str">
        <f>IFERROR(__xludf.DUMMYFUNCTION("""COMPUTED_VALUE"""),"DHBA")</f>
        <v>DHBA</v>
      </c>
      <c r="C3347" s="42" t="str">
        <f>IFERROR(__xludf.DUMMYFUNCTION("""COMPUTED_VALUE"""),"ventral reticulospinal tract")</f>
        <v>ventral reticulospinal tract</v>
      </c>
      <c r="D3347" s="42">
        <f>IFERROR(__xludf.DUMMYFUNCTION("""COMPUTED_VALUE"""),3200.0)</f>
        <v>3200</v>
      </c>
      <c r="E3347" s="39" t="str">
        <f>IFERROR(__xludf.DUMMYFUNCTION("""COMPUTED_VALUE"""),"ventral reticulospinal tract")</f>
        <v>ventral reticulospinal tract</v>
      </c>
      <c r="F3347" s="9" t="str">
        <f>IFERROR(__xludf.DUMMYFUNCTION("""COMPUTED_VALUE"""),"Br")</f>
        <v>Br</v>
      </c>
      <c r="G3347" s="9" t="str">
        <f>IFERROR(__xludf.DUMMYFUNCTION("""COMPUTED_VALUE"""),"H")</f>
        <v>H</v>
      </c>
      <c r="H3347" s="9" t="str">
        <f>IFERROR(__xludf.DUMMYFUNCTION("""COMPUTED_VALUE"""),"HWM")</f>
        <v>HWM</v>
      </c>
      <c r="I3347" s="9" t="str">
        <f>IFERROR(__xludf.DUMMYFUNCTION("""COMPUTED_VALUE"""),"vresp")</f>
        <v>vresp</v>
      </c>
      <c r="J3347" s="9"/>
      <c r="K3347" s="9"/>
      <c r="L3347" s="9"/>
      <c r="M3347" s="9"/>
      <c r="N3347" s="9"/>
      <c r="O3347" s="9"/>
      <c r="P3347" s="9"/>
      <c r="Q3347" s="9"/>
      <c r="R3347" s="9"/>
      <c r="S3347" s="42"/>
      <c r="T3347" s="42"/>
      <c r="U3347" s="159" t="b">
        <f>IFERROR(__xludf.DUMMYFUNCTION("""COMPUTED_VALUE"""),FALSE)</f>
        <v>0</v>
      </c>
      <c r="V3347" s="42"/>
      <c r="W3347" s="42"/>
      <c r="X3347" s="42"/>
      <c r="Y3347" s="42"/>
      <c r="Z3347" s="42"/>
      <c r="AA3347" s="42"/>
      <c r="AB3347" s="42" t="str">
        <f>IFERROR(__xludf.DUMMYFUNCTION("""COMPUTED_VALUE"""),"allen institute")</f>
        <v>allen institute</v>
      </c>
      <c r="AC3347" s="42" t="str">
        <f>IFERROR(__xludf.DUMMYFUNCTION("""COMPUTED_VALUE"""),"DHBA")</f>
        <v>DHBA</v>
      </c>
      <c r="AD3347" s="42"/>
      <c r="AE3347" s="42"/>
      <c r="AF3347" s="9"/>
      <c r="AG3347" s="9"/>
      <c r="AH3347" s="42"/>
      <c r="AI3347" s="42"/>
      <c r="AJ3347" s="42"/>
      <c r="AK3347" s="42"/>
      <c r="AL3347" s="42"/>
      <c r="AM3347" s="42"/>
      <c r="AN3347" s="42"/>
      <c r="AO3347" s="63" t="str">
        <f>IFERROR(__xludf.DUMMYFUNCTION("IF(ISBLANK(A3347),,IF(ISBLANK(S3347), A3347&amp;"";"", TEXTJOIN(CHAR(10), TRUE, A3347&amp;"";"", ARRAYFORMULA(VLOOKUP(SPLIT(S3347, "";"" &amp; CHAR(10)), $A:$AO, 41, FALSE)))))"),"vresp;")</f>
        <v>vresp;</v>
      </c>
      <c r="AP3347" s="89"/>
    </row>
    <row r="3348">
      <c r="A3348" s="151" t="str">
        <f>IFERROR(__xludf.DUMMYFUNCTION("""COMPUTED_VALUE"""),"vscb")</f>
        <v>vscb</v>
      </c>
      <c r="B3348" s="42" t="str">
        <f>IFERROR(__xludf.DUMMYFUNCTION("""COMPUTED_VALUE"""),"DHBA")</f>
        <v>DHBA</v>
      </c>
      <c r="C3348" s="42" t="str">
        <f>IFERROR(__xludf.DUMMYFUNCTION("""COMPUTED_VALUE"""),"ventral spinocerebellar tract")</f>
        <v>ventral spinocerebellar tract</v>
      </c>
      <c r="D3348" s="42">
        <f>IFERROR(__xludf.DUMMYFUNCTION("""COMPUTED_VALUE"""),3201.0)</f>
        <v>3201</v>
      </c>
      <c r="E3348" s="39" t="str">
        <f>IFERROR(__xludf.DUMMYFUNCTION("""COMPUTED_VALUE"""),"ventral spinocerebellar tract")</f>
        <v>ventral spinocerebellar tract</v>
      </c>
      <c r="F3348" s="9" t="str">
        <f>IFERROR(__xludf.DUMMYFUNCTION("""COMPUTED_VALUE"""),"Br")</f>
        <v>Br</v>
      </c>
      <c r="G3348" s="9" t="str">
        <f>IFERROR(__xludf.DUMMYFUNCTION("""COMPUTED_VALUE"""),"H")</f>
        <v>H</v>
      </c>
      <c r="H3348" s="9" t="str">
        <f>IFERROR(__xludf.DUMMYFUNCTION("""COMPUTED_VALUE"""),"HWM")</f>
        <v>HWM</v>
      </c>
      <c r="I3348" s="9" t="str">
        <f>IFERROR(__xludf.DUMMYFUNCTION("""COMPUTED_VALUE"""),"vscb")</f>
        <v>vscb</v>
      </c>
      <c r="J3348" s="9"/>
      <c r="K3348" s="9"/>
      <c r="L3348" s="9"/>
      <c r="M3348" s="9"/>
      <c r="N3348" s="9"/>
      <c r="O3348" s="9"/>
      <c r="P3348" s="9"/>
      <c r="Q3348" s="9"/>
      <c r="R3348" s="9"/>
      <c r="S3348" s="42"/>
      <c r="T3348" s="42"/>
      <c r="U3348" s="42"/>
      <c r="V3348" s="42"/>
      <c r="W3348" s="42"/>
      <c r="X3348" s="42"/>
      <c r="Y3348" s="42"/>
      <c r="Z3348" s="42"/>
      <c r="AA3348" s="42"/>
      <c r="AB3348" s="42" t="str">
        <f>IFERROR(__xludf.DUMMYFUNCTION("""COMPUTED_VALUE"""),"allen institute")</f>
        <v>allen institute</v>
      </c>
      <c r="AC3348" s="42" t="str">
        <f>IFERROR(__xludf.DUMMYFUNCTION("""COMPUTED_VALUE"""),"DHBA")</f>
        <v>DHBA</v>
      </c>
      <c r="AD3348" s="42"/>
      <c r="AE3348" s="42"/>
      <c r="AF3348" s="9"/>
      <c r="AG3348" s="9"/>
      <c r="AH3348" s="42"/>
      <c r="AI3348" s="42"/>
      <c r="AJ3348" s="42"/>
      <c r="AK3348" s="42"/>
      <c r="AL3348" s="42"/>
      <c r="AM3348" s="42"/>
      <c r="AN3348" s="42"/>
      <c r="AO3348" s="63" t="str">
        <f>IFERROR(__xludf.DUMMYFUNCTION("IF(ISBLANK(A3348),,IF(ISBLANK(S3348), A3348&amp;"";"", TEXTJOIN(CHAR(10), TRUE, A3348&amp;"";"", ARRAYFORMULA(VLOOKUP(SPLIT(S3348, "";"" &amp; CHAR(10)), $A:$AO, 41, FALSE)))))"),"vscb;")</f>
        <v>vscb;</v>
      </c>
      <c r="AP3348" s="89"/>
    </row>
    <row r="3349">
      <c r="A3349" s="151" t="str">
        <f>IFERROR(__xludf.DUMMYFUNCTION("""COMPUTED_VALUE"""),"vtg")</f>
        <v>vtg</v>
      </c>
      <c r="B3349" s="42" t="str">
        <f>IFERROR(__xludf.DUMMYFUNCTION("""COMPUTED_VALUE"""),"DHBA")</f>
        <v>DHBA</v>
      </c>
      <c r="C3349" s="42" t="str">
        <f>IFERROR(__xludf.DUMMYFUNCTION("""COMPUTED_VALUE"""),"ventral tegmental tract")</f>
        <v>ventral tegmental tract</v>
      </c>
      <c r="D3349" s="42">
        <f>IFERROR(__xludf.DUMMYFUNCTION("""COMPUTED_VALUE"""),3202.0)</f>
        <v>3202</v>
      </c>
      <c r="E3349" s="39" t="str">
        <f>IFERROR(__xludf.DUMMYFUNCTION("""COMPUTED_VALUE"""),"ventral tegmental tract")</f>
        <v>ventral tegmental tract</v>
      </c>
      <c r="F3349" s="9" t="str">
        <f>IFERROR(__xludf.DUMMYFUNCTION("""COMPUTED_VALUE"""),"Br")</f>
        <v>Br</v>
      </c>
      <c r="G3349" s="9" t="str">
        <f>IFERROR(__xludf.DUMMYFUNCTION("""COMPUTED_VALUE"""),"H")</f>
        <v>H</v>
      </c>
      <c r="H3349" s="9" t="str">
        <f>IFERROR(__xludf.DUMMYFUNCTION("""COMPUTED_VALUE"""),"HWM")</f>
        <v>HWM</v>
      </c>
      <c r="I3349" s="9" t="str">
        <f>IFERROR(__xludf.DUMMYFUNCTION("""COMPUTED_VALUE"""),"vtg")</f>
        <v>vtg</v>
      </c>
      <c r="J3349" s="9"/>
      <c r="K3349" s="9"/>
      <c r="L3349" s="9"/>
      <c r="M3349" s="9"/>
      <c r="N3349" s="9"/>
      <c r="O3349" s="9"/>
      <c r="P3349" s="9"/>
      <c r="Q3349" s="9"/>
      <c r="R3349" s="9"/>
      <c r="S3349" s="42"/>
      <c r="T3349" s="42"/>
      <c r="U3349" s="42"/>
      <c r="V3349" s="42"/>
      <c r="W3349" s="42"/>
      <c r="X3349" s="42"/>
      <c r="Y3349" s="42"/>
      <c r="Z3349" s="42"/>
      <c r="AA3349" s="42"/>
      <c r="AB3349" s="42" t="str">
        <f>IFERROR(__xludf.DUMMYFUNCTION("""COMPUTED_VALUE"""),"allen institute")</f>
        <v>allen institute</v>
      </c>
      <c r="AC3349" s="42" t="str">
        <f>IFERROR(__xludf.DUMMYFUNCTION("""COMPUTED_VALUE"""),"DHBA")</f>
        <v>DHBA</v>
      </c>
      <c r="AD3349" s="42"/>
      <c r="AE3349" s="42"/>
      <c r="AF3349" s="9"/>
      <c r="AG3349" s="9"/>
      <c r="AH3349" s="42"/>
      <c r="AI3349" s="42"/>
      <c r="AJ3349" s="42"/>
      <c r="AK3349" s="42"/>
      <c r="AL3349" s="42"/>
      <c r="AM3349" s="42"/>
      <c r="AN3349" s="42"/>
      <c r="AO3349" s="63" t="str">
        <f>IFERROR(__xludf.DUMMYFUNCTION("IF(ISBLANK(A3349),,IF(ISBLANK(S3349), A3349&amp;"";"", TEXTJOIN(CHAR(10), TRUE, A3349&amp;"";"", ARRAYFORMULA(VLOOKUP(SPLIT(S3349, "";"" &amp; CHAR(10)), $A:$AO, 41, FALSE)))))"),"vtg;")</f>
        <v>vtg;</v>
      </c>
      <c r="AP3349" s="89"/>
    </row>
    <row r="3350">
      <c r="A3350" s="151" t="str">
        <f>IFERROR(__xludf.DUMMYFUNCTION("""COMPUTED_VALUE"""),"vtth")</f>
        <v>vtth</v>
      </c>
      <c r="B3350" s="42" t="str">
        <f>IFERROR(__xludf.DUMMYFUNCTION("""COMPUTED_VALUE"""),"DHBA")</f>
        <v>DHBA</v>
      </c>
      <c r="C3350" s="42" t="str">
        <f>IFERROR(__xludf.DUMMYFUNCTION("""COMPUTED_VALUE"""),"ventral trigeminothalamic tract")</f>
        <v>ventral trigeminothalamic tract</v>
      </c>
      <c r="D3350" s="42">
        <f>IFERROR(__xludf.DUMMYFUNCTION("""COMPUTED_VALUE"""),3203.0)</f>
        <v>3203</v>
      </c>
      <c r="E3350" s="39" t="str">
        <f>IFERROR(__xludf.DUMMYFUNCTION("""COMPUTED_VALUE"""),"ventral trigeminothalamic tract")</f>
        <v>ventral trigeminothalamic tract</v>
      </c>
      <c r="F3350" s="9" t="str">
        <f>IFERROR(__xludf.DUMMYFUNCTION("""COMPUTED_VALUE"""),"Br")</f>
        <v>Br</v>
      </c>
      <c r="G3350" s="9" t="str">
        <f>IFERROR(__xludf.DUMMYFUNCTION("""COMPUTED_VALUE"""),"H")</f>
        <v>H</v>
      </c>
      <c r="H3350" s="9" t="str">
        <f>IFERROR(__xludf.DUMMYFUNCTION("""COMPUTED_VALUE"""),"HWM")</f>
        <v>HWM</v>
      </c>
      <c r="I3350" s="9" t="str">
        <f>IFERROR(__xludf.DUMMYFUNCTION("""COMPUTED_VALUE"""),"vtth")</f>
        <v>vtth</v>
      </c>
      <c r="J3350" s="9"/>
      <c r="K3350" s="9"/>
      <c r="L3350" s="9"/>
      <c r="M3350" s="9"/>
      <c r="N3350" s="9"/>
      <c r="O3350" s="9"/>
      <c r="P3350" s="9"/>
      <c r="Q3350" s="9"/>
      <c r="R3350" s="9"/>
      <c r="S3350" s="42"/>
      <c r="T3350" s="42"/>
      <c r="U3350" s="159"/>
      <c r="V3350" s="42"/>
      <c r="W3350" s="42"/>
      <c r="X3350" s="42"/>
      <c r="Y3350" s="42"/>
      <c r="Z3350" s="42"/>
      <c r="AA3350" s="42"/>
      <c r="AB3350" s="42" t="str">
        <f>IFERROR(__xludf.DUMMYFUNCTION("""COMPUTED_VALUE"""),"allen institute")</f>
        <v>allen institute</v>
      </c>
      <c r="AC3350" s="42" t="str">
        <f>IFERROR(__xludf.DUMMYFUNCTION("""COMPUTED_VALUE"""),"DHBA")</f>
        <v>DHBA</v>
      </c>
      <c r="AD3350" s="42"/>
      <c r="AE3350" s="42"/>
      <c r="AF3350" s="9"/>
      <c r="AG3350" s="9"/>
      <c r="AH3350" s="42"/>
      <c r="AI3350" s="42"/>
      <c r="AJ3350" s="42"/>
      <c r="AK3350" s="42"/>
      <c r="AL3350" s="42"/>
      <c r="AM3350" s="42"/>
      <c r="AN3350" s="42"/>
      <c r="AO3350" s="63" t="str">
        <f>IFERROR(__xludf.DUMMYFUNCTION("IF(ISBLANK(A3350),,IF(ISBLANK(S3350), A3350&amp;"";"", TEXTJOIN(CHAR(10), TRUE, A3350&amp;"";"", ARRAYFORMULA(VLOOKUP(SPLIT(S3350, "";"" &amp; CHAR(10)), $A:$AO, 41, FALSE)))))"),"vtth;")</f>
        <v>vtth;</v>
      </c>
      <c r="AP3350" s="89"/>
    </row>
    <row r="3351">
      <c r="A3351" s="151" t="str">
        <f>IFERROR(__xludf.DUMMYFUNCTION("""COMPUTED_VALUE"""),"veme")</f>
        <v>veme</v>
      </c>
      <c r="B3351" s="42" t="str">
        <f>IFERROR(__xludf.DUMMYFUNCTION("""COMPUTED_VALUE"""),"DHBA")</f>
        <v>DHBA</v>
      </c>
      <c r="C3351" s="42" t="str">
        <f>IFERROR(__xludf.DUMMYFUNCTION("""COMPUTED_VALUE"""),"vestibulomesencephalic tract")</f>
        <v>vestibulomesencephalic tract</v>
      </c>
      <c r="D3351" s="42">
        <f>IFERROR(__xludf.DUMMYFUNCTION("""COMPUTED_VALUE"""),3204.0)</f>
        <v>3204</v>
      </c>
      <c r="E3351" s="39" t="str">
        <f>IFERROR(__xludf.DUMMYFUNCTION("""COMPUTED_VALUE"""),"vestibulomesencephalic tract")</f>
        <v>vestibulomesencephalic tract</v>
      </c>
      <c r="F3351" s="9" t="str">
        <f>IFERROR(__xludf.DUMMYFUNCTION("""COMPUTED_VALUE"""),"Br")</f>
        <v>Br</v>
      </c>
      <c r="G3351" s="9" t="str">
        <f>IFERROR(__xludf.DUMMYFUNCTION("""COMPUTED_VALUE"""),"H")</f>
        <v>H</v>
      </c>
      <c r="H3351" s="9" t="str">
        <f>IFERROR(__xludf.DUMMYFUNCTION("""COMPUTED_VALUE"""),"HWM")</f>
        <v>HWM</v>
      </c>
      <c r="I3351" s="9" t="str">
        <f>IFERROR(__xludf.DUMMYFUNCTION("""COMPUTED_VALUE"""),"veme")</f>
        <v>veme</v>
      </c>
      <c r="J3351" s="9"/>
      <c r="K3351" s="9"/>
      <c r="L3351" s="9"/>
      <c r="M3351" s="9"/>
      <c r="N3351" s="9"/>
      <c r="O3351" s="9"/>
      <c r="P3351" s="9"/>
      <c r="Q3351" s="9"/>
      <c r="R3351" s="9"/>
      <c r="S3351" s="42"/>
      <c r="T3351" s="42"/>
      <c r="U3351" s="159"/>
      <c r="V3351" s="42"/>
      <c r="W3351" s="42"/>
      <c r="X3351" s="42"/>
      <c r="Y3351" s="42"/>
      <c r="Z3351" s="42"/>
      <c r="AA3351" s="42"/>
      <c r="AB3351" s="42" t="str">
        <f>IFERROR(__xludf.DUMMYFUNCTION("""COMPUTED_VALUE"""),"allen institute")</f>
        <v>allen institute</v>
      </c>
      <c r="AC3351" s="42" t="str">
        <f>IFERROR(__xludf.DUMMYFUNCTION("""COMPUTED_VALUE"""),"DHBA")</f>
        <v>DHBA</v>
      </c>
      <c r="AD3351" s="42"/>
      <c r="AE3351" s="42"/>
      <c r="AF3351" s="9"/>
      <c r="AG3351" s="9"/>
      <c r="AH3351" s="42"/>
      <c r="AI3351" s="42"/>
      <c r="AJ3351" s="42"/>
      <c r="AK3351" s="42"/>
      <c r="AL3351" s="42"/>
      <c r="AM3351" s="42"/>
      <c r="AN3351" s="42"/>
      <c r="AO3351" s="63" t="str">
        <f>IFERROR(__xludf.DUMMYFUNCTION("IF(ISBLANK(A3351),,IF(ISBLANK(S3351), A3351&amp;"";"", TEXTJOIN(CHAR(10), TRUE, A3351&amp;"";"", ARRAYFORMULA(VLOOKUP(SPLIT(S3351, "";"" &amp; CHAR(10)), $A:$AO, 41, FALSE)))))"),"veme;")</f>
        <v>veme;</v>
      </c>
      <c r="AP3351" s="89"/>
    </row>
    <row r="3352">
      <c r="A3352" s="151" t="str">
        <f>IFERROR(__xludf.DUMMYFUNCTION("""COMPUTED_VALUE"""),"HV")</f>
        <v>HV</v>
      </c>
      <c r="B3352" s="42" t="str">
        <f>IFERROR(__xludf.DUMMYFUNCTION("""COMPUTED_VALUE"""),"DHBA")</f>
        <v>DHBA</v>
      </c>
      <c r="C3352" s="42" t="str">
        <f>IFERROR(__xludf.DUMMYFUNCTION("""COMPUTED_VALUE"""),"ventricles of hindbrain")</f>
        <v>ventricles of hindbrain</v>
      </c>
      <c r="D3352" s="42">
        <f>IFERROR(__xludf.DUMMYFUNCTION("""COMPUTED_VALUE"""),3205.0)</f>
        <v>3205</v>
      </c>
      <c r="E3352" s="39" t="str">
        <f>IFERROR(__xludf.DUMMYFUNCTION("""COMPUTED_VALUE"""),"ventricles of hindbrain")</f>
        <v>ventricles of hindbrain</v>
      </c>
      <c r="F3352" s="9" t="str">
        <f>IFERROR(__xludf.DUMMYFUNCTION("""COMPUTED_VALUE"""),"Br")</f>
        <v>Br</v>
      </c>
      <c r="G3352" s="9" t="str">
        <f>IFERROR(__xludf.DUMMYFUNCTION("""COMPUTED_VALUE"""),"H")</f>
        <v>H</v>
      </c>
      <c r="H3352" s="9" t="str">
        <f>IFERROR(__xludf.DUMMYFUNCTION("""COMPUTED_VALUE"""),"HV")</f>
        <v>HV</v>
      </c>
      <c r="I3352" s="9"/>
      <c r="J3352" s="9"/>
      <c r="K3352" s="9"/>
      <c r="L3352" s="9"/>
      <c r="M3352" s="9"/>
      <c r="N3352" s="9"/>
      <c r="O3352" s="9"/>
      <c r="P3352" s="9"/>
      <c r="Q3352" s="9"/>
      <c r="R3352" s="9"/>
      <c r="S3352" s="42" t="str">
        <f>IFERROR(__xludf.DUMMYFUNCTION("""COMPUTED_VALUE"""),"_4V;
cec")</f>
        <v>_4V;
cec</v>
      </c>
      <c r="T3352" s="42"/>
      <c r="U3352" s="42" t="b">
        <f>IFERROR(__xludf.DUMMYFUNCTION("""COMPUTED_VALUE"""),FALSE)</f>
        <v>0</v>
      </c>
      <c r="V3352" s="42"/>
      <c r="W3352" s="42"/>
      <c r="X3352" s="42"/>
      <c r="Y3352" s="42"/>
      <c r="Z3352" s="42"/>
      <c r="AA3352" s="42"/>
      <c r="AB3352" s="42" t="str">
        <f>IFERROR(__xludf.DUMMYFUNCTION("""COMPUTED_VALUE"""),"allen institute")</f>
        <v>allen institute</v>
      </c>
      <c r="AC3352" s="42" t="str">
        <f>IFERROR(__xludf.DUMMYFUNCTION("""COMPUTED_VALUE"""),"DHBA")</f>
        <v>DHBA</v>
      </c>
      <c r="AD3352" s="42"/>
      <c r="AE3352" s="42"/>
      <c r="AF3352" s="9"/>
      <c r="AG3352" s="9"/>
      <c r="AH3352" s="42"/>
      <c r="AI3352" s="42"/>
      <c r="AJ3352" s="42"/>
      <c r="AK3352" s="42"/>
      <c r="AL3352" s="42"/>
      <c r="AM3352" s="42"/>
      <c r="AN3352" s="42"/>
      <c r="AO3352" s="63" t="str">
        <f>IFERROR(__xludf.DUMMYFUNCTION("IF(ISBLANK(A3352),,IF(ISBLANK(S3352), A3352&amp;"";"", TEXTJOIN(CHAR(10), TRUE, A3352&amp;"";"", ARRAYFORMULA(VLOOKUP(SPLIT(S3352, "";"" &amp; CHAR(10)), $A:$AO, 41, FALSE)))))"),"#N/A")</f>
        <v>#N/A</v>
      </c>
      <c r="AP3352" s="89"/>
    </row>
    <row r="3353">
      <c r="A3353" s="151" t="str">
        <f>IFERROR(__xludf.DUMMYFUNCTION("""COMPUTED_VALUE"""),"4V")</f>
        <v>4V</v>
      </c>
      <c r="B3353" s="42" t="str">
        <f>IFERROR(__xludf.DUMMYFUNCTION("""COMPUTED_VALUE"""),"DHBA")</f>
        <v>DHBA</v>
      </c>
      <c r="C3353" s="42" t="str">
        <f>IFERROR(__xludf.DUMMYFUNCTION("""COMPUTED_VALUE"""),"fourth ventricle")</f>
        <v>fourth ventricle</v>
      </c>
      <c r="D3353" s="42">
        <f>IFERROR(__xludf.DUMMYFUNCTION("""COMPUTED_VALUE"""),3206.0)</f>
        <v>3206</v>
      </c>
      <c r="E3353" s="39" t="str">
        <f>IFERROR(__xludf.DUMMYFUNCTION("""COMPUTED_VALUE"""),"fourth ventricle")</f>
        <v>fourth ventricle</v>
      </c>
      <c r="F3353" s="9" t="str">
        <f>IFERROR(__xludf.DUMMYFUNCTION("""COMPUTED_VALUE"""),"Br")</f>
        <v>Br</v>
      </c>
      <c r="G3353" s="9" t="str">
        <f>IFERROR(__xludf.DUMMYFUNCTION("""COMPUTED_VALUE"""),"H")</f>
        <v>H</v>
      </c>
      <c r="H3353" s="9" t="str">
        <f>IFERROR(__xludf.DUMMYFUNCTION("""COMPUTED_VALUE"""),"HV")</f>
        <v>HV</v>
      </c>
      <c r="I3353" s="9" t="str">
        <f>IFERROR(__xludf.DUMMYFUNCTION("""COMPUTED_VALUE"""),"4V")</f>
        <v>4V</v>
      </c>
      <c r="J3353" s="9"/>
      <c r="K3353" s="9"/>
      <c r="L3353" s="9"/>
      <c r="M3353" s="9"/>
      <c r="N3353" s="9"/>
      <c r="O3353" s="9"/>
      <c r="P3353" s="9"/>
      <c r="Q3353" s="9"/>
      <c r="R3353" s="9"/>
      <c r="S3353" s="42"/>
      <c r="T3353" s="42"/>
      <c r="U3353" s="42"/>
      <c r="V3353" s="42"/>
      <c r="W3353" s="42"/>
      <c r="X3353" s="42"/>
      <c r="Y3353" s="42"/>
      <c r="Z3353" s="42"/>
      <c r="AA3353" s="42"/>
      <c r="AB3353" s="42" t="str">
        <f>IFERROR(__xludf.DUMMYFUNCTION("""COMPUTED_VALUE"""),"allen institute")</f>
        <v>allen institute</v>
      </c>
      <c r="AC3353" s="42" t="str">
        <f>IFERROR(__xludf.DUMMYFUNCTION("""COMPUTED_VALUE"""),"DHBA")</f>
        <v>DHBA</v>
      </c>
      <c r="AD3353" s="42"/>
      <c r="AE3353" s="42"/>
      <c r="AF3353" s="9"/>
      <c r="AG3353" s="9"/>
      <c r="AH3353" s="42"/>
      <c r="AI3353" s="42"/>
      <c r="AJ3353" s="42"/>
      <c r="AK3353" s="42"/>
      <c r="AL3353" s="42"/>
      <c r="AM3353" s="42"/>
      <c r="AN3353" s="42"/>
      <c r="AO3353" s="63" t="str">
        <f>IFERROR(__xludf.DUMMYFUNCTION("IF(ISBLANK(A3353),,IF(ISBLANK(S3353), A3353&amp;"";"", TEXTJOIN(CHAR(10), TRUE, A3353&amp;"";"", ARRAYFORMULA(VLOOKUP(SPLIT(S3353, "";"" &amp; CHAR(10)), $A:$AO, 41, FALSE)))))"),"4V;")</f>
        <v>4V;</v>
      </c>
      <c r="AP3353" s="89"/>
    </row>
    <row r="3354">
      <c r="A3354" s="151" t="str">
        <f>IFERROR(__xludf.DUMMYFUNCTION("""COMPUTED_VALUE"""),"4Vro")</f>
        <v>4Vro</v>
      </c>
      <c r="B3354" s="42" t="str">
        <f>IFERROR(__xludf.DUMMYFUNCTION("""COMPUTED_VALUE"""),"DHBA")</f>
        <v>DHBA</v>
      </c>
      <c r="C3354" s="42" t="str">
        <f>IFERROR(__xludf.DUMMYFUNCTION("""COMPUTED_VALUE"""),"roof of fourth ventricle")</f>
        <v>roof of fourth ventricle</v>
      </c>
      <c r="D3354" s="42">
        <f>IFERROR(__xludf.DUMMYFUNCTION("""COMPUTED_VALUE"""),3207.0)</f>
        <v>3207</v>
      </c>
      <c r="E3354" s="39" t="str">
        <f>IFERROR(__xludf.DUMMYFUNCTION("""COMPUTED_VALUE"""),"roof of fourth ventricle")</f>
        <v>roof of fourth ventricle</v>
      </c>
      <c r="F3354" s="9" t="str">
        <f>IFERROR(__xludf.DUMMYFUNCTION("""COMPUTED_VALUE"""),"Br")</f>
        <v>Br</v>
      </c>
      <c r="G3354" s="9" t="str">
        <f>IFERROR(__xludf.DUMMYFUNCTION("""COMPUTED_VALUE"""),"H")</f>
        <v>H</v>
      </c>
      <c r="H3354" s="9" t="str">
        <f>IFERROR(__xludf.DUMMYFUNCTION("""COMPUTED_VALUE"""),"HV")</f>
        <v>HV</v>
      </c>
      <c r="I3354" s="9" t="str">
        <f>IFERROR(__xludf.DUMMYFUNCTION("""COMPUTED_VALUE"""),"4V")</f>
        <v>4V</v>
      </c>
      <c r="J3354" s="9" t="str">
        <f>IFERROR(__xludf.DUMMYFUNCTION("""COMPUTED_VALUE"""),"4Vro")</f>
        <v>4Vro</v>
      </c>
      <c r="K3354" s="9"/>
      <c r="L3354" s="9"/>
      <c r="M3354" s="9"/>
      <c r="N3354" s="9"/>
      <c r="O3354" s="9"/>
      <c r="P3354" s="9"/>
      <c r="Q3354" s="9"/>
      <c r="R3354" s="9"/>
      <c r="S3354" s="42"/>
      <c r="T3354" s="42"/>
      <c r="U3354" s="42"/>
      <c r="V3354" s="42"/>
      <c r="W3354" s="42"/>
      <c r="X3354" s="42"/>
      <c r="Y3354" s="42"/>
      <c r="Z3354" s="42"/>
      <c r="AA3354" s="42"/>
      <c r="AB3354" s="42" t="str">
        <f>IFERROR(__xludf.DUMMYFUNCTION("""COMPUTED_VALUE"""),"allen institute")</f>
        <v>allen institute</v>
      </c>
      <c r="AC3354" s="42" t="str">
        <f>IFERROR(__xludf.DUMMYFUNCTION("""COMPUTED_VALUE"""),"DHBA")</f>
        <v>DHBA</v>
      </c>
      <c r="AD3354" s="42"/>
      <c r="AE3354" s="42"/>
      <c r="AF3354" s="9"/>
      <c r="AG3354" s="9"/>
      <c r="AH3354" s="42"/>
      <c r="AI3354" s="42"/>
      <c r="AJ3354" s="42"/>
      <c r="AK3354" s="42"/>
      <c r="AL3354" s="42"/>
      <c r="AM3354" s="42"/>
      <c r="AN3354" s="42"/>
      <c r="AO3354" s="63" t="str">
        <f>IFERROR(__xludf.DUMMYFUNCTION("IF(ISBLANK(A3354),,IF(ISBLANK(S3354), A3354&amp;"";"", TEXTJOIN(CHAR(10), TRUE, A3354&amp;"";"", ARRAYFORMULA(VLOOKUP(SPLIT(S3354, "";"" &amp; CHAR(10)), $A:$AO, 41, FALSE)))))"),"4Vro;")</f>
        <v>4Vro;</v>
      </c>
      <c r="AP3354" s="89"/>
    </row>
    <row r="3355">
      <c r="A3355" s="151" t="str">
        <f>IFERROR(__xludf.DUMMYFUNCTION("""COMPUTED_VALUE"""),"lr4V")</f>
        <v>lr4V</v>
      </c>
      <c r="B3355" s="42" t="str">
        <f>IFERROR(__xludf.DUMMYFUNCTION("""COMPUTED_VALUE"""),"DHBA")</f>
        <v>DHBA</v>
      </c>
      <c r="C3355" s="42" t="str">
        <f>IFERROR(__xludf.DUMMYFUNCTION("""COMPUTED_VALUE"""),"lateral recess of fourth ventricle")</f>
        <v>lateral recess of fourth ventricle</v>
      </c>
      <c r="D3355" s="42">
        <f>IFERROR(__xludf.DUMMYFUNCTION("""COMPUTED_VALUE"""),3208.0)</f>
        <v>3208</v>
      </c>
      <c r="E3355" s="39" t="str">
        <f>IFERROR(__xludf.DUMMYFUNCTION("""COMPUTED_VALUE"""),"lateral recess of fourth ventricle")</f>
        <v>lateral recess of fourth ventricle</v>
      </c>
      <c r="F3355" s="9" t="str">
        <f>IFERROR(__xludf.DUMMYFUNCTION("""COMPUTED_VALUE"""),"Br")</f>
        <v>Br</v>
      </c>
      <c r="G3355" s="9" t="str">
        <f>IFERROR(__xludf.DUMMYFUNCTION("""COMPUTED_VALUE"""),"H")</f>
        <v>H</v>
      </c>
      <c r="H3355" s="9" t="str">
        <f>IFERROR(__xludf.DUMMYFUNCTION("""COMPUTED_VALUE"""),"HV")</f>
        <v>HV</v>
      </c>
      <c r="I3355" s="9" t="str">
        <f>IFERROR(__xludf.DUMMYFUNCTION("""COMPUTED_VALUE"""),"4V")</f>
        <v>4V</v>
      </c>
      <c r="J3355" s="9" t="str">
        <f>IFERROR(__xludf.DUMMYFUNCTION("""COMPUTED_VALUE"""),"4Vro")</f>
        <v>4Vro</v>
      </c>
      <c r="K3355" s="9" t="str">
        <f>IFERROR(__xludf.DUMMYFUNCTION("""COMPUTED_VALUE"""),"lr4V")</f>
        <v>lr4V</v>
      </c>
      <c r="L3355" s="9"/>
      <c r="M3355" s="9"/>
      <c r="N3355" s="9"/>
      <c r="O3355" s="9"/>
      <c r="P3355" s="9"/>
      <c r="Q3355" s="9"/>
      <c r="R3355" s="9"/>
      <c r="S3355" s="42"/>
      <c r="T3355" s="42"/>
      <c r="U3355" s="42"/>
      <c r="V3355" s="42"/>
      <c r="W3355" s="42"/>
      <c r="X3355" s="42"/>
      <c r="Y3355" s="42"/>
      <c r="Z3355" s="42"/>
      <c r="AA3355" s="42"/>
      <c r="AB3355" s="42" t="str">
        <f>IFERROR(__xludf.DUMMYFUNCTION("""COMPUTED_VALUE"""),"allen institute")</f>
        <v>allen institute</v>
      </c>
      <c r="AC3355" s="42" t="str">
        <f>IFERROR(__xludf.DUMMYFUNCTION("""COMPUTED_VALUE"""),"DHBA")</f>
        <v>DHBA</v>
      </c>
      <c r="AD3355" s="42"/>
      <c r="AE3355" s="42"/>
      <c r="AF3355" s="9"/>
      <c r="AG3355" s="9"/>
      <c r="AH3355" s="42"/>
      <c r="AI3355" s="42"/>
      <c r="AJ3355" s="42"/>
      <c r="AK3355" s="42"/>
      <c r="AL3355" s="42"/>
      <c r="AM3355" s="42"/>
      <c r="AN3355" s="42"/>
      <c r="AO3355" s="63" t="str">
        <f>IFERROR(__xludf.DUMMYFUNCTION("IF(ISBLANK(A3355),,IF(ISBLANK(S3355), A3355&amp;"";"", TEXTJOIN(CHAR(10), TRUE, A3355&amp;"";"", ARRAYFORMULA(VLOOKUP(SPLIT(S3355, "";"" &amp; CHAR(10)), $A:$AO, 41, FALSE)))))"),"lr4V;")</f>
        <v>lr4V;</v>
      </c>
      <c r="AP3355" s="89"/>
    </row>
    <row r="3356">
      <c r="A3356" s="151" t="str">
        <f>IFERROR(__xludf.DUMMYFUNCTION("""COMPUTED_VALUE"""),"4Vfl")</f>
        <v>4Vfl</v>
      </c>
      <c r="B3356" s="42" t="str">
        <f>IFERROR(__xludf.DUMMYFUNCTION("""COMPUTED_VALUE"""),"DHBA")</f>
        <v>DHBA</v>
      </c>
      <c r="C3356" s="42" t="str">
        <f>IFERROR(__xludf.DUMMYFUNCTION("""COMPUTED_VALUE"""),"floor of fourth ventricle (rhomboid fossa)")</f>
        <v>floor of fourth ventricle (rhomboid fossa)</v>
      </c>
      <c r="D3356" s="42">
        <f>IFERROR(__xludf.DUMMYFUNCTION("""COMPUTED_VALUE"""),3209.0)</f>
        <v>3209</v>
      </c>
      <c r="E3356" s="39" t="str">
        <f>IFERROR(__xludf.DUMMYFUNCTION("""COMPUTED_VALUE"""),"floor of fourth ventricle (rhomboid fossa)")</f>
        <v>floor of fourth ventricle (rhomboid fossa)</v>
      </c>
      <c r="F3356" s="9" t="str">
        <f>IFERROR(__xludf.DUMMYFUNCTION("""COMPUTED_VALUE"""),"Br")</f>
        <v>Br</v>
      </c>
      <c r="G3356" s="9" t="str">
        <f>IFERROR(__xludf.DUMMYFUNCTION("""COMPUTED_VALUE"""),"H")</f>
        <v>H</v>
      </c>
      <c r="H3356" s="9" t="str">
        <f>IFERROR(__xludf.DUMMYFUNCTION("""COMPUTED_VALUE"""),"HV")</f>
        <v>HV</v>
      </c>
      <c r="I3356" s="9" t="str">
        <f>IFERROR(__xludf.DUMMYFUNCTION("""COMPUTED_VALUE"""),"4V")</f>
        <v>4V</v>
      </c>
      <c r="J3356" s="9" t="str">
        <f>IFERROR(__xludf.DUMMYFUNCTION("""COMPUTED_VALUE"""),"4Vfl")</f>
        <v>4Vfl</v>
      </c>
      <c r="K3356" s="9"/>
      <c r="L3356" s="9"/>
      <c r="M3356" s="9"/>
      <c r="N3356" s="9"/>
      <c r="O3356" s="9"/>
      <c r="P3356" s="9"/>
      <c r="Q3356" s="9"/>
      <c r="R3356" s="9"/>
      <c r="S3356" s="42"/>
      <c r="T3356" s="42"/>
      <c r="U3356" s="42"/>
      <c r="V3356" s="42"/>
      <c r="W3356" s="42"/>
      <c r="X3356" s="42"/>
      <c r="Y3356" s="42"/>
      <c r="Z3356" s="42"/>
      <c r="AA3356" s="42"/>
      <c r="AB3356" s="42" t="str">
        <f>IFERROR(__xludf.DUMMYFUNCTION("""COMPUTED_VALUE"""),"allen institute")</f>
        <v>allen institute</v>
      </c>
      <c r="AC3356" s="42" t="str">
        <f>IFERROR(__xludf.DUMMYFUNCTION("""COMPUTED_VALUE"""),"DHBA")</f>
        <v>DHBA</v>
      </c>
      <c r="AD3356" s="42"/>
      <c r="AE3356" s="42"/>
      <c r="AF3356" s="9"/>
      <c r="AG3356" s="9"/>
      <c r="AH3356" s="42"/>
      <c r="AI3356" s="42"/>
      <c r="AJ3356" s="42"/>
      <c r="AK3356" s="42"/>
      <c r="AL3356" s="42"/>
      <c r="AM3356" s="42"/>
      <c r="AN3356" s="42"/>
      <c r="AO3356" s="63" t="str">
        <f>IFERROR(__xludf.DUMMYFUNCTION("IF(ISBLANK(A3356),,IF(ISBLANK(S3356), A3356&amp;"";"", TEXTJOIN(CHAR(10), TRUE, A3356&amp;"";"", ARRAYFORMULA(VLOOKUP(SPLIT(S3356, "";"" &amp; CHAR(10)), $A:$AO, 41, FALSE)))))"),"4Vfl;")</f>
        <v>4Vfl;</v>
      </c>
      <c r="AP3356" s="89"/>
    </row>
    <row r="3357">
      <c r="A3357" s="151" t="str">
        <f>IFERROR(__xludf.DUMMYFUNCTION("""COMPUTED_VALUE"""),"cec")</f>
        <v>cec</v>
      </c>
      <c r="B3357" s="42" t="str">
        <f>IFERROR(__xludf.DUMMYFUNCTION("""COMPUTED_VALUE"""),"DHBA")</f>
        <v>DHBA</v>
      </c>
      <c r="C3357" s="42" t="str">
        <f>IFERROR(__xludf.DUMMYFUNCTION("""COMPUTED_VALUE"""),"central canal of medulla oblongata")</f>
        <v>central canal of medulla oblongata</v>
      </c>
      <c r="D3357" s="42">
        <f>IFERROR(__xludf.DUMMYFUNCTION("""COMPUTED_VALUE"""),3210.0)</f>
        <v>3210</v>
      </c>
      <c r="E3357" s="39" t="str">
        <f>IFERROR(__xludf.DUMMYFUNCTION("""COMPUTED_VALUE"""),"central canal of medulla oblongata")</f>
        <v>central canal of medulla oblongata</v>
      </c>
      <c r="F3357" s="9" t="str">
        <f>IFERROR(__xludf.DUMMYFUNCTION("""COMPUTED_VALUE"""),"Br")</f>
        <v>Br</v>
      </c>
      <c r="G3357" s="9" t="str">
        <f>IFERROR(__xludf.DUMMYFUNCTION("""COMPUTED_VALUE"""),"H")</f>
        <v>H</v>
      </c>
      <c r="H3357" s="9" t="str">
        <f>IFERROR(__xludf.DUMMYFUNCTION("""COMPUTED_VALUE"""),"HV")</f>
        <v>HV</v>
      </c>
      <c r="I3357" s="9" t="str">
        <f>IFERROR(__xludf.DUMMYFUNCTION("""COMPUTED_VALUE"""),"cec")</f>
        <v>cec</v>
      </c>
      <c r="J3357" s="9"/>
      <c r="K3357" s="9"/>
      <c r="L3357" s="9"/>
      <c r="M3357" s="9"/>
      <c r="N3357" s="9"/>
      <c r="O3357" s="9"/>
      <c r="P3357" s="9"/>
      <c r="Q3357" s="9"/>
      <c r="R3357" s="9"/>
      <c r="S3357" s="42"/>
      <c r="T3357" s="42"/>
      <c r="U3357" s="42"/>
      <c r="V3357" s="42"/>
      <c r="W3357" s="42"/>
      <c r="X3357" s="42"/>
      <c r="Y3357" s="42"/>
      <c r="Z3357" s="42"/>
      <c r="AA3357" s="42"/>
      <c r="AB3357" s="42" t="str">
        <f>IFERROR(__xludf.DUMMYFUNCTION("""COMPUTED_VALUE"""),"allen institute")</f>
        <v>allen institute</v>
      </c>
      <c r="AC3357" s="42" t="str">
        <f>IFERROR(__xludf.DUMMYFUNCTION("""COMPUTED_VALUE"""),"DHBA")</f>
        <v>DHBA</v>
      </c>
      <c r="AD3357" s="42"/>
      <c r="AE3357" s="42"/>
      <c r="AF3357" s="9"/>
      <c r="AG3357" s="9"/>
      <c r="AH3357" s="42"/>
      <c r="AI3357" s="42"/>
      <c r="AJ3357" s="42"/>
      <c r="AK3357" s="42"/>
      <c r="AL3357" s="42"/>
      <c r="AM3357" s="42"/>
      <c r="AN3357" s="42"/>
      <c r="AO3357" s="63" t="str">
        <f>IFERROR(__xludf.DUMMYFUNCTION("IF(ISBLANK(A3357),,IF(ISBLANK(S3357), A3357&amp;"";"", TEXTJOIN(CHAR(10), TRUE, A3357&amp;"";"", ARRAYFORMULA(VLOOKUP(SPLIT(S3357, "";"" &amp; CHAR(10)), $A:$AO, 41, FALSE)))))"),"cec;")</f>
        <v>cec;</v>
      </c>
      <c r="AP3357" s="89"/>
    </row>
    <row r="3358">
      <c r="A3358" s="151" t="str">
        <f>IFERROR(__xludf.DUMMYFUNCTION("""COMPUTED_VALUE"""),"HSS")</f>
        <v>HSS</v>
      </c>
      <c r="B3358" s="42" t="str">
        <f>IFERROR(__xludf.DUMMYFUNCTION("""COMPUTED_VALUE"""),"DHBA")</f>
        <v>DHBA</v>
      </c>
      <c r="C3358" s="42" t="str">
        <f>IFERROR(__xludf.DUMMYFUNCTION("""COMPUTED_VALUE"""),"surface structures of hindbrain")</f>
        <v>surface structures of hindbrain</v>
      </c>
      <c r="D3358" s="42">
        <f>IFERROR(__xludf.DUMMYFUNCTION("""COMPUTED_VALUE"""),3211.0)</f>
        <v>3211</v>
      </c>
      <c r="E3358" s="39" t="str">
        <f>IFERROR(__xludf.DUMMYFUNCTION("""COMPUTED_VALUE"""),"surface structures of hindbrain")</f>
        <v>surface structures of hindbrain</v>
      </c>
      <c r="F3358" s="9" t="str">
        <f>IFERROR(__xludf.DUMMYFUNCTION("""COMPUTED_VALUE"""),"Br")</f>
        <v>Br</v>
      </c>
      <c r="G3358" s="9" t="str">
        <f>IFERROR(__xludf.DUMMYFUNCTION("""COMPUTED_VALUE"""),"H")</f>
        <v>H</v>
      </c>
      <c r="H3358" s="9" t="str">
        <f>IFERROR(__xludf.DUMMYFUNCTION("""COMPUTED_VALUE"""),"HSS")</f>
        <v>HSS</v>
      </c>
      <c r="I3358" s="9"/>
      <c r="J3358" s="9"/>
      <c r="K3358" s="9"/>
      <c r="L3358" s="9"/>
      <c r="M3358" s="9"/>
      <c r="N3358" s="9"/>
      <c r="O3358" s="9"/>
      <c r="P3358" s="9"/>
      <c r="Q3358" s="9"/>
      <c r="R3358" s="9"/>
      <c r="S3358" s="42" t="str">
        <f>IFERROR(__xludf.DUMMYFUNCTION("""COMPUTED_VALUE"""),"CbSS;
PnSS;
MOSS")</f>
        <v>CbSS;
PnSS;
MOSS</v>
      </c>
      <c r="T3358" s="42"/>
      <c r="U3358" s="42" t="b">
        <f>IFERROR(__xludf.DUMMYFUNCTION("""COMPUTED_VALUE"""),FALSE)</f>
        <v>0</v>
      </c>
      <c r="V3358" s="42"/>
      <c r="W3358" s="42"/>
      <c r="X3358" s="42"/>
      <c r="Y3358" s="42"/>
      <c r="Z3358" s="42"/>
      <c r="AA3358" s="42"/>
      <c r="AB3358" s="42" t="str">
        <f>IFERROR(__xludf.DUMMYFUNCTION("""COMPUTED_VALUE"""),"allen institute")</f>
        <v>allen institute</v>
      </c>
      <c r="AC3358" s="42" t="str">
        <f>IFERROR(__xludf.DUMMYFUNCTION("""COMPUTED_VALUE"""),"DHBA")</f>
        <v>DHBA</v>
      </c>
      <c r="AD3358" s="42"/>
      <c r="AE3358" s="42"/>
      <c r="AF3358" s="9"/>
      <c r="AG3358" s="9"/>
      <c r="AH3358" s="42"/>
      <c r="AI3358" s="42"/>
      <c r="AJ3358" s="42"/>
      <c r="AK3358" s="42"/>
      <c r="AL3358" s="42"/>
      <c r="AM3358" s="42"/>
      <c r="AN3358" s="42"/>
      <c r="AO3358" s="63" t="str">
        <f>IFERROR(__xludf.DUMMYFUNCTION("IF(ISBLANK(A3358),,IF(ISBLANK(S3358), A3358&amp;"";"", TEXTJOIN(CHAR(10), TRUE, A3358&amp;"";"", ARRAYFORMULA(VLOOKUP(SPLIT(S3358, "";"" &amp; CHAR(10)), $A:$AO, 41, FALSE)))))"),"#N/A")</f>
        <v>#N/A</v>
      </c>
      <c r="AP3358" s="89"/>
    </row>
    <row r="3359">
      <c r="A3359" s="151" t="str">
        <f>IFERROR(__xludf.DUMMYFUNCTION("""COMPUTED_VALUE"""),"CbSS")</f>
        <v>CbSS</v>
      </c>
      <c r="B3359" s="42" t="str">
        <f>IFERROR(__xludf.DUMMYFUNCTION("""COMPUTED_VALUE"""),"DHBA")</f>
        <v>DHBA</v>
      </c>
      <c r="C3359" s="42" t="str">
        <f>IFERROR(__xludf.DUMMYFUNCTION("""COMPUTED_VALUE"""),"surface structures of cerebellum")</f>
        <v>surface structures of cerebellum</v>
      </c>
      <c r="D3359" s="42">
        <f>IFERROR(__xludf.DUMMYFUNCTION("""COMPUTED_VALUE"""),3212.0)</f>
        <v>3212</v>
      </c>
      <c r="E3359" s="39" t="str">
        <f>IFERROR(__xludf.DUMMYFUNCTION("""COMPUTED_VALUE"""),"surface structures of cerebellum")</f>
        <v>surface structures of cerebellum</v>
      </c>
      <c r="F3359" s="9" t="str">
        <f>IFERROR(__xludf.DUMMYFUNCTION("""COMPUTED_VALUE"""),"Br")</f>
        <v>Br</v>
      </c>
      <c r="G3359" s="9" t="str">
        <f>IFERROR(__xludf.DUMMYFUNCTION("""COMPUTED_VALUE"""),"H")</f>
        <v>H</v>
      </c>
      <c r="H3359" s="9" t="str">
        <f>IFERROR(__xludf.DUMMYFUNCTION("""COMPUTED_VALUE"""),"HSS")</f>
        <v>HSS</v>
      </c>
      <c r="I3359" s="9" t="str">
        <f>IFERROR(__xludf.DUMMYFUNCTION("""COMPUTED_VALUE"""),"CbSS")</f>
        <v>CbSS</v>
      </c>
      <c r="J3359" s="9"/>
      <c r="K3359" s="9"/>
      <c r="L3359" s="9"/>
      <c r="M3359" s="9"/>
      <c r="N3359" s="9"/>
      <c r="O3359" s="9"/>
      <c r="P3359" s="9"/>
      <c r="Q3359" s="9"/>
      <c r="R3359" s="9"/>
      <c r="S3359" s="42" t="str">
        <f>IFERROR(__xludf.DUMMYFUNCTION("""COMPUTED_VALUE"""),"cbf;
CBLL")</f>
        <v>cbf;
CBLL</v>
      </c>
      <c r="T3359" s="42"/>
      <c r="U3359" s="42" t="b">
        <f>IFERROR(__xludf.DUMMYFUNCTION("""COMPUTED_VALUE"""),FALSE)</f>
        <v>0</v>
      </c>
      <c r="V3359" s="42"/>
      <c r="W3359" s="42"/>
      <c r="X3359" s="42"/>
      <c r="Y3359" s="42"/>
      <c r="Z3359" s="42"/>
      <c r="AA3359" s="42"/>
      <c r="AB3359" s="42" t="str">
        <f>IFERROR(__xludf.DUMMYFUNCTION("""COMPUTED_VALUE"""),"allen institute")</f>
        <v>allen institute</v>
      </c>
      <c r="AC3359" s="42" t="str">
        <f>IFERROR(__xludf.DUMMYFUNCTION("""COMPUTED_VALUE"""),"DHBA")</f>
        <v>DHBA</v>
      </c>
      <c r="AD3359" s="42"/>
      <c r="AE3359" s="42"/>
      <c r="AF3359" s="9"/>
      <c r="AG3359" s="9"/>
      <c r="AH3359" s="42"/>
      <c r="AI3359" s="42"/>
      <c r="AJ3359" s="42"/>
      <c r="AK3359" s="42"/>
      <c r="AL3359" s="42"/>
      <c r="AM3359" s="42"/>
      <c r="AN3359" s="42"/>
      <c r="AO3359" s="63" t="str">
        <f>IFERROR(__xludf.DUMMYFUNCTION("IF(ISBLANK(A3359),,IF(ISBLANK(S3359), A3359&amp;"";"", TEXTJOIN(CHAR(10), TRUE, A3359&amp;"";"", ARRAYFORMULA(VLOOKUP(SPLIT(S3359, "";"" &amp; CHAR(10)), $A:$AO, 41, FALSE)))))"),"CbSS;
cbf;
prcf;
pocf;
icf;
prif;
psf;
hof;
apf;
prpy;
ibif;
popy;
polf;
CBLL;
ACb;
CbI;
CbII;
CbIII;
CbIV;
CBV;
VeA;
VeAm;
VeAp;
VeAg;
VePo;
VePs;
VePsm;
VePsp;
VePsg;
VePi;
VePim;
VePip;
VePig;
VeF;
VeFm;
VeFp;
VeFg;
PCb;
CbVI;
CbVIIa1;
CbVIIa2;
CbVIIb;"&amp;"
CbVIIIa;
CbVIIIb;
CbIX;
FNCb;
CbX;")</f>
        <v>CbSS;
cbf;
prcf;
pocf;
icf;
prif;
psf;
hof;
apf;
prpy;
ibif;
popy;
polf;
CBLL;
ACb;
CbI;
CbII;
CbIII;
CbIV;
CBV;
VeA;
VeAm;
VeAp;
VeAg;
VePo;
VePs;
VePsm;
VePsp;
VePsg;
VePi;
VePim;
VePip;
VePig;
VeF;
VeFm;
VeFp;
VeFg;
PCb;
CbVI;
CbVIIa1;
CbVIIa2;
CbVIIb;
CbVIIIa;
CbVIIIb;
CbIX;
FNCb;
CbX;</v>
      </c>
      <c r="AP3359" s="89"/>
    </row>
    <row r="3360">
      <c r="A3360" s="151" t="str">
        <f>IFERROR(__xludf.DUMMYFUNCTION("""COMPUTED_VALUE"""),"cbf")</f>
        <v>cbf</v>
      </c>
      <c r="B3360" s="42" t="str">
        <f>IFERROR(__xludf.DUMMYFUNCTION("""COMPUTED_VALUE"""),"DHBA")</f>
        <v>DHBA</v>
      </c>
      <c r="C3360" s="42" t="str">
        <f>IFERROR(__xludf.DUMMYFUNCTION("""COMPUTED_VALUE"""),"cerebellar fissures")</f>
        <v>cerebellar fissures</v>
      </c>
      <c r="D3360" s="42">
        <f>IFERROR(__xludf.DUMMYFUNCTION("""COMPUTED_VALUE"""),3213.0)</f>
        <v>3213</v>
      </c>
      <c r="E3360" s="39" t="str">
        <f>IFERROR(__xludf.DUMMYFUNCTION("""COMPUTED_VALUE"""),"cerebellar fissures")</f>
        <v>cerebellar fissures</v>
      </c>
      <c r="F3360" s="9" t="str">
        <f>IFERROR(__xludf.DUMMYFUNCTION("""COMPUTED_VALUE"""),"Br")</f>
        <v>Br</v>
      </c>
      <c r="G3360" s="9" t="str">
        <f>IFERROR(__xludf.DUMMYFUNCTION("""COMPUTED_VALUE"""),"H")</f>
        <v>H</v>
      </c>
      <c r="H3360" s="9" t="str">
        <f>IFERROR(__xludf.DUMMYFUNCTION("""COMPUTED_VALUE"""),"HSS")</f>
        <v>HSS</v>
      </c>
      <c r="I3360" s="9" t="str">
        <f>IFERROR(__xludf.DUMMYFUNCTION("""COMPUTED_VALUE"""),"CbSS")</f>
        <v>CbSS</v>
      </c>
      <c r="J3360" s="9" t="str">
        <f>IFERROR(__xludf.DUMMYFUNCTION("""COMPUTED_VALUE"""),"cbf")</f>
        <v>cbf</v>
      </c>
      <c r="K3360" s="9"/>
      <c r="L3360" s="9"/>
      <c r="M3360" s="9"/>
      <c r="N3360" s="9"/>
      <c r="O3360" s="9"/>
      <c r="P3360" s="9"/>
      <c r="Q3360" s="9"/>
      <c r="R3360" s="9"/>
      <c r="S3360" s="42" t="str">
        <f>IFERROR(__xludf.DUMMYFUNCTION("""COMPUTED_VALUE"""),"prcf;
pocf;
icf;
prif;
psf;
hof;
apf;
prpy;
ibif;
popy;
polf")</f>
        <v>prcf;
pocf;
icf;
prif;
psf;
hof;
apf;
prpy;
ibif;
popy;
polf</v>
      </c>
      <c r="T3360" s="42"/>
      <c r="U3360" s="42" t="b">
        <f>IFERROR(__xludf.DUMMYFUNCTION("""COMPUTED_VALUE"""),FALSE)</f>
        <v>0</v>
      </c>
      <c r="V3360" s="42"/>
      <c r="W3360" s="42"/>
      <c r="X3360" s="42"/>
      <c r="Y3360" s="42"/>
      <c r="Z3360" s="42"/>
      <c r="AA3360" s="42"/>
      <c r="AB3360" s="42" t="str">
        <f>IFERROR(__xludf.DUMMYFUNCTION("""COMPUTED_VALUE"""),"allen institute")</f>
        <v>allen institute</v>
      </c>
      <c r="AC3360" s="42" t="str">
        <f>IFERROR(__xludf.DUMMYFUNCTION("""COMPUTED_VALUE"""),"DHBA")</f>
        <v>DHBA</v>
      </c>
      <c r="AD3360" s="42"/>
      <c r="AE3360" s="42"/>
      <c r="AF3360" s="9"/>
      <c r="AG3360" s="9"/>
      <c r="AH3360" s="42"/>
      <c r="AI3360" s="42"/>
      <c r="AJ3360" s="42"/>
      <c r="AK3360" s="42"/>
      <c r="AL3360" s="42"/>
      <c r="AM3360" s="42"/>
      <c r="AN3360" s="42"/>
      <c r="AO3360" s="63" t="str">
        <f>IFERROR(__xludf.DUMMYFUNCTION("IF(ISBLANK(A3360),,IF(ISBLANK(S3360), A3360&amp;"";"", TEXTJOIN(CHAR(10), TRUE, A3360&amp;"";"", ARRAYFORMULA(VLOOKUP(SPLIT(S3360, "";"" &amp; CHAR(10)), $A:$AO, 41, FALSE)))))"),"cbf;
prcf;
pocf;
icf;
prif;
psf;
hof;
apf;
prpy;
ibif;
popy;
polf;")</f>
        <v>cbf;
prcf;
pocf;
icf;
prif;
psf;
hof;
apf;
prpy;
ibif;
popy;
polf;</v>
      </c>
      <c r="AP3360" s="89"/>
    </row>
    <row r="3361">
      <c r="A3361" s="151" t="str">
        <f>IFERROR(__xludf.DUMMYFUNCTION("""COMPUTED_VALUE"""),"prcf")</f>
        <v>prcf</v>
      </c>
      <c r="B3361" s="42" t="str">
        <f>IFERROR(__xludf.DUMMYFUNCTION("""COMPUTED_VALUE"""),"DHBA")</f>
        <v>DHBA</v>
      </c>
      <c r="C3361" s="42" t="str">
        <f>IFERROR(__xludf.DUMMYFUNCTION("""COMPUTED_VALUE"""),"precentral (postlingual) fissure")</f>
        <v>precentral (postlingual) fissure</v>
      </c>
      <c r="D3361" s="42">
        <f>IFERROR(__xludf.DUMMYFUNCTION("""COMPUTED_VALUE"""),3214.0)</f>
        <v>3214</v>
      </c>
      <c r="E3361" s="39" t="str">
        <f>IFERROR(__xludf.DUMMYFUNCTION("""COMPUTED_VALUE"""),"precentral (postlingual) fissure")</f>
        <v>precentral (postlingual) fissure</v>
      </c>
      <c r="F3361" s="9" t="str">
        <f>IFERROR(__xludf.DUMMYFUNCTION("""COMPUTED_VALUE"""),"Br")</f>
        <v>Br</v>
      </c>
      <c r="G3361" s="9" t="str">
        <f>IFERROR(__xludf.DUMMYFUNCTION("""COMPUTED_VALUE"""),"H")</f>
        <v>H</v>
      </c>
      <c r="H3361" s="9" t="str">
        <f>IFERROR(__xludf.DUMMYFUNCTION("""COMPUTED_VALUE"""),"HSS")</f>
        <v>HSS</v>
      </c>
      <c r="I3361" s="9" t="str">
        <f>IFERROR(__xludf.DUMMYFUNCTION("""COMPUTED_VALUE"""),"CbSS")</f>
        <v>CbSS</v>
      </c>
      <c r="J3361" s="9" t="str">
        <f>IFERROR(__xludf.DUMMYFUNCTION("""COMPUTED_VALUE"""),"cbf")</f>
        <v>cbf</v>
      </c>
      <c r="K3361" s="9" t="str">
        <f>IFERROR(__xludf.DUMMYFUNCTION("""COMPUTED_VALUE"""),"prcf")</f>
        <v>prcf</v>
      </c>
      <c r="L3361" s="9"/>
      <c r="M3361" s="9"/>
      <c r="N3361" s="9"/>
      <c r="O3361" s="9"/>
      <c r="P3361" s="9"/>
      <c r="Q3361" s="9"/>
      <c r="R3361" s="9"/>
      <c r="S3361" s="42"/>
      <c r="T3361" s="42"/>
      <c r="U3361" s="42"/>
      <c r="V3361" s="42"/>
      <c r="W3361" s="42"/>
      <c r="X3361" s="42"/>
      <c r="Y3361" s="42"/>
      <c r="Z3361" s="42"/>
      <c r="AA3361" s="42"/>
      <c r="AB3361" s="42" t="str">
        <f>IFERROR(__xludf.DUMMYFUNCTION("""COMPUTED_VALUE"""),"allen institute")</f>
        <v>allen institute</v>
      </c>
      <c r="AC3361" s="42" t="str">
        <f>IFERROR(__xludf.DUMMYFUNCTION("""COMPUTED_VALUE"""),"DHBA")</f>
        <v>DHBA</v>
      </c>
      <c r="AD3361" s="42"/>
      <c r="AE3361" s="42"/>
      <c r="AF3361" s="9"/>
      <c r="AG3361" s="9"/>
      <c r="AH3361" s="42"/>
      <c r="AI3361" s="42"/>
      <c r="AJ3361" s="42"/>
      <c r="AK3361" s="42"/>
      <c r="AL3361" s="42"/>
      <c r="AM3361" s="42"/>
      <c r="AN3361" s="42"/>
      <c r="AO3361" s="63" t="str">
        <f>IFERROR(__xludf.DUMMYFUNCTION("IF(ISBLANK(A3361),,IF(ISBLANK(S3361), A3361&amp;"";"", TEXTJOIN(CHAR(10), TRUE, A3361&amp;"";"", ARRAYFORMULA(VLOOKUP(SPLIT(S3361, "";"" &amp; CHAR(10)), $A:$AO, 41, FALSE)))))"),"prcf;")</f>
        <v>prcf;</v>
      </c>
      <c r="AP3361" s="89"/>
    </row>
    <row r="3362">
      <c r="A3362" s="151" t="str">
        <f>IFERROR(__xludf.DUMMYFUNCTION("""COMPUTED_VALUE"""),"pocf")</f>
        <v>pocf</v>
      </c>
      <c r="B3362" s="42" t="str">
        <f>IFERROR(__xludf.DUMMYFUNCTION("""COMPUTED_VALUE"""),"DHBA")</f>
        <v>DHBA</v>
      </c>
      <c r="C3362" s="42" t="str">
        <f>IFERROR(__xludf.DUMMYFUNCTION("""COMPUTED_VALUE"""),"postcentral (preculminate) fissure")</f>
        <v>postcentral (preculminate) fissure</v>
      </c>
      <c r="D3362" s="42">
        <f>IFERROR(__xludf.DUMMYFUNCTION("""COMPUTED_VALUE"""),3215.0)</f>
        <v>3215</v>
      </c>
      <c r="E3362" s="39" t="str">
        <f>IFERROR(__xludf.DUMMYFUNCTION("""COMPUTED_VALUE"""),"postcentral (preculminate) fissure")</f>
        <v>postcentral (preculminate) fissure</v>
      </c>
      <c r="F3362" s="9" t="str">
        <f>IFERROR(__xludf.DUMMYFUNCTION("""COMPUTED_VALUE"""),"Br")</f>
        <v>Br</v>
      </c>
      <c r="G3362" s="9" t="str">
        <f>IFERROR(__xludf.DUMMYFUNCTION("""COMPUTED_VALUE"""),"H")</f>
        <v>H</v>
      </c>
      <c r="H3362" s="9" t="str">
        <f>IFERROR(__xludf.DUMMYFUNCTION("""COMPUTED_VALUE"""),"HSS")</f>
        <v>HSS</v>
      </c>
      <c r="I3362" s="9" t="str">
        <f>IFERROR(__xludf.DUMMYFUNCTION("""COMPUTED_VALUE"""),"CbSS")</f>
        <v>CbSS</v>
      </c>
      <c r="J3362" s="9" t="str">
        <f>IFERROR(__xludf.DUMMYFUNCTION("""COMPUTED_VALUE"""),"cbf")</f>
        <v>cbf</v>
      </c>
      <c r="K3362" s="9" t="str">
        <f>IFERROR(__xludf.DUMMYFUNCTION("""COMPUTED_VALUE"""),"pocf")</f>
        <v>pocf</v>
      </c>
      <c r="L3362" s="9"/>
      <c r="M3362" s="9"/>
      <c r="N3362" s="9"/>
      <c r="O3362" s="9"/>
      <c r="P3362" s="9"/>
      <c r="Q3362" s="9"/>
      <c r="R3362" s="9"/>
      <c r="S3362" s="42"/>
      <c r="T3362" s="42"/>
      <c r="U3362" s="42"/>
      <c r="V3362" s="42"/>
      <c r="W3362" s="42"/>
      <c r="X3362" s="42"/>
      <c r="Y3362" s="42"/>
      <c r="Z3362" s="42"/>
      <c r="AA3362" s="42"/>
      <c r="AB3362" s="42" t="str">
        <f>IFERROR(__xludf.DUMMYFUNCTION("""COMPUTED_VALUE"""),"allen institute")</f>
        <v>allen institute</v>
      </c>
      <c r="AC3362" s="42" t="str">
        <f>IFERROR(__xludf.DUMMYFUNCTION("""COMPUTED_VALUE"""),"DHBA")</f>
        <v>DHBA</v>
      </c>
      <c r="AD3362" s="42"/>
      <c r="AE3362" s="42"/>
      <c r="AF3362" s="9"/>
      <c r="AG3362" s="9"/>
      <c r="AH3362" s="42"/>
      <c r="AI3362" s="42"/>
      <c r="AJ3362" s="42"/>
      <c r="AK3362" s="42"/>
      <c r="AL3362" s="42"/>
      <c r="AM3362" s="42"/>
      <c r="AN3362" s="42"/>
      <c r="AO3362" s="63" t="str">
        <f>IFERROR(__xludf.DUMMYFUNCTION("IF(ISBLANK(A3362),,IF(ISBLANK(S3362), A3362&amp;"";"", TEXTJOIN(CHAR(10), TRUE, A3362&amp;"";"", ARRAYFORMULA(VLOOKUP(SPLIT(S3362, "";"" &amp; CHAR(10)), $A:$AO, 41, FALSE)))))"),"pocf;")</f>
        <v>pocf;</v>
      </c>
      <c r="AP3362" s="89"/>
    </row>
    <row r="3363">
      <c r="A3363" s="151" t="str">
        <f>IFERROR(__xludf.DUMMYFUNCTION("""COMPUTED_VALUE"""),"icf")</f>
        <v>icf</v>
      </c>
      <c r="B3363" s="42" t="str">
        <f>IFERROR(__xludf.DUMMYFUNCTION("""COMPUTED_VALUE"""),"DHBA")</f>
        <v>DHBA</v>
      </c>
      <c r="C3363" s="42" t="str">
        <f>IFERROR(__xludf.DUMMYFUNCTION("""COMPUTED_VALUE"""),"intraculminate fissure")</f>
        <v>intraculminate fissure</v>
      </c>
      <c r="D3363" s="42">
        <f>IFERROR(__xludf.DUMMYFUNCTION("""COMPUTED_VALUE"""),3216.0)</f>
        <v>3216</v>
      </c>
      <c r="E3363" s="39" t="str">
        <f>IFERROR(__xludf.DUMMYFUNCTION("""COMPUTED_VALUE"""),"intraculminate fissure")</f>
        <v>intraculminate fissure</v>
      </c>
      <c r="F3363" s="9" t="str">
        <f>IFERROR(__xludf.DUMMYFUNCTION("""COMPUTED_VALUE"""),"Br")</f>
        <v>Br</v>
      </c>
      <c r="G3363" s="9" t="str">
        <f>IFERROR(__xludf.DUMMYFUNCTION("""COMPUTED_VALUE"""),"H")</f>
        <v>H</v>
      </c>
      <c r="H3363" s="9" t="str">
        <f>IFERROR(__xludf.DUMMYFUNCTION("""COMPUTED_VALUE"""),"HSS")</f>
        <v>HSS</v>
      </c>
      <c r="I3363" s="9" t="str">
        <f>IFERROR(__xludf.DUMMYFUNCTION("""COMPUTED_VALUE"""),"CbSS")</f>
        <v>CbSS</v>
      </c>
      <c r="J3363" s="9" t="str">
        <f>IFERROR(__xludf.DUMMYFUNCTION("""COMPUTED_VALUE"""),"cbf")</f>
        <v>cbf</v>
      </c>
      <c r="K3363" s="9" t="str">
        <f>IFERROR(__xludf.DUMMYFUNCTION("""COMPUTED_VALUE"""),"icf")</f>
        <v>icf</v>
      </c>
      <c r="L3363" s="9"/>
      <c r="M3363" s="9"/>
      <c r="N3363" s="9"/>
      <c r="O3363" s="9"/>
      <c r="P3363" s="9"/>
      <c r="Q3363" s="9"/>
      <c r="R3363" s="9"/>
      <c r="S3363" s="42"/>
      <c r="T3363" s="42"/>
      <c r="U3363" s="42"/>
      <c r="V3363" s="42"/>
      <c r="W3363" s="42"/>
      <c r="X3363" s="42"/>
      <c r="Y3363" s="42"/>
      <c r="Z3363" s="42"/>
      <c r="AA3363" s="42"/>
      <c r="AB3363" s="42" t="str">
        <f>IFERROR(__xludf.DUMMYFUNCTION("""COMPUTED_VALUE"""),"allen institute")</f>
        <v>allen institute</v>
      </c>
      <c r="AC3363" s="42" t="str">
        <f>IFERROR(__xludf.DUMMYFUNCTION("""COMPUTED_VALUE"""),"DHBA")</f>
        <v>DHBA</v>
      </c>
      <c r="AD3363" s="42"/>
      <c r="AE3363" s="42"/>
      <c r="AF3363" s="9"/>
      <c r="AG3363" s="9"/>
      <c r="AH3363" s="42"/>
      <c r="AI3363" s="42"/>
      <c r="AJ3363" s="42"/>
      <c r="AK3363" s="42"/>
      <c r="AL3363" s="42"/>
      <c r="AM3363" s="42"/>
      <c r="AN3363" s="42"/>
      <c r="AO3363" s="63" t="str">
        <f>IFERROR(__xludf.DUMMYFUNCTION("IF(ISBLANK(A3363),,IF(ISBLANK(S3363), A3363&amp;"";"", TEXTJOIN(CHAR(10), TRUE, A3363&amp;"";"", ARRAYFORMULA(VLOOKUP(SPLIT(S3363, "";"" &amp; CHAR(10)), $A:$AO, 41, FALSE)))))"),"icf;")</f>
        <v>icf;</v>
      </c>
      <c r="AP3363" s="89"/>
    </row>
    <row r="3364">
      <c r="A3364" s="151" t="str">
        <f>IFERROR(__xludf.DUMMYFUNCTION("""COMPUTED_VALUE"""),"prif")</f>
        <v>prif</v>
      </c>
      <c r="B3364" s="42" t="str">
        <f>IFERROR(__xludf.DUMMYFUNCTION("""COMPUTED_VALUE"""),"DHBA")</f>
        <v>DHBA</v>
      </c>
      <c r="C3364" s="42" t="str">
        <f>IFERROR(__xludf.DUMMYFUNCTION("""COMPUTED_VALUE"""),"primary (anterior superior) fissure")</f>
        <v>primary (anterior superior) fissure</v>
      </c>
      <c r="D3364" s="42">
        <f>IFERROR(__xludf.DUMMYFUNCTION("""COMPUTED_VALUE"""),3217.0)</f>
        <v>3217</v>
      </c>
      <c r="E3364" s="39" t="str">
        <f>IFERROR(__xludf.DUMMYFUNCTION("""COMPUTED_VALUE"""),"primary (anterior superior) fissure")</f>
        <v>primary (anterior superior) fissure</v>
      </c>
      <c r="F3364" s="9" t="str">
        <f>IFERROR(__xludf.DUMMYFUNCTION("""COMPUTED_VALUE"""),"Br")</f>
        <v>Br</v>
      </c>
      <c r="G3364" s="9" t="str">
        <f>IFERROR(__xludf.DUMMYFUNCTION("""COMPUTED_VALUE"""),"H")</f>
        <v>H</v>
      </c>
      <c r="H3364" s="9" t="str">
        <f>IFERROR(__xludf.DUMMYFUNCTION("""COMPUTED_VALUE"""),"HSS")</f>
        <v>HSS</v>
      </c>
      <c r="I3364" s="9" t="str">
        <f>IFERROR(__xludf.DUMMYFUNCTION("""COMPUTED_VALUE"""),"CbSS")</f>
        <v>CbSS</v>
      </c>
      <c r="J3364" s="9" t="str">
        <f>IFERROR(__xludf.DUMMYFUNCTION("""COMPUTED_VALUE"""),"cbf")</f>
        <v>cbf</v>
      </c>
      <c r="K3364" s="9" t="str">
        <f>IFERROR(__xludf.DUMMYFUNCTION("""COMPUTED_VALUE"""),"prif")</f>
        <v>prif</v>
      </c>
      <c r="L3364" s="9"/>
      <c r="M3364" s="9"/>
      <c r="N3364" s="9"/>
      <c r="O3364" s="9"/>
      <c r="P3364" s="9"/>
      <c r="Q3364" s="9"/>
      <c r="R3364" s="9"/>
      <c r="S3364" s="42"/>
      <c r="T3364" s="42"/>
      <c r="U3364" s="42"/>
      <c r="V3364" s="42"/>
      <c r="W3364" s="42"/>
      <c r="X3364" s="42"/>
      <c r="Y3364" s="42"/>
      <c r="Z3364" s="42"/>
      <c r="AA3364" s="42"/>
      <c r="AB3364" s="42" t="str">
        <f>IFERROR(__xludf.DUMMYFUNCTION("""COMPUTED_VALUE"""),"allen institute")</f>
        <v>allen institute</v>
      </c>
      <c r="AC3364" s="42" t="str">
        <f>IFERROR(__xludf.DUMMYFUNCTION("""COMPUTED_VALUE"""),"DHBA")</f>
        <v>DHBA</v>
      </c>
      <c r="AD3364" s="42"/>
      <c r="AE3364" s="42"/>
      <c r="AF3364" s="9"/>
      <c r="AG3364" s="9"/>
      <c r="AH3364" s="42"/>
      <c r="AI3364" s="42"/>
      <c r="AJ3364" s="42"/>
      <c r="AK3364" s="42"/>
      <c r="AL3364" s="42"/>
      <c r="AM3364" s="42"/>
      <c r="AN3364" s="42"/>
      <c r="AO3364" s="63" t="str">
        <f>IFERROR(__xludf.DUMMYFUNCTION("IF(ISBLANK(A3364),,IF(ISBLANK(S3364), A3364&amp;"";"", TEXTJOIN(CHAR(10), TRUE, A3364&amp;"";"", ARRAYFORMULA(VLOOKUP(SPLIT(S3364, "";"" &amp; CHAR(10)), $A:$AO, 41, FALSE)))))"),"prif;")</f>
        <v>prif;</v>
      </c>
      <c r="AP3364" s="89"/>
    </row>
    <row r="3365">
      <c r="A3365" s="151" t="str">
        <f>IFERROR(__xludf.DUMMYFUNCTION("""COMPUTED_VALUE"""),"psf")</f>
        <v>psf</v>
      </c>
      <c r="B3365" s="42" t="str">
        <f>IFERROR(__xludf.DUMMYFUNCTION("""COMPUTED_VALUE"""),"DHBA")</f>
        <v>DHBA</v>
      </c>
      <c r="C3365" s="42" t="str">
        <f>IFERROR(__xludf.DUMMYFUNCTION("""COMPUTED_VALUE"""),"posterior superior (postclival) fissure")</f>
        <v>posterior superior (postclival) fissure</v>
      </c>
      <c r="D3365" s="42">
        <f>IFERROR(__xludf.DUMMYFUNCTION("""COMPUTED_VALUE"""),3218.0)</f>
        <v>3218</v>
      </c>
      <c r="E3365" s="39" t="str">
        <f>IFERROR(__xludf.DUMMYFUNCTION("""COMPUTED_VALUE"""),"posterior superior (postclival) fissure")</f>
        <v>posterior superior (postclival) fissure</v>
      </c>
      <c r="F3365" s="9" t="str">
        <f>IFERROR(__xludf.DUMMYFUNCTION("""COMPUTED_VALUE"""),"Br")</f>
        <v>Br</v>
      </c>
      <c r="G3365" s="9" t="str">
        <f>IFERROR(__xludf.DUMMYFUNCTION("""COMPUTED_VALUE"""),"H")</f>
        <v>H</v>
      </c>
      <c r="H3365" s="9" t="str">
        <f>IFERROR(__xludf.DUMMYFUNCTION("""COMPUTED_VALUE"""),"HSS")</f>
        <v>HSS</v>
      </c>
      <c r="I3365" s="9" t="str">
        <f>IFERROR(__xludf.DUMMYFUNCTION("""COMPUTED_VALUE"""),"CbSS")</f>
        <v>CbSS</v>
      </c>
      <c r="J3365" s="9" t="str">
        <f>IFERROR(__xludf.DUMMYFUNCTION("""COMPUTED_VALUE"""),"cbf")</f>
        <v>cbf</v>
      </c>
      <c r="K3365" s="9" t="str">
        <f>IFERROR(__xludf.DUMMYFUNCTION("""COMPUTED_VALUE"""),"psf")</f>
        <v>psf</v>
      </c>
      <c r="L3365" s="9"/>
      <c r="M3365" s="9"/>
      <c r="N3365" s="9"/>
      <c r="O3365" s="9"/>
      <c r="P3365" s="9"/>
      <c r="Q3365" s="9"/>
      <c r="R3365" s="9"/>
      <c r="S3365" s="42"/>
      <c r="T3365" s="42"/>
      <c r="U3365" s="42"/>
      <c r="V3365" s="42"/>
      <c r="W3365" s="42"/>
      <c r="X3365" s="42"/>
      <c r="Y3365" s="42"/>
      <c r="Z3365" s="42"/>
      <c r="AA3365" s="42"/>
      <c r="AB3365" s="42" t="str">
        <f>IFERROR(__xludf.DUMMYFUNCTION("""COMPUTED_VALUE"""),"allen institute")</f>
        <v>allen institute</v>
      </c>
      <c r="AC3365" s="42" t="str">
        <f>IFERROR(__xludf.DUMMYFUNCTION("""COMPUTED_VALUE"""),"DHBA")</f>
        <v>DHBA</v>
      </c>
      <c r="AD3365" s="42"/>
      <c r="AE3365" s="42"/>
      <c r="AF3365" s="9"/>
      <c r="AG3365" s="9"/>
      <c r="AH3365" s="42"/>
      <c r="AI3365" s="42"/>
      <c r="AJ3365" s="42"/>
      <c r="AK3365" s="42"/>
      <c r="AL3365" s="42"/>
      <c r="AM3365" s="42"/>
      <c r="AN3365" s="42"/>
      <c r="AO3365" s="63" t="str">
        <f>IFERROR(__xludf.DUMMYFUNCTION("IF(ISBLANK(A3365),,IF(ISBLANK(S3365), A3365&amp;"";"", TEXTJOIN(CHAR(10), TRUE, A3365&amp;"";"", ARRAYFORMULA(VLOOKUP(SPLIT(S3365, "";"" &amp; CHAR(10)), $A:$AO, 41, FALSE)))))"),"psf;")</f>
        <v>psf;</v>
      </c>
      <c r="AP3365" s="89"/>
    </row>
    <row r="3366">
      <c r="A3366" s="151" t="str">
        <f>IFERROR(__xludf.DUMMYFUNCTION("""COMPUTED_VALUE"""),"hof")</f>
        <v>hof</v>
      </c>
      <c r="B3366" s="42" t="str">
        <f>IFERROR(__xludf.DUMMYFUNCTION("""COMPUTED_VALUE"""),"DHBA")</f>
        <v>DHBA</v>
      </c>
      <c r="C3366" s="42" t="str">
        <f>IFERROR(__xludf.DUMMYFUNCTION("""COMPUTED_VALUE"""),"horizontal (intercrural) fissure")</f>
        <v>horizontal (intercrural) fissure</v>
      </c>
      <c r="D3366" s="42">
        <f>IFERROR(__xludf.DUMMYFUNCTION("""COMPUTED_VALUE"""),3219.0)</f>
        <v>3219</v>
      </c>
      <c r="E3366" s="39" t="str">
        <f>IFERROR(__xludf.DUMMYFUNCTION("""COMPUTED_VALUE"""),"horizontal (intercrural) fissure")</f>
        <v>horizontal (intercrural) fissure</v>
      </c>
      <c r="F3366" s="9" t="str">
        <f>IFERROR(__xludf.DUMMYFUNCTION("""COMPUTED_VALUE"""),"Br")</f>
        <v>Br</v>
      </c>
      <c r="G3366" s="9" t="str">
        <f>IFERROR(__xludf.DUMMYFUNCTION("""COMPUTED_VALUE"""),"H")</f>
        <v>H</v>
      </c>
      <c r="H3366" s="9" t="str">
        <f>IFERROR(__xludf.DUMMYFUNCTION("""COMPUTED_VALUE"""),"HSS")</f>
        <v>HSS</v>
      </c>
      <c r="I3366" s="9" t="str">
        <f>IFERROR(__xludf.DUMMYFUNCTION("""COMPUTED_VALUE"""),"CbSS")</f>
        <v>CbSS</v>
      </c>
      <c r="J3366" s="9" t="str">
        <f>IFERROR(__xludf.DUMMYFUNCTION("""COMPUTED_VALUE"""),"cbf")</f>
        <v>cbf</v>
      </c>
      <c r="K3366" s="9" t="str">
        <f>IFERROR(__xludf.DUMMYFUNCTION("""COMPUTED_VALUE"""),"hof")</f>
        <v>hof</v>
      </c>
      <c r="L3366" s="9"/>
      <c r="M3366" s="9"/>
      <c r="N3366" s="9"/>
      <c r="O3366" s="9"/>
      <c r="P3366" s="9"/>
      <c r="Q3366" s="9"/>
      <c r="R3366" s="9"/>
      <c r="S3366" s="42"/>
      <c r="T3366" s="42"/>
      <c r="U3366" s="42"/>
      <c r="V3366" s="42"/>
      <c r="W3366" s="42"/>
      <c r="X3366" s="42"/>
      <c r="Y3366" s="42"/>
      <c r="Z3366" s="42"/>
      <c r="AA3366" s="42"/>
      <c r="AB3366" s="42" t="str">
        <f>IFERROR(__xludf.DUMMYFUNCTION("""COMPUTED_VALUE"""),"allen institute")</f>
        <v>allen institute</v>
      </c>
      <c r="AC3366" s="42" t="str">
        <f>IFERROR(__xludf.DUMMYFUNCTION("""COMPUTED_VALUE"""),"DHBA")</f>
        <v>DHBA</v>
      </c>
      <c r="AD3366" s="42"/>
      <c r="AE3366" s="42"/>
      <c r="AF3366" s="9"/>
      <c r="AG3366" s="9"/>
      <c r="AH3366" s="42"/>
      <c r="AI3366" s="42"/>
      <c r="AJ3366" s="42"/>
      <c r="AK3366" s="42"/>
      <c r="AL3366" s="42"/>
      <c r="AM3366" s="42"/>
      <c r="AN3366" s="42"/>
      <c r="AO3366" s="63" t="str">
        <f>IFERROR(__xludf.DUMMYFUNCTION("IF(ISBLANK(A3366),,IF(ISBLANK(S3366), A3366&amp;"";"", TEXTJOIN(CHAR(10), TRUE, A3366&amp;"";"", ARRAYFORMULA(VLOOKUP(SPLIT(S3366, "";"" &amp; CHAR(10)), $A:$AO, 41, FALSE)))))"),"hof;")</f>
        <v>hof;</v>
      </c>
      <c r="AP3366" s="89"/>
    </row>
    <row r="3367">
      <c r="A3367" s="151" t="str">
        <f>IFERROR(__xludf.DUMMYFUNCTION("""COMPUTED_VALUE"""),"apf")</f>
        <v>apf</v>
      </c>
      <c r="B3367" s="42" t="str">
        <f>IFERROR(__xludf.DUMMYFUNCTION("""COMPUTED_VALUE"""),"DHBA")</f>
        <v>DHBA</v>
      </c>
      <c r="C3367" s="42" t="str">
        <f>IFERROR(__xludf.DUMMYFUNCTION("""COMPUTED_VALUE"""),"ansoparamedian fissure")</f>
        <v>ansoparamedian fissure</v>
      </c>
      <c r="D3367" s="42">
        <f>IFERROR(__xludf.DUMMYFUNCTION("""COMPUTED_VALUE"""),3220.0)</f>
        <v>3220</v>
      </c>
      <c r="E3367" s="39" t="str">
        <f>IFERROR(__xludf.DUMMYFUNCTION("""COMPUTED_VALUE"""),"ansoparamedian fissure")</f>
        <v>ansoparamedian fissure</v>
      </c>
      <c r="F3367" s="9" t="str">
        <f>IFERROR(__xludf.DUMMYFUNCTION("""COMPUTED_VALUE"""),"Br")</f>
        <v>Br</v>
      </c>
      <c r="G3367" s="9" t="str">
        <f>IFERROR(__xludf.DUMMYFUNCTION("""COMPUTED_VALUE"""),"H")</f>
        <v>H</v>
      </c>
      <c r="H3367" s="9" t="str">
        <f>IFERROR(__xludf.DUMMYFUNCTION("""COMPUTED_VALUE"""),"HSS")</f>
        <v>HSS</v>
      </c>
      <c r="I3367" s="9" t="str">
        <f>IFERROR(__xludf.DUMMYFUNCTION("""COMPUTED_VALUE"""),"CbSS")</f>
        <v>CbSS</v>
      </c>
      <c r="J3367" s="9" t="str">
        <f>IFERROR(__xludf.DUMMYFUNCTION("""COMPUTED_VALUE"""),"cbf")</f>
        <v>cbf</v>
      </c>
      <c r="K3367" s="9" t="str">
        <f>IFERROR(__xludf.DUMMYFUNCTION("""COMPUTED_VALUE"""),"apf")</f>
        <v>apf</v>
      </c>
      <c r="L3367" s="9"/>
      <c r="M3367" s="9"/>
      <c r="N3367" s="9"/>
      <c r="O3367" s="9"/>
      <c r="P3367" s="9"/>
      <c r="Q3367" s="9"/>
      <c r="R3367" s="9"/>
      <c r="S3367" s="42"/>
      <c r="T3367" s="42"/>
      <c r="U3367" s="42"/>
      <c r="V3367" s="42"/>
      <c r="W3367" s="42"/>
      <c r="X3367" s="42"/>
      <c r="Y3367" s="42"/>
      <c r="Z3367" s="42"/>
      <c r="AA3367" s="42"/>
      <c r="AB3367" s="42" t="str">
        <f>IFERROR(__xludf.DUMMYFUNCTION("""COMPUTED_VALUE"""),"allen institute")</f>
        <v>allen institute</v>
      </c>
      <c r="AC3367" s="42" t="str">
        <f>IFERROR(__xludf.DUMMYFUNCTION("""COMPUTED_VALUE"""),"DHBA")</f>
        <v>DHBA</v>
      </c>
      <c r="AD3367" s="42"/>
      <c r="AE3367" s="42"/>
      <c r="AF3367" s="9"/>
      <c r="AG3367" s="9"/>
      <c r="AH3367" s="42"/>
      <c r="AI3367" s="42"/>
      <c r="AJ3367" s="42"/>
      <c r="AK3367" s="42"/>
      <c r="AL3367" s="42"/>
      <c r="AM3367" s="42"/>
      <c r="AN3367" s="42"/>
      <c r="AO3367" s="63" t="str">
        <f>IFERROR(__xludf.DUMMYFUNCTION("IF(ISBLANK(A3367),,IF(ISBLANK(S3367), A3367&amp;"";"", TEXTJOIN(CHAR(10), TRUE, A3367&amp;"";"", ARRAYFORMULA(VLOOKUP(SPLIT(S3367, "";"" &amp; CHAR(10)), $A:$AO, 41, FALSE)))))"),"apf;")</f>
        <v>apf;</v>
      </c>
      <c r="AP3367" s="89"/>
    </row>
    <row r="3368">
      <c r="A3368" s="151" t="str">
        <f>IFERROR(__xludf.DUMMYFUNCTION("""COMPUTED_VALUE"""),"prpy")</f>
        <v>prpy</v>
      </c>
      <c r="B3368" s="42" t="str">
        <f>IFERROR(__xludf.DUMMYFUNCTION("""COMPUTED_VALUE"""),"DHBA")</f>
        <v>DHBA</v>
      </c>
      <c r="C3368" s="42" t="str">
        <f>IFERROR(__xludf.DUMMYFUNCTION("""COMPUTED_VALUE"""),"prepyramidal (prebiventral) fissure")</f>
        <v>prepyramidal (prebiventral) fissure</v>
      </c>
      <c r="D3368" s="42">
        <f>IFERROR(__xludf.DUMMYFUNCTION("""COMPUTED_VALUE"""),3221.0)</f>
        <v>3221</v>
      </c>
      <c r="E3368" s="39" t="str">
        <f>IFERROR(__xludf.DUMMYFUNCTION("""COMPUTED_VALUE"""),"prepyramidal (prebiventral) fissure")</f>
        <v>prepyramidal (prebiventral) fissure</v>
      </c>
      <c r="F3368" s="9" t="str">
        <f>IFERROR(__xludf.DUMMYFUNCTION("""COMPUTED_VALUE"""),"Br")</f>
        <v>Br</v>
      </c>
      <c r="G3368" s="9" t="str">
        <f>IFERROR(__xludf.DUMMYFUNCTION("""COMPUTED_VALUE"""),"H")</f>
        <v>H</v>
      </c>
      <c r="H3368" s="9" t="str">
        <f>IFERROR(__xludf.DUMMYFUNCTION("""COMPUTED_VALUE"""),"HSS")</f>
        <v>HSS</v>
      </c>
      <c r="I3368" s="9" t="str">
        <f>IFERROR(__xludf.DUMMYFUNCTION("""COMPUTED_VALUE"""),"CbSS")</f>
        <v>CbSS</v>
      </c>
      <c r="J3368" s="9" t="str">
        <f>IFERROR(__xludf.DUMMYFUNCTION("""COMPUTED_VALUE"""),"cbf")</f>
        <v>cbf</v>
      </c>
      <c r="K3368" s="9" t="str">
        <f>IFERROR(__xludf.DUMMYFUNCTION("""COMPUTED_VALUE"""),"prpy")</f>
        <v>prpy</v>
      </c>
      <c r="L3368" s="9"/>
      <c r="M3368" s="9"/>
      <c r="N3368" s="9"/>
      <c r="O3368" s="9"/>
      <c r="P3368" s="9"/>
      <c r="Q3368" s="9"/>
      <c r="R3368" s="9"/>
      <c r="S3368" s="42"/>
      <c r="T3368" s="42"/>
      <c r="U3368" s="42"/>
      <c r="V3368" s="42"/>
      <c r="W3368" s="42"/>
      <c r="X3368" s="42"/>
      <c r="Y3368" s="42"/>
      <c r="Z3368" s="42"/>
      <c r="AA3368" s="42"/>
      <c r="AB3368" s="42" t="str">
        <f>IFERROR(__xludf.DUMMYFUNCTION("""COMPUTED_VALUE"""),"allen institute")</f>
        <v>allen institute</v>
      </c>
      <c r="AC3368" s="42" t="str">
        <f>IFERROR(__xludf.DUMMYFUNCTION("""COMPUTED_VALUE"""),"DHBA")</f>
        <v>DHBA</v>
      </c>
      <c r="AD3368" s="42"/>
      <c r="AE3368" s="42"/>
      <c r="AF3368" s="9"/>
      <c r="AG3368" s="9"/>
      <c r="AH3368" s="42"/>
      <c r="AI3368" s="42"/>
      <c r="AJ3368" s="42"/>
      <c r="AK3368" s="42"/>
      <c r="AL3368" s="42"/>
      <c r="AM3368" s="42"/>
      <c r="AN3368" s="42"/>
      <c r="AO3368" s="63" t="str">
        <f>IFERROR(__xludf.DUMMYFUNCTION("IF(ISBLANK(A3368),,IF(ISBLANK(S3368), A3368&amp;"";"", TEXTJOIN(CHAR(10), TRUE, A3368&amp;"";"", ARRAYFORMULA(VLOOKUP(SPLIT(S3368, "";"" &amp; CHAR(10)), $A:$AO, 41, FALSE)))))"),"prpy;")</f>
        <v>prpy;</v>
      </c>
      <c r="AP3368" s="89"/>
    </row>
    <row r="3369">
      <c r="A3369" s="151" t="str">
        <f>IFERROR(__xludf.DUMMYFUNCTION("""COMPUTED_VALUE"""),"ibif")</f>
        <v>ibif</v>
      </c>
      <c r="B3369" s="42" t="str">
        <f>IFERROR(__xludf.DUMMYFUNCTION("""COMPUTED_VALUE"""),"DHBA")</f>
        <v>DHBA</v>
      </c>
      <c r="C3369" s="42" t="str">
        <f>IFERROR(__xludf.DUMMYFUNCTION("""COMPUTED_VALUE"""),"intravbiventral fissure")</f>
        <v>intravbiventral fissure</v>
      </c>
      <c r="D3369" s="42">
        <f>IFERROR(__xludf.DUMMYFUNCTION("""COMPUTED_VALUE"""),3222.0)</f>
        <v>3222</v>
      </c>
      <c r="E3369" s="39" t="str">
        <f>IFERROR(__xludf.DUMMYFUNCTION("""COMPUTED_VALUE"""),"intravbiventral fissure")</f>
        <v>intravbiventral fissure</v>
      </c>
      <c r="F3369" s="9" t="str">
        <f>IFERROR(__xludf.DUMMYFUNCTION("""COMPUTED_VALUE"""),"Br")</f>
        <v>Br</v>
      </c>
      <c r="G3369" s="9" t="str">
        <f>IFERROR(__xludf.DUMMYFUNCTION("""COMPUTED_VALUE"""),"H")</f>
        <v>H</v>
      </c>
      <c r="H3369" s="9" t="str">
        <f>IFERROR(__xludf.DUMMYFUNCTION("""COMPUTED_VALUE"""),"HSS")</f>
        <v>HSS</v>
      </c>
      <c r="I3369" s="9" t="str">
        <f>IFERROR(__xludf.DUMMYFUNCTION("""COMPUTED_VALUE"""),"CbSS")</f>
        <v>CbSS</v>
      </c>
      <c r="J3369" s="9" t="str">
        <f>IFERROR(__xludf.DUMMYFUNCTION("""COMPUTED_VALUE"""),"cbf")</f>
        <v>cbf</v>
      </c>
      <c r="K3369" s="9" t="str">
        <f>IFERROR(__xludf.DUMMYFUNCTION("""COMPUTED_VALUE"""),"ibif")</f>
        <v>ibif</v>
      </c>
      <c r="L3369" s="9"/>
      <c r="M3369" s="9"/>
      <c r="N3369" s="9"/>
      <c r="O3369" s="9"/>
      <c r="P3369" s="9"/>
      <c r="Q3369" s="9"/>
      <c r="R3369" s="9"/>
      <c r="S3369" s="42"/>
      <c r="T3369" s="42"/>
      <c r="U3369" s="42"/>
      <c r="V3369" s="42"/>
      <c r="W3369" s="42"/>
      <c r="X3369" s="42"/>
      <c r="Y3369" s="42"/>
      <c r="Z3369" s="42"/>
      <c r="AA3369" s="42"/>
      <c r="AB3369" s="42" t="str">
        <f>IFERROR(__xludf.DUMMYFUNCTION("""COMPUTED_VALUE"""),"allen institute")</f>
        <v>allen institute</v>
      </c>
      <c r="AC3369" s="42" t="str">
        <f>IFERROR(__xludf.DUMMYFUNCTION("""COMPUTED_VALUE"""),"DHBA")</f>
        <v>DHBA</v>
      </c>
      <c r="AD3369" s="42"/>
      <c r="AE3369" s="42"/>
      <c r="AF3369" s="9"/>
      <c r="AG3369" s="9"/>
      <c r="AH3369" s="42"/>
      <c r="AI3369" s="42"/>
      <c r="AJ3369" s="42"/>
      <c r="AK3369" s="42"/>
      <c r="AL3369" s="42"/>
      <c r="AM3369" s="42"/>
      <c r="AN3369" s="42"/>
      <c r="AO3369" s="63" t="str">
        <f>IFERROR(__xludf.DUMMYFUNCTION("IF(ISBLANK(A3369),,IF(ISBLANK(S3369), A3369&amp;"";"", TEXTJOIN(CHAR(10), TRUE, A3369&amp;"";"", ARRAYFORMULA(VLOOKUP(SPLIT(S3369, "";"" &amp; CHAR(10)), $A:$AO, 41, FALSE)))))"),"ibif;")</f>
        <v>ibif;</v>
      </c>
      <c r="AP3369" s="89"/>
    </row>
    <row r="3370">
      <c r="A3370" s="151" t="str">
        <f>IFERROR(__xludf.DUMMYFUNCTION("""COMPUTED_VALUE"""),"popy")</f>
        <v>popy</v>
      </c>
      <c r="B3370" s="42" t="str">
        <f>IFERROR(__xludf.DUMMYFUNCTION("""COMPUTED_VALUE"""),"DHBA")</f>
        <v>DHBA</v>
      </c>
      <c r="C3370" s="42" t="str">
        <f>IFERROR(__xludf.DUMMYFUNCTION("""COMPUTED_VALUE"""),"secondary (post pyramidal) fissure")</f>
        <v>secondary (post pyramidal) fissure</v>
      </c>
      <c r="D3370" s="42">
        <f>IFERROR(__xludf.DUMMYFUNCTION("""COMPUTED_VALUE"""),3223.0)</f>
        <v>3223</v>
      </c>
      <c r="E3370" s="39" t="str">
        <f>IFERROR(__xludf.DUMMYFUNCTION("""COMPUTED_VALUE"""),"secondary (post pyramidal) fissure")</f>
        <v>secondary (post pyramidal) fissure</v>
      </c>
      <c r="F3370" s="9" t="str">
        <f>IFERROR(__xludf.DUMMYFUNCTION("""COMPUTED_VALUE"""),"Br")</f>
        <v>Br</v>
      </c>
      <c r="G3370" s="9" t="str">
        <f>IFERROR(__xludf.DUMMYFUNCTION("""COMPUTED_VALUE"""),"H")</f>
        <v>H</v>
      </c>
      <c r="H3370" s="9" t="str">
        <f>IFERROR(__xludf.DUMMYFUNCTION("""COMPUTED_VALUE"""),"HSS")</f>
        <v>HSS</v>
      </c>
      <c r="I3370" s="9" t="str">
        <f>IFERROR(__xludf.DUMMYFUNCTION("""COMPUTED_VALUE"""),"CbSS")</f>
        <v>CbSS</v>
      </c>
      <c r="J3370" s="9" t="str">
        <f>IFERROR(__xludf.DUMMYFUNCTION("""COMPUTED_VALUE"""),"cbf")</f>
        <v>cbf</v>
      </c>
      <c r="K3370" s="9" t="str">
        <f>IFERROR(__xludf.DUMMYFUNCTION("""COMPUTED_VALUE"""),"popy")</f>
        <v>popy</v>
      </c>
      <c r="L3370" s="9"/>
      <c r="M3370" s="9"/>
      <c r="N3370" s="9"/>
      <c r="O3370" s="9"/>
      <c r="P3370" s="9"/>
      <c r="Q3370" s="9"/>
      <c r="R3370" s="9"/>
      <c r="S3370" s="42"/>
      <c r="T3370" s="42"/>
      <c r="U3370" s="42"/>
      <c r="V3370" s="42"/>
      <c r="W3370" s="42"/>
      <c r="X3370" s="42"/>
      <c r="Y3370" s="42"/>
      <c r="Z3370" s="42"/>
      <c r="AA3370" s="42"/>
      <c r="AB3370" s="42" t="str">
        <f>IFERROR(__xludf.DUMMYFUNCTION("""COMPUTED_VALUE"""),"allen institute")</f>
        <v>allen institute</v>
      </c>
      <c r="AC3370" s="42" t="str">
        <f>IFERROR(__xludf.DUMMYFUNCTION("""COMPUTED_VALUE"""),"DHBA")</f>
        <v>DHBA</v>
      </c>
      <c r="AD3370" s="42"/>
      <c r="AE3370" s="42"/>
      <c r="AF3370" s="9"/>
      <c r="AG3370" s="9"/>
      <c r="AH3370" s="42"/>
      <c r="AI3370" s="42"/>
      <c r="AJ3370" s="42"/>
      <c r="AK3370" s="42"/>
      <c r="AL3370" s="42"/>
      <c r="AM3370" s="42"/>
      <c r="AN3370" s="42"/>
      <c r="AO3370" s="63" t="str">
        <f>IFERROR(__xludf.DUMMYFUNCTION("IF(ISBLANK(A3370),,IF(ISBLANK(S3370), A3370&amp;"";"", TEXTJOIN(CHAR(10), TRUE, A3370&amp;"";"", ARRAYFORMULA(VLOOKUP(SPLIT(S3370, "";"" &amp; CHAR(10)), $A:$AO, 41, FALSE)))))"),"popy;")</f>
        <v>popy;</v>
      </c>
      <c r="AP3370" s="89"/>
    </row>
    <row r="3371">
      <c r="A3371" s="151" t="str">
        <f>IFERROR(__xludf.DUMMYFUNCTION("""COMPUTED_VALUE"""),"polf")</f>
        <v>polf</v>
      </c>
      <c r="B3371" s="42" t="str">
        <f>IFERROR(__xludf.DUMMYFUNCTION("""COMPUTED_VALUE"""),"DHBA")</f>
        <v>DHBA</v>
      </c>
      <c r="C3371" s="42" t="str">
        <f>IFERROR(__xludf.DUMMYFUNCTION("""COMPUTED_VALUE"""),"posterolateral (postnodular) fissure")</f>
        <v>posterolateral (postnodular) fissure</v>
      </c>
      <c r="D3371" s="42">
        <f>IFERROR(__xludf.DUMMYFUNCTION("""COMPUTED_VALUE"""),3224.0)</f>
        <v>3224</v>
      </c>
      <c r="E3371" s="39" t="str">
        <f>IFERROR(__xludf.DUMMYFUNCTION("""COMPUTED_VALUE"""),"posterolateral (postnodular) fissure")</f>
        <v>posterolateral (postnodular) fissure</v>
      </c>
      <c r="F3371" s="9" t="str">
        <f>IFERROR(__xludf.DUMMYFUNCTION("""COMPUTED_VALUE"""),"Br")</f>
        <v>Br</v>
      </c>
      <c r="G3371" s="9" t="str">
        <f>IFERROR(__xludf.DUMMYFUNCTION("""COMPUTED_VALUE"""),"H")</f>
        <v>H</v>
      </c>
      <c r="H3371" s="9" t="str">
        <f>IFERROR(__xludf.DUMMYFUNCTION("""COMPUTED_VALUE"""),"HSS")</f>
        <v>HSS</v>
      </c>
      <c r="I3371" s="9" t="str">
        <f>IFERROR(__xludf.DUMMYFUNCTION("""COMPUTED_VALUE"""),"CbSS")</f>
        <v>CbSS</v>
      </c>
      <c r="J3371" s="9" t="str">
        <f>IFERROR(__xludf.DUMMYFUNCTION("""COMPUTED_VALUE"""),"cbf")</f>
        <v>cbf</v>
      </c>
      <c r="K3371" s="9" t="str">
        <f>IFERROR(__xludf.DUMMYFUNCTION("""COMPUTED_VALUE"""),"polf")</f>
        <v>polf</v>
      </c>
      <c r="L3371" s="9"/>
      <c r="M3371" s="9"/>
      <c r="N3371" s="9"/>
      <c r="O3371" s="9"/>
      <c r="P3371" s="9"/>
      <c r="Q3371" s="9"/>
      <c r="R3371" s="9"/>
      <c r="S3371" s="42"/>
      <c r="T3371" s="42"/>
      <c r="U3371" s="42"/>
      <c r="V3371" s="42"/>
      <c r="W3371" s="42"/>
      <c r="X3371" s="42"/>
      <c r="Y3371" s="42"/>
      <c r="Z3371" s="42"/>
      <c r="AA3371" s="42"/>
      <c r="AB3371" s="42" t="str">
        <f>IFERROR(__xludf.DUMMYFUNCTION("""COMPUTED_VALUE"""),"allen institute")</f>
        <v>allen institute</v>
      </c>
      <c r="AC3371" s="42" t="str">
        <f>IFERROR(__xludf.DUMMYFUNCTION("""COMPUTED_VALUE"""),"DHBA")</f>
        <v>DHBA</v>
      </c>
      <c r="AD3371" s="42"/>
      <c r="AE3371" s="42"/>
      <c r="AF3371" s="9"/>
      <c r="AG3371" s="9"/>
      <c r="AH3371" s="42"/>
      <c r="AI3371" s="42"/>
      <c r="AJ3371" s="42"/>
      <c r="AK3371" s="42"/>
      <c r="AL3371" s="42"/>
      <c r="AM3371" s="42"/>
      <c r="AN3371" s="42"/>
      <c r="AO3371" s="63" t="str">
        <f>IFERROR(__xludf.DUMMYFUNCTION("IF(ISBLANK(A3371),,IF(ISBLANK(S3371), A3371&amp;"";"", TEXTJOIN(CHAR(10), TRUE, A3371&amp;"";"", ARRAYFORMULA(VLOOKUP(SPLIT(S3371, "";"" &amp; CHAR(10)), $A:$AO, 41, FALSE)))))"),"polf;")</f>
        <v>polf;</v>
      </c>
      <c r="AP3371" s="89"/>
    </row>
    <row r="3372">
      <c r="A3372" s="151" t="str">
        <f>IFERROR(__xludf.DUMMYFUNCTION("""COMPUTED_VALUE"""),"CBLL")</f>
        <v>CBLL</v>
      </c>
      <c r="B3372" s="42" t="str">
        <f>IFERROR(__xludf.DUMMYFUNCTION("""COMPUTED_VALUE"""),"DHBA")</f>
        <v>DHBA</v>
      </c>
      <c r="C3372" s="42" t="str">
        <f>IFERROR(__xludf.DUMMYFUNCTION("""COMPUTED_VALUE"""),"cerebellar lobes and lobules")</f>
        <v>cerebellar lobes and lobules</v>
      </c>
      <c r="D3372" s="42">
        <f>IFERROR(__xludf.DUMMYFUNCTION("""COMPUTED_VALUE"""),3225.0)</f>
        <v>3225</v>
      </c>
      <c r="E3372" s="39" t="str">
        <f>IFERROR(__xludf.DUMMYFUNCTION("""COMPUTED_VALUE"""),"cerebellar lobes and lobules")</f>
        <v>cerebellar lobes and lobules</v>
      </c>
      <c r="F3372" s="9" t="str">
        <f>IFERROR(__xludf.DUMMYFUNCTION("""COMPUTED_VALUE"""),"Br")</f>
        <v>Br</v>
      </c>
      <c r="G3372" s="9" t="str">
        <f>IFERROR(__xludf.DUMMYFUNCTION("""COMPUTED_VALUE"""),"H")</f>
        <v>H</v>
      </c>
      <c r="H3372" s="9" t="str">
        <f>IFERROR(__xludf.DUMMYFUNCTION("""COMPUTED_VALUE"""),"HSS")</f>
        <v>HSS</v>
      </c>
      <c r="I3372" s="9" t="str">
        <f>IFERROR(__xludf.DUMMYFUNCTION("""COMPUTED_VALUE"""),"CbSS")</f>
        <v>CbSS</v>
      </c>
      <c r="J3372" s="9" t="str">
        <f>IFERROR(__xludf.DUMMYFUNCTION("""COMPUTED_VALUE"""),"CBLL")</f>
        <v>CBLL</v>
      </c>
      <c r="K3372" s="9"/>
      <c r="L3372" s="9"/>
      <c r="M3372" s="9"/>
      <c r="N3372" s="9"/>
      <c r="O3372" s="9"/>
      <c r="P3372" s="9"/>
      <c r="Q3372" s="9"/>
      <c r="R3372" s="9"/>
      <c r="S3372" s="42" t="str">
        <f>IFERROR(__xludf.DUMMYFUNCTION("""COMPUTED_VALUE"""),"ACb;
PCb;
FNCb")</f>
        <v>ACb;
PCb;
FNCb</v>
      </c>
      <c r="T3372" s="42" t="str">
        <f>IFERROR(__xludf.DUMMYFUNCTION("""COMPUTED_VALUE"""),"lobe")</f>
        <v>lobe</v>
      </c>
      <c r="U3372" s="42" t="b">
        <f>IFERROR(__xludf.DUMMYFUNCTION("""COMPUTED_VALUE"""),FALSE)</f>
        <v>0</v>
      </c>
      <c r="V3372" s="42"/>
      <c r="W3372" s="42"/>
      <c r="X3372" s="42"/>
      <c r="Y3372" s="42"/>
      <c r="Z3372" s="42"/>
      <c r="AA3372" s="42"/>
      <c r="AB3372" s="42" t="str">
        <f>IFERROR(__xludf.DUMMYFUNCTION("""COMPUTED_VALUE"""),"allen institute")</f>
        <v>allen institute</v>
      </c>
      <c r="AC3372" s="42" t="str">
        <f>IFERROR(__xludf.DUMMYFUNCTION("""COMPUTED_VALUE"""),"DHBA")</f>
        <v>DHBA</v>
      </c>
      <c r="AD3372" s="42"/>
      <c r="AE3372" s="42"/>
      <c r="AF3372" s="9"/>
      <c r="AG3372" s="9"/>
      <c r="AH3372" s="42"/>
      <c r="AI3372" s="42"/>
      <c r="AJ3372" s="42"/>
      <c r="AK3372" s="42"/>
      <c r="AL3372" s="42"/>
      <c r="AM3372" s="42"/>
      <c r="AN3372" s="42"/>
      <c r="AO3372" s="63" t="str">
        <f>IFERROR(__xludf.DUMMYFUNCTION("IF(ISBLANK(A3372),,IF(ISBLANK(S3372), A3372&amp;"";"", TEXTJOIN(CHAR(10), TRUE, A3372&amp;"";"", ARRAYFORMULA(VLOOKUP(SPLIT(S3372, "";"" &amp; CHAR(10)), $A:$AO, 41, FALSE)))))"),"CBLL;
ACb;
CbI;
CbII;
CbIII;
CbIV;
CBV;
VeA;
VeAm;
VeAp;
VeAg;
VePo;
VePs;
VePsm;
VePsp;
VePsg;
VePi;
VePim;
VePip;
VePig;
VeF;
VeFm;
VeFp;
VeFg;
PCb;
CbVI;
CbVIIa1;
CbVIIa2;
CbVIIb;
CbVIIIa;
CbVIIIb;
CbIX;
FNCb;
CbX;")</f>
        <v>CBLL;
ACb;
CbI;
CbII;
CbIII;
CbIV;
CBV;
VeA;
VeAm;
VeAp;
VeAg;
VePo;
VePs;
VePsm;
VePsp;
VePsg;
VePi;
VePim;
VePip;
VePig;
VeF;
VeFm;
VeFp;
VeFg;
PCb;
CbVI;
CbVIIa1;
CbVIIa2;
CbVIIb;
CbVIIIa;
CbVIIIb;
CbIX;
FNCb;
CbX;</v>
      </c>
      <c r="AP3372" s="89"/>
    </row>
    <row r="3373">
      <c r="A3373" s="151" t="str">
        <f>IFERROR(__xludf.DUMMYFUNCTION("""COMPUTED_VALUE"""),"ACb")</f>
        <v>ACb</v>
      </c>
      <c r="B3373" s="42" t="str">
        <f>IFERROR(__xludf.DUMMYFUNCTION("""COMPUTED_VALUE"""),"DHBA")</f>
        <v>DHBA</v>
      </c>
      <c r="C3373" s="42" t="str">
        <f>IFERROR(__xludf.DUMMYFUNCTION("""COMPUTED_VALUE"""),"anterior lobe")</f>
        <v>anterior lobe</v>
      </c>
      <c r="D3373" s="42">
        <f>IFERROR(__xludf.DUMMYFUNCTION("""COMPUTED_VALUE"""),3226.0)</f>
        <v>3226</v>
      </c>
      <c r="E3373" s="39" t="str">
        <f>IFERROR(__xludf.DUMMYFUNCTION("""COMPUTED_VALUE"""),"anterior lobe")</f>
        <v>anterior lobe</v>
      </c>
      <c r="F3373" s="9" t="str">
        <f>IFERROR(__xludf.DUMMYFUNCTION("""COMPUTED_VALUE"""),"Br")</f>
        <v>Br</v>
      </c>
      <c r="G3373" s="9" t="str">
        <f>IFERROR(__xludf.DUMMYFUNCTION("""COMPUTED_VALUE"""),"H")</f>
        <v>H</v>
      </c>
      <c r="H3373" s="9" t="str">
        <f>IFERROR(__xludf.DUMMYFUNCTION("""COMPUTED_VALUE"""),"HSS")</f>
        <v>HSS</v>
      </c>
      <c r="I3373" s="9" t="str">
        <f>IFERROR(__xludf.DUMMYFUNCTION("""COMPUTED_VALUE"""),"CbSS")</f>
        <v>CbSS</v>
      </c>
      <c r="J3373" s="9" t="str">
        <f>IFERROR(__xludf.DUMMYFUNCTION("""COMPUTED_VALUE"""),"CBLL")</f>
        <v>CBLL</v>
      </c>
      <c r="K3373" s="9" t="str">
        <f>IFERROR(__xludf.DUMMYFUNCTION("""COMPUTED_VALUE"""),"ACb")</f>
        <v>ACb</v>
      </c>
      <c r="L3373" s="9"/>
      <c r="M3373" s="9"/>
      <c r="N3373" s="9"/>
      <c r="O3373" s="9"/>
      <c r="P3373" s="9"/>
      <c r="Q3373" s="9"/>
      <c r="R3373" s="9"/>
      <c r="S3373" s="42" t="str">
        <f>IFERROR(__xludf.DUMMYFUNCTION("""COMPUTED_VALUE"""),"CbI;
CbII;
CbIII;
CbIV;
CbV")</f>
        <v>CbI;
CbII;
CbIII;
CbIV;
CbV</v>
      </c>
      <c r="T3373" s="42" t="str">
        <f>IFERROR(__xludf.DUMMYFUNCTION("""COMPUTED_VALUE"""),"lobe")</f>
        <v>lobe</v>
      </c>
      <c r="U3373" s="42" t="b">
        <f>IFERROR(__xludf.DUMMYFUNCTION("""COMPUTED_VALUE"""),FALSE)</f>
        <v>0</v>
      </c>
      <c r="V3373" s="42"/>
      <c r="W3373" s="42"/>
      <c r="X3373" s="42"/>
      <c r="Y3373" s="42"/>
      <c r="Z3373" s="42"/>
      <c r="AA3373" s="42"/>
      <c r="AB3373" s="42" t="str">
        <f>IFERROR(__xludf.DUMMYFUNCTION("""COMPUTED_VALUE"""),"allen institute")</f>
        <v>allen institute</v>
      </c>
      <c r="AC3373" s="42" t="str">
        <f>IFERROR(__xludf.DUMMYFUNCTION("""COMPUTED_VALUE"""),"DHBA")</f>
        <v>DHBA</v>
      </c>
      <c r="AD3373" s="42"/>
      <c r="AE3373" s="42"/>
      <c r="AF3373" s="9"/>
      <c r="AG3373" s="9"/>
      <c r="AH3373" s="42"/>
      <c r="AI3373" s="42"/>
      <c r="AJ3373" s="42"/>
      <c r="AK3373" s="42"/>
      <c r="AL3373" s="42"/>
      <c r="AM3373" s="42"/>
      <c r="AN3373" s="42"/>
      <c r="AO3373" s="63" t="str">
        <f>IFERROR(__xludf.DUMMYFUNCTION("IF(ISBLANK(A3373),,IF(ISBLANK(S3373), A3373&amp;"";"", TEXTJOIN(CHAR(10), TRUE, A3373&amp;"";"", ARRAYFORMULA(VLOOKUP(SPLIT(S3373, "";"" &amp; CHAR(10)), $A:$AO, 41, FALSE)))))"),"ACb;
CbI;
CbII;
CbIII;
CbIV;
CBV;
VeA;
VeAm;
VeAp;
VeAg;
VePo;
VePs;
VePsm;
VePsp;
VePsg;
VePi;
VePim;
VePip;
VePig;
VeF;
VeFm;
VeFp;
VeFg;")</f>
        <v>ACb;
CbI;
CbII;
CbIII;
CbIV;
CBV;
VeA;
VeAm;
VeAp;
VeAg;
VePo;
VePs;
VePsm;
VePsp;
VePsg;
VePi;
VePim;
VePip;
VePig;
VeF;
VeFm;
VeFp;
VeFg;</v>
      </c>
      <c r="AP3373" s="89"/>
    </row>
    <row r="3374">
      <c r="A3374" s="151" t="str">
        <f>IFERROR(__xludf.DUMMYFUNCTION("""COMPUTED_VALUE"""),"CbI")</f>
        <v>CbI</v>
      </c>
      <c r="B3374" s="42" t="str">
        <f>IFERROR(__xludf.DUMMYFUNCTION("""COMPUTED_VALUE"""),"DHBA")</f>
        <v>DHBA</v>
      </c>
      <c r="C3374" s="42" t="str">
        <f>IFERROR(__xludf.DUMMYFUNCTION("""COMPUTED_VALUE"""),"lobule I (lingula)")</f>
        <v>lobule I (lingula)</v>
      </c>
      <c r="D3374" s="42">
        <f>IFERROR(__xludf.DUMMYFUNCTION("""COMPUTED_VALUE"""),3227.0)</f>
        <v>3227</v>
      </c>
      <c r="E3374" s="39" t="str">
        <f>IFERROR(__xludf.DUMMYFUNCTION("""COMPUTED_VALUE"""),"lobule I (lingula)")</f>
        <v>lobule I (lingula)</v>
      </c>
      <c r="F3374" s="9" t="str">
        <f>IFERROR(__xludf.DUMMYFUNCTION("""COMPUTED_VALUE"""),"Br")</f>
        <v>Br</v>
      </c>
      <c r="G3374" s="9" t="str">
        <f>IFERROR(__xludf.DUMMYFUNCTION("""COMPUTED_VALUE"""),"H")</f>
        <v>H</v>
      </c>
      <c r="H3374" s="9" t="str">
        <f>IFERROR(__xludf.DUMMYFUNCTION("""COMPUTED_VALUE"""),"HSS")</f>
        <v>HSS</v>
      </c>
      <c r="I3374" s="9" t="str">
        <f>IFERROR(__xludf.DUMMYFUNCTION("""COMPUTED_VALUE"""),"CbSS")</f>
        <v>CbSS</v>
      </c>
      <c r="J3374" s="9" t="str">
        <f>IFERROR(__xludf.DUMMYFUNCTION("""COMPUTED_VALUE"""),"CBLL")</f>
        <v>CBLL</v>
      </c>
      <c r="K3374" s="9" t="str">
        <f>IFERROR(__xludf.DUMMYFUNCTION("""COMPUTED_VALUE"""),"ACb")</f>
        <v>ACb</v>
      </c>
      <c r="L3374" s="9" t="str">
        <f>IFERROR(__xludf.DUMMYFUNCTION("""COMPUTED_VALUE"""),"CbI")</f>
        <v>CbI</v>
      </c>
      <c r="M3374" s="9"/>
      <c r="N3374" s="9"/>
      <c r="O3374" s="9"/>
      <c r="P3374" s="9"/>
      <c r="Q3374" s="9"/>
      <c r="R3374" s="9"/>
      <c r="S3374" s="42"/>
      <c r="T3374" s="42" t="str">
        <f>IFERROR(__xludf.DUMMYFUNCTION("""COMPUTED_VALUE"""),"lobe")</f>
        <v>lobe</v>
      </c>
      <c r="U3374" s="42" t="b">
        <f>IFERROR(__xludf.DUMMYFUNCTION("""COMPUTED_VALUE"""),FALSE)</f>
        <v>0</v>
      </c>
      <c r="V3374" s="42"/>
      <c r="W3374" s="42"/>
      <c r="X3374" s="42"/>
      <c r="Y3374" s="42"/>
      <c r="Z3374" s="42"/>
      <c r="AA3374" s="42"/>
      <c r="AB3374" s="42" t="str">
        <f>IFERROR(__xludf.DUMMYFUNCTION("""COMPUTED_VALUE"""),"allen institute")</f>
        <v>allen institute</v>
      </c>
      <c r="AC3374" s="42" t="str">
        <f>IFERROR(__xludf.DUMMYFUNCTION("""COMPUTED_VALUE"""),"DHBA")</f>
        <v>DHBA</v>
      </c>
      <c r="AD3374" s="42"/>
      <c r="AE3374" s="42"/>
      <c r="AF3374" s="9"/>
      <c r="AG3374" s="9"/>
      <c r="AH3374" s="42"/>
      <c r="AI3374" s="42"/>
      <c r="AJ3374" s="42"/>
      <c r="AK3374" s="42"/>
      <c r="AL3374" s="42"/>
      <c r="AM3374" s="42"/>
      <c r="AN3374" s="42"/>
      <c r="AO3374" s="63" t="str">
        <f>IFERROR(__xludf.DUMMYFUNCTION("IF(ISBLANK(A3374),,IF(ISBLANK(S3374), A3374&amp;"";"", TEXTJOIN(CHAR(10), TRUE, A3374&amp;"";"", ARRAYFORMULA(VLOOKUP(SPLIT(S3374, "";"" &amp; CHAR(10)), $A:$AO, 41, FALSE)))))"),"CbI;")</f>
        <v>CbI;</v>
      </c>
      <c r="AP3374" s="89"/>
    </row>
    <row r="3375">
      <c r="A3375" s="151" t="str">
        <f>IFERROR(__xludf.DUMMYFUNCTION("""COMPUTED_VALUE"""),"CbII")</f>
        <v>CbII</v>
      </c>
      <c r="B3375" s="42" t="str">
        <f>IFERROR(__xludf.DUMMYFUNCTION("""COMPUTED_VALUE"""),"DHBA")</f>
        <v>DHBA</v>
      </c>
      <c r="C3375" s="42" t="str">
        <f>IFERROR(__xludf.DUMMYFUNCTION("""COMPUTED_VALUE"""),"lobule II (central lobule and wing, anterior part)")</f>
        <v>lobule II (central lobule and wing, anterior part)</v>
      </c>
      <c r="D3375" s="42">
        <f>IFERROR(__xludf.DUMMYFUNCTION("""COMPUTED_VALUE"""),3228.0)</f>
        <v>3228</v>
      </c>
      <c r="E3375" s="39" t="str">
        <f>IFERROR(__xludf.DUMMYFUNCTION("""COMPUTED_VALUE"""),"lobule II (central lobule and wing, anterior part)")</f>
        <v>lobule II (central lobule and wing, anterior part)</v>
      </c>
      <c r="F3375" s="9" t="str">
        <f>IFERROR(__xludf.DUMMYFUNCTION("""COMPUTED_VALUE"""),"Br")</f>
        <v>Br</v>
      </c>
      <c r="G3375" s="9" t="str">
        <f>IFERROR(__xludf.DUMMYFUNCTION("""COMPUTED_VALUE"""),"H")</f>
        <v>H</v>
      </c>
      <c r="H3375" s="9" t="str">
        <f>IFERROR(__xludf.DUMMYFUNCTION("""COMPUTED_VALUE"""),"HSS")</f>
        <v>HSS</v>
      </c>
      <c r="I3375" s="9" t="str">
        <f>IFERROR(__xludf.DUMMYFUNCTION("""COMPUTED_VALUE"""),"CbSS")</f>
        <v>CbSS</v>
      </c>
      <c r="J3375" s="9" t="str">
        <f>IFERROR(__xludf.DUMMYFUNCTION("""COMPUTED_VALUE"""),"CBLL")</f>
        <v>CBLL</v>
      </c>
      <c r="K3375" s="9" t="str">
        <f>IFERROR(__xludf.DUMMYFUNCTION("""COMPUTED_VALUE"""),"ACb")</f>
        <v>ACb</v>
      </c>
      <c r="L3375" s="9" t="str">
        <f>IFERROR(__xludf.DUMMYFUNCTION("""COMPUTED_VALUE"""),"CbII")</f>
        <v>CbII</v>
      </c>
      <c r="M3375" s="9"/>
      <c r="N3375" s="9"/>
      <c r="O3375" s="9"/>
      <c r="P3375" s="9"/>
      <c r="Q3375" s="9"/>
      <c r="R3375" s="9"/>
      <c r="S3375" s="42"/>
      <c r="T3375" s="42" t="str">
        <f>IFERROR(__xludf.DUMMYFUNCTION("""COMPUTED_VALUE"""),"lobe")</f>
        <v>lobe</v>
      </c>
      <c r="U3375" s="42" t="b">
        <f>IFERROR(__xludf.DUMMYFUNCTION("""COMPUTED_VALUE"""),FALSE)</f>
        <v>0</v>
      </c>
      <c r="V3375" s="42"/>
      <c r="W3375" s="42"/>
      <c r="X3375" s="42"/>
      <c r="Y3375" s="42"/>
      <c r="Z3375" s="42"/>
      <c r="AA3375" s="42"/>
      <c r="AB3375" s="42" t="str">
        <f>IFERROR(__xludf.DUMMYFUNCTION("""COMPUTED_VALUE"""),"allen institute")</f>
        <v>allen institute</v>
      </c>
      <c r="AC3375" s="42" t="str">
        <f>IFERROR(__xludf.DUMMYFUNCTION("""COMPUTED_VALUE"""),"DHBA")</f>
        <v>DHBA</v>
      </c>
      <c r="AD3375" s="42"/>
      <c r="AE3375" s="42"/>
      <c r="AF3375" s="9"/>
      <c r="AG3375" s="9"/>
      <c r="AH3375" s="42"/>
      <c r="AI3375" s="42"/>
      <c r="AJ3375" s="42"/>
      <c r="AK3375" s="42"/>
      <c r="AL3375" s="42"/>
      <c r="AM3375" s="42"/>
      <c r="AN3375" s="42"/>
      <c r="AO3375" s="63" t="str">
        <f>IFERROR(__xludf.DUMMYFUNCTION("IF(ISBLANK(A3375),,IF(ISBLANK(S3375), A3375&amp;"";"", TEXTJOIN(CHAR(10), TRUE, A3375&amp;"";"", ARRAYFORMULA(VLOOKUP(SPLIT(S3375, "";"" &amp; CHAR(10)), $A:$AO, 41, FALSE)))))"),"CbII;")</f>
        <v>CbII;</v>
      </c>
      <c r="AP3375" s="89"/>
    </row>
    <row r="3376">
      <c r="A3376" s="151" t="str">
        <f>IFERROR(__xludf.DUMMYFUNCTION("""COMPUTED_VALUE"""),"CbIII")</f>
        <v>CbIII</v>
      </c>
      <c r="B3376" s="42" t="str">
        <f>IFERROR(__xludf.DUMMYFUNCTION("""COMPUTED_VALUE"""),"DHBA")</f>
        <v>DHBA</v>
      </c>
      <c r="C3376" s="42" t="str">
        <f>IFERROR(__xludf.DUMMYFUNCTION("""COMPUTED_VALUE"""),"lobule III (central lobule and wing, posterior part)")</f>
        <v>lobule III (central lobule and wing, posterior part)</v>
      </c>
      <c r="D3376" s="42">
        <f>IFERROR(__xludf.DUMMYFUNCTION("""COMPUTED_VALUE"""),3229.0)</f>
        <v>3229</v>
      </c>
      <c r="E3376" s="39" t="str">
        <f>IFERROR(__xludf.DUMMYFUNCTION("""COMPUTED_VALUE"""),"lobule III (central lobule and wing, posterior part)")</f>
        <v>lobule III (central lobule and wing, posterior part)</v>
      </c>
      <c r="F3376" s="9" t="str">
        <f>IFERROR(__xludf.DUMMYFUNCTION("""COMPUTED_VALUE"""),"Br")</f>
        <v>Br</v>
      </c>
      <c r="G3376" s="9" t="str">
        <f>IFERROR(__xludf.DUMMYFUNCTION("""COMPUTED_VALUE"""),"H")</f>
        <v>H</v>
      </c>
      <c r="H3376" s="9" t="str">
        <f>IFERROR(__xludf.DUMMYFUNCTION("""COMPUTED_VALUE"""),"HSS")</f>
        <v>HSS</v>
      </c>
      <c r="I3376" s="9" t="str">
        <f>IFERROR(__xludf.DUMMYFUNCTION("""COMPUTED_VALUE"""),"CbSS")</f>
        <v>CbSS</v>
      </c>
      <c r="J3376" s="9" t="str">
        <f>IFERROR(__xludf.DUMMYFUNCTION("""COMPUTED_VALUE"""),"CBLL")</f>
        <v>CBLL</v>
      </c>
      <c r="K3376" s="9" t="str">
        <f>IFERROR(__xludf.DUMMYFUNCTION("""COMPUTED_VALUE"""),"ACb")</f>
        <v>ACb</v>
      </c>
      <c r="L3376" s="9" t="str">
        <f>IFERROR(__xludf.DUMMYFUNCTION("""COMPUTED_VALUE"""),"CbIII")</f>
        <v>CbIII</v>
      </c>
      <c r="M3376" s="9"/>
      <c r="N3376" s="9"/>
      <c r="O3376" s="9"/>
      <c r="P3376" s="9"/>
      <c r="Q3376" s="9"/>
      <c r="R3376" s="9"/>
      <c r="S3376" s="42"/>
      <c r="T3376" s="42" t="str">
        <f>IFERROR(__xludf.DUMMYFUNCTION("""COMPUTED_VALUE"""),"lobe")</f>
        <v>lobe</v>
      </c>
      <c r="U3376" s="42" t="b">
        <f>IFERROR(__xludf.DUMMYFUNCTION("""COMPUTED_VALUE"""),FALSE)</f>
        <v>0</v>
      </c>
      <c r="V3376" s="42"/>
      <c r="W3376" s="42"/>
      <c r="X3376" s="42"/>
      <c r="Y3376" s="42"/>
      <c r="Z3376" s="42"/>
      <c r="AA3376" s="42"/>
      <c r="AB3376" s="42" t="str">
        <f>IFERROR(__xludf.DUMMYFUNCTION("""COMPUTED_VALUE"""),"allen institute")</f>
        <v>allen institute</v>
      </c>
      <c r="AC3376" s="42" t="str">
        <f>IFERROR(__xludf.DUMMYFUNCTION("""COMPUTED_VALUE"""),"DHBA")</f>
        <v>DHBA</v>
      </c>
      <c r="AD3376" s="42"/>
      <c r="AE3376" s="42"/>
      <c r="AF3376" s="9"/>
      <c r="AG3376" s="9"/>
      <c r="AH3376" s="42"/>
      <c r="AI3376" s="42"/>
      <c r="AJ3376" s="42"/>
      <c r="AK3376" s="42"/>
      <c r="AL3376" s="42"/>
      <c r="AM3376" s="42"/>
      <c r="AN3376" s="42"/>
      <c r="AO3376" s="63" t="str">
        <f>IFERROR(__xludf.DUMMYFUNCTION("IF(ISBLANK(A3376),,IF(ISBLANK(S3376), A3376&amp;"";"", TEXTJOIN(CHAR(10), TRUE, A3376&amp;"";"", ARRAYFORMULA(VLOOKUP(SPLIT(S3376, "";"" &amp; CHAR(10)), $A:$AO, 41, FALSE)))))"),"CbIII;")</f>
        <v>CbIII;</v>
      </c>
      <c r="AP3376" s="89"/>
    </row>
    <row r="3377">
      <c r="A3377" s="151" t="str">
        <f>IFERROR(__xludf.DUMMYFUNCTION("""COMPUTED_VALUE"""),"CbIV")</f>
        <v>CbIV</v>
      </c>
      <c r="B3377" s="42" t="str">
        <f>IFERROR(__xludf.DUMMYFUNCTION("""COMPUTED_VALUE"""),"DHBA")</f>
        <v>DHBA</v>
      </c>
      <c r="C3377" s="42" t="str">
        <f>IFERROR(__xludf.DUMMYFUNCTION("""COMPUTED_VALUE"""),"lobule IV (culmen and quadrangular lobule, anterior part)")</f>
        <v>lobule IV (culmen and quadrangular lobule, anterior part)</v>
      </c>
      <c r="D3377" s="42">
        <f>IFERROR(__xludf.DUMMYFUNCTION("""COMPUTED_VALUE"""),3230.0)</f>
        <v>3230</v>
      </c>
      <c r="E3377" s="39" t="str">
        <f>IFERROR(__xludf.DUMMYFUNCTION("""COMPUTED_VALUE"""),"lobule IV (culmen and quadrangular lobule, anterior part)")</f>
        <v>lobule IV (culmen and quadrangular lobule, anterior part)</v>
      </c>
      <c r="F3377" s="9" t="str">
        <f>IFERROR(__xludf.DUMMYFUNCTION("""COMPUTED_VALUE"""),"Br")</f>
        <v>Br</v>
      </c>
      <c r="G3377" s="9" t="str">
        <f>IFERROR(__xludf.DUMMYFUNCTION("""COMPUTED_VALUE"""),"H")</f>
        <v>H</v>
      </c>
      <c r="H3377" s="9" t="str">
        <f>IFERROR(__xludf.DUMMYFUNCTION("""COMPUTED_VALUE"""),"HSS")</f>
        <v>HSS</v>
      </c>
      <c r="I3377" s="9" t="str">
        <f>IFERROR(__xludf.DUMMYFUNCTION("""COMPUTED_VALUE"""),"CbSS")</f>
        <v>CbSS</v>
      </c>
      <c r="J3377" s="9" t="str">
        <f>IFERROR(__xludf.DUMMYFUNCTION("""COMPUTED_VALUE"""),"CBLL")</f>
        <v>CBLL</v>
      </c>
      <c r="K3377" s="9" t="str">
        <f>IFERROR(__xludf.DUMMYFUNCTION("""COMPUTED_VALUE"""),"ACb")</f>
        <v>ACb</v>
      </c>
      <c r="L3377" s="9" t="str">
        <f>IFERROR(__xludf.DUMMYFUNCTION("""COMPUTED_VALUE"""),"CbIV")</f>
        <v>CbIV</v>
      </c>
      <c r="M3377" s="9"/>
      <c r="N3377" s="9"/>
      <c r="O3377" s="9"/>
      <c r="P3377" s="9"/>
      <c r="Q3377" s="9"/>
      <c r="R3377" s="9"/>
      <c r="S3377" s="42"/>
      <c r="T3377" s="42" t="str">
        <f>IFERROR(__xludf.DUMMYFUNCTION("""COMPUTED_VALUE"""),"lobe")</f>
        <v>lobe</v>
      </c>
      <c r="U3377" s="42" t="b">
        <f>IFERROR(__xludf.DUMMYFUNCTION("""COMPUTED_VALUE"""),FALSE)</f>
        <v>0</v>
      </c>
      <c r="V3377" s="42"/>
      <c r="W3377" s="42"/>
      <c r="X3377" s="42"/>
      <c r="Y3377" s="42"/>
      <c r="Z3377" s="42"/>
      <c r="AA3377" s="42"/>
      <c r="AB3377" s="42" t="str">
        <f>IFERROR(__xludf.DUMMYFUNCTION("""COMPUTED_VALUE"""),"allen institute")</f>
        <v>allen institute</v>
      </c>
      <c r="AC3377" s="42" t="str">
        <f>IFERROR(__xludf.DUMMYFUNCTION("""COMPUTED_VALUE"""),"DHBA")</f>
        <v>DHBA</v>
      </c>
      <c r="AD3377" s="42"/>
      <c r="AE3377" s="42"/>
      <c r="AF3377" s="9"/>
      <c r="AG3377" s="9"/>
      <c r="AH3377" s="42"/>
      <c r="AI3377" s="42"/>
      <c r="AJ3377" s="42"/>
      <c r="AK3377" s="42"/>
      <c r="AL3377" s="42"/>
      <c r="AM3377" s="42"/>
      <c r="AN3377" s="42"/>
      <c r="AO3377" s="63" t="str">
        <f>IFERROR(__xludf.DUMMYFUNCTION("IF(ISBLANK(A3377),,IF(ISBLANK(S3377), A3377&amp;"";"", TEXTJOIN(CHAR(10), TRUE, A3377&amp;"";"", ARRAYFORMULA(VLOOKUP(SPLIT(S3377, "";"" &amp; CHAR(10)), $A:$AO, 41, FALSE)))))"),"CbIV;")</f>
        <v>CbIV;</v>
      </c>
      <c r="AP3377" s="89"/>
    </row>
    <row r="3378">
      <c r="A3378" s="151" t="str">
        <f>IFERROR(__xludf.DUMMYFUNCTION("""COMPUTED_VALUE"""),"CbV")</f>
        <v>CbV</v>
      </c>
      <c r="B3378" s="42" t="str">
        <f>IFERROR(__xludf.DUMMYFUNCTION("""COMPUTED_VALUE"""),"DHBA")</f>
        <v>DHBA</v>
      </c>
      <c r="C3378" s="42" t="str">
        <f>IFERROR(__xludf.DUMMYFUNCTION("""COMPUTED_VALUE"""),"lobule V (culmen and quadrangular lobule, posterior part)")</f>
        <v>lobule V (culmen and quadrangular lobule, posterior part)</v>
      </c>
      <c r="D3378" s="42">
        <f>IFERROR(__xludf.DUMMYFUNCTION("""COMPUTED_VALUE"""),3231.0)</f>
        <v>3231</v>
      </c>
      <c r="E3378" s="39" t="str">
        <f>IFERROR(__xludf.DUMMYFUNCTION("""COMPUTED_VALUE"""),"lobule V (culmen and quadrangular lobule, posterior part)")</f>
        <v>lobule V (culmen and quadrangular lobule, posterior part)</v>
      </c>
      <c r="F3378" s="9" t="str">
        <f>IFERROR(__xludf.DUMMYFUNCTION("""COMPUTED_VALUE"""),"Br")</f>
        <v>Br</v>
      </c>
      <c r="G3378" s="9" t="str">
        <f>IFERROR(__xludf.DUMMYFUNCTION("""COMPUTED_VALUE"""),"H")</f>
        <v>H</v>
      </c>
      <c r="H3378" s="9" t="str">
        <f>IFERROR(__xludf.DUMMYFUNCTION("""COMPUTED_VALUE"""),"HSS")</f>
        <v>HSS</v>
      </c>
      <c r="I3378" s="9" t="str">
        <f>IFERROR(__xludf.DUMMYFUNCTION("""COMPUTED_VALUE"""),"CbSS")</f>
        <v>CbSS</v>
      </c>
      <c r="J3378" s="9" t="str">
        <f>IFERROR(__xludf.DUMMYFUNCTION("""COMPUTED_VALUE"""),"CBLL")</f>
        <v>CBLL</v>
      </c>
      <c r="K3378" s="9" t="str">
        <f>IFERROR(__xludf.DUMMYFUNCTION("""COMPUTED_VALUE"""),"ACb")</f>
        <v>ACb</v>
      </c>
      <c r="L3378" s="9" t="str">
        <f>IFERROR(__xludf.DUMMYFUNCTION("""COMPUTED_VALUE"""),"CbV")</f>
        <v>CbV</v>
      </c>
      <c r="M3378" s="9"/>
      <c r="N3378" s="9"/>
      <c r="O3378" s="9"/>
      <c r="P3378" s="9"/>
      <c r="Q3378" s="9"/>
      <c r="R3378" s="9"/>
      <c r="S3378" s="42"/>
      <c r="T3378" s="42" t="str">
        <f>IFERROR(__xludf.DUMMYFUNCTION("""COMPUTED_VALUE"""),"lobe")</f>
        <v>lobe</v>
      </c>
      <c r="U3378" s="42" t="b">
        <f>IFERROR(__xludf.DUMMYFUNCTION("""COMPUTED_VALUE"""),FALSE)</f>
        <v>0</v>
      </c>
      <c r="V3378" s="42"/>
      <c r="W3378" s="42"/>
      <c r="X3378" s="42"/>
      <c r="Y3378" s="42"/>
      <c r="Z3378" s="42"/>
      <c r="AA3378" s="42"/>
      <c r="AB3378" s="42" t="str">
        <f>IFERROR(__xludf.DUMMYFUNCTION("""COMPUTED_VALUE"""),"allen institute")</f>
        <v>allen institute</v>
      </c>
      <c r="AC3378" s="42" t="str">
        <f>IFERROR(__xludf.DUMMYFUNCTION("""COMPUTED_VALUE"""),"DHBA")</f>
        <v>DHBA</v>
      </c>
      <c r="AD3378" s="42"/>
      <c r="AE3378" s="42"/>
      <c r="AF3378" s="9"/>
      <c r="AG3378" s="9"/>
      <c r="AH3378" s="42"/>
      <c r="AI3378" s="42"/>
      <c r="AJ3378" s="42"/>
      <c r="AK3378" s="42"/>
      <c r="AL3378" s="42"/>
      <c r="AM3378" s="42"/>
      <c r="AN3378" s="42"/>
      <c r="AO3378" s="63" t="str">
        <f>IFERROR(__xludf.DUMMYFUNCTION("IF(ISBLANK(A3378),,IF(ISBLANK(S3378), A3378&amp;"";"", TEXTJOIN(CHAR(10), TRUE, A3378&amp;"";"", ARRAYFORMULA(VLOOKUP(SPLIT(S3378, "";"" &amp; CHAR(10)), $A:$AO, 41, FALSE)))))"),"CbV;")</f>
        <v>CbV;</v>
      </c>
      <c r="AP3378" s="89"/>
    </row>
    <row r="3379">
      <c r="A3379" s="151" t="str">
        <f>IFERROR(__xludf.DUMMYFUNCTION("""COMPUTED_VALUE"""),"PCb")</f>
        <v>PCb</v>
      </c>
      <c r="B3379" s="42" t="str">
        <f>IFERROR(__xludf.DUMMYFUNCTION("""COMPUTED_VALUE"""),"DHBA")</f>
        <v>DHBA</v>
      </c>
      <c r="C3379" s="42" t="str">
        <f>IFERROR(__xludf.DUMMYFUNCTION("""COMPUTED_VALUE"""),"posterior lobe")</f>
        <v>posterior lobe</v>
      </c>
      <c r="D3379" s="42">
        <f>IFERROR(__xludf.DUMMYFUNCTION("""COMPUTED_VALUE"""),3232.0)</f>
        <v>3232</v>
      </c>
      <c r="E3379" s="39" t="str">
        <f>IFERROR(__xludf.DUMMYFUNCTION("""COMPUTED_VALUE"""),"posterior lobe")</f>
        <v>posterior lobe</v>
      </c>
      <c r="F3379" s="9" t="str">
        <f>IFERROR(__xludf.DUMMYFUNCTION("""COMPUTED_VALUE"""),"Br")</f>
        <v>Br</v>
      </c>
      <c r="G3379" s="9" t="str">
        <f>IFERROR(__xludf.DUMMYFUNCTION("""COMPUTED_VALUE"""),"H")</f>
        <v>H</v>
      </c>
      <c r="H3379" s="9" t="str">
        <f>IFERROR(__xludf.DUMMYFUNCTION("""COMPUTED_VALUE"""),"HSS")</f>
        <v>HSS</v>
      </c>
      <c r="I3379" s="9" t="str">
        <f>IFERROR(__xludf.DUMMYFUNCTION("""COMPUTED_VALUE"""),"CbSS")</f>
        <v>CbSS</v>
      </c>
      <c r="J3379" s="9" t="str">
        <f>IFERROR(__xludf.DUMMYFUNCTION("""COMPUTED_VALUE"""),"CBLL")</f>
        <v>CBLL</v>
      </c>
      <c r="K3379" s="9" t="str">
        <f>IFERROR(__xludf.DUMMYFUNCTION("""COMPUTED_VALUE"""),"PCb")</f>
        <v>PCb</v>
      </c>
      <c r="L3379" s="9"/>
      <c r="M3379" s="9"/>
      <c r="N3379" s="9"/>
      <c r="O3379" s="9"/>
      <c r="P3379" s="9"/>
      <c r="Q3379" s="9"/>
      <c r="R3379" s="9"/>
      <c r="S3379" s="42" t="str">
        <f>IFERROR(__xludf.DUMMYFUNCTION("""COMPUTED_VALUE"""),"CbVI;
CbVIIa1;
CbVIIa2;
CbVIIb;
CbVIIIa;
CbVIIIb;
CbIX")</f>
        <v>CbVI;
CbVIIa1;
CbVIIa2;
CbVIIb;
CbVIIIa;
CbVIIIb;
CbIX</v>
      </c>
      <c r="T3379" s="42" t="str">
        <f>IFERROR(__xludf.DUMMYFUNCTION("""COMPUTED_VALUE"""),"lobe")</f>
        <v>lobe</v>
      </c>
      <c r="U3379" s="159" t="b">
        <f>IFERROR(__xludf.DUMMYFUNCTION("""COMPUTED_VALUE"""),FALSE)</f>
        <v>0</v>
      </c>
      <c r="V3379" s="42"/>
      <c r="W3379" s="42"/>
      <c r="X3379" s="42"/>
      <c r="Y3379" s="42"/>
      <c r="Z3379" s="42"/>
      <c r="AA3379" s="42"/>
      <c r="AB3379" s="42" t="str">
        <f>IFERROR(__xludf.DUMMYFUNCTION("""COMPUTED_VALUE"""),"allen institute")</f>
        <v>allen institute</v>
      </c>
      <c r="AC3379" s="42" t="str">
        <f>IFERROR(__xludf.DUMMYFUNCTION("""COMPUTED_VALUE"""),"DHBA")</f>
        <v>DHBA</v>
      </c>
      <c r="AD3379" s="42"/>
      <c r="AE3379" s="42"/>
      <c r="AF3379" s="9"/>
      <c r="AG3379" s="9"/>
      <c r="AH3379" s="42"/>
      <c r="AI3379" s="42"/>
      <c r="AJ3379" s="42"/>
      <c r="AK3379" s="42"/>
      <c r="AL3379" s="42"/>
      <c r="AM3379" s="42"/>
      <c r="AN3379" s="42"/>
      <c r="AO3379" s="63" t="str">
        <f>IFERROR(__xludf.DUMMYFUNCTION("IF(ISBLANK(A3379),,IF(ISBLANK(S3379), A3379&amp;"";"", TEXTJOIN(CHAR(10), TRUE, A3379&amp;"";"", ARRAYFORMULA(VLOOKUP(SPLIT(S3379, "";"" &amp; CHAR(10)), $A:$AO, 41, FALSE)))))"),"PCb;
CbVI;
CbVIIa1;
CbVIIa2;
CbVIIb;
CbVIIIa;
CbVIIIb;
CbIX;")</f>
        <v>PCb;
CbVI;
CbVIIa1;
CbVIIa2;
CbVIIb;
CbVIIIa;
CbVIIIb;
CbIX;</v>
      </c>
      <c r="AP3379" s="89"/>
    </row>
    <row r="3380">
      <c r="A3380" s="151" t="str">
        <f>IFERROR(__xludf.DUMMYFUNCTION("""COMPUTED_VALUE"""),"CbVI")</f>
        <v>CbVI</v>
      </c>
      <c r="B3380" s="42" t="str">
        <f>IFERROR(__xludf.DUMMYFUNCTION("""COMPUTED_VALUE"""),"DHBA")</f>
        <v>DHBA</v>
      </c>
      <c r="C3380" s="42" t="str">
        <f>IFERROR(__xludf.DUMMYFUNCTION("""COMPUTED_VALUE"""),"lobule VI (declive and simplex lobule)")</f>
        <v>lobule VI (declive and simplex lobule)</v>
      </c>
      <c r="D3380" s="42">
        <f>IFERROR(__xludf.DUMMYFUNCTION("""COMPUTED_VALUE"""),3233.0)</f>
        <v>3233</v>
      </c>
      <c r="E3380" s="39" t="str">
        <f>IFERROR(__xludf.DUMMYFUNCTION("""COMPUTED_VALUE"""),"lobule VI (declive and simplex lobule)")</f>
        <v>lobule VI (declive and simplex lobule)</v>
      </c>
      <c r="F3380" s="9" t="str">
        <f>IFERROR(__xludf.DUMMYFUNCTION("""COMPUTED_VALUE"""),"Br")</f>
        <v>Br</v>
      </c>
      <c r="G3380" s="9" t="str">
        <f>IFERROR(__xludf.DUMMYFUNCTION("""COMPUTED_VALUE"""),"H")</f>
        <v>H</v>
      </c>
      <c r="H3380" s="9" t="str">
        <f>IFERROR(__xludf.DUMMYFUNCTION("""COMPUTED_VALUE"""),"HSS")</f>
        <v>HSS</v>
      </c>
      <c r="I3380" s="9" t="str">
        <f>IFERROR(__xludf.DUMMYFUNCTION("""COMPUTED_VALUE"""),"CbSS")</f>
        <v>CbSS</v>
      </c>
      <c r="J3380" s="9" t="str">
        <f>IFERROR(__xludf.DUMMYFUNCTION("""COMPUTED_VALUE"""),"CBLL")</f>
        <v>CBLL</v>
      </c>
      <c r="K3380" s="9" t="str">
        <f>IFERROR(__xludf.DUMMYFUNCTION("""COMPUTED_VALUE"""),"PCb")</f>
        <v>PCb</v>
      </c>
      <c r="L3380" s="9" t="str">
        <f>IFERROR(__xludf.DUMMYFUNCTION("""COMPUTED_VALUE"""),"CbVI")</f>
        <v>CbVI</v>
      </c>
      <c r="M3380" s="9"/>
      <c r="N3380" s="9"/>
      <c r="O3380" s="9"/>
      <c r="P3380" s="9"/>
      <c r="Q3380" s="9"/>
      <c r="R3380" s="9"/>
      <c r="S3380" s="42"/>
      <c r="T3380" s="42" t="str">
        <f>IFERROR(__xludf.DUMMYFUNCTION("""COMPUTED_VALUE"""),"lobe")</f>
        <v>lobe</v>
      </c>
      <c r="U3380" s="42" t="b">
        <f>IFERROR(__xludf.DUMMYFUNCTION("""COMPUTED_VALUE"""),FALSE)</f>
        <v>0</v>
      </c>
      <c r="V3380" s="42"/>
      <c r="W3380" s="42"/>
      <c r="X3380" s="42"/>
      <c r="Y3380" s="42"/>
      <c r="Z3380" s="42"/>
      <c r="AA3380" s="42"/>
      <c r="AB3380" s="42" t="str">
        <f>IFERROR(__xludf.DUMMYFUNCTION("""COMPUTED_VALUE"""),"allen institute")</f>
        <v>allen institute</v>
      </c>
      <c r="AC3380" s="42" t="str">
        <f>IFERROR(__xludf.DUMMYFUNCTION("""COMPUTED_VALUE"""),"DHBA")</f>
        <v>DHBA</v>
      </c>
      <c r="AD3380" s="42"/>
      <c r="AE3380" s="42"/>
      <c r="AF3380" s="9"/>
      <c r="AG3380" s="9"/>
      <c r="AH3380" s="42"/>
      <c r="AI3380" s="42"/>
      <c r="AJ3380" s="42"/>
      <c r="AK3380" s="42"/>
      <c r="AL3380" s="42"/>
      <c r="AM3380" s="42"/>
      <c r="AN3380" s="42"/>
      <c r="AO3380" s="63" t="str">
        <f>IFERROR(__xludf.DUMMYFUNCTION("IF(ISBLANK(A3380),,IF(ISBLANK(S3380), A3380&amp;"";"", TEXTJOIN(CHAR(10), TRUE, A3380&amp;"";"", ARRAYFORMULA(VLOOKUP(SPLIT(S3380, "";"" &amp; CHAR(10)), $A:$AO, 41, FALSE)))))"),"CbVI;")</f>
        <v>CbVI;</v>
      </c>
      <c r="AP3380" s="89"/>
    </row>
    <row r="3381">
      <c r="A3381" s="151" t="str">
        <f>IFERROR(__xludf.DUMMYFUNCTION("""COMPUTED_VALUE"""),"CbVIIa1")</f>
        <v>CbVIIa1</v>
      </c>
      <c r="B3381" s="42" t="str">
        <f>IFERROR(__xludf.DUMMYFUNCTION("""COMPUTED_VALUE"""),"DHBA")</f>
        <v>DHBA</v>
      </c>
      <c r="C3381" s="42" t="str">
        <f>IFERROR(__xludf.DUMMYFUNCTION("""COMPUTED_VALUE"""),"lobule VIIAf/crus I (folium and superior semilunar lobule)")</f>
        <v>lobule VIIAf/crus I (folium and superior semilunar lobule)</v>
      </c>
      <c r="D3381" s="42">
        <f>IFERROR(__xludf.DUMMYFUNCTION("""COMPUTED_VALUE"""),3234.0)</f>
        <v>3234</v>
      </c>
      <c r="E3381" s="39" t="str">
        <f>IFERROR(__xludf.DUMMYFUNCTION("""COMPUTED_VALUE"""),"lobule VIIAf/crus I (folium and superior semilunar lobule)")</f>
        <v>lobule VIIAf/crus I (folium and superior semilunar lobule)</v>
      </c>
      <c r="F3381" s="9" t="str">
        <f>IFERROR(__xludf.DUMMYFUNCTION("""COMPUTED_VALUE"""),"Br")</f>
        <v>Br</v>
      </c>
      <c r="G3381" s="9" t="str">
        <f>IFERROR(__xludf.DUMMYFUNCTION("""COMPUTED_VALUE"""),"H")</f>
        <v>H</v>
      </c>
      <c r="H3381" s="9" t="str">
        <f>IFERROR(__xludf.DUMMYFUNCTION("""COMPUTED_VALUE"""),"HSS")</f>
        <v>HSS</v>
      </c>
      <c r="I3381" s="9" t="str">
        <f>IFERROR(__xludf.DUMMYFUNCTION("""COMPUTED_VALUE"""),"CbSS")</f>
        <v>CbSS</v>
      </c>
      <c r="J3381" s="9" t="str">
        <f>IFERROR(__xludf.DUMMYFUNCTION("""COMPUTED_VALUE"""),"CBLL")</f>
        <v>CBLL</v>
      </c>
      <c r="K3381" s="9" t="str">
        <f>IFERROR(__xludf.DUMMYFUNCTION("""COMPUTED_VALUE"""),"PCb")</f>
        <v>PCb</v>
      </c>
      <c r="L3381" s="9" t="str">
        <f>IFERROR(__xludf.DUMMYFUNCTION("""COMPUTED_VALUE"""),"CbVIIa1")</f>
        <v>CbVIIa1</v>
      </c>
      <c r="M3381" s="9"/>
      <c r="N3381" s="9"/>
      <c r="O3381" s="9"/>
      <c r="P3381" s="9"/>
      <c r="Q3381" s="9"/>
      <c r="R3381" s="9"/>
      <c r="S3381" s="42"/>
      <c r="T3381" s="42" t="str">
        <f>IFERROR(__xludf.DUMMYFUNCTION("""COMPUTED_VALUE"""),"lobe")</f>
        <v>lobe</v>
      </c>
      <c r="U3381" s="42" t="b">
        <f>IFERROR(__xludf.DUMMYFUNCTION("""COMPUTED_VALUE"""),FALSE)</f>
        <v>0</v>
      </c>
      <c r="V3381" s="42"/>
      <c r="W3381" s="42"/>
      <c r="X3381" s="42"/>
      <c r="Y3381" s="42"/>
      <c r="Z3381" s="42"/>
      <c r="AA3381" s="42"/>
      <c r="AB3381" s="42" t="str">
        <f>IFERROR(__xludf.DUMMYFUNCTION("""COMPUTED_VALUE"""),"allen institute")</f>
        <v>allen institute</v>
      </c>
      <c r="AC3381" s="42" t="str">
        <f>IFERROR(__xludf.DUMMYFUNCTION("""COMPUTED_VALUE"""),"DHBA")</f>
        <v>DHBA</v>
      </c>
      <c r="AD3381" s="42"/>
      <c r="AE3381" s="42"/>
      <c r="AF3381" s="9"/>
      <c r="AG3381" s="9"/>
      <c r="AH3381" s="42"/>
      <c r="AI3381" s="42"/>
      <c r="AJ3381" s="42"/>
      <c r="AK3381" s="42"/>
      <c r="AL3381" s="42"/>
      <c r="AM3381" s="42"/>
      <c r="AN3381" s="42"/>
      <c r="AO3381" s="63" t="str">
        <f>IFERROR(__xludf.DUMMYFUNCTION("IF(ISBLANK(A3381),,IF(ISBLANK(S3381), A3381&amp;"";"", TEXTJOIN(CHAR(10), TRUE, A3381&amp;"";"", ARRAYFORMULA(VLOOKUP(SPLIT(S3381, "";"" &amp; CHAR(10)), $A:$AO, 41, FALSE)))))"),"CbVIIa1;")</f>
        <v>CbVIIa1;</v>
      </c>
      <c r="AP3381" s="89"/>
    </row>
    <row r="3382">
      <c r="A3382" s="151" t="str">
        <f>IFERROR(__xludf.DUMMYFUNCTION("""COMPUTED_VALUE"""),"CbVIIa2")</f>
        <v>CbVIIa2</v>
      </c>
      <c r="B3382" s="42" t="str">
        <f>IFERROR(__xludf.DUMMYFUNCTION("""COMPUTED_VALUE"""),"DHBA")</f>
        <v>DHBA</v>
      </c>
      <c r="C3382" s="42" t="str">
        <f>IFERROR(__xludf.DUMMYFUNCTION("""COMPUTED_VALUE"""),"lobule VIIAt/crus II (tuber and inferior semilunar lobule)")</f>
        <v>lobule VIIAt/crus II (tuber and inferior semilunar lobule)</v>
      </c>
      <c r="D3382" s="42">
        <f>IFERROR(__xludf.DUMMYFUNCTION("""COMPUTED_VALUE"""),3235.0)</f>
        <v>3235</v>
      </c>
      <c r="E3382" s="39" t="str">
        <f>IFERROR(__xludf.DUMMYFUNCTION("""COMPUTED_VALUE"""),"lobule VIIAt/crus II (tuber and inferior semilunar lobule)")</f>
        <v>lobule VIIAt/crus II (tuber and inferior semilunar lobule)</v>
      </c>
      <c r="F3382" s="9" t="str">
        <f>IFERROR(__xludf.DUMMYFUNCTION("""COMPUTED_VALUE"""),"Br")</f>
        <v>Br</v>
      </c>
      <c r="G3382" s="9" t="str">
        <f>IFERROR(__xludf.DUMMYFUNCTION("""COMPUTED_VALUE"""),"H")</f>
        <v>H</v>
      </c>
      <c r="H3382" s="9" t="str">
        <f>IFERROR(__xludf.DUMMYFUNCTION("""COMPUTED_VALUE"""),"HSS")</f>
        <v>HSS</v>
      </c>
      <c r="I3382" s="9" t="str">
        <f>IFERROR(__xludf.DUMMYFUNCTION("""COMPUTED_VALUE"""),"CbSS")</f>
        <v>CbSS</v>
      </c>
      <c r="J3382" s="9" t="str">
        <f>IFERROR(__xludf.DUMMYFUNCTION("""COMPUTED_VALUE"""),"CBLL")</f>
        <v>CBLL</v>
      </c>
      <c r="K3382" s="9" t="str">
        <f>IFERROR(__xludf.DUMMYFUNCTION("""COMPUTED_VALUE"""),"PCb")</f>
        <v>PCb</v>
      </c>
      <c r="L3382" s="9" t="str">
        <f>IFERROR(__xludf.DUMMYFUNCTION("""COMPUTED_VALUE"""),"CbVIIa2")</f>
        <v>CbVIIa2</v>
      </c>
      <c r="M3382" s="9"/>
      <c r="N3382" s="9"/>
      <c r="O3382" s="9"/>
      <c r="P3382" s="9"/>
      <c r="Q3382" s="9"/>
      <c r="R3382" s="9"/>
      <c r="S3382" s="42"/>
      <c r="T3382" s="42" t="str">
        <f>IFERROR(__xludf.DUMMYFUNCTION("""COMPUTED_VALUE"""),"lobe")</f>
        <v>lobe</v>
      </c>
      <c r="U3382" s="42" t="b">
        <f>IFERROR(__xludf.DUMMYFUNCTION("""COMPUTED_VALUE"""),FALSE)</f>
        <v>0</v>
      </c>
      <c r="V3382" s="42"/>
      <c r="W3382" s="42"/>
      <c r="X3382" s="42"/>
      <c r="Y3382" s="42"/>
      <c r="Z3382" s="42"/>
      <c r="AA3382" s="42"/>
      <c r="AB3382" s="42" t="str">
        <f>IFERROR(__xludf.DUMMYFUNCTION("""COMPUTED_VALUE"""),"allen institute")</f>
        <v>allen institute</v>
      </c>
      <c r="AC3382" s="42" t="str">
        <f>IFERROR(__xludf.DUMMYFUNCTION("""COMPUTED_VALUE"""),"DHBA")</f>
        <v>DHBA</v>
      </c>
      <c r="AD3382" s="42"/>
      <c r="AE3382" s="42"/>
      <c r="AF3382" s="9"/>
      <c r="AG3382" s="9"/>
      <c r="AH3382" s="42"/>
      <c r="AI3382" s="42"/>
      <c r="AJ3382" s="42"/>
      <c r="AK3382" s="42"/>
      <c r="AL3382" s="42"/>
      <c r="AM3382" s="42"/>
      <c r="AN3382" s="42"/>
      <c r="AO3382" s="63" t="str">
        <f>IFERROR(__xludf.DUMMYFUNCTION("IF(ISBLANK(A3382),,IF(ISBLANK(S3382), A3382&amp;"";"", TEXTJOIN(CHAR(10), TRUE, A3382&amp;"";"", ARRAYFORMULA(VLOOKUP(SPLIT(S3382, "";"" &amp; CHAR(10)), $A:$AO, 41, FALSE)))))"),"CbVIIa2;")</f>
        <v>CbVIIa2;</v>
      </c>
      <c r="AP3382" s="89"/>
    </row>
    <row r="3383">
      <c r="A3383" s="151" t="str">
        <f>IFERROR(__xludf.DUMMYFUNCTION("""COMPUTED_VALUE"""),"CbVIIb")</f>
        <v>CbVIIb</v>
      </c>
      <c r="B3383" s="42" t="str">
        <f>IFERROR(__xludf.DUMMYFUNCTION("""COMPUTED_VALUE"""),"DHBA")</f>
        <v>DHBA</v>
      </c>
      <c r="C3383" s="42" t="str">
        <f>IFERROR(__xludf.DUMMYFUNCTION("""COMPUTED_VALUE"""),"lobule VIIB (gracile lobule)")</f>
        <v>lobule VIIB (gracile lobule)</v>
      </c>
      <c r="D3383" s="42">
        <f>IFERROR(__xludf.DUMMYFUNCTION("""COMPUTED_VALUE"""),3236.0)</f>
        <v>3236</v>
      </c>
      <c r="E3383" s="39" t="str">
        <f>IFERROR(__xludf.DUMMYFUNCTION("""COMPUTED_VALUE"""),"lobule VIIB (gracile lobule)")</f>
        <v>lobule VIIB (gracile lobule)</v>
      </c>
      <c r="F3383" s="9" t="str">
        <f>IFERROR(__xludf.DUMMYFUNCTION("""COMPUTED_VALUE"""),"Br")</f>
        <v>Br</v>
      </c>
      <c r="G3383" s="9" t="str">
        <f>IFERROR(__xludf.DUMMYFUNCTION("""COMPUTED_VALUE"""),"H")</f>
        <v>H</v>
      </c>
      <c r="H3383" s="9" t="str">
        <f>IFERROR(__xludf.DUMMYFUNCTION("""COMPUTED_VALUE"""),"HSS")</f>
        <v>HSS</v>
      </c>
      <c r="I3383" s="9" t="str">
        <f>IFERROR(__xludf.DUMMYFUNCTION("""COMPUTED_VALUE"""),"CbSS")</f>
        <v>CbSS</v>
      </c>
      <c r="J3383" s="9" t="str">
        <f>IFERROR(__xludf.DUMMYFUNCTION("""COMPUTED_VALUE"""),"CBLL")</f>
        <v>CBLL</v>
      </c>
      <c r="K3383" s="9" t="str">
        <f>IFERROR(__xludf.DUMMYFUNCTION("""COMPUTED_VALUE"""),"PCb")</f>
        <v>PCb</v>
      </c>
      <c r="L3383" s="9" t="str">
        <f>IFERROR(__xludf.DUMMYFUNCTION("""COMPUTED_VALUE"""),"CbVIIb")</f>
        <v>CbVIIb</v>
      </c>
      <c r="M3383" s="9"/>
      <c r="N3383" s="9"/>
      <c r="O3383" s="9"/>
      <c r="P3383" s="9"/>
      <c r="Q3383" s="9"/>
      <c r="R3383" s="9"/>
      <c r="S3383" s="42"/>
      <c r="T3383" s="42" t="str">
        <f>IFERROR(__xludf.DUMMYFUNCTION("""COMPUTED_VALUE"""),"lobe")</f>
        <v>lobe</v>
      </c>
      <c r="U3383" s="159" t="b">
        <f>IFERROR(__xludf.DUMMYFUNCTION("""COMPUTED_VALUE"""),FALSE)</f>
        <v>0</v>
      </c>
      <c r="V3383" s="42"/>
      <c r="W3383" s="42"/>
      <c r="X3383" s="42"/>
      <c r="Y3383" s="42"/>
      <c r="Z3383" s="42"/>
      <c r="AA3383" s="42"/>
      <c r="AB3383" s="42" t="str">
        <f>IFERROR(__xludf.DUMMYFUNCTION("""COMPUTED_VALUE"""),"allen institute")</f>
        <v>allen institute</v>
      </c>
      <c r="AC3383" s="42" t="str">
        <f>IFERROR(__xludf.DUMMYFUNCTION("""COMPUTED_VALUE"""),"DHBA")</f>
        <v>DHBA</v>
      </c>
      <c r="AD3383" s="42"/>
      <c r="AE3383" s="42"/>
      <c r="AF3383" s="9"/>
      <c r="AG3383" s="9"/>
      <c r="AH3383" s="42"/>
      <c r="AI3383" s="42"/>
      <c r="AJ3383" s="42"/>
      <c r="AK3383" s="42"/>
      <c r="AL3383" s="42"/>
      <c r="AM3383" s="42"/>
      <c r="AN3383" s="42"/>
      <c r="AO3383" s="63" t="str">
        <f>IFERROR(__xludf.DUMMYFUNCTION("IF(ISBLANK(A3383),,IF(ISBLANK(S3383), A3383&amp;"";"", TEXTJOIN(CHAR(10), TRUE, A3383&amp;"";"", ARRAYFORMULA(VLOOKUP(SPLIT(S3383, "";"" &amp; CHAR(10)), $A:$AO, 41, FALSE)))))"),"CbVIIb;")</f>
        <v>CbVIIb;</v>
      </c>
      <c r="AP3383" s="89"/>
    </row>
    <row r="3384">
      <c r="A3384" s="151" t="str">
        <f>IFERROR(__xludf.DUMMYFUNCTION("""COMPUTED_VALUE"""),"CbVIIIa")</f>
        <v>CbVIIIa</v>
      </c>
      <c r="B3384" s="42" t="str">
        <f>IFERROR(__xludf.DUMMYFUNCTION("""COMPUTED_VALUE"""),"DHBA")</f>
        <v>DHBA</v>
      </c>
      <c r="C3384" s="42" t="str">
        <f>IFERROR(__xludf.DUMMYFUNCTION("""COMPUTED_VALUE"""),"lobule VIIIA (pyramis and biventral lobule, anterior part)")</f>
        <v>lobule VIIIA (pyramis and biventral lobule, anterior part)</v>
      </c>
      <c r="D3384" s="42">
        <f>IFERROR(__xludf.DUMMYFUNCTION("""COMPUTED_VALUE"""),3237.0)</f>
        <v>3237</v>
      </c>
      <c r="E3384" s="39" t="str">
        <f>IFERROR(__xludf.DUMMYFUNCTION("""COMPUTED_VALUE"""),"lobule VIIIA (pyramis and biventral lobule, anterior part)")</f>
        <v>lobule VIIIA (pyramis and biventral lobule, anterior part)</v>
      </c>
      <c r="F3384" s="9" t="str">
        <f>IFERROR(__xludf.DUMMYFUNCTION("""COMPUTED_VALUE"""),"Br")</f>
        <v>Br</v>
      </c>
      <c r="G3384" s="9" t="str">
        <f>IFERROR(__xludf.DUMMYFUNCTION("""COMPUTED_VALUE"""),"H")</f>
        <v>H</v>
      </c>
      <c r="H3384" s="9" t="str">
        <f>IFERROR(__xludf.DUMMYFUNCTION("""COMPUTED_VALUE"""),"HSS")</f>
        <v>HSS</v>
      </c>
      <c r="I3384" s="9" t="str">
        <f>IFERROR(__xludf.DUMMYFUNCTION("""COMPUTED_VALUE"""),"CbSS")</f>
        <v>CbSS</v>
      </c>
      <c r="J3384" s="9" t="str">
        <f>IFERROR(__xludf.DUMMYFUNCTION("""COMPUTED_VALUE"""),"CBLL")</f>
        <v>CBLL</v>
      </c>
      <c r="K3384" s="9" t="str">
        <f>IFERROR(__xludf.DUMMYFUNCTION("""COMPUTED_VALUE"""),"PCb")</f>
        <v>PCb</v>
      </c>
      <c r="L3384" s="9" t="str">
        <f>IFERROR(__xludf.DUMMYFUNCTION("""COMPUTED_VALUE"""),"CbVIIIa")</f>
        <v>CbVIIIa</v>
      </c>
      <c r="M3384" s="9"/>
      <c r="N3384" s="9"/>
      <c r="O3384" s="9"/>
      <c r="P3384" s="9"/>
      <c r="Q3384" s="9"/>
      <c r="R3384" s="9"/>
      <c r="S3384" s="42"/>
      <c r="T3384" s="42" t="str">
        <f>IFERROR(__xludf.DUMMYFUNCTION("""COMPUTED_VALUE"""),"lobe")</f>
        <v>lobe</v>
      </c>
      <c r="U3384" s="42" t="b">
        <f>IFERROR(__xludf.DUMMYFUNCTION("""COMPUTED_VALUE"""),FALSE)</f>
        <v>0</v>
      </c>
      <c r="V3384" s="42"/>
      <c r="W3384" s="42"/>
      <c r="X3384" s="42"/>
      <c r="Y3384" s="42"/>
      <c r="Z3384" s="42"/>
      <c r="AA3384" s="42"/>
      <c r="AB3384" s="42" t="str">
        <f>IFERROR(__xludf.DUMMYFUNCTION("""COMPUTED_VALUE"""),"allen institute")</f>
        <v>allen institute</v>
      </c>
      <c r="AC3384" s="42" t="str">
        <f>IFERROR(__xludf.DUMMYFUNCTION("""COMPUTED_VALUE"""),"DHBA")</f>
        <v>DHBA</v>
      </c>
      <c r="AD3384" s="42"/>
      <c r="AE3384" s="42"/>
      <c r="AF3384" s="9"/>
      <c r="AG3384" s="9"/>
      <c r="AH3384" s="42"/>
      <c r="AI3384" s="42"/>
      <c r="AJ3384" s="42"/>
      <c r="AK3384" s="42"/>
      <c r="AL3384" s="42"/>
      <c r="AM3384" s="42"/>
      <c r="AN3384" s="42"/>
      <c r="AO3384" s="63" t="str">
        <f>IFERROR(__xludf.DUMMYFUNCTION("IF(ISBLANK(A3384),,IF(ISBLANK(S3384), A3384&amp;"";"", TEXTJOIN(CHAR(10), TRUE, A3384&amp;"";"", ARRAYFORMULA(VLOOKUP(SPLIT(S3384, "";"" &amp; CHAR(10)), $A:$AO, 41, FALSE)))))"),"CbVIIIa;")</f>
        <v>CbVIIIa;</v>
      </c>
      <c r="AP3384" s="89"/>
    </row>
    <row r="3385">
      <c r="A3385" s="151" t="str">
        <f>IFERROR(__xludf.DUMMYFUNCTION("""COMPUTED_VALUE"""),"CbVIIIb")</f>
        <v>CbVIIIb</v>
      </c>
      <c r="B3385" s="42" t="str">
        <f>IFERROR(__xludf.DUMMYFUNCTION("""COMPUTED_VALUE"""),"DHBA")</f>
        <v>DHBA</v>
      </c>
      <c r="C3385" s="42" t="str">
        <f>IFERROR(__xludf.DUMMYFUNCTION("""COMPUTED_VALUE"""),"lobule VIIIB (pyramis and biventral lobule, posterior part)")</f>
        <v>lobule VIIIB (pyramis and biventral lobule, posterior part)</v>
      </c>
      <c r="D3385" s="42">
        <f>IFERROR(__xludf.DUMMYFUNCTION("""COMPUTED_VALUE"""),3238.0)</f>
        <v>3238</v>
      </c>
      <c r="E3385" s="39" t="str">
        <f>IFERROR(__xludf.DUMMYFUNCTION("""COMPUTED_VALUE"""),"lobule VIIIB (pyramis and biventral lobule, posterior part)")</f>
        <v>lobule VIIIB (pyramis and biventral lobule, posterior part)</v>
      </c>
      <c r="F3385" s="9" t="str">
        <f>IFERROR(__xludf.DUMMYFUNCTION("""COMPUTED_VALUE"""),"Br")</f>
        <v>Br</v>
      </c>
      <c r="G3385" s="9" t="str">
        <f>IFERROR(__xludf.DUMMYFUNCTION("""COMPUTED_VALUE"""),"H")</f>
        <v>H</v>
      </c>
      <c r="H3385" s="9" t="str">
        <f>IFERROR(__xludf.DUMMYFUNCTION("""COMPUTED_VALUE"""),"HSS")</f>
        <v>HSS</v>
      </c>
      <c r="I3385" s="9" t="str">
        <f>IFERROR(__xludf.DUMMYFUNCTION("""COMPUTED_VALUE"""),"CbSS")</f>
        <v>CbSS</v>
      </c>
      <c r="J3385" s="9" t="str">
        <f>IFERROR(__xludf.DUMMYFUNCTION("""COMPUTED_VALUE"""),"CBLL")</f>
        <v>CBLL</v>
      </c>
      <c r="K3385" s="9" t="str">
        <f>IFERROR(__xludf.DUMMYFUNCTION("""COMPUTED_VALUE"""),"PCb")</f>
        <v>PCb</v>
      </c>
      <c r="L3385" s="9" t="str">
        <f>IFERROR(__xludf.DUMMYFUNCTION("""COMPUTED_VALUE"""),"CbVIIIb")</f>
        <v>CbVIIIb</v>
      </c>
      <c r="M3385" s="9"/>
      <c r="N3385" s="9"/>
      <c r="O3385" s="9"/>
      <c r="P3385" s="9"/>
      <c r="Q3385" s="9"/>
      <c r="R3385" s="9"/>
      <c r="S3385" s="42"/>
      <c r="T3385" s="42" t="str">
        <f>IFERROR(__xludf.DUMMYFUNCTION("""COMPUTED_VALUE"""),"lobe")</f>
        <v>lobe</v>
      </c>
      <c r="U3385" s="42" t="b">
        <f>IFERROR(__xludf.DUMMYFUNCTION("""COMPUTED_VALUE"""),FALSE)</f>
        <v>0</v>
      </c>
      <c r="V3385" s="42"/>
      <c r="W3385" s="42"/>
      <c r="X3385" s="42"/>
      <c r="Y3385" s="42"/>
      <c r="Z3385" s="42"/>
      <c r="AA3385" s="42"/>
      <c r="AB3385" s="42" t="str">
        <f>IFERROR(__xludf.DUMMYFUNCTION("""COMPUTED_VALUE"""),"allen institute")</f>
        <v>allen institute</v>
      </c>
      <c r="AC3385" s="42" t="str">
        <f>IFERROR(__xludf.DUMMYFUNCTION("""COMPUTED_VALUE"""),"DHBA")</f>
        <v>DHBA</v>
      </c>
      <c r="AD3385" s="42"/>
      <c r="AE3385" s="42"/>
      <c r="AF3385" s="9"/>
      <c r="AG3385" s="9"/>
      <c r="AH3385" s="42"/>
      <c r="AI3385" s="42"/>
      <c r="AJ3385" s="42"/>
      <c r="AK3385" s="42"/>
      <c r="AL3385" s="42"/>
      <c r="AM3385" s="42"/>
      <c r="AN3385" s="42"/>
      <c r="AO3385" s="63" t="str">
        <f>IFERROR(__xludf.DUMMYFUNCTION("IF(ISBLANK(A3385),,IF(ISBLANK(S3385), A3385&amp;"";"", TEXTJOIN(CHAR(10), TRUE, A3385&amp;"";"", ARRAYFORMULA(VLOOKUP(SPLIT(S3385, "";"" &amp; CHAR(10)), $A:$AO, 41, FALSE)))))"),"CbVIIIb;")</f>
        <v>CbVIIIb;</v>
      </c>
      <c r="AP3385" s="89"/>
    </row>
    <row r="3386">
      <c r="A3386" s="151" t="str">
        <f>IFERROR(__xludf.DUMMYFUNCTION("""COMPUTED_VALUE"""),"CbIX")</f>
        <v>CbIX</v>
      </c>
      <c r="B3386" s="42" t="str">
        <f>IFERROR(__xludf.DUMMYFUNCTION("""COMPUTED_VALUE"""),"DHBA")</f>
        <v>DHBA</v>
      </c>
      <c r="C3386" s="42" t="str">
        <f>IFERROR(__xludf.DUMMYFUNCTION("""COMPUTED_VALUE"""),"lobule IX (uvula and tosil)")</f>
        <v>lobule IX (uvula and tosil)</v>
      </c>
      <c r="D3386" s="42">
        <f>IFERROR(__xludf.DUMMYFUNCTION("""COMPUTED_VALUE"""),3239.0)</f>
        <v>3239</v>
      </c>
      <c r="E3386" s="39" t="str">
        <f>IFERROR(__xludf.DUMMYFUNCTION("""COMPUTED_VALUE"""),"lobule IX (uvula and tosil)")</f>
        <v>lobule IX (uvula and tosil)</v>
      </c>
      <c r="F3386" s="9" t="str">
        <f>IFERROR(__xludf.DUMMYFUNCTION("""COMPUTED_VALUE"""),"Br")</f>
        <v>Br</v>
      </c>
      <c r="G3386" s="9" t="str">
        <f>IFERROR(__xludf.DUMMYFUNCTION("""COMPUTED_VALUE"""),"H")</f>
        <v>H</v>
      </c>
      <c r="H3386" s="9" t="str">
        <f>IFERROR(__xludf.DUMMYFUNCTION("""COMPUTED_VALUE"""),"HSS")</f>
        <v>HSS</v>
      </c>
      <c r="I3386" s="9" t="str">
        <f>IFERROR(__xludf.DUMMYFUNCTION("""COMPUTED_VALUE"""),"CbSS")</f>
        <v>CbSS</v>
      </c>
      <c r="J3386" s="9" t="str">
        <f>IFERROR(__xludf.DUMMYFUNCTION("""COMPUTED_VALUE"""),"CBLL")</f>
        <v>CBLL</v>
      </c>
      <c r="K3386" s="9" t="str">
        <f>IFERROR(__xludf.DUMMYFUNCTION("""COMPUTED_VALUE"""),"PCb")</f>
        <v>PCb</v>
      </c>
      <c r="L3386" s="9" t="str">
        <f>IFERROR(__xludf.DUMMYFUNCTION("""COMPUTED_VALUE"""),"CbIX")</f>
        <v>CbIX</v>
      </c>
      <c r="M3386" s="9"/>
      <c r="N3386" s="9"/>
      <c r="O3386" s="9"/>
      <c r="P3386" s="9"/>
      <c r="Q3386" s="9"/>
      <c r="R3386" s="9"/>
      <c r="S3386" s="42"/>
      <c r="T3386" s="42" t="str">
        <f>IFERROR(__xludf.DUMMYFUNCTION("""COMPUTED_VALUE"""),"lobe")</f>
        <v>lobe</v>
      </c>
      <c r="U3386" s="42" t="b">
        <f>IFERROR(__xludf.DUMMYFUNCTION("""COMPUTED_VALUE"""),FALSE)</f>
        <v>0</v>
      </c>
      <c r="V3386" s="42"/>
      <c r="W3386" s="42"/>
      <c r="X3386" s="42"/>
      <c r="Y3386" s="42"/>
      <c r="Z3386" s="42"/>
      <c r="AA3386" s="42"/>
      <c r="AB3386" s="42" t="str">
        <f>IFERROR(__xludf.DUMMYFUNCTION("""COMPUTED_VALUE"""),"allen institute")</f>
        <v>allen institute</v>
      </c>
      <c r="AC3386" s="42" t="str">
        <f>IFERROR(__xludf.DUMMYFUNCTION("""COMPUTED_VALUE"""),"DHBA")</f>
        <v>DHBA</v>
      </c>
      <c r="AD3386" s="42"/>
      <c r="AE3386" s="42"/>
      <c r="AF3386" s="9"/>
      <c r="AG3386" s="9"/>
      <c r="AH3386" s="42"/>
      <c r="AI3386" s="42"/>
      <c r="AJ3386" s="42"/>
      <c r="AK3386" s="42"/>
      <c r="AL3386" s="42"/>
      <c r="AM3386" s="42"/>
      <c r="AN3386" s="42"/>
      <c r="AO3386" s="63" t="str">
        <f>IFERROR(__xludf.DUMMYFUNCTION("IF(ISBLANK(A3386),,IF(ISBLANK(S3386), A3386&amp;"";"", TEXTJOIN(CHAR(10), TRUE, A3386&amp;"";"", ARRAYFORMULA(VLOOKUP(SPLIT(S3386, "";"" &amp; CHAR(10)), $A:$AO, 41, FALSE)))))"),"CbIX;")</f>
        <v>CbIX;</v>
      </c>
      <c r="AP3386" s="89"/>
    </row>
    <row r="3387">
      <c r="A3387" s="151" t="str">
        <f>IFERROR(__xludf.DUMMYFUNCTION("""COMPUTED_VALUE"""),"FNCb")</f>
        <v>FNCb</v>
      </c>
      <c r="B3387" s="42" t="str">
        <f>IFERROR(__xludf.DUMMYFUNCTION("""COMPUTED_VALUE"""),"DHBA")</f>
        <v>DHBA</v>
      </c>
      <c r="C3387" s="42" t="str">
        <f>IFERROR(__xludf.DUMMYFUNCTION("""COMPUTED_VALUE"""),"flocculonodular lobe")</f>
        <v>flocculonodular lobe</v>
      </c>
      <c r="D3387" s="42">
        <f>IFERROR(__xludf.DUMMYFUNCTION("""COMPUTED_VALUE"""),3240.0)</f>
        <v>3240</v>
      </c>
      <c r="E3387" s="39" t="str">
        <f>IFERROR(__xludf.DUMMYFUNCTION("""COMPUTED_VALUE"""),"flocculonodular lobe")</f>
        <v>flocculonodular lobe</v>
      </c>
      <c r="F3387" s="9" t="str">
        <f>IFERROR(__xludf.DUMMYFUNCTION("""COMPUTED_VALUE"""),"Br")</f>
        <v>Br</v>
      </c>
      <c r="G3387" s="9" t="str">
        <f>IFERROR(__xludf.DUMMYFUNCTION("""COMPUTED_VALUE"""),"H")</f>
        <v>H</v>
      </c>
      <c r="H3387" s="9" t="str">
        <f>IFERROR(__xludf.DUMMYFUNCTION("""COMPUTED_VALUE"""),"HSS")</f>
        <v>HSS</v>
      </c>
      <c r="I3387" s="9" t="str">
        <f>IFERROR(__xludf.DUMMYFUNCTION("""COMPUTED_VALUE"""),"CbSS")</f>
        <v>CbSS</v>
      </c>
      <c r="J3387" s="9" t="str">
        <f>IFERROR(__xludf.DUMMYFUNCTION("""COMPUTED_VALUE"""),"CBLL")</f>
        <v>CBLL</v>
      </c>
      <c r="K3387" s="9" t="str">
        <f>IFERROR(__xludf.DUMMYFUNCTION("""COMPUTED_VALUE"""),"FNCb")</f>
        <v>FNCb</v>
      </c>
      <c r="L3387" s="9"/>
      <c r="M3387" s="9"/>
      <c r="N3387" s="9"/>
      <c r="O3387" s="9"/>
      <c r="P3387" s="9"/>
      <c r="Q3387" s="9"/>
      <c r="R3387" s="9"/>
      <c r="S3387" s="42" t="str">
        <f>IFERROR(__xludf.DUMMYFUNCTION("""COMPUTED_VALUE"""),"CbX")</f>
        <v>CbX</v>
      </c>
      <c r="T3387" s="42" t="str">
        <f>IFERROR(__xludf.DUMMYFUNCTION("""COMPUTED_VALUE"""),"lobe")</f>
        <v>lobe</v>
      </c>
      <c r="U3387" s="42" t="b">
        <f>IFERROR(__xludf.DUMMYFUNCTION("""COMPUTED_VALUE"""),FALSE)</f>
        <v>0</v>
      </c>
      <c r="V3387" s="42"/>
      <c r="W3387" s="42"/>
      <c r="X3387" s="42"/>
      <c r="Y3387" s="42"/>
      <c r="Z3387" s="42"/>
      <c r="AA3387" s="42"/>
      <c r="AB3387" s="42" t="str">
        <f>IFERROR(__xludf.DUMMYFUNCTION("""COMPUTED_VALUE"""),"allen institute")</f>
        <v>allen institute</v>
      </c>
      <c r="AC3387" s="42" t="str">
        <f>IFERROR(__xludf.DUMMYFUNCTION("""COMPUTED_VALUE"""),"DHBA")</f>
        <v>DHBA</v>
      </c>
      <c r="AD3387" s="42"/>
      <c r="AE3387" s="42"/>
      <c r="AF3387" s="9"/>
      <c r="AG3387" s="9"/>
      <c r="AH3387" s="42"/>
      <c r="AI3387" s="42"/>
      <c r="AJ3387" s="42"/>
      <c r="AK3387" s="42"/>
      <c r="AL3387" s="42"/>
      <c r="AM3387" s="42"/>
      <c r="AN3387" s="42"/>
      <c r="AO3387" s="63" t="str">
        <f>IFERROR(__xludf.DUMMYFUNCTION("IF(ISBLANK(A3387),,IF(ISBLANK(S3387), A3387&amp;"";"", TEXTJOIN(CHAR(10), TRUE, A3387&amp;"";"", ARRAYFORMULA(VLOOKUP(SPLIT(S3387, "";"" &amp; CHAR(10)), $A:$AO, 41, FALSE)))))"),"FNCb;
CbX;")</f>
        <v>FNCb;
CbX;</v>
      </c>
      <c r="AP3387" s="89"/>
    </row>
    <row r="3388">
      <c r="A3388" s="151" t="str">
        <f>IFERROR(__xludf.DUMMYFUNCTION("""COMPUTED_VALUE"""),"FNCbp")</f>
        <v>FNCbp</v>
      </c>
      <c r="B3388" s="42" t="str">
        <f>IFERROR(__xludf.DUMMYFUNCTION("""COMPUTED_VALUE"""),"makeshift")</f>
        <v>makeshift</v>
      </c>
      <c r="C3388" s="42" t="str">
        <f>IFERROR(__xludf.DUMMYFUNCTION("""COMPUTED_VALUE"""),"purkinje cell of flocculus")</f>
        <v>purkinje cell of flocculus</v>
      </c>
      <c r="D3388" s="42">
        <f>IFERROR(__xludf.DUMMYFUNCTION("""COMPUTED_VALUE"""),3240.1)</f>
        <v>3240.1</v>
      </c>
      <c r="E3388" s="39" t="str">
        <f>IFERROR(__xludf.DUMMYFUNCTION("""COMPUTED_VALUE"""),"")</f>
        <v/>
      </c>
      <c r="F3388" s="9" t="str">
        <f>IFERROR(__xludf.DUMMYFUNCTION("""COMPUTED_VALUE"""),"")</f>
        <v/>
      </c>
      <c r="G3388" s="9" t="str">
        <f>IFERROR(__xludf.DUMMYFUNCTION("""COMPUTED_VALUE"""),"")</f>
        <v/>
      </c>
      <c r="H3388" s="9" t="str">
        <f>IFERROR(__xludf.DUMMYFUNCTION("""COMPUTED_VALUE"""),"")</f>
        <v/>
      </c>
      <c r="I3388" s="9" t="str">
        <f>IFERROR(__xludf.DUMMYFUNCTION("""COMPUTED_VALUE"""),"")</f>
        <v/>
      </c>
      <c r="J3388" s="9" t="str">
        <f>IFERROR(__xludf.DUMMYFUNCTION("""COMPUTED_VALUE"""),"")</f>
        <v/>
      </c>
      <c r="K3388" s="9" t="str">
        <f>IFERROR(__xludf.DUMMYFUNCTION("""COMPUTED_VALUE"""),"")</f>
        <v/>
      </c>
      <c r="L3388" s="9" t="str">
        <f>IFERROR(__xludf.DUMMYFUNCTION("""COMPUTED_VALUE"""),"")</f>
        <v/>
      </c>
      <c r="M3388" s="9" t="str">
        <f>IFERROR(__xludf.DUMMYFUNCTION("""COMPUTED_VALUE"""),"")</f>
        <v/>
      </c>
      <c r="N3388" s="9" t="str">
        <f>IFERROR(__xludf.DUMMYFUNCTION("""COMPUTED_VALUE"""),"")</f>
        <v/>
      </c>
      <c r="O3388" s="9" t="str">
        <f>IFERROR(__xludf.DUMMYFUNCTION("""COMPUTED_VALUE"""),"")</f>
        <v/>
      </c>
      <c r="P3388" s="9" t="str">
        <f>IFERROR(__xludf.DUMMYFUNCTION("""COMPUTED_VALUE"""),"")</f>
        <v/>
      </c>
      <c r="Q3388" s="9" t="str">
        <f>IFERROR(__xludf.DUMMYFUNCTION("""COMPUTED_VALUE"""),"")</f>
        <v/>
      </c>
      <c r="R3388" s="9" t="str">
        <f>IFERROR(__xludf.DUMMYFUNCTION("""COMPUTED_VALUE"""),"")</f>
        <v/>
      </c>
      <c r="S3388" s="42"/>
      <c r="T3388" s="42" t="str">
        <f>IFERROR(__xludf.DUMMYFUNCTION("""COMPUTED_VALUE"""),"p")</f>
        <v>p</v>
      </c>
      <c r="U3388" s="42" t="b">
        <f>IFERROR(__xludf.DUMMYFUNCTION("""COMPUTED_VALUE"""),TRUE)</f>
        <v>1</v>
      </c>
      <c r="V3388" s="42" t="str">
        <f>IFERROR(__xludf.DUMMYFUNCTION("""COMPUTED_VALUE"""),"GABA")</f>
        <v>GABA</v>
      </c>
      <c r="W3388" s="42" t="str">
        <f>IFERROR(__xludf.DUMMYFUNCTION("""COMPUTED_VALUE"""),"Inhibitory")</f>
        <v>Inhibitory</v>
      </c>
      <c r="X3388" s="42"/>
      <c r="Y3388" s="42"/>
      <c r="Z3388" s="42"/>
      <c r="AA3388" s="42"/>
      <c r="AB3388" s="42" t="str">
        <f>IFERROR(__xludf.DUMMYFUNCTION("""COMPUTED_VALUE"""),"Hiroshi Yamakawa")</f>
        <v>Hiroshi Yamakawa</v>
      </c>
      <c r="AC3388" s="42" t="str">
        <f>IFERROR(__xludf.DUMMYFUNCTION("""COMPUTED_VALUE"""),"HY20Cerebellum")</f>
        <v>HY20Cerebellum</v>
      </c>
      <c r="AD3388" s="42"/>
      <c r="AE3388" s="42"/>
      <c r="AF3388" s="9"/>
      <c r="AG3388" s="9"/>
      <c r="AH3388" s="42"/>
      <c r="AI3388" s="42"/>
      <c r="AJ3388" s="42"/>
      <c r="AK3388" s="42"/>
      <c r="AL3388" s="42"/>
      <c r="AM3388" s="42"/>
      <c r="AN3388" s="42"/>
      <c r="AO3388" s="63" t="str">
        <f>IFERROR(__xludf.DUMMYFUNCTION("IF(ISBLANK(A3388),,IF(ISBLANK(S3388), A3388&amp;"";"", TEXTJOIN(CHAR(10), TRUE, A3388&amp;"";"", ARRAYFORMULA(VLOOKUP(SPLIT(S3388, "";"" &amp; CHAR(10)), $A:$AO, 41, FALSE)))))"),"FNCbp;")</f>
        <v>FNCbp;</v>
      </c>
      <c r="AP3388" s="89"/>
    </row>
    <row r="3389">
      <c r="A3389" s="151" t="str">
        <f>IFERROR(__xludf.DUMMYFUNCTION("""COMPUTED_VALUE"""),"FNCbg")</f>
        <v>FNCbg</v>
      </c>
      <c r="B3389" s="42" t="str">
        <f>IFERROR(__xludf.DUMMYFUNCTION("""COMPUTED_VALUE"""),"makeshift")</f>
        <v>makeshift</v>
      </c>
      <c r="C3389" s="42" t="str">
        <f>IFERROR(__xludf.DUMMYFUNCTION("""COMPUTED_VALUE"""),"granular cell of flocculus")</f>
        <v>granular cell of flocculus</v>
      </c>
      <c r="D3389" s="42">
        <f>IFERROR(__xludf.DUMMYFUNCTION("""COMPUTED_VALUE"""),3240.2)</f>
        <v>3240.2</v>
      </c>
      <c r="E3389" s="39" t="str">
        <f>IFERROR(__xludf.DUMMYFUNCTION("""COMPUTED_VALUE"""),"")</f>
        <v/>
      </c>
      <c r="F3389" s="9" t="str">
        <f>IFERROR(__xludf.DUMMYFUNCTION("""COMPUTED_VALUE"""),"")</f>
        <v/>
      </c>
      <c r="G3389" s="9" t="str">
        <f>IFERROR(__xludf.DUMMYFUNCTION("""COMPUTED_VALUE"""),"")</f>
        <v/>
      </c>
      <c r="H3389" s="9" t="str">
        <f>IFERROR(__xludf.DUMMYFUNCTION("""COMPUTED_VALUE"""),"")</f>
        <v/>
      </c>
      <c r="I3389" s="9" t="str">
        <f>IFERROR(__xludf.DUMMYFUNCTION("""COMPUTED_VALUE"""),"")</f>
        <v/>
      </c>
      <c r="J3389" s="9" t="str">
        <f>IFERROR(__xludf.DUMMYFUNCTION("""COMPUTED_VALUE"""),"")</f>
        <v/>
      </c>
      <c r="K3389" s="9" t="str">
        <f>IFERROR(__xludf.DUMMYFUNCTION("""COMPUTED_VALUE"""),"")</f>
        <v/>
      </c>
      <c r="L3389" s="9" t="str">
        <f>IFERROR(__xludf.DUMMYFUNCTION("""COMPUTED_VALUE"""),"")</f>
        <v/>
      </c>
      <c r="M3389" s="9" t="str">
        <f>IFERROR(__xludf.DUMMYFUNCTION("""COMPUTED_VALUE"""),"")</f>
        <v/>
      </c>
      <c r="N3389" s="9" t="str">
        <f>IFERROR(__xludf.DUMMYFUNCTION("""COMPUTED_VALUE"""),"")</f>
        <v/>
      </c>
      <c r="O3389" s="9" t="str">
        <f>IFERROR(__xludf.DUMMYFUNCTION("""COMPUTED_VALUE"""),"")</f>
        <v/>
      </c>
      <c r="P3389" s="9" t="str">
        <f>IFERROR(__xludf.DUMMYFUNCTION("""COMPUTED_VALUE"""),"")</f>
        <v/>
      </c>
      <c r="Q3389" s="9" t="str">
        <f>IFERROR(__xludf.DUMMYFUNCTION("""COMPUTED_VALUE"""),"")</f>
        <v/>
      </c>
      <c r="R3389" s="9" t="str">
        <f>IFERROR(__xludf.DUMMYFUNCTION("""COMPUTED_VALUE"""),"")</f>
        <v/>
      </c>
      <c r="S3389" s="42"/>
      <c r="T3389" s="42" t="str">
        <f>IFERROR(__xludf.DUMMYFUNCTION("""COMPUTED_VALUE"""),"g")</f>
        <v>g</v>
      </c>
      <c r="U3389" s="42" t="b">
        <f>IFERROR(__xludf.DUMMYFUNCTION("""COMPUTED_VALUE"""),TRUE)</f>
        <v>1</v>
      </c>
      <c r="V3389" s="42"/>
      <c r="W3389" s="42" t="str">
        <f>IFERROR(__xludf.DUMMYFUNCTION("""COMPUTED_VALUE"""),"Excitatory")</f>
        <v>Excitatory</v>
      </c>
      <c r="X3389" s="42"/>
      <c r="Y3389" s="42"/>
      <c r="Z3389" s="42"/>
      <c r="AA3389" s="42"/>
      <c r="AB3389" s="42" t="str">
        <f>IFERROR(__xludf.DUMMYFUNCTION("""COMPUTED_VALUE"""),"Hiroshi Yamakawa")</f>
        <v>Hiroshi Yamakawa</v>
      </c>
      <c r="AC3389" s="42" t="str">
        <f>IFERROR(__xludf.DUMMYFUNCTION("""COMPUTED_VALUE"""),"HY20Cerebellum")</f>
        <v>HY20Cerebellum</v>
      </c>
      <c r="AD3389" s="42"/>
      <c r="AE3389" s="42"/>
      <c r="AF3389" s="9"/>
      <c r="AG3389" s="9"/>
      <c r="AH3389" s="42"/>
      <c r="AI3389" s="42"/>
      <c r="AJ3389" s="42"/>
      <c r="AK3389" s="42"/>
      <c r="AL3389" s="42"/>
      <c r="AM3389" s="42"/>
      <c r="AN3389" s="42"/>
      <c r="AO3389" s="63" t="str">
        <f>IFERROR(__xludf.DUMMYFUNCTION("IF(ISBLANK(A3389),,IF(ISBLANK(S3389), A3389&amp;"";"", TEXTJOIN(CHAR(10), TRUE, A3389&amp;"";"", ARRAYFORMULA(VLOOKUP(SPLIT(S3389, "";"" &amp; CHAR(10)), $A:$AO, 41, FALSE)))))"),"FNCbg;")</f>
        <v>FNCbg;</v>
      </c>
      <c r="AP3389" s="89"/>
    </row>
    <row r="3390">
      <c r="A3390" s="151" t="str">
        <f>IFERROR(__xludf.DUMMYFUNCTION("""COMPUTED_VALUE"""),"CbX")</f>
        <v>CbX</v>
      </c>
      <c r="B3390" s="42" t="str">
        <f>IFERROR(__xludf.DUMMYFUNCTION("""COMPUTED_VALUE"""),"DHBA")</f>
        <v>DHBA</v>
      </c>
      <c r="C3390" s="42" t="str">
        <f>IFERROR(__xludf.DUMMYFUNCTION("""COMPUTED_VALUE"""),"lobule X (nodulus and flocculus)")</f>
        <v>lobule X (nodulus and flocculus)</v>
      </c>
      <c r="D3390" s="42">
        <f>IFERROR(__xludf.DUMMYFUNCTION("""COMPUTED_VALUE"""),3241.0)</f>
        <v>3241</v>
      </c>
      <c r="E3390" s="39" t="str">
        <f>IFERROR(__xludf.DUMMYFUNCTION("""COMPUTED_VALUE"""),"lobule X (nodulus and flocculus)")</f>
        <v>lobule X (nodulus and flocculus)</v>
      </c>
      <c r="F3390" s="9" t="str">
        <f>IFERROR(__xludf.DUMMYFUNCTION("""COMPUTED_VALUE"""),"Br")</f>
        <v>Br</v>
      </c>
      <c r="G3390" s="9" t="str">
        <f>IFERROR(__xludf.DUMMYFUNCTION("""COMPUTED_VALUE"""),"H")</f>
        <v>H</v>
      </c>
      <c r="H3390" s="9" t="str">
        <f>IFERROR(__xludf.DUMMYFUNCTION("""COMPUTED_VALUE"""),"HSS")</f>
        <v>HSS</v>
      </c>
      <c r="I3390" s="9" t="str">
        <f>IFERROR(__xludf.DUMMYFUNCTION("""COMPUTED_VALUE"""),"CbSS")</f>
        <v>CbSS</v>
      </c>
      <c r="J3390" s="9" t="str">
        <f>IFERROR(__xludf.DUMMYFUNCTION("""COMPUTED_VALUE"""),"CBLL")</f>
        <v>CBLL</v>
      </c>
      <c r="K3390" s="9" t="str">
        <f>IFERROR(__xludf.DUMMYFUNCTION("""COMPUTED_VALUE"""),"FNCb")</f>
        <v>FNCb</v>
      </c>
      <c r="L3390" s="9" t="str">
        <f>IFERROR(__xludf.DUMMYFUNCTION("""COMPUTED_VALUE"""),"CbX")</f>
        <v>CbX</v>
      </c>
      <c r="M3390" s="9"/>
      <c r="N3390" s="9"/>
      <c r="O3390" s="9"/>
      <c r="P3390" s="9"/>
      <c r="Q3390" s="9"/>
      <c r="R3390" s="9"/>
      <c r="S3390" s="42"/>
      <c r="T3390" s="42" t="str">
        <f>IFERROR(__xludf.DUMMYFUNCTION("""COMPUTED_VALUE"""),"lobe")</f>
        <v>lobe</v>
      </c>
      <c r="U3390" s="42" t="b">
        <f>IFERROR(__xludf.DUMMYFUNCTION("""COMPUTED_VALUE"""),FALSE)</f>
        <v>0</v>
      </c>
      <c r="V3390" s="42"/>
      <c r="W3390" s="42"/>
      <c r="X3390" s="42"/>
      <c r="Y3390" s="42"/>
      <c r="Z3390" s="42"/>
      <c r="AA3390" s="42"/>
      <c r="AB3390" s="42" t="str">
        <f>IFERROR(__xludf.DUMMYFUNCTION("""COMPUTED_VALUE"""),"allen institute")</f>
        <v>allen institute</v>
      </c>
      <c r="AC3390" s="42" t="str">
        <f>IFERROR(__xludf.DUMMYFUNCTION("""COMPUTED_VALUE"""),"DHBA")</f>
        <v>DHBA</v>
      </c>
      <c r="AD3390" s="42"/>
      <c r="AE3390" s="42"/>
      <c r="AF3390" s="9"/>
      <c r="AG3390" s="9"/>
      <c r="AH3390" s="42"/>
      <c r="AI3390" s="42"/>
      <c r="AJ3390" s="42"/>
      <c r="AK3390" s="42"/>
      <c r="AL3390" s="42"/>
      <c r="AM3390" s="42"/>
      <c r="AN3390" s="42"/>
      <c r="AO3390" s="63" t="str">
        <f>IFERROR(__xludf.DUMMYFUNCTION("IF(ISBLANK(A3390),,IF(ISBLANK(S3390), A3390&amp;"";"", TEXTJOIN(CHAR(10), TRUE, A3390&amp;"";"", ARRAYFORMULA(VLOOKUP(SPLIT(S3390, "";"" &amp; CHAR(10)), $A:$AO, 41, FALSE)))))"),"CbX;")</f>
        <v>CbX;</v>
      </c>
      <c r="AP3390" s="89"/>
    </row>
    <row r="3391">
      <c r="A3391" s="151" t="str">
        <f>IFERROR(__xludf.DUMMYFUNCTION("""COMPUTED_VALUE"""),"PnSS")</f>
        <v>PnSS</v>
      </c>
      <c r="B3391" s="42" t="str">
        <f>IFERROR(__xludf.DUMMYFUNCTION("""COMPUTED_VALUE"""),"DHBA")</f>
        <v>DHBA</v>
      </c>
      <c r="C3391" s="42" t="str">
        <f>IFERROR(__xludf.DUMMYFUNCTION("""COMPUTED_VALUE"""),"surface structures of pons")</f>
        <v>surface structures of pons</v>
      </c>
      <c r="D3391" s="42">
        <f>IFERROR(__xludf.DUMMYFUNCTION("""COMPUTED_VALUE"""),3242.0)</f>
        <v>3242</v>
      </c>
      <c r="E3391" s="39" t="str">
        <f>IFERROR(__xludf.DUMMYFUNCTION("""COMPUTED_VALUE"""),"surface structures of pons")</f>
        <v>surface structures of pons</v>
      </c>
      <c r="F3391" s="9" t="str">
        <f>IFERROR(__xludf.DUMMYFUNCTION("""COMPUTED_VALUE"""),"Br")</f>
        <v>Br</v>
      </c>
      <c r="G3391" s="9" t="str">
        <f>IFERROR(__xludf.DUMMYFUNCTION("""COMPUTED_VALUE"""),"H")</f>
        <v>H</v>
      </c>
      <c r="H3391" s="9" t="str">
        <f>IFERROR(__xludf.DUMMYFUNCTION("""COMPUTED_VALUE"""),"HSS")</f>
        <v>HSS</v>
      </c>
      <c r="I3391" s="9" t="str">
        <f>IFERROR(__xludf.DUMMYFUNCTION("""COMPUTED_VALUE"""),"PnSS")</f>
        <v>PnSS</v>
      </c>
      <c r="J3391" s="9"/>
      <c r="K3391" s="9"/>
      <c r="L3391" s="9"/>
      <c r="M3391" s="9"/>
      <c r="N3391" s="9"/>
      <c r="O3391" s="9"/>
      <c r="P3391" s="9"/>
      <c r="Q3391" s="9"/>
      <c r="R3391" s="9"/>
      <c r="S3391" s="42" t="str">
        <f>IFERROR(__xludf.DUMMYFUNCTION("""COMPUTED_VALUE"""),"bas;
IsRh;
pbr;
pmed;
pmes;
r6;
r7;
r5;
r8;
rmv;
AS4V")</f>
        <v>bas;
IsRh;
pbr;
pmed;
pmes;
r6;
r7;
r5;
r8;
rmv;
AS4V</v>
      </c>
      <c r="T3391" s="42"/>
      <c r="U3391" s="42" t="b">
        <f>IFERROR(__xludf.DUMMYFUNCTION("""COMPUTED_VALUE"""),FALSE)</f>
        <v>0</v>
      </c>
      <c r="V3391" s="42"/>
      <c r="W3391" s="42"/>
      <c r="X3391" s="42"/>
      <c r="Y3391" s="42"/>
      <c r="Z3391" s="42"/>
      <c r="AA3391" s="42"/>
      <c r="AB3391" s="42" t="str">
        <f>IFERROR(__xludf.DUMMYFUNCTION("""COMPUTED_VALUE"""),"allen institute")</f>
        <v>allen institute</v>
      </c>
      <c r="AC3391" s="42" t="str">
        <f>IFERROR(__xludf.DUMMYFUNCTION("""COMPUTED_VALUE"""),"DHBA")</f>
        <v>DHBA</v>
      </c>
      <c r="AD3391" s="42"/>
      <c r="AE3391" s="42"/>
      <c r="AF3391" s="9"/>
      <c r="AG3391" s="9"/>
      <c r="AH3391" s="42"/>
      <c r="AI3391" s="42"/>
      <c r="AJ3391" s="42"/>
      <c r="AK3391" s="42"/>
      <c r="AL3391" s="42"/>
      <c r="AM3391" s="42"/>
      <c r="AN3391" s="42"/>
      <c r="AO3391" s="63" t="str">
        <f>IFERROR(__xludf.DUMMYFUNCTION("IF(ISBLANK(A3391),,IF(ISBLANK(S3391), A3391&amp;"";"", TEXTJOIN(CHAR(10), TRUE, A3391&amp;"";"", ARRAYFORMULA(VLOOKUP(SPLIT(S3391, "";"" &amp; CHAR(10)), $A:$AO, 41, FALSE)))))"),"#N/A")</f>
        <v>#N/A</v>
      </c>
      <c r="AP3391" s="89"/>
    </row>
    <row r="3392">
      <c r="A3392" s="151" t="str">
        <f>IFERROR(__xludf.DUMMYFUNCTION("""COMPUTED_VALUE"""),"bas")</f>
        <v>bas</v>
      </c>
      <c r="B3392" s="42" t="str">
        <f>IFERROR(__xludf.DUMMYFUNCTION("""COMPUTED_VALUE"""),"DHBA")</f>
        <v>DHBA</v>
      </c>
      <c r="C3392" s="42" t="str">
        <f>IFERROR(__xludf.DUMMYFUNCTION("""COMPUTED_VALUE"""),"basilar sulcus")</f>
        <v>basilar sulcus</v>
      </c>
      <c r="D3392" s="42">
        <f>IFERROR(__xludf.DUMMYFUNCTION("""COMPUTED_VALUE"""),3243.0)</f>
        <v>3243</v>
      </c>
      <c r="E3392" s="39" t="str">
        <f>IFERROR(__xludf.DUMMYFUNCTION("""COMPUTED_VALUE"""),"basilar sulcus")</f>
        <v>basilar sulcus</v>
      </c>
      <c r="F3392" s="9" t="str">
        <f>IFERROR(__xludf.DUMMYFUNCTION("""COMPUTED_VALUE"""),"Br")</f>
        <v>Br</v>
      </c>
      <c r="G3392" s="9" t="str">
        <f>IFERROR(__xludf.DUMMYFUNCTION("""COMPUTED_VALUE"""),"H")</f>
        <v>H</v>
      </c>
      <c r="H3392" s="9" t="str">
        <f>IFERROR(__xludf.DUMMYFUNCTION("""COMPUTED_VALUE"""),"HSS")</f>
        <v>HSS</v>
      </c>
      <c r="I3392" s="9" t="str">
        <f>IFERROR(__xludf.DUMMYFUNCTION("""COMPUTED_VALUE"""),"PnSS")</f>
        <v>PnSS</v>
      </c>
      <c r="J3392" s="9" t="str">
        <f>IFERROR(__xludf.DUMMYFUNCTION("""COMPUTED_VALUE"""),"bas")</f>
        <v>bas</v>
      </c>
      <c r="K3392" s="9"/>
      <c r="L3392" s="9"/>
      <c r="M3392" s="9"/>
      <c r="N3392" s="9"/>
      <c r="O3392" s="9"/>
      <c r="P3392" s="9"/>
      <c r="Q3392" s="9"/>
      <c r="R3392" s="9"/>
      <c r="S3392" s="42"/>
      <c r="T3392" s="42" t="str">
        <f>IFERROR(__xludf.DUMMYFUNCTION("""COMPUTED_VALUE"""),"sulcus")</f>
        <v>sulcus</v>
      </c>
      <c r="U3392" s="42" t="b">
        <f>IFERROR(__xludf.DUMMYFUNCTION("""COMPUTED_VALUE"""),FALSE)</f>
        <v>0</v>
      </c>
      <c r="V3392" s="42"/>
      <c r="W3392" s="42"/>
      <c r="X3392" s="42"/>
      <c r="Y3392" s="42"/>
      <c r="Z3392" s="42"/>
      <c r="AA3392" s="42"/>
      <c r="AB3392" s="42" t="str">
        <f>IFERROR(__xludf.DUMMYFUNCTION("""COMPUTED_VALUE"""),"allen institute")</f>
        <v>allen institute</v>
      </c>
      <c r="AC3392" s="42" t="str">
        <f>IFERROR(__xludf.DUMMYFUNCTION("""COMPUTED_VALUE"""),"DHBA")</f>
        <v>DHBA</v>
      </c>
      <c r="AD3392" s="42"/>
      <c r="AE3392" s="42"/>
      <c r="AF3392" s="9"/>
      <c r="AG3392" s="9"/>
      <c r="AH3392" s="42"/>
      <c r="AI3392" s="42"/>
      <c r="AJ3392" s="42"/>
      <c r="AK3392" s="42"/>
      <c r="AL3392" s="42"/>
      <c r="AM3392" s="42"/>
      <c r="AN3392" s="42"/>
      <c r="AO3392" s="63" t="str">
        <f>IFERROR(__xludf.DUMMYFUNCTION("IF(ISBLANK(A3392),,IF(ISBLANK(S3392), A3392&amp;"";"", TEXTJOIN(CHAR(10), TRUE, A3392&amp;"";"", ARRAYFORMULA(VLOOKUP(SPLIT(S3392, "";"" &amp; CHAR(10)), $A:$AO, 41, FALSE)))))"),"bas;")</f>
        <v>bas;</v>
      </c>
      <c r="AP3392" s="89"/>
    </row>
    <row r="3393">
      <c r="A3393" s="151" t="str">
        <f>IFERROR(__xludf.DUMMYFUNCTION("""COMPUTED_VALUE"""),"IsRh")</f>
        <v>IsRh</v>
      </c>
      <c r="B3393" s="42" t="str">
        <f>IFERROR(__xludf.DUMMYFUNCTION("""COMPUTED_VALUE"""),"DHBA")</f>
        <v>DHBA</v>
      </c>
      <c r="C3393" s="42" t="str">
        <f>IFERROR(__xludf.DUMMYFUNCTION("""COMPUTED_VALUE"""),"isthmus of rhombencephalon")</f>
        <v>isthmus of rhombencephalon</v>
      </c>
      <c r="D3393" s="42">
        <f>IFERROR(__xludf.DUMMYFUNCTION("""COMPUTED_VALUE"""),3244.0)</f>
        <v>3244</v>
      </c>
      <c r="E3393" s="39" t="str">
        <f>IFERROR(__xludf.DUMMYFUNCTION("""COMPUTED_VALUE"""),"isthmus of rhombencephalon")</f>
        <v>isthmus of rhombencephalon</v>
      </c>
      <c r="F3393" s="9" t="str">
        <f>IFERROR(__xludf.DUMMYFUNCTION("""COMPUTED_VALUE"""),"Br")</f>
        <v>Br</v>
      </c>
      <c r="G3393" s="9" t="str">
        <f>IFERROR(__xludf.DUMMYFUNCTION("""COMPUTED_VALUE"""),"H")</f>
        <v>H</v>
      </c>
      <c r="H3393" s="9" t="str">
        <f>IFERROR(__xludf.DUMMYFUNCTION("""COMPUTED_VALUE"""),"HSS")</f>
        <v>HSS</v>
      </c>
      <c r="I3393" s="9" t="str">
        <f>IFERROR(__xludf.DUMMYFUNCTION("""COMPUTED_VALUE"""),"PnSS")</f>
        <v>PnSS</v>
      </c>
      <c r="J3393" s="9" t="str">
        <f>IFERROR(__xludf.DUMMYFUNCTION("""COMPUTED_VALUE"""),"IsRh")</f>
        <v>IsRh</v>
      </c>
      <c r="K3393" s="9"/>
      <c r="L3393" s="9"/>
      <c r="M3393" s="9"/>
      <c r="N3393" s="9"/>
      <c r="O3393" s="9"/>
      <c r="P3393" s="9"/>
      <c r="Q3393" s="9"/>
      <c r="R3393" s="9"/>
      <c r="S3393" s="42"/>
      <c r="T3393" s="42"/>
      <c r="U3393" s="42"/>
      <c r="V3393" s="42"/>
      <c r="W3393" s="42"/>
      <c r="X3393" s="42"/>
      <c r="Y3393" s="42"/>
      <c r="Z3393" s="42"/>
      <c r="AA3393" s="42"/>
      <c r="AB3393" s="42" t="str">
        <f>IFERROR(__xludf.DUMMYFUNCTION("""COMPUTED_VALUE"""),"allen institute")</f>
        <v>allen institute</v>
      </c>
      <c r="AC3393" s="42" t="str">
        <f>IFERROR(__xludf.DUMMYFUNCTION("""COMPUTED_VALUE"""),"DHBA")</f>
        <v>DHBA</v>
      </c>
      <c r="AD3393" s="42"/>
      <c r="AE3393" s="42"/>
      <c r="AF3393" s="9"/>
      <c r="AG3393" s="9"/>
      <c r="AH3393" s="42"/>
      <c r="AI3393" s="42"/>
      <c r="AJ3393" s="42"/>
      <c r="AK3393" s="42"/>
      <c r="AL3393" s="42"/>
      <c r="AM3393" s="42"/>
      <c r="AN3393" s="42"/>
      <c r="AO3393" s="63" t="str">
        <f>IFERROR(__xludf.DUMMYFUNCTION("IF(ISBLANK(A3393),,IF(ISBLANK(S3393), A3393&amp;"";"", TEXTJOIN(CHAR(10), TRUE, A3393&amp;"";"", ARRAYFORMULA(VLOOKUP(SPLIT(S3393, "";"" &amp; CHAR(10)), $A:$AO, 41, FALSE)))))"),"IsRh;")</f>
        <v>IsRh;</v>
      </c>
      <c r="AP3393" s="89"/>
    </row>
    <row r="3394">
      <c r="A3394" s="151" t="str">
        <f>IFERROR(__xludf.DUMMYFUNCTION("""COMPUTED_VALUE"""),"pbr")</f>
        <v>pbr</v>
      </c>
      <c r="B3394" s="42" t="str">
        <f>IFERROR(__xludf.DUMMYFUNCTION("""COMPUTED_VALUE"""),"DHBA")</f>
        <v>DHBA</v>
      </c>
      <c r="C3394" s="42" t="str">
        <f>IFERROR(__xludf.DUMMYFUNCTION("""COMPUTED_VALUE"""),"parabrachial recess")</f>
        <v>parabrachial recess</v>
      </c>
      <c r="D3394" s="42">
        <f>IFERROR(__xludf.DUMMYFUNCTION("""COMPUTED_VALUE"""),3245.0)</f>
        <v>3245</v>
      </c>
      <c r="E3394" s="39" t="str">
        <f>IFERROR(__xludf.DUMMYFUNCTION("""COMPUTED_VALUE"""),"parabrachial recess")</f>
        <v>parabrachial recess</v>
      </c>
      <c r="F3394" s="9" t="str">
        <f>IFERROR(__xludf.DUMMYFUNCTION("""COMPUTED_VALUE"""),"Br")</f>
        <v>Br</v>
      </c>
      <c r="G3394" s="9" t="str">
        <f>IFERROR(__xludf.DUMMYFUNCTION("""COMPUTED_VALUE"""),"H")</f>
        <v>H</v>
      </c>
      <c r="H3394" s="9" t="str">
        <f>IFERROR(__xludf.DUMMYFUNCTION("""COMPUTED_VALUE"""),"HSS")</f>
        <v>HSS</v>
      </c>
      <c r="I3394" s="9" t="str">
        <f>IFERROR(__xludf.DUMMYFUNCTION("""COMPUTED_VALUE"""),"PnSS")</f>
        <v>PnSS</v>
      </c>
      <c r="J3394" s="9" t="str">
        <f>IFERROR(__xludf.DUMMYFUNCTION("""COMPUTED_VALUE"""),"pbr")</f>
        <v>pbr</v>
      </c>
      <c r="K3394" s="9"/>
      <c r="L3394" s="9"/>
      <c r="M3394" s="9"/>
      <c r="N3394" s="9"/>
      <c r="O3394" s="9"/>
      <c r="P3394" s="9"/>
      <c r="Q3394" s="9"/>
      <c r="R3394" s="9"/>
      <c r="S3394" s="42"/>
      <c r="T3394" s="42"/>
      <c r="U3394" s="42"/>
      <c r="V3394" s="42"/>
      <c r="W3394" s="42"/>
      <c r="X3394" s="42"/>
      <c r="Y3394" s="42"/>
      <c r="Z3394" s="42"/>
      <c r="AA3394" s="42"/>
      <c r="AB3394" s="42" t="str">
        <f>IFERROR(__xludf.DUMMYFUNCTION("""COMPUTED_VALUE"""),"allen institute")</f>
        <v>allen institute</v>
      </c>
      <c r="AC3394" s="42" t="str">
        <f>IFERROR(__xludf.DUMMYFUNCTION("""COMPUTED_VALUE"""),"DHBA")</f>
        <v>DHBA</v>
      </c>
      <c r="AD3394" s="42"/>
      <c r="AE3394" s="42"/>
      <c r="AF3394" s="9"/>
      <c r="AG3394" s="9"/>
      <c r="AH3394" s="42"/>
      <c r="AI3394" s="42"/>
      <c r="AJ3394" s="42"/>
      <c r="AK3394" s="42"/>
      <c r="AL3394" s="42"/>
      <c r="AM3394" s="42"/>
      <c r="AN3394" s="42"/>
      <c r="AO3394" s="63" t="str">
        <f>IFERROR(__xludf.DUMMYFUNCTION("IF(ISBLANK(A3394),,IF(ISBLANK(S3394), A3394&amp;"";"", TEXTJOIN(CHAR(10), TRUE, A3394&amp;"";"", ARRAYFORMULA(VLOOKUP(SPLIT(S3394, "";"" &amp; CHAR(10)), $A:$AO, 41, FALSE)))))"),"pbr;")</f>
        <v>pbr;</v>
      </c>
      <c r="AP3394" s="89"/>
    </row>
    <row r="3395">
      <c r="A3395" s="151" t="str">
        <f>IFERROR(__xludf.DUMMYFUNCTION("""COMPUTED_VALUE"""),"pmed")</f>
        <v>pmed</v>
      </c>
      <c r="B3395" s="42" t="str">
        <f>IFERROR(__xludf.DUMMYFUNCTION("""COMPUTED_VALUE"""),"DHBA")</f>
        <v>DHBA</v>
      </c>
      <c r="C3395" s="42" t="str">
        <f>IFERROR(__xludf.DUMMYFUNCTION("""COMPUTED_VALUE"""),"pontomedullary sulcus")</f>
        <v>pontomedullary sulcus</v>
      </c>
      <c r="D3395" s="42">
        <f>IFERROR(__xludf.DUMMYFUNCTION("""COMPUTED_VALUE"""),3246.0)</f>
        <v>3246</v>
      </c>
      <c r="E3395" s="39" t="str">
        <f>IFERROR(__xludf.DUMMYFUNCTION("""COMPUTED_VALUE"""),"pontomedullary sulcus")</f>
        <v>pontomedullary sulcus</v>
      </c>
      <c r="F3395" s="9" t="str">
        <f>IFERROR(__xludf.DUMMYFUNCTION("""COMPUTED_VALUE"""),"Br")</f>
        <v>Br</v>
      </c>
      <c r="G3395" s="9" t="str">
        <f>IFERROR(__xludf.DUMMYFUNCTION("""COMPUTED_VALUE"""),"H")</f>
        <v>H</v>
      </c>
      <c r="H3395" s="9" t="str">
        <f>IFERROR(__xludf.DUMMYFUNCTION("""COMPUTED_VALUE"""),"HSS")</f>
        <v>HSS</v>
      </c>
      <c r="I3395" s="9" t="str">
        <f>IFERROR(__xludf.DUMMYFUNCTION("""COMPUTED_VALUE"""),"PnSS")</f>
        <v>PnSS</v>
      </c>
      <c r="J3395" s="9" t="str">
        <f>IFERROR(__xludf.DUMMYFUNCTION("""COMPUTED_VALUE"""),"pmed")</f>
        <v>pmed</v>
      </c>
      <c r="K3395" s="9"/>
      <c r="L3395" s="9"/>
      <c r="M3395" s="9"/>
      <c r="N3395" s="9"/>
      <c r="O3395" s="9"/>
      <c r="P3395" s="9"/>
      <c r="Q3395" s="9"/>
      <c r="R3395" s="9"/>
      <c r="S3395" s="42"/>
      <c r="T3395" s="42" t="str">
        <f>IFERROR(__xludf.DUMMYFUNCTION("""COMPUTED_VALUE"""),"sulcus")</f>
        <v>sulcus</v>
      </c>
      <c r="U3395" s="42" t="b">
        <f>IFERROR(__xludf.DUMMYFUNCTION("""COMPUTED_VALUE"""),FALSE)</f>
        <v>0</v>
      </c>
      <c r="V3395" s="42"/>
      <c r="W3395" s="42"/>
      <c r="X3395" s="42"/>
      <c r="Y3395" s="42"/>
      <c r="Z3395" s="42"/>
      <c r="AA3395" s="42"/>
      <c r="AB3395" s="42" t="str">
        <f>IFERROR(__xludf.DUMMYFUNCTION("""COMPUTED_VALUE"""),"allen institute")</f>
        <v>allen institute</v>
      </c>
      <c r="AC3395" s="42" t="str">
        <f>IFERROR(__xludf.DUMMYFUNCTION("""COMPUTED_VALUE"""),"DHBA")</f>
        <v>DHBA</v>
      </c>
      <c r="AD3395" s="42"/>
      <c r="AE3395" s="42"/>
      <c r="AF3395" s="9"/>
      <c r="AG3395" s="9"/>
      <c r="AH3395" s="42"/>
      <c r="AI3395" s="42"/>
      <c r="AJ3395" s="42"/>
      <c r="AK3395" s="42"/>
      <c r="AL3395" s="42"/>
      <c r="AM3395" s="42"/>
      <c r="AN3395" s="42"/>
      <c r="AO3395" s="63" t="str">
        <f>IFERROR(__xludf.DUMMYFUNCTION("IF(ISBLANK(A3395),,IF(ISBLANK(S3395), A3395&amp;"";"", TEXTJOIN(CHAR(10), TRUE, A3395&amp;"";"", ARRAYFORMULA(VLOOKUP(SPLIT(S3395, "";"" &amp; CHAR(10)), $A:$AO, 41, FALSE)))))"),"pmed;")</f>
        <v>pmed;</v>
      </c>
      <c r="AP3395" s="89"/>
    </row>
    <row r="3396">
      <c r="A3396" s="151" t="str">
        <f>IFERROR(__xludf.DUMMYFUNCTION("""COMPUTED_VALUE"""),"pmes")</f>
        <v>pmes</v>
      </c>
      <c r="B3396" s="42" t="str">
        <f>IFERROR(__xludf.DUMMYFUNCTION("""COMPUTED_VALUE"""),"DHBA")</f>
        <v>DHBA</v>
      </c>
      <c r="C3396" s="42" t="str">
        <f>IFERROR(__xludf.DUMMYFUNCTION("""COMPUTED_VALUE"""),"pontomesencephalic sulcus")</f>
        <v>pontomesencephalic sulcus</v>
      </c>
      <c r="D3396" s="42">
        <f>IFERROR(__xludf.DUMMYFUNCTION("""COMPUTED_VALUE"""),3247.0)</f>
        <v>3247</v>
      </c>
      <c r="E3396" s="39" t="str">
        <f>IFERROR(__xludf.DUMMYFUNCTION("""COMPUTED_VALUE"""),"pontomesencephalic sulcus")</f>
        <v>pontomesencephalic sulcus</v>
      </c>
      <c r="F3396" s="9" t="str">
        <f>IFERROR(__xludf.DUMMYFUNCTION("""COMPUTED_VALUE"""),"Br")</f>
        <v>Br</v>
      </c>
      <c r="G3396" s="9" t="str">
        <f>IFERROR(__xludf.DUMMYFUNCTION("""COMPUTED_VALUE"""),"H")</f>
        <v>H</v>
      </c>
      <c r="H3396" s="9" t="str">
        <f>IFERROR(__xludf.DUMMYFUNCTION("""COMPUTED_VALUE"""),"HSS")</f>
        <v>HSS</v>
      </c>
      <c r="I3396" s="9" t="str">
        <f>IFERROR(__xludf.DUMMYFUNCTION("""COMPUTED_VALUE"""),"PnSS")</f>
        <v>PnSS</v>
      </c>
      <c r="J3396" s="9" t="str">
        <f>IFERROR(__xludf.DUMMYFUNCTION("""COMPUTED_VALUE"""),"pmes")</f>
        <v>pmes</v>
      </c>
      <c r="K3396" s="9"/>
      <c r="L3396" s="9"/>
      <c r="M3396" s="9"/>
      <c r="N3396" s="9"/>
      <c r="O3396" s="9"/>
      <c r="P3396" s="9"/>
      <c r="Q3396" s="9"/>
      <c r="R3396" s="9"/>
      <c r="S3396" s="42"/>
      <c r="T3396" s="42" t="str">
        <f>IFERROR(__xludf.DUMMYFUNCTION("""COMPUTED_VALUE"""),"sulcus")</f>
        <v>sulcus</v>
      </c>
      <c r="U3396" s="42" t="b">
        <f>IFERROR(__xludf.DUMMYFUNCTION("""COMPUTED_VALUE"""),FALSE)</f>
        <v>0</v>
      </c>
      <c r="V3396" s="42"/>
      <c r="W3396" s="42"/>
      <c r="X3396" s="42"/>
      <c r="Y3396" s="42"/>
      <c r="Z3396" s="42"/>
      <c r="AA3396" s="42"/>
      <c r="AB3396" s="42" t="str">
        <f>IFERROR(__xludf.DUMMYFUNCTION("""COMPUTED_VALUE"""),"allen institute")</f>
        <v>allen institute</v>
      </c>
      <c r="AC3396" s="42" t="str">
        <f>IFERROR(__xludf.DUMMYFUNCTION("""COMPUTED_VALUE"""),"DHBA")</f>
        <v>DHBA</v>
      </c>
      <c r="AD3396" s="42"/>
      <c r="AE3396" s="42"/>
      <c r="AF3396" s="9"/>
      <c r="AG3396" s="9"/>
      <c r="AH3396" s="42"/>
      <c r="AI3396" s="42"/>
      <c r="AJ3396" s="42"/>
      <c r="AK3396" s="42"/>
      <c r="AL3396" s="42"/>
      <c r="AM3396" s="42"/>
      <c r="AN3396" s="42"/>
      <c r="AO3396" s="63" t="str">
        <f>IFERROR(__xludf.DUMMYFUNCTION("IF(ISBLANK(A3396),,IF(ISBLANK(S3396), A3396&amp;"";"", TEXTJOIN(CHAR(10), TRUE, A3396&amp;"";"", ARRAYFORMULA(VLOOKUP(SPLIT(S3396, "";"" &amp; CHAR(10)), $A:$AO, 41, FALSE)))))"),"pmes;")</f>
        <v>pmes;</v>
      </c>
      <c r="AP3396" s="89"/>
    </row>
    <row r="3397">
      <c r="A3397" s="151" t="str">
        <f>IFERROR(__xludf.DUMMYFUNCTION("""COMPUTED_VALUE"""),"r6")</f>
        <v>r6</v>
      </c>
      <c r="B3397" s="42" t="str">
        <f>IFERROR(__xludf.DUMMYFUNCTION("""COMPUTED_VALUE"""),"DHBA")</f>
        <v>DHBA</v>
      </c>
      <c r="C3397" s="42" t="str">
        <f>IFERROR(__xludf.DUMMYFUNCTION("""COMPUTED_VALUE"""),"root of abducens nerve")</f>
        <v>root of abducens nerve</v>
      </c>
      <c r="D3397" s="42">
        <f>IFERROR(__xludf.DUMMYFUNCTION("""COMPUTED_VALUE"""),3248.0)</f>
        <v>3248</v>
      </c>
      <c r="E3397" s="39" t="str">
        <f>IFERROR(__xludf.DUMMYFUNCTION("""COMPUTED_VALUE"""),"root of abducens nerve")</f>
        <v>root of abducens nerve</v>
      </c>
      <c r="F3397" s="9" t="str">
        <f>IFERROR(__xludf.DUMMYFUNCTION("""COMPUTED_VALUE"""),"Br")</f>
        <v>Br</v>
      </c>
      <c r="G3397" s="9" t="str">
        <f>IFERROR(__xludf.DUMMYFUNCTION("""COMPUTED_VALUE"""),"H")</f>
        <v>H</v>
      </c>
      <c r="H3397" s="9" t="str">
        <f>IFERROR(__xludf.DUMMYFUNCTION("""COMPUTED_VALUE"""),"HSS")</f>
        <v>HSS</v>
      </c>
      <c r="I3397" s="9" t="str">
        <f>IFERROR(__xludf.DUMMYFUNCTION("""COMPUTED_VALUE"""),"PnSS")</f>
        <v>PnSS</v>
      </c>
      <c r="J3397" s="9" t="str">
        <f>IFERROR(__xludf.DUMMYFUNCTION("""COMPUTED_VALUE"""),"r6")</f>
        <v>r6</v>
      </c>
      <c r="K3397" s="9"/>
      <c r="L3397" s="9"/>
      <c r="M3397" s="9"/>
      <c r="N3397" s="9"/>
      <c r="O3397" s="9"/>
      <c r="P3397" s="9"/>
      <c r="Q3397" s="9"/>
      <c r="R3397" s="9"/>
      <c r="S3397" s="42"/>
      <c r="T3397" s="42"/>
      <c r="U3397" s="42"/>
      <c r="V3397" s="42"/>
      <c r="W3397" s="42"/>
      <c r="X3397" s="42"/>
      <c r="Y3397" s="42"/>
      <c r="Z3397" s="42"/>
      <c r="AA3397" s="42"/>
      <c r="AB3397" s="42" t="str">
        <f>IFERROR(__xludf.DUMMYFUNCTION("""COMPUTED_VALUE"""),"allen institute")</f>
        <v>allen institute</v>
      </c>
      <c r="AC3397" s="42" t="str">
        <f>IFERROR(__xludf.DUMMYFUNCTION("""COMPUTED_VALUE"""),"DHBA")</f>
        <v>DHBA</v>
      </c>
      <c r="AD3397" s="42"/>
      <c r="AE3397" s="42"/>
      <c r="AF3397" s="9"/>
      <c r="AG3397" s="9"/>
      <c r="AH3397" s="42"/>
      <c r="AI3397" s="42"/>
      <c r="AJ3397" s="42"/>
      <c r="AK3397" s="42"/>
      <c r="AL3397" s="42"/>
      <c r="AM3397" s="42"/>
      <c r="AN3397" s="42"/>
      <c r="AO3397" s="63" t="str">
        <f>IFERROR(__xludf.DUMMYFUNCTION("IF(ISBLANK(A3397),,IF(ISBLANK(S3397), A3397&amp;"";"", TEXTJOIN(CHAR(10), TRUE, A3397&amp;"";"", ARRAYFORMULA(VLOOKUP(SPLIT(S3397, "";"" &amp; CHAR(10)), $A:$AO, 41, FALSE)))))"),"r6;")</f>
        <v>r6;</v>
      </c>
      <c r="AP3397" s="89"/>
    </row>
    <row r="3398">
      <c r="A3398" s="151" t="str">
        <f>IFERROR(__xludf.DUMMYFUNCTION("""COMPUTED_VALUE"""),"r7")</f>
        <v>r7</v>
      </c>
      <c r="B3398" s="42" t="str">
        <f>IFERROR(__xludf.DUMMYFUNCTION("""COMPUTED_VALUE"""),"DHBA")</f>
        <v>DHBA</v>
      </c>
      <c r="C3398" s="42" t="str">
        <f>IFERROR(__xludf.DUMMYFUNCTION("""COMPUTED_VALUE"""),"root of facial nerve")</f>
        <v>root of facial nerve</v>
      </c>
      <c r="D3398" s="42">
        <f>IFERROR(__xludf.DUMMYFUNCTION("""COMPUTED_VALUE"""),3249.0)</f>
        <v>3249</v>
      </c>
      <c r="E3398" s="39" t="str">
        <f>IFERROR(__xludf.DUMMYFUNCTION("""COMPUTED_VALUE"""),"root of facial nerve")</f>
        <v>root of facial nerve</v>
      </c>
      <c r="F3398" s="9" t="str">
        <f>IFERROR(__xludf.DUMMYFUNCTION("""COMPUTED_VALUE"""),"Br")</f>
        <v>Br</v>
      </c>
      <c r="G3398" s="9" t="str">
        <f>IFERROR(__xludf.DUMMYFUNCTION("""COMPUTED_VALUE"""),"H")</f>
        <v>H</v>
      </c>
      <c r="H3398" s="9" t="str">
        <f>IFERROR(__xludf.DUMMYFUNCTION("""COMPUTED_VALUE"""),"HSS")</f>
        <v>HSS</v>
      </c>
      <c r="I3398" s="9" t="str">
        <f>IFERROR(__xludf.DUMMYFUNCTION("""COMPUTED_VALUE"""),"PnSS")</f>
        <v>PnSS</v>
      </c>
      <c r="J3398" s="9" t="str">
        <f>IFERROR(__xludf.DUMMYFUNCTION("""COMPUTED_VALUE"""),"r7")</f>
        <v>r7</v>
      </c>
      <c r="K3398" s="9"/>
      <c r="L3398" s="9"/>
      <c r="M3398" s="9"/>
      <c r="N3398" s="9"/>
      <c r="O3398" s="9"/>
      <c r="P3398" s="9"/>
      <c r="Q3398" s="9"/>
      <c r="R3398" s="9"/>
      <c r="S3398" s="42" t="str">
        <f>IFERROR(__xludf.DUMMYFUNCTION("""COMPUTED_VALUE"""),"r7m;
r7in")</f>
        <v>r7m;
r7in</v>
      </c>
      <c r="T3398" s="42"/>
      <c r="U3398" s="42" t="b">
        <f>IFERROR(__xludf.DUMMYFUNCTION("""COMPUTED_VALUE"""),FALSE)</f>
        <v>0</v>
      </c>
      <c r="V3398" s="42"/>
      <c r="W3398" s="42"/>
      <c r="X3398" s="42"/>
      <c r="Y3398" s="42"/>
      <c r="Z3398" s="42"/>
      <c r="AA3398" s="42"/>
      <c r="AB3398" s="42" t="str">
        <f>IFERROR(__xludf.DUMMYFUNCTION("""COMPUTED_VALUE"""),"allen institute")</f>
        <v>allen institute</v>
      </c>
      <c r="AC3398" s="42" t="str">
        <f>IFERROR(__xludf.DUMMYFUNCTION("""COMPUTED_VALUE"""),"DHBA")</f>
        <v>DHBA</v>
      </c>
      <c r="AD3398" s="42"/>
      <c r="AE3398" s="42"/>
      <c r="AF3398" s="9"/>
      <c r="AG3398" s="9"/>
      <c r="AH3398" s="42"/>
      <c r="AI3398" s="42"/>
      <c r="AJ3398" s="42"/>
      <c r="AK3398" s="42"/>
      <c r="AL3398" s="42"/>
      <c r="AM3398" s="42"/>
      <c r="AN3398" s="42"/>
      <c r="AO3398" s="63" t="str">
        <f>IFERROR(__xludf.DUMMYFUNCTION("IF(ISBLANK(A3398),,IF(ISBLANK(S3398), A3398&amp;"";"", TEXTJOIN(CHAR(10), TRUE, A3398&amp;"";"", ARRAYFORMULA(VLOOKUP(SPLIT(S3398, "";"" &amp; CHAR(10)), $A:$AO, 41, FALSE)))))"),"r7;
r7m;
r7in;")</f>
        <v>r7;
r7m;
r7in;</v>
      </c>
      <c r="AP3398" s="89"/>
    </row>
    <row r="3399">
      <c r="A3399" s="151" t="str">
        <f>IFERROR(__xludf.DUMMYFUNCTION("""COMPUTED_VALUE"""),"r7m")</f>
        <v>r7m</v>
      </c>
      <c r="B3399" s="42" t="str">
        <f>IFERROR(__xludf.DUMMYFUNCTION("""COMPUTED_VALUE"""),"DHBA")</f>
        <v>DHBA</v>
      </c>
      <c r="C3399" s="42" t="str">
        <f>IFERROR(__xludf.DUMMYFUNCTION("""COMPUTED_VALUE"""),"motor root of facial nerve")</f>
        <v>motor root of facial nerve</v>
      </c>
      <c r="D3399" s="42">
        <f>IFERROR(__xludf.DUMMYFUNCTION("""COMPUTED_VALUE"""),3250.0)</f>
        <v>3250</v>
      </c>
      <c r="E3399" s="39" t="str">
        <f>IFERROR(__xludf.DUMMYFUNCTION("""COMPUTED_VALUE"""),"motor root of facial nerve")</f>
        <v>motor root of facial nerve</v>
      </c>
      <c r="F3399" s="9" t="str">
        <f>IFERROR(__xludf.DUMMYFUNCTION("""COMPUTED_VALUE"""),"Br")</f>
        <v>Br</v>
      </c>
      <c r="G3399" s="9" t="str">
        <f>IFERROR(__xludf.DUMMYFUNCTION("""COMPUTED_VALUE"""),"H")</f>
        <v>H</v>
      </c>
      <c r="H3399" s="9" t="str">
        <f>IFERROR(__xludf.DUMMYFUNCTION("""COMPUTED_VALUE"""),"HSS")</f>
        <v>HSS</v>
      </c>
      <c r="I3399" s="9" t="str">
        <f>IFERROR(__xludf.DUMMYFUNCTION("""COMPUTED_VALUE"""),"PnSS")</f>
        <v>PnSS</v>
      </c>
      <c r="J3399" s="9" t="str">
        <f>IFERROR(__xludf.DUMMYFUNCTION("""COMPUTED_VALUE"""),"r7")</f>
        <v>r7</v>
      </c>
      <c r="K3399" s="9" t="str">
        <f>IFERROR(__xludf.DUMMYFUNCTION("""COMPUTED_VALUE"""),"r7m")</f>
        <v>r7m</v>
      </c>
      <c r="L3399" s="9"/>
      <c r="M3399" s="9"/>
      <c r="N3399" s="9"/>
      <c r="O3399" s="9"/>
      <c r="P3399" s="9"/>
      <c r="Q3399" s="9"/>
      <c r="R3399" s="9"/>
      <c r="S3399" s="42"/>
      <c r="T3399" s="42"/>
      <c r="U3399" s="42"/>
      <c r="V3399" s="42"/>
      <c r="W3399" s="42"/>
      <c r="X3399" s="42"/>
      <c r="Y3399" s="42"/>
      <c r="Z3399" s="42"/>
      <c r="AA3399" s="42"/>
      <c r="AB3399" s="42" t="str">
        <f>IFERROR(__xludf.DUMMYFUNCTION("""COMPUTED_VALUE"""),"allen institute")</f>
        <v>allen institute</v>
      </c>
      <c r="AC3399" s="42" t="str">
        <f>IFERROR(__xludf.DUMMYFUNCTION("""COMPUTED_VALUE"""),"DHBA")</f>
        <v>DHBA</v>
      </c>
      <c r="AD3399" s="42"/>
      <c r="AE3399" s="42"/>
      <c r="AF3399" s="9"/>
      <c r="AG3399" s="9"/>
      <c r="AH3399" s="42"/>
      <c r="AI3399" s="42"/>
      <c r="AJ3399" s="42"/>
      <c r="AK3399" s="42"/>
      <c r="AL3399" s="42"/>
      <c r="AM3399" s="42"/>
      <c r="AN3399" s="42"/>
      <c r="AO3399" s="63" t="str">
        <f>IFERROR(__xludf.DUMMYFUNCTION("IF(ISBLANK(A3399),,IF(ISBLANK(S3399), A3399&amp;"";"", TEXTJOIN(CHAR(10), TRUE, A3399&amp;"";"", ARRAYFORMULA(VLOOKUP(SPLIT(S3399, "";"" &amp; CHAR(10)), $A:$AO, 41, FALSE)))))"),"r7m;")</f>
        <v>r7m;</v>
      </c>
      <c r="AP3399" s="89"/>
    </row>
    <row r="3400">
      <c r="A3400" s="151" t="str">
        <f>IFERROR(__xludf.DUMMYFUNCTION("""COMPUTED_VALUE"""),"r7in")</f>
        <v>r7in</v>
      </c>
      <c r="B3400" s="42" t="str">
        <f>IFERROR(__xludf.DUMMYFUNCTION("""COMPUTED_VALUE"""),"DHBA")</f>
        <v>DHBA</v>
      </c>
      <c r="C3400" s="42" t="str">
        <f>IFERROR(__xludf.DUMMYFUNCTION("""COMPUTED_VALUE"""),"root of intermediate nerve")</f>
        <v>root of intermediate nerve</v>
      </c>
      <c r="D3400" s="42">
        <f>IFERROR(__xludf.DUMMYFUNCTION("""COMPUTED_VALUE"""),3251.0)</f>
        <v>3251</v>
      </c>
      <c r="E3400" s="39" t="str">
        <f>IFERROR(__xludf.DUMMYFUNCTION("""COMPUTED_VALUE"""),"root of intermediate nerve")</f>
        <v>root of intermediate nerve</v>
      </c>
      <c r="F3400" s="9" t="str">
        <f>IFERROR(__xludf.DUMMYFUNCTION("""COMPUTED_VALUE"""),"Br")</f>
        <v>Br</v>
      </c>
      <c r="G3400" s="9" t="str">
        <f>IFERROR(__xludf.DUMMYFUNCTION("""COMPUTED_VALUE"""),"H")</f>
        <v>H</v>
      </c>
      <c r="H3400" s="9" t="str">
        <f>IFERROR(__xludf.DUMMYFUNCTION("""COMPUTED_VALUE"""),"HSS")</f>
        <v>HSS</v>
      </c>
      <c r="I3400" s="9" t="str">
        <f>IFERROR(__xludf.DUMMYFUNCTION("""COMPUTED_VALUE"""),"PnSS")</f>
        <v>PnSS</v>
      </c>
      <c r="J3400" s="9" t="str">
        <f>IFERROR(__xludf.DUMMYFUNCTION("""COMPUTED_VALUE"""),"r7")</f>
        <v>r7</v>
      </c>
      <c r="K3400" s="9" t="str">
        <f>IFERROR(__xludf.DUMMYFUNCTION("""COMPUTED_VALUE"""),"r7in")</f>
        <v>r7in</v>
      </c>
      <c r="L3400" s="9"/>
      <c r="M3400" s="9"/>
      <c r="N3400" s="9"/>
      <c r="O3400" s="9"/>
      <c r="P3400" s="9"/>
      <c r="Q3400" s="9"/>
      <c r="R3400" s="9"/>
      <c r="S3400" s="42"/>
      <c r="T3400" s="42"/>
      <c r="U3400" s="42"/>
      <c r="V3400" s="42"/>
      <c r="W3400" s="42"/>
      <c r="X3400" s="42"/>
      <c r="Y3400" s="42"/>
      <c r="Z3400" s="42"/>
      <c r="AA3400" s="42"/>
      <c r="AB3400" s="42" t="str">
        <f>IFERROR(__xludf.DUMMYFUNCTION("""COMPUTED_VALUE"""),"allen institute")</f>
        <v>allen institute</v>
      </c>
      <c r="AC3400" s="42" t="str">
        <f>IFERROR(__xludf.DUMMYFUNCTION("""COMPUTED_VALUE"""),"DHBA")</f>
        <v>DHBA</v>
      </c>
      <c r="AD3400" s="42"/>
      <c r="AE3400" s="42"/>
      <c r="AF3400" s="9"/>
      <c r="AG3400" s="9"/>
      <c r="AH3400" s="42"/>
      <c r="AI3400" s="42"/>
      <c r="AJ3400" s="42"/>
      <c r="AK3400" s="42"/>
      <c r="AL3400" s="42"/>
      <c r="AM3400" s="42"/>
      <c r="AN3400" s="42"/>
      <c r="AO3400" s="63" t="str">
        <f>IFERROR(__xludf.DUMMYFUNCTION("IF(ISBLANK(A3400),,IF(ISBLANK(S3400), A3400&amp;"";"", TEXTJOIN(CHAR(10), TRUE, A3400&amp;"";"", ARRAYFORMULA(VLOOKUP(SPLIT(S3400, "";"" &amp; CHAR(10)), $A:$AO, 41, FALSE)))))"),"r7in;")</f>
        <v>r7in;</v>
      </c>
      <c r="AP3400" s="89"/>
    </row>
    <row r="3401">
      <c r="A3401" s="151" t="str">
        <f>IFERROR(__xludf.DUMMYFUNCTION("""COMPUTED_VALUE"""),"r5")</f>
        <v>r5</v>
      </c>
      <c r="B3401" s="42" t="str">
        <f>IFERROR(__xludf.DUMMYFUNCTION("""COMPUTED_VALUE"""),"DHBA")</f>
        <v>DHBA</v>
      </c>
      <c r="C3401" s="42" t="str">
        <f>IFERROR(__xludf.DUMMYFUNCTION("""COMPUTED_VALUE"""),"root of trigeminal nerve")</f>
        <v>root of trigeminal nerve</v>
      </c>
      <c r="D3401" s="42">
        <f>IFERROR(__xludf.DUMMYFUNCTION("""COMPUTED_VALUE"""),3252.0)</f>
        <v>3252</v>
      </c>
      <c r="E3401" s="39" t="str">
        <f>IFERROR(__xludf.DUMMYFUNCTION("""COMPUTED_VALUE"""),"root of trigeminal nerve")</f>
        <v>root of trigeminal nerve</v>
      </c>
      <c r="F3401" s="9" t="str">
        <f>IFERROR(__xludf.DUMMYFUNCTION("""COMPUTED_VALUE"""),"Br")</f>
        <v>Br</v>
      </c>
      <c r="G3401" s="9" t="str">
        <f>IFERROR(__xludf.DUMMYFUNCTION("""COMPUTED_VALUE"""),"H")</f>
        <v>H</v>
      </c>
      <c r="H3401" s="9" t="str">
        <f>IFERROR(__xludf.DUMMYFUNCTION("""COMPUTED_VALUE"""),"HSS")</f>
        <v>HSS</v>
      </c>
      <c r="I3401" s="9" t="str">
        <f>IFERROR(__xludf.DUMMYFUNCTION("""COMPUTED_VALUE"""),"PnSS")</f>
        <v>PnSS</v>
      </c>
      <c r="J3401" s="9" t="str">
        <f>IFERROR(__xludf.DUMMYFUNCTION("""COMPUTED_VALUE"""),"r5")</f>
        <v>r5</v>
      </c>
      <c r="K3401" s="9"/>
      <c r="L3401" s="9"/>
      <c r="M3401" s="9"/>
      <c r="N3401" s="9"/>
      <c r="O3401" s="9"/>
      <c r="P3401" s="9"/>
      <c r="Q3401" s="9"/>
      <c r="R3401" s="9"/>
      <c r="S3401" s="42" t="str">
        <f>IFERROR(__xludf.DUMMYFUNCTION("""COMPUTED_VALUE"""),"r5m;
r5s")</f>
        <v>r5m;
r5s</v>
      </c>
      <c r="T3401" s="42"/>
      <c r="U3401" s="42" t="b">
        <f>IFERROR(__xludf.DUMMYFUNCTION("""COMPUTED_VALUE"""),FALSE)</f>
        <v>0</v>
      </c>
      <c r="V3401" s="42"/>
      <c r="W3401" s="42"/>
      <c r="X3401" s="42"/>
      <c r="Y3401" s="42"/>
      <c r="Z3401" s="42"/>
      <c r="AA3401" s="42"/>
      <c r="AB3401" s="42" t="str">
        <f>IFERROR(__xludf.DUMMYFUNCTION("""COMPUTED_VALUE"""),"allen institute")</f>
        <v>allen institute</v>
      </c>
      <c r="AC3401" s="42" t="str">
        <f>IFERROR(__xludf.DUMMYFUNCTION("""COMPUTED_VALUE"""),"DHBA")</f>
        <v>DHBA</v>
      </c>
      <c r="AD3401" s="42"/>
      <c r="AE3401" s="42"/>
      <c r="AF3401" s="9"/>
      <c r="AG3401" s="9"/>
      <c r="AH3401" s="42"/>
      <c r="AI3401" s="42"/>
      <c r="AJ3401" s="42"/>
      <c r="AK3401" s="42"/>
      <c r="AL3401" s="42"/>
      <c r="AM3401" s="42"/>
      <c r="AN3401" s="42"/>
      <c r="AO3401" s="63" t="str">
        <f>IFERROR(__xludf.DUMMYFUNCTION("IF(ISBLANK(A3401),,IF(ISBLANK(S3401), A3401&amp;"";"", TEXTJOIN(CHAR(10), TRUE, A3401&amp;"";"", ARRAYFORMULA(VLOOKUP(SPLIT(S3401, "";"" &amp; CHAR(10)), $A:$AO, 41, FALSE)))))"),"r5;
r5m;
r5s;")</f>
        <v>r5;
r5m;
r5s;</v>
      </c>
      <c r="AP3401" s="89"/>
    </row>
    <row r="3402">
      <c r="A3402" s="151" t="str">
        <f>IFERROR(__xludf.DUMMYFUNCTION("""COMPUTED_VALUE"""),"r5m")</f>
        <v>r5m</v>
      </c>
      <c r="B3402" s="42" t="str">
        <f>IFERROR(__xludf.DUMMYFUNCTION("""COMPUTED_VALUE"""),"DHBA")</f>
        <v>DHBA</v>
      </c>
      <c r="C3402" s="42" t="str">
        <f>IFERROR(__xludf.DUMMYFUNCTION("""COMPUTED_VALUE"""),"motor root of trigeminal nerve")</f>
        <v>motor root of trigeminal nerve</v>
      </c>
      <c r="D3402" s="42">
        <f>IFERROR(__xludf.DUMMYFUNCTION("""COMPUTED_VALUE"""),3253.0)</f>
        <v>3253</v>
      </c>
      <c r="E3402" s="39" t="str">
        <f>IFERROR(__xludf.DUMMYFUNCTION("""COMPUTED_VALUE"""),"motor root of trigeminal nerve")</f>
        <v>motor root of trigeminal nerve</v>
      </c>
      <c r="F3402" s="9" t="str">
        <f>IFERROR(__xludf.DUMMYFUNCTION("""COMPUTED_VALUE"""),"Br")</f>
        <v>Br</v>
      </c>
      <c r="G3402" s="9" t="str">
        <f>IFERROR(__xludf.DUMMYFUNCTION("""COMPUTED_VALUE"""),"H")</f>
        <v>H</v>
      </c>
      <c r="H3402" s="9" t="str">
        <f>IFERROR(__xludf.DUMMYFUNCTION("""COMPUTED_VALUE"""),"HSS")</f>
        <v>HSS</v>
      </c>
      <c r="I3402" s="9" t="str">
        <f>IFERROR(__xludf.DUMMYFUNCTION("""COMPUTED_VALUE"""),"PnSS")</f>
        <v>PnSS</v>
      </c>
      <c r="J3402" s="9" t="str">
        <f>IFERROR(__xludf.DUMMYFUNCTION("""COMPUTED_VALUE"""),"r5")</f>
        <v>r5</v>
      </c>
      <c r="K3402" s="9" t="str">
        <f>IFERROR(__xludf.DUMMYFUNCTION("""COMPUTED_VALUE"""),"r5m")</f>
        <v>r5m</v>
      </c>
      <c r="L3402" s="9"/>
      <c r="M3402" s="9"/>
      <c r="N3402" s="9"/>
      <c r="O3402" s="9"/>
      <c r="P3402" s="9"/>
      <c r="Q3402" s="9"/>
      <c r="R3402" s="9"/>
      <c r="S3402" s="42"/>
      <c r="T3402" s="42"/>
      <c r="U3402" s="42"/>
      <c r="V3402" s="42"/>
      <c r="W3402" s="42"/>
      <c r="X3402" s="42"/>
      <c r="Y3402" s="42"/>
      <c r="Z3402" s="42"/>
      <c r="AA3402" s="42"/>
      <c r="AB3402" s="42" t="str">
        <f>IFERROR(__xludf.DUMMYFUNCTION("""COMPUTED_VALUE"""),"allen institute")</f>
        <v>allen institute</v>
      </c>
      <c r="AC3402" s="42" t="str">
        <f>IFERROR(__xludf.DUMMYFUNCTION("""COMPUTED_VALUE"""),"DHBA")</f>
        <v>DHBA</v>
      </c>
      <c r="AD3402" s="42"/>
      <c r="AE3402" s="42"/>
      <c r="AF3402" s="9"/>
      <c r="AG3402" s="9"/>
      <c r="AH3402" s="42"/>
      <c r="AI3402" s="42"/>
      <c r="AJ3402" s="42"/>
      <c r="AK3402" s="42"/>
      <c r="AL3402" s="42"/>
      <c r="AM3402" s="42"/>
      <c r="AN3402" s="42"/>
      <c r="AO3402" s="63" t="str">
        <f>IFERROR(__xludf.DUMMYFUNCTION("IF(ISBLANK(A3402),,IF(ISBLANK(S3402), A3402&amp;"";"", TEXTJOIN(CHAR(10), TRUE, A3402&amp;"";"", ARRAYFORMULA(VLOOKUP(SPLIT(S3402, "";"" &amp; CHAR(10)), $A:$AO, 41, FALSE)))))"),"r5m;")</f>
        <v>r5m;</v>
      </c>
      <c r="AP3402" s="89"/>
    </row>
    <row r="3403">
      <c r="A3403" s="151" t="str">
        <f>IFERROR(__xludf.DUMMYFUNCTION("""COMPUTED_VALUE"""),"r5s")</f>
        <v>r5s</v>
      </c>
      <c r="B3403" s="42" t="str">
        <f>IFERROR(__xludf.DUMMYFUNCTION("""COMPUTED_VALUE"""),"DHBA")</f>
        <v>DHBA</v>
      </c>
      <c r="C3403" s="42" t="str">
        <f>IFERROR(__xludf.DUMMYFUNCTION("""COMPUTED_VALUE"""),"sensory root of trigeminal nerve")</f>
        <v>sensory root of trigeminal nerve</v>
      </c>
      <c r="D3403" s="42">
        <f>IFERROR(__xludf.DUMMYFUNCTION("""COMPUTED_VALUE"""),3254.0)</f>
        <v>3254</v>
      </c>
      <c r="E3403" s="39" t="str">
        <f>IFERROR(__xludf.DUMMYFUNCTION("""COMPUTED_VALUE"""),"sensory root of trigeminal nerve")</f>
        <v>sensory root of trigeminal nerve</v>
      </c>
      <c r="F3403" s="9" t="str">
        <f>IFERROR(__xludf.DUMMYFUNCTION("""COMPUTED_VALUE"""),"Br")</f>
        <v>Br</v>
      </c>
      <c r="G3403" s="9" t="str">
        <f>IFERROR(__xludf.DUMMYFUNCTION("""COMPUTED_VALUE"""),"H")</f>
        <v>H</v>
      </c>
      <c r="H3403" s="9" t="str">
        <f>IFERROR(__xludf.DUMMYFUNCTION("""COMPUTED_VALUE"""),"HSS")</f>
        <v>HSS</v>
      </c>
      <c r="I3403" s="9" t="str">
        <f>IFERROR(__xludf.DUMMYFUNCTION("""COMPUTED_VALUE"""),"PnSS")</f>
        <v>PnSS</v>
      </c>
      <c r="J3403" s="9" t="str">
        <f>IFERROR(__xludf.DUMMYFUNCTION("""COMPUTED_VALUE"""),"r5")</f>
        <v>r5</v>
      </c>
      <c r="K3403" s="9" t="str">
        <f>IFERROR(__xludf.DUMMYFUNCTION("""COMPUTED_VALUE"""),"r5s")</f>
        <v>r5s</v>
      </c>
      <c r="L3403" s="9"/>
      <c r="M3403" s="9"/>
      <c r="N3403" s="9"/>
      <c r="O3403" s="9"/>
      <c r="P3403" s="9"/>
      <c r="Q3403" s="9"/>
      <c r="R3403" s="9"/>
      <c r="S3403" s="42"/>
      <c r="T3403" s="42"/>
      <c r="U3403" s="42"/>
      <c r="V3403" s="42"/>
      <c r="W3403" s="42"/>
      <c r="X3403" s="42"/>
      <c r="Y3403" s="42"/>
      <c r="Z3403" s="42"/>
      <c r="AA3403" s="42"/>
      <c r="AB3403" s="42" t="str">
        <f>IFERROR(__xludf.DUMMYFUNCTION("""COMPUTED_VALUE"""),"allen institute")</f>
        <v>allen institute</v>
      </c>
      <c r="AC3403" s="42" t="str">
        <f>IFERROR(__xludf.DUMMYFUNCTION("""COMPUTED_VALUE"""),"DHBA")</f>
        <v>DHBA</v>
      </c>
      <c r="AD3403" s="42"/>
      <c r="AE3403" s="42"/>
      <c r="AF3403" s="9"/>
      <c r="AG3403" s="9"/>
      <c r="AH3403" s="42"/>
      <c r="AI3403" s="42"/>
      <c r="AJ3403" s="42"/>
      <c r="AK3403" s="42"/>
      <c r="AL3403" s="42"/>
      <c r="AM3403" s="42"/>
      <c r="AN3403" s="42"/>
      <c r="AO3403" s="63" t="str">
        <f>IFERROR(__xludf.DUMMYFUNCTION("IF(ISBLANK(A3403),,IF(ISBLANK(S3403), A3403&amp;"";"", TEXTJOIN(CHAR(10), TRUE, A3403&amp;"";"", ARRAYFORMULA(VLOOKUP(SPLIT(S3403, "";"" &amp; CHAR(10)), $A:$AO, 41, FALSE)))))"),"r5s;")</f>
        <v>r5s;</v>
      </c>
      <c r="AP3403" s="89"/>
    </row>
    <row r="3404">
      <c r="A3404" s="151" t="str">
        <f>IFERROR(__xludf.DUMMYFUNCTION("""COMPUTED_VALUE"""),"r8")</f>
        <v>r8</v>
      </c>
      <c r="B3404" s="42" t="str">
        <f>IFERROR(__xludf.DUMMYFUNCTION("""COMPUTED_VALUE"""),"DHBA")</f>
        <v>DHBA</v>
      </c>
      <c r="C3404" s="42" t="str">
        <f>IFERROR(__xludf.DUMMYFUNCTION("""COMPUTED_VALUE"""),"root of vestibulocochlear nerve")</f>
        <v>root of vestibulocochlear nerve</v>
      </c>
      <c r="D3404" s="42">
        <f>IFERROR(__xludf.DUMMYFUNCTION("""COMPUTED_VALUE"""),3255.0)</f>
        <v>3255</v>
      </c>
      <c r="E3404" s="39" t="str">
        <f>IFERROR(__xludf.DUMMYFUNCTION("""COMPUTED_VALUE"""),"root of vestibulocochlear nerve")</f>
        <v>root of vestibulocochlear nerve</v>
      </c>
      <c r="F3404" s="9" t="str">
        <f>IFERROR(__xludf.DUMMYFUNCTION("""COMPUTED_VALUE"""),"Br")</f>
        <v>Br</v>
      </c>
      <c r="G3404" s="9" t="str">
        <f>IFERROR(__xludf.DUMMYFUNCTION("""COMPUTED_VALUE"""),"H")</f>
        <v>H</v>
      </c>
      <c r="H3404" s="9" t="str">
        <f>IFERROR(__xludf.DUMMYFUNCTION("""COMPUTED_VALUE"""),"HSS")</f>
        <v>HSS</v>
      </c>
      <c r="I3404" s="9" t="str">
        <f>IFERROR(__xludf.DUMMYFUNCTION("""COMPUTED_VALUE"""),"PnSS")</f>
        <v>PnSS</v>
      </c>
      <c r="J3404" s="9" t="str">
        <f>IFERROR(__xludf.DUMMYFUNCTION("""COMPUTED_VALUE"""),"r8")</f>
        <v>r8</v>
      </c>
      <c r="K3404" s="9"/>
      <c r="L3404" s="9"/>
      <c r="M3404" s="9"/>
      <c r="N3404" s="9"/>
      <c r="O3404" s="9"/>
      <c r="P3404" s="9"/>
      <c r="Q3404" s="9"/>
      <c r="R3404" s="9"/>
      <c r="S3404" s="42" t="str">
        <f>IFERROR(__xludf.DUMMYFUNCTION("""COMPUTED_VALUE"""),"r8co;
r8ve")</f>
        <v>r8co;
r8ve</v>
      </c>
      <c r="T3404" s="42"/>
      <c r="U3404" s="42" t="b">
        <f>IFERROR(__xludf.DUMMYFUNCTION("""COMPUTED_VALUE"""),FALSE)</f>
        <v>0</v>
      </c>
      <c r="V3404" s="42"/>
      <c r="W3404" s="42"/>
      <c r="X3404" s="42"/>
      <c r="Y3404" s="42"/>
      <c r="Z3404" s="42"/>
      <c r="AA3404" s="42"/>
      <c r="AB3404" s="42" t="str">
        <f>IFERROR(__xludf.DUMMYFUNCTION("""COMPUTED_VALUE"""),"allen institute")</f>
        <v>allen institute</v>
      </c>
      <c r="AC3404" s="42" t="str">
        <f>IFERROR(__xludf.DUMMYFUNCTION("""COMPUTED_VALUE"""),"DHBA")</f>
        <v>DHBA</v>
      </c>
      <c r="AD3404" s="42"/>
      <c r="AE3404" s="42"/>
      <c r="AF3404" s="9"/>
      <c r="AG3404" s="9"/>
      <c r="AH3404" s="42"/>
      <c r="AI3404" s="42"/>
      <c r="AJ3404" s="42"/>
      <c r="AK3404" s="42"/>
      <c r="AL3404" s="42"/>
      <c r="AM3404" s="42"/>
      <c r="AN3404" s="42"/>
      <c r="AO3404" s="63" t="str">
        <f>IFERROR(__xludf.DUMMYFUNCTION("IF(ISBLANK(A3404),,IF(ISBLANK(S3404), A3404&amp;"";"", TEXTJOIN(CHAR(10), TRUE, A3404&amp;"";"", ARRAYFORMULA(VLOOKUP(SPLIT(S3404, "";"" &amp; CHAR(10)), $A:$AO, 41, FALSE)))))"),"r8;
r8co;
r8ve;")</f>
        <v>r8;
r8co;
r8ve;</v>
      </c>
      <c r="AP3404" s="89"/>
    </row>
    <row r="3405">
      <c r="A3405" s="151" t="str">
        <f>IFERROR(__xludf.DUMMYFUNCTION("""COMPUTED_VALUE"""),"r8co")</f>
        <v>r8co</v>
      </c>
      <c r="B3405" s="42" t="str">
        <f>IFERROR(__xludf.DUMMYFUNCTION("""COMPUTED_VALUE"""),"DHBA")</f>
        <v>DHBA</v>
      </c>
      <c r="C3405" s="42" t="str">
        <f>IFERROR(__xludf.DUMMYFUNCTION("""COMPUTED_VALUE"""),"cochlear root of vestibulocochlear nerve")</f>
        <v>cochlear root of vestibulocochlear nerve</v>
      </c>
      <c r="D3405" s="42">
        <f>IFERROR(__xludf.DUMMYFUNCTION("""COMPUTED_VALUE"""),3256.0)</f>
        <v>3256</v>
      </c>
      <c r="E3405" s="39" t="str">
        <f>IFERROR(__xludf.DUMMYFUNCTION("""COMPUTED_VALUE"""),"cochlear root of vestibulocochlear nerve")</f>
        <v>cochlear root of vestibulocochlear nerve</v>
      </c>
      <c r="F3405" s="9" t="str">
        <f>IFERROR(__xludf.DUMMYFUNCTION("""COMPUTED_VALUE"""),"Br")</f>
        <v>Br</v>
      </c>
      <c r="G3405" s="9" t="str">
        <f>IFERROR(__xludf.DUMMYFUNCTION("""COMPUTED_VALUE"""),"H")</f>
        <v>H</v>
      </c>
      <c r="H3405" s="9" t="str">
        <f>IFERROR(__xludf.DUMMYFUNCTION("""COMPUTED_VALUE"""),"HSS")</f>
        <v>HSS</v>
      </c>
      <c r="I3405" s="9" t="str">
        <f>IFERROR(__xludf.DUMMYFUNCTION("""COMPUTED_VALUE"""),"PnSS")</f>
        <v>PnSS</v>
      </c>
      <c r="J3405" s="9" t="str">
        <f>IFERROR(__xludf.DUMMYFUNCTION("""COMPUTED_VALUE"""),"r8")</f>
        <v>r8</v>
      </c>
      <c r="K3405" s="9" t="str">
        <f>IFERROR(__xludf.DUMMYFUNCTION("""COMPUTED_VALUE"""),"r8co")</f>
        <v>r8co</v>
      </c>
      <c r="L3405" s="9"/>
      <c r="M3405" s="9"/>
      <c r="N3405" s="9"/>
      <c r="O3405" s="9"/>
      <c r="P3405" s="9"/>
      <c r="Q3405" s="9"/>
      <c r="R3405" s="9"/>
      <c r="S3405" s="42"/>
      <c r="T3405" s="42"/>
      <c r="U3405" s="42"/>
      <c r="V3405" s="42"/>
      <c r="W3405" s="42"/>
      <c r="X3405" s="42"/>
      <c r="Y3405" s="42"/>
      <c r="Z3405" s="42"/>
      <c r="AA3405" s="42"/>
      <c r="AB3405" s="42" t="str">
        <f>IFERROR(__xludf.DUMMYFUNCTION("""COMPUTED_VALUE"""),"allen institute")</f>
        <v>allen institute</v>
      </c>
      <c r="AC3405" s="42" t="str">
        <f>IFERROR(__xludf.DUMMYFUNCTION("""COMPUTED_VALUE"""),"DHBA")</f>
        <v>DHBA</v>
      </c>
      <c r="AD3405" s="42"/>
      <c r="AE3405" s="42"/>
      <c r="AF3405" s="9"/>
      <c r="AG3405" s="9"/>
      <c r="AH3405" s="42"/>
      <c r="AI3405" s="42"/>
      <c r="AJ3405" s="42"/>
      <c r="AK3405" s="42"/>
      <c r="AL3405" s="42"/>
      <c r="AM3405" s="42"/>
      <c r="AN3405" s="42"/>
      <c r="AO3405" s="63" t="str">
        <f>IFERROR(__xludf.DUMMYFUNCTION("IF(ISBLANK(A3405),,IF(ISBLANK(S3405), A3405&amp;"";"", TEXTJOIN(CHAR(10), TRUE, A3405&amp;"";"", ARRAYFORMULA(VLOOKUP(SPLIT(S3405, "";"" &amp; CHAR(10)), $A:$AO, 41, FALSE)))))"),"r8co;")</f>
        <v>r8co;</v>
      </c>
      <c r="AP3405" s="89"/>
    </row>
    <row r="3406">
      <c r="A3406" s="151" t="str">
        <f>IFERROR(__xludf.DUMMYFUNCTION("""COMPUTED_VALUE"""),"r8ve")</f>
        <v>r8ve</v>
      </c>
      <c r="B3406" s="42" t="str">
        <f>IFERROR(__xludf.DUMMYFUNCTION("""COMPUTED_VALUE"""),"DHBA")</f>
        <v>DHBA</v>
      </c>
      <c r="C3406" s="42" t="str">
        <f>IFERROR(__xludf.DUMMYFUNCTION("""COMPUTED_VALUE"""),"vestibular root of vestibulocochlear nerve")</f>
        <v>vestibular root of vestibulocochlear nerve</v>
      </c>
      <c r="D3406" s="42">
        <f>IFERROR(__xludf.DUMMYFUNCTION("""COMPUTED_VALUE"""),3257.0)</f>
        <v>3257</v>
      </c>
      <c r="E3406" s="39" t="str">
        <f>IFERROR(__xludf.DUMMYFUNCTION("""COMPUTED_VALUE"""),"vestibular root of vestibulocochlear nerve")</f>
        <v>vestibular root of vestibulocochlear nerve</v>
      </c>
      <c r="F3406" s="9" t="str">
        <f>IFERROR(__xludf.DUMMYFUNCTION("""COMPUTED_VALUE"""),"Br")</f>
        <v>Br</v>
      </c>
      <c r="G3406" s="9" t="str">
        <f>IFERROR(__xludf.DUMMYFUNCTION("""COMPUTED_VALUE"""),"H")</f>
        <v>H</v>
      </c>
      <c r="H3406" s="9" t="str">
        <f>IFERROR(__xludf.DUMMYFUNCTION("""COMPUTED_VALUE"""),"HSS")</f>
        <v>HSS</v>
      </c>
      <c r="I3406" s="9" t="str">
        <f>IFERROR(__xludf.DUMMYFUNCTION("""COMPUTED_VALUE"""),"PnSS")</f>
        <v>PnSS</v>
      </c>
      <c r="J3406" s="9" t="str">
        <f>IFERROR(__xludf.DUMMYFUNCTION("""COMPUTED_VALUE"""),"r8")</f>
        <v>r8</v>
      </c>
      <c r="K3406" s="9" t="str">
        <f>IFERROR(__xludf.DUMMYFUNCTION("""COMPUTED_VALUE"""),"r8ve")</f>
        <v>r8ve</v>
      </c>
      <c r="L3406" s="9"/>
      <c r="M3406" s="9"/>
      <c r="N3406" s="9"/>
      <c r="O3406" s="9"/>
      <c r="P3406" s="9"/>
      <c r="Q3406" s="9"/>
      <c r="R3406" s="9"/>
      <c r="S3406" s="42"/>
      <c r="T3406" s="42"/>
      <c r="U3406" s="42"/>
      <c r="V3406" s="42"/>
      <c r="W3406" s="42"/>
      <c r="X3406" s="42"/>
      <c r="Y3406" s="42"/>
      <c r="Z3406" s="42"/>
      <c r="AA3406" s="42"/>
      <c r="AB3406" s="42" t="str">
        <f>IFERROR(__xludf.DUMMYFUNCTION("""COMPUTED_VALUE"""),"allen institute")</f>
        <v>allen institute</v>
      </c>
      <c r="AC3406" s="42" t="str">
        <f>IFERROR(__xludf.DUMMYFUNCTION("""COMPUTED_VALUE"""),"DHBA")</f>
        <v>DHBA</v>
      </c>
      <c r="AD3406" s="42"/>
      <c r="AE3406" s="42"/>
      <c r="AF3406" s="9"/>
      <c r="AG3406" s="9"/>
      <c r="AH3406" s="42"/>
      <c r="AI3406" s="42"/>
      <c r="AJ3406" s="42"/>
      <c r="AK3406" s="42"/>
      <c r="AL3406" s="42"/>
      <c r="AM3406" s="42"/>
      <c r="AN3406" s="42"/>
      <c r="AO3406" s="63" t="str">
        <f>IFERROR(__xludf.DUMMYFUNCTION("IF(ISBLANK(A3406),,IF(ISBLANK(S3406), A3406&amp;"";"", TEXTJOIN(CHAR(10), TRUE, A3406&amp;"";"", ARRAYFORMULA(VLOOKUP(SPLIT(S3406, "";"" &amp; CHAR(10)), $A:$AO, 41, FALSE)))))"),"r8ve;")</f>
        <v>r8ve;</v>
      </c>
      <c r="AP3406" s="89"/>
    </row>
    <row r="3407">
      <c r="A3407" s="151" t="str">
        <f>IFERROR(__xludf.DUMMYFUNCTION("""COMPUTED_VALUE"""),"rmv")</f>
        <v>rmv</v>
      </c>
      <c r="B3407" s="42" t="str">
        <f>IFERROR(__xludf.DUMMYFUNCTION("""COMPUTED_VALUE"""),"DHBA")</f>
        <v>DHBA</v>
      </c>
      <c r="C3407" s="42" t="str">
        <f>IFERROR(__xludf.DUMMYFUNCTION("""COMPUTED_VALUE"""),"rostral (anterior) medullary velum")</f>
        <v>rostral (anterior) medullary velum</v>
      </c>
      <c r="D3407" s="42">
        <f>IFERROR(__xludf.DUMMYFUNCTION("""COMPUTED_VALUE"""),3258.0)</f>
        <v>3258</v>
      </c>
      <c r="E3407" s="39" t="str">
        <f>IFERROR(__xludf.DUMMYFUNCTION("""COMPUTED_VALUE"""),"rostral (anterior) medullary velum")</f>
        <v>rostral (anterior) medullary velum</v>
      </c>
      <c r="F3407" s="9" t="str">
        <f>IFERROR(__xludf.DUMMYFUNCTION("""COMPUTED_VALUE"""),"Br")</f>
        <v>Br</v>
      </c>
      <c r="G3407" s="9" t="str">
        <f>IFERROR(__xludf.DUMMYFUNCTION("""COMPUTED_VALUE"""),"H")</f>
        <v>H</v>
      </c>
      <c r="H3407" s="9" t="str">
        <f>IFERROR(__xludf.DUMMYFUNCTION("""COMPUTED_VALUE"""),"HSS")</f>
        <v>HSS</v>
      </c>
      <c r="I3407" s="9" t="str">
        <f>IFERROR(__xludf.DUMMYFUNCTION("""COMPUTED_VALUE"""),"PnSS")</f>
        <v>PnSS</v>
      </c>
      <c r="J3407" s="9" t="str">
        <f>IFERROR(__xludf.DUMMYFUNCTION("""COMPUTED_VALUE"""),"rmv")</f>
        <v>rmv</v>
      </c>
      <c r="K3407" s="9"/>
      <c r="L3407" s="9"/>
      <c r="M3407" s="9"/>
      <c r="N3407" s="9"/>
      <c r="O3407" s="9"/>
      <c r="P3407" s="9"/>
      <c r="Q3407" s="9"/>
      <c r="R3407" s="9"/>
      <c r="S3407" s="42"/>
      <c r="T3407" s="42"/>
      <c r="U3407" s="42"/>
      <c r="V3407" s="42"/>
      <c r="W3407" s="42"/>
      <c r="X3407" s="42"/>
      <c r="Y3407" s="42"/>
      <c r="Z3407" s="42"/>
      <c r="AA3407" s="42"/>
      <c r="AB3407" s="42" t="str">
        <f>IFERROR(__xludf.DUMMYFUNCTION("""COMPUTED_VALUE"""),"allen institute")</f>
        <v>allen institute</v>
      </c>
      <c r="AC3407" s="42" t="str">
        <f>IFERROR(__xludf.DUMMYFUNCTION("""COMPUTED_VALUE"""),"DHBA")</f>
        <v>DHBA</v>
      </c>
      <c r="AD3407" s="42"/>
      <c r="AE3407" s="42"/>
      <c r="AF3407" s="9"/>
      <c r="AG3407" s="9"/>
      <c r="AH3407" s="42"/>
      <c r="AI3407" s="42"/>
      <c r="AJ3407" s="42"/>
      <c r="AK3407" s="42"/>
      <c r="AL3407" s="42"/>
      <c r="AM3407" s="42"/>
      <c r="AN3407" s="42"/>
      <c r="AO3407" s="63" t="str">
        <f>IFERROR(__xludf.DUMMYFUNCTION("IF(ISBLANK(A3407),,IF(ISBLANK(S3407), A3407&amp;"";"", TEXTJOIN(CHAR(10), TRUE, A3407&amp;"";"", ARRAYFORMULA(VLOOKUP(SPLIT(S3407, "";"" &amp; CHAR(10)), $A:$AO, 41, FALSE)))))"),"rmv;")</f>
        <v>rmv;</v>
      </c>
      <c r="AP3407" s="89"/>
    </row>
    <row r="3408">
      <c r="A3408" s="151" t="str">
        <f>IFERROR(__xludf.DUMMYFUNCTION("""COMPUTED_VALUE"""),"AS4V")</f>
        <v>AS4V</v>
      </c>
      <c r="B3408" s="42" t="str">
        <f>IFERROR(__xludf.DUMMYFUNCTION("""COMPUTED_VALUE"""),"DHBA")</f>
        <v>DHBA</v>
      </c>
      <c r="C3408" s="42" t="str">
        <f>IFERROR(__xludf.DUMMYFUNCTION("""COMPUTED_VALUE"""),"adjoining structures of fourth ventricle")</f>
        <v>adjoining structures of fourth ventricle</v>
      </c>
      <c r="D3408" s="42">
        <f>IFERROR(__xludf.DUMMYFUNCTION("""COMPUTED_VALUE"""),3259.0)</f>
        <v>3259</v>
      </c>
      <c r="E3408" s="39" t="str">
        <f>IFERROR(__xludf.DUMMYFUNCTION("""COMPUTED_VALUE"""),"adjoining structures of fourth ventricle")</f>
        <v>adjoining structures of fourth ventricle</v>
      </c>
      <c r="F3408" s="9" t="str">
        <f>IFERROR(__xludf.DUMMYFUNCTION("""COMPUTED_VALUE"""),"Br")</f>
        <v>Br</v>
      </c>
      <c r="G3408" s="9" t="str">
        <f>IFERROR(__xludf.DUMMYFUNCTION("""COMPUTED_VALUE"""),"H")</f>
        <v>H</v>
      </c>
      <c r="H3408" s="9" t="str">
        <f>IFERROR(__xludf.DUMMYFUNCTION("""COMPUTED_VALUE"""),"HSS")</f>
        <v>HSS</v>
      </c>
      <c r="I3408" s="9" t="str">
        <f>IFERROR(__xludf.DUMMYFUNCTION("""COMPUTED_VALUE"""),"PnSS")</f>
        <v>PnSS</v>
      </c>
      <c r="J3408" s="9" t="str">
        <f>IFERROR(__xludf.DUMMYFUNCTION("""COMPUTED_VALUE"""),"AS4V")</f>
        <v>AS4V</v>
      </c>
      <c r="K3408" s="9"/>
      <c r="L3408" s="9"/>
      <c r="M3408" s="9"/>
      <c r="N3408" s="9"/>
      <c r="O3408" s="9"/>
      <c r="P3408" s="9"/>
      <c r="Q3408" s="9"/>
      <c r="R3408" s="9"/>
      <c r="S3408" s="42" t="str">
        <f>IFERROR(__xludf.DUMMYFUNCTION("""COMPUTED_VALUE"""),"AP;
Cho4V;
FaC;
FovI;
FovS;
FnS;
_12Tr;
la4V;
LC;
MEm;
ma4V;
MSul;
Obx;
SulL;
Tae;
_10Tr")</f>
        <v>AP;
Cho4V;
FaC;
FovI;
FovS;
FnS;
_12Tr;
la4V;
LC;
MEm;
ma4V;
MSul;
Obx;
SulL;
Tae;
_10Tr</v>
      </c>
      <c r="T3408" s="42"/>
      <c r="U3408" s="42" t="b">
        <f>IFERROR(__xludf.DUMMYFUNCTION("""COMPUTED_VALUE"""),FALSE)</f>
        <v>0</v>
      </c>
      <c r="V3408" s="42"/>
      <c r="W3408" s="42"/>
      <c r="X3408" s="42"/>
      <c r="Y3408" s="42"/>
      <c r="Z3408" s="42"/>
      <c r="AA3408" s="42"/>
      <c r="AB3408" s="42" t="str">
        <f>IFERROR(__xludf.DUMMYFUNCTION("""COMPUTED_VALUE"""),"allen institute")</f>
        <v>allen institute</v>
      </c>
      <c r="AC3408" s="42" t="str">
        <f>IFERROR(__xludf.DUMMYFUNCTION("""COMPUTED_VALUE"""),"DHBA")</f>
        <v>DHBA</v>
      </c>
      <c r="AD3408" s="42"/>
      <c r="AE3408" s="42"/>
      <c r="AF3408" s="9"/>
      <c r="AG3408" s="9"/>
      <c r="AH3408" s="42"/>
      <c r="AI3408" s="42"/>
      <c r="AJ3408" s="42"/>
      <c r="AK3408" s="42"/>
      <c r="AL3408" s="42"/>
      <c r="AM3408" s="42"/>
      <c r="AN3408" s="42"/>
      <c r="AO3408" s="63" t="str">
        <f>IFERROR(__xludf.DUMMYFUNCTION("IF(ISBLANK(A3408),,IF(ISBLANK(S3408), A3408&amp;"";"", TEXTJOIN(CHAR(10), TRUE, A3408&amp;"";"", ARRAYFORMULA(VLOOKUP(SPLIT(S3408, "";"" &amp; CHAR(10)), $A:$AO, 41, FALSE)))))"),"#N/A")</f>
        <v>#N/A</v>
      </c>
      <c r="AP3408" s="89"/>
    </row>
    <row r="3409">
      <c r="A3409" s="151" t="str">
        <f>IFERROR(__xludf.DUMMYFUNCTION("""COMPUTED_VALUE"""),"AP")</f>
        <v>AP</v>
      </c>
      <c r="B3409" s="42" t="str">
        <f>IFERROR(__xludf.DUMMYFUNCTION("""COMPUTED_VALUE"""),"DHBA")</f>
        <v>DHBA</v>
      </c>
      <c r="C3409" s="42" t="str">
        <f>IFERROR(__xludf.DUMMYFUNCTION("""COMPUTED_VALUE"""),"area postrema")</f>
        <v>area postrema</v>
      </c>
      <c r="D3409" s="42">
        <f>IFERROR(__xludf.DUMMYFUNCTION("""COMPUTED_VALUE"""),3260.0)</f>
        <v>3260</v>
      </c>
      <c r="E3409" s="39" t="str">
        <f>IFERROR(__xludf.DUMMYFUNCTION("""COMPUTED_VALUE"""),"area postrema")</f>
        <v>area postrema</v>
      </c>
      <c r="F3409" s="9" t="str">
        <f>IFERROR(__xludf.DUMMYFUNCTION("""COMPUTED_VALUE"""),"Br")</f>
        <v>Br</v>
      </c>
      <c r="G3409" s="9" t="str">
        <f>IFERROR(__xludf.DUMMYFUNCTION("""COMPUTED_VALUE"""),"H")</f>
        <v>H</v>
      </c>
      <c r="H3409" s="9" t="str">
        <f>IFERROR(__xludf.DUMMYFUNCTION("""COMPUTED_VALUE"""),"HSS")</f>
        <v>HSS</v>
      </c>
      <c r="I3409" s="9" t="str">
        <f>IFERROR(__xludf.DUMMYFUNCTION("""COMPUTED_VALUE"""),"PnSS")</f>
        <v>PnSS</v>
      </c>
      <c r="J3409" s="9" t="str">
        <f>IFERROR(__xludf.DUMMYFUNCTION("""COMPUTED_VALUE"""),"AS4V")</f>
        <v>AS4V</v>
      </c>
      <c r="K3409" s="9" t="str">
        <f>IFERROR(__xludf.DUMMYFUNCTION("""COMPUTED_VALUE"""),"AP")</f>
        <v>AP</v>
      </c>
      <c r="L3409" s="9"/>
      <c r="M3409" s="9"/>
      <c r="N3409" s="9"/>
      <c r="O3409" s="9"/>
      <c r="P3409" s="9"/>
      <c r="Q3409" s="9"/>
      <c r="R3409" s="9"/>
      <c r="S3409" s="42"/>
      <c r="T3409" s="42"/>
      <c r="U3409" s="42"/>
      <c r="V3409" s="42"/>
      <c r="W3409" s="42"/>
      <c r="X3409" s="42"/>
      <c r="Y3409" s="42"/>
      <c r="Z3409" s="42"/>
      <c r="AA3409" s="42"/>
      <c r="AB3409" s="42" t="str">
        <f>IFERROR(__xludf.DUMMYFUNCTION("""COMPUTED_VALUE"""),"allen institute")</f>
        <v>allen institute</v>
      </c>
      <c r="AC3409" s="42" t="str">
        <f>IFERROR(__xludf.DUMMYFUNCTION("""COMPUTED_VALUE"""),"DHBA")</f>
        <v>DHBA</v>
      </c>
      <c r="AD3409" s="42"/>
      <c r="AE3409" s="42"/>
      <c r="AF3409" s="9"/>
      <c r="AG3409" s="9"/>
      <c r="AH3409" s="42"/>
      <c r="AI3409" s="42"/>
      <c r="AJ3409" s="42"/>
      <c r="AK3409" s="42"/>
      <c r="AL3409" s="42"/>
      <c r="AM3409" s="42"/>
      <c r="AN3409" s="42"/>
      <c r="AO3409" s="63" t="str">
        <f>IFERROR(__xludf.DUMMYFUNCTION("IF(ISBLANK(A3409),,IF(ISBLANK(S3409), A3409&amp;"";"", TEXTJOIN(CHAR(10), TRUE, A3409&amp;"";"", ARRAYFORMULA(VLOOKUP(SPLIT(S3409, "";"" &amp; CHAR(10)), $A:$AO, 41, FALSE)))))"),"AP;")</f>
        <v>AP;</v>
      </c>
      <c r="AP3409" s="89"/>
    </row>
    <row r="3410">
      <c r="A3410" s="151" t="str">
        <f>IFERROR(__xludf.DUMMYFUNCTION("""COMPUTED_VALUE"""),"Cho4V")</f>
        <v>Cho4V</v>
      </c>
      <c r="B3410" s="42" t="str">
        <f>IFERROR(__xludf.DUMMYFUNCTION("""COMPUTED_VALUE"""),"DHBA")</f>
        <v>DHBA</v>
      </c>
      <c r="C3410" s="42" t="str">
        <f>IFERROR(__xludf.DUMMYFUNCTION("""COMPUTED_VALUE"""),"choroid plexus of the fourth ventricle")</f>
        <v>choroid plexus of the fourth ventricle</v>
      </c>
      <c r="D3410" s="42">
        <f>IFERROR(__xludf.DUMMYFUNCTION("""COMPUTED_VALUE"""),3261.0)</f>
        <v>3261</v>
      </c>
      <c r="E3410" s="39" t="str">
        <f>IFERROR(__xludf.DUMMYFUNCTION("""COMPUTED_VALUE"""),"choroid plexus of the fourth ventricle")</f>
        <v>choroid plexus of the fourth ventricle</v>
      </c>
      <c r="F3410" s="9" t="str">
        <f>IFERROR(__xludf.DUMMYFUNCTION("""COMPUTED_VALUE"""),"Br")</f>
        <v>Br</v>
      </c>
      <c r="G3410" s="9" t="str">
        <f>IFERROR(__xludf.DUMMYFUNCTION("""COMPUTED_VALUE"""),"H")</f>
        <v>H</v>
      </c>
      <c r="H3410" s="9" t="str">
        <f>IFERROR(__xludf.DUMMYFUNCTION("""COMPUTED_VALUE"""),"HSS")</f>
        <v>HSS</v>
      </c>
      <c r="I3410" s="9" t="str">
        <f>IFERROR(__xludf.DUMMYFUNCTION("""COMPUTED_VALUE"""),"PnSS")</f>
        <v>PnSS</v>
      </c>
      <c r="J3410" s="9" t="str">
        <f>IFERROR(__xludf.DUMMYFUNCTION("""COMPUTED_VALUE"""),"AS4V")</f>
        <v>AS4V</v>
      </c>
      <c r="K3410" s="9" t="str">
        <f>IFERROR(__xludf.DUMMYFUNCTION("""COMPUTED_VALUE"""),"Cho4V")</f>
        <v>Cho4V</v>
      </c>
      <c r="L3410" s="9"/>
      <c r="M3410" s="9"/>
      <c r="N3410" s="9"/>
      <c r="O3410" s="9"/>
      <c r="P3410" s="9"/>
      <c r="Q3410" s="9"/>
      <c r="R3410" s="9"/>
      <c r="S3410" s="42"/>
      <c r="T3410" s="42"/>
      <c r="U3410" s="42"/>
      <c r="V3410" s="42"/>
      <c r="W3410" s="42"/>
      <c r="X3410" s="42"/>
      <c r="Y3410" s="42"/>
      <c r="Z3410" s="42"/>
      <c r="AA3410" s="42"/>
      <c r="AB3410" s="42" t="str">
        <f>IFERROR(__xludf.DUMMYFUNCTION("""COMPUTED_VALUE"""),"allen institute")</f>
        <v>allen institute</v>
      </c>
      <c r="AC3410" s="42" t="str">
        <f>IFERROR(__xludf.DUMMYFUNCTION("""COMPUTED_VALUE"""),"DHBA")</f>
        <v>DHBA</v>
      </c>
      <c r="AD3410" s="42"/>
      <c r="AE3410" s="42"/>
      <c r="AF3410" s="9"/>
      <c r="AG3410" s="9"/>
      <c r="AH3410" s="42"/>
      <c r="AI3410" s="42"/>
      <c r="AJ3410" s="42"/>
      <c r="AK3410" s="42"/>
      <c r="AL3410" s="42"/>
      <c r="AM3410" s="42"/>
      <c r="AN3410" s="42"/>
      <c r="AO3410" s="63" t="str">
        <f>IFERROR(__xludf.DUMMYFUNCTION("IF(ISBLANK(A3410),,IF(ISBLANK(S3410), A3410&amp;"";"", TEXTJOIN(CHAR(10), TRUE, A3410&amp;"";"", ARRAYFORMULA(VLOOKUP(SPLIT(S3410, "";"" &amp; CHAR(10)), $A:$AO, 41, FALSE)))))"),"Cho4V;")</f>
        <v>Cho4V;</v>
      </c>
      <c r="AP3410" s="89"/>
    </row>
    <row r="3411">
      <c r="A3411" s="151" t="str">
        <f>IFERROR(__xludf.DUMMYFUNCTION("""COMPUTED_VALUE"""),"FaC")</f>
        <v>FaC</v>
      </c>
      <c r="B3411" s="42" t="str">
        <f>IFERROR(__xludf.DUMMYFUNCTION("""COMPUTED_VALUE"""),"DHBA")</f>
        <v>DHBA</v>
      </c>
      <c r="C3411" s="42" t="str">
        <f>IFERROR(__xludf.DUMMYFUNCTION("""COMPUTED_VALUE"""),"facial colliculus")</f>
        <v>facial colliculus</v>
      </c>
      <c r="D3411" s="42">
        <f>IFERROR(__xludf.DUMMYFUNCTION("""COMPUTED_VALUE"""),3262.0)</f>
        <v>3262</v>
      </c>
      <c r="E3411" s="39" t="str">
        <f>IFERROR(__xludf.DUMMYFUNCTION("""COMPUTED_VALUE"""),"facial colliculus")</f>
        <v>facial colliculus</v>
      </c>
      <c r="F3411" s="9" t="str">
        <f>IFERROR(__xludf.DUMMYFUNCTION("""COMPUTED_VALUE"""),"Br")</f>
        <v>Br</v>
      </c>
      <c r="G3411" s="9" t="str">
        <f>IFERROR(__xludf.DUMMYFUNCTION("""COMPUTED_VALUE"""),"H")</f>
        <v>H</v>
      </c>
      <c r="H3411" s="9" t="str">
        <f>IFERROR(__xludf.DUMMYFUNCTION("""COMPUTED_VALUE"""),"HSS")</f>
        <v>HSS</v>
      </c>
      <c r="I3411" s="9" t="str">
        <f>IFERROR(__xludf.DUMMYFUNCTION("""COMPUTED_VALUE"""),"PnSS")</f>
        <v>PnSS</v>
      </c>
      <c r="J3411" s="9" t="str">
        <f>IFERROR(__xludf.DUMMYFUNCTION("""COMPUTED_VALUE"""),"AS4V")</f>
        <v>AS4V</v>
      </c>
      <c r="K3411" s="9" t="str">
        <f>IFERROR(__xludf.DUMMYFUNCTION("""COMPUTED_VALUE"""),"FaC")</f>
        <v>FaC</v>
      </c>
      <c r="L3411" s="9"/>
      <c r="M3411" s="9"/>
      <c r="N3411" s="9"/>
      <c r="O3411" s="9"/>
      <c r="P3411" s="9"/>
      <c r="Q3411" s="9"/>
      <c r="R3411" s="9"/>
      <c r="S3411" s="42"/>
      <c r="T3411" s="42"/>
      <c r="U3411" s="42"/>
      <c r="V3411" s="42"/>
      <c r="W3411" s="42"/>
      <c r="X3411" s="42"/>
      <c r="Y3411" s="42"/>
      <c r="Z3411" s="42"/>
      <c r="AA3411" s="42"/>
      <c r="AB3411" s="42" t="str">
        <f>IFERROR(__xludf.DUMMYFUNCTION("""COMPUTED_VALUE"""),"allen institute")</f>
        <v>allen institute</v>
      </c>
      <c r="AC3411" s="42" t="str">
        <f>IFERROR(__xludf.DUMMYFUNCTION("""COMPUTED_VALUE"""),"DHBA")</f>
        <v>DHBA</v>
      </c>
      <c r="AD3411" s="42"/>
      <c r="AE3411" s="42"/>
      <c r="AF3411" s="9"/>
      <c r="AG3411" s="9"/>
      <c r="AH3411" s="42"/>
      <c r="AI3411" s="42"/>
      <c r="AJ3411" s="42"/>
      <c r="AK3411" s="42"/>
      <c r="AL3411" s="42"/>
      <c r="AM3411" s="42"/>
      <c r="AN3411" s="42"/>
      <c r="AO3411" s="63" t="str">
        <f>IFERROR(__xludf.DUMMYFUNCTION("IF(ISBLANK(A3411),,IF(ISBLANK(S3411), A3411&amp;"";"", TEXTJOIN(CHAR(10), TRUE, A3411&amp;"";"", ARRAYFORMULA(VLOOKUP(SPLIT(S3411, "";"" &amp; CHAR(10)), $A:$AO, 41, FALSE)))))"),"FaC;")</f>
        <v>FaC;</v>
      </c>
      <c r="AP3411" s="89"/>
    </row>
    <row r="3412">
      <c r="A3412" s="151" t="str">
        <f>IFERROR(__xludf.DUMMYFUNCTION("""COMPUTED_VALUE"""),"FovI")</f>
        <v>FovI</v>
      </c>
      <c r="B3412" s="42" t="str">
        <f>IFERROR(__xludf.DUMMYFUNCTION("""COMPUTED_VALUE"""),"DHBA")</f>
        <v>DHBA</v>
      </c>
      <c r="C3412" s="42" t="str">
        <f>IFERROR(__xludf.DUMMYFUNCTION("""COMPUTED_VALUE"""),"fovea inferior")</f>
        <v>fovea inferior</v>
      </c>
      <c r="D3412" s="42">
        <f>IFERROR(__xludf.DUMMYFUNCTION("""COMPUTED_VALUE"""),3263.0)</f>
        <v>3263</v>
      </c>
      <c r="E3412" s="39" t="str">
        <f>IFERROR(__xludf.DUMMYFUNCTION("""COMPUTED_VALUE"""),"fovea inferior")</f>
        <v>fovea inferior</v>
      </c>
      <c r="F3412" s="9" t="str">
        <f>IFERROR(__xludf.DUMMYFUNCTION("""COMPUTED_VALUE"""),"Br")</f>
        <v>Br</v>
      </c>
      <c r="G3412" s="9" t="str">
        <f>IFERROR(__xludf.DUMMYFUNCTION("""COMPUTED_VALUE"""),"H")</f>
        <v>H</v>
      </c>
      <c r="H3412" s="9" t="str">
        <f>IFERROR(__xludf.DUMMYFUNCTION("""COMPUTED_VALUE"""),"HSS")</f>
        <v>HSS</v>
      </c>
      <c r="I3412" s="9" t="str">
        <f>IFERROR(__xludf.DUMMYFUNCTION("""COMPUTED_VALUE"""),"PnSS")</f>
        <v>PnSS</v>
      </c>
      <c r="J3412" s="9" t="str">
        <f>IFERROR(__xludf.DUMMYFUNCTION("""COMPUTED_VALUE"""),"AS4V")</f>
        <v>AS4V</v>
      </c>
      <c r="K3412" s="9" t="str">
        <f>IFERROR(__xludf.DUMMYFUNCTION("""COMPUTED_VALUE"""),"FovI")</f>
        <v>FovI</v>
      </c>
      <c r="L3412" s="9"/>
      <c r="M3412" s="9"/>
      <c r="N3412" s="9"/>
      <c r="O3412" s="9"/>
      <c r="P3412" s="9"/>
      <c r="Q3412" s="9"/>
      <c r="R3412" s="9"/>
      <c r="S3412" s="42"/>
      <c r="T3412" s="42"/>
      <c r="U3412" s="42"/>
      <c r="V3412" s="42"/>
      <c r="W3412" s="42"/>
      <c r="X3412" s="42"/>
      <c r="Y3412" s="42"/>
      <c r="Z3412" s="42"/>
      <c r="AA3412" s="42"/>
      <c r="AB3412" s="42" t="str">
        <f>IFERROR(__xludf.DUMMYFUNCTION("""COMPUTED_VALUE"""),"allen institute")</f>
        <v>allen institute</v>
      </c>
      <c r="AC3412" s="42" t="str">
        <f>IFERROR(__xludf.DUMMYFUNCTION("""COMPUTED_VALUE"""),"DHBA")</f>
        <v>DHBA</v>
      </c>
      <c r="AD3412" s="42"/>
      <c r="AE3412" s="42"/>
      <c r="AF3412" s="9"/>
      <c r="AG3412" s="9"/>
      <c r="AH3412" s="42"/>
      <c r="AI3412" s="42"/>
      <c r="AJ3412" s="42"/>
      <c r="AK3412" s="42"/>
      <c r="AL3412" s="42"/>
      <c r="AM3412" s="42"/>
      <c r="AN3412" s="42"/>
      <c r="AO3412" s="63" t="str">
        <f>IFERROR(__xludf.DUMMYFUNCTION("IF(ISBLANK(A3412),,IF(ISBLANK(S3412), A3412&amp;"";"", TEXTJOIN(CHAR(10), TRUE, A3412&amp;"";"", ARRAYFORMULA(VLOOKUP(SPLIT(S3412, "";"" &amp; CHAR(10)), $A:$AO, 41, FALSE)))))"),"FovI;")</f>
        <v>FovI;</v>
      </c>
      <c r="AP3412" s="89"/>
    </row>
    <row r="3413">
      <c r="A3413" s="151" t="str">
        <f>IFERROR(__xludf.DUMMYFUNCTION("""COMPUTED_VALUE"""),"FovS")</f>
        <v>FovS</v>
      </c>
      <c r="B3413" s="42" t="str">
        <f>IFERROR(__xludf.DUMMYFUNCTION("""COMPUTED_VALUE"""),"DHBA")</f>
        <v>DHBA</v>
      </c>
      <c r="C3413" s="42" t="str">
        <f>IFERROR(__xludf.DUMMYFUNCTION("""COMPUTED_VALUE"""),"fovea superior")</f>
        <v>fovea superior</v>
      </c>
      <c r="D3413" s="42">
        <f>IFERROR(__xludf.DUMMYFUNCTION("""COMPUTED_VALUE"""),3264.0)</f>
        <v>3264</v>
      </c>
      <c r="E3413" s="39" t="str">
        <f>IFERROR(__xludf.DUMMYFUNCTION("""COMPUTED_VALUE"""),"fovea superior")</f>
        <v>fovea superior</v>
      </c>
      <c r="F3413" s="9" t="str">
        <f>IFERROR(__xludf.DUMMYFUNCTION("""COMPUTED_VALUE"""),"Br")</f>
        <v>Br</v>
      </c>
      <c r="G3413" s="9" t="str">
        <f>IFERROR(__xludf.DUMMYFUNCTION("""COMPUTED_VALUE"""),"H")</f>
        <v>H</v>
      </c>
      <c r="H3413" s="9" t="str">
        <f>IFERROR(__xludf.DUMMYFUNCTION("""COMPUTED_VALUE"""),"HSS")</f>
        <v>HSS</v>
      </c>
      <c r="I3413" s="9" t="str">
        <f>IFERROR(__xludf.DUMMYFUNCTION("""COMPUTED_VALUE"""),"PnSS")</f>
        <v>PnSS</v>
      </c>
      <c r="J3413" s="9" t="str">
        <f>IFERROR(__xludf.DUMMYFUNCTION("""COMPUTED_VALUE"""),"AS4V")</f>
        <v>AS4V</v>
      </c>
      <c r="K3413" s="9" t="str">
        <f>IFERROR(__xludf.DUMMYFUNCTION("""COMPUTED_VALUE"""),"FovS")</f>
        <v>FovS</v>
      </c>
      <c r="L3413" s="9"/>
      <c r="M3413" s="9"/>
      <c r="N3413" s="9"/>
      <c r="O3413" s="9"/>
      <c r="P3413" s="9"/>
      <c r="Q3413" s="9"/>
      <c r="R3413" s="9"/>
      <c r="S3413" s="42"/>
      <c r="T3413" s="42"/>
      <c r="U3413" s="42"/>
      <c r="V3413" s="42"/>
      <c r="W3413" s="42"/>
      <c r="X3413" s="42"/>
      <c r="Y3413" s="42"/>
      <c r="Z3413" s="42"/>
      <c r="AA3413" s="42"/>
      <c r="AB3413" s="42" t="str">
        <f>IFERROR(__xludf.DUMMYFUNCTION("""COMPUTED_VALUE"""),"allen institute")</f>
        <v>allen institute</v>
      </c>
      <c r="AC3413" s="42" t="str">
        <f>IFERROR(__xludf.DUMMYFUNCTION("""COMPUTED_VALUE"""),"DHBA")</f>
        <v>DHBA</v>
      </c>
      <c r="AD3413" s="42"/>
      <c r="AE3413" s="42"/>
      <c r="AF3413" s="9"/>
      <c r="AG3413" s="9"/>
      <c r="AH3413" s="42"/>
      <c r="AI3413" s="42"/>
      <c r="AJ3413" s="42"/>
      <c r="AK3413" s="42"/>
      <c r="AL3413" s="42"/>
      <c r="AM3413" s="42"/>
      <c r="AN3413" s="42"/>
      <c r="AO3413" s="63" t="str">
        <f>IFERROR(__xludf.DUMMYFUNCTION("IF(ISBLANK(A3413),,IF(ISBLANK(S3413), A3413&amp;"";"", TEXTJOIN(CHAR(10), TRUE, A3413&amp;"";"", ARRAYFORMULA(VLOOKUP(SPLIT(S3413, "";"" &amp; CHAR(10)), $A:$AO, 41, FALSE)))))"),"FovS;")</f>
        <v>FovS;</v>
      </c>
      <c r="AP3413" s="89"/>
    </row>
    <row r="3414">
      <c r="A3414" s="151" t="str">
        <f>IFERROR(__xludf.DUMMYFUNCTION("""COMPUTED_VALUE"""),"FnS")</f>
        <v>FnS</v>
      </c>
      <c r="B3414" s="42" t="str">
        <f>IFERROR(__xludf.DUMMYFUNCTION("""COMPUTED_VALUE"""),"DHBA")</f>
        <v>DHBA</v>
      </c>
      <c r="C3414" s="42" t="str">
        <f>IFERROR(__xludf.DUMMYFUNCTION("""COMPUTED_VALUE"""),"funiculus seperans")</f>
        <v>funiculus seperans</v>
      </c>
      <c r="D3414" s="42">
        <f>IFERROR(__xludf.DUMMYFUNCTION("""COMPUTED_VALUE"""),3265.0)</f>
        <v>3265</v>
      </c>
      <c r="E3414" s="39" t="str">
        <f>IFERROR(__xludf.DUMMYFUNCTION("""COMPUTED_VALUE"""),"funiculus seperans")</f>
        <v>funiculus seperans</v>
      </c>
      <c r="F3414" s="9" t="str">
        <f>IFERROR(__xludf.DUMMYFUNCTION("""COMPUTED_VALUE"""),"Br")</f>
        <v>Br</v>
      </c>
      <c r="G3414" s="9" t="str">
        <f>IFERROR(__xludf.DUMMYFUNCTION("""COMPUTED_VALUE"""),"H")</f>
        <v>H</v>
      </c>
      <c r="H3414" s="9" t="str">
        <f>IFERROR(__xludf.DUMMYFUNCTION("""COMPUTED_VALUE"""),"HSS")</f>
        <v>HSS</v>
      </c>
      <c r="I3414" s="9" t="str">
        <f>IFERROR(__xludf.DUMMYFUNCTION("""COMPUTED_VALUE"""),"PnSS")</f>
        <v>PnSS</v>
      </c>
      <c r="J3414" s="9" t="str">
        <f>IFERROR(__xludf.DUMMYFUNCTION("""COMPUTED_VALUE"""),"AS4V")</f>
        <v>AS4V</v>
      </c>
      <c r="K3414" s="9" t="str">
        <f>IFERROR(__xludf.DUMMYFUNCTION("""COMPUTED_VALUE"""),"FnS")</f>
        <v>FnS</v>
      </c>
      <c r="L3414" s="9"/>
      <c r="M3414" s="9"/>
      <c r="N3414" s="9"/>
      <c r="O3414" s="9"/>
      <c r="P3414" s="9"/>
      <c r="Q3414" s="9"/>
      <c r="R3414" s="9"/>
      <c r="S3414" s="42"/>
      <c r="T3414" s="42"/>
      <c r="U3414" s="42"/>
      <c r="V3414" s="42"/>
      <c r="W3414" s="42"/>
      <c r="X3414" s="42"/>
      <c r="Y3414" s="42"/>
      <c r="Z3414" s="42"/>
      <c r="AA3414" s="42"/>
      <c r="AB3414" s="42" t="str">
        <f>IFERROR(__xludf.DUMMYFUNCTION("""COMPUTED_VALUE"""),"allen institute")</f>
        <v>allen institute</v>
      </c>
      <c r="AC3414" s="42" t="str">
        <f>IFERROR(__xludf.DUMMYFUNCTION("""COMPUTED_VALUE"""),"DHBA")</f>
        <v>DHBA</v>
      </c>
      <c r="AD3414" s="42"/>
      <c r="AE3414" s="42"/>
      <c r="AF3414" s="9"/>
      <c r="AG3414" s="9"/>
      <c r="AH3414" s="42"/>
      <c r="AI3414" s="42"/>
      <c r="AJ3414" s="42"/>
      <c r="AK3414" s="42"/>
      <c r="AL3414" s="42"/>
      <c r="AM3414" s="42"/>
      <c r="AN3414" s="42"/>
      <c r="AO3414" s="63" t="str">
        <f>IFERROR(__xludf.DUMMYFUNCTION("IF(ISBLANK(A3414),,IF(ISBLANK(S3414), A3414&amp;"";"", TEXTJOIN(CHAR(10), TRUE, A3414&amp;"";"", ARRAYFORMULA(VLOOKUP(SPLIT(S3414, "";"" &amp; CHAR(10)), $A:$AO, 41, FALSE)))))"),"FnS;")</f>
        <v>FnS;</v>
      </c>
      <c r="AP3414" s="89"/>
    </row>
    <row r="3415">
      <c r="A3415" s="151" t="str">
        <f>IFERROR(__xludf.DUMMYFUNCTION("""COMPUTED_VALUE"""),"12Tr")</f>
        <v>12Tr</v>
      </c>
      <c r="B3415" s="42" t="str">
        <f>IFERROR(__xludf.DUMMYFUNCTION("""COMPUTED_VALUE"""),"DHBA")</f>
        <v>DHBA</v>
      </c>
      <c r="C3415" s="42" t="str">
        <f>IFERROR(__xludf.DUMMYFUNCTION("""COMPUTED_VALUE"""),"hypoglossal trigone")</f>
        <v>hypoglossal trigone</v>
      </c>
      <c r="D3415" s="42">
        <f>IFERROR(__xludf.DUMMYFUNCTION("""COMPUTED_VALUE"""),3266.0)</f>
        <v>3266</v>
      </c>
      <c r="E3415" s="39" t="str">
        <f>IFERROR(__xludf.DUMMYFUNCTION("""COMPUTED_VALUE"""),"hypoglossal trigone")</f>
        <v>hypoglossal trigone</v>
      </c>
      <c r="F3415" s="9" t="str">
        <f>IFERROR(__xludf.DUMMYFUNCTION("""COMPUTED_VALUE"""),"Br")</f>
        <v>Br</v>
      </c>
      <c r="G3415" s="9" t="str">
        <f>IFERROR(__xludf.DUMMYFUNCTION("""COMPUTED_VALUE"""),"H")</f>
        <v>H</v>
      </c>
      <c r="H3415" s="9" t="str">
        <f>IFERROR(__xludf.DUMMYFUNCTION("""COMPUTED_VALUE"""),"HSS")</f>
        <v>HSS</v>
      </c>
      <c r="I3415" s="9" t="str">
        <f>IFERROR(__xludf.DUMMYFUNCTION("""COMPUTED_VALUE"""),"PnSS")</f>
        <v>PnSS</v>
      </c>
      <c r="J3415" s="9" t="str">
        <f>IFERROR(__xludf.DUMMYFUNCTION("""COMPUTED_VALUE"""),"AS4V")</f>
        <v>AS4V</v>
      </c>
      <c r="K3415" s="9" t="str">
        <f>IFERROR(__xludf.DUMMYFUNCTION("""COMPUTED_VALUE"""),"12Tr")</f>
        <v>12Tr</v>
      </c>
      <c r="L3415" s="9"/>
      <c r="M3415" s="9"/>
      <c r="N3415" s="9"/>
      <c r="O3415" s="9"/>
      <c r="P3415" s="9"/>
      <c r="Q3415" s="9"/>
      <c r="R3415" s="9"/>
      <c r="S3415" s="42"/>
      <c r="T3415" s="42"/>
      <c r="U3415" s="42"/>
      <c r="V3415" s="42"/>
      <c r="W3415" s="42"/>
      <c r="X3415" s="42"/>
      <c r="Y3415" s="42"/>
      <c r="Z3415" s="42"/>
      <c r="AA3415" s="42"/>
      <c r="AB3415" s="42" t="str">
        <f>IFERROR(__xludf.DUMMYFUNCTION("""COMPUTED_VALUE"""),"allen institute")</f>
        <v>allen institute</v>
      </c>
      <c r="AC3415" s="42" t="str">
        <f>IFERROR(__xludf.DUMMYFUNCTION("""COMPUTED_VALUE"""),"DHBA")</f>
        <v>DHBA</v>
      </c>
      <c r="AD3415" s="42"/>
      <c r="AE3415" s="42"/>
      <c r="AF3415" s="9"/>
      <c r="AG3415" s="9"/>
      <c r="AH3415" s="42"/>
      <c r="AI3415" s="42"/>
      <c r="AJ3415" s="42"/>
      <c r="AK3415" s="42"/>
      <c r="AL3415" s="42"/>
      <c r="AM3415" s="42"/>
      <c r="AN3415" s="42"/>
      <c r="AO3415" s="63" t="str">
        <f>IFERROR(__xludf.DUMMYFUNCTION("IF(ISBLANK(A3415),,IF(ISBLANK(S3415), A3415&amp;"";"", TEXTJOIN(CHAR(10), TRUE, A3415&amp;"";"", ARRAYFORMULA(VLOOKUP(SPLIT(S3415, "";"" &amp; CHAR(10)), $A:$AO, 41, FALSE)))))"),"12Tr;")</f>
        <v>12Tr;</v>
      </c>
      <c r="AP3415" s="89"/>
    </row>
    <row r="3416">
      <c r="A3416" s="151" t="str">
        <f>IFERROR(__xludf.DUMMYFUNCTION("""COMPUTED_VALUE"""),"la4V")</f>
        <v>la4V</v>
      </c>
      <c r="B3416" s="42" t="str">
        <f>IFERROR(__xludf.DUMMYFUNCTION("""COMPUTED_VALUE"""),"DHBA")</f>
        <v>DHBA</v>
      </c>
      <c r="C3416" s="42" t="str">
        <f>IFERROR(__xludf.DUMMYFUNCTION("""COMPUTED_VALUE"""),"lateral aperture (foramen of Luschka)")</f>
        <v>lateral aperture (foramen of Luschka)</v>
      </c>
      <c r="D3416" s="42">
        <f>IFERROR(__xludf.DUMMYFUNCTION("""COMPUTED_VALUE"""),3267.0)</f>
        <v>3267</v>
      </c>
      <c r="E3416" s="39" t="str">
        <f>IFERROR(__xludf.DUMMYFUNCTION("""COMPUTED_VALUE"""),"lateral aperture (foramen of Luschka)")</f>
        <v>lateral aperture (foramen of Luschka)</v>
      </c>
      <c r="F3416" s="9" t="str">
        <f>IFERROR(__xludf.DUMMYFUNCTION("""COMPUTED_VALUE"""),"Br")</f>
        <v>Br</v>
      </c>
      <c r="G3416" s="9" t="str">
        <f>IFERROR(__xludf.DUMMYFUNCTION("""COMPUTED_VALUE"""),"H")</f>
        <v>H</v>
      </c>
      <c r="H3416" s="9" t="str">
        <f>IFERROR(__xludf.DUMMYFUNCTION("""COMPUTED_VALUE"""),"HSS")</f>
        <v>HSS</v>
      </c>
      <c r="I3416" s="9" t="str">
        <f>IFERROR(__xludf.DUMMYFUNCTION("""COMPUTED_VALUE"""),"PnSS")</f>
        <v>PnSS</v>
      </c>
      <c r="J3416" s="9" t="str">
        <f>IFERROR(__xludf.DUMMYFUNCTION("""COMPUTED_VALUE"""),"AS4V")</f>
        <v>AS4V</v>
      </c>
      <c r="K3416" s="9" t="str">
        <f>IFERROR(__xludf.DUMMYFUNCTION("""COMPUTED_VALUE"""),"la4V")</f>
        <v>la4V</v>
      </c>
      <c r="L3416" s="9"/>
      <c r="M3416" s="9"/>
      <c r="N3416" s="9"/>
      <c r="O3416" s="9"/>
      <c r="P3416" s="9"/>
      <c r="Q3416" s="9"/>
      <c r="R3416" s="9"/>
      <c r="S3416" s="42"/>
      <c r="T3416" s="42"/>
      <c r="U3416" s="42"/>
      <c r="V3416" s="42"/>
      <c r="W3416" s="42"/>
      <c r="X3416" s="42"/>
      <c r="Y3416" s="42"/>
      <c r="Z3416" s="42"/>
      <c r="AA3416" s="42"/>
      <c r="AB3416" s="42" t="str">
        <f>IFERROR(__xludf.DUMMYFUNCTION("""COMPUTED_VALUE"""),"allen institute")</f>
        <v>allen institute</v>
      </c>
      <c r="AC3416" s="42" t="str">
        <f>IFERROR(__xludf.DUMMYFUNCTION("""COMPUTED_VALUE"""),"DHBA")</f>
        <v>DHBA</v>
      </c>
      <c r="AD3416" s="42"/>
      <c r="AE3416" s="42"/>
      <c r="AF3416" s="9"/>
      <c r="AG3416" s="9"/>
      <c r="AH3416" s="42"/>
      <c r="AI3416" s="42"/>
      <c r="AJ3416" s="42"/>
      <c r="AK3416" s="42"/>
      <c r="AL3416" s="42"/>
      <c r="AM3416" s="42"/>
      <c r="AN3416" s="42"/>
      <c r="AO3416" s="63" t="str">
        <f>IFERROR(__xludf.DUMMYFUNCTION("IF(ISBLANK(A3416),,IF(ISBLANK(S3416), A3416&amp;"";"", TEXTJOIN(CHAR(10), TRUE, A3416&amp;"";"", ARRAYFORMULA(VLOOKUP(SPLIT(S3416, "";"" &amp; CHAR(10)), $A:$AO, 41, FALSE)))))"),"la4V;")</f>
        <v>la4V;</v>
      </c>
      <c r="AP3416" s="89"/>
    </row>
    <row r="3417">
      <c r="A3417" s="151" t="str">
        <f>IFERROR(__xludf.DUMMYFUNCTION("""COMPUTED_VALUE"""),"LC")</f>
        <v>LC</v>
      </c>
      <c r="B3417" s="42" t="str">
        <f>IFERROR(__xludf.DUMMYFUNCTION("""COMPUTED_VALUE"""),"DHBA")</f>
        <v>DHBA</v>
      </c>
      <c r="C3417" s="42" t="str">
        <f>IFERROR(__xludf.DUMMYFUNCTION("""COMPUTED_VALUE"""),"Locus coeruleus")</f>
        <v>Locus coeruleus</v>
      </c>
      <c r="D3417" s="42">
        <f>IFERROR(__xludf.DUMMYFUNCTION("""COMPUTED_VALUE"""),3268.0)</f>
        <v>3268</v>
      </c>
      <c r="E3417" s="39" t="str">
        <f>IFERROR(__xludf.DUMMYFUNCTION("""COMPUTED_VALUE"""),"locus coeruleus")</f>
        <v>locus coeruleus</v>
      </c>
      <c r="F3417" s="9" t="str">
        <f>IFERROR(__xludf.DUMMYFUNCTION("""COMPUTED_VALUE"""),"Br")</f>
        <v>Br</v>
      </c>
      <c r="G3417" s="9" t="str">
        <f>IFERROR(__xludf.DUMMYFUNCTION("""COMPUTED_VALUE"""),"H")</f>
        <v>H</v>
      </c>
      <c r="H3417" s="9" t="str">
        <f>IFERROR(__xludf.DUMMYFUNCTION("""COMPUTED_VALUE"""),"HSS")</f>
        <v>HSS</v>
      </c>
      <c r="I3417" s="9" t="str">
        <f>IFERROR(__xludf.DUMMYFUNCTION("""COMPUTED_VALUE"""),"PnSS")</f>
        <v>PnSS</v>
      </c>
      <c r="J3417" s="9" t="str">
        <f>IFERROR(__xludf.DUMMYFUNCTION("""COMPUTED_VALUE"""),"AS4V")</f>
        <v>AS4V</v>
      </c>
      <c r="K3417" s="9" t="str">
        <f>IFERROR(__xludf.DUMMYFUNCTION("""COMPUTED_VALUE"""),"LC")</f>
        <v>LC</v>
      </c>
      <c r="L3417" s="9"/>
      <c r="M3417" s="9"/>
      <c r="N3417" s="9"/>
      <c r="O3417" s="9"/>
      <c r="P3417" s="9"/>
      <c r="Q3417" s="9"/>
      <c r="R3417" s="9"/>
      <c r="S3417" s="42"/>
      <c r="T3417" s="42"/>
      <c r="U3417" s="42"/>
      <c r="V3417" s="42"/>
      <c r="W3417" s="42"/>
      <c r="X3417" s="42"/>
      <c r="Y3417" s="42"/>
      <c r="Z3417" s="42"/>
      <c r="AA3417" s="42"/>
      <c r="AB3417" s="42" t="str">
        <f>IFERROR(__xludf.DUMMYFUNCTION("""COMPUTED_VALUE"""),"allen institute")</f>
        <v>allen institute</v>
      </c>
      <c r="AC3417" s="42" t="str">
        <f>IFERROR(__xludf.DUMMYFUNCTION("""COMPUTED_VALUE"""),"DHBA")</f>
        <v>DHBA</v>
      </c>
      <c r="AD3417" s="42"/>
      <c r="AE3417" s="42"/>
      <c r="AF3417" s="9"/>
      <c r="AG3417" s="9"/>
      <c r="AH3417" s="42"/>
      <c r="AI3417" s="42"/>
      <c r="AJ3417" s="42"/>
      <c r="AK3417" s="42"/>
      <c r="AL3417" s="42"/>
      <c r="AM3417" s="42"/>
      <c r="AN3417" s="42"/>
      <c r="AO3417" s="63" t="str">
        <f>IFERROR(__xludf.DUMMYFUNCTION("IF(ISBLANK(A3417),,IF(ISBLANK(S3417), A3417&amp;"";"", TEXTJOIN(CHAR(10), TRUE, A3417&amp;"";"", ARRAYFORMULA(VLOOKUP(SPLIT(S3417, "";"" &amp; CHAR(10)), $A:$AO, 41, FALSE)))))"),"LC;")</f>
        <v>LC;</v>
      </c>
      <c r="AP3417" s="89"/>
    </row>
    <row r="3418">
      <c r="A3418" s="151" t="str">
        <f>IFERROR(__xludf.DUMMYFUNCTION("""COMPUTED_VALUE"""),"MEm")</f>
        <v>MEm</v>
      </c>
      <c r="B3418" s="42" t="str">
        <f>IFERROR(__xludf.DUMMYFUNCTION("""COMPUTED_VALUE"""),"DHBA")</f>
        <v>DHBA</v>
      </c>
      <c r="C3418" s="42" t="str">
        <f>IFERROR(__xludf.DUMMYFUNCTION("""COMPUTED_VALUE"""),"medial eminence")</f>
        <v>medial eminence</v>
      </c>
      <c r="D3418" s="42">
        <f>IFERROR(__xludf.DUMMYFUNCTION("""COMPUTED_VALUE"""),3269.0)</f>
        <v>3269</v>
      </c>
      <c r="E3418" s="39" t="str">
        <f>IFERROR(__xludf.DUMMYFUNCTION("""COMPUTED_VALUE"""),"medial eminence")</f>
        <v>medial eminence</v>
      </c>
      <c r="F3418" s="9" t="str">
        <f>IFERROR(__xludf.DUMMYFUNCTION("""COMPUTED_VALUE"""),"Br")</f>
        <v>Br</v>
      </c>
      <c r="G3418" s="9" t="str">
        <f>IFERROR(__xludf.DUMMYFUNCTION("""COMPUTED_VALUE"""),"H")</f>
        <v>H</v>
      </c>
      <c r="H3418" s="9" t="str">
        <f>IFERROR(__xludf.DUMMYFUNCTION("""COMPUTED_VALUE"""),"HSS")</f>
        <v>HSS</v>
      </c>
      <c r="I3418" s="9" t="str">
        <f>IFERROR(__xludf.DUMMYFUNCTION("""COMPUTED_VALUE"""),"PnSS")</f>
        <v>PnSS</v>
      </c>
      <c r="J3418" s="9" t="str">
        <f>IFERROR(__xludf.DUMMYFUNCTION("""COMPUTED_VALUE"""),"AS4V")</f>
        <v>AS4V</v>
      </c>
      <c r="K3418" s="9" t="str">
        <f>IFERROR(__xludf.DUMMYFUNCTION("""COMPUTED_VALUE"""),"MEm")</f>
        <v>MEm</v>
      </c>
      <c r="L3418" s="9"/>
      <c r="M3418" s="9"/>
      <c r="N3418" s="9"/>
      <c r="O3418" s="9"/>
      <c r="P3418" s="9"/>
      <c r="Q3418" s="9"/>
      <c r="R3418" s="9"/>
      <c r="S3418" s="42"/>
      <c r="T3418" s="42"/>
      <c r="U3418" s="42"/>
      <c r="V3418" s="42"/>
      <c r="W3418" s="42"/>
      <c r="X3418" s="42"/>
      <c r="Y3418" s="42"/>
      <c r="Z3418" s="42"/>
      <c r="AA3418" s="42"/>
      <c r="AB3418" s="42" t="str">
        <f>IFERROR(__xludf.DUMMYFUNCTION("""COMPUTED_VALUE"""),"allen institute")</f>
        <v>allen institute</v>
      </c>
      <c r="AC3418" s="42" t="str">
        <f>IFERROR(__xludf.DUMMYFUNCTION("""COMPUTED_VALUE"""),"DHBA")</f>
        <v>DHBA</v>
      </c>
      <c r="AD3418" s="42"/>
      <c r="AE3418" s="42"/>
      <c r="AF3418" s="9"/>
      <c r="AG3418" s="9"/>
      <c r="AH3418" s="42"/>
      <c r="AI3418" s="42"/>
      <c r="AJ3418" s="42"/>
      <c r="AK3418" s="42"/>
      <c r="AL3418" s="42"/>
      <c r="AM3418" s="42"/>
      <c r="AN3418" s="42"/>
      <c r="AO3418" s="63" t="str">
        <f>IFERROR(__xludf.DUMMYFUNCTION("IF(ISBLANK(A3418),,IF(ISBLANK(S3418), A3418&amp;"";"", TEXTJOIN(CHAR(10), TRUE, A3418&amp;"";"", ARRAYFORMULA(VLOOKUP(SPLIT(S3418, "";"" &amp; CHAR(10)), $A:$AO, 41, FALSE)))))"),"MEm;")</f>
        <v>MEm;</v>
      </c>
      <c r="AP3418" s="89"/>
    </row>
    <row r="3419">
      <c r="A3419" s="151" t="str">
        <f>IFERROR(__xludf.DUMMYFUNCTION("""COMPUTED_VALUE"""),"ma4V")</f>
        <v>ma4V</v>
      </c>
      <c r="B3419" s="42" t="str">
        <f>IFERROR(__xludf.DUMMYFUNCTION("""COMPUTED_VALUE"""),"DHBA")</f>
        <v>DHBA</v>
      </c>
      <c r="C3419" s="42" t="str">
        <f>IFERROR(__xludf.DUMMYFUNCTION("""COMPUTED_VALUE"""),"median aperture (foramen of Magendie)")</f>
        <v>median aperture (foramen of Magendie)</v>
      </c>
      <c r="D3419" s="42">
        <f>IFERROR(__xludf.DUMMYFUNCTION("""COMPUTED_VALUE"""),3270.0)</f>
        <v>3270</v>
      </c>
      <c r="E3419" s="39" t="str">
        <f>IFERROR(__xludf.DUMMYFUNCTION("""COMPUTED_VALUE"""),"median aperture (foramen of Magendie)")</f>
        <v>median aperture (foramen of Magendie)</v>
      </c>
      <c r="F3419" s="9" t="str">
        <f>IFERROR(__xludf.DUMMYFUNCTION("""COMPUTED_VALUE"""),"Br")</f>
        <v>Br</v>
      </c>
      <c r="G3419" s="9" t="str">
        <f>IFERROR(__xludf.DUMMYFUNCTION("""COMPUTED_VALUE"""),"H")</f>
        <v>H</v>
      </c>
      <c r="H3419" s="9" t="str">
        <f>IFERROR(__xludf.DUMMYFUNCTION("""COMPUTED_VALUE"""),"HSS")</f>
        <v>HSS</v>
      </c>
      <c r="I3419" s="9" t="str">
        <f>IFERROR(__xludf.DUMMYFUNCTION("""COMPUTED_VALUE"""),"PnSS")</f>
        <v>PnSS</v>
      </c>
      <c r="J3419" s="9" t="str">
        <f>IFERROR(__xludf.DUMMYFUNCTION("""COMPUTED_VALUE"""),"AS4V")</f>
        <v>AS4V</v>
      </c>
      <c r="K3419" s="9" t="str">
        <f>IFERROR(__xludf.DUMMYFUNCTION("""COMPUTED_VALUE"""),"ma4V")</f>
        <v>ma4V</v>
      </c>
      <c r="L3419" s="9"/>
      <c r="M3419" s="9"/>
      <c r="N3419" s="9"/>
      <c r="O3419" s="9"/>
      <c r="P3419" s="9"/>
      <c r="Q3419" s="9"/>
      <c r="R3419" s="9"/>
      <c r="S3419" s="42"/>
      <c r="T3419" s="42"/>
      <c r="U3419" s="42"/>
      <c r="V3419" s="42"/>
      <c r="W3419" s="42"/>
      <c r="X3419" s="42"/>
      <c r="Y3419" s="42"/>
      <c r="Z3419" s="42"/>
      <c r="AA3419" s="42"/>
      <c r="AB3419" s="42" t="str">
        <f>IFERROR(__xludf.DUMMYFUNCTION("""COMPUTED_VALUE"""),"allen institute")</f>
        <v>allen institute</v>
      </c>
      <c r="AC3419" s="42" t="str">
        <f>IFERROR(__xludf.DUMMYFUNCTION("""COMPUTED_VALUE"""),"DHBA")</f>
        <v>DHBA</v>
      </c>
      <c r="AD3419" s="42"/>
      <c r="AE3419" s="42"/>
      <c r="AF3419" s="9"/>
      <c r="AG3419" s="9"/>
      <c r="AH3419" s="42"/>
      <c r="AI3419" s="42"/>
      <c r="AJ3419" s="42"/>
      <c r="AK3419" s="42"/>
      <c r="AL3419" s="42"/>
      <c r="AM3419" s="42"/>
      <c r="AN3419" s="42"/>
      <c r="AO3419" s="63" t="str">
        <f>IFERROR(__xludf.DUMMYFUNCTION("IF(ISBLANK(A3419),,IF(ISBLANK(S3419), A3419&amp;"";"", TEXTJOIN(CHAR(10), TRUE, A3419&amp;"";"", ARRAYFORMULA(VLOOKUP(SPLIT(S3419, "";"" &amp; CHAR(10)), $A:$AO, 41, FALSE)))))"),"ma4V;")</f>
        <v>ma4V;</v>
      </c>
      <c r="AP3419" s="89"/>
    </row>
    <row r="3420">
      <c r="A3420" s="151" t="str">
        <f>IFERROR(__xludf.DUMMYFUNCTION("""COMPUTED_VALUE"""),"MSul")</f>
        <v>MSul</v>
      </c>
      <c r="B3420" s="42" t="str">
        <f>IFERROR(__xludf.DUMMYFUNCTION("""COMPUTED_VALUE"""),"DHBA")</f>
        <v>DHBA</v>
      </c>
      <c r="C3420" s="42" t="str">
        <f>IFERROR(__xludf.DUMMYFUNCTION("""COMPUTED_VALUE"""),"median sulcus")</f>
        <v>median sulcus</v>
      </c>
      <c r="D3420" s="42">
        <f>IFERROR(__xludf.DUMMYFUNCTION("""COMPUTED_VALUE"""),3271.0)</f>
        <v>3271</v>
      </c>
      <c r="E3420" s="39" t="str">
        <f>IFERROR(__xludf.DUMMYFUNCTION("""COMPUTED_VALUE"""),"median sulcus")</f>
        <v>median sulcus</v>
      </c>
      <c r="F3420" s="9" t="str">
        <f>IFERROR(__xludf.DUMMYFUNCTION("""COMPUTED_VALUE"""),"Br")</f>
        <v>Br</v>
      </c>
      <c r="G3420" s="9" t="str">
        <f>IFERROR(__xludf.DUMMYFUNCTION("""COMPUTED_VALUE"""),"H")</f>
        <v>H</v>
      </c>
      <c r="H3420" s="9" t="str">
        <f>IFERROR(__xludf.DUMMYFUNCTION("""COMPUTED_VALUE"""),"HSS")</f>
        <v>HSS</v>
      </c>
      <c r="I3420" s="9" t="str">
        <f>IFERROR(__xludf.DUMMYFUNCTION("""COMPUTED_VALUE"""),"PnSS")</f>
        <v>PnSS</v>
      </c>
      <c r="J3420" s="9" t="str">
        <f>IFERROR(__xludf.DUMMYFUNCTION("""COMPUTED_VALUE"""),"AS4V")</f>
        <v>AS4V</v>
      </c>
      <c r="K3420" s="9" t="str">
        <f>IFERROR(__xludf.DUMMYFUNCTION("""COMPUTED_VALUE"""),"MSul")</f>
        <v>MSul</v>
      </c>
      <c r="L3420" s="9"/>
      <c r="M3420" s="9"/>
      <c r="N3420" s="9"/>
      <c r="O3420" s="9"/>
      <c r="P3420" s="9"/>
      <c r="Q3420" s="9"/>
      <c r="R3420" s="9"/>
      <c r="S3420" s="42"/>
      <c r="T3420" s="42" t="str">
        <f>IFERROR(__xludf.DUMMYFUNCTION("""COMPUTED_VALUE"""),"sulcus")</f>
        <v>sulcus</v>
      </c>
      <c r="U3420" s="42" t="b">
        <f>IFERROR(__xludf.DUMMYFUNCTION("""COMPUTED_VALUE"""),FALSE)</f>
        <v>0</v>
      </c>
      <c r="V3420" s="42"/>
      <c r="W3420" s="42"/>
      <c r="X3420" s="42"/>
      <c r="Y3420" s="42"/>
      <c r="Z3420" s="42"/>
      <c r="AA3420" s="42"/>
      <c r="AB3420" s="42" t="str">
        <f>IFERROR(__xludf.DUMMYFUNCTION("""COMPUTED_VALUE"""),"allen institute")</f>
        <v>allen institute</v>
      </c>
      <c r="AC3420" s="42" t="str">
        <f>IFERROR(__xludf.DUMMYFUNCTION("""COMPUTED_VALUE"""),"DHBA")</f>
        <v>DHBA</v>
      </c>
      <c r="AD3420" s="42"/>
      <c r="AE3420" s="42"/>
      <c r="AF3420" s="9"/>
      <c r="AG3420" s="9"/>
      <c r="AH3420" s="42"/>
      <c r="AI3420" s="42"/>
      <c r="AJ3420" s="42"/>
      <c r="AK3420" s="42"/>
      <c r="AL3420" s="42"/>
      <c r="AM3420" s="42"/>
      <c r="AN3420" s="42"/>
      <c r="AO3420" s="63" t="str">
        <f>IFERROR(__xludf.DUMMYFUNCTION("IF(ISBLANK(A3420),,IF(ISBLANK(S3420), A3420&amp;"";"", TEXTJOIN(CHAR(10), TRUE, A3420&amp;"";"", ARRAYFORMULA(VLOOKUP(SPLIT(S3420, "";"" &amp; CHAR(10)), $A:$AO, 41, FALSE)))))"),"MSul;")</f>
        <v>MSul;</v>
      </c>
      <c r="AP3420" s="89"/>
    </row>
    <row r="3421">
      <c r="A3421" s="151" t="str">
        <f>IFERROR(__xludf.DUMMYFUNCTION("""COMPUTED_VALUE"""),"Obx")</f>
        <v>Obx</v>
      </c>
      <c r="B3421" s="42" t="str">
        <f>IFERROR(__xludf.DUMMYFUNCTION("""COMPUTED_VALUE"""),"DHBA")</f>
        <v>DHBA</v>
      </c>
      <c r="C3421" s="42" t="str">
        <f>IFERROR(__xludf.DUMMYFUNCTION("""COMPUTED_VALUE"""),"obex")</f>
        <v>obex</v>
      </c>
      <c r="D3421" s="42">
        <f>IFERROR(__xludf.DUMMYFUNCTION("""COMPUTED_VALUE"""),3272.0)</f>
        <v>3272</v>
      </c>
      <c r="E3421" s="39" t="str">
        <f>IFERROR(__xludf.DUMMYFUNCTION("""COMPUTED_VALUE"""),"obex")</f>
        <v>obex</v>
      </c>
      <c r="F3421" s="9" t="str">
        <f>IFERROR(__xludf.DUMMYFUNCTION("""COMPUTED_VALUE"""),"Br")</f>
        <v>Br</v>
      </c>
      <c r="G3421" s="9" t="str">
        <f>IFERROR(__xludf.DUMMYFUNCTION("""COMPUTED_VALUE"""),"H")</f>
        <v>H</v>
      </c>
      <c r="H3421" s="9" t="str">
        <f>IFERROR(__xludf.DUMMYFUNCTION("""COMPUTED_VALUE"""),"HSS")</f>
        <v>HSS</v>
      </c>
      <c r="I3421" s="9" t="str">
        <f>IFERROR(__xludf.DUMMYFUNCTION("""COMPUTED_VALUE"""),"PnSS")</f>
        <v>PnSS</v>
      </c>
      <c r="J3421" s="9" t="str">
        <f>IFERROR(__xludf.DUMMYFUNCTION("""COMPUTED_VALUE"""),"AS4V")</f>
        <v>AS4V</v>
      </c>
      <c r="K3421" s="9" t="str">
        <f>IFERROR(__xludf.DUMMYFUNCTION("""COMPUTED_VALUE"""),"Obx")</f>
        <v>Obx</v>
      </c>
      <c r="L3421" s="9"/>
      <c r="M3421" s="9"/>
      <c r="N3421" s="9"/>
      <c r="O3421" s="9"/>
      <c r="P3421" s="9"/>
      <c r="Q3421" s="9"/>
      <c r="R3421" s="9"/>
      <c r="S3421" s="42"/>
      <c r="T3421" s="42"/>
      <c r="U3421" s="42"/>
      <c r="V3421" s="42"/>
      <c r="W3421" s="42"/>
      <c r="X3421" s="42"/>
      <c r="Y3421" s="42"/>
      <c r="Z3421" s="42"/>
      <c r="AA3421" s="42"/>
      <c r="AB3421" s="42" t="str">
        <f>IFERROR(__xludf.DUMMYFUNCTION("""COMPUTED_VALUE"""),"allen institute")</f>
        <v>allen institute</v>
      </c>
      <c r="AC3421" s="42" t="str">
        <f>IFERROR(__xludf.DUMMYFUNCTION("""COMPUTED_VALUE"""),"DHBA")</f>
        <v>DHBA</v>
      </c>
      <c r="AD3421" s="42"/>
      <c r="AE3421" s="42"/>
      <c r="AF3421" s="9"/>
      <c r="AG3421" s="9"/>
      <c r="AH3421" s="42"/>
      <c r="AI3421" s="42"/>
      <c r="AJ3421" s="42"/>
      <c r="AK3421" s="42"/>
      <c r="AL3421" s="42"/>
      <c r="AM3421" s="42"/>
      <c r="AN3421" s="42"/>
      <c r="AO3421" s="63" t="str">
        <f>IFERROR(__xludf.DUMMYFUNCTION("IF(ISBLANK(A3421),,IF(ISBLANK(S3421), A3421&amp;"";"", TEXTJOIN(CHAR(10), TRUE, A3421&amp;"";"", ARRAYFORMULA(VLOOKUP(SPLIT(S3421, "";"" &amp; CHAR(10)), $A:$AO, 41, FALSE)))))"),"Obx;")</f>
        <v>Obx;</v>
      </c>
      <c r="AP3421" s="89"/>
    </row>
    <row r="3422">
      <c r="A3422" s="151" t="str">
        <f>IFERROR(__xludf.DUMMYFUNCTION("""COMPUTED_VALUE"""),"SulL")</f>
        <v>SulL</v>
      </c>
      <c r="B3422" s="42" t="str">
        <f>IFERROR(__xludf.DUMMYFUNCTION("""COMPUTED_VALUE"""),"DHBA")</f>
        <v>DHBA</v>
      </c>
      <c r="C3422" s="42" t="str">
        <f>IFERROR(__xludf.DUMMYFUNCTION("""COMPUTED_VALUE"""),"sulcus limitans")</f>
        <v>sulcus limitans</v>
      </c>
      <c r="D3422" s="42">
        <f>IFERROR(__xludf.DUMMYFUNCTION("""COMPUTED_VALUE"""),3273.0)</f>
        <v>3273</v>
      </c>
      <c r="E3422" s="39" t="str">
        <f>IFERROR(__xludf.DUMMYFUNCTION("""COMPUTED_VALUE"""),"sulcus limitans")</f>
        <v>sulcus limitans</v>
      </c>
      <c r="F3422" s="9" t="str">
        <f>IFERROR(__xludf.DUMMYFUNCTION("""COMPUTED_VALUE"""),"Br")</f>
        <v>Br</v>
      </c>
      <c r="G3422" s="9" t="str">
        <f>IFERROR(__xludf.DUMMYFUNCTION("""COMPUTED_VALUE"""),"H")</f>
        <v>H</v>
      </c>
      <c r="H3422" s="9" t="str">
        <f>IFERROR(__xludf.DUMMYFUNCTION("""COMPUTED_VALUE"""),"HSS")</f>
        <v>HSS</v>
      </c>
      <c r="I3422" s="9" t="str">
        <f>IFERROR(__xludf.DUMMYFUNCTION("""COMPUTED_VALUE"""),"PnSS")</f>
        <v>PnSS</v>
      </c>
      <c r="J3422" s="9" t="str">
        <f>IFERROR(__xludf.DUMMYFUNCTION("""COMPUTED_VALUE"""),"AS4V")</f>
        <v>AS4V</v>
      </c>
      <c r="K3422" s="9" t="str">
        <f>IFERROR(__xludf.DUMMYFUNCTION("""COMPUTED_VALUE"""),"SulL")</f>
        <v>SulL</v>
      </c>
      <c r="L3422" s="9"/>
      <c r="M3422" s="9"/>
      <c r="N3422" s="9"/>
      <c r="O3422" s="9"/>
      <c r="P3422" s="9"/>
      <c r="Q3422" s="9"/>
      <c r="R3422" s="9"/>
      <c r="S3422" s="42"/>
      <c r="T3422" s="42" t="str">
        <f>IFERROR(__xludf.DUMMYFUNCTION("""COMPUTED_VALUE"""),"sulcus")</f>
        <v>sulcus</v>
      </c>
      <c r="U3422" s="42" t="b">
        <f>IFERROR(__xludf.DUMMYFUNCTION("""COMPUTED_VALUE"""),FALSE)</f>
        <v>0</v>
      </c>
      <c r="V3422" s="42"/>
      <c r="W3422" s="42"/>
      <c r="X3422" s="42"/>
      <c r="Y3422" s="42"/>
      <c r="Z3422" s="42"/>
      <c r="AA3422" s="42"/>
      <c r="AB3422" s="42" t="str">
        <f>IFERROR(__xludf.DUMMYFUNCTION("""COMPUTED_VALUE"""),"allen institute")</f>
        <v>allen institute</v>
      </c>
      <c r="AC3422" s="42" t="str">
        <f>IFERROR(__xludf.DUMMYFUNCTION("""COMPUTED_VALUE"""),"DHBA")</f>
        <v>DHBA</v>
      </c>
      <c r="AD3422" s="42"/>
      <c r="AE3422" s="42"/>
      <c r="AF3422" s="9"/>
      <c r="AG3422" s="9"/>
      <c r="AH3422" s="42"/>
      <c r="AI3422" s="42"/>
      <c r="AJ3422" s="42"/>
      <c r="AK3422" s="42"/>
      <c r="AL3422" s="42"/>
      <c r="AM3422" s="42"/>
      <c r="AN3422" s="42"/>
      <c r="AO3422" s="63" t="str">
        <f>IFERROR(__xludf.DUMMYFUNCTION("IF(ISBLANK(A3422),,IF(ISBLANK(S3422), A3422&amp;"";"", TEXTJOIN(CHAR(10), TRUE, A3422&amp;"";"", ARRAYFORMULA(VLOOKUP(SPLIT(S3422, "";"" &amp; CHAR(10)), $A:$AO, 41, FALSE)))))"),"SulL;")</f>
        <v>SulL;</v>
      </c>
      <c r="AP3422" s="89"/>
    </row>
    <row r="3423">
      <c r="A3423" s="151" t="str">
        <f>IFERROR(__xludf.DUMMYFUNCTION("""COMPUTED_VALUE"""),"Tae")</f>
        <v>Tae</v>
      </c>
      <c r="B3423" s="42" t="str">
        <f>IFERROR(__xludf.DUMMYFUNCTION("""COMPUTED_VALUE"""),"DHBA")</f>
        <v>DHBA</v>
      </c>
      <c r="C3423" s="42" t="str">
        <f>IFERROR(__xludf.DUMMYFUNCTION("""COMPUTED_VALUE"""),"taenia cinerea")</f>
        <v>taenia cinerea</v>
      </c>
      <c r="D3423" s="42">
        <f>IFERROR(__xludf.DUMMYFUNCTION("""COMPUTED_VALUE"""),3274.0)</f>
        <v>3274</v>
      </c>
      <c r="E3423" s="39" t="str">
        <f>IFERROR(__xludf.DUMMYFUNCTION("""COMPUTED_VALUE"""),"taenia cinerea")</f>
        <v>taenia cinerea</v>
      </c>
      <c r="F3423" s="9" t="str">
        <f>IFERROR(__xludf.DUMMYFUNCTION("""COMPUTED_VALUE"""),"Br")</f>
        <v>Br</v>
      </c>
      <c r="G3423" s="9" t="str">
        <f>IFERROR(__xludf.DUMMYFUNCTION("""COMPUTED_VALUE"""),"H")</f>
        <v>H</v>
      </c>
      <c r="H3423" s="9" t="str">
        <f>IFERROR(__xludf.DUMMYFUNCTION("""COMPUTED_VALUE"""),"HSS")</f>
        <v>HSS</v>
      </c>
      <c r="I3423" s="9" t="str">
        <f>IFERROR(__xludf.DUMMYFUNCTION("""COMPUTED_VALUE"""),"PnSS")</f>
        <v>PnSS</v>
      </c>
      <c r="J3423" s="9" t="str">
        <f>IFERROR(__xludf.DUMMYFUNCTION("""COMPUTED_VALUE"""),"AS4V")</f>
        <v>AS4V</v>
      </c>
      <c r="K3423" s="9" t="str">
        <f>IFERROR(__xludf.DUMMYFUNCTION("""COMPUTED_VALUE"""),"Tae")</f>
        <v>Tae</v>
      </c>
      <c r="L3423" s="9"/>
      <c r="M3423" s="9"/>
      <c r="N3423" s="9"/>
      <c r="O3423" s="9"/>
      <c r="P3423" s="9"/>
      <c r="Q3423" s="9"/>
      <c r="R3423" s="9"/>
      <c r="S3423" s="42"/>
      <c r="T3423" s="42"/>
      <c r="U3423" s="42"/>
      <c r="V3423" s="42"/>
      <c r="W3423" s="42"/>
      <c r="X3423" s="42"/>
      <c r="Y3423" s="42"/>
      <c r="Z3423" s="42"/>
      <c r="AA3423" s="42"/>
      <c r="AB3423" s="42" t="str">
        <f>IFERROR(__xludf.DUMMYFUNCTION("""COMPUTED_VALUE"""),"allen institute")</f>
        <v>allen institute</v>
      </c>
      <c r="AC3423" s="42" t="str">
        <f>IFERROR(__xludf.DUMMYFUNCTION("""COMPUTED_VALUE"""),"DHBA")</f>
        <v>DHBA</v>
      </c>
      <c r="AD3423" s="42"/>
      <c r="AE3423" s="42"/>
      <c r="AF3423" s="9"/>
      <c r="AG3423" s="9"/>
      <c r="AH3423" s="42"/>
      <c r="AI3423" s="42"/>
      <c r="AJ3423" s="42"/>
      <c r="AK3423" s="42"/>
      <c r="AL3423" s="42"/>
      <c r="AM3423" s="42"/>
      <c r="AN3423" s="42"/>
      <c r="AO3423" s="63" t="str">
        <f>IFERROR(__xludf.DUMMYFUNCTION("IF(ISBLANK(A3423),,IF(ISBLANK(S3423), A3423&amp;"";"", TEXTJOIN(CHAR(10), TRUE, A3423&amp;"";"", ARRAYFORMULA(VLOOKUP(SPLIT(S3423, "";"" &amp; CHAR(10)), $A:$AO, 41, FALSE)))))"),"Tae;")</f>
        <v>Tae;</v>
      </c>
      <c r="AP3423" s="89"/>
    </row>
    <row r="3424">
      <c r="A3424" s="151" t="str">
        <f>IFERROR(__xludf.DUMMYFUNCTION("""COMPUTED_VALUE"""),"10Tr")</f>
        <v>10Tr</v>
      </c>
      <c r="B3424" s="42" t="str">
        <f>IFERROR(__xludf.DUMMYFUNCTION("""COMPUTED_VALUE"""),"DHBA")</f>
        <v>DHBA</v>
      </c>
      <c r="C3424" s="42" t="str">
        <f>IFERROR(__xludf.DUMMYFUNCTION("""COMPUTED_VALUE"""),"vagal trigone")</f>
        <v>vagal trigone</v>
      </c>
      <c r="D3424" s="42">
        <f>IFERROR(__xludf.DUMMYFUNCTION("""COMPUTED_VALUE"""),3275.0)</f>
        <v>3275</v>
      </c>
      <c r="E3424" s="39" t="str">
        <f>IFERROR(__xludf.DUMMYFUNCTION("""COMPUTED_VALUE"""),"vagal trigone")</f>
        <v>vagal trigone</v>
      </c>
      <c r="F3424" s="9" t="str">
        <f>IFERROR(__xludf.DUMMYFUNCTION("""COMPUTED_VALUE"""),"Br")</f>
        <v>Br</v>
      </c>
      <c r="G3424" s="9" t="str">
        <f>IFERROR(__xludf.DUMMYFUNCTION("""COMPUTED_VALUE"""),"H")</f>
        <v>H</v>
      </c>
      <c r="H3424" s="9" t="str">
        <f>IFERROR(__xludf.DUMMYFUNCTION("""COMPUTED_VALUE"""),"HSS")</f>
        <v>HSS</v>
      </c>
      <c r="I3424" s="9" t="str">
        <f>IFERROR(__xludf.DUMMYFUNCTION("""COMPUTED_VALUE"""),"PnSS")</f>
        <v>PnSS</v>
      </c>
      <c r="J3424" s="9" t="str">
        <f>IFERROR(__xludf.DUMMYFUNCTION("""COMPUTED_VALUE"""),"AS4V")</f>
        <v>AS4V</v>
      </c>
      <c r="K3424" s="9" t="str">
        <f>IFERROR(__xludf.DUMMYFUNCTION("""COMPUTED_VALUE"""),"10Tr")</f>
        <v>10Tr</v>
      </c>
      <c r="L3424" s="9"/>
      <c r="M3424" s="9"/>
      <c r="N3424" s="9"/>
      <c r="O3424" s="9"/>
      <c r="P3424" s="9"/>
      <c r="Q3424" s="9"/>
      <c r="R3424" s="9"/>
      <c r="S3424" s="42"/>
      <c r="T3424" s="42"/>
      <c r="U3424" s="42"/>
      <c r="V3424" s="42"/>
      <c r="W3424" s="42"/>
      <c r="X3424" s="42"/>
      <c r="Y3424" s="42"/>
      <c r="Z3424" s="42"/>
      <c r="AA3424" s="42"/>
      <c r="AB3424" s="42" t="str">
        <f>IFERROR(__xludf.DUMMYFUNCTION("""COMPUTED_VALUE"""),"allen institute")</f>
        <v>allen institute</v>
      </c>
      <c r="AC3424" s="42" t="str">
        <f>IFERROR(__xludf.DUMMYFUNCTION("""COMPUTED_VALUE"""),"DHBA")</f>
        <v>DHBA</v>
      </c>
      <c r="AD3424" s="42"/>
      <c r="AE3424" s="42"/>
      <c r="AF3424" s="9"/>
      <c r="AG3424" s="9"/>
      <c r="AH3424" s="42"/>
      <c r="AI3424" s="42"/>
      <c r="AJ3424" s="42"/>
      <c r="AK3424" s="42"/>
      <c r="AL3424" s="42"/>
      <c r="AM3424" s="42"/>
      <c r="AN3424" s="42"/>
      <c r="AO3424" s="63" t="str">
        <f>IFERROR(__xludf.DUMMYFUNCTION("IF(ISBLANK(A3424),,IF(ISBLANK(S3424), A3424&amp;"";"", TEXTJOIN(CHAR(10), TRUE, A3424&amp;"";"", ARRAYFORMULA(VLOOKUP(SPLIT(S3424, "";"" &amp; CHAR(10)), $A:$AO, 41, FALSE)))))"),"10Tr;")</f>
        <v>10Tr;</v>
      </c>
      <c r="AP3424" s="89"/>
    </row>
    <row r="3425">
      <c r="A3425" s="151" t="str">
        <f>IFERROR(__xludf.DUMMYFUNCTION("""COMPUTED_VALUE"""),"MOSS")</f>
        <v>MOSS</v>
      </c>
      <c r="B3425" s="42" t="str">
        <f>IFERROR(__xludf.DUMMYFUNCTION("""COMPUTED_VALUE"""),"DHBA")</f>
        <v>DHBA</v>
      </c>
      <c r="C3425" s="42" t="str">
        <f>IFERROR(__xludf.DUMMYFUNCTION("""COMPUTED_VALUE"""),"surface structures of medulla")</f>
        <v>surface structures of medulla</v>
      </c>
      <c r="D3425" s="42">
        <f>IFERROR(__xludf.DUMMYFUNCTION("""COMPUTED_VALUE"""),3276.0)</f>
        <v>3276</v>
      </c>
      <c r="E3425" s="39" t="str">
        <f>IFERROR(__xludf.DUMMYFUNCTION("""COMPUTED_VALUE"""),"surface structures of medulla")</f>
        <v>surface structures of medulla</v>
      </c>
      <c r="F3425" s="9" t="str">
        <f>IFERROR(__xludf.DUMMYFUNCTION("""COMPUTED_VALUE"""),"Br")</f>
        <v>Br</v>
      </c>
      <c r="G3425" s="9" t="str">
        <f>IFERROR(__xludf.DUMMYFUNCTION("""COMPUTED_VALUE"""),"H")</f>
        <v>H</v>
      </c>
      <c r="H3425" s="9" t="str">
        <f>IFERROR(__xludf.DUMMYFUNCTION("""COMPUTED_VALUE"""),"HSS")</f>
        <v>HSS</v>
      </c>
      <c r="I3425" s="9" t="str">
        <f>IFERROR(__xludf.DUMMYFUNCTION("""COMPUTED_VALUE"""),"MOSS")</f>
        <v>MOSS</v>
      </c>
      <c r="J3425" s="9"/>
      <c r="K3425" s="9"/>
      <c r="L3425" s="9"/>
      <c r="M3425" s="9"/>
      <c r="N3425" s="9"/>
      <c r="O3425" s="9"/>
      <c r="P3425" s="9"/>
      <c r="Q3425" s="9"/>
      <c r="R3425" s="9"/>
      <c r="S3425" s="42" t="str">
        <f>IFERROR(__xludf.DUMMYFUNCTION("""COMPUTED_VALUE"""),"alms;
cutu;
dmms;
fce;
grtu;
imv;
dims;
dlms;
posos;
r11;
r12;
r9;
r10;
vmms")</f>
        <v>alms;
cutu;
dmms;
fce;
grtu;
imv;
dims;
dlms;
posos;
r11;
r12;
r9;
r10;
vmms</v>
      </c>
      <c r="T3425" s="42"/>
      <c r="U3425" s="42" t="b">
        <f>IFERROR(__xludf.DUMMYFUNCTION("""COMPUTED_VALUE"""),FALSE)</f>
        <v>0</v>
      </c>
      <c r="V3425" s="42"/>
      <c r="W3425" s="42"/>
      <c r="X3425" s="42"/>
      <c r="Y3425" s="42"/>
      <c r="Z3425" s="42"/>
      <c r="AA3425" s="42"/>
      <c r="AB3425" s="42" t="str">
        <f>IFERROR(__xludf.DUMMYFUNCTION("""COMPUTED_VALUE"""),"allen institute")</f>
        <v>allen institute</v>
      </c>
      <c r="AC3425" s="42" t="str">
        <f>IFERROR(__xludf.DUMMYFUNCTION("""COMPUTED_VALUE"""),"DHBA")</f>
        <v>DHBA</v>
      </c>
      <c r="AD3425" s="42"/>
      <c r="AE3425" s="42"/>
      <c r="AF3425" s="9"/>
      <c r="AG3425" s="9"/>
      <c r="AH3425" s="42"/>
      <c r="AI3425" s="42"/>
      <c r="AJ3425" s="42"/>
      <c r="AK3425" s="42"/>
      <c r="AL3425" s="42"/>
      <c r="AM3425" s="42"/>
      <c r="AN3425" s="42"/>
      <c r="AO3425" s="63" t="str">
        <f>IFERROR(__xludf.DUMMYFUNCTION("IF(ISBLANK(A3425),,IF(ISBLANK(S3425), A3425&amp;"";"", TEXTJOIN(CHAR(10), TRUE, A3425&amp;"";"", ARRAYFORMULA(VLOOKUP(SPLIT(S3425, "";"" &amp; CHAR(10)), $A:$AO, 41, FALSE)))))"),"MOSS;
alms;
ProS;
ProU;
ProUmo;
ProUsp;
ProUso;
ProR;
ProRmo;
ProRsp;
ProRso;
ProC;
ProCmo;
ProCsp;
ProCso;
cutu;
dmms;
fce;
grtu;
imv;
dims;
dlms;
posos;
r11;
r11cr;
r11sp;
r12;
r9;
r10;
vmms;")</f>
        <v>MOSS;
alms;
ProS;
ProU;
ProUmo;
ProUsp;
ProUso;
ProR;
ProRmo;
ProRsp;
ProRso;
ProC;
ProCmo;
ProCsp;
ProCso;
cutu;
dmms;
fce;
grtu;
imv;
dims;
dlms;
posos;
r11;
r11cr;
r11sp;
r12;
r9;
r10;
vmms;</v>
      </c>
      <c r="AP3425" s="89"/>
    </row>
    <row r="3426">
      <c r="A3426" s="151" t="str">
        <f>IFERROR(__xludf.DUMMYFUNCTION("""COMPUTED_VALUE"""),"alms")</f>
        <v>alms</v>
      </c>
      <c r="B3426" s="42" t="str">
        <f>IFERROR(__xludf.DUMMYFUNCTION("""COMPUTED_VALUE"""),"DHBA")</f>
        <v>DHBA</v>
      </c>
      <c r="C3426" s="42" t="str">
        <f>IFERROR(__xludf.DUMMYFUNCTION("""COMPUTED_VALUE"""),"anterolateral medullary sulcus")</f>
        <v>anterolateral medullary sulcus</v>
      </c>
      <c r="D3426" s="42">
        <f>IFERROR(__xludf.DUMMYFUNCTION("""COMPUTED_VALUE"""),3277.0)</f>
        <v>3277</v>
      </c>
      <c r="E3426" s="39" t="str">
        <f>IFERROR(__xludf.DUMMYFUNCTION("""COMPUTED_VALUE"""),"anterolateral medullary sulcus")</f>
        <v>anterolateral medullary sulcus</v>
      </c>
      <c r="F3426" s="9" t="str">
        <f>IFERROR(__xludf.DUMMYFUNCTION("""COMPUTED_VALUE"""),"Br")</f>
        <v>Br</v>
      </c>
      <c r="G3426" s="9" t="str">
        <f>IFERROR(__xludf.DUMMYFUNCTION("""COMPUTED_VALUE"""),"H")</f>
        <v>H</v>
      </c>
      <c r="H3426" s="9" t="str">
        <f>IFERROR(__xludf.DUMMYFUNCTION("""COMPUTED_VALUE"""),"HSS")</f>
        <v>HSS</v>
      </c>
      <c r="I3426" s="9" t="str">
        <f>IFERROR(__xludf.DUMMYFUNCTION("""COMPUTED_VALUE"""),"MOSS")</f>
        <v>MOSS</v>
      </c>
      <c r="J3426" s="9" t="str">
        <f>IFERROR(__xludf.DUMMYFUNCTION("""COMPUTED_VALUE"""),"alms")</f>
        <v>alms</v>
      </c>
      <c r="K3426" s="9"/>
      <c r="L3426" s="9"/>
      <c r="M3426" s="9"/>
      <c r="N3426" s="9"/>
      <c r="O3426" s="9"/>
      <c r="P3426" s="9"/>
      <c r="Q3426" s="9"/>
      <c r="R3426" s="9"/>
      <c r="S3426" s="42" t="str">
        <f>IFERROR(__xludf.DUMMYFUNCTION("""COMPUTED_VALUE"""),"pros")</f>
        <v>pros</v>
      </c>
      <c r="T3426" s="42" t="str">
        <f>IFERROR(__xludf.DUMMYFUNCTION("""COMPUTED_VALUE"""),"sulcus")</f>
        <v>sulcus</v>
      </c>
      <c r="U3426" s="42" t="b">
        <f>IFERROR(__xludf.DUMMYFUNCTION("""COMPUTED_VALUE"""),FALSE)</f>
        <v>0</v>
      </c>
      <c r="V3426" s="42"/>
      <c r="W3426" s="42"/>
      <c r="X3426" s="42"/>
      <c r="Y3426" s="42"/>
      <c r="Z3426" s="42"/>
      <c r="AA3426" s="42"/>
      <c r="AB3426" s="42" t="str">
        <f>IFERROR(__xludf.DUMMYFUNCTION("""COMPUTED_VALUE"""),"allen institute")</f>
        <v>allen institute</v>
      </c>
      <c r="AC3426" s="42" t="str">
        <f>IFERROR(__xludf.DUMMYFUNCTION("""COMPUTED_VALUE"""),"DHBA")</f>
        <v>DHBA</v>
      </c>
      <c r="AD3426" s="42"/>
      <c r="AE3426" s="42"/>
      <c r="AF3426" s="9"/>
      <c r="AG3426" s="9"/>
      <c r="AH3426" s="42"/>
      <c r="AI3426" s="42"/>
      <c r="AJ3426" s="42"/>
      <c r="AK3426" s="42"/>
      <c r="AL3426" s="42"/>
      <c r="AM3426" s="42"/>
      <c r="AN3426" s="42"/>
      <c r="AO3426" s="63" t="str">
        <f>IFERROR(__xludf.DUMMYFUNCTION("IF(ISBLANK(A3426),,IF(ISBLANK(S3426), A3426&amp;"";"", TEXTJOIN(CHAR(10), TRUE, A3426&amp;"";"", ARRAYFORMULA(VLOOKUP(SPLIT(S3426, "";"" &amp; CHAR(10)), $A:$AO, 41, FALSE)))))"),"alms;
ProS;
ProU;
ProUmo;
ProUsp;
ProUso;
ProR;
ProRmo;
ProRsp;
ProRso;
ProC;
ProCmo;
ProCsp;
ProCso;")</f>
        <v>alms;
ProS;
ProU;
ProUmo;
ProUsp;
ProUso;
ProR;
ProRmo;
ProRsp;
ProRso;
ProC;
ProCmo;
ProCsp;
ProCso;</v>
      </c>
      <c r="AP3426" s="89"/>
    </row>
    <row r="3427">
      <c r="A3427" s="151" t="str">
        <f>IFERROR(__xludf.DUMMYFUNCTION("""COMPUTED_VALUE"""),"pros")</f>
        <v>pros</v>
      </c>
      <c r="B3427" s="42" t="str">
        <f>IFERROR(__xludf.DUMMYFUNCTION("""COMPUTED_VALUE"""),"DHBA")</f>
        <v>DHBA</v>
      </c>
      <c r="C3427" s="42" t="str">
        <f>IFERROR(__xludf.DUMMYFUNCTION("""COMPUTED_VALUE"""),"preolivary sulcus")</f>
        <v>preolivary sulcus</v>
      </c>
      <c r="D3427" s="42">
        <f>IFERROR(__xludf.DUMMYFUNCTION("""COMPUTED_VALUE"""),3278.0)</f>
        <v>3278</v>
      </c>
      <c r="E3427" s="39" t="str">
        <f>IFERROR(__xludf.DUMMYFUNCTION("""COMPUTED_VALUE"""),"preolivary sulcus")</f>
        <v>preolivary sulcus</v>
      </c>
      <c r="F3427" s="9" t="str">
        <f>IFERROR(__xludf.DUMMYFUNCTION("""COMPUTED_VALUE"""),"Br")</f>
        <v>Br</v>
      </c>
      <c r="G3427" s="9" t="str">
        <f>IFERROR(__xludf.DUMMYFUNCTION("""COMPUTED_VALUE"""),"H")</f>
        <v>H</v>
      </c>
      <c r="H3427" s="9" t="str">
        <f>IFERROR(__xludf.DUMMYFUNCTION("""COMPUTED_VALUE"""),"HSS")</f>
        <v>HSS</v>
      </c>
      <c r="I3427" s="9" t="str">
        <f>IFERROR(__xludf.DUMMYFUNCTION("""COMPUTED_VALUE"""),"MOSS")</f>
        <v>MOSS</v>
      </c>
      <c r="J3427" s="9" t="str">
        <f>IFERROR(__xludf.DUMMYFUNCTION("""COMPUTED_VALUE"""),"alms")</f>
        <v>alms</v>
      </c>
      <c r="K3427" s="9" t="str">
        <f>IFERROR(__xludf.DUMMYFUNCTION("""COMPUTED_VALUE"""),"pros")</f>
        <v>pros</v>
      </c>
      <c r="L3427" s="9"/>
      <c r="M3427" s="9"/>
      <c r="N3427" s="9"/>
      <c r="O3427" s="9"/>
      <c r="P3427" s="9"/>
      <c r="Q3427" s="9"/>
      <c r="R3427" s="9"/>
      <c r="S3427" s="42"/>
      <c r="T3427" s="42"/>
      <c r="U3427" s="42"/>
      <c r="V3427" s="42"/>
      <c r="W3427" s="42"/>
      <c r="X3427" s="42"/>
      <c r="Y3427" s="42"/>
      <c r="Z3427" s="42"/>
      <c r="AA3427" s="42"/>
      <c r="AB3427" s="42" t="str">
        <f>IFERROR(__xludf.DUMMYFUNCTION("""COMPUTED_VALUE"""),"allen institute")</f>
        <v>allen institute</v>
      </c>
      <c r="AC3427" s="42" t="str">
        <f>IFERROR(__xludf.DUMMYFUNCTION("""COMPUTED_VALUE"""),"DHBA")</f>
        <v>DHBA</v>
      </c>
      <c r="AD3427" s="42"/>
      <c r="AE3427" s="42"/>
      <c r="AF3427" s="9"/>
      <c r="AG3427" s="9"/>
      <c r="AH3427" s="42"/>
      <c r="AI3427" s="42"/>
      <c r="AJ3427" s="42"/>
      <c r="AK3427" s="42"/>
      <c r="AL3427" s="42"/>
      <c r="AM3427" s="42"/>
      <c r="AN3427" s="42"/>
      <c r="AO3427" s="63" t="str">
        <f>IFERROR(__xludf.DUMMYFUNCTION("IF(ISBLANK(A3427),,IF(ISBLANK(S3427), A3427&amp;"";"", TEXTJOIN(CHAR(10), TRUE, A3427&amp;"";"", ARRAYFORMULA(VLOOKUP(SPLIT(S3427, "";"" &amp; CHAR(10)), $A:$AO, 41, FALSE)))))"),"pros;")</f>
        <v>pros;</v>
      </c>
      <c r="AP3427" s="89"/>
    </row>
    <row r="3428">
      <c r="A3428" s="151" t="str">
        <f>IFERROR(__xludf.DUMMYFUNCTION("""COMPUTED_VALUE"""),"cutu")</f>
        <v>cutu</v>
      </c>
      <c r="B3428" s="42" t="str">
        <f>IFERROR(__xludf.DUMMYFUNCTION("""COMPUTED_VALUE"""),"DHBA")</f>
        <v>DHBA</v>
      </c>
      <c r="C3428" s="42" t="str">
        <f>IFERROR(__xludf.DUMMYFUNCTION("""COMPUTED_VALUE"""),"cuneate tubercle")</f>
        <v>cuneate tubercle</v>
      </c>
      <c r="D3428" s="42">
        <f>IFERROR(__xludf.DUMMYFUNCTION("""COMPUTED_VALUE"""),3279.0)</f>
        <v>3279</v>
      </c>
      <c r="E3428" s="39" t="str">
        <f>IFERROR(__xludf.DUMMYFUNCTION("""COMPUTED_VALUE"""),"cuneate tubercle")</f>
        <v>cuneate tubercle</v>
      </c>
      <c r="F3428" s="9" t="str">
        <f>IFERROR(__xludf.DUMMYFUNCTION("""COMPUTED_VALUE"""),"Br")</f>
        <v>Br</v>
      </c>
      <c r="G3428" s="9" t="str">
        <f>IFERROR(__xludf.DUMMYFUNCTION("""COMPUTED_VALUE"""),"H")</f>
        <v>H</v>
      </c>
      <c r="H3428" s="9" t="str">
        <f>IFERROR(__xludf.DUMMYFUNCTION("""COMPUTED_VALUE"""),"HSS")</f>
        <v>HSS</v>
      </c>
      <c r="I3428" s="9" t="str">
        <f>IFERROR(__xludf.DUMMYFUNCTION("""COMPUTED_VALUE"""),"MOSS")</f>
        <v>MOSS</v>
      </c>
      <c r="J3428" s="9" t="str">
        <f>IFERROR(__xludf.DUMMYFUNCTION("""COMPUTED_VALUE"""),"cutu")</f>
        <v>cutu</v>
      </c>
      <c r="K3428" s="9"/>
      <c r="L3428" s="9"/>
      <c r="M3428" s="9"/>
      <c r="N3428" s="9"/>
      <c r="O3428" s="9"/>
      <c r="P3428" s="9"/>
      <c r="Q3428" s="9"/>
      <c r="R3428" s="9"/>
      <c r="S3428" s="42"/>
      <c r="T3428" s="42"/>
      <c r="U3428" s="42"/>
      <c r="V3428" s="42"/>
      <c r="W3428" s="42"/>
      <c r="X3428" s="42"/>
      <c r="Y3428" s="42"/>
      <c r="Z3428" s="42"/>
      <c r="AA3428" s="42"/>
      <c r="AB3428" s="42" t="str">
        <f>IFERROR(__xludf.DUMMYFUNCTION("""COMPUTED_VALUE"""),"allen institute")</f>
        <v>allen institute</v>
      </c>
      <c r="AC3428" s="42" t="str">
        <f>IFERROR(__xludf.DUMMYFUNCTION("""COMPUTED_VALUE"""),"DHBA")</f>
        <v>DHBA</v>
      </c>
      <c r="AD3428" s="42"/>
      <c r="AE3428" s="42"/>
      <c r="AF3428" s="9"/>
      <c r="AG3428" s="9"/>
      <c r="AH3428" s="42"/>
      <c r="AI3428" s="42"/>
      <c r="AJ3428" s="42"/>
      <c r="AK3428" s="42"/>
      <c r="AL3428" s="42"/>
      <c r="AM3428" s="42"/>
      <c r="AN3428" s="42"/>
      <c r="AO3428" s="63" t="str">
        <f>IFERROR(__xludf.DUMMYFUNCTION("IF(ISBLANK(A3428),,IF(ISBLANK(S3428), A3428&amp;"";"", TEXTJOIN(CHAR(10), TRUE, A3428&amp;"";"", ARRAYFORMULA(VLOOKUP(SPLIT(S3428, "";"" &amp; CHAR(10)), $A:$AO, 41, FALSE)))))"),"cutu;")</f>
        <v>cutu;</v>
      </c>
      <c r="AP3428" s="89"/>
    </row>
    <row r="3429">
      <c r="A3429" s="151" t="str">
        <f>IFERROR(__xludf.DUMMYFUNCTION("""COMPUTED_VALUE"""),"dmms")</f>
        <v>dmms</v>
      </c>
      <c r="B3429" s="42" t="str">
        <f>IFERROR(__xludf.DUMMYFUNCTION("""COMPUTED_VALUE"""),"DHBA")</f>
        <v>DHBA</v>
      </c>
      <c r="C3429" s="42" t="str">
        <f>IFERROR(__xludf.DUMMYFUNCTION("""COMPUTED_VALUE"""),"dorsal (posterior) median medullary sulcus")</f>
        <v>dorsal (posterior) median medullary sulcus</v>
      </c>
      <c r="D3429" s="42">
        <f>IFERROR(__xludf.DUMMYFUNCTION("""COMPUTED_VALUE"""),3280.0)</f>
        <v>3280</v>
      </c>
      <c r="E3429" s="39" t="str">
        <f>IFERROR(__xludf.DUMMYFUNCTION("""COMPUTED_VALUE"""),"dorsal (posterior) median medullary sulcus")</f>
        <v>dorsal (posterior) median medullary sulcus</v>
      </c>
      <c r="F3429" s="9" t="str">
        <f>IFERROR(__xludf.DUMMYFUNCTION("""COMPUTED_VALUE"""),"Br")</f>
        <v>Br</v>
      </c>
      <c r="G3429" s="9" t="str">
        <f>IFERROR(__xludf.DUMMYFUNCTION("""COMPUTED_VALUE"""),"H")</f>
        <v>H</v>
      </c>
      <c r="H3429" s="9" t="str">
        <f>IFERROR(__xludf.DUMMYFUNCTION("""COMPUTED_VALUE"""),"HSS")</f>
        <v>HSS</v>
      </c>
      <c r="I3429" s="9" t="str">
        <f>IFERROR(__xludf.DUMMYFUNCTION("""COMPUTED_VALUE"""),"MOSS")</f>
        <v>MOSS</v>
      </c>
      <c r="J3429" s="9" t="str">
        <f>IFERROR(__xludf.DUMMYFUNCTION("""COMPUTED_VALUE"""),"dmms")</f>
        <v>dmms</v>
      </c>
      <c r="K3429" s="9"/>
      <c r="L3429" s="9"/>
      <c r="M3429" s="9"/>
      <c r="N3429" s="9"/>
      <c r="O3429" s="9"/>
      <c r="P3429" s="9"/>
      <c r="Q3429" s="9"/>
      <c r="R3429" s="9"/>
      <c r="S3429" s="42"/>
      <c r="T3429" s="42" t="str">
        <f>IFERROR(__xludf.DUMMYFUNCTION("""COMPUTED_VALUE"""),"sulcus")</f>
        <v>sulcus</v>
      </c>
      <c r="U3429" s="42" t="b">
        <f>IFERROR(__xludf.DUMMYFUNCTION("""COMPUTED_VALUE"""),FALSE)</f>
        <v>0</v>
      </c>
      <c r="V3429" s="42"/>
      <c r="W3429" s="42"/>
      <c r="X3429" s="42"/>
      <c r="Y3429" s="42"/>
      <c r="Z3429" s="42"/>
      <c r="AA3429" s="42"/>
      <c r="AB3429" s="42" t="str">
        <f>IFERROR(__xludf.DUMMYFUNCTION("""COMPUTED_VALUE"""),"allen institute")</f>
        <v>allen institute</v>
      </c>
      <c r="AC3429" s="42" t="str">
        <f>IFERROR(__xludf.DUMMYFUNCTION("""COMPUTED_VALUE"""),"DHBA")</f>
        <v>DHBA</v>
      </c>
      <c r="AD3429" s="42"/>
      <c r="AE3429" s="42"/>
      <c r="AF3429" s="9"/>
      <c r="AG3429" s="9"/>
      <c r="AH3429" s="42"/>
      <c r="AI3429" s="42"/>
      <c r="AJ3429" s="42"/>
      <c r="AK3429" s="42"/>
      <c r="AL3429" s="42"/>
      <c r="AM3429" s="42"/>
      <c r="AN3429" s="42"/>
      <c r="AO3429" s="63" t="str">
        <f>IFERROR(__xludf.DUMMYFUNCTION("IF(ISBLANK(A3429),,IF(ISBLANK(S3429), A3429&amp;"";"", TEXTJOIN(CHAR(10), TRUE, A3429&amp;"";"", ARRAYFORMULA(VLOOKUP(SPLIT(S3429, "";"" &amp; CHAR(10)), $A:$AO, 41, FALSE)))))"),"dmms;")</f>
        <v>dmms;</v>
      </c>
      <c r="AP3429" s="89"/>
    </row>
    <row r="3430">
      <c r="A3430" s="151" t="str">
        <f>IFERROR(__xludf.DUMMYFUNCTION("""COMPUTED_VALUE"""),"fce")</f>
        <v>fce</v>
      </c>
      <c r="B3430" s="42" t="str">
        <f>IFERROR(__xludf.DUMMYFUNCTION("""COMPUTED_VALUE"""),"DHBA")</f>
        <v>DHBA</v>
      </c>
      <c r="C3430" s="42" t="str">
        <f>IFERROR(__xludf.DUMMYFUNCTION("""COMPUTED_VALUE"""),"foramen caecum")</f>
        <v>foramen caecum</v>
      </c>
      <c r="D3430" s="42">
        <f>IFERROR(__xludf.DUMMYFUNCTION("""COMPUTED_VALUE"""),3281.0)</f>
        <v>3281</v>
      </c>
      <c r="E3430" s="39" t="str">
        <f>IFERROR(__xludf.DUMMYFUNCTION("""COMPUTED_VALUE"""),"foramen caecum")</f>
        <v>foramen caecum</v>
      </c>
      <c r="F3430" s="9" t="str">
        <f>IFERROR(__xludf.DUMMYFUNCTION("""COMPUTED_VALUE"""),"Br")</f>
        <v>Br</v>
      </c>
      <c r="G3430" s="9" t="str">
        <f>IFERROR(__xludf.DUMMYFUNCTION("""COMPUTED_VALUE"""),"H")</f>
        <v>H</v>
      </c>
      <c r="H3430" s="9" t="str">
        <f>IFERROR(__xludf.DUMMYFUNCTION("""COMPUTED_VALUE"""),"HSS")</f>
        <v>HSS</v>
      </c>
      <c r="I3430" s="9" t="str">
        <f>IFERROR(__xludf.DUMMYFUNCTION("""COMPUTED_VALUE"""),"MOSS")</f>
        <v>MOSS</v>
      </c>
      <c r="J3430" s="9" t="str">
        <f>IFERROR(__xludf.DUMMYFUNCTION("""COMPUTED_VALUE"""),"fce")</f>
        <v>fce</v>
      </c>
      <c r="K3430" s="9"/>
      <c r="L3430" s="9"/>
      <c r="M3430" s="9"/>
      <c r="N3430" s="9"/>
      <c r="O3430" s="9"/>
      <c r="P3430" s="9"/>
      <c r="Q3430" s="9"/>
      <c r="R3430" s="9"/>
      <c r="S3430" s="42"/>
      <c r="T3430" s="42"/>
      <c r="U3430" s="42"/>
      <c r="V3430" s="42"/>
      <c r="W3430" s="42"/>
      <c r="X3430" s="42"/>
      <c r="Y3430" s="42"/>
      <c r="Z3430" s="42"/>
      <c r="AA3430" s="42"/>
      <c r="AB3430" s="42" t="str">
        <f>IFERROR(__xludf.DUMMYFUNCTION("""COMPUTED_VALUE"""),"allen institute")</f>
        <v>allen institute</v>
      </c>
      <c r="AC3430" s="42" t="str">
        <f>IFERROR(__xludf.DUMMYFUNCTION("""COMPUTED_VALUE"""),"DHBA")</f>
        <v>DHBA</v>
      </c>
      <c r="AD3430" s="42"/>
      <c r="AE3430" s="42"/>
      <c r="AF3430" s="9"/>
      <c r="AG3430" s="9"/>
      <c r="AH3430" s="42"/>
      <c r="AI3430" s="42"/>
      <c r="AJ3430" s="42"/>
      <c r="AK3430" s="42"/>
      <c r="AL3430" s="42"/>
      <c r="AM3430" s="42"/>
      <c r="AN3430" s="42"/>
      <c r="AO3430" s="63" t="str">
        <f>IFERROR(__xludf.DUMMYFUNCTION("IF(ISBLANK(A3430),,IF(ISBLANK(S3430), A3430&amp;"";"", TEXTJOIN(CHAR(10), TRUE, A3430&amp;"";"", ARRAYFORMULA(VLOOKUP(SPLIT(S3430, "";"" &amp; CHAR(10)), $A:$AO, 41, FALSE)))))"),"fce;")</f>
        <v>fce;</v>
      </c>
      <c r="AP3430" s="89"/>
    </row>
    <row r="3431">
      <c r="A3431" s="151" t="str">
        <f>IFERROR(__xludf.DUMMYFUNCTION("""COMPUTED_VALUE"""),"grtu")</f>
        <v>grtu</v>
      </c>
      <c r="B3431" s="42" t="str">
        <f>IFERROR(__xludf.DUMMYFUNCTION("""COMPUTED_VALUE"""),"DHBA")</f>
        <v>DHBA</v>
      </c>
      <c r="C3431" s="42" t="str">
        <f>IFERROR(__xludf.DUMMYFUNCTION("""COMPUTED_VALUE"""),"gracile tubercle (clava)")</f>
        <v>gracile tubercle (clava)</v>
      </c>
      <c r="D3431" s="42">
        <f>IFERROR(__xludf.DUMMYFUNCTION("""COMPUTED_VALUE"""),3282.0)</f>
        <v>3282</v>
      </c>
      <c r="E3431" s="39" t="str">
        <f>IFERROR(__xludf.DUMMYFUNCTION("""COMPUTED_VALUE"""),"gracile tubercle (clava)")</f>
        <v>gracile tubercle (clava)</v>
      </c>
      <c r="F3431" s="9" t="str">
        <f>IFERROR(__xludf.DUMMYFUNCTION("""COMPUTED_VALUE"""),"Br")</f>
        <v>Br</v>
      </c>
      <c r="G3431" s="9" t="str">
        <f>IFERROR(__xludf.DUMMYFUNCTION("""COMPUTED_VALUE"""),"H")</f>
        <v>H</v>
      </c>
      <c r="H3431" s="9" t="str">
        <f>IFERROR(__xludf.DUMMYFUNCTION("""COMPUTED_VALUE"""),"HSS")</f>
        <v>HSS</v>
      </c>
      <c r="I3431" s="9" t="str">
        <f>IFERROR(__xludf.DUMMYFUNCTION("""COMPUTED_VALUE"""),"MOSS")</f>
        <v>MOSS</v>
      </c>
      <c r="J3431" s="9" t="str">
        <f>IFERROR(__xludf.DUMMYFUNCTION("""COMPUTED_VALUE"""),"grtu")</f>
        <v>grtu</v>
      </c>
      <c r="K3431" s="9"/>
      <c r="L3431" s="9"/>
      <c r="M3431" s="9"/>
      <c r="N3431" s="9"/>
      <c r="O3431" s="9"/>
      <c r="P3431" s="9"/>
      <c r="Q3431" s="9"/>
      <c r="R3431" s="9"/>
      <c r="S3431" s="42"/>
      <c r="T3431" s="42"/>
      <c r="U3431" s="42"/>
      <c r="V3431" s="42"/>
      <c r="W3431" s="42"/>
      <c r="X3431" s="42"/>
      <c r="Y3431" s="42"/>
      <c r="Z3431" s="42"/>
      <c r="AA3431" s="42"/>
      <c r="AB3431" s="42" t="str">
        <f>IFERROR(__xludf.DUMMYFUNCTION("""COMPUTED_VALUE"""),"allen institute")</f>
        <v>allen institute</v>
      </c>
      <c r="AC3431" s="42" t="str">
        <f>IFERROR(__xludf.DUMMYFUNCTION("""COMPUTED_VALUE"""),"DHBA")</f>
        <v>DHBA</v>
      </c>
      <c r="AD3431" s="42"/>
      <c r="AE3431" s="42"/>
      <c r="AF3431" s="9"/>
      <c r="AG3431" s="9"/>
      <c r="AH3431" s="42"/>
      <c r="AI3431" s="42"/>
      <c r="AJ3431" s="42"/>
      <c r="AK3431" s="42"/>
      <c r="AL3431" s="42"/>
      <c r="AM3431" s="42"/>
      <c r="AN3431" s="42"/>
      <c r="AO3431" s="63" t="str">
        <f>IFERROR(__xludf.DUMMYFUNCTION("IF(ISBLANK(A3431),,IF(ISBLANK(S3431), A3431&amp;"";"", TEXTJOIN(CHAR(10), TRUE, A3431&amp;"";"", ARRAYFORMULA(VLOOKUP(SPLIT(S3431, "";"" &amp; CHAR(10)), $A:$AO, 41, FALSE)))))"),"grtu;")</f>
        <v>grtu;</v>
      </c>
      <c r="AP3431" s="89"/>
    </row>
    <row r="3432">
      <c r="A3432" s="151" t="str">
        <f>IFERROR(__xludf.DUMMYFUNCTION("""COMPUTED_VALUE"""),"imv")</f>
        <v>imv</v>
      </c>
      <c r="B3432" s="42" t="str">
        <f>IFERROR(__xludf.DUMMYFUNCTION("""COMPUTED_VALUE"""),"DHBA")</f>
        <v>DHBA</v>
      </c>
      <c r="C3432" s="42" t="str">
        <f>IFERROR(__xludf.DUMMYFUNCTION("""COMPUTED_VALUE"""),"inferior (caudal) medullary velum")</f>
        <v>inferior (caudal) medullary velum</v>
      </c>
      <c r="D3432" s="42">
        <f>IFERROR(__xludf.DUMMYFUNCTION("""COMPUTED_VALUE"""),3283.0)</f>
        <v>3283</v>
      </c>
      <c r="E3432" s="39" t="str">
        <f>IFERROR(__xludf.DUMMYFUNCTION("""COMPUTED_VALUE"""),"inferior (caudal) medullary velum")</f>
        <v>inferior (caudal) medullary velum</v>
      </c>
      <c r="F3432" s="9" t="str">
        <f>IFERROR(__xludf.DUMMYFUNCTION("""COMPUTED_VALUE"""),"Br")</f>
        <v>Br</v>
      </c>
      <c r="G3432" s="9" t="str">
        <f>IFERROR(__xludf.DUMMYFUNCTION("""COMPUTED_VALUE"""),"H")</f>
        <v>H</v>
      </c>
      <c r="H3432" s="9" t="str">
        <f>IFERROR(__xludf.DUMMYFUNCTION("""COMPUTED_VALUE"""),"HSS")</f>
        <v>HSS</v>
      </c>
      <c r="I3432" s="9" t="str">
        <f>IFERROR(__xludf.DUMMYFUNCTION("""COMPUTED_VALUE"""),"MOSS")</f>
        <v>MOSS</v>
      </c>
      <c r="J3432" s="9" t="str">
        <f>IFERROR(__xludf.DUMMYFUNCTION("""COMPUTED_VALUE"""),"imv")</f>
        <v>imv</v>
      </c>
      <c r="K3432" s="9"/>
      <c r="L3432" s="9"/>
      <c r="M3432" s="9"/>
      <c r="N3432" s="9"/>
      <c r="O3432" s="9"/>
      <c r="P3432" s="9"/>
      <c r="Q3432" s="9"/>
      <c r="R3432" s="9"/>
      <c r="S3432" s="42"/>
      <c r="T3432" s="42"/>
      <c r="U3432" s="42"/>
      <c r="V3432" s="42"/>
      <c r="W3432" s="42"/>
      <c r="X3432" s="42"/>
      <c r="Y3432" s="42"/>
      <c r="Z3432" s="42"/>
      <c r="AA3432" s="42"/>
      <c r="AB3432" s="42" t="str">
        <f>IFERROR(__xludf.DUMMYFUNCTION("""COMPUTED_VALUE"""),"allen institute")</f>
        <v>allen institute</v>
      </c>
      <c r="AC3432" s="42" t="str">
        <f>IFERROR(__xludf.DUMMYFUNCTION("""COMPUTED_VALUE"""),"DHBA")</f>
        <v>DHBA</v>
      </c>
      <c r="AD3432" s="42"/>
      <c r="AE3432" s="42"/>
      <c r="AF3432" s="9"/>
      <c r="AG3432" s="9"/>
      <c r="AH3432" s="42"/>
      <c r="AI3432" s="42"/>
      <c r="AJ3432" s="42"/>
      <c r="AK3432" s="42"/>
      <c r="AL3432" s="42"/>
      <c r="AM3432" s="42"/>
      <c r="AN3432" s="42"/>
      <c r="AO3432" s="63" t="str">
        <f>IFERROR(__xludf.DUMMYFUNCTION("IF(ISBLANK(A3432),,IF(ISBLANK(S3432), A3432&amp;"";"", TEXTJOIN(CHAR(10), TRUE, A3432&amp;"";"", ARRAYFORMULA(VLOOKUP(SPLIT(S3432, "";"" &amp; CHAR(10)), $A:$AO, 41, FALSE)))))"),"imv;")</f>
        <v>imv;</v>
      </c>
      <c r="AP3432" s="89"/>
    </row>
    <row r="3433">
      <c r="A3433" s="151" t="str">
        <f>IFERROR(__xludf.DUMMYFUNCTION("""COMPUTED_VALUE"""),"dims")</f>
        <v>dims</v>
      </c>
      <c r="B3433" s="42" t="str">
        <f>IFERROR(__xludf.DUMMYFUNCTION("""COMPUTED_VALUE"""),"DHBA")</f>
        <v>DHBA</v>
      </c>
      <c r="C3433" s="42" t="str">
        <f>IFERROR(__xludf.DUMMYFUNCTION("""COMPUTED_VALUE"""),"dorsal intermedite medullary sulcus")</f>
        <v>dorsal intermedite medullary sulcus</v>
      </c>
      <c r="D3433" s="42">
        <f>IFERROR(__xludf.DUMMYFUNCTION("""COMPUTED_VALUE"""),3284.0)</f>
        <v>3284</v>
      </c>
      <c r="E3433" s="39" t="str">
        <f>IFERROR(__xludf.DUMMYFUNCTION("""COMPUTED_VALUE"""),"dorsal intermedite medullary sulcus")</f>
        <v>dorsal intermedite medullary sulcus</v>
      </c>
      <c r="F3433" s="9" t="str">
        <f>IFERROR(__xludf.DUMMYFUNCTION("""COMPUTED_VALUE"""),"Br")</f>
        <v>Br</v>
      </c>
      <c r="G3433" s="9" t="str">
        <f>IFERROR(__xludf.DUMMYFUNCTION("""COMPUTED_VALUE"""),"H")</f>
        <v>H</v>
      </c>
      <c r="H3433" s="9" t="str">
        <f>IFERROR(__xludf.DUMMYFUNCTION("""COMPUTED_VALUE"""),"HSS")</f>
        <v>HSS</v>
      </c>
      <c r="I3433" s="9" t="str">
        <f>IFERROR(__xludf.DUMMYFUNCTION("""COMPUTED_VALUE"""),"MOSS")</f>
        <v>MOSS</v>
      </c>
      <c r="J3433" s="9" t="str">
        <f>IFERROR(__xludf.DUMMYFUNCTION("""COMPUTED_VALUE"""),"dims")</f>
        <v>dims</v>
      </c>
      <c r="K3433" s="9"/>
      <c r="L3433" s="9"/>
      <c r="M3433" s="9"/>
      <c r="N3433" s="9"/>
      <c r="O3433" s="9"/>
      <c r="P3433" s="9"/>
      <c r="Q3433" s="9"/>
      <c r="R3433" s="9"/>
      <c r="S3433" s="42"/>
      <c r="T3433" s="42" t="str">
        <f>IFERROR(__xludf.DUMMYFUNCTION("""COMPUTED_VALUE"""),"sulcus")</f>
        <v>sulcus</v>
      </c>
      <c r="U3433" s="42" t="b">
        <f>IFERROR(__xludf.DUMMYFUNCTION("""COMPUTED_VALUE"""),FALSE)</f>
        <v>0</v>
      </c>
      <c r="V3433" s="42"/>
      <c r="W3433" s="42"/>
      <c r="X3433" s="42"/>
      <c r="Y3433" s="42"/>
      <c r="Z3433" s="42"/>
      <c r="AA3433" s="42"/>
      <c r="AB3433" s="42" t="str">
        <f>IFERROR(__xludf.DUMMYFUNCTION("""COMPUTED_VALUE"""),"allen institute")</f>
        <v>allen institute</v>
      </c>
      <c r="AC3433" s="42" t="str">
        <f>IFERROR(__xludf.DUMMYFUNCTION("""COMPUTED_VALUE"""),"DHBA")</f>
        <v>DHBA</v>
      </c>
      <c r="AD3433" s="42"/>
      <c r="AE3433" s="42"/>
      <c r="AF3433" s="9"/>
      <c r="AG3433" s="9"/>
      <c r="AH3433" s="42"/>
      <c r="AI3433" s="42"/>
      <c r="AJ3433" s="42"/>
      <c r="AK3433" s="42"/>
      <c r="AL3433" s="42"/>
      <c r="AM3433" s="42"/>
      <c r="AN3433" s="42"/>
      <c r="AO3433" s="63" t="str">
        <f>IFERROR(__xludf.DUMMYFUNCTION("IF(ISBLANK(A3433),,IF(ISBLANK(S3433), A3433&amp;"";"", TEXTJOIN(CHAR(10), TRUE, A3433&amp;"";"", ARRAYFORMULA(VLOOKUP(SPLIT(S3433, "";"" &amp; CHAR(10)), $A:$AO, 41, FALSE)))))"),"dims;")</f>
        <v>dims;</v>
      </c>
      <c r="AP3433" s="89"/>
    </row>
    <row r="3434">
      <c r="A3434" s="151" t="str">
        <f>IFERROR(__xludf.DUMMYFUNCTION("""COMPUTED_VALUE"""),"dlms")</f>
        <v>dlms</v>
      </c>
      <c r="B3434" s="42" t="str">
        <f>IFERROR(__xludf.DUMMYFUNCTION("""COMPUTED_VALUE"""),"DHBA")</f>
        <v>DHBA</v>
      </c>
      <c r="C3434" s="42" t="str">
        <f>IFERROR(__xludf.DUMMYFUNCTION("""COMPUTED_VALUE"""),"dorsal lateral medullary sulcus")</f>
        <v>dorsal lateral medullary sulcus</v>
      </c>
      <c r="D3434" s="42">
        <f>IFERROR(__xludf.DUMMYFUNCTION("""COMPUTED_VALUE"""),3285.0)</f>
        <v>3285</v>
      </c>
      <c r="E3434" s="39" t="str">
        <f>IFERROR(__xludf.DUMMYFUNCTION("""COMPUTED_VALUE"""),"dorsal lateral medullary sulcus")</f>
        <v>dorsal lateral medullary sulcus</v>
      </c>
      <c r="F3434" s="9" t="str">
        <f>IFERROR(__xludf.DUMMYFUNCTION("""COMPUTED_VALUE"""),"Br")</f>
        <v>Br</v>
      </c>
      <c r="G3434" s="9" t="str">
        <f>IFERROR(__xludf.DUMMYFUNCTION("""COMPUTED_VALUE"""),"H")</f>
        <v>H</v>
      </c>
      <c r="H3434" s="9" t="str">
        <f>IFERROR(__xludf.DUMMYFUNCTION("""COMPUTED_VALUE"""),"HSS")</f>
        <v>HSS</v>
      </c>
      <c r="I3434" s="9" t="str">
        <f>IFERROR(__xludf.DUMMYFUNCTION("""COMPUTED_VALUE"""),"MOSS")</f>
        <v>MOSS</v>
      </c>
      <c r="J3434" s="9" t="str">
        <f>IFERROR(__xludf.DUMMYFUNCTION("""COMPUTED_VALUE"""),"dlms")</f>
        <v>dlms</v>
      </c>
      <c r="K3434" s="9"/>
      <c r="L3434" s="9"/>
      <c r="M3434" s="9"/>
      <c r="N3434" s="9"/>
      <c r="O3434" s="9"/>
      <c r="P3434" s="9"/>
      <c r="Q3434" s="9"/>
      <c r="R3434" s="9"/>
      <c r="S3434" s="42"/>
      <c r="T3434" s="42" t="str">
        <f>IFERROR(__xludf.DUMMYFUNCTION("""COMPUTED_VALUE"""),"sulcus")</f>
        <v>sulcus</v>
      </c>
      <c r="U3434" s="42" t="b">
        <f>IFERROR(__xludf.DUMMYFUNCTION("""COMPUTED_VALUE"""),FALSE)</f>
        <v>0</v>
      </c>
      <c r="V3434" s="42"/>
      <c r="W3434" s="42"/>
      <c r="X3434" s="42"/>
      <c r="Y3434" s="42"/>
      <c r="Z3434" s="42"/>
      <c r="AA3434" s="42"/>
      <c r="AB3434" s="42" t="str">
        <f>IFERROR(__xludf.DUMMYFUNCTION("""COMPUTED_VALUE"""),"allen institute")</f>
        <v>allen institute</v>
      </c>
      <c r="AC3434" s="42" t="str">
        <f>IFERROR(__xludf.DUMMYFUNCTION("""COMPUTED_VALUE"""),"DHBA")</f>
        <v>DHBA</v>
      </c>
      <c r="AD3434" s="42"/>
      <c r="AE3434" s="42"/>
      <c r="AF3434" s="9"/>
      <c r="AG3434" s="9"/>
      <c r="AH3434" s="42"/>
      <c r="AI3434" s="42"/>
      <c r="AJ3434" s="42"/>
      <c r="AK3434" s="42"/>
      <c r="AL3434" s="42"/>
      <c r="AM3434" s="42"/>
      <c r="AN3434" s="42"/>
      <c r="AO3434" s="63" t="str">
        <f>IFERROR(__xludf.DUMMYFUNCTION("IF(ISBLANK(A3434),,IF(ISBLANK(S3434), A3434&amp;"";"", TEXTJOIN(CHAR(10), TRUE, A3434&amp;"";"", ARRAYFORMULA(VLOOKUP(SPLIT(S3434, "";"" &amp; CHAR(10)), $A:$AO, 41, FALSE)))))"),"dlms;")</f>
        <v>dlms;</v>
      </c>
      <c r="AP3434" s="89"/>
    </row>
    <row r="3435">
      <c r="A3435" s="151" t="str">
        <f>IFERROR(__xludf.DUMMYFUNCTION("""COMPUTED_VALUE"""),"posos")</f>
        <v>posos</v>
      </c>
      <c r="B3435" s="42" t="str">
        <f>IFERROR(__xludf.DUMMYFUNCTION("""COMPUTED_VALUE"""),"DHBA")</f>
        <v>DHBA</v>
      </c>
      <c r="C3435" s="42" t="str">
        <f>IFERROR(__xludf.DUMMYFUNCTION("""COMPUTED_VALUE"""),"postolivary sulcus")</f>
        <v>postolivary sulcus</v>
      </c>
      <c r="D3435" s="42">
        <f>IFERROR(__xludf.DUMMYFUNCTION("""COMPUTED_VALUE"""),3286.0)</f>
        <v>3286</v>
      </c>
      <c r="E3435" s="39" t="str">
        <f>IFERROR(__xludf.DUMMYFUNCTION("""COMPUTED_VALUE"""),"postolivary sulcus")</f>
        <v>postolivary sulcus</v>
      </c>
      <c r="F3435" s="9" t="str">
        <f>IFERROR(__xludf.DUMMYFUNCTION("""COMPUTED_VALUE"""),"Br")</f>
        <v>Br</v>
      </c>
      <c r="G3435" s="9" t="str">
        <f>IFERROR(__xludf.DUMMYFUNCTION("""COMPUTED_VALUE"""),"H")</f>
        <v>H</v>
      </c>
      <c r="H3435" s="9" t="str">
        <f>IFERROR(__xludf.DUMMYFUNCTION("""COMPUTED_VALUE"""),"HSS")</f>
        <v>HSS</v>
      </c>
      <c r="I3435" s="9" t="str">
        <f>IFERROR(__xludf.DUMMYFUNCTION("""COMPUTED_VALUE"""),"MOSS")</f>
        <v>MOSS</v>
      </c>
      <c r="J3435" s="9" t="str">
        <f>IFERROR(__xludf.DUMMYFUNCTION("""COMPUTED_VALUE"""),"posos")</f>
        <v>posos</v>
      </c>
      <c r="K3435" s="9"/>
      <c r="L3435" s="9"/>
      <c r="M3435" s="9"/>
      <c r="N3435" s="9"/>
      <c r="O3435" s="9"/>
      <c r="P3435" s="9"/>
      <c r="Q3435" s="9"/>
      <c r="R3435" s="9"/>
      <c r="S3435" s="42"/>
      <c r="T3435" s="42" t="str">
        <f>IFERROR(__xludf.DUMMYFUNCTION("""COMPUTED_VALUE"""),"sulcus")</f>
        <v>sulcus</v>
      </c>
      <c r="U3435" s="42" t="b">
        <f>IFERROR(__xludf.DUMMYFUNCTION("""COMPUTED_VALUE"""),FALSE)</f>
        <v>0</v>
      </c>
      <c r="V3435" s="42"/>
      <c r="W3435" s="42"/>
      <c r="X3435" s="42"/>
      <c r="Y3435" s="42"/>
      <c r="Z3435" s="42"/>
      <c r="AA3435" s="42"/>
      <c r="AB3435" s="42" t="str">
        <f>IFERROR(__xludf.DUMMYFUNCTION("""COMPUTED_VALUE"""),"allen institute")</f>
        <v>allen institute</v>
      </c>
      <c r="AC3435" s="42" t="str">
        <f>IFERROR(__xludf.DUMMYFUNCTION("""COMPUTED_VALUE"""),"DHBA")</f>
        <v>DHBA</v>
      </c>
      <c r="AD3435" s="42"/>
      <c r="AE3435" s="42"/>
      <c r="AF3435" s="9"/>
      <c r="AG3435" s="9"/>
      <c r="AH3435" s="42"/>
      <c r="AI3435" s="42"/>
      <c r="AJ3435" s="42"/>
      <c r="AK3435" s="42"/>
      <c r="AL3435" s="42"/>
      <c r="AM3435" s="42"/>
      <c r="AN3435" s="42"/>
      <c r="AO3435" s="63" t="str">
        <f>IFERROR(__xludf.DUMMYFUNCTION("IF(ISBLANK(A3435),,IF(ISBLANK(S3435), A3435&amp;"";"", TEXTJOIN(CHAR(10), TRUE, A3435&amp;"";"", ARRAYFORMULA(VLOOKUP(SPLIT(S3435, "";"" &amp; CHAR(10)), $A:$AO, 41, FALSE)))))"),"posos;")</f>
        <v>posos;</v>
      </c>
      <c r="AP3435" s="89"/>
    </row>
    <row r="3436">
      <c r="A3436" s="151" t="str">
        <f>IFERROR(__xludf.DUMMYFUNCTION("""COMPUTED_VALUE"""),"r11")</f>
        <v>r11</v>
      </c>
      <c r="B3436" s="42" t="str">
        <f>IFERROR(__xludf.DUMMYFUNCTION("""COMPUTED_VALUE"""),"DHBA")</f>
        <v>DHBA</v>
      </c>
      <c r="C3436" s="42" t="str">
        <f>IFERROR(__xludf.DUMMYFUNCTION("""COMPUTED_VALUE"""),"root of accessory nerve")</f>
        <v>root of accessory nerve</v>
      </c>
      <c r="D3436" s="42">
        <f>IFERROR(__xludf.DUMMYFUNCTION("""COMPUTED_VALUE"""),3287.0)</f>
        <v>3287</v>
      </c>
      <c r="E3436" s="39" t="str">
        <f>IFERROR(__xludf.DUMMYFUNCTION("""COMPUTED_VALUE"""),"root of accessory nerve")</f>
        <v>root of accessory nerve</v>
      </c>
      <c r="F3436" s="9" t="str">
        <f>IFERROR(__xludf.DUMMYFUNCTION("""COMPUTED_VALUE"""),"Br")</f>
        <v>Br</v>
      </c>
      <c r="G3436" s="9" t="str">
        <f>IFERROR(__xludf.DUMMYFUNCTION("""COMPUTED_VALUE"""),"H")</f>
        <v>H</v>
      </c>
      <c r="H3436" s="9" t="str">
        <f>IFERROR(__xludf.DUMMYFUNCTION("""COMPUTED_VALUE"""),"HSS")</f>
        <v>HSS</v>
      </c>
      <c r="I3436" s="9" t="str">
        <f>IFERROR(__xludf.DUMMYFUNCTION("""COMPUTED_VALUE"""),"MOSS")</f>
        <v>MOSS</v>
      </c>
      <c r="J3436" s="9" t="str">
        <f>IFERROR(__xludf.DUMMYFUNCTION("""COMPUTED_VALUE"""),"r11")</f>
        <v>r11</v>
      </c>
      <c r="K3436" s="9"/>
      <c r="L3436" s="9"/>
      <c r="M3436" s="9"/>
      <c r="N3436" s="9"/>
      <c r="O3436" s="9"/>
      <c r="P3436" s="9"/>
      <c r="Q3436" s="9"/>
      <c r="R3436" s="9"/>
      <c r="S3436" s="42" t="str">
        <f>IFERROR(__xludf.DUMMYFUNCTION("""COMPUTED_VALUE"""),"r11cr;
r11sp")</f>
        <v>r11cr;
r11sp</v>
      </c>
      <c r="T3436" s="42"/>
      <c r="U3436" s="42" t="b">
        <f>IFERROR(__xludf.DUMMYFUNCTION("""COMPUTED_VALUE"""),FALSE)</f>
        <v>0</v>
      </c>
      <c r="V3436" s="42"/>
      <c r="W3436" s="42"/>
      <c r="X3436" s="42"/>
      <c r="Y3436" s="42"/>
      <c r="Z3436" s="42"/>
      <c r="AA3436" s="42"/>
      <c r="AB3436" s="42" t="str">
        <f>IFERROR(__xludf.DUMMYFUNCTION("""COMPUTED_VALUE"""),"allen institute")</f>
        <v>allen institute</v>
      </c>
      <c r="AC3436" s="42" t="str">
        <f>IFERROR(__xludf.DUMMYFUNCTION("""COMPUTED_VALUE"""),"DHBA")</f>
        <v>DHBA</v>
      </c>
      <c r="AD3436" s="42"/>
      <c r="AE3436" s="42"/>
      <c r="AF3436" s="9"/>
      <c r="AG3436" s="9"/>
      <c r="AH3436" s="42"/>
      <c r="AI3436" s="42"/>
      <c r="AJ3436" s="42"/>
      <c r="AK3436" s="42"/>
      <c r="AL3436" s="42"/>
      <c r="AM3436" s="42"/>
      <c r="AN3436" s="42"/>
      <c r="AO3436" s="63" t="str">
        <f>IFERROR(__xludf.DUMMYFUNCTION("IF(ISBLANK(A3436),,IF(ISBLANK(S3436), A3436&amp;"";"", TEXTJOIN(CHAR(10), TRUE, A3436&amp;"";"", ARRAYFORMULA(VLOOKUP(SPLIT(S3436, "";"" &amp; CHAR(10)), $A:$AO, 41, FALSE)))))"),"r11;
r11cr;
r11sp;")</f>
        <v>r11;
r11cr;
r11sp;</v>
      </c>
      <c r="AP3436" s="89"/>
    </row>
    <row r="3437">
      <c r="A3437" s="151" t="str">
        <f>IFERROR(__xludf.DUMMYFUNCTION("""COMPUTED_VALUE"""),"r11cr")</f>
        <v>r11cr</v>
      </c>
      <c r="B3437" s="42" t="str">
        <f>IFERROR(__xludf.DUMMYFUNCTION("""COMPUTED_VALUE"""),"DHBA")</f>
        <v>DHBA</v>
      </c>
      <c r="C3437" s="42" t="str">
        <f>IFERROR(__xludf.DUMMYFUNCTION("""COMPUTED_VALUE"""),"cranial root of accessory nerve")</f>
        <v>cranial root of accessory nerve</v>
      </c>
      <c r="D3437" s="42">
        <f>IFERROR(__xludf.DUMMYFUNCTION("""COMPUTED_VALUE"""),3288.0)</f>
        <v>3288</v>
      </c>
      <c r="E3437" s="39" t="str">
        <f>IFERROR(__xludf.DUMMYFUNCTION("""COMPUTED_VALUE"""),"cranial root of accessory nerve")</f>
        <v>cranial root of accessory nerve</v>
      </c>
      <c r="F3437" s="9" t="str">
        <f>IFERROR(__xludf.DUMMYFUNCTION("""COMPUTED_VALUE"""),"Br")</f>
        <v>Br</v>
      </c>
      <c r="G3437" s="9" t="str">
        <f>IFERROR(__xludf.DUMMYFUNCTION("""COMPUTED_VALUE"""),"H")</f>
        <v>H</v>
      </c>
      <c r="H3437" s="9" t="str">
        <f>IFERROR(__xludf.DUMMYFUNCTION("""COMPUTED_VALUE"""),"HSS")</f>
        <v>HSS</v>
      </c>
      <c r="I3437" s="9" t="str">
        <f>IFERROR(__xludf.DUMMYFUNCTION("""COMPUTED_VALUE"""),"MOSS")</f>
        <v>MOSS</v>
      </c>
      <c r="J3437" s="9" t="str">
        <f>IFERROR(__xludf.DUMMYFUNCTION("""COMPUTED_VALUE"""),"r11")</f>
        <v>r11</v>
      </c>
      <c r="K3437" s="9" t="str">
        <f>IFERROR(__xludf.DUMMYFUNCTION("""COMPUTED_VALUE"""),"r11cr")</f>
        <v>r11cr</v>
      </c>
      <c r="L3437" s="9"/>
      <c r="M3437" s="9"/>
      <c r="N3437" s="9"/>
      <c r="O3437" s="9"/>
      <c r="P3437" s="9"/>
      <c r="Q3437" s="9"/>
      <c r="R3437" s="9"/>
      <c r="S3437" s="42"/>
      <c r="T3437" s="42"/>
      <c r="U3437" s="42"/>
      <c r="V3437" s="42"/>
      <c r="W3437" s="42"/>
      <c r="X3437" s="42"/>
      <c r="Y3437" s="42"/>
      <c r="Z3437" s="42"/>
      <c r="AA3437" s="42"/>
      <c r="AB3437" s="42" t="str">
        <f>IFERROR(__xludf.DUMMYFUNCTION("""COMPUTED_VALUE"""),"allen institute")</f>
        <v>allen institute</v>
      </c>
      <c r="AC3437" s="42" t="str">
        <f>IFERROR(__xludf.DUMMYFUNCTION("""COMPUTED_VALUE"""),"DHBA")</f>
        <v>DHBA</v>
      </c>
      <c r="AD3437" s="42"/>
      <c r="AE3437" s="42"/>
      <c r="AF3437" s="9"/>
      <c r="AG3437" s="9"/>
      <c r="AH3437" s="42"/>
      <c r="AI3437" s="42"/>
      <c r="AJ3437" s="42"/>
      <c r="AK3437" s="42"/>
      <c r="AL3437" s="42"/>
      <c r="AM3437" s="42"/>
      <c r="AN3437" s="42"/>
      <c r="AO3437" s="63" t="str">
        <f>IFERROR(__xludf.DUMMYFUNCTION("IF(ISBLANK(A3437),,IF(ISBLANK(S3437), A3437&amp;"";"", TEXTJOIN(CHAR(10), TRUE, A3437&amp;"";"", ARRAYFORMULA(VLOOKUP(SPLIT(S3437, "";"" &amp; CHAR(10)), $A:$AO, 41, FALSE)))))"),"r11cr;")</f>
        <v>r11cr;</v>
      </c>
      <c r="AP3437" s="89"/>
    </row>
    <row r="3438">
      <c r="A3438" s="151" t="str">
        <f>IFERROR(__xludf.DUMMYFUNCTION("""COMPUTED_VALUE"""),"r11sp")</f>
        <v>r11sp</v>
      </c>
      <c r="B3438" s="42" t="str">
        <f>IFERROR(__xludf.DUMMYFUNCTION("""COMPUTED_VALUE"""),"DHBA")</f>
        <v>DHBA</v>
      </c>
      <c r="C3438" s="42" t="str">
        <f>IFERROR(__xludf.DUMMYFUNCTION("""COMPUTED_VALUE"""),"spinal root of accessory nerve")</f>
        <v>spinal root of accessory nerve</v>
      </c>
      <c r="D3438" s="42">
        <f>IFERROR(__xludf.DUMMYFUNCTION("""COMPUTED_VALUE"""),3289.0)</f>
        <v>3289</v>
      </c>
      <c r="E3438" s="39" t="str">
        <f>IFERROR(__xludf.DUMMYFUNCTION("""COMPUTED_VALUE"""),"spinal root of accessory nerve")</f>
        <v>spinal root of accessory nerve</v>
      </c>
      <c r="F3438" s="9" t="str">
        <f>IFERROR(__xludf.DUMMYFUNCTION("""COMPUTED_VALUE"""),"Br")</f>
        <v>Br</v>
      </c>
      <c r="G3438" s="9" t="str">
        <f>IFERROR(__xludf.DUMMYFUNCTION("""COMPUTED_VALUE"""),"H")</f>
        <v>H</v>
      </c>
      <c r="H3438" s="9" t="str">
        <f>IFERROR(__xludf.DUMMYFUNCTION("""COMPUTED_VALUE"""),"HSS")</f>
        <v>HSS</v>
      </c>
      <c r="I3438" s="9" t="str">
        <f>IFERROR(__xludf.DUMMYFUNCTION("""COMPUTED_VALUE"""),"MOSS")</f>
        <v>MOSS</v>
      </c>
      <c r="J3438" s="9" t="str">
        <f>IFERROR(__xludf.DUMMYFUNCTION("""COMPUTED_VALUE"""),"r11")</f>
        <v>r11</v>
      </c>
      <c r="K3438" s="9" t="str">
        <f>IFERROR(__xludf.DUMMYFUNCTION("""COMPUTED_VALUE"""),"r11sp")</f>
        <v>r11sp</v>
      </c>
      <c r="L3438" s="9"/>
      <c r="M3438" s="9"/>
      <c r="N3438" s="9"/>
      <c r="O3438" s="9"/>
      <c r="P3438" s="9"/>
      <c r="Q3438" s="9"/>
      <c r="R3438" s="9"/>
      <c r="S3438" s="42"/>
      <c r="T3438" s="42"/>
      <c r="U3438" s="42"/>
      <c r="V3438" s="42"/>
      <c r="W3438" s="42"/>
      <c r="X3438" s="42"/>
      <c r="Y3438" s="42"/>
      <c r="Z3438" s="42"/>
      <c r="AA3438" s="42"/>
      <c r="AB3438" s="42" t="str">
        <f>IFERROR(__xludf.DUMMYFUNCTION("""COMPUTED_VALUE"""),"allen institute")</f>
        <v>allen institute</v>
      </c>
      <c r="AC3438" s="42" t="str">
        <f>IFERROR(__xludf.DUMMYFUNCTION("""COMPUTED_VALUE"""),"DHBA")</f>
        <v>DHBA</v>
      </c>
      <c r="AD3438" s="42"/>
      <c r="AE3438" s="42"/>
      <c r="AF3438" s="9"/>
      <c r="AG3438" s="9"/>
      <c r="AH3438" s="42"/>
      <c r="AI3438" s="42"/>
      <c r="AJ3438" s="42"/>
      <c r="AK3438" s="42"/>
      <c r="AL3438" s="42"/>
      <c r="AM3438" s="42"/>
      <c r="AN3438" s="42"/>
      <c r="AO3438" s="63" t="str">
        <f>IFERROR(__xludf.DUMMYFUNCTION("IF(ISBLANK(A3438),,IF(ISBLANK(S3438), A3438&amp;"";"", TEXTJOIN(CHAR(10), TRUE, A3438&amp;"";"", ARRAYFORMULA(VLOOKUP(SPLIT(S3438, "";"" &amp; CHAR(10)), $A:$AO, 41, FALSE)))))"),"r11sp;")</f>
        <v>r11sp;</v>
      </c>
      <c r="AP3438" s="89"/>
    </row>
    <row r="3439">
      <c r="A3439" s="151" t="str">
        <f>IFERROR(__xludf.DUMMYFUNCTION("""COMPUTED_VALUE"""),"r12")</f>
        <v>r12</v>
      </c>
      <c r="B3439" s="42" t="str">
        <f>IFERROR(__xludf.DUMMYFUNCTION("""COMPUTED_VALUE"""),"DHBA")</f>
        <v>DHBA</v>
      </c>
      <c r="C3439" s="42" t="str">
        <f>IFERROR(__xludf.DUMMYFUNCTION("""COMPUTED_VALUE"""),"root of hypoglossal nerve")</f>
        <v>root of hypoglossal nerve</v>
      </c>
      <c r="D3439" s="42">
        <f>IFERROR(__xludf.DUMMYFUNCTION("""COMPUTED_VALUE"""),3290.0)</f>
        <v>3290</v>
      </c>
      <c r="E3439" s="39" t="str">
        <f>IFERROR(__xludf.DUMMYFUNCTION("""COMPUTED_VALUE"""),"root of hypoglossal nerve")</f>
        <v>root of hypoglossal nerve</v>
      </c>
      <c r="F3439" s="9" t="str">
        <f>IFERROR(__xludf.DUMMYFUNCTION("""COMPUTED_VALUE"""),"Br")</f>
        <v>Br</v>
      </c>
      <c r="G3439" s="9" t="str">
        <f>IFERROR(__xludf.DUMMYFUNCTION("""COMPUTED_VALUE"""),"H")</f>
        <v>H</v>
      </c>
      <c r="H3439" s="9" t="str">
        <f>IFERROR(__xludf.DUMMYFUNCTION("""COMPUTED_VALUE"""),"HSS")</f>
        <v>HSS</v>
      </c>
      <c r="I3439" s="9" t="str">
        <f>IFERROR(__xludf.DUMMYFUNCTION("""COMPUTED_VALUE"""),"MOSS")</f>
        <v>MOSS</v>
      </c>
      <c r="J3439" s="9" t="str">
        <f>IFERROR(__xludf.DUMMYFUNCTION("""COMPUTED_VALUE"""),"r12")</f>
        <v>r12</v>
      </c>
      <c r="K3439" s="9"/>
      <c r="L3439" s="9"/>
      <c r="M3439" s="9"/>
      <c r="N3439" s="9"/>
      <c r="O3439" s="9"/>
      <c r="P3439" s="9"/>
      <c r="Q3439" s="9"/>
      <c r="R3439" s="9"/>
      <c r="S3439" s="42"/>
      <c r="T3439" s="42"/>
      <c r="U3439" s="42"/>
      <c r="V3439" s="42"/>
      <c r="W3439" s="42"/>
      <c r="X3439" s="42"/>
      <c r="Y3439" s="42"/>
      <c r="Z3439" s="42"/>
      <c r="AA3439" s="42"/>
      <c r="AB3439" s="42" t="str">
        <f>IFERROR(__xludf.DUMMYFUNCTION("""COMPUTED_VALUE"""),"allen institute")</f>
        <v>allen institute</v>
      </c>
      <c r="AC3439" s="42" t="str">
        <f>IFERROR(__xludf.DUMMYFUNCTION("""COMPUTED_VALUE"""),"DHBA")</f>
        <v>DHBA</v>
      </c>
      <c r="AD3439" s="42"/>
      <c r="AE3439" s="42"/>
      <c r="AF3439" s="9"/>
      <c r="AG3439" s="9"/>
      <c r="AH3439" s="42"/>
      <c r="AI3439" s="42"/>
      <c r="AJ3439" s="42"/>
      <c r="AK3439" s="42"/>
      <c r="AL3439" s="42"/>
      <c r="AM3439" s="42"/>
      <c r="AN3439" s="42"/>
      <c r="AO3439" s="63" t="str">
        <f>IFERROR(__xludf.DUMMYFUNCTION("IF(ISBLANK(A3439),,IF(ISBLANK(S3439), A3439&amp;"";"", TEXTJOIN(CHAR(10), TRUE, A3439&amp;"";"", ARRAYFORMULA(VLOOKUP(SPLIT(S3439, "";"" &amp; CHAR(10)), $A:$AO, 41, FALSE)))))"),"r12;")</f>
        <v>r12;</v>
      </c>
      <c r="AP3439" s="89"/>
    </row>
    <row r="3440">
      <c r="A3440" s="151" t="str">
        <f>IFERROR(__xludf.DUMMYFUNCTION("""COMPUTED_VALUE"""),"r9")</f>
        <v>r9</v>
      </c>
      <c r="B3440" s="42" t="str">
        <f>IFERROR(__xludf.DUMMYFUNCTION("""COMPUTED_VALUE"""),"DHBA")</f>
        <v>DHBA</v>
      </c>
      <c r="C3440" s="42" t="str">
        <f>IFERROR(__xludf.DUMMYFUNCTION("""COMPUTED_VALUE"""),"root of glossopharyngeal nerve")</f>
        <v>root of glossopharyngeal nerve</v>
      </c>
      <c r="D3440" s="42">
        <f>IFERROR(__xludf.DUMMYFUNCTION("""COMPUTED_VALUE"""),3291.0)</f>
        <v>3291</v>
      </c>
      <c r="E3440" s="39" t="str">
        <f>IFERROR(__xludf.DUMMYFUNCTION("""COMPUTED_VALUE"""),"root of glossopharyngeal nerve")</f>
        <v>root of glossopharyngeal nerve</v>
      </c>
      <c r="F3440" s="9" t="str">
        <f>IFERROR(__xludf.DUMMYFUNCTION("""COMPUTED_VALUE"""),"Br")</f>
        <v>Br</v>
      </c>
      <c r="G3440" s="9" t="str">
        <f>IFERROR(__xludf.DUMMYFUNCTION("""COMPUTED_VALUE"""),"H")</f>
        <v>H</v>
      </c>
      <c r="H3440" s="9" t="str">
        <f>IFERROR(__xludf.DUMMYFUNCTION("""COMPUTED_VALUE"""),"HSS")</f>
        <v>HSS</v>
      </c>
      <c r="I3440" s="9" t="str">
        <f>IFERROR(__xludf.DUMMYFUNCTION("""COMPUTED_VALUE"""),"MOSS")</f>
        <v>MOSS</v>
      </c>
      <c r="J3440" s="9" t="str">
        <f>IFERROR(__xludf.DUMMYFUNCTION("""COMPUTED_VALUE"""),"r9")</f>
        <v>r9</v>
      </c>
      <c r="K3440" s="9"/>
      <c r="L3440" s="9"/>
      <c r="M3440" s="9"/>
      <c r="N3440" s="9"/>
      <c r="O3440" s="9"/>
      <c r="P3440" s="9"/>
      <c r="Q3440" s="9"/>
      <c r="R3440" s="9"/>
      <c r="S3440" s="42"/>
      <c r="T3440" s="42"/>
      <c r="U3440" s="42"/>
      <c r="V3440" s="42"/>
      <c r="W3440" s="42"/>
      <c r="X3440" s="42"/>
      <c r="Y3440" s="42"/>
      <c r="Z3440" s="42"/>
      <c r="AA3440" s="42"/>
      <c r="AB3440" s="42" t="str">
        <f>IFERROR(__xludf.DUMMYFUNCTION("""COMPUTED_VALUE"""),"allen institute")</f>
        <v>allen institute</v>
      </c>
      <c r="AC3440" s="42" t="str">
        <f>IFERROR(__xludf.DUMMYFUNCTION("""COMPUTED_VALUE"""),"DHBA")</f>
        <v>DHBA</v>
      </c>
      <c r="AD3440" s="42"/>
      <c r="AE3440" s="42"/>
      <c r="AF3440" s="9"/>
      <c r="AG3440" s="9"/>
      <c r="AH3440" s="42"/>
      <c r="AI3440" s="42"/>
      <c r="AJ3440" s="42"/>
      <c r="AK3440" s="42"/>
      <c r="AL3440" s="42"/>
      <c r="AM3440" s="42"/>
      <c r="AN3440" s="42"/>
      <c r="AO3440" s="63" t="str">
        <f>IFERROR(__xludf.DUMMYFUNCTION("IF(ISBLANK(A3440),,IF(ISBLANK(S3440), A3440&amp;"";"", TEXTJOIN(CHAR(10), TRUE, A3440&amp;"";"", ARRAYFORMULA(VLOOKUP(SPLIT(S3440, "";"" &amp; CHAR(10)), $A:$AO, 41, FALSE)))))"),"r9;")</f>
        <v>r9;</v>
      </c>
      <c r="AP3440" s="89"/>
    </row>
    <row r="3441">
      <c r="A3441" s="151" t="str">
        <f>IFERROR(__xludf.DUMMYFUNCTION("""COMPUTED_VALUE"""),"r10")</f>
        <v>r10</v>
      </c>
      <c r="B3441" s="42" t="str">
        <f>IFERROR(__xludf.DUMMYFUNCTION("""COMPUTED_VALUE"""),"DHBA")</f>
        <v>DHBA</v>
      </c>
      <c r="C3441" s="42" t="str">
        <f>IFERROR(__xludf.DUMMYFUNCTION("""COMPUTED_VALUE"""),"root of vagus nerve")</f>
        <v>root of vagus nerve</v>
      </c>
      <c r="D3441" s="42">
        <f>IFERROR(__xludf.DUMMYFUNCTION("""COMPUTED_VALUE"""),3292.0)</f>
        <v>3292</v>
      </c>
      <c r="E3441" s="39" t="str">
        <f>IFERROR(__xludf.DUMMYFUNCTION("""COMPUTED_VALUE"""),"root of vagus nerve")</f>
        <v>root of vagus nerve</v>
      </c>
      <c r="F3441" s="9" t="str">
        <f>IFERROR(__xludf.DUMMYFUNCTION("""COMPUTED_VALUE"""),"Br")</f>
        <v>Br</v>
      </c>
      <c r="G3441" s="9" t="str">
        <f>IFERROR(__xludf.DUMMYFUNCTION("""COMPUTED_VALUE"""),"H")</f>
        <v>H</v>
      </c>
      <c r="H3441" s="9" t="str">
        <f>IFERROR(__xludf.DUMMYFUNCTION("""COMPUTED_VALUE"""),"HSS")</f>
        <v>HSS</v>
      </c>
      <c r="I3441" s="9" t="str">
        <f>IFERROR(__xludf.DUMMYFUNCTION("""COMPUTED_VALUE"""),"MOSS")</f>
        <v>MOSS</v>
      </c>
      <c r="J3441" s="9" t="str">
        <f>IFERROR(__xludf.DUMMYFUNCTION("""COMPUTED_VALUE"""),"r10")</f>
        <v>r10</v>
      </c>
      <c r="K3441" s="9"/>
      <c r="L3441" s="9"/>
      <c r="M3441" s="9"/>
      <c r="N3441" s="9"/>
      <c r="O3441" s="9"/>
      <c r="P3441" s="9"/>
      <c r="Q3441" s="9"/>
      <c r="R3441" s="9"/>
      <c r="S3441" s="42"/>
      <c r="T3441" s="42"/>
      <c r="U3441" s="42"/>
      <c r="V3441" s="42"/>
      <c r="W3441" s="42"/>
      <c r="X3441" s="42"/>
      <c r="Y3441" s="42"/>
      <c r="Z3441" s="42"/>
      <c r="AA3441" s="42"/>
      <c r="AB3441" s="42" t="str">
        <f>IFERROR(__xludf.DUMMYFUNCTION("""COMPUTED_VALUE"""),"allen institute")</f>
        <v>allen institute</v>
      </c>
      <c r="AC3441" s="42" t="str">
        <f>IFERROR(__xludf.DUMMYFUNCTION("""COMPUTED_VALUE"""),"DHBA")</f>
        <v>DHBA</v>
      </c>
      <c r="AD3441" s="42"/>
      <c r="AE3441" s="42"/>
      <c r="AF3441" s="9"/>
      <c r="AG3441" s="9"/>
      <c r="AH3441" s="42"/>
      <c r="AI3441" s="42"/>
      <c r="AJ3441" s="42"/>
      <c r="AK3441" s="42"/>
      <c r="AL3441" s="42"/>
      <c r="AM3441" s="42"/>
      <c r="AN3441" s="42"/>
      <c r="AO3441" s="63" t="str">
        <f>IFERROR(__xludf.DUMMYFUNCTION("IF(ISBLANK(A3441),,IF(ISBLANK(S3441), A3441&amp;"";"", TEXTJOIN(CHAR(10), TRUE, A3441&amp;"";"", ARRAYFORMULA(VLOOKUP(SPLIT(S3441, "";"" &amp; CHAR(10)), $A:$AO, 41, FALSE)))))"),"r10;")</f>
        <v>r10;</v>
      </c>
      <c r="AP3441" s="89"/>
    </row>
    <row r="3442">
      <c r="A3442" s="151" t="str">
        <f>IFERROR(__xludf.DUMMYFUNCTION("""COMPUTED_VALUE"""),"vmms")</f>
        <v>vmms</v>
      </c>
      <c r="B3442" s="42" t="str">
        <f>IFERROR(__xludf.DUMMYFUNCTION("""COMPUTED_VALUE"""),"DHBA")</f>
        <v>DHBA</v>
      </c>
      <c r="C3442" s="42" t="str">
        <f>IFERROR(__xludf.DUMMYFUNCTION("""COMPUTED_VALUE"""),"ventral (anterior) median medullary sulcus")</f>
        <v>ventral (anterior) median medullary sulcus</v>
      </c>
      <c r="D3442" s="42">
        <f>IFERROR(__xludf.DUMMYFUNCTION("""COMPUTED_VALUE"""),3293.0)</f>
        <v>3293</v>
      </c>
      <c r="E3442" s="39" t="str">
        <f>IFERROR(__xludf.DUMMYFUNCTION("""COMPUTED_VALUE"""),"ventral (anterior) median medullary sulcus")</f>
        <v>ventral (anterior) median medullary sulcus</v>
      </c>
      <c r="F3442" s="9" t="str">
        <f>IFERROR(__xludf.DUMMYFUNCTION("""COMPUTED_VALUE"""),"Br")</f>
        <v>Br</v>
      </c>
      <c r="G3442" s="9" t="str">
        <f>IFERROR(__xludf.DUMMYFUNCTION("""COMPUTED_VALUE"""),"H")</f>
        <v>H</v>
      </c>
      <c r="H3442" s="9" t="str">
        <f>IFERROR(__xludf.DUMMYFUNCTION("""COMPUTED_VALUE"""),"HSS")</f>
        <v>HSS</v>
      </c>
      <c r="I3442" s="9" t="str">
        <f>IFERROR(__xludf.DUMMYFUNCTION("""COMPUTED_VALUE"""),"MOSS")</f>
        <v>MOSS</v>
      </c>
      <c r="J3442" s="9" t="str">
        <f>IFERROR(__xludf.DUMMYFUNCTION("""COMPUTED_VALUE"""),"vmms")</f>
        <v>vmms</v>
      </c>
      <c r="K3442" s="9"/>
      <c r="L3442" s="9"/>
      <c r="M3442" s="9"/>
      <c r="N3442" s="9"/>
      <c r="O3442" s="9"/>
      <c r="P3442" s="9"/>
      <c r="Q3442" s="9"/>
      <c r="R3442" s="9"/>
      <c r="S3442" s="42"/>
      <c r="T3442" s="42" t="str">
        <f>IFERROR(__xludf.DUMMYFUNCTION("""COMPUTED_VALUE"""),"sulcus")</f>
        <v>sulcus</v>
      </c>
      <c r="U3442" s="42" t="b">
        <f>IFERROR(__xludf.DUMMYFUNCTION("""COMPUTED_VALUE"""),FALSE)</f>
        <v>0</v>
      </c>
      <c r="V3442" s="42"/>
      <c r="W3442" s="42"/>
      <c r="X3442" s="42"/>
      <c r="Y3442" s="42"/>
      <c r="Z3442" s="42"/>
      <c r="AA3442" s="42"/>
      <c r="AB3442" s="42" t="str">
        <f>IFERROR(__xludf.DUMMYFUNCTION("""COMPUTED_VALUE"""),"allen institute")</f>
        <v>allen institute</v>
      </c>
      <c r="AC3442" s="42" t="str">
        <f>IFERROR(__xludf.DUMMYFUNCTION("""COMPUTED_VALUE"""),"DHBA")</f>
        <v>DHBA</v>
      </c>
      <c r="AD3442" s="42"/>
      <c r="AE3442" s="42"/>
      <c r="AF3442" s="9"/>
      <c r="AG3442" s="9"/>
      <c r="AH3442" s="42"/>
      <c r="AI3442" s="42"/>
      <c r="AJ3442" s="42"/>
      <c r="AK3442" s="42"/>
      <c r="AL3442" s="42"/>
      <c r="AM3442" s="42"/>
      <c r="AN3442" s="42"/>
      <c r="AO3442" s="63" t="str">
        <f>IFERROR(__xludf.DUMMYFUNCTION("IF(ISBLANK(A3442),,IF(ISBLANK(S3442), A3442&amp;"";"", TEXTJOIN(CHAR(10), TRUE, A3442&amp;"";"", ARRAYFORMULA(VLOOKUP(SPLIT(S3442, "";"" &amp; CHAR(10)), $A:$AO, 41, FALSE)))))"),"vmms;")</f>
        <v>vmms;</v>
      </c>
      <c r="AP3442" s="89"/>
    </row>
    <row r="3443">
      <c r="A3443" s="151" t="str">
        <f>IFERROR(__xludf.DUMMYFUNCTION("""COMPUTED_VALUE"""),"hbv")</f>
        <v>hbv</v>
      </c>
      <c r="B3443" s="42" t="str">
        <f>IFERROR(__xludf.DUMMYFUNCTION("""COMPUTED_VALUE"""),"DHBA")</f>
        <v>DHBA</v>
      </c>
      <c r="C3443" s="42" t="str">
        <f>IFERROR(__xludf.DUMMYFUNCTION("""COMPUTED_VALUE"""),"blood vessels of hindbrain")</f>
        <v>blood vessels of hindbrain</v>
      </c>
      <c r="D3443" s="42">
        <f>IFERROR(__xludf.DUMMYFUNCTION("""COMPUTED_VALUE"""),3294.0)</f>
        <v>3294</v>
      </c>
      <c r="E3443" s="39" t="str">
        <f>IFERROR(__xludf.DUMMYFUNCTION("""COMPUTED_VALUE"""),"blood vessels of hindbrain")</f>
        <v>blood vessels of hindbrain</v>
      </c>
      <c r="F3443" s="9" t="str">
        <f>IFERROR(__xludf.DUMMYFUNCTION("""COMPUTED_VALUE"""),"Br")</f>
        <v>Br</v>
      </c>
      <c r="G3443" s="9" t="str">
        <f>IFERROR(__xludf.DUMMYFUNCTION("""COMPUTED_VALUE"""),"H")</f>
        <v>H</v>
      </c>
      <c r="H3443" s="9" t="str">
        <f>IFERROR(__xludf.DUMMYFUNCTION("""COMPUTED_VALUE"""),"hbv")</f>
        <v>hbv</v>
      </c>
      <c r="I3443" s="9"/>
      <c r="J3443" s="9"/>
      <c r="K3443" s="9"/>
      <c r="L3443" s="9"/>
      <c r="M3443" s="9"/>
      <c r="N3443" s="9"/>
      <c r="O3443" s="9"/>
      <c r="P3443" s="9"/>
      <c r="Q3443" s="9"/>
      <c r="R3443" s="9"/>
      <c r="S3443" s="42"/>
      <c r="T3443" s="42"/>
      <c r="U3443" s="42"/>
      <c r="V3443" s="42"/>
      <c r="W3443" s="42"/>
      <c r="X3443" s="42"/>
      <c r="Y3443" s="42"/>
      <c r="Z3443" s="42"/>
      <c r="AA3443" s="42"/>
      <c r="AB3443" s="42" t="str">
        <f>IFERROR(__xludf.DUMMYFUNCTION("""COMPUTED_VALUE"""),"allen institute")</f>
        <v>allen institute</v>
      </c>
      <c r="AC3443" s="42" t="str">
        <f>IFERROR(__xludf.DUMMYFUNCTION("""COMPUTED_VALUE"""),"DHBA")</f>
        <v>DHBA</v>
      </c>
      <c r="AD3443" s="42"/>
      <c r="AE3443" s="42"/>
      <c r="AF3443" s="9"/>
      <c r="AG3443" s="9"/>
      <c r="AH3443" s="42"/>
      <c r="AI3443" s="42"/>
      <c r="AJ3443" s="42"/>
      <c r="AK3443" s="42"/>
      <c r="AL3443" s="42"/>
      <c r="AM3443" s="42"/>
      <c r="AN3443" s="42"/>
      <c r="AO3443" s="63" t="str">
        <f>IFERROR(__xludf.DUMMYFUNCTION("IF(ISBLANK(A3443),,IF(ISBLANK(S3443), A3443&amp;"";"", TEXTJOIN(CHAR(10), TRUE, A3443&amp;"";"", ARRAYFORMULA(VLOOKUP(SPLIT(S3443, "";"" &amp; CHAR(10)), $A:$AO, 41, FALSE)))))"),"hbv;")</f>
        <v>hbv;</v>
      </c>
      <c r="AP3443" s="89"/>
    </row>
    <row r="3444">
      <c r="A3444" s="151" t="str">
        <f>IFERROR(__xludf.DUMMYFUNCTION("""COMPUTED_VALUE"""),"SpC")</f>
        <v>SpC</v>
      </c>
      <c r="B3444" s="42" t="str">
        <f>IFERROR(__xludf.DUMMYFUNCTION("""COMPUTED_VALUE"""),"DHBA")</f>
        <v>DHBA</v>
      </c>
      <c r="C3444" s="42" t="str">
        <f>IFERROR(__xludf.DUMMYFUNCTION("""COMPUTED_VALUE"""),"spinal cord")</f>
        <v>spinal cord</v>
      </c>
      <c r="D3444" s="42">
        <f>IFERROR(__xludf.DUMMYFUNCTION("""COMPUTED_VALUE"""),3295.0)</f>
        <v>3295</v>
      </c>
      <c r="E3444" s="39" t="str">
        <f>IFERROR(__xludf.DUMMYFUNCTION("""COMPUTED_VALUE"""),"spinal cord")</f>
        <v>spinal cord</v>
      </c>
      <c r="F3444" s="9" t="str">
        <f>IFERROR(__xludf.DUMMYFUNCTION("""COMPUTED_VALUE"""),"SpC")</f>
        <v>SpC</v>
      </c>
      <c r="G3444" s="9"/>
      <c r="H3444" s="9"/>
      <c r="I3444" s="9"/>
      <c r="J3444" s="9"/>
      <c r="K3444" s="9"/>
      <c r="L3444" s="9"/>
      <c r="M3444" s="9"/>
      <c r="N3444" s="9"/>
      <c r="O3444" s="9"/>
      <c r="P3444" s="9"/>
      <c r="Q3444" s="9"/>
      <c r="R3444" s="9"/>
      <c r="S3444" s="42" t="str">
        <f>IFERROR(__xludf.DUMMYFUNCTION("""COMPUTED_VALUE"""),"SGM;
SWM;
SV;
SSS;
spbv")</f>
        <v>SGM;
SWM;
SV;
SSS;
spbv</v>
      </c>
      <c r="T3444" s="42"/>
      <c r="U3444" s="42" t="b">
        <f>IFERROR(__xludf.DUMMYFUNCTION("""COMPUTED_VALUE"""),FALSE)</f>
        <v>0</v>
      </c>
      <c r="V3444" s="42"/>
      <c r="W3444" s="42"/>
      <c r="X3444" s="42"/>
      <c r="Y3444" s="42"/>
      <c r="Z3444" s="42"/>
      <c r="AA3444" s="42"/>
      <c r="AB3444" s="42" t="str">
        <f>IFERROR(__xludf.DUMMYFUNCTION("""COMPUTED_VALUE"""),"allen institute")</f>
        <v>allen institute</v>
      </c>
      <c r="AC3444" s="42" t="str">
        <f>IFERROR(__xludf.DUMMYFUNCTION("""COMPUTED_VALUE"""),"DHBA")</f>
        <v>DHBA</v>
      </c>
      <c r="AD3444" s="42"/>
      <c r="AE3444" s="42"/>
      <c r="AF3444" s="9"/>
      <c r="AG3444" s="9"/>
      <c r="AH3444" s="42"/>
      <c r="AI3444" s="42"/>
      <c r="AJ3444" s="42"/>
      <c r="AK3444" s="42"/>
      <c r="AL3444" s="42"/>
      <c r="AM3444" s="42"/>
      <c r="AN3444" s="42"/>
      <c r="AO3444" s="63" t="str">
        <f>IFERROR(__xludf.DUMMYFUNCTION("IF(ISBLANK(A3444),,IF(ISBLANK(S3444), A3444&amp;"";"", TEXTJOIN(CHAR(10), TRUE, A3444&amp;"";"", ARRAYFORMULA(VLOOKUP(SPLIT(S3444, "";"" &amp; CHAR(10)), $A:$AO, 41, FALSE)))))"),"#N/A")</f>
        <v>#N/A</v>
      </c>
      <c r="AP3444" s="89"/>
    </row>
    <row r="3445">
      <c r="A3445" s="151" t="str">
        <f>IFERROR(__xludf.DUMMYFUNCTION("""COMPUTED_VALUE"""),"SGM")</f>
        <v>SGM</v>
      </c>
      <c r="B3445" s="42" t="str">
        <f>IFERROR(__xludf.DUMMYFUNCTION("""COMPUTED_VALUE"""),"DHBA")</f>
        <v>DHBA</v>
      </c>
      <c r="C3445" s="42" t="str">
        <f>IFERROR(__xludf.DUMMYFUNCTION("""COMPUTED_VALUE"""),"gray matter of spinal cord")</f>
        <v>gray matter of spinal cord</v>
      </c>
      <c r="D3445" s="42">
        <f>IFERROR(__xludf.DUMMYFUNCTION("""COMPUTED_VALUE"""),3296.0)</f>
        <v>3296</v>
      </c>
      <c r="E3445" s="39" t="str">
        <f>IFERROR(__xludf.DUMMYFUNCTION("""COMPUTED_VALUE"""),"gray matter of spinal cord")</f>
        <v>gray matter of spinal cord</v>
      </c>
      <c r="F3445" s="9" t="str">
        <f>IFERROR(__xludf.DUMMYFUNCTION("""COMPUTED_VALUE"""),"SpC")</f>
        <v>SpC</v>
      </c>
      <c r="G3445" s="9" t="str">
        <f>IFERROR(__xludf.DUMMYFUNCTION("""COMPUTED_VALUE"""),"SGM")</f>
        <v>SGM</v>
      </c>
      <c r="H3445" s="9"/>
      <c r="I3445" s="9"/>
      <c r="J3445" s="9"/>
      <c r="K3445" s="9"/>
      <c r="L3445" s="9"/>
      <c r="M3445" s="9"/>
      <c r="N3445" s="9"/>
      <c r="O3445" s="9"/>
      <c r="P3445" s="9"/>
      <c r="Q3445" s="9"/>
      <c r="R3445" s="9"/>
      <c r="S3445" s="42" t="str">
        <f>IFERROR(__xludf.DUMMYFUNCTION("""COMPUTED_VALUE"""),"SpI;
SpII;
SpIII_IV;
SpV_VI;
SpVII;
SpVIII;
SpIX;
SpX")</f>
        <v>SpI;
SpII;
SpIII_IV;
SpV_VI;
SpVII;
SpVIII;
SpIX;
SpX</v>
      </c>
      <c r="T3445" s="42"/>
      <c r="U3445" s="42" t="b">
        <f>IFERROR(__xludf.DUMMYFUNCTION("""COMPUTED_VALUE"""),FALSE)</f>
        <v>0</v>
      </c>
      <c r="V3445" s="42"/>
      <c r="W3445" s="42"/>
      <c r="X3445" s="42"/>
      <c r="Y3445" s="42"/>
      <c r="Z3445" s="42"/>
      <c r="AA3445" s="42"/>
      <c r="AB3445" s="42" t="str">
        <f>IFERROR(__xludf.DUMMYFUNCTION("""COMPUTED_VALUE"""),"allen institute")</f>
        <v>allen institute</v>
      </c>
      <c r="AC3445" s="42" t="str">
        <f>IFERROR(__xludf.DUMMYFUNCTION("""COMPUTED_VALUE"""),"DHBA")</f>
        <v>DHBA</v>
      </c>
      <c r="AD3445" s="42"/>
      <c r="AE3445" s="42"/>
      <c r="AF3445" s="9"/>
      <c r="AG3445" s="9"/>
      <c r="AH3445" s="42"/>
      <c r="AI3445" s="42"/>
      <c r="AJ3445" s="42"/>
      <c r="AK3445" s="42"/>
      <c r="AL3445" s="42"/>
      <c r="AM3445" s="42"/>
      <c r="AN3445" s="42"/>
      <c r="AO3445" s="63" t="str">
        <f>IFERROR(__xludf.DUMMYFUNCTION("IF(ISBLANK(A3445),,IF(ISBLANK(S3445), A3445&amp;"";"", TEXTJOIN(CHAR(10), TRUE, A3445&amp;"";"", ARRAYFORMULA(VLOOKUP(SPLIT(S3445, "";"" &amp; CHAR(10)), $A:$AO, 41, FALSE)))))"),"#N/A")</f>
        <v>#N/A</v>
      </c>
      <c r="AP3445" s="89"/>
    </row>
    <row r="3446">
      <c r="A3446" s="151" t="str">
        <f>IFERROR(__xludf.DUMMYFUNCTION("""COMPUTED_VALUE"""),"aSpC")</f>
        <v>aSpC</v>
      </c>
      <c r="B3446" s="42" t="str">
        <f>IFERROR(__xludf.DUMMYFUNCTION("""COMPUTED_VALUE"""),"makeshift")</f>
        <v>makeshift</v>
      </c>
      <c r="C3446" s="42" t="str">
        <f>IFERROR(__xludf.DUMMYFUNCTION("""COMPUTED_VALUE"""),"afferent spinal cord")</f>
        <v>afferent spinal cord</v>
      </c>
      <c r="D3446" s="42">
        <f>IFERROR(__xludf.DUMMYFUNCTION("""COMPUTED_VALUE"""),3296.1)</f>
        <v>3296.1</v>
      </c>
      <c r="E3446" s="39" t="str">
        <f>IFERROR(__xludf.DUMMYFUNCTION("""COMPUTED_VALUE"""),"")</f>
        <v/>
      </c>
      <c r="F3446" s="9" t="str">
        <f>IFERROR(__xludf.DUMMYFUNCTION("""COMPUTED_VALUE"""),"")</f>
        <v/>
      </c>
      <c r="G3446" s="9" t="str">
        <f>IFERROR(__xludf.DUMMYFUNCTION("""COMPUTED_VALUE"""),"")</f>
        <v/>
      </c>
      <c r="H3446" s="9" t="str">
        <f>IFERROR(__xludf.DUMMYFUNCTION("""COMPUTED_VALUE"""),"")</f>
        <v/>
      </c>
      <c r="I3446" s="9" t="str">
        <f>IFERROR(__xludf.DUMMYFUNCTION("""COMPUTED_VALUE"""),"")</f>
        <v/>
      </c>
      <c r="J3446" s="9" t="str">
        <f>IFERROR(__xludf.DUMMYFUNCTION("""COMPUTED_VALUE"""),"")</f>
        <v/>
      </c>
      <c r="K3446" s="9" t="str">
        <f>IFERROR(__xludf.DUMMYFUNCTION("""COMPUTED_VALUE"""),"")</f>
        <v/>
      </c>
      <c r="L3446" s="9" t="str">
        <f>IFERROR(__xludf.DUMMYFUNCTION("""COMPUTED_VALUE"""),"")</f>
        <v/>
      </c>
      <c r="M3446" s="9" t="str">
        <f>IFERROR(__xludf.DUMMYFUNCTION("""COMPUTED_VALUE"""),"")</f>
        <v/>
      </c>
      <c r="N3446" s="9" t="str">
        <f>IFERROR(__xludf.DUMMYFUNCTION("""COMPUTED_VALUE"""),"")</f>
        <v/>
      </c>
      <c r="O3446" s="9" t="str">
        <f>IFERROR(__xludf.DUMMYFUNCTION("""COMPUTED_VALUE"""),"")</f>
        <v/>
      </c>
      <c r="P3446" s="9" t="str">
        <f>IFERROR(__xludf.DUMMYFUNCTION("""COMPUTED_VALUE"""),"")</f>
        <v/>
      </c>
      <c r="Q3446" s="9" t="str">
        <f>IFERROR(__xludf.DUMMYFUNCTION("""COMPUTED_VALUE"""),"")</f>
        <v/>
      </c>
      <c r="R3446" s="9" t="str">
        <f>IFERROR(__xludf.DUMMYFUNCTION("""COMPUTED_VALUE"""),"")</f>
        <v/>
      </c>
      <c r="S3446" s="42"/>
      <c r="T3446" s="42"/>
      <c r="U3446" s="42" t="b">
        <f>IFERROR(__xludf.DUMMYFUNCTION("""COMPUTED_VALUE"""),FALSE)</f>
        <v>0</v>
      </c>
      <c r="V3446" s="42"/>
      <c r="W3446" s="42" t="str">
        <f>IFERROR(__xludf.DUMMYFUNCTION("""COMPUTED_VALUE"""),"Excitatory")</f>
        <v>Excitatory</v>
      </c>
      <c r="X3446" s="42"/>
      <c r="Y3446" s="42"/>
      <c r="Z3446" s="42"/>
      <c r="AA3446" s="42"/>
      <c r="AB3446" s="42" t="str">
        <f>IFERROR(__xludf.DUMMYFUNCTION("""COMPUTED_VALUE"""),"Hiroshi Yamakawa")</f>
        <v>Hiroshi Yamakawa</v>
      </c>
      <c r="AC3446" s="42" t="str">
        <f>IFERROR(__xludf.DUMMYFUNCTION("""COMPUTED_VALUE"""),"HY20Cerebellum")</f>
        <v>HY20Cerebellum</v>
      </c>
      <c r="AD3446" s="42"/>
      <c r="AE3446" s="42"/>
      <c r="AF3446" s="9"/>
      <c r="AG3446" s="9"/>
      <c r="AH3446" s="42"/>
      <c r="AI3446" s="42"/>
      <c r="AJ3446" s="42"/>
      <c r="AK3446" s="42"/>
      <c r="AL3446" s="42"/>
      <c r="AM3446" s="42"/>
      <c r="AN3446" s="42"/>
      <c r="AO3446" s="63" t="str">
        <f>IFERROR(__xludf.DUMMYFUNCTION("IF(ISBLANK(A3446),,IF(ISBLANK(S3446), A3446&amp;"";"", TEXTJOIN(CHAR(10), TRUE, A3446&amp;"";"", ARRAYFORMULA(VLOOKUP(SPLIT(S3446, "";"" &amp; CHAR(10)), $A:$AO, 41, FALSE)))))"),"aSpC;")</f>
        <v>aSpC;</v>
      </c>
      <c r="AP3446" s="89"/>
    </row>
    <row r="3447">
      <c r="A3447" s="151" t="str">
        <f>IFERROR(__xludf.DUMMYFUNCTION("""COMPUTED_VALUE"""),"eSpC")</f>
        <v>eSpC</v>
      </c>
      <c r="B3447" s="42" t="str">
        <f>IFERROR(__xludf.DUMMYFUNCTION("""COMPUTED_VALUE"""),"makeshift")</f>
        <v>makeshift</v>
      </c>
      <c r="C3447" s="42" t="str">
        <f>IFERROR(__xludf.DUMMYFUNCTION("""COMPUTED_VALUE"""),"efferent spinal cord")</f>
        <v>efferent spinal cord</v>
      </c>
      <c r="D3447" s="42">
        <f>IFERROR(__xludf.DUMMYFUNCTION("""COMPUTED_VALUE"""),3296.1)</f>
        <v>3296.1</v>
      </c>
      <c r="E3447" s="39" t="str">
        <f>IFERROR(__xludf.DUMMYFUNCTION("""COMPUTED_VALUE"""),"")</f>
        <v/>
      </c>
      <c r="F3447" s="9" t="str">
        <f>IFERROR(__xludf.DUMMYFUNCTION("""COMPUTED_VALUE"""),"")</f>
        <v/>
      </c>
      <c r="G3447" s="9" t="str">
        <f>IFERROR(__xludf.DUMMYFUNCTION("""COMPUTED_VALUE"""),"")</f>
        <v/>
      </c>
      <c r="H3447" s="9" t="str">
        <f>IFERROR(__xludf.DUMMYFUNCTION("""COMPUTED_VALUE"""),"")</f>
        <v/>
      </c>
      <c r="I3447" s="9" t="str">
        <f>IFERROR(__xludf.DUMMYFUNCTION("""COMPUTED_VALUE"""),"")</f>
        <v/>
      </c>
      <c r="J3447" s="9" t="str">
        <f>IFERROR(__xludf.DUMMYFUNCTION("""COMPUTED_VALUE"""),"")</f>
        <v/>
      </c>
      <c r="K3447" s="9" t="str">
        <f>IFERROR(__xludf.DUMMYFUNCTION("""COMPUTED_VALUE"""),"")</f>
        <v/>
      </c>
      <c r="L3447" s="9" t="str">
        <f>IFERROR(__xludf.DUMMYFUNCTION("""COMPUTED_VALUE"""),"")</f>
        <v/>
      </c>
      <c r="M3447" s="9" t="str">
        <f>IFERROR(__xludf.DUMMYFUNCTION("""COMPUTED_VALUE"""),"")</f>
        <v/>
      </c>
      <c r="N3447" s="9" t="str">
        <f>IFERROR(__xludf.DUMMYFUNCTION("""COMPUTED_VALUE"""),"")</f>
        <v/>
      </c>
      <c r="O3447" s="9" t="str">
        <f>IFERROR(__xludf.DUMMYFUNCTION("""COMPUTED_VALUE"""),"")</f>
        <v/>
      </c>
      <c r="P3447" s="9" t="str">
        <f>IFERROR(__xludf.DUMMYFUNCTION("""COMPUTED_VALUE"""),"")</f>
        <v/>
      </c>
      <c r="Q3447" s="9" t="str">
        <f>IFERROR(__xludf.DUMMYFUNCTION("""COMPUTED_VALUE"""),"")</f>
        <v/>
      </c>
      <c r="R3447" s="9" t="str">
        <f>IFERROR(__xludf.DUMMYFUNCTION("""COMPUTED_VALUE"""),"")</f>
        <v/>
      </c>
      <c r="S3447" s="42" t="str">
        <f>IFERROR(__xludf.DUMMYFUNCTION("""COMPUTED_VALUE"""),"csp-h;
rusp;
resp;
vst")</f>
        <v>csp-h;
rusp;
resp;
vst</v>
      </c>
      <c r="T3447" s="42"/>
      <c r="U3447" s="42" t="b">
        <f>IFERROR(__xludf.DUMMYFUNCTION("""COMPUTED_VALUE"""),FALSE)</f>
        <v>0</v>
      </c>
      <c r="V3447" s="42"/>
      <c r="W3447" s="42"/>
      <c r="X3447" s="42"/>
      <c r="Y3447" s="42"/>
      <c r="Z3447" s="42"/>
      <c r="AA3447" s="42"/>
      <c r="AB3447" s="42" t="str">
        <f>IFERROR(__xludf.DUMMYFUNCTION("""COMPUTED_VALUE"""),"Hiroshi Yamakawa")</f>
        <v>Hiroshi Yamakawa</v>
      </c>
      <c r="AC3447" s="42" t="str">
        <f>IFERROR(__xludf.DUMMYFUNCTION("""COMPUTED_VALUE"""),"HY20Cerebellum")</f>
        <v>HY20Cerebellum</v>
      </c>
      <c r="AD3447" s="42"/>
      <c r="AE3447" s="42"/>
      <c r="AF3447" s="9"/>
      <c r="AG3447" s="9"/>
      <c r="AH3447" s="42"/>
      <c r="AI3447" s="42"/>
      <c r="AJ3447" s="42"/>
      <c r="AK3447" s="42"/>
      <c r="AL3447" s="42"/>
      <c r="AM3447" s="42"/>
      <c r="AN3447" s="42"/>
      <c r="AO3447" s="63" t="str">
        <f>IFERROR(__xludf.DUMMYFUNCTION("IF(ISBLANK(A3447),,IF(ISBLANK(S3447), A3447&amp;"";"", TEXTJOIN(CHAR(10), TRUE, A3447&amp;"";"", ARRAYFORMULA(VLOOKUP(SPLIT(S3447, "";"" &amp; CHAR(10)), $A:$AO, 41, FALSE)))))"),"eSpC;
csp-h;
rusp;
resp;
vresp;
vst;
lvs;
mvet;")</f>
        <v>eSpC;
csp-h;
rusp;
resp;
vresp;
vst;
lvs;
mvet;</v>
      </c>
      <c r="AP3447" s="89"/>
    </row>
    <row r="3448">
      <c r="A3448" s="151" t="str">
        <f>IFERROR(__xludf.DUMMYFUNCTION("""COMPUTED_VALUE"""),"SpI")</f>
        <v>SpI</v>
      </c>
      <c r="B3448" s="42" t="str">
        <f>IFERROR(__xludf.DUMMYFUNCTION("""COMPUTED_VALUE"""),"DHBA")</f>
        <v>DHBA</v>
      </c>
      <c r="C3448" s="42" t="str">
        <f>IFERROR(__xludf.DUMMYFUNCTION("""COMPUTED_VALUE"""),"laminar I of spinal cord")</f>
        <v>laminar I of spinal cord</v>
      </c>
      <c r="D3448" s="42">
        <f>IFERROR(__xludf.DUMMYFUNCTION("""COMPUTED_VALUE"""),3297.0)</f>
        <v>3297</v>
      </c>
      <c r="E3448" s="39" t="str">
        <f>IFERROR(__xludf.DUMMYFUNCTION("""COMPUTED_VALUE"""),"laminar I of spinal cord")</f>
        <v>laminar I of spinal cord</v>
      </c>
      <c r="F3448" s="9" t="str">
        <f>IFERROR(__xludf.DUMMYFUNCTION("""COMPUTED_VALUE"""),"SpC")</f>
        <v>SpC</v>
      </c>
      <c r="G3448" s="9" t="str">
        <f>IFERROR(__xludf.DUMMYFUNCTION("""COMPUTED_VALUE"""),"SGM")</f>
        <v>SGM</v>
      </c>
      <c r="H3448" s="9" t="str">
        <f>IFERROR(__xludf.DUMMYFUNCTION("""COMPUTED_VALUE"""),"SpI")</f>
        <v>SpI</v>
      </c>
      <c r="I3448" s="9"/>
      <c r="J3448" s="9"/>
      <c r="K3448" s="9"/>
      <c r="L3448" s="9"/>
      <c r="M3448" s="9"/>
      <c r="N3448" s="9"/>
      <c r="O3448" s="9"/>
      <c r="P3448" s="9"/>
      <c r="Q3448" s="9"/>
      <c r="R3448" s="9"/>
      <c r="S3448" s="42"/>
      <c r="T3448" s="42"/>
      <c r="U3448" s="42"/>
      <c r="V3448" s="42"/>
      <c r="W3448" s="42"/>
      <c r="X3448" s="42"/>
      <c r="Y3448" s="42"/>
      <c r="Z3448" s="42"/>
      <c r="AA3448" s="42"/>
      <c r="AB3448" s="42" t="str">
        <f>IFERROR(__xludf.DUMMYFUNCTION("""COMPUTED_VALUE"""),"allen institute")</f>
        <v>allen institute</v>
      </c>
      <c r="AC3448" s="42" t="str">
        <f>IFERROR(__xludf.DUMMYFUNCTION("""COMPUTED_VALUE"""),"DHBA")</f>
        <v>DHBA</v>
      </c>
      <c r="AD3448" s="42"/>
      <c r="AE3448" s="42"/>
      <c r="AF3448" s="9"/>
      <c r="AG3448" s="9"/>
      <c r="AH3448" s="42"/>
      <c r="AI3448" s="42"/>
      <c r="AJ3448" s="42"/>
      <c r="AK3448" s="42"/>
      <c r="AL3448" s="42"/>
      <c r="AM3448" s="42"/>
      <c r="AN3448" s="42"/>
      <c r="AO3448" s="63" t="str">
        <f>IFERROR(__xludf.DUMMYFUNCTION("IF(ISBLANK(A3448),,IF(ISBLANK(S3448), A3448&amp;"";"", TEXTJOIN(CHAR(10), TRUE, A3448&amp;"";"", ARRAYFORMULA(VLOOKUP(SPLIT(S3448, "";"" &amp; CHAR(10)), $A:$AO, 41, FALSE)))))"),"SpI;")</f>
        <v>SpI;</v>
      </c>
      <c r="AP3448" s="89"/>
    </row>
    <row r="3449">
      <c r="A3449" s="151" t="str">
        <f>IFERROR(__xludf.DUMMYFUNCTION("""COMPUTED_VALUE"""),"SpII")</f>
        <v>SpII</v>
      </c>
      <c r="B3449" s="42" t="str">
        <f>IFERROR(__xludf.DUMMYFUNCTION("""COMPUTED_VALUE"""),"DHBA")</f>
        <v>DHBA</v>
      </c>
      <c r="C3449" s="42" t="str">
        <f>IFERROR(__xludf.DUMMYFUNCTION("""COMPUTED_VALUE"""),"laminar II of spinal cord")</f>
        <v>laminar II of spinal cord</v>
      </c>
      <c r="D3449" s="42">
        <f>IFERROR(__xludf.DUMMYFUNCTION("""COMPUTED_VALUE"""),3298.0)</f>
        <v>3298</v>
      </c>
      <c r="E3449" s="39" t="str">
        <f>IFERROR(__xludf.DUMMYFUNCTION("""COMPUTED_VALUE"""),"laminar II of spinal cord")</f>
        <v>laminar II of spinal cord</v>
      </c>
      <c r="F3449" s="9" t="str">
        <f>IFERROR(__xludf.DUMMYFUNCTION("""COMPUTED_VALUE"""),"SpC")</f>
        <v>SpC</v>
      </c>
      <c r="G3449" s="9" t="str">
        <f>IFERROR(__xludf.DUMMYFUNCTION("""COMPUTED_VALUE"""),"SGM")</f>
        <v>SGM</v>
      </c>
      <c r="H3449" s="9" t="str">
        <f>IFERROR(__xludf.DUMMYFUNCTION("""COMPUTED_VALUE"""),"SpII")</f>
        <v>SpII</v>
      </c>
      <c r="I3449" s="9"/>
      <c r="J3449" s="9"/>
      <c r="K3449" s="9"/>
      <c r="L3449" s="9"/>
      <c r="M3449" s="9"/>
      <c r="N3449" s="9"/>
      <c r="O3449" s="9"/>
      <c r="P3449" s="9"/>
      <c r="Q3449" s="9"/>
      <c r="R3449" s="9"/>
      <c r="S3449" s="42"/>
      <c r="T3449" s="42"/>
      <c r="U3449" s="42"/>
      <c r="V3449" s="42"/>
      <c r="W3449" s="42"/>
      <c r="X3449" s="42"/>
      <c r="Y3449" s="42"/>
      <c r="Z3449" s="42"/>
      <c r="AA3449" s="42"/>
      <c r="AB3449" s="42" t="str">
        <f>IFERROR(__xludf.DUMMYFUNCTION("""COMPUTED_VALUE"""),"allen institute")</f>
        <v>allen institute</v>
      </c>
      <c r="AC3449" s="42" t="str">
        <f>IFERROR(__xludf.DUMMYFUNCTION("""COMPUTED_VALUE"""),"DHBA")</f>
        <v>DHBA</v>
      </c>
      <c r="AD3449" s="42"/>
      <c r="AE3449" s="42"/>
      <c r="AF3449" s="9"/>
      <c r="AG3449" s="9"/>
      <c r="AH3449" s="42"/>
      <c r="AI3449" s="42"/>
      <c r="AJ3449" s="42"/>
      <c r="AK3449" s="42"/>
      <c r="AL3449" s="42"/>
      <c r="AM3449" s="42"/>
      <c r="AN3449" s="42"/>
      <c r="AO3449" s="63" t="str">
        <f>IFERROR(__xludf.DUMMYFUNCTION("IF(ISBLANK(A3449),,IF(ISBLANK(S3449), A3449&amp;"";"", TEXTJOIN(CHAR(10), TRUE, A3449&amp;"";"", ARRAYFORMULA(VLOOKUP(SPLIT(S3449, "";"" &amp; CHAR(10)), $A:$AO, 41, FALSE)))))"),"SpII;")</f>
        <v>SpII;</v>
      </c>
      <c r="AP3449" s="89"/>
    </row>
    <row r="3450">
      <c r="A3450" s="151" t="str">
        <f>IFERROR(__xludf.DUMMYFUNCTION("""COMPUTED_VALUE"""),"SpIII-IV")</f>
        <v>SpIII-IV</v>
      </c>
      <c r="B3450" s="42" t="str">
        <f>IFERROR(__xludf.DUMMYFUNCTION("""COMPUTED_VALUE"""),"DHBA")</f>
        <v>DHBA</v>
      </c>
      <c r="C3450" s="42" t="str">
        <f>IFERROR(__xludf.DUMMYFUNCTION("""COMPUTED_VALUE"""),"laminar III and IV of spinal cord")</f>
        <v>laminar III and IV of spinal cord</v>
      </c>
      <c r="D3450" s="42">
        <f>IFERROR(__xludf.DUMMYFUNCTION("""COMPUTED_VALUE"""),3299.0)</f>
        <v>3299</v>
      </c>
      <c r="E3450" s="39" t="str">
        <f>IFERROR(__xludf.DUMMYFUNCTION("""COMPUTED_VALUE"""),"laminar III and IV of spinal cord")</f>
        <v>laminar III and IV of spinal cord</v>
      </c>
      <c r="F3450" s="9" t="str">
        <f>IFERROR(__xludf.DUMMYFUNCTION("""COMPUTED_VALUE"""),"SpC")</f>
        <v>SpC</v>
      </c>
      <c r="G3450" s="9" t="str">
        <f>IFERROR(__xludf.DUMMYFUNCTION("""COMPUTED_VALUE"""),"SGM")</f>
        <v>SGM</v>
      </c>
      <c r="H3450" s="9" t="str">
        <f>IFERROR(__xludf.DUMMYFUNCTION("""COMPUTED_VALUE"""),"SpIII-IV")</f>
        <v>SpIII-IV</v>
      </c>
      <c r="I3450" s="9"/>
      <c r="J3450" s="9"/>
      <c r="K3450" s="9"/>
      <c r="L3450" s="9"/>
      <c r="M3450" s="9"/>
      <c r="N3450" s="9"/>
      <c r="O3450" s="9"/>
      <c r="P3450" s="9"/>
      <c r="Q3450" s="9"/>
      <c r="R3450" s="9"/>
      <c r="S3450" s="42"/>
      <c r="T3450" s="42"/>
      <c r="U3450" s="42"/>
      <c r="V3450" s="42"/>
      <c r="W3450" s="42"/>
      <c r="X3450" s="42"/>
      <c r="Y3450" s="42"/>
      <c r="Z3450" s="42"/>
      <c r="AA3450" s="42"/>
      <c r="AB3450" s="42" t="str">
        <f>IFERROR(__xludf.DUMMYFUNCTION("""COMPUTED_VALUE"""),"allen institute")</f>
        <v>allen institute</v>
      </c>
      <c r="AC3450" s="42" t="str">
        <f>IFERROR(__xludf.DUMMYFUNCTION("""COMPUTED_VALUE"""),"DHBA")</f>
        <v>DHBA</v>
      </c>
      <c r="AD3450" s="42"/>
      <c r="AE3450" s="42"/>
      <c r="AF3450" s="9"/>
      <c r="AG3450" s="9"/>
      <c r="AH3450" s="42"/>
      <c r="AI3450" s="42"/>
      <c r="AJ3450" s="42"/>
      <c r="AK3450" s="42"/>
      <c r="AL3450" s="42"/>
      <c r="AM3450" s="42"/>
      <c r="AN3450" s="42"/>
      <c r="AO3450" s="63" t="str">
        <f>IFERROR(__xludf.DUMMYFUNCTION("IF(ISBLANK(A3450),,IF(ISBLANK(S3450), A3450&amp;"";"", TEXTJOIN(CHAR(10), TRUE, A3450&amp;"";"", ARRAYFORMULA(VLOOKUP(SPLIT(S3450, "";"" &amp; CHAR(10)), $A:$AO, 41, FALSE)))))"),"SpIII-IV;")</f>
        <v>SpIII-IV;</v>
      </c>
      <c r="AP3450" s="89"/>
    </row>
    <row r="3451">
      <c r="A3451" s="151" t="str">
        <f>IFERROR(__xludf.DUMMYFUNCTION("""COMPUTED_VALUE"""),"SpV-VI")</f>
        <v>SpV-VI</v>
      </c>
      <c r="B3451" s="42" t="str">
        <f>IFERROR(__xludf.DUMMYFUNCTION("""COMPUTED_VALUE"""),"DHBA")</f>
        <v>DHBA</v>
      </c>
      <c r="C3451" s="42" t="str">
        <f>IFERROR(__xludf.DUMMYFUNCTION("""COMPUTED_VALUE"""),"laminar V and VI of spinal cord")</f>
        <v>laminar V and VI of spinal cord</v>
      </c>
      <c r="D3451" s="42">
        <f>IFERROR(__xludf.DUMMYFUNCTION("""COMPUTED_VALUE"""),3300.0)</f>
        <v>3300</v>
      </c>
      <c r="E3451" s="39" t="str">
        <f>IFERROR(__xludf.DUMMYFUNCTION("""COMPUTED_VALUE"""),"laminar V and VI of spinal cord")</f>
        <v>laminar V and VI of spinal cord</v>
      </c>
      <c r="F3451" s="9" t="str">
        <f>IFERROR(__xludf.DUMMYFUNCTION("""COMPUTED_VALUE"""),"SpC")</f>
        <v>SpC</v>
      </c>
      <c r="G3451" s="9" t="str">
        <f>IFERROR(__xludf.DUMMYFUNCTION("""COMPUTED_VALUE"""),"SGM")</f>
        <v>SGM</v>
      </c>
      <c r="H3451" s="9" t="str">
        <f>IFERROR(__xludf.DUMMYFUNCTION("""COMPUTED_VALUE"""),"SpV-VI")</f>
        <v>SpV-VI</v>
      </c>
      <c r="I3451" s="9"/>
      <c r="J3451" s="9"/>
      <c r="K3451" s="9"/>
      <c r="L3451" s="9"/>
      <c r="M3451" s="9"/>
      <c r="N3451" s="9"/>
      <c r="O3451" s="9"/>
      <c r="P3451" s="9"/>
      <c r="Q3451" s="9"/>
      <c r="R3451" s="9"/>
      <c r="S3451" s="42"/>
      <c r="T3451" s="42"/>
      <c r="U3451" s="42"/>
      <c r="V3451" s="42"/>
      <c r="W3451" s="42"/>
      <c r="X3451" s="42"/>
      <c r="Y3451" s="42"/>
      <c r="Z3451" s="42"/>
      <c r="AA3451" s="42"/>
      <c r="AB3451" s="42" t="str">
        <f>IFERROR(__xludf.DUMMYFUNCTION("""COMPUTED_VALUE"""),"allen institute")</f>
        <v>allen institute</v>
      </c>
      <c r="AC3451" s="42" t="str">
        <f>IFERROR(__xludf.DUMMYFUNCTION("""COMPUTED_VALUE"""),"DHBA")</f>
        <v>DHBA</v>
      </c>
      <c r="AD3451" s="42"/>
      <c r="AE3451" s="42"/>
      <c r="AF3451" s="9"/>
      <c r="AG3451" s="9"/>
      <c r="AH3451" s="42"/>
      <c r="AI3451" s="42"/>
      <c r="AJ3451" s="42"/>
      <c r="AK3451" s="42"/>
      <c r="AL3451" s="42"/>
      <c r="AM3451" s="42"/>
      <c r="AN3451" s="42"/>
      <c r="AO3451" s="63" t="str">
        <f>IFERROR(__xludf.DUMMYFUNCTION("IF(ISBLANK(A3451),,IF(ISBLANK(S3451), A3451&amp;"";"", TEXTJOIN(CHAR(10), TRUE, A3451&amp;"";"", ARRAYFORMULA(VLOOKUP(SPLIT(S3451, "";"" &amp; CHAR(10)), $A:$AO, 41, FALSE)))))"),"SpV-VI;")</f>
        <v>SpV-VI;</v>
      </c>
      <c r="AP3451" s="89"/>
    </row>
    <row r="3452">
      <c r="A3452" s="151" t="str">
        <f>IFERROR(__xludf.DUMMYFUNCTION("""COMPUTED_VALUE"""),"SpVII")</f>
        <v>SpVII</v>
      </c>
      <c r="B3452" s="42" t="str">
        <f>IFERROR(__xludf.DUMMYFUNCTION("""COMPUTED_VALUE"""),"DHBA")</f>
        <v>DHBA</v>
      </c>
      <c r="C3452" s="42" t="str">
        <f>IFERROR(__xludf.DUMMYFUNCTION("""COMPUTED_VALUE"""),"laminar VII of spinal cord")</f>
        <v>laminar VII of spinal cord</v>
      </c>
      <c r="D3452" s="42">
        <f>IFERROR(__xludf.DUMMYFUNCTION("""COMPUTED_VALUE"""),3301.0)</f>
        <v>3301</v>
      </c>
      <c r="E3452" s="39" t="str">
        <f>IFERROR(__xludf.DUMMYFUNCTION("""COMPUTED_VALUE"""),"laminar VII of spinal cord")</f>
        <v>laminar VII of spinal cord</v>
      </c>
      <c r="F3452" s="9" t="str">
        <f>IFERROR(__xludf.DUMMYFUNCTION("""COMPUTED_VALUE"""),"SpC")</f>
        <v>SpC</v>
      </c>
      <c r="G3452" s="9" t="str">
        <f>IFERROR(__xludf.DUMMYFUNCTION("""COMPUTED_VALUE"""),"SGM")</f>
        <v>SGM</v>
      </c>
      <c r="H3452" s="9" t="str">
        <f>IFERROR(__xludf.DUMMYFUNCTION("""COMPUTED_VALUE"""),"SpVII")</f>
        <v>SpVII</v>
      </c>
      <c r="I3452" s="9"/>
      <c r="J3452" s="9"/>
      <c r="K3452" s="9"/>
      <c r="L3452" s="9"/>
      <c r="M3452" s="9"/>
      <c r="N3452" s="9"/>
      <c r="O3452" s="9"/>
      <c r="P3452" s="9"/>
      <c r="Q3452" s="9"/>
      <c r="R3452" s="9"/>
      <c r="S3452" s="42" t="str">
        <f>IFERROR(__xludf.DUMMYFUNCTION("""COMPUTED_VALUE"""),"CeCv")</f>
        <v>CeCv</v>
      </c>
      <c r="T3452" s="42"/>
      <c r="U3452" s="42" t="b">
        <f>IFERROR(__xludf.DUMMYFUNCTION("""COMPUTED_VALUE"""),FALSE)</f>
        <v>0</v>
      </c>
      <c r="V3452" s="42"/>
      <c r="W3452" s="42"/>
      <c r="X3452" s="42"/>
      <c r="Y3452" s="42"/>
      <c r="Z3452" s="42"/>
      <c r="AA3452" s="42"/>
      <c r="AB3452" s="42" t="str">
        <f>IFERROR(__xludf.DUMMYFUNCTION("""COMPUTED_VALUE"""),"allen institute")</f>
        <v>allen institute</v>
      </c>
      <c r="AC3452" s="42" t="str">
        <f>IFERROR(__xludf.DUMMYFUNCTION("""COMPUTED_VALUE"""),"DHBA")</f>
        <v>DHBA</v>
      </c>
      <c r="AD3452" s="42"/>
      <c r="AE3452" s="42"/>
      <c r="AF3452" s="9"/>
      <c r="AG3452" s="9"/>
      <c r="AH3452" s="42"/>
      <c r="AI3452" s="42"/>
      <c r="AJ3452" s="42"/>
      <c r="AK3452" s="42"/>
      <c r="AL3452" s="42"/>
      <c r="AM3452" s="42"/>
      <c r="AN3452" s="42"/>
      <c r="AO3452" s="63" t="str">
        <f>IFERROR(__xludf.DUMMYFUNCTION("IF(ISBLANK(A3452),,IF(ISBLANK(S3452), A3452&amp;"";"", TEXTJOIN(CHAR(10), TRUE, A3452&amp;"";"", ARRAYFORMULA(VLOOKUP(SPLIT(S3452, "";"" &amp; CHAR(10)), $A:$AO, 41, FALSE)))))"),"SpVII;
CeCv;")</f>
        <v>SpVII;
CeCv;</v>
      </c>
      <c r="AP3452" s="89"/>
    </row>
    <row r="3453">
      <c r="A3453" s="151" t="str">
        <f>IFERROR(__xludf.DUMMYFUNCTION("""COMPUTED_VALUE"""),"CeCv")</f>
        <v>CeCv</v>
      </c>
      <c r="B3453" s="42" t="str">
        <f>IFERROR(__xludf.DUMMYFUNCTION("""COMPUTED_VALUE"""),"DHBA")</f>
        <v>DHBA</v>
      </c>
      <c r="C3453" s="42" t="str">
        <f>IFERROR(__xludf.DUMMYFUNCTION("""COMPUTED_VALUE"""),"central cervical nucleus of spinal cord")</f>
        <v>central cervical nucleus of spinal cord</v>
      </c>
      <c r="D3453" s="42">
        <f>IFERROR(__xludf.DUMMYFUNCTION("""COMPUTED_VALUE"""),3302.0)</f>
        <v>3302</v>
      </c>
      <c r="E3453" s="39" t="str">
        <f>IFERROR(__xludf.DUMMYFUNCTION("""COMPUTED_VALUE"""),"central cervical nucleus of spinal cord")</f>
        <v>central cervical nucleus of spinal cord</v>
      </c>
      <c r="F3453" s="9" t="str">
        <f>IFERROR(__xludf.DUMMYFUNCTION("""COMPUTED_VALUE"""),"SpC")</f>
        <v>SpC</v>
      </c>
      <c r="G3453" s="9" t="str">
        <f>IFERROR(__xludf.DUMMYFUNCTION("""COMPUTED_VALUE"""),"SGM")</f>
        <v>SGM</v>
      </c>
      <c r="H3453" s="9" t="str">
        <f>IFERROR(__xludf.DUMMYFUNCTION("""COMPUTED_VALUE"""),"SpVII")</f>
        <v>SpVII</v>
      </c>
      <c r="I3453" s="9" t="str">
        <f>IFERROR(__xludf.DUMMYFUNCTION("""COMPUTED_VALUE"""),"CeCv")</f>
        <v>CeCv</v>
      </c>
      <c r="J3453" s="9"/>
      <c r="K3453" s="9"/>
      <c r="L3453" s="9"/>
      <c r="M3453" s="9"/>
      <c r="N3453" s="9"/>
      <c r="O3453" s="9"/>
      <c r="P3453" s="9"/>
      <c r="Q3453" s="9"/>
      <c r="R3453" s="9"/>
      <c r="S3453" s="42"/>
      <c r="T3453" s="42"/>
      <c r="U3453" s="42"/>
      <c r="V3453" s="42"/>
      <c r="W3453" s="42"/>
      <c r="X3453" s="42"/>
      <c r="Y3453" s="42"/>
      <c r="Z3453" s="42"/>
      <c r="AA3453" s="42"/>
      <c r="AB3453" s="42" t="str">
        <f>IFERROR(__xludf.DUMMYFUNCTION("""COMPUTED_VALUE"""),"allen institute")</f>
        <v>allen institute</v>
      </c>
      <c r="AC3453" s="42" t="str">
        <f>IFERROR(__xludf.DUMMYFUNCTION("""COMPUTED_VALUE"""),"DHBA")</f>
        <v>DHBA</v>
      </c>
      <c r="AD3453" s="42"/>
      <c r="AE3453" s="42"/>
      <c r="AF3453" s="9"/>
      <c r="AG3453" s="9"/>
      <c r="AH3453" s="42"/>
      <c r="AI3453" s="42"/>
      <c r="AJ3453" s="42"/>
      <c r="AK3453" s="42"/>
      <c r="AL3453" s="42"/>
      <c r="AM3453" s="42"/>
      <c r="AN3453" s="42"/>
      <c r="AO3453" s="63" t="str">
        <f>IFERROR(__xludf.DUMMYFUNCTION("IF(ISBLANK(A3453),,IF(ISBLANK(S3453), A3453&amp;"";"", TEXTJOIN(CHAR(10), TRUE, A3453&amp;"";"", ARRAYFORMULA(VLOOKUP(SPLIT(S3453, "";"" &amp; CHAR(10)), $A:$AO, 41, FALSE)))))"),"CeCv;")</f>
        <v>CeCv;</v>
      </c>
      <c r="AP3453" s="89"/>
    </row>
    <row r="3454">
      <c r="A3454" s="151" t="str">
        <f>IFERROR(__xludf.DUMMYFUNCTION("""COMPUTED_VALUE"""),"SpVIII")</f>
        <v>SpVIII</v>
      </c>
      <c r="B3454" s="42" t="str">
        <f>IFERROR(__xludf.DUMMYFUNCTION("""COMPUTED_VALUE"""),"DHBA")</f>
        <v>DHBA</v>
      </c>
      <c r="C3454" s="42" t="str">
        <f>IFERROR(__xludf.DUMMYFUNCTION("""COMPUTED_VALUE"""),"laminar VIII of spinal cord")</f>
        <v>laminar VIII of spinal cord</v>
      </c>
      <c r="D3454" s="42">
        <f>IFERROR(__xludf.DUMMYFUNCTION("""COMPUTED_VALUE"""),3303.0)</f>
        <v>3303</v>
      </c>
      <c r="E3454" s="39" t="str">
        <f>IFERROR(__xludf.DUMMYFUNCTION("""COMPUTED_VALUE"""),"laminar VIII of spinal cord")</f>
        <v>laminar VIII of spinal cord</v>
      </c>
      <c r="F3454" s="9" t="str">
        <f>IFERROR(__xludf.DUMMYFUNCTION("""COMPUTED_VALUE"""),"SpC")</f>
        <v>SpC</v>
      </c>
      <c r="G3454" s="9" t="str">
        <f>IFERROR(__xludf.DUMMYFUNCTION("""COMPUTED_VALUE"""),"SGM")</f>
        <v>SGM</v>
      </c>
      <c r="H3454" s="9" t="str">
        <f>IFERROR(__xludf.DUMMYFUNCTION("""COMPUTED_VALUE"""),"SpVIII")</f>
        <v>SpVIII</v>
      </c>
      <c r="I3454" s="9"/>
      <c r="J3454" s="9"/>
      <c r="K3454" s="9"/>
      <c r="L3454" s="9"/>
      <c r="M3454" s="9"/>
      <c r="N3454" s="9"/>
      <c r="O3454" s="9"/>
      <c r="P3454" s="9"/>
      <c r="Q3454" s="9"/>
      <c r="R3454" s="9"/>
      <c r="S3454" s="42"/>
      <c r="T3454" s="42"/>
      <c r="U3454" s="42"/>
      <c r="V3454" s="42"/>
      <c r="W3454" s="42"/>
      <c r="X3454" s="42"/>
      <c r="Y3454" s="42"/>
      <c r="Z3454" s="42"/>
      <c r="AA3454" s="42"/>
      <c r="AB3454" s="42" t="str">
        <f>IFERROR(__xludf.DUMMYFUNCTION("""COMPUTED_VALUE"""),"allen institute")</f>
        <v>allen institute</v>
      </c>
      <c r="AC3454" s="42" t="str">
        <f>IFERROR(__xludf.DUMMYFUNCTION("""COMPUTED_VALUE"""),"DHBA")</f>
        <v>DHBA</v>
      </c>
      <c r="AD3454" s="42"/>
      <c r="AE3454" s="42"/>
      <c r="AF3454" s="9"/>
      <c r="AG3454" s="9"/>
      <c r="AH3454" s="42"/>
      <c r="AI3454" s="42"/>
      <c r="AJ3454" s="42"/>
      <c r="AK3454" s="42"/>
      <c r="AL3454" s="42"/>
      <c r="AM3454" s="42"/>
      <c r="AN3454" s="42"/>
      <c r="AO3454" s="63" t="str">
        <f>IFERROR(__xludf.DUMMYFUNCTION("IF(ISBLANK(A3454),,IF(ISBLANK(S3454), A3454&amp;"";"", TEXTJOIN(CHAR(10), TRUE, A3454&amp;"";"", ARRAYFORMULA(VLOOKUP(SPLIT(S3454, "";"" &amp; CHAR(10)), $A:$AO, 41, FALSE)))))"),"SpVIII;")</f>
        <v>SpVIII;</v>
      </c>
      <c r="AP3454" s="89"/>
    </row>
    <row r="3455">
      <c r="A3455" s="151" t="str">
        <f>IFERROR(__xludf.DUMMYFUNCTION("""COMPUTED_VALUE"""),"SpIX")</f>
        <v>SpIX</v>
      </c>
      <c r="B3455" s="42" t="str">
        <f>IFERROR(__xludf.DUMMYFUNCTION("""COMPUTED_VALUE"""),"DHBA")</f>
        <v>DHBA</v>
      </c>
      <c r="C3455" s="42" t="str">
        <f>IFERROR(__xludf.DUMMYFUNCTION("""COMPUTED_VALUE"""),"laminar IX of spinal cord")</f>
        <v>laminar IX of spinal cord</v>
      </c>
      <c r="D3455" s="42">
        <f>IFERROR(__xludf.DUMMYFUNCTION("""COMPUTED_VALUE"""),3304.0)</f>
        <v>3304</v>
      </c>
      <c r="E3455" s="39" t="str">
        <f>IFERROR(__xludf.DUMMYFUNCTION("""COMPUTED_VALUE"""),"laminar IX of spinal cord")</f>
        <v>laminar IX of spinal cord</v>
      </c>
      <c r="F3455" s="9" t="str">
        <f>IFERROR(__xludf.DUMMYFUNCTION("""COMPUTED_VALUE"""),"SpC")</f>
        <v>SpC</v>
      </c>
      <c r="G3455" s="9" t="str">
        <f>IFERROR(__xludf.DUMMYFUNCTION("""COMPUTED_VALUE"""),"SGM")</f>
        <v>SGM</v>
      </c>
      <c r="H3455" s="9" t="str">
        <f>IFERROR(__xludf.DUMMYFUNCTION("""COMPUTED_VALUE"""),"SpIX")</f>
        <v>SpIX</v>
      </c>
      <c r="I3455" s="9"/>
      <c r="J3455" s="9"/>
      <c r="K3455" s="9"/>
      <c r="L3455" s="9"/>
      <c r="M3455" s="9"/>
      <c r="N3455" s="9"/>
      <c r="O3455" s="9"/>
      <c r="P3455" s="9"/>
      <c r="Q3455" s="9"/>
      <c r="R3455" s="9"/>
      <c r="S3455" s="42"/>
      <c r="T3455" s="42"/>
      <c r="U3455" s="42"/>
      <c r="V3455" s="42"/>
      <c r="W3455" s="42"/>
      <c r="X3455" s="42"/>
      <c r="Y3455" s="42"/>
      <c r="Z3455" s="42"/>
      <c r="AA3455" s="42"/>
      <c r="AB3455" s="42" t="str">
        <f>IFERROR(__xludf.DUMMYFUNCTION("""COMPUTED_VALUE"""),"allen institute")</f>
        <v>allen institute</v>
      </c>
      <c r="AC3455" s="42" t="str">
        <f>IFERROR(__xludf.DUMMYFUNCTION("""COMPUTED_VALUE"""),"DHBA")</f>
        <v>DHBA</v>
      </c>
      <c r="AD3455" s="42"/>
      <c r="AE3455" s="42"/>
      <c r="AF3455" s="9"/>
      <c r="AG3455" s="9"/>
      <c r="AH3455" s="42"/>
      <c r="AI3455" s="42"/>
      <c r="AJ3455" s="42"/>
      <c r="AK3455" s="42"/>
      <c r="AL3455" s="42"/>
      <c r="AM3455" s="42"/>
      <c r="AN3455" s="42"/>
      <c r="AO3455" s="63" t="str">
        <f>IFERROR(__xludf.DUMMYFUNCTION("IF(ISBLANK(A3455),,IF(ISBLANK(S3455), A3455&amp;"";"", TEXTJOIN(CHAR(10), TRUE, A3455&amp;"";"", ARRAYFORMULA(VLOOKUP(SPLIT(S3455, "";"" &amp; CHAR(10)), $A:$AO, 41, FALSE)))))"),"SpIX;")</f>
        <v>SpIX;</v>
      </c>
      <c r="AP3455" s="89"/>
    </row>
    <row r="3456">
      <c r="A3456" s="151" t="str">
        <f>IFERROR(__xludf.DUMMYFUNCTION("""COMPUTED_VALUE"""),"SpX")</f>
        <v>SpX</v>
      </c>
      <c r="B3456" s="42" t="str">
        <f>IFERROR(__xludf.DUMMYFUNCTION("""COMPUTED_VALUE"""),"DHBA")</f>
        <v>DHBA</v>
      </c>
      <c r="C3456" s="42" t="str">
        <f>IFERROR(__xludf.DUMMYFUNCTION("""COMPUTED_VALUE"""),"laminar X of spinal cord")</f>
        <v>laminar X of spinal cord</v>
      </c>
      <c r="D3456" s="42">
        <f>IFERROR(__xludf.DUMMYFUNCTION("""COMPUTED_VALUE"""),3305.0)</f>
        <v>3305</v>
      </c>
      <c r="E3456" s="39" t="str">
        <f>IFERROR(__xludf.DUMMYFUNCTION("""COMPUTED_VALUE"""),"laminar X of spinal cord")</f>
        <v>laminar X of spinal cord</v>
      </c>
      <c r="F3456" s="9" t="str">
        <f>IFERROR(__xludf.DUMMYFUNCTION("""COMPUTED_VALUE"""),"SpC")</f>
        <v>SpC</v>
      </c>
      <c r="G3456" s="9" t="str">
        <f>IFERROR(__xludf.DUMMYFUNCTION("""COMPUTED_VALUE"""),"SGM")</f>
        <v>SGM</v>
      </c>
      <c r="H3456" s="9" t="str">
        <f>IFERROR(__xludf.DUMMYFUNCTION("""COMPUTED_VALUE"""),"SpX")</f>
        <v>SpX</v>
      </c>
      <c r="I3456" s="9"/>
      <c r="J3456" s="9"/>
      <c r="K3456" s="9"/>
      <c r="L3456" s="9"/>
      <c r="M3456" s="9"/>
      <c r="N3456" s="9"/>
      <c r="O3456" s="9"/>
      <c r="P3456" s="9"/>
      <c r="Q3456" s="9"/>
      <c r="R3456" s="9"/>
      <c r="S3456" s="42"/>
      <c r="T3456" s="42"/>
      <c r="U3456" s="42"/>
      <c r="V3456" s="42"/>
      <c r="W3456" s="42"/>
      <c r="X3456" s="42"/>
      <c r="Y3456" s="42"/>
      <c r="Z3456" s="42"/>
      <c r="AA3456" s="42"/>
      <c r="AB3456" s="42" t="str">
        <f>IFERROR(__xludf.DUMMYFUNCTION("""COMPUTED_VALUE"""),"allen institute")</f>
        <v>allen institute</v>
      </c>
      <c r="AC3456" s="42" t="str">
        <f>IFERROR(__xludf.DUMMYFUNCTION("""COMPUTED_VALUE"""),"DHBA")</f>
        <v>DHBA</v>
      </c>
      <c r="AD3456" s="42"/>
      <c r="AE3456" s="42"/>
      <c r="AF3456" s="9"/>
      <c r="AG3456" s="9"/>
      <c r="AH3456" s="42"/>
      <c r="AI3456" s="42"/>
      <c r="AJ3456" s="42"/>
      <c r="AK3456" s="42"/>
      <c r="AL3456" s="42"/>
      <c r="AM3456" s="42"/>
      <c r="AN3456" s="42"/>
      <c r="AO3456" s="63" t="str">
        <f>IFERROR(__xludf.DUMMYFUNCTION("IF(ISBLANK(A3456),,IF(ISBLANK(S3456), A3456&amp;"";"", TEXTJOIN(CHAR(10), TRUE, A3456&amp;"";"", ARRAYFORMULA(VLOOKUP(SPLIT(S3456, "";"" &amp; CHAR(10)), $A:$AO, 41, FALSE)))))"),"SpX;")</f>
        <v>SpX;</v>
      </c>
      <c r="AP3456" s="89"/>
    </row>
    <row r="3457">
      <c r="A3457" s="151" t="str">
        <f>IFERROR(__xludf.DUMMYFUNCTION("""COMPUTED_VALUE"""),"SWM")</f>
        <v>SWM</v>
      </c>
      <c r="B3457" s="42" t="str">
        <f>IFERROR(__xludf.DUMMYFUNCTION("""COMPUTED_VALUE"""),"DHBA")</f>
        <v>DHBA</v>
      </c>
      <c r="C3457" s="42" t="str">
        <f>IFERROR(__xludf.DUMMYFUNCTION("""COMPUTED_VALUE"""),"white matter of spinal cord")</f>
        <v>white matter of spinal cord</v>
      </c>
      <c r="D3457" s="42">
        <f>IFERROR(__xludf.DUMMYFUNCTION("""COMPUTED_VALUE"""),3306.0)</f>
        <v>3306</v>
      </c>
      <c r="E3457" s="39" t="str">
        <f>IFERROR(__xludf.DUMMYFUNCTION("""COMPUTED_VALUE"""),"white matter of spinal cord")</f>
        <v>white matter of spinal cord</v>
      </c>
      <c r="F3457" s="9" t="str">
        <f>IFERROR(__xludf.DUMMYFUNCTION("""COMPUTED_VALUE"""),"SpC")</f>
        <v>SpC</v>
      </c>
      <c r="G3457" s="9" t="str">
        <f>IFERROR(__xludf.DUMMYFUNCTION("""COMPUTED_VALUE"""),"SWM")</f>
        <v>SWM</v>
      </c>
      <c r="H3457" s="9"/>
      <c r="I3457" s="9"/>
      <c r="J3457" s="9"/>
      <c r="K3457" s="9"/>
      <c r="L3457" s="9"/>
      <c r="M3457" s="9"/>
      <c r="N3457" s="9"/>
      <c r="O3457" s="9"/>
      <c r="P3457" s="9"/>
      <c r="Q3457" s="9"/>
      <c r="R3457" s="9"/>
      <c r="S3457" s="42" t="str">
        <f>IFERROR(__xludf.DUMMYFUNCTION("""COMPUTED_VALUE"""),"dfs;
lfs;
polt;
vfs")</f>
        <v>dfs;
lfs;
polt;
vfs</v>
      </c>
      <c r="T3457" s="42"/>
      <c r="U3457" s="42" t="b">
        <f>IFERROR(__xludf.DUMMYFUNCTION("""COMPUTED_VALUE"""),FALSE)</f>
        <v>0</v>
      </c>
      <c r="V3457" s="42"/>
      <c r="W3457" s="42"/>
      <c r="X3457" s="42"/>
      <c r="Y3457" s="42"/>
      <c r="Z3457" s="42"/>
      <c r="AA3457" s="42"/>
      <c r="AB3457" s="42" t="str">
        <f>IFERROR(__xludf.DUMMYFUNCTION("""COMPUTED_VALUE"""),"allen institute")</f>
        <v>allen institute</v>
      </c>
      <c r="AC3457" s="42" t="str">
        <f>IFERROR(__xludf.DUMMYFUNCTION("""COMPUTED_VALUE"""),"DHBA")</f>
        <v>DHBA</v>
      </c>
      <c r="AD3457" s="42"/>
      <c r="AE3457" s="42"/>
      <c r="AF3457" s="9"/>
      <c r="AG3457" s="9"/>
      <c r="AH3457" s="42"/>
      <c r="AI3457" s="42"/>
      <c r="AJ3457" s="42"/>
      <c r="AK3457" s="42"/>
      <c r="AL3457" s="42"/>
      <c r="AM3457" s="42"/>
      <c r="AN3457" s="42"/>
      <c r="AO3457" s="63" t="str">
        <f>IFERROR(__xludf.DUMMYFUNCTION("IF(ISBLANK(A3457),,IF(ISBLANK(S3457), A3457&amp;"";"", TEXTJOIN(CHAR(10), TRUE, A3457&amp;"";"", ARRAYFORMULA(VLOOKUP(SPLIT(S3457, "";"" &amp; CHAR(10)), $A:$AO, 41, FALSE)))))"),"SWM;
dfs;
lfs;
polt;
vfs;")</f>
        <v>SWM;
dfs;
lfs;
polt;
vfs;</v>
      </c>
      <c r="AP3457" s="89"/>
    </row>
    <row r="3458">
      <c r="A3458" s="151" t="str">
        <f>IFERROR(__xludf.DUMMYFUNCTION("""COMPUTED_VALUE"""),"dfs")</f>
        <v>dfs</v>
      </c>
      <c r="B3458" s="42" t="str">
        <f>IFERROR(__xludf.DUMMYFUNCTION("""COMPUTED_VALUE"""),"DHBA")</f>
        <v>DHBA</v>
      </c>
      <c r="C3458" s="42" t="str">
        <f>IFERROR(__xludf.DUMMYFUNCTION("""COMPUTED_VALUE"""),"dorsal fasciculus of spinal cord")</f>
        <v>dorsal fasciculus of spinal cord</v>
      </c>
      <c r="D3458" s="42">
        <f>IFERROR(__xludf.DUMMYFUNCTION("""COMPUTED_VALUE"""),3307.0)</f>
        <v>3307</v>
      </c>
      <c r="E3458" s="39" t="str">
        <f>IFERROR(__xludf.DUMMYFUNCTION("""COMPUTED_VALUE"""),"dorsal fasciculus of spinal cord")</f>
        <v>dorsal fasciculus of spinal cord</v>
      </c>
      <c r="F3458" s="9" t="str">
        <f>IFERROR(__xludf.DUMMYFUNCTION("""COMPUTED_VALUE"""),"SpC")</f>
        <v>SpC</v>
      </c>
      <c r="G3458" s="9" t="str">
        <f>IFERROR(__xludf.DUMMYFUNCTION("""COMPUTED_VALUE"""),"SWM")</f>
        <v>SWM</v>
      </c>
      <c r="H3458" s="9" t="str">
        <f>IFERROR(__xludf.DUMMYFUNCTION("""COMPUTED_VALUE"""),"dfs")</f>
        <v>dfs</v>
      </c>
      <c r="I3458" s="9"/>
      <c r="J3458" s="9"/>
      <c r="K3458" s="9"/>
      <c r="L3458" s="9"/>
      <c r="M3458" s="9"/>
      <c r="N3458" s="9"/>
      <c r="O3458" s="9"/>
      <c r="P3458" s="9"/>
      <c r="Q3458" s="9"/>
      <c r="R3458" s="9"/>
      <c r="S3458" s="42"/>
      <c r="T3458" s="42"/>
      <c r="U3458" s="42"/>
      <c r="V3458" s="42"/>
      <c r="W3458" s="42"/>
      <c r="X3458" s="42"/>
      <c r="Y3458" s="42"/>
      <c r="Z3458" s="42"/>
      <c r="AA3458" s="42"/>
      <c r="AB3458" s="42" t="str">
        <f>IFERROR(__xludf.DUMMYFUNCTION("""COMPUTED_VALUE"""),"allen institute")</f>
        <v>allen institute</v>
      </c>
      <c r="AC3458" s="42" t="str">
        <f>IFERROR(__xludf.DUMMYFUNCTION("""COMPUTED_VALUE"""),"DHBA")</f>
        <v>DHBA</v>
      </c>
      <c r="AD3458" s="42"/>
      <c r="AE3458" s="42"/>
      <c r="AF3458" s="9"/>
      <c r="AG3458" s="9"/>
      <c r="AH3458" s="42"/>
      <c r="AI3458" s="42"/>
      <c r="AJ3458" s="42"/>
      <c r="AK3458" s="42"/>
      <c r="AL3458" s="42"/>
      <c r="AM3458" s="42"/>
      <c r="AN3458" s="42"/>
      <c r="AO3458" s="63" t="str">
        <f>IFERROR(__xludf.DUMMYFUNCTION("IF(ISBLANK(A3458),,IF(ISBLANK(S3458), A3458&amp;"";"", TEXTJOIN(CHAR(10), TRUE, A3458&amp;"";"", ARRAYFORMULA(VLOOKUP(SPLIT(S3458, "";"" &amp; CHAR(10)), $A:$AO, 41, FALSE)))))"),"dfs;")</f>
        <v>dfs;</v>
      </c>
      <c r="AP3458" s="89"/>
    </row>
    <row r="3459">
      <c r="A3459" s="151" t="str">
        <f>IFERROR(__xludf.DUMMYFUNCTION("""COMPUTED_VALUE"""),"lfs")</f>
        <v>lfs</v>
      </c>
      <c r="B3459" s="42" t="str">
        <f>IFERROR(__xludf.DUMMYFUNCTION("""COMPUTED_VALUE"""),"DHBA")</f>
        <v>DHBA</v>
      </c>
      <c r="C3459" s="42" t="str">
        <f>IFERROR(__xludf.DUMMYFUNCTION("""COMPUTED_VALUE"""),"lateral fasciculus of spinal cord")</f>
        <v>lateral fasciculus of spinal cord</v>
      </c>
      <c r="D3459" s="42">
        <f>IFERROR(__xludf.DUMMYFUNCTION("""COMPUTED_VALUE"""),3308.0)</f>
        <v>3308</v>
      </c>
      <c r="E3459" s="39" t="str">
        <f>IFERROR(__xludf.DUMMYFUNCTION("""COMPUTED_VALUE"""),"lateral fasciculus of spinal cord")</f>
        <v>lateral fasciculus of spinal cord</v>
      </c>
      <c r="F3459" s="9" t="str">
        <f>IFERROR(__xludf.DUMMYFUNCTION("""COMPUTED_VALUE"""),"SpC")</f>
        <v>SpC</v>
      </c>
      <c r="G3459" s="9" t="str">
        <f>IFERROR(__xludf.DUMMYFUNCTION("""COMPUTED_VALUE"""),"SWM")</f>
        <v>SWM</v>
      </c>
      <c r="H3459" s="9" t="str">
        <f>IFERROR(__xludf.DUMMYFUNCTION("""COMPUTED_VALUE"""),"lfs")</f>
        <v>lfs</v>
      </c>
      <c r="I3459" s="9"/>
      <c r="J3459" s="9"/>
      <c r="K3459" s="9"/>
      <c r="L3459" s="9"/>
      <c r="M3459" s="9"/>
      <c r="N3459" s="9"/>
      <c r="O3459" s="9"/>
      <c r="P3459" s="9"/>
      <c r="Q3459" s="9"/>
      <c r="R3459" s="9"/>
      <c r="S3459" s="42"/>
      <c r="T3459" s="42"/>
      <c r="U3459" s="159"/>
      <c r="V3459" s="42"/>
      <c r="W3459" s="42"/>
      <c r="X3459" s="42"/>
      <c r="Y3459" s="42"/>
      <c r="Z3459" s="42"/>
      <c r="AA3459" s="42"/>
      <c r="AB3459" s="42" t="str">
        <f>IFERROR(__xludf.DUMMYFUNCTION("""COMPUTED_VALUE"""),"allen institute")</f>
        <v>allen institute</v>
      </c>
      <c r="AC3459" s="42" t="str">
        <f>IFERROR(__xludf.DUMMYFUNCTION("""COMPUTED_VALUE"""),"DHBA")</f>
        <v>DHBA</v>
      </c>
      <c r="AD3459" s="42"/>
      <c r="AE3459" s="42"/>
      <c r="AF3459" s="9"/>
      <c r="AG3459" s="9"/>
      <c r="AH3459" s="42"/>
      <c r="AI3459" s="42"/>
      <c r="AJ3459" s="42"/>
      <c r="AK3459" s="42"/>
      <c r="AL3459" s="42"/>
      <c r="AM3459" s="42"/>
      <c r="AN3459" s="42"/>
      <c r="AO3459" s="63" t="str">
        <f>IFERROR(__xludf.DUMMYFUNCTION("IF(ISBLANK(A3459),,IF(ISBLANK(S3459), A3459&amp;"";"", TEXTJOIN(CHAR(10), TRUE, A3459&amp;"";"", ARRAYFORMULA(VLOOKUP(SPLIT(S3459, "";"" &amp; CHAR(10)), $A:$AO, 41, FALSE)))))"),"lfs;")</f>
        <v>lfs;</v>
      </c>
      <c r="AP3459" s="89"/>
    </row>
    <row r="3460">
      <c r="A3460" s="151" t="str">
        <f>IFERROR(__xludf.DUMMYFUNCTION("""COMPUTED_VALUE"""),"polt")</f>
        <v>polt</v>
      </c>
      <c r="B3460" s="42" t="str">
        <f>IFERROR(__xludf.DUMMYFUNCTION("""COMPUTED_VALUE"""),"DHBA")</f>
        <v>DHBA</v>
      </c>
      <c r="C3460" s="42" t="str">
        <f>IFERROR(__xludf.DUMMYFUNCTION("""COMPUTED_VALUE"""),"posterior lateral tract of spinal cord")</f>
        <v>posterior lateral tract of spinal cord</v>
      </c>
      <c r="D3460" s="42">
        <f>IFERROR(__xludf.DUMMYFUNCTION("""COMPUTED_VALUE"""),3309.0)</f>
        <v>3309</v>
      </c>
      <c r="E3460" s="39" t="str">
        <f>IFERROR(__xludf.DUMMYFUNCTION("""COMPUTED_VALUE"""),"posterior lateral tract of spinal cord")</f>
        <v>posterior lateral tract of spinal cord</v>
      </c>
      <c r="F3460" s="9" t="str">
        <f>IFERROR(__xludf.DUMMYFUNCTION("""COMPUTED_VALUE"""),"SpC")</f>
        <v>SpC</v>
      </c>
      <c r="G3460" s="9" t="str">
        <f>IFERROR(__xludf.DUMMYFUNCTION("""COMPUTED_VALUE"""),"SWM")</f>
        <v>SWM</v>
      </c>
      <c r="H3460" s="9" t="str">
        <f>IFERROR(__xludf.DUMMYFUNCTION("""COMPUTED_VALUE"""),"polt")</f>
        <v>polt</v>
      </c>
      <c r="I3460" s="9"/>
      <c r="J3460" s="9"/>
      <c r="K3460" s="9"/>
      <c r="L3460" s="9"/>
      <c r="M3460" s="9"/>
      <c r="N3460" s="9"/>
      <c r="O3460" s="9"/>
      <c r="P3460" s="9"/>
      <c r="Q3460" s="9"/>
      <c r="R3460" s="9"/>
      <c r="S3460" s="42"/>
      <c r="T3460" s="42"/>
      <c r="U3460" s="159"/>
      <c r="V3460" s="42"/>
      <c r="W3460" s="42"/>
      <c r="X3460" s="42"/>
      <c r="Y3460" s="42"/>
      <c r="Z3460" s="42"/>
      <c r="AA3460" s="42"/>
      <c r="AB3460" s="42" t="str">
        <f>IFERROR(__xludf.DUMMYFUNCTION("""COMPUTED_VALUE"""),"allen institute")</f>
        <v>allen institute</v>
      </c>
      <c r="AC3460" s="42" t="str">
        <f>IFERROR(__xludf.DUMMYFUNCTION("""COMPUTED_VALUE"""),"DHBA")</f>
        <v>DHBA</v>
      </c>
      <c r="AD3460" s="42"/>
      <c r="AE3460" s="42"/>
      <c r="AF3460" s="9"/>
      <c r="AG3460" s="9"/>
      <c r="AH3460" s="42"/>
      <c r="AI3460" s="42"/>
      <c r="AJ3460" s="42"/>
      <c r="AK3460" s="42"/>
      <c r="AL3460" s="42"/>
      <c r="AM3460" s="42"/>
      <c r="AN3460" s="42"/>
      <c r="AO3460" s="63" t="str">
        <f>IFERROR(__xludf.DUMMYFUNCTION("IF(ISBLANK(A3460),,IF(ISBLANK(S3460), A3460&amp;"";"", TEXTJOIN(CHAR(10), TRUE, A3460&amp;"";"", ARRAYFORMULA(VLOOKUP(SPLIT(S3460, "";"" &amp; CHAR(10)), $A:$AO, 41, FALSE)))))"),"polt;")</f>
        <v>polt;</v>
      </c>
      <c r="AP3460" s="89"/>
    </row>
    <row r="3461">
      <c r="A3461" s="151" t="str">
        <f>IFERROR(__xludf.DUMMYFUNCTION("""COMPUTED_VALUE"""),"vfs")</f>
        <v>vfs</v>
      </c>
      <c r="B3461" s="42" t="str">
        <f>IFERROR(__xludf.DUMMYFUNCTION("""COMPUTED_VALUE"""),"DHBA")</f>
        <v>DHBA</v>
      </c>
      <c r="C3461" s="42" t="str">
        <f>IFERROR(__xludf.DUMMYFUNCTION("""COMPUTED_VALUE"""),"ventral fasciculus of spinal cord")</f>
        <v>ventral fasciculus of spinal cord</v>
      </c>
      <c r="D3461" s="42">
        <f>IFERROR(__xludf.DUMMYFUNCTION("""COMPUTED_VALUE"""),3310.0)</f>
        <v>3310</v>
      </c>
      <c r="E3461" s="39" t="str">
        <f>IFERROR(__xludf.DUMMYFUNCTION("""COMPUTED_VALUE"""),"ventral fasciculus of spinal cord")</f>
        <v>ventral fasciculus of spinal cord</v>
      </c>
      <c r="F3461" s="9" t="str">
        <f>IFERROR(__xludf.DUMMYFUNCTION("""COMPUTED_VALUE"""),"SpC")</f>
        <v>SpC</v>
      </c>
      <c r="G3461" s="9" t="str">
        <f>IFERROR(__xludf.DUMMYFUNCTION("""COMPUTED_VALUE"""),"SWM")</f>
        <v>SWM</v>
      </c>
      <c r="H3461" s="9" t="str">
        <f>IFERROR(__xludf.DUMMYFUNCTION("""COMPUTED_VALUE"""),"vfs")</f>
        <v>vfs</v>
      </c>
      <c r="I3461" s="9"/>
      <c r="J3461" s="9"/>
      <c r="K3461" s="9"/>
      <c r="L3461" s="9"/>
      <c r="M3461" s="9"/>
      <c r="N3461" s="9"/>
      <c r="O3461" s="9"/>
      <c r="P3461" s="9"/>
      <c r="Q3461" s="9"/>
      <c r="R3461" s="9"/>
      <c r="S3461" s="42"/>
      <c r="T3461" s="42"/>
      <c r="U3461" s="159"/>
      <c r="V3461" s="42"/>
      <c r="W3461" s="42"/>
      <c r="X3461" s="42"/>
      <c r="Y3461" s="42"/>
      <c r="Z3461" s="42"/>
      <c r="AA3461" s="42"/>
      <c r="AB3461" s="42" t="str">
        <f>IFERROR(__xludf.DUMMYFUNCTION("""COMPUTED_VALUE"""),"allen institute")</f>
        <v>allen institute</v>
      </c>
      <c r="AC3461" s="42" t="str">
        <f>IFERROR(__xludf.DUMMYFUNCTION("""COMPUTED_VALUE"""),"DHBA")</f>
        <v>DHBA</v>
      </c>
      <c r="AD3461" s="42"/>
      <c r="AE3461" s="42"/>
      <c r="AF3461" s="9"/>
      <c r="AG3461" s="9"/>
      <c r="AH3461" s="42"/>
      <c r="AI3461" s="42"/>
      <c r="AJ3461" s="42"/>
      <c r="AK3461" s="42"/>
      <c r="AL3461" s="42"/>
      <c r="AM3461" s="42"/>
      <c r="AN3461" s="42"/>
      <c r="AO3461" s="63" t="str">
        <f>IFERROR(__xludf.DUMMYFUNCTION("IF(ISBLANK(A3461),,IF(ISBLANK(S3461), A3461&amp;"";"", TEXTJOIN(CHAR(10), TRUE, A3461&amp;"";"", ARRAYFORMULA(VLOOKUP(SPLIT(S3461, "";"" &amp; CHAR(10)), $A:$AO, 41, FALSE)))))"),"vfs;")</f>
        <v>vfs;</v>
      </c>
      <c r="AP3461" s="89"/>
    </row>
    <row r="3462">
      <c r="A3462" s="151" t="str">
        <f>IFERROR(__xludf.DUMMYFUNCTION("""COMPUTED_VALUE"""),"SV")</f>
        <v>SV</v>
      </c>
      <c r="B3462" s="42" t="str">
        <f>IFERROR(__xludf.DUMMYFUNCTION("""COMPUTED_VALUE"""),"DHBA")</f>
        <v>DHBA</v>
      </c>
      <c r="C3462" s="42" t="str">
        <f>IFERROR(__xludf.DUMMYFUNCTION("""COMPUTED_VALUE"""),"ventricle of spinal cord")</f>
        <v>ventricle of spinal cord</v>
      </c>
      <c r="D3462" s="42">
        <f>IFERROR(__xludf.DUMMYFUNCTION("""COMPUTED_VALUE"""),3311.0)</f>
        <v>3311</v>
      </c>
      <c r="E3462" s="39" t="str">
        <f>IFERROR(__xludf.DUMMYFUNCTION("""COMPUTED_VALUE"""),"ventricle of spinal cord")</f>
        <v>ventricle of spinal cord</v>
      </c>
      <c r="F3462" s="9" t="str">
        <f>IFERROR(__xludf.DUMMYFUNCTION("""COMPUTED_VALUE"""),"SpC")</f>
        <v>SpC</v>
      </c>
      <c r="G3462" s="9" t="str">
        <f>IFERROR(__xludf.DUMMYFUNCTION("""COMPUTED_VALUE"""),"SV")</f>
        <v>SV</v>
      </c>
      <c r="H3462" s="9"/>
      <c r="I3462" s="9"/>
      <c r="J3462" s="9"/>
      <c r="K3462" s="9"/>
      <c r="L3462" s="9"/>
      <c r="M3462" s="9"/>
      <c r="N3462" s="9"/>
      <c r="O3462" s="9"/>
      <c r="P3462" s="9"/>
      <c r="Q3462" s="9"/>
      <c r="R3462" s="9"/>
      <c r="S3462" s="42" t="str">
        <f>IFERROR(__xludf.DUMMYFUNCTION("""COMPUTED_VALUE"""),"cces")</f>
        <v>cces</v>
      </c>
      <c r="T3462" s="42"/>
      <c r="U3462" s="159" t="b">
        <f>IFERROR(__xludf.DUMMYFUNCTION("""COMPUTED_VALUE"""),FALSE)</f>
        <v>0</v>
      </c>
      <c r="V3462" s="42"/>
      <c r="W3462" s="42"/>
      <c r="X3462" s="42"/>
      <c r="Y3462" s="42"/>
      <c r="Z3462" s="42"/>
      <c r="AA3462" s="42"/>
      <c r="AB3462" s="42" t="str">
        <f>IFERROR(__xludf.DUMMYFUNCTION("""COMPUTED_VALUE"""),"allen institute")</f>
        <v>allen institute</v>
      </c>
      <c r="AC3462" s="42" t="str">
        <f>IFERROR(__xludf.DUMMYFUNCTION("""COMPUTED_VALUE"""),"DHBA")</f>
        <v>DHBA</v>
      </c>
      <c r="AD3462" s="42"/>
      <c r="AE3462" s="42"/>
      <c r="AF3462" s="9"/>
      <c r="AG3462" s="9"/>
      <c r="AH3462" s="42"/>
      <c r="AI3462" s="42"/>
      <c r="AJ3462" s="42"/>
      <c r="AK3462" s="42"/>
      <c r="AL3462" s="42"/>
      <c r="AM3462" s="42"/>
      <c r="AN3462" s="42"/>
      <c r="AO3462" s="63" t="str">
        <f>IFERROR(__xludf.DUMMYFUNCTION("IF(ISBLANK(A3462),,IF(ISBLANK(S3462), A3462&amp;"";"", TEXTJOIN(CHAR(10), TRUE, A3462&amp;"";"", ARRAYFORMULA(VLOOKUP(SPLIT(S3462, "";"" &amp; CHAR(10)), $A:$AO, 41, FALSE)))))"),"SV;
cces;")</f>
        <v>SV;
cces;</v>
      </c>
      <c r="AP3462" s="89"/>
    </row>
    <row r="3463">
      <c r="A3463" s="151" t="str">
        <f>IFERROR(__xludf.DUMMYFUNCTION("""COMPUTED_VALUE"""),"cces")</f>
        <v>cces</v>
      </c>
      <c r="B3463" s="42" t="str">
        <f>IFERROR(__xludf.DUMMYFUNCTION("""COMPUTED_VALUE"""),"DHBA")</f>
        <v>DHBA</v>
      </c>
      <c r="C3463" s="42" t="str">
        <f>IFERROR(__xludf.DUMMYFUNCTION("""COMPUTED_VALUE"""),"central canal and ependyma of spinal cord")</f>
        <v>central canal and ependyma of spinal cord</v>
      </c>
      <c r="D3463" s="42">
        <f>IFERROR(__xludf.DUMMYFUNCTION("""COMPUTED_VALUE"""),3312.0)</f>
        <v>3312</v>
      </c>
      <c r="E3463" s="39" t="str">
        <f>IFERROR(__xludf.DUMMYFUNCTION("""COMPUTED_VALUE"""),"central canal and ependyma of spinal cord")</f>
        <v>central canal and ependyma of spinal cord</v>
      </c>
      <c r="F3463" s="9" t="str">
        <f>IFERROR(__xludf.DUMMYFUNCTION("""COMPUTED_VALUE"""),"SpC")</f>
        <v>SpC</v>
      </c>
      <c r="G3463" s="9" t="str">
        <f>IFERROR(__xludf.DUMMYFUNCTION("""COMPUTED_VALUE"""),"SV")</f>
        <v>SV</v>
      </c>
      <c r="H3463" s="9" t="str">
        <f>IFERROR(__xludf.DUMMYFUNCTION("""COMPUTED_VALUE"""),"cces")</f>
        <v>cces</v>
      </c>
      <c r="I3463" s="9"/>
      <c r="J3463" s="9"/>
      <c r="K3463" s="9"/>
      <c r="L3463" s="9"/>
      <c r="M3463" s="9"/>
      <c r="N3463" s="9"/>
      <c r="O3463" s="9"/>
      <c r="P3463" s="9"/>
      <c r="Q3463" s="9"/>
      <c r="R3463" s="9"/>
      <c r="S3463" s="42"/>
      <c r="T3463" s="42"/>
      <c r="U3463" s="159"/>
      <c r="V3463" s="42"/>
      <c r="W3463" s="42"/>
      <c r="X3463" s="42"/>
      <c r="Y3463" s="42"/>
      <c r="Z3463" s="42"/>
      <c r="AA3463" s="42"/>
      <c r="AB3463" s="42" t="str">
        <f>IFERROR(__xludf.DUMMYFUNCTION("""COMPUTED_VALUE"""),"allen institute")</f>
        <v>allen institute</v>
      </c>
      <c r="AC3463" s="42" t="str">
        <f>IFERROR(__xludf.DUMMYFUNCTION("""COMPUTED_VALUE"""),"DHBA")</f>
        <v>DHBA</v>
      </c>
      <c r="AD3463" s="42"/>
      <c r="AE3463" s="42"/>
      <c r="AF3463" s="9"/>
      <c r="AG3463" s="9"/>
      <c r="AH3463" s="42"/>
      <c r="AI3463" s="42"/>
      <c r="AJ3463" s="42"/>
      <c r="AK3463" s="42"/>
      <c r="AL3463" s="42"/>
      <c r="AM3463" s="42"/>
      <c r="AN3463" s="42"/>
      <c r="AO3463" s="63" t="str">
        <f>IFERROR(__xludf.DUMMYFUNCTION("IF(ISBLANK(A3463),,IF(ISBLANK(S3463), A3463&amp;"";"", TEXTJOIN(CHAR(10), TRUE, A3463&amp;"";"", ARRAYFORMULA(VLOOKUP(SPLIT(S3463, "";"" &amp; CHAR(10)), $A:$AO, 41, FALSE)))))"),"cces;")</f>
        <v>cces;</v>
      </c>
      <c r="AP3463" s="89"/>
    </row>
    <row r="3464">
      <c r="A3464" s="151" t="str">
        <f>IFERROR(__xludf.DUMMYFUNCTION("""COMPUTED_VALUE"""),"SSS")</f>
        <v>SSS</v>
      </c>
      <c r="B3464" s="42" t="str">
        <f>IFERROR(__xludf.DUMMYFUNCTION("""COMPUTED_VALUE"""),"DHBA")</f>
        <v>DHBA</v>
      </c>
      <c r="C3464" s="42" t="str">
        <f>IFERROR(__xludf.DUMMYFUNCTION("""COMPUTED_VALUE"""),"surface structures of spinal cord")</f>
        <v>surface structures of spinal cord</v>
      </c>
      <c r="D3464" s="42">
        <f>IFERROR(__xludf.DUMMYFUNCTION("""COMPUTED_VALUE"""),3313.0)</f>
        <v>3313</v>
      </c>
      <c r="E3464" s="39" t="str">
        <f>IFERROR(__xludf.DUMMYFUNCTION("""COMPUTED_VALUE"""),"surface structures of spinal cord")</f>
        <v>surface structures of spinal cord</v>
      </c>
      <c r="F3464" s="9" t="str">
        <f>IFERROR(__xludf.DUMMYFUNCTION("""COMPUTED_VALUE"""),"SpC")</f>
        <v>SpC</v>
      </c>
      <c r="G3464" s="9" t="str">
        <f>IFERROR(__xludf.DUMMYFUNCTION("""COMPUTED_VALUE"""),"SSS")</f>
        <v>SSS</v>
      </c>
      <c r="H3464" s="9"/>
      <c r="I3464" s="9"/>
      <c r="J3464" s="9"/>
      <c r="K3464" s="9"/>
      <c r="L3464" s="9"/>
      <c r="M3464" s="9"/>
      <c r="N3464" s="9"/>
      <c r="O3464" s="9"/>
      <c r="P3464" s="9"/>
      <c r="Q3464" s="9"/>
      <c r="R3464" s="9"/>
      <c r="S3464" s="42" t="str">
        <f>IFERROR(__xludf.DUMMYFUNCTION("""COMPUTED_VALUE"""),"rsn;
vmss")</f>
        <v>rsn;
vmss</v>
      </c>
      <c r="T3464" s="42"/>
      <c r="U3464" s="159" t="b">
        <f>IFERROR(__xludf.DUMMYFUNCTION("""COMPUTED_VALUE"""),FALSE)</f>
        <v>0</v>
      </c>
      <c r="V3464" s="42"/>
      <c r="W3464" s="42"/>
      <c r="X3464" s="42"/>
      <c r="Y3464" s="42"/>
      <c r="Z3464" s="42"/>
      <c r="AA3464" s="42"/>
      <c r="AB3464" s="42" t="str">
        <f>IFERROR(__xludf.DUMMYFUNCTION("""COMPUTED_VALUE"""),"allen institute")</f>
        <v>allen institute</v>
      </c>
      <c r="AC3464" s="42" t="str">
        <f>IFERROR(__xludf.DUMMYFUNCTION("""COMPUTED_VALUE"""),"DHBA")</f>
        <v>DHBA</v>
      </c>
      <c r="AD3464" s="42"/>
      <c r="AE3464" s="42"/>
      <c r="AF3464" s="9"/>
      <c r="AG3464" s="9"/>
      <c r="AH3464" s="42"/>
      <c r="AI3464" s="42"/>
      <c r="AJ3464" s="42"/>
      <c r="AK3464" s="42"/>
      <c r="AL3464" s="42"/>
      <c r="AM3464" s="42"/>
      <c r="AN3464" s="42"/>
      <c r="AO3464" s="63" t="str">
        <f>IFERROR(__xludf.DUMMYFUNCTION("IF(ISBLANK(A3464),,IF(ISBLANK(S3464), A3464&amp;"";"", TEXTJOIN(CHAR(10), TRUE, A3464&amp;"";"", ARRAYFORMULA(VLOOKUP(SPLIT(S3464, "";"" &amp; CHAR(10)), $A:$AO, 41, FALSE)))))"),"SSS;
rsn;
vmss;")</f>
        <v>SSS;
rsn;
vmss;</v>
      </c>
      <c r="AP3464" s="89"/>
    </row>
    <row r="3465">
      <c r="A3465" s="151" t="str">
        <f>IFERROR(__xludf.DUMMYFUNCTION("""COMPUTED_VALUE"""),"rsn")</f>
        <v>rsn</v>
      </c>
      <c r="B3465" s="42" t="str">
        <f>IFERROR(__xludf.DUMMYFUNCTION("""COMPUTED_VALUE"""),"DHBA")</f>
        <v>DHBA</v>
      </c>
      <c r="C3465" s="42" t="str">
        <f>IFERROR(__xludf.DUMMYFUNCTION("""COMPUTED_VALUE"""),"roots of spinal nerves")</f>
        <v>roots of spinal nerves</v>
      </c>
      <c r="D3465" s="42">
        <f>IFERROR(__xludf.DUMMYFUNCTION("""COMPUTED_VALUE"""),3314.0)</f>
        <v>3314</v>
      </c>
      <c r="E3465" s="39" t="str">
        <f>IFERROR(__xludf.DUMMYFUNCTION("""COMPUTED_VALUE"""),"roots of spinal nerves")</f>
        <v>roots of spinal nerves</v>
      </c>
      <c r="F3465" s="9" t="str">
        <f>IFERROR(__xludf.DUMMYFUNCTION("""COMPUTED_VALUE"""),"SpC")</f>
        <v>SpC</v>
      </c>
      <c r="G3465" s="9" t="str">
        <f>IFERROR(__xludf.DUMMYFUNCTION("""COMPUTED_VALUE"""),"SSS")</f>
        <v>SSS</v>
      </c>
      <c r="H3465" s="9" t="str">
        <f>IFERROR(__xludf.DUMMYFUNCTION("""COMPUTED_VALUE"""),"rsn")</f>
        <v>rsn</v>
      </c>
      <c r="I3465" s="9"/>
      <c r="J3465" s="9"/>
      <c r="K3465" s="9"/>
      <c r="L3465" s="9"/>
      <c r="M3465" s="9"/>
      <c r="N3465" s="9"/>
      <c r="O3465" s="9"/>
      <c r="P3465" s="9"/>
      <c r="Q3465" s="9"/>
      <c r="R3465" s="9"/>
      <c r="S3465" s="42"/>
      <c r="T3465" s="42"/>
      <c r="U3465" s="42"/>
      <c r="V3465" s="42"/>
      <c r="W3465" s="42"/>
      <c r="X3465" s="42"/>
      <c r="Y3465" s="42"/>
      <c r="Z3465" s="42"/>
      <c r="AA3465" s="42"/>
      <c r="AB3465" s="42" t="str">
        <f>IFERROR(__xludf.DUMMYFUNCTION("""COMPUTED_VALUE"""),"allen institute")</f>
        <v>allen institute</v>
      </c>
      <c r="AC3465" s="42" t="str">
        <f>IFERROR(__xludf.DUMMYFUNCTION("""COMPUTED_VALUE"""),"DHBA")</f>
        <v>DHBA</v>
      </c>
      <c r="AD3465" s="42"/>
      <c r="AE3465" s="42"/>
      <c r="AF3465" s="9"/>
      <c r="AG3465" s="9"/>
      <c r="AH3465" s="42"/>
      <c r="AI3465" s="42"/>
      <c r="AJ3465" s="42"/>
      <c r="AK3465" s="42"/>
      <c r="AL3465" s="42"/>
      <c r="AM3465" s="42"/>
      <c r="AN3465" s="42"/>
      <c r="AO3465" s="63" t="str">
        <f>IFERROR(__xludf.DUMMYFUNCTION("IF(ISBLANK(A3465),,IF(ISBLANK(S3465), A3465&amp;"";"", TEXTJOIN(CHAR(10), TRUE, A3465&amp;"";"", ARRAYFORMULA(VLOOKUP(SPLIT(S3465, "";"" &amp; CHAR(10)), $A:$AO, 41, FALSE)))))"),"rsn;")</f>
        <v>rsn;</v>
      </c>
      <c r="AP3465" s="89"/>
    </row>
    <row r="3466">
      <c r="A3466" s="151" t="str">
        <f>IFERROR(__xludf.DUMMYFUNCTION("""COMPUTED_VALUE"""),"vmss")</f>
        <v>vmss</v>
      </c>
      <c r="B3466" s="42" t="str">
        <f>IFERROR(__xludf.DUMMYFUNCTION("""COMPUTED_VALUE"""),"DHBA")</f>
        <v>DHBA</v>
      </c>
      <c r="C3466" s="42" t="str">
        <f>IFERROR(__xludf.DUMMYFUNCTION("""COMPUTED_VALUE"""),"ventral (anterior) median spinal sulcus")</f>
        <v>ventral (anterior) median spinal sulcus</v>
      </c>
      <c r="D3466" s="42">
        <f>IFERROR(__xludf.DUMMYFUNCTION("""COMPUTED_VALUE"""),3315.0)</f>
        <v>3315</v>
      </c>
      <c r="E3466" s="39" t="str">
        <f>IFERROR(__xludf.DUMMYFUNCTION("""COMPUTED_VALUE"""),"ventral (anterior) median spinal sulcus")</f>
        <v>ventral (anterior) median spinal sulcus</v>
      </c>
      <c r="F3466" s="9" t="str">
        <f>IFERROR(__xludf.DUMMYFUNCTION("""COMPUTED_VALUE"""),"SpC")</f>
        <v>SpC</v>
      </c>
      <c r="G3466" s="9" t="str">
        <f>IFERROR(__xludf.DUMMYFUNCTION("""COMPUTED_VALUE"""),"SSS")</f>
        <v>SSS</v>
      </c>
      <c r="H3466" s="9" t="str">
        <f>IFERROR(__xludf.DUMMYFUNCTION("""COMPUTED_VALUE"""),"vmss")</f>
        <v>vmss</v>
      </c>
      <c r="I3466" s="9"/>
      <c r="J3466" s="9"/>
      <c r="K3466" s="9"/>
      <c r="L3466" s="9"/>
      <c r="M3466" s="9"/>
      <c r="N3466" s="9"/>
      <c r="O3466" s="9"/>
      <c r="P3466" s="9"/>
      <c r="Q3466" s="9"/>
      <c r="R3466" s="9"/>
      <c r="S3466" s="42"/>
      <c r="T3466" s="42" t="str">
        <f>IFERROR(__xludf.DUMMYFUNCTION("""COMPUTED_VALUE"""),"sulcus")</f>
        <v>sulcus</v>
      </c>
      <c r="U3466" s="42" t="b">
        <f>IFERROR(__xludf.DUMMYFUNCTION("""COMPUTED_VALUE"""),FALSE)</f>
        <v>0</v>
      </c>
      <c r="V3466" s="42"/>
      <c r="W3466" s="42"/>
      <c r="X3466" s="42"/>
      <c r="Y3466" s="42"/>
      <c r="Z3466" s="42"/>
      <c r="AA3466" s="42"/>
      <c r="AB3466" s="42" t="str">
        <f>IFERROR(__xludf.DUMMYFUNCTION("""COMPUTED_VALUE"""),"allen institute")</f>
        <v>allen institute</v>
      </c>
      <c r="AC3466" s="42" t="str">
        <f>IFERROR(__xludf.DUMMYFUNCTION("""COMPUTED_VALUE"""),"DHBA")</f>
        <v>DHBA</v>
      </c>
      <c r="AD3466" s="42"/>
      <c r="AE3466" s="42"/>
      <c r="AF3466" s="9"/>
      <c r="AG3466" s="9"/>
      <c r="AH3466" s="42"/>
      <c r="AI3466" s="42"/>
      <c r="AJ3466" s="42"/>
      <c r="AK3466" s="42"/>
      <c r="AL3466" s="42"/>
      <c r="AM3466" s="42"/>
      <c r="AN3466" s="42"/>
      <c r="AO3466" s="63" t="str">
        <f>IFERROR(__xludf.DUMMYFUNCTION("IF(ISBLANK(A3466),,IF(ISBLANK(S3466), A3466&amp;"";"", TEXTJOIN(CHAR(10), TRUE, A3466&amp;"";"", ARRAYFORMULA(VLOOKUP(SPLIT(S3466, "";"" &amp; CHAR(10)), $A:$AO, 41, FALSE)))))"),"vmss;")</f>
        <v>vmss;</v>
      </c>
      <c r="AP3466" s="89"/>
    </row>
    <row r="3467">
      <c r="A3467" s="151" t="str">
        <f>IFERROR(__xludf.DUMMYFUNCTION("""COMPUTED_VALUE"""),"spbv")</f>
        <v>spbv</v>
      </c>
      <c r="B3467" s="42" t="str">
        <f>IFERROR(__xludf.DUMMYFUNCTION("""COMPUTED_VALUE"""),"DHBA")</f>
        <v>DHBA</v>
      </c>
      <c r="C3467" s="42" t="str">
        <f>IFERROR(__xludf.DUMMYFUNCTION("""COMPUTED_VALUE"""),"blood vessels of spinal cord")</f>
        <v>blood vessels of spinal cord</v>
      </c>
      <c r="D3467" s="42">
        <f>IFERROR(__xludf.DUMMYFUNCTION("""COMPUTED_VALUE"""),3316.0)</f>
        <v>3316</v>
      </c>
      <c r="E3467" s="39" t="str">
        <f>IFERROR(__xludf.DUMMYFUNCTION("""COMPUTED_VALUE"""),"blood vessels of spinal cord")</f>
        <v>blood vessels of spinal cord</v>
      </c>
      <c r="F3467" s="9" t="str">
        <f>IFERROR(__xludf.DUMMYFUNCTION("""COMPUTED_VALUE"""),"SpC")</f>
        <v>SpC</v>
      </c>
      <c r="G3467" s="9" t="str">
        <f>IFERROR(__xludf.DUMMYFUNCTION("""COMPUTED_VALUE"""),"spbv")</f>
        <v>spbv</v>
      </c>
      <c r="H3467" s="9"/>
      <c r="I3467" s="9"/>
      <c r="J3467" s="9"/>
      <c r="K3467" s="9"/>
      <c r="L3467" s="9"/>
      <c r="M3467" s="9"/>
      <c r="N3467" s="9"/>
      <c r="O3467" s="9"/>
      <c r="P3467" s="9"/>
      <c r="Q3467" s="9"/>
      <c r="R3467" s="9"/>
      <c r="S3467" s="42"/>
      <c r="T3467" s="42"/>
      <c r="U3467" s="159"/>
      <c r="V3467" s="42"/>
      <c r="W3467" s="42"/>
      <c r="X3467" s="42"/>
      <c r="Y3467" s="42"/>
      <c r="Z3467" s="42"/>
      <c r="AA3467" s="42"/>
      <c r="AB3467" s="42" t="str">
        <f>IFERROR(__xludf.DUMMYFUNCTION("""COMPUTED_VALUE"""),"allen institute")</f>
        <v>allen institute</v>
      </c>
      <c r="AC3467" s="42" t="str">
        <f>IFERROR(__xludf.DUMMYFUNCTION("""COMPUTED_VALUE"""),"DHBA")</f>
        <v>DHBA</v>
      </c>
      <c r="AD3467" s="42"/>
      <c r="AE3467" s="42"/>
      <c r="AF3467" s="9"/>
      <c r="AG3467" s="9"/>
      <c r="AH3467" s="42"/>
      <c r="AI3467" s="42"/>
      <c r="AJ3467" s="42"/>
      <c r="AK3467" s="42"/>
      <c r="AL3467" s="42"/>
      <c r="AM3467" s="42"/>
      <c r="AN3467" s="42"/>
      <c r="AO3467" s="63" t="str">
        <f>IFERROR(__xludf.DUMMYFUNCTION("IF(ISBLANK(A3467),,IF(ISBLANK(S3467), A3467&amp;"";"", TEXTJOIN(CHAR(10), TRUE, A3467&amp;"";"", ARRAYFORMULA(VLOOKUP(SPLIT(S3467, "";"" &amp; CHAR(10)), $A:$AO, 41, FALSE)))))"),"spbv;")</f>
        <v>spbv;</v>
      </c>
      <c r="AP3467" s="89"/>
    </row>
    <row r="3468">
      <c r="A3468" s="151" t="str">
        <f>IFERROR(__xludf.DUMMYFUNCTION("""COMPUTED_VALUE"""),"0001602")</f>
        <v>0001602</v>
      </c>
      <c r="B3468" s="42" t="str">
        <f>IFERROR(__xludf.DUMMYFUNCTION("""COMPUTED_VALUE"""),"UBERON")</f>
        <v>UBERON</v>
      </c>
      <c r="C3468" s="42" t="str">
        <f>IFERROR(__xludf.DUMMYFUNCTION("""COMPUTED_VALUE"""),"medial rectus(MR)")</f>
        <v>medial rectus(MR)</v>
      </c>
      <c r="D3468" s="42">
        <f>IFERROR(__xludf.DUMMYFUNCTION("""COMPUTED_VALUE"""),1001602.0)</f>
        <v>1001602</v>
      </c>
      <c r="E3468" s="39" t="str">
        <f>IFERROR(__xludf.DUMMYFUNCTION("""COMPUTED_VALUE"""),"")</f>
        <v/>
      </c>
      <c r="F3468" s="9" t="str">
        <f>IFERROR(__xludf.DUMMYFUNCTION("""COMPUTED_VALUE"""),"")</f>
        <v/>
      </c>
      <c r="G3468" s="9" t="str">
        <f>IFERROR(__xludf.DUMMYFUNCTION("""COMPUTED_VALUE"""),"")</f>
        <v/>
      </c>
      <c r="H3468" s="9" t="str">
        <f>IFERROR(__xludf.DUMMYFUNCTION("""COMPUTED_VALUE"""),"")</f>
        <v/>
      </c>
      <c r="I3468" s="9" t="str">
        <f>IFERROR(__xludf.DUMMYFUNCTION("""COMPUTED_VALUE"""),"")</f>
        <v/>
      </c>
      <c r="J3468" s="9" t="str">
        <f>IFERROR(__xludf.DUMMYFUNCTION("""COMPUTED_VALUE"""),"")</f>
        <v/>
      </c>
      <c r="K3468" s="9" t="str">
        <f>IFERROR(__xludf.DUMMYFUNCTION("""COMPUTED_VALUE"""),"")</f>
        <v/>
      </c>
      <c r="L3468" s="9" t="str">
        <f>IFERROR(__xludf.DUMMYFUNCTION("""COMPUTED_VALUE"""),"")</f>
        <v/>
      </c>
      <c r="M3468" s="9" t="str">
        <f>IFERROR(__xludf.DUMMYFUNCTION("""COMPUTED_VALUE"""),"")</f>
        <v/>
      </c>
      <c r="N3468" s="9" t="str">
        <f>IFERROR(__xludf.DUMMYFUNCTION("""COMPUTED_VALUE"""),"")</f>
        <v/>
      </c>
      <c r="O3468" s="9" t="str">
        <f>IFERROR(__xludf.DUMMYFUNCTION("""COMPUTED_VALUE"""),"")</f>
        <v/>
      </c>
      <c r="P3468" s="9" t="str">
        <f>IFERROR(__xludf.DUMMYFUNCTION("""COMPUTED_VALUE"""),"")</f>
        <v/>
      </c>
      <c r="Q3468" s="9" t="str">
        <f>IFERROR(__xludf.DUMMYFUNCTION("""COMPUTED_VALUE"""),"")</f>
        <v/>
      </c>
      <c r="R3468" s="9" t="str">
        <f>IFERROR(__xludf.DUMMYFUNCTION("""COMPUTED_VALUE"""),"")</f>
        <v/>
      </c>
      <c r="S3468" s="42"/>
      <c r="T3468" s="42" t="str">
        <f>IFERROR(__xludf.DUMMYFUNCTION("""COMPUTED_VALUE"""),"muscle")</f>
        <v>muscle</v>
      </c>
      <c r="U3468" s="42" t="b">
        <f>IFERROR(__xludf.DUMMYFUNCTION("""COMPUTED_VALUE"""),FALSE)</f>
        <v>0</v>
      </c>
      <c r="V3468" s="42"/>
      <c r="W3468" s="42"/>
      <c r="X3468" s="42"/>
      <c r="Y3468" s="42"/>
      <c r="Z3468" s="42"/>
      <c r="AA3468" s="42"/>
      <c r="AB3468" s="42" t="str">
        <f>IFERROR(__xludf.DUMMYFUNCTION("""COMPUTED_VALUE"""),"UBERON")</f>
        <v>UBERON</v>
      </c>
      <c r="AC3468" s="42" t="str">
        <f>IFERROR(__xludf.DUMMYFUNCTION("""COMPUTED_VALUE"""),"YT20Oculomotor")</f>
        <v>YT20Oculomotor</v>
      </c>
      <c r="AD3468" s="42"/>
      <c r="AE3468" s="42"/>
      <c r="AF3468" s="9"/>
      <c r="AG3468" s="9"/>
      <c r="AH3468" s="42"/>
      <c r="AI3468" s="42"/>
      <c r="AJ3468" s="42"/>
      <c r="AK3468" s="42"/>
      <c r="AL3468" s="42"/>
      <c r="AM3468" s="42"/>
      <c r="AN3468" s="42"/>
      <c r="AO3468" s="63" t="str">
        <f>IFERROR(__xludf.DUMMYFUNCTION("IF(ISBLANK(A3468),,IF(ISBLANK(S3468), A3468&amp;"";"", TEXTJOIN(CHAR(10), TRUE, A3468&amp;"";"", ARRAYFORMULA(VLOOKUP(SPLIT(S3468, "";"" &amp; CHAR(10)), $A:$AO, 41, FALSE)))))"),"0001602;")</f>
        <v>0001602;</v>
      </c>
      <c r="AP3468" s="89"/>
    </row>
    <row r="3469">
      <c r="A3469" s="151" t="str">
        <f>IFERROR(__xludf.DUMMYFUNCTION("""COMPUTED_VALUE"""),"0001603")</f>
        <v>0001603</v>
      </c>
      <c r="B3469" s="42" t="str">
        <f>IFERROR(__xludf.DUMMYFUNCTION("""COMPUTED_VALUE"""),"UBERON")</f>
        <v>UBERON</v>
      </c>
      <c r="C3469" s="42" t="str">
        <f>IFERROR(__xludf.DUMMYFUNCTION("""COMPUTED_VALUE"""),"lateral rectus(LR)")</f>
        <v>lateral rectus(LR)</v>
      </c>
      <c r="D3469" s="42">
        <f>IFERROR(__xludf.DUMMYFUNCTION("""COMPUTED_VALUE"""),1001603.0)</f>
        <v>1001603</v>
      </c>
      <c r="E3469" s="39" t="str">
        <f>IFERROR(__xludf.DUMMYFUNCTION("""COMPUTED_VALUE"""),"")</f>
        <v/>
      </c>
      <c r="F3469" s="9" t="str">
        <f>IFERROR(__xludf.DUMMYFUNCTION("""COMPUTED_VALUE"""),"")</f>
        <v/>
      </c>
      <c r="G3469" s="9" t="str">
        <f>IFERROR(__xludf.DUMMYFUNCTION("""COMPUTED_VALUE"""),"")</f>
        <v/>
      </c>
      <c r="H3469" s="9" t="str">
        <f>IFERROR(__xludf.DUMMYFUNCTION("""COMPUTED_VALUE"""),"")</f>
        <v/>
      </c>
      <c r="I3469" s="9" t="str">
        <f>IFERROR(__xludf.DUMMYFUNCTION("""COMPUTED_VALUE"""),"")</f>
        <v/>
      </c>
      <c r="J3469" s="9" t="str">
        <f>IFERROR(__xludf.DUMMYFUNCTION("""COMPUTED_VALUE"""),"")</f>
        <v/>
      </c>
      <c r="K3469" s="9" t="str">
        <f>IFERROR(__xludf.DUMMYFUNCTION("""COMPUTED_VALUE"""),"")</f>
        <v/>
      </c>
      <c r="L3469" s="9" t="str">
        <f>IFERROR(__xludf.DUMMYFUNCTION("""COMPUTED_VALUE"""),"")</f>
        <v/>
      </c>
      <c r="M3469" s="9" t="str">
        <f>IFERROR(__xludf.DUMMYFUNCTION("""COMPUTED_VALUE"""),"")</f>
        <v/>
      </c>
      <c r="N3469" s="9" t="str">
        <f>IFERROR(__xludf.DUMMYFUNCTION("""COMPUTED_VALUE"""),"")</f>
        <v/>
      </c>
      <c r="O3469" s="9" t="str">
        <f>IFERROR(__xludf.DUMMYFUNCTION("""COMPUTED_VALUE"""),"")</f>
        <v/>
      </c>
      <c r="P3469" s="9" t="str">
        <f>IFERROR(__xludf.DUMMYFUNCTION("""COMPUTED_VALUE"""),"")</f>
        <v/>
      </c>
      <c r="Q3469" s="9" t="str">
        <f>IFERROR(__xludf.DUMMYFUNCTION("""COMPUTED_VALUE"""),"")</f>
        <v/>
      </c>
      <c r="R3469" s="9" t="str">
        <f>IFERROR(__xludf.DUMMYFUNCTION("""COMPUTED_VALUE"""),"")</f>
        <v/>
      </c>
      <c r="S3469" s="42"/>
      <c r="T3469" s="42" t="str">
        <f>IFERROR(__xludf.DUMMYFUNCTION("""COMPUTED_VALUE"""),"muscle")</f>
        <v>muscle</v>
      </c>
      <c r="U3469" s="42" t="b">
        <f>IFERROR(__xludf.DUMMYFUNCTION("""COMPUTED_VALUE"""),FALSE)</f>
        <v>0</v>
      </c>
      <c r="V3469" s="42"/>
      <c r="W3469" s="42"/>
      <c r="X3469" s="42"/>
      <c r="Y3469" s="42"/>
      <c r="Z3469" s="42"/>
      <c r="AA3469" s="42"/>
      <c r="AB3469" s="42" t="str">
        <f>IFERROR(__xludf.DUMMYFUNCTION("""COMPUTED_VALUE"""),"UBERON")</f>
        <v>UBERON</v>
      </c>
      <c r="AC3469" s="42" t="str">
        <f>IFERROR(__xludf.DUMMYFUNCTION("""COMPUTED_VALUE"""),"YT20Oculomotor")</f>
        <v>YT20Oculomotor</v>
      </c>
      <c r="AD3469" s="42"/>
      <c r="AE3469" s="42"/>
      <c r="AF3469" s="9"/>
      <c r="AG3469" s="9"/>
      <c r="AH3469" s="42"/>
      <c r="AI3469" s="42"/>
      <c r="AJ3469" s="42"/>
      <c r="AK3469" s="42"/>
      <c r="AL3469" s="42"/>
      <c r="AM3469" s="42"/>
      <c r="AN3469" s="42"/>
      <c r="AO3469" s="63" t="str">
        <f>IFERROR(__xludf.DUMMYFUNCTION("IF(ISBLANK(A3469),,IF(ISBLANK(S3469), A3469&amp;"";"", TEXTJOIN(CHAR(10), TRUE, A3469&amp;"";"", ARRAYFORMULA(VLOOKUP(SPLIT(S3469, "";"" &amp; CHAR(10)), $A:$AO, 41, FALSE)))))"),"0001603;")</f>
        <v>0001603;</v>
      </c>
      <c r="AP3469" s="89"/>
    </row>
    <row r="3470">
      <c r="A3470" s="151" t="str">
        <f>IFERROR(__xludf.DUMMYFUNCTION("""COMPUTED_VALUE"""),"0006320")</f>
        <v>0006320</v>
      </c>
      <c r="B3470" s="42" t="str">
        <f>IFERROR(__xludf.DUMMYFUNCTION("""COMPUTED_VALUE"""),"UBERON")</f>
        <v>UBERON</v>
      </c>
      <c r="C3470" s="42" t="str">
        <f>IFERROR(__xludf.DUMMYFUNCTION("""COMPUTED_VALUE"""),"inferior oblique(IO)")</f>
        <v>inferior oblique(IO)</v>
      </c>
      <c r="D3470" s="42">
        <f>IFERROR(__xludf.DUMMYFUNCTION("""COMPUTED_VALUE"""),1006320.0)</f>
        <v>1006320</v>
      </c>
      <c r="E3470" s="39" t="str">
        <f>IFERROR(__xludf.DUMMYFUNCTION("""COMPUTED_VALUE"""),"")</f>
        <v/>
      </c>
      <c r="F3470" s="9" t="str">
        <f>IFERROR(__xludf.DUMMYFUNCTION("""COMPUTED_VALUE"""),"")</f>
        <v/>
      </c>
      <c r="G3470" s="9" t="str">
        <f>IFERROR(__xludf.DUMMYFUNCTION("""COMPUTED_VALUE"""),"")</f>
        <v/>
      </c>
      <c r="H3470" s="9" t="str">
        <f>IFERROR(__xludf.DUMMYFUNCTION("""COMPUTED_VALUE"""),"")</f>
        <v/>
      </c>
      <c r="I3470" s="9" t="str">
        <f>IFERROR(__xludf.DUMMYFUNCTION("""COMPUTED_VALUE"""),"")</f>
        <v/>
      </c>
      <c r="J3470" s="9" t="str">
        <f>IFERROR(__xludf.DUMMYFUNCTION("""COMPUTED_VALUE"""),"")</f>
        <v/>
      </c>
      <c r="K3470" s="9" t="str">
        <f>IFERROR(__xludf.DUMMYFUNCTION("""COMPUTED_VALUE"""),"")</f>
        <v/>
      </c>
      <c r="L3470" s="9" t="str">
        <f>IFERROR(__xludf.DUMMYFUNCTION("""COMPUTED_VALUE"""),"")</f>
        <v/>
      </c>
      <c r="M3470" s="9" t="str">
        <f>IFERROR(__xludf.DUMMYFUNCTION("""COMPUTED_VALUE"""),"")</f>
        <v/>
      </c>
      <c r="N3470" s="9" t="str">
        <f>IFERROR(__xludf.DUMMYFUNCTION("""COMPUTED_VALUE"""),"")</f>
        <v/>
      </c>
      <c r="O3470" s="9" t="str">
        <f>IFERROR(__xludf.DUMMYFUNCTION("""COMPUTED_VALUE"""),"")</f>
        <v/>
      </c>
      <c r="P3470" s="9" t="str">
        <f>IFERROR(__xludf.DUMMYFUNCTION("""COMPUTED_VALUE"""),"")</f>
        <v/>
      </c>
      <c r="Q3470" s="9" t="str">
        <f>IFERROR(__xludf.DUMMYFUNCTION("""COMPUTED_VALUE"""),"")</f>
        <v/>
      </c>
      <c r="R3470" s="9" t="str">
        <f>IFERROR(__xludf.DUMMYFUNCTION("""COMPUTED_VALUE"""),"")</f>
        <v/>
      </c>
      <c r="S3470" s="42"/>
      <c r="T3470" s="42" t="str">
        <f>IFERROR(__xludf.DUMMYFUNCTION("""COMPUTED_VALUE"""),"muscle ")</f>
        <v>muscle </v>
      </c>
      <c r="U3470" s="42" t="b">
        <f>IFERROR(__xludf.DUMMYFUNCTION("""COMPUTED_VALUE"""),FALSE)</f>
        <v>0</v>
      </c>
      <c r="V3470" s="42"/>
      <c r="W3470" s="42"/>
      <c r="X3470" s="42"/>
      <c r="Y3470" s="42"/>
      <c r="Z3470" s="42"/>
      <c r="AA3470" s="42"/>
      <c r="AB3470" s="42" t="str">
        <f>IFERROR(__xludf.DUMMYFUNCTION("""COMPUTED_VALUE"""),"UBERON")</f>
        <v>UBERON</v>
      </c>
      <c r="AC3470" s="42" t="str">
        <f>IFERROR(__xludf.DUMMYFUNCTION("""COMPUTED_VALUE"""),"YT20Oculomotor")</f>
        <v>YT20Oculomotor</v>
      </c>
      <c r="AD3470" s="42"/>
      <c r="AE3470" s="42"/>
      <c r="AF3470" s="9"/>
      <c r="AG3470" s="9"/>
      <c r="AH3470" s="42"/>
      <c r="AI3470" s="42"/>
      <c r="AJ3470" s="42"/>
      <c r="AK3470" s="42"/>
      <c r="AL3470" s="42"/>
      <c r="AM3470" s="42"/>
      <c r="AN3470" s="42"/>
      <c r="AO3470" s="63" t="str">
        <f>IFERROR(__xludf.DUMMYFUNCTION("IF(ISBLANK(A3470),,IF(ISBLANK(S3470), A3470&amp;"";"", TEXTJOIN(CHAR(10), TRUE, A3470&amp;"";"", ARRAYFORMULA(VLOOKUP(SPLIT(S3470, "";"" &amp; CHAR(10)), $A:$AO, 41, FALSE)))))"),"0006320;")</f>
        <v>0006320;</v>
      </c>
      <c r="AP3470" s="89"/>
    </row>
    <row r="3471">
      <c r="A3471" s="151" t="str">
        <f>IFERROR(__xludf.DUMMYFUNCTION("""COMPUTED_VALUE"""),"0006321")</f>
        <v>0006321</v>
      </c>
      <c r="B3471" s="42" t="str">
        <f>IFERROR(__xludf.DUMMYFUNCTION("""COMPUTED_VALUE"""),"UBERON")</f>
        <v>UBERON</v>
      </c>
      <c r="C3471" s="42" t="str">
        <f>IFERROR(__xludf.DUMMYFUNCTION("""COMPUTED_VALUE"""),"superior oblique(SO)")</f>
        <v>superior oblique(SO)</v>
      </c>
      <c r="D3471" s="42">
        <f>IFERROR(__xludf.DUMMYFUNCTION("""COMPUTED_VALUE"""),1006321.0)</f>
        <v>1006321</v>
      </c>
      <c r="E3471" s="39" t="str">
        <f>IFERROR(__xludf.DUMMYFUNCTION("""COMPUTED_VALUE"""),"")</f>
        <v/>
      </c>
      <c r="F3471" s="9" t="str">
        <f>IFERROR(__xludf.DUMMYFUNCTION("""COMPUTED_VALUE"""),"")</f>
        <v/>
      </c>
      <c r="G3471" s="9" t="str">
        <f>IFERROR(__xludf.DUMMYFUNCTION("""COMPUTED_VALUE"""),"")</f>
        <v/>
      </c>
      <c r="H3471" s="9" t="str">
        <f>IFERROR(__xludf.DUMMYFUNCTION("""COMPUTED_VALUE"""),"")</f>
        <v/>
      </c>
      <c r="I3471" s="9" t="str">
        <f>IFERROR(__xludf.DUMMYFUNCTION("""COMPUTED_VALUE"""),"")</f>
        <v/>
      </c>
      <c r="J3471" s="9" t="str">
        <f>IFERROR(__xludf.DUMMYFUNCTION("""COMPUTED_VALUE"""),"")</f>
        <v/>
      </c>
      <c r="K3471" s="9" t="str">
        <f>IFERROR(__xludf.DUMMYFUNCTION("""COMPUTED_VALUE"""),"")</f>
        <v/>
      </c>
      <c r="L3471" s="9" t="str">
        <f>IFERROR(__xludf.DUMMYFUNCTION("""COMPUTED_VALUE"""),"")</f>
        <v/>
      </c>
      <c r="M3471" s="9" t="str">
        <f>IFERROR(__xludf.DUMMYFUNCTION("""COMPUTED_VALUE"""),"")</f>
        <v/>
      </c>
      <c r="N3471" s="9" t="str">
        <f>IFERROR(__xludf.DUMMYFUNCTION("""COMPUTED_VALUE"""),"")</f>
        <v/>
      </c>
      <c r="O3471" s="9" t="str">
        <f>IFERROR(__xludf.DUMMYFUNCTION("""COMPUTED_VALUE"""),"")</f>
        <v/>
      </c>
      <c r="P3471" s="9" t="str">
        <f>IFERROR(__xludf.DUMMYFUNCTION("""COMPUTED_VALUE"""),"")</f>
        <v/>
      </c>
      <c r="Q3471" s="9" t="str">
        <f>IFERROR(__xludf.DUMMYFUNCTION("""COMPUTED_VALUE"""),"")</f>
        <v/>
      </c>
      <c r="R3471" s="9" t="str">
        <f>IFERROR(__xludf.DUMMYFUNCTION("""COMPUTED_VALUE"""),"")</f>
        <v/>
      </c>
      <c r="S3471" s="42"/>
      <c r="T3471" s="42" t="str">
        <f>IFERROR(__xludf.DUMMYFUNCTION("""COMPUTED_VALUE"""),"muscle")</f>
        <v>muscle</v>
      </c>
      <c r="U3471" s="42" t="b">
        <f>IFERROR(__xludf.DUMMYFUNCTION("""COMPUTED_VALUE"""),FALSE)</f>
        <v>0</v>
      </c>
      <c r="V3471" s="42"/>
      <c r="W3471" s="42"/>
      <c r="X3471" s="42"/>
      <c r="Y3471" s="42"/>
      <c r="Z3471" s="42"/>
      <c r="AA3471" s="42"/>
      <c r="AB3471" s="42" t="str">
        <f>IFERROR(__xludf.DUMMYFUNCTION("""COMPUTED_VALUE"""),"UBERON")</f>
        <v>UBERON</v>
      </c>
      <c r="AC3471" s="42" t="str">
        <f>IFERROR(__xludf.DUMMYFUNCTION("""COMPUTED_VALUE"""),"YT20Oculomotor")</f>
        <v>YT20Oculomotor</v>
      </c>
      <c r="AD3471" s="42"/>
      <c r="AE3471" s="42"/>
      <c r="AF3471" s="9"/>
      <c r="AG3471" s="9"/>
      <c r="AH3471" s="42"/>
      <c r="AI3471" s="42"/>
      <c r="AJ3471" s="42"/>
      <c r="AK3471" s="42"/>
      <c r="AL3471" s="42"/>
      <c r="AM3471" s="42"/>
      <c r="AN3471" s="42"/>
      <c r="AO3471" s="63" t="str">
        <f>IFERROR(__xludf.DUMMYFUNCTION("IF(ISBLANK(A3471),,IF(ISBLANK(S3471), A3471&amp;"";"", TEXTJOIN(CHAR(10), TRUE, A3471&amp;"";"", ARRAYFORMULA(VLOOKUP(SPLIT(S3471, "";"" &amp; CHAR(10)), $A:$AO, 41, FALSE)))))"),"0006321;")</f>
        <v>0006321;</v>
      </c>
      <c r="AP3471" s="89"/>
    </row>
    <row r="3472">
      <c r="A3472" s="151" t="str">
        <f>IFERROR(__xludf.DUMMYFUNCTION("""COMPUTED_VALUE"""),"0006322")</f>
        <v>0006322</v>
      </c>
      <c r="B3472" s="42" t="str">
        <f>IFERROR(__xludf.DUMMYFUNCTION("""COMPUTED_VALUE"""),"UBERON")</f>
        <v>UBERON</v>
      </c>
      <c r="C3472" s="42" t="str">
        <f>IFERROR(__xludf.DUMMYFUNCTION("""COMPUTED_VALUE"""),"inferior rectus(IR)")</f>
        <v>inferior rectus(IR)</v>
      </c>
      <c r="D3472" s="42">
        <f>IFERROR(__xludf.DUMMYFUNCTION("""COMPUTED_VALUE"""),1006322.0)</f>
        <v>1006322</v>
      </c>
      <c r="E3472" s="39" t="str">
        <f>IFERROR(__xludf.DUMMYFUNCTION("""COMPUTED_VALUE"""),"")</f>
        <v/>
      </c>
      <c r="F3472" s="9" t="str">
        <f>IFERROR(__xludf.DUMMYFUNCTION("""COMPUTED_VALUE"""),"")</f>
        <v/>
      </c>
      <c r="G3472" s="9" t="str">
        <f>IFERROR(__xludf.DUMMYFUNCTION("""COMPUTED_VALUE"""),"")</f>
        <v/>
      </c>
      <c r="H3472" s="9" t="str">
        <f>IFERROR(__xludf.DUMMYFUNCTION("""COMPUTED_VALUE"""),"")</f>
        <v/>
      </c>
      <c r="I3472" s="9" t="str">
        <f>IFERROR(__xludf.DUMMYFUNCTION("""COMPUTED_VALUE"""),"")</f>
        <v/>
      </c>
      <c r="J3472" s="9" t="str">
        <f>IFERROR(__xludf.DUMMYFUNCTION("""COMPUTED_VALUE"""),"")</f>
        <v/>
      </c>
      <c r="K3472" s="9" t="str">
        <f>IFERROR(__xludf.DUMMYFUNCTION("""COMPUTED_VALUE"""),"")</f>
        <v/>
      </c>
      <c r="L3472" s="9" t="str">
        <f>IFERROR(__xludf.DUMMYFUNCTION("""COMPUTED_VALUE"""),"")</f>
        <v/>
      </c>
      <c r="M3472" s="9" t="str">
        <f>IFERROR(__xludf.DUMMYFUNCTION("""COMPUTED_VALUE"""),"")</f>
        <v/>
      </c>
      <c r="N3472" s="9" t="str">
        <f>IFERROR(__xludf.DUMMYFUNCTION("""COMPUTED_VALUE"""),"")</f>
        <v/>
      </c>
      <c r="O3472" s="9" t="str">
        <f>IFERROR(__xludf.DUMMYFUNCTION("""COMPUTED_VALUE"""),"")</f>
        <v/>
      </c>
      <c r="P3472" s="9" t="str">
        <f>IFERROR(__xludf.DUMMYFUNCTION("""COMPUTED_VALUE"""),"")</f>
        <v/>
      </c>
      <c r="Q3472" s="9" t="str">
        <f>IFERROR(__xludf.DUMMYFUNCTION("""COMPUTED_VALUE"""),"")</f>
        <v/>
      </c>
      <c r="R3472" s="9" t="str">
        <f>IFERROR(__xludf.DUMMYFUNCTION("""COMPUTED_VALUE"""),"")</f>
        <v/>
      </c>
      <c r="S3472" s="42"/>
      <c r="T3472" s="42" t="str">
        <f>IFERROR(__xludf.DUMMYFUNCTION("""COMPUTED_VALUE"""),"muscle")</f>
        <v>muscle</v>
      </c>
      <c r="U3472" s="159" t="b">
        <f>IFERROR(__xludf.DUMMYFUNCTION("""COMPUTED_VALUE"""),FALSE)</f>
        <v>0</v>
      </c>
      <c r="V3472" s="42"/>
      <c r="W3472" s="42"/>
      <c r="X3472" s="42"/>
      <c r="Y3472" s="42"/>
      <c r="Z3472" s="42"/>
      <c r="AA3472" s="42"/>
      <c r="AB3472" s="42" t="str">
        <f>IFERROR(__xludf.DUMMYFUNCTION("""COMPUTED_VALUE"""),"UBERON")</f>
        <v>UBERON</v>
      </c>
      <c r="AC3472" s="42" t="str">
        <f>IFERROR(__xludf.DUMMYFUNCTION("""COMPUTED_VALUE"""),"YT20Oculomotor")</f>
        <v>YT20Oculomotor</v>
      </c>
      <c r="AD3472" s="42"/>
      <c r="AE3472" s="42"/>
      <c r="AF3472" s="9"/>
      <c r="AG3472" s="9"/>
      <c r="AH3472" s="42"/>
      <c r="AI3472" s="42"/>
      <c r="AJ3472" s="42"/>
      <c r="AK3472" s="42"/>
      <c r="AL3472" s="42"/>
      <c r="AM3472" s="42"/>
      <c r="AN3472" s="42"/>
      <c r="AO3472" s="63" t="str">
        <f>IFERROR(__xludf.DUMMYFUNCTION("IF(ISBLANK(A3472),,IF(ISBLANK(S3472), A3472&amp;"";"", TEXTJOIN(CHAR(10), TRUE, A3472&amp;"";"", ARRAYFORMULA(VLOOKUP(SPLIT(S3472, "";"" &amp; CHAR(10)), $A:$AO, 41, FALSE)))))"),"0006322;")</f>
        <v>0006322;</v>
      </c>
      <c r="AP3472" s="89"/>
    </row>
    <row r="3473">
      <c r="A3473" s="151" t="str">
        <f>IFERROR(__xludf.DUMMYFUNCTION("""COMPUTED_VALUE"""),"0006323")</f>
        <v>0006323</v>
      </c>
      <c r="B3473" s="42" t="str">
        <f>IFERROR(__xludf.DUMMYFUNCTION("""COMPUTED_VALUE"""),"UBERON")</f>
        <v>UBERON</v>
      </c>
      <c r="C3473" s="42" t="str">
        <f>IFERROR(__xludf.DUMMYFUNCTION("""COMPUTED_VALUE"""),"superior rectus(SR)")</f>
        <v>superior rectus(SR)</v>
      </c>
      <c r="D3473" s="42">
        <f>IFERROR(__xludf.DUMMYFUNCTION("""COMPUTED_VALUE"""),1006323.0)</f>
        <v>1006323</v>
      </c>
      <c r="E3473" s="39" t="str">
        <f>IFERROR(__xludf.DUMMYFUNCTION("""COMPUTED_VALUE"""),"")</f>
        <v/>
      </c>
      <c r="F3473" s="9" t="str">
        <f>IFERROR(__xludf.DUMMYFUNCTION("""COMPUTED_VALUE"""),"")</f>
        <v/>
      </c>
      <c r="G3473" s="9" t="str">
        <f>IFERROR(__xludf.DUMMYFUNCTION("""COMPUTED_VALUE"""),"")</f>
        <v/>
      </c>
      <c r="H3473" s="9" t="str">
        <f>IFERROR(__xludf.DUMMYFUNCTION("""COMPUTED_VALUE"""),"")</f>
        <v/>
      </c>
      <c r="I3473" s="9" t="str">
        <f>IFERROR(__xludf.DUMMYFUNCTION("""COMPUTED_VALUE"""),"")</f>
        <v/>
      </c>
      <c r="J3473" s="9" t="str">
        <f>IFERROR(__xludf.DUMMYFUNCTION("""COMPUTED_VALUE"""),"")</f>
        <v/>
      </c>
      <c r="K3473" s="9" t="str">
        <f>IFERROR(__xludf.DUMMYFUNCTION("""COMPUTED_VALUE"""),"")</f>
        <v/>
      </c>
      <c r="L3473" s="9" t="str">
        <f>IFERROR(__xludf.DUMMYFUNCTION("""COMPUTED_VALUE"""),"")</f>
        <v/>
      </c>
      <c r="M3473" s="9" t="str">
        <f>IFERROR(__xludf.DUMMYFUNCTION("""COMPUTED_VALUE"""),"")</f>
        <v/>
      </c>
      <c r="N3473" s="9" t="str">
        <f>IFERROR(__xludf.DUMMYFUNCTION("""COMPUTED_VALUE"""),"")</f>
        <v/>
      </c>
      <c r="O3473" s="9" t="str">
        <f>IFERROR(__xludf.DUMMYFUNCTION("""COMPUTED_VALUE"""),"")</f>
        <v/>
      </c>
      <c r="P3473" s="9" t="str">
        <f>IFERROR(__xludf.DUMMYFUNCTION("""COMPUTED_VALUE"""),"")</f>
        <v/>
      </c>
      <c r="Q3473" s="9" t="str">
        <f>IFERROR(__xludf.DUMMYFUNCTION("""COMPUTED_VALUE"""),"")</f>
        <v/>
      </c>
      <c r="R3473" s="9" t="str">
        <f>IFERROR(__xludf.DUMMYFUNCTION("""COMPUTED_VALUE"""),"")</f>
        <v/>
      </c>
      <c r="S3473" s="42"/>
      <c r="T3473" s="42" t="str">
        <f>IFERROR(__xludf.DUMMYFUNCTION("""COMPUTED_VALUE"""),"muscle")</f>
        <v>muscle</v>
      </c>
      <c r="U3473" s="42" t="b">
        <f>IFERROR(__xludf.DUMMYFUNCTION("""COMPUTED_VALUE"""),FALSE)</f>
        <v>0</v>
      </c>
      <c r="V3473" s="42"/>
      <c r="W3473" s="42"/>
      <c r="X3473" s="42"/>
      <c r="Y3473" s="42"/>
      <c r="Z3473" s="42"/>
      <c r="AA3473" s="42"/>
      <c r="AB3473" s="42" t="str">
        <f>IFERROR(__xludf.DUMMYFUNCTION("""COMPUTED_VALUE"""),"UBERON")</f>
        <v>UBERON</v>
      </c>
      <c r="AC3473" s="42" t="str">
        <f>IFERROR(__xludf.DUMMYFUNCTION("""COMPUTED_VALUE"""),"YT20Oculomotor")</f>
        <v>YT20Oculomotor</v>
      </c>
      <c r="AD3473" s="42"/>
      <c r="AE3473" s="42"/>
      <c r="AF3473" s="9"/>
      <c r="AG3473" s="9"/>
      <c r="AH3473" s="42"/>
      <c r="AI3473" s="42"/>
      <c r="AJ3473" s="42"/>
      <c r="AK3473" s="42"/>
      <c r="AL3473" s="42"/>
      <c r="AM3473" s="42"/>
      <c r="AN3473" s="42"/>
      <c r="AO3473" s="63" t="str">
        <f>IFERROR(__xludf.DUMMYFUNCTION("IF(ISBLANK(A3473),,IF(ISBLANK(S3473), A3473&amp;"";"", TEXTJOIN(CHAR(10), TRUE, A3473&amp;"";"", ARRAYFORMULA(VLOOKUP(SPLIT(S3473, "";"" &amp; CHAR(10)), $A:$AO, 41, FALSE)))))"),"0006323;")</f>
        <v>0006323;</v>
      </c>
      <c r="AP3473" s="89"/>
    </row>
    <row r="3474">
      <c r="A3474" s="151" t="str">
        <f>IFERROR(__xludf.DUMMYFUNCTION("""COMPUTED_VALUE"""),"A1")</f>
        <v>A1</v>
      </c>
      <c r="B3474" s="42" t="str">
        <f>IFERROR(__xludf.DUMMYFUNCTION("""COMPUTED_VALUE"""),"[Pitkänen, 2000]")</f>
        <v>[Pitkänen, 2000]</v>
      </c>
      <c r="C3474" s="42" t="str">
        <f>IFERROR(__xludf.DUMMYFUNCTION("""COMPUTED_VALUE"""),"A1 noradrenaline cells")</f>
        <v>A1 noradrenaline cells</v>
      </c>
      <c r="D3474" s="42" t="str">
        <f>IFERROR(__xludf.DUMMYFUNCTION("""COMPUTED_VALUE"""),"?")</f>
        <v>?</v>
      </c>
      <c r="E3474" s="39" t="str">
        <f>IFERROR(__xludf.DUMMYFUNCTION("""COMPUTED_VALUE"""),"")</f>
        <v/>
      </c>
      <c r="F3474" s="9" t="str">
        <f>IFERROR(__xludf.DUMMYFUNCTION("""COMPUTED_VALUE"""),"")</f>
        <v/>
      </c>
      <c r="G3474" s="9" t="str">
        <f>IFERROR(__xludf.DUMMYFUNCTION("""COMPUTED_VALUE"""),"")</f>
        <v/>
      </c>
      <c r="H3474" s="9" t="str">
        <f>IFERROR(__xludf.DUMMYFUNCTION("""COMPUTED_VALUE"""),"")</f>
        <v/>
      </c>
      <c r="I3474" s="9" t="str">
        <f>IFERROR(__xludf.DUMMYFUNCTION("""COMPUTED_VALUE"""),"")</f>
        <v/>
      </c>
      <c r="J3474" s="9" t="str">
        <f>IFERROR(__xludf.DUMMYFUNCTION("""COMPUTED_VALUE"""),"")</f>
        <v/>
      </c>
      <c r="K3474" s="9" t="str">
        <f>IFERROR(__xludf.DUMMYFUNCTION("""COMPUTED_VALUE"""),"")</f>
        <v/>
      </c>
      <c r="L3474" s="9" t="str">
        <f>IFERROR(__xludf.DUMMYFUNCTION("""COMPUTED_VALUE"""),"")</f>
        <v/>
      </c>
      <c r="M3474" s="9" t="str">
        <f>IFERROR(__xludf.DUMMYFUNCTION("""COMPUTED_VALUE"""),"")</f>
        <v/>
      </c>
      <c r="N3474" s="9" t="str">
        <f>IFERROR(__xludf.DUMMYFUNCTION("""COMPUTED_VALUE"""),"")</f>
        <v/>
      </c>
      <c r="O3474" s="9" t="str">
        <f>IFERROR(__xludf.DUMMYFUNCTION("""COMPUTED_VALUE"""),"")</f>
        <v/>
      </c>
      <c r="P3474" s="9" t="str">
        <f>IFERROR(__xludf.DUMMYFUNCTION("""COMPUTED_VALUE"""),"")</f>
        <v/>
      </c>
      <c r="Q3474" s="9" t="str">
        <f>IFERROR(__xludf.DUMMYFUNCTION("""COMPUTED_VALUE"""),"")</f>
        <v/>
      </c>
      <c r="R3474" s="9" t="str">
        <f>IFERROR(__xludf.DUMMYFUNCTION("""COMPUTED_VALUE"""),"")</f>
        <v/>
      </c>
      <c r="S3474" s="42"/>
      <c r="T3474" s="42"/>
      <c r="U3474" s="42"/>
      <c r="V3474" s="42"/>
      <c r="W3474" s="42"/>
      <c r="X3474" s="42"/>
      <c r="Y3474" s="42"/>
      <c r="Z3474" s="42"/>
      <c r="AA3474" s="42"/>
      <c r="AB3474" s="42" t="str">
        <f>IFERROR(__xludf.DUMMYFUNCTION("""COMPUTED_VALUE"""),"Tatsuya Miyamoto")</f>
        <v>Tatsuya Miyamoto</v>
      </c>
      <c r="AC3474" s="42" t="str">
        <f>IFERROR(__xludf.DUMMYFUNCTION("""COMPUTED_VALUE"""),"TM21Amygdala")</f>
        <v>TM21Amygdala</v>
      </c>
      <c r="AD3474" s="42"/>
      <c r="AE3474" s="42"/>
      <c r="AF3474" s="9"/>
      <c r="AG3474" s="9"/>
      <c r="AH3474" s="42"/>
      <c r="AI3474" s="42"/>
      <c r="AJ3474" s="42"/>
      <c r="AK3474" s="42"/>
      <c r="AL3474" s="42"/>
      <c r="AM3474" s="42"/>
      <c r="AN3474" s="42"/>
      <c r="AO3474" s="63" t="str">
        <f>IFERROR(__xludf.DUMMYFUNCTION("IF(ISBLANK(A3474),,IF(ISBLANK(S3474), A3474&amp;"";"", TEXTJOIN(CHAR(10), TRUE, A3474&amp;"";"", ARRAYFORMULA(VLOOKUP(SPLIT(S3474, "";"" &amp; CHAR(10)), $A:$AO, 41, FALSE)))))"),"A1;")</f>
        <v>A1;</v>
      </c>
      <c r="AP3474" s="89"/>
    </row>
    <row r="3475">
      <c r="A3475" s="151" t="str">
        <f>IFERROR(__xludf.DUMMYFUNCTION("""COMPUTED_VALUE"""),"AC")</f>
        <v>AC</v>
      </c>
      <c r="B3475" s="42" t="str">
        <f>IFERROR(__xludf.DUMMYFUNCTION("""COMPUTED_VALUE"""),"[Pitkänen, 2000]")</f>
        <v>[Pitkänen, 2000]</v>
      </c>
      <c r="C3475" s="42" t="str">
        <f>IFERROR(__xludf.DUMMYFUNCTION("""COMPUTED_VALUE"""),"Dorsal anterior cingulate cortex")</f>
        <v>Dorsal anterior cingulate cortex</v>
      </c>
      <c r="D3475" s="42" t="str">
        <f>IFERROR(__xludf.DUMMYFUNCTION("""COMPUTED_VALUE"""),"?")</f>
        <v>?</v>
      </c>
      <c r="E3475" s="39" t="str">
        <f>IFERROR(__xludf.DUMMYFUNCTION("""COMPUTED_VALUE"""),"")</f>
        <v/>
      </c>
      <c r="F3475" s="9" t="str">
        <f>IFERROR(__xludf.DUMMYFUNCTION("""COMPUTED_VALUE"""),"")</f>
        <v/>
      </c>
      <c r="G3475" s="9" t="str">
        <f>IFERROR(__xludf.DUMMYFUNCTION("""COMPUTED_VALUE"""),"")</f>
        <v/>
      </c>
      <c r="H3475" s="9" t="str">
        <f>IFERROR(__xludf.DUMMYFUNCTION("""COMPUTED_VALUE"""),"")</f>
        <v/>
      </c>
      <c r="I3475" s="9" t="str">
        <f>IFERROR(__xludf.DUMMYFUNCTION("""COMPUTED_VALUE"""),"")</f>
        <v/>
      </c>
      <c r="J3475" s="9" t="str">
        <f>IFERROR(__xludf.DUMMYFUNCTION("""COMPUTED_VALUE"""),"")</f>
        <v/>
      </c>
      <c r="K3475" s="9" t="str">
        <f>IFERROR(__xludf.DUMMYFUNCTION("""COMPUTED_VALUE"""),"")</f>
        <v/>
      </c>
      <c r="L3475" s="9" t="str">
        <f>IFERROR(__xludf.DUMMYFUNCTION("""COMPUTED_VALUE"""),"")</f>
        <v/>
      </c>
      <c r="M3475" s="9" t="str">
        <f>IFERROR(__xludf.DUMMYFUNCTION("""COMPUTED_VALUE"""),"")</f>
        <v/>
      </c>
      <c r="N3475" s="9" t="str">
        <f>IFERROR(__xludf.DUMMYFUNCTION("""COMPUTED_VALUE"""),"")</f>
        <v/>
      </c>
      <c r="O3475" s="9" t="str">
        <f>IFERROR(__xludf.DUMMYFUNCTION("""COMPUTED_VALUE"""),"")</f>
        <v/>
      </c>
      <c r="P3475" s="9" t="str">
        <f>IFERROR(__xludf.DUMMYFUNCTION("""COMPUTED_VALUE"""),"")</f>
        <v/>
      </c>
      <c r="Q3475" s="9" t="str">
        <f>IFERROR(__xludf.DUMMYFUNCTION("""COMPUTED_VALUE"""),"")</f>
        <v/>
      </c>
      <c r="R3475" s="9" t="str">
        <f>IFERROR(__xludf.DUMMYFUNCTION("""COMPUTED_VALUE"""),"")</f>
        <v/>
      </c>
      <c r="S3475" s="42"/>
      <c r="T3475" s="42"/>
      <c r="U3475" s="42"/>
      <c r="V3475" s="42"/>
      <c r="W3475" s="42"/>
      <c r="X3475" s="42"/>
      <c r="Y3475" s="42"/>
      <c r="Z3475" s="42"/>
      <c r="AA3475" s="42"/>
      <c r="AB3475" s="42" t="str">
        <f>IFERROR(__xludf.DUMMYFUNCTION("""COMPUTED_VALUE"""),"Tatsuya Miyamoto")</f>
        <v>Tatsuya Miyamoto</v>
      </c>
      <c r="AC3475" s="42" t="str">
        <f>IFERROR(__xludf.DUMMYFUNCTION("""COMPUTED_VALUE"""),"TM21Amygdala")</f>
        <v>TM21Amygdala</v>
      </c>
      <c r="AD3475" s="42"/>
      <c r="AE3475" s="42"/>
      <c r="AF3475" s="9"/>
      <c r="AG3475" s="9"/>
      <c r="AH3475" s="42"/>
      <c r="AI3475" s="42"/>
      <c r="AJ3475" s="42"/>
      <c r="AK3475" s="42"/>
      <c r="AL3475" s="42"/>
      <c r="AM3475" s="42"/>
      <c r="AN3475" s="42"/>
      <c r="AO3475" s="63" t="str">
        <f>IFERROR(__xludf.DUMMYFUNCTION("IF(ISBLANK(A3475),,IF(ISBLANK(S3475), A3475&amp;"";"", TEXTJOIN(CHAR(10), TRUE, A3475&amp;"";"", ARRAYFORMULA(VLOOKUP(SPLIT(S3475, "";"" &amp; CHAR(10)), $A:$AO, 41, FALSE)))))"),"AC;")</f>
        <v>AC;</v>
      </c>
      <c r="AP3475" s="89"/>
    </row>
    <row r="3476">
      <c r="A3476" s="151" t="str">
        <f>IFERROR(__xludf.DUMMYFUNCTION("""COMPUTED_VALUE"""),"AId")</f>
        <v>AId</v>
      </c>
      <c r="B3476" s="42" t="str">
        <f>IFERROR(__xludf.DUMMYFUNCTION("""COMPUTED_VALUE"""),"[Pitkänen, 2000]")</f>
        <v>[Pitkänen, 2000]</v>
      </c>
      <c r="C3476" s="42" t="str">
        <f>IFERROR(__xludf.DUMMYFUNCTION("""COMPUTED_VALUE"""),"Dorsal agranular insular cortex")</f>
        <v>Dorsal agranular insular cortex</v>
      </c>
      <c r="D3476" s="42" t="str">
        <f>IFERROR(__xludf.DUMMYFUNCTION("""COMPUTED_VALUE"""),"?")</f>
        <v>?</v>
      </c>
      <c r="E3476" s="39" t="str">
        <f>IFERROR(__xludf.DUMMYFUNCTION("""COMPUTED_VALUE"""),"")</f>
        <v/>
      </c>
      <c r="F3476" s="9" t="str">
        <f>IFERROR(__xludf.DUMMYFUNCTION("""COMPUTED_VALUE"""),"")</f>
        <v/>
      </c>
      <c r="G3476" s="9" t="str">
        <f>IFERROR(__xludf.DUMMYFUNCTION("""COMPUTED_VALUE"""),"")</f>
        <v/>
      </c>
      <c r="H3476" s="9" t="str">
        <f>IFERROR(__xludf.DUMMYFUNCTION("""COMPUTED_VALUE"""),"")</f>
        <v/>
      </c>
      <c r="I3476" s="9" t="str">
        <f>IFERROR(__xludf.DUMMYFUNCTION("""COMPUTED_VALUE"""),"")</f>
        <v/>
      </c>
      <c r="J3476" s="9" t="str">
        <f>IFERROR(__xludf.DUMMYFUNCTION("""COMPUTED_VALUE"""),"")</f>
        <v/>
      </c>
      <c r="K3476" s="9" t="str">
        <f>IFERROR(__xludf.DUMMYFUNCTION("""COMPUTED_VALUE"""),"")</f>
        <v/>
      </c>
      <c r="L3476" s="9" t="str">
        <f>IFERROR(__xludf.DUMMYFUNCTION("""COMPUTED_VALUE"""),"")</f>
        <v/>
      </c>
      <c r="M3476" s="9" t="str">
        <f>IFERROR(__xludf.DUMMYFUNCTION("""COMPUTED_VALUE"""),"")</f>
        <v/>
      </c>
      <c r="N3476" s="9" t="str">
        <f>IFERROR(__xludf.DUMMYFUNCTION("""COMPUTED_VALUE"""),"")</f>
        <v/>
      </c>
      <c r="O3476" s="9" t="str">
        <f>IFERROR(__xludf.DUMMYFUNCTION("""COMPUTED_VALUE"""),"")</f>
        <v/>
      </c>
      <c r="P3476" s="9" t="str">
        <f>IFERROR(__xludf.DUMMYFUNCTION("""COMPUTED_VALUE"""),"")</f>
        <v/>
      </c>
      <c r="Q3476" s="9" t="str">
        <f>IFERROR(__xludf.DUMMYFUNCTION("""COMPUTED_VALUE"""),"")</f>
        <v/>
      </c>
      <c r="R3476" s="9" t="str">
        <f>IFERROR(__xludf.DUMMYFUNCTION("""COMPUTED_VALUE"""),"")</f>
        <v/>
      </c>
      <c r="S3476" s="42"/>
      <c r="T3476" s="42"/>
      <c r="U3476" s="42"/>
      <c r="V3476" s="42"/>
      <c r="W3476" s="42"/>
      <c r="X3476" s="42"/>
      <c r="Y3476" s="42"/>
      <c r="Z3476" s="42"/>
      <c r="AA3476" s="42"/>
      <c r="AB3476" s="42" t="str">
        <f>IFERROR(__xludf.DUMMYFUNCTION("""COMPUTED_VALUE"""),"Tatsuya Miyamoto")</f>
        <v>Tatsuya Miyamoto</v>
      </c>
      <c r="AC3476" s="42" t="str">
        <f>IFERROR(__xludf.DUMMYFUNCTION("""COMPUTED_VALUE"""),"TM21Amygdala")</f>
        <v>TM21Amygdala</v>
      </c>
      <c r="AD3476" s="42"/>
      <c r="AE3476" s="42"/>
      <c r="AF3476" s="9"/>
      <c r="AG3476" s="9"/>
      <c r="AH3476" s="42"/>
      <c r="AI3476" s="42"/>
      <c r="AJ3476" s="42"/>
      <c r="AK3476" s="42"/>
      <c r="AL3476" s="42"/>
      <c r="AM3476" s="42"/>
      <c r="AN3476" s="42"/>
      <c r="AO3476" s="63" t="str">
        <f>IFERROR(__xludf.DUMMYFUNCTION("IF(ISBLANK(A3476),,IF(ISBLANK(S3476), A3476&amp;"";"", TEXTJOIN(CHAR(10), TRUE, A3476&amp;"";"", ARRAYFORMULA(VLOOKUP(SPLIT(S3476, "";"" &amp; CHAR(10)), $A:$AO, 41, FALSE)))))"),"AId;")</f>
        <v>AId;</v>
      </c>
      <c r="AP3476" s="89"/>
    </row>
    <row r="3477">
      <c r="A3477" s="151" t="str">
        <f>IFERROR(__xludf.DUMMYFUNCTION("""COMPUTED_VALUE"""),"AIp")</f>
        <v>AIp</v>
      </c>
      <c r="B3477" s="42" t="str">
        <f>IFERROR(__xludf.DUMMYFUNCTION("""COMPUTED_VALUE"""),"[Pitkänen, 2000]")</f>
        <v>[Pitkänen, 2000]</v>
      </c>
      <c r="C3477" s="42" t="str">
        <f>IFERROR(__xludf.DUMMYFUNCTION("""COMPUTED_VALUE"""),"Posterior agranular insular cortex")</f>
        <v>Posterior agranular insular cortex</v>
      </c>
      <c r="D3477" s="42" t="str">
        <f>IFERROR(__xludf.DUMMYFUNCTION("""COMPUTED_VALUE"""),"?")</f>
        <v>?</v>
      </c>
      <c r="E3477" s="39" t="str">
        <f>IFERROR(__xludf.DUMMYFUNCTION("""COMPUTED_VALUE"""),"")</f>
        <v/>
      </c>
      <c r="F3477" s="9" t="str">
        <f>IFERROR(__xludf.DUMMYFUNCTION("""COMPUTED_VALUE"""),"")</f>
        <v/>
      </c>
      <c r="G3477" s="9" t="str">
        <f>IFERROR(__xludf.DUMMYFUNCTION("""COMPUTED_VALUE"""),"")</f>
        <v/>
      </c>
      <c r="H3477" s="9" t="str">
        <f>IFERROR(__xludf.DUMMYFUNCTION("""COMPUTED_VALUE"""),"")</f>
        <v/>
      </c>
      <c r="I3477" s="9" t="str">
        <f>IFERROR(__xludf.DUMMYFUNCTION("""COMPUTED_VALUE"""),"")</f>
        <v/>
      </c>
      <c r="J3477" s="9" t="str">
        <f>IFERROR(__xludf.DUMMYFUNCTION("""COMPUTED_VALUE"""),"")</f>
        <v/>
      </c>
      <c r="K3477" s="9" t="str">
        <f>IFERROR(__xludf.DUMMYFUNCTION("""COMPUTED_VALUE"""),"")</f>
        <v/>
      </c>
      <c r="L3477" s="9" t="str">
        <f>IFERROR(__xludf.DUMMYFUNCTION("""COMPUTED_VALUE"""),"")</f>
        <v/>
      </c>
      <c r="M3477" s="9" t="str">
        <f>IFERROR(__xludf.DUMMYFUNCTION("""COMPUTED_VALUE"""),"")</f>
        <v/>
      </c>
      <c r="N3477" s="9" t="str">
        <f>IFERROR(__xludf.DUMMYFUNCTION("""COMPUTED_VALUE"""),"")</f>
        <v/>
      </c>
      <c r="O3477" s="9" t="str">
        <f>IFERROR(__xludf.DUMMYFUNCTION("""COMPUTED_VALUE"""),"")</f>
        <v/>
      </c>
      <c r="P3477" s="9" t="str">
        <f>IFERROR(__xludf.DUMMYFUNCTION("""COMPUTED_VALUE"""),"")</f>
        <v/>
      </c>
      <c r="Q3477" s="9" t="str">
        <f>IFERROR(__xludf.DUMMYFUNCTION("""COMPUTED_VALUE"""),"")</f>
        <v/>
      </c>
      <c r="R3477" s="9" t="str">
        <f>IFERROR(__xludf.DUMMYFUNCTION("""COMPUTED_VALUE"""),"")</f>
        <v/>
      </c>
      <c r="S3477" s="42"/>
      <c r="T3477" s="42"/>
      <c r="U3477" s="159"/>
      <c r="V3477" s="42"/>
      <c r="W3477" s="42"/>
      <c r="X3477" s="42"/>
      <c r="Y3477" s="42"/>
      <c r="Z3477" s="42"/>
      <c r="AA3477" s="42"/>
      <c r="AB3477" s="42" t="str">
        <f>IFERROR(__xludf.DUMMYFUNCTION("""COMPUTED_VALUE"""),"Tatsuya Miyamoto")</f>
        <v>Tatsuya Miyamoto</v>
      </c>
      <c r="AC3477" s="42" t="str">
        <f>IFERROR(__xludf.DUMMYFUNCTION("""COMPUTED_VALUE"""),"TM21Amygdala")</f>
        <v>TM21Amygdala</v>
      </c>
      <c r="AD3477" s="42"/>
      <c r="AE3477" s="42"/>
      <c r="AF3477" s="9"/>
      <c r="AG3477" s="9"/>
      <c r="AH3477" s="42"/>
      <c r="AI3477" s="42"/>
      <c r="AJ3477" s="42"/>
      <c r="AK3477" s="42"/>
      <c r="AL3477" s="42"/>
      <c r="AM3477" s="42"/>
      <c r="AN3477" s="42"/>
      <c r="AO3477" s="63" t="str">
        <f>IFERROR(__xludf.DUMMYFUNCTION("IF(ISBLANK(A3477),,IF(ISBLANK(S3477), A3477&amp;"";"", TEXTJOIN(CHAR(10), TRUE, A3477&amp;"";"", ARRAYFORMULA(VLOOKUP(SPLIT(S3477, "";"" &amp; CHAR(10)), $A:$AO, 41, FALSE)))))"),"AIp;")</f>
        <v>AIp;</v>
      </c>
      <c r="AP3477" s="89"/>
    </row>
    <row r="3478">
      <c r="A3478" s="151" t="str">
        <f>IFERROR(__xludf.DUMMYFUNCTION("""COMPUTED_VALUE"""),"AIv")</f>
        <v>AIv</v>
      </c>
      <c r="B3478" s="42" t="str">
        <f>IFERROR(__xludf.DUMMYFUNCTION("""COMPUTED_VALUE"""),"[Pitkänen, 2000]")</f>
        <v>[Pitkänen, 2000]</v>
      </c>
      <c r="C3478" s="42" t="str">
        <f>IFERROR(__xludf.DUMMYFUNCTION("""COMPUTED_VALUE"""),"Ventral agranular insular cortex")</f>
        <v>Ventral agranular insular cortex</v>
      </c>
      <c r="D3478" s="42" t="str">
        <f>IFERROR(__xludf.DUMMYFUNCTION("""COMPUTED_VALUE"""),"?")</f>
        <v>?</v>
      </c>
      <c r="E3478" s="39" t="str">
        <f>IFERROR(__xludf.DUMMYFUNCTION("""COMPUTED_VALUE"""),"")</f>
        <v/>
      </c>
      <c r="F3478" s="9" t="str">
        <f>IFERROR(__xludf.DUMMYFUNCTION("""COMPUTED_VALUE"""),"")</f>
        <v/>
      </c>
      <c r="G3478" s="9" t="str">
        <f>IFERROR(__xludf.DUMMYFUNCTION("""COMPUTED_VALUE"""),"")</f>
        <v/>
      </c>
      <c r="H3478" s="9" t="str">
        <f>IFERROR(__xludf.DUMMYFUNCTION("""COMPUTED_VALUE"""),"")</f>
        <v/>
      </c>
      <c r="I3478" s="9" t="str">
        <f>IFERROR(__xludf.DUMMYFUNCTION("""COMPUTED_VALUE"""),"")</f>
        <v/>
      </c>
      <c r="J3478" s="9" t="str">
        <f>IFERROR(__xludf.DUMMYFUNCTION("""COMPUTED_VALUE"""),"")</f>
        <v/>
      </c>
      <c r="K3478" s="9" t="str">
        <f>IFERROR(__xludf.DUMMYFUNCTION("""COMPUTED_VALUE"""),"")</f>
        <v/>
      </c>
      <c r="L3478" s="9" t="str">
        <f>IFERROR(__xludf.DUMMYFUNCTION("""COMPUTED_VALUE"""),"")</f>
        <v/>
      </c>
      <c r="M3478" s="9" t="str">
        <f>IFERROR(__xludf.DUMMYFUNCTION("""COMPUTED_VALUE"""),"")</f>
        <v/>
      </c>
      <c r="N3478" s="9" t="str">
        <f>IFERROR(__xludf.DUMMYFUNCTION("""COMPUTED_VALUE"""),"")</f>
        <v/>
      </c>
      <c r="O3478" s="9" t="str">
        <f>IFERROR(__xludf.DUMMYFUNCTION("""COMPUTED_VALUE"""),"")</f>
        <v/>
      </c>
      <c r="P3478" s="9" t="str">
        <f>IFERROR(__xludf.DUMMYFUNCTION("""COMPUTED_VALUE"""),"")</f>
        <v/>
      </c>
      <c r="Q3478" s="9" t="str">
        <f>IFERROR(__xludf.DUMMYFUNCTION("""COMPUTED_VALUE"""),"")</f>
        <v/>
      </c>
      <c r="R3478" s="9" t="str">
        <f>IFERROR(__xludf.DUMMYFUNCTION("""COMPUTED_VALUE"""),"")</f>
        <v/>
      </c>
      <c r="S3478" s="42"/>
      <c r="T3478" s="42"/>
      <c r="U3478" s="42"/>
      <c r="V3478" s="42"/>
      <c r="W3478" s="42"/>
      <c r="X3478" s="42"/>
      <c r="Y3478" s="42"/>
      <c r="Z3478" s="42"/>
      <c r="AA3478" s="42"/>
      <c r="AB3478" s="42" t="str">
        <f>IFERROR(__xludf.DUMMYFUNCTION("""COMPUTED_VALUE"""),"Tatsuya Miyamoto")</f>
        <v>Tatsuya Miyamoto</v>
      </c>
      <c r="AC3478" s="42" t="str">
        <f>IFERROR(__xludf.DUMMYFUNCTION("""COMPUTED_VALUE"""),"TM21Amygdala")</f>
        <v>TM21Amygdala</v>
      </c>
      <c r="AD3478" s="42"/>
      <c r="AE3478" s="42"/>
      <c r="AF3478" s="9"/>
      <c r="AG3478" s="9"/>
      <c r="AH3478" s="42"/>
      <c r="AI3478" s="42"/>
      <c r="AJ3478" s="42"/>
      <c r="AK3478" s="42"/>
      <c r="AL3478" s="42"/>
      <c r="AM3478" s="42"/>
      <c r="AN3478" s="42"/>
      <c r="AO3478" s="63" t="str">
        <f>IFERROR(__xludf.DUMMYFUNCTION("IF(ISBLANK(A3478),,IF(ISBLANK(S3478), A3478&amp;"";"", TEXTJOIN(CHAR(10), TRUE, A3478&amp;"";"", ARRAYFORMULA(VLOOKUP(SPLIT(S3478, "";"" &amp; CHAR(10)), $A:$AO, 41, FALSE)))))"),"AIv;")</f>
        <v>AIv;</v>
      </c>
      <c r="AP3478" s="89"/>
    </row>
    <row r="3479">
      <c r="A3479" s="151" t="str">
        <f>IFERROR(__xludf.DUMMYFUNCTION("""COMPUTED_VALUE"""),"AOB")</f>
        <v>AOB</v>
      </c>
      <c r="B3479" s="42" t="str">
        <f>IFERROR(__xludf.DUMMYFUNCTION("""COMPUTED_VALUE"""),"[Pitkänen, 2000]")</f>
        <v>[Pitkänen, 2000]</v>
      </c>
      <c r="C3479" s="42" t="str">
        <f>IFERROR(__xludf.DUMMYFUNCTION("""COMPUTED_VALUE"""),"Accessory olfactory bulb")</f>
        <v>Accessory olfactory bulb</v>
      </c>
      <c r="D3479" s="42" t="str">
        <f>IFERROR(__xludf.DUMMYFUNCTION("""COMPUTED_VALUE"""),"?")</f>
        <v>?</v>
      </c>
      <c r="E3479" s="39" t="str">
        <f>IFERROR(__xludf.DUMMYFUNCTION("""COMPUTED_VALUE"""),"")</f>
        <v/>
      </c>
      <c r="F3479" s="9" t="str">
        <f>IFERROR(__xludf.DUMMYFUNCTION("""COMPUTED_VALUE"""),"")</f>
        <v/>
      </c>
      <c r="G3479" s="9" t="str">
        <f>IFERROR(__xludf.DUMMYFUNCTION("""COMPUTED_VALUE"""),"")</f>
        <v/>
      </c>
      <c r="H3479" s="9" t="str">
        <f>IFERROR(__xludf.DUMMYFUNCTION("""COMPUTED_VALUE"""),"")</f>
        <v/>
      </c>
      <c r="I3479" s="9" t="str">
        <f>IFERROR(__xludf.DUMMYFUNCTION("""COMPUTED_VALUE"""),"")</f>
        <v/>
      </c>
      <c r="J3479" s="9" t="str">
        <f>IFERROR(__xludf.DUMMYFUNCTION("""COMPUTED_VALUE"""),"")</f>
        <v/>
      </c>
      <c r="K3479" s="9" t="str">
        <f>IFERROR(__xludf.DUMMYFUNCTION("""COMPUTED_VALUE"""),"")</f>
        <v/>
      </c>
      <c r="L3479" s="9" t="str">
        <f>IFERROR(__xludf.DUMMYFUNCTION("""COMPUTED_VALUE"""),"")</f>
        <v/>
      </c>
      <c r="M3479" s="9" t="str">
        <f>IFERROR(__xludf.DUMMYFUNCTION("""COMPUTED_VALUE"""),"")</f>
        <v/>
      </c>
      <c r="N3479" s="9" t="str">
        <f>IFERROR(__xludf.DUMMYFUNCTION("""COMPUTED_VALUE"""),"")</f>
        <v/>
      </c>
      <c r="O3479" s="9" t="str">
        <f>IFERROR(__xludf.DUMMYFUNCTION("""COMPUTED_VALUE"""),"")</f>
        <v/>
      </c>
      <c r="P3479" s="9" t="str">
        <f>IFERROR(__xludf.DUMMYFUNCTION("""COMPUTED_VALUE"""),"")</f>
        <v/>
      </c>
      <c r="Q3479" s="9" t="str">
        <f>IFERROR(__xludf.DUMMYFUNCTION("""COMPUTED_VALUE"""),"")</f>
        <v/>
      </c>
      <c r="R3479" s="9" t="str">
        <f>IFERROR(__xludf.DUMMYFUNCTION("""COMPUTED_VALUE"""),"")</f>
        <v/>
      </c>
      <c r="S3479" s="42"/>
      <c r="T3479" s="42"/>
      <c r="U3479" s="42"/>
      <c r="V3479" s="42"/>
      <c r="W3479" s="42"/>
      <c r="X3479" s="42"/>
      <c r="Y3479" s="42"/>
      <c r="Z3479" s="42"/>
      <c r="AA3479" s="42"/>
      <c r="AB3479" s="42" t="str">
        <f>IFERROR(__xludf.DUMMYFUNCTION("""COMPUTED_VALUE"""),"Tatsuya Miyamoto")</f>
        <v>Tatsuya Miyamoto</v>
      </c>
      <c r="AC3479" s="42" t="str">
        <f>IFERROR(__xludf.DUMMYFUNCTION("""COMPUTED_VALUE"""),"TM21Amygdala")</f>
        <v>TM21Amygdala</v>
      </c>
      <c r="AD3479" s="42"/>
      <c r="AE3479" s="42"/>
      <c r="AF3479" s="9"/>
      <c r="AG3479" s="9"/>
      <c r="AH3479" s="42"/>
      <c r="AI3479" s="42"/>
      <c r="AJ3479" s="42"/>
      <c r="AK3479" s="42"/>
      <c r="AL3479" s="42"/>
      <c r="AM3479" s="42"/>
      <c r="AN3479" s="42"/>
      <c r="AO3479" s="63" t="str">
        <f>IFERROR(__xludf.DUMMYFUNCTION("IF(ISBLANK(A3479),,IF(ISBLANK(S3479), A3479&amp;"";"", TEXTJOIN(CHAR(10), TRUE, A3479&amp;"";"", ARRAYFORMULA(VLOOKUP(SPLIT(S3479, "";"" &amp; CHAR(10)), $A:$AO, 41, FALSE)))))"),"AOB;")</f>
        <v>AOB;</v>
      </c>
      <c r="AP3479" s="89"/>
    </row>
    <row r="3480">
      <c r="A3480" s="151" t="str">
        <f>IFERROR(__xludf.DUMMYFUNCTION("""COMPUTED_VALUE"""),"bPN")</f>
        <v>bPN</v>
      </c>
      <c r="B3480" s="42" t="str">
        <f>IFERROR(__xludf.DUMMYFUNCTION("""COMPUTED_VALUE"""),"[Pitkänen, 2000]")</f>
        <v>[Pitkänen, 2000]</v>
      </c>
      <c r="C3480" s="42" t="str">
        <f>IFERROR(__xludf.DUMMYFUNCTION("""COMPUTED_VALUE"""),"Basilar pontine nucleus")</f>
        <v>Basilar pontine nucleus</v>
      </c>
      <c r="D3480" s="42" t="str">
        <f>IFERROR(__xludf.DUMMYFUNCTION("""COMPUTED_VALUE"""),"?")</f>
        <v>?</v>
      </c>
      <c r="E3480" s="39" t="str">
        <f>IFERROR(__xludf.DUMMYFUNCTION("""COMPUTED_VALUE"""),"")</f>
        <v/>
      </c>
      <c r="F3480" s="9" t="str">
        <f>IFERROR(__xludf.DUMMYFUNCTION("""COMPUTED_VALUE"""),"")</f>
        <v/>
      </c>
      <c r="G3480" s="9" t="str">
        <f>IFERROR(__xludf.DUMMYFUNCTION("""COMPUTED_VALUE"""),"")</f>
        <v/>
      </c>
      <c r="H3480" s="9" t="str">
        <f>IFERROR(__xludf.DUMMYFUNCTION("""COMPUTED_VALUE"""),"")</f>
        <v/>
      </c>
      <c r="I3480" s="9" t="str">
        <f>IFERROR(__xludf.DUMMYFUNCTION("""COMPUTED_VALUE"""),"")</f>
        <v/>
      </c>
      <c r="J3480" s="9" t="str">
        <f>IFERROR(__xludf.DUMMYFUNCTION("""COMPUTED_VALUE"""),"")</f>
        <v/>
      </c>
      <c r="K3480" s="9" t="str">
        <f>IFERROR(__xludf.DUMMYFUNCTION("""COMPUTED_VALUE"""),"")</f>
        <v/>
      </c>
      <c r="L3480" s="9" t="str">
        <f>IFERROR(__xludf.DUMMYFUNCTION("""COMPUTED_VALUE"""),"")</f>
        <v/>
      </c>
      <c r="M3480" s="9" t="str">
        <f>IFERROR(__xludf.DUMMYFUNCTION("""COMPUTED_VALUE"""),"")</f>
        <v/>
      </c>
      <c r="N3480" s="9" t="str">
        <f>IFERROR(__xludf.DUMMYFUNCTION("""COMPUTED_VALUE"""),"")</f>
        <v/>
      </c>
      <c r="O3480" s="9" t="str">
        <f>IFERROR(__xludf.DUMMYFUNCTION("""COMPUTED_VALUE"""),"")</f>
        <v/>
      </c>
      <c r="P3480" s="9" t="str">
        <f>IFERROR(__xludf.DUMMYFUNCTION("""COMPUTED_VALUE"""),"")</f>
        <v/>
      </c>
      <c r="Q3480" s="9" t="str">
        <f>IFERROR(__xludf.DUMMYFUNCTION("""COMPUTED_VALUE"""),"")</f>
        <v/>
      </c>
      <c r="R3480" s="9" t="str">
        <f>IFERROR(__xludf.DUMMYFUNCTION("""COMPUTED_VALUE"""),"")</f>
        <v/>
      </c>
      <c r="S3480" s="42"/>
      <c r="T3480" s="42"/>
      <c r="U3480" s="42"/>
      <c r="V3480" s="42"/>
      <c r="W3480" s="42"/>
      <c r="X3480" s="42"/>
      <c r="Y3480" s="42"/>
      <c r="Z3480" s="42"/>
      <c r="AA3480" s="42"/>
      <c r="AB3480" s="42" t="str">
        <f>IFERROR(__xludf.DUMMYFUNCTION("""COMPUTED_VALUE"""),"Tatsuya Miyamoto")</f>
        <v>Tatsuya Miyamoto</v>
      </c>
      <c r="AC3480" s="42" t="str">
        <f>IFERROR(__xludf.DUMMYFUNCTION("""COMPUTED_VALUE"""),"TM21Amygdala")</f>
        <v>TM21Amygdala</v>
      </c>
      <c r="AD3480" s="42"/>
      <c r="AE3480" s="42"/>
      <c r="AF3480" s="9"/>
      <c r="AG3480" s="9"/>
      <c r="AH3480" s="42"/>
      <c r="AI3480" s="42"/>
      <c r="AJ3480" s="42"/>
      <c r="AK3480" s="42"/>
      <c r="AL3480" s="42"/>
      <c r="AM3480" s="42"/>
      <c r="AN3480" s="42"/>
      <c r="AO3480" s="63" t="str">
        <f>IFERROR(__xludf.DUMMYFUNCTION("IF(ISBLANK(A3480),,IF(ISBLANK(S3480), A3480&amp;"";"", TEXTJOIN(CHAR(10), TRUE, A3480&amp;"";"", ARRAYFORMULA(VLOOKUP(SPLIT(S3480, "";"" &amp; CHAR(10)), $A:$AO, 41, FALSE)))))"),"bPN;")</f>
        <v>bPN;</v>
      </c>
      <c r="AP3480" s="89"/>
    </row>
    <row r="3481">
      <c r="A3481" s="151" t="str">
        <f>IFERROR(__xludf.DUMMYFUNCTION("""COMPUTED_VALUE"""),"C1")</f>
        <v>C1</v>
      </c>
      <c r="B3481" s="42" t="str">
        <f>IFERROR(__xludf.DUMMYFUNCTION("""COMPUTED_VALUE"""),"[Pitkänen, 2000]")</f>
        <v>[Pitkänen, 2000]</v>
      </c>
      <c r="C3481" s="42" t="str">
        <f>IFERROR(__xludf.DUMMYFUNCTION("""COMPUTED_VALUE"""),"C1 adrenaline cells")</f>
        <v>C1 adrenaline cells</v>
      </c>
      <c r="D3481" s="42" t="str">
        <f>IFERROR(__xludf.DUMMYFUNCTION("""COMPUTED_VALUE"""),"?")</f>
        <v>?</v>
      </c>
      <c r="E3481" s="39" t="str">
        <f>IFERROR(__xludf.DUMMYFUNCTION("""COMPUTED_VALUE"""),"")</f>
        <v/>
      </c>
      <c r="F3481" s="9" t="str">
        <f>IFERROR(__xludf.DUMMYFUNCTION("""COMPUTED_VALUE"""),"")</f>
        <v/>
      </c>
      <c r="G3481" s="9" t="str">
        <f>IFERROR(__xludf.DUMMYFUNCTION("""COMPUTED_VALUE"""),"")</f>
        <v/>
      </c>
      <c r="H3481" s="9" t="str">
        <f>IFERROR(__xludf.DUMMYFUNCTION("""COMPUTED_VALUE"""),"")</f>
        <v/>
      </c>
      <c r="I3481" s="9" t="str">
        <f>IFERROR(__xludf.DUMMYFUNCTION("""COMPUTED_VALUE"""),"")</f>
        <v/>
      </c>
      <c r="J3481" s="9" t="str">
        <f>IFERROR(__xludf.DUMMYFUNCTION("""COMPUTED_VALUE"""),"")</f>
        <v/>
      </c>
      <c r="K3481" s="9" t="str">
        <f>IFERROR(__xludf.DUMMYFUNCTION("""COMPUTED_VALUE"""),"")</f>
        <v/>
      </c>
      <c r="L3481" s="9" t="str">
        <f>IFERROR(__xludf.DUMMYFUNCTION("""COMPUTED_VALUE"""),"")</f>
        <v/>
      </c>
      <c r="M3481" s="9" t="str">
        <f>IFERROR(__xludf.DUMMYFUNCTION("""COMPUTED_VALUE"""),"")</f>
        <v/>
      </c>
      <c r="N3481" s="9" t="str">
        <f>IFERROR(__xludf.DUMMYFUNCTION("""COMPUTED_VALUE"""),"")</f>
        <v/>
      </c>
      <c r="O3481" s="9" t="str">
        <f>IFERROR(__xludf.DUMMYFUNCTION("""COMPUTED_VALUE"""),"")</f>
        <v/>
      </c>
      <c r="P3481" s="9" t="str">
        <f>IFERROR(__xludf.DUMMYFUNCTION("""COMPUTED_VALUE"""),"")</f>
        <v/>
      </c>
      <c r="Q3481" s="9" t="str">
        <f>IFERROR(__xludf.DUMMYFUNCTION("""COMPUTED_VALUE"""),"")</f>
        <v/>
      </c>
      <c r="R3481" s="9" t="str">
        <f>IFERROR(__xludf.DUMMYFUNCTION("""COMPUTED_VALUE"""),"")</f>
        <v/>
      </c>
      <c r="S3481" s="42"/>
      <c r="T3481" s="42"/>
      <c r="U3481" s="42"/>
      <c r="V3481" s="42"/>
      <c r="W3481" s="42"/>
      <c r="X3481" s="42"/>
      <c r="Y3481" s="42"/>
      <c r="Z3481" s="42"/>
      <c r="AA3481" s="42"/>
      <c r="AB3481" s="42" t="str">
        <f>IFERROR(__xludf.DUMMYFUNCTION("""COMPUTED_VALUE"""),"Tatsuya Miyamoto")</f>
        <v>Tatsuya Miyamoto</v>
      </c>
      <c r="AC3481" s="42" t="str">
        <f>IFERROR(__xludf.DUMMYFUNCTION("""COMPUTED_VALUE"""),"TM21Amygdala")</f>
        <v>TM21Amygdala</v>
      </c>
      <c r="AD3481" s="42"/>
      <c r="AE3481" s="42"/>
      <c r="AF3481" s="9"/>
      <c r="AG3481" s="9"/>
      <c r="AH3481" s="42"/>
      <c r="AI3481" s="42"/>
      <c r="AJ3481" s="42"/>
      <c r="AK3481" s="42"/>
      <c r="AL3481" s="42"/>
      <c r="AM3481" s="42"/>
      <c r="AN3481" s="42"/>
      <c r="AO3481" s="63" t="str">
        <f>IFERROR(__xludf.DUMMYFUNCTION("IF(ISBLANK(A3481),,IF(ISBLANK(S3481), A3481&amp;"";"", TEXTJOIN(CHAR(10), TRUE, A3481&amp;"";"", ARRAYFORMULA(VLOOKUP(SPLIT(S3481, "";"" &amp; CHAR(10)), $A:$AO, 41, FALSE)))))"),"C1;")</f>
        <v>C1;</v>
      </c>
      <c r="AP3481" s="89"/>
    </row>
    <row r="3482">
      <c r="A3482" s="151" t="str">
        <f>IFERROR(__xludf.DUMMYFUNCTION("""COMPUTED_VALUE"""),"CS")</f>
        <v>CS</v>
      </c>
      <c r="B3482" s="42" t="str">
        <f>IFERROR(__xludf.DUMMYFUNCTION("""COMPUTED_VALUE"""),"[Pitkänen, 2000]")</f>
        <v>[Pitkänen, 2000]</v>
      </c>
      <c r="C3482" s="42" t="str">
        <f>IFERROR(__xludf.DUMMYFUNCTION("""COMPUTED_VALUE"""),"Nucleus centralis superior")</f>
        <v>Nucleus centralis superior</v>
      </c>
      <c r="D3482" s="42" t="str">
        <f>IFERROR(__xludf.DUMMYFUNCTION("""COMPUTED_VALUE"""),"?")</f>
        <v>?</v>
      </c>
      <c r="E3482" s="39" t="str">
        <f>IFERROR(__xludf.DUMMYFUNCTION("""COMPUTED_VALUE"""),"")</f>
        <v/>
      </c>
      <c r="F3482" s="9" t="str">
        <f>IFERROR(__xludf.DUMMYFUNCTION("""COMPUTED_VALUE"""),"")</f>
        <v/>
      </c>
      <c r="G3482" s="9" t="str">
        <f>IFERROR(__xludf.DUMMYFUNCTION("""COMPUTED_VALUE"""),"")</f>
        <v/>
      </c>
      <c r="H3482" s="9" t="str">
        <f>IFERROR(__xludf.DUMMYFUNCTION("""COMPUTED_VALUE"""),"")</f>
        <v/>
      </c>
      <c r="I3482" s="9" t="str">
        <f>IFERROR(__xludf.DUMMYFUNCTION("""COMPUTED_VALUE"""),"")</f>
        <v/>
      </c>
      <c r="J3482" s="9" t="str">
        <f>IFERROR(__xludf.DUMMYFUNCTION("""COMPUTED_VALUE"""),"")</f>
        <v/>
      </c>
      <c r="K3482" s="9" t="str">
        <f>IFERROR(__xludf.DUMMYFUNCTION("""COMPUTED_VALUE"""),"")</f>
        <v/>
      </c>
      <c r="L3482" s="9" t="str">
        <f>IFERROR(__xludf.DUMMYFUNCTION("""COMPUTED_VALUE"""),"")</f>
        <v/>
      </c>
      <c r="M3482" s="9" t="str">
        <f>IFERROR(__xludf.DUMMYFUNCTION("""COMPUTED_VALUE"""),"")</f>
        <v/>
      </c>
      <c r="N3482" s="9" t="str">
        <f>IFERROR(__xludf.DUMMYFUNCTION("""COMPUTED_VALUE"""),"")</f>
        <v/>
      </c>
      <c r="O3482" s="9" t="str">
        <f>IFERROR(__xludf.DUMMYFUNCTION("""COMPUTED_VALUE"""),"")</f>
        <v/>
      </c>
      <c r="P3482" s="9" t="str">
        <f>IFERROR(__xludf.DUMMYFUNCTION("""COMPUTED_VALUE"""),"")</f>
        <v/>
      </c>
      <c r="Q3482" s="9" t="str">
        <f>IFERROR(__xludf.DUMMYFUNCTION("""COMPUTED_VALUE"""),"")</f>
        <v/>
      </c>
      <c r="R3482" s="9" t="str">
        <f>IFERROR(__xludf.DUMMYFUNCTION("""COMPUTED_VALUE"""),"")</f>
        <v/>
      </c>
      <c r="S3482" s="42"/>
      <c r="T3482" s="42"/>
      <c r="U3482" s="159"/>
      <c r="V3482" s="42"/>
      <c r="W3482" s="42"/>
      <c r="X3482" s="42"/>
      <c r="Y3482" s="42"/>
      <c r="Z3482" s="42"/>
      <c r="AA3482" s="42"/>
      <c r="AB3482" s="42" t="str">
        <f>IFERROR(__xludf.DUMMYFUNCTION("""COMPUTED_VALUE"""),"Tatsuya Miyamoto")</f>
        <v>Tatsuya Miyamoto</v>
      </c>
      <c r="AC3482" s="42" t="str">
        <f>IFERROR(__xludf.DUMMYFUNCTION("""COMPUTED_VALUE"""),"TM21Amygdala")</f>
        <v>TM21Amygdala</v>
      </c>
      <c r="AD3482" s="42"/>
      <c r="AE3482" s="42"/>
      <c r="AF3482" s="9"/>
      <c r="AG3482" s="9"/>
      <c r="AH3482" s="42"/>
      <c r="AI3482" s="42"/>
      <c r="AJ3482" s="42"/>
      <c r="AK3482" s="42"/>
      <c r="AL3482" s="42"/>
      <c r="AM3482" s="42"/>
      <c r="AN3482" s="42"/>
      <c r="AO3482" s="63" t="str">
        <f>IFERROR(__xludf.DUMMYFUNCTION("IF(ISBLANK(A3482),,IF(ISBLANK(S3482), A3482&amp;"";"", TEXTJOIN(CHAR(10), TRUE, A3482&amp;"";"", ARRAYFORMULA(VLOOKUP(SPLIT(S3482, "";"" &amp; CHAR(10)), $A:$AO, 41, FALSE)))))"),"CS;")</f>
        <v>CS;</v>
      </c>
      <c r="AP3482" s="89"/>
    </row>
    <row r="3483">
      <c r="A3483" s="151" t="str">
        <f>IFERROR(__xludf.DUMMYFUNCTION("""COMPUTED_VALUE"""),"DIg")</f>
        <v>DIg</v>
      </c>
      <c r="B3483" s="42" t="str">
        <f>IFERROR(__xludf.DUMMYFUNCTION("""COMPUTED_VALUE"""),"[Pitkänen, 2000]")</f>
        <v>[Pitkänen, 2000]</v>
      </c>
      <c r="C3483" s="42" t="str">
        <f>IFERROR(__xludf.DUMMYFUNCTION("""COMPUTED_VALUE"""),"Gustatory dysgranular insular cortex")</f>
        <v>Gustatory dysgranular insular cortex</v>
      </c>
      <c r="D3483" s="42" t="str">
        <f>IFERROR(__xludf.DUMMYFUNCTION("""COMPUTED_VALUE"""),"?")</f>
        <v>?</v>
      </c>
      <c r="E3483" s="39" t="str">
        <f>IFERROR(__xludf.DUMMYFUNCTION("""COMPUTED_VALUE"""),"")</f>
        <v/>
      </c>
      <c r="F3483" s="9" t="str">
        <f>IFERROR(__xludf.DUMMYFUNCTION("""COMPUTED_VALUE"""),"")</f>
        <v/>
      </c>
      <c r="G3483" s="9" t="str">
        <f>IFERROR(__xludf.DUMMYFUNCTION("""COMPUTED_VALUE"""),"")</f>
        <v/>
      </c>
      <c r="H3483" s="9" t="str">
        <f>IFERROR(__xludf.DUMMYFUNCTION("""COMPUTED_VALUE"""),"")</f>
        <v/>
      </c>
      <c r="I3483" s="9" t="str">
        <f>IFERROR(__xludf.DUMMYFUNCTION("""COMPUTED_VALUE"""),"")</f>
        <v/>
      </c>
      <c r="J3483" s="9" t="str">
        <f>IFERROR(__xludf.DUMMYFUNCTION("""COMPUTED_VALUE"""),"")</f>
        <v/>
      </c>
      <c r="K3483" s="9" t="str">
        <f>IFERROR(__xludf.DUMMYFUNCTION("""COMPUTED_VALUE"""),"")</f>
        <v/>
      </c>
      <c r="L3483" s="9" t="str">
        <f>IFERROR(__xludf.DUMMYFUNCTION("""COMPUTED_VALUE"""),"")</f>
        <v/>
      </c>
      <c r="M3483" s="9" t="str">
        <f>IFERROR(__xludf.DUMMYFUNCTION("""COMPUTED_VALUE"""),"")</f>
        <v/>
      </c>
      <c r="N3483" s="9" t="str">
        <f>IFERROR(__xludf.DUMMYFUNCTION("""COMPUTED_VALUE"""),"")</f>
        <v/>
      </c>
      <c r="O3483" s="9" t="str">
        <f>IFERROR(__xludf.DUMMYFUNCTION("""COMPUTED_VALUE"""),"")</f>
        <v/>
      </c>
      <c r="P3483" s="9" t="str">
        <f>IFERROR(__xludf.DUMMYFUNCTION("""COMPUTED_VALUE"""),"")</f>
        <v/>
      </c>
      <c r="Q3483" s="9" t="str">
        <f>IFERROR(__xludf.DUMMYFUNCTION("""COMPUTED_VALUE"""),"")</f>
        <v/>
      </c>
      <c r="R3483" s="9" t="str">
        <f>IFERROR(__xludf.DUMMYFUNCTION("""COMPUTED_VALUE"""),"")</f>
        <v/>
      </c>
      <c r="S3483" s="42"/>
      <c r="T3483" s="42"/>
      <c r="U3483" s="159"/>
      <c r="V3483" s="42"/>
      <c r="W3483" s="42"/>
      <c r="X3483" s="42"/>
      <c r="Y3483" s="42"/>
      <c r="Z3483" s="42"/>
      <c r="AA3483" s="42"/>
      <c r="AB3483" s="42" t="str">
        <f>IFERROR(__xludf.DUMMYFUNCTION("""COMPUTED_VALUE"""),"Tatsuya Miyamoto")</f>
        <v>Tatsuya Miyamoto</v>
      </c>
      <c r="AC3483" s="42" t="str">
        <f>IFERROR(__xludf.DUMMYFUNCTION("""COMPUTED_VALUE"""),"TM21Amygdala")</f>
        <v>TM21Amygdala</v>
      </c>
      <c r="AD3483" s="42"/>
      <c r="AE3483" s="42"/>
      <c r="AF3483" s="9"/>
      <c r="AG3483" s="9"/>
      <c r="AH3483" s="42"/>
      <c r="AI3483" s="42"/>
      <c r="AJ3483" s="42"/>
      <c r="AK3483" s="42"/>
      <c r="AL3483" s="42"/>
      <c r="AM3483" s="42"/>
      <c r="AN3483" s="42"/>
      <c r="AO3483" s="63" t="str">
        <f>IFERROR(__xludf.DUMMYFUNCTION("IF(ISBLANK(A3483),,IF(ISBLANK(S3483), A3483&amp;"";"", TEXTJOIN(CHAR(10), TRUE, A3483&amp;"";"", ARRAYFORMULA(VLOOKUP(SPLIT(S3483, "";"" &amp; CHAR(10)), $A:$AO, 41, FALSE)))))"),"DIg;")</f>
        <v>DIg;</v>
      </c>
      <c r="AP3483" s="89"/>
    </row>
    <row r="3484">
      <c r="A3484" s="151" t="str">
        <f>IFERROR(__xludf.DUMMYFUNCTION("""COMPUTED_VALUE"""),"DIv")</f>
        <v>DIv</v>
      </c>
      <c r="B3484" s="42" t="str">
        <f>IFERROR(__xludf.DUMMYFUNCTION("""COMPUTED_VALUE"""),"[Pitkänen, 2000]")</f>
        <v>[Pitkänen, 2000]</v>
      </c>
      <c r="C3484" s="42" t="str">
        <f>IFERROR(__xludf.DUMMYFUNCTION("""COMPUTED_VALUE"""),"Visceral dysgranular insular cortex")</f>
        <v>Visceral dysgranular insular cortex</v>
      </c>
      <c r="D3484" s="42" t="str">
        <f>IFERROR(__xludf.DUMMYFUNCTION("""COMPUTED_VALUE"""),"?")</f>
        <v>?</v>
      </c>
      <c r="E3484" s="39" t="str">
        <f>IFERROR(__xludf.DUMMYFUNCTION("""COMPUTED_VALUE"""),"")</f>
        <v/>
      </c>
      <c r="F3484" s="9" t="str">
        <f>IFERROR(__xludf.DUMMYFUNCTION("""COMPUTED_VALUE"""),"")</f>
        <v/>
      </c>
      <c r="G3484" s="9" t="str">
        <f>IFERROR(__xludf.DUMMYFUNCTION("""COMPUTED_VALUE"""),"")</f>
        <v/>
      </c>
      <c r="H3484" s="9" t="str">
        <f>IFERROR(__xludf.DUMMYFUNCTION("""COMPUTED_VALUE"""),"")</f>
        <v/>
      </c>
      <c r="I3484" s="9" t="str">
        <f>IFERROR(__xludf.DUMMYFUNCTION("""COMPUTED_VALUE"""),"")</f>
        <v/>
      </c>
      <c r="J3484" s="9" t="str">
        <f>IFERROR(__xludf.DUMMYFUNCTION("""COMPUTED_VALUE"""),"")</f>
        <v/>
      </c>
      <c r="K3484" s="9" t="str">
        <f>IFERROR(__xludf.DUMMYFUNCTION("""COMPUTED_VALUE"""),"")</f>
        <v/>
      </c>
      <c r="L3484" s="9" t="str">
        <f>IFERROR(__xludf.DUMMYFUNCTION("""COMPUTED_VALUE"""),"")</f>
        <v/>
      </c>
      <c r="M3484" s="9" t="str">
        <f>IFERROR(__xludf.DUMMYFUNCTION("""COMPUTED_VALUE"""),"")</f>
        <v/>
      </c>
      <c r="N3484" s="9" t="str">
        <f>IFERROR(__xludf.DUMMYFUNCTION("""COMPUTED_VALUE"""),"")</f>
        <v/>
      </c>
      <c r="O3484" s="9" t="str">
        <f>IFERROR(__xludf.DUMMYFUNCTION("""COMPUTED_VALUE"""),"")</f>
        <v/>
      </c>
      <c r="P3484" s="9" t="str">
        <f>IFERROR(__xludf.DUMMYFUNCTION("""COMPUTED_VALUE"""),"")</f>
        <v/>
      </c>
      <c r="Q3484" s="9" t="str">
        <f>IFERROR(__xludf.DUMMYFUNCTION("""COMPUTED_VALUE"""),"")</f>
        <v/>
      </c>
      <c r="R3484" s="9" t="str">
        <f>IFERROR(__xludf.DUMMYFUNCTION("""COMPUTED_VALUE"""),"")</f>
        <v/>
      </c>
      <c r="S3484" s="42"/>
      <c r="T3484" s="42"/>
      <c r="U3484" s="159"/>
      <c r="V3484" s="42"/>
      <c r="W3484" s="42"/>
      <c r="X3484" s="42"/>
      <c r="Y3484" s="42"/>
      <c r="Z3484" s="42"/>
      <c r="AA3484" s="42"/>
      <c r="AB3484" s="42" t="str">
        <f>IFERROR(__xludf.DUMMYFUNCTION("""COMPUTED_VALUE"""),"Tatsuya Miyamoto")</f>
        <v>Tatsuya Miyamoto</v>
      </c>
      <c r="AC3484" s="42" t="str">
        <f>IFERROR(__xludf.DUMMYFUNCTION("""COMPUTED_VALUE"""),"TM21Amygdala")</f>
        <v>TM21Amygdala</v>
      </c>
      <c r="AD3484" s="42"/>
      <c r="AE3484" s="42"/>
      <c r="AF3484" s="9"/>
      <c r="AG3484" s="9"/>
      <c r="AH3484" s="42"/>
      <c r="AI3484" s="42"/>
      <c r="AJ3484" s="42"/>
      <c r="AK3484" s="42"/>
      <c r="AL3484" s="42"/>
      <c r="AM3484" s="42"/>
      <c r="AN3484" s="42"/>
      <c r="AO3484" s="63" t="str">
        <f>IFERROR(__xludf.DUMMYFUNCTION("IF(ISBLANK(A3484),,IF(ISBLANK(S3484), A3484&amp;"";"", TEXTJOIN(CHAR(10), TRUE, A3484&amp;"";"", ARRAYFORMULA(VLOOKUP(SPLIT(S3484, "";"" &amp; CHAR(10)), $A:$AO, 41, FALSE)))))"),"DIv;")</f>
        <v>DIv;</v>
      </c>
      <c r="AP3484" s="89"/>
    </row>
    <row r="3485">
      <c r="A3485" s="151" t="str">
        <f>IFERROR(__xludf.DUMMYFUNCTION("""COMPUTED_VALUE"""),"DP")</f>
        <v>DP</v>
      </c>
      <c r="B3485" s="42" t="str">
        <f>IFERROR(__xludf.DUMMYFUNCTION("""COMPUTED_VALUE"""),"[Pitkänen, 2000]")</f>
        <v>[Pitkänen, 2000]</v>
      </c>
      <c r="C3485" s="42" t="str">
        <f>IFERROR(__xludf.DUMMYFUNCTION("""COMPUTED_VALUE"""),"Dorsal peduncular cortex")</f>
        <v>Dorsal peduncular cortex</v>
      </c>
      <c r="D3485" s="42" t="str">
        <f>IFERROR(__xludf.DUMMYFUNCTION("""COMPUTED_VALUE"""),"?")</f>
        <v>?</v>
      </c>
      <c r="E3485" s="39" t="str">
        <f>IFERROR(__xludf.DUMMYFUNCTION("""COMPUTED_VALUE"""),"")</f>
        <v/>
      </c>
      <c r="F3485" s="9" t="str">
        <f>IFERROR(__xludf.DUMMYFUNCTION("""COMPUTED_VALUE"""),"")</f>
        <v/>
      </c>
      <c r="G3485" s="9" t="str">
        <f>IFERROR(__xludf.DUMMYFUNCTION("""COMPUTED_VALUE"""),"")</f>
        <v/>
      </c>
      <c r="H3485" s="9" t="str">
        <f>IFERROR(__xludf.DUMMYFUNCTION("""COMPUTED_VALUE"""),"")</f>
        <v/>
      </c>
      <c r="I3485" s="9" t="str">
        <f>IFERROR(__xludf.DUMMYFUNCTION("""COMPUTED_VALUE"""),"")</f>
        <v/>
      </c>
      <c r="J3485" s="9" t="str">
        <f>IFERROR(__xludf.DUMMYFUNCTION("""COMPUTED_VALUE"""),"")</f>
        <v/>
      </c>
      <c r="K3485" s="9" t="str">
        <f>IFERROR(__xludf.DUMMYFUNCTION("""COMPUTED_VALUE"""),"")</f>
        <v/>
      </c>
      <c r="L3485" s="9" t="str">
        <f>IFERROR(__xludf.DUMMYFUNCTION("""COMPUTED_VALUE"""),"")</f>
        <v/>
      </c>
      <c r="M3485" s="9" t="str">
        <f>IFERROR(__xludf.DUMMYFUNCTION("""COMPUTED_VALUE"""),"")</f>
        <v/>
      </c>
      <c r="N3485" s="9" t="str">
        <f>IFERROR(__xludf.DUMMYFUNCTION("""COMPUTED_VALUE"""),"")</f>
        <v/>
      </c>
      <c r="O3485" s="9" t="str">
        <f>IFERROR(__xludf.DUMMYFUNCTION("""COMPUTED_VALUE"""),"")</f>
        <v/>
      </c>
      <c r="P3485" s="9" t="str">
        <f>IFERROR(__xludf.DUMMYFUNCTION("""COMPUTED_VALUE"""),"")</f>
        <v/>
      </c>
      <c r="Q3485" s="9" t="str">
        <f>IFERROR(__xludf.DUMMYFUNCTION("""COMPUTED_VALUE"""),"")</f>
        <v/>
      </c>
      <c r="R3485" s="9" t="str">
        <f>IFERROR(__xludf.DUMMYFUNCTION("""COMPUTED_VALUE"""),"")</f>
        <v/>
      </c>
      <c r="S3485" s="42"/>
      <c r="T3485" s="42"/>
      <c r="U3485" s="42"/>
      <c r="V3485" s="42"/>
      <c r="W3485" s="42"/>
      <c r="X3485" s="42"/>
      <c r="Y3485" s="42"/>
      <c r="Z3485" s="42"/>
      <c r="AA3485" s="42"/>
      <c r="AB3485" s="42" t="str">
        <f>IFERROR(__xludf.DUMMYFUNCTION("""COMPUTED_VALUE"""),"Tatsuya Miyamoto")</f>
        <v>Tatsuya Miyamoto</v>
      </c>
      <c r="AC3485" s="42" t="str">
        <f>IFERROR(__xludf.DUMMYFUNCTION("""COMPUTED_VALUE"""),"TM21Amygdala")</f>
        <v>TM21Amygdala</v>
      </c>
      <c r="AD3485" s="42"/>
      <c r="AE3485" s="42"/>
      <c r="AF3485" s="9"/>
      <c r="AG3485" s="9"/>
      <c r="AH3485" s="42"/>
      <c r="AI3485" s="42"/>
      <c r="AJ3485" s="42"/>
      <c r="AK3485" s="42"/>
      <c r="AL3485" s="42"/>
      <c r="AM3485" s="42"/>
      <c r="AN3485" s="42"/>
      <c r="AO3485" s="63" t="str">
        <f>IFERROR(__xludf.DUMMYFUNCTION("IF(ISBLANK(A3485),,IF(ISBLANK(S3485), A3485&amp;"";"", TEXTJOIN(CHAR(10), TRUE, A3485&amp;"";"", ARRAYFORMULA(VLOOKUP(SPLIT(S3485, "";"" &amp; CHAR(10)), $A:$AO, 41, FALSE)))))"),"DP;")</f>
        <v>DP;</v>
      </c>
      <c r="AP3485" s="89"/>
    </row>
    <row r="3486">
      <c r="A3486" s="151" t="str">
        <f>IFERROR(__xludf.DUMMYFUNCTION("""COMPUTED_VALUE"""),"IL")</f>
        <v>IL</v>
      </c>
      <c r="B3486" s="42" t="str">
        <f>IFERROR(__xludf.DUMMYFUNCTION("""COMPUTED_VALUE"""),"[Pitkänen, 2000]")</f>
        <v>[Pitkänen, 2000]</v>
      </c>
      <c r="C3486" s="42" t="str">
        <f>IFERROR(__xludf.DUMMYFUNCTION("""COMPUTED_VALUE"""),"Infralimbic cortex")</f>
        <v>Infralimbic cortex</v>
      </c>
      <c r="D3486" s="42" t="str">
        <f>IFERROR(__xludf.DUMMYFUNCTION("""COMPUTED_VALUE"""),"?")</f>
        <v>?</v>
      </c>
      <c r="E3486" s="39" t="str">
        <f>IFERROR(__xludf.DUMMYFUNCTION("""COMPUTED_VALUE"""),"")</f>
        <v/>
      </c>
      <c r="F3486" s="9" t="str">
        <f>IFERROR(__xludf.DUMMYFUNCTION("""COMPUTED_VALUE"""),"")</f>
        <v/>
      </c>
      <c r="G3486" s="9" t="str">
        <f>IFERROR(__xludf.DUMMYFUNCTION("""COMPUTED_VALUE"""),"")</f>
        <v/>
      </c>
      <c r="H3486" s="9" t="str">
        <f>IFERROR(__xludf.DUMMYFUNCTION("""COMPUTED_VALUE"""),"")</f>
        <v/>
      </c>
      <c r="I3486" s="9" t="str">
        <f>IFERROR(__xludf.DUMMYFUNCTION("""COMPUTED_VALUE"""),"")</f>
        <v/>
      </c>
      <c r="J3486" s="9" t="str">
        <f>IFERROR(__xludf.DUMMYFUNCTION("""COMPUTED_VALUE"""),"")</f>
        <v/>
      </c>
      <c r="K3486" s="9" t="str">
        <f>IFERROR(__xludf.DUMMYFUNCTION("""COMPUTED_VALUE"""),"")</f>
        <v/>
      </c>
      <c r="L3486" s="9" t="str">
        <f>IFERROR(__xludf.DUMMYFUNCTION("""COMPUTED_VALUE"""),"")</f>
        <v/>
      </c>
      <c r="M3486" s="9" t="str">
        <f>IFERROR(__xludf.DUMMYFUNCTION("""COMPUTED_VALUE"""),"")</f>
        <v/>
      </c>
      <c r="N3486" s="9" t="str">
        <f>IFERROR(__xludf.DUMMYFUNCTION("""COMPUTED_VALUE"""),"")</f>
        <v/>
      </c>
      <c r="O3486" s="9" t="str">
        <f>IFERROR(__xludf.DUMMYFUNCTION("""COMPUTED_VALUE"""),"")</f>
        <v/>
      </c>
      <c r="P3486" s="9" t="str">
        <f>IFERROR(__xludf.DUMMYFUNCTION("""COMPUTED_VALUE"""),"")</f>
        <v/>
      </c>
      <c r="Q3486" s="9" t="str">
        <f>IFERROR(__xludf.DUMMYFUNCTION("""COMPUTED_VALUE"""),"")</f>
        <v/>
      </c>
      <c r="R3486" s="9" t="str">
        <f>IFERROR(__xludf.DUMMYFUNCTION("""COMPUTED_VALUE"""),"")</f>
        <v/>
      </c>
      <c r="S3486" s="42"/>
      <c r="T3486" s="42"/>
      <c r="U3486" s="42"/>
      <c r="V3486" s="42"/>
      <c r="W3486" s="42"/>
      <c r="X3486" s="42"/>
      <c r="Y3486" s="42"/>
      <c r="Z3486" s="42"/>
      <c r="AA3486" s="42"/>
      <c r="AB3486" s="42" t="str">
        <f>IFERROR(__xludf.DUMMYFUNCTION("""COMPUTED_VALUE"""),"Tatsuya Miyamoto")</f>
        <v>Tatsuya Miyamoto</v>
      </c>
      <c r="AC3486" s="42" t="str">
        <f>IFERROR(__xludf.DUMMYFUNCTION("""COMPUTED_VALUE"""),"TM21Amygdala")</f>
        <v>TM21Amygdala</v>
      </c>
      <c r="AD3486" s="42"/>
      <c r="AE3486" s="42"/>
      <c r="AF3486" s="9"/>
      <c r="AG3486" s="9"/>
      <c r="AH3486" s="42"/>
      <c r="AI3486" s="42"/>
      <c r="AJ3486" s="42"/>
      <c r="AK3486" s="42"/>
      <c r="AL3486" s="42"/>
      <c r="AM3486" s="42"/>
      <c r="AN3486" s="42"/>
      <c r="AO3486" s="63" t="str">
        <f>IFERROR(__xludf.DUMMYFUNCTION("IF(ISBLANK(A3486),,IF(ISBLANK(S3486), A3486&amp;"";"", TEXTJOIN(CHAR(10), TRUE, A3486&amp;"";"", ARRAYFORMULA(VLOOKUP(SPLIT(S3486, "";"" &amp; CHAR(10)), $A:$AO, 41, FALSE)))))"),"IL;")</f>
        <v>IL;</v>
      </c>
      <c r="AP3486" s="89"/>
    </row>
    <row r="3487">
      <c r="A3487" s="151" t="str">
        <f>IFERROR(__xludf.DUMMYFUNCTION("""COMPUTED_VALUE"""),"LH")</f>
        <v>LH</v>
      </c>
      <c r="B3487" s="42" t="str">
        <f>IFERROR(__xludf.DUMMYFUNCTION("""COMPUTED_VALUE"""),"[Pitkänen, 2000]")</f>
        <v>[Pitkänen, 2000]</v>
      </c>
      <c r="C3487" s="42" t="str">
        <f>IFERROR(__xludf.DUMMYFUNCTION("""COMPUTED_VALUE"""),"Lateral hypothalamus")</f>
        <v>Lateral hypothalamus</v>
      </c>
      <c r="D3487" s="42" t="str">
        <f>IFERROR(__xludf.DUMMYFUNCTION("""COMPUTED_VALUE"""),"?")</f>
        <v>?</v>
      </c>
      <c r="E3487" s="39" t="str">
        <f>IFERROR(__xludf.DUMMYFUNCTION("""COMPUTED_VALUE"""),"")</f>
        <v/>
      </c>
      <c r="F3487" s="9" t="str">
        <f>IFERROR(__xludf.DUMMYFUNCTION("""COMPUTED_VALUE"""),"")</f>
        <v/>
      </c>
      <c r="G3487" s="9" t="str">
        <f>IFERROR(__xludf.DUMMYFUNCTION("""COMPUTED_VALUE"""),"")</f>
        <v/>
      </c>
      <c r="H3487" s="9" t="str">
        <f>IFERROR(__xludf.DUMMYFUNCTION("""COMPUTED_VALUE"""),"")</f>
        <v/>
      </c>
      <c r="I3487" s="9" t="str">
        <f>IFERROR(__xludf.DUMMYFUNCTION("""COMPUTED_VALUE"""),"")</f>
        <v/>
      </c>
      <c r="J3487" s="9" t="str">
        <f>IFERROR(__xludf.DUMMYFUNCTION("""COMPUTED_VALUE"""),"")</f>
        <v/>
      </c>
      <c r="K3487" s="9" t="str">
        <f>IFERROR(__xludf.DUMMYFUNCTION("""COMPUTED_VALUE"""),"")</f>
        <v/>
      </c>
      <c r="L3487" s="9" t="str">
        <f>IFERROR(__xludf.DUMMYFUNCTION("""COMPUTED_VALUE"""),"")</f>
        <v/>
      </c>
      <c r="M3487" s="9" t="str">
        <f>IFERROR(__xludf.DUMMYFUNCTION("""COMPUTED_VALUE"""),"")</f>
        <v/>
      </c>
      <c r="N3487" s="9" t="str">
        <f>IFERROR(__xludf.DUMMYFUNCTION("""COMPUTED_VALUE"""),"")</f>
        <v/>
      </c>
      <c r="O3487" s="9" t="str">
        <f>IFERROR(__xludf.DUMMYFUNCTION("""COMPUTED_VALUE"""),"")</f>
        <v/>
      </c>
      <c r="P3487" s="9" t="str">
        <f>IFERROR(__xludf.DUMMYFUNCTION("""COMPUTED_VALUE"""),"")</f>
        <v/>
      </c>
      <c r="Q3487" s="9" t="str">
        <f>IFERROR(__xludf.DUMMYFUNCTION("""COMPUTED_VALUE"""),"")</f>
        <v/>
      </c>
      <c r="R3487" s="9" t="str">
        <f>IFERROR(__xludf.DUMMYFUNCTION("""COMPUTED_VALUE"""),"")</f>
        <v/>
      </c>
      <c r="S3487" s="42"/>
      <c r="T3487" s="42"/>
      <c r="U3487" s="42"/>
      <c r="V3487" s="42"/>
      <c r="W3487" s="42"/>
      <c r="X3487" s="42"/>
      <c r="Y3487" s="42"/>
      <c r="Z3487" s="42"/>
      <c r="AA3487" s="42"/>
      <c r="AB3487" s="42" t="str">
        <f>IFERROR(__xludf.DUMMYFUNCTION("""COMPUTED_VALUE"""),"Tatsuya Miyamoto")</f>
        <v>Tatsuya Miyamoto</v>
      </c>
      <c r="AC3487" s="42" t="str">
        <f>IFERROR(__xludf.DUMMYFUNCTION("""COMPUTED_VALUE"""),"TM21Amygdala")</f>
        <v>TM21Amygdala</v>
      </c>
      <c r="AD3487" s="42"/>
      <c r="AE3487" s="42"/>
      <c r="AF3487" s="9"/>
      <c r="AG3487" s="9"/>
      <c r="AH3487" s="42"/>
      <c r="AI3487" s="42"/>
      <c r="AJ3487" s="42"/>
      <c r="AK3487" s="42"/>
      <c r="AL3487" s="42"/>
      <c r="AM3487" s="42"/>
      <c r="AN3487" s="42"/>
      <c r="AO3487" s="63" t="str">
        <f>IFERROR(__xludf.DUMMYFUNCTION("IF(ISBLANK(A3487),,IF(ISBLANK(S3487), A3487&amp;"";"", TEXTJOIN(CHAR(10), TRUE, A3487&amp;"";"", ARRAYFORMULA(VLOOKUP(SPLIT(S3487, "";"" &amp; CHAR(10)), $A:$AO, 41, FALSE)))))"),"LH;")</f>
        <v>LH;</v>
      </c>
      <c r="AP3487" s="89"/>
    </row>
    <row r="3488">
      <c r="A3488" s="151" t="str">
        <f>IFERROR(__xludf.DUMMYFUNCTION("""COMPUTED_VALUE"""),"LOC")</f>
        <v>LOC</v>
      </c>
      <c r="B3488" s="42" t="str">
        <f>IFERROR(__xludf.DUMMYFUNCTION("""COMPUTED_VALUE"""),"[Pitkänen, 2000]")</f>
        <v>[Pitkänen, 2000]</v>
      </c>
      <c r="C3488" s="42" t="str">
        <f>IFERROR(__xludf.DUMMYFUNCTION("""COMPUTED_VALUE"""),"Lateral orbital cortex")</f>
        <v>Lateral orbital cortex</v>
      </c>
      <c r="D3488" s="42" t="str">
        <f>IFERROR(__xludf.DUMMYFUNCTION("""COMPUTED_VALUE"""),"?")</f>
        <v>?</v>
      </c>
      <c r="E3488" s="39" t="str">
        <f>IFERROR(__xludf.DUMMYFUNCTION("""COMPUTED_VALUE"""),"")</f>
        <v/>
      </c>
      <c r="F3488" s="9" t="str">
        <f>IFERROR(__xludf.DUMMYFUNCTION("""COMPUTED_VALUE"""),"")</f>
        <v/>
      </c>
      <c r="G3488" s="9" t="str">
        <f>IFERROR(__xludf.DUMMYFUNCTION("""COMPUTED_VALUE"""),"")</f>
        <v/>
      </c>
      <c r="H3488" s="9" t="str">
        <f>IFERROR(__xludf.DUMMYFUNCTION("""COMPUTED_VALUE"""),"")</f>
        <v/>
      </c>
      <c r="I3488" s="9" t="str">
        <f>IFERROR(__xludf.DUMMYFUNCTION("""COMPUTED_VALUE"""),"")</f>
        <v/>
      </c>
      <c r="J3488" s="9" t="str">
        <f>IFERROR(__xludf.DUMMYFUNCTION("""COMPUTED_VALUE"""),"")</f>
        <v/>
      </c>
      <c r="K3488" s="9" t="str">
        <f>IFERROR(__xludf.DUMMYFUNCTION("""COMPUTED_VALUE"""),"")</f>
        <v/>
      </c>
      <c r="L3488" s="9" t="str">
        <f>IFERROR(__xludf.DUMMYFUNCTION("""COMPUTED_VALUE"""),"")</f>
        <v/>
      </c>
      <c r="M3488" s="9" t="str">
        <f>IFERROR(__xludf.DUMMYFUNCTION("""COMPUTED_VALUE"""),"")</f>
        <v/>
      </c>
      <c r="N3488" s="9" t="str">
        <f>IFERROR(__xludf.DUMMYFUNCTION("""COMPUTED_VALUE"""),"")</f>
        <v/>
      </c>
      <c r="O3488" s="9" t="str">
        <f>IFERROR(__xludf.DUMMYFUNCTION("""COMPUTED_VALUE"""),"")</f>
        <v/>
      </c>
      <c r="P3488" s="9" t="str">
        <f>IFERROR(__xludf.DUMMYFUNCTION("""COMPUTED_VALUE"""),"")</f>
        <v/>
      </c>
      <c r="Q3488" s="9" t="str">
        <f>IFERROR(__xludf.DUMMYFUNCTION("""COMPUTED_VALUE"""),"")</f>
        <v/>
      </c>
      <c r="R3488" s="9" t="str">
        <f>IFERROR(__xludf.DUMMYFUNCTION("""COMPUTED_VALUE"""),"")</f>
        <v/>
      </c>
      <c r="S3488" s="42"/>
      <c r="T3488" s="42"/>
      <c r="U3488" s="159"/>
      <c r="V3488" s="42"/>
      <c r="W3488" s="42"/>
      <c r="X3488" s="42"/>
      <c r="Y3488" s="42"/>
      <c r="Z3488" s="42"/>
      <c r="AA3488" s="42"/>
      <c r="AB3488" s="42" t="str">
        <f>IFERROR(__xludf.DUMMYFUNCTION("""COMPUTED_VALUE"""),"Tatsuya Miyamoto")</f>
        <v>Tatsuya Miyamoto</v>
      </c>
      <c r="AC3488" s="42" t="str">
        <f>IFERROR(__xludf.DUMMYFUNCTION("""COMPUTED_VALUE"""),"TM21Amygdala")</f>
        <v>TM21Amygdala</v>
      </c>
      <c r="AD3488" s="42"/>
      <c r="AE3488" s="42"/>
      <c r="AF3488" s="9"/>
      <c r="AG3488" s="9"/>
      <c r="AH3488" s="42"/>
      <c r="AI3488" s="42"/>
      <c r="AJ3488" s="42"/>
      <c r="AK3488" s="42"/>
      <c r="AL3488" s="42"/>
      <c r="AM3488" s="42"/>
      <c r="AN3488" s="42"/>
      <c r="AO3488" s="63" t="str">
        <f>IFERROR(__xludf.DUMMYFUNCTION("IF(ISBLANK(A3488),,IF(ISBLANK(S3488), A3488&amp;"";"", TEXTJOIN(CHAR(10), TRUE, A3488&amp;"";"", ARRAYFORMULA(VLOOKUP(SPLIT(S3488, "";"" &amp; CHAR(10)), $A:$AO, 41, FALSE)))))"),"LOC;")</f>
        <v>LOC;</v>
      </c>
      <c r="AP3488" s="89"/>
    </row>
    <row r="3489">
      <c r="A3489" s="151" t="str">
        <f>IFERROR(__xludf.DUMMYFUNCTION("""COMPUTED_VALUE"""),"LS")</f>
        <v>LS</v>
      </c>
      <c r="B3489" s="42" t="str">
        <f>IFERROR(__xludf.DUMMYFUNCTION("""COMPUTED_VALUE"""),"[Pitkänen, 2000]")</f>
        <v>[Pitkänen, 2000]</v>
      </c>
      <c r="C3489" s="42" t="str">
        <f>IFERROR(__xludf.DUMMYFUNCTION("""COMPUTED_VALUE"""),"Lateral septum")</f>
        <v>Lateral septum</v>
      </c>
      <c r="D3489" s="42" t="str">
        <f>IFERROR(__xludf.DUMMYFUNCTION("""COMPUTED_VALUE"""),"?")</f>
        <v>?</v>
      </c>
      <c r="E3489" s="39" t="str">
        <f>IFERROR(__xludf.DUMMYFUNCTION("""COMPUTED_VALUE"""),"")</f>
        <v/>
      </c>
      <c r="F3489" s="9" t="str">
        <f>IFERROR(__xludf.DUMMYFUNCTION("""COMPUTED_VALUE"""),"")</f>
        <v/>
      </c>
      <c r="G3489" s="9" t="str">
        <f>IFERROR(__xludf.DUMMYFUNCTION("""COMPUTED_VALUE"""),"")</f>
        <v/>
      </c>
      <c r="H3489" s="9" t="str">
        <f>IFERROR(__xludf.DUMMYFUNCTION("""COMPUTED_VALUE"""),"")</f>
        <v/>
      </c>
      <c r="I3489" s="9" t="str">
        <f>IFERROR(__xludf.DUMMYFUNCTION("""COMPUTED_VALUE"""),"")</f>
        <v/>
      </c>
      <c r="J3489" s="9" t="str">
        <f>IFERROR(__xludf.DUMMYFUNCTION("""COMPUTED_VALUE"""),"")</f>
        <v/>
      </c>
      <c r="K3489" s="9" t="str">
        <f>IFERROR(__xludf.DUMMYFUNCTION("""COMPUTED_VALUE"""),"")</f>
        <v/>
      </c>
      <c r="L3489" s="9" t="str">
        <f>IFERROR(__xludf.DUMMYFUNCTION("""COMPUTED_VALUE"""),"")</f>
        <v/>
      </c>
      <c r="M3489" s="9" t="str">
        <f>IFERROR(__xludf.DUMMYFUNCTION("""COMPUTED_VALUE"""),"")</f>
        <v/>
      </c>
      <c r="N3489" s="9" t="str">
        <f>IFERROR(__xludf.DUMMYFUNCTION("""COMPUTED_VALUE"""),"")</f>
        <v/>
      </c>
      <c r="O3489" s="9" t="str">
        <f>IFERROR(__xludf.DUMMYFUNCTION("""COMPUTED_VALUE"""),"")</f>
        <v/>
      </c>
      <c r="P3489" s="9" t="str">
        <f>IFERROR(__xludf.DUMMYFUNCTION("""COMPUTED_VALUE"""),"")</f>
        <v/>
      </c>
      <c r="Q3489" s="9" t="str">
        <f>IFERROR(__xludf.DUMMYFUNCTION("""COMPUTED_VALUE"""),"")</f>
        <v/>
      </c>
      <c r="R3489" s="9" t="str">
        <f>IFERROR(__xludf.DUMMYFUNCTION("""COMPUTED_VALUE"""),"")</f>
        <v/>
      </c>
      <c r="S3489" s="42"/>
      <c r="T3489" s="42"/>
      <c r="U3489" s="159"/>
      <c r="V3489" s="42"/>
      <c r="W3489" s="42"/>
      <c r="X3489" s="42"/>
      <c r="Y3489" s="42"/>
      <c r="Z3489" s="42"/>
      <c r="AA3489" s="42"/>
      <c r="AB3489" s="42" t="str">
        <f>IFERROR(__xludf.DUMMYFUNCTION("""COMPUTED_VALUE"""),"Tatsuya Miyamoto")</f>
        <v>Tatsuya Miyamoto</v>
      </c>
      <c r="AC3489" s="42" t="str">
        <f>IFERROR(__xludf.DUMMYFUNCTION("""COMPUTED_VALUE"""),"TM21Amygdala")</f>
        <v>TM21Amygdala</v>
      </c>
      <c r="AD3489" s="42"/>
      <c r="AE3489" s="42"/>
      <c r="AF3489" s="9"/>
      <c r="AG3489" s="9"/>
      <c r="AH3489" s="42"/>
      <c r="AI3489" s="42"/>
      <c r="AJ3489" s="42"/>
      <c r="AK3489" s="42"/>
      <c r="AL3489" s="42"/>
      <c r="AM3489" s="42"/>
      <c r="AN3489" s="42"/>
      <c r="AO3489" s="63" t="str">
        <f>IFERROR(__xludf.DUMMYFUNCTION("IF(ISBLANK(A3489),,IF(ISBLANK(S3489), A3489&amp;"";"", TEXTJOIN(CHAR(10), TRUE, A3489&amp;"";"", ARRAYFORMULA(VLOOKUP(SPLIT(S3489, "";"" &amp; CHAR(10)), $A:$AO, 41, FALSE)))))"),"LS;")</f>
        <v>LS;</v>
      </c>
      <c r="AP3489" s="89"/>
    </row>
    <row r="3490">
      <c r="A3490" s="151" t="str">
        <f>IFERROR(__xludf.DUMMYFUNCTION("""COMPUTED_VALUE"""),"MO")</f>
        <v>MO</v>
      </c>
      <c r="B3490" s="42" t="str">
        <f>IFERROR(__xludf.DUMMYFUNCTION("""COMPUTED_VALUE"""),"[Pitkänen, 2000]")</f>
        <v>[Pitkänen, 2000]</v>
      </c>
      <c r="C3490" s="42" t="str">
        <f>IFERROR(__xludf.DUMMYFUNCTION("""COMPUTED_VALUE"""),"Medial orbital cortex")</f>
        <v>Medial orbital cortex</v>
      </c>
      <c r="D3490" s="42" t="str">
        <f>IFERROR(__xludf.DUMMYFUNCTION("""COMPUTED_VALUE"""),"?")</f>
        <v>?</v>
      </c>
      <c r="E3490" s="39" t="str">
        <f>IFERROR(__xludf.DUMMYFUNCTION("""COMPUTED_VALUE"""),"")</f>
        <v/>
      </c>
      <c r="F3490" s="9" t="str">
        <f>IFERROR(__xludf.DUMMYFUNCTION("""COMPUTED_VALUE"""),"")</f>
        <v/>
      </c>
      <c r="G3490" s="9" t="str">
        <f>IFERROR(__xludf.DUMMYFUNCTION("""COMPUTED_VALUE"""),"")</f>
        <v/>
      </c>
      <c r="H3490" s="9" t="str">
        <f>IFERROR(__xludf.DUMMYFUNCTION("""COMPUTED_VALUE"""),"")</f>
        <v/>
      </c>
      <c r="I3490" s="9" t="str">
        <f>IFERROR(__xludf.DUMMYFUNCTION("""COMPUTED_VALUE"""),"")</f>
        <v/>
      </c>
      <c r="J3490" s="9" t="str">
        <f>IFERROR(__xludf.DUMMYFUNCTION("""COMPUTED_VALUE"""),"")</f>
        <v/>
      </c>
      <c r="K3490" s="9" t="str">
        <f>IFERROR(__xludf.DUMMYFUNCTION("""COMPUTED_VALUE"""),"")</f>
        <v/>
      </c>
      <c r="L3490" s="9" t="str">
        <f>IFERROR(__xludf.DUMMYFUNCTION("""COMPUTED_VALUE"""),"")</f>
        <v/>
      </c>
      <c r="M3490" s="9" t="str">
        <f>IFERROR(__xludf.DUMMYFUNCTION("""COMPUTED_VALUE"""),"")</f>
        <v/>
      </c>
      <c r="N3490" s="9" t="str">
        <f>IFERROR(__xludf.DUMMYFUNCTION("""COMPUTED_VALUE"""),"")</f>
        <v/>
      </c>
      <c r="O3490" s="9" t="str">
        <f>IFERROR(__xludf.DUMMYFUNCTION("""COMPUTED_VALUE"""),"")</f>
        <v/>
      </c>
      <c r="P3490" s="9" t="str">
        <f>IFERROR(__xludf.DUMMYFUNCTION("""COMPUTED_VALUE"""),"")</f>
        <v/>
      </c>
      <c r="Q3490" s="9" t="str">
        <f>IFERROR(__xludf.DUMMYFUNCTION("""COMPUTED_VALUE"""),"")</f>
        <v/>
      </c>
      <c r="R3490" s="9" t="str">
        <f>IFERROR(__xludf.DUMMYFUNCTION("""COMPUTED_VALUE"""),"")</f>
        <v/>
      </c>
      <c r="S3490" s="42"/>
      <c r="T3490" s="42"/>
      <c r="U3490" s="42"/>
      <c r="V3490" s="42"/>
      <c r="W3490" s="42"/>
      <c r="X3490" s="42"/>
      <c r="Y3490" s="42"/>
      <c r="Z3490" s="42"/>
      <c r="AA3490" s="42"/>
      <c r="AB3490" s="42" t="str">
        <f>IFERROR(__xludf.DUMMYFUNCTION("""COMPUTED_VALUE"""),"Tatsuya Miyamoto")</f>
        <v>Tatsuya Miyamoto</v>
      </c>
      <c r="AC3490" s="42" t="str">
        <f>IFERROR(__xludf.DUMMYFUNCTION("""COMPUTED_VALUE"""),"TM21Amygdala")</f>
        <v>TM21Amygdala</v>
      </c>
      <c r="AD3490" s="42"/>
      <c r="AE3490" s="42"/>
      <c r="AF3490" s="9"/>
      <c r="AG3490" s="9"/>
      <c r="AH3490" s="42"/>
      <c r="AI3490" s="42"/>
      <c r="AJ3490" s="42"/>
      <c r="AK3490" s="42"/>
      <c r="AL3490" s="42"/>
      <c r="AM3490" s="42"/>
      <c r="AN3490" s="42"/>
      <c r="AO3490" s="63" t="str">
        <f>IFERROR(__xludf.DUMMYFUNCTION("IF(ISBLANK(A3490),,IF(ISBLANK(S3490), A3490&amp;"";"", TEXTJOIN(CHAR(10), TRUE, A3490&amp;"";"", ARRAYFORMULA(VLOOKUP(SPLIT(S3490, "";"" &amp; CHAR(10)), $A:$AO, 41, FALSE)))))"),"MO;")</f>
        <v>MO;</v>
      </c>
      <c r="AP3490" s="89"/>
    </row>
    <row r="3491">
      <c r="A3491" s="151" t="str">
        <f>IFERROR(__xludf.DUMMYFUNCTION("""COMPUTED_VALUE"""),"MS")</f>
        <v>MS</v>
      </c>
      <c r="B3491" s="42" t="str">
        <f>IFERROR(__xludf.DUMMYFUNCTION("""COMPUTED_VALUE"""),"[Pitkänen, 2000]")</f>
        <v>[Pitkänen, 2000]</v>
      </c>
      <c r="C3491" s="42" t="str">
        <f>IFERROR(__xludf.DUMMYFUNCTION("""COMPUTED_VALUE"""),"Medial septum")</f>
        <v>Medial septum</v>
      </c>
      <c r="D3491" s="42" t="str">
        <f>IFERROR(__xludf.DUMMYFUNCTION("""COMPUTED_VALUE"""),"?")</f>
        <v>?</v>
      </c>
      <c r="E3491" s="39" t="str">
        <f>IFERROR(__xludf.DUMMYFUNCTION("""COMPUTED_VALUE"""),"")</f>
        <v/>
      </c>
      <c r="F3491" s="9" t="str">
        <f>IFERROR(__xludf.DUMMYFUNCTION("""COMPUTED_VALUE"""),"")</f>
        <v/>
      </c>
      <c r="G3491" s="9" t="str">
        <f>IFERROR(__xludf.DUMMYFUNCTION("""COMPUTED_VALUE"""),"")</f>
        <v/>
      </c>
      <c r="H3491" s="9" t="str">
        <f>IFERROR(__xludf.DUMMYFUNCTION("""COMPUTED_VALUE"""),"")</f>
        <v/>
      </c>
      <c r="I3491" s="9" t="str">
        <f>IFERROR(__xludf.DUMMYFUNCTION("""COMPUTED_VALUE"""),"")</f>
        <v/>
      </c>
      <c r="J3491" s="9" t="str">
        <f>IFERROR(__xludf.DUMMYFUNCTION("""COMPUTED_VALUE"""),"")</f>
        <v/>
      </c>
      <c r="K3491" s="9" t="str">
        <f>IFERROR(__xludf.DUMMYFUNCTION("""COMPUTED_VALUE"""),"")</f>
        <v/>
      </c>
      <c r="L3491" s="9" t="str">
        <f>IFERROR(__xludf.DUMMYFUNCTION("""COMPUTED_VALUE"""),"")</f>
        <v/>
      </c>
      <c r="M3491" s="9" t="str">
        <f>IFERROR(__xludf.DUMMYFUNCTION("""COMPUTED_VALUE"""),"")</f>
        <v/>
      </c>
      <c r="N3491" s="9" t="str">
        <f>IFERROR(__xludf.DUMMYFUNCTION("""COMPUTED_VALUE"""),"")</f>
        <v/>
      </c>
      <c r="O3491" s="9" t="str">
        <f>IFERROR(__xludf.DUMMYFUNCTION("""COMPUTED_VALUE"""),"")</f>
        <v/>
      </c>
      <c r="P3491" s="9" t="str">
        <f>IFERROR(__xludf.DUMMYFUNCTION("""COMPUTED_VALUE"""),"")</f>
        <v/>
      </c>
      <c r="Q3491" s="9" t="str">
        <f>IFERROR(__xludf.DUMMYFUNCTION("""COMPUTED_VALUE"""),"")</f>
        <v/>
      </c>
      <c r="R3491" s="9" t="str">
        <f>IFERROR(__xludf.DUMMYFUNCTION("""COMPUTED_VALUE"""),"")</f>
        <v/>
      </c>
      <c r="S3491" s="42"/>
      <c r="T3491" s="42"/>
      <c r="U3491" s="42"/>
      <c r="V3491" s="42"/>
      <c r="W3491" s="42"/>
      <c r="X3491" s="42"/>
      <c r="Y3491" s="42"/>
      <c r="Z3491" s="42"/>
      <c r="AA3491" s="42"/>
      <c r="AB3491" s="42" t="str">
        <f>IFERROR(__xludf.DUMMYFUNCTION("""COMPUTED_VALUE"""),"Tatsuya Miyamoto")</f>
        <v>Tatsuya Miyamoto</v>
      </c>
      <c r="AC3491" s="42" t="str">
        <f>IFERROR(__xludf.DUMMYFUNCTION("""COMPUTED_VALUE"""),"TM21Amygdala")</f>
        <v>TM21Amygdala</v>
      </c>
      <c r="AD3491" s="42"/>
      <c r="AE3491" s="42"/>
      <c r="AF3491" s="9"/>
      <c r="AG3491" s="9"/>
      <c r="AH3491" s="42"/>
      <c r="AI3491" s="42"/>
      <c r="AJ3491" s="42"/>
      <c r="AK3491" s="42"/>
      <c r="AL3491" s="42"/>
      <c r="AM3491" s="42"/>
      <c r="AN3491" s="42"/>
      <c r="AO3491" s="63" t="str">
        <f>IFERROR(__xludf.DUMMYFUNCTION("IF(ISBLANK(A3491),,IF(ISBLANK(S3491), A3491&amp;"";"", TEXTJOIN(CHAR(10), TRUE, A3491&amp;"";"", ARRAYFORMULA(VLOOKUP(SPLIT(S3491, "";"" &amp; CHAR(10)), $A:$AO, 41, FALSE)))))"),"MS;")</f>
        <v>MS;</v>
      </c>
      <c r="AP3491" s="89"/>
    </row>
    <row r="3492">
      <c r="A3492" s="151" t="str">
        <f>IFERROR(__xludf.DUMMYFUNCTION("""COMPUTED_VALUE"""),"Oc1")</f>
        <v>Oc1</v>
      </c>
      <c r="B3492" s="42" t="str">
        <f>IFERROR(__xludf.DUMMYFUNCTION("""COMPUTED_VALUE"""),"[Pitkänen, 2000]")</f>
        <v>[Pitkänen, 2000]</v>
      </c>
      <c r="C3492" s="42" t="str">
        <f>IFERROR(__xludf.DUMMYFUNCTION("""COMPUTED_VALUE"""),"Primary occipital cortex")</f>
        <v>Primary occipital cortex</v>
      </c>
      <c r="D3492" s="42" t="str">
        <f>IFERROR(__xludf.DUMMYFUNCTION("""COMPUTED_VALUE"""),"?")</f>
        <v>?</v>
      </c>
      <c r="E3492" s="39" t="str">
        <f>IFERROR(__xludf.DUMMYFUNCTION("""COMPUTED_VALUE"""),"")</f>
        <v/>
      </c>
      <c r="F3492" s="9" t="str">
        <f>IFERROR(__xludf.DUMMYFUNCTION("""COMPUTED_VALUE"""),"")</f>
        <v/>
      </c>
      <c r="G3492" s="9" t="str">
        <f>IFERROR(__xludf.DUMMYFUNCTION("""COMPUTED_VALUE"""),"")</f>
        <v/>
      </c>
      <c r="H3492" s="9" t="str">
        <f>IFERROR(__xludf.DUMMYFUNCTION("""COMPUTED_VALUE"""),"")</f>
        <v/>
      </c>
      <c r="I3492" s="9" t="str">
        <f>IFERROR(__xludf.DUMMYFUNCTION("""COMPUTED_VALUE"""),"")</f>
        <v/>
      </c>
      <c r="J3492" s="9" t="str">
        <f>IFERROR(__xludf.DUMMYFUNCTION("""COMPUTED_VALUE"""),"")</f>
        <v/>
      </c>
      <c r="K3492" s="9" t="str">
        <f>IFERROR(__xludf.DUMMYFUNCTION("""COMPUTED_VALUE"""),"")</f>
        <v/>
      </c>
      <c r="L3492" s="9" t="str">
        <f>IFERROR(__xludf.DUMMYFUNCTION("""COMPUTED_VALUE"""),"")</f>
        <v/>
      </c>
      <c r="M3492" s="9" t="str">
        <f>IFERROR(__xludf.DUMMYFUNCTION("""COMPUTED_VALUE"""),"")</f>
        <v/>
      </c>
      <c r="N3492" s="9" t="str">
        <f>IFERROR(__xludf.DUMMYFUNCTION("""COMPUTED_VALUE"""),"")</f>
        <v/>
      </c>
      <c r="O3492" s="9" t="str">
        <f>IFERROR(__xludf.DUMMYFUNCTION("""COMPUTED_VALUE"""),"")</f>
        <v/>
      </c>
      <c r="P3492" s="9" t="str">
        <f>IFERROR(__xludf.DUMMYFUNCTION("""COMPUTED_VALUE"""),"")</f>
        <v/>
      </c>
      <c r="Q3492" s="9" t="str">
        <f>IFERROR(__xludf.DUMMYFUNCTION("""COMPUTED_VALUE"""),"")</f>
        <v/>
      </c>
      <c r="R3492" s="9" t="str">
        <f>IFERROR(__xludf.DUMMYFUNCTION("""COMPUTED_VALUE"""),"")</f>
        <v/>
      </c>
      <c r="S3492" s="42"/>
      <c r="T3492" s="42"/>
      <c r="U3492" s="42"/>
      <c r="V3492" s="42"/>
      <c r="W3492" s="42"/>
      <c r="X3492" s="42"/>
      <c r="Y3492" s="42"/>
      <c r="Z3492" s="42"/>
      <c r="AA3492" s="42"/>
      <c r="AB3492" s="42" t="str">
        <f>IFERROR(__xludf.DUMMYFUNCTION("""COMPUTED_VALUE"""),"Tatsuya Miyamoto")</f>
        <v>Tatsuya Miyamoto</v>
      </c>
      <c r="AC3492" s="42" t="str">
        <f>IFERROR(__xludf.DUMMYFUNCTION("""COMPUTED_VALUE"""),"TM21Amygdala")</f>
        <v>TM21Amygdala</v>
      </c>
      <c r="AD3492" s="42"/>
      <c r="AE3492" s="42"/>
      <c r="AF3492" s="9"/>
      <c r="AG3492" s="9"/>
      <c r="AH3492" s="42"/>
      <c r="AI3492" s="42"/>
      <c r="AJ3492" s="42"/>
      <c r="AK3492" s="42"/>
      <c r="AL3492" s="42"/>
      <c r="AM3492" s="42"/>
      <c r="AN3492" s="42"/>
      <c r="AO3492" s="63" t="str">
        <f>IFERROR(__xludf.DUMMYFUNCTION("IF(ISBLANK(A3492),,IF(ISBLANK(S3492), A3492&amp;"";"", TEXTJOIN(CHAR(10), TRUE, A3492&amp;"";"", ARRAYFORMULA(VLOOKUP(SPLIT(S3492, "";"" &amp; CHAR(10)), $A:$AO, 41, FALSE)))))"),"Oc1;")</f>
        <v>Oc1;</v>
      </c>
      <c r="AP3492" s="89"/>
    </row>
    <row r="3493">
      <c r="A3493" s="151" t="str">
        <f>IFERROR(__xludf.DUMMYFUNCTION("""COMPUTED_VALUE"""),"Oc2")</f>
        <v>Oc2</v>
      </c>
      <c r="B3493" s="42" t="str">
        <f>IFERROR(__xludf.DUMMYFUNCTION("""COMPUTED_VALUE"""),"[Pitkänen, 2000]")</f>
        <v>[Pitkänen, 2000]</v>
      </c>
      <c r="C3493" s="42" t="str">
        <f>IFERROR(__xludf.DUMMYFUNCTION("""COMPUTED_VALUE"""),"Secondary occipital cortex")</f>
        <v>Secondary occipital cortex</v>
      </c>
      <c r="D3493" s="42" t="str">
        <f>IFERROR(__xludf.DUMMYFUNCTION("""COMPUTED_VALUE"""),"?")</f>
        <v>?</v>
      </c>
      <c r="E3493" s="39" t="str">
        <f>IFERROR(__xludf.DUMMYFUNCTION("""COMPUTED_VALUE"""),"")</f>
        <v/>
      </c>
      <c r="F3493" s="9" t="str">
        <f>IFERROR(__xludf.DUMMYFUNCTION("""COMPUTED_VALUE"""),"")</f>
        <v/>
      </c>
      <c r="G3493" s="9" t="str">
        <f>IFERROR(__xludf.DUMMYFUNCTION("""COMPUTED_VALUE"""),"")</f>
        <v/>
      </c>
      <c r="H3493" s="9" t="str">
        <f>IFERROR(__xludf.DUMMYFUNCTION("""COMPUTED_VALUE"""),"")</f>
        <v/>
      </c>
      <c r="I3493" s="9" t="str">
        <f>IFERROR(__xludf.DUMMYFUNCTION("""COMPUTED_VALUE"""),"")</f>
        <v/>
      </c>
      <c r="J3493" s="9" t="str">
        <f>IFERROR(__xludf.DUMMYFUNCTION("""COMPUTED_VALUE"""),"")</f>
        <v/>
      </c>
      <c r="K3493" s="9" t="str">
        <f>IFERROR(__xludf.DUMMYFUNCTION("""COMPUTED_VALUE"""),"")</f>
        <v/>
      </c>
      <c r="L3493" s="9" t="str">
        <f>IFERROR(__xludf.DUMMYFUNCTION("""COMPUTED_VALUE"""),"")</f>
        <v/>
      </c>
      <c r="M3493" s="9" t="str">
        <f>IFERROR(__xludf.DUMMYFUNCTION("""COMPUTED_VALUE"""),"")</f>
        <v/>
      </c>
      <c r="N3493" s="9" t="str">
        <f>IFERROR(__xludf.DUMMYFUNCTION("""COMPUTED_VALUE"""),"")</f>
        <v/>
      </c>
      <c r="O3493" s="9" t="str">
        <f>IFERROR(__xludf.DUMMYFUNCTION("""COMPUTED_VALUE"""),"")</f>
        <v/>
      </c>
      <c r="P3493" s="9" t="str">
        <f>IFERROR(__xludf.DUMMYFUNCTION("""COMPUTED_VALUE"""),"")</f>
        <v/>
      </c>
      <c r="Q3493" s="9" t="str">
        <f>IFERROR(__xludf.DUMMYFUNCTION("""COMPUTED_VALUE"""),"")</f>
        <v/>
      </c>
      <c r="R3493" s="9" t="str">
        <f>IFERROR(__xludf.DUMMYFUNCTION("""COMPUTED_VALUE"""),"")</f>
        <v/>
      </c>
      <c r="S3493" s="42"/>
      <c r="T3493" s="42"/>
      <c r="U3493" s="42"/>
      <c r="V3493" s="42"/>
      <c r="W3493" s="42"/>
      <c r="X3493" s="42"/>
      <c r="Y3493" s="42"/>
      <c r="Z3493" s="42"/>
      <c r="AA3493" s="42"/>
      <c r="AB3493" s="42" t="str">
        <f>IFERROR(__xludf.DUMMYFUNCTION("""COMPUTED_VALUE"""),"Tatsuya Miyamoto")</f>
        <v>Tatsuya Miyamoto</v>
      </c>
      <c r="AC3493" s="42" t="str">
        <f>IFERROR(__xludf.DUMMYFUNCTION("""COMPUTED_VALUE"""),"TM21Amygdala")</f>
        <v>TM21Amygdala</v>
      </c>
      <c r="AD3493" s="42"/>
      <c r="AE3493" s="42"/>
      <c r="AF3493" s="9"/>
      <c r="AG3493" s="9"/>
      <c r="AH3493" s="42"/>
      <c r="AI3493" s="42"/>
      <c r="AJ3493" s="42"/>
      <c r="AK3493" s="42"/>
      <c r="AL3493" s="42"/>
      <c r="AM3493" s="42"/>
      <c r="AN3493" s="42"/>
      <c r="AO3493" s="63" t="str">
        <f>IFERROR(__xludf.DUMMYFUNCTION("IF(ISBLANK(A3493),,IF(ISBLANK(S3493), A3493&amp;"";"", TEXTJOIN(CHAR(10), TRUE, A3493&amp;"";"", ARRAYFORMULA(VLOOKUP(SPLIT(S3493, "";"" &amp; CHAR(10)), $A:$AO, 41, FALSE)))))"),"Oc2;")</f>
        <v>Oc2;</v>
      </c>
      <c r="AP3493" s="89"/>
    </row>
    <row r="3494">
      <c r="A3494" s="151" t="str">
        <f>IFERROR(__xludf.DUMMYFUNCTION("""COMPUTED_VALUE"""),"PaRh")</f>
        <v>PaRh</v>
      </c>
      <c r="B3494" s="42" t="str">
        <f>IFERROR(__xludf.DUMMYFUNCTION("""COMPUTED_VALUE"""),"[Pitkänen, 2000]")</f>
        <v>[Pitkänen, 2000]</v>
      </c>
      <c r="C3494" s="42"/>
      <c r="D3494" s="42" t="str">
        <f>IFERROR(__xludf.DUMMYFUNCTION("""COMPUTED_VALUE"""),"?")</f>
        <v>?</v>
      </c>
      <c r="E3494" s="39" t="str">
        <f>IFERROR(__xludf.DUMMYFUNCTION("""COMPUTED_VALUE"""),"")</f>
        <v/>
      </c>
      <c r="F3494" s="9" t="str">
        <f>IFERROR(__xludf.DUMMYFUNCTION("""COMPUTED_VALUE"""),"")</f>
        <v/>
      </c>
      <c r="G3494" s="9" t="str">
        <f>IFERROR(__xludf.DUMMYFUNCTION("""COMPUTED_VALUE"""),"")</f>
        <v/>
      </c>
      <c r="H3494" s="9" t="str">
        <f>IFERROR(__xludf.DUMMYFUNCTION("""COMPUTED_VALUE"""),"")</f>
        <v/>
      </c>
      <c r="I3494" s="9" t="str">
        <f>IFERROR(__xludf.DUMMYFUNCTION("""COMPUTED_VALUE"""),"")</f>
        <v/>
      </c>
      <c r="J3494" s="9" t="str">
        <f>IFERROR(__xludf.DUMMYFUNCTION("""COMPUTED_VALUE"""),"")</f>
        <v/>
      </c>
      <c r="K3494" s="9" t="str">
        <f>IFERROR(__xludf.DUMMYFUNCTION("""COMPUTED_VALUE"""),"")</f>
        <v/>
      </c>
      <c r="L3494" s="9" t="str">
        <f>IFERROR(__xludf.DUMMYFUNCTION("""COMPUTED_VALUE"""),"")</f>
        <v/>
      </c>
      <c r="M3494" s="9" t="str">
        <f>IFERROR(__xludf.DUMMYFUNCTION("""COMPUTED_VALUE"""),"")</f>
        <v/>
      </c>
      <c r="N3494" s="9" t="str">
        <f>IFERROR(__xludf.DUMMYFUNCTION("""COMPUTED_VALUE"""),"")</f>
        <v/>
      </c>
      <c r="O3494" s="9" t="str">
        <f>IFERROR(__xludf.DUMMYFUNCTION("""COMPUTED_VALUE"""),"")</f>
        <v/>
      </c>
      <c r="P3494" s="9" t="str">
        <f>IFERROR(__xludf.DUMMYFUNCTION("""COMPUTED_VALUE"""),"")</f>
        <v/>
      </c>
      <c r="Q3494" s="9" t="str">
        <f>IFERROR(__xludf.DUMMYFUNCTION("""COMPUTED_VALUE"""),"")</f>
        <v/>
      </c>
      <c r="R3494" s="9" t="str">
        <f>IFERROR(__xludf.DUMMYFUNCTION("""COMPUTED_VALUE"""),"")</f>
        <v/>
      </c>
      <c r="S3494" s="42"/>
      <c r="T3494" s="42"/>
      <c r="U3494" s="42"/>
      <c r="V3494" s="42"/>
      <c r="W3494" s="42"/>
      <c r="X3494" s="42"/>
      <c r="Y3494" s="42"/>
      <c r="Z3494" s="42"/>
      <c r="AA3494" s="42"/>
      <c r="AB3494" s="42" t="str">
        <f>IFERROR(__xludf.DUMMYFUNCTION("""COMPUTED_VALUE"""),"Tatsuya Miyamoto")</f>
        <v>Tatsuya Miyamoto</v>
      </c>
      <c r="AC3494" s="42" t="str">
        <f>IFERROR(__xludf.DUMMYFUNCTION("""COMPUTED_VALUE"""),"TM21Amygdala")</f>
        <v>TM21Amygdala</v>
      </c>
      <c r="AD3494" s="42"/>
      <c r="AE3494" s="42"/>
      <c r="AF3494" s="9"/>
      <c r="AG3494" s="9"/>
      <c r="AH3494" s="42"/>
      <c r="AI3494" s="42"/>
      <c r="AJ3494" s="42"/>
      <c r="AK3494" s="42"/>
      <c r="AL3494" s="42"/>
      <c r="AM3494" s="42"/>
      <c r="AN3494" s="42"/>
      <c r="AO3494" s="63" t="str">
        <f>IFERROR(__xludf.DUMMYFUNCTION("IF(ISBLANK(A3494),,IF(ISBLANK(S3494), A3494&amp;"";"", TEXTJOIN(CHAR(10), TRUE, A3494&amp;"";"", ARRAYFORMULA(VLOOKUP(SPLIT(S3494, "";"" &amp; CHAR(10)), $A:$AO, 41, FALSE)))))"),"PaRh;")</f>
        <v>PaRh;</v>
      </c>
      <c r="AP3494" s="89"/>
    </row>
    <row r="3495">
      <c r="A3495" s="151" t="str">
        <f>IFERROR(__xludf.DUMMYFUNCTION("""COMPUTED_VALUE"""),"PLC")</f>
        <v>PLC</v>
      </c>
      <c r="B3495" s="42" t="str">
        <f>IFERROR(__xludf.DUMMYFUNCTION("""COMPUTED_VALUE"""),"[Pitkänen, 2000]")</f>
        <v>[Pitkänen, 2000]</v>
      </c>
      <c r="C3495" s="42" t="str">
        <f>IFERROR(__xludf.DUMMYFUNCTION("""COMPUTED_VALUE"""),"Prelimbic cortex")</f>
        <v>Prelimbic cortex</v>
      </c>
      <c r="D3495" s="42" t="str">
        <f>IFERROR(__xludf.DUMMYFUNCTION("""COMPUTED_VALUE"""),"?")</f>
        <v>?</v>
      </c>
      <c r="E3495" s="39" t="str">
        <f>IFERROR(__xludf.DUMMYFUNCTION("""COMPUTED_VALUE"""),"")</f>
        <v/>
      </c>
      <c r="F3495" s="9" t="str">
        <f>IFERROR(__xludf.DUMMYFUNCTION("""COMPUTED_VALUE"""),"")</f>
        <v/>
      </c>
      <c r="G3495" s="9" t="str">
        <f>IFERROR(__xludf.DUMMYFUNCTION("""COMPUTED_VALUE"""),"")</f>
        <v/>
      </c>
      <c r="H3495" s="9" t="str">
        <f>IFERROR(__xludf.DUMMYFUNCTION("""COMPUTED_VALUE"""),"")</f>
        <v/>
      </c>
      <c r="I3495" s="9" t="str">
        <f>IFERROR(__xludf.DUMMYFUNCTION("""COMPUTED_VALUE"""),"")</f>
        <v/>
      </c>
      <c r="J3495" s="9" t="str">
        <f>IFERROR(__xludf.DUMMYFUNCTION("""COMPUTED_VALUE"""),"")</f>
        <v/>
      </c>
      <c r="K3495" s="9" t="str">
        <f>IFERROR(__xludf.DUMMYFUNCTION("""COMPUTED_VALUE"""),"")</f>
        <v/>
      </c>
      <c r="L3495" s="9" t="str">
        <f>IFERROR(__xludf.DUMMYFUNCTION("""COMPUTED_VALUE"""),"")</f>
        <v/>
      </c>
      <c r="M3495" s="9" t="str">
        <f>IFERROR(__xludf.DUMMYFUNCTION("""COMPUTED_VALUE"""),"")</f>
        <v/>
      </c>
      <c r="N3495" s="9" t="str">
        <f>IFERROR(__xludf.DUMMYFUNCTION("""COMPUTED_VALUE"""),"")</f>
        <v/>
      </c>
      <c r="O3495" s="9" t="str">
        <f>IFERROR(__xludf.DUMMYFUNCTION("""COMPUTED_VALUE"""),"")</f>
        <v/>
      </c>
      <c r="P3495" s="9" t="str">
        <f>IFERROR(__xludf.DUMMYFUNCTION("""COMPUTED_VALUE"""),"")</f>
        <v/>
      </c>
      <c r="Q3495" s="9" t="str">
        <f>IFERROR(__xludf.DUMMYFUNCTION("""COMPUTED_VALUE"""),"")</f>
        <v/>
      </c>
      <c r="R3495" s="9" t="str">
        <f>IFERROR(__xludf.DUMMYFUNCTION("""COMPUTED_VALUE"""),"")</f>
        <v/>
      </c>
      <c r="S3495" s="42"/>
      <c r="T3495" s="42"/>
      <c r="U3495" s="42"/>
      <c r="V3495" s="42"/>
      <c r="W3495" s="42"/>
      <c r="X3495" s="42"/>
      <c r="Y3495" s="42"/>
      <c r="Z3495" s="42"/>
      <c r="AA3495" s="42"/>
      <c r="AB3495" s="42" t="str">
        <f>IFERROR(__xludf.DUMMYFUNCTION("""COMPUTED_VALUE"""),"Tatsuya Miyamoto")</f>
        <v>Tatsuya Miyamoto</v>
      </c>
      <c r="AC3495" s="42" t="str">
        <f>IFERROR(__xludf.DUMMYFUNCTION("""COMPUTED_VALUE"""),"TM21Amygdala")</f>
        <v>TM21Amygdala</v>
      </c>
      <c r="AD3495" s="42"/>
      <c r="AE3495" s="42"/>
      <c r="AF3495" s="9"/>
      <c r="AG3495" s="9"/>
      <c r="AH3495" s="42"/>
      <c r="AI3495" s="42"/>
      <c r="AJ3495" s="42"/>
      <c r="AK3495" s="42"/>
      <c r="AL3495" s="42"/>
      <c r="AM3495" s="42"/>
      <c r="AN3495" s="42"/>
      <c r="AO3495" s="63" t="str">
        <f>IFERROR(__xludf.DUMMYFUNCTION("IF(ISBLANK(A3495),,IF(ISBLANK(S3495), A3495&amp;"";"", TEXTJOIN(CHAR(10), TRUE, A3495&amp;"";"", ARRAYFORMULA(VLOOKUP(SPLIT(S3495, "";"" &amp; CHAR(10)), $A:$AO, 41, FALSE)))))"),"PLC;")</f>
        <v>PLC;</v>
      </c>
      <c r="AP3495" s="89"/>
    </row>
    <row r="3496">
      <c r="A3496" s="151" t="str">
        <f>IFERROR(__xludf.DUMMYFUNCTION("""COMPUTED_VALUE"""),"PLi")</f>
        <v>PLi</v>
      </c>
      <c r="B3496" s="42" t="str">
        <f>IFERROR(__xludf.DUMMYFUNCTION("""COMPUTED_VALUE"""),"[Pitkänen, 2000]")</f>
        <v>[Pitkänen, 2000]</v>
      </c>
      <c r="C3496" s="42" t="str">
        <f>IFERROR(__xludf.DUMMYFUNCTION("""COMPUTED_VALUE"""),"Posterior limitans nucleus")</f>
        <v>Posterior limitans nucleus</v>
      </c>
      <c r="D3496" s="42" t="str">
        <f>IFERROR(__xludf.DUMMYFUNCTION("""COMPUTED_VALUE"""),"?")</f>
        <v>?</v>
      </c>
      <c r="E3496" s="39" t="str">
        <f>IFERROR(__xludf.DUMMYFUNCTION("""COMPUTED_VALUE"""),"")</f>
        <v/>
      </c>
      <c r="F3496" s="9" t="str">
        <f>IFERROR(__xludf.DUMMYFUNCTION("""COMPUTED_VALUE"""),"")</f>
        <v/>
      </c>
      <c r="G3496" s="9" t="str">
        <f>IFERROR(__xludf.DUMMYFUNCTION("""COMPUTED_VALUE"""),"")</f>
        <v/>
      </c>
      <c r="H3496" s="9" t="str">
        <f>IFERROR(__xludf.DUMMYFUNCTION("""COMPUTED_VALUE"""),"")</f>
        <v/>
      </c>
      <c r="I3496" s="9" t="str">
        <f>IFERROR(__xludf.DUMMYFUNCTION("""COMPUTED_VALUE"""),"")</f>
        <v/>
      </c>
      <c r="J3496" s="9" t="str">
        <f>IFERROR(__xludf.DUMMYFUNCTION("""COMPUTED_VALUE"""),"")</f>
        <v/>
      </c>
      <c r="K3496" s="9" t="str">
        <f>IFERROR(__xludf.DUMMYFUNCTION("""COMPUTED_VALUE"""),"")</f>
        <v/>
      </c>
      <c r="L3496" s="9" t="str">
        <f>IFERROR(__xludf.DUMMYFUNCTION("""COMPUTED_VALUE"""),"")</f>
        <v/>
      </c>
      <c r="M3496" s="9" t="str">
        <f>IFERROR(__xludf.DUMMYFUNCTION("""COMPUTED_VALUE"""),"")</f>
        <v/>
      </c>
      <c r="N3496" s="9" t="str">
        <f>IFERROR(__xludf.DUMMYFUNCTION("""COMPUTED_VALUE"""),"")</f>
        <v/>
      </c>
      <c r="O3496" s="9" t="str">
        <f>IFERROR(__xludf.DUMMYFUNCTION("""COMPUTED_VALUE"""),"")</f>
        <v/>
      </c>
      <c r="P3496" s="9" t="str">
        <f>IFERROR(__xludf.DUMMYFUNCTION("""COMPUTED_VALUE"""),"")</f>
        <v/>
      </c>
      <c r="Q3496" s="9" t="str">
        <f>IFERROR(__xludf.DUMMYFUNCTION("""COMPUTED_VALUE"""),"")</f>
        <v/>
      </c>
      <c r="R3496" s="9" t="str">
        <f>IFERROR(__xludf.DUMMYFUNCTION("""COMPUTED_VALUE"""),"")</f>
        <v/>
      </c>
      <c r="S3496" s="42"/>
      <c r="T3496" s="42"/>
      <c r="U3496" s="42"/>
      <c r="V3496" s="42"/>
      <c r="W3496" s="42"/>
      <c r="X3496" s="42"/>
      <c r="Y3496" s="42"/>
      <c r="Z3496" s="42"/>
      <c r="AA3496" s="42"/>
      <c r="AB3496" s="42" t="str">
        <f>IFERROR(__xludf.DUMMYFUNCTION("""COMPUTED_VALUE"""),"Tatsuya Miyamoto")</f>
        <v>Tatsuya Miyamoto</v>
      </c>
      <c r="AC3496" s="42" t="str">
        <f>IFERROR(__xludf.DUMMYFUNCTION("""COMPUTED_VALUE"""),"TM21Amygdala")</f>
        <v>TM21Amygdala</v>
      </c>
      <c r="AD3496" s="42"/>
      <c r="AE3496" s="42"/>
      <c r="AF3496" s="9"/>
      <c r="AG3496" s="9"/>
      <c r="AH3496" s="42"/>
      <c r="AI3496" s="42"/>
      <c r="AJ3496" s="42"/>
      <c r="AK3496" s="42"/>
      <c r="AL3496" s="42"/>
      <c r="AM3496" s="42"/>
      <c r="AN3496" s="42"/>
      <c r="AO3496" s="63" t="str">
        <f>IFERROR(__xludf.DUMMYFUNCTION("IF(ISBLANK(A3496),,IF(ISBLANK(S3496), A3496&amp;"";"", TEXTJOIN(CHAR(10), TRUE, A3496&amp;"";"", ARRAYFORMULA(VLOOKUP(SPLIT(S3496, "";"" &amp; CHAR(10)), $A:$AO, 41, FALSE)))))"),"PLi;")</f>
        <v>PLi;</v>
      </c>
      <c r="AP3496" s="89"/>
    </row>
    <row r="3497">
      <c r="A3497" s="151" t="str">
        <f>IFERROR(__xludf.DUMMYFUNCTION("""COMPUTED_VALUE"""),"PoM")</f>
        <v>PoM</v>
      </c>
      <c r="B3497" s="42" t="str">
        <f>IFERROR(__xludf.DUMMYFUNCTION("""COMPUTED_VALUE"""),"[Pitkänen, 2000]")</f>
        <v>[Pitkänen, 2000]</v>
      </c>
      <c r="C3497" s="42" t="str">
        <f>IFERROR(__xludf.DUMMYFUNCTION("""COMPUTED_VALUE"""),"Posterior thalamic complex, medial group")</f>
        <v>Posterior thalamic complex, medial group</v>
      </c>
      <c r="D3497" s="42" t="str">
        <f>IFERROR(__xludf.DUMMYFUNCTION("""COMPUTED_VALUE"""),"?")</f>
        <v>?</v>
      </c>
      <c r="E3497" s="39" t="str">
        <f>IFERROR(__xludf.DUMMYFUNCTION("""COMPUTED_VALUE"""),"")</f>
        <v/>
      </c>
      <c r="F3497" s="9" t="str">
        <f>IFERROR(__xludf.DUMMYFUNCTION("""COMPUTED_VALUE"""),"")</f>
        <v/>
      </c>
      <c r="G3497" s="9" t="str">
        <f>IFERROR(__xludf.DUMMYFUNCTION("""COMPUTED_VALUE"""),"")</f>
        <v/>
      </c>
      <c r="H3497" s="9" t="str">
        <f>IFERROR(__xludf.DUMMYFUNCTION("""COMPUTED_VALUE"""),"")</f>
        <v/>
      </c>
      <c r="I3497" s="9" t="str">
        <f>IFERROR(__xludf.DUMMYFUNCTION("""COMPUTED_VALUE"""),"")</f>
        <v/>
      </c>
      <c r="J3497" s="9" t="str">
        <f>IFERROR(__xludf.DUMMYFUNCTION("""COMPUTED_VALUE"""),"")</f>
        <v/>
      </c>
      <c r="K3497" s="9" t="str">
        <f>IFERROR(__xludf.DUMMYFUNCTION("""COMPUTED_VALUE"""),"")</f>
        <v/>
      </c>
      <c r="L3497" s="9" t="str">
        <f>IFERROR(__xludf.DUMMYFUNCTION("""COMPUTED_VALUE"""),"")</f>
        <v/>
      </c>
      <c r="M3497" s="9" t="str">
        <f>IFERROR(__xludf.DUMMYFUNCTION("""COMPUTED_VALUE"""),"")</f>
        <v/>
      </c>
      <c r="N3497" s="9" t="str">
        <f>IFERROR(__xludf.DUMMYFUNCTION("""COMPUTED_VALUE"""),"")</f>
        <v/>
      </c>
      <c r="O3497" s="9" t="str">
        <f>IFERROR(__xludf.DUMMYFUNCTION("""COMPUTED_VALUE"""),"")</f>
        <v/>
      </c>
      <c r="P3497" s="9" t="str">
        <f>IFERROR(__xludf.DUMMYFUNCTION("""COMPUTED_VALUE"""),"")</f>
        <v/>
      </c>
      <c r="Q3497" s="9" t="str">
        <f>IFERROR(__xludf.DUMMYFUNCTION("""COMPUTED_VALUE"""),"")</f>
        <v/>
      </c>
      <c r="R3497" s="9" t="str">
        <f>IFERROR(__xludf.DUMMYFUNCTION("""COMPUTED_VALUE"""),"")</f>
        <v/>
      </c>
      <c r="S3497" s="42"/>
      <c r="T3497" s="42"/>
      <c r="U3497" s="42"/>
      <c r="V3497" s="42"/>
      <c r="W3497" s="42"/>
      <c r="X3497" s="42"/>
      <c r="Y3497" s="42"/>
      <c r="Z3497" s="42"/>
      <c r="AA3497" s="42"/>
      <c r="AB3497" s="42" t="str">
        <f>IFERROR(__xludf.DUMMYFUNCTION("""COMPUTED_VALUE"""),"Tatsuya Miyamoto")</f>
        <v>Tatsuya Miyamoto</v>
      </c>
      <c r="AC3497" s="42" t="str">
        <f>IFERROR(__xludf.DUMMYFUNCTION("""COMPUTED_VALUE"""),"TM21Amygdala")</f>
        <v>TM21Amygdala</v>
      </c>
      <c r="AD3497" s="42"/>
      <c r="AE3497" s="42"/>
      <c r="AF3497" s="9"/>
      <c r="AG3497" s="9"/>
      <c r="AH3497" s="42"/>
      <c r="AI3497" s="42"/>
      <c r="AJ3497" s="42"/>
      <c r="AK3497" s="42"/>
      <c r="AL3497" s="42"/>
      <c r="AM3497" s="42"/>
      <c r="AN3497" s="42"/>
      <c r="AO3497" s="63" t="str">
        <f>IFERROR(__xludf.DUMMYFUNCTION("IF(ISBLANK(A3497),,IF(ISBLANK(S3497), A3497&amp;"";"", TEXTJOIN(CHAR(10), TRUE, A3497&amp;"";"", ARRAYFORMULA(VLOOKUP(SPLIT(S3497, "";"" &amp; CHAR(10)), $A:$AO, 41, FALSE)))))"),"PoM;")</f>
        <v>PoM;</v>
      </c>
      <c r="AP3497" s="89"/>
    </row>
    <row r="3498">
      <c r="A3498" s="151" t="str">
        <f>IFERROR(__xludf.DUMMYFUNCTION("""COMPUTED_VALUE"""),"PRCd")</f>
        <v>PRCd</v>
      </c>
      <c r="B3498" s="42" t="str">
        <f>IFERROR(__xludf.DUMMYFUNCTION("""COMPUTED_VALUE"""),"[Pitkänen, 2000]")</f>
        <v>[Pitkänen, 2000]</v>
      </c>
      <c r="C3498" s="42" t="str">
        <f>IFERROR(__xludf.DUMMYFUNCTION("""COMPUTED_VALUE"""),"Perirhinal cortex, dorsal portion")</f>
        <v>Perirhinal cortex, dorsal portion</v>
      </c>
      <c r="D3498" s="42" t="str">
        <f>IFERROR(__xludf.DUMMYFUNCTION("""COMPUTED_VALUE"""),"?")</f>
        <v>?</v>
      </c>
      <c r="E3498" s="39" t="str">
        <f>IFERROR(__xludf.DUMMYFUNCTION("""COMPUTED_VALUE"""),"")</f>
        <v/>
      </c>
      <c r="F3498" s="9" t="str">
        <f>IFERROR(__xludf.DUMMYFUNCTION("""COMPUTED_VALUE"""),"")</f>
        <v/>
      </c>
      <c r="G3498" s="9" t="str">
        <f>IFERROR(__xludf.DUMMYFUNCTION("""COMPUTED_VALUE"""),"")</f>
        <v/>
      </c>
      <c r="H3498" s="9" t="str">
        <f>IFERROR(__xludf.DUMMYFUNCTION("""COMPUTED_VALUE"""),"")</f>
        <v/>
      </c>
      <c r="I3498" s="9" t="str">
        <f>IFERROR(__xludf.DUMMYFUNCTION("""COMPUTED_VALUE"""),"")</f>
        <v/>
      </c>
      <c r="J3498" s="9" t="str">
        <f>IFERROR(__xludf.DUMMYFUNCTION("""COMPUTED_VALUE"""),"")</f>
        <v/>
      </c>
      <c r="K3498" s="9" t="str">
        <f>IFERROR(__xludf.DUMMYFUNCTION("""COMPUTED_VALUE"""),"")</f>
        <v/>
      </c>
      <c r="L3498" s="9" t="str">
        <f>IFERROR(__xludf.DUMMYFUNCTION("""COMPUTED_VALUE"""),"")</f>
        <v/>
      </c>
      <c r="M3498" s="9" t="str">
        <f>IFERROR(__xludf.DUMMYFUNCTION("""COMPUTED_VALUE"""),"")</f>
        <v/>
      </c>
      <c r="N3498" s="9" t="str">
        <f>IFERROR(__xludf.DUMMYFUNCTION("""COMPUTED_VALUE"""),"")</f>
        <v/>
      </c>
      <c r="O3498" s="9" t="str">
        <f>IFERROR(__xludf.DUMMYFUNCTION("""COMPUTED_VALUE"""),"")</f>
        <v/>
      </c>
      <c r="P3498" s="9" t="str">
        <f>IFERROR(__xludf.DUMMYFUNCTION("""COMPUTED_VALUE"""),"")</f>
        <v/>
      </c>
      <c r="Q3498" s="9" t="str">
        <f>IFERROR(__xludf.DUMMYFUNCTION("""COMPUTED_VALUE"""),"")</f>
        <v/>
      </c>
      <c r="R3498" s="9" t="str">
        <f>IFERROR(__xludf.DUMMYFUNCTION("""COMPUTED_VALUE"""),"")</f>
        <v/>
      </c>
      <c r="S3498" s="42"/>
      <c r="T3498" s="42"/>
      <c r="U3498" s="42"/>
      <c r="V3498" s="42"/>
      <c r="W3498" s="42"/>
      <c r="X3498" s="42"/>
      <c r="Y3498" s="42"/>
      <c r="Z3498" s="42"/>
      <c r="AA3498" s="42"/>
      <c r="AB3498" s="42" t="str">
        <f>IFERROR(__xludf.DUMMYFUNCTION("""COMPUTED_VALUE"""),"Tatsuya Miyamoto")</f>
        <v>Tatsuya Miyamoto</v>
      </c>
      <c r="AC3498" s="42" t="str">
        <f>IFERROR(__xludf.DUMMYFUNCTION("""COMPUTED_VALUE"""),"TM21Amygdala")</f>
        <v>TM21Amygdala</v>
      </c>
      <c r="AD3498" s="42"/>
      <c r="AE3498" s="42"/>
      <c r="AF3498" s="9"/>
      <c r="AG3498" s="9"/>
      <c r="AH3498" s="42"/>
      <c r="AI3498" s="42"/>
      <c r="AJ3498" s="42"/>
      <c r="AK3498" s="42"/>
      <c r="AL3498" s="42"/>
      <c r="AM3498" s="42"/>
      <c r="AN3498" s="42"/>
      <c r="AO3498" s="63" t="str">
        <f>IFERROR(__xludf.DUMMYFUNCTION("IF(ISBLANK(A3498),,IF(ISBLANK(S3498), A3498&amp;"";"", TEXTJOIN(CHAR(10), TRUE, A3498&amp;"";"", ARRAYFORMULA(VLOOKUP(SPLIT(S3498, "";"" &amp; CHAR(10)), $A:$AO, 41, FALSE)))))"),"PRCd;")</f>
        <v>PRCd;</v>
      </c>
      <c r="AP3498" s="89"/>
    </row>
    <row r="3499">
      <c r="A3499" s="151" t="str">
        <f>IFERROR(__xludf.DUMMYFUNCTION("""COMPUTED_VALUE"""),"PrCl")</f>
        <v>PrCl</v>
      </c>
      <c r="B3499" s="42" t="str">
        <f>IFERROR(__xludf.DUMMYFUNCTION("""COMPUTED_VALUE"""),"[Pitkänen, 2000]")</f>
        <v>[Pitkänen, 2000]</v>
      </c>
      <c r="C3499" s="42" t="str">
        <f>IFERROR(__xludf.DUMMYFUNCTION("""COMPUTED_VALUE"""),"Lateral precentral cortex")</f>
        <v>Lateral precentral cortex</v>
      </c>
      <c r="D3499" s="42" t="str">
        <f>IFERROR(__xludf.DUMMYFUNCTION("""COMPUTED_VALUE"""),"?")</f>
        <v>?</v>
      </c>
      <c r="E3499" s="39" t="str">
        <f>IFERROR(__xludf.DUMMYFUNCTION("""COMPUTED_VALUE"""),"")</f>
        <v/>
      </c>
      <c r="F3499" s="9" t="str">
        <f>IFERROR(__xludf.DUMMYFUNCTION("""COMPUTED_VALUE"""),"")</f>
        <v/>
      </c>
      <c r="G3499" s="9" t="str">
        <f>IFERROR(__xludf.DUMMYFUNCTION("""COMPUTED_VALUE"""),"")</f>
        <v/>
      </c>
      <c r="H3499" s="9" t="str">
        <f>IFERROR(__xludf.DUMMYFUNCTION("""COMPUTED_VALUE"""),"")</f>
        <v/>
      </c>
      <c r="I3499" s="9" t="str">
        <f>IFERROR(__xludf.DUMMYFUNCTION("""COMPUTED_VALUE"""),"")</f>
        <v/>
      </c>
      <c r="J3499" s="9" t="str">
        <f>IFERROR(__xludf.DUMMYFUNCTION("""COMPUTED_VALUE"""),"")</f>
        <v/>
      </c>
      <c r="K3499" s="9" t="str">
        <f>IFERROR(__xludf.DUMMYFUNCTION("""COMPUTED_VALUE"""),"")</f>
        <v/>
      </c>
      <c r="L3499" s="9" t="str">
        <f>IFERROR(__xludf.DUMMYFUNCTION("""COMPUTED_VALUE"""),"")</f>
        <v/>
      </c>
      <c r="M3499" s="9" t="str">
        <f>IFERROR(__xludf.DUMMYFUNCTION("""COMPUTED_VALUE"""),"")</f>
        <v/>
      </c>
      <c r="N3499" s="9" t="str">
        <f>IFERROR(__xludf.DUMMYFUNCTION("""COMPUTED_VALUE"""),"")</f>
        <v/>
      </c>
      <c r="O3499" s="9" t="str">
        <f>IFERROR(__xludf.DUMMYFUNCTION("""COMPUTED_VALUE"""),"")</f>
        <v/>
      </c>
      <c r="P3499" s="9" t="str">
        <f>IFERROR(__xludf.DUMMYFUNCTION("""COMPUTED_VALUE"""),"")</f>
        <v/>
      </c>
      <c r="Q3499" s="9" t="str">
        <f>IFERROR(__xludf.DUMMYFUNCTION("""COMPUTED_VALUE"""),"")</f>
        <v/>
      </c>
      <c r="R3499" s="9" t="str">
        <f>IFERROR(__xludf.DUMMYFUNCTION("""COMPUTED_VALUE"""),"")</f>
        <v/>
      </c>
      <c r="S3499" s="42"/>
      <c r="T3499" s="42"/>
      <c r="U3499" s="42"/>
      <c r="V3499" s="42"/>
      <c r="W3499" s="42"/>
      <c r="X3499" s="42"/>
      <c r="Y3499" s="42"/>
      <c r="Z3499" s="42"/>
      <c r="AA3499" s="42"/>
      <c r="AB3499" s="42" t="str">
        <f>IFERROR(__xludf.DUMMYFUNCTION("""COMPUTED_VALUE"""),"Tatsuya Miyamoto")</f>
        <v>Tatsuya Miyamoto</v>
      </c>
      <c r="AC3499" s="42" t="str">
        <f>IFERROR(__xludf.DUMMYFUNCTION("""COMPUTED_VALUE"""),"TM21Amygdala")</f>
        <v>TM21Amygdala</v>
      </c>
      <c r="AD3499" s="42"/>
      <c r="AE3499" s="42"/>
      <c r="AF3499" s="9"/>
      <c r="AG3499" s="9"/>
      <c r="AH3499" s="42"/>
      <c r="AI3499" s="42"/>
      <c r="AJ3499" s="42"/>
      <c r="AK3499" s="42"/>
      <c r="AL3499" s="42"/>
      <c r="AM3499" s="42"/>
      <c r="AN3499" s="42"/>
      <c r="AO3499" s="63" t="str">
        <f>IFERROR(__xludf.DUMMYFUNCTION("IF(ISBLANK(A3499),,IF(ISBLANK(S3499), A3499&amp;"";"", TEXTJOIN(CHAR(10), TRUE, A3499&amp;"";"", ARRAYFORMULA(VLOOKUP(SPLIT(S3499, "";"" &amp; CHAR(10)), $A:$AO, 41, FALSE)))))"),"PrCl;")</f>
        <v>PrCl;</v>
      </c>
      <c r="AP3499" s="89"/>
    </row>
    <row r="3500">
      <c r="A3500" s="151" t="str">
        <f>IFERROR(__xludf.DUMMYFUNCTION("""COMPUTED_VALUE"""),"PrCm")</f>
        <v>PrCm</v>
      </c>
      <c r="B3500" s="42" t="str">
        <f>IFERROR(__xludf.DUMMYFUNCTION("""COMPUTED_VALUE"""),"[Pitkänen, 2000]")</f>
        <v>[Pitkänen, 2000]</v>
      </c>
      <c r="C3500" s="42" t="str">
        <f>IFERROR(__xludf.DUMMYFUNCTION("""COMPUTED_VALUE"""),"Medial precentral cortex")</f>
        <v>Medial precentral cortex</v>
      </c>
      <c r="D3500" s="42" t="str">
        <f>IFERROR(__xludf.DUMMYFUNCTION("""COMPUTED_VALUE"""),"?")</f>
        <v>?</v>
      </c>
      <c r="E3500" s="39" t="str">
        <f>IFERROR(__xludf.DUMMYFUNCTION("""COMPUTED_VALUE"""),"")</f>
        <v/>
      </c>
      <c r="F3500" s="9" t="str">
        <f>IFERROR(__xludf.DUMMYFUNCTION("""COMPUTED_VALUE"""),"")</f>
        <v/>
      </c>
      <c r="G3500" s="9" t="str">
        <f>IFERROR(__xludf.DUMMYFUNCTION("""COMPUTED_VALUE"""),"")</f>
        <v/>
      </c>
      <c r="H3500" s="9" t="str">
        <f>IFERROR(__xludf.DUMMYFUNCTION("""COMPUTED_VALUE"""),"")</f>
        <v/>
      </c>
      <c r="I3500" s="9" t="str">
        <f>IFERROR(__xludf.DUMMYFUNCTION("""COMPUTED_VALUE"""),"")</f>
        <v/>
      </c>
      <c r="J3500" s="9" t="str">
        <f>IFERROR(__xludf.DUMMYFUNCTION("""COMPUTED_VALUE"""),"")</f>
        <v/>
      </c>
      <c r="K3500" s="9" t="str">
        <f>IFERROR(__xludf.DUMMYFUNCTION("""COMPUTED_VALUE"""),"")</f>
        <v/>
      </c>
      <c r="L3500" s="9" t="str">
        <f>IFERROR(__xludf.DUMMYFUNCTION("""COMPUTED_VALUE"""),"")</f>
        <v/>
      </c>
      <c r="M3500" s="9" t="str">
        <f>IFERROR(__xludf.DUMMYFUNCTION("""COMPUTED_VALUE"""),"")</f>
        <v/>
      </c>
      <c r="N3500" s="9" t="str">
        <f>IFERROR(__xludf.DUMMYFUNCTION("""COMPUTED_VALUE"""),"")</f>
        <v/>
      </c>
      <c r="O3500" s="9" t="str">
        <f>IFERROR(__xludf.DUMMYFUNCTION("""COMPUTED_VALUE"""),"")</f>
        <v/>
      </c>
      <c r="P3500" s="9" t="str">
        <f>IFERROR(__xludf.DUMMYFUNCTION("""COMPUTED_VALUE"""),"")</f>
        <v/>
      </c>
      <c r="Q3500" s="9" t="str">
        <f>IFERROR(__xludf.DUMMYFUNCTION("""COMPUTED_VALUE"""),"")</f>
        <v/>
      </c>
      <c r="R3500" s="9" t="str">
        <f>IFERROR(__xludf.DUMMYFUNCTION("""COMPUTED_VALUE"""),"")</f>
        <v/>
      </c>
      <c r="S3500" s="42"/>
      <c r="T3500" s="42"/>
      <c r="U3500" s="42"/>
      <c r="V3500" s="42"/>
      <c r="W3500" s="42"/>
      <c r="X3500" s="42"/>
      <c r="Y3500" s="42"/>
      <c r="Z3500" s="42"/>
      <c r="AA3500" s="42"/>
      <c r="AB3500" s="42" t="str">
        <f>IFERROR(__xludf.DUMMYFUNCTION("""COMPUTED_VALUE"""),"Tatsuya Miyamoto")</f>
        <v>Tatsuya Miyamoto</v>
      </c>
      <c r="AC3500" s="42" t="str">
        <f>IFERROR(__xludf.DUMMYFUNCTION("""COMPUTED_VALUE"""),"TM21Amygdala")</f>
        <v>TM21Amygdala</v>
      </c>
      <c r="AD3500" s="42"/>
      <c r="AE3500" s="42"/>
      <c r="AF3500" s="9"/>
      <c r="AG3500" s="9"/>
      <c r="AH3500" s="42"/>
      <c r="AI3500" s="42"/>
      <c r="AJ3500" s="42"/>
      <c r="AK3500" s="42"/>
      <c r="AL3500" s="42"/>
      <c r="AM3500" s="42"/>
      <c r="AN3500" s="42"/>
      <c r="AO3500" s="63" t="str">
        <f>IFERROR(__xludf.DUMMYFUNCTION("IF(ISBLANK(A3500),,IF(ISBLANK(S3500), A3500&amp;"";"", TEXTJOIN(CHAR(10), TRUE, A3500&amp;"";"", ARRAYFORMULA(VLOOKUP(SPLIT(S3500, "";"" &amp; CHAR(10)), $A:$AO, 41, FALSE)))))"),"PrCm;")</f>
        <v>PrCm;</v>
      </c>
      <c r="AP3500" s="89"/>
    </row>
    <row r="3501">
      <c r="A3501" s="151" t="str">
        <f>IFERROR(__xludf.DUMMYFUNCTION("""COMPUTED_VALUE"""),"PRCv")</f>
        <v>PRCv</v>
      </c>
      <c r="B3501" s="42" t="str">
        <f>IFERROR(__xludf.DUMMYFUNCTION("""COMPUTED_VALUE"""),"[Pitkänen, 2000]")</f>
        <v>[Pitkänen, 2000]</v>
      </c>
      <c r="C3501" s="42" t="str">
        <f>IFERROR(__xludf.DUMMYFUNCTION("""COMPUTED_VALUE"""),"Perirhinal cortex, ventral portion")</f>
        <v>Perirhinal cortex, ventral portion</v>
      </c>
      <c r="D3501" s="42" t="str">
        <f>IFERROR(__xludf.DUMMYFUNCTION("""COMPUTED_VALUE"""),"?")</f>
        <v>?</v>
      </c>
      <c r="E3501" s="39" t="str">
        <f>IFERROR(__xludf.DUMMYFUNCTION("""COMPUTED_VALUE"""),"")</f>
        <v/>
      </c>
      <c r="F3501" s="9" t="str">
        <f>IFERROR(__xludf.DUMMYFUNCTION("""COMPUTED_VALUE"""),"")</f>
        <v/>
      </c>
      <c r="G3501" s="9" t="str">
        <f>IFERROR(__xludf.DUMMYFUNCTION("""COMPUTED_VALUE"""),"")</f>
        <v/>
      </c>
      <c r="H3501" s="9" t="str">
        <f>IFERROR(__xludf.DUMMYFUNCTION("""COMPUTED_VALUE"""),"")</f>
        <v/>
      </c>
      <c r="I3501" s="9" t="str">
        <f>IFERROR(__xludf.DUMMYFUNCTION("""COMPUTED_VALUE"""),"")</f>
        <v/>
      </c>
      <c r="J3501" s="9" t="str">
        <f>IFERROR(__xludf.DUMMYFUNCTION("""COMPUTED_VALUE"""),"")</f>
        <v/>
      </c>
      <c r="K3501" s="9" t="str">
        <f>IFERROR(__xludf.DUMMYFUNCTION("""COMPUTED_VALUE"""),"")</f>
        <v/>
      </c>
      <c r="L3501" s="9" t="str">
        <f>IFERROR(__xludf.DUMMYFUNCTION("""COMPUTED_VALUE"""),"")</f>
        <v/>
      </c>
      <c r="M3501" s="9" t="str">
        <f>IFERROR(__xludf.DUMMYFUNCTION("""COMPUTED_VALUE"""),"")</f>
        <v/>
      </c>
      <c r="N3501" s="9" t="str">
        <f>IFERROR(__xludf.DUMMYFUNCTION("""COMPUTED_VALUE"""),"")</f>
        <v/>
      </c>
      <c r="O3501" s="9" t="str">
        <f>IFERROR(__xludf.DUMMYFUNCTION("""COMPUTED_VALUE"""),"")</f>
        <v/>
      </c>
      <c r="P3501" s="9" t="str">
        <f>IFERROR(__xludf.DUMMYFUNCTION("""COMPUTED_VALUE"""),"")</f>
        <v/>
      </c>
      <c r="Q3501" s="9" t="str">
        <f>IFERROR(__xludf.DUMMYFUNCTION("""COMPUTED_VALUE"""),"")</f>
        <v/>
      </c>
      <c r="R3501" s="9" t="str">
        <f>IFERROR(__xludf.DUMMYFUNCTION("""COMPUTED_VALUE"""),"")</f>
        <v/>
      </c>
      <c r="S3501" s="42"/>
      <c r="T3501" s="42"/>
      <c r="U3501" s="42"/>
      <c r="V3501" s="42"/>
      <c r="W3501" s="42"/>
      <c r="X3501" s="42"/>
      <c r="Y3501" s="42"/>
      <c r="Z3501" s="42"/>
      <c r="AA3501" s="42"/>
      <c r="AB3501" s="42" t="str">
        <f>IFERROR(__xludf.DUMMYFUNCTION("""COMPUTED_VALUE"""),"Tatsuya Miyamoto")</f>
        <v>Tatsuya Miyamoto</v>
      </c>
      <c r="AC3501" s="42" t="str">
        <f>IFERROR(__xludf.DUMMYFUNCTION("""COMPUTED_VALUE"""),"TM21Amygdala")</f>
        <v>TM21Amygdala</v>
      </c>
      <c r="AD3501" s="42"/>
      <c r="AE3501" s="42"/>
      <c r="AF3501" s="9"/>
      <c r="AG3501" s="9"/>
      <c r="AH3501" s="42"/>
      <c r="AI3501" s="42"/>
      <c r="AJ3501" s="42"/>
      <c r="AK3501" s="42"/>
      <c r="AL3501" s="42"/>
      <c r="AM3501" s="42"/>
      <c r="AN3501" s="42"/>
      <c r="AO3501" s="63" t="str">
        <f>IFERROR(__xludf.DUMMYFUNCTION("IF(ISBLANK(A3501),,IF(ISBLANK(S3501), A3501&amp;"";"", TEXTJOIN(CHAR(10), TRUE, A3501&amp;"";"", ARRAYFORMULA(VLOOKUP(SPLIT(S3501, "";"" &amp; CHAR(10)), $A:$AO, 41, FALSE)))))"),"PRCv;")</f>
        <v>PRCv;</v>
      </c>
      <c r="AP3501" s="89"/>
    </row>
    <row r="3502">
      <c r="A3502" s="42"/>
      <c r="B3502" s="42"/>
      <c r="C3502" s="42"/>
      <c r="D3502" s="42"/>
      <c r="E3502" s="39"/>
      <c r="F3502" s="9"/>
      <c r="G3502" s="9"/>
      <c r="H3502" s="9"/>
      <c r="I3502" s="9"/>
      <c r="J3502" s="9"/>
      <c r="K3502" s="9"/>
      <c r="L3502" s="9"/>
      <c r="M3502" s="9"/>
      <c r="N3502" s="9"/>
      <c r="O3502" s="9"/>
      <c r="P3502" s="9"/>
      <c r="Q3502" s="9"/>
      <c r="R3502" s="9"/>
      <c r="S3502" s="42"/>
      <c r="T3502" s="42"/>
      <c r="U3502" s="159"/>
      <c r="V3502" s="42"/>
      <c r="W3502" s="42"/>
      <c r="X3502" s="42"/>
      <c r="Y3502" s="42"/>
      <c r="Z3502" s="42"/>
      <c r="AA3502" s="42"/>
      <c r="AB3502" s="42"/>
      <c r="AC3502" s="42"/>
      <c r="AD3502" s="42"/>
      <c r="AE3502" s="42"/>
      <c r="AF3502" s="9"/>
      <c r="AG3502" s="9"/>
      <c r="AH3502" s="42"/>
      <c r="AI3502" s="42"/>
      <c r="AJ3502" s="42"/>
      <c r="AK3502" s="42"/>
      <c r="AL3502" s="42"/>
      <c r="AM3502" s="42"/>
      <c r="AN3502" s="42"/>
      <c r="AO3502" s="63" t="str">
        <f>IFERROR(__xludf.DUMMYFUNCTION("IF(ISBLANK(A3502),,IF(ISBLANK(S3502), A3502&amp;"";"", TEXTJOIN(CHAR(10), TRUE, A3502&amp;"";"", ARRAYFORMULA(VLOOKUP(SPLIT(S3502, "";"" &amp; CHAR(10)), $A:$AO, 41, FALSE)))))"),"")</f>
        <v/>
      </c>
      <c r="AP3502" s="89"/>
    </row>
    <row r="3503">
      <c r="A3503" s="151" t="str">
        <f>IFERROR(__xludf.DUMMYFUNCTION("""COMPUTED_VALUE"""),"SII")</f>
        <v>SII</v>
      </c>
      <c r="B3503" s="42" t="str">
        <f>IFERROR(__xludf.DUMMYFUNCTION("""COMPUTED_VALUE"""),"[Pitkänen, 2000]")</f>
        <v>[Pitkänen, 2000]</v>
      </c>
      <c r="C3503" s="42" t="str">
        <f>IFERROR(__xludf.DUMMYFUNCTION("""COMPUTED_VALUE"""),"Secondary somatosensory area")</f>
        <v>Secondary somatosensory area</v>
      </c>
      <c r="D3503" s="42" t="str">
        <f>IFERROR(__xludf.DUMMYFUNCTION("""COMPUTED_VALUE"""),"?")</f>
        <v>?</v>
      </c>
      <c r="E3503" s="39" t="str">
        <f>IFERROR(__xludf.DUMMYFUNCTION("""COMPUTED_VALUE"""),"")</f>
        <v/>
      </c>
      <c r="F3503" s="9" t="str">
        <f>IFERROR(__xludf.DUMMYFUNCTION("""COMPUTED_VALUE"""),"")</f>
        <v/>
      </c>
      <c r="G3503" s="9" t="str">
        <f>IFERROR(__xludf.DUMMYFUNCTION("""COMPUTED_VALUE"""),"")</f>
        <v/>
      </c>
      <c r="H3503" s="9" t="str">
        <f>IFERROR(__xludf.DUMMYFUNCTION("""COMPUTED_VALUE"""),"")</f>
        <v/>
      </c>
      <c r="I3503" s="9" t="str">
        <f>IFERROR(__xludf.DUMMYFUNCTION("""COMPUTED_VALUE"""),"")</f>
        <v/>
      </c>
      <c r="J3503" s="9" t="str">
        <f>IFERROR(__xludf.DUMMYFUNCTION("""COMPUTED_VALUE"""),"")</f>
        <v/>
      </c>
      <c r="K3503" s="9" t="str">
        <f>IFERROR(__xludf.DUMMYFUNCTION("""COMPUTED_VALUE"""),"")</f>
        <v/>
      </c>
      <c r="L3503" s="9" t="str">
        <f>IFERROR(__xludf.DUMMYFUNCTION("""COMPUTED_VALUE"""),"")</f>
        <v/>
      </c>
      <c r="M3503" s="9" t="str">
        <f>IFERROR(__xludf.DUMMYFUNCTION("""COMPUTED_VALUE"""),"")</f>
        <v/>
      </c>
      <c r="N3503" s="9" t="str">
        <f>IFERROR(__xludf.DUMMYFUNCTION("""COMPUTED_VALUE"""),"")</f>
        <v/>
      </c>
      <c r="O3503" s="9" t="str">
        <f>IFERROR(__xludf.DUMMYFUNCTION("""COMPUTED_VALUE"""),"")</f>
        <v/>
      </c>
      <c r="P3503" s="9" t="str">
        <f>IFERROR(__xludf.DUMMYFUNCTION("""COMPUTED_VALUE"""),"")</f>
        <v/>
      </c>
      <c r="Q3503" s="9" t="str">
        <f>IFERROR(__xludf.DUMMYFUNCTION("""COMPUTED_VALUE"""),"")</f>
        <v/>
      </c>
      <c r="R3503" s="9" t="str">
        <f>IFERROR(__xludf.DUMMYFUNCTION("""COMPUTED_VALUE"""),"")</f>
        <v/>
      </c>
      <c r="S3503" s="42"/>
      <c r="T3503" s="42"/>
      <c r="U3503" s="42"/>
      <c r="V3503" s="42"/>
      <c r="W3503" s="42"/>
      <c r="X3503" s="42"/>
      <c r="Y3503" s="42"/>
      <c r="Z3503" s="42"/>
      <c r="AA3503" s="42"/>
      <c r="AB3503" s="42" t="str">
        <f>IFERROR(__xludf.DUMMYFUNCTION("""COMPUTED_VALUE"""),"Tatsuya Miyamoto")</f>
        <v>Tatsuya Miyamoto</v>
      </c>
      <c r="AC3503" s="42" t="str">
        <f>IFERROR(__xludf.DUMMYFUNCTION("""COMPUTED_VALUE"""),"TM21Amygdala")</f>
        <v>TM21Amygdala</v>
      </c>
      <c r="AD3503" s="42"/>
      <c r="AE3503" s="42"/>
      <c r="AF3503" s="9"/>
      <c r="AG3503" s="9"/>
      <c r="AH3503" s="42"/>
      <c r="AI3503" s="42"/>
      <c r="AJ3503" s="42"/>
      <c r="AK3503" s="42"/>
      <c r="AL3503" s="42"/>
      <c r="AM3503" s="42"/>
      <c r="AN3503" s="42"/>
      <c r="AO3503" s="63" t="str">
        <f>IFERROR(__xludf.DUMMYFUNCTION("IF(ISBLANK(A3503),,IF(ISBLANK(S3503), A3503&amp;"";"", TEXTJOIN(CHAR(10), TRUE, A3503&amp;"";"", ARRAYFORMULA(VLOOKUP(SPLIT(S3503, "";"" &amp; CHAR(10)), $A:$AO, 41, FALSE)))))"),"SII;")</f>
        <v>SII;</v>
      </c>
      <c r="AP3503" s="89"/>
    </row>
    <row r="3504">
      <c r="A3504" s="151" t="str">
        <f>IFERROR(__xludf.DUMMYFUNCTION("""COMPUTED_VALUE"""),"Te1")</f>
        <v>Te1</v>
      </c>
      <c r="B3504" s="42" t="str">
        <f>IFERROR(__xludf.DUMMYFUNCTION("""COMPUTED_VALUE"""),"[Pitkänen, 2000]")</f>
        <v>[Pitkänen, 2000]</v>
      </c>
      <c r="C3504" s="42" t="str">
        <f>IFERROR(__xludf.DUMMYFUNCTION("""COMPUTED_VALUE"""),"Temporal cortex, area 1")</f>
        <v>Temporal cortex, area 1</v>
      </c>
      <c r="D3504" s="42" t="str">
        <f>IFERROR(__xludf.DUMMYFUNCTION("""COMPUTED_VALUE"""),"?")</f>
        <v>?</v>
      </c>
      <c r="E3504" s="39" t="str">
        <f>IFERROR(__xludf.DUMMYFUNCTION("""COMPUTED_VALUE"""),"")</f>
        <v/>
      </c>
      <c r="F3504" s="9" t="str">
        <f>IFERROR(__xludf.DUMMYFUNCTION("""COMPUTED_VALUE"""),"")</f>
        <v/>
      </c>
      <c r="G3504" s="9" t="str">
        <f>IFERROR(__xludf.DUMMYFUNCTION("""COMPUTED_VALUE"""),"")</f>
        <v/>
      </c>
      <c r="H3504" s="9" t="str">
        <f>IFERROR(__xludf.DUMMYFUNCTION("""COMPUTED_VALUE"""),"")</f>
        <v/>
      </c>
      <c r="I3504" s="9" t="str">
        <f>IFERROR(__xludf.DUMMYFUNCTION("""COMPUTED_VALUE"""),"")</f>
        <v/>
      </c>
      <c r="J3504" s="9" t="str">
        <f>IFERROR(__xludf.DUMMYFUNCTION("""COMPUTED_VALUE"""),"")</f>
        <v/>
      </c>
      <c r="K3504" s="9" t="str">
        <f>IFERROR(__xludf.DUMMYFUNCTION("""COMPUTED_VALUE"""),"")</f>
        <v/>
      </c>
      <c r="L3504" s="9" t="str">
        <f>IFERROR(__xludf.DUMMYFUNCTION("""COMPUTED_VALUE"""),"")</f>
        <v/>
      </c>
      <c r="M3504" s="9" t="str">
        <f>IFERROR(__xludf.DUMMYFUNCTION("""COMPUTED_VALUE"""),"")</f>
        <v/>
      </c>
      <c r="N3504" s="9" t="str">
        <f>IFERROR(__xludf.DUMMYFUNCTION("""COMPUTED_VALUE"""),"")</f>
        <v/>
      </c>
      <c r="O3504" s="9" t="str">
        <f>IFERROR(__xludf.DUMMYFUNCTION("""COMPUTED_VALUE"""),"")</f>
        <v/>
      </c>
      <c r="P3504" s="9" t="str">
        <f>IFERROR(__xludf.DUMMYFUNCTION("""COMPUTED_VALUE"""),"")</f>
        <v/>
      </c>
      <c r="Q3504" s="9" t="str">
        <f>IFERROR(__xludf.DUMMYFUNCTION("""COMPUTED_VALUE"""),"")</f>
        <v/>
      </c>
      <c r="R3504" s="9" t="str">
        <f>IFERROR(__xludf.DUMMYFUNCTION("""COMPUTED_VALUE"""),"")</f>
        <v/>
      </c>
      <c r="S3504" s="42"/>
      <c r="T3504" s="42"/>
      <c r="U3504" s="159"/>
      <c r="V3504" s="42"/>
      <c r="W3504" s="42"/>
      <c r="X3504" s="42"/>
      <c r="Y3504" s="42"/>
      <c r="Z3504" s="42"/>
      <c r="AA3504" s="42"/>
      <c r="AB3504" s="42" t="str">
        <f>IFERROR(__xludf.DUMMYFUNCTION("""COMPUTED_VALUE"""),"Tatsuya Miyamoto")</f>
        <v>Tatsuya Miyamoto</v>
      </c>
      <c r="AC3504" s="42" t="str">
        <f>IFERROR(__xludf.DUMMYFUNCTION("""COMPUTED_VALUE"""),"TM21Amygdala")</f>
        <v>TM21Amygdala</v>
      </c>
      <c r="AD3504" s="42"/>
      <c r="AE3504" s="42"/>
      <c r="AF3504" s="9"/>
      <c r="AG3504" s="9"/>
      <c r="AH3504" s="42"/>
      <c r="AI3504" s="42"/>
      <c r="AJ3504" s="42"/>
      <c r="AK3504" s="42"/>
      <c r="AL3504" s="42"/>
      <c r="AM3504" s="42"/>
      <c r="AN3504" s="42"/>
      <c r="AO3504" s="63" t="str">
        <f>IFERROR(__xludf.DUMMYFUNCTION("IF(ISBLANK(A3504),,IF(ISBLANK(S3504), A3504&amp;"";"", TEXTJOIN(CHAR(10), TRUE, A3504&amp;"";"", ARRAYFORMULA(VLOOKUP(SPLIT(S3504, "";"" &amp; CHAR(10)), $A:$AO, 41, FALSE)))))"),"Te1;")</f>
        <v>Te1;</v>
      </c>
      <c r="AP3504" s="89"/>
    </row>
    <row r="3505">
      <c r="A3505" s="151" t="str">
        <f>IFERROR(__xludf.DUMMYFUNCTION("""COMPUTED_VALUE"""),"Te2")</f>
        <v>Te2</v>
      </c>
      <c r="B3505" s="42" t="str">
        <f>IFERROR(__xludf.DUMMYFUNCTION("""COMPUTED_VALUE"""),"[Pitkänen, 2000]")</f>
        <v>[Pitkänen, 2000]</v>
      </c>
      <c r="C3505" s="42" t="str">
        <f>IFERROR(__xludf.DUMMYFUNCTION("""COMPUTED_VALUE"""),"Temporal cortex, area 2")</f>
        <v>Temporal cortex, area 2</v>
      </c>
      <c r="D3505" s="42" t="str">
        <f>IFERROR(__xludf.DUMMYFUNCTION("""COMPUTED_VALUE"""),"?")</f>
        <v>?</v>
      </c>
      <c r="E3505" s="39" t="str">
        <f>IFERROR(__xludf.DUMMYFUNCTION("""COMPUTED_VALUE"""),"")</f>
        <v/>
      </c>
      <c r="F3505" s="9" t="str">
        <f>IFERROR(__xludf.DUMMYFUNCTION("""COMPUTED_VALUE"""),"")</f>
        <v/>
      </c>
      <c r="G3505" s="9" t="str">
        <f>IFERROR(__xludf.DUMMYFUNCTION("""COMPUTED_VALUE"""),"")</f>
        <v/>
      </c>
      <c r="H3505" s="9" t="str">
        <f>IFERROR(__xludf.DUMMYFUNCTION("""COMPUTED_VALUE"""),"")</f>
        <v/>
      </c>
      <c r="I3505" s="9" t="str">
        <f>IFERROR(__xludf.DUMMYFUNCTION("""COMPUTED_VALUE"""),"")</f>
        <v/>
      </c>
      <c r="J3505" s="9" t="str">
        <f>IFERROR(__xludf.DUMMYFUNCTION("""COMPUTED_VALUE"""),"")</f>
        <v/>
      </c>
      <c r="K3505" s="9" t="str">
        <f>IFERROR(__xludf.DUMMYFUNCTION("""COMPUTED_VALUE"""),"")</f>
        <v/>
      </c>
      <c r="L3505" s="9" t="str">
        <f>IFERROR(__xludf.DUMMYFUNCTION("""COMPUTED_VALUE"""),"")</f>
        <v/>
      </c>
      <c r="M3505" s="9" t="str">
        <f>IFERROR(__xludf.DUMMYFUNCTION("""COMPUTED_VALUE"""),"")</f>
        <v/>
      </c>
      <c r="N3505" s="9" t="str">
        <f>IFERROR(__xludf.DUMMYFUNCTION("""COMPUTED_VALUE"""),"")</f>
        <v/>
      </c>
      <c r="O3505" s="9" t="str">
        <f>IFERROR(__xludf.DUMMYFUNCTION("""COMPUTED_VALUE"""),"")</f>
        <v/>
      </c>
      <c r="P3505" s="9" t="str">
        <f>IFERROR(__xludf.DUMMYFUNCTION("""COMPUTED_VALUE"""),"")</f>
        <v/>
      </c>
      <c r="Q3505" s="9" t="str">
        <f>IFERROR(__xludf.DUMMYFUNCTION("""COMPUTED_VALUE"""),"")</f>
        <v/>
      </c>
      <c r="R3505" s="9" t="str">
        <f>IFERROR(__xludf.DUMMYFUNCTION("""COMPUTED_VALUE"""),"")</f>
        <v/>
      </c>
      <c r="S3505" s="42"/>
      <c r="T3505" s="42"/>
      <c r="U3505" s="42"/>
      <c r="V3505" s="42"/>
      <c r="W3505" s="42"/>
      <c r="X3505" s="42"/>
      <c r="Y3505" s="42"/>
      <c r="Z3505" s="42"/>
      <c r="AA3505" s="42"/>
      <c r="AB3505" s="42" t="str">
        <f>IFERROR(__xludf.DUMMYFUNCTION("""COMPUTED_VALUE"""),"Tatsuya Miyamoto")</f>
        <v>Tatsuya Miyamoto</v>
      </c>
      <c r="AC3505" s="42" t="str">
        <f>IFERROR(__xludf.DUMMYFUNCTION("""COMPUTED_VALUE"""),"TM21Amygdala")</f>
        <v>TM21Amygdala</v>
      </c>
      <c r="AD3505" s="42"/>
      <c r="AE3505" s="42"/>
      <c r="AF3505" s="9"/>
      <c r="AG3505" s="9"/>
      <c r="AH3505" s="42"/>
      <c r="AI3505" s="42"/>
      <c r="AJ3505" s="42"/>
      <c r="AK3505" s="42"/>
      <c r="AL3505" s="42"/>
      <c r="AM3505" s="42"/>
      <c r="AN3505" s="42"/>
      <c r="AO3505" s="63" t="str">
        <f>IFERROR(__xludf.DUMMYFUNCTION("IF(ISBLANK(A3505),,IF(ISBLANK(S3505), A3505&amp;"";"", TEXTJOIN(CHAR(10), TRUE, A3505&amp;"";"", ARRAYFORMULA(VLOOKUP(SPLIT(S3505, "";"" &amp; CHAR(10)), $A:$AO, 41, FALSE)))))"),"Te2;")</f>
        <v>Te2;</v>
      </c>
      <c r="AP3505" s="89"/>
    </row>
    <row r="3506">
      <c r="A3506" s="151" t="str">
        <f>IFERROR(__xludf.DUMMYFUNCTION("""COMPUTED_VALUE"""),"Te2D")</f>
        <v>Te2D</v>
      </c>
      <c r="B3506" s="42" t="str">
        <f>IFERROR(__xludf.DUMMYFUNCTION("""COMPUTED_VALUE"""),"[Pitkänen, 2000]")</f>
        <v>[Pitkänen, 2000]</v>
      </c>
      <c r="C3506" s="42" t="str">
        <f>IFERROR(__xludf.DUMMYFUNCTION("""COMPUTED_VALUE"""),"Temporal cortex, area 2, dorsal portion")</f>
        <v>Temporal cortex, area 2, dorsal portion</v>
      </c>
      <c r="D3506" s="42" t="str">
        <f>IFERROR(__xludf.DUMMYFUNCTION("""COMPUTED_VALUE"""),"?")</f>
        <v>?</v>
      </c>
      <c r="E3506" s="39" t="str">
        <f>IFERROR(__xludf.DUMMYFUNCTION("""COMPUTED_VALUE"""),"")</f>
        <v/>
      </c>
      <c r="F3506" s="9" t="str">
        <f>IFERROR(__xludf.DUMMYFUNCTION("""COMPUTED_VALUE"""),"")</f>
        <v/>
      </c>
      <c r="G3506" s="9" t="str">
        <f>IFERROR(__xludf.DUMMYFUNCTION("""COMPUTED_VALUE"""),"")</f>
        <v/>
      </c>
      <c r="H3506" s="9" t="str">
        <f>IFERROR(__xludf.DUMMYFUNCTION("""COMPUTED_VALUE"""),"")</f>
        <v/>
      </c>
      <c r="I3506" s="9" t="str">
        <f>IFERROR(__xludf.DUMMYFUNCTION("""COMPUTED_VALUE"""),"")</f>
        <v/>
      </c>
      <c r="J3506" s="9" t="str">
        <f>IFERROR(__xludf.DUMMYFUNCTION("""COMPUTED_VALUE"""),"")</f>
        <v/>
      </c>
      <c r="K3506" s="9" t="str">
        <f>IFERROR(__xludf.DUMMYFUNCTION("""COMPUTED_VALUE"""),"")</f>
        <v/>
      </c>
      <c r="L3506" s="9" t="str">
        <f>IFERROR(__xludf.DUMMYFUNCTION("""COMPUTED_VALUE"""),"")</f>
        <v/>
      </c>
      <c r="M3506" s="9" t="str">
        <f>IFERROR(__xludf.DUMMYFUNCTION("""COMPUTED_VALUE"""),"")</f>
        <v/>
      </c>
      <c r="N3506" s="9" t="str">
        <f>IFERROR(__xludf.DUMMYFUNCTION("""COMPUTED_VALUE"""),"")</f>
        <v/>
      </c>
      <c r="O3506" s="9" t="str">
        <f>IFERROR(__xludf.DUMMYFUNCTION("""COMPUTED_VALUE"""),"")</f>
        <v/>
      </c>
      <c r="P3506" s="9" t="str">
        <f>IFERROR(__xludf.DUMMYFUNCTION("""COMPUTED_VALUE"""),"")</f>
        <v/>
      </c>
      <c r="Q3506" s="9" t="str">
        <f>IFERROR(__xludf.DUMMYFUNCTION("""COMPUTED_VALUE"""),"")</f>
        <v/>
      </c>
      <c r="R3506" s="9" t="str">
        <f>IFERROR(__xludf.DUMMYFUNCTION("""COMPUTED_VALUE"""),"")</f>
        <v/>
      </c>
      <c r="S3506" s="42"/>
      <c r="T3506" s="42"/>
      <c r="U3506" s="42"/>
      <c r="V3506" s="42"/>
      <c r="W3506" s="42"/>
      <c r="X3506" s="42"/>
      <c r="Y3506" s="42"/>
      <c r="Z3506" s="42"/>
      <c r="AA3506" s="42"/>
      <c r="AB3506" s="42" t="str">
        <f>IFERROR(__xludf.DUMMYFUNCTION("""COMPUTED_VALUE"""),"Tatsuya Miyamoto")</f>
        <v>Tatsuya Miyamoto</v>
      </c>
      <c r="AC3506" s="42" t="str">
        <f>IFERROR(__xludf.DUMMYFUNCTION("""COMPUTED_VALUE"""),"TM21Amygdala")</f>
        <v>TM21Amygdala</v>
      </c>
      <c r="AD3506" s="42"/>
      <c r="AE3506" s="42"/>
      <c r="AF3506" s="9"/>
      <c r="AG3506" s="9"/>
      <c r="AH3506" s="42"/>
      <c r="AI3506" s="42"/>
      <c r="AJ3506" s="42"/>
      <c r="AK3506" s="42"/>
      <c r="AL3506" s="42"/>
      <c r="AM3506" s="42"/>
      <c r="AN3506" s="42"/>
      <c r="AO3506" s="63" t="str">
        <f>IFERROR(__xludf.DUMMYFUNCTION("IF(ISBLANK(A3506),,IF(ISBLANK(S3506), A3506&amp;"";"", TEXTJOIN(CHAR(10), TRUE, A3506&amp;"";"", ARRAYFORMULA(VLOOKUP(SPLIT(S3506, "";"" &amp; CHAR(10)), $A:$AO, 41, FALSE)))))"),"Te2D;")</f>
        <v>Te2D;</v>
      </c>
      <c r="AP3506" s="89"/>
    </row>
    <row r="3507">
      <c r="A3507" s="151" t="str">
        <f>IFERROR(__xludf.DUMMYFUNCTION("""COMPUTED_VALUE"""),"Te3")</f>
        <v>Te3</v>
      </c>
      <c r="B3507" s="42" t="str">
        <f>IFERROR(__xludf.DUMMYFUNCTION("""COMPUTED_VALUE"""),"[Pitkänen, 2000]")</f>
        <v>[Pitkänen, 2000]</v>
      </c>
      <c r="C3507" s="42" t="str">
        <f>IFERROR(__xludf.DUMMYFUNCTION("""COMPUTED_VALUE"""),"Temporal cortex, area 3")</f>
        <v>Temporal cortex, area 3</v>
      </c>
      <c r="D3507" s="42" t="str">
        <f>IFERROR(__xludf.DUMMYFUNCTION("""COMPUTED_VALUE"""),"?")</f>
        <v>?</v>
      </c>
      <c r="E3507" s="39" t="str">
        <f>IFERROR(__xludf.DUMMYFUNCTION("""COMPUTED_VALUE"""),"")</f>
        <v/>
      </c>
      <c r="F3507" s="9" t="str">
        <f>IFERROR(__xludf.DUMMYFUNCTION("""COMPUTED_VALUE"""),"")</f>
        <v/>
      </c>
      <c r="G3507" s="9" t="str">
        <f>IFERROR(__xludf.DUMMYFUNCTION("""COMPUTED_VALUE"""),"")</f>
        <v/>
      </c>
      <c r="H3507" s="9" t="str">
        <f>IFERROR(__xludf.DUMMYFUNCTION("""COMPUTED_VALUE"""),"")</f>
        <v/>
      </c>
      <c r="I3507" s="9" t="str">
        <f>IFERROR(__xludf.DUMMYFUNCTION("""COMPUTED_VALUE"""),"")</f>
        <v/>
      </c>
      <c r="J3507" s="9" t="str">
        <f>IFERROR(__xludf.DUMMYFUNCTION("""COMPUTED_VALUE"""),"")</f>
        <v/>
      </c>
      <c r="K3507" s="9" t="str">
        <f>IFERROR(__xludf.DUMMYFUNCTION("""COMPUTED_VALUE"""),"")</f>
        <v/>
      </c>
      <c r="L3507" s="9" t="str">
        <f>IFERROR(__xludf.DUMMYFUNCTION("""COMPUTED_VALUE"""),"")</f>
        <v/>
      </c>
      <c r="M3507" s="9" t="str">
        <f>IFERROR(__xludf.DUMMYFUNCTION("""COMPUTED_VALUE"""),"")</f>
        <v/>
      </c>
      <c r="N3507" s="9" t="str">
        <f>IFERROR(__xludf.DUMMYFUNCTION("""COMPUTED_VALUE"""),"")</f>
        <v/>
      </c>
      <c r="O3507" s="9" t="str">
        <f>IFERROR(__xludf.DUMMYFUNCTION("""COMPUTED_VALUE"""),"")</f>
        <v/>
      </c>
      <c r="P3507" s="9" t="str">
        <f>IFERROR(__xludf.DUMMYFUNCTION("""COMPUTED_VALUE"""),"")</f>
        <v/>
      </c>
      <c r="Q3507" s="9" t="str">
        <f>IFERROR(__xludf.DUMMYFUNCTION("""COMPUTED_VALUE"""),"")</f>
        <v/>
      </c>
      <c r="R3507" s="9" t="str">
        <f>IFERROR(__xludf.DUMMYFUNCTION("""COMPUTED_VALUE"""),"")</f>
        <v/>
      </c>
      <c r="S3507" s="42"/>
      <c r="T3507" s="42"/>
      <c r="U3507" s="159"/>
      <c r="V3507" s="42"/>
      <c r="W3507" s="42"/>
      <c r="X3507" s="42"/>
      <c r="Y3507" s="42"/>
      <c r="Z3507" s="42"/>
      <c r="AA3507" s="42"/>
      <c r="AB3507" s="42" t="str">
        <f>IFERROR(__xludf.DUMMYFUNCTION("""COMPUTED_VALUE"""),"Tatsuya Miyamoto")</f>
        <v>Tatsuya Miyamoto</v>
      </c>
      <c r="AC3507" s="42" t="str">
        <f>IFERROR(__xludf.DUMMYFUNCTION("""COMPUTED_VALUE"""),"TM21Amygdala")</f>
        <v>TM21Amygdala</v>
      </c>
      <c r="AD3507" s="42"/>
      <c r="AE3507" s="42"/>
      <c r="AF3507" s="9"/>
      <c r="AG3507" s="9"/>
      <c r="AH3507" s="42"/>
      <c r="AI3507" s="42"/>
      <c r="AJ3507" s="42"/>
      <c r="AK3507" s="42"/>
      <c r="AL3507" s="42"/>
      <c r="AM3507" s="42"/>
      <c r="AN3507" s="42"/>
      <c r="AO3507" s="63" t="str">
        <f>IFERROR(__xludf.DUMMYFUNCTION("IF(ISBLANK(A3507),,IF(ISBLANK(S3507), A3507&amp;"";"", TEXTJOIN(CHAR(10), TRUE, A3507&amp;"";"", ARRAYFORMULA(VLOOKUP(SPLIT(S3507, "";"" &amp; CHAR(10)), $A:$AO, 41, FALSE)))))"),"Te3;")</f>
        <v>Te3;</v>
      </c>
      <c r="AP3507" s="89"/>
    </row>
    <row r="3508">
      <c r="A3508" s="151" t="str">
        <f>IFERROR(__xludf.DUMMYFUNCTION("""COMPUTED_VALUE"""),"Te3R")</f>
        <v>Te3R</v>
      </c>
      <c r="B3508" s="42" t="str">
        <f>IFERROR(__xludf.DUMMYFUNCTION("""COMPUTED_VALUE"""),"[Pitkänen, 2000]")</f>
        <v>[Pitkänen, 2000]</v>
      </c>
      <c r="C3508" s="42" t="str">
        <f>IFERROR(__xludf.DUMMYFUNCTION("""COMPUTED_VALUE"""),"Temporal cortex, area 3, dorsal portion")</f>
        <v>Temporal cortex, area 3, dorsal portion</v>
      </c>
      <c r="D3508" s="42" t="str">
        <f>IFERROR(__xludf.DUMMYFUNCTION("""COMPUTED_VALUE"""),"?")</f>
        <v>?</v>
      </c>
      <c r="E3508" s="39" t="str">
        <f>IFERROR(__xludf.DUMMYFUNCTION("""COMPUTED_VALUE"""),"")</f>
        <v/>
      </c>
      <c r="F3508" s="9" t="str">
        <f>IFERROR(__xludf.DUMMYFUNCTION("""COMPUTED_VALUE"""),"")</f>
        <v/>
      </c>
      <c r="G3508" s="9" t="str">
        <f>IFERROR(__xludf.DUMMYFUNCTION("""COMPUTED_VALUE"""),"")</f>
        <v/>
      </c>
      <c r="H3508" s="9" t="str">
        <f>IFERROR(__xludf.DUMMYFUNCTION("""COMPUTED_VALUE"""),"")</f>
        <v/>
      </c>
      <c r="I3508" s="9" t="str">
        <f>IFERROR(__xludf.DUMMYFUNCTION("""COMPUTED_VALUE"""),"")</f>
        <v/>
      </c>
      <c r="J3508" s="9" t="str">
        <f>IFERROR(__xludf.DUMMYFUNCTION("""COMPUTED_VALUE"""),"")</f>
        <v/>
      </c>
      <c r="K3508" s="9" t="str">
        <f>IFERROR(__xludf.DUMMYFUNCTION("""COMPUTED_VALUE"""),"")</f>
        <v/>
      </c>
      <c r="L3508" s="9" t="str">
        <f>IFERROR(__xludf.DUMMYFUNCTION("""COMPUTED_VALUE"""),"")</f>
        <v/>
      </c>
      <c r="M3508" s="9" t="str">
        <f>IFERROR(__xludf.DUMMYFUNCTION("""COMPUTED_VALUE"""),"")</f>
        <v/>
      </c>
      <c r="N3508" s="9" t="str">
        <f>IFERROR(__xludf.DUMMYFUNCTION("""COMPUTED_VALUE"""),"")</f>
        <v/>
      </c>
      <c r="O3508" s="9" t="str">
        <f>IFERROR(__xludf.DUMMYFUNCTION("""COMPUTED_VALUE"""),"")</f>
        <v/>
      </c>
      <c r="P3508" s="9" t="str">
        <f>IFERROR(__xludf.DUMMYFUNCTION("""COMPUTED_VALUE"""),"")</f>
        <v/>
      </c>
      <c r="Q3508" s="9" t="str">
        <f>IFERROR(__xludf.DUMMYFUNCTION("""COMPUTED_VALUE"""),"")</f>
        <v/>
      </c>
      <c r="R3508" s="9" t="str">
        <f>IFERROR(__xludf.DUMMYFUNCTION("""COMPUTED_VALUE"""),"")</f>
        <v/>
      </c>
      <c r="S3508" s="42"/>
      <c r="T3508" s="42"/>
      <c r="U3508" s="159"/>
      <c r="V3508" s="42"/>
      <c r="W3508" s="42"/>
      <c r="X3508" s="42"/>
      <c r="Y3508" s="42"/>
      <c r="Z3508" s="42"/>
      <c r="AA3508" s="42"/>
      <c r="AB3508" s="42" t="str">
        <f>IFERROR(__xludf.DUMMYFUNCTION("""COMPUTED_VALUE"""),"Tatsuya Miyamoto")</f>
        <v>Tatsuya Miyamoto</v>
      </c>
      <c r="AC3508" s="42" t="str">
        <f>IFERROR(__xludf.DUMMYFUNCTION("""COMPUTED_VALUE"""),"TM21Amygdala")</f>
        <v>TM21Amygdala</v>
      </c>
      <c r="AD3508" s="42"/>
      <c r="AE3508" s="42"/>
      <c r="AF3508" s="9"/>
      <c r="AG3508" s="9"/>
      <c r="AH3508" s="42"/>
      <c r="AI3508" s="42"/>
      <c r="AJ3508" s="42"/>
      <c r="AK3508" s="42"/>
      <c r="AL3508" s="42"/>
      <c r="AM3508" s="42"/>
      <c r="AN3508" s="42"/>
      <c r="AO3508" s="63" t="str">
        <f>IFERROR(__xludf.DUMMYFUNCTION("IF(ISBLANK(A3508),,IF(ISBLANK(S3508), A3508&amp;"";"", TEXTJOIN(CHAR(10), TRUE, A3508&amp;"";"", ARRAYFORMULA(VLOOKUP(SPLIT(S3508, "";"" &amp; CHAR(10)), $A:$AO, 41, FALSE)))))"),"Te3R;")</f>
        <v>Te3R;</v>
      </c>
      <c r="AP3508" s="89"/>
    </row>
    <row r="3509">
      <c r="A3509" s="151" t="str">
        <f>IFERROR(__xludf.DUMMYFUNCTION("""COMPUTED_VALUE"""),"Tu")</f>
        <v>Tu</v>
      </c>
      <c r="B3509" s="42" t="str">
        <f>IFERROR(__xludf.DUMMYFUNCTION("""COMPUTED_VALUE"""),"[Pitkänen, 2000]")</f>
        <v>[Pitkänen, 2000]</v>
      </c>
      <c r="C3509" s="42" t="str">
        <f>IFERROR(__xludf.DUMMYFUNCTION("""COMPUTED_VALUE"""),"Tuberal nucleus")</f>
        <v>Tuberal nucleus</v>
      </c>
      <c r="D3509" s="42" t="str">
        <f>IFERROR(__xludf.DUMMYFUNCTION("""COMPUTED_VALUE"""),"?")</f>
        <v>?</v>
      </c>
      <c r="E3509" s="39" t="str">
        <f>IFERROR(__xludf.DUMMYFUNCTION("""COMPUTED_VALUE"""),"")</f>
        <v/>
      </c>
      <c r="F3509" s="9" t="str">
        <f>IFERROR(__xludf.DUMMYFUNCTION("""COMPUTED_VALUE"""),"")</f>
        <v/>
      </c>
      <c r="G3509" s="9" t="str">
        <f>IFERROR(__xludf.DUMMYFUNCTION("""COMPUTED_VALUE"""),"")</f>
        <v/>
      </c>
      <c r="H3509" s="9" t="str">
        <f>IFERROR(__xludf.DUMMYFUNCTION("""COMPUTED_VALUE"""),"")</f>
        <v/>
      </c>
      <c r="I3509" s="9" t="str">
        <f>IFERROR(__xludf.DUMMYFUNCTION("""COMPUTED_VALUE"""),"")</f>
        <v/>
      </c>
      <c r="J3509" s="9" t="str">
        <f>IFERROR(__xludf.DUMMYFUNCTION("""COMPUTED_VALUE"""),"")</f>
        <v/>
      </c>
      <c r="K3509" s="9" t="str">
        <f>IFERROR(__xludf.DUMMYFUNCTION("""COMPUTED_VALUE"""),"")</f>
        <v/>
      </c>
      <c r="L3509" s="9" t="str">
        <f>IFERROR(__xludf.DUMMYFUNCTION("""COMPUTED_VALUE"""),"")</f>
        <v/>
      </c>
      <c r="M3509" s="9" t="str">
        <f>IFERROR(__xludf.DUMMYFUNCTION("""COMPUTED_VALUE"""),"")</f>
        <v/>
      </c>
      <c r="N3509" s="9" t="str">
        <f>IFERROR(__xludf.DUMMYFUNCTION("""COMPUTED_VALUE"""),"")</f>
        <v/>
      </c>
      <c r="O3509" s="9" t="str">
        <f>IFERROR(__xludf.DUMMYFUNCTION("""COMPUTED_VALUE"""),"")</f>
        <v/>
      </c>
      <c r="P3509" s="9" t="str">
        <f>IFERROR(__xludf.DUMMYFUNCTION("""COMPUTED_VALUE"""),"")</f>
        <v/>
      </c>
      <c r="Q3509" s="9" t="str">
        <f>IFERROR(__xludf.DUMMYFUNCTION("""COMPUTED_VALUE"""),"")</f>
        <v/>
      </c>
      <c r="R3509" s="9" t="str">
        <f>IFERROR(__xludf.DUMMYFUNCTION("""COMPUTED_VALUE"""),"")</f>
        <v/>
      </c>
      <c r="S3509" s="42"/>
      <c r="T3509" s="42"/>
      <c r="U3509" s="159"/>
      <c r="V3509" s="42"/>
      <c r="W3509" s="42"/>
      <c r="X3509" s="42"/>
      <c r="Y3509" s="42"/>
      <c r="Z3509" s="42"/>
      <c r="AA3509" s="42"/>
      <c r="AB3509" s="42" t="str">
        <f>IFERROR(__xludf.DUMMYFUNCTION("""COMPUTED_VALUE"""),"Tatsuya Miyamoto")</f>
        <v>Tatsuya Miyamoto</v>
      </c>
      <c r="AC3509" s="42" t="str">
        <f>IFERROR(__xludf.DUMMYFUNCTION("""COMPUTED_VALUE"""),"TM21Amygdala")</f>
        <v>TM21Amygdala</v>
      </c>
      <c r="AD3509" s="42"/>
      <c r="AE3509" s="42"/>
      <c r="AF3509" s="9"/>
      <c r="AG3509" s="9"/>
      <c r="AH3509" s="42"/>
      <c r="AI3509" s="42"/>
      <c r="AJ3509" s="42"/>
      <c r="AK3509" s="42"/>
      <c r="AL3509" s="42"/>
      <c r="AM3509" s="42"/>
      <c r="AN3509" s="42"/>
      <c r="AO3509" s="63" t="str">
        <f>IFERROR(__xludf.DUMMYFUNCTION("IF(ISBLANK(A3509),,IF(ISBLANK(S3509), A3509&amp;"";"", TEXTJOIN(CHAR(10), TRUE, A3509&amp;"";"", ARRAYFORMULA(VLOOKUP(SPLIT(S3509, "";"" &amp; CHAR(10)), $A:$AO, 41, FALSE)))))"),"Tu;")</f>
        <v>Tu;</v>
      </c>
      <c r="AP3509" s="89"/>
    </row>
    <row r="3510">
      <c r="A3510" s="151" t="str">
        <f>IFERROR(__xludf.DUMMYFUNCTION("""COMPUTED_VALUE"""),"CEl_off")</f>
        <v>CEl_off</v>
      </c>
      <c r="B3510" s="42" t="str">
        <f>IFERROR(__xludf.DUMMYFUNCTION("""COMPUTED_VALUE"""),"makeshift")</f>
        <v>makeshift</v>
      </c>
      <c r="C3510" s="42" t="str">
        <f>IFERROR(__xludf.DUMMYFUNCTION("""COMPUTED_VALUE"""),"off neuron of CEl")</f>
        <v>off neuron of CEl</v>
      </c>
      <c r="D3510" s="42" t="str">
        <f>IFERROR(__xludf.DUMMYFUNCTION("""COMPUTED_VALUE"""),"?")</f>
        <v>?</v>
      </c>
      <c r="E3510" s="39" t="str">
        <f>IFERROR(__xludf.DUMMYFUNCTION("""COMPUTED_VALUE"""),"")</f>
        <v/>
      </c>
      <c r="F3510" s="9" t="str">
        <f>IFERROR(__xludf.DUMMYFUNCTION("""COMPUTED_VALUE"""),"")</f>
        <v/>
      </c>
      <c r="G3510" s="9" t="str">
        <f>IFERROR(__xludf.DUMMYFUNCTION("""COMPUTED_VALUE"""),"")</f>
        <v/>
      </c>
      <c r="H3510" s="9" t="str">
        <f>IFERROR(__xludf.DUMMYFUNCTION("""COMPUTED_VALUE"""),"")</f>
        <v/>
      </c>
      <c r="I3510" s="9" t="str">
        <f>IFERROR(__xludf.DUMMYFUNCTION("""COMPUTED_VALUE"""),"")</f>
        <v/>
      </c>
      <c r="J3510" s="9" t="str">
        <f>IFERROR(__xludf.DUMMYFUNCTION("""COMPUTED_VALUE"""),"")</f>
        <v/>
      </c>
      <c r="K3510" s="9" t="str">
        <f>IFERROR(__xludf.DUMMYFUNCTION("""COMPUTED_VALUE"""),"")</f>
        <v/>
      </c>
      <c r="L3510" s="9" t="str">
        <f>IFERROR(__xludf.DUMMYFUNCTION("""COMPUTED_VALUE"""),"")</f>
        <v/>
      </c>
      <c r="M3510" s="9" t="str">
        <f>IFERROR(__xludf.DUMMYFUNCTION("""COMPUTED_VALUE"""),"")</f>
        <v/>
      </c>
      <c r="N3510" s="9" t="str">
        <f>IFERROR(__xludf.DUMMYFUNCTION("""COMPUTED_VALUE"""),"")</f>
        <v/>
      </c>
      <c r="O3510" s="9" t="str">
        <f>IFERROR(__xludf.DUMMYFUNCTION("""COMPUTED_VALUE"""),"")</f>
        <v/>
      </c>
      <c r="P3510" s="9" t="str">
        <f>IFERROR(__xludf.DUMMYFUNCTION("""COMPUTED_VALUE"""),"")</f>
        <v/>
      </c>
      <c r="Q3510" s="9" t="str">
        <f>IFERROR(__xludf.DUMMYFUNCTION("""COMPUTED_VALUE"""),"")</f>
        <v/>
      </c>
      <c r="R3510" s="9" t="str">
        <f>IFERROR(__xludf.DUMMYFUNCTION("""COMPUTED_VALUE"""),"")</f>
        <v/>
      </c>
      <c r="S3510" s="42"/>
      <c r="T3510" s="42"/>
      <c r="U3510" s="159"/>
      <c r="V3510" s="42"/>
      <c r="W3510" s="42"/>
      <c r="X3510" s="42"/>
      <c r="Y3510" s="42"/>
      <c r="Z3510" s="42"/>
      <c r="AA3510" s="42"/>
      <c r="AB3510" s="42" t="str">
        <f>IFERROR(__xludf.DUMMYFUNCTION("""COMPUTED_VALUE"""),"Tatsuya Miyamoto")</f>
        <v>Tatsuya Miyamoto</v>
      </c>
      <c r="AC3510" s="42" t="str">
        <f>IFERROR(__xludf.DUMMYFUNCTION("""COMPUTED_VALUE"""),"TM21Amygdala")</f>
        <v>TM21Amygdala</v>
      </c>
      <c r="AD3510" s="42"/>
      <c r="AE3510" s="42"/>
      <c r="AF3510" s="9"/>
      <c r="AG3510" s="9"/>
      <c r="AH3510" s="42"/>
      <c r="AI3510" s="42"/>
      <c r="AJ3510" s="42"/>
      <c r="AK3510" s="42"/>
      <c r="AL3510" s="42"/>
      <c r="AM3510" s="42"/>
      <c r="AN3510" s="42"/>
      <c r="AO3510" s="63" t="str">
        <f>IFERROR(__xludf.DUMMYFUNCTION("IF(ISBLANK(A3510),,IF(ISBLANK(S3510), A3510&amp;"";"", TEXTJOIN(CHAR(10), TRUE, A3510&amp;"";"", ARRAYFORMULA(VLOOKUP(SPLIT(S3510, "";"" &amp; CHAR(10)), $A:$AO, 41, FALSE)))))"),"CEl_off;")</f>
        <v>CEl_off;</v>
      </c>
      <c r="AP3510" s="89"/>
    </row>
    <row r="3511">
      <c r="A3511" s="151" t="str">
        <f>IFERROR(__xludf.DUMMYFUNCTION("""COMPUTED_VALUE"""),"CEl_on")</f>
        <v>CEl_on</v>
      </c>
      <c r="B3511" s="42" t="str">
        <f>IFERROR(__xludf.DUMMYFUNCTION("""COMPUTED_VALUE"""),"makeshift")</f>
        <v>makeshift</v>
      </c>
      <c r="C3511" s="42" t="str">
        <f>IFERROR(__xludf.DUMMYFUNCTION("""COMPUTED_VALUE"""),"on neuron of CEl")</f>
        <v>on neuron of CEl</v>
      </c>
      <c r="D3511" s="42" t="str">
        <f>IFERROR(__xludf.DUMMYFUNCTION("""COMPUTED_VALUE"""),"?")</f>
        <v>?</v>
      </c>
      <c r="E3511" s="39" t="str">
        <f>IFERROR(__xludf.DUMMYFUNCTION("""COMPUTED_VALUE"""),"")</f>
        <v/>
      </c>
      <c r="F3511" s="9" t="str">
        <f>IFERROR(__xludf.DUMMYFUNCTION("""COMPUTED_VALUE"""),"")</f>
        <v/>
      </c>
      <c r="G3511" s="9" t="str">
        <f>IFERROR(__xludf.DUMMYFUNCTION("""COMPUTED_VALUE"""),"")</f>
        <v/>
      </c>
      <c r="H3511" s="9" t="str">
        <f>IFERROR(__xludf.DUMMYFUNCTION("""COMPUTED_VALUE"""),"")</f>
        <v/>
      </c>
      <c r="I3511" s="9" t="str">
        <f>IFERROR(__xludf.DUMMYFUNCTION("""COMPUTED_VALUE"""),"")</f>
        <v/>
      </c>
      <c r="J3511" s="9" t="str">
        <f>IFERROR(__xludf.DUMMYFUNCTION("""COMPUTED_VALUE"""),"")</f>
        <v/>
      </c>
      <c r="K3511" s="9" t="str">
        <f>IFERROR(__xludf.DUMMYFUNCTION("""COMPUTED_VALUE"""),"")</f>
        <v/>
      </c>
      <c r="L3511" s="9" t="str">
        <f>IFERROR(__xludf.DUMMYFUNCTION("""COMPUTED_VALUE"""),"")</f>
        <v/>
      </c>
      <c r="M3511" s="9" t="str">
        <f>IFERROR(__xludf.DUMMYFUNCTION("""COMPUTED_VALUE"""),"")</f>
        <v/>
      </c>
      <c r="N3511" s="9" t="str">
        <f>IFERROR(__xludf.DUMMYFUNCTION("""COMPUTED_VALUE"""),"")</f>
        <v/>
      </c>
      <c r="O3511" s="9" t="str">
        <f>IFERROR(__xludf.DUMMYFUNCTION("""COMPUTED_VALUE"""),"")</f>
        <v/>
      </c>
      <c r="P3511" s="9" t="str">
        <f>IFERROR(__xludf.DUMMYFUNCTION("""COMPUTED_VALUE"""),"")</f>
        <v/>
      </c>
      <c r="Q3511" s="9" t="str">
        <f>IFERROR(__xludf.DUMMYFUNCTION("""COMPUTED_VALUE"""),"")</f>
        <v/>
      </c>
      <c r="R3511" s="9" t="str">
        <f>IFERROR(__xludf.DUMMYFUNCTION("""COMPUTED_VALUE"""),"")</f>
        <v/>
      </c>
      <c r="S3511" s="42"/>
      <c r="T3511" s="42"/>
      <c r="U3511" s="159"/>
      <c r="V3511" s="42"/>
      <c r="W3511" s="42"/>
      <c r="X3511" s="42"/>
      <c r="Y3511" s="42"/>
      <c r="Z3511" s="42"/>
      <c r="AA3511" s="42"/>
      <c r="AB3511" s="42" t="str">
        <f>IFERROR(__xludf.DUMMYFUNCTION("""COMPUTED_VALUE"""),"Tatsuya Miyamoto")</f>
        <v>Tatsuya Miyamoto</v>
      </c>
      <c r="AC3511" s="42" t="str">
        <f>IFERROR(__xludf.DUMMYFUNCTION("""COMPUTED_VALUE"""),"TM21Amygdala")</f>
        <v>TM21Amygdala</v>
      </c>
      <c r="AD3511" s="42"/>
      <c r="AE3511" s="42"/>
      <c r="AF3511" s="9"/>
      <c r="AG3511" s="9"/>
      <c r="AH3511" s="42"/>
      <c r="AI3511" s="42"/>
      <c r="AJ3511" s="42"/>
      <c r="AK3511" s="42"/>
      <c r="AL3511" s="42"/>
      <c r="AM3511" s="42"/>
      <c r="AN3511" s="42"/>
      <c r="AO3511" s="63" t="str">
        <f>IFERROR(__xludf.DUMMYFUNCTION("IF(ISBLANK(A3511),,IF(ISBLANK(S3511), A3511&amp;"";"", TEXTJOIN(CHAR(10), TRUE, A3511&amp;"";"", ARRAYFORMULA(VLOOKUP(SPLIT(S3511, "";"" &amp; CHAR(10)), $A:$AO, 41, FALSE)))))"),"CEl_on;")</f>
        <v>CEl_on;</v>
      </c>
      <c r="AP3511" s="89"/>
    </row>
    <row r="3512">
      <c r="A3512" s="151" t="str">
        <f>IFERROR(__xludf.DUMMYFUNCTION("""COMPUTED_VALUE"""),"CoA-in")</f>
        <v>CoA-in</v>
      </c>
      <c r="B3512" s="42" t="str">
        <f>IFERROR(__xludf.DUMMYFUNCTION("""COMPUTED_VALUE"""),"makeshift")</f>
        <v>makeshift</v>
      </c>
      <c r="C3512" s="42" t="str">
        <f>IFERROR(__xludf.DUMMYFUNCTION("""COMPUTED_VALUE"""),"marginal layer of anterior cortical nuleus")</f>
        <v>marginal layer of anterior cortical nuleus</v>
      </c>
      <c r="D3512" s="42" t="str">
        <f>IFERROR(__xludf.DUMMYFUNCTION("""COMPUTED_VALUE"""),"?")</f>
        <v>?</v>
      </c>
      <c r="E3512" s="39" t="str">
        <f>IFERROR(__xludf.DUMMYFUNCTION("""COMPUTED_VALUE"""),"")</f>
        <v/>
      </c>
      <c r="F3512" s="9" t="str">
        <f>IFERROR(__xludf.DUMMYFUNCTION("""COMPUTED_VALUE"""),"")</f>
        <v/>
      </c>
      <c r="G3512" s="9" t="str">
        <f>IFERROR(__xludf.DUMMYFUNCTION("""COMPUTED_VALUE"""),"")</f>
        <v/>
      </c>
      <c r="H3512" s="9" t="str">
        <f>IFERROR(__xludf.DUMMYFUNCTION("""COMPUTED_VALUE"""),"")</f>
        <v/>
      </c>
      <c r="I3512" s="9" t="str">
        <f>IFERROR(__xludf.DUMMYFUNCTION("""COMPUTED_VALUE"""),"")</f>
        <v/>
      </c>
      <c r="J3512" s="9" t="str">
        <f>IFERROR(__xludf.DUMMYFUNCTION("""COMPUTED_VALUE"""),"")</f>
        <v/>
      </c>
      <c r="K3512" s="9" t="str">
        <f>IFERROR(__xludf.DUMMYFUNCTION("""COMPUTED_VALUE"""),"")</f>
        <v/>
      </c>
      <c r="L3512" s="9" t="str">
        <f>IFERROR(__xludf.DUMMYFUNCTION("""COMPUTED_VALUE"""),"")</f>
        <v/>
      </c>
      <c r="M3512" s="9" t="str">
        <f>IFERROR(__xludf.DUMMYFUNCTION("""COMPUTED_VALUE"""),"")</f>
        <v/>
      </c>
      <c r="N3512" s="9" t="str">
        <f>IFERROR(__xludf.DUMMYFUNCTION("""COMPUTED_VALUE"""),"")</f>
        <v/>
      </c>
      <c r="O3512" s="9" t="str">
        <f>IFERROR(__xludf.DUMMYFUNCTION("""COMPUTED_VALUE"""),"")</f>
        <v/>
      </c>
      <c r="P3512" s="9" t="str">
        <f>IFERROR(__xludf.DUMMYFUNCTION("""COMPUTED_VALUE"""),"")</f>
        <v/>
      </c>
      <c r="Q3512" s="9" t="str">
        <f>IFERROR(__xludf.DUMMYFUNCTION("""COMPUTED_VALUE"""),"")</f>
        <v/>
      </c>
      <c r="R3512" s="9" t="str">
        <f>IFERROR(__xludf.DUMMYFUNCTION("""COMPUTED_VALUE"""),"")</f>
        <v/>
      </c>
      <c r="S3512" s="42"/>
      <c r="T3512" s="42"/>
      <c r="U3512" s="159"/>
      <c r="V3512" s="42"/>
      <c r="W3512" s="42"/>
      <c r="X3512" s="42"/>
      <c r="Y3512" s="42"/>
      <c r="Z3512" s="42"/>
      <c r="AA3512" s="42"/>
      <c r="AB3512" s="42" t="str">
        <f>IFERROR(__xludf.DUMMYFUNCTION("""COMPUTED_VALUE"""),"Tatsuya Miyamoto")</f>
        <v>Tatsuya Miyamoto</v>
      </c>
      <c r="AC3512" s="42" t="str">
        <f>IFERROR(__xludf.DUMMYFUNCTION("""COMPUTED_VALUE"""),"TM21Amygdala")</f>
        <v>TM21Amygdala</v>
      </c>
      <c r="AD3512" s="42"/>
      <c r="AE3512" s="42"/>
      <c r="AF3512" s="9"/>
      <c r="AG3512" s="9"/>
      <c r="AH3512" s="42"/>
      <c r="AI3512" s="42"/>
      <c r="AJ3512" s="42"/>
      <c r="AK3512" s="42"/>
      <c r="AL3512" s="42"/>
      <c r="AM3512" s="42"/>
      <c r="AN3512" s="42"/>
      <c r="AO3512" s="63" t="str">
        <f>IFERROR(__xludf.DUMMYFUNCTION("IF(ISBLANK(A3512),,IF(ISBLANK(S3512), A3512&amp;"";"", TEXTJOIN(CHAR(10), TRUE, A3512&amp;"";"", ARRAYFORMULA(VLOOKUP(SPLIT(S3512, "";"" &amp; CHAR(10)), $A:$AO, 41, FALSE)))))"),"CoA-in;")</f>
        <v>CoA-in;</v>
      </c>
      <c r="AP3512" s="89"/>
    </row>
    <row r="3513">
      <c r="A3513" s="151" t="str">
        <f>IFERROR(__xludf.DUMMYFUNCTION("""COMPUTED_VALUE"""),"Cop-in")</f>
        <v>Cop-in</v>
      </c>
      <c r="B3513" s="42" t="str">
        <f>IFERROR(__xludf.DUMMYFUNCTION("""COMPUTED_VALUE"""),"makeshift")</f>
        <v>makeshift</v>
      </c>
      <c r="C3513" s="42" t="str">
        <f>IFERROR(__xludf.DUMMYFUNCTION("""COMPUTED_VALUE"""),"marginal layer of posterior cortical nucleus")</f>
        <v>marginal layer of posterior cortical nucleus</v>
      </c>
      <c r="D3513" s="42" t="str">
        <f>IFERROR(__xludf.DUMMYFUNCTION("""COMPUTED_VALUE"""),"?")</f>
        <v>?</v>
      </c>
      <c r="E3513" s="39" t="str">
        <f>IFERROR(__xludf.DUMMYFUNCTION("""COMPUTED_VALUE"""),"")</f>
        <v/>
      </c>
      <c r="F3513" s="9" t="str">
        <f>IFERROR(__xludf.DUMMYFUNCTION("""COMPUTED_VALUE"""),"")</f>
        <v/>
      </c>
      <c r="G3513" s="9" t="str">
        <f>IFERROR(__xludf.DUMMYFUNCTION("""COMPUTED_VALUE"""),"")</f>
        <v/>
      </c>
      <c r="H3513" s="9" t="str">
        <f>IFERROR(__xludf.DUMMYFUNCTION("""COMPUTED_VALUE"""),"")</f>
        <v/>
      </c>
      <c r="I3513" s="9" t="str">
        <f>IFERROR(__xludf.DUMMYFUNCTION("""COMPUTED_VALUE"""),"")</f>
        <v/>
      </c>
      <c r="J3513" s="9" t="str">
        <f>IFERROR(__xludf.DUMMYFUNCTION("""COMPUTED_VALUE"""),"")</f>
        <v/>
      </c>
      <c r="K3513" s="9" t="str">
        <f>IFERROR(__xludf.DUMMYFUNCTION("""COMPUTED_VALUE"""),"")</f>
        <v/>
      </c>
      <c r="L3513" s="9" t="str">
        <f>IFERROR(__xludf.DUMMYFUNCTION("""COMPUTED_VALUE"""),"")</f>
        <v/>
      </c>
      <c r="M3513" s="9" t="str">
        <f>IFERROR(__xludf.DUMMYFUNCTION("""COMPUTED_VALUE"""),"")</f>
        <v/>
      </c>
      <c r="N3513" s="9" t="str">
        <f>IFERROR(__xludf.DUMMYFUNCTION("""COMPUTED_VALUE"""),"")</f>
        <v/>
      </c>
      <c r="O3513" s="9" t="str">
        <f>IFERROR(__xludf.DUMMYFUNCTION("""COMPUTED_VALUE"""),"")</f>
        <v/>
      </c>
      <c r="P3513" s="9" t="str">
        <f>IFERROR(__xludf.DUMMYFUNCTION("""COMPUTED_VALUE"""),"")</f>
        <v/>
      </c>
      <c r="Q3513" s="9" t="str">
        <f>IFERROR(__xludf.DUMMYFUNCTION("""COMPUTED_VALUE"""),"")</f>
        <v/>
      </c>
      <c r="R3513" s="9" t="str">
        <f>IFERROR(__xludf.DUMMYFUNCTION("""COMPUTED_VALUE"""),"")</f>
        <v/>
      </c>
      <c r="S3513" s="42"/>
      <c r="T3513" s="42"/>
      <c r="U3513" s="159"/>
      <c r="V3513" s="42"/>
      <c r="W3513" s="42"/>
      <c r="X3513" s="42"/>
      <c r="Y3513" s="42"/>
      <c r="Z3513" s="42"/>
      <c r="AA3513" s="42"/>
      <c r="AB3513" s="42" t="str">
        <f>IFERROR(__xludf.DUMMYFUNCTION("""COMPUTED_VALUE"""),"Tatsuya Miyamoto")</f>
        <v>Tatsuya Miyamoto</v>
      </c>
      <c r="AC3513" s="42" t="str">
        <f>IFERROR(__xludf.DUMMYFUNCTION("""COMPUTED_VALUE"""),"TM21Amygdala")</f>
        <v>TM21Amygdala</v>
      </c>
      <c r="AD3513" s="42"/>
      <c r="AE3513" s="42"/>
      <c r="AF3513" s="9"/>
      <c r="AG3513" s="9"/>
      <c r="AH3513" s="42"/>
      <c r="AI3513" s="42"/>
      <c r="AJ3513" s="42"/>
      <c r="AK3513" s="42"/>
      <c r="AL3513" s="42"/>
      <c r="AM3513" s="42"/>
      <c r="AN3513" s="42"/>
      <c r="AO3513" s="63" t="str">
        <f>IFERROR(__xludf.DUMMYFUNCTION("IF(ISBLANK(A3513),,IF(ISBLANK(S3513), A3513&amp;"";"", TEXTJOIN(CHAR(10), TRUE, A3513&amp;"";"", ARRAYFORMULA(VLOOKUP(SPLIT(S3513, "";"" &amp; CHAR(10)), $A:$AO, 41, FALSE)))))"),"Cop-in;")</f>
        <v>Cop-in;</v>
      </c>
      <c r="AP3513" s="89"/>
    </row>
    <row r="3514">
      <c r="A3514" s="151" t="str">
        <f>IFERROR(__xludf.DUMMYFUNCTION("""COMPUTED_VALUE"""),"PAC")</f>
        <v>PAC</v>
      </c>
      <c r="B3514" s="42" t="str">
        <f>IFERROR(__xludf.DUMMYFUNCTION("""COMPUTED_VALUE"""),"makeshift")</f>
        <v>makeshift</v>
      </c>
      <c r="C3514" s="42" t="str">
        <f>IFERROR(__xludf.DUMMYFUNCTION("""COMPUTED_VALUE"""),"Periamygdaloid cortex")</f>
        <v>Periamygdaloid cortex</v>
      </c>
      <c r="D3514" s="42" t="str">
        <f>IFERROR(__xludf.DUMMYFUNCTION("""COMPUTED_VALUE"""),"?")</f>
        <v>?</v>
      </c>
      <c r="E3514" s="39" t="str">
        <f>IFERROR(__xludf.DUMMYFUNCTION("""COMPUTED_VALUE"""),"")</f>
        <v/>
      </c>
      <c r="F3514" s="9" t="str">
        <f>IFERROR(__xludf.DUMMYFUNCTION("""COMPUTED_VALUE"""),"")</f>
        <v/>
      </c>
      <c r="G3514" s="9" t="str">
        <f>IFERROR(__xludf.DUMMYFUNCTION("""COMPUTED_VALUE"""),"")</f>
        <v/>
      </c>
      <c r="H3514" s="9" t="str">
        <f>IFERROR(__xludf.DUMMYFUNCTION("""COMPUTED_VALUE"""),"")</f>
        <v/>
      </c>
      <c r="I3514" s="9" t="str">
        <f>IFERROR(__xludf.DUMMYFUNCTION("""COMPUTED_VALUE"""),"")</f>
        <v/>
      </c>
      <c r="J3514" s="9" t="str">
        <f>IFERROR(__xludf.DUMMYFUNCTION("""COMPUTED_VALUE"""),"")</f>
        <v/>
      </c>
      <c r="K3514" s="9" t="str">
        <f>IFERROR(__xludf.DUMMYFUNCTION("""COMPUTED_VALUE"""),"")</f>
        <v/>
      </c>
      <c r="L3514" s="9" t="str">
        <f>IFERROR(__xludf.DUMMYFUNCTION("""COMPUTED_VALUE"""),"")</f>
        <v/>
      </c>
      <c r="M3514" s="9" t="str">
        <f>IFERROR(__xludf.DUMMYFUNCTION("""COMPUTED_VALUE"""),"")</f>
        <v/>
      </c>
      <c r="N3514" s="9" t="str">
        <f>IFERROR(__xludf.DUMMYFUNCTION("""COMPUTED_VALUE"""),"")</f>
        <v/>
      </c>
      <c r="O3514" s="9" t="str">
        <f>IFERROR(__xludf.DUMMYFUNCTION("""COMPUTED_VALUE"""),"")</f>
        <v/>
      </c>
      <c r="P3514" s="9" t="str">
        <f>IFERROR(__xludf.DUMMYFUNCTION("""COMPUTED_VALUE"""),"")</f>
        <v/>
      </c>
      <c r="Q3514" s="9" t="str">
        <f>IFERROR(__xludf.DUMMYFUNCTION("""COMPUTED_VALUE"""),"")</f>
        <v/>
      </c>
      <c r="R3514" s="9" t="str">
        <f>IFERROR(__xludf.DUMMYFUNCTION("""COMPUTED_VALUE"""),"")</f>
        <v/>
      </c>
      <c r="S3514" s="42"/>
      <c r="T3514" s="42"/>
      <c r="U3514" s="159"/>
      <c r="V3514" s="42"/>
      <c r="W3514" s="42"/>
      <c r="X3514" s="42"/>
      <c r="Y3514" s="42"/>
      <c r="Z3514" s="42"/>
      <c r="AA3514" s="42"/>
      <c r="AB3514" s="42" t="str">
        <f>IFERROR(__xludf.DUMMYFUNCTION("""COMPUTED_VALUE"""),"Tatsuya Miyamoto")</f>
        <v>Tatsuya Miyamoto</v>
      </c>
      <c r="AC3514" s="42" t="str">
        <f>IFERROR(__xludf.DUMMYFUNCTION("""COMPUTED_VALUE"""),"TM21Amygdala")</f>
        <v>TM21Amygdala</v>
      </c>
      <c r="AD3514" s="42"/>
      <c r="AE3514" s="42"/>
      <c r="AF3514" s="9"/>
      <c r="AG3514" s="9"/>
      <c r="AH3514" s="42"/>
      <c r="AI3514" s="42"/>
      <c r="AJ3514" s="42"/>
      <c r="AK3514" s="42"/>
      <c r="AL3514" s="42"/>
      <c r="AM3514" s="42"/>
      <c r="AN3514" s="42"/>
      <c r="AO3514" s="63" t="str">
        <f>IFERROR(__xludf.DUMMYFUNCTION("IF(ISBLANK(A3514),,IF(ISBLANK(S3514), A3514&amp;"";"", TEXTJOIN(CHAR(10), TRUE, A3514&amp;"";"", ARRAYFORMULA(VLOOKUP(SPLIT(S3514, "";"" &amp; CHAR(10)), $A:$AO, 41, FALSE)))))"),"PAC;")</f>
        <v>PAC;</v>
      </c>
      <c r="AP3514" s="89"/>
    </row>
    <row r="3515">
      <c r="A3515" s="151" t="str">
        <f>IFERROR(__xludf.DUMMYFUNCTION("""COMPUTED_VALUE"""),"dcMRF")</f>
        <v>dcMRF</v>
      </c>
      <c r="B3515" s="42" t="str">
        <f>IFERROR(__xludf.DUMMYFUNCTION("""COMPUTED_VALUE"""),"[Cohen, 1984]")</f>
        <v>[Cohen, 1984]</v>
      </c>
      <c r="C3515" s="42" t="str">
        <f>IFERROR(__xludf.DUMMYFUNCTION("""COMPUTED_VALUE"""),"rostral part of central mesencephalic reticular formation")</f>
        <v>rostral part of central mesencephalic reticular formation</v>
      </c>
      <c r="D3515" s="42" t="str">
        <f>IFERROR(__xludf.DUMMYFUNCTION("""COMPUTED_VALUE"""),"?")</f>
        <v>?</v>
      </c>
      <c r="E3515" s="39" t="str">
        <f>IFERROR(__xludf.DUMMYFUNCTION("""COMPUTED_VALUE"""),"")</f>
        <v/>
      </c>
      <c r="F3515" s="9" t="str">
        <f>IFERROR(__xludf.DUMMYFUNCTION("""COMPUTED_VALUE"""),"")</f>
        <v/>
      </c>
      <c r="G3515" s="9" t="str">
        <f>IFERROR(__xludf.DUMMYFUNCTION("""COMPUTED_VALUE"""),"")</f>
        <v/>
      </c>
      <c r="H3515" s="9" t="str">
        <f>IFERROR(__xludf.DUMMYFUNCTION("""COMPUTED_VALUE"""),"")</f>
        <v/>
      </c>
      <c r="I3515" s="9" t="str">
        <f>IFERROR(__xludf.DUMMYFUNCTION("""COMPUTED_VALUE"""),"")</f>
        <v/>
      </c>
      <c r="J3515" s="9" t="str">
        <f>IFERROR(__xludf.DUMMYFUNCTION("""COMPUTED_VALUE"""),"")</f>
        <v/>
      </c>
      <c r="K3515" s="9" t="str">
        <f>IFERROR(__xludf.DUMMYFUNCTION("""COMPUTED_VALUE"""),"")</f>
        <v/>
      </c>
      <c r="L3515" s="9" t="str">
        <f>IFERROR(__xludf.DUMMYFUNCTION("""COMPUTED_VALUE"""),"")</f>
        <v/>
      </c>
      <c r="M3515" s="9" t="str">
        <f>IFERROR(__xludf.DUMMYFUNCTION("""COMPUTED_VALUE"""),"")</f>
        <v/>
      </c>
      <c r="N3515" s="9" t="str">
        <f>IFERROR(__xludf.DUMMYFUNCTION("""COMPUTED_VALUE"""),"")</f>
        <v/>
      </c>
      <c r="O3515" s="9" t="str">
        <f>IFERROR(__xludf.DUMMYFUNCTION("""COMPUTED_VALUE"""),"")</f>
        <v/>
      </c>
      <c r="P3515" s="9" t="str">
        <f>IFERROR(__xludf.DUMMYFUNCTION("""COMPUTED_VALUE"""),"")</f>
        <v/>
      </c>
      <c r="Q3515" s="9" t="str">
        <f>IFERROR(__xludf.DUMMYFUNCTION("""COMPUTED_VALUE"""),"")</f>
        <v/>
      </c>
      <c r="R3515" s="9" t="str">
        <f>IFERROR(__xludf.DUMMYFUNCTION("""COMPUTED_VALUE"""),"")</f>
        <v/>
      </c>
      <c r="S3515" s="42"/>
      <c r="T3515" s="42"/>
      <c r="U3515" s="159" t="b">
        <f>IFERROR(__xludf.DUMMYFUNCTION("""COMPUTED_VALUE"""),TRUE)</f>
        <v>1</v>
      </c>
      <c r="V3515" s="42"/>
      <c r="W3515" s="42" t="str">
        <f>IFERROR(__xludf.DUMMYFUNCTION("""COMPUTED_VALUE"""),"Excitatory")</f>
        <v>Excitatory</v>
      </c>
      <c r="X3515" s="42"/>
      <c r="Y3515" s="42" t="str">
        <f>IFERROR(__xludf.DUMMYFUNCTION("""COMPUTED_VALUE"""),"small size saccade[Cohen, 1984]")</f>
        <v>small size saccade[Cohen, 1984]</v>
      </c>
      <c r="Z3515" s="42"/>
      <c r="AA3515" s="42"/>
      <c r="AB3515" s="42" t="str">
        <f>IFERROR(__xludf.DUMMYFUNCTION("""COMPUTED_VALUE"""),"Yoshimasa Tawatsuji")</f>
        <v>Yoshimasa Tawatsuji</v>
      </c>
      <c r="AC3515" s="42" t="str">
        <f>IFERROR(__xludf.DUMMYFUNCTION("""COMPUTED_VALUE"""),"YT20Oculomotor")</f>
        <v>YT20Oculomotor</v>
      </c>
      <c r="AD3515" s="42"/>
      <c r="AE3515" s="42"/>
      <c r="AF3515" s="9"/>
      <c r="AG3515" s="9"/>
      <c r="AH3515" s="42"/>
      <c r="AI3515" s="42"/>
      <c r="AJ3515" s="42"/>
      <c r="AK3515" s="42"/>
      <c r="AL3515" s="42"/>
      <c r="AM3515" s="42"/>
      <c r="AN3515" s="42"/>
      <c r="AO3515" s="63" t="str">
        <f>IFERROR(__xludf.DUMMYFUNCTION("IF(ISBLANK(A3515),,IF(ISBLANK(S3515), A3515&amp;"";"", TEXTJOIN(CHAR(10), TRUE, A3515&amp;"";"", ARRAYFORMULA(VLOOKUP(SPLIT(S3515, "";"" &amp; CHAR(10)), $A:$AO, 41, FALSE)))))"),"dcMRF;")</f>
        <v>dcMRF;</v>
      </c>
      <c r="AP3515" s="89"/>
    </row>
    <row r="3516">
      <c r="A3516" s="151" t="str">
        <f>IFERROR(__xludf.DUMMYFUNCTION("""COMPUTED_VALUE"""),"vcMRF")</f>
        <v>vcMRF</v>
      </c>
      <c r="B3516" s="42" t="str">
        <f>IFERROR(__xludf.DUMMYFUNCTION("""COMPUTED_VALUE"""),"[Cohen, 1984]")</f>
        <v>[Cohen, 1984]</v>
      </c>
      <c r="C3516" s="42" t="str">
        <f>IFERROR(__xludf.DUMMYFUNCTION("""COMPUTED_VALUE"""),"ventral part of central mesencephalic reticular formation")</f>
        <v>ventral part of central mesencephalic reticular formation</v>
      </c>
      <c r="D3516" s="42" t="str">
        <f>IFERROR(__xludf.DUMMYFUNCTION("""COMPUTED_VALUE"""),"?")</f>
        <v>?</v>
      </c>
      <c r="E3516" s="39" t="str">
        <f>IFERROR(__xludf.DUMMYFUNCTION("""COMPUTED_VALUE"""),"")</f>
        <v/>
      </c>
      <c r="F3516" s="9" t="str">
        <f>IFERROR(__xludf.DUMMYFUNCTION("""COMPUTED_VALUE"""),"")</f>
        <v/>
      </c>
      <c r="G3516" s="9" t="str">
        <f>IFERROR(__xludf.DUMMYFUNCTION("""COMPUTED_VALUE"""),"")</f>
        <v/>
      </c>
      <c r="H3516" s="9" t="str">
        <f>IFERROR(__xludf.DUMMYFUNCTION("""COMPUTED_VALUE"""),"")</f>
        <v/>
      </c>
      <c r="I3516" s="9" t="str">
        <f>IFERROR(__xludf.DUMMYFUNCTION("""COMPUTED_VALUE"""),"")</f>
        <v/>
      </c>
      <c r="J3516" s="9" t="str">
        <f>IFERROR(__xludf.DUMMYFUNCTION("""COMPUTED_VALUE"""),"")</f>
        <v/>
      </c>
      <c r="K3516" s="9" t="str">
        <f>IFERROR(__xludf.DUMMYFUNCTION("""COMPUTED_VALUE"""),"")</f>
        <v/>
      </c>
      <c r="L3516" s="9" t="str">
        <f>IFERROR(__xludf.DUMMYFUNCTION("""COMPUTED_VALUE"""),"")</f>
        <v/>
      </c>
      <c r="M3516" s="9" t="str">
        <f>IFERROR(__xludf.DUMMYFUNCTION("""COMPUTED_VALUE"""),"")</f>
        <v/>
      </c>
      <c r="N3516" s="9" t="str">
        <f>IFERROR(__xludf.DUMMYFUNCTION("""COMPUTED_VALUE"""),"")</f>
        <v/>
      </c>
      <c r="O3516" s="9" t="str">
        <f>IFERROR(__xludf.DUMMYFUNCTION("""COMPUTED_VALUE"""),"")</f>
        <v/>
      </c>
      <c r="P3516" s="9" t="str">
        <f>IFERROR(__xludf.DUMMYFUNCTION("""COMPUTED_VALUE"""),"")</f>
        <v/>
      </c>
      <c r="Q3516" s="9" t="str">
        <f>IFERROR(__xludf.DUMMYFUNCTION("""COMPUTED_VALUE"""),"")</f>
        <v/>
      </c>
      <c r="R3516" s="9" t="str">
        <f>IFERROR(__xludf.DUMMYFUNCTION("""COMPUTED_VALUE"""),"")</f>
        <v/>
      </c>
      <c r="S3516" s="42"/>
      <c r="T3516" s="42"/>
      <c r="U3516" s="42" t="b">
        <f>IFERROR(__xludf.DUMMYFUNCTION("""COMPUTED_VALUE"""),TRUE)</f>
        <v>1</v>
      </c>
      <c r="V3516" s="42"/>
      <c r="W3516" s="42" t="str">
        <f>IFERROR(__xludf.DUMMYFUNCTION("""COMPUTED_VALUE"""),"Excitatory")</f>
        <v>Excitatory</v>
      </c>
      <c r="X3516" s="42"/>
      <c r="Y3516" s="42" t="str">
        <f>IFERROR(__xludf.DUMMYFUNCTION("""COMPUTED_VALUE"""),"large size saccade[Cohen, 1984]")</f>
        <v>large size saccade[Cohen, 1984]</v>
      </c>
      <c r="Z3516" s="42"/>
      <c r="AA3516" s="42"/>
      <c r="AB3516" s="42" t="str">
        <f>IFERROR(__xludf.DUMMYFUNCTION("""COMPUTED_VALUE"""),"Yoshimasa Tawatsuji")</f>
        <v>Yoshimasa Tawatsuji</v>
      </c>
      <c r="AC3516" s="42" t="str">
        <f>IFERROR(__xludf.DUMMYFUNCTION("""COMPUTED_VALUE"""),"YT20Oculomotor")</f>
        <v>YT20Oculomotor</v>
      </c>
      <c r="AD3516" s="42"/>
      <c r="AE3516" s="42"/>
      <c r="AF3516" s="9"/>
      <c r="AG3516" s="9"/>
      <c r="AH3516" s="42"/>
      <c r="AI3516" s="42"/>
      <c r="AJ3516" s="42"/>
      <c r="AK3516" s="42"/>
      <c r="AL3516" s="42"/>
      <c r="AM3516" s="42"/>
      <c r="AN3516" s="42"/>
      <c r="AO3516" s="63" t="str">
        <f>IFERROR(__xludf.DUMMYFUNCTION("IF(ISBLANK(A3516),,IF(ISBLANK(S3516), A3516&amp;"";"", TEXTJOIN(CHAR(10), TRUE, A3516&amp;"";"", ARRAYFORMULA(VLOOKUP(SPLIT(S3516, "";"" &amp; CHAR(10)), $A:$AO, 41, FALSE)))))"),"vcMRF;")</f>
        <v>vcMRF;</v>
      </c>
      <c r="AP3516" s="89"/>
    </row>
    <row r="3517">
      <c r="A3517" s="151" t="str">
        <f>IFERROR(__xludf.DUMMYFUNCTION("""COMPUTED_VALUE"""),"F1R")</f>
        <v>F1R</v>
      </c>
      <c r="B3517" s="42" t="str">
        <f>IFERROR(__xludf.DUMMYFUNCTION("""COMPUTED_VALUE"""),"[Fujita, 2020]")</f>
        <v>[Fujita, 2020]</v>
      </c>
      <c r="C3517" s="42" t="str">
        <f>IFERROR(__xludf.DUMMYFUNCTION("""COMPUTED_VALUE"""),"Largest fastigial neurons")</f>
        <v>Largest fastigial neurons</v>
      </c>
      <c r="D3517" s="42" t="str">
        <f>IFERROR(__xludf.DUMMYFUNCTION("""COMPUTED_VALUE"""),"?")</f>
        <v>?</v>
      </c>
      <c r="E3517" s="39" t="str">
        <f>IFERROR(__xludf.DUMMYFUNCTION("""COMPUTED_VALUE"""),"")</f>
        <v/>
      </c>
      <c r="F3517" s="9" t="str">
        <f>IFERROR(__xludf.DUMMYFUNCTION("""COMPUTED_VALUE"""),"")</f>
        <v/>
      </c>
      <c r="G3517" s="9" t="str">
        <f>IFERROR(__xludf.DUMMYFUNCTION("""COMPUTED_VALUE"""),"")</f>
        <v/>
      </c>
      <c r="H3517" s="9" t="str">
        <f>IFERROR(__xludf.DUMMYFUNCTION("""COMPUTED_VALUE"""),"")</f>
        <v/>
      </c>
      <c r="I3517" s="9" t="str">
        <f>IFERROR(__xludf.DUMMYFUNCTION("""COMPUTED_VALUE"""),"")</f>
        <v/>
      </c>
      <c r="J3517" s="9" t="str">
        <f>IFERROR(__xludf.DUMMYFUNCTION("""COMPUTED_VALUE"""),"")</f>
        <v/>
      </c>
      <c r="K3517" s="9" t="str">
        <f>IFERROR(__xludf.DUMMYFUNCTION("""COMPUTED_VALUE"""),"")</f>
        <v/>
      </c>
      <c r="L3517" s="9" t="str">
        <f>IFERROR(__xludf.DUMMYFUNCTION("""COMPUTED_VALUE"""),"")</f>
        <v/>
      </c>
      <c r="M3517" s="9" t="str">
        <f>IFERROR(__xludf.DUMMYFUNCTION("""COMPUTED_VALUE"""),"")</f>
        <v/>
      </c>
      <c r="N3517" s="9" t="str">
        <f>IFERROR(__xludf.DUMMYFUNCTION("""COMPUTED_VALUE"""),"")</f>
        <v/>
      </c>
      <c r="O3517" s="9" t="str">
        <f>IFERROR(__xludf.DUMMYFUNCTION("""COMPUTED_VALUE"""),"")</f>
        <v/>
      </c>
      <c r="P3517" s="9" t="str">
        <f>IFERROR(__xludf.DUMMYFUNCTION("""COMPUTED_VALUE"""),"")</f>
        <v/>
      </c>
      <c r="Q3517" s="9" t="str">
        <f>IFERROR(__xludf.DUMMYFUNCTION("""COMPUTED_VALUE"""),"")</f>
        <v/>
      </c>
      <c r="R3517" s="9" t="str">
        <f>IFERROR(__xludf.DUMMYFUNCTION("""COMPUTED_VALUE"""),"")</f>
        <v/>
      </c>
      <c r="S3517" s="42"/>
      <c r="T3517" s="42"/>
      <c r="U3517" s="42" t="b">
        <f>IFERROR(__xludf.DUMMYFUNCTION("""COMPUTED_VALUE"""),FALSE)</f>
        <v>0</v>
      </c>
      <c r="V3517" s="42"/>
      <c r="W3517" s="42"/>
      <c r="X3517" s="42"/>
      <c r="Y3517" s="42"/>
      <c r="Z3517" s="42"/>
      <c r="AA3517" s="42"/>
      <c r="AB3517" s="42" t="str">
        <f>IFERROR(__xludf.DUMMYFUNCTION("""COMPUTED_VALUE"""),"Yoshimasa Tawatsuji")</f>
        <v>Yoshimasa Tawatsuji</v>
      </c>
      <c r="AC3517" s="42" t="str">
        <f>IFERROR(__xludf.DUMMYFUNCTION("""COMPUTED_VALUE"""),"YT20Oculomotor")</f>
        <v>YT20Oculomotor</v>
      </c>
      <c r="AD3517" s="42"/>
      <c r="AE3517" s="42"/>
      <c r="AF3517" s="9"/>
      <c r="AG3517" s="9"/>
      <c r="AH3517" s="42"/>
      <c r="AI3517" s="42"/>
      <c r="AJ3517" s="42"/>
      <c r="AK3517" s="42"/>
      <c r="AL3517" s="42"/>
      <c r="AM3517" s="42"/>
      <c r="AN3517" s="42"/>
      <c r="AO3517" s="63" t="str">
        <f>IFERROR(__xludf.DUMMYFUNCTION("IF(ISBLANK(A3517),,IF(ISBLANK(S3517), A3517&amp;"";"", TEXTJOIN(CHAR(10), TRUE, A3517&amp;"";"", ARRAYFORMULA(VLOOKUP(SPLIT(S3517, "";"" &amp; CHAR(10)), $A:$AO, 41, FALSE)))))"),"F1R;")</f>
        <v>F1R;</v>
      </c>
      <c r="AP3517" s="89"/>
    </row>
    <row r="3518">
      <c r="A3518" s="151" t="str">
        <f>IFERROR(__xludf.DUMMYFUNCTION("""COMPUTED_VALUE"""),"F2")</f>
        <v>F2</v>
      </c>
      <c r="B3518" s="42" t="str">
        <f>IFERROR(__xludf.DUMMYFUNCTION("""COMPUTED_VALUE"""),"[Fujita, 2020]")</f>
        <v>[Fujita, 2020]</v>
      </c>
      <c r="C3518" s="42" t="str">
        <f>IFERROR(__xludf.DUMMYFUNCTION("""COMPUTED_VALUE"""),"Smaller fastigial neurons")</f>
        <v>Smaller fastigial neurons</v>
      </c>
      <c r="D3518" s="42" t="str">
        <f>IFERROR(__xludf.DUMMYFUNCTION("""COMPUTED_VALUE"""),"?")</f>
        <v>?</v>
      </c>
      <c r="E3518" s="39" t="str">
        <f>IFERROR(__xludf.DUMMYFUNCTION("""COMPUTED_VALUE"""),"")</f>
        <v/>
      </c>
      <c r="F3518" s="9" t="str">
        <f>IFERROR(__xludf.DUMMYFUNCTION("""COMPUTED_VALUE"""),"")</f>
        <v/>
      </c>
      <c r="G3518" s="9" t="str">
        <f>IFERROR(__xludf.DUMMYFUNCTION("""COMPUTED_VALUE"""),"")</f>
        <v/>
      </c>
      <c r="H3518" s="9" t="str">
        <f>IFERROR(__xludf.DUMMYFUNCTION("""COMPUTED_VALUE"""),"")</f>
        <v/>
      </c>
      <c r="I3518" s="9" t="str">
        <f>IFERROR(__xludf.DUMMYFUNCTION("""COMPUTED_VALUE"""),"")</f>
        <v/>
      </c>
      <c r="J3518" s="9" t="str">
        <f>IFERROR(__xludf.DUMMYFUNCTION("""COMPUTED_VALUE"""),"")</f>
        <v/>
      </c>
      <c r="K3518" s="9" t="str">
        <f>IFERROR(__xludf.DUMMYFUNCTION("""COMPUTED_VALUE"""),"")</f>
        <v/>
      </c>
      <c r="L3518" s="9" t="str">
        <f>IFERROR(__xludf.DUMMYFUNCTION("""COMPUTED_VALUE"""),"")</f>
        <v/>
      </c>
      <c r="M3518" s="9" t="str">
        <f>IFERROR(__xludf.DUMMYFUNCTION("""COMPUTED_VALUE"""),"")</f>
        <v/>
      </c>
      <c r="N3518" s="9" t="str">
        <f>IFERROR(__xludf.DUMMYFUNCTION("""COMPUTED_VALUE"""),"")</f>
        <v/>
      </c>
      <c r="O3518" s="9" t="str">
        <f>IFERROR(__xludf.DUMMYFUNCTION("""COMPUTED_VALUE"""),"")</f>
        <v/>
      </c>
      <c r="P3518" s="9" t="str">
        <f>IFERROR(__xludf.DUMMYFUNCTION("""COMPUTED_VALUE"""),"")</f>
        <v/>
      </c>
      <c r="Q3518" s="9" t="str">
        <f>IFERROR(__xludf.DUMMYFUNCTION("""COMPUTED_VALUE"""),"")</f>
        <v/>
      </c>
      <c r="R3518" s="9" t="str">
        <f>IFERROR(__xludf.DUMMYFUNCTION("""COMPUTED_VALUE"""),"")</f>
        <v/>
      </c>
      <c r="S3518" s="42"/>
      <c r="T3518" s="42"/>
      <c r="U3518" s="42" t="b">
        <f>IFERROR(__xludf.DUMMYFUNCTION("""COMPUTED_VALUE"""),TRUE)</f>
        <v>1</v>
      </c>
      <c r="V3518" s="42"/>
      <c r="W3518" s="42" t="str">
        <f>IFERROR(__xludf.DUMMYFUNCTION("""COMPUTED_VALUE"""),"Excitatory")</f>
        <v>Excitatory</v>
      </c>
      <c r="X3518" s="42"/>
      <c r="Y3518" s="42"/>
      <c r="Z3518" s="42"/>
      <c r="AA3518" s="42"/>
      <c r="AB3518" s="42" t="str">
        <f>IFERROR(__xludf.DUMMYFUNCTION("""COMPUTED_VALUE"""),"Yoshimasa Tawatsuji")</f>
        <v>Yoshimasa Tawatsuji</v>
      </c>
      <c r="AC3518" s="42" t="str">
        <f>IFERROR(__xludf.DUMMYFUNCTION("""COMPUTED_VALUE"""),"YT20Oculomotor")</f>
        <v>YT20Oculomotor</v>
      </c>
      <c r="AD3518" s="42"/>
      <c r="AE3518" s="42"/>
      <c r="AF3518" s="9"/>
      <c r="AG3518" s="9"/>
      <c r="AH3518" s="42"/>
      <c r="AI3518" s="42"/>
      <c r="AJ3518" s="42"/>
      <c r="AK3518" s="42"/>
      <c r="AL3518" s="42"/>
      <c r="AM3518" s="42"/>
      <c r="AN3518" s="42"/>
      <c r="AO3518" s="63" t="str">
        <f>IFERROR(__xludf.DUMMYFUNCTION("IF(ISBLANK(A3518),,IF(ISBLANK(S3518), A3518&amp;"";"", TEXTJOIN(CHAR(10), TRUE, A3518&amp;"";"", ARRAYFORMULA(VLOOKUP(SPLIT(S3518, "";"" &amp; CHAR(10)), $A:$AO, 41, FALSE)))))"),"F2;")</f>
        <v>F2;</v>
      </c>
      <c r="AP3518" s="89"/>
    </row>
    <row r="3519">
      <c r="A3519" s="151" t="str">
        <f>IFERROR(__xludf.DUMMYFUNCTION("""COMPUTED_VALUE"""),"F4")</f>
        <v>F4</v>
      </c>
      <c r="B3519" s="42" t="str">
        <f>IFERROR(__xludf.DUMMYFUNCTION("""COMPUTED_VALUE"""),"[Fujita, 2020]")</f>
        <v>[Fujita, 2020]</v>
      </c>
      <c r="C3519" s="42" t="str">
        <f>IFERROR(__xludf.DUMMYFUNCTION("""COMPUTED_VALUE"""),"intermediately sized cells")</f>
        <v>intermediately sized cells</v>
      </c>
      <c r="D3519" s="42" t="str">
        <f>IFERROR(__xludf.DUMMYFUNCTION("""COMPUTED_VALUE"""),"?")</f>
        <v>?</v>
      </c>
      <c r="E3519" s="39" t="str">
        <f>IFERROR(__xludf.DUMMYFUNCTION("""COMPUTED_VALUE"""),"")</f>
        <v/>
      </c>
      <c r="F3519" s="9" t="str">
        <f>IFERROR(__xludf.DUMMYFUNCTION("""COMPUTED_VALUE"""),"")</f>
        <v/>
      </c>
      <c r="G3519" s="9" t="str">
        <f>IFERROR(__xludf.DUMMYFUNCTION("""COMPUTED_VALUE"""),"")</f>
        <v/>
      </c>
      <c r="H3519" s="9" t="str">
        <f>IFERROR(__xludf.DUMMYFUNCTION("""COMPUTED_VALUE"""),"")</f>
        <v/>
      </c>
      <c r="I3519" s="9" t="str">
        <f>IFERROR(__xludf.DUMMYFUNCTION("""COMPUTED_VALUE"""),"")</f>
        <v/>
      </c>
      <c r="J3519" s="9" t="str">
        <f>IFERROR(__xludf.DUMMYFUNCTION("""COMPUTED_VALUE"""),"")</f>
        <v/>
      </c>
      <c r="K3519" s="9" t="str">
        <f>IFERROR(__xludf.DUMMYFUNCTION("""COMPUTED_VALUE"""),"")</f>
        <v/>
      </c>
      <c r="L3519" s="9" t="str">
        <f>IFERROR(__xludf.DUMMYFUNCTION("""COMPUTED_VALUE"""),"")</f>
        <v/>
      </c>
      <c r="M3519" s="9" t="str">
        <f>IFERROR(__xludf.DUMMYFUNCTION("""COMPUTED_VALUE"""),"")</f>
        <v/>
      </c>
      <c r="N3519" s="9" t="str">
        <f>IFERROR(__xludf.DUMMYFUNCTION("""COMPUTED_VALUE"""),"")</f>
        <v/>
      </c>
      <c r="O3519" s="9" t="str">
        <f>IFERROR(__xludf.DUMMYFUNCTION("""COMPUTED_VALUE"""),"")</f>
        <v/>
      </c>
      <c r="P3519" s="9" t="str">
        <f>IFERROR(__xludf.DUMMYFUNCTION("""COMPUTED_VALUE"""),"")</f>
        <v/>
      </c>
      <c r="Q3519" s="9" t="str">
        <f>IFERROR(__xludf.DUMMYFUNCTION("""COMPUTED_VALUE"""),"")</f>
        <v/>
      </c>
      <c r="R3519" s="9" t="str">
        <f>IFERROR(__xludf.DUMMYFUNCTION("""COMPUTED_VALUE"""),"")</f>
        <v/>
      </c>
      <c r="S3519" s="42"/>
      <c r="T3519" s="42"/>
      <c r="U3519" s="42" t="b">
        <f>IFERROR(__xludf.DUMMYFUNCTION("""COMPUTED_VALUE"""),FALSE)</f>
        <v>0</v>
      </c>
      <c r="V3519" s="42"/>
      <c r="W3519" s="42"/>
      <c r="X3519" s="42"/>
      <c r="Y3519" s="42"/>
      <c r="Z3519" s="42"/>
      <c r="AA3519" s="42"/>
      <c r="AB3519" s="42" t="str">
        <f>IFERROR(__xludf.DUMMYFUNCTION("""COMPUTED_VALUE"""),"Yoshimasa Tawatsuji")</f>
        <v>Yoshimasa Tawatsuji</v>
      </c>
      <c r="AC3519" s="42" t="str">
        <f>IFERROR(__xludf.DUMMYFUNCTION("""COMPUTED_VALUE"""),"YT20Oculomotor")</f>
        <v>YT20Oculomotor</v>
      </c>
      <c r="AD3519" s="42"/>
      <c r="AE3519" s="42"/>
      <c r="AF3519" s="9"/>
      <c r="AG3519" s="9"/>
      <c r="AH3519" s="42"/>
      <c r="AI3519" s="42"/>
      <c r="AJ3519" s="42"/>
      <c r="AK3519" s="42"/>
      <c r="AL3519" s="42"/>
      <c r="AM3519" s="42"/>
      <c r="AN3519" s="42"/>
      <c r="AO3519" s="63" t="str">
        <f>IFERROR(__xludf.DUMMYFUNCTION("IF(ISBLANK(A3519),,IF(ISBLANK(S3519), A3519&amp;"";"", TEXTJOIN(CHAR(10), TRUE, A3519&amp;"";"", ARRAYFORMULA(VLOOKUP(SPLIT(S3519, "";"" &amp; CHAR(10)), $A:$AO, 41, FALSE)))))"),"F4;")</f>
        <v>F4;</v>
      </c>
      <c r="AP3519" s="89"/>
    </row>
    <row r="3520">
      <c r="A3520" s="151" t="str">
        <f>IFERROR(__xludf.DUMMYFUNCTION("""COMPUTED_VALUE"""),"AIN")</f>
        <v>AIN</v>
      </c>
      <c r="B3520" s="42" t="str">
        <f>IFERROR(__xludf.DUMMYFUNCTION("""COMPUTED_VALUE"""),"[Graf, 2006]")</f>
        <v>[Graf, 2006]</v>
      </c>
      <c r="C3520" s="42" t="str">
        <f>IFERROR(__xludf.DUMMYFUNCTION("""COMPUTED_VALUE"""),"abducens internuclear neurons")</f>
        <v>abducens internuclear neurons</v>
      </c>
      <c r="D3520" s="42" t="str">
        <f>IFERROR(__xludf.DUMMYFUNCTION("""COMPUTED_VALUE"""),"?")</f>
        <v>?</v>
      </c>
      <c r="E3520" s="39" t="str">
        <f>IFERROR(__xludf.DUMMYFUNCTION("""COMPUTED_VALUE"""),"")</f>
        <v/>
      </c>
      <c r="F3520" s="9" t="str">
        <f>IFERROR(__xludf.DUMMYFUNCTION("""COMPUTED_VALUE"""),"")</f>
        <v/>
      </c>
      <c r="G3520" s="9" t="str">
        <f>IFERROR(__xludf.DUMMYFUNCTION("""COMPUTED_VALUE"""),"")</f>
        <v/>
      </c>
      <c r="H3520" s="9" t="str">
        <f>IFERROR(__xludf.DUMMYFUNCTION("""COMPUTED_VALUE"""),"")</f>
        <v/>
      </c>
      <c r="I3520" s="9" t="str">
        <f>IFERROR(__xludf.DUMMYFUNCTION("""COMPUTED_VALUE"""),"")</f>
        <v/>
      </c>
      <c r="J3520" s="9" t="str">
        <f>IFERROR(__xludf.DUMMYFUNCTION("""COMPUTED_VALUE"""),"")</f>
        <v/>
      </c>
      <c r="K3520" s="9" t="str">
        <f>IFERROR(__xludf.DUMMYFUNCTION("""COMPUTED_VALUE"""),"")</f>
        <v/>
      </c>
      <c r="L3520" s="9" t="str">
        <f>IFERROR(__xludf.DUMMYFUNCTION("""COMPUTED_VALUE"""),"")</f>
        <v/>
      </c>
      <c r="M3520" s="9" t="str">
        <f>IFERROR(__xludf.DUMMYFUNCTION("""COMPUTED_VALUE"""),"")</f>
        <v/>
      </c>
      <c r="N3520" s="9" t="str">
        <f>IFERROR(__xludf.DUMMYFUNCTION("""COMPUTED_VALUE"""),"")</f>
        <v/>
      </c>
      <c r="O3520" s="9" t="str">
        <f>IFERROR(__xludf.DUMMYFUNCTION("""COMPUTED_VALUE"""),"")</f>
        <v/>
      </c>
      <c r="P3520" s="9" t="str">
        <f>IFERROR(__xludf.DUMMYFUNCTION("""COMPUTED_VALUE"""),"")</f>
        <v/>
      </c>
      <c r="Q3520" s="9" t="str">
        <f>IFERROR(__xludf.DUMMYFUNCTION("""COMPUTED_VALUE"""),"")</f>
        <v/>
      </c>
      <c r="R3520" s="9" t="str">
        <f>IFERROR(__xludf.DUMMYFUNCTION("""COMPUTED_VALUE"""),"")</f>
        <v/>
      </c>
      <c r="S3520" s="42"/>
      <c r="T3520" s="42"/>
      <c r="U3520" s="42" t="b">
        <f>IFERROR(__xludf.DUMMYFUNCTION("""COMPUTED_VALUE"""),TRUE)</f>
        <v>1</v>
      </c>
      <c r="V3520" s="42"/>
      <c r="W3520" s="42"/>
      <c r="X3520" s="42"/>
      <c r="Y3520" s="42"/>
      <c r="Z3520" s="42"/>
      <c r="AA3520" s="42"/>
      <c r="AB3520" s="42" t="str">
        <f>IFERROR(__xludf.DUMMYFUNCTION("""COMPUTED_VALUE"""),"Yoshimasa Tawatsuji")</f>
        <v>Yoshimasa Tawatsuji</v>
      </c>
      <c r="AC3520" s="42" t="str">
        <f>IFERROR(__xludf.DUMMYFUNCTION("""COMPUTED_VALUE"""),"YT20Oculomotor")</f>
        <v>YT20Oculomotor</v>
      </c>
      <c r="AD3520" s="42"/>
      <c r="AE3520" s="42"/>
      <c r="AF3520" s="9"/>
      <c r="AG3520" s="9"/>
      <c r="AH3520" s="42"/>
      <c r="AI3520" s="42"/>
      <c r="AJ3520" s="42"/>
      <c r="AK3520" s="42"/>
      <c r="AL3520" s="42"/>
      <c r="AM3520" s="42"/>
      <c r="AN3520" s="42"/>
      <c r="AO3520" s="63" t="str">
        <f>IFERROR(__xludf.DUMMYFUNCTION("IF(ISBLANK(A3520),,IF(ISBLANK(S3520), A3520&amp;"";"", TEXTJOIN(CHAR(10), TRUE, A3520&amp;"";"", ARRAYFORMULA(VLOOKUP(SPLIT(S3520, "";"" &amp; CHAR(10)), $A:$AO, 41, FALSE)))))"),"AIN;")</f>
        <v>AIN;</v>
      </c>
      <c r="AP3520" s="89"/>
    </row>
    <row r="3521">
      <c r="A3521" s="151" t="str">
        <f>IFERROR(__xludf.DUMMYFUNCTION("""COMPUTED_VALUE"""),"MNs")</f>
        <v>MNs</v>
      </c>
      <c r="B3521" s="42" t="str">
        <f>IFERROR(__xludf.DUMMYFUNCTION("""COMPUTED_VALUE"""),"[Graf, 2006]")</f>
        <v>[Graf, 2006]</v>
      </c>
      <c r="C3521" s="42" t="str">
        <f>IFERROR(__xludf.DUMMYFUNCTION("""COMPUTED_VALUE"""),"abducens motor neurons")</f>
        <v>abducens motor neurons</v>
      </c>
      <c r="D3521" s="42" t="str">
        <f>IFERROR(__xludf.DUMMYFUNCTION("""COMPUTED_VALUE"""),"?")</f>
        <v>?</v>
      </c>
      <c r="E3521" s="39" t="str">
        <f>IFERROR(__xludf.DUMMYFUNCTION("""COMPUTED_VALUE"""),"")</f>
        <v/>
      </c>
      <c r="F3521" s="9" t="str">
        <f>IFERROR(__xludf.DUMMYFUNCTION("""COMPUTED_VALUE"""),"")</f>
        <v/>
      </c>
      <c r="G3521" s="9" t="str">
        <f>IFERROR(__xludf.DUMMYFUNCTION("""COMPUTED_VALUE"""),"")</f>
        <v/>
      </c>
      <c r="H3521" s="9" t="str">
        <f>IFERROR(__xludf.DUMMYFUNCTION("""COMPUTED_VALUE"""),"")</f>
        <v/>
      </c>
      <c r="I3521" s="9" t="str">
        <f>IFERROR(__xludf.DUMMYFUNCTION("""COMPUTED_VALUE"""),"")</f>
        <v/>
      </c>
      <c r="J3521" s="9" t="str">
        <f>IFERROR(__xludf.DUMMYFUNCTION("""COMPUTED_VALUE"""),"")</f>
        <v/>
      </c>
      <c r="K3521" s="9" t="str">
        <f>IFERROR(__xludf.DUMMYFUNCTION("""COMPUTED_VALUE"""),"")</f>
        <v/>
      </c>
      <c r="L3521" s="9" t="str">
        <f>IFERROR(__xludf.DUMMYFUNCTION("""COMPUTED_VALUE"""),"")</f>
        <v/>
      </c>
      <c r="M3521" s="9" t="str">
        <f>IFERROR(__xludf.DUMMYFUNCTION("""COMPUTED_VALUE"""),"")</f>
        <v/>
      </c>
      <c r="N3521" s="9" t="str">
        <f>IFERROR(__xludf.DUMMYFUNCTION("""COMPUTED_VALUE"""),"")</f>
        <v/>
      </c>
      <c r="O3521" s="9" t="str">
        <f>IFERROR(__xludf.DUMMYFUNCTION("""COMPUTED_VALUE"""),"")</f>
        <v/>
      </c>
      <c r="P3521" s="9" t="str">
        <f>IFERROR(__xludf.DUMMYFUNCTION("""COMPUTED_VALUE"""),"")</f>
        <v/>
      </c>
      <c r="Q3521" s="9" t="str">
        <f>IFERROR(__xludf.DUMMYFUNCTION("""COMPUTED_VALUE"""),"")</f>
        <v/>
      </c>
      <c r="R3521" s="9" t="str">
        <f>IFERROR(__xludf.DUMMYFUNCTION("""COMPUTED_VALUE"""),"")</f>
        <v/>
      </c>
      <c r="S3521" s="42"/>
      <c r="T3521" s="42"/>
      <c r="U3521" s="42" t="b">
        <f>IFERROR(__xludf.DUMMYFUNCTION("""COMPUTED_VALUE"""),TRUE)</f>
        <v>1</v>
      </c>
      <c r="V3521" s="42"/>
      <c r="W3521" s="42" t="str">
        <f>IFERROR(__xludf.DUMMYFUNCTION("""COMPUTED_VALUE"""),"Excitatory")</f>
        <v>Excitatory</v>
      </c>
      <c r="X3521" s="42"/>
      <c r="Y3521" s="42"/>
      <c r="Z3521" s="42"/>
      <c r="AA3521" s="42"/>
      <c r="AB3521" s="42" t="str">
        <f>IFERROR(__xludf.DUMMYFUNCTION("""COMPUTED_VALUE"""),"Yoshimasa Tawatsuji")</f>
        <v>Yoshimasa Tawatsuji</v>
      </c>
      <c r="AC3521" s="42" t="str">
        <f>IFERROR(__xludf.DUMMYFUNCTION("""COMPUTED_VALUE"""),"YT20Oculomotor")</f>
        <v>YT20Oculomotor</v>
      </c>
      <c r="AD3521" s="42"/>
      <c r="AE3521" s="42"/>
      <c r="AF3521" s="9"/>
      <c r="AG3521" s="9"/>
      <c r="AH3521" s="42"/>
      <c r="AI3521" s="42"/>
      <c r="AJ3521" s="42"/>
      <c r="AK3521" s="42"/>
      <c r="AL3521" s="42"/>
      <c r="AM3521" s="42"/>
      <c r="AN3521" s="42"/>
      <c r="AO3521" s="63" t="str">
        <f>IFERROR(__xludf.DUMMYFUNCTION("IF(ISBLANK(A3521),,IF(ISBLANK(S3521), A3521&amp;"";"", TEXTJOIN(CHAR(10), TRUE, A3521&amp;"";"", ARRAYFORMULA(VLOOKUP(SPLIT(S3521, "";"" &amp; CHAR(10)), $A:$AO, 41, FALSE)))))"),"MNs;")</f>
        <v>MNs;</v>
      </c>
      <c r="AP3521" s="89"/>
    </row>
    <row r="3522">
      <c r="A3522" s="151" t="str">
        <f>IFERROR(__xludf.DUMMYFUNCTION("""COMPUTED_VALUE"""),"DLPN")</f>
        <v>DLPN</v>
      </c>
      <c r="B3522" s="42" t="str">
        <f>IFERROR(__xludf.DUMMYFUNCTION("""COMPUTED_VALUE"""),"[Kheradmand, 2011]")</f>
        <v>[Kheradmand, 2011]</v>
      </c>
      <c r="C3522" s="42" t="str">
        <f>IFERROR(__xludf.DUMMYFUNCTION("""COMPUTED_VALUE"""),"dorsolateral pontine nuclei")</f>
        <v>dorsolateral pontine nuclei</v>
      </c>
      <c r="D3522" s="42" t="str">
        <f>IFERROR(__xludf.DUMMYFUNCTION("""COMPUTED_VALUE"""),"?")</f>
        <v>?</v>
      </c>
      <c r="E3522" s="39" t="str">
        <f>IFERROR(__xludf.DUMMYFUNCTION("""COMPUTED_VALUE"""),"")</f>
        <v/>
      </c>
      <c r="F3522" s="9" t="str">
        <f>IFERROR(__xludf.DUMMYFUNCTION("""COMPUTED_VALUE"""),"")</f>
        <v/>
      </c>
      <c r="G3522" s="9" t="str">
        <f>IFERROR(__xludf.DUMMYFUNCTION("""COMPUTED_VALUE"""),"")</f>
        <v/>
      </c>
      <c r="H3522" s="9" t="str">
        <f>IFERROR(__xludf.DUMMYFUNCTION("""COMPUTED_VALUE"""),"")</f>
        <v/>
      </c>
      <c r="I3522" s="9" t="str">
        <f>IFERROR(__xludf.DUMMYFUNCTION("""COMPUTED_VALUE"""),"")</f>
        <v/>
      </c>
      <c r="J3522" s="9" t="str">
        <f>IFERROR(__xludf.DUMMYFUNCTION("""COMPUTED_VALUE"""),"")</f>
        <v/>
      </c>
      <c r="K3522" s="9" t="str">
        <f>IFERROR(__xludf.DUMMYFUNCTION("""COMPUTED_VALUE"""),"")</f>
        <v/>
      </c>
      <c r="L3522" s="9" t="str">
        <f>IFERROR(__xludf.DUMMYFUNCTION("""COMPUTED_VALUE"""),"")</f>
        <v/>
      </c>
      <c r="M3522" s="9" t="str">
        <f>IFERROR(__xludf.DUMMYFUNCTION("""COMPUTED_VALUE"""),"")</f>
        <v/>
      </c>
      <c r="N3522" s="9" t="str">
        <f>IFERROR(__xludf.DUMMYFUNCTION("""COMPUTED_VALUE"""),"")</f>
        <v/>
      </c>
      <c r="O3522" s="9" t="str">
        <f>IFERROR(__xludf.DUMMYFUNCTION("""COMPUTED_VALUE"""),"")</f>
        <v/>
      </c>
      <c r="P3522" s="9" t="str">
        <f>IFERROR(__xludf.DUMMYFUNCTION("""COMPUTED_VALUE"""),"")</f>
        <v/>
      </c>
      <c r="Q3522" s="9" t="str">
        <f>IFERROR(__xludf.DUMMYFUNCTION("""COMPUTED_VALUE"""),"")</f>
        <v/>
      </c>
      <c r="R3522" s="9" t="str">
        <f>IFERROR(__xludf.DUMMYFUNCTION("""COMPUTED_VALUE"""),"")</f>
        <v/>
      </c>
      <c r="S3522" s="42"/>
      <c r="T3522" s="42"/>
      <c r="U3522" s="159" t="b">
        <f>IFERROR(__xludf.DUMMYFUNCTION("""COMPUTED_VALUE"""),TRUE)</f>
        <v>1</v>
      </c>
      <c r="V3522" s="42"/>
      <c r="W3522" s="42" t="str">
        <f>IFERROR(__xludf.DUMMYFUNCTION("""COMPUTED_VALUE"""),"Excitatory")</f>
        <v>Excitatory</v>
      </c>
      <c r="X3522" s="42"/>
      <c r="Y3522" s="42"/>
      <c r="Z3522" s="42"/>
      <c r="AA3522" s="42"/>
      <c r="AB3522" s="42" t="str">
        <f>IFERROR(__xludf.DUMMYFUNCTION("""COMPUTED_VALUE"""),"Yoshimasa Tawatsuji")</f>
        <v>Yoshimasa Tawatsuji</v>
      </c>
      <c r="AC3522" s="42" t="str">
        <f>IFERROR(__xludf.DUMMYFUNCTION("""COMPUTED_VALUE"""),"YT20Oculomotor")</f>
        <v>YT20Oculomotor</v>
      </c>
      <c r="AD3522" s="42"/>
      <c r="AE3522" s="42"/>
      <c r="AF3522" s="9"/>
      <c r="AG3522" s="9"/>
      <c r="AH3522" s="42"/>
      <c r="AI3522" s="42"/>
      <c r="AJ3522" s="42"/>
      <c r="AK3522" s="42"/>
      <c r="AL3522" s="42"/>
      <c r="AM3522" s="42"/>
      <c r="AN3522" s="42"/>
      <c r="AO3522" s="63" t="str">
        <f>IFERROR(__xludf.DUMMYFUNCTION("IF(ISBLANK(A3522),,IF(ISBLANK(S3522), A3522&amp;"";"", TEXTJOIN(CHAR(10), TRUE, A3522&amp;"";"", ARRAYFORMULA(VLOOKUP(SPLIT(S3522, "";"" &amp; CHAR(10)), $A:$AO, 41, FALSE)))))"),"DLPN;")</f>
        <v>DLPN;</v>
      </c>
      <c r="AP3522" s="89"/>
    </row>
    <row r="3523">
      <c r="A3523" s="151" t="str">
        <f>IFERROR(__xludf.DUMMYFUNCTION("""COMPUTED_VALUE"""),"PPMRF")</f>
        <v>PPMRF</v>
      </c>
      <c r="B3523" s="42" t="str">
        <f>IFERROR(__xludf.DUMMYFUNCTION("""COMPUTED_VALUE"""),"[Takahashi, 2018]")</f>
        <v>[Takahashi, 2018]</v>
      </c>
      <c r="C3523" s="42" t="str">
        <f>IFERROR(__xludf.DUMMYFUNCTION("""COMPUTED_VALUE"""),"paramedian pontomedullary reticular formation")</f>
        <v>paramedian pontomedullary reticular formation</v>
      </c>
      <c r="D3523" s="42" t="str">
        <f>IFERROR(__xludf.DUMMYFUNCTION("""COMPUTED_VALUE"""),"?")</f>
        <v>?</v>
      </c>
      <c r="E3523" s="39" t="str">
        <f>IFERROR(__xludf.DUMMYFUNCTION("""COMPUTED_VALUE"""),"")</f>
        <v/>
      </c>
      <c r="F3523" s="9" t="str">
        <f>IFERROR(__xludf.DUMMYFUNCTION("""COMPUTED_VALUE"""),"")</f>
        <v/>
      </c>
      <c r="G3523" s="9" t="str">
        <f>IFERROR(__xludf.DUMMYFUNCTION("""COMPUTED_VALUE"""),"")</f>
        <v/>
      </c>
      <c r="H3523" s="9" t="str">
        <f>IFERROR(__xludf.DUMMYFUNCTION("""COMPUTED_VALUE"""),"")</f>
        <v/>
      </c>
      <c r="I3523" s="9" t="str">
        <f>IFERROR(__xludf.DUMMYFUNCTION("""COMPUTED_VALUE"""),"")</f>
        <v/>
      </c>
      <c r="J3523" s="9" t="str">
        <f>IFERROR(__xludf.DUMMYFUNCTION("""COMPUTED_VALUE"""),"")</f>
        <v/>
      </c>
      <c r="K3523" s="9" t="str">
        <f>IFERROR(__xludf.DUMMYFUNCTION("""COMPUTED_VALUE"""),"")</f>
        <v/>
      </c>
      <c r="L3523" s="9" t="str">
        <f>IFERROR(__xludf.DUMMYFUNCTION("""COMPUTED_VALUE"""),"")</f>
        <v/>
      </c>
      <c r="M3523" s="9" t="str">
        <f>IFERROR(__xludf.DUMMYFUNCTION("""COMPUTED_VALUE"""),"")</f>
        <v/>
      </c>
      <c r="N3523" s="9" t="str">
        <f>IFERROR(__xludf.DUMMYFUNCTION("""COMPUTED_VALUE"""),"")</f>
        <v/>
      </c>
      <c r="O3523" s="9" t="str">
        <f>IFERROR(__xludf.DUMMYFUNCTION("""COMPUTED_VALUE"""),"")</f>
        <v/>
      </c>
      <c r="P3523" s="9" t="str">
        <f>IFERROR(__xludf.DUMMYFUNCTION("""COMPUTED_VALUE"""),"")</f>
        <v/>
      </c>
      <c r="Q3523" s="9" t="str">
        <f>IFERROR(__xludf.DUMMYFUNCTION("""COMPUTED_VALUE"""),"")</f>
        <v/>
      </c>
      <c r="R3523" s="9" t="str">
        <f>IFERROR(__xludf.DUMMYFUNCTION("""COMPUTED_VALUE"""),"")</f>
        <v/>
      </c>
      <c r="S3523" s="42" t="str">
        <f>IFERROR(__xludf.DUMMYFUNCTION("""COMPUTED_VALUE"""),"PPMRF_l;
PPMRF_r")</f>
        <v>PPMRF_l;
PPMRF_r</v>
      </c>
      <c r="T3523" s="42"/>
      <c r="U3523" s="42" t="b">
        <f>IFERROR(__xludf.DUMMYFUNCTION("""COMPUTED_VALUE"""),FALSE)</f>
        <v>0</v>
      </c>
      <c r="V3523" s="42"/>
      <c r="W3523" s="42" t="str">
        <f>IFERROR(__xludf.DUMMYFUNCTION("""COMPUTED_VALUE"""),"Inhibitory")</f>
        <v>Inhibitory</v>
      </c>
      <c r="X3523" s="42"/>
      <c r="Y3523" s="42" t="str">
        <f>IFERROR(__xludf.DUMMYFUNCTION("""COMPUTED_VALUE"""),"inhibitory burst neuron [Takahashi, 2018]")</f>
        <v>inhibitory burst neuron [Takahashi, 2018]</v>
      </c>
      <c r="Z3523" s="42"/>
      <c r="AA3523" s="42"/>
      <c r="AB3523" s="42" t="str">
        <f>IFERROR(__xludf.DUMMYFUNCTION("""COMPUTED_VALUE"""),"Yoshimasa Tawatsuji")</f>
        <v>Yoshimasa Tawatsuji</v>
      </c>
      <c r="AC3523" s="42" t="str">
        <f>IFERROR(__xludf.DUMMYFUNCTION("""COMPUTED_VALUE"""),"YT20Oculomotor")</f>
        <v>YT20Oculomotor</v>
      </c>
      <c r="AD3523" s="42"/>
      <c r="AE3523" s="42"/>
      <c r="AF3523" s="9"/>
      <c r="AG3523" s="9"/>
      <c r="AH3523" s="42"/>
      <c r="AI3523" s="42"/>
      <c r="AJ3523" s="42"/>
      <c r="AK3523" s="42"/>
      <c r="AL3523" s="42"/>
      <c r="AM3523" s="42"/>
      <c r="AN3523" s="42"/>
      <c r="AO3523" s="63" t="str">
        <f>IFERROR(__xludf.DUMMYFUNCTION("IF(ISBLANK(A3523),,IF(ISBLANK(S3523), A3523&amp;"";"", TEXTJOIN(CHAR(10), TRUE, A3523&amp;"";"", ARRAYFORMULA(VLOOKUP(SPLIT(S3523, "";"" &amp; CHAR(10)), $A:$AO, 41, FALSE)))))"),"PPMRF;
PPMRF_l;
PPMRF_r;")</f>
        <v>PPMRF;
PPMRF_l;
PPMRF_r;</v>
      </c>
      <c r="AP3523" s="89"/>
    </row>
    <row r="3524">
      <c r="A3524" s="151" t="str">
        <f>IFERROR(__xludf.DUMMYFUNCTION("""COMPUTED_VALUE"""),"PPRF")</f>
        <v>PPRF</v>
      </c>
      <c r="B3524" s="42" t="str">
        <f>IFERROR(__xludf.DUMMYFUNCTION("""COMPUTED_VALUE"""),"[Takahashi, 2018]")</f>
        <v>[Takahashi, 2018]</v>
      </c>
      <c r="C3524" s="42" t="str">
        <f>IFERROR(__xludf.DUMMYFUNCTION("""COMPUTED_VALUE"""),"paramedian pontine reticular formation")</f>
        <v>paramedian pontine reticular formation</v>
      </c>
      <c r="D3524" s="42" t="str">
        <f>IFERROR(__xludf.DUMMYFUNCTION("""COMPUTED_VALUE"""),"?")</f>
        <v>?</v>
      </c>
      <c r="E3524" s="39" t="str">
        <f>IFERROR(__xludf.DUMMYFUNCTION("""COMPUTED_VALUE"""),"")</f>
        <v/>
      </c>
      <c r="F3524" s="9" t="str">
        <f>IFERROR(__xludf.DUMMYFUNCTION("""COMPUTED_VALUE"""),"")</f>
        <v/>
      </c>
      <c r="G3524" s="9" t="str">
        <f>IFERROR(__xludf.DUMMYFUNCTION("""COMPUTED_VALUE"""),"")</f>
        <v/>
      </c>
      <c r="H3524" s="9" t="str">
        <f>IFERROR(__xludf.DUMMYFUNCTION("""COMPUTED_VALUE"""),"")</f>
        <v/>
      </c>
      <c r="I3524" s="9" t="str">
        <f>IFERROR(__xludf.DUMMYFUNCTION("""COMPUTED_VALUE"""),"")</f>
        <v/>
      </c>
      <c r="J3524" s="9" t="str">
        <f>IFERROR(__xludf.DUMMYFUNCTION("""COMPUTED_VALUE"""),"")</f>
        <v/>
      </c>
      <c r="K3524" s="9" t="str">
        <f>IFERROR(__xludf.DUMMYFUNCTION("""COMPUTED_VALUE"""),"")</f>
        <v/>
      </c>
      <c r="L3524" s="9" t="str">
        <f>IFERROR(__xludf.DUMMYFUNCTION("""COMPUTED_VALUE"""),"")</f>
        <v/>
      </c>
      <c r="M3524" s="9" t="str">
        <f>IFERROR(__xludf.DUMMYFUNCTION("""COMPUTED_VALUE"""),"")</f>
        <v/>
      </c>
      <c r="N3524" s="9" t="str">
        <f>IFERROR(__xludf.DUMMYFUNCTION("""COMPUTED_VALUE"""),"")</f>
        <v/>
      </c>
      <c r="O3524" s="9" t="str">
        <f>IFERROR(__xludf.DUMMYFUNCTION("""COMPUTED_VALUE"""),"")</f>
        <v/>
      </c>
      <c r="P3524" s="9" t="str">
        <f>IFERROR(__xludf.DUMMYFUNCTION("""COMPUTED_VALUE"""),"")</f>
        <v/>
      </c>
      <c r="Q3524" s="9" t="str">
        <f>IFERROR(__xludf.DUMMYFUNCTION("""COMPUTED_VALUE"""),"")</f>
        <v/>
      </c>
      <c r="R3524" s="9" t="str">
        <f>IFERROR(__xludf.DUMMYFUNCTION("""COMPUTED_VALUE"""),"")</f>
        <v/>
      </c>
      <c r="S3524" s="42" t="str">
        <f>IFERROR(__xludf.DUMMYFUNCTION("""COMPUTED_VALUE"""),"PPRF_l;
PPRF_r")</f>
        <v>PPRF_l;
PPRF_r</v>
      </c>
      <c r="T3524" s="42"/>
      <c r="U3524" s="42" t="b">
        <f>IFERROR(__xludf.DUMMYFUNCTION("""COMPUTED_VALUE"""),FALSE)</f>
        <v>0</v>
      </c>
      <c r="V3524" s="42"/>
      <c r="W3524" s="42"/>
      <c r="X3524" s="42"/>
      <c r="Y3524" s="42" t="str">
        <f>IFERROR(__xludf.DUMMYFUNCTION("""COMPUTED_VALUE"""),"excitatory burst neuron [Takahashi, 2018]")</f>
        <v>excitatory burst neuron [Takahashi, 2018]</v>
      </c>
      <c r="Z3524" s="42"/>
      <c r="AA3524" s="42"/>
      <c r="AB3524" s="42" t="str">
        <f>IFERROR(__xludf.DUMMYFUNCTION("""COMPUTED_VALUE"""),"Yoshimasa Tawatsuji")</f>
        <v>Yoshimasa Tawatsuji</v>
      </c>
      <c r="AC3524" s="42" t="str">
        <f>IFERROR(__xludf.DUMMYFUNCTION("""COMPUTED_VALUE"""),"YT20Oculomotor")</f>
        <v>YT20Oculomotor</v>
      </c>
      <c r="AD3524" s="42"/>
      <c r="AE3524" s="42"/>
      <c r="AF3524" s="9"/>
      <c r="AG3524" s="9"/>
      <c r="AH3524" s="42"/>
      <c r="AI3524" s="42"/>
      <c r="AJ3524" s="42"/>
      <c r="AK3524" s="42"/>
      <c r="AL3524" s="42"/>
      <c r="AM3524" s="42"/>
      <c r="AN3524" s="42"/>
      <c r="AO3524" s="63" t="str">
        <f>IFERROR(__xludf.DUMMYFUNCTION("IF(ISBLANK(A3524),,IF(ISBLANK(S3524), A3524&amp;"";"", TEXTJOIN(CHAR(10), TRUE, A3524&amp;"";"", ARRAYFORMULA(VLOOKUP(SPLIT(S3524, "";"" &amp; CHAR(10)), $A:$AO, 41, FALSE)))))"),"PPRF;
PPRF_l;
PPRF_r;")</f>
        <v>PPRF;
PPRF_l;
PPRF_r;</v>
      </c>
      <c r="AP3524" s="89"/>
    </row>
    <row r="3525">
      <c r="A3525" s="151" t="str">
        <f>IFERROR(__xludf.DUMMYFUNCTION("""COMPUTED_VALUE"""),"OM")</f>
        <v>OM</v>
      </c>
      <c r="B3525" s="42" t="str">
        <f>IFERROR(__xludf.DUMMYFUNCTION("""COMPUTED_VALUE"""),"collection")</f>
        <v>collection</v>
      </c>
      <c r="C3525" s="42" t="str">
        <f>IFERROR(__xludf.DUMMYFUNCTION("""COMPUTED_VALUE"""),"ocular muscule")</f>
        <v>ocular muscule</v>
      </c>
      <c r="D3525" s="42" t="str">
        <f>IFERROR(__xludf.DUMMYFUNCTION("""COMPUTED_VALUE"""),"?")</f>
        <v>?</v>
      </c>
      <c r="E3525" s="39" t="str">
        <f>IFERROR(__xludf.DUMMYFUNCTION("""COMPUTED_VALUE"""),"")</f>
        <v/>
      </c>
      <c r="F3525" s="9" t="str">
        <f>IFERROR(__xludf.DUMMYFUNCTION("""COMPUTED_VALUE"""),"")</f>
        <v/>
      </c>
      <c r="G3525" s="9" t="str">
        <f>IFERROR(__xludf.DUMMYFUNCTION("""COMPUTED_VALUE"""),"")</f>
        <v/>
      </c>
      <c r="H3525" s="9" t="str">
        <f>IFERROR(__xludf.DUMMYFUNCTION("""COMPUTED_VALUE"""),"")</f>
        <v/>
      </c>
      <c r="I3525" s="9" t="str">
        <f>IFERROR(__xludf.DUMMYFUNCTION("""COMPUTED_VALUE"""),"")</f>
        <v/>
      </c>
      <c r="J3525" s="9" t="str">
        <f>IFERROR(__xludf.DUMMYFUNCTION("""COMPUTED_VALUE"""),"")</f>
        <v/>
      </c>
      <c r="K3525" s="9" t="str">
        <f>IFERROR(__xludf.DUMMYFUNCTION("""COMPUTED_VALUE"""),"")</f>
        <v/>
      </c>
      <c r="L3525" s="9" t="str">
        <f>IFERROR(__xludf.DUMMYFUNCTION("""COMPUTED_VALUE"""),"")</f>
        <v/>
      </c>
      <c r="M3525" s="9" t="str">
        <f>IFERROR(__xludf.DUMMYFUNCTION("""COMPUTED_VALUE"""),"")</f>
        <v/>
      </c>
      <c r="N3525" s="9" t="str">
        <f>IFERROR(__xludf.DUMMYFUNCTION("""COMPUTED_VALUE"""),"")</f>
        <v/>
      </c>
      <c r="O3525" s="9" t="str">
        <f>IFERROR(__xludf.DUMMYFUNCTION("""COMPUTED_VALUE"""),"")</f>
        <v/>
      </c>
      <c r="P3525" s="9" t="str">
        <f>IFERROR(__xludf.DUMMYFUNCTION("""COMPUTED_VALUE"""),"")</f>
        <v/>
      </c>
      <c r="Q3525" s="9" t="str">
        <f>IFERROR(__xludf.DUMMYFUNCTION("""COMPUTED_VALUE"""),"")</f>
        <v/>
      </c>
      <c r="R3525" s="9" t="str">
        <f>IFERROR(__xludf.DUMMYFUNCTION("""COMPUTED_VALUE"""),"")</f>
        <v/>
      </c>
      <c r="S3525" s="42" t="str">
        <f>IFERROR(__xludf.DUMMYFUNCTION("""COMPUTED_VALUE"""),"SR;
IR;
SO;
IO;
MR;
LR")</f>
        <v>SR;
IR;
SO;
IO;
MR;
LR</v>
      </c>
      <c r="T3525" s="42"/>
      <c r="U3525" s="42" t="b">
        <f>IFERROR(__xludf.DUMMYFUNCTION("""COMPUTED_VALUE"""),FALSE)</f>
        <v>0</v>
      </c>
      <c r="V3525" s="42"/>
      <c r="W3525" s="42"/>
      <c r="X3525" s="42"/>
      <c r="Y3525" s="42"/>
      <c r="Z3525" s="42"/>
      <c r="AA3525" s="42"/>
      <c r="AB3525" s="42" t="str">
        <f>IFERROR(__xludf.DUMMYFUNCTION("""COMPUTED_VALUE"""),"Yoshimasa Tawatsuji")</f>
        <v>Yoshimasa Tawatsuji</v>
      </c>
      <c r="AC3525" s="42" t="str">
        <f>IFERROR(__xludf.DUMMYFUNCTION("""COMPUTED_VALUE"""),"YT20Oculomotor")</f>
        <v>YT20Oculomotor</v>
      </c>
      <c r="AD3525" s="42"/>
      <c r="AE3525" s="42"/>
      <c r="AF3525" s="9"/>
      <c r="AG3525" s="9"/>
      <c r="AH3525" s="42"/>
      <c r="AI3525" s="42"/>
      <c r="AJ3525" s="42"/>
      <c r="AK3525" s="42"/>
      <c r="AL3525" s="42"/>
      <c r="AM3525" s="42"/>
      <c r="AN3525" s="42"/>
      <c r="AO3525" s="63" t="str">
        <f>IFERROR(__xludf.DUMMYFUNCTION("IF(ISBLANK(A3525),,IF(ISBLANK(S3525), A3525&amp;"";"", TEXTJOIN(CHAR(10), TRUE, A3525&amp;"";"", ARRAYFORMULA(VLOOKUP(SPLIT(S3525, "";"" &amp; CHAR(10)), $A:$AO, 41, FALSE)))))"),"#N/A")</f>
        <v>#N/A</v>
      </c>
      <c r="AP3525" s="89"/>
    </row>
    <row r="3526">
      <c r="A3526" s="151" t="str">
        <f>IFERROR(__xludf.DUMMYFUNCTION("""COMPUTED_VALUE"""),"FF_l")</f>
        <v>FF_l</v>
      </c>
      <c r="B3526" s="42" t="str">
        <f>IFERROR(__xludf.DUMMYFUNCTION("""COMPUTED_VALUE"""),"makeshift")</f>
        <v>makeshift</v>
      </c>
      <c r="C3526" s="42" t="str">
        <f>IFERROR(__xludf.DUMMYFUNCTION("""COMPUTED_VALUE"""),"left side, nucleus of the field of Forel")</f>
        <v>left side, nucleus of the field of Forel</v>
      </c>
      <c r="D3526" s="42" t="str">
        <f>IFERROR(__xludf.DUMMYFUNCTION("""COMPUTED_VALUE"""),"?")</f>
        <v>?</v>
      </c>
      <c r="E3526" s="39" t="str">
        <f>IFERROR(__xludf.DUMMYFUNCTION("""COMPUTED_VALUE"""),"")</f>
        <v/>
      </c>
      <c r="F3526" s="9" t="str">
        <f>IFERROR(__xludf.DUMMYFUNCTION("""COMPUTED_VALUE"""),"")</f>
        <v/>
      </c>
      <c r="G3526" s="9" t="str">
        <f>IFERROR(__xludf.DUMMYFUNCTION("""COMPUTED_VALUE"""),"")</f>
        <v/>
      </c>
      <c r="H3526" s="9" t="str">
        <f>IFERROR(__xludf.DUMMYFUNCTION("""COMPUTED_VALUE"""),"")</f>
        <v/>
      </c>
      <c r="I3526" s="9" t="str">
        <f>IFERROR(__xludf.DUMMYFUNCTION("""COMPUTED_VALUE"""),"")</f>
        <v/>
      </c>
      <c r="J3526" s="9" t="str">
        <f>IFERROR(__xludf.DUMMYFUNCTION("""COMPUTED_VALUE"""),"")</f>
        <v/>
      </c>
      <c r="K3526" s="9" t="str">
        <f>IFERROR(__xludf.DUMMYFUNCTION("""COMPUTED_VALUE"""),"")</f>
        <v/>
      </c>
      <c r="L3526" s="9" t="str">
        <f>IFERROR(__xludf.DUMMYFUNCTION("""COMPUTED_VALUE"""),"")</f>
        <v/>
      </c>
      <c r="M3526" s="9" t="str">
        <f>IFERROR(__xludf.DUMMYFUNCTION("""COMPUTED_VALUE"""),"")</f>
        <v/>
      </c>
      <c r="N3526" s="9" t="str">
        <f>IFERROR(__xludf.DUMMYFUNCTION("""COMPUTED_VALUE"""),"")</f>
        <v/>
      </c>
      <c r="O3526" s="9" t="str">
        <f>IFERROR(__xludf.DUMMYFUNCTION("""COMPUTED_VALUE"""),"")</f>
        <v/>
      </c>
      <c r="P3526" s="9" t="str">
        <f>IFERROR(__xludf.DUMMYFUNCTION("""COMPUTED_VALUE"""),"")</f>
        <v/>
      </c>
      <c r="Q3526" s="9" t="str">
        <f>IFERROR(__xludf.DUMMYFUNCTION("""COMPUTED_VALUE"""),"")</f>
        <v/>
      </c>
      <c r="R3526" s="9" t="str">
        <f>IFERROR(__xludf.DUMMYFUNCTION("""COMPUTED_VALUE"""),"")</f>
        <v/>
      </c>
      <c r="S3526" s="42"/>
      <c r="T3526" s="42"/>
      <c r="U3526" s="42" t="b">
        <f>IFERROR(__xludf.DUMMYFUNCTION("""COMPUTED_VALUE"""),TRUE)</f>
        <v>1</v>
      </c>
      <c r="V3526" s="42"/>
      <c r="W3526" s="42" t="str">
        <f>IFERROR(__xludf.DUMMYFUNCTION("""COMPUTED_VALUE"""),"Excitatory")</f>
        <v>Excitatory</v>
      </c>
      <c r="X3526" s="42"/>
      <c r="Y3526" s="42"/>
      <c r="Z3526" s="42"/>
      <c r="AA3526" s="42"/>
      <c r="AB3526" s="42" t="str">
        <f>IFERROR(__xludf.DUMMYFUNCTION("""COMPUTED_VALUE"""),"Yoshimasa Tawatsuji")</f>
        <v>Yoshimasa Tawatsuji</v>
      </c>
      <c r="AC3526" s="42" t="str">
        <f>IFERROR(__xludf.DUMMYFUNCTION("""COMPUTED_VALUE"""),"YT20Oculomotor")</f>
        <v>YT20Oculomotor</v>
      </c>
      <c r="AD3526" s="42"/>
      <c r="AE3526" s="42"/>
      <c r="AF3526" s="9"/>
      <c r="AG3526" s="9"/>
      <c r="AH3526" s="42"/>
      <c r="AI3526" s="42"/>
      <c r="AJ3526" s="42"/>
      <c r="AK3526" s="42"/>
      <c r="AL3526" s="42"/>
      <c r="AM3526" s="42"/>
      <c r="AN3526" s="42"/>
      <c r="AO3526" s="63" t="str">
        <f>IFERROR(__xludf.DUMMYFUNCTION("IF(ISBLANK(A3526),,IF(ISBLANK(S3526), A3526&amp;"";"", TEXTJOIN(CHAR(10), TRUE, A3526&amp;"";"", ARRAYFORMULA(VLOOKUP(SPLIT(S3526, "";"" &amp; CHAR(10)), $A:$AO, 41, FALSE)))))"),"FF_l;")</f>
        <v>FF_l;</v>
      </c>
      <c r="AP3526" s="89"/>
    </row>
    <row r="3527">
      <c r="A3527" s="151" t="str">
        <f>IFERROR(__xludf.DUMMYFUNCTION("""COMPUTED_VALUE"""),"FF_r")</f>
        <v>FF_r</v>
      </c>
      <c r="B3527" s="42" t="str">
        <f>IFERROR(__xludf.DUMMYFUNCTION("""COMPUTED_VALUE"""),"makeshift")</f>
        <v>makeshift</v>
      </c>
      <c r="C3527" s="42" t="str">
        <f>IFERROR(__xludf.DUMMYFUNCTION("""COMPUTED_VALUE"""),"right side, nucleus of the field of Forel")</f>
        <v>right side, nucleus of the field of Forel</v>
      </c>
      <c r="D3527" s="42" t="str">
        <f>IFERROR(__xludf.DUMMYFUNCTION("""COMPUTED_VALUE"""),"?")</f>
        <v>?</v>
      </c>
      <c r="E3527" s="39" t="str">
        <f>IFERROR(__xludf.DUMMYFUNCTION("""COMPUTED_VALUE"""),"")</f>
        <v/>
      </c>
      <c r="F3527" s="9" t="str">
        <f>IFERROR(__xludf.DUMMYFUNCTION("""COMPUTED_VALUE"""),"")</f>
        <v/>
      </c>
      <c r="G3527" s="9" t="str">
        <f>IFERROR(__xludf.DUMMYFUNCTION("""COMPUTED_VALUE"""),"")</f>
        <v/>
      </c>
      <c r="H3527" s="9" t="str">
        <f>IFERROR(__xludf.DUMMYFUNCTION("""COMPUTED_VALUE"""),"")</f>
        <v/>
      </c>
      <c r="I3527" s="9" t="str">
        <f>IFERROR(__xludf.DUMMYFUNCTION("""COMPUTED_VALUE"""),"")</f>
        <v/>
      </c>
      <c r="J3527" s="9" t="str">
        <f>IFERROR(__xludf.DUMMYFUNCTION("""COMPUTED_VALUE"""),"")</f>
        <v/>
      </c>
      <c r="K3527" s="9" t="str">
        <f>IFERROR(__xludf.DUMMYFUNCTION("""COMPUTED_VALUE"""),"")</f>
        <v/>
      </c>
      <c r="L3527" s="9" t="str">
        <f>IFERROR(__xludf.DUMMYFUNCTION("""COMPUTED_VALUE"""),"")</f>
        <v/>
      </c>
      <c r="M3527" s="9" t="str">
        <f>IFERROR(__xludf.DUMMYFUNCTION("""COMPUTED_VALUE"""),"")</f>
        <v/>
      </c>
      <c r="N3527" s="9" t="str">
        <f>IFERROR(__xludf.DUMMYFUNCTION("""COMPUTED_VALUE"""),"")</f>
        <v/>
      </c>
      <c r="O3527" s="9" t="str">
        <f>IFERROR(__xludf.DUMMYFUNCTION("""COMPUTED_VALUE"""),"")</f>
        <v/>
      </c>
      <c r="P3527" s="9" t="str">
        <f>IFERROR(__xludf.DUMMYFUNCTION("""COMPUTED_VALUE"""),"")</f>
        <v/>
      </c>
      <c r="Q3527" s="9" t="str">
        <f>IFERROR(__xludf.DUMMYFUNCTION("""COMPUTED_VALUE"""),"")</f>
        <v/>
      </c>
      <c r="R3527" s="9" t="str">
        <f>IFERROR(__xludf.DUMMYFUNCTION("""COMPUTED_VALUE"""),"")</f>
        <v/>
      </c>
      <c r="S3527" s="42"/>
      <c r="T3527" s="42"/>
      <c r="U3527" s="42" t="b">
        <f>IFERROR(__xludf.DUMMYFUNCTION("""COMPUTED_VALUE"""),TRUE)</f>
        <v>1</v>
      </c>
      <c r="V3527" s="42"/>
      <c r="W3527" s="42" t="str">
        <f>IFERROR(__xludf.DUMMYFUNCTION("""COMPUTED_VALUE"""),"Excitatory")</f>
        <v>Excitatory</v>
      </c>
      <c r="X3527" s="42"/>
      <c r="Y3527" s="42"/>
      <c r="Z3527" s="42"/>
      <c r="AA3527" s="42"/>
      <c r="AB3527" s="42" t="str">
        <f>IFERROR(__xludf.DUMMYFUNCTION("""COMPUTED_VALUE"""),"Yoshimasa Tawatsuji")</f>
        <v>Yoshimasa Tawatsuji</v>
      </c>
      <c r="AC3527" s="42" t="str">
        <f>IFERROR(__xludf.DUMMYFUNCTION("""COMPUTED_VALUE"""),"YT20Oculomotor")</f>
        <v>YT20Oculomotor</v>
      </c>
      <c r="AD3527" s="42"/>
      <c r="AE3527" s="42"/>
      <c r="AF3527" s="9"/>
      <c r="AG3527" s="9"/>
      <c r="AH3527" s="42"/>
      <c r="AI3527" s="42"/>
      <c r="AJ3527" s="42"/>
      <c r="AK3527" s="42"/>
      <c r="AL3527" s="42"/>
      <c r="AM3527" s="42"/>
      <c r="AN3527" s="42"/>
      <c r="AO3527" s="63" t="str">
        <f>IFERROR(__xludf.DUMMYFUNCTION("IF(ISBLANK(A3527),,IF(ISBLANK(S3527), A3527&amp;"";"", TEXTJOIN(CHAR(10), TRUE, A3527&amp;"";"", ARRAYFORMULA(VLOOKUP(SPLIT(S3527, "";"" &amp; CHAR(10)), $A:$AO, 41, FALSE)))))"),"FF_r;")</f>
        <v>FF_r;</v>
      </c>
      <c r="AP3527" s="89"/>
    </row>
    <row r="3528">
      <c r="A3528" s="151" t="str">
        <f>IFERROR(__xludf.DUMMYFUNCTION("""COMPUTED_VALUE"""),"InC1_l")</f>
        <v>InC1_l</v>
      </c>
      <c r="B3528" s="42" t="str">
        <f>IFERROR(__xludf.DUMMYFUNCTION("""COMPUTED_VALUE"""),"makeshift")</f>
        <v>makeshift</v>
      </c>
      <c r="C3528" s="42" t="str">
        <f>IFERROR(__xludf.DUMMYFUNCTION("""COMPUTED_VALUE"""),"left side, interstitial nucleus of Cajal")</f>
        <v>left side, interstitial nucleus of Cajal</v>
      </c>
      <c r="D3528" s="42" t="str">
        <f>IFERROR(__xludf.DUMMYFUNCTION("""COMPUTED_VALUE"""),"?")</f>
        <v>?</v>
      </c>
      <c r="E3528" s="39" t="str">
        <f>IFERROR(__xludf.DUMMYFUNCTION("""COMPUTED_VALUE"""),"")</f>
        <v/>
      </c>
      <c r="F3528" s="9" t="str">
        <f>IFERROR(__xludf.DUMMYFUNCTION("""COMPUTED_VALUE"""),"")</f>
        <v/>
      </c>
      <c r="G3528" s="9" t="str">
        <f>IFERROR(__xludf.DUMMYFUNCTION("""COMPUTED_VALUE"""),"")</f>
        <v/>
      </c>
      <c r="H3528" s="9" t="str">
        <f>IFERROR(__xludf.DUMMYFUNCTION("""COMPUTED_VALUE"""),"")</f>
        <v/>
      </c>
      <c r="I3528" s="9" t="str">
        <f>IFERROR(__xludf.DUMMYFUNCTION("""COMPUTED_VALUE"""),"")</f>
        <v/>
      </c>
      <c r="J3528" s="9" t="str">
        <f>IFERROR(__xludf.DUMMYFUNCTION("""COMPUTED_VALUE"""),"")</f>
        <v/>
      </c>
      <c r="K3528" s="9" t="str">
        <f>IFERROR(__xludf.DUMMYFUNCTION("""COMPUTED_VALUE"""),"")</f>
        <v/>
      </c>
      <c r="L3528" s="9" t="str">
        <f>IFERROR(__xludf.DUMMYFUNCTION("""COMPUTED_VALUE"""),"")</f>
        <v/>
      </c>
      <c r="M3528" s="9" t="str">
        <f>IFERROR(__xludf.DUMMYFUNCTION("""COMPUTED_VALUE"""),"")</f>
        <v/>
      </c>
      <c r="N3528" s="9" t="str">
        <f>IFERROR(__xludf.DUMMYFUNCTION("""COMPUTED_VALUE"""),"")</f>
        <v/>
      </c>
      <c r="O3528" s="9" t="str">
        <f>IFERROR(__xludf.DUMMYFUNCTION("""COMPUTED_VALUE"""),"")</f>
        <v/>
      </c>
      <c r="P3528" s="9" t="str">
        <f>IFERROR(__xludf.DUMMYFUNCTION("""COMPUTED_VALUE"""),"")</f>
        <v/>
      </c>
      <c r="Q3528" s="9" t="str">
        <f>IFERROR(__xludf.DUMMYFUNCTION("""COMPUTED_VALUE"""),"")</f>
        <v/>
      </c>
      <c r="R3528" s="9" t="str">
        <f>IFERROR(__xludf.DUMMYFUNCTION("""COMPUTED_VALUE"""),"")</f>
        <v/>
      </c>
      <c r="S3528" s="42"/>
      <c r="T3528" s="42"/>
      <c r="U3528" s="42" t="b">
        <f>IFERROR(__xludf.DUMMYFUNCTION("""COMPUTED_VALUE"""),TRUE)</f>
        <v>1</v>
      </c>
      <c r="V3528" s="42"/>
      <c r="W3528" s="42" t="str">
        <f>IFERROR(__xludf.DUMMYFUNCTION("""COMPUTED_VALUE"""),"Inhibitory")</f>
        <v>Inhibitory</v>
      </c>
      <c r="X3528" s="42"/>
      <c r="Y3528" s="42"/>
      <c r="Z3528" s="42"/>
      <c r="AA3528" s="42"/>
      <c r="AB3528" s="42" t="str">
        <f>IFERROR(__xludf.DUMMYFUNCTION("""COMPUTED_VALUE"""),"Yoshimasa Tawatsuji")</f>
        <v>Yoshimasa Tawatsuji</v>
      </c>
      <c r="AC3528" s="42" t="str">
        <f>IFERROR(__xludf.DUMMYFUNCTION("""COMPUTED_VALUE"""),"YT20Oculomotor")</f>
        <v>YT20Oculomotor</v>
      </c>
      <c r="AD3528" s="42"/>
      <c r="AE3528" s="42"/>
      <c r="AF3528" s="9"/>
      <c r="AG3528" s="9"/>
      <c r="AH3528" s="42"/>
      <c r="AI3528" s="42"/>
      <c r="AJ3528" s="42"/>
      <c r="AK3528" s="42"/>
      <c r="AL3528" s="42"/>
      <c r="AM3528" s="42"/>
      <c r="AN3528" s="42"/>
      <c r="AO3528" s="63" t="str">
        <f>IFERROR(__xludf.DUMMYFUNCTION("IF(ISBLANK(A3528),,IF(ISBLANK(S3528), A3528&amp;"";"", TEXTJOIN(CHAR(10), TRUE, A3528&amp;"";"", ARRAYFORMULA(VLOOKUP(SPLIT(S3528, "";"" &amp; CHAR(10)), $A:$AO, 41, FALSE)))))"),"InC1_l;")</f>
        <v>InC1_l;</v>
      </c>
      <c r="AP3528" s="89"/>
    </row>
    <row r="3529">
      <c r="A3529" s="151" t="str">
        <f>IFERROR(__xludf.DUMMYFUNCTION("""COMPUTED_VALUE"""),"InC1_r")</f>
        <v>InC1_r</v>
      </c>
      <c r="B3529" s="42" t="str">
        <f>IFERROR(__xludf.DUMMYFUNCTION("""COMPUTED_VALUE"""),"makeshift")</f>
        <v>makeshift</v>
      </c>
      <c r="C3529" s="42" t="str">
        <f>IFERROR(__xludf.DUMMYFUNCTION("""COMPUTED_VALUE"""),"right side, intterstitial nucleus of Cajal")</f>
        <v>right side, intterstitial nucleus of Cajal</v>
      </c>
      <c r="D3529" s="42" t="str">
        <f>IFERROR(__xludf.DUMMYFUNCTION("""COMPUTED_VALUE"""),"?")</f>
        <v>?</v>
      </c>
      <c r="E3529" s="39" t="str">
        <f>IFERROR(__xludf.DUMMYFUNCTION("""COMPUTED_VALUE"""),"")</f>
        <v/>
      </c>
      <c r="F3529" s="9" t="str">
        <f>IFERROR(__xludf.DUMMYFUNCTION("""COMPUTED_VALUE"""),"")</f>
        <v/>
      </c>
      <c r="G3529" s="9" t="str">
        <f>IFERROR(__xludf.DUMMYFUNCTION("""COMPUTED_VALUE"""),"")</f>
        <v/>
      </c>
      <c r="H3529" s="9" t="str">
        <f>IFERROR(__xludf.DUMMYFUNCTION("""COMPUTED_VALUE"""),"")</f>
        <v/>
      </c>
      <c r="I3529" s="9" t="str">
        <f>IFERROR(__xludf.DUMMYFUNCTION("""COMPUTED_VALUE"""),"")</f>
        <v/>
      </c>
      <c r="J3529" s="9" t="str">
        <f>IFERROR(__xludf.DUMMYFUNCTION("""COMPUTED_VALUE"""),"")</f>
        <v/>
      </c>
      <c r="K3529" s="9" t="str">
        <f>IFERROR(__xludf.DUMMYFUNCTION("""COMPUTED_VALUE"""),"")</f>
        <v/>
      </c>
      <c r="L3529" s="9" t="str">
        <f>IFERROR(__xludf.DUMMYFUNCTION("""COMPUTED_VALUE"""),"")</f>
        <v/>
      </c>
      <c r="M3529" s="9" t="str">
        <f>IFERROR(__xludf.DUMMYFUNCTION("""COMPUTED_VALUE"""),"")</f>
        <v/>
      </c>
      <c r="N3529" s="9" t="str">
        <f>IFERROR(__xludf.DUMMYFUNCTION("""COMPUTED_VALUE"""),"")</f>
        <v/>
      </c>
      <c r="O3529" s="9" t="str">
        <f>IFERROR(__xludf.DUMMYFUNCTION("""COMPUTED_VALUE"""),"")</f>
        <v/>
      </c>
      <c r="P3529" s="9" t="str">
        <f>IFERROR(__xludf.DUMMYFUNCTION("""COMPUTED_VALUE"""),"")</f>
        <v/>
      </c>
      <c r="Q3529" s="9" t="str">
        <f>IFERROR(__xludf.DUMMYFUNCTION("""COMPUTED_VALUE"""),"")</f>
        <v/>
      </c>
      <c r="R3529" s="9" t="str">
        <f>IFERROR(__xludf.DUMMYFUNCTION("""COMPUTED_VALUE"""),"")</f>
        <v/>
      </c>
      <c r="S3529" s="42"/>
      <c r="T3529" s="42"/>
      <c r="U3529" s="42" t="b">
        <f>IFERROR(__xludf.DUMMYFUNCTION("""COMPUTED_VALUE"""),TRUE)</f>
        <v>1</v>
      </c>
      <c r="V3529" s="42"/>
      <c r="W3529" s="42" t="str">
        <f>IFERROR(__xludf.DUMMYFUNCTION("""COMPUTED_VALUE"""),"Inhibitory")</f>
        <v>Inhibitory</v>
      </c>
      <c r="X3529" s="42"/>
      <c r="Y3529" s="42"/>
      <c r="Z3529" s="42"/>
      <c r="AA3529" s="42"/>
      <c r="AB3529" s="42" t="str">
        <f>IFERROR(__xludf.DUMMYFUNCTION("""COMPUTED_VALUE"""),"Yoshimasa Tawatsuji")</f>
        <v>Yoshimasa Tawatsuji</v>
      </c>
      <c r="AC3529" s="42" t="str">
        <f>IFERROR(__xludf.DUMMYFUNCTION("""COMPUTED_VALUE"""),"YT20Oculomotor")</f>
        <v>YT20Oculomotor</v>
      </c>
      <c r="AD3529" s="42"/>
      <c r="AE3529" s="42"/>
      <c r="AF3529" s="9"/>
      <c r="AG3529" s="9"/>
      <c r="AH3529" s="42"/>
      <c r="AI3529" s="42"/>
      <c r="AJ3529" s="42"/>
      <c r="AK3529" s="42"/>
      <c r="AL3529" s="42"/>
      <c r="AM3529" s="42"/>
      <c r="AN3529" s="42"/>
      <c r="AO3529" s="63" t="str">
        <f>IFERROR(__xludf.DUMMYFUNCTION("IF(ISBLANK(A3529),,IF(ISBLANK(S3529), A3529&amp;"";"", TEXTJOIN(CHAR(10), TRUE, A3529&amp;"";"", ARRAYFORMULA(VLOOKUP(SPLIT(S3529, "";"" &amp; CHAR(10)), $A:$AO, 41, FALSE)))))"),"InC1_r;")</f>
        <v>InC1_r;</v>
      </c>
      <c r="AP3529" s="89"/>
    </row>
    <row r="3530">
      <c r="A3530" s="151" t="str">
        <f>IFERROR(__xludf.DUMMYFUNCTION("""COMPUTED_VALUE"""),"InC2_l")</f>
        <v>InC2_l</v>
      </c>
      <c r="B3530" s="42" t="str">
        <f>IFERROR(__xludf.DUMMYFUNCTION("""COMPUTED_VALUE"""),"makeshift")</f>
        <v>makeshift</v>
      </c>
      <c r="C3530" s="42" t="str">
        <f>IFERROR(__xludf.DUMMYFUNCTION("""COMPUTED_VALUE"""),"left side, interstitial nucleus of Cajal")</f>
        <v>left side, interstitial nucleus of Cajal</v>
      </c>
      <c r="D3530" s="42" t="str">
        <f>IFERROR(__xludf.DUMMYFUNCTION("""COMPUTED_VALUE"""),"?")</f>
        <v>?</v>
      </c>
      <c r="E3530" s="39" t="str">
        <f>IFERROR(__xludf.DUMMYFUNCTION("""COMPUTED_VALUE"""),"")</f>
        <v/>
      </c>
      <c r="F3530" s="9" t="str">
        <f>IFERROR(__xludf.DUMMYFUNCTION("""COMPUTED_VALUE"""),"")</f>
        <v/>
      </c>
      <c r="G3530" s="9" t="str">
        <f>IFERROR(__xludf.DUMMYFUNCTION("""COMPUTED_VALUE"""),"")</f>
        <v/>
      </c>
      <c r="H3530" s="9" t="str">
        <f>IFERROR(__xludf.DUMMYFUNCTION("""COMPUTED_VALUE"""),"")</f>
        <v/>
      </c>
      <c r="I3530" s="9" t="str">
        <f>IFERROR(__xludf.DUMMYFUNCTION("""COMPUTED_VALUE"""),"")</f>
        <v/>
      </c>
      <c r="J3530" s="9" t="str">
        <f>IFERROR(__xludf.DUMMYFUNCTION("""COMPUTED_VALUE"""),"")</f>
        <v/>
      </c>
      <c r="K3530" s="9" t="str">
        <f>IFERROR(__xludf.DUMMYFUNCTION("""COMPUTED_VALUE"""),"")</f>
        <v/>
      </c>
      <c r="L3530" s="9" t="str">
        <f>IFERROR(__xludf.DUMMYFUNCTION("""COMPUTED_VALUE"""),"")</f>
        <v/>
      </c>
      <c r="M3530" s="9" t="str">
        <f>IFERROR(__xludf.DUMMYFUNCTION("""COMPUTED_VALUE"""),"")</f>
        <v/>
      </c>
      <c r="N3530" s="9" t="str">
        <f>IFERROR(__xludf.DUMMYFUNCTION("""COMPUTED_VALUE"""),"")</f>
        <v/>
      </c>
      <c r="O3530" s="9" t="str">
        <f>IFERROR(__xludf.DUMMYFUNCTION("""COMPUTED_VALUE"""),"")</f>
        <v/>
      </c>
      <c r="P3530" s="9" t="str">
        <f>IFERROR(__xludf.DUMMYFUNCTION("""COMPUTED_VALUE"""),"")</f>
        <v/>
      </c>
      <c r="Q3530" s="9" t="str">
        <f>IFERROR(__xludf.DUMMYFUNCTION("""COMPUTED_VALUE"""),"")</f>
        <v/>
      </c>
      <c r="R3530" s="9" t="str">
        <f>IFERROR(__xludf.DUMMYFUNCTION("""COMPUTED_VALUE"""),"")</f>
        <v/>
      </c>
      <c r="S3530" s="42"/>
      <c r="T3530" s="42"/>
      <c r="U3530" s="42" t="b">
        <f>IFERROR(__xludf.DUMMYFUNCTION("""COMPUTED_VALUE"""),TRUE)</f>
        <v>1</v>
      </c>
      <c r="V3530" s="42"/>
      <c r="W3530" s="42" t="str">
        <f>IFERROR(__xludf.DUMMYFUNCTION("""COMPUTED_VALUE"""),"Excitatory")</f>
        <v>Excitatory</v>
      </c>
      <c r="X3530" s="42"/>
      <c r="Y3530" s="42"/>
      <c r="Z3530" s="42"/>
      <c r="AA3530" s="42"/>
      <c r="AB3530" s="42" t="str">
        <f>IFERROR(__xludf.DUMMYFUNCTION("""COMPUTED_VALUE"""),"Yoshimasa Tawatsuji")</f>
        <v>Yoshimasa Tawatsuji</v>
      </c>
      <c r="AC3530" s="42" t="str">
        <f>IFERROR(__xludf.DUMMYFUNCTION("""COMPUTED_VALUE"""),"YT20Oculomotor")</f>
        <v>YT20Oculomotor</v>
      </c>
      <c r="AD3530" s="42"/>
      <c r="AE3530" s="42"/>
      <c r="AF3530" s="9"/>
      <c r="AG3530" s="9"/>
      <c r="AH3530" s="42"/>
      <c r="AI3530" s="42"/>
      <c r="AJ3530" s="42"/>
      <c r="AK3530" s="42"/>
      <c r="AL3530" s="42"/>
      <c r="AM3530" s="42"/>
      <c r="AN3530" s="42"/>
      <c r="AO3530" s="63" t="str">
        <f>IFERROR(__xludf.DUMMYFUNCTION("IF(ISBLANK(A3530),,IF(ISBLANK(S3530), A3530&amp;"";"", TEXTJOIN(CHAR(10), TRUE, A3530&amp;"";"", ARRAYFORMULA(VLOOKUP(SPLIT(S3530, "";"" &amp; CHAR(10)), $A:$AO, 41, FALSE)))))"),"InC2_l;")</f>
        <v>InC2_l;</v>
      </c>
      <c r="AP3530" s="89"/>
    </row>
    <row r="3531">
      <c r="A3531" s="151" t="str">
        <f>IFERROR(__xludf.DUMMYFUNCTION("""COMPUTED_VALUE"""),"InC2_r")</f>
        <v>InC2_r</v>
      </c>
      <c r="B3531" s="42" t="str">
        <f>IFERROR(__xludf.DUMMYFUNCTION("""COMPUTED_VALUE"""),"makeshift")</f>
        <v>makeshift</v>
      </c>
      <c r="C3531" s="42" t="str">
        <f>IFERROR(__xludf.DUMMYFUNCTION("""COMPUTED_VALUE"""),"right side, intterstitial nucleus of Cajal")</f>
        <v>right side, intterstitial nucleus of Cajal</v>
      </c>
      <c r="D3531" s="42" t="str">
        <f>IFERROR(__xludf.DUMMYFUNCTION("""COMPUTED_VALUE"""),"?")</f>
        <v>?</v>
      </c>
      <c r="E3531" s="39" t="str">
        <f>IFERROR(__xludf.DUMMYFUNCTION("""COMPUTED_VALUE"""),"")</f>
        <v/>
      </c>
      <c r="F3531" s="9" t="str">
        <f>IFERROR(__xludf.DUMMYFUNCTION("""COMPUTED_VALUE"""),"")</f>
        <v/>
      </c>
      <c r="G3531" s="9" t="str">
        <f>IFERROR(__xludf.DUMMYFUNCTION("""COMPUTED_VALUE"""),"")</f>
        <v/>
      </c>
      <c r="H3531" s="9" t="str">
        <f>IFERROR(__xludf.DUMMYFUNCTION("""COMPUTED_VALUE"""),"")</f>
        <v/>
      </c>
      <c r="I3531" s="9" t="str">
        <f>IFERROR(__xludf.DUMMYFUNCTION("""COMPUTED_VALUE"""),"")</f>
        <v/>
      </c>
      <c r="J3531" s="9" t="str">
        <f>IFERROR(__xludf.DUMMYFUNCTION("""COMPUTED_VALUE"""),"")</f>
        <v/>
      </c>
      <c r="K3531" s="9" t="str">
        <f>IFERROR(__xludf.DUMMYFUNCTION("""COMPUTED_VALUE"""),"")</f>
        <v/>
      </c>
      <c r="L3531" s="9" t="str">
        <f>IFERROR(__xludf.DUMMYFUNCTION("""COMPUTED_VALUE"""),"")</f>
        <v/>
      </c>
      <c r="M3531" s="9" t="str">
        <f>IFERROR(__xludf.DUMMYFUNCTION("""COMPUTED_VALUE"""),"")</f>
        <v/>
      </c>
      <c r="N3531" s="9" t="str">
        <f>IFERROR(__xludf.DUMMYFUNCTION("""COMPUTED_VALUE"""),"")</f>
        <v/>
      </c>
      <c r="O3531" s="9" t="str">
        <f>IFERROR(__xludf.DUMMYFUNCTION("""COMPUTED_VALUE"""),"")</f>
        <v/>
      </c>
      <c r="P3531" s="9" t="str">
        <f>IFERROR(__xludf.DUMMYFUNCTION("""COMPUTED_VALUE"""),"")</f>
        <v/>
      </c>
      <c r="Q3531" s="9" t="str">
        <f>IFERROR(__xludf.DUMMYFUNCTION("""COMPUTED_VALUE"""),"")</f>
        <v/>
      </c>
      <c r="R3531" s="9" t="str">
        <f>IFERROR(__xludf.DUMMYFUNCTION("""COMPUTED_VALUE"""),"")</f>
        <v/>
      </c>
      <c r="S3531" s="42"/>
      <c r="T3531" s="42"/>
      <c r="U3531" s="42" t="b">
        <f>IFERROR(__xludf.DUMMYFUNCTION("""COMPUTED_VALUE"""),TRUE)</f>
        <v>1</v>
      </c>
      <c r="V3531" s="42"/>
      <c r="W3531" s="42" t="str">
        <f>IFERROR(__xludf.DUMMYFUNCTION("""COMPUTED_VALUE"""),"Excitatory")</f>
        <v>Excitatory</v>
      </c>
      <c r="X3531" s="42"/>
      <c r="Y3531" s="42"/>
      <c r="Z3531" s="42"/>
      <c r="AA3531" s="42"/>
      <c r="AB3531" s="42" t="str">
        <f>IFERROR(__xludf.DUMMYFUNCTION("""COMPUTED_VALUE"""),"Yoshimasa Tawatsuji")</f>
        <v>Yoshimasa Tawatsuji</v>
      </c>
      <c r="AC3531" s="42" t="str">
        <f>IFERROR(__xludf.DUMMYFUNCTION("""COMPUTED_VALUE"""),"YT20Oculomotor")</f>
        <v>YT20Oculomotor</v>
      </c>
      <c r="AD3531" s="42"/>
      <c r="AE3531" s="42"/>
      <c r="AF3531" s="9"/>
      <c r="AG3531" s="9"/>
      <c r="AH3531" s="42"/>
      <c r="AI3531" s="42"/>
      <c r="AJ3531" s="42"/>
      <c r="AK3531" s="42"/>
      <c r="AL3531" s="42"/>
      <c r="AM3531" s="42"/>
      <c r="AN3531" s="42"/>
      <c r="AO3531" s="63" t="str">
        <f>IFERROR(__xludf.DUMMYFUNCTION("IF(ISBLANK(A3531),,IF(ISBLANK(S3531), A3531&amp;"";"", TEXTJOIN(CHAR(10), TRUE, A3531&amp;"";"", ARRAYFORMULA(VLOOKUP(SPLIT(S3531, "";"" &amp; CHAR(10)), $A:$AO, 41, FALSE)))))"),"InC2_r;")</f>
        <v>InC2_r;</v>
      </c>
      <c r="AP3531" s="89"/>
    </row>
    <row r="3532">
      <c r="A3532" s="151" t="str">
        <f>IFERROR(__xludf.DUMMYFUNCTION("""COMPUTED_VALUE"""),"muscle")</f>
        <v>muscle</v>
      </c>
      <c r="B3532" s="42" t="str">
        <f>IFERROR(__xludf.DUMMYFUNCTION("""COMPUTED_VALUE"""),"makeshift")</f>
        <v>makeshift</v>
      </c>
      <c r="C3532" s="42"/>
      <c r="D3532" s="42" t="str">
        <f>IFERROR(__xludf.DUMMYFUNCTION("""COMPUTED_VALUE"""),"?")</f>
        <v>?</v>
      </c>
      <c r="E3532" s="39" t="str">
        <f>IFERROR(__xludf.DUMMYFUNCTION("""COMPUTED_VALUE"""),"")</f>
        <v/>
      </c>
      <c r="F3532" s="9" t="str">
        <f>IFERROR(__xludf.DUMMYFUNCTION("""COMPUTED_VALUE"""),"")</f>
        <v/>
      </c>
      <c r="G3532" s="9" t="str">
        <f>IFERROR(__xludf.DUMMYFUNCTION("""COMPUTED_VALUE"""),"")</f>
        <v/>
      </c>
      <c r="H3532" s="9" t="str">
        <f>IFERROR(__xludf.DUMMYFUNCTION("""COMPUTED_VALUE"""),"")</f>
        <v/>
      </c>
      <c r="I3532" s="9" t="str">
        <f>IFERROR(__xludf.DUMMYFUNCTION("""COMPUTED_VALUE"""),"")</f>
        <v/>
      </c>
      <c r="J3532" s="9" t="str">
        <f>IFERROR(__xludf.DUMMYFUNCTION("""COMPUTED_VALUE"""),"")</f>
        <v/>
      </c>
      <c r="K3532" s="9" t="str">
        <f>IFERROR(__xludf.DUMMYFUNCTION("""COMPUTED_VALUE"""),"")</f>
        <v/>
      </c>
      <c r="L3532" s="9" t="str">
        <f>IFERROR(__xludf.DUMMYFUNCTION("""COMPUTED_VALUE"""),"")</f>
        <v/>
      </c>
      <c r="M3532" s="9" t="str">
        <f>IFERROR(__xludf.DUMMYFUNCTION("""COMPUTED_VALUE"""),"")</f>
        <v/>
      </c>
      <c r="N3532" s="9" t="str">
        <f>IFERROR(__xludf.DUMMYFUNCTION("""COMPUTED_VALUE"""),"")</f>
        <v/>
      </c>
      <c r="O3532" s="9" t="str">
        <f>IFERROR(__xludf.DUMMYFUNCTION("""COMPUTED_VALUE"""),"")</f>
        <v/>
      </c>
      <c r="P3532" s="9" t="str">
        <f>IFERROR(__xludf.DUMMYFUNCTION("""COMPUTED_VALUE"""),"")</f>
        <v/>
      </c>
      <c r="Q3532" s="9" t="str">
        <f>IFERROR(__xludf.DUMMYFUNCTION("""COMPUTED_VALUE"""),"")</f>
        <v/>
      </c>
      <c r="R3532" s="9" t="str">
        <f>IFERROR(__xludf.DUMMYFUNCTION("""COMPUTED_VALUE"""),"")</f>
        <v/>
      </c>
      <c r="S3532" s="42"/>
      <c r="T3532" s="42"/>
      <c r="U3532" s="42"/>
      <c r="V3532" s="42"/>
      <c r="W3532" s="42"/>
      <c r="X3532" s="42"/>
      <c r="Y3532" s="42"/>
      <c r="Z3532" s="42"/>
      <c r="AA3532" s="42"/>
      <c r="AB3532" s="42" t="str">
        <f>IFERROR(__xludf.DUMMYFUNCTION("""COMPUTED_VALUE"""),"Yoshimasa Tawatsuji")</f>
        <v>Yoshimasa Tawatsuji</v>
      </c>
      <c r="AC3532" s="42" t="str">
        <f>IFERROR(__xludf.DUMMYFUNCTION("""COMPUTED_VALUE"""),"YT20Oculomotor")</f>
        <v>YT20Oculomotor</v>
      </c>
      <c r="AD3532" s="42"/>
      <c r="AE3532" s="42"/>
      <c r="AF3532" s="9"/>
      <c r="AG3532" s="9"/>
      <c r="AH3532" s="42"/>
      <c r="AI3532" s="42"/>
      <c r="AJ3532" s="42"/>
      <c r="AK3532" s="42"/>
      <c r="AL3532" s="42"/>
      <c r="AM3532" s="42"/>
      <c r="AN3532" s="42"/>
      <c r="AO3532" s="63" t="str">
        <f>IFERROR(__xludf.DUMMYFUNCTION("IF(ISBLANK(A3532),,IF(ISBLANK(S3532), A3532&amp;"";"", TEXTJOIN(CHAR(10), TRUE, A3532&amp;"";"", ARRAYFORMULA(VLOOKUP(SPLIT(S3532, "";"" &amp; CHAR(10)), $A:$AO, 41, FALSE)))))"),"muscle;")</f>
        <v>muscle;</v>
      </c>
      <c r="AP3532" s="89"/>
    </row>
    <row r="3533">
      <c r="A3533" s="151" t="str">
        <f>IFERROR(__xludf.DUMMYFUNCTION("""COMPUTED_VALUE"""),"PPMRF_l")</f>
        <v>PPMRF_l</v>
      </c>
      <c r="B3533" s="42" t="str">
        <f>IFERROR(__xludf.DUMMYFUNCTION("""COMPUTED_VALUE"""),"makeshift")</f>
        <v>makeshift</v>
      </c>
      <c r="C3533" s="42" t="str">
        <f>IFERROR(__xludf.DUMMYFUNCTION("""COMPUTED_VALUE"""),"left side, paramedian pontomedullary reticular formation")</f>
        <v>left side, paramedian pontomedullary reticular formation</v>
      </c>
      <c r="D3533" s="42" t="str">
        <f>IFERROR(__xludf.DUMMYFUNCTION("""COMPUTED_VALUE"""),"?")</f>
        <v>?</v>
      </c>
      <c r="E3533" s="39" t="str">
        <f>IFERROR(__xludf.DUMMYFUNCTION("""COMPUTED_VALUE"""),"")</f>
        <v/>
      </c>
      <c r="F3533" s="9" t="str">
        <f>IFERROR(__xludf.DUMMYFUNCTION("""COMPUTED_VALUE"""),"")</f>
        <v/>
      </c>
      <c r="G3533" s="9" t="str">
        <f>IFERROR(__xludf.DUMMYFUNCTION("""COMPUTED_VALUE"""),"")</f>
        <v/>
      </c>
      <c r="H3533" s="9" t="str">
        <f>IFERROR(__xludf.DUMMYFUNCTION("""COMPUTED_VALUE"""),"")</f>
        <v/>
      </c>
      <c r="I3533" s="9" t="str">
        <f>IFERROR(__xludf.DUMMYFUNCTION("""COMPUTED_VALUE"""),"")</f>
        <v/>
      </c>
      <c r="J3533" s="9" t="str">
        <f>IFERROR(__xludf.DUMMYFUNCTION("""COMPUTED_VALUE"""),"")</f>
        <v/>
      </c>
      <c r="K3533" s="9" t="str">
        <f>IFERROR(__xludf.DUMMYFUNCTION("""COMPUTED_VALUE"""),"")</f>
        <v/>
      </c>
      <c r="L3533" s="9" t="str">
        <f>IFERROR(__xludf.DUMMYFUNCTION("""COMPUTED_VALUE"""),"")</f>
        <v/>
      </c>
      <c r="M3533" s="9" t="str">
        <f>IFERROR(__xludf.DUMMYFUNCTION("""COMPUTED_VALUE"""),"")</f>
        <v/>
      </c>
      <c r="N3533" s="9" t="str">
        <f>IFERROR(__xludf.DUMMYFUNCTION("""COMPUTED_VALUE"""),"")</f>
        <v/>
      </c>
      <c r="O3533" s="9" t="str">
        <f>IFERROR(__xludf.DUMMYFUNCTION("""COMPUTED_VALUE"""),"")</f>
        <v/>
      </c>
      <c r="P3533" s="9" t="str">
        <f>IFERROR(__xludf.DUMMYFUNCTION("""COMPUTED_VALUE"""),"")</f>
        <v/>
      </c>
      <c r="Q3533" s="9" t="str">
        <f>IFERROR(__xludf.DUMMYFUNCTION("""COMPUTED_VALUE"""),"")</f>
        <v/>
      </c>
      <c r="R3533" s="9" t="str">
        <f>IFERROR(__xludf.DUMMYFUNCTION("""COMPUTED_VALUE"""),"")</f>
        <v/>
      </c>
      <c r="S3533" s="42"/>
      <c r="T3533" s="42"/>
      <c r="U3533" s="159" t="b">
        <f>IFERROR(__xludf.DUMMYFUNCTION("""COMPUTED_VALUE"""),TRUE)</f>
        <v>1</v>
      </c>
      <c r="V3533" s="42"/>
      <c r="W3533" s="42" t="str">
        <f>IFERROR(__xludf.DUMMYFUNCTION("""COMPUTED_VALUE"""),"Inhibitory")</f>
        <v>Inhibitory</v>
      </c>
      <c r="X3533" s="42"/>
      <c r="Y3533" s="42"/>
      <c r="Z3533" s="42"/>
      <c r="AA3533" s="42"/>
      <c r="AB3533" s="42" t="str">
        <f>IFERROR(__xludf.DUMMYFUNCTION("""COMPUTED_VALUE"""),"Yoshimasa Tawatsuji")</f>
        <v>Yoshimasa Tawatsuji</v>
      </c>
      <c r="AC3533" s="42" t="str">
        <f>IFERROR(__xludf.DUMMYFUNCTION("""COMPUTED_VALUE"""),"YT20Oculomotor")</f>
        <v>YT20Oculomotor</v>
      </c>
      <c r="AD3533" s="42"/>
      <c r="AE3533" s="42"/>
      <c r="AF3533" s="9"/>
      <c r="AG3533" s="9"/>
      <c r="AH3533" s="42"/>
      <c r="AI3533" s="42"/>
      <c r="AJ3533" s="42"/>
      <c r="AK3533" s="42"/>
      <c r="AL3533" s="42"/>
      <c r="AM3533" s="42"/>
      <c r="AN3533" s="42"/>
      <c r="AO3533" s="63" t="str">
        <f>IFERROR(__xludf.DUMMYFUNCTION("IF(ISBLANK(A3533),,IF(ISBLANK(S3533), A3533&amp;"";"", TEXTJOIN(CHAR(10), TRUE, A3533&amp;"";"", ARRAYFORMULA(VLOOKUP(SPLIT(S3533, "";"" &amp; CHAR(10)), $A:$AO, 41, FALSE)))))"),"PPMRF_l;")</f>
        <v>PPMRF_l;</v>
      </c>
      <c r="AP3533" s="89"/>
    </row>
    <row r="3534">
      <c r="A3534" s="151" t="str">
        <f>IFERROR(__xludf.DUMMYFUNCTION("""COMPUTED_VALUE"""),"PPMRF_r")</f>
        <v>PPMRF_r</v>
      </c>
      <c r="B3534" s="42" t="str">
        <f>IFERROR(__xludf.DUMMYFUNCTION("""COMPUTED_VALUE"""),"makeshift")</f>
        <v>makeshift</v>
      </c>
      <c r="C3534" s="42" t="str">
        <f>IFERROR(__xludf.DUMMYFUNCTION("""COMPUTED_VALUE"""),"right side, paramedian pontomedullary reticular formation")</f>
        <v>right side, paramedian pontomedullary reticular formation</v>
      </c>
      <c r="D3534" s="42" t="str">
        <f>IFERROR(__xludf.DUMMYFUNCTION("""COMPUTED_VALUE"""),"?")</f>
        <v>?</v>
      </c>
      <c r="E3534" s="39" t="str">
        <f>IFERROR(__xludf.DUMMYFUNCTION("""COMPUTED_VALUE"""),"")</f>
        <v/>
      </c>
      <c r="F3534" s="9" t="str">
        <f>IFERROR(__xludf.DUMMYFUNCTION("""COMPUTED_VALUE"""),"")</f>
        <v/>
      </c>
      <c r="G3534" s="9" t="str">
        <f>IFERROR(__xludf.DUMMYFUNCTION("""COMPUTED_VALUE"""),"")</f>
        <v/>
      </c>
      <c r="H3534" s="9" t="str">
        <f>IFERROR(__xludf.DUMMYFUNCTION("""COMPUTED_VALUE"""),"")</f>
        <v/>
      </c>
      <c r="I3534" s="9" t="str">
        <f>IFERROR(__xludf.DUMMYFUNCTION("""COMPUTED_VALUE"""),"")</f>
        <v/>
      </c>
      <c r="J3534" s="9" t="str">
        <f>IFERROR(__xludf.DUMMYFUNCTION("""COMPUTED_VALUE"""),"")</f>
        <v/>
      </c>
      <c r="K3534" s="9" t="str">
        <f>IFERROR(__xludf.DUMMYFUNCTION("""COMPUTED_VALUE"""),"")</f>
        <v/>
      </c>
      <c r="L3534" s="9" t="str">
        <f>IFERROR(__xludf.DUMMYFUNCTION("""COMPUTED_VALUE"""),"")</f>
        <v/>
      </c>
      <c r="M3534" s="9" t="str">
        <f>IFERROR(__xludf.DUMMYFUNCTION("""COMPUTED_VALUE"""),"")</f>
        <v/>
      </c>
      <c r="N3534" s="9" t="str">
        <f>IFERROR(__xludf.DUMMYFUNCTION("""COMPUTED_VALUE"""),"")</f>
        <v/>
      </c>
      <c r="O3534" s="9" t="str">
        <f>IFERROR(__xludf.DUMMYFUNCTION("""COMPUTED_VALUE"""),"")</f>
        <v/>
      </c>
      <c r="P3534" s="9" t="str">
        <f>IFERROR(__xludf.DUMMYFUNCTION("""COMPUTED_VALUE"""),"")</f>
        <v/>
      </c>
      <c r="Q3534" s="9" t="str">
        <f>IFERROR(__xludf.DUMMYFUNCTION("""COMPUTED_VALUE"""),"")</f>
        <v/>
      </c>
      <c r="R3534" s="9" t="str">
        <f>IFERROR(__xludf.DUMMYFUNCTION("""COMPUTED_VALUE"""),"")</f>
        <v/>
      </c>
      <c r="S3534" s="42"/>
      <c r="T3534" s="42"/>
      <c r="U3534" s="42" t="b">
        <f>IFERROR(__xludf.DUMMYFUNCTION("""COMPUTED_VALUE"""),TRUE)</f>
        <v>1</v>
      </c>
      <c r="V3534" s="42"/>
      <c r="W3534" s="42" t="str">
        <f>IFERROR(__xludf.DUMMYFUNCTION("""COMPUTED_VALUE"""),"Inhibitory")</f>
        <v>Inhibitory</v>
      </c>
      <c r="X3534" s="42"/>
      <c r="Y3534" s="42"/>
      <c r="Z3534" s="42"/>
      <c r="AA3534" s="42"/>
      <c r="AB3534" s="42" t="str">
        <f>IFERROR(__xludf.DUMMYFUNCTION("""COMPUTED_VALUE"""),"Yoshimasa Tawatsuji")</f>
        <v>Yoshimasa Tawatsuji</v>
      </c>
      <c r="AC3534" s="42" t="str">
        <f>IFERROR(__xludf.DUMMYFUNCTION("""COMPUTED_VALUE"""),"YT20Oculomotor")</f>
        <v>YT20Oculomotor</v>
      </c>
      <c r="AD3534" s="42"/>
      <c r="AE3534" s="42"/>
      <c r="AF3534" s="9"/>
      <c r="AG3534" s="9"/>
      <c r="AH3534" s="42"/>
      <c r="AI3534" s="42"/>
      <c r="AJ3534" s="42"/>
      <c r="AK3534" s="42"/>
      <c r="AL3534" s="42"/>
      <c r="AM3534" s="42"/>
      <c r="AN3534" s="42"/>
      <c r="AO3534" s="63" t="str">
        <f>IFERROR(__xludf.DUMMYFUNCTION("IF(ISBLANK(A3534),,IF(ISBLANK(S3534), A3534&amp;"";"", TEXTJOIN(CHAR(10), TRUE, A3534&amp;"";"", ARRAYFORMULA(VLOOKUP(SPLIT(S3534, "";"" &amp; CHAR(10)), $A:$AO, 41, FALSE)))))"),"PPMRF_r;")</f>
        <v>PPMRF_r;</v>
      </c>
      <c r="AP3534" s="89"/>
    </row>
    <row r="3535">
      <c r="A3535" s="151" t="str">
        <f>IFERROR(__xludf.DUMMYFUNCTION("""COMPUTED_VALUE"""),"PPRF_l")</f>
        <v>PPRF_l</v>
      </c>
      <c r="B3535" s="42" t="str">
        <f>IFERROR(__xludf.DUMMYFUNCTION("""COMPUTED_VALUE"""),"makeshift")</f>
        <v>makeshift</v>
      </c>
      <c r="C3535" s="42" t="str">
        <f>IFERROR(__xludf.DUMMYFUNCTION("""COMPUTED_VALUE"""),"left side, paramedian pontine reticular formation")</f>
        <v>left side, paramedian pontine reticular formation</v>
      </c>
      <c r="D3535" s="42" t="str">
        <f>IFERROR(__xludf.DUMMYFUNCTION("""COMPUTED_VALUE"""),"?")</f>
        <v>?</v>
      </c>
      <c r="E3535" s="39" t="str">
        <f>IFERROR(__xludf.DUMMYFUNCTION("""COMPUTED_VALUE"""),"")</f>
        <v/>
      </c>
      <c r="F3535" s="9" t="str">
        <f>IFERROR(__xludf.DUMMYFUNCTION("""COMPUTED_VALUE"""),"")</f>
        <v/>
      </c>
      <c r="G3535" s="9" t="str">
        <f>IFERROR(__xludf.DUMMYFUNCTION("""COMPUTED_VALUE"""),"")</f>
        <v/>
      </c>
      <c r="H3535" s="9" t="str">
        <f>IFERROR(__xludf.DUMMYFUNCTION("""COMPUTED_VALUE"""),"")</f>
        <v/>
      </c>
      <c r="I3535" s="9" t="str">
        <f>IFERROR(__xludf.DUMMYFUNCTION("""COMPUTED_VALUE"""),"")</f>
        <v/>
      </c>
      <c r="J3535" s="9" t="str">
        <f>IFERROR(__xludf.DUMMYFUNCTION("""COMPUTED_VALUE"""),"")</f>
        <v/>
      </c>
      <c r="K3535" s="9" t="str">
        <f>IFERROR(__xludf.DUMMYFUNCTION("""COMPUTED_VALUE"""),"")</f>
        <v/>
      </c>
      <c r="L3535" s="9" t="str">
        <f>IFERROR(__xludf.DUMMYFUNCTION("""COMPUTED_VALUE"""),"")</f>
        <v/>
      </c>
      <c r="M3535" s="9" t="str">
        <f>IFERROR(__xludf.DUMMYFUNCTION("""COMPUTED_VALUE"""),"")</f>
        <v/>
      </c>
      <c r="N3535" s="9" t="str">
        <f>IFERROR(__xludf.DUMMYFUNCTION("""COMPUTED_VALUE"""),"")</f>
        <v/>
      </c>
      <c r="O3535" s="9" t="str">
        <f>IFERROR(__xludf.DUMMYFUNCTION("""COMPUTED_VALUE"""),"")</f>
        <v/>
      </c>
      <c r="P3535" s="9" t="str">
        <f>IFERROR(__xludf.DUMMYFUNCTION("""COMPUTED_VALUE"""),"")</f>
        <v/>
      </c>
      <c r="Q3535" s="9" t="str">
        <f>IFERROR(__xludf.DUMMYFUNCTION("""COMPUTED_VALUE"""),"")</f>
        <v/>
      </c>
      <c r="R3535" s="9" t="str">
        <f>IFERROR(__xludf.DUMMYFUNCTION("""COMPUTED_VALUE"""),"")</f>
        <v/>
      </c>
      <c r="S3535" s="42"/>
      <c r="T3535" s="42"/>
      <c r="U3535" s="159" t="b">
        <f>IFERROR(__xludf.DUMMYFUNCTION("""COMPUTED_VALUE"""),TRUE)</f>
        <v>1</v>
      </c>
      <c r="V3535" s="42"/>
      <c r="W3535" s="42" t="str">
        <f>IFERROR(__xludf.DUMMYFUNCTION("""COMPUTED_VALUE"""),"Excitatory")</f>
        <v>Excitatory</v>
      </c>
      <c r="X3535" s="42"/>
      <c r="Y3535" s="42"/>
      <c r="Z3535" s="42"/>
      <c r="AA3535" s="42"/>
      <c r="AB3535" s="42" t="str">
        <f>IFERROR(__xludf.DUMMYFUNCTION("""COMPUTED_VALUE"""),"Yoshimasa Tawatsuji")</f>
        <v>Yoshimasa Tawatsuji</v>
      </c>
      <c r="AC3535" s="42" t="str">
        <f>IFERROR(__xludf.DUMMYFUNCTION("""COMPUTED_VALUE"""),"YT20Oculomotor")</f>
        <v>YT20Oculomotor</v>
      </c>
      <c r="AD3535" s="42"/>
      <c r="AE3535" s="42"/>
      <c r="AF3535" s="9"/>
      <c r="AG3535" s="9"/>
      <c r="AH3535" s="42"/>
      <c r="AI3535" s="42"/>
      <c r="AJ3535" s="42"/>
      <c r="AK3535" s="42"/>
      <c r="AL3535" s="42"/>
      <c r="AM3535" s="42"/>
      <c r="AN3535" s="42"/>
      <c r="AO3535" s="63" t="str">
        <f>IFERROR(__xludf.DUMMYFUNCTION("IF(ISBLANK(A3535),,IF(ISBLANK(S3535), A3535&amp;"";"", TEXTJOIN(CHAR(10), TRUE, A3535&amp;"";"", ARRAYFORMULA(VLOOKUP(SPLIT(S3535, "";"" &amp; CHAR(10)), $A:$AO, 41, FALSE)))))"),"PPRF_l;")</f>
        <v>PPRF_l;</v>
      </c>
      <c r="AP3535" s="89"/>
    </row>
    <row r="3536">
      <c r="A3536" s="151" t="str">
        <f>IFERROR(__xludf.DUMMYFUNCTION("""COMPUTED_VALUE"""),"PPRF_r")</f>
        <v>PPRF_r</v>
      </c>
      <c r="B3536" s="42" t="str">
        <f>IFERROR(__xludf.DUMMYFUNCTION("""COMPUTED_VALUE"""),"makeshift")</f>
        <v>makeshift</v>
      </c>
      <c r="C3536" s="42" t="str">
        <f>IFERROR(__xludf.DUMMYFUNCTION("""COMPUTED_VALUE"""),"right side, paramedian pontine reticular formation")</f>
        <v>right side, paramedian pontine reticular formation</v>
      </c>
      <c r="D3536" s="42" t="str">
        <f>IFERROR(__xludf.DUMMYFUNCTION("""COMPUTED_VALUE"""),"?")</f>
        <v>?</v>
      </c>
      <c r="E3536" s="39" t="str">
        <f>IFERROR(__xludf.DUMMYFUNCTION("""COMPUTED_VALUE"""),"")</f>
        <v/>
      </c>
      <c r="F3536" s="9" t="str">
        <f>IFERROR(__xludf.DUMMYFUNCTION("""COMPUTED_VALUE"""),"")</f>
        <v/>
      </c>
      <c r="G3536" s="9" t="str">
        <f>IFERROR(__xludf.DUMMYFUNCTION("""COMPUTED_VALUE"""),"")</f>
        <v/>
      </c>
      <c r="H3536" s="9" t="str">
        <f>IFERROR(__xludf.DUMMYFUNCTION("""COMPUTED_VALUE"""),"")</f>
        <v/>
      </c>
      <c r="I3536" s="9" t="str">
        <f>IFERROR(__xludf.DUMMYFUNCTION("""COMPUTED_VALUE"""),"")</f>
        <v/>
      </c>
      <c r="J3536" s="9" t="str">
        <f>IFERROR(__xludf.DUMMYFUNCTION("""COMPUTED_VALUE"""),"")</f>
        <v/>
      </c>
      <c r="K3536" s="9" t="str">
        <f>IFERROR(__xludf.DUMMYFUNCTION("""COMPUTED_VALUE"""),"")</f>
        <v/>
      </c>
      <c r="L3536" s="9" t="str">
        <f>IFERROR(__xludf.DUMMYFUNCTION("""COMPUTED_VALUE"""),"")</f>
        <v/>
      </c>
      <c r="M3536" s="9" t="str">
        <f>IFERROR(__xludf.DUMMYFUNCTION("""COMPUTED_VALUE"""),"")</f>
        <v/>
      </c>
      <c r="N3536" s="9" t="str">
        <f>IFERROR(__xludf.DUMMYFUNCTION("""COMPUTED_VALUE"""),"")</f>
        <v/>
      </c>
      <c r="O3536" s="9" t="str">
        <f>IFERROR(__xludf.DUMMYFUNCTION("""COMPUTED_VALUE"""),"")</f>
        <v/>
      </c>
      <c r="P3536" s="9" t="str">
        <f>IFERROR(__xludf.DUMMYFUNCTION("""COMPUTED_VALUE"""),"")</f>
        <v/>
      </c>
      <c r="Q3536" s="9" t="str">
        <f>IFERROR(__xludf.DUMMYFUNCTION("""COMPUTED_VALUE"""),"")</f>
        <v/>
      </c>
      <c r="R3536" s="9" t="str">
        <f>IFERROR(__xludf.DUMMYFUNCTION("""COMPUTED_VALUE"""),"")</f>
        <v/>
      </c>
      <c r="S3536" s="42"/>
      <c r="T3536" s="42"/>
      <c r="U3536" s="159" t="b">
        <f>IFERROR(__xludf.DUMMYFUNCTION("""COMPUTED_VALUE"""),TRUE)</f>
        <v>1</v>
      </c>
      <c r="V3536" s="42"/>
      <c r="W3536" s="42" t="str">
        <f>IFERROR(__xludf.DUMMYFUNCTION("""COMPUTED_VALUE"""),"Excitatory")</f>
        <v>Excitatory</v>
      </c>
      <c r="X3536" s="42"/>
      <c r="Y3536" s="42"/>
      <c r="Z3536" s="42"/>
      <c r="AA3536" s="42"/>
      <c r="AB3536" s="42" t="str">
        <f>IFERROR(__xludf.DUMMYFUNCTION("""COMPUTED_VALUE"""),"Yoshimasa Tawatsuji")</f>
        <v>Yoshimasa Tawatsuji</v>
      </c>
      <c r="AC3536" s="42" t="str">
        <f>IFERROR(__xludf.DUMMYFUNCTION("""COMPUTED_VALUE"""),"YT20Oculomotor")</f>
        <v>YT20Oculomotor</v>
      </c>
      <c r="AD3536" s="42"/>
      <c r="AE3536" s="42"/>
      <c r="AF3536" s="9"/>
      <c r="AG3536" s="9"/>
      <c r="AH3536" s="42"/>
      <c r="AI3536" s="42"/>
      <c r="AJ3536" s="42"/>
      <c r="AK3536" s="42"/>
      <c r="AL3536" s="42"/>
      <c r="AM3536" s="42"/>
      <c r="AN3536" s="42"/>
      <c r="AO3536" s="63" t="str">
        <f>IFERROR(__xludf.DUMMYFUNCTION("IF(ISBLANK(A3536),,IF(ISBLANK(S3536), A3536&amp;"";"", TEXTJOIN(CHAR(10), TRUE, A3536&amp;"";"", ARRAYFORMULA(VLOOKUP(SPLIT(S3536, "";"" &amp; CHAR(10)), $A:$AO, 41, FALSE)))))"),"PPRF_r;")</f>
        <v>PPRF_r;</v>
      </c>
      <c r="AP3536" s="89"/>
    </row>
    <row r="3537">
      <c r="A3537" s="151" t="str">
        <f>IFERROR(__xludf.DUMMYFUNCTION("""COMPUTED_VALUE"""),"SEF")</f>
        <v>SEF</v>
      </c>
      <c r="B3537" s="42" t="str">
        <f>IFERROR(__xludf.DUMMYFUNCTION("""COMPUTED_VALUE"""),"makeshift")</f>
        <v>makeshift</v>
      </c>
      <c r="C3537" s="42" t="str">
        <f>IFERROR(__xludf.DUMMYFUNCTION("""COMPUTED_VALUE"""),"supplementary eye field")</f>
        <v>supplementary eye field</v>
      </c>
      <c r="D3537" s="42" t="str">
        <f>IFERROR(__xludf.DUMMYFUNCTION("""COMPUTED_VALUE"""),"?")</f>
        <v>?</v>
      </c>
      <c r="E3537" s="39" t="str">
        <f>IFERROR(__xludf.DUMMYFUNCTION("""COMPUTED_VALUE"""),"")</f>
        <v/>
      </c>
      <c r="F3537" s="9" t="str">
        <f>IFERROR(__xludf.DUMMYFUNCTION("""COMPUTED_VALUE"""),"")</f>
        <v/>
      </c>
      <c r="G3537" s="9" t="str">
        <f>IFERROR(__xludf.DUMMYFUNCTION("""COMPUTED_VALUE"""),"")</f>
        <v/>
      </c>
      <c r="H3537" s="9" t="str">
        <f>IFERROR(__xludf.DUMMYFUNCTION("""COMPUTED_VALUE"""),"")</f>
        <v/>
      </c>
      <c r="I3537" s="9" t="str">
        <f>IFERROR(__xludf.DUMMYFUNCTION("""COMPUTED_VALUE"""),"")</f>
        <v/>
      </c>
      <c r="J3537" s="9" t="str">
        <f>IFERROR(__xludf.DUMMYFUNCTION("""COMPUTED_VALUE"""),"")</f>
        <v/>
      </c>
      <c r="K3537" s="9" t="str">
        <f>IFERROR(__xludf.DUMMYFUNCTION("""COMPUTED_VALUE"""),"")</f>
        <v/>
      </c>
      <c r="L3537" s="9" t="str">
        <f>IFERROR(__xludf.DUMMYFUNCTION("""COMPUTED_VALUE"""),"")</f>
        <v/>
      </c>
      <c r="M3537" s="9" t="str">
        <f>IFERROR(__xludf.DUMMYFUNCTION("""COMPUTED_VALUE"""),"")</f>
        <v/>
      </c>
      <c r="N3537" s="9" t="str">
        <f>IFERROR(__xludf.DUMMYFUNCTION("""COMPUTED_VALUE"""),"")</f>
        <v/>
      </c>
      <c r="O3537" s="9" t="str">
        <f>IFERROR(__xludf.DUMMYFUNCTION("""COMPUTED_VALUE"""),"")</f>
        <v/>
      </c>
      <c r="P3537" s="9" t="str">
        <f>IFERROR(__xludf.DUMMYFUNCTION("""COMPUTED_VALUE"""),"")</f>
        <v/>
      </c>
      <c r="Q3537" s="9" t="str">
        <f>IFERROR(__xludf.DUMMYFUNCTION("""COMPUTED_VALUE"""),"")</f>
        <v/>
      </c>
      <c r="R3537" s="9" t="str">
        <f>IFERROR(__xludf.DUMMYFUNCTION("""COMPUTED_VALUE"""),"")</f>
        <v/>
      </c>
      <c r="S3537" s="42"/>
      <c r="T3537" s="42" t="str">
        <f>IFERROR(__xludf.DUMMYFUNCTION("""COMPUTED_VALUE"""),"NCx")</f>
        <v>NCx</v>
      </c>
      <c r="U3537" s="42" t="b">
        <f>IFERROR(__xludf.DUMMYFUNCTION("""COMPUTED_VALUE"""),FALSE)</f>
        <v>0</v>
      </c>
      <c r="V3537" s="42"/>
      <c r="W3537" s="42"/>
      <c r="X3537" s="42"/>
      <c r="Y3537" s="42"/>
      <c r="Z3537" s="42"/>
      <c r="AA3537" s="42"/>
      <c r="AB3537" s="42" t="str">
        <f>IFERROR(__xludf.DUMMYFUNCTION("""COMPUTED_VALUE"""),"Yoshimasa Tawatsuji")</f>
        <v>Yoshimasa Tawatsuji</v>
      </c>
      <c r="AC3537" s="42" t="str">
        <f>IFERROR(__xludf.DUMMYFUNCTION("""COMPUTED_VALUE"""),"YT20Oculomotor")</f>
        <v>YT20Oculomotor</v>
      </c>
      <c r="AD3537" s="42"/>
      <c r="AE3537" s="42"/>
      <c r="AF3537" s="9"/>
      <c r="AG3537" s="9"/>
      <c r="AH3537" s="42"/>
      <c r="AI3537" s="42"/>
      <c r="AJ3537" s="42"/>
      <c r="AK3537" s="42"/>
      <c r="AL3537" s="42"/>
      <c r="AM3537" s="42"/>
      <c r="AN3537" s="42"/>
      <c r="AO3537" s="63" t="str">
        <f>IFERROR(__xludf.DUMMYFUNCTION("IF(ISBLANK(A3537),,IF(ISBLANK(S3537), A3537&amp;"";"", TEXTJOIN(CHAR(10), TRUE, A3537&amp;"";"", ARRAYFORMULA(VLOOKUP(SPLIT(S3537, "";"" &amp; CHAR(10)), $A:$AO, 41, FALSE)))))"),"SEF;")</f>
        <v>SEF;</v>
      </c>
      <c r="AP3537" s="89"/>
    </row>
    <row r="3538">
      <c r="A3538" s="151" t="str">
        <f>IFERROR(__xludf.DUMMYFUNCTION("""COMPUTED_VALUE"""),"A32_P")</f>
        <v>A32_P</v>
      </c>
      <c r="B3538" s="42" t="str">
        <f>IFERROR(__xludf.DUMMYFUNCTION("""COMPUTED_VALUE"""),"[Paxinos, 2012]")</f>
        <v>[Paxinos, 2012]</v>
      </c>
      <c r="C3538" s="42" t="str">
        <f>IFERROR(__xludf.DUMMYFUNCTION("""COMPUTED_VALUE"""),"area 32 of cortex")</f>
        <v>area 32 of cortex</v>
      </c>
      <c r="D3538" s="42" t="str">
        <f>IFERROR(__xludf.DUMMYFUNCTION("""COMPUTED_VALUE"""),"?")</f>
        <v>?</v>
      </c>
      <c r="E3538" s="39"/>
      <c r="F3538" s="9"/>
      <c r="G3538" s="9"/>
      <c r="H3538" s="9"/>
      <c r="I3538" s="9"/>
      <c r="J3538" s="9"/>
      <c r="K3538" s="9"/>
      <c r="L3538" s="9"/>
      <c r="M3538" s="9"/>
      <c r="N3538" s="9"/>
      <c r="O3538" s="9"/>
      <c r="P3538" s="9"/>
      <c r="Q3538" s="9"/>
      <c r="R3538" s="9"/>
      <c r="S3538" s="42"/>
      <c r="T3538" s="42" t="str">
        <f>IFERROR(__xludf.DUMMYFUNCTION("""COMPUTED_VALUE"""),"NCx")</f>
        <v>NCx</v>
      </c>
      <c r="U3538" s="42" t="b">
        <f>IFERROR(__xludf.DUMMYFUNCTION("""COMPUTED_VALUE"""),FALSE)</f>
        <v>0</v>
      </c>
      <c r="V3538" s="42"/>
      <c r="W3538" s="42"/>
      <c r="X3538" s="42"/>
      <c r="Y3538" s="42"/>
      <c r="Z3538" s="42"/>
      <c r="AA3538" s="42"/>
      <c r="AB3538" s="42" t="str">
        <f>IFERROR(__xludf.DUMMYFUNCTION("""COMPUTED_VALUE"""),"Yudai Suzuki")</f>
        <v>Yudai Suzuki</v>
      </c>
      <c r="AC3538" s="42" t="str">
        <f>IFERROR(__xludf.DUMMYFUNCTION("""COMPUTED_VALUE"""),"YS21Trust")</f>
        <v>YS21Trust</v>
      </c>
      <c r="AD3538" s="42"/>
      <c r="AE3538" s="42"/>
      <c r="AF3538" s="9"/>
      <c r="AG3538" s="9"/>
      <c r="AH3538" s="42"/>
      <c r="AI3538" s="42"/>
      <c r="AJ3538" s="42"/>
      <c r="AK3538" s="42"/>
      <c r="AL3538" s="42"/>
      <c r="AM3538" s="42"/>
      <c r="AN3538" s="42"/>
      <c r="AO3538" s="63" t="str">
        <f>IFERROR(__xludf.DUMMYFUNCTION("IF(ISBLANK(A3538),,IF(ISBLANK(S3538), A3538&amp;"";"", TEXTJOIN(CHAR(10), TRUE, A3538&amp;"";"", ARRAYFORMULA(VLOOKUP(SPLIT(S3538, "";"" &amp; CHAR(10)), $A:$AO, 41, FALSE)))))"),"A32_P;")</f>
        <v>A32_P;</v>
      </c>
      <c r="AP3538" s="89"/>
    </row>
    <row r="3539">
      <c r="A3539" s="151" t="str">
        <f>IFERROR(__xludf.DUMMYFUNCTION("""COMPUTED_VALUE"""),"dACC")</f>
        <v>dACC</v>
      </c>
      <c r="B3539" s="42" t="str">
        <f>IFERROR(__xludf.DUMMYFUNCTION("""COMPUTED_VALUE"""),"collection")</f>
        <v>collection</v>
      </c>
      <c r="C3539" s="42" t="str">
        <f>IFERROR(__xludf.DUMMYFUNCTION("""COMPUTED_VALUE"""),"dorsal anterior cingulate cortex")</f>
        <v>dorsal anterior cingulate cortex</v>
      </c>
      <c r="D3539" s="42" t="str">
        <f>IFERROR(__xludf.DUMMYFUNCTION("""COMPUTED_VALUE"""),"?")</f>
        <v>?</v>
      </c>
      <c r="E3539" s="39"/>
      <c r="F3539" s="9"/>
      <c r="G3539" s="9"/>
      <c r="H3539" s="9"/>
      <c r="I3539" s="9"/>
      <c r="J3539" s="9"/>
      <c r="K3539" s="9"/>
      <c r="L3539" s="9"/>
      <c r="M3539" s="9"/>
      <c r="N3539" s="9"/>
      <c r="O3539" s="9"/>
      <c r="P3539" s="9"/>
      <c r="Q3539" s="9"/>
      <c r="R3539" s="9"/>
      <c r="S3539" s="42" t="str">
        <f>IFERROR(__xludf.DUMMYFUNCTION("""COMPUTED_VALUE"""),"MCC")</f>
        <v>MCC</v>
      </c>
      <c r="T3539" s="42" t="str">
        <f>IFERROR(__xludf.DUMMYFUNCTION("""COMPUTED_VALUE"""),"NCx")</f>
        <v>NCx</v>
      </c>
      <c r="U3539" s="42" t="b">
        <f>IFERROR(__xludf.DUMMYFUNCTION("""COMPUTED_VALUE"""),FALSE)</f>
        <v>0</v>
      </c>
      <c r="V3539" s="42"/>
      <c r="W3539" s="42"/>
      <c r="X3539" s="42"/>
      <c r="Y3539" s="42"/>
      <c r="Z3539" s="42"/>
      <c r="AA3539" s="42"/>
      <c r="AB3539" s="42" t="str">
        <f>IFERROR(__xludf.DUMMYFUNCTION("""COMPUTED_VALUE"""),"Yudai Suzuki")</f>
        <v>Yudai Suzuki</v>
      </c>
      <c r="AC3539" s="42" t="str">
        <f>IFERROR(__xludf.DUMMYFUNCTION("""COMPUTED_VALUE"""),"YS21Trust")</f>
        <v>YS21Trust</v>
      </c>
      <c r="AD3539" s="42"/>
      <c r="AE3539" s="42"/>
      <c r="AF3539" s="9"/>
      <c r="AG3539" s="9"/>
      <c r="AH3539" s="42"/>
      <c r="AI3539" s="42"/>
      <c r="AJ3539" s="42"/>
      <c r="AK3539" s="42"/>
      <c r="AL3539" s="42"/>
      <c r="AM3539" s="42"/>
      <c r="AN3539" s="42"/>
      <c r="AO3539" s="63" t="str">
        <f>IFERROR(__xludf.DUMMYFUNCTION("IF(ISBLANK(A3539),,IF(ISBLANK(S3539), A3539&amp;"";"", TEXTJOIN(CHAR(10), TRUE, A3539&amp;"";"", ARRAYFORMULA(VLOOKUP(SPLIT(S3539, "";"" &amp; CHAR(10)), $A:$AO, 41, FALSE)))))"),"#N/A")</f>
        <v>#N/A</v>
      </c>
      <c r="AP3539" s="89"/>
    </row>
    <row r="3540">
      <c r="A3540" s="151" t="str">
        <f>IFERROR(__xludf.DUMMYFUNCTION("""COMPUTED_VALUE"""),"TPJ")</f>
        <v>TPJ</v>
      </c>
      <c r="B3540" s="42" t="str">
        <f>IFERROR(__xludf.DUMMYFUNCTION("""COMPUTED_VALUE"""),"[Luo, 2018]")</f>
        <v>[Luo, 2018]</v>
      </c>
      <c r="C3540" s="42" t="str">
        <f>IFERROR(__xludf.DUMMYFUNCTION("""COMPUTED_VALUE"""),"the temporoparietal junction")</f>
        <v>the temporoparietal junction</v>
      </c>
      <c r="D3540" s="42" t="str">
        <f>IFERROR(__xludf.DUMMYFUNCTION("""COMPUTED_VALUE"""),"?")</f>
        <v>?</v>
      </c>
      <c r="E3540" s="39"/>
      <c r="F3540" s="9"/>
      <c r="G3540" s="9"/>
      <c r="H3540" s="9"/>
      <c r="I3540" s="9"/>
      <c r="J3540" s="9"/>
      <c r="K3540" s="9"/>
      <c r="L3540" s="9"/>
      <c r="M3540" s="9"/>
      <c r="N3540" s="9"/>
      <c r="O3540" s="9"/>
      <c r="P3540" s="9"/>
      <c r="Q3540" s="9"/>
      <c r="R3540" s="9"/>
      <c r="S3540" s="42" t="str">
        <f>IFERROR(__xludf.DUMMYFUNCTION("""COMPUTED_VALUE"""),"A40の一部;
A39の一部;
A22の一部")</f>
        <v>A40の一部;
A39の一部;
A22の一部</v>
      </c>
      <c r="T3540" s="42" t="str">
        <f>IFERROR(__xludf.DUMMYFUNCTION("""COMPUTED_VALUE"""),"NCx; Junction")</f>
        <v>NCx; Junction</v>
      </c>
      <c r="U3540" s="42" t="b">
        <f>IFERROR(__xludf.DUMMYFUNCTION("""COMPUTED_VALUE"""),FALSE)</f>
        <v>0</v>
      </c>
      <c r="V3540" s="42"/>
      <c r="W3540" s="42"/>
      <c r="X3540" s="42"/>
      <c r="Y3540" s="42"/>
      <c r="Z3540" s="42"/>
      <c r="AA3540" s="42"/>
      <c r="AB3540" s="42" t="str">
        <f>IFERROR(__xludf.DUMMYFUNCTION("""COMPUTED_VALUE"""),"Yudai Suzuki")</f>
        <v>Yudai Suzuki</v>
      </c>
      <c r="AC3540" s="42" t="str">
        <f>IFERROR(__xludf.DUMMYFUNCTION("""COMPUTED_VALUE"""),"YS21Trust")</f>
        <v>YS21Trust</v>
      </c>
      <c r="AD3540" s="42"/>
      <c r="AE3540" s="42"/>
      <c r="AF3540" s="9"/>
      <c r="AG3540" s="9"/>
      <c r="AH3540" s="42"/>
      <c r="AI3540" s="42"/>
      <c r="AJ3540" s="42"/>
      <c r="AK3540" s="42"/>
      <c r="AL3540" s="42"/>
      <c r="AM3540" s="42"/>
      <c r="AN3540" s="42"/>
      <c r="AO3540" s="63" t="str">
        <f>IFERROR(__xludf.DUMMYFUNCTION("IF(ISBLANK(A3540),,IF(ISBLANK(S3540), A3540&amp;"";"", TEXTJOIN(CHAR(10), TRUE, A3540&amp;"";"", ARRAYFORMULA(VLOOKUP(SPLIT(S3540, "";"" &amp; CHAR(10)), $A:$AO, 41, FALSE)))))"),"#N/A")</f>
        <v>#N/A</v>
      </c>
      <c r="AP3540" s="89"/>
    </row>
    <row r="3541">
      <c r="A3541" s="151" t="str">
        <f>IFERROR(__xludf.DUMMYFUNCTION("""COMPUTED_VALUE"""),"IFJ")</f>
        <v>IFJ</v>
      </c>
      <c r="B3541" s="42" t="str">
        <f>IFERROR(__xludf.DUMMYFUNCTION("""COMPUTED_VALUE"""),"makeshift")</f>
        <v>makeshift</v>
      </c>
      <c r="C3541" s="42" t="str">
        <f>IFERROR(__xludf.DUMMYFUNCTION("""COMPUTED_VALUE"""),"inferior frontal junction")</f>
        <v>inferior frontal junction</v>
      </c>
      <c r="D3541" s="42" t="str">
        <f>IFERROR(__xludf.DUMMYFUNCTION("""COMPUTED_VALUE"""),"?")</f>
        <v>?</v>
      </c>
      <c r="E3541" s="39"/>
      <c r="F3541" s="9"/>
      <c r="G3541" s="9"/>
      <c r="H3541" s="9"/>
      <c r="I3541" s="9"/>
      <c r="J3541" s="9"/>
      <c r="K3541" s="9"/>
      <c r="L3541" s="9"/>
      <c r="M3541" s="9"/>
      <c r="N3541" s="9"/>
      <c r="O3541" s="9"/>
      <c r="P3541" s="9"/>
      <c r="Q3541" s="9"/>
      <c r="R3541" s="9"/>
      <c r="S3541" s="42"/>
      <c r="T3541" s="42" t="str">
        <f>IFERROR(__xludf.DUMMYFUNCTION("""COMPUTED_VALUE"""),"NCx; Junction")</f>
        <v>NCx; Junction</v>
      </c>
      <c r="U3541" s="42" t="b">
        <f>IFERROR(__xludf.DUMMYFUNCTION("""COMPUTED_VALUE"""),FALSE)</f>
        <v>0</v>
      </c>
      <c r="V3541" s="42"/>
      <c r="W3541" s="42"/>
      <c r="X3541" s="42"/>
      <c r="Y3541" s="42"/>
      <c r="Z3541" s="42"/>
      <c r="AA3541" s="42"/>
      <c r="AB3541" s="42" t="str">
        <f>IFERROR(__xludf.DUMMYFUNCTION("""COMPUTED_VALUE"""),"Yudai Suzuki")</f>
        <v>Yudai Suzuki</v>
      </c>
      <c r="AC3541" s="42" t="str">
        <f>IFERROR(__xludf.DUMMYFUNCTION("""COMPUTED_VALUE"""),"YS21Trust")</f>
        <v>YS21Trust</v>
      </c>
      <c r="AD3541" s="42"/>
      <c r="AE3541" s="42"/>
      <c r="AF3541" s="9"/>
      <c r="AG3541" s="9"/>
      <c r="AH3541" s="42"/>
      <c r="AI3541" s="42"/>
      <c r="AJ3541" s="42"/>
      <c r="AK3541" s="42"/>
      <c r="AL3541" s="42"/>
      <c r="AM3541" s="42"/>
      <c r="AN3541" s="42"/>
      <c r="AO3541" s="63" t="str">
        <f>IFERROR(__xludf.DUMMYFUNCTION("IF(ISBLANK(A3541),,IF(ISBLANK(S3541), A3541&amp;"";"", TEXTJOIN(CHAR(10), TRUE, A3541&amp;"";"", ARRAYFORMULA(VLOOKUP(SPLIT(S3541, "";"" &amp; CHAR(10)), $A:$AO, 41, FALSE)))))"),"IFJ;")</f>
        <v>IFJ;</v>
      </c>
      <c r="AP3541" s="89"/>
    </row>
    <row r="3542">
      <c r="A3542" s="151" t="str">
        <f>IFERROR(__xludf.DUMMYFUNCTION("""COMPUTED_VALUE"""),"IFS")</f>
        <v>IFS</v>
      </c>
      <c r="B3542" s="42" t="str">
        <f>IFERROR(__xludf.DUMMYFUNCTION("""COMPUTED_VALUE"""),"makeshift")</f>
        <v>makeshift</v>
      </c>
      <c r="C3542" s="42" t="str">
        <f>IFERROR(__xludf.DUMMYFUNCTION("""COMPUTED_VALUE"""),"inferior frontal sulcus")</f>
        <v>inferior frontal sulcus</v>
      </c>
      <c r="D3542" s="42" t="str">
        <f>IFERROR(__xludf.DUMMYFUNCTION("""COMPUTED_VALUE"""),"?")</f>
        <v>?</v>
      </c>
      <c r="E3542" s="39"/>
      <c r="F3542" s="9"/>
      <c r="G3542" s="9"/>
      <c r="H3542" s="9"/>
      <c r="I3542" s="9"/>
      <c r="J3542" s="9"/>
      <c r="K3542" s="9"/>
      <c r="L3542" s="9"/>
      <c r="M3542" s="9"/>
      <c r="N3542" s="9"/>
      <c r="O3542" s="9"/>
      <c r="P3542" s="9"/>
      <c r="Q3542" s="9"/>
      <c r="R3542" s="9"/>
      <c r="S3542" s="42"/>
      <c r="T3542" s="42" t="str">
        <f>IFERROR(__xludf.DUMMYFUNCTION("""COMPUTED_VALUE"""),"NCx; Sulcus")</f>
        <v>NCx; Sulcus</v>
      </c>
      <c r="U3542" s="42" t="b">
        <f>IFERROR(__xludf.DUMMYFUNCTION("""COMPUTED_VALUE"""),FALSE)</f>
        <v>0</v>
      </c>
      <c r="V3542" s="42"/>
      <c r="W3542" s="42"/>
      <c r="X3542" s="42"/>
      <c r="Y3542" s="42"/>
      <c r="Z3542" s="42"/>
      <c r="AA3542" s="42"/>
      <c r="AB3542" s="42" t="str">
        <f>IFERROR(__xludf.DUMMYFUNCTION("""COMPUTED_VALUE"""),"Yudai Suzuki")</f>
        <v>Yudai Suzuki</v>
      </c>
      <c r="AC3542" s="42" t="str">
        <f>IFERROR(__xludf.DUMMYFUNCTION("""COMPUTED_VALUE"""),"YS21Trust")</f>
        <v>YS21Trust</v>
      </c>
      <c r="AD3542" s="42"/>
      <c r="AE3542" s="42"/>
      <c r="AF3542" s="9"/>
      <c r="AG3542" s="9"/>
      <c r="AH3542" s="42"/>
      <c r="AI3542" s="42"/>
      <c r="AJ3542" s="42"/>
      <c r="AK3542" s="42"/>
      <c r="AL3542" s="42"/>
      <c r="AM3542" s="42"/>
      <c r="AN3542" s="42"/>
      <c r="AO3542" s="63" t="str">
        <f>IFERROR(__xludf.DUMMYFUNCTION("IF(ISBLANK(A3542),,IF(ISBLANK(S3542), A3542&amp;"";"", TEXTJOIN(CHAR(10), TRUE, A3542&amp;"";"", ARRAYFORMULA(VLOOKUP(SPLIT(S3542, "";"" &amp; CHAR(10)), $A:$AO, 41, FALSE)))))"),"IFS;")</f>
        <v>IFS;</v>
      </c>
      <c r="AP3542" s="89"/>
    </row>
    <row r="3543">
      <c r="A3543" s="151" t="str">
        <f>IFERROR(__xludf.DUMMYFUNCTION("""COMPUTED_VALUE"""),"A46.L5PT")</f>
        <v>A46.L5PT</v>
      </c>
      <c r="B3543" s="42" t="str">
        <f>IFERROR(__xludf.DUMMYFUNCTION("""COMPUTED_VALUE"""),"makeshift")</f>
        <v>makeshift</v>
      </c>
      <c r="C3543" s="42" t="str">
        <f>IFERROR(__xludf.DUMMYFUNCTION("""COMPUTED_VALUE"""),"rostroventral potion of DFC (area 46), pyramidal tract neurons in layer 6")</f>
        <v>rostroventral potion of DFC (area 46), pyramidal tract neurons in layer 6</v>
      </c>
      <c r="D3543" s="42" t="str">
        <f>IFERROR(__xludf.DUMMYFUNCTION("""COMPUTED_VALUE"""),"?")</f>
        <v>?</v>
      </c>
      <c r="E3543" s="39" t="str">
        <f>IFERROR(__xludf.DUMMYFUNCTION("""COMPUTED_VALUE"""),"")</f>
        <v/>
      </c>
      <c r="F3543" s="9" t="str">
        <f>IFERROR(__xludf.DUMMYFUNCTION("""COMPUTED_VALUE"""),"")</f>
        <v/>
      </c>
      <c r="G3543" s="9" t="str">
        <f>IFERROR(__xludf.DUMMYFUNCTION("""COMPUTED_VALUE"""),"")</f>
        <v/>
      </c>
      <c r="H3543" s="9" t="str">
        <f>IFERROR(__xludf.DUMMYFUNCTION("""COMPUTED_VALUE"""),"")</f>
        <v/>
      </c>
      <c r="I3543" s="9" t="str">
        <f>IFERROR(__xludf.DUMMYFUNCTION("""COMPUTED_VALUE"""),"")</f>
        <v/>
      </c>
      <c r="J3543" s="9" t="str">
        <f>IFERROR(__xludf.DUMMYFUNCTION("""COMPUTED_VALUE"""),"")</f>
        <v/>
      </c>
      <c r="K3543" s="9" t="str">
        <f>IFERROR(__xludf.DUMMYFUNCTION("""COMPUTED_VALUE"""),"")</f>
        <v/>
      </c>
      <c r="L3543" s="9" t="str">
        <f>IFERROR(__xludf.DUMMYFUNCTION("""COMPUTED_VALUE"""),"")</f>
        <v/>
      </c>
      <c r="M3543" s="9" t="str">
        <f>IFERROR(__xludf.DUMMYFUNCTION("""COMPUTED_VALUE"""),"")</f>
        <v/>
      </c>
      <c r="N3543" s="9" t="str">
        <f>IFERROR(__xludf.DUMMYFUNCTION("""COMPUTED_VALUE"""),"")</f>
        <v/>
      </c>
      <c r="O3543" s="9" t="str">
        <f>IFERROR(__xludf.DUMMYFUNCTION("""COMPUTED_VALUE"""),"")</f>
        <v/>
      </c>
      <c r="P3543" s="9" t="str">
        <f>IFERROR(__xludf.DUMMYFUNCTION("""COMPUTED_VALUE"""),"")</f>
        <v/>
      </c>
      <c r="Q3543" s="9" t="str">
        <f>IFERROR(__xludf.DUMMYFUNCTION("""COMPUTED_VALUE"""),"")</f>
        <v/>
      </c>
      <c r="R3543" s="9" t="str">
        <f>IFERROR(__xludf.DUMMYFUNCTION("""COMPUTED_VALUE"""),"")</f>
        <v/>
      </c>
      <c r="S3543" s="42"/>
      <c r="T3543" s="42" t="str">
        <f>IFERROR(__xludf.DUMMYFUNCTION("""COMPUTED_VALUE"""),"L5PT")</f>
        <v>L5PT</v>
      </c>
      <c r="U3543" s="42" t="b">
        <f>IFERROR(__xludf.DUMMYFUNCTION("""COMPUTED_VALUE"""),TRUE)</f>
        <v>1</v>
      </c>
      <c r="V3543" s="42" t="str">
        <f>IFERROR(__xludf.DUMMYFUNCTION("""COMPUTED_VALUE"""),"Glutamate")</f>
        <v>Glutamate</v>
      </c>
      <c r="W3543" s="42" t="str">
        <f>IFERROR(__xludf.DUMMYFUNCTION("""COMPUTED_VALUE"""),"Excitatory")</f>
        <v>Excitatory</v>
      </c>
      <c r="X3543" s="42"/>
      <c r="Y3543" s="42"/>
      <c r="Z3543" s="42"/>
      <c r="AA3543" s="42"/>
      <c r="AB3543" s="42" t="str">
        <f>IFERROR(__xludf.DUMMYFUNCTION("""COMPUTED_VALUE"""),"Yuske Shibata")</f>
        <v>Yuske Shibata</v>
      </c>
      <c r="AC3543" s="42" t="str">
        <f>IFERROR(__xludf.DUMMYFUNCTION("""COMPUTED_VALUE"""),"YS21BgLoop")</f>
        <v>YS21BgLoop</v>
      </c>
      <c r="AD3543" s="42"/>
      <c r="AE3543" s="42"/>
      <c r="AF3543" s="9"/>
      <c r="AG3543" s="9"/>
      <c r="AH3543" s="42"/>
      <c r="AI3543" s="42"/>
      <c r="AJ3543" s="42"/>
      <c r="AK3543" s="42"/>
      <c r="AL3543" s="42"/>
      <c r="AM3543" s="42"/>
      <c r="AN3543" s="42"/>
      <c r="AO3543" s="63" t="str">
        <f>IFERROR(__xludf.DUMMYFUNCTION("IF(ISBLANK(A3543),,IF(ISBLANK(S3543), A3543&amp;"";"", TEXTJOIN(CHAR(10), TRUE, A3543&amp;"";"", ARRAYFORMULA(VLOOKUP(SPLIT(S3543, "";"" &amp; CHAR(10)), $A:$AO, 41, FALSE)))))"),"A46.L5PT;")</f>
        <v>A46.L5PT;</v>
      </c>
      <c r="AP3543" s="89"/>
    </row>
    <row r="3544">
      <c r="A3544" s="151" t="str">
        <f>IFERROR(__xludf.DUMMYFUNCTION("""COMPUTED_VALUE"""),"A6ld.L5PT")</f>
        <v>A6ld.L5PT</v>
      </c>
      <c r="B3544" s="42" t="str">
        <f>IFERROR(__xludf.DUMMYFUNCTION("""COMPUTED_VALUE"""),"makeshift")</f>
        <v>makeshift</v>
      </c>
      <c r="C3544" s="42" t="str">
        <f>IFERROR(__xludf.DUMMYFUNCTION("""COMPUTED_VALUE"""),"laterodorsal subdivision of area 6, pyramidal tract neurons in layer 7")</f>
        <v>laterodorsal subdivision of area 6, pyramidal tract neurons in layer 7</v>
      </c>
      <c r="D3544" s="42" t="str">
        <f>IFERROR(__xludf.DUMMYFUNCTION("""COMPUTED_VALUE"""),"?")</f>
        <v>?</v>
      </c>
      <c r="E3544" s="39" t="str">
        <f>IFERROR(__xludf.DUMMYFUNCTION("""COMPUTED_VALUE"""),"")</f>
        <v/>
      </c>
      <c r="F3544" s="9" t="str">
        <f>IFERROR(__xludf.DUMMYFUNCTION("""COMPUTED_VALUE"""),"")</f>
        <v/>
      </c>
      <c r="G3544" s="9" t="str">
        <f>IFERROR(__xludf.DUMMYFUNCTION("""COMPUTED_VALUE"""),"")</f>
        <v/>
      </c>
      <c r="H3544" s="9" t="str">
        <f>IFERROR(__xludf.DUMMYFUNCTION("""COMPUTED_VALUE"""),"")</f>
        <v/>
      </c>
      <c r="I3544" s="9" t="str">
        <f>IFERROR(__xludf.DUMMYFUNCTION("""COMPUTED_VALUE"""),"")</f>
        <v/>
      </c>
      <c r="J3544" s="9" t="str">
        <f>IFERROR(__xludf.DUMMYFUNCTION("""COMPUTED_VALUE"""),"")</f>
        <v/>
      </c>
      <c r="K3544" s="9" t="str">
        <f>IFERROR(__xludf.DUMMYFUNCTION("""COMPUTED_VALUE"""),"")</f>
        <v/>
      </c>
      <c r="L3544" s="9" t="str">
        <f>IFERROR(__xludf.DUMMYFUNCTION("""COMPUTED_VALUE"""),"")</f>
        <v/>
      </c>
      <c r="M3544" s="9" t="str">
        <f>IFERROR(__xludf.DUMMYFUNCTION("""COMPUTED_VALUE"""),"")</f>
        <v/>
      </c>
      <c r="N3544" s="9" t="str">
        <f>IFERROR(__xludf.DUMMYFUNCTION("""COMPUTED_VALUE"""),"")</f>
        <v/>
      </c>
      <c r="O3544" s="9" t="str">
        <f>IFERROR(__xludf.DUMMYFUNCTION("""COMPUTED_VALUE"""),"")</f>
        <v/>
      </c>
      <c r="P3544" s="9" t="str">
        <f>IFERROR(__xludf.DUMMYFUNCTION("""COMPUTED_VALUE"""),"")</f>
        <v/>
      </c>
      <c r="Q3544" s="9" t="str">
        <f>IFERROR(__xludf.DUMMYFUNCTION("""COMPUTED_VALUE"""),"")</f>
        <v/>
      </c>
      <c r="R3544" s="9" t="str">
        <f>IFERROR(__xludf.DUMMYFUNCTION("""COMPUTED_VALUE"""),"")</f>
        <v/>
      </c>
      <c r="S3544" s="42"/>
      <c r="T3544" s="42" t="str">
        <f>IFERROR(__xludf.DUMMYFUNCTION("""COMPUTED_VALUE"""),"L5PT")</f>
        <v>L5PT</v>
      </c>
      <c r="U3544" s="42" t="b">
        <f>IFERROR(__xludf.DUMMYFUNCTION("""COMPUTED_VALUE"""),TRUE)</f>
        <v>1</v>
      </c>
      <c r="V3544" s="42" t="str">
        <f>IFERROR(__xludf.DUMMYFUNCTION("""COMPUTED_VALUE"""),"Glutamate")</f>
        <v>Glutamate</v>
      </c>
      <c r="W3544" s="42" t="str">
        <f>IFERROR(__xludf.DUMMYFUNCTION("""COMPUTED_VALUE"""),"Excitatory")</f>
        <v>Excitatory</v>
      </c>
      <c r="X3544" s="42"/>
      <c r="Y3544" s="42"/>
      <c r="Z3544" s="42"/>
      <c r="AA3544" s="42"/>
      <c r="AB3544" s="42" t="str">
        <f>IFERROR(__xludf.DUMMYFUNCTION("""COMPUTED_VALUE"""),"Yuske Shibata")</f>
        <v>Yuske Shibata</v>
      </c>
      <c r="AC3544" s="42" t="str">
        <f>IFERROR(__xludf.DUMMYFUNCTION("""COMPUTED_VALUE"""),"YS21BgLoop")</f>
        <v>YS21BgLoop</v>
      </c>
      <c r="AD3544" s="42"/>
      <c r="AE3544" s="42"/>
      <c r="AF3544" s="9"/>
      <c r="AG3544" s="9"/>
      <c r="AH3544" s="42"/>
      <c r="AI3544" s="42"/>
      <c r="AJ3544" s="42"/>
      <c r="AK3544" s="42"/>
      <c r="AL3544" s="42"/>
      <c r="AM3544" s="42"/>
      <c r="AN3544" s="42"/>
      <c r="AO3544" s="63" t="str">
        <f>IFERROR(__xludf.DUMMYFUNCTION("IF(ISBLANK(A3544),,IF(ISBLANK(S3544), A3544&amp;"";"", TEXTJOIN(CHAR(10), TRUE, A3544&amp;"";"", ARRAYFORMULA(VLOOKUP(SPLIT(S3544, "";"" &amp; CHAR(10)), $A:$AO, 41, FALSE)))))"),"A6ld.L5PT;")</f>
        <v>A6ld.L5PT;</v>
      </c>
      <c r="AP3544" s="89"/>
    </row>
    <row r="3545">
      <c r="A3545" s="151" t="str">
        <f>IFERROR(__xludf.DUMMYFUNCTION("""COMPUTED_VALUE"""),"A9.L5PT")</f>
        <v>A9.L5PT</v>
      </c>
      <c r="B3545" s="42" t="str">
        <f>IFERROR(__xludf.DUMMYFUNCTION("""COMPUTED_VALUE"""),"makeshift")</f>
        <v>makeshift</v>
      </c>
      <c r="C3545" s="42" t="str">
        <f>IFERROR(__xludf.DUMMYFUNCTION("""COMPUTED_VALUE"""),"A9, pyramidal tract neurons in layer 9")</f>
        <v>A9, pyramidal tract neurons in layer 9</v>
      </c>
      <c r="D3545" s="42" t="str">
        <f>IFERROR(__xludf.DUMMYFUNCTION("""COMPUTED_VALUE"""),"?")</f>
        <v>?</v>
      </c>
      <c r="E3545" s="39" t="str">
        <f>IFERROR(__xludf.DUMMYFUNCTION("""COMPUTED_VALUE"""),"")</f>
        <v/>
      </c>
      <c r="F3545" s="9" t="str">
        <f>IFERROR(__xludf.DUMMYFUNCTION("""COMPUTED_VALUE"""),"")</f>
        <v/>
      </c>
      <c r="G3545" s="9" t="str">
        <f>IFERROR(__xludf.DUMMYFUNCTION("""COMPUTED_VALUE"""),"")</f>
        <v/>
      </c>
      <c r="H3545" s="9" t="str">
        <f>IFERROR(__xludf.DUMMYFUNCTION("""COMPUTED_VALUE"""),"")</f>
        <v/>
      </c>
      <c r="I3545" s="9" t="str">
        <f>IFERROR(__xludf.DUMMYFUNCTION("""COMPUTED_VALUE"""),"")</f>
        <v/>
      </c>
      <c r="J3545" s="9" t="str">
        <f>IFERROR(__xludf.DUMMYFUNCTION("""COMPUTED_VALUE"""),"")</f>
        <v/>
      </c>
      <c r="K3545" s="9" t="str">
        <f>IFERROR(__xludf.DUMMYFUNCTION("""COMPUTED_VALUE"""),"")</f>
        <v/>
      </c>
      <c r="L3545" s="9" t="str">
        <f>IFERROR(__xludf.DUMMYFUNCTION("""COMPUTED_VALUE"""),"")</f>
        <v/>
      </c>
      <c r="M3545" s="9" t="str">
        <f>IFERROR(__xludf.DUMMYFUNCTION("""COMPUTED_VALUE"""),"")</f>
        <v/>
      </c>
      <c r="N3545" s="9" t="str">
        <f>IFERROR(__xludf.DUMMYFUNCTION("""COMPUTED_VALUE"""),"")</f>
        <v/>
      </c>
      <c r="O3545" s="9" t="str">
        <f>IFERROR(__xludf.DUMMYFUNCTION("""COMPUTED_VALUE"""),"")</f>
        <v/>
      </c>
      <c r="P3545" s="9" t="str">
        <f>IFERROR(__xludf.DUMMYFUNCTION("""COMPUTED_VALUE"""),"")</f>
        <v/>
      </c>
      <c r="Q3545" s="9" t="str">
        <f>IFERROR(__xludf.DUMMYFUNCTION("""COMPUTED_VALUE"""),"")</f>
        <v/>
      </c>
      <c r="R3545" s="9" t="str">
        <f>IFERROR(__xludf.DUMMYFUNCTION("""COMPUTED_VALUE"""),"")</f>
        <v/>
      </c>
      <c r="S3545" s="42"/>
      <c r="T3545" s="42" t="str">
        <f>IFERROR(__xludf.DUMMYFUNCTION("""COMPUTED_VALUE"""),"L5PT")</f>
        <v>L5PT</v>
      </c>
      <c r="U3545" s="42" t="b">
        <f>IFERROR(__xludf.DUMMYFUNCTION("""COMPUTED_VALUE"""),TRUE)</f>
        <v>1</v>
      </c>
      <c r="V3545" s="42" t="str">
        <f>IFERROR(__xludf.DUMMYFUNCTION("""COMPUTED_VALUE"""),"Glutamate")</f>
        <v>Glutamate</v>
      </c>
      <c r="W3545" s="42" t="str">
        <f>IFERROR(__xludf.DUMMYFUNCTION("""COMPUTED_VALUE"""),"Excitatory")</f>
        <v>Excitatory</v>
      </c>
      <c r="X3545" s="42"/>
      <c r="Y3545" s="42"/>
      <c r="Z3545" s="42"/>
      <c r="AA3545" s="42"/>
      <c r="AB3545" s="42" t="str">
        <f>IFERROR(__xludf.DUMMYFUNCTION("""COMPUTED_VALUE"""),"Yuske Shibata")</f>
        <v>Yuske Shibata</v>
      </c>
      <c r="AC3545" s="42" t="str">
        <f>IFERROR(__xludf.DUMMYFUNCTION("""COMPUTED_VALUE"""),"YS21BgLoop")</f>
        <v>YS21BgLoop</v>
      </c>
      <c r="AD3545" s="42"/>
      <c r="AE3545" s="42"/>
      <c r="AF3545" s="9"/>
      <c r="AG3545" s="9"/>
      <c r="AH3545" s="42"/>
      <c r="AI3545" s="42"/>
      <c r="AJ3545" s="42"/>
      <c r="AK3545" s="42"/>
      <c r="AL3545" s="42"/>
      <c r="AM3545" s="42"/>
      <c r="AN3545" s="42"/>
      <c r="AO3545" s="63" t="str">
        <f>IFERROR(__xludf.DUMMYFUNCTION("IF(ISBLANK(A3545),,IF(ISBLANK(S3545), A3545&amp;"";"", TEXTJOIN(CHAR(10), TRUE, A3545&amp;"";"", ARRAYFORMULA(VLOOKUP(SPLIT(S3545, "";"" &amp; CHAR(10)), $A:$AO, 41, FALSE)))))"),"A9.L5PT;")</f>
        <v>A9.L5PT;</v>
      </c>
      <c r="AP3545" s="89"/>
    </row>
    <row r="3546">
      <c r="A3546" s="151" t="str">
        <f>IFERROR(__xludf.DUMMYFUNCTION("""COMPUTED_VALUE"""),"M1C.L5PT")</f>
        <v>M1C.L5PT</v>
      </c>
      <c r="B3546" s="42" t="str">
        <f>IFERROR(__xludf.DUMMYFUNCTION("""COMPUTED_VALUE"""),"makeshift")</f>
        <v>makeshift</v>
      </c>
      <c r="C3546" s="42" t="str">
        <f>IFERROR(__xludf.DUMMYFUNCTION("""COMPUTED_VALUE"""),"primary motor cortex (area M1, are 4), pyramidal tract neurons in layer 5")</f>
        <v>primary motor cortex (area M1, are 4), pyramidal tract neurons in layer 5</v>
      </c>
      <c r="D3546" s="42" t="str">
        <f>IFERROR(__xludf.DUMMYFUNCTION("""COMPUTED_VALUE"""),"?")</f>
        <v>?</v>
      </c>
      <c r="E3546" s="39" t="str">
        <f>IFERROR(__xludf.DUMMYFUNCTION("""COMPUTED_VALUE"""),"")</f>
        <v/>
      </c>
      <c r="F3546" s="9" t="str">
        <f>IFERROR(__xludf.DUMMYFUNCTION("""COMPUTED_VALUE"""),"")</f>
        <v/>
      </c>
      <c r="G3546" s="9" t="str">
        <f>IFERROR(__xludf.DUMMYFUNCTION("""COMPUTED_VALUE"""),"")</f>
        <v/>
      </c>
      <c r="H3546" s="9" t="str">
        <f>IFERROR(__xludf.DUMMYFUNCTION("""COMPUTED_VALUE"""),"")</f>
        <v/>
      </c>
      <c r="I3546" s="9" t="str">
        <f>IFERROR(__xludf.DUMMYFUNCTION("""COMPUTED_VALUE"""),"")</f>
        <v/>
      </c>
      <c r="J3546" s="9" t="str">
        <f>IFERROR(__xludf.DUMMYFUNCTION("""COMPUTED_VALUE"""),"")</f>
        <v/>
      </c>
      <c r="K3546" s="9" t="str">
        <f>IFERROR(__xludf.DUMMYFUNCTION("""COMPUTED_VALUE"""),"")</f>
        <v/>
      </c>
      <c r="L3546" s="9" t="str">
        <f>IFERROR(__xludf.DUMMYFUNCTION("""COMPUTED_VALUE"""),"")</f>
        <v/>
      </c>
      <c r="M3546" s="9" t="str">
        <f>IFERROR(__xludf.DUMMYFUNCTION("""COMPUTED_VALUE"""),"")</f>
        <v/>
      </c>
      <c r="N3546" s="9" t="str">
        <f>IFERROR(__xludf.DUMMYFUNCTION("""COMPUTED_VALUE"""),"")</f>
        <v/>
      </c>
      <c r="O3546" s="9" t="str">
        <f>IFERROR(__xludf.DUMMYFUNCTION("""COMPUTED_VALUE"""),"")</f>
        <v/>
      </c>
      <c r="P3546" s="9" t="str">
        <f>IFERROR(__xludf.DUMMYFUNCTION("""COMPUTED_VALUE"""),"")</f>
        <v/>
      </c>
      <c r="Q3546" s="9" t="str">
        <f>IFERROR(__xludf.DUMMYFUNCTION("""COMPUTED_VALUE"""),"")</f>
        <v/>
      </c>
      <c r="R3546" s="9" t="str">
        <f>IFERROR(__xludf.DUMMYFUNCTION("""COMPUTED_VALUE"""),"")</f>
        <v/>
      </c>
      <c r="S3546" s="42" t="str">
        <f>IFERROR(__xludf.DUMMYFUNCTION("""COMPUTED_VALUE"""),"M1hf.L5PT;
M1lm.L5PT;
M1ul.L5PT")</f>
        <v>M1hf.L5PT;
M1lm.L5PT;
M1ul.L5PT</v>
      </c>
      <c r="T3546" s="42" t="str">
        <f>IFERROR(__xludf.DUMMYFUNCTION("""COMPUTED_VALUE"""),"L5PT")</f>
        <v>L5PT</v>
      </c>
      <c r="U3546" s="42" t="b">
        <f>IFERROR(__xludf.DUMMYFUNCTION("""COMPUTED_VALUE"""),TRUE)</f>
        <v>1</v>
      </c>
      <c r="V3546" s="42" t="str">
        <f>IFERROR(__xludf.DUMMYFUNCTION("""COMPUTED_VALUE"""),"Glutamate")</f>
        <v>Glutamate</v>
      </c>
      <c r="W3546" s="42" t="str">
        <f>IFERROR(__xludf.DUMMYFUNCTION("""COMPUTED_VALUE"""),"Excitatory")</f>
        <v>Excitatory</v>
      </c>
      <c r="X3546" s="42"/>
      <c r="Y3546" s="42"/>
      <c r="Z3546" s="42"/>
      <c r="AA3546" s="42"/>
      <c r="AB3546" s="42" t="str">
        <f>IFERROR(__xludf.DUMMYFUNCTION("""COMPUTED_VALUE"""),"Yuske Shibata")</f>
        <v>Yuske Shibata</v>
      </c>
      <c r="AC3546" s="42" t="str">
        <f>IFERROR(__xludf.DUMMYFUNCTION("""COMPUTED_VALUE"""),"YS21BgLoop")</f>
        <v>YS21BgLoop</v>
      </c>
      <c r="AD3546" s="42"/>
      <c r="AE3546" s="42"/>
      <c r="AF3546" s="9"/>
      <c r="AG3546" s="9"/>
      <c r="AH3546" s="42"/>
      <c r="AI3546" s="42"/>
      <c r="AJ3546" s="42"/>
      <c r="AK3546" s="42"/>
      <c r="AL3546" s="42"/>
      <c r="AM3546" s="42"/>
      <c r="AN3546" s="42"/>
      <c r="AO3546" s="63" t="str">
        <f>IFERROR(__xludf.DUMMYFUNCTION("IF(ISBLANK(A3546),,IF(ISBLANK(S3546), A3546&amp;"";"", TEXTJOIN(CHAR(10), TRUE, A3546&amp;"";"", ARRAYFORMULA(VLOOKUP(SPLIT(S3546, "";"" &amp; CHAR(10)), $A:$AO, 41, FALSE)))))"),"M1C.L5PT;
M1hf.L5PT;
M1lm.L5PT;
M1ul.L5PT;")</f>
        <v>M1C.L5PT;
M1hf.L5PT;
M1lm.L5PT;
M1ul.L5PT;</v>
      </c>
      <c r="AP3546" s="89"/>
    </row>
    <row r="3547">
      <c r="A3547" s="151" t="str">
        <f>IFERROR(__xludf.DUMMYFUNCTION("""COMPUTED_VALUE"""),"M1hf.L5PT")</f>
        <v>M1hf.L5PT</v>
      </c>
      <c r="B3547" s="42" t="str">
        <f>IFERROR(__xludf.DUMMYFUNCTION("""COMPUTED_VALUE"""),"makeshift")</f>
        <v>makeshift</v>
      </c>
      <c r="C3547" s="42" t="str">
        <f>IFERROR(__xludf.DUMMYFUNCTION("""COMPUTED_VALUE"""),"head and face region of M1, pyramidal tract neurons in layer 5")</f>
        <v>head and face region of M1, pyramidal tract neurons in layer 5</v>
      </c>
      <c r="D3547" s="42" t="str">
        <f>IFERROR(__xludf.DUMMYFUNCTION("""COMPUTED_VALUE"""),"?")</f>
        <v>?</v>
      </c>
      <c r="E3547" s="39" t="str">
        <f>IFERROR(__xludf.DUMMYFUNCTION("""COMPUTED_VALUE"""),"")</f>
        <v/>
      </c>
      <c r="F3547" s="9" t="str">
        <f>IFERROR(__xludf.DUMMYFUNCTION("""COMPUTED_VALUE"""),"")</f>
        <v/>
      </c>
      <c r="G3547" s="9" t="str">
        <f>IFERROR(__xludf.DUMMYFUNCTION("""COMPUTED_VALUE"""),"")</f>
        <v/>
      </c>
      <c r="H3547" s="9" t="str">
        <f>IFERROR(__xludf.DUMMYFUNCTION("""COMPUTED_VALUE"""),"")</f>
        <v/>
      </c>
      <c r="I3547" s="9" t="str">
        <f>IFERROR(__xludf.DUMMYFUNCTION("""COMPUTED_VALUE"""),"")</f>
        <v/>
      </c>
      <c r="J3547" s="9" t="str">
        <f>IFERROR(__xludf.DUMMYFUNCTION("""COMPUTED_VALUE"""),"")</f>
        <v/>
      </c>
      <c r="K3547" s="9" t="str">
        <f>IFERROR(__xludf.DUMMYFUNCTION("""COMPUTED_VALUE"""),"")</f>
        <v/>
      </c>
      <c r="L3547" s="9" t="str">
        <f>IFERROR(__xludf.DUMMYFUNCTION("""COMPUTED_VALUE"""),"")</f>
        <v/>
      </c>
      <c r="M3547" s="9" t="str">
        <f>IFERROR(__xludf.DUMMYFUNCTION("""COMPUTED_VALUE"""),"")</f>
        <v/>
      </c>
      <c r="N3547" s="9" t="str">
        <f>IFERROR(__xludf.DUMMYFUNCTION("""COMPUTED_VALUE"""),"")</f>
        <v/>
      </c>
      <c r="O3547" s="9" t="str">
        <f>IFERROR(__xludf.DUMMYFUNCTION("""COMPUTED_VALUE"""),"")</f>
        <v/>
      </c>
      <c r="P3547" s="9" t="str">
        <f>IFERROR(__xludf.DUMMYFUNCTION("""COMPUTED_VALUE"""),"")</f>
        <v/>
      </c>
      <c r="Q3547" s="9" t="str">
        <f>IFERROR(__xludf.DUMMYFUNCTION("""COMPUTED_VALUE"""),"")</f>
        <v/>
      </c>
      <c r="R3547" s="9" t="str">
        <f>IFERROR(__xludf.DUMMYFUNCTION("""COMPUTED_VALUE"""),"")</f>
        <v/>
      </c>
      <c r="S3547" s="42"/>
      <c r="T3547" s="42" t="str">
        <f>IFERROR(__xludf.DUMMYFUNCTION("""COMPUTED_VALUE"""),"L5PT")</f>
        <v>L5PT</v>
      </c>
      <c r="U3547" s="42" t="b">
        <f>IFERROR(__xludf.DUMMYFUNCTION("""COMPUTED_VALUE"""),TRUE)</f>
        <v>1</v>
      </c>
      <c r="V3547" s="42" t="str">
        <f>IFERROR(__xludf.DUMMYFUNCTION("""COMPUTED_VALUE"""),"Glutamate")</f>
        <v>Glutamate</v>
      </c>
      <c r="W3547" s="42" t="str">
        <f>IFERROR(__xludf.DUMMYFUNCTION("""COMPUTED_VALUE"""),"Excitatory")</f>
        <v>Excitatory</v>
      </c>
      <c r="X3547" s="42"/>
      <c r="Y3547" s="42"/>
      <c r="Z3547" s="42"/>
      <c r="AA3547" s="42"/>
      <c r="AB3547" s="42" t="str">
        <f>IFERROR(__xludf.DUMMYFUNCTION("""COMPUTED_VALUE"""),"Yuske Shibata")</f>
        <v>Yuske Shibata</v>
      </c>
      <c r="AC3547" s="42" t="str">
        <f>IFERROR(__xludf.DUMMYFUNCTION("""COMPUTED_VALUE"""),"YS21BgLoop")</f>
        <v>YS21BgLoop</v>
      </c>
      <c r="AD3547" s="42"/>
      <c r="AE3547" s="42"/>
      <c r="AF3547" s="9"/>
      <c r="AG3547" s="9"/>
      <c r="AH3547" s="42"/>
      <c r="AI3547" s="42"/>
      <c r="AJ3547" s="42"/>
      <c r="AK3547" s="42"/>
      <c r="AL3547" s="42"/>
      <c r="AM3547" s="42"/>
      <c r="AN3547" s="42"/>
      <c r="AO3547" s="63" t="str">
        <f>IFERROR(__xludf.DUMMYFUNCTION("IF(ISBLANK(A3547),,IF(ISBLANK(S3547), A3547&amp;"";"", TEXTJOIN(CHAR(10), TRUE, A3547&amp;"";"", ARRAYFORMULA(VLOOKUP(SPLIT(S3547, "";"" &amp; CHAR(10)), $A:$AO, 41, FALSE)))))"),"M1hf.L5PT;")</f>
        <v>M1hf.L5PT;</v>
      </c>
      <c r="AP3547" s="89"/>
    </row>
    <row r="3548">
      <c r="A3548" s="151" t="str">
        <f>IFERROR(__xludf.DUMMYFUNCTION("""COMPUTED_VALUE"""),"M1lm.L5PT")</f>
        <v>M1lm.L5PT</v>
      </c>
      <c r="B3548" s="42" t="str">
        <f>IFERROR(__xludf.DUMMYFUNCTION("""COMPUTED_VALUE"""),"makeshift")</f>
        <v>makeshift</v>
      </c>
      <c r="C3548" s="42"/>
      <c r="D3548" s="42" t="str">
        <f>IFERROR(__xludf.DUMMYFUNCTION("""COMPUTED_VALUE"""),"?")</f>
        <v>?</v>
      </c>
      <c r="E3548" s="39" t="str">
        <f>IFERROR(__xludf.DUMMYFUNCTION("""COMPUTED_VALUE"""),"")</f>
        <v/>
      </c>
      <c r="F3548" s="9" t="str">
        <f>IFERROR(__xludf.DUMMYFUNCTION("""COMPUTED_VALUE"""),"")</f>
        <v/>
      </c>
      <c r="G3548" s="9" t="str">
        <f>IFERROR(__xludf.DUMMYFUNCTION("""COMPUTED_VALUE"""),"")</f>
        <v/>
      </c>
      <c r="H3548" s="9" t="str">
        <f>IFERROR(__xludf.DUMMYFUNCTION("""COMPUTED_VALUE"""),"")</f>
        <v/>
      </c>
      <c r="I3548" s="9" t="str">
        <f>IFERROR(__xludf.DUMMYFUNCTION("""COMPUTED_VALUE"""),"")</f>
        <v/>
      </c>
      <c r="J3548" s="9" t="str">
        <f>IFERROR(__xludf.DUMMYFUNCTION("""COMPUTED_VALUE"""),"")</f>
        <v/>
      </c>
      <c r="K3548" s="9" t="str">
        <f>IFERROR(__xludf.DUMMYFUNCTION("""COMPUTED_VALUE"""),"")</f>
        <v/>
      </c>
      <c r="L3548" s="9" t="str">
        <f>IFERROR(__xludf.DUMMYFUNCTION("""COMPUTED_VALUE"""),"")</f>
        <v/>
      </c>
      <c r="M3548" s="9" t="str">
        <f>IFERROR(__xludf.DUMMYFUNCTION("""COMPUTED_VALUE"""),"")</f>
        <v/>
      </c>
      <c r="N3548" s="9" t="str">
        <f>IFERROR(__xludf.DUMMYFUNCTION("""COMPUTED_VALUE"""),"")</f>
        <v/>
      </c>
      <c r="O3548" s="9" t="str">
        <f>IFERROR(__xludf.DUMMYFUNCTION("""COMPUTED_VALUE"""),"")</f>
        <v/>
      </c>
      <c r="P3548" s="9" t="str">
        <f>IFERROR(__xludf.DUMMYFUNCTION("""COMPUTED_VALUE"""),"")</f>
        <v/>
      </c>
      <c r="Q3548" s="9" t="str">
        <f>IFERROR(__xludf.DUMMYFUNCTION("""COMPUTED_VALUE"""),"")</f>
        <v/>
      </c>
      <c r="R3548" s="9" t="str">
        <f>IFERROR(__xludf.DUMMYFUNCTION("""COMPUTED_VALUE"""),"")</f>
        <v/>
      </c>
      <c r="S3548" s="42"/>
      <c r="T3548" s="42" t="str">
        <f>IFERROR(__xludf.DUMMYFUNCTION("""COMPUTED_VALUE"""),"L5PT")</f>
        <v>L5PT</v>
      </c>
      <c r="U3548" s="42" t="b">
        <f>IFERROR(__xludf.DUMMYFUNCTION("""COMPUTED_VALUE"""),TRUE)</f>
        <v>1</v>
      </c>
      <c r="V3548" s="42" t="str">
        <f>IFERROR(__xludf.DUMMYFUNCTION("""COMPUTED_VALUE"""),"Glutamate")</f>
        <v>Glutamate</v>
      </c>
      <c r="W3548" s="42" t="str">
        <f>IFERROR(__xludf.DUMMYFUNCTION("""COMPUTED_VALUE"""),"Excitatory")</f>
        <v>Excitatory</v>
      </c>
      <c r="X3548" s="42"/>
      <c r="Y3548" s="42"/>
      <c r="Z3548" s="42"/>
      <c r="AA3548" s="42"/>
      <c r="AB3548" s="42" t="str">
        <f>IFERROR(__xludf.DUMMYFUNCTION("""COMPUTED_VALUE"""),"Yuske Shibata")</f>
        <v>Yuske Shibata</v>
      </c>
      <c r="AC3548" s="42" t="str">
        <f>IFERROR(__xludf.DUMMYFUNCTION("""COMPUTED_VALUE"""),"YS21BgLoop")</f>
        <v>YS21BgLoop</v>
      </c>
      <c r="AD3548" s="42"/>
      <c r="AE3548" s="42"/>
      <c r="AF3548" s="9"/>
      <c r="AG3548" s="9"/>
      <c r="AH3548" s="42"/>
      <c r="AI3548" s="42"/>
      <c r="AJ3548" s="42"/>
      <c r="AK3548" s="42"/>
      <c r="AL3548" s="42"/>
      <c r="AM3548" s="42"/>
      <c r="AN3548" s="42"/>
      <c r="AO3548" s="63" t="str">
        <f>IFERROR(__xludf.DUMMYFUNCTION("IF(ISBLANK(A3548),,IF(ISBLANK(S3548), A3548&amp;"";"", TEXTJOIN(CHAR(10), TRUE, A3548&amp;"";"", ARRAYFORMULA(VLOOKUP(SPLIT(S3548, "";"" &amp; CHAR(10)), $A:$AO, 41, FALSE)))))"),"M1lm.L5PT;")</f>
        <v>M1lm.L5PT;</v>
      </c>
      <c r="AP3548" s="89"/>
    </row>
    <row r="3549">
      <c r="A3549" s="151" t="str">
        <f>IFERROR(__xludf.DUMMYFUNCTION("""COMPUTED_VALUE"""),"M1ul.L5PT")</f>
        <v>M1ul.L5PT</v>
      </c>
      <c r="B3549" s="42" t="str">
        <f>IFERROR(__xludf.DUMMYFUNCTION("""COMPUTED_VALUE"""),"makeshift")</f>
        <v>makeshift</v>
      </c>
      <c r="C3549" s="42"/>
      <c r="D3549" s="42" t="str">
        <f>IFERROR(__xludf.DUMMYFUNCTION("""COMPUTED_VALUE"""),"?")</f>
        <v>?</v>
      </c>
      <c r="E3549" s="39" t="str">
        <f>IFERROR(__xludf.DUMMYFUNCTION("""COMPUTED_VALUE"""),"")</f>
        <v/>
      </c>
      <c r="F3549" s="9" t="str">
        <f>IFERROR(__xludf.DUMMYFUNCTION("""COMPUTED_VALUE"""),"")</f>
        <v/>
      </c>
      <c r="G3549" s="9" t="str">
        <f>IFERROR(__xludf.DUMMYFUNCTION("""COMPUTED_VALUE"""),"")</f>
        <v/>
      </c>
      <c r="H3549" s="9" t="str">
        <f>IFERROR(__xludf.DUMMYFUNCTION("""COMPUTED_VALUE"""),"")</f>
        <v/>
      </c>
      <c r="I3549" s="9" t="str">
        <f>IFERROR(__xludf.DUMMYFUNCTION("""COMPUTED_VALUE"""),"")</f>
        <v/>
      </c>
      <c r="J3549" s="9" t="str">
        <f>IFERROR(__xludf.DUMMYFUNCTION("""COMPUTED_VALUE"""),"")</f>
        <v/>
      </c>
      <c r="K3549" s="9" t="str">
        <f>IFERROR(__xludf.DUMMYFUNCTION("""COMPUTED_VALUE"""),"")</f>
        <v/>
      </c>
      <c r="L3549" s="9" t="str">
        <f>IFERROR(__xludf.DUMMYFUNCTION("""COMPUTED_VALUE"""),"")</f>
        <v/>
      </c>
      <c r="M3549" s="9" t="str">
        <f>IFERROR(__xludf.DUMMYFUNCTION("""COMPUTED_VALUE"""),"")</f>
        <v/>
      </c>
      <c r="N3549" s="9" t="str">
        <f>IFERROR(__xludf.DUMMYFUNCTION("""COMPUTED_VALUE"""),"")</f>
        <v/>
      </c>
      <c r="O3549" s="9" t="str">
        <f>IFERROR(__xludf.DUMMYFUNCTION("""COMPUTED_VALUE"""),"")</f>
        <v/>
      </c>
      <c r="P3549" s="9" t="str">
        <f>IFERROR(__xludf.DUMMYFUNCTION("""COMPUTED_VALUE"""),"")</f>
        <v/>
      </c>
      <c r="Q3549" s="9" t="str">
        <f>IFERROR(__xludf.DUMMYFUNCTION("""COMPUTED_VALUE"""),"")</f>
        <v/>
      </c>
      <c r="R3549" s="9" t="str">
        <f>IFERROR(__xludf.DUMMYFUNCTION("""COMPUTED_VALUE"""),"")</f>
        <v/>
      </c>
      <c r="S3549" s="42"/>
      <c r="T3549" s="42" t="str">
        <f>IFERROR(__xludf.DUMMYFUNCTION("""COMPUTED_VALUE"""),"L5PT")</f>
        <v>L5PT</v>
      </c>
      <c r="U3549" s="42" t="b">
        <f>IFERROR(__xludf.DUMMYFUNCTION("""COMPUTED_VALUE"""),TRUE)</f>
        <v>1</v>
      </c>
      <c r="V3549" s="42" t="str">
        <f>IFERROR(__xludf.DUMMYFUNCTION("""COMPUTED_VALUE"""),"Glutamate")</f>
        <v>Glutamate</v>
      </c>
      <c r="W3549" s="42" t="str">
        <f>IFERROR(__xludf.DUMMYFUNCTION("""COMPUTED_VALUE"""),"Excitatory")</f>
        <v>Excitatory</v>
      </c>
      <c r="X3549" s="42"/>
      <c r="Y3549" s="42"/>
      <c r="Z3549" s="42"/>
      <c r="AA3549" s="42"/>
      <c r="AB3549" s="42" t="str">
        <f>IFERROR(__xludf.DUMMYFUNCTION("""COMPUTED_VALUE"""),"Yuske Shibata")</f>
        <v>Yuske Shibata</v>
      </c>
      <c r="AC3549" s="42" t="str">
        <f>IFERROR(__xludf.DUMMYFUNCTION("""COMPUTED_VALUE"""),"YS21BgLoop")</f>
        <v>YS21BgLoop</v>
      </c>
      <c r="AD3549" s="42"/>
      <c r="AE3549" s="42"/>
      <c r="AF3549" s="9"/>
      <c r="AG3549" s="9"/>
      <c r="AH3549" s="42"/>
      <c r="AI3549" s="42"/>
      <c r="AJ3549" s="42"/>
      <c r="AK3549" s="42"/>
      <c r="AL3549" s="42"/>
      <c r="AM3549" s="42"/>
      <c r="AN3549" s="42"/>
      <c r="AO3549" s="63" t="str">
        <f>IFERROR(__xludf.DUMMYFUNCTION("IF(ISBLANK(A3549),,IF(ISBLANK(S3549), A3549&amp;"";"", TEXTJOIN(CHAR(10), TRUE, A3549&amp;"";"", ARRAYFORMULA(VLOOKUP(SPLIT(S3549, "";"" &amp; CHAR(10)), $A:$AO, 41, FALSE)))))"),"M1ul.L5PT;")</f>
        <v>M1ul.L5PT;</v>
      </c>
      <c r="AP3549" s="89"/>
    </row>
    <row r="3550">
      <c r="A3550" s="151" t="str">
        <f>IFERROR(__xludf.DUMMYFUNCTION("""COMPUTED_VALUE"""),"VG")</f>
        <v>VG</v>
      </c>
      <c r="B3550" s="42" t="str">
        <f>IFERROR(__xludf.DUMMYFUNCTION("""COMPUTED_VALUE"""),"UBERON")</f>
        <v>UBERON</v>
      </c>
      <c r="C3550" s="42" t="str">
        <f>IFERROR(__xludf.DUMMYFUNCTION("""COMPUTED_VALUE"""),"vestibular ganglion; Scarpa's ganglion;")</f>
        <v>vestibular ganglion; Scarpa's ganglion;</v>
      </c>
      <c r="D3550" s="42" t="str">
        <f>IFERROR(__xludf.DUMMYFUNCTION("""COMPUTED_VALUE"""),"’0002824")</f>
        <v>’0002824</v>
      </c>
      <c r="E3550" s="39" t="str">
        <f>IFERROR(__xludf.DUMMYFUNCTION("""COMPUTED_VALUE"""),"")</f>
        <v/>
      </c>
      <c r="F3550" s="9" t="str">
        <f>IFERROR(__xludf.DUMMYFUNCTION("""COMPUTED_VALUE"""),"")</f>
        <v/>
      </c>
      <c r="G3550" s="9" t="str">
        <f>IFERROR(__xludf.DUMMYFUNCTION("""COMPUTED_VALUE"""),"")</f>
        <v/>
      </c>
      <c r="H3550" s="9" t="str">
        <f>IFERROR(__xludf.DUMMYFUNCTION("""COMPUTED_VALUE"""),"")</f>
        <v/>
      </c>
      <c r="I3550" s="9" t="str">
        <f>IFERROR(__xludf.DUMMYFUNCTION("""COMPUTED_VALUE"""),"")</f>
        <v/>
      </c>
      <c r="J3550" s="9" t="str">
        <f>IFERROR(__xludf.DUMMYFUNCTION("""COMPUTED_VALUE"""),"")</f>
        <v/>
      </c>
      <c r="K3550" s="9" t="str">
        <f>IFERROR(__xludf.DUMMYFUNCTION("""COMPUTED_VALUE"""),"")</f>
        <v/>
      </c>
      <c r="L3550" s="9" t="str">
        <f>IFERROR(__xludf.DUMMYFUNCTION("""COMPUTED_VALUE"""),"")</f>
        <v/>
      </c>
      <c r="M3550" s="9" t="str">
        <f>IFERROR(__xludf.DUMMYFUNCTION("""COMPUTED_VALUE"""),"")</f>
        <v/>
      </c>
      <c r="N3550" s="9" t="str">
        <f>IFERROR(__xludf.DUMMYFUNCTION("""COMPUTED_VALUE"""),"")</f>
        <v/>
      </c>
      <c r="O3550" s="9" t="str">
        <f>IFERROR(__xludf.DUMMYFUNCTION("""COMPUTED_VALUE"""),"")</f>
        <v/>
      </c>
      <c r="P3550" s="9" t="str">
        <f>IFERROR(__xludf.DUMMYFUNCTION("""COMPUTED_VALUE"""),"")</f>
        <v/>
      </c>
      <c r="Q3550" s="9" t="str">
        <f>IFERROR(__xludf.DUMMYFUNCTION("""COMPUTED_VALUE"""),"")</f>
        <v/>
      </c>
      <c r="R3550" s="9" t="str">
        <f>IFERROR(__xludf.DUMMYFUNCTION("""COMPUTED_VALUE"""),"")</f>
        <v/>
      </c>
      <c r="S3550" s="42"/>
      <c r="T3550" s="42"/>
      <c r="U3550" s="42" t="b">
        <f>IFERROR(__xludf.DUMMYFUNCTION("""COMPUTED_VALUE"""),TRUE)</f>
        <v>1</v>
      </c>
      <c r="V3550" s="42"/>
      <c r="W3550" s="42" t="str">
        <f>IFERROR(__xludf.DUMMYFUNCTION("""COMPUTED_VALUE"""),"Excitatory")</f>
        <v>Excitatory</v>
      </c>
      <c r="X3550" s="42"/>
      <c r="Y3550" s="42" t="str">
        <f>IFERROR(__xludf.DUMMYFUNCTION("""COMPUTED_VALUE"""),"ganglion of vestibular nerve")</f>
        <v>ganglion of vestibular nerve</v>
      </c>
      <c r="Z3550" s="42"/>
      <c r="AA3550" s="42"/>
      <c r="AB3550" s="42" t="str">
        <f>IFERROR(__xludf.DUMMYFUNCTION("""COMPUTED_VALUE"""),"Hiroshi Yamakawa")</f>
        <v>Hiroshi Yamakawa</v>
      </c>
      <c r="AC3550" s="42" t="str">
        <f>IFERROR(__xludf.DUMMYFUNCTION("""COMPUTED_VALUE"""),"HY20Cerebellum")</f>
        <v>HY20Cerebellum</v>
      </c>
      <c r="AD3550" s="42"/>
      <c r="AE3550" s="42"/>
      <c r="AF3550" s="9"/>
      <c r="AG3550" s="9"/>
      <c r="AH3550" s="42"/>
      <c r="AI3550" s="42"/>
      <c r="AJ3550" s="42"/>
      <c r="AK3550" s="42"/>
      <c r="AL3550" s="42"/>
      <c r="AM3550" s="42"/>
      <c r="AN3550" s="42"/>
      <c r="AO3550" s="63" t="str">
        <f>IFERROR(__xludf.DUMMYFUNCTION("IF(ISBLANK(A3550),,IF(ISBLANK(S3550), A3550&amp;"";"", TEXTJOIN(CHAR(10), TRUE, A3550&amp;"";"", ARRAYFORMULA(VLOOKUP(SPLIT(S3550, "";"" &amp; CHAR(10)), $A:$AO, 41, FALSE)))))"),"VG;")</f>
        <v>VG;</v>
      </c>
      <c r="AP3550" s="89"/>
    </row>
    <row r="3551">
      <c r="A3551" s="42"/>
      <c r="B3551" s="42"/>
      <c r="C3551" s="42"/>
      <c r="D3551" s="42"/>
      <c r="E3551" s="39"/>
      <c r="F3551" s="9"/>
      <c r="G3551" s="9"/>
      <c r="H3551" s="9"/>
      <c r="I3551" s="9"/>
      <c r="J3551" s="9"/>
      <c r="K3551" s="9"/>
      <c r="L3551" s="9"/>
      <c r="M3551" s="9"/>
      <c r="N3551" s="9"/>
      <c r="O3551" s="9"/>
      <c r="P3551" s="9"/>
      <c r="Q3551" s="9"/>
      <c r="R3551" s="9"/>
      <c r="S3551" s="42"/>
      <c r="T3551" s="42"/>
      <c r="U3551" s="159"/>
      <c r="V3551" s="42"/>
      <c r="W3551" s="42"/>
      <c r="X3551" s="42"/>
      <c r="Y3551" s="42"/>
      <c r="Z3551" s="42"/>
      <c r="AA3551" s="42"/>
      <c r="AB3551" s="42"/>
      <c r="AC3551" s="42"/>
      <c r="AD3551" s="42"/>
      <c r="AE3551" s="42"/>
      <c r="AF3551" s="9"/>
      <c r="AG3551" s="9"/>
      <c r="AH3551" s="42"/>
      <c r="AI3551" s="42"/>
      <c r="AJ3551" s="42"/>
      <c r="AK3551" s="42"/>
      <c r="AL3551" s="42"/>
      <c r="AM3551" s="42"/>
      <c r="AN3551" s="42"/>
      <c r="AO3551" s="63" t="str">
        <f>IFERROR(__xludf.DUMMYFUNCTION("IF(ISBLANK(A3551),,IF(ISBLANK(S3551), A3551&amp;"";"", TEXTJOIN(CHAR(10), TRUE, A3551&amp;"";"", ARRAYFORMULA(VLOOKUP(SPLIT(S3551, "";"" &amp; CHAR(10)), $A:$AO, 41, FALSE)))))"),"")</f>
        <v/>
      </c>
      <c r="AP3551" s="89"/>
    </row>
    <row r="3552">
      <c r="A3552" s="42"/>
      <c r="B3552" s="42"/>
      <c r="C3552" s="42"/>
      <c r="D3552" s="42"/>
      <c r="E3552" s="39" t="str">
        <f>IFERROR(__xludf.DUMMYFUNCTION("""COMPUTED_VALUE"""),"")</f>
        <v/>
      </c>
      <c r="F3552" s="9" t="str">
        <f>IFERROR(__xludf.DUMMYFUNCTION("""COMPUTED_VALUE"""),"")</f>
        <v/>
      </c>
      <c r="G3552" s="9"/>
      <c r="H3552" s="9"/>
      <c r="I3552" s="9"/>
      <c r="J3552" s="9"/>
      <c r="K3552" s="9"/>
      <c r="L3552" s="9"/>
      <c r="M3552" s="9"/>
      <c r="N3552" s="9"/>
      <c r="O3552" s="9"/>
      <c r="P3552" s="9"/>
      <c r="Q3552" s="9"/>
      <c r="R3552" s="9"/>
      <c r="S3552" s="42"/>
      <c r="T3552" s="42"/>
      <c r="U3552" s="42"/>
      <c r="V3552" s="42"/>
      <c r="W3552" s="42"/>
      <c r="X3552" s="42"/>
      <c r="Y3552" s="42"/>
      <c r="Z3552" s="42"/>
      <c r="AA3552" s="42"/>
      <c r="AB3552" s="42"/>
      <c r="AC3552" s="42"/>
      <c r="AD3552" s="42"/>
      <c r="AE3552" s="42"/>
      <c r="AF3552" s="9"/>
      <c r="AG3552" s="9"/>
      <c r="AH3552" s="42"/>
      <c r="AI3552" s="42"/>
      <c r="AJ3552" s="42"/>
      <c r="AK3552" s="42"/>
      <c r="AL3552" s="42"/>
      <c r="AM3552" s="42"/>
      <c r="AN3552" s="42"/>
      <c r="AO3552" s="63" t="str">
        <f>IFERROR(__xludf.DUMMYFUNCTION("IF(ISBLANK(A3552),,IF(ISBLANK(S3552), A3552&amp;"";"", TEXTJOIN(CHAR(10), TRUE, A3552&amp;"";"", ARRAYFORMULA(VLOOKUP(SPLIT(S3552, "";"" &amp; CHAR(10)), $A:$AO, 41, FALSE)))))"),"")</f>
        <v/>
      </c>
      <c r="AP3552" s="89"/>
    </row>
    <row r="3553">
      <c r="A3553" s="42"/>
      <c r="B3553" s="42"/>
      <c r="C3553" s="42"/>
      <c r="D3553" s="42"/>
      <c r="E3553" s="39"/>
      <c r="F3553" s="9"/>
      <c r="G3553" s="9"/>
      <c r="H3553" s="9"/>
      <c r="I3553" s="9"/>
      <c r="J3553" s="9"/>
      <c r="K3553" s="9"/>
      <c r="L3553" s="9"/>
      <c r="M3553" s="9"/>
      <c r="N3553" s="9"/>
      <c r="O3553" s="9"/>
      <c r="P3553" s="9"/>
      <c r="Q3553" s="9"/>
      <c r="R3553" s="9"/>
      <c r="S3553" s="42"/>
      <c r="T3553" s="42"/>
      <c r="U3553" s="42"/>
      <c r="V3553" s="42"/>
      <c r="W3553" s="42"/>
      <c r="X3553" s="42"/>
      <c r="Y3553" s="42"/>
      <c r="Z3553" s="42"/>
      <c r="AA3553" s="42"/>
      <c r="AB3553" s="42"/>
      <c r="AC3553" s="42"/>
      <c r="AD3553" s="42"/>
      <c r="AE3553" s="42"/>
      <c r="AF3553" s="9"/>
      <c r="AG3553" s="9"/>
      <c r="AH3553" s="42"/>
      <c r="AI3553" s="42"/>
      <c r="AJ3553" s="42"/>
      <c r="AK3553" s="42"/>
      <c r="AL3553" s="42"/>
      <c r="AM3553" s="42"/>
      <c r="AN3553" s="42"/>
      <c r="AO3553" s="63" t="str">
        <f>IFERROR(__xludf.DUMMYFUNCTION("IF(ISBLANK(A3553),,IF(ISBLANK(S3553), A3553&amp;"";"", TEXTJOIN(CHAR(10), TRUE, A3553&amp;"";"", ARRAYFORMULA(VLOOKUP(SPLIT(S3553, "";"" &amp; CHAR(10)), $A:$AO, 41, FALSE)))))"),"")</f>
        <v/>
      </c>
      <c r="AP3553" s="89"/>
    </row>
    <row r="3554">
      <c r="A3554" s="42"/>
      <c r="B3554" s="42"/>
      <c r="C3554" s="42"/>
      <c r="D3554" s="42"/>
      <c r="E3554" s="39"/>
      <c r="F3554" s="9"/>
      <c r="G3554" s="9"/>
      <c r="H3554" s="9"/>
      <c r="I3554" s="9"/>
      <c r="J3554" s="9"/>
      <c r="K3554" s="9"/>
      <c r="L3554" s="9"/>
      <c r="M3554" s="9"/>
      <c r="N3554" s="9"/>
      <c r="O3554" s="9"/>
      <c r="P3554" s="9"/>
      <c r="Q3554" s="9"/>
      <c r="R3554" s="9"/>
      <c r="S3554" s="42"/>
      <c r="T3554" s="42"/>
      <c r="U3554" s="42"/>
      <c r="V3554" s="42"/>
      <c r="W3554" s="42"/>
      <c r="X3554" s="42"/>
      <c r="Y3554" s="42"/>
      <c r="Z3554" s="42"/>
      <c r="AA3554" s="42"/>
      <c r="AB3554" s="42"/>
      <c r="AC3554" s="42"/>
      <c r="AD3554" s="42"/>
      <c r="AE3554" s="42"/>
      <c r="AF3554" s="9"/>
      <c r="AG3554" s="9"/>
      <c r="AH3554" s="42"/>
      <c r="AI3554" s="42"/>
      <c r="AJ3554" s="42"/>
      <c r="AK3554" s="42"/>
      <c r="AL3554" s="42"/>
      <c r="AM3554" s="42"/>
      <c r="AN3554" s="42"/>
      <c r="AO3554" s="63" t="str">
        <f>IFERROR(__xludf.DUMMYFUNCTION("IF(ISBLANK(A3554),,IF(ISBLANK(S3554), A3554&amp;"";"", TEXTJOIN(CHAR(10), TRUE, A3554&amp;"";"", ARRAYFORMULA(VLOOKUP(SPLIT(S3554, "";"" &amp; CHAR(10)), $A:$AO, 41, FALSE)))))"),"")</f>
        <v/>
      </c>
      <c r="AP3554" s="89"/>
    </row>
    <row r="3555">
      <c r="A3555" s="42"/>
      <c r="B3555" s="42"/>
      <c r="C3555" s="42"/>
      <c r="D3555" s="42"/>
      <c r="E3555" s="39"/>
      <c r="F3555" s="9"/>
      <c r="G3555" s="9"/>
      <c r="H3555" s="9"/>
      <c r="I3555" s="9"/>
      <c r="J3555" s="9"/>
      <c r="K3555" s="9"/>
      <c r="L3555" s="9"/>
      <c r="M3555" s="9"/>
      <c r="N3555" s="9"/>
      <c r="O3555" s="9"/>
      <c r="P3555" s="9"/>
      <c r="Q3555" s="9"/>
      <c r="R3555" s="9"/>
      <c r="S3555" s="42"/>
      <c r="T3555" s="42"/>
      <c r="U3555" s="159"/>
      <c r="V3555" s="42"/>
      <c r="W3555" s="42"/>
      <c r="X3555" s="42"/>
      <c r="Y3555" s="42"/>
      <c r="Z3555" s="42"/>
      <c r="AA3555" s="42"/>
      <c r="AB3555" s="42"/>
      <c r="AC3555" s="42"/>
      <c r="AD3555" s="42"/>
      <c r="AE3555" s="42"/>
      <c r="AF3555" s="9"/>
      <c r="AG3555" s="9"/>
      <c r="AH3555" s="42"/>
      <c r="AI3555" s="42"/>
      <c r="AJ3555" s="42"/>
      <c r="AK3555" s="42"/>
      <c r="AL3555" s="42"/>
      <c r="AM3555" s="42"/>
      <c r="AN3555" s="42"/>
      <c r="AO3555" s="63" t="str">
        <f>IFERROR(__xludf.DUMMYFUNCTION("IF(ISBLANK(A3555),,IF(ISBLANK(S3555), A3555&amp;"";"", TEXTJOIN(CHAR(10), TRUE, A3555&amp;"";"", ARRAYFORMULA(VLOOKUP(SPLIT(S3555, "";"" &amp; CHAR(10)), $A:$AO, 41, FALSE)))))"),"")</f>
        <v/>
      </c>
      <c r="AP3555" s="89"/>
    </row>
    <row r="3556">
      <c r="A3556" s="42"/>
      <c r="B3556" s="42"/>
      <c r="C3556" s="42"/>
      <c r="D3556" s="42"/>
      <c r="E3556" s="39"/>
      <c r="F3556" s="9"/>
      <c r="G3556" s="9"/>
      <c r="H3556" s="9"/>
      <c r="I3556" s="9"/>
      <c r="J3556" s="9"/>
      <c r="K3556" s="9"/>
      <c r="L3556" s="9"/>
      <c r="M3556" s="9"/>
      <c r="N3556" s="9"/>
      <c r="O3556" s="9"/>
      <c r="P3556" s="9"/>
      <c r="Q3556" s="9"/>
      <c r="R3556" s="9"/>
      <c r="S3556" s="42"/>
      <c r="T3556" s="42"/>
      <c r="U3556" s="42"/>
      <c r="V3556" s="42"/>
      <c r="W3556" s="42"/>
      <c r="X3556" s="42"/>
      <c r="Y3556" s="42"/>
      <c r="Z3556" s="42"/>
      <c r="AA3556" s="42"/>
      <c r="AB3556" s="42"/>
      <c r="AC3556" s="42"/>
      <c r="AD3556" s="42"/>
      <c r="AE3556" s="42"/>
      <c r="AF3556" s="9"/>
      <c r="AG3556" s="9"/>
      <c r="AH3556" s="42"/>
      <c r="AI3556" s="42"/>
      <c r="AJ3556" s="42"/>
      <c r="AK3556" s="42"/>
      <c r="AL3556" s="42"/>
      <c r="AM3556" s="42"/>
      <c r="AN3556" s="42"/>
      <c r="AO3556" s="63" t="str">
        <f>IFERROR(__xludf.DUMMYFUNCTION("IF(ISBLANK(A3556),,IF(ISBLANK(S3556), A3556&amp;"";"", TEXTJOIN(CHAR(10), TRUE, A3556&amp;"";"", ARRAYFORMULA(VLOOKUP(SPLIT(S3556, "";"" &amp; CHAR(10)), $A:$AO, 41, FALSE)))))"),"")</f>
        <v/>
      </c>
      <c r="AP3556" s="89"/>
    </row>
    <row r="3557">
      <c r="A3557" s="42"/>
      <c r="B3557" s="42"/>
      <c r="C3557" s="42"/>
      <c r="D3557" s="42"/>
      <c r="E3557" s="39"/>
      <c r="F3557" s="9"/>
      <c r="G3557" s="9"/>
      <c r="H3557" s="9"/>
      <c r="I3557" s="9"/>
      <c r="J3557" s="9"/>
      <c r="K3557" s="9"/>
      <c r="L3557" s="9"/>
      <c r="M3557" s="9"/>
      <c r="N3557" s="9"/>
      <c r="O3557" s="9"/>
      <c r="P3557" s="9"/>
      <c r="Q3557" s="9"/>
      <c r="R3557" s="9"/>
      <c r="S3557" s="42"/>
      <c r="T3557" s="42"/>
      <c r="U3557" s="159"/>
      <c r="V3557" s="42"/>
      <c r="W3557" s="42"/>
      <c r="X3557" s="42"/>
      <c r="Y3557" s="42"/>
      <c r="Z3557" s="42"/>
      <c r="AA3557" s="42"/>
      <c r="AB3557" s="42"/>
      <c r="AC3557" s="42"/>
      <c r="AD3557" s="42"/>
      <c r="AE3557" s="42"/>
      <c r="AF3557" s="9"/>
      <c r="AG3557" s="9"/>
      <c r="AH3557" s="42"/>
      <c r="AI3557" s="42"/>
      <c r="AJ3557" s="42"/>
      <c r="AK3557" s="42"/>
      <c r="AL3557" s="42"/>
      <c r="AM3557" s="42"/>
      <c r="AN3557" s="42"/>
      <c r="AO3557" s="63" t="str">
        <f>IFERROR(__xludf.DUMMYFUNCTION("IF(ISBLANK(A3557),,IF(ISBLANK(S3557), A3557&amp;"";"", TEXTJOIN(CHAR(10), TRUE, A3557&amp;"";"", ARRAYFORMULA(VLOOKUP(SPLIT(S3557, "";"" &amp; CHAR(10)), $A:$AO, 41, FALSE)))))"),"")</f>
        <v/>
      </c>
      <c r="AP3557" s="89"/>
    </row>
    <row r="3558">
      <c r="A3558" s="42"/>
      <c r="B3558" s="42"/>
      <c r="C3558" s="42"/>
      <c r="D3558" s="42"/>
      <c r="E3558" s="39"/>
      <c r="F3558" s="9"/>
      <c r="G3558" s="9"/>
      <c r="H3558" s="9"/>
      <c r="I3558" s="9"/>
      <c r="J3558" s="9"/>
      <c r="K3558" s="9"/>
      <c r="L3558" s="9"/>
      <c r="M3558" s="9"/>
      <c r="N3558" s="9"/>
      <c r="O3558" s="9"/>
      <c r="P3558" s="9"/>
      <c r="Q3558" s="9"/>
      <c r="R3558" s="9"/>
      <c r="S3558" s="42"/>
      <c r="T3558" s="42"/>
      <c r="U3558" s="42"/>
      <c r="V3558" s="42"/>
      <c r="W3558" s="42"/>
      <c r="X3558" s="42"/>
      <c r="Y3558" s="42"/>
      <c r="Z3558" s="42"/>
      <c r="AA3558" s="42"/>
      <c r="AB3558" s="42"/>
      <c r="AC3558" s="42"/>
      <c r="AD3558" s="42"/>
      <c r="AE3558" s="42"/>
      <c r="AF3558" s="9"/>
      <c r="AG3558" s="9"/>
      <c r="AH3558" s="42"/>
      <c r="AI3558" s="42"/>
      <c r="AJ3558" s="42"/>
      <c r="AK3558" s="42"/>
      <c r="AL3558" s="42"/>
      <c r="AM3558" s="42"/>
      <c r="AN3558" s="42"/>
      <c r="AO3558" s="63" t="str">
        <f>IFERROR(__xludf.DUMMYFUNCTION("IF(ISBLANK(A3558),,IF(ISBLANK(S3558), A3558&amp;"";"", TEXTJOIN(CHAR(10), TRUE, A3558&amp;"";"", ARRAYFORMULA(VLOOKUP(SPLIT(S3558, "";"" &amp; CHAR(10)), $A:$AO, 41, FALSE)))))"),"")</f>
        <v/>
      </c>
      <c r="AP3558" s="89"/>
    </row>
    <row r="3559">
      <c r="A3559" s="42"/>
      <c r="B3559" s="42"/>
      <c r="C3559" s="42"/>
      <c r="D3559" s="42"/>
      <c r="E3559" s="39"/>
      <c r="F3559" s="9"/>
      <c r="G3559" s="9"/>
      <c r="H3559" s="9"/>
      <c r="I3559" s="9"/>
      <c r="J3559" s="9"/>
      <c r="K3559" s="9"/>
      <c r="L3559" s="9"/>
      <c r="M3559" s="9"/>
      <c r="N3559" s="9"/>
      <c r="O3559" s="9"/>
      <c r="P3559" s="9"/>
      <c r="Q3559" s="9"/>
      <c r="R3559" s="9"/>
      <c r="S3559" s="42"/>
      <c r="T3559" s="42"/>
      <c r="U3559" s="42"/>
      <c r="V3559" s="42"/>
      <c r="W3559" s="42"/>
      <c r="X3559" s="42"/>
      <c r="Y3559" s="42"/>
      <c r="Z3559" s="42"/>
      <c r="AA3559" s="42"/>
      <c r="AB3559" s="42"/>
      <c r="AC3559" s="42"/>
      <c r="AD3559" s="42"/>
      <c r="AE3559" s="42"/>
      <c r="AF3559" s="9"/>
      <c r="AG3559" s="9"/>
      <c r="AH3559" s="42"/>
      <c r="AI3559" s="42"/>
      <c r="AJ3559" s="42"/>
      <c r="AK3559" s="42"/>
      <c r="AL3559" s="42"/>
      <c r="AM3559" s="42"/>
      <c r="AN3559" s="42"/>
      <c r="AO3559" s="63" t="str">
        <f>IFERROR(__xludf.DUMMYFUNCTION("IF(ISBLANK(A3559),,IF(ISBLANK(S3559), A3559&amp;"";"", TEXTJOIN(CHAR(10), TRUE, A3559&amp;"";"", ARRAYFORMULA(VLOOKUP(SPLIT(S3559, "";"" &amp; CHAR(10)), $A:$AO, 41, FALSE)))))"),"")</f>
        <v/>
      </c>
      <c r="AP3559" s="89"/>
    </row>
    <row r="3560">
      <c r="A3560" s="42"/>
      <c r="B3560" s="42"/>
      <c r="C3560" s="42"/>
      <c r="D3560" s="42"/>
      <c r="E3560" s="39"/>
      <c r="F3560" s="9"/>
      <c r="G3560" s="9"/>
      <c r="H3560" s="9"/>
      <c r="I3560" s="9"/>
      <c r="J3560" s="9"/>
      <c r="K3560" s="9"/>
      <c r="L3560" s="9"/>
      <c r="M3560" s="9"/>
      <c r="N3560" s="9"/>
      <c r="O3560" s="9"/>
      <c r="P3560" s="9"/>
      <c r="Q3560" s="9"/>
      <c r="R3560" s="9"/>
      <c r="S3560" s="42"/>
      <c r="T3560" s="42"/>
      <c r="U3560" s="42"/>
      <c r="V3560" s="42"/>
      <c r="W3560" s="42"/>
      <c r="X3560" s="42"/>
      <c r="Y3560" s="42"/>
      <c r="Z3560" s="42"/>
      <c r="AA3560" s="42"/>
      <c r="AB3560" s="42"/>
      <c r="AC3560" s="42"/>
      <c r="AD3560" s="42"/>
      <c r="AE3560" s="42"/>
      <c r="AF3560" s="9"/>
      <c r="AG3560" s="9"/>
      <c r="AH3560" s="42"/>
      <c r="AI3560" s="42"/>
      <c r="AJ3560" s="42"/>
      <c r="AK3560" s="42"/>
      <c r="AL3560" s="42"/>
      <c r="AM3560" s="42"/>
      <c r="AN3560" s="42"/>
      <c r="AO3560" s="63" t="str">
        <f>IFERROR(__xludf.DUMMYFUNCTION("IF(ISBLANK(A3560),,IF(ISBLANK(S3560), A3560&amp;"";"", TEXTJOIN(CHAR(10), TRUE, A3560&amp;"";"", ARRAYFORMULA(VLOOKUP(SPLIT(S3560, "";"" &amp; CHAR(10)), $A:$AO, 41, FALSE)))))"),"")</f>
        <v/>
      </c>
      <c r="AP3560" s="89"/>
    </row>
    <row r="3561">
      <c r="A3561" s="42"/>
      <c r="B3561" s="42"/>
      <c r="C3561" s="42"/>
      <c r="D3561" s="42"/>
      <c r="E3561" s="39"/>
      <c r="F3561" s="9"/>
      <c r="G3561" s="9"/>
      <c r="H3561" s="9"/>
      <c r="I3561" s="9"/>
      <c r="J3561" s="9"/>
      <c r="K3561" s="9"/>
      <c r="L3561" s="9"/>
      <c r="M3561" s="9"/>
      <c r="N3561" s="9"/>
      <c r="O3561" s="9"/>
      <c r="P3561" s="9"/>
      <c r="Q3561" s="9"/>
      <c r="R3561" s="9"/>
      <c r="S3561" s="42"/>
      <c r="T3561" s="42"/>
      <c r="U3561" s="42"/>
      <c r="V3561" s="42"/>
      <c r="W3561" s="42"/>
      <c r="X3561" s="42"/>
      <c r="Y3561" s="42"/>
      <c r="Z3561" s="42"/>
      <c r="AA3561" s="42"/>
      <c r="AB3561" s="42"/>
      <c r="AC3561" s="42"/>
      <c r="AD3561" s="42"/>
      <c r="AE3561" s="42"/>
      <c r="AF3561" s="9"/>
      <c r="AG3561" s="9"/>
      <c r="AH3561" s="42"/>
      <c r="AI3561" s="42"/>
      <c r="AJ3561" s="42"/>
      <c r="AK3561" s="42"/>
      <c r="AL3561" s="42"/>
      <c r="AM3561" s="42"/>
      <c r="AN3561" s="42"/>
      <c r="AO3561" s="63" t="str">
        <f>IFERROR(__xludf.DUMMYFUNCTION("IF(ISBLANK(A3561),,IF(ISBLANK(S3561), A3561&amp;"";"", TEXTJOIN(CHAR(10), TRUE, A3561&amp;"";"", ARRAYFORMULA(VLOOKUP(SPLIT(S3561, "";"" &amp; CHAR(10)), $A:$AO, 41, FALSE)))))"),"")</f>
        <v/>
      </c>
      <c r="AP3561" s="89"/>
    </row>
    <row r="3562">
      <c r="A3562" s="42"/>
      <c r="B3562" s="42"/>
      <c r="C3562" s="42"/>
      <c r="D3562" s="42"/>
      <c r="E3562" s="39"/>
      <c r="F3562" s="9"/>
      <c r="G3562" s="9"/>
      <c r="H3562" s="9"/>
      <c r="I3562" s="9"/>
      <c r="J3562" s="9"/>
      <c r="K3562" s="9"/>
      <c r="L3562" s="9"/>
      <c r="M3562" s="9"/>
      <c r="N3562" s="9"/>
      <c r="O3562" s="9"/>
      <c r="P3562" s="9"/>
      <c r="Q3562" s="9"/>
      <c r="R3562" s="9"/>
      <c r="S3562" s="42"/>
      <c r="T3562" s="42"/>
      <c r="U3562" s="42"/>
      <c r="V3562" s="42"/>
      <c r="W3562" s="42"/>
      <c r="X3562" s="42"/>
      <c r="Y3562" s="42"/>
      <c r="Z3562" s="42"/>
      <c r="AA3562" s="42"/>
      <c r="AB3562" s="42"/>
      <c r="AC3562" s="42"/>
      <c r="AD3562" s="42"/>
      <c r="AE3562" s="42"/>
      <c r="AF3562" s="9"/>
      <c r="AG3562" s="9"/>
      <c r="AH3562" s="42"/>
      <c r="AI3562" s="42"/>
      <c r="AJ3562" s="42"/>
      <c r="AK3562" s="42"/>
      <c r="AL3562" s="42"/>
      <c r="AM3562" s="42"/>
      <c r="AN3562" s="42"/>
      <c r="AO3562" s="63" t="str">
        <f>IFERROR(__xludf.DUMMYFUNCTION("IF(ISBLANK(A3562),,IF(ISBLANK(S3562), A3562&amp;"";"", TEXTJOIN(CHAR(10), TRUE, A3562&amp;"";"", ARRAYFORMULA(VLOOKUP(SPLIT(S3562, "";"" &amp; CHAR(10)), $A:$AO, 41, FALSE)))))"),"")</f>
        <v/>
      </c>
      <c r="AP3562" s="89"/>
    </row>
    <row r="3563">
      <c r="A3563" s="42"/>
      <c r="B3563" s="42"/>
      <c r="C3563" s="42"/>
      <c r="D3563" s="42"/>
      <c r="E3563" s="39"/>
      <c r="F3563" s="9"/>
      <c r="G3563" s="9"/>
      <c r="H3563" s="9"/>
      <c r="I3563" s="9"/>
      <c r="J3563" s="9"/>
      <c r="K3563" s="9"/>
      <c r="L3563" s="9"/>
      <c r="M3563" s="9"/>
      <c r="N3563" s="9"/>
      <c r="O3563" s="9"/>
      <c r="P3563" s="9"/>
      <c r="Q3563" s="9"/>
      <c r="R3563" s="9"/>
      <c r="S3563" s="42"/>
      <c r="T3563" s="42"/>
      <c r="U3563" s="42"/>
      <c r="V3563" s="42"/>
      <c r="W3563" s="42"/>
      <c r="X3563" s="42"/>
      <c r="Y3563" s="42"/>
      <c r="Z3563" s="42"/>
      <c r="AA3563" s="42"/>
      <c r="AB3563" s="42"/>
      <c r="AC3563" s="42"/>
      <c r="AD3563" s="42"/>
      <c r="AE3563" s="42"/>
      <c r="AF3563" s="9"/>
      <c r="AG3563" s="9"/>
      <c r="AH3563" s="42"/>
      <c r="AI3563" s="42"/>
      <c r="AJ3563" s="42"/>
      <c r="AK3563" s="42"/>
      <c r="AL3563" s="42"/>
      <c r="AM3563" s="42"/>
      <c r="AN3563" s="42"/>
      <c r="AO3563" s="63" t="str">
        <f>IFERROR(__xludf.DUMMYFUNCTION("IF(ISBLANK(A3563),,IF(ISBLANK(S3563), A3563&amp;"";"", TEXTJOIN(CHAR(10), TRUE, A3563&amp;"";"", ARRAYFORMULA(VLOOKUP(SPLIT(S3563, "";"" &amp; CHAR(10)), $A:$AO, 41, FALSE)))))"),"")</f>
        <v/>
      </c>
      <c r="AP3563" s="89"/>
    </row>
    <row r="3564">
      <c r="A3564" s="42"/>
      <c r="B3564" s="42"/>
      <c r="C3564" s="42"/>
      <c r="D3564" s="42"/>
      <c r="E3564" s="39"/>
      <c r="F3564" s="9"/>
      <c r="G3564" s="9"/>
      <c r="H3564" s="9"/>
      <c r="I3564" s="9"/>
      <c r="J3564" s="9"/>
      <c r="K3564" s="9"/>
      <c r="L3564" s="9"/>
      <c r="M3564" s="9"/>
      <c r="N3564" s="9"/>
      <c r="O3564" s="9"/>
      <c r="P3564" s="9"/>
      <c r="Q3564" s="9"/>
      <c r="R3564" s="9"/>
      <c r="S3564" s="42"/>
      <c r="T3564" s="42"/>
      <c r="U3564" s="42"/>
      <c r="V3564" s="42"/>
      <c r="W3564" s="42"/>
      <c r="X3564" s="42"/>
      <c r="Y3564" s="42"/>
      <c r="Z3564" s="42"/>
      <c r="AA3564" s="42"/>
      <c r="AB3564" s="42"/>
      <c r="AC3564" s="42"/>
      <c r="AD3564" s="42"/>
      <c r="AE3564" s="42"/>
      <c r="AF3564" s="9"/>
      <c r="AG3564" s="9"/>
      <c r="AH3564" s="42"/>
      <c r="AI3564" s="42"/>
      <c r="AJ3564" s="42"/>
      <c r="AK3564" s="42"/>
      <c r="AL3564" s="42"/>
      <c r="AM3564" s="42"/>
      <c r="AN3564" s="42"/>
      <c r="AO3564" s="63" t="str">
        <f>IFERROR(__xludf.DUMMYFUNCTION("IF(ISBLANK(A3564),,IF(ISBLANK(S3564), A3564&amp;"";"", TEXTJOIN(CHAR(10), TRUE, A3564&amp;"";"", ARRAYFORMULA(VLOOKUP(SPLIT(S3564, "";"" &amp; CHAR(10)), $A:$AO, 41, FALSE)))))"),"")</f>
        <v/>
      </c>
      <c r="AP3564" s="89"/>
    </row>
    <row r="3565">
      <c r="A3565" s="42"/>
      <c r="B3565" s="42"/>
      <c r="C3565" s="42"/>
      <c r="D3565" s="42"/>
      <c r="E3565" s="39"/>
      <c r="F3565" s="9"/>
      <c r="G3565" s="9"/>
      <c r="H3565" s="9"/>
      <c r="I3565" s="9"/>
      <c r="J3565" s="9"/>
      <c r="K3565" s="9"/>
      <c r="L3565" s="9"/>
      <c r="M3565" s="9"/>
      <c r="N3565" s="9"/>
      <c r="O3565" s="9"/>
      <c r="P3565" s="9"/>
      <c r="Q3565" s="9"/>
      <c r="R3565" s="9"/>
      <c r="S3565" s="42"/>
      <c r="T3565" s="42"/>
      <c r="U3565" s="42"/>
      <c r="V3565" s="42"/>
      <c r="W3565" s="42"/>
      <c r="X3565" s="42"/>
      <c r="Y3565" s="42"/>
      <c r="Z3565" s="42"/>
      <c r="AA3565" s="42"/>
      <c r="AB3565" s="42"/>
      <c r="AC3565" s="42"/>
      <c r="AD3565" s="42"/>
      <c r="AE3565" s="42"/>
      <c r="AF3565" s="9"/>
      <c r="AG3565" s="9"/>
      <c r="AH3565" s="42"/>
      <c r="AI3565" s="42"/>
      <c r="AJ3565" s="42"/>
      <c r="AK3565" s="42"/>
      <c r="AL3565" s="42"/>
      <c r="AM3565" s="42"/>
      <c r="AN3565" s="42"/>
      <c r="AO3565" s="63" t="str">
        <f>IFERROR(__xludf.DUMMYFUNCTION("IF(ISBLANK(A3565),,IF(ISBLANK(S3565), A3565&amp;"";"", TEXTJOIN(CHAR(10), TRUE, A3565&amp;"";"", ARRAYFORMULA(VLOOKUP(SPLIT(S3565, "";"" &amp; CHAR(10)), $A:$AO, 41, FALSE)))))"),"")</f>
        <v/>
      </c>
      <c r="AP3565" s="89"/>
    </row>
    <row r="3566">
      <c r="A3566" s="42"/>
      <c r="B3566" s="42"/>
      <c r="C3566" s="42"/>
      <c r="D3566" s="42"/>
      <c r="E3566" s="39"/>
      <c r="F3566" s="9"/>
      <c r="G3566" s="9"/>
      <c r="H3566" s="9"/>
      <c r="I3566" s="9"/>
      <c r="J3566" s="9"/>
      <c r="K3566" s="9"/>
      <c r="L3566" s="9"/>
      <c r="M3566" s="9"/>
      <c r="N3566" s="9"/>
      <c r="O3566" s="9"/>
      <c r="P3566" s="9"/>
      <c r="Q3566" s="9"/>
      <c r="R3566" s="9"/>
      <c r="S3566" s="42"/>
      <c r="T3566" s="42"/>
      <c r="U3566" s="42"/>
      <c r="V3566" s="42"/>
      <c r="W3566" s="42"/>
      <c r="X3566" s="42"/>
      <c r="Y3566" s="42"/>
      <c r="Z3566" s="42"/>
      <c r="AA3566" s="42"/>
      <c r="AB3566" s="42"/>
      <c r="AC3566" s="42"/>
      <c r="AD3566" s="42"/>
      <c r="AE3566" s="42"/>
      <c r="AF3566" s="9"/>
      <c r="AG3566" s="9"/>
      <c r="AH3566" s="42"/>
      <c r="AI3566" s="42"/>
      <c r="AJ3566" s="42"/>
      <c r="AK3566" s="42"/>
      <c r="AL3566" s="42"/>
      <c r="AM3566" s="42"/>
      <c r="AN3566" s="42"/>
      <c r="AO3566" s="63" t="str">
        <f>IFERROR(__xludf.DUMMYFUNCTION("IF(ISBLANK(A3566),,IF(ISBLANK(S3566), A3566&amp;"";"", TEXTJOIN(CHAR(10), TRUE, A3566&amp;"";"", ARRAYFORMULA(VLOOKUP(SPLIT(S3566, "";"" &amp; CHAR(10)), $A:$AO, 41, FALSE)))))"),"")</f>
        <v/>
      </c>
      <c r="AP3566" s="89"/>
    </row>
    <row r="3567">
      <c r="A3567" s="42"/>
      <c r="B3567" s="42"/>
      <c r="C3567" s="42"/>
      <c r="D3567" s="42"/>
      <c r="E3567" s="39"/>
      <c r="F3567" s="9"/>
      <c r="G3567" s="9"/>
      <c r="H3567" s="9"/>
      <c r="I3567" s="9"/>
      <c r="J3567" s="9"/>
      <c r="K3567" s="9"/>
      <c r="L3567" s="9"/>
      <c r="M3567" s="9"/>
      <c r="N3567" s="9"/>
      <c r="O3567" s="9"/>
      <c r="P3567" s="9"/>
      <c r="Q3567" s="9"/>
      <c r="R3567" s="9"/>
      <c r="S3567" s="42"/>
      <c r="T3567" s="42"/>
      <c r="U3567" s="42"/>
      <c r="V3567" s="42"/>
      <c r="W3567" s="42"/>
      <c r="X3567" s="42"/>
      <c r="Y3567" s="42"/>
      <c r="Z3567" s="42"/>
      <c r="AA3567" s="42"/>
      <c r="AB3567" s="42"/>
      <c r="AC3567" s="42"/>
      <c r="AD3567" s="42"/>
      <c r="AE3567" s="42"/>
      <c r="AF3567" s="9"/>
      <c r="AG3567" s="9"/>
      <c r="AH3567" s="42"/>
      <c r="AI3567" s="42"/>
      <c r="AJ3567" s="42"/>
      <c r="AK3567" s="42"/>
      <c r="AL3567" s="42"/>
      <c r="AM3567" s="42"/>
      <c r="AN3567" s="42"/>
      <c r="AO3567" s="63" t="str">
        <f>IFERROR(__xludf.DUMMYFUNCTION("IF(ISBLANK(A3567),,IF(ISBLANK(S3567), A3567&amp;"";"", TEXTJOIN(CHAR(10), TRUE, A3567&amp;"";"", ARRAYFORMULA(VLOOKUP(SPLIT(S3567, "";"" &amp; CHAR(10)), $A:$AO, 41, FALSE)))))"),"")</f>
        <v/>
      </c>
      <c r="AP3567" s="89"/>
    </row>
    <row r="3568">
      <c r="A3568" s="42"/>
      <c r="B3568" s="42"/>
      <c r="C3568" s="42"/>
      <c r="D3568" s="42"/>
      <c r="E3568" s="39"/>
      <c r="F3568" s="9"/>
      <c r="G3568" s="9"/>
      <c r="H3568" s="9"/>
      <c r="I3568" s="9"/>
      <c r="J3568" s="9"/>
      <c r="K3568" s="9"/>
      <c r="L3568" s="9"/>
      <c r="M3568" s="9"/>
      <c r="N3568" s="9"/>
      <c r="O3568" s="9"/>
      <c r="P3568" s="9"/>
      <c r="Q3568" s="9"/>
      <c r="R3568" s="9"/>
      <c r="S3568" s="42"/>
      <c r="T3568" s="42"/>
      <c r="U3568" s="42"/>
      <c r="V3568" s="42"/>
      <c r="W3568" s="42"/>
      <c r="X3568" s="42"/>
      <c r="Y3568" s="42"/>
      <c r="Z3568" s="42"/>
      <c r="AA3568" s="42"/>
      <c r="AB3568" s="42"/>
      <c r="AC3568" s="42"/>
      <c r="AD3568" s="42"/>
      <c r="AE3568" s="42"/>
      <c r="AF3568" s="9"/>
      <c r="AG3568" s="9"/>
      <c r="AH3568" s="42"/>
      <c r="AI3568" s="42"/>
      <c r="AJ3568" s="42"/>
      <c r="AK3568" s="42"/>
      <c r="AL3568" s="42"/>
      <c r="AM3568" s="42"/>
      <c r="AN3568" s="42"/>
      <c r="AO3568" s="63" t="str">
        <f>IFERROR(__xludf.DUMMYFUNCTION("IF(ISBLANK(A3568),,IF(ISBLANK(S3568), A3568&amp;"";"", TEXTJOIN(CHAR(10), TRUE, A3568&amp;"";"", ARRAYFORMULA(VLOOKUP(SPLIT(S3568, "";"" &amp; CHAR(10)), $A:$AO, 41, FALSE)))))"),"")</f>
        <v/>
      </c>
      <c r="AP3568" s="89"/>
    </row>
    <row r="3569">
      <c r="A3569" s="42"/>
      <c r="B3569" s="42"/>
      <c r="C3569" s="42"/>
      <c r="D3569" s="42"/>
      <c r="E3569" s="39"/>
      <c r="F3569" s="9"/>
      <c r="G3569" s="9"/>
      <c r="H3569" s="9"/>
      <c r="I3569" s="9"/>
      <c r="J3569" s="9"/>
      <c r="K3569" s="9"/>
      <c r="L3569" s="9"/>
      <c r="M3569" s="9"/>
      <c r="N3569" s="9"/>
      <c r="O3569" s="9"/>
      <c r="P3569" s="9"/>
      <c r="Q3569" s="9"/>
      <c r="R3569" s="9"/>
      <c r="S3569" s="42"/>
      <c r="T3569" s="42"/>
      <c r="U3569" s="42"/>
      <c r="V3569" s="42"/>
      <c r="W3569" s="42"/>
      <c r="X3569" s="42"/>
      <c r="Y3569" s="42"/>
      <c r="Z3569" s="42"/>
      <c r="AA3569" s="42"/>
      <c r="AB3569" s="42"/>
      <c r="AC3569" s="42"/>
      <c r="AD3569" s="42"/>
      <c r="AE3569" s="42"/>
      <c r="AF3569" s="9"/>
      <c r="AG3569" s="9"/>
      <c r="AH3569" s="42"/>
      <c r="AI3569" s="42"/>
      <c r="AJ3569" s="42"/>
      <c r="AK3569" s="42"/>
      <c r="AL3569" s="42"/>
      <c r="AM3569" s="42"/>
      <c r="AN3569" s="42"/>
      <c r="AO3569" s="63" t="str">
        <f>IFERROR(__xludf.DUMMYFUNCTION("IF(ISBLANK(A3569),,IF(ISBLANK(S3569), A3569&amp;"";"", TEXTJOIN(CHAR(10), TRUE, A3569&amp;"";"", ARRAYFORMULA(VLOOKUP(SPLIT(S3569, "";"" &amp; CHAR(10)), $A:$AO, 41, FALSE)))))"),"")</f>
        <v/>
      </c>
      <c r="AP3569" s="89"/>
    </row>
    <row r="3570">
      <c r="A3570" s="42"/>
      <c r="B3570" s="42"/>
      <c r="C3570" s="42"/>
      <c r="D3570" s="42"/>
      <c r="E3570" s="39"/>
      <c r="F3570" s="9"/>
      <c r="G3570" s="9"/>
      <c r="H3570" s="9"/>
      <c r="I3570" s="9"/>
      <c r="J3570" s="9"/>
      <c r="K3570" s="9"/>
      <c r="L3570" s="9"/>
      <c r="M3570" s="9"/>
      <c r="N3570" s="9"/>
      <c r="O3570" s="9"/>
      <c r="P3570" s="9"/>
      <c r="Q3570" s="9"/>
      <c r="R3570" s="9"/>
      <c r="S3570" s="42"/>
      <c r="T3570" s="42"/>
      <c r="U3570" s="42"/>
      <c r="V3570" s="42"/>
      <c r="W3570" s="42"/>
      <c r="X3570" s="42"/>
      <c r="Y3570" s="42"/>
      <c r="Z3570" s="42"/>
      <c r="AA3570" s="42"/>
      <c r="AB3570" s="42"/>
      <c r="AC3570" s="42"/>
      <c r="AD3570" s="42"/>
      <c r="AE3570" s="42"/>
      <c r="AF3570" s="9"/>
      <c r="AG3570" s="9"/>
      <c r="AH3570" s="42"/>
      <c r="AI3570" s="42"/>
      <c r="AJ3570" s="42"/>
      <c r="AK3570" s="42"/>
      <c r="AL3570" s="42"/>
      <c r="AM3570" s="42"/>
      <c r="AN3570" s="42"/>
      <c r="AO3570" s="63" t="str">
        <f>IFERROR(__xludf.DUMMYFUNCTION("IF(ISBLANK(A3570),,IF(ISBLANK(S3570), A3570&amp;"";"", TEXTJOIN(CHAR(10), TRUE, A3570&amp;"";"", ARRAYFORMULA(VLOOKUP(SPLIT(S3570, "";"" &amp; CHAR(10)), $A:$AO, 41, FALSE)))))"),"")</f>
        <v/>
      </c>
      <c r="AP3570" s="89"/>
    </row>
    <row r="3571">
      <c r="A3571" s="42"/>
      <c r="B3571" s="42"/>
      <c r="C3571" s="42"/>
      <c r="D3571" s="42"/>
      <c r="E3571" s="39"/>
      <c r="F3571" s="9"/>
      <c r="G3571" s="9"/>
      <c r="H3571" s="9"/>
      <c r="I3571" s="9"/>
      <c r="J3571" s="9"/>
      <c r="K3571" s="9"/>
      <c r="L3571" s="9"/>
      <c r="M3571" s="9"/>
      <c r="N3571" s="9"/>
      <c r="O3571" s="9"/>
      <c r="P3571" s="9"/>
      <c r="Q3571" s="9"/>
      <c r="R3571" s="9"/>
      <c r="S3571" s="42"/>
      <c r="T3571" s="42"/>
      <c r="U3571" s="42"/>
      <c r="V3571" s="42"/>
      <c r="W3571" s="42"/>
      <c r="X3571" s="42"/>
      <c r="Y3571" s="42"/>
      <c r="Z3571" s="42"/>
      <c r="AA3571" s="42"/>
      <c r="AB3571" s="42"/>
      <c r="AC3571" s="42"/>
      <c r="AD3571" s="42"/>
      <c r="AE3571" s="42"/>
      <c r="AF3571" s="9"/>
      <c r="AG3571" s="9"/>
      <c r="AH3571" s="42"/>
      <c r="AI3571" s="42"/>
      <c r="AJ3571" s="42"/>
      <c r="AK3571" s="42"/>
      <c r="AL3571" s="42"/>
      <c r="AM3571" s="42"/>
      <c r="AN3571" s="42"/>
      <c r="AO3571" s="63" t="str">
        <f>IFERROR(__xludf.DUMMYFUNCTION("IF(ISBLANK(A3571),,IF(ISBLANK(S3571), A3571&amp;"";"", TEXTJOIN(CHAR(10), TRUE, A3571&amp;"";"", ARRAYFORMULA(VLOOKUP(SPLIT(S3571, "";"" &amp; CHAR(10)), $A:$AO, 41, FALSE)))))"),"")</f>
        <v/>
      </c>
      <c r="AP3571" s="89"/>
    </row>
    <row r="3572">
      <c r="A3572" s="42"/>
      <c r="B3572" s="42"/>
      <c r="C3572" s="42"/>
      <c r="D3572" s="42"/>
      <c r="E3572" s="39"/>
      <c r="F3572" s="9"/>
      <c r="G3572" s="9"/>
      <c r="H3572" s="9"/>
      <c r="I3572" s="9"/>
      <c r="J3572" s="9"/>
      <c r="K3572" s="9"/>
      <c r="L3572" s="9"/>
      <c r="M3572" s="9"/>
      <c r="N3572" s="9"/>
      <c r="O3572" s="9"/>
      <c r="P3572" s="9"/>
      <c r="Q3572" s="9"/>
      <c r="R3572" s="9"/>
      <c r="S3572" s="42"/>
      <c r="T3572" s="42"/>
      <c r="U3572" s="42"/>
      <c r="V3572" s="42"/>
      <c r="W3572" s="42"/>
      <c r="X3572" s="42"/>
      <c r="Y3572" s="42"/>
      <c r="Z3572" s="42"/>
      <c r="AA3572" s="42"/>
      <c r="AB3572" s="42"/>
      <c r="AC3572" s="42"/>
      <c r="AD3572" s="42"/>
      <c r="AE3572" s="42"/>
      <c r="AF3572" s="9"/>
      <c r="AG3572" s="9"/>
      <c r="AH3572" s="42"/>
      <c r="AI3572" s="42"/>
      <c r="AJ3572" s="42"/>
      <c r="AK3572" s="42"/>
      <c r="AL3572" s="42"/>
      <c r="AM3572" s="42"/>
      <c r="AN3572" s="42"/>
      <c r="AO3572" s="63" t="str">
        <f>IFERROR(__xludf.DUMMYFUNCTION("IF(ISBLANK(A3572),,IF(ISBLANK(S3572), A3572&amp;"";"", TEXTJOIN(CHAR(10), TRUE, A3572&amp;"";"", ARRAYFORMULA(VLOOKUP(SPLIT(S3572, "";"" &amp; CHAR(10)), $A:$AO, 41, FALSE)))))"),"")</f>
        <v/>
      </c>
      <c r="AP3572" s="89"/>
    </row>
    <row r="3573">
      <c r="A3573" s="42"/>
      <c r="B3573" s="42"/>
      <c r="C3573" s="42"/>
      <c r="D3573" s="42"/>
      <c r="E3573" s="39"/>
      <c r="F3573" s="9"/>
      <c r="G3573" s="9"/>
      <c r="H3573" s="9"/>
      <c r="I3573" s="9"/>
      <c r="J3573" s="9"/>
      <c r="K3573" s="9"/>
      <c r="L3573" s="9"/>
      <c r="M3573" s="9"/>
      <c r="N3573" s="9"/>
      <c r="O3573" s="9"/>
      <c r="P3573" s="9"/>
      <c r="Q3573" s="9"/>
      <c r="R3573" s="9"/>
      <c r="S3573" s="42"/>
      <c r="T3573" s="42"/>
      <c r="U3573" s="42"/>
      <c r="V3573" s="42"/>
      <c r="W3573" s="42"/>
      <c r="X3573" s="42"/>
      <c r="Y3573" s="42"/>
      <c r="Z3573" s="42"/>
      <c r="AA3573" s="42"/>
      <c r="AB3573" s="42"/>
      <c r="AC3573" s="42"/>
      <c r="AD3573" s="42"/>
      <c r="AE3573" s="42"/>
      <c r="AF3573" s="9"/>
      <c r="AG3573" s="9"/>
      <c r="AH3573" s="42"/>
      <c r="AI3573" s="42"/>
      <c r="AJ3573" s="42"/>
      <c r="AK3573" s="42"/>
      <c r="AL3573" s="42"/>
      <c r="AM3573" s="42"/>
      <c r="AN3573" s="42"/>
      <c r="AO3573" s="63" t="str">
        <f>IFERROR(__xludf.DUMMYFUNCTION("IF(ISBLANK(A3573),,IF(ISBLANK(S3573), A3573&amp;"";"", TEXTJOIN(CHAR(10), TRUE, A3573&amp;"";"", ARRAYFORMULA(VLOOKUP(SPLIT(S3573, "";"" &amp; CHAR(10)), $A:$AO, 41, FALSE)))))"),"")</f>
        <v/>
      </c>
      <c r="AP3573" s="89"/>
    </row>
    <row r="3574">
      <c r="A3574" s="42"/>
      <c r="B3574" s="42"/>
      <c r="C3574" s="42"/>
      <c r="D3574" s="42"/>
      <c r="E3574" s="39"/>
      <c r="F3574" s="9"/>
      <c r="G3574" s="9"/>
      <c r="H3574" s="9"/>
      <c r="I3574" s="9"/>
      <c r="J3574" s="9"/>
      <c r="K3574" s="9"/>
      <c r="L3574" s="9"/>
      <c r="M3574" s="9"/>
      <c r="N3574" s="9"/>
      <c r="O3574" s="9"/>
      <c r="P3574" s="9"/>
      <c r="Q3574" s="9"/>
      <c r="R3574" s="9"/>
      <c r="S3574" s="42"/>
      <c r="T3574" s="42"/>
      <c r="U3574" s="42"/>
      <c r="V3574" s="42"/>
      <c r="W3574" s="42"/>
      <c r="X3574" s="42"/>
      <c r="Y3574" s="42"/>
      <c r="Z3574" s="42"/>
      <c r="AA3574" s="42"/>
      <c r="AB3574" s="42"/>
      <c r="AC3574" s="42"/>
      <c r="AD3574" s="42"/>
      <c r="AE3574" s="42"/>
      <c r="AF3574" s="9"/>
      <c r="AG3574" s="9"/>
      <c r="AH3574" s="42"/>
      <c r="AI3574" s="42"/>
      <c r="AJ3574" s="42"/>
      <c r="AK3574" s="42"/>
      <c r="AL3574" s="42"/>
      <c r="AM3574" s="42"/>
      <c r="AN3574" s="42"/>
      <c r="AO3574" s="63" t="str">
        <f>IFERROR(__xludf.DUMMYFUNCTION("IF(ISBLANK(A3574),,IF(ISBLANK(S3574), A3574&amp;"";"", TEXTJOIN(CHAR(10), TRUE, A3574&amp;"";"", ARRAYFORMULA(VLOOKUP(SPLIT(S3574, "";"" &amp; CHAR(10)), $A:$AO, 41, FALSE)))))"),"")</f>
        <v/>
      </c>
      <c r="AP3574" s="89"/>
    </row>
    <row r="3575">
      <c r="A3575" s="42"/>
      <c r="B3575" s="42"/>
      <c r="C3575" s="42"/>
      <c r="D3575" s="42"/>
      <c r="E3575" s="39"/>
      <c r="F3575" s="9"/>
      <c r="G3575" s="9"/>
      <c r="H3575" s="9"/>
      <c r="I3575" s="9"/>
      <c r="J3575" s="9"/>
      <c r="K3575" s="9"/>
      <c r="L3575" s="9"/>
      <c r="M3575" s="9"/>
      <c r="N3575" s="9"/>
      <c r="O3575" s="9"/>
      <c r="P3575" s="9"/>
      <c r="Q3575" s="9"/>
      <c r="R3575" s="9"/>
      <c r="S3575" s="42"/>
      <c r="T3575" s="42"/>
      <c r="U3575" s="42"/>
      <c r="V3575" s="42"/>
      <c r="W3575" s="42"/>
      <c r="X3575" s="42"/>
      <c r="Y3575" s="42"/>
      <c r="Z3575" s="42"/>
      <c r="AA3575" s="42"/>
      <c r="AB3575" s="42"/>
      <c r="AC3575" s="42"/>
      <c r="AD3575" s="42"/>
      <c r="AE3575" s="42"/>
      <c r="AF3575" s="9"/>
      <c r="AG3575" s="9"/>
      <c r="AH3575" s="42"/>
      <c r="AI3575" s="42"/>
      <c r="AJ3575" s="42"/>
      <c r="AK3575" s="42"/>
      <c r="AL3575" s="42"/>
      <c r="AM3575" s="42"/>
      <c r="AN3575" s="42"/>
      <c r="AO3575" s="63" t="str">
        <f>IFERROR(__xludf.DUMMYFUNCTION("IF(ISBLANK(A3575),,IF(ISBLANK(S3575), A3575&amp;"";"", TEXTJOIN(CHAR(10), TRUE, A3575&amp;"";"", ARRAYFORMULA(VLOOKUP(SPLIT(S3575, "";"" &amp; CHAR(10)), $A:$AO, 41, FALSE)))))"),"")</f>
        <v/>
      </c>
      <c r="AP3575" s="89"/>
    </row>
    <row r="3576">
      <c r="A3576" s="42"/>
      <c r="B3576" s="42"/>
      <c r="C3576" s="42"/>
      <c r="D3576" s="42"/>
      <c r="E3576" s="39"/>
      <c r="F3576" s="9"/>
      <c r="G3576" s="9"/>
      <c r="H3576" s="9"/>
      <c r="I3576" s="9"/>
      <c r="J3576" s="9"/>
      <c r="K3576" s="9"/>
      <c r="L3576" s="9"/>
      <c r="M3576" s="9"/>
      <c r="N3576" s="9"/>
      <c r="O3576" s="9"/>
      <c r="P3576" s="9"/>
      <c r="Q3576" s="9"/>
      <c r="R3576" s="9"/>
      <c r="S3576" s="42"/>
      <c r="T3576" s="42"/>
      <c r="U3576" s="42"/>
      <c r="V3576" s="42"/>
      <c r="W3576" s="42"/>
      <c r="X3576" s="42"/>
      <c r="Y3576" s="42"/>
      <c r="Z3576" s="42"/>
      <c r="AA3576" s="42"/>
      <c r="AB3576" s="42"/>
      <c r="AC3576" s="42"/>
      <c r="AD3576" s="42"/>
      <c r="AE3576" s="42"/>
      <c r="AF3576" s="9"/>
      <c r="AG3576" s="9"/>
      <c r="AH3576" s="42"/>
      <c r="AI3576" s="42"/>
      <c r="AJ3576" s="42"/>
      <c r="AK3576" s="42"/>
      <c r="AL3576" s="42"/>
      <c r="AM3576" s="42"/>
      <c r="AN3576" s="42"/>
      <c r="AO3576" s="63" t="str">
        <f>IFERROR(__xludf.DUMMYFUNCTION("IF(ISBLANK(A3576),,IF(ISBLANK(S3576), A3576&amp;"";"", TEXTJOIN(CHAR(10), TRUE, A3576&amp;"";"", ARRAYFORMULA(VLOOKUP(SPLIT(S3576, "";"" &amp; CHAR(10)), $A:$AO, 41, FALSE)))))"),"")</f>
        <v/>
      </c>
      <c r="AP3576" s="89"/>
    </row>
    <row r="3577">
      <c r="A3577" s="42"/>
      <c r="B3577" s="42"/>
      <c r="C3577" s="42"/>
      <c r="D3577" s="42"/>
      <c r="E3577" s="39"/>
      <c r="F3577" s="9"/>
      <c r="G3577" s="9"/>
      <c r="H3577" s="9"/>
      <c r="I3577" s="9"/>
      <c r="J3577" s="9"/>
      <c r="K3577" s="9"/>
      <c r="L3577" s="9"/>
      <c r="M3577" s="9"/>
      <c r="N3577" s="9"/>
      <c r="O3577" s="9"/>
      <c r="P3577" s="9"/>
      <c r="Q3577" s="9"/>
      <c r="R3577" s="9"/>
      <c r="S3577" s="42"/>
      <c r="T3577" s="42"/>
      <c r="U3577" s="42"/>
      <c r="V3577" s="42"/>
      <c r="W3577" s="42"/>
      <c r="X3577" s="42"/>
      <c r="Y3577" s="42"/>
      <c r="Z3577" s="42"/>
      <c r="AA3577" s="42"/>
      <c r="AB3577" s="42"/>
      <c r="AC3577" s="42"/>
      <c r="AD3577" s="42"/>
      <c r="AE3577" s="42"/>
      <c r="AF3577" s="9"/>
      <c r="AG3577" s="9"/>
      <c r="AH3577" s="42"/>
      <c r="AI3577" s="42"/>
      <c r="AJ3577" s="42"/>
      <c r="AK3577" s="42"/>
      <c r="AL3577" s="42"/>
      <c r="AM3577" s="42"/>
      <c r="AN3577" s="42"/>
      <c r="AO3577" s="63" t="str">
        <f>IFERROR(__xludf.DUMMYFUNCTION("IF(ISBLANK(A3577),,IF(ISBLANK(S3577), A3577&amp;"";"", TEXTJOIN(CHAR(10), TRUE, A3577&amp;"";"", ARRAYFORMULA(VLOOKUP(SPLIT(S3577, "";"" &amp; CHAR(10)), $A:$AO, 41, FALSE)))))"),"")</f>
        <v/>
      </c>
      <c r="AP3577" s="89"/>
    </row>
    <row r="3578">
      <c r="A3578" s="42"/>
      <c r="B3578" s="42"/>
      <c r="C3578" s="42"/>
      <c r="D3578" s="42"/>
      <c r="E3578" s="39"/>
      <c r="F3578" s="9"/>
      <c r="G3578" s="9"/>
      <c r="H3578" s="9"/>
      <c r="I3578" s="9"/>
      <c r="J3578" s="9"/>
      <c r="K3578" s="9"/>
      <c r="L3578" s="9"/>
      <c r="M3578" s="9"/>
      <c r="N3578" s="9"/>
      <c r="O3578" s="9"/>
      <c r="P3578" s="9"/>
      <c r="Q3578" s="9"/>
      <c r="R3578" s="9"/>
      <c r="S3578" s="42"/>
      <c r="T3578" s="42"/>
      <c r="U3578" s="42"/>
      <c r="V3578" s="42"/>
      <c r="W3578" s="42"/>
      <c r="X3578" s="42"/>
      <c r="Y3578" s="42"/>
      <c r="Z3578" s="42"/>
      <c r="AA3578" s="42"/>
      <c r="AB3578" s="42"/>
      <c r="AC3578" s="42"/>
      <c r="AD3578" s="42"/>
      <c r="AE3578" s="42"/>
      <c r="AF3578" s="9"/>
      <c r="AG3578" s="9"/>
      <c r="AH3578" s="42"/>
      <c r="AI3578" s="42"/>
      <c r="AJ3578" s="42"/>
      <c r="AK3578" s="42"/>
      <c r="AL3578" s="42"/>
      <c r="AM3578" s="42"/>
      <c r="AN3578" s="42"/>
      <c r="AO3578" s="63" t="str">
        <f>IFERROR(__xludf.DUMMYFUNCTION("IF(ISBLANK(A3578),,IF(ISBLANK(S3578), A3578&amp;"";"", TEXTJOIN(CHAR(10), TRUE, A3578&amp;"";"", ARRAYFORMULA(VLOOKUP(SPLIT(S3578, "";"" &amp; CHAR(10)), $A:$AO, 41, FALSE)))))"),"")</f>
        <v/>
      </c>
      <c r="AP3578" s="89"/>
    </row>
    <row r="3579">
      <c r="A3579" s="42"/>
      <c r="B3579" s="42"/>
      <c r="C3579" s="42"/>
      <c r="D3579" s="42"/>
      <c r="E3579" s="39"/>
      <c r="F3579" s="9"/>
      <c r="G3579" s="9"/>
      <c r="H3579" s="9"/>
      <c r="I3579" s="9"/>
      <c r="J3579" s="9"/>
      <c r="K3579" s="9"/>
      <c r="L3579" s="9"/>
      <c r="M3579" s="9"/>
      <c r="N3579" s="9"/>
      <c r="O3579" s="9"/>
      <c r="P3579" s="9"/>
      <c r="Q3579" s="9"/>
      <c r="R3579" s="9"/>
      <c r="S3579" s="42"/>
      <c r="T3579" s="42"/>
      <c r="U3579" s="42"/>
      <c r="V3579" s="42"/>
      <c r="W3579" s="42"/>
      <c r="X3579" s="42"/>
      <c r="Y3579" s="42"/>
      <c r="Z3579" s="42"/>
      <c r="AA3579" s="42"/>
      <c r="AB3579" s="42"/>
      <c r="AC3579" s="42"/>
      <c r="AD3579" s="42"/>
      <c r="AE3579" s="42"/>
      <c r="AF3579" s="9"/>
      <c r="AG3579" s="9"/>
      <c r="AH3579" s="42"/>
      <c r="AI3579" s="42"/>
      <c r="AJ3579" s="42"/>
      <c r="AK3579" s="42"/>
      <c r="AL3579" s="42"/>
      <c r="AM3579" s="42"/>
      <c r="AN3579" s="42"/>
      <c r="AO3579" s="63" t="str">
        <f>IFERROR(__xludf.DUMMYFUNCTION("IF(ISBLANK(A3579),,IF(ISBLANK(S3579), A3579&amp;"";"", TEXTJOIN(CHAR(10), TRUE, A3579&amp;"";"", ARRAYFORMULA(VLOOKUP(SPLIT(S3579, "";"" &amp; CHAR(10)), $A:$AO, 41, FALSE)))))"),"")</f>
        <v/>
      </c>
      <c r="AP3579" s="89"/>
    </row>
    <row r="3580">
      <c r="A3580" s="42"/>
      <c r="B3580" s="42"/>
      <c r="C3580" s="42"/>
      <c r="D3580" s="42"/>
      <c r="E3580" s="39"/>
      <c r="F3580" s="9"/>
      <c r="G3580" s="9"/>
      <c r="H3580" s="9"/>
      <c r="I3580" s="9"/>
      <c r="J3580" s="9"/>
      <c r="K3580" s="9"/>
      <c r="L3580" s="9"/>
      <c r="M3580" s="9"/>
      <c r="N3580" s="9"/>
      <c r="O3580" s="9"/>
      <c r="P3580" s="9"/>
      <c r="Q3580" s="9"/>
      <c r="R3580" s="9"/>
      <c r="S3580" s="42"/>
      <c r="T3580" s="42"/>
      <c r="U3580" s="42"/>
      <c r="V3580" s="42"/>
      <c r="W3580" s="42"/>
      <c r="X3580" s="42"/>
      <c r="Y3580" s="42"/>
      <c r="Z3580" s="42"/>
      <c r="AA3580" s="42"/>
      <c r="AB3580" s="42"/>
      <c r="AC3580" s="42"/>
      <c r="AD3580" s="42"/>
      <c r="AE3580" s="42"/>
      <c r="AF3580" s="9"/>
      <c r="AG3580" s="9"/>
      <c r="AH3580" s="42"/>
      <c r="AI3580" s="42"/>
      <c r="AJ3580" s="42"/>
      <c r="AK3580" s="42"/>
      <c r="AL3580" s="42"/>
      <c r="AM3580" s="42"/>
      <c r="AN3580" s="42"/>
      <c r="AO3580" s="63" t="str">
        <f>IFERROR(__xludf.DUMMYFUNCTION("IF(ISBLANK(A3580),,IF(ISBLANK(S3580), A3580&amp;"";"", TEXTJOIN(CHAR(10), TRUE, A3580&amp;"";"", ARRAYFORMULA(VLOOKUP(SPLIT(S3580, "";"" &amp; CHAR(10)), $A:$AO, 41, FALSE)))))"),"")</f>
        <v/>
      </c>
      <c r="AP3580" s="89"/>
    </row>
    <row r="3581">
      <c r="A3581" s="42"/>
      <c r="B3581" s="42"/>
      <c r="C3581" s="42"/>
      <c r="D3581" s="42"/>
      <c r="E3581" s="39"/>
      <c r="F3581" s="9"/>
      <c r="G3581" s="9"/>
      <c r="H3581" s="9"/>
      <c r="I3581" s="9"/>
      <c r="J3581" s="9"/>
      <c r="K3581" s="9"/>
      <c r="L3581" s="9"/>
      <c r="M3581" s="9"/>
      <c r="N3581" s="9"/>
      <c r="O3581" s="9"/>
      <c r="P3581" s="9"/>
      <c r="Q3581" s="9"/>
      <c r="R3581" s="9"/>
      <c r="S3581" s="42"/>
      <c r="T3581" s="42"/>
      <c r="U3581" s="42"/>
      <c r="V3581" s="42"/>
      <c r="W3581" s="42"/>
      <c r="X3581" s="42"/>
      <c r="Y3581" s="42"/>
      <c r="Z3581" s="42"/>
      <c r="AA3581" s="42"/>
      <c r="AB3581" s="42"/>
      <c r="AC3581" s="42"/>
      <c r="AD3581" s="42"/>
      <c r="AE3581" s="42"/>
      <c r="AF3581" s="9"/>
      <c r="AG3581" s="9"/>
      <c r="AH3581" s="42"/>
      <c r="AI3581" s="42"/>
      <c r="AJ3581" s="42"/>
      <c r="AK3581" s="42"/>
      <c r="AL3581" s="42"/>
      <c r="AM3581" s="42"/>
      <c r="AN3581" s="42"/>
      <c r="AO3581" s="63" t="str">
        <f>IFERROR(__xludf.DUMMYFUNCTION("IF(ISBLANK(A3581),,IF(ISBLANK(S3581), A3581&amp;"";"", TEXTJOIN(CHAR(10), TRUE, A3581&amp;"";"", ARRAYFORMULA(VLOOKUP(SPLIT(S3581, "";"" &amp; CHAR(10)), $A:$AO, 41, FALSE)))))"),"")</f>
        <v/>
      </c>
      <c r="AP3581" s="89"/>
    </row>
    <row r="3582">
      <c r="A3582" s="42"/>
      <c r="B3582" s="42"/>
      <c r="C3582" s="42"/>
      <c r="D3582" s="42"/>
      <c r="E3582" s="39"/>
      <c r="F3582" s="9"/>
      <c r="G3582" s="9"/>
      <c r="H3582" s="9"/>
      <c r="I3582" s="9"/>
      <c r="J3582" s="9"/>
      <c r="K3582" s="9"/>
      <c r="L3582" s="9"/>
      <c r="M3582" s="9"/>
      <c r="N3582" s="9"/>
      <c r="O3582" s="9"/>
      <c r="P3582" s="9"/>
      <c r="Q3582" s="9"/>
      <c r="R3582" s="9"/>
      <c r="S3582" s="42"/>
      <c r="T3582" s="42"/>
      <c r="U3582" s="42"/>
      <c r="V3582" s="42"/>
      <c r="W3582" s="42"/>
      <c r="X3582" s="42"/>
      <c r="Y3582" s="42"/>
      <c r="Z3582" s="42"/>
      <c r="AA3582" s="42"/>
      <c r="AB3582" s="42"/>
      <c r="AC3582" s="42"/>
      <c r="AD3582" s="42"/>
      <c r="AE3582" s="42"/>
      <c r="AF3582" s="9"/>
      <c r="AG3582" s="9"/>
      <c r="AH3582" s="42"/>
      <c r="AI3582" s="42"/>
      <c r="AJ3582" s="42"/>
      <c r="AK3582" s="42"/>
      <c r="AL3582" s="42"/>
      <c r="AM3582" s="42"/>
      <c r="AN3582" s="42"/>
      <c r="AO3582" s="63" t="str">
        <f>IFERROR(__xludf.DUMMYFUNCTION("IF(ISBLANK(A3582),,IF(ISBLANK(S3582), A3582&amp;"";"", TEXTJOIN(CHAR(10), TRUE, A3582&amp;"";"", ARRAYFORMULA(VLOOKUP(SPLIT(S3582, "";"" &amp; CHAR(10)), $A:$AO, 41, FALSE)))))"),"")</f>
        <v/>
      </c>
      <c r="AP3582" s="89"/>
    </row>
    <row r="3583">
      <c r="A3583" s="42"/>
      <c r="B3583" s="42"/>
      <c r="C3583" s="42"/>
      <c r="D3583" s="42"/>
      <c r="E3583" s="39"/>
      <c r="F3583" s="9"/>
      <c r="G3583" s="9"/>
      <c r="H3583" s="9"/>
      <c r="I3583" s="9"/>
      <c r="J3583" s="9"/>
      <c r="K3583" s="9"/>
      <c r="L3583" s="9"/>
      <c r="M3583" s="9"/>
      <c r="N3583" s="9"/>
      <c r="O3583" s="9"/>
      <c r="P3583" s="9"/>
      <c r="Q3583" s="9"/>
      <c r="R3583" s="9"/>
      <c r="S3583" s="42"/>
      <c r="T3583" s="42"/>
      <c r="U3583" s="42"/>
      <c r="V3583" s="42"/>
      <c r="W3583" s="42"/>
      <c r="X3583" s="42"/>
      <c r="Y3583" s="42"/>
      <c r="Z3583" s="42"/>
      <c r="AA3583" s="42"/>
      <c r="AB3583" s="42"/>
      <c r="AC3583" s="42"/>
      <c r="AD3583" s="42"/>
      <c r="AE3583" s="42"/>
      <c r="AF3583" s="9"/>
      <c r="AG3583" s="9"/>
      <c r="AH3583" s="42"/>
      <c r="AI3583" s="42"/>
      <c r="AJ3583" s="42"/>
      <c r="AK3583" s="42"/>
      <c r="AL3583" s="42"/>
      <c r="AM3583" s="42"/>
      <c r="AN3583" s="42"/>
      <c r="AO3583" s="63" t="str">
        <f>IFERROR(__xludf.DUMMYFUNCTION("IF(ISBLANK(A3583),,IF(ISBLANK(S3583), A3583&amp;"";"", TEXTJOIN(CHAR(10), TRUE, A3583&amp;"";"", ARRAYFORMULA(VLOOKUP(SPLIT(S3583, "";"" &amp; CHAR(10)), $A:$AO, 41, FALSE)))))"),"")</f>
        <v/>
      </c>
      <c r="AP3583" s="89"/>
    </row>
    <row r="3584">
      <c r="A3584" s="42"/>
      <c r="B3584" s="42"/>
      <c r="C3584" s="42"/>
      <c r="D3584" s="42"/>
      <c r="E3584" s="39"/>
      <c r="F3584" s="9"/>
      <c r="G3584" s="9"/>
      <c r="H3584" s="9"/>
      <c r="I3584" s="9"/>
      <c r="J3584" s="9"/>
      <c r="K3584" s="9"/>
      <c r="L3584" s="9"/>
      <c r="M3584" s="9"/>
      <c r="N3584" s="9"/>
      <c r="O3584" s="9"/>
      <c r="P3584" s="9"/>
      <c r="Q3584" s="9"/>
      <c r="R3584" s="9"/>
      <c r="S3584" s="42"/>
      <c r="T3584" s="42"/>
      <c r="U3584" s="42"/>
      <c r="V3584" s="42"/>
      <c r="W3584" s="42"/>
      <c r="X3584" s="42"/>
      <c r="Y3584" s="42"/>
      <c r="Z3584" s="42"/>
      <c r="AA3584" s="42"/>
      <c r="AB3584" s="42"/>
      <c r="AC3584" s="42"/>
      <c r="AD3584" s="42"/>
      <c r="AE3584" s="42"/>
      <c r="AF3584" s="9"/>
      <c r="AG3584" s="9"/>
      <c r="AH3584" s="42"/>
      <c r="AI3584" s="42"/>
      <c r="AJ3584" s="42"/>
      <c r="AK3584" s="42"/>
      <c r="AL3584" s="42"/>
      <c r="AM3584" s="42"/>
      <c r="AN3584" s="42"/>
      <c r="AO3584" s="63" t="str">
        <f>IFERROR(__xludf.DUMMYFUNCTION("IF(ISBLANK(A3584),,IF(ISBLANK(S3584), A3584&amp;"";"", TEXTJOIN(CHAR(10), TRUE, A3584&amp;"";"", ARRAYFORMULA(VLOOKUP(SPLIT(S3584, "";"" &amp; CHAR(10)), $A:$AO, 41, FALSE)))))"),"")</f>
        <v/>
      </c>
      <c r="AP3584" s="89"/>
    </row>
    <row r="3585">
      <c r="A3585" s="42"/>
      <c r="B3585" s="42"/>
      <c r="C3585" s="42"/>
      <c r="D3585" s="42"/>
      <c r="E3585" s="39"/>
      <c r="F3585" s="9"/>
      <c r="G3585" s="9"/>
      <c r="H3585" s="9"/>
      <c r="I3585" s="9"/>
      <c r="J3585" s="9"/>
      <c r="K3585" s="9"/>
      <c r="L3585" s="9"/>
      <c r="M3585" s="9"/>
      <c r="N3585" s="9"/>
      <c r="O3585" s="9"/>
      <c r="P3585" s="9"/>
      <c r="Q3585" s="9"/>
      <c r="R3585" s="9"/>
      <c r="S3585" s="42"/>
      <c r="T3585" s="42"/>
      <c r="U3585" s="42"/>
      <c r="V3585" s="42"/>
      <c r="W3585" s="42"/>
      <c r="X3585" s="42"/>
      <c r="Y3585" s="42"/>
      <c r="Z3585" s="42"/>
      <c r="AA3585" s="42"/>
      <c r="AB3585" s="42"/>
      <c r="AC3585" s="42"/>
      <c r="AD3585" s="42"/>
      <c r="AE3585" s="42"/>
      <c r="AF3585" s="9"/>
      <c r="AG3585" s="9"/>
      <c r="AH3585" s="42"/>
      <c r="AI3585" s="42"/>
      <c r="AJ3585" s="42"/>
      <c r="AK3585" s="42"/>
      <c r="AL3585" s="42"/>
      <c r="AM3585" s="42"/>
      <c r="AN3585" s="42"/>
      <c r="AO3585" s="63" t="str">
        <f>IFERROR(__xludf.DUMMYFUNCTION("IF(ISBLANK(A3585),,IF(ISBLANK(S3585), A3585&amp;"";"", TEXTJOIN(CHAR(10), TRUE, A3585&amp;"";"", ARRAYFORMULA(VLOOKUP(SPLIT(S3585, "";"" &amp; CHAR(10)), $A:$AO, 41, FALSE)))))"),"")</f>
        <v/>
      </c>
      <c r="AP3585" s="89"/>
    </row>
    <row r="3586">
      <c r="A3586" s="42"/>
      <c r="B3586" s="42"/>
      <c r="C3586" s="42"/>
      <c r="D3586" s="42"/>
      <c r="E3586" s="39"/>
      <c r="F3586" s="9"/>
      <c r="G3586" s="9"/>
      <c r="H3586" s="9"/>
      <c r="I3586" s="9"/>
      <c r="J3586" s="9"/>
      <c r="K3586" s="9"/>
      <c r="L3586" s="9"/>
      <c r="M3586" s="9"/>
      <c r="N3586" s="9"/>
      <c r="O3586" s="9"/>
      <c r="P3586" s="9"/>
      <c r="Q3586" s="9"/>
      <c r="R3586" s="9"/>
      <c r="S3586" s="42"/>
      <c r="T3586" s="42"/>
      <c r="U3586" s="42"/>
      <c r="V3586" s="42"/>
      <c r="W3586" s="42"/>
      <c r="X3586" s="42"/>
      <c r="Y3586" s="42"/>
      <c r="Z3586" s="42"/>
      <c r="AA3586" s="42"/>
      <c r="AB3586" s="42"/>
      <c r="AC3586" s="42"/>
      <c r="AD3586" s="42"/>
      <c r="AE3586" s="42"/>
      <c r="AF3586" s="9"/>
      <c r="AG3586" s="9"/>
      <c r="AH3586" s="42"/>
      <c r="AI3586" s="42"/>
      <c r="AJ3586" s="42"/>
      <c r="AK3586" s="42"/>
      <c r="AL3586" s="42"/>
      <c r="AM3586" s="42"/>
      <c r="AN3586" s="42"/>
      <c r="AO3586" s="63" t="str">
        <f>IFERROR(__xludf.DUMMYFUNCTION("IF(ISBLANK(A3586),,IF(ISBLANK(S3586), A3586&amp;"";"", TEXTJOIN(CHAR(10), TRUE, A3586&amp;"";"", ARRAYFORMULA(VLOOKUP(SPLIT(S3586, "";"" &amp; CHAR(10)), $A:$AO, 41, FALSE)))))"),"")</f>
        <v/>
      </c>
      <c r="AP3586" s="89"/>
    </row>
    <row r="3587">
      <c r="A3587" s="42"/>
      <c r="B3587" s="42"/>
      <c r="C3587" s="42"/>
      <c r="D3587" s="42"/>
      <c r="E3587" s="39"/>
      <c r="F3587" s="9"/>
      <c r="G3587" s="9"/>
      <c r="H3587" s="9"/>
      <c r="I3587" s="9"/>
      <c r="J3587" s="9"/>
      <c r="K3587" s="9"/>
      <c r="L3587" s="9"/>
      <c r="M3587" s="9"/>
      <c r="N3587" s="9"/>
      <c r="O3587" s="9"/>
      <c r="P3587" s="9"/>
      <c r="Q3587" s="9"/>
      <c r="R3587" s="9"/>
      <c r="S3587" s="42"/>
      <c r="T3587" s="42"/>
      <c r="U3587" s="42"/>
      <c r="V3587" s="42"/>
      <c r="W3587" s="42"/>
      <c r="X3587" s="42"/>
      <c r="Y3587" s="42"/>
      <c r="Z3587" s="42"/>
      <c r="AA3587" s="42"/>
      <c r="AB3587" s="42"/>
      <c r="AC3587" s="42"/>
      <c r="AD3587" s="42"/>
      <c r="AE3587" s="42"/>
      <c r="AF3587" s="9"/>
      <c r="AG3587" s="9"/>
      <c r="AH3587" s="42"/>
      <c r="AI3587" s="42"/>
      <c r="AJ3587" s="42"/>
      <c r="AK3587" s="42"/>
      <c r="AL3587" s="42"/>
      <c r="AM3587" s="42"/>
      <c r="AN3587" s="42"/>
      <c r="AO3587" s="63" t="str">
        <f>IFERROR(__xludf.DUMMYFUNCTION("IF(ISBLANK(A3587),,IF(ISBLANK(S3587), A3587&amp;"";"", TEXTJOIN(CHAR(10), TRUE, A3587&amp;"";"", ARRAYFORMULA(VLOOKUP(SPLIT(S3587, "";"" &amp; CHAR(10)), $A:$AO, 41, FALSE)))))"),"")</f>
        <v/>
      </c>
      <c r="AP3587" s="89"/>
    </row>
    <row r="3588">
      <c r="A3588" s="42"/>
      <c r="B3588" s="42"/>
      <c r="C3588" s="42"/>
      <c r="D3588" s="42"/>
      <c r="E3588" s="39"/>
      <c r="F3588" s="9"/>
      <c r="G3588" s="9"/>
      <c r="H3588" s="9"/>
      <c r="I3588" s="9"/>
      <c r="J3588" s="9"/>
      <c r="K3588" s="9"/>
      <c r="L3588" s="9"/>
      <c r="M3588" s="9"/>
      <c r="N3588" s="9"/>
      <c r="O3588" s="9"/>
      <c r="P3588" s="9"/>
      <c r="Q3588" s="9"/>
      <c r="R3588" s="9"/>
      <c r="S3588" s="42"/>
      <c r="T3588" s="42"/>
      <c r="U3588" s="42"/>
      <c r="V3588" s="42"/>
      <c r="W3588" s="42"/>
      <c r="X3588" s="42"/>
      <c r="Y3588" s="42"/>
      <c r="Z3588" s="42"/>
      <c r="AA3588" s="42"/>
      <c r="AB3588" s="42"/>
      <c r="AC3588" s="42"/>
      <c r="AD3588" s="42"/>
      <c r="AE3588" s="42"/>
      <c r="AF3588" s="9"/>
      <c r="AG3588" s="9"/>
      <c r="AH3588" s="42"/>
      <c r="AI3588" s="42"/>
      <c r="AJ3588" s="42"/>
      <c r="AK3588" s="42"/>
      <c r="AL3588" s="42"/>
      <c r="AM3588" s="42"/>
      <c r="AN3588" s="42"/>
      <c r="AO3588" s="63" t="str">
        <f>IFERROR(__xludf.DUMMYFUNCTION("IF(ISBLANK(A3588),,IF(ISBLANK(S3588), A3588&amp;"";"", TEXTJOIN(CHAR(10), TRUE, A3588&amp;"";"", ARRAYFORMULA(VLOOKUP(SPLIT(S3588, "";"" &amp; CHAR(10)), $A:$AO, 41, FALSE)))))"),"")</f>
        <v/>
      </c>
      <c r="AP3588" s="89"/>
    </row>
    <row r="3589">
      <c r="A3589" s="42"/>
      <c r="B3589" s="42"/>
      <c r="C3589" s="42"/>
      <c r="D3589" s="42"/>
      <c r="E3589" s="39"/>
      <c r="F3589" s="9"/>
      <c r="G3589" s="9"/>
      <c r="H3589" s="9"/>
      <c r="I3589" s="9"/>
      <c r="J3589" s="9"/>
      <c r="K3589" s="9"/>
      <c r="L3589" s="9"/>
      <c r="M3589" s="9"/>
      <c r="N3589" s="9"/>
      <c r="O3589" s="9"/>
      <c r="P3589" s="9"/>
      <c r="Q3589" s="9"/>
      <c r="R3589" s="9"/>
      <c r="S3589" s="42"/>
      <c r="T3589" s="42"/>
      <c r="U3589" s="42"/>
      <c r="V3589" s="42"/>
      <c r="W3589" s="42"/>
      <c r="X3589" s="42"/>
      <c r="Y3589" s="42"/>
      <c r="Z3589" s="42"/>
      <c r="AA3589" s="42"/>
      <c r="AB3589" s="42"/>
      <c r="AC3589" s="42"/>
      <c r="AD3589" s="42"/>
      <c r="AE3589" s="42"/>
      <c r="AF3589" s="9"/>
      <c r="AG3589" s="9"/>
      <c r="AH3589" s="42"/>
      <c r="AI3589" s="42"/>
      <c r="AJ3589" s="42"/>
      <c r="AK3589" s="42"/>
      <c r="AL3589" s="42"/>
      <c r="AM3589" s="42"/>
      <c r="AN3589" s="42"/>
      <c r="AO3589" s="63" t="str">
        <f>IFERROR(__xludf.DUMMYFUNCTION("IF(ISBLANK(A3589),,IF(ISBLANK(S3589), A3589&amp;"";"", TEXTJOIN(CHAR(10), TRUE, A3589&amp;"";"", ARRAYFORMULA(VLOOKUP(SPLIT(S3589, "";"" &amp; CHAR(10)), $A:$AO, 41, FALSE)))))"),"")</f>
        <v/>
      </c>
      <c r="AP3589" s="89"/>
    </row>
    <row r="3590">
      <c r="A3590" s="42"/>
      <c r="B3590" s="42"/>
      <c r="C3590" s="42"/>
      <c r="D3590" s="42"/>
      <c r="E3590" s="39"/>
      <c r="F3590" s="9"/>
      <c r="G3590" s="9"/>
      <c r="H3590" s="9"/>
      <c r="I3590" s="9"/>
      <c r="J3590" s="9"/>
      <c r="K3590" s="9"/>
      <c r="L3590" s="9"/>
      <c r="M3590" s="9"/>
      <c r="N3590" s="9"/>
      <c r="O3590" s="9"/>
      <c r="P3590" s="9"/>
      <c r="Q3590" s="9"/>
      <c r="R3590" s="9"/>
      <c r="S3590" s="42"/>
      <c r="T3590" s="42"/>
      <c r="U3590" s="42"/>
      <c r="V3590" s="42"/>
      <c r="W3590" s="42"/>
      <c r="X3590" s="42"/>
      <c r="Y3590" s="42"/>
      <c r="Z3590" s="42"/>
      <c r="AA3590" s="42"/>
      <c r="AB3590" s="42"/>
      <c r="AC3590" s="42"/>
      <c r="AD3590" s="42"/>
      <c r="AE3590" s="42"/>
      <c r="AF3590" s="9"/>
      <c r="AG3590" s="9"/>
      <c r="AH3590" s="42"/>
      <c r="AI3590" s="42"/>
      <c r="AJ3590" s="42"/>
      <c r="AK3590" s="42"/>
      <c r="AL3590" s="42"/>
      <c r="AM3590" s="42"/>
      <c r="AN3590" s="42"/>
      <c r="AO3590" s="63" t="str">
        <f>IFERROR(__xludf.DUMMYFUNCTION("IF(ISBLANK(A3590),,IF(ISBLANK(S3590), A3590&amp;"";"", TEXTJOIN(CHAR(10), TRUE, A3590&amp;"";"", ARRAYFORMULA(VLOOKUP(SPLIT(S3590, "";"" &amp; CHAR(10)), $A:$AO, 41, FALSE)))))"),"")</f>
        <v/>
      </c>
      <c r="AP3590" s="89"/>
    </row>
    <row r="3591">
      <c r="A3591" s="42"/>
      <c r="B3591" s="42"/>
      <c r="C3591" s="42"/>
      <c r="D3591" s="42"/>
      <c r="E3591" s="39"/>
      <c r="F3591" s="9"/>
      <c r="G3591" s="9"/>
      <c r="H3591" s="9"/>
      <c r="I3591" s="9"/>
      <c r="J3591" s="9"/>
      <c r="K3591" s="9"/>
      <c r="L3591" s="9"/>
      <c r="M3591" s="9"/>
      <c r="N3591" s="9"/>
      <c r="O3591" s="9"/>
      <c r="P3591" s="9"/>
      <c r="Q3591" s="9"/>
      <c r="R3591" s="9"/>
      <c r="S3591" s="42"/>
      <c r="T3591" s="42"/>
      <c r="U3591" s="42"/>
      <c r="V3591" s="42"/>
      <c r="W3591" s="42"/>
      <c r="X3591" s="42"/>
      <c r="Y3591" s="42"/>
      <c r="Z3591" s="42"/>
      <c r="AA3591" s="42"/>
      <c r="AB3591" s="42"/>
      <c r="AC3591" s="42"/>
      <c r="AD3591" s="42"/>
      <c r="AE3591" s="42"/>
      <c r="AF3591" s="9"/>
      <c r="AG3591" s="9"/>
      <c r="AH3591" s="42"/>
      <c r="AI3591" s="42"/>
      <c r="AJ3591" s="42"/>
      <c r="AK3591" s="42"/>
      <c r="AL3591" s="42"/>
      <c r="AM3591" s="42"/>
      <c r="AN3591" s="42"/>
      <c r="AO3591" s="63" t="str">
        <f>IFERROR(__xludf.DUMMYFUNCTION("IF(ISBLANK(A3591),,IF(ISBLANK(S3591), A3591&amp;"";"", TEXTJOIN(CHAR(10), TRUE, A3591&amp;"";"", ARRAYFORMULA(VLOOKUP(SPLIT(S3591, "";"" &amp; CHAR(10)), $A:$AO, 41, FALSE)))))"),"")</f>
        <v/>
      </c>
      <c r="AP3591" s="89"/>
    </row>
    <row r="3592">
      <c r="A3592" s="42"/>
      <c r="B3592" s="42"/>
      <c r="C3592" s="42"/>
      <c r="D3592" s="42"/>
      <c r="E3592" s="39"/>
      <c r="F3592" s="9"/>
      <c r="G3592" s="9"/>
      <c r="H3592" s="9"/>
      <c r="I3592" s="9"/>
      <c r="J3592" s="9"/>
      <c r="K3592" s="9"/>
      <c r="L3592" s="9"/>
      <c r="M3592" s="9"/>
      <c r="N3592" s="9"/>
      <c r="O3592" s="9"/>
      <c r="P3592" s="9"/>
      <c r="Q3592" s="9"/>
      <c r="R3592" s="9"/>
      <c r="S3592" s="42"/>
      <c r="T3592" s="42"/>
      <c r="U3592" s="42"/>
      <c r="V3592" s="42"/>
      <c r="W3592" s="42"/>
      <c r="X3592" s="42"/>
      <c r="Y3592" s="42"/>
      <c r="Z3592" s="42"/>
      <c r="AA3592" s="42"/>
      <c r="AB3592" s="42"/>
      <c r="AC3592" s="42"/>
      <c r="AD3592" s="42"/>
      <c r="AE3592" s="42"/>
      <c r="AF3592" s="9"/>
      <c r="AG3592" s="9"/>
      <c r="AH3592" s="42"/>
      <c r="AI3592" s="42"/>
      <c r="AJ3592" s="42"/>
      <c r="AK3592" s="42"/>
      <c r="AL3592" s="42"/>
      <c r="AM3592" s="42"/>
      <c r="AN3592" s="42"/>
      <c r="AO3592" s="63" t="str">
        <f>IFERROR(__xludf.DUMMYFUNCTION("IF(ISBLANK(A3592),,IF(ISBLANK(S3592), A3592&amp;"";"", TEXTJOIN(CHAR(10), TRUE, A3592&amp;"";"", ARRAYFORMULA(VLOOKUP(SPLIT(S3592, "";"" &amp; CHAR(10)), $A:$AO, 41, FALSE)))))"),"")</f>
        <v/>
      </c>
      <c r="AP3592" s="89"/>
    </row>
    <row r="3593">
      <c r="A3593" s="42"/>
      <c r="B3593" s="42"/>
      <c r="C3593" s="42"/>
      <c r="D3593" s="42"/>
      <c r="E3593" s="39"/>
      <c r="F3593" s="9"/>
      <c r="G3593" s="9"/>
      <c r="H3593" s="9"/>
      <c r="I3593" s="9"/>
      <c r="J3593" s="9"/>
      <c r="K3593" s="9"/>
      <c r="L3593" s="9"/>
      <c r="M3593" s="9"/>
      <c r="N3593" s="9"/>
      <c r="O3593" s="9"/>
      <c r="P3593" s="9"/>
      <c r="Q3593" s="9"/>
      <c r="R3593" s="9"/>
      <c r="S3593" s="42"/>
      <c r="T3593" s="42"/>
      <c r="U3593" s="42"/>
      <c r="V3593" s="42"/>
      <c r="W3593" s="42"/>
      <c r="X3593" s="42"/>
      <c r="Y3593" s="42"/>
      <c r="Z3593" s="42"/>
      <c r="AA3593" s="42"/>
      <c r="AB3593" s="42"/>
      <c r="AC3593" s="42"/>
      <c r="AD3593" s="42"/>
      <c r="AE3593" s="42"/>
      <c r="AF3593" s="9"/>
      <c r="AG3593" s="9"/>
      <c r="AH3593" s="42"/>
      <c r="AI3593" s="42"/>
      <c r="AJ3593" s="42"/>
      <c r="AK3593" s="42"/>
      <c r="AL3593" s="42"/>
      <c r="AM3593" s="42"/>
      <c r="AN3593" s="42"/>
      <c r="AO3593" s="63" t="str">
        <f>IFERROR(__xludf.DUMMYFUNCTION("IF(ISBLANK(A3593),,IF(ISBLANK(S3593), A3593&amp;"";"", TEXTJOIN(CHAR(10), TRUE, A3593&amp;"";"", ARRAYFORMULA(VLOOKUP(SPLIT(S3593, "";"" &amp; CHAR(10)), $A:$AO, 41, FALSE)))))"),"")</f>
        <v/>
      </c>
      <c r="AP3593" s="89"/>
    </row>
    <row r="3594">
      <c r="A3594" s="42"/>
      <c r="B3594" s="42"/>
      <c r="C3594" s="42"/>
      <c r="D3594" s="42"/>
      <c r="E3594" s="39"/>
      <c r="F3594" s="9"/>
      <c r="G3594" s="9"/>
      <c r="H3594" s="9"/>
      <c r="I3594" s="9"/>
      <c r="J3594" s="9"/>
      <c r="K3594" s="9"/>
      <c r="L3594" s="9"/>
      <c r="M3594" s="9"/>
      <c r="N3594" s="9"/>
      <c r="O3594" s="9"/>
      <c r="P3594" s="9"/>
      <c r="Q3594" s="9"/>
      <c r="R3594" s="9"/>
      <c r="S3594" s="42"/>
      <c r="T3594" s="42"/>
      <c r="U3594" s="42"/>
      <c r="V3594" s="42"/>
      <c r="W3594" s="42"/>
      <c r="X3594" s="42"/>
      <c r="Y3594" s="42"/>
      <c r="Z3594" s="42"/>
      <c r="AA3594" s="42"/>
      <c r="AB3594" s="42"/>
      <c r="AC3594" s="42"/>
      <c r="AD3594" s="42"/>
      <c r="AE3594" s="42"/>
      <c r="AF3594" s="9"/>
      <c r="AG3594" s="9"/>
      <c r="AH3594" s="42"/>
      <c r="AI3594" s="42"/>
      <c r="AJ3594" s="42"/>
      <c r="AK3594" s="42"/>
      <c r="AL3594" s="42"/>
      <c r="AM3594" s="42"/>
      <c r="AN3594" s="42"/>
      <c r="AO3594" s="63" t="str">
        <f>IFERROR(__xludf.DUMMYFUNCTION("IF(ISBLANK(A3594),,IF(ISBLANK(S3594), A3594&amp;"";"", TEXTJOIN(CHAR(10), TRUE, A3594&amp;"";"", ARRAYFORMULA(VLOOKUP(SPLIT(S3594, "";"" &amp; CHAR(10)), $A:$AO, 41, FALSE)))))"),"")</f>
        <v/>
      </c>
      <c r="AP3594" s="89"/>
    </row>
    <row r="3595">
      <c r="A3595" s="42"/>
      <c r="B3595" s="42"/>
      <c r="C3595" s="42"/>
      <c r="D3595" s="42"/>
      <c r="E3595" s="39"/>
      <c r="F3595" s="9"/>
      <c r="G3595" s="9"/>
      <c r="H3595" s="9"/>
      <c r="I3595" s="9"/>
      <c r="J3595" s="9"/>
      <c r="K3595" s="9"/>
      <c r="L3595" s="9"/>
      <c r="M3595" s="9"/>
      <c r="N3595" s="9"/>
      <c r="O3595" s="9"/>
      <c r="P3595" s="9"/>
      <c r="Q3595" s="9"/>
      <c r="R3595" s="9"/>
      <c r="S3595" s="42"/>
      <c r="T3595" s="42"/>
      <c r="U3595" s="42"/>
      <c r="V3595" s="42"/>
      <c r="W3595" s="42"/>
      <c r="X3595" s="42"/>
      <c r="Y3595" s="42"/>
      <c r="Z3595" s="42"/>
      <c r="AA3595" s="42"/>
      <c r="AB3595" s="42"/>
      <c r="AC3595" s="42"/>
      <c r="AD3595" s="42"/>
      <c r="AE3595" s="42"/>
      <c r="AF3595" s="9"/>
      <c r="AG3595" s="9"/>
      <c r="AH3595" s="42"/>
      <c r="AI3595" s="42"/>
      <c r="AJ3595" s="42"/>
      <c r="AK3595" s="42"/>
      <c r="AL3595" s="42"/>
      <c r="AM3595" s="42"/>
      <c r="AN3595" s="42"/>
      <c r="AO3595" s="63" t="str">
        <f>IFERROR(__xludf.DUMMYFUNCTION("IF(ISBLANK(A3595),,IF(ISBLANK(S3595), A3595&amp;"";"", TEXTJOIN(CHAR(10), TRUE, A3595&amp;"";"", ARRAYFORMULA(VLOOKUP(SPLIT(S3595, "";"" &amp; CHAR(10)), $A:$AO, 41, FALSE)))))"),"")</f>
        <v/>
      </c>
      <c r="AP3595" s="89"/>
    </row>
    <row r="3596">
      <c r="A3596" s="42"/>
      <c r="B3596" s="42"/>
      <c r="C3596" s="42"/>
      <c r="D3596" s="42"/>
      <c r="E3596" s="39"/>
      <c r="F3596" s="9"/>
      <c r="G3596" s="9"/>
      <c r="H3596" s="9"/>
      <c r="I3596" s="9"/>
      <c r="J3596" s="9"/>
      <c r="K3596" s="9"/>
      <c r="L3596" s="9"/>
      <c r="M3596" s="9"/>
      <c r="N3596" s="9"/>
      <c r="O3596" s="9"/>
      <c r="P3596" s="9"/>
      <c r="Q3596" s="9"/>
      <c r="R3596" s="9"/>
      <c r="S3596" s="42"/>
      <c r="T3596" s="42"/>
      <c r="U3596" s="42"/>
      <c r="V3596" s="42"/>
      <c r="W3596" s="42"/>
      <c r="X3596" s="42"/>
      <c r="Y3596" s="42"/>
      <c r="Z3596" s="42"/>
      <c r="AA3596" s="42"/>
      <c r="AB3596" s="42"/>
      <c r="AC3596" s="42"/>
      <c r="AD3596" s="42"/>
      <c r="AE3596" s="42"/>
      <c r="AF3596" s="9"/>
      <c r="AG3596" s="9"/>
      <c r="AH3596" s="42"/>
      <c r="AI3596" s="42"/>
      <c r="AJ3596" s="42"/>
      <c r="AK3596" s="42"/>
      <c r="AL3596" s="42"/>
      <c r="AM3596" s="42"/>
      <c r="AN3596" s="42"/>
      <c r="AO3596" s="63" t="str">
        <f>IFERROR(__xludf.DUMMYFUNCTION("IF(ISBLANK(A3596),,IF(ISBLANK(S3596), A3596&amp;"";"", TEXTJOIN(CHAR(10), TRUE, A3596&amp;"";"", ARRAYFORMULA(VLOOKUP(SPLIT(S3596, "";"" &amp; CHAR(10)), $A:$AO, 41, FALSE)))))"),"")</f>
        <v/>
      </c>
      <c r="AP3596" s="89"/>
    </row>
    <row r="3597">
      <c r="A3597" s="42"/>
      <c r="B3597" s="42"/>
      <c r="C3597" s="42"/>
      <c r="D3597" s="42"/>
      <c r="E3597" s="39"/>
      <c r="F3597" s="9"/>
      <c r="G3597" s="9"/>
      <c r="H3597" s="9"/>
      <c r="I3597" s="9"/>
      <c r="J3597" s="9"/>
      <c r="K3597" s="9"/>
      <c r="L3597" s="9"/>
      <c r="M3597" s="9"/>
      <c r="N3597" s="9"/>
      <c r="O3597" s="9"/>
      <c r="P3597" s="9"/>
      <c r="Q3597" s="9"/>
      <c r="R3597" s="9"/>
      <c r="S3597" s="42"/>
      <c r="T3597" s="42"/>
      <c r="U3597" s="42"/>
      <c r="V3597" s="42"/>
      <c r="W3597" s="42"/>
      <c r="X3597" s="42"/>
      <c r="Y3597" s="42"/>
      <c r="Z3597" s="42"/>
      <c r="AA3597" s="42"/>
      <c r="AB3597" s="42"/>
      <c r="AC3597" s="42"/>
      <c r="AD3597" s="42"/>
      <c r="AE3597" s="42"/>
      <c r="AF3597" s="9"/>
      <c r="AG3597" s="9"/>
      <c r="AH3597" s="42"/>
      <c r="AI3597" s="42"/>
      <c r="AJ3597" s="42"/>
      <c r="AK3597" s="42"/>
      <c r="AL3597" s="42"/>
      <c r="AM3597" s="42"/>
      <c r="AN3597" s="42"/>
      <c r="AO3597" s="63" t="str">
        <f>IFERROR(__xludf.DUMMYFUNCTION("IF(ISBLANK(A3597),,IF(ISBLANK(S3597), A3597&amp;"";"", TEXTJOIN(CHAR(10), TRUE, A3597&amp;"";"", ARRAYFORMULA(VLOOKUP(SPLIT(S3597, "";"" &amp; CHAR(10)), $A:$AO, 41, FALSE)))))"),"")</f>
        <v/>
      </c>
      <c r="AP3597" s="89"/>
    </row>
    <row r="3598">
      <c r="A3598" s="42"/>
      <c r="B3598" s="42"/>
      <c r="C3598" s="42"/>
      <c r="D3598" s="42"/>
      <c r="E3598" s="39"/>
      <c r="F3598" s="9"/>
      <c r="G3598" s="9"/>
      <c r="H3598" s="9"/>
      <c r="I3598" s="9"/>
      <c r="J3598" s="9"/>
      <c r="K3598" s="9"/>
      <c r="L3598" s="9"/>
      <c r="M3598" s="9"/>
      <c r="N3598" s="9"/>
      <c r="O3598" s="9"/>
      <c r="P3598" s="9"/>
      <c r="Q3598" s="9"/>
      <c r="R3598" s="9"/>
      <c r="S3598" s="42"/>
      <c r="T3598" s="42"/>
      <c r="U3598" s="42"/>
      <c r="V3598" s="42"/>
      <c r="W3598" s="42"/>
      <c r="X3598" s="42"/>
      <c r="Y3598" s="42"/>
      <c r="Z3598" s="42"/>
      <c r="AA3598" s="42"/>
      <c r="AB3598" s="42"/>
      <c r="AC3598" s="42"/>
      <c r="AD3598" s="42"/>
      <c r="AE3598" s="42"/>
      <c r="AF3598" s="9"/>
      <c r="AG3598" s="9"/>
      <c r="AH3598" s="42"/>
      <c r="AI3598" s="42"/>
      <c r="AJ3598" s="42"/>
      <c r="AK3598" s="42"/>
      <c r="AL3598" s="42"/>
      <c r="AM3598" s="42"/>
      <c r="AN3598" s="42"/>
      <c r="AO3598" s="63" t="str">
        <f>IFERROR(__xludf.DUMMYFUNCTION("IF(ISBLANK(A3598),,IF(ISBLANK(S3598), A3598&amp;"";"", TEXTJOIN(CHAR(10), TRUE, A3598&amp;"";"", ARRAYFORMULA(VLOOKUP(SPLIT(S3598, "";"" &amp; CHAR(10)), $A:$AO, 41, FALSE)))))"),"")</f>
        <v/>
      </c>
      <c r="AP3598" s="89"/>
    </row>
    <row r="3599">
      <c r="A3599" s="42"/>
      <c r="B3599" s="42"/>
      <c r="C3599" s="42"/>
      <c r="D3599" s="42"/>
      <c r="E3599" s="39"/>
      <c r="F3599" s="9"/>
      <c r="G3599" s="9"/>
      <c r="H3599" s="9"/>
      <c r="I3599" s="9"/>
      <c r="J3599" s="9"/>
      <c r="K3599" s="9"/>
      <c r="L3599" s="9"/>
      <c r="M3599" s="9"/>
      <c r="N3599" s="9"/>
      <c r="O3599" s="9"/>
      <c r="P3599" s="9"/>
      <c r="Q3599" s="9"/>
      <c r="R3599" s="9"/>
      <c r="S3599" s="42"/>
      <c r="T3599" s="42"/>
      <c r="U3599" s="42"/>
      <c r="V3599" s="42"/>
      <c r="W3599" s="42"/>
      <c r="X3599" s="42"/>
      <c r="Y3599" s="42"/>
      <c r="Z3599" s="42"/>
      <c r="AA3599" s="42"/>
      <c r="AB3599" s="42"/>
      <c r="AC3599" s="42"/>
      <c r="AD3599" s="42"/>
      <c r="AE3599" s="42"/>
      <c r="AF3599" s="9"/>
      <c r="AG3599" s="9"/>
      <c r="AH3599" s="42"/>
      <c r="AI3599" s="42"/>
      <c r="AJ3599" s="42"/>
      <c r="AK3599" s="42"/>
      <c r="AL3599" s="42"/>
      <c r="AM3599" s="42"/>
      <c r="AN3599" s="42"/>
      <c r="AO3599" s="63" t="str">
        <f>IFERROR(__xludf.DUMMYFUNCTION("IF(ISBLANK(A3599),,IF(ISBLANK(S3599), A3599&amp;"";"", TEXTJOIN(CHAR(10), TRUE, A3599&amp;"";"", ARRAYFORMULA(VLOOKUP(SPLIT(S3599, "";"" &amp; CHAR(10)), $A:$AO, 41, FALSE)))))"),"")</f>
        <v/>
      </c>
      <c r="AP3599" s="89"/>
    </row>
    <row r="3600">
      <c r="A3600" s="42"/>
      <c r="B3600" s="42"/>
      <c r="C3600" s="42"/>
      <c r="D3600" s="42"/>
      <c r="E3600" s="39"/>
      <c r="F3600" s="9"/>
      <c r="G3600" s="9"/>
      <c r="H3600" s="9"/>
      <c r="I3600" s="9"/>
      <c r="J3600" s="9"/>
      <c r="K3600" s="9"/>
      <c r="L3600" s="9"/>
      <c r="M3600" s="9"/>
      <c r="N3600" s="9"/>
      <c r="O3600" s="9"/>
      <c r="P3600" s="9"/>
      <c r="Q3600" s="9"/>
      <c r="R3600" s="9"/>
      <c r="S3600" s="42"/>
      <c r="T3600" s="42"/>
      <c r="U3600" s="42"/>
      <c r="V3600" s="42"/>
      <c r="W3600" s="42"/>
      <c r="X3600" s="42"/>
      <c r="Y3600" s="42"/>
      <c r="Z3600" s="42"/>
      <c r="AA3600" s="42"/>
      <c r="AB3600" s="42"/>
      <c r="AC3600" s="42"/>
      <c r="AD3600" s="42"/>
      <c r="AE3600" s="42"/>
      <c r="AF3600" s="9"/>
      <c r="AG3600" s="9"/>
      <c r="AH3600" s="42"/>
      <c r="AI3600" s="42"/>
      <c r="AJ3600" s="42"/>
      <c r="AK3600" s="42"/>
      <c r="AL3600" s="42"/>
      <c r="AM3600" s="42"/>
      <c r="AN3600" s="42"/>
      <c r="AO3600" s="63" t="str">
        <f>IFERROR(__xludf.DUMMYFUNCTION("IF(ISBLANK(A3600),,IF(ISBLANK(S3600), A3600&amp;"";"", TEXTJOIN(CHAR(10), TRUE, A3600&amp;"";"", ARRAYFORMULA(VLOOKUP(SPLIT(S3600, "";"" &amp; CHAR(10)), $A:$AO, 41, FALSE)))))"),"")</f>
        <v/>
      </c>
      <c r="AP3600" s="89"/>
    </row>
    <row r="3601">
      <c r="A3601" s="42"/>
      <c r="B3601" s="42"/>
      <c r="C3601" s="42"/>
      <c r="D3601" s="42"/>
      <c r="E3601" s="39"/>
      <c r="F3601" s="9"/>
      <c r="G3601" s="9"/>
      <c r="H3601" s="9"/>
      <c r="I3601" s="9"/>
      <c r="J3601" s="9"/>
      <c r="K3601" s="9"/>
      <c r="L3601" s="9"/>
      <c r="M3601" s="9"/>
      <c r="N3601" s="9"/>
      <c r="O3601" s="9"/>
      <c r="P3601" s="9"/>
      <c r="Q3601" s="9"/>
      <c r="R3601" s="9"/>
      <c r="S3601" s="42"/>
      <c r="T3601" s="42"/>
      <c r="U3601" s="42"/>
      <c r="V3601" s="42"/>
      <c r="W3601" s="42"/>
      <c r="X3601" s="42"/>
      <c r="Y3601" s="42"/>
      <c r="Z3601" s="42"/>
      <c r="AA3601" s="42"/>
      <c r="AB3601" s="42"/>
      <c r="AC3601" s="42"/>
      <c r="AD3601" s="42"/>
      <c r="AE3601" s="42"/>
      <c r="AF3601" s="9"/>
      <c r="AG3601" s="9"/>
      <c r="AH3601" s="42"/>
      <c r="AI3601" s="42"/>
      <c r="AJ3601" s="42"/>
      <c r="AK3601" s="42"/>
      <c r="AL3601" s="42"/>
      <c r="AM3601" s="42"/>
      <c r="AN3601" s="42"/>
      <c r="AO3601" s="63" t="str">
        <f>IFERROR(__xludf.DUMMYFUNCTION("IF(ISBLANK(A3601),,IF(ISBLANK(S3601), A3601&amp;"";"", TEXTJOIN(CHAR(10), TRUE, A3601&amp;"";"", ARRAYFORMULA(VLOOKUP(SPLIT(S3601, "";"" &amp; CHAR(10)), $A:$AO, 41, FALSE)))))"),"")</f>
        <v/>
      </c>
      <c r="AP3601" s="89"/>
    </row>
    <row r="3602">
      <c r="A3602" s="42"/>
      <c r="B3602" s="42"/>
      <c r="C3602" s="42"/>
      <c r="D3602" s="42"/>
      <c r="E3602" s="39"/>
      <c r="F3602" s="9"/>
      <c r="G3602" s="9"/>
      <c r="H3602" s="9"/>
      <c r="I3602" s="9"/>
      <c r="J3602" s="9"/>
      <c r="K3602" s="9"/>
      <c r="L3602" s="9"/>
      <c r="M3602" s="9"/>
      <c r="N3602" s="9"/>
      <c r="O3602" s="9"/>
      <c r="P3602" s="9"/>
      <c r="Q3602" s="9"/>
      <c r="R3602" s="9"/>
      <c r="S3602" s="42"/>
      <c r="T3602" s="42"/>
      <c r="U3602" s="42"/>
      <c r="V3602" s="42"/>
      <c r="W3602" s="42"/>
      <c r="X3602" s="42"/>
      <c r="Y3602" s="42"/>
      <c r="Z3602" s="42"/>
      <c r="AA3602" s="42"/>
      <c r="AB3602" s="42"/>
      <c r="AC3602" s="42"/>
      <c r="AD3602" s="42"/>
      <c r="AE3602" s="42"/>
      <c r="AF3602" s="9"/>
      <c r="AG3602" s="9"/>
      <c r="AH3602" s="42"/>
      <c r="AI3602" s="42"/>
      <c r="AJ3602" s="42"/>
      <c r="AK3602" s="42"/>
      <c r="AL3602" s="42"/>
      <c r="AM3602" s="42"/>
      <c r="AN3602" s="42"/>
      <c r="AO3602" s="63" t="str">
        <f>IFERROR(__xludf.DUMMYFUNCTION("IF(ISBLANK(A3602),,IF(ISBLANK(S3602), A3602&amp;"";"", TEXTJOIN(CHAR(10), TRUE, A3602&amp;"";"", ARRAYFORMULA(VLOOKUP(SPLIT(S3602, "";"" &amp; CHAR(10)), $A:$AO, 41, FALSE)))))"),"")</f>
        <v/>
      </c>
      <c r="AP3602" s="89"/>
    </row>
    <row r="3603">
      <c r="A3603" s="42"/>
      <c r="B3603" s="42"/>
      <c r="C3603" s="42"/>
      <c r="D3603" s="42"/>
      <c r="E3603" s="39"/>
      <c r="F3603" s="9"/>
      <c r="G3603" s="9"/>
      <c r="H3603" s="9"/>
      <c r="I3603" s="9"/>
      <c r="J3603" s="9"/>
      <c r="K3603" s="9"/>
      <c r="L3603" s="9"/>
      <c r="M3603" s="9"/>
      <c r="N3603" s="9"/>
      <c r="O3603" s="9"/>
      <c r="P3603" s="9"/>
      <c r="Q3603" s="9"/>
      <c r="R3603" s="9"/>
      <c r="S3603" s="42"/>
      <c r="T3603" s="42"/>
      <c r="U3603" s="42"/>
      <c r="V3603" s="42"/>
      <c r="W3603" s="42"/>
      <c r="X3603" s="42"/>
      <c r="Y3603" s="42"/>
      <c r="Z3603" s="42"/>
      <c r="AA3603" s="42"/>
      <c r="AB3603" s="42"/>
      <c r="AC3603" s="42"/>
      <c r="AD3603" s="42"/>
      <c r="AE3603" s="42"/>
      <c r="AF3603" s="9"/>
      <c r="AG3603" s="9"/>
      <c r="AH3603" s="42"/>
      <c r="AI3603" s="42"/>
      <c r="AJ3603" s="42"/>
      <c r="AK3603" s="42"/>
      <c r="AL3603" s="42"/>
      <c r="AM3603" s="42"/>
      <c r="AN3603" s="42"/>
      <c r="AO3603" s="63" t="str">
        <f>IFERROR(__xludf.DUMMYFUNCTION("IF(ISBLANK(A3603),,IF(ISBLANK(S3603), A3603&amp;"";"", TEXTJOIN(CHAR(10), TRUE, A3603&amp;"";"", ARRAYFORMULA(VLOOKUP(SPLIT(S3603, "";"" &amp; CHAR(10)), $A:$AO, 41, FALSE)))))"),"")</f>
        <v/>
      </c>
      <c r="AP3603" s="89"/>
    </row>
    <row r="3604">
      <c r="A3604" s="42"/>
      <c r="B3604" s="42"/>
      <c r="C3604" s="42"/>
      <c r="D3604" s="42"/>
      <c r="E3604" s="39"/>
      <c r="F3604" s="9"/>
      <c r="G3604" s="9"/>
      <c r="H3604" s="9"/>
      <c r="I3604" s="9"/>
      <c r="J3604" s="9"/>
      <c r="K3604" s="9"/>
      <c r="L3604" s="9"/>
      <c r="M3604" s="9"/>
      <c r="N3604" s="9"/>
      <c r="O3604" s="9"/>
      <c r="P3604" s="9"/>
      <c r="Q3604" s="9"/>
      <c r="R3604" s="9"/>
      <c r="S3604" s="42"/>
      <c r="T3604" s="42"/>
      <c r="U3604" s="42"/>
      <c r="V3604" s="42"/>
      <c r="W3604" s="42"/>
      <c r="X3604" s="42"/>
      <c r="Y3604" s="42"/>
      <c r="Z3604" s="42"/>
      <c r="AA3604" s="42"/>
      <c r="AB3604" s="42"/>
      <c r="AC3604" s="42"/>
      <c r="AD3604" s="42"/>
      <c r="AE3604" s="42"/>
      <c r="AF3604" s="9"/>
      <c r="AG3604" s="9"/>
      <c r="AH3604" s="42"/>
      <c r="AI3604" s="42"/>
      <c r="AJ3604" s="42"/>
      <c r="AK3604" s="42"/>
      <c r="AL3604" s="42"/>
      <c r="AM3604" s="42"/>
      <c r="AN3604" s="42"/>
      <c r="AO3604" s="63" t="str">
        <f>IFERROR(__xludf.DUMMYFUNCTION("IF(ISBLANK(A3604),,IF(ISBLANK(S3604), A3604&amp;"";"", TEXTJOIN(CHAR(10), TRUE, A3604&amp;"";"", ARRAYFORMULA(VLOOKUP(SPLIT(S3604, "";"" &amp; CHAR(10)), $A:$AO, 41, FALSE)))))"),"")</f>
        <v/>
      </c>
      <c r="AP3604" s="89"/>
    </row>
    <row r="3605">
      <c r="A3605" s="42"/>
      <c r="B3605" s="42"/>
      <c r="C3605" s="42"/>
      <c r="D3605" s="42"/>
      <c r="E3605" s="39"/>
      <c r="F3605" s="9"/>
      <c r="G3605" s="9"/>
      <c r="H3605" s="9"/>
      <c r="I3605" s="9"/>
      <c r="J3605" s="9"/>
      <c r="K3605" s="9"/>
      <c r="L3605" s="9"/>
      <c r="M3605" s="9"/>
      <c r="N3605" s="9"/>
      <c r="O3605" s="9"/>
      <c r="P3605" s="9"/>
      <c r="Q3605" s="9"/>
      <c r="R3605" s="9"/>
      <c r="S3605" s="42"/>
      <c r="T3605" s="42"/>
      <c r="U3605" s="42"/>
      <c r="V3605" s="42"/>
      <c r="W3605" s="42"/>
      <c r="X3605" s="42"/>
      <c r="Y3605" s="42"/>
      <c r="Z3605" s="42"/>
      <c r="AA3605" s="42"/>
      <c r="AB3605" s="42"/>
      <c r="AC3605" s="42"/>
      <c r="AD3605" s="42"/>
      <c r="AE3605" s="42"/>
      <c r="AF3605" s="9"/>
      <c r="AG3605" s="9"/>
      <c r="AH3605" s="42"/>
      <c r="AI3605" s="42"/>
      <c r="AJ3605" s="42"/>
      <c r="AK3605" s="42"/>
      <c r="AL3605" s="42"/>
      <c r="AM3605" s="42"/>
      <c r="AN3605" s="42"/>
      <c r="AO3605" s="63" t="str">
        <f>IFERROR(__xludf.DUMMYFUNCTION("IF(ISBLANK(A3605),,IF(ISBLANK(S3605), A3605&amp;"";"", TEXTJOIN(CHAR(10), TRUE, A3605&amp;"";"", ARRAYFORMULA(VLOOKUP(SPLIT(S3605, "";"" &amp; CHAR(10)), $A:$AO, 41, FALSE)))))"),"")</f>
        <v/>
      </c>
      <c r="AP3605" s="89"/>
    </row>
    <row r="3606">
      <c r="A3606" s="42"/>
      <c r="B3606" s="42"/>
      <c r="C3606" s="42"/>
      <c r="D3606" s="42"/>
      <c r="E3606" s="39"/>
      <c r="F3606" s="9"/>
      <c r="G3606" s="9"/>
      <c r="H3606" s="9"/>
      <c r="I3606" s="9"/>
      <c r="J3606" s="9"/>
      <c r="K3606" s="9"/>
      <c r="L3606" s="9"/>
      <c r="M3606" s="9"/>
      <c r="N3606" s="9"/>
      <c r="O3606" s="9"/>
      <c r="P3606" s="9"/>
      <c r="Q3606" s="9"/>
      <c r="R3606" s="9"/>
      <c r="S3606" s="42"/>
      <c r="T3606" s="42"/>
      <c r="U3606" s="42"/>
      <c r="V3606" s="42"/>
      <c r="W3606" s="42"/>
      <c r="X3606" s="42"/>
      <c r="Y3606" s="42"/>
      <c r="Z3606" s="42"/>
      <c r="AA3606" s="42"/>
      <c r="AB3606" s="42"/>
      <c r="AC3606" s="42"/>
      <c r="AD3606" s="42"/>
      <c r="AE3606" s="42"/>
      <c r="AF3606" s="9"/>
      <c r="AG3606" s="9"/>
      <c r="AH3606" s="42"/>
      <c r="AI3606" s="42"/>
      <c r="AJ3606" s="42"/>
      <c r="AK3606" s="42"/>
      <c r="AL3606" s="42"/>
      <c r="AM3606" s="42"/>
      <c r="AN3606" s="42"/>
      <c r="AO3606" s="63" t="str">
        <f>IFERROR(__xludf.DUMMYFUNCTION("IF(ISBLANK(A3606),,IF(ISBLANK(S3606), A3606&amp;"";"", TEXTJOIN(CHAR(10), TRUE, A3606&amp;"";"", ARRAYFORMULA(VLOOKUP(SPLIT(S3606, "";"" &amp; CHAR(10)), $A:$AO, 41, FALSE)))))"),"")</f>
        <v/>
      </c>
      <c r="AP3606" s="89"/>
    </row>
    <row r="3607">
      <c r="A3607" s="42"/>
      <c r="B3607" s="42"/>
      <c r="C3607" s="42"/>
      <c r="D3607" s="42"/>
      <c r="E3607" s="39"/>
      <c r="F3607" s="9"/>
      <c r="G3607" s="9"/>
      <c r="H3607" s="9"/>
      <c r="I3607" s="9"/>
      <c r="J3607" s="9"/>
      <c r="K3607" s="9"/>
      <c r="L3607" s="9"/>
      <c r="M3607" s="9"/>
      <c r="N3607" s="9"/>
      <c r="O3607" s="9"/>
      <c r="P3607" s="9"/>
      <c r="Q3607" s="9"/>
      <c r="R3607" s="9"/>
      <c r="S3607" s="42"/>
      <c r="T3607" s="42"/>
      <c r="U3607" s="42"/>
      <c r="V3607" s="42"/>
      <c r="W3607" s="42"/>
      <c r="X3607" s="42"/>
      <c r="Y3607" s="42"/>
      <c r="Z3607" s="42"/>
      <c r="AA3607" s="42"/>
      <c r="AB3607" s="42"/>
      <c r="AC3607" s="42"/>
      <c r="AD3607" s="42"/>
      <c r="AE3607" s="42"/>
      <c r="AF3607" s="9"/>
      <c r="AG3607" s="9"/>
      <c r="AH3607" s="42"/>
      <c r="AI3607" s="42"/>
      <c r="AJ3607" s="42"/>
      <c r="AK3607" s="42"/>
      <c r="AL3607" s="42"/>
      <c r="AM3607" s="42"/>
      <c r="AN3607" s="42"/>
      <c r="AO3607" s="63" t="str">
        <f>IFERROR(__xludf.DUMMYFUNCTION("IF(ISBLANK(A3607),,IF(ISBLANK(S3607), A3607&amp;"";"", TEXTJOIN(CHAR(10), TRUE, A3607&amp;"";"", ARRAYFORMULA(VLOOKUP(SPLIT(S3607, "";"" &amp; CHAR(10)), $A:$AO, 41, FALSE)))))"),"")</f>
        <v/>
      </c>
      <c r="AP3607" s="89"/>
    </row>
    <row r="3608">
      <c r="A3608" s="42"/>
      <c r="B3608" s="42"/>
      <c r="C3608" s="42"/>
      <c r="D3608" s="42"/>
      <c r="E3608" s="39"/>
      <c r="F3608" s="9"/>
      <c r="G3608" s="9"/>
      <c r="H3608" s="9"/>
      <c r="I3608" s="9"/>
      <c r="J3608" s="9"/>
      <c r="K3608" s="9"/>
      <c r="L3608" s="9"/>
      <c r="M3608" s="9"/>
      <c r="N3608" s="9"/>
      <c r="O3608" s="9"/>
      <c r="P3608" s="9"/>
      <c r="Q3608" s="9"/>
      <c r="R3608" s="9"/>
      <c r="S3608" s="42"/>
      <c r="T3608" s="42"/>
      <c r="U3608" s="42"/>
      <c r="V3608" s="42"/>
      <c r="W3608" s="42"/>
      <c r="X3608" s="42"/>
      <c r="Y3608" s="42"/>
      <c r="Z3608" s="42"/>
      <c r="AA3608" s="42"/>
      <c r="AB3608" s="42"/>
      <c r="AC3608" s="42"/>
      <c r="AD3608" s="42"/>
      <c r="AE3608" s="42"/>
      <c r="AF3608" s="9"/>
      <c r="AG3608" s="9"/>
      <c r="AH3608" s="42"/>
      <c r="AI3608" s="42"/>
      <c r="AJ3608" s="42"/>
      <c r="AK3608" s="42"/>
      <c r="AL3608" s="42"/>
      <c r="AM3608" s="42"/>
      <c r="AN3608" s="42"/>
      <c r="AO3608" s="63" t="str">
        <f>IFERROR(__xludf.DUMMYFUNCTION("IF(ISBLANK(A3608),,IF(ISBLANK(S3608), A3608&amp;"";"", TEXTJOIN(CHAR(10), TRUE, A3608&amp;"";"", ARRAYFORMULA(VLOOKUP(SPLIT(S3608, "";"" &amp; CHAR(10)), $A:$AO, 41, FALSE)))))"),"")</f>
        <v/>
      </c>
      <c r="AP3608" s="89"/>
    </row>
    <row r="3609">
      <c r="A3609" s="42"/>
      <c r="B3609" s="42"/>
      <c r="C3609" s="42"/>
      <c r="D3609" s="42"/>
      <c r="E3609" s="39"/>
      <c r="F3609" s="9"/>
      <c r="G3609" s="9"/>
      <c r="H3609" s="9"/>
      <c r="I3609" s="9"/>
      <c r="J3609" s="9"/>
      <c r="K3609" s="9"/>
      <c r="L3609" s="9"/>
      <c r="M3609" s="9"/>
      <c r="N3609" s="9"/>
      <c r="O3609" s="9"/>
      <c r="P3609" s="9"/>
      <c r="Q3609" s="9"/>
      <c r="R3609" s="9"/>
      <c r="S3609" s="42"/>
      <c r="T3609" s="42"/>
      <c r="U3609" s="42"/>
      <c r="V3609" s="42"/>
      <c r="W3609" s="42"/>
      <c r="X3609" s="42"/>
      <c r="Y3609" s="42"/>
      <c r="Z3609" s="42"/>
      <c r="AA3609" s="42"/>
      <c r="AB3609" s="42"/>
      <c r="AC3609" s="42"/>
      <c r="AD3609" s="42"/>
      <c r="AE3609" s="42"/>
      <c r="AF3609" s="9"/>
      <c r="AG3609" s="9"/>
      <c r="AH3609" s="42"/>
      <c r="AI3609" s="42"/>
      <c r="AJ3609" s="42"/>
      <c r="AK3609" s="42"/>
      <c r="AL3609" s="42"/>
      <c r="AM3609" s="42"/>
      <c r="AN3609" s="42"/>
      <c r="AO3609" s="63" t="str">
        <f>IFERROR(__xludf.DUMMYFUNCTION("IF(ISBLANK(A3609),,IF(ISBLANK(S3609), A3609&amp;"";"", TEXTJOIN(CHAR(10), TRUE, A3609&amp;"";"", ARRAYFORMULA(VLOOKUP(SPLIT(S3609, "";"" &amp; CHAR(10)), $A:$AO, 41, FALSE)))))"),"")</f>
        <v/>
      </c>
      <c r="AP3609" s="89"/>
    </row>
    <row r="3610">
      <c r="A3610" s="42"/>
      <c r="B3610" s="42"/>
      <c r="C3610" s="42"/>
      <c r="D3610" s="42"/>
      <c r="E3610" s="39"/>
      <c r="F3610" s="9"/>
      <c r="G3610" s="9"/>
      <c r="H3610" s="9"/>
      <c r="I3610" s="9"/>
      <c r="J3610" s="9"/>
      <c r="K3610" s="9"/>
      <c r="L3610" s="9"/>
      <c r="M3610" s="9"/>
      <c r="N3610" s="9"/>
      <c r="O3610" s="9"/>
      <c r="P3610" s="9"/>
      <c r="Q3610" s="9"/>
      <c r="R3610" s="9"/>
      <c r="S3610" s="42"/>
      <c r="T3610" s="42"/>
      <c r="U3610" s="42"/>
      <c r="V3610" s="42"/>
      <c r="W3610" s="42"/>
      <c r="X3610" s="42"/>
      <c r="Y3610" s="42"/>
      <c r="Z3610" s="42"/>
      <c r="AA3610" s="42"/>
      <c r="AB3610" s="42"/>
      <c r="AC3610" s="42"/>
      <c r="AD3610" s="42"/>
      <c r="AE3610" s="42"/>
      <c r="AF3610" s="9"/>
      <c r="AG3610" s="9"/>
      <c r="AH3610" s="42"/>
      <c r="AI3610" s="42"/>
      <c r="AJ3610" s="42"/>
      <c r="AK3610" s="42"/>
      <c r="AL3610" s="42"/>
      <c r="AM3610" s="42"/>
      <c r="AN3610" s="42"/>
      <c r="AO3610" s="63" t="str">
        <f>IFERROR(__xludf.DUMMYFUNCTION("IF(ISBLANK(A3610),,IF(ISBLANK(S3610), A3610&amp;"";"", TEXTJOIN(CHAR(10), TRUE, A3610&amp;"";"", ARRAYFORMULA(VLOOKUP(SPLIT(S3610, "";"" &amp; CHAR(10)), $A:$AO, 41, FALSE)))))"),"")</f>
        <v/>
      </c>
      <c r="AP3610" s="89"/>
    </row>
    <row r="3611">
      <c r="A3611" s="42"/>
      <c r="B3611" s="42"/>
      <c r="C3611" s="42"/>
      <c r="D3611" s="42"/>
      <c r="E3611" s="39"/>
      <c r="F3611" s="9"/>
      <c r="G3611" s="9"/>
      <c r="H3611" s="9"/>
      <c r="I3611" s="9"/>
      <c r="J3611" s="9"/>
      <c r="K3611" s="9"/>
      <c r="L3611" s="9"/>
      <c r="M3611" s="9"/>
      <c r="N3611" s="9"/>
      <c r="O3611" s="9"/>
      <c r="P3611" s="9"/>
      <c r="Q3611" s="9"/>
      <c r="R3611" s="9"/>
      <c r="S3611" s="42"/>
      <c r="T3611" s="42"/>
      <c r="U3611" s="42"/>
      <c r="V3611" s="42"/>
      <c r="W3611" s="42"/>
      <c r="X3611" s="42"/>
      <c r="Y3611" s="42"/>
      <c r="Z3611" s="42"/>
      <c r="AA3611" s="42"/>
      <c r="AB3611" s="42"/>
      <c r="AC3611" s="42"/>
      <c r="AD3611" s="42"/>
      <c r="AE3611" s="42"/>
      <c r="AF3611" s="9"/>
      <c r="AG3611" s="9"/>
      <c r="AH3611" s="42"/>
      <c r="AI3611" s="42"/>
      <c r="AJ3611" s="42"/>
      <c r="AK3611" s="42"/>
      <c r="AL3611" s="42"/>
      <c r="AM3611" s="42"/>
      <c r="AN3611" s="42"/>
      <c r="AO3611" s="63" t="str">
        <f>IFERROR(__xludf.DUMMYFUNCTION("IF(ISBLANK(A3611),,IF(ISBLANK(S3611), A3611&amp;"";"", TEXTJOIN(CHAR(10), TRUE, A3611&amp;"";"", ARRAYFORMULA(VLOOKUP(SPLIT(S3611, "";"" &amp; CHAR(10)), $A:$AO, 41, FALSE)))))"),"")</f>
        <v/>
      </c>
      <c r="AP3611" s="89"/>
    </row>
    <row r="3612">
      <c r="A3612" s="42"/>
      <c r="B3612" s="42"/>
      <c r="C3612" s="42"/>
      <c r="D3612" s="42"/>
      <c r="E3612" s="39"/>
      <c r="F3612" s="9"/>
      <c r="G3612" s="9"/>
      <c r="H3612" s="9"/>
      <c r="I3612" s="9"/>
      <c r="J3612" s="9"/>
      <c r="K3612" s="9"/>
      <c r="L3612" s="9"/>
      <c r="M3612" s="9"/>
      <c r="N3612" s="9"/>
      <c r="O3612" s="9"/>
      <c r="P3612" s="9"/>
      <c r="Q3612" s="9"/>
      <c r="R3612" s="9"/>
      <c r="S3612" s="42"/>
      <c r="T3612" s="42"/>
      <c r="U3612" s="42"/>
      <c r="V3612" s="42"/>
      <c r="W3612" s="42"/>
      <c r="X3612" s="42"/>
      <c r="Y3612" s="42"/>
      <c r="Z3612" s="42"/>
      <c r="AA3612" s="42"/>
      <c r="AB3612" s="42"/>
      <c r="AC3612" s="42"/>
      <c r="AD3612" s="42"/>
      <c r="AE3612" s="42"/>
      <c r="AF3612" s="9"/>
      <c r="AG3612" s="9"/>
      <c r="AH3612" s="42"/>
      <c r="AI3612" s="42"/>
      <c r="AJ3612" s="42"/>
      <c r="AK3612" s="42"/>
      <c r="AL3612" s="42"/>
      <c r="AM3612" s="42"/>
      <c r="AN3612" s="42"/>
      <c r="AO3612" s="63" t="str">
        <f>IFERROR(__xludf.DUMMYFUNCTION("IF(ISBLANK(A3612),,IF(ISBLANK(S3612), A3612&amp;"";"", TEXTJOIN(CHAR(10), TRUE, A3612&amp;"";"", ARRAYFORMULA(VLOOKUP(SPLIT(S3612, "";"" &amp; CHAR(10)), $A:$AO, 41, FALSE)))))"),"")</f>
        <v/>
      </c>
      <c r="AP3612" s="89"/>
    </row>
    <row r="3613">
      <c r="A3613" s="42"/>
      <c r="B3613" s="42"/>
      <c r="C3613" s="42"/>
      <c r="D3613" s="42"/>
      <c r="E3613" s="39"/>
      <c r="F3613" s="9"/>
      <c r="G3613" s="9"/>
      <c r="H3613" s="9"/>
      <c r="I3613" s="9"/>
      <c r="J3613" s="9"/>
      <c r="K3613" s="9"/>
      <c r="L3613" s="9"/>
      <c r="M3613" s="9"/>
      <c r="N3613" s="9"/>
      <c r="O3613" s="9"/>
      <c r="P3613" s="9"/>
      <c r="Q3613" s="9"/>
      <c r="R3613" s="9"/>
      <c r="S3613" s="42"/>
      <c r="T3613" s="42"/>
      <c r="U3613" s="159"/>
      <c r="V3613" s="42"/>
      <c r="W3613" s="42"/>
      <c r="X3613" s="42"/>
      <c r="Y3613" s="42"/>
      <c r="Z3613" s="42"/>
      <c r="AA3613" s="42"/>
      <c r="AB3613" s="42"/>
      <c r="AC3613" s="42"/>
      <c r="AD3613" s="42"/>
      <c r="AE3613" s="42"/>
      <c r="AF3613" s="9"/>
      <c r="AG3613" s="9"/>
      <c r="AH3613" s="42"/>
      <c r="AI3613" s="42"/>
      <c r="AJ3613" s="42"/>
      <c r="AK3613" s="42"/>
      <c r="AL3613" s="42"/>
      <c r="AM3613" s="42"/>
      <c r="AN3613" s="42"/>
      <c r="AO3613" s="63" t="str">
        <f>IFERROR(__xludf.DUMMYFUNCTION("IF(ISBLANK(A3613),,IF(ISBLANK(S3613), A3613&amp;"";"", TEXTJOIN(CHAR(10), TRUE, A3613&amp;"";"", ARRAYFORMULA(VLOOKUP(SPLIT(S3613, "";"" &amp; CHAR(10)), $A:$AO, 41, FALSE)))))"),"")</f>
        <v/>
      </c>
      <c r="AP3613" s="89"/>
    </row>
    <row r="3614">
      <c r="A3614" s="42"/>
      <c r="B3614" s="42"/>
      <c r="C3614" s="42"/>
      <c r="D3614" s="42"/>
      <c r="E3614" s="39"/>
      <c r="F3614" s="9"/>
      <c r="G3614" s="9"/>
      <c r="H3614" s="9"/>
      <c r="I3614" s="9"/>
      <c r="J3614" s="9"/>
      <c r="K3614" s="9"/>
      <c r="L3614" s="9"/>
      <c r="M3614" s="9"/>
      <c r="N3614" s="9"/>
      <c r="O3614" s="9"/>
      <c r="P3614" s="9"/>
      <c r="Q3614" s="9"/>
      <c r="R3614" s="9"/>
      <c r="S3614" s="42"/>
      <c r="T3614" s="42"/>
      <c r="U3614" s="159"/>
      <c r="V3614" s="42"/>
      <c r="W3614" s="42"/>
      <c r="X3614" s="42"/>
      <c r="Y3614" s="42"/>
      <c r="Z3614" s="42"/>
      <c r="AA3614" s="42"/>
      <c r="AB3614" s="42"/>
      <c r="AC3614" s="42"/>
      <c r="AD3614" s="42"/>
      <c r="AE3614" s="42"/>
      <c r="AF3614" s="9"/>
      <c r="AG3614" s="9"/>
      <c r="AH3614" s="42"/>
      <c r="AI3614" s="42"/>
      <c r="AJ3614" s="42"/>
      <c r="AK3614" s="42"/>
      <c r="AL3614" s="42"/>
      <c r="AM3614" s="42"/>
      <c r="AN3614" s="42"/>
      <c r="AO3614" s="63" t="str">
        <f>IFERROR(__xludf.DUMMYFUNCTION("IF(ISBLANK(A3614),,IF(ISBLANK(S3614), A3614&amp;"";"", TEXTJOIN(CHAR(10), TRUE, A3614&amp;"";"", ARRAYFORMULA(VLOOKUP(SPLIT(S3614, "";"" &amp; CHAR(10)), $A:$AO, 41, FALSE)))))"),"")</f>
        <v/>
      </c>
      <c r="AP3614" s="89"/>
    </row>
    <row r="3615">
      <c r="A3615" s="42"/>
      <c r="B3615" s="42"/>
      <c r="C3615" s="42"/>
      <c r="D3615" s="42"/>
      <c r="E3615" s="39"/>
      <c r="F3615" s="9"/>
      <c r="G3615" s="9"/>
      <c r="H3615" s="9"/>
      <c r="I3615" s="9"/>
      <c r="J3615" s="9"/>
      <c r="K3615" s="9"/>
      <c r="L3615" s="9"/>
      <c r="M3615" s="9"/>
      <c r="N3615" s="9"/>
      <c r="O3615" s="9"/>
      <c r="P3615" s="9"/>
      <c r="Q3615" s="9"/>
      <c r="R3615" s="9"/>
      <c r="S3615" s="42"/>
      <c r="T3615" s="42"/>
      <c r="U3615" s="42"/>
      <c r="V3615" s="42"/>
      <c r="W3615" s="42"/>
      <c r="X3615" s="42"/>
      <c r="Y3615" s="42"/>
      <c r="Z3615" s="42"/>
      <c r="AA3615" s="42"/>
      <c r="AB3615" s="42"/>
      <c r="AC3615" s="42"/>
      <c r="AD3615" s="42"/>
      <c r="AE3615" s="42"/>
      <c r="AF3615" s="9"/>
      <c r="AG3615" s="9"/>
      <c r="AH3615" s="42"/>
      <c r="AI3615" s="42"/>
      <c r="AJ3615" s="42"/>
      <c r="AK3615" s="42"/>
      <c r="AL3615" s="42"/>
      <c r="AM3615" s="42"/>
      <c r="AN3615" s="42"/>
      <c r="AO3615" s="63" t="str">
        <f>IFERROR(__xludf.DUMMYFUNCTION("IF(ISBLANK(A3615),,IF(ISBLANK(S3615), A3615&amp;"";"", TEXTJOIN(CHAR(10), TRUE, A3615&amp;"";"", ARRAYFORMULA(VLOOKUP(SPLIT(S3615, "";"" &amp; CHAR(10)), $A:$AO, 41, FALSE)))))"),"")</f>
        <v/>
      </c>
      <c r="AP3615" s="89"/>
    </row>
    <row r="3616">
      <c r="A3616" s="42"/>
      <c r="B3616" s="42"/>
      <c r="C3616" s="42"/>
      <c r="D3616" s="42"/>
      <c r="E3616" s="39"/>
      <c r="F3616" s="9"/>
      <c r="G3616" s="9"/>
      <c r="H3616" s="9"/>
      <c r="I3616" s="9"/>
      <c r="J3616" s="9"/>
      <c r="K3616" s="9"/>
      <c r="L3616" s="9"/>
      <c r="M3616" s="9"/>
      <c r="N3616" s="9"/>
      <c r="O3616" s="9"/>
      <c r="P3616" s="9"/>
      <c r="Q3616" s="9"/>
      <c r="R3616" s="9"/>
      <c r="S3616" s="42"/>
      <c r="T3616" s="42"/>
      <c r="U3616" s="159"/>
      <c r="V3616" s="42"/>
      <c r="W3616" s="42"/>
      <c r="X3616" s="42"/>
      <c r="Y3616" s="42"/>
      <c r="Z3616" s="42"/>
      <c r="AA3616" s="42"/>
      <c r="AB3616" s="42"/>
      <c r="AC3616" s="42"/>
      <c r="AD3616" s="42"/>
      <c r="AE3616" s="42"/>
      <c r="AF3616" s="9"/>
      <c r="AG3616" s="9"/>
      <c r="AH3616" s="42"/>
      <c r="AI3616" s="42"/>
      <c r="AJ3616" s="42"/>
      <c r="AK3616" s="42"/>
      <c r="AL3616" s="42"/>
      <c r="AM3616" s="42"/>
      <c r="AN3616" s="42"/>
      <c r="AO3616" s="63" t="str">
        <f>IFERROR(__xludf.DUMMYFUNCTION("IF(ISBLANK(A3616),,IF(ISBLANK(S3616), A3616&amp;"";"", TEXTJOIN(CHAR(10), TRUE, A3616&amp;"";"", ARRAYFORMULA(VLOOKUP(SPLIT(S3616, "";"" &amp; CHAR(10)), $A:$AO, 41, FALSE)))))"),"")</f>
        <v/>
      </c>
      <c r="AP3616" s="89"/>
    </row>
    <row r="3617">
      <c r="A3617" s="42"/>
      <c r="B3617" s="42"/>
      <c r="C3617" s="42"/>
      <c r="D3617" s="42"/>
      <c r="E3617" s="39"/>
      <c r="F3617" s="9"/>
      <c r="G3617" s="9"/>
      <c r="H3617" s="9"/>
      <c r="I3617" s="9"/>
      <c r="J3617" s="9"/>
      <c r="K3617" s="9"/>
      <c r="L3617" s="9"/>
      <c r="M3617" s="9"/>
      <c r="N3617" s="9"/>
      <c r="O3617" s="9"/>
      <c r="P3617" s="9"/>
      <c r="Q3617" s="9"/>
      <c r="R3617" s="9"/>
      <c r="S3617" s="42"/>
      <c r="T3617" s="42"/>
      <c r="U3617" s="159"/>
      <c r="V3617" s="42"/>
      <c r="W3617" s="42"/>
      <c r="X3617" s="42"/>
      <c r="Y3617" s="42"/>
      <c r="Z3617" s="42"/>
      <c r="AA3617" s="42"/>
      <c r="AB3617" s="42"/>
      <c r="AC3617" s="42"/>
      <c r="AD3617" s="42"/>
      <c r="AE3617" s="42"/>
      <c r="AF3617" s="9"/>
      <c r="AG3617" s="9"/>
      <c r="AH3617" s="42"/>
      <c r="AI3617" s="42"/>
      <c r="AJ3617" s="42"/>
      <c r="AK3617" s="42"/>
      <c r="AL3617" s="42"/>
      <c r="AM3617" s="42"/>
      <c r="AN3617" s="42"/>
      <c r="AO3617" s="63" t="str">
        <f>IFERROR(__xludf.DUMMYFUNCTION("IF(ISBLANK(A3617),,IF(ISBLANK(S3617), A3617&amp;"";"", TEXTJOIN(CHAR(10), TRUE, A3617&amp;"";"", ARRAYFORMULA(VLOOKUP(SPLIT(S3617, "";"" &amp; CHAR(10)), $A:$AO, 41, FALSE)))))"),"")</f>
        <v/>
      </c>
      <c r="AP3617" s="89"/>
    </row>
    <row r="3618">
      <c r="A3618" s="42"/>
      <c r="B3618" s="42"/>
      <c r="C3618" s="42"/>
      <c r="D3618" s="42"/>
      <c r="E3618" s="39"/>
      <c r="F3618" s="9"/>
      <c r="G3618" s="9"/>
      <c r="H3618" s="9"/>
      <c r="I3618" s="9"/>
      <c r="J3618" s="9"/>
      <c r="K3618" s="9"/>
      <c r="L3618" s="9"/>
      <c r="M3618" s="9"/>
      <c r="N3618" s="9"/>
      <c r="O3618" s="9"/>
      <c r="P3618" s="9"/>
      <c r="Q3618" s="9"/>
      <c r="R3618" s="9"/>
      <c r="S3618" s="42"/>
      <c r="T3618" s="42"/>
      <c r="U3618" s="42"/>
      <c r="V3618" s="42"/>
      <c r="W3618" s="42"/>
      <c r="X3618" s="42"/>
      <c r="Y3618" s="42"/>
      <c r="Z3618" s="42"/>
      <c r="AA3618" s="42"/>
      <c r="AB3618" s="42"/>
      <c r="AC3618" s="42"/>
      <c r="AD3618" s="42"/>
      <c r="AE3618" s="42"/>
      <c r="AF3618" s="9"/>
      <c r="AG3618" s="9"/>
      <c r="AH3618" s="42"/>
      <c r="AI3618" s="42"/>
      <c r="AJ3618" s="42"/>
      <c r="AK3618" s="42"/>
      <c r="AL3618" s="42"/>
      <c r="AM3618" s="42"/>
      <c r="AN3618" s="42"/>
      <c r="AO3618" s="63" t="str">
        <f>IFERROR(__xludf.DUMMYFUNCTION("IF(ISBLANK(A3618),,IF(ISBLANK(S3618), A3618&amp;"";"", TEXTJOIN(CHAR(10), TRUE, A3618&amp;"";"", ARRAYFORMULA(VLOOKUP(SPLIT(S3618, "";"" &amp; CHAR(10)), $A:$AO, 41, FALSE)))))"),"")</f>
        <v/>
      </c>
      <c r="AP3618" s="89"/>
    </row>
    <row r="3619">
      <c r="A3619" s="42"/>
      <c r="B3619" s="42"/>
      <c r="C3619" s="42"/>
      <c r="D3619" s="42"/>
      <c r="E3619" s="39"/>
      <c r="F3619" s="9"/>
      <c r="G3619" s="9"/>
      <c r="H3619" s="9"/>
      <c r="I3619" s="9"/>
      <c r="J3619" s="9"/>
      <c r="K3619" s="9"/>
      <c r="L3619" s="9"/>
      <c r="M3619" s="9"/>
      <c r="N3619" s="9"/>
      <c r="O3619" s="9"/>
      <c r="P3619" s="9"/>
      <c r="Q3619" s="9"/>
      <c r="R3619" s="9"/>
      <c r="S3619" s="42"/>
      <c r="T3619" s="42"/>
      <c r="U3619" s="42"/>
      <c r="V3619" s="42"/>
      <c r="W3619" s="42"/>
      <c r="X3619" s="42"/>
      <c r="Y3619" s="42"/>
      <c r="Z3619" s="42"/>
      <c r="AA3619" s="42"/>
      <c r="AB3619" s="42"/>
      <c r="AC3619" s="42"/>
      <c r="AD3619" s="42"/>
      <c r="AE3619" s="42"/>
      <c r="AF3619" s="9"/>
      <c r="AG3619" s="9"/>
      <c r="AH3619" s="42"/>
      <c r="AI3619" s="42"/>
      <c r="AJ3619" s="42"/>
      <c r="AK3619" s="42"/>
      <c r="AL3619" s="42"/>
      <c r="AM3619" s="42"/>
      <c r="AN3619" s="42"/>
      <c r="AO3619" s="63" t="str">
        <f>IFERROR(__xludf.DUMMYFUNCTION("IF(ISBLANK(A3619),,IF(ISBLANK(S3619), A3619&amp;"";"", TEXTJOIN(CHAR(10), TRUE, A3619&amp;"";"", ARRAYFORMULA(VLOOKUP(SPLIT(S3619, "";"" &amp; CHAR(10)), $A:$AO, 41, FALSE)))))"),"")</f>
        <v/>
      </c>
      <c r="AP3619" s="89"/>
    </row>
    <row r="3620">
      <c r="A3620" s="42"/>
      <c r="B3620" s="42"/>
      <c r="C3620" s="42"/>
      <c r="D3620" s="42"/>
      <c r="E3620" s="39"/>
      <c r="F3620" s="9"/>
      <c r="G3620" s="9"/>
      <c r="H3620" s="9"/>
      <c r="I3620" s="9"/>
      <c r="J3620" s="9"/>
      <c r="K3620" s="9"/>
      <c r="L3620" s="9"/>
      <c r="M3620" s="9"/>
      <c r="N3620" s="9"/>
      <c r="O3620" s="9"/>
      <c r="P3620" s="9"/>
      <c r="Q3620" s="9"/>
      <c r="R3620" s="9"/>
      <c r="S3620" s="42"/>
      <c r="T3620" s="42"/>
      <c r="U3620" s="42"/>
      <c r="V3620" s="42"/>
      <c r="W3620" s="42"/>
      <c r="X3620" s="42"/>
      <c r="Y3620" s="42"/>
      <c r="Z3620" s="42"/>
      <c r="AA3620" s="42"/>
      <c r="AB3620" s="42"/>
      <c r="AC3620" s="42"/>
      <c r="AD3620" s="42"/>
      <c r="AE3620" s="42"/>
      <c r="AF3620" s="9"/>
      <c r="AG3620" s="9"/>
      <c r="AH3620" s="42"/>
      <c r="AI3620" s="42"/>
      <c r="AJ3620" s="42"/>
      <c r="AK3620" s="42"/>
      <c r="AL3620" s="42"/>
      <c r="AM3620" s="42"/>
      <c r="AN3620" s="42"/>
      <c r="AO3620" s="63" t="str">
        <f>IFERROR(__xludf.DUMMYFUNCTION("IF(ISBLANK(A3620),,IF(ISBLANK(S3620), A3620&amp;"";"", TEXTJOIN(CHAR(10), TRUE, A3620&amp;"";"", ARRAYFORMULA(VLOOKUP(SPLIT(S3620, "";"" &amp; CHAR(10)), $A:$AO, 41, FALSE)))))"),"")</f>
        <v/>
      </c>
      <c r="AP3620" s="89"/>
    </row>
    <row r="3621">
      <c r="A3621" s="42"/>
      <c r="B3621" s="42"/>
      <c r="C3621" s="42"/>
      <c r="D3621" s="42"/>
      <c r="E3621" s="39"/>
      <c r="F3621" s="9"/>
      <c r="G3621" s="9"/>
      <c r="H3621" s="9"/>
      <c r="I3621" s="9"/>
      <c r="J3621" s="9"/>
      <c r="K3621" s="9"/>
      <c r="L3621" s="9"/>
      <c r="M3621" s="9"/>
      <c r="N3621" s="9"/>
      <c r="O3621" s="9"/>
      <c r="P3621" s="9"/>
      <c r="Q3621" s="9"/>
      <c r="R3621" s="9"/>
      <c r="S3621" s="42"/>
      <c r="T3621" s="42"/>
      <c r="U3621" s="42"/>
      <c r="V3621" s="42"/>
      <c r="W3621" s="42"/>
      <c r="X3621" s="42"/>
      <c r="Y3621" s="42"/>
      <c r="Z3621" s="42"/>
      <c r="AA3621" s="42"/>
      <c r="AB3621" s="42"/>
      <c r="AC3621" s="42"/>
      <c r="AD3621" s="42"/>
      <c r="AE3621" s="42"/>
      <c r="AF3621" s="9"/>
      <c r="AG3621" s="9"/>
      <c r="AH3621" s="42"/>
      <c r="AI3621" s="42"/>
      <c r="AJ3621" s="42"/>
      <c r="AK3621" s="42"/>
      <c r="AL3621" s="42"/>
      <c r="AM3621" s="42"/>
      <c r="AN3621" s="42"/>
      <c r="AO3621" s="63" t="str">
        <f>IFERROR(__xludf.DUMMYFUNCTION("IF(ISBLANK(A3621),,IF(ISBLANK(S3621), A3621&amp;"";"", TEXTJOIN(CHAR(10), TRUE, A3621&amp;"";"", ARRAYFORMULA(VLOOKUP(SPLIT(S3621, "";"" &amp; CHAR(10)), $A:$AO, 41, FALSE)))))"),"")</f>
        <v/>
      </c>
      <c r="AP3621" s="89"/>
    </row>
    <row r="3622">
      <c r="A3622" s="42"/>
      <c r="B3622" s="42"/>
      <c r="C3622" s="42"/>
      <c r="D3622" s="42"/>
      <c r="E3622" s="39"/>
      <c r="F3622" s="9"/>
      <c r="G3622" s="9"/>
      <c r="H3622" s="9"/>
      <c r="I3622" s="9"/>
      <c r="J3622" s="9"/>
      <c r="K3622" s="9"/>
      <c r="L3622" s="9"/>
      <c r="M3622" s="9"/>
      <c r="N3622" s="9"/>
      <c r="O3622" s="9"/>
      <c r="P3622" s="9"/>
      <c r="Q3622" s="9"/>
      <c r="R3622" s="9"/>
      <c r="S3622" s="42"/>
      <c r="T3622" s="42"/>
      <c r="U3622" s="42"/>
      <c r="V3622" s="42"/>
      <c r="W3622" s="42"/>
      <c r="X3622" s="42"/>
      <c r="Y3622" s="42"/>
      <c r="Z3622" s="42"/>
      <c r="AA3622" s="42"/>
      <c r="AB3622" s="42"/>
      <c r="AC3622" s="42"/>
      <c r="AD3622" s="42"/>
      <c r="AE3622" s="42"/>
      <c r="AF3622" s="9"/>
      <c r="AG3622" s="9"/>
      <c r="AH3622" s="42"/>
      <c r="AI3622" s="42"/>
      <c r="AJ3622" s="42"/>
      <c r="AK3622" s="42"/>
      <c r="AL3622" s="42"/>
      <c r="AM3622" s="42"/>
      <c r="AN3622" s="42"/>
      <c r="AO3622" s="63" t="str">
        <f>IFERROR(__xludf.DUMMYFUNCTION("IF(ISBLANK(A3622),,IF(ISBLANK(S3622), A3622&amp;"";"", TEXTJOIN(CHAR(10), TRUE, A3622&amp;"";"", ARRAYFORMULA(VLOOKUP(SPLIT(S3622, "";"" &amp; CHAR(10)), $A:$AO, 41, FALSE)))))"),"")</f>
        <v/>
      </c>
      <c r="AP3622" s="89"/>
    </row>
    <row r="3623">
      <c r="A3623" s="42"/>
      <c r="B3623" s="42"/>
      <c r="C3623" s="42"/>
      <c r="D3623" s="42"/>
      <c r="E3623" s="39"/>
      <c r="F3623" s="9"/>
      <c r="G3623" s="9"/>
      <c r="H3623" s="9"/>
      <c r="I3623" s="9"/>
      <c r="J3623" s="9"/>
      <c r="K3623" s="9"/>
      <c r="L3623" s="9"/>
      <c r="M3623" s="9"/>
      <c r="N3623" s="9"/>
      <c r="O3623" s="9"/>
      <c r="P3623" s="9"/>
      <c r="Q3623" s="9"/>
      <c r="R3623" s="9"/>
      <c r="S3623" s="42"/>
      <c r="T3623" s="42"/>
      <c r="U3623" s="42"/>
      <c r="V3623" s="42"/>
      <c r="W3623" s="42"/>
      <c r="X3623" s="42"/>
      <c r="Y3623" s="42"/>
      <c r="Z3623" s="42"/>
      <c r="AA3623" s="42"/>
      <c r="AB3623" s="42"/>
      <c r="AC3623" s="42"/>
      <c r="AD3623" s="42"/>
      <c r="AE3623" s="42"/>
      <c r="AF3623" s="9"/>
      <c r="AG3623" s="9"/>
      <c r="AH3623" s="42"/>
      <c r="AI3623" s="42"/>
      <c r="AJ3623" s="42"/>
      <c r="AK3623" s="42"/>
      <c r="AL3623" s="42"/>
      <c r="AM3623" s="42"/>
      <c r="AN3623" s="42"/>
      <c r="AO3623" s="63" t="str">
        <f>IFERROR(__xludf.DUMMYFUNCTION("IF(ISBLANK(A3623),,IF(ISBLANK(S3623), A3623&amp;"";"", TEXTJOIN(CHAR(10), TRUE, A3623&amp;"";"", ARRAYFORMULA(VLOOKUP(SPLIT(S3623, "";"" &amp; CHAR(10)), $A:$AO, 41, FALSE)))))"),"")</f>
        <v/>
      </c>
      <c r="AP3623" s="89"/>
    </row>
    <row r="3624">
      <c r="A3624" s="42"/>
      <c r="B3624" s="42"/>
      <c r="C3624" s="42"/>
      <c r="D3624" s="42"/>
      <c r="E3624" s="39"/>
      <c r="F3624" s="9"/>
      <c r="G3624" s="9"/>
      <c r="H3624" s="9"/>
      <c r="I3624" s="9"/>
      <c r="J3624" s="9"/>
      <c r="K3624" s="9"/>
      <c r="L3624" s="9"/>
      <c r="M3624" s="9"/>
      <c r="N3624" s="9"/>
      <c r="O3624" s="9"/>
      <c r="P3624" s="9"/>
      <c r="Q3624" s="9"/>
      <c r="R3624" s="9"/>
      <c r="S3624" s="42"/>
      <c r="T3624" s="42"/>
      <c r="U3624" s="42"/>
      <c r="V3624" s="42"/>
      <c r="W3624" s="42"/>
      <c r="X3624" s="42"/>
      <c r="Y3624" s="42"/>
      <c r="Z3624" s="42"/>
      <c r="AA3624" s="42"/>
      <c r="AB3624" s="42"/>
      <c r="AC3624" s="42"/>
      <c r="AD3624" s="42"/>
      <c r="AE3624" s="42"/>
      <c r="AF3624" s="9"/>
      <c r="AG3624" s="9"/>
      <c r="AH3624" s="42"/>
      <c r="AI3624" s="42"/>
      <c r="AJ3624" s="42"/>
      <c r="AK3624" s="42"/>
      <c r="AL3624" s="42"/>
      <c r="AM3624" s="42"/>
      <c r="AN3624" s="42"/>
      <c r="AO3624" s="63" t="str">
        <f>IFERROR(__xludf.DUMMYFUNCTION("IF(ISBLANK(A3624),,IF(ISBLANK(S3624), A3624&amp;"";"", TEXTJOIN(CHAR(10), TRUE, A3624&amp;"";"", ARRAYFORMULA(VLOOKUP(SPLIT(S3624, "";"" &amp; CHAR(10)), $A:$AO, 41, FALSE)))))"),"")</f>
        <v/>
      </c>
      <c r="AP3624" s="89"/>
    </row>
    <row r="3625">
      <c r="A3625" s="42"/>
      <c r="B3625" s="42"/>
      <c r="C3625" s="42"/>
      <c r="D3625" s="42"/>
      <c r="E3625" s="39"/>
      <c r="F3625" s="9"/>
      <c r="G3625" s="9"/>
      <c r="H3625" s="9"/>
      <c r="I3625" s="9"/>
      <c r="J3625" s="9"/>
      <c r="K3625" s="9"/>
      <c r="L3625" s="9"/>
      <c r="M3625" s="9"/>
      <c r="N3625" s="9"/>
      <c r="O3625" s="9"/>
      <c r="P3625" s="9"/>
      <c r="Q3625" s="9"/>
      <c r="R3625" s="9"/>
      <c r="S3625" s="42"/>
      <c r="T3625" s="42"/>
      <c r="U3625" s="42"/>
      <c r="V3625" s="42"/>
      <c r="W3625" s="42"/>
      <c r="X3625" s="42"/>
      <c r="Y3625" s="42"/>
      <c r="Z3625" s="42"/>
      <c r="AA3625" s="42"/>
      <c r="AB3625" s="42"/>
      <c r="AC3625" s="42"/>
      <c r="AD3625" s="42"/>
      <c r="AE3625" s="42"/>
      <c r="AF3625" s="9"/>
      <c r="AG3625" s="9"/>
      <c r="AH3625" s="42"/>
      <c r="AI3625" s="42"/>
      <c r="AJ3625" s="42"/>
      <c r="AK3625" s="42"/>
      <c r="AL3625" s="42"/>
      <c r="AM3625" s="42"/>
      <c r="AN3625" s="42"/>
      <c r="AO3625" s="63" t="str">
        <f>IFERROR(__xludf.DUMMYFUNCTION("IF(ISBLANK(A3625),,IF(ISBLANK(S3625), A3625&amp;"";"", TEXTJOIN(CHAR(10), TRUE, A3625&amp;"";"", ARRAYFORMULA(VLOOKUP(SPLIT(S3625, "";"" &amp; CHAR(10)), $A:$AO, 41, FALSE)))))"),"")</f>
        <v/>
      </c>
      <c r="AP3625" s="89"/>
    </row>
    <row r="3626">
      <c r="A3626" s="42"/>
      <c r="B3626" s="42"/>
      <c r="C3626" s="42"/>
      <c r="D3626" s="42"/>
      <c r="E3626" s="39"/>
      <c r="F3626" s="9"/>
      <c r="G3626" s="9"/>
      <c r="H3626" s="9"/>
      <c r="I3626" s="9"/>
      <c r="J3626" s="9"/>
      <c r="K3626" s="9"/>
      <c r="L3626" s="9"/>
      <c r="M3626" s="9"/>
      <c r="N3626" s="9"/>
      <c r="O3626" s="9"/>
      <c r="P3626" s="9"/>
      <c r="Q3626" s="9"/>
      <c r="R3626" s="9"/>
      <c r="S3626" s="42"/>
      <c r="T3626" s="42"/>
      <c r="U3626" s="42"/>
      <c r="V3626" s="42"/>
      <c r="W3626" s="42"/>
      <c r="X3626" s="42"/>
      <c r="Y3626" s="42"/>
      <c r="Z3626" s="42"/>
      <c r="AA3626" s="42"/>
      <c r="AB3626" s="42"/>
      <c r="AC3626" s="42"/>
      <c r="AD3626" s="42"/>
      <c r="AE3626" s="42"/>
      <c r="AF3626" s="9"/>
      <c r="AG3626" s="9"/>
      <c r="AH3626" s="42"/>
      <c r="AI3626" s="42"/>
      <c r="AJ3626" s="42"/>
      <c r="AK3626" s="42"/>
      <c r="AL3626" s="42"/>
      <c r="AM3626" s="42"/>
      <c r="AN3626" s="42"/>
      <c r="AO3626" s="63" t="str">
        <f>IFERROR(__xludf.DUMMYFUNCTION("IF(ISBLANK(A3626),,IF(ISBLANK(S3626), A3626&amp;"";"", TEXTJOIN(CHAR(10), TRUE, A3626&amp;"";"", ARRAYFORMULA(VLOOKUP(SPLIT(S3626, "";"" &amp; CHAR(10)), $A:$AO, 41, FALSE)))))"),"")</f>
        <v/>
      </c>
      <c r="AP3626" s="89"/>
    </row>
    <row r="3627">
      <c r="A3627" s="42"/>
      <c r="B3627" s="42"/>
      <c r="C3627" s="42"/>
      <c r="D3627" s="42"/>
      <c r="E3627" s="39"/>
      <c r="F3627" s="9"/>
      <c r="G3627" s="9"/>
      <c r="H3627" s="9"/>
      <c r="I3627" s="9"/>
      <c r="J3627" s="9"/>
      <c r="K3627" s="9"/>
      <c r="L3627" s="9"/>
      <c r="M3627" s="9"/>
      <c r="N3627" s="9"/>
      <c r="O3627" s="9"/>
      <c r="P3627" s="9"/>
      <c r="Q3627" s="9"/>
      <c r="R3627" s="9"/>
      <c r="S3627" s="42"/>
      <c r="T3627" s="42"/>
      <c r="U3627" s="42"/>
      <c r="V3627" s="42"/>
      <c r="W3627" s="42"/>
      <c r="X3627" s="42"/>
      <c r="Y3627" s="42"/>
      <c r="Z3627" s="42"/>
      <c r="AA3627" s="42"/>
      <c r="AB3627" s="42"/>
      <c r="AC3627" s="42"/>
      <c r="AD3627" s="42"/>
      <c r="AE3627" s="42"/>
      <c r="AF3627" s="9"/>
      <c r="AG3627" s="9"/>
      <c r="AH3627" s="42"/>
      <c r="AI3627" s="42"/>
      <c r="AJ3627" s="42"/>
      <c r="AK3627" s="42"/>
      <c r="AL3627" s="42"/>
      <c r="AM3627" s="42"/>
      <c r="AN3627" s="42"/>
      <c r="AO3627" s="63" t="str">
        <f>IFERROR(__xludf.DUMMYFUNCTION("IF(ISBLANK(A3627),,IF(ISBLANK(S3627), A3627&amp;"";"", TEXTJOIN(CHAR(10), TRUE, A3627&amp;"";"", ARRAYFORMULA(VLOOKUP(SPLIT(S3627, "";"" &amp; CHAR(10)), $A:$AO, 41, FALSE)))))"),"")</f>
        <v/>
      </c>
      <c r="AP3627" s="89"/>
    </row>
    <row r="3628">
      <c r="A3628" s="42"/>
      <c r="B3628" s="42"/>
      <c r="C3628" s="42"/>
      <c r="D3628" s="42"/>
      <c r="E3628" s="39"/>
      <c r="F3628" s="9"/>
      <c r="G3628" s="9"/>
      <c r="H3628" s="9"/>
      <c r="I3628" s="9"/>
      <c r="J3628" s="9"/>
      <c r="K3628" s="9"/>
      <c r="L3628" s="9"/>
      <c r="M3628" s="9"/>
      <c r="N3628" s="9"/>
      <c r="O3628" s="9"/>
      <c r="P3628" s="9"/>
      <c r="Q3628" s="9"/>
      <c r="R3628" s="9"/>
      <c r="S3628" s="42"/>
      <c r="T3628" s="42"/>
      <c r="U3628" s="42"/>
      <c r="V3628" s="42"/>
      <c r="W3628" s="42"/>
      <c r="X3628" s="42"/>
      <c r="Y3628" s="42"/>
      <c r="Z3628" s="42"/>
      <c r="AA3628" s="42"/>
      <c r="AB3628" s="42"/>
      <c r="AC3628" s="42"/>
      <c r="AD3628" s="42"/>
      <c r="AE3628" s="42"/>
      <c r="AF3628" s="9"/>
      <c r="AG3628" s="9"/>
      <c r="AH3628" s="42"/>
      <c r="AI3628" s="42"/>
      <c r="AJ3628" s="42"/>
      <c r="AK3628" s="42"/>
      <c r="AL3628" s="42"/>
      <c r="AM3628" s="42"/>
      <c r="AN3628" s="42"/>
      <c r="AO3628" s="63" t="str">
        <f>IFERROR(__xludf.DUMMYFUNCTION("IF(ISBLANK(A3628),,IF(ISBLANK(S3628), A3628&amp;"";"", TEXTJOIN(CHAR(10), TRUE, A3628&amp;"";"", ARRAYFORMULA(VLOOKUP(SPLIT(S3628, "";"" &amp; CHAR(10)), $A:$AO, 41, FALSE)))))"),"")</f>
        <v/>
      </c>
      <c r="AP3628" s="89"/>
    </row>
    <row r="3629">
      <c r="A3629" s="42"/>
      <c r="B3629" s="42"/>
      <c r="C3629" s="42"/>
      <c r="D3629" s="42"/>
      <c r="E3629" s="39"/>
      <c r="F3629" s="9"/>
      <c r="G3629" s="9"/>
      <c r="H3629" s="9"/>
      <c r="I3629" s="9"/>
      <c r="J3629" s="9"/>
      <c r="K3629" s="9"/>
      <c r="L3629" s="9"/>
      <c r="M3629" s="9"/>
      <c r="N3629" s="9"/>
      <c r="O3629" s="9"/>
      <c r="P3629" s="9"/>
      <c r="Q3629" s="9"/>
      <c r="R3629" s="9"/>
      <c r="S3629" s="42"/>
      <c r="T3629" s="42"/>
      <c r="U3629" s="42"/>
      <c r="V3629" s="42"/>
      <c r="W3629" s="42"/>
      <c r="X3629" s="42"/>
      <c r="Y3629" s="42"/>
      <c r="Z3629" s="42"/>
      <c r="AA3629" s="42"/>
      <c r="AB3629" s="42"/>
      <c r="AC3629" s="42"/>
      <c r="AD3629" s="42"/>
      <c r="AE3629" s="42"/>
      <c r="AF3629" s="9"/>
      <c r="AG3629" s="9"/>
      <c r="AH3629" s="42"/>
      <c r="AI3629" s="42"/>
      <c r="AJ3629" s="42"/>
      <c r="AK3629" s="42"/>
      <c r="AL3629" s="42"/>
      <c r="AM3629" s="42"/>
      <c r="AN3629" s="42"/>
      <c r="AO3629" s="63" t="str">
        <f>IFERROR(__xludf.DUMMYFUNCTION("IF(ISBLANK(A3629),,IF(ISBLANK(S3629), A3629&amp;"";"", TEXTJOIN(CHAR(10), TRUE, A3629&amp;"";"", ARRAYFORMULA(VLOOKUP(SPLIT(S3629, "";"" &amp; CHAR(10)), $A:$AO, 41, FALSE)))))"),"")</f>
        <v/>
      </c>
      <c r="AP3629" s="89"/>
    </row>
    <row r="3630">
      <c r="A3630" s="42"/>
      <c r="B3630" s="42"/>
      <c r="C3630" s="42"/>
      <c r="D3630" s="42"/>
      <c r="E3630" s="39"/>
      <c r="F3630" s="9"/>
      <c r="G3630" s="9"/>
      <c r="H3630" s="9"/>
      <c r="I3630" s="9"/>
      <c r="J3630" s="9"/>
      <c r="K3630" s="9"/>
      <c r="L3630" s="9"/>
      <c r="M3630" s="9"/>
      <c r="N3630" s="9"/>
      <c r="O3630" s="9"/>
      <c r="P3630" s="9"/>
      <c r="Q3630" s="9"/>
      <c r="R3630" s="9"/>
      <c r="S3630" s="42"/>
      <c r="T3630" s="42"/>
      <c r="U3630" s="42"/>
      <c r="V3630" s="42"/>
      <c r="W3630" s="42"/>
      <c r="X3630" s="42"/>
      <c r="Y3630" s="42"/>
      <c r="Z3630" s="42"/>
      <c r="AA3630" s="42"/>
      <c r="AB3630" s="42"/>
      <c r="AC3630" s="42"/>
      <c r="AD3630" s="42"/>
      <c r="AE3630" s="42"/>
      <c r="AF3630" s="9"/>
      <c r="AG3630" s="9"/>
      <c r="AH3630" s="42"/>
      <c r="AI3630" s="42"/>
      <c r="AJ3630" s="42"/>
      <c r="AK3630" s="42"/>
      <c r="AL3630" s="42"/>
      <c r="AM3630" s="42"/>
      <c r="AN3630" s="42"/>
      <c r="AO3630" s="63" t="str">
        <f>IFERROR(__xludf.DUMMYFUNCTION("IF(ISBLANK(A3630),,IF(ISBLANK(S3630), A3630&amp;"";"", TEXTJOIN(CHAR(10), TRUE, A3630&amp;"";"", ARRAYFORMULA(VLOOKUP(SPLIT(S3630, "";"" &amp; CHAR(10)), $A:$AO, 41, FALSE)))))"),"")</f>
        <v/>
      </c>
      <c r="AP3630" s="89"/>
    </row>
    <row r="3631">
      <c r="A3631" s="42"/>
      <c r="B3631" s="42"/>
      <c r="C3631" s="42"/>
      <c r="D3631" s="42"/>
      <c r="E3631" s="39"/>
      <c r="F3631" s="9"/>
      <c r="G3631" s="9"/>
      <c r="H3631" s="9"/>
      <c r="I3631" s="9"/>
      <c r="J3631" s="9"/>
      <c r="K3631" s="9"/>
      <c r="L3631" s="9"/>
      <c r="M3631" s="9"/>
      <c r="N3631" s="9"/>
      <c r="O3631" s="9"/>
      <c r="P3631" s="9"/>
      <c r="Q3631" s="9"/>
      <c r="R3631" s="9"/>
      <c r="S3631" s="42"/>
      <c r="T3631" s="42"/>
      <c r="U3631" s="42"/>
      <c r="V3631" s="42"/>
      <c r="W3631" s="42"/>
      <c r="X3631" s="42"/>
      <c r="Y3631" s="42"/>
      <c r="Z3631" s="42"/>
      <c r="AA3631" s="42"/>
      <c r="AB3631" s="42"/>
      <c r="AC3631" s="42"/>
      <c r="AD3631" s="42"/>
      <c r="AE3631" s="42"/>
      <c r="AF3631" s="9"/>
      <c r="AG3631" s="9"/>
      <c r="AH3631" s="42"/>
      <c r="AI3631" s="42"/>
      <c r="AJ3631" s="42"/>
      <c r="AK3631" s="42"/>
      <c r="AL3631" s="42"/>
      <c r="AM3631" s="42"/>
      <c r="AN3631" s="42"/>
      <c r="AO3631" s="63" t="str">
        <f>IFERROR(__xludf.DUMMYFUNCTION("IF(ISBLANK(A3631),,IF(ISBLANK(S3631), A3631&amp;"";"", TEXTJOIN(CHAR(10), TRUE, A3631&amp;"";"", ARRAYFORMULA(VLOOKUP(SPLIT(S3631, "";"" &amp; CHAR(10)), $A:$AO, 41, FALSE)))))"),"")</f>
        <v/>
      </c>
      <c r="AP3631" s="89"/>
    </row>
    <row r="3632">
      <c r="A3632" s="42"/>
      <c r="B3632" s="42"/>
      <c r="C3632" s="42"/>
      <c r="D3632" s="42"/>
      <c r="E3632" s="39"/>
      <c r="F3632" s="9"/>
      <c r="G3632" s="9"/>
      <c r="H3632" s="9"/>
      <c r="I3632" s="9"/>
      <c r="J3632" s="9"/>
      <c r="K3632" s="9"/>
      <c r="L3632" s="9"/>
      <c r="M3632" s="9"/>
      <c r="N3632" s="9"/>
      <c r="O3632" s="9"/>
      <c r="P3632" s="9"/>
      <c r="Q3632" s="9"/>
      <c r="R3632" s="9"/>
      <c r="S3632" s="42"/>
      <c r="T3632" s="42"/>
      <c r="U3632" s="42"/>
      <c r="V3632" s="42"/>
      <c r="W3632" s="42"/>
      <c r="X3632" s="42"/>
      <c r="Y3632" s="42"/>
      <c r="Z3632" s="42"/>
      <c r="AA3632" s="42"/>
      <c r="AB3632" s="42"/>
      <c r="AC3632" s="42"/>
      <c r="AD3632" s="42"/>
      <c r="AE3632" s="42"/>
      <c r="AF3632" s="9"/>
      <c r="AG3632" s="9"/>
      <c r="AH3632" s="42"/>
      <c r="AI3632" s="42"/>
      <c r="AJ3632" s="42"/>
      <c r="AK3632" s="42"/>
      <c r="AL3632" s="42"/>
      <c r="AM3632" s="42"/>
      <c r="AN3632" s="42"/>
      <c r="AO3632" s="63" t="str">
        <f>IFERROR(__xludf.DUMMYFUNCTION("IF(ISBLANK(A3632),,IF(ISBLANK(S3632), A3632&amp;"";"", TEXTJOIN(CHAR(10), TRUE, A3632&amp;"";"", ARRAYFORMULA(VLOOKUP(SPLIT(S3632, "";"" &amp; CHAR(10)), $A:$AO, 41, FALSE)))))"),"")</f>
        <v/>
      </c>
      <c r="AP3632" s="89"/>
    </row>
    <row r="3633">
      <c r="A3633" s="42"/>
      <c r="B3633" s="42"/>
      <c r="C3633" s="42"/>
      <c r="D3633" s="42"/>
      <c r="E3633" s="39"/>
      <c r="F3633" s="9"/>
      <c r="G3633" s="9"/>
      <c r="H3633" s="9"/>
      <c r="I3633" s="9"/>
      <c r="J3633" s="9"/>
      <c r="K3633" s="9"/>
      <c r="L3633" s="9"/>
      <c r="M3633" s="9"/>
      <c r="N3633" s="9"/>
      <c r="O3633" s="9"/>
      <c r="P3633" s="9"/>
      <c r="Q3633" s="9"/>
      <c r="R3633" s="9"/>
      <c r="S3633" s="42"/>
      <c r="T3633" s="42"/>
      <c r="U3633" s="42"/>
      <c r="V3633" s="42"/>
      <c r="W3633" s="42"/>
      <c r="X3633" s="42"/>
      <c r="Y3633" s="42"/>
      <c r="Z3633" s="42"/>
      <c r="AA3633" s="42"/>
      <c r="AB3633" s="42"/>
      <c r="AC3633" s="42"/>
      <c r="AD3633" s="42"/>
      <c r="AE3633" s="42"/>
      <c r="AF3633" s="9"/>
      <c r="AG3633" s="9"/>
      <c r="AH3633" s="42"/>
      <c r="AI3633" s="42"/>
      <c r="AJ3633" s="42"/>
      <c r="AK3633" s="42"/>
      <c r="AL3633" s="42"/>
      <c r="AM3633" s="42"/>
      <c r="AN3633" s="42"/>
      <c r="AO3633" s="63" t="str">
        <f>IFERROR(__xludf.DUMMYFUNCTION("IF(ISBLANK(A3633),,IF(ISBLANK(S3633), A3633&amp;"";"", TEXTJOIN(CHAR(10), TRUE, A3633&amp;"";"", ARRAYFORMULA(VLOOKUP(SPLIT(S3633, "";"" &amp; CHAR(10)), $A:$AO, 41, FALSE)))))"),"")</f>
        <v/>
      </c>
      <c r="AP3633" s="89"/>
    </row>
    <row r="3634">
      <c r="A3634" s="42"/>
      <c r="B3634" s="42"/>
      <c r="C3634" s="42"/>
      <c r="D3634" s="42"/>
      <c r="E3634" s="39"/>
      <c r="F3634" s="9"/>
      <c r="G3634" s="9"/>
      <c r="H3634" s="9"/>
      <c r="I3634" s="9"/>
      <c r="J3634" s="9"/>
      <c r="K3634" s="9"/>
      <c r="L3634" s="9"/>
      <c r="M3634" s="9"/>
      <c r="N3634" s="9"/>
      <c r="O3634" s="9"/>
      <c r="P3634" s="9"/>
      <c r="Q3634" s="9"/>
      <c r="R3634" s="9"/>
      <c r="S3634" s="42"/>
      <c r="T3634" s="42"/>
      <c r="U3634" s="42"/>
      <c r="V3634" s="42"/>
      <c r="W3634" s="42"/>
      <c r="X3634" s="42"/>
      <c r="Y3634" s="42"/>
      <c r="Z3634" s="42"/>
      <c r="AA3634" s="42"/>
      <c r="AB3634" s="42"/>
      <c r="AC3634" s="42"/>
      <c r="AD3634" s="42"/>
      <c r="AE3634" s="42"/>
      <c r="AF3634" s="9"/>
      <c r="AG3634" s="9"/>
      <c r="AH3634" s="42"/>
      <c r="AI3634" s="42"/>
      <c r="AJ3634" s="42"/>
      <c r="AK3634" s="42"/>
      <c r="AL3634" s="42"/>
      <c r="AM3634" s="42"/>
      <c r="AN3634" s="42"/>
      <c r="AO3634" s="63" t="str">
        <f>IFERROR(__xludf.DUMMYFUNCTION("IF(ISBLANK(A3634),,IF(ISBLANK(S3634), A3634&amp;"";"", TEXTJOIN(CHAR(10), TRUE, A3634&amp;"";"", ARRAYFORMULA(VLOOKUP(SPLIT(S3634, "";"" &amp; CHAR(10)), $A:$AO, 41, FALSE)))))"),"")</f>
        <v/>
      </c>
      <c r="AP3634" s="89"/>
    </row>
    <row r="3635">
      <c r="A3635" s="42"/>
      <c r="B3635" s="42"/>
      <c r="C3635" s="42"/>
      <c r="D3635" s="42"/>
      <c r="E3635" s="39"/>
      <c r="F3635" s="9"/>
      <c r="G3635" s="9"/>
      <c r="H3635" s="9"/>
      <c r="I3635" s="9"/>
      <c r="J3635" s="9"/>
      <c r="K3635" s="9"/>
      <c r="L3635" s="9"/>
      <c r="M3635" s="9"/>
      <c r="N3635" s="9"/>
      <c r="O3635" s="9"/>
      <c r="P3635" s="9"/>
      <c r="Q3635" s="9"/>
      <c r="R3635" s="9"/>
      <c r="S3635" s="42"/>
      <c r="T3635" s="42"/>
      <c r="U3635" s="42"/>
      <c r="V3635" s="42"/>
      <c r="W3635" s="42"/>
      <c r="X3635" s="42"/>
      <c r="Y3635" s="42"/>
      <c r="Z3635" s="42"/>
      <c r="AA3635" s="42"/>
      <c r="AB3635" s="42"/>
      <c r="AC3635" s="42"/>
      <c r="AD3635" s="42"/>
      <c r="AE3635" s="42"/>
      <c r="AF3635" s="9"/>
      <c r="AG3635" s="9"/>
      <c r="AH3635" s="42"/>
      <c r="AI3635" s="42"/>
      <c r="AJ3635" s="42"/>
      <c r="AK3635" s="42"/>
      <c r="AL3635" s="42"/>
      <c r="AM3635" s="42"/>
      <c r="AN3635" s="42"/>
      <c r="AO3635" s="63" t="str">
        <f>IFERROR(__xludf.DUMMYFUNCTION("IF(ISBLANK(A3635),,IF(ISBLANK(S3635), A3635&amp;"";"", TEXTJOIN(CHAR(10), TRUE, A3635&amp;"";"", ARRAYFORMULA(VLOOKUP(SPLIT(S3635, "";"" &amp; CHAR(10)), $A:$AO, 41, FALSE)))))"),"")</f>
        <v/>
      </c>
      <c r="AP3635" s="89"/>
    </row>
    <row r="3636">
      <c r="A3636" s="42"/>
      <c r="B3636" s="42"/>
      <c r="C3636" s="42"/>
      <c r="D3636" s="42"/>
      <c r="E3636" s="39"/>
      <c r="F3636" s="9"/>
      <c r="G3636" s="9"/>
      <c r="H3636" s="9"/>
      <c r="I3636" s="9"/>
      <c r="J3636" s="9"/>
      <c r="K3636" s="9"/>
      <c r="L3636" s="9"/>
      <c r="M3636" s="9"/>
      <c r="N3636" s="9"/>
      <c r="O3636" s="9"/>
      <c r="P3636" s="9"/>
      <c r="Q3636" s="9"/>
      <c r="R3636" s="9"/>
      <c r="S3636" s="42"/>
      <c r="T3636" s="42"/>
      <c r="U3636" s="42"/>
      <c r="V3636" s="42"/>
      <c r="W3636" s="42"/>
      <c r="X3636" s="42"/>
      <c r="Y3636" s="42"/>
      <c r="Z3636" s="42"/>
      <c r="AA3636" s="42"/>
      <c r="AB3636" s="42"/>
      <c r="AC3636" s="42"/>
      <c r="AD3636" s="42"/>
      <c r="AE3636" s="42"/>
      <c r="AF3636" s="9"/>
      <c r="AG3636" s="9"/>
      <c r="AH3636" s="42"/>
      <c r="AI3636" s="42"/>
      <c r="AJ3636" s="42"/>
      <c r="AK3636" s="42"/>
      <c r="AL3636" s="42"/>
      <c r="AM3636" s="42"/>
      <c r="AN3636" s="42"/>
      <c r="AO3636" s="63" t="str">
        <f>IFERROR(__xludf.DUMMYFUNCTION("IF(ISBLANK(A3636),,IF(ISBLANK(S3636), A3636&amp;"";"", TEXTJOIN(CHAR(10), TRUE, A3636&amp;"";"", ARRAYFORMULA(VLOOKUP(SPLIT(S3636, "";"" &amp; CHAR(10)), $A:$AO, 41, FALSE)))))"),"")</f>
        <v/>
      </c>
      <c r="AP3636" s="89"/>
    </row>
    <row r="3637">
      <c r="A3637" s="42"/>
      <c r="B3637" s="42"/>
      <c r="C3637" s="42"/>
      <c r="D3637" s="42"/>
      <c r="E3637" s="39"/>
      <c r="F3637" s="9"/>
      <c r="G3637" s="9"/>
      <c r="H3637" s="9"/>
      <c r="I3637" s="9"/>
      <c r="J3637" s="9"/>
      <c r="K3637" s="9"/>
      <c r="L3637" s="9"/>
      <c r="M3637" s="9"/>
      <c r="N3637" s="9"/>
      <c r="O3637" s="9"/>
      <c r="P3637" s="9"/>
      <c r="Q3637" s="9"/>
      <c r="R3637" s="9"/>
      <c r="S3637" s="42"/>
      <c r="T3637" s="42"/>
      <c r="U3637" s="42"/>
      <c r="V3637" s="42"/>
      <c r="W3637" s="42"/>
      <c r="X3637" s="42"/>
      <c r="Y3637" s="42"/>
      <c r="Z3637" s="42"/>
      <c r="AA3637" s="42"/>
      <c r="AB3637" s="42"/>
      <c r="AC3637" s="42"/>
      <c r="AD3637" s="42"/>
      <c r="AE3637" s="42"/>
      <c r="AF3637" s="9"/>
      <c r="AG3637" s="9"/>
      <c r="AH3637" s="42"/>
      <c r="AI3637" s="42"/>
      <c r="AJ3637" s="42"/>
      <c r="AK3637" s="42"/>
      <c r="AL3637" s="42"/>
      <c r="AM3637" s="42"/>
      <c r="AN3637" s="42"/>
      <c r="AO3637" s="63" t="str">
        <f>IFERROR(__xludf.DUMMYFUNCTION("IF(ISBLANK(A3637),,IF(ISBLANK(S3637), A3637&amp;"";"", TEXTJOIN(CHAR(10), TRUE, A3637&amp;"";"", ARRAYFORMULA(VLOOKUP(SPLIT(S3637, "";"" &amp; CHAR(10)), $A:$AO, 41, FALSE)))))"),"")</f>
        <v/>
      </c>
      <c r="AP3637" s="89"/>
    </row>
    <row r="3638">
      <c r="A3638" s="42"/>
      <c r="B3638" s="42"/>
      <c r="C3638" s="42"/>
      <c r="D3638" s="42"/>
      <c r="E3638" s="39"/>
      <c r="F3638" s="9"/>
      <c r="G3638" s="9"/>
      <c r="H3638" s="9"/>
      <c r="I3638" s="9"/>
      <c r="J3638" s="9"/>
      <c r="K3638" s="9"/>
      <c r="L3638" s="9"/>
      <c r="M3638" s="9"/>
      <c r="N3638" s="9"/>
      <c r="O3638" s="9"/>
      <c r="P3638" s="9"/>
      <c r="Q3638" s="9"/>
      <c r="R3638" s="9"/>
      <c r="S3638" s="42"/>
      <c r="T3638" s="42"/>
      <c r="U3638" s="42"/>
      <c r="V3638" s="42"/>
      <c r="W3638" s="42"/>
      <c r="X3638" s="42"/>
      <c r="Y3638" s="42"/>
      <c r="Z3638" s="42"/>
      <c r="AA3638" s="42"/>
      <c r="AB3638" s="42"/>
      <c r="AC3638" s="42"/>
      <c r="AD3638" s="42"/>
      <c r="AE3638" s="42"/>
      <c r="AF3638" s="9"/>
      <c r="AG3638" s="9"/>
      <c r="AH3638" s="42"/>
      <c r="AI3638" s="42"/>
      <c r="AJ3638" s="42"/>
      <c r="AK3638" s="42"/>
      <c r="AL3638" s="42"/>
      <c r="AM3638" s="42"/>
      <c r="AN3638" s="42"/>
      <c r="AO3638" s="63" t="str">
        <f>IFERROR(__xludf.DUMMYFUNCTION("IF(ISBLANK(A3638),,IF(ISBLANK(S3638), A3638&amp;"";"", TEXTJOIN(CHAR(10), TRUE, A3638&amp;"";"", ARRAYFORMULA(VLOOKUP(SPLIT(S3638, "";"" &amp; CHAR(10)), $A:$AO, 41, FALSE)))))"),"")</f>
        <v/>
      </c>
      <c r="AP3638" s="89"/>
    </row>
    <row r="3639">
      <c r="A3639" s="42"/>
      <c r="B3639" s="42"/>
      <c r="C3639" s="42"/>
      <c r="D3639" s="42"/>
      <c r="E3639" s="39"/>
      <c r="F3639" s="9"/>
      <c r="G3639" s="9"/>
      <c r="H3639" s="9"/>
      <c r="I3639" s="9"/>
      <c r="J3639" s="9"/>
      <c r="K3639" s="9"/>
      <c r="L3639" s="9"/>
      <c r="M3639" s="9"/>
      <c r="N3639" s="9"/>
      <c r="O3639" s="9"/>
      <c r="P3639" s="9"/>
      <c r="Q3639" s="9"/>
      <c r="R3639" s="9"/>
      <c r="S3639" s="42"/>
      <c r="T3639" s="42"/>
      <c r="U3639" s="42"/>
      <c r="V3639" s="42"/>
      <c r="W3639" s="42"/>
      <c r="X3639" s="42"/>
      <c r="Y3639" s="42"/>
      <c r="Z3639" s="42"/>
      <c r="AA3639" s="42"/>
      <c r="AB3639" s="42"/>
      <c r="AC3639" s="42"/>
      <c r="AD3639" s="42"/>
      <c r="AE3639" s="42"/>
      <c r="AF3639" s="9"/>
      <c r="AG3639" s="9"/>
      <c r="AH3639" s="42"/>
      <c r="AI3639" s="42"/>
      <c r="AJ3639" s="42"/>
      <c r="AK3639" s="42"/>
      <c r="AL3639" s="42"/>
      <c r="AM3639" s="42"/>
      <c r="AN3639" s="42"/>
      <c r="AO3639" s="63" t="str">
        <f>IFERROR(__xludf.DUMMYFUNCTION("IF(ISBLANK(A3639),,IF(ISBLANK(S3639), A3639&amp;"";"", TEXTJOIN(CHAR(10), TRUE, A3639&amp;"";"", ARRAYFORMULA(VLOOKUP(SPLIT(S3639, "";"" &amp; CHAR(10)), $A:$AO, 41, FALSE)))))"),"")</f>
        <v/>
      </c>
      <c r="AP3639" s="89"/>
    </row>
    <row r="3640">
      <c r="A3640" s="42"/>
      <c r="B3640" s="42"/>
      <c r="C3640" s="42"/>
      <c r="D3640" s="42"/>
      <c r="E3640" s="39"/>
      <c r="F3640" s="9"/>
      <c r="G3640" s="9"/>
      <c r="H3640" s="9"/>
      <c r="I3640" s="9"/>
      <c r="J3640" s="9"/>
      <c r="K3640" s="9"/>
      <c r="L3640" s="9"/>
      <c r="M3640" s="9"/>
      <c r="N3640" s="9"/>
      <c r="O3640" s="9"/>
      <c r="P3640" s="9"/>
      <c r="Q3640" s="9"/>
      <c r="R3640" s="9"/>
      <c r="S3640" s="42"/>
      <c r="T3640" s="42"/>
      <c r="U3640" s="42"/>
      <c r="V3640" s="42"/>
      <c r="W3640" s="42"/>
      <c r="X3640" s="42"/>
      <c r="Y3640" s="42"/>
      <c r="Z3640" s="42"/>
      <c r="AA3640" s="42"/>
      <c r="AB3640" s="42"/>
      <c r="AC3640" s="42"/>
      <c r="AD3640" s="42"/>
      <c r="AE3640" s="42"/>
      <c r="AF3640" s="9"/>
      <c r="AG3640" s="9"/>
      <c r="AH3640" s="42"/>
      <c r="AI3640" s="42"/>
      <c r="AJ3640" s="42"/>
      <c r="AK3640" s="42"/>
      <c r="AL3640" s="42"/>
      <c r="AM3640" s="42"/>
      <c r="AN3640" s="42"/>
      <c r="AO3640" s="63" t="str">
        <f>IFERROR(__xludf.DUMMYFUNCTION("IF(ISBLANK(A3640),,IF(ISBLANK(S3640), A3640&amp;"";"", TEXTJOIN(CHAR(10), TRUE, A3640&amp;"";"", ARRAYFORMULA(VLOOKUP(SPLIT(S3640, "";"" &amp; CHAR(10)), $A:$AO, 41, FALSE)))))"),"")</f>
        <v/>
      </c>
      <c r="AP3640" s="89"/>
    </row>
    <row r="3641">
      <c r="A3641" s="42"/>
      <c r="B3641" s="42"/>
      <c r="C3641" s="42"/>
      <c r="D3641" s="42"/>
      <c r="E3641" s="39"/>
      <c r="F3641" s="9"/>
      <c r="G3641" s="9"/>
      <c r="H3641" s="9"/>
      <c r="I3641" s="9"/>
      <c r="J3641" s="9"/>
      <c r="K3641" s="9"/>
      <c r="L3641" s="9"/>
      <c r="M3641" s="9"/>
      <c r="N3641" s="9"/>
      <c r="O3641" s="9"/>
      <c r="P3641" s="9"/>
      <c r="Q3641" s="9"/>
      <c r="R3641" s="9"/>
      <c r="S3641" s="42"/>
      <c r="T3641" s="42"/>
      <c r="U3641" s="42"/>
      <c r="V3641" s="42"/>
      <c r="W3641" s="42"/>
      <c r="X3641" s="42"/>
      <c r="Y3641" s="42"/>
      <c r="Z3641" s="42"/>
      <c r="AA3641" s="42"/>
      <c r="AB3641" s="42"/>
      <c r="AC3641" s="42"/>
      <c r="AD3641" s="42"/>
      <c r="AE3641" s="42"/>
      <c r="AF3641" s="9"/>
      <c r="AG3641" s="9"/>
      <c r="AH3641" s="42"/>
      <c r="AI3641" s="42"/>
      <c r="AJ3641" s="42"/>
      <c r="AK3641" s="42"/>
      <c r="AL3641" s="42"/>
      <c r="AM3641" s="42"/>
      <c r="AN3641" s="42"/>
      <c r="AO3641" s="63" t="str">
        <f>IFERROR(__xludf.DUMMYFUNCTION("IF(ISBLANK(A3641),,IF(ISBLANK(S3641), A3641&amp;"";"", TEXTJOIN(CHAR(10), TRUE, A3641&amp;"";"", ARRAYFORMULA(VLOOKUP(SPLIT(S3641, "";"" &amp; CHAR(10)), $A:$AO, 41, FALSE)))))"),"")</f>
        <v/>
      </c>
      <c r="AP3641" s="89"/>
    </row>
    <row r="3642">
      <c r="A3642" s="42"/>
      <c r="B3642" s="42"/>
      <c r="C3642" s="42"/>
      <c r="D3642" s="42"/>
      <c r="E3642" s="39"/>
      <c r="F3642" s="9"/>
      <c r="G3642" s="9"/>
      <c r="H3642" s="9"/>
      <c r="I3642" s="9"/>
      <c r="J3642" s="9"/>
      <c r="K3642" s="9"/>
      <c r="L3642" s="9"/>
      <c r="M3642" s="9"/>
      <c r="N3642" s="9"/>
      <c r="O3642" s="9"/>
      <c r="P3642" s="9"/>
      <c r="Q3642" s="9"/>
      <c r="R3642" s="9"/>
      <c r="S3642" s="42"/>
      <c r="T3642" s="42"/>
      <c r="U3642" s="42"/>
      <c r="V3642" s="42"/>
      <c r="W3642" s="42"/>
      <c r="X3642" s="42"/>
      <c r="Y3642" s="42"/>
      <c r="Z3642" s="42"/>
      <c r="AA3642" s="42"/>
      <c r="AB3642" s="42"/>
      <c r="AC3642" s="42"/>
      <c r="AD3642" s="42"/>
      <c r="AE3642" s="42"/>
      <c r="AF3642" s="9"/>
      <c r="AG3642" s="9"/>
      <c r="AH3642" s="42"/>
      <c r="AI3642" s="42"/>
      <c r="AJ3642" s="42"/>
      <c r="AK3642" s="42"/>
      <c r="AL3642" s="42"/>
      <c r="AM3642" s="42"/>
      <c r="AN3642" s="42"/>
      <c r="AO3642" s="63" t="str">
        <f>IFERROR(__xludf.DUMMYFUNCTION("IF(ISBLANK(A3642),,IF(ISBLANK(S3642), A3642&amp;"";"", TEXTJOIN(CHAR(10), TRUE, A3642&amp;"";"", ARRAYFORMULA(VLOOKUP(SPLIT(S3642, "";"" &amp; CHAR(10)), $A:$AO, 41, FALSE)))))"),"")</f>
        <v/>
      </c>
      <c r="AP3642" s="89"/>
    </row>
    <row r="3643">
      <c r="A3643" s="42"/>
      <c r="B3643" s="42"/>
      <c r="C3643" s="42"/>
      <c r="D3643" s="42"/>
      <c r="E3643" s="39"/>
      <c r="F3643" s="9"/>
      <c r="G3643" s="9"/>
      <c r="H3643" s="9"/>
      <c r="I3643" s="9"/>
      <c r="J3643" s="9"/>
      <c r="K3643" s="9"/>
      <c r="L3643" s="9"/>
      <c r="M3643" s="9"/>
      <c r="N3643" s="9"/>
      <c r="O3643" s="9"/>
      <c r="P3643" s="9"/>
      <c r="Q3643" s="9"/>
      <c r="R3643" s="9"/>
      <c r="S3643" s="42"/>
      <c r="T3643" s="42"/>
      <c r="U3643" s="42"/>
      <c r="V3643" s="42"/>
      <c r="W3643" s="42"/>
      <c r="X3643" s="42"/>
      <c r="Y3643" s="42"/>
      <c r="Z3643" s="42"/>
      <c r="AA3643" s="42"/>
      <c r="AB3643" s="42"/>
      <c r="AC3643" s="42"/>
      <c r="AD3643" s="42"/>
      <c r="AE3643" s="42"/>
      <c r="AF3643" s="9"/>
      <c r="AG3643" s="9"/>
      <c r="AH3643" s="42"/>
      <c r="AI3643" s="42"/>
      <c r="AJ3643" s="42"/>
      <c r="AK3643" s="42"/>
      <c r="AL3643" s="42"/>
      <c r="AM3643" s="42"/>
      <c r="AN3643" s="42"/>
      <c r="AO3643" s="63" t="str">
        <f>IFERROR(__xludf.DUMMYFUNCTION("IF(ISBLANK(A3643),,IF(ISBLANK(S3643), A3643&amp;"";"", TEXTJOIN(CHAR(10), TRUE, A3643&amp;"";"", ARRAYFORMULA(VLOOKUP(SPLIT(S3643, "";"" &amp; CHAR(10)), $A:$AO, 41, FALSE)))))"),"")</f>
        <v/>
      </c>
      <c r="AP3643" s="89"/>
    </row>
    <row r="3644">
      <c r="A3644" s="42"/>
      <c r="B3644" s="42"/>
      <c r="C3644" s="42"/>
      <c r="D3644" s="42"/>
      <c r="E3644" s="39"/>
      <c r="F3644" s="9"/>
      <c r="G3644" s="9"/>
      <c r="H3644" s="9"/>
      <c r="I3644" s="9"/>
      <c r="J3644" s="9"/>
      <c r="K3644" s="9"/>
      <c r="L3644" s="9"/>
      <c r="M3644" s="9"/>
      <c r="N3644" s="9"/>
      <c r="O3644" s="9"/>
      <c r="P3644" s="9"/>
      <c r="Q3644" s="9"/>
      <c r="R3644" s="9"/>
      <c r="S3644" s="42"/>
      <c r="T3644" s="42"/>
      <c r="U3644" s="42"/>
      <c r="V3644" s="42"/>
      <c r="W3644" s="42"/>
      <c r="X3644" s="42"/>
      <c r="Y3644" s="42"/>
      <c r="Z3644" s="42"/>
      <c r="AA3644" s="42"/>
      <c r="AB3644" s="42"/>
      <c r="AC3644" s="42"/>
      <c r="AD3644" s="42"/>
      <c r="AE3644" s="42"/>
      <c r="AF3644" s="9"/>
      <c r="AG3644" s="9"/>
      <c r="AH3644" s="42"/>
      <c r="AI3644" s="42"/>
      <c r="AJ3644" s="42"/>
      <c r="AK3644" s="42"/>
      <c r="AL3644" s="42"/>
      <c r="AM3644" s="42"/>
      <c r="AN3644" s="42"/>
      <c r="AO3644" s="63" t="str">
        <f>IFERROR(__xludf.DUMMYFUNCTION("IF(ISBLANK(A3644),,IF(ISBLANK(S3644), A3644&amp;"";"", TEXTJOIN(CHAR(10), TRUE, A3644&amp;"";"", ARRAYFORMULA(VLOOKUP(SPLIT(S3644, "";"" &amp; CHAR(10)), $A:$AO, 41, FALSE)))))"),"")</f>
        <v/>
      </c>
      <c r="AP3644" s="89"/>
    </row>
    <row r="3645">
      <c r="A3645" s="42"/>
      <c r="B3645" s="42"/>
      <c r="C3645" s="42"/>
      <c r="D3645" s="42"/>
      <c r="E3645" s="39"/>
      <c r="F3645" s="9"/>
      <c r="G3645" s="9"/>
      <c r="H3645" s="9"/>
      <c r="I3645" s="9"/>
      <c r="J3645" s="9"/>
      <c r="K3645" s="9"/>
      <c r="L3645" s="9"/>
      <c r="M3645" s="9"/>
      <c r="N3645" s="9"/>
      <c r="O3645" s="9"/>
      <c r="P3645" s="9"/>
      <c r="Q3645" s="9"/>
      <c r="R3645" s="9"/>
      <c r="S3645" s="42"/>
      <c r="T3645" s="42"/>
      <c r="U3645" s="42"/>
      <c r="V3645" s="42"/>
      <c r="W3645" s="42"/>
      <c r="X3645" s="42"/>
      <c r="Y3645" s="42"/>
      <c r="Z3645" s="42"/>
      <c r="AA3645" s="42"/>
      <c r="AB3645" s="42"/>
      <c r="AC3645" s="42"/>
      <c r="AD3645" s="42"/>
      <c r="AE3645" s="42"/>
      <c r="AF3645" s="9"/>
      <c r="AG3645" s="9"/>
      <c r="AH3645" s="42"/>
      <c r="AI3645" s="42"/>
      <c r="AJ3645" s="42"/>
      <c r="AK3645" s="42"/>
      <c r="AL3645" s="42"/>
      <c r="AM3645" s="42"/>
      <c r="AN3645" s="42"/>
      <c r="AO3645" s="63" t="str">
        <f>IFERROR(__xludf.DUMMYFUNCTION("IF(ISBLANK(A3645),,IF(ISBLANK(S3645), A3645&amp;"";"", TEXTJOIN(CHAR(10), TRUE, A3645&amp;"";"", ARRAYFORMULA(VLOOKUP(SPLIT(S3645, "";"" &amp; CHAR(10)), $A:$AO, 41, FALSE)))))"),"")</f>
        <v/>
      </c>
      <c r="AP3645" s="89"/>
    </row>
    <row r="3646">
      <c r="A3646" s="42"/>
      <c r="B3646" s="42"/>
      <c r="C3646" s="42"/>
      <c r="D3646" s="42"/>
      <c r="E3646" s="39"/>
      <c r="F3646" s="9"/>
      <c r="G3646" s="9"/>
      <c r="H3646" s="9"/>
      <c r="I3646" s="9"/>
      <c r="J3646" s="9"/>
      <c r="K3646" s="9"/>
      <c r="L3646" s="9"/>
      <c r="M3646" s="9"/>
      <c r="N3646" s="9"/>
      <c r="O3646" s="9"/>
      <c r="P3646" s="9"/>
      <c r="Q3646" s="9"/>
      <c r="R3646" s="9"/>
      <c r="S3646" s="42"/>
      <c r="T3646" s="42"/>
      <c r="U3646" s="42"/>
      <c r="V3646" s="42"/>
      <c r="W3646" s="42"/>
      <c r="X3646" s="42"/>
      <c r="Y3646" s="42"/>
      <c r="Z3646" s="42"/>
      <c r="AA3646" s="42"/>
      <c r="AB3646" s="42"/>
      <c r="AC3646" s="42"/>
      <c r="AD3646" s="42"/>
      <c r="AE3646" s="42"/>
      <c r="AF3646" s="9"/>
      <c r="AG3646" s="9"/>
      <c r="AH3646" s="42"/>
      <c r="AI3646" s="42"/>
      <c r="AJ3646" s="42"/>
      <c r="AK3646" s="42"/>
      <c r="AL3646" s="42"/>
      <c r="AM3646" s="42"/>
      <c r="AN3646" s="42"/>
      <c r="AO3646" s="63" t="str">
        <f>IFERROR(__xludf.DUMMYFUNCTION("IF(ISBLANK(A3646),,IF(ISBLANK(S3646), A3646&amp;"";"", TEXTJOIN(CHAR(10), TRUE, A3646&amp;"";"", ARRAYFORMULA(VLOOKUP(SPLIT(S3646, "";"" &amp; CHAR(10)), $A:$AO, 41, FALSE)))))"),"")</f>
        <v/>
      </c>
      <c r="AP3646" s="89"/>
    </row>
    <row r="3647">
      <c r="A3647" s="42"/>
      <c r="B3647" s="42"/>
      <c r="C3647" s="42"/>
      <c r="D3647" s="42"/>
      <c r="E3647" s="39"/>
      <c r="F3647" s="9"/>
      <c r="G3647" s="9"/>
      <c r="H3647" s="9"/>
      <c r="I3647" s="9"/>
      <c r="J3647" s="9"/>
      <c r="K3647" s="9"/>
      <c r="L3647" s="9"/>
      <c r="M3647" s="9"/>
      <c r="N3647" s="9"/>
      <c r="O3647" s="9"/>
      <c r="P3647" s="9"/>
      <c r="Q3647" s="9"/>
      <c r="R3647" s="9"/>
      <c r="S3647" s="42"/>
      <c r="T3647" s="42"/>
      <c r="U3647" s="42"/>
      <c r="V3647" s="42"/>
      <c r="W3647" s="42"/>
      <c r="X3647" s="42"/>
      <c r="Y3647" s="42"/>
      <c r="Z3647" s="42"/>
      <c r="AA3647" s="42"/>
      <c r="AB3647" s="42"/>
      <c r="AC3647" s="42"/>
      <c r="AD3647" s="42"/>
      <c r="AE3647" s="42"/>
      <c r="AF3647" s="9"/>
      <c r="AG3647" s="9"/>
      <c r="AH3647" s="42"/>
      <c r="AI3647" s="42"/>
      <c r="AJ3647" s="42"/>
      <c r="AK3647" s="42"/>
      <c r="AL3647" s="42"/>
      <c r="AM3647" s="42"/>
      <c r="AN3647" s="42"/>
      <c r="AO3647" s="63" t="str">
        <f>IFERROR(__xludf.DUMMYFUNCTION("IF(ISBLANK(A3647),,IF(ISBLANK(S3647), A3647&amp;"";"", TEXTJOIN(CHAR(10), TRUE, A3647&amp;"";"", ARRAYFORMULA(VLOOKUP(SPLIT(S3647, "";"" &amp; CHAR(10)), $A:$AO, 41, FALSE)))))"),"")</f>
        <v/>
      </c>
      <c r="AP3647" s="89"/>
    </row>
    <row r="3648">
      <c r="A3648" s="42"/>
      <c r="B3648" s="42"/>
      <c r="C3648" s="42"/>
      <c r="D3648" s="42"/>
      <c r="E3648" s="39"/>
      <c r="F3648" s="9"/>
      <c r="G3648" s="9"/>
      <c r="H3648" s="9"/>
      <c r="I3648" s="9"/>
      <c r="J3648" s="9"/>
      <c r="K3648" s="9"/>
      <c r="L3648" s="9"/>
      <c r="M3648" s="9"/>
      <c r="N3648" s="9"/>
      <c r="O3648" s="9"/>
      <c r="P3648" s="9"/>
      <c r="Q3648" s="9"/>
      <c r="R3648" s="9"/>
      <c r="S3648" s="42"/>
      <c r="T3648" s="42"/>
      <c r="U3648" s="42"/>
      <c r="V3648" s="42"/>
      <c r="W3648" s="42"/>
      <c r="X3648" s="42"/>
      <c r="Y3648" s="42"/>
      <c r="Z3648" s="42"/>
      <c r="AA3648" s="42"/>
      <c r="AB3648" s="42"/>
      <c r="AC3648" s="42"/>
      <c r="AD3648" s="42"/>
      <c r="AE3648" s="42"/>
      <c r="AF3648" s="9"/>
      <c r="AG3648" s="9"/>
      <c r="AH3648" s="42"/>
      <c r="AI3648" s="42"/>
      <c r="AJ3648" s="42"/>
      <c r="AK3648" s="42"/>
      <c r="AL3648" s="42"/>
      <c r="AM3648" s="42"/>
      <c r="AN3648" s="42"/>
      <c r="AO3648" s="63" t="str">
        <f>IFERROR(__xludf.DUMMYFUNCTION("IF(ISBLANK(A3648),,IF(ISBLANK(S3648), A3648&amp;"";"", TEXTJOIN(CHAR(10), TRUE, A3648&amp;"";"", ARRAYFORMULA(VLOOKUP(SPLIT(S3648, "";"" &amp; CHAR(10)), $A:$AO, 41, FALSE)))))"),"")</f>
        <v/>
      </c>
      <c r="AP3648" s="89"/>
    </row>
    <row r="3649">
      <c r="A3649" s="42"/>
      <c r="B3649" s="42"/>
      <c r="C3649" s="42"/>
      <c r="D3649" s="42"/>
      <c r="E3649" s="39"/>
      <c r="F3649" s="9"/>
      <c r="G3649" s="9"/>
      <c r="H3649" s="9"/>
      <c r="I3649" s="9"/>
      <c r="J3649" s="9"/>
      <c r="K3649" s="9"/>
      <c r="L3649" s="9"/>
      <c r="M3649" s="9"/>
      <c r="N3649" s="9"/>
      <c r="O3649" s="9"/>
      <c r="P3649" s="9"/>
      <c r="Q3649" s="9"/>
      <c r="R3649" s="9"/>
      <c r="S3649" s="42"/>
      <c r="T3649" s="42"/>
      <c r="U3649" s="42"/>
      <c r="V3649" s="42"/>
      <c r="W3649" s="42"/>
      <c r="X3649" s="42"/>
      <c r="Y3649" s="42"/>
      <c r="Z3649" s="42"/>
      <c r="AA3649" s="42"/>
      <c r="AB3649" s="42"/>
      <c r="AC3649" s="42"/>
      <c r="AD3649" s="42"/>
      <c r="AE3649" s="42"/>
      <c r="AF3649" s="9"/>
      <c r="AG3649" s="9"/>
      <c r="AH3649" s="42"/>
      <c r="AI3649" s="42"/>
      <c r="AJ3649" s="42"/>
      <c r="AK3649" s="42"/>
      <c r="AL3649" s="42"/>
      <c r="AM3649" s="42"/>
      <c r="AN3649" s="42"/>
      <c r="AO3649" s="63" t="str">
        <f>IFERROR(__xludf.DUMMYFUNCTION("IF(ISBLANK(A3649),,IF(ISBLANK(S3649), A3649&amp;"";"", TEXTJOIN(CHAR(10), TRUE, A3649&amp;"";"", ARRAYFORMULA(VLOOKUP(SPLIT(S3649, "";"" &amp; CHAR(10)), $A:$AO, 41, FALSE)))))"),"")</f>
        <v/>
      </c>
      <c r="AP3649" s="89"/>
    </row>
    <row r="3650">
      <c r="A3650" s="42"/>
      <c r="B3650" s="42"/>
      <c r="C3650" s="42"/>
      <c r="D3650" s="42"/>
      <c r="E3650" s="39"/>
      <c r="F3650" s="9"/>
      <c r="G3650" s="9"/>
      <c r="H3650" s="9"/>
      <c r="I3650" s="9"/>
      <c r="J3650" s="9"/>
      <c r="K3650" s="9"/>
      <c r="L3650" s="9"/>
      <c r="M3650" s="9"/>
      <c r="N3650" s="9"/>
      <c r="O3650" s="9"/>
      <c r="P3650" s="9"/>
      <c r="Q3650" s="9"/>
      <c r="R3650" s="9"/>
      <c r="S3650" s="42"/>
      <c r="T3650" s="42"/>
      <c r="U3650" s="42"/>
      <c r="V3650" s="42"/>
      <c r="W3650" s="42"/>
      <c r="X3650" s="42"/>
      <c r="Y3650" s="42"/>
      <c r="Z3650" s="42"/>
      <c r="AA3650" s="42"/>
      <c r="AB3650" s="42"/>
      <c r="AC3650" s="42"/>
      <c r="AD3650" s="42"/>
      <c r="AE3650" s="42"/>
      <c r="AF3650" s="9"/>
      <c r="AG3650" s="9"/>
      <c r="AH3650" s="42"/>
      <c r="AI3650" s="42"/>
      <c r="AJ3650" s="42"/>
      <c r="AK3650" s="42"/>
      <c r="AL3650" s="42"/>
      <c r="AM3650" s="42"/>
      <c r="AN3650" s="42"/>
      <c r="AO3650" s="63" t="str">
        <f>IFERROR(__xludf.DUMMYFUNCTION("IF(ISBLANK(A3650),,IF(ISBLANK(S3650), A3650&amp;"";"", TEXTJOIN(CHAR(10), TRUE, A3650&amp;"";"", ARRAYFORMULA(VLOOKUP(SPLIT(S3650, "";"" &amp; CHAR(10)), $A:$AO, 41, FALSE)))))"),"")</f>
        <v/>
      </c>
      <c r="AP3650" s="89"/>
    </row>
    <row r="3651">
      <c r="A3651" s="42"/>
      <c r="B3651" s="42"/>
      <c r="C3651" s="42"/>
      <c r="D3651" s="42"/>
      <c r="E3651" s="39"/>
      <c r="F3651" s="9"/>
      <c r="G3651" s="9"/>
      <c r="H3651" s="9"/>
      <c r="I3651" s="9"/>
      <c r="J3651" s="9"/>
      <c r="K3651" s="9"/>
      <c r="L3651" s="9"/>
      <c r="M3651" s="9"/>
      <c r="N3651" s="9"/>
      <c r="O3651" s="9"/>
      <c r="P3651" s="9"/>
      <c r="Q3651" s="9"/>
      <c r="R3651" s="9"/>
      <c r="S3651" s="42"/>
      <c r="T3651" s="42"/>
      <c r="U3651" s="42"/>
      <c r="V3651" s="42"/>
      <c r="W3651" s="42"/>
      <c r="X3651" s="42"/>
      <c r="Y3651" s="42"/>
      <c r="Z3651" s="42"/>
      <c r="AA3651" s="42"/>
      <c r="AB3651" s="42"/>
      <c r="AC3651" s="42"/>
      <c r="AD3651" s="42"/>
      <c r="AE3651" s="42"/>
      <c r="AF3651" s="9"/>
      <c r="AG3651" s="9"/>
      <c r="AH3651" s="42"/>
      <c r="AI3651" s="42"/>
      <c r="AJ3651" s="42"/>
      <c r="AK3651" s="42"/>
      <c r="AL3651" s="42"/>
      <c r="AM3651" s="42"/>
      <c r="AN3651" s="42"/>
      <c r="AO3651" s="63" t="str">
        <f>IFERROR(__xludf.DUMMYFUNCTION("IF(ISBLANK(A3651),,IF(ISBLANK(S3651), A3651&amp;"";"", TEXTJOIN(CHAR(10), TRUE, A3651&amp;"";"", ARRAYFORMULA(VLOOKUP(SPLIT(S3651, "";"" &amp; CHAR(10)), $A:$AO, 41, FALSE)))))"),"")</f>
        <v/>
      </c>
      <c r="AP3651" s="89"/>
    </row>
    <row r="3652">
      <c r="A3652" s="42"/>
      <c r="B3652" s="42"/>
      <c r="C3652" s="42"/>
      <c r="D3652" s="42"/>
      <c r="E3652" s="39"/>
      <c r="F3652" s="9"/>
      <c r="G3652" s="9"/>
      <c r="H3652" s="9"/>
      <c r="I3652" s="9"/>
      <c r="J3652" s="9"/>
      <c r="K3652" s="9"/>
      <c r="L3652" s="9"/>
      <c r="M3652" s="9"/>
      <c r="N3652" s="9"/>
      <c r="O3652" s="9"/>
      <c r="P3652" s="9"/>
      <c r="Q3652" s="9"/>
      <c r="R3652" s="9"/>
      <c r="S3652" s="42"/>
      <c r="T3652" s="42"/>
      <c r="U3652" s="42"/>
      <c r="V3652" s="42"/>
      <c r="W3652" s="42"/>
      <c r="X3652" s="42"/>
      <c r="Y3652" s="42"/>
      <c r="Z3652" s="42"/>
      <c r="AA3652" s="42"/>
      <c r="AB3652" s="42"/>
      <c r="AC3652" s="42"/>
      <c r="AD3652" s="42"/>
      <c r="AE3652" s="42"/>
      <c r="AF3652" s="9"/>
      <c r="AG3652" s="9"/>
      <c r="AH3652" s="42"/>
      <c r="AI3652" s="42"/>
      <c r="AJ3652" s="42"/>
      <c r="AK3652" s="42"/>
      <c r="AL3652" s="42"/>
      <c r="AM3652" s="42"/>
      <c r="AN3652" s="42"/>
      <c r="AO3652" s="63" t="str">
        <f>IFERROR(__xludf.DUMMYFUNCTION("IF(ISBLANK(A3652),,IF(ISBLANK(S3652), A3652&amp;"";"", TEXTJOIN(CHAR(10), TRUE, A3652&amp;"";"", ARRAYFORMULA(VLOOKUP(SPLIT(S3652, "";"" &amp; CHAR(10)), $A:$AO, 41, FALSE)))))"),"")</f>
        <v/>
      </c>
      <c r="AP3652" s="89"/>
    </row>
    <row r="3653">
      <c r="A3653" s="42"/>
      <c r="B3653" s="42"/>
      <c r="C3653" s="42"/>
      <c r="D3653" s="42"/>
      <c r="E3653" s="39"/>
      <c r="F3653" s="9"/>
      <c r="G3653" s="9"/>
      <c r="H3653" s="9"/>
      <c r="I3653" s="9"/>
      <c r="J3653" s="9"/>
      <c r="K3653" s="9"/>
      <c r="L3653" s="9"/>
      <c r="M3653" s="9"/>
      <c r="N3653" s="9"/>
      <c r="O3653" s="9"/>
      <c r="P3653" s="9"/>
      <c r="Q3653" s="9"/>
      <c r="R3653" s="9"/>
      <c r="S3653" s="42"/>
      <c r="T3653" s="42"/>
      <c r="U3653" s="42"/>
      <c r="V3653" s="42"/>
      <c r="W3653" s="42"/>
      <c r="X3653" s="42"/>
      <c r="Y3653" s="42"/>
      <c r="Z3653" s="42"/>
      <c r="AA3653" s="42"/>
      <c r="AB3653" s="42"/>
      <c r="AC3653" s="42"/>
      <c r="AD3653" s="42"/>
      <c r="AE3653" s="42"/>
      <c r="AF3653" s="9"/>
      <c r="AG3653" s="9"/>
      <c r="AH3653" s="42"/>
      <c r="AI3653" s="42"/>
      <c r="AJ3653" s="42"/>
      <c r="AK3653" s="42"/>
      <c r="AL3653" s="42"/>
      <c r="AM3653" s="42"/>
      <c r="AN3653" s="42"/>
      <c r="AO3653" s="63" t="str">
        <f>IFERROR(__xludf.DUMMYFUNCTION("IF(ISBLANK(A3653),,IF(ISBLANK(S3653), A3653&amp;"";"", TEXTJOIN(CHAR(10), TRUE, A3653&amp;"";"", ARRAYFORMULA(VLOOKUP(SPLIT(S3653, "";"" &amp; CHAR(10)), $A:$AO, 41, FALSE)))))"),"")</f>
        <v/>
      </c>
      <c r="AP3653" s="89"/>
    </row>
    <row r="3654">
      <c r="A3654" s="42"/>
      <c r="B3654" s="42"/>
      <c r="C3654" s="42"/>
      <c r="D3654" s="42"/>
      <c r="E3654" s="39"/>
      <c r="F3654" s="9"/>
      <c r="G3654" s="9"/>
      <c r="H3654" s="9"/>
      <c r="I3654" s="9"/>
      <c r="J3654" s="9"/>
      <c r="K3654" s="9"/>
      <c r="L3654" s="9"/>
      <c r="M3654" s="9"/>
      <c r="N3654" s="9"/>
      <c r="O3654" s="9"/>
      <c r="P3654" s="9"/>
      <c r="Q3654" s="9"/>
      <c r="R3654" s="9"/>
      <c r="S3654" s="42"/>
      <c r="T3654" s="42"/>
      <c r="U3654" s="42"/>
      <c r="V3654" s="42"/>
      <c r="W3654" s="42"/>
      <c r="X3654" s="42"/>
      <c r="Y3654" s="42"/>
      <c r="Z3654" s="42"/>
      <c r="AA3654" s="42"/>
      <c r="AB3654" s="42"/>
      <c r="AC3654" s="42"/>
      <c r="AD3654" s="42"/>
      <c r="AE3654" s="42"/>
      <c r="AF3654" s="9"/>
      <c r="AG3654" s="9"/>
      <c r="AH3654" s="42"/>
      <c r="AI3654" s="42"/>
      <c r="AJ3654" s="42"/>
      <c r="AK3654" s="42"/>
      <c r="AL3654" s="42"/>
      <c r="AM3654" s="42"/>
      <c r="AN3654" s="42"/>
      <c r="AO3654" s="63" t="str">
        <f>IFERROR(__xludf.DUMMYFUNCTION("IF(ISBLANK(A3654),,IF(ISBLANK(S3654), A3654&amp;"";"", TEXTJOIN(CHAR(10), TRUE, A3654&amp;"";"", ARRAYFORMULA(VLOOKUP(SPLIT(S3654, "";"" &amp; CHAR(10)), $A:$AO, 41, FALSE)))))"),"")</f>
        <v/>
      </c>
      <c r="AP3654" s="89"/>
    </row>
    <row r="3655">
      <c r="A3655" s="42"/>
      <c r="B3655" s="42"/>
      <c r="C3655" s="42"/>
      <c r="D3655" s="42"/>
      <c r="E3655" s="39"/>
      <c r="F3655" s="9"/>
      <c r="G3655" s="9"/>
      <c r="H3655" s="9"/>
      <c r="I3655" s="9"/>
      <c r="J3655" s="9"/>
      <c r="K3655" s="9"/>
      <c r="L3655" s="9"/>
      <c r="M3655" s="9"/>
      <c r="N3655" s="9"/>
      <c r="O3655" s="9"/>
      <c r="P3655" s="9"/>
      <c r="Q3655" s="9"/>
      <c r="R3655" s="9"/>
      <c r="S3655" s="42"/>
      <c r="T3655" s="42"/>
      <c r="U3655" s="42"/>
      <c r="V3655" s="42"/>
      <c r="W3655" s="42"/>
      <c r="X3655" s="42"/>
      <c r="Y3655" s="42"/>
      <c r="Z3655" s="42"/>
      <c r="AA3655" s="42"/>
      <c r="AB3655" s="42"/>
      <c r="AC3655" s="42"/>
      <c r="AD3655" s="42"/>
      <c r="AE3655" s="42"/>
      <c r="AF3655" s="9"/>
      <c r="AG3655" s="9"/>
      <c r="AH3655" s="42"/>
      <c r="AI3655" s="42"/>
      <c r="AJ3655" s="42"/>
      <c r="AK3655" s="42"/>
      <c r="AL3655" s="42"/>
      <c r="AM3655" s="42"/>
      <c r="AN3655" s="42"/>
      <c r="AO3655" s="63" t="str">
        <f>IFERROR(__xludf.DUMMYFUNCTION("IF(ISBLANK(A3655),,IF(ISBLANK(S3655), A3655&amp;"";"", TEXTJOIN(CHAR(10), TRUE, A3655&amp;"";"", ARRAYFORMULA(VLOOKUP(SPLIT(S3655, "";"" &amp; CHAR(10)), $A:$AO, 41, FALSE)))))"),"")</f>
        <v/>
      </c>
      <c r="AP3655" s="89"/>
    </row>
    <row r="3656">
      <c r="A3656" s="42"/>
      <c r="B3656" s="42"/>
      <c r="C3656" s="42"/>
      <c r="D3656" s="42"/>
      <c r="E3656" s="39"/>
      <c r="F3656" s="9"/>
      <c r="G3656" s="9"/>
      <c r="H3656" s="9"/>
      <c r="I3656" s="9"/>
      <c r="J3656" s="9"/>
      <c r="K3656" s="9"/>
      <c r="L3656" s="9"/>
      <c r="M3656" s="9"/>
      <c r="N3656" s="9"/>
      <c r="O3656" s="9"/>
      <c r="P3656" s="9"/>
      <c r="Q3656" s="9"/>
      <c r="R3656" s="9"/>
      <c r="S3656" s="42"/>
      <c r="T3656" s="42"/>
      <c r="U3656" s="42"/>
      <c r="V3656" s="42"/>
      <c r="W3656" s="42"/>
      <c r="X3656" s="42"/>
      <c r="Y3656" s="42"/>
      <c r="Z3656" s="42"/>
      <c r="AA3656" s="42"/>
      <c r="AB3656" s="42"/>
      <c r="AC3656" s="42"/>
      <c r="AD3656" s="42"/>
      <c r="AE3656" s="42"/>
      <c r="AF3656" s="9"/>
      <c r="AG3656" s="9"/>
      <c r="AH3656" s="42"/>
      <c r="AI3656" s="42"/>
      <c r="AJ3656" s="42"/>
      <c r="AK3656" s="42"/>
      <c r="AL3656" s="42"/>
      <c r="AM3656" s="42"/>
      <c r="AN3656" s="42"/>
      <c r="AO3656" s="63" t="str">
        <f>IFERROR(__xludf.DUMMYFUNCTION("IF(ISBLANK(A3656),,IF(ISBLANK(S3656), A3656&amp;"";"", TEXTJOIN(CHAR(10), TRUE, A3656&amp;"";"", ARRAYFORMULA(VLOOKUP(SPLIT(S3656, "";"" &amp; CHAR(10)), $A:$AO, 41, FALSE)))))"),"")</f>
        <v/>
      </c>
      <c r="AP3656" s="89"/>
    </row>
    <row r="3657">
      <c r="A3657" s="42"/>
      <c r="B3657" s="42"/>
      <c r="C3657" s="42"/>
      <c r="D3657" s="42"/>
      <c r="E3657" s="39"/>
      <c r="F3657" s="9"/>
      <c r="G3657" s="9"/>
      <c r="H3657" s="9"/>
      <c r="I3657" s="9"/>
      <c r="J3657" s="9"/>
      <c r="K3657" s="9"/>
      <c r="L3657" s="9"/>
      <c r="M3657" s="9"/>
      <c r="N3657" s="9"/>
      <c r="O3657" s="9"/>
      <c r="P3657" s="9"/>
      <c r="Q3657" s="9"/>
      <c r="R3657" s="9"/>
      <c r="S3657" s="42"/>
      <c r="T3657" s="42"/>
      <c r="U3657" s="42"/>
      <c r="V3657" s="42"/>
      <c r="W3657" s="42"/>
      <c r="X3657" s="42"/>
      <c r="Y3657" s="42"/>
      <c r="Z3657" s="42"/>
      <c r="AA3657" s="42"/>
      <c r="AB3657" s="42"/>
      <c r="AC3657" s="42"/>
      <c r="AD3657" s="42"/>
      <c r="AE3657" s="42"/>
      <c r="AF3657" s="9"/>
      <c r="AG3657" s="9"/>
      <c r="AH3657" s="42"/>
      <c r="AI3657" s="42"/>
      <c r="AJ3657" s="42"/>
      <c r="AK3657" s="42"/>
      <c r="AL3657" s="42"/>
      <c r="AM3657" s="42"/>
      <c r="AN3657" s="42"/>
      <c r="AO3657" s="63" t="str">
        <f>IFERROR(__xludf.DUMMYFUNCTION("IF(ISBLANK(A3657),,IF(ISBLANK(S3657), A3657&amp;"";"", TEXTJOIN(CHAR(10), TRUE, A3657&amp;"";"", ARRAYFORMULA(VLOOKUP(SPLIT(S3657, "";"" &amp; CHAR(10)), $A:$AO, 41, FALSE)))))"),"")</f>
        <v/>
      </c>
      <c r="AP3657" s="89"/>
    </row>
    <row r="3658">
      <c r="A3658" s="42"/>
      <c r="B3658" s="42"/>
      <c r="C3658" s="42"/>
      <c r="D3658" s="42"/>
      <c r="E3658" s="39"/>
      <c r="F3658" s="9"/>
      <c r="G3658" s="9"/>
      <c r="H3658" s="9"/>
      <c r="I3658" s="9"/>
      <c r="J3658" s="9"/>
      <c r="K3658" s="9"/>
      <c r="L3658" s="9"/>
      <c r="M3658" s="9"/>
      <c r="N3658" s="9"/>
      <c r="O3658" s="9"/>
      <c r="P3658" s="9"/>
      <c r="Q3658" s="9"/>
      <c r="R3658" s="9"/>
      <c r="S3658" s="42"/>
      <c r="T3658" s="42"/>
      <c r="U3658" s="42"/>
      <c r="V3658" s="42"/>
      <c r="W3658" s="42"/>
      <c r="X3658" s="42"/>
      <c r="Y3658" s="42"/>
      <c r="Z3658" s="42"/>
      <c r="AA3658" s="42"/>
      <c r="AB3658" s="42"/>
      <c r="AC3658" s="42"/>
      <c r="AD3658" s="42"/>
      <c r="AE3658" s="42"/>
      <c r="AF3658" s="9"/>
      <c r="AG3658" s="9"/>
      <c r="AH3658" s="42"/>
      <c r="AI3658" s="42"/>
      <c r="AJ3658" s="42"/>
      <c r="AK3658" s="42"/>
      <c r="AL3658" s="42"/>
      <c r="AM3658" s="42"/>
      <c r="AN3658" s="42"/>
      <c r="AO3658" s="63" t="str">
        <f>IFERROR(__xludf.DUMMYFUNCTION("IF(ISBLANK(A3658),,IF(ISBLANK(S3658), A3658&amp;"";"", TEXTJOIN(CHAR(10), TRUE, A3658&amp;"";"", ARRAYFORMULA(VLOOKUP(SPLIT(S3658, "";"" &amp; CHAR(10)), $A:$AO, 41, FALSE)))))"),"")</f>
        <v/>
      </c>
      <c r="AP3658" s="89"/>
    </row>
    <row r="3659">
      <c r="A3659" s="42"/>
      <c r="B3659" s="42"/>
      <c r="C3659" s="42"/>
      <c r="D3659" s="42"/>
      <c r="E3659" s="39"/>
      <c r="F3659" s="9"/>
      <c r="G3659" s="9"/>
      <c r="H3659" s="9"/>
      <c r="I3659" s="9"/>
      <c r="J3659" s="9"/>
      <c r="K3659" s="9"/>
      <c r="L3659" s="9"/>
      <c r="M3659" s="9"/>
      <c r="N3659" s="9"/>
      <c r="O3659" s="9"/>
      <c r="P3659" s="9"/>
      <c r="Q3659" s="9"/>
      <c r="R3659" s="9"/>
      <c r="S3659" s="42"/>
      <c r="T3659" s="42"/>
      <c r="U3659" s="42"/>
      <c r="V3659" s="42"/>
      <c r="W3659" s="42"/>
      <c r="X3659" s="42"/>
      <c r="Y3659" s="42"/>
      <c r="Z3659" s="42"/>
      <c r="AA3659" s="42"/>
      <c r="AB3659" s="42"/>
      <c r="AC3659" s="42"/>
      <c r="AD3659" s="42"/>
      <c r="AE3659" s="42"/>
      <c r="AF3659" s="9"/>
      <c r="AG3659" s="9"/>
      <c r="AH3659" s="42"/>
      <c r="AI3659" s="42"/>
      <c r="AJ3659" s="42"/>
      <c r="AK3659" s="42"/>
      <c r="AL3659" s="42"/>
      <c r="AM3659" s="42"/>
      <c r="AN3659" s="42"/>
      <c r="AO3659" s="63" t="str">
        <f>IFERROR(__xludf.DUMMYFUNCTION("IF(ISBLANK(A3659),,IF(ISBLANK(S3659), A3659&amp;"";"", TEXTJOIN(CHAR(10), TRUE, A3659&amp;"";"", ARRAYFORMULA(VLOOKUP(SPLIT(S3659, "";"" &amp; CHAR(10)), $A:$AO, 41, FALSE)))))"),"")</f>
        <v/>
      </c>
      <c r="AP3659" s="89"/>
    </row>
    <row r="3660">
      <c r="A3660" s="42"/>
      <c r="B3660" s="42"/>
      <c r="C3660" s="42"/>
      <c r="D3660" s="42"/>
      <c r="E3660" s="39"/>
      <c r="F3660" s="9"/>
      <c r="G3660" s="9"/>
      <c r="H3660" s="9"/>
      <c r="I3660" s="9"/>
      <c r="J3660" s="9"/>
      <c r="K3660" s="9"/>
      <c r="L3660" s="9"/>
      <c r="M3660" s="9"/>
      <c r="N3660" s="9"/>
      <c r="O3660" s="9"/>
      <c r="P3660" s="9"/>
      <c r="Q3660" s="9"/>
      <c r="R3660" s="9"/>
      <c r="S3660" s="42"/>
      <c r="T3660" s="42"/>
      <c r="U3660" s="42"/>
      <c r="V3660" s="42"/>
      <c r="W3660" s="42"/>
      <c r="X3660" s="42"/>
      <c r="Y3660" s="42"/>
      <c r="Z3660" s="42"/>
      <c r="AA3660" s="42"/>
      <c r="AB3660" s="42"/>
      <c r="AC3660" s="42"/>
      <c r="AD3660" s="42"/>
      <c r="AE3660" s="42"/>
      <c r="AF3660" s="9"/>
      <c r="AG3660" s="9"/>
      <c r="AH3660" s="42"/>
      <c r="AI3660" s="42"/>
      <c r="AJ3660" s="42"/>
      <c r="AK3660" s="42"/>
      <c r="AL3660" s="42"/>
      <c r="AM3660" s="42"/>
      <c r="AN3660" s="42"/>
      <c r="AO3660" s="63" t="str">
        <f>IFERROR(__xludf.DUMMYFUNCTION("IF(ISBLANK(A3660),,IF(ISBLANK(S3660), A3660&amp;"";"", TEXTJOIN(CHAR(10), TRUE, A3660&amp;"";"", ARRAYFORMULA(VLOOKUP(SPLIT(S3660, "";"" &amp; CHAR(10)), $A:$AO, 41, FALSE)))))"),"")</f>
        <v/>
      </c>
      <c r="AP3660" s="89"/>
    </row>
    <row r="3661">
      <c r="A3661" s="42"/>
      <c r="B3661" s="42"/>
      <c r="C3661" s="42"/>
      <c r="D3661" s="42"/>
      <c r="E3661" s="39"/>
      <c r="F3661" s="9"/>
      <c r="G3661" s="9"/>
      <c r="H3661" s="9"/>
      <c r="I3661" s="9"/>
      <c r="J3661" s="9"/>
      <c r="K3661" s="9"/>
      <c r="L3661" s="9"/>
      <c r="M3661" s="9"/>
      <c r="N3661" s="9"/>
      <c r="O3661" s="9"/>
      <c r="P3661" s="9"/>
      <c r="Q3661" s="9"/>
      <c r="R3661" s="9"/>
      <c r="S3661" s="42"/>
      <c r="T3661" s="42"/>
      <c r="U3661" s="42"/>
      <c r="V3661" s="42"/>
      <c r="W3661" s="42"/>
      <c r="X3661" s="42"/>
      <c r="Y3661" s="42"/>
      <c r="Z3661" s="42"/>
      <c r="AA3661" s="42"/>
      <c r="AB3661" s="42"/>
      <c r="AC3661" s="42"/>
      <c r="AD3661" s="42"/>
      <c r="AE3661" s="42"/>
      <c r="AF3661" s="9"/>
      <c r="AG3661" s="9"/>
      <c r="AH3661" s="42"/>
      <c r="AI3661" s="42"/>
      <c r="AJ3661" s="42"/>
      <c r="AK3661" s="42"/>
      <c r="AL3661" s="42"/>
      <c r="AM3661" s="42"/>
      <c r="AN3661" s="42"/>
      <c r="AO3661" s="63" t="str">
        <f>IFERROR(__xludf.DUMMYFUNCTION("IF(ISBLANK(A3661),,IF(ISBLANK(S3661), A3661&amp;"";"", TEXTJOIN(CHAR(10), TRUE, A3661&amp;"";"", ARRAYFORMULA(VLOOKUP(SPLIT(S3661, "";"" &amp; CHAR(10)), $A:$AO, 41, FALSE)))))"),"")</f>
        <v/>
      </c>
      <c r="AP3661" s="89"/>
    </row>
    <row r="3662">
      <c r="A3662" s="42"/>
      <c r="B3662" s="42"/>
      <c r="C3662" s="42"/>
      <c r="D3662" s="42"/>
      <c r="E3662" s="39"/>
      <c r="F3662" s="9"/>
      <c r="G3662" s="9"/>
      <c r="H3662" s="9"/>
      <c r="I3662" s="9"/>
      <c r="J3662" s="9"/>
      <c r="K3662" s="9"/>
      <c r="L3662" s="9"/>
      <c r="M3662" s="9"/>
      <c r="N3662" s="9"/>
      <c r="O3662" s="9"/>
      <c r="P3662" s="9"/>
      <c r="Q3662" s="9"/>
      <c r="R3662" s="9"/>
      <c r="S3662" s="42"/>
      <c r="T3662" s="42"/>
      <c r="U3662" s="42"/>
      <c r="V3662" s="42"/>
      <c r="W3662" s="42"/>
      <c r="X3662" s="42"/>
      <c r="Y3662" s="42"/>
      <c r="Z3662" s="42"/>
      <c r="AA3662" s="42"/>
      <c r="AB3662" s="42"/>
      <c r="AC3662" s="42"/>
      <c r="AD3662" s="42"/>
      <c r="AE3662" s="42"/>
      <c r="AF3662" s="9"/>
      <c r="AG3662" s="9"/>
      <c r="AH3662" s="42"/>
      <c r="AI3662" s="42"/>
      <c r="AJ3662" s="42"/>
      <c r="AK3662" s="42"/>
      <c r="AL3662" s="42"/>
      <c r="AM3662" s="42"/>
      <c r="AN3662" s="42"/>
      <c r="AO3662" s="63" t="str">
        <f>IFERROR(__xludf.DUMMYFUNCTION("IF(ISBLANK(A3662),,IF(ISBLANK(S3662), A3662&amp;"";"", TEXTJOIN(CHAR(10), TRUE, A3662&amp;"";"", ARRAYFORMULA(VLOOKUP(SPLIT(S3662, "";"" &amp; CHAR(10)), $A:$AO, 41, FALSE)))))"),"")</f>
        <v/>
      </c>
      <c r="AP3662" s="89"/>
    </row>
    <row r="3663">
      <c r="A3663" s="42"/>
      <c r="B3663" s="42"/>
      <c r="C3663" s="42"/>
      <c r="D3663" s="42"/>
      <c r="E3663" s="39"/>
      <c r="F3663" s="9"/>
      <c r="G3663" s="9"/>
      <c r="H3663" s="9"/>
      <c r="I3663" s="9"/>
      <c r="J3663" s="9"/>
      <c r="K3663" s="9"/>
      <c r="L3663" s="9"/>
      <c r="M3663" s="9"/>
      <c r="N3663" s="9"/>
      <c r="O3663" s="9"/>
      <c r="P3663" s="9"/>
      <c r="Q3663" s="9"/>
      <c r="R3663" s="9"/>
      <c r="S3663" s="42"/>
      <c r="T3663" s="42"/>
      <c r="U3663" s="42"/>
      <c r="V3663" s="42"/>
      <c r="W3663" s="42"/>
      <c r="X3663" s="42"/>
      <c r="Y3663" s="42"/>
      <c r="Z3663" s="42"/>
      <c r="AA3663" s="42"/>
      <c r="AB3663" s="42"/>
      <c r="AC3663" s="42"/>
      <c r="AD3663" s="42"/>
      <c r="AE3663" s="42"/>
      <c r="AF3663" s="9"/>
      <c r="AG3663" s="9"/>
      <c r="AH3663" s="42"/>
      <c r="AI3663" s="42"/>
      <c r="AJ3663" s="42"/>
      <c r="AK3663" s="42"/>
      <c r="AL3663" s="42"/>
      <c r="AM3663" s="42"/>
      <c r="AN3663" s="42"/>
      <c r="AO3663" s="63" t="str">
        <f>IFERROR(__xludf.DUMMYFUNCTION("IF(ISBLANK(A3663),,IF(ISBLANK(S3663), A3663&amp;"";"", TEXTJOIN(CHAR(10), TRUE, A3663&amp;"";"", ARRAYFORMULA(VLOOKUP(SPLIT(S3663, "";"" &amp; CHAR(10)), $A:$AO, 41, FALSE)))))"),"")</f>
        <v/>
      </c>
      <c r="AP3663" s="89"/>
    </row>
    <row r="3664">
      <c r="A3664" s="42"/>
      <c r="B3664" s="42"/>
      <c r="C3664" s="42"/>
      <c r="D3664" s="42"/>
      <c r="E3664" s="39"/>
      <c r="F3664" s="9"/>
      <c r="G3664" s="9"/>
      <c r="H3664" s="9"/>
      <c r="I3664" s="9"/>
      <c r="J3664" s="9"/>
      <c r="K3664" s="9"/>
      <c r="L3664" s="9"/>
      <c r="M3664" s="9"/>
      <c r="N3664" s="9"/>
      <c r="O3664" s="9"/>
      <c r="P3664" s="9"/>
      <c r="Q3664" s="9"/>
      <c r="R3664" s="9"/>
      <c r="S3664" s="42"/>
      <c r="T3664" s="42"/>
      <c r="U3664" s="42"/>
      <c r="V3664" s="42"/>
      <c r="W3664" s="42"/>
      <c r="X3664" s="42"/>
      <c r="Y3664" s="42"/>
      <c r="Z3664" s="42"/>
      <c r="AA3664" s="42"/>
      <c r="AB3664" s="42"/>
      <c r="AC3664" s="42"/>
      <c r="AD3664" s="42"/>
      <c r="AE3664" s="42"/>
      <c r="AF3664" s="9"/>
      <c r="AG3664" s="9"/>
      <c r="AH3664" s="42"/>
      <c r="AI3664" s="42"/>
      <c r="AJ3664" s="42"/>
      <c r="AK3664" s="42"/>
      <c r="AL3664" s="42"/>
      <c r="AM3664" s="42"/>
      <c r="AN3664" s="42"/>
      <c r="AO3664" s="63" t="str">
        <f>IFERROR(__xludf.DUMMYFUNCTION("IF(ISBLANK(A3664),,IF(ISBLANK(S3664), A3664&amp;"";"", TEXTJOIN(CHAR(10), TRUE, A3664&amp;"";"", ARRAYFORMULA(VLOOKUP(SPLIT(S3664, "";"" &amp; CHAR(10)), $A:$AO, 41, FALSE)))))"),"")</f>
        <v/>
      </c>
      <c r="AP3664" s="89"/>
    </row>
    <row r="3665">
      <c r="A3665" s="42"/>
      <c r="B3665" s="42"/>
      <c r="C3665" s="42"/>
      <c r="D3665" s="42"/>
      <c r="E3665" s="39"/>
      <c r="F3665" s="9"/>
      <c r="G3665" s="9"/>
      <c r="H3665" s="9"/>
      <c r="I3665" s="9"/>
      <c r="J3665" s="9"/>
      <c r="K3665" s="9"/>
      <c r="L3665" s="9"/>
      <c r="M3665" s="9"/>
      <c r="N3665" s="9"/>
      <c r="O3665" s="9"/>
      <c r="P3665" s="9"/>
      <c r="Q3665" s="9"/>
      <c r="R3665" s="9"/>
      <c r="S3665" s="42"/>
      <c r="T3665" s="42"/>
      <c r="U3665" s="42"/>
      <c r="V3665" s="42"/>
      <c r="W3665" s="42"/>
      <c r="X3665" s="42"/>
      <c r="Y3665" s="42"/>
      <c r="Z3665" s="42"/>
      <c r="AA3665" s="42"/>
      <c r="AB3665" s="42"/>
      <c r="AC3665" s="42"/>
      <c r="AD3665" s="42"/>
      <c r="AE3665" s="42"/>
      <c r="AF3665" s="9"/>
      <c r="AG3665" s="9"/>
      <c r="AH3665" s="42"/>
      <c r="AI3665" s="42"/>
      <c r="AJ3665" s="42"/>
      <c r="AK3665" s="42"/>
      <c r="AL3665" s="42"/>
      <c r="AM3665" s="42"/>
      <c r="AN3665" s="42"/>
      <c r="AO3665" s="63" t="str">
        <f>IFERROR(__xludf.DUMMYFUNCTION("IF(ISBLANK(A3665),,IF(ISBLANK(S3665), A3665&amp;"";"", TEXTJOIN(CHAR(10), TRUE, A3665&amp;"";"", ARRAYFORMULA(VLOOKUP(SPLIT(S3665, "";"" &amp; CHAR(10)), $A:$AO, 41, FALSE)))))"),"")</f>
        <v/>
      </c>
      <c r="AP3665" s="89"/>
    </row>
    <row r="3666">
      <c r="A3666" s="42"/>
      <c r="B3666" s="42"/>
      <c r="C3666" s="42"/>
      <c r="D3666" s="42"/>
      <c r="E3666" s="39"/>
      <c r="F3666" s="9"/>
      <c r="G3666" s="9"/>
      <c r="H3666" s="9"/>
      <c r="I3666" s="9"/>
      <c r="J3666" s="9"/>
      <c r="K3666" s="9"/>
      <c r="L3666" s="9"/>
      <c r="M3666" s="9"/>
      <c r="N3666" s="9"/>
      <c r="O3666" s="9"/>
      <c r="P3666" s="9"/>
      <c r="Q3666" s="9"/>
      <c r="R3666" s="9"/>
      <c r="S3666" s="42"/>
      <c r="T3666" s="42"/>
      <c r="U3666" s="42"/>
      <c r="V3666" s="42"/>
      <c r="W3666" s="42"/>
      <c r="X3666" s="42"/>
      <c r="Y3666" s="42"/>
      <c r="Z3666" s="42"/>
      <c r="AA3666" s="42"/>
      <c r="AB3666" s="42"/>
      <c r="AC3666" s="42"/>
      <c r="AD3666" s="42"/>
      <c r="AE3666" s="42"/>
      <c r="AF3666" s="9"/>
      <c r="AG3666" s="9"/>
      <c r="AH3666" s="42"/>
      <c r="AI3666" s="42"/>
      <c r="AJ3666" s="42"/>
      <c r="AK3666" s="42"/>
      <c r="AL3666" s="42"/>
      <c r="AM3666" s="42"/>
      <c r="AN3666" s="42"/>
      <c r="AO3666" s="63" t="str">
        <f>IFERROR(__xludf.DUMMYFUNCTION("IF(ISBLANK(A3666),,IF(ISBLANK(S3666), A3666&amp;"";"", TEXTJOIN(CHAR(10), TRUE, A3666&amp;"";"", ARRAYFORMULA(VLOOKUP(SPLIT(S3666, "";"" &amp; CHAR(10)), $A:$AO, 41, FALSE)))))"),"")</f>
        <v/>
      </c>
      <c r="AP3666" s="89"/>
    </row>
    <row r="3667">
      <c r="A3667" s="42"/>
      <c r="B3667" s="42"/>
      <c r="C3667" s="42"/>
      <c r="D3667" s="42"/>
      <c r="E3667" s="39"/>
      <c r="F3667" s="9"/>
      <c r="G3667" s="9"/>
      <c r="H3667" s="9"/>
      <c r="I3667" s="9"/>
      <c r="J3667" s="9"/>
      <c r="K3667" s="9"/>
      <c r="L3667" s="9"/>
      <c r="M3667" s="9"/>
      <c r="N3667" s="9"/>
      <c r="O3667" s="9"/>
      <c r="P3667" s="9"/>
      <c r="Q3667" s="9"/>
      <c r="R3667" s="9"/>
      <c r="S3667" s="42"/>
      <c r="T3667" s="42"/>
      <c r="U3667" s="42"/>
      <c r="V3667" s="42"/>
      <c r="W3667" s="42"/>
      <c r="X3667" s="42"/>
      <c r="Y3667" s="42"/>
      <c r="Z3667" s="42"/>
      <c r="AA3667" s="42"/>
      <c r="AB3667" s="42"/>
      <c r="AC3667" s="42"/>
      <c r="AD3667" s="42"/>
      <c r="AE3667" s="42"/>
      <c r="AF3667" s="9"/>
      <c r="AG3667" s="9"/>
      <c r="AH3667" s="42"/>
      <c r="AI3667" s="42"/>
      <c r="AJ3667" s="42"/>
      <c r="AK3667" s="42"/>
      <c r="AL3667" s="42"/>
      <c r="AM3667" s="42"/>
      <c r="AN3667" s="42"/>
      <c r="AO3667" s="63" t="str">
        <f>IFERROR(__xludf.DUMMYFUNCTION("IF(ISBLANK(A3667),,IF(ISBLANK(S3667), A3667&amp;"";"", TEXTJOIN(CHAR(10), TRUE, A3667&amp;"";"", ARRAYFORMULA(VLOOKUP(SPLIT(S3667, "";"" &amp; CHAR(10)), $A:$AO, 41, FALSE)))))"),"")</f>
        <v/>
      </c>
      <c r="AP3667" s="89"/>
    </row>
    <row r="3668">
      <c r="A3668" s="42"/>
      <c r="B3668" s="42"/>
      <c r="C3668" s="42"/>
      <c r="D3668" s="42"/>
      <c r="E3668" s="39"/>
      <c r="F3668" s="9"/>
      <c r="G3668" s="9"/>
      <c r="H3668" s="9"/>
      <c r="I3668" s="9"/>
      <c r="J3668" s="9"/>
      <c r="K3668" s="9"/>
      <c r="L3668" s="9"/>
      <c r="M3668" s="9"/>
      <c r="N3668" s="9"/>
      <c r="O3668" s="9"/>
      <c r="P3668" s="9"/>
      <c r="Q3668" s="9"/>
      <c r="R3668" s="9"/>
      <c r="S3668" s="42"/>
      <c r="T3668" s="42"/>
      <c r="U3668" s="42"/>
      <c r="V3668" s="42"/>
      <c r="W3668" s="42"/>
      <c r="X3668" s="42"/>
      <c r="Y3668" s="42"/>
      <c r="Z3668" s="42"/>
      <c r="AA3668" s="42"/>
      <c r="AB3668" s="42"/>
      <c r="AC3668" s="42"/>
      <c r="AD3668" s="42"/>
      <c r="AE3668" s="42"/>
      <c r="AF3668" s="9"/>
      <c r="AG3668" s="9"/>
      <c r="AH3668" s="42"/>
      <c r="AI3668" s="42"/>
      <c r="AJ3668" s="42"/>
      <c r="AK3668" s="42"/>
      <c r="AL3668" s="42"/>
      <c r="AM3668" s="42"/>
      <c r="AN3668" s="42"/>
      <c r="AO3668" s="63" t="str">
        <f>IFERROR(__xludf.DUMMYFUNCTION("IF(ISBLANK(A3668),,IF(ISBLANK(S3668), A3668&amp;"";"", TEXTJOIN(CHAR(10), TRUE, A3668&amp;"";"", ARRAYFORMULA(VLOOKUP(SPLIT(S3668, "";"" &amp; CHAR(10)), $A:$AO, 41, FALSE)))))"),"")</f>
        <v/>
      </c>
      <c r="AP3668" s="89"/>
    </row>
    <row r="3669">
      <c r="A3669" s="42"/>
      <c r="B3669" s="42"/>
      <c r="C3669" s="42"/>
      <c r="D3669" s="42"/>
      <c r="E3669" s="39"/>
      <c r="F3669" s="9"/>
      <c r="G3669" s="9"/>
      <c r="H3669" s="9"/>
      <c r="I3669" s="9"/>
      <c r="J3669" s="9"/>
      <c r="K3669" s="9"/>
      <c r="L3669" s="9"/>
      <c r="M3669" s="9"/>
      <c r="N3669" s="9"/>
      <c r="O3669" s="9"/>
      <c r="P3669" s="9"/>
      <c r="Q3669" s="9"/>
      <c r="R3669" s="9"/>
      <c r="S3669" s="42"/>
      <c r="T3669" s="42"/>
      <c r="U3669" s="42"/>
      <c r="V3669" s="42"/>
      <c r="W3669" s="42"/>
      <c r="X3669" s="42"/>
      <c r="Y3669" s="42"/>
      <c r="Z3669" s="42"/>
      <c r="AA3669" s="42"/>
      <c r="AB3669" s="42"/>
      <c r="AC3669" s="42"/>
      <c r="AD3669" s="42"/>
      <c r="AE3669" s="42"/>
      <c r="AF3669" s="9"/>
      <c r="AG3669" s="9"/>
      <c r="AH3669" s="42"/>
      <c r="AI3669" s="42"/>
      <c r="AJ3669" s="42"/>
      <c r="AK3669" s="42"/>
      <c r="AL3669" s="42"/>
      <c r="AM3669" s="42"/>
      <c r="AN3669" s="42"/>
      <c r="AO3669" s="63" t="str">
        <f>IFERROR(__xludf.DUMMYFUNCTION("IF(ISBLANK(A3669),,IF(ISBLANK(S3669), A3669&amp;"";"", TEXTJOIN(CHAR(10), TRUE, A3669&amp;"";"", ARRAYFORMULA(VLOOKUP(SPLIT(S3669, "";"" &amp; CHAR(10)), $A:$AO, 41, FALSE)))))"),"")</f>
        <v/>
      </c>
      <c r="AP3669" s="89"/>
    </row>
    <row r="3670">
      <c r="A3670" s="42"/>
      <c r="B3670" s="42"/>
      <c r="C3670" s="42"/>
      <c r="D3670" s="42"/>
      <c r="E3670" s="39"/>
      <c r="F3670" s="9"/>
      <c r="G3670" s="9"/>
      <c r="H3670" s="9"/>
      <c r="I3670" s="9"/>
      <c r="J3670" s="9"/>
      <c r="K3670" s="9"/>
      <c r="L3670" s="9"/>
      <c r="M3670" s="9"/>
      <c r="N3670" s="9"/>
      <c r="O3670" s="9"/>
      <c r="P3670" s="9"/>
      <c r="Q3670" s="9"/>
      <c r="R3670" s="9"/>
      <c r="S3670" s="42"/>
      <c r="T3670" s="42"/>
      <c r="U3670" s="42"/>
      <c r="V3670" s="42"/>
      <c r="W3670" s="42"/>
      <c r="X3670" s="42"/>
      <c r="Y3670" s="42"/>
      <c r="Z3670" s="42"/>
      <c r="AA3670" s="42"/>
      <c r="AB3670" s="42"/>
      <c r="AC3670" s="42"/>
      <c r="AD3670" s="42"/>
      <c r="AE3670" s="42"/>
      <c r="AF3670" s="9"/>
      <c r="AG3670" s="9"/>
      <c r="AH3670" s="42"/>
      <c r="AI3670" s="42"/>
      <c r="AJ3670" s="42"/>
      <c r="AK3670" s="42"/>
      <c r="AL3670" s="42"/>
      <c r="AM3670" s="42"/>
      <c r="AN3670" s="42"/>
      <c r="AO3670" s="63" t="str">
        <f>IFERROR(__xludf.DUMMYFUNCTION("IF(ISBLANK(A3670),,IF(ISBLANK(S3670), A3670&amp;"";"", TEXTJOIN(CHAR(10), TRUE, A3670&amp;"";"", ARRAYFORMULA(VLOOKUP(SPLIT(S3670, "";"" &amp; CHAR(10)), $A:$AO, 41, FALSE)))))"),"")</f>
        <v/>
      </c>
      <c r="AP3670" s="89"/>
    </row>
    <row r="3671">
      <c r="A3671" s="42"/>
      <c r="B3671" s="42"/>
      <c r="C3671" s="42"/>
      <c r="D3671" s="42"/>
      <c r="E3671" s="39"/>
      <c r="F3671" s="9"/>
      <c r="G3671" s="9"/>
      <c r="H3671" s="9"/>
      <c r="I3671" s="9"/>
      <c r="J3671" s="9"/>
      <c r="K3671" s="9"/>
      <c r="L3671" s="9"/>
      <c r="M3671" s="9"/>
      <c r="N3671" s="9"/>
      <c r="O3671" s="9"/>
      <c r="P3671" s="9"/>
      <c r="Q3671" s="9"/>
      <c r="R3671" s="9"/>
      <c r="S3671" s="42"/>
      <c r="T3671" s="42"/>
      <c r="U3671" s="42"/>
      <c r="V3671" s="42"/>
      <c r="W3671" s="42"/>
      <c r="X3671" s="42"/>
      <c r="Y3671" s="42"/>
      <c r="Z3671" s="42"/>
      <c r="AA3671" s="42"/>
      <c r="AB3671" s="42"/>
      <c r="AC3671" s="42"/>
      <c r="AD3671" s="42"/>
      <c r="AE3671" s="42"/>
      <c r="AF3671" s="9"/>
      <c r="AG3671" s="9"/>
      <c r="AH3671" s="42"/>
      <c r="AI3671" s="42"/>
      <c r="AJ3671" s="42"/>
      <c r="AK3671" s="42"/>
      <c r="AL3671" s="42"/>
      <c r="AM3671" s="42"/>
      <c r="AN3671" s="42"/>
      <c r="AO3671" s="63" t="str">
        <f>IFERROR(__xludf.DUMMYFUNCTION("IF(ISBLANK(A3671),,IF(ISBLANK(S3671), A3671&amp;"";"", TEXTJOIN(CHAR(10), TRUE, A3671&amp;"";"", ARRAYFORMULA(VLOOKUP(SPLIT(S3671, "";"" &amp; CHAR(10)), $A:$AO, 41, FALSE)))))"),"")</f>
        <v/>
      </c>
      <c r="AP3671" s="89"/>
    </row>
    <row r="3672">
      <c r="A3672" s="42"/>
      <c r="B3672" s="42"/>
      <c r="C3672" s="42"/>
      <c r="D3672" s="42"/>
      <c r="E3672" s="39"/>
      <c r="F3672" s="9"/>
      <c r="G3672" s="9"/>
      <c r="H3672" s="9"/>
      <c r="I3672" s="9"/>
      <c r="J3672" s="9"/>
      <c r="K3672" s="9"/>
      <c r="L3672" s="9"/>
      <c r="M3672" s="9"/>
      <c r="N3672" s="9"/>
      <c r="O3672" s="9"/>
      <c r="P3672" s="9"/>
      <c r="Q3672" s="9"/>
      <c r="R3672" s="9"/>
      <c r="S3672" s="42"/>
      <c r="T3672" s="42"/>
      <c r="U3672" s="42"/>
      <c r="V3672" s="42"/>
      <c r="W3672" s="42"/>
      <c r="X3672" s="42"/>
      <c r="Y3672" s="42"/>
      <c r="Z3672" s="42"/>
      <c r="AA3672" s="42"/>
      <c r="AB3672" s="42"/>
      <c r="AC3672" s="42"/>
      <c r="AD3672" s="42"/>
      <c r="AE3672" s="42"/>
      <c r="AF3672" s="9"/>
      <c r="AG3672" s="9"/>
      <c r="AH3672" s="42"/>
      <c r="AI3672" s="42"/>
      <c r="AJ3672" s="42"/>
      <c r="AK3672" s="42"/>
      <c r="AL3672" s="42"/>
      <c r="AM3672" s="42"/>
      <c r="AN3672" s="42"/>
      <c r="AO3672" s="63" t="str">
        <f>IFERROR(__xludf.DUMMYFUNCTION("IF(ISBLANK(A3672),,IF(ISBLANK(S3672), A3672&amp;"";"", TEXTJOIN(CHAR(10), TRUE, A3672&amp;"";"", ARRAYFORMULA(VLOOKUP(SPLIT(S3672, "";"" &amp; CHAR(10)), $A:$AO, 41, FALSE)))))"),"")</f>
        <v/>
      </c>
      <c r="AP3672" s="89"/>
    </row>
    <row r="3673">
      <c r="A3673" s="42"/>
      <c r="B3673" s="42"/>
      <c r="C3673" s="42"/>
      <c r="D3673" s="42"/>
      <c r="E3673" s="39"/>
      <c r="F3673" s="9"/>
      <c r="G3673" s="9"/>
      <c r="H3673" s="9"/>
      <c r="I3673" s="9"/>
      <c r="J3673" s="9"/>
      <c r="K3673" s="9"/>
      <c r="L3673" s="9"/>
      <c r="M3673" s="9"/>
      <c r="N3673" s="9"/>
      <c r="O3673" s="9"/>
      <c r="P3673" s="9"/>
      <c r="Q3673" s="9"/>
      <c r="R3673" s="9"/>
      <c r="S3673" s="42"/>
      <c r="T3673" s="42"/>
      <c r="U3673" s="42"/>
      <c r="V3673" s="42"/>
      <c r="W3673" s="42"/>
      <c r="X3673" s="42"/>
      <c r="Y3673" s="42"/>
      <c r="Z3673" s="42"/>
      <c r="AA3673" s="42"/>
      <c r="AB3673" s="42"/>
      <c r="AC3673" s="42"/>
      <c r="AD3673" s="42"/>
      <c r="AE3673" s="42"/>
      <c r="AF3673" s="9"/>
      <c r="AG3673" s="9"/>
      <c r="AH3673" s="42"/>
      <c r="AI3673" s="42"/>
      <c r="AJ3673" s="42"/>
      <c r="AK3673" s="42"/>
      <c r="AL3673" s="42"/>
      <c r="AM3673" s="42"/>
      <c r="AN3673" s="42"/>
      <c r="AO3673" s="63" t="str">
        <f>IFERROR(__xludf.DUMMYFUNCTION("IF(ISBLANK(A3673),,IF(ISBLANK(S3673), A3673&amp;"";"", TEXTJOIN(CHAR(10), TRUE, A3673&amp;"";"", ARRAYFORMULA(VLOOKUP(SPLIT(S3673, "";"" &amp; CHAR(10)), $A:$AO, 41, FALSE)))))"),"")</f>
        <v/>
      </c>
      <c r="AP3673" s="89"/>
    </row>
    <row r="3674">
      <c r="A3674" s="42"/>
      <c r="B3674" s="42"/>
      <c r="C3674" s="42"/>
      <c r="D3674" s="42"/>
      <c r="E3674" s="39"/>
      <c r="F3674" s="9"/>
      <c r="G3674" s="9"/>
      <c r="H3674" s="9"/>
      <c r="I3674" s="9"/>
      <c r="J3674" s="9"/>
      <c r="K3674" s="9"/>
      <c r="L3674" s="9"/>
      <c r="M3674" s="9"/>
      <c r="N3674" s="9"/>
      <c r="O3674" s="9"/>
      <c r="P3674" s="9"/>
      <c r="Q3674" s="9"/>
      <c r="R3674" s="9"/>
      <c r="S3674" s="42"/>
      <c r="T3674" s="42"/>
      <c r="U3674" s="42"/>
      <c r="V3674" s="42"/>
      <c r="W3674" s="42"/>
      <c r="X3674" s="42"/>
      <c r="Y3674" s="42"/>
      <c r="Z3674" s="42"/>
      <c r="AA3674" s="42"/>
      <c r="AB3674" s="42"/>
      <c r="AC3674" s="42"/>
      <c r="AD3674" s="42"/>
      <c r="AE3674" s="42"/>
      <c r="AF3674" s="9"/>
      <c r="AG3674" s="9"/>
      <c r="AH3674" s="42"/>
      <c r="AI3674" s="42"/>
      <c r="AJ3674" s="42"/>
      <c r="AK3674" s="42"/>
      <c r="AL3674" s="42"/>
      <c r="AM3674" s="42"/>
      <c r="AN3674" s="42"/>
      <c r="AO3674" s="63" t="str">
        <f>IFERROR(__xludf.DUMMYFUNCTION("IF(ISBLANK(A3674),,IF(ISBLANK(S3674), A3674&amp;"";"", TEXTJOIN(CHAR(10), TRUE, A3674&amp;"";"", ARRAYFORMULA(VLOOKUP(SPLIT(S3674, "";"" &amp; CHAR(10)), $A:$AO, 41, FALSE)))))"),"")</f>
        <v/>
      </c>
      <c r="AP3674" s="89"/>
    </row>
    <row r="3675">
      <c r="A3675" s="42"/>
      <c r="B3675" s="42"/>
      <c r="C3675" s="42"/>
      <c r="D3675" s="42"/>
      <c r="E3675" s="39"/>
      <c r="F3675" s="9"/>
      <c r="G3675" s="9"/>
      <c r="H3675" s="9"/>
      <c r="I3675" s="9"/>
      <c r="J3675" s="9"/>
      <c r="K3675" s="9"/>
      <c r="L3675" s="9"/>
      <c r="M3675" s="9"/>
      <c r="N3675" s="9"/>
      <c r="O3675" s="9"/>
      <c r="P3675" s="9"/>
      <c r="Q3675" s="9"/>
      <c r="R3675" s="9"/>
      <c r="S3675" s="42"/>
      <c r="T3675" s="42"/>
      <c r="U3675" s="42"/>
      <c r="V3675" s="42"/>
      <c r="W3675" s="42"/>
      <c r="X3675" s="42"/>
      <c r="Y3675" s="42"/>
      <c r="Z3675" s="42"/>
      <c r="AA3675" s="42"/>
      <c r="AB3675" s="42"/>
      <c r="AC3675" s="42"/>
      <c r="AD3675" s="42"/>
      <c r="AE3675" s="42"/>
      <c r="AF3675" s="9"/>
      <c r="AG3675" s="9"/>
      <c r="AH3675" s="42"/>
      <c r="AI3675" s="42"/>
      <c r="AJ3675" s="42"/>
      <c r="AK3675" s="42"/>
      <c r="AL3675" s="42"/>
      <c r="AM3675" s="42"/>
      <c r="AN3675" s="42"/>
      <c r="AO3675" s="63" t="str">
        <f>IFERROR(__xludf.DUMMYFUNCTION("IF(ISBLANK(A3675),,IF(ISBLANK(S3675), A3675&amp;"";"", TEXTJOIN(CHAR(10), TRUE, A3675&amp;"";"", ARRAYFORMULA(VLOOKUP(SPLIT(S3675, "";"" &amp; CHAR(10)), $A:$AO, 41, FALSE)))))"),"")</f>
        <v/>
      </c>
      <c r="AP3675" s="89"/>
    </row>
    <row r="3676">
      <c r="A3676" s="42"/>
      <c r="B3676" s="42"/>
      <c r="C3676" s="42"/>
      <c r="D3676" s="42"/>
      <c r="E3676" s="39"/>
      <c r="F3676" s="9"/>
      <c r="G3676" s="9"/>
      <c r="H3676" s="9"/>
      <c r="I3676" s="9"/>
      <c r="J3676" s="9"/>
      <c r="K3676" s="9"/>
      <c r="L3676" s="9"/>
      <c r="M3676" s="9"/>
      <c r="N3676" s="9"/>
      <c r="O3676" s="9"/>
      <c r="P3676" s="9"/>
      <c r="Q3676" s="9"/>
      <c r="R3676" s="9"/>
      <c r="S3676" s="42"/>
      <c r="T3676" s="42"/>
      <c r="U3676" s="42"/>
      <c r="V3676" s="42"/>
      <c r="W3676" s="42"/>
      <c r="X3676" s="42"/>
      <c r="Y3676" s="42"/>
      <c r="Z3676" s="42"/>
      <c r="AA3676" s="42"/>
      <c r="AB3676" s="42"/>
      <c r="AC3676" s="42"/>
      <c r="AD3676" s="42"/>
      <c r="AE3676" s="42"/>
      <c r="AF3676" s="9"/>
      <c r="AG3676" s="9"/>
      <c r="AH3676" s="42"/>
      <c r="AI3676" s="42"/>
      <c r="AJ3676" s="42"/>
      <c r="AK3676" s="42"/>
      <c r="AL3676" s="42"/>
      <c r="AM3676" s="42"/>
      <c r="AN3676" s="42"/>
      <c r="AO3676" s="63" t="str">
        <f>IFERROR(__xludf.DUMMYFUNCTION("IF(ISBLANK(A3676),,IF(ISBLANK(S3676), A3676&amp;"";"", TEXTJOIN(CHAR(10), TRUE, A3676&amp;"";"", ARRAYFORMULA(VLOOKUP(SPLIT(S3676, "";"" &amp; CHAR(10)), $A:$AO, 41, FALSE)))))"),"")</f>
        <v/>
      </c>
      <c r="AP3676" s="89"/>
    </row>
    <row r="3677">
      <c r="A3677" s="42"/>
      <c r="B3677" s="42"/>
      <c r="C3677" s="42"/>
      <c r="D3677" s="42"/>
      <c r="E3677" s="39"/>
      <c r="F3677" s="9"/>
      <c r="G3677" s="9"/>
      <c r="H3677" s="9"/>
      <c r="I3677" s="9"/>
      <c r="J3677" s="9"/>
      <c r="K3677" s="9"/>
      <c r="L3677" s="9"/>
      <c r="M3677" s="9"/>
      <c r="N3677" s="9"/>
      <c r="O3677" s="9"/>
      <c r="P3677" s="9"/>
      <c r="Q3677" s="9"/>
      <c r="R3677" s="9"/>
      <c r="S3677" s="42"/>
      <c r="T3677" s="42"/>
      <c r="U3677" s="42"/>
      <c r="V3677" s="42"/>
      <c r="W3677" s="42"/>
      <c r="X3677" s="42"/>
      <c r="Y3677" s="42"/>
      <c r="Z3677" s="42"/>
      <c r="AA3677" s="42"/>
      <c r="AB3677" s="42"/>
      <c r="AC3677" s="42"/>
      <c r="AD3677" s="42"/>
      <c r="AE3677" s="42"/>
      <c r="AF3677" s="9"/>
      <c r="AG3677" s="9"/>
      <c r="AH3677" s="42"/>
      <c r="AI3677" s="42"/>
      <c r="AJ3677" s="42"/>
      <c r="AK3677" s="42"/>
      <c r="AL3677" s="42"/>
      <c r="AM3677" s="42"/>
      <c r="AN3677" s="42"/>
      <c r="AO3677" s="63" t="str">
        <f>IFERROR(__xludf.DUMMYFUNCTION("IF(ISBLANK(A3677),,IF(ISBLANK(S3677), A3677&amp;"";"", TEXTJOIN(CHAR(10), TRUE, A3677&amp;"";"", ARRAYFORMULA(VLOOKUP(SPLIT(S3677, "";"" &amp; CHAR(10)), $A:$AO, 41, FALSE)))))"),"")</f>
        <v/>
      </c>
      <c r="AP3677" s="89"/>
    </row>
    <row r="3678">
      <c r="A3678" s="42"/>
      <c r="B3678" s="42"/>
      <c r="C3678" s="42"/>
      <c r="D3678" s="42"/>
      <c r="E3678" s="39"/>
      <c r="F3678" s="9"/>
      <c r="G3678" s="9"/>
      <c r="H3678" s="9"/>
      <c r="I3678" s="9"/>
      <c r="J3678" s="9"/>
      <c r="K3678" s="9"/>
      <c r="L3678" s="9"/>
      <c r="M3678" s="9"/>
      <c r="N3678" s="9"/>
      <c r="O3678" s="9"/>
      <c r="P3678" s="9"/>
      <c r="Q3678" s="9"/>
      <c r="R3678" s="9"/>
      <c r="S3678" s="42"/>
      <c r="T3678" s="42"/>
      <c r="U3678" s="42"/>
      <c r="V3678" s="42"/>
      <c r="W3678" s="42"/>
      <c r="X3678" s="42"/>
      <c r="Y3678" s="42"/>
      <c r="Z3678" s="42"/>
      <c r="AA3678" s="42"/>
      <c r="AB3678" s="42"/>
      <c r="AC3678" s="42"/>
      <c r="AD3678" s="42"/>
      <c r="AE3678" s="42"/>
      <c r="AF3678" s="9"/>
      <c r="AG3678" s="9"/>
      <c r="AH3678" s="42"/>
      <c r="AI3678" s="42"/>
      <c r="AJ3678" s="42"/>
      <c r="AK3678" s="42"/>
      <c r="AL3678" s="42"/>
      <c r="AM3678" s="42"/>
      <c r="AN3678" s="42"/>
      <c r="AO3678" s="63" t="str">
        <f>IFERROR(__xludf.DUMMYFUNCTION("IF(ISBLANK(A3678),,IF(ISBLANK(S3678), A3678&amp;"";"", TEXTJOIN(CHAR(10), TRUE, A3678&amp;"";"", ARRAYFORMULA(VLOOKUP(SPLIT(S3678, "";"" &amp; CHAR(10)), $A:$AO, 41, FALSE)))))"),"")</f>
        <v/>
      </c>
      <c r="AP3678" s="89"/>
    </row>
    <row r="3679">
      <c r="A3679" s="42"/>
      <c r="B3679" s="42"/>
      <c r="C3679" s="42"/>
      <c r="D3679" s="42"/>
      <c r="E3679" s="39"/>
      <c r="F3679" s="9"/>
      <c r="G3679" s="9"/>
      <c r="H3679" s="9"/>
      <c r="I3679" s="9"/>
      <c r="J3679" s="9"/>
      <c r="K3679" s="9"/>
      <c r="L3679" s="9"/>
      <c r="M3679" s="9"/>
      <c r="N3679" s="9"/>
      <c r="O3679" s="9"/>
      <c r="P3679" s="9"/>
      <c r="Q3679" s="9"/>
      <c r="R3679" s="9"/>
      <c r="S3679" s="42"/>
      <c r="T3679" s="42"/>
      <c r="U3679" s="42"/>
      <c r="V3679" s="42"/>
      <c r="W3679" s="42"/>
      <c r="X3679" s="42"/>
      <c r="Y3679" s="42"/>
      <c r="Z3679" s="42"/>
      <c r="AA3679" s="42"/>
      <c r="AB3679" s="42"/>
      <c r="AC3679" s="42"/>
      <c r="AD3679" s="42"/>
      <c r="AE3679" s="42"/>
      <c r="AF3679" s="9"/>
      <c r="AG3679" s="9"/>
      <c r="AH3679" s="42"/>
      <c r="AI3679" s="42"/>
      <c r="AJ3679" s="42"/>
      <c r="AK3679" s="42"/>
      <c r="AL3679" s="42"/>
      <c r="AM3679" s="42"/>
      <c r="AN3679" s="42"/>
      <c r="AO3679" s="63" t="str">
        <f>IFERROR(__xludf.DUMMYFUNCTION("IF(ISBLANK(A3679),,IF(ISBLANK(S3679), A3679&amp;"";"", TEXTJOIN(CHAR(10), TRUE, A3679&amp;"";"", ARRAYFORMULA(VLOOKUP(SPLIT(S3679, "";"" &amp; CHAR(10)), $A:$AO, 41, FALSE)))))"),"")</f>
        <v/>
      </c>
      <c r="AP3679" s="89"/>
    </row>
    <row r="3680">
      <c r="A3680" s="42"/>
      <c r="B3680" s="42"/>
      <c r="C3680" s="42"/>
      <c r="D3680" s="42"/>
      <c r="E3680" s="39"/>
      <c r="F3680" s="9"/>
      <c r="G3680" s="9"/>
      <c r="H3680" s="9"/>
      <c r="I3680" s="9"/>
      <c r="J3680" s="9"/>
      <c r="K3680" s="9"/>
      <c r="L3680" s="9"/>
      <c r="M3680" s="9"/>
      <c r="N3680" s="9"/>
      <c r="O3680" s="9"/>
      <c r="P3680" s="9"/>
      <c r="Q3680" s="9"/>
      <c r="R3680" s="9"/>
      <c r="S3680" s="42"/>
      <c r="T3680" s="42"/>
      <c r="U3680" s="42"/>
      <c r="V3680" s="42"/>
      <c r="W3680" s="42"/>
      <c r="X3680" s="42"/>
      <c r="Y3680" s="42"/>
      <c r="Z3680" s="42"/>
      <c r="AA3680" s="42"/>
      <c r="AB3680" s="42"/>
      <c r="AC3680" s="42"/>
      <c r="AD3680" s="42"/>
      <c r="AE3680" s="42"/>
      <c r="AF3680" s="9"/>
      <c r="AG3680" s="9"/>
      <c r="AH3680" s="42"/>
      <c r="AI3680" s="42"/>
      <c r="AJ3680" s="42"/>
      <c r="AK3680" s="42"/>
      <c r="AL3680" s="42"/>
      <c r="AM3680" s="42"/>
      <c r="AN3680" s="42"/>
      <c r="AO3680" s="63" t="str">
        <f>IFERROR(__xludf.DUMMYFUNCTION("IF(ISBLANK(A3680),,IF(ISBLANK(S3680), A3680&amp;"";"", TEXTJOIN(CHAR(10), TRUE, A3680&amp;"";"", ARRAYFORMULA(VLOOKUP(SPLIT(S3680, "";"" &amp; CHAR(10)), $A:$AO, 41, FALSE)))))"),"")</f>
        <v/>
      </c>
      <c r="AP3680" s="89"/>
    </row>
    <row r="3681">
      <c r="A3681" s="42"/>
      <c r="B3681" s="42"/>
      <c r="C3681" s="42"/>
      <c r="D3681" s="42"/>
      <c r="E3681" s="39"/>
      <c r="F3681" s="9"/>
      <c r="G3681" s="9"/>
      <c r="H3681" s="9"/>
      <c r="I3681" s="9"/>
      <c r="J3681" s="9"/>
      <c r="K3681" s="9"/>
      <c r="L3681" s="9"/>
      <c r="M3681" s="9"/>
      <c r="N3681" s="9"/>
      <c r="O3681" s="9"/>
      <c r="P3681" s="9"/>
      <c r="Q3681" s="9"/>
      <c r="R3681" s="9"/>
      <c r="S3681" s="42"/>
      <c r="T3681" s="42"/>
      <c r="U3681" s="42"/>
      <c r="V3681" s="42"/>
      <c r="W3681" s="42"/>
      <c r="X3681" s="42"/>
      <c r="Y3681" s="42"/>
      <c r="Z3681" s="42"/>
      <c r="AA3681" s="42"/>
      <c r="AB3681" s="42"/>
      <c r="AC3681" s="42"/>
      <c r="AD3681" s="42"/>
      <c r="AE3681" s="42"/>
      <c r="AF3681" s="9"/>
      <c r="AG3681" s="9"/>
      <c r="AH3681" s="42"/>
      <c r="AI3681" s="42"/>
      <c r="AJ3681" s="42"/>
      <c r="AK3681" s="42"/>
      <c r="AL3681" s="42"/>
      <c r="AM3681" s="42"/>
      <c r="AN3681" s="42"/>
      <c r="AO3681" s="63" t="str">
        <f>IFERROR(__xludf.DUMMYFUNCTION("IF(ISBLANK(A3681),,IF(ISBLANK(S3681), A3681&amp;"";"", TEXTJOIN(CHAR(10), TRUE, A3681&amp;"";"", ARRAYFORMULA(VLOOKUP(SPLIT(S3681, "";"" &amp; CHAR(10)), $A:$AO, 41, FALSE)))))"),"")</f>
        <v/>
      </c>
      <c r="AP3681" s="89"/>
    </row>
    <row r="3682">
      <c r="A3682" s="42"/>
      <c r="B3682" s="42"/>
      <c r="C3682" s="42"/>
      <c r="D3682" s="42"/>
      <c r="E3682" s="39"/>
      <c r="F3682" s="9"/>
      <c r="G3682" s="9"/>
      <c r="H3682" s="9"/>
      <c r="I3682" s="9"/>
      <c r="J3682" s="9"/>
      <c r="K3682" s="9"/>
      <c r="L3682" s="9"/>
      <c r="M3682" s="9"/>
      <c r="N3682" s="9"/>
      <c r="O3682" s="9"/>
      <c r="P3682" s="9"/>
      <c r="Q3682" s="9"/>
      <c r="R3682" s="9"/>
      <c r="S3682" s="42"/>
      <c r="T3682" s="42"/>
      <c r="U3682" s="42"/>
      <c r="V3682" s="42"/>
      <c r="W3682" s="42"/>
      <c r="X3682" s="42"/>
      <c r="Y3682" s="42"/>
      <c r="Z3682" s="42"/>
      <c r="AA3682" s="42"/>
      <c r="AB3682" s="42"/>
      <c r="AC3682" s="42"/>
      <c r="AD3682" s="42"/>
      <c r="AE3682" s="42"/>
      <c r="AF3682" s="9"/>
      <c r="AG3682" s="9"/>
      <c r="AH3682" s="42"/>
      <c r="AI3682" s="42"/>
      <c r="AJ3682" s="42"/>
      <c r="AK3682" s="42"/>
      <c r="AL3682" s="42"/>
      <c r="AM3682" s="42"/>
      <c r="AN3682" s="42"/>
      <c r="AO3682" s="63" t="str">
        <f>IFERROR(__xludf.DUMMYFUNCTION("IF(ISBLANK(A3682),,IF(ISBLANK(S3682), A3682&amp;"";"", TEXTJOIN(CHAR(10), TRUE, A3682&amp;"";"", ARRAYFORMULA(VLOOKUP(SPLIT(S3682, "";"" &amp; CHAR(10)), $A:$AO, 41, FALSE)))))"),"")</f>
        <v/>
      </c>
      <c r="AP3682" s="89"/>
    </row>
    <row r="3683">
      <c r="A3683" s="42"/>
      <c r="B3683" s="42"/>
      <c r="C3683" s="42"/>
      <c r="D3683" s="42"/>
      <c r="E3683" s="39"/>
      <c r="F3683" s="9"/>
      <c r="G3683" s="9"/>
      <c r="H3683" s="9"/>
      <c r="I3683" s="9"/>
      <c r="J3683" s="9"/>
      <c r="K3683" s="9"/>
      <c r="L3683" s="9"/>
      <c r="M3683" s="9"/>
      <c r="N3683" s="9"/>
      <c r="O3683" s="9"/>
      <c r="P3683" s="9"/>
      <c r="Q3683" s="9"/>
      <c r="R3683" s="9"/>
      <c r="S3683" s="42"/>
      <c r="T3683" s="42"/>
      <c r="U3683" s="42"/>
      <c r="V3683" s="42"/>
      <c r="W3683" s="42"/>
      <c r="X3683" s="42"/>
      <c r="Y3683" s="42"/>
      <c r="Z3683" s="42"/>
      <c r="AA3683" s="42"/>
      <c r="AB3683" s="42"/>
      <c r="AC3683" s="42"/>
      <c r="AD3683" s="42"/>
      <c r="AE3683" s="42"/>
      <c r="AF3683" s="9"/>
      <c r="AG3683" s="9"/>
      <c r="AH3683" s="42"/>
      <c r="AI3683" s="42"/>
      <c r="AJ3683" s="42"/>
      <c r="AK3683" s="42"/>
      <c r="AL3683" s="42"/>
      <c r="AM3683" s="42"/>
      <c r="AN3683" s="42"/>
      <c r="AO3683" s="63" t="str">
        <f>IFERROR(__xludf.DUMMYFUNCTION("IF(ISBLANK(A3683),,IF(ISBLANK(S3683), A3683&amp;"";"", TEXTJOIN(CHAR(10), TRUE, A3683&amp;"";"", ARRAYFORMULA(VLOOKUP(SPLIT(S3683, "";"" &amp; CHAR(10)), $A:$AO, 41, FALSE)))))"),"")</f>
        <v/>
      </c>
      <c r="AP3683" s="89"/>
    </row>
    <row r="3684">
      <c r="A3684" s="42"/>
      <c r="B3684" s="42"/>
      <c r="C3684" s="42"/>
      <c r="D3684" s="42"/>
      <c r="E3684" s="39"/>
      <c r="F3684" s="9"/>
      <c r="G3684" s="9"/>
      <c r="H3684" s="9"/>
      <c r="I3684" s="9"/>
      <c r="J3684" s="9"/>
      <c r="K3684" s="9"/>
      <c r="L3684" s="9"/>
      <c r="M3684" s="9"/>
      <c r="N3684" s="9"/>
      <c r="O3684" s="9"/>
      <c r="P3684" s="9"/>
      <c r="Q3684" s="9"/>
      <c r="R3684" s="9"/>
      <c r="S3684" s="42"/>
      <c r="T3684" s="42"/>
      <c r="U3684" s="42"/>
      <c r="V3684" s="42"/>
      <c r="W3684" s="42"/>
      <c r="X3684" s="42"/>
      <c r="Y3684" s="42"/>
      <c r="Z3684" s="42"/>
      <c r="AA3684" s="42"/>
      <c r="AB3684" s="42"/>
      <c r="AC3684" s="42"/>
      <c r="AD3684" s="42"/>
      <c r="AE3684" s="42"/>
      <c r="AF3684" s="9"/>
      <c r="AG3684" s="9"/>
      <c r="AH3684" s="42"/>
      <c r="AI3684" s="42"/>
      <c r="AJ3684" s="42"/>
      <c r="AK3684" s="42"/>
      <c r="AL3684" s="42"/>
      <c r="AM3684" s="42"/>
      <c r="AN3684" s="42"/>
      <c r="AO3684" s="63" t="str">
        <f>IFERROR(__xludf.DUMMYFUNCTION("IF(ISBLANK(A3684),,IF(ISBLANK(S3684), A3684&amp;"";"", TEXTJOIN(CHAR(10), TRUE, A3684&amp;"";"", ARRAYFORMULA(VLOOKUP(SPLIT(S3684, "";"" &amp; CHAR(10)), $A:$AO, 41, FALSE)))))"),"")</f>
        <v/>
      </c>
      <c r="AP3684" s="89"/>
    </row>
    <row r="3685">
      <c r="A3685" s="42"/>
      <c r="B3685" s="42"/>
      <c r="C3685" s="42"/>
      <c r="D3685" s="42"/>
      <c r="E3685" s="39"/>
      <c r="F3685" s="9"/>
      <c r="G3685" s="9"/>
      <c r="H3685" s="9"/>
      <c r="I3685" s="9"/>
      <c r="J3685" s="9"/>
      <c r="K3685" s="9"/>
      <c r="L3685" s="9"/>
      <c r="M3685" s="9"/>
      <c r="N3685" s="9"/>
      <c r="O3685" s="9"/>
      <c r="P3685" s="9"/>
      <c r="Q3685" s="9"/>
      <c r="R3685" s="9"/>
      <c r="S3685" s="42"/>
      <c r="T3685" s="42"/>
      <c r="U3685" s="42"/>
      <c r="V3685" s="42"/>
      <c r="W3685" s="42"/>
      <c r="X3685" s="42"/>
      <c r="Y3685" s="42"/>
      <c r="Z3685" s="42"/>
      <c r="AA3685" s="42"/>
      <c r="AB3685" s="42"/>
      <c r="AC3685" s="42"/>
      <c r="AD3685" s="42"/>
      <c r="AE3685" s="42"/>
      <c r="AF3685" s="9"/>
      <c r="AG3685" s="9"/>
      <c r="AH3685" s="42"/>
      <c r="AI3685" s="42"/>
      <c r="AJ3685" s="42"/>
      <c r="AK3685" s="42"/>
      <c r="AL3685" s="42"/>
      <c r="AM3685" s="42"/>
      <c r="AN3685" s="42"/>
      <c r="AO3685" s="63" t="str">
        <f>IFERROR(__xludf.DUMMYFUNCTION("IF(ISBLANK(A3685),,IF(ISBLANK(S3685), A3685&amp;"";"", TEXTJOIN(CHAR(10), TRUE, A3685&amp;"";"", ARRAYFORMULA(VLOOKUP(SPLIT(S3685, "";"" &amp; CHAR(10)), $A:$AO, 41, FALSE)))))"),"")</f>
        <v/>
      </c>
      <c r="AP3685" s="89"/>
    </row>
    <row r="3686">
      <c r="A3686" s="42"/>
      <c r="B3686" s="42"/>
      <c r="C3686" s="42"/>
      <c r="D3686" s="42"/>
      <c r="E3686" s="39"/>
      <c r="F3686" s="9"/>
      <c r="G3686" s="9"/>
      <c r="H3686" s="9"/>
      <c r="I3686" s="9"/>
      <c r="J3686" s="9"/>
      <c r="K3686" s="9"/>
      <c r="L3686" s="9"/>
      <c r="M3686" s="9"/>
      <c r="N3686" s="9"/>
      <c r="O3686" s="9"/>
      <c r="P3686" s="9"/>
      <c r="Q3686" s="9"/>
      <c r="R3686" s="9"/>
      <c r="S3686" s="42"/>
      <c r="T3686" s="42"/>
      <c r="U3686" s="42"/>
      <c r="V3686" s="42"/>
      <c r="W3686" s="42"/>
      <c r="X3686" s="42"/>
      <c r="Y3686" s="42"/>
      <c r="Z3686" s="42"/>
      <c r="AA3686" s="42"/>
      <c r="AB3686" s="42"/>
      <c r="AC3686" s="42"/>
      <c r="AD3686" s="42"/>
      <c r="AE3686" s="42"/>
      <c r="AF3686" s="9"/>
      <c r="AG3686" s="9"/>
      <c r="AH3686" s="42"/>
      <c r="AI3686" s="42"/>
      <c r="AJ3686" s="42"/>
      <c r="AK3686" s="42"/>
      <c r="AL3686" s="42"/>
      <c r="AM3686" s="42"/>
      <c r="AN3686" s="42"/>
      <c r="AO3686" s="63" t="str">
        <f>IFERROR(__xludf.DUMMYFUNCTION("IF(ISBLANK(A3686),,IF(ISBLANK(S3686), A3686&amp;"";"", TEXTJOIN(CHAR(10), TRUE, A3686&amp;"";"", ARRAYFORMULA(VLOOKUP(SPLIT(S3686, "";"" &amp; CHAR(10)), $A:$AO, 41, FALSE)))))"),"")</f>
        <v/>
      </c>
      <c r="AP3686" s="89"/>
    </row>
    <row r="3687">
      <c r="A3687" s="42"/>
      <c r="B3687" s="42"/>
      <c r="C3687" s="42"/>
      <c r="D3687" s="42"/>
      <c r="E3687" s="39"/>
      <c r="F3687" s="9"/>
      <c r="G3687" s="9"/>
      <c r="H3687" s="9"/>
      <c r="I3687" s="9"/>
      <c r="J3687" s="9"/>
      <c r="K3687" s="9"/>
      <c r="L3687" s="9"/>
      <c r="M3687" s="9"/>
      <c r="N3687" s="9"/>
      <c r="O3687" s="9"/>
      <c r="P3687" s="9"/>
      <c r="Q3687" s="9"/>
      <c r="R3687" s="9"/>
      <c r="S3687" s="42"/>
      <c r="T3687" s="42"/>
      <c r="U3687" s="42"/>
      <c r="V3687" s="42"/>
      <c r="W3687" s="42"/>
      <c r="X3687" s="42"/>
      <c r="Y3687" s="42"/>
      <c r="Z3687" s="42"/>
      <c r="AA3687" s="42"/>
      <c r="AB3687" s="42"/>
      <c r="AC3687" s="42"/>
      <c r="AD3687" s="42"/>
      <c r="AE3687" s="42"/>
      <c r="AF3687" s="9"/>
      <c r="AG3687" s="9"/>
      <c r="AH3687" s="42"/>
      <c r="AI3687" s="42"/>
      <c r="AJ3687" s="42"/>
      <c r="AK3687" s="42"/>
      <c r="AL3687" s="42"/>
      <c r="AM3687" s="42"/>
      <c r="AN3687" s="42"/>
      <c r="AO3687" s="63" t="str">
        <f>IFERROR(__xludf.DUMMYFUNCTION("IF(ISBLANK(A3687),,IF(ISBLANK(S3687), A3687&amp;"";"", TEXTJOIN(CHAR(10), TRUE, A3687&amp;"";"", ARRAYFORMULA(VLOOKUP(SPLIT(S3687, "";"" &amp; CHAR(10)), $A:$AO, 41, FALSE)))))"),"")</f>
        <v/>
      </c>
      <c r="AP3687" s="89"/>
    </row>
    <row r="3688">
      <c r="A3688" s="42"/>
      <c r="B3688" s="42"/>
      <c r="C3688" s="42"/>
      <c r="D3688" s="42"/>
      <c r="E3688" s="39"/>
      <c r="F3688" s="9"/>
      <c r="G3688" s="9"/>
      <c r="H3688" s="9"/>
      <c r="I3688" s="9"/>
      <c r="J3688" s="9"/>
      <c r="K3688" s="9"/>
      <c r="L3688" s="9"/>
      <c r="M3688" s="9"/>
      <c r="N3688" s="9"/>
      <c r="O3688" s="9"/>
      <c r="P3688" s="9"/>
      <c r="Q3688" s="9"/>
      <c r="R3688" s="9"/>
      <c r="S3688" s="42"/>
      <c r="T3688" s="42"/>
      <c r="U3688" s="42"/>
      <c r="V3688" s="42"/>
      <c r="W3688" s="42"/>
      <c r="X3688" s="42"/>
      <c r="Y3688" s="42"/>
      <c r="Z3688" s="42"/>
      <c r="AA3688" s="42"/>
      <c r="AB3688" s="42"/>
      <c r="AC3688" s="42"/>
      <c r="AD3688" s="42"/>
      <c r="AE3688" s="42"/>
      <c r="AF3688" s="9"/>
      <c r="AG3688" s="9"/>
      <c r="AH3688" s="42"/>
      <c r="AI3688" s="42"/>
      <c r="AJ3688" s="42"/>
      <c r="AK3688" s="42"/>
      <c r="AL3688" s="42"/>
      <c r="AM3688" s="42"/>
      <c r="AN3688" s="42"/>
      <c r="AO3688" s="63" t="str">
        <f>IFERROR(__xludf.DUMMYFUNCTION("IF(ISBLANK(A3688),,IF(ISBLANK(S3688), A3688&amp;"";"", TEXTJOIN(CHAR(10), TRUE, A3688&amp;"";"", ARRAYFORMULA(VLOOKUP(SPLIT(S3688, "";"" &amp; CHAR(10)), $A:$AO, 41, FALSE)))))"),"")</f>
        <v/>
      </c>
      <c r="AP3688" s="89"/>
    </row>
    <row r="3689">
      <c r="A3689" s="42"/>
      <c r="B3689" s="42"/>
      <c r="C3689" s="42"/>
      <c r="D3689" s="42"/>
      <c r="E3689" s="39"/>
      <c r="F3689" s="9"/>
      <c r="G3689" s="9"/>
      <c r="H3689" s="9"/>
      <c r="I3689" s="9"/>
      <c r="J3689" s="9"/>
      <c r="K3689" s="9"/>
      <c r="L3689" s="9"/>
      <c r="M3689" s="9"/>
      <c r="N3689" s="9"/>
      <c r="O3689" s="9"/>
      <c r="P3689" s="9"/>
      <c r="Q3689" s="9"/>
      <c r="R3689" s="9"/>
      <c r="S3689" s="42"/>
      <c r="T3689" s="42"/>
      <c r="U3689" s="42"/>
      <c r="V3689" s="42"/>
      <c r="W3689" s="42"/>
      <c r="X3689" s="42"/>
      <c r="Y3689" s="42"/>
      <c r="Z3689" s="42"/>
      <c r="AA3689" s="42"/>
      <c r="AB3689" s="42"/>
      <c r="AC3689" s="42"/>
      <c r="AD3689" s="42"/>
      <c r="AE3689" s="42"/>
      <c r="AF3689" s="9"/>
      <c r="AG3689" s="9"/>
      <c r="AH3689" s="42"/>
      <c r="AI3689" s="42"/>
      <c r="AJ3689" s="42"/>
      <c r="AK3689" s="42"/>
      <c r="AL3689" s="42"/>
      <c r="AM3689" s="42"/>
      <c r="AN3689" s="42"/>
      <c r="AO3689" s="63" t="str">
        <f>IFERROR(__xludf.DUMMYFUNCTION("IF(ISBLANK(A3689),,IF(ISBLANK(S3689), A3689&amp;"";"", TEXTJOIN(CHAR(10), TRUE, A3689&amp;"";"", ARRAYFORMULA(VLOOKUP(SPLIT(S3689, "";"" &amp; CHAR(10)), $A:$AO, 41, FALSE)))))"),"")</f>
        <v/>
      </c>
      <c r="AP3689" s="89"/>
    </row>
    <row r="3690">
      <c r="A3690" s="42"/>
      <c r="B3690" s="42"/>
      <c r="C3690" s="42"/>
      <c r="D3690" s="42"/>
      <c r="E3690" s="39"/>
      <c r="F3690" s="9"/>
      <c r="G3690" s="9"/>
      <c r="H3690" s="9"/>
      <c r="I3690" s="9"/>
      <c r="J3690" s="9"/>
      <c r="K3690" s="9"/>
      <c r="L3690" s="9"/>
      <c r="M3690" s="9"/>
      <c r="N3690" s="9"/>
      <c r="O3690" s="9"/>
      <c r="P3690" s="9"/>
      <c r="Q3690" s="9"/>
      <c r="R3690" s="9"/>
      <c r="S3690" s="42"/>
      <c r="T3690" s="42"/>
      <c r="U3690" s="42"/>
      <c r="V3690" s="42"/>
      <c r="W3690" s="42"/>
      <c r="X3690" s="42"/>
      <c r="Y3690" s="42"/>
      <c r="Z3690" s="42"/>
      <c r="AA3690" s="42"/>
      <c r="AB3690" s="42"/>
      <c r="AC3690" s="42"/>
      <c r="AD3690" s="42"/>
      <c r="AE3690" s="42"/>
      <c r="AF3690" s="9"/>
      <c r="AG3690" s="9"/>
      <c r="AH3690" s="42"/>
      <c r="AI3690" s="42"/>
      <c r="AJ3690" s="42"/>
      <c r="AK3690" s="42"/>
      <c r="AL3690" s="42"/>
      <c r="AM3690" s="42"/>
      <c r="AN3690" s="42"/>
      <c r="AO3690" s="63" t="str">
        <f>IFERROR(__xludf.DUMMYFUNCTION("IF(ISBLANK(A3690),,IF(ISBLANK(S3690), A3690&amp;"";"", TEXTJOIN(CHAR(10), TRUE, A3690&amp;"";"", ARRAYFORMULA(VLOOKUP(SPLIT(S3690, "";"" &amp; CHAR(10)), $A:$AO, 41, FALSE)))))"),"")</f>
        <v/>
      </c>
      <c r="AP3690" s="89"/>
    </row>
    <row r="3691">
      <c r="A3691" s="42"/>
      <c r="B3691" s="42"/>
      <c r="C3691" s="42"/>
      <c r="D3691" s="42"/>
      <c r="E3691" s="39"/>
      <c r="F3691" s="9"/>
      <c r="G3691" s="9"/>
      <c r="H3691" s="9"/>
      <c r="I3691" s="9"/>
      <c r="J3691" s="9"/>
      <c r="K3691" s="9"/>
      <c r="L3691" s="9"/>
      <c r="M3691" s="9"/>
      <c r="N3691" s="9"/>
      <c r="O3691" s="9"/>
      <c r="P3691" s="9"/>
      <c r="Q3691" s="9"/>
      <c r="R3691" s="9"/>
      <c r="S3691" s="42"/>
      <c r="T3691" s="42"/>
      <c r="U3691" s="42"/>
      <c r="V3691" s="42"/>
      <c r="W3691" s="42"/>
      <c r="X3691" s="42"/>
      <c r="Y3691" s="42"/>
      <c r="Z3691" s="42"/>
      <c r="AA3691" s="42"/>
      <c r="AB3691" s="42"/>
      <c r="AC3691" s="42"/>
      <c r="AD3691" s="42"/>
      <c r="AE3691" s="42"/>
      <c r="AF3691" s="9"/>
      <c r="AG3691" s="9"/>
      <c r="AH3691" s="42"/>
      <c r="AI3691" s="42"/>
      <c r="AJ3691" s="42"/>
      <c r="AK3691" s="42"/>
      <c r="AL3691" s="42"/>
      <c r="AM3691" s="42"/>
      <c r="AN3691" s="42"/>
      <c r="AO3691" s="63" t="str">
        <f>IFERROR(__xludf.DUMMYFUNCTION("IF(ISBLANK(A3691),,IF(ISBLANK(S3691), A3691&amp;"";"", TEXTJOIN(CHAR(10), TRUE, A3691&amp;"";"", ARRAYFORMULA(VLOOKUP(SPLIT(S3691, "";"" &amp; CHAR(10)), $A:$AO, 41, FALSE)))))"),"")</f>
        <v/>
      </c>
      <c r="AP3691" s="89"/>
    </row>
    <row r="3692">
      <c r="A3692" s="42"/>
      <c r="B3692" s="42"/>
      <c r="C3692" s="42"/>
      <c r="D3692" s="42"/>
      <c r="E3692" s="39"/>
      <c r="F3692" s="9"/>
      <c r="G3692" s="9"/>
      <c r="H3692" s="9"/>
      <c r="I3692" s="9"/>
      <c r="J3692" s="9"/>
      <c r="K3692" s="9"/>
      <c r="L3692" s="9"/>
      <c r="M3692" s="9"/>
      <c r="N3692" s="9"/>
      <c r="O3692" s="9"/>
      <c r="P3692" s="9"/>
      <c r="Q3692" s="9"/>
      <c r="R3692" s="9"/>
      <c r="S3692" s="42"/>
      <c r="T3692" s="42"/>
      <c r="U3692" s="42"/>
      <c r="V3692" s="42"/>
      <c r="W3692" s="42"/>
      <c r="X3692" s="42"/>
      <c r="Y3692" s="42"/>
      <c r="Z3692" s="42"/>
      <c r="AA3692" s="42"/>
      <c r="AB3692" s="42"/>
      <c r="AC3692" s="42"/>
      <c r="AD3692" s="42"/>
      <c r="AE3692" s="42"/>
      <c r="AF3692" s="9"/>
      <c r="AG3692" s="9"/>
      <c r="AH3692" s="42"/>
      <c r="AI3692" s="42"/>
      <c r="AJ3692" s="42"/>
      <c r="AK3692" s="42"/>
      <c r="AL3692" s="42"/>
      <c r="AM3692" s="42"/>
      <c r="AN3692" s="42"/>
      <c r="AO3692" s="63" t="str">
        <f>IFERROR(__xludf.DUMMYFUNCTION("IF(ISBLANK(A3692),,IF(ISBLANK(S3692), A3692&amp;"";"", TEXTJOIN(CHAR(10), TRUE, A3692&amp;"";"", ARRAYFORMULA(VLOOKUP(SPLIT(S3692, "";"" &amp; CHAR(10)), $A:$AO, 41, FALSE)))))"),"")</f>
        <v/>
      </c>
      <c r="AP3692" s="89"/>
    </row>
    <row r="3693">
      <c r="A3693" s="42"/>
      <c r="B3693" s="42"/>
      <c r="C3693" s="42"/>
      <c r="D3693" s="42"/>
      <c r="E3693" s="39"/>
      <c r="F3693" s="9"/>
      <c r="G3693" s="9"/>
      <c r="H3693" s="9"/>
      <c r="I3693" s="9"/>
      <c r="J3693" s="9"/>
      <c r="K3693" s="9"/>
      <c r="L3693" s="9"/>
      <c r="M3693" s="9"/>
      <c r="N3693" s="9"/>
      <c r="O3693" s="9"/>
      <c r="P3693" s="9"/>
      <c r="Q3693" s="9"/>
      <c r="R3693" s="9"/>
      <c r="S3693" s="42"/>
      <c r="T3693" s="42"/>
      <c r="U3693" s="42"/>
      <c r="V3693" s="42"/>
      <c r="W3693" s="42"/>
      <c r="X3693" s="42"/>
      <c r="Y3693" s="42"/>
      <c r="Z3693" s="42"/>
      <c r="AA3693" s="42"/>
      <c r="AB3693" s="42"/>
      <c r="AC3693" s="42"/>
      <c r="AD3693" s="42"/>
      <c r="AE3693" s="42"/>
      <c r="AF3693" s="9"/>
      <c r="AG3693" s="9"/>
      <c r="AH3693" s="42"/>
      <c r="AI3693" s="42"/>
      <c r="AJ3693" s="42"/>
      <c r="AK3693" s="42"/>
      <c r="AL3693" s="42"/>
      <c r="AM3693" s="42"/>
      <c r="AN3693" s="42"/>
      <c r="AO3693" s="63" t="str">
        <f>IFERROR(__xludf.DUMMYFUNCTION("IF(ISBLANK(A3693),,IF(ISBLANK(S3693), A3693&amp;"";"", TEXTJOIN(CHAR(10), TRUE, A3693&amp;"";"", ARRAYFORMULA(VLOOKUP(SPLIT(S3693, "";"" &amp; CHAR(10)), $A:$AO, 41, FALSE)))))"),"")</f>
        <v/>
      </c>
      <c r="AP3693" s="89"/>
    </row>
    <row r="3694">
      <c r="A3694" s="42"/>
      <c r="B3694" s="42"/>
      <c r="C3694" s="42"/>
      <c r="D3694" s="42"/>
      <c r="E3694" s="39"/>
      <c r="F3694" s="9"/>
      <c r="G3694" s="9"/>
      <c r="H3694" s="9"/>
      <c r="I3694" s="9"/>
      <c r="J3694" s="9"/>
      <c r="K3694" s="9"/>
      <c r="L3694" s="9"/>
      <c r="M3694" s="9"/>
      <c r="N3694" s="9"/>
      <c r="O3694" s="9"/>
      <c r="P3694" s="9"/>
      <c r="Q3694" s="9"/>
      <c r="R3694" s="9"/>
      <c r="S3694" s="42"/>
      <c r="T3694" s="42"/>
      <c r="U3694" s="42"/>
      <c r="V3694" s="42"/>
      <c r="W3694" s="42"/>
      <c r="X3694" s="42"/>
      <c r="Y3694" s="42"/>
      <c r="Z3694" s="42"/>
      <c r="AA3694" s="42"/>
      <c r="AB3694" s="42"/>
      <c r="AC3694" s="42"/>
      <c r="AD3694" s="42"/>
      <c r="AE3694" s="42"/>
      <c r="AF3694" s="9"/>
      <c r="AG3694" s="9"/>
      <c r="AH3694" s="42"/>
      <c r="AI3694" s="42"/>
      <c r="AJ3694" s="42"/>
      <c r="AK3694" s="42"/>
      <c r="AL3694" s="42"/>
      <c r="AM3694" s="42"/>
      <c r="AN3694" s="42"/>
      <c r="AO3694" s="63" t="str">
        <f>IFERROR(__xludf.DUMMYFUNCTION("IF(ISBLANK(A3694),,IF(ISBLANK(S3694), A3694&amp;"";"", TEXTJOIN(CHAR(10), TRUE, A3694&amp;"";"", ARRAYFORMULA(VLOOKUP(SPLIT(S3694, "";"" &amp; CHAR(10)), $A:$AO, 41, FALSE)))))"),"")</f>
        <v/>
      </c>
      <c r="AP3694" s="89"/>
    </row>
    <row r="3695">
      <c r="A3695" s="42"/>
      <c r="B3695" s="42"/>
      <c r="C3695" s="42"/>
      <c r="D3695" s="42"/>
      <c r="E3695" s="39"/>
      <c r="F3695" s="9"/>
      <c r="G3695" s="9"/>
      <c r="H3695" s="9"/>
      <c r="I3695" s="9"/>
      <c r="J3695" s="9"/>
      <c r="K3695" s="9"/>
      <c r="L3695" s="9"/>
      <c r="M3695" s="9"/>
      <c r="N3695" s="9"/>
      <c r="O3695" s="9"/>
      <c r="P3695" s="9"/>
      <c r="Q3695" s="9"/>
      <c r="R3695" s="9"/>
      <c r="S3695" s="42"/>
      <c r="T3695" s="42"/>
      <c r="U3695" s="42"/>
      <c r="V3695" s="42"/>
      <c r="W3695" s="42"/>
      <c r="X3695" s="42"/>
      <c r="Y3695" s="42"/>
      <c r="Z3695" s="42"/>
      <c r="AA3695" s="42"/>
      <c r="AB3695" s="42"/>
      <c r="AC3695" s="42"/>
      <c r="AD3695" s="42"/>
      <c r="AE3695" s="42"/>
      <c r="AF3695" s="9"/>
      <c r="AG3695" s="9"/>
      <c r="AH3695" s="42"/>
      <c r="AI3695" s="42"/>
      <c r="AJ3695" s="42"/>
      <c r="AK3695" s="42"/>
      <c r="AL3695" s="42"/>
      <c r="AM3695" s="42"/>
      <c r="AN3695" s="42"/>
      <c r="AO3695" s="63" t="str">
        <f>IFERROR(__xludf.DUMMYFUNCTION("IF(ISBLANK(A3695),,IF(ISBLANK(S3695), A3695&amp;"";"", TEXTJOIN(CHAR(10), TRUE, A3695&amp;"";"", ARRAYFORMULA(VLOOKUP(SPLIT(S3695, "";"" &amp; CHAR(10)), $A:$AO, 41, FALSE)))))"),"")</f>
        <v/>
      </c>
      <c r="AP3695" s="89"/>
    </row>
    <row r="3696">
      <c r="A3696" s="42"/>
      <c r="B3696" s="42"/>
      <c r="C3696" s="42"/>
      <c r="D3696" s="42"/>
      <c r="E3696" s="39"/>
      <c r="F3696" s="9"/>
      <c r="G3696" s="9"/>
      <c r="H3696" s="9"/>
      <c r="I3696" s="9"/>
      <c r="J3696" s="9"/>
      <c r="K3696" s="9"/>
      <c r="L3696" s="9"/>
      <c r="M3696" s="9"/>
      <c r="N3696" s="9"/>
      <c r="O3696" s="9"/>
      <c r="P3696" s="9"/>
      <c r="Q3696" s="9"/>
      <c r="R3696" s="9"/>
      <c r="S3696" s="42"/>
      <c r="T3696" s="42"/>
      <c r="U3696" s="42"/>
      <c r="V3696" s="42"/>
      <c r="W3696" s="42"/>
      <c r="X3696" s="42"/>
      <c r="Y3696" s="42"/>
      <c r="Z3696" s="42"/>
      <c r="AA3696" s="42"/>
      <c r="AB3696" s="42"/>
      <c r="AC3696" s="42"/>
      <c r="AD3696" s="42"/>
      <c r="AE3696" s="42"/>
      <c r="AF3696" s="9"/>
      <c r="AG3696" s="9"/>
      <c r="AH3696" s="42"/>
      <c r="AI3696" s="42"/>
      <c r="AJ3696" s="42"/>
      <c r="AK3696" s="42"/>
      <c r="AL3696" s="42"/>
      <c r="AM3696" s="42"/>
      <c r="AN3696" s="42"/>
      <c r="AO3696" s="63" t="str">
        <f>IFERROR(__xludf.DUMMYFUNCTION("IF(ISBLANK(A3696),,IF(ISBLANK(S3696), A3696&amp;"";"", TEXTJOIN(CHAR(10), TRUE, A3696&amp;"";"", ARRAYFORMULA(VLOOKUP(SPLIT(S3696, "";"" &amp; CHAR(10)), $A:$AO, 41, FALSE)))))"),"")</f>
        <v/>
      </c>
      <c r="AP3696" s="89"/>
    </row>
    <row r="3697">
      <c r="A3697" s="42"/>
      <c r="B3697" s="42"/>
      <c r="C3697" s="42"/>
      <c r="D3697" s="42"/>
      <c r="E3697" s="39"/>
      <c r="F3697" s="9"/>
      <c r="G3697" s="9"/>
      <c r="H3697" s="9"/>
      <c r="I3697" s="9"/>
      <c r="J3697" s="9"/>
      <c r="K3697" s="9"/>
      <c r="L3697" s="9"/>
      <c r="M3697" s="9"/>
      <c r="N3697" s="9"/>
      <c r="O3697" s="9"/>
      <c r="P3697" s="9"/>
      <c r="Q3697" s="9"/>
      <c r="R3697" s="9"/>
      <c r="S3697" s="42"/>
      <c r="T3697" s="42"/>
      <c r="U3697" s="42"/>
      <c r="V3697" s="42"/>
      <c r="W3697" s="42"/>
      <c r="X3697" s="42"/>
      <c r="Y3697" s="42"/>
      <c r="Z3697" s="42"/>
      <c r="AA3697" s="42"/>
      <c r="AB3697" s="42"/>
      <c r="AC3697" s="42"/>
      <c r="AD3697" s="42"/>
      <c r="AE3697" s="42"/>
      <c r="AF3697" s="9"/>
      <c r="AG3697" s="9"/>
      <c r="AH3697" s="42"/>
      <c r="AI3697" s="42"/>
      <c r="AJ3697" s="42"/>
      <c r="AK3697" s="42"/>
      <c r="AL3697" s="42"/>
      <c r="AM3697" s="42"/>
      <c r="AN3697" s="42"/>
      <c r="AO3697" s="63" t="str">
        <f>IFERROR(__xludf.DUMMYFUNCTION("IF(ISBLANK(A3697),,IF(ISBLANK(S3697), A3697&amp;"";"", TEXTJOIN(CHAR(10), TRUE, A3697&amp;"";"", ARRAYFORMULA(VLOOKUP(SPLIT(S3697, "";"" &amp; CHAR(10)), $A:$AO, 41, FALSE)))))"),"")</f>
        <v/>
      </c>
      <c r="AP3697" s="89"/>
    </row>
    <row r="3698">
      <c r="A3698" s="42"/>
      <c r="B3698" s="42"/>
      <c r="C3698" s="42"/>
      <c r="D3698" s="42"/>
      <c r="E3698" s="39"/>
      <c r="F3698" s="9"/>
      <c r="G3698" s="9"/>
      <c r="H3698" s="9"/>
      <c r="I3698" s="9"/>
      <c r="J3698" s="9"/>
      <c r="K3698" s="9"/>
      <c r="L3698" s="9"/>
      <c r="M3698" s="9"/>
      <c r="N3698" s="9"/>
      <c r="O3698" s="9"/>
      <c r="P3698" s="9"/>
      <c r="Q3698" s="9"/>
      <c r="R3698" s="9"/>
      <c r="S3698" s="42"/>
      <c r="T3698" s="42"/>
      <c r="U3698" s="42"/>
      <c r="V3698" s="42"/>
      <c r="W3698" s="42"/>
      <c r="X3698" s="42"/>
      <c r="Y3698" s="42"/>
      <c r="Z3698" s="42"/>
      <c r="AA3698" s="42"/>
      <c r="AB3698" s="42"/>
      <c r="AC3698" s="42"/>
      <c r="AD3698" s="42"/>
      <c r="AE3698" s="42"/>
      <c r="AF3698" s="9"/>
      <c r="AG3698" s="9"/>
      <c r="AH3698" s="42"/>
      <c r="AI3698" s="42"/>
      <c r="AJ3698" s="42"/>
      <c r="AK3698" s="42"/>
      <c r="AL3698" s="42"/>
      <c r="AM3698" s="42"/>
      <c r="AN3698" s="42"/>
      <c r="AO3698" s="63" t="str">
        <f>IFERROR(__xludf.DUMMYFUNCTION("IF(ISBLANK(A3698),,IF(ISBLANK(S3698), A3698&amp;"";"", TEXTJOIN(CHAR(10), TRUE, A3698&amp;"";"", ARRAYFORMULA(VLOOKUP(SPLIT(S3698, "";"" &amp; CHAR(10)), $A:$AO, 41, FALSE)))))"),"")</f>
        <v/>
      </c>
      <c r="AP3698" s="89"/>
    </row>
    <row r="3699">
      <c r="A3699" s="42"/>
      <c r="B3699" s="42"/>
      <c r="C3699" s="42"/>
      <c r="D3699" s="42"/>
      <c r="E3699" s="39"/>
      <c r="F3699" s="9"/>
      <c r="G3699" s="9"/>
      <c r="H3699" s="9"/>
      <c r="I3699" s="9"/>
      <c r="J3699" s="9"/>
      <c r="K3699" s="9"/>
      <c r="L3699" s="9"/>
      <c r="M3699" s="9"/>
      <c r="N3699" s="9"/>
      <c r="O3699" s="9"/>
      <c r="P3699" s="9"/>
      <c r="Q3699" s="9"/>
      <c r="R3699" s="9"/>
      <c r="S3699" s="42"/>
      <c r="T3699" s="42"/>
      <c r="U3699" s="42"/>
      <c r="V3699" s="42"/>
      <c r="W3699" s="42"/>
      <c r="X3699" s="42"/>
      <c r="Y3699" s="42"/>
      <c r="Z3699" s="42"/>
      <c r="AA3699" s="42"/>
      <c r="AB3699" s="42"/>
      <c r="AC3699" s="42"/>
      <c r="AD3699" s="42"/>
      <c r="AE3699" s="42"/>
      <c r="AF3699" s="9"/>
      <c r="AG3699" s="9"/>
      <c r="AH3699" s="42"/>
      <c r="AI3699" s="42"/>
      <c r="AJ3699" s="42"/>
      <c r="AK3699" s="42"/>
      <c r="AL3699" s="42"/>
      <c r="AM3699" s="42"/>
      <c r="AN3699" s="42"/>
      <c r="AO3699" s="63" t="str">
        <f>IFERROR(__xludf.DUMMYFUNCTION("IF(ISBLANK(A3699),,IF(ISBLANK(S3699), A3699&amp;"";"", TEXTJOIN(CHAR(10), TRUE, A3699&amp;"";"", ARRAYFORMULA(VLOOKUP(SPLIT(S3699, "";"" &amp; CHAR(10)), $A:$AO, 41, FALSE)))))"),"")</f>
        <v/>
      </c>
      <c r="AP3699" s="89"/>
    </row>
    <row r="3700">
      <c r="A3700" s="42"/>
      <c r="B3700" s="42"/>
      <c r="C3700" s="42"/>
      <c r="D3700" s="42"/>
      <c r="E3700" s="39"/>
      <c r="F3700" s="9"/>
      <c r="G3700" s="9"/>
      <c r="H3700" s="9"/>
      <c r="I3700" s="9"/>
      <c r="J3700" s="9"/>
      <c r="K3700" s="9"/>
      <c r="L3700" s="9"/>
      <c r="M3700" s="9"/>
      <c r="N3700" s="9"/>
      <c r="O3700" s="9"/>
      <c r="P3700" s="9"/>
      <c r="Q3700" s="9"/>
      <c r="R3700" s="9"/>
      <c r="S3700" s="42"/>
      <c r="T3700" s="42"/>
      <c r="U3700" s="42"/>
      <c r="V3700" s="42"/>
      <c r="W3700" s="42"/>
      <c r="X3700" s="42"/>
      <c r="Y3700" s="42"/>
      <c r="Z3700" s="42"/>
      <c r="AA3700" s="42"/>
      <c r="AB3700" s="42"/>
      <c r="AC3700" s="42"/>
      <c r="AD3700" s="42"/>
      <c r="AE3700" s="42"/>
      <c r="AF3700" s="9"/>
      <c r="AG3700" s="9"/>
      <c r="AH3700" s="42"/>
      <c r="AI3700" s="42"/>
      <c r="AJ3700" s="42"/>
      <c r="AK3700" s="42"/>
      <c r="AL3700" s="42"/>
      <c r="AM3700" s="42"/>
      <c r="AN3700" s="42"/>
      <c r="AO3700" s="63" t="str">
        <f>IFERROR(__xludf.DUMMYFUNCTION("IF(ISBLANK(A3700),,IF(ISBLANK(S3700), A3700&amp;"";"", TEXTJOIN(CHAR(10), TRUE, A3700&amp;"";"", ARRAYFORMULA(VLOOKUP(SPLIT(S3700, "";"" &amp; CHAR(10)), $A:$AO, 41, FALSE)))))"),"")</f>
        <v/>
      </c>
      <c r="AP3700" s="89"/>
    </row>
    <row r="3701">
      <c r="A3701" s="42"/>
      <c r="B3701" s="42"/>
      <c r="C3701" s="42"/>
      <c r="D3701" s="42"/>
      <c r="E3701" s="39"/>
      <c r="F3701" s="9"/>
      <c r="G3701" s="9"/>
      <c r="H3701" s="9"/>
      <c r="I3701" s="9"/>
      <c r="J3701" s="9"/>
      <c r="K3701" s="9"/>
      <c r="L3701" s="9"/>
      <c r="M3701" s="9"/>
      <c r="N3701" s="9"/>
      <c r="O3701" s="9"/>
      <c r="P3701" s="9"/>
      <c r="Q3701" s="9"/>
      <c r="R3701" s="9"/>
      <c r="S3701" s="42"/>
      <c r="T3701" s="42"/>
      <c r="U3701" s="42"/>
      <c r="V3701" s="42"/>
      <c r="W3701" s="42"/>
      <c r="X3701" s="42"/>
      <c r="Y3701" s="42"/>
      <c r="Z3701" s="42"/>
      <c r="AA3701" s="42"/>
      <c r="AB3701" s="42"/>
      <c r="AC3701" s="42"/>
      <c r="AD3701" s="42"/>
      <c r="AE3701" s="42"/>
      <c r="AF3701" s="9"/>
      <c r="AG3701" s="9"/>
      <c r="AH3701" s="42"/>
      <c r="AI3701" s="42"/>
      <c r="AJ3701" s="42"/>
      <c r="AK3701" s="42"/>
      <c r="AL3701" s="42"/>
      <c r="AM3701" s="42"/>
      <c r="AN3701" s="42"/>
      <c r="AO3701" s="63" t="str">
        <f>IFERROR(__xludf.DUMMYFUNCTION("IF(ISBLANK(A3701),,IF(ISBLANK(S3701), A3701&amp;"";"", TEXTJOIN(CHAR(10), TRUE, A3701&amp;"";"", ARRAYFORMULA(VLOOKUP(SPLIT(S3701, "";"" &amp; CHAR(10)), $A:$AO, 41, FALSE)))))"),"")</f>
        <v/>
      </c>
      <c r="AP3701" s="89"/>
    </row>
    <row r="3702">
      <c r="A3702" s="42"/>
      <c r="B3702" s="42"/>
      <c r="C3702" s="42"/>
      <c r="D3702" s="42"/>
      <c r="E3702" s="39"/>
      <c r="F3702" s="9"/>
      <c r="G3702" s="9"/>
      <c r="H3702" s="9"/>
      <c r="I3702" s="9"/>
      <c r="J3702" s="9"/>
      <c r="K3702" s="9"/>
      <c r="L3702" s="9"/>
      <c r="M3702" s="9"/>
      <c r="N3702" s="9"/>
      <c r="O3702" s="9"/>
      <c r="P3702" s="9"/>
      <c r="Q3702" s="9"/>
      <c r="R3702" s="9"/>
      <c r="S3702" s="42"/>
      <c r="T3702" s="42"/>
      <c r="U3702" s="42"/>
      <c r="V3702" s="42"/>
      <c r="W3702" s="42"/>
      <c r="X3702" s="42"/>
      <c r="Y3702" s="42"/>
      <c r="Z3702" s="42"/>
      <c r="AA3702" s="42"/>
      <c r="AB3702" s="42"/>
      <c r="AC3702" s="42"/>
      <c r="AD3702" s="42"/>
      <c r="AE3702" s="42"/>
      <c r="AF3702" s="9"/>
      <c r="AG3702" s="9"/>
      <c r="AH3702" s="42"/>
      <c r="AI3702" s="42"/>
      <c r="AJ3702" s="42"/>
      <c r="AK3702" s="42"/>
      <c r="AL3702" s="42"/>
      <c r="AM3702" s="42"/>
      <c r="AN3702" s="42"/>
      <c r="AO3702" s="63" t="str">
        <f>IFERROR(__xludf.DUMMYFUNCTION("IF(ISBLANK(A3702),,IF(ISBLANK(S3702), A3702&amp;"";"", TEXTJOIN(CHAR(10), TRUE, A3702&amp;"";"", ARRAYFORMULA(VLOOKUP(SPLIT(S3702, "";"" &amp; CHAR(10)), $A:$AO, 41, FALSE)))))"),"")</f>
        <v/>
      </c>
      <c r="AP3702" s="89"/>
    </row>
    <row r="3703">
      <c r="A3703" s="42"/>
      <c r="B3703" s="42"/>
      <c r="C3703" s="42"/>
      <c r="D3703" s="42"/>
      <c r="E3703" s="39"/>
      <c r="F3703" s="9"/>
      <c r="G3703" s="9"/>
      <c r="H3703" s="9"/>
      <c r="I3703" s="9"/>
      <c r="J3703" s="9"/>
      <c r="K3703" s="9"/>
      <c r="L3703" s="9"/>
      <c r="M3703" s="9"/>
      <c r="N3703" s="9"/>
      <c r="O3703" s="9"/>
      <c r="P3703" s="9"/>
      <c r="Q3703" s="9"/>
      <c r="R3703" s="9"/>
      <c r="S3703" s="42"/>
      <c r="T3703" s="42"/>
      <c r="U3703" s="42"/>
      <c r="V3703" s="42"/>
      <c r="W3703" s="42"/>
      <c r="X3703" s="42"/>
      <c r="Y3703" s="42"/>
      <c r="Z3703" s="42"/>
      <c r="AA3703" s="42"/>
      <c r="AB3703" s="42"/>
      <c r="AC3703" s="42"/>
      <c r="AD3703" s="42"/>
      <c r="AE3703" s="42"/>
      <c r="AF3703" s="9"/>
      <c r="AG3703" s="9"/>
      <c r="AH3703" s="42"/>
      <c r="AI3703" s="42"/>
      <c r="AJ3703" s="42"/>
      <c r="AK3703" s="42"/>
      <c r="AL3703" s="42"/>
      <c r="AM3703" s="42"/>
      <c r="AN3703" s="42"/>
      <c r="AO3703" s="63" t="str">
        <f>IFERROR(__xludf.DUMMYFUNCTION("IF(ISBLANK(A3703),,IF(ISBLANK(S3703), A3703&amp;"";"", TEXTJOIN(CHAR(10), TRUE, A3703&amp;"";"", ARRAYFORMULA(VLOOKUP(SPLIT(S3703, "";"" &amp; CHAR(10)), $A:$AO, 41, FALSE)))))"),"")</f>
        <v/>
      </c>
      <c r="AP3703" s="89"/>
    </row>
    <row r="3704">
      <c r="A3704" s="42"/>
      <c r="B3704" s="42"/>
      <c r="C3704" s="42"/>
      <c r="D3704" s="42"/>
      <c r="E3704" s="39"/>
      <c r="F3704" s="9"/>
      <c r="G3704" s="9"/>
      <c r="H3704" s="9"/>
      <c r="I3704" s="9"/>
      <c r="J3704" s="9"/>
      <c r="K3704" s="9"/>
      <c r="L3704" s="9"/>
      <c r="M3704" s="9"/>
      <c r="N3704" s="9"/>
      <c r="O3704" s="9"/>
      <c r="P3704" s="9"/>
      <c r="Q3704" s="9"/>
      <c r="R3704" s="9"/>
      <c r="S3704" s="42"/>
      <c r="T3704" s="42"/>
      <c r="U3704" s="42"/>
      <c r="V3704" s="42"/>
      <c r="W3704" s="42"/>
      <c r="X3704" s="42"/>
      <c r="Y3704" s="42"/>
      <c r="Z3704" s="42"/>
      <c r="AA3704" s="42"/>
      <c r="AB3704" s="42"/>
      <c r="AC3704" s="42"/>
      <c r="AD3704" s="42"/>
      <c r="AE3704" s="42"/>
      <c r="AF3704" s="9"/>
      <c r="AG3704" s="9"/>
      <c r="AH3704" s="42"/>
      <c r="AI3704" s="42"/>
      <c r="AJ3704" s="42"/>
      <c r="AK3704" s="42"/>
      <c r="AL3704" s="42"/>
      <c r="AM3704" s="42"/>
      <c r="AN3704" s="42"/>
      <c r="AO3704" s="63" t="str">
        <f>IFERROR(__xludf.DUMMYFUNCTION("IF(ISBLANK(A3704),,IF(ISBLANK(S3704), A3704&amp;"";"", TEXTJOIN(CHAR(10), TRUE, A3704&amp;"";"", ARRAYFORMULA(VLOOKUP(SPLIT(S3704, "";"" &amp; CHAR(10)), $A:$AO, 41, FALSE)))))"),"")</f>
        <v/>
      </c>
      <c r="AP3704" s="89"/>
    </row>
    <row r="3705">
      <c r="A3705" s="42"/>
      <c r="B3705" s="42"/>
      <c r="C3705" s="42"/>
      <c r="D3705" s="42"/>
      <c r="E3705" s="39"/>
      <c r="F3705" s="9"/>
      <c r="G3705" s="9"/>
      <c r="H3705" s="9"/>
      <c r="I3705" s="9"/>
      <c r="J3705" s="9"/>
      <c r="K3705" s="9"/>
      <c r="L3705" s="9"/>
      <c r="M3705" s="9"/>
      <c r="N3705" s="9"/>
      <c r="O3705" s="9"/>
      <c r="P3705" s="9"/>
      <c r="Q3705" s="9"/>
      <c r="R3705" s="9"/>
      <c r="S3705" s="42"/>
      <c r="T3705" s="42"/>
      <c r="U3705" s="42"/>
      <c r="V3705" s="42"/>
      <c r="W3705" s="42"/>
      <c r="X3705" s="42"/>
      <c r="Y3705" s="42"/>
      <c r="Z3705" s="42"/>
      <c r="AA3705" s="42"/>
      <c r="AB3705" s="42"/>
      <c r="AC3705" s="42"/>
      <c r="AD3705" s="42"/>
      <c r="AE3705" s="42"/>
      <c r="AF3705" s="9"/>
      <c r="AG3705" s="9"/>
      <c r="AH3705" s="42"/>
      <c r="AI3705" s="42"/>
      <c r="AJ3705" s="42"/>
      <c r="AK3705" s="42"/>
      <c r="AL3705" s="42"/>
      <c r="AM3705" s="42"/>
      <c r="AN3705" s="42"/>
      <c r="AO3705" s="63" t="str">
        <f>IFERROR(__xludf.DUMMYFUNCTION("IF(ISBLANK(A3705),,IF(ISBLANK(S3705), A3705&amp;"";"", TEXTJOIN(CHAR(10), TRUE, A3705&amp;"";"", ARRAYFORMULA(VLOOKUP(SPLIT(S3705, "";"" &amp; CHAR(10)), $A:$AO, 41, FALSE)))))"),"")</f>
        <v/>
      </c>
      <c r="AP3705" s="89"/>
    </row>
    <row r="3706">
      <c r="A3706" s="42"/>
      <c r="B3706" s="42"/>
      <c r="C3706" s="42"/>
      <c r="D3706" s="42"/>
      <c r="E3706" s="39"/>
      <c r="F3706" s="9"/>
      <c r="G3706" s="9"/>
      <c r="H3706" s="9"/>
      <c r="I3706" s="9"/>
      <c r="J3706" s="9"/>
      <c r="K3706" s="9"/>
      <c r="L3706" s="9"/>
      <c r="M3706" s="9"/>
      <c r="N3706" s="9"/>
      <c r="O3706" s="9"/>
      <c r="P3706" s="9"/>
      <c r="Q3706" s="9"/>
      <c r="R3706" s="9"/>
      <c r="S3706" s="42"/>
      <c r="T3706" s="42"/>
      <c r="U3706" s="42"/>
      <c r="V3706" s="42"/>
      <c r="W3706" s="42"/>
      <c r="X3706" s="42"/>
      <c r="Y3706" s="42"/>
      <c r="Z3706" s="42"/>
      <c r="AA3706" s="42"/>
      <c r="AB3706" s="42"/>
      <c r="AC3706" s="42"/>
      <c r="AD3706" s="42"/>
      <c r="AE3706" s="42"/>
      <c r="AF3706" s="9"/>
      <c r="AG3706" s="9"/>
      <c r="AH3706" s="42"/>
      <c r="AI3706" s="42"/>
      <c r="AJ3706" s="42"/>
      <c r="AK3706" s="42"/>
      <c r="AL3706" s="42"/>
      <c r="AM3706" s="42"/>
      <c r="AN3706" s="42"/>
      <c r="AO3706" s="63" t="str">
        <f>IFERROR(__xludf.DUMMYFUNCTION("IF(ISBLANK(A3706),,IF(ISBLANK(S3706), A3706&amp;"";"", TEXTJOIN(CHAR(10), TRUE, A3706&amp;"";"", ARRAYFORMULA(VLOOKUP(SPLIT(S3706, "";"" &amp; CHAR(10)), $A:$AO, 41, FALSE)))))"),"")</f>
        <v/>
      </c>
      <c r="AP3706" s="89"/>
    </row>
    <row r="3707">
      <c r="A3707" s="42"/>
      <c r="B3707" s="42"/>
      <c r="C3707" s="42"/>
      <c r="D3707" s="42"/>
      <c r="E3707" s="39"/>
      <c r="F3707" s="9"/>
      <c r="G3707" s="9"/>
      <c r="H3707" s="9"/>
      <c r="I3707" s="9"/>
      <c r="J3707" s="9"/>
      <c r="K3707" s="9"/>
      <c r="L3707" s="9"/>
      <c r="M3707" s="9"/>
      <c r="N3707" s="9"/>
      <c r="O3707" s="9"/>
      <c r="P3707" s="9"/>
      <c r="Q3707" s="9"/>
      <c r="R3707" s="9"/>
      <c r="S3707" s="42"/>
      <c r="T3707" s="42"/>
      <c r="U3707" s="42"/>
      <c r="V3707" s="42"/>
      <c r="W3707" s="42"/>
      <c r="X3707" s="42"/>
      <c r="Y3707" s="42"/>
      <c r="Z3707" s="42"/>
      <c r="AA3707" s="42"/>
      <c r="AB3707" s="42"/>
      <c r="AC3707" s="42"/>
      <c r="AD3707" s="42"/>
      <c r="AE3707" s="42"/>
      <c r="AF3707" s="9"/>
      <c r="AG3707" s="9"/>
      <c r="AH3707" s="42"/>
      <c r="AI3707" s="42"/>
      <c r="AJ3707" s="42"/>
      <c r="AK3707" s="42"/>
      <c r="AL3707" s="42"/>
      <c r="AM3707" s="42"/>
      <c r="AN3707" s="42"/>
      <c r="AO3707" s="63" t="str">
        <f>IFERROR(__xludf.DUMMYFUNCTION("IF(ISBLANK(A3707),,IF(ISBLANK(S3707), A3707&amp;"";"", TEXTJOIN(CHAR(10), TRUE, A3707&amp;"";"", ARRAYFORMULA(VLOOKUP(SPLIT(S3707, "";"" &amp; CHAR(10)), $A:$AO, 41, FALSE)))))"),"")</f>
        <v/>
      </c>
      <c r="AP3707" s="89"/>
    </row>
    <row r="3708">
      <c r="A3708" s="42"/>
      <c r="B3708" s="42"/>
      <c r="C3708" s="42"/>
      <c r="D3708" s="42"/>
      <c r="E3708" s="39"/>
      <c r="F3708" s="9"/>
      <c r="G3708" s="9"/>
      <c r="H3708" s="9"/>
      <c r="I3708" s="9"/>
      <c r="J3708" s="9"/>
      <c r="K3708" s="9"/>
      <c r="L3708" s="9"/>
      <c r="M3708" s="9"/>
      <c r="N3708" s="9"/>
      <c r="O3708" s="9"/>
      <c r="P3708" s="9"/>
      <c r="Q3708" s="9"/>
      <c r="R3708" s="9"/>
      <c r="S3708" s="42"/>
      <c r="T3708" s="42"/>
      <c r="U3708" s="42"/>
      <c r="V3708" s="42"/>
      <c r="W3708" s="42"/>
      <c r="X3708" s="42"/>
      <c r="Y3708" s="42"/>
      <c r="Z3708" s="42"/>
      <c r="AA3708" s="42"/>
      <c r="AB3708" s="42"/>
      <c r="AC3708" s="42"/>
      <c r="AD3708" s="42"/>
      <c r="AE3708" s="42"/>
      <c r="AF3708" s="9"/>
      <c r="AG3708" s="9"/>
      <c r="AH3708" s="42"/>
      <c r="AI3708" s="42"/>
      <c r="AJ3708" s="42"/>
      <c r="AK3708" s="42"/>
      <c r="AL3708" s="42"/>
      <c r="AM3708" s="42"/>
      <c r="AN3708" s="42"/>
      <c r="AO3708" s="63" t="str">
        <f>IFERROR(__xludf.DUMMYFUNCTION("IF(ISBLANK(A3708),,IF(ISBLANK(S3708), A3708&amp;"";"", TEXTJOIN(CHAR(10), TRUE, A3708&amp;"";"", ARRAYFORMULA(VLOOKUP(SPLIT(S3708, "";"" &amp; CHAR(10)), $A:$AO, 41, FALSE)))))"),"")</f>
        <v/>
      </c>
      <c r="AP3708" s="89"/>
    </row>
    <row r="3709">
      <c r="A3709" s="42"/>
      <c r="B3709" s="42"/>
      <c r="C3709" s="42"/>
      <c r="D3709" s="42"/>
      <c r="E3709" s="39"/>
      <c r="F3709" s="9"/>
      <c r="G3709" s="9"/>
      <c r="H3709" s="9"/>
      <c r="I3709" s="9"/>
      <c r="J3709" s="9"/>
      <c r="K3709" s="9"/>
      <c r="L3709" s="9"/>
      <c r="M3709" s="9"/>
      <c r="N3709" s="9"/>
      <c r="O3709" s="9"/>
      <c r="P3709" s="9"/>
      <c r="Q3709" s="9"/>
      <c r="R3709" s="9"/>
      <c r="S3709" s="42"/>
      <c r="T3709" s="42"/>
      <c r="U3709" s="42"/>
      <c r="V3709" s="42"/>
      <c r="W3709" s="42"/>
      <c r="X3709" s="42"/>
      <c r="Y3709" s="42"/>
      <c r="Z3709" s="42"/>
      <c r="AA3709" s="42"/>
      <c r="AB3709" s="42"/>
      <c r="AC3709" s="42"/>
      <c r="AD3709" s="42"/>
      <c r="AE3709" s="42"/>
      <c r="AF3709" s="9"/>
      <c r="AG3709" s="9"/>
      <c r="AH3709" s="42"/>
      <c r="AI3709" s="42"/>
      <c r="AJ3709" s="42"/>
      <c r="AK3709" s="42"/>
      <c r="AL3709" s="42"/>
      <c r="AM3709" s="42"/>
      <c r="AN3709" s="42"/>
      <c r="AO3709" s="63" t="str">
        <f>IFERROR(__xludf.DUMMYFUNCTION("IF(ISBLANK(A3709),,IF(ISBLANK(S3709), A3709&amp;"";"", TEXTJOIN(CHAR(10), TRUE, A3709&amp;"";"", ARRAYFORMULA(VLOOKUP(SPLIT(S3709, "";"" &amp; CHAR(10)), $A:$AO, 41, FALSE)))))"),"")</f>
        <v/>
      </c>
      <c r="AP3709" s="89"/>
    </row>
    <row r="3710">
      <c r="A3710" s="42"/>
      <c r="B3710" s="42"/>
      <c r="C3710" s="42"/>
      <c r="D3710" s="42"/>
      <c r="E3710" s="39"/>
      <c r="F3710" s="9"/>
      <c r="G3710" s="9"/>
      <c r="H3710" s="9"/>
      <c r="I3710" s="9"/>
      <c r="J3710" s="9"/>
      <c r="K3710" s="9"/>
      <c r="L3710" s="9"/>
      <c r="M3710" s="9"/>
      <c r="N3710" s="9"/>
      <c r="O3710" s="9"/>
      <c r="P3710" s="9"/>
      <c r="Q3710" s="9"/>
      <c r="R3710" s="9"/>
      <c r="S3710" s="42"/>
      <c r="T3710" s="42"/>
      <c r="U3710" s="42"/>
      <c r="V3710" s="42"/>
      <c r="W3710" s="42"/>
      <c r="X3710" s="42"/>
      <c r="Y3710" s="42"/>
      <c r="Z3710" s="42"/>
      <c r="AA3710" s="42"/>
      <c r="AB3710" s="42"/>
      <c r="AC3710" s="42"/>
      <c r="AD3710" s="42"/>
      <c r="AE3710" s="42"/>
      <c r="AF3710" s="9"/>
      <c r="AG3710" s="9"/>
      <c r="AH3710" s="42"/>
      <c r="AI3710" s="42"/>
      <c r="AJ3710" s="42"/>
      <c r="AK3710" s="42"/>
      <c r="AL3710" s="42"/>
      <c r="AM3710" s="42"/>
      <c r="AN3710" s="42"/>
      <c r="AO3710" s="63" t="str">
        <f>IFERROR(__xludf.DUMMYFUNCTION("IF(ISBLANK(A3710),,IF(ISBLANK(S3710), A3710&amp;"";"", TEXTJOIN(CHAR(10), TRUE, A3710&amp;"";"", ARRAYFORMULA(VLOOKUP(SPLIT(S3710, "";"" &amp; CHAR(10)), $A:$AO, 41, FALSE)))))"),"")</f>
        <v/>
      </c>
      <c r="AP3710" s="89"/>
    </row>
    <row r="3711">
      <c r="A3711" s="42"/>
      <c r="B3711" s="42"/>
      <c r="C3711" s="42"/>
      <c r="D3711" s="42"/>
      <c r="E3711" s="39"/>
      <c r="F3711" s="9"/>
      <c r="G3711" s="9"/>
      <c r="H3711" s="9"/>
      <c r="I3711" s="9"/>
      <c r="J3711" s="9"/>
      <c r="K3711" s="9"/>
      <c r="L3711" s="9"/>
      <c r="M3711" s="9"/>
      <c r="N3711" s="9"/>
      <c r="O3711" s="9"/>
      <c r="P3711" s="9"/>
      <c r="Q3711" s="9"/>
      <c r="R3711" s="9"/>
      <c r="S3711" s="42"/>
      <c r="T3711" s="42"/>
      <c r="U3711" s="42"/>
      <c r="V3711" s="42"/>
      <c r="W3711" s="42"/>
      <c r="X3711" s="42"/>
      <c r="Y3711" s="42"/>
      <c r="Z3711" s="42"/>
      <c r="AA3711" s="42"/>
      <c r="AB3711" s="42"/>
      <c r="AC3711" s="42"/>
      <c r="AD3711" s="42"/>
      <c r="AE3711" s="42"/>
      <c r="AF3711" s="9"/>
      <c r="AG3711" s="9"/>
      <c r="AH3711" s="42"/>
      <c r="AI3711" s="42"/>
      <c r="AJ3711" s="42"/>
      <c r="AK3711" s="42"/>
      <c r="AL3711" s="42"/>
      <c r="AM3711" s="42"/>
      <c r="AN3711" s="42"/>
      <c r="AO3711" s="63" t="str">
        <f>IFERROR(__xludf.DUMMYFUNCTION("IF(ISBLANK(A3711),,IF(ISBLANK(S3711), A3711&amp;"";"", TEXTJOIN(CHAR(10), TRUE, A3711&amp;"";"", ARRAYFORMULA(VLOOKUP(SPLIT(S3711, "";"" &amp; CHAR(10)), $A:$AO, 41, FALSE)))))"),"")</f>
        <v/>
      </c>
      <c r="AP3711" s="89"/>
    </row>
    <row r="3712">
      <c r="A3712" s="42"/>
      <c r="B3712" s="42"/>
      <c r="C3712" s="42"/>
      <c r="D3712" s="42"/>
      <c r="E3712" s="39"/>
      <c r="F3712" s="9"/>
      <c r="G3712" s="9"/>
      <c r="H3712" s="9"/>
      <c r="I3712" s="9"/>
      <c r="J3712" s="9"/>
      <c r="K3712" s="9"/>
      <c r="L3712" s="9"/>
      <c r="M3712" s="9"/>
      <c r="N3712" s="9"/>
      <c r="O3712" s="9"/>
      <c r="P3712" s="9"/>
      <c r="Q3712" s="9"/>
      <c r="R3712" s="9"/>
      <c r="S3712" s="42"/>
      <c r="T3712" s="42"/>
      <c r="U3712" s="42"/>
      <c r="V3712" s="42"/>
      <c r="W3712" s="42"/>
      <c r="X3712" s="42"/>
      <c r="Y3712" s="42"/>
      <c r="Z3712" s="42"/>
      <c r="AA3712" s="42"/>
      <c r="AB3712" s="42"/>
      <c r="AC3712" s="42"/>
      <c r="AD3712" s="42"/>
      <c r="AE3712" s="42"/>
      <c r="AF3712" s="9"/>
      <c r="AG3712" s="9"/>
      <c r="AH3712" s="42"/>
      <c r="AI3712" s="42"/>
      <c r="AJ3712" s="42"/>
      <c r="AK3712" s="42"/>
      <c r="AL3712" s="42"/>
      <c r="AM3712" s="42"/>
      <c r="AN3712" s="42"/>
      <c r="AO3712" s="63" t="str">
        <f>IFERROR(__xludf.DUMMYFUNCTION("IF(ISBLANK(A3712),,IF(ISBLANK(S3712), A3712&amp;"";"", TEXTJOIN(CHAR(10), TRUE, A3712&amp;"";"", ARRAYFORMULA(VLOOKUP(SPLIT(S3712, "";"" &amp; CHAR(10)), $A:$AO, 41, FALSE)))))"),"")</f>
        <v/>
      </c>
      <c r="AP3712" s="89"/>
    </row>
    <row r="3713">
      <c r="A3713" s="42"/>
      <c r="B3713" s="42"/>
      <c r="C3713" s="42"/>
      <c r="D3713" s="42"/>
      <c r="E3713" s="39"/>
      <c r="F3713" s="9"/>
      <c r="G3713" s="9"/>
      <c r="H3713" s="9"/>
      <c r="I3713" s="9"/>
      <c r="J3713" s="9"/>
      <c r="K3713" s="9"/>
      <c r="L3713" s="9"/>
      <c r="M3713" s="9"/>
      <c r="N3713" s="9"/>
      <c r="O3713" s="9"/>
      <c r="P3713" s="9"/>
      <c r="Q3713" s="9"/>
      <c r="R3713" s="9"/>
      <c r="S3713" s="42"/>
      <c r="T3713" s="42"/>
      <c r="U3713" s="42"/>
      <c r="V3713" s="42"/>
      <c r="W3713" s="42"/>
      <c r="X3713" s="42"/>
      <c r="Y3713" s="42"/>
      <c r="Z3713" s="42"/>
      <c r="AA3713" s="42"/>
      <c r="AB3713" s="42"/>
      <c r="AC3713" s="42"/>
      <c r="AD3713" s="42"/>
      <c r="AE3713" s="42"/>
      <c r="AF3713" s="9"/>
      <c r="AG3713" s="9"/>
      <c r="AH3713" s="42"/>
      <c r="AI3713" s="42"/>
      <c r="AJ3713" s="42"/>
      <c r="AK3713" s="42"/>
      <c r="AL3713" s="42"/>
      <c r="AM3713" s="42"/>
      <c r="AN3713" s="42"/>
      <c r="AO3713" s="63" t="str">
        <f>IFERROR(__xludf.DUMMYFUNCTION("IF(ISBLANK(A3713),,IF(ISBLANK(S3713), A3713&amp;"";"", TEXTJOIN(CHAR(10), TRUE, A3713&amp;"";"", ARRAYFORMULA(VLOOKUP(SPLIT(S3713, "";"" &amp; CHAR(10)), $A:$AO, 41, FALSE)))))"),"")</f>
        <v/>
      </c>
      <c r="AP3713" s="89"/>
    </row>
    <row r="3714">
      <c r="A3714" s="42"/>
      <c r="B3714" s="42"/>
      <c r="C3714" s="42"/>
      <c r="D3714" s="42"/>
      <c r="E3714" s="39"/>
      <c r="F3714" s="9"/>
      <c r="G3714" s="9"/>
      <c r="H3714" s="9"/>
      <c r="I3714" s="9"/>
      <c r="J3714" s="9"/>
      <c r="K3714" s="9"/>
      <c r="L3714" s="9"/>
      <c r="M3714" s="9"/>
      <c r="N3714" s="9"/>
      <c r="O3714" s="9"/>
      <c r="P3714" s="9"/>
      <c r="Q3714" s="9"/>
      <c r="R3714" s="9"/>
      <c r="S3714" s="42"/>
      <c r="T3714" s="42"/>
      <c r="U3714" s="42"/>
      <c r="V3714" s="42"/>
      <c r="W3714" s="42"/>
      <c r="X3714" s="42"/>
      <c r="Y3714" s="42"/>
      <c r="Z3714" s="42"/>
      <c r="AA3714" s="42"/>
      <c r="AB3714" s="42"/>
      <c r="AC3714" s="42"/>
      <c r="AD3714" s="42"/>
      <c r="AE3714" s="42"/>
      <c r="AF3714" s="9"/>
      <c r="AG3714" s="9"/>
      <c r="AH3714" s="42"/>
      <c r="AI3714" s="42"/>
      <c r="AJ3714" s="42"/>
      <c r="AK3714" s="42"/>
      <c r="AL3714" s="42"/>
      <c r="AM3714" s="42"/>
      <c r="AN3714" s="42"/>
      <c r="AO3714" s="63" t="str">
        <f>IFERROR(__xludf.DUMMYFUNCTION("IF(ISBLANK(A3714),,IF(ISBLANK(S3714), A3714&amp;"";"", TEXTJOIN(CHAR(10), TRUE, A3714&amp;"";"", ARRAYFORMULA(VLOOKUP(SPLIT(S3714, "";"" &amp; CHAR(10)), $A:$AO, 41, FALSE)))))"),"")</f>
        <v/>
      </c>
      <c r="AP3714" s="89"/>
    </row>
    <row r="3715">
      <c r="A3715" s="42"/>
      <c r="B3715" s="42"/>
      <c r="C3715" s="42"/>
      <c r="D3715" s="42"/>
      <c r="E3715" s="39"/>
      <c r="F3715" s="9"/>
      <c r="G3715" s="9"/>
      <c r="H3715" s="9"/>
      <c r="I3715" s="9"/>
      <c r="J3715" s="9"/>
      <c r="K3715" s="9"/>
      <c r="L3715" s="9"/>
      <c r="M3715" s="9"/>
      <c r="N3715" s="9"/>
      <c r="O3715" s="9"/>
      <c r="P3715" s="9"/>
      <c r="Q3715" s="9"/>
      <c r="R3715" s="9"/>
      <c r="S3715" s="42"/>
      <c r="T3715" s="42"/>
      <c r="U3715" s="42"/>
      <c r="V3715" s="42"/>
      <c r="W3715" s="42"/>
      <c r="X3715" s="42"/>
      <c r="Y3715" s="42"/>
      <c r="Z3715" s="42"/>
      <c r="AA3715" s="42"/>
      <c r="AB3715" s="42"/>
      <c r="AC3715" s="42"/>
      <c r="AD3715" s="42"/>
      <c r="AE3715" s="42"/>
      <c r="AF3715" s="9"/>
      <c r="AG3715" s="9"/>
      <c r="AH3715" s="42"/>
      <c r="AI3715" s="42"/>
      <c r="AJ3715" s="42"/>
      <c r="AK3715" s="42"/>
      <c r="AL3715" s="42"/>
      <c r="AM3715" s="42"/>
      <c r="AN3715" s="42"/>
      <c r="AO3715" s="63" t="str">
        <f>IFERROR(__xludf.DUMMYFUNCTION("IF(ISBLANK(A3715),,IF(ISBLANK(S3715), A3715&amp;"";"", TEXTJOIN(CHAR(10), TRUE, A3715&amp;"";"", ARRAYFORMULA(VLOOKUP(SPLIT(S3715, "";"" &amp; CHAR(10)), $A:$AO, 41, FALSE)))))"),"")</f>
        <v/>
      </c>
      <c r="AP3715" s="89"/>
    </row>
    <row r="3716">
      <c r="A3716" s="42"/>
      <c r="B3716" s="42"/>
      <c r="C3716" s="42"/>
      <c r="D3716" s="42"/>
      <c r="E3716" s="39"/>
      <c r="F3716" s="9"/>
      <c r="G3716" s="9"/>
      <c r="H3716" s="9"/>
      <c r="I3716" s="9"/>
      <c r="J3716" s="9"/>
      <c r="K3716" s="9"/>
      <c r="L3716" s="9"/>
      <c r="M3716" s="9"/>
      <c r="N3716" s="9"/>
      <c r="O3716" s="9"/>
      <c r="P3716" s="9"/>
      <c r="Q3716" s="9"/>
      <c r="R3716" s="9"/>
      <c r="S3716" s="42"/>
      <c r="T3716" s="42"/>
      <c r="U3716" s="42"/>
      <c r="V3716" s="42"/>
      <c r="W3716" s="42"/>
      <c r="X3716" s="42"/>
      <c r="Y3716" s="42"/>
      <c r="Z3716" s="42"/>
      <c r="AA3716" s="42"/>
      <c r="AB3716" s="42"/>
      <c r="AC3716" s="42"/>
      <c r="AD3716" s="42"/>
      <c r="AE3716" s="42"/>
      <c r="AF3716" s="9"/>
      <c r="AG3716" s="9"/>
      <c r="AH3716" s="42"/>
      <c r="AI3716" s="42"/>
      <c r="AJ3716" s="42"/>
      <c r="AK3716" s="42"/>
      <c r="AL3716" s="42"/>
      <c r="AM3716" s="42"/>
      <c r="AN3716" s="42"/>
      <c r="AO3716" s="63" t="str">
        <f>IFERROR(__xludf.DUMMYFUNCTION("IF(ISBLANK(A3716),,IF(ISBLANK(S3716), A3716&amp;"";"", TEXTJOIN(CHAR(10), TRUE, A3716&amp;"";"", ARRAYFORMULA(VLOOKUP(SPLIT(S3716, "";"" &amp; CHAR(10)), $A:$AO, 41, FALSE)))))"),"")</f>
        <v/>
      </c>
      <c r="AP3716" s="89"/>
    </row>
    <row r="3717">
      <c r="A3717" s="42"/>
      <c r="B3717" s="42"/>
      <c r="C3717" s="42"/>
      <c r="D3717" s="42"/>
      <c r="E3717" s="39"/>
      <c r="F3717" s="9"/>
      <c r="G3717" s="9"/>
      <c r="H3717" s="9"/>
      <c r="I3717" s="9"/>
      <c r="J3717" s="9"/>
      <c r="K3717" s="9"/>
      <c r="L3717" s="9"/>
      <c r="M3717" s="9"/>
      <c r="N3717" s="9"/>
      <c r="O3717" s="9"/>
      <c r="P3717" s="9"/>
      <c r="Q3717" s="9"/>
      <c r="R3717" s="9"/>
      <c r="S3717" s="42"/>
      <c r="T3717" s="42"/>
      <c r="U3717" s="42"/>
      <c r="V3717" s="42"/>
      <c r="W3717" s="42"/>
      <c r="X3717" s="42"/>
      <c r="Y3717" s="42"/>
      <c r="Z3717" s="42"/>
      <c r="AA3717" s="42"/>
      <c r="AB3717" s="42"/>
      <c r="AC3717" s="42"/>
      <c r="AD3717" s="42"/>
      <c r="AE3717" s="42"/>
      <c r="AF3717" s="9"/>
      <c r="AG3717" s="9"/>
      <c r="AH3717" s="42"/>
      <c r="AI3717" s="42"/>
      <c r="AJ3717" s="42"/>
      <c r="AK3717" s="42"/>
      <c r="AL3717" s="42"/>
      <c r="AM3717" s="42"/>
      <c r="AN3717" s="42"/>
      <c r="AO3717" s="63" t="str">
        <f>IFERROR(__xludf.DUMMYFUNCTION("IF(ISBLANK(A3717),,IF(ISBLANK(S3717), A3717&amp;"";"", TEXTJOIN(CHAR(10), TRUE, A3717&amp;"";"", ARRAYFORMULA(VLOOKUP(SPLIT(S3717, "";"" &amp; CHAR(10)), $A:$AO, 41, FALSE)))))"),"")</f>
        <v/>
      </c>
      <c r="AP3717" s="89"/>
    </row>
    <row r="3718">
      <c r="A3718" s="42"/>
      <c r="B3718" s="42"/>
      <c r="C3718" s="42"/>
      <c r="D3718" s="42"/>
      <c r="E3718" s="39"/>
      <c r="F3718" s="9"/>
      <c r="G3718" s="9"/>
      <c r="H3718" s="9"/>
      <c r="I3718" s="9"/>
      <c r="J3718" s="9"/>
      <c r="K3718" s="9"/>
      <c r="L3718" s="9"/>
      <c r="M3718" s="9"/>
      <c r="N3718" s="9"/>
      <c r="O3718" s="9"/>
      <c r="P3718" s="9"/>
      <c r="Q3718" s="9"/>
      <c r="R3718" s="9"/>
      <c r="S3718" s="42"/>
      <c r="T3718" s="42"/>
      <c r="U3718" s="42"/>
      <c r="V3718" s="42"/>
      <c r="W3718" s="42"/>
      <c r="X3718" s="42"/>
      <c r="Y3718" s="42"/>
      <c r="Z3718" s="42"/>
      <c r="AA3718" s="42"/>
      <c r="AB3718" s="42"/>
      <c r="AC3718" s="42"/>
      <c r="AD3718" s="42"/>
      <c r="AE3718" s="42"/>
      <c r="AF3718" s="9"/>
      <c r="AG3718" s="9"/>
      <c r="AH3718" s="42"/>
      <c r="AI3718" s="42"/>
      <c r="AJ3718" s="42"/>
      <c r="AK3718" s="42"/>
      <c r="AL3718" s="42"/>
      <c r="AM3718" s="42"/>
      <c r="AN3718" s="42"/>
      <c r="AO3718" s="63" t="str">
        <f>IFERROR(__xludf.DUMMYFUNCTION("IF(ISBLANK(A3718),,IF(ISBLANK(S3718), A3718&amp;"";"", TEXTJOIN(CHAR(10), TRUE, A3718&amp;"";"", ARRAYFORMULA(VLOOKUP(SPLIT(S3718, "";"" &amp; CHAR(10)), $A:$AO, 41, FALSE)))))"),"")</f>
        <v/>
      </c>
      <c r="AP3718" s="89"/>
    </row>
    <row r="3719">
      <c r="A3719" s="42"/>
      <c r="B3719" s="42"/>
      <c r="C3719" s="42"/>
      <c r="D3719" s="42"/>
      <c r="E3719" s="39"/>
      <c r="F3719" s="9"/>
      <c r="G3719" s="9"/>
      <c r="H3719" s="9"/>
      <c r="I3719" s="9"/>
      <c r="J3719" s="9"/>
      <c r="K3719" s="9"/>
      <c r="L3719" s="9"/>
      <c r="M3719" s="9"/>
      <c r="N3719" s="9"/>
      <c r="O3719" s="9"/>
      <c r="P3719" s="9"/>
      <c r="Q3719" s="9"/>
      <c r="R3719" s="9"/>
      <c r="S3719" s="42"/>
      <c r="T3719" s="42"/>
      <c r="U3719" s="42"/>
      <c r="V3719" s="42"/>
      <c r="W3719" s="42"/>
      <c r="X3719" s="42"/>
      <c r="Y3719" s="42"/>
      <c r="Z3719" s="42"/>
      <c r="AA3719" s="42"/>
      <c r="AB3719" s="42"/>
      <c r="AC3719" s="42"/>
      <c r="AD3719" s="42"/>
      <c r="AE3719" s="42"/>
      <c r="AF3719" s="9"/>
      <c r="AG3719" s="9"/>
      <c r="AH3719" s="42"/>
      <c r="AI3719" s="42"/>
      <c r="AJ3719" s="42"/>
      <c r="AK3719" s="42"/>
      <c r="AL3719" s="42"/>
      <c r="AM3719" s="42"/>
      <c r="AN3719" s="42"/>
      <c r="AO3719" s="63" t="str">
        <f>IFERROR(__xludf.DUMMYFUNCTION("IF(ISBLANK(A3719),,IF(ISBLANK(S3719), A3719&amp;"";"", TEXTJOIN(CHAR(10), TRUE, A3719&amp;"";"", ARRAYFORMULA(VLOOKUP(SPLIT(S3719, "";"" &amp; CHAR(10)), $A:$AO, 41, FALSE)))))"),"")</f>
        <v/>
      </c>
      <c r="AP3719" s="89"/>
    </row>
    <row r="3720">
      <c r="A3720" s="42"/>
      <c r="B3720" s="42"/>
      <c r="C3720" s="42"/>
      <c r="D3720" s="42"/>
      <c r="E3720" s="39"/>
      <c r="F3720" s="9"/>
      <c r="G3720" s="9"/>
      <c r="H3720" s="9"/>
      <c r="I3720" s="9"/>
      <c r="J3720" s="9"/>
      <c r="K3720" s="9"/>
      <c r="L3720" s="9"/>
      <c r="M3720" s="9"/>
      <c r="N3720" s="9"/>
      <c r="O3720" s="9"/>
      <c r="P3720" s="9"/>
      <c r="Q3720" s="9"/>
      <c r="R3720" s="9"/>
      <c r="S3720" s="42"/>
      <c r="T3720" s="42"/>
      <c r="U3720" s="42"/>
      <c r="V3720" s="42"/>
      <c r="W3720" s="42"/>
      <c r="X3720" s="42"/>
      <c r="Y3720" s="42"/>
      <c r="Z3720" s="42"/>
      <c r="AA3720" s="42"/>
      <c r="AB3720" s="42"/>
      <c r="AC3720" s="42"/>
      <c r="AD3720" s="42"/>
      <c r="AE3720" s="42"/>
      <c r="AF3720" s="9"/>
      <c r="AG3720" s="9"/>
      <c r="AH3720" s="42"/>
      <c r="AI3720" s="42"/>
      <c r="AJ3720" s="42"/>
      <c r="AK3720" s="42"/>
      <c r="AL3720" s="42"/>
      <c r="AM3720" s="42"/>
      <c r="AN3720" s="42"/>
      <c r="AO3720" s="63" t="str">
        <f>IFERROR(__xludf.DUMMYFUNCTION("IF(ISBLANK(A3720),,IF(ISBLANK(S3720), A3720&amp;"";"", TEXTJOIN(CHAR(10), TRUE, A3720&amp;"";"", ARRAYFORMULA(VLOOKUP(SPLIT(S3720, "";"" &amp; CHAR(10)), $A:$AO, 41, FALSE)))))"),"")</f>
        <v/>
      </c>
      <c r="AP3720" s="89"/>
    </row>
    <row r="3721">
      <c r="A3721" s="42"/>
      <c r="B3721" s="42"/>
      <c r="C3721" s="42"/>
      <c r="D3721" s="42"/>
      <c r="E3721" s="39"/>
      <c r="F3721" s="9"/>
      <c r="G3721" s="9"/>
      <c r="H3721" s="9"/>
      <c r="I3721" s="9"/>
      <c r="J3721" s="9"/>
      <c r="K3721" s="9"/>
      <c r="L3721" s="9"/>
      <c r="M3721" s="9"/>
      <c r="N3721" s="9"/>
      <c r="O3721" s="9"/>
      <c r="P3721" s="9"/>
      <c r="Q3721" s="9"/>
      <c r="R3721" s="9"/>
      <c r="S3721" s="42"/>
      <c r="T3721" s="42"/>
      <c r="U3721" s="42"/>
      <c r="V3721" s="42"/>
      <c r="W3721" s="42"/>
      <c r="X3721" s="42"/>
      <c r="Y3721" s="42"/>
      <c r="Z3721" s="42"/>
      <c r="AA3721" s="42"/>
      <c r="AB3721" s="42"/>
      <c r="AC3721" s="42"/>
      <c r="AD3721" s="42"/>
      <c r="AE3721" s="42"/>
      <c r="AF3721" s="9"/>
      <c r="AG3721" s="9"/>
      <c r="AH3721" s="42"/>
      <c r="AI3721" s="42"/>
      <c r="AJ3721" s="42"/>
      <c r="AK3721" s="42"/>
      <c r="AL3721" s="42"/>
      <c r="AM3721" s="42"/>
      <c r="AN3721" s="42"/>
      <c r="AO3721" s="63" t="str">
        <f>IFERROR(__xludf.DUMMYFUNCTION("IF(ISBLANK(A3721),,IF(ISBLANK(S3721), A3721&amp;"";"", TEXTJOIN(CHAR(10), TRUE, A3721&amp;"";"", ARRAYFORMULA(VLOOKUP(SPLIT(S3721, "";"" &amp; CHAR(10)), $A:$AO, 41, FALSE)))))"),"")</f>
        <v/>
      </c>
      <c r="AP3721" s="89"/>
    </row>
    <row r="3722">
      <c r="A3722" s="42"/>
      <c r="B3722" s="42"/>
      <c r="C3722" s="42"/>
      <c r="D3722" s="42"/>
      <c r="E3722" s="39"/>
      <c r="F3722" s="9"/>
      <c r="G3722" s="9"/>
      <c r="H3722" s="9"/>
      <c r="I3722" s="9"/>
      <c r="J3722" s="9"/>
      <c r="K3722" s="9"/>
      <c r="L3722" s="9"/>
      <c r="M3722" s="9"/>
      <c r="N3722" s="9"/>
      <c r="O3722" s="9"/>
      <c r="P3722" s="9"/>
      <c r="Q3722" s="9"/>
      <c r="R3722" s="9"/>
      <c r="S3722" s="42"/>
      <c r="T3722" s="42"/>
      <c r="U3722" s="42"/>
      <c r="V3722" s="42"/>
      <c r="W3722" s="42"/>
      <c r="X3722" s="42"/>
      <c r="Y3722" s="42"/>
      <c r="Z3722" s="42"/>
      <c r="AA3722" s="42"/>
      <c r="AB3722" s="42"/>
      <c r="AC3722" s="42"/>
      <c r="AD3722" s="42"/>
      <c r="AE3722" s="42"/>
      <c r="AF3722" s="9"/>
      <c r="AG3722" s="9"/>
      <c r="AH3722" s="42"/>
      <c r="AI3722" s="42"/>
      <c r="AJ3722" s="42"/>
      <c r="AK3722" s="42"/>
      <c r="AL3722" s="42"/>
      <c r="AM3722" s="42"/>
      <c r="AN3722" s="42"/>
      <c r="AO3722" s="63" t="str">
        <f>IFERROR(__xludf.DUMMYFUNCTION("IF(ISBLANK(A3722),,IF(ISBLANK(S3722), A3722&amp;"";"", TEXTJOIN(CHAR(10), TRUE, A3722&amp;"";"", ARRAYFORMULA(VLOOKUP(SPLIT(S3722, "";"" &amp; CHAR(10)), $A:$AO, 41, FALSE)))))"),"")</f>
        <v/>
      </c>
      <c r="AP3722" s="89"/>
    </row>
    <row r="3723">
      <c r="A3723" s="42"/>
      <c r="B3723" s="42"/>
      <c r="C3723" s="42"/>
      <c r="D3723" s="42"/>
      <c r="E3723" s="39"/>
      <c r="F3723" s="9"/>
      <c r="G3723" s="9"/>
      <c r="H3723" s="9"/>
      <c r="I3723" s="9"/>
      <c r="J3723" s="9"/>
      <c r="K3723" s="9"/>
      <c r="L3723" s="9"/>
      <c r="M3723" s="9"/>
      <c r="N3723" s="9"/>
      <c r="O3723" s="9"/>
      <c r="P3723" s="9"/>
      <c r="Q3723" s="9"/>
      <c r="R3723" s="9"/>
      <c r="S3723" s="42"/>
      <c r="T3723" s="42"/>
      <c r="U3723" s="42"/>
      <c r="V3723" s="42"/>
      <c r="W3723" s="42"/>
      <c r="X3723" s="42"/>
      <c r="Y3723" s="42"/>
      <c r="Z3723" s="42"/>
      <c r="AA3723" s="42"/>
      <c r="AB3723" s="42"/>
      <c r="AC3723" s="42"/>
      <c r="AD3723" s="42"/>
      <c r="AE3723" s="42"/>
      <c r="AF3723" s="9"/>
      <c r="AG3723" s="9"/>
      <c r="AH3723" s="42"/>
      <c r="AI3723" s="42"/>
      <c r="AJ3723" s="42"/>
      <c r="AK3723" s="42"/>
      <c r="AL3723" s="42"/>
      <c r="AM3723" s="42"/>
      <c r="AN3723" s="42"/>
      <c r="AO3723" s="63" t="str">
        <f>IFERROR(__xludf.DUMMYFUNCTION("IF(ISBLANK(A3723),,IF(ISBLANK(S3723), A3723&amp;"";"", TEXTJOIN(CHAR(10), TRUE, A3723&amp;"";"", ARRAYFORMULA(VLOOKUP(SPLIT(S3723, "";"" &amp; CHAR(10)), $A:$AO, 41, FALSE)))))"),"")</f>
        <v/>
      </c>
      <c r="AP3723" s="89"/>
    </row>
    <row r="3724">
      <c r="A3724" s="42"/>
      <c r="B3724" s="42"/>
      <c r="C3724" s="42"/>
      <c r="D3724" s="42"/>
      <c r="E3724" s="39"/>
      <c r="F3724" s="9"/>
      <c r="G3724" s="9"/>
      <c r="H3724" s="9"/>
      <c r="I3724" s="9"/>
      <c r="J3724" s="9"/>
      <c r="K3724" s="9"/>
      <c r="L3724" s="9"/>
      <c r="M3724" s="9"/>
      <c r="N3724" s="9"/>
      <c r="O3724" s="9"/>
      <c r="P3724" s="9"/>
      <c r="Q3724" s="9"/>
      <c r="R3724" s="9"/>
      <c r="S3724" s="42"/>
      <c r="T3724" s="42"/>
      <c r="U3724" s="42"/>
      <c r="V3724" s="42"/>
      <c r="W3724" s="42"/>
      <c r="X3724" s="42"/>
      <c r="Y3724" s="42"/>
      <c r="Z3724" s="42"/>
      <c r="AA3724" s="42"/>
      <c r="AB3724" s="42"/>
      <c r="AC3724" s="42"/>
      <c r="AD3724" s="42"/>
      <c r="AE3724" s="42"/>
      <c r="AF3724" s="9"/>
      <c r="AG3724" s="9"/>
      <c r="AH3724" s="42"/>
      <c r="AI3724" s="42"/>
      <c r="AJ3724" s="42"/>
      <c r="AK3724" s="42"/>
      <c r="AL3724" s="42"/>
      <c r="AM3724" s="42"/>
      <c r="AN3724" s="42"/>
      <c r="AO3724" s="63" t="str">
        <f>IFERROR(__xludf.DUMMYFUNCTION("IF(ISBLANK(A3724),,IF(ISBLANK(S3724), A3724&amp;"";"", TEXTJOIN(CHAR(10), TRUE, A3724&amp;"";"", ARRAYFORMULA(VLOOKUP(SPLIT(S3724, "";"" &amp; CHAR(10)), $A:$AO, 41, FALSE)))))"),"")</f>
        <v/>
      </c>
      <c r="AP3724" s="89"/>
    </row>
    <row r="3725">
      <c r="A3725" s="42"/>
      <c r="B3725" s="42"/>
      <c r="C3725" s="42"/>
      <c r="D3725" s="42"/>
      <c r="E3725" s="39"/>
      <c r="F3725" s="9"/>
      <c r="G3725" s="9"/>
      <c r="H3725" s="9"/>
      <c r="I3725" s="9"/>
      <c r="J3725" s="9"/>
      <c r="K3725" s="9"/>
      <c r="L3725" s="9"/>
      <c r="M3725" s="9"/>
      <c r="N3725" s="9"/>
      <c r="O3725" s="9"/>
      <c r="P3725" s="9"/>
      <c r="Q3725" s="9"/>
      <c r="R3725" s="9"/>
      <c r="S3725" s="42"/>
      <c r="T3725" s="42"/>
      <c r="U3725" s="42"/>
      <c r="V3725" s="42"/>
      <c r="W3725" s="42"/>
      <c r="X3725" s="42"/>
      <c r="Y3725" s="42"/>
      <c r="Z3725" s="42"/>
      <c r="AA3725" s="42"/>
      <c r="AB3725" s="42"/>
      <c r="AC3725" s="42"/>
      <c r="AD3725" s="42"/>
      <c r="AE3725" s="42"/>
      <c r="AF3725" s="9"/>
      <c r="AG3725" s="9"/>
      <c r="AH3725" s="42"/>
      <c r="AI3725" s="42"/>
      <c r="AJ3725" s="42"/>
      <c r="AK3725" s="42"/>
      <c r="AL3725" s="42"/>
      <c r="AM3725" s="42"/>
      <c r="AN3725" s="42"/>
      <c r="AO3725" s="63" t="str">
        <f>IFERROR(__xludf.DUMMYFUNCTION("IF(ISBLANK(A3725),,IF(ISBLANK(S3725), A3725&amp;"";"", TEXTJOIN(CHAR(10), TRUE, A3725&amp;"";"", ARRAYFORMULA(VLOOKUP(SPLIT(S3725, "";"" &amp; CHAR(10)), $A:$AO, 41, FALSE)))))"),"")</f>
        <v/>
      </c>
      <c r="AP3725" s="89"/>
    </row>
    <row r="3726">
      <c r="A3726" s="42"/>
      <c r="B3726" s="42"/>
      <c r="C3726" s="42"/>
      <c r="D3726" s="42"/>
      <c r="E3726" s="39"/>
      <c r="F3726" s="9"/>
      <c r="G3726" s="9"/>
      <c r="H3726" s="9"/>
      <c r="I3726" s="9"/>
      <c r="J3726" s="9"/>
      <c r="K3726" s="9"/>
      <c r="L3726" s="9"/>
      <c r="M3726" s="9"/>
      <c r="N3726" s="9"/>
      <c r="O3726" s="9"/>
      <c r="P3726" s="9"/>
      <c r="Q3726" s="9"/>
      <c r="R3726" s="9"/>
      <c r="S3726" s="42"/>
      <c r="T3726" s="42"/>
      <c r="U3726" s="42"/>
      <c r="V3726" s="42"/>
      <c r="W3726" s="42"/>
      <c r="X3726" s="42"/>
      <c r="Y3726" s="42"/>
      <c r="Z3726" s="42"/>
      <c r="AA3726" s="42"/>
      <c r="AB3726" s="42"/>
      <c r="AC3726" s="42"/>
      <c r="AD3726" s="42"/>
      <c r="AE3726" s="42"/>
      <c r="AF3726" s="9"/>
      <c r="AG3726" s="9"/>
      <c r="AH3726" s="42"/>
      <c r="AI3726" s="42"/>
      <c r="AJ3726" s="42"/>
      <c r="AK3726" s="42"/>
      <c r="AL3726" s="42"/>
      <c r="AM3726" s="42"/>
      <c r="AN3726" s="42"/>
      <c r="AO3726" s="63" t="str">
        <f>IFERROR(__xludf.DUMMYFUNCTION("IF(ISBLANK(A3726),,IF(ISBLANK(S3726), A3726&amp;"";"", TEXTJOIN(CHAR(10), TRUE, A3726&amp;"";"", ARRAYFORMULA(VLOOKUP(SPLIT(S3726, "";"" &amp; CHAR(10)), $A:$AO, 41, FALSE)))))"),"")</f>
        <v/>
      </c>
      <c r="AP3726" s="89"/>
    </row>
    <row r="3727">
      <c r="A3727" s="42"/>
      <c r="B3727" s="42"/>
      <c r="C3727" s="42"/>
      <c r="D3727" s="42"/>
      <c r="E3727" s="39"/>
      <c r="F3727" s="9"/>
      <c r="G3727" s="9"/>
      <c r="H3727" s="9"/>
      <c r="I3727" s="9"/>
      <c r="J3727" s="9"/>
      <c r="K3727" s="9"/>
      <c r="L3727" s="9"/>
      <c r="M3727" s="9"/>
      <c r="N3727" s="9"/>
      <c r="O3727" s="9"/>
      <c r="P3727" s="9"/>
      <c r="Q3727" s="9"/>
      <c r="R3727" s="9"/>
      <c r="S3727" s="42"/>
      <c r="T3727" s="42"/>
      <c r="U3727" s="42"/>
      <c r="V3727" s="42"/>
      <c r="W3727" s="42"/>
      <c r="X3727" s="42"/>
      <c r="Y3727" s="42"/>
      <c r="Z3727" s="42"/>
      <c r="AA3727" s="42"/>
      <c r="AB3727" s="42"/>
      <c r="AC3727" s="42"/>
      <c r="AD3727" s="42"/>
      <c r="AE3727" s="42"/>
      <c r="AF3727" s="9"/>
      <c r="AG3727" s="9"/>
      <c r="AH3727" s="42"/>
      <c r="AI3727" s="42"/>
      <c r="AJ3727" s="42"/>
      <c r="AK3727" s="42"/>
      <c r="AL3727" s="42"/>
      <c r="AM3727" s="42"/>
      <c r="AN3727" s="42"/>
      <c r="AO3727" s="63" t="str">
        <f>IFERROR(__xludf.DUMMYFUNCTION("IF(ISBLANK(A3727),,IF(ISBLANK(S3727), A3727&amp;"";"", TEXTJOIN(CHAR(10), TRUE, A3727&amp;"";"", ARRAYFORMULA(VLOOKUP(SPLIT(S3727, "";"" &amp; CHAR(10)), $A:$AO, 41, FALSE)))))"),"")</f>
        <v/>
      </c>
      <c r="AP3727" s="89"/>
    </row>
    <row r="3728">
      <c r="A3728" s="42"/>
      <c r="B3728" s="42"/>
      <c r="C3728" s="42"/>
      <c r="D3728" s="42"/>
      <c r="E3728" s="39"/>
      <c r="F3728" s="9"/>
      <c r="G3728" s="9"/>
      <c r="H3728" s="9"/>
      <c r="I3728" s="9"/>
      <c r="J3728" s="9"/>
      <c r="K3728" s="9"/>
      <c r="L3728" s="9"/>
      <c r="M3728" s="9"/>
      <c r="N3728" s="9"/>
      <c r="O3728" s="9"/>
      <c r="P3728" s="9"/>
      <c r="Q3728" s="9"/>
      <c r="R3728" s="9"/>
      <c r="S3728" s="42"/>
      <c r="T3728" s="42"/>
      <c r="U3728" s="42"/>
      <c r="V3728" s="42"/>
      <c r="W3728" s="42"/>
      <c r="X3728" s="42"/>
      <c r="Y3728" s="42"/>
      <c r="Z3728" s="42"/>
      <c r="AA3728" s="42"/>
      <c r="AB3728" s="42"/>
      <c r="AC3728" s="42"/>
      <c r="AD3728" s="42"/>
      <c r="AE3728" s="42"/>
      <c r="AF3728" s="9"/>
      <c r="AG3728" s="9"/>
      <c r="AH3728" s="42"/>
      <c r="AI3728" s="42"/>
      <c r="AJ3728" s="42"/>
      <c r="AK3728" s="42"/>
      <c r="AL3728" s="42"/>
      <c r="AM3728" s="42"/>
      <c r="AN3728" s="42"/>
      <c r="AO3728" s="63" t="str">
        <f>IFERROR(__xludf.DUMMYFUNCTION("IF(ISBLANK(A3728),,IF(ISBLANK(S3728), A3728&amp;"";"", TEXTJOIN(CHAR(10), TRUE, A3728&amp;"";"", ARRAYFORMULA(VLOOKUP(SPLIT(S3728, "";"" &amp; CHAR(10)), $A:$AO, 41, FALSE)))))"),"")</f>
        <v/>
      </c>
      <c r="AP3728" s="89"/>
    </row>
    <row r="3729">
      <c r="A3729" s="42"/>
      <c r="B3729" s="42"/>
      <c r="C3729" s="42"/>
      <c r="D3729" s="42"/>
      <c r="E3729" s="39"/>
      <c r="F3729" s="9"/>
      <c r="G3729" s="9"/>
      <c r="H3729" s="9"/>
      <c r="I3729" s="9"/>
      <c r="J3729" s="9"/>
      <c r="K3729" s="9"/>
      <c r="L3729" s="9"/>
      <c r="M3729" s="9"/>
      <c r="N3729" s="9"/>
      <c r="O3729" s="9"/>
      <c r="P3729" s="9"/>
      <c r="Q3729" s="9"/>
      <c r="R3729" s="9"/>
      <c r="S3729" s="42"/>
      <c r="T3729" s="42"/>
      <c r="U3729" s="42"/>
      <c r="V3729" s="42"/>
      <c r="W3729" s="42"/>
      <c r="X3729" s="42"/>
      <c r="Y3729" s="42"/>
      <c r="Z3729" s="42"/>
      <c r="AA3729" s="42"/>
      <c r="AB3729" s="42"/>
      <c r="AC3729" s="42"/>
      <c r="AD3729" s="42"/>
      <c r="AE3729" s="42"/>
      <c r="AF3729" s="9"/>
      <c r="AG3729" s="9"/>
      <c r="AH3729" s="42"/>
      <c r="AI3729" s="42"/>
      <c r="AJ3729" s="42"/>
      <c r="AK3729" s="42"/>
      <c r="AL3729" s="42"/>
      <c r="AM3729" s="42"/>
      <c r="AN3729" s="42"/>
      <c r="AO3729" s="63" t="str">
        <f>IFERROR(__xludf.DUMMYFUNCTION("IF(ISBLANK(A3729),,IF(ISBLANK(S3729), A3729&amp;"";"", TEXTJOIN(CHAR(10), TRUE, A3729&amp;"";"", ARRAYFORMULA(VLOOKUP(SPLIT(S3729, "";"" &amp; CHAR(10)), $A:$AO, 41, FALSE)))))"),"")</f>
        <v/>
      </c>
      <c r="AP3729" s="89"/>
    </row>
    <row r="3730">
      <c r="A3730" s="42"/>
      <c r="B3730" s="42"/>
      <c r="C3730" s="42"/>
      <c r="D3730" s="42"/>
      <c r="E3730" s="39"/>
      <c r="F3730" s="9"/>
      <c r="G3730" s="9"/>
      <c r="H3730" s="9"/>
      <c r="I3730" s="9"/>
      <c r="J3730" s="9"/>
      <c r="K3730" s="9"/>
      <c r="L3730" s="9"/>
      <c r="M3730" s="9"/>
      <c r="N3730" s="9"/>
      <c r="O3730" s="9"/>
      <c r="P3730" s="9"/>
      <c r="Q3730" s="9"/>
      <c r="R3730" s="9"/>
      <c r="S3730" s="42"/>
      <c r="T3730" s="42"/>
      <c r="U3730" s="42"/>
      <c r="V3730" s="42"/>
      <c r="W3730" s="42"/>
      <c r="X3730" s="42"/>
      <c r="Y3730" s="42"/>
      <c r="Z3730" s="42"/>
      <c r="AA3730" s="42"/>
      <c r="AB3730" s="42"/>
      <c r="AC3730" s="42"/>
      <c r="AD3730" s="42"/>
      <c r="AE3730" s="42"/>
      <c r="AF3730" s="9"/>
      <c r="AG3730" s="9"/>
      <c r="AH3730" s="42"/>
      <c r="AI3730" s="42"/>
      <c r="AJ3730" s="42"/>
      <c r="AK3730" s="42"/>
      <c r="AL3730" s="42"/>
      <c r="AM3730" s="42"/>
      <c r="AN3730" s="42"/>
      <c r="AO3730" s="63" t="str">
        <f>IFERROR(__xludf.DUMMYFUNCTION("IF(ISBLANK(A3730),,IF(ISBLANK(S3730), A3730&amp;"";"", TEXTJOIN(CHAR(10), TRUE, A3730&amp;"";"", ARRAYFORMULA(VLOOKUP(SPLIT(S3730, "";"" &amp; CHAR(10)), $A:$AO, 41, FALSE)))))"),"")</f>
        <v/>
      </c>
      <c r="AP3730" s="89"/>
    </row>
    <row r="3731">
      <c r="A3731" s="42"/>
      <c r="B3731" s="42"/>
      <c r="C3731" s="42"/>
      <c r="D3731" s="42"/>
      <c r="E3731" s="39"/>
      <c r="F3731" s="9"/>
      <c r="G3731" s="9"/>
      <c r="H3731" s="9"/>
      <c r="I3731" s="9"/>
      <c r="J3731" s="9"/>
      <c r="K3731" s="9"/>
      <c r="L3731" s="9"/>
      <c r="M3731" s="9"/>
      <c r="N3731" s="9"/>
      <c r="O3731" s="9"/>
      <c r="P3731" s="9"/>
      <c r="Q3731" s="9"/>
      <c r="R3731" s="9"/>
      <c r="S3731" s="42"/>
      <c r="T3731" s="42"/>
      <c r="U3731" s="42"/>
      <c r="V3731" s="42"/>
      <c r="W3731" s="42"/>
      <c r="X3731" s="42"/>
      <c r="Y3731" s="42"/>
      <c r="Z3731" s="42"/>
      <c r="AA3731" s="42"/>
      <c r="AB3731" s="42"/>
      <c r="AC3731" s="42"/>
      <c r="AD3731" s="42"/>
      <c r="AE3731" s="42"/>
      <c r="AF3731" s="9"/>
      <c r="AG3731" s="9"/>
      <c r="AH3731" s="42"/>
      <c r="AI3731" s="42"/>
      <c r="AJ3731" s="42"/>
      <c r="AK3731" s="42"/>
      <c r="AL3731" s="42"/>
      <c r="AM3731" s="42"/>
      <c r="AN3731" s="42"/>
      <c r="AO3731" s="63" t="str">
        <f>IFERROR(__xludf.DUMMYFUNCTION("IF(ISBLANK(A3731),,IF(ISBLANK(S3731), A3731&amp;"";"", TEXTJOIN(CHAR(10), TRUE, A3731&amp;"";"", ARRAYFORMULA(VLOOKUP(SPLIT(S3731, "";"" &amp; CHAR(10)), $A:$AO, 41, FALSE)))))"),"")</f>
        <v/>
      </c>
      <c r="AP3731" s="89"/>
    </row>
    <row r="3732">
      <c r="A3732" s="42"/>
      <c r="B3732" s="42"/>
      <c r="C3732" s="42"/>
      <c r="D3732" s="42"/>
      <c r="E3732" s="39"/>
      <c r="F3732" s="9"/>
      <c r="G3732" s="9"/>
      <c r="H3732" s="9"/>
      <c r="I3732" s="9"/>
      <c r="J3732" s="9"/>
      <c r="K3732" s="9"/>
      <c r="L3732" s="9"/>
      <c r="M3732" s="9"/>
      <c r="N3732" s="9"/>
      <c r="O3732" s="9"/>
      <c r="P3732" s="9"/>
      <c r="Q3732" s="9"/>
      <c r="R3732" s="9"/>
      <c r="S3732" s="42"/>
      <c r="T3732" s="42"/>
      <c r="U3732" s="42"/>
      <c r="V3732" s="42"/>
      <c r="W3732" s="42"/>
      <c r="X3732" s="42"/>
      <c r="Y3732" s="42"/>
      <c r="Z3732" s="42"/>
      <c r="AA3732" s="42"/>
      <c r="AB3732" s="42"/>
      <c r="AC3732" s="42"/>
      <c r="AD3732" s="42"/>
      <c r="AE3732" s="42"/>
      <c r="AF3732" s="9"/>
      <c r="AG3732" s="9"/>
      <c r="AH3732" s="42"/>
      <c r="AI3732" s="42"/>
      <c r="AJ3732" s="42"/>
      <c r="AK3732" s="42"/>
      <c r="AL3732" s="42"/>
      <c r="AM3732" s="42"/>
      <c r="AN3732" s="42"/>
      <c r="AO3732" s="63" t="str">
        <f>IFERROR(__xludf.DUMMYFUNCTION("IF(ISBLANK(A3732),,IF(ISBLANK(S3732), A3732&amp;"";"", TEXTJOIN(CHAR(10), TRUE, A3732&amp;"";"", ARRAYFORMULA(VLOOKUP(SPLIT(S3732, "";"" &amp; CHAR(10)), $A:$AO, 41, FALSE)))))"),"")</f>
        <v/>
      </c>
      <c r="AP3732" s="89"/>
    </row>
    <row r="3733">
      <c r="A3733" s="42"/>
      <c r="B3733" s="42"/>
      <c r="C3733" s="42"/>
      <c r="D3733" s="42"/>
      <c r="E3733" s="39"/>
      <c r="F3733" s="9"/>
      <c r="G3733" s="9"/>
      <c r="H3733" s="9"/>
      <c r="I3733" s="9"/>
      <c r="J3733" s="9"/>
      <c r="K3733" s="9"/>
      <c r="L3733" s="9"/>
      <c r="M3733" s="9"/>
      <c r="N3733" s="9"/>
      <c r="O3733" s="9"/>
      <c r="P3733" s="9"/>
      <c r="Q3733" s="9"/>
      <c r="R3733" s="9"/>
      <c r="S3733" s="42"/>
      <c r="T3733" s="42"/>
      <c r="U3733" s="42"/>
      <c r="V3733" s="42"/>
      <c r="W3733" s="42"/>
      <c r="X3733" s="42"/>
      <c r="Y3733" s="42"/>
      <c r="Z3733" s="42"/>
      <c r="AA3733" s="42"/>
      <c r="AB3733" s="42"/>
      <c r="AC3733" s="42"/>
      <c r="AD3733" s="42"/>
      <c r="AE3733" s="42"/>
      <c r="AF3733" s="9"/>
      <c r="AG3733" s="9"/>
      <c r="AH3733" s="42"/>
      <c r="AI3733" s="42"/>
      <c r="AJ3733" s="42"/>
      <c r="AK3733" s="42"/>
      <c r="AL3733" s="42"/>
      <c r="AM3733" s="42"/>
      <c r="AN3733" s="42"/>
      <c r="AO3733" s="63" t="str">
        <f>IFERROR(__xludf.DUMMYFUNCTION("IF(ISBLANK(A3733),,IF(ISBLANK(S3733), A3733&amp;"";"", TEXTJOIN(CHAR(10), TRUE, A3733&amp;"";"", ARRAYFORMULA(VLOOKUP(SPLIT(S3733, "";"" &amp; CHAR(10)), $A:$AO, 41, FALSE)))))"),"")</f>
        <v/>
      </c>
      <c r="AP3733" s="89"/>
    </row>
    <row r="3734">
      <c r="A3734" s="42"/>
      <c r="B3734" s="42"/>
      <c r="C3734" s="42"/>
      <c r="D3734" s="42"/>
      <c r="E3734" s="39"/>
      <c r="F3734" s="9"/>
      <c r="G3734" s="9"/>
      <c r="H3734" s="9"/>
      <c r="I3734" s="9"/>
      <c r="J3734" s="9"/>
      <c r="K3734" s="9"/>
      <c r="L3734" s="9"/>
      <c r="M3734" s="9"/>
      <c r="N3734" s="9"/>
      <c r="O3734" s="9"/>
      <c r="P3734" s="9"/>
      <c r="Q3734" s="9"/>
      <c r="R3734" s="9"/>
      <c r="S3734" s="42"/>
      <c r="T3734" s="42"/>
      <c r="U3734" s="42"/>
      <c r="V3734" s="42"/>
      <c r="W3734" s="42"/>
      <c r="X3734" s="42"/>
      <c r="Y3734" s="42"/>
      <c r="Z3734" s="42"/>
      <c r="AA3734" s="42"/>
      <c r="AB3734" s="42"/>
      <c r="AC3734" s="42"/>
      <c r="AD3734" s="42"/>
      <c r="AE3734" s="42"/>
      <c r="AF3734" s="9"/>
      <c r="AG3734" s="9"/>
      <c r="AH3734" s="42"/>
      <c r="AI3734" s="42"/>
      <c r="AJ3734" s="42"/>
      <c r="AK3734" s="42"/>
      <c r="AL3734" s="42"/>
      <c r="AM3734" s="42"/>
      <c r="AN3734" s="42"/>
      <c r="AO3734" s="63" t="str">
        <f>IFERROR(__xludf.DUMMYFUNCTION("IF(ISBLANK(A3734),,IF(ISBLANK(S3734), A3734&amp;"";"", TEXTJOIN(CHAR(10), TRUE, A3734&amp;"";"", ARRAYFORMULA(VLOOKUP(SPLIT(S3734, "";"" &amp; CHAR(10)), $A:$AO, 41, FALSE)))))"),"")</f>
        <v/>
      </c>
      <c r="AP3734" s="89"/>
    </row>
    <row r="3735">
      <c r="A3735" s="42"/>
      <c r="B3735" s="42"/>
      <c r="C3735" s="42"/>
      <c r="D3735" s="42"/>
      <c r="E3735" s="39"/>
      <c r="F3735" s="9"/>
      <c r="G3735" s="9"/>
      <c r="H3735" s="9"/>
      <c r="I3735" s="9"/>
      <c r="J3735" s="9"/>
      <c r="K3735" s="9"/>
      <c r="L3735" s="9"/>
      <c r="M3735" s="9"/>
      <c r="N3735" s="9"/>
      <c r="O3735" s="9"/>
      <c r="P3735" s="9"/>
      <c r="Q3735" s="9"/>
      <c r="R3735" s="9"/>
      <c r="S3735" s="42"/>
      <c r="T3735" s="42"/>
      <c r="U3735" s="42"/>
      <c r="V3735" s="42"/>
      <c r="W3735" s="42"/>
      <c r="X3735" s="42"/>
      <c r="Y3735" s="42"/>
      <c r="Z3735" s="42"/>
      <c r="AA3735" s="42"/>
      <c r="AB3735" s="42"/>
      <c r="AC3735" s="42"/>
      <c r="AD3735" s="42"/>
      <c r="AE3735" s="42"/>
      <c r="AF3735" s="9"/>
      <c r="AG3735" s="9"/>
      <c r="AH3735" s="42"/>
      <c r="AI3735" s="42"/>
      <c r="AJ3735" s="42"/>
      <c r="AK3735" s="42"/>
      <c r="AL3735" s="42"/>
      <c r="AM3735" s="42"/>
      <c r="AN3735" s="42"/>
      <c r="AO3735" s="63" t="str">
        <f>IFERROR(__xludf.DUMMYFUNCTION("IF(ISBLANK(A3735),,IF(ISBLANK(S3735), A3735&amp;"";"", TEXTJOIN(CHAR(10), TRUE, A3735&amp;"";"", ARRAYFORMULA(VLOOKUP(SPLIT(S3735, "";"" &amp; CHAR(10)), $A:$AO, 41, FALSE)))))"),"")</f>
        <v/>
      </c>
      <c r="AP3735" s="89"/>
    </row>
    <row r="3736">
      <c r="A3736" s="42"/>
      <c r="B3736" s="42"/>
      <c r="C3736" s="42"/>
      <c r="D3736" s="42"/>
      <c r="E3736" s="39"/>
      <c r="F3736" s="9"/>
      <c r="G3736" s="9"/>
      <c r="H3736" s="9"/>
      <c r="I3736" s="9"/>
      <c r="J3736" s="9"/>
      <c r="K3736" s="9"/>
      <c r="L3736" s="9"/>
      <c r="M3736" s="9"/>
      <c r="N3736" s="9"/>
      <c r="O3736" s="9"/>
      <c r="P3736" s="9"/>
      <c r="Q3736" s="9"/>
      <c r="R3736" s="9"/>
      <c r="S3736" s="42"/>
      <c r="T3736" s="42"/>
      <c r="U3736" s="42"/>
      <c r="V3736" s="42"/>
      <c r="W3736" s="42"/>
      <c r="X3736" s="42"/>
      <c r="Y3736" s="42"/>
      <c r="Z3736" s="42"/>
      <c r="AA3736" s="42"/>
      <c r="AB3736" s="42"/>
      <c r="AC3736" s="42"/>
      <c r="AD3736" s="42"/>
      <c r="AE3736" s="42"/>
      <c r="AF3736" s="9"/>
      <c r="AG3736" s="9"/>
      <c r="AH3736" s="42"/>
      <c r="AI3736" s="42"/>
      <c r="AJ3736" s="42"/>
      <c r="AK3736" s="42"/>
      <c r="AL3736" s="42"/>
      <c r="AM3736" s="42"/>
      <c r="AN3736" s="42"/>
      <c r="AO3736" s="63" t="str">
        <f>IFERROR(__xludf.DUMMYFUNCTION("IF(ISBLANK(A3736),,IF(ISBLANK(S3736), A3736&amp;"";"", TEXTJOIN(CHAR(10), TRUE, A3736&amp;"";"", ARRAYFORMULA(VLOOKUP(SPLIT(S3736, "";"" &amp; CHAR(10)), $A:$AO, 41, FALSE)))))"),"")</f>
        <v/>
      </c>
      <c r="AP3736" s="89"/>
    </row>
    <row r="3737">
      <c r="A3737" s="42"/>
      <c r="B3737" s="42"/>
      <c r="C3737" s="42"/>
      <c r="D3737" s="42"/>
      <c r="E3737" s="39"/>
      <c r="F3737" s="9"/>
      <c r="G3737" s="9"/>
      <c r="H3737" s="9"/>
      <c r="I3737" s="9"/>
      <c r="J3737" s="9"/>
      <c r="K3737" s="9"/>
      <c r="L3737" s="9"/>
      <c r="M3737" s="9"/>
      <c r="N3737" s="9"/>
      <c r="O3737" s="9"/>
      <c r="P3737" s="9"/>
      <c r="Q3737" s="9"/>
      <c r="R3737" s="9"/>
      <c r="S3737" s="42"/>
      <c r="T3737" s="42"/>
      <c r="U3737" s="42"/>
      <c r="V3737" s="42"/>
      <c r="W3737" s="42"/>
      <c r="X3737" s="42"/>
      <c r="Y3737" s="42"/>
      <c r="Z3737" s="42"/>
      <c r="AA3737" s="42"/>
      <c r="AB3737" s="42"/>
      <c r="AC3737" s="42"/>
      <c r="AD3737" s="42"/>
      <c r="AE3737" s="42"/>
      <c r="AF3737" s="9"/>
      <c r="AG3737" s="9"/>
      <c r="AH3737" s="42"/>
      <c r="AI3737" s="42"/>
      <c r="AJ3737" s="42"/>
      <c r="AK3737" s="42"/>
      <c r="AL3737" s="42"/>
      <c r="AM3737" s="42"/>
      <c r="AN3737" s="42"/>
      <c r="AO3737" s="63" t="str">
        <f>IFERROR(__xludf.DUMMYFUNCTION("IF(ISBLANK(A3737),,IF(ISBLANK(S3737), A3737&amp;"";"", TEXTJOIN(CHAR(10), TRUE, A3737&amp;"";"", ARRAYFORMULA(VLOOKUP(SPLIT(S3737, "";"" &amp; CHAR(10)), $A:$AO, 41, FALSE)))))"),"")</f>
        <v/>
      </c>
      <c r="AP3737" s="89"/>
    </row>
    <row r="3738">
      <c r="A3738" s="42"/>
      <c r="B3738" s="42"/>
      <c r="C3738" s="42"/>
      <c r="D3738" s="42"/>
      <c r="E3738" s="39"/>
      <c r="F3738" s="9"/>
      <c r="G3738" s="9"/>
      <c r="H3738" s="9"/>
      <c r="I3738" s="9"/>
      <c r="J3738" s="9"/>
      <c r="K3738" s="9"/>
      <c r="L3738" s="9"/>
      <c r="M3738" s="9"/>
      <c r="N3738" s="9"/>
      <c r="O3738" s="9"/>
      <c r="P3738" s="9"/>
      <c r="Q3738" s="9"/>
      <c r="R3738" s="9"/>
      <c r="S3738" s="42"/>
      <c r="T3738" s="42"/>
      <c r="U3738" s="42"/>
      <c r="V3738" s="42"/>
      <c r="W3738" s="42"/>
      <c r="X3738" s="42"/>
      <c r="Y3738" s="42"/>
      <c r="Z3738" s="42"/>
      <c r="AA3738" s="42"/>
      <c r="AB3738" s="42"/>
      <c r="AC3738" s="42"/>
      <c r="AD3738" s="42"/>
      <c r="AE3738" s="42"/>
      <c r="AF3738" s="9"/>
      <c r="AG3738" s="9"/>
      <c r="AH3738" s="42"/>
      <c r="AI3738" s="42"/>
      <c r="AJ3738" s="42"/>
      <c r="AK3738" s="42"/>
      <c r="AL3738" s="42"/>
      <c r="AM3738" s="42"/>
      <c r="AN3738" s="42"/>
      <c r="AO3738" s="63" t="str">
        <f>IFERROR(__xludf.DUMMYFUNCTION("IF(ISBLANK(A3738),,IF(ISBLANK(S3738), A3738&amp;"";"", TEXTJOIN(CHAR(10), TRUE, A3738&amp;"";"", ARRAYFORMULA(VLOOKUP(SPLIT(S3738, "";"" &amp; CHAR(10)), $A:$AO, 41, FALSE)))))"),"")</f>
        <v/>
      </c>
      <c r="AP3738" s="89"/>
    </row>
    <row r="3739">
      <c r="A3739" s="42"/>
      <c r="B3739" s="42"/>
      <c r="C3739" s="42"/>
      <c r="D3739" s="42"/>
      <c r="E3739" s="39"/>
      <c r="F3739" s="9"/>
      <c r="G3739" s="9"/>
      <c r="H3739" s="9"/>
      <c r="I3739" s="9"/>
      <c r="J3739" s="9"/>
      <c r="K3739" s="9"/>
      <c r="L3739" s="9"/>
      <c r="M3739" s="9"/>
      <c r="N3739" s="9"/>
      <c r="O3739" s="9"/>
      <c r="P3739" s="9"/>
      <c r="Q3739" s="9"/>
      <c r="R3739" s="9"/>
      <c r="S3739" s="42"/>
      <c r="T3739" s="42"/>
      <c r="U3739" s="42"/>
      <c r="V3739" s="42"/>
      <c r="W3739" s="42"/>
      <c r="X3739" s="42"/>
      <c r="Y3739" s="42"/>
      <c r="Z3739" s="42"/>
      <c r="AA3739" s="42"/>
      <c r="AB3739" s="42"/>
      <c r="AC3739" s="42"/>
      <c r="AD3739" s="42"/>
      <c r="AE3739" s="42"/>
      <c r="AF3739" s="9"/>
      <c r="AG3739" s="9"/>
      <c r="AH3739" s="42"/>
      <c r="AI3739" s="42"/>
      <c r="AJ3739" s="42"/>
      <c r="AK3739" s="42"/>
      <c r="AL3739" s="42"/>
      <c r="AM3739" s="42"/>
      <c r="AN3739" s="42"/>
      <c r="AO3739" s="63" t="str">
        <f>IFERROR(__xludf.DUMMYFUNCTION("IF(ISBLANK(A3739),,IF(ISBLANK(S3739), A3739&amp;"";"", TEXTJOIN(CHAR(10), TRUE, A3739&amp;"";"", ARRAYFORMULA(VLOOKUP(SPLIT(S3739, "";"" &amp; CHAR(10)), $A:$AO, 41, FALSE)))))"),"")</f>
        <v/>
      </c>
      <c r="AP3739" s="89"/>
    </row>
    <row r="3740">
      <c r="A3740" s="42"/>
      <c r="B3740" s="42"/>
      <c r="C3740" s="42"/>
      <c r="D3740" s="42"/>
      <c r="E3740" s="39"/>
      <c r="F3740" s="9"/>
      <c r="G3740" s="9"/>
      <c r="H3740" s="9"/>
      <c r="I3740" s="9"/>
      <c r="J3740" s="9"/>
      <c r="K3740" s="9"/>
      <c r="L3740" s="9"/>
      <c r="M3740" s="9"/>
      <c r="N3740" s="9"/>
      <c r="O3740" s="9"/>
      <c r="P3740" s="9"/>
      <c r="Q3740" s="9"/>
      <c r="R3740" s="9"/>
      <c r="S3740" s="42"/>
      <c r="T3740" s="42"/>
      <c r="U3740" s="42"/>
      <c r="V3740" s="42"/>
      <c r="W3740" s="42"/>
      <c r="X3740" s="42"/>
      <c r="Y3740" s="42"/>
      <c r="Z3740" s="42"/>
      <c r="AA3740" s="42"/>
      <c r="AB3740" s="42"/>
      <c r="AC3740" s="42"/>
      <c r="AD3740" s="42"/>
      <c r="AE3740" s="42"/>
      <c r="AF3740" s="9"/>
      <c r="AG3740" s="9"/>
      <c r="AH3740" s="42"/>
      <c r="AI3740" s="42"/>
      <c r="AJ3740" s="42"/>
      <c r="AK3740" s="42"/>
      <c r="AL3740" s="42"/>
      <c r="AM3740" s="42"/>
      <c r="AN3740" s="42"/>
      <c r="AO3740" s="63" t="str">
        <f>IFERROR(__xludf.DUMMYFUNCTION("IF(ISBLANK(A3740),,IF(ISBLANK(S3740), A3740&amp;"";"", TEXTJOIN(CHAR(10), TRUE, A3740&amp;"";"", ARRAYFORMULA(VLOOKUP(SPLIT(S3740, "";"" &amp; CHAR(10)), $A:$AO, 41, FALSE)))))"),"")</f>
        <v/>
      </c>
      <c r="AP3740" s="89"/>
    </row>
    <row r="3741">
      <c r="A3741" s="42"/>
      <c r="B3741" s="42"/>
      <c r="C3741" s="42"/>
      <c r="D3741" s="42"/>
      <c r="E3741" s="39"/>
      <c r="F3741" s="9"/>
      <c r="G3741" s="9"/>
      <c r="H3741" s="9"/>
      <c r="I3741" s="9"/>
      <c r="J3741" s="9"/>
      <c r="K3741" s="9"/>
      <c r="L3741" s="9"/>
      <c r="M3741" s="9"/>
      <c r="N3741" s="9"/>
      <c r="O3741" s="9"/>
      <c r="P3741" s="9"/>
      <c r="Q3741" s="9"/>
      <c r="R3741" s="9"/>
      <c r="S3741" s="42"/>
      <c r="T3741" s="42"/>
      <c r="U3741" s="42"/>
      <c r="V3741" s="42"/>
      <c r="W3741" s="42"/>
      <c r="X3741" s="42"/>
      <c r="Y3741" s="42"/>
      <c r="Z3741" s="42"/>
      <c r="AA3741" s="42"/>
      <c r="AB3741" s="42"/>
      <c r="AC3741" s="42"/>
      <c r="AD3741" s="42"/>
      <c r="AE3741" s="42"/>
      <c r="AF3741" s="9"/>
      <c r="AG3741" s="9"/>
      <c r="AH3741" s="42"/>
      <c r="AI3741" s="42"/>
      <c r="AJ3741" s="42"/>
      <c r="AK3741" s="42"/>
      <c r="AL3741" s="42"/>
      <c r="AM3741" s="42"/>
      <c r="AN3741" s="42"/>
      <c r="AO3741" s="63" t="str">
        <f>IFERROR(__xludf.DUMMYFUNCTION("IF(ISBLANK(A3741),,IF(ISBLANK(S3741), A3741&amp;"";"", TEXTJOIN(CHAR(10), TRUE, A3741&amp;"";"", ARRAYFORMULA(VLOOKUP(SPLIT(S3741, "";"" &amp; CHAR(10)), $A:$AO, 41, FALSE)))))"),"")</f>
        <v/>
      </c>
      <c r="AP3741" s="89"/>
    </row>
    <row r="3742">
      <c r="A3742" s="42"/>
      <c r="B3742" s="42"/>
      <c r="C3742" s="42"/>
      <c r="D3742" s="42"/>
      <c r="E3742" s="39"/>
      <c r="F3742" s="9"/>
      <c r="G3742" s="9"/>
      <c r="H3742" s="9"/>
      <c r="I3742" s="9"/>
      <c r="J3742" s="9"/>
      <c r="K3742" s="9"/>
      <c r="L3742" s="9"/>
      <c r="M3742" s="9"/>
      <c r="N3742" s="9"/>
      <c r="O3742" s="9"/>
      <c r="P3742" s="9"/>
      <c r="Q3742" s="9"/>
      <c r="R3742" s="9"/>
      <c r="S3742" s="42"/>
      <c r="T3742" s="42"/>
      <c r="U3742" s="42"/>
      <c r="V3742" s="42"/>
      <c r="W3742" s="42"/>
      <c r="X3742" s="42"/>
      <c r="Y3742" s="42"/>
      <c r="Z3742" s="42"/>
      <c r="AA3742" s="42"/>
      <c r="AB3742" s="42"/>
      <c r="AC3742" s="42"/>
      <c r="AD3742" s="42"/>
      <c r="AE3742" s="42"/>
      <c r="AF3742" s="9"/>
      <c r="AG3742" s="9"/>
      <c r="AH3742" s="42"/>
      <c r="AI3742" s="42"/>
      <c r="AJ3742" s="42"/>
      <c r="AK3742" s="42"/>
      <c r="AL3742" s="42"/>
      <c r="AM3742" s="42"/>
      <c r="AN3742" s="42"/>
      <c r="AO3742" s="63" t="str">
        <f>IFERROR(__xludf.DUMMYFUNCTION("IF(ISBLANK(A3742),,IF(ISBLANK(S3742), A3742&amp;"";"", TEXTJOIN(CHAR(10), TRUE, A3742&amp;"";"", ARRAYFORMULA(VLOOKUP(SPLIT(S3742, "";"" &amp; CHAR(10)), $A:$AO, 41, FALSE)))))"),"")</f>
        <v/>
      </c>
      <c r="AP3742" s="89"/>
    </row>
    <row r="3743">
      <c r="A3743" s="42"/>
      <c r="B3743" s="42"/>
      <c r="C3743" s="42"/>
      <c r="D3743" s="42"/>
      <c r="E3743" s="39"/>
      <c r="F3743" s="9"/>
      <c r="G3743" s="9"/>
      <c r="H3743" s="9"/>
      <c r="I3743" s="9"/>
      <c r="J3743" s="9"/>
      <c r="K3743" s="9"/>
      <c r="L3743" s="9"/>
      <c r="M3743" s="9"/>
      <c r="N3743" s="9"/>
      <c r="O3743" s="9"/>
      <c r="P3743" s="9"/>
      <c r="Q3743" s="9"/>
      <c r="R3743" s="9"/>
      <c r="S3743" s="42"/>
      <c r="T3743" s="42"/>
      <c r="U3743" s="42"/>
      <c r="V3743" s="42"/>
      <c r="W3743" s="42"/>
      <c r="X3743" s="42"/>
      <c r="Y3743" s="42"/>
      <c r="Z3743" s="42"/>
      <c r="AA3743" s="42"/>
      <c r="AB3743" s="42"/>
      <c r="AC3743" s="42"/>
      <c r="AD3743" s="42"/>
      <c r="AE3743" s="42"/>
      <c r="AF3743" s="9"/>
      <c r="AG3743" s="9"/>
      <c r="AH3743" s="42"/>
      <c r="AI3743" s="42"/>
      <c r="AJ3743" s="42"/>
      <c r="AK3743" s="42"/>
      <c r="AL3743" s="42"/>
      <c r="AM3743" s="42"/>
      <c r="AN3743" s="42"/>
      <c r="AO3743" s="63" t="str">
        <f>IFERROR(__xludf.DUMMYFUNCTION("IF(ISBLANK(A3743),,IF(ISBLANK(S3743), A3743&amp;"";"", TEXTJOIN(CHAR(10), TRUE, A3743&amp;"";"", ARRAYFORMULA(VLOOKUP(SPLIT(S3743, "";"" &amp; CHAR(10)), $A:$AO, 41, FALSE)))))"),"")</f>
        <v/>
      </c>
      <c r="AP3743" s="89"/>
    </row>
    <row r="3744">
      <c r="A3744" s="42"/>
      <c r="B3744" s="42"/>
      <c r="C3744" s="42"/>
      <c r="D3744" s="42"/>
      <c r="E3744" s="39"/>
      <c r="F3744" s="9"/>
      <c r="G3744" s="9"/>
      <c r="H3744" s="9"/>
      <c r="I3744" s="9"/>
      <c r="J3744" s="9"/>
      <c r="K3744" s="9"/>
      <c r="L3744" s="9"/>
      <c r="M3744" s="9"/>
      <c r="N3744" s="9"/>
      <c r="O3744" s="9"/>
      <c r="P3744" s="9"/>
      <c r="Q3744" s="9"/>
      <c r="R3744" s="9"/>
      <c r="S3744" s="42"/>
      <c r="T3744" s="42"/>
      <c r="U3744" s="42"/>
      <c r="V3744" s="42"/>
      <c r="W3744" s="42"/>
      <c r="X3744" s="42"/>
      <c r="Y3744" s="42"/>
      <c r="Z3744" s="42"/>
      <c r="AA3744" s="42"/>
      <c r="AB3744" s="42"/>
      <c r="AC3744" s="42"/>
      <c r="AD3744" s="42"/>
      <c r="AE3744" s="42"/>
      <c r="AF3744" s="9"/>
      <c r="AG3744" s="9"/>
      <c r="AH3744" s="42"/>
      <c r="AI3744" s="42"/>
      <c r="AJ3744" s="42"/>
      <c r="AK3744" s="42"/>
      <c r="AL3744" s="42"/>
      <c r="AM3744" s="42"/>
      <c r="AN3744" s="42"/>
      <c r="AO3744" s="63" t="str">
        <f>IFERROR(__xludf.DUMMYFUNCTION("IF(ISBLANK(A3744),,IF(ISBLANK(S3744), A3744&amp;"";"", TEXTJOIN(CHAR(10), TRUE, A3744&amp;"";"", ARRAYFORMULA(VLOOKUP(SPLIT(S3744, "";"" &amp; CHAR(10)), $A:$AO, 41, FALSE)))))"),"")</f>
        <v/>
      </c>
      <c r="AP3744" s="89"/>
    </row>
    <row r="3745">
      <c r="A3745" s="42"/>
      <c r="B3745" s="42"/>
      <c r="C3745" s="42"/>
      <c r="D3745" s="42"/>
      <c r="E3745" s="39"/>
      <c r="F3745" s="9"/>
      <c r="G3745" s="9"/>
      <c r="H3745" s="9"/>
      <c r="I3745" s="9"/>
      <c r="J3745" s="9"/>
      <c r="K3745" s="9"/>
      <c r="L3745" s="9"/>
      <c r="M3745" s="9"/>
      <c r="N3745" s="9"/>
      <c r="O3745" s="9"/>
      <c r="P3745" s="9"/>
      <c r="Q3745" s="9"/>
      <c r="R3745" s="9"/>
      <c r="S3745" s="42"/>
      <c r="T3745" s="42"/>
      <c r="U3745" s="42"/>
      <c r="V3745" s="42"/>
      <c r="W3745" s="42"/>
      <c r="X3745" s="42"/>
      <c r="Y3745" s="42"/>
      <c r="Z3745" s="42"/>
      <c r="AA3745" s="42"/>
      <c r="AB3745" s="42"/>
      <c r="AC3745" s="42"/>
      <c r="AD3745" s="42"/>
      <c r="AE3745" s="42"/>
      <c r="AF3745" s="9"/>
      <c r="AG3745" s="9"/>
      <c r="AH3745" s="42"/>
      <c r="AI3745" s="42"/>
      <c r="AJ3745" s="42"/>
      <c r="AK3745" s="42"/>
      <c r="AL3745" s="42"/>
      <c r="AM3745" s="42"/>
      <c r="AN3745" s="42"/>
      <c r="AO3745" s="63" t="str">
        <f>IFERROR(__xludf.DUMMYFUNCTION("IF(ISBLANK(A3745),,IF(ISBLANK(S3745), A3745&amp;"";"", TEXTJOIN(CHAR(10), TRUE, A3745&amp;"";"", ARRAYFORMULA(VLOOKUP(SPLIT(S3745, "";"" &amp; CHAR(10)), $A:$AO, 41, FALSE)))))"),"")</f>
        <v/>
      </c>
      <c r="AP3745" s="89"/>
    </row>
    <row r="3746">
      <c r="A3746" s="42"/>
      <c r="B3746" s="42"/>
      <c r="C3746" s="42"/>
      <c r="D3746" s="42"/>
      <c r="E3746" s="39"/>
      <c r="F3746" s="9"/>
      <c r="G3746" s="9"/>
      <c r="H3746" s="9"/>
      <c r="I3746" s="9"/>
      <c r="J3746" s="9"/>
      <c r="K3746" s="9"/>
      <c r="L3746" s="9"/>
      <c r="M3746" s="9"/>
      <c r="N3746" s="9"/>
      <c r="O3746" s="9"/>
      <c r="P3746" s="9"/>
      <c r="Q3746" s="9"/>
      <c r="R3746" s="9"/>
      <c r="S3746" s="42"/>
      <c r="T3746" s="42"/>
      <c r="U3746" s="42"/>
      <c r="V3746" s="42"/>
      <c r="W3746" s="42"/>
      <c r="X3746" s="42"/>
      <c r="Y3746" s="42"/>
      <c r="Z3746" s="42"/>
      <c r="AA3746" s="42"/>
      <c r="AB3746" s="42"/>
      <c r="AC3746" s="42"/>
      <c r="AD3746" s="42"/>
      <c r="AE3746" s="42"/>
      <c r="AF3746" s="9"/>
      <c r="AG3746" s="9"/>
      <c r="AH3746" s="42"/>
      <c r="AI3746" s="42"/>
      <c r="AJ3746" s="42"/>
      <c r="AK3746" s="42"/>
      <c r="AL3746" s="42"/>
      <c r="AM3746" s="42"/>
      <c r="AN3746" s="42"/>
      <c r="AO3746" s="63" t="str">
        <f>IFERROR(__xludf.DUMMYFUNCTION("IF(ISBLANK(A3746),,IF(ISBLANK(S3746), A3746&amp;"";"", TEXTJOIN(CHAR(10), TRUE, A3746&amp;"";"", ARRAYFORMULA(VLOOKUP(SPLIT(S3746, "";"" &amp; CHAR(10)), $A:$AO, 41, FALSE)))))"),"")</f>
        <v/>
      </c>
      <c r="AP3746" s="89"/>
    </row>
    <row r="3747">
      <c r="A3747" s="42"/>
      <c r="B3747" s="42"/>
      <c r="C3747" s="42"/>
      <c r="D3747" s="42"/>
      <c r="E3747" s="39"/>
      <c r="F3747" s="9"/>
      <c r="G3747" s="9"/>
      <c r="H3747" s="9"/>
      <c r="I3747" s="9"/>
      <c r="J3747" s="9"/>
      <c r="K3747" s="9"/>
      <c r="L3747" s="9"/>
      <c r="M3747" s="9"/>
      <c r="N3747" s="9"/>
      <c r="O3747" s="9"/>
      <c r="P3747" s="9"/>
      <c r="Q3747" s="9"/>
      <c r="R3747" s="9"/>
      <c r="S3747" s="42"/>
      <c r="T3747" s="42"/>
      <c r="U3747" s="42"/>
      <c r="V3747" s="42"/>
      <c r="W3747" s="42"/>
      <c r="X3747" s="42"/>
      <c r="Y3747" s="42"/>
      <c r="Z3747" s="42"/>
      <c r="AA3747" s="42"/>
      <c r="AB3747" s="42"/>
      <c r="AC3747" s="42"/>
      <c r="AD3747" s="42"/>
      <c r="AE3747" s="42"/>
      <c r="AF3747" s="9"/>
      <c r="AG3747" s="9"/>
      <c r="AH3747" s="42"/>
      <c r="AI3747" s="42"/>
      <c r="AJ3747" s="42"/>
      <c r="AK3747" s="42"/>
      <c r="AL3747" s="42"/>
      <c r="AM3747" s="42"/>
      <c r="AN3747" s="42"/>
      <c r="AO3747" s="63" t="str">
        <f>IFERROR(__xludf.DUMMYFUNCTION("IF(ISBLANK(A3747),,IF(ISBLANK(S3747), A3747&amp;"";"", TEXTJOIN(CHAR(10), TRUE, A3747&amp;"";"", ARRAYFORMULA(VLOOKUP(SPLIT(S3747, "";"" &amp; CHAR(10)), $A:$AO, 41, FALSE)))))"),"")</f>
        <v/>
      </c>
      <c r="AP3747" s="89"/>
    </row>
    <row r="3748">
      <c r="A3748" s="42"/>
      <c r="B3748" s="42"/>
      <c r="C3748" s="42"/>
      <c r="D3748" s="42"/>
      <c r="E3748" s="39"/>
      <c r="F3748" s="9"/>
      <c r="G3748" s="9"/>
      <c r="H3748" s="9"/>
      <c r="I3748" s="9"/>
      <c r="J3748" s="9"/>
      <c r="K3748" s="9"/>
      <c r="L3748" s="9"/>
      <c r="M3748" s="9"/>
      <c r="N3748" s="9"/>
      <c r="O3748" s="9"/>
      <c r="P3748" s="9"/>
      <c r="Q3748" s="9"/>
      <c r="R3748" s="9"/>
      <c r="S3748" s="42"/>
      <c r="T3748" s="42"/>
      <c r="U3748" s="42"/>
      <c r="V3748" s="42"/>
      <c r="W3748" s="42"/>
      <c r="X3748" s="42"/>
      <c r="Y3748" s="42"/>
      <c r="Z3748" s="42"/>
      <c r="AA3748" s="42"/>
      <c r="AB3748" s="42"/>
      <c r="AC3748" s="42"/>
      <c r="AD3748" s="42"/>
      <c r="AE3748" s="42"/>
      <c r="AF3748" s="9"/>
      <c r="AG3748" s="9"/>
      <c r="AH3748" s="42"/>
      <c r="AI3748" s="42"/>
      <c r="AJ3748" s="42"/>
      <c r="AK3748" s="42"/>
      <c r="AL3748" s="42"/>
      <c r="AM3748" s="42"/>
      <c r="AN3748" s="42"/>
      <c r="AO3748" s="63" t="str">
        <f>IFERROR(__xludf.DUMMYFUNCTION("IF(ISBLANK(A3748),,IF(ISBLANK(S3748), A3748&amp;"";"", TEXTJOIN(CHAR(10), TRUE, A3748&amp;"";"", ARRAYFORMULA(VLOOKUP(SPLIT(S3748, "";"" &amp; CHAR(10)), $A:$AO, 41, FALSE)))))"),"")</f>
        <v/>
      </c>
      <c r="AP3748" s="89"/>
    </row>
    <row r="3749">
      <c r="A3749" s="42"/>
      <c r="B3749" s="42"/>
      <c r="C3749" s="42"/>
      <c r="D3749" s="42"/>
      <c r="E3749" s="39"/>
      <c r="F3749" s="9"/>
      <c r="G3749" s="9"/>
      <c r="H3749" s="9"/>
      <c r="I3749" s="9"/>
      <c r="J3749" s="9"/>
      <c r="K3749" s="9"/>
      <c r="L3749" s="9"/>
      <c r="M3749" s="9"/>
      <c r="N3749" s="9"/>
      <c r="O3749" s="9"/>
      <c r="P3749" s="9"/>
      <c r="Q3749" s="9"/>
      <c r="R3749" s="9"/>
      <c r="S3749" s="42"/>
      <c r="T3749" s="42"/>
      <c r="U3749" s="42"/>
      <c r="V3749" s="42"/>
      <c r="W3749" s="42"/>
      <c r="X3749" s="42"/>
      <c r="Y3749" s="42"/>
      <c r="Z3749" s="42"/>
      <c r="AA3749" s="42"/>
      <c r="AB3749" s="42"/>
      <c r="AC3749" s="42"/>
      <c r="AD3749" s="42"/>
      <c r="AE3749" s="42"/>
      <c r="AF3749" s="9"/>
      <c r="AG3749" s="9"/>
      <c r="AH3749" s="42"/>
      <c r="AI3749" s="42"/>
      <c r="AJ3749" s="42"/>
      <c r="AK3749" s="42"/>
      <c r="AL3749" s="42"/>
      <c r="AM3749" s="42"/>
      <c r="AN3749" s="42"/>
      <c r="AO3749" s="63" t="str">
        <f>IFERROR(__xludf.DUMMYFUNCTION("IF(ISBLANK(A3749),,IF(ISBLANK(S3749), A3749&amp;"";"", TEXTJOIN(CHAR(10), TRUE, A3749&amp;"";"", ARRAYFORMULA(VLOOKUP(SPLIT(S3749, "";"" &amp; CHAR(10)), $A:$AO, 41, FALSE)))))"),"")</f>
        <v/>
      </c>
      <c r="AP3749" s="89"/>
    </row>
    <row r="3750">
      <c r="A3750" s="42"/>
      <c r="B3750" s="42"/>
      <c r="C3750" s="42"/>
      <c r="D3750" s="42"/>
      <c r="E3750" s="39"/>
      <c r="F3750" s="9"/>
      <c r="G3750" s="9"/>
      <c r="H3750" s="9"/>
      <c r="I3750" s="9"/>
      <c r="J3750" s="9"/>
      <c r="K3750" s="9"/>
      <c r="L3750" s="9"/>
      <c r="M3750" s="9"/>
      <c r="N3750" s="9"/>
      <c r="O3750" s="9"/>
      <c r="P3750" s="9"/>
      <c r="Q3750" s="9"/>
      <c r="R3750" s="9"/>
      <c r="S3750" s="42"/>
      <c r="T3750" s="42"/>
      <c r="U3750" s="42"/>
      <c r="V3750" s="42"/>
      <c r="W3750" s="42"/>
      <c r="X3750" s="42"/>
      <c r="Y3750" s="42"/>
      <c r="Z3750" s="42"/>
      <c r="AA3750" s="42"/>
      <c r="AB3750" s="42"/>
      <c r="AC3750" s="42"/>
      <c r="AD3750" s="42"/>
      <c r="AE3750" s="42"/>
      <c r="AF3750" s="9"/>
      <c r="AG3750" s="9"/>
      <c r="AH3750" s="42"/>
      <c r="AI3750" s="42"/>
      <c r="AJ3750" s="42"/>
      <c r="AK3750" s="42"/>
      <c r="AL3750" s="42"/>
      <c r="AM3750" s="42"/>
      <c r="AN3750" s="42"/>
      <c r="AO3750" s="63" t="str">
        <f>IFERROR(__xludf.DUMMYFUNCTION("IF(ISBLANK(A3750),,IF(ISBLANK(S3750), A3750&amp;"";"", TEXTJOIN(CHAR(10), TRUE, A3750&amp;"";"", ARRAYFORMULA(VLOOKUP(SPLIT(S3750, "";"" &amp; CHAR(10)), $A:$AO, 41, FALSE)))))"),"")</f>
        <v/>
      </c>
      <c r="AP3750" s="89"/>
    </row>
    <row r="3751">
      <c r="A3751" s="42"/>
      <c r="B3751" s="42"/>
      <c r="C3751" s="42"/>
      <c r="D3751" s="42"/>
      <c r="E3751" s="39"/>
      <c r="F3751" s="9"/>
      <c r="G3751" s="9"/>
      <c r="H3751" s="9"/>
      <c r="I3751" s="9"/>
      <c r="J3751" s="9"/>
      <c r="K3751" s="9"/>
      <c r="L3751" s="9"/>
      <c r="M3751" s="9"/>
      <c r="N3751" s="9"/>
      <c r="O3751" s="9"/>
      <c r="P3751" s="9"/>
      <c r="Q3751" s="9"/>
      <c r="R3751" s="9"/>
      <c r="S3751" s="42"/>
      <c r="T3751" s="42"/>
      <c r="U3751" s="42"/>
      <c r="V3751" s="42"/>
      <c r="W3751" s="42"/>
      <c r="X3751" s="42"/>
      <c r="Y3751" s="42"/>
      <c r="Z3751" s="42"/>
      <c r="AA3751" s="42"/>
      <c r="AB3751" s="42"/>
      <c r="AC3751" s="42"/>
      <c r="AD3751" s="42"/>
      <c r="AE3751" s="42"/>
      <c r="AF3751" s="9"/>
      <c r="AG3751" s="9"/>
      <c r="AH3751" s="42"/>
      <c r="AI3751" s="42"/>
      <c r="AJ3751" s="42"/>
      <c r="AK3751" s="42"/>
      <c r="AL3751" s="42"/>
      <c r="AM3751" s="42"/>
      <c r="AN3751" s="42"/>
      <c r="AO3751" s="63" t="str">
        <f>IFERROR(__xludf.DUMMYFUNCTION("IF(ISBLANK(A3751),,IF(ISBLANK(S3751), A3751&amp;"";"", TEXTJOIN(CHAR(10), TRUE, A3751&amp;"";"", ARRAYFORMULA(VLOOKUP(SPLIT(S3751, "";"" &amp; CHAR(10)), $A:$AO, 41, FALSE)))))"),"")</f>
        <v/>
      </c>
      <c r="AP3751" s="89"/>
    </row>
    <row r="3752">
      <c r="A3752" s="42"/>
      <c r="B3752" s="42"/>
      <c r="C3752" s="42"/>
      <c r="D3752" s="42"/>
      <c r="E3752" s="39"/>
      <c r="F3752" s="9"/>
      <c r="G3752" s="9"/>
      <c r="H3752" s="9"/>
      <c r="I3752" s="9"/>
      <c r="J3752" s="9"/>
      <c r="K3752" s="9"/>
      <c r="L3752" s="9"/>
      <c r="M3752" s="9"/>
      <c r="N3752" s="9"/>
      <c r="O3752" s="9"/>
      <c r="P3752" s="9"/>
      <c r="Q3752" s="9"/>
      <c r="R3752" s="9"/>
      <c r="S3752" s="42"/>
      <c r="T3752" s="42"/>
      <c r="U3752" s="42"/>
      <c r="V3752" s="42"/>
      <c r="W3752" s="42"/>
      <c r="X3752" s="42"/>
      <c r="Y3752" s="42"/>
      <c r="Z3752" s="42"/>
      <c r="AA3752" s="42"/>
      <c r="AB3752" s="42"/>
      <c r="AC3752" s="42"/>
      <c r="AD3752" s="42"/>
      <c r="AE3752" s="42"/>
      <c r="AF3752" s="9"/>
      <c r="AG3752" s="9"/>
      <c r="AH3752" s="42"/>
      <c r="AI3752" s="42"/>
      <c r="AJ3752" s="42"/>
      <c r="AK3752" s="42"/>
      <c r="AL3752" s="42"/>
      <c r="AM3752" s="42"/>
      <c r="AN3752" s="42"/>
      <c r="AO3752" s="63" t="str">
        <f>IFERROR(__xludf.DUMMYFUNCTION("IF(ISBLANK(A3752),,IF(ISBLANK(S3752), A3752&amp;"";"", TEXTJOIN(CHAR(10), TRUE, A3752&amp;"";"", ARRAYFORMULA(VLOOKUP(SPLIT(S3752, "";"" &amp; CHAR(10)), $A:$AO, 41, FALSE)))))"),"")</f>
        <v/>
      </c>
      <c r="AP3752" s="89"/>
    </row>
    <row r="3753">
      <c r="A3753" s="42"/>
      <c r="B3753" s="42"/>
      <c r="C3753" s="42"/>
      <c r="D3753" s="42"/>
      <c r="E3753" s="39"/>
      <c r="F3753" s="9"/>
      <c r="G3753" s="9"/>
      <c r="H3753" s="9"/>
      <c r="I3753" s="9"/>
      <c r="J3753" s="9"/>
      <c r="K3753" s="9"/>
      <c r="L3753" s="9"/>
      <c r="M3753" s="9"/>
      <c r="N3753" s="9"/>
      <c r="O3753" s="9"/>
      <c r="P3753" s="9"/>
      <c r="Q3753" s="9"/>
      <c r="R3753" s="9"/>
      <c r="S3753" s="42"/>
      <c r="T3753" s="42"/>
      <c r="U3753" s="42"/>
      <c r="V3753" s="42"/>
      <c r="W3753" s="42"/>
      <c r="X3753" s="42"/>
      <c r="Y3753" s="42"/>
      <c r="Z3753" s="42"/>
      <c r="AA3753" s="42"/>
      <c r="AB3753" s="42"/>
      <c r="AC3753" s="42"/>
      <c r="AD3753" s="42"/>
      <c r="AE3753" s="42"/>
      <c r="AF3753" s="9"/>
      <c r="AG3753" s="9"/>
      <c r="AH3753" s="42"/>
      <c r="AI3753" s="42"/>
      <c r="AJ3753" s="42"/>
      <c r="AK3753" s="42"/>
      <c r="AL3753" s="42"/>
      <c r="AM3753" s="42"/>
      <c r="AN3753" s="42"/>
      <c r="AO3753" s="63" t="str">
        <f>IFERROR(__xludf.DUMMYFUNCTION("IF(ISBLANK(A3753),,IF(ISBLANK(S3753), A3753&amp;"";"", TEXTJOIN(CHAR(10), TRUE, A3753&amp;"";"", ARRAYFORMULA(VLOOKUP(SPLIT(S3753, "";"" &amp; CHAR(10)), $A:$AO, 41, FALSE)))))"),"")</f>
        <v/>
      </c>
      <c r="AP3753" s="89"/>
    </row>
    <row r="3754">
      <c r="A3754" s="42"/>
      <c r="B3754" s="42"/>
      <c r="C3754" s="42"/>
      <c r="D3754" s="42"/>
      <c r="E3754" s="39"/>
      <c r="F3754" s="9"/>
      <c r="G3754" s="9"/>
      <c r="H3754" s="9"/>
      <c r="I3754" s="9"/>
      <c r="J3754" s="9"/>
      <c r="K3754" s="9"/>
      <c r="L3754" s="9"/>
      <c r="M3754" s="9"/>
      <c r="N3754" s="9"/>
      <c r="O3754" s="9"/>
      <c r="P3754" s="9"/>
      <c r="Q3754" s="9"/>
      <c r="R3754" s="9"/>
      <c r="S3754" s="42"/>
      <c r="T3754" s="42"/>
      <c r="U3754" s="42"/>
      <c r="V3754" s="42"/>
      <c r="W3754" s="42"/>
      <c r="X3754" s="42"/>
      <c r="Y3754" s="42"/>
      <c r="Z3754" s="42"/>
      <c r="AA3754" s="42"/>
      <c r="AB3754" s="42"/>
      <c r="AC3754" s="42"/>
      <c r="AD3754" s="42"/>
      <c r="AE3754" s="42"/>
      <c r="AF3754" s="9"/>
      <c r="AG3754" s="9"/>
      <c r="AH3754" s="42"/>
      <c r="AI3754" s="42"/>
      <c r="AJ3754" s="42"/>
      <c r="AK3754" s="42"/>
      <c r="AL3754" s="42"/>
      <c r="AM3754" s="42"/>
      <c r="AN3754" s="42"/>
      <c r="AO3754" s="63" t="str">
        <f>IFERROR(__xludf.DUMMYFUNCTION("IF(ISBLANK(A3754),,IF(ISBLANK(S3754), A3754&amp;"";"", TEXTJOIN(CHAR(10), TRUE, A3754&amp;"";"", ARRAYFORMULA(VLOOKUP(SPLIT(S3754, "";"" &amp; CHAR(10)), $A:$AO, 41, FALSE)))))"),"")</f>
        <v/>
      </c>
      <c r="AP3754" s="89"/>
    </row>
    <row r="3755">
      <c r="A3755" s="42"/>
      <c r="B3755" s="42"/>
      <c r="C3755" s="42"/>
      <c r="D3755" s="42"/>
      <c r="E3755" s="39"/>
      <c r="F3755" s="9"/>
      <c r="G3755" s="9"/>
      <c r="H3755" s="9"/>
      <c r="I3755" s="9"/>
      <c r="J3755" s="9"/>
      <c r="K3755" s="9"/>
      <c r="L3755" s="9"/>
      <c r="M3755" s="9"/>
      <c r="N3755" s="9"/>
      <c r="O3755" s="9"/>
      <c r="P3755" s="9"/>
      <c r="Q3755" s="9"/>
      <c r="R3755" s="9"/>
      <c r="S3755" s="42"/>
      <c r="T3755" s="42"/>
      <c r="U3755" s="42"/>
      <c r="V3755" s="42"/>
      <c r="W3755" s="42"/>
      <c r="X3755" s="42"/>
      <c r="Y3755" s="42"/>
      <c r="Z3755" s="42"/>
      <c r="AA3755" s="42"/>
      <c r="AB3755" s="42"/>
      <c r="AC3755" s="42"/>
      <c r="AD3755" s="42"/>
      <c r="AE3755" s="42"/>
      <c r="AF3755" s="9"/>
      <c r="AG3755" s="9"/>
      <c r="AH3755" s="42"/>
      <c r="AI3755" s="42"/>
      <c r="AJ3755" s="42"/>
      <c r="AK3755" s="42"/>
      <c r="AL3755" s="42"/>
      <c r="AM3755" s="42"/>
      <c r="AN3755" s="42"/>
      <c r="AO3755" s="63" t="str">
        <f>IFERROR(__xludf.DUMMYFUNCTION("IF(ISBLANK(A3755),,IF(ISBLANK(S3755), A3755&amp;"";"", TEXTJOIN(CHAR(10), TRUE, A3755&amp;"";"", ARRAYFORMULA(VLOOKUP(SPLIT(S3755, "";"" &amp; CHAR(10)), $A:$AO, 41, FALSE)))))"),"")</f>
        <v/>
      </c>
      <c r="AP3755" s="89"/>
    </row>
    <row r="3756">
      <c r="A3756" s="42"/>
      <c r="B3756" s="42"/>
      <c r="C3756" s="42"/>
      <c r="D3756" s="42"/>
      <c r="E3756" s="39"/>
      <c r="F3756" s="9"/>
      <c r="G3756" s="9"/>
      <c r="H3756" s="9"/>
      <c r="I3756" s="9"/>
      <c r="J3756" s="9"/>
      <c r="K3756" s="9"/>
      <c r="L3756" s="9"/>
      <c r="M3756" s="9"/>
      <c r="N3756" s="9"/>
      <c r="O3756" s="9"/>
      <c r="P3756" s="9"/>
      <c r="Q3756" s="9"/>
      <c r="R3756" s="9"/>
      <c r="S3756" s="42"/>
      <c r="T3756" s="42"/>
      <c r="U3756" s="42"/>
      <c r="V3756" s="42"/>
      <c r="W3756" s="42"/>
      <c r="X3756" s="42"/>
      <c r="Y3756" s="42"/>
      <c r="Z3756" s="42"/>
      <c r="AA3756" s="42"/>
      <c r="AB3756" s="42"/>
      <c r="AC3756" s="42"/>
      <c r="AD3756" s="42"/>
      <c r="AE3756" s="42"/>
      <c r="AF3756" s="9"/>
      <c r="AG3756" s="9"/>
      <c r="AH3756" s="42"/>
      <c r="AI3756" s="42"/>
      <c r="AJ3756" s="42"/>
      <c r="AK3756" s="42"/>
      <c r="AL3756" s="42"/>
      <c r="AM3756" s="42"/>
      <c r="AN3756" s="42"/>
      <c r="AO3756" s="63" t="str">
        <f>IFERROR(__xludf.DUMMYFUNCTION("IF(ISBLANK(A3756),,IF(ISBLANK(S3756), A3756&amp;"";"", TEXTJOIN(CHAR(10), TRUE, A3756&amp;"";"", ARRAYFORMULA(VLOOKUP(SPLIT(S3756, "";"" &amp; CHAR(10)), $A:$AO, 41, FALSE)))))"),"")</f>
        <v/>
      </c>
      <c r="AP3756" s="89"/>
    </row>
    <row r="3757">
      <c r="A3757" s="42"/>
      <c r="B3757" s="42"/>
      <c r="C3757" s="42"/>
      <c r="D3757" s="42"/>
      <c r="E3757" s="39"/>
      <c r="F3757" s="9"/>
      <c r="G3757" s="9"/>
      <c r="H3757" s="9"/>
      <c r="I3757" s="9"/>
      <c r="J3757" s="9"/>
      <c r="K3757" s="9"/>
      <c r="L3757" s="9"/>
      <c r="M3757" s="9"/>
      <c r="N3757" s="9"/>
      <c r="O3757" s="9"/>
      <c r="P3757" s="9"/>
      <c r="Q3757" s="9"/>
      <c r="R3757" s="9"/>
      <c r="S3757" s="42"/>
      <c r="T3757" s="42"/>
      <c r="U3757" s="42"/>
      <c r="V3757" s="42"/>
      <c r="W3757" s="42"/>
      <c r="X3757" s="42"/>
      <c r="Y3757" s="42"/>
      <c r="Z3757" s="42"/>
      <c r="AA3757" s="42"/>
      <c r="AB3757" s="42"/>
      <c r="AC3757" s="42"/>
      <c r="AD3757" s="42"/>
      <c r="AE3757" s="42"/>
      <c r="AF3757" s="9"/>
      <c r="AG3757" s="9"/>
      <c r="AH3757" s="42"/>
      <c r="AI3757" s="42"/>
      <c r="AJ3757" s="42"/>
      <c r="AK3757" s="42"/>
      <c r="AL3757" s="42"/>
      <c r="AM3757" s="42"/>
      <c r="AN3757" s="42"/>
      <c r="AO3757" s="63" t="str">
        <f>IFERROR(__xludf.DUMMYFUNCTION("IF(ISBLANK(A3757),,IF(ISBLANK(S3757), A3757&amp;"";"", TEXTJOIN(CHAR(10), TRUE, A3757&amp;"";"", ARRAYFORMULA(VLOOKUP(SPLIT(S3757, "";"" &amp; CHAR(10)), $A:$AO, 41, FALSE)))))"),"")</f>
        <v/>
      </c>
      <c r="AP3757" s="89"/>
    </row>
    <row r="3758">
      <c r="A3758" s="42"/>
      <c r="B3758" s="42"/>
      <c r="C3758" s="42"/>
      <c r="D3758" s="42"/>
      <c r="E3758" s="39"/>
      <c r="F3758" s="9"/>
      <c r="G3758" s="9"/>
      <c r="H3758" s="9"/>
      <c r="I3758" s="9"/>
      <c r="J3758" s="9"/>
      <c r="K3758" s="9"/>
      <c r="L3758" s="9"/>
      <c r="M3758" s="9"/>
      <c r="N3758" s="9"/>
      <c r="O3758" s="9"/>
      <c r="P3758" s="9"/>
      <c r="Q3758" s="9"/>
      <c r="R3758" s="9"/>
      <c r="S3758" s="42"/>
      <c r="T3758" s="42"/>
      <c r="U3758" s="42"/>
      <c r="V3758" s="42"/>
      <c r="W3758" s="42"/>
      <c r="X3758" s="42"/>
      <c r="Y3758" s="42"/>
      <c r="Z3758" s="42"/>
      <c r="AA3758" s="42"/>
      <c r="AB3758" s="42"/>
      <c r="AC3758" s="42"/>
      <c r="AD3758" s="42"/>
      <c r="AE3758" s="42"/>
      <c r="AF3758" s="9"/>
      <c r="AG3758" s="9"/>
      <c r="AH3758" s="42"/>
      <c r="AI3758" s="42"/>
      <c r="AJ3758" s="42"/>
      <c r="AK3758" s="42"/>
      <c r="AL3758" s="42"/>
      <c r="AM3758" s="42"/>
      <c r="AN3758" s="42"/>
      <c r="AO3758" s="63" t="str">
        <f>IFERROR(__xludf.DUMMYFUNCTION("IF(ISBLANK(A3758),,IF(ISBLANK(S3758), A3758&amp;"";"", TEXTJOIN(CHAR(10), TRUE, A3758&amp;"";"", ARRAYFORMULA(VLOOKUP(SPLIT(S3758, "";"" &amp; CHAR(10)), $A:$AO, 41, FALSE)))))"),"")</f>
        <v/>
      </c>
      <c r="AP3758" s="89"/>
    </row>
    <row r="3759">
      <c r="A3759" s="42"/>
      <c r="B3759" s="42"/>
      <c r="C3759" s="42"/>
      <c r="D3759" s="42"/>
      <c r="E3759" s="39"/>
      <c r="F3759" s="9"/>
      <c r="G3759" s="9"/>
      <c r="H3759" s="9"/>
      <c r="I3759" s="9"/>
      <c r="J3759" s="9"/>
      <c r="K3759" s="9"/>
      <c r="L3759" s="9"/>
      <c r="M3759" s="9"/>
      <c r="N3759" s="9"/>
      <c r="O3759" s="9"/>
      <c r="P3759" s="9"/>
      <c r="Q3759" s="9"/>
      <c r="R3759" s="9"/>
      <c r="S3759" s="42"/>
      <c r="T3759" s="42"/>
      <c r="U3759" s="42"/>
      <c r="V3759" s="42"/>
      <c r="W3759" s="42"/>
      <c r="X3759" s="42"/>
      <c r="Y3759" s="42"/>
      <c r="Z3759" s="42"/>
      <c r="AA3759" s="42"/>
      <c r="AB3759" s="42"/>
      <c r="AC3759" s="42"/>
      <c r="AD3759" s="42"/>
      <c r="AE3759" s="42"/>
      <c r="AF3759" s="9"/>
      <c r="AG3759" s="9"/>
      <c r="AH3759" s="42"/>
      <c r="AI3759" s="42"/>
      <c r="AJ3759" s="42"/>
      <c r="AK3759" s="42"/>
      <c r="AL3759" s="42"/>
      <c r="AM3759" s="42"/>
      <c r="AN3759" s="42"/>
      <c r="AO3759" s="63" t="str">
        <f>IFERROR(__xludf.DUMMYFUNCTION("IF(ISBLANK(A3759),,IF(ISBLANK(S3759), A3759&amp;"";"", TEXTJOIN(CHAR(10), TRUE, A3759&amp;"";"", ARRAYFORMULA(VLOOKUP(SPLIT(S3759, "";"" &amp; CHAR(10)), $A:$AO, 41, FALSE)))))"),"")</f>
        <v/>
      </c>
      <c r="AP3759" s="89"/>
    </row>
    <row r="3760">
      <c r="A3760" s="42"/>
      <c r="B3760" s="42"/>
      <c r="C3760" s="42"/>
      <c r="D3760" s="42"/>
      <c r="E3760" s="39"/>
      <c r="F3760" s="9"/>
      <c r="G3760" s="9"/>
      <c r="H3760" s="9"/>
      <c r="I3760" s="9"/>
      <c r="J3760" s="9"/>
      <c r="K3760" s="9"/>
      <c r="L3760" s="9"/>
      <c r="M3760" s="9"/>
      <c r="N3760" s="9"/>
      <c r="O3760" s="9"/>
      <c r="P3760" s="9"/>
      <c r="Q3760" s="9"/>
      <c r="R3760" s="9"/>
      <c r="S3760" s="42"/>
      <c r="T3760" s="42"/>
      <c r="U3760" s="42"/>
      <c r="V3760" s="42"/>
      <c r="W3760" s="42"/>
      <c r="X3760" s="42"/>
      <c r="Y3760" s="42"/>
      <c r="Z3760" s="42"/>
      <c r="AA3760" s="42"/>
      <c r="AB3760" s="42"/>
      <c r="AC3760" s="42"/>
      <c r="AD3760" s="42"/>
      <c r="AE3760" s="42"/>
      <c r="AF3760" s="9"/>
      <c r="AG3760" s="9"/>
      <c r="AH3760" s="42"/>
      <c r="AI3760" s="42"/>
      <c r="AJ3760" s="42"/>
      <c r="AK3760" s="42"/>
      <c r="AL3760" s="42"/>
      <c r="AM3760" s="42"/>
      <c r="AN3760" s="42"/>
      <c r="AO3760" s="63" t="str">
        <f>IFERROR(__xludf.DUMMYFUNCTION("IF(ISBLANK(A3760),,IF(ISBLANK(S3760), A3760&amp;"";"", TEXTJOIN(CHAR(10), TRUE, A3760&amp;"";"", ARRAYFORMULA(VLOOKUP(SPLIT(S3760, "";"" &amp; CHAR(10)), $A:$AO, 41, FALSE)))))"),"")</f>
        <v/>
      </c>
      <c r="AP3760" s="89"/>
    </row>
    <row r="3761">
      <c r="A3761" s="42"/>
      <c r="B3761" s="42"/>
      <c r="C3761" s="42"/>
      <c r="D3761" s="42"/>
      <c r="E3761" s="39"/>
      <c r="F3761" s="9"/>
      <c r="G3761" s="9"/>
      <c r="H3761" s="9"/>
      <c r="I3761" s="9"/>
      <c r="J3761" s="9"/>
      <c r="K3761" s="9"/>
      <c r="L3761" s="9"/>
      <c r="M3761" s="9"/>
      <c r="N3761" s="9"/>
      <c r="O3761" s="9"/>
      <c r="P3761" s="9"/>
      <c r="Q3761" s="9"/>
      <c r="R3761" s="9"/>
      <c r="S3761" s="42"/>
      <c r="T3761" s="42"/>
      <c r="U3761" s="42"/>
      <c r="V3761" s="42"/>
      <c r="W3761" s="42"/>
      <c r="X3761" s="42"/>
      <c r="Y3761" s="42"/>
      <c r="Z3761" s="42"/>
      <c r="AA3761" s="42"/>
      <c r="AB3761" s="42"/>
      <c r="AC3761" s="42"/>
      <c r="AD3761" s="42"/>
      <c r="AE3761" s="42"/>
      <c r="AF3761" s="9"/>
      <c r="AG3761" s="9"/>
      <c r="AH3761" s="42"/>
      <c r="AI3761" s="42"/>
      <c r="AJ3761" s="42"/>
      <c r="AK3761" s="42"/>
      <c r="AL3761" s="42"/>
      <c r="AM3761" s="42"/>
      <c r="AN3761" s="42"/>
      <c r="AO3761" s="63" t="str">
        <f>IFERROR(__xludf.DUMMYFUNCTION("IF(ISBLANK(A3761),,IF(ISBLANK(S3761), A3761&amp;"";"", TEXTJOIN(CHAR(10), TRUE, A3761&amp;"";"", ARRAYFORMULA(VLOOKUP(SPLIT(S3761, "";"" &amp; CHAR(10)), $A:$AO, 41, FALSE)))))"),"")</f>
        <v/>
      </c>
      <c r="AP3761" s="89"/>
    </row>
    <row r="3762">
      <c r="A3762" s="42"/>
      <c r="B3762" s="42"/>
      <c r="C3762" s="42"/>
      <c r="D3762" s="42"/>
      <c r="E3762" s="39"/>
      <c r="F3762" s="9"/>
      <c r="G3762" s="9"/>
      <c r="H3762" s="9"/>
      <c r="I3762" s="9"/>
      <c r="J3762" s="9"/>
      <c r="K3762" s="9"/>
      <c r="L3762" s="9"/>
      <c r="M3762" s="9"/>
      <c r="N3762" s="9"/>
      <c r="O3762" s="9"/>
      <c r="P3762" s="9"/>
      <c r="Q3762" s="9"/>
      <c r="R3762" s="9"/>
      <c r="S3762" s="42"/>
      <c r="T3762" s="42"/>
      <c r="U3762" s="42"/>
      <c r="V3762" s="42"/>
      <c r="W3762" s="42"/>
      <c r="X3762" s="42"/>
      <c r="Y3762" s="42"/>
      <c r="Z3762" s="42"/>
      <c r="AA3762" s="42"/>
      <c r="AB3762" s="42"/>
      <c r="AC3762" s="42"/>
      <c r="AD3762" s="42"/>
      <c r="AE3762" s="42"/>
      <c r="AF3762" s="9"/>
      <c r="AG3762" s="9"/>
      <c r="AH3762" s="42"/>
      <c r="AI3762" s="42"/>
      <c r="AJ3762" s="42"/>
      <c r="AK3762" s="42"/>
      <c r="AL3762" s="42"/>
      <c r="AM3762" s="42"/>
      <c r="AN3762" s="42"/>
      <c r="AO3762" s="63" t="str">
        <f>IFERROR(__xludf.DUMMYFUNCTION("IF(ISBLANK(A3762),,IF(ISBLANK(S3762), A3762&amp;"";"", TEXTJOIN(CHAR(10), TRUE, A3762&amp;"";"", ARRAYFORMULA(VLOOKUP(SPLIT(S3762, "";"" &amp; CHAR(10)), $A:$AO, 41, FALSE)))))"),"")</f>
        <v/>
      </c>
      <c r="AP3762" s="89"/>
    </row>
    <row r="3763">
      <c r="A3763" s="42"/>
      <c r="B3763" s="42"/>
      <c r="C3763" s="42"/>
      <c r="D3763" s="42"/>
      <c r="E3763" s="39"/>
      <c r="F3763" s="9"/>
      <c r="G3763" s="9"/>
      <c r="H3763" s="9"/>
      <c r="I3763" s="9"/>
      <c r="J3763" s="9"/>
      <c r="K3763" s="9"/>
      <c r="L3763" s="9"/>
      <c r="M3763" s="9"/>
      <c r="N3763" s="9"/>
      <c r="O3763" s="9"/>
      <c r="P3763" s="9"/>
      <c r="Q3763" s="9"/>
      <c r="R3763" s="9"/>
      <c r="S3763" s="42"/>
      <c r="T3763" s="42"/>
      <c r="U3763" s="42"/>
      <c r="V3763" s="42"/>
      <c r="W3763" s="42"/>
      <c r="X3763" s="42"/>
      <c r="Y3763" s="42"/>
      <c r="Z3763" s="42"/>
      <c r="AA3763" s="42"/>
      <c r="AB3763" s="42"/>
      <c r="AC3763" s="42"/>
      <c r="AD3763" s="42"/>
      <c r="AE3763" s="42"/>
      <c r="AF3763" s="9"/>
      <c r="AG3763" s="9"/>
      <c r="AH3763" s="42"/>
      <c r="AI3763" s="42"/>
      <c r="AJ3763" s="42"/>
      <c r="AK3763" s="42"/>
      <c r="AL3763" s="42"/>
      <c r="AM3763" s="42"/>
      <c r="AN3763" s="42"/>
      <c r="AO3763" s="63" t="str">
        <f>IFERROR(__xludf.DUMMYFUNCTION("IF(ISBLANK(A3763),,IF(ISBLANK(S3763), A3763&amp;"";"", TEXTJOIN(CHAR(10), TRUE, A3763&amp;"";"", ARRAYFORMULA(VLOOKUP(SPLIT(S3763, "";"" &amp; CHAR(10)), $A:$AO, 41, FALSE)))))"),"")</f>
        <v/>
      </c>
      <c r="AP3763" s="89"/>
    </row>
    <row r="3764">
      <c r="A3764" s="42"/>
      <c r="B3764" s="42"/>
      <c r="C3764" s="42"/>
      <c r="D3764" s="42"/>
      <c r="E3764" s="39"/>
      <c r="F3764" s="9"/>
      <c r="G3764" s="9"/>
      <c r="H3764" s="9"/>
      <c r="I3764" s="9"/>
      <c r="J3764" s="9"/>
      <c r="K3764" s="9"/>
      <c r="L3764" s="9"/>
      <c r="M3764" s="9"/>
      <c r="N3764" s="9"/>
      <c r="O3764" s="9"/>
      <c r="P3764" s="9"/>
      <c r="Q3764" s="9"/>
      <c r="R3764" s="9"/>
      <c r="S3764" s="42"/>
      <c r="T3764" s="42"/>
      <c r="U3764" s="42"/>
      <c r="V3764" s="42"/>
      <c r="W3764" s="42"/>
      <c r="X3764" s="42"/>
      <c r="Y3764" s="42"/>
      <c r="Z3764" s="42"/>
      <c r="AA3764" s="42"/>
      <c r="AB3764" s="42"/>
      <c r="AC3764" s="42"/>
      <c r="AD3764" s="42"/>
      <c r="AE3764" s="42"/>
      <c r="AF3764" s="9"/>
      <c r="AG3764" s="9"/>
      <c r="AH3764" s="42"/>
      <c r="AI3764" s="42"/>
      <c r="AJ3764" s="42"/>
      <c r="AK3764" s="42"/>
      <c r="AL3764" s="42"/>
      <c r="AM3764" s="42"/>
      <c r="AN3764" s="42"/>
      <c r="AO3764" s="63" t="str">
        <f>IFERROR(__xludf.DUMMYFUNCTION("IF(ISBLANK(A3764),,IF(ISBLANK(S3764), A3764&amp;"";"", TEXTJOIN(CHAR(10), TRUE, A3764&amp;"";"", ARRAYFORMULA(VLOOKUP(SPLIT(S3764, "";"" &amp; CHAR(10)), $A:$AO, 41, FALSE)))))"),"")</f>
        <v/>
      </c>
      <c r="AP3764" s="89"/>
    </row>
    <row r="3765">
      <c r="A3765" s="42"/>
      <c r="B3765" s="42"/>
      <c r="C3765" s="42"/>
      <c r="D3765" s="42"/>
      <c r="E3765" s="39"/>
      <c r="F3765" s="9"/>
      <c r="G3765" s="9"/>
      <c r="H3765" s="9"/>
      <c r="I3765" s="9"/>
      <c r="J3765" s="9"/>
      <c r="K3765" s="9"/>
      <c r="L3765" s="9"/>
      <c r="M3765" s="9"/>
      <c r="N3765" s="9"/>
      <c r="O3765" s="9"/>
      <c r="P3765" s="9"/>
      <c r="Q3765" s="9"/>
      <c r="R3765" s="9"/>
      <c r="S3765" s="42"/>
      <c r="T3765" s="42"/>
      <c r="U3765" s="42"/>
      <c r="V3765" s="42"/>
      <c r="W3765" s="42"/>
      <c r="X3765" s="42"/>
      <c r="Y3765" s="42"/>
      <c r="Z3765" s="42"/>
      <c r="AA3765" s="42"/>
      <c r="AB3765" s="42"/>
      <c r="AC3765" s="42"/>
      <c r="AD3765" s="42"/>
      <c r="AE3765" s="42"/>
      <c r="AF3765" s="9"/>
      <c r="AG3765" s="9"/>
      <c r="AH3765" s="42"/>
      <c r="AI3765" s="42"/>
      <c r="AJ3765" s="42"/>
      <c r="AK3765" s="42"/>
      <c r="AL3765" s="42"/>
      <c r="AM3765" s="42"/>
      <c r="AN3765" s="42"/>
      <c r="AO3765" s="63" t="str">
        <f>IFERROR(__xludf.DUMMYFUNCTION("IF(ISBLANK(A3765),,IF(ISBLANK(S3765), A3765&amp;"";"", TEXTJOIN(CHAR(10), TRUE, A3765&amp;"";"", ARRAYFORMULA(VLOOKUP(SPLIT(S3765, "";"" &amp; CHAR(10)), $A:$AO, 41, FALSE)))))"),"")</f>
        <v/>
      </c>
      <c r="AP3765" s="89"/>
    </row>
    <row r="3766">
      <c r="A3766" s="42"/>
      <c r="B3766" s="42"/>
      <c r="C3766" s="42"/>
      <c r="D3766" s="42"/>
      <c r="E3766" s="39"/>
      <c r="F3766" s="9"/>
      <c r="G3766" s="9"/>
      <c r="H3766" s="9"/>
      <c r="I3766" s="9"/>
      <c r="J3766" s="9"/>
      <c r="K3766" s="9"/>
      <c r="L3766" s="9"/>
      <c r="M3766" s="9"/>
      <c r="N3766" s="9"/>
      <c r="O3766" s="9"/>
      <c r="P3766" s="9"/>
      <c r="Q3766" s="9"/>
      <c r="R3766" s="9"/>
      <c r="S3766" s="42"/>
      <c r="T3766" s="42"/>
      <c r="U3766" s="42"/>
      <c r="V3766" s="42"/>
      <c r="W3766" s="42"/>
      <c r="X3766" s="42"/>
      <c r="Y3766" s="42"/>
      <c r="Z3766" s="42"/>
      <c r="AA3766" s="42"/>
      <c r="AB3766" s="42"/>
      <c r="AC3766" s="42"/>
      <c r="AD3766" s="42"/>
      <c r="AE3766" s="42"/>
      <c r="AF3766" s="9"/>
      <c r="AG3766" s="9"/>
      <c r="AH3766" s="42"/>
      <c r="AI3766" s="42"/>
      <c r="AJ3766" s="42"/>
      <c r="AK3766" s="42"/>
      <c r="AL3766" s="42"/>
      <c r="AM3766" s="42"/>
      <c r="AN3766" s="42"/>
      <c r="AO3766" s="63" t="str">
        <f>IFERROR(__xludf.DUMMYFUNCTION("IF(ISBLANK(A3766),,IF(ISBLANK(S3766), A3766&amp;"";"", TEXTJOIN(CHAR(10), TRUE, A3766&amp;"";"", ARRAYFORMULA(VLOOKUP(SPLIT(S3766, "";"" &amp; CHAR(10)), $A:$AO, 41, FALSE)))))"),"")</f>
        <v/>
      </c>
      <c r="AP3766" s="89"/>
    </row>
    <row r="3767">
      <c r="A3767" s="42"/>
      <c r="B3767" s="42"/>
      <c r="C3767" s="42"/>
      <c r="D3767" s="42"/>
      <c r="E3767" s="39"/>
      <c r="F3767" s="9"/>
      <c r="G3767" s="9"/>
      <c r="H3767" s="9"/>
      <c r="I3767" s="9"/>
      <c r="J3767" s="9"/>
      <c r="K3767" s="9"/>
      <c r="L3767" s="9"/>
      <c r="M3767" s="9"/>
      <c r="N3767" s="9"/>
      <c r="O3767" s="9"/>
      <c r="P3767" s="9"/>
      <c r="Q3767" s="9"/>
      <c r="R3767" s="9"/>
      <c r="S3767" s="42"/>
      <c r="T3767" s="42"/>
      <c r="U3767" s="42"/>
      <c r="V3767" s="42"/>
      <c r="W3767" s="42"/>
      <c r="X3767" s="42"/>
      <c r="Y3767" s="42"/>
      <c r="Z3767" s="42"/>
      <c r="AA3767" s="42"/>
      <c r="AB3767" s="42"/>
      <c r="AC3767" s="42"/>
      <c r="AD3767" s="42"/>
      <c r="AE3767" s="42"/>
      <c r="AF3767" s="9"/>
      <c r="AG3767" s="9"/>
      <c r="AH3767" s="42"/>
      <c r="AI3767" s="42"/>
      <c r="AJ3767" s="42"/>
      <c r="AK3767" s="42"/>
      <c r="AL3767" s="42"/>
      <c r="AM3767" s="42"/>
      <c r="AN3767" s="42"/>
      <c r="AO3767" s="63" t="str">
        <f>IFERROR(__xludf.DUMMYFUNCTION("IF(ISBLANK(A3767),,IF(ISBLANK(S3767), A3767&amp;"";"", TEXTJOIN(CHAR(10), TRUE, A3767&amp;"";"", ARRAYFORMULA(VLOOKUP(SPLIT(S3767, "";"" &amp; CHAR(10)), $A:$AO, 41, FALSE)))))"),"")</f>
        <v/>
      </c>
      <c r="AP3767" s="89"/>
    </row>
    <row r="3768">
      <c r="A3768" s="42"/>
      <c r="B3768" s="42"/>
      <c r="C3768" s="42"/>
      <c r="D3768" s="42"/>
      <c r="E3768" s="39"/>
      <c r="F3768" s="9"/>
      <c r="G3768" s="9"/>
      <c r="H3768" s="9"/>
      <c r="I3768" s="9"/>
      <c r="J3768" s="9"/>
      <c r="K3768" s="9"/>
      <c r="L3768" s="9"/>
      <c r="M3768" s="9"/>
      <c r="N3768" s="9"/>
      <c r="O3768" s="9"/>
      <c r="P3768" s="9"/>
      <c r="Q3768" s="9"/>
      <c r="R3768" s="9"/>
      <c r="S3768" s="42"/>
      <c r="T3768" s="42"/>
      <c r="U3768" s="42"/>
      <c r="V3768" s="42"/>
      <c r="W3768" s="42"/>
      <c r="X3768" s="42"/>
      <c r="Y3768" s="42"/>
      <c r="Z3768" s="42"/>
      <c r="AA3768" s="42"/>
      <c r="AB3768" s="42"/>
      <c r="AC3768" s="42"/>
      <c r="AD3768" s="42"/>
      <c r="AE3768" s="42"/>
      <c r="AF3768" s="9"/>
      <c r="AG3768" s="9"/>
      <c r="AH3768" s="42"/>
      <c r="AI3768" s="42"/>
      <c r="AJ3768" s="42"/>
      <c r="AK3768" s="42"/>
      <c r="AL3768" s="42"/>
      <c r="AM3768" s="42"/>
      <c r="AN3768" s="42"/>
      <c r="AO3768" s="63" t="str">
        <f>IFERROR(__xludf.DUMMYFUNCTION("IF(ISBLANK(A3768),,IF(ISBLANK(S3768), A3768&amp;"";"", TEXTJOIN(CHAR(10), TRUE, A3768&amp;"";"", ARRAYFORMULA(VLOOKUP(SPLIT(S3768, "";"" &amp; CHAR(10)), $A:$AO, 41, FALSE)))))"),"")</f>
        <v/>
      </c>
      <c r="AP3768" s="89"/>
    </row>
    <row r="3769">
      <c r="A3769" s="42"/>
      <c r="B3769" s="42"/>
      <c r="C3769" s="42"/>
      <c r="D3769" s="42"/>
      <c r="E3769" s="39"/>
      <c r="F3769" s="9"/>
      <c r="G3769" s="9"/>
      <c r="H3769" s="9"/>
      <c r="I3769" s="9"/>
      <c r="J3769" s="9"/>
      <c r="K3769" s="9"/>
      <c r="L3769" s="9"/>
      <c r="M3769" s="9"/>
      <c r="N3769" s="9"/>
      <c r="O3769" s="9"/>
      <c r="P3769" s="9"/>
      <c r="Q3769" s="9"/>
      <c r="R3769" s="9"/>
      <c r="S3769" s="42"/>
      <c r="T3769" s="42"/>
      <c r="U3769" s="42"/>
      <c r="V3769" s="42"/>
      <c r="W3769" s="42"/>
      <c r="X3769" s="42"/>
      <c r="Y3769" s="42"/>
      <c r="Z3769" s="42"/>
      <c r="AA3769" s="42"/>
      <c r="AB3769" s="42"/>
      <c r="AC3769" s="42"/>
      <c r="AD3769" s="42"/>
      <c r="AE3769" s="42"/>
      <c r="AF3769" s="9"/>
      <c r="AG3769" s="9"/>
      <c r="AH3769" s="42"/>
      <c r="AI3769" s="42"/>
      <c r="AJ3769" s="42"/>
      <c r="AK3769" s="42"/>
      <c r="AL3769" s="42"/>
      <c r="AM3769" s="42"/>
      <c r="AN3769" s="42"/>
      <c r="AO3769" s="63" t="str">
        <f>IFERROR(__xludf.DUMMYFUNCTION("IF(ISBLANK(A3769),,IF(ISBLANK(S3769), A3769&amp;"";"", TEXTJOIN(CHAR(10), TRUE, A3769&amp;"";"", ARRAYFORMULA(VLOOKUP(SPLIT(S3769, "";"" &amp; CHAR(10)), $A:$AO, 41, FALSE)))))"),"")</f>
        <v/>
      </c>
      <c r="AP3769" s="89"/>
    </row>
    <row r="3770">
      <c r="A3770" s="42"/>
      <c r="B3770" s="42"/>
      <c r="C3770" s="42"/>
      <c r="D3770" s="42"/>
      <c r="E3770" s="39"/>
      <c r="F3770" s="9"/>
      <c r="G3770" s="9"/>
      <c r="H3770" s="9"/>
      <c r="I3770" s="9"/>
      <c r="J3770" s="9"/>
      <c r="K3770" s="9"/>
      <c r="L3770" s="9"/>
      <c r="M3770" s="9"/>
      <c r="N3770" s="9"/>
      <c r="O3770" s="9"/>
      <c r="P3770" s="9"/>
      <c r="Q3770" s="9"/>
      <c r="R3770" s="9"/>
      <c r="S3770" s="42"/>
      <c r="T3770" s="42"/>
      <c r="U3770" s="42"/>
      <c r="V3770" s="42"/>
      <c r="W3770" s="42"/>
      <c r="X3770" s="42"/>
      <c r="Y3770" s="42"/>
      <c r="Z3770" s="42"/>
      <c r="AA3770" s="42"/>
      <c r="AB3770" s="42"/>
      <c r="AC3770" s="42"/>
      <c r="AD3770" s="42"/>
      <c r="AE3770" s="42"/>
      <c r="AF3770" s="9"/>
      <c r="AG3770" s="9"/>
      <c r="AH3770" s="42"/>
      <c r="AI3770" s="42"/>
      <c r="AJ3770" s="42"/>
      <c r="AK3770" s="42"/>
      <c r="AL3770" s="42"/>
      <c r="AM3770" s="42"/>
      <c r="AN3770" s="42"/>
      <c r="AO3770" s="63" t="str">
        <f>IFERROR(__xludf.DUMMYFUNCTION("IF(ISBLANK(A3770),,IF(ISBLANK(S3770), A3770&amp;"";"", TEXTJOIN(CHAR(10), TRUE, A3770&amp;"";"", ARRAYFORMULA(VLOOKUP(SPLIT(S3770, "";"" &amp; CHAR(10)), $A:$AO, 41, FALSE)))))"),"")</f>
        <v/>
      </c>
      <c r="AP3770" s="89"/>
    </row>
    <row r="3771">
      <c r="A3771" s="42"/>
      <c r="B3771" s="42"/>
      <c r="C3771" s="42"/>
      <c r="D3771" s="42"/>
      <c r="E3771" s="39"/>
      <c r="F3771" s="9"/>
      <c r="G3771" s="9"/>
      <c r="H3771" s="9"/>
      <c r="I3771" s="9"/>
      <c r="J3771" s="9"/>
      <c r="K3771" s="9"/>
      <c r="L3771" s="9"/>
      <c r="M3771" s="9"/>
      <c r="N3771" s="9"/>
      <c r="O3771" s="9"/>
      <c r="P3771" s="9"/>
      <c r="Q3771" s="9"/>
      <c r="R3771" s="9"/>
      <c r="S3771" s="42"/>
      <c r="T3771" s="42"/>
      <c r="U3771" s="42"/>
      <c r="V3771" s="42"/>
      <c r="W3771" s="42"/>
      <c r="X3771" s="42"/>
      <c r="Y3771" s="42"/>
      <c r="Z3771" s="42"/>
      <c r="AA3771" s="42"/>
      <c r="AB3771" s="42"/>
      <c r="AC3771" s="42"/>
      <c r="AD3771" s="42"/>
      <c r="AE3771" s="42"/>
      <c r="AF3771" s="9"/>
      <c r="AG3771" s="9"/>
      <c r="AH3771" s="42"/>
      <c r="AI3771" s="42"/>
      <c r="AJ3771" s="42"/>
      <c r="AK3771" s="42"/>
      <c r="AL3771" s="42"/>
      <c r="AM3771" s="42"/>
      <c r="AN3771" s="42"/>
      <c r="AO3771" s="63" t="str">
        <f>IFERROR(__xludf.DUMMYFUNCTION("IF(ISBLANK(A3771),,IF(ISBLANK(S3771), A3771&amp;"";"", TEXTJOIN(CHAR(10), TRUE, A3771&amp;"";"", ARRAYFORMULA(VLOOKUP(SPLIT(S3771, "";"" &amp; CHAR(10)), $A:$AO, 41, FALSE)))))"),"")</f>
        <v/>
      </c>
      <c r="AP3771" s="89"/>
    </row>
    <row r="3772">
      <c r="A3772" s="42"/>
      <c r="B3772" s="42"/>
      <c r="C3772" s="42"/>
      <c r="D3772" s="42"/>
      <c r="E3772" s="39"/>
      <c r="F3772" s="9"/>
      <c r="G3772" s="9"/>
      <c r="H3772" s="9"/>
      <c r="I3772" s="9"/>
      <c r="J3772" s="9"/>
      <c r="K3772" s="9"/>
      <c r="L3772" s="9"/>
      <c r="M3772" s="9"/>
      <c r="N3772" s="9"/>
      <c r="O3772" s="9"/>
      <c r="P3772" s="9"/>
      <c r="Q3772" s="9"/>
      <c r="R3772" s="9"/>
      <c r="S3772" s="42"/>
      <c r="T3772" s="42"/>
      <c r="U3772" s="42"/>
      <c r="V3772" s="42"/>
      <c r="W3772" s="42"/>
      <c r="X3772" s="42"/>
      <c r="Y3772" s="42"/>
      <c r="Z3772" s="42"/>
      <c r="AA3772" s="42"/>
      <c r="AB3772" s="42"/>
      <c r="AC3772" s="42"/>
      <c r="AD3772" s="42"/>
      <c r="AE3772" s="42"/>
      <c r="AF3772" s="9"/>
      <c r="AG3772" s="9"/>
      <c r="AH3772" s="42"/>
      <c r="AI3772" s="42"/>
      <c r="AJ3772" s="42"/>
      <c r="AK3772" s="42"/>
      <c r="AL3772" s="42"/>
      <c r="AM3772" s="42"/>
      <c r="AN3772" s="42"/>
      <c r="AO3772" s="63" t="str">
        <f>IFERROR(__xludf.DUMMYFUNCTION("IF(ISBLANK(A3772),,IF(ISBLANK(S3772), A3772&amp;"";"", TEXTJOIN(CHAR(10), TRUE, A3772&amp;"";"", ARRAYFORMULA(VLOOKUP(SPLIT(S3772, "";"" &amp; CHAR(10)), $A:$AO, 41, FALSE)))))"),"")</f>
        <v/>
      </c>
      <c r="AP3772" s="89"/>
    </row>
    <row r="3773">
      <c r="A3773" s="42"/>
      <c r="B3773" s="42"/>
      <c r="C3773" s="42"/>
      <c r="D3773" s="42"/>
      <c r="E3773" s="39"/>
      <c r="F3773" s="9"/>
      <c r="G3773" s="9"/>
      <c r="H3773" s="9"/>
      <c r="I3773" s="9"/>
      <c r="J3773" s="9"/>
      <c r="K3773" s="9"/>
      <c r="L3773" s="9"/>
      <c r="M3773" s="9"/>
      <c r="N3773" s="9"/>
      <c r="O3773" s="9"/>
      <c r="P3773" s="9"/>
      <c r="Q3773" s="9"/>
      <c r="R3773" s="9"/>
      <c r="S3773" s="42"/>
      <c r="T3773" s="42"/>
      <c r="U3773" s="42"/>
      <c r="V3773" s="42"/>
      <c r="W3773" s="42"/>
      <c r="X3773" s="42"/>
      <c r="Y3773" s="42"/>
      <c r="Z3773" s="42"/>
      <c r="AA3773" s="42"/>
      <c r="AB3773" s="42"/>
      <c r="AC3773" s="42"/>
      <c r="AD3773" s="42"/>
      <c r="AE3773" s="42"/>
      <c r="AF3773" s="9"/>
      <c r="AG3773" s="9"/>
      <c r="AH3773" s="42"/>
      <c r="AI3773" s="42"/>
      <c r="AJ3773" s="42"/>
      <c r="AK3773" s="42"/>
      <c r="AL3773" s="42"/>
      <c r="AM3773" s="42"/>
      <c r="AN3773" s="42"/>
      <c r="AO3773" s="63" t="str">
        <f>IFERROR(__xludf.DUMMYFUNCTION("IF(ISBLANK(A3773),,IF(ISBLANK(S3773), A3773&amp;"";"", TEXTJOIN(CHAR(10), TRUE, A3773&amp;"";"", ARRAYFORMULA(VLOOKUP(SPLIT(S3773, "";"" &amp; CHAR(10)), $A:$AO, 41, FALSE)))))"),"")</f>
        <v/>
      </c>
      <c r="AP3773" s="89"/>
    </row>
    <row r="3774">
      <c r="A3774" s="42"/>
      <c r="B3774" s="42"/>
      <c r="C3774" s="42"/>
      <c r="D3774" s="42"/>
      <c r="E3774" s="39"/>
      <c r="F3774" s="9"/>
      <c r="G3774" s="9"/>
      <c r="H3774" s="9"/>
      <c r="I3774" s="9"/>
      <c r="J3774" s="9"/>
      <c r="K3774" s="9"/>
      <c r="L3774" s="9"/>
      <c r="M3774" s="9"/>
      <c r="N3774" s="9"/>
      <c r="O3774" s="9"/>
      <c r="P3774" s="9"/>
      <c r="Q3774" s="9"/>
      <c r="R3774" s="9"/>
      <c r="S3774" s="42"/>
      <c r="T3774" s="42"/>
      <c r="U3774" s="42"/>
      <c r="V3774" s="42"/>
      <c r="W3774" s="42"/>
      <c r="X3774" s="42"/>
      <c r="Y3774" s="42"/>
      <c r="Z3774" s="42"/>
      <c r="AA3774" s="42"/>
      <c r="AB3774" s="42"/>
      <c r="AC3774" s="42"/>
      <c r="AD3774" s="42"/>
      <c r="AE3774" s="42"/>
      <c r="AF3774" s="9"/>
      <c r="AG3774" s="9"/>
      <c r="AH3774" s="42"/>
      <c r="AI3774" s="42"/>
      <c r="AJ3774" s="42"/>
      <c r="AK3774" s="42"/>
      <c r="AL3774" s="42"/>
      <c r="AM3774" s="42"/>
      <c r="AN3774" s="42"/>
      <c r="AO3774" s="63" t="str">
        <f>IFERROR(__xludf.DUMMYFUNCTION("IF(ISBLANK(A3774),,IF(ISBLANK(S3774), A3774&amp;"";"", TEXTJOIN(CHAR(10), TRUE, A3774&amp;"";"", ARRAYFORMULA(VLOOKUP(SPLIT(S3774, "";"" &amp; CHAR(10)), $A:$AO, 41, FALSE)))))"),"")</f>
        <v/>
      </c>
      <c r="AP3774" s="89"/>
    </row>
    <row r="3775">
      <c r="A3775" s="42"/>
      <c r="B3775" s="42"/>
      <c r="C3775" s="42"/>
      <c r="D3775" s="42"/>
      <c r="E3775" s="39"/>
      <c r="F3775" s="9"/>
      <c r="G3775" s="9"/>
      <c r="H3775" s="9"/>
      <c r="I3775" s="9"/>
      <c r="J3775" s="9"/>
      <c r="K3775" s="9"/>
      <c r="L3775" s="9"/>
      <c r="M3775" s="9"/>
      <c r="N3775" s="9"/>
      <c r="O3775" s="9"/>
      <c r="P3775" s="9"/>
      <c r="Q3775" s="9"/>
      <c r="R3775" s="9"/>
      <c r="S3775" s="42"/>
      <c r="T3775" s="42"/>
      <c r="U3775" s="42"/>
      <c r="V3775" s="42"/>
      <c r="W3775" s="42"/>
      <c r="X3775" s="42"/>
      <c r="Y3775" s="42"/>
      <c r="Z3775" s="42"/>
      <c r="AA3775" s="42"/>
      <c r="AB3775" s="42"/>
      <c r="AC3775" s="42"/>
      <c r="AD3775" s="42"/>
      <c r="AE3775" s="42"/>
      <c r="AF3775" s="9"/>
      <c r="AG3775" s="9"/>
      <c r="AH3775" s="42"/>
      <c r="AI3775" s="42"/>
      <c r="AJ3775" s="42"/>
      <c r="AK3775" s="42"/>
      <c r="AL3775" s="42"/>
      <c r="AM3775" s="42"/>
      <c r="AN3775" s="42"/>
      <c r="AO3775" s="63" t="str">
        <f>IFERROR(__xludf.DUMMYFUNCTION("IF(ISBLANK(A3775),,IF(ISBLANK(S3775), A3775&amp;"";"", TEXTJOIN(CHAR(10), TRUE, A3775&amp;"";"", ARRAYFORMULA(VLOOKUP(SPLIT(S3775, "";"" &amp; CHAR(10)), $A:$AO, 41, FALSE)))))"),"")</f>
        <v/>
      </c>
      <c r="AP3775" s="89"/>
    </row>
    <row r="3776">
      <c r="A3776" s="42"/>
      <c r="B3776" s="42"/>
      <c r="C3776" s="42"/>
      <c r="D3776" s="42"/>
      <c r="E3776" s="39"/>
      <c r="F3776" s="9"/>
      <c r="G3776" s="9"/>
      <c r="H3776" s="9"/>
      <c r="I3776" s="9"/>
      <c r="J3776" s="9"/>
      <c r="K3776" s="9"/>
      <c r="L3776" s="9"/>
      <c r="M3776" s="9"/>
      <c r="N3776" s="9"/>
      <c r="O3776" s="9"/>
      <c r="P3776" s="9"/>
      <c r="Q3776" s="9"/>
      <c r="R3776" s="9"/>
      <c r="S3776" s="42"/>
      <c r="T3776" s="42"/>
      <c r="U3776" s="42"/>
      <c r="V3776" s="42"/>
      <c r="W3776" s="42"/>
      <c r="X3776" s="42"/>
      <c r="Y3776" s="42"/>
      <c r="Z3776" s="42"/>
      <c r="AA3776" s="42"/>
      <c r="AB3776" s="42"/>
      <c r="AC3776" s="42"/>
      <c r="AD3776" s="42"/>
      <c r="AE3776" s="42"/>
      <c r="AF3776" s="9"/>
      <c r="AG3776" s="9"/>
      <c r="AH3776" s="42"/>
      <c r="AI3776" s="42"/>
      <c r="AJ3776" s="42"/>
      <c r="AK3776" s="42"/>
      <c r="AL3776" s="42"/>
      <c r="AM3776" s="42"/>
      <c r="AN3776" s="42"/>
      <c r="AO3776" s="63" t="str">
        <f>IFERROR(__xludf.DUMMYFUNCTION("IF(ISBLANK(A3776),,IF(ISBLANK(S3776), A3776&amp;"";"", TEXTJOIN(CHAR(10), TRUE, A3776&amp;"";"", ARRAYFORMULA(VLOOKUP(SPLIT(S3776, "";"" &amp; CHAR(10)), $A:$AO, 41, FALSE)))))"),"")</f>
        <v/>
      </c>
      <c r="AP3776" s="89"/>
    </row>
    <row r="3777">
      <c r="A3777" s="42"/>
      <c r="B3777" s="42"/>
      <c r="C3777" s="42"/>
      <c r="D3777" s="42"/>
      <c r="E3777" s="39"/>
      <c r="F3777" s="9"/>
      <c r="G3777" s="9"/>
      <c r="H3777" s="9"/>
      <c r="I3777" s="9"/>
      <c r="J3777" s="9"/>
      <c r="K3777" s="9"/>
      <c r="L3777" s="9"/>
      <c r="M3777" s="9"/>
      <c r="N3777" s="9"/>
      <c r="O3777" s="9"/>
      <c r="P3777" s="9"/>
      <c r="Q3777" s="9"/>
      <c r="R3777" s="9"/>
      <c r="S3777" s="42"/>
      <c r="T3777" s="42"/>
      <c r="U3777" s="42"/>
      <c r="V3777" s="42"/>
      <c r="W3777" s="42"/>
      <c r="X3777" s="42"/>
      <c r="Y3777" s="42"/>
      <c r="Z3777" s="42"/>
      <c r="AA3777" s="42"/>
      <c r="AB3777" s="42"/>
      <c r="AC3777" s="42"/>
      <c r="AD3777" s="42"/>
      <c r="AE3777" s="42"/>
      <c r="AF3777" s="9"/>
      <c r="AG3777" s="9"/>
      <c r="AH3777" s="42"/>
      <c r="AI3777" s="42"/>
      <c r="AJ3777" s="42"/>
      <c r="AK3777" s="42"/>
      <c r="AL3777" s="42"/>
      <c r="AM3777" s="42"/>
      <c r="AN3777" s="42"/>
      <c r="AO3777" s="63" t="str">
        <f>IFERROR(__xludf.DUMMYFUNCTION("IF(ISBLANK(A3777),,IF(ISBLANK(S3777), A3777&amp;"";"", TEXTJOIN(CHAR(10), TRUE, A3777&amp;"";"", ARRAYFORMULA(VLOOKUP(SPLIT(S3777, "";"" &amp; CHAR(10)), $A:$AO, 41, FALSE)))))"),"")</f>
        <v/>
      </c>
      <c r="AP3777" s="89"/>
    </row>
    <row r="3778">
      <c r="A3778" s="42"/>
      <c r="B3778" s="42"/>
      <c r="C3778" s="42"/>
      <c r="D3778" s="42"/>
      <c r="E3778" s="39"/>
      <c r="F3778" s="9"/>
      <c r="G3778" s="9"/>
      <c r="H3778" s="9"/>
      <c r="I3778" s="9"/>
      <c r="J3778" s="9"/>
      <c r="K3778" s="9"/>
      <c r="L3778" s="9"/>
      <c r="M3778" s="9"/>
      <c r="N3778" s="9"/>
      <c r="O3778" s="9"/>
      <c r="P3778" s="9"/>
      <c r="Q3778" s="9"/>
      <c r="R3778" s="9"/>
      <c r="S3778" s="42"/>
      <c r="T3778" s="42"/>
      <c r="U3778" s="42"/>
      <c r="V3778" s="42"/>
      <c r="W3778" s="42"/>
      <c r="X3778" s="42"/>
      <c r="Y3778" s="42"/>
      <c r="Z3778" s="42"/>
      <c r="AA3778" s="42"/>
      <c r="AB3778" s="42"/>
      <c r="AC3778" s="42"/>
      <c r="AD3778" s="42"/>
      <c r="AE3778" s="42"/>
      <c r="AF3778" s="9"/>
      <c r="AG3778" s="9"/>
      <c r="AH3778" s="42"/>
      <c r="AI3778" s="42"/>
      <c r="AJ3778" s="42"/>
      <c r="AK3778" s="42"/>
      <c r="AL3778" s="42"/>
      <c r="AM3778" s="42"/>
      <c r="AN3778" s="42"/>
      <c r="AO3778" s="63" t="str">
        <f>IFERROR(__xludf.DUMMYFUNCTION("IF(ISBLANK(A3778),,IF(ISBLANK(S3778), A3778&amp;"";"", TEXTJOIN(CHAR(10), TRUE, A3778&amp;"";"", ARRAYFORMULA(VLOOKUP(SPLIT(S3778, "";"" &amp; CHAR(10)), $A:$AO, 41, FALSE)))))"),"")</f>
        <v/>
      </c>
      <c r="AP3778" s="89"/>
    </row>
    <row r="3779">
      <c r="A3779" s="42"/>
      <c r="B3779" s="42"/>
      <c r="C3779" s="42"/>
      <c r="D3779" s="42"/>
      <c r="E3779" s="39"/>
      <c r="F3779" s="9"/>
      <c r="G3779" s="9"/>
      <c r="H3779" s="9"/>
      <c r="I3779" s="9"/>
      <c r="J3779" s="9"/>
      <c r="K3779" s="9"/>
      <c r="L3779" s="9"/>
      <c r="M3779" s="9"/>
      <c r="N3779" s="9"/>
      <c r="O3779" s="9"/>
      <c r="P3779" s="9"/>
      <c r="Q3779" s="9"/>
      <c r="R3779" s="9"/>
      <c r="S3779" s="42"/>
      <c r="T3779" s="42"/>
      <c r="U3779" s="42"/>
      <c r="V3779" s="42"/>
      <c r="W3779" s="42"/>
      <c r="X3779" s="42"/>
      <c r="Y3779" s="42"/>
      <c r="Z3779" s="42"/>
      <c r="AA3779" s="42"/>
      <c r="AB3779" s="42"/>
      <c r="AC3779" s="42"/>
      <c r="AD3779" s="42"/>
      <c r="AE3779" s="42"/>
      <c r="AF3779" s="9"/>
      <c r="AG3779" s="9"/>
      <c r="AH3779" s="42"/>
      <c r="AI3779" s="42"/>
      <c r="AJ3779" s="42"/>
      <c r="AK3779" s="42"/>
      <c r="AL3779" s="42"/>
      <c r="AM3779" s="42"/>
      <c r="AN3779" s="42"/>
      <c r="AO3779" s="63" t="str">
        <f>IFERROR(__xludf.DUMMYFUNCTION("IF(ISBLANK(A3779),,IF(ISBLANK(S3779), A3779&amp;"";"", TEXTJOIN(CHAR(10), TRUE, A3779&amp;"";"", ARRAYFORMULA(VLOOKUP(SPLIT(S3779, "";"" &amp; CHAR(10)), $A:$AO, 41, FALSE)))))"),"")</f>
        <v/>
      </c>
      <c r="AP3779" s="89"/>
    </row>
    <row r="3780">
      <c r="A3780" s="42"/>
      <c r="B3780" s="42"/>
      <c r="C3780" s="42"/>
      <c r="D3780" s="42"/>
      <c r="E3780" s="39"/>
      <c r="F3780" s="9"/>
      <c r="G3780" s="9"/>
      <c r="H3780" s="9"/>
      <c r="I3780" s="9"/>
      <c r="J3780" s="9"/>
      <c r="K3780" s="9"/>
      <c r="L3780" s="9"/>
      <c r="M3780" s="9"/>
      <c r="N3780" s="9"/>
      <c r="O3780" s="9"/>
      <c r="P3780" s="9"/>
      <c r="Q3780" s="9"/>
      <c r="R3780" s="9"/>
      <c r="S3780" s="42"/>
      <c r="T3780" s="42"/>
      <c r="U3780" s="42"/>
      <c r="V3780" s="42"/>
      <c r="W3780" s="42"/>
      <c r="X3780" s="42"/>
      <c r="Y3780" s="42"/>
      <c r="Z3780" s="42"/>
      <c r="AA3780" s="42"/>
      <c r="AB3780" s="42"/>
      <c r="AC3780" s="42"/>
      <c r="AD3780" s="42"/>
      <c r="AE3780" s="42"/>
      <c r="AF3780" s="9"/>
      <c r="AG3780" s="9"/>
      <c r="AH3780" s="42"/>
      <c r="AI3780" s="42"/>
      <c r="AJ3780" s="42"/>
      <c r="AK3780" s="42"/>
      <c r="AL3780" s="42"/>
      <c r="AM3780" s="42"/>
      <c r="AN3780" s="42"/>
      <c r="AO3780" s="63" t="str">
        <f>IFERROR(__xludf.DUMMYFUNCTION("IF(ISBLANK(A3780),,IF(ISBLANK(S3780), A3780&amp;"";"", TEXTJOIN(CHAR(10), TRUE, A3780&amp;"";"", ARRAYFORMULA(VLOOKUP(SPLIT(S3780, "";"" &amp; CHAR(10)), $A:$AO, 41, FALSE)))))"),"")</f>
        <v/>
      </c>
      <c r="AP3780" s="89"/>
    </row>
    <row r="3781">
      <c r="A3781" s="42"/>
      <c r="B3781" s="42"/>
      <c r="C3781" s="42"/>
      <c r="D3781" s="42"/>
      <c r="E3781" s="39"/>
      <c r="F3781" s="9"/>
      <c r="G3781" s="9"/>
      <c r="H3781" s="9"/>
      <c r="I3781" s="9"/>
      <c r="J3781" s="9"/>
      <c r="K3781" s="9"/>
      <c r="L3781" s="9"/>
      <c r="M3781" s="9"/>
      <c r="N3781" s="9"/>
      <c r="O3781" s="9"/>
      <c r="P3781" s="9"/>
      <c r="Q3781" s="9"/>
      <c r="R3781" s="9"/>
      <c r="S3781" s="42"/>
      <c r="T3781" s="42"/>
      <c r="U3781" s="42"/>
      <c r="V3781" s="42"/>
      <c r="W3781" s="42"/>
      <c r="X3781" s="42"/>
      <c r="Y3781" s="42"/>
      <c r="Z3781" s="42"/>
      <c r="AA3781" s="42"/>
      <c r="AB3781" s="42"/>
      <c r="AC3781" s="42"/>
      <c r="AD3781" s="42"/>
      <c r="AE3781" s="42"/>
      <c r="AF3781" s="9"/>
      <c r="AG3781" s="9"/>
      <c r="AH3781" s="42"/>
      <c r="AI3781" s="42"/>
      <c r="AJ3781" s="42"/>
      <c r="AK3781" s="42"/>
      <c r="AL3781" s="42"/>
      <c r="AM3781" s="42"/>
      <c r="AN3781" s="42"/>
      <c r="AO3781" s="63" t="str">
        <f>IFERROR(__xludf.DUMMYFUNCTION("IF(ISBLANK(A3781),,IF(ISBLANK(S3781), A3781&amp;"";"", TEXTJOIN(CHAR(10), TRUE, A3781&amp;"";"", ARRAYFORMULA(VLOOKUP(SPLIT(S3781, "";"" &amp; CHAR(10)), $A:$AO, 41, FALSE)))))"),"")</f>
        <v/>
      </c>
      <c r="AP3781" s="89"/>
    </row>
    <row r="3782">
      <c r="A3782" s="42"/>
      <c r="B3782" s="42"/>
      <c r="C3782" s="42"/>
      <c r="D3782" s="42"/>
      <c r="E3782" s="39"/>
      <c r="F3782" s="9"/>
      <c r="G3782" s="9"/>
      <c r="H3782" s="9"/>
      <c r="I3782" s="9"/>
      <c r="J3782" s="9"/>
      <c r="K3782" s="9"/>
      <c r="L3782" s="9"/>
      <c r="M3782" s="9"/>
      <c r="N3782" s="9"/>
      <c r="O3782" s="9"/>
      <c r="P3782" s="9"/>
      <c r="Q3782" s="9"/>
      <c r="R3782" s="9"/>
      <c r="S3782" s="42"/>
      <c r="T3782" s="42"/>
      <c r="U3782" s="42"/>
      <c r="V3782" s="42"/>
      <c r="W3782" s="42"/>
      <c r="X3782" s="42"/>
      <c r="Y3782" s="42"/>
      <c r="Z3782" s="42"/>
      <c r="AA3782" s="42"/>
      <c r="AB3782" s="42"/>
      <c r="AC3782" s="42"/>
      <c r="AD3782" s="42"/>
      <c r="AE3782" s="42"/>
      <c r="AF3782" s="9"/>
      <c r="AG3782" s="9"/>
      <c r="AH3782" s="42"/>
      <c r="AI3782" s="42"/>
      <c r="AJ3782" s="42"/>
      <c r="AK3782" s="42"/>
      <c r="AL3782" s="42"/>
      <c r="AM3782" s="42"/>
      <c r="AN3782" s="42"/>
      <c r="AO3782" s="63" t="str">
        <f>IFERROR(__xludf.DUMMYFUNCTION("IF(ISBLANK(A3782),,IF(ISBLANK(S3782), A3782&amp;"";"", TEXTJOIN(CHAR(10), TRUE, A3782&amp;"";"", ARRAYFORMULA(VLOOKUP(SPLIT(S3782, "";"" &amp; CHAR(10)), $A:$AO, 41, FALSE)))))"),"")</f>
        <v/>
      </c>
      <c r="AP3782" s="89"/>
    </row>
    <row r="3783">
      <c r="A3783" s="42"/>
      <c r="B3783" s="42"/>
      <c r="C3783" s="42"/>
      <c r="D3783" s="42"/>
      <c r="E3783" s="39"/>
      <c r="F3783" s="9"/>
      <c r="G3783" s="9"/>
      <c r="H3783" s="9"/>
      <c r="I3783" s="9"/>
      <c r="J3783" s="9"/>
      <c r="K3783" s="9"/>
      <c r="L3783" s="9"/>
      <c r="M3783" s="9"/>
      <c r="N3783" s="9"/>
      <c r="O3783" s="9"/>
      <c r="P3783" s="9"/>
      <c r="Q3783" s="9"/>
      <c r="R3783" s="9"/>
      <c r="S3783" s="42"/>
      <c r="T3783" s="42"/>
      <c r="U3783" s="42"/>
      <c r="V3783" s="42"/>
      <c r="W3783" s="42"/>
      <c r="X3783" s="42"/>
      <c r="Y3783" s="42"/>
      <c r="Z3783" s="42"/>
      <c r="AA3783" s="42"/>
      <c r="AB3783" s="42"/>
      <c r="AC3783" s="42"/>
      <c r="AD3783" s="42"/>
      <c r="AE3783" s="42"/>
      <c r="AF3783" s="9"/>
      <c r="AG3783" s="9"/>
      <c r="AH3783" s="42"/>
      <c r="AI3783" s="42"/>
      <c r="AJ3783" s="42"/>
      <c r="AK3783" s="42"/>
      <c r="AL3783" s="42"/>
      <c r="AM3783" s="42"/>
      <c r="AN3783" s="42"/>
      <c r="AO3783" s="63" t="str">
        <f>IFERROR(__xludf.DUMMYFUNCTION("IF(ISBLANK(A3783),,IF(ISBLANK(S3783), A3783&amp;"";"", TEXTJOIN(CHAR(10), TRUE, A3783&amp;"";"", ARRAYFORMULA(VLOOKUP(SPLIT(S3783, "";"" &amp; CHAR(10)), $A:$AO, 41, FALSE)))))"),"")</f>
        <v/>
      </c>
      <c r="AP3783" s="89"/>
    </row>
    <row r="3784">
      <c r="A3784" s="42"/>
      <c r="B3784" s="42"/>
      <c r="C3784" s="42"/>
      <c r="D3784" s="42"/>
      <c r="E3784" s="39"/>
      <c r="F3784" s="9"/>
      <c r="G3784" s="9"/>
      <c r="H3784" s="9"/>
      <c r="I3784" s="9"/>
      <c r="J3784" s="9"/>
      <c r="K3784" s="9"/>
      <c r="L3784" s="9"/>
      <c r="M3784" s="9"/>
      <c r="N3784" s="9"/>
      <c r="O3784" s="9"/>
      <c r="P3784" s="9"/>
      <c r="Q3784" s="9"/>
      <c r="R3784" s="9"/>
      <c r="S3784" s="42"/>
      <c r="T3784" s="42"/>
      <c r="U3784" s="42"/>
      <c r="V3784" s="42"/>
      <c r="W3784" s="42"/>
      <c r="X3784" s="42"/>
      <c r="Y3784" s="42"/>
      <c r="Z3784" s="42"/>
      <c r="AA3784" s="42"/>
      <c r="AB3784" s="42"/>
      <c r="AC3784" s="42"/>
      <c r="AD3784" s="42"/>
      <c r="AE3784" s="42"/>
      <c r="AF3784" s="9"/>
      <c r="AG3784" s="9"/>
      <c r="AH3784" s="42"/>
      <c r="AI3784" s="42"/>
      <c r="AJ3784" s="42"/>
      <c r="AK3784" s="42"/>
      <c r="AL3784" s="42"/>
      <c r="AM3784" s="42"/>
      <c r="AN3784" s="42"/>
      <c r="AO3784" s="63" t="str">
        <f>IFERROR(__xludf.DUMMYFUNCTION("IF(ISBLANK(A3784),,IF(ISBLANK(S3784), A3784&amp;"";"", TEXTJOIN(CHAR(10), TRUE, A3784&amp;"";"", ARRAYFORMULA(VLOOKUP(SPLIT(S3784, "";"" &amp; CHAR(10)), $A:$AO, 41, FALSE)))))"),"")</f>
        <v/>
      </c>
      <c r="AP3784" s="89"/>
    </row>
    <row r="3785">
      <c r="A3785" s="42"/>
      <c r="B3785" s="42"/>
      <c r="C3785" s="42"/>
      <c r="D3785" s="42"/>
      <c r="E3785" s="39"/>
      <c r="F3785" s="9"/>
      <c r="G3785" s="9"/>
      <c r="H3785" s="9"/>
      <c r="I3785" s="9"/>
      <c r="J3785" s="9"/>
      <c r="K3785" s="9"/>
      <c r="L3785" s="9"/>
      <c r="M3785" s="9"/>
      <c r="N3785" s="9"/>
      <c r="O3785" s="9"/>
      <c r="P3785" s="9"/>
      <c r="Q3785" s="9"/>
      <c r="R3785" s="9"/>
      <c r="S3785" s="42"/>
      <c r="T3785" s="42"/>
      <c r="U3785" s="42"/>
      <c r="V3785" s="42"/>
      <c r="W3785" s="42"/>
      <c r="X3785" s="42"/>
      <c r="Y3785" s="42"/>
      <c r="Z3785" s="42"/>
      <c r="AA3785" s="42"/>
      <c r="AB3785" s="42"/>
      <c r="AC3785" s="42"/>
      <c r="AD3785" s="42"/>
      <c r="AE3785" s="42"/>
      <c r="AF3785" s="9"/>
      <c r="AG3785" s="9"/>
      <c r="AH3785" s="42"/>
      <c r="AI3785" s="42"/>
      <c r="AJ3785" s="42"/>
      <c r="AK3785" s="42"/>
      <c r="AL3785" s="42"/>
      <c r="AM3785" s="42"/>
      <c r="AN3785" s="42"/>
      <c r="AO3785" s="63" t="str">
        <f>IFERROR(__xludf.DUMMYFUNCTION("IF(ISBLANK(A3785),,IF(ISBLANK(S3785), A3785&amp;"";"", TEXTJOIN(CHAR(10), TRUE, A3785&amp;"";"", ARRAYFORMULA(VLOOKUP(SPLIT(S3785, "";"" &amp; CHAR(10)), $A:$AO, 41, FALSE)))))"),"")</f>
        <v/>
      </c>
      <c r="AP3785" s="89"/>
    </row>
    <row r="3786">
      <c r="A3786" s="42"/>
      <c r="B3786" s="42"/>
      <c r="C3786" s="42"/>
      <c r="D3786" s="42"/>
      <c r="E3786" s="39"/>
      <c r="F3786" s="9"/>
      <c r="G3786" s="9"/>
      <c r="H3786" s="9"/>
      <c r="I3786" s="9"/>
      <c r="J3786" s="9"/>
      <c r="K3786" s="9"/>
      <c r="L3786" s="9"/>
      <c r="M3786" s="9"/>
      <c r="N3786" s="9"/>
      <c r="O3786" s="9"/>
      <c r="P3786" s="9"/>
      <c r="Q3786" s="9"/>
      <c r="R3786" s="9"/>
      <c r="S3786" s="42"/>
      <c r="T3786" s="42"/>
      <c r="U3786" s="42"/>
      <c r="V3786" s="42"/>
      <c r="W3786" s="42"/>
      <c r="X3786" s="42"/>
      <c r="Y3786" s="42"/>
      <c r="Z3786" s="42"/>
      <c r="AA3786" s="42"/>
      <c r="AB3786" s="42"/>
      <c r="AC3786" s="42"/>
      <c r="AD3786" s="42"/>
      <c r="AE3786" s="42"/>
      <c r="AF3786" s="9"/>
      <c r="AG3786" s="9"/>
      <c r="AH3786" s="42"/>
      <c r="AI3786" s="42"/>
      <c r="AJ3786" s="42"/>
      <c r="AK3786" s="42"/>
      <c r="AL3786" s="42"/>
      <c r="AM3786" s="42"/>
      <c r="AN3786" s="42"/>
      <c r="AO3786" s="63" t="str">
        <f>IFERROR(__xludf.DUMMYFUNCTION("IF(ISBLANK(A3786),,IF(ISBLANK(S3786), A3786&amp;"";"", TEXTJOIN(CHAR(10), TRUE, A3786&amp;"";"", ARRAYFORMULA(VLOOKUP(SPLIT(S3786, "";"" &amp; CHAR(10)), $A:$AO, 41, FALSE)))))"),"")</f>
        <v/>
      </c>
      <c r="AP3786" s="89"/>
    </row>
    <row r="3787">
      <c r="A3787" s="42"/>
      <c r="B3787" s="42"/>
      <c r="C3787" s="42"/>
      <c r="D3787" s="42"/>
      <c r="E3787" s="39"/>
      <c r="F3787" s="9"/>
      <c r="G3787" s="9"/>
      <c r="H3787" s="9"/>
      <c r="I3787" s="9"/>
      <c r="J3787" s="9"/>
      <c r="K3787" s="9"/>
      <c r="L3787" s="9"/>
      <c r="M3787" s="9"/>
      <c r="N3787" s="9"/>
      <c r="O3787" s="9"/>
      <c r="P3787" s="9"/>
      <c r="Q3787" s="9"/>
      <c r="R3787" s="9"/>
      <c r="S3787" s="42"/>
      <c r="T3787" s="42"/>
      <c r="U3787" s="42"/>
      <c r="V3787" s="42"/>
      <c r="W3787" s="42"/>
      <c r="X3787" s="42"/>
      <c r="Y3787" s="42"/>
      <c r="Z3787" s="42"/>
      <c r="AA3787" s="42"/>
      <c r="AB3787" s="42"/>
      <c r="AC3787" s="42"/>
      <c r="AD3787" s="42"/>
      <c r="AE3787" s="42"/>
      <c r="AF3787" s="9"/>
      <c r="AG3787" s="9"/>
      <c r="AH3787" s="42"/>
      <c r="AI3787" s="42"/>
      <c r="AJ3787" s="42"/>
      <c r="AK3787" s="42"/>
      <c r="AL3787" s="42"/>
      <c r="AM3787" s="42"/>
      <c r="AN3787" s="42"/>
      <c r="AO3787" s="63" t="str">
        <f>IFERROR(__xludf.DUMMYFUNCTION("IF(ISBLANK(A3787),,IF(ISBLANK(S3787), A3787&amp;"";"", TEXTJOIN(CHAR(10), TRUE, A3787&amp;"";"", ARRAYFORMULA(VLOOKUP(SPLIT(S3787, "";"" &amp; CHAR(10)), $A:$AO, 41, FALSE)))))"),"")</f>
        <v/>
      </c>
      <c r="AP3787" s="89"/>
    </row>
    <row r="3788">
      <c r="A3788" s="42"/>
      <c r="B3788" s="42"/>
      <c r="C3788" s="42"/>
      <c r="D3788" s="42"/>
      <c r="E3788" s="39"/>
      <c r="F3788" s="9"/>
      <c r="G3788" s="9"/>
      <c r="H3788" s="9"/>
      <c r="I3788" s="9"/>
      <c r="J3788" s="9"/>
      <c r="K3788" s="9"/>
      <c r="L3788" s="9"/>
      <c r="M3788" s="9"/>
      <c r="N3788" s="9"/>
      <c r="O3788" s="9"/>
      <c r="P3788" s="9"/>
      <c r="Q3788" s="9"/>
      <c r="R3788" s="9"/>
      <c r="S3788" s="42"/>
      <c r="T3788" s="42"/>
      <c r="U3788" s="42"/>
      <c r="V3788" s="42"/>
      <c r="W3788" s="42"/>
      <c r="X3788" s="42"/>
      <c r="Y3788" s="42"/>
      <c r="Z3788" s="42"/>
      <c r="AA3788" s="42"/>
      <c r="AB3788" s="42"/>
      <c r="AC3788" s="42"/>
      <c r="AD3788" s="42"/>
      <c r="AE3788" s="42"/>
      <c r="AF3788" s="9"/>
      <c r="AG3788" s="9"/>
      <c r="AH3788" s="42"/>
      <c r="AI3788" s="42"/>
      <c r="AJ3788" s="42"/>
      <c r="AK3788" s="42"/>
      <c r="AL3788" s="42"/>
      <c r="AM3788" s="42"/>
      <c r="AN3788" s="42"/>
      <c r="AO3788" s="63" t="str">
        <f>IFERROR(__xludf.DUMMYFUNCTION("IF(ISBLANK(A3788),,IF(ISBLANK(S3788), A3788&amp;"";"", TEXTJOIN(CHAR(10), TRUE, A3788&amp;"";"", ARRAYFORMULA(VLOOKUP(SPLIT(S3788, "";"" &amp; CHAR(10)), $A:$AO, 41, FALSE)))))"),"")</f>
        <v/>
      </c>
      <c r="AP3788" s="89"/>
    </row>
    <row r="3789">
      <c r="A3789" s="42"/>
      <c r="B3789" s="42"/>
      <c r="C3789" s="42"/>
      <c r="D3789" s="42"/>
      <c r="E3789" s="39"/>
      <c r="F3789" s="9"/>
      <c r="G3789" s="9"/>
      <c r="H3789" s="9"/>
      <c r="I3789" s="9"/>
      <c r="J3789" s="9"/>
      <c r="K3789" s="9"/>
      <c r="L3789" s="9"/>
      <c r="M3789" s="9"/>
      <c r="N3789" s="9"/>
      <c r="O3789" s="9"/>
      <c r="P3789" s="9"/>
      <c r="Q3789" s="9"/>
      <c r="R3789" s="9"/>
      <c r="S3789" s="42"/>
      <c r="T3789" s="42"/>
      <c r="U3789" s="42"/>
      <c r="V3789" s="42"/>
      <c r="W3789" s="42"/>
      <c r="X3789" s="42"/>
      <c r="Y3789" s="42"/>
      <c r="Z3789" s="42"/>
      <c r="AA3789" s="42"/>
      <c r="AB3789" s="42"/>
      <c r="AC3789" s="42"/>
      <c r="AD3789" s="42"/>
      <c r="AE3789" s="42"/>
      <c r="AF3789" s="9"/>
      <c r="AG3789" s="9"/>
      <c r="AH3789" s="42"/>
      <c r="AI3789" s="42"/>
      <c r="AJ3789" s="42"/>
      <c r="AK3789" s="42"/>
      <c r="AL3789" s="42"/>
      <c r="AM3789" s="42"/>
      <c r="AN3789" s="42"/>
      <c r="AO3789" s="63" t="str">
        <f>IFERROR(__xludf.DUMMYFUNCTION("IF(ISBLANK(A3789),,IF(ISBLANK(S3789), A3789&amp;"";"", TEXTJOIN(CHAR(10), TRUE, A3789&amp;"";"", ARRAYFORMULA(VLOOKUP(SPLIT(S3789, "";"" &amp; CHAR(10)), $A:$AO, 41, FALSE)))))"),"")</f>
        <v/>
      </c>
      <c r="AP3789" s="89"/>
    </row>
    <row r="3790">
      <c r="A3790" s="42"/>
      <c r="B3790" s="42"/>
      <c r="C3790" s="42"/>
      <c r="D3790" s="42"/>
      <c r="E3790" s="39"/>
      <c r="F3790" s="9"/>
      <c r="G3790" s="9"/>
      <c r="H3790" s="9"/>
      <c r="I3790" s="9"/>
      <c r="J3790" s="9"/>
      <c r="K3790" s="9"/>
      <c r="L3790" s="9"/>
      <c r="M3790" s="9"/>
      <c r="N3790" s="9"/>
      <c r="O3790" s="9"/>
      <c r="P3790" s="9"/>
      <c r="Q3790" s="9"/>
      <c r="R3790" s="9"/>
      <c r="S3790" s="42"/>
      <c r="T3790" s="42"/>
      <c r="U3790" s="42"/>
      <c r="V3790" s="42"/>
      <c r="W3790" s="42"/>
      <c r="X3790" s="42"/>
      <c r="Y3790" s="42"/>
      <c r="Z3790" s="42"/>
      <c r="AA3790" s="42"/>
      <c r="AB3790" s="42"/>
      <c r="AC3790" s="42"/>
      <c r="AD3790" s="42"/>
      <c r="AE3790" s="42"/>
      <c r="AF3790" s="9"/>
      <c r="AG3790" s="9"/>
      <c r="AH3790" s="42"/>
      <c r="AI3790" s="42"/>
      <c r="AJ3790" s="42"/>
      <c r="AK3790" s="42"/>
      <c r="AL3790" s="42"/>
      <c r="AM3790" s="42"/>
      <c r="AN3790" s="42"/>
      <c r="AO3790" s="63" t="str">
        <f>IFERROR(__xludf.DUMMYFUNCTION("IF(ISBLANK(A3790),,IF(ISBLANK(S3790), A3790&amp;"";"", TEXTJOIN(CHAR(10), TRUE, A3790&amp;"";"", ARRAYFORMULA(VLOOKUP(SPLIT(S3790, "";"" &amp; CHAR(10)), $A:$AO, 41, FALSE)))))"),"")</f>
        <v/>
      </c>
      <c r="AP3790" s="89"/>
    </row>
    <row r="3791">
      <c r="A3791" s="42"/>
      <c r="B3791" s="42"/>
      <c r="C3791" s="42"/>
      <c r="D3791" s="42"/>
      <c r="E3791" s="39"/>
      <c r="F3791" s="9"/>
      <c r="G3791" s="9"/>
      <c r="H3791" s="9"/>
      <c r="I3791" s="9"/>
      <c r="J3791" s="9"/>
      <c r="K3791" s="9"/>
      <c r="L3791" s="9"/>
      <c r="M3791" s="9"/>
      <c r="N3791" s="9"/>
      <c r="O3791" s="9"/>
      <c r="P3791" s="9"/>
      <c r="Q3791" s="9"/>
      <c r="R3791" s="9"/>
      <c r="S3791" s="42"/>
      <c r="T3791" s="42"/>
      <c r="U3791" s="42"/>
      <c r="V3791" s="42"/>
      <c r="W3791" s="42"/>
      <c r="X3791" s="42"/>
      <c r="Y3791" s="42"/>
      <c r="Z3791" s="42"/>
      <c r="AA3791" s="42"/>
      <c r="AB3791" s="42"/>
      <c r="AC3791" s="42"/>
      <c r="AD3791" s="42"/>
      <c r="AE3791" s="42"/>
      <c r="AF3791" s="9"/>
      <c r="AG3791" s="9"/>
      <c r="AH3791" s="42"/>
      <c r="AI3791" s="42"/>
      <c r="AJ3791" s="42"/>
      <c r="AK3791" s="42"/>
      <c r="AL3791" s="42"/>
      <c r="AM3791" s="42"/>
      <c r="AN3791" s="42"/>
      <c r="AO3791" s="63" t="str">
        <f>IFERROR(__xludf.DUMMYFUNCTION("IF(ISBLANK(A3791),,IF(ISBLANK(S3791), A3791&amp;"";"", TEXTJOIN(CHAR(10), TRUE, A3791&amp;"";"", ARRAYFORMULA(VLOOKUP(SPLIT(S3791, "";"" &amp; CHAR(10)), $A:$AO, 41, FALSE)))))"),"")</f>
        <v/>
      </c>
      <c r="AP3791" s="89"/>
    </row>
    <row r="3792">
      <c r="A3792" s="42"/>
      <c r="B3792" s="42"/>
      <c r="C3792" s="42"/>
      <c r="D3792" s="42"/>
      <c r="E3792" s="39"/>
      <c r="F3792" s="9"/>
      <c r="G3792" s="9"/>
      <c r="H3792" s="9"/>
      <c r="I3792" s="9"/>
      <c r="J3792" s="9"/>
      <c r="K3792" s="9"/>
      <c r="L3792" s="9"/>
      <c r="M3792" s="9"/>
      <c r="N3792" s="9"/>
      <c r="O3792" s="9"/>
      <c r="P3792" s="9"/>
      <c r="Q3792" s="9"/>
      <c r="R3792" s="9"/>
      <c r="S3792" s="42"/>
      <c r="T3792" s="42"/>
      <c r="U3792" s="42"/>
      <c r="V3792" s="42"/>
      <c r="W3792" s="42"/>
      <c r="X3792" s="42"/>
      <c r="Y3792" s="42"/>
      <c r="Z3792" s="42"/>
      <c r="AA3792" s="42"/>
      <c r="AB3792" s="42"/>
      <c r="AC3792" s="42"/>
      <c r="AD3792" s="42"/>
      <c r="AE3792" s="42"/>
      <c r="AF3792" s="9"/>
      <c r="AG3792" s="9"/>
      <c r="AH3792" s="42"/>
      <c r="AI3792" s="42"/>
      <c r="AJ3792" s="42"/>
      <c r="AK3792" s="42"/>
      <c r="AL3792" s="42"/>
      <c r="AM3792" s="42"/>
      <c r="AN3792" s="42"/>
      <c r="AO3792" s="63" t="str">
        <f>IFERROR(__xludf.DUMMYFUNCTION("IF(ISBLANK(A3792),,IF(ISBLANK(S3792), A3792&amp;"";"", TEXTJOIN(CHAR(10), TRUE, A3792&amp;"";"", ARRAYFORMULA(VLOOKUP(SPLIT(S3792, "";"" &amp; CHAR(10)), $A:$AO, 41, FALSE)))))"),"")</f>
        <v/>
      </c>
      <c r="AP3792" s="89"/>
    </row>
    <row r="3793">
      <c r="A3793" s="42"/>
      <c r="B3793" s="42"/>
      <c r="C3793" s="42"/>
      <c r="D3793" s="42"/>
      <c r="E3793" s="39"/>
      <c r="F3793" s="9"/>
      <c r="G3793" s="9"/>
      <c r="H3793" s="9"/>
      <c r="I3793" s="9"/>
      <c r="J3793" s="9"/>
      <c r="K3793" s="9"/>
      <c r="L3793" s="9"/>
      <c r="M3793" s="9"/>
      <c r="N3793" s="9"/>
      <c r="O3793" s="9"/>
      <c r="P3793" s="9"/>
      <c r="Q3793" s="9"/>
      <c r="R3793" s="9"/>
      <c r="S3793" s="42"/>
      <c r="T3793" s="42"/>
      <c r="U3793" s="42"/>
      <c r="V3793" s="42"/>
      <c r="W3793" s="42"/>
      <c r="X3793" s="42"/>
      <c r="Y3793" s="42"/>
      <c r="Z3793" s="42"/>
      <c r="AA3793" s="42"/>
      <c r="AB3793" s="42"/>
      <c r="AC3793" s="42"/>
      <c r="AD3793" s="42"/>
      <c r="AE3793" s="42"/>
      <c r="AF3793" s="9"/>
      <c r="AG3793" s="9"/>
      <c r="AH3793" s="42"/>
      <c r="AI3793" s="42"/>
      <c r="AJ3793" s="42"/>
      <c r="AK3793" s="42"/>
      <c r="AL3793" s="42"/>
      <c r="AM3793" s="42"/>
      <c r="AN3793" s="42"/>
      <c r="AO3793" s="63" t="str">
        <f>IFERROR(__xludf.DUMMYFUNCTION("IF(ISBLANK(A3793),,IF(ISBLANK(S3793), A3793&amp;"";"", TEXTJOIN(CHAR(10), TRUE, A3793&amp;"";"", ARRAYFORMULA(VLOOKUP(SPLIT(S3793, "";"" &amp; CHAR(10)), $A:$AO, 41, FALSE)))))"),"")</f>
        <v/>
      </c>
      <c r="AP3793" s="89"/>
    </row>
    <row r="3794">
      <c r="A3794" s="42"/>
      <c r="B3794" s="42"/>
      <c r="C3794" s="42"/>
      <c r="D3794" s="42"/>
      <c r="E3794" s="39"/>
      <c r="F3794" s="9"/>
      <c r="G3794" s="9"/>
      <c r="H3794" s="9"/>
      <c r="I3794" s="9"/>
      <c r="J3794" s="9"/>
      <c r="K3794" s="9"/>
      <c r="L3794" s="9"/>
      <c r="M3794" s="9"/>
      <c r="N3794" s="9"/>
      <c r="O3794" s="9"/>
      <c r="P3794" s="9"/>
      <c r="Q3794" s="9"/>
      <c r="R3794" s="9"/>
      <c r="S3794" s="42"/>
      <c r="T3794" s="42"/>
      <c r="U3794" s="42"/>
      <c r="V3794" s="42"/>
      <c r="W3794" s="42"/>
      <c r="X3794" s="42"/>
      <c r="Y3794" s="42"/>
      <c r="Z3794" s="42"/>
      <c r="AA3794" s="42"/>
      <c r="AB3794" s="42"/>
      <c r="AC3794" s="42"/>
      <c r="AD3794" s="42"/>
      <c r="AE3794" s="42"/>
      <c r="AF3794" s="9"/>
      <c r="AG3794" s="9"/>
      <c r="AH3794" s="42"/>
      <c r="AI3794" s="42"/>
      <c r="AJ3794" s="42"/>
      <c r="AK3794" s="42"/>
      <c r="AL3794" s="42"/>
      <c r="AM3794" s="42"/>
      <c r="AN3794" s="42"/>
      <c r="AO3794" s="63" t="str">
        <f>IFERROR(__xludf.DUMMYFUNCTION("IF(ISBLANK(A3794),,IF(ISBLANK(S3794), A3794&amp;"";"", TEXTJOIN(CHAR(10), TRUE, A3794&amp;"";"", ARRAYFORMULA(VLOOKUP(SPLIT(S3794, "";"" &amp; CHAR(10)), $A:$AO, 41, FALSE)))))"),"")</f>
        <v/>
      </c>
      <c r="AP3794" s="89"/>
    </row>
    <row r="3795">
      <c r="A3795" s="42"/>
      <c r="B3795" s="42"/>
      <c r="C3795" s="42"/>
      <c r="D3795" s="42"/>
      <c r="E3795" s="39"/>
      <c r="F3795" s="9"/>
      <c r="G3795" s="9"/>
      <c r="H3795" s="9"/>
      <c r="I3795" s="9"/>
      <c r="J3795" s="9"/>
      <c r="K3795" s="9"/>
      <c r="L3795" s="9"/>
      <c r="M3795" s="9"/>
      <c r="N3795" s="9"/>
      <c r="O3795" s="9"/>
      <c r="P3795" s="9"/>
      <c r="Q3795" s="9"/>
      <c r="R3795" s="9"/>
      <c r="S3795" s="42"/>
      <c r="T3795" s="42"/>
      <c r="U3795" s="42"/>
      <c r="V3795" s="42"/>
      <c r="W3795" s="42"/>
      <c r="X3795" s="42"/>
      <c r="Y3795" s="42"/>
      <c r="Z3795" s="42"/>
      <c r="AA3795" s="42"/>
      <c r="AB3795" s="42"/>
      <c r="AC3795" s="42"/>
      <c r="AD3795" s="42"/>
      <c r="AE3795" s="42"/>
      <c r="AF3795" s="9"/>
      <c r="AG3795" s="9"/>
      <c r="AH3795" s="42"/>
      <c r="AI3795" s="42"/>
      <c r="AJ3795" s="42"/>
      <c r="AK3795" s="42"/>
      <c r="AL3795" s="42"/>
      <c r="AM3795" s="42"/>
      <c r="AN3795" s="42"/>
      <c r="AO3795" s="63" t="str">
        <f>IFERROR(__xludf.DUMMYFUNCTION("IF(ISBLANK(A3795),,IF(ISBLANK(S3795), A3795&amp;"";"", TEXTJOIN(CHAR(10), TRUE, A3795&amp;"";"", ARRAYFORMULA(VLOOKUP(SPLIT(S3795, "";"" &amp; CHAR(10)), $A:$AO, 41, FALSE)))))"),"")</f>
        <v/>
      </c>
      <c r="AP3795" s="89"/>
    </row>
    <row r="3796">
      <c r="A3796" s="42"/>
      <c r="B3796" s="42"/>
      <c r="C3796" s="42"/>
      <c r="D3796" s="42"/>
      <c r="E3796" s="39"/>
      <c r="F3796" s="9"/>
      <c r="G3796" s="9"/>
      <c r="H3796" s="9"/>
      <c r="I3796" s="9"/>
      <c r="J3796" s="9"/>
      <c r="K3796" s="9"/>
      <c r="L3796" s="9"/>
      <c r="M3796" s="9"/>
      <c r="N3796" s="9"/>
      <c r="O3796" s="9"/>
      <c r="P3796" s="9"/>
      <c r="Q3796" s="9"/>
      <c r="R3796" s="9"/>
      <c r="S3796" s="42"/>
      <c r="T3796" s="42"/>
      <c r="U3796" s="42"/>
      <c r="V3796" s="42"/>
      <c r="W3796" s="42"/>
      <c r="X3796" s="42"/>
      <c r="Y3796" s="42"/>
      <c r="Z3796" s="42"/>
      <c r="AA3796" s="42"/>
      <c r="AB3796" s="42"/>
      <c r="AC3796" s="42"/>
      <c r="AD3796" s="42"/>
      <c r="AE3796" s="42"/>
      <c r="AF3796" s="9"/>
      <c r="AG3796" s="9"/>
      <c r="AH3796" s="42"/>
      <c r="AI3796" s="42"/>
      <c r="AJ3796" s="42"/>
      <c r="AK3796" s="42"/>
      <c r="AL3796" s="42"/>
      <c r="AM3796" s="42"/>
      <c r="AN3796" s="42"/>
      <c r="AO3796" s="63" t="str">
        <f>IFERROR(__xludf.DUMMYFUNCTION("IF(ISBLANK(A3796),,IF(ISBLANK(S3796), A3796&amp;"";"", TEXTJOIN(CHAR(10), TRUE, A3796&amp;"";"", ARRAYFORMULA(VLOOKUP(SPLIT(S3796, "";"" &amp; CHAR(10)), $A:$AO, 41, FALSE)))))"),"")</f>
        <v/>
      </c>
      <c r="AP3796" s="89"/>
    </row>
    <row r="3797">
      <c r="A3797" s="42"/>
      <c r="B3797" s="42"/>
      <c r="C3797" s="42"/>
      <c r="D3797" s="42"/>
      <c r="E3797" s="39"/>
      <c r="F3797" s="9"/>
      <c r="G3797" s="9"/>
      <c r="H3797" s="9"/>
      <c r="I3797" s="9"/>
      <c r="J3797" s="9"/>
      <c r="K3797" s="9"/>
      <c r="L3797" s="9"/>
      <c r="M3797" s="9"/>
      <c r="N3797" s="9"/>
      <c r="O3797" s="9"/>
      <c r="P3797" s="9"/>
      <c r="Q3797" s="9"/>
      <c r="R3797" s="9"/>
      <c r="S3797" s="42"/>
      <c r="T3797" s="42"/>
      <c r="U3797" s="42"/>
      <c r="V3797" s="42"/>
      <c r="W3797" s="42"/>
      <c r="X3797" s="42"/>
      <c r="Y3797" s="42"/>
      <c r="Z3797" s="42"/>
      <c r="AA3797" s="42"/>
      <c r="AB3797" s="42"/>
      <c r="AC3797" s="42"/>
      <c r="AD3797" s="42"/>
      <c r="AE3797" s="42"/>
      <c r="AF3797" s="9"/>
      <c r="AG3797" s="9"/>
      <c r="AH3797" s="42"/>
      <c r="AI3797" s="42"/>
      <c r="AJ3797" s="42"/>
      <c r="AK3797" s="42"/>
      <c r="AL3797" s="42"/>
      <c r="AM3797" s="42"/>
      <c r="AN3797" s="42"/>
      <c r="AO3797" s="63" t="str">
        <f>IFERROR(__xludf.DUMMYFUNCTION("IF(ISBLANK(A3797),,IF(ISBLANK(S3797), A3797&amp;"";"", TEXTJOIN(CHAR(10), TRUE, A3797&amp;"";"", ARRAYFORMULA(VLOOKUP(SPLIT(S3797, "";"" &amp; CHAR(10)), $A:$AO, 41, FALSE)))))"),"")</f>
        <v/>
      </c>
      <c r="AP3797" s="89"/>
    </row>
    <row r="3798">
      <c r="A3798" s="42"/>
      <c r="B3798" s="42"/>
      <c r="C3798" s="42"/>
      <c r="D3798" s="42"/>
      <c r="E3798" s="39"/>
      <c r="F3798" s="9"/>
      <c r="G3798" s="9"/>
      <c r="H3798" s="9"/>
      <c r="I3798" s="9"/>
      <c r="J3798" s="9"/>
      <c r="K3798" s="9"/>
      <c r="L3798" s="9"/>
      <c r="M3798" s="9"/>
      <c r="N3798" s="9"/>
      <c r="O3798" s="9"/>
      <c r="P3798" s="9"/>
      <c r="Q3798" s="9"/>
      <c r="R3798" s="9"/>
      <c r="S3798" s="42"/>
      <c r="T3798" s="42"/>
      <c r="U3798" s="42"/>
      <c r="V3798" s="42"/>
      <c r="W3798" s="42"/>
      <c r="X3798" s="42"/>
      <c r="Y3798" s="42"/>
      <c r="Z3798" s="42"/>
      <c r="AA3798" s="42"/>
      <c r="AB3798" s="42"/>
      <c r="AC3798" s="42"/>
      <c r="AD3798" s="42"/>
      <c r="AE3798" s="42"/>
      <c r="AF3798" s="9"/>
      <c r="AG3798" s="9"/>
      <c r="AH3798" s="42"/>
      <c r="AI3798" s="42"/>
      <c r="AJ3798" s="42"/>
      <c r="AK3798" s="42"/>
      <c r="AL3798" s="42"/>
      <c r="AM3798" s="42"/>
      <c r="AN3798" s="42"/>
      <c r="AO3798" s="63" t="str">
        <f>IFERROR(__xludf.DUMMYFUNCTION("IF(ISBLANK(A3798),,IF(ISBLANK(S3798), A3798&amp;"";"", TEXTJOIN(CHAR(10), TRUE, A3798&amp;"";"", ARRAYFORMULA(VLOOKUP(SPLIT(S3798, "";"" &amp; CHAR(10)), $A:$AO, 41, FALSE)))))"),"")</f>
        <v/>
      </c>
      <c r="AP3798" s="89"/>
    </row>
    <row r="3799">
      <c r="A3799" s="42"/>
      <c r="B3799" s="42"/>
      <c r="C3799" s="42"/>
      <c r="D3799" s="42"/>
      <c r="E3799" s="39"/>
      <c r="F3799" s="9"/>
      <c r="G3799" s="9"/>
      <c r="H3799" s="9"/>
      <c r="I3799" s="9"/>
      <c r="J3799" s="9"/>
      <c r="K3799" s="9"/>
      <c r="L3799" s="9"/>
      <c r="M3799" s="9"/>
      <c r="N3799" s="9"/>
      <c r="O3799" s="9"/>
      <c r="P3799" s="9"/>
      <c r="Q3799" s="9"/>
      <c r="R3799" s="9"/>
      <c r="S3799" s="42"/>
      <c r="T3799" s="42"/>
      <c r="U3799" s="42"/>
      <c r="V3799" s="42"/>
      <c r="W3799" s="42"/>
      <c r="X3799" s="42"/>
      <c r="Y3799" s="42"/>
      <c r="Z3799" s="42"/>
      <c r="AA3799" s="42"/>
      <c r="AB3799" s="42"/>
      <c r="AC3799" s="42"/>
      <c r="AD3799" s="42"/>
      <c r="AE3799" s="42"/>
      <c r="AF3799" s="9"/>
      <c r="AG3799" s="9"/>
      <c r="AH3799" s="42"/>
      <c r="AI3799" s="42"/>
      <c r="AJ3799" s="42"/>
      <c r="AK3799" s="42"/>
      <c r="AL3799" s="42"/>
      <c r="AM3799" s="42"/>
      <c r="AN3799" s="42"/>
      <c r="AO3799" s="63" t="str">
        <f>IFERROR(__xludf.DUMMYFUNCTION("IF(ISBLANK(A3799),,IF(ISBLANK(S3799), A3799&amp;"";"", TEXTJOIN(CHAR(10), TRUE, A3799&amp;"";"", ARRAYFORMULA(VLOOKUP(SPLIT(S3799, "";"" &amp; CHAR(10)), $A:$AO, 41, FALSE)))))"),"")</f>
        <v/>
      </c>
      <c r="AP3799" s="89"/>
    </row>
    <row r="3800">
      <c r="A3800" s="42"/>
      <c r="B3800" s="42"/>
      <c r="C3800" s="42"/>
      <c r="D3800" s="42"/>
      <c r="E3800" s="39"/>
      <c r="F3800" s="9"/>
      <c r="G3800" s="9"/>
      <c r="H3800" s="9"/>
      <c r="I3800" s="9"/>
      <c r="J3800" s="9"/>
      <c r="K3800" s="9"/>
      <c r="L3800" s="9"/>
      <c r="M3800" s="9"/>
      <c r="N3800" s="9"/>
      <c r="O3800" s="9"/>
      <c r="P3800" s="9"/>
      <c r="Q3800" s="9"/>
      <c r="R3800" s="9"/>
      <c r="S3800" s="42"/>
      <c r="T3800" s="42"/>
      <c r="U3800" s="42"/>
      <c r="V3800" s="42"/>
      <c r="W3800" s="42"/>
      <c r="X3800" s="42"/>
      <c r="Y3800" s="42"/>
      <c r="Z3800" s="42"/>
      <c r="AA3800" s="42"/>
      <c r="AB3800" s="42"/>
      <c r="AC3800" s="42"/>
      <c r="AD3800" s="42"/>
      <c r="AE3800" s="42"/>
      <c r="AF3800" s="9"/>
      <c r="AG3800" s="9"/>
      <c r="AH3800" s="42"/>
      <c r="AI3800" s="42"/>
      <c r="AJ3800" s="42"/>
      <c r="AK3800" s="42"/>
      <c r="AL3800" s="42"/>
      <c r="AM3800" s="42"/>
      <c r="AN3800" s="42"/>
      <c r="AO3800" s="63" t="str">
        <f>IFERROR(__xludf.DUMMYFUNCTION("IF(ISBLANK(A3800),,IF(ISBLANK(S3800), A3800&amp;"";"", TEXTJOIN(CHAR(10), TRUE, A3800&amp;"";"", ARRAYFORMULA(VLOOKUP(SPLIT(S3800, "";"" &amp; CHAR(10)), $A:$AO, 41, FALSE)))))"),"")</f>
        <v/>
      </c>
      <c r="AP3800" s="89"/>
    </row>
    <row r="3801">
      <c r="A3801" s="42"/>
      <c r="B3801" s="42"/>
      <c r="C3801" s="42"/>
      <c r="D3801" s="42"/>
      <c r="E3801" s="39"/>
      <c r="F3801" s="9"/>
      <c r="G3801" s="9"/>
      <c r="H3801" s="9"/>
      <c r="I3801" s="9"/>
      <c r="J3801" s="9"/>
      <c r="K3801" s="9"/>
      <c r="L3801" s="9"/>
      <c r="M3801" s="9"/>
      <c r="N3801" s="9"/>
      <c r="O3801" s="9"/>
      <c r="P3801" s="9"/>
      <c r="Q3801" s="9"/>
      <c r="R3801" s="9"/>
      <c r="S3801" s="42"/>
      <c r="T3801" s="42"/>
      <c r="U3801" s="42"/>
      <c r="V3801" s="42"/>
      <c r="W3801" s="42"/>
      <c r="X3801" s="42"/>
      <c r="Y3801" s="42"/>
      <c r="Z3801" s="42"/>
      <c r="AA3801" s="42"/>
      <c r="AB3801" s="42"/>
      <c r="AC3801" s="42"/>
      <c r="AD3801" s="42"/>
      <c r="AE3801" s="42"/>
      <c r="AF3801" s="9"/>
      <c r="AG3801" s="9"/>
      <c r="AH3801" s="42"/>
      <c r="AI3801" s="42"/>
      <c r="AJ3801" s="42"/>
      <c r="AK3801" s="42"/>
      <c r="AL3801" s="42"/>
      <c r="AM3801" s="42"/>
      <c r="AN3801" s="42"/>
      <c r="AO3801" s="63" t="str">
        <f>IFERROR(__xludf.DUMMYFUNCTION("IF(ISBLANK(A3801),,IF(ISBLANK(S3801), A3801&amp;"";"", TEXTJOIN(CHAR(10), TRUE, A3801&amp;"";"", ARRAYFORMULA(VLOOKUP(SPLIT(S3801, "";"" &amp; CHAR(10)), $A:$AO, 41, FALSE)))))"),"")</f>
        <v/>
      </c>
      <c r="AP3801" s="89"/>
    </row>
    <row r="3802">
      <c r="A3802" s="42"/>
      <c r="B3802" s="42"/>
      <c r="C3802" s="42"/>
      <c r="D3802" s="42"/>
      <c r="E3802" s="39"/>
      <c r="F3802" s="9"/>
      <c r="G3802" s="9"/>
      <c r="H3802" s="9"/>
      <c r="I3802" s="9"/>
      <c r="J3802" s="9"/>
      <c r="K3802" s="9"/>
      <c r="L3802" s="9"/>
      <c r="M3802" s="9"/>
      <c r="N3802" s="9"/>
      <c r="O3802" s="9"/>
      <c r="P3802" s="9"/>
      <c r="Q3802" s="9"/>
      <c r="R3802" s="9"/>
      <c r="S3802" s="42"/>
      <c r="T3802" s="42"/>
      <c r="U3802" s="42"/>
      <c r="V3802" s="42"/>
      <c r="W3802" s="42"/>
      <c r="X3802" s="42"/>
      <c r="Y3802" s="42"/>
      <c r="Z3802" s="42"/>
      <c r="AA3802" s="42"/>
      <c r="AB3802" s="42"/>
      <c r="AC3802" s="42"/>
      <c r="AD3802" s="42"/>
      <c r="AE3802" s="42"/>
      <c r="AF3802" s="9"/>
      <c r="AG3802" s="9"/>
      <c r="AH3802" s="42"/>
      <c r="AI3802" s="42"/>
      <c r="AJ3802" s="42"/>
      <c r="AK3802" s="42"/>
      <c r="AL3802" s="42"/>
      <c r="AM3802" s="42"/>
      <c r="AN3802" s="42"/>
      <c r="AO3802" s="63" t="str">
        <f>IFERROR(__xludf.DUMMYFUNCTION("IF(ISBLANK(A3802),,IF(ISBLANK(S3802), A3802&amp;"";"", TEXTJOIN(CHAR(10), TRUE, A3802&amp;"";"", ARRAYFORMULA(VLOOKUP(SPLIT(S3802, "";"" &amp; CHAR(10)), $A:$AO, 41, FALSE)))))"),"")</f>
        <v/>
      </c>
      <c r="AP3802" s="89"/>
    </row>
    <row r="3803">
      <c r="A3803" s="42"/>
      <c r="B3803" s="42"/>
      <c r="C3803" s="42"/>
      <c r="D3803" s="42"/>
      <c r="E3803" s="39"/>
      <c r="F3803" s="9"/>
      <c r="G3803" s="9"/>
      <c r="H3803" s="9"/>
      <c r="I3803" s="9"/>
      <c r="J3803" s="9"/>
      <c r="K3803" s="9"/>
      <c r="L3803" s="9"/>
      <c r="M3803" s="9"/>
      <c r="N3803" s="9"/>
      <c r="O3803" s="9"/>
      <c r="P3803" s="9"/>
      <c r="Q3803" s="9"/>
      <c r="R3803" s="9"/>
      <c r="S3803" s="42"/>
      <c r="T3803" s="42"/>
      <c r="U3803" s="42"/>
      <c r="V3803" s="42"/>
      <c r="W3803" s="42"/>
      <c r="X3803" s="42"/>
      <c r="Y3803" s="42"/>
      <c r="Z3803" s="42"/>
      <c r="AA3803" s="42"/>
      <c r="AB3803" s="42"/>
      <c r="AC3803" s="42"/>
      <c r="AD3803" s="42"/>
      <c r="AE3803" s="42"/>
      <c r="AF3803" s="9"/>
      <c r="AG3803" s="9"/>
      <c r="AH3803" s="42"/>
      <c r="AI3803" s="42"/>
      <c r="AJ3803" s="42"/>
      <c r="AK3803" s="42"/>
      <c r="AL3803" s="42"/>
      <c r="AM3803" s="42"/>
      <c r="AN3803" s="42"/>
      <c r="AO3803" s="63" t="str">
        <f>IFERROR(__xludf.DUMMYFUNCTION("IF(ISBLANK(A3803),,IF(ISBLANK(S3803), A3803&amp;"";"", TEXTJOIN(CHAR(10), TRUE, A3803&amp;"";"", ARRAYFORMULA(VLOOKUP(SPLIT(S3803, "";"" &amp; CHAR(10)), $A:$AO, 41, FALSE)))))"),"")</f>
        <v/>
      </c>
      <c r="AP3803" s="89"/>
    </row>
    <row r="3804">
      <c r="A3804" s="42"/>
      <c r="B3804" s="42"/>
      <c r="C3804" s="42"/>
      <c r="D3804" s="42"/>
      <c r="E3804" s="39"/>
      <c r="F3804" s="9"/>
      <c r="G3804" s="9"/>
      <c r="H3804" s="9"/>
      <c r="I3804" s="9"/>
      <c r="J3804" s="9"/>
      <c r="K3804" s="9"/>
      <c r="L3804" s="9"/>
      <c r="M3804" s="9"/>
      <c r="N3804" s="9"/>
      <c r="O3804" s="9"/>
      <c r="P3804" s="9"/>
      <c r="Q3804" s="9"/>
      <c r="R3804" s="9"/>
      <c r="S3804" s="42"/>
      <c r="T3804" s="42"/>
      <c r="U3804" s="42"/>
      <c r="V3804" s="42"/>
      <c r="W3804" s="42"/>
      <c r="X3804" s="42"/>
      <c r="Y3804" s="42"/>
      <c r="Z3804" s="42"/>
      <c r="AA3804" s="42"/>
      <c r="AB3804" s="42"/>
      <c r="AC3804" s="42"/>
      <c r="AD3804" s="42"/>
      <c r="AE3804" s="42"/>
      <c r="AF3804" s="9"/>
      <c r="AG3804" s="9"/>
      <c r="AH3804" s="42"/>
      <c r="AI3804" s="42"/>
      <c r="AJ3804" s="42"/>
      <c r="AK3804" s="42"/>
      <c r="AL3804" s="42"/>
      <c r="AM3804" s="42"/>
      <c r="AN3804" s="42"/>
      <c r="AO3804" s="63" t="str">
        <f>IFERROR(__xludf.DUMMYFUNCTION("IF(ISBLANK(A3804),,IF(ISBLANK(S3804), A3804&amp;"";"", TEXTJOIN(CHAR(10), TRUE, A3804&amp;"";"", ARRAYFORMULA(VLOOKUP(SPLIT(S3804, "";"" &amp; CHAR(10)), $A:$AO, 41, FALSE)))))"),"")</f>
        <v/>
      </c>
      <c r="AP3804" s="89"/>
    </row>
    <row r="3805">
      <c r="A3805" s="42"/>
      <c r="B3805" s="42"/>
      <c r="C3805" s="42"/>
      <c r="D3805" s="42"/>
      <c r="E3805" s="39"/>
      <c r="F3805" s="9"/>
      <c r="G3805" s="9"/>
      <c r="H3805" s="9"/>
      <c r="I3805" s="9"/>
      <c r="J3805" s="9"/>
      <c r="K3805" s="9"/>
      <c r="L3805" s="9"/>
      <c r="M3805" s="9"/>
      <c r="N3805" s="9"/>
      <c r="O3805" s="9"/>
      <c r="P3805" s="9"/>
      <c r="Q3805" s="9"/>
      <c r="R3805" s="9"/>
      <c r="S3805" s="42"/>
      <c r="T3805" s="42"/>
      <c r="U3805" s="42"/>
      <c r="V3805" s="42"/>
      <c r="W3805" s="42"/>
      <c r="X3805" s="42"/>
      <c r="Y3805" s="42"/>
      <c r="Z3805" s="42"/>
      <c r="AA3805" s="42"/>
      <c r="AB3805" s="42"/>
      <c r="AC3805" s="42"/>
      <c r="AD3805" s="42"/>
      <c r="AE3805" s="42"/>
      <c r="AF3805" s="9"/>
      <c r="AG3805" s="9"/>
      <c r="AH3805" s="42"/>
      <c r="AI3805" s="42"/>
      <c r="AJ3805" s="42"/>
      <c r="AK3805" s="42"/>
      <c r="AL3805" s="42"/>
      <c r="AM3805" s="42"/>
      <c r="AN3805" s="42"/>
      <c r="AO3805" s="63" t="str">
        <f>IFERROR(__xludf.DUMMYFUNCTION("IF(ISBLANK(A3805),,IF(ISBLANK(S3805), A3805&amp;"";"", TEXTJOIN(CHAR(10), TRUE, A3805&amp;"";"", ARRAYFORMULA(VLOOKUP(SPLIT(S3805, "";"" &amp; CHAR(10)), $A:$AO, 41, FALSE)))))"),"")</f>
        <v/>
      </c>
      <c r="AP3805" s="89"/>
    </row>
    <row r="3806">
      <c r="A3806" s="42"/>
      <c r="B3806" s="42"/>
      <c r="C3806" s="42"/>
      <c r="D3806" s="42"/>
      <c r="E3806" s="39"/>
      <c r="F3806" s="9"/>
      <c r="G3806" s="9"/>
      <c r="H3806" s="9"/>
      <c r="I3806" s="9"/>
      <c r="J3806" s="9"/>
      <c r="K3806" s="9"/>
      <c r="L3806" s="9"/>
      <c r="M3806" s="9"/>
      <c r="N3806" s="9"/>
      <c r="O3806" s="9"/>
      <c r="P3806" s="9"/>
      <c r="Q3806" s="9"/>
      <c r="R3806" s="9"/>
      <c r="S3806" s="42"/>
      <c r="T3806" s="42"/>
      <c r="U3806" s="42"/>
      <c r="V3806" s="42"/>
      <c r="W3806" s="42"/>
      <c r="X3806" s="42"/>
      <c r="Y3806" s="42"/>
      <c r="Z3806" s="42"/>
      <c r="AA3806" s="42"/>
      <c r="AB3806" s="42"/>
      <c r="AC3806" s="42"/>
      <c r="AD3806" s="42"/>
      <c r="AE3806" s="42"/>
      <c r="AF3806" s="9"/>
      <c r="AG3806" s="9"/>
      <c r="AH3806" s="42"/>
      <c r="AI3806" s="42"/>
      <c r="AJ3806" s="42"/>
      <c r="AK3806" s="42"/>
      <c r="AL3806" s="42"/>
      <c r="AM3806" s="42"/>
      <c r="AN3806" s="42"/>
      <c r="AO3806" s="63" t="str">
        <f>IFERROR(__xludf.DUMMYFUNCTION("IF(ISBLANK(A3806),,IF(ISBLANK(S3806), A3806&amp;"";"", TEXTJOIN(CHAR(10), TRUE, A3806&amp;"";"", ARRAYFORMULA(VLOOKUP(SPLIT(S3806, "";"" &amp; CHAR(10)), $A:$AO, 41, FALSE)))))"),"")</f>
        <v/>
      </c>
      <c r="AP3806" s="89"/>
    </row>
    <row r="3807">
      <c r="A3807" s="42"/>
      <c r="B3807" s="42"/>
      <c r="C3807" s="42"/>
      <c r="D3807" s="42"/>
      <c r="E3807" s="39"/>
      <c r="F3807" s="9"/>
      <c r="G3807" s="9"/>
      <c r="H3807" s="9"/>
      <c r="I3807" s="9"/>
      <c r="J3807" s="9"/>
      <c r="K3807" s="9"/>
      <c r="L3807" s="9"/>
      <c r="M3807" s="9"/>
      <c r="N3807" s="9"/>
      <c r="O3807" s="9"/>
      <c r="P3807" s="9"/>
      <c r="Q3807" s="9"/>
      <c r="R3807" s="9"/>
      <c r="S3807" s="42"/>
      <c r="T3807" s="42"/>
      <c r="U3807" s="42"/>
      <c r="V3807" s="42"/>
      <c r="W3807" s="42"/>
      <c r="X3807" s="42"/>
      <c r="Y3807" s="42"/>
      <c r="Z3807" s="42"/>
      <c r="AA3807" s="42"/>
      <c r="AB3807" s="42"/>
      <c r="AC3807" s="42"/>
      <c r="AD3807" s="42"/>
      <c r="AE3807" s="42"/>
      <c r="AF3807" s="9"/>
      <c r="AG3807" s="9"/>
      <c r="AH3807" s="42"/>
      <c r="AI3807" s="42"/>
      <c r="AJ3807" s="42"/>
      <c r="AK3807" s="42"/>
      <c r="AL3807" s="42"/>
      <c r="AM3807" s="42"/>
      <c r="AN3807" s="42"/>
      <c r="AO3807" s="63" t="str">
        <f>IFERROR(__xludf.DUMMYFUNCTION("IF(ISBLANK(A3807),,IF(ISBLANK(S3807), A3807&amp;"";"", TEXTJOIN(CHAR(10), TRUE, A3807&amp;"";"", ARRAYFORMULA(VLOOKUP(SPLIT(S3807, "";"" &amp; CHAR(10)), $A:$AO, 41, FALSE)))))"),"")</f>
        <v/>
      </c>
      <c r="AP3807" s="89"/>
    </row>
    <row r="3808">
      <c r="A3808" s="42"/>
      <c r="B3808" s="42"/>
      <c r="C3808" s="42"/>
      <c r="D3808" s="42"/>
      <c r="E3808" s="39"/>
      <c r="F3808" s="9"/>
      <c r="G3808" s="9"/>
      <c r="H3808" s="9"/>
      <c r="I3808" s="9"/>
      <c r="J3808" s="9"/>
      <c r="K3808" s="9"/>
      <c r="L3808" s="9"/>
      <c r="M3808" s="9"/>
      <c r="N3808" s="9"/>
      <c r="O3808" s="9"/>
      <c r="P3808" s="9"/>
      <c r="Q3808" s="9"/>
      <c r="R3808" s="9"/>
      <c r="S3808" s="42"/>
      <c r="T3808" s="42"/>
      <c r="U3808" s="42"/>
      <c r="V3808" s="42"/>
      <c r="W3808" s="42"/>
      <c r="X3808" s="42"/>
      <c r="Y3808" s="42"/>
      <c r="Z3808" s="42"/>
      <c r="AA3808" s="42"/>
      <c r="AB3808" s="42"/>
      <c r="AC3808" s="42"/>
      <c r="AD3808" s="42"/>
      <c r="AE3808" s="42"/>
      <c r="AF3808" s="9"/>
      <c r="AG3808" s="9"/>
      <c r="AH3808" s="42"/>
      <c r="AI3808" s="42"/>
      <c r="AJ3808" s="42"/>
      <c r="AK3808" s="42"/>
      <c r="AL3808" s="42"/>
      <c r="AM3808" s="42"/>
      <c r="AN3808" s="42"/>
      <c r="AO3808" s="63" t="str">
        <f>IFERROR(__xludf.DUMMYFUNCTION("IF(ISBLANK(A3808),,IF(ISBLANK(S3808), A3808&amp;"";"", TEXTJOIN(CHAR(10), TRUE, A3808&amp;"";"", ARRAYFORMULA(VLOOKUP(SPLIT(S3808, "";"" &amp; CHAR(10)), $A:$AO, 41, FALSE)))))"),"")</f>
        <v/>
      </c>
      <c r="AP3808" s="89"/>
    </row>
    <row r="3809">
      <c r="A3809" s="42"/>
      <c r="B3809" s="42"/>
      <c r="C3809" s="42"/>
      <c r="D3809" s="42"/>
      <c r="E3809" s="39"/>
      <c r="F3809" s="9"/>
      <c r="G3809" s="9"/>
      <c r="H3809" s="9"/>
      <c r="I3809" s="9"/>
      <c r="J3809" s="9"/>
      <c r="K3809" s="9"/>
      <c r="L3809" s="9"/>
      <c r="M3809" s="9"/>
      <c r="N3809" s="9"/>
      <c r="O3809" s="9"/>
      <c r="P3809" s="9"/>
      <c r="Q3809" s="9"/>
      <c r="R3809" s="9"/>
      <c r="S3809" s="42"/>
      <c r="T3809" s="42"/>
      <c r="U3809" s="42"/>
      <c r="V3809" s="42"/>
      <c r="W3809" s="42"/>
      <c r="X3809" s="42"/>
      <c r="Y3809" s="42"/>
      <c r="Z3809" s="42"/>
      <c r="AA3809" s="42"/>
      <c r="AB3809" s="42"/>
      <c r="AC3809" s="42"/>
      <c r="AD3809" s="42"/>
      <c r="AE3809" s="42"/>
      <c r="AF3809" s="9"/>
      <c r="AG3809" s="9"/>
      <c r="AH3809" s="42"/>
      <c r="AI3809" s="42"/>
      <c r="AJ3809" s="42"/>
      <c r="AK3809" s="42"/>
      <c r="AL3809" s="42"/>
      <c r="AM3809" s="42"/>
      <c r="AN3809" s="42"/>
      <c r="AO3809" s="63" t="str">
        <f>IFERROR(__xludf.DUMMYFUNCTION("IF(ISBLANK(A3809),,IF(ISBLANK(S3809), A3809&amp;"";"", TEXTJOIN(CHAR(10), TRUE, A3809&amp;"";"", ARRAYFORMULA(VLOOKUP(SPLIT(S3809, "";"" &amp; CHAR(10)), $A:$AO, 41, FALSE)))))"),"")</f>
        <v/>
      </c>
      <c r="AP3809" s="89"/>
    </row>
    <row r="3810">
      <c r="A3810" s="42"/>
      <c r="B3810" s="42"/>
      <c r="C3810" s="42"/>
      <c r="D3810" s="42"/>
      <c r="E3810" s="39"/>
      <c r="F3810" s="9"/>
      <c r="G3810" s="9"/>
      <c r="H3810" s="9"/>
      <c r="I3810" s="9"/>
      <c r="J3810" s="9"/>
      <c r="K3810" s="9"/>
      <c r="L3810" s="9"/>
      <c r="M3810" s="9"/>
      <c r="N3810" s="9"/>
      <c r="O3810" s="9"/>
      <c r="P3810" s="9"/>
      <c r="Q3810" s="9"/>
      <c r="R3810" s="9"/>
      <c r="S3810" s="42"/>
      <c r="T3810" s="42"/>
      <c r="U3810" s="42"/>
      <c r="V3810" s="42"/>
      <c r="W3810" s="42"/>
      <c r="X3810" s="42"/>
      <c r="Y3810" s="42"/>
      <c r="Z3810" s="42"/>
      <c r="AA3810" s="42"/>
      <c r="AB3810" s="42"/>
      <c r="AC3810" s="42"/>
      <c r="AD3810" s="42"/>
      <c r="AE3810" s="42"/>
      <c r="AF3810" s="9"/>
      <c r="AG3810" s="9"/>
      <c r="AH3810" s="42"/>
      <c r="AI3810" s="42"/>
      <c r="AJ3810" s="42"/>
      <c r="AK3810" s="42"/>
      <c r="AL3810" s="42"/>
      <c r="AM3810" s="42"/>
      <c r="AN3810" s="42"/>
      <c r="AO3810" s="63" t="str">
        <f>IFERROR(__xludf.DUMMYFUNCTION("IF(ISBLANK(A3810),,IF(ISBLANK(S3810), A3810&amp;"";"", TEXTJOIN(CHAR(10), TRUE, A3810&amp;"";"", ARRAYFORMULA(VLOOKUP(SPLIT(S3810, "";"" &amp; CHAR(10)), $A:$AO, 41, FALSE)))))"),"")</f>
        <v/>
      </c>
      <c r="AP3810" s="89"/>
    </row>
    <row r="3811">
      <c r="A3811" s="42"/>
      <c r="B3811" s="42"/>
      <c r="C3811" s="42"/>
      <c r="D3811" s="42"/>
      <c r="E3811" s="39"/>
      <c r="F3811" s="9"/>
      <c r="G3811" s="9"/>
      <c r="H3811" s="9"/>
      <c r="I3811" s="9"/>
      <c r="J3811" s="9"/>
      <c r="K3811" s="9"/>
      <c r="L3811" s="9"/>
      <c r="M3811" s="9"/>
      <c r="N3811" s="9"/>
      <c r="O3811" s="9"/>
      <c r="P3811" s="9"/>
      <c r="Q3811" s="9"/>
      <c r="R3811" s="9"/>
      <c r="S3811" s="42"/>
      <c r="T3811" s="42"/>
      <c r="U3811" s="42"/>
      <c r="V3811" s="42"/>
      <c r="W3811" s="42"/>
      <c r="X3811" s="42"/>
      <c r="Y3811" s="42"/>
      <c r="Z3811" s="42"/>
      <c r="AA3811" s="42"/>
      <c r="AB3811" s="42"/>
      <c r="AC3811" s="42"/>
      <c r="AD3811" s="42"/>
      <c r="AE3811" s="42"/>
      <c r="AF3811" s="9"/>
      <c r="AG3811" s="9"/>
      <c r="AH3811" s="42"/>
      <c r="AI3811" s="42"/>
      <c r="AJ3811" s="42"/>
      <c r="AK3811" s="42"/>
      <c r="AL3811" s="42"/>
      <c r="AM3811" s="42"/>
      <c r="AN3811" s="42"/>
      <c r="AO3811" s="63" t="str">
        <f>IFERROR(__xludf.DUMMYFUNCTION("IF(ISBLANK(A3811),,IF(ISBLANK(S3811), A3811&amp;"";"", TEXTJOIN(CHAR(10), TRUE, A3811&amp;"";"", ARRAYFORMULA(VLOOKUP(SPLIT(S3811, "";"" &amp; CHAR(10)), $A:$AO, 41, FALSE)))))"),"")</f>
        <v/>
      </c>
      <c r="AP3811" s="89"/>
    </row>
    <row r="3812">
      <c r="A3812" s="42"/>
      <c r="B3812" s="42"/>
      <c r="C3812" s="42"/>
      <c r="D3812" s="42"/>
      <c r="E3812" s="39"/>
      <c r="F3812" s="9"/>
      <c r="G3812" s="9"/>
      <c r="H3812" s="9"/>
      <c r="I3812" s="9"/>
      <c r="J3812" s="9"/>
      <c r="K3812" s="9"/>
      <c r="L3812" s="9"/>
      <c r="M3812" s="9"/>
      <c r="N3812" s="9"/>
      <c r="O3812" s="9"/>
      <c r="P3812" s="9"/>
      <c r="Q3812" s="9"/>
      <c r="R3812" s="9"/>
      <c r="S3812" s="42"/>
      <c r="T3812" s="42"/>
      <c r="U3812" s="42"/>
      <c r="V3812" s="42"/>
      <c r="W3812" s="42"/>
      <c r="X3812" s="42"/>
      <c r="Y3812" s="42"/>
      <c r="Z3812" s="42"/>
      <c r="AA3812" s="42"/>
      <c r="AB3812" s="42"/>
      <c r="AC3812" s="42"/>
      <c r="AD3812" s="42"/>
      <c r="AE3812" s="42"/>
      <c r="AF3812" s="9"/>
      <c r="AG3812" s="9"/>
      <c r="AH3812" s="42"/>
      <c r="AI3812" s="42"/>
      <c r="AJ3812" s="42"/>
      <c r="AK3812" s="42"/>
      <c r="AL3812" s="42"/>
      <c r="AM3812" s="42"/>
      <c r="AN3812" s="42"/>
      <c r="AO3812" s="63" t="str">
        <f>IFERROR(__xludf.DUMMYFUNCTION("IF(ISBLANK(A3812),,IF(ISBLANK(S3812), A3812&amp;"";"", TEXTJOIN(CHAR(10), TRUE, A3812&amp;"";"", ARRAYFORMULA(VLOOKUP(SPLIT(S3812, "";"" &amp; CHAR(10)), $A:$AO, 41, FALSE)))))"),"")</f>
        <v/>
      </c>
      <c r="AP3812" s="89"/>
    </row>
    <row r="3813">
      <c r="A3813" s="42"/>
      <c r="B3813" s="42"/>
      <c r="C3813" s="42"/>
      <c r="D3813" s="42"/>
      <c r="E3813" s="39"/>
      <c r="F3813" s="9"/>
      <c r="G3813" s="9"/>
      <c r="H3813" s="9"/>
      <c r="I3813" s="9"/>
      <c r="J3813" s="9"/>
      <c r="K3813" s="9"/>
      <c r="L3813" s="9"/>
      <c r="M3813" s="9"/>
      <c r="N3813" s="9"/>
      <c r="O3813" s="9"/>
      <c r="P3813" s="9"/>
      <c r="Q3813" s="9"/>
      <c r="R3813" s="9"/>
      <c r="S3813" s="42"/>
      <c r="T3813" s="42"/>
      <c r="U3813" s="42"/>
      <c r="V3813" s="42"/>
      <c r="W3813" s="42"/>
      <c r="X3813" s="42"/>
      <c r="Y3813" s="42"/>
      <c r="Z3813" s="42"/>
      <c r="AA3813" s="42"/>
      <c r="AB3813" s="42"/>
      <c r="AC3813" s="42"/>
      <c r="AD3813" s="42"/>
      <c r="AE3813" s="42"/>
      <c r="AF3813" s="9"/>
      <c r="AG3813" s="9"/>
      <c r="AH3813" s="42"/>
      <c r="AI3813" s="42"/>
      <c r="AJ3813" s="42"/>
      <c r="AK3813" s="42"/>
      <c r="AL3813" s="42"/>
      <c r="AM3813" s="42"/>
      <c r="AN3813" s="42"/>
      <c r="AO3813" s="63" t="str">
        <f>IFERROR(__xludf.DUMMYFUNCTION("IF(ISBLANK(A3813),,IF(ISBLANK(S3813), A3813&amp;"";"", TEXTJOIN(CHAR(10), TRUE, A3813&amp;"";"", ARRAYFORMULA(VLOOKUP(SPLIT(S3813, "";"" &amp; CHAR(10)), $A:$AO, 41, FALSE)))))"),"")</f>
        <v/>
      </c>
      <c r="AP3813" s="89"/>
    </row>
    <row r="3814">
      <c r="A3814" s="42"/>
      <c r="B3814" s="42"/>
      <c r="C3814" s="42"/>
      <c r="D3814" s="42"/>
      <c r="E3814" s="39"/>
      <c r="F3814" s="9"/>
      <c r="G3814" s="9"/>
      <c r="H3814" s="9"/>
      <c r="I3814" s="9"/>
      <c r="J3814" s="9"/>
      <c r="K3814" s="9"/>
      <c r="L3814" s="9"/>
      <c r="M3814" s="9"/>
      <c r="N3814" s="9"/>
      <c r="O3814" s="9"/>
      <c r="P3814" s="9"/>
      <c r="Q3814" s="9"/>
      <c r="R3814" s="9"/>
      <c r="S3814" s="42"/>
      <c r="T3814" s="42"/>
      <c r="U3814" s="42"/>
      <c r="V3814" s="42"/>
      <c r="W3814" s="42"/>
      <c r="X3814" s="42"/>
      <c r="Y3814" s="42"/>
      <c r="Z3814" s="42"/>
      <c r="AA3814" s="42"/>
      <c r="AB3814" s="42"/>
      <c r="AC3814" s="42"/>
      <c r="AD3814" s="42"/>
      <c r="AE3814" s="42"/>
      <c r="AF3814" s="9"/>
      <c r="AG3814" s="9"/>
      <c r="AH3814" s="42"/>
      <c r="AI3814" s="42"/>
      <c r="AJ3814" s="42"/>
      <c r="AK3814" s="42"/>
      <c r="AL3814" s="42"/>
      <c r="AM3814" s="42"/>
      <c r="AN3814" s="42"/>
      <c r="AO3814" s="63" t="str">
        <f>IFERROR(__xludf.DUMMYFUNCTION("IF(ISBLANK(A3814),,IF(ISBLANK(S3814), A3814&amp;"";"", TEXTJOIN(CHAR(10), TRUE, A3814&amp;"";"", ARRAYFORMULA(VLOOKUP(SPLIT(S3814, "";"" &amp; CHAR(10)), $A:$AO, 41, FALSE)))))"),"")</f>
        <v/>
      </c>
      <c r="AP3814" s="89"/>
    </row>
    <row r="3815">
      <c r="A3815" s="42"/>
      <c r="B3815" s="42"/>
      <c r="C3815" s="42"/>
      <c r="D3815" s="42"/>
      <c r="E3815" s="39"/>
      <c r="F3815" s="9"/>
      <c r="G3815" s="9"/>
      <c r="H3815" s="9"/>
      <c r="I3815" s="9"/>
      <c r="J3815" s="9"/>
      <c r="K3815" s="9"/>
      <c r="L3815" s="9"/>
      <c r="M3815" s="9"/>
      <c r="N3815" s="9"/>
      <c r="O3815" s="9"/>
      <c r="P3815" s="9"/>
      <c r="Q3815" s="9"/>
      <c r="R3815" s="9"/>
      <c r="S3815" s="42"/>
      <c r="T3815" s="42"/>
      <c r="U3815" s="42"/>
      <c r="V3815" s="42"/>
      <c r="W3815" s="42"/>
      <c r="X3815" s="42"/>
      <c r="Y3815" s="42"/>
      <c r="Z3815" s="42"/>
      <c r="AA3815" s="42"/>
      <c r="AB3815" s="42"/>
      <c r="AC3815" s="42"/>
      <c r="AD3815" s="42"/>
      <c r="AE3815" s="42"/>
      <c r="AF3815" s="9"/>
      <c r="AG3815" s="9"/>
      <c r="AH3815" s="42"/>
      <c r="AI3815" s="42"/>
      <c r="AJ3815" s="42"/>
      <c r="AK3815" s="42"/>
      <c r="AL3815" s="42"/>
      <c r="AM3815" s="42"/>
      <c r="AN3815" s="42"/>
      <c r="AO3815" s="63" t="str">
        <f>IFERROR(__xludf.DUMMYFUNCTION("IF(ISBLANK(A3815),,IF(ISBLANK(S3815), A3815&amp;"";"", TEXTJOIN(CHAR(10), TRUE, A3815&amp;"";"", ARRAYFORMULA(VLOOKUP(SPLIT(S3815, "";"" &amp; CHAR(10)), $A:$AO, 41, FALSE)))))"),"")</f>
        <v/>
      </c>
      <c r="AP3815" s="89"/>
    </row>
    <row r="3816">
      <c r="A3816" s="42"/>
      <c r="B3816" s="42"/>
      <c r="C3816" s="42"/>
      <c r="D3816" s="42"/>
      <c r="E3816" s="39"/>
      <c r="F3816" s="9"/>
      <c r="G3816" s="9"/>
      <c r="H3816" s="9"/>
      <c r="I3816" s="9"/>
      <c r="J3816" s="9"/>
      <c r="K3816" s="9"/>
      <c r="L3816" s="9"/>
      <c r="M3816" s="9"/>
      <c r="N3816" s="9"/>
      <c r="O3816" s="9"/>
      <c r="P3816" s="9"/>
      <c r="Q3816" s="9"/>
      <c r="R3816" s="9"/>
      <c r="S3816" s="42"/>
      <c r="T3816" s="42"/>
      <c r="U3816" s="42"/>
      <c r="V3816" s="42"/>
      <c r="W3816" s="42"/>
      <c r="X3816" s="42"/>
      <c r="Y3816" s="42"/>
      <c r="Z3816" s="42"/>
      <c r="AA3816" s="42"/>
      <c r="AB3816" s="42"/>
      <c r="AC3816" s="42"/>
      <c r="AD3816" s="42"/>
      <c r="AE3816" s="42"/>
      <c r="AF3816" s="9"/>
      <c r="AG3816" s="9"/>
      <c r="AH3816" s="42"/>
      <c r="AI3816" s="42"/>
      <c r="AJ3816" s="42"/>
      <c r="AK3816" s="42"/>
      <c r="AL3816" s="42"/>
      <c r="AM3816" s="42"/>
      <c r="AN3816" s="42"/>
      <c r="AO3816" s="63" t="str">
        <f>IFERROR(__xludf.DUMMYFUNCTION("IF(ISBLANK(A3816),,IF(ISBLANK(S3816), A3816&amp;"";"", TEXTJOIN(CHAR(10), TRUE, A3816&amp;"";"", ARRAYFORMULA(VLOOKUP(SPLIT(S3816, "";"" &amp; CHAR(10)), $A:$AO, 41, FALSE)))))"),"")</f>
        <v/>
      </c>
      <c r="AP3816" s="89"/>
    </row>
    <row r="3817">
      <c r="A3817" s="42"/>
      <c r="B3817" s="42"/>
      <c r="C3817" s="42"/>
      <c r="D3817" s="42"/>
      <c r="E3817" s="39"/>
      <c r="F3817" s="9"/>
      <c r="G3817" s="9"/>
      <c r="H3817" s="9"/>
      <c r="I3817" s="9"/>
      <c r="J3817" s="9"/>
      <c r="K3817" s="9"/>
      <c r="L3817" s="9"/>
      <c r="M3817" s="9"/>
      <c r="N3817" s="9"/>
      <c r="O3817" s="9"/>
      <c r="P3817" s="9"/>
      <c r="Q3817" s="9"/>
      <c r="R3817" s="9"/>
      <c r="S3817" s="42"/>
      <c r="T3817" s="42"/>
      <c r="U3817" s="42"/>
      <c r="V3817" s="42"/>
      <c r="W3817" s="42"/>
      <c r="X3817" s="42"/>
      <c r="Y3817" s="42"/>
      <c r="Z3817" s="42"/>
      <c r="AA3817" s="42"/>
      <c r="AB3817" s="42"/>
      <c r="AC3817" s="42"/>
      <c r="AD3817" s="42"/>
      <c r="AE3817" s="42"/>
      <c r="AF3817" s="9"/>
      <c r="AG3817" s="9"/>
      <c r="AH3817" s="42"/>
      <c r="AI3817" s="42"/>
      <c r="AJ3817" s="42"/>
      <c r="AK3817" s="42"/>
      <c r="AL3817" s="42"/>
      <c r="AM3817" s="42"/>
      <c r="AN3817" s="42"/>
      <c r="AO3817" s="63" t="str">
        <f>IFERROR(__xludf.DUMMYFUNCTION("IF(ISBLANK(A3817),,IF(ISBLANK(S3817), A3817&amp;"";"", TEXTJOIN(CHAR(10), TRUE, A3817&amp;"";"", ARRAYFORMULA(VLOOKUP(SPLIT(S3817, "";"" &amp; CHAR(10)), $A:$AO, 41, FALSE)))))"),"")</f>
        <v/>
      </c>
      <c r="AP3817" s="89"/>
    </row>
    <row r="3818">
      <c r="A3818" s="42"/>
      <c r="B3818" s="42"/>
      <c r="C3818" s="42"/>
      <c r="D3818" s="42"/>
      <c r="E3818" s="39"/>
      <c r="F3818" s="9"/>
      <c r="G3818" s="9"/>
      <c r="H3818" s="9"/>
      <c r="I3818" s="9"/>
      <c r="J3818" s="9"/>
      <c r="K3818" s="9"/>
      <c r="L3818" s="9"/>
      <c r="M3818" s="9"/>
      <c r="N3818" s="9"/>
      <c r="O3818" s="9"/>
      <c r="P3818" s="9"/>
      <c r="Q3818" s="9"/>
      <c r="R3818" s="9"/>
      <c r="S3818" s="42"/>
      <c r="T3818" s="42"/>
      <c r="U3818" s="42"/>
      <c r="V3818" s="42"/>
      <c r="W3818" s="42"/>
      <c r="X3818" s="42"/>
      <c r="Y3818" s="42"/>
      <c r="Z3818" s="42"/>
      <c r="AA3818" s="42"/>
      <c r="AB3818" s="42"/>
      <c r="AC3818" s="42"/>
      <c r="AD3818" s="42"/>
      <c r="AE3818" s="42"/>
      <c r="AF3818" s="9"/>
      <c r="AG3818" s="9"/>
      <c r="AH3818" s="42"/>
      <c r="AI3818" s="42"/>
      <c r="AJ3818" s="42"/>
      <c r="AK3818" s="42"/>
      <c r="AL3818" s="42"/>
      <c r="AM3818" s="42"/>
      <c r="AN3818" s="42"/>
      <c r="AO3818" s="63" t="str">
        <f>IFERROR(__xludf.DUMMYFUNCTION("IF(ISBLANK(A3818),,IF(ISBLANK(S3818), A3818&amp;"";"", TEXTJOIN(CHAR(10), TRUE, A3818&amp;"";"", ARRAYFORMULA(VLOOKUP(SPLIT(S3818, "";"" &amp; CHAR(10)), $A:$AO, 41, FALSE)))))"),"")</f>
        <v/>
      </c>
      <c r="AP3818" s="89"/>
    </row>
    <row r="3819">
      <c r="A3819" s="42"/>
      <c r="B3819" s="42"/>
      <c r="C3819" s="42"/>
      <c r="D3819" s="42"/>
      <c r="E3819" s="39"/>
      <c r="F3819" s="9"/>
      <c r="G3819" s="9"/>
      <c r="H3819" s="9"/>
      <c r="I3819" s="9"/>
      <c r="J3819" s="9"/>
      <c r="K3819" s="9"/>
      <c r="L3819" s="9"/>
      <c r="M3819" s="9"/>
      <c r="N3819" s="9"/>
      <c r="O3819" s="9"/>
      <c r="P3819" s="9"/>
      <c r="Q3819" s="9"/>
      <c r="R3819" s="9"/>
      <c r="S3819" s="42"/>
      <c r="T3819" s="42"/>
      <c r="U3819" s="42"/>
      <c r="V3819" s="42"/>
      <c r="W3819" s="42"/>
      <c r="X3819" s="42"/>
      <c r="Y3819" s="42"/>
      <c r="Z3819" s="42"/>
      <c r="AA3819" s="42"/>
      <c r="AB3819" s="42"/>
      <c r="AC3819" s="42"/>
      <c r="AD3819" s="42"/>
      <c r="AE3819" s="42"/>
      <c r="AF3819" s="9"/>
      <c r="AG3819" s="9"/>
      <c r="AH3819" s="42"/>
      <c r="AI3819" s="42"/>
      <c r="AJ3819" s="42"/>
      <c r="AK3819" s="42"/>
      <c r="AL3819" s="42"/>
      <c r="AM3819" s="42"/>
      <c r="AN3819" s="42"/>
      <c r="AO3819" s="63" t="str">
        <f>IFERROR(__xludf.DUMMYFUNCTION("IF(ISBLANK(A3819),,IF(ISBLANK(S3819), A3819&amp;"";"", TEXTJOIN(CHAR(10), TRUE, A3819&amp;"";"", ARRAYFORMULA(VLOOKUP(SPLIT(S3819, "";"" &amp; CHAR(10)), $A:$AO, 41, FALSE)))))"),"")</f>
        <v/>
      </c>
      <c r="AP3819" s="89"/>
    </row>
    <row r="3820">
      <c r="A3820" s="42"/>
      <c r="B3820" s="42"/>
      <c r="C3820" s="42"/>
      <c r="D3820" s="42"/>
      <c r="E3820" s="39"/>
      <c r="F3820" s="9"/>
      <c r="G3820" s="9"/>
      <c r="H3820" s="9"/>
      <c r="I3820" s="9"/>
      <c r="J3820" s="9"/>
      <c r="K3820" s="9"/>
      <c r="L3820" s="9"/>
      <c r="M3820" s="9"/>
      <c r="N3820" s="9"/>
      <c r="O3820" s="9"/>
      <c r="P3820" s="9"/>
      <c r="Q3820" s="9"/>
      <c r="R3820" s="9"/>
      <c r="S3820" s="42"/>
      <c r="T3820" s="42"/>
      <c r="U3820" s="42"/>
      <c r="V3820" s="42"/>
      <c r="W3820" s="42"/>
      <c r="X3820" s="42"/>
      <c r="Y3820" s="42"/>
      <c r="Z3820" s="42"/>
      <c r="AA3820" s="42"/>
      <c r="AB3820" s="42"/>
      <c r="AC3820" s="42"/>
      <c r="AD3820" s="42"/>
      <c r="AE3820" s="42"/>
      <c r="AF3820" s="9"/>
      <c r="AG3820" s="9"/>
      <c r="AH3820" s="42"/>
      <c r="AI3820" s="42"/>
      <c r="AJ3820" s="42"/>
      <c r="AK3820" s="42"/>
      <c r="AL3820" s="42"/>
      <c r="AM3820" s="42"/>
      <c r="AN3820" s="42"/>
      <c r="AO3820" s="63" t="str">
        <f>IFERROR(__xludf.DUMMYFUNCTION("IF(ISBLANK(A3820),,IF(ISBLANK(S3820), A3820&amp;"";"", TEXTJOIN(CHAR(10), TRUE, A3820&amp;"";"", ARRAYFORMULA(VLOOKUP(SPLIT(S3820, "";"" &amp; CHAR(10)), $A:$AO, 41, FALSE)))))"),"")</f>
        <v/>
      </c>
      <c r="AP3820" s="89"/>
    </row>
    <row r="3821">
      <c r="A3821" s="42"/>
      <c r="B3821" s="42"/>
      <c r="C3821" s="42"/>
      <c r="D3821" s="42"/>
      <c r="E3821" s="39"/>
      <c r="F3821" s="9"/>
      <c r="G3821" s="9"/>
      <c r="H3821" s="9"/>
      <c r="I3821" s="9"/>
      <c r="J3821" s="9"/>
      <c r="K3821" s="9"/>
      <c r="L3821" s="9"/>
      <c r="M3821" s="9"/>
      <c r="N3821" s="9"/>
      <c r="O3821" s="9"/>
      <c r="P3821" s="9"/>
      <c r="Q3821" s="9"/>
      <c r="R3821" s="9"/>
      <c r="S3821" s="42"/>
      <c r="T3821" s="42"/>
      <c r="U3821" s="42"/>
      <c r="V3821" s="42"/>
      <c r="W3821" s="42"/>
      <c r="X3821" s="42"/>
      <c r="Y3821" s="42"/>
      <c r="Z3821" s="42"/>
      <c r="AA3821" s="42"/>
      <c r="AB3821" s="42"/>
      <c r="AC3821" s="42"/>
      <c r="AD3821" s="42"/>
      <c r="AE3821" s="42"/>
      <c r="AF3821" s="9"/>
      <c r="AG3821" s="9"/>
      <c r="AH3821" s="42"/>
      <c r="AI3821" s="42"/>
      <c r="AJ3821" s="42"/>
      <c r="AK3821" s="42"/>
      <c r="AL3821" s="42"/>
      <c r="AM3821" s="42"/>
      <c r="AN3821" s="42"/>
      <c r="AO3821" s="63" t="str">
        <f>IFERROR(__xludf.DUMMYFUNCTION("IF(ISBLANK(A3821),,IF(ISBLANK(S3821), A3821&amp;"";"", TEXTJOIN(CHAR(10), TRUE, A3821&amp;"";"", ARRAYFORMULA(VLOOKUP(SPLIT(S3821, "";"" &amp; CHAR(10)), $A:$AO, 41, FALSE)))))"),"")</f>
        <v/>
      </c>
      <c r="AP3821" s="89"/>
    </row>
    <row r="3822">
      <c r="A3822" s="42"/>
      <c r="B3822" s="42"/>
      <c r="C3822" s="42"/>
      <c r="D3822" s="42"/>
      <c r="E3822" s="39"/>
      <c r="F3822" s="9"/>
      <c r="G3822" s="9"/>
      <c r="H3822" s="9"/>
      <c r="I3822" s="9"/>
      <c r="J3822" s="9"/>
      <c r="K3822" s="9"/>
      <c r="L3822" s="9"/>
      <c r="M3822" s="9"/>
      <c r="N3822" s="9"/>
      <c r="O3822" s="9"/>
      <c r="P3822" s="9"/>
      <c r="Q3822" s="9"/>
      <c r="R3822" s="9"/>
      <c r="S3822" s="42"/>
      <c r="T3822" s="42"/>
      <c r="U3822" s="42"/>
      <c r="V3822" s="42"/>
      <c r="W3822" s="42"/>
      <c r="X3822" s="42"/>
      <c r="Y3822" s="42"/>
      <c r="Z3822" s="42"/>
      <c r="AA3822" s="42"/>
      <c r="AB3822" s="42"/>
      <c r="AC3822" s="42"/>
      <c r="AD3822" s="42"/>
      <c r="AE3822" s="42"/>
      <c r="AF3822" s="9"/>
      <c r="AG3822" s="9"/>
      <c r="AH3822" s="42"/>
      <c r="AI3822" s="42"/>
      <c r="AJ3822" s="42"/>
      <c r="AK3822" s="42"/>
      <c r="AL3822" s="42"/>
      <c r="AM3822" s="42"/>
      <c r="AN3822" s="42"/>
      <c r="AO3822" s="63" t="str">
        <f>IFERROR(__xludf.DUMMYFUNCTION("IF(ISBLANK(A3822),,IF(ISBLANK(S3822), A3822&amp;"";"", TEXTJOIN(CHAR(10), TRUE, A3822&amp;"";"", ARRAYFORMULA(VLOOKUP(SPLIT(S3822, "";"" &amp; CHAR(10)), $A:$AO, 41, FALSE)))))"),"")</f>
        <v/>
      </c>
      <c r="AP3822" s="89"/>
    </row>
    <row r="3823">
      <c r="A3823" s="42"/>
      <c r="B3823" s="42"/>
      <c r="C3823" s="42"/>
      <c r="D3823" s="42"/>
      <c r="E3823" s="39"/>
      <c r="F3823" s="9"/>
      <c r="G3823" s="9"/>
      <c r="H3823" s="9"/>
      <c r="I3823" s="9"/>
      <c r="J3823" s="9"/>
      <c r="K3823" s="9"/>
      <c r="L3823" s="9"/>
      <c r="M3823" s="9"/>
      <c r="N3823" s="9"/>
      <c r="O3823" s="9"/>
      <c r="P3823" s="9"/>
      <c r="Q3823" s="9"/>
      <c r="R3823" s="9"/>
      <c r="S3823" s="42"/>
      <c r="T3823" s="42"/>
      <c r="U3823" s="42"/>
      <c r="V3823" s="42"/>
      <c r="W3823" s="42"/>
      <c r="X3823" s="42"/>
      <c r="Y3823" s="42"/>
      <c r="Z3823" s="42"/>
      <c r="AA3823" s="42"/>
      <c r="AB3823" s="42"/>
      <c r="AC3823" s="42"/>
      <c r="AD3823" s="42"/>
      <c r="AE3823" s="42"/>
      <c r="AF3823" s="9"/>
      <c r="AG3823" s="9"/>
      <c r="AH3823" s="42"/>
      <c r="AI3823" s="42"/>
      <c r="AJ3823" s="42"/>
      <c r="AK3823" s="42"/>
      <c r="AL3823" s="42"/>
      <c r="AM3823" s="42"/>
      <c r="AN3823" s="42"/>
      <c r="AO3823" s="63" t="str">
        <f>IFERROR(__xludf.DUMMYFUNCTION("IF(ISBLANK(A3823),,IF(ISBLANK(S3823), A3823&amp;"";"", TEXTJOIN(CHAR(10), TRUE, A3823&amp;"";"", ARRAYFORMULA(VLOOKUP(SPLIT(S3823, "";"" &amp; CHAR(10)), $A:$AO, 41, FALSE)))))"),"")</f>
        <v/>
      </c>
      <c r="AP3823" s="89"/>
    </row>
    <row r="3824">
      <c r="A3824" s="42"/>
      <c r="B3824" s="42"/>
      <c r="C3824" s="42"/>
      <c r="D3824" s="42"/>
      <c r="E3824" s="39"/>
      <c r="F3824" s="9"/>
      <c r="G3824" s="9"/>
      <c r="H3824" s="9"/>
      <c r="I3824" s="9"/>
      <c r="J3824" s="9"/>
      <c r="K3824" s="9"/>
      <c r="L3824" s="9"/>
      <c r="M3824" s="9"/>
      <c r="N3824" s="9"/>
      <c r="O3824" s="9"/>
      <c r="P3824" s="9"/>
      <c r="Q3824" s="9"/>
      <c r="R3824" s="9"/>
      <c r="S3824" s="42"/>
      <c r="T3824" s="42"/>
      <c r="U3824" s="42"/>
      <c r="V3824" s="42"/>
      <c r="W3824" s="42"/>
      <c r="X3824" s="42"/>
      <c r="Y3824" s="42"/>
      <c r="Z3824" s="42"/>
      <c r="AA3824" s="42"/>
      <c r="AB3824" s="42"/>
      <c r="AC3824" s="42"/>
      <c r="AD3824" s="42"/>
      <c r="AE3824" s="42"/>
      <c r="AF3824" s="9"/>
      <c r="AG3824" s="9"/>
      <c r="AH3824" s="42"/>
      <c r="AI3824" s="42"/>
      <c r="AJ3824" s="42"/>
      <c r="AK3824" s="42"/>
      <c r="AL3824" s="42"/>
      <c r="AM3824" s="42"/>
      <c r="AN3824" s="42"/>
      <c r="AO3824" s="63" t="str">
        <f>IFERROR(__xludf.DUMMYFUNCTION("IF(ISBLANK(A3824),,IF(ISBLANK(S3824), A3824&amp;"";"", TEXTJOIN(CHAR(10), TRUE, A3824&amp;"";"", ARRAYFORMULA(VLOOKUP(SPLIT(S3824, "";"" &amp; CHAR(10)), $A:$AO, 41, FALSE)))))"),"")</f>
        <v/>
      </c>
      <c r="AP3824" s="89"/>
    </row>
    <row r="3825">
      <c r="A3825" s="42"/>
      <c r="B3825" s="42"/>
      <c r="C3825" s="42"/>
      <c r="D3825" s="42"/>
      <c r="E3825" s="39"/>
      <c r="F3825" s="9"/>
      <c r="G3825" s="9"/>
      <c r="H3825" s="9"/>
      <c r="I3825" s="9"/>
      <c r="J3825" s="9"/>
      <c r="K3825" s="9"/>
      <c r="L3825" s="9"/>
      <c r="M3825" s="9"/>
      <c r="N3825" s="9"/>
      <c r="O3825" s="9"/>
      <c r="P3825" s="9"/>
      <c r="Q3825" s="9"/>
      <c r="R3825" s="9"/>
      <c r="S3825" s="42"/>
      <c r="T3825" s="42"/>
      <c r="U3825" s="42"/>
      <c r="V3825" s="42"/>
      <c r="W3825" s="42"/>
      <c r="X3825" s="42"/>
      <c r="Y3825" s="42"/>
      <c r="Z3825" s="42"/>
      <c r="AA3825" s="42"/>
      <c r="AB3825" s="42"/>
      <c r="AC3825" s="42"/>
      <c r="AD3825" s="42"/>
      <c r="AE3825" s="42"/>
      <c r="AF3825" s="9"/>
      <c r="AG3825" s="9"/>
      <c r="AH3825" s="42"/>
      <c r="AI3825" s="42"/>
      <c r="AJ3825" s="42"/>
      <c r="AK3825" s="42"/>
      <c r="AL3825" s="42"/>
      <c r="AM3825" s="42"/>
      <c r="AN3825" s="42"/>
      <c r="AO3825" s="63" t="str">
        <f>IFERROR(__xludf.DUMMYFUNCTION("IF(ISBLANK(A3825),,IF(ISBLANK(S3825), A3825&amp;"";"", TEXTJOIN(CHAR(10), TRUE, A3825&amp;"";"", ARRAYFORMULA(VLOOKUP(SPLIT(S3825, "";"" &amp; CHAR(10)), $A:$AO, 41, FALSE)))))"),"")</f>
        <v/>
      </c>
      <c r="AP3825" s="89"/>
    </row>
    <row r="3826">
      <c r="A3826" s="42"/>
      <c r="B3826" s="42"/>
      <c r="C3826" s="42"/>
      <c r="D3826" s="42"/>
      <c r="E3826" s="39"/>
      <c r="F3826" s="9"/>
      <c r="G3826" s="9"/>
      <c r="H3826" s="9"/>
      <c r="I3826" s="9"/>
      <c r="J3826" s="9"/>
      <c r="K3826" s="9"/>
      <c r="L3826" s="9"/>
      <c r="M3826" s="9"/>
      <c r="N3826" s="9"/>
      <c r="O3826" s="9"/>
      <c r="P3826" s="9"/>
      <c r="Q3826" s="9"/>
      <c r="R3826" s="9"/>
      <c r="S3826" s="42"/>
      <c r="T3826" s="42"/>
      <c r="U3826" s="42"/>
      <c r="V3826" s="42"/>
      <c r="W3826" s="42"/>
      <c r="X3826" s="42"/>
      <c r="Y3826" s="42"/>
      <c r="Z3826" s="42"/>
      <c r="AA3826" s="42"/>
      <c r="AB3826" s="42"/>
      <c r="AC3826" s="42"/>
      <c r="AD3826" s="42"/>
      <c r="AE3826" s="42"/>
      <c r="AF3826" s="9"/>
      <c r="AG3826" s="9"/>
      <c r="AH3826" s="42"/>
      <c r="AI3826" s="42"/>
      <c r="AJ3826" s="42"/>
      <c r="AK3826" s="42"/>
      <c r="AL3826" s="42"/>
      <c r="AM3826" s="42"/>
      <c r="AN3826" s="42"/>
      <c r="AO3826" s="63" t="str">
        <f>IFERROR(__xludf.DUMMYFUNCTION("IF(ISBLANK(A3826),,IF(ISBLANK(S3826), A3826&amp;"";"", TEXTJOIN(CHAR(10), TRUE, A3826&amp;"";"", ARRAYFORMULA(VLOOKUP(SPLIT(S3826, "";"" &amp; CHAR(10)), $A:$AO, 41, FALSE)))))"),"")</f>
        <v/>
      </c>
      <c r="AP3826" s="89"/>
    </row>
    <row r="3827">
      <c r="A3827" s="42"/>
      <c r="B3827" s="42"/>
      <c r="C3827" s="42"/>
      <c r="D3827" s="42"/>
      <c r="E3827" s="39"/>
      <c r="F3827" s="9"/>
      <c r="G3827" s="9"/>
      <c r="H3827" s="9"/>
      <c r="I3827" s="9"/>
      <c r="J3827" s="9"/>
      <c r="K3827" s="9"/>
      <c r="L3827" s="9"/>
      <c r="M3827" s="9"/>
      <c r="N3827" s="9"/>
      <c r="O3827" s="9"/>
      <c r="P3827" s="9"/>
      <c r="Q3827" s="9"/>
      <c r="R3827" s="9"/>
      <c r="S3827" s="42"/>
      <c r="T3827" s="42"/>
      <c r="U3827" s="42"/>
      <c r="V3827" s="42"/>
      <c r="W3827" s="42"/>
      <c r="X3827" s="42"/>
      <c r="Y3827" s="42"/>
      <c r="Z3827" s="42"/>
      <c r="AA3827" s="42"/>
      <c r="AB3827" s="42"/>
      <c r="AC3827" s="42"/>
      <c r="AD3827" s="42"/>
      <c r="AE3827" s="42"/>
      <c r="AF3827" s="9"/>
      <c r="AG3827" s="9"/>
      <c r="AH3827" s="42"/>
      <c r="AI3827" s="42"/>
      <c r="AJ3827" s="42"/>
      <c r="AK3827" s="42"/>
      <c r="AL3827" s="42"/>
      <c r="AM3827" s="42"/>
      <c r="AN3827" s="42"/>
      <c r="AO3827" s="63" t="str">
        <f>IFERROR(__xludf.DUMMYFUNCTION("IF(ISBLANK(A3827),,IF(ISBLANK(S3827), A3827&amp;"";"", TEXTJOIN(CHAR(10), TRUE, A3827&amp;"";"", ARRAYFORMULA(VLOOKUP(SPLIT(S3827, "";"" &amp; CHAR(10)), $A:$AO, 41, FALSE)))))"),"")</f>
        <v/>
      </c>
      <c r="AP3827" s="89"/>
    </row>
    <row r="3828">
      <c r="A3828" s="42"/>
      <c r="B3828" s="42"/>
      <c r="C3828" s="42"/>
      <c r="D3828" s="42"/>
      <c r="E3828" s="39"/>
      <c r="F3828" s="9"/>
      <c r="G3828" s="9"/>
      <c r="H3828" s="9"/>
      <c r="I3828" s="9"/>
      <c r="J3828" s="9"/>
      <c r="K3828" s="9"/>
      <c r="L3828" s="9"/>
      <c r="M3828" s="9"/>
      <c r="N3828" s="9"/>
      <c r="O3828" s="9"/>
      <c r="P3828" s="9"/>
      <c r="Q3828" s="9"/>
      <c r="R3828" s="9"/>
      <c r="S3828" s="42"/>
      <c r="T3828" s="42"/>
      <c r="U3828" s="42"/>
      <c r="V3828" s="42"/>
      <c r="W3828" s="42"/>
      <c r="X3828" s="42"/>
      <c r="Y3828" s="42"/>
      <c r="Z3828" s="42"/>
      <c r="AA3828" s="42"/>
      <c r="AB3828" s="42"/>
      <c r="AC3828" s="42"/>
      <c r="AD3828" s="42"/>
      <c r="AE3828" s="42"/>
      <c r="AF3828" s="9"/>
      <c r="AG3828" s="9"/>
      <c r="AH3828" s="42"/>
      <c r="AI3828" s="42"/>
      <c r="AJ3828" s="42"/>
      <c r="AK3828" s="42"/>
      <c r="AL3828" s="42"/>
      <c r="AM3828" s="42"/>
      <c r="AN3828" s="42"/>
      <c r="AO3828" s="63" t="str">
        <f>IFERROR(__xludf.DUMMYFUNCTION("IF(ISBLANK(A3828),,IF(ISBLANK(S3828), A3828&amp;"";"", TEXTJOIN(CHAR(10), TRUE, A3828&amp;"";"", ARRAYFORMULA(VLOOKUP(SPLIT(S3828, "";"" &amp; CHAR(10)), $A:$AO, 41, FALSE)))))"),"")</f>
        <v/>
      </c>
      <c r="AP3828" s="89"/>
    </row>
    <row r="3829">
      <c r="A3829" s="42"/>
      <c r="B3829" s="42"/>
      <c r="C3829" s="42"/>
      <c r="D3829" s="42"/>
      <c r="E3829" s="39"/>
      <c r="F3829" s="9"/>
      <c r="G3829" s="9"/>
      <c r="H3829" s="9"/>
      <c r="I3829" s="9"/>
      <c r="J3829" s="9"/>
      <c r="K3829" s="9"/>
      <c r="L3829" s="9"/>
      <c r="M3829" s="9"/>
      <c r="N3829" s="9"/>
      <c r="O3829" s="9"/>
      <c r="P3829" s="9"/>
      <c r="Q3829" s="9"/>
      <c r="R3829" s="9"/>
      <c r="S3829" s="42"/>
      <c r="T3829" s="42"/>
      <c r="U3829" s="42"/>
      <c r="V3829" s="42"/>
      <c r="W3829" s="42"/>
      <c r="X3829" s="42"/>
      <c r="Y3829" s="42"/>
      <c r="Z3829" s="42"/>
      <c r="AA3829" s="42"/>
      <c r="AB3829" s="42"/>
      <c r="AC3829" s="42"/>
      <c r="AD3829" s="42"/>
      <c r="AE3829" s="42"/>
      <c r="AF3829" s="9"/>
      <c r="AG3829" s="9"/>
      <c r="AH3829" s="42"/>
      <c r="AI3829" s="42"/>
      <c r="AJ3829" s="42"/>
      <c r="AK3829" s="42"/>
      <c r="AL3829" s="42"/>
      <c r="AM3829" s="42"/>
      <c r="AN3829" s="42"/>
      <c r="AO3829" s="63" t="str">
        <f>IFERROR(__xludf.DUMMYFUNCTION("IF(ISBLANK(A3829),,IF(ISBLANK(S3829), A3829&amp;"";"", TEXTJOIN(CHAR(10), TRUE, A3829&amp;"";"", ARRAYFORMULA(VLOOKUP(SPLIT(S3829, "";"" &amp; CHAR(10)), $A:$AO, 41, FALSE)))))"),"")</f>
        <v/>
      </c>
      <c r="AP3829" s="89"/>
    </row>
    <row r="3830">
      <c r="A3830" s="42"/>
      <c r="B3830" s="42"/>
      <c r="C3830" s="42"/>
      <c r="D3830" s="42"/>
      <c r="E3830" s="39"/>
      <c r="F3830" s="9"/>
      <c r="G3830" s="9"/>
      <c r="H3830" s="9"/>
      <c r="I3830" s="9"/>
      <c r="J3830" s="9"/>
      <c r="K3830" s="9"/>
      <c r="L3830" s="9"/>
      <c r="M3830" s="9"/>
      <c r="N3830" s="9"/>
      <c r="O3830" s="9"/>
      <c r="P3830" s="9"/>
      <c r="Q3830" s="9"/>
      <c r="R3830" s="9"/>
      <c r="S3830" s="42"/>
      <c r="T3830" s="42"/>
      <c r="U3830" s="42"/>
      <c r="V3830" s="42"/>
      <c r="W3830" s="42"/>
      <c r="X3830" s="42"/>
      <c r="Y3830" s="42"/>
      <c r="Z3830" s="42"/>
      <c r="AA3830" s="42"/>
      <c r="AB3830" s="42"/>
      <c r="AC3830" s="42"/>
      <c r="AD3830" s="42"/>
      <c r="AE3830" s="42"/>
      <c r="AF3830" s="9"/>
      <c r="AG3830" s="9"/>
      <c r="AH3830" s="42"/>
      <c r="AI3830" s="42"/>
      <c r="AJ3830" s="42"/>
      <c r="AK3830" s="42"/>
      <c r="AL3830" s="42"/>
      <c r="AM3830" s="42"/>
      <c r="AN3830" s="42"/>
      <c r="AO3830" s="63" t="str">
        <f>IFERROR(__xludf.DUMMYFUNCTION("IF(ISBLANK(A3830),,IF(ISBLANK(S3830), A3830&amp;"";"", TEXTJOIN(CHAR(10), TRUE, A3830&amp;"";"", ARRAYFORMULA(VLOOKUP(SPLIT(S3830, "";"" &amp; CHAR(10)), $A:$AO, 41, FALSE)))))"),"")</f>
        <v/>
      </c>
      <c r="AP3830" s="89"/>
    </row>
    <row r="3831">
      <c r="A3831" s="42"/>
      <c r="B3831" s="42"/>
      <c r="C3831" s="42"/>
      <c r="D3831" s="42"/>
      <c r="E3831" s="39"/>
      <c r="F3831" s="9"/>
      <c r="G3831" s="9"/>
      <c r="H3831" s="9"/>
      <c r="I3831" s="9"/>
      <c r="J3831" s="9"/>
      <c r="K3831" s="9"/>
      <c r="L3831" s="9"/>
      <c r="M3831" s="9"/>
      <c r="N3831" s="9"/>
      <c r="O3831" s="9"/>
      <c r="P3831" s="9"/>
      <c r="Q3831" s="9"/>
      <c r="R3831" s="9"/>
      <c r="S3831" s="42"/>
      <c r="T3831" s="42"/>
      <c r="U3831" s="42"/>
      <c r="V3831" s="42"/>
      <c r="W3831" s="42"/>
      <c r="X3831" s="42"/>
      <c r="Y3831" s="42"/>
      <c r="Z3831" s="42"/>
      <c r="AA3831" s="42"/>
      <c r="AB3831" s="42"/>
      <c r="AC3831" s="42"/>
      <c r="AD3831" s="42"/>
      <c r="AE3831" s="42"/>
      <c r="AF3831" s="9"/>
      <c r="AG3831" s="9"/>
      <c r="AH3831" s="42"/>
      <c r="AI3831" s="42"/>
      <c r="AJ3831" s="42"/>
      <c r="AK3831" s="42"/>
      <c r="AL3831" s="42"/>
      <c r="AM3831" s="42"/>
      <c r="AN3831" s="42"/>
      <c r="AO3831" s="63" t="str">
        <f>IFERROR(__xludf.DUMMYFUNCTION("IF(ISBLANK(A3831),,IF(ISBLANK(S3831), A3831&amp;"";"", TEXTJOIN(CHAR(10), TRUE, A3831&amp;"";"", ARRAYFORMULA(VLOOKUP(SPLIT(S3831, "";"" &amp; CHAR(10)), $A:$AO, 41, FALSE)))))"),"")</f>
        <v/>
      </c>
      <c r="AP3831" s="89"/>
    </row>
    <row r="3832">
      <c r="A3832" s="42"/>
      <c r="B3832" s="42"/>
      <c r="C3832" s="42"/>
      <c r="D3832" s="42"/>
      <c r="E3832" s="39"/>
      <c r="F3832" s="9"/>
      <c r="G3832" s="9"/>
      <c r="H3832" s="9"/>
      <c r="I3832" s="9"/>
      <c r="J3832" s="9"/>
      <c r="K3832" s="9"/>
      <c r="L3832" s="9"/>
      <c r="M3832" s="9"/>
      <c r="N3832" s="9"/>
      <c r="O3832" s="9"/>
      <c r="P3832" s="9"/>
      <c r="Q3832" s="9"/>
      <c r="R3832" s="9"/>
      <c r="S3832" s="42"/>
      <c r="T3832" s="42"/>
      <c r="U3832" s="42"/>
      <c r="V3832" s="42"/>
      <c r="W3832" s="42"/>
      <c r="X3832" s="42"/>
      <c r="Y3832" s="42"/>
      <c r="Z3832" s="42"/>
      <c r="AA3832" s="42"/>
      <c r="AB3832" s="42"/>
      <c r="AC3832" s="42"/>
      <c r="AD3832" s="42"/>
      <c r="AE3832" s="42"/>
      <c r="AF3832" s="9"/>
      <c r="AG3832" s="9"/>
      <c r="AH3832" s="42"/>
      <c r="AI3832" s="42"/>
      <c r="AJ3832" s="42"/>
      <c r="AK3832" s="42"/>
      <c r="AL3832" s="42"/>
      <c r="AM3832" s="42"/>
      <c r="AN3832" s="42"/>
      <c r="AO3832" s="63" t="str">
        <f>IFERROR(__xludf.DUMMYFUNCTION("IF(ISBLANK(A3832),,IF(ISBLANK(S3832), A3832&amp;"";"", TEXTJOIN(CHAR(10), TRUE, A3832&amp;"";"", ARRAYFORMULA(VLOOKUP(SPLIT(S3832, "";"" &amp; CHAR(10)), $A:$AO, 41, FALSE)))))"),"")</f>
        <v/>
      </c>
      <c r="AP3832" s="89"/>
    </row>
    <row r="3833">
      <c r="A3833" s="42"/>
      <c r="B3833" s="42"/>
      <c r="C3833" s="42"/>
      <c r="D3833" s="42"/>
      <c r="E3833" s="39"/>
      <c r="F3833" s="9"/>
      <c r="G3833" s="9"/>
      <c r="H3833" s="9"/>
      <c r="I3833" s="9"/>
      <c r="J3833" s="9"/>
      <c r="K3833" s="9"/>
      <c r="L3833" s="9"/>
      <c r="M3833" s="9"/>
      <c r="N3833" s="9"/>
      <c r="O3833" s="9"/>
      <c r="P3833" s="9"/>
      <c r="Q3833" s="9"/>
      <c r="R3833" s="9"/>
      <c r="S3833" s="42"/>
      <c r="T3833" s="42"/>
      <c r="U3833" s="42"/>
      <c r="V3833" s="42"/>
      <c r="W3833" s="42"/>
      <c r="X3833" s="42"/>
      <c r="Y3833" s="42"/>
      <c r="Z3833" s="42"/>
      <c r="AA3833" s="42"/>
      <c r="AB3833" s="42"/>
      <c r="AC3833" s="42"/>
      <c r="AD3833" s="42"/>
      <c r="AE3833" s="42"/>
      <c r="AF3833" s="9"/>
      <c r="AG3833" s="9"/>
      <c r="AH3833" s="42"/>
      <c r="AI3833" s="42"/>
      <c r="AJ3833" s="42"/>
      <c r="AK3833" s="42"/>
      <c r="AL3833" s="42"/>
      <c r="AM3833" s="42"/>
      <c r="AN3833" s="42"/>
      <c r="AO3833" s="63" t="str">
        <f>IFERROR(__xludf.DUMMYFUNCTION("IF(ISBLANK(A3833),,IF(ISBLANK(S3833), A3833&amp;"";"", TEXTJOIN(CHAR(10), TRUE, A3833&amp;"";"", ARRAYFORMULA(VLOOKUP(SPLIT(S3833, "";"" &amp; CHAR(10)), $A:$AO, 41, FALSE)))))"),"")</f>
        <v/>
      </c>
      <c r="AP3833" s="89"/>
    </row>
    <row r="3834">
      <c r="A3834" s="42"/>
      <c r="B3834" s="42"/>
      <c r="C3834" s="42"/>
      <c r="D3834" s="42"/>
      <c r="E3834" s="39"/>
      <c r="F3834" s="9"/>
      <c r="G3834" s="9"/>
      <c r="H3834" s="9"/>
      <c r="I3834" s="9"/>
      <c r="J3834" s="9"/>
      <c r="K3834" s="9"/>
      <c r="L3834" s="9"/>
      <c r="M3834" s="9"/>
      <c r="N3834" s="9"/>
      <c r="O3834" s="9"/>
      <c r="P3834" s="9"/>
      <c r="Q3834" s="9"/>
      <c r="R3834" s="9"/>
      <c r="S3834" s="42"/>
      <c r="T3834" s="42"/>
      <c r="U3834" s="42"/>
      <c r="V3834" s="42"/>
      <c r="W3834" s="42"/>
      <c r="X3834" s="42"/>
      <c r="Y3834" s="42"/>
      <c r="Z3834" s="42"/>
      <c r="AA3834" s="42"/>
      <c r="AB3834" s="42"/>
      <c r="AC3834" s="42"/>
      <c r="AD3834" s="42"/>
      <c r="AE3834" s="42"/>
      <c r="AF3834" s="9"/>
      <c r="AG3834" s="9"/>
      <c r="AH3834" s="42"/>
      <c r="AI3834" s="42"/>
      <c r="AJ3834" s="42"/>
      <c r="AK3834" s="42"/>
      <c r="AL3834" s="42"/>
      <c r="AM3834" s="42"/>
      <c r="AN3834" s="42"/>
      <c r="AO3834" s="63" t="str">
        <f>IFERROR(__xludf.DUMMYFUNCTION("IF(ISBLANK(A3834),,IF(ISBLANK(S3834), A3834&amp;"";"", TEXTJOIN(CHAR(10), TRUE, A3834&amp;"";"", ARRAYFORMULA(VLOOKUP(SPLIT(S3834, "";"" &amp; CHAR(10)), $A:$AO, 41, FALSE)))))"),"")</f>
        <v/>
      </c>
      <c r="AP3834" s="89"/>
    </row>
    <row r="3835">
      <c r="A3835" s="42"/>
      <c r="B3835" s="42"/>
      <c r="C3835" s="42"/>
      <c r="D3835" s="42"/>
      <c r="E3835" s="39"/>
      <c r="F3835" s="9"/>
      <c r="G3835" s="9"/>
      <c r="H3835" s="9"/>
      <c r="I3835" s="9"/>
      <c r="J3835" s="9"/>
      <c r="K3835" s="9"/>
      <c r="L3835" s="9"/>
      <c r="M3835" s="9"/>
      <c r="N3835" s="9"/>
      <c r="O3835" s="9"/>
      <c r="P3835" s="9"/>
      <c r="Q3835" s="9"/>
      <c r="R3835" s="9"/>
      <c r="S3835" s="42"/>
      <c r="T3835" s="42"/>
      <c r="U3835" s="42"/>
      <c r="V3835" s="42"/>
      <c r="W3835" s="42"/>
      <c r="X3835" s="42"/>
      <c r="Y3835" s="42"/>
      <c r="Z3835" s="42"/>
      <c r="AA3835" s="42"/>
      <c r="AB3835" s="42"/>
      <c r="AC3835" s="42"/>
      <c r="AD3835" s="42"/>
      <c r="AE3835" s="42"/>
      <c r="AF3835" s="9"/>
      <c r="AG3835" s="9"/>
      <c r="AH3835" s="42"/>
      <c r="AI3835" s="42"/>
      <c r="AJ3835" s="42"/>
      <c r="AK3835" s="42"/>
      <c r="AL3835" s="42"/>
      <c r="AM3835" s="42"/>
      <c r="AN3835" s="42"/>
      <c r="AO3835" s="63" t="str">
        <f>IFERROR(__xludf.DUMMYFUNCTION("IF(ISBLANK(A3835),,IF(ISBLANK(S3835), A3835&amp;"";"", TEXTJOIN(CHAR(10), TRUE, A3835&amp;"";"", ARRAYFORMULA(VLOOKUP(SPLIT(S3835, "";"" &amp; CHAR(10)), $A:$AO, 41, FALSE)))))"),"")</f>
        <v/>
      </c>
      <c r="AP3835" s="89"/>
    </row>
    <row r="3836">
      <c r="A3836" s="42"/>
      <c r="B3836" s="42"/>
      <c r="C3836" s="42"/>
      <c r="D3836" s="42"/>
      <c r="E3836" s="39"/>
      <c r="F3836" s="9"/>
      <c r="G3836" s="9"/>
      <c r="H3836" s="9"/>
      <c r="I3836" s="9"/>
      <c r="J3836" s="9"/>
      <c r="K3836" s="9"/>
      <c r="L3836" s="9"/>
      <c r="M3836" s="9"/>
      <c r="N3836" s="9"/>
      <c r="O3836" s="9"/>
      <c r="P3836" s="9"/>
      <c r="Q3836" s="9"/>
      <c r="R3836" s="9"/>
      <c r="S3836" s="42"/>
      <c r="T3836" s="42"/>
      <c r="U3836" s="42"/>
      <c r="V3836" s="42"/>
      <c r="W3836" s="42"/>
      <c r="X3836" s="42"/>
      <c r="Y3836" s="42"/>
      <c r="Z3836" s="42"/>
      <c r="AA3836" s="42"/>
      <c r="AB3836" s="42"/>
      <c r="AC3836" s="42"/>
      <c r="AD3836" s="42"/>
      <c r="AE3836" s="42"/>
      <c r="AF3836" s="9"/>
      <c r="AG3836" s="9"/>
      <c r="AH3836" s="42"/>
      <c r="AI3836" s="42"/>
      <c r="AJ3836" s="42"/>
      <c r="AK3836" s="42"/>
      <c r="AL3836" s="42"/>
      <c r="AM3836" s="42"/>
      <c r="AN3836" s="42"/>
      <c r="AO3836" s="63" t="str">
        <f>IFERROR(__xludf.DUMMYFUNCTION("IF(ISBLANK(A3836),,IF(ISBLANK(S3836), A3836&amp;"";"", TEXTJOIN(CHAR(10), TRUE, A3836&amp;"";"", ARRAYFORMULA(VLOOKUP(SPLIT(S3836, "";"" &amp; CHAR(10)), $A:$AO, 41, FALSE)))))"),"")</f>
        <v/>
      </c>
      <c r="AP3836" s="89"/>
    </row>
    <row r="3837">
      <c r="A3837" s="42"/>
      <c r="B3837" s="42"/>
      <c r="C3837" s="42"/>
      <c r="D3837" s="42"/>
      <c r="E3837" s="39"/>
      <c r="F3837" s="9"/>
      <c r="G3837" s="9"/>
      <c r="H3837" s="9"/>
      <c r="I3837" s="9"/>
      <c r="J3837" s="9"/>
      <c r="K3837" s="9"/>
      <c r="L3837" s="9"/>
      <c r="M3837" s="9"/>
      <c r="N3837" s="9"/>
      <c r="O3837" s="9"/>
      <c r="P3837" s="9"/>
      <c r="Q3837" s="9"/>
      <c r="R3837" s="9"/>
      <c r="S3837" s="42"/>
      <c r="T3837" s="42"/>
      <c r="U3837" s="42"/>
      <c r="V3837" s="42"/>
      <c r="W3837" s="42"/>
      <c r="X3837" s="42"/>
      <c r="Y3837" s="42"/>
      <c r="Z3837" s="42"/>
      <c r="AA3837" s="42"/>
      <c r="AB3837" s="42"/>
      <c r="AC3837" s="42"/>
      <c r="AD3837" s="42"/>
      <c r="AE3837" s="42"/>
      <c r="AF3837" s="9"/>
      <c r="AG3837" s="9"/>
      <c r="AH3837" s="42"/>
      <c r="AI3837" s="42"/>
      <c r="AJ3837" s="42"/>
      <c r="AK3837" s="42"/>
      <c r="AL3837" s="42"/>
      <c r="AM3837" s="42"/>
      <c r="AN3837" s="42"/>
      <c r="AO3837" s="63" t="str">
        <f>IFERROR(__xludf.DUMMYFUNCTION("IF(ISBLANK(A3837),,IF(ISBLANK(S3837), A3837&amp;"";"", TEXTJOIN(CHAR(10), TRUE, A3837&amp;"";"", ARRAYFORMULA(VLOOKUP(SPLIT(S3837, "";"" &amp; CHAR(10)), $A:$AO, 41, FALSE)))))"),"")</f>
        <v/>
      </c>
      <c r="AP3837" s="89"/>
    </row>
    <row r="3838">
      <c r="A3838" s="42"/>
      <c r="B3838" s="42"/>
      <c r="C3838" s="42"/>
      <c r="D3838" s="42"/>
      <c r="E3838" s="39"/>
      <c r="F3838" s="9"/>
      <c r="G3838" s="9"/>
      <c r="H3838" s="9"/>
      <c r="I3838" s="9"/>
      <c r="J3838" s="9"/>
      <c r="K3838" s="9"/>
      <c r="L3838" s="9"/>
      <c r="M3838" s="9"/>
      <c r="N3838" s="9"/>
      <c r="O3838" s="9"/>
      <c r="P3838" s="9"/>
      <c r="Q3838" s="9"/>
      <c r="R3838" s="9"/>
      <c r="S3838" s="42"/>
      <c r="T3838" s="42"/>
      <c r="U3838" s="42"/>
      <c r="V3838" s="42"/>
      <c r="W3838" s="42"/>
      <c r="X3838" s="42"/>
      <c r="Y3838" s="42"/>
      <c r="Z3838" s="42"/>
      <c r="AA3838" s="42"/>
      <c r="AB3838" s="42"/>
      <c r="AC3838" s="42"/>
      <c r="AD3838" s="42"/>
      <c r="AE3838" s="42"/>
      <c r="AF3838" s="9"/>
      <c r="AG3838" s="9"/>
      <c r="AH3838" s="42"/>
      <c r="AI3838" s="42"/>
      <c r="AJ3838" s="42"/>
      <c r="AK3838" s="42"/>
      <c r="AL3838" s="42"/>
      <c r="AM3838" s="42"/>
      <c r="AN3838" s="42"/>
      <c r="AO3838" s="63" t="str">
        <f>IFERROR(__xludf.DUMMYFUNCTION("IF(ISBLANK(A3838),,IF(ISBLANK(S3838), A3838&amp;"";"", TEXTJOIN(CHAR(10), TRUE, A3838&amp;"";"", ARRAYFORMULA(VLOOKUP(SPLIT(S3838, "";"" &amp; CHAR(10)), $A:$AO, 41, FALSE)))))"),"")</f>
        <v/>
      </c>
      <c r="AP3838" s="89"/>
    </row>
    <row r="3839">
      <c r="A3839" s="42"/>
      <c r="B3839" s="42"/>
      <c r="C3839" s="42"/>
      <c r="D3839" s="42"/>
      <c r="E3839" s="39"/>
      <c r="F3839" s="9"/>
      <c r="G3839" s="9"/>
      <c r="H3839" s="9"/>
      <c r="I3839" s="9"/>
      <c r="J3839" s="9"/>
      <c r="K3839" s="9"/>
      <c r="L3839" s="9"/>
      <c r="M3839" s="9"/>
      <c r="N3839" s="9"/>
      <c r="O3839" s="9"/>
      <c r="P3839" s="9"/>
      <c r="Q3839" s="9"/>
      <c r="R3839" s="9"/>
      <c r="S3839" s="42"/>
      <c r="T3839" s="42"/>
      <c r="U3839" s="42"/>
      <c r="V3839" s="42"/>
      <c r="W3839" s="42"/>
      <c r="X3839" s="42"/>
      <c r="Y3839" s="42"/>
      <c r="Z3839" s="42"/>
      <c r="AA3839" s="42"/>
      <c r="AB3839" s="42"/>
      <c r="AC3839" s="42"/>
      <c r="AD3839" s="42"/>
      <c r="AE3839" s="42"/>
      <c r="AF3839" s="9"/>
      <c r="AG3839" s="9"/>
      <c r="AH3839" s="42"/>
      <c r="AI3839" s="42"/>
      <c r="AJ3839" s="42"/>
      <c r="AK3839" s="42"/>
      <c r="AL3839" s="42"/>
      <c r="AM3839" s="42"/>
      <c r="AN3839" s="42"/>
      <c r="AO3839" s="63" t="str">
        <f>IFERROR(__xludf.DUMMYFUNCTION("IF(ISBLANK(A3839),,IF(ISBLANK(S3839), A3839&amp;"";"", TEXTJOIN(CHAR(10), TRUE, A3839&amp;"";"", ARRAYFORMULA(VLOOKUP(SPLIT(S3839, "";"" &amp; CHAR(10)), $A:$AO, 41, FALSE)))))"),"")</f>
        <v/>
      </c>
      <c r="AP3839" s="89"/>
    </row>
    <row r="3840">
      <c r="A3840" s="42"/>
      <c r="B3840" s="42"/>
      <c r="C3840" s="42"/>
      <c r="D3840" s="42"/>
      <c r="E3840" s="39"/>
      <c r="F3840" s="9"/>
      <c r="G3840" s="9"/>
      <c r="H3840" s="9"/>
      <c r="I3840" s="9"/>
      <c r="J3840" s="9"/>
      <c r="K3840" s="9"/>
      <c r="L3840" s="9"/>
      <c r="M3840" s="9"/>
      <c r="N3840" s="9"/>
      <c r="O3840" s="9"/>
      <c r="P3840" s="9"/>
      <c r="Q3840" s="9"/>
      <c r="R3840" s="9"/>
      <c r="S3840" s="42"/>
      <c r="T3840" s="42"/>
      <c r="U3840" s="42"/>
      <c r="V3840" s="42"/>
      <c r="W3840" s="42"/>
      <c r="X3840" s="42"/>
      <c r="Y3840" s="42"/>
      <c r="Z3840" s="42"/>
      <c r="AA3840" s="42"/>
      <c r="AB3840" s="42"/>
      <c r="AC3840" s="42"/>
      <c r="AD3840" s="42"/>
      <c r="AE3840" s="42"/>
      <c r="AF3840" s="9"/>
      <c r="AG3840" s="9"/>
      <c r="AH3840" s="42"/>
      <c r="AI3840" s="42"/>
      <c r="AJ3840" s="42"/>
      <c r="AK3840" s="42"/>
      <c r="AL3840" s="42"/>
      <c r="AM3840" s="42"/>
      <c r="AN3840" s="42"/>
      <c r="AO3840" s="63" t="str">
        <f>IFERROR(__xludf.DUMMYFUNCTION("IF(ISBLANK(A3840),,IF(ISBLANK(S3840), A3840&amp;"";"", TEXTJOIN(CHAR(10), TRUE, A3840&amp;"";"", ARRAYFORMULA(VLOOKUP(SPLIT(S3840, "";"" &amp; CHAR(10)), $A:$AO, 41, FALSE)))))"),"")</f>
        <v/>
      </c>
      <c r="AP3840" s="89"/>
    </row>
    <row r="3841">
      <c r="A3841" s="42"/>
      <c r="B3841" s="42"/>
      <c r="C3841" s="42"/>
      <c r="D3841" s="42"/>
      <c r="E3841" s="39"/>
      <c r="F3841" s="9"/>
      <c r="G3841" s="9"/>
      <c r="H3841" s="9"/>
      <c r="I3841" s="9"/>
      <c r="J3841" s="9"/>
      <c r="K3841" s="9"/>
      <c r="L3841" s="9"/>
      <c r="M3841" s="9"/>
      <c r="N3841" s="9"/>
      <c r="O3841" s="9"/>
      <c r="P3841" s="9"/>
      <c r="Q3841" s="9"/>
      <c r="R3841" s="9"/>
      <c r="S3841" s="42"/>
      <c r="T3841" s="42"/>
      <c r="U3841" s="42"/>
      <c r="V3841" s="42"/>
      <c r="W3841" s="42"/>
      <c r="X3841" s="42"/>
      <c r="Y3841" s="42"/>
      <c r="Z3841" s="42"/>
      <c r="AA3841" s="42"/>
      <c r="AB3841" s="42"/>
      <c r="AC3841" s="42"/>
      <c r="AD3841" s="42"/>
      <c r="AE3841" s="42"/>
      <c r="AF3841" s="9"/>
      <c r="AG3841" s="9"/>
      <c r="AH3841" s="42"/>
      <c r="AI3841" s="42"/>
      <c r="AJ3841" s="42"/>
      <c r="AK3841" s="42"/>
      <c r="AL3841" s="42"/>
      <c r="AM3841" s="42"/>
      <c r="AN3841" s="42"/>
      <c r="AO3841" s="63" t="str">
        <f>IFERROR(__xludf.DUMMYFUNCTION("IF(ISBLANK(A3841),,IF(ISBLANK(S3841), A3841&amp;"";"", TEXTJOIN(CHAR(10), TRUE, A3841&amp;"";"", ARRAYFORMULA(VLOOKUP(SPLIT(S3841, "";"" &amp; CHAR(10)), $A:$AO, 41, FALSE)))))"),"")</f>
        <v/>
      </c>
      <c r="AP3841" s="89"/>
    </row>
    <row r="3842">
      <c r="A3842" s="42"/>
      <c r="B3842" s="42"/>
      <c r="C3842" s="42"/>
      <c r="D3842" s="42"/>
      <c r="E3842" s="39"/>
      <c r="F3842" s="9"/>
      <c r="G3842" s="9"/>
      <c r="H3842" s="9"/>
      <c r="I3842" s="9"/>
      <c r="J3842" s="9"/>
      <c r="K3842" s="9"/>
      <c r="L3842" s="9"/>
      <c r="M3842" s="9"/>
      <c r="N3842" s="9"/>
      <c r="O3842" s="9"/>
      <c r="P3842" s="9"/>
      <c r="Q3842" s="9"/>
      <c r="R3842" s="9"/>
      <c r="S3842" s="42"/>
      <c r="T3842" s="42"/>
      <c r="U3842" s="42"/>
      <c r="V3842" s="42"/>
      <c r="W3842" s="42"/>
      <c r="X3842" s="42"/>
      <c r="Y3842" s="42"/>
      <c r="Z3842" s="42"/>
      <c r="AA3842" s="42"/>
      <c r="AB3842" s="42"/>
      <c r="AC3842" s="42"/>
      <c r="AD3842" s="42"/>
      <c r="AE3842" s="42"/>
      <c r="AF3842" s="9"/>
      <c r="AG3842" s="9"/>
      <c r="AH3842" s="42"/>
      <c r="AI3842" s="42"/>
      <c r="AJ3842" s="42"/>
      <c r="AK3842" s="42"/>
      <c r="AL3842" s="42"/>
      <c r="AM3842" s="42"/>
      <c r="AN3842" s="42"/>
      <c r="AO3842" s="63" t="str">
        <f>IFERROR(__xludf.DUMMYFUNCTION("IF(ISBLANK(A3842),,IF(ISBLANK(S3842), A3842&amp;"";"", TEXTJOIN(CHAR(10), TRUE, A3842&amp;"";"", ARRAYFORMULA(VLOOKUP(SPLIT(S3842, "";"" &amp; CHAR(10)), $A:$AO, 41, FALSE)))))"),"")</f>
        <v/>
      </c>
      <c r="AP3842" s="89"/>
    </row>
    <row r="3843">
      <c r="A3843" s="42"/>
      <c r="B3843" s="42"/>
      <c r="C3843" s="42"/>
      <c r="D3843" s="42"/>
      <c r="E3843" s="39"/>
      <c r="F3843" s="9"/>
      <c r="G3843" s="9"/>
      <c r="H3843" s="9"/>
      <c r="I3843" s="9"/>
      <c r="J3843" s="9"/>
      <c r="K3843" s="9"/>
      <c r="L3843" s="9"/>
      <c r="M3843" s="9"/>
      <c r="N3843" s="9"/>
      <c r="O3843" s="9"/>
      <c r="P3843" s="9"/>
      <c r="Q3843" s="9"/>
      <c r="R3843" s="9"/>
      <c r="S3843" s="42"/>
      <c r="T3843" s="42"/>
      <c r="U3843" s="42"/>
      <c r="V3843" s="42"/>
      <c r="W3843" s="42"/>
      <c r="X3843" s="42"/>
      <c r="Y3843" s="42"/>
      <c r="Z3843" s="42"/>
      <c r="AA3843" s="42"/>
      <c r="AB3843" s="42"/>
      <c r="AC3843" s="42"/>
      <c r="AD3843" s="42"/>
      <c r="AE3843" s="42"/>
      <c r="AF3843" s="9"/>
      <c r="AG3843" s="9"/>
      <c r="AH3843" s="42"/>
      <c r="AI3843" s="42"/>
      <c r="AJ3843" s="42"/>
      <c r="AK3843" s="42"/>
      <c r="AL3843" s="42"/>
      <c r="AM3843" s="42"/>
      <c r="AN3843" s="42"/>
      <c r="AO3843" s="63" t="str">
        <f>IFERROR(__xludf.DUMMYFUNCTION("IF(ISBLANK(A3843),,IF(ISBLANK(S3843), A3843&amp;"";"", TEXTJOIN(CHAR(10), TRUE, A3843&amp;"";"", ARRAYFORMULA(VLOOKUP(SPLIT(S3843, "";"" &amp; CHAR(10)), $A:$AO, 41, FALSE)))))"),"")</f>
        <v/>
      </c>
      <c r="AP3843" s="89"/>
    </row>
    <row r="3844">
      <c r="A3844" s="42"/>
      <c r="B3844" s="42"/>
      <c r="C3844" s="42"/>
      <c r="D3844" s="42"/>
      <c r="E3844" s="39"/>
      <c r="F3844" s="9"/>
      <c r="G3844" s="9"/>
      <c r="H3844" s="9"/>
      <c r="I3844" s="9"/>
      <c r="J3844" s="9"/>
      <c r="K3844" s="9"/>
      <c r="L3844" s="9"/>
      <c r="M3844" s="9"/>
      <c r="N3844" s="9"/>
      <c r="O3844" s="9"/>
      <c r="P3844" s="9"/>
      <c r="Q3844" s="9"/>
      <c r="R3844" s="9"/>
      <c r="S3844" s="42"/>
      <c r="T3844" s="42"/>
      <c r="U3844" s="42"/>
      <c r="V3844" s="42"/>
      <c r="W3844" s="42"/>
      <c r="X3844" s="42"/>
      <c r="Y3844" s="42"/>
      <c r="Z3844" s="42"/>
      <c r="AA3844" s="42"/>
      <c r="AB3844" s="42"/>
      <c r="AC3844" s="42"/>
      <c r="AD3844" s="42"/>
      <c r="AE3844" s="42"/>
      <c r="AF3844" s="9"/>
      <c r="AG3844" s="9"/>
      <c r="AH3844" s="42"/>
      <c r="AI3844" s="42"/>
      <c r="AJ3844" s="42"/>
      <c r="AK3844" s="42"/>
      <c r="AL3844" s="42"/>
      <c r="AM3844" s="42"/>
      <c r="AN3844" s="42"/>
      <c r="AO3844" s="63" t="str">
        <f>IFERROR(__xludf.DUMMYFUNCTION("IF(ISBLANK(A3844),,IF(ISBLANK(S3844), A3844&amp;"";"", TEXTJOIN(CHAR(10), TRUE, A3844&amp;"";"", ARRAYFORMULA(VLOOKUP(SPLIT(S3844, "";"" &amp; CHAR(10)), $A:$AO, 41, FALSE)))))"),"")</f>
        <v/>
      </c>
      <c r="AP3844" s="89"/>
    </row>
    <row r="3845">
      <c r="A3845" s="42"/>
      <c r="B3845" s="42"/>
      <c r="C3845" s="42"/>
      <c r="D3845" s="42"/>
      <c r="E3845" s="39"/>
      <c r="F3845" s="9"/>
      <c r="G3845" s="9"/>
      <c r="H3845" s="9"/>
      <c r="I3845" s="9"/>
      <c r="J3845" s="9"/>
      <c r="K3845" s="9"/>
      <c r="L3845" s="9"/>
      <c r="M3845" s="9"/>
      <c r="N3845" s="9"/>
      <c r="O3845" s="9"/>
      <c r="P3845" s="9"/>
      <c r="Q3845" s="9"/>
      <c r="R3845" s="9"/>
      <c r="S3845" s="42"/>
      <c r="T3845" s="42"/>
      <c r="U3845" s="42"/>
      <c r="V3845" s="42"/>
      <c r="W3845" s="42"/>
      <c r="X3845" s="42"/>
      <c r="Y3845" s="42"/>
      <c r="Z3845" s="42"/>
      <c r="AA3845" s="42"/>
      <c r="AB3845" s="42"/>
      <c r="AC3845" s="42"/>
      <c r="AD3845" s="42"/>
      <c r="AE3845" s="42"/>
      <c r="AF3845" s="9"/>
      <c r="AG3845" s="9"/>
      <c r="AH3845" s="42"/>
      <c r="AI3845" s="42"/>
      <c r="AJ3845" s="42"/>
      <c r="AK3845" s="42"/>
      <c r="AL3845" s="42"/>
      <c r="AM3845" s="42"/>
      <c r="AN3845" s="42"/>
      <c r="AO3845" s="63" t="str">
        <f>IFERROR(__xludf.DUMMYFUNCTION("IF(ISBLANK(A3845),,IF(ISBLANK(S3845), A3845&amp;"";"", TEXTJOIN(CHAR(10), TRUE, A3845&amp;"";"", ARRAYFORMULA(VLOOKUP(SPLIT(S3845, "";"" &amp; CHAR(10)), $A:$AO, 41, FALSE)))))"),"")</f>
        <v/>
      </c>
      <c r="AP3845" s="89"/>
    </row>
    <row r="3846">
      <c r="A3846" s="42"/>
      <c r="B3846" s="42"/>
      <c r="C3846" s="42"/>
      <c r="D3846" s="42"/>
      <c r="E3846" s="39"/>
      <c r="F3846" s="9"/>
      <c r="G3846" s="9"/>
      <c r="H3846" s="9"/>
      <c r="I3846" s="9"/>
      <c r="J3846" s="9"/>
      <c r="K3846" s="9"/>
      <c r="L3846" s="9"/>
      <c r="M3846" s="9"/>
      <c r="N3846" s="9"/>
      <c r="O3846" s="9"/>
      <c r="P3846" s="9"/>
      <c r="Q3846" s="9"/>
      <c r="R3846" s="9"/>
      <c r="S3846" s="42"/>
      <c r="T3846" s="42"/>
      <c r="U3846" s="42"/>
      <c r="V3846" s="42"/>
      <c r="W3846" s="42"/>
      <c r="X3846" s="42"/>
      <c r="Y3846" s="42"/>
      <c r="Z3846" s="42"/>
      <c r="AA3846" s="42"/>
      <c r="AB3846" s="42"/>
      <c r="AC3846" s="42"/>
      <c r="AD3846" s="42"/>
      <c r="AE3846" s="42"/>
      <c r="AF3846" s="9"/>
      <c r="AG3846" s="9"/>
      <c r="AH3846" s="42"/>
      <c r="AI3846" s="42"/>
      <c r="AJ3846" s="42"/>
      <c r="AK3846" s="42"/>
      <c r="AL3846" s="42"/>
      <c r="AM3846" s="42"/>
      <c r="AN3846" s="42"/>
      <c r="AO3846" s="63" t="str">
        <f>IFERROR(__xludf.DUMMYFUNCTION("IF(ISBLANK(A3846),,IF(ISBLANK(S3846), A3846&amp;"";"", TEXTJOIN(CHAR(10), TRUE, A3846&amp;"";"", ARRAYFORMULA(VLOOKUP(SPLIT(S3846, "";"" &amp; CHAR(10)), $A:$AO, 41, FALSE)))))"),"")</f>
        <v/>
      </c>
      <c r="AP3846" s="89"/>
    </row>
    <row r="3847">
      <c r="A3847" s="42"/>
      <c r="B3847" s="42"/>
      <c r="C3847" s="42"/>
      <c r="D3847" s="42"/>
      <c r="E3847" s="39"/>
      <c r="F3847" s="9"/>
      <c r="G3847" s="9"/>
      <c r="H3847" s="9"/>
      <c r="I3847" s="9"/>
      <c r="J3847" s="9"/>
      <c r="K3847" s="9"/>
      <c r="L3847" s="9"/>
      <c r="M3847" s="9"/>
      <c r="N3847" s="9"/>
      <c r="O3847" s="9"/>
      <c r="P3847" s="9"/>
      <c r="Q3847" s="9"/>
      <c r="R3847" s="9"/>
      <c r="S3847" s="42"/>
      <c r="T3847" s="42"/>
      <c r="U3847" s="42"/>
      <c r="V3847" s="42"/>
      <c r="W3847" s="42"/>
      <c r="X3847" s="42"/>
      <c r="Y3847" s="42"/>
      <c r="Z3847" s="42"/>
      <c r="AA3847" s="42"/>
      <c r="AB3847" s="42"/>
      <c r="AC3847" s="42"/>
      <c r="AD3847" s="42"/>
      <c r="AE3847" s="42"/>
      <c r="AF3847" s="9"/>
      <c r="AG3847" s="9"/>
      <c r="AH3847" s="42"/>
      <c r="AI3847" s="42"/>
      <c r="AJ3847" s="42"/>
      <c r="AK3847" s="42"/>
      <c r="AL3847" s="42"/>
      <c r="AM3847" s="42"/>
      <c r="AN3847" s="42"/>
      <c r="AO3847" s="63" t="str">
        <f>IFERROR(__xludf.DUMMYFUNCTION("IF(ISBLANK(A3847),,IF(ISBLANK(S3847), A3847&amp;"";"", TEXTJOIN(CHAR(10), TRUE, A3847&amp;"";"", ARRAYFORMULA(VLOOKUP(SPLIT(S3847, "";"" &amp; CHAR(10)), $A:$AO, 41, FALSE)))))"),"")</f>
        <v/>
      </c>
      <c r="AP3847" s="89"/>
    </row>
    <row r="3848">
      <c r="A3848" s="42"/>
      <c r="B3848" s="42"/>
      <c r="C3848" s="42"/>
      <c r="D3848" s="42"/>
      <c r="E3848" s="39"/>
      <c r="F3848" s="9"/>
      <c r="G3848" s="9"/>
      <c r="H3848" s="9"/>
      <c r="I3848" s="9"/>
      <c r="J3848" s="9"/>
      <c r="K3848" s="9"/>
      <c r="L3848" s="9"/>
      <c r="M3848" s="9"/>
      <c r="N3848" s="9"/>
      <c r="O3848" s="9"/>
      <c r="P3848" s="9"/>
      <c r="Q3848" s="9"/>
      <c r="R3848" s="9"/>
      <c r="S3848" s="42"/>
      <c r="T3848" s="42"/>
      <c r="U3848" s="42"/>
      <c r="V3848" s="42"/>
      <c r="W3848" s="42"/>
      <c r="X3848" s="42"/>
      <c r="Y3848" s="42"/>
      <c r="Z3848" s="42"/>
      <c r="AA3848" s="42"/>
      <c r="AB3848" s="42"/>
      <c r="AC3848" s="42"/>
      <c r="AD3848" s="42"/>
      <c r="AE3848" s="42"/>
      <c r="AF3848" s="9"/>
      <c r="AG3848" s="9"/>
      <c r="AH3848" s="42"/>
      <c r="AI3848" s="42"/>
      <c r="AJ3848" s="42"/>
      <c r="AK3848" s="42"/>
      <c r="AL3848" s="42"/>
      <c r="AM3848" s="42"/>
      <c r="AN3848" s="42"/>
      <c r="AO3848" s="63" t="str">
        <f>IFERROR(__xludf.DUMMYFUNCTION("IF(ISBLANK(A3848),,IF(ISBLANK(S3848), A3848&amp;"";"", TEXTJOIN(CHAR(10), TRUE, A3848&amp;"";"", ARRAYFORMULA(VLOOKUP(SPLIT(S3848, "";"" &amp; CHAR(10)), $A:$AO, 41, FALSE)))))"),"")</f>
        <v/>
      </c>
      <c r="AP3848" s="89"/>
    </row>
    <row r="3849">
      <c r="A3849" s="42"/>
      <c r="B3849" s="42"/>
      <c r="C3849" s="42"/>
      <c r="D3849" s="42"/>
      <c r="E3849" s="39"/>
      <c r="F3849" s="9"/>
      <c r="G3849" s="9"/>
      <c r="H3849" s="9"/>
      <c r="I3849" s="9"/>
      <c r="J3849" s="9"/>
      <c r="K3849" s="9"/>
      <c r="L3849" s="9"/>
      <c r="M3849" s="9"/>
      <c r="N3849" s="9"/>
      <c r="O3849" s="9"/>
      <c r="P3849" s="9"/>
      <c r="Q3849" s="9"/>
      <c r="R3849" s="9"/>
      <c r="S3849" s="42"/>
      <c r="T3849" s="42"/>
      <c r="U3849" s="42"/>
      <c r="V3849" s="42"/>
      <c r="W3849" s="42"/>
      <c r="X3849" s="42"/>
      <c r="Y3849" s="42"/>
      <c r="Z3849" s="42"/>
      <c r="AA3849" s="42"/>
      <c r="AB3849" s="42"/>
      <c r="AC3849" s="42"/>
      <c r="AD3849" s="42"/>
      <c r="AE3849" s="42"/>
      <c r="AF3849" s="9"/>
      <c r="AG3849" s="9"/>
      <c r="AH3849" s="42"/>
      <c r="AI3849" s="42"/>
      <c r="AJ3849" s="42"/>
      <c r="AK3849" s="42"/>
      <c r="AL3849" s="42"/>
      <c r="AM3849" s="42"/>
      <c r="AN3849" s="42"/>
      <c r="AO3849" s="63" t="str">
        <f>IFERROR(__xludf.DUMMYFUNCTION("IF(ISBLANK(A3849),,IF(ISBLANK(S3849), A3849&amp;"";"", TEXTJOIN(CHAR(10), TRUE, A3849&amp;"";"", ARRAYFORMULA(VLOOKUP(SPLIT(S3849, "";"" &amp; CHAR(10)), $A:$AO, 41, FALSE)))))"),"")</f>
        <v/>
      </c>
      <c r="AP3849" s="89"/>
    </row>
    <row r="3850">
      <c r="A3850" s="42"/>
      <c r="B3850" s="42"/>
      <c r="C3850" s="42"/>
      <c r="D3850" s="42"/>
      <c r="E3850" s="39"/>
      <c r="F3850" s="9"/>
      <c r="G3850" s="9"/>
      <c r="H3850" s="9"/>
      <c r="I3850" s="9"/>
      <c r="J3850" s="9"/>
      <c r="K3850" s="9"/>
      <c r="L3850" s="9"/>
      <c r="M3850" s="9"/>
      <c r="N3850" s="9"/>
      <c r="O3850" s="9"/>
      <c r="P3850" s="9"/>
      <c r="Q3850" s="9"/>
      <c r="R3850" s="9"/>
      <c r="S3850" s="42"/>
      <c r="T3850" s="42"/>
      <c r="U3850" s="42"/>
      <c r="V3850" s="42"/>
      <c r="W3850" s="42"/>
      <c r="X3850" s="42"/>
      <c r="Y3850" s="42"/>
      <c r="Z3850" s="42"/>
      <c r="AA3850" s="42"/>
      <c r="AB3850" s="42"/>
      <c r="AC3850" s="42"/>
      <c r="AD3850" s="42"/>
      <c r="AE3850" s="42"/>
      <c r="AF3850" s="9"/>
      <c r="AG3850" s="9"/>
      <c r="AH3850" s="42"/>
      <c r="AI3850" s="42"/>
      <c r="AJ3850" s="42"/>
      <c r="AK3850" s="42"/>
      <c r="AL3850" s="42"/>
      <c r="AM3850" s="42"/>
      <c r="AN3850" s="42"/>
      <c r="AO3850" s="63" t="str">
        <f>IFERROR(__xludf.DUMMYFUNCTION("IF(ISBLANK(A3850),,IF(ISBLANK(S3850), A3850&amp;"";"", TEXTJOIN(CHAR(10), TRUE, A3850&amp;"";"", ARRAYFORMULA(VLOOKUP(SPLIT(S3850, "";"" &amp; CHAR(10)), $A:$AO, 41, FALSE)))))"),"")</f>
        <v/>
      </c>
      <c r="AP3850" s="89"/>
    </row>
    <row r="3851">
      <c r="A3851" s="42"/>
      <c r="B3851" s="42"/>
      <c r="C3851" s="42"/>
      <c r="D3851" s="42"/>
      <c r="E3851" s="39"/>
      <c r="F3851" s="9"/>
      <c r="G3851" s="9"/>
      <c r="H3851" s="9"/>
      <c r="I3851" s="9"/>
      <c r="J3851" s="9"/>
      <c r="K3851" s="9"/>
      <c r="L3851" s="9"/>
      <c r="M3851" s="9"/>
      <c r="N3851" s="9"/>
      <c r="O3851" s="9"/>
      <c r="P3851" s="9"/>
      <c r="Q3851" s="9"/>
      <c r="R3851" s="9"/>
      <c r="S3851" s="42"/>
      <c r="T3851" s="42"/>
      <c r="U3851" s="42"/>
      <c r="V3851" s="42"/>
      <c r="W3851" s="42"/>
      <c r="X3851" s="42"/>
      <c r="Y3851" s="42"/>
      <c r="Z3851" s="42"/>
      <c r="AA3851" s="42"/>
      <c r="AB3851" s="42"/>
      <c r="AC3851" s="42"/>
      <c r="AD3851" s="42"/>
      <c r="AE3851" s="42"/>
      <c r="AF3851" s="9"/>
      <c r="AG3851" s="9"/>
      <c r="AH3851" s="42"/>
      <c r="AI3851" s="42"/>
      <c r="AJ3851" s="42"/>
      <c r="AK3851" s="42"/>
      <c r="AL3851" s="42"/>
      <c r="AM3851" s="42"/>
      <c r="AN3851" s="42"/>
      <c r="AO3851" s="63" t="str">
        <f>IFERROR(__xludf.DUMMYFUNCTION("IF(ISBLANK(A3851),,IF(ISBLANK(S3851), A3851&amp;"";"", TEXTJOIN(CHAR(10), TRUE, A3851&amp;"";"", ARRAYFORMULA(VLOOKUP(SPLIT(S3851, "";"" &amp; CHAR(10)), $A:$AO, 41, FALSE)))))"),"")</f>
        <v/>
      </c>
      <c r="AP3851" s="89"/>
    </row>
    <row r="3852">
      <c r="A3852" s="42"/>
      <c r="B3852" s="42"/>
      <c r="C3852" s="42"/>
      <c r="D3852" s="42"/>
      <c r="E3852" s="39"/>
      <c r="F3852" s="9"/>
      <c r="G3852" s="9"/>
      <c r="H3852" s="9"/>
      <c r="I3852" s="9"/>
      <c r="J3852" s="9"/>
      <c r="K3852" s="9"/>
      <c r="L3852" s="9"/>
      <c r="M3852" s="9"/>
      <c r="N3852" s="9"/>
      <c r="O3852" s="9"/>
      <c r="P3852" s="9"/>
      <c r="Q3852" s="9"/>
      <c r="R3852" s="9"/>
      <c r="S3852" s="42"/>
      <c r="T3852" s="42"/>
      <c r="U3852" s="42"/>
      <c r="V3852" s="42"/>
      <c r="W3852" s="42"/>
      <c r="X3852" s="42"/>
      <c r="Y3852" s="42"/>
      <c r="Z3852" s="42"/>
      <c r="AA3852" s="42"/>
      <c r="AB3852" s="42"/>
      <c r="AC3852" s="42"/>
      <c r="AD3852" s="42"/>
      <c r="AE3852" s="42"/>
      <c r="AF3852" s="9"/>
      <c r="AG3852" s="9"/>
      <c r="AH3852" s="42"/>
      <c r="AI3852" s="42"/>
      <c r="AJ3852" s="42"/>
      <c r="AK3852" s="42"/>
      <c r="AL3852" s="42"/>
      <c r="AM3852" s="42"/>
      <c r="AN3852" s="42"/>
      <c r="AO3852" s="63" t="str">
        <f>IFERROR(__xludf.DUMMYFUNCTION("IF(ISBLANK(A3852),,IF(ISBLANK(S3852), A3852&amp;"";"", TEXTJOIN(CHAR(10), TRUE, A3852&amp;"";"", ARRAYFORMULA(VLOOKUP(SPLIT(S3852, "";"" &amp; CHAR(10)), $A:$AO, 41, FALSE)))))"),"")</f>
        <v/>
      </c>
      <c r="AP3852" s="89"/>
    </row>
    <row r="3853">
      <c r="A3853" s="42"/>
      <c r="B3853" s="42"/>
      <c r="C3853" s="42"/>
      <c r="D3853" s="42"/>
      <c r="E3853" s="39"/>
      <c r="F3853" s="9"/>
      <c r="G3853" s="9"/>
      <c r="H3853" s="9"/>
      <c r="I3853" s="9"/>
      <c r="J3853" s="9"/>
      <c r="K3853" s="9"/>
      <c r="L3853" s="9"/>
      <c r="M3853" s="9"/>
      <c r="N3853" s="9"/>
      <c r="O3853" s="9"/>
      <c r="P3853" s="9"/>
      <c r="Q3853" s="9"/>
      <c r="R3853" s="9"/>
      <c r="S3853" s="42"/>
      <c r="T3853" s="42"/>
      <c r="U3853" s="42"/>
      <c r="V3853" s="42"/>
      <c r="W3853" s="42"/>
      <c r="X3853" s="42"/>
      <c r="Y3853" s="42"/>
      <c r="Z3853" s="42"/>
      <c r="AA3853" s="42"/>
      <c r="AB3853" s="42"/>
      <c r="AC3853" s="42"/>
      <c r="AD3853" s="42"/>
      <c r="AE3853" s="42"/>
      <c r="AF3853" s="9"/>
      <c r="AG3853" s="9"/>
      <c r="AH3853" s="42"/>
      <c r="AI3853" s="42"/>
      <c r="AJ3853" s="42"/>
      <c r="AK3853" s="42"/>
      <c r="AL3853" s="42"/>
      <c r="AM3853" s="42"/>
      <c r="AN3853" s="42"/>
      <c r="AO3853" s="63" t="str">
        <f>IFERROR(__xludf.DUMMYFUNCTION("IF(ISBLANK(A3853),,IF(ISBLANK(S3853), A3853&amp;"";"", TEXTJOIN(CHAR(10), TRUE, A3853&amp;"";"", ARRAYFORMULA(VLOOKUP(SPLIT(S3853, "";"" &amp; CHAR(10)), $A:$AO, 41, FALSE)))))"),"")</f>
        <v/>
      </c>
      <c r="AP3853" s="89"/>
    </row>
    <row r="3854">
      <c r="A3854" s="42"/>
      <c r="B3854" s="42"/>
      <c r="C3854" s="42"/>
      <c r="D3854" s="42"/>
      <c r="E3854" s="39"/>
      <c r="F3854" s="9"/>
      <c r="G3854" s="9"/>
      <c r="H3854" s="9"/>
      <c r="I3854" s="9"/>
      <c r="J3854" s="9"/>
      <c r="K3854" s="9"/>
      <c r="L3854" s="9"/>
      <c r="M3854" s="9"/>
      <c r="N3854" s="9"/>
      <c r="O3854" s="9"/>
      <c r="P3854" s="9"/>
      <c r="Q3854" s="9"/>
      <c r="R3854" s="9"/>
      <c r="S3854" s="42"/>
      <c r="T3854" s="42"/>
      <c r="U3854" s="42"/>
      <c r="V3854" s="42"/>
      <c r="W3854" s="42"/>
      <c r="X3854" s="42"/>
      <c r="Y3854" s="42"/>
      <c r="Z3854" s="42"/>
      <c r="AA3854" s="42"/>
      <c r="AB3854" s="42"/>
      <c r="AC3854" s="42"/>
      <c r="AD3854" s="42"/>
      <c r="AE3854" s="42"/>
      <c r="AF3854" s="9"/>
      <c r="AG3854" s="9"/>
      <c r="AH3854" s="42"/>
      <c r="AI3854" s="42"/>
      <c r="AJ3854" s="42"/>
      <c r="AK3854" s="42"/>
      <c r="AL3854" s="42"/>
      <c r="AM3854" s="42"/>
      <c r="AN3854" s="42"/>
      <c r="AO3854" s="63" t="str">
        <f>IFERROR(__xludf.DUMMYFUNCTION("IF(ISBLANK(A3854),,IF(ISBLANK(S3854), A3854&amp;"";"", TEXTJOIN(CHAR(10), TRUE, A3854&amp;"";"", ARRAYFORMULA(VLOOKUP(SPLIT(S3854, "";"" &amp; CHAR(10)), $A:$AO, 41, FALSE)))))"),"")</f>
        <v/>
      </c>
      <c r="AP3854" s="89"/>
    </row>
    <row r="3855">
      <c r="A3855" s="42"/>
      <c r="B3855" s="42"/>
      <c r="C3855" s="42"/>
      <c r="D3855" s="42"/>
      <c r="E3855" s="39"/>
      <c r="F3855" s="9"/>
      <c r="G3855" s="9"/>
      <c r="H3855" s="9"/>
      <c r="I3855" s="9"/>
      <c r="J3855" s="9"/>
      <c r="K3855" s="9"/>
      <c r="L3855" s="9"/>
      <c r="M3855" s="9"/>
      <c r="N3855" s="9"/>
      <c r="O3855" s="9"/>
      <c r="P3855" s="9"/>
      <c r="Q3855" s="9"/>
      <c r="R3855" s="9"/>
      <c r="S3855" s="42"/>
      <c r="T3855" s="42"/>
      <c r="U3855" s="42"/>
      <c r="V3855" s="42"/>
      <c r="W3855" s="42"/>
      <c r="X3855" s="42"/>
      <c r="Y3855" s="42"/>
      <c r="Z3855" s="42"/>
      <c r="AA3855" s="42"/>
      <c r="AB3855" s="42"/>
      <c r="AC3855" s="42"/>
      <c r="AD3855" s="42"/>
      <c r="AE3855" s="42"/>
      <c r="AF3855" s="9"/>
      <c r="AG3855" s="9"/>
      <c r="AH3855" s="42"/>
      <c r="AI3855" s="42"/>
      <c r="AJ3855" s="42"/>
      <c r="AK3855" s="42"/>
      <c r="AL3855" s="42"/>
      <c r="AM3855" s="42"/>
      <c r="AN3855" s="42"/>
      <c r="AO3855" s="63" t="str">
        <f>IFERROR(__xludf.DUMMYFUNCTION("IF(ISBLANK(A3855),,IF(ISBLANK(S3855), A3855&amp;"";"", TEXTJOIN(CHAR(10), TRUE, A3855&amp;"";"", ARRAYFORMULA(VLOOKUP(SPLIT(S3855, "";"" &amp; CHAR(10)), $A:$AO, 41, FALSE)))))"),"")</f>
        <v/>
      </c>
      <c r="AP3855" s="89"/>
    </row>
    <row r="3856">
      <c r="A3856" s="42"/>
      <c r="B3856" s="42"/>
      <c r="C3856" s="42"/>
      <c r="D3856" s="42"/>
      <c r="E3856" s="39"/>
      <c r="F3856" s="9"/>
      <c r="G3856" s="9"/>
      <c r="H3856" s="9"/>
      <c r="I3856" s="9"/>
      <c r="J3856" s="9"/>
      <c r="K3856" s="9"/>
      <c r="L3856" s="9"/>
      <c r="M3856" s="9"/>
      <c r="N3856" s="9"/>
      <c r="O3856" s="9"/>
      <c r="P3856" s="9"/>
      <c r="Q3856" s="9"/>
      <c r="R3856" s="9"/>
      <c r="S3856" s="42"/>
      <c r="T3856" s="42"/>
      <c r="U3856" s="42"/>
      <c r="V3856" s="42"/>
      <c r="W3856" s="42"/>
      <c r="X3856" s="42"/>
      <c r="Y3856" s="42"/>
      <c r="Z3856" s="42"/>
      <c r="AA3856" s="42"/>
      <c r="AB3856" s="42"/>
      <c r="AC3856" s="42"/>
      <c r="AD3856" s="42"/>
      <c r="AE3856" s="42"/>
      <c r="AF3856" s="9"/>
      <c r="AG3856" s="9"/>
      <c r="AH3856" s="42"/>
      <c r="AI3856" s="42"/>
      <c r="AJ3856" s="42"/>
      <c r="AK3856" s="42"/>
      <c r="AL3856" s="42"/>
      <c r="AM3856" s="42"/>
      <c r="AN3856" s="42"/>
      <c r="AO3856" s="63" t="str">
        <f>IFERROR(__xludf.DUMMYFUNCTION("IF(ISBLANK(A3856),,IF(ISBLANK(S3856), A3856&amp;"";"", TEXTJOIN(CHAR(10), TRUE, A3856&amp;"";"", ARRAYFORMULA(VLOOKUP(SPLIT(S3856, "";"" &amp; CHAR(10)), $A:$AO, 41, FALSE)))))"),"")</f>
        <v/>
      </c>
      <c r="AP3856" s="89"/>
    </row>
    <row r="3857">
      <c r="A3857" s="42"/>
      <c r="B3857" s="42"/>
      <c r="C3857" s="42"/>
      <c r="D3857" s="42"/>
      <c r="E3857" s="39"/>
      <c r="F3857" s="9"/>
      <c r="G3857" s="9"/>
      <c r="H3857" s="9"/>
      <c r="I3857" s="9"/>
      <c r="J3857" s="9"/>
      <c r="K3857" s="9"/>
      <c r="L3857" s="9"/>
      <c r="M3857" s="9"/>
      <c r="N3857" s="9"/>
      <c r="O3857" s="9"/>
      <c r="P3857" s="9"/>
      <c r="Q3857" s="9"/>
      <c r="R3857" s="9"/>
      <c r="S3857" s="42"/>
      <c r="T3857" s="42"/>
      <c r="U3857" s="42"/>
      <c r="V3857" s="42"/>
      <c r="W3857" s="42"/>
      <c r="X3857" s="42"/>
      <c r="Y3857" s="42"/>
      <c r="Z3857" s="42"/>
      <c r="AA3857" s="42"/>
      <c r="AB3857" s="42"/>
      <c r="AC3857" s="42"/>
      <c r="AD3857" s="42"/>
      <c r="AE3857" s="42"/>
      <c r="AF3857" s="9"/>
      <c r="AG3857" s="9"/>
      <c r="AH3857" s="42"/>
      <c r="AI3857" s="42"/>
      <c r="AJ3857" s="42"/>
      <c r="AK3857" s="42"/>
      <c r="AL3857" s="42"/>
      <c r="AM3857" s="42"/>
      <c r="AN3857" s="42"/>
      <c r="AO3857" s="63" t="str">
        <f>IFERROR(__xludf.DUMMYFUNCTION("IF(ISBLANK(A3857),,IF(ISBLANK(S3857), A3857&amp;"";"", TEXTJOIN(CHAR(10), TRUE, A3857&amp;"";"", ARRAYFORMULA(VLOOKUP(SPLIT(S3857, "";"" &amp; CHAR(10)), $A:$AO, 41, FALSE)))))"),"")</f>
        <v/>
      </c>
      <c r="AP3857" s="89"/>
    </row>
    <row r="3858">
      <c r="A3858" s="42"/>
      <c r="B3858" s="42"/>
      <c r="C3858" s="42"/>
      <c r="D3858" s="42"/>
      <c r="E3858" s="39"/>
      <c r="F3858" s="9"/>
      <c r="G3858" s="9"/>
      <c r="H3858" s="9"/>
      <c r="I3858" s="9"/>
      <c r="J3858" s="9"/>
      <c r="K3858" s="9"/>
      <c r="L3858" s="9"/>
      <c r="M3858" s="9"/>
      <c r="N3858" s="9"/>
      <c r="O3858" s="9"/>
      <c r="P3858" s="9"/>
      <c r="Q3858" s="9"/>
      <c r="R3858" s="9"/>
      <c r="S3858" s="42"/>
      <c r="T3858" s="42"/>
      <c r="U3858" s="42"/>
      <c r="V3858" s="42"/>
      <c r="W3858" s="42"/>
      <c r="X3858" s="42"/>
      <c r="Y3858" s="42"/>
      <c r="Z3858" s="42"/>
      <c r="AA3858" s="42"/>
      <c r="AB3858" s="42"/>
      <c r="AC3858" s="42"/>
      <c r="AD3858" s="42"/>
      <c r="AE3858" s="42"/>
      <c r="AF3858" s="9"/>
      <c r="AG3858" s="9"/>
      <c r="AH3858" s="42"/>
      <c r="AI3858" s="42"/>
      <c r="AJ3858" s="42"/>
      <c r="AK3858" s="42"/>
      <c r="AL3858" s="42"/>
      <c r="AM3858" s="42"/>
      <c r="AN3858" s="42"/>
      <c r="AO3858" s="63" t="str">
        <f>IFERROR(__xludf.DUMMYFUNCTION("IF(ISBLANK(A3858),,IF(ISBLANK(S3858), A3858&amp;"";"", TEXTJOIN(CHAR(10), TRUE, A3858&amp;"";"", ARRAYFORMULA(VLOOKUP(SPLIT(S3858, "";"" &amp; CHAR(10)), $A:$AO, 41, FALSE)))))"),"")</f>
        <v/>
      </c>
      <c r="AP3858" s="89"/>
    </row>
    <row r="3859">
      <c r="A3859" s="42"/>
      <c r="B3859" s="42"/>
      <c r="C3859" s="42"/>
      <c r="D3859" s="42"/>
      <c r="E3859" s="39"/>
      <c r="F3859" s="9"/>
      <c r="G3859" s="9"/>
      <c r="H3859" s="9"/>
      <c r="I3859" s="9"/>
      <c r="J3859" s="9"/>
      <c r="K3859" s="9"/>
      <c r="L3859" s="9"/>
      <c r="M3859" s="9"/>
      <c r="N3859" s="9"/>
      <c r="O3859" s="9"/>
      <c r="P3859" s="9"/>
      <c r="Q3859" s="9"/>
      <c r="R3859" s="9"/>
      <c r="S3859" s="42"/>
      <c r="T3859" s="42"/>
      <c r="U3859" s="42"/>
      <c r="V3859" s="42"/>
      <c r="W3859" s="42"/>
      <c r="X3859" s="42"/>
      <c r="Y3859" s="42"/>
      <c r="Z3859" s="42"/>
      <c r="AA3859" s="42"/>
      <c r="AB3859" s="42"/>
      <c r="AC3859" s="42"/>
      <c r="AD3859" s="42"/>
      <c r="AE3859" s="42"/>
      <c r="AF3859" s="9"/>
      <c r="AG3859" s="9"/>
      <c r="AH3859" s="42"/>
      <c r="AI3859" s="42"/>
      <c r="AJ3859" s="42"/>
      <c r="AK3859" s="42"/>
      <c r="AL3859" s="42"/>
      <c r="AM3859" s="42"/>
      <c r="AN3859" s="42"/>
      <c r="AO3859" s="63" t="str">
        <f>IFERROR(__xludf.DUMMYFUNCTION("IF(ISBLANK(A3859),,IF(ISBLANK(S3859), A3859&amp;"";"", TEXTJOIN(CHAR(10), TRUE, A3859&amp;"";"", ARRAYFORMULA(VLOOKUP(SPLIT(S3859, "";"" &amp; CHAR(10)), $A:$AO, 41, FALSE)))))"),"")</f>
        <v/>
      </c>
      <c r="AP3859" s="89"/>
    </row>
    <row r="3860">
      <c r="A3860" s="42"/>
      <c r="B3860" s="42"/>
      <c r="C3860" s="42"/>
      <c r="D3860" s="42"/>
      <c r="E3860" s="39"/>
      <c r="F3860" s="9"/>
      <c r="G3860" s="9"/>
      <c r="H3860" s="9"/>
      <c r="I3860" s="9"/>
      <c r="J3860" s="9"/>
      <c r="K3860" s="9"/>
      <c r="L3860" s="9"/>
      <c r="M3860" s="9"/>
      <c r="N3860" s="9"/>
      <c r="O3860" s="9"/>
      <c r="P3860" s="9"/>
      <c r="Q3860" s="9"/>
      <c r="R3860" s="9"/>
      <c r="S3860" s="42"/>
      <c r="T3860" s="42"/>
      <c r="U3860" s="42"/>
      <c r="V3860" s="42"/>
      <c r="W3860" s="42"/>
      <c r="X3860" s="42"/>
      <c r="Y3860" s="42"/>
      <c r="Z3860" s="42"/>
      <c r="AA3860" s="42"/>
      <c r="AB3860" s="42"/>
      <c r="AC3860" s="42"/>
      <c r="AD3860" s="42"/>
      <c r="AE3860" s="42"/>
      <c r="AF3860" s="9"/>
      <c r="AG3860" s="9"/>
      <c r="AH3860" s="42"/>
      <c r="AI3860" s="42"/>
      <c r="AJ3860" s="42"/>
      <c r="AK3860" s="42"/>
      <c r="AL3860" s="42"/>
      <c r="AM3860" s="42"/>
      <c r="AN3860" s="42"/>
      <c r="AO3860" s="63" t="str">
        <f>IFERROR(__xludf.DUMMYFUNCTION("IF(ISBLANK(A3860),,IF(ISBLANK(S3860), A3860&amp;"";"", TEXTJOIN(CHAR(10), TRUE, A3860&amp;"";"", ARRAYFORMULA(VLOOKUP(SPLIT(S3860, "";"" &amp; CHAR(10)), $A:$AO, 41, FALSE)))))"),"")</f>
        <v/>
      </c>
      <c r="AP3860" s="89"/>
    </row>
    <row r="3861">
      <c r="A3861" s="42"/>
      <c r="B3861" s="42"/>
      <c r="C3861" s="42"/>
      <c r="D3861" s="42"/>
      <c r="E3861" s="39"/>
      <c r="F3861" s="9"/>
      <c r="G3861" s="9"/>
      <c r="H3861" s="9"/>
      <c r="I3861" s="9"/>
      <c r="J3861" s="9"/>
      <c r="K3861" s="9"/>
      <c r="L3861" s="9"/>
      <c r="M3861" s="9"/>
      <c r="N3861" s="9"/>
      <c r="O3861" s="9"/>
      <c r="P3861" s="9"/>
      <c r="Q3861" s="9"/>
      <c r="R3861" s="9"/>
      <c r="S3861" s="42"/>
      <c r="T3861" s="42"/>
      <c r="U3861" s="42"/>
      <c r="V3861" s="42"/>
      <c r="W3861" s="42"/>
      <c r="X3861" s="42"/>
      <c r="Y3861" s="42"/>
      <c r="Z3861" s="42"/>
      <c r="AA3861" s="42"/>
      <c r="AB3861" s="42"/>
      <c r="AC3861" s="42"/>
      <c r="AD3861" s="42"/>
      <c r="AE3861" s="42"/>
      <c r="AF3861" s="9"/>
      <c r="AG3861" s="9"/>
      <c r="AH3861" s="42"/>
      <c r="AI3861" s="42"/>
      <c r="AJ3861" s="42"/>
      <c r="AK3861" s="42"/>
      <c r="AL3861" s="42"/>
      <c r="AM3861" s="42"/>
      <c r="AN3861" s="42"/>
      <c r="AO3861" s="63" t="str">
        <f>IFERROR(__xludf.DUMMYFUNCTION("IF(ISBLANK(A3861),,IF(ISBLANK(S3861), A3861&amp;"";"", TEXTJOIN(CHAR(10), TRUE, A3861&amp;"";"", ARRAYFORMULA(VLOOKUP(SPLIT(S3861, "";"" &amp; CHAR(10)), $A:$AO, 41, FALSE)))))"),"")</f>
        <v/>
      </c>
      <c r="AP3861" s="89"/>
    </row>
    <row r="3862">
      <c r="A3862" s="42"/>
      <c r="B3862" s="42"/>
      <c r="C3862" s="42"/>
      <c r="D3862" s="42"/>
      <c r="E3862" s="39"/>
      <c r="F3862" s="9"/>
      <c r="G3862" s="9"/>
      <c r="H3862" s="9"/>
      <c r="I3862" s="9"/>
      <c r="J3862" s="9"/>
      <c r="K3862" s="9"/>
      <c r="L3862" s="9"/>
      <c r="M3862" s="9"/>
      <c r="N3862" s="9"/>
      <c r="O3862" s="9"/>
      <c r="P3862" s="9"/>
      <c r="Q3862" s="9"/>
      <c r="R3862" s="9"/>
      <c r="S3862" s="42"/>
      <c r="T3862" s="42"/>
      <c r="U3862" s="42"/>
      <c r="V3862" s="42"/>
      <c r="W3862" s="42"/>
      <c r="X3862" s="42"/>
      <c r="Y3862" s="42"/>
      <c r="Z3862" s="42"/>
      <c r="AA3862" s="42"/>
      <c r="AB3862" s="42"/>
      <c r="AC3862" s="42"/>
      <c r="AD3862" s="42"/>
      <c r="AE3862" s="42"/>
      <c r="AF3862" s="9"/>
      <c r="AG3862" s="9"/>
      <c r="AH3862" s="42"/>
      <c r="AI3862" s="42"/>
      <c r="AJ3862" s="42"/>
      <c r="AK3862" s="42"/>
      <c r="AL3862" s="42"/>
      <c r="AM3862" s="42"/>
      <c r="AN3862" s="42"/>
      <c r="AO3862" s="63" t="str">
        <f>IFERROR(__xludf.DUMMYFUNCTION("IF(ISBLANK(A3862),,IF(ISBLANK(S3862), A3862&amp;"";"", TEXTJOIN(CHAR(10), TRUE, A3862&amp;"";"", ARRAYFORMULA(VLOOKUP(SPLIT(S3862, "";"" &amp; CHAR(10)), $A:$AO, 41, FALSE)))))"),"")</f>
        <v/>
      </c>
      <c r="AP3862" s="89"/>
    </row>
    <row r="3863">
      <c r="A3863" s="42"/>
      <c r="B3863" s="42"/>
      <c r="C3863" s="42"/>
      <c r="D3863" s="42"/>
      <c r="E3863" s="39"/>
      <c r="F3863" s="9"/>
      <c r="G3863" s="9"/>
      <c r="H3863" s="9"/>
      <c r="I3863" s="9"/>
      <c r="J3863" s="9"/>
      <c r="K3863" s="9"/>
      <c r="L3863" s="9"/>
      <c r="M3863" s="9"/>
      <c r="N3863" s="9"/>
      <c r="O3863" s="9"/>
      <c r="P3863" s="9"/>
      <c r="Q3863" s="9"/>
      <c r="R3863" s="9"/>
      <c r="S3863" s="42"/>
      <c r="T3863" s="42"/>
      <c r="U3863" s="42"/>
      <c r="V3863" s="42"/>
      <c r="W3863" s="42"/>
      <c r="X3863" s="42"/>
      <c r="Y3863" s="42"/>
      <c r="Z3863" s="42"/>
      <c r="AA3863" s="42"/>
      <c r="AB3863" s="42"/>
      <c r="AC3863" s="42"/>
      <c r="AD3863" s="42"/>
      <c r="AE3863" s="42"/>
      <c r="AF3863" s="9"/>
      <c r="AG3863" s="9"/>
      <c r="AH3863" s="42"/>
      <c r="AI3863" s="42"/>
      <c r="AJ3863" s="42"/>
      <c r="AK3863" s="42"/>
      <c r="AL3863" s="42"/>
      <c r="AM3863" s="42"/>
      <c r="AN3863" s="42"/>
      <c r="AO3863" s="63" t="str">
        <f>IFERROR(__xludf.DUMMYFUNCTION("IF(ISBLANK(A3863),,IF(ISBLANK(S3863), A3863&amp;"";"", TEXTJOIN(CHAR(10), TRUE, A3863&amp;"";"", ARRAYFORMULA(VLOOKUP(SPLIT(S3863, "";"" &amp; CHAR(10)), $A:$AO, 41, FALSE)))))"),"")</f>
        <v/>
      </c>
      <c r="AP3863" s="89"/>
    </row>
    <row r="3864">
      <c r="A3864" s="42"/>
      <c r="B3864" s="42"/>
      <c r="C3864" s="42"/>
      <c r="D3864" s="42"/>
      <c r="E3864" s="39"/>
      <c r="F3864" s="9"/>
      <c r="G3864" s="9"/>
      <c r="H3864" s="9"/>
      <c r="I3864" s="9"/>
      <c r="J3864" s="9"/>
      <c r="K3864" s="9"/>
      <c r="L3864" s="9"/>
      <c r="M3864" s="9"/>
      <c r="N3864" s="9"/>
      <c r="O3864" s="9"/>
      <c r="P3864" s="9"/>
      <c r="Q3864" s="9"/>
      <c r="R3864" s="9"/>
      <c r="S3864" s="42"/>
      <c r="T3864" s="42"/>
      <c r="U3864" s="42"/>
      <c r="V3864" s="42"/>
      <c r="W3864" s="42"/>
      <c r="X3864" s="42"/>
      <c r="Y3864" s="42"/>
      <c r="Z3864" s="42"/>
      <c r="AA3864" s="42"/>
      <c r="AB3864" s="42"/>
      <c r="AC3864" s="42"/>
      <c r="AD3864" s="42"/>
      <c r="AE3864" s="42"/>
      <c r="AF3864" s="9"/>
      <c r="AG3864" s="9"/>
      <c r="AH3864" s="42"/>
      <c r="AI3864" s="42"/>
      <c r="AJ3864" s="42"/>
      <c r="AK3864" s="42"/>
      <c r="AL3864" s="42"/>
      <c r="AM3864" s="42"/>
      <c r="AN3864" s="42"/>
      <c r="AO3864" s="63" t="str">
        <f>IFERROR(__xludf.DUMMYFUNCTION("IF(ISBLANK(A3864),,IF(ISBLANK(S3864), A3864&amp;"";"", TEXTJOIN(CHAR(10), TRUE, A3864&amp;"";"", ARRAYFORMULA(VLOOKUP(SPLIT(S3864, "";"" &amp; CHAR(10)), $A:$AO, 41, FALSE)))))"),"")</f>
        <v/>
      </c>
      <c r="AP3864" s="89"/>
    </row>
    <row r="3865">
      <c r="A3865" s="42"/>
      <c r="B3865" s="42"/>
      <c r="C3865" s="42"/>
      <c r="D3865" s="42"/>
      <c r="E3865" s="39"/>
      <c r="F3865" s="9"/>
      <c r="G3865" s="9"/>
      <c r="H3865" s="9"/>
      <c r="I3865" s="9"/>
      <c r="J3865" s="9"/>
      <c r="K3865" s="9"/>
      <c r="L3865" s="9"/>
      <c r="M3865" s="9"/>
      <c r="N3865" s="9"/>
      <c r="O3865" s="9"/>
      <c r="P3865" s="9"/>
      <c r="Q3865" s="9"/>
      <c r="R3865" s="9"/>
      <c r="S3865" s="42"/>
      <c r="T3865" s="42"/>
      <c r="U3865" s="42"/>
      <c r="V3865" s="42"/>
      <c r="W3865" s="42"/>
      <c r="X3865" s="42"/>
      <c r="Y3865" s="42"/>
      <c r="Z3865" s="42"/>
      <c r="AA3865" s="42"/>
      <c r="AB3865" s="42"/>
      <c r="AC3865" s="42"/>
      <c r="AD3865" s="42"/>
      <c r="AE3865" s="42"/>
      <c r="AF3865" s="9"/>
      <c r="AG3865" s="9"/>
      <c r="AH3865" s="42"/>
      <c r="AI3865" s="42"/>
      <c r="AJ3865" s="42"/>
      <c r="AK3865" s="42"/>
      <c r="AL3865" s="42"/>
      <c r="AM3865" s="42"/>
      <c r="AN3865" s="42"/>
      <c r="AO3865" s="63" t="str">
        <f>IFERROR(__xludf.DUMMYFUNCTION("IF(ISBLANK(A3865),,IF(ISBLANK(S3865), A3865&amp;"";"", TEXTJOIN(CHAR(10), TRUE, A3865&amp;"";"", ARRAYFORMULA(VLOOKUP(SPLIT(S3865, "";"" &amp; CHAR(10)), $A:$AO, 41, FALSE)))))"),"")</f>
        <v/>
      </c>
      <c r="AP3865" s="89"/>
    </row>
    <row r="3866">
      <c r="A3866" s="42"/>
      <c r="B3866" s="42"/>
      <c r="C3866" s="42"/>
      <c r="D3866" s="42"/>
      <c r="E3866" s="39"/>
      <c r="F3866" s="9"/>
      <c r="G3866" s="9"/>
      <c r="H3866" s="9"/>
      <c r="I3866" s="9"/>
      <c r="J3866" s="9"/>
      <c r="K3866" s="9"/>
      <c r="L3866" s="9"/>
      <c r="M3866" s="9"/>
      <c r="N3866" s="9"/>
      <c r="O3866" s="9"/>
      <c r="P3866" s="9"/>
      <c r="Q3866" s="9"/>
      <c r="R3866" s="9"/>
      <c r="S3866" s="42"/>
      <c r="T3866" s="42"/>
      <c r="U3866" s="42"/>
      <c r="V3866" s="42"/>
      <c r="W3866" s="42"/>
      <c r="X3866" s="42"/>
      <c r="Y3866" s="42"/>
      <c r="Z3866" s="42"/>
      <c r="AA3866" s="42"/>
      <c r="AB3866" s="42"/>
      <c r="AC3866" s="42"/>
      <c r="AD3866" s="42"/>
      <c r="AE3866" s="42"/>
      <c r="AF3866" s="9"/>
      <c r="AG3866" s="9"/>
      <c r="AH3866" s="42"/>
      <c r="AI3866" s="42"/>
      <c r="AJ3866" s="42"/>
      <c r="AK3866" s="42"/>
      <c r="AL3866" s="42"/>
      <c r="AM3866" s="42"/>
      <c r="AN3866" s="42"/>
      <c r="AO3866" s="63" t="str">
        <f>IFERROR(__xludf.DUMMYFUNCTION("IF(ISBLANK(A3866),,IF(ISBLANK(S3866), A3866&amp;"";"", TEXTJOIN(CHAR(10), TRUE, A3866&amp;"";"", ARRAYFORMULA(VLOOKUP(SPLIT(S3866, "";"" &amp; CHAR(10)), $A:$AO, 41, FALSE)))))"),"")</f>
        <v/>
      </c>
      <c r="AP3866" s="89"/>
    </row>
    <row r="3867">
      <c r="A3867" s="42"/>
      <c r="B3867" s="42"/>
      <c r="C3867" s="42"/>
      <c r="D3867" s="42"/>
      <c r="E3867" s="39"/>
      <c r="F3867" s="9"/>
      <c r="G3867" s="9"/>
      <c r="H3867" s="9"/>
      <c r="I3867" s="9"/>
      <c r="J3867" s="9"/>
      <c r="K3867" s="9"/>
      <c r="L3867" s="9"/>
      <c r="M3867" s="9"/>
      <c r="N3867" s="9"/>
      <c r="O3867" s="9"/>
      <c r="P3867" s="9"/>
      <c r="Q3867" s="9"/>
      <c r="R3867" s="9"/>
      <c r="S3867" s="42"/>
      <c r="T3867" s="42"/>
      <c r="U3867" s="42"/>
      <c r="V3867" s="42"/>
      <c r="W3867" s="42"/>
      <c r="X3867" s="42"/>
      <c r="Y3867" s="42"/>
      <c r="Z3867" s="42"/>
      <c r="AA3867" s="42"/>
      <c r="AB3867" s="42"/>
      <c r="AC3867" s="42"/>
      <c r="AD3867" s="42"/>
      <c r="AE3867" s="42"/>
      <c r="AF3867" s="9"/>
      <c r="AG3867" s="9"/>
      <c r="AH3867" s="42"/>
      <c r="AI3867" s="42"/>
      <c r="AJ3867" s="42"/>
      <c r="AK3867" s="42"/>
      <c r="AL3867" s="42"/>
      <c r="AM3867" s="42"/>
      <c r="AN3867" s="42"/>
      <c r="AO3867" s="63" t="str">
        <f>IFERROR(__xludf.DUMMYFUNCTION("IF(ISBLANK(A3867),,IF(ISBLANK(S3867), A3867&amp;"";"", TEXTJOIN(CHAR(10), TRUE, A3867&amp;"";"", ARRAYFORMULA(VLOOKUP(SPLIT(S3867, "";"" &amp; CHAR(10)), $A:$AO, 41, FALSE)))))"),"")</f>
        <v/>
      </c>
      <c r="AP3867" s="89"/>
    </row>
    <row r="3868">
      <c r="A3868" s="42"/>
      <c r="B3868" s="42"/>
      <c r="C3868" s="42"/>
      <c r="D3868" s="42"/>
      <c r="E3868" s="39"/>
      <c r="F3868" s="9"/>
      <c r="G3868" s="9"/>
      <c r="H3868" s="9"/>
      <c r="I3868" s="9"/>
      <c r="J3868" s="9"/>
      <c r="K3868" s="9"/>
      <c r="L3868" s="9"/>
      <c r="M3868" s="9"/>
      <c r="N3868" s="9"/>
      <c r="O3868" s="9"/>
      <c r="P3868" s="9"/>
      <c r="Q3868" s="9"/>
      <c r="R3868" s="9"/>
      <c r="S3868" s="42"/>
      <c r="T3868" s="42"/>
      <c r="U3868" s="42"/>
      <c r="V3868" s="42"/>
      <c r="W3868" s="42"/>
      <c r="X3868" s="42"/>
      <c r="Y3868" s="42"/>
      <c r="Z3868" s="42"/>
      <c r="AA3868" s="42"/>
      <c r="AB3868" s="42"/>
      <c r="AC3868" s="42"/>
      <c r="AD3868" s="42"/>
      <c r="AE3868" s="42"/>
      <c r="AF3868" s="9"/>
      <c r="AG3868" s="9"/>
      <c r="AH3868" s="42"/>
      <c r="AI3868" s="42"/>
      <c r="AJ3868" s="42"/>
      <c r="AK3868" s="42"/>
      <c r="AL3868" s="42"/>
      <c r="AM3868" s="42"/>
      <c r="AN3868" s="42"/>
      <c r="AO3868" s="63" t="str">
        <f>IFERROR(__xludf.DUMMYFUNCTION("IF(ISBLANK(A3868),,IF(ISBLANK(S3868), A3868&amp;"";"", TEXTJOIN(CHAR(10), TRUE, A3868&amp;"";"", ARRAYFORMULA(VLOOKUP(SPLIT(S3868, "";"" &amp; CHAR(10)), $A:$AO, 41, FALSE)))))"),"")</f>
        <v/>
      </c>
      <c r="AP3868" s="89"/>
    </row>
    <row r="3869">
      <c r="A3869" s="42"/>
      <c r="B3869" s="42"/>
      <c r="C3869" s="42"/>
      <c r="D3869" s="42"/>
      <c r="E3869" s="39"/>
      <c r="F3869" s="9"/>
      <c r="G3869" s="9"/>
      <c r="H3869" s="9"/>
      <c r="I3869" s="9"/>
      <c r="J3869" s="9"/>
      <c r="K3869" s="9"/>
      <c r="L3869" s="9"/>
      <c r="M3869" s="9"/>
      <c r="N3869" s="9"/>
      <c r="O3869" s="9"/>
      <c r="P3869" s="9"/>
      <c r="Q3869" s="9"/>
      <c r="R3869" s="9"/>
      <c r="S3869" s="42"/>
      <c r="T3869" s="42"/>
      <c r="U3869" s="42"/>
      <c r="V3869" s="42"/>
      <c r="W3869" s="42"/>
      <c r="X3869" s="42"/>
      <c r="Y3869" s="42"/>
      <c r="Z3869" s="42"/>
      <c r="AA3869" s="42"/>
      <c r="AB3869" s="42"/>
      <c r="AC3869" s="42"/>
      <c r="AD3869" s="42"/>
      <c r="AE3869" s="42"/>
      <c r="AF3869" s="9"/>
      <c r="AG3869" s="9"/>
      <c r="AH3869" s="42"/>
      <c r="AI3869" s="42"/>
      <c r="AJ3869" s="42"/>
      <c r="AK3869" s="42"/>
      <c r="AL3869" s="42"/>
      <c r="AM3869" s="42"/>
      <c r="AN3869" s="42"/>
      <c r="AO3869" s="63" t="str">
        <f>IFERROR(__xludf.DUMMYFUNCTION("IF(ISBLANK(A3869),,IF(ISBLANK(S3869), A3869&amp;"";"", TEXTJOIN(CHAR(10), TRUE, A3869&amp;"";"", ARRAYFORMULA(VLOOKUP(SPLIT(S3869, "";"" &amp; CHAR(10)), $A:$AO, 41, FALSE)))))"),"")</f>
        <v/>
      </c>
      <c r="AP3869" s="89"/>
    </row>
    <row r="3870">
      <c r="A3870" s="42"/>
      <c r="B3870" s="42"/>
      <c r="C3870" s="42"/>
      <c r="D3870" s="42"/>
      <c r="E3870" s="39"/>
      <c r="F3870" s="9"/>
      <c r="G3870" s="9"/>
      <c r="H3870" s="9"/>
      <c r="I3870" s="9"/>
      <c r="J3870" s="9"/>
      <c r="K3870" s="9"/>
      <c r="L3870" s="9"/>
      <c r="M3870" s="9"/>
      <c r="N3870" s="9"/>
      <c r="O3870" s="9"/>
      <c r="P3870" s="9"/>
      <c r="Q3870" s="9"/>
      <c r="R3870" s="9"/>
      <c r="S3870" s="42"/>
      <c r="T3870" s="42"/>
      <c r="U3870" s="42"/>
      <c r="V3870" s="42"/>
      <c r="W3870" s="42"/>
      <c r="X3870" s="42"/>
      <c r="Y3870" s="42"/>
      <c r="Z3870" s="42"/>
      <c r="AA3870" s="42"/>
      <c r="AB3870" s="42"/>
      <c r="AC3870" s="42"/>
      <c r="AD3870" s="42"/>
      <c r="AE3870" s="42"/>
      <c r="AF3870" s="9"/>
      <c r="AG3870" s="9"/>
      <c r="AH3870" s="42"/>
      <c r="AI3870" s="42"/>
      <c r="AJ3870" s="42"/>
      <c r="AK3870" s="42"/>
      <c r="AL3870" s="42"/>
      <c r="AM3870" s="42"/>
      <c r="AN3870" s="42"/>
      <c r="AO3870" s="63" t="str">
        <f>IFERROR(__xludf.DUMMYFUNCTION("IF(ISBLANK(A3870),,IF(ISBLANK(S3870), A3870&amp;"";"", TEXTJOIN(CHAR(10), TRUE, A3870&amp;"";"", ARRAYFORMULA(VLOOKUP(SPLIT(S3870, "";"" &amp; CHAR(10)), $A:$AO, 41, FALSE)))))"),"")</f>
        <v/>
      </c>
      <c r="AP3870" s="89"/>
    </row>
    <row r="3871">
      <c r="A3871" s="42"/>
      <c r="B3871" s="42"/>
      <c r="C3871" s="42"/>
      <c r="D3871" s="42"/>
      <c r="E3871" s="39"/>
      <c r="F3871" s="9"/>
      <c r="G3871" s="9"/>
      <c r="H3871" s="9"/>
      <c r="I3871" s="9"/>
      <c r="J3871" s="9"/>
      <c r="K3871" s="9"/>
      <c r="L3871" s="9"/>
      <c r="M3871" s="9"/>
      <c r="N3871" s="9"/>
      <c r="O3871" s="9"/>
      <c r="P3871" s="9"/>
      <c r="Q3871" s="9"/>
      <c r="R3871" s="9"/>
      <c r="S3871" s="42"/>
      <c r="T3871" s="42"/>
      <c r="U3871" s="42"/>
      <c r="V3871" s="42"/>
      <c r="W3871" s="42"/>
      <c r="X3871" s="42"/>
      <c r="Y3871" s="42"/>
      <c r="Z3871" s="42"/>
      <c r="AA3871" s="42"/>
      <c r="AB3871" s="42"/>
      <c r="AC3871" s="42"/>
      <c r="AD3871" s="42"/>
      <c r="AE3871" s="42"/>
      <c r="AF3871" s="9"/>
      <c r="AG3871" s="9"/>
      <c r="AH3871" s="42"/>
      <c r="AI3871" s="42"/>
      <c r="AJ3871" s="42"/>
      <c r="AK3871" s="42"/>
      <c r="AL3871" s="42"/>
      <c r="AM3871" s="42"/>
      <c r="AN3871" s="42"/>
      <c r="AO3871" s="63" t="str">
        <f>IFERROR(__xludf.DUMMYFUNCTION("IF(ISBLANK(A3871),,IF(ISBLANK(S3871), A3871&amp;"";"", TEXTJOIN(CHAR(10), TRUE, A3871&amp;"";"", ARRAYFORMULA(VLOOKUP(SPLIT(S3871, "";"" &amp; CHAR(10)), $A:$AO, 41, FALSE)))))"),"")</f>
        <v/>
      </c>
      <c r="AP3871" s="89"/>
    </row>
    <row r="3872">
      <c r="A3872" s="42"/>
      <c r="B3872" s="42"/>
      <c r="C3872" s="42"/>
      <c r="D3872" s="42"/>
      <c r="E3872" s="39"/>
      <c r="F3872" s="9"/>
      <c r="G3872" s="9"/>
      <c r="H3872" s="9"/>
      <c r="I3872" s="9"/>
      <c r="J3872" s="9"/>
      <c r="K3872" s="9"/>
      <c r="L3872" s="9"/>
      <c r="M3872" s="9"/>
      <c r="N3872" s="9"/>
      <c r="O3872" s="9"/>
      <c r="P3872" s="9"/>
      <c r="Q3872" s="9"/>
      <c r="R3872" s="9"/>
      <c r="S3872" s="42"/>
      <c r="T3872" s="42"/>
      <c r="U3872" s="42"/>
      <c r="V3872" s="42"/>
      <c r="W3872" s="42"/>
      <c r="X3872" s="42"/>
      <c r="Y3872" s="42"/>
      <c r="Z3872" s="42"/>
      <c r="AA3872" s="42"/>
      <c r="AB3872" s="42"/>
      <c r="AC3872" s="42"/>
      <c r="AD3872" s="42"/>
      <c r="AE3872" s="42"/>
      <c r="AF3872" s="9"/>
      <c r="AG3872" s="9"/>
      <c r="AH3872" s="42"/>
      <c r="AI3872" s="42"/>
      <c r="AJ3872" s="42"/>
      <c r="AK3872" s="42"/>
      <c r="AL3872" s="42"/>
      <c r="AM3872" s="42"/>
      <c r="AN3872" s="42"/>
      <c r="AO3872" s="63" t="str">
        <f>IFERROR(__xludf.DUMMYFUNCTION("IF(ISBLANK(A3872),,IF(ISBLANK(S3872), A3872&amp;"";"", TEXTJOIN(CHAR(10), TRUE, A3872&amp;"";"", ARRAYFORMULA(VLOOKUP(SPLIT(S3872, "";"" &amp; CHAR(10)), $A:$AO, 41, FALSE)))))"),"")</f>
        <v/>
      </c>
      <c r="AP3872" s="89"/>
    </row>
    <row r="3873">
      <c r="A3873" s="42"/>
      <c r="B3873" s="42"/>
      <c r="C3873" s="42"/>
      <c r="D3873" s="42"/>
      <c r="E3873" s="39"/>
      <c r="F3873" s="9"/>
      <c r="G3873" s="9"/>
      <c r="H3873" s="9"/>
      <c r="I3873" s="9"/>
      <c r="J3873" s="9"/>
      <c r="K3873" s="9"/>
      <c r="L3873" s="9"/>
      <c r="M3873" s="9"/>
      <c r="N3873" s="9"/>
      <c r="O3873" s="9"/>
      <c r="P3873" s="9"/>
      <c r="Q3873" s="9"/>
      <c r="R3873" s="9"/>
      <c r="S3873" s="42"/>
      <c r="T3873" s="42"/>
      <c r="U3873" s="42"/>
      <c r="V3873" s="42"/>
      <c r="W3873" s="42"/>
      <c r="X3873" s="42"/>
      <c r="Y3873" s="42"/>
      <c r="Z3873" s="42"/>
      <c r="AA3873" s="42"/>
      <c r="AB3873" s="42"/>
      <c r="AC3873" s="42"/>
      <c r="AD3873" s="42"/>
      <c r="AE3873" s="42"/>
      <c r="AF3873" s="9"/>
      <c r="AG3873" s="9"/>
      <c r="AH3873" s="42"/>
      <c r="AI3873" s="42"/>
      <c r="AJ3873" s="42"/>
      <c r="AK3873" s="42"/>
      <c r="AL3873" s="42"/>
      <c r="AM3873" s="42"/>
      <c r="AN3873" s="42"/>
      <c r="AO3873" s="63" t="str">
        <f>IFERROR(__xludf.DUMMYFUNCTION("IF(ISBLANK(A3873),,IF(ISBLANK(S3873), A3873&amp;"";"", TEXTJOIN(CHAR(10), TRUE, A3873&amp;"";"", ARRAYFORMULA(VLOOKUP(SPLIT(S3873, "";"" &amp; CHAR(10)), $A:$AO, 41, FALSE)))))"),"")</f>
        <v/>
      </c>
      <c r="AP3873" s="89"/>
    </row>
    <row r="3874">
      <c r="A3874" s="42"/>
      <c r="B3874" s="42"/>
      <c r="C3874" s="42"/>
      <c r="D3874" s="42"/>
      <c r="E3874" s="39"/>
      <c r="F3874" s="9"/>
      <c r="G3874" s="9"/>
      <c r="H3874" s="9"/>
      <c r="I3874" s="9"/>
      <c r="J3874" s="9"/>
      <c r="K3874" s="9"/>
      <c r="L3874" s="9"/>
      <c r="M3874" s="9"/>
      <c r="N3874" s="9"/>
      <c r="O3874" s="9"/>
      <c r="P3874" s="9"/>
      <c r="Q3874" s="9"/>
      <c r="R3874" s="9"/>
      <c r="S3874" s="42"/>
      <c r="T3874" s="42"/>
      <c r="U3874" s="42"/>
      <c r="V3874" s="42"/>
      <c r="W3874" s="42"/>
      <c r="X3874" s="42"/>
      <c r="Y3874" s="42"/>
      <c r="Z3874" s="42"/>
      <c r="AA3874" s="42"/>
      <c r="AB3874" s="42"/>
      <c r="AC3874" s="42"/>
      <c r="AD3874" s="42"/>
      <c r="AE3874" s="42"/>
      <c r="AF3874" s="9"/>
      <c r="AG3874" s="9"/>
      <c r="AH3874" s="42"/>
      <c r="AI3874" s="42"/>
      <c r="AJ3874" s="42"/>
      <c r="AK3874" s="42"/>
      <c r="AL3874" s="42"/>
      <c r="AM3874" s="42"/>
      <c r="AN3874" s="42"/>
      <c r="AO3874" s="63" t="str">
        <f>IFERROR(__xludf.DUMMYFUNCTION("IF(ISBLANK(A3874),,IF(ISBLANK(S3874), A3874&amp;"";"", TEXTJOIN(CHAR(10), TRUE, A3874&amp;"";"", ARRAYFORMULA(VLOOKUP(SPLIT(S3874, "";"" &amp; CHAR(10)), $A:$AO, 41, FALSE)))))"),"")</f>
        <v/>
      </c>
      <c r="AP3874" s="89"/>
    </row>
    <row r="3875">
      <c r="A3875" s="42"/>
      <c r="B3875" s="42"/>
      <c r="C3875" s="42"/>
      <c r="D3875" s="42"/>
      <c r="E3875" s="39"/>
      <c r="F3875" s="9"/>
      <c r="G3875" s="9"/>
      <c r="H3875" s="9"/>
      <c r="I3875" s="9"/>
      <c r="J3875" s="9"/>
      <c r="K3875" s="9"/>
      <c r="L3875" s="9"/>
      <c r="M3875" s="9"/>
      <c r="N3875" s="9"/>
      <c r="O3875" s="9"/>
      <c r="P3875" s="9"/>
      <c r="Q3875" s="9"/>
      <c r="R3875" s="9"/>
      <c r="S3875" s="42"/>
      <c r="T3875" s="42"/>
      <c r="U3875" s="42"/>
      <c r="V3875" s="42"/>
      <c r="W3875" s="42"/>
      <c r="X3875" s="42"/>
      <c r="Y3875" s="42"/>
      <c r="Z3875" s="42"/>
      <c r="AA3875" s="42"/>
      <c r="AB3875" s="42"/>
      <c r="AC3875" s="42"/>
      <c r="AD3875" s="42"/>
      <c r="AE3875" s="42"/>
      <c r="AF3875" s="9"/>
      <c r="AG3875" s="9"/>
      <c r="AH3875" s="42"/>
      <c r="AI3875" s="42"/>
      <c r="AJ3875" s="42"/>
      <c r="AK3875" s="42"/>
      <c r="AL3875" s="42"/>
      <c r="AM3875" s="42"/>
      <c r="AN3875" s="42"/>
      <c r="AO3875" s="63" t="str">
        <f>IFERROR(__xludf.DUMMYFUNCTION("IF(ISBLANK(A3875),,IF(ISBLANK(S3875), A3875&amp;"";"", TEXTJOIN(CHAR(10), TRUE, A3875&amp;"";"", ARRAYFORMULA(VLOOKUP(SPLIT(S3875, "";"" &amp; CHAR(10)), $A:$AO, 41, FALSE)))))"),"")</f>
        <v/>
      </c>
      <c r="AP3875" s="89"/>
    </row>
    <row r="3876">
      <c r="A3876" s="42"/>
      <c r="B3876" s="42"/>
      <c r="C3876" s="42"/>
      <c r="D3876" s="42"/>
      <c r="E3876" s="39"/>
      <c r="F3876" s="9"/>
      <c r="G3876" s="9"/>
      <c r="H3876" s="9"/>
      <c r="I3876" s="9"/>
      <c r="J3876" s="9"/>
      <c r="K3876" s="9"/>
      <c r="L3876" s="9"/>
      <c r="M3876" s="9"/>
      <c r="N3876" s="9"/>
      <c r="O3876" s="9"/>
      <c r="P3876" s="9"/>
      <c r="Q3876" s="9"/>
      <c r="R3876" s="9"/>
      <c r="S3876" s="42"/>
      <c r="T3876" s="42"/>
      <c r="U3876" s="42"/>
      <c r="V3876" s="42"/>
      <c r="W3876" s="42"/>
      <c r="X3876" s="42"/>
      <c r="Y3876" s="42"/>
      <c r="Z3876" s="42"/>
      <c r="AA3876" s="42"/>
      <c r="AB3876" s="42"/>
      <c r="AC3876" s="42"/>
      <c r="AD3876" s="42"/>
      <c r="AE3876" s="42"/>
      <c r="AF3876" s="9"/>
      <c r="AG3876" s="9"/>
      <c r="AH3876" s="42"/>
      <c r="AI3876" s="42"/>
      <c r="AJ3876" s="42"/>
      <c r="AK3876" s="42"/>
      <c r="AL3876" s="42"/>
      <c r="AM3876" s="42"/>
      <c r="AN3876" s="42"/>
      <c r="AO3876" s="63" t="str">
        <f>IFERROR(__xludf.DUMMYFUNCTION("IF(ISBLANK(A3876),,IF(ISBLANK(S3876), A3876&amp;"";"", TEXTJOIN(CHAR(10), TRUE, A3876&amp;"";"", ARRAYFORMULA(VLOOKUP(SPLIT(S3876, "";"" &amp; CHAR(10)), $A:$AO, 41, FALSE)))))"),"")</f>
        <v/>
      </c>
      <c r="AP3876" s="89"/>
    </row>
    <row r="3877">
      <c r="A3877" s="42"/>
      <c r="B3877" s="42"/>
      <c r="C3877" s="42"/>
      <c r="D3877" s="42"/>
      <c r="E3877" s="39"/>
      <c r="F3877" s="9"/>
      <c r="G3877" s="9"/>
      <c r="H3877" s="9"/>
      <c r="I3877" s="9"/>
      <c r="J3877" s="9"/>
      <c r="K3877" s="9"/>
      <c r="L3877" s="9"/>
      <c r="M3877" s="9"/>
      <c r="N3877" s="9"/>
      <c r="O3877" s="9"/>
      <c r="P3877" s="9"/>
      <c r="Q3877" s="9"/>
      <c r="R3877" s="9"/>
      <c r="S3877" s="42"/>
      <c r="T3877" s="42"/>
      <c r="U3877" s="42"/>
      <c r="V3877" s="42"/>
      <c r="W3877" s="42"/>
      <c r="X3877" s="42"/>
      <c r="Y3877" s="42"/>
      <c r="Z3877" s="42"/>
      <c r="AA3877" s="42"/>
      <c r="AB3877" s="42"/>
      <c r="AC3877" s="42"/>
      <c r="AD3877" s="42"/>
      <c r="AE3877" s="42"/>
      <c r="AF3877" s="9"/>
      <c r="AG3877" s="9"/>
      <c r="AH3877" s="42"/>
      <c r="AI3877" s="42"/>
      <c r="AJ3877" s="42"/>
      <c r="AK3877" s="42"/>
      <c r="AL3877" s="42"/>
      <c r="AM3877" s="42"/>
      <c r="AN3877" s="42"/>
      <c r="AO3877" s="63" t="str">
        <f>IFERROR(__xludf.DUMMYFUNCTION("IF(ISBLANK(A3877),,IF(ISBLANK(S3877), A3877&amp;"";"", TEXTJOIN(CHAR(10), TRUE, A3877&amp;"";"", ARRAYFORMULA(VLOOKUP(SPLIT(S3877, "";"" &amp; CHAR(10)), $A:$AO, 41, FALSE)))))"),"")</f>
        <v/>
      </c>
      <c r="AP3877" s="89"/>
    </row>
    <row r="3878">
      <c r="A3878" s="42"/>
      <c r="B3878" s="42"/>
      <c r="C3878" s="42"/>
      <c r="D3878" s="42"/>
      <c r="E3878" s="39"/>
      <c r="F3878" s="9"/>
      <c r="G3878" s="9"/>
      <c r="H3878" s="9"/>
      <c r="I3878" s="9"/>
      <c r="J3878" s="9"/>
      <c r="K3878" s="9"/>
      <c r="L3878" s="9"/>
      <c r="M3878" s="9"/>
      <c r="N3878" s="9"/>
      <c r="O3878" s="9"/>
      <c r="P3878" s="9"/>
      <c r="Q3878" s="9"/>
      <c r="R3878" s="9"/>
      <c r="S3878" s="42"/>
      <c r="T3878" s="42"/>
      <c r="U3878" s="42"/>
      <c r="V3878" s="42"/>
      <c r="W3878" s="42"/>
      <c r="X3878" s="42"/>
      <c r="Y3878" s="42"/>
      <c r="Z3878" s="42"/>
      <c r="AA3878" s="42"/>
      <c r="AB3878" s="42"/>
      <c r="AC3878" s="42"/>
      <c r="AD3878" s="42"/>
      <c r="AE3878" s="42"/>
      <c r="AF3878" s="9"/>
      <c r="AG3878" s="9"/>
      <c r="AH3878" s="42"/>
      <c r="AI3878" s="42"/>
      <c r="AJ3878" s="42"/>
      <c r="AK3878" s="42"/>
      <c r="AL3878" s="42"/>
      <c r="AM3878" s="42"/>
      <c r="AN3878" s="42"/>
      <c r="AO3878" s="63" t="str">
        <f>IFERROR(__xludf.DUMMYFUNCTION("IF(ISBLANK(A3878),,IF(ISBLANK(S3878), A3878&amp;"";"", TEXTJOIN(CHAR(10), TRUE, A3878&amp;"";"", ARRAYFORMULA(VLOOKUP(SPLIT(S3878, "";"" &amp; CHAR(10)), $A:$AO, 41, FALSE)))))"),"")</f>
        <v/>
      </c>
      <c r="AP3878" s="89"/>
    </row>
    <row r="3879">
      <c r="A3879" s="42"/>
      <c r="B3879" s="42"/>
      <c r="C3879" s="42"/>
      <c r="D3879" s="42"/>
      <c r="E3879" s="39"/>
      <c r="F3879" s="9"/>
      <c r="G3879" s="9"/>
      <c r="H3879" s="9"/>
      <c r="I3879" s="9"/>
      <c r="J3879" s="9"/>
      <c r="K3879" s="9"/>
      <c r="L3879" s="9"/>
      <c r="M3879" s="9"/>
      <c r="N3879" s="9"/>
      <c r="O3879" s="9"/>
      <c r="P3879" s="9"/>
      <c r="Q3879" s="9"/>
      <c r="R3879" s="9"/>
      <c r="S3879" s="42"/>
      <c r="T3879" s="42"/>
      <c r="U3879" s="42"/>
      <c r="V3879" s="42"/>
      <c r="W3879" s="42"/>
      <c r="X3879" s="42"/>
      <c r="Y3879" s="42"/>
      <c r="Z3879" s="42"/>
      <c r="AA3879" s="42"/>
      <c r="AB3879" s="42"/>
      <c r="AC3879" s="42"/>
      <c r="AD3879" s="42"/>
      <c r="AE3879" s="42"/>
      <c r="AF3879" s="9"/>
      <c r="AG3879" s="9"/>
      <c r="AH3879" s="42"/>
      <c r="AI3879" s="42"/>
      <c r="AJ3879" s="42"/>
      <c r="AK3879" s="42"/>
      <c r="AL3879" s="42"/>
      <c r="AM3879" s="42"/>
      <c r="AN3879" s="42"/>
      <c r="AO3879" s="63" t="str">
        <f>IFERROR(__xludf.DUMMYFUNCTION("IF(ISBLANK(A3879),,IF(ISBLANK(S3879), A3879&amp;"";"", TEXTJOIN(CHAR(10), TRUE, A3879&amp;"";"", ARRAYFORMULA(VLOOKUP(SPLIT(S3879, "";"" &amp; CHAR(10)), $A:$AO, 41, FALSE)))))"),"")</f>
        <v/>
      </c>
      <c r="AP3879" s="89"/>
    </row>
    <row r="3880">
      <c r="A3880" s="42"/>
      <c r="B3880" s="42"/>
      <c r="C3880" s="42"/>
      <c r="D3880" s="42"/>
      <c r="E3880" s="39"/>
      <c r="F3880" s="9"/>
      <c r="G3880" s="9"/>
      <c r="H3880" s="9"/>
      <c r="I3880" s="9"/>
      <c r="J3880" s="9"/>
      <c r="K3880" s="9"/>
      <c r="L3880" s="9"/>
      <c r="M3880" s="9"/>
      <c r="N3880" s="9"/>
      <c r="O3880" s="9"/>
      <c r="P3880" s="9"/>
      <c r="Q3880" s="9"/>
      <c r="R3880" s="9"/>
      <c r="S3880" s="42"/>
      <c r="T3880" s="42"/>
      <c r="U3880" s="42"/>
      <c r="V3880" s="42"/>
      <c r="W3880" s="42"/>
      <c r="X3880" s="42"/>
      <c r="Y3880" s="42"/>
      <c r="Z3880" s="42"/>
      <c r="AA3880" s="42"/>
      <c r="AB3880" s="42"/>
      <c r="AC3880" s="42"/>
      <c r="AD3880" s="42"/>
      <c r="AE3880" s="42"/>
      <c r="AF3880" s="9"/>
      <c r="AG3880" s="9"/>
      <c r="AH3880" s="42"/>
      <c r="AI3880" s="42"/>
      <c r="AJ3880" s="42"/>
      <c r="AK3880" s="42"/>
      <c r="AL3880" s="42"/>
      <c r="AM3880" s="42"/>
      <c r="AN3880" s="42"/>
      <c r="AO3880" s="63" t="str">
        <f>IFERROR(__xludf.DUMMYFUNCTION("IF(ISBLANK(A3880),,IF(ISBLANK(S3880), A3880&amp;"";"", TEXTJOIN(CHAR(10), TRUE, A3880&amp;"";"", ARRAYFORMULA(VLOOKUP(SPLIT(S3880, "";"" &amp; CHAR(10)), $A:$AO, 41, FALSE)))))"),"")</f>
        <v/>
      </c>
      <c r="AP3880" s="89"/>
    </row>
    <row r="3881">
      <c r="A3881" s="42"/>
      <c r="B3881" s="42"/>
      <c r="C3881" s="42"/>
      <c r="D3881" s="42"/>
      <c r="E3881" s="39"/>
      <c r="F3881" s="9"/>
      <c r="G3881" s="9"/>
      <c r="H3881" s="9"/>
      <c r="I3881" s="9"/>
      <c r="J3881" s="9"/>
      <c r="K3881" s="9"/>
      <c r="L3881" s="9"/>
      <c r="M3881" s="9"/>
      <c r="N3881" s="9"/>
      <c r="O3881" s="9"/>
      <c r="P3881" s="9"/>
      <c r="Q3881" s="9"/>
      <c r="R3881" s="9"/>
      <c r="S3881" s="42"/>
      <c r="T3881" s="42"/>
      <c r="U3881" s="42"/>
      <c r="V3881" s="42"/>
      <c r="W3881" s="42"/>
      <c r="X3881" s="42"/>
      <c r="Y3881" s="42"/>
      <c r="Z3881" s="42"/>
      <c r="AA3881" s="42"/>
      <c r="AB3881" s="42"/>
      <c r="AC3881" s="42"/>
      <c r="AD3881" s="42"/>
      <c r="AE3881" s="42"/>
      <c r="AF3881" s="9"/>
      <c r="AG3881" s="9"/>
      <c r="AH3881" s="42"/>
      <c r="AI3881" s="42"/>
      <c r="AJ3881" s="42"/>
      <c r="AK3881" s="42"/>
      <c r="AL3881" s="42"/>
      <c r="AM3881" s="42"/>
      <c r="AN3881" s="42"/>
      <c r="AO3881" s="63" t="str">
        <f>IFERROR(__xludf.DUMMYFUNCTION("IF(ISBLANK(A3881),,IF(ISBLANK(S3881), A3881&amp;"";"", TEXTJOIN(CHAR(10), TRUE, A3881&amp;"";"", ARRAYFORMULA(VLOOKUP(SPLIT(S3881, "";"" &amp; CHAR(10)), $A:$AO, 41, FALSE)))))"),"")</f>
        <v/>
      </c>
      <c r="AP3881" s="89"/>
    </row>
    <row r="3882">
      <c r="A3882" s="42"/>
      <c r="B3882" s="42"/>
      <c r="C3882" s="42"/>
      <c r="D3882" s="42"/>
      <c r="E3882" s="39"/>
      <c r="F3882" s="9"/>
      <c r="G3882" s="9"/>
      <c r="H3882" s="9"/>
      <c r="I3882" s="9"/>
      <c r="J3882" s="9"/>
      <c r="K3882" s="9"/>
      <c r="L3882" s="9"/>
      <c r="M3882" s="9"/>
      <c r="N3882" s="9"/>
      <c r="O3882" s="9"/>
      <c r="P3882" s="9"/>
      <c r="Q3882" s="9"/>
      <c r="R3882" s="9"/>
      <c r="S3882" s="42"/>
      <c r="T3882" s="42"/>
      <c r="U3882" s="42"/>
      <c r="V3882" s="42"/>
      <c r="W3882" s="42"/>
      <c r="X3882" s="42"/>
      <c r="Y3882" s="42"/>
      <c r="Z3882" s="42"/>
      <c r="AA3882" s="42"/>
      <c r="AB3882" s="42"/>
      <c r="AC3882" s="42"/>
      <c r="AD3882" s="42"/>
      <c r="AE3882" s="42"/>
      <c r="AF3882" s="9"/>
      <c r="AG3882" s="9"/>
      <c r="AH3882" s="42"/>
      <c r="AI3882" s="42"/>
      <c r="AJ3882" s="42"/>
      <c r="AK3882" s="42"/>
      <c r="AL3882" s="42"/>
      <c r="AM3882" s="42"/>
      <c r="AN3882" s="42"/>
      <c r="AO3882" s="63" t="str">
        <f>IFERROR(__xludf.DUMMYFUNCTION("IF(ISBLANK(A3882),,IF(ISBLANK(S3882), A3882&amp;"";"", TEXTJOIN(CHAR(10), TRUE, A3882&amp;"";"", ARRAYFORMULA(VLOOKUP(SPLIT(S3882, "";"" &amp; CHAR(10)), $A:$AO, 41, FALSE)))))"),"")</f>
        <v/>
      </c>
      <c r="AP3882" s="89"/>
    </row>
    <row r="3883">
      <c r="A3883" s="42"/>
      <c r="B3883" s="42"/>
      <c r="C3883" s="42"/>
      <c r="D3883" s="42"/>
      <c r="E3883" s="39"/>
      <c r="F3883" s="9"/>
      <c r="G3883" s="9"/>
      <c r="H3883" s="9"/>
      <c r="I3883" s="9"/>
      <c r="J3883" s="9"/>
      <c r="K3883" s="9"/>
      <c r="L3883" s="9"/>
      <c r="M3883" s="9"/>
      <c r="N3883" s="9"/>
      <c r="O3883" s="9"/>
      <c r="P3883" s="9"/>
      <c r="Q3883" s="9"/>
      <c r="R3883" s="9"/>
      <c r="S3883" s="42"/>
      <c r="T3883" s="42"/>
      <c r="U3883" s="42"/>
      <c r="V3883" s="42"/>
      <c r="W3883" s="42"/>
      <c r="X3883" s="42"/>
      <c r="Y3883" s="42"/>
      <c r="Z3883" s="42"/>
      <c r="AA3883" s="42"/>
      <c r="AB3883" s="42"/>
      <c r="AC3883" s="42"/>
      <c r="AD3883" s="42"/>
      <c r="AE3883" s="42"/>
      <c r="AF3883" s="9"/>
      <c r="AG3883" s="9"/>
      <c r="AH3883" s="42"/>
      <c r="AI3883" s="42"/>
      <c r="AJ3883" s="42"/>
      <c r="AK3883" s="42"/>
      <c r="AL3883" s="42"/>
      <c r="AM3883" s="42"/>
      <c r="AN3883" s="42"/>
      <c r="AO3883" s="63" t="str">
        <f>IFERROR(__xludf.DUMMYFUNCTION("IF(ISBLANK(A3883),,IF(ISBLANK(S3883), A3883&amp;"";"", TEXTJOIN(CHAR(10), TRUE, A3883&amp;"";"", ARRAYFORMULA(VLOOKUP(SPLIT(S3883, "";"" &amp; CHAR(10)), $A:$AO, 41, FALSE)))))"),"")</f>
        <v/>
      </c>
      <c r="AP3883" s="89"/>
    </row>
    <row r="3884">
      <c r="A3884" s="42"/>
      <c r="B3884" s="42"/>
      <c r="C3884" s="42"/>
      <c r="D3884" s="42"/>
      <c r="E3884" s="39"/>
      <c r="F3884" s="9"/>
      <c r="G3884" s="9"/>
      <c r="H3884" s="9"/>
      <c r="I3884" s="9"/>
      <c r="J3884" s="9"/>
      <c r="K3884" s="9"/>
      <c r="L3884" s="9"/>
      <c r="M3884" s="9"/>
      <c r="N3884" s="9"/>
      <c r="O3884" s="9"/>
      <c r="P3884" s="9"/>
      <c r="Q3884" s="9"/>
      <c r="R3884" s="9"/>
      <c r="S3884" s="42"/>
      <c r="T3884" s="42"/>
      <c r="U3884" s="42"/>
      <c r="V3884" s="42"/>
      <c r="W3884" s="42"/>
      <c r="X3884" s="42"/>
      <c r="Y3884" s="42"/>
      <c r="Z3884" s="42"/>
      <c r="AA3884" s="42"/>
      <c r="AB3884" s="42"/>
      <c r="AC3884" s="42"/>
      <c r="AD3884" s="42"/>
      <c r="AE3884" s="42"/>
      <c r="AF3884" s="9"/>
      <c r="AG3884" s="9"/>
      <c r="AH3884" s="42"/>
      <c r="AI3884" s="42"/>
      <c r="AJ3884" s="42"/>
      <c r="AK3884" s="42"/>
      <c r="AL3884" s="42"/>
      <c r="AM3884" s="42"/>
      <c r="AN3884" s="42"/>
      <c r="AO3884" s="63" t="str">
        <f>IFERROR(__xludf.DUMMYFUNCTION("IF(ISBLANK(A3884),,IF(ISBLANK(S3884), A3884&amp;"";"", TEXTJOIN(CHAR(10), TRUE, A3884&amp;"";"", ARRAYFORMULA(VLOOKUP(SPLIT(S3884, "";"" &amp; CHAR(10)), $A:$AO, 41, FALSE)))))"),"")</f>
        <v/>
      </c>
      <c r="AP3884" s="89"/>
    </row>
    <row r="3885">
      <c r="A3885" s="42"/>
      <c r="B3885" s="42"/>
      <c r="C3885" s="42"/>
      <c r="D3885" s="42"/>
      <c r="E3885" s="39"/>
      <c r="F3885" s="9"/>
      <c r="G3885" s="9"/>
      <c r="H3885" s="9"/>
      <c r="I3885" s="9"/>
      <c r="J3885" s="9"/>
      <c r="K3885" s="9"/>
      <c r="L3885" s="9"/>
      <c r="M3885" s="9"/>
      <c r="N3885" s="9"/>
      <c r="O3885" s="9"/>
      <c r="P3885" s="9"/>
      <c r="Q3885" s="9"/>
      <c r="R3885" s="9"/>
      <c r="S3885" s="42"/>
      <c r="T3885" s="42"/>
      <c r="U3885" s="42"/>
      <c r="V3885" s="42"/>
      <c r="W3885" s="42"/>
      <c r="X3885" s="42"/>
      <c r="Y3885" s="42"/>
      <c r="Z3885" s="42"/>
      <c r="AA3885" s="42"/>
      <c r="AB3885" s="42"/>
      <c r="AC3885" s="42"/>
      <c r="AD3885" s="42"/>
      <c r="AE3885" s="42"/>
      <c r="AF3885" s="9"/>
      <c r="AG3885" s="9"/>
      <c r="AH3885" s="42"/>
      <c r="AI3885" s="42"/>
      <c r="AJ3885" s="42"/>
      <c r="AK3885" s="42"/>
      <c r="AL3885" s="42"/>
      <c r="AM3885" s="42"/>
      <c r="AN3885" s="42"/>
      <c r="AO3885" s="63" t="str">
        <f>IFERROR(__xludf.DUMMYFUNCTION("IF(ISBLANK(A3885),,IF(ISBLANK(S3885), A3885&amp;"";"", TEXTJOIN(CHAR(10), TRUE, A3885&amp;"";"", ARRAYFORMULA(VLOOKUP(SPLIT(S3885, "";"" &amp; CHAR(10)), $A:$AO, 41, FALSE)))))"),"")</f>
        <v/>
      </c>
      <c r="AP3885" s="89"/>
    </row>
    <row r="3886">
      <c r="A3886" s="42"/>
      <c r="B3886" s="42"/>
      <c r="C3886" s="42"/>
      <c r="D3886" s="42"/>
      <c r="E3886" s="39"/>
      <c r="F3886" s="9"/>
      <c r="G3886" s="9"/>
      <c r="H3886" s="9"/>
      <c r="I3886" s="9"/>
      <c r="J3886" s="9"/>
      <c r="K3886" s="9"/>
      <c r="L3886" s="9"/>
      <c r="M3886" s="9"/>
      <c r="N3886" s="9"/>
      <c r="O3886" s="9"/>
      <c r="P3886" s="9"/>
      <c r="Q3886" s="9"/>
      <c r="R3886" s="9"/>
      <c r="S3886" s="42"/>
      <c r="T3886" s="42"/>
      <c r="U3886" s="42"/>
      <c r="V3886" s="42"/>
      <c r="W3886" s="42"/>
      <c r="X3886" s="42"/>
      <c r="Y3886" s="42"/>
      <c r="Z3886" s="42"/>
      <c r="AA3886" s="42"/>
      <c r="AB3886" s="42"/>
      <c r="AC3886" s="42"/>
      <c r="AD3886" s="42"/>
      <c r="AE3886" s="42"/>
      <c r="AF3886" s="9"/>
      <c r="AG3886" s="9"/>
      <c r="AH3886" s="42"/>
      <c r="AI3886" s="42"/>
      <c r="AJ3886" s="42"/>
      <c r="AK3886" s="42"/>
      <c r="AL3886" s="42"/>
      <c r="AM3886" s="42"/>
      <c r="AN3886" s="42"/>
      <c r="AO3886" s="63" t="str">
        <f>IFERROR(__xludf.DUMMYFUNCTION("IF(ISBLANK(A3886),,IF(ISBLANK(S3886), A3886&amp;"";"", TEXTJOIN(CHAR(10), TRUE, A3886&amp;"";"", ARRAYFORMULA(VLOOKUP(SPLIT(S3886, "";"" &amp; CHAR(10)), $A:$AO, 41, FALSE)))))"),"")</f>
        <v/>
      </c>
      <c r="AP3886" s="89"/>
    </row>
    <row r="3887">
      <c r="A3887" s="42"/>
      <c r="B3887" s="42"/>
      <c r="C3887" s="42"/>
      <c r="D3887" s="42"/>
      <c r="E3887" s="39"/>
      <c r="F3887" s="9"/>
      <c r="G3887" s="9"/>
      <c r="H3887" s="9"/>
      <c r="I3887" s="9"/>
      <c r="J3887" s="9"/>
      <c r="K3887" s="9"/>
      <c r="L3887" s="9"/>
      <c r="M3887" s="9"/>
      <c r="N3887" s="9"/>
      <c r="O3887" s="9"/>
      <c r="P3887" s="9"/>
      <c r="Q3887" s="9"/>
      <c r="R3887" s="9"/>
      <c r="S3887" s="42"/>
      <c r="T3887" s="42"/>
      <c r="U3887" s="42"/>
      <c r="V3887" s="42"/>
      <c r="W3887" s="42"/>
      <c r="X3887" s="42"/>
      <c r="Y3887" s="42"/>
      <c r="Z3887" s="42"/>
      <c r="AA3887" s="42"/>
      <c r="AB3887" s="42"/>
      <c r="AC3887" s="42"/>
      <c r="AD3887" s="42"/>
      <c r="AE3887" s="42"/>
      <c r="AF3887" s="9"/>
      <c r="AG3887" s="9"/>
      <c r="AH3887" s="42"/>
      <c r="AI3887" s="42"/>
      <c r="AJ3887" s="42"/>
      <c r="AK3887" s="42"/>
      <c r="AL3887" s="42"/>
      <c r="AM3887" s="42"/>
      <c r="AN3887" s="42"/>
      <c r="AO3887" s="63" t="str">
        <f>IFERROR(__xludf.DUMMYFUNCTION("IF(ISBLANK(A3887),,IF(ISBLANK(S3887), A3887&amp;"";"", TEXTJOIN(CHAR(10), TRUE, A3887&amp;"";"", ARRAYFORMULA(VLOOKUP(SPLIT(S3887, "";"" &amp; CHAR(10)), $A:$AO, 41, FALSE)))))"),"")</f>
        <v/>
      </c>
      <c r="AP3887" s="89"/>
    </row>
    <row r="3888">
      <c r="A3888" s="42"/>
      <c r="B3888" s="42"/>
      <c r="C3888" s="42"/>
      <c r="D3888" s="42"/>
      <c r="E3888" s="39"/>
      <c r="F3888" s="9"/>
      <c r="G3888" s="9"/>
      <c r="H3888" s="9"/>
      <c r="I3888" s="9"/>
      <c r="J3888" s="9"/>
      <c r="K3888" s="9"/>
      <c r="L3888" s="9"/>
      <c r="M3888" s="9"/>
      <c r="N3888" s="9"/>
      <c r="O3888" s="9"/>
      <c r="P3888" s="9"/>
      <c r="Q3888" s="9"/>
      <c r="R3888" s="9"/>
      <c r="S3888" s="42"/>
      <c r="T3888" s="42"/>
      <c r="U3888" s="42"/>
      <c r="V3888" s="42"/>
      <c r="W3888" s="42"/>
      <c r="X3888" s="42"/>
      <c r="Y3888" s="42"/>
      <c r="Z3888" s="42"/>
      <c r="AA3888" s="42"/>
      <c r="AB3888" s="42"/>
      <c r="AC3888" s="42"/>
      <c r="AD3888" s="42"/>
      <c r="AE3888" s="42"/>
      <c r="AF3888" s="9"/>
      <c r="AG3888" s="9"/>
      <c r="AH3888" s="42"/>
      <c r="AI3888" s="42"/>
      <c r="AJ3888" s="42"/>
      <c r="AK3888" s="42"/>
      <c r="AL3888" s="42"/>
      <c r="AM3888" s="42"/>
      <c r="AN3888" s="42"/>
      <c r="AO3888" s="63" t="str">
        <f>IFERROR(__xludf.DUMMYFUNCTION("IF(ISBLANK(A3888),,IF(ISBLANK(S3888), A3888&amp;"";"", TEXTJOIN(CHAR(10), TRUE, A3888&amp;"";"", ARRAYFORMULA(VLOOKUP(SPLIT(S3888, "";"" &amp; CHAR(10)), $A:$AO, 41, FALSE)))))"),"")</f>
        <v/>
      </c>
      <c r="AP3888" s="89"/>
    </row>
    <row r="3889">
      <c r="A3889" s="42"/>
      <c r="B3889" s="42"/>
      <c r="C3889" s="42"/>
      <c r="D3889" s="42"/>
      <c r="E3889" s="39"/>
      <c r="F3889" s="9"/>
      <c r="G3889" s="9"/>
      <c r="H3889" s="9"/>
      <c r="I3889" s="9"/>
      <c r="J3889" s="9"/>
      <c r="K3889" s="9"/>
      <c r="L3889" s="9"/>
      <c r="M3889" s="9"/>
      <c r="N3889" s="9"/>
      <c r="O3889" s="9"/>
      <c r="P3889" s="9"/>
      <c r="Q3889" s="9"/>
      <c r="R3889" s="9"/>
      <c r="S3889" s="42"/>
      <c r="T3889" s="42"/>
      <c r="U3889" s="42"/>
      <c r="V3889" s="42"/>
      <c r="W3889" s="42"/>
      <c r="X3889" s="42"/>
      <c r="Y3889" s="42"/>
      <c r="Z3889" s="42"/>
      <c r="AA3889" s="42"/>
      <c r="AB3889" s="42"/>
      <c r="AC3889" s="42"/>
      <c r="AD3889" s="42"/>
      <c r="AE3889" s="42"/>
      <c r="AF3889" s="9"/>
      <c r="AG3889" s="9"/>
      <c r="AH3889" s="42"/>
      <c r="AI3889" s="42"/>
      <c r="AJ3889" s="42"/>
      <c r="AK3889" s="42"/>
      <c r="AL3889" s="42"/>
      <c r="AM3889" s="42"/>
      <c r="AN3889" s="42"/>
      <c r="AO3889" s="63" t="str">
        <f>IFERROR(__xludf.DUMMYFUNCTION("IF(ISBLANK(A3889),,IF(ISBLANK(S3889), A3889&amp;"";"", TEXTJOIN(CHAR(10), TRUE, A3889&amp;"";"", ARRAYFORMULA(VLOOKUP(SPLIT(S3889, "";"" &amp; CHAR(10)), $A:$AO, 41, FALSE)))))"),"")</f>
        <v/>
      </c>
      <c r="AP3889" s="89"/>
    </row>
    <row r="3890">
      <c r="A3890" s="42"/>
      <c r="B3890" s="42"/>
      <c r="C3890" s="42"/>
      <c r="D3890" s="42"/>
      <c r="E3890" s="39"/>
      <c r="F3890" s="9"/>
      <c r="G3890" s="9"/>
      <c r="H3890" s="9"/>
      <c r="I3890" s="9"/>
      <c r="J3890" s="9"/>
      <c r="K3890" s="9"/>
      <c r="L3890" s="9"/>
      <c r="M3890" s="9"/>
      <c r="N3890" s="9"/>
      <c r="O3890" s="9"/>
      <c r="P3890" s="9"/>
      <c r="Q3890" s="9"/>
      <c r="R3890" s="9"/>
      <c r="S3890" s="42"/>
      <c r="T3890" s="42"/>
      <c r="U3890" s="42"/>
      <c r="V3890" s="42"/>
      <c r="W3890" s="42"/>
      <c r="X3890" s="42"/>
      <c r="Y3890" s="42"/>
      <c r="Z3890" s="42"/>
      <c r="AA3890" s="42"/>
      <c r="AB3890" s="42"/>
      <c r="AC3890" s="42"/>
      <c r="AD3890" s="42"/>
      <c r="AE3890" s="42"/>
      <c r="AF3890" s="9"/>
      <c r="AG3890" s="9"/>
      <c r="AH3890" s="42"/>
      <c r="AI3890" s="42"/>
      <c r="AJ3890" s="42"/>
      <c r="AK3890" s="42"/>
      <c r="AL3890" s="42"/>
      <c r="AM3890" s="42"/>
      <c r="AN3890" s="42"/>
      <c r="AO3890" s="63" t="str">
        <f>IFERROR(__xludf.DUMMYFUNCTION("IF(ISBLANK(A3890),,IF(ISBLANK(S3890), A3890&amp;"";"", TEXTJOIN(CHAR(10), TRUE, A3890&amp;"";"", ARRAYFORMULA(VLOOKUP(SPLIT(S3890, "";"" &amp; CHAR(10)), $A:$AO, 41, FALSE)))))"),"")</f>
        <v/>
      </c>
      <c r="AP3890" s="89"/>
    </row>
    <row r="3891">
      <c r="A3891" s="42"/>
      <c r="B3891" s="42"/>
      <c r="C3891" s="42"/>
      <c r="D3891" s="42"/>
      <c r="E3891" s="39"/>
      <c r="F3891" s="9"/>
      <c r="G3891" s="9"/>
      <c r="H3891" s="9"/>
      <c r="I3891" s="9"/>
      <c r="J3891" s="9"/>
      <c r="K3891" s="9"/>
      <c r="L3891" s="9"/>
      <c r="M3891" s="9"/>
      <c r="N3891" s="9"/>
      <c r="O3891" s="9"/>
      <c r="P3891" s="9"/>
      <c r="Q3891" s="9"/>
      <c r="R3891" s="9"/>
      <c r="S3891" s="42"/>
      <c r="T3891" s="42"/>
      <c r="U3891" s="42"/>
      <c r="V3891" s="42"/>
      <c r="W3891" s="42"/>
      <c r="X3891" s="42"/>
      <c r="Y3891" s="42"/>
      <c r="Z3891" s="42"/>
      <c r="AA3891" s="42"/>
      <c r="AB3891" s="42"/>
      <c r="AC3891" s="42"/>
      <c r="AD3891" s="42"/>
      <c r="AE3891" s="42"/>
      <c r="AF3891" s="9"/>
      <c r="AG3891" s="9"/>
      <c r="AH3891" s="42"/>
      <c r="AI3891" s="42"/>
      <c r="AJ3891" s="42"/>
      <c r="AK3891" s="42"/>
      <c r="AL3891" s="42"/>
      <c r="AM3891" s="42"/>
      <c r="AN3891" s="42"/>
      <c r="AO3891" s="63" t="str">
        <f>IFERROR(__xludf.DUMMYFUNCTION("IF(ISBLANK(A3891),,IF(ISBLANK(S3891), A3891&amp;"";"", TEXTJOIN(CHAR(10), TRUE, A3891&amp;"";"", ARRAYFORMULA(VLOOKUP(SPLIT(S3891, "";"" &amp; CHAR(10)), $A:$AO, 41, FALSE)))))"),"")</f>
        <v/>
      </c>
      <c r="AP3891" s="89"/>
    </row>
    <row r="3892">
      <c r="A3892" s="42"/>
      <c r="B3892" s="42"/>
      <c r="C3892" s="42"/>
      <c r="D3892" s="42"/>
      <c r="E3892" s="39"/>
      <c r="F3892" s="9"/>
      <c r="G3892" s="9"/>
      <c r="H3892" s="9"/>
      <c r="I3892" s="9"/>
      <c r="J3892" s="9"/>
      <c r="K3892" s="9"/>
      <c r="L3892" s="9"/>
      <c r="M3892" s="9"/>
      <c r="N3892" s="9"/>
      <c r="O3892" s="9"/>
      <c r="P3892" s="9"/>
      <c r="Q3892" s="9"/>
      <c r="R3892" s="9"/>
      <c r="S3892" s="42"/>
      <c r="T3892" s="42"/>
      <c r="U3892" s="42"/>
      <c r="V3892" s="42"/>
      <c r="W3892" s="42"/>
      <c r="X3892" s="42"/>
      <c r="Y3892" s="42"/>
      <c r="Z3892" s="42"/>
      <c r="AA3892" s="42"/>
      <c r="AB3892" s="42"/>
      <c r="AC3892" s="42"/>
      <c r="AD3892" s="42"/>
      <c r="AE3892" s="42"/>
      <c r="AF3892" s="9"/>
      <c r="AG3892" s="9"/>
      <c r="AH3892" s="42"/>
      <c r="AI3892" s="42"/>
      <c r="AJ3892" s="42"/>
      <c r="AK3892" s="42"/>
      <c r="AL3892" s="42"/>
      <c r="AM3892" s="42"/>
      <c r="AN3892" s="42"/>
      <c r="AO3892" s="63" t="str">
        <f>IFERROR(__xludf.DUMMYFUNCTION("IF(ISBLANK(A3892),,IF(ISBLANK(S3892), A3892&amp;"";"", TEXTJOIN(CHAR(10), TRUE, A3892&amp;"";"", ARRAYFORMULA(VLOOKUP(SPLIT(S3892, "";"" &amp; CHAR(10)), $A:$AO, 41, FALSE)))))"),"")</f>
        <v/>
      </c>
      <c r="AP3892" s="89"/>
    </row>
    <row r="3893">
      <c r="A3893" s="42"/>
      <c r="B3893" s="42"/>
      <c r="C3893" s="42"/>
      <c r="D3893" s="42"/>
      <c r="E3893" s="39"/>
      <c r="F3893" s="9"/>
      <c r="G3893" s="9"/>
      <c r="H3893" s="9"/>
      <c r="I3893" s="9"/>
      <c r="J3893" s="9"/>
      <c r="K3893" s="9"/>
      <c r="L3893" s="9"/>
      <c r="M3893" s="9"/>
      <c r="N3893" s="9"/>
      <c r="O3893" s="9"/>
      <c r="P3893" s="9"/>
      <c r="Q3893" s="9"/>
      <c r="R3893" s="9"/>
      <c r="S3893" s="42"/>
      <c r="T3893" s="42"/>
      <c r="U3893" s="42"/>
      <c r="V3893" s="42"/>
      <c r="W3893" s="42"/>
      <c r="X3893" s="42"/>
      <c r="Y3893" s="42"/>
      <c r="Z3893" s="42"/>
      <c r="AA3893" s="42"/>
      <c r="AB3893" s="42"/>
      <c r="AC3893" s="42"/>
      <c r="AD3893" s="42"/>
      <c r="AE3893" s="42"/>
      <c r="AF3893" s="9"/>
      <c r="AG3893" s="9"/>
      <c r="AH3893" s="42"/>
      <c r="AI3893" s="42"/>
      <c r="AJ3893" s="42"/>
      <c r="AK3893" s="42"/>
      <c r="AL3893" s="42"/>
      <c r="AM3893" s="42"/>
      <c r="AN3893" s="42"/>
      <c r="AO3893" s="63" t="str">
        <f>IFERROR(__xludf.DUMMYFUNCTION("IF(ISBLANK(A3893),,IF(ISBLANK(S3893), A3893&amp;"";"", TEXTJOIN(CHAR(10), TRUE, A3893&amp;"";"", ARRAYFORMULA(VLOOKUP(SPLIT(S3893, "";"" &amp; CHAR(10)), $A:$AO, 41, FALSE)))))"),"")</f>
        <v/>
      </c>
      <c r="AP3893" s="89"/>
    </row>
    <row r="3894">
      <c r="A3894" s="42"/>
      <c r="B3894" s="42"/>
      <c r="C3894" s="42"/>
      <c r="D3894" s="42"/>
      <c r="E3894" s="39"/>
      <c r="F3894" s="9"/>
      <c r="G3894" s="9"/>
      <c r="H3894" s="9"/>
      <c r="I3894" s="9"/>
      <c r="J3894" s="9"/>
      <c r="K3894" s="9"/>
      <c r="L3894" s="9"/>
      <c r="M3894" s="9"/>
      <c r="N3894" s="9"/>
      <c r="O3894" s="9"/>
      <c r="P3894" s="9"/>
      <c r="Q3894" s="9"/>
      <c r="R3894" s="9"/>
      <c r="S3894" s="42"/>
      <c r="T3894" s="42"/>
      <c r="U3894" s="42"/>
      <c r="V3894" s="42"/>
      <c r="W3894" s="42"/>
      <c r="X3894" s="42"/>
      <c r="Y3894" s="42"/>
      <c r="Z3894" s="42"/>
      <c r="AA3894" s="42"/>
      <c r="AB3894" s="42"/>
      <c r="AC3894" s="42"/>
      <c r="AD3894" s="42"/>
      <c r="AE3894" s="42"/>
      <c r="AF3894" s="9"/>
      <c r="AG3894" s="9"/>
      <c r="AH3894" s="42"/>
      <c r="AI3894" s="42"/>
      <c r="AJ3894" s="42"/>
      <c r="AK3894" s="42"/>
      <c r="AL3894" s="42"/>
      <c r="AM3894" s="42"/>
      <c r="AN3894" s="42"/>
      <c r="AO3894" s="63" t="str">
        <f>IFERROR(__xludf.DUMMYFUNCTION("IF(ISBLANK(A3894),,IF(ISBLANK(S3894), A3894&amp;"";"", TEXTJOIN(CHAR(10), TRUE, A3894&amp;"";"", ARRAYFORMULA(VLOOKUP(SPLIT(S3894, "";"" &amp; CHAR(10)), $A:$AO, 41, FALSE)))))"),"")</f>
        <v/>
      </c>
      <c r="AP3894" s="89"/>
    </row>
    <row r="3895">
      <c r="A3895" s="42"/>
      <c r="B3895" s="42"/>
      <c r="C3895" s="42"/>
      <c r="D3895" s="42"/>
      <c r="E3895" s="39"/>
      <c r="F3895" s="9"/>
      <c r="G3895" s="9"/>
      <c r="H3895" s="9"/>
      <c r="I3895" s="9"/>
      <c r="J3895" s="9"/>
      <c r="K3895" s="9"/>
      <c r="L3895" s="9"/>
      <c r="M3895" s="9"/>
      <c r="N3895" s="9"/>
      <c r="O3895" s="9"/>
      <c r="P3895" s="9"/>
      <c r="Q3895" s="9"/>
      <c r="R3895" s="9"/>
      <c r="S3895" s="42"/>
      <c r="T3895" s="42"/>
      <c r="U3895" s="42"/>
      <c r="V3895" s="42"/>
      <c r="W3895" s="42"/>
      <c r="X3895" s="42"/>
      <c r="Y3895" s="42"/>
      <c r="Z3895" s="42"/>
      <c r="AA3895" s="42"/>
      <c r="AB3895" s="42"/>
      <c r="AC3895" s="42"/>
      <c r="AD3895" s="42"/>
      <c r="AE3895" s="42"/>
      <c r="AF3895" s="9"/>
      <c r="AG3895" s="9"/>
      <c r="AH3895" s="42"/>
      <c r="AI3895" s="42"/>
      <c r="AJ3895" s="42"/>
      <c r="AK3895" s="42"/>
      <c r="AL3895" s="42"/>
      <c r="AM3895" s="42"/>
      <c r="AN3895" s="42"/>
      <c r="AO3895" s="63" t="str">
        <f>IFERROR(__xludf.DUMMYFUNCTION("IF(ISBLANK(A3895),,IF(ISBLANK(S3895), A3895&amp;"";"", TEXTJOIN(CHAR(10), TRUE, A3895&amp;"";"", ARRAYFORMULA(VLOOKUP(SPLIT(S3895, "";"" &amp; CHAR(10)), $A:$AO, 41, FALSE)))))"),"")</f>
        <v/>
      </c>
      <c r="AP3895" s="89"/>
    </row>
    <row r="3896">
      <c r="A3896" s="42"/>
      <c r="B3896" s="42"/>
      <c r="C3896" s="42"/>
      <c r="D3896" s="42"/>
      <c r="E3896" s="39"/>
      <c r="F3896" s="9"/>
      <c r="G3896" s="9"/>
      <c r="H3896" s="9"/>
      <c r="I3896" s="9"/>
      <c r="J3896" s="9"/>
      <c r="K3896" s="9"/>
      <c r="L3896" s="9"/>
      <c r="M3896" s="9"/>
      <c r="N3896" s="9"/>
      <c r="O3896" s="9"/>
      <c r="P3896" s="9"/>
      <c r="Q3896" s="9"/>
      <c r="R3896" s="9"/>
      <c r="S3896" s="42"/>
      <c r="T3896" s="42"/>
      <c r="U3896" s="42"/>
      <c r="V3896" s="42"/>
      <c r="W3896" s="42"/>
      <c r="X3896" s="42"/>
      <c r="Y3896" s="42"/>
      <c r="Z3896" s="42"/>
      <c r="AA3896" s="42"/>
      <c r="AB3896" s="42"/>
      <c r="AC3896" s="42"/>
      <c r="AD3896" s="42"/>
      <c r="AE3896" s="42"/>
      <c r="AF3896" s="9"/>
      <c r="AG3896" s="9"/>
      <c r="AH3896" s="42"/>
      <c r="AI3896" s="42"/>
      <c r="AJ3896" s="42"/>
      <c r="AK3896" s="42"/>
      <c r="AL3896" s="42"/>
      <c r="AM3896" s="42"/>
      <c r="AN3896" s="42"/>
      <c r="AO3896" s="63" t="str">
        <f>IFERROR(__xludf.DUMMYFUNCTION("IF(ISBLANK(A3896),,IF(ISBLANK(S3896), A3896&amp;"";"", TEXTJOIN(CHAR(10), TRUE, A3896&amp;"";"", ARRAYFORMULA(VLOOKUP(SPLIT(S3896, "";"" &amp; CHAR(10)), $A:$AO, 41, FALSE)))))"),"")</f>
        <v/>
      </c>
      <c r="AP3896" s="89"/>
    </row>
    <row r="3897">
      <c r="A3897" s="42"/>
      <c r="B3897" s="42"/>
      <c r="C3897" s="42"/>
      <c r="D3897" s="42"/>
      <c r="E3897" s="39"/>
      <c r="F3897" s="9"/>
      <c r="G3897" s="9"/>
      <c r="H3897" s="9"/>
      <c r="I3897" s="9"/>
      <c r="J3897" s="9"/>
      <c r="K3897" s="9"/>
      <c r="L3897" s="9"/>
      <c r="M3897" s="9"/>
      <c r="N3897" s="9"/>
      <c r="O3897" s="9"/>
      <c r="P3897" s="9"/>
      <c r="Q3897" s="9"/>
      <c r="R3897" s="9"/>
      <c r="S3897" s="42"/>
      <c r="T3897" s="42"/>
      <c r="U3897" s="42"/>
      <c r="V3897" s="42"/>
      <c r="W3897" s="42"/>
      <c r="X3897" s="42"/>
      <c r="Y3897" s="42"/>
      <c r="Z3897" s="42"/>
      <c r="AA3897" s="42"/>
      <c r="AB3897" s="42"/>
      <c r="AC3897" s="42"/>
      <c r="AD3897" s="42"/>
      <c r="AE3897" s="42"/>
      <c r="AF3897" s="9"/>
      <c r="AG3897" s="9"/>
      <c r="AH3897" s="42"/>
      <c r="AI3897" s="42"/>
      <c r="AJ3897" s="42"/>
      <c r="AK3897" s="42"/>
      <c r="AL3897" s="42"/>
      <c r="AM3897" s="42"/>
      <c r="AN3897" s="42"/>
      <c r="AO3897" s="63" t="str">
        <f>IFERROR(__xludf.DUMMYFUNCTION("IF(ISBLANK(A3897),,IF(ISBLANK(S3897), A3897&amp;"";"", TEXTJOIN(CHAR(10), TRUE, A3897&amp;"";"", ARRAYFORMULA(VLOOKUP(SPLIT(S3897, "";"" &amp; CHAR(10)), $A:$AO, 41, FALSE)))))"),"")</f>
        <v/>
      </c>
      <c r="AP3897" s="89"/>
    </row>
    <row r="3898">
      <c r="A3898" s="42"/>
      <c r="B3898" s="42"/>
      <c r="C3898" s="42"/>
      <c r="D3898" s="42"/>
      <c r="E3898" s="39"/>
      <c r="F3898" s="9"/>
      <c r="G3898" s="9"/>
      <c r="H3898" s="9"/>
      <c r="I3898" s="9"/>
      <c r="J3898" s="9"/>
      <c r="K3898" s="9"/>
      <c r="L3898" s="9"/>
      <c r="M3898" s="9"/>
      <c r="N3898" s="9"/>
      <c r="O3898" s="9"/>
      <c r="P3898" s="9"/>
      <c r="Q3898" s="9"/>
      <c r="R3898" s="9"/>
      <c r="S3898" s="42"/>
      <c r="T3898" s="42"/>
      <c r="U3898" s="42"/>
      <c r="V3898" s="42"/>
      <c r="W3898" s="42"/>
      <c r="X3898" s="42"/>
      <c r="Y3898" s="42"/>
      <c r="Z3898" s="42"/>
      <c r="AA3898" s="42"/>
      <c r="AB3898" s="42"/>
      <c r="AC3898" s="42"/>
      <c r="AD3898" s="42"/>
      <c r="AE3898" s="42"/>
      <c r="AF3898" s="9"/>
      <c r="AG3898" s="9"/>
      <c r="AH3898" s="42"/>
      <c r="AI3898" s="42"/>
      <c r="AJ3898" s="42"/>
      <c r="AK3898" s="42"/>
      <c r="AL3898" s="42"/>
      <c r="AM3898" s="42"/>
      <c r="AN3898" s="42"/>
      <c r="AO3898" s="63" t="str">
        <f>IFERROR(__xludf.DUMMYFUNCTION("IF(ISBLANK(A3898),,IF(ISBLANK(S3898), A3898&amp;"";"", TEXTJOIN(CHAR(10), TRUE, A3898&amp;"";"", ARRAYFORMULA(VLOOKUP(SPLIT(S3898, "";"" &amp; CHAR(10)), $A:$AO, 41, FALSE)))))"),"")</f>
        <v/>
      </c>
      <c r="AP3898" s="89"/>
    </row>
    <row r="3899">
      <c r="A3899" s="42"/>
      <c r="B3899" s="42"/>
      <c r="C3899" s="42"/>
      <c r="D3899" s="42"/>
      <c r="E3899" s="39"/>
      <c r="F3899" s="9"/>
      <c r="G3899" s="9"/>
      <c r="H3899" s="9"/>
      <c r="I3899" s="9"/>
      <c r="J3899" s="9"/>
      <c r="K3899" s="9"/>
      <c r="L3899" s="9"/>
      <c r="M3899" s="9"/>
      <c r="N3899" s="9"/>
      <c r="O3899" s="9"/>
      <c r="P3899" s="9"/>
      <c r="Q3899" s="9"/>
      <c r="R3899" s="9"/>
      <c r="S3899" s="42"/>
      <c r="T3899" s="42"/>
      <c r="U3899" s="42"/>
      <c r="V3899" s="42"/>
      <c r="W3899" s="42"/>
      <c r="X3899" s="42"/>
      <c r="Y3899" s="42"/>
      <c r="Z3899" s="42"/>
      <c r="AA3899" s="42"/>
      <c r="AB3899" s="42"/>
      <c r="AC3899" s="42"/>
      <c r="AD3899" s="42"/>
      <c r="AE3899" s="42"/>
      <c r="AF3899" s="9"/>
      <c r="AG3899" s="9"/>
      <c r="AH3899" s="42"/>
      <c r="AI3899" s="42"/>
      <c r="AJ3899" s="42"/>
      <c r="AK3899" s="42"/>
      <c r="AL3899" s="42"/>
      <c r="AM3899" s="42"/>
      <c r="AN3899" s="42"/>
      <c r="AO3899" s="63" t="str">
        <f>IFERROR(__xludf.DUMMYFUNCTION("IF(ISBLANK(A3899),,IF(ISBLANK(S3899), A3899&amp;"";"", TEXTJOIN(CHAR(10), TRUE, A3899&amp;"";"", ARRAYFORMULA(VLOOKUP(SPLIT(S3899, "";"" &amp; CHAR(10)), $A:$AO, 41, FALSE)))))"),"")</f>
        <v/>
      </c>
      <c r="AP3899" s="89"/>
    </row>
    <row r="3900">
      <c r="A3900" s="42"/>
      <c r="B3900" s="42"/>
      <c r="C3900" s="42"/>
      <c r="D3900" s="42"/>
      <c r="E3900" s="39"/>
      <c r="F3900" s="9"/>
      <c r="G3900" s="9"/>
      <c r="H3900" s="9"/>
      <c r="I3900" s="9"/>
      <c r="J3900" s="9"/>
      <c r="K3900" s="9"/>
      <c r="L3900" s="9"/>
      <c r="M3900" s="9"/>
      <c r="N3900" s="9"/>
      <c r="O3900" s="9"/>
      <c r="P3900" s="9"/>
      <c r="Q3900" s="9"/>
      <c r="R3900" s="9"/>
      <c r="S3900" s="42"/>
      <c r="T3900" s="42"/>
      <c r="U3900" s="42"/>
      <c r="V3900" s="42"/>
      <c r="W3900" s="42"/>
      <c r="X3900" s="42"/>
      <c r="Y3900" s="42"/>
      <c r="Z3900" s="42"/>
      <c r="AA3900" s="42"/>
      <c r="AB3900" s="42"/>
      <c r="AC3900" s="42"/>
      <c r="AD3900" s="42"/>
      <c r="AE3900" s="42"/>
      <c r="AF3900" s="9"/>
      <c r="AG3900" s="9"/>
      <c r="AH3900" s="42"/>
      <c r="AI3900" s="42"/>
      <c r="AJ3900" s="42"/>
      <c r="AK3900" s="42"/>
      <c r="AL3900" s="42"/>
      <c r="AM3900" s="42"/>
      <c r="AN3900" s="42"/>
      <c r="AO3900" s="63" t="str">
        <f>IFERROR(__xludf.DUMMYFUNCTION("IF(ISBLANK(A3900),,IF(ISBLANK(S3900), A3900&amp;"";"", TEXTJOIN(CHAR(10), TRUE, A3900&amp;"";"", ARRAYFORMULA(VLOOKUP(SPLIT(S3900, "";"" &amp; CHAR(10)), $A:$AO, 41, FALSE)))))"),"")</f>
        <v/>
      </c>
      <c r="AP3900" s="89"/>
    </row>
    <row r="3901">
      <c r="A3901" s="42"/>
      <c r="B3901" s="42"/>
      <c r="C3901" s="42"/>
      <c r="D3901" s="42"/>
      <c r="E3901" s="39"/>
      <c r="F3901" s="9"/>
      <c r="G3901" s="9"/>
      <c r="H3901" s="9"/>
      <c r="I3901" s="9"/>
      <c r="J3901" s="9"/>
      <c r="K3901" s="9"/>
      <c r="L3901" s="9"/>
      <c r="M3901" s="9"/>
      <c r="N3901" s="9"/>
      <c r="O3901" s="9"/>
      <c r="P3901" s="9"/>
      <c r="Q3901" s="9"/>
      <c r="R3901" s="9"/>
      <c r="S3901" s="42"/>
      <c r="T3901" s="42"/>
      <c r="U3901" s="42"/>
      <c r="V3901" s="42"/>
      <c r="W3901" s="42"/>
      <c r="X3901" s="42"/>
      <c r="Y3901" s="42"/>
      <c r="Z3901" s="42"/>
      <c r="AA3901" s="42"/>
      <c r="AB3901" s="42"/>
      <c r="AC3901" s="42"/>
      <c r="AD3901" s="42"/>
      <c r="AE3901" s="42"/>
      <c r="AF3901" s="9"/>
      <c r="AG3901" s="9"/>
      <c r="AH3901" s="42"/>
      <c r="AI3901" s="42"/>
      <c r="AJ3901" s="42"/>
      <c r="AK3901" s="42"/>
      <c r="AL3901" s="42"/>
      <c r="AM3901" s="42"/>
      <c r="AN3901" s="42"/>
      <c r="AO3901" s="63" t="str">
        <f>IFERROR(__xludf.DUMMYFUNCTION("IF(ISBLANK(A3901),,IF(ISBLANK(S3901), A3901&amp;"";"", TEXTJOIN(CHAR(10), TRUE, A3901&amp;"";"", ARRAYFORMULA(VLOOKUP(SPLIT(S3901, "";"" &amp; CHAR(10)), $A:$AO, 41, FALSE)))))"),"")</f>
        <v/>
      </c>
      <c r="AP3901" s="89"/>
    </row>
    <row r="3902">
      <c r="A3902" s="42"/>
      <c r="B3902" s="42"/>
      <c r="C3902" s="42"/>
      <c r="D3902" s="42"/>
      <c r="E3902" s="39"/>
      <c r="F3902" s="9"/>
      <c r="G3902" s="9"/>
      <c r="H3902" s="9"/>
      <c r="I3902" s="9"/>
      <c r="J3902" s="9"/>
      <c r="K3902" s="9"/>
      <c r="L3902" s="9"/>
      <c r="M3902" s="9"/>
      <c r="N3902" s="9"/>
      <c r="O3902" s="9"/>
      <c r="P3902" s="9"/>
      <c r="Q3902" s="9"/>
      <c r="R3902" s="9"/>
      <c r="S3902" s="42"/>
      <c r="T3902" s="42"/>
      <c r="U3902" s="42"/>
      <c r="V3902" s="42"/>
      <c r="W3902" s="42"/>
      <c r="X3902" s="42"/>
      <c r="Y3902" s="42"/>
      <c r="Z3902" s="42"/>
      <c r="AA3902" s="42"/>
      <c r="AB3902" s="42"/>
      <c r="AC3902" s="42"/>
      <c r="AD3902" s="42"/>
      <c r="AE3902" s="42"/>
      <c r="AF3902" s="9"/>
      <c r="AG3902" s="9"/>
      <c r="AH3902" s="42"/>
      <c r="AI3902" s="42"/>
      <c r="AJ3902" s="42"/>
      <c r="AK3902" s="42"/>
      <c r="AL3902" s="42"/>
      <c r="AM3902" s="42"/>
      <c r="AN3902" s="42"/>
      <c r="AO3902" s="63" t="str">
        <f>IFERROR(__xludf.DUMMYFUNCTION("IF(ISBLANK(A3902),,IF(ISBLANK(S3902), A3902&amp;"";"", TEXTJOIN(CHAR(10), TRUE, A3902&amp;"";"", ARRAYFORMULA(VLOOKUP(SPLIT(S3902, "";"" &amp; CHAR(10)), $A:$AO, 41, FALSE)))))"),"")</f>
        <v/>
      </c>
      <c r="AP3902" s="89"/>
    </row>
    <row r="3903">
      <c r="A3903" s="42"/>
      <c r="B3903" s="42"/>
      <c r="C3903" s="42"/>
      <c r="D3903" s="42"/>
      <c r="E3903" s="39"/>
      <c r="F3903" s="9"/>
      <c r="G3903" s="9"/>
      <c r="H3903" s="9"/>
      <c r="I3903" s="9"/>
      <c r="J3903" s="9"/>
      <c r="K3903" s="9"/>
      <c r="L3903" s="9"/>
      <c r="M3903" s="9"/>
      <c r="N3903" s="9"/>
      <c r="O3903" s="9"/>
      <c r="P3903" s="9"/>
      <c r="Q3903" s="9"/>
      <c r="R3903" s="9"/>
      <c r="S3903" s="42"/>
      <c r="T3903" s="42"/>
      <c r="U3903" s="42"/>
      <c r="V3903" s="42"/>
      <c r="W3903" s="42"/>
      <c r="X3903" s="42"/>
      <c r="Y3903" s="42"/>
      <c r="Z3903" s="42"/>
      <c r="AA3903" s="42"/>
      <c r="AB3903" s="42"/>
      <c r="AC3903" s="42"/>
      <c r="AD3903" s="42"/>
      <c r="AE3903" s="42"/>
      <c r="AF3903" s="9"/>
      <c r="AG3903" s="9"/>
      <c r="AH3903" s="42"/>
      <c r="AI3903" s="42"/>
      <c r="AJ3903" s="42"/>
      <c r="AK3903" s="42"/>
      <c r="AL3903" s="42"/>
      <c r="AM3903" s="42"/>
      <c r="AN3903" s="42"/>
      <c r="AO3903" s="63" t="str">
        <f>IFERROR(__xludf.DUMMYFUNCTION("IF(ISBLANK(A3903),,IF(ISBLANK(S3903), A3903&amp;"";"", TEXTJOIN(CHAR(10), TRUE, A3903&amp;"";"", ARRAYFORMULA(VLOOKUP(SPLIT(S3903, "";"" &amp; CHAR(10)), $A:$AO, 41, FALSE)))))"),"")</f>
        <v/>
      </c>
      <c r="AP3903" s="89"/>
    </row>
    <row r="3904">
      <c r="A3904" s="42"/>
      <c r="B3904" s="42"/>
      <c r="C3904" s="42"/>
      <c r="D3904" s="42"/>
      <c r="E3904" s="39"/>
      <c r="F3904" s="9"/>
      <c r="G3904" s="9"/>
      <c r="H3904" s="9"/>
      <c r="I3904" s="9"/>
      <c r="J3904" s="9"/>
      <c r="K3904" s="9"/>
      <c r="L3904" s="9"/>
      <c r="M3904" s="9"/>
      <c r="N3904" s="9"/>
      <c r="O3904" s="9"/>
      <c r="P3904" s="9"/>
      <c r="Q3904" s="9"/>
      <c r="R3904" s="9"/>
      <c r="S3904" s="42"/>
      <c r="T3904" s="42"/>
      <c r="U3904" s="42"/>
      <c r="V3904" s="42"/>
      <c r="W3904" s="42"/>
      <c r="X3904" s="42"/>
      <c r="Y3904" s="42"/>
      <c r="Z3904" s="42"/>
      <c r="AA3904" s="42"/>
      <c r="AB3904" s="42"/>
      <c r="AC3904" s="42"/>
      <c r="AD3904" s="42"/>
      <c r="AE3904" s="42"/>
      <c r="AF3904" s="9"/>
      <c r="AG3904" s="9"/>
      <c r="AH3904" s="42"/>
      <c r="AI3904" s="42"/>
      <c r="AJ3904" s="42"/>
      <c r="AK3904" s="42"/>
      <c r="AL3904" s="42"/>
      <c r="AM3904" s="42"/>
      <c r="AN3904" s="42"/>
      <c r="AO3904" s="63" t="str">
        <f>IFERROR(__xludf.DUMMYFUNCTION("IF(ISBLANK(A3904),,IF(ISBLANK(S3904), A3904&amp;"";"", TEXTJOIN(CHAR(10), TRUE, A3904&amp;"";"", ARRAYFORMULA(VLOOKUP(SPLIT(S3904, "";"" &amp; CHAR(10)), $A:$AO, 41, FALSE)))))"),"")</f>
        <v/>
      </c>
      <c r="AP3904" s="89"/>
    </row>
    <row r="3905">
      <c r="A3905" s="42"/>
      <c r="B3905" s="42"/>
      <c r="C3905" s="42"/>
      <c r="D3905" s="42"/>
      <c r="E3905" s="39"/>
      <c r="F3905" s="9"/>
      <c r="G3905" s="9"/>
      <c r="H3905" s="9"/>
      <c r="I3905" s="9"/>
      <c r="J3905" s="9"/>
      <c r="K3905" s="9"/>
      <c r="L3905" s="9"/>
      <c r="M3905" s="9"/>
      <c r="N3905" s="9"/>
      <c r="O3905" s="9"/>
      <c r="P3905" s="9"/>
      <c r="Q3905" s="9"/>
      <c r="R3905" s="9"/>
      <c r="S3905" s="42"/>
      <c r="T3905" s="42"/>
      <c r="U3905" s="42"/>
      <c r="V3905" s="42"/>
      <c r="W3905" s="42"/>
      <c r="X3905" s="42"/>
      <c r="Y3905" s="42"/>
      <c r="Z3905" s="42"/>
      <c r="AA3905" s="42"/>
      <c r="AB3905" s="42"/>
      <c r="AC3905" s="42"/>
      <c r="AD3905" s="42"/>
      <c r="AE3905" s="42"/>
      <c r="AF3905" s="9"/>
      <c r="AG3905" s="9"/>
      <c r="AH3905" s="42"/>
      <c r="AI3905" s="42"/>
      <c r="AJ3905" s="42"/>
      <c r="AK3905" s="42"/>
      <c r="AL3905" s="42"/>
      <c r="AM3905" s="42"/>
      <c r="AN3905" s="42"/>
      <c r="AO3905" s="63" t="str">
        <f>IFERROR(__xludf.DUMMYFUNCTION("IF(ISBLANK(A3905),,IF(ISBLANK(S3905), A3905&amp;"";"", TEXTJOIN(CHAR(10), TRUE, A3905&amp;"";"", ARRAYFORMULA(VLOOKUP(SPLIT(S3905, "";"" &amp; CHAR(10)), $A:$AO, 41, FALSE)))))"),"")</f>
        <v/>
      </c>
      <c r="AP3905" s="89"/>
    </row>
    <row r="3906">
      <c r="A3906" s="42"/>
      <c r="B3906" s="42"/>
      <c r="C3906" s="42"/>
      <c r="D3906" s="42"/>
      <c r="E3906" s="39"/>
      <c r="F3906" s="9"/>
      <c r="G3906" s="9"/>
      <c r="H3906" s="9"/>
      <c r="I3906" s="9"/>
      <c r="J3906" s="9"/>
      <c r="K3906" s="9"/>
      <c r="L3906" s="9"/>
      <c r="M3906" s="9"/>
      <c r="N3906" s="9"/>
      <c r="O3906" s="9"/>
      <c r="P3906" s="9"/>
      <c r="Q3906" s="9"/>
      <c r="R3906" s="9"/>
      <c r="S3906" s="42"/>
      <c r="T3906" s="42"/>
      <c r="U3906" s="42"/>
      <c r="V3906" s="42"/>
      <c r="W3906" s="42"/>
      <c r="X3906" s="42"/>
      <c r="Y3906" s="42"/>
      <c r="Z3906" s="42"/>
      <c r="AA3906" s="42"/>
      <c r="AB3906" s="42"/>
      <c r="AC3906" s="42"/>
      <c r="AD3906" s="42"/>
      <c r="AE3906" s="42"/>
      <c r="AF3906" s="9"/>
      <c r="AG3906" s="9"/>
      <c r="AH3906" s="42"/>
      <c r="AI3906" s="42"/>
      <c r="AJ3906" s="42"/>
      <c r="AK3906" s="42"/>
      <c r="AL3906" s="42"/>
      <c r="AM3906" s="42"/>
      <c r="AN3906" s="42"/>
      <c r="AO3906" s="63" t="str">
        <f>IFERROR(__xludf.DUMMYFUNCTION("IF(ISBLANK(A3906),,IF(ISBLANK(S3906), A3906&amp;"";"", TEXTJOIN(CHAR(10), TRUE, A3906&amp;"";"", ARRAYFORMULA(VLOOKUP(SPLIT(S3906, "";"" &amp; CHAR(10)), $A:$AO, 41, FALSE)))))"),"")</f>
        <v/>
      </c>
      <c r="AP3906" s="89"/>
    </row>
    <row r="3907">
      <c r="A3907" s="42"/>
      <c r="B3907" s="42"/>
      <c r="C3907" s="42"/>
      <c r="D3907" s="42"/>
      <c r="E3907" s="39"/>
      <c r="F3907" s="9"/>
      <c r="G3907" s="9"/>
      <c r="H3907" s="9"/>
      <c r="I3907" s="9"/>
      <c r="J3907" s="9"/>
      <c r="K3907" s="9"/>
      <c r="L3907" s="9"/>
      <c r="M3907" s="9"/>
      <c r="N3907" s="9"/>
      <c r="O3907" s="9"/>
      <c r="P3907" s="9"/>
      <c r="Q3907" s="9"/>
      <c r="R3907" s="9"/>
      <c r="S3907" s="42"/>
      <c r="T3907" s="42"/>
      <c r="U3907" s="42"/>
      <c r="V3907" s="42"/>
      <c r="W3907" s="42"/>
      <c r="X3907" s="42"/>
      <c r="Y3907" s="42"/>
      <c r="Z3907" s="42"/>
      <c r="AA3907" s="42"/>
      <c r="AB3907" s="42"/>
      <c r="AC3907" s="42"/>
      <c r="AD3907" s="42"/>
      <c r="AE3907" s="42"/>
      <c r="AF3907" s="9"/>
      <c r="AG3907" s="9"/>
      <c r="AH3907" s="42"/>
      <c r="AI3907" s="42"/>
      <c r="AJ3907" s="42"/>
      <c r="AK3907" s="42"/>
      <c r="AL3907" s="42"/>
      <c r="AM3907" s="42"/>
      <c r="AN3907" s="42"/>
      <c r="AO3907" s="63" t="str">
        <f>IFERROR(__xludf.DUMMYFUNCTION("IF(ISBLANK(A3907),,IF(ISBLANK(S3907), A3907&amp;"";"", TEXTJOIN(CHAR(10), TRUE, A3907&amp;"";"", ARRAYFORMULA(VLOOKUP(SPLIT(S3907, "";"" &amp; CHAR(10)), $A:$AO, 41, FALSE)))))"),"")</f>
        <v/>
      </c>
      <c r="AP3907" s="89"/>
    </row>
    <row r="3908">
      <c r="A3908" s="42"/>
      <c r="B3908" s="42"/>
      <c r="C3908" s="42"/>
      <c r="D3908" s="42"/>
      <c r="E3908" s="39"/>
      <c r="F3908" s="9"/>
      <c r="G3908" s="9"/>
      <c r="H3908" s="9"/>
      <c r="I3908" s="9"/>
      <c r="J3908" s="9"/>
      <c r="K3908" s="9"/>
      <c r="L3908" s="9"/>
      <c r="M3908" s="9"/>
      <c r="N3908" s="9"/>
      <c r="O3908" s="9"/>
      <c r="P3908" s="9"/>
      <c r="Q3908" s="9"/>
      <c r="R3908" s="9"/>
      <c r="S3908" s="42"/>
      <c r="T3908" s="42"/>
      <c r="U3908" s="42"/>
      <c r="V3908" s="42"/>
      <c r="W3908" s="42"/>
      <c r="X3908" s="42"/>
      <c r="Y3908" s="42"/>
      <c r="Z3908" s="42"/>
      <c r="AA3908" s="42"/>
      <c r="AB3908" s="42"/>
      <c r="AC3908" s="42"/>
      <c r="AD3908" s="42"/>
      <c r="AE3908" s="42"/>
      <c r="AF3908" s="9"/>
      <c r="AG3908" s="9"/>
      <c r="AH3908" s="42"/>
      <c r="AI3908" s="42"/>
      <c r="AJ3908" s="42"/>
      <c r="AK3908" s="42"/>
      <c r="AL3908" s="42"/>
      <c r="AM3908" s="42"/>
      <c r="AN3908" s="42"/>
      <c r="AO3908" s="63" t="str">
        <f>IFERROR(__xludf.DUMMYFUNCTION("IF(ISBLANK(A3908),,IF(ISBLANK(S3908), A3908&amp;"";"", TEXTJOIN(CHAR(10), TRUE, A3908&amp;"";"", ARRAYFORMULA(VLOOKUP(SPLIT(S3908, "";"" &amp; CHAR(10)), $A:$AO, 41, FALSE)))))"),"")</f>
        <v/>
      </c>
      <c r="AP3908" s="89"/>
    </row>
    <row r="3909">
      <c r="A3909" s="42"/>
      <c r="B3909" s="42"/>
      <c r="C3909" s="42"/>
      <c r="D3909" s="42"/>
      <c r="E3909" s="39"/>
      <c r="F3909" s="9"/>
      <c r="G3909" s="9"/>
      <c r="H3909" s="9"/>
      <c r="I3909" s="9"/>
      <c r="J3909" s="9"/>
      <c r="K3909" s="9"/>
      <c r="L3909" s="9"/>
      <c r="M3909" s="9"/>
      <c r="N3909" s="9"/>
      <c r="O3909" s="9"/>
      <c r="P3909" s="9"/>
      <c r="Q3909" s="9"/>
      <c r="R3909" s="9"/>
      <c r="S3909" s="42"/>
      <c r="T3909" s="42"/>
      <c r="U3909" s="42"/>
      <c r="V3909" s="42"/>
      <c r="W3909" s="42"/>
      <c r="X3909" s="42"/>
      <c r="Y3909" s="42"/>
      <c r="Z3909" s="42"/>
      <c r="AA3909" s="42"/>
      <c r="AB3909" s="42"/>
      <c r="AC3909" s="42"/>
      <c r="AD3909" s="42"/>
      <c r="AE3909" s="42"/>
      <c r="AF3909" s="9"/>
      <c r="AG3909" s="9"/>
      <c r="AH3909" s="42"/>
      <c r="AI3909" s="42"/>
      <c r="AJ3909" s="42"/>
      <c r="AK3909" s="42"/>
      <c r="AL3909" s="42"/>
      <c r="AM3909" s="42"/>
      <c r="AN3909" s="42"/>
      <c r="AO3909" s="63" t="str">
        <f>IFERROR(__xludf.DUMMYFUNCTION("IF(ISBLANK(A3909),,IF(ISBLANK(S3909), A3909&amp;"";"", TEXTJOIN(CHAR(10), TRUE, A3909&amp;"";"", ARRAYFORMULA(VLOOKUP(SPLIT(S3909, "";"" &amp; CHAR(10)), $A:$AO, 41, FALSE)))))"),"")</f>
        <v/>
      </c>
      <c r="AP3909" s="89"/>
    </row>
    <row r="3910">
      <c r="A3910" s="42"/>
      <c r="B3910" s="42"/>
      <c r="C3910" s="42"/>
      <c r="D3910" s="42"/>
      <c r="E3910" s="39"/>
      <c r="F3910" s="9"/>
      <c r="G3910" s="9"/>
      <c r="H3910" s="9"/>
      <c r="I3910" s="9"/>
      <c r="J3910" s="9"/>
      <c r="K3910" s="9"/>
      <c r="L3910" s="9"/>
      <c r="M3910" s="9"/>
      <c r="N3910" s="9"/>
      <c r="O3910" s="9"/>
      <c r="P3910" s="9"/>
      <c r="Q3910" s="9"/>
      <c r="R3910" s="9"/>
      <c r="S3910" s="42"/>
      <c r="T3910" s="42"/>
      <c r="U3910" s="42"/>
      <c r="V3910" s="42"/>
      <c r="W3910" s="42"/>
      <c r="X3910" s="42"/>
      <c r="Y3910" s="42"/>
      <c r="Z3910" s="42"/>
      <c r="AA3910" s="42"/>
      <c r="AB3910" s="42"/>
      <c r="AC3910" s="42"/>
      <c r="AD3910" s="42"/>
      <c r="AE3910" s="42"/>
      <c r="AF3910" s="9"/>
      <c r="AG3910" s="9"/>
      <c r="AH3910" s="42"/>
      <c r="AI3910" s="42"/>
      <c r="AJ3910" s="42"/>
      <c r="AK3910" s="42"/>
      <c r="AL3910" s="42"/>
      <c r="AM3910" s="42"/>
      <c r="AN3910" s="42"/>
      <c r="AO3910" s="63" t="str">
        <f>IFERROR(__xludf.DUMMYFUNCTION("IF(ISBLANK(A3910),,IF(ISBLANK(S3910), A3910&amp;"";"", TEXTJOIN(CHAR(10), TRUE, A3910&amp;"";"", ARRAYFORMULA(VLOOKUP(SPLIT(S3910, "";"" &amp; CHAR(10)), $A:$AO, 41, FALSE)))))"),"")</f>
        <v/>
      </c>
      <c r="AP3910" s="89"/>
    </row>
    <row r="3911">
      <c r="A3911" s="42"/>
      <c r="B3911" s="42"/>
      <c r="C3911" s="42"/>
      <c r="D3911" s="42"/>
      <c r="E3911" s="39"/>
      <c r="F3911" s="9"/>
      <c r="G3911" s="9"/>
      <c r="H3911" s="9"/>
      <c r="I3911" s="9"/>
      <c r="J3911" s="9"/>
      <c r="K3911" s="9"/>
      <c r="L3911" s="9"/>
      <c r="M3911" s="9"/>
      <c r="N3911" s="9"/>
      <c r="O3911" s="9"/>
      <c r="P3911" s="9"/>
      <c r="Q3911" s="9"/>
      <c r="R3911" s="9"/>
      <c r="S3911" s="42"/>
      <c r="T3911" s="42"/>
      <c r="U3911" s="42"/>
      <c r="V3911" s="42"/>
      <c r="W3911" s="42"/>
      <c r="X3911" s="42"/>
      <c r="Y3911" s="42"/>
      <c r="Z3911" s="42"/>
      <c r="AA3911" s="42"/>
      <c r="AB3911" s="42"/>
      <c r="AC3911" s="42"/>
      <c r="AD3911" s="42"/>
      <c r="AE3911" s="42"/>
      <c r="AF3911" s="9"/>
      <c r="AG3911" s="9"/>
      <c r="AH3911" s="42"/>
      <c r="AI3911" s="42"/>
      <c r="AJ3911" s="42"/>
      <c r="AK3911" s="42"/>
      <c r="AL3911" s="42"/>
      <c r="AM3911" s="42"/>
      <c r="AN3911" s="42"/>
      <c r="AO3911" s="63" t="str">
        <f>IFERROR(__xludf.DUMMYFUNCTION("IF(ISBLANK(A3911),,IF(ISBLANK(S3911), A3911&amp;"";"", TEXTJOIN(CHAR(10), TRUE, A3911&amp;"";"", ARRAYFORMULA(VLOOKUP(SPLIT(S3911, "";"" &amp; CHAR(10)), $A:$AO, 41, FALSE)))))"),"")</f>
        <v/>
      </c>
      <c r="AP3911" s="89"/>
    </row>
    <row r="3912">
      <c r="A3912" s="42"/>
      <c r="B3912" s="42"/>
      <c r="C3912" s="42"/>
      <c r="D3912" s="42"/>
      <c r="E3912" s="39"/>
      <c r="F3912" s="9"/>
      <c r="G3912" s="9"/>
      <c r="H3912" s="9"/>
      <c r="I3912" s="9"/>
      <c r="J3912" s="9"/>
      <c r="K3912" s="9"/>
      <c r="L3912" s="9"/>
      <c r="M3912" s="9"/>
      <c r="N3912" s="9"/>
      <c r="O3912" s="9"/>
      <c r="P3912" s="9"/>
      <c r="Q3912" s="9"/>
      <c r="R3912" s="9"/>
      <c r="S3912" s="42"/>
      <c r="T3912" s="42"/>
      <c r="U3912" s="42"/>
      <c r="V3912" s="42"/>
      <c r="W3912" s="42"/>
      <c r="X3912" s="42"/>
      <c r="Y3912" s="42"/>
      <c r="Z3912" s="42"/>
      <c r="AA3912" s="42"/>
      <c r="AB3912" s="42"/>
      <c r="AC3912" s="42"/>
      <c r="AD3912" s="42"/>
      <c r="AE3912" s="42"/>
      <c r="AF3912" s="9"/>
      <c r="AG3912" s="9"/>
      <c r="AH3912" s="42"/>
      <c r="AI3912" s="42"/>
      <c r="AJ3912" s="42"/>
      <c r="AK3912" s="42"/>
      <c r="AL3912" s="42"/>
      <c r="AM3912" s="42"/>
      <c r="AN3912" s="42"/>
      <c r="AO3912" s="63" t="str">
        <f>IFERROR(__xludf.DUMMYFUNCTION("IF(ISBLANK(A3912),,IF(ISBLANK(S3912), A3912&amp;"";"", TEXTJOIN(CHAR(10), TRUE, A3912&amp;"";"", ARRAYFORMULA(VLOOKUP(SPLIT(S3912, "";"" &amp; CHAR(10)), $A:$AO, 41, FALSE)))))"),"")</f>
        <v/>
      </c>
      <c r="AP3912" s="89"/>
    </row>
    <row r="3913">
      <c r="A3913" s="42"/>
      <c r="B3913" s="42"/>
      <c r="C3913" s="42"/>
      <c r="D3913" s="42"/>
      <c r="E3913" s="39"/>
      <c r="F3913" s="9"/>
      <c r="G3913" s="9"/>
      <c r="H3913" s="9"/>
      <c r="I3913" s="9"/>
      <c r="J3913" s="9"/>
      <c r="K3913" s="9"/>
      <c r="L3913" s="9"/>
      <c r="M3913" s="9"/>
      <c r="N3913" s="9"/>
      <c r="O3913" s="9"/>
      <c r="P3913" s="9"/>
      <c r="Q3913" s="9"/>
      <c r="R3913" s="9"/>
      <c r="S3913" s="42"/>
      <c r="T3913" s="42"/>
      <c r="U3913" s="42"/>
      <c r="V3913" s="42"/>
      <c r="W3913" s="42"/>
      <c r="X3913" s="42"/>
      <c r="Y3913" s="42"/>
      <c r="Z3913" s="42"/>
      <c r="AA3913" s="42"/>
      <c r="AB3913" s="42"/>
      <c r="AC3913" s="42"/>
      <c r="AD3913" s="42"/>
      <c r="AE3913" s="42"/>
      <c r="AF3913" s="9"/>
      <c r="AG3913" s="9"/>
      <c r="AH3913" s="42"/>
      <c r="AI3913" s="42"/>
      <c r="AJ3913" s="42"/>
      <c r="AK3913" s="42"/>
      <c r="AL3913" s="42"/>
      <c r="AM3913" s="42"/>
      <c r="AN3913" s="42"/>
      <c r="AO3913" s="63" t="str">
        <f>IFERROR(__xludf.DUMMYFUNCTION("IF(ISBLANK(A3913),,IF(ISBLANK(S3913), A3913&amp;"";"", TEXTJOIN(CHAR(10), TRUE, A3913&amp;"";"", ARRAYFORMULA(VLOOKUP(SPLIT(S3913, "";"" &amp; CHAR(10)), $A:$AO, 41, FALSE)))))"),"")</f>
        <v/>
      </c>
      <c r="AP3913" s="89"/>
    </row>
    <row r="3914">
      <c r="A3914" s="42"/>
      <c r="B3914" s="42"/>
      <c r="C3914" s="42"/>
      <c r="D3914" s="42"/>
      <c r="E3914" s="39"/>
      <c r="F3914" s="9"/>
      <c r="G3914" s="9"/>
      <c r="H3914" s="9"/>
      <c r="I3914" s="9"/>
      <c r="J3914" s="9"/>
      <c r="K3914" s="9"/>
      <c r="L3914" s="9"/>
      <c r="M3914" s="9"/>
      <c r="N3914" s="9"/>
      <c r="O3914" s="9"/>
      <c r="P3914" s="9"/>
      <c r="Q3914" s="9"/>
      <c r="R3914" s="9"/>
      <c r="S3914" s="42"/>
      <c r="T3914" s="42"/>
      <c r="U3914" s="42"/>
      <c r="V3914" s="42"/>
      <c r="W3914" s="42"/>
      <c r="X3914" s="42"/>
      <c r="Y3914" s="42"/>
      <c r="Z3914" s="42"/>
      <c r="AA3914" s="42"/>
      <c r="AB3914" s="42"/>
      <c r="AC3914" s="42"/>
      <c r="AD3914" s="42"/>
      <c r="AE3914" s="42"/>
      <c r="AF3914" s="9"/>
      <c r="AG3914" s="9"/>
      <c r="AH3914" s="42"/>
      <c r="AI3914" s="42"/>
      <c r="AJ3914" s="42"/>
      <c r="AK3914" s="42"/>
      <c r="AL3914" s="42"/>
      <c r="AM3914" s="42"/>
      <c r="AN3914" s="42"/>
      <c r="AO3914" s="63" t="str">
        <f>IFERROR(__xludf.DUMMYFUNCTION("IF(ISBLANK(A3914),,IF(ISBLANK(S3914), A3914&amp;"";"", TEXTJOIN(CHAR(10), TRUE, A3914&amp;"";"", ARRAYFORMULA(VLOOKUP(SPLIT(S3914, "";"" &amp; CHAR(10)), $A:$AO, 41, FALSE)))))"),"")</f>
        <v/>
      </c>
      <c r="AP3914" s="89"/>
    </row>
    <row r="3915">
      <c r="A3915" s="42"/>
      <c r="B3915" s="42"/>
      <c r="C3915" s="42"/>
      <c r="D3915" s="42"/>
      <c r="E3915" s="39"/>
      <c r="F3915" s="9"/>
      <c r="G3915" s="9"/>
      <c r="H3915" s="9"/>
      <c r="I3915" s="9"/>
      <c r="J3915" s="9"/>
      <c r="K3915" s="9"/>
      <c r="L3915" s="9"/>
      <c r="M3915" s="9"/>
      <c r="N3915" s="9"/>
      <c r="O3915" s="9"/>
      <c r="P3915" s="9"/>
      <c r="Q3915" s="9"/>
      <c r="R3915" s="9"/>
      <c r="S3915" s="42"/>
      <c r="T3915" s="42"/>
      <c r="U3915" s="42"/>
      <c r="V3915" s="42"/>
      <c r="W3915" s="42"/>
      <c r="X3915" s="42"/>
      <c r="Y3915" s="42"/>
      <c r="Z3915" s="42"/>
      <c r="AA3915" s="42"/>
      <c r="AB3915" s="42"/>
      <c r="AC3915" s="42"/>
      <c r="AD3915" s="42"/>
      <c r="AE3915" s="42"/>
      <c r="AF3915" s="9"/>
      <c r="AG3915" s="9"/>
      <c r="AH3915" s="42"/>
      <c r="AI3915" s="42"/>
      <c r="AJ3915" s="42"/>
      <c r="AK3915" s="42"/>
      <c r="AL3915" s="42"/>
      <c r="AM3915" s="42"/>
      <c r="AN3915" s="42"/>
      <c r="AO3915" s="63" t="str">
        <f>IFERROR(__xludf.DUMMYFUNCTION("IF(ISBLANK(A3915),,IF(ISBLANK(S3915), A3915&amp;"";"", TEXTJOIN(CHAR(10), TRUE, A3915&amp;"";"", ARRAYFORMULA(VLOOKUP(SPLIT(S3915, "";"" &amp; CHAR(10)), $A:$AO, 41, FALSE)))))"),"")</f>
        <v/>
      </c>
      <c r="AP3915" s="89"/>
    </row>
    <row r="3916">
      <c r="A3916" s="42"/>
      <c r="B3916" s="42"/>
      <c r="C3916" s="42"/>
      <c r="D3916" s="42"/>
      <c r="E3916" s="39"/>
      <c r="F3916" s="9"/>
      <c r="G3916" s="9"/>
      <c r="H3916" s="9"/>
      <c r="I3916" s="9"/>
      <c r="J3916" s="9"/>
      <c r="K3916" s="9"/>
      <c r="L3916" s="9"/>
      <c r="M3916" s="9"/>
      <c r="N3916" s="9"/>
      <c r="O3916" s="9"/>
      <c r="P3916" s="9"/>
      <c r="Q3916" s="9"/>
      <c r="R3916" s="9"/>
      <c r="S3916" s="42"/>
      <c r="T3916" s="42"/>
      <c r="U3916" s="42"/>
      <c r="V3916" s="42"/>
      <c r="W3916" s="42"/>
      <c r="X3916" s="42"/>
      <c r="Y3916" s="42"/>
      <c r="Z3916" s="42"/>
      <c r="AA3916" s="42"/>
      <c r="AB3916" s="42"/>
      <c r="AC3916" s="42"/>
      <c r="AD3916" s="42"/>
      <c r="AE3916" s="42"/>
      <c r="AF3916" s="9"/>
      <c r="AG3916" s="9"/>
      <c r="AH3916" s="42"/>
      <c r="AI3916" s="42"/>
      <c r="AJ3916" s="42"/>
      <c r="AK3916" s="42"/>
      <c r="AL3916" s="42"/>
      <c r="AM3916" s="42"/>
      <c r="AN3916" s="42"/>
      <c r="AO3916" s="63" t="str">
        <f>IFERROR(__xludf.DUMMYFUNCTION("IF(ISBLANK(A3916),,IF(ISBLANK(S3916), A3916&amp;"";"", TEXTJOIN(CHAR(10), TRUE, A3916&amp;"";"", ARRAYFORMULA(VLOOKUP(SPLIT(S3916, "";"" &amp; CHAR(10)), $A:$AO, 41, FALSE)))))"),"")</f>
        <v/>
      </c>
      <c r="AP3916" s="89"/>
    </row>
    <row r="3917">
      <c r="A3917" s="42"/>
      <c r="B3917" s="42"/>
      <c r="C3917" s="42"/>
      <c r="D3917" s="42"/>
      <c r="E3917" s="39"/>
      <c r="F3917" s="9"/>
      <c r="G3917" s="9"/>
      <c r="H3917" s="9"/>
      <c r="I3917" s="9"/>
      <c r="J3917" s="9"/>
      <c r="K3917" s="9"/>
      <c r="L3917" s="9"/>
      <c r="M3917" s="9"/>
      <c r="N3917" s="9"/>
      <c r="O3917" s="9"/>
      <c r="P3917" s="9"/>
      <c r="Q3917" s="9"/>
      <c r="R3917" s="9"/>
      <c r="S3917" s="42"/>
      <c r="T3917" s="42"/>
      <c r="U3917" s="42"/>
      <c r="V3917" s="42"/>
      <c r="W3917" s="42"/>
      <c r="X3917" s="42"/>
      <c r="Y3917" s="42"/>
      <c r="Z3917" s="42"/>
      <c r="AA3917" s="42"/>
      <c r="AB3917" s="42"/>
      <c r="AC3917" s="42"/>
      <c r="AD3917" s="42"/>
      <c r="AE3917" s="42"/>
      <c r="AF3917" s="9"/>
      <c r="AG3917" s="9"/>
      <c r="AH3917" s="42"/>
      <c r="AI3917" s="42"/>
      <c r="AJ3917" s="42"/>
      <c r="AK3917" s="42"/>
      <c r="AL3917" s="42"/>
      <c r="AM3917" s="42"/>
      <c r="AN3917" s="42"/>
      <c r="AO3917" s="63" t="str">
        <f>IFERROR(__xludf.DUMMYFUNCTION("IF(ISBLANK(A3917),,IF(ISBLANK(S3917), A3917&amp;"";"", TEXTJOIN(CHAR(10), TRUE, A3917&amp;"";"", ARRAYFORMULA(VLOOKUP(SPLIT(S3917, "";"" &amp; CHAR(10)), $A:$AO, 41, FALSE)))))"),"")</f>
        <v/>
      </c>
      <c r="AP3917" s="89"/>
    </row>
    <row r="3918">
      <c r="A3918" s="42"/>
      <c r="B3918" s="42"/>
      <c r="C3918" s="42"/>
      <c r="D3918" s="42"/>
      <c r="E3918" s="39"/>
      <c r="F3918" s="9"/>
      <c r="G3918" s="9"/>
      <c r="H3918" s="9"/>
      <c r="I3918" s="9"/>
      <c r="J3918" s="9"/>
      <c r="K3918" s="9"/>
      <c r="L3918" s="9"/>
      <c r="M3918" s="9"/>
      <c r="N3918" s="9"/>
      <c r="O3918" s="9"/>
      <c r="P3918" s="9"/>
      <c r="Q3918" s="9"/>
      <c r="R3918" s="9"/>
      <c r="S3918" s="42"/>
      <c r="T3918" s="42"/>
      <c r="U3918" s="42"/>
      <c r="V3918" s="42"/>
      <c r="W3918" s="42"/>
      <c r="X3918" s="42"/>
      <c r="Y3918" s="42"/>
      <c r="Z3918" s="42"/>
      <c r="AA3918" s="42"/>
      <c r="AB3918" s="42"/>
      <c r="AC3918" s="42"/>
      <c r="AD3918" s="42"/>
      <c r="AE3918" s="42"/>
      <c r="AF3918" s="9"/>
      <c r="AG3918" s="9"/>
      <c r="AH3918" s="42"/>
      <c r="AI3918" s="42"/>
      <c r="AJ3918" s="42"/>
      <c r="AK3918" s="42"/>
      <c r="AL3918" s="42"/>
      <c r="AM3918" s="42"/>
      <c r="AN3918" s="42"/>
      <c r="AO3918" s="63" t="str">
        <f>IFERROR(__xludf.DUMMYFUNCTION("IF(ISBLANK(A3918),,IF(ISBLANK(S3918), A3918&amp;"";"", TEXTJOIN(CHAR(10), TRUE, A3918&amp;"";"", ARRAYFORMULA(VLOOKUP(SPLIT(S3918, "";"" &amp; CHAR(10)), $A:$AO, 41, FALSE)))))"),"")</f>
        <v/>
      </c>
      <c r="AP3918" s="89"/>
    </row>
    <row r="3919">
      <c r="A3919" s="42"/>
      <c r="B3919" s="42"/>
      <c r="C3919" s="42"/>
      <c r="D3919" s="42"/>
      <c r="E3919" s="39"/>
      <c r="F3919" s="9"/>
      <c r="G3919" s="9"/>
      <c r="H3919" s="9"/>
      <c r="I3919" s="9"/>
      <c r="J3919" s="9"/>
      <c r="K3919" s="9"/>
      <c r="L3919" s="9"/>
      <c r="M3919" s="9"/>
      <c r="N3919" s="9"/>
      <c r="O3919" s="9"/>
      <c r="P3919" s="9"/>
      <c r="Q3919" s="9"/>
      <c r="R3919" s="9"/>
      <c r="S3919" s="42"/>
      <c r="T3919" s="42"/>
      <c r="U3919" s="42"/>
      <c r="V3919" s="42"/>
      <c r="W3919" s="42"/>
      <c r="X3919" s="42"/>
      <c r="Y3919" s="42"/>
      <c r="Z3919" s="42"/>
      <c r="AA3919" s="42"/>
      <c r="AB3919" s="42"/>
      <c r="AC3919" s="42"/>
      <c r="AD3919" s="42"/>
      <c r="AE3919" s="42"/>
      <c r="AF3919" s="9"/>
      <c r="AG3919" s="9"/>
      <c r="AH3919" s="42"/>
      <c r="AI3919" s="42"/>
      <c r="AJ3919" s="42"/>
      <c r="AK3919" s="42"/>
      <c r="AL3919" s="42"/>
      <c r="AM3919" s="42"/>
      <c r="AN3919" s="42"/>
      <c r="AO3919" s="63" t="str">
        <f>IFERROR(__xludf.DUMMYFUNCTION("IF(ISBLANK(A3919),,IF(ISBLANK(S3919), A3919&amp;"";"", TEXTJOIN(CHAR(10), TRUE, A3919&amp;"";"", ARRAYFORMULA(VLOOKUP(SPLIT(S3919, "";"" &amp; CHAR(10)), $A:$AO, 41, FALSE)))))"),"")</f>
        <v/>
      </c>
      <c r="AP3919" s="89"/>
    </row>
    <row r="3920">
      <c r="A3920" s="42"/>
      <c r="B3920" s="42"/>
      <c r="C3920" s="42"/>
      <c r="D3920" s="42"/>
      <c r="E3920" s="39"/>
      <c r="F3920" s="9"/>
      <c r="G3920" s="9"/>
      <c r="H3920" s="9"/>
      <c r="I3920" s="9"/>
      <c r="J3920" s="9"/>
      <c r="K3920" s="9"/>
      <c r="L3920" s="9"/>
      <c r="M3920" s="9"/>
      <c r="N3920" s="9"/>
      <c r="O3920" s="9"/>
      <c r="P3920" s="9"/>
      <c r="Q3920" s="9"/>
      <c r="R3920" s="9"/>
      <c r="S3920" s="42"/>
      <c r="T3920" s="42"/>
      <c r="U3920" s="42"/>
      <c r="V3920" s="42"/>
      <c r="W3920" s="42"/>
      <c r="X3920" s="42"/>
      <c r="Y3920" s="42"/>
      <c r="Z3920" s="42"/>
      <c r="AA3920" s="42"/>
      <c r="AB3920" s="42"/>
      <c r="AC3920" s="42"/>
      <c r="AD3920" s="42"/>
      <c r="AE3920" s="42"/>
      <c r="AF3920" s="9"/>
      <c r="AG3920" s="9"/>
      <c r="AH3920" s="42"/>
      <c r="AI3920" s="42"/>
      <c r="AJ3920" s="42"/>
      <c r="AK3920" s="42"/>
      <c r="AL3920" s="42"/>
      <c r="AM3920" s="42"/>
      <c r="AN3920" s="42"/>
      <c r="AO3920" s="63" t="str">
        <f>IFERROR(__xludf.DUMMYFUNCTION("IF(ISBLANK(A3920),,IF(ISBLANK(S3920), A3920&amp;"";"", TEXTJOIN(CHAR(10), TRUE, A3920&amp;"";"", ARRAYFORMULA(VLOOKUP(SPLIT(S3920, "";"" &amp; CHAR(10)), $A:$AO, 41, FALSE)))))"),"")</f>
        <v/>
      </c>
      <c r="AP3920" s="89"/>
    </row>
    <row r="3921">
      <c r="A3921" s="42"/>
      <c r="B3921" s="42"/>
      <c r="C3921" s="42"/>
      <c r="D3921" s="42"/>
      <c r="E3921" s="39"/>
      <c r="F3921" s="9"/>
      <c r="G3921" s="9"/>
      <c r="H3921" s="9"/>
      <c r="I3921" s="9"/>
      <c r="J3921" s="9"/>
      <c r="K3921" s="9"/>
      <c r="L3921" s="9"/>
      <c r="M3921" s="9"/>
      <c r="N3921" s="9"/>
      <c r="O3921" s="9"/>
      <c r="P3921" s="9"/>
      <c r="Q3921" s="9"/>
      <c r="R3921" s="9"/>
      <c r="S3921" s="42"/>
      <c r="T3921" s="42"/>
      <c r="U3921" s="42"/>
      <c r="V3921" s="42"/>
      <c r="W3921" s="42"/>
      <c r="X3921" s="42"/>
      <c r="Y3921" s="42"/>
      <c r="Z3921" s="42"/>
      <c r="AA3921" s="42"/>
      <c r="AB3921" s="42"/>
      <c r="AC3921" s="42"/>
      <c r="AD3921" s="42"/>
      <c r="AE3921" s="42"/>
      <c r="AF3921" s="9"/>
      <c r="AG3921" s="9"/>
      <c r="AH3921" s="42"/>
      <c r="AI3921" s="42"/>
      <c r="AJ3921" s="42"/>
      <c r="AK3921" s="42"/>
      <c r="AL3921" s="42"/>
      <c r="AM3921" s="42"/>
      <c r="AN3921" s="42"/>
      <c r="AO3921" s="63" t="str">
        <f>IFERROR(__xludf.DUMMYFUNCTION("IF(ISBLANK(A3921),,IF(ISBLANK(S3921), A3921&amp;"";"", TEXTJOIN(CHAR(10), TRUE, A3921&amp;"";"", ARRAYFORMULA(VLOOKUP(SPLIT(S3921, "";"" &amp; CHAR(10)), $A:$AO, 41, FALSE)))))"),"")</f>
        <v/>
      </c>
      <c r="AP3921" s="89"/>
    </row>
    <row r="3922">
      <c r="A3922" s="42"/>
      <c r="B3922" s="42"/>
      <c r="C3922" s="42"/>
      <c r="D3922" s="42"/>
      <c r="E3922" s="39"/>
      <c r="F3922" s="9"/>
      <c r="G3922" s="9"/>
      <c r="H3922" s="9"/>
      <c r="I3922" s="9"/>
      <c r="J3922" s="9"/>
      <c r="K3922" s="9"/>
      <c r="L3922" s="9"/>
      <c r="M3922" s="9"/>
      <c r="N3922" s="9"/>
      <c r="O3922" s="9"/>
      <c r="P3922" s="9"/>
      <c r="Q3922" s="9"/>
      <c r="R3922" s="9"/>
      <c r="S3922" s="42"/>
      <c r="T3922" s="42"/>
      <c r="U3922" s="42"/>
      <c r="V3922" s="42"/>
      <c r="W3922" s="42"/>
      <c r="X3922" s="42"/>
      <c r="Y3922" s="42"/>
      <c r="Z3922" s="42"/>
      <c r="AA3922" s="42"/>
      <c r="AB3922" s="42"/>
      <c r="AC3922" s="42"/>
      <c r="AD3922" s="42"/>
      <c r="AE3922" s="42"/>
      <c r="AF3922" s="9"/>
      <c r="AG3922" s="9"/>
      <c r="AH3922" s="42"/>
      <c r="AI3922" s="42"/>
      <c r="AJ3922" s="42"/>
      <c r="AK3922" s="42"/>
      <c r="AL3922" s="42"/>
      <c r="AM3922" s="42"/>
      <c r="AN3922" s="42"/>
      <c r="AO3922" s="63" t="str">
        <f>IFERROR(__xludf.DUMMYFUNCTION("IF(ISBLANK(A3922),,IF(ISBLANK(S3922), A3922&amp;"";"", TEXTJOIN(CHAR(10), TRUE, A3922&amp;"";"", ARRAYFORMULA(VLOOKUP(SPLIT(S3922, "";"" &amp; CHAR(10)), $A:$AO, 41, FALSE)))))"),"")</f>
        <v/>
      </c>
      <c r="AP3922" s="89"/>
    </row>
    <row r="3923">
      <c r="A3923" s="42"/>
      <c r="B3923" s="42"/>
      <c r="C3923" s="42"/>
      <c r="D3923" s="42"/>
      <c r="E3923" s="39"/>
      <c r="F3923" s="9"/>
      <c r="G3923" s="9"/>
      <c r="H3923" s="9"/>
      <c r="I3923" s="9"/>
      <c r="J3923" s="9"/>
      <c r="K3923" s="9"/>
      <c r="L3923" s="9"/>
      <c r="M3923" s="9"/>
      <c r="N3923" s="9"/>
      <c r="O3923" s="9"/>
      <c r="P3923" s="9"/>
      <c r="Q3923" s="9"/>
      <c r="R3923" s="9"/>
      <c r="S3923" s="42"/>
      <c r="T3923" s="42"/>
      <c r="U3923" s="42"/>
      <c r="V3923" s="42"/>
      <c r="W3923" s="42"/>
      <c r="X3923" s="42"/>
      <c r="Y3923" s="42"/>
      <c r="Z3923" s="42"/>
      <c r="AA3923" s="42"/>
      <c r="AB3923" s="42"/>
      <c r="AC3923" s="42"/>
      <c r="AD3923" s="42"/>
      <c r="AE3923" s="42"/>
      <c r="AF3923" s="9"/>
      <c r="AG3923" s="9"/>
      <c r="AH3923" s="42"/>
      <c r="AI3923" s="42"/>
      <c r="AJ3923" s="42"/>
      <c r="AK3923" s="42"/>
      <c r="AL3923" s="42"/>
      <c r="AM3923" s="42"/>
      <c r="AN3923" s="42"/>
      <c r="AO3923" s="63" t="str">
        <f>IFERROR(__xludf.DUMMYFUNCTION("IF(ISBLANK(A3923),,IF(ISBLANK(S3923), A3923&amp;"";"", TEXTJOIN(CHAR(10), TRUE, A3923&amp;"";"", ARRAYFORMULA(VLOOKUP(SPLIT(S3923, "";"" &amp; CHAR(10)), $A:$AO, 41, FALSE)))))"),"")</f>
        <v/>
      </c>
      <c r="AP3923" s="89"/>
    </row>
    <row r="3924">
      <c r="A3924" s="42"/>
      <c r="B3924" s="42"/>
      <c r="C3924" s="42"/>
      <c r="D3924" s="42"/>
      <c r="E3924" s="39"/>
      <c r="F3924" s="9"/>
      <c r="G3924" s="9"/>
      <c r="H3924" s="9"/>
      <c r="I3924" s="9"/>
      <c r="J3924" s="9"/>
      <c r="K3924" s="9"/>
      <c r="L3924" s="9"/>
      <c r="M3924" s="9"/>
      <c r="N3924" s="9"/>
      <c r="O3924" s="9"/>
      <c r="P3924" s="9"/>
      <c r="Q3924" s="9"/>
      <c r="R3924" s="9"/>
      <c r="S3924" s="42"/>
      <c r="T3924" s="42"/>
      <c r="U3924" s="42"/>
      <c r="V3924" s="42"/>
      <c r="W3924" s="42"/>
      <c r="X3924" s="42"/>
      <c r="Y3924" s="42"/>
      <c r="Z3924" s="42"/>
      <c r="AA3924" s="42"/>
      <c r="AB3924" s="42"/>
      <c r="AC3924" s="42"/>
      <c r="AD3924" s="42"/>
      <c r="AE3924" s="42"/>
      <c r="AF3924" s="9"/>
      <c r="AG3924" s="9"/>
      <c r="AH3924" s="42"/>
      <c r="AI3924" s="42"/>
      <c r="AJ3924" s="42"/>
      <c r="AK3924" s="42"/>
      <c r="AL3924" s="42"/>
      <c r="AM3924" s="42"/>
      <c r="AN3924" s="42"/>
      <c r="AO3924" s="63" t="str">
        <f>IFERROR(__xludf.DUMMYFUNCTION("IF(ISBLANK(A3924),,IF(ISBLANK(S3924), A3924&amp;"";"", TEXTJOIN(CHAR(10), TRUE, A3924&amp;"";"", ARRAYFORMULA(VLOOKUP(SPLIT(S3924, "";"" &amp; CHAR(10)), $A:$AO, 41, FALSE)))))"),"")</f>
        <v/>
      </c>
      <c r="AP3924" s="89"/>
    </row>
    <row r="3925">
      <c r="A3925" s="42"/>
      <c r="B3925" s="42"/>
      <c r="C3925" s="42"/>
      <c r="D3925" s="42"/>
      <c r="E3925" s="39"/>
      <c r="F3925" s="9"/>
      <c r="G3925" s="9"/>
      <c r="H3925" s="9"/>
      <c r="I3925" s="9"/>
      <c r="J3925" s="9"/>
      <c r="K3925" s="9"/>
      <c r="L3925" s="9"/>
      <c r="M3925" s="9"/>
      <c r="N3925" s="9"/>
      <c r="O3925" s="9"/>
      <c r="P3925" s="9"/>
      <c r="Q3925" s="9"/>
      <c r="R3925" s="9"/>
      <c r="S3925" s="42"/>
      <c r="T3925" s="42"/>
      <c r="U3925" s="42"/>
      <c r="V3925" s="42"/>
      <c r="W3925" s="42"/>
      <c r="X3925" s="42"/>
      <c r="Y3925" s="42"/>
      <c r="Z3925" s="42"/>
      <c r="AA3925" s="42"/>
      <c r="AB3925" s="42"/>
      <c r="AC3925" s="42"/>
      <c r="AD3925" s="42"/>
      <c r="AE3925" s="42"/>
      <c r="AF3925" s="9"/>
      <c r="AG3925" s="9"/>
      <c r="AH3925" s="42"/>
      <c r="AI3925" s="42"/>
      <c r="AJ3925" s="42"/>
      <c r="AK3925" s="42"/>
      <c r="AL3925" s="42"/>
      <c r="AM3925" s="42"/>
      <c r="AN3925" s="42"/>
      <c r="AO3925" s="63" t="str">
        <f>IFERROR(__xludf.DUMMYFUNCTION("IF(ISBLANK(A3925),,IF(ISBLANK(S3925), A3925&amp;"";"", TEXTJOIN(CHAR(10), TRUE, A3925&amp;"";"", ARRAYFORMULA(VLOOKUP(SPLIT(S3925, "";"" &amp; CHAR(10)), $A:$AO, 41, FALSE)))))"),"")</f>
        <v/>
      </c>
      <c r="AP3925" s="89"/>
    </row>
    <row r="3926">
      <c r="A3926" s="42"/>
      <c r="B3926" s="42"/>
      <c r="C3926" s="42"/>
      <c r="D3926" s="42"/>
      <c r="E3926" s="39"/>
      <c r="F3926" s="9"/>
      <c r="G3926" s="9"/>
      <c r="H3926" s="9"/>
      <c r="I3926" s="9"/>
      <c r="J3926" s="9"/>
      <c r="K3926" s="9"/>
      <c r="L3926" s="9"/>
      <c r="M3926" s="9"/>
      <c r="N3926" s="9"/>
      <c r="O3926" s="9"/>
      <c r="P3926" s="9"/>
      <c r="Q3926" s="9"/>
      <c r="R3926" s="9"/>
      <c r="S3926" s="42"/>
      <c r="T3926" s="42"/>
      <c r="U3926" s="42"/>
      <c r="V3926" s="42"/>
      <c r="W3926" s="42"/>
      <c r="X3926" s="42"/>
      <c r="Y3926" s="42"/>
      <c r="Z3926" s="42"/>
      <c r="AA3926" s="42"/>
      <c r="AB3926" s="42"/>
      <c r="AC3926" s="42"/>
      <c r="AD3926" s="42"/>
      <c r="AE3926" s="42"/>
      <c r="AF3926" s="9"/>
      <c r="AG3926" s="9"/>
      <c r="AH3926" s="42"/>
      <c r="AI3926" s="42"/>
      <c r="AJ3926" s="42"/>
      <c r="AK3926" s="42"/>
      <c r="AL3926" s="42"/>
      <c r="AM3926" s="42"/>
      <c r="AN3926" s="42"/>
      <c r="AO3926" s="63" t="str">
        <f>IFERROR(__xludf.DUMMYFUNCTION("IF(ISBLANK(A3926),,IF(ISBLANK(S3926), A3926&amp;"";"", TEXTJOIN(CHAR(10), TRUE, A3926&amp;"";"", ARRAYFORMULA(VLOOKUP(SPLIT(S3926, "";"" &amp; CHAR(10)), $A:$AO, 41, FALSE)))))"),"")</f>
        <v/>
      </c>
      <c r="AP3926" s="89"/>
    </row>
    <row r="3927">
      <c r="A3927" s="42"/>
      <c r="B3927" s="42"/>
      <c r="C3927" s="42"/>
      <c r="D3927" s="42"/>
      <c r="E3927" s="39"/>
      <c r="F3927" s="9"/>
      <c r="G3927" s="9"/>
      <c r="H3927" s="9"/>
      <c r="I3927" s="9"/>
      <c r="J3927" s="9"/>
      <c r="K3927" s="9"/>
      <c r="L3927" s="9"/>
      <c r="M3927" s="9"/>
      <c r="N3927" s="9"/>
      <c r="O3927" s="9"/>
      <c r="P3927" s="9"/>
      <c r="Q3927" s="9"/>
      <c r="R3927" s="9"/>
      <c r="S3927" s="42"/>
      <c r="T3927" s="42"/>
      <c r="U3927" s="42"/>
      <c r="V3927" s="42"/>
      <c r="W3927" s="42"/>
      <c r="X3927" s="42"/>
      <c r="Y3927" s="42"/>
      <c r="Z3927" s="42"/>
      <c r="AA3927" s="42"/>
      <c r="AB3927" s="42"/>
      <c r="AC3927" s="42"/>
      <c r="AD3927" s="42"/>
      <c r="AE3927" s="42"/>
      <c r="AF3927" s="9"/>
      <c r="AG3927" s="9"/>
      <c r="AH3927" s="42"/>
      <c r="AI3927" s="42"/>
      <c r="AJ3927" s="42"/>
      <c r="AK3927" s="42"/>
      <c r="AL3927" s="42"/>
      <c r="AM3927" s="42"/>
      <c r="AN3927" s="42"/>
      <c r="AO3927" s="63" t="str">
        <f>IFERROR(__xludf.DUMMYFUNCTION("IF(ISBLANK(A3927),,IF(ISBLANK(S3927), A3927&amp;"";"", TEXTJOIN(CHAR(10), TRUE, A3927&amp;"";"", ARRAYFORMULA(VLOOKUP(SPLIT(S3927, "";"" &amp; CHAR(10)), $A:$AO, 41, FALSE)))))"),"")</f>
        <v/>
      </c>
      <c r="AP3927" s="89"/>
    </row>
    <row r="3928">
      <c r="A3928" s="42"/>
      <c r="B3928" s="42"/>
      <c r="C3928" s="42"/>
      <c r="D3928" s="42"/>
      <c r="E3928" s="39"/>
      <c r="F3928" s="9"/>
      <c r="G3928" s="9"/>
      <c r="H3928" s="9"/>
      <c r="I3928" s="9"/>
      <c r="J3928" s="9"/>
      <c r="K3928" s="9"/>
      <c r="L3928" s="9"/>
      <c r="M3928" s="9"/>
      <c r="N3928" s="9"/>
      <c r="O3928" s="9"/>
      <c r="P3928" s="9"/>
      <c r="Q3928" s="9"/>
      <c r="R3928" s="9"/>
      <c r="S3928" s="42"/>
      <c r="T3928" s="42"/>
      <c r="U3928" s="42"/>
      <c r="V3928" s="42"/>
      <c r="W3928" s="42"/>
      <c r="X3928" s="42"/>
      <c r="Y3928" s="42"/>
      <c r="Z3928" s="42"/>
      <c r="AA3928" s="42"/>
      <c r="AB3928" s="42"/>
      <c r="AC3928" s="42"/>
      <c r="AD3928" s="42"/>
      <c r="AE3928" s="42"/>
      <c r="AF3928" s="9"/>
      <c r="AG3928" s="9"/>
      <c r="AH3928" s="42"/>
      <c r="AI3928" s="42"/>
      <c r="AJ3928" s="42"/>
      <c r="AK3928" s="42"/>
      <c r="AL3928" s="42"/>
      <c r="AM3928" s="42"/>
      <c r="AN3928" s="42"/>
      <c r="AO3928" s="63" t="str">
        <f>IFERROR(__xludf.DUMMYFUNCTION("IF(ISBLANK(A3928),,IF(ISBLANK(S3928), A3928&amp;"";"", TEXTJOIN(CHAR(10), TRUE, A3928&amp;"";"", ARRAYFORMULA(VLOOKUP(SPLIT(S3928, "";"" &amp; CHAR(10)), $A:$AO, 41, FALSE)))))"),"")</f>
        <v/>
      </c>
      <c r="AP3928" s="89"/>
    </row>
    <row r="3929">
      <c r="A3929" s="42"/>
      <c r="B3929" s="42"/>
      <c r="C3929" s="42"/>
      <c r="D3929" s="42"/>
      <c r="E3929" s="39"/>
      <c r="F3929" s="9"/>
      <c r="G3929" s="9"/>
      <c r="H3929" s="9"/>
      <c r="I3929" s="9"/>
      <c r="J3929" s="9"/>
      <c r="K3929" s="9"/>
      <c r="L3929" s="9"/>
      <c r="M3929" s="9"/>
      <c r="N3929" s="9"/>
      <c r="O3929" s="9"/>
      <c r="P3929" s="9"/>
      <c r="Q3929" s="9"/>
      <c r="R3929" s="9"/>
      <c r="S3929" s="42"/>
      <c r="T3929" s="42"/>
      <c r="U3929" s="42"/>
      <c r="V3929" s="42"/>
      <c r="W3929" s="42"/>
      <c r="X3929" s="42"/>
      <c r="Y3929" s="42"/>
      <c r="Z3929" s="42"/>
      <c r="AA3929" s="42"/>
      <c r="AB3929" s="42"/>
      <c r="AC3929" s="42"/>
      <c r="AD3929" s="42"/>
      <c r="AE3929" s="42"/>
      <c r="AF3929" s="9"/>
      <c r="AG3929" s="9"/>
      <c r="AH3929" s="42"/>
      <c r="AI3929" s="42"/>
      <c r="AJ3929" s="42"/>
      <c r="AK3929" s="42"/>
      <c r="AL3929" s="42"/>
      <c r="AM3929" s="42"/>
      <c r="AN3929" s="42"/>
      <c r="AO3929" s="63" t="str">
        <f>IFERROR(__xludf.DUMMYFUNCTION("IF(ISBLANK(A3929),,IF(ISBLANK(S3929), A3929&amp;"";"", TEXTJOIN(CHAR(10), TRUE, A3929&amp;"";"", ARRAYFORMULA(VLOOKUP(SPLIT(S3929, "";"" &amp; CHAR(10)), $A:$AO, 41, FALSE)))))"),"")</f>
        <v/>
      </c>
      <c r="AP3929" s="89"/>
    </row>
    <row r="3930">
      <c r="A3930" s="42"/>
      <c r="B3930" s="42"/>
      <c r="C3930" s="42"/>
      <c r="D3930" s="42"/>
      <c r="E3930" s="39"/>
      <c r="F3930" s="9"/>
      <c r="G3930" s="9"/>
      <c r="H3930" s="9"/>
      <c r="I3930" s="9"/>
      <c r="J3930" s="9"/>
      <c r="K3930" s="9"/>
      <c r="L3930" s="9"/>
      <c r="M3930" s="9"/>
      <c r="N3930" s="9"/>
      <c r="O3930" s="9"/>
      <c r="P3930" s="9"/>
      <c r="Q3930" s="9"/>
      <c r="R3930" s="9"/>
      <c r="S3930" s="42"/>
      <c r="T3930" s="42"/>
      <c r="U3930" s="42"/>
      <c r="V3930" s="42"/>
      <c r="W3930" s="42"/>
      <c r="X3930" s="42"/>
      <c r="Y3930" s="42"/>
      <c r="Z3930" s="42"/>
      <c r="AA3930" s="42"/>
      <c r="AB3930" s="42"/>
      <c r="AC3930" s="42"/>
      <c r="AD3930" s="42"/>
      <c r="AE3930" s="42"/>
      <c r="AF3930" s="9"/>
      <c r="AG3930" s="9"/>
      <c r="AH3930" s="42"/>
      <c r="AI3930" s="42"/>
      <c r="AJ3930" s="42"/>
      <c r="AK3930" s="42"/>
      <c r="AL3930" s="42"/>
      <c r="AM3930" s="42"/>
      <c r="AN3930" s="42"/>
      <c r="AO3930" s="63" t="str">
        <f>IFERROR(__xludf.DUMMYFUNCTION("IF(ISBLANK(A3930),,IF(ISBLANK(S3930), A3930&amp;"";"", TEXTJOIN(CHAR(10), TRUE, A3930&amp;"";"", ARRAYFORMULA(VLOOKUP(SPLIT(S3930, "";"" &amp; CHAR(10)), $A:$AO, 41, FALSE)))))"),"")</f>
        <v/>
      </c>
      <c r="AP3930" s="89"/>
    </row>
    <row r="3931">
      <c r="A3931" s="42"/>
      <c r="B3931" s="42"/>
      <c r="C3931" s="42"/>
      <c r="D3931" s="42"/>
      <c r="E3931" s="39"/>
      <c r="F3931" s="9"/>
      <c r="G3931" s="9"/>
      <c r="H3931" s="9"/>
      <c r="I3931" s="9"/>
      <c r="J3931" s="9"/>
      <c r="K3931" s="9"/>
      <c r="L3931" s="9"/>
      <c r="M3931" s="9"/>
      <c r="N3931" s="9"/>
      <c r="O3931" s="9"/>
      <c r="P3931" s="9"/>
      <c r="Q3931" s="9"/>
      <c r="R3931" s="9"/>
      <c r="S3931" s="42"/>
      <c r="T3931" s="42"/>
      <c r="U3931" s="42"/>
      <c r="V3931" s="42"/>
      <c r="W3931" s="42"/>
      <c r="X3931" s="42"/>
      <c r="Y3931" s="42"/>
      <c r="Z3931" s="42"/>
      <c r="AA3931" s="42"/>
      <c r="AB3931" s="42"/>
      <c r="AC3931" s="42"/>
      <c r="AD3931" s="42"/>
      <c r="AE3931" s="42"/>
      <c r="AF3931" s="9"/>
      <c r="AG3931" s="9"/>
      <c r="AH3931" s="42"/>
      <c r="AI3931" s="42"/>
      <c r="AJ3931" s="42"/>
      <c r="AK3931" s="42"/>
      <c r="AL3931" s="42"/>
      <c r="AM3931" s="42"/>
      <c r="AN3931" s="42"/>
      <c r="AO3931" s="63" t="str">
        <f>IFERROR(__xludf.DUMMYFUNCTION("IF(ISBLANK(A3931),,IF(ISBLANK(S3931), A3931&amp;"";"", TEXTJOIN(CHAR(10), TRUE, A3931&amp;"";"", ARRAYFORMULA(VLOOKUP(SPLIT(S3931, "";"" &amp; CHAR(10)), $A:$AO, 41, FALSE)))))"),"")</f>
        <v/>
      </c>
      <c r="AP3931" s="89"/>
    </row>
    <row r="3932">
      <c r="A3932" s="42"/>
      <c r="B3932" s="42"/>
      <c r="C3932" s="42"/>
      <c r="D3932" s="42"/>
      <c r="E3932" s="39"/>
      <c r="F3932" s="9"/>
      <c r="G3932" s="9"/>
      <c r="H3932" s="9"/>
      <c r="I3932" s="9"/>
      <c r="J3932" s="9"/>
      <c r="K3932" s="9"/>
      <c r="L3932" s="9"/>
      <c r="M3932" s="9"/>
      <c r="N3932" s="9"/>
      <c r="O3932" s="9"/>
      <c r="P3932" s="9"/>
      <c r="Q3932" s="9"/>
      <c r="R3932" s="9"/>
      <c r="S3932" s="42"/>
      <c r="T3932" s="42"/>
      <c r="U3932" s="42"/>
      <c r="V3932" s="42"/>
      <c r="W3932" s="42"/>
      <c r="X3932" s="42"/>
      <c r="Y3932" s="42"/>
      <c r="Z3932" s="42"/>
      <c r="AA3932" s="42"/>
      <c r="AB3932" s="42"/>
      <c r="AC3932" s="42"/>
      <c r="AD3932" s="42"/>
      <c r="AE3932" s="42"/>
      <c r="AF3932" s="9"/>
      <c r="AG3932" s="9"/>
      <c r="AH3932" s="42"/>
      <c r="AI3932" s="42"/>
      <c r="AJ3932" s="42"/>
      <c r="AK3932" s="42"/>
      <c r="AL3932" s="42"/>
      <c r="AM3932" s="42"/>
      <c r="AN3932" s="42"/>
      <c r="AO3932" s="63" t="str">
        <f>IFERROR(__xludf.DUMMYFUNCTION("IF(ISBLANK(A3932),,IF(ISBLANK(S3932), A3932&amp;"";"", TEXTJOIN(CHAR(10), TRUE, A3932&amp;"";"", ARRAYFORMULA(VLOOKUP(SPLIT(S3932, "";"" &amp; CHAR(10)), $A:$AO, 41, FALSE)))))"),"")</f>
        <v/>
      </c>
      <c r="AP3932" s="89"/>
    </row>
    <row r="3933">
      <c r="A3933" s="42"/>
      <c r="B3933" s="42"/>
      <c r="C3933" s="42"/>
      <c r="D3933" s="42"/>
      <c r="E3933" s="39"/>
      <c r="F3933" s="9"/>
      <c r="G3933" s="9"/>
      <c r="H3933" s="9"/>
      <c r="I3933" s="9"/>
      <c r="J3933" s="9"/>
      <c r="K3933" s="9"/>
      <c r="L3933" s="9"/>
      <c r="M3933" s="9"/>
      <c r="N3933" s="9"/>
      <c r="O3933" s="9"/>
      <c r="P3933" s="9"/>
      <c r="Q3933" s="9"/>
      <c r="R3933" s="9"/>
      <c r="S3933" s="42"/>
      <c r="T3933" s="42"/>
      <c r="U3933" s="42"/>
      <c r="V3933" s="42"/>
      <c r="W3933" s="42"/>
      <c r="X3933" s="42"/>
      <c r="Y3933" s="42"/>
      <c r="Z3933" s="42"/>
      <c r="AA3933" s="42"/>
      <c r="AB3933" s="42"/>
      <c r="AC3933" s="42"/>
      <c r="AD3933" s="42"/>
      <c r="AE3933" s="42"/>
      <c r="AF3933" s="9"/>
      <c r="AG3933" s="9"/>
      <c r="AH3933" s="42"/>
      <c r="AI3933" s="42"/>
      <c r="AJ3933" s="42"/>
      <c r="AK3933" s="42"/>
      <c r="AL3933" s="42"/>
      <c r="AM3933" s="42"/>
      <c r="AN3933" s="42"/>
      <c r="AO3933" s="63" t="str">
        <f>IFERROR(__xludf.DUMMYFUNCTION("IF(ISBLANK(A3933),,IF(ISBLANK(S3933), A3933&amp;"";"", TEXTJOIN(CHAR(10), TRUE, A3933&amp;"";"", ARRAYFORMULA(VLOOKUP(SPLIT(S3933, "";"" &amp; CHAR(10)), $A:$AO, 41, FALSE)))))"),"")</f>
        <v/>
      </c>
      <c r="AP3933" s="89"/>
    </row>
    <row r="3934">
      <c r="A3934" s="42"/>
      <c r="B3934" s="42"/>
      <c r="C3934" s="42"/>
      <c r="D3934" s="42"/>
      <c r="E3934" s="39"/>
      <c r="F3934" s="9"/>
      <c r="G3934" s="9"/>
      <c r="H3934" s="9"/>
      <c r="I3934" s="9"/>
      <c r="J3934" s="9"/>
      <c r="K3934" s="9"/>
      <c r="L3934" s="9"/>
      <c r="M3934" s="9"/>
      <c r="N3934" s="9"/>
      <c r="O3934" s="9"/>
      <c r="P3934" s="9"/>
      <c r="Q3934" s="9"/>
      <c r="R3934" s="9"/>
      <c r="S3934" s="42"/>
      <c r="T3934" s="42"/>
      <c r="U3934" s="42"/>
      <c r="V3934" s="42"/>
      <c r="W3934" s="42"/>
      <c r="X3934" s="42"/>
      <c r="Y3934" s="42"/>
      <c r="Z3934" s="42"/>
      <c r="AA3934" s="42"/>
      <c r="AB3934" s="42"/>
      <c r="AC3934" s="42"/>
      <c r="AD3934" s="42"/>
      <c r="AE3934" s="42"/>
      <c r="AF3934" s="9"/>
      <c r="AG3934" s="9"/>
      <c r="AH3934" s="42"/>
      <c r="AI3934" s="42"/>
      <c r="AJ3934" s="42"/>
      <c r="AK3934" s="42"/>
      <c r="AL3934" s="42"/>
      <c r="AM3934" s="42"/>
      <c r="AN3934" s="42"/>
      <c r="AO3934" s="63" t="str">
        <f>IFERROR(__xludf.DUMMYFUNCTION("IF(ISBLANK(A3934),,IF(ISBLANK(S3934), A3934&amp;"";"", TEXTJOIN(CHAR(10), TRUE, A3934&amp;"";"", ARRAYFORMULA(VLOOKUP(SPLIT(S3934, "";"" &amp; CHAR(10)), $A:$AO, 41, FALSE)))))"),"")</f>
        <v/>
      </c>
      <c r="AP3934" s="89"/>
    </row>
    <row r="3935">
      <c r="A3935" s="42"/>
      <c r="B3935" s="42"/>
      <c r="C3935" s="42"/>
      <c r="D3935" s="42"/>
      <c r="E3935" s="39"/>
      <c r="F3935" s="9"/>
      <c r="G3935" s="9"/>
      <c r="H3935" s="9"/>
      <c r="I3935" s="9"/>
      <c r="J3935" s="9"/>
      <c r="K3935" s="9"/>
      <c r="L3935" s="9"/>
      <c r="M3935" s="9"/>
      <c r="N3935" s="9"/>
      <c r="O3935" s="9"/>
      <c r="P3935" s="9"/>
      <c r="Q3935" s="9"/>
      <c r="R3935" s="9"/>
      <c r="S3935" s="42"/>
      <c r="T3935" s="42"/>
      <c r="U3935" s="42"/>
      <c r="V3935" s="42"/>
      <c r="W3935" s="42"/>
      <c r="X3935" s="42"/>
      <c r="Y3935" s="42"/>
      <c r="Z3935" s="42"/>
      <c r="AA3935" s="42"/>
      <c r="AB3935" s="42"/>
      <c r="AC3935" s="42"/>
      <c r="AD3935" s="42"/>
      <c r="AE3935" s="42"/>
      <c r="AF3935" s="9"/>
      <c r="AG3935" s="9"/>
      <c r="AH3935" s="42"/>
      <c r="AI3935" s="42"/>
      <c r="AJ3935" s="42"/>
      <c r="AK3935" s="42"/>
      <c r="AL3935" s="42"/>
      <c r="AM3935" s="42"/>
      <c r="AN3935" s="42"/>
      <c r="AO3935" s="63" t="str">
        <f>IFERROR(__xludf.DUMMYFUNCTION("IF(ISBLANK(A3935),,IF(ISBLANK(S3935), A3935&amp;"";"", TEXTJOIN(CHAR(10), TRUE, A3935&amp;"";"", ARRAYFORMULA(VLOOKUP(SPLIT(S3935, "";"" &amp; CHAR(10)), $A:$AO, 41, FALSE)))))"),"")</f>
        <v/>
      </c>
      <c r="AP3935" s="89"/>
    </row>
    <row r="3936">
      <c r="A3936" s="42"/>
      <c r="B3936" s="42"/>
      <c r="C3936" s="42"/>
      <c r="D3936" s="42"/>
      <c r="E3936" s="39"/>
      <c r="F3936" s="9"/>
      <c r="G3936" s="9"/>
      <c r="H3936" s="9"/>
      <c r="I3936" s="9"/>
      <c r="J3936" s="9"/>
      <c r="K3936" s="9"/>
      <c r="L3936" s="9"/>
      <c r="M3936" s="9"/>
      <c r="N3936" s="9"/>
      <c r="O3936" s="9"/>
      <c r="P3936" s="9"/>
      <c r="Q3936" s="9"/>
      <c r="R3936" s="9"/>
      <c r="S3936" s="42"/>
      <c r="T3936" s="42"/>
      <c r="U3936" s="42"/>
      <c r="V3936" s="42"/>
      <c r="W3936" s="42"/>
      <c r="X3936" s="42"/>
      <c r="Y3936" s="42"/>
      <c r="Z3936" s="42"/>
      <c r="AA3936" s="42"/>
      <c r="AB3936" s="42"/>
      <c r="AC3936" s="42"/>
      <c r="AD3936" s="42"/>
      <c r="AE3936" s="42"/>
      <c r="AF3936" s="9"/>
      <c r="AG3936" s="9"/>
      <c r="AH3936" s="42"/>
      <c r="AI3936" s="42"/>
      <c r="AJ3936" s="42"/>
      <c r="AK3936" s="42"/>
      <c r="AL3936" s="42"/>
      <c r="AM3936" s="42"/>
      <c r="AN3936" s="42"/>
      <c r="AO3936" s="63" t="str">
        <f>IFERROR(__xludf.DUMMYFUNCTION("IF(ISBLANK(A3936),,IF(ISBLANK(S3936), A3936&amp;"";"", TEXTJOIN(CHAR(10), TRUE, A3936&amp;"";"", ARRAYFORMULA(VLOOKUP(SPLIT(S3936, "";"" &amp; CHAR(10)), $A:$AO, 41, FALSE)))))"),"")</f>
        <v/>
      </c>
      <c r="AP3936" s="89"/>
    </row>
    <row r="3937">
      <c r="A3937" s="42"/>
      <c r="B3937" s="42"/>
      <c r="C3937" s="42"/>
      <c r="D3937" s="42"/>
      <c r="E3937" s="39"/>
      <c r="F3937" s="9"/>
      <c r="G3937" s="9"/>
      <c r="H3937" s="9"/>
      <c r="I3937" s="9"/>
      <c r="J3937" s="9"/>
      <c r="K3937" s="9"/>
      <c r="L3937" s="9"/>
      <c r="M3937" s="9"/>
      <c r="N3937" s="9"/>
      <c r="O3937" s="9"/>
      <c r="P3937" s="9"/>
      <c r="Q3937" s="9"/>
      <c r="R3937" s="9"/>
      <c r="S3937" s="42"/>
      <c r="T3937" s="42"/>
      <c r="U3937" s="42"/>
      <c r="V3937" s="42"/>
      <c r="W3937" s="42"/>
      <c r="X3937" s="42"/>
      <c r="Y3937" s="42"/>
      <c r="Z3937" s="42"/>
      <c r="AA3937" s="42"/>
      <c r="AB3937" s="42"/>
      <c r="AC3937" s="42"/>
      <c r="AD3937" s="42"/>
      <c r="AE3937" s="42"/>
      <c r="AF3937" s="9"/>
      <c r="AG3937" s="9"/>
      <c r="AH3937" s="42"/>
      <c r="AI3937" s="42"/>
      <c r="AJ3937" s="42"/>
      <c r="AK3937" s="42"/>
      <c r="AL3937" s="42"/>
      <c r="AM3937" s="42"/>
      <c r="AN3937" s="42"/>
      <c r="AO3937" s="63" t="str">
        <f>IFERROR(__xludf.DUMMYFUNCTION("IF(ISBLANK(A3937),,IF(ISBLANK(S3937), A3937&amp;"";"", TEXTJOIN(CHAR(10), TRUE, A3937&amp;"";"", ARRAYFORMULA(VLOOKUP(SPLIT(S3937, "";"" &amp; CHAR(10)), $A:$AO, 41, FALSE)))))"),"")</f>
        <v/>
      </c>
      <c r="AP3937" s="89"/>
    </row>
    <row r="3938">
      <c r="A3938" s="42"/>
      <c r="B3938" s="42"/>
      <c r="C3938" s="42"/>
      <c r="D3938" s="42"/>
      <c r="E3938" s="39"/>
      <c r="F3938" s="9"/>
      <c r="G3938" s="9"/>
      <c r="H3938" s="9"/>
      <c r="I3938" s="9"/>
      <c r="J3938" s="9"/>
      <c r="K3938" s="9"/>
      <c r="L3938" s="9"/>
      <c r="M3938" s="9"/>
      <c r="N3938" s="9"/>
      <c r="O3938" s="9"/>
      <c r="P3938" s="9"/>
      <c r="Q3938" s="9"/>
      <c r="R3938" s="9"/>
      <c r="S3938" s="42"/>
      <c r="T3938" s="42"/>
      <c r="U3938" s="42"/>
      <c r="V3938" s="42"/>
      <c r="W3938" s="42"/>
      <c r="X3938" s="42"/>
      <c r="Y3938" s="42"/>
      <c r="Z3938" s="42"/>
      <c r="AA3938" s="42"/>
      <c r="AB3938" s="42"/>
      <c r="AC3938" s="42"/>
      <c r="AD3938" s="42"/>
      <c r="AE3938" s="42"/>
      <c r="AF3938" s="9"/>
      <c r="AG3938" s="9"/>
      <c r="AH3938" s="42"/>
      <c r="AI3938" s="42"/>
      <c r="AJ3938" s="42"/>
      <c r="AK3938" s="42"/>
      <c r="AL3938" s="42"/>
      <c r="AM3938" s="42"/>
      <c r="AN3938" s="42"/>
      <c r="AO3938" s="63" t="str">
        <f>IFERROR(__xludf.DUMMYFUNCTION("IF(ISBLANK(A3938),,IF(ISBLANK(S3938), A3938&amp;"";"", TEXTJOIN(CHAR(10), TRUE, A3938&amp;"";"", ARRAYFORMULA(VLOOKUP(SPLIT(S3938, "";"" &amp; CHAR(10)), $A:$AO, 41, FALSE)))))"),"")</f>
        <v/>
      </c>
      <c r="AP3938" s="89"/>
    </row>
    <row r="3939">
      <c r="A3939" s="42"/>
      <c r="B3939" s="42"/>
      <c r="C3939" s="42"/>
      <c r="D3939" s="42"/>
      <c r="E3939" s="39"/>
      <c r="F3939" s="9"/>
      <c r="G3939" s="9"/>
      <c r="H3939" s="9"/>
      <c r="I3939" s="9"/>
      <c r="J3939" s="9"/>
      <c r="K3939" s="9"/>
      <c r="L3939" s="9"/>
      <c r="M3939" s="9"/>
      <c r="N3939" s="9"/>
      <c r="O3939" s="9"/>
      <c r="P3939" s="9"/>
      <c r="Q3939" s="9"/>
      <c r="R3939" s="9"/>
      <c r="S3939" s="42"/>
      <c r="T3939" s="42"/>
      <c r="U3939" s="42"/>
      <c r="V3939" s="42"/>
      <c r="W3939" s="42"/>
      <c r="X3939" s="42"/>
      <c r="Y3939" s="42"/>
      <c r="Z3939" s="42"/>
      <c r="AA3939" s="42"/>
      <c r="AB3939" s="42"/>
      <c r="AC3939" s="42"/>
      <c r="AD3939" s="42"/>
      <c r="AE3939" s="42"/>
      <c r="AF3939" s="9"/>
      <c r="AG3939" s="9"/>
      <c r="AH3939" s="42"/>
      <c r="AI3939" s="42"/>
      <c r="AJ3939" s="42"/>
      <c r="AK3939" s="42"/>
      <c r="AL3939" s="42"/>
      <c r="AM3939" s="42"/>
      <c r="AN3939" s="42"/>
      <c r="AO3939" s="63" t="str">
        <f>IFERROR(__xludf.DUMMYFUNCTION("IF(ISBLANK(A3939),,IF(ISBLANK(S3939), A3939&amp;"";"", TEXTJOIN(CHAR(10), TRUE, A3939&amp;"";"", ARRAYFORMULA(VLOOKUP(SPLIT(S3939, "";"" &amp; CHAR(10)), $A:$AO, 41, FALSE)))))"),"")</f>
        <v/>
      </c>
      <c r="AP3939" s="89"/>
    </row>
    <row r="3940">
      <c r="A3940" s="42"/>
      <c r="B3940" s="42"/>
      <c r="C3940" s="42"/>
      <c r="D3940" s="42"/>
      <c r="E3940" s="39"/>
      <c r="F3940" s="9"/>
      <c r="G3940" s="9"/>
      <c r="H3940" s="9"/>
      <c r="I3940" s="9"/>
      <c r="J3940" s="9"/>
      <c r="K3940" s="9"/>
      <c r="L3940" s="9"/>
      <c r="M3940" s="9"/>
      <c r="N3940" s="9"/>
      <c r="O3940" s="9"/>
      <c r="P3940" s="9"/>
      <c r="Q3940" s="9"/>
      <c r="R3940" s="9"/>
      <c r="S3940" s="42"/>
      <c r="T3940" s="42"/>
      <c r="U3940" s="42"/>
      <c r="V3940" s="42"/>
      <c r="W3940" s="42"/>
      <c r="X3940" s="42"/>
      <c r="Y3940" s="42"/>
      <c r="Z3940" s="42"/>
      <c r="AA3940" s="42"/>
      <c r="AB3940" s="42"/>
      <c r="AC3940" s="42"/>
      <c r="AD3940" s="42"/>
      <c r="AE3940" s="42"/>
      <c r="AF3940" s="9"/>
      <c r="AG3940" s="9"/>
      <c r="AH3940" s="42"/>
      <c r="AI3940" s="42"/>
      <c r="AJ3940" s="42"/>
      <c r="AK3940" s="42"/>
      <c r="AL3940" s="42"/>
      <c r="AM3940" s="42"/>
      <c r="AN3940" s="42"/>
      <c r="AO3940" s="63" t="str">
        <f>IFERROR(__xludf.DUMMYFUNCTION("IF(ISBLANK(A3940),,IF(ISBLANK(S3940), A3940&amp;"";"", TEXTJOIN(CHAR(10), TRUE, A3940&amp;"";"", ARRAYFORMULA(VLOOKUP(SPLIT(S3940, "";"" &amp; CHAR(10)), $A:$AO, 41, FALSE)))))"),"")</f>
        <v/>
      </c>
      <c r="AP3940" s="89"/>
    </row>
    <row r="3941">
      <c r="A3941" s="42"/>
      <c r="B3941" s="42"/>
      <c r="C3941" s="42"/>
      <c r="D3941" s="42"/>
      <c r="E3941" s="39"/>
      <c r="F3941" s="9"/>
      <c r="G3941" s="9"/>
      <c r="H3941" s="9"/>
      <c r="I3941" s="9"/>
      <c r="J3941" s="9"/>
      <c r="K3941" s="9"/>
      <c r="L3941" s="9"/>
      <c r="M3941" s="9"/>
      <c r="N3941" s="9"/>
      <c r="O3941" s="9"/>
      <c r="P3941" s="9"/>
      <c r="Q3941" s="9"/>
      <c r="R3941" s="9"/>
      <c r="S3941" s="42"/>
      <c r="T3941" s="42"/>
      <c r="U3941" s="42"/>
      <c r="V3941" s="42"/>
      <c r="W3941" s="42"/>
      <c r="X3941" s="42"/>
      <c r="Y3941" s="42"/>
      <c r="Z3941" s="42"/>
      <c r="AA3941" s="42"/>
      <c r="AB3941" s="42"/>
      <c r="AC3941" s="42"/>
      <c r="AD3941" s="42"/>
      <c r="AE3941" s="42"/>
      <c r="AF3941" s="9"/>
      <c r="AG3941" s="9"/>
      <c r="AH3941" s="42"/>
      <c r="AI3941" s="42"/>
      <c r="AJ3941" s="42"/>
      <c r="AK3941" s="42"/>
      <c r="AL3941" s="42"/>
      <c r="AM3941" s="42"/>
      <c r="AN3941" s="42"/>
      <c r="AO3941" s="63" t="str">
        <f>IFERROR(__xludf.DUMMYFUNCTION("IF(ISBLANK(A3941),,IF(ISBLANK(S3941), A3941&amp;"";"", TEXTJOIN(CHAR(10), TRUE, A3941&amp;"";"", ARRAYFORMULA(VLOOKUP(SPLIT(S3941, "";"" &amp; CHAR(10)), $A:$AO, 41, FALSE)))))"),"")</f>
        <v/>
      </c>
      <c r="AP3941" s="89"/>
    </row>
    <row r="3942">
      <c r="A3942" s="42"/>
      <c r="B3942" s="42"/>
      <c r="C3942" s="42"/>
      <c r="D3942" s="42"/>
      <c r="E3942" s="39"/>
      <c r="F3942" s="9"/>
      <c r="G3942" s="9"/>
      <c r="H3942" s="9"/>
      <c r="I3942" s="9"/>
      <c r="J3942" s="9"/>
      <c r="K3942" s="9"/>
      <c r="L3942" s="9"/>
      <c r="M3942" s="9"/>
      <c r="N3942" s="9"/>
      <c r="O3942" s="9"/>
      <c r="P3942" s="9"/>
      <c r="Q3942" s="9"/>
      <c r="R3942" s="9"/>
      <c r="S3942" s="42"/>
      <c r="T3942" s="42"/>
      <c r="U3942" s="42"/>
      <c r="V3942" s="42"/>
      <c r="W3942" s="42"/>
      <c r="X3942" s="42"/>
      <c r="Y3942" s="42"/>
      <c r="Z3942" s="42"/>
      <c r="AA3942" s="42"/>
      <c r="AB3942" s="42"/>
      <c r="AC3942" s="42"/>
      <c r="AD3942" s="42"/>
      <c r="AE3942" s="42"/>
      <c r="AF3942" s="9"/>
      <c r="AG3942" s="9"/>
      <c r="AH3942" s="42"/>
      <c r="AI3942" s="42"/>
      <c r="AJ3942" s="42"/>
      <c r="AK3942" s="42"/>
      <c r="AL3942" s="42"/>
      <c r="AM3942" s="42"/>
      <c r="AN3942" s="42"/>
      <c r="AO3942" s="63" t="str">
        <f>IFERROR(__xludf.DUMMYFUNCTION("IF(ISBLANK(A3942),,IF(ISBLANK(S3942), A3942&amp;"";"", TEXTJOIN(CHAR(10), TRUE, A3942&amp;"";"", ARRAYFORMULA(VLOOKUP(SPLIT(S3942, "";"" &amp; CHAR(10)), $A:$AO, 41, FALSE)))))"),"")</f>
        <v/>
      </c>
      <c r="AP3942" s="89"/>
    </row>
    <row r="3943">
      <c r="A3943" s="42"/>
      <c r="B3943" s="42"/>
      <c r="C3943" s="42"/>
      <c r="D3943" s="42"/>
      <c r="E3943" s="39"/>
      <c r="F3943" s="9"/>
      <c r="G3943" s="9"/>
      <c r="H3943" s="9"/>
      <c r="I3943" s="9"/>
      <c r="J3943" s="9"/>
      <c r="K3943" s="9"/>
      <c r="L3943" s="9"/>
      <c r="M3943" s="9"/>
      <c r="N3943" s="9"/>
      <c r="O3943" s="9"/>
      <c r="P3943" s="9"/>
      <c r="Q3943" s="9"/>
      <c r="R3943" s="9"/>
      <c r="S3943" s="42"/>
      <c r="T3943" s="42"/>
      <c r="U3943" s="42"/>
      <c r="V3943" s="42"/>
      <c r="W3943" s="42"/>
      <c r="X3943" s="42"/>
      <c r="Y3943" s="42"/>
      <c r="Z3943" s="42"/>
      <c r="AA3943" s="42"/>
      <c r="AB3943" s="42"/>
      <c r="AC3943" s="42"/>
      <c r="AD3943" s="42"/>
      <c r="AE3943" s="42"/>
      <c r="AF3943" s="9"/>
      <c r="AG3943" s="9"/>
      <c r="AH3943" s="42"/>
      <c r="AI3943" s="42"/>
      <c r="AJ3943" s="42"/>
      <c r="AK3943" s="42"/>
      <c r="AL3943" s="42"/>
      <c r="AM3943" s="42"/>
      <c r="AN3943" s="42"/>
      <c r="AO3943" s="63" t="str">
        <f>IFERROR(__xludf.DUMMYFUNCTION("IF(ISBLANK(A3943),,IF(ISBLANK(S3943), A3943&amp;"";"", TEXTJOIN(CHAR(10), TRUE, A3943&amp;"";"", ARRAYFORMULA(VLOOKUP(SPLIT(S3943, "";"" &amp; CHAR(10)), $A:$AO, 41, FALSE)))))"),"")</f>
        <v/>
      </c>
      <c r="AP3943" s="89"/>
    </row>
    <row r="3944">
      <c r="A3944" s="42"/>
      <c r="B3944" s="42"/>
      <c r="C3944" s="42"/>
      <c r="D3944" s="42"/>
      <c r="E3944" s="39"/>
      <c r="F3944" s="9"/>
      <c r="G3944" s="9"/>
      <c r="H3944" s="9"/>
      <c r="I3944" s="9"/>
      <c r="J3944" s="9"/>
      <c r="K3944" s="9"/>
      <c r="L3944" s="9"/>
      <c r="M3944" s="9"/>
      <c r="N3944" s="9"/>
      <c r="O3944" s="9"/>
      <c r="P3944" s="9"/>
      <c r="Q3944" s="9"/>
      <c r="R3944" s="9"/>
      <c r="S3944" s="42"/>
      <c r="T3944" s="42"/>
      <c r="U3944" s="42"/>
      <c r="V3944" s="42"/>
      <c r="W3944" s="42"/>
      <c r="X3944" s="42"/>
      <c r="Y3944" s="42"/>
      <c r="Z3944" s="42"/>
      <c r="AA3944" s="42"/>
      <c r="AB3944" s="42"/>
      <c r="AC3944" s="42"/>
      <c r="AD3944" s="42"/>
      <c r="AE3944" s="42"/>
      <c r="AF3944" s="9"/>
      <c r="AG3944" s="9"/>
      <c r="AH3944" s="42"/>
      <c r="AI3944" s="42"/>
      <c r="AJ3944" s="42"/>
      <c r="AK3944" s="42"/>
      <c r="AL3944" s="42"/>
      <c r="AM3944" s="42"/>
      <c r="AN3944" s="42"/>
      <c r="AO3944" s="63" t="str">
        <f>IFERROR(__xludf.DUMMYFUNCTION("IF(ISBLANK(A3944),,IF(ISBLANK(S3944), A3944&amp;"";"", TEXTJOIN(CHAR(10), TRUE, A3944&amp;"";"", ARRAYFORMULA(VLOOKUP(SPLIT(S3944, "";"" &amp; CHAR(10)), $A:$AO, 41, FALSE)))))"),"")</f>
        <v/>
      </c>
      <c r="AP3944" s="89"/>
    </row>
    <row r="3945">
      <c r="A3945" s="42"/>
      <c r="B3945" s="42"/>
      <c r="C3945" s="42"/>
      <c r="D3945" s="42"/>
      <c r="E3945" s="39"/>
      <c r="F3945" s="9"/>
      <c r="G3945" s="9"/>
      <c r="H3945" s="9"/>
      <c r="I3945" s="9"/>
      <c r="J3945" s="9"/>
      <c r="K3945" s="9"/>
      <c r="L3945" s="9"/>
      <c r="M3945" s="9"/>
      <c r="N3945" s="9"/>
      <c r="O3945" s="9"/>
      <c r="P3945" s="9"/>
      <c r="Q3945" s="9"/>
      <c r="R3945" s="9"/>
      <c r="S3945" s="42"/>
      <c r="T3945" s="42"/>
      <c r="U3945" s="42"/>
      <c r="V3945" s="42"/>
      <c r="W3945" s="42"/>
      <c r="X3945" s="42"/>
      <c r="Y3945" s="42"/>
      <c r="Z3945" s="42"/>
      <c r="AA3945" s="42"/>
      <c r="AB3945" s="42"/>
      <c r="AC3945" s="42"/>
      <c r="AD3945" s="42"/>
      <c r="AE3945" s="42"/>
      <c r="AF3945" s="9"/>
      <c r="AG3945" s="9"/>
      <c r="AH3945" s="42"/>
      <c r="AI3945" s="42"/>
      <c r="AJ3945" s="42"/>
      <c r="AK3945" s="42"/>
      <c r="AL3945" s="42"/>
      <c r="AM3945" s="42"/>
      <c r="AN3945" s="42"/>
      <c r="AO3945" s="63" t="str">
        <f>IFERROR(__xludf.DUMMYFUNCTION("IF(ISBLANK(A3945),,IF(ISBLANK(S3945), A3945&amp;"";"", TEXTJOIN(CHAR(10), TRUE, A3945&amp;"";"", ARRAYFORMULA(VLOOKUP(SPLIT(S3945, "";"" &amp; CHAR(10)), $A:$AO, 41, FALSE)))))"),"")</f>
        <v/>
      </c>
      <c r="AP3945" s="89"/>
    </row>
    <row r="3946">
      <c r="A3946" s="42"/>
      <c r="B3946" s="42"/>
      <c r="C3946" s="42"/>
      <c r="D3946" s="42"/>
      <c r="E3946" s="39"/>
      <c r="F3946" s="9"/>
      <c r="G3946" s="9"/>
      <c r="H3946" s="9"/>
      <c r="I3946" s="9"/>
      <c r="J3946" s="9"/>
      <c r="K3946" s="9"/>
      <c r="L3946" s="9"/>
      <c r="M3946" s="9"/>
      <c r="N3946" s="9"/>
      <c r="O3946" s="9"/>
      <c r="P3946" s="9"/>
      <c r="Q3946" s="9"/>
      <c r="R3946" s="9"/>
      <c r="S3946" s="42"/>
      <c r="T3946" s="42"/>
      <c r="U3946" s="42"/>
      <c r="V3946" s="42"/>
      <c r="W3946" s="42"/>
      <c r="X3946" s="42"/>
      <c r="Y3946" s="42"/>
      <c r="Z3946" s="42"/>
      <c r="AA3946" s="42"/>
      <c r="AB3946" s="42"/>
      <c r="AC3946" s="42"/>
      <c r="AD3946" s="42"/>
      <c r="AE3946" s="42"/>
      <c r="AF3946" s="9"/>
      <c r="AG3946" s="9"/>
      <c r="AH3946" s="42"/>
      <c r="AI3946" s="42"/>
      <c r="AJ3946" s="42"/>
      <c r="AK3946" s="42"/>
      <c r="AL3946" s="42"/>
      <c r="AM3946" s="42"/>
      <c r="AN3946" s="42"/>
      <c r="AO3946" s="63" t="str">
        <f>IFERROR(__xludf.DUMMYFUNCTION("IF(ISBLANK(A3946),,IF(ISBLANK(S3946), A3946&amp;"";"", TEXTJOIN(CHAR(10), TRUE, A3946&amp;"";"", ARRAYFORMULA(VLOOKUP(SPLIT(S3946, "";"" &amp; CHAR(10)), $A:$AO, 41, FALSE)))))"),"")</f>
        <v/>
      </c>
      <c r="AP3946" s="89"/>
    </row>
    <row r="3947">
      <c r="A3947" s="42"/>
      <c r="B3947" s="42"/>
      <c r="C3947" s="42"/>
      <c r="D3947" s="42"/>
      <c r="E3947" s="39"/>
      <c r="F3947" s="9"/>
      <c r="G3947" s="9"/>
      <c r="H3947" s="9"/>
      <c r="I3947" s="9"/>
      <c r="J3947" s="9"/>
      <c r="K3947" s="9"/>
      <c r="L3947" s="9"/>
      <c r="M3947" s="9"/>
      <c r="N3947" s="9"/>
      <c r="O3947" s="9"/>
      <c r="P3947" s="9"/>
      <c r="Q3947" s="9"/>
      <c r="R3947" s="9"/>
      <c r="S3947" s="42"/>
      <c r="T3947" s="42"/>
      <c r="U3947" s="42"/>
      <c r="V3947" s="42"/>
      <c r="W3947" s="42"/>
      <c r="X3947" s="42"/>
      <c r="Y3947" s="42"/>
      <c r="Z3947" s="42"/>
      <c r="AA3947" s="42"/>
      <c r="AB3947" s="42"/>
      <c r="AC3947" s="42"/>
      <c r="AD3947" s="42"/>
      <c r="AE3947" s="42"/>
      <c r="AF3947" s="9"/>
      <c r="AG3947" s="9"/>
      <c r="AH3947" s="42"/>
      <c r="AI3947" s="42"/>
      <c r="AJ3947" s="42"/>
      <c r="AK3947" s="42"/>
      <c r="AL3947" s="42"/>
      <c r="AM3947" s="42"/>
      <c r="AN3947" s="42"/>
      <c r="AO3947" s="63" t="str">
        <f>IFERROR(__xludf.DUMMYFUNCTION("IF(ISBLANK(A3947),,IF(ISBLANK(S3947), A3947&amp;"";"", TEXTJOIN(CHAR(10), TRUE, A3947&amp;"";"", ARRAYFORMULA(VLOOKUP(SPLIT(S3947, "";"" &amp; CHAR(10)), $A:$AO, 41, FALSE)))))"),"")</f>
        <v/>
      </c>
      <c r="AP3947" s="89"/>
    </row>
    <row r="3948">
      <c r="A3948" s="42"/>
      <c r="B3948" s="42"/>
      <c r="C3948" s="42"/>
      <c r="D3948" s="42"/>
      <c r="E3948" s="39"/>
      <c r="F3948" s="9"/>
      <c r="G3948" s="9"/>
      <c r="H3948" s="9"/>
      <c r="I3948" s="9"/>
      <c r="J3948" s="9"/>
      <c r="K3948" s="9"/>
      <c r="L3948" s="9"/>
      <c r="M3948" s="9"/>
      <c r="N3948" s="9"/>
      <c r="O3948" s="9"/>
      <c r="P3948" s="9"/>
      <c r="Q3948" s="9"/>
      <c r="R3948" s="9"/>
      <c r="S3948" s="42"/>
      <c r="T3948" s="42"/>
      <c r="U3948" s="42"/>
      <c r="V3948" s="42"/>
      <c r="W3948" s="42"/>
      <c r="X3948" s="42"/>
      <c r="Y3948" s="42"/>
      <c r="Z3948" s="42"/>
      <c r="AA3948" s="42"/>
      <c r="AB3948" s="42"/>
      <c r="AC3948" s="42"/>
      <c r="AD3948" s="42"/>
      <c r="AE3948" s="42"/>
      <c r="AF3948" s="9"/>
      <c r="AG3948" s="9"/>
      <c r="AH3948" s="42"/>
      <c r="AI3948" s="42"/>
      <c r="AJ3948" s="42"/>
      <c r="AK3948" s="42"/>
      <c r="AL3948" s="42"/>
      <c r="AM3948" s="42"/>
      <c r="AN3948" s="42"/>
      <c r="AO3948" s="63" t="str">
        <f>IFERROR(__xludf.DUMMYFUNCTION("IF(ISBLANK(A3948),,IF(ISBLANK(S3948), A3948&amp;"";"", TEXTJOIN(CHAR(10), TRUE, A3948&amp;"";"", ARRAYFORMULA(VLOOKUP(SPLIT(S3948, "";"" &amp; CHAR(10)), $A:$AO, 41, FALSE)))))"),"")</f>
        <v/>
      </c>
      <c r="AP3948" s="89"/>
    </row>
    <row r="3949">
      <c r="A3949" s="42"/>
      <c r="B3949" s="42"/>
      <c r="C3949" s="42"/>
      <c r="D3949" s="42"/>
      <c r="E3949" s="39"/>
      <c r="F3949" s="9"/>
      <c r="G3949" s="9"/>
      <c r="H3949" s="9"/>
      <c r="I3949" s="9"/>
      <c r="J3949" s="9"/>
      <c r="K3949" s="9"/>
      <c r="L3949" s="9"/>
      <c r="M3949" s="9"/>
      <c r="N3949" s="9"/>
      <c r="O3949" s="9"/>
      <c r="P3949" s="9"/>
      <c r="Q3949" s="9"/>
      <c r="R3949" s="9"/>
      <c r="S3949" s="42"/>
      <c r="T3949" s="42"/>
      <c r="U3949" s="42"/>
      <c r="V3949" s="42"/>
      <c r="W3949" s="42"/>
      <c r="X3949" s="42"/>
      <c r="Y3949" s="42"/>
      <c r="Z3949" s="42"/>
      <c r="AA3949" s="42"/>
      <c r="AB3949" s="42"/>
      <c r="AC3949" s="42"/>
      <c r="AD3949" s="42"/>
      <c r="AE3949" s="42"/>
      <c r="AF3949" s="9"/>
      <c r="AG3949" s="9"/>
      <c r="AH3949" s="42"/>
      <c r="AI3949" s="42"/>
      <c r="AJ3949" s="42"/>
      <c r="AK3949" s="42"/>
      <c r="AL3949" s="42"/>
      <c r="AM3949" s="42"/>
      <c r="AN3949" s="42"/>
      <c r="AO3949" s="63" t="str">
        <f>IFERROR(__xludf.DUMMYFUNCTION("IF(ISBLANK(A3949),,IF(ISBLANK(S3949), A3949&amp;"";"", TEXTJOIN(CHAR(10), TRUE, A3949&amp;"";"", ARRAYFORMULA(VLOOKUP(SPLIT(S3949, "";"" &amp; CHAR(10)), $A:$AO, 41, FALSE)))))"),"")</f>
        <v/>
      </c>
      <c r="AP3949" s="89"/>
    </row>
    <row r="3950">
      <c r="A3950" s="42"/>
      <c r="B3950" s="42"/>
      <c r="C3950" s="42"/>
      <c r="D3950" s="42"/>
      <c r="E3950" s="39"/>
      <c r="F3950" s="9"/>
      <c r="G3950" s="9"/>
      <c r="H3950" s="9"/>
      <c r="I3950" s="9"/>
      <c r="J3950" s="9"/>
      <c r="K3950" s="9"/>
      <c r="L3950" s="9"/>
      <c r="M3950" s="9"/>
      <c r="N3950" s="9"/>
      <c r="O3950" s="9"/>
      <c r="P3950" s="9"/>
      <c r="Q3950" s="9"/>
      <c r="R3950" s="9"/>
      <c r="S3950" s="42"/>
      <c r="T3950" s="42"/>
      <c r="U3950" s="42"/>
      <c r="V3950" s="42"/>
      <c r="W3950" s="42"/>
      <c r="X3950" s="42"/>
      <c r="Y3950" s="42"/>
      <c r="Z3950" s="42"/>
      <c r="AA3950" s="42"/>
      <c r="AB3950" s="42"/>
      <c r="AC3950" s="42"/>
      <c r="AD3950" s="42"/>
      <c r="AE3950" s="42"/>
      <c r="AF3950" s="9"/>
      <c r="AG3950" s="9"/>
      <c r="AH3950" s="42"/>
      <c r="AI3950" s="42"/>
      <c r="AJ3950" s="42"/>
      <c r="AK3950" s="42"/>
      <c r="AL3950" s="42"/>
      <c r="AM3950" s="42"/>
      <c r="AN3950" s="42"/>
      <c r="AO3950" s="63" t="str">
        <f>IFERROR(__xludf.DUMMYFUNCTION("IF(ISBLANK(A3950),,IF(ISBLANK(S3950), A3950&amp;"";"", TEXTJOIN(CHAR(10), TRUE, A3950&amp;"";"", ARRAYFORMULA(VLOOKUP(SPLIT(S3950, "";"" &amp; CHAR(10)), $A:$AO, 41, FALSE)))))"),"")</f>
        <v/>
      </c>
      <c r="AP3950" s="89"/>
    </row>
    <row r="3951">
      <c r="A3951" s="42"/>
      <c r="B3951" s="42"/>
      <c r="C3951" s="42"/>
      <c r="D3951" s="42"/>
      <c r="E3951" s="39"/>
      <c r="F3951" s="9"/>
      <c r="G3951" s="9"/>
      <c r="H3951" s="9"/>
      <c r="I3951" s="9"/>
      <c r="J3951" s="9"/>
      <c r="K3951" s="9"/>
      <c r="L3951" s="9"/>
      <c r="M3951" s="9"/>
      <c r="N3951" s="9"/>
      <c r="O3951" s="9"/>
      <c r="P3951" s="9"/>
      <c r="Q3951" s="9"/>
      <c r="R3951" s="9"/>
      <c r="S3951" s="42"/>
      <c r="T3951" s="42"/>
      <c r="U3951" s="42"/>
      <c r="V3951" s="42"/>
      <c r="W3951" s="42"/>
      <c r="X3951" s="42"/>
      <c r="Y3951" s="42"/>
      <c r="Z3951" s="42"/>
      <c r="AA3951" s="42"/>
      <c r="AB3951" s="42"/>
      <c r="AC3951" s="42"/>
      <c r="AD3951" s="42"/>
      <c r="AE3951" s="42"/>
      <c r="AF3951" s="9"/>
      <c r="AG3951" s="9"/>
      <c r="AH3951" s="42"/>
      <c r="AI3951" s="42"/>
      <c r="AJ3951" s="42"/>
      <c r="AK3951" s="42"/>
      <c r="AL3951" s="42"/>
      <c r="AM3951" s="42"/>
      <c r="AN3951" s="42"/>
      <c r="AO3951" s="63" t="str">
        <f>IFERROR(__xludf.DUMMYFUNCTION("IF(ISBLANK(A3951),,IF(ISBLANK(S3951), A3951&amp;"";"", TEXTJOIN(CHAR(10), TRUE, A3951&amp;"";"", ARRAYFORMULA(VLOOKUP(SPLIT(S3951, "";"" &amp; CHAR(10)), $A:$AO, 41, FALSE)))))"),"")</f>
        <v/>
      </c>
      <c r="AP3951" s="89"/>
    </row>
    <row r="3952">
      <c r="A3952" s="42"/>
      <c r="B3952" s="42"/>
      <c r="C3952" s="42"/>
      <c r="D3952" s="42"/>
      <c r="E3952" s="39"/>
      <c r="F3952" s="9"/>
      <c r="G3952" s="9"/>
      <c r="H3952" s="9"/>
      <c r="I3952" s="9"/>
      <c r="J3952" s="9"/>
      <c r="K3952" s="9"/>
      <c r="L3952" s="9"/>
      <c r="M3952" s="9"/>
      <c r="N3952" s="9"/>
      <c r="O3952" s="9"/>
      <c r="P3952" s="9"/>
      <c r="Q3952" s="9"/>
      <c r="R3952" s="9"/>
      <c r="S3952" s="42"/>
      <c r="T3952" s="42"/>
      <c r="U3952" s="42"/>
      <c r="V3952" s="42"/>
      <c r="W3952" s="42"/>
      <c r="X3952" s="42"/>
      <c r="Y3952" s="42"/>
      <c r="Z3952" s="42"/>
      <c r="AA3952" s="42"/>
      <c r="AB3952" s="42"/>
      <c r="AC3952" s="42"/>
      <c r="AD3952" s="42"/>
      <c r="AE3952" s="42"/>
      <c r="AF3952" s="9"/>
      <c r="AG3952" s="9"/>
      <c r="AH3952" s="42"/>
      <c r="AI3952" s="42"/>
      <c r="AJ3952" s="42"/>
      <c r="AK3952" s="42"/>
      <c r="AL3952" s="42"/>
      <c r="AM3952" s="42"/>
      <c r="AN3952" s="42"/>
      <c r="AO3952" s="63" t="str">
        <f>IFERROR(__xludf.DUMMYFUNCTION("IF(ISBLANK(A3952),,IF(ISBLANK(S3952), A3952&amp;"";"", TEXTJOIN(CHAR(10), TRUE, A3952&amp;"";"", ARRAYFORMULA(VLOOKUP(SPLIT(S3952, "";"" &amp; CHAR(10)), $A:$AO, 41, FALSE)))))"),"")</f>
        <v/>
      </c>
      <c r="AP3952" s="89"/>
    </row>
    <row r="3953">
      <c r="A3953" s="42"/>
      <c r="B3953" s="42"/>
      <c r="C3953" s="42"/>
      <c r="D3953" s="42"/>
      <c r="E3953" s="39"/>
      <c r="F3953" s="9"/>
      <c r="G3953" s="9"/>
      <c r="H3953" s="9"/>
      <c r="I3953" s="9"/>
      <c r="J3953" s="9"/>
      <c r="K3953" s="9"/>
      <c r="L3953" s="9"/>
      <c r="M3953" s="9"/>
      <c r="N3953" s="9"/>
      <c r="O3953" s="9"/>
      <c r="P3953" s="9"/>
      <c r="Q3953" s="9"/>
      <c r="R3953" s="9"/>
      <c r="S3953" s="42"/>
      <c r="T3953" s="42"/>
      <c r="U3953" s="42"/>
      <c r="V3953" s="42"/>
      <c r="W3953" s="42"/>
      <c r="X3953" s="42"/>
      <c r="Y3953" s="42"/>
      <c r="Z3953" s="42"/>
      <c r="AA3953" s="42"/>
      <c r="AB3953" s="42"/>
      <c r="AC3953" s="42"/>
      <c r="AD3953" s="42"/>
      <c r="AE3953" s="42"/>
      <c r="AF3953" s="9"/>
      <c r="AG3953" s="9"/>
      <c r="AH3953" s="42"/>
      <c r="AI3953" s="42"/>
      <c r="AJ3953" s="42"/>
      <c r="AK3953" s="42"/>
      <c r="AL3953" s="42"/>
      <c r="AM3953" s="42"/>
      <c r="AN3953" s="42"/>
      <c r="AO3953" s="63" t="str">
        <f>IFERROR(__xludf.DUMMYFUNCTION("IF(ISBLANK(A3953),,IF(ISBLANK(S3953), A3953&amp;"";"", TEXTJOIN(CHAR(10), TRUE, A3953&amp;"";"", ARRAYFORMULA(VLOOKUP(SPLIT(S3953, "";"" &amp; CHAR(10)), $A:$AO, 41, FALSE)))))"),"")</f>
        <v/>
      </c>
      <c r="AP3953" s="89"/>
    </row>
    <row r="3954">
      <c r="A3954" s="42"/>
      <c r="B3954" s="42"/>
      <c r="C3954" s="42"/>
      <c r="D3954" s="42"/>
      <c r="E3954" s="39"/>
      <c r="F3954" s="9"/>
      <c r="G3954" s="9"/>
      <c r="H3954" s="9"/>
      <c r="I3954" s="9"/>
      <c r="J3954" s="9"/>
      <c r="K3954" s="9"/>
      <c r="L3954" s="9"/>
      <c r="M3954" s="9"/>
      <c r="N3954" s="9"/>
      <c r="O3954" s="9"/>
      <c r="P3954" s="9"/>
      <c r="Q3954" s="9"/>
      <c r="R3954" s="9"/>
      <c r="S3954" s="42"/>
      <c r="T3954" s="42"/>
      <c r="U3954" s="42"/>
      <c r="V3954" s="42"/>
      <c r="W3954" s="42"/>
      <c r="X3954" s="42"/>
      <c r="Y3954" s="42"/>
      <c r="Z3954" s="42"/>
      <c r="AA3954" s="42"/>
      <c r="AB3954" s="42"/>
      <c r="AC3954" s="42"/>
      <c r="AD3954" s="42"/>
      <c r="AE3954" s="42"/>
      <c r="AF3954" s="9"/>
      <c r="AG3954" s="9"/>
      <c r="AH3954" s="42"/>
      <c r="AI3954" s="42"/>
      <c r="AJ3954" s="42"/>
      <c r="AK3954" s="42"/>
      <c r="AL3954" s="42"/>
      <c r="AM3954" s="42"/>
      <c r="AN3954" s="42"/>
      <c r="AO3954" s="63" t="str">
        <f>IFERROR(__xludf.DUMMYFUNCTION("IF(ISBLANK(A3954),,IF(ISBLANK(S3954), A3954&amp;"";"", TEXTJOIN(CHAR(10), TRUE, A3954&amp;"";"", ARRAYFORMULA(VLOOKUP(SPLIT(S3954, "";"" &amp; CHAR(10)), $A:$AO, 41, FALSE)))))"),"")</f>
        <v/>
      </c>
      <c r="AP3954" s="89"/>
    </row>
    <row r="3955">
      <c r="A3955" s="42"/>
      <c r="B3955" s="42"/>
      <c r="C3955" s="42"/>
      <c r="D3955" s="42"/>
      <c r="E3955" s="39"/>
      <c r="F3955" s="9"/>
      <c r="G3955" s="9"/>
      <c r="H3955" s="9"/>
      <c r="I3955" s="9"/>
      <c r="J3955" s="9"/>
      <c r="K3955" s="9"/>
      <c r="L3955" s="9"/>
      <c r="M3955" s="9"/>
      <c r="N3955" s="9"/>
      <c r="O3955" s="9"/>
      <c r="P3955" s="9"/>
      <c r="Q3955" s="9"/>
      <c r="R3955" s="9"/>
      <c r="S3955" s="42"/>
      <c r="T3955" s="42"/>
      <c r="U3955" s="42"/>
      <c r="V3955" s="42"/>
      <c r="W3955" s="42"/>
      <c r="X3955" s="42"/>
      <c r="Y3955" s="42"/>
      <c r="Z3955" s="42"/>
      <c r="AA3955" s="42"/>
      <c r="AB3955" s="42"/>
      <c r="AC3955" s="42"/>
      <c r="AD3955" s="42"/>
      <c r="AE3955" s="42"/>
      <c r="AF3955" s="9"/>
      <c r="AG3955" s="9"/>
      <c r="AH3955" s="42"/>
      <c r="AI3955" s="42"/>
      <c r="AJ3955" s="42"/>
      <c r="AK3955" s="42"/>
      <c r="AL3955" s="42"/>
      <c r="AM3955" s="42"/>
      <c r="AN3955" s="42"/>
      <c r="AO3955" s="63" t="str">
        <f>IFERROR(__xludf.DUMMYFUNCTION("IF(ISBLANK(A3955),,IF(ISBLANK(S3955), A3955&amp;"";"", TEXTJOIN(CHAR(10), TRUE, A3955&amp;"";"", ARRAYFORMULA(VLOOKUP(SPLIT(S3955, "";"" &amp; CHAR(10)), $A:$AO, 41, FALSE)))))"),"")</f>
        <v/>
      </c>
      <c r="AP3955" s="89"/>
    </row>
    <row r="3956">
      <c r="A3956" s="42"/>
      <c r="B3956" s="42"/>
      <c r="C3956" s="42"/>
      <c r="D3956" s="42"/>
      <c r="E3956" s="39"/>
      <c r="F3956" s="9"/>
      <c r="G3956" s="9"/>
      <c r="H3956" s="9"/>
      <c r="I3956" s="9"/>
      <c r="J3956" s="9"/>
      <c r="K3956" s="9"/>
      <c r="L3956" s="9"/>
      <c r="M3956" s="9"/>
      <c r="N3956" s="9"/>
      <c r="O3956" s="9"/>
      <c r="P3956" s="9"/>
      <c r="Q3956" s="9"/>
      <c r="R3956" s="9"/>
      <c r="S3956" s="42"/>
      <c r="T3956" s="42"/>
      <c r="U3956" s="42"/>
      <c r="V3956" s="42"/>
      <c r="W3956" s="42"/>
      <c r="X3956" s="42"/>
      <c r="Y3956" s="42"/>
      <c r="Z3956" s="42"/>
      <c r="AA3956" s="42"/>
      <c r="AB3956" s="42"/>
      <c r="AC3956" s="42"/>
      <c r="AD3956" s="42"/>
      <c r="AE3956" s="42"/>
      <c r="AF3956" s="9"/>
      <c r="AG3956" s="9"/>
      <c r="AH3956" s="42"/>
      <c r="AI3956" s="42"/>
      <c r="AJ3956" s="42"/>
      <c r="AK3956" s="42"/>
      <c r="AL3956" s="42"/>
      <c r="AM3956" s="42"/>
      <c r="AN3956" s="42"/>
      <c r="AO3956" s="63" t="str">
        <f>IFERROR(__xludf.DUMMYFUNCTION("IF(ISBLANK(A3956),,IF(ISBLANK(S3956), A3956&amp;"";"", TEXTJOIN(CHAR(10), TRUE, A3956&amp;"";"", ARRAYFORMULA(VLOOKUP(SPLIT(S3956, "";"" &amp; CHAR(10)), $A:$AO, 41, FALSE)))))"),"")</f>
        <v/>
      </c>
      <c r="AP3956" s="89"/>
    </row>
    <row r="3957">
      <c r="A3957" s="42"/>
      <c r="B3957" s="42"/>
      <c r="C3957" s="42"/>
      <c r="D3957" s="42"/>
      <c r="E3957" s="39"/>
      <c r="F3957" s="9"/>
      <c r="G3957" s="9"/>
      <c r="H3957" s="9"/>
      <c r="I3957" s="9"/>
      <c r="J3957" s="9"/>
      <c r="K3957" s="9"/>
      <c r="L3957" s="9"/>
      <c r="M3957" s="9"/>
      <c r="N3957" s="9"/>
      <c r="O3957" s="9"/>
      <c r="P3957" s="9"/>
      <c r="Q3957" s="9"/>
      <c r="R3957" s="9"/>
      <c r="S3957" s="42"/>
      <c r="T3957" s="42"/>
      <c r="U3957" s="42"/>
      <c r="V3957" s="42"/>
      <c r="W3957" s="42"/>
      <c r="X3957" s="42"/>
      <c r="Y3957" s="42"/>
      <c r="Z3957" s="42"/>
      <c r="AA3957" s="42"/>
      <c r="AB3957" s="42"/>
      <c r="AC3957" s="42"/>
      <c r="AD3957" s="42"/>
      <c r="AE3957" s="42"/>
      <c r="AF3957" s="9"/>
      <c r="AG3957" s="9"/>
      <c r="AH3957" s="42"/>
      <c r="AI3957" s="42"/>
      <c r="AJ3957" s="42"/>
      <c r="AK3957" s="42"/>
      <c r="AL3957" s="42"/>
      <c r="AM3957" s="42"/>
      <c r="AN3957" s="42"/>
      <c r="AO3957" s="63" t="str">
        <f>IFERROR(__xludf.DUMMYFUNCTION("IF(ISBLANK(A3957),,IF(ISBLANK(S3957), A3957&amp;"";"", TEXTJOIN(CHAR(10), TRUE, A3957&amp;"";"", ARRAYFORMULA(VLOOKUP(SPLIT(S3957, "";"" &amp; CHAR(10)), $A:$AO, 41, FALSE)))))"),"")</f>
        <v/>
      </c>
      <c r="AP3957" s="89"/>
    </row>
    <row r="3958">
      <c r="A3958" s="42"/>
      <c r="B3958" s="42"/>
      <c r="C3958" s="42"/>
      <c r="D3958" s="42"/>
      <c r="E3958" s="39"/>
      <c r="F3958" s="9"/>
      <c r="G3958" s="9"/>
      <c r="H3958" s="9"/>
      <c r="I3958" s="9"/>
      <c r="J3958" s="9"/>
      <c r="K3958" s="9"/>
      <c r="L3958" s="9"/>
      <c r="M3958" s="9"/>
      <c r="N3958" s="9"/>
      <c r="O3958" s="9"/>
      <c r="P3958" s="9"/>
      <c r="Q3958" s="9"/>
      <c r="R3958" s="9"/>
      <c r="S3958" s="42"/>
      <c r="T3958" s="42"/>
      <c r="U3958" s="42"/>
      <c r="V3958" s="42"/>
      <c r="W3958" s="42"/>
      <c r="X3958" s="42"/>
      <c r="Y3958" s="42"/>
      <c r="Z3958" s="42"/>
      <c r="AA3958" s="42"/>
      <c r="AB3958" s="42"/>
      <c r="AC3958" s="42"/>
      <c r="AD3958" s="42"/>
      <c r="AE3958" s="42"/>
      <c r="AF3958" s="9"/>
      <c r="AG3958" s="9"/>
      <c r="AH3958" s="42"/>
      <c r="AI3958" s="42"/>
      <c r="AJ3958" s="42"/>
      <c r="AK3958" s="42"/>
      <c r="AL3958" s="42"/>
      <c r="AM3958" s="42"/>
      <c r="AN3958" s="42"/>
      <c r="AO3958" s="63" t="str">
        <f>IFERROR(__xludf.DUMMYFUNCTION("IF(ISBLANK(A3958),,IF(ISBLANK(S3958), A3958&amp;"";"", TEXTJOIN(CHAR(10), TRUE, A3958&amp;"";"", ARRAYFORMULA(VLOOKUP(SPLIT(S3958, "";"" &amp; CHAR(10)), $A:$AO, 41, FALSE)))))"),"")</f>
        <v/>
      </c>
      <c r="AP3958" s="89"/>
    </row>
    <row r="3959">
      <c r="A3959" s="42"/>
      <c r="B3959" s="42"/>
      <c r="C3959" s="42"/>
      <c r="D3959" s="42"/>
      <c r="E3959" s="39"/>
      <c r="F3959" s="9"/>
      <c r="G3959" s="9"/>
      <c r="H3959" s="9"/>
      <c r="I3959" s="9"/>
      <c r="J3959" s="9"/>
      <c r="K3959" s="9"/>
      <c r="L3959" s="9"/>
      <c r="M3959" s="9"/>
      <c r="N3959" s="9"/>
      <c r="O3959" s="9"/>
      <c r="P3959" s="9"/>
      <c r="Q3959" s="9"/>
      <c r="R3959" s="9"/>
      <c r="S3959" s="42"/>
      <c r="T3959" s="42"/>
      <c r="U3959" s="42"/>
      <c r="V3959" s="42"/>
      <c r="W3959" s="42"/>
      <c r="X3959" s="42"/>
      <c r="Y3959" s="42"/>
      <c r="Z3959" s="42"/>
      <c r="AA3959" s="42"/>
      <c r="AB3959" s="42"/>
      <c r="AC3959" s="42"/>
      <c r="AD3959" s="42"/>
      <c r="AE3959" s="42"/>
      <c r="AF3959" s="9"/>
      <c r="AG3959" s="9"/>
      <c r="AH3959" s="42"/>
      <c r="AI3959" s="42"/>
      <c r="AJ3959" s="42"/>
      <c r="AK3959" s="42"/>
      <c r="AL3959" s="42"/>
      <c r="AM3959" s="42"/>
      <c r="AN3959" s="42"/>
      <c r="AO3959" s="63" t="str">
        <f>IFERROR(__xludf.DUMMYFUNCTION("IF(ISBLANK(A3959),,IF(ISBLANK(S3959), A3959&amp;"";"", TEXTJOIN(CHAR(10), TRUE, A3959&amp;"";"", ARRAYFORMULA(VLOOKUP(SPLIT(S3959, "";"" &amp; CHAR(10)), $A:$AO, 41, FALSE)))))"),"")</f>
        <v/>
      </c>
      <c r="AP3959" s="89"/>
    </row>
    <row r="3960">
      <c r="A3960" s="42"/>
      <c r="B3960" s="42"/>
      <c r="C3960" s="42"/>
      <c r="D3960" s="42"/>
      <c r="E3960" s="39"/>
      <c r="F3960" s="9"/>
      <c r="G3960" s="9"/>
      <c r="H3960" s="9"/>
      <c r="I3960" s="9"/>
      <c r="J3960" s="9"/>
      <c r="K3960" s="9"/>
      <c r="L3960" s="9"/>
      <c r="M3960" s="9"/>
      <c r="N3960" s="9"/>
      <c r="O3960" s="9"/>
      <c r="P3960" s="9"/>
      <c r="Q3960" s="9"/>
      <c r="R3960" s="9"/>
      <c r="S3960" s="42"/>
      <c r="T3960" s="42"/>
      <c r="U3960" s="42"/>
      <c r="V3960" s="42"/>
      <c r="W3960" s="42"/>
      <c r="X3960" s="42"/>
      <c r="Y3960" s="42"/>
      <c r="Z3960" s="42"/>
      <c r="AA3960" s="42"/>
      <c r="AB3960" s="42"/>
      <c r="AC3960" s="42"/>
      <c r="AD3960" s="42"/>
      <c r="AE3960" s="42"/>
      <c r="AF3960" s="9"/>
      <c r="AG3960" s="9"/>
      <c r="AH3960" s="42"/>
      <c r="AI3960" s="42"/>
      <c r="AJ3960" s="42"/>
      <c r="AK3960" s="42"/>
      <c r="AL3960" s="42"/>
      <c r="AM3960" s="42"/>
      <c r="AN3960" s="42"/>
      <c r="AO3960" s="63" t="str">
        <f>IFERROR(__xludf.DUMMYFUNCTION("IF(ISBLANK(A3960),,IF(ISBLANK(S3960), A3960&amp;"";"", TEXTJOIN(CHAR(10), TRUE, A3960&amp;"";"", ARRAYFORMULA(VLOOKUP(SPLIT(S3960, "";"" &amp; CHAR(10)), $A:$AO, 41, FALSE)))))"),"")</f>
        <v/>
      </c>
      <c r="AP3960" s="89"/>
    </row>
    <row r="3961">
      <c r="A3961" s="42"/>
      <c r="B3961" s="42"/>
      <c r="C3961" s="42"/>
      <c r="D3961" s="42"/>
      <c r="E3961" s="39"/>
      <c r="F3961" s="9"/>
      <c r="G3961" s="9"/>
      <c r="H3961" s="9"/>
      <c r="I3961" s="9"/>
      <c r="J3961" s="9"/>
      <c r="K3961" s="9"/>
      <c r="L3961" s="9"/>
      <c r="M3961" s="9"/>
      <c r="N3961" s="9"/>
      <c r="O3961" s="9"/>
      <c r="P3961" s="9"/>
      <c r="Q3961" s="9"/>
      <c r="R3961" s="9"/>
      <c r="S3961" s="42"/>
      <c r="T3961" s="42"/>
      <c r="U3961" s="42"/>
      <c r="V3961" s="42"/>
      <c r="W3961" s="42"/>
      <c r="X3961" s="42"/>
      <c r="Y3961" s="42"/>
      <c r="Z3961" s="42"/>
      <c r="AA3961" s="42"/>
      <c r="AB3961" s="42"/>
      <c r="AC3961" s="42"/>
      <c r="AD3961" s="42"/>
      <c r="AE3961" s="42"/>
      <c r="AF3961" s="9"/>
      <c r="AG3961" s="9"/>
      <c r="AH3961" s="42"/>
      <c r="AI3961" s="42"/>
      <c r="AJ3961" s="42"/>
      <c r="AK3961" s="42"/>
      <c r="AL3961" s="42"/>
      <c r="AM3961" s="42"/>
      <c r="AN3961" s="42"/>
      <c r="AO3961" s="63" t="str">
        <f>IFERROR(__xludf.DUMMYFUNCTION("IF(ISBLANK(A3961),,IF(ISBLANK(S3961), A3961&amp;"";"", TEXTJOIN(CHAR(10), TRUE, A3961&amp;"";"", ARRAYFORMULA(VLOOKUP(SPLIT(S3961, "";"" &amp; CHAR(10)), $A:$AO, 41, FALSE)))))"),"")</f>
        <v/>
      </c>
      <c r="AP3961" s="89"/>
    </row>
    <row r="3962">
      <c r="A3962" s="42"/>
      <c r="B3962" s="42"/>
      <c r="C3962" s="42"/>
      <c r="D3962" s="42"/>
      <c r="E3962" s="39"/>
      <c r="F3962" s="9"/>
      <c r="G3962" s="9"/>
      <c r="H3962" s="9"/>
      <c r="I3962" s="9"/>
      <c r="J3962" s="9"/>
      <c r="K3962" s="9"/>
      <c r="L3962" s="9"/>
      <c r="M3962" s="9"/>
      <c r="N3962" s="9"/>
      <c r="O3962" s="9"/>
      <c r="P3962" s="9"/>
      <c r="Q3962" s="9"/>
      <c r="R3962" s="9"/>
      <c r="S3962" s="42"/>
      <c r="T3962" s="42"/>
      <c r="U3962" s="42"/>
      <c r="V3962" s="42"/>
      <c r="W3962" s="42"/>
      <c r="X3962" s="42"/>
      <c r="Y3962" s="42"/>
      <c r="Z3962" s="42"/>
      <c r="AA3962" s="42"/>
      <c r="AB3962" s="42"/>
      <c r="AC3962" s="42"/>
      <c r="AD3962" s="42"/>
      <c r="AE3962" s="42"/>
      <c r="AF3962" s="9"/>
      <c r="AG3962" s="9"/>
      <c r="AH3962" s="42"/>
      <c r="AI3962" s="42"/>
      <c r="AJ3962" s="42"/>
      <c r="AK3962" s="42"/>
      <c r="AL3962" s="42"/>
      <c r="AM3962" s="42"/>
      <c r="AN3962" s="42"/>
      <c r="AO3962" s="63" t="str">
        <f>IFERROR(__xludf.DUMMYFUNCTION("IF(ISBLANK(A3962),,IF(ISBLANK(S3962), A3962&amp;"";"", TEXTJOIN(CHAR(10), TRUE, A3962&amp;"";"", ARRAYFORMULA(VLOOKUP(SPLIT(S3962, "";"" &amp; CHAR(10)), $A:$AO, 41, FALSE)))))"),"")</f>
        <v/>
      </c>
      <c r="AP3962" s="89"/>
    </row>
    <row r="3963">
      <c r="A3963" s="42"/>
      <c r="B3963" s="42"/>
      <c r="C3963" s="42"/>
      <c r="D3963" s="42"/>
      <c r="E3963" s="39"/>
      <c r="F3963" s="9"/>
      <c r="G3963" s="9"/>
      <c r="H3963" s="9"/>
      <c r="I3963" s="9"/>
      <c r="J3963" s="9"/>
      <c r="K3963" s="9"/>
      <c r="L3963" s="9"/>
      <c r="M3963" s="9"/>
      <c r="N3963" s="9"/>
      <c r="O3963" s="9"/>
      <c r="P3963" s="9"/>
      <c r="Q3963" s="9"/>
      <c r="R3963" s="9"/>
      <c r="S3963" s="42"/>
      <c r="T3963" s="42"/>
      <c r="U3963" s="42"/>
      <c r="V3963" s="42"/>
      <c r="W3963" s="42"/>
      <c r="X3963" s="42"/>
      <c r="Y3963" s="42"/>
      <c r="Z3963" s="42"/>
      <c r="AA3963" s="42"/>
      <c r="AB3963" s="42"/>
      <c r="AC3963" s="42"/>
      <c r="AD3963" s="42"/>
      <c r="AE3963" s="42"/>
      <c r="AF3963" s="9"/>
      <c r="AG3963" s="9"/>
      <c r="AH3963" s="42"/>
      <c r="AI3963" s="42"/>
      <c r="AJ3963" s="42"/>
      <c r="AK3963" s="42"/>
      <c r="AL3963" s="42"/>
      <c r="AM3963" s="42"/>
      <c r="AN3963" s="42"/>
      <c r="AO3963" s="63" t="str">
        <f>IFERROR(__xludf.DUMMYFUNCTION("IF(ISBLANK(A3963),,IF(ISBLANK(S3963), A3963&amp;"";"", TEXTJOIN(CHAR(10), TRUE, A3963&amp;"";"", ARRAYFORMULA(VLOOKUP(SPLIT(S3963, "";"" &amp; CHAR(10)), $A:$AO, 41, FALSE)))))"),"")</f>
        <v/>
      </c>
      <c r="AP3963" s="89"/>
    </row>
    <row r="3964">
      <c r="A3964" s="42"/>
      <c r="B3964" s="42"/>
      <c r="C3964" s="42"/>
      <c r="D3964" s="42"/>
      <c r="E3964" s="39"/>
      <c r="F3964" s="9"/>
      <c r="G3964" s="9"/>
      <c r="H3964" s="9"/>
      <c r="I3964" s="9"/>
      <c r="J3964" s="9"/>
      <c r="K3964" s="9"/>
      <c r="L3964" s="9"/>
      <c r="M3964" s="9"/>
      <c r="N3964" s="9"/>
      <c r="O3964" s="9"/>
      <c r="P3964" s="9"/>
      <c r="Q3964" s="9"/>
      <c r="R3964" s="9"/>
      <c r="S3964" s="42"/>
      <c r="T3964" s="42"/>
      <c r="U3964" s="42"/>
      <c r="V3964" s="42"/>
      <c r="W3964" s="42"/>
      <c r="X3964" s="42"/>
      <c r="Y3964" s="42"/>
      <c r="Z3964" s="42"/>
      <c r="AA3964" s="42"/>
      <c r="AB3964" s="42"/>
      <c r="AC3964" s="42"/>
      <c r="AD3964" s="42"/>
      <c r="AE3964" s="42"/>
      <c r="AF3964" s="9"/>
      <c r="AG3964" s="9"/>
      <c r="AH3964" s="42"/>
      <c r="AI3964" s="42"/>
      <c r="AJ3964" s="42"/>
      <c r="AK3964" s="42"/>
      <c r="AL3964" s="42"/>
      <c r="AM3964" s="42"/>
      <c r="AN3964" s="42"/>
      <c r="AO3964" s="63" t="str">
        <f>IFERROR(__xludf.DUMMYFUNCTION("IF(ISBLANK(A3964),,IF(ISBLANK(S3964), A3964&amp;"";"", TEXTJOIN(CHAR(10), TRUE, A3964&amp;"";"", ARRAYFORMULA(VLOOKUP(SPLIT(S3964, "";"" &amp; CHAR(10)), $A:$AO, 41, FALSE)))))"),"")</f>
        <v/>
      </c>
      <c r="AP3964" s="89"/>
    </row>
    <row r="3965">
      <c r="A3965" s="42"/>
      <c r="B3965" s="42"/>
      <c r="C3965" s="42"/>
      <c r="D3965" s="42"/>
      <c r="E3965" s="39"/>
      <c r="F3965" s="9"/>
      <c r="G3965" s="9"/>
      <c r="H3965" s="9"/>
      <c r="I3965" s="9"/>
      <c r="J3965" s="9"/>
      <c r="K3965" s="9"/>
      <c r="L3965" s="9"/>
      <c r="M3965" s="9"/>
      <c r="N3965" s="9"/>
      <c r="O3965" s="9"/>
      <c r="P3965" s="9"/>
      <c r="Q3965" s="9"/>
      <c r="R3965" s="9"/>
      <c r="S3965" s="42"/>
      <c r="T3965" s="42"/>
      <c r="U3965" s="42"/>
      <c r="V3965" s="42"/>
      <c r="W3965" s="42"/>
      <c r="X3965" s="42"/>
      <c r="Y3965" s="42"/>
      <c r="Z3965" s="42"/>
      <c r="AA3965" s="42"/>
      <c r="AB3965" s="42"/>
      <c r="AC3965" s="42"/>
      <c r="AD3965" s="42"/>
      <c r="AE3965" s="42"/>
      <c r="AF3965" s="9"/>
      <c r="AG3965" s="9"/>
      <c r="AH3965" s="42"/>
      <c r="AI3965" s="42"/>
      <c r="AJ3965" s="42"/>
      <c r="AK3965" s="42"/>
      <c r="AL3965" s="42"/>
      <c r="AM3965" s="42"/>
      <c r="AN3965" s="42"/>
      <c r="AO3965" s="63" t="str">
        <f>IFERROR(__xludf.DUMMYFUNCTION("IF(ISBLANK(A3965),,IF(ISBLANK(S3965), A3965&amp;"";"", TEXTJOIN(CHAR(10), TRUE, A3965&amp;"";"", ARRAYFORMULA(VLOOKUP(SPLIT(S3965, "";"" &amp; CHAR(10)), $A:$AO, 41, FALSE)))))"),"")</f>
        <v/>
      </c>
      <c r="AP3965" s="89"/>
    </row>
    <row r="3966">
      <c r="A3966" s="42"/>
      <c r="B3966" s="42"/>
      <c r="C3966" s="42"/>
      <c r="D3966" s="42"/>
      <c r="E3966" s="39"/>
      <c r="F3966" s="9"/>
      <c r="G3966" s="9"/>
      <c r="H3966" s="9"/>
      <c r="I3966" s="9"/>
      <c r="J3966" s="9"/>
      <c r="K3966" s="9"/>
      <c r="L3966" s="9"/>
      <c r="M3966" s="9"/>
      <c r="N3966" s="9"/>
      <c r="O3966" s="9"/>
      <c r="P3966" s="9"/>
      <c r="Q3966" s="9"/>
      <c r="R3966" s="9"/>
      <c r="S3966" s="42"/>
      <c r="T3966" s="42"/>
      <c r="U3966" s="42"/>
      <c r="V3966" s="42"/>
      <c r="W3966" s="42"/>
      <c r="X3966" s="42"/>
      <c r="Y3966" s="42"/>
      <c r="Z3966" s="42"/>
      <c r="AA3966" s="42"/>
      <c r="AB3966" s="42"/>
      <c r="AC3966" s="42"/>
      <c r="AD3966" s="42"/>
      <c r="AE3966" s="42"/>
      <c r="AF3966" s="9"/>
      <c r="AG3966" s="9"/>
      <c r="AH3966" s="42"/>
      <c r="AI3966" s="42"/>
      <c r="AJ3966" s="42"/>
      <c r="AK3966" s="42"/>
      <c r="AL3966" s="42"/>
      <c r="AM3966" s="42"/>
      <c r="AN3966" s="42"/>
      <c r="AO3966" s="63" t="str">
        <f>IFERROR(__xludf.DUMMYFUNCTION("IF(ISBLANK(A3966),,IF(ISBLANK(S3966), A3966&amp;"";"", TEXTJOIN(CHAR(10), TRUE, A3966&amp;"";"", ARRAYFORMULA(VLOOKUP(SPLIT(S3966, "";"" &amp; CHAR(10)), $A:$AO, 41, FALSE)))))"),"")</f>
        <v/>
      </c>
      <c r="AP3966" s="89"/>
    </row>
    <row r="3967">
      <c r="A3967" s="42"/>
      <c r="B3967" s="42"/>
      <c r="C3967" s="42"/>
      <c r="D3967" s="42"/>
      <c r="E3967" s="39"/>
      <c r="F3967" s="9"/>
      <c r="G3967" s="9"/>
      <c r="H3967" s="9"/>
      <c r="I3967" s="9"/>
      <c r="J3967" s="9"/>
      <c r="K3967" s="9"/>
      <c r="L3967" s="9"/>
      <c r="M3967" s="9"/>
      <c r="N3967" s="9"/>
      <c r="O3967" s="9"/>
      <c r="P3967" s="9"/>
      <c r="Q3967" s="9"/>
      <c r="R3967" s="9"/>
      <c r="S3967" s="42"/>
      <c r="T3967" s="42"/>
      <c r="U3967" s="42"/>
      <c r="V3967" s="42"/>
      <c r="W3967" s="42"/>
      <c r="X3967" s="42"/>
      <c r="Y3967" s="42"/>
      <c r="Z3967" s="42"/>
      <c r="AA3967" s="42"/>
      <c r="AB3967" s="42"/>
      <c r="AC3967" s="42"/>
      <c r="AD3967" s="42"/>
      <c r="AE3967" s="42"/>
      <c r="AF3967" s="9"/>
      <c r="AG3967" s="9"/>
      <c r="AH3967" s="42"/>
      <c r="AI3967" s="42"/>
      <c r="AJ3967" s="42"/>
      <c r="AK3967" s="42"/>
      <c r="AL3967" s="42"/>
      <c r="AM3967" s="42"/>
      <c r="AN3967" s="42"/>
      <c r="AO3967" s="63" t="str">
        <f>IFERROR(__xludf.DUMMYFUNCTION("IF(ISBLANK(A3967),,IF(ISBLANK(S3967), A3967&amp;"";"", TEXTJOIN(CHAR(10), TRUE, A3967&amp;"";"", ARRAYFORMULA(VLOOKUP(SPLIT(S3967, "";"" &amp; CHAR(10)), $A:$AO, 41, FALSE)))))"),"")</f>
        <v/>
      </c>
      <c r="AP3967" s="89"/>
    </row>
    <row r="3968">
      <c r="A3968" s="42"/>
      <c r="B3968" s="42"/>
      <c r="C3968" s="42"/>
      <c r="D3968" s="42"/>
      <c r="E3968" s="39"/>
      <c r="F3968" s="9"/>
      <c r="G3968" s="9"/>
      <c r="H3968" s="9"/>
      <c r="I3968" s="9"/>
      <c r="J3968" s="9"/>
      <c r="K3968" s="9"/>
      <c r="L3968" s="9"/>
      <c r="M3968" s="9"/>
      <c r="N3968" s="9"/>
      <c r="O3968" s="9"/>
      <c r="P3968" s="9"/>
      <c r="Q3968" s="9"/>
      <c r="R3968" s="9"/>
      <c r="S3968" s="42"/>
      <c r="T3968" s="42"/>
      <c r="U3968" s="42"/>
      <c r="V3968" s="42"/>
      <c r="W3968" s="42"/>
      <c r="X3968" s="42"/>
      <c r="Y3968" s="42"/>
      <c r="Z3968" s="42"/>
      <c r="AA3968" s="42"/>
      <c r="AB3968" s="42"/>
      <c r="AC3968" s="42"/>
      <c r="AD3968" s="42"/>
      <c r="AE3968" s="42"/>
      <c r="AF3968" s="9"/>
      <c r="AG3968" s="9"/>
      <c r="AH3968" s="42"/>
      <c r="AI3968" s="42"/>
      <c r="AJ3968" s="42"/>
      <c r="AK3968" s="42"/>
      <c r="AL3968" s="42"/>
      <c r="AM3968" s="42"/>
      <c r="AN3968" s="42"/>
      <c r="AO3968" s="63" t="str">
        <f>IFERROR(__xludf.DUMMYFUNCTION("IF(ISBLANK(A3968),,IF(ISBLANK(S3968), A3968&amp;"";"", TEXTJOIN(CHAR(10), TRUE, A3968&amp;"";"", ARRAYFORMULA(VLOOKUP(SPLIT(S3968, "";"" &amp; CHAR(10)), $A:$AO, 41, FALSE)))))"),"")</f>
        <v/>
      </c>
      <c r="AP3968" s="89"/>
    </row>
    <row r="3969">
      <c r="A3969" s="42"/>
      <c r="B3969" s="42"/>
      <c r="C3969" s="42"/>
      <c r="D3969" s="42"/>
      <c r="E3969" s="39"/>
      <c r="F3969" s="9"/>
      <c r="G3969" s="9"/>
      <c r="H3969" s="9"/>
      <c r="I3969" s="9"/>
      <c r="J3969" s="9"/>
      <c r="K3969" s="9"/>
      <c r="L3969" s="9"/>
      <c r="M3969" s="9"/>
      <c r="N3969" s="9"/>
      <c r="O3969" s="9"/>
      <c r="P3969" s="9"/>
      <c r="Q3969" s="9"/>
      <c r="R3969" s="9"/>
      <c r="S3969" s="42"/>
      <c r="T3969" s="42"/>
      <c r="U3969" s="42"/>
      <c r="V3969" s="42"/>
      <c r="W3969" s="42"/>
      <c r="X3969" s="42"/>
      <c r="Y3969" s="42"/>
      <c r="Z3969" s="42"/>
      <c r="AA3969" s="42"/>
      <c r="AB3969" s="42"/>
      <c r="AC3969" s="42"/>
      <c r="AD3969" s="42"/>
      <c r="AE3969" s="42"/>
      <c r="AF3969" s="9"/>
      <c r="AG3969" s="9"/>
      <c r="AH3969" s="42"/>
      <c r="AI3969" s="42"/>
      <c r="AJ3969" s="42"/>
      <c r="AK3969" s="42"/>
      <c r="AL3969" s="42"/>
      <c r="AM3969" s="42"/>
      <c r="AN3969" s="42"/>
      <c r="AO3969" s="63" t="str">
        <f>IFERROR(__xludf.DUMMYFUNCTION("IF(ISBLANK(A3969),,IF(ISBLANK(S3969), A3969&amp;"";"", TEXTJOIN(CHAR(10), TRUE, A3969&amp;"";"", ARRAYFORMULA(VLOOKUP(SPLIT(S3969, "";"" &amp; CHAR(10)), $A:$AO, 41, FALSE)))))"),"")</f>
        <v/>
      </c>
      <c r="AP3969" s="89"/>
    </row>
    <row r="3970">
      <c r="A3970" s="42"/>
      <c r="B3970" s="42"/>
      <c r="C3970" s="42"/>
      <c r="D3970" s="42"/>
      <c r="E3970" s="39"/>
      <c r="F3970" s="9"/>
      <c r="G3970" s="9"/>
      <c r="H3970" s="9"/>
      <c r="I3970" s="9"/>
      <c r="J3970" s="9"/>
      <c r="K3970" s="9"/>
      <c r="L3970" s="9"/>
      <c r="M3970" s="9"/>
      <c r="N3970" s="9"/>
      <c r="O3970" s="9"/>
      <c r="P3970" s="9"/>
      <c r="Q3970" s="9"/>
      <c r="R3970" s="9"/>
      <c r="S3970" s="42"/>
      <c r="T3970" s="42"/>
      <c r="U3970" s="42"/>
      <c r="V3970" s="42"/>
      <c r="W3970" s="42"/>
      <c r="X3970" s="42"/>
      <c r="Y3970" s="42"/>
      <c r="Z3970" s="42"/>
      <c r="AA3970" s="42"/>
      <c r="AB3970" s="42"/>
      <c r="AC3970" s="42"/>
      <c r="AD3970" s="42"/>
      <c r="AE3970" s="42"/>
      <c r="AF3970" s="9"/>
      <c r="AG3970" s="9"/>
      <c r="AH3970" s="42"/>
      <c r="AI3970" s="42"/>
      <c r="AJ3970" s="42"/>
      <c r="AK3970" s="42"/>
      <c r="AL3970" s="42"/>
      <c r="AM3970" s="42"/>
      <c r="AN3970" s="42"/>
      <c r="AO3970" s="63" t="str">
        <f>IFERROR(__xludf.DUMMYFUNCTION("IF(ISBLANK(A3970),,IF(ISBLANK(S3970), A3970&amp;"";"", TEXTJOIN(CHAR(10), TRUE, A3970&amp;"";"", ARRAYFORMULA(VLOOKUP(SPLIT(S3970, "";"" &amp; CHAR(10)), $A:$AO, 41, FALSE)))))"),"")</f>
        <v/>
      </c>
      <c r="AP3970" s="89"/>
    </row>
    <row r="3971">
      <c r="A3971" s="42"/>
      <c r="B3971" s="42"/>
      <c r="C3971" s="42"/>
      <c r="D3971" s="42"/>
      <c r="E3971" s="39"/>
      <c r="F3971" s="9"/>
      <c r="G3971" s="9"/>
      <c r="H3971" s="9"/>
      <c r="I3971" s="9"/>
      <c r="J3971" s="9"/>
      <c r="K3971" s="9"/>
      <c r="L3971" s="9"/>
      <c r="M3971" s="9"/>
      <c r="N3971" s="9"/>
      <c r="O3971" s="9"/>
      <c r="P3971" s="9"/>
      <c r="Q3971" s="9"/>
      <c r="R3971" s="9"/>
      <c r="S3971" s="42"/>
      <c r="T3971" s="42"/>
      <c r="U3971" s="42"/>
      <c r="V3971" s="42"/>
      <c r="W3971" s="42"/>
      <c r="X3971" s="42"/>
      <c r="Y3971" s="42"/>
      <c r="Z3971" s="42"/>
      <c r="AA3971" s="42"/>
      <c r="AB3971" s="42"/>
      <c r="AC3971" s="42"/>
      <c r="AD3971" s="42"/>
      <c r="AE3971" s="42"/>
      <c r="AF3971" s="9"/>
      <c r="AG3971" s="9"/>
      <c r="AH3971" s="42"/>
      <c r="AI3971" s="42"/>
      <c r="AJ3971" s="42"/>
      <c r="AK3971" s="42"/>
      <c r="AL3971" s="42"/>
      <c r="AM3971" s="42"/>
      <c r="AN3971" s="42"/>
      <c r="AO3971" s="63" t="str">
        <f>IFERROR(__xludf.DUMMYFUNCTION("IF(ISBLANK(A3971),,IF(ISBLANK(S3971), A3971&amp;"";"", TEXTJOIN(CHAR(10), TRUE, A3971&amp;"";"", ARRAYFORMULA(VLOOKUP(SPLIT(S3971, "";"" &amp; CHAR(10)), $A:$AO, 41, FALSE)))))"),"")</f>
        <v/>
      </c>
      <c r="AP3971" s="89"/>
    </row>
    <row r="3972">
      <c r="A3972" s="42"/>
      <c r="B3972" s="42"/>
      <c r="C3972" s="42"/>
      <c r="D3972" s="42"/>
      <c r="E3972" s="39"/>
      <c r="F3972" s="9"/>
      <c r="G3972" s="9"/>
      <c r="H3972" s="9"/>
      <c r="I3972" s="9"/>
      <c r="J3972" s="9"/>
      <c r="K3972" s="9"/>
      <c r="L3972" s="9"/>
      <c r="M3972" s="9"/>
      <c r="N3972" s="9"/>
      <c r="O3972" s="9"/>
      <c r="P3972" s="9"/>
      <c r="Q3972" s="9"/>
      <c r="R3972" s="9"/>
      <c r="S3972" s="42"/>
      <c r="T3972" s="42"/>
      <c r="U3972" s="42"/>
      <c r="V3972" s="42"/>
      <c r="W3972" s="42"/>
      <c r="X3972" s="42"/>
      <c r="Y3972" s="42"/>
      <c r="Z3972" s="42"/>
      <c r="AA3972" s="42"/>
      <c r="AB3972" s="42"/>
      <c r="AC3972" s="42"/>
      <c r="AD3972" s="42"/>
      <c r="AE3972" s="42"/>
      <c r="AF3972" s="9"/>
      <c r="AG3972" s="9"/>
      <c r="AH3972" s="42"/>
      <c r="AI3972" s="42"/>
      <c r="AJ3972" s="42"/>
      <c r="AK3972" s="42"/>
      <c r="AL3972" s="42"/>
      <c r="AM3972" s="42"/>
      <c r="AN3972" s="42"/>
      <c r="AO3972" s="63" t="str">
        <f>IFERROR(__xludf.DUMMYFUNCTION("IF(ISBLANK(A3972),,IF(ISBLANK(S3972), A3972&amp;"";"", TEXTJOIN(CHAR(10), TRUE, A3972&amp;"";"", ARRAYFORMULA(VLOOKUP(SPLIT(S3972, "";"" &amp; CHAR(10)), $A:$AO, 41, FALSE)))))"),"")</f>
        <v/>
      </c>
      <c r="AP3972" s="89"/>
    </row>
    <row r="3973">
      <c r="A3973" s="42"/>
      <c r="B3973" s="42"/>
      <c r="C3973" s="42"/>
      <c r="D3973" s="42"/>
      <c r="E3973" s="39"/>
      <c r="F3973" s="9"/>
      <c r="G3973" s="9"/>
      <c r="H3973" s="9"/>
      <c r="I3973" s="9"/>
      <c r="J3973" s="9"/>
      <c r="K3973" s="9"/>
      <c r="L3973" s="9"/>
      <c r="M3973" s="9"/>
      <c r="N3973" s="9"/>
      <c r="O3973" s="9"/>
      <c r="P3973" s="9"/>
      <c r="Q3973" s="9"/>
      <c r="R3973" s="9"/>
      <c r="S3973" s="42"/>
      <c r="T3973" s="42"/>
      <c r="U3973" s="42"/>
      <c r="V3973" s="42"/>
      <c r="W3973" s="42"/>
      <c r="X3973" s="42"/>
      <c r="Y3973" s="42"/>
      <c r="Z3973" s="42"/>
      <c r="AA3973" s="42"/>
      <c r="AB3973" s="42"/>
      <c r="AC3973" s="42"/>
      <c r="AD3973" s="42"/>
      <c r="AE3973" s="42"/>
      <c r="AF3973" s="9"/>
      <c r="AG3973" s="9"/>
      <c r="AH3973" s="42"/>
      <c r="AI3973" s="42"/>
      <c r="AJ3973" s="42"/>
      <c r="AK3973" s="42"/>
      <c r="AL3973" s="42"/>
      <c r="AM3973" s="42"/>
      <c r="AN3973" s="42"/>
      <c r="AO3973" s="63" t="str">
        <f>IFERROR(__xludf.DUMMYFUNCTION("IF(ISBLANK(A3973),,IF(ISBLANK(S3973), A3973&amp;"";"", TEXTJOIN(CHAR(10), TRUE, A3973&amp;"";"", ARRAYFORMULA(VLOOKUP(SPLIT(S3973, "";"" &amp; CHAR(10)), $A:$AO, 41, FALSE)))))"),"")</f>
        <v/>
      </c>
      <c r="AP3973" s="89"/>
    </row>
    <row r="3974">
      <c r="A3974" s="42"/>
      <c r="B3974" s="42"/>
      <c r="C3974" s="42"/>
      <c r="D3974" s="42"/>
      <c r="E3974" s="39"/>
      <c r="F3974" s="9"/>
      <c r="G3974" s="9"/>
      <c r="H3974" s="9"/>
      <c r="I3974" s="9"/>
      <c r="J3974" s="9"/>
      <c r="K3974" s="9"/>
      <c r="L3974" s="9"/>
      <c r="M3974" s="9"/>
      <c r="N3974" s="9"/>
      <c r="O3974" s="9"/>
      <c r="P3974" s="9"/>
      <c r="Q3974" s="9"/>
      <c r="R3974" s="9"/>
      <c r="S3974" s="42"/>
      <c r="T3974" s="42"/>
      <c r="U3974" s="42"/>
      <c r="V3974" s="42"/>
      <c r="W3974" s="42"/>
      <c r="X3974" s="42"/>
      <c r="Y3974" s="42"/>
      <c r="Z3974" s="42"/>
      <c r="AA3974" s="42"/>
      <c r="AB3974" s="42"/>
      <c r="AC3974" s="42"/>
      <c r="AD3974" s="42"/>
      <c r="AE3974" s="42"/>
      <c r="AF3974" s="9"/>
      <c r="AG3974" s="9"/>
      <c r="AH3974" s="42"/>
      <c r="AI3974" s="42"/>
      <c r="AJ3974" s="42"/>
      <c r="AK3974" s="42"/>
      <c r="AL3974" s="42"/>
      <c r="AM3974" s="42"/>
      <c r="AN3974" s="42"/>
      <c r="AO3974" s="63" t="str">
        <f>IFERROR(__xludf.DUMMYFUNCTION("IF(ISBLANK(A3974),,IF(ISBLANK(S3974), A3974&amp;"";"", TEXTJOIN(CHAR(10), TRUE, A3974&amp;"";"", ARRAYFORMULA(VLOOKUP(SPLIT(S3974, "";"" &amp; CHAR(10)), $A:$AO, 41, FALSE)))))"),"")</f>
        <v/>
      </c>
      <c r="AP3974" s="89"/>
    </row>
    <row r="3975">
      <c r="A3975" s="42"/>
      <c r="B3975" s="42"/>
      <c r="C3975" s="42"/>
      <c r="D3975" s="42"/>
      <c r="E3975" s="39"/>
      <c r="F3975" s="9"/>
      <c r="G3975" s="9"/>
      <c r="H3975" s="9"/>
      <c r="I3975" s="9"/>
      <c r="J3975" s="9"/>
      <c r="K3975" s="9"/>
      <c r="L3975" s="9"/>
      <c r="M3975" s="9"/>
      <c r="N3975" s="9"/>
      <c r="O3975" s="9"/>
      <c r="P3975" s="9"/>
      <c r="Q3975" s="9"/>
      <c r="R3975" s="9"/>
      <c r="S3975" s="42"/>
      <c r="T3975" s="42"/>
      <c r="U3975" s="42"/>
      <c r="V3975" s="42"/>
      <c r="W3975" s="42"/>
      <c r="X3975" s="42"/>
      <c r="Y3975" s="42"/>
      <c r="Z3975" s="42"/>
      <c r="AA3975" s="42"/>
      <c r="AB3975" s="42"/>
      <c r="AC3975" s="42"/>
      <c r="AD3975" s="42"/>
      <c r="AE3975" s="42"/>
      <c r="AF3975" s="9"/>
      <c r="AG3975" s="9"/>
      <c r="AH3975" s="42"/>
      <c r="AI3975" s="42"/>
      <c r="AJ3975" s="42"/>
      <c r="AK3975" s="42"/>
      <c r="AL3975" s="42"/>
      <c r="AM3975" s="42"/>
      <c r="AN3975" s="42"/>
      <c r="AO3975" s="63" t="str">
        <f>IFERROR(__xludf.DUMMYFUNCTION("IF(ISBLANK(A3975),,IF(ISBLANK(S3975), A3975&amp;"";"", TEXTJOIN(CHAR(10), TRUE, A3975&amp;"";"", ARRAYFORMULA(VLOOKUP(SPLIT(S3975, "";"" &amp; CHAR(10)), $A:$AO, 41, FALSE)))))"),"")</f>
        <v/>
      </c>
      <c r="AP3975" s="89"/>
    </row>
    <row r="3976">
      <c r="A3976" s="42"/>
      <c r="B3976" s="42"/>
      <c r="C3976" s="42"/>
      <c r="D3976" s="42"/>
      <c r="E3976" s="39"/>
      <c r="F3976" s="9"/>
      <c r="G3976" s="9"/>
      <c r="H3976" s="9"/>
      <c r="I3976" s="9"/>
      <c r="J3976" s="9"/>
      <c r="K3976" s="9"/>
      <c r="L3976" s="9"/>
      <c r="M3976" s="9"/>
      <c r="N3976" s="9"/>
      <c r="O3976" s="9"/>
      <c r="P3976" s="9"/>
      <c r="Q3976" s="9"/>
      <c r="R3976" s="9"/>
      <c r="S3976" s="42"/>
      <c r="T3976" s="42"/>
      <c r="U3976" s="42"/>
      <c r="V3976" s="42"/>
      <c r="W3976" s="42"/>
      <c r="X3976" s="42"/>
      <c r="Y3976" s="42"/>
      <c r="Z3976" s="42"/>
      <c r="AA3976" s="42"/>
      <c r="AB3976" s="42"/>
      <c r="AC3976" s="42"/>
      <c r="AD3976" s="42"/>
      <c r="AE3976" s="42"/>
      <c r="AF3976" s="9"/>
      <c r="AG3976" s="9"/>
      <c r="AH3976" s="42"/>
      <c r="AI3976" s="42"/>
      <c r="AJ3976" s="42"/>
      <c r="AK3976" s="42"/>
      <c r="AL3976" s="42"/>
      <c r="AM3976" s="42"/>
      <c r="AN3976" s="42"/>
      <c r="AO3976" s="63" t="str">
        <f>IFERROR(__xludf.DUMMYFUNCTION("IF(ISBLANK(A3976),,IF(ISBLANK(S3976), A3976&amp;"";"", TEXTJOIN(CHAR(10), TRUE, A3976&amp;"";"", ARRAYFORMULA(VLOOKUP(SPLIT(S3976, "";"" &amp; CHAR(10)), $A:$AO, 41, FALSE)))))"),"")</f>
        <v/>
      </c>
      <c r="AP3976" s="89"/>
    </row>
    <row r="3977">
      <c r="A3977" s="42"/>
      <c r="B3977" s="42"/>
      <c r="C3977" s="42"/>
      <c r="D3977" s="42"/>
      <c r="E3977" s="39"/>
      <c r="F3977" s="9"/>
      <c r="G3977" s="9"/>
      <c r="H3977" s="9"/>
      <c r="I3977" s="9"/>
      <c r="J3977" s="9"/>
      <c r="K3977" s="9"/>
      <c r="L3977" s="9"/>
      <c r="M3977" s="9"/>
      <c r="N3977" s="9"/>
      <c r="O3977" s="9"/>
      <c r="P3977" s="9"/>
      <c r="Q3977" s="9"/>
      <c r="R3977" s="9"/>
      <c r="S3977" s="42"/>
      <c r="T3977" s="42"/>
      <c r="U3977" s="42"/>
      <c r="V3977" s="42"/>
      <c r="W3977" s="42"/>
      <c r="X3977" s="42"/>
      <c r="Y3977" s="42"/>
      <c r="Z3977" s="42"/>
      <c r="AA3977" s="42"/>
      <c r="AB3977" s="42"/>
      <c r="AC3977" s="42"/>
      <c r="AD3977" s="42"/>
      <c r="AE3977" s="42"/>
      <c r="AF3977" s="9"/>
      <c r="AG3977" s="9"/>
      <c r="AH3977" s="42"/>
      <c r="AI3977" s="42"/>
      <c r="AJ3977" s="42"/>
      <c r="AK3977" s="42"/>
      <c r="AL3977" s="42"/>
      <c r="AM3977" s="42"/>
      <c r="AN3977" s="42"/>
      <c r="AO3977" s="63" t="str">
        <f>IFERROR(__xludf.DUMMYFUNCTION("IF(ISBLANK(A3977),,IF(ISBLANK(S3977), A3977&amp;"";"", TEXTJOIN(CHAR(10), TRUE, A3977&amp;"";"", ARRAYFORMULA(VLOOKUP(SPLIT(S3977, "";"" &amp; CHAR(10)), $A:$AO, 41, FALSE)))))"),"")</f>
        <v/>
      </c>
      <c r="AP3977" s="89"/>
    </row>
    <row r="3978">
      <c r="A3978" s="42"/>
      <c r="B3978" s="42"/>
      <c r="C3978" s="42"/>
      <c r="D3978" s="42"/>
      <c r="E3978" s="39"/>
      <c r="F3978" s="9"/>
      <c r="G3978" s="9"/>
      <c r="H3978" s="9"/>
      <c r="I3978" s="9"/>
      <c r="J3978" s="9"/>
      <c r="K3978" s="9"/>
      <c r="L3978" s="9"/>
      <c r="M3978" s="9"/>
      <c r="N3978" s="9"/>
      <c r="O3978" s="9"/>
      <c r="P3978" s="9"/>
      <c r="Q3978" s="9"/>
      <c r="R3978" s="9"/>
      <c r="S3978" s="42"/>
      <c r="T3978" s="42"/>
      <c r="U3978" s="42"/>
      <c r="V3978" s="42"/>
      <c r="W3978" s="42"/>
      <c r="X3978" s="42"/>
      <c r="Y3978" s="42"/>
      <c r="Z3978" s="42"/>
      <c r="AA3978" s="42"/>
      <c r="AB3978" s="42"/>
      <c r="AC3978" s="42"/>
      <c r="AD3978" s="42"/>
      <c r="AE3978" s="42"/>
      <c r="AF3978" s="9"/>
      <c r="AG3978" s="9"/>
      <c r="AH3978" s="42"/>
      <c r="AI3978" s="42"/>
      <c r="AJ3978" s="42"/>
      <c r="AK3978" s="42"/>
      <c r="AL3978" s="42"/>
      <c r="AM3978" s="42"/>
      <c r="AN3978" s="42"/>
      <c r="AO3978" s="63" t="str">
        <f>IFERROR(__xludf.DUMMYFUNCTION("IF(ISBLANK(A3978),,IF(ISBLANK(S3978), A3978&amp;"";"", TEXTJOIN(CHAR(10), TRUE, A3978&amp;"";"", ARRAYFORMULA(VLOOKUP(SPLIT(S3978, "";"" &amp; CHAR(10)), $A:$AO, 41, FALSE)))))"),"")</f>
        <v/>
      </c>
      <c r="AP3978" s="89"/>
    </row>
    <row r="3979">
      <c r="A3979" s="42"/>
      <c r="B3979" s="42"/>
      <c r="C3979" s="42"/>
      <c r="D3979" s="42"/>
      <c r="E3979" s="39"/>
      <c r="F3979" s="9"/>
      <c r="G3979" s="9"/>
      <c r="H3979" s="9"/>
      <c r="I3979" s="9"/>
      <c r="J3979" s="9"/>
      <c r="K3979" s="9"/>
      <c r="L3979" s="9"/>
      <c r="M3979" s="9"/>
      <c r="N3979" s="9"/>
      <c r="O3979" s="9"/>
      <c r="P3979" s="9"/>
      <c r="Q3979" s="9"/>
      <c r="R3979" s="9"/>
      <c r="S3979" s="42"/>
      <c r="T3979" s="42"/>
      <c r="U3979" s="42"/>
      <c r="V3979" s="42"/>
      <c r="W3979" s="42"/>
      <c r="X3979" s="42"/>
      <c r="Y3979" s="42"/>
      <c r="Z3979" s="42"/>
      <c r="AA3979" s="42"/>
      <c r="AB3979" s="42"/>
      <c r="AC3979" s="42"/>
      <c r="AD3979" s="42"/>
      <c r="AE3979" s="42"/>
      <c r="AF3979" s="9"/>
      <c r="AG3979" s="9"/>
      <c r="AH3979" s="42"/>
      <c r="AI3979" s="42"/>
      <c r="AJ3979" s="42"/>
      <c r="AK3979" s="42"/>
      <c r="AL3979" s="42"/>
      <c r="AM3979" s="42"/>
      <c r="AN3979" s="42"/>
      <c r="AO3979" s="63" t="str">
        <f>IFERROR(__xludf.DUMMYFUNCTION("IF(ISBLANK(A3979),,IF(ISBLANK(S3979), A3979&amp;"";"", TEXTJOIN(CHAR(10), TRUE, A3979&amp;"";"", ARRAYFORMULA(VLOOKUP(SPLIT(S3979, "";"" &amp; CHAR(10)), $A:$AO, 41, FALSE)))))"),"")</f>
        <v/>
      </c>
      <c r="AP3979" s="89"/>
    </row>
    <row r="3980">
      <c r="A3980" s="42"/>
      <c r="B3980" s="42"/>
      <c r="C3980" s="42"/>
      <c r="D3980" s="42"/>
      <c r="E3980" s="39"/>
      <c r="F3980" s="9"/>
      <c r="G3980" s="9"/>
      <c r="H3980" s="9"/>
      <c r="I3980" s="9"/>
      <c r="J3980" s="9"/>
      <c r="K3980" s="9"/>
      <c r="L3980" s="9"/>
      <c r="M3980" s="9"/>
      <c r="N3980" s="9"/>
      <c r="O3980" s="9"/>
      <c r="P3980" s="9"/>
      <c r="Q3980" s="9"/>
      <c r="R3980" s="9"/>
      <c r="S3980" s="42"/>
      <c r="T3980" s="42"/>
      <c r="U3980" s="42"/>
      <c r="V3980" s="42"/>
      <c r="W3980" s="42"/>
      <c r="X3980" s="42"/>
      <c r="Y3980" s="42"/>
      <c r="Z3980" s="42"/>
      <c r="AA3980" s="42"/>
      <c r="AB3980" s="42"/>
      <c r="AC3980" s="42"/>
      <c r="AD3980" s="42"/>
      <c r="AE3980" s="42"/>
      <c r="AF3980" s="9"/>
      <c r="AG3980" s="9"/>
      <c r="AH3980" s="42"/>
      <c r="AI3980" s="42"/>
      <c r="AJ3980" s="42"/>
      <c r="AK3980" s="42"/>
      <c r="AL3980" s="42"/>
      <c r="AM3980" s="42"/>
      <c r="AN3980" s="42"/>
      <c r="AO3980" s="63" t="str">
        <f>IFERROR(__xludf.DUMMYFUNCTION("IF(ISBLANK(A3980),,IF(ISBLANK(S3980), A3980&amp;"";"", TEXTJOIN(CHAR(10), TRUE, A3980&amp;"";"", ARRAYFORMULA(VLOOKUP(SPLIT(S3980, "";"" &amp; CHAR(10)), $A:$AO, 41, FALSE)))))"),"")</f>
        <v/>
      </c>
      <c r="AP3980" s="89"/>
    </row>
    <row r="3981">
      <c r="A3981" s="42"/>
      <c r="B3981" s="42"/>
      <c r="C3981" s="42"/>
      <c r="D3981" s="42"/>
      <c r="E3981" s="39"/>
      <c r="F3981" s="9"/>
      <c r="G3981" s="9"/>
      <c r="H3981" s="9"/>
      <c r="I3981" s="9"/>
      <c r="J3981" s="9"/>
      <c r="K3981" s="9"/>
      <c r="L3981" s="9"/>
      <c r="M3981" s="9"/>
      <c r="N3981" s="9"/>
      <c r="O3981" s="9"/>
      <c r="P3981" s="9"/>
      <c r="Q3981" s="9"/>
      <c r="R3981" s="9"/>
      <c r="S3981" s="42"/>
      <c r="T3981" s="42"/>
      <c r="U3981" s="42"/>
      <c r="V3981" s="42"/>
      <c r="W3981" s="42"/>
      <c r="X3981" s="42"/>
      <c r="Y3981" s="42"/>
      <c r="Z3981" s="42"/>
      <c r="AA3981" s="42"/>
      <c r="AB3981" s="42"/>
      <c r="AC3981" s="42"/>
      <c r="AD3981" s="42"/>
      <c r="AE3981" s="42"/>
      <c r="AF3981" s="9"/>
      <c r="AG3981" s="9"/>
      <c r="AH3981" s="42"/>
      <c r="AI3981" s="42"/>
      <c r="AJ3981" s="42"/>
      <c r="AK3981" s="42"/>
      <c r="AL3981" s="42"/>
      <c r="AM3981" s="42"/>
      <c r="AN3981" s="42"/>
      <c r="AO3981" s="63" t="str">
        <f>IFERROR(__xludf.DUMMYFUNCTION("IF(ISBLANK(A3981),,IF(ISBLANK(S3981), A3981&amp;"";"", TEXTJOIN(CHAR(10), TRUE, A3981&amp;"";"", ARRAYFORMULA(VLOOKUP(SPLIT(S3981, "";"" &amp; CHAR(10)), $A:$AO, 41, FALSE)))))"),"")</f>
        <v/>
      </c>
      <c r="AP3981" s="89"/>
    </row>
    <row r="3982">
      <c r="A3982" s="42"/>
      <c r="B3982" s="42"/>
      <c r="C3982" s="42"/>
      <c r="D3982" s="42"/>
      <c r="E3982" s="39"/>
      <c r="F3982" s="9"/>
      <c r="G3982" s="9"/>
      <c r="H3982" s="9"/>
      <c r="I3982" s="9"/>
      <c r="J3982" s="9"/>
      <c r="K3982" s="9"/>
      <c r="L3982" s="9"/>
      <c r="M3982" s="9"/>
      <c r="N3982" s="9"/>
      <c r="O3982" s="9"/>
      <c r="P3982" s="9"/>
      <c r="Q3982" s="9"/>
      <c r="R3982" s="9"/>
      <c r="S3982" s="42"/>
      <c r="T3982" s="42"/>
      <c r="U3982" s="42"/>
      <c r="V3982" s="42"/>
      <c r="W3982" s="42"/>
      <c r="X3982" s="42"/>
      <c r="Y3982" s="42"/>
      <c r="Z3982" s="42"/>
      <c r="AA3982" s="42"/>
      <c r="AB3982" s="42"/>
      <c r="AC3982" s="42"/>
      <c r="AD3982" s="42"/>
      <c r="AE3982" s="42"/>
      <c r="AF3982" s="9"/>
      <c r="AG3982" s="9"/>
      <c r="AH3982" s="42"/>
      <c r="AI3982" s="42"/>
      <c r="AJ3982" s="42"/>
      <c r="AK3982" s="42"/>
      <c r="AL3982" s="42"/>
      <c r="AM3982" s="42"/>
      <c r="AN3982" s="42"/>
      <c r="AO3982" s="63" t="str">
        <f>IFERROR(__xludf.DUMMYFUNCTION("IF(ISBLANK(A3982),,IF(ISBLANK(S3982), A3982&amp;"";"", TEXTJOIN(CHAR(10), TRUE, A3982&amp;"";"", ARRAYFORMULA(VLOOKUP(SPLIT(S3982, "";"" &amp; CHAR(10)), $A:$AO, 41, FALSE)))))"),"")</f>
        <v/>
      </c>
      <c r="AP3982" s="89"/>
    </row>
    <row r="3983">
      <c r="A3983" s="42"/>
      <c r="B3983" s="42"/>
      <c r="C3983" s="42"/>
      <c r="D3983" s="42"/>
      <c r="E3983" s="39"/>
      <c r="F3983" s="9"/>
      <c r="G3983" s="9"/>
      <c r="H3983" s="9"/>
      <c r="I3983" s="9"/>
      <c r="J3983" s="9"/>
      <c r="K3983" s="9"/>
      <c r="L3983" s="9"/>
      <c r="M3983" s="9"/>
      <c r="N3983" s="9"/>
      <c r="O3983" s="9"/>
      <c r="P3983" s="9"/>
      <c r="Q3983" s="9"/>
      <c r="R3983" s="9"/>
      <c r="S3983" s="42"/>
      <c r="T3983" s="42"/>
      <c r="U3983" s="42"/>
      <c r="V3983" s="42"/>
      <c r="W3983" s="42"/>
      <c r="X3983" s="42"/>
      <c r="Y3983" s="42"/>
      <c r="Z3983" s="42"/>
      <c r="AA3983" s="42"/>
      <c r="AB3983" s="42"/>
      <c r="AC3983" s="42"/>
      <c r="AD3983" s="42"/>
      <c r="AE3983" s="42"/>
      <c r="AF3983" s="9"/>
      <c r="AG3983" s="9"/>
      <c r="AH3983" s="42"/>
      <c r="AI3983" s="42"/>
      <c r="AJ3983" s="42"/>
      <c r="AK3983" s="42"/>
      <c r="AL3983" s="42"/>
      <c r="AM3983" s="42"/>
      <c r="AN3983" s="42"/>
      <c r="AO3983" s="63" t="str">
        <f>IFERROR(__xludf.DUMMYFUNCTION("IF(ISBLANK(A3983),,IF(ISBLANK(S3983), A3983&amp;"";"", TEXTJOIN(CHAR(10), TRUE, A3983&amp;"";"", ARRAYFORMULA(VLOOKUP(SPLIT(S3983, "";"" &amp; CHAR(10)), $A:$AO, 41, FALSE)))))"),"")</f>
        <v/>
      </c>
      <c r="AP3983" s="89"/>
    </row>
    <row r="3984">
      <c r="A3984" s="42"/>
      <c r="B3984" s="42"/>
      <c r="C3984" s="42"/>
      <c r="D3984" s="42"/>
      <c r="E3984" s="39"/>
      <c r="F3984" s="9"/>
      <c r="G3984" s="9"/>
      <c r="H3984" s="9"/>
      <c r="I3984" s="9"/>
      <c r="J3984" s="9"/>
      <c r="K3984" s="9"/>
      <c r="L3984" s="9"/>
      <c r="M3984" s="9"/>
      <c r="N3984" s="9"/>
      <c r="O3984" s="9"/>
      <c r="P3984" s="9"/>
      <c r="Q3984" s="9"/>
      <c r="R3984" s="9"/>
      <c r="S3984" s="42"/>
      <c r="T3984" s="42"/>
      <c r="U3984" s="42"/>
      <c r="V3984" s="42"/>
      <c r="W3984" s="42"/>
      <c r="X3984" s="42"/>
      <c r="Y3984" s="42"/>
      <c r="Z3984" s="42"/>
      <c r="AA3984" s="42"/>
      <c r="AB3984" s="42"/>
      <c r="AC3984" s="42"/>
      <c r="AD3984" s="42"/>
      <c r="AE3984" s="42"/>
      <c r="AF3984" s="9"/>
      <c r="AG3984" s="9"/>
      <c r="AH3984" s="42"/>
      <c r="AI3984" s="42"/>
      <c r="AJ3984" s="42"/>
      <c r="AK3984" s="42"/>
      <c r="AL3984" s="42"/>
      <c r="AM3984" s="42"/>
      <c r="AN3984" s="42"/>
      <c r="AO3984" s="63" t="str">
        <f>IFERROR(__xludf.DUMMYFUNCTION("IF(ISBLANK(A3984),,IF(ISBLANK(S3984), A3984&amp;"";"", TEXTJOIN(CHAR(10), TRUE, A3984&amp;"";"", ARRAYFORMULA(VLOOKUP(SPLIT(S3984, "";"" &amp; CHAR(10)), $A:$AO, 41, FALSE)))))"),"")</f>
        <v/>
      </c>
      <c r="AP3984" s="89"/>
    </row>
    <row r="3985">
      <c r="A3985" s="42"/>
      <c r="B3985" s="42"/>
      <c r="C3985" s="42"/>
      <c r="D3985" s="42"/>
      <c r="E3985" s="39"/>
      <c r="F3985" s="9"/>
      <c r="G3985" s="9"/>
      <c r="H3985" s="9"/>
      <c r="I3985" s="9"/>
      <c r="J3985" s="9"/>
      <c r="K3985" s="9"/>
      <c r="L3985" s="9"/>
      <c r="M3985" s="9"/>
      <c r="N3985" s="9"/>
      <c r="O3985" s="9"/>
      <c r="P3985" s="9"/>
      <c r="Q3985" s="9"/>
      <c r="R3985" s="9"/>
      <c r="S3985" s="42"/>
      <c r="T3985" s="42"/>
      <c r="U3985" s="42"/>
      <c r="V3985" s="42"/>
      <c r="W3985" s="42"/>
      <c r="X3985" s="42"/>
      <c r="Y3985" s="42"/>
      <c r="Z3985" s="42"/>
      <c r="AA3985" s="42"/>
      <c r="AB3985" s="42"/>
      <c r="AC3985" s="42"/>
      <c r="AD3985" s="42"/>
      <c r="AE3985" s="42"/>
      <c r="AF3985" s="9"/>
      <c r="AG3985" s="9"/>
      <c r="AH3985" s="42"/>
      <c r="AI3985" s="42"/>
      <c r="AJ3985" s="42"/>
      <c r="AK3985" s="42"/>
      <c r="AL3985" s="42"/>
      <c r="AM3985" s="42"/>
      <c r="AN3985" s="42"/>
      <c r="AO3985" s="63" t="str">
        <f>IFERROR(__xludf.DUMMYFUNCTION("IF(ISBLANK(A3985),,IF(ISBLANK(S3985), A3985&amp;"";"", TEXTJOIN(CHAR(10), TRUE, A3985&amp;"";"", ARRAYFORMULA(VLOOKUP(SPLIT(S3985, "";"" &amp; CHAR(10)), $A:$AO, 41, FALSE)))))"),"")</f>
        <v/>
      </c>
      <c r="AP3985" s="89"/>
    </row>
    <row r="3986">
      <c r="A3986" s="42"/>
      <c r="B3986" s="42"/>
      <c r="C3986" s="42"/>
      <c r="D3986" s="42"/>
      <c r="E3986" s="39"/>
      <c r="F3986" s="9"/>
      <c r="G3986" s="9"/>
      <c r="H3986" s="9"/>
      <c r="I3986" s="9"/>
      <c r="J3986" s="9"/>
      <c r="K3986" s="9"/>
      <c r="L3986" s="9"/>
      <c r="M3986" s="9"/>
      <c r="N3986" s="9"/>
      <c r="O3986" s="9"/>
      <c r="P3986" s="9"/>
      <c r="Q3986" s="9"/>
      <c r="R3986" s="9"/>
      <c r="S3986" s="42"/>
      <c r="T3986" s="42"/>
      <c r="U3986" s="42"/>
      <c r="V3986" s="42"/>
      <c r="W3986" s="42"/>
      <c r="X3986" s="42"/>
      <c r="Y3986" s="42"/>
      <c r="Z3986" s="42"/>
      <c r="AA3986" s="42"/>
      <c r="AB3986" s="42"/>
      <c r="AC3986" s="42"/>
      <c r="AD3986" s="42"/>
      <c r="AE3986" s="42"/>
      <c r="AF3986" s="9"/>
      <c r="AG3986" s="9"/>
      <c r="AH3986" s="42"/>
      <c r="AI3986" s="42"/>
      <c r="AJ3986" s="42"/>
      <c r="AK3986" s="42"/>
      <c r="AL3986" s="42"/>
      <c r="AM3986" s="42"/>
      <c r="AN3986" s="42"/>
      <c r="AO3986" s="63" t="str">
        <f>IFERROR(__xludf.DUMMYFUNCTION("IF(ISBLANK(A3986),,IF(ISBLANK(S3986), A3986&amp;"";"", TEXTJOIN(CHAR(10), TRUE, A3986&amp;"";"", ARRAYFORMULA(VLOOKUP(SPLIT(S3986, "";"" &amp; CHAR(10)), $A:$AO, 41, FALSE)))))"),"")</f>
        <v/>
      </c>
      <c r="AP3986" s="89"/>
    </row>
    <row r="3987">
      <c r="A3987" s="42"/>
      <c r="B3987" s="42"/>
      <c r="C3987" s="42"/>
      <c r="D3987" s="42"/>
      <c r="E3987" s="39"/>
      <c r="F3987" s="9"/>
      <c r="G3987" s="9"/>
      <c r="H3987" s="9"/>
      <c r="I3987" s="9"/>
      <c r="J3987" s="9"/>
      <c r="K3987" s="9"/>
      <c r="L3987" s="9"/>
      <c r="M3987" s="9"/>
      <c r="N3987" s="9"/>
      <c r="O3987" s="9"/>
      <c r="P3987" s="9"/>
      <c r="Q3987" s="9"/>
      <c r="R3987" s="9"/>
      <c r="S3987" s="42"/>
      <c r="T3987" s="42"/>
      <c r="U3987" s="42"/>
      <c r="V3987" s="42"/>
      <c r="W3987" s="42"/>
      <c r="X3987" s="42"/>
      <c r="Y3987" s="42"/>
      <c r="Z3987" s="42"/>
      <c r="AA3987" s="42"/>
      <c r="AB3987" s="42"/>
      <c r="AC3987" s="42"/>
      <c r="AD3987" s="42"/>
      <c r="AE3987" s="42"/>
      <c r="AF3987" s="9"/>
      <c r="AG3987" s="9"/>
      <c r="AH3987" s="42"/>
      <c r="AI3987" s="42"/>
      <c r="AJ3987" s="42"/>
      <c r="AK3987" s="42"/>
      <c r="AL3987" s="42"/>
      <c r="AM3987" s="42"/>
      <c r="AN3987" s="42"/>
      <c r="AO3987" s="63" t="str">
        <f>IFERROR(__xludf.DUMMYFUNCTION("IF(ISBLANK(A3987),,IF(ISBLANK(S3987), A3987&amp;"";"", TEXTJOIN(CHAR(10), TRUE, A3987&amp;"";"", ARRAYFORMULA(VLOOKUP(SPLIT(S3987, "";"" &amp; CHAR(10)), $A:$AO, 41, FALSE)))))"),"")</f>
        <v/>
      </c>
      <c r="AP3987" s="89"/>
    </row>
    <row r="3988">
      <c r="A3988" s="42"/>
      <c r="B3988" s="42"/>
      <c r="C3988" s="42"/>
      <c r="D3988" s="42"/>
      <c r="E3988" s="39"/>
      <c r="F3988" s="9"/>
      <c r="G3988" s="9"/>
      <c r="H3988" s="9"/>
      <c r="I3988" s="9"/>
      <c r="J3988" s="9"/>
      <c r="K3988" s="9"/>
      <c r="L3988" s="9"/>
      <c r="M3988" s="9"/>
      <c r="N3988" s="9"/>
      <c r="O3988" s="9"/>
      <c r="P3988" s="9"/>
      <c r="Q3988" s="9"/>
      <c r="R3988" s="9"/>
      <c r="S3988" s="42"/>
      <c r="T3988" s="42"/>
      <c r="U3988" s="42"/>
      <c r="V3988" s="42"/>
      <c r="W3988" s="42"/>
      <c r="X3988" s="42"/>
      <c r="Y3988" s="42"/>
      <c r="Z3988" s="42"/>
      <c r="AA3988" s="42"/>
      <c r="AB3988" s="42"/>
      <c r="AC3988" s="42"/>
      <c r="AD3988" s="42"/>
      <c r="AE3988" s="42"/>
      <c r="AF3988" s="9"/>
      <c r="AG3988" s="9"/>
      <c r="AH3988" s="42"/>
      <c r="AI3988" s="42"/>
      <c r="AJ3988" s="42"/>
      <c r="AK3988" s="42"/>
      <c r="AL3988" s="42"/>
      <c r="AM3988" s="42"/>
      <c r="AN3988" s="42"/>
      <c r="AO3988" s="63" t="str">
        <f>IFERROR(__xludf.DUMMYFUNCTION("IF(ISBLANK(A3988),,IF(ISBLANK(S3988), A3988&amp;"";"", TEXTJOIN(CHAR(10), TRUE, A3988&amp;"";"", ARRAYFORMULA(VLOOKUP(SPLIT(S3988, "";"" &amp; CHAR(10)), $A:$AO, 41, FALSE)))))"),"")</f>
        <v/>
      </c>
      <c r="AP3988" s="89"/>
    </row>
    <row r="3989">
      <c r="A3989" s="42"/>
      <c r="B3989" s="42"/>
      <c r="C3989" s="42"/>
      <c r="D3989" s="42"/>
      <c r="E3989" s="39"/>
      <c r="F3989" s="9"/>
      <c r="G3989" s="9"/>
      <c r="H3989" s="9"/>
      <c r="I3989" s="9"/>
      <c r="J3989" s="9"/>
      <c r="K3989" s="9"/>
      <c r="L3989" s="9"/>
      <c r="M3989" s="9"/>
      <c r="N3989" s="9"/>
      <c r="O3989" s="9"/>
      <c r="P3989" s="9"/>
      <c r="Q3989" s="9"/>
      <c r="R3989" s="9"/>
      <c r="S3989" s="42"/>
      <c r="T3989" s="42"/>
      <c r="U3989" s="42"/>
      <c r="V3989" s="42"/>
      <c r="W3989" s="42"/>
      <c r="X3989" s="42"/>
      <c r="Y3989" s="42"/>
      <c r="Z3989" s="42"/>
      <c r="AA3989" s="42"/>
      <c r="AB3989" s="42"/>
      <c r="AC3989" s="42"/>
      <c r="AD3989" s="42"/>
      <c r="AE3989" s="42"/>
      <c r="AF3989" s="9"/>
      <c r="AG3989" s="9"/>
      <c r="AH3989" s="42"/>
      <c r="AI3989" s="42"/>
      <c r="AJ3989" s="42"/>
      <c r="AK3989" s="42"/>
      <c r="AL3989" s="42"/>
      <c r="AM3989" s="42"/>
      <c r="AN3989" s="42"/>
      <c r="AO3989" s="63" t="str">
        <f>IFERROR(__xludf.DUMMYFUNCTION("IF(ISBLANK(A3989),,IF(ISBLANK(S3989), A3989&amp;"";"", TEXTJOIN(CHAR(10), TRUE, A3989&amp;"";"", ARRAYFORMULA(VLOOKUP(SPLIT(S3989, "";"" &amp; CHAR(10)), $A:$AO, 41, FALSE)))))"),"")</f>
        <v/>
      </c>
      <c r="AP3989" s="89"/>
    </row>
    <row r="3990">
      <c r="A3990" s="42"/>
      <c r="B3990" s="42"/>
      <c r="C3990" s="42"/>
      <c r="D3990" s="42"/>
      <c r="E3990" s="39"/>
      <c r="F3990" s="9"/>
      <c r="G3990" s="9"/>
      <c r="H3990" s="9"/>
      <c r="I3990" s="9"/>
      <c r="J3990" s="9"/>
      <c r="K3990" s="9"/>
      <c r="L3990" s="9"/>
      <c r="M3990" s="9"/>
      <c r="N3990" s="9"/>
      <c r="O3990" s="9"/>
      <c r="P3990" s="9"/>
      <c r="Q3990" s="9"/>
      <c r="R3990" s="9"/>
      <c r="S3990" s="42"/>
      <c r="T3990" s="42"/>
      <c r="U3990" s="42"/>
      <c r="V3990" s="42"/>
      <c r="W3990" s="42"/>
      <c r="X3990" s="42"/>
      <c r="Y3990" s="42"/>
      <c r="Z3990" s="42"/>
      <c r="AA3990" s="42"/>
      <c r="AB3990" s="42"/>
      <c r="AC3990" s="42"/>
      <c r="AD3990" s="42"/>
      <c r="AE3990" s="42"/>
      <c r="AF3990" s="9"/>
      <c r="AG3990" s="9"/>
      <c r="AH3990" s="42"/>
      <c r="AI3990" s="42"/>
      <c r="AJ3990" s="42"/>
      <c r="AK3990" s="42"/>
      <c r="AL3990" s="42"/>
      <c r="AM3990" s="42"/>
      <c r="AN3990" s="42"/>
      <c r="AO3990" s="63" t="str">
        <f>IFERROR(__xludf.DUMMYFUNCTION("IF(ISBLANK(A3990),,IF(ISBLANK(S3990), A3990&amp;"";"", TEXTJOIN(CHAR(10), TRUE, A3990&amp;"";"", ARRAYFORMULA(VLOOKUP(SPLIT(S3990, "";"" &amp; CHAR(10)), $A:$AO, 41, FALSE)))))"),"")</f>
        <v/>
      </c>
      <c r="AP3990" s="89"/>
    </row>
    <row r="3991">
      <c r="A3991" s="42"/>
      <c r="B3991" s="42"/>
      <c r="C3991" s="42"/>
      <c r="D3991" s="42"/>
      <c r="E3991" s="39"/>
      <c r="F3991" s="9"/>
      <c r="G3991" s="9"/>
      <c r="H3991" s="9"/>
      <c r="I3991" s="9"/>
      <c r="J3991" s="9"/>
      <c r="K3991" s="9"/>
      <c r="L3991" s="9"/>
      <c r="M3991" s="9"/>
      <c r="N3991" s="9"/>
      <c r="O3991" s="9"/>
      <c r="P3991" s="9"/>
      <c r="Q3991" s="9"/>
      <c r="R3991" s="9"/>
      <c r="S3991" s="42"/>
      <c r="T3991" s="42"/>
      <c r="U3991" s="42"/>
      <c r="V3991" s="42"/>
      <c r="W3991" s="42"/>
      <c r="X3991" s="42"/>
      <c r="Y3991" s="42"/>
      <c r="Z3991" s="42"/>
      <c r="AA3991" s="42"/>
      <c r="AB3991" s="42"/>
      <c r="AC3991" s="42"/>
      <c r="AD3991" s="42"/>
      <c r="AE3991" s="42"/>
      <c r="AF3991" s="9"/>
      <c r="AG3991" s="9"/>
      <c r="AH3991" s="42"/>
      <c r="AI3991" s="42"/>
      <c r="AJ3991" s="42"/>
      <c r="AK3991" s="42"/>
      <c r="AL3991" s="42"/>
      <c r="AM3991" s="42"/>
      <c r="AN3991" s="42"/>
      <c r="AO3991" s="63" t="str">
        <f>IFERROR(__xludf.DUMMYFUNCTION("IF(ISBLANK(A3991),,IF(ISBLANK(S3991), A3991&amp;"";"", TEXTJOIN(CHAR(10), TRUE, A3991&amp;"";"", ARRAYFORMULA(VLOOKUP(SPLIT(S3991, "";"" &amp; CHAR(10)), $A:$AO, 41, FALSE)))))"),"")</f>
        <v/>
      </c>
      <c r="AP3991" s="89"/>
    </row>
    <row r="3992">
      <c r="A3992" s="42"/>
      <c r="B3992" s="42"/>
      <c r="C3992" s="42"/>
      <c r="D3992" s="42"/>
      <c r="E3992" s="39"/>
      <c r="F3992" s="9"/>
      <c r="G3992" s="9"/>
      <c r="H3992" s="9"/>
      <c r="I3992" s="9"/>
      <c r="J3992" s="9"/>
      <c r="K3992" s="9"/>
      <c r="L3992" s="9"/>
      <c r="M3992" s="9"/>
      <c r="N3992" s="9"/>
      <c r="O3992" s="9"/>
      <c r="P3992" s="9"/>
      <c r="Q3992" s="9"/>
      <c r="R3992" s="9"/>
      <c r="S3992" s="42"/>
      <c r="T3992" s="42"/>
      <c r="U3992" s="42"/>
      <c r="V3992" s="42"/>
      <c r="W3992" s="42"/>
      <c r="X3992" s="42"/>
      <c r="Y3992" s="42"/>
      <c r="Z3992" s="42"/>
      <c r="AA3992" s="42"/>
      <c r="AB3992" s="42"/>
      <c r="AC3992" s="42"/>
      <c r="AD3992" s="42"/>
      <c r="AE3992" s="42"/>
      <c r="AF3992" s="9"/>
      <c r="AG3992" s="9"/>
      <c r="AH3992" s="42"/>
      <c r="AI3992" s="42"/>
      <c r="AJ3992" s="42"/>
      <c r="AK3992" s="42"/>
      <c r="AL3992" s="42"/>
      <c r="AM3992" s="42"/>
      <c r="AN3992" s="42"/>
      <c r="AO3992" s="63" t="str">
        <f>IFERROR(__xludf.DUMMYFUNCTION("IF(ISBLANK(A3992),,IF(ISBLANK(S3992), A3992&amp;"";"", TEXTJOIN(CHAR(10), TRUE, A3992&amp;"";"", ARRAYFORMULA(VLOOKUP(SPLIT(S3992, "";"" &amp; CHAR(10)), $A:$AO, 41, FALSE)))))"),"")</f>
        <v/>
      </c>
      <c r="AP3992" s="89"/>
    </row>
    <row r="3993">
      <c r="A3993" s="42"/>
      <c r="B3993" s="42"/>
      <c r="C3993" s="42"/>
      <c r="D3993" s="42"/>
      <c r="E3993" s="39"/>
      <c r="F3993" s="9"/>
      <c r="G3993" s="9"/>
      <c r="H3993" s="9"/>
      <c r="I3993" s="9"/>
      <c r="J3993" s="9"/>
      <c r="K3993" s="9"/>
      <c r="L3993" s="9"/>
      <c r="M3993" s="9"/>
      <c r="N3993" s="9"/>
      <c r="O3993" s="9"/>
      <c r="P3993" s="9"/>
      <c r="Q3993" s="9"/>
      <c r="R3993" s="9"/>
      <c r="S3993" s="42"/>
      <c r="T3993" s="42"/>
      <c r="U3993" s="42"/>
      <c r="V3993" s="42"/>
      <c r="W3993" s="42"/>
      <c r="X3993" s="42"/>
      <c r="Y3993" s="42"/>
      <c r="Z3993" s="42"/>
      <c r="AA3993" s="42"/>
      <c r="AB3993" s="42"/>
      <c r="AC3993" s="42"/>
      <c r="AD3993" s="42"/>
      <c r="AE3993" s="42"/>
      <c r="AF3993" s="9"/>
      <c r="AG3993" s="9"/>
      <c r="AH3993" s="42"/>
      <c r="AI3993" s="42"/>
      <c r="AJ3993" s="42"/>
      <c r="AK3993" s="42"/>
      <c r="AL3993" s="42"/>
      <c r="AM3993" s="42"/>
      <c r="AN3993" s="42"/>
      <c r="AO3993" s="63" t="str">
        <f>IFERROR(__xludf.DUMMYFUNCTION("IF(ISBLANK(A3993),,IF(ISBLANK(S3993), A3993&amp;"";"", TEXTJOIN(CHAR(10), TRUE, A3993&amp;"";"", ARRAYFORMULA(VLOOKUP(SPLIT(S3993, "";"" &amp; CHAR(10)), $A:$AO, 41, FALSE)))))"),"")</f>
        <v/>
      </c>
      <c r="AP3993" s="89"/>
    </row>
    <row r="3994">
      <c r="A3994" s="42"/>
      <c r="B3994" s="42"/>
      <c r="C3994" s="42"/>
      <c r="D3994" s="42"/>
      <c r="E3994" s="39"/>
      <c r="F3994" s="9"/>
      <c r="G3994" s="9"/>
      <c r="H3994" s="9"/>
      <c r="I3994" s="9"/>
      <c r="J3994" s="9"/>
      <c r="K3994" s="9"/>
      <c r="L3994" s="9"/>
      <c r="M3994" s="9"/>
      <c r="N3994" s="9"/>
      <c r="O3994" s="9"/>
      <c r="P3994" s="9"/>
      <c r="Q3994" s="9"/>
      <c r="R3994" s="9"/>
      <c r="S3994" s="42"/>
      <c r="T3994" s="42"/>
      <c r="U3994" s="42"/>
      <c r="V3994" s="42"/>
      <c r="W3994" s="42"/>
      <c r="X3994" s="42"/>
      <c r="Y3994" s="42"/>
      <c r="Z3994" s="42"/>
      <c r="AA3994" s="42"/>
      <c r="AB3994" s="42"/>
      <c r="AC3994" s="42"/>
      <c r="AD3994" s="42"/>
      <c r="AE3994" s="42"/>
      <c r="AF3994" s="9"/>
      <c r="AG3994" s="9"/>
      <c r="AH3994" s="42"/>
      <c r="AI3994" s="42"/>
      <c r="AJ3994" s="42"/>
      <c r="AK3994" s="42"/>
      <c r="AL3994" s="42"/>
      <c r="AM3994" s="42"/>
      <c r="AN3994" s="42"/>
      <c r="AO3994" s="63" t="str">
        <f>IFERROR(__xludf.DUMMYFUNCTION("IF(ISBLANK(A3994),,IF(ISBLANK(S3994), A3994&amp;"";"", TEXTJOIN(CHAR(10), TRUE, A3994&amp;"";"", ARRAYFORMULA(VLOOKUP(SPLIT(S3994, "";"" &amp; CHAR(10)), $A:$AO, 41, FALSE)))))"),"")</f>
        <v/>
      </c>
      <c r="AP3994" s="89"/>
    </row>
    <row r="3995">
      <c r="A3995" s="42"/>
      <c r="B3995" s="42"/>
      <c r="C3995" s="42"/>
      <c r="D3995" s="42"/>
      <c r="E3995" s="39"/>
      <c r="F3995" s="9"/>
      <c r="G3995" s="9"/>
      <c r="H3995" s="9"/>
      <c r="I3995" s="9"/>
      <c r="J3995" s="9"/>
      <c r="K3995" s="9"/>
      <c r="L3995" s="9"/>
      <c r="M3995" s="9"/>
      <c r="N3995" s="9"/>
      <c r="O3995" s="9"/>
      <c r="P3995" s="9"/>
      <c r="Q3995" s="9"/>
      <c r="R3995" s="9"/>
      <c r="S3995" s="42"/>
      <c r="T3995" s="42"/>
      <c r="U3995" s="42"/>
      <c r="V3995" s="42"/>
      <c r="W3995" s="42"/>
      <c r="X3995" s="42"/>
      <c r="Y3995" s="42"/>
      <c r="Z3995" s="42"/>
      <c r="AA3995" s="42"/>
      <c r="AB3995" s="42"/>
      <c r="AC3995" s="42"/>
      <c r="AD3995" s="42"/>
      <c r="AE3995" s="42"/>
      <c r="AF3995" s="9"/>
      <c r="AG3995" s="9"/>
      <c r="AH3995" s="42"/>
      <c r="AI3995" s="42"/>
      <c r="AJ3995" s="42"/>
      <c r="AK3995" s="42"/>
      <c r="AL3995" s="42"/>
      <c r="AM3995" s="42"/>
      <c r="AN3995" s="42"/>
      <c r="AO3995" s="63" t="str">
        <f>IFERROR(__xludf.DUMMYFUNCTION("IF(ISBLANK(A3995),,IF(ISBLANK(S3995), A3995&amp;"";"", TEXTJOIN(CHAR(10), TRUE, A3995&amp;"";"", ARRAYFORMULA(VLOOKUP(SPLIT(S3995, "";"" &amp; CHAR(10)), $A:$AO, 41, FALSE)))))"),"")</f>
        <v/>
      </c>
      <c r="AP3995" s="89"/>
    </row>
    <row r="3996">
      <c r="A3996" s="42"/>
      <c r="B3996" s="42"/>
      <c r="C3996" s="42"/>
      <c r="D3996" s="42"/>
      <c r="E3996" s="39"/>
      <c r="F3996" s="9"/>
      <c r="G3996" s="9"/>
      <c r="H3996" s="9"/>
      <c r="I3996" s="9"/>
      <c r="J3996" s="9"/>
      <c r="K3996" s="9"/>
      <c r="L3996" s="9"/>
      <c r="M3996" s="9"/>
      <c r="N3996" s="9"/>
      <c r="O3996" s="9"/>
      <c r="P3996" s="9"/>
      <c r="Q3996" s="9"/>
      <c r="R3996" s="9"/>
      <c r="S3996" s="42"/>
      <c r="T3996" s="42"/>
      <c r="U3996" s="42"/>
      <c r="V3996" s="42"/>
      <c r="W3996" s="42"/>
      <c r="X3996" s="42"/>
      <c r="Y3996" s="42"/>
      <c r="Z3996" s="42"/>
      <c r="AA3996" s="42"/>
      <c r="AB3996" s="42"/>
      <c r="AC3996" s="42"/>
      <c r="AD3996" s="42"/>
      <c r="AE3996" s="42"/>
      <c r="AF3996" s="9"/>
      <c r="AG3996" s="9"/>
      <c r="AH3996" s="42"/>
      <c r="AI3996" s="42"/>
      <c r="AJ3996" s="42"/>
      <c r="AK3996" s="42"/>
      <c r="AL3996" s="42"/>
      <c r="AM3996" s="42"/>
      <c r="AN3996" s="42"/>
      <c r="AO3996" s="63" t="str">
        <f>IFERROR(__xludf.DUMMYFUNCTION("IF(ISBLANK(A3996),,IF(ISBLANK(S3996), A3996&amp;"";"", TEXTJOIN(CHAR(10), TRUE, A3996&amp;"";"", ARRAYFORMULA(VLOOKUP(SPLIT(S3996, "";"" &amp; CHAR(10)), $A:$AO, 41, FALSE)))))"),"")</f>
        <v/>
      </c>
      <c r="AP3996" s="89"/>
    </row>
    <row r="3997">
      <c r="A3997" s="42"/>
      <c r="B3997" s="42"/>
      <c r="C3997" s="42"/>
      <c r="D3997" s="42"/>
      <c r="E3997" s="39"/>
      <c r="F3997" s="9"/>
      <c r="G3997" s="9"/>
      <c r="H3997" s="9"/>
      <c r="I3997" s="9"/>
      <c r="J3997" s="9"/>
      <c r="K3997" s="9"/>
      <c r="L3997" s="9"/>
      <c r="M3997" s="9"/>
      <c r="N3997" s="9"/>
      <c r="O3997" s="9"/>
      <c r="P3997" s="9"/>
      <c r="Q3997" s="9"/>
      <c r="R3997" s="9"/>
      <c r="S3997" s="42"/>
      <c r="T3997" s="42"/>
      <c r="U3997" s="42"/>
      <c r="V3997" s="42"/>
      <c r="W3997" s="42"/>
      <c r="X3997" s="42"/>
      <c r="Y3997" s="42"/>
      <c r="Z3997" s="42"/>
      <c r="AA3997" s="42"/>
      <c r="AB3997" s="42"/>
      <c r="AC3997" s="42"/>
      <c r="AD3997" s="42"/>
      <c r="AE3997" s="42"/>
      <c r="AF3997" s="9"/>
      <c r="AG3997" s="9"/>
      <c r="AH3997" s="42"/>
      <c r="AI3997" s="42"/>
      <c r="AJ3997" s="42"/>
      <c r="AK3997" s="42"/>
      <c r="AL3997" s="42"/>
      <c r="AM3997" s="42"/>
      <c r="AN3997" s="42"/>
      <c r="AO3997" s="63" t="str">
        <f>IFERROR(__xludf.DUMMYFUNCTION("IF(ISBLANK(A3997),,IF(ISBLANK(S3997), A3997&amp;"";"", TEXTJOIN(CHAR(10), TRUE, A3997&amp;"";"", ARRAYFORMULA(VLOOKUP(SPLIT(S3997, "";"" &amp; CHAR(10)), $A:$AO, 41, FALSE)))))"),"")</f>
        <v/>
      </c>
      <c r="AP3997" s="89"/>
    </row>
    <row r="3998">
      <c r="A3998" s="42"/>
      <c r="B3998" s="42"/>
      <c r="C3998" s="42"/>
      <c r="D3998" s="42"/>
      <c r="E3998" s="39"/>
      <c r="F3998" s="9"/>
      <c r="G3998" s="9"/>
      <c r="H3998" s="9"/>
      <c r="I3998" s="9"/>
      <c r="J3998" s="9"/>
      <c r="K3998" s="9"/>
      <c r="L3998" s="9"/>
      <c r="M3998" s="9"/>
      <c r="N3998" s="9"/>
      <c r="O3998" s="9"/>
      <c r="P3998" s="9"/>
      <c r="Q3998" s="9"/>
      <c r="R3998" s="9"/>
      <c r="S3998" s="42"/>
      <c r="T3998" s="42"/>
      <c r="U3998" s="42"/>
      <c r="V3998" s="42"/>
      <c r="W3998" s="42"/>
      <c r="X3998" s="42"/>
      <c r="Y3998" s="42"/>
      <c r="Z3998" s="42"/>
      <c r="AA3998" s="42"/>
      <c r="AB3998" s="42"/>
      <c r="AC3998" s="42"/>
      <c r="AD3998" s="42"/>
      <c r="AE3998" s="42"/>
      <c r="AF3998" s="9"/>
      <c r="AG3998" s="9"/>
      <c r="AH3998" s="42"/>
      <c r="AI3998" s="42"/>
      <c r="AJ3998" s="42"/>
      <c r="AK3998" s="42"/>
      <c r="AL3998" s="42"/>
      <c r="AM3998" s="42"/>
      <c r="AN3998" s="42"/>
      <c r="AO3998" s="63" t="str">
        <f>IFERROR(__xludf.DUMMYFUNCTION("IF(ISBLANK(A3998),,IF(ISBLANK(S3998), A3998&amp;"";"", TEXTJOIN(CHAR(10), TRUE, A3998&amp;"";"", ARRAYFORMULA(VLOOKUP(SPLIT(S3998, "";"" &amp; CHAR(10)), $A:$AO, 41, FALSE)))))"),"")</f>
        <v/>
      </c>
      <c r="AP3998" s="89"/>
    </row>
    <row r="3999">
      <c r="A3999" s="42"/>
      <c r="B3999" s="42"/>
      <c r="C3999" s="42"/>
      <c r="D3999" s="42"/>
      <c r="E3999" s="39"/>
      <c r="F3999" s="9"/>
      <c r="G3999" s="9"/>
      <c r="H3999" s="9"/>
      <c r="I3999" s="9"/>
      <c r="J3999" s="9"/>
      <c r="K3999" s="9"/>
      <c r="L3999" s="9"/>
      <c r="M3999" s="9"/>
      <c r="N3999" s="9"/>
      <c r="O3999" s="9"/>
      <c r="P3999" s="9"/>
      <c r="Q3999" s="9"/>
      <c r="R3999" s="9"/>
      <c r="S3999" s="42"/>
      <c r="T3999" s="42"/>
      <c r="U3999" s="42"/>
      <c r="V3999" s="42"/>
      <c r="W3999" s="42"/>
      <c r="X3999" s="42"/>
      <c r="Y3999" s="42"/>
      <c r="Z3999" s="42"/>
      <c r="AA3999" s="42"/>
      <c r="AB3999" s="42"/>
      <c r="AC3999" s="42"/>
      <c r="AD3999" s="42"/>
      <c r="AE3999" s="42"/>
      <c r="AF3999" s="9"/>
      <c r="AG3999" s="9"/>
      <c r="AH3999" s="42"/>
      <c r="AI3999" s="42"/>
      <c r="AJ3999" s="42"/>
      <c r="AK3999" s="42"/>
      <c r="AL3999" s="42"/>
      <c r="AM3999" s="42"/>
      <c r="AN3999" s="42"/>
      <c r="AO3999" s="63" t="str">
        <f>IFERROR(__xludf.DUMMYFUNCTION("IF(ISBLANK(A3999),,IF(ISBLANK(S3999), A3999&amp;"";"", TEXTJOIN(CHAR(10), TRUE, A3999&amp;"";"", ARRAYFORMULA(VLOOKUP(SPLIT(S3999, "";"" &amp; CHAR(10)), $A:$AO, 41, FALSE)))))"),"")</f>
        <v/>
      </c>
      <c r="AP3999" s="89"/>
    </row>
    <row r="4000">
      <c r="A4000" s="42"/>
      <c r="B4000" s="42"/>
      <c r="C4000" s="42"/>
      <c r="D4000" s="42"/>
      <c r="E4000" s="39"/>
      <c r="F4000" s="9"/>
      <c r="G4000" s="9"/>
      <c r="H4000" s="9"/>
      <c r="I4000" s="9"/>
      <c r="J4000" s="9"/>
      <c r="K4000" s="9"/>
      <c r="L4000" s="9"/>
      <c r="M4000" s="9"/>
      <c r="N4000" s="9"/>
      <c r="O4000" s="9"/>
      <c r="P4000" s="9"/>
      <c r="Q4000" s="9"/>
      <c r="R4000" s="9"/>
      <c r="S4000" s="42"/>
      <c r="T4000" s="42"/>
      <c r="U4000" s="42"/>
      <c r="V4000" s="42"/>
      <c r="W4000" s="42"/>
      <c r="X4000" s="42"/>
      <c r="Y4000" s="42"/>
      <c r="Z4000" s="42"/>
      <c r="AA4000" s="42"/>
      <c r="AB4000" s="42"/>
      <c r="AC4000" s="42"/>
      <c r="AD4000" s="42"/>
      <c r="AE4000" s="42"/>
      <c r="AF4000" s="9"/>
      <c r="AG4000" s="9"/>
      <c r="AH4000" s="42"/>
      <c r="AI4000" s="42"/>
      <c r="AJ4000" s="42"/>
      <c r="AK4000" s="42"/>
      <c r="AL4000" s="42"/>
      <c r="AM4000" s="42"/>
      <c r="AN4000" s="42"/>
      <c r="AO4000" s="63" t="str">
        <f>IFERROR(__xludf.DUMMYFUNCTION("IF(ISBLANK(A4000),,IF(ISBLANK(S4000), A4000&amp;"";"", TEXTJOIN(CHAR(10), TRUE, A4000&amp;"";"", ARRAYFORMULA(VLOOKUP(SPLIT(S4000, "";"" &amp; CHAR(10)), $A:$AO, 41, FALSE)))))"),"")</f>
        <v/>
      </c>
      <c r="AP4000" s="89"/>
    </row>
    <row r="4001">
      <c r="A4001" s="42"/>
      <c r="B4001" s="42"/>
      <c r="C4001" s="42"/>
      <c r="D4001" s="42"/>
      <c r="E4001" s="39"/>
      <c r="F4001" s="9"/>
      <c r="G4001" s="9"/>
      <c r="H4001" s="9"/>
      <c r="I4001" s="9"/>
      <c r="J4001" s="9"/>
      <c r="K4001" s="9"/>
      <c r="L4001" s="9"/>
      <c r="M4001" s="9"/>
      <c r="N4001" s="9"/>
      <c r="O4001" s="9"/>
      <c r="P4001" s="9"/>
      <c r="Q4001" s="9"/>
      <c r="R4001" s="9"/>
      <c r="S4001" s="42"/>
      <c r="T4001" s="42"/>
      <c r="U4001" s="42"/>
      <c r="V4001" s="42"/>
      <c r="W4001" s="42"/>
      <c r="X4001" s="42"/>
      <c r="Y4001" s="42"/>
      <c r="Z4001" s="42"/>
      <c r="AA4001" s="42"/>
      <c r="AB4001" s="42"/>
      <c r="AC4001" s="42"/>
      <c r="AD4001" s="42"/>
      <c r="AE4001" s="42"/>
      <c r="AF4001" s="9"/>
      <c r="AG4001" s="9"/>
      <c r="AH4001" s="42"/>
      <c r="AI4001" s="42"/>
      <c r="AJ4001" s="42"/>
      <c r="AK4001" s="42"/>
      <c r="AL4001" s="42"/>
      <c r="AM4001" s="42"/>
      <c r="AN4001" s="42"/>
      <c r="AO4001" s="63" t="str">
        <f>IFERROR(__xludf.DUMMYFUNCTION("IF(ISBLANK(A4001),,IF(ISBLANK(S4001), A4001&amp;"";"", TEXTJOIN(CHAR(10), TRUE, A4001&amp;"";"", ARRAYFORMULA(VLOOKUP(SPLIT(S4001, "";"" &amp; CHAR(10)), $A:$AO, 41, FALSE)))))"),"")</f>
        <v/>
      </c>
      <c r="AP4001" s="89"/>
    </row>
    <row r="4002">
      <c r="A4002" s="42"/>
      <c r="B4002" s="42"/>
      <c r="C4002" s="42"/>
      <c r="D4002" s="42"/>
      <c r="E4002" s="39"/>
      <c r="F4002" s="9"/>
      <c r="G4002" s="9"/>
      <c r="H4002" s="9"/>
      <c r="I4002" s="9"/>
      <c r="J4002" s="9"/>
      <c r="K4002" s="9"/>
      <c r="L4002" s="9"/>
      <c r="M4002" s="9"/>
      <c r="N4002" s="9"/>
      <c r="O4002" s="9"/>
      <c r="P4002" s="9"/>
      <c r="Q4002" s="9"/>
      <c r="R4002" s="9"/>
      <c r="S4002" s="42"/>
      <c r="T4002" s="42"/>
      <c r="U4002" s="42"/>
      <c r="V4002" s="42"/>
      <c r="W4002" s="42"/>
      <c r="X4002" s="42"/>
      <c r="Y4002" s="42"/>
      <c r="Z4002" s="42"/>
      <c r="AA4002" s="42"/>
      <c r="AB4002" s="42"/>
      <c r="AC4002" s="42"/>
      <c r="AD4002" s="42"/>
      <c r="AE4002" s="42"/>
      <c r="AF4002" s="9"/>
      <c r="AG4002" s="9"/>
      <c r="AH4002" s="42"/>
      <c r="AI4002" s="42"/>
      <c r="AJ4002" s="42"/>
      <c r="AK4002" s="42"/>
      <c r="AL4002" s="42"/>
      <c r="AM4002" s="42"/>
      <c r="AN4002" s="42"/>
      <c r="AO4002" s="63" t="str">
        <f>IFERROR(__xludf.DUMMYFUNCTION("IF(ISBLANK(A4002),,IF(ISBLANK(S4002), A4002&amp;"";"", TEXTJOIN(CHAR(10), TRUE, A4002&amp;"";"", ARRAYFORMULA(VLOOKUP(SPLIT(S4002, "";"" &amp; CHAR(10)), $A:$AO, 41, FALSE)))))"),"")</f>
        <v/>
      </c>
      <c r="AP4002" s="89"/>
    </row>
    <row r="4003">
      <c r="A4003" s="42"/>
      <c r="B4003" s="42"/>
      <c r="C4003" s="42"/>
      <c r="D4003" s="42"/>
      <c r="E4003" s="39"/>
      <c r="F4003" s="9"/>
      <c r="G4003" s="9"/>
      <c r="H4003" s="9"/>
      <c r="I4003" s="9"/>
      <c r="J4003" s="9"/>
      <c r="K4003" s="9"/>
      <c r="L4003" s="9"/>
      <c r="M4003" s="9"/>
      <c r="N4003" s="9"/>
      <c r="O4003" s="9"/>
      <c r="P4003" s="9"/>
      <c r="Q4003" s="9"/>
      <c r="R4003" s="9"/>
      <c r="S4003" s="42"/>
      <c r="T4003" s="42"/>
      <c r="U4003" s="42"/>
      <c r="V4003" s="42"/>
      <c r="W4003" s="42"/>
      <c r="X4003" s="42"/>
      <c r="Y4003" s="42"/>
      <c r="Z4003" s="42"/>
      <c r="AA4003" s="42"/>
      <c r="AB4003" s="42"/>
      <c r="AC4003" s="42"/>
      <c r="AD4003" s="42"/>
      <c r="AE4003" s="42"/>
      <c r="AF4003" s="9"/>
      <c r="AG4003" s="9"/>
      <c r="AH4003" s="42"/>
      <c r="AI4003" s="42"/>
      <c r="AJ4003" s="42"/>
      <c r="AK4003" s="42"/>
      <c r="AL4003" s="42"/>
      <c r="AM4003" s="42"/>
      <c r="AN4003" s="42"/>
      <c r="AO4003" s="63" t="str">
        <f>IFERROR(__xludf.DUMMYFUNCTION("IF(ISBLANK(A4003),,IF(ISBLANK(S4003), A4003&amp;"";"", TEXTJOIN(CHAR(10), TRUE, A4003&amp;"";"", ARRAYFORMULA(VLOOKUP(SPLIT(S4003, "";"" &amp; CHAR(10)), $A:$AO, 41, FALSE)))))"),"")</f>
        <v/>
      </c>
      <c r="AP4003" s="89"/>
    </row>
    <row r="4004">
      <c r="A4004" s="42"/>
      <c r="B4004" s="42"/>
      <c r="C4004" s="42"/>
      <c r="D4004" s="42"/>
      <c r="E4004" s="39"/>
      <c r="F4004" s="9"/>
      <c r="G4004" s="9"/>
      <c r="H4004" s="9"/>
      <c r="I4004" s="9"/>
      <c r="J4004" s="9"/>
      <c r="K4004" s="9"/>
      <c r="L4004" s="9"/>
      <c r="M4004" s="9"/>
      <c r="N4004" s="9"/>
      <c r="O4004" s="9"/>
      <c r="P4004" s="9"/>
      <c r="Q4004" s="9"/>
      <c r="R4004" s="9"/>
      <c r="S4004" s="42"/>
      <c r="T4004" s="42"/>
      <c r="U4004" s="42"/>
      <c r="V4004" s="42"/>
      <c r="W4004" s="42"/>
      <c r="X4004" s="42"/>
      <c r="Y4004" s="42"/>
      <c r="Z4004" s="42"/>
      <c r="AA4004" s="42"/>
      <c r="AB4004" s="42"/>
      <c r="AC4004" s="42"/>
      <c r="AD4004" s="42"/>
      <c r="AE4004" s="42"/>
      <c r="AF4004" s="9"/>
      <c r="AG4004" s="9"/>
      <c r="AH4004" s="42"/>
      <c r="AI4004" s="42"/>
      <c r="AJ4004" s="42"/>
      <c r="AK4004" s="42"/>
      <c r="AL4004" s="42"/>
      <c r="AM4004" s="42"/>
      <c r="AN4004" s="42"/>
      <c r="AO4004" s="63" t="str">
        <f>IFERROR(__xludf.DUMMYFUNCTION("IF(ISBLANK(A4004),,IF(ISBLANK(S4004), A4004&amp;"";"", TEXTJOIN(CHAR(10), TRUE, A4004&amp;"";"", ARRAYFORMULA(VLOOKUP(SPLIT(S4004, "";"" &amp; CHAR(10)), $A:$AO, 41, FALSE)))))"),"")</f>
        <v/>
      </c>
      <c r="AP4004" s="89"/>
    </row>
    <row r="4005">
      <c r="A4005" s="42"/>
      <c r="B4005" s="42"/>
      <c r="C4005" s="42"/>
      <c r="D4005" s="42"/>
      <c r="E4005" s="39"/>
      <c r="F4005" s="9"/>
      <c r="G4005" s="9"/>
      <c r="H4005" s="9"/>
      <c r="I4005" s="9"/>
      <c r="J4005" s="9"/>
      <c r="K4005" s="9"/>
      <c r="L4005" s="9"/>
      <c r="M4005" s="9"/>
      <c r="N4005" s="9"/>
      <c r="O4005" s="9"/>
      <c r="P4005" s="9"/>
      <c r="Q4005" s="9"/>
      <c r="R4005" s="9"/>
      <c r="S4005" s="42"/>
      <c r="T4005" s="42"/>
      <c r="U4005" s="42"/>
      <c r="V4005" s="42"/>
      <c r="W4005" s="42"/>
      <c r="X4005" s="42"/>
      <c r="Y4005" s="42"/>
      <c r="Z4005" s="42"/>
      <c r="AA4005" s="42"/>
      <c r="AB4005" s="42"/>
      <c r="AC4005" s="42"/>
      <c r="AD4005" s="42"/>
      <c r="AE4005" s="42"/>
      <c r="AF4005" s="9"/>
      <c r="AG4005" s="9"/>
      <c r="AH4005" s="42"/>
      <c r="AI4005" s="42"/>
      <c r="AJ4005" s="42"/>
      <c r="AK4005" s="42"/>
      <c r="AL4005" s="42"/>
      <c r="AM4005" s="42"/>
      <c r="AN4005" s="42"/>
      <c r="AO4005" s="63" t="str">
        <f>IFERROR(__xludf.DUMMYFUNCTION("IF(ISBLANK(A4005),,IF(ISBLANK(S4005), A4005&amp;"";"", TEXTJOIN(CHAR(10), TRUE, A4005&amp;"";"", ARRAYFORMULA(VLOOKUP(SPLIT(S4005, "";"" &amp; CHAR(10)), $A:$AO, 41, FALSE)))))"),"")</f>
        <v/>
      </c>
      <c r="AP4005" s="89"/>
    </row>
    <row r="4006">
      <c r="A4006" s="42"/>
      <c r="B4006" s="42"/>
      <c r="C4006" s="42"/>
      <c r="D4006" s="42"/>
      <c r="E4006" s="39"/>
      <c r="F4006" s="9"/>
      <c r="G4006" s="9"/>
      <c r="H4006" s="9"/>
      <c r="I4006" s="9"/>
      <c r="J4006" s="9"/>
      <c r="K4006" s="9"/>
      <c r="L4006" s="9"/>
      <c r="M4006" s="9"/>
      <c r="N4006" s="9"/>
      <c r="O4006" s="9"/>
      <c r="P4006" s="9"/>
      <c r="Q4006" s="9"/>
      <c r="R4006" s="9"/>
      <c r="S4006" s="42"/>
      <c r="T4006" s="42"/>
      <c r="U4006" s="42"/>
      <c r="V4006" s="42"/>
      <c r="W4006" s="42"/>
      <c r="X4006" s="42"/>
      <c r="Y4006" s="42"/>
      <c r="Z4006" s="42"/>
      <c r="AA4006" s="42"/>
      <c r="AB4006" s="42"/>
      <c r="AC4006" s="42"/>
      <c r="AD4006" s="42"/>
      <c r="AE4006" s="42"/>
      <c r="AF4006" s="9"/>
      <c r="AG4006" s="9"/>
      <c r="AH4006" s="42"/>
      <c r="AI4006" s="42"/>
      <c r="AJ4006" s="42"/>
      <c r="AK4006" s="42"/>
      <c r="AL4006" s="42"/>
      <c r="AM4006" s="42"/>
      <c r="AN4006" s="42"/>
      <c r="AO4006" s="63" t="str">
        <f>IFERROR(__xludf.DUMMYFUNCTION("IF(ISBLANK(A4006),,IF(ISBLANK(S4006), A4006&amp;"";"", TEXTJOIN(CHAR(10), TRUE, A4006&amp;"";"", ARRAYFORMULA(VLOOKUP(SPLIT(S4006, "";"" &amp; CHAR(10)), $A:$AO, 41, FALSE)))))"),"")</f>
        <v/>
      </c>
      <c r="AP4006" s="89"/>
    </row>
    <row r="4007">
      <c r="A4007" s="42"/>
      <c r="B4007" s="42"/>
      <c r="C4007" s="42"/>
      <c r="D4007" s="42"/>
      <c r="E4007" s="39"/>
      <c r="F4007" s="9"/>
      <c r="G4007" s="9"/>
      <c r="H4007" s="9"/>
      <c r="I4007" s="9"/>
      <c r="J4007" s="9"/>
      <c r="K4007" s="9"/>
      <c r="L4007" s="9"/>
      <c r="M4007" s="9"/>
      <c r="N4007" s="9"/>
      <c r="O4007" s="9"/>
      <c r="P4007" s="9"/>
      <c r="Q4007" s="9"/>
      <c r="R4007" s="9"/>
      <c r="S4007" s="42"/>
      <c r="T4007" s="42"/>
      <c r="U4007" s="42"/>
      <c r="V4007" s="42"/>
      <c r="W4007" s="42"/>
      <c r="X4007" s="42"/>
      <c r="Y4007" s="42"/>
      <c r="Z4007" s="42"/>
      <c r="AA4007" s="42"/>
      <c r="AB4007" s="42"/>
      <c r="AC4007" s="42"/>
      <c r="AD4007" s="42"/>
      <c r="AE4007" s="42"/>
      <c r="AF4007" s="9"/>
      <c r="AG4007" s="9"/>
      <c r="AH4007" s="42"/>
      <c r="AI4007" s="42"/>
      <c r="AJ4007" s="42"/>
      <c r="AK4007" s="42"/>
      <c r="AL4007" s="42"/>
      <c r="AM4007" s="42"/>
      <c r="AN4007" s="42"/>
      <c r="AO4007" s="63" t="str">
        <f>IFERROR(__xludf.DUMMYFUNCTION("IF(ISBLANK(A4007),,IF(ISBLANK(S4007), A4007&amp;"";"", TEXTJOIN(CHAR(10), TRUE, A4007&amp;"";"", ARRAYFORMULA(VLOOKUP(SPLIT(S4007, "";"" &amp; CHAR(10)), $A:$AO, 41, FALSE)))))"),"")</f>
        <v/>
      </c>
      <c r="AP4007" s="89"/>
    </row>
    <row r="4008">
      <c r="A4008" s="42"/>
      <c r="B4008" s="42"/>
      <c r="C4008" s="42"/>
      <c r="D4008" s="42"/>
      <c r="E4008" s="39"/>
      <c r="F4008" s="9"/>
      <c r="G4008" s="9"/>
      <c r="H4008" s="9"/>
      <c r="I4008" s="9"/>
      <c r="J4008" s="9"/>
      <c r="K4008" s="9"/>
      <c r="L4008" s="9"/>
      <c r="M4008" s="9"/>
      <c r="N4008" s="9"/>
      <c r="O4008" s="9"/>
      <c r="P4008" s="9"/>
      <c r="Q4008" s="9"/>
      <c r="R4008" s="9"/>
      <c r="S4008" s="42"/>
      <c r="T4008" s="42"/>
      <c r="U4008" s="42"/>
      <c r="V4008" s="42"/>
      <c r="W4008" s="42"/>
      <c r="X4008" s="42"/>
      <c r="Y4008" s="42"/>
      <c r="Z4008" s="42"/>
      <c r="AA4008" s="42"/>
      <c r="AB4008" s="42"/>
      <c r="AC4008" s="42"/>
      <c r="AD4008" s="42"/>
      <c r="AE4008" s="42"/>
      <c r="AF4008" s="9"/>
      <c r="AG4008" s="9"/>
      <c r="AH4008" s="42"/>
      <c r="AI4008" s="42"/>
      <c r="AJ4008" s="42"/>
      <c r="AK4008" s="42"/>
      <c r="AL4008" s="42"/>
      <c r="AM4008" s="42"/>
      <c r="AN4008" s="42"/>
      <c r="AO4008" s="63" t="str">
        <f>IFERROR(__xludf.DUMMYFUNCTION("IF(ISBLANK(A4008),,IF(ISBLANK(S4008), A4008&amp;"";"", TEXTJOIN(CHAR(10), TRUE, A4008&amp;"";"", ARRAYFORMULA(VLOOKUP(SPLIT(S4008, "";"" &amp; CHAR(10)), $A:$AO, 41, FALSE)))))"),"")</f>
        <v/>
      </c>
      <c r="AP4008" s="89"/>
    </row>
    <row r="4009">
      <c r="A4009" s="42"/>
      <c r="B4009" s="42"/>
      <c r="C4009" s="42"/>
      <c r="D4009" s="42"/>
      <c r="E4009" s="39"/>
      <c r="F4009" s="9"/>
      <c r="G4009" s="9"/>
      <c r="H4009" s="9"/>
      <c r="I4009" s="9"/>
      <c r="J4009" s="9"/>
      <c r="K4009" s="9"/>
      <c r="L4009" s="9"/>
      <c r="M4009" s="9"/>
      <c r="N4009" s="9"/>
      <c r="O4009" s="9"/>
      <c r="P4009" s="9"/>
      <c r="Q4009" s="9"/>
      <c r="R4009" s="9"/>
      <c r="S4009" s="42"/>
      <c r="T4009" s="42"/>
      <c r="U4009" s="42"/>
      <c r="V4009" s="42"/>
      <c r="W4009" s="42"/>
      <c r="X4009" s="42"/>
      <c r="Y4009" s="42"/>
      <c r="Z4009" s="42"/>
      <c r="AA4009" s="42"/>
      <c r="AB4009" s="42"/>
      <c r="AC4009" s="42"/>
      <c r="AD4009" s="42"/>
      <c r="AE4009" s="42"/>
      <c r="AF4009" s="9"/>
      <c r="AG4009" s="9"/>
      <c r="AH4009" s="42"/>
      <c r="AI4009" s="42"/>
      <c r="AJ4009" s="42"/>
      <c r="AK4009" s="42"/>
      <c r="AL4009" s="42"/>
      <c r="AM4009" s="42"/>
      <c r="AN4009" s="42"/>
      <c r="AO4009" s="63" t="str">
        <f>IFERROR(__xludf.DUMMYFUNCTION("IF(ISBLANK(A4009),,IF(ISBLANK(S4009), A4009&amp;"";"", TEXTJOIN(CHAR(10), TRUE, A4009&amp;"";"", ARRAYFORMULA(VLOOKUP(SPLIT(S4009, "";"" &amp; CHAR(10)), $A:$AO, 41, FALSE)))))"),"")</f>
        <v/>
      </c>
      <c r="AP4009" s="89"/>
    </row>
    <row r="4010">
      <c r="A4010" s="42"/>
      <c r="B4010" s="42"/>
      <c r="C4010" s="42"/>
      <c r="D4010" s="42"/>
      <c r="E4010" s="39"/>
      <c r="F4010" s="9"/>
      <c r="G4010" s="9"/>
      <c r="H4010" s="9"/>
      <c r="I4010" s="9"/>
      <c r="J4010" s="9"/>
      <c r="K4010" s="9"/>
      <c r="L4010" s="9"/>
      <c r="M4010" s="9"/>
      <c r="N4010" s="9"/>
      <c r="O4010" s="9"/>
      <c r="P4010" s="9"/>
      <c r="Q4010" s="9"/>
      <c r="R4010" s="9"/>
      <c r="S4010" s="42"/>
      <c r="T4010" s="42"/>
      <c r="U4010" s="42"/>
      <c r="V4010" s="42"/>
      <c r="W4010" s="42"/>
      <c r="X4010" s="42"/>
      <c r="Y4010" s="42"/>
      <c r="Z4010" s="42"/>
      <c r="AA4010" s="42"/>
      <c r="AB4010" s="42"/>
      <c r="AC4010" s="42"/>
      <c r="AD4010" s="42"/>
      <c r="AE4010" s="42"/>
      <c r="AF4010" s="9"/>
      <c r="AG4010" s="9"/>
      <c r="AH4010" s="42"/>
      <c r="AI4010" s="42"/>
      <c r="AJ4010" s="42"/>
      <c r="AK4010" s="42"/>
      <c r="AL4010" s="42"/>
      <c r="AM4010" s="42"/>
      <c r="AN4010" s="42"/>
      <c r="AO4010" s="63" t="str">
        <f>IFERROR(__xludf.DUMMYFUNCTION("IF(ISBLANK(A4010),,IF(ISBLANK(S4010), A4010&amp;"";"", TEXTJOIN(CHAR(10), TRUE, A4010&amp;"";"", ARRAYFORMULA(VLOOKUP(SPLIT(S4010, "";"" &amp; CHAR(10)), $A:$AO, 41, FALSE)))))"),"")</f>
        <v/>
      </c>
      <c r="AP4010" s="89"/>
    </row>
    <row r="4011">
      <c r="A4011" s="42"/>
      <c r="B4011" s="42"/>
      <c r="C4011" s="42"/>
      <c r="D4011" s="42"/>
      <c r="E4011" s="39"/>
      <c r="F4011" s="9"/>
      <c r="G4011" s="9"/>
      <c r="H4011" s="9"/>
      <c r="I4011" s="9"/>
      <c r="J4011" s="9"/>
      <c r="K4011" s="9"/>
      <c r="L4011" s="9"/>
      <c r="M4011" s="9"/>
      <c r="N4011" s="9"/>
      <c r="O4011" s="9"/>
      <c r="P4011" s="9"/>
      <c r="Q4011" s="9"/>
      <c r="R4011" s="9"/>
      <c r="S4011" s="42"/>
      <c r="T4011" s="42"/>
      <c r="U4011" s="42"/>
      <c r="V4011" s="42"/>
      <c r="W4011" s="42"/>
      <c r="X4011" s="42"/>
      <c r="Y4011" s="42"/>
      <c r="Z4011" s="42"/>
      <c r="AA4011" s="42"/>
      <c r="AB4011" s="42"/>
      <c r="AC4011" s="42"/>
      <c r="AD4011" s="42"/>
      <c r="AE4011" s="42"/>
      <c r="AF4011" s="9"/>
      <c r="AG4011" s="9"/>
      <c r="AH4011" s="42"/>
      <c r="AI4011" s="42"/>
      <c r="AJ4011" s="42"/>
      <c r="AK4011" s="42"/>
      <c r="AL4011" s="42"/>
      <c r="AM4011" s="42"/>
      <c r="AN4011" s="42"/>
      <c r="AO4011" s="63" t="str">
        <f>IFERROR(__xludf.DUMMYFUNCTION("IF(ISBLANK(A4011),,IF(ISBLANK(S4011), A4011&amp;"";"", TEXTJOIN(CHAR(10), TRUE, A4011&amp;"";"", ARRAYFORMULA(VLOOKUP(SPLIT(S4011, "";"" &amp; CHAR(10)), $A:$AO, 41, FALSE)))))"),"")</f>
        <v/>
      </c>
      <c r="AP4011" s="89"/>
    </row>
    <row r="4012">
      <c r="A4012" s="42"/>
      <c r="B4012" s="42"/>
      <c r="C4012" s="42"/>
      <c r="D4012" s="42"/>
      <c r="E4012" s="39"/>
      <c r="F4012" s="9"/>
      <c r="G4012" s="9"/>
      <c r="H4012" s="9"/>
      <c r="I4012" s="9"/>
      <c r="J4012" s="9"/>
      <c r="K4012" s="9"/>
      <c r="L4012" s="9"/>
      <c r="M4012" s="9"/>
      <c r="N4012" s="9"/>
      <c r="O4012" s="9"/>
      <c r="P4012" s="9"/>
      <c r="Q4012" s="9"/>
      <c r="R4012" s="9"/>
      <c r="S4012" s="42"/>
      <c r="T4012" s="42"/>
      <c r="U4012" s="42"/>
      <c r="V4012" s="42"/>
      <c r="W4012" s="42"/>
      <c r="X4012" s="42"/>
      <c r="Y4012" s="42"/>
      <c r="Z4012" s="42"/>
      <c r="AA4012" s="42"/>
      <c r="AB4012" s="42"/>
      <c r="AC4012" s="42"/>
      <c r="AD4012" s="42"/>
      <c r="AE4012" s="42"/>
      <c r="AF4012" s="9"/>
      <c r="AG4012" s="9"/>
      <c r="AH4012" s="42"/>
      <c r="AI4012" s="42"/>
      <c r="AJ4012" s="42"/>
      <c r="AK4012" s="42"/>
      <c r="AL4012" s="42"/>
      <c r="AM4012" s="42"/>
      <c r="AN4012" s="42"/>
      <c r="AO4012" s="63" t="str">
        <f>IFERROR(__xludf.DUMMYFUNCTION("IF(ISBLANK(A4012),,IF(ISBLANK(S4012), A4012&amp;"";"", TEXTJOIN(CHAR(10), TRUE, A4012&amp;"";"", ARRAYFORMULA(VLOOKUP(SPLIT(S4012, "";"" &amp; CHAR(10)), $A:$AO, 41, FALSE)))))"),"")</f>
        <v/>
      </c>
      <c r="AP4012" s="89"/>
    </row>
    <row r="4013">
      <c r="A4013" s="42"/>
      <c r="B4013" s="42"/>
      <c r="C4013" s="42"/>
      <c r="D4013" s="42"/>
      <c r="E4013" s="39"/>
      <c r="F4013" s="9"/>
      <c r="G4013" s="9"/>
      <c r="H4013" s="9"/>
      <c r="I4013" s="9"/>
      <c r="J4013" s="9"/>
      <c r="K4013" s="9"/>
      <c r="L4013" s="9"/>
      <c r="M4013" s="9"/>
      <c r="N4013" s="9"/>
      <c r="O4013" s="9"/>
      <c r="P4013" s="9"/>
      <c r="Q4013" s="9"/>
      <c r="R4013" s="9"/>
      <c r="S4013" s="42"/>
      <c r="T4013" s="42"/>
      <c r="U4013" s="42"/>
      <c r="V4013" s="42"/>
      <c r="W4013" s="42"/>
      <c r="X4013" s="42"/>
      <c r="Y4013" s="42"/>
      <c r="Z4013" s="42"/>
      <c r="AA4013" s="42"/>
      <c r="AB4013" s="42"/>
      <c r="AC4013" s="42"/>
      <c r="AD4013" s="42"/>
      <c r="AE4013" s="42"/>
      <c r="AF4013" s="9"/>
      <c r="AG4013" s="9"/>
      <c r="AH4013" s="42"/>
      <c r="AI4013" s="42"/>
      <c r="AJ4013" s="42"/>
      <c r="AK4013" s="42"/>
      <c r="AL4013" s="42"/>
      <c r="AM4013" s="42"/>
      <c r="AN4013" s="42"/>
      <c r="AO4013" s="63" t="str">
        <f>IFERROR(__xludf.DUMMYFUNCTION("IF(ISBLANK(A4013),,IF(ISBLANK(S4013), A4013&amp;"";"", TEXTJOIN(CHAR(10), TRUE, A4013&amp;"";"", ARRAYFORMULA(VLOOKUP(SPLIT(S4013, "";"" &amp; CHAR(10)), $A:$AO, 41, FALSE)))))"),"")</f>
        <v/>
      </c>
      <c r="AP4013" s="89"/>
    </row>
    <row r="4014">
      <c r="A4014" s="42"/>
      <c r="B4014" s="42"/>
      <c r="C4014" s="42"/>
      <c r="D4014" s="42"/>
      <c r="E4014" s="39"/>
      <c r="F4014" s="9"/>
      <c r="G4014" s="9"/>
      <c r="H4014" s="9"/>
      <c r="I4014" s="9"/>
      <c r="J4014" s="9"/>
      <c r="K4014" s="9"/>
      <c r="L4014" s="9"/>
      <c r="M4014" s="9"/>
      <c r="N4014" s="9"/>
      <c r="O4014" s="9"/>
      <c r="P4014" s="9"/>
      <c r="Q4014" s="9"/>
      <c r="R4014" s="9"/>
      <c r="S4014" s="42"/>
      <c r="T4014" s="42"/>
      <c r="U4014" s="42"/>
      <c r="V4014" s="42"/>
      <c r="W4014" s="42"/>
      <c r="X4014" s="42"/>
      <c r="Y4014" s="42"/>
      <c r="Z4014" s="42"/>
      <c r="AA4014" s="42"/>
      <c r="AB4014" s="42"/>
      <c r="AC4014" s="42"/>
      <c r="AD4014" s="42"/>
      <c r="AE4014" s="42"/>
      <c r="AF4014" s="9"/>
      <c r="AG4014" s="9"/>
      <c r="AH4014" s="42"/>
      <c r="AI4014" s="42"/>
      <c r="AJ4014" s="42"/>
      <c r="AK4014" s="42"/>
      <c r="AL4014" s="42"/>
      <c r="AM4014" s="42"/>
      <c r="AN4014" s="42"/>
      <c r="AO4014" s="63" t="str">
        <f>IFERROR(__xludf.DUMMYFUNCTION("IF(ISBLANK(A4014),,IF(ISBLANK(S4014), A4014&amp;"";"", TEXTJOIN(CHAR(10), TRUE, A4014&amp;"";"", ARRAYFORMULA(VLOOKUP(SPLIT(S4014, "";"" &amp; CHAR(10)), $A:$AO, 41, FALSE)))))"),"")</f>
        <v/>
      </c>
      <c r="AP4014" s="89"/>
    </row>
    <row r="4015">
      <c r="A4015" s="42"/>
      <c r="B4015" s="42"/>
      <c r="C4015" s="42"/>
      <c r="D4015" s="42"/>
      <c r="E4015" s="39"/>
      <c r="F4015" s="9"/>
      <c r="G4015" s="9"/>
      <c r="H4015" s="9"/>
      <c r="I4015" s="9"/>
      <c r="J4015" s="9"/>
      <c r="K4015" s="9"/>
      <c r="L4015" s="9"/>
      <c r="M4015" s="9"/>
      <c r="N4015" s="9"/>
      <c r="O4015" s="9"/>
      <c r="P4015" s="9"/>
      <c r="Q4015" s="9"/>
      <c r="R4015" s="9"/>
      <c r="S4015" s="42"/>
      <c r="T4015" s="42"/>
      <c r="U4015" s="42"/>
      <c r="V4015" s="42"/>
      <c r="W4015" s="42"/>
      <c r="X4015" s="42"/>
      <c r="Y4015" s="42"/>
      <c r="Z4015" s="42"/>
      <c r="AA4015" s="42"/>
      <c r="AB4015" s="42"/>
      <c r="AC4015" s="42"/>
      <c r="AD4015" s="42"/>
      <c r="AE4015" s="42"/>
      <c r="AF4015" s="9"/>
      <c r="AG4015" s="9"/>
      <c r="AH4015" s="42"/>
      <c r="AI4015" s="42"/>
      <c r="AJ4015" s="42"/>
      <c r="AK4015" s="42"/>
      <c r="AL4015" s="42"/>
      <c r="AM4015" s="42"/>
      <c r="AN4015" s="42"/>
      <c r="AO4015" s="63" t="str">
        <f>IFERROR(__xludf.DUMMYFUNCTION("IF(ISBLANK(A4015),,IF(ISBLANK(S4015), A4015&amp;"";"", TEXTJOIN(CHAR(10), TRUE, A4015&amp;"";"", ARRAYFORMULA(VLOOKUP(SPLIT(S4015, "";"" &amp; CHAR(10)), $A:$AO, 41, FALSE)))))"),"")</f>
        <v/>
      </c>
      <c r="AP4015" s="89"/>
    </row>
    <row r="4016">
      <c r="A4016" s="42"/>
      <c r="B4016" s="42"/>
      <c r="C4016" s="42"/>
      <c r="D4016" s="42"/>
      <c r="E4016" s="39"/>
      <c r="F4016" s="9"/>
      <c r="G4016" s="9"/>
      <c r="H4016" s="9"/>
      <c r="I4016" s="9"/>
      <c r="J4016" s="9"/>
      <c r="K4016" s="9"/>
      <c r="L4016" s="9"/>
      <c r="M4016" s="9"/>
      <c r="N4016" s="9"/>
      <c r="O4016" s="9"/>
      <c r="P4016" s="9"/>
      <c r="Q4016" s="9"/>
      <c r="R4016" s="9"/>
      <c r="S4016" s="42"/>
      <c r="T4016" s="42"/>
      <c r="U4016" s="42"/>
      <c r="V4016" s="42"/>
      <c r="W4016" s="42"/>
      <c r="X4016" s="42"/>
      <c r="Y4016" s="42"/>
      <c r="Z4016" s="42"/>
      <c r="AA4016" s="42"/>
      <c r="AB4016" s="42"/>
      <c r="AC4016" s="42"/>
      <c r="AD4016" s="42"/>
      <c r="AE4016" s="42"/>
      <c r="AF4016" s="9"/>
      <c r="AG4016" s="9"/>
      <c r="AH4016" s="42"/>
      <c r="AI4016" s="42"/>
      <c r="AJ4016" s="42"/>
      <c r="AK4016" s="42"/>
      <c r="AL4016" s="42"/>
      <c r="AM4016" s="42"/>
      <c r="AN4016" s="42"/>
      <c r="AO4016" s="63" t="str">
        <f>IFERROR(__xludf.DUMMYFUNCTION("IF(ISBLANK(A4016),,IF(ISBLANK(S4016), A4016&amp;"";"", TEXTJOIN(CHAR(10), TRUE, A4016&amp;"";"", ARRAYFORMULA(VLOOKUP(SPLIT(S4016, "";"" &amp; CHAR(10)), $A:$AO, 41, FALSE)))))"),"")</f>
        <v/>
      </c>
      <c r="AP4016" s="89"/>
    </row>
    <row r="4017">
      <c r="A4017" s="42"/>
      <c r="B4017" s="42"/>
      <c r="C4017" s="42"/>
      <c r="D4017" s="42"/>
      <c r="E4017" s="39"/>
      <c r="F4017" s="9"/>
      <c r="G4017" s="9"/>
      <c r="H4017" s="9"/>
      <c r="I4017" s="9"/>
      <c r="J4017" s="9"/>
      <c r="K4017" s="9"/>
      <c r="L4017" s="9"/>
      <c r="M4017" s="9"/>
      <c r="N4017" s="9"/>
      <c r="O4017" s="9"/>
      <c r="P4017" s="9"/>
      <c r="Q4017" s="9"/>
      <c r="R4017" s="9"/>
      <c r="S4017" s="42"/>
      <c r="T4017" s="42"/>
      <c r="U4017" s="42"/>
      <c r="V4017" s="42"/>
      <c r="W4017" s="42"/>
      <c r="X4017" s="42"/>
      <c r="Y4017" s="42"/>
      <c r="Z4017" s="42"/>
      <c r="AA4017" s="42"/>
      <c r="AB4017" s="42"/>
      <c r="AC4017" s="42"/>
      <c r="AD4017" s="42"/>
      <c r="AE4017" s="42"/>
      <c r="AF4017" s="9"/>
      <c r="AG4017" s="9"/>
      <c r="AH4017" s="42"/>
      <c r="AI4017" s="42"/>
      <c r="AJ4017" s="42"/>
      <c r="AK4017" s="42"/>
      <c r="AL4017" s="42"/>
      <c r="AM4017" s="42"/>
      <c r="AN4017" s="42"/>
      <c r="AO4017" s="63" t="str">
        <f>IFERROR(__xludf.DUMMYFUNCTION("IF(ISBLANK(A4017),,IF(ISBLANK(S4017), A4017&amp;"";"", TEXTJOIN(CHAR(10), TRUE, A4017&amp;"";"", ARRAYFORMULA(VLOOKUP(SPLIT(S4017, "";"" &amp; CHAR(10)), $A:$AO, 41, FALSE)))))"),"")</f>
        <v/>
      </c>
      <c r="AP4017" s="89"/>
    </row>
    <row r="4018">
      <c r="A4018" s="42"/>
      <c r="B4018" s="42"/>
      <c r="C4018" s="42"/>
      <c r="D4018" s="42"/>
      <c r="E4018" s="39"/>
      <c r="F4018" s="9"/>
      <c r="G4018" s="9"/>
      <c r="H4018" s="9"/>
      <c r="I4018" s="9"/>
      <c r="J4018" s="9"/>
      <c r="K4018" s="9"/>
      <c r="L4018" s="9"/>
      <c r="M4018" s="9"/>
      <c r="N4018" s="9"/>
      <c r="O4018" s="9"/>
      <c r="P4018" s="9"/>
      <c r="Q4018" s="9"/>
      <c r="R4018" s="9"/>
      <c r="S4018" s="42"/>
      <c r="T4018" s="42"/>
      <c r="U4018" s="42"/>
      <c r="V4018" s="42"/>
      <c r="W4018" s="42"/>
      <c r="X4018" s="42"/>
      <c r="Y4018" s="42"/>
      <c r="Z4018" s="42"/>
      <c r="AA4018" s="42"/>
      <c r="AB4018" s="42"/>
      <c r="AC4018" s="42"/>
      <c r="AD4018" s="42"/>
      <c r="AE4018" s="42"/>
      <c r="AF4018" s="9"/>
      <c r="AG4018" s="9"/>
      <c r="AH4018" s="42"/>
      <c r="AI4018" s="42"/>
      <c r="AJ4018" s="42"/>
      <c r="AK4018" s="42"/>
      <c r="AL4018" s="42"/>
      <c r="AM4018" s="42"/>
      <c r="AN4018" s="42"/>
      <c r="AO4018" s="63" t="str">
        <f>IFERROR(__xludf.DUMMYFUNCTION("IF(ISBLANK(A4018),,IF(ISBLANK(S4018), A4018&amp;"";"", TEXTJOIN(CHAR(10), TRUE, A4018&amp;"";"", ARRAYFORMULA(VLOOKUP(SPLIT(S4018, "";"" &amp; CHAR(10)), $A:$AO, 41, FALSE)))))"),"")</f>
        <v/>
      </c>
      <c r="AP4018" s="89"/>
    </row>
    <row r="4019">
      <c r="A4019" s="42"/>
      <c r="B4019" s="42"/>
      <c r="C4019" s="42"/>
      <c r="D4019" s="42"/>
      <c r="E4019" s="39"/>
      <c r="F4019" s="9"/>
      <c r="G4019" s="9"/>
      <c r="H4019" s="9"/>
      <c r="I4019" s="9"/>
      <c r="J4019" s="9"/>
      <c r="K4019" s="9"/>
      <c r="L4019" s="9"/>
      <c r="M4019" s="9"/>
      <c r="N4019" s="9"/>
      <c r="O4019" s="9"/>
      <c r="P4019" s="9"/>
      <c r="Q4019" s="9"/>
      <c r="R4019" s="9"/>
      <c r="S4019" s="42"/>
      <c r="T4019" s="42"/>
      <c r="U4019" s="42"/>
      <c r="V4019" s="42"/>
      <c r="W4019" s="42"/>
      <c r="X4019" s="42"/>
      <c r="Y4019" s="42"/>
      <c r="Z4019" s="42"/>
      <c r="AA4019" s="42"/>
      <c r="AB4019" s="42"/>
      <c r="AC4019" s="42"/>
      <c r="AD4019" s="42"/>
      <c r="AE4019" s="42"/>
      <c r="AF4019" s="9"/>
      <c r="AG4019" s="9"/>
      <c r="AH4019" s="42"/>
      <c r="AI4019" s="42"/>
      <c r="AJ4019" s="42"/>
      <c r="AK4019" s="42"/>
      <c r="AL4019" s="42"/>
      <c r="AM4019" s="42"/>
      <c r="AN4019" s="42"/>
      <c r="AO4019" s="63" t="str">
        <f>IFERROR(__xludf.DUMMYFUNCTION("IF(ISBLANK(A4019),,IF(ISBLANK(S4019), A4019&amp;"";"", TEXTJOIN(CHAR(10), TRUE, A4019&amp;"";"", ARRAYFORMULA(VLOOKUP(SPLIT(S4019, "";"" &amp; CHAR(10)), $A:$AO, 41, FALSE)))))"),"")</f>
        <v/>
      </c>
      <c r="AP4019" s="89"/>
    </row>
    <row r="4020">
      <c r="A4020" s="42"/>
      <c r="B4020" s="42"/>
      <c r="C4020" s="42"/>
      <c r="D4020" s="42"/>
      <c r="E4020" s="39"/>
      <c r="F4020" s="9"/>
      <c r="G4020" s="9"/>
      <c r="H4020" s="9"/>
      <c r="I4020" s="9"/>
      <c r="J4020" s="9"/>
      <c r="K4020" s="9"/>
      <c r="L4020" s="9"/>
      <c r="M4020" s="9"/>
      <c r="N4020" s="9"/>
      <c r="O4020" s="9"/>
      <c r="P4020" s="9"/>
      <c r="Q4020" s="9"/>
      <c r="R4020" s="9"/>
      <c r="S4020" s="42"/>
      <c r="T4020" s="42"/>
      <c r="U4020" s="42"/>
      <c r="V4020" s="42"/>
      <c r="W4020" s="42"/>
      <c r="X4020" s="42"/>
      <c r="Y4020" s="42"/>
      <c r="Z4020" s="42"/>
      <c r="AA4020" s="42"/>
      <c r="AB4020" s="42"/>
      <c r="AC4020" s="42"/>
      <c r="AD4020" s="42"/>
      <c r="AE4020" s="42"/>
      <c r="AF4020" s="9"/>
      <c r="AG4020" s="9"/>
      <c r="AH4020" s="42"/>
      <c r="AI4020" s="42"/>
      <c r="AJ4020" s="42"/>
      <c r="AK4020" s="42"/>
      <c r="AL4020" s="42"/>
      <c r="AM4020" s="42"/>
      <c r="AN4020" s="42"/>
      <c r="AO4020" s="63" t="str">
        <f>IFERROR(__xludf.DUMMYFUNCTION("IF(ISBLANK(A4020),,IF(ISBLANK(S4020), A4020&amp;"";"", TEXTJOIN(CHAR(10), TRUE, A4020&amp;"";"", ARRAYFORMULA(VLOOKUP(SPLIT(S4020, "";"" &amp; CHAR(10)), $A:$AO, 41, FALSE)))))"),"")</f>
        <v/>
      </c>
      <c r="AP4020" s="89"/>
    </row>
    <row r="4021">
      <c r="A4021" s="42"/>
      <c r="B4021" s="42"/>
      <c r="C4021" s="42"/>
      <c r="D4021" s="42"/>
      <c r="E4021" s="39"/>
      <c r="F4021" s="9"/>
      <c r="G4021" s="9"/>
      <c r="H4021" s="9"/>
      <c r="I4021" s="9"/>
      <c r="J4021" s="9"/>
      <c r="K4021" s="9"/>
      <c r="L4021" s="9"/>
      <c r="M4021" s="9"/>
      <c r="N4021" s="9"/>
      <c r="O4021" s="9"/>
      <c r="P4021" s="9"/>
      <c r="Q4021" s="9"/>
      <c r="R4021" s="9"/>
      <c r="S4021" s="42"/>
      <c r="T4021" s="42"/>
      <c r="U4021" s="42"/>
      <c r="V4021" s="42"/>
      <c r="W4021" s="42"/>
      <c r="X4021" s="42"/>
      <c r="Y4021" s="42"/>
      <c r="Z4021" s="42"/>
      <c r="AA4021" s="42"/>
      <c r="AB4021" s="42"/>
      <c r="AC4021" s="42"/>
      <c r="AD4021" s="42"/>
      <c r="AE4021" s="42"/>
      <c r="AF4021" s="9"/>
      <c r="AG4021" s="9"/>
      <c r="AH4021" s="42"/>
      <c r="AI4021" s="42"/>
      <c r="AJ4021" s="42"/>
      <c r="AK4021" s="42"/>
      <c r="AL4021" s="42"/>
      <c r="AM4021" s="42"/>
      <c r="AN4021" s="42"/>
      <c r="AO4021" s="63" t="str">
        <f>IFERROR(__xludf.DUMMYFUNCTION("IF(ISBLANK(A4021),,IF(ISBLANK(S4021), A4021&amp;"";"", TEXTJOIN(CHAR(10), TRUE, A4021&amp;"";"", ARRAYFORMULA(VLOOKUP(SPLIT(S4021, "";"" &amp; CHAR(10)), $A:$AO, 41, FALSE)))))"),"")</f>
        <v/>
      </c>
      <c r="AP4021" s="89"/>
    </row>
    <row r="4022">
      <c r="A4022" s="42"/>
      <c r="B4022" s="42"/>
      <c r="C4022" s="42"/>
      <c r="D4022" s="42"/>
      <c r="E4022" s="39"/>
      <c r="F4022" s="9"/>
      <c r="G4022" s="9"/>
      <c r="H4022" s="9"/>
      <c r="I4022" s="9"/>
      <c r="J4022" s="9"/>
      <c r="K4022" s="9"/>
      <c r="L4022" s="9"/>
      <c r="M4022" s="9"/>
      <c r="N4022" s="9"/>
      <c r="O4022" s="9"/>
      <c r="P4022" s="9"/>
      <c r="Q4022" s="9"/>
      <c r="R4022" s="9"/>
      <c r="S4022" s="42"/>
      <c r="T4022" s="42"/>
      <c r="U4022" s="42"/>
      <c r="V4022" s="42"/>
      <c r="W4022" s="42"/>
      <c r="X4022" s="42"/>
      <c r="Y4022" s="42"/>
      <c r="Z4022" s="42"/>
      <c r="AA4022" s="42"/>
      <c r="AB4022" s="42"/>
      <c r="AC4022" s="42"/>
      <c r="AD4022" s="42"/>
      <c r="AE4022" s="42"/>
      <c r="AF4022" s="9"/>
      <c r="AG4022" s="9"/>
      <c r="AH4022" s="42"/>
      <c r="AI4022" s="42"/>
      <c r="AJ4022" s="42"/>
      <c r="AK4022" s="42"/>
      <c r="AL4022" s="42"/>
      <c r="AM4022" s="42"/>
      <c r="AN4022" s="42"/>
      <c r="AO4022" s="63" t="str">
        <f>IFERROR(__xludf.DUMMYFUNCTION("IF(ISBLANK(A4022),,IF(ISBLANK(S4022), A4022&amp;"";"", TEXTJOIN(CHAR(10), TRUE, A4022&amp;"";"", ARRAYFORMULA(VLOOKUP(SPLIT(S4022, "";"" &amp; CHAR(10)), $A:$AO, 41, FALSE)))))"),"")</f>
        <v/>
      </c>
      <c r="AP4022" s="89"/>
    </row>
    <row r="4023">
      <c r="A4023" s="42"/>
      <c r="B4023" s="42"/>
      <c r="C4023" s="42"/>
      <c r="D4023" s="42"/>
      <c r="E4023" s="39"/>
      <c r="F4023" s="9"/>
      <c r="G4023" s="9"/>
      <c r="H4023" s="9"/>
      <c r="I4023" s="9"/>
      <c r="J4023" s="9"/>
      <c r="K4023" s="9"/>
      <c r="L4023" s="9"/>
      <c r="M4023" s="9"/>
      <c r="N4023" s="9"/>
      <c r="O4023" s="9"/>
      <c r="P4023" s="9"/>
      <c r="Q4023" s="9"/>
      <c r="R4023" s="9"/>
      <c r="S4023" s="42"/>
      <c r="T4023" s="42"/>
      <c r="U4023" s="42"/>
      <c r="V4023" s="42"/>
      <c r="W4023" s="42"/>
      <c r="X4023" s="42"/>
      <c r="Y4023" s="42"/>
      <c r="Z4023" s="42"/>
      <c r="AA4023" s="42"/>
      <c r="AB4023" s="42"/>
      <c r="AC4023" s="42"/>
      <c r="AD4023" s="42"/>
      <c r="AE4023" s="42"/>
      <c r="AF4023" s="9"/>
      <c r="AG4023" s="9"/>
      <c r="AH4023" s="42"/>
      <c r="AI4023" s="42"/>
      <c r="AJ4023" s="42"/>
      <c r="AK4023" s="42"/>
      <c r="AL4023" s="42"/>
      <c r="AM4023" s="42"/>
      <c r="AN4023" s="42"/>
      <c r="AO4023" s="63" t="str">
        <f>IFERROR(__xludf.DUMMYFUNCTION("IF(ISBLANK(A4023),,IF(ISBLANK(S4023), A4023&amp;"";"", TEXTJOIN(CHAR(10), TRUE, A4023&amp;"";"", ARRAYFORMULA(VLOOKUP(SPLIT(S4023, "";"" &amp; CHAR(10)), $A:$AO, 41, FALSE)))))"),"")</f>
        <v/>
      </c>
      <c r="AP4023" s="89"/>
    </row>
    <row r="4024">
      <c r="A4024" s="42"/>
      <c r="B4024" s="42"/>
      <c r="C4024" s="42"/>
      <c r="D4024" s="42"/>
      <c r="E4024" s="39"/>
      <c r="F4024" s="9"/>
      <c r="G4024" s="9"/>
      <c r="H4024" s="9"/>
      <c r="I4024" s="9"/>
      <c r="J4024" s="9"/>
      <c r="K4024" s="9"/>
      <c r="L4024" s="9"/>
      <c r="M4024" s="9"/>
      <c r="N4024" s="9"/>
      <c r="O4024" s="9"/>
      <c r="P4024" s="9"/>
      <c r="Q4024" s="9"/>
      <c r="R4024" s="9"/>
      <c r="S4024" s="42"/>
      <c r="T4024" s="42"/>
      <c r="U4024" s="42"/>
      <c r="V4024" s="42"/>
      <c r="W4024" s="42"/>
      <c r="X4024" s="42"/>
      <c r="Y4024" s="42"/>
      <c r="Z4024" s="42"/>
      <c r="AA4024" s="42"/>
      <c r="AB4024" s="42"/>
      <c r="AC4024" s="42"/>
      <c r="AD4024" s="42"/>
      <c r="AE4024" s="42"/>
      <c r="AF4024" s="9"/>
      <c r="AG4024" s="9"/>
      <c r="AH4024" s="42"/>
      <c r="AI4024" s="42"/>
      <c r="AJ4024" s="42"/>
      <c r="AK4024" s="42"/>
      <c r="AL4024" s="42"/>
      <c r="AM4024" s="42"/>
      <c r="AN4024" s="42"/>
      <c r="AO4024" s="63" t="str">
        <f>IFERROR(__xludf.DUMMYFUNCTION("IF(ISBLANK(A4024),,IF(ISBLANK(S4024), A4024&amp;"";"", TEXTJOIN(CHAR(10), TRUE, A4024&amp;"";"", ARRAYFORMULA(VLOOKUP(SPLIT(S4024, "";"" &amp; CHAR(10)), $A:$AO, 41, FALSE)))))"),"")</f>
        <v/>
      </c>
      <c r="AP4024" s="89"/>
    </row>
    <row r="4025">
      <c r="A4025" s="42"/>
      <c r="B4025" s="42"/>
      <c r="C4025" s="42"/>
      <c r="D4025" s="42"/>
      <c r="E4025" s="39"/>
      <c r="F4025" s="9"/>
      <c r="G4025" s="9"/>
      <c r="H4025" s="9"/>
      <c r="I4025" s="9"/>
      <c r="J4025" s="9"/>
      <c r="K4025" s="9"/>
      <c r="L4025" s="9"/>
      <c r="M4025" s="9"/>
      <c r="N4025" s="9"/>
      <c r="O4025" s="9"/>
      <c r="P4025" s="9"/>
      <c r="Q4025" s="9"/>
      <c r="R4025" s="9"/>
      <c r="S4025" s="42"/>
      <c r="T4025" s="42"/>
      <c r="U4025" s="42"/>
      <c r="V4025" s="42"/>
      <c r="W4025" s="42"/>
      <c r="X4025" s="42"/>
      <c r="Y4025" s="42"/>
      <c r="Z4025" s="42"/>
      <c r="AA4025" s="42"/>
      <c r="AB4025" s="42"/>
      <c r="AC4025" s="42"/>
      <c r="AD4025" s="42"/>
      <c r="AE4025" s="42"/>
      <c r="AF4025" s="9"/>
      <c r="AG4025" s="9"/>
      <c r="AH4025" s="42"/>
      <c r="AI4025" s="42"/>
      <c r="AJ4025" s="42"/>
      <c r="AK4025" s="42"/>
      <c r="AL4025" s="42"/>
      <c r="AM4025" s="42"/>
      <c r="AN4025" s="42"/>
      <c r="AO4025" s="63" t="str">
        <f>IFERROR(__xludf.DUMMYFUNCTION("IF(ISBLANK(A4025),,IF(ISBLANK(S4025), A4025&amp;"";"", TEXTJOIN(CHAR(10), TRUE, A4025&amp;"";"", ARRAYFORMULA(VLOOKUP(SPLIT(S4025, "";"" &amp; CHAR(10)), $A:$AO, 41, FALSE)))))"),"")</f>
        <v/>
      </c>
      <c r="AP4025" s="89"/>
    </row>
    <row r="4026">
      <c r="A4026" s="42"/>
      <c r="B4026" s="42"/>
      <c r="C4026" s="42"/>
      <c r="D4026" s="42"/>
      <c r="E4026" s="39"/>
      <c r="F4026" s="9"/>
      <c r="G4026" s="9"/>
      <c r="H4026" s="9"/>
      <c r="I4026" s="9"/>
      <c r="J4026" s="9"/>
      <c r="K4026" s="9"/>
      <c r="L4026" s="9"/>
      <c r="M4026" s="9"/>
      <c r="N4026" s="9"/>
      <c r="O4026" s="9"/>
      <c r="P4026" s="9"/>
      <c r="Q4026" s="9"/>
      <c r="R4026" s="9"/>
      <c r="S4026" s="42"/>
      <c r="T4026" s="42"/>
      <c r="U4026" s="42"/>
      <c r="V4026" s="42"/>
      <c r="W4026" s="42"/>
      <c r="X4026" s="42"/>
      <c r="Y4026" s="42"/>
      <c r="Z4026" s="42"/>
      <c r="AA4026" s="42"/>
      <c r="AB4026" s="42"/>
      <c r="AC4026" s="42"/>
      <c r="AD4026" s="42"/>
      <c r="AE4026" s="42"/>
      <c r="AF4026" s="9"/>
      <c r="AG4026" s="9"/>
      <c r="AH4026" s="42"/>
      <c r="AI4026" s="42"/>
      <c r="AJ4026" s="42"/>
      <c r="AK4026" s="42"/>
      <c r="AL4026" s="42"/>
      <c r="AM4026" s="42"/>
      <c r="AN4026" s="42"/>
      <c r="AO4026" s="63" t="str">
        <f>IFERROR(__xludf.DUMMYFUNCTION("IF(ISBLANK(A4026),,IF(ISBLANK(S4026), A4026&amp;"";"", TEXTJOIN(CHAR(10), TRUE, A4026&amp;"";"", ARRAYFORMULA(VLOOKUP(SPLIT(S4026, "";"" &amp; CHAR(10)), $A:$AO, 41, FALSE)))))"),"")</f>
        <v/>
      </c>
      <c r="AP4026" s="89"/>
    </row>
    <row r="4027">
      <c r="A4027" s="42"/>
      <c r="B4027" s="42"/>
      <c r="C4027" s="42"/>
      <c r="D4027" s="42"/>
      <c r="E4027" s="39"/>
      <c r="F4027" s="9"/>
      <c r="G4027" s="9"/>
      <c r="H4027" s="9"/>
      <c r="I4027" s="9"/>
      <c r="J4027" s="9"/>
      <c r="K4027" s="9"/>
      <c r="L4027" s="9"/>
      <c r="M4027" s="9"/>
      <c r="N4027" s="9"/>
      <c r="O4027" s="9"/>
      <c r="P4027" s="9"/>
      <c r="Q4027" s="9"/>
      <c r="R4027" s="9"/>
      <c r="S4027" s="42"/>
      <c r="T4027" s="42"/>
      <c r="U4027" s="42"/>
      <c r="V4027" s="42"/>
      <c r="W4027" s="42"/>
      <c r="X4027" s="42"/>
      <c r="Y4027" s="42"/>
      <c r="Z4027" s="42"/>
      <c r="AA4027" s="42"/>
      <c r="AB4027" s="42"/>
      <c r="AC4027" s="42"/>
      <c r="AD4027" s="42"/>
      <c r="AE4027" s="42"/>
      <c r="AF4027" s="9"/>
      <c r="AG4027" s="9"/>
      <c r="AH4027" s="42"/>
      <c r="AI4027" s="42"/>
      <c r="AJ4027" s="42"/>
      <c r="AK4027" s="42"/>
      <c r="AL4027" s="42"/>
      <c r="AM4027" s="42"/>
      <c r="AN4027" s="42"/>
      <c r="AO4027" s="63" t="str">
        <f>IFERROR(__xludf.DUMMYFUNCTION("IF(ISBLANK(A4027),,IF(ISBLANK(S4027), A4027&amp;"";"", TEXTJOIN(CHAR(10), TRUE, A4027&amp;"";"", ARRAYFORMULA(VLOOKUP(SPLIT(S4027, "";"" &amp; CHAR(10)), $A:$AO, 41, FALSE)))))"),"")</f>
        <v/>
      </c>
      <c r="AP4027" s="89"/>
    </row>
    <row r="4028">
      <c r="A4028" s="42"/>
      <c r="B4028" s="42"/>
      <c r="C4028" s="42"/>
      <c r="D4028" s="42"/>
      <c r="E4028" s="39"/>
      <c r="F4028" s="9"/>
      <c r="G4028" s="9"/>
      <c r="H4028" s="9"/>
      <c r="I4028" s="9"/>
      <c r="J4028" s="9"/>
      <c r="K4028" s="9"/>
      <c r="L4028" s="9"/>
      <c r="M4028" s="9"/>
      <c r="N4028" s="9"/>
      <c r="O4028" s="9"/>
      <c r="P4028" s="9"/>
      <c r="Q4028" s="9"/>
      <c r="R4028" s="9"/>
      <c r="S4028" s="42"/>
      <c r="T4028" s="42"/>
      <c r="U4028" s="42"/>
      <c r="V4028" s="42"/>
      <c r="W4028" s="42"/>
      <c r="X4028" s="42"/>
      <c r="Y4028" s="42"/>
      <c r="Z4028" s="42"/>
      <c r="AA4028" s="42"/>
      <c r="AB4028" s="42"/>
      <c r="AC4028" s="42"/>
      <c r="AD4028" s="42"/>
      <c r="AE4028" s="42"/>
      <c r="AF4028" s="9"/>
      <c r="AG4028" s="9"/>
      <c r="AH4028" s="42"/>
      <c r="AI4028" s="42"/>
      <c r="AJ4028" s="42"/>
      <c r="AK4028" s="42"/>
      <c r="AL4028" s="42"/>
      <c r="AM4028" s="42"/>
      <c r="AN4028" s="42"/>
      <c r="AO4028" s="63" t="str">
        <f>IFERROR(__xludf.DUMMYFUNCTION("IF(ISBLANK(A4028),,IF(ISBLANK(S4028), A4028&amp;"";"", TEXTJOIN(CHAR(10), TRUE, A4028&amp;"";"", ARRAYFORMULA(VLOOKUP(SPLIT(S4028, "";"" &amp; CHAR(10)), $A:$AO, 41, FALSE)))))"),"")</f>
        <v/>
      </c>
      <c r="AP4028" s="89"/>
    </row>
    <row r="4029">
      <c r="A4029" s="42"/>
      <c r="B4029" s="42"/>
      <c r="C4029" s="42"/>
      <c r="D4029" s="42"/>
      <c r="E4029" s="39"/>
      <c r="F4029" s="9"/>
      <c r="G4029" s="9"/>
      <c r="H4029" s="9"/>
      <c r="I4029" s="9"/>
      <c r="J4029" s="9"/>
      <c r="K4029" s="9"/>
      <c r="L4029" s="9"/>
      <c r="M4029" s="9"/>
      <c r="N4029" s="9"/>
      <c r="O4029" s="9"/>
      <c r="P4029" s="9"/>
      <c r="Q4029" s="9"/>
      <c r="R4029" s="9"/>
      <c r="S4029" s="42"/>
      <c r="T4029" s="42"/>
      <c r="U4029" s="42"/>
      <c r="V4029" s="42"/>
      <c r="W4029" s="42"/>
      <c r="X4029" s="42"/>
      <c r="Y4029" s="42"/>
      <c r="Z4029" s="42"/>
      <c r="AA4029" s="42"/>
      <c r="AB4029" s="42"/>
      <c r="AC4029" s="42"/>
      <c r="AD4029" s="42"/>
      <c r="AE4029" s="42"/>
      <c r="AF4029" s="9"/>
      <c r="AG4029" s="9"/>
      <c r="AH4029" s="42"/>
      <c r="AI4029" s="42"/>
      <c r="AJ4029" s="42"/>
      <c r="AK4029" s="42"/>
      <c r="AL4029" s="42"/>
      <c r="AM4029" s="42"/>
      <c r="AN4029" s="42"/>
      <c r="AO4029" s="63" t="str">
        <f>IFERROR(__xludf.DUMMYFUNCTION("IF(ISBLANK(A4029),,IF(ISBLANK(S4029), A4029&amp;"";"", TEXTJOIN(CHAR(10), TRUE, A4029&amp;"";"", ARRAYFORMULA(VLOOKUP(SPLIT(S4029, "";"" &amp; CHAR(10)), $A:$AO, 41, FALSE)))))"),"")</f>
        <v/>
      </c>
      <c r="AP4029" s="89"/>
    </row>
    <row r="4030">
      <c r="A4030" s="42"/>
      <c r="B4030" s="42"/>
      <c r="C4030" s="42"/>
      <c r="D4030" s="42"/>
      <c r="E4030" s="39"/>
      <c r="F4030" s="9"/>
      <c r="G4030" s="9"/>
      <c r="H4030" s="9"/>
      <c r="I4030" s="9"/>
      <c r="J4030" s="9"/>
      <c r="K4030" s="9"/>
      <c r="L4030" s="9"/>
      <c r="M4030" s="9"/>
      <c r="N4030" s="9"/>
      <c r="O4030" s="9"/>
      <c r="P4030" s="9"/>
      <c r="Q4030" s="9"/>
      <c r="R4030" s="9"/>
      <c r="S4030" s="42"/>
      <c r="T4030" s="42"/>
      <c r="U4030" s="42"/>
      <c r="V4030" s="42"/>
      <c r="W4030" s="42"/>
      <c r="X4030" s="42"/>
      <c r="Y4030" s="42"/>
      <c r="Z4030" s="42"/>
      <c r="AA4030" s="42"/>
      <c r="AB4030" s="42"/>
      <c r="AC4030" s="42"/>
      <c r="AD4030" s="42"/>
      <c r="AE4030" s="42"/>
      <c r="AF4030" s="9"/>
      <c r="AG4030" s="9"/>
      <c r="AH4030" s="42"/>
      <c r="AI4030" s="42"/>
      <c r="AJ4030" s="42"/>
      <c r="AK4030" s="42"/>
      <c r="AL4030" s="42"/>
      <c r="AM4030" s="42"/>
      <c r="AN4030" s="42"/>
      <c r="AO4030" s="63" t="str">
        <f>IFERROR(__xludf.DUMMYFUNCTION("IF(ISBLANK(A4030),,IF(ISBLANK(S4030), A4030&amp;"";"", TEXTJOIN(CHAR(10), TRUE, A4030&amp;"";"", ARRAYFORMULA(VLOOKUP(SPLIT(S4030, "";"" &amp; CHAR(10)), $A:$AO, 41, FALSE)))))"),"")</f>
        <v/>
      </c>
      <c r="AP4030" s="89"/>
    </row>
    <row r="4031">
      <c r="A4031" s="42"/>
      <c r="B4031" s="42"/>
      <c r="C4031" s="42"/>
      <c r="D4031" s="42"/>
      <c r="E4031" s="39"/>
      <c r="F4031" s="9"/>
      <c r="G4031" s="9"/>
      <c r="H4031" s="9"/>
      <c r="I4031" s="9"/>
      <c r="J4031" s="9"/>
      <c r="K4031" s="9"/>
      <c r="L4031" s="9"/>
      <c r="M4031" s="9"/>
      <c r="N4031" s="9"/>
      <c r="O4031" s="9"/>
      <c r="P4031" s="9"/>
      <c r="Q4031" s="9"/>
      <c r="R4031" s="9"/>
      <c r="S4031" s="42"/>
      <c r="T4031" s="42"/>
      <c r="U4031" s="42"/>
      <c r="V4031" s="42"/>
      <c r="W4031" s="42"/>
      <c r="X4031" s="42"/>
      <c r="Y4031" s="42"/>
      <c r="Z4031" s="42"/>
      <c r="AA4031" s="42"/>
      <c r="AB4031" s="42"/>
      <c r="AC4031" s="42"/>
      <c r="AD4031" s="42"/>
      <c r="AE4031" s="42"/>
      <c r="AF4031" s="9"/>
      <c r="AG4031" s="9"/>
      <c r="AH4031" s="42"/>
      <c r="AI4031" s="42"/>
      <c r="AJ4031" s="42"/>
      <c r="AK4031" s="42"/>
      <c r="AL4031" s="42"/>
      <c r="AM4031" s="42"/>
      <c r="AN4031" s="42"/>
      <c r="AO4031" s="63" t="str">
        <f>IFERROR(__xludf.DUMMYFUNCTION("IF(ISBLANK(A4031),,IF(ISBLANK(S4031), A4031&amp;"";"", TEXTJOIN(CHAR(10), TRUE, A4031&amp;"";"", ARRAYFORMULA(VLOOKUP(SPLIT(S4031, "";"" &amp; CHAR(10)), $A:$AO, 41, FALSE)))))"),"")</f>
        <v/>
      </c>
      <c r="AP4031" s="89"/>
    </row>
    <row r="4032">
      <c r="A4032" s="42"/>
      <c r="B4032" s="42"/>
      <c r="C4032" s="42"/>
      <c r="D4032" s="42"/>
      <c r="E4032" s="39"/>
      <c r="F4032" s="9"/>
      <c r="G4032" s="9"/>
      <c r="H4032" s="9"/>
      <c r="I4032" s="9"/>
      <c r="J4032" s="9"/>
      <c r="K4032" s="9"/>
      <c r="L4032" s="9"/>
      <c r="M4032" s="9"/>
      <c r="N4032" s="9"/>
      <c r="O4032" s="9"/>
      <c r="P4032" s="9"/>
      <c r="Q4032" s="9"/>
      <c r="R4032" s="9"/>
      <c r="S4032" s="42"/>
      <c r="T4032" s="42"/>
      <c r="U4032" s="42"/>
      <c r="V4032" s="42"/>
      <c r="W4032" s="42"/>
      <c r="X4032" s="42"/>
      <c r="Y4032" s="42"/>
      <c r="Z4032" s="42"/>
      <c r="AA4032" s="42"/>
      <c r="AB4032" s="42"/>
      <c r="AC4032" s="42"/>
      <c r="AD4032" s="42"/>
      <c r="AE4032" s="42"/>
      <c r="AF4032" s="9"/>
      <c r="AG4032" s="9"/>
      <c r="AH4032" s="42"/>
      <c r="AI4032" s="42"/>
      <c r="AJ4032" s="42"/>
      <c r="AK4032" s="42"/>
      <c r="AL4032" s="42"/>
      <c r="AM4032" s="42"/>
      <c r="AN4032" s="42"/>
      <c r="AO4032" s="63" t="str">
        <f>IFERROR(__xludf.DUMMYFUNCTION("IF(ISBLANK(A4032),,IF(ISBLANK(S4032), A4032&amp;"";"", TEXTJOIN(CHAR(10), TRUE, A4032&amp;"";"", ARRAYFORMULA(VLOOKUP(SPLIT(S4032, "";"" &amp; CHAR(10)), $A:$AO, 41, FALSE)))))"),"")</f>
        <v/>
      </c>
      <c r="AP4032" s="89"/>
    </row>
    <row r="4033">
      <c r="A4033" s="42"/>
      <c r="B4033" s="42"/>
      <c r="C4033" s="42"/>
      <c r="D4033" s="42"/>
      <c r="E4033" s="39"/>
      <c r="F4033" s="9"/>
      <c r="G4033" s="9"/>
      <c r="H4033" s="9"/>
      <c r="I4033" s="9"/>
      <c r="J4033" s="9"/>
      <c r="K4033" s="9"/>
      <c r="L4033" s="9"/>
      <c r="M4033" s="9"/>
      <c r="N4033" s="9"/>
      <c r="O4033" s="9"/>
      <c r="P4033" s="9"/>
      <c r="Q4033" s="9"/>
      <c r="R4033" s="9"/>
      <c r="S4033" s="42"/>
      <c r="T4033" s="42"/>
      <c r="U4033" s="42"/>
      <c r="V4033" s="42"/>
      <c r="W4033" s="42"/>
      <c r="X4033" s="42"/>
      <c r="Y4033" s="42"/>
      <c r="Z4033" s="42"/>
      <c r="AA4033" s="42"/>
      <c r="AB4033" s="42"/>
      <c r="AC4033" s="42"/>
      <c r="AD4033" s="42"/>
      <c r="AE4033" s="42"/>
      <c r="AF4033" s="9"/>
      <c r="AG4033" s="9"/>
      <c r="AH4033" s="42"/>
      <c r="AI4033" s="42"/>
      <c r="AJ4033" s="42"/>
      <c r="AK4033" s="42"/>
      <c r="AL4033" s="42"/>
      <c r="AM4033" s="42"/>
      <c r="AN4033" s="42"/>
      <c r="AO4033" s="63" t="str">
        <f>IFERROR(__xludf.DUMMYFUNCTION("IF(ISBLANK(A4033),,IF(ISBLANK(S4033), A4033&amp;"";"", TEXTJOIN(CHAR(10), TRUE, A4033&amp;"";"", ARRAYFORMULA(VLOOKUP(SPLIT(S4033, "";"" &amp; CHAR(10)), $A:$AO, 41, FALSE)))))"),"")</f>
        <v/>
      </c>
      <c r="AP4033" s="89"/>
    </row>
    <row r="4034">
      <c r="A4034" s="42"/>
      <c r="B4034" s="42"/>
      <c r="C4034" s="42"/>
      <c r="D4034" s="42"/>
      <c r="E4034" s="39"/>
      <c r="F4034" s="9"/>
      <c r="G4034" s="9"/>
      <c r="H4034" s="9"/>
      <c r="I4034" s="9"/>
      <c r="J4034" s="9"/>
      <c r="K4034" s="9"/>
      <c r="L4034" s="9"/>
      <c r="M4034" s="9"/>
      <c r="N4034" s="9"/>
      <c r="O4034" s="9"/>
      <c r="P4034" s="9"/>
      <c r="Q4034" s="9"/>
      <c r="R4034" s="9"/>
      <c r="S4034" s="42"/>
      <c r="T4034" s="42"/>
      <c r="U4034" s="42"/>
      <c r="V4034" s="42"/>
      <c r="W4034" s="42"/>
      <c r="X4034" s="42"/>
      <c r="Y4034" s="42"/>
      <c r="Z4034" s="42"/>
      <c r="AA4034" s="42"/>
      <c r="AB4034" s="42"/>
      <c r="AC4034" s="42"/>
      <c r="AD4034" s="42"/>
      <c r="AE4034" s="42"/>
      <c r="AF4034" s="9"/>
      <c r="AG4034" s="9"/>
      <c r="AH4034" s="42"/>
      <c r="AI4034" s="42"/>
      <c r="AJ4034" s="42"/>
      <c r="AK4034" s="42"/>
      <c r="AL4034" s="42"/>
      <c r="AM4034" s="42"/>
      <c r="AN4034" s="42"/>
      <c r="AO4034" s="63" t="str">
        <f>IFERROR(__xludf.DUMMYFUNCTION("IF(ISBLANK(A4034),,IF(ISBLANK(S4034), A4034&amp;"";"", TEXTJOIN(CHAR(10), TRUE, A4034&amp;"";"", ARRAYFORMULA(VLOOKUP(SPLIT(S4034, "";"" &amp; CHAR(10)), $A:$AO, 41, FALSE)))))"),"")</f>
        <v/>
      </c>
      <c r="AP4034" s="89"/>
    </row>
    <row r="4035">
      <c r="A4035" s="42"/>
      <c r="B4035" s="42"/>
      <c r="C4035" s="42"/>
      <c r="D4035" s="42"/>
      <c r="E4035" s="39"/>
      <c r="F4035" s="9"/>
      <c r="G4035" s="9"/>
      <c r="H4035" s="9"/>
      <c r="I4035" s="9"/>
      <c r="J4035" s="9"/>
      <c r="K4035" s="9"/>
      <c r="L4035" s="9"/>
      <c r="M4035" s="9"/>
      <c r="N4035" s="9"/>
      <c r="O4035" s="9"/>
      <c r="P4035" s="9"/>
      <c r="Q4035" s="9"/>
      <c r="R4035" s="9"/>
      <c r="S4035" s="42"/>
      <c r="T4035" s="42"/>
      <c r="U4035" s="42"/>
      <c r="V4035" s="42"/>
      <c r="W4035" s="42"/>
      <c r="X4035" s="42"/>
      <c r="Y4035" s="42"/>
      <c r="Z4035" s="42"/>
      <c r="AA4035" s="42"/>
      <c r="AB4035" s="42"/>
      <c r="AC4035" s="42"/>
      <c r="AD4035" s="42"/>
      <c r="AE4035" s="42"/>
      <c r="AF4035" s="9"/>
      <c r="AG4035" s="9"/>
      <c r="AH4035" s="42"/>
      <c r="AI4035" s="42"/>
      <c r="AJ4035" s="42"/>
      <c r="AK4035" s="42"/>
      <c r="AL4035" s="42"/>
      <c r="AM4035" s="42"/>
      <c r="AN4035" s="42"/>
      <c r="AO4035" s="63" t="str">
        <f>IFERROR(__xludf.DUMMYFUNCTION("IF(ISBLANK(A4035),,IF(ISBLANK(S4035), A4035&amp;"";"", TEXTJOIN(CHAR(10), TRUE, A4035&amp;"";"", ARRAYFORMULA(VLOOKUP(SPLIT(S4035, "";"" &amp; CHAR(10)), $A:$AO, 41, FALSE)))))"),"")</f>
        <v/>
      </c>
      <c r="AP4035" s="89"/>
    </row>
    <row r="4036">
      <c r="A4036" s="42"/>
      <c r="B4036" s="42"/>
      <c r="C4036" s="42"/>
      <c r="D4036" s="42"/>
      <c r="E4036" s="39"/>
      <c r="F4036" s="9"/>
      <c r="G4036" s="9"/>
      <c r="H4036" s="9"/>
      <c r="I4036" s="9"/>
      <c r="J4036" s="9"/>
      <c r="K4036" s="9"/>
      <c r="L4036" s="9"/>
      <c r="M4036" s="9"/>
      <c r="N4036" s="9"/>
      <c r="O4036" s="9"/>
      <c r="P4036" s="9"/>
      <c r="Q4036" s="9"/>
      <c r="R4036" s="9"/>
      <c r="S4036" s="42"/>
      <c r="T4036" s="42"/>
      <c r="U4036" s="42"/>
      <c r="V4036" s="42"/>
      <c r="W4036" s="42"/>
      <c r="X4036" s="42"/>
      <c r="Y4036" s="42"/>
      <c r="Z4036" s="42"/>
      <c r="AA4036" s="42"/>
      <c r="AB4036" s="42"/>
      <c r="AC4036" s="42"/>
      <c r="AD4036" s="42"/>
      <c r="AE4036" s="42"/>
      <c r="AF4036" s="9"/>
      <c r="AG4036" s="9"/>
      <c r="AH4036" s="42"/>
      <c r="AI4036" s="42"/>
      <c r="AJ4036" s="42"/>
      <c r="AK4036" s="42"/>
      <c r="AL4036" s="42"/>
      <c r="AM4036" s="42"/>
      <c r="AN4036" s="42"/>
      <c r="AO4036" s="63" t="str">
        <f>IFERROR(__xludf.DUMMYFUNCTION("IF(ISBLANK(A4036),,IF(ISBLANK(S4036), A4036&amp;"";"", TEXTJOIN(CHAR(10), TRUE, A4036&amp;"";"", ARRAYFORMULA(VLOOKUP(SPLIT(S4036, "";"" &amp; CHAR(10)), $A:$AO, 41, FALSE)))))"),"")</f>
        <v/>
      </c>
      <c r="AP4036" s="89"/>
    </row>
    <row r="4037">
      <c r="A4037" s="42"/>
      <c r="B4037" s="42"/>
      <c r="C4037" s="42"/>
      <c r="D4037" s="42"/>
      <c r="E4037" s="39"/>
      <c r="F4037" s="9"/>
      <c r="G4037" s="9"/>
      <c r="H4037" s="9"/>
      <c r="I4037" s="9"/>
      <c r="J4037" s="9"/>
      <c r="K4037" s="9"/>
      <c r="L4037" s="9"/>
      <c r="M4037" s="9"/>
      <c r="N4037" s="9"/>
      <c r="O4037" s="9"/>
      <c r="P4037" s="9"/>
      <c r="Q4037" s="9"/>
      <c r="R4037" s="9"/>
      <c r="S4037" s="42"/>
      <c r="T4037" s="42"/>
      <c r="U4037" s="42"/>
      <c r="V4037" s="42"/>
      <c r="W4037" s="42"/>
      <c r="X4037" s="42"/>
      <c r="Y4037" s="42"/>
      <c r="Z4037" s="42"/>
      <c r="AA4037" s="42"/>
      <c r="AB4037" s="42"/>
      <c r="AC4037" s="42"/>
      <c r="AD4037" s="42"/>
      <c r="AE4037" s="42"/>
      <c r="AF4037" s="9"/>
      <c r="AG4037" s="9"/>
      <c r="AH4037" s="42"/>
      <c r="AI4037" s="42"/>
      <c r="AJ4037" s="42"/>
      <c r="AK4037" s="42"/>
      <c r="AL4037" s="42"/>
      <c r="AM4037" s="42"/>
      <c r="AN4037" s="42"/>
      <c r="AO4037" s="63" t="str">
        <f>IFERROR(__xludf.DUMMYFUNCTION("IF(ISBLANK(A4037),,IF(ISBLANK(S4037), A4037&amp;"";"", TEXTJOIN(CHAR(10), TRUE, A4037&amp;"";"", ARRAYFORMULA(VLOOKUP(SPLIT(S4037, "";"" &amp; CHAR(10)), $A:$AO, 41, FALSE)))))"),"")</f>
        <v/>
      </c>
      <c r="AP4037" s="89"/>
    </row>
    <row r="4038">
      <c r="A4038" s="42"/>
      <c r="B4038" s="42"/>
      <c r="C4038" s="42"/>
      <c r="D4038" s="42"/>
      <c r="E4038" s="39"/>
      <c r="F4038" s="9"/>
      <c r="G4038" s="9"/>
      <c r="H4038" s="9"/>
      <c r="I4038" s="9"/>
      <c r="J4038" s="9"/>
      <c r="K4038" s="9"/>
      <c r="L4038" s="9"/>
      <c r="M4038" s="9"/>
      <c r="N4038" s="9"/>
      <c r="O4038" s="9"/>
      <c r="P4038" s="9"/>
      <c r="Q4038" s="9"/>
      <c r="R4038" s="9"/>
      <c r="S4038" s="42"/>
      <c r="T4038" s="42"/>
      <c r="U4038" s="42"/>
      <c r="V4038" s="42"/>
      <c r="W4038" s="42"/>
      <c r="X4038" s="42"/>
      <c r="Y4038" s="42"/>
      <c r="Z4038" s="42"/>
      <c r="AA4038" s="42"/>
      <c r="AB4038" s="42"/>
      <c r="AC4038" s="42"/>
      <c r="AD4038" s="42"/>
      <c r="AE4038" s="42"/>
      <c r="AF4038" s="9"/>
      <c r="AG4038" s="9"/>
      <c r="AH4038" s="42"/>
      <c r="AI4038" s="42"/>
      <c r="AJ4038" s="42"/>
      <c r="AK4038" s="42"/>
      <c r="AL4038" s="42"/>
      <c r="AM4038" s="42"/>
      <c r="AN4038" s="42"/>
      <c r="AO4038" s="63" t="str">
        <f>IFERROR(__xludf.DUMMYFUNCTION("IF(ISBLANK(A4038),,IF(ISBLANK(S4038), A4038&amp;"";"", TEXTJOIN(CHAR(10), TRUE, A4038&amp;"";"", ARRAYFORMULA(VLOOKUP(SPLIT(S4038, "";"" &amp; CHAR(10)), $A:$AO, 41, FALSE)))))"),"")</f>
        <v/>
      </c>
      <c r="AP4038" s="89"/>
    </row>
    <row r="4039">
      <c r="A4039" s="42"/>
      <c r="B4039" s="42"/>
      <c r="C4039" s="42"/>
      <c r="D4039" s="42"/>
      <c r="E4039" s="39"/>
      <c r="F4039" s="9"/>
      <c r="G4039" s="9"/>
      <c r="H4039" s="9"/>
      <c r="I4039" s="9"/>
      <c r="J4039" s="9"/>
      <c r="K4039" s="9"/>
      <c r="L4039" s="9"/>
      <c r="M4039" s="9"/>
      <c r="N4039" s="9"/>
      <c r="O4039" s="9"/>
      <c r="P4039" s="9"/>
      <c r="Q4039" s="9"/>
      <c r="R4039" s="9"/>
      <c r="S4039" s="42"/>
      <c r="T4039" s="42"/>
      <c r="U4039" s="42"/>
      <c r="V4039" s="42"/>
      <c r="W4039" s="42"/>
      <c r="X4039" s="42"/>
      <c r="Y4039" s="42"/>
      <c r="Z4039" s="42"/>
      <c r="AA4039" s="42"/>
      <c r="AB4039" s="42"/>
      <c r="AC4039" s="42"/>
      <c r="AD4039" s="42"/>
      <c r="AE4039" s="42"/>
      <c r="AF4039" s="9"/>
      <c r="AG4039" s="9"/>
      <c r="AH4039" s="42"/>
      <c r="AI4039" s="42"/>
      <c r="AJ4039" s="42"/>
      <c r="AK4039" s="42"/>
      <c r="AL4039" s="42"/>
      <c r="AM4039" s="42"/>
      <c r="AN4039" s="42"/>
      <c r="AO4039" s="63" t="str">
        <f>IFERROR(__xludf.DUMMYFUNCTION("IF(ISBLANK(A4039),,IF(ISBLANK(S4039), A4039&amp;"";"", TEXTJOIN(CHAR(10), TRUE, A4039&amp;"";"", ARRAYFORMULA(VLOOKUP(SPLIT(S4039, "";"" &amp; CHAR(10)), $A:$AO, 41, FALSE)))))"),"")</f>
        <v/>
      </c>
      <c r="AP4039" s="89"/>
    </row>
    <row r="4040">
      <c r="A4040" s="42"/>
      <c r="B4040" s="42"/>
      <c r="C4040" s="42"/>
      <c r="D4040" s="42"/>
      <c r="E4040" s="39"/>
      <c r="F4040" s="9"/>
      <c r="G4040" s="9"/>
      <c r="H4040" s="9"/>
      <c r="I4040" s="9"/>
      <c r="J4040" s="9"/>
      <c r="K4040" s="9"/>
      <c r="L4040" s="9"/>
      <c r="M4040" s="9"/>
      <c r="N4040" s="9"/>
      <c r="O4040" s="9"/>
      <c r="P4040" s="9"/>
      <c r="Q4040" s="9"/>
      <c r="R4040" s="9"/>
      <c r="S4040" s="42"/>
      <c r="T4040" s="42"/>
      <c r="U4040" s="42"/>
      <c r="V4040" s="42"/>
      <c r="W4040" s="42"/>
      <c r="X4040" s="42"/>
      <c r="Y4040" s="42"/>
      <c r="Z4040" s="42"/>
      <c r="AA4040" s="42"/>
      <c r="AB4040" s="42"/>
      <c r="AC4040" s="42"/>
      <c r="AD4040" s="42"/>
      <c r="AE4040" s="42"/>
      <c r="AF4040" s="9"/>
      <c r="AG4040" s="9"/>
      <c r="AH4040" s="42"/>
      <c r="AI4040" s="42"/>
      <c r="AJ4040" s="42"/>
      <c r="AK4040" s="42"/>
      <c r="AL4040" s="42"/>
      <c r="AM4040" s="42"/>
      <c r="AN4040" s="42"/>
      <c r="AO4040" s="63" t="str">
        <f>IFERROR(__xludf.DUMMYFUNCTION("IF(ISBLANK(A4040),,IF(ISBLANK(S4040), A4040&amp;"";"", TEXTJOIN(CHAR(10), TRUE, A4040&amp;"";"", ARRAYFORMULA(VLOOKUP(SPLIT(S4040, "";"" &amp; CHAR(10)), $A:$AO, 41, FALSE)))))"),"")</f>
        <v/>
      </c>
      <c r="AP4040" s="89"/>
    </row>
    <row r="4041">
      <c r="A4041" s="42"/>
      <c r="B4041" s="42"/>
      <c r="C4041" s="42"/>
      <c r="D4041" s="42"/>
      <c r="E4041" s="39"/>
      <c r="F4041" s="9"/>
      <c r="G4041" s="9"/>
      <c r="H4041" s="9"/>
      <c r="I4041" s="9"/>
      <c r="J4041" s="9"/>
      <c r="K4041" s="9"/>
      <c r="L4041" s="9"/>
      <c r="M4041" s="9"/>
      <c r="N4041" s="9"/>
      <c r="O4041" s="9"/>
      <c r="P4041" s="9"/>
      <c r="Q4041" s="9"/>
      <c r="R4041" s="9"/>
      <c r="S4041" s="42"/>
      <c r="T4041" s="42"/>
      <c r="U4041" s="42"/>
      <c r="V4041" s="42"/>
      <c r="W4041" s="42"/>
      <c r="X4041" s="42"/>
      <c r="Y4041" s="42"/>
      <c r="Z4041" s="42"/>
      <c r="AA4041" s="42"/>
      <c r="AB4041" s="42"/>
      <c r="AC4041" s="42"/>
      <c r="AD4041" s="42"/>
      <c r="AE4041" s="42"/>
      <c r="AF4041" s="9"/>
      <c r="AG4041" s="9"/>
      <c r="AH4041" s="42"/>
      <c r="AI4041" s="42"/>
      <c r="AJ4041" s="42"/>
      <c r="AK4041" s="42"/>
      <c r="AL4041" s="42"/>
      <c r="AM4041" s="42"/>
      <c r="AN4041" s="42"/>
      <c r="AO4041" s="63" t="str">
        <f>IFERROR(__xludf.DUMMYFUNCTION("IF(ISBLANK(A4041),,IF(ISBLANK(S4041), A4041&amp;"";"", TEXTJOIN(CHAR(10), TRUE, A4041&amp;"";"", ARRAYFORMULA(VLOOKUP(SPLIT(S4041, "";"" &amp; CHAR(10)), $A:$AO, 41, FALSE)))))"),"")</f>
        <v/>
      </c>
      <c r="AP4041" s="89"/>
    </row>
    <row r="4042">
      <c r="A4042" s="42"/>
      <c r="B4042" s="42"/>
      <c r="C4042" s="42"/>
      <c r="D4042" s="42"/>
      <c r="E4042" s="39"/>
      <c r="F4042" s="9"/>
      <c r="G4042" s="9"/>
      <c r="H4042" s="9"/>
      <c r="I4042" s="9"/>
      <c r="J4042" s="9"/>
      <c r="K4042" s="9"/>
      <c r="L4042" s="9"/>
      <c r="M4042" s="9"/>
      <c r="N4042" s="9"/>
      <c r="O4042" s="9"/>
      <c r="P4042" s="9"/>
      <c r="Q4042" s="9"/>
      <c r="R4042" s="9"/>
      <c r="S4042" s="42"/>
      <c r="T4042" s="42"/>
      <c r="U4042" s="42"/>
      <c r="V4042" s="42"/>
      <c r="W4042" s="42"/>
      <c r="X4042" s="42"/>
      <c r="Y4042" s="42"/>
      <c r="Z4042" s="42"/>
      <c r="AA4042" s="42"/>
      <c r="AB4042" s="42"/>
      <c r="AC4042" s="42"/>
      <c r="AD4042" s="42"/>
      <c r="AE4042" s="42"/>
      <c r="AF4042" s="9"/>
      <c r="AG4042" s="9"/>
      <c r="AH4042" s="42"/>
      <c r="AI4042" s="42"/>
      <c r="AJ4042" s="42"/>
      <c r="AK4042" s="42"/>
      <c r="AL4042" s="42"/>
      <c r="AM4042" s="42"/>
      <c r="AN4042" s="42"/>
      <c r="AO4042" s="63" t="str">
        <f>IFERROR(__xludf.DUMMYFUNCTION("IF(ISBLANK(A4042),,IF(ISBLANK(S4042), A4042&amp;"";"", TEXTJOIN(CHAR(10), TRUE, A4042&amp;"";"", ARRAYFORMULA(VLOOKUP(SPLIT(S4042, "";"" &amp; CHAR(10)), $A:$AO, 41, FALSE)))))"),"")</f>
        <v/>
      </c>
      <c r="AP4042" s="89"/>
    </row>
    <row r="4043">
      <c r="A4043" s="42"/>
      <c r="B4043" s="42"/>
      <c r="C4043" s="42"/>
      <c r="D4043" s="42"/>
      <c r="E4043" s="39"/>
      <c r="F4043" s="9"/>
      <c r="G4043" s="9"/>
      <c r="H4043" s="9"/>
      <c r="I4043" s="9"/>
      <c r="J4043" s="9"/>
      <c r="K4043" s="9"/>
      <c r="L4043" s="9"/>
      <c r="M4043" s="9"/>
      <c r="N4043" s="9"/>
      <c r="O4043" s="9"/>
      <c r="P4043" s="9"/>
      <c r="Q4043" s="9"/>
      <c r="R4043" s="9"/>
      <c r="S4043" s="42"/>
      <c r="T4043" s="42"/>
      <c r="U4043" s="42"/>
      <c r="V4043" s="42"/>
      <c r="W4043" s="42"/>
      <c r="X4043" s="42"/>
      <c r="Y4043" s="42"/>
      <c r="Z4043" s="42"/>
      <c r="AA4043" s="42"/>
      <c r="AB4043" s="42"/>
      <c r="AC4043" s="42"/>
      <c r="AD4043" s="42"/>
      <c r="AE4043" s="42"/>
      <c r="AF4043" s="9"/>
      <c r="AG4043" s="9"/>
      <c r="AH4043" s="42"/>
      <c r="AI4043" s="42"/>
      <c r="AJ4043" s="42"/>
      <c r="AK4043" s="42"/>
      <c r="AL4043" s="42"/>
      <c r="AM4043" s="42"/>
      <c r="AN4043" s="42"/>
      <c r="AO4043" s="63" t="str">
        <f>IFERROR(__xludf.DUMMYFUNCTION("IF(ISBLANK(A4043),,IF(ISBLANK(S4043), A4043&amp;"";"", TEXTJOIN(CHAR(10), TRUE, A4043&amp;"";"", ARRAYFORMULA(VLOOKUP(SPLIT(S4043, "";"" &amp; CHAR(10)), $A:$AO, 41, FALSE)))))"),"")</f>
        <v/>
      </c>
      <c r="AP4043" s="89"/>
    </row>
    <row r="4044">
      <c r="A4044" s="42"/>
      <c r="B4044" s="42"/>
      <c r="C4044" s="42"/>
      <c r="D4044" s="42"/>
      <c r="E4044" s="39"/>
      <c r="F4044" s="9"/>
      <c r="G4044" s="9"/>
      <c r="H4044" s="9"/>
      <c r="I4044" s="9"/>
      <c r="J4044" s="9"/>
      <c r="K4044" s="9"/>
      <c r="L4044" s="9"/>
      <c r="M4044" s="9"/>
      <c r="N4044" s="9"/>
      <c r="O4044" s="9"/>
      <c r="P4044" s="9"/>
      <c r="Q4044" s="9"/>
      <c r="R4044" s="9"/>
      <c r="S4044" s="42"/>
      <c r="T4044" s="42"/>
      <c r="U4044" s="42"/>
      <c r="V4044" s="42"/>
      <c r="W4044" s="42"/>
      <c r="X4044" s="42"/>
      <c r="Y4044" s="42"/>
      <c r="Z4044" s="42"/>
      <c r="AA4044" s="42"/>
      <c r="AB4044" s="42"/>
      <c r="AC4044" s="42"/>
      <c r="AD4044" s="42"/>
      <c r="AE4044" s="42"/>
      <c r="AF4044" s="9"/>
      <c r="AG4044" s="9"/>
      <c r="AH4044" s="42"/>
      <c r="AI4044" s="42"/>
      <c r="AJ4044" s="42"/>
      <c r="AK4044" s="42"/>
      <c r="AL4044" s="42"/>
      <c r="AM4044" s="42"/>
      <c r="AN4044" s="42"/>
      <c r="AO4044" s="63" t="str">
        <f>IFERROR(__xludf.DUMMYFUNCTION("IF(ISBLANK(A4044),,IF(ISBLANK(S4044), A4044&amp;"";"", TEXTJOIN(CHAR(10), TRUE, A4044&amp;"";"", ARRAYFORMULA(VLOOKUP(SPLIT(S4044, "";"" &amp; CHAR(10)), $A:$AO, 41, FALSE)))))"),"")</f>
        <v/>
      </c>
      <c r="AP4044" s="89"/>
    </row>
    <row r="4045">
      <c r="A4045" s="42"/>
      <c r="B4045" s="42"/>
      <c r="C4045" s="42"/>
      <c r="D4045" s="42"/>
      <c r="E4045" s="39"/>
      <c r="F4045" s="9"/>
      <c r="G4045" s="9"/>
      <c r="H4045" s="9"/>
      <c r="I4045" s="9"/>
      <c r="J4045" s="9"/>
      <c r="K4045" s="9"/>
      <c r="L4045" s="9"/>
      <c r="M4045" s="9"/>
      <c r="N4045" s="9"/>
      <c r="O4045" s="9"/>
      <c r="P4045" s="9"/>
      <c r="Q4045" s="9"/>
      <c r="R4045" s="9"/>
      <c r="S4045" s="42"/>
      <c r="T4045" s="42"/>
      <c r="U4045" s="42"/>
      <c r="V4045" s="42"/>
      <c r="W4045" s="42"/>
      <c r="X4045" s="42"/>
      <c r="Y4045" s="42"/>
      <c r="Z4045" s="42"/>
      <c r="AA4045" s="42"/>
      <c r="AB4045" s="42"/>
      <c r="AC4045" s="42"/>
      <c r="AD4045" s="42"/>
      <c r="AE4045" s="42"/>
      <c r="AF4045" s="9"/>
      <c r="AG4045" s="9"/>
      <c r="AH4045" s="42"/>
      <c r="AI4045" s="42"/>
      <c r="AJ4045" s="42"/>
      <c r="AK4045" s="42"/>
      <c r="AL4045" s="42"/>
      <c r="AM4045" s="42"/>
      <c r="AN4045" s="42"/>
      <c r="AO4045" s="63" t="str">
        <f>IFERROR(__xludf.DUMMYFUNCTION("IF(ISBLANK(A4045),,IF(ISBLANK(S4045), A4045&amp;"";"", TEXTJOIN(CHAR(10), TRUE, A4045&amp;"";"", ARRAYFORMULA(VLOOKUP(SPLIT(S4045, "";"" &amp; CHAR(10)), $A:$AO, 41, FALSE)))))"),"")</f>
        <v/>
      </c>
      <c r="AP4045" s="89"/>
    </row>
    <row r="4046">
      <c r="A4046" s="42"/>
      <c r="B4046" s="42"/>
      <c r="C4046" s="42"/>
      <c r="D4046" s="42"/>
      <c r="E4046" s="39"/>
      <c r="F4046" s="9"/>
      <c r="G4046" s="9"/>
      <c r="H4046" s="9"/>
      <c r="I4046" s="9"/>
      <c r="J4046" s="9"/>
      <c r="K4046" s="9"/>
      <c r="L4046" s="9"/>
      <c r="M4046" s="9"/>
      <c r="N4046" s="9"/>
      <c r="O4046" s="9"/>
      <c r="P4046" s="9"/>
      <c r="Q4046" s="9"/>
      <c r="R4046" s="9"/>
      <c r="S4046" s="42"/>
      <c r="T4046" s="42"/>
      <c r="U4046" s="42"/>
      <c r="V4046" s="42"/>
      <c r="W4046" s="42"/>
      <c r="X4046" s="42"/>
      <c r="Y4046" s="42"/>
      <c r="Z4046" s="42"/>
      <c r="AA4046" s="42"/>
      <c r="AB4046" s="42"/>
      <c r="AC4046" s="42"/>
      <c r="AD4046" s="42"/>
      <c r="AE4046" s="42"/>
      <c r="AF4046" s="9"/>
      <c r="AG4046" s="9"/>
      <c r="AH4046" s="42"/>
      <c r="AI4046" s="42"/>
      <c r="AJ4046" s="42"/>
      <c r="AK4046" s="42"/>
      <c r="AL4046" s="42"/>
      <c r="AM4046" s="42"/>
      <c r="AN4046" s="42"/>
      <c r="AO4046" s="63" t="str">
        <f>IFERROR(__xludf.DUMMYFUNCTION("IF(ISBLANK(A4046),,IF(ISBLANK(S4046), A4046&amp;"";"", TEXTJOIN(CHAR(10), TRUE, A4046&amp;"";"", ARRAYFORMULA(VLOOKUP(SPLIT(S4046, "";"" &amp; CHAR(10)), $A:$AO, 41, FALSE)))))"),"")</f>
        <v/>
      </c>
      <c r="AP4046" s="89"/>
    </row>
    <row r="4047">
      <c r="A4047" s="42"/>
      <c r="B4047" s="42"/>
      <c r="C4047" s="42"/>
      <c r="D4047" s="42"/>
      <c r="E4047" s="39"/>
      <c r="F4047" s="9"/>
      <c r="G4047" s="9"/>
      <c r="H4047" s="9"/>
      <c r="I4047" s="9"/>
      <c r="J4047" s="9"/>
      <c r="K4047" s="9"/>
      <c r="L4047" s="9"/>
      <c r="M4047" s="9"/>
      <c r="N4047" s="9"/>
      <c r="O4047" s="9"/>
      <c r="P4047" s="9"/>
      <c r="Q4047" s="9"/>
      <c r="R4047" s="9"/>
      <c r="S4047" s="42"/>
      <c r="T4047" s="42"/>
      <c r="U4047" s="42"/>
      <c r="V4047" s="42"/>
      <c r="W4047" s="42"/>
      <c r="X4047" s="42"/>
      <c r="Y4047" s="42"/>
      <c r="Z4047" s="42"/>
      <c r="AA4047" s="42"/>
      <c r="AB4047" s="42"/>
      <c r="AC4047" s="42"/>
      <c r="AD4047" s="42"/>
      <c r="AE4047" s="42"/>
      <c r="AF4047" s="9"/>
      <c r="AG4047" s="9"/>
      <c r="AH4047" s="42"/>
      <c r="AI4047" s="42"/>
      <c r="AJ4047" s="42"/>
      <c r="AK4047" s="42"/>
      <c r="AL4047" s="42"/>
      <c r="AM4047" s="42"/>
      <c r="AN4047" s="42"/>
      <c r="AO4047" s="63" t="str">
        <f>IFERROR(__xludf.DUMMYFUNCTION("IF(ISBLANK(A4047),,IF(ISBLANK(S4047), A4047&amp;"";"", TEXTJOIN(CHAR(10), TRUE, A4047&amp;"";"", ARRAYFORMULA(VLOOKUP(SPLIT(S4047, "";"" &amp; CHAR(10)), $A:$AO, 41, FALSE)))))"),"")</f>
        <v/>
      </c>
      <c r="AP4047" s="89"/>
    </row>
    <row r="4048">
      <c r="A4048" s="42"/>
      <c r="B4048" s="42"/>
      <c r="C4048" s="42"/>
      <c r="D4048" s="42"/>
      <c r="E4048" s="39"/>
      <c r="F4048" s="9"/>
      <c r="G4048" s="9"/>
      <c r="H4048" s="9"/>
      <c r="I4048" s="9"/>
      <c r="J4048" s="9"/>
      <c r="K4048" s="9"/>
      <c r="L4048" s="9"/>
      <c r="M4048" s="9"/>
      <c r="N4048" s="9"/>
      <c r="O4048" s="9"/>
      <c r="P4048" s="9"/>
      <c r="Q4048" s="9"/>
      <c r="R4048" s="9"/>
      <c r="S4048" s="42"/>
      <c r="T4048" s="42"/>
      <c r="U4048" s="42"/>
      <c r="V4048" s="42"/>
      <c r="W4048" s="42"/>
      <c r="X4048" s="42"/>
      <c r="Y4048" s="42"/>
      <c r="Z4048" s="42"/>
      <c r="AA4048" s="42"/>
      <c r="AB4048" s="42"/>
      <c r="AC4048" s="42"/>
      <c r="AD4048" s="42"/>
      <c r="AE4048" s="42"/>
      <c r="AF4048" s="9"/>
      <c r="AG4048" s="9"/>
      <c r="AH4048" s="42"/>
      <c r="AI4048" s="42"/>
      <c r="AJ4048" s="42"/>
      <c r="AK4048" s="42"/>
      <c r="AL4048" s="42"/>
      <c r="AM4048" s="42"/>
      <c r="AN4048" s="42"/>
      <c r="AO4048" s="63" t="str">
        <f>IFERROR(__xludf.DUMMYFUNCTION("IF(ISBLANK(A4048),,IF(ISBLANK(S4048), A4048&amp;"";"", TEXTJOIN(CHAR(10), TRUE, A4048&amp;"";"", ARRAYFORMULA(VLOOKUP(SPLIT(S4048, "";"" &amp; CHAR(10)), $A:$AO, 41, FALSE)))))"),"")</f>
        <v/>
      </c>
      <c r="AP4048" s="89"/>
    </row>
    <row r="4049">
      <c r="A4049" s="42"/>
      <c r="B4049" s="42"/>
      <c r="C4049" s="42"/>
      <c r="D4049" s="42"/>
      <c r="E4049" s="39"/>
      <c r="F4049" s="9"/>
      <c r="G4049" s="9"/>
      <c r="H4049" s="9"/>
      <c r="I4049" s="9"/>
      <c r="J4049" s="9"/>
      <c r="K4049" s="9"/>
      <c r="L4049" s="9"/>
      <c r="M4049" s="9"/>
      <c r="N4049" s="9"/>
      <c r="O4049" s="9"/>
      <c r="P4049" s="9"/>
      <c r="Q4049" s="9"/>
      <c r="R4049" s="9"/>
      <c r="S4049" s="42"/>
      <c r="T4049" s="42"/>
      <c r="U4049" s="42"/>
      <c r="V4049" s="42"/>
      <c r="W4049" s="42"/>
      <c r="X4049" s="42"/>
      <c r="Y4049" s="42"/>
      <c r="Z4049" s="42"/>
      <c r="AA4049" s="42"/>
      <c r="AB4049" s="42"/>
      <c r="AC4049" s="42"/>
      <c r="AD4049" s="42"/>
      <c r="AE4049" s="42"/>
      <c r="AF4049" s="9"/>
      <c r="AG4049" s="9"/>
      <c r="AH4049" s="42"/>
      <c r="AI4049" s="42"/>
      <c r="AJ4049" s="42"/>
      <c r="AK4049" s="42"/>
      <c r="AL4049" s="42"/>
      <c r="AM4049" s="42"/>
      <c r="AN4049" s="42"/>
      <c r="AO4049" s="63" t="str">
        <f>IFERROR(__xludf.DUMMYFUNCTION("IF(ISBLANK(A4049),,IF(ISBLANK(S4049), A4049&amp;"";"", TEXTJOIN(CHAR(10), TRUE, A4049&amp;"";"", ARRAYFORMULA(VLOOKUP(SPLIT(S4049, "";"" &amp; CHAR(10)), $A:$AO, 41, FALSE)))))"),"")</f>
        <v/>
      </c>
      <c r="AP4049" s="89"/>
    </row>
    <row r="4050">
      <c r="A4050" s="42"/>
      <c r="B4050" s="42"/>
      <c r="C4050" s="42"/>
      <c r="D4050" s="42"/>
      <c r="E4050" s="39"/>
      <c r="F4050" s="9"/>
      <c r="G4050" s="9"/>
      <c r="H4050" s="9"/>
      <c r="I4050" s="9"/>
      <c r="J4050" s="9"/>
      <c r="K4050" s="9"/>
      <c r="L4050" s="9"/>
      <c r="M4050" s="9"/>
      <c r="N4050" s="9"/>
      <c r="O4050" s="9"/>
      <c r="P4050" s="9"/>
      <c r="Q4050" s="9"/>
      <c r="R4050" s="9"/>
      <c r="S4050" s="42"/>
      <c r="T4050" s="42"/>
      <c r="U4050" s="42"/>
      <c r="V4050" s="42"/>
      <c r="W4050" s="42"/>
      <c r="X4050" s="42"/>
      <c r="Y4050" s="42"/>
      <c r="Z4050" s="42"/>
      <c r="AA4050" s="42"/>
      <c r="AB4050" s="42"/>
      <c r="AC4050" s="42"/>
      <c r="AD4050" s="42"/>
      <c r="AE4050" s="42"/>
      <c r="AF4050" s="9"/>
      <c r="AG4050" s="9"/>
      <c r="AH4050" s="42"/>
      <c r="AI4050" s="42"/>
      <c r="AJ4050" s="42"/>
      <c r="AK4050" s="42"/>
      <c r="AL4050" s="42"/>
      <c r="AM4050" s="42"/>
      <c r="AN4050" s="42"/>
      <c r="AO4050" s="63" t="str">
        <f>IFERROR(__xludf.DUMMYFUNCTION("IF(ISBLANK(A4050),,IF(ISBLANK(S4050), A4050&amp;"";"", TEXTJOIN(CHAR(10), TRUE, A4050&amp;"";"", ARRAYFORMULA(VLOOKUP(SPLIT(S4050, "";"" &amp; CHAR(10)), $A:$AO, 41, FALSE)))))"),"")</f>
        <v/>
      </c>
      <c r="AP4050" s="89"/>
    </row>
    <row r="4051">
      <c r="A4051" s="42"/>
      <c r="B4051" s="42"/>
      <c r="C4051" s="42"/>
      <c r="D4051" s="42"/>
      <c r="E4051" s="39"/>
      <c r="F4051" s="9"/>
      <c r="G4051" s="9"/>
      <c r="H4051" s="9"/>
      <c r="I4051" s="9"/>
      <c r="J4051" s="9"/>
      <c r="K4051" s="9"/>
      <c r="L4051" s="9"/>
      <c r="M4051" s="9"/>
      <c r="N4051" s="9"/>
      <c r="O4051" s="9"/>
      <c r="P4051" s="9"/>
      <c r="Q4051" s="9"/>
      <c r="R4051" s="9"/>
      <c r="S4051" s="42"/>
      <c r="T4051" s="42"/>
      <c r="U4051" s="42"/>
      <c r="V4051" s="42"/>
      <c r="W4051" s="42"/>
      <c r="X4051" s="42"/>
      <c r="Y4051" s="42"/>
      <c r="Z4051" s="42"/>
      <c r="AA4051" s="42"/>
      <c r="AB4051" s="42"/>
      <c r="AC4051" s="42"/>
      <c r="AD4051" s="42"/>
      <c r="AE4051" s="42"/>
      <c r="AF4051" s="9"/>
      <c r="AG4051" s="9"/>
      <c r="AH4051" s="42"/>
      <c r="AI4051" s="42"/>
      <c r="AJ4051" s="42"/>
      <c r="AK4051" s="42"/>
      <c r="AL4051" s="42"/>
      <c r="AM4051" s="42"/>
      <c r="AN4051" s="42"/>
      <c r="AO4051" s="63" t="str">
        <f>IFERROR(__xludf.DUMMYFUNCTION("IF(ISBLANK(A4051),,IF(ISBLANK(S4051), A4051&amp;"";"", TEXTJOIN(CHAR(10), TRUE, A4051&amp;"";"", ARRAYFORMULA(VLOOKUP(SPLIT(S4051, "";"" &amp; CHAR(10)), $A:$AO, 41, FALSE)))))"),"")</f>
        <v/>
      </c>
      <c r="AP4051" s="89"/>
    </row>
    <row r="4052">
      <c r="A4052" s="42"/>
      <c r="B4052" s="42"/>
      <c r="C4052" s="42"/>
      <c r="D4052" s="42"/>
      <c r="E4052" s="39"/>
      <c r="F4052" s="9"/>
      <c r="G4052" s="9"/>
      <c r="H4052" s="9"/>
      <c r="I4052" s="9"/>
      <c r="J4052" s="9"/>
      <c r="K4052" s="9"/>
      <c r="L4052" s="9"/>
      <c r="M4052" s="9"/>
      <c r="N4052" s="9"/>
      <c r="O4052" s="9"/>
      <c r="P4052" s="9"/>
      <c r="Q4052" s="9"/>
      <c r="R4052" s="9"/>
      <c r="S4052" s="42"/>
      <c r="T4052" s="42"/>
      <c r="U4052" s="42"/>
      <c r="V4052" s="42"/>
      <c r="W4052" s="42"/>
      <c r="X4052" s="42"/>
      <c r="Y4052" s="42"/>
      <c r="Z4052" s="42"/>
      <c r="AA4052" s="42"/>
      <c r="AB4052" s="42"/>
      <c r="AC4052" s="42"/>
      <c r="AD4052" s="42"/>
      <c r="AE4052" s="42"/>
      <c r="AF4052" s="9"/>
      <c r="AG4052" s="9"/>
      <c r="AH4052" s="42"/>
      <c r="AI4052" s="42"/>
      <c r="AJ4052" s="42"/>
      <c r="AK4052" s="42"/>
      <c r="AL4052" s="42"/>
      <c r="AM4052" s="42"/>
      <c r="AN4052" s="42"/>
      <c r="AO4052" s="63" t="str">
        <f>IFERROR(__xludf.DUMMYFUNCTION("IF(ISBLANK(A4052),,IF(ISBLANK(S4052), A4052&amp;"";"", TEXTJOIN(CHAR(10), TRUE, A4052&amp;"";"", ARRAYFORMULA(VLOOKUP(SPLIT(S4052, "";"" &amp; CHAR(10)), $A:$AO, 41, FALSE)))))"),"")</f>
        <v/>
      </c>
      <c r="AP4052" s="89"/>
    </row>
    <row r="4053">
      <c r="A4053" s="42"/>
      <c r="B4053" s="42"/>
      <c r="C4053" s="42"/>
      <c r="D4053" s="42"/>
      <c r="E4053" s="39"/>
      <c r="F4053" s="9"/>
      <c r="G4053" s="9"/>
      <c r="H4053" s="9"/>
      <c r="I4053" s="9"/>
      <c r="J4053" s="9"/>
      <c r="K4053" s="9"/>
      <c r="L4053" s="9"/>
      <c r="M4053" s="9"/>
      <c r="N4053" s="9"/>
      <c r="O4053" s="9"/>
      <c r="P4053" s="9"/>
      <c r="Q4053" s="9"/>
      <c r="R4053" s="9"/>
      <c r="S4053" s="42"/>
      <c r="T4053" s="42"/>
      <c r="U4053" s="42"/>
      <c r="V4053" s="42"/>
      <c r="W4053" s="42"/>
      <c r="X4053" s="42"/>
      <c r="Y4053" s="42"/>
      <c r="Z4053" s="42"/>
      <c r="AA4053" s="42"/>
      <c r="AB4053" s="42"/>
      <c r="AC4053" s="42"/>
      <c r="AD4053" s="42"/>
      <c r="AE4053" s="42"/>
      <c r="AF4053" s="9"/>
      <c r="AG4053" s="9"/>
      <c r="AH4053" s="42"/>
      <c r="AI4053" s="42"/>
      <c r="AJ4053" s="42"/>
      <c r="AK4053" s="42"/>
      <c r="AL4053" s="42"/>
      <c r="AM4053" s="42"/>
      <c r="AN4053" s="42"/>
      <c r="AO4053" s="63" t="str">
        <f>IFERROR(__xludf.DUMMYFUNCTION("IF(ISBLANK(A4053),,IF(ISBLANK(S4053), A4053&amp;"";"", TEXTJOIN(CHAR(10), TRUE, A4053&amp;"";"", ARRAYFORMULA(VLOOKUP(SPLIT(S4053, "";"" &amp; CHAR(10)), $A:$AO, 41, FALSE)))))"),"")</f>
        <v/>
      </c>
      <c r="AP4053" s="89"/>
    </row>
    <row r="4054">
      <c r="A4054" s="42"/>
      <c r="B4054" s="42"/>
      <c r="C4054" s="42"/>
      <c r="D4054" s="42"/>
      <c r="E4054" s="39"/>
      <c r="F4054" s="9"/>
      <c r="G4054" s="9"/>
      <c r="H4054" s="9"/>
      <c r="I4054" s="9"/>
      <c r="J4054" s="9"/>
      <c r="K4054" s="9"/>
      <c r="L4054" s="9"/>
      <c r="M4054" s="9"/>
      <c r="N4054" s="9"/>
      <c r="O4054" s="9"/>
      <c r="P4054" s="9"/>
      <c r="Q4054" s="9"/>
      <c r="R4054" s="9"/>
      <c r="S4054" s="42"/>
      <c r="T4054" s="42"/>
      <c r="U4054" s="42"/>
      <c r="V4054" s="42"/>
      <c r="W4054" s="42"/>
      <c r="X4054" s="42"/>
      <c r="Y4054" s="42"/>
      <c r="Z4054" s="42"/>
      <c r="AA4054" s="42"/>
      <c r="AB4054" s="42"/>
      <c r="AC4054" s="42"/>
      <c r="AD4054" s="42"/>
      <c r="AE4054" s="42"/>
      <c r="AF4054" s="9"/>
      <c r="AG4054" s="9"/>
      <c r="AH4054" s="42"/>
      <c r="AI4054" s="42"/>
      <c r="AJ4054" s="42"/>
      <c r="AK4054" s="42"/>
      <c r="AL4054" s="42"/>
      <c r="AM4054" s="42"/>
      <c r="AN4054" s="42"/>
      <c r="AO4054" s="63" t="str">
        <f>IFERROR(__xludf.DUMMYFUNCTION("IF(ISBLANK(A4054),,IF(ISBLANK(S4054), A4054&amp;"";"", TEXTJOIN(CHAR(10), TRUE, A4054&amp;"";"", ARRAYFORMULA(VLOOKUP(SPLIT(S4054, "";"" &amp; CHAR(10)), $A:$AO, 41, FALSE)))))"),"")</f>
        <v/>
      </c>
      <c r="AP4054" s="89"/>
    </row>
    <row r="4055">
      <c r="A4055" s="42"/>
      <c r="B4055" s="42"/>
      <c r="C4055" s="42"/>
      <c r="D4055" s="42"/>
      <c r="E4055" s="39"/>
      <c r="F4055" s="9"/>
      <c r="G4055" s="9"/>
      <c r="H4055" s="9"/>
      <c r="I4055" s="9"/>
      <c r="J4055" s="9"/>
      <c r="K4055" s="9"/>
      <c r="L4055" s="9"/>
      <c r="M4055" s="9"/>
      <c r="N4055" s="9"/>
      <c r="O4055" s="9"/>
      <c r="P4055" s="9"/>
      <c r="Q4055" s="9"/>
      <c r="R4055" s="9"/>
      <c r="S4055" s="42"/>
      <c r="T4055" s="42"/>
      <c r="U4055" s="42"/>
      <c r="V4055" s="42"/>
      <c r="W4055" s="42"/>
      <c r="X4055" s="42"/>
      <c r="Y4055" s="42"/>
      <c r="Z4055" s="42"/>
      <c r="AA4055" s="42"/>
      <c r="AB4055" s="42"/>
      <c r="AC4055" s="42"/>
      <c r="AD4055" s="42"/>
      <c r="AE4055" s="42"/>
      <c r="AF4055" s="9"/>
      <c r="AG4055" s="9"/>
      <c r="AH4055" s="42"/>
      <c r="AI4055" s="42"/>
      <c r="AJ4055" s="42"/>
      <c r="AK4055" s="42"/>
      <c r="AL4055" s="42"/>
      <c r="AM4055" s="42"/>
      <c r="AN4055" s="42"/>
      <c r="AO4055" s="63" t="str">
        <f>IFERROR(__xludf.DUMMYFUNCTION("IF(ISBLANK(A4055),,IF(ISBLANK(S4055), A4055&amp;"";"", TEXTJOIN(CHAR(10), TRUE, A4055&amp;"";"", ARRAYFORMULA(VLOOKUP(SPLIT(S4055, "";"" &amp; CHAR(10)), $A:$AO, 41, FALSE)))))"),"")</f>
        <v/>
      </c>
      <c r="AP4055" s="89"/>
    </row>
    <row r="4056">
      <c r="A4056" s="42"/>
      <c r="B4056" s="42"/>
      <c r="C4056" s="42"/>
      <c r="D4056" s="42"/>
      <c r="E4056" s="39"/>
      <c r="F4056" s="9"/>
      <c r="G4056" s="9"/>
      <c r="H4056" s="9"/>
      <c r="I4056" s="9"/>
      <c r="J4056" s="9"/>
      <c r="K4056" s="9"/>
      <c r="L4056" s="9"/>
      <c r="M4056" s="9"/>
      <c r="N4056" s="9"/>
      <c r="O4056" s="9"/>
      <c r="P4056" s="9"/>
      <c r="Q4056" s="9"/>
      <c r="R4056" s="9"/>
      <c r="S4056" s="42"/>
      <c r="T4056" s="42"/>
      <c r="U4056" s="42"/>
      <c r="V4056" s="42"/>
      <c r="W4056" s="42"/>
      <c r="X4056" s="42"/>
      <c r="Y4056" s="42"/>
      <c r="Z4056" s="42"/>
      <c r="AA4056" s="42"/>
      <c r="AB4056" s="42"/>
      <c r="AC4056" s="42"/>
      <c r="AD4056" s="42"/>
      <c r="AE4056" s="42"/>
      <c r="AF4056" s="9"/>
      <c r="AG4056" s="9"/>
      <c r="AH4056" s="42"/>
      <c r="AI4056" s="42"/>
      <c r="AJ4056" s="42"/>
      <c r="AK4056" s="42"/>
      <c r="AL4056" s="42"/>
      <c r="AM4056" s="42"/>
      <c r="AN4056" s="42"/>
      <c r="AO4056" s="63" t="str">
        <f>IFERROR(__xludf.DUMMYFUNCTION("IF(ISBLANK(A4056),,IF(ISBLANK(S4056), A4056&amp;"";"", TEXTJOIN(CHAR(10), TRUE, A4056&amp;"";"", ARRAYFORMULA(VLOOKUP(SPLIT(S4056, "";"" &amp; CHAR(10)), $A:$AO, 41, FALSE)))))"),"")</f>
        <v/>
      </c>
      <c r="AP4056" s="89"/>
    </row>
    <row r="4057">
      <c r="A4057" s="42"/>
      <c r="B4057" s="42"/>
      <c r="C4057" s="42"/>
      <c r="D4057" s="42"/>
      <c r="E4057" s="39"/>
      <c r="F4057" s="9"/>
      <c r="G4057" s="9"/>
      <c r="H4057" s="9"/>
      <c r="I4057" s="9"/>
      <c r="J4057" s="9"/>
      <c r="K4057" s="9"/>
      <c r="L4057" s="9"/>
      <c r="M4057" s="9"/>
      <c r="N4057" s="9"/>
      <c r="O4057" s="9"/>
      <c r="P4057" s="9"/>
      <c r="Q4057" s="9"/>
      <c r="R4057" s="9"/>
      <c r="S4057" s="42"/>
      <c r="T4057" s="42"/>
      <c r="U4057" s="42"/>
      <c r="V4057" s="42"/>
      <c r="W4057" s="42"/>
      <c r="X4057" s="42"/>
      <c r="Y4057" s="42"/>
      <c r="Z4057" s="42"/>
      <c r="AA4057" s="42"/>
      <c r="AB4057" s="42"/>
      <c r="AC4057" s="42"/>
      <c r="AD4057" s="42"/>
      <c r="AE4057" s="42"/>
      <c r="AF4057" s="9"/>
      <c r="AG4057" s="9"/>
      <c r="AH4057" s="42"/>
      <c r="AI4057" s="42"/>
      <c r="AJ4057" s="42"/>
      <c r="AK4057" s="42"/>
      <c r="AL4057" s="42"/>
      <c r="AM4057" s="42"/>
      <c r="AN4057" s="42"/>
      <c r="AO4057" s="63" t="str">
        <f>IFERROR(__xludf.DUMMYFUNCTION("IF(ISBLANK(A4057),,IF(ISBLANK(S4057), A4057&amp;"";"", TEXTJOIN(CHAR(10), TRUE, A4057&amp;"";"", ARRAYFORMULA(VLOOKUP(SPLIT(S4057, "";"" &amp; CHAR(10)), $A:$AO, 41, FALSE)))))"),"")</f>
        <v/>
      </c>
      <c r="AP4057" s="89"/>
    </row>
    <row r="4058">
      <c r="A4058" s="42"/>
      <c r="B4058" s="42"/>
      <c r="C4058" s="42"/>
      <c r="D4058" s="42"/>
      <c r="E4058" s="39"/>
      <c r="F4058" s="9"/>
      <c r="G4058" s="9"/>
      <c r="H4058" s="9"/>
      <c r="I4058" s="9"/>
      <c r="J4058" s="9"/>
      <c r="K4058" s="9"/>
      <c r="L4058" s="9"/>
      <c r="M4058" s="9"/>
      <c r="N4058" s="9"/>
      <c r="O4058" s="9"/>
      <c r="P4058" s="9"/>
      <c r="Q4058" s="9"/>
      <c r="R4058" s="9"/>
      <c r="S4058" s="42"/>
      <c r="T4058" s="42"/>
      <c r="U4058" s="42"/>
      <c r="V4058" s="42"/>
      <c r="W4058" s="42"/>
      <c r="X4058" s="42"/>
      <c r="Y4058" s="42"/>
      <c r="Z4058" s="42"/>
      <c r="AA4058" s="42"/>
      <c r="AB4058" s="42"/>
      <c r="AC4058" s="42"/>
      <c r="AD4058" s="42"/>
      <c r="AE4058" s="42"/>
      <c r="AF4058" s="9"/>
      <c r="AG4058" s="9"/>
      <c r="AH4058" s="42"/>
      <c r="AI4058" s="42"/>
      <c r="AJ4058" s="42"/>
      <c r="AK4058" s="42"/>
      <c r="AL4058" s="42"/>
      <c r="AM4058" s="42"/>
      <c r="AN4058" s="42"/>
      <c r="AO4058" s="63" t="str">
        <f>IFERROR(__xludf.DUMMYFUNCTION("IF(ISBLANK(A4058),,IF(ISBLANK(S4058), A4058&amp;"";"", TEXTJOIN(CHAR(10), TRUE, A4058&amp;"";"", ARRAYFORMULA(VLOOKUP(SPLIT(S4058, "";"" &amp; CHAR(10)), $A:$AO, 41, FALSE)))))"),"")</f>
        <v/>
      </c>
      <c r="AP4058" s="89"/>
    </row>
    <row r="4059">
      <c r="A4059" s="42"/>
      <c r="B4059" s="42"/>
      <c r="C4059" s="42"/>
      <c r="D4059" s="42"/>
      <c r="E4059" s="39"/>
      <c r="F4059" s="9"/>
      <c r="G4059" s="9"/>
      <c r="H4059" s="9"/>
      <c r="I4059" s="9"/>
      <c r="J4059" s="9"/>
      <c r="K4059" s="9"/>
      <c r="L4059" s="9"/>
      <c r="M4059" s="9"/>
      <c r="N4059" s="9"/>
      <c r="O4059" s="9"/>
      <c r="P4059" s="9"/>
      <c r="Q4059" s="9"/>
      <c r="R4059" s="9"/>
      <c r="S4059" s="42"/>
      <c r="T4059" s="42"/>
      <c r="U4059" s="42"/>
      <c r="V4059" s="42"/>
      <c r="W4059" s="42"/>
      <c r="X4059" s="42"/>
      <c r="Y4059" s="42"/>
      <c r="Z4059" s="42"/>
      <c r="AA4059" s="42"/>
      <c r="AB4059" s="42"/>
      <c r="AC4059" s="42"/>
      <c r="AD4059" s="42"/>
      <c r="AE4059" s="42"/>
      <c r="AF4059" s="9"/>
      <c r="AG4059" s="9"/>
      <c r="AH4059" s="42"/>
      <c r="AI4059" s="42"/>
      <c r="AJ4059" s="42"/>
      <c r="AK4059" s="42"/>
      <c r="AL4059" s="42"/>
      <c r="AM4059" s="42"/>
      <c r="AN4059" s="42"/>
      <c r="AO4059" s="63" t="str">
        <f>IFERROR(__xludf.DUMMYFUNCTION("IF(ISBLANK(A4059),,IF(ISBLANK(S4059), A4059&amp;"";"", TEXTJOIN(CHAR(10), TRUE, A4059&amp;"";"", ARRAYFORMULA(VLOOKUP(SPLIT(S4059, "";"" &amp; CHAR(10)), $A:$AO, 41, FALSE)))))"),"")</f>
        <v/>
      </c>
      <c r="AP4059" s="89"/>
    </row>
    <row r="4060">
      <c r="A4060" s="42"/>
      <c r="B4060" s="42"/>
      <c r="C4060" s="42"/>
      <c r="D4060" s="42"/>
      <c r="E4060" s="39"/>
      <c r="F4060" s="9"/>
      <c r="G4060" s="9"/>
      <c r="H4060" s="9"/>
      <c r="I4060" s="9"/>
      <c r="J4060" s="9"/>
      <c r="K4060" s="9"/>
      <c r="L4060" s="9"/>
      <c r="M4060" s="9"/>
      <c r="N4060" s="9"/>
      <c r="O4060" s="9"/>
      <c r="P4060" s="9"/>
      <c r="Q4060" s="9"/>
      <c r="R4060" s="9"/>
      <c r="S4060" s="42"/>
      <c r="T4060" s="42"/>
      <c r="U4060" s="42"/>
      <c r="V4060" s="42"/>
      <c r="W4060" s="42"/>
      <c r="X4060" s="42"/>
      <c r="Y4060" s="42"/>
      <c r="Z4060" s="42"/>
      <c r="AA4060" s="42"/>
      <c r="AB4060" s="42"/>
      <c r="AC4060" s="42"/>
      <c r="AD4060" s="42"/>
      <c r="AE4060" s="42"/>
      <c r="AF4060" s="9"/>
      <c r="AG4060" s="9"/>
      <c r="AH4060" s="42"/>
      <c r="AI4060" s="42"/>
      <c r="AJ4060" s="42"/>
      <c r="AK4060" s="42"/>
      <c r="AL4060" s="42"/>
      <c r="AM4060" s="42"/>
      <c r="AN4060" s="42"/>
      <c r="AO4060" s="63" t="str">
        <f>IFERROR(__xludf.DUMMYFUNCTION("IF(ISBLANK(A4060),,IF(ISBLANK(S4060), A4060&amp;"";"", TEXTJOIN(CHAR(10), TRUE, A4060&amp;"";"", ARRAYFORMULA(VLOOKUP(SPLIT(S4060, "";"" &amp; CHAR(10)), $A:$AO, 41, FALSE)))))"),"")</f>
        <v/>
      </c>
      <c r="AP4060" s="89"/>
    </row>
    <row r="4061">
      <c r="A4061" s="42"/>
      <c r="B4061" s="42"/>
      <c r="C4061" s="42"/>
      <c r="D4061" s="42"/>
      <c r="E4061" s="39"/>
      <c r="F4061" s="9"/>
      <c r="G4061" s="9"/>
      <c r="H4061" s="9"/>
      <c r="I4061" s="9"/>
      <c r="J4061" s="9"/>
      <c r="K4061" s="9"/>
      <c r="L4061" s="9"/>
      <c r="M4061" s="9"/>
      <c r="N4061" s="9"/>
      <c r="O4061" s="9"/>
      <c r="P4061" s="9"/>
      <c r="Q4061" s="9"/>
      <c r="R4061" s="9"/>
      <c r="S4061" s="42"/>
      <c r="T4061" s="42"/>
      <c r="U4061" s="42"/>
      <c r="V4061" s="42"/>
      <c r="W4061" s="42"/>
      <c r="X4061" s="42"/>
      <c r="Y4061" s="42"/>
      <c r="Z4061" s="42"/>
      <c r="AA4061" s="42"/>
      <c r="AB4061" s="42"/>
      <c r="AC4061" s="42"/>
      <c r="AD4061" s="42"/>
      <c r="AE4061" s="42"/>
      <c r="AF4061" s="9"/>
      <c r="AG4061" s="9"/>
      <c r="AH4061" s="42"/>
      <c r="AI4061" s="42"/>
      <c r="AJ4061" s="42"/>
      <c r="AK4061" s="42"/>
      <c r="AL4061" s="42"/>
      <c r="AM4061" s="42"/>
      <c r="AN4061" s="42"/>
      <c r="AO4061" s="63" t="str">
        <f>IFERROR(__xludf.DUMMYFUNCTION("IF(ISBLANK(A4061),,IF(ISBLANK(S4061), A4061&amp;"";"", TEXTJOIN(CHAR(10), TRUE, A4061&amp;"";"", ARRAYFORMULA(VLOOKUP(SPLIT(S4061, "";"" &amp; CHAR(10)), $A:$AO, 41, FALSE)))))"),"")</f>
        <v/>
      </c>
      <c r="AP4061" s="89"/>
    </row>
    <row r="4062">
      <c r="A4062" s="42"/>
      <c r="B4062" s="42"/>
      <c r="C4062" s="42"/>
      <c r="D4062" s="42"/>
      <c r="E4062" s="39"/>
      <c r="F4062" s="9"/>
      <c r="G4062" s="9"/>
      <c r="H4062" s="9"/>
      <c r="I4062" s="9"/>
      <c r="J4062" s="9"/>
      <c r="K4062" s="9"/>
      <c r="L4062" s="9"/>
      <c r="M4062" s="9"/>
      <c r="N4062" s="9"/>
      <c r="O4062" s="9"/>
      <c r="P4062" s="9"/>
      <c r="Q4062" s="9"/>
      <c r="R4062" s="9"/>
      <c r="S4062" s="42"/>
      <c r="T4062" s="42"/>
      <c r="U4062" s="42"/>
      <c r="V4062" s="42"/>
      <c r="W4062" s="42"/>
      <c r="X4062" s="42"/>
      <c r="Y4062" s="42"/>
      <c r="Z4062" s="42"/>
      <c r="AA4062" s="42"/>
      <c r="AB4062" s="42"/>
      <c r="AC4062" s="42"/>
      <c r="AD4062" s="42"/>
      <c r="AE4062" s="42"/>
      <c r="AF4062" s="9"/>
      <c r="AG4062" s="9"/>
      <c r="AH4062" s="42"/>
      <c r="AI4062" s="42"/>
      <c r="AJ4062" s="42"/>
      <c r="AK4062" s="42"/>
      <c r="AL4062" s="42"/>
      <c r="AM4062" s="42"/>
      <c r="AN4062" s="42"/>
      <c r="AO4062" s="63" t="str">
        <f>IFERROR(__xludf.DUMMYFUNCTION("IF(ISBLANK(A4062),,IF(ISBLANK(S4062), A4062&amp;"";"", TEXTJOIN(CHAR(10), TRUE, A4062&amp;"";"", ARRAYFORMULA(VLOOKUP(SPLIT(S4062, "";"" &amp; CHAR(10)), $A:$AO, 41, FALSE)))))"),"")</f>
        <v/>
      </c>
      <c r="AP4062" s="89"/>
    </row>
    <row r="4063">
      <c r="A4063" s="42"/>
      <c r="B4063" s="42"/>
      <c r="C4063" s="42"/>
      <c r="D4063" s="42"/>
      <c r="E4063" s="39"/>
      <c r="F4063" s="9"/>
      <c r="G4063" s="9"/>
      <c r="H4063" s="9"/>
      <c r="I4063" s="9"/>
      <c r="J4063" s="9"/>
      <c r="K4063" s="9"/>
      <c r="L4063" s="9"/>
      <c r="M4063" s="9"/>
      <c r="N4063" s="9"/>
      <c r="O4063" s="9"/>
      <c r="P4063" s="9"/>
      <c r="Q4063" s="9"/>
      <c r="R4063" s="9"/>
      <c r="S4063" s="42"/>
      <c r="T4063" s="42"/>
      <c r="U4063" s="42"/>
      <c r="V4063" s="42"/>
      <c r="W4063" s="42"/>
      <c r="X4063" s="42"/>
      <c r="Y4063" s="42"/>
      <c r="Z4063" s="42"/>
      <c r="AA4063" s="42"/>
      <c r="AB4063" s="42"/>
      <c r="AC4063" s="42"/>
      <c r="AD4063" s="42"/>
      <c r="AE4063" s="42"/>
      <c r="AF4063" s="9"/>
      <c r="AG4063" s="9"/>
      <c r="AH4063" s="42"/>
      <c r="AI4063" s="42"/>
      <c r="AJ4063" s="42"/>
      <c r="AK4063" s="42"/>
      <c r="AL4063" s="42"/>
      <c r="AM4063" s="42"/>
      <c r="AN4063" s="42"/>
      <c r="AO4063" s="63" t="str">
        <f>IFERROR(__xludf.DUMMYFUNCTION("IF(ISBLANK(A4063),,IF(ISBLANK(S4063), A4063&amp;"";"", TEXTJOIN(CHAR(10), TRUE, A4063&amp;"";"", ARRAYFORMULA(VLOOKUP(SPLIT(S4063, "";"" &amp; CHAR(10)), $A:$AO, 41, FALSE)))))"),"")</f>
        <v/>
      </c>
      <c r="AP4063" s="89"/>
    </row>
    <row r="4064">
      <c r="A4064" s="42"/>
      <c r="B4064" s="42"/>
      <c r="C4064" s="42"/>
      <c r="D4064" s="42"/>
      <c r="E4064" s="39"/>
      <c r="F4064" s="9"/>
      <c r="G4064" s="9"/>
      <c r="H4064" s="9"/>
      <c r="I4064" s="9"/>
      <c r="J4064" s="9"/>
      <c r="K4064" s="9"/>
      <c r="L4064" s="9"/>
      <c r="M4064" s="9"/>
      <c r="N4064" s="9"/>
      <c r="O4064" s="9"/>
      <c r="P4064" s="9"/>
      <c r="Q4064" s="9"/>
      <c r="R4064" s="9"/>
      <c r="S4064" s="42"/>
      <c r="T4064" s="42"/>
      <c r="U4064" s="42"/>
      <c r="V4064" s="42"/>
      <c r="W4064" s="42"/>
      <c r="X4064" s="42"/>
      <c r="Y4064" s="42"/>
      <c r="Z4064" s="42"/>
      <c r="AA4064" s="42"/>
      <c r="AB4064" s="42"/>
      <c r="AC4064" s="42"/>
      <c r="AD4064" s="42"/>
      <c r="AE4064" s="42"/>
      <c r="AF4064" s="9"/>
      <c r="AG4064" s="9"/>
      <c r="AH4064" s="42"/>
      <c r="AI4064" s="42"/>
      <c r="AJ4064" s="42"/>
      <c r="AK4064" s="42"/>
      <c r="AL4064" s="42"/>
      <c r="AM4064" s="42"/>
      <c r="AN4064" s="42"/>
      <c r="AO4064" s="63" t="str">
        <f>IFERROR(__xludf.DUMMYFUNCTION("IF(ISBLANK(A4064),,IF(ISBLANK(S4064), A4064&amp;"";"", TEXTJOIN(CHAR(10), TRUE, A4064&amp;"";"", ARRAYFORMULA(VLOOKUP(SPLIT(S4064, "";"" &amp; CHAR(10)), $A:$AO, 41, FALSE)))))"),"")</f>
        <v/>
      </c>
      <c r="AP4064" s="89"/>
    </row>
    <row r="4065">
      <c r="A4065" s="42"/>
      <c r="B4065" s="42"/>
      <c r="C4065" s="42"/>
      <c r="D4065" s="42"/>
      <c r="E4065" s="39"/>
      <c r="F4065" s="9"/>
      <c r="G4065" s="9"/>
      <c r="H4065" s="9"/>
      <c r="I4065" s="9"/>
      <c r="J4065" s="9"/>
      <c r="K4065" s="9"/>
      <c r="L4065" s="9"/>
      <c r="M4065" s="9"/>
      <c r="N4065" s="9"/>
      <c r="O4065" s="9"/>
      <c r="P4065" s="9"/>
      <c r="Q4065" s="9"/>
      <c r="R4065" s="9"/>
      <c r="S4065" s="42"/>
      <c r="T4065" s="42"/>
      <c r="U4065" s="42"/>
      <c r="V4065" s="42"/>
      <c r="W4065" s="42"/>
      <c r="X4065" s="42"/>
      <c r="Y4065" s="42"/>
      <c r="Z4065" s="42"/>
      <c r="AA4065" s="42"/>
      <c r="AB4065" s="42"/>
      <c r="AC4065" s="42"/>
      <c r="AD4065" s="42"/>
      <c r="AE4065" s="42"/>
      <c r="AF4065" s="9"/>
      <c r="AG4065" s="9"/>
      <c r="AH4065" s="42"/>
      <c r="AI4065" s="42"/>
      <c r="AJ4065" s="42"/>
      <c r="AK4065" s="42"/>
      <c r="AL4065" s="42"/>
      <c r="AM4065" s="42"/>
      <c r="AN4065" s="42"/>
      <c r="AO4065" s="63" t="str">
        <f>IFERROR(__xludf.DUMMYFUNCTION("IF(ISBLANK(A4065),,IF(ISBLANK(S4065), A4065&amp;"";"", TEXTJOIN(CHAR(10), TRUE, A4065&amp;"";"", ARRAYFORMULA(VLOOKUP(SPLIT(S4065, "";"" &amp; CHAR(10)), $A:$AO, 41, FALSE)))))"),"")</f>
        <v/>
      </c>
      <c r="AP4065" s="89"/>
    </row>
    <row r="4066">
      <c r="A4066" s="42"/>
      <c r="B4066" s="42"/>
      <c r="C4066" s="42"/>
      <c r="D4066" s="42"/>
      <c r="E4066" s="39"/>
      <c r="F4066" s="9"/>
      <c r="G4066" s="9"/>
      <c r="H4066" s="9"/>
      <c r="I4066" s="9"/>
      <c r="J4066" s="9"/>
      <c r="K4066" s="9"/>
      <c r="L4066" s="9"/>
      <c r="M4066" s="9"/>
      <c r="N4066" s="9"/>
      <c r="O4066" s="9"/>
      <c r="P4066" s="9"/>
      <c r="Q4066" s="9"/>
      <c r="R4066" s="9"/>
      <c r="S4066" s="42"/>
      <c r="T4066" s="42"/>
      <c r="U4066" s="42"/>
      <c r="V4066" s="42"/>
      <c r="W4066" s="42"/>
      <c r="X4066" s="42"/>
      <c r="Y4066" s="42"/>
      <c r="Z4066" s="42"/>
      <c r="AA4066" s="42"/>
      <c r="AB4066" s="42"/>
      <c r="AC4066" s="42"/>
      <c r="AD4066" s="42"/>
      <c r="AE4066" s="42"/>
      <c r="AF4066" s="9"/>
      <c r="AG4066" s="9"/>
      <c r="AH4066" s="42"/>
      <c r="AI4066" s="42"/>
      <c r="AJ4066" s="42"/>
      <c r="AK4066" s="42"/>
      <c r="AL4066" s="42"/>
      <c r="AM4066" s="42"/>
      <c r="AN4066" s="42"/>
      <c r="AO4066" s="63" t="str">
        <f>IFERROR(__xludf.DUMMYFUNCTION("IF(ISBLANK(A4066),,IF(ISBLANK(S4066), A4066&amp;"";"", TEXTJOIN(CHAR(10), TRUE, A4066&amp;"";"", ARRAYFORMULA(VLOOKUP(SPLIT(S4066, "";"" &amp; CHAR(10)), $A:$AO, 41, FALSE)))))"),"")</f>
        <v/>
      </c>
      <c r="AP4066" s="89"/>
    </row>
    <row r="4067">
      <c r="A4067" s="42"/>
      <c r="B4067" s="42"/>
      <c r="C4067" s="42"/>
      <c r="D4067" s="42"/>
      <c r="E4067" s="39"/>
      <c r="F4067" s="9"/>
      <c r="G4067" s="9"/>
      <c r="H4067" s="9"/>
      <c r="I4067" s="9"/>
      <c r="J4067" s="9"/>
      <c r="K4067" s="9"/>
      <c r="L4067" s="9"/>
      <c r="M4067" s="9"/>
      <c r="N4067" s="9"/>
      <c r="O4067" s="9"/>
      <c r="P4067" s="9"/>
      <c r="Q4067" s="9"/>
      <c r="R4067" s="9"/>
      <c r="S4067" s="42"/>
      <c r="T4067" s="42"/>
      <c r="U4067" s="42"/>
      <c r="V4067" s="42"/>
      <c r="W4067" s="42"/>
      <c r="X4067" s="42"/>
      <c r="Y4067" s="42"/>
      <c r="Z4067" s="42"/>
      <c r="AA4067" s="42"/>
      <c r="AB4067" s="42"/>
      <c r="AC4067" s="42"/>
      <c r="AD4067" s="42"/>
      <c r="AE4067" s="42"/>
      <c r="AF4067" s="9"/>
      <c r="AG4067" s="9"/>
      <c r="AH4067" s="42"/>
      <c r="AI4067" s="42"/>
      <c r="AJ4067" s="42"/>
      <c r="AK4067" s="42"/>
      <c r="AL4067" s="42"/>
      <c r="AM4067" s="42"/>
      <c r="AN4067" s="42"/>
      <c r="AO4067" s="63" t="str">
        <f>IFERROR(__xludf.DUMMYFUNCTION("IF(ISBLANK(A4067),,IF(ISBLANK(S4067), A4067&amp;"";"", TEXTJOIN(CHAR(10), TRUE, A4067&amp;"";"", ARRAYFORMULA(VLOOKUP(SPLIT(S4067, "";"" &amp; CHAR(10)), $A:$AO, 41, FALSE)))))"),"")</f>
        <v/>
      </c>
      <c r="AP4067" s="89"/>
    </row>
    <row r="4068">
      <c r="A4068" s="42"/>
      <c r="B4068" s="42"/>
      <c r="C4068" s="42"/>
      <c r="D4068" s="42"/>
      <c r="E4068" s="39"/>
      <c r="F4068" s="9"/>
      <c r="G4068" s="9"/>
      <c r="H4068" s="9"/>
      <c r="I4068" s="9"/>
      <c r="J4068" s="9"/>
      <c r="K4068" s="9"/>
      <c r="L4068" s="9"/>
      <c r="M4068" s="9"/>
      <c r="N4068" s="9"/>
      <c r="O4068" s="9"/>
      <c r="P4068" s="9"/>
      <c r="Q4068" s="9"/>
      <c r="R4068" s="9"/>
      <c r="S4068" s="42"/>
      <c r="T4068" s="42"/>
      <c r="U4068" s="42"/>
      <c r="V4068" s="42"/>
      <c r="W4068" s="42"/>
      <c r="X4068" s="42"/>
      <c r="Y4068" s="42"/>
      <c r="Z4068" s="42"/>
      <c r="AA4068" s="42"/>
      <c r="AB4068" s="42"/>
      <c r="AC4068" s="42"/>
      <c r="AD4068" s="42"/>
      <c r="AE4068" s="42"/>
      <c r="AF4068" s="9"/>
      <c r="AG4068" s="9"/>
      <c r="AH4068" s="42"/>
      <c r="AI4068" s="42"/>
      <c r="AJ4068" s="42"/>
      <c r="AK4068" s="42"/>
      <c r="AL4068" s="42"/>
      <c r="AM4068" s="42"/>
      <c r="AN4068" s="42"/>
      <c r="AO4068" s="63" t="str">
        <f>IFERROR(__xludf.DUMMYFUNCTION("IF(ISBLANK(A4068),,IF(ISBLANK(S4068), A4068&amp;"";"", TEXTJOIN(CHAR(10), TRUE, A4068&amp;"";"", ARRAYFORMULA(VLOOKUP(SPLIT(S4068, "";"" &amp; CHAR(10)), $A:$AO, 41, FALSE)))))"),"")</f>
        <v/>
      </c>
      <c r="AP4068" s="89"/>
    </row>
    <row r="4069">
      <c r="A4069" s="42"/>
      <c r="B4069" s="42"/>
      <c r="C4069" s="42"/>
      <c r="D4069" s="42"/>
      <c r="E4069" s="39"/>
      <c r="F4069" s="9"/>
      <c r="G4069" s="9"/>
      <c r="H4069" s="9"/>
      <c r="I4069" s="9"/>
      <c r="J4069" s="9"/>
      <c r="K4069" s="9"/>
      <c r="L4069" s="9"/>
      <c r="M4069" s="9"/>
      <c r="N4069" s="9"/>
      <c r="O4069" s="9"/>
      <c r="P4069" s="9"/>
      <c r="Q4069" s="9"/>
      <c r="R4069" s="9"/>
      <c r="S4069" s="42"/>
      <c r="T4069" s="42"/>
      <c r="U4069" s="42"/>
      <c r="V4069" s="42"/>
      <c r="W4069" s="42"/>
      <c r="X4069" s="42"/>
      <c r="Y4069" s="42"/>
      <c r="Z4069" s="42"/>
      <c r="AA4069" s="42"/>
      <c r="AB4069" s="42"/>
      <c r="AC4069" s="42"/>
      <c r="AD4069" s="42"/>
      <c r="AE4069" s="42"/>
      <c r="AF4069" s="9"/>
      <c r="AG4069" s="9"/>
      <c r="AH4069" s="42"/>
      <c r="AI4069" s="42"/>
      <c r="AJ4069" s="42"/>
      <c r="AK4069" s="42"/>
      <c r="AL4069" s="42"/>
      <c r="AM4069" s="42"/>
      <c r="AN4069" s="42"/>
      <c r="AO4069" s="63" t="str">
        <f>IFERROR(__xludf.DUMMYFUNCTION("IF(ISBLANK(A4069),,IF(ISBLANK(S4069), A4069&amp;"";"", TEXTJOIN(CHAR(10), TRUE, A4069&amp;"";"", ARRAYFORMULA(VLOOKUP(SPLIT(S4069, "";"" &amp; CHAR(10)), $A:$AO, 41, FALSE)))))"),"")</f>
        <v/>
      </c>
      <c r="AP4069" s="89"/>
    </row>
    <row r="4070">
      <c r="A4070" s="42"/>
      <c r="B4070" s="42"/>
      <c r="C4070" s="42"/>
      <c r="D4070" s="42"/>
      <c r="E4070" s="39"/>
      <c r="F4070" s="9"/>
      <c r="G4070" s="9"/>
      <c r="H4070" s="9"/>
      <c r="I4070" s="9"/>
      <c r="J4070" s="9"/>
      <c r="K4070" s="9"/>
      <c r="L4070" s="9"/>
      <c r="M4070" s="9"/>
      <c r="N4070" s="9"/>
      <c r="O4070" s="9"/>
      <c r="P4070" s="9"/>
      <c r="Q4070" s="9"/>
      <c r="R4070" s="9"/>
      <c r="S4070" s="42"/>
      <c r="T4070" s="42"/>
      <c r="U4070" s="42"/>
      <c r="V4070" s="42"/>
      <c r="W4070" s="42"/>
      <c r="X4070" s="42"/>
      <c r="Y4070" s="42"/>
      <c r="Z4070" s="42"/>
      <c r="AA4070" s="42"/>
      <c r="AB4070" s="42"/>
      <c r="AC4070" s="42"/>
      <c r="AD4070" s="42"/>
      <c r="AE4070" s="42"/>
      <c r="AF4070" s="9"/>
      <c r="AG4070" s="9"/>
      <c r="AH4070" s="42"/>
      <c r="AI4070" s="42"/>
      <c r="AJ4070" s="42"/>
      <c r="AK4070" s="42"/>
      <c r="AL4070" s="42"/>
      <c r="AM4070" s="42"/>
      <c r="AN4070" s="42"/>
      <c r="AO4070" s="63" t="str">
        <f>IFERROR(__xludf.DUMMYFUNCTION("IF(ISBLANK(A4070),,IF(ISBLANK(S4070), A4070&amp;"";"", TEXTJOIN(CHAR(10), TRUE, A4070&amp;"";"", ARRAYFORMULA(VLOOKUP(SPLIT(S4070, "";"" &amp; CHAR(10)), $A:$AO, 41, FALSE)))))"),"")</f>
        <v/>
      </c>
      <c r="AP4070" s="89"/>
    </row>
    <row r="4071">
      <c r="A4071" s="42"/>
      <c r="B4071" s="42"/>
      <c r="C4071" s="42"/>
      <c r="D4071" s="42"/>
      <c r="E4071" s="39"/>
      <c r="F4071" s="9"/>
      <c r="G4071" s="9"/>
      <c r="H4071" s="9"/>
      <c r="I4071" s="9"/>
      <c r="J4071" s="9"/>
      <c r="K4071" s="9"/>
      <c r="L4071" s="9"/>
      <c r="M4071" s="9"/>
      <c r="N4071" s="9"/>
      <c r="O4071" s="9"/>
      <c r="P4071" s="9"/>
      <c r="Q4071" s="9"/>
      <c r="R4071" s="9"/>
      <c r="S4071" s="42"/>
      <c r="T4071" s="42"/>
      <c r="U4071" s="42"/>
      <c r="V4071" s="42"/>
      <c r="W4071" s="42"/>
      <c r="X4071" s="42"/>
      <c r="Y4071" s="42"/>
      <c r="Z4071" s="42"/>
      <c r="AA4071" s="42"/>
      <c r="AB4071" s="42"/>
      <c r="AC4071" s="42"/>
      <c r="AD4071" s="42"/>
      <c r="AE4071" s="42"/>
      <c r="AF4071" s="9"/>
      <c r="AG4071" s="9"/>
      <c r="AH4071" s="42"/>
      <c r="AI4071" s="42"/>
      <c r="AJ4071" s="42"/>
      <c r="AK4071" s="42"/>
      <c r="AL4071" s="42"/>
      <c r="AM4071" s="42"/>
      <c r="AN4071" s="42"/>
      <c r="AO4071" s="63" t="str">
        <f>IFERROR(__xludf.DUMMYFUNCTION("IF(ISBLANK(A4071),,IF(ISBLANK(S4071), A4071&amp;"";"", TEXTJOIN(CHAR(10), TRUE, A4071&amp;"";"", ARRAYFORMULA(VLOOKUP(SPLIT(S4071, "";"" &amp; CHAR(10)), $A:$AO, 41, FALSE)))))"),"")</f>
        <v/>
      </c>
      <c r="AP4071" s="89"/>
    </row>
    <row r="4072">
      <c r="A4072" s="42"/>
      <c r="B4072" s="42"/>
      <c r="C4072" s="42"/>
      <c r="D4072" s="42"/>
      <c r="E4072" s="39"/>
      <c r="F4072" s="9"/>
      <c r="G4072" s="9"/>
      <c r="H4072" s="9"/>
      <c r="I4072" s="9"/>
      <c r="J4072" s="9"/>
      <c r="K4072" s="9"/>
      <c r="L4072" s="9"/>
      <c r="M4072" s="9"/>
      <c r="N4072" s="9"/>
      <c r="O4072" s="9"/>
      <c r="P4072" s="9"/>
      <c r="Q4072" s="9"/>
      <c r="R4072" s="9"/>
      <c r="S4072" s="42"/>
      <c r="T4072" s="42"/>
      <c r="U4072" s="42"/>
      <c r="V4072" s="42"/>
      <c r="W4072" s="42"/>
      <c r="X4072" s="42"/>
      <c r="Y4072" s="42"/>
      <c r="Z4072" s="42"/>
      <c r="AA4072" s="42"/>
      <c r="AB4072" s="42"/>
      <c r="AC4072" s="42"/>
      <c r="AD4072" s="42"/>
      <c r="AE4072" s="42"/>
      <c r="AF4072" s="9"/>
      <c r="AG4072" s="9"/>
      <c r="AH4072" s="42"/>
      <c r="AI4072" s="42"/>
      <c r="AJ4072" s="42"/>
      <c r="AK4072" s="42"/>
      <c r="AL4072" s="42"/>
      <c r="AM4072" s="42"/>
      <c r="AN4072" s="42"/>
      <c r="AO4072" s="63" t="str">
        <f>IFERROR(__xludf.DUMMYFUNCTION("IF(ISBLANK(A4072),,IF(ISBLANK(S4072), A4072&amp;"";"", TEXTJOIN(CHAR(10), TRUE, A4072&amp;"";"", ARRAYFORMULA(VLOOKUP(SPLIT(S4072, "";"" &amp; CHAR(10)), $A:$AO, 41, FALSE)))))"),"")</f>
        <v/>
      </c>
      <c r="AP4072" s="89"/>
    </row>
    <row r="4073">
      <c r="A4073" s="42"/>
      <c r="B4073" s="42"/>
      <c r="C4073" s="42"/>
      <c r="D4073" s="42"/>
      <c r="E4073" s="39"/>
      <c r="F4073" s="9"/>
      <c r="G4073" s="9"/>
      <c r="H4073" s="9"/>
      <c r="I4073" s="9"/>
      <c r="J4073" s="9"/>
      <c r="K4073" s="9"/>
      <c r="L4073" s="9"/>
      <c r="M4073" s="9"/>
      <c r="N4073" s="9"/>
      <c r="O4073" s="9"/>
      <c r="P4073" s="9"/>
      <c r="Q4073" s="9"/>
      <c r="R4073" s="9"/>
      <c r="S4073" s="42"/>
      <c r="T4073" s="42"/>
      <c r="U4073" s="42"/>
      <c r="V4073" s="42"/>
      <c r="W4073" s="42"/>
      <c r="X4073" s="42"/>
      <c r="Y4073" s="42"/>
      <c r="Z4073" s="42"/>
      <c r="AA4073" s="42"/>
      <c r="AB4073" s="42"/>
      <c r="AC4073" s="42"/>
      <c r="AD4073" s="42"/>
      <c r="AE4073" s="42"/>
      <c r="AF4073" s="9"/>
      <c r="AG4073" s="9"/>
      <c r="AH4073" s="42"/>
      <c r="AI4073" s="42"/>
      <c r="AJ4073" s="42"/>
      <c r="AK4073" s="42"/>
      <c r="AL4073" s="42"/>
      <c r="AM4073" s="42"/>
      <c r="AN4073" s="42"/>
      <c r="AO4073" s="63" t="str">
        <f>IFERROR(__xludf.DUMMYFUNCTION("IF(ISBLANK(A4073),,IF(ISBLANK(S4073), A4073&amp;"";"", TEXTJOIN(CHAR(10), TRUE, A4073&amp;"";"", ARRAYFORMULA(VLOOKUP(SPLIT(S4073, "";"" &amp; CHAR(10)), $A:$AO, 41, FALSE)))))"),"")</f>
        <v/>
      </c>
      <c r="AP4073" s="89"/>
    </row>
    <row r="4074">
      <c r="A4074" s="42"/>
      <c r="B4074" s="42"/>
      <c r="C4074" s="42"/>
      <c r="D4074" s="42"/>
      <c r="E4074" s="39"/>
      <c r="F4074" s="9"/>
      <c r="G4074" s="9"/>
      <c r="H4074" s="9"/>
      <c r="I4074" s="9"/>
      <c r="J4074" s="9"/>
      <c r="K4074" s="9"/>
      <c r="L4074" s="9"/>
      <c r="M4074" s="9"/>
      <c r="N4074" s="9"/>
      <c r="O4074" s="9"/>
      <c r="P4074" s="9"/>
      <c r="Q4074" s="9"/>
      <c r="R4074" s="9"/>
      <c r="S4074" s="42"/>
      <c r="T4074" s="42"/>
      <c r="U4074" s="42"/>
      <c r="V4074" s="42"/>
      <c r="W4074" s="42"/>
      <c r="X4074" s="42"/>
      <c r="Y4074" s="42"/>
      <c r="Z4074" s="42"/>
      <c r="AA4074" s="42"/>
      <c r="AB4074" s="42"/>
      <c r="AC4074" s="42"/>
      <c r="AD4074" s="42"/>
      <c r="AE4074" s="42"/>
      <c r="AF4074" s="9"/>
      <c r="AG4074" s="9"/>
      <c r="AH4074" s="42"/>
      <c r="AI4074" s="42"/>
      <c r="AJ4074" s="42"/>
      <c r="AK4074" s="42"/>
      <c r="AL4074" s="42"/>
      <c r="AM4074" s="42"/>
      <c r="AN4074" s="42"/>
      <c r="AO4074" s="63" t="str">
        <f>IFERROR(__xludf.DUMMYFUNCTION("IF(ISBLANK(A4074),,IF(ISBLANK(S4074), A4074&amp;"";"", TEXTJOIN(CHAR(10), TRUE, A4074&amp;"";"", ARRAYFORMULA(VLOOKUP(SPLIT(S4074, "";"" &amp; CHAR(10)), $A:$AO, 41, FALSE)))))"),"")</f>
        <v/>
      </c>
      <c r="AP4074" s="89"/>
    </row>
    <row r="4075">
      <c r="A4075" s="42"/>
      <c r="B4075" s="42"/>
      <c r="C4075" s="42"/>
      <c r="D4075" s="42"/>
      <c r="E4075" s="39"/>
      <c r="F4075" s="9"/>
      <c r="G4075" s="9"/>
      <c r="H4075" s="9"/>
      <c r="I4075" s="9"/>
      <c r="J4075" s="9"/>
      <c r="K4075" s="9"/>
      <c r="L4075" s="9"/>
      <c r="M4075" s="9"/>
      <c r="N4075" s="9"/>
      <c r="O4075" s="9"/>
      <c r="P4075" s="9"/>
      <c r="Q4075" s="9"/>
      <c r="R4075" s="9"/>
      <c r="S4075" s="42"/>
      <c r="T4075" s="42"/>
      <c r="U4075" s="42"/>
      <c r="V4075" s="42"/>
      <c r="W4075" s="42"/>
      <c r="X4075" s="42"/>
      <c r="Y4075" s="42"/>
      <c r="Z4075" s="42"/>
      <c r="AA4075" s="42"/>
      <c r="AB4075" s="42"/>
      <c r="AC4075" s="42"/>
      <c r="AD4075" s="42"/>
      <c r="AE4075" s="42"/>
      <c r="AF4075" s="9"/>
      <c r="AG4075" s="9"/>
      <c r="AH4075" s="42"/>
      <c r="AI4075" s="42"/>
      <c r="AJ4075" s="42"/>
      <c r="AK4075" s="42"/>
      <c r="AL4075" s="42"/>
      <c r="AM4075" s="42"/>
      <c r="AN4075" s="42"/>
      <c r="AO4075" s="63" t="str">
        <f>IFERROR(__xludf.DUMMYFUNCTION("IF(ISBLANK(A4075),,IF(ISBLANK(S4075), A4075&amp;"";"", TEXTJOIN(CHAR(10), TRUE, A4075&amp;"";"", ARRAYFORMULA(VLOOKUP(SPLIT(S4075, "";"" &amp; CHAR(10)), $A:$AO, 41, FALSE)))))"),"")</f>
        <v/>
      </c>
      <c r="AP4075" s="89"/>
    </row>
    <row r="4076">
      <c r="A4076" s="42"/>
      <c r="B4076" s="42"/>
      <c r="C4076" s="42"/>
      <c r="D4076" s="42"/>
      <c r="E4076" s="39"/>
      <c r="F4076" s="9"/>
      <c r="G4076" s="9"/>
      <c r="H4076" s="9"/>
      <c r="I4076" s="9"/>
      <c r="J4076" s="9"/>
      <c r="K4076" s="9"/>
      <c r="L4076" s="9"/>
      <c r="M4076" s="9"/>
      <c r="N4076" s="9"/>
      <c r="O4076" s="9"/>
      <c r="P4076" s="9"/>
      <c r="Q4076" s="9"/>
      <c r="R4076" s="9"/>
      <c r="S4076" s="42"/>
      <c r="T4076" s="42"/>
      <c r="U4076" s="42"/>
      <c r="V4076" s="42"/>
      <c r="W4076" s="42"/>
      <c r="X4076" s="42"/>
      <c r="Y4076" s="42"/>
      <c r="Z4076" s="42"/>
      <c r="AA4076" s="42"/>
      <c r="AB4076" s="42"/>
      <c r="AC4076" s="42"/>
      <c r="AD4076" s="42"/>
      <c r="AE4076" s="42"/>
      <c r="AF4076" s="9"/>
      <c r="AG4076" s="9"/>
      <c r="AH4076" s="42"/>
      <c r="AI4076" s="42"/>
      <c r="AJ4076" s="42"/>
      <c r="AK4076" s="42"/>
      <c r="AL4076" s="42"/>
      <c r="AM4076" s="42"/>
      <c r="AN4076" s="42"/>
      <c r="AO4076" s="63" t="str">
        <f>IFERROR(__xludf.DUMMYFUNCTION("IF(ISBLANK(A4076),,IF(ISBLANK(S4076), A4076&amp;"";"", TEXTJOIN(CHAR(10), TRUE, A4076&amp;"";"", ARRAYFORMULA(VLOOKUP(SPLIT(S4076, "";"" &amp; CHAR(10)), $A:$AO, 41, FALSE)))))"),"")</f>
        <v/>
      </c>
      <c r="AP4076" s="89"/>
    </row>
    <row r="4077">
      <c r="A4077" s="42"/>
      <c r="B4077" s="42"/>
      <c r="C4077" s="42"/>
      <c r="D4077" s="42"/>
      <c r="E4077" s="39"/>
      <c r="F4077" s="9"/>
      <c r="G4077" s="9"/>
      <c r="H4077" s="9"/>
      <c r="I4077" s="9"/>
      <c r="J4077" s="9"/>
      <c r="K4077" s="9"/>
      <c r="L4077" s="9"/>
      <c r="M4077" s="9"/>
      <c r="N4077" s="9"/>
      <c r="O4077" s="9"/>
      <c r="P4077" s="9"/>
      <c r="Q4077" s="9"/>
      <c r="R4077" s="9"/>
      <c r="S4077" s="42"/>
      <c r="T4077" s="42"/>
      <c r="U4077" s="42"/>
      <c r="V4077" s="42"/>
      <c r="W4077" s="42"/>
      <c r="X4077" s="42"/>
      <c r="Y4077" s="42"/>
      <c r="Z4077" s="42"/>
      <c r="AA4077" s="42"/>
      <c r="AB4077" s="42"/>
      <c r="AC4077" s="42"/>
      <c r="AD4077" s="42"/>
      <c r="AE4077" s="42"/>
      <c r="AF4077" s="9"/>
      <c r="AG4077" s="9"/>
      <c r="AH4077" s="42"/>
      <c r="AI4077" s="42"/>
      <c r="AJ4077" s="42"/>
      <c r="AK4077" s="42"/>
      <c r="AL4077" s="42"/>
      <c r="AM4077" s="42"/>
      <c r="AN4077" s="42"/>
      <c r="AO4077" s="63" t="str">
        <f>IFERROR(__xludf.DUMMYFUNCTION("IF(ISBLANK(A4077),,IF(ISBLANK(S4077), A4077&amp;"";"", TEXTJOIN(CHAR(10), TRUE, A4077&amp;"";"", ARRAYFORMULA(VLOOKUP(SPLIT(S4077, "";"" &amp; CHAR(10)), $A:$AO, 41, FALSE)))))"),"")</f>
        <v/>
      </c>
      <c r="AP4077" s="89"/>
    </row>
    <row r="4078">
      <c r="A4078" s="42"/>
      <c r="B4078" s="42"/>
      <c r="C4078" s="42"/>
      <c r="D4078" s="42"/>
      <c r="E4078" s="39"/>
      <c r="F4078" s="9"/>
      <c r="G4078" s="9"/>
      <c r="H4078" s="9"/>
      <c r="I4078" s="9"/>
      <c r="J4078" s="9"/>
      <c r="K4078" s="9"/>
      <c r="L4078" s="9"/>
      <c r="M4078" s="9"/>
      <c r="N4078" s="9"/>
      <c r="O4078" s="9"/>
      <c r="P4078" s="9"/>
      <c r="Q4078" s="9"/>
      <c r="R4078" s="9"/>
      <c r="S4078" s="42"/>
      <c r="T4078" s="42"/>
      <c r="U4078" s="42"/>
      <c r="V4078" s="42"/>
      <c r="W4078" s="42"/>
      <c r="X4078" s="42"/>
      <c r="Y4078" s="42"/>
      <c r="Z4078" s="42"/>
      <c r="AA4078" s="42"/>
      <c r="AB4078" s="42"/>
      <c r="AC4078" s="42"/>
      <c r="AD4078" s="42"/>
      <c r="AE4078" s="42"/>
      <c r="AF4078" s="9"/>
      <c r="AG4078" s="9"/>
      <c r="AH4078" s="42"/>
      <c r="AI4078" s="42"/>
      <c r="AJ4078" s="42"/>
      <c r="AK4078" s="42"/>
      <c r="AL4078" s="42"/>
      <c r="AM4078" s="42"/>
      <c r="AN4078" s="42"/>
      <c r="AO4078" s="63" t="str">
        <f>IFERROR(__xludf.DUMMYFUNCTION("IF(ISBLANK(A4078),,IF(ISBLANK(S4078), A4078&amp;"";"", TEXTJOIN(CHAR(10), TRUE, A4078&amp;"";"", ARRAYFORMULA(VLOOKUP(SPLIT(S4078, "";"" &amp; CHAR(10)), $A:$AO, 41, FALSE)))))"),"")</f>
        <v/>
      </c>
      <c r="AP4078" s="89"/>
    </row>
    <row r="4079">
      <c r="A4079" s="42"/>
      <c r="B4079" s="42"/>
      <c r="C4079" s="42"/>
      <c r="D4079" s="42"/>
      <c r="E4079" s="39"/>
      <c r="F4079" s="9"/>
      <c r="G4079" s="9"/>
      <c r="H4079" s="9"/>
      <c r="I4079" s="9"/>
      <c r="J4079" s="9"/>
      <c r="K4079" s="9"/>
      <c r="L4079" s="9"/>
      <c r="M4079" s="9"/>
      <c r="N4079" s="9"/>
      <c r="O4079" s="9"/>
      <c r="P4079" s="9"/>
      <c r="Q4079" s="9"/>
      <c r="R4079" s="9"/>
      <c r="S4079" s="42"/>
      <c r="T4079" s="42"/>
      <c r="U4079" s="42"/>
      <c r="V4079" s="42"/>
      <c r="W4079" s="42"/>
      <c r="X4079" s="42"/>
      <c r="Y4079" s="42"/>
      <c r="Z4079" s="42"/>
      <c r="AA4079" s="42"/>
      <c r="AB4079" s="42"/>
      <c r="AC4079" s="42"/>
      <c r="AD4079" s="42"/>
      <c r="AE4079" s="42"/>
      <c r="AF4079" s="9"/>
      <c r="AG4079" s="9"/>
      <c r="AH4079" s="42"/>
      <c r="AI4079" s="42"/>
      <c r="AJ4079" s="42"/>
      <c r="AK4079" s="42"/>
      <c r="AL4079" s="42"/>
      <c r="AM4079" s="42"/>
      <c r="AN4079" s="42"/>
      <c r="AO4079" s="63" t="str">
        <f>IFERROR(__xludf.DUMMYFUNCTION("IF(ISBLANK(A4079),,IF(ISBLANK(S4079), A4079&amp;"";"", TEXTJOIN(CHAR(10), TRUE, A4079&amp;"";"", ARRAYFORMULA(VLOOKUP(SPLIT(S4079, "";"" &amp; CHAR(10)), $A:$AO, 41, FALSE)))))"),"")</f>
        <v/>
      </c>
      <c r="AP4079" s="89"/>
    </row>
    <row r="4080">
      <c r="A4080" s="42"/>
      <c r="B4080" s="42"/>
      <c r="C4080" s="42"/>
      <c r="D4080" s="42"/>
      <c r="E4080" s="39"/>
      <c r="F4080" s="9"/>
      <c r="G4080" s="9"/>
      <c r="H4080" s="9"/>
      <c r="I4080" s="9"/>
      <c r="J4080" s="9"/>
      <c r="K4080" s="9"/>
      <c r="L4080" s="9"/>
      <c r="M4080" s="9"/>
      <c r="N4080" s="9"/>
      <c r="O4080" s="9"/>
      <c r="P4080" s="9"/>
      <c r="Q4080" s="9"/>
      <c r="R4080" s="9"/>
      <c r="S4080" s="42"/>
      <c r="T4080" s="42"/>
      <c r="U4080" s="42"/>
      <c r="V4080" s="42"/>
      <c r="W4080" s="42"/>
      <c r="X4080" s="42"/>
      <c r="Y4080" s="42"/>
      <c r="Z4080" s="42"/>
      <c r="AA4080" s="42"/>
      <c r="AB4080" s="42"/>
      <c r="AC4080" s="42"/>
      <c r="AD4080" s="42"/>
      <c r="AE4080" s="42"/>
      <c r="AF4080" s="9"/>
      <c r="AG4080" s="9"/>
      <c r="AH4080" s="42"/>
      <c r="AI4080" s="42"/>
      <c r="AJ4080" s="42"/>
      <c r="AK4080" s="42"/>
      <c r="AL4080" s="42"/>
      <c r="AM4080" s="42"/>
      <c r="AN4080" s="42"/>
      <c r="AO4080" s="63" t="str">
        <f>IFERROR(__xludf.DUMMYFUNCTION("IF(ISBLANK(A4080),,IF(ISBLANK(S4080), A4080&amp;"";"", TEXTJOIN(CHAR(10), TRUE, A4080&amp;"";"", ARRAYFORMULA(VLOOKUP(SPLIT(S4080, "";"" &amp; CHAR(10)), $A:$AO, 41, FALSE)))))"),"")</f>
        <v/>
      </c>
      <c r="AP4080" s="89"/>
    </row>
    <row r="4081">
      <c r="A4081" s="42"/>
      <c r="B4081" s="42"/>
      <c r="C4081" s="42"/>
      <c r="D4081" s="42"/>
      <c r="E4081" s="39"/>
      <c r="F4081" s="9"/>
      <c r="G4081" s="9"/>
      <c r="H4081" s="9"/>
      <c r="I4081" s="9"/>
      <c r="J4081" s="9"/>
      <c r="K4081" s="9"/>
      <c r="L4081" s="9"/>
      <c r="M4081" s="9"/>
      <c r="N4081" s="9"/>
      <c r="O4081" s="9"/>
      <c r="P4081" s="9"/>
      <c r="Q4081" s="9"/>
      <c r="R4081" s="9"/>
      <c r="S4081" s="42"/>
      <c r="T4081" s="42"/>
      <c r="U4081" s="42"/>
      <c r="V4081" s="42"/>
      <c r="W4081" s="42"/>
      <c r="X4081" s="42"/>
      <c r="Y4081" s="42"/>
      <c r="Z4081" s="42"/>
      <c r="AA4081" s="42"/>
      <c r="AB4081" s="42"/>
      <c r="AC4081" s="42"/>
      <c r="AD4081" s="42"/>
      <c r="AE4081" s="42"/>
      <c r="AF4081" s="9"/>
      <c r="AG4081" s="9"/>
      <c r="AH4081" s="42"/>
      <c r="AI4081" s="42"/>
      <c r="AJ4081" s="42"/>
      <c r="AK4081" s="42"/>
      <c r="AL4081" s="42"/>
      <c r="AM4081" s="42"/>
      <c r="AN4081" s="42"/>
      <c r="AO4081" s="63" t="str">
        <f>IFERROR(__xludf.DUMMYFUNCTION("IF(ISBLANK(A4081),,IF(ISBLANK(S4081), A4081&amp;"";"", TEXTJOIN(CHAR(10), TRUE, A4081&amp;"";"", ARRAYFORMULA(VLOOKUP(SPLIT(S4081, "";"" &amp; CHAR(10)), $A:$AO, 41, FALSE)))))"),"")</f>
        <v/>
      </c>
      <c r="AP4081" s="89"/>
    </row>
    <row r="4082">
      <c r="A4082" s="42"/>
      <c r="B4082" s="42"/>
      <c r="C4082" s="42"/>
      <c r="D4082" s="42"/>
      <c r="E4082" s="39"/>
      <c r="F4082" s="9"/>
      <c r="G4082" s="9"/>
      <c r="H4082" s="9"/>
      <c r="I4082" s="9"/>
      <c r="J4082" s="9"/>
      <c r="K4082" s="9"/>
      <c r="L4082" s="9"/>
      <c r="M4082" s="9"/>
      <c r="N4082" s="9"/>
      <c r="O4082" s="9"/>
      <c r="P4082" s="9"/>
      <c r="Q4082" s="9"/>
      <c r="R4082" s="9"/>
      <c r="S4082" s="42"/>
      <c r="T4082" s="42"/>
      <c r="U4082" s="42"/>
      <c r="V4082" s="42"/>
      <c r="W4082" s="42"/>
      <c r="X4082" s="42"/>
      <c r="Y4082" s="42"/>
      <c r="Z4082" s="42"/>
      <c r="AA4082" s="42"/>
      <c r="AB4082" s="42"/>
      <c r="AC4082" s="42"/>
      <c r="AD4082" s="42"/>
      <c r="AE4082" s="42"/>
      <c r="AF4082" s="9"/>
      <c r="AG4082" s="9"/>
      <c r="AH4082" s="42"/>
      <c r="AI4082" s="42"/>
      <c r="AJ4082" s="42"/>
      <c r="AK4082" s="42"/>
      <c r="AL4082" s="42"/>
      <c r="AM4082" s="42"/>
      <c r="AN4082" s="42"/>
      <c r="AO4082" s="63" t="str">
        <f>IFERROR(__xludf.DUMMYFUNCTION("IF(ISBLANK(A4082),,IF(ISBLANK(S4082), A4082&amp;"";"", TEXTJOIN(CHAR(10), TRUE, A4082&amp;"";"", ARRAYFORMULA(VLOOKUP(SPLIT(S4082, "";"" &amp; CHAR(10)), $A:$AO, 41, FALSE)))))"),"")</f>
        <v/>
      </c>
      <c r="AP4082" s="89"/>
    </row>
    <row r="4083">
      <c r="A4083" s="42"/>
      <c r="B4083" s="42"/>
      <c r="C4083" s="42"/>
      <c r="D4083" s="42"/>
      <c r="E4083" s="39"/>
      <c r="F4083" s="9"/>
      <c r="G4083" s="9"/>
      <c r="H4083" s="9"/>
      <c r="I4083" s="9"/>
      <c r="J4083" s="9"/>
      <c r="K4083" s="9"/>
      <c r="L4083" s="9"/>
      <c r="M4083" s="9"/>
      <c r="N4083" s="9"/>
      <c r="O4083" s="9"/>
      <c r="P4083" s="9"/>
      <c r="Q4083" s="9"/>
      <c r="R4083" s="9"/>
      <c r="S4083" s="42"/>
      <c r="T4083" s="42"/>
      <c r="U4083" s="42"/>
      <c r="V4083" s="42"/>
      <c r="W4083" s="42"/>
      <c r="X4083" s="42"/>
      <c r="Y4083" s="42"/>
      <c r="Z4083" s="42"/>
      <c r="AA4083" s="42"/>
      <c r="AB4083" s="42"/>
      <c r="AC4083" s="42"/>
      <c r="AD4083" s="42"/>
      <c r="AE4083" s="42"/>
      <c r="AF4083" s="9"/>
      <c r="AG4083" s="9"/>
      <c r="AH4083" s="42"/>
      <c r="AI4083" s="42"/>
      <c r="AJ4083" s="42"/>
      <c r="AK4083" s="42"/>
      <c r="AL4083" s="42"/>
      <c r="AM4083" s="42"/>
      <c r="AN4083" s="42"/>
      <c r="AO4083" s="63" t="str">
        <f>IFERROR(__xludf.DUMMYFUNCTION("IF(ISBLANK(A4083),,IF(ISBLANK(S4083), A4083&amp;"";"", TEXTJOIN(CHAR(10), TRUE, A4083&amp;"";"", ARRAYFORMULA(VLOOKUP(SPLIT(S4083, "";"" &amp; CHAR(10)), $A:$AO, 41, FALSE)))))"),"")</f>
        <v/>
      </c>
      <c r="AP4083" s="89"/>
    </row>
    <row r="4084">
      <c r="A4084" s="42"/>
      <c r="B4084" s="42"/>
      <c r="C4084" s="42"/>
      <c r="D4084" s="42"/>
      <c r="E4084" s="39"/>
      <c r="F4084" s="9"/>
      <c r="G4084" s="9"/>
      <c r="H4084" s="9"/>
      <c r="I4084" s="9"/>
      <c r="J4084" s="9"/>
      <c r="K4084" s="9"/>
      <c r="L4084" s="9"/>
      <c r="M4084" s="9"/>
      <c r="N4084" s="9"/>
      <c r="O4084" s="9"/>
      <c r="P4084" s="9"/>
      <c r="Q4084" s="9"/>
      <c r="R4084" s="9"/>
      <c r="S4084" s="42"/>
      <c r="T4084" s="42"/>
      <c r="U4084" s="42"/>
      <c r="V4084" s="42"/>
      <c r="W4084" s="42"/>
      <c r="X4084" s="42"/>
      <c r="Y4084" s="42"/>
      <c r="Z4084" s="42"/>
      <c r="AA4084" s="42"/>
      <c r="AB4084" s="42"/>
      <c r="AC4084" s="42"/>
      <c r="AD4084" s="42"/>
      <c r="AE4084" s="42"/>
      <c r="AF4084" s="9"/>
      <c r="AG4084" s="9"/>
      <c r="AH4084" s="42"/>
      <c r="AI4084" s="42"/>
      <c r="AJ4084" s="42"/>
      <c r="AK4084" s="42"/>
      <c r="AL4084" s="42"/>
      <c r="AM4084" s="42"/>
      <c r="AN4084" s="42"/>
      <c r="AO4084" s="63" t="str">
        <f>IFERROR(__xludf.DUMMYFUNCTION("IF(ISBLANK(A4084),,IF(ISBLANK(S4084), A4084&amp;"";"", TEXTJOIN(CHAR(10), TRUE, A4084&amp;"";"", ARRAYFORMULA(VLOOKUP(SPLIT(S4084, "";"" &amp; CHAR(10)), $A:$AO, 41, FALSE)))))"),"")</f>
        <v/>
      </c>
      <c r="AP4084" s="89"/>
    </row>
    <row r="4085">
      <c r="A4085" s="42"/>
      <c r="B4085" s="42"/>
      <c r="C4085" s="42"/>
      <c r="D4085" s="42"/>
      <c r="E4085" s="39"/>
      <c r="F4085" s="9"/>
      <c r="G4085" s="9"/>
      <c r="H4085" s="9"/>
      <c r="I4085" s="9"/>
      <c r="J4085" s="9"/>
      <c r="K4085" s="9"/>
      <c r="L4085" s="9"/>
      <c r="M4085" s="9"/>
      <c r="N4085" s="9"/>
      <c r="O4085" s="9"/>
      <c r="P4085" s="9"/>
      <c r="Q4085" s="9"/>
      <c r="R4085" s="9"/>
      <c r="S4085" s="42"/>
      <c r="T4085" s="42"/>
      <c r="U4085" s="42"/>
      <c r="V4085" s="42"/>
      <c r="W4085" s="42"/>
      <c r="X4085" s="42"/>
      <c r="Y4085" s="42"/>
      <c r="Z4085" s="42"/>
      <c r="AA4085" s="42"/>
      <c r="AB4085" s="42"/>
      <c r="AC4085" s="42"/>
      <c r="AD4085" s="42"/>
      <c r="AE4085" s="42"/>
      <c r="AF4085" s="9"/>
      <c r="AG4085" s="9"/>
      <c r="AH4085" s="42"/>
      <c r="AI4085" s="42"/>
      <c r="AJ4085" s="42"/>
      <c r="AK4085" s="42"/>
      <c r="AL4085" s="42"/>
      <c r="AM4085" s="42"/>
      <c r="AN4085" s="42"/>
      <c r="AO4085" s="63" t="str">
        <f>IFERROR(__xludf.DUMMYFUNCTION("IF(ISBLANK(A4085),,IF(ISBLANK(S4085), A4085&amp;"";"", TEXTJOIN(CHAR(10), TRUE, A4085&amp;"";"", ARRAYFORMULA(VLOOKUP(SPLIT(S4085, "";"" &amp; CHAR(10)), $A:$AO, 41, FALSE)))))"),"")</f>
        <v/>
      </c>
      <c r="AP4085" s="89"/>
    </row>
    <row r="4086">
      <c r="A4086" s="42"/>
      <c r="B4086" s="42"/>
      <c r="C4086" s="42"/>
      <c r="D4086" s="42"/>
      <c r="E4086" s="39"/>
      <c r="F4086" s="9"/>
      <c r="G4086" s="9"/>
      <c r="H4086" s="9"/>
      <c r="I4086" s="9"/>
      <c r="J4086" s="9"/>
      <c r="K4086" s="9"/>
      <c r="L4086" s="9"/>
      <c r="M4086" s="9"/>
      <c r="N4086" s="9"/>
      <c r="O4086" s="9"/>
      <c r="P4086" s="9"/>
      <c r="Q4086" s="9"/>
      <c r="R4086" s="9"/>
      <c r="S4086" s="42"/>
      <c r="T4086" s="42"/>
      <c r="U4086" s="42"/>
      <c r="V4086" s="42"/>
      <c r="W4086" s="42"/>
      <c r="X4086" s="42"/>
      <c r="Y4086" s="42"/>
      <c r="Z4086" s="42"/>
      <c r="AA4086" s="42"/>
      <c r="AB4086" s="42"/>
      <c r="AC4086" s="42"/>
      <c r="AD4086" s="42"/>
      <c r="AE4086" s="42"/>
      <c r="AF4086" s="9"/>
      <c r="AG4086" s="9"/>
      <c r="AH4086" s="42"/>
      <c r="AI4086" s="42"/>
      <c r="AJ4086" s="42"/>
      <c r="AK4086" s="42"/>
      <c r="AL4086" s="42"/>
      <c r="AM4086" s="42"/>
      <c r="AN4086" s="42"/>
      <c r="AO4086" s="63" t="str">
        <f>IFERROR(__xludf.DUMMYFUNCTION("IF(ISBLANK(A4086),,IF(ISBLANK(S4086), A4086&amp;"";"", TEXTJOIN(CHAR(10), TRUE, A4086&amp;"";"", ARRAYFORMULA(VLOOKUP(SPLIT(S4086, "";"" &amp; CHAR(10)), $A:$AO, 41, FALSE)))))"),"")</f>
        <v/>
      </c>
      <c r="AP4086" s="89"/>
    </row>
    <row r="4087">
      <c r="A4087" s="42"/>
      <c r="B4087" s="42"/>
      <c r="C4087" s="42"/>
      <c r="D4087" s="42"/>
      <c r="E4087" s="39"/>
      <c r="F4087" s="9"/>
      <c r="G4087" s="9"/>
      <c r="H4087" s="9"/>
      <c r="I4087" s="9"/>
      <c r="J4087" s="9"/>
      <c r="K4087" s="9"/>
      <c r="L4087" s="9"/>
      <c r="M4087" s="9"/>
      <c r="N4087" s="9"/>
      <c r="O4087" s="9"/>
      <c r="P4087" s="9"/>
      <c r="Q4087" s="9"/>
      <c r="R4087" s="9"/>
      <c r="S4087" s="42"/>
      <c r="T4087" s="42"/>
      <c r="U4087" s="42"/>
      <c r="V4087" s="42"/>
      <c r="W4087" s="42"/>
      <c r="X4087" s="42"/>
      <c r="Y4087" s="42"/>
      <c r="Z4087" s="42"/>
      <c r="AA4087" s="42"/>
      <c r="AB4087" s="42"/>
      <c r="AC4087" s="42"/>
      <c r="AD4087" s="42"/>
      <c r="AE4087" s="42"/>
      <c r="AF4087" s="9"/>
      <c r="AG4087" s="9"/>
      <c r="AH4087" s="42"/>
      <c r="AI4087" s="42"/>
      <c r="AJ4087" s="42"/>
      <c r="AK4087" s="42"/>
      <c r="AL4087" s="42"/>
      <c r="AM4087" s="42"/>
      <c r="AN4087" s="42"/>
      <c r="AO4087" s="63" t="str">
        <f>IFERROR(__xludf.DUMMYFUNCTION("IF(ISBLANK(A4087),,IF(ISBLANK(S4087), A4087&amp;"";"", TEXTJOIN(CHAR(10), TRUE, A4087&amp;"";"", ARRAYFORMULA(VLOOKUP(SPLIT(S4087, "";"" &amp; CHAR(10)), $A:$AO, 41, FALSE)))))"),"")</f>
        <v/>
      </c>
      <c r="AP4087" s="89"/>
    </row>
    <row r="4088">
      <c r="A4088" s="42"/>
      <c r="B4088" s="42"/>
      <c r="C4088" s="42"/>
      <c r="D4088" s="42"/>
      <c r="E4088" s="39"/>
      <c r="F4088" s="9"/>
      <c r="G4088" s="9"/>
      <c r="H4088" s="9"/>
      <c r="I4088" s="9"/>
      <c r="J4088" s="9"/>
      <c r="K4088" s="9"/>
      <c r="L4088" s="9"/>
      <c r="M4088" s="9"/>
      <c r="N4088" s="9"/>
      <c r="O4088" s="9"/>
      <c r="P4088" s="9"/>
      <c r="Q4088" s="9"/>
      <c r="R4088" s="9"/>
      <c r="S4088" s="42"/>
      <c r="T4088" s="42"/>
      <c r="U4088" s="42"/>
      <c r="V4088" s="42"/>
      <c r="W4088" s="42"/>
      <c r="X4088" s="42"/>
      <c r="Y4088" s="42"/>
      <c r="Z4088" s="42"/>
      <c r="AA4088" s="42"/>
      <c r="AB4088" s="42"/>
      <c r="AC4088" s="42"/>
      <c r="AD4088" s="42"/>
      <c r="AE4088" s="42"/>
      <c r="AF4088" s="9"/>
      <c r="AG4088" s="9"/>
      <c r="AH4088" s="42"/>
      <c r="AI4088" s="42"/>
      <c r="AJ4088" s="42"/>
      <c r="AK4088" s="42"/>
      <c r="AL4088" s="42"/>
      <c r="AM4088" s="42"/>
      <c r="AN4088" s="42"/>
      <c r="AO4088" s="63" t="str">
        <f>IFERROR(__xludf.DUMMYFUNCTION("IF(ISBLANK(A4088),,IF(ISBLANK(S4088), A4088&amp;"";"", TEXTJOIN(CHAR(10), TRUE, A4088&amp;"";"", ARRAYFORMULA(VLOOKUP(SPLIT(S4088, "";"" &amp; CHAR(10)), $A:$AO, 41, FALSE)))))"),"")</f>
        <v/>
      </c>
      <c r="AP4088" s="89"/>
    </row>
    <row r="4089">
      <c r="A4089" s="42"/>
      <c r="B4089" s="42"/>
      <c r="C4089" s="42"/>
      <c r="D4089" s="42"/>
      <c r="E4089" s="39"/>
      <c r="F4089" s="9"/>
      <c r="G4089" s="9"/>
      <c r="H4089" s="9"/>
      <c r="I4089" s="9"/>
      <c r="J4089" s="9"/>
      <c r="K4089" s="9"/>
      <c r="L4089" s="9"/>
      <c r="M4089" s="9"/>
      <c r="N4089" s="9"/>
      <c r="O4089" s="9"/>
      <c r="P4089" s="9"/>
      <c r="Q4089" s="9"/>
      <c r="R4089" s="9"/>
      <c r="S4089" s="42"/>
      <c r="T4089" s="42"/>
      <c r="U4089" s="42"/>
      <c r="V4089" s="42"/>
      <c r="W4089" s="42"/>
      <c r="X4089" s="42"/>
      <c r="Y4089" s="42"/>
      <c r="Z4089" s="42"/>
      <c r="AA4089" s="42"/>
      <c r="AB4089" s="42"/>
      <c r="AC4089" s="42"/>
      <c r="AD4089" s="42"/>
      <c r="AE4089" s="42"/>
      <c r="AF4089" s="9"/>
      <c r="AG4089" s="9"/>
      <c r="AH4089" s="42"/>
      <c r="AI4089" s="42"/>
      <c r="AJ4089" s="42"/>
      <c r="AK4089" s="42"/>
      <c r="AL4089" s="42"/>
      <c r="AM4089" s="42"/>
      <c r="AN4089" s="42"/>
      <c r="AO4089" s="63" t="str">
        <f>IFERROR(__xludf.DUMMYFUNCTION("IF(ISBLANK(A4089),,IF(ISBLANK(S4089), A4089&amp;"";"", TEXTJOIN(CHAR(10), TRUE, A4089&amp;"";"", ARRAYFORMULA(VLOOKUP(SPLIT(S4089, "";"" &amp; CHAR(10)), $A:$AO, 41, FALSE)))))"),"")</f>
        <v/>
      </c>
      <c r="AP4089" s="89"/>
    </row>
    <row r="4090">
      <c r="A4090" s="42"/>
      <c r="B4090" s="42"/>
      <c r="C4090" s="42"/>
      <c r="D4090" s="42"/>
      <c r="E4090" s="39"/>
      <c r="F4090" s="9"/>
      <c r="G4090" s="9"/>
      <c r="H4090" s="9"/>
      <c r="I4090" s="9"/>
      <c r="J4090" s="9"/>
      <c r="K4090" s="9"/>
      <c r="L4090" s="9"/>
      <c r="M4090" s="9"/>
      <c r="N4090" s="9"/>
      <c r="O4090" s="9"/>
      <c r="P4090" s="9"/>
      <c r="Q4090" s="9"/>
      <c r="R4090" s="9"/>
      <c r="S4090" s="42"/>
      <c r="T4090" s="42"/>
      <c r="U4090" s="42"/>
      <c r="V4090" s="42"/>
      <c r="W4090" s="42"/>
      <c r="X4090" s="42"/>
      <c r="Y4090" s="42"/>
      <c r="Z4090" s="42"/>
      <c r="AA4090" s="42"/>
      <c r="AB4090" s="42"/>
      <c r="AC4090" s="42"/>
      <c r="AD4090" s="42"/>
      <c r="AE4090" s="42"/>
      <c r="AF4090" s="9"/>
      <c r="AG4090" s="9"/>
      <c r="AH4090" s="42"/>
      <c r="AI4090" s="42"/>
      <c r="AJ4090" s="42"/>
      <c r="AK4090" s="42"/>
      <c r="AL4090" s="42"/>
      <c r="AM4090" s="42"/>
      <c r="AN4090" s="42"/>
      <c r="AO4090" s="63" t="str">
        <f>IFERROR(__xludf.DUMMYFUNCTION("IF(ISBLANK(A4090),,IF(ISBLANK(S4090), A4090&amp;"";"", TEXTJOIN(CHAR(10), TRUE, A4090&amp;"";"", ARRAYFORMULA(VLOOKUP(SPLIT(S4090, "";"" &amp; CHAR(10)), $A:$AO, 41, FALSE)))))"),"")</f>
        <v/>
      </c>
      <c r="AP4090" s="89"/>
    </row>
    <row r="4091">
      <c r="A4091" s="42"/>
      <c r="B4091" s="42"/>
      <c r="C4091" s="42"/>
      <c r="D4091" s="42"/>
      <c r="E4091" s="39"/>
      <c r="F4091" s="9"/>
      <c r="G4091" s="9"/>
      <c r="H4091" s="9"/>
      <c r="I4091" s="9"/>
      <c r="J4091" s="9"/>
      <c r="K4091" s="9"/>
      <c r="L4091" s="9"/>
      <c r="M4091" s="9"/>
      <c r="N4091" s="9"/>
      <c r="O4091" s="9"/>
      <c r="P4091" s="9"/>
      <c r="Q4091" s="9"/>
      <c r="R4091" s="9"/>
      <c r="S4091" s="42"/>
      <c r="T4091" s="42"/>
      <c r="U4091" s="42"/>
      <c r="V4091" s="42"/>
      <c r="W4091" s="42"/>
      <c r="X4091" s="42"/>
      <c r="Y4091" s="42"/>
      <c r="Z4091" s="42"/>
      <c r="AA4091" s="42"/>
      <c r="AB4091" s="42"/>
      <c r="AC4091" s="42"/>
      <c r="AD4091" s="42"/>
      <c r="AE4091" s="42"/>
      <c r="AF4091" s="9"/>
      <c r="AG4091" s="9"/>
      <c r="AH4091" s="42"/>
      <c r="AI4091" s="42"/>
      <c r="AJ4091" s="42"/>
      <c r="AK4091" s="42"/>
      <c r="AL4091" s="42"/>
      <c r="AM4091" s="42"/>
      <c r="AN4091" s="42"/>
      <c r="AO4091" s="63" t="str">
        <f>IFERROR(__xludf.DUMMYFUNCTION("IF(ISBLANK(A4091),,IF(ISBLANK(S4091), A4091&amp;"";"", TEXTJOIN(CHAR(10), TRUE, A4091&amp;"";"", ARRAYFORMULA(VLOOKUP(SPLIT(S4091, "";"" &amp; CHAR(10)), $A:$AO, 41, FALSE)))))"),"")</f>
        <v/>
      </c>
      <c r="AP4091" s="89"/>
    </row>
    <row r="4092">
      <c r="A4092" s="42"/>
      <c r="B4092" s="42"/>
      <c r="C4092" s="42"/>
      <c r="D4092" s="42"/>
      <c r="E4092" s="39"/>
      <c r="F4092" s="9"/>
      <c r="G4092" s="9"/>
      <c r="H4092" s="9"/>
      <c r="I4092" s="9"/>
      <c r="J4092" s="9"/>
      <c r="K4092" s="9"/>
      <c r="L4092" s="9"/>
      <c r="M4092" s="9"/>
      <c r="N4092" s="9"/>
      <c r="O4092" s="9"/>
      <c r="P4092" s="9"/>
      <c r="Q4092" s="9"/>
      <c r="R4092" s="9"/>
      <c r="S4092" s="42"/>
      <c r="T4092" s="42"/>
      <c r="U4092" s="42"/>
      <c r="V4092" s="42"/>
      <c r="W4092" s="42"/>
      <c r="X4092" s="42"/>
      <c r="Y4092" s="42"/>
      <c r="Z4092" s="42"/>
      <c r="AA4092" s="42"/>
      <c r="AB4092" s="42"/>
      <c r="AC4092" s="42"/>
      <c r="AD4092" s="42"/>
      <c r="AE4092" s="42"/>
      <c r="AF4092" s="9"/>
      <c r="AG4092" s="9"/>
      <c r="AH4092" s="42"/>
      <c r="AI4092" s="42"/>
      <c r="AJ4092" s="42"/>
      <c r="AK4092" s="42"/>
      <c r="AL4092" s="42"/>
      <c r="AM4092" s="42"/>
      <c r="AN4092" s="42"/>
      <c r="AO4092" s="63" t="str">
        <f>IFERROR(__xludf.DUMMYFUNCTION("IF(ISBLANK(A4092),,IF(ISBLANK(S4092), A4092&amp;"";"", TEXTJOIN(CHAR(10), TRUE, A4092&amp;"";"", ARRAYFORMULA(VLOOKUP(SPLIT(S4092, "";"" &amp; CHAR(10)), $A:$AO, 41, FALSE)))))"),"")</f>
        <v/>
      </c>
      <c r="AP4092" s="89"/>
    </row>
    <row r="4093">
      <c r="A4093" s="42"/>
      <c r="B4093" s="42"/>
      <c r="C4093" s="42"/>
      <c r="D4093" s="42"/>
      <c r="E4093" s="39"/>
      <c r="F4093" s="9"/>
      <c r="G4093" s="9"/>
      <c r="H4093" s="9"/>
      <c r="I4093" s="9"/>
      <c r="J4093" s="9"/>
      <c r="K4093" s="9"/>
      <c r="L4093" s="9"/>
      <c r="M4093" s="9"/>
      <c r="N4093" s="9"/>
      <c r="O4093" s="9"/>
      <c r="P4093" s="9"/>
      <c r="Q4093" s="9"/>
      <c r="R4093" s="9"/>
      <c r="S4093" s="42"/>
      <c r="T4093" s="42"/>
      <c r="U4093" s="42"/>
      <c r="V4093" s="42"/>
      <c r="W4093" s="42"/>
      <c r="X4093" s="42"/>
      <c r="Y4093" s="42"/>
      <c r="Z4093" s="42"/>
      <c r="AA4093" s="42"/>
      <c r="AB4093" s="42"/>
      <c r="AC4093" s="42"/>
      <c r="AD4093" s="42"/>
      <c r="AE4093" s="42"/>
      <c r="AF4093" s="9"/>
      <c r="AG4093" s="9"/>
      <c r="AH4093" s="42"/>
      <c r="AI4093" s="42"/>
      <c r="AJ4093" s="42"/>
      <c r="AK4093" s="42"/>
      <c r="AL4093" s="42"/>
      <c r="AM4093" s="42"/>
      <c r="AN4093" s="42"/>
      <c r="AO4093" s="63" t="str">
        <f>IFERROR(__xludf.DUMMYFUNCTION("IF(ISBLANK(A4093),,IF(ISBLANK(S4093), A4093&amp;"";"", TEXTJOIN(CHAR(10), TRUE, A4093&amp;"";"", ARRAYFORMULA(VLOOKUP(SPLIT(S4093, "";"" &amp; CHAR(10)), $A:$AO, 41, FALSE)))))"),"")</f>
        <v/>
      </c>
      <c r="AP4093" s="89"/>
    </row>
    <row r="4094">
      <c r="A4094" s="42"/>
      <c r="B4094" s="42"/>
      <c r="C4094" s="42"/>
      <c r="D4094" s="42"/>
      <c r="E4094" s="39"/>
      <c r="F4094" s="9"/>
      <c r="G4094" s="9"/>
      <c r="H4094" s="9"/>
      <c r="I4094" s="9"/>
      <c r="J4094" s="9"/>
      <c r="K4094" s="9"/>
      <c r="L4094" s="9"/>
      <c r="M4094" s="9"/>
      <c r="N4094" s="9"/>
      <c r="O4094" s="9"/>
      <c r="P4094" s="9"/>
      <c r="Q4094" s="9"/>
      <c r="R4094" s="9"/>
      <c r="S4094" s="42"/>
      <c r="T4094" s="42"/>
      <c r="U4094" s="42"/>
      <c r="V4094" s="42"/>
      <c r="W4094" s="42"/>
      <c r="X4094" s="42"/>
      <c r="Y4094" s="42"/>
      <c r="Z4094" s="42"/>
      <c r="AA4094" s="42"/>
      <c r="AB4094" s="42"/>
      <c r="AC4094" s="42"/>
      <c r="AD4094" s="42"/>
      <c r="AE4094" s="42"/>
      <c r="AF4094" s="9"/>
      <c r="AG4094" s="9"/>
      <c r="AH4094" s="42"/>
      <c r="AI4094" s="42"/>
      <c r="AJ4094" s="42"/>
      <c r="AK4094" s="42"/>
      <c r="AL4094" s="42"/>
      <c r="AM4094" s="42"/>
      <c r="AN4094" s="42"/>
      <c r="AO4094" s="63" t="str">
        <f>IFERROR(__xludf.DUMMYFUNCTION("IF(ISBLANK(A4094),,IF(ISBLANK(S4094), A4094&amp;"";"", TEXTJOIN(CHAR(10), TRUE, A4094&amp;"";"", ARRAYFORMULA(VLOOKUP(SPLIT(S4094, "";"" &amp; CHAR(10)), $A:$AO, 41, FALSE)))))"),"")</f>
        <v/>
      </c>
      <c r="AP4094" s="89"/>
    </row>
    <row r="4095">
      <c r="A4095" s="42"/>
      <c r="B4095" s="42"/>
      <c r="C4095" s="42"/>
      <c r="D4095" s="42"/>
      <c r="E4095" s="39"/>
      <c r="F4095" s="9"/>
      <c r="G4095" s="9"/>
      <c r="H4095" s="9"/>
      <c r="I4095" s="9"/>
      <c r="J4095" s="9"/>
      <c r="K4095" s="9"/>
      <c r="L4095" s="9"/>
      <c r="M4095" s="9"/>
      <c r="N4095" s="9"/>
      <c r="O4095" s="9"/>
      <c r="P4095" s="9"/>
      <c r="Q4095" s="9"/>
      <c r="R4095" s="9"/>
      <c r="S4095" s="42"/>
      <c r="T4095" s="42"/>
      <c r="U4095" s="42"/>
      <c r="V4095" s="42"/>
      <c r="W4095" s="42"/>
      <c r="X4095" s="42"/>
      <c r="Y4095" s="42"/>
      <c r="Z4095" s="42"/>
      <c r="AA4095" s="42"/>
      <c r="AB4095" s="42"/>
      <c r="AC4095" s="42"/>
      <c r="AD4095" s="42"/>
      <c r="AE4095" s="42"/>
      <c r="AF4095" s="9"/>
      <c r="AG4095" s="9"/>
      <c r="AH4095" s="42"/>
      <c r="AI4095" s="42"/>
      <c r="AJ4095" s="42"/>
      <c r="AK4095" s="42"/>
      <c r="AL4095" s="42"/>
      <c r="AM4095" s="42"/>
      <c r="AN4095" s="42"/>
      <c r="AO4095" s="63" t="str">
        <f>IFERROR(__xludf.DUMMYFUNCTION("IF(ISBLANK(A4095),,IF(ISBLANK(S4095), A4095&amp;"";"", TEXTJOIN(CHAR(10), TRUE, A4095&amp;"";"", ARRAYFORMULA(VLOOKUP(SPLIT(S4095, "";"" &amp; CHAR(10)), $A:$AO, 41, FALSE)))))"),"")</f>
        <v/>
      </c>
      <c r="AP4095" s="89"/>
    </row>
    <row r="4096">
      <c r="A4096" s="42"/>
      <c r="B4096" s="42"/>
      <c r="C4096" s="42"/>
      <c r="D4096" s="42"/>
      <c r="E4096" s="39"/>
      <c r="F4096" s="9"/>
      <c r="G4096" s="9"/>
      <c r="H4096" s="9"/>
      <c r="I4096" s="9"/>
      <c r="J4096" s="9"/>
      <c r="K4096" s="9"/>
      <c r="L4096" s="9"/>
      <c r="M4096" s="9"/>
      <c r="N4096" s="9"/>
      <c r="O4096" s="9"/>
      <c r="P4096" s="9"/>
      <c r="Q4096" s="9"/>
      <c r="R4096" s="9"/>
      <c r="S4096" s="42"/>
      <c r="T4096" s="42"/>
      <c r="U4096" s="42"/>
      <c r="V4096" s="42"/>
      <c r="W4096" s="42"/>
      <c r="X4096" s="42"/>
      <c r="Y4096" s="42"/>
      <c r="Z4096" s="42"/>
      <c r="AA4096" s="42"/>
      <c r="AB4096" s="42"/>
      <c r="AC4096" s="42"/>
      <c r="AD4096" s="42"/>
      <c r="AE4096" s="42"/>
      <c r="AF4096" s="9"/>
      <c r="AG4096" s="9"/>
      <c r="AH4096" s="42"/>
      <c r="AI4096" s="42"/>
      <c r="AJ4096" s="42"/>
      <c r="AK4096" s="42"/>
      <c r="AL4096" s="42"/>
      <c r="AM4096" s="42"/>
      <c r="AN4096" s="42"/>
      <c r="AO4096" s="63" t="str">
        <f>IFERROR(__xludf.DUMMYFUNCTION("IF(ISBLANK(A4096),,IF(ISBLANK(S4096), A4096&amp;"";"", TEXTJOIN(CHAR(10), TRUE, A4096&amp;"";"", ARRAYFORMULA(VLOOKUP(SPLIT(S4096, "";"" &amp; CHAR(10)), $A:$AO, 41, FALSE)))))"),"")</f>
        <v/>
      </c>
      <c r="AP4096" s="89"/>
    </row>
    <row r="4097">
      <c r="A4097" s="42"/>
      <c r="B4097" s="42"/>
      <c r="C4097" s="42"/>
      <c r="D4097" s="42"/>
      <c r="E4097" s="39"/>
      <c r="F4097" s="9"/>
      <c r="G4097" s="9"/>
      <c r="H4097" s="9"/>
      <c r="I4097" s="9"/>
      <c r="J4097" s="9"/>
      <c r="K4097" s="9"/>
      <c r="L4097" s="9"/>
      <c r="M4097" s="9"/>
      <c r="N4097" s="9"/>
      <c r="O4097" s="9"/>
      <c r="P4097" s="9"/>
      <c r="Q4097" s="9"/>
      <c r="R4097" s="9"/>
      <c r="S4097" s="42"/>
      <c r="T4097" s="42"/>
      <c r="U4097" s="42"/>
      <c r="V4097" s="42"/>
      <c r="W4097" s="42"/>
      <c r="X4097" s="42"/>
      <c r="Y4097" s="42"/>
      <c r="Z4097" s="42"/>
      <c r="AA4097" s="42"/>
      <c r="AB4097" s="42"/>
      <c r="AC4097" s="42"/>
      <c r="AD4097" s="42"/>
      <c r="AE4097" s="42"/>
      <c r="AF4097" s="9"/>
      <c r="AG4097" s="9"/>
      <c r="AH4097" s="42"/>
      <c r="AI4097" s="42"/>
      <c r="AJ4097" s="42"/>
      <c r="AK4097" s="42"/>
      <c r="AL4097" s="42"/>
      <c r="AM4097" s="42"/>
      <c r="AN4097" s="42"/>
      <c r="AO4097" s="63" t="str">
        <f>IFERROR(__xludf.DUMMYFUNCTION("IF(ISBLANK(A4097),,IF(ISBLANK(S4097), A4097&amp;"";"", TEXTJOIN(CHAR(10), TRUE, A4097&amp;"";"", ARRAYFORMULA(VLOOKUP(SPLIT(S4097, "";"" &amp; CHAR(10)), $A:$AO, 41, FALSE)))))"),"")</f>
        <v/>
      </c>
      <c r="AP4097" s="89"/>
    </row>
    <row r="4098">
      <c r="A4098" s="42"/>
      <c r="B4098" s="42"/>
      <c r="C4098" s="42"/>
      <c r="D4098" s="42"/>
      <c r="E4098" s="39"/>
      <c r="F4098" s="9"/>
      <c r="G4098" s="9"/>
      <c r="H4098" s="9"/>
      <c r="I4098" s="9"/>
      <c r="J4098" s="9"/>
      <c r="K4098" s="9"/>
      <c r="L4098" s="9"/>
      <c r="M4098" s="9"/>
      <c r="N4098" s="9"/>
      <c r="O4098" s="9"/>
      <c r="P4098" s="9"/>
      <c r="Q4098" s="9"/>
      <c r="R4098" s="9"/>
      <c r="S4098" s="42"/>
      <c r="T4098" s="42"/>
      <c r="U4098" s="42"/>
      <c r="V4098" s="42"/>
      <c r="W4098" s="42"/>
      <c r="X4098" s="42"/>
      <c r="Y4098" s="42"/>
      <c r="Z4098" s="42"/>
      <c r="AA4098" s="42"/>
      <c r="AB4098" s="42"/>
      <c r="AC4098" s="42"/>
      <c r="AD4098" s="42"/>
      <c r="AE4098" s="42"/>
      <c r="AF4098" s="9"/>
      <c r="AG4098" s="9"/>
      <c r="AH4098" s="42"/>
      <c r="AI4098" s="42"/>
      <c r="AJ4098" s="42"/>
      <c r="AK4098" s="42"/>
      <c r="AL4098" s="42"/>
      <c r="AM4098" s="42"/>
      <c r="AN4098" s="42"/>
      <c r="AO4098" s="63" t="str">
        <f>IFERROR(__xludf.DUMMYFUNCTION("IF(ISBLANK(A4098),,IF(ISBLANK(S4098), A4098&amp;"";"", TEXTJOIN(CHAR(10), TRUE, A4098&amp;"";"", ARRAYFORMULA(VLOOKUP(SPLIT(S4098, "";"" &amp; CHAR(10)), $A:$AO, 41, FALSE)))))"),"")</f>
        <v/>
      </c>
      <c r="AP4098" s="89"/>
    </row>
    <row r="4099">
      <c r="A4099" s="42"/>
      <c r="B4099" s="42"/>
      <c r="C4099" s="42"/>
      <c r="D4099" s="42"/>
      <c r="E4099" s="39"/>
      <c r="F4099" s="9"/>
      <c r="G4099" s="9"/>
      <c r="H4099" s="9"/>
      <c r="I4099" s="9"/>
      <c r="J4099" s="9"/>
      <c r="K4099" s="9"/>
      <c r="L4099" s="9"/>
      <c r="M4099" s="9"/>
      <c r="N4099" s="9"/>
      <c r="O4099" s="9"/>
      <c r="P4099" s="9"/>
      <c r="Q4099" s="9"/>
      <c r="R4099" s="9"/>
      <c r="S4099" s="42"/>
      <c r="T4099" s="42"/>
      <c r="U4099" s="42"/>
      <c r="V4099" s="42"/>
      <c r="W4099" s="42"/>
      <c r="X4099" s="42"/>
      <c r="Y4099" s="42"/>
      <c r="Z4099" s="42"/>
      <c r="AA4099" s="42"/>
      <c r="AB4099" s="42"/>
      <c r="AC4099" s="42"/>
      <c r="AD4099" s="42"/>
      <c r="AE4099" s="42"/>
      <c r="AF4099" s="9"/>
      <c r="AG4099" s="9"/>
      <c r="AH4099" s="42"/>
      <c r="AI4099" s="42"/>
      <c r="AJ4099" s="42"/>
      <c r="AK4099" s="42"/>
      <c r="AL4099" s="42"/>
      <c r="AM4099" s="42"/>
      <c r="AN4099" s="42"/>
      <c r="AO4099" s="63" t="str">
        <f>IFERROR(__xludf.DUMMYFUNCTION("IF(ISBLANK(A4099),,IF(ISBLANK(S4099), A4099&amp;"";"", TEXTJOIN(CHAR(10), TRUE, A4099&amp;"";"", ARRAYFORMULA(VLOOKUP(SPLIT(S4099, "";"" &amp; CHAR(10)), $A:$AO, 41, FALSE)))))"),"")</f>
        <v/>
      </c>
      <c r="AP4099" s="89"/>
    </row>
    <row r="4100">
      <c r="A4100" s="42"/>
      <c r="B4100" s="42"/>
      <c r="C4100" s="42"/>
      <c r="D4100" s="42"/>
      <c r="E4100" s="39"/>
      <c r="F4100" s="9"/>
      <c r="G4100" s="9"/>
      <c r="H4100" s="9"/>
      <c r="I4100" s="9"/>
      <c r="J4100" s="9"/>
      <c r="K4100" s="9"/>
      <c r="L4100" s="9"/>
      <c r="M4100" s="9"/>
      <c r="N4100" s="9"/>
      <c r="O4100" s="9"/>
      <c r="P4100" s="9"/>
      <c r="Q4100" s="9"/>
      <c r="R4100" s="9"/>
      <c r="S4100" s="42"/>
      <c r="T4100" s="42"/>
      <c r="U4100" s="42"/>
      <c r="V4100" s="42"/>
      <c r="W4100" s="42"/>
      <c r="X4100" s="42"/>
      <c r="Y4100" s="42"/>
      <c r="Z4100" s="42"/>
      <c r="AA4100" s="42"/>
      <c r="AB4100" s="42"/>
      <c r="AC4100" s="42"/>
      <c r="AD4100" s="42"/>
      <c r="AE4100" s="42"/>
      <c r="AF4100" s="9"/>
      <c r="AG4100" s="9"/>
      <c r="AH4100" s="42"/>
      <c r="AI4100" s="42"/>
      <c r="AJ4100" s="42"/>
      <c r="AK4100" s="42"/>
      <c r="AL4100" s="42"/>
      <c r="AM4100" s="42"/>
      <c r="AN4100" s="42"/>
      <c r="AO4100" s="63" t="str">
        <f>IFERROR(__xludf.DUMMYFUNCTION("IF(ISBLANK(A4100),,IF(ISBLANK(S4100), A4100&amp;"";"", TEXTJOIN(CHAR(10), TRUE, A4100&amp;"";"", ARRAYFORMULA(VLOOKUP(SPLIT(S4100, "";"" &amp; CHAR(10)), $A:$AO, 41, FALSE)))))"),"")</f>
        <v/>
      </c>
      <c r="AP4100" s="89"/>
    </row>
    <row r="4101">
      <c r="A4101" s="42"/>
      <c r="B4101" s="42"/>
      <c r="C4101" s="42"/>
      <c r="D4101" s="42"/>
      <c r="E4101" s="39"/>
      <c r="F4101" s="9"/>
      <c r="G4101" s="9"/>
      <c r="H4101" s="9"/>
      <c r="I4101" s="9"/>
      <c r="J4101" s="9"/>
      <c r="K4101" s="9"/>
      <c r="L4101" s="9"/>
      <c r="M4101" s="9"/>
      <c r="N4101" s="9"/>
      <c r="O4101" s="9"/>
      <c r="P4101" s="9"/>
      <c r="Q4101" s="9"/>
      <c r="R4101" s="9"/>
      <c r="S4101" s="42"/>
      <c r="T4101" s="42"/>
      <c r="U4101" s="42"/>
      <c r="V4101" s="42"/>
      <c r="W4101" s="42"/>
      <c r="X4101" s="42"/>
      <c r="Y4101" s="42"/>
      <c r="Z4101" s="42"/>
      <c r="AA4101" s="42"/>
      <c r="AB4101" s="42"/>
      <c r="AC4101" s="42"/>
      <c r="AD4101" s="42"/>
      <c r="AE4101" s="42"/>
      <c r="AF4101" s="9"/>
      <c r="AG4101" s="9"/>
      <c r="AH4101" s="42"/>
      <c r="AI4101" s="42"/>
      <c r="AJ4101" s="42"/>
      <c r="AK4101" s="42"/>
      <c r="AL4101" s="42"/>
      <c r="AM4101" s="42"/>
      <c r="AN4101" s="42"/>
      <c r="AO4101" s="63" t="str">
        <f>IFERROR(__xludf.DUMMYFUNCTION("IF(ISBLANK(A4101),,IF(ISBLANK(S4101), A4101&amp;"";"", TEXTJOIN(CHAR(10), TRUE, A4101&amp;"";"", ARRAYFORMULA(VLOOKUP(SPLIT(S4101, "";"" &amp; CHAR(10)), $A:$AO, 41, FALSE)))))"),"")</f>
        <v/>
      </c>
      <c r="AP4101" s="89"/>
    </row>
    <row r="4102">
      <c r="A4102" s="42"/>
      <c r="B4102" s="42"/>
      <c r="C4102" s="42"/>
      <c r="D4102" s="42"/>
      <c r="E4102" s="39"/>
      <c r="F4102" s="9"/>
      <c r="G4102" s="9"/>
      <c r="H4102" s="9"/>
      <c r="I4102" s="9"/>
      <c r="J4102" s="9"/>
      <c r="K4102" s="9"/>
      <c r="L4102" s="9"/>
      <c r="M4102" s="9"/>
      <c r="N4102" s="9"/>
      <c r="O4102" s="9"/>
      <c r="P4102" s="9"/>
      <c r="Q4102" s="9"/>
      <c r="R4102" s="9"/>
      <c r="S4102" s="42"/>
      <c r="T4102" s="42"/>
      <c r="U4102" s="42"/>
      <c r="V4102" s="42"/>
      <c r="W4102" s="42"/>
      <c r="X4102" s="42"/>
      <c r="Y4102" s="42"/>
      <c r="Z4102" s="42"/>
      <c r="AA4102" s="42"/>
      <c r="AB4102" s="42"/>
      <c r="AC4102" s="42"/>
      <c r="AD4102" s="42"/>
      <c r="AE4102" s="42"/>
      <c r="AF4102" s="9"/>
      <c r="AG4102" s="9"/>
      <c r="AH4102" s="42"/>
      <c r="AI4102" s="42"/>
      <c r="AJ4102" s="42"/>
      <c r="AK4102" s="42"/>
      <c r="AL4102" s="42"/>
      <c r="AM4102" s="42"/>
      <c r="AN4102" s="42"/>
      <c r="AO4102" s="63" t="str">
        <f>IFERROR(__xludf.DUMMYFUNCTION("IF(ISBLANK(A4102),,IF(ISBLANK(S4102), A4102&amp;"";"", TEXTJOIN(CHAR(10), TRUE, A4102&amp;"";"", ARRAYFORMULA(VLOOKUP(SPLIT(S4102, "";"" &amp; CHAR(10)), $A:$AO, 41, FALSE)))))"),"")</f>
        <v/>
      </c>
      <c r="AP4102" s="89"/>
    </row>
    <row r="4103">
      <c r="A4103" s="42"/>
      <c r="B4103" s="42"/>
      <c r="C4103" s="42"/>
      <c r="D4103" s="42"/>
      <c r="E4103" s="39"/>
      <c r="F4103" s="9"/>
      <c r="G4103" s="9"/>
      <c r="H4103" s="9"/>
      <c r="I4103" s="9"/>
      <c r="J4103" s="9"/>
      <c r="K4103" s="9"/>
      <c r="L4103" s="9"/>
      <c r="M4103" s="9"/>
      <c r="N4103" s="9"/>
      <c r="O4103" s="9"/>
      <c r="P4103" s="9"/>
      <c r="Q4103" s="9"/>
      <c r="R4103" s="9"/>
      <c r="S4103" s="42"/>
      <c r="T4103" s="42"/>
      <c r="U4103" s="42"/>
      <c r="V4103" s="42"/>
      <c r="W4103" s="42"/>
      <c r="X4103" s="42"/>
      <c r="Y4103" s="42"/>
      <c r="Z4103" s="42"/>
      <c r="AA4103" s="42"/>
      <c r="AB4103" s="42"/>
      <c r="AC4103" s="42"/>
      <c r="AD4103" s="42"/>
      <c r="AE4103" s="42"/>
      <c r="AF4103" s="9"/>
      <c r="AG4103" s="9"/>
      <c r="AH4103" s="42"/>
      <c r="AI4103" s="42"/>
      <c r="AJ4103" s="42"/>
      <c r="AK4103" s="42"/>
      <c r="AL4103" s="42"/>
      <c r="AM4103" s="42"/>
      <c r="AN4103" s="42"/>
      <c r="AO4103" s="63" t="str">
        <f>IFERROR(__xludf.DUMMYFUNCTION("IF(ISBLANK(A4103),,IF(ISBLANK(S4103), A4103&amp;"";"", TEXTJOIN(CHAR(10), TRUE, A4103&amp;"";"", ARRAYFORMULA(VLOOKUP(SPLIT(S4103, "";"" &amp; CHAR(10)), $A:$AO, 41, FALSE)))))"),"")</f>
        <v/>
      </c>
      <c r="AP4103" s="89"/>
    </row>
    <row r="4104">
      <c r="A4104" s="42"/>
      <c r="B4104" s="42"/>
      <c r="C4104" s="42"/>
      <c r="D4104" s="42"/>
      <c r="E4104" s="39"/>
      <c r="F4104" s="9"/>
      <c r="G4104" s="9"/>
      <c r="H4104" s="9"/>
      <c r="I4104" s="9"/>
      <c r="J4104" s="9"/>
      <c r="K4104" s="9"/>
      <c r="L4104" s="9"/>
      <c r="M4104" s="9"/>
      <c r="N4104" s="9"/>
      <c r="O4104" s="9"/>
      <c r="P4104" s="9"/>
      <c r="Q4104" s="9"/>
      <c r="R4104" s="9"/>
      <c r="S4104" s="42"/>
      <c r="T4104" s="42"/>
      <c r="U4104" s="42"/>
      <c r="V4104" s="42"/>
      <c r="W4104" s="42"/>
      <c r="X4104" s="42"/>
      <c r="Y4104" s="42"/>
      <c r="Z4104" s="42"/>
      <c r="AA4104" s="42"/>
      <c r="AB4104" s="42"/>
      <c r="AC4104" s="42"/>
      <c r="AD4104" s="42"/>
      <c r="AE4104" s="42"/>
      <c r="AF4104" s="9"/>
      <c r="AG4104" s="9"/>
      <c r="AH4104" s="42"/>
      <c r="AI4104" s="42"/>
      <c r="AJ4104" s="42"/>
      <c r="AK4104" s="42"/>
      <c r="AL4104" s="42"/>
      <c r="AM4104" s="42"/>
      <c r="AN4104" s="42"/>
      <c r="AO4104" s="63" t="str">
        <f>IFERROR(__xludf.DUMMYFUNCTION("IF(ISBLANK(A4104),,IF(ISBLANK(S4104), A4104&amp;"";"", TEXTJOIN(CHAR(10), TRUE, A4104&amp;"";"", ARRAYFORMULA(VLOOKUP(SPLIT(S4104, "";"" &amp; CHAR(10)), $A:$AO, 41, FALSE)))))"),"")</f>
        <v/>
      </c>
      <c r="AP4104" s="89"/>
    </row>
    <row r="4105">
      <c r="A4105" s="42"/>
      <c r="B4105" s="42"/>
      <c r="C4105" s="42"/>
      <c r="D4105" s="42"/>
      <c r="E4105" s="39"/>
      <c r="F4105" s="9"/>
      <c r="G4105" s="9"/>
      <c r="H4105" s="9"/>
      <c r="I4105" s="9"/>
      <c r="J4105" s="9"/>
      <c r="K4105" s="9"/>
      <c r="L4105" s="9"/>
      <c r="M4105" s="9"/>
      <c r="N4105" s="9"/>
      <c r="O4105" s="9"/>
      <c r="P4105" s="9"/>
      <c r="Q4105" s="9"/>
      <c r="R4105" s="9"/>
      <c r="S4105" s="42"/>
      <c r="T4105" s="42"/>
      <c r="U4105" s="42"/>
      <c r="V4105" s="42"/>
      <c r="W4105" s="42"/>
      <c r="X4105" s="42"/>
      <c r="Y4105" s="42"/>
      <c r="Z4105" s="42"/>
      <c r="AA4105" s="42"/>
      <c r="AB4105" s="42"/>
      <c r="AC4105" s="42"/>
      <c r="AD4105" s="42"/>
      <c r="AE4105" s="42"/>
      <c r="AF4105" s="9"/>
      <c r="AG4105" s="9"/>
      <c r="AH4105" s="42"/>
      <c r="AI4105" s="42"/>
      <c r="AJ4105" s="42"/>
      <c r="AK4105" s="42"/>
      <c r="AL4105" s="42"/>
      <c r="AM4105" s="42"/>
      <c r="AN4105" s="42"/>
      <c r="AO4105" s="63" t="str">
        <f>IFERROR(__xludf.DUMMYFUNCTION("IF(ISBLANK(A4105),,IF(ISBLANK(S4105), A4105&amp;"";"", TEXTJOIN(CHAR(10), TRUE, A4105&amp;"";"", ARRAYFORMULA(VLOOKUP(SPLIT(S4105, "";"" &amp; CHAR(10)), $A:$AO, 41, FALSE)))))"),"")</f>
        <v/>
      </c>
      <c r="AP4105" s="89"/>
    </row>
    <row r="4106">
      <c r="A4106" s="42"/>
      <c r="B4106" s="42"/>
      <c r="C4106" s="42"/>
      <c r="D4106" s="42"/>
      <c r="E4106" s="39"/>
      <c r="F4106" s="9"/>
      <c r="G4106" s="9"/>
      <c r="H4106" s="9"/>
      <c r="I4106" s="9"/>
      <c r="J4106" s="9"/>
      <c r="K4106" s="9"/>
      <c r="L4106" s="9"/>
      <c r="M4106" s="9"/>
      <c r="N4106" s="9"/>
      <c r="O4106" s="9"/>
      <c r="P4106" s="9"/>
      <c r="Q4106" s="9"/>
      <c r="R4106" s="9"/>
      <c r="S4106" s="42"/>
      <c r="T4106" s="42"/>
      <c r="U4106" s="42"/>
      <c r="V4106" s="42"/>
      <c r="W4106" s="42"/>
      <c r="X4106" s="42"/>
      <c r="Y4106" s="42"/>
      <c r="Z4106" s="42"/>
      <c r="AA4106" s="42"/>
      <c r="AB4106" s="42"/>
      <c r="AC4106" s="42"/>
      <c r="AD4106" s="42"/>
      <c r="AE4106" s="42"/>
      <c r="AF4106" s="9"/>
      <c r="AG4106" s="9"/>
      <c r="AH4106" s="42"/>
      <c r="AI4106" s="42"/>
      <c r="AJ4106" s="42"/>
      <c r="AK4106" s="42"/>
      <c r="AL4106" s="42"/>
      <c r="AM4106" s="42"/>
      <c r="AN4106" s="42"/>
      <c r="AO4106" s="63" t="str">
        <f>IFERROR(__xludf.DUMMYFUNCTION("IF(ISBLANK(A4106),,IF(ISBLANK(S4106), A4106&amp;"";"", TEXTJOIN(CHAR(10), TRUE, A4106&amp;"";"", ARRAYFORMULA(VLOOKUP(SPLIT(S4106, "";"" &amp; CHAR(10)), $A:$AO, 41, FALSE)))))"),"")</f>
        <v/>
      </c>
      <c r="AP4106" s="89"/>
    </row>
    <row r="4107">
      <c r="A4107" s="42"/>
      <c r="B4107" s="42"/>
      <c r="C4107" s="42"/>
      <c r="D4107" s="42"/>
      <c r="E4107" s="39"/>
      <c r="F4107" s="9"/>
      <c r="G4107" s="9"/>
      <c r="H4107" s="9"/>
      <c r="I4107" s="9"/>
      <c r="J4107" s="9"/>
      <c r="K4107" s="9"/>
      <c r="L4107" s="9"/>
      <c r="M4107" s="9"/>
      <c r="N4107" s="9"/>
      <c r="O4107" s="9"/>
      <c r="P4107" s="9"/>
      <c r="Q4107" s="9"/>
      <c r="R4107" s="9"/>
      <c r="S4107" s="42"/>
      <c r="T4107" s="42"/>
      <c r="U4107" s="42"/>
      <c r="V4107" s="42"/>
      <c r="W4107" s="42"/>
      <c r="X4107" s="42"/>
      <c r="Y4107" s="42"/>
      <c r="Z4107" s="42"/>
      <c r="AA4107" s="42"/>
      <c r="AB4107" s="42"/>
      <c r="AC4107" s="42"/>
      <c r="AD4107" s="42"/>
      <c r="AE4107" s="42"/>
      <c r="AF4107" s="9"/>
      <c r="AG4107" s="9"/>
      <c r="AH4107" s="42"/>
      <c r="AI4107" s="42"/>
      <c r="AJ4107" s="42"/>
      <c r="AK4107" s="42"/>
      <c r="AL4107" s="42"/>
      <c r="AM4107" s="42"/>
      <c r="AN4107" s="42"/>
      <c r="AO4107" s="63" t="str">
        <f>IFERROR(__xludf.DUMMYFUNCTION("IF(ISBLANK(A4107),,IF(ISBLANK(S4107), A4107&amp;"";"", TEXTJOIN(CHAR(10), TRUE, A4107&amp;"";"", ARRAYFORMULA(VLOOKUP(SPLIT(S4107, "";"" &amp; CHAR(10)), $A:$AO, 41, FALSE)))))"),"")</f>
        <v/>
      </c>
      <c r="AP4107" s="89"/>
    </row>
    <row r="4108">
      <c r="A4108" s="42"/>
      <c r="B4108" s="42"/>
      <c r="C4108" s="42"/>
      <c r="D4108" s="42"/>
      <c r="E4108" s="39"/>
      <c r="F4108" s="9"/>
      <c r="G4108" s="9"/>
      <c r="H4108" s="9"/>
      <c r="I4108" s="9"/>
      <c r="J4108" s="9"/>
      <c r="K4108" s="9"/>
      <c r="L4108" s="9"/>
      <c r="M4108" s="9"/>
      <c r="N4108" s="9"/>
      <c r="O4108" s="9"/>
      <c r="P4108" s="9"/>
      <c r="Q4108" s="9"/>
      <c r="R4108" s="9"/>
      <c r="S4108" s="42"/>
      <c r="T4108" s="42"/>
      <c r="U4108" s="42"/>
      <c r="V4108" s="42"/>
      <c r="W4108" s="42"/>
      <c r="X4108" s="42"/>
      <c r="Y4108" s="42"/>
      <c r="Z4108" s="42"/>
      <c r="AA4108" s="42"/>
      <c r="AB4108" s="42"/>
      <c r="AC4108" s="42"/>
      <c r="AD4108" s="42"/>
      <c r="AE4108" s="42"/>
      <c r="AF4108" s="9"/>
      <c r="AG4108" s="9"/>
      <c r="AH4108" s="42"/>
      <c r="AI4108" s="42"/>
      <c r="AJ4108" s="42"/>
      <c r="AK4108" s="42"/>
      <c r="AL4108" s="42"/>
      <c r="AM4108" s="42"/>
      <c r="AN4108" s="42"/>
      <c r="AO4108" s="63" t="str">
        <f>IFERROR(__xludf.DUMMYFUNCTION("IF(ISBLANK(A4108),,IF(ISBLANK(S4108), A4108&amp;"";"", TEXTJOIN(CHAR(10), TRUE, A4108&amp;"";"", ARRAYFORMULA(VLOOKUP(SPLIT(S4108, "";"" &amp; CHAR(10)), $A:$AO, 41, FALSE)))))"),"")</f>
        <v/>
      </c>
      <c r="AP4108" s="89"/>
    </row>
  </sheetData>
  <autoFilter ref="$A$1:$AA$4108"/>
  <dataValidations>
    <dataValidation type="list" allowBlank="1" sqref="U2:U32">
      <formula1>"FALSE,TRUE"</formula1>
    </dataValidation>
    <dataValidation type="list" allowBlank="1" sqref="W2:W32">
      <formula1>AdminOnly!$R$2:$R$7</formula1>
    </dataValidation>
    <dataValidation type="list" allowBlank="1" showErrorMessage="1" sqref="AH2:AI31">
      <formula1>AdminOnly!$AE:$AE</formula1>
    </dataValidation>
    <dataValidation type="list" allowBlank="1" sqref="B2:B32">
      <formula1>AdminOnly!$T:$T</formula1>
    </dataValidation>
    <dataValidation type="list" allowBlank="1" sqref="V2:V32">
      <formula1>AdminOnly!$P$2:$P$10</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0.63"/>
    <col customWidth="1" min="2" max="2" width="7.13"/>
    <col customWidth="1" min="3" max="3" width="12.88"/>
    <col customWidth="1" min="4" max="4" width="10.75"/>
    <col customWidth="1" min="5" max="5" width="6.5"/>
    <col customWidth="1" min="6" max="6" width="11.25"/>
    <col customWidth="1" min="7" max="7" width="9.38"/>
    <col customWidth="1" min="8" max="8" width="15.63"/>
    <col customWidth="1" min="9" max="9" width="15.5"/>
    <col customWidth="1" min="10" max="10" width="13.38"/>
    <col customWidth="1" min="11" max="11" width="12.38"/>
    <col customWidth="1" min="12" max="12" width="9.38"/>
    <col customWidth="1" min="13" max="13" width="7.88"/>
    <col customWidth="1" min="14" max="14" width="9.88"/>
    <col customWidth="1" min="15" max="15" width="9.63"/>
    <col customWidth="1" min="16" max="16" width="11.88"/>
    <col customWidth="1" min="17" max="17" width="17.88"/>
    <col customWidth="1" min="20" max="20" width="10.38"/>
    <col customWidth="1" min="21" max="29" width="8.38"/>
    <col customWidth="1" min="30" max="30" width="8.63"/>
    <col customWidth="1" min="31" max="31" width="11.75"/>
    <col customWidth="1" min="32" max="32" width="9.5"/>
    <col customWidth="1" min="33" max="33" width="15.63"/>
    <col customWidth="1" min="36" max="36" width="37.25"/>
    <col customWidth="1" min="37" max="38" width="19.75"/>
  </cols>
  <sheetData>
    <row r="1">
      <c r="A1" s="7" t="str">
        <f>IFERROR(__xludf.DUMMYFUNCTION("IMPORTRANGE(Settings!$A$2,""WBconnections!A1:AP1"")"),"Sender Circuit ID (sCID)")</f>
        <v>Sender Circuit ID (sCID)</v>
      </c>
      <c r="B1" s="7" t="str">
        <f>IFERROR(__xludf.DUMMYFUNCTION("""COMPUTED_VALUE"""),"sCID relation")</f>
        <v>sCID relation</v>
      </c>
      <c r="C1" s="12" t="str">
        <f>IFERROR(__xludf.DUMMYFUNCTION("""COMPUTED_VALUE"""),"Notation of sCID in Literature")</f>
        <v>Notation of sCID in Literature</v>
      </c>
      <c r="D1" s="7" t="str">
        <f>IFERROR(__xludf.DUMMYFUNCTION("""COMPUTED_VALUE"""),"Receiver Circuit ID (rCID)")</f>
        <v>Receiver Circuit ID (rCID)</v>
      </c>
      <c r="E1" s="7" t="str">
        <f>IFERROR(__xludf.DUMMYFUNCTION("""COMPUTED_VALUE"""),"rCID relation")</f>
        <v>rCID relation</v>
      </c>
      <c r="F1" s="12" t="str">
        <f>IFERROR(__xludf.DUMMYFUNCTION("""COMPUTED_VALUE"""),"Notation of rCID in Literature")</f>
        <v>Notation of rCID in Literature</v>
      </c>
      <c r="G1" s="12" t="str">
        <f>IFERROR(__xludf.DUMMYFUNCTION("""COMPUTED_VALUE"""),"Size")</f>
        <v>Size</v>
      </c>
      <c r="H1" s="12" t="str">
        <f>IFERROR(__xludf.DUMMYFUNCTION("""COMPUTED_VALUE"""),"Comments")</f>
        <v>Comments</v>
      </c>
      <c r="I1" s="7" t="str">
        <f>IFERROR(__xludf.DUMMYFUNCTION("""COMPUTED_VALUE"""),"Reference ID")</f>
        <v>Reference ID</v>
      </c>
      <c r="J1" s="19" t="str">
        <f>IFERROR(__xludf.DUMMYFUNCTION("""COMPUTED_VALUE"""),"Taxon")</f>
        <v>Taxon</v>
      </c>
      <c r="K1" s="19" t="str">
        <f>IFERROR(__xludf.DUMMYFUNCTION("""COMPUTED_VALUE"""),"Measurement method")</f>
        <v>Measurement method</v>
      </c>
      <c r="L1" s="19" t="str">
        <f>IFERROR(__xludf.DUMMYFUNCTION("""COMPUTED_VALUE"""),"Pointers on literature")</f>
        <v>Pointers on literature</v>
      </c>
      <c r="M1" s="22" t="str">
        <f>IFERROR(__xludf.DUMMYFUNCTION("""COMPUTED_VALUE"""),"Pointers on figure")</f>
        <v>Pointers on figure</v>
      </c>
      <c r="N1" s="12" t="str">
        <f>IFERROR(__xludf.DUMMYFUNCTION("""COMPUTED_VALUE"""),"In-depth literature")</f>
        <v>In-depth literature</v>
      </c>
      <c r="O1" s="14" t="str">
        <f>IFERROR(__xludf.DUMMYFUNCTION("""COMPUTED_VALUE"""),"Doc. Link")</f>
        <v>Doc. Link</v>
      </c>
      <c r="P1" s="14" t="str">
        <f>IFERROR(__xludf.DUMMYFUNCTION("""COMPUTED_VALUE"""),"Journal names	")</f>
        <v>Journal names	</v>
      </c>
      <c r="Q1" s="25" t="str">
        <f>IFERROR(__xludf.DUMMYFUNCTION("""COMPUTED_VALUE"""),"Litterature type")</f>
        <v>Litterature type</v>
      </c>
      <c r="R1" s="27" t="str">
        <f>IFERROR(__xludf.DUMMYFUNCTION("""COMPUTED_VALUE"""),"Display string per join")</f>
        <v>Display string per join</v>
      </c>
      <c r="S1" s="27" t="str">
        <f>IFERROR(__xludf.DUMMYFUNCTION("""COMPUTED_VALUE"""),"Combined string for search")</f>
        <v>Combined string for search</v>
      </c>
      <c r="T1" s="28" t="str">
        <f>IFERROR(__xludf.DUMMYFUNCTION("""COMPUTED_VALUE"""),"[Reference ID]")</f>
        <v>[Reference ID]</v>
      </c>
      <c r="U1" s="27" t="str">
        <f>IFERROR(__xludf.DUMMYFUNCTION("""COMPUTED_VALUE"""),"Souce region score")</f>
        <v>Souce region score</v>
      </c>
      <c r="V1" s="27" t="str">
        <f>IFERROR(__xludf.DUMMYFUNCTION("""COMPUTED_VALUE"""),"Receiver region score")</f>
        <v>Receiver region score</v>
      </c>
      <c r="W1" s="27" t="str">
        <f>IFERROR(__xludf.DUMMYFUNCTION("""COMPUTED_VALUE"""),"Journal score")</f>
        <v>Journal score</v>
      </c>
      <c r="X1" s="14" t="str">
        <f>IFERROR(__xludf.DUMMYFUNCTION("""COMPUTED_VALUE"""),"Literature type score")</f>
        <v>Literature type score</v>
      </c>
      <c r="Y1" s="14" t="str">
        <f>IFERROR(__xludf.DUMMYFUNCTION("""COMPUTED_VALUE"""),"Taxon score")</f>
        <v>Taxon score</v>
      </c>
      <c r="Z1" s="14" t="str">
        <f>IFERROR(__xludf.DUMMYFUNCTION("""COMPUTED_VALUE"""),"Method score")</f>
        <v>Method score</v>
      </c>
      <c r="AA1" s="27" t="str">
        <f>IFERROR(__xludf.DUMMYFUNCTION("""COMPUTED_VALUE"""),"Credibility rating (CR)")</f>
        <v>Credibility rating (CR)</v>
      </c>
      <c r="AB1" s="27" t="str">
        <f>IFERROR(__xludf.DUMMYFUNCTION("""COMPUTED_VALUE"""),"Summarized CR")</f>
        <v>Summarized CR</v>
      </c>
      <c r="AC1" s="28" t="str">
        <f>IFERROR(__xludf.DUMMYFUNCTION("""COMPUTED_VALUE"""),"Reviewed CR")</f>
        <v>Reviewed CR</v>
      </c>
      <c r="AD1" s="28" t="str">
        <f>IFERROR(__xludf.DUMMYFUNCTION("""COMPUTED_VALUE"""),"Summarized Reviewed CR")</f>
        <v>Summarized Reviewed CR</v>
      </c>
      <c r="AE1" s="19" t="str">
        <f>IFERROR(__xludf.DUMMYFUNCTION("""COMPUTED_VALUE"""),"Contributor")</f>
        <v>Contributor</v>
      </c>
      <c r="AF1" s="19" t="str">
        <f>IFERROR(__xludf.DUMMYFUNCTION("""COMPUTED_VALUE"""),"Project ID")</f>
        <v>Project ID</v>
      </c>
      <c r="AG1" s="30" t="str">
        <f>IFERROR(__xludf.DUMMYFUNCTION("""COMPUTED_VALUE"""),"Contributor Response to Reviewers")</f>
        <v>Contributor Response to Reviewers</v>
      </c>
      <c r="AH1" s="21" t="str">
        <f>IFERROR(__xludf.DUMMYFUNCTION("""COMPUTED_VALUE"""),"Status")</f>
        <v>Status</v>
      </c>
      <c r="AI1" s="14" t="str">
        <f>IFERROR(__xludf.DUMMYFUNCTION("""COMPUTED_VALUE"""),"Review results")</f>
        <v>Review results</v>
      </c>
      <c r="AJ1" s="14" t="str">
        <f>IFERROR(__xludf.DUMMYFUNCTION("""COMPUTED_VALUE"""),"Auto Error Codes")</f>
        <v>Auto Error Codes</v>
      </c>
      <c r="AK1" s="32" t="str">
        <f>IFERROR(__xludf.DUMMYFUNCTION("""COMPUTED_VALUE"""),"Error Code-1")</f>
        <v>Error Code-1</v>
      </c>
      <c r="AL1" s="32" t="str">
        <f>IFERROR(__xludf.DUMMYFUNCTION("""COMPUTED_VALUE"""),"Error Code-2")</f>
        <v>Error Code-2</v>
      </c>
      <c r="AM1" s="32" t="str">
        <f>IFERROR(__xludf.DUMMYFUNCTION("""COMPUTED_VALUE"""),"Other Error Codes")</f>
        <v>Other Error Codes</v>
      </c>
      <c r="AN1" s="32" t="str">
        <f>IFERROR(__xludf.DUMMYFUNCTION("""COMPUTED_VALUE"""),"Review comments")</f>
        <v>Review comments</v>
      </c>
      <c r="AO1" s="32" t="str">
        <f>IFERROR(__xludf.DUMMYFUNCTION("""COMPUTED_VALUE"""),"Reviewer")</f>
        <v>Reviewer</v>
      </c>
      <c r="AP1" s="32" t="str">
        <f>IFERROR(__xludf.DUMMYFUNCTION("""COMPUTED_VALUE"""),"Reviewed date")</f>
        <v>Reviewed date</v>
      </c>
      <c r="AQ1" s="36"/>
      <c r="AR1" s="36"/>
      <c r="AS1" s="36"/>
    </row>
    <row r="2">
      <c r="A2" s="35"/>
      <c r="B2" s="40"/>
      <c r="C2" s="41"/>
      <c r="D2" s="40"/>
      <c r="E2" s="40"/>
      <c r="F2" s="41"/>
      <c r="G2" s="45"/>
      <c r="H2" s="45"/>
      <c r="I2" s="40"/>
      <c r="J2" s="48"/>
      <c r="K2" s="51"/>
      <c r="L2" s="41"/>
      <c r="M2" s="40"/>
      <c r="N2" s="41"/>
      <c r="O2" s="31" t="str">
        <f>IFERROR(__xludf.DUMMYFUNCTION("IFNA(UNIQUE(FILTER(References!$B:$B,References!A:A=I2)), ""#Error: Reference ID"")"),"")</f>
        <v/>
      </c>
      <c r="P2" s="59" t="str">
        <f>IFERROR(__xludf.DUMMYFUNCTION("IFNA(UNIQUE(FILTER(References!$J:$J,References!A:A=I2)), ""#Error: Reference ID"")"),"")</f>
        <v/>
      </c>
      <c r="Q2" s="62" t="str">
        <f>IFERROR(__xludf.DUMMYFUNCTION("IFNA(UNIQUE(FILTER(References!$F:$F,References!A:A=I2)), ""#Error: Reference ID"")"),"")</f>
        <v/>
      </c>
      <c r="R2" s="64" t="str">
        <f>IFERROR(__xludf.DUMMYFUNCTION("IF(LEN(A2)+LEN(D2)=0, """", CONCATENATE(D2, ,"" ("", TEXT(AD2*100, ""00""),""/"",TEXT(AB2*100, ""00""),"") "", UNIQUE(FILTER (T:T,S:S=A2&amp;D2)), H2,"";"", CHAR(10)))"),"")</f>
        <v/>
      </c>
      <c r="S2" s="64" t="str">
        <f t="shared" ref="S2:S81" si="1">A2&amp;D2</f>
        <v/>
      </c>
      <c r="T2" s="64" t="str">
        <f t="shared" ref="T2:T80" si="2">CONCATENATE("[",I2,"]")</f>
        <v>[]</v>
      </c>
      <c r="U2" s="83">
        <f t="shared" ref="U2:U80" si="3">IFS(EXACT(B2,"&gt;"), 1, EXACT(B2,"="), 1, EXACT(B2, "&lt;"), 0.7, TRUE, 0)</f>
        <v>0</v>
      </c>
      <c r="V2" s="83">
        <f t="shared" ref="V2:V80" si="4">IFS(EXACT(E2,"&gt;"), 1, EXACT(E2,"="), 1, EXACT(E2, "&lt;"), 0.7, TRUE, 0)</f>
        <v>0</v>
      </c>
      <c r="W2" s="97" t="str">
        <f>IFERROR(__xludf.DUMMYFUNCTION("IFNA(FILTER(AdminOnly!$B:$B,AdminOnly!$A:$A=P2),0)"),"#REF!")</f>
        <v>#REF!</v>
      </c>
      <c r="X2" s="101">
        <f>IFERROR(__xludf.DUMMYFUNCTION("IFNA(FILTER(AdminOnly!$F$2:$F$10,AdminOnly!$E$2:$E$10=Q2),0)"),0.0)</f>
        <v>0</v>
      </c>
      <c r="Y2" s="105">
        <f>IFERROR(__xludf.DUMMYFUNCTION("IFNA(FILTER(AdminOnly!$K$2:$K$10,AdminOnly!$H$2:$H$10=J2),0)"),0.0)</f>
        <v>0</v>
      </c>
      <c r="Z2" s="107">
        <f>IFERROR(__xludf.DUMMYFUNCTION("IFNA(FILTER(AdminOnly!$N$2:$N$20,AdminOnly!$M$2:$M$20=K2),0)"),0.0)</f>
        <v>0</v>
      </c>
      <c r="AA2" s="97">
        <f t="shared" ref="AA2:AA80" si="5"> IF(ISNUMBER(W2), U2*V2*Y2*X2*Z2*W2, 0)</f>
        <v>0</v>
      </c>
      <c r="AB2" s="97" t="str">
        <f>IFERROR(__xludf.DUMMYFUNCTION("MAX(FILTER ( AA:AA,S:S=A2&amp;D2))"),"#REF!")</f>
        <v>#REF!</v>
      </c>
      <c r="AC2" s="97">
        <f t="shared" ref="AC2:AC80" si="6">AA2*IF(AI2=0,1,0)*ISNUMBER(AI2) </f>
        <v>0</v>
      </c>
      <c r="AD2" s="97" t="str">
        <f>IFERROR(__xludf.DUMMYFUNCTION("MAX(FILTER ( AC:AC,S:S=A2&amp;D2))"),"#REF!")</f>
        <v>#REF!</v>
      </c>
      <c r="AE2" s="110"/>
      <c r="AF2" s="110"/>
      <c r="AG2" s="111"/>
      <c r="AH2" s="112"/>
      <c r="AI2" s="113"/>
      <c r="AJ2" s="114"/>
      <c r="AK2" s="110"/>
      <c r="AL2" s="110"/>
      <c r="AM2" s="110"/>
      <c r="AN2" s="111"/>
      <c r="AO2" s="110"/>
      <c r="AP2" s="115"/>
      <c r="AQ2" s="116"/>
      <c r="AR2" s="116"/>
      <c r="AS2" s="116"/>
    </row>
    <row r="3">
      <c r="A3" s="52"/>
      <c r="B3" s="60"/>
      <c r="C3" s="55"/>
      <c r="D3" s="60"/>
      <c r="E3" s="60"/>
      <c r="F3" s="55"/>
      <c r="G3" s="78"/>
      <c r="H3" s="78"/>
      <c r="I3" s="60"/>
      <c r="J3" s="117"/>
      <c r="K3" s="118"/>
      <c r="L3" s="55"/>
      <c r="M3" s="60"/>
      <c r="N3" s="55"/>
      <c r="O3" s="31" t="str">
        <f>IFERROR(__xludf.DUMMYFUNCTION("IFNA(UNIQUE(FILTER(References!$B:$B,References!A:A=I3)), ""#Error: Reference ID"")"),"")</f>
        <v/>
      </c>
      <c r="P3" s="59" t="str">
        <f>IFERROR(__xludf.DUMMYFUNCTION("IFNA(UNIQUE(FILTER(References!$J:$J,References!A:A=I3)), ""#Error: Reference ID"")"),"")</f>
        <v/>
      </c>
      <c r="Q3" s="62" t="str">
        <f>IFERROR(__xludf.DUMMYFUNCTION("IFNA(UNIQUE(FILTER(References!$F:$F,References!A:A=I3)), ""#Error: Reference ID"")"),"")</f>
        <v/>
      </c>
      <c r="R3" s="64" t="str">
        <f>IFERROR(__xludf.DUMMYFUNCTION("IF(LEN(A3)+LEN(D3)=0, """", CONCATENATE(D3, ,"" ("", TEXT(AD3*100, ""00""),""/"",TEXT(AB3*100, ""00""),"") "", UNIQUE(FILTER (T:T,S:S=A3&amp;D3)), H3,"";"", CHAR(10)))"),"")</f>
        <v/>
      </c>
      <c r="S3" s="64" t="str">
        <f t="shared" si="1"/>
        <v/>
      </c>
      <c r="T3" s="64" t="str">
        <f t="shared" si="2"/>
        <v>[]</v>
      </c>
      <c r="U3" s="83">
        <f t="shared" si="3"/>
        <v>0</v>
      </c>
      <c r="V3" s="83">
        <f t="shared" si="4"/>
        <v>0</v>
      </c>
      <c r="W3" s="97" t="str">
        <f>IFERROR(__xludf.DUMMYFUNCTION("IFNA(FILTER(AdminOnly!$B:$B,AdminOnly!$A:$A=P3),0)"),"#REF!")</f>
        <v>#REF!</v>
      </c>
      <c r="X3" s="101">
        <f>IFERROR(__xludf.DUMMYFUNCTION("IFNA(FILTER(AdminOnly!$F$2:$F$10,AdminOnly!$E$2:$E$10=Q3),0)"),0.0)</f>
        <v>0</v>
      </c>
      <c r="Y3" s="105">
        <f>IFERROR(__xludf.DUMMYFUNCTION("IFNA(FILTER(AdminOnly!$K$2:$K$10,AdminOnly!$H$2:$H$10=J3),0)"),0.0)</f>
        <v>0</v>
      </c>
      <c r="Z3" s="107">
        <f>IFERROR(__xludf.DUMMYFUNCTION("IFNA(FILTER(AdminOnly!$N$2:$N$20,AdminOnly!$M$2:$M$20=K3),0)"),0.0)</f>
        <v>0</v>
      </c>
      <c r="AA3" s="97">
        <f t="shared" si="5"/>
        <v>0</v>
      </c>
      <c r="AB3" s="97" t="str">
        <f>IFERROR(__xludf.DUMMYFUNCTION("MAX(FILTER ( AA:AA,S:S=A3&amp;D3))"),"#REF!")</f>
        <v>#REF!</v>
      </c>
      <c r="AC3" s="97">
        <f t="shared" si="6"/>
        <v>0</v>
      </c>
      <c r="AD3" s="97" t="str">
        <f>IFERROR(__xludf.DUMMYFUNCTION("MAX(FILTER ( AC:AC,S:S=A3&amp;D3))"),"#REF!")</f>
        <v>#REF!</v>
      </c>
      <c r="AE3" s="110"/>
      <c r="AF3" s="110"/>
      <c r="AG3" s="111"/>
      <c r="AH3" s="112"/>
      <c r="AI3" s="113"/>
      <c r="AJ3" s="114"/>
      <c r="AK3" s="110"/>
      <c r="AL3" s="111"/>
      <c r="AM3" s="110"/>
      <c r="AN3" s="111"/>
      <c r="AO3" s="110"/>
      <c r="AP3" s="115"/>
      <c r="AQ3" s="116"/>
      <c r="AR3" s="116"/>
      <c r="AS3" s="116"/>
    </row>
    <row r="4">
      <c r="A4" s="52"/>
      <c r="B4" s="60"/>
      <c r="C4" s="55"/>
      <c r="D4" s="60"/>
      <c r="E4" s="60"/>
      <c r="F4" s="55"/>
      <c r="G4" s="78"/>
      <c r="H4" s="78"/>
      <c r="I4" s="60"/>
      <c r="J4" s="117"/>
      <c r="K4" s="118"/>
      <c r="L4" s="55"/>
      <c r="M4" s="60"/>
      <c r="N4" s="55"/>
      <c r="O4" s="31" t="str">
        <f>IFERROR(__xludf.DUMMYFUNCTION("IFNA(UNIQUE(FILTER(References!$B:$B,References!A:A=I4)), ""#Error: Reference ID"")"),"")</f>
        <v/>
      </c>
      <c r="P4" s="59" t="str">
        <f>IFERROR(__xludf.DUMMYFUNCTION("IFNA(UNIQUE(FILTER(References!$J:$J,References!A:A=I4)), ""#Error: Reference ID"")"),"")</f>
        <v/>
      </c>
      <c r="Q4" s="62" t="str">
        <f>IFERROR(__xludf.DUMMYFUNCTION("IFNA(UNIQUE(FILTER(References!$F:$F,References!A:A=I4)), ""#Error: Reference ID"")"),"")</f>
        <v/>
      </c>
      <c r="R4" s="64" t="str">
        <f>IFERROR(__xludf.DUMMYFUNCTION("IF(LEN(A4)+LEN(D4)=0, """", CONCATENATE(D4, ,"" ("", TEXT(AD4*100, ""00""),""/"",TEXT(AB4*100, ""00""),"") "", UNIQUE(FILTER (T:T,S:S=A4&amp;D4)), H4,"";"", CHAR(10)))"),"")</f>
        <v/>
      </c>
      <c r="S4" s="64" t="str">
        <f t="shared" si="1"/>
        <v/>
      </c>
      <c r="T4" s="64" t="str">
        <f t="shared" si="2"/>
        <v>[]</v>
      </c>
      <c r="U4" s="83">
        <f t="shared" si="3"/>
        <v>0</v>
      </c>
      <c r="V4" s="83">
        <f t="shared" si="4"/>
        <v>0</v>
      </c>
      <c r="W4" s="97" t="str">
        <f>IFERROR(__xludf.DUMMYFUNCTION("IFNA(FILTER(AdminOnly!$B:$B,AdminOnly!$A:$A=P4),0)"),"#REF!")</f>
        <v>#REF!</v>
      </c>
      <c r="X4" s="101">
        <f>IFERROR(__xludf.DUMMYFUNCTION("IFNA(FILTER(AdminOnly!$F$2:$F$10,AdminOnly!$E$2:$E$10=Q4),0)"),0.0)</f>
        <v>0</v>
      </c>
      <c r="Y4" s="105">
        <f>IFERROR(__xludf.DUMMYFUNCTION("IFNA(FILTER(AdminOnly!$K$2:$K$10,AdminOnly!$H$2:$H$10=J4),0)"),0.0)</f>
        <v>0</v>
      </c>
      <c r="Z4" s="107">
        <f>IFERROR(__xludf.DUMMYFUNCTION("IFNA(FILTER(AdminOnly!$N$2:$N$20,AdminOnly!$M$2:$M$20=K4),0)"),0.0)</f>
        <v>0</v>
      </c>
      <c r="AA4" s="97">
        <f t="shared" si="5"/>
        <v>0</v>
      </c>
      <c r="AB4" s="97" t="str">
        <f>IFERROR(__xludf.DUMMYFUNCTION("MAX(FILTER ( AA:AA,S:S=A4&amp;D4))"),"#REF!")</f>
        <v>#REF!</v>
      </c>
      <c r="AC4" s="97">
        <f t="shared" si="6"/>
        <v>0</v>
      </c>
      <c r="AD4" s="97" t="str">
        <f>IFERROR(__xludf.DUMMYFUNCTION("MAX(FILTER ( AC:AC,S:S=A4&amp;D4))"),"#REF!")</f>
        <v>#REF!</v>
      </c>
      <c r="AE4" s="110"/>
      <c r="AF4" s="110"/>
      <c r="AG4" s="111"/>
      <c r="AH4" s="112"/>
      <c r="AI4" s="113"/>
      <c r="AJ4" s="114"/>
      <c r="AK4" s="111"/>
      <c r="AL4" s="111"/>
      <c r="AM4" s="110"/>
      <c r="AN4" s="111"/>
      <c r="AO4" s="110"/>
      <c r="AP4" s="115"/>
      <c r="AQ4" s="116"/>
      <c r="AR4" s="116"/>
      <c r="AS4" s="116"/>
    </row>
    <row r="5">
      <c r="A5" s="52"/>
      <c r="B5" s="60"/>
      <c r="C5" s="55"/>
      <c r="D5" s="60"/>
      <c r="E5" s="60"/>
      <c r="F5" s="55"/>
      <c r="G5" s="78"/>
      <c r="H5" s="78"/>
      <c r="I5" s="60"/>
      <c r="J5" s="117"/>
      <c r="K5" s="118"/>
      <c r="L5" s="55"/>
      <c r="M5" s="60"/>
      <c r="N5" s="55"/>
      <c r="O5" s="31" t="str">
        <f>IFERROR(__xludf.DUMMYFUNCTION("IFNA(UNIQUE(FILTER(References!$B:$B,References!A:A=I5)), ""#Error: Reference ID"")"),"")</f>
        <v/>
      </c>
      <c r="P5" s="59" t="str">
        <f>IFERROR(__xludf.DUMMYFUNCTION("IFNA(UNIQUE(FILTER(References!$J:$J,References!A:A=I5)), ""#Error: Reference ID"")"),"")</f>
        <v/>
      </c>
      <c r="Q5" s="62" t="str">
        <f>IFERROR(__xludf.DUMMYFUNCTION("IFNA(UNIQUE(FILTER(References!$F:$F,References!A:A=I5)), ""#Error: Reference ID"")"),"")</f>
        <v/>
      </c>
      <c r="R5" s="64" t="str">
        <f>IFERROR(__xludf.DUMMYFUNCTION("IF(LEN(A5)+LEN(D5)=0, """", CONCATENATE(D5, ,"" ("", TEXT(AD5*100, ""00""),""/"",TEXT(AB5*100, ""00""),"") "", UNIQUE(FILTER (T:T,S:S=A5&amp;D5)), H5,"";"", CHAR(10)))"),"")</f>
        <v/>
      </c>
      <c r="S5" s="64" t="str">
        <f t="shared" si="1"/>
        <v/>
      </c>
      <c r="T5" s="64" t="str">
        <f t="shared" si="2"/>
        <v>[]</v>
      </c>
      <c r="U5" s="83">
        <f t="shared" si="3"/>
        <v>0</v>
      </c>
      <c r="V5" s="83">
        <f t="shared" si="4"/>
        <v>0</v>
      </c>
      <c r="W5" s="97" t="str">
        <f>IFERROR(__xludf.DUMMYFUNCTION("IFNA(FILTER(AdminOnly!$B:$B,AdminOnly!$A:$A=P5),0)"),"#REF!")</f>
        <v>#REF!</v>
      </c>
      <c r="X5" s="101">
        <f>IFERROR(__xludf.DUMMYFUNCTION("IFNA(FILTER(AdminOnly!$F$2:$F$10,AdminOnly!$E$2:$E$10=Q5),0)"),0.0)</f>
        <v>0</v>
      </c>
      <c r="Y5" s="105">
        <f>IFERROR(__xludf.DUMMYFUNCTION("IFNA(FILTER(AdminOnly!$K$2:$K$10,AdminOnly!$H$2:$H$10=J5),0)"),0.0)</f>
        <v>0</v>
      </c>
      <c r="Z5" s="107">
        <f>IFERROR(__xludf.DUMMYFUNCTION("IFNA(FILTER(AdminOnly!$N$2:$N$20,AdminOnly!$M$2:$M$20=K5),0)"),0.0)</f>
        <v>0</v>
      </c>
      <c r="AA5" s="97">
        <f t="shared" si="5"/>
        <v>0</v>
      </c>
      <c r="AB5" s="97" t="str">
        <f>IFERROR(__xludf.DUMMYFUNCTION("MAX(FILTER ( AA:AA,S:S=A5&amp;D5))"),"#REF!")</f>
        <v>#REF!</v>
      </c>
      <c r="AC5" s="97">
        <f t="shared" si="6"/>
        <v>0</v>
      </c>
      <c r="AD5" s="97" t="str">
        <f>IFERROR(__xludf.DUMMYFUNCTION("MAX(FILTER ( AC:AC,S:S=A5&amp;D5))"),"#REF!")</f>
        <v>#REF!</v>
      </c>
      <c r="AE5" s="110"/>
      <c r="AF5" s="110"/>
      <c r="AG5" s="111"/>
      <c r="AH5" s="112"/>
      <c r="AI5" s="113"/>
      <c r="AJ5" s="114"/>
      <c r="AK5" s="111"/>
      <c r="AL5" s="111"/>
      <c r="AM5" s="111"/>
      <c r="AN5" s="111"/>
      <c r="AO5" s="110"/>
      <c r="AP5" s="115"/>
      <c r="AQ5" s="116"/>
      <c r="AR5" s="116"/>
      <c r="AS5" s="116"/>
    </row>
    <row r="6">
      <c r="A6" s="52"/>
      <c r="B6" s="60"/>
      <c r="C6" s="55"/>
      <c r="D6" s="60"/>
      <c r="E6" s="60"/>
      <c r="F6" s="55"/>
      <c r="G6" s="78"/>
      <c r="H6" s="78"/>
      <c r="I6" s="60"/>
      <c r="J6" s="117"/>
      <c r="K6" s="118"/>
      <c r="L6" s="55"/>
      <c r="M6" s="60"/>
      <c r="N6" s="55"/>
      <c r="O6" s="31" t="str">
        <f>IFERROR(__xludf.DUMMYFUNCTION("IFNA(UNIQUE(FILTER(References!$B:$B,References!A:A=I6)), ""#Error: Reference ID"")"),"")</f>
        <v/>
      </c>
      <c r="P6" s="59" t="str">
        <f>IFERROR(__xludf.DUMMYFUNCTION("IFNA(UNIQUE(FILTER(References!$J:$J,References!A:A=I6)), ""#Error: Reference ID"")"),"")</f>
        <v/>
      </c>
      <c r="Q6" s="62" t="str">
        <f>IFERROR(__xludf.DUMMYFUNCTION("IFNA(UNIQUE(FILTER(References!$F:$F,References!A:A=I6)), ""#Error: Reference ID"")"),"")</f>
        <v/>
      </c>
      <c r="R6" s="64" t="str">
        <f>IFERROR(__xludf.DUMMYFUNCTION("IF(LEN(A6)+LEN(D6)=0, """", CONCATENATE(D6, ,"" ("", TEXT(AD6*100, ""00""),""/"",TEXT(AB6*100, ""00""),"") "", UNIQUE(FILTER (T:T,S:S=A6&amp;D6)), H6,"";"", CHAR(10)))"),"")</f>
        <v/>
      </c>
      <c r="S6" s="64" t="str">
        <f t="shared" si="1"/>
        <v/>
      </c>
      <c r="T6" s="64" t="str">
        <f t="shared" si="2"/>
        <v>[]</v>
      </c>
      <c r="U6" s="83">
        <f t="shared" si="3"/>
        <v>0</v>
      </c>
      <c r="V6" s="83">
        <f t="shared" si="4"/>
        <v>0</v>
      </c>
      <c r="W6" s="97" t="str">
        <f>IFERROR(__xludf.DUMMYFUNCTION("IFNA(FILTER(AdminOnly!$B:$B,AdminOnly!$A:$A=P6),0)"),"#REF!")</f>
        <v>#REF!</v>
      </c>
      <c r="X6" s="101">
        <f>IFERROR(__xludf.DUMMYFUNCTION("IFNA(FILTER(AdminOnly!$F$2:$F$10,AdminOnly!$E$2:$E$10=Q6),0)"),0.0)</f>
        <v>0</v>
      </c>
      <c r="Y6" s="105">
        <f>IFERROR(__xludf.DUMMYFUNCTION("IFNA(FILTER(AdminOnly!$K$2:$K$10,AdminOnly!$H$2:$H$10=J6),0)"),0.0)</f>
        <v>0</v>
      </c>
      <c r="Z6" s="107">
        <f>IFERROR(__xludf.DUMMYFUNCTION("IFNA(FILTER(AdminOnly!$N$2:$N$20,AdminOnly!$M$2:$M$20=K6),0)"),0.0)</f>
        <v>0</v>
      </c>
      <c r="AA6" s="97">
        <f t="shared" si="5"/>
        <v>0</v>
      </c>
      <c r="AB6" s="97" t="str">
        <f>IFERROR(__xludf.DUMMYFUNCTION("MAX(FILTER ( AA:AA,S:S=A6&amp;D6))"),"#REF!")</f>
        <v>#REF!</v>
      </c>
      <c r="AC6" s="97">
        <f t="shared" si="6"/>
        <v>0</v>
      </c>
      <c r="AD6" s="97" t="str">
        <f>IFERROR(__xludf.DUMMYFUNCTION("MAX(FILTER ( AC:AC,S:S=A6&amp;D6))"),"#REF!")</f>
        <v>#REF!</v>
      </c>
      <c r="AE6" s="110"/>
      <c r="AF6" s="110"/>
      <c r="AG6" s="111"/>
      <c r="AH6" s="112"/>
      <c r="AI6" s="113"/>
      <c r="AJ6" s="114"/>
      <c r="AK6" s="111"/>
      <c r="AL6" s="111"/>
      <c r="AM6" s="111"/>
      <c r="AN6" s="111"/>
      <c r="AO6" s="110"/>
      <c r="AP6" s="115"/>
      <c r="AQ6" s="116"/>
      <c r="AR6" s="116"/>
      <c r="AS6" s="116"/>
    </row>
    <row r="7">
      <c r="A7" s="52"/>
      <c r="B7" s="60"/>
      <c r="C7" s="55"/>
      <c r="D7" s="60"/>
      <c r="E7" s="60"/>
      <c r="F7" s="55"/>
      <c r="G7" s="78"/>
      <c r="H7" s="78"/>
      <c r="I7" s="60"/>
      <c r="J7" s="117"/>
      <c r="K7" s="118"/>
      <c r="L7" s="55"/>
      <c r="M7" s="60"/>
      <c r="N7" s="55"/>
      <c r="O7" s="31" t="str">
        <f>IFERROR(__xludf.DUMMYFUNCTION("IFNA(UNIQUE(FILTER(References!$B:$B,References!A:A=I7)), ""#Error: Reference ID"")"),"")</f>
        <v/>
      </c>
      <c r="P7" s="59" t="str">
        <f>IFERROR(__xludf.DUMMYFUNCTION("IFNA(UNIQUE(FILTER(References!$J:$J,References!A:A=I7)), ""#Error: Reference ID"")"),"")</f>
        <v/>
      </c>
      <c r="Q7" s="62" t="str">
        <f>IFERROR(__xludf.DUMMYFUNCTION("IFNA(UNIQUE(FILTER(References!$F:$F,References!A:A=I7)), ""#Error: Reference ID"")"),"")</f>
        <v/>
      </c>
      <c r="R7" s="64" t="str">
        <f>IFERROR(__xludf.DUMMYFUNCTION("IF(LEN(A7)+LEN(D7)=0, """", CONCATENATE(D7, ,"" ("", TEXT(AD7*100, ""00""),""/"",TEXT(AB7*100, ""00""),"") "", UNIQUE(FILTER (T:T,S:S=A7&amp;D7)), H7,"";"", CHAR(10)))"),"")</f>
        <v/>
      </c>
      <c r="S7" s="64" t="str">
        <f t="shared" si="1"/>
        <v/>
      </c>
      <c r="T7" s="64" t="str">
        <f t="shared" si="2"/>
        <v>[]</v>
      </c>
      <c r="U7" s="83">
        <f t="shared" si="3"/>
        <v>0</v>
      </c>
      <c r="V7" s="83">
        <f t="shared" si="4"/>
        <v>0</v>
      </c>
      <c r="W7" s="97" t="str">
        <f>IFERROR(__xludf.DUMMYFUNCTION("IFNA(FILTER(AdminOnly!$B:$B,AdminOnly!$A:$A=P7),0)"),"#REF!")</f>
        <v>#REF!</v>
      </c>
      <c r="X7" s="101">
        <f>IFERROR(__xludf.DUMMYFUNCTION("IFNA(FILTER(AdminOnly!$F$2:$F$10,AdminOnly!$E$2:$E$10=Q7),0)"),0.0)</f>
        <v>0</v>
      </c>
      <c r="Y7" s="105">
        <f>IFERROR(__xludf.DUMMYFUNCTION("IFNA(FILTER(AdminOnly!$K$2:$K$10,AdminOnly!$H$2:$H$10=J7),0)"),0.0)</f>
        <v>0</v>
      </c>
      <c r="Z7" s="107">
        <f>IFERROR(__xludf.DUMMYFUNCTION("IFNA(FILTER(AdminOnly!$N$2:$N$20,AdminOnly!$M$2:$M$20=K7),0)"),0.0)</f>
        <v>0</v>
      </c>
      <c r="AA7" s="97">
        <f t="shared" si="5"/>
        <v>0</v>
      </c>
      <c r="AB7" s="97" t="str">
        <f>IFERROR(__xludf.DUMMYFUNCTION("MAX(FILTER ( AA:AA,S:S=A7&amp;D7))"),"#REF!")</f>
        <v>#REF!</v>
      </c>
      <c r="AC7" s="97">
        <f t="shared" si="6"/>
        <v>0</v>
      </c>
      <c r="AD7" s="97" t="str">
        <f>IFERROR(__xludf.DUMMYFUNCTION("MAX(FILTER ( AC:AC,S:S=A7&amp;D7))"),"#REF!")</f>
        <v>#REF!</v>
      </c>
      <c r="AE7" s="110"/>
      <c r="AF7" s="110"/>
      <c r="AG7" s="111"/>
      <c r="AH7" s="112"/>
      <c r="AI7" s="113"/>
      <c r="AJ7" s="114"/>
      <c r="AK7" s="111"/>
      <c r="AL7" s="111"/>
      <c r="AM7" s="111"/>
      <c r="AN7" s="111"/>
      <c r="AO7" s="110"/>
      <c r="AP7" s="115"/>
      <c r="AQ7" s="116"/>
      <c r="AR7" s="116"/>
      <c r="AS7" s="116"/>
    </row>
    <row r="8">
      <c r="A8" s="52"/>
      <c r="B8" s="60"/>
      <c r="C8" s="55"/>
      <c r="D8" s="60"/>
      <c r="E8" s="60"/>
      <c r="F8" s="55"/>
      <c r="G8" s="78"/>
      <c r="H8" s="78"/>
      <c r="I8" s="60"/>
      <c r="J8" s="117"/>
      <c r="K8" s="118"/>
      <c r="L8" s="55"/>
      <c r="M8" s="60"/>
      <c r="N8" s="55"/>
      <c r="O8" s="31" t="str">
        <f>IFERROR(__xludf.DUMMYFUNCTION("IFNA(UNIQUE(FILTER(References!$B:$B,References!A:A=I8)), ""#Error: Reference ID"")"),"")</f>
        <v/>
      </c>
      <c r="P8" s="59" t="str">
        <f>IFERROR(__xludf.DUMMYFUNCTION("IFNA(UNIQUE(FILTER(References!$J:$J,References!A:A=I8)), ""#Error: Reference ID"")"),"")</f>
        <v/>
      </c>
      <c r="Q8" s="62" t="str">
        <f>IFERROR(__xludf.DUMMYFUNCTION("IFNA(UNIQUE(FILTER(References!$F:$F,References!A:A=I8)), ""#Error: Reference ID"")"),"")</f>
        <v/>
      </c>
      <c r="R8" s="64" t="str">
        <f>IFERROR(__xludf.DUMMYFUNCTION("IF(LEN(A8)+LEN(D8)=0, """", CONCATENATE(D8, ,"" ("", TEXT(AD8*100, ""00""),""/"",TEXT(AB8*100, ""00""),"") "", UNIQUE(FILTER (T:T,S:S=A8&amp;D8)), H8,"";"", CHAR(10)))"),"")</f>
        <v/>
      </c>
      <c r="S8" s="64" t="str">
        <f t="shared" si="1"/>
        <v/>
      </c>
      <c r="T8" s="64" t="str">
        <f t="shared" si="2"/>
        <v>[]</v>
      </c>
      <c r="U8" s="83">
        <f t="shared" si="3"/>
        <v>0</v>
      </c>
      <c r="V8" s="83">
        <f t="shared" si="4"/>
        <v>0</v>
      </c>
      <c r="W8" s="97" t="str">
        <f>IFERROR(__xludf.DUMMYFUNCTION("IFNA(FILTER(AdminOnly!$B:$B,AdminOnly!$A:$A=P8),0)"),"#REF!")</f>
        <v>#REF!</v>
      </c>
      <c r="X8" s="101">
        <f>IFERROR(__xludf.DUMMYFUNCTION("IFNA(FILTER(AdminOnly!$F$2:$F$10,AdminOnly!$E$2:$E$10=Q8),0)"),0.0)</f>
        <v>0</v>
      </c>
      <c r="Y8" s="105">
        <f>IFERROR(__xludf.DUMMYFUNCTION("IFNA(FILTER(AdminOnly!$K$2:$K$10,AdminOnly!$H$2:$H$10=J8),0)"),0.0)</f>
        <v>0</v>
      </c>
      <c r="Z8" s="107">
        <f>IFERROR(__xludf.DUMMYFUNCTION("IFNA(FILTER(AdminOnly!$N$2:$N$20,AdminOnly!$M$2:$M$20=K8),0)"),0.0)</f>
        <v>0</v>
      </c>
      <c r="AA8" s="97">
        <f t="shared" si="5"/>
        <v>0</v>
      </c>
      <c r="AB8" s="97" t="str">
        <f>IFERROR(__xludf.DUMMYFUNCTION("MAX(FILTER ( AA:AA,S:S=A8&amp;D8))"),"#REF!")</f>
        <v>#REF!</v>
      </c>
      <c r="AC8" s="97">
        <f t="shared" si="6"/>
        <v>0</v>
      </c>
      <c r="AD8" s="97" t="str">
        <f>IFERROR(__xludf.DUMMYFUNCTION("MAX(FILTER ( AC:AC,S:S=A8&amp;D8))"),"#REF!")</f>
        <v>#REF!</v>
      </c>
      <c r="AE8" s="110"/>
      <c r="AF8" s="110"/>
      <c r="AG8" s="111"/>
      <c r="AH8" s="112"/>
      <c r="AI8" s="113"/>
      <c r="AJ8" s="114"/>
      <c r="AK8" s="111"/>
      <c r="AL8" s="111"/>
      <c r="AM8" s="111"/>
      <c r="AN8" s="111"/>
      <c r="AO8" s="110"/>
      <c r="AP8" s="115"/>
      <c r="AQ8" s="116"/>
      <c r="AR8" s="116"/>
      <c r="AS8" s="116"/>
    </row>
    <row r="9">
      <c r="A9" s="52"/>
      <c r="B9" s="60"/>
      <c r="C9" s="55"/>
      <c r="D9" s="60"/>
      <c r="E9" s="60"/>
      <c r="F9" s="55"/>
      <c r="G9" s="78"/>
      <c r="H9" s="78"/>
      <c r="I9" s="60"/>
      <c r="J9" s="117"/>
      <c r="K9" s="118"/>
      <c r="L9" s="55"/>
      <c r="M9" s="60"/>
      <c r="N9" s="55"/>
      <c r="O9" s="31" t="str">
        <f>IFERROR(__xludf.DUMMYFUNCTION("IFNA(UNIQUE(FILTER(References!$B:$B,References!A:A=I9)), ""#Error: Reference ID"")"),"")</f>
        <v/>
      </c>
      <c r="P9" s="59" t="str">
        <f>IFERROR(__xludf.DUMMYFUNCTION("IFNA(UNIQUE(FILTER(References!$J:$J,References!A:A=I9)), ""#Error: Reference ID"")"),"")</f>
        <v/>
      </c>
      <c r="Q9" s="62" t="str">
        <f>IFERROR(__xludf.DUMMYFUNCTION("IFNA(UNIQUE(FILTER(References!$F:$F,References!A:A=I9)), ""#Error: Reference ID"")"),"")</f>
        <v/>
      </c>
      <c r="R9" s="64" t="str">
        <f>IFERROR(__xludf.DUMMYFUNCTION("IF(LEN(A9)+LEN(D9)=0, """", CONCATENATE(D9, ,"" ("", TEXT(AD9*100, ""00""),""/"",TEXT(AB9*100, ""00""),"") "", UNIQUE(FILTER (T:T,S:S=A9&amp;D9)), H9,"";"", CHAR(10)))"),"")</f>
        <v/>
      </c>
      <c r="S9" s="64" t="str">
        <f t="shared" si="1"/>
        <v/>
      </c>
      <c r="T9" s="64" t="str">
        <f t="shared" si="2"/>
        <v>[]</v>
      </c>
      <c r="U9" s="83">
        <f t="shared" si="3"/>
        <v>0</v>
      </c>
      <c r="V9" s="83">
        <f t="shared" si="4"/>
        <v>0</v>
      </c>
      <c r="W9" s="97" t="str">
        <f>IFERROR(__xludf.DUMMYFUNCTION("IFNA(FILTER(AdminOnly!$B:$B,AdminOnly!$A:$A=P9),0)"),"#REF!")</f>
        <v>#REF!</v>
      </c>
      <c r="X9" s="101">
        <f>IFERROR(__xludf.DUMMYFUNCTION("IFNA(FILTER(AdminOnly!$F$2:$F$10,AdminOnly!$E$2:$E$10=Q9),0)"),0.0)</f>
        <v>0</v>
      </c>
      <c r="Y9" s="105">
        <f>IFERROR(__xludf.DUMMYFUNCTION("IFNA(FILTER(AdminOnly!$K$2:$K$10,AdminOnly!$H$2:$H$10=J9),0)"),0.0)</f>
        <v>0</v>
      </c>
      <c r="Z9" s="107">
        <f>IFERROR(__xludf.DUMMYFUNCTION("IFNA(FILTER(AdminOnly!$N$2:$N$20,AdminOnly!$M$2:$M$20=K9),0)"),0.0)</f>
        <v>0</v>
      </c>
      <c r="AA9" s="97">
        <f t="shared" si="5"/>
        <v>0</v>
      </c>
      <c r="AB9" s="97" t="str">
        <f>IFERROR(__xludf.DUMMYFUNCTION("MAX(FILTER ( AA:AA,S:S=A9&amp;D9))"),"#REF!")</f>
        <v>#REF!</v>
      </c>
      <c r="AC9" s="97">
        <f t="shared" si="6"/>
        <v>0</v>
      </c>
      <c r="AD9" s="97" t="str">
        <f>IFERROR(__xludf.DUMMYFUNCTION("MAX(FILTER ( AC:AC,S:S=A9&amp;D9))"),"#REF!")</f>
        <v>#REF!</v>
      </c>
      <c r="AE9" s="110"/>
      <c r="AF9" s="110"/>
      <c r="AG9" s="111"/>
      <c r="AH9" s="112"/>
      <c r="AI9" s="113"/>
      <c r="AJ9" s="114"/>
      <c r="AK9" s="111"/>
      <c r="AL9" s="111"/>
      <c r="AM9" s="111"/>
      <c r="AN9" s="111"/>
      <c r="AO9" s="110"/>
      <c r="AP9" s="115"/>
      <c r="AQ9" s="116"/>
      <c r="AR9" s="116"/>
      <c r="AS9" s="116"/>
    </row>
    <row r="10">
      <c r="A10" s="52"/>
      <c r="B10" s="60"/>
      <c r="C10" s="55"/>
      <c r="D10" s="60"/>
      <c r="E10" s="60"/>
      <c r="F10" s="55"/>
      <c r="G10" s="78"/>
      <c r="H10" s="78"/>
      <c r="I10" s="60"/>
      <c r="J10" s="117"/>
      <c r="K10" s="118"/>
      <c r="L10" s="55"/>
      <c r="M10" s="60"/>
      <c r="N10" s="55"/>
      <c r="O10" s="31" t="str">
        <f>IFERROR(__xludf.DUMMYFUNCTION("IFNA(UNIQUE(FILTER(References!$B:$B,References!A:A=I10)), ""#Error: Reference ID"")"),"")</f>
        <v/>
      </c>
      <c r="P10" s="59" t="str">
        <f>IFERROR(__xludf.DUMMYFUNCTION("IFNA(UNIQUE(FILTER(References!$J:$J,References!A:A=I10)), ""#Error: Reference ID"")"),"")</f>
        <v/>
      </c>
      <c r="Q10" s="62" t="str">
        <f>IFERROR(__xludf.DUMMYFUNCTION("IFNA(UNIQUE(FILTER(References!$F:$F,References!A:A=I10)), ""#Error: Reference ID"")"),"")</f>
        <v/>
      </c>
      <c r="R10" s="64" t="str">
        <f>IFERROR(__xludf.DUMMYFUNCTION("IF(LEN(A10)+LEN(D10)=0, """", CONCATENATE(D10, ,"" ("", TEXT(AD10*100, ""00""),""/"",TEXT(AB10*100, ""00""),"") "", UNIQUE(FILTER (T:T,S:S=A10&amp;D10)), H10,"";"", CHAR(10)))"),"")</f>
        <v/>
      </c>
      <c r="S10" s="64" t="str">
        <f t="shared" si="1"/>
        <v/>
      </c>
      <c r="T10" s="64" t="str">
        <f t="shared" si="2"/>
        <v>[]</v>
      </c>
      <c r="U10" s="83">
        <f t="shared" si="3"/>
        <v>0</v>
      </c>
      <c r="V10" s="83">
        <f t="shared" si="4"/>
        <v>0</v>
      </c>
      <c r="W10" s="97" t="str">
        <f>IFERROR(__xludf.DUMMYFUNCTION("IFNA(FILTER(AdminOnly!$B:$B,AdminOnly!$A:$A=P10),0)"),"#REF!")</f>
        <v>#REF!</v>
      </c>
      <c r="X10" s="101">
        <f>IFERROR(__xludf.DUMMYFUNCTION("IFNA(FILTER(AdminOnly!$F$2:$F$10,AdminOnly!$E$2:$E$10=Q10),0)"),0.0)</f>
        <v>0</v>
      </c>
      <c r="Y10" s="105">
        <f>IFERROR(__xludf.DUMMYFUNCTION("IFNA(FILTER(AdminOnly!$K$2:$K$10,AdminOnly!$H$2:$H$10=J10),0)"),0.0)</f>
        <v>0</v>
      </c>
      <c r="Z10" s="107">
        <f>IFERROR(__xludf.DUMMYFUNCTION("IFNA(FILTER(AdminOnly!$N$2:$N$20,AdminOnly!$M$2:$M$20=K10),0)"),0.0)</f>
        <v>0</v>
      </c>
      <c r="AA10" s="97">
        <f t="shared" si="5"/>
        <v>0</v>
      </c>
      <c r="AB10" s="97" t="str">
        <f>IFERROR(__xludf.DUMMYFUNCTION("MAX(FILTER ( AA:AA,S:S=A10&amp;D10))"),"#REF!")</f>
        <v>#REF!</v>
      </c>
      <c r="AC10" s="97">
        <f t="shared" si="6"/>
        <v>0</v>
      </c>
      <c r="AD10" s="97" t="str">
        <f>IFERROR(__xludf.DUMMYFUNCTION("MAX(FILTER ( AC:AC,S:S=A10&amp;D10))"),"#REF!")</f>
        <v>#REF!</v>
      </c>
      <c r="AE10" s="110"/>
      <c r="AF10" s="110"/>
      <c r="AG10" s="111"/>
      <c r="AH10" s="112"/>
      <c r="AI10" s="113"/>
      <c r="AJ10" s="114"/>
      <c r="AK10" s="111"/>
      <c r="AL10" s="111"/>
      <c r="AM10" s="111"/>
      <c r="AN10" s="111"/>
      <c r="AO10" s="110"/>
      <c r="AP10" s="115"/>
      <c r="AQ10" s="116"/>
      <c r="AR10" s="116"/>
      <c r="AS10" s="116"/>
    </row>
    <row r="11">
      <c r="A11" s="52"/>
      <c r="B11" s="60"/>
      <c r="C11" s="55"/>
      <c r="D11" s="60"/>
      <c r="E11" s="60"/>
      <c r="F11" s="55"/>
      <c r="G11" s="78"/>
      <c r="H11" s="78"/>
      <c r="I11" s="60"/>
      <c r="J11" s="117"/>
      <c r="K11" s="118"/>
      <c r="L11" s="55"/>
      <c r="M11" s="60"/>
      <c r="N11" s="55"/>
      <c r="O11" s="31" t="str">
        <f>IFERROR(__xludf.DUMMYFUNCTION("IFNA(UNIQUE(FILTER(References!$B:$B,References!A:A=I11)), ""#Error: Reference ID"")"),"")</f>
        <v/>
      </c>
      <c r="P11" s="59" t="str">
        <f>IFERROR(__xludf.DUMMYFUNCTION("IFNA(UNIQUE(FILTER(References!$J:$J,References!A:A=I11)), ""#Error: Reference ID"")"),"")</f>
        <v/>
      </c>
      <c r="Q11" s="62" t="str">
        <f>IFERROR(__xludf.DUMMYFUNCTION("IFNA(UNIQUE(FILTER(References!$F:$F,References!A:A=I11)), ""#Error: Reference ID"")"),"")</f>
        <v/>
      </c>
      <c r="R11" s="64" t="str">
        <f>IFERROR(__xludf.DUMMYFUNCTION("IF(LEN(A11)+LEN(D11)=0, """", CONCATENATE(D11, ,"" ("", TEXT(AD11*100, ""00""),""/"",TEXT(AB11*100, ""00""),"") "", UNIQUE(FILTER (T:T,S:S=A11&amp;D11)), H11,"";"", CHAR(10)))"),"")</f>
        <v/>
      </c>
      <c r="S11" s="64" t="str">
        <f t="shared" si="1"/>
        <v/>
      </c>
      <c r="T11" s="64" t="str">
        <f t="shared" si="2"/>
        <v>[]</v>
      </c>
      <c r="U11" s="83">
        <f t="shared" si="3"/>
        <v>0</v>
      </c>
      <c r="V11" s="83">
        <f t="shared" si="4"/>
        <v>0</v>
      </c>
      <c r="W11" s="97" t="str">
        <f>IFERROR(__xludf.DUMMYFUNCTION("IFNA(FILTER(AdminOnly!$B:$B,AdminOnly!$A:$A=P11),0)"),"#REF!")</f>
        <v>#REF!</v>
      </c>
      <c r="X11" s="101">
        <f>IFERROR(__xludf.DUMMYFUNCTION("IFNA(FILTER(AdminOnly!$F$2:$F$10,AdminOnly!$E$2:$E$10=Q11),0)"),0.0)</f>
        <v>0</v>
      </c>
      <c r="Y11" s="105">
        <f>IFERROR(__xludf.DUMMYFUNCTION("IFNA(FILTER(AdminOnly!$K$2:$K$10,AdminOnly!$H$2:$H$10=J11),0)"),0.0)</f>
        <v>0</v>
      </c>
      <c r="Z11" s="107">
        <f>IFERROR(__xludf.DUMMYFUNCTION("IFNA(FILTER(AdminOnly!$N$2:$N$20,AdminOnly!$M$2:$M$20=K11),0)"),0.0)</f>
        <v>0</v>
      </c>
      <c r="AA11" s="97">
        <f t="shared" si="5"/>
        <v>0</v>
      </c>
      <c r="AB11" s="97" t="str">
        <f>IFERROR(__xludf.DUMMYFUNCTION("MAX(FILTER ( AA:AA,S:S=A11&amp;D11))"),"#REF!")</f>
        <v>#REF!</v>
      </c>
      <c r="AC11" s="97">
        <f t="shared" si="6"/>
        <v>0</v>
      </c>
      <c r="AD11" s="97" t="str">
        <f>IFERROR(__xludf.DUMMYFUNCTION("MAX(FILTER ( AC:AC,S:S=A11&amp;D11))"),"#REF!")</f>
        <v>#REF!</v>
      </c>
      <c r="AE11" s="110"/>
      <c r="AF11" s="110"/>
      <c r="AG11" s="111"/>
      <c r="AH11" s="112"/>
      <c r="AI11" s="113"/>
      <c r="AJ11" s="114"/>
      <c r="AK11" s="111"/>
      <c r="AL11" s="111"/>
      <c r="AM11" s="111"/>
      <c r="AN11" s="111"/>
      <c r="AO11" s="110"/>
      <c r="AP11" s="115"/>
      <c r="AQ11" s="116"/>
      <c r="AR11" s="116"/>
      <c r="AS11" s="116"/>
    </row>
    <row r="12">
      <c r="A12" s="52"/>
      <c r="B12" s="60"/>
      <c r="C12" s="55"/>
      <c r="D12" s="60"/>
      <c r="E12" s="60"/>
      <c r="F12" s="55"/>
      <c r="G12" s="78"/>
      <c r="H12" s="78"/>
      <c r="I12" s="60"/>
      <c r="J12" s="117"/>
      <c r="K12" s="118"/>
      <c r="L12" s="55"/>
      <c r="M12" s="60"/>
      <c r="N12" s="55"/>
      <c r="O12" s="31" t="str">
        <f>IFERROR(__xludf.DUMMYFUNCTION("IFNA(UNIQUE(FILTER(References!$B:$B,References!A:A=I12)), ""#Error: Reference ID"")"),"")</f>
        <v/>
      </c>
      <c r="P12" s="59" t="str">
        <f>IFERROR(__xludf.DUMMYFUNCTION("IFNA(UNIQUE(FILTER(References!$J:$J,References!A:A=I12)), ""#Error: Reference ID"")"),"")</f>
        <v/>
      </c>
      <c r="Q12" s="62" t="str">
        <f>IFERROR(__xludf.DUMMYFUNCTION("IFNA(UNIQUE(FILTER(References!$F:$F,References!A:A=I12)), ""#Error: Reference ID"")"),"")</f>
        <v/>
      </c>
      <c r="R12" s="64" t="str">
        <f>IFERROR(__xludf.DUMMYFUNCTION("IF(LEN(A12)+LEN(D12)=0, """", CONCATENATE(D12, ,"" ("", TEXT(AD12*100, ""00""),""/"",TEXT(AB12*100, ""00""),"") "", UNIQUE(FILTER (T:T,S:S=A12&amp;D12)), H12,"";"", CHAR(10)))"),"")</f>
        <v/>
      </c>
      <c r="S12" s="64" t="str">
        <f t="shared" si="1"/>
        <v/>
      </c>
      <c r="T12" s="64" t="str">
        <f t="shared" si="2"/>
        <v>[]</v>
      </c>
      <c r="U12" s="83">
        <f t="shared" si="3"/>
        <v>0</v>
      </c>
      <c r="V12" s="83">
        <f t="shared" si="4"/>
        <v>0</v>
      </c>
      <c r="W12" s="97" t="str">
        <f>IFERROR(__xludf.DUMMYFUNCTION("IFNA(FILTER(AdminOnly!$B:$B,AdminOnly!$A:$A=P12),0)"),"#REF!")</f>
        <v>#REF!</v>
      </c>
      <c r="X12" s="101">
        <f>IFERROR(__xludf.DUMMYFUNCTION("IFNA(FILTER(AdminOnly!$F$2:$F$10,AdminOnly!$E$2:$E$10=Q12),0)"),0.0)</f>
        <v>0</v>
      </c>
      <c r="Y12" s="105">
        <f>IFERROR(__xludf.DUMMYFUNCTION("IFNA(FILTER(AdminOnly!$K$2:$K$10,AdminOnly!$H$2:$H$10=J12),0)"),0.0)</f>
        <v>0</v>
      </c>
      <c r="Z12" s="107">
        <f>IFERROR(__xludf.DUMMYFUNCTION("IFNA(FILTER(AdminOnly!$N$2:$N$20,AdminOnly!$M$2:$M$20=K12),0)"),0.0)</f>
        <v>0</v>
      </c>
      <c r="AA12" s="97">
        <f t="shared" si="5"/>
        <v>0</v>
      </c>
      <c r="AB12" s="97" t="str">
        <f>IFERROR(__xludf.DUMMYFUNCTION("MAX(FILTER ( AA:AA,S:S=A12&amp;D12))"),"#REF!")</f>
        <v>#REF!</v>
      </c>
      <c r="AC12" s="97">
        <f t="shared" si="6"/>
        <v>0</v>
      </c>
      <c r="AD12" s="97" t="str">
        <f>IFERROR(__xludf.DUMMYFUNCTION("MAX(FILTER ( AC:AC,S:S=A12&amp;D12))"),"#REF!")</f>
        <v>#REF!</v>
      </c>
      <c r="AE12" s="110"/>
      <c r="AF12" s="110"/>
      <c r="AG12" s="111"/>
      <c r="AH12" s="112"/>
      <c r="AI12" s="113"/>
      <c r="AJ12" s="114"/>
      <c r="AK12" s="111"/>
      <c r="AL12" s="111"/>
      <c r="AM12" s="111"/>
      <c r="AN12" s="111"/>
      <c r="AO12" s="110"/>
      <c r="AP12" s="115"/>
      <c r="AQ12" s="116"/>
      <c r="AR12" s="116"/>
      <c r="AS12" s="116"/>
    </row>
    <row r="13">
      <c r="A13" s="52"/>
      <c r="B13" s="60"/>
      <c r="C13" s="55"/>
      <c r="D13" s="60"/>
      <c r="E13" s="60"/>
      <c r="F13" s="55"/>
      <c r="G13" s="78"/>
      <c r="H13" s="78"/>
      <c r="I13" s="60"/>
      <c r="J13" s="117"/>
      <c r="K13" s="118"/>
      <c r="L13" s="55"/>
      <c r="M13" s="60"/>
      <c r="N13" s="55"/>
      <c r="O13" s="31" t="str">
        <f>IFERROR(__xludf.DUMMYFUNCTION("IFNA(UNIQUE(FILTER(References!$B:$B,References!A:A=I13)), ""#Error: Reference ID"")"),"")</f>
        <v/>
      </c>
      <c r="P13" s="59" t="str">
        <f>IFERROR(__xludf.DUMMYFUNCTION("IFNA(UNIQUE(FILTER(References!$J:$J,References!A:A=I13)), ""#Error: Reference ID"")"),"")</f>
        <v/>
      </c>
      <c r="Q13" s="62" t="str">
        <f>IFERROR(__xludf.DUMMYFUNCTION("IFNA(UNIQUE(FILTER(References!$F:$F,References!A:A=I13)), ""#Error: Reference ID"")"),"")</f>
        <v/>
      </c>
      <c r="R13" s="64" t="str">
        <f>IFERROR(__xludf.DUMMYFUNCTION("IF(LEN(A13)+LEN(D13)=0, """", CONCATENATE(D13, ,"" ("", TEXT(AD13*100, ""00""),""/"",TEXT(AB13*100, ""00""),"") "", UNIQUE(FILTER (T:T,S:S=A13&amp;D13)), H13,"";"", CHAR(10)))"),"")</f>
        <v/>
      </c>
      <c r="S13" s="64" t="str">
        <f t="shared" si="1"/>
        <v/>
      </c>
      <c r="T13" s="64" t="str">
        <f t="shared" si="2"/>
        <v>[]</v>
      </c>
      <c r="U13" s="83">
        <f t="shared" si="3"/>
        <v>0</v>
      </c>
      <c r="V13" s="83">
        <f t="shared" si="4"/>
        <v>0</v>
      </c>
      <c r="W13" s="97" t="str">
        <f>IFERROR(__xludf.DUMMYFUNCTION("IFNA(FILTER(AdminOnly!$B:$B,AdminOnly!$A:$A=P13),0)"),"#REF!")</f>
        <v>#REF!</v>
      </c>
      <c r="X13" s="101">
        <f>IFERROR(__xludf.DUMMYFUNCTION("IFNA(FILTER(AdminOnly!$F$2:$F$10,AdminOnly!$E$2:$E$10=Q13),0)"),0.0)</f>
        <v>0</v>
      </c>
      <c r="Y13" s="105">
        <f>IFERROR(__xludf.DUMMYFUNCTION("IFNA(FILTER(AdminOnly!$K$2:$K$10,AdminOnly!$H$2:$H$10=J13),0)"),0.0)</f>
        <v>0</v>
      </c>
      <c r="Z13" s="107">
        <f>IFERROR(__xludf.DUMMYFUNCTION("IFNA(FILTER(AdminOnly!$N$2:$N$20,AdminOnly!$M$2:$M$20=K13),0)"),0.0)</f>
        <v>0</v>
      </c>
      <c r="AA13" s="97">
        <f t="shared" si="5"/>
        <v>0</v>
      </c>
      <c r="AB13" s="97" t="str">
        <f>IFERROR(__xludf.DUMMYFUNCTION("MAX(FILTER ( AA:AA,S:S=A13&amp;D13))"),"#REF!")</f>
        <v>#REF!</v>
      </c>
      <c r="AC13" s="97">
        <f t="shared" si="6"/>
        <v>0</v>
      </c>
      <c r="AD13" s="97" t="str">
        <f>IFERROR(__xludf.DUMMYFUNCTION("MAX(FILTER ( AC:AC,S:S=A13&amp;D13))"),"#REF!")</f>
        <v>#REF!</v>
      </c>
      <c r="AE13" s="110"/>
      <c r="AF13" s="110"/>
      <c r="AG13" s="111"/>
      <c r="AH13" s="112"/>
      <c r="AI13" s="113"/>
      <c r="AJ13" s="114"/>
      <c r="AK13" s="111"/>
      <c r="AL13" s="111"/>
      <c r="AM13" s="111"/>
      <c r="AN13" s="111"/>
      <c r="AO13" s="110"/>
      <c r="AP13" s="115"/>
      <c r="AQ13" s="116"/>
      <c r="AR13" s="116"/>
      <c r="AS13" s="116"/>
    </row>
    <row r="14">
      <c r="A14" s="52"/>
      <c r="B14" s="60"/>
      <c r="C14" s="55"/>
      <c r="D14" s="60"/>
      <c r="E14" s="60"/>
      <c r="F14" s="55"/>
      <c r="G14" s="78"/>
      <c r="H14" s="78"/>
      <c r="I14" s="60"/>
      <c r="J14" s="117"/>
      <c r="K14" s="118"/>
      <c r="L14" s="55"/>
      <c r="M14" s="60"/>
      <c r="N14" s="55"/>
      <c r="O14" s="31" t="str">
        <f>IFERROR(__xludf.DUMMYFUNCTION("IFNA(UNIQUE(FILTER(References!$B:$B,References!A:A=I14)), ""#Error: Reference ID"")"),"")</f>
        <v/>
      </c>
      <c r="P14" s="59" t="str">
        <f>IFERROR(__xludf.DUMMYFUNCTION("IFNA(UNIQUE(FILTER(References!$J:$J,References!A:A=I14)), ""#Error: Reference ID"")"),"")</f>
        <v/>
      </c>
      <c r="Q14" s="62" t="str">
        <f>IFERROR(__xludf.DUMMYFUNCTION("IFNA(UNIQUE(FILTER(References!$F:$F,References!A:A=I14)), ""#Error: Reference ID"")"),"")</f>
        <v/>
      </c>
      <c r="R14" s="64" t="str">
        <f>IFERROR(__xludf.DUMMYFUNCTION("IF(LEN(A14)+LEN(D14)=0, """", CONCATENATE(D14, ,"" ("", TEXT(AD14*100, ""00""),""/"",TEXT(AB14*100, ""00""),"") "", UNIQUE(FILTER (T:T,S:S=A14&amp;D14)), H14,"";"", CHAR(10)))"),"")</f>
        <v/>
      </c>
      <c r="S14" s="64" t="str">
        <f t="shared" si="1"/>
        <v/>
      </c>
      <c r="T14" s="64" t="str">
        <f t="shared" si="2"/>
        <v>[]</v>
      </c>
      <c r="U14" s="83">
        <f t="shared" si="3"/>
        <v>0</v>
      </c>
      <c r="V14" s="83">
        <f t="shared" si="4"/>
        <v>0</v>
      </c>
      <c r="W14" s="97" t="str">
        <f>IFERROR(__xludf.DUMMYFUNCTION("IFNA(FILTER(AdminOnly!$B:$B,AdminOnly!$A:$A=P14),0)"),"#REF!")</f>
        <v>#REF!</v>
      </c>
      <c r="X14" s="101">
        <f>IFERROR(__xludf.DUMMYFUNCTION("IFNA(FILTER(AdminOnly!$F$2:$F$10,AdminOnly!$E$2:$E$10=Q14),0)"),0.0)</f>
        <v>0</v>
      </c>
      <c r="Y14" s="105">
        <f>IFERROR(__xludf.DUMMYFUNCTION("IFNA(FILTER(AdminOnly!$K$2:$K$10,AdminOnly!$H$2:$H$10=J14),0)"),0.0)</f>
        <v>0</v>
      </c>
      <c r="Z14" s="107">
        <f>IFERROR(__xludf.DUMMYFUNCTION("IFNA(FILTER(AdminOnly!$N$2:$N$20,AdminOnly!$M$2:$M$20=K14),0)"),0.0)</f>
        <v>0</v>
      </c>
      <c r="AA14" s="97">
        <f t="shared" si="5"/>
        <v>0</v>
      </c>
      <c r="AB14" s="97" t="str">
        <f>IFERROR(__xludf.DUMMYFUNCTION("MAX(FILTER ( AA:AA,S:S=A14&amp;D14))"),"#REF!")</f>
        <v>#REF!</v>
      </c>
      <c r="AC14" s="97">
        <f t="shared" si="6"/>
        <v>0</v>
      </c>
      <c r="AD14" s="97" t="str">
        <f>IFERROR(__xludf.DUMMYFUNCTION("MAX(FILTER ( AC:AC,S:S=A14&amp;D14))"),"#REF!")</f>
        <v>#REF!</v>
      </c>
      <c r="AE14" s="110"/>
      <c r="AF14" s="110"/>
      <c r="AG14" s="111"/>
      <c r="AH14" s="112"/>
      <c r="AI14" s="113"/>
      <c r="AJ14" s="114"/>
      <c r="AK14" s="110"/>
      <c r="AL14" s="111"/>
      <c r="AM14" s="111"/>
      <c r="AN14" s="111"/>
      <c r="AO14" s="110"/>
      <c r="AP14" s="115"/>
      <c r="AQ14" s="116"/>
      <c r="AR14" s="116"/>
      <c r="AS14" s="116"/>
    </row>
    <row r="15">
      <c r="A15" s="52"/>
      <c r="B15" s="60"/>
      <c r="C15" s="55"/>
      <c r="D15" s="60"/>
      <c r="E15" s="60"/>
      <c r="F15" s="55"/>
      <c r="G15" s="78"/>
      <c r="H15" s="78"/>
      <c r="I15" s="60"/>
      <c r="J15" s="117"/>
      <c r="K15" s="118"/>
      <c r="L15" s="55"/>
      <c r="M15" s="60"/>
      <c r="N15" s="55"/>
      <c r="O15" s="31" t="str">
        <f>IFERROR(__xludf.DUMMYFUNCTION("IFNA(UNIQUE(FILTER(References!$B:$B,References!A:A=I15)), ""#Error: Reference ID"")"),"")</f>
        <v/>
      </c>
      <c r="P15" s="59" t="str">
        <f>IFERROR(__xludf.DUMMYFUNCTION("IFNA(UNIQUE(FILTER(References!$J:$J,References!A:A=I15)), ""#Error: Reference ID"")"),"")</f>
        <v/>
      </c>
      <c r="Q15" s="62" t="str">
        <f>IFERROR(__xludf.DUMMYFUNCTION("IFNA(UNIQUE(FILTER(References!$F:$F,References!A:A=I15)), ""#Error: Reference ID"")"),"")</f>
        <v/>
      </c>
      <c r="R15" s="64" t="str">
        <f>IFERROR(__xludf.DUMMYFUNCTION("IF(LEN(A15)+LEN(D15)=0, """", CONCATENATE(D15, ,"" ("", TEXT(AD15*100, ""00""),""/"",TEXT(AB15*100, ""00""),"") "", UNIQUE(FILTER (T:T,S:S=A15&amp;D15)), H15,"";"", CHAR(10)))"),"")</f>
        <v/>
      </c>
      <c r="S15" s="64" t="str">
        <f t="shared" si="1"/>
        <v/>
      </c>
      <c r="T15" s="64" t="str">
        <f t="shared" si="2"/>
        <v>[]</v>
      </c>
      <c r="U15" s="83">
        <f t="shared" si="3"/>
        <v>0</v>
      </c>
      <c r="V15" s="83">
        <f t="shared" si="4"/>
        <v>0</v>
      </c>
      <c r="W15" s="97" t="str">
        <f>IFERROR(__xludf.DUMMYFUNCTION("IFNA(FILTER(AdminOnly!$B:$B,AdminOnly!$A:$A=P15),0)"),"#REF!")</f>
        <v>#REF!</v>
      </c>
      <c r="X15" s="101">
        <f>IFERROR(__xludf.DUMMYFUNCTION("IFNA(FILTER(AdminOnly!$F$2:$F$10,AdminOnly!$E$2:$E$10=Q15),0)"),0.0)</f>
        <v>0</v>
      </c>
      <c r="Y15" s="105">
        <f>IFERROR(__xludf.DUMMYFUNCTION("IFNA(FILTER(AdminOnly!$K$2:$K$10,AdminOnly!$H$2:$H$10=J15),0)"),0.0)</f>
        <v>0</v>
      </c>
      <c r="Z15" s="107">
        <f>IFERROR(__xludf.DUMMYFUNCTION("IFNA(FILTER(AdminOnly!$N$2:$N$20,AdminOnly!$M$2:$M$20=K15),0)"),0.0)</f>
        <v>0</v>
      </c>
      <c r="AA15" s="97">
        <f t="shared" si="5"/>
        <v>0</v>
      </c>
      <c r="AB15" s="97" t="str">
        <f>IFERROR(__xludf.DUMMYFUNCTION("MAX(FILTER ( AA:AA,S:S=A15&amp;D15))"),"#REF!")</f>
        <v>#REF!</v>
      </c>
      <c r="AC15" s="97">
        <f t="shared" si="6"/>
        <v>0</v>
      </c>
      <c r="AD15" s="97" t="str">
        <f>IFERROR(__xludf.DUMMYFUNCTION("MAX(FILTER ( AC:AC,S:S=A15&amp;D15))"),"#REF!")</f>
        <v>#REF!</v>
      </c>
      <c r="AE15" s="110"/>
      <c r="AF15" s="110"/>
      <c r="AG15" s="111"/>
      <c r="AH15" s="112"/>
      <c r="AI15" s="113"/>
      <c r="AJ15" s="114"/>
      <c r="AK15" s="111"/>
      <c r="AL15" s="111"/>
      <c r="AM15" s="111"/>
      <c r="AN15" s="111"/>
      <c r="AO15" s="110"/>
      <c r="AP15" s="115"/>
      <c r="AQ15" s="116"/>
      <c r="AR15" s="116"/>
      <c r="AS15" s="116"/>
    </row>
    <row r="16">
      <c r="A16" s="52"/>
      <c r="B16" s="60"/>
      <c r="C16" s="55"/>
      <c r="D16" s="60"/>
      <c r="E16" s="60"/>
      <c r="F16" s="55"/>
      <c r="G16" s="78"/>
      <c r="H16" s="78"/>
      <c r="I16" s="60"/>
      <c r="J16" s="117"/>
      <c r="K16" s="118"/>
      <c r="L16" s="55"/>
      <c r="M16" s="60"/>
      <c r="N16" s="55"/>
      <c r="O16" s="31" t="str">
        <f>IFERROR(__xludf.DUMMYFUNCTION("IFNA(UNIQUE(FILTER(References!$B:$B,References!A:A=I16)), ""#Error: Reference ID"")"),"")</f>
        <v/>
      </c>
      <c r="P16" s="59" t="str">
        <f>IFERROR(__xludf.DUMMYFUNCTION("IFNA(UNIQUE(FILTER(References!$J:$J,References!A:A=I16)), ""#Error: Reference ID"")"),"")</f>
        <v/>
      </c>
      <c r="Q16" s="62" t="str">
        <f>IFERROR(__xludf.DUMMYFUNCTION("IFNA(UNIQUE(FILTER(References!$F:$F,References!A:A=I16)), ""#Error: Reference ID"")"),"")</f>
        <v/>
      </c>
      <c r="R16" s="64" t="str">
        <f>IFERROR(__xludf.DUMMYFUNCTION("IF(LEN(A16)+LEN(D16)=0, """", CONCATENATE(D16, ,"" ("", TEXT(AD16*100, ""00""),""/"",TEXT(AB16*100, ""00""),"") "", UNIQUE(FILTER (T:T,S:S=A16&amp;D16)), H16,"";"", CHAR(10)))"),"")</f>
        <v/>
      </c>
      <c r="S16" s="64" t="str">
        <f t="shared" si="1"/>
        <v/>
      </c>
      <c r="T16" s="64" t="str">
        <f t="shared" si="2"/>
        <v>[]</v>
      </c>
      <c r="U16" s="83">
        <f t="shared" si="3"/>
        <v>0</v>
      </c>
      <c r="V16" s="83">
        <f t="shared" si="4"/>
        <v>0</v>
      </c>
      <c r="W16" s="97" t="str">
        <f>IFERROR(__xludf.DUMMYFUNCTION("IFNA(FILTER(AdminOnly!$B:$B,AdminOnly!$A:$A=P16),0)"),"#REF!")</f>
        <v>#REF!</v>
      </c>
      <c r="X16" s="101">
        <f>IFERROR(__xludf.DUMMYFUNCTION("IFNA(FILTER(AdminOnly!$F$2:$F$10,AdminOnly!$E$2:$E$10=Q16),0)"),0.0)</f>
        <v>0</v>
      </c>
      <c r="Y16" s="105">
        <f>IFERROR(__xludf.DUMMYFUNCTION("IFNA(FILTER(AdminOnly!$K$2:$K$10,AdminOnly!$H$2:$H$10=J16),0)"),0.0)</f>
        <v>0</v>
      </c>
      <c r="Z16" s="107">
        <f>IFERROR(__xludf.DUMMYFUNCTION("IFNA(FILTER(AdminOnly!$N$2:$N$20,AdminOnly!$M$2:$M$20=K16),0)"),0.0)</f>
        <v>0</v>
      </c>
      <c r="AA16" s="97">
        <f t="shared" si="5"/>
        <v>0</v>
      </c>
      <c r="AB16" s="97" t="str">
        <f>IFERROR(__xludf.DUMMYFUNCTION("MAX(FILTER ( AA:AA,S:S=A16&amp;D16))"),"#REF!")</f>
        <v>#REF!</v>
      </c>
      <c r="AC16" s="97">
        <f t="shared" si="6"/>
        <v>0</v>
      </c>
      <c r="AD16" s="97" t="str">
        <f>IFERROR(__xludf.DUMMYFUNCTION("MAX(FILTER ( AC:AC,S:S=A16&amp;D16))"),"#REF!")</f>
        <v>#REF!</v>
      </c>
      <c r="AE16" s="110"/>
      <c r="AF16" s="110"/>
      <c r="AG16" s="111"/>
      <c r="AH16" s="112"/>
      <c r="AI16" s="113"/>
      <c r="AJ16" s="114"/>
      <c r="AK16" s="111"/>
      <c r="AL16" s="111"/>
      <c r="AM16" s="111"/>
      <c r="AN16" s="111"/>
      <c r="AO16" s="110"/>
      <c r="AP16" s="115"/>
      <c r="AQ16" s="116"/>
      <c r="AR16" s="116"/>
      <c r="AS16" s="116"/>
    </row>
    <row r="17">
      <c r="A17" s="52"/>
      <c r="B17" s="60"/>
      <c r="C17" s="55"/>
      <c r="D17" s="60"/>
      <c r="E17" s="60"/>
      <c r="F17" s="55"/>
      <c r="G17" s="78"/>
      <c r="H17" s="78"/>
      <c r="I17" s="60"/>
      <c r="J17" s="117"/>
      <c r="K17" s="118"/>
      <c r="L17" s="55"/>
      <c r="M17" s="60"/>
      <c r="N17" s="55"/>
      <c r="O17" s="31" t="str">
        <f>IFERROR(__xludf.DUMMYFUNCTION("IFNA(UNIQUE(FILTER(References!$B:$B,References!A:A=I17)), ""#Error: Reference ID"")"),"")</f>
        <v/>
      </c>
      <c r="P17" s="59" t="str">
        <f>IFERROR(__xludf.DUMMYFUNCTION("IFNA(UNIQUE(FILTER(References!$J:$J,References!A:A=I17)), ""#Error: Reference ID"")"),"")</f>
        <v/>
      </c>
      <c r="Q17" s="62" t="str">
        <f>IFERROR(__xludf.DUMMYFUNCTION("IFNA(UNIQUE(FILTER(References!$F:$F,References!A:A=I17)), ""#Error: Reference ID"")"),"")</f>
        <v/>
      </c>
      <c r="R17" s="64" t="str">
        <f>IFERROR(__xludf.DUMMYFUNCTION("IF(LEN(A17)+LEN(D17)=0, """", CONCATENATE(D17, ,"" ("", TEXT(AD17*100, ""00""),""/"",TEXT(AB17*100, ""00""),"") "", UNIQUE(FILTER (T:T,S:S=A17&amp;D17)), H17,"";"", CHAR(10)))"),"")</f>
        <v/>
      </c>
      <c r="S17" s="64" t="str">
        <f t="shared" si="1"/>
        <v/>
      </c>
      <c r="T17" s="64" t="str">
        <f t="shared" si="2"/>
        <v>[]</v>
      </c>
      <c r="U17" s="83">
        <f t="shared" si="3"/>
        <v>0</v>
      </c>
      <c r="V17" s="83">
        <f t="shared" si="4"/>
        <v>0</v>
      </c>
      <c r="W17" s="97" t="str">
        <f>IFERROR(__xludf.DUMMYFUNCTION("IFNA(FILTER(AdminOnly!$B:$B,AdminOnly!$A:$A=P17),0)"),"#REF!")</f>
        <v>#REF!</v>
      </c>
      <c r="X17" s="101">
        <f>IFERROR(__xludf.DUMMYFUNCTION("IFNA(FILTER(AdminOnly!$F$2:$F$10,AdminOnly!$E$2:$E$10=Q17),0)"),0.0)</f>
        <v>0</v>
      </c>
      <c r="Y17" s="105">
        <f>IFERROR(__xludf.DUMMYFUNCTION("IFNA(FILTER(AdminOnly!$K$2:$K$10,AdminOnly!$H$2:$H$10=J17),0)"),0.0)</f>
        <v>0</v>
      </c>
      <c r="Z17" s="107">
        <f>IFERROR(__xludf.DUMMYFUNCTION("IFNA(FILTER(AdminOnly!$N$2:$N$20,AdminOnly!$M$2:$M$20=K17),0)"),0.0)</f>
        <v>0</v>
      </c>
      <c r="AA17" s="97">
        <f t="shared" si="5"/>
        <v>0</v>
      </c>
      <c r="AB17" s="97" t="str">
        <f>IFERROR(__xludf.DUMMYFUNCTION("MAX(FILTER ( AA:AA,S:S=A17&amp;D17))"),"#REF!")</f>
        <v>#REF!</v>
      </c>
      <c r="AC17" s="97">
        <f t="shared" si="6"/>
        <v>0</v>
      </c>
      <c r="AD17" s="97" t="str">
        <f>IFERROR(__xludf.DUMMYFUNCTION("MAX(FILTER ( AC:AC,S:S=A17&amp;D17))"),"#REF!")</f>
        <v>#REF!</v>
      </c>
      <c r="AE17" s="110"/>
      <c r="AF17" s="110"/>
      <c r="AG17" s="111"/>
      <c r="AH17" s="112"/>
      <c r="AI17" s="113"/>
      <c r="AJ17" s="114"/>
      <c r="AK17" s="111"/>
      <c r="AL17" s="111"/>
      <c r="AM17" s="111"/>
      <c r="AN17" s="111"/>
      <c r="AO17" s="110"/>
      <c r="AP17" s="115"/>
      <c r="AQ17" s="116"/>
      <c r="AR17" s="116"/>
      <c r="AS17" s="116"/>
    </row>
    <row r="18">
      <c r="A18" s="52"/>
      <c r="B18" s="60"/>
      <c r="C18" s="55"/>
      <c r="D18" s="60"/>
      <c r="E18" s="60"/>
      <c r="F18" s="55"/>
      <c r="G18" s="78"/>
      <c r="H18" s="78"/>
      <c r="I18" s="60"/>
      <c r="J18" s="117"/>
      <c r="K18" s="118"/>
      <c r="L18" s="55"/>
      <c r="M18" s="60"/>
      <c r="N18" s="55"/>
      <c r="O18" s="31" t="str">
        <f>IFERROR(__xludf.DUMMYFUNCTION("IFNA(UNIQUE(FILTER(References!$B:$B,References!A:A=I18)), ""#Error: Reference ID"")"),"")</f>
        <v/>
      </c>
      <c r="P18" s="59" t="str">
        <f>IFERROR(__xludf.DUMMYFUNCTION("IFNA(UNIQUE(FILTER(References!$J:$J,References!A:A=I18)), ""#Error: Reference ID"")"),"")</f>
        <v/>
      </c>
      <c r="Q18" s="62" t="str">
        <f>IFERROR(__xludf.DUMMYFUNCTION("IFNA(UNIQUE(FILTER(References!$F:$F,References!A:A=I18)), ""#Error: Reference ID"")"),"")</f>
        <v/>
      </c>
      <c r="R18" s="64" t="str">
        <f>IFERROR(__xludf.DUMMYFUNCTION("IF(LEN(A18)+LEN(D18)=0, """", CONCATENATE(D18, ,"" ("", TEXT(AD18*100, ""00""),""/"",TEXT(AB18*100, ""00""),"") "", UNIQUE(FILTER (T:T,S:S=A18&amp;D18)), H18,"";"", CHAR(10)))"),"")</f>
        <v/>
      </c>
      <c r="S18" s="64" t="str">
        <f t="shared" si="1"/>
        <v/>
      </c>
      <c r="T18" s="64" t="str">
        <f t="shared" si="2"/>
        <v>[]</v>
      </c>
      <c r="U18" s="83">
        <f t="shared" si="3"/>
        <v>0</v>
      </c>
      <c r="V18" s="83">
        <f t="shared" si="4"/>
        <v>0</v>
      </c>
      <c r="W18" s="97" t="str">
        <f>IFERROR(__xludf.DUMMYFUNCTION("IFNA(FILTER(AdminOnly!$B:$B,AdminOnly!$A:$A=P18),0)"),"#REF!")</f>
        <v>#REF!</v>
      </c>
      <c r="X18" s="101">
        <f>IFERROR(__xludf.DUMMYFUNCTION("IFNA(FILTER(AdminOnly!$F$2:$F$10,AdminOnly!$E$2:$E$10=Q18),0)"),0.0)</f>
        <v>0</v>
      </c>
      <c r="Y18" s="105">
        <f>IFERROR(__xludf.DUMMYFUNCTION("IFNA(FILTER(AdminOnly!$K$2:$K$10,AdminOnly!$H$2:$H$10=J18),0)"),0.0)</f>
        <v>0</v>
      </c>
      <c r="Z18" s="107">
        <f>IFERROR(__xludf.DUMMYFUNCTION("IFNA(FILTER(AdminOnly!$N$2:$N$20,AdminOnly!$M$2:$M$20=K18),0)"),0.0)</f>
        <v>0</v>
      </c>
      <c r="AA18" s="97">
        <f t="shared" si="5"/>
        <v>0</v>
      </c>
      <c r="AB18" s="97" t="str">
        <f>IFERROR(__xludf.DUMMYFUNCTION("MAX(FILTER ( AA:AA,S:S=A18&amp;D18))"),"#REF!")</f>
        <v>#REF!</v>
      </c>
      <c r="AC18" s="97">
        <f t="shared" si="6"/>
        <v>0</v>
      </c>
      <c r="AD18" s="97" t="str">
        <f>IFERROR(__xludf.DUMMYFUNCTION("MAX(FILTER ( AC:AC,S:S=A18&amp;D18))"),"#REF!")</f>
        <v>#REF!</v>
      </c>
      <c r="AE18" s="110"/>
      <c r="AF18" s="110"/>
      <c r="AG18" s="111"/>
      <c r="AH18" s="112"/>
      <c r="AI18" s="113"/>
      <c r="AJ18" s="114"/>
      <c r="AK18" s="111"/>
      <c r="AL18" s="111"/>
      <c r="AM18" s="111"/>
      <c r="AN18" s="111"/>
      <c r="AO18" s="110"/>
      <c r="AP18" s="115"/>
      <c r="AQ18" s="116"/>
      <c r="AR18" s="116"/>
      <c r="AS18" s="116"/>
    </row>
    <row r="19">
      <c r="A19" s="52"/>
      <c r="B19" s="60"/>
      <c r="C19" s="55"/>
      <c r="D19" s="60"/>
      <c r="E19" s="60"/>
      <c r="F19" s="55"/>
      <c r="G19" s="78"/>
      <c r="H19" s="78"/>
      <c r="I19" s="60"/>
      <c r="J19" s="117"/>
      <c r="K19" s="118"/>
      <c r="L19" s="55"/>
      <c r="M19" s="60"/>
      <c r="N19" s="55"/>
      <c r="O19" s="31" t="str">
        <f>IFERROR(__xludf.DUMMYFUNCTION("IFNA(UNIQUE(FILTER(References!$B:$B,References!A:A=I19)), ""#Error: Reference ID"")"),"")</f>
        <v/>
      </c>
      <c r="P19" s="59" t="str">
        <f>IFERROR(__xludf.DUMMYFUNCTION("IFNA(UNIQUE(FILTER(References!$J:$J,References!A:A=I19)), ""#Error: Reference ID"")"),"")</f>
        <v/>
      </c>
      <c r="Q19" s="62" t="str">
        <f>IFERROR(__xludf.DUMMYFUNCTION("IFNA(UNIQUE(FILTER(References!$F:$F,References!A:A=I19)), ""#Error: Reference ID"")"),"")</f>
        <v/>
      </c>
      <c r="R19" s="64" t="str">
        <f>IFERROR(__xludf.DUMMYFUNCTION("IF(LEN(A19)+LEN(D19)=0, """", CONCATENATE(D19, ,"" ("", TEXT(AD19*100, ""00""),""/"",TEXT(AB19*100, ""00""),"") "", UNIQUE(FILTER (T:T,S:S=A19&amp;D19)), H19,"";"", CHAR(10)))"),"")</f>
        <v/>
      </c>
      <c r="S19" s="64" t="str">
        <f t="shared" si="1"/>
        <v/>
      </c>
      <c r="T19" s="64" t="str">
        <f t="shared" si="2"/>
        <v>[]</v>
      </c>
      <c r="U19" s="83">
        <f t="shared" si="3"/>
        <v>0</v>
      </c>
      <c r="V19" s="83">
        <f t="shared" si="4"/>
        <v>0</v>
      </c>
      <c r="W19" s="97" t="str">
        <f>IFERROR(__xludf.DUMMYFUNCTION("IFNA(FILTER(AdminOnly!$B:$B,AdminOnly!$A:$A=P19),0)"),"#REF!")</f>
        <v>#REF!</v>
      </c>
      <c r="X19" s="101">
        <f>IFERROR(__xludf.DUMMYFUNCTION("IFNA(FILTER(AdminOnly!$F$2:$F$10,AdminOnly!$E$2:$E$10=Q19),0)"),0.0)</f>
        <v>0</v>
      </c>
      <c r="Y19" s="105">
        <f>IFERROR(__xludf.DUMMYFUNCTION("IFNA(FILTER(AdminOnly!$K$2:$K$10,AdminOnly!$H$2:$H$10=J19),0)"),0.0)</f>
        <v>0</v>
      </c>
      <c r="Z19" s="107">
        <f>IFERROR(__xludf.DUMMYFUNCTION("IFNA(FILTER(AdminOnly!$N$2:$N$20,AdminOnly!$M$2:$M$20=K19),0)"),0.0)</f>
        <v>0</v>
      </c>
      <c r="AA19" s="97">
        <f t="shared" si="5"/>
        <v>0</v>
      </c>
      <c r="AB19" s="97" t="str">
        <f>IFERROR(__xludf.DUMMYFUNCTION("MAX(FILTER ( AA:AA,S:S=A19&amp;D19))"),"#REF!")</f>
        <v>#REF!</v>
      </c>
      <c r="AC19" s="97">
        <f t="shared" si="6"/>
        <v>0</v>
      </c>
      <c r="AD19" s="97" t="str">
        <f>IFERROR(__xludf.DUMMYFUNCTION("MAX(FILTER ( AC:AC,S:S=A19&amp;D19))"),"#REF!")</f>
        <v>#REF!</v>
      </c>
      <c r="AE19" s="110"/>
      <c r="AF19" s="110"/>
      <c r="AG19" s="111"/>
      <c r="AH19" s="112"/>
      <c r="AI19" s="113"/>
      <c r="AJ19" s="114"/>
      <c r="AK19" s="111"/>
      <c r="AL19" s="111"/>
      <c r="AM19" s="111"/>
      <c r="AN19" s="111"/>
      <c r="AO19" s="110"/>
      <c r="AP19" s="115"/>
      <c r="AQ19" s="116"/>
      <c r="AR19" s="116"/>
      <c r="AS19" s="116"/>
    </row>
    <row r="20">
      <c r="A20" s="52"/>
      <c r="B20" s="60"/>
      <c r="C20" s="55"/>
      <c r="D20" s="60"/>
      <c r="E20" s="60"/>
      <c r="F20" s="55"/>
      <c r="G20" s="78"/>
      <c r="H20" s="78"/>
      <c r="I20" s="60"/>
      <c r="J20" s="117"/>
      <c r="K20" s="118"/>
      <c r="L20" s="55"/>
      <c r="M20" s="60"/>
      <c r="N20" s="55"/>
      <c r="O20" s="31" t="str">
        <f>IFERROR(__xludf.DUMMYFUNCTION("IFNA(UNIQUE(FILTER(References!$B:$B,References!A:A=I20)), ""#Error: Reference ID"")"),"")</f>
        <v/>
      </c>
      <c r="P20" s="59" t="str">
        <f>IFERROR(__xludf.DUMMYFUNCTION("IFNA(UNIQUE(FILTER(References!$J:$J,References!A:A=I20)), ""#Error: Reference ID"")"),"")</f>
        <v/>
      </c>
      <c r="Q20" s="62" t="str">
        <f>IFERROR(__xludf.DUMMYFUNCTION("IFNA(UNIQUE(FILTER(References!$F:$F,References!A:A=I20)), ""#Error: Reference ID"")"),"")</f>
        <v/>
      </c>
      <c r="R20" s="64" t="str">
        <f>IFERROR(__xludf.DUMMYFUNCTION("IF(LEN(A20)+LEN(D20)=0, """", CONCATENATE(D20, ,"" ("", TEXT(AD20*100, ""00""),""/"",TEXT(AB20*100, ""00""),"") "", UNIQUE(FILTER (T:T,S:S=A20&amp;D20)), H20,"";"", CHAR(10)))"),"")</f>
        <v/>
      </c>
      <c r="S20" s="64" t="str">
        <f t="shared" si="1"/>
        <v/>
      </c>
      <c r="T20" s="64" t="str">
        <f t="shared" si="2"/>
        <v>[]</v>
      </c>
      <c r="U20" s="83">
        <f t="shared" si="3"/>
        <v>0</v>
      </c>
      <c r="V20" s="83">
        <f t="shared" si="4"/>
        <v>0</v>
      </c>
      <c r="W20" s="97" t="str">
        <f>IFERROR(__xludf.DUMMYFUNCTION("IFNA(FILTER(AdminOnly!$B:$B,AdminOnly!$A:$A=P20),0)"),"#REF!")</f>
        <v>#REF!</v>
      </c>
      <c r="X20" s="101">
        <f>IFERROR(__xludf.DUMMYFUNCTION("IFNA(FILTER(AdminOnly!$F$2:$F$10,AdminOnly!$E$2:$E$10=Q20),0)"),0.0)</f>
        <v>0</v>
      </c>
      <c r="Y20" s="105">
        <f>IFERROR(__xludf.DUMMYFUNCTION("IFNA(FILTER(AdminOnly!$K$2:$K$10,AdminOnly!$H$2:$H$10=J20),0)"),0.0)</f>
        <v>0</v>
      </c>
      <c r="Z20" s="107">
        <f>IFERROR(__xludf.DUMMYFUNCTION("IFNA(FILTER(AdminOnly!$N$2:$N$20,AdminOnly!$M$2:$M$20=K20),0)"),0.0)</f>
        <v>0</v>
      </c>
      <c r="AA20" s="97">
        <f t="shared" si="5"/>
        <v>0</v>
      </c>
      <c r="AB20" s="97" t="str">
        <f>IFERROR(__xludf.DUMMYFUNCTION("MAX(FILTER ( AA:AA,S:S=A20&amp;D20))"),"#REF!")</f>
        <v>#REF!</v>
      </c>
      <c r="AC20" s="97">
        <f t="shared" si="6"/>
        <v>0</v>
      </c>
      <c r="AD20" s="97" t="str">
        <f>IFERROR(__xludf.DUMMYFUNCTION("MAX(FILTER ( AC:AC,S:S=A20&amp;D20))"),"#REF!")</f>
        <v>#REF!</v>
      </c>
      <c r="AE20" s="110"/>
      <c r="AF20" s="110"/>
      <c r="AG20" s="111"/>
      <c r="AH20" s="112"/>
      <c r="AI20" s="113"/>
      <c r="AJ20" s="114"/>
      <c r="AK20" s="111"/>
      <c r="AL20" s="111"/>
      <c r="AM20" s="111"/>
      <c r="AN20" s="111"/>
      <c r="AO20" s="110"/>
      <c r="AP20" s="115"/>
      <c r="AQ20" s="116"/>
      <c r="AR20" s="116"/>
      <c r="AS20" s="116"/>
    </row>
    <row r="21">
      <c r="A21" s="52"/>
      <c r="B21" s="60"/>
      <c r="C21" s="55"/>
      <c r="D21" s="60"/>
      <c r="E21" s="60"/>
      <c r="F21" s="55"/>
      <c r="G21" s="78"/>
      <c r="H21" s="78"/>
      <c r="I21" s="60"/>
      <c r="J21" s="117"/>
      <c r="K21" s="118"/>
      <c r="L21" s="55"/>
      <c r="M21" s="60"/>
      <c r="N21" s="55"/>
      <c r="O21" s="31" t="str">
        <f>IFERROR(__xludf.DUMMYFUNCTION("IFNA(UNIQUE(FILTER(References!$B:$B,References!A:A=I21)), ""#Error: Reference ID"")"),"")</f>
        <v/>
      </c>
      <c r="P21" s="59" t="str">
        <f>IFERROR(__xludf.DUMMYFUNCTION("IFNA(UNIQUE(FILTER(References!$J:$J,References!A:A=I21)), ""#Error: Reference ID"")"),"")</f>
        <v/>
      </c>
      <c r="Q21" s="62" t="str">
        <f>IFERROR(__xludf.DUMMYFUNCTION("IFNA(UNIQUE(FILTER(References!$F:$F,References!A:A=I21)), ""#Error: Reference ID"")"),"")</f>
        <v/>
      </c>
      <c r="R21" s="64" t="str">
        <f>IFERROR(__xludf.DUMMYFUNCTION("IF(LEN(A21)+LEN(D21)=0, """", CONCATENATE(D21, ,"" ("", TEXT(AD21*100, ""00""),""/"",TEXT(AB21*100, ""00""),"") "", UNIQUE(FILTER (T:T,S:S=A21&amp;D21)), H21,"";"", CHAR(10)))"),"")</f>
        <v/>
      </c>
      <c r="S21" s="64" t="str">
        <f t="shared" si="1"/>
        <v/>
      </c>
      <c r="T21" s="64" t="str">
        <f t="shared" si="2"/>
        <v>[]</v>
      </c>
      <c r="U21" s="83">
        <f t="shared" si="3"/>
        <v>0</v>
      </c>
      <c r="V21" s="83">
        <f t="shared" si="4"/>
        <v>0</v>
      </c>
      <c r="W21" s="97" t="str">
        <f>IFERROR(__xludf.DUMMYFUNCTION("IFNA(FILTER(AdminOnly!$B:$B,AdminOnly!$A:$A=P21),0)"),"#REF!")</f>
        <v>#REF!</v>
      </c>
      <c r="X21" s="101">
        <f>IFERROR(__xludf.DUMMYFUNCTION("IFNA(FILTER(AdminOnly!$F$2:$F$10,AdminOnly!$E$2:$E$10=Q21),0)"),0.0)</f>
        <v>0</v>
      </c>
      <c r="Y21" s="105">
        <f>IFERROR(__xludf.DUMMYFUNCTION("IFNA(FILTER(AdminOnly!$K$2:$K$10,AdminOnly!$H$2:$H$10=J21),0)"),0.0)</f>
        <v>0</v>
      </c>
      <c r="Z21" s="107">
        <f>IFERROR(__xludf.DUMMYFUNCTION("IFNA(FILTER(AdminOnly!$N$2:$N$20,AdminOnly!$M$2:$M$20=K21),0)"),0.0)</f>
        <v>0</v>
      </c>
      <c r="AA21" s="97">
        <f t="shared" si="5"/>
        <v>0</v>
      </c>
      <c r="AB21" s="97" t="str">
        <f>IFERROR(__xludf.DUMMYFUNCTION("MAX(FILTER ( AA:AA,S:S=A21&amp;D21))"),"#REF!")</f>
        <v>#REF!</v>
      </c>
      <c r="AC21" s="97">
        <f t="shared" si="6"/>
        <v>0</v>
      </c>
      <c r="AD21" s="97" t="str">
        <f>IFERROR(__xludf.DUMMYFUNCTION("MAX(FILTER ( AC:AC,S:S=A21&amp;D21))"),"#REF!")</f>
        <v>#REF!</v>
      </c>
      <c r="AE21" s="110"/>
      <c r="AF21" s="110"/>
      <c r="AG21" s="111"/>
      <c r="AH21" s="112"/>
      <c r="AI21" s="113"/>
      <c r="AJ21" s="114"/>
      <c r="AK21" s="111"/>
      <c r="AL21" s="111"/>
      <c r="AM21" s="111"/>
      <c r="AN21" s="111"/>
      <c r="AO21" s="110"/>
      <c r="AP21" s="115"/>
      <c r="AQ21" s="116"/>
      <c r="AR21" s="116"/>
      <c r="AS21" s="116"/>
    </row>
    <row r="22">
      <c r="A22" s="52"/>
      <c r="B22" s="60"/>
      <c r="C22" s="55"/>
      <c r="D22" s="60"/>
      <c r="E22" s="60"/>
      <c r="F22" s="55"/>
      <c r="G22" s="78"/>
      <c r="H22" s="78"/>
      <c r="I22" s="60"/>
      <c r="J22" s="117"/>
      <c r="K22" s="118"/>
      <c r="L22" s="55"/>
      <c r="M22" s="60"/>
      <c r="N22" s="55"/>
      <c r="O22" s="31" t="str">
        <f>IFERROR(__xludf.DUMMYFUNCTION("IFNA(UNIQUE(FILTER(References!$B:$B,References!A:A=I22)), ""#Error: Reference ID"")"),"")</f>
        <v/>
      </c>
      <c r="P22" s="59" t="str">
        <f>IFERROR(__xludf.DUMMYFUNCTION("IFNA(UNIQUE(FILTER(References!$J:$J,References!A:A=I22)), ""#Error: Reference ID"")"),"")</f>
        <v/>
      </c>
      <c r="Q22" s="62" t="str">
        <f>IFERROR(__xludf.DUMMYFUNCTION("IFNA(UNIQUE(FILTER(References!$F:$F,References!A:A=I22)), ""#Error: Reference ID"")"),"")</f>
        <v/>
      </c>
      <c r="R22" s="64" t="str">
        <f>IFERROR(__xludf.DUMMYFUNCTION("IF(LEN(A22)+LEN(D22)=0, """", CONCATENATE(D22, ,"" ("", TEXT(AD22*100, ""00""),""/"",TEXT(AB22*100, ""00""),"") "", UNIQUE(FILTER (T:T,S:S=A22&amp;D22)), H22,"";"", CHAR(10)))"),"")</f>
        <v/>
      </c>
      <c r="S22" s="64" t="str">
        <f t="shared" si="1"/>
        <v/>
      </c>
      <c r="T22" s="64" t="str">
        <f t="shared" si="2"/>
        <v>[]</v>
      </c>
      <c r="U22" s="83">
        <f t="shared" si="3"/>
        <v>0</v>
      </c>
      <c r="V22" s="83">
        <f t="shared" si="4"/>
        <v>0</v>
      </c>
      <c r="W22" s="97" t="str">
        <f>IFERROR(__xludf.DUMMYFUNCTION("IFNA(FILTER(AdminOnly!$B:$B,AdminOnly!$A:$A=P22),0)"),"#REF!")</f>
        <v>#REF!</v>
      </c>
      <c r="X22" s="101">
        <f>IFERROR(__xludf.DUMMYFUNCTION("IFNA(FILTER(AdminOnly!$F$2:$F$10,AdminOnly!$E$2:$E$10=Q22),0)"),0.0)</f>
        <v>0</v>
      </c>
      <c r="Y22" s="105">
        <f>IFERROR(__xludf.DUMMYFUNCTION("IFNA(FILTER(AdminOnly!$K$2:$K$10,AdminOnly!$H$2:$H$10=J22),0)"),0.0)</f>
        <v>0</v>
      </c>
      <c r="Z22" s="107">
        <f>IFERROR(__xludf.DUMMYFUNCTION("IFNA(FILTER(AdminOnly!$N$2:$N$20,AdminOnly!$M$2:$M$20=K22),0)"),0.0)</f>
        <v>0</v>
      </c>
      <c r="AA22" s="97">
        <f t="shared" si="5"/>
        <v>0</v>
      </c>
      <c r="AB22" s="97" t="str">
        <f>IFERROR(__xludf.DUMMYFUNCTION("MAX(FILTER ( AA:AA,S:S=A22&amp;D22))"),"#REF!")</f>
        <v>#REF!</v>
      </c>
      <c r="AC22" s="97">
        <f t="shared" si="6"/>
        <v>0</v>
      </c>
      <c r="AD22" s="97" t="str">
        <f>IFERROR(__xludf.DUMMYFUNCTION("MAX(FILTER ( AC:AC,S:S=A22&amp;D22))"),"#REF!")</f>
        <v>#REF!</v>
      </c>
      <c r="AE22" s="110"/>
      <c r="AF22" s="110"/>
      <c r="AG22" s="111"/>
      <c r="AH22" s="112"/>
      <c r="AI22" s="113"/>
      <c r="AJ22" s="114"/>
      <c r="AK22" s="111"/>
      <c r="AL22" s="111"/>
      <c r="AM22" s="111"/>
      <c r="AN22" s="111"/>
      <c r="AO22" s="110"/>
      <c r="AP22" s="115"/>
      <c r="AQ22" s="116"/>
      <c r="AR22" s="116"/>
      <c r="AS22" s="116"/>
    </row>
    <row r="23">
      <c r="A23" s="52"/>
      <c r="B23" s="60"/>
      <c r="C23" s="55"/>
      <c r="D23" s="60"/>
      <c r="E23" s="60"/>
      <c r="F23" s="55"/>
      <c r="G23" s="78"/>
      <c r="H23" s="78"/>
      <c r="I23" s="60"/>
      <c r="J23" s="117"/>
      <c r="K23" s="118"/>
      <c r="L23" s="55"/>
      <c r="M23" s="60"/>
      <c r="N23" s="55"/>
      <c r="O23" s="31" t="str">
        <f>IFERROR(__xludf.DUMMYFUNCTION("IFNA(UNIQUE(FILTER(References!$B:$B,References!A:A=I23)), ""#Error: Reference ID"")"),"")</f>
        <v/>
      </c>
      <c r="P23" s="59" t="str">
        <f>IFERROR(__xludf.DUMMYFUNCTION("IFNA(UNIQUE(FILTER(References!$J:$J,References!A:A=I23)), ""#Error: Reference ID"")"),"")</f>
        <v/>
      </c>
      <c r="Q23" s="62" t="str">
        <f>IFERROR(__xludf.DUMMYFUNCTION("IFNA(UNIQUE(FILTER(References!$F:$F,References!A:A=I23)), ""#Error: Reference ID"")"),"")</f>
        <v/>
      </c>
      <c r="R23" s="64" t="str">
        <f>IFERROR(__xludf.DUMMYFUNCTION("IF(LEN(A23)+LEN(D23)=0, """", CONCATENATE(D23, ,"" ("", TEXT(AD23*100, ""00""),""/"",TEXT(AB23*100, ""00""),"") "", UNIQUE(FILTER (T:T,S:S=A23&amp;D23)), H23,"";"", CHAR(10)))"),"")</f>
        <v/>
      </c>
      <c r="S23" s="64" t="str">
        <f t="shared" si="1"/>
        <v/>
      </c>
      <c r="T23" s="64" t="str">
        <f t="shared" si="2"/>
        <v>[]</v>
      </c>
      <c r="U23" s="83">
        <f t="shared" si="3"/>
        <v>0</v>
      </c>
      <c r="V23" s="83">
        <f t="shared" si="4"/>
        <v>0</v>
      </c>
      <c r="W23" s="97" t="str">
        <f>IFERROR(__xludf.DUMMYFUNCTION("IFNA(FILTER(AdminOnly!$B:$B,AdminOnly!$A:$A=P23),0)"),"#REF!")</f>
        <v>#REF!</v>
      </c>
      <c r="X23" s="101">
        <f>IFERROR(__xludf.DUMMYFUNCTION("IFNA(FILTER(AdminOnly!$F$2:$F$10,AdminOnly!$E$2:$E$10=Q23),0)"),0.0)</f>
        <v>0</v>
      </c>
      <c r="Y23" s="105">
        <f>IFERROR(__xludf.DUMMYFUNCTION("IFNA(FILTER(AdminOnly!$K$2:$K$10,AdminOnly!$H$2:$H$10=J23),0)"),0.0)</f>
        <v>0</v>
      </c>
      <c r="Z23" s="107">
        <f>IFERROR(__xludf.DUMMYFUNCTION("IFNA(FILTER(AdminOnly!$N$2:$N$20,AdminOnly!$M$2:$M$20=K23),0)"),0.0)</f>
        <v>0</v>
      </c>
      <c r="AA23" s="97">
        <f t="shared" si="5"/>
        <v>0</v>
      </c>
      <c r="AB23" s="97" t="str">
        <f>IFERROR(__xludf.DUMMYFUNCTION("MAX(FILTER ( AA:AA,S:S=A23&amp;D23))"),"#REF!")</f>
        <v>#REF!</v>
      </c>
      <c r="AC23" s="97">
        <f t="shared" si="6"/>
        <v>0</v>
      </c>
      <c r="AD23" s="97" t="str">
        <f>IFERROR(__xludf.DUMMYFUNCTION("MAX(FILTER ( AC:AC,S:S=A23&amp;D23))"),"#REF!")</f>
        <v>#REF!</v>
      </c>
      <c r="AE23" s="110"/>
      <c r="AF23" s="110"/>
      <c r="AG23" s="111"/>
      <c r="AH23" s="112"/>
      <c r="AI23" s="113"/>
      <c r="AJ23" s="114"/>
      <c r="AK23" s="111"/>
      <c r="AL23" s="111"/>
      <c r="AM23" s="111"/>
      <c r="AN23" s="111"/>
      <c r="AO23" s="110"/>
      <c r="AP23" s="115"/>
      <c r="AQ23" s="116"/>
      <c r="AR23" s="116"/>
      <c r="AS23" s="116"/>
    </row>
    <row r="24">
      <c r="A24" s="52"/>
      <c r="B24" s="60"/>
      <c r="C24" s="55"/>
      <c r="D24" s="60"/>
      <c r="E24" s="60"/>
      <c r="F24" s="55"/>
      <c r="G24" s="78"/>
      <c r="H24" s="78"/>
      <c r="I24" s="60"/>
      <c r="J24" s="117"/>
      <c r="K24" s="118"/>
      <c r="L24" s="55"/>
      <c r="M24" s="60"/>
      <c r="N24" s="55"/>
      <c r="O24" s="31" t="str">
        <f>IFERROR(__xludf.DUMMYFUNCTION("IFNA(UNIQUE(FILTER(References!$B:$B,References!A:A=I24)), ""#Error: Reference ID"")"),"")</f>
        <v/>
      </c>
      <c r="P24" s="59" t="str">
        <f>IFERROR(__xludf.DUMMYFUNCTION("IFNA(UNIQUE(FILTER(References!$J:$J,References!A:A=I24)), ""#Error: Reference ID"")"),"")</f>
        <v/>
      </c>
      <c r="Q24" s="62" t="str">
        <f>IFERROR(__xludf.DUMMYFUNCTION("IFNA(UNIQUE(FILTER(References!$F:$F,References!A:A=I24)), ""#Error: Reference ID"")"),"")</f>
        <v/>
      </c>
      <c r="R24" s="64" t="str">
        <f>IFERROR(__xludf.DUMMYFUNCTION("IF(LEN(A24)+LEN(D24)=0, """", CONCATENATE(D24, ,"" ("", TEXT(AD24*100, ""00""),""/"",TEXT(AB24*100, ""00""),"") "", UNIQUE(FILTER (T:T,S:S=A24&amp;D24)), H24,"";"", CHAR(10)))"),"")</f>
        <v/>
      </c>
      <c r="S24" s="64" t="str">
        <f t="shared" si="1"/>
        <v/>
      </c>
      <c r="T24" s="64" t="str">
        <f t="shared" si="2"/>
        <v>[]</v>
      </c>
      <c r="U24" s="83">
        <f t="shared" si="3"/>
        <v>0</v>
      </c>
      <c r="V24" s="83">
        <f t="shared" si="4"/>
        <v>0</v>
      </c>
      <c r="W24" s="97" t="str">
        <f>IFERROR(__xludf.DUMMYFUNCTION("IFNA(FILTER(AdminOnly!$B:$B,AdminOnly!$A:$A=P24),0)"),"#REF!")</f>
        <v>#REF!</v>
      </c>
      <c r="X24" s="101">
        <f>IFERROR(__xludf.DUMMYFUNCTION("IFNA(FILTER(AdminOnly!$F$2:$F$10,AdminOnly!$E$2:$E$10=Q24),0)"),0.0)</f>
        <v>0</v>
      </c>
      <c r="Y24" s="105">
        <f>IFERROR(__xludf.DUMMYFUNCTION("IFNA(FILTER(AdminOnly!$K$2:$K$10,AdminOnly!$H$2:$H$10=J24),0)"),0.0)</f>
        <v>0</v>
      </c>
      <c r="Z24" s="107">
        <f>IFERROR(__xludf.DUMMYFUNCTION("IFNA(FILTER(AdminOnly!$N$2:$N$20,AdminOnly!$M$2:$M$20=K24),0)"),0.0)</f>
        <v>0</v>
      </c>
      <c r="AA24" s="97">
        <f t="shared" si="5"/>
        <v>0</v>
      </c>
      <c r="AB24" s="97" t="str">
        <f>IFERROR(__xludf.DUMMYFUNCTION("MAX(FILTER ( AA:AA,S:S=A24&amp;D24))"),"#REF!")</f>
        <v>#REF!</v>
      </c>
      <c r="AC24" s="97">
        <f t="shared" si="6"/>
        <v>0</v>
      </c>
      <c r="AD24" s="97" t="str">
        <f>IFERROR(__xludf.DUMMYFUNCTION("MAX(FILTER ( AC:AC,S:S=A24&amp;D24))"),"#REF!")</f>
        <v>#REF!</v>
      </c>
      <c r="AE24" s="110"/>
      <c r="AF24" s="110"/>
      <c r="AG24" s="111"/>
      <c r="AH24" s="112"/>
      <c r="AI24" s="113"/>
      <c r="AJ24" s="114"/>
      <c r="AK24" s="111"/>
      <c r="AL24" s="111"/>
      <c r="AM24" s="111"/>
      <c r="AN24" s="111"/>
      <c r="AO24" s="110"/>
      <c r="AP24" s="115"/>
      <c r="AQ24" s="116"/>
      <c r="AR24" s="116"/>
      <c r="AS24" s="116"/>
    </row>
    <row r="25">
      <c r="A25" s="52"/>
      <c r="B25" s="60"/>
      <c r="C25" s="55"/>
      <c r="D25" s="60"/>
      <c r="E25" s="60"/>
      <c r="F25" s="55"/>
      <c r="G25" s="78"/>
      <c r="H25" s="78"/>
      <c r="I25" s="60"/>
      <c r="J25" s="117"/>
      <c r="K25" s="118"/>
      <c r="L25" s="55"/>
      <c r="M25" s="60"/>
      <c r="N25" s="55"/>
      <c r="O25" s="31" t="str">
        <f>IFERROR(__xludf.DUMMYFUNCTION("IFNA(UNIQUE(FILTER(References!$B:$B,References!A:A=I25)), ""#Error: Reference ID"")"),"")</f>
        <v/>
      </c>
      <c r="P25" s="59" t="str">
        <f>IFERROR(__xludf.DUMMYFUNCTION("IFNA(UNIQUE(FILTER(References!$J:$J,References!A:A=I25)), ""#Error: Reference ID"")"),"")</f>
        <v/>
      </c>
      <c r="Q25" s="62" t="str">
        <f>IFERROR(__xludf.DUMMYFUNCTION("IFNA(UNIQUE(FILTER(References!$F:$F,References!A:A=I25)), ""#Error: Reference ID"")"),"")</f>
        <v/>
      </c>
      <c r="R25" s="64" t="str">
        <f>IFERROR(__xludf.DUMMYFUNCTION("IF(LEN(A25)+LEN(D25)=0, """", CONCATENATE(D25, ,"" ("", TEXT(AD25*100, ""00""),""/"",TEXT(AB25*100, ""00""),"") "", UNIQUE(FILTER (T:T,S:S=A25&amp;D25)), H25,"";"", CHAR(10)))"),"")</f>
        <v/>
      </c>
      <c r="S25" s="64" t="str">
        <f t="shared" si="1"/>
        <v/>
      </c>
      <c r="T25" s="64" t="str">
        <f t="shared" si="2"/>
        <v>[]</v>
      </c>
      <c r="U25" s="83">
        <f t="shared" si="3"/>
        <v>0</v>
      </c>
      <c r="V25" s="83">
        <f t="shared" si="4"/>
        <v>0</v>
      </c>
      <c r="W25" s="97" t="str">
        <f>IFERROR(__xludf.DUMMYFUNCTION("IFNA(FILTER(AdminOnly!$B:$B,AdminOnly!$A:$A=P25),0)"),"#REF!")</f>
        <v>#REF!</v>
      </c>
      <c r="X25" s="101">
        <f>IFERROR(__xludf.DUMMYFUNCTION("IFNA(FILTER(AdminOnly!$F$2:$F$10,AdminOnly!$E$2:$E$10=Q25),0)"),0.0)</f>
        <v>0</v>
      </c>
      <c r="Y25" s="105">
        <f>IFERROR(__xludf.DUMMYFUNCTION("IFNA(FILTER(AdminOnly!$K$2:$K$10,AdminOnly!$H$2:$H$10=J25),0)"),0.0)</f>
        <v>0</v>
      </c>
      <c r="Z25" s="107">
        <f>IFERROR(__xludf.DUMMYFUNCTION("IFNA(FILTER(AdminOnly!$N$2:$N$20,AdminOnly!$M$2:$M$20=K25),0)"),0.0)</f>
        <v>0</v>
      </c>
      <c r="AA25" s="97">
        <f t="shared" si="5"/>
        <v>0</v>
      </c>
      <c r="AB25" s="97" t="str">
        <f>IFERROR(__xludf.DUMMYFUNCTION("MAX(FILTER ( AA:AA,S:S=A25&amp;D25))"),"#REF!")</f>
        <v>#REF!</v>
      </c>
      <c r="AC25" s="97">
        <f t="shared" si="6"/>
        <v>0</v>
      </c>
      <c r="AD25" s="97" t="str">
        <f>IFERROR(__xludf.DUMMYFUNCTION("MAX(FILTER ( AC:AC,S:S=A25&amp;D25))"),"#REF!")</f>
        <v>#REF!</v>
      </c>
      <c r="AE25" s="110"/>
      <c r="AF25" s="110"/>
      <c r="AG25" s="111"/>
      <c r="AH25" s="112"/>
      <c r="AI25" s="113"/>
      <c r="AJ25" s="114"/>
      <c r="AK25" s="111"/>
      <c r="AL25" s="111"/>
      <c r="AM25" s="111"/>
      <c r="AN25" s="111"/>
      <c r="AO25" s="110"/>
      <c r="AP25" s="115"/>
      <c r="AQ25" s="116"/>
      <c r="AR25" s="116"/>
      <c r="AS25" s="116"/>
    </row>
    <row r="26">
      <c r="A26" s="52"/>
      <c r="B26" s="60"/>
      <c r="C26" s="55"/>
      <c r="D26" s="60"/>
      <c r="E26" s="60"/>
      <c r="F26" s="55"/>
      <c r="G26" s="78"/>
      <c r="H26" s="78"/>
      <c r="I26" s="60"/>
      <c r="J26" s="117"/>
      <c r="K26" s="118"/>
      <c r="L26" s="55"/>
      <c r="M26" s="60"/>
      <c r="N26" s="55"/>
      <c r="O26" s="31" t="str">
        <f>IFERROR(__xludf.DUMMYFUNCTION("IFNA(UNIQUE(FILTER(References!$B:$B,References!A:A=I26)), ""#Error: Reference ID"")"),"")</f>
        <v/>
      </c>
      <c r="P26" s="59" t="str">
        <f>IFERROR(__xludf.DUMMYFUNCTION("IFNA(UNIQUE(FILTER(References!$J:$J,References!A:A=I26)), ""#Error: Reference ID"")"),"")</f>
        <v/>
      </c>
      <c r="Q26" s="62" t="str">
        <f>IFERROR(__xludf.DUMMYFUNCTION("IFNA(UNIQUE(FILTER(References!$F:$F,References!A:A=I26)), ""#Error: Reference ID"")"),"")</f>
        <v/>
      </c>
      <c r="R26" s="64" t="str">
        <f>IFERROR(__xludf.DUMMYFUNCTION("IF(LEN(A26)+LEN(D26)=0, """", CONCATENATE(D26, ,"" ("", TEXT(AD26*100, ""00""),""/"",TEXT(AB26*100, ""00""),"") "", UNIQUE(FILTER (T:T,S:S=A26&amp;D26)), H26,"";"", CHAR(10)))"),"")</f>
        <v/>
      </c>
      <c r="S26" s="64" t="str">
        <f t="shared" si="1"/>
        <v/>
      </c>
      <c r="T26" s="64" t="str">
        <f t="shared" si="2"/>
        <v>[]</v>
      </c>
      <c r="U26" s="83">
        <f t="shared" si="3"/>
        <v>0</v>
      </c>
      <c r="V26" s="83">
        <f t="shared" si="4"/>
        <v>0</v>
      </c>
      <c r="W26" s="97" t="str">
        <f>IFERROR(__xludf.DUMMYFUNCTION("IFNA(FILTER(AdminOnly!$B:$B,AdminOnly!$A:$A=P26),0)"),"#REF!")</f>
        <v>#REF!</v>
      </c>
      <c r="X26" s="101">
        <f>IFERROR(__xludf.DUMMYFUNCTION("IFNA(FILTER(AdminOnly!$F$2:$F$10,AdminOnly!$E$2:$E$10=Q26),0)"),0.0)</f>
        <v>0</v>
      </c>
      <c r="Y26" s="105">
        <f>IFERROR(__xludf.DUMMYFUNCTION("IFNA(FILTER(AdminOnly!$K$2:$K$10,AdminOnly!$H$2:$H$10=J26),0)"),0.0)</f>
        <v>0</v>
      </c>
      <c r="Z26" s="107">
        <f>IFERROR(__xludf.DUMMYFUNCTION("IFNA(FILTER(AdminOnly!$N$2:$N$20,AdminOnly!$M$2:$M$20=K26),0)"),0.0)</f>
        <v>0</v>
      </c>
      <c r="AA26" s="97">
        <f t="shared" si="5"/>
        <v>0</v>
      </c>
      <c r="AB26" s="97" t="str">
        <f>IFERROR(__xludf.DUMMYFUNCTION("MAX(FILTER ( AA:AA,S:S=A26&amp;D26))"),"#REF!")</f>
        <v>#REF!</v>
      </c>
      <c r="AC26" s="97">
        <f t="shared" si="6"/>
        <v>0</v>
      </c>
      <c r="AD26" s="97" t="str">
        <f>IFERROR(__xludf.DUMMYFUNCTION("MAX(FILTER ( AC:AC,S:S=A26&amp;D26))"),"#REF!")</f>
        <v>#REF!</v>
      </c>
      <c r="AE26" s="110"/>
      <c r="AF26" s="110"/>
      <c r="AG26" s="111"/>
      <c r="AH26" s="112"/>
      <c r="AI26" s="113"/>
      <c r="AJ26" s="114"/>
      <c r="AK26" s="111"/>
      <c r="AL26" s="111"/>
      <c r="AM26" s="111"/>
      <c r="AN26" s="111"/>
      <c r="AO26" s="110"/>
      <c r="AP26" s="115"/>
      <c r="AQ26" s="116"/>
      <c r="AR26" s="116"/>
      <c r="AS26" s="116"/>
    </row>
    <row r="27">
      <c r="A27" s="52"/>
      <c r="B27" s="60"/>
      <c r="C27" s="55"/>
      <c r="D27" s="60"/>
      <c r="E27" s="60"/>
      <c r="F27" s="55"/>
      <c r="G27" s="78"/>
      <c r="H27" s="78"/>
      <c r="I27" s="60"/>
      <c r="J27" s="117"/>
      <c r="K27" s="118"/>
      <c r="L27" s="55"/>
      <c r="M27" s="60"/>
      <c r="N27" s="55"/>
      <c r="O27" s="31" t="str">
        <f>IFERROR(__xludf.DUMMYFUNCTION("IFNA(UNIQUE(FILTER(References!$B:$B,References!A:A=I27)), ""#Error: Reference ID"")"),"")</f>
        <v/>
      </c>
      <c r="P27" s="59" t="str">
        <f>IFERROR(__xludf.DUMMYFUNCTION("IFNA(UNIQUE(FILTER(References!$J:$J,References!A:A=I27)), ""#Error: Reference ID"")"),"")</f>
        <v/>
      </c>
      <c r="Q27" s="62" t="str">
        <f>IFERROR(__xludf.DUMMYFUNCTION("IFNA(UNIQUE(FILTER(References!$F:$F,References!A:A=I27)), ""#Error: Reference ID"")"),"")</f>
        <v/>
      </c>
      <c r="R27" s="64" t="str">
        <f>IFERROR(__xludf.DUMMYFUNCTION("IF(LEN(A27)+LEN(D27)=0, """", CONCATENATE(D27, ,"" ("", TEXT(AD27*100, ""00""),""/"",TEXT(AB27*100, ""00""),"") "", UNIQUE(FILTER (T:T,S:S=A27&amp;D27)), H27,"";"", CHAR(10)))"),"")</f>
        <v/>
      </c>
      <c r="S27" s="64" t="str">
        <f t="shared" si="1"/>
        <v/>
      </c>
      <c r="T27" s="64" t="str">
        <f t="shared" si="2"/>
        <v>[]</v>
      </c>
      <c r="U27" s="83">
        <f t="shared" si="3"/>
        <v>0</v>
      </c>
      <c r="V27" s="83">
        <f t="shared" si="4"/>
        <v>0</v>
      </c>
      <c r="W27" s="97" t="str">
        <f>IFERROR(__xludf.DUMMYFUNCTION("IFNA(FILTER(AdminOnly!$B:$B,AdminOnly!$A:$A=P27),0)"),"#REF!")</f>
        <v>#REF!</v>
      </c>
      <c r="X27" s="101">
        <f>IFERROR(__xludf.DUMMYFUNCTION("IFNA(FILTER(AdminOnly!$F$2:$F$10,AdminOnly!$E$2:$E$10=Q27),0)"),0.0)</f>
        <v>0</v>
      </c>
      <c r="Y27" s="105">
        <f>IFERROR(__xludf.DUMMYFUNCTION("IFNA(FILTER(AdminOnly!$K$2:$K$10,AdminOnly!$H$2:$H$10=J27),0)"),0.0)</f>
        <v>0</v>
      </c>
      <c r="Z27" s="107">
        <f>IFERROR(__xludf.DUMMYFUNCTION("IFNA(FILTER(AdminOnly!$N$2:$N$20,AdminOnly!$M$2:$M$20=K27),0)"),0.0)</f>
        <v>0</v>
      </c>
      <c r="AA27" s="97">
        <f t="shared" si="5"/>
        <v>0</v>
      </c>
      <c r="AB27" s="97" t="str">
        <f>IFERROR(__xludf.DUMMYFUNCTION("MAX(FILTER ( AA:AA,S:S=A27&amp;D27))"),"#REF!")</f>
        <v>#REF!</v>
      </c>
      <c r="AC27" s="97">
        <f t="shared" si="6"/>
        <v>0</v>
      </c>
      <c r="AD27" s="97" t="str">
        <f>IFERROR(__xludf.DUMMYFUNCTION("MAX(FILTER ( AC:AC,S:S=A27&amp;D27))"),"#REF!")</f>
        <v>#REF!</v>
      </c>
      <c r="AE27" s="110"/>
      <c r="AF27" s="110"/>
      <c r="AG27" s="111"/>
      <c r="AH27" s="112"/>
      <c r="AI27" s="113"/>
      <c r="AJ27" s="114"/>
      <c r="AK27" s="111"/>
      <c r="AL27" s="111"/>
      <c r="AM27" s="111"/>
      <c r="AN27" s="111"/>
      <c r="AO27" s="110"/>
      <c r="AP27" s="115"/>
      <c r="AQ27" s="116"/>
      <c r="AR27" s="116"/>
      <c r="AS27" s="116"/>
    </row>
    <row r="28">
      <c r="A28" s="52"/>
      <c r="B28" s="60"/>
      <c r="C28" s="55"/>
      <c r="D28" s="60"/>
      <c r="E28" s="60"/>
      <c r="F28" s="55"/>
      <c r="G28" s="78"/>
      <c r="H28" s="78"/>
      <c r="I28" s="60"/>
      <c r="J28" s="117"/>
      <c r="K28" s="118"/>
      <c r="L28" s="55"/>
      <c r="M28" s="60"/>
      <c r="N28" s="55"/>
      <c r="O28" s="31" t="str">
        <f>IFERROR(__xludf.DUMMYFUNCTION("IFNA(UNIQUE(FILTER(References!$B:$B,References!A:A=I28)), ""#Error: Reference ID"")"),"")</f>
        <v/>
      </c>
      <c r="P28" s="59" t="str">
        <f>IFERROR(__xludf.DUMMYFUNCTION("IFNA(UNIQUE(FILTER(References!$J:$J,References!A:A=I28)), ""#Error: Reference ID"")"),"")</f>
        <v/>
      </c>
      <c r="Q28" s="62" t="str">
        <f>IFERROR(__xludf.DUMMYFUNCTION("IFNA(UNIQUE(FILTER(References!$F:$F,References!A:A=I28)), ""#Error: Reference ID"")"),"")</f>
        <v/>
      </c>
      <c r="R28" s="64" t="str">
        <f>IFERROR(__xludf.DUMMYFUNCTION("IF(LEN(A28)+LEN(D28)=0, """", CONCATENATE(D28, ,"" ("", TEXT(AD28*100, ""00""),""/"",TEXT(AB28*100, ""00""),"") "", UNIQUE(FILTER (T:T,S:S=A28&amp;D28)), H28,"";"", CHAR(10)))"),"")</f>
        <v/>
      </c>
      <c r="S28" s="64" t="str">
        <f t="shared" si="1"/>
        <v/>
      </c>
      <c r="T28" s="64" t="str">
        <f t="shared" si="2"/>
        <v>[]</v>
      </c>
      <c r="U28" s="83">
        <f t="shared" si="3"/>
        <v>0</v>
      </c>
      <c r="V28" s="83">
        <f t="shared" si="4"/>
        <v>0</v>
      </c>
      <c r="W28" s="97" t="str">
        <f>IFERROR(__xludf.DUMMYFUNCTION("IFNA(FILTER(AdminOnly!$B:$B,AdminOnly!$A:$A=P28),0)"),"#REF!")</f>
        <v>#REF!</v>
      </c>
      <c r="X28" s="101">
        <f>IFERROR(__xludf.DUMMYFUNCTION("IFNA(FILTER(AdminOnly!$F$2:$F$10,AdminOnly!$E$2:$E$10=Q28),0)"),0.0)</f>
        <v>0</v>
      </c>
      <c r="Y28" s="105">
        <f>IFERROR(__xludf.DUMMYFUNCTION("IFNA(FILTER(AdminOnly!$K$2:$K$10,AdminOnly!$H$2:$H$10=J28),0)"),0.0)</f>
        <v>0</v>
      </c>
      <c r="Z28" s="107">
        <f>IFERROR(__xludf.DUMMYFUNCTION("IFNA(FILTER(AdminOnly!$N$2:$N$20,AdminOnly!$M$2:$M$20=K28),0)"),0.0)</f>
        <v>0</v>
      </c>
      <c r="AA28" s="97">
        <f t="shared" si="5"/>
        <v>0</v>
      </c>
      <c r="AB28" s="97" t="str">
        <f>IFERROR(__xludf.DUMMYFUNCTION("MAX(FILTER ( AA:AA,S:S=A28&amp;D28))"),"#REF!")</f>
        <v>#REF!</v>
      </c>
      <c r="AC28" s="97">
        <f t="shared" si="6"/>
        <v>0</v>
      </c>
      <c r="AD28" s="97" t="str">
        <f>IFERROR(__xludf.DUMMYFUNCTION("MAX(FILTER ( AC:AC,S:S=A28&amp;D28))"),"#REF!")</f>
        <v>#REF!</v>
      </c>
      <c r="AE28" s="110"/>
      <c r="AF28" s="110"/>
      <c r="AG28" s="111"/>
      <c r="AH28" s="112"/>
      <c r="AI28" s="113"/>
      <c r="AJ28" s="114"/>
      <c r="AK28" s="111"/>
      <c r="AL28" s="111"/>
      <c r="AM28" s="111"/>
      <c r="AN28" s="111"/>
      <c r="AO28" s="110"/>
      <c r="AP28" s="115"/>
      <c r="AQ28" s="116"/>
      <c r="AR28" s="116"/>
      <c r="AS28" s="116"/>
    </row>
    <row r="29">
      <c r="A29" s="52"/>
      <c r="B29" s="60"/>
      <c r="C29" s="55"/>
      <c r="D29" s="78"/>
      <c r="E29" s="60"/>
      <c r="F29" s="55"/>
      <c r="G29" s="78"/>
      <c r="H29" s="78"/>
      <c r="I29" s="60"/>
      <c r="J29" s="117"/>
      <c r="K29" s="118"/>
      <c r="L29" s="55"/>
      <c r="M29" s="60"/>
      <c r="N29" s="55"/>
      <c r="O29" s="31" t="str">
        <f>IFERROR(__xludf.DUMMYFUNCTION("IFNA(UNIQUE(FILTER(References!$B:$B,References!A:A=I29)), ""#Error: Reference ID"")"),"")</f>
        <v/>
      </c>
      <c r="P29" s="59" t="str">
        <f>IFERROR(__xludf.DUMMYFUNCTION("IFNA(UNIQUE(FILTER(References!$J:$J,References!A:A=I29)), ""#Error: Reference ID"")"),"")</f>
        <v/>
      </c>
      <c r="Q29" s="62" t="str">
        <f>IFERROR(__xludf.DUMMYFUNCTION("IFNA(UNIQUE(FILTER(References!$F:$F,References!A:A=I29)), ""#Error: Reference ID"")"),"")</f>
        <v/>
      </c>
      <c r="R29" s="64" t="str">
        <f>IFERROR(__xludf.DUMMYFUNCTION("IF(LEN(A29)+LEN(D29)=0, """", CONCATENATE(D29, ,"" ("", TEXT(AD29*100, ""00""),""/"",TEXT(AB29*100, ""00""),"") "", UNIQUE(FILTER (T:T,S:S=A29&amp;D29)), H29,"";"", CHAR(10)))"),"")</f>
        <v/>
      </c>
      <c r="S29" s="64" t="str">
        <f t="shared" si="1"/>
        <v/>
      </c>
      <c r="T29" s="64" t="str">
        <f t="shared" si="2"/>
        <v>[]</v>
      </c>
      <c r="U29" s="83">
        <f t="shared" si="3"/>
        <v>0</v>
      </c>
      <c r="V29" s="83">
        <f t="shared" si="4"/>
        <v>0</v>
      </c>
      <c r="W29" s="97" t="str">
        <f>IFERROR(__xludf.DUMMYFUNCTION("IFNA(FILTER(AdminOnly!$B:$B,AdminOnly!$A:$A=P29),0)"),"#REF!")</f>
        <v>#REF!</v>
      </c>
      <c r="X29" s="101">
        <f>IFERROR(__xludf.DUMMYFUNCTION("IFNA(FILTER(AdminOnly!$F$2:$F$10,AdminOnly!$E$2:$E$10=Q29),0)"),0.0)</f>
        <v>0</v>
      </c>
      <c r="Y29" s="105">
        <f>IFERROR(__xludf.DUMMYFUNCTION("IFNA(FILTER(AdminOnly!$K$2:$K$10,AdminOnly!$H$2:$H$10=J29),0)"),0.0)</f>
        <v>0</v>
      </c>
      <c r="Z29" s="107">
        <f>IFERROR(__xludf.DUMMYFUNCTION("IFNA(FILTER(AdminOnly!$N$2:$N$20,AdminOnly!$M$2:$M$20=K29),0)"),0.0)</f>
        <v>0</v>
      </c>
      <c r="AA29" s="97">
        <f t="shared" si="5"/>
        <v>0</v>
      </c>
      <c r="AB29" s="97" t="str">
        <f>IFERROR(__xludf.DUMMYFUNCTION("MAX(FILTER ( AA:AA,S:S=A29&amp;D29))"),"#REF!")</f>
        <v>#REF!</v>
      </c>
      <c r="AC29" s="97">
        <f t="shared" si="6"/>
        <v>0</v>
      </c>
      <c r="AD29" s="97" t="str">
        <f>IFERROR(__xludf.DUMMYFUNCTION("MAX(FILTER ( AC:AC,S:S=A29&amp;D29))"),"#REF!")</f>
        <v>#REF!</v>
      </c>
      <c r="AE29" s="110"/>
      <c r="AF29" s="110"/>
      <c r="AG29" s="111"/>
      <c r="AH29" s="112"/>
      <c r="AI29" s="113"/>
      <c r="AJ29" s="114"/>
      <c r="AK29" s="111"/>
      <c r="AL29" s="111"/>
      <c r="AM29" s="111"/>
      <c r="AN29" s="111"/>
      <c r="AO29" s="110"/>
      <c r="AP29" s="115"/>
      <c r="AQ29" s="116"/>
      <c r="AR29" s="116"/>
      <c r="AS29" s="116"/>
    </row>
    <row r="30">
      <c r="A30" s="52"/>
      <c r="B30" s="60"/>
      <c r="C30" s="55"/>
      <c r="D30" s="78"/>
      <c r="E30" s="60"/>
      <c r="F30" s="55"/>
      <c r="G30" s="78"/>
      <c r="H30" s="78"/>
      <c r="I30" s="60"/>
      <c r="J30" s="117"/>
      <c r="K30" s="118"/>
      <c r="L30" s="55"/>
      <c r="M30" s="60"/>
      <c r="N30" s="55"/>
      <c r="O30" s="31" t="str">
        <f>IFERROR(__xludf.DUMMYFUNCTION("IFNA(UNIQUE(FILTER(References!$B:$B,References!A:A=I30)), ""#Error: Reference ID"")"),"")</f>
        <v/>
      </c>
      <c r="P30" s="59" t="str">
        <f>IFERROR(__xludf.DUMMYFUNCTION("IFNA(UNIQUE(FILTER(References!$J:$J,References!A:A=I30)), ""#Error: Reference ID"")"),"")</f>
        <v/>
      </c>
      <c r="Q30" s="62" t="str">
        <f>IFERROR(__xludf.DUMMYFUNCTION("IFNA(UNIQUE(FILTER(References!$F:$F,References!A:A=I30)), ""#Error: Reference ID"")"),"")</f>
        <v/>
      </c>
      <c r="R30" s="64" t="str">
        <f>IFERROR(__xludf.DUMMYFUNCTION("IF(LEN(A30)+LEN(D30)=0, """", CONCATENATE(D30, ,"" ("", TEXT(AD30*100, ""00""),""/"",TEXT(AB30*100, ""00""),"") "", UNIQUE(FILTER (T:T,S:S=A30&amp;D30)), H30,"";"", CHAR(10)))"),"")</f>
        <v/>
      </c>
      <c r="S30" s="64" t="str">
        <f t="shared" si="1"/>
        <v/>
      </c>
      <c r="T30" s="64" t="str">
        <f t="shared" si="2"/>
        <v>[]</v>
      </c>
      <c r="U30" s="83">
        <f t="shared" si="3"/>
        <v>0</v>
      </c>
      <c r="V30" s="83">
        <f t="shared" si="4"/>
        <v>0</v>
      </c>
      <c r="W30" s="97" t="str">
        <f>IFERROR(__xludf.DUMMYFUNCTION("IFNA(FILTER(AdminOnly!$B:$B,AdminOnly!$A:$A=P30),0)"),"#REF!")</f>
        <v>#REF!</v>
      </c>
      <c r="X30" s="101">
        <f>IFERROR(__xludf.DUMMYFUNCTION("IFNA(FILTER(AdminOnly!$F$2:$F$10,AdminOnly!$E$2:$E$10=Q30),0)"),0.0)</f>
        <v>0</v>
      </c>
      <c r="Y30" s="105">
        <f>IFERROR(__xludf.DUMMYFUNCTION("IFNA(FILTER(AdminOnly!$K$2:$K$10,AdminOnly!$H$2:$H$10=J30),0)"),0.0)</f>
        <v>0</v>
      </c>
      <c r="Z30" s="107">
        <f>IFERROR(__xludf.DUMMYFUNCTION("IFNA(FILTER(AdminOnly!$N$2:$N$20,AdminOnly!$M$2:$M$20=K30),0)"),0.0)</f>
        <v>0</v>
      </c>
      <c r="AA30" s="97">
        <f t="shared" si="5"/>
        <v>0</v>
      </c>
      <c r="AB30" s="97" t="str">
        <f>IFERROR(__xludf.DUMMYFUNCTION("MAX(FILTER ( AA:AA,S:S=A30&amp;D30))"),"#REF!")</f>
        <v>#REF!</v>
      </c>
      <c r="AC30" s="97">
        <f t="shared" si="6"/>
        <v>0</v>
      </c>
      <c r="AD30" s="97" t="str">
        <f>IFERROR(__xludf.DUMMYFUNCTION("MAX(FILTER ( AC:AC,S:S=A30&amp;D30))"),"#REF!")</f>
        <v>#REF!</v>
      </c>
      <c r="AE30" s="110"/>
      <c r="AF30" s="110"/>
      <c r="AG30" s="111"/>
      <c r="AH30" s="112"/>
      <c r="AI30" s="113"/>
      <c r="AJ30" s="114"/>
      <c r="AK30" s="111"/>
      <c r="AL30" s="111"/>
      <c r="AM30" s="111"/>
      <c r="AN30" s="111"/>
      <c r="AO30" s="110"/>
      <c r="AP30" s="115"/>
      <c r="AQ30" s="116"/>
      <c r="AR30" s="116"/>
      <c r="AS30" s="116"/>
    </row>
    <row r="31">
      <c r="A31" s="52"/>
      <c r="B31" s="60"/>
      <c r="C31" s="55"/>
      <c r="D31" s="78"/>
      <c r="E31" s="60"/>
      <c r="F31" s="55"/>
      <c r="G31" s="78"/>
      <c r="H31" s="78"/>
      <c r="I31" s="60"/>
      <c r="J31" s="117"/>
      <c r="K31" s="118"/>
      <c r="L31" s="55"/>
      <c r="M31" s="60"/>
      <c r="N31" s="55"/>
      <c r="O31" s="31" t="str">
        <f>IFERROR(__xludf.DUMMYFUNCTION("IFNA(UNIQUE(FILTER(References!$B:$B,References!A:A=I31)), ""#Error: Reference ID"")"),"")</f>
        <v/>
      </c>
      <c r="P31" s="59" t="str">
        <f>IFERROR(__xludf.DUMMYFUNCTION("IFNA(UNIQUE(FILTER(References!$J:$J,References!A:A=I31)), ""#Error: Reference ID"")"),"")</f>
        <v/>
      </c>
      <c r="Q31" s="62" t="str">
        <f>IFERROR(__xludf.DUMMYFUNCTION("IFNA(UNIQUE(FILTER(References!$F:$F,References!A:A=I31)), ""#Error: Reference ID"")"),"")</f>
        <v/>
      </c>
      <c r="R31" s="64" t="str">
        <f>IFERROR(__xludf.DUMMYFUNCTION("IF(LEN(A31)+LEN(D31)=0, """", CONCATENATE(D31, ,"" ("", TEXT(AD31*100, ""00""),""/"",TEXT(AB31*100, ""00""),"") "", UNIQUE(FILTER (T:T,S:S=A31&amp;D31)), H31,"";"", CHAR(10)))"),"")</f>
        <v/>
      </c>
      <c r="S31" s="64" t="str">
        <f t="shared" si="1"/>
        <v/>
      </c>
      <c r="T31" s="64" t="str">
        <f t="shared" si="2"/>
        <v>[]</v>
      </c>
      <c r="U31" s="83">
        <f t="shared" si="3"/>
        <v>0</v>
      </c>
      <c r="V31" s="83">
        <f t="shared" si="4"/>
        <v>0</v>
      </c>
      <c r="W31" s="97" t="str">
        <f>IFERROR(__xludf.DUMMYFUNCTION("IFNA(FILTER(AdminOnly!$B:$B,AdminOnly!$A:$A=P31),0)"),"#REF!")</f>
        <v>#REF!</v>
      </c>
      <c r="X31" s="101">
        <f>IFERROR(__xludf.DUMMYFUNCTION("IFNA(FILTER(AdminOnly!$F$2:$F$10,AdminOnly!$E$2:$E$10=Q31),0)"),0.0)</f>
        <v>0</v>
      </c>
      <c r="Y31" s="105">
        <f>IFERROR(__xludf.DUMMYFUNCTION("IFNA(FILTER(AdminOnly!$K$2:$K$10,AdminOnly!$H$2:$H$10=J31),0)"),0.0)</f>
        <v>0</v>
      </c>
      <c r="Z31" s="107">
        <f>IFERROR(__xludf.DUMMYFUNCTION("IFNA(FILTER(AdminOnly!$N$2:$N$20,AdminOnly!$M$2:$M$20=K31),0)"),0.0)</f>
        <v>0</v>
      </c>
      <c r="AA31" s="97">
        <f t="shared" si="5"/>
        <v>0</v>
      </c>
      <c r="AB31" s="97" t="str">
        <f>IFERROR(__xludf.DUMMYFUNCTION("MAX(FILTER ( AA:AA,S:S=A31&amp;D31))"),"#REF!")</f>
        <v>#REF!</v>
      </c>
      <c r="AC31" s="97">
        <f t="shared" si="6"/>
        <v>0</v>
      </c>
      <c r="AD31" s="97" t="str">
        <f>IFERROR(__xludf.DUMMYFUNCTION("MAX(FILTER ( AC:AC,S:S=A31&amp;D31))"),"#REF!")</f>
        <v>#REF!</v>
      </c>
      <c r="AE31" s="110"/>
      <c r="AF31" s="110"/>
      <c r="AG31" s="111"/>
      <c r="AH31" s="112"/>
      <c r="AI31" s="113"/>
      <c r="AJ31" s="114"/>
      <c r="AK31" s="111"/>
      <c r="AL31" s="111"/>
      <c r="AM31" s="111"/>
      <c r="AN31" s="111"/>
      <c r="AO31" s="110"/>
      <c r="AP31" s="115"/>
      <c r="AQ31" s="116"/>
      <c r="AR31" s="116"/>
      <c r="AS31" s="116"/>
    </row>
    <row r="32">
      <c r="A32" s="52"/>
      <c r="B32" s="60"/>
      <c r="C32" s="55"/>
      <c r="D32" s="78"/>
      <c r="E32" s="60"/>
      <c r="F32" s="55"/>
      <c r="G32" s="78"/>
      <c r="H32" s="78"/>
      <c r="I32" s="60"/>
      <c r="J32" s="117"/>
      <c r="K32" s="118"/>
      <c r="L32" s="55"/>
      <c r="M32" s="60"/>
      <c r="N32" s="55"/>
      <c r="O32" s="31" t="str">
        <f>IFERROR(__xludf.DUMMYFUNCTION("IFNA(UNIQUE(FILTER(References!$B:$B,References!A:A=I32)), ""#Error: Reference ID"")"),"")</f>
        <v/>
      </c>
      <c r="P32" s="59" t="str">
        <f>IFERROR(__xludf.DUMMYFUNCTION("IFNA(UNIQUE(FILTER(References!$J:$J,References!A:A=I32)), ""#Error: Reference ID"")"),"")</f>
        <v/>
      </c>
      <c r="Q32" s="62" t="str">
        <f>IFERROR(__xludf.DUMMYFUNCTION("IFNA(UNIQUE(FILTER(References!$F:$F,References!A:A=I32)), ""#Error: Reference ID"")"),"")</f>
        <v/>
      </c>
      <c r="R32" s="64" t="str">
        <f>IFERROR(__xludf.DUMMYFUNCTION("IF(LEN(A32)+LEN(D32)=0, """", CONCATENATE(D32, ,"" ("", TEXT(AD32*100, ""00""),""/"",TEXT(AB32*100, ""00""),"") "", UNIQUE(FILTER (T:T,S:S=A32&amp;D32)), H32,"";"", CHAR(10)))"),"")</f>
        <v/>
      </c>
      <c r="S32" s="64" t="str">
        <f t="shared" si="1"/>
        <v/>
      </c>
      <c r="T32" s="64" t="str">
        <f t="shared" si="2"/>
        <v>[]</v>
      </c>
      <c r="U32" s="83">
        <f t="shared" si="3"/>
        <v>0</v>
      </c>
      <c r="V32" s="83">
        <f t="shared" si="4"/>
        <v>0</v>
      </c>
      <c r="W32" s="97" t="str">
        <f>IFERROR(__xludf.DUMMYFUNCTION("IFNA(FILTER(AdminOnly!$B:$B,AdminOnly!$A:$A=P32),0)"),"#REF!")</f>
        <v>#REF!</v>
      </c>
      <c r="X32" s="101">
        <f>IFERROR(__xludf.DUMMYFUNCTION("IFNA(FILTER(AdminOnly!$F$2:$F$10,AdminOnly!$E$2:$E$10=Q32),0)"),0.0)</f>
        <v>0</v>
      </c>
      <c r="Y32" s="105">
        <f>IFERROR(__xludf.DUMMYFUNCTION("IFNA(FILTER(AdminOnly!$K$2:$K$10,AdminOnly!$H$2:$H$10=J32),0)"),0.0)</f>
        <v>0</v>
      </c>
      <c r="Z32" s="107">
        <f>IFERROR(__xludf.DUMMYFUNCTION("IFNA(FILTER(AdminOnly!$N$2:$N$20,AdminOnly!$M$2:$M$20=K32),0)"),0.0)</f>
        <v>0</v>
      </c>
      <c r="AA32" s="97">
        <f t="shared" si="5"/>
        <v>0</v>
      </c>
      <c r="AB32" s="97" t="str">
        <f>IFERROR(__xludf.DUMMYFUNCTION("MAX(FILTER ( AA:AA,S:S=A32&amp;D32))"),"#REF!")</f>
        <v>#REF!</v>
      </c>
      <c r="AC32" s="97">
        <f t="shared" si="6"/>
        <v>0</v>
      </c>
      <c r="AD32" s="97" t="str">
        <f>IFERROR(__xludf.DUMMYFUNCTION("MAX(FILTER ( AC:AC,S:S=A32&amp;D32))"),"#REF!")</f>
        <v>#REF!</v>
      </c>
      <c r="AE32" s="110"/>
      <c r="AF32" s="110"/>
      <c r="AG32" s="111"/>
      <c r="AH32" s="112"/>
      <c r="AI32" s="113"/>
      <c r="AJ32" s="114"/>
      <c r="AK32" s="111"/>
      <c r="AL32" s="111"/>
      <c r="AM32" s="111"/>
      <c r="AN32" s="111"/>
      <c r="AO32" s="110"/>
      <c r="AP32" s="115"/>
      <c r="AQ32" s="116"/>
      <c r="AR32" s="116"/>
      <c r="AS32" s="116"/>
    </row>
    <row r="33">
      <c r="A33" s="52"/>
      <c r="B33" s="60"/>
      <c r="C33" s="55"/>
      <c r="D33" s="78"/>
      <c r="E33" s="60"/>
      <c r="F33" s="55"/>
      <c r="G33" s="78"/>
      <c r="H33" s="78"/>
      <c r="I33" s="60"/>
      <c r="J33" s="117"/>
      <c r="K33" s="118"/>
      <c r="L33" s="55"/>
      <c r="M33" s="60"/>
      <c r="N33" s="55"/>
      <c r="O33" s="31" t="str">
        <f>IFERROR(__xludf.DUMMYFUNCTION("IFNA(UNIQUE(FILTER(References!$B:$B,References!A:A=I33)), ""#Error: Reference ID"")"),"")</f>
        <v/>
      </c>
      <c r="P33" s="59" t="str">
        <f>IFERROR(__xludf.DUMMYFUNCTION("IFNA(UNIQUE(FILTER(References!$J:$J,References!A:A=I33)), ""#Error: Reference ID"")"),"")</f>
        <v/>
      </c>
      <c r="Q33" s="62" t="str">
        <f>IFERROR(__xludf.DUMMYFUNCTION("IFNA(UNIQUE(FILTER(References!$F:$F,References!A:A=I33)), ""#Error: Reference ID"")"),"")</f>
        <v/>
      </c>
      <c r="R33" s="64" t="str">
        <f>IFERROR(__xludf.DUMMYFUNCTION("IF(LEN(A33)+LEN(D33)=0, """", CONCATENATE(D33, ,"" ("", TEXT(AD33*100, ""00""),""/"",TEXT(AB33*100, ""00""),"") "", UNIQUE(FILTER (T:T,S:S=A33&amp;D33)), H33,"";"", CHAR(10)))"),"")</f>
        <v/>
      </c>
      <c r="S33" s="64" t="str">
        <f t="shared" si="1"/>
        <v/>
      </c>
      <c r="T33" s="64" t="str">
        <f t="shared" si="2"/>
        <v>[]</v>
      </c>
      <c r="U33" s="83">
        <f t="shared" si="3"/>
        <v>0</v>
      </c>
      <c r="V33" s="83">
        <f t="shared" si="4"/>
        <v>0</v>
      </c>
      <c r="W33" s="97" t="str">
        <f>IFERROR(__xludf.DUMMYFUNCTION("IFNA(FILTER(AdminOnly!$B:$B,AdminOnly!$A:$A=P33),0)"),"#REF!")</f>
        <v>#REF!</v>
      </c>
      <c r="X33" s="101">
        <f>IFERROR(__xludf.DUMMYFUNCTION("IFNA(FILTER(AdminOnly!$F$2:$F$10,AdminOnly!$E$2:$E$10=Q33),0)"),0.0)</f>
        <v>0</v>
      </c>
      <c r="Y33" s="105">
        <f>IFERROR(__xludf.DUMMYFUNCTION("IFNA(FILTER(AdminOnly!$K$2:$K$10,AdminOnly!$H$2:$H$10=J33),0)"),0.0)</f>
        <v>0</v>
      </c>
      <c r="Z33" s="107">
        <f>IFERROR(__xludf.DUMMYFUNCTION("IFNA(FILTER(AdminOnly!$N$2:$N$20,AdminOnly!$M$2:$M$20=K33),0)"),0.0)</f>
        <v>0</v>
      </c>
      <c r="AA33" s="97">
        <f t="shared" si="5"/>
        <v>0</v>
      </c>
      <c r="AB33" s="97" t="str">
        <f>IFERROR(__xludf.DUMMYFUNCTION("MAX(FILTER ( AA:AA,S:S=A33&amp;D33))"),"#REF!")</f>
        <v>#REF!</v>
      </c>
      <c r="AC33" s="97">
        <f t="shared" si="6"/>
        <v>0</v>
      </c>
      <c r="AD33" s="97" t="str">
        <f>IFERROR(__xludf.DUMMYFUNCTION("MAX(FILTER ( AC:AC,S:S=A33&amp;D33))"),"#REF!")</f>
        <v>#REF!</v>
      </c>
      <c r="AE33" s="110"/>
      <c r="AF33" s="110"/>
      <c r="AG33" s="111"/>
      <c r="AH33" s="112"/>
      <c r="AI33" s="113"/>
      <c r="AJ33" s="114"/>
      <c r="AK33" s="111"/>
      <c r="AL33" s="111"/>
      <c r="AM33" s="111"/>
      <c r="AN33" s="111"/>
      <c r="AO33" s="110"/>
      <c r="AP33" s="115"/>
      <c r="AQ33" s="116"/>
      <c r="AR33" s="116"/>
      <c r="AS33" s="116"/>
    </row>
    <row r="34">
      <c r="A34" s="52"/>
      <c r="B34" s="60"/>
      <c r="C34" s="55"/>
      <c r="D34" s="78"/>
      <c r="E34" s="60"/>
      <c r="F34" s="55"/>
      <c r="G34" s="78"/>
      <c r="H34" s="78"/>
      <c r="I34" s="60"/>
      <c r="J34" s="117"/>
      <c r="K34" s="118"/>
      <c r="L34" s="55"/>
      <c r="M34" s="60"/>
      <c r="N34" s="55"/>
      <c r="O34" s="31" t="str">
        <f>IFERROR(__xludf.DUMMYFUNCTION("IFNA(UNIQUE(FILTER(References!$B:$B,References!A:A=I34)), ""#Error: Reference ID"")"),"")</f>
        <v/>
      </c>
      <c r="P34" s="59" t="str">
        <f>IFERROR(__xludf.DUMMYFUNCTION("IFNA(UNIQUE(FILTER(References!$J:$J,References!A:A=I34)), ""#Error: Reference ID"")"),"")</f>
        <v/>
      </c>
      <c r="Q34" s="62" t="str">
        <f>IFERROR(__xludf.DUMMYFUNCTION("IFNA(UNIQUE(FILTER(References!$F:$F,References!A:A=I34)), ""#Error: Reference ID"")"),"")</f>
        <v/>
      </c>
      <c r="R34" s="64" t="str">
        <f>IFERROR(__xludf.DUMMYFUNCTION("IF(LEN(A34)+LEN(D34)=0, """", CONCATENATE(D34, ,"" ("", TEXT(AD34*100, ""00""),""/"",TEXT(AB34*100, ""00""),"") "", UNIQUE(FILTER (T:T,S:S=A34&amp;D34)), H34,"";"", CHAR(10)))"),"")</f>
        <v/>
      </c>
      <c r="S34" s="64" t="str">
        <f t="shared" si="1"/>
        <v/>
      </c>
      <c r="T34" s="64" t="str">
        <f t="shared" si="2"/>
        <v>[]</v>
      </c>
      <c r="U34" s="83">
        <f t="shared" si="3"/>
        <v>0</v>
      </c>
      <c r="V34" s="83">
        <f t="shared" si="4"/>
        <v>0</v>
      </c>
      <c r="W34" s="97" t="str">
        <f>IFERROR(__xludf.DUMMYFUNCTION("IFNA(FILTER(AdminOnly!$B:$B,AdminOnly!$A:$A=P34),0)"),"#REF!")</f>
        <v>#REF!</v>
      </c>
      <c r="X34" s="101">
        <f>IFERROR(__xludf.DUMMYFUNCTION("IFNA(FILTER(AdminOnly!$F$2:$F$10,AdminOnly!$E$2:$E$10=Q34),0)"),0.0)</f>
        <v>0</v>
      </c>
      <c r="Y34" s="105">
        <f>IFERROR(__xludf.DUMMYFUNCTION("IFNA(FILTER(AdminOnly!$K$2:$K$10,AdminOnly!$H$2:$H$10=J34),0)"),0.0)</f>
        <v>0</v>
      </c>
      <c r="Z34" s="107">
        <f>IFERROR(__xludf.DUMMYFUNCTION("IFNA(FILTER(AdminOnly!$N$2:$N$20,AdminOnly!$M$2:$M$20=K34),0)"),0.0)</f>
        <v>0</v>
      </c>
      <c r="AA34" s="97">
        <f t="shared" si="5"/>
        <v>0</v>
      </c>
      <c r="AB34" s="97" t="str">
        <f>IFERROR(__xludf.DUMMYFUNCTION("MAX(FILTER ( AA:AA,S:S=A34&amp;D34))"),"#REF!")</f>
        <v>#REF!</v>
      </c>
      <c r="AC34" s="97">
        <f t="shared" si="6"/>
        <v>0</v>
      </c>
      <c r="AD34" s="97" t="str">
        <f>IFERROR(__xludf.DUMMYFUNCTION("MAX(FILTER ( AC:AC,S:S=A34&amp;D34))"),"#REF!")</f>
        <v>#REF!</v>
      </c>
      <c r="AE34" s="110"/>
      <c r="AF34" s="110"/>
      <c r="AG34" s="111"/>
      <c r="AH34" s="112"/>
      <c r="AI34" s="113"/>
      <c r="AJ34" s="114"/>
      <c r="AK34" s="111"/>
      <c r="AL34" s="111"/>
      <c r="AM34" s="111"/>
      <c r="AN34" s="111"/>
      <c r="AO34" s="110"/>
      <c r="AP34" s="115"/>
      <c r="AQ34" s="116"/>
      <c r="AR34" s="116"/>
      <c r="AS34" s="116"/>
    </row>
    <row r="35">
      <c r="A35" s="52"/>
      <c r="B35" s="60"/>
      <c r="C35" s="55"/>
      <c r="D35" s="78"/>
      <c r="E35" s="60"/>
      <c r="F35" s="55"/>
      <c r="G35" s="78"/>
      <c r="H35" s="78"/>
      <c r="I35" s="60"/>
      <c r="J35" s="117"/>
      <c r="K35" s="118"/>
      <c r="L35" s="55"/>
      <c r="M35" s="60"/>
      <c r="N35" s="55"/>
      <c r="O35" s="31" t="str">
        <f>IFERROR(__xludf.DUMMYFUNCTION("IFNA(UNIQUE(FILTER(References!$B:$B,References!A:A=I35)), ""#Error: Reference ID"")"),"")</f>
        <v/>
      </c>
      <c r="P35" s="59" t="str">
        <f>IFERROR(__xludf.DUMMYFUNCTION("IFNA(UNIQUE(FILTER(References!$J:$J,References!A:A=I35)), ""#Error: Reference ID"")"),"")</f>
        <v/>
      </c>
      <c r="Q35" s="62" t="str">
        <f>IFERROR(__xludf.DUMMYFUNCTION("IFNA(UNIQUE(FILTER(References!$F:$F,References!A:A=I35)), ""#Error: Reference ID"")"),"")</f>
        <v/>
      </c>
      <c r="R35" s="64" t="str">
        <f>IFERROR(__xludf.DUMMYFUNCTION("IF(LEN(A35)+LEN(D35)=0, """", CONCATENATE(D35, ,"" ("", TEXT(AD35*100, ""00""),""/"",TEXT(AB35*100, ""00""),"") "", UNIQUE(FILTER (T:T,S:S=A35&amp;D35)), H35,"";"", CHAR(10)))"),"")</f>
        <v/>
      </c>
      <c r="S35" s="64" t="str">
        <f t="shared" si="1"/>
        <v/>
      </c>
      <c r="T35" s="64" t="str">
        <f t="shared" si="2"/>
        <v>[]</v>
      </c>
      <c r="U35" s="83">
        <f t="shared" si="3"/>
        <v>0</v>
      </c>
      <c r="V35" s="83">
        <f t="shared" si="4"/>
        <v>0</v>
      </c>
      <c r="W35" s="97" t="str">
        <f>IFERROR(__xludf.DUMMYFUNCTION("IFNA(FILTER(AdminOnly!$B:$B,AdminOnly!$A:$A=P35),0)"),"#REF!")</f>
        <v>#REF!</v>
      </c>
      <c r="X35" s="101">
        <f>IFERROR(__xludf.DUMMYFUNCTION("IFNA(FILTER(AdminOnly!$F$2:$F$10,AdminOnly!$E$2:$E$10=Q35),0)"),0.0)</f>
        <v>0</v>
      </c>
      <c r="Y35" s="105">
        <f>IFERROR(__xludf.DUMMYFUNCTION("IFNA(FILTER(AdminOnly!$K$2:$K$10,AdminOnly!$H$2:$H$10=J35),0)"),0.0)</f>
        <v>0</v>
      </c>
      <c r="Z35" s="107">
        <f>IFERROR(__xludf.DUMMYFUNCTION("IFNA(FILTER(AdminOnly!$N$2:$N$20,AdminOnly!$M$2:$M$20=K35),0)"),0.0)</f>
        <v>0</v>
      </c>
      <c r="AA35" s="97">
        <f t="shared" si="5"/>
        <v>0</v>
      </c>
      <c r="AB35" s="97" t="str">
        <f>IFERROR(__xludf.DUMMYFUNCTION("MAX(FILTER ( AA:AA,S:S=A35&amp;D35))"),"#REF!")</f>
        <v>#REF!</v>
      </c>
      <c r="AC35" s="97">
        <f t="shared" si="6"/>
        <v>0</v>
      </c>
      <c r="AD35" s="97" t="str">
        <f>IFERROR(__xludf.DUMMYFUNCTION("MAX(FILTER ( AC:AC,S:S=A35&amp;D35))"),"#REF!")</f>
        <v>#REF!</v>
      </c>
      <c r="AE35" s="110"/>
      <c r="AF35" s="110"/>
      <c r="AG35" s="111"/>
      <c r="AH35" s="112"/>
      <c r="AI35" s="113"/>
      <c r="AJ35" s="114"/>
      <c r="AK35" s="111"/>
      <c r="AL35" s="111"/>
      <c r="AM35" s="111"/>
      <c r="AN35" s="111"/>
      <c r="AO35" s="110"/>
      <c r="AP35" s="115"/>
      <c r="AQ35" s="116"/>
      <c r="AR35" s="116"/>
      <c r="AS35" s="116"/>
    </row>
    <row r="36">
      <c r="A36" s="52"/>
      <c r="B36" s="60"/>
      <c r="C36" s="55"/>
      <c r="D36" s="78"/>
      <c r="E36" s="60"/>
      <c r="F36" s="55"/>
      <c r="G36" s="78"/>
      <c r="H36" s="78"/>
      <c r="I36" s="60"/>
      <c r="J36" s="117"/>
      <c r="K36" s="118"/>
      <c r="L36" s="55"/>
      <c r="M36" s="60"/>
      <c r="N36" s="55"/>
      <c r="O36" s="31" t="str">
        <f>IFERROR(__xludf.DUMMYFUNCTION("IFNA(UNIQUE(FILTER(References!$B:$B,References!A:A=I36)), ""#Error: Reference ID"")"),"")</f>
        <v/>
      </c>
      <c r="P36" s="59" t="str">
        <f>IFERROR(__xludf.DUMMYFUNCTION("IFNA(UNIQUE(FILTER(References!$J:$J,References!A:A=I36)), ""#Error: Reference ID"")"),"")</f>
        <v/>
      </c>
      <c r="Q36" s="62" t="str">
        <f>IFERROR(__xludf.DUMMYFUNCTION("IFNA(UNIQUE(FILTER(References!$F:$F,References!A:A=I36)), ""#Error: Reference ID"")"),"")</f>
        <v/>
      </c>
      <c r="R36" s="64" t="str">
        <f>IFERROR(__xludf.DUMMYFUNCTION("IF(LEN(A36)+LEN(D36)=0, """", CONCATENATE(D36, ,"" ("", TEXT(AD36*100, ""00""),""/"",TEXT(AB36*100, ""00""),"") "", UNIQUE(FILTER (T:T,S:S=A36&amp;D36)), H36,"";"", CHAR(10)))"),"")</f>
        <v/>
      </c>
      <c r="S36" s="64" t="str">
        <f t="shared" si="1"/>
        <v/>
      </c>
      <c r="T36" s="64" t="str">
        <f t="shared" si="2"/>
        <v>[]</v>
      </c>
      <c r="U36" s="83">
        <f t="shared" si="3"/>
        <v>0</v>
      </c>
      <c r="V36" s="83">
        <f t="shared" si="4"/>
        <v>0</v>
      </c>
      <c r="W36" s="97" t="str">
        <f>IFERROR(__xludf.DUMMYFUNCTION("IFNA(FILTER(AdminOnly!$B:$B,AdminOnly!$A:$A=P36),0)"),"#REF!")</f>
        <v>#REF!</v>
      </c>
      <c r="X36" s="101">
        <f>IFERROR(__xludf.DUMMYFUNCTION("IFNA(FILTER(AdminOnly!$F$2:$F$10,AdminOnly!$E$2:$E$10=Q36),0)"),0.0)</f>
        <v>0</v>
      </c>
      <c r="Y36" s="105">
        <f>IFERROR(__xludf.DUMMYFUNCTION("IFNA(FILTER(AdminOnly!$K$2:$K$10,AdminOnly!$H$2:$H$10=J36),0)"),0.0)</f>
        <v>0</v>
      </c>
      <c r="Z36" s="107">
        <f>IFERROR(__xludf.DUMMYFUNCTION("IFNA(FILTER(AdminOnly!$N$2:$N$20,AdminOnly!$M$2:$M$20=K36),0)"),0.0)</f>
        <v>0</v>
      </c>
      <c r="AA36" s="97">
        <f t="shared" si="5"/>
        <v>0</v>
      </c>
      <c r="AB36" s="97" t="str">
        <f>IFERROR(__xludf.DUMMYFUNCTION("MAX(FILTER ( AA:AA,S:S=A36&amp;D36))"),"#REF!")</f>
        <v>#REF!</v>
      </c>
      <c r="AC36" s="97">
        <f t="shared" si="6"/>
        <v>0</v>
      </c>
      <c r="AD36" s="97" t="str">
        <f>IFERROR(__xludf.DUMMYFUNCTION("MAX(FILTER ( AC:AC,S:S=A36&amp;D36))"),"#REF!")</f>
        <v>#REF!</v>
      </c>
      <c r="AE36" s="110"/>
      <c r="AF36" s="110"/>
      <c r="AG36" s="111"/>
      <c r="AH36" s="112"/>
      <c r="AI36" s="113"/>
      <c r="AJ36" s="114"/>
      <c r="AK36" s="111"/>
      <c r="AL36" s="111"/>
      <c r="AM36" s="111"/>
      <c r="AN36" s="111"/>
      <c r="AO36" s="110"/>
      <c r="AP36" s="115"/>
      <c r="AQ36" s="116"/>
      <c r="AR36" s="116"/>
      <c r="AS36" s="116"/>
    </row>
    <row r="37">
      <c r="A37" s="52"/>
      <c r="B37" s="60"/>
      <c r="C37" s="55"/>
      <c r="D37" s="60"/>
      <c r="E37" s="60"/>
      <c r="F37" s="55"/>
      <c r="G37" s="78"/>
      <c r="H37" s="78"/>
      <c r="I37" s="60"/>
      <c r="J37" s="118"/>
      <c r="K37" s="118"/>
      <c r="L37" s="55"/>
      <c r="M37" s="78"/>
      <c r="N37" s="55"/>
      <c r="O37" s="31" t="str">
        <f>IFERROR(__xludf.DUMMYFUNCTION("IFNA(UNIQUE(FILTER(References!$B:$B,References!A:A=I37)), ""#Error: Reference ID"")"),"")</f>
        <v/>
      </c>
      <c r="P37" s="59" t="str">
        <f>IFERROR(__xludf.DUMMYFUNCTION("IFNA(UNIQUE(FILTER(References!$J:$J,References!A:A=I37)), ""#Error: Reference ID"")"),"")</f>
        <v/>
      </c>
      <c r="Q37" s="62" t="str">
        <f>IFERROR(__xludf.DUMMYFUNCTION("IFNA(UNIQUE(FILTER(References!$F:$F,References!A:A=I37)), ""#Error: Reference ID"")"),"")</f>
        <v/>
      </c>
      <c r="R37" s="64" t="str">
        <f>IFERROR(__xludf.DUMMYFUNCTION("IF(LEN(A37)+LEN(D37)=0, """", CONCATENATE(D37, ,"" ("", TEXT(AD37*100, ""00""),""/"",TEXT(AB37*100, ""00""),"") "", UNIQUE(FILTER (T:T,S:S=A37&amp;D37)), H37,"";"", CHAR(10)))"),"")</f>
        <v/>
      </c>
      <c r="S37" s="64" t="str">
        <f t="shared" si="1"/>
        <v/>
      </c>
      <c r="T37" s="64" t="str">
        <f t="shared" si="2"/>
        <v>[]</v>
      </c>
      <c r="U37" s="83">
        <f t="shared" si="3"/>
        <v>0</v>
      </c>
      <c r="V37" s="83">
        <f t="shared" si="4"/>
        <v>0</v>
      </c>
      <c r="W37" s="97" t="str">
        <f>IFERROR(__xludf.DUMMYFUNCTION("IFNA(FILTER(AdminOnly!$B:$B,AdminOnly!$A:$A=P37),0)"),"#REF!")</f>
        <v>#REF!</v>
      </c>
      <c r="X37" s="101">
        <f>IFERROR(__xludf.DUMMYFUNCTION("IFNA(FILTER(AdminOnly!$F$2:$F$10,AdminOnly!$E$2:$E$10=Q37),0)"),0.0)</f>
        <v>0</v>
      </c>
      <c r="Y37" s="105">
        <f>IFERROR(__xludf.DUMMYFUNCTION("IFNA(FILTER(AdminOnly!$K$2:$K$10,AdminOnly!$H$2:$H$10=J37),0)"),0.0)</f>
        <v>0</v>
      </c>
      <c r="Z37" s="107">
        <f>IFERROR(__xludf.DUMMYFUNCTION("IFNA(FILTER(AdminOnly!$N$2:$N$20,AdminOnly!$M$2:$M$20=K37),0)"),0.0)</f>
        <v>0</v>
      </c>
      <c r="AA37" s="97">
        <f t="shared" si="5"/>
        <v>0</v>
      </c>
      <c r="AB37" s="97" t="str">
        <f>IFERROR(__xludf.DUMMYFUNCTION("MAX(FILTER ( AA:AA,S:S=A37&amp;D37))"),"#REF!")</f>
        <v>#REF!</v>
      </c>
      <c r="AC37" s="97">
        <f t="shared" si="6"/>
        <v>0</v>
      </c>
      <c r="AD37" s="97" t="str">
        <f>IFERROR(__xludf.DUMMYFUNCTION("MAX(FILTER ( AC:AC,S:S=A37&amp;D37))"),"#REF!")</f>
        <v>#REF!</v>
      </c>
      <c r="AE37" s="110"/>
      <c r="AF37" s="110"/>
      <c r="AG37" s="111"/>
      <c r="AH37" s="112"/>
      <c r="AI37" s="113"/>
      <c r="AJ37" s="114"/>
      <c r="AK37" s="111"/>
      <c r="AL37" s="111"/>
      <c r="AM37" s="111"/>
      <c r="AN37" s="111"/>
      <c r="AO37" s="110"/>
      <c r="AP37" s="115"/>
      <c r="AQ37" s="116"/>
      <c r="AR37" s="116"/>
      <c r="AS37" s="116"/>
    </row>
    <row r="38">
      <c r="A38" s="52"/>
      <c r="B38" s="60"/>
      <c r="C38" s="55"/>
      <c r="D38" s="60"/>
      <c r="E38" s="60"/>
      <c r="F38" s="55"/>
      <c r="G38" s="78"/>
      <c r="H38" s="78"/>
      <c r="I38" s="60"/>
      <c r="J38" s="118"/>
      <c r="K38" s="118"/>
      <c r="L38" s="55"/>
      <c r="M38" s="78"/>
      <c r="N38" s="55"/>
      <c r="O38" s="31" t="str">
        <f>IFERROR(__xludf.DUMMYFUNCTION("IFNA(UNIQUE(FILTER(References!$B:$B,References!A:A=I38)), ""#Error: Reference ID"")"),"")</f>
        <v/>
      </c>
      <c r="P38" s="59" t="str">
        <f>IFERROR(__xludf.DUMMYFUNCTION("IFNA(UNIQUE(FILTER(References!$J:$J,References!A:A=I38)), ""#Error: Reference ID"")"),"")</f>
        <v/>
      </c>
      <c r="Q38" s="62" t="str">
        <f>IFERROR(__xludf.DUMMYFUNCTION("IFNA(UNIQUE(FILTER(References!$F:$F,References!A:A=I38)), ""#Error: Reference ID"")"),"")</f>
        <v/>
      </c>
      <c r="R38" s="64" t="str">
        <f>IFERROR(__xludf.DUMMYFUNCTION("IF(LEN(A38)+LEN(D38)=0, """", CONCATENATE(D38, ,"" ("", TEXT(AD38*100, ""00""),""/"",TEXT(AB38*100, ""00""),"") "", UNIQUE(FILTER (T:T,S:S=A38&amp;D38)), H38,"";"", CHAR(10)))"),"")</f>
        <v/>
      </c>
      <c r="S38" s="64" t="str">
        <f t="shared" si="1"/>
        <v/>
      </c>
      <c r="T38" s="64" t="str">
        <f t="shared" si="2"/>
        <v>[]</v>
      </c>
      <c r="U38" s="83">
        <f t="shared" si="3"/>
        <v>0</v>
      </c>
      <c r="V38" s="83">
        <f t="shared" si="4"/>
        <v>0</v>
      </c>
      <c r="W38" s="97" t="str">
        <f>IFERROR(__xludf.DUMMYFUNCTION("IFNA(FILTER(AdminOnly!$B:$B,AdminOnly!$A:$A=P38),0)"),"#REF!")</f>
        <v>#REF!</v>
      </c>
      <c r="X38" s="101">
        <f>IFERROR(__xludf.DUMMYFUNCTION("IFNA(FILTER(AdminOnly!$F$2:$F$10,AdminOnly!$E$2:$E$10=Q38),0)"),0.0)</f>
        <v>0</v>
      </c>
      <c r="Y38" s="105">
        <f>IFERROR(__xludf.DUMMYFUNCTION("IFNA(FILTER(AdminOnly!$K$2:$K$10,AdminOnly!$H$2:$H$10=J38),0)"),0.0)</f>
        <v>0</v>
      </c>
      <c r="Z38" s="107">
        <f>IFERROR(__xludf.DUMMYFUNCTION("IFNA(FILTER(AdminOnly!$N$2:$N$20,AdminOnly!$M$2:$M$20=K38),0)"),0.0)</f>
        <v>0</v>
      </c>
      <c r="AA38" s="97">
        <f t="shared" si="5"/>
        <v>0</v>
      </c>
      <c r="AB38" s="97" t="str">
        <f>IFERROR(__xludf.DUMMYFUNCTION("MAX(FILTER ( AA:AA,S:S=A38&amp;D38))"),"#REF!")</f>
        <v>#REF!</v>
      </c>
      <c r="AC38" s="97">
        <f t="shared" si="6"/>
        <v>0</v>
      </c>
      <c r="AD38" s="97" t="str">
        <f>IFERROR(__xludf.DUMMYFUNCTION("MAX(FILTER ( AC:AC,S:S=A38&amp;D38))"),"#REF!")</f>
        <v>#REF!</v>
      </c>
      <c r="AE38" s="110"/>
      <c r="AF38" s="110"/>
      <c r="AG38" s="111"/>
      <c r="AH38" s="112"/>
      <c r="AI38" s="113"/>
      <c r="AJ38" s="114"/>
      <c r="AK38" s="111"/>
      <c r="AL38" s="111"/>
      <c r="AM38" s="111"/>
      <c r="AN38" s="111"/>
      <c r="AO38" s="110"/>
      <c r="AP38" s="115"/>
      <c r="AQ38" s="116"/>
      <c r="AR38" s="116"/>
      <c r="AS38" s="116"/>
    </row>
    <row r="39">
      <c r="A39" s="52"/>
      <c r="B39" s="60"/>
      <c r="C39" s="55"/>
      <c r="D39" s="60"/>
      <c r="E39" s="60"/>
      <c r="F39" s="55"/>
      <c r="G39" s="78"/>
      <c r="H39" s="78"/>
      <c r="I39" s="60"/>
      <c r="J39" s="118"/>
      <c r="K39" s="118"/>
      <c r="L39" s="55"/>
      <c r="M39" s="78"/>
      <c r="N39" s="55"/>
      <c r="O39" s="31" t="str">
        <f>IFERROR(__xludf.DUMMYFUNCTION("IFNA(UNIQUE(FILTER(References!$B:$B,References!A:A=I39)), ""#Error: Reference ID"")"),"")</f>
        <v/>
      </c>
      <c r="P39" s="59" t="str">
        <f>IFERROR(__xludf.DUMMYFUNCTION("IFNA(UNIQUE(FILTER(References!$J:$J,References!A:A=I39)), ""#Error: Reference ID"")"),"")</f>
        <v/>
      </c>
      <c r="Q39" s="62" t="str">
        <f>IFERROR(__xludf.DUMMYFUNCTION("IFNA(UNIQUE(FILTER(References!$F:$F,References!A:A=I39)), ""#Error: Reference ID"")"),"")</f>
        <v/>
      </c>
      <c r="R39" s="64" t="str">
        <f>IFERROR(__xludf.DUMMYFUNCTION("IF(LEN(A39)+LEN(D39)=0, """", CONCATENATE(D39, ,"" ("", TEXT(AD39*100, ""00""),""/"",TEXT(AB39*100, ""00""),"") "", UNIQUE(FILTER (T:T,S:S=A39&amp;D39)), H39,"";"", CHAR(10)))"),"")</f>
        <v/>
      </c>
      <c r="S39" s="64" t="str">
        <f t="shared" si="1"/>
        <v/>
      </c>
      <c r="T39" s="64" t="str">
        <f t="shared" si="2"/>
        <v>[]</v>
      </c>
      <c r="U39" s="83">
        <f t="shared" si="3"/>
        <v>0</v>
      </c>
      <c r="V39" s="83">
        <f t="shared" si="4"/>
        <v>0</v>
      </c>
      <c r="W39" s="97" t="str">
        <f>IFERROR(__xludf.DUMMYFUNCTION("IFNA(FILTER(AdminOnly!$B:$B,AdminOnly!$A:$A=P39),0)"),"#REF!")</f>
        <v>#REF!</v>
      </c>
      <c r="X39" s="101">
        <f>IFERROR(__xludf.DUMMYFUNCTION("IFNA(FILTER(AdminOnly!$F$2:$F$10,AdminOnly!$E$2:$E$10=Q39),0)"),0.0)</f>
        <v>0</v>
      </c>
      <c r="Y39" s="105">
        <f>IFERROR(__xludf.DUMMYFUNCTION("IFNA(FILTER(AdminOnly!$K$2:$K$10,AdminOnly!$H$2:$H$10=J39),0)"),0.0)</f>
        <v>0</v>
      </c>
      <c r="Z39" s="107">
        <f>IFERROR(__xludf.DUMMYFUNCTION("IFNA(FILTER(AdminOnly!$N$2:$N$20,AdminOnly!$M$2:$M$20=K39),0)"),0.0)</f>
        <v>0</v>
      </c>
      <c r="AA39" s="97">
        <f t="shared" si="5"/>
        <v>0</v>
      </c>
      <c r="AB39" s="97" t="str">
        <f>IFERROR(__xludf.DUMMYFUNCTION("MAX(FILTER ( AA:AA,S:S=A39&amp;D39))"),"#REF!")</f>
        <v>#REF!</v>
      </c>
      <c r="AC39" s="97">
        <f t="shared" si="6"/>
        <v>0</v>
      </c>
      <c r="AD39" s="97" t="str">
        <f>IFERROR(__xludf.DUMMYFUNCTION("MAX(FILTER ( AC:AC,S:S=A39&amp;D39))"),"#REF!")</f>
        <v>#REF!</v>
      </c>
      <c r="AE39" s="110"/>
      <c r="AF39" s="110"/>
      <c r="AG39" s="111"/>
      <c r="AH39" s="112"/>
      <c r="AI39" s="113"/>
      <c r="AJ39" s="114"/>
      <c r="AK39" s="111"/>
      <c r="AL39" s="111"/>
      <c r="AM39" s="111"/>
      <c r="AN39" s="111"/>
      <c r="AO39" s="110"/>
      <c r="AP39" s="115"/>
      <c r="AQ39" s="116"/>
      <c r="AR39" s="116"/>
      <c r="AS39" s="116"/>
    </row>
    <row r="40">
      <c r="A40" s="52"/>
      <c r="B40" s="60"/>
      <c r="C40" s="55"/>
      <c r="D40" s="60"/>
      <c r="E40" s="60"/>
      <c r="F40" s="55"/>
      <c r="G40" s="78"/>
      <c r="H40" s="78"/>
      <c r="I40" s="60"/>
      <c r="J40" s="118"/>
      <c r="K40" s="118"/>
      <c r="L40" s="55"/>
      <c r="M40" s="78"/>
      <c r="N40" s="55"/>
      <c r="O40" s="31" t="str">
        <f>IFERROR(__xludf.DUMMYFUNCTION("IFNA(UNIQUE(FILTER(References!$B:$B,References!A:A=I40)), ""#Error: Reference ID"")"),"")</f>
        <v/>
      </c>
      <c r="P40" s="59" t="str">
        <f>IFERROR(__xludf.DUMMYFUNCTION("IFNA(UNIQUE(FILTER(References!$J:$J,References!A:A=I40)), ""#Error: Reference ID"")"),"")</f>
        <v/>
      </c>
      <c r="Q40" s="62" t="str">
        <f>IFERROR(__xludf.DUMMYFUNCTION("IFNA(UNIQUE(FILTER(References!$F:$F,References!A:A=I40)), ""#Error: Reference ID"")"),"")</f>
        <v/>
      </c>
      <c r="R40" s="64" t="str">
        <f>IFERROR(__xludf.DUMMYFUNCTION("IF(LEN(A40)+LEN(D40)=0, """", CONCATENATE(D40, ,"" ("", TEXT(AD40*100, ""00""),""/"",TEXT(AB40*100, ""00""),"") "", UNIQUE(FILTER (T:T,S:S=A40&amp;D40)), H40,"";"", CHAR(10)))"),"")</f>
        <v/>
      </c>
      <c r="S40" s="64" t="str">
        <f t="shared" si="1"/>
        <v/>
      </c>
      <c r="T40" s="64" t="str">
        <f t="shared" si="2"/>
        <v>[]</v>
      </c>
      <c r="U40" s="83">
        <f t="shared" si="3"/>
        <v>0</v>
      </c>
      <c r="V40" s="83">
        <f t="shared" si="4"/>
        <v>0</v>
      </c>
      <c r="W40" s="97" t="str">
        <f>IFERROR(__xludf.DUMMYFUNCTION("IFNA(FILTER(AdminOnly!$B:$B,AdminOnly!$A:$A=P40),0)"),"#REF!")</f>
        <v>#REF!</v>
      </c>
      <c r="X40" s="101">
        <f>IFERROR(__xludf.DUMMYFUNCTION("IFNA(FILTER(AdminOnly!$F$2:$F$10,AdminOnly!$E$2:$E$10=Q40),0)"),0.0)</f>
        <v>0</v>
      </c>
      <c r="Y40" s="105">
        <f>IFERROR(__xludf.DUMMYFUNCTION("IFNA(FILTER(AdminOnly!$K$2:$K$10,AdminOnly!$H$2:$H$10=J40),0)"),0.0)</f>
        <v>0</v>
      </c>
      <c r="Z40" s="107">
        <f>IFERROR(__xludf.DUMMYFUNCTION("IFNA(FILTER(AdminOnly!$N$2:$N$20,AdminOnly!$M$2:$M$20=K40),0)"),0.0)</f>
        <v>0</v>
      </c>
      <c r="AA40" s="97">
        <f t="shared" si="5"/>
        <v>0</v>
      </c>
      <c r="AB40" s="97" t="str">
        <f>IFERROR(__xludf.DUMMYFUNCTION("MAX(FILTER ( AA:AA,S:S=A40&amp;D40))"),"#REF!")</f>
        <v>#REF!</v>
      </c>
      <c r="AC40" s="97">
        <f t="shared" si="6"/>
        <v>0</v>
      </c>
      <c r="AD40" s="97" t="str">
        <f>IFERROR(__xludf.DUMMYFUNCTION("MAX(FILTER ( AC:AC,S:S=A40&amp;D40))"),"#REF!")</f>
        <v>#REF!</v>
      </c>
      <c r="AE40" s="110"/>
      <c r="AF40" s="110"/>
      <c r="AG40" s="111"/>
      <c r="AH40" s="112"/>
      <c r="AI40" s="113"/>
      <c r="AJ40" s="114"/>
      <c r="AK40" s="111"/>
      <c r="AL40" s="111"/>
      <c r="AM40" s="111"/>
      <c r="AN40" s="111"/>
      <c r="AO40" s="110"/>
      <c r="AP40" s="115"/>
      <c r="AQ40" s="116"/>
      <c r="AR40" s="116"/>
      <c r="AS40" s="116"/>
    </row>
    <row r="41">
      <c r="A41" s="52"/>
      <c r="B41" s="60"/>
      <c r="C41" s="55"/>
      <c r="D41" s="60"/>
      <c r="E41" s="60"/>
      <c r="F41" s="55"/>
      <c r="G41" s="78"/>
      <c r="H41" s="78"/>
      <c r="I41" s="60"/>
      <c r="J41" s="118"/>
      <c r="K41" s="118"/>
      <c r="L41" s="55"/>
      <c r="M41" s="78"/>
      <c r="N41" s="55"/>
      <c r="O41" s="31" t="str">
        <f>IFERROR(__xludf.DUMMYFUNCTION("IFNA(UNIQUE(FILTER(References!$B:$B,References!A:A=I41)), ""#Error: Reference ID"")"),"")</f>
        <v/>
      </c>
      <c r="P41" s="59" t="str">
        <f>IFERROR(__xludf.DUMMYFUNCTION("IFNA(UNIQUE(FILTER(References!$J:$J,References!A:A=I41)), ""#Error: Reference ID"")"),"")</f>
        <v/>
      </c>
      <c r="Q41" s="62" t="str">
        <f>IFERROR(__xludf.DUMMYFUNCTION("IFNA(UNIQUE(FILTER(References!$F:$F,References!A:A=I41)), ""#Error: Reference ID"")"),"")</f>
        <v/>
      </c>
      <c r="R41" s="64" t="str">
        <f>IFERROR(__xludf.DUMMYFUNCTION("IF(LEN(A41)+LEN(D41)=0, """", CONCATENATE(D41, ,"" ("", TEXT(AD41*100, ""00""),""/"",TEXT(AB41*100, ""00""),"") "", UNIQUE(FILTER (T:T,S:S=A41&amp;D41)), H41,"";"", CHAR(10)))"),"")</f>
        <v/>
      </c>
      <c r="S41" s="64" t="str">
        <f t="shared" si="1"/>
        <v/>
      </c>
      <c r="T41" s="64" t="str">
        <f t="shared" si="2"/>
        <v>[]</v>
      </c>
      <c r="U41" s="83">
        <f t="shared" si="3"/>
        <v>0</v>
      </c>
      <c r="V41" s="83">
        <f t="shared" si="4"/>
        <v>0</v>
      </c>
      <c r="W41" s="97" t="str">
        <f>IFERROR(__xludf.DUMMYFUNCTION("IFNA(FILTER(AdminOnly!$B:$B,AdminOnly!$A:$A=P41),0)"),"#REF!")</f>
        <v>#REF!</v>
      </c>
      <c r="X41" s="101">
        <f>IFERROR(__xludf.DUMMYFUNCTION("IFNA(FILTER(AdminOnly!$F$2:$F$10,AdminOnly!$E$2:$E$10=Q41),0)"),0.0)</f>
        <v>0</v>
      </c>
      <c r="Y41" s="105">
        <f>IFERROR(__xludf.DUMMYFUNCTION("IFNA(FILTER(AdminOnly!$K$2:$K$10,AdminOnly!$H$2:$H$10=J41),0)"),0.0)</f>
        <v>0</v>
      </c>
      <c r="Z41" s="107">
        <f>IFERROR(__xludf.DUMMYFUNCTION("IFNA(FILTER(AdminOnly!$N$2:$N$20,AdminOnly!$M$2:$M$20=K41),0)"),0.0)</f>
        <v>0</v>
      </c>
      <c r="AA41" s="97">
        <f t="shared" si="5"/>
        <v>0</v>
      </c>
      <c r="AB41" s="97" t="str">
        <f>IFERROR(__xludf.DUMMYFUNCTION("MAX(FILTER ( AA:AA,S:S=A41&amp;D41))"),"#REF!")</f>
        <v>#REF!</v>
      </c>
      <c r="AC41" s="97">
        <f t="shared" si="6"/>
        <v>0</v>
      </c>
      <c r="AD41" s="97" t="str">
        <f>IFERROR(__xludf.DUMMYFUNCTION("MAX(FILTER ( AC:AC,S:S=A41&amp;D41))"),"#REF!")</f>
        <v>#REF!</v>
      </c>
      <c r="AE41" s="110"/>
      <c r="AF41" s="110"/>
      <c r="AG41" s="111"/>
      <c r="AH41" s="112"/>
      <c r="AI41" s="113"/>
      <c r="AJ41" s="114"/>
      <c r="AK41" s="111"/>
      <c r="AL41" s="111"/>
      <c r="AM41" s="111"/>
      <c r="AN41" s="111"/>
      <c r="AO41" s="110"/>
      <c r="AP41" s="115"/>
      <c r="AQ41" s="116"/>
      <c r="AR41" s="116"/>
      <c r="AS41" s="116"/>
    </row>
    <row r="42">
      <c r="A42" s="52"/>
      <c r="B42" s="60"/>
      <c r="C42" s="55"/>
      <c r="D42" s="60"/>
      <c r="E42" s="60"/>
      <c r="F42" s="55"/>
      <c r="G42" s="78"/>
      <c r="H42" s="78"/>
      <c r="I42" s="60"/>
      <c r="J42" s="118"/>
      <c r="K42" s="118"/>
      <c r="L42" s="55"/>
      <c r="M42" s="78"/>
      <c r="N42" s="55"/>
      <c r="O42" s="31" t="str">
        <f>IFERROR(__xludf.DUMMYFUNCTION("IFNA(UNIQUE(FILTER(References!$B:$B,References!A:A=I42)), ""#Error: Reference ID"")"),"")</f>
        <v/>
      </c>
      <c r="P42" s="59" t="str">
        <f>IFERROR(__xludf.DUMMYFUNCTION("IFNA(UNIQUE(FILTER(References!$J:$J,References!A:A=I42)), ""#Error: Reference ID"")"),"")</f>
        <v/>
      </c>
      <c r="Q42" s="62" t="str">
        <f>IFERROR(__xludf.DUMMYFUNCTION("IFNA(UNIQUE(FILTER(References!$F:$F,References!A:A=I42)), ""#Error: Reference ID"")"),"")</f>
        <v/>
      </c>
      <c r="R42" s="64" t="str">
        <f>IFERROR(__xludf.DUMMYFUNCTION("IF(LEN(A42)+LEN(D42)=0, """", CONCATENATE(D42, ,"" ("", TEXT(AD42*100, ""00""),""/"",TEXT(AB42*100, ""00""),"") "", UNIQUE(FILTER (T:T,S:S=A42&amp;D42)), H42,"";"", CHAR(10)))"),"")</f>
        <v/>
      </c>
      <c r="S42" s="64" t="str">
        <f t="shared" si="1"/>
        <v/>
      </c>
      <c r="T42" s="64" t="str">
        <f t="shared" si="2"/>
        <v>[]</v>
      </c>
      <c r="U42" s="83">
        <f t="shared" si="3"/>
        <v>0</v>
      </c>
      <c r="V42" s="83">
        <f t="shared" si="4"/>
        <v>0</v>
      </c>
      <c r="W42" s="97" t="str">
        <f>IFERROR(__xludf.DUMMYFUNCTION("IFNA(FILTER(AdminOnly!$B:$B,AdminOnly!$A:$A=P42),0)"),"#REF!")</f>
        <v>#REF!</v>
      </c>
      <c r="X42" s="101">
        <f>IFERROR(__xludf.DUMMYFUNCTION("IFNA(FILTER(AdminOnly!$F$2:$F$10,AdminOnly!$E$2:$E$10=Q42),0)"),0.0)</f>
        <v>0</v>
      </c>
      <c r="Y42" s="105">
        <f>IFERROR(__xludf.DUMMYFUNCTION("IFNA(FILTER(AdminOnly!$K$2:$K$10,AdminOnly!$H$2:$H$10=J42),0)"),0.0)</f>
        <v>0</v>
      </c>
      <c r="Z42" s="107">
        <f>IFERROR(__xludf.DUMMYFUNCTION("IFNA(FILTER(AdminOnly!$N$2:$N$20,AdminOnly!$M$2:$M$20=K42),0)"),0.0)</f>
        <v>0</v>
      </c>
      <c r="AA42" s="97">
        <f t="shared" si="5"/>
        <v>0</v>
      </c>
      <c r="AB42" s="97" t="str">
        <f>IFERROR(__xludf.DUMMYFUNCTION("MAX(FILTER ( AA:AA,S:S=A42&amp;D42))"),"#REF!")</f>
        <v>#REF!</v>
      </c>
      <c r="AC42" s="97">
        <f t="shared" si="6"/>
        <v>0</v>
      </c>
      <c r="AD42" s="97" t="str">
        <f>IFERROR(__xludf.DUMMYFUNCTION("MAX(FILTER ( AC:AC,S:S=A42&amp;D42))"),"#REF!")</f>
        <v>#REF!</v>
      </c>
      <c r="AE42" s="110"/>
      <c r="AF42" s="110"/>
      <c r="AG42" s="111"/>
      <c r="AH42" s="112"/>
      <c r="AI42" s="113"/>
      <c r="AJ42" s="114"/>
      <c r="AK42" s="111"/>
      <c r="AL42" s="111"/>
      <c r="AM42" s="111"/>
      <c r="AN42" s="111"/>
      <c r="AO42" s="110"/>
      <c r="AP42" s="115"/>
      <c r="AQ42" s="116"/>
      <c r="AR42" s="116"/>
      <c r="AS42" s="116"/>
    </row>
    <row r="43">
      <c r="A43" s="52"/>
      <c r="B43" s="60"/>
      <c r="C43" s="55"/>
      <c r="D43" s="60"/>
      <c r="E43" s="60"/>
      <c r="F43" s="55"/>
      <c r="G43" s="78"/>
      <c r="H43" s="78"/>
      <c r="I43" s="60"/>
      <c r="J43" s="118"/>
      <c r="K43" s="118"/>
      <c r="L43" s="55"/>
      <c r="M43" s="78"/>
      <c r="N43" s="55"/>
      <c r="O43" s="31" t="str">
        <f>IFERROR(__xludf.DUMMYFUNCTION("IFNA(UNIQUE(FILTER(References!$B:$B,References!A:A=I43)), ""#Error: Reference ID"")"),"")</f>
        <v/>
      </c>
      <c r="P43" s="59" t="str">
        <f>IFERROR(__xludf.DUMMYFUNCTION("IFNA(UNIQUE(FILTER(References!$J:$J,References!A:A=I43)), ""#Error: Reference ID"")"),"")</f>
        <v/>
      </c>
      <c r="Q43" s="62" t="str">
        <f>IFERROR(__xludf.DUMMYFUNCTION("IFNA(UNIQUE(FILTER(References!$F:$F,References!A:A=I43)), ""#Error: Reference ID"")"),"")</f>
        <v/>
      </c>
      <c r="R43" s="64" t="str">
        <f>IFERROR(__xludf.DUMMYFUNCTION("IF(LEN(A43)+LEN(D43)=0, """", CONCATENATE(D43, ,"" ("", TEXT(AD43*100, ""00""),""/"",TEXT(AB43*100, ""00""),"") "", UNIQUE(FILTER (T:T,S:S=A43&amp;D43)), H43,"";"", CHAR(10)))"),"")</f>
        <v/>
      </c>
      <c r="S43" s="64" t="str">
        <f t="shared" si="1"/>
        <v/>
      </c>
      <c r="T43" s="64" t="str">
        <f t="shared" si="2"/>
        <v>[]</v>
      </c>
      <c r="U43" s="83">
        <f t="shared" si="3"/>
        <v>0</v>
      </c>
      <c r="V43" s="83">
        <f t="shared" si="4"/>
        <v>0</v>
      </c>
      <c r="W43" s="97" t="str">
        <f>IFERROR(__xludf.DUMMYFUNCTION("IFNA(FILTER(AdminOnly!$B:$B,AdminOnly!$A:$A=P43),0)"),"#REF!")</f>
        <v>#REF!</v>
      </c>
      <c r="X43" s="101">
        <f>IFERROR(__xludf.DUMMYFUNCTION("IFNA(FILTER(AdminOnly!$F$2:$F$10,AdminOnly!$E$2:$E$10=Q43),0)"),0.0)</f>
        <v>0</v>
      </c>
      <c r="Y43" s="105">
        <f>IFERROR(__xludf.DUMMYFUNCTION("IFNA(FILTER(AdminOnly!$K$2:$K$10,AdminOnly!$H$2:$H$10=J43),0)"),0.0)</f>
        <v>0</v>
      </c>
      <c r="Z43" s="107">
        <f>IFERROR(__xludf.DUMMYFUNCTION("IFNA(FILTER(AdminOnly!$N$2:$N$20,AdminOnly!$M$2:$M$20=K43),0)"),0.0)</f>
        <v>0</v>
      </c>
      <c r="AA43" s="97">
        <f t="shared" si="5"/>
        <v>0</v>
      </c>
      <c r="AB43" s="97" t="str">
        <f>IFERROR(__xludf.DUMMYFUNCTION("MAX(FILTER ( AA:AA,S:S=A43&amp;D43))"),"#REF!")</f>
        <v>#REF!</v>
      </c>
      <c r="AC43" s="97">
        <f t="shared" si="6"/>
        <v>0</v>
      </c>
      <c r="AD43" s="97" t="str">
        <f>IFERROR(__xludf.DUMMYFUNCTION("MAX(FILTER ( AC:AC,S:S=A43&amp;D43))"),"#REF!")</f>
        <v>#REF!</v>
      </c>
      <c r="AE43" s="110"/>
      <c r="AF43" s="110"/>
      <c r="AG43" s="111"/>
      <c r="AH43" s="112"/>
      <c r="AI43" s="113"/>
      <c r="AJ43" s="114"/>
      <c r="AK43" s="111"/>
      <c r="AL43" s="111"/>
      <c r="AM43" s="111"/>
      <c r="AN43" s="111"/>
      <c r="AO43" s="110"/>
      <c r="AP43" s="115"/>
      <c r="AQ43" s="116"/>
      <c r="AR43" s="116"/>
      <c r="AS43" s="116"/>
    </row>
    <row r="44">
      <c r="A44" s="52"/>
      <c r="B44" s="60"/>
      <c r="C44" s="55"/>
      <c r="D44" s="60"/>
      <c r="E44" s="60"/>
      <c r="F44" s="55"/>
      <c r="G44" s="78"/>
      <c r="H44" s="78"/>
      <c r="I44" s="60"/>
      <c r="J44" s="118"/>
      <c r="K44" s="118"/>
      <c r="L44" s="55"/>
      <c r="M44" s="78"/>
      <c r="N44" s="55"/>
      <c r="O44" s="31" t="str">
        <f>IFERROR(__xludf.DUMMYFUNCTION("IFNA(UNIQUE(FILTER(References!$B:$B,References!A:A=I44)), ""#Error: Reference ID"")"),"")</f>
        <v/>
      </c>
      <c r="P44" s="59" t="str">
        <f>IFERROR(__xludf.DUMMYFUNCTION("IFNA(UNIQUE(FILTER(References!$J:$J,References!A:A=I44)), ""#Error: Reference ID"")"),"")</f>
        <v/>
      </c>
      <c r="Q44" s="62" t="str">
        <f>IFERROR(__xludf.DUMMYFUNCTION("IFNA(UNIQUE(FILTER(References!$F:$F,References!A:A=I44)), ""#Error: Reference ID"")"),"")</f>
        <v/>
      </c>
      <c r="R44" s="64" t="str">
        <f>IFERROR(__xludf.DUMMYFUNCTION("IF(LEN(A44)+LEN(D44)=0, """", CONCATENATE(D44, ,"" ("", TEXT(AD44*100, ""00""),""/"",TEXT(AB44*100, ""00""),"") "", UNIQUE(FILTER (T:T,S:S=A44&amp;D44)), H44,"";"", CHAR(10)))"),"")</f>
        <v/>
      </c>
      <c r="S44" s="64" t="str">
        <f t="shared" si="1"/>
        <v/>
      </c>
      <c r="T44" s="64" t="str">
        <f t="shared" si="2"/>
        <v>[]</v>
      </c>
      <c r="U44" s="83">
        <f t="shared" si="3"/>
        <v>0</v>
      </c>
      <c r="V44" s="83">
        <f t="shared" si="4"/>
        <v>0</v>
      </c>
      <c r="W44" s="97" t="str">
        <f>IFERROR(__xludf.DUMMYFUNCTION("IFNA(FILTER(AdminOnly!$B:$B,AdminOnly!$A:$A=P44),0)"),"#REF!")</f>
        <v>#REF!</v>
      </c>
      <c r="X44" s="101">
        <f>IFERROR(__xludf.DUMMYFUNCTION("IFNA(FILTER(AdminOnly!$F$2:$F$10,AdminOnly!$E$2:$E$10=Q44),0)"),0.0)</f>
        <v>0</v>
      </c>
      <c r="Y44" s="105">
        <f>IFERROR(__xludf.DUMMYFUNCTION("IFNA(FILTER(AdminOnly!$K$2:$K$10,AdminOnly!$H$2:$H$10=J44),0)"),0.0)</f>
        <v>0</v>
      </c>
      <c r="Z44" s="107">
        <f>IFERROR(__xludf.DUMMYFUNCTION("IFNA(FILTER(AdminOnly!$N$2:$N$20,AdminOnly!$M$2:$M$20=K44),0)"),0.0)</f>
        <v>0</v>
      </c>
      <c r="AA44" s="97">
        <f t="shared" si="5"/>
        <v>0</v>
      </c>
      <c r="AB44" s="97" t="str">
        <f>IFERROR(__xludf.DUMMYFUNCTION("MAX(FILTER ( AA:AA,S:S=A44&amp;D44))"),"#REF!")</f>
        <v>#REF!</v>
      </c>
      <c r="AC44" s="97">
        <f t="shared" si="6"/>
        <v>0</v>
      </c>
      <c r="AD44" s="97" t="str">
        <f>IFERROR(__xludf.DUMMYFUNCTION("MAX(FILTER ( AC:AC,S:S=A44&amp;D44))"),"#REF!")</f>
        <v>#REF!</v>
      </c>
      <c r="AE44" s="110"/>
      <c r="AF44" s="110"/>
      <c r="AG44" s="111"/>
      <c r="AH44" s="112"/>
      <c r="AI44" s="113"/>
      <c r="AJ44" s="114"/>
      <c r="AK44" s="111"/>
      <c r="AL44" s="111"/>
      <c r="AM44" s="111"/>
      <c r="AN44" s="111"/>
      <c r="AO44" s="110"/>
      <c r="AP44" s="115"/>
      <c r="AQ44" s="116"/>
      <c r="AR44" s="116"/>
      <c r="AS44" s="116"/>
    </row>
    <row r="45">
      <c r="A45" s="52"/>
      <c r="B45" s="60"/>
      <c r="C45" s="55"/>
      <c r="D45" s="60"/>
      <c r="E45" s="60"/>
      <c r="F45" s="55"/>
      <c r="G45" s="78"/>
      <c r="H45" s="78"/>
      <c r="I45" s="60"/>
      <c r="J45" s="118"/>
      <c r="K45" s="118"/>
      <c r="L45" s="55"/>
      <c r="M45" s="78"/>
      <c r="N45" s="55"/>
      <c r="O45" s="31" t="str">
        <f>IFERROR(__xludf.DUMMYFUNCTION("IFNA(UNIQUE(FILTER(References!$B:$B,References!A:A=I45)), ""#Error: Reference ID"")"),"")</f>
        <v/>
      </c>
      <c r="P45" s="59" t="str">
        <f>IFERROR(__xludf.DUMMYFUNCTION("IFNA(UNIQUE(FILTER(References!$J:$J,References!A:A=I45)), ""#Error: Reference ID"")"),"")</f>
        <v/>
      </c>
      <c r="Q45" s="62" t="str">
        <f>IFERROR(__xludf.DUMMYFUNCTION("IFNA(UNIQUE(FILTER(References!$F:$F,References!A:A=I45)), ""#Error: Reference ID"")"),"")</f>
        <v/>
      </c>
      <c r="R45" s="64" t="str">
        <f>IFERROR(__xludf.DUMMYFUNCTION("IF(LEN(A45)+LEN(D45)=0, """", CONCATENATE(D45, ,"" ("", TEXT(AD45*100, ""00""),""/"",TEXT(AB45*100, ""00""),"") "", UNIQUE(FILTER (T:T,S:S=A45&amp;D45)), H45,"";"", CHAR(10)))"),"")</f>
        <v/>
      </c>
      <c r="S45" s="64" t="str">
        <f t="shared" si="1"/>
        <v/>
      </c>
      <c r="T45" s="64" t="str">
        <f t="shared" si="2"/>
        <v>[]</v>
      </c>
      <c r="U45" s="83">
        <f t="shared" si="3"/>
        <v>0</v>
      </c>
      <c r="V45" s="83">
        <f t="shared" si="4"/>
        <v>0</v>
      </c>
      <c r="W45" s="97" t="str">
        <f>IFERROR(__xludf.DUMMYFUNCTION("IFNA(FILTER(AdminOnly!$B:$B,AdminOnly!$A:$A=P45),0)"),"#REF!")</f>
        <v>#REF!</v>
      </c>
      <c r="X45" s="101">
        <f>IFERROR(__xludf.DUMMYFUNCTION("IFNA(FILTER(AdminOnly!$F$2:$F$10,AdminOnly!$E$2:$E$10=Q45),0)"),0.0)</f>
        <v>0</v>
      </c>
      <c r="Y45" s="105">
        <f>IFERROR(__xludf.DUMMYFUNCTION("IFNA(FILTER(AdminOnly!$K$2:$K$10,AdminOnly!$H$2:$H$10=J45),0)"),0.0)</f>
        <v>0</v>
      </c>
      <c r="Z45" s="107">
        <f>IFERROR(__xludf.DUMMYFUNCTION("IFNA(FILTER(AdminOnly!$N$2:$N$20,AdminOnly!$M$2:$M$20=K45),0)"),0.0)</f>
        <v>0</v>
      </c>
      <c r="AA45" s="97">
        <f t="shared" si="5"/>
        <v>0</v>
      </c>
      <c r="AB45" s="97" t="str">
        <f>IFERROR(__xludf.DUMMYFUNCTION("MAX(FILTER ( AA:AA,S:S=A45&amp;D45))"),"#REF!")</f>
        <v>#REF!</v>
      </c>
      <c r="AC45" s="97">
        <f t="shared" si="6"/>
        <v>0</v>
      </c>
      <c r="AD45" s="97" t="str">
        <f>IFERROR(__xludf.DUMMYFUNCTION("MAX(FILTER ( AC:AC,S:S=A45&amp;D45))"),"#REF!")</f>
        <v>#REF!</v>
      </c>
      <c r="AE45" s="110"/>
      <c r="AF45" s="110"/>
      <c r="AG45" s="111"/>
      <c r="AH45" s="112"/>
      <c r="AI45" s="113"/>
      <c r="AJ45" s="114"/>
      <c r="AK45" s="111"/>
      <c r="AL45" s="111"/>
      <c r="AM45" s="111"/>
      <c r="AN45" s="111"/>
      <c r="AO45" s="110"/>
      <c r="AP45" s="115"/>
      <c r="AQ45" s="116"/>
      <c r="AR45" s="116"/>
      <c r="AS45" s="116"/>
    </row>
    <row r="46">
      <c r="A46" s="52"/>
      <c r="B46" s="60"/>
      <c r="C46" s="55"/>
      <c r="D46" s="60"/>
      <c r="E46" s="60"/>
      <c r="F46" s="55"/>
      <c r="G46" s="78"/>
      <c r="H46" s="78"/>
      <c r="I46" s="60"/>
      <c r="J46" s="118"/>
      <c r="K46" s="118"/>
      <c r="L46" s="55"/>
      <c r="M46" s="78"/>
      <c r="N46" s="55"/>
      <c r="O46" s="31" t="str">
        <f>IFERROR(__xludf.DUMMYFUNCTION("IFNA(UNIQUE(FILTER(References!$B:$B,References!A:A=I46)), ""#Error: Reference ID"")"),"")</f>
        <v/>
      </c>
      <c r="P46" s="59" t="str">
        <f>IFERROR(__xludf.DUMMYFUNCTION("IFNA(UNIQUE(FILTER(References!$J:$J,References!A:A=I46)), ""#Error: Reference ID"")"),"")</f>
        <v/>
      </c>
      <c r="Q46" s="62" t="str">
        <f>IFERROR(__xludf.DUMMYFUNCTION("IFNA(UNIQUE(FILTER(References!$F:$F,References!A:A=I46)), ""#Error: Reference ID"")"),"")</f>
        <v/>
      </c>
      <c r="R46" s="64" t="str">
        <f>IFERROR(__xludf.DUMMYFUNCTION("IF(LEN(A46)+LEN(D46)=0, """", CONCATENATE(D46, ,"" ("", TEXT(AD46*100, ""00""),""/"",TEXT(AB46*100, ""00""),"") "", UNIQUE(FILTER (T:T,S:S=A46&amp;D46)), H46,"";"", CHAR(10)))"),"")</f>
        <v/>
      </c>
      <c r="S46" s="64" t="str">
        <f t="shared" si="1"/>
        <v/>
      </c>
      <c r="T46" s="64" t="str">
        <f t="shared" si="2"/>
        <v>[]</v>
      </c>
      <c r="U46" s="83">
        <f t="shared" si="3"/>
        <v>0</v>
      </c>
      <c r="V46" s="83">
        <f t="shared" si="4"/>
        <v>0</v>
      </c>
      <c r="W46" s="97" t="str">
        <f>IFERROR(__xludf.DUMMYFUNCTION("IFNA(FILTER(AdminOnly!$B:$B,AdminOnly!$A:$A=P46),0)"),"#REF!")</f>
        <v>#REF!</v>
      </c>
      <c r="X46" s="101">
        <f>IFERROR(__xludf.DUMMYFUNCTION("IFNA(FILTER(AdminOnly!$F$2:$F$10,AdminOnly!$E$2:$E$10=Q46),0)"),0.0)</f>
        <v>0</v>
      </c>
      <c r="Y46" s="105">
        <f>IFERROR(__xludf.DUMMYFUNCTION("IFNA(FILTER(AdminOnly!$K$2:$K$10,AdminOnly!$H$2:$H$10=J46),0)"),0.0)</f>
        <v>0</v>
      </c>
      <c r="Z46" s="107">
        <f>IFERROR(__xludf.DUMMYFUNCTION("IFNA(FILTER(AdminOnly!$N$2:$N$20,AdminOnly!$M$2:$M$20=K46),0)"),0.0)</f>
        <v>0</v>
      </c>
      <c r="AA46" s="97">
        <f t="shared" si="5"/>
        <v>0</v>
      </c>
      <c r="AB46" s="97" t="str">
        <f>IFERROR(__xludf.DUMMYFUNCTION("MAX(FILTER ( AA:AA,S:S=A46&amp;D46))"),"#REF!")</f>
        <v>#REF!</v>
      </c>
      <c r="AC46" s="97">
        <f t="shared" si="6"/>
        <v>0</v>
      </c>
      <c r="AD46" s="97" t="str">
        <f>IFERROR(__xludf.DUMMYFUNCTION("MAX(FILTER ( AC:AC,S:S=A46&amp;D46))"),"#REF!")</f>
        <v>#REF!</v>
      </c>
      <c r="AE46" s="110"/>
      <c r="AF46" s="110"/>
      <c r="AG46" s="111"/>
      <c r="AH46" s="112"/>
      <c r="AI46" s="113"/>
      <c r="AJ46" s="114"/>
      <c r="AK46" s="111"/>
      <c r="AL46" s="111"/>
      <c r="AM46" s="111"/>
      <c r="AN46" s="111"/>
      <c r="AO46" s="110"/>
      <c r="AP46" s="115"/>
      <c r="AQ46" s="116"/>
      <c r="AR46" s="116"/>
      <c r="AS46" s="116"/>
    </row>
    <row r="47">
      <c r="A47" s="52"/>
      <c r="B47" s="60"/>
      <c r="C47" s="55"/>
      <c r="D47" s="60"/>
      <c r="E47" s="60"/>
      <c r="F47" s="55"/>
      <c r="G47" s="78"/>
      <c r="H47" s="78"/>
      <c r="I47" s="60"/>
      <c r="J47" s="118"/>
      <c r="K47" s="118"/>
      <c r="L47" s="55"/>
      <c r="M47" s="78"/>
      <c r="N47" s="55"/>
      <c r="O47" s="31" t="str">
        <f>IFERROR(__xludf.DUMMYFUNCTION("IFNA(UNIQUE(FILTER(References!$B:$B,References!A:A=I47)), ""#Error: Reference ID"")"),"")</f>
        <v/>
      </c>
      <c r="P47" s="59" t="str">
        <f>IFERROR(__xludf.DUMMYFUNCTION("IFNA(UNIQUE(FILTER(References!$J:$J,References!A:A=I47)), ""#Error: Reference ID"")"),"")</f>
        <v/>
      </c>
      <c r="Q47" s="62" t="str">
        <f>IFERROR(__xludf.DUMMYFUNCTION("IFNA(UNIQUE(FILTER(References!$F:$F,References!A:A=I47)), ""#Error: Reference ID"")"),"")</f>
        <v/>
      </c>
      <c r="R47" s="64" t="str">
        <f>IFERROR(__xludf.DUMMYFUNCTION("IF(LEN(A47)+LEN(D47)=0, """", CONCATENATE(D47, ,"" ("", TEXT(AD47*100, ""00""),""/"",TEXT(AB47*100, ""00""),"") "", UNIQUE(FILTER (T:T,S:S=A47&amp;D47)), H47,"";"", CHAR(10)))"),"")</f>
        <v/>
      </c>
      <c r="S47" s="64" t="str">
        <f t="shared" si="1"/>
        <v/>
      </c>
      <c r="T47" s="64" t="str">
        <f t="shared" si="2"/>
        <v>[]</v>
      </c>
      <c r="U47" s="83">
        <f t="shared" si="3"/>
        <v>0</v>
      </c>
      <c r="V47" s="83">
        <f t="shared" si="4"/>
        <v>0</v>
      </c>
      <c r="W47" s="97" t="str">
        <f>IFERROR(__xludf.DUMMYFUNCTION("IFNA(FILTER(AdminOnly!$B:$B,AdminOnly!$A:$A=P47),0)"),"#REF!")</f>
        <v>#REF!</v>
      </c>
      <c r="X47" s="101">
        <f>IFERROR(__xludf.DUMMYFUNCTION("IFNA(FILTER(AdminOnly!$F$2:$F$10,AdminOnly!$E$2:$E$10=Q47),0)"),0.0)</f>
        <v>0</v>
      </c>
      <c r="Y47" s="105">
        <f>IFERROR(__xludf.DUMMYFUNCTION("IFNA(FILTER(AdminOnly!$K$2:$K$10,AdminOnly!$H$2:$H$10=J47),0)"),0.0)</f>
        <v>0</v>
      </c>
      <c r="Z47" s="107">
        <f>IFERROR(__xludf.DUMMYFUNCTION("IFNA(FILTER(AdminOnly!$N$2:$N$20,AdminOnly!$M$2:$M$20=K47),0)"),0.0)</f>
        <v>0</v>
      </c>
      <c r="AA47" s="97">
        <f t="shared" si="5"/>
        <v>0</v>
      </c>
      <c r="AB47" s="97" t="str">
        <f>IFERROR(__xludf.DUMMYFUNCTION("MAX(FILTER ( AA:AA,S:S=A47&amp;D47))"),"#REF!")</f>
        <v>#REF!</v>
      </c>
      <c r="AC47" s="97">
        <f t="shared" si="6"/>
        <v>0</v>
      </c>
      <c r="AD47" s="97" t="str">
        <f>IFERROR(__xludf.DUMMYFUNCTION("MAX(FILTER ( AC:AC,S:S=A47&amp;D47))"),"#REF!")</f>
        <v>#REF!</v>
      </c>
      <c r="AE47" s="110"/>
      <c r="AF47" s="110"/>
      <c r="AG47" s="111"/>
      <c r="AH47" s="112"/>
      <c r="AI47" s="113"/>
      <c r="AJ47" s="114"/>
      <c r="AK47" s="111"/>
      <c r="AL47" s="111"/>
      <c r="AM47" s="111"/>
      <c r="AN47" s="111"/>
      <c r="AO47" s="110"/>
      <c r="AP47" s="115"/>
      <c r="AQ47" s="116"/>
      <c r="AR47" s="116"/>
      <c r="AS47" s="116"/>
    </row>
    <row r="48">
      <c r="A48" s="52"/>
      <c r="B48" s="60"/>
      <c r="C48" s="55"/>
      <c r="D48" s="60"/>
      <c r="E48" s="60"/>
      <c r="F48" s="55"/>
      <c r="G48" s="78"/>
      <c r="H48" s="78"/>
      <c r="I48" s="60"/>
      <c r="J48" s="118"/>
      <c r="K48" s="118"/>
      <c r="L48" s="55"/>
      <c r="M48" s="78"/>
      <c r="N48" s="55"/>
      <c r="O48" s="31" t="str">
        <f>IFERROR(__xludf.DUMMYFUNCTION("IFNA(UNIQUE(FILTER(References!$B:$B,References!A:A=I48)), ""#Error: Reference ID"")"),"")</f>
        <v/>
      </c>
      <c r="P48" s="59" t="str">
        <f>IFERROR(__xludf.DUMMYFUNCTION("IFNA(UNIQUE(FILTER(References!$J:$J,References!A:A=I48)), ""#Error: Reference ID"")"),"")</f>
        <v/>
      </c>
      <c r="Q48" s="62" t="str">
        <f>IFERROR(__xludf.DUMMYFUNCTION("IFNA(UNIQUE(FILTER(References!$F:$F,References!A:A=I48)), ""#Error: Reference ID"")"),"")</f>
        <v/>
      </c>
      <c r="R48" s="64" t="str">
        <f>IFERROR(__xludf.DUMMYFUNCTION("IF(LEN(A48)+LEN(D48)=0, """", CONCATENATE(D48, ,"" ("", TEXT(AD48*100, ""00""),""/"",TEXT(AB48*100, ""00""),"") "", UNIQUE(FILTER (T:T,S:S=A48&amp;D48)), H48,"";"", CHAR(10)))"),"")</f>
        <v/>
      </c>
      <c r="S48" s="64" t="str">
        <f t="shared" si="1"/>
        <v/>
      </c>
      <c r="T48" s="64" t="str">
        <f t="shared" si="2"/>
        <v>[]</v>
      </c>
      <c r="U48" s="83">
        <f t="shared" si="3"/>
        <v>0</v>
      </c>
      <c r="V48" s="83">
        <f t="shared" si="4"/>
        <v>0</v>
      </c>
      <c r="W48" s="97" t="str">
        <f>IFERROR(__xludf.DUMMYFUNCTION("IFNA(FILTER(AdminOnly!$B:$B,AdminOnly!$A:$A=P48),0)"),"#REF!")</f>
        <v>#REF!</v>
      </c>
      <c r="X48" s="101">
        <f>IFERROR(__xludf.DUMMYFUNCTION("IFNA(FILTER(AdminOnly!$F$2:$F$10,AdminOnly!$E$2:$E$10=Q48),0)"),0.0)</f>
        <v>0</v>
      </c>
      <c r="Y48" s="105">
        <f>IFERROR(__xludf.DUMMYFUNCTION("IFNA(FILTER(AdminOnly!$K$2:$K$10,AdminOnly!$H$2:$H$10=J48),0)"),0.0)</f>
        <v>0</v>
      </c>
      <c r="Z48" s="107">
        <f>IFERROR(__xludf.DUMMYFUNCTION("IFNA(FILTER(AdminOnly!$N$2:$N$20,AdminOnly!$M$2:$M$20=K48),0)"),0.0)</f>
        <v>0</v>
      </c>
      <c r="AA48" s="97">
        <f t="shared" si="5"/>
        <v>0</v>
      </c>
      <c r="AB48" s="97" t="str">
        <f>IFERROR(__xludf.DUMMYFUNCTION("MAX(FILTER ( AA:AA,S:S=A48&amp;D48))"),"#REF!")</f>
        <v>#REF!</v>
      </c>
      <c r="AC48" s="97">
        <f t="shared" si="6"/>
        <v>0</v>
      </c>
      <c r="AD48" s="97" t="str">
        <f>IFERROR(__xludf.DUMMYFUNCTION("MAX(FILTER ( AC:AC,S:S=A48&amp;D48))"),"#REF!")</f>
        <v>#REF!</v>
      </c>
      <c r="AE48" s="110"/>
      <c r="AF48" s="110"/>
      <c r="AG48" s="111"/>
      <c r="AH48" s="112"/>
      <c r="AI48" s="113"/>
      <c r="AJ48" s="114"/>
      <c r="AK48" s="111"/>
      <c r="AL48" s="111"/>
      <c r="AM48" s="111"/>
      <c r="AN48" s="111"/>
      <c r="AO48" s="110"/>
      <c r="AP48" s="115"/>
      <c r="AQ48" s="116"/>
      <c r="AR48" s="116"/>
      <c r="AS48" s="116"/>
    </row>
    <row r="49">
      <c r="A49" s="52"/>
      <c r="B49" s="60"/>
      <c r="C49" s="55"/>
      <c r="D49" s="60"/>
      <c r="E49" s="60"/>
      <c r="F49" s="55"/>
      <c r="G49" s="78"/>
      <c r="H49" s="78"/>
      <c r="I49" s="60"/>
      <c r="J49" s="118"/>
      <c r="K49" s="118"/>
      <c r="L49" s="55"/>
      <c r="M49" s="78"/>
      <c r="N49" s="55"/>
      <c r="O49" s="31" t="str">
        <f>IFERROR(__xludf.DUMMYFUNCTION("IFNA(UNIQUE(FILTER(References!$B:$B,References!A:A=I49)), ""#Error: Reference ID"")"),"")</f>
        <v/>
      </c>
      <c r="P49" s="59" t="str">
        <f>IFERROR(__xludf.DUMMYFUNCTION("IFNA(UNIQUE(FILTER(References!$J:$J,References!A:A=I49)), ""#Error: Reference ID"")"),"")</f>
        <v/>
      </c>
      <c r="Q49" s="62" t="str">
        <f>IFERROR(__xludf.DUMMYFUNCTION("IFNA(UNIQUE(FILTER(References!$F:$F,References!A:A=I49)), ""#Error: Reference ID"")"),"")</f>
        <v/>
      </c>
      <c r="R49" s="64" t="str">
        <f>IFERROR(__xludf.DUMMYFUNCTION("IF(LEN(A49)+LEN(D49)=0, """", CONCATENATE(D49, ,"" ("", TEXT(AD49*100, ""00""),""/"",TEXT(AB49*100, ""00""),"") "", UNIQUE(FILTER (T:T,S:S=A49&amp;D49)), H49,"";"", CHAR(10)))"),"")</f>
        <v/>
      </c>
      <c r="S49" s="64" t="str">
        <f t="shared" si="1"/>
        <v/>
      </c>
      <c r="T49" s="64" t="str">
        <f t="shared" si="2"/>
        <v>[]</v>
      </c>
      <c r="U49" s="83">
        <f t="shared" si="3"/>
        <v>0</v>
      </c>
      <c r="V49" s="83">
        <f t="shared" si="4"/>
        <v>0</v>
      </c>
      <c r="W49" s="97" t="str">
        <f>IFERROR(__xludf.DUMMYFUNCTION("IFNA(FILTER(AdminOnly!$B:$B,AdminOnly!$A:$A=P49),0)"),"#REF!")</f>
        <v>#REF!</v>
      </c>
      <c r="X49" s="101">
        <f>IFERROR(__xludf.DUMMYFUNCTION("IFNA(FILTER(AdminOnly!$F$2:$F$10,AdminOnly!$E$2:$E$10=Q49),0)"),0.0)</f>
        <v>0</v>
      </c>
      <c r="Y49" s="105">
        <f>IFERROR(__xludf.DUMMYFUNCTION("IFNA(FILTER(AdminOnly!$K$2:$K$10,AdminOnly!$H$2:$H$10=J49),0)"),0.0)</f>
        <v>0</v>
      </c>
      <c r="Z49" s="107">
        <f>IFERROR(__xludf.DUMMYFUNCTION("IFNA(FILTER(AdminOnly!$N$2:$N$20,AdminOnly!$M$2:$M$20=K49),0)"),0.0)</f>
        <v>0</v>
      </c>
      <c r="AA49" s="97">
        <f t="shared" si="5"/>
        <v>0</v>
      </c>
      <c r="AB49" s="97" t="str">
        <f>IFERROR(__xludf.DUMMYFUNCTION("MAX(FILTER ( AA:AA,S:S=A49&amp;D49))"),"#REF!")</f>
        <v>#REF!</v>
      </c>
      <c r="AC49" s="97">
        <f t="shared" si="6"/>
        <v>0</v>
      </c>
      <c r="AD49" s="97" t="str">
        <f>IFERROR(__xludf.DUMMYFUNCTION("MAX(FILTER ( AC:AC,S:S=A49&amp;D49))"),"#REF!")</f>
        <v>#REF!</v>
      </c>
      <c r="AE49" s="110"/>
      <c r="AF49" s="110"/>
      <c r="AG49" s="111"/>
      <c r="AH49" s="112"/>
      <c r="AI49" s="113"/>
      <c r="AJ49" s="114"/>
      <c r="AK49" s="111"/>
      <c r="AL49" s="111"/>
      <c r="AM49" s="111"/>
      <c r="AN49" s="111"/>
      <c r="AO49" s="110"/>
      <c r="AP49" s="115"/>
      <c r="AQ49" s="116"/>
      <c r="AR49" s="116"/>
      <c r="AS49" s="116"/>
    </row>
    <row r="50">
      <c r="A50" s="52"/>
      <c r="B50" s="60"/>
      <c r="C50" s="55"/>
      <c r="D50" s="60"/>
      <c r="E50" s="60"/>
      <c r="F50" s="55"/>
      <c r="G50" s="78"/>
      <c r="H50" s="78"/>
      <c r="I50" s="60"/>
      <c r="J50" s="118"/>
      <c r="K50" s="118"/>
      <c r="L50" s="55"/>
      <c r="M50" s="78"/>
      <c r="N50" s="55"/>
      <c r="O50" s="31" t="str">
        <f>IFERROR(__xludf.DUMMYFUNCTION("IFNA(UNIQUE(FILTER(References!$B:$B,References!A:A=I50)), ""#Error: Reference ID"")"),"")</f>
        <v/>
      </c>
      <c r="P50" s="59" t="str">
        <f>IFERROR(__xludf.DUMMYFUNCTION("IFNA(UNIQUE(FILTER(References!$J:$J,References!A:A=I50)), ""#Error: Reference ID"")"),"")</f>
        <v/>
      </c>
      <c r="Q50" s="62" t="str">
        <f>IFERROR(__xludf.DUMMYFUNCTION("IFNA(UNIQUE(FILTER(References!$F:$F,References!A:A=I50)), ""#Error: Reference ID"")"),"")</f>
        <v/>
      </c>
      <c r="R50" s="64" t="str">
        <f>IFERROR(__xludf.DUMMYFUNCTION("IF(LEN(A50)+LEN(D50)=0, """", CONCATENATE(D50, ,"" ("", TEXT(AD50*100, ""00""),""/"",TEXT(AB50*100, ""00""),"") "", UNIQUE(FILTER (T:T,S:S=A50&amp;D50)), H50,"";"", CHAR(10)))"),"")</f>
        <v/>
      </c>
      <c r="S50" s="64" t="str">
        <f t="shared" si="1"/>
        <v/>
      </c>
      <c r="T50" s="64" t="str">
        <f t="shared" si="2"/>
        <v>[]</v>
      </c>
      <c r="U50" s="83">
        <f t="shared" si="3"/>
        <v>0</v>
      </c>
      <c r="V50" s="83">
        <f t="shared" si="4"/>
        <v>0</v>
      </c>
      <c r="W50" s="97" t="str">
        <f>IFERROR(__xludf.DUMMYFUNCTION("IFNA(FILTER(AdminOnly!$B:$B,AdminOnly!$A:$A=P50),0)"),"#REF!")</f>
        <v>#REF!</v>
      </c>
      <c r="X50" s="101">
        <f>IFERROR(__xludf.DUMMYFUNCTION("IFNA(FILTER(AdminOnly!$F$2:$F$10,AdminOnly!$E$2:$E$10=Q50),0)"),0.0)</f>
        <v>0</v>
      </c>
      <c r="Y50" s="105">
        <f>IFERROR(__xludf.DUMMYFUNCTION("IFNA(FILTER(AdminOnly!$K$2:$K$10,AdminOnly!$H$2:$H$10=J50),0)"),0.0)</f>
        <v>0</v>
      </c>
      <c r="Z50" s="107">
        <f>IFERROR(__xludf.DUMMYFUNCTION("IFNA(FILTER(AdminOnly!$N$2:$N$20,AdminOnly!$M$2:$M$20=K50),0)"),0.0)</f>
        <v>0</v>
      </c>
      <c r="AA50" s="97">
        <f t="shared" si="5"/>
        <v>0</v>
      </c>
      <c r="AB50" s="97" t="str">
        <f>IFERROR(__xludf.DUMMYFUNCTION("MAX(FILTER ( AA:AA,S:S=A50&amp;D50))"),"#REF!")</f>
        <v>#REF!</v>
      </c>
      <c r="AC50" s="97">
        <f t="shared" si="6"/>
        <v>0</v>
      </c>
      <c r="AD50" s="97" t="str">
        <f>IFERROR(__xludf.DUMMYFUNCTION("MAX(FILTER ( AC:AC,S:S=A50&amp;D50))"),"#REF!")</f>
        <v>#REF!</v>
      </c>
      <c r="AE50" s="110"/>
      <c r="AF50" s="110"/>
      <c r="AG50" s="111"/>
      <c r="AH50" s="112"/>
      <c r="AI50" s="113"/>
      <c r="AJ50" s="114"/>
      <c r="AK50" s="111"/>
      <c r="AL50" s="111"/>
      <c r="AM50" s="111"/>
      <c r="AN50" s="111"/>
      <c r="AO50" s="110"/>
      <c r="AP50" s="115"/>
      <c r="AQ50" s="116"/>
      <c r="AR50" s="116"/>
      <c r="AS50" s="116"/>
    </row>
    <row r="51">
      <c r="A51" s="52"/>
      <c r="B51" s="60"/>
      <c r="C51" s="55"/>
      <c r="D51" s="60"/>
      <c r="E51" s="60"/>
      <c r="F51" s="55"/>
      <c r="G51" s="78"/>
      <c r="H51" s="78"/>
      <c r="I51" s="60"/>
      <c r="J51" s="118"/>
      <c r="K51" s="118"/>
      <c r="L51" s="55"/>
      <c r="M51" s="78"/>
      <c r="N51" s="55"/>
      <c r="O51" s="31" t="str">
        <f>IFERROR(__xludf.DUMMYFUNCTION("IFNA(UNIQUE(FILTER(References!$B:$B,References!A:A=I51)), ""#Error: Reference ID"")"),"")</f>
        <v/>
      </c>
      <c r="P51" s="59" t="str">
        <f>IFERROR(__xludf.DUMMYFUNCTION("IFNA(UNIQUE(FILTER(References!$J:$J,References!A:A=I51)), ""#Error: Reference ID"")"),"")</f>
        <v/>
      </c>
      <c r="Q51" s="62" t="str">
        <f>IFERROR(__xludf.DUMMYFUNCTION("IFNA(UNIQUE(FILTER(References!$F:$F,References!A:A=I51)), ""#Error: Reference ID"")"),"")</f>
        <v/>
      </c>
      <c r="R51" s="64" t="str">
        <f>IFERROR(__xludf.DUMMYFUNCTION("IF(LEN(A51)+LEN(D51)=0, """", CONCATENATE(D51, ,"" ("", TEXT(AD51*100, ""00""),""/"",TEXT(AB51*100, ""00""),"") "", UNIQUE(FILTER (T:T,S:S=A51&amp;D51)), H51,"";"", CHAR(10)))"),"")</f>
        <v/>
      </c>
      <c r="S51" s="64" t="str">
        <f t="shared" si="1"/>
        <v/>
      </c>
      <c r="T51" s="64" t="str">
        <f t="shared" si="2"/>
        <v>[]</v>
      </c>
      <c r="U51" s="83">
        <f t="shared" si="3"/>
        <v>0</v>
      </c>
      <c r="V51" s="83">
        <f t="shared" si="4"/>
        <v>0</v>
      </c>
      <c r="W51" s="97" t="str">
        <f>IFERROR(__xludf.DUMMYFUNCTION("IFNA(FILTER(AdminOnly!$B:$B,AdminOnly!$A:$A=P51),0)"),"#REF!")</f>
        <v>#REF!</v>
      </c>
      <c r="X51" s="101">
        <f>IFERROR(__xludf.DUMMYFUNCTION("IFNA(FILTER(AdminOnly!$F$2:$F$10,AdminOnly!$E$2:$E$10=Q51),0)"),0.0)</f>
        <v>0</v>
      </c>
      <c r="Y51" s="105">
        <f>IFERROR(__xludf.DUMMYFUNCTION("IFNA(FILTER(AdminOnly!$K$2:$K$10,AdminOnly!$H$2:$H$10=J51),0)"),0.0)</f>
        <v>0</v>
      </c>
      <c r="Z51" s="107">
        <f>IFERROR(__xludf.DUMMYFUNCTION("IFNA(FILTER(AdminOnly!$N$2:$N$20,AdminOnly!$M$2:$M$20=K51),0)"),0.0)</f>
        <v>0</v>
      </c>
      <c r="AA51" s="97">
        <f t="shared" si="5"/>
        <v>0</v>
      </c>
      <c r="AB51" s="97" t="str">
        <f>IFERROR(__xludf.DUMMYFUNCTION("MAX(FILTER ( AA:AA,S:S=A51&amp;D51))"),"#REF!")</f>
        <v>#REF!</v>
      </c>
      <c r="AC51" s="97">
        <f t="shared" si="6"/>
        <v>0</v>
      </c>
      <c r="AD51" s="97" t="str">
        <f>IFERROR(__xludf.DUMMYFUNCTION("MAX(FILTER ( AC:AC,S:S=A51&amp;D51))"),"#REF!")</f>
        <v>#REF!</v>
      </c>
      <c r="AE51" s="110"/>
      <c r="AF51" s="110"/>
      <c r="AG51" s="111"/>
      <c r="AH51" s="112"/>
      <c r="AI51" s="113"/>
      <c r="AJ51" s="114"/>
      <c r="AK51" s="111"/>
      <c r="AL51" s="111"/>
      <c r="AM51" s="111"/>
      <c r="AN51" s="111"/>
      <c r="AO51" s="110"/>
      <c r="AP51" s="115"/>
      <c r="AQ51" s="116"/>
      <c r="AR51" s="116"/>
      <c r="AS51" s="116"/>
    </row>
    <row r="52">
      <c r="A52" s="52"/>
      <c r="B52" s="60"/>
      <c r="C52" s="55"/>
      <c r="D52" s="60"/>
      <c r="E52" s="60"/>
      <c r="F52" s="55"/>
      <c r="G52" s="78"/>
      <c r="H52" s="78"/>
      <c r="I52" s="60"/>
      <c r="J52" s="118"/>
      <c r="K52" s="118"/>
      <c r="L52" s="55"/>
      <c r="M52" s="78"/>
      <c r="N52" s="55"/>
      <c r="O52" s="31" t="str">
        <f>IFERROR(__xludf.DUMMYFUNCTION("IFNA(UNIQUE(FILTER(References!$B:$B,References!A:A=I52)), ""#Error: Reference ID"")"),"")</f>
        <v/>
      </c>
      <c r="P52" s="59" t="str">
        <f>IFERROR(__xludf.DUMMYFUNCTION("IFNA(UNIQUE(FILTER(References!$J:$J,References!A:A=I52)), ""#Error: Reference ID"")"),"")</f>
        <v/>
      </c>
      <c r="Q52" s="62" t="str">
        <f>IFERROR(__xludf.DUMMYFUNCTION("IFNA(UNIQUE(FILTER(References!$F:$F,References!A:A=I52)), ""#Error: Reference ID"")"),"")</f>
        <v/>
      </c>
      <c r="R52" s="64" t="str">
        <f>IFERROR(__xludf.DUMMYFUNCTION("IF(LEN(A52)+LEN(D52)=0, """", CONCATENATE(D52, ,"" ("", TEXT(AD52*100, ""00""),""/"",TEXT(AB52*100, ""00""),"") "", UNIQUE(FILTER (T:T,S:S=A52&amp;D52)), H52,"";"", CHAR(10)))"),"")</f>
        <v/>
      </c>
      <c r="S52" s="64" t="str">
        <f t="shared" si="1"/>
        <v/>
      </c>
      <c r="T52" s="64" t="str">
        <f t="shared" si="2"/>
        <v>[]</v>
      </c>
      <c r="U52" s="83">
        <f t="shared" si="3"/>
        <v>0</v>
      </c>
      <c r="V52" s="83">
        <f t="shared" si="4"/>
        <v>0</v>
      </c>
      <c r="W52" s="97" t="str">
        <f>IFERROR(__xludf.DUMMYFUNCTION("IFNA(FILTER(AdminOnly!$B:$B,AdminOnly!$A:$A=P52),0)"),"#REF!")</f>
        <v>#REF!</v>
      </c>
      <c r="X52" s="101">
        <f>IFERROR(__xludf.DUMMYFUNCTION("IFNA(FILTER(AdminOnly!$F$2:$F$10,AdminOnly!$E$2:$E$10=Q52),0)"),0.0)</f>
        <v>0</v>
      </c>
      <c r="Y52" s="105">
        <f>IFERROR(__xludf.DUMMYFUNCTION("IFNA(FILTER(AdminOnly!$K$2:$K$10,AdminOnly!$H$2:$H$10=J52),0)"),0.0)</f>
        <v>0</v>
      </c>
      <c r="Z52" s="107">
        <f>IFERROR(__xludf.DUMMYFUNCTION("IFNA(FILTER(AdminOnly!$N$2:$N$20,AdminOnly!$M$2:$M$20=K52),0)"),0.0)</f>
        <v>0</v>
      </c>
      <c r="AA52" s="97">
        <f t="shared" si="5"/>
        <v>0</v>
      </c>
      <c r="AB52" s="97" t="str">
        <f>IFERROR(__xludf.DUMMYFUNCTION("MAX(FILTER ( AA:AA,S:S=A52&amp;D52))"),"#REF!")</f>
        <v>#REF!</v>
      </c>
      <c r="AC52" s="97">
        <f t="shared" si="6"/>
        <v>0</v>
      </c>
      <c r="AD52" s="97" t="str">
        <f>IFERROR(__xludf.DUMMYFUNCTION("MAX(FILTER ( AC:AC,S:S=A52&amp;D52))"),"#REF!")</f>
        <v>#REF!</v>
      </c>
      <c r="AE52" s="110"/>
      <c r="AF52" s="110"/>
      <c r="AG52" s="111"/>
      <c r="AH52" s="112"/>
      <c r="AI52" s="113"/>
      <c r="AJ52" s="114"/>
      <c r="AK52" s="111"/>
      <c r="AL52" s="111"/>
      <c r="AM52" s="111"/>
      <c r="AN52" s="111"/>
      <c r="AO52" s="110"/>
      <c r="AP52" s="115"/>
      <c r="AQ52" s="116"/>
      <c r="AR52" s="116"/>
      <c r="AS52" s="116"/>
    </row>
    <row r="53">
      <c r="A53" s="52"/>
      <c r="B53" s="60"/>
      <c r="C53" s="55"/>
      <c r="D53" s="60"/>
      <c r="E53" s="60"/>
      <c r="F53" s="55"/>
      <c r="G53" s="78"/>
      <c r="H53" s="78"/>
      <c r="I53" s="60"/>
      <c r="J53" s="118"/>
      <c r="K53" s="118"/>
      <c r="L53" s="55"/>
      <c r="M53" s="78"/>
      <c r="N53" s="55"/>
      <c r="O53" s="31" t="str">
        <f>IFERROR(__xludf.DUMMYFUNCTION("IFNA(UNIQUE(FILTER(References!$B:$B,References!A:A=I53)), ""#Error: Reference ID"")"),"")</f>
        <v/>
      </c>
      <c r="P53" s="59" t="str">
        <f>IFERROR(__xludf.DUMMYFUNCTION("IFNA(UNIQUE(FILTER(References!$J:$J,References!A:A=I53)), ""#Error: Reference ID"")"),"")</f>
        <v/>
      </c>
      <c r="Q53" s="62" t="str">
        <f>IFERROR(__xludf.DUMMYFUNCTION("IFNA(UNIQUE(FILTER(References!$F:$F,References!A:A=I53)), ""#Error: Reference ID"")"),"")</f>
        <v/>
      </c>
      <c r="R53" s="64" t="str">
        <f>IFERROR(__xludf.DUMMYFUNCTION("IF(LEN(A53)+LEN(D53)=0, """", CONCATENATE(D53, ,"" ("", TEXT(AD53*100, ""00""),""/"",TEXT(AB53*100, ""00""),"") "", UNIQUE(FILTER (T:T,S:S=A53&amp;D53)), H53,"";"", CHAR(10)))"),"")</f>
        <v/>
      </c>
      <c r="S53" s="64" t="str">
        <f t="shared" si="1"/>
        <v/>
      </c>
      <c r="T53" s="64" t="str">
        <f t="shared" si="2"/>
        <v>[]</v>
      </c>
      <c r="U53" s="83">
        <f t="shared" si="3"/>
        <v>0</v>
      </c>
      <c r="V53" s="83">
        <f t="shared" si="4"/>
        <v>0</v>
      </c>
      <c r="W53" s="97" t="str">
        <f>IFERROR(__xludf.DUMMYFUNCTION("IFNA(FILTER(AdminOnly!$B:$B,AdminOnly!$A:$A=P53),0)"),"#REF!")</f>
        <v>#REF!</v>
      </c>
      <c r="X53" s="101">
        <f>IFERROR(__xludf.DUMMYFUNCTION("IFNA(FILTER(AdminOnly!$F$2:$F$10,AdminOnly!$E$2:$E$10=Q53),0)"),0.0)</f>
        <v>0</v>
      </c>
      <c r="Y53" s="105">
        <f>IFERROR(__xludf.DUMMYFUNCTION("IFNA(FILTER(AdminOnly!$K$2:$K$10,AdminOnly!$H$2:$H$10=J53),0)"),0.0)</f>
        <v>0</v>
      </c>
      <c r="Z53" s="107">
        <f>IFERROR(__xludf.DUMMYFUNCTION("IFNA(FILTER(AdminOnly!$N$2:$N$20,AdminOnly!$M$2:$M$20=K53),0)"),0.0)</f>
        <v>0</v>
      </c>
      <c r="AA53" s="97">
        <f t="shared" si="5"/>
        <v>0</v>
      </c>
      <c r="AB53" s="97" t="str">
        <f>IFERROR(__xludf.DUMMYFUNCTION("MAX(FILTER ( AA:AA,S:S=A53&amp;D53))"),"#REF!")</f>
        <v>#REF!</v>
      </c>
      <c r="AC53" s="97">
        <f t="shared" si="6"/>
        <v>0</v>
      </c>
      <c r="AD53" s="97" t="str">
        <f>IFERROR(__xludf.DUMMYFUNCTION("MAX(FILTER ( AC:AC,S:S=A53&amp;D53))"),"#REF!")</f>
        <v>#REF!</v>
      </c>
      <c r="AE53" s="110"/>
      <c r="AF53" s="110"/>
      <c r="AG53" s="111"/>
      <c r="AH53" s="112"/>
      <c r="AI53" s="113"/>
      <c r="AJ53" s="114"/>
      <c r="AK53" s="111"/>
      <c r="AL53" s="111"/>
      <c r="AM53" s="111"/>
      <c r="AN53" s="111"/>
      <c r="AO53" s="110"/>
      <c r="AP53" s="115"/>
      <c r="AQ53" s="116"/>
      <c r="AR53" s="116"/>
      <c r="AS53" s="116"/>
    </row>
    <row r="54">
      <c r="A54" s="52"/>
      <c r="B54" s="60"/>
      <c r="C54" s="55"/>
      <c r="D54" s="60"/>
      <c r="E54" s="60"/>
      <c r="F54" s="55"/>
      <c r="G54" s="78"/>
      <c r="H54" s="78"/>
      <c r="I54" s="60"/>
      <c r="J54" s="118"/>
      <c r="K54" s="118"/>
      <c r="L54" s="55"/>
      <c r="M54" s="78"/>
      <c r="N54" s="55"/>
      <c r="O54" s="31" t="str">
        <f>IFERROR(__xludf.DUMMYFUNCTION("IFNA(UNIQUE(FILTER(References!$B:$B,References!A:A=I54)), ""#Error: Reference ID"")"),"")</f>
        <v/>
      </c>
      <c r="P54" s="59" t="str">
        <f>IFERROR(__xludf.DUMMYFUNCTION("IFNA(UNIQUE(FILTER(References!$J:$J,References!A:A=I54)), ""#Error: Reference ID"")"),"")</f>
        <v/>
      </c>
      <c r="Q54" s="62" t="str">
        <f>IFERROR(__xludf.DUMMYFUNCTION("IFNA(UNIQUE(FILTER(References!$F:$F,References!A:A=I54)), ""#Error: Reference ID"")"),"")</f>
        <v/>
      </c>
      <c r="R54" s="64" t="str">
        <f>IFERROR(__xludf.DUMMYFUNCTION("IF(LEN(A54)+LEN(D54)=0, """", CONCATENATE(D54, ,"" ("", TEXT(AD54*100, ""00""),""/"",TEXT(AB54*100, ""00""),"") "", UNIQUE(FILTER (T:T,S:S=A54&amp;D54)), H54,"";"", CHAR(10)))"),"")</f>
        <v/>
      </c>
      <c r="S54" s="64" t="str">
        <f t="shared" si="1"/>
        <v/>
      </c>
      <c r="T54" s="64" t="str">
        <f t="shared" si="2"/>
        <v>[]</v>
      </c>
      <c r="U54" s="83">
        <f t="shared" si="3"/>
        <v>0</v>
      </c>
      <c r="V54" s="83">
        <f t="shared" si="4"/>
        <v>0</v>
      </c>
      <c r="W54" s="97" t="str">
        <f>IFERROR(__xludf.DUMMYFUNCTION("IFNA(FILTER(AdminOnly!$B:$B,AdminOnly!$A:$A=P54),0)"),"#REF!")</f>
        <v>#REF!</v>
      </c>
      <c r="X54" s="101">
        <f>IFERROR(__xludf.DUMMYFUNCTION("IFNA(FILTER(AdminOnly!$F$2:$F$10,AdminOnly!$E$2:$E$10=Q54),0)"),0.0)</f>
        <v>0</v>
      </c>
      <c r="Y54" s="105">
        <f>IFERROR(__xludf.DUMMYFUNCTION("IFNA(FILTER(AdminOnly!$K$2:$K$10,AdminOnly!$H$2:$H$10=J54),0)"),0.0)</f>
        <v>0</v>
      </c>
      <c r="Z54" s="107">
        <f>IFERROR(__xludf.DUMMYFUNCTION("IFNA(FILTER(AdminOnly!$N$2:$N$20,AdminOnly!$M$2:$M$20=K54),0)"),0.0)</f>
        <v>0</v>
      </c>
      <c r="AA54" s="97">
        <f t="shared" si="5"/>
        <v>0</v>
      </c>
      <c r="AB54" s="97" t="str">
        <f>IFERROR(__xludf.DUMMYFUNCTION("MAX(FILTER ( AA:AA,S:S=A54&amp;D54))"),"#REF!")</f>
        <v>#REF!</v>
      </c>
      <c r="AC54" s="97">
        <f t="shared" si="6"/>
        <v>0</v>
      </c>
      <c r="AD54" s="97" t="str">
        <f>IFERROR(__xludf.DUMMYFUNCTION("MAX(FILTER ( AC:AC,S:S=A54&amp;D54))"),"#REF!")</f>
        <v>#REF!</v>
      </c>
      <c r="AE54" s="110"/>
      <c r="AF54" s="110"/>
      <c r="AG54" s="111"/>
      <c r="AH54" s="112"/>
      <c r="AI54" s="113"/>
      <c r="AJ54" s="114"/>
      <c r="AK54" s="111"/>
      <c r="AL54" s="111"/>
      <c r="AM54" s="111"/>
      <c r="AN54" s="111"/>
      <c r="AO54" s="110"/>
      <c r="AP54" s="115"/>
      <c r="AQ54" s="116"/>
      <c r="AR54" s="116"/>
      <c r="AS54" s="116"/>
    </row>
    <row r="55">
      <c r="A55" s="52"/>
      <c r="B55" s="60"/>
      <c r="C55" s="55"/>
      <c r="D55" s="60"/>
      <c r="E55" s="60"/>
      <c r="F55" s="55"/>
      <c r="G55" s="78"/>
      <c r="H55" s="78"/>
      <c r="I55" s="60"/>
      <c r="J55" s="118"/>
      <c r="K55" s="118"/>
      <c r="L55" s="55"/>
      <c r="M55" s="78"/>
      <c r="N55" s="55"/>
      <c r="O55" s="31" t="str">
        <f>IFERROR(__xludf.DUMMYFUNCTION("IFNA(UNIQUE(FILTER(References!$B:$B,References!A:A=I55)), ""#Error: Reference ID"")"),"")</f>
        <v/>
      </c>
      <c r="P55" s="59" t="str">
        <f>IFERROR(__xludf.DUMMYFUNCTION("IFNA(UNIQUE(FILTER(References!$J:$J,References!A:A=I55)), ""#Error: Reference ID"")"),"")</f>
        <v/>
      </c>
      <c r="Q55" s="62" t="str">
        <f>IFERROR(__xludf.DUMMYFUNCTION("IFNA(UNIQUE(FILTER(References!$F:$F,References!A:A=I55)), ""#Error: Reference ID"")"),"")</f>
        <v/>
      </c>
      <c r="R55" s="64" t="str">
        <f>IFERROR(__xludf.DUMMYFUNCTION("IF(LEN(A55)+LEN(D55)=0, """", CONCATENATE(D55, ,"" ("", TEXT(AD55*100, ""00""),""/"",TEXT(AB55*100, ""00""),"") "", UNIQUE(FILTER (T:T,S:S=A55&amp;D55)), H55,"";"", CHAR(10)))"),"")</f>
        <v/>
      </c>
      <c r="S55" s="64" t="str">
        <f t="shared" si="1"/>
        <v/>
      </c>
      <c r="T55" s="64" t="str">
        <f t="shared" si="2"/>
        <v>[]</v>
      </c>
      <c r="U55" s="83">
        <f t="shared" si="3"/>
        <v>0</v>
      </c>
      <c r="V55" s="83">
        <f t="shared" si="4"/>
        <v>0</v>
      </c>
      <c r="W55" s="97" t="str">
        <f>IFERROR(__xludf.DUMMYFUNCTION("IFNA(FILTER(AdminOnly!$B:$B,AdminOnly!$A:$A=P55),0)"),"#REF!")</f>
        <v>#REF!</v>
      </c>
      <c r="X55" s="101">
        <f>IFERROR(__xludf.DUMMYFUNCTION("IFNA(FILTER(AdminOnly!$F$2:$F$10,AdminOnly!$E$2:$E$10=Q55),0)"),0.0)</f>
        <v>0</v>
      </c>
      <c r="Y55" s="105">
        <f>IFERROR(__xludf.DUMMYFUNCTION("IFNA(FILTER(AdminOnly!$K$2:$K$10,AdminOnly!$H$2:$H$10=J55),0)"),0.0)</f>
        <v>0</v>
      </c>
      <c r="Z55" s="107">
        <f>IFERROR(__xludf.DUMMYFUNCTION("IFNA(FILTER(AdminOnly!$N$2:$N$20,AdminOnly!$M$2:$M$20=K55),0)"),0.0)</f>
        <v>0</v>
      </c>
      <c r="AA55" s="97">
        <f t="shared" si="5"/>
        <v>0</v>
      </c>
      <c r="AB55" s="97" t="str">
        <f>IFERROR(__xludf.DUMMYFUNCTION("MAX(FILTER ( AA:AA,S:S=A55&amp;D55))"),"#REF!")</f>
        <v>#REF!</v>
      </c>
      <c r="AC55" s="97">
        <f t="shared" si="6"/>
        <v>0</v>
      </c>
      <c r="AD55" s="97" t="str">
        <f>IFERROR(__xludf.DUMMYFUNCTION("MAX(FILTER ( AC:AC,S:S=A55&amp;D55))"),"#REF!")</f>
        <v>#REF!</v>
      </c>
      <c r="AE55" s="110"/>
      <c r="AF55" s="110"/>
      <c r="AG55" s="111"/>
      <c r="AH55" s="112"/>
      <c r="AI55" s="113"/>
      <c r="AJ55" s="114"/>
      <c r="AK55" s="111"/>
      <c r="AL55" s="111"/>
      <c r="AM55" s="111"/>
      <c r="AN55" s="111"/>
      <c r="AO55" s="110"/>
      <c r="AP55" s="115"/>
      <c r="AQ55" s="116"/>
      <c r="AR55" s="116"/>
      <c r="AS55" s="116"/>
    </row>
    <row r="56">
      <c r="A56" s="52"/>
      <c r="B56" s="60"/>
      <c r="C56" s="55"/>
      <c r="D56" s="60"/>
      <c r="E56" s="60"/>
      <c r="F56" s="55"/>
      <c r="G56" s="78"/>
      <c r="H56" s="78"/>
      <c r="I56" s="60"/>
      <c r="J56" s="118"/>
      <c r="K56" s="118"/>
      <c r="L56" s="55"/>
      <c r="M56" s="78"/>
      <c r="N56" s="55"/>
      <c r="O56" s="31" t="str">
        <f>IFERROR(__xludf.DUMMYFUNCTION("IFNA(UNIQUE(FILTER(References!$B:$B,References!A:A=I56)), ""#Error: Reference ID"")"),"")</f>
        <v/>
      </c>
      <c r="P56" s="59" t="str">
        <f>IFERROR(__xludf.DUMMYFUNCTION("IFNA(UNIQUE(FILTER(References!$J:$J,References!A:A=I56)), ""#Error: Reference ID"")"),"")</f>
        <v/>
      </c>
      <c r="Q56" s="62" t="str">
        <f>IFERROR(__xludf.DUMMYFUNCTION("IFNA(UNIQUE(FILTER(References!$F:$F,References!A:A=I56)), ""#Error: Reference ID"")"),"")</f>
        <v/>
      </c>
      <c r="R56" s="64" t="str">
        <f>IFERROR(__xludf.DUMMYFUNCTION("IF(LEN(A56)+LEN(D56)=0, """", CONCATENATE(D56, ,"" ("", TEXT(AD56*100, ""00""),""/"",TEXT(AB56*100, ""00""),"") "", UNIQUE(FILTER (T:T,S:S=A56&amp;D56)), H56,"";"", CHAR(10)))"),"")</f>
        <v/>
      </c>
      <c r="S56" s="64" t="str">
        <f t="shared" si="1"/>
        <v/>
      </c>
      <c r="T56" s="64" t="str">
        <f t="shared" si="2"/>
        <v>[]</v>
      </c>
      <c r="U56" s="83">
        <f t="shared" si="3"/>
        <v>0</v>
      </c>
      <c r="V56" s="83">
        <f t="shared" si="4"/>
        <v>0</v>
      </c>
      <c r="W56" s="97" t="str">
        <f>IFERROR(__xludf.DUMMYFUNCTION("IFNA(FILTER(AdminOnly!$B:$B,AdminOnly!$A:$A=P56),0)"),"#REF!")</f>
        <v>#REF!</v>
      </c>
      <c r="X56" s="101">
        <f>IFERROR(__xludf.DUMMYFUNCTION("IFNA(FILTER(AdminOnly!$F$2:$F$10,AdminOnly!$E$2:$E$10=Q56),0)"),0.0)</f>
        <v>0</v>
      </c>
      <c r="Y56" s="105">
        <f>IFERROR(__xludf.DUMMYFUNCTION("IFNA(FILTER(AdminOnly!$K$2:$K$10,AdminOnly!$H$2:$H$10=J56),0)"),0.0)</f>
        <v>0</v>
      </c>
      <c r="Z56" s="107">
        <f>IFERROR(__xludf.DUMMYFUNCTION("IFNA(FILTER(AdminOnly!$N$2:$N$20,AdminOnly!$M$2:$M$20=K56),0)"),0.0)</f>
        <v>0</v>
      </c>
      <c r="AA56" s="97">
        <f t="shared" si="5"/>
        <v>0</v>
      </c>
      <c r="AB56" s="97" t="str">
        <f>IFERROR(__xludf.DUMMYFUNCTION("MAX(FILTER ( AA:AA,S:S=A56&amp;D56))"),"#REF!")</f>
        <v>#REF!</v>
      </c>
      <c r="AC56" s="97">
        <f t="shared" si="6"/>
        <v>0</v>
      </c>
      <c r="AD56" s="97" t="str">
        <f>IFERROR(__xludf.DUMMYFUNCTION("MAX(FILTER ( AC:AC,S:S=A56&amp;D56))"),"#REF!")</f>
        <v>#REF!</v>
      </c>
      <c r="AE56" s="110"/>
      <c r="AF56" s="110"/>
      <c r="AG56" s="111"/>
      <c r="AH56" s="112"/>
      <c r="AI56" s="113"/>
      <c r="AJ56" s="114"/>
      <c r="AK56" s="111"/>
      <c r="AL56" s="111"/>
      <c r="AM56" s="111"/>
      <c r="AN56" s="111"/>
      <c r="AO56" s="110"/>
      <c r="AP56" s="115"/>
      <c r="AQ56" s="116"/>
      <c r="AR56" s="116"/>
      <c r="AS56" s="116"/>
    </row>
    <row r="57">
      <c r="A57" s="52"/>
      <c r="B57" s="60"/>
      <c r="C57" s="55"/>
      <c r="D57" s="60"/>
      <c r="E57" s="60"/>
      <c r="F57" s="55"/>
      <c r="G57" s="78"/>
      <c r="H57" s="78"/>
      <c r="I57" s="60"/>
      <c r="J57" s="118"/>
      <c r="K57" s="118"/>
      <c r="L57" s="55"/>
      <c r="M57" s="78"/>
      <c r="N57" s="55"/>
      <c r="O57" s="31" t="str">
        <f>IFERROR(__xludf.DUMMYFUNCTION("IFNA(UNIQUE(FILTER(References!$B:$B,References!A:A=I57)), ""#Error: Reference ID"")"),"")</f>
        <v/>
      </c>
      <c r="P57" s="59" t="str">
        <f>IFERROR(__xludf.DUMMYFUNCTION("IFNA(UNIQUE(FILTER(References!$J:$J,References!A:A=I57)), ""#Error: Reference ID"")"),"")</f>
        <v/>
      </c>
      <c r="Q57" s="62" t="str">
        <f>IFERROR(__xludf.DUMMYFUNCTION("IFNA(UNIQUE(FILTER(References!$F:$F,References!A:A=I57)), ""#Error: Reference ID"")"),"")</f>
        <v/>
      </c>
      <c r="R57" s="64" t="str">
        <f>IFERROR(__xludf.DUMMYFUNCTION("IF(LEN(A57)+LEN(D57)=0, """", CONCATENATE(D57, ,"" ("", TEXT(AD57*100, ""00""),""/"",TEXT(AB57*100, ""00""),"") "", UNIQUE(FILTER (T:T,S:S=A57&amp;D57)), H57,"";"", CHAR(10)))"),"")</f>
        <v/>
      </c>
      <c r="S57" s="64" t="str">
        <f t="shared" si="1"/>
        <v/>
      </c>
      <c r="T57" s="64" t="str">
        <f t="shared" si="2"/>
        <v>[]</v>
      </c>
      <c r="U57" s="83">
        <f t="shared" si="3"/>
        <v>0</v>
      </c>
      <c r="V57" s="83">
        <f t="shared" si="4"/>
        <v>0</v>
      </c>
      <c r="W57" s="97" t="str">
        <f>IFERROR(__xludf.DUMMYFUNCTION("IFNA(FILTER(AdminOnly!$B:$B,AdminOnly!$A:$A=P57),0)"),"#REF!")</f>
        <v>#REF!</v>
      </c>
      <c r="X57" s="101">
        <f>IFERROR(__xludf.DUMMYFUNCTION("IFNA(FILTER(AdminOnly!$F$2:$F$10,AdminOnly!$E$2:$E$10=Q57),0)"),0.0)</f>
        <v>0</v>
      </c>
      <c r="Y57" s="105">
        <f>IFERROR(__xludf.DUMMYFUNCTION("IFNA(FILTER(AdminOnly!$K$2:$K$10,AdminOnly!$H$2:$H$10=J57),0)"),0.0)</f>
        <v>0</v>
      </c>
      <c r="Z57" s="107">
        <f>IFERROR(__xludf.DUMMYFUNCTION("IFNA(FILTER(AdminOnly!$N$2:$N$20,AdminOnly!$M$2:$M$20=K57),0)"),0.0)</f>
        <v>0</v>
      </c>
      <c r="AA57" s="97">
        <f t="shared" si="5"/>
        <v>0</v>
      </c>
      <c r="AB57" s="97" t="str">
        <f>IFERROR(__xludf.DUMMYFUNCTION("MAX(FILTER ( AA:AA,S:S=A57&amp;D57))"),"#REF!")</f>
        <v>#REF!</v>
      </c>
      <c r="AC57" s="97">
        <f t="shared" si="6"/>
        <v>0</v>
      </c>
      <c r="AD57" s="97" t="str">
        <f>IFERROR(__xludf.DUMMYFUNCTION("MAX(FILTER ( AC:AC,S:S=A57&amp;D57))"),"#REF!")</f>
        <v>#REF!</v>
      </c>
      <c r="AE57" s="110"/>
      <c r="AF57" s="110"/>
      <c r="AG57" s="111"/>
      <c r="AH57" s="112"/>
      <c r="AI57" s="113"/>
      <c r="AJ57" s="114"/>
      <c r="AK57" s="111"/>
      <c r="AL57" s="111"/>
      <c r="AM57" s="111"/>
      <c r="AN57" s="111"/>
      <c r="AO57" s="110"/>
      <c r="AP57" s="115"/>
      <c r="AQ57" s="116"/>
      <c r="AR57" s="116"/>
      <c r="AS57" s="116"/>
    </row>
    <row r="58">
      <c r="A58" s="52"/>
      <c r="B58" s="60"/>
      <c r="C58" s="55"/>
      <c r="D58" s="60"/>
      <c r="E58" s="60"/>
      <c r="F58" s="55"/>
      <c r="G58" s="78"/>
      <c r="H58" s="78"/>
      <c r="I58" s="60"/>
      <c r="J58" s="118"/>
      <c r="K58" s="118"/>
      <c r="L58" s="55"/>
      <c r="M58" s="78"/>
      <c r="N58" s="55"/>
      <c r="O58" s="31" t="str">
        <f>IFERROR(__xludf.DUMMYFUNCTION("IFNA(UNIQUE(FILTER(References!$B:$B,References!A:A=I58)), ""#Error: Reference ID"")"),"")</f>
        <v/>
      </c>
      <c r="P58" s="59" t="str">
        <f>IFERROR(__xludf.DUMMYFUNCTION("IFNA(UNIQUE(FILTER(References!$J:$J,References!A:A=I58)), ""#Error: Reference ID"")"),"")</f>
        <v/>
      </c>
      <c r="Q58" s="62" t="str">
        <f>IFERROR(__xludf.DUMMYFUNCTION("IFNA(UNIQUE(FILTER(References!$F:$F,References!A:A=I58)), ""#Error: Reference ID"")"),"")</f>
        <v/>
      </c>
      <c r="R58" s="64" t="str">
        <f>IFERROR(__xludf.DUMMYFUNCTION("IF(LEN(A58)+LEN(D58)=0, """", CONCATENATE(D58, ,"" ("", TEXT(AD58*100, ""00""),""/"",TEXT(AB58*100, ""00""),"") "", UNIQUE(FILTER (T:T,S:S=A58&amp;D58)), H58,"";"", CHAR(10)))"),"")</f>
        <v/>
      </c>
      <c r="S58" s="64" t="str">
        <f t="shared" si="1"/>
        <v/>
      </c>
      <c r="T58" s="64" t="str">
        <f t="shared" si="2"/>
        <v>[]</v>
      </c>
      <c r="U58" s="83">
        <f t="shared" si="3"/>
        <v>0</v>
      </c>
      <c r="V58" s="83">
        <f t="shared" si="4"/>
        <v>0</v>
      </c>
      <c r="W58" s="97" t="str">
        <f>IFERROR(__xludf.DUMMYFUNCTION("IFNA(FILTER(AdminOnly!$B:$B,AdminOnly!$A:$A=P58),0)"),"#REF!")</f>
        <v>#REF!</v>
      </c>
      <c r="X58" s="101">
        <f>IFERROR(__xludf.DUMMYFUNCTION("IFNA(FILTER(AdminOnly!$F$2:$F$10,AdminOnly!$E$2:$E$10=Q58),0)"),0.0)</f>
        <v>0</v>
      </c>
      <c r="Y58" s="105">
        <f>IFERROR(__xludf.DUMMYFUNCTION("IFNA(FILTER(AdminOnly!$K$2:$K$10,AdminOnly!$H$2:$H$10=J58),0)"),0.0)</f>
        <v>0</v>
      </c>
      <c r="Z58" s="107">
        <f>IFERROR(__xludf.DUMMYFUNCTION("IFNA(FILTER(AdminOnly!$N$2:$N$20,AdminOnly!$M$2:$M$20=K58),0)"),0.0)</f>
        <v>0</v>
      </c>
      <c r="AA58" s="97">
        <f t="shared" si="5"/>
        <v>0</v>
      </c>
      <c r="AB58" s="97" t="str">
        <f>IFERROR(__xludf.DUMMYFUNCTION("MAX(FILTER ( AA:AA,S:S=A58&amp;D58))"),"#REF!")</f>
        <v>#REF!</v>
      </c>
      <c r="AC58" s="97">
        <f t="shared" si="6"/>
        <v>0</v>
      </c>
      <c r="AD58" s="97" t="str">
        <f>IFERROR(__xludf.DUMMYFUNCTION("MAX(FILTER ( AC:AC,S:S=A58&amp;D58))"),"#REF!")</f>
        <v>#REF!</v>
      </c>
      <c r="AE58" s="110"/>
      <c r="AF58" s="110"/>
      <c r="AG58" s="111"/>
      <c r="AH58" s="112"/>
      <c r="AI58" s="113"/>
      <c r="AJ58" s="114"/>
      <c r="AK58" s="111"/>
      <c r="AL58" s="111"/>
      <c r="AM58" s="111"/>
      <c r="AN58" s="111"/>
      <c r="AO58" s="110"/>
      <c r="AP58" s="115"/>
      <c r="AQ58" s="116"/>
      <c r="AR58" s="116"/>
      <c r="AS58" s="116"/>
    </row>
    <row r="59">
      <c r="A59" s="52"/>
      <c r="B59" s="60"/>
      <c r="C59" s="55"/>
      <c r="D59" s="60"/>
      <c r="E59" s="60"/>
      <c r="F59" s="55"/>
      <c r="G59" s="78"/>
      <c r="H59" s="78"/>
      <c r="I59" s="60"/>
      <c r="J59" s="118"/>
      <c r="K59" s="118"/>
      <c r="L59" s="55"/>
      <c r="M59" s="60"/>
      <c r="N59" s="55"/>
      <c r="O59" s="31" t="str">
        <f>IFERROR(__xludf.DUMMYFUNCTION("IFNA(UNIQUE(FILTER(References!$B:$B,References!A:A=I59)), ""#Error: Reference ID"")"),"")</f>
        <v/>
      </c>
      <c r="P59" s="59" t="str">
        <f>IFERROR(__xludf.DUMMYFUNCTION("IFNA(UNIQUE(FILTER(References!$J:$J,References!A:A=I59)), ""#Error: Reference ID"")"),"")</f>
        <v/>
      </c>
      <c r="Q59" s="62" t="str">
        <f>IFERROR(__xludf.DUMMYFUNCTION("IFNA(UNIQUE(FILTER(References!$F:$F,References!A:A=I59)), ""#Error: Reference ID"")"),"")</f>
        <v/>
      </c>
      <c r="R59" s="64" t="str">
        <f>IFERROR(__xludf.DUMMYFUNCTION("IF(LEN(A59)+LEN(D59)=0, """", CONCATENATE(D59, ,"" ("", TEXT(AD59*100, ""00""),""/"",TEXT(AB59*100, ""00""),"") "", UNIQUE(FILTER (T:T,S:S=A59&amp;D59)), H59,"";"", CHAR(10)))"),"")</f>
        <v/>
      </c>
      <c r="S59" s="64" t="str">
        <f t="shared" si="1"/>
        <v/>
      </c>
      <c r="T59" s="64" t="str">
        <f t="shared" si="2"/>
        <v>[]</v>
      </c>
      <c r="U59" s="83">
        <f t="shared" si="3"/>
        <v>0</v>
      </c>
      <c r="V59" s="83">
        <f t="shared" si="4"/>
        <v>0</v>
      </c>
      <c r="W59" s="97" t="str">
        <f>IFERROR(__xludf.DUMMYFUNCTION("IFNA(FILTER(AdminOnly!$B:$B,AdminOnly!$A:$A=P59),0)"),"#REF!")</f>
        <v>#REF!</v>
      </c>
      <c r="X59" s="101">
        <f>IFERROR(__xludf.DUMMYFUNCTION("IFNA(FILTER(AdminOnly!$F$2:$F$10,AdminOnly!$E$2:$E$10=Q59),0)"),0.0)</f>
        <v>0</v>
      </c>
      <c r="Y59" s="105">
        <f>IFERROR(__xludf.DUMMYFUNCTION("IFNA(FILTER(AdminOnly!$K$2:$K$10,AdminOnly!$H$2:$H$10=J59),0)"),0.0)</f>
        <v>0</v>
      </c>
      <c r="Z59" s="107">
        <f>IFERROR(__xludf.DUMMYFUNCTION("IFNA(FILTER(AdminOnly!$N$2:$N$20,AdminOnly!$M$2:$M$20=K59),0)"),0.0)</f>
        <v>0</v>
      </c>
      <c r="AA59" s="97">
        <f t="shared" si="5"/>
        <v>0</v>
      </c>
      <c r="AB59" s="97" t="str">
        <f>IFERROR(__xludf.DUMMYFUNCTION("MAX(FILTER ( AA:AA,S:S=A59&amp;D59))"),"#REF!")</f>
        <v>#REF!</v>
      </c>
      <c r="AC59" s="97">
        <f t="shared" si="6"/>
        <v>0</v>
      </c>
      <c r="AD59" s="97" t="str">
        <f>IFERROR(__xludf.DUMMYFUNCTION("MAX(FILTER ( AC:AC,S:S=A59&amp;D59))"),"#REF!")</f>
        <v>#REF!</v>
      </c>
      <c r="AE59" s="110"/>
      <c r="AF59" s="110"/>
      <c r="AG59" s="111"/>
      <c r="AH59" s="112"/>
      <c r="AI59" s="113"/>
      <c r="AJ59" s="114"/>
      <c r="AK59" s="111"/>
      <c r="AL59" s="111"/>
      <c r="AM59" s="111"/>
      <c r="AN59" s="111"/>
      <c r="AO59" s="110"/>
      <c r="AP59" s="115"/>
      <c r="AQ59" s="116"/>
      <c r="AR59" s="116"/>
      <c r="AS59" s="116"/>
    </row>
    <row r="60">
      <c r="A60" s="52"/>
      <c r="B60" s="60"/>
      <c r="C60" s="55"/>
      <c r="D60" s="60"/>
      <c r="E60" s="60"/>
      <c r="F60" s="55"/>
      <c r="G60" s="78"/>
      <c r="H60" s="78"/>
      <c r="I60" s="60"/>
      <c r="J60" s="118"/>
      <c r="K60" s="118"/>
      <c r="L60" s="55"/>
      <c r="M60" s="60"/>
      <c r="N60" s="55"/>
      <c r="O60" s="31" t="str">
        <f>IFERROR(__xludf.DUMMYFUNCTION("IFNA(UNIQUE(FILTER(References!$B:$B,References!A:A=I60)), ""#Error: Reference ID"")"),"")</f>
        <v/>
      </c>
      <c r="P60" s="59" t="str">
        <f>IFERROR(__xludf.DUMMYFUNCTION("IFNA(UNIQUE(FILTER(References!$J:$J,References!A:A=I60)), ""#Error: Reference ID"")"),"")</f>
        <v/>
      </c>
      <c r="Q60" s="62" t="str">
        <f>IFERROR(__xludf.DUMMYFUNCTION("IFNA(UNIQUE(FILTER(References!$F:$F,References!A:A=I60)), ""#Error: Reference ID"")"),"")</f>
        <v/>
      </c>
      <c r="R60" s="64" t="str">
        <f>IFERROR(__xludf.DUMMYFUNCTION("IF(LEN(A60)+LEN(D60)=0, """", CONCATENATE(D60, ,"" ("", TEXT(AD60*100, ""00""),""/"",TEXT(AB60*100, ""00""),"") "", UNIQUE(FILTER (T:T,S:S=A60&amp;D60)), H60,"";"", CHAR(10)))"),"")</f>
        <v/>
      </c>
      <c r="S60" s="64" t="str">
        <f t="shared" si="1"/>
        <v/>
      </c>
      <c r="T60" s="64" t="str">
        <f t="shared" si="2"/>
        <v>[]</v>
      </c>
      <c r="U60" s="83">
        <f t="shared" si="3"/>
        <v>0</v>
      </c>
      <c r="V60" s="83">
        <f t="shared" si="4"/>
        <v>0</v>
      </c>
      <c r="W60" s="97" t="str">
        <f>IFERROR(__xludf.DUMMYFUNCTION("IFNA(FILTER(AdminOnly!$B:$B,AdminOnly!$A:$A=P60),0)"),"#REF!")</f>
        <v>#REF!</v>
      </c>
      <c r="X60" s="101">
        <f>IFERROR(__xludf.DUMMYFUNCTION("IFNA(FILTER(AdminOnly!$F$2:$F$10,AdminOnly!$E$2:$E$10=Q60),0)"),0.0)</f>
        <v>0</v>
      </c>
      <c r="Y60" s="105">
        <f>IFERROR(__xludf.DUMMYFUNCTION("IFNA(FILTER(AdminOnly!$K$2:$K$10,AdminOnly!$H$2:$H$10=J60),0)"),0.0)</f>
        <v>0</v>
      </c>
      <c r="Z60" s="107">
        <f>IFERROR(__xludf.DUMMYFUNCTION("IFNA(FILTER(AdminOnly!$N$2:$N$20,AdminOnly!$M$2:$M$20=K60),0)"),0.0)</f>
        <v>0</v>
      </c>
      <c r="AA60" s="97">
        <f t="shared" si="5"/>
        <v>0</v>
      </c>
      <c r="AB60" s="97" t="str">
        <f>IFERROR(__xludf.DUMMYFUNCTION("MAX(FILTER ( AA:AA,S:S=A60&amp;D60))"),"#REF!")</f>
        <v>#REF!</v>
      </c>
      <c r="AC60" s="97">
        <f t="shared" si="6"/>
        <v>0</v>
      </c>
      <c r="AD60" s="97" t="str">
        <f>IFERROR(__xludf.DUMMYFUNCTION("MAX(FILTER ( AC:AC,S:S=A60&amp;D60))"),"#REF!")</f>
        <v>#REF!</v>
      </c>
      <c r="AE60" s="110"/>
      <c r="AF60" s="110"/>
      <c r="AG60" s="111"/>
      <c r="AH60" s="112"/>
      <c r="AI60" s="113"/>
      <c r="AJ60" s="114"/>
      <c r="AK60" s="111"/>
      <c r="AL60" s="111"/>
      <c r="AM60" s="111"/>
      <c r="AN60" s="111"/>
      <c r="AO60" s="110"/>
      <c r="AP60" s="115"/>
      <c r="AQ60" s="116"/>
      <c r="AR60" s="116"/>
      <c r="AS60" s="116"/>
    </row>
    <row r="61">
      <c r="A61" s="52"/>
      <c r="B61" s="60"/>
      <c r="C61" s="55"/>
      <c r="D61" s="60"/>
      <c r="E61" s="60"/>
      <c r="F61" s="55"/>
      <c r="G61" s="78"/>
      <c r="H61" s="78"/>
      <c r="I61" s="60"/>
      <c r="J61" s="118"/>
      <c r="K61" s="118"/>
      <c r="L61" s="55"/>
      <c r="M61" s="60"/>
      <c r="N61" s="55"/>
      <c r="O61" s="31" t="str">
        <f>IFERROR(__xludf.DUMMYFUNCTION("IFNA(UNIQUE(FILTER(References!$B:$B,References!A:A=I61)), ""#Error: Reference ID"")"),"")</f>
        <v/>
      </c>
      <c r="P61" s="59" t="str">
        <f>IFERROR(__xludf.DUMMYFUNCTION("IFNA(UNIQUE(FILTER(References!$J:$J,References!A:A=I61)), ""#Error: Reference ID"")"),"")</f>
        <v/>
      </c>
      <c r="Q61" s="62" t="str">
        <f>IFERROR(__xludf.DUMMYFUNCTION("IFNA(UNIQUE(FILTER(References!$F:$F,References!A:A=I61)), ""#Error: Reference ID"")"),"")</f>
        <v/>
      </c>
      <c r="R61" s="64" t="str">
        <f>IFERROR(__xludf.DUMMYFUNCTION("IF(LEN(A61)+LEN(D61)=0, """", CONCATENATE(D61, ,"" ("", TEXT(AD61*100, ""00""),""/"",TEXT(AB61*100, ""00""),"") "", UNIQUE(FILTER (T:T,S:S=A61&amp;D61)), H61,"";"", CHAR(10)))"),"")</f>
        <v/>
      </c>
      <c r="S61" s="64" t="str">
        <f t="shared" si="1"/>
        <v/>
      </c>
      <c r="T61" s="64" t="str">
        <f t="shared" si="2"/>
        <v>[]</v>
      </c>
      <c r="U61" s="83">
        <f t="shared" si="3"/>
        <v>0</v>
      </c>
      <c r="V61" s="83">
        <f t="shared" si="4"/>
        <v>0</v>
      </c>
      <c r="W61" s="97" t="str">
        <f>IFERROR(__xludf.DUMMYFUNCTION("IFNA(FILTER(AdminOnly!$B:$B,AdminOnly!$A:$A=P61),0)"),"#REF!")</f>
        <v>#REF!</v>
      </c>
      <c r="X61" s="101">
        <f>IFERROR(__xludf.DUMMYFUNCTION("IFNA(FILTER(AdminOnly!$F$2:$F$10,AdminOnly!$E$2:$E$10=Q61),0)"),0.0)</f>
        <v>0</v>
      </c>
      <c r="Y61" s="105">
        <f>IFERROR(__xludf.DUMMYFUNCTION("IFNA(FILTER(AdminOnly!$K$2:$K$10,AdminOnly!$H$2:$H$10=J61),0)"),0.0)</f>
        <v>0</v>
      </c>
      <c r="Z61" s="107">
        <f>IFERROR(__xludf.DUMMYFUNCTION("IFNA(FILTER(AdminOnly!$N$2:$N$20,AdminOnly!$M$2:$M$20=K61),0)"),0.0)</f>
        <v>0</v>
      </c>
      <c r="AA61" s="97">
        <f t="shared" si="5"/>
        <v>0</v>
      </c>
      <c r="AB61" s="97" t="str">
        <f>IFERROR(__xludf.DUMMYFUNCTION("MAX(FILTER ( AA:AA,S:S=A61&amp;D61))"),"#REF!")</f>
        <v>#REF!</v>
      </c>
      <c r="AC61" s="97">
        <f t="shared" si="6"/>
        <v>0</v>
      </c>
      <c r="AD61" s="97" t="str">
        <f>IFERROR(__xludf.DUMMYFUNCTION("MAX(FILTER ( AC:AC,S:S=A61&amp;D61))"),"#REF!")</f>
        <v>#REF!</v>
      </c>
      <c r="AE61" s="110"/>
      <c r="AF61" s="110"/>
      <c r="AG61" s="111"/>
      <c r="AH61" s="112"/>
      <c r="AI61" s="113"/>
      <c r="AJ61" s="114"/>
      <c r="AK61" s="111"/>
      <c r="AL61" s="111"/>
      <c r="AM61" s="111"/>
      <c r="AN61" s="111"/>
      <c r="AO61" s="110"/>
      <c r="AP61" s="115"/>
      <c r="AQ61" s="116"/>
      <c r="AR61" s="116"/>
      <c r="AS61" s="116"/>
    </row>
    <row r="62">
      <c r="A62" s="52"/>
      <c r="B62" s="60"/>
      <c r="C62" s="55"/>
      <c r="D62" s="60"/>
      <c r="E62" s="60"/>
      <c r="F62" s="55"/>
      <c r="G62" s="78"/>
      <c r="H62" s="78"/>
      <c r="I62" s="60"/>
      <c r="J62" s="118"/>
      <c r="K62" s="118"/>
      <c r="L62" s="55"/>
      <c r="M62" s="60"/>
      <c r="N62" s="55"/>
      <c r="O62" s="31" t="str">
        <f>IFERROR(__xludf.DUMMYFUNCTION("IFNA(UNIQUE(FILTER(References!$B:$B,References!A:A=I62)), ""#Error: Reference ID"")"),"")</f>
        <v/>
      </c>
      <c r="P62" s="59" t="str">
        <f>IFERROR(__xludf.DUMMYFUNCTION("IFNA(UNIQUE(FILTER(References!$J:$J,References!A:A=I62)), ""#Error: Reference ID"")"),"")</f>
        <v/>
      </c>
      <c r="Q62" s="62" t="str">
        <f>IFERROR(__xludf.DUMMYFUNCTION("IFNA(UNIQUE(FILTER(References!$F:$F,References!A:A=I62)), ""#Error: Reference ID"")"),"")</f>
        <v/>
      </c>
      <c r="R62" s="64" t="str">
        <f>IFERROR(__xludf.DUMMYFUNCTION("IF(LEN(A62)+LEN(D62)=0, """", CONCATENATE(D62, ,"" ("", TEXT(AD62*100, ""00""),""/"",TEXT(AB62*100, ""00""),"") "", UNIQUE(FILTER (T:T,S:S=A62&amp;D62)), H62,"";"", CHAR(10)))"),"")</f>
        <v/>
      </c>
      <c r="S62" s="64" t="str">
        <f t="shared" si="1"/>
        <v/>
      </c>
      <c r="T62" s="64" t="str">
        <f t="shared" si="2"/>
        <v>[]</v>
      </c>
      <c r="U62" s="83">
        <f t="shared" si="3"/>
        <v>0</v>
      </c>
      <c r="V62" s="83">
        <f t="shared" si="4"/>
        <v>0</v>
      </c>
      <c r="W62" s="97" t="str">
        <f>IFERROR(__xludf.DUMMYFUNCTION("IFNA(FILTER(AdminOnly!$B:$B,AdminOnly!$A:$A=P62),0)"),"#REF!")</f>
        <v>#REF!</v>
      </c>
      <c r="X62" s="101">
        <f>IFERROR(__xludf.DUMMYFUNCTION("IFNA(FILTER(AdminOnly!$F$2:$F$10,AdminOnly!$E$2:$E$10=Q62),0)"),0.0)</f>
        <v>0</v>
      </c>
      <c r="Y62" s="105">
        <f>IFERROR(__xludf.DUMMYFUNCTION("IFNA(FILTER(AdminOnly!$K$2:$K$10,AdminOnly!$H$2:$H$10=J62),0)"),0.0)</f>
        <v>0</v>
      </c>
      <c r="Z62" s="107">
        <f>IFERROR(__xludf.DUMMYFUNCTION("IFNA(FILTER(AdminOnly!$N$2:$N$20,AdminOnly!$M$2:$M$20=K62),0)"),0.0)</f>
        <v>0</v>
      </c>
      <c r="AA62" s="97">
        <f t="shared" si="5"/>
        <v>0</v>
      </c>
      <c r="AB62" s="97" t="str">
        <f>IFERROR(__xludf.DUMMYFUNCTION("MAX(FILTER ( AA:AA,S:S=A62&amp;D62))"),"#REF!")</f>
        <v>#REF!</v>
      </c>
      <c r="AC62" s="97">
        <f t="shared" si="6"/>
        <v>0</v>
      </c>
      <c r="AD62" s="97" t="str">
        <f>IFERROR(__xludf.DUMMYFUNCTION("MAX(FILTER ( AC:AC,S:S=A62&amp;D62))"),"#REF!")</f>
        <v>#REF!</v>
      </c>
      <c r="AE62" s="110"/>
      <c r="AF62" s="110"/>
      <c r="AG62" s="111"/>
      <c r="AH62" s="112"/>
      <c r="AI62" s="113"/>
      <c r="AJ62" s="114"/>
      <c r="AK62" s="111"/>
      <c r="AL62" s="111"/>
      <c r="AM62" s="111"/>
      <c r="AN62" s="111"/>
      <c r="AO62" s="110"/>
      <c r="AP62" s="115"/>
      <c r="AQ62" s="116"/>
      <c r="AR62" s="116"/>
      <c r="AS62" s="116"/>
    </row>
    <row r="63">
      <c r="A63" s="52"/>
      <c r="B63" s="60"/>
      <c r="C63" s="55"/>
      <c r="D63" s="60"/>
      <c r="E63" s="60"/>
      <c r="F63" s="55"/>
      <c r="G63" s="78"/>
      <c r="H63" s="78"/>
      <c r="I63" s="60"/>
      <c r="J63" s="118"/>
      <c r="K63" s="118"/>
      <c r="L63" s="55"/>
      <c r="M63" s="60"/>
      <c r="N63" s="55"/>
      <c r="O63" s="31" t="str">
        <f>IFERROR(__xludf.DUMMYFUNCTION("IFNA(UNIQUE(FILTER(References!$B:$B,References!A:A=I63)), ""#Error: Reference ID"")"),"")</f>
        <v/>
      </c>
      <c r="P63" s="59" t="str">
        <f>IFERROR(__xludf.DUMMYFUNCTION("IFNA(UNIQUE(FILTER(References!$J:$J,References!A:A=I63)), ""#Error: Reference ID"")"),"")</f>
        <v/>
      </c>
      <c r="Q63" s="62" t="str">
        <f>IFERROR(__xludf.DUMMYFUNCTION("IFNA(UNIQUE(FILTER(References!$F:$F,References!A:A=I63)), ""#Error: Reference ID"")"),"")</f>
        <v/>
      </c>
      <c r="R63" s="64" t="str">
        <f>IFERROR(__xludf.DUMMYFUNCTION("IF(LEN(A63)+LEN(D63)=0, """", CONCATENATE(D63, ,"" ("", TEXT(AD63*100, ""00""),""/"",TEXT(AB63*100, ""00""),"") "", UNIQUE(FILTER (T:T,S:S=A63&amp;D63)), H63,"";"", CHAR(10)))"),"")</f>
        <v/>
      </c>
      <c r="S63" s="64" t="str">
        <f t="shared" si="1"/>
        <v/>
      </c>
      <c r="T63" s="64" t="str">
        <f t="shared" si="2"/>
        <v>[]</v>
      </c>
      <c r="U63" s="83">
        <f t="shared" si="3"/>
        <v>0</v>
      </c>
      <c r="V63" s="83">
        <f t="shared" si="4"/>
        <v>0</v>
      </c>
      <c r="W63" s="97" t="str">
        <f>IFERROR(__xludf.DUMMYFUNCTION("IFNA(FILTER(AdminOnly!$B:$B,AdminOnly!$A:$A=P63),0)"),"#REF!")</f>
        <v>#REF!</v>
      </c>
      <c r="X63" s="101">
        <f>IFERROR(__xludf.DUMMYFUNCTION("IFNA(FILTER(AdminOnly!$F$2:$F$10,AdminOnly!$E$2:$E$10=Q63),0)"),0.0)</f>
        <v>0</v>
      </c>
      <c r="Y63" s="105">
        <f>IFERROR(__xludf.DUMMYFUNCTION("IFNA(FILTER(AdminOnly!$K$2:$K$10,AdminOnly!$H$2:$H$10=J63),0)"),0.0)</f>
        <v>0</v>
      </c>
      <c r="Z63" s="107">
        <f>IFERROR(__xludf.DUMMYFUNCTION("IFNA(FILTER(AdminOnly!$N$2:$N$20,AdminOnly!$M$2:$M$20=K63),0)"),0.0)</f>
        <v>0</v>
      </c>
      <c r="AA63" s="97">
        <f t="shared" si="5"/>
        <v>0</v>
      </c>
      <c r="AB63" s="97" t="str">
        <f>IFERROR(__xludf.DUMMYFUNCTION("MAX(FILTER ( AA:AA,S:S=A63&amp;D63))"),"#REF!")</f>
        <v>#REF!</v>
      </c>
      <c r="AC63" s="97">
        <f t="shared" si="6"/>
        <v>0</v>
      </c>
      <c r="AD63" s="97" t="str">
        <f>IFERROR(__xludf.DUMMYFUNCTION("MAX(FILTER ( AC:AC,S:S=A63&amp;D63))"),"#REF!")</f>
        <v>#REF!</v>
      </c>
      <c r="AE63" s="110"/>
      <c r="AF63" s="110"/>
      <c r="AG63" s="111"/>
      <c r="AH63" s="112"/>
      <c r="AI63" s="113"/>
      <c r="AJ63" s="114"/>
      <c r="AK63" s="111"/>
      <c r="AL63" s="111"/>
      <c r="AM63" s="111"/>
      <c r="AN63" s="111"/>
      <c r="AO63" s="110"/>
      <c r="AP63" s="115"/>
      <c r="AQ63" s="116"/>
      <c r="AR63" s="116"/>
      <c r="AS63" s="116"/>
    </row>
    <row r="64">
      <c r="A64" s="52"/>
      <c r="B64" s="60"/>
      <c r="C64" s="55"/>
      <c r="D64" s="60"/>
      <c r="E64" s="60"/>
      <c r="F64" s="55"/>
      <c r="G64" s="78"/>
      <c r="H64" s="78"/>
      <c r="I64" s="60"/>
      <c r="J64" s="118"/>
      <c r="K64" s="118"/>
      <c r="L64" s="55"/>
      <c r="M64" s="60"/>
      <c r="N64" s="55"/>
      <c r="O64" s="31" t="str">
        <f>IFERROR(__xludf.DUMMYFUNCTION("IFNA(UNIQUE(FILTER(References!$B:$B,References!A:A=I64)), ""#Error: Reference ID"")"),"")</f>
        <v/>
      </c>
      <c r="P64" s="59" t="str">
        <f>IFERROR(__xludf.DUMMYFUNCTION("IFNA(UNIQUE(FILTER(References!$J:$J,References!A:A=I64)), ""#Error: Reference ID"")"),"")</f>
        <v/>
      </c>
      <c r="Q64" s="62" t="str">
        <f>IFERROR(__xludf.DUMMYFUNCTION("IFNA(UNIQUE(FILTER(References!$F:$F,References!A:A=I64)), ""#Error: Reference ID"")"),"")</f>
        <v/>
      </c>
      <c r="R64" s="64" t="str">
        <f>IFERROR(__xludf.DUMMYFUNCTION("IF(LEN(A64)+LEN(D64)=0, """", CONCATENATE(D64, ,"" ("", TEXT(AD64*100, ""00""),""/"",TEXT(AB64*100, ""00""),"") "", UNIQUE(FILTER (T:T,S:S=A64&amp;D64)), H64,"";"", CHAR(10)))"),"")</f>
        <v/>
      </c>
      <c r="S64" s="64" t="str">
        <f t="shared" si="1"/>
        <v/>
      </c>
      <c r="T64" s="64" t="str">
        <f t="shared" si="2"/>
        <v>[]</v>
      </c>
      <c r="U64" s="83">
        <f t="shared" si="3"/>
        <v>0</v>
      </c>
      <c r="V64" s="83">
        <f t="shared" si="4"/>
        <v>0</v>
      </c>
      <c r="W64" s="97" t="str">
        <f>IFERROR(__xludf.DUMMYFUNCTION("IFNA(FILTER(AdminOnly!$B:$B,AdminOnly!$A:$A=P64),0)"),"#REF!")</f>
        <v>#REF!</v>
      </c>
      <c r="X64" s="101">
        <f>IFERROR(__xludf.DUMMYFUNCTION("IFNA(FILTER(AdminOnly!$F$2:$F$10,AdminOnly!$E$2:$E$10=Q64),0)"),0.0)</f>
        <v>0</v>
      </c>
      <c r="Y64" s="105">
        <f>IFERROR(__xludf.DUMMYFUNCTION("IFNA(FILTER(AdminOnly!$K$2:$K$10,AdminOnly!$H$2:$H$10=J64),0)"),0.0)</f>
        <v>0</v>
      </c>
      <c r="Z64" s="107">
        <f>IFERROR(__xludf.DUMMYFUNCTION("IFNA(FILTER(AdminOnly!$N$2:$N$20,AdminOnly!$M$2:$M$20=K64),0)"),0.0)</f>
        <v>0</v>
      </c>
      <c r="AA64" s="97">
        <f t="shared" si="5"/>
        <v>0</v>
      </c>
      <c r="AB64" s="97" t="str">
        <f>IFERROR(__xludf.DUMMYFUNCTION("MAX(FILTER ( AA:AA,S:S=A64&amp;D64))"),"#REF!")</f>
        <v>#REF!</v>
      </c>
      <c r="AC64" s="97">
        <f t="shared" si="6"/>
        <v>0</v>
      </c>
      <c r="AD64" s="97" t="str">
        <f>IFERROR(__xludf.DUMMYFUNCTION("MAX(FILTER ( AC:AC,S:S=A64&amp;D64))"),"#REF!")</f>
        <v>#REF!</v>
      </c>
      <c r="AE64" s="110"/>
      <c r="AF64" s="110"/>
      <c r="AG64" s="111"/>
      <c r="AH64" s="112"/>
      <c r="AI64" s="113"/>
      <c r="AJ64" s="114"/>
      <c r="AK64" s="111"/>
      <c r="AL64" s="111"/>
      <c r="AM64" s="111"/>
      <c r="AN64" s="111"/>
      <c r="AO64" s="110"/>
      <c r="AP64" s="115"/>
      <c r="AQ64" s="116"/>
      <c r="AR64" s="116"/>
      <c r="AS64" s="116"/>
    </row>
    <row r="65">
      <c r="A65" s="52"/>
      <c r="B65" s="60"/>
      <c r="C65" s="55"/>
      <c r="D65" s="60"/>
      <c r="E65" s="60"/>
      <c r="F65" s="55"/>
      <c r="G65" s="78"/>
      <c r="H65" s="78"/>
      <c r="I65" s="60"/>
      <c r="J65" s="118"/>
      <c r="K65" s="118"/>
      <c r="L65" s="55"/>
      <c r="M65" s="60"/>
      <c r="N65" s="55"/>
      <c r="O65" s="31" t="str">
        <f>IFERROR(__xludf.DUMMYFUNCTION("IFNA(UNIQUE(FILTER(References!$B:$B,References!A:A=I65)), ""#Error: Reference ID"")"),"")</f>
        <v/>
      </c>
      <c r="P65" s="59" t="str">
        <f>IFERROR(__xludf.DUMMYFUNCTION("IFNA(UNIQUE(FILTER(References!$J:$J,References!A:A=I65)), ""#Error: Reference ID"")"),"")</f>
        <v/>
      </c>
      <c r="Q65" s="62" t="str">
        <f>IFERROR(__xludf.DUMMYFUNCTION("IFNA(UNIQUE(FILTER(References!$F:$F,References!A:A=I65)), ""#Error: Reference ID"")"),"")</f>
        <v/>
      </c>
      <c r="R65" s="64" t="str">
        <f>IFERROR(__xludf.DUMMYFUNCTION("IF(LEN(A65)+LEN(D65)=0, """", CONCATENATE(D65, ,"" ("", TEXT(AD65*100, ""00""),""/"",TEXT(AB65*100, ""00""),"") "", UNIQUE(FILTER (T:T,S:S=A65&amp;D65)), H65,"";"", CHAR(10)))"),"")</f>
        <v/>
      </c>
      <c r="S65" s="64" t="str">
        <f t="shared" si="1"/>
        <v/>
      </c>
      <c r="T65" s="64" t="str">
        <f t="shared" si="2"/>
        <v>[]</v>
      </c>
      <c r="U65" s="83">
        <f t="shared" si="3"/>
        <v>0</v>
      </c>
      <c r="V65" s="83">
        <f t="shared" si="4"/>
        <v>0</v>
      </c>
      <c r="W65" s="97" t="str">
        <f>IFERROR(__xludf.DUMMYFUNCTION("IFNA(FILTER(AdminOnly!$B:$B,AdminOnly!$A:$A=P65),0)"),"#REF!")</f>
        <v>#REF!</v>
      </c>
      <c r="X65" s="101">
        <f>IFERROR(__xludf.DUMMYFUNCTION("IFNA(FILTER(AdminOnly!$F$2:$F$10,AdminOnly!$E$2:$E$10=Q65),0)"),0.0)</f>
        <v>0</v>
      </c>
      <c r="Y65" s="105">
        <f>IFERROR(__xludf.DUMMYFUNCTION("IFNA(FILTER(AdminOnly!$K$2:$K$10,AdminOnly!$H$2:$H$10=J65),0)"),0.0)</f>
        <v>0</v>
      </c>
      <c r="Z65" s="107">
        <f>IFERROR(__xludf.DUMMYFUNCTION("IFNA(FILTER(AdminOnly!$N$2:$N$20,AdminOnly!$M$2:$M$20=K65),0)"),0.0)</f>
        <v>0</v>
      </c>
      <c r="AA65" s="97">
        <f t="shared" si="5"/>
        <v>0</v>
      </c>
      <c r="AB65" s="97" t="str">
        <f>IFERROR(__xludf.DUMMYFUNCTION("MAX(FILTER ( AA:AA,S:S=A65&amp;D65))"),"#REF!")</f>
        <v>#REF!</v>
      </c>
      <c r="AC65" s="97">
        <f t="shared" si="6"/>
        <v>0</v>
      </c>
      <c r="AD65" s="97" t="str">
        <f>IFERROR(__xludf.DUMMYFUNCTION("MAX(FILTER ( AC:AC,S:S=A65&amp;D65))"),"#REF!")</f>
        <v>#REF!</v>
      </c>
      <c r="AE65" s="110"/>
      <c r="AF65" s="110"/>
      <c r="AG65" s="111"/>
      <c r="AH65" s="112"/>
      <c r="AI65" s="113"/>
      <c r="AJ65" s="114"/>
      <c r="AK65" s="111"/>
      <c r="AL65" s="111"/>
      <c r="AM65" s="111"/>
      <c r="AN65" s="111"/>
      <c r="AO65" s="110"/>
      <c r="AP65" s="115"/>
      <c r="AQ65" s="116"/>
      <c r="AR65" s="116"/>
      <c r="AS65" s="116"/>
    </row>
    <row r="66">
      <c r="A66" s="52"/>
      <c r="B66" s="60"/>
      <c r="C66" s="55"/>
      <c r="D66" s="60"/>
      <c r="E66" s="60"/>
      <c r="F66" s="55"/>
      <c r="G66" s="78"/>
      <c r="H66" s="78"/>
      <c r="I66" s="60"/>
      <c r="J66" s="118"/>
      <c r="K66" s="118"/>
      <c r="L66" s="55"/>
      <c r="M66" s="60"/>
      <c r="N66" s="55"/>
      <c r="O66" s="31" t="str">
        <f>IFERROR(__xludf.DUMMYFUNCTION("IFNA(UNIQUE(FILTER(References!$B:$B,References!A:A=I66)), ""#Error: Reference ID"")"),"")</f>
        <v/>
      </c>
      <c r="P66" s="59" t="str">
        <f>IFERROR(__xludf.DUMMYFUNCTION("IFNA(UNIQUE(FILTER(References!$J:$J,References!A:A=I66)), ""#Error: Reference ID"")"),"")</f>
        <v/>
      </c>
      <c r="Q66" s="62" t="str">
        <f>IFERROR(__xludf.DUMMYFUNCTION("IFNA(UNIQUE(FILTER(References!$F:$F,References!A:A=I66)), ""#Error: Reference ID"")"),"")</f>
        <v/>
      </c>
      <c r="R66" s="64" t="str">
        <f>IFERROR(__xludf.DUMMYFUNCTION("IF(LEN(A66)+LEN(D66)=0, """", CONCATENATE(D66, ,"" ("", TEXT(AD66*100, ""00""),""/"",TEXT(AB66*100, ""00""),"") "", UNIQUE(FILTER (T:T,S:S=A66&amp;D66)), H66,"";"", CHAR(10)))"),"")</f>
        <v/>
      </c>
      <c r="S66" s="64" t="str">
        <f t="shared" si="1"/>
        <v/>
      </c>
      <c r="T66" s="64" t="str">
        <f t="shared" si="2"/>
        <v>[]</v>
      </c>
      <c r="U66" s="83">
        <f t="shared" si="3"/>
        <v>0</v>
      </c>
      <c r="V66" s="83">
        <f t="shared" si="4"/>
        <v>0</v>
      </c>
      <c r="W66" s="97" t="str">
        <f>IFERROR(__xludf.DUMMYFUNCTION("IFNA(FILTER(AdminOnly!$B:$B,AdminOnly!$A:$A=P66),0)"),"#REF!")</f>
        <v>#REF!</v>
      </c>
      <c r="X66" s="101">
        <f>IFERROR(__xludf.DUMMYFUNCTION("IFNA(FILTER(AdminOnly!$F$2:$F$10,AdminOnly!$E$2:$E$10=Q66),0)"),0.0)</f>
        <v>0</v>
      </c>
      <c r="Y66" s="105">
        <f>IFERROR(__xludf.DUMMYFUNCTION("IFNA(FILTER(AdminOnly!$K$2:$K$10,AdminOnly!$H$2:$H$10=J66),0)"),0.0)</f>
        <v>0</v>
      </c>
      <c r="Z66" s="107">
        <f>IFERROR(__xludf.DUMMYFUNCTION("IFNA(FILTER(AdminOnly!$N$2:$N$20,AdminOnly!$M$2:$M$20=K66),0)"),0.0)</f>
        <v>0</v>
      </c>
      <c r="AA66" s="97">
        <f t="shared" si="5"/>
        <v>0</v>
      </c>
      <c r="AB66" s="97" t="str">
        <f>IFERROR(__xludf.DUMMYFUNCTION("MAX(FILTER ( AA:AA,S:S=A66&amp;D66))"),"#REF!")</f>
        <v>#REF!</v>
      </c>
      <c r="AC66" s="97">
        <f t="shared" si="6"/>
        <v>0</v>
      </c>
      <c r="AD66" s="97" t="str">
        <f>IFERROR(__xludf.DUMMYFUNCTION("MAX(FILTER ( AC:AC,S:S=A66&amp;D66))"),"#REF!")</f>
        <v>#REF!</v>
      </c>
      <c r="AE66" s="110"/>
      <c r="AF66" s="110"/>
      <c r="AG66" s="111"/>
      <c r="AH66" s="112"/>
      <c r="AI66" s="113"/>
      <c r="AJ66" s="114"/>
      <c r="AK66" s="111"/>
      <c r="AL66" s="111"/>
      <c r="AM66" s="111"/>
      <c r="AN66" s="111"/>
      <c r="AO66" s="110"/>
      <c r="AP66" s="115"/>
      <c r="AQ66" s="116"/>
      <c r="AR66" s="116"/>
      <c r="AS66" s="116"/>
    </row>
    <row r="67">
      <c r="A67" s="52"/>
      <c r="B67" s="60"/>
      <c r="C67" s="55"/>
      <c r="D67" s="60"/>
      <c r="E67" s="60"/>
      <c r="F67" s="55"/>
      <c r="G67" s="78"/>
      <c r="H67" s="78"/>
      <c r="I67" s="60"/>
      <c r="J67" s="118"/>
      <c r="K67" s="118"/>
      <c r="L67" s="55"/>
      <c r="M67" s="60"/>
      <c r="N67" s="55"/>
      <c r="O67" s="31" t="str">
        <f>IFERROR(__xludf.DUMMYFUNCTION("IFNA(UNIQUE(FILTER(References!$B:$B,References!A:A=I67)), ""#Error: Reference ID"")"),"")</f>
        <v/>
      </c>
      <c r="P67" s="59" t="str">
        <f>IFERROR(__xludf.DUMMYFUNCTION("IFNA(UNIQUE(FILTER(References!$J:$J,References!A:A=I67)), ""#Error: Reference ID"")"),"")</f>
        <v/>
      </c>
      <c r="Q67" s="62" t="str">
        <f>IFERROR(__xludf.DUMMYFUNCTION("IFNA(UNIQUE(FILTER(References!$F:$F,References!A:A=I67)), ""#Error: Reference ID"")"),"")</f>
        <v/>
      </c>
      <c r="R67" s="64" t="str">
        <f>IFERROR(__xludf.DUMMYFUNCTION("IF(LEN(A67)+LEN(D67)=0, """", CONCATENATE(D67, ,"" ("", TEXT(AD67*100, ""00""),""/"",TEXT(AB67*100, ""00""),"") "", UNIQUE(FILTER (T:T,S:S=A67&amp;D67)), H67,"";"", CHAR(10)))"),"")</f>
        <v/>
      </c>
      <c r="S67" s="64" t="str">
        <f t="shared" si="1"/>
        <v/>
      </c>
      <c r="T67" s="64" t="str">
        <f t="shared" si="2"/>
        <v>[]</v>
      </c>
      <c r="U67" s="83">
        <f t="shared" si="3"/>
        <v>0</v>
      </c>
      <c r="V67" s="83">
        <f t="shared" si="4"/>
        <v>0</v>
      </c>
      <c r="W67" s="97" t="str">
        <f>IFERROR(__xludf.DUMMYFUNCTION("IFNA(FILTER(AdminOnly!$B:$B,AdminOnly!$A:$A=P67),0)"),"#REF!")</f>
        <v>#REF!</v>
      </c>
      <c r="X67" s="101">
        <f>IFERROR(__xludf.DUMMYFUNCTION("IFNA(FILTER(AdminOnly!$F$2:$F$10,AdminOnly!$E$2:$E$10=Q67),0)"),0.0)</f>
        <v>0</v>
      </c>
      <c r="Y67" s="105">
        <f>IFERROR(__xludf.DUMMYFUNCTION("IFNA(FILTER(AdminOnly!$K$2:$K$10,AdminOnly!$H$2:$H$10=J67),0)"),0.0)</f>
        <v>0</v>
      </c>
      <c r="Z67" s="107">
        <f>IFERROR(__xludf.DUMMYFUNCTION("IFNA(FILTER(AdminOnly!$N$2:$N$20,AdminOnly!$M$2:$M$20=K67),0)"),0.0)</f>
        <v>0</v>
      </c>
      <c r="AA67" s="97">
        <f t="shared" si="5"/>
        <v>0</v>
      </c>
      <c r="AB67" s="97" t="str">
        <f>IFERROR(__xludf.DUMMYFUNCTION("MAX(FILTER ( AA:AA,S:S=A67&amp;D67))"),"#REF!")</f>
        <v>#REF!</v>
      </c>
      <c r="AC67" s="97">
        <f t="shared" si="6"/>
        <v>0</v>
      </c>
      <c r="AD67" s="97" t="str">
        <f>IFERROR(__xludf.DUMMYFUNCTION("MAX(FILTER ( AC:AC,S:S=A67&amp;D67))"),"#REF!")</f>
        <v>#REF!</v>
      </c>
      <c r="AE67" s="110"/>
      <c r="AF67" s="110"/>
      <c r="AG67" s="111"/>
      <c r="AH67" s="112"/>
      <c r="AI67" s="113"/>
      <c r="AJ67" s="114"/>
      <c r="AK67" s="111"/>
      <c r="AL67" s="111"/>
      <c r="AM67" s="111"/>
      <c r="AN67" s="111"/>
      <c r="AO67" s="110"/>
      <c r="AP67" s="115"/>
      <c r="AQ67" s="116"/>
      <c r="AR67" s="116"/>
      <c r="AS67" s="116"/>
    </row>
    <row r="68">
      <c r="A68" s="52"/>
      <c r="B68" s="60"/>
      <c r="C68" s="55"/>
      <c r="D68" s="60"/>
      <c r="E68" s="60"/>
      <c r="F68" s="55"/>
      <c r="G68" s="78"/>
      <c r="H68" s="78"/>
      <c r="I68" s="60"/>
      <c r="J68" s="118"/>
      <c r="K68" s="118"/>
      <c r="L68" s="55"/>
      <c r="M68" s="60"/>
      <c r="N68" s="55"/>
      <c r="O68" s="31" t="str">
        <f>IFERROR(__xludf.DUMMYFUNCTION("IFNA(UNIQUE(FILTER(References!$B:$B,References!A:A=I68)), ""#Error: Reference ID"")"),"")</f>
        <v/>
      </c>
      <c r="P68" s="59" t="str">
        <f>IFERROR(__xludf.DUMMYFUNCTION("IFNA(UNIQUE(FILTER(References!$J:$J,References!A:A=I68)), ""#Error: Reference ID"")"),"")</f>
        <v/>
      </c>
      <c r="Q68" s="62" t="str">
        <f>IFERROR(__xludf.DUMMYFUNCTION("IFNA(UNIQUE(FILTER(References!$F:$F,References!A:A=I68)), ""#Error: Reference ID"")"),"")</f>
        <v/>
      </c>
      <c r="R68" s="64" t="str">
        <f>IFERROR(__xludf.DUMMYFUNCTION("IF(LEN(A68)+LEN(D68)=0, """", CONCATENATE(D68, ,"" ("", TEXT(AD68*100, ""00""),""/"",TEXT(AB68*100, ""00""),"") "", UNIQUE(FILTER (T:T,S:S=A68&amp;D68)), H68,"";"", CHAR(10)))"),"")</f>
        <v/>
      </c>
      <c r="S68" s="64" t="str">
        <f t="shared" si="1"/>
        <v/>
      </c>
      <c r="T68" s="64" t="str">
        <f t="shared" si="2"/>
        <v>[]</v>
      </c>
      <c r="U68" s="83">
        <f t="shared" si="3"/>
        <v>0</v>
      </c>
      <c r="V68" s="83">
        <f t="shared" si="4"/>
        <v>0</v>
      </c>
      <c r="W68" s="97" t="str">
        <f>IFERROR(__xludf.DUMMYFUNCTION("IFNA(FILTER(AdminOnly!$B:$B,AdminOnly!$A:$A=P68),0)"),"#REF!")</f>
        <v>#REF!</v>
      </c>
      <c r="X68" s="101">
        <f>IFERROR(__xludf.DUMMYFUNCTION("IFNA(FILTER(AdminOnly!$F$2:$F$10,AdminOnly!$E$2:$E$10=Q68),0)"),0.0)</f>
        <v>0</v>
      </c>
      <c r="Y68" s="105">
        <f>IFERROR(__xludf.DUMMYFUNCTION("IFNA(FILTER(AdminOnly!$K$2:$K$10,AdminOnly!$H$2:$H$10=J68),0)"),0.0)</f>
        <v>0</v>
      </c>
      <c r="Z68" s="107">
        <f>IFERROR(__xludf.DUMMYFUNCTION("IFNA(FILTER(AdminOnly!$N$2:$N$20,AdminOnly!$M$2:$M$20=K68),0)"),0.0)</f>
        <v>0</v>
      </c>
      <c r="AA68" s="97">
        <f t="shared" si="5"/>
        <v>0</v>
      </c>
      <c r="AB68" s="97" t="str">
        <f>IFERROR(__xludf.DUMMYFUNCTION("MAX(FILTER ( AA:AA,S:S=A68&amp;D68))"),"#REF!")</f>
        <v>#REF!</v>
      </c>
      <c r="AC68" s="97">
        <f t="shared" si="6"/>
        <v>0</v>
      </c>
      <c r="AD68" s="97" t="str">
        <f>IFERROR(__xludf.DUMMYFUNCTION("MAX(FILTER ( AC:AC,S:S=A68&amp;D68))"),"#REF!")</f>
        <v>#REF!</v>
      </c>
      <c r="AE68" s="110"/>
      <c r="AF68" s="110"/>
      <c r="AG68" s="111"/>
      <c r="AH68" s="112"/>
      <c r="AI68" s="113"/>
      <c r="AJ68" s="114"/>
      <c r="AK68" s="111"/>
      <c r="AL68" s="111"/>
      <c r="AM68" s="111"/>
      <c r="AN68" s="111"/>
      <c r="AO68" s="110"/>
      <c r="AP68" s="115"/>
      <c r="AQ68" s="116"/>
      <c r="AR68" s="116"/>
      <c r="AS68" s="116"/>
    </row>
    <row r="69">
      <c r="A69" s="52"/>
      <c r="B69" s="60"/>
      <c r="C69" s="55"/>
      <c r="D69" s="60"/>
      <c r="E69" s="60"/>
      <c r="F69" s="55"/>
      <c r="G69" s="78"/>
      <c r="H69" s="78"/>
      <c r="I69" s="60"/>
      <c r="J69" s="118"/>
      <c r="K69" s="118"/>
      <c r="L69" s="55"/>
      <c r="M69" s="60"/>
      <c r="N69" s="55"/>
      <c r="O69" s="31" t="str">
        <f>IFERROR(__xludf.DUMMYFUNCTION("IFNA(UNIQUE(FILTER(References!$B:$B,References!A:A=I69)), ""#Error: Reference ID"")"),"")</f>
        <v/>
      </c>
      <c r="P69" s="59" t="str">
        <f>IFERROR(__xludf.DUMMYFUNCTION("IFNA(UNIQUE(FILTER(References!$J:$J,References!A:A=I69)), ""#Error: Reference ID"")"),"")</f>
        <v/>
      </c>
      <c r="Q69" s="62" t="str">
        <f>IFERROR(__xludf.DUMMYFUNCTION("IFNA(UNIQUE(FILTER(References!$F:$F,References!A:A=I69)), ""#Error: Reference ID"")"),"")</f>
        <v/>
      </c>
      <c r="R69" s="64" t="str">
        <f>IFERROR(__xludf.DUMMYFUNCTION("IF(LEN(A69)+LEN(D69)=0, """", CONCATENATE(D69, ,"" ("", TEXT(AD69*100, ""00""),""/"",TEXT(AB69*100, ""00""),"") "", UNIQUE(FILTER (T:T,S:S=A69&amp;D69)), H69,"";"", CHAR(10)))"),"")</f>
        <v/>
      </c>
      <c r="S69" s="64" t="str">
        <f t="shared" si="1"/>
        <v/>
      </c>
      <c r="T69" s="64" t="str">
        <f t="shared" si="2"/>
        <v>[]</v>
      </c>
      <c r="U69" s="83">
        <f t="shared" si="3"/>
        <v>0</v>
      </c>
      <c r="V69" s="83">
        <f t="shared" si="4"/>
        <v>0</v>
      </c>
      <c r="W69" s="97" t="str">
        <f>IFERROR(__xludf.DUMMYFUNCTION("IFNA(FILTER(AdminOnly!$B:$B,AdminOnly!$A:$A=P69),0)"),"#REF!")</f>
        <v>#REF!</v>
      </c>
      <c r="X69" s="101">
        <f>IFERROR(__xludf.DUMMYFUNCTION("IFNA(FILTER(AdminOnly!$F$2:$F$10,AdminOnly!$E$2:$E$10=Q69),0)"),0.0)</f>
        <v>0</v>
      </c>
      <c r="Y69" s="105">
        <f>IFERROR(__xludf.DUMMYFUNCTION("IFNA(FILTER(AdminOnly!$K$2:$K$10,AdminOnly!$H$2:$H$10=J69),0)"),0.0)</f>
        <v>0</v>
      </c>
      <c r="Z69" s="107">
        <f>IFERROR(__xludf.DUMMYFUNCTION("IFNA(FILTER(AdminOnly!$N$2:$N$20,AdminOnly!$M$2:$M$20=K69),0)"),0.0)</f>
        <v>0</v>
      </c>
      <c r="AA69" s="97">
        <f t="shared" si="5"/>
        <v>0</v>
      </c>
      <c r="AB69" s="97" t="str">
        <f>IFERROR(__xludf.DUMMYFUNCTION("MAX(FILTER ( AA:AA,S:S=A69&amp;D69))"),"#REF!")</f>
        <v>#REF!</v>
      </c>
      <c r="AC69" s="97">
        <f t="shared" si="6"/>
        <v>0</v>
      </c>
      <c r="AD69" s="97" t="str">
        <f>IFERROR(__xludf.DUMMYFUNCTION("MAX(FILTER ( AC:AC,S:S=A69&amp;D69))"),"#REF!")</f>
        <v>#REF!</v>
      </c>
      <c r="AE69" s="110"/>
      <c r="AF69" s="110"/>
      <c r="AG69" s="111"/>
      <c r="AH69" s="112"/>
      <c r="AI69" s="113"/>
      <c r="AJ69" s="114"/>
      <c r="AK69" s="111"/>
      <c r="AL69" s="111"/>
      <c r="AM69" s="111"/>
      <c r="AN69" s="111"/>
      <c r="AO69" s="110"/>
      <c r="AP69" s="115"/>
      <c r="AQ69" s="116"/>
      <c r="AR69" s="116"/>
      <c r="AS69" s="116"/>
    </row>
    <row r="70">
      <c r="A70" s="52"/>
      <c r="B70" s="60"/>
      <c r="C70" s="55"/>
      <c r="D70" s="60"/>
      <c r="E70" s="60"/>
      <c r="F70" s="55"/>
      <c r="G70" s="78"/>
      <c r="H70" s="78"/>
      <c r="I70" s="60"/>
      <c r="J70" s="118"/>
      <c r="K70" s="118"/>
      <c r="L70" s="55"/>
      <c r="M70" s="60"/>
      <c r="N70" s="55"/>
      <c r="O70" s="31" t="str">
        <f>IFERROR(__xludf.DUMMYFUNCTION("IFNA(UNIQUE(FILTER(References!$B:$B,References!A:A=I70)), ""#Error: Reference ID"")"),"")</f>
        <v/>
      </c>
      <c r="P70" s="59" t="str">
        <f>IFERROR(__xludf.DUMMYFUNCTION("IFNA(UNIQUE(FILTER(References!$J:$J,References!A:A=I70)), ""#Error: Reference ID"")"),"")</f>
        <v/>
      </c>
      <c r="Q70" s="62" t="str">
        <f>IFERROR(__xludf.DUMMYFUNCTION("IFNA(UNIQUE(FILTER(References!$F:$F,References!A:A=I70)), ""#Error: Reference ID"")"),"")</f>
        <v/>
      </c>
      <c r="R70" s="64" t="str">
        <f>IFERROR(__xludf.DUMMYFUNCTION("IF(LEN(A70)+LEN(D70)=0, """", CONCATENATE(D70, ,"" ("", TEXT(AD70*100, ""00""),""/"",TEXT(AB70*100, ""00""),"") "", UNIQUE(FILTER (T:T,S:S=A70&amp;D70)), H70,"";"", CHAR(10)))"),"")</f>
        <v/>
      </c>
      <c r="S70" s="64" t="str">
        <f t="shared" si="1"/>
        <v/>
      </c>
      <c r="T70" s="64" t="str">
        <f t="shared" si="2"/>
        <v>[]</v>
      </c>
      <c r="U70" s="83">
        <f t="shared" si="3"/>
        <v>0</v>
      </c>
      <c r="V70" s="83">
        <f t="shared" si="4"/>
        <v>0</v>
      </c>
      <c r="W70" s="97" t="str">
        <f>IFERROR(__xludf.DUMMYFUNCTION("IFNA(FILTER(AdminOnly!$B:$B,AdminOnly!$A:$A=P70),0)"),"#REF!")</f>
        <v>#REF!</v>
      </c>
      <c r="X70" s="101">
        <f>IFERROR(__xludf.DUMMYFUNCTION("IFNA(FILTER(AdminOnly!$F$2:$F$10,AdminOnly!$E$2:$E$10=Q70),0)"),0.0)</f>
        <v>0</v>
      </c>
      <c r="Y70" s="105">
        <f>IFERROR(__xludf.DUMMYFUNCTION("IFNA(FILTER(AdminOnly!$K$2:$K$10,AdminOnly!$H$2:$H$10=J70),0)"),0.0)</f>
        <v>0</v>
      </c>
      <c r="Z70" s="107">
        <f>IFERROR(__xludf.DUMMYFUNCTION("IFNA(FILTER(AdminOnly!$N$2:$N$20,AdminOnly!$M$2:$M$20=K70),0)"),0.0)</f>
        <v>0</v>
      </c>
      <c r="AA70" s="97">
        <f t="shared" si="5"/>
        <v>0</v>
      </c>
      <c r="AB70" s="97" t="str">
        <f>IFERROR(__xludf.DUMMYFUNCTION("MAX(FILTER ( AA:AA,S:S=A70&amp;D70))"),"#REF!")</f>
        <v>#REF!</v>
      </c>
      <c r="AC70" s="97">
        <f t="shared" si="6"/>
        <v>0</v>
      </c>
      <c r="AD70" s="97" t="str">
        <f>IFERROR(__xludf.DUMMYFUNCTION("MAX(FILTER ( AC:AC,S:S=A70&amp;D70))"),"#REF!")</f>
        <v>#REF!</v>
      </c>
      <c r="AE70" s="110"/>
      <c r="AF70" s="110"/>
      <c r="AG70" s="111"/>
      <c r="AH70" s="112"/>
      <c r="AI70" s="113"/>
      <c r="AJ70" s="114"/>
      <c r="AK70" s="111"/>
      <c r="AL70" s="111"/>
      <c r="AM70" s="111"/>
      <c r="AN70" s="111"/>
      <c r="AO70" s="110"/>
      <c r="AP70" s="115"/>
      <c r="AQ70" s="116"/>
      <c r="AR70" s="116"/>
      <c r="AS70" s="116"/>
    </row>
    <row r="71">
      <c r="A71" s="52"/>
      <c r="B71" s="60"/>
      <c r="C71" s="55"/>
      <c r="D71" s="60"/>
      <c r="E71" s="60"/>
      <c r="F71" s="55"/>
      <c r="G71" s="78"/>
      <c r="H71" s="78"/>
      <c r="I71" s="60"/>
      <c r="J71" s="118"/>
      <c r="K71" s="118"/>
      <c r="L71" s="55"/>
      <c r="M71" s="60"/>
      <c r="N71" s="55"/>
      <c r="O71" s="31" t="str">
        <f>IFERROR(__xludf.DUMMYFUNCTION("IFNA(UNIQUE(FILTER(References!$B:$B,References!A:A=I71)), ""#Error: Reference ID"")"),"")</f>
        <v/>
      </c>
      <c r="P71" s="59" t="str">
        <f>IFERROR(__xludf.DUMMYFUNCTION("IFNA(UNIQUE(FILTER(References!$J:$J,References!A:A=I71)), ""#Error: Reference ID"")"),"")</f>
        <v/>
      </c>
      <c r="Q71" s="62" t="str">
        <f>IFERROR(__xludf.DUMMYFUNCTION("IFNA(UNIQUE(FILTER(References!$F:$F,References!A:A=I71)), ""#Error: Reference ID"")"),"")</f>
        <v/>
      </c>
      <c r="R71" s="64" t="str">
        <f>IFERROR(__xludf.DUMMYFUNCTION("IF(LEN(A71)+LEN(D71)=0, """", CONCATENATE(D71, ,"" ("", TEXT(AD71*100, ""00""),""/"",TEXT(AB71*100, ""00""),"") "", UNIQUE(FILTER (T:T,S:S=A71&amp;D71)), H71,"";"", CHAR(10)))"),"")</f>
        <v/>
      </c>
      <c r="S71" s="64" t="str">
        <f t="shared" si="1"/>
        <v/>
      </c>
      <c r="T71" s="64" t="str">
        <f t="shared" si="2"/>
        <v>[]</v>
      </c>
      <c r="U71" s="83">
        <f t="shared" si="3"/>
        <v>0</v>
      </c>
      <c r="V71" s="83">
        <f t="shared" si="4"/>
        <v>0</v>
      </c>
      <c r="W71" s="97" t="str">
        <f>IFERROR(__xludf.DUMMYFUNCTION("IFNA(FILTER(AdminOnly!$B:$B,AdminOnly!$A:$A=P71),0)"),"#REF!")</f>
        <v>#REF!</v>
      </c>
      <c r="X71" s="101">
        <f>IFERROR(__xludf.DUMMYFUNCTION("IFNA(FILTER(AdminOnly!$F$2:$F$10,AdminOnly!$E$2:$E$10=Q71),0)"),0.0)</f>
        <v>0</v>
      </c>
      <c r="Y71" s="105">
        <f>IFERROR(__xludf.DUMMYFUNCTION("IFNA(FILTER(AdminOnly!$K$2:$K$10,AdminOnly!$H$2:$H$10=J71),0)"),0.0)</f>
        <v>0</v>
      </c>
      <c r="Z71" s="107">
        <f>IFERROR(__xludf.DUMMYFUNCTION("IFNA(FILTER(AdminOnly!$N$2:$N$20,AdminOnly!$M$2:$M$20=K71),0)"),0.0)</f>
        <v>0</v>
      </c>
      <c r="AA71" s="97">
        <f t="shared" si="5"/>
        <v>0</v>
      </c>
      <c r="AB71" s="97" t="str">
        <f>IFERROR(__xludf.DUMMYFUNCTION("MAX(FILTER ( AA:AA,S:S=A71&amp;D71))"),"#REF!")</f>
        <v>#REF!</v>
      </c>
      <c r="AC71" s="97">
        <f t="shared" si="6"/>
        <v>0</v>
      </c>
      <c r="AD71" s="97" t="str">
        <f>IFERROR(__xludf.DUMMYFUNCTION("MAX(FILTER ( AC:AC,S:S=A71&amp;D71))"),"#REF!")</f>
        <v>#REF!</v>
      </c>
      <c r="AE71" s="110"/>
      <c r="AF71" s="110"/>
      <c r="AG71" s="111"/>
      <c r="AH71" s="112"/>
      <c r="AI71" s="113"/>
      <c r="AJ71" s="114"/>
      <c r="AK71" s="111"/>
      <c r="AL71" s="111"/>
      <c r="AM71" s="111"/>
      <c r="AN71" s="111"/>
      <c r="AO71" s="110"/>
      <c r="AP71" s="115"/>
      <c r="AQ71" s="116"/>
      <c r="AR71" s="116"/>
      <c r="AS71" s="116"/>
    </row>
    <row r="72">
      <c r="A72" s="52"/>
      <c r="B72" s="60"/>
      <c r="C72" s="55"/>
      <c r="D72" s="60"/>
      <c r="E72" s="60"/>
      <c r="F72" s="55"/>
      <c r="G72" s="78"/>
      <c r="H72" s="78"/>
      <c r="I72" s="60"/>
      <c r="J72" s="118"/>
      <c r="K72" s="118"/>
      <c r="L72" s="55"/>
      <c r="M72" s="60"/>
      <c r="N72" s="55"/>
      <c r="O72" s="31" t="str">
        <f>IFERROR(__xludf.DUMMYFUNCTION("IFNA(UNIQUE(FILTER(References!$B:$B,References!A:A=I72)), ""#Error: Reference ID"")"),"")</f>
        <v/>
      </c>
      <c r="P72" s="59" t="str">
        <f>IFERROR(__xludf.DUMMYFUNCTION("IFNA(UNIQUE(FILTER(References!$J:$J,References!A:A=I72)), ""#Error: Reference ID"")"),"")</f>
        <v/>
      </c>
      <c r="Q72" s="62" t="str">
        <f>IFERROR(__xludf.DUMMYFUNCTION("IFNA(UNIQUE(FILTER(References!$F:$F,References!A:A=I72)), ""#Error: Reference ID"")"),"")</f>
        <v/>
      </c>
      <c r="R72" s="64" t="str">
        <f>IFERROR(__xludf.DUMMYFUNCTION("IF(LEN(A72)+LEN(D72)=0, """", CONCATENATE(D72, ,"" ("", TEXT(AD72*100, ""00""),""/"",TEXT(AB72*100, ""00""),"") "", UNIQUE(FILTER (T:T,S:S=A72&amp;D72)), H72,"";"", CHAR(10)))"),"")</f>
        <v/>
      </c>
      <c r="S72" s="64" t="str">
        <f t="shared" si="1"/>
        <v/>
      </c>
      <c r="T72" s="64" t="str">
        <f t="shared" si="2"/>
        <v>[]</v>
      </c>
      <c r="U72" s="83">
        <f t="shared" si="3"/>
        <v>0</v>
      </c>
      <c r="V72" s="83">
        <f t="shared" si="4"/>
        <v>0</v>
      </c>
      <c r="W72" s="97" t="str">
        <f>IFERROR(__xludf.DUMMYFUNCTION("IFNA(FILTER(AdminOnly!$B:$B,AdminOnly!$A:$A=P72),0)"),"#REF!")</f>
        <v>#REF!</v>
      </c>
      <c r="X72" s="101">
        <f>IFERROR(__xludf.DUMMYFUNCTION("IFNA(FILTER(AdminOnly!$F$2:$F$10,AdminOnly!$E$2:$E$10=Q72),0)"),0.0)</f>
        <v>0</v>
      </c>
      <c r="Y72" s="105">
        <f>IFERROR(__xludf.DUMMYFUNCTION("IFNA(FILTER(AdminOnly!$K$2:$K$10,AdminOnly!$H$2:$H$10=J72),0)"),0.0)</f>
        <v>0</v>
      </c>
      <c r="Z72" s="107">
        <f>IFERROR(__xludf.DUMMYFUNCTION("IFNA(FILTER(AdminOnly!$N$2:$N$20,AdminOnly!$M$2:$M$20=K72),0)"),0.0)</f>
        <v>0</v>
      </c>
      <c r="AA72" s="97">
        <f t="shared" si="5"/>
        <v>0</v>
      </c>
      <c r="AB72" s="97" t="str">
        <f>IFERROR(__xludf.DUMMYFUNCTION("MAX(FILTER ( AA:AA,S:S=A72&amp;D72))"),"#REF!")</f>
        <v>#REF!</v>
      </c>
      <c r="AC72" s="97">
        <f t="shared" si="6"/>
        <v>0</v>
      </c>
      <c r="AD72" s="97" t="str">
        <f>IFERROR(__xludf.DUMMYFUNCTION("MAX(FILTER ( AC:AC,S:S=A72&amp;D72))"),"#REF!")</f>
        <v>#REF!</v>
      </c>
      <c r="AE72" s="110"/>
      <c r="AF72" s="110"/>
      <c r="AG72" s="111"/>
      <c r="AH72" s="112"/>
      <c r="AI72" s="113"/>
      <c r="AJ72" s="114"/>
      <c r="AK72" s="111"/>
      <c r="AL72" s="111"/>
      <c r="AM72" s="111"/>
      <c r="AN72" s="111"/>
      <c r="AO72" s="110"/>
      <c r="AP72" s="115"/>
      <c r="AQ72" s="116"/>
      <c r="AR72" s="116"/>
    </row>
    <row r="73">
      <c r="A73" s="35"/>
      <c r="B73" s="40"/>
      <c r="C73" s="41"/>
      <c r="D73" s="40"/>
      <c r="E73" s="40"/>
      <c r="F73" s="41"/>
      <c r="G73" s="45"/>
      <c r="H73" s="45"/>
      <c r="I73" s="45"/>
      <c r="J73" s="51"/>
      <c r="K73" s="51"/>
      <c r="L73" s="41"/>
      <c r="M73" s="45"/>
      <c r="N73" s="55"/>
      <c r="O73" s="31" t="str">
        <f>IFERROR(__xludf.DUMMYFUNCTION("IFNA(UNIQUE(FILTER(References!$B:$B,References!A:A=I73)), ""#Error: Reference ID"")"),"")</f>
        <v/>
      </c>
      <c r="P73" s="59" t="str">
        <f>IFERROR(__xludf.DUMMYFUNCTION("IFNA(UNIQUE(FILTER(References!$J:$J,References!A:A=I73)), ""#Error: Reference ID"")"),"")</f>
        <v/>
      </c>
      <c r="Q73" s="62" t="str">
        <f>IFERROR(__xludf.DUMMYFUNCTION("IFNA(UNIQUE(FILTER(References!$F:$F,References!A:A=I73)), ""#Error: Reference ID"")"),"")</f>
        <v/>
      </c>
      <c r="R73" s="64" t="str">
        <f>IFERROR(__xludf.DUMMYFUNCTION("IF(LEN(A73)+LEN(D73)=0, """", CONCATENATE(D73, ,"" ("", TEXT(AD73*100, ""00""),""/"",TEXT(AB73*100, ""00""),"") "", UNIQUE(FILTER (T:T,S:S=A73&amp;D73)), H73,"";"", CHAR(10)))"),"")</f>
        <v/>
      </c>
      <c r="S73" s="64" t="str">
        <f t="shared" si="1"/>
        <v/>
      </c>
      <c r="T73" s="64" t="str">
        <f t="shared" si="2"/>
        <v>[]</v>
      </c>
      <c r="U73" s="83">
        <f t="shared" si="3"/>
        <v>0</v>
      </c>
      <c r="V73" s="83">
        <f t="shared" si="4"/>
        <v>0</v>
      </c>
      <c r="W73" s="97" t="str">
        <f>IFERROR(__xludf.DUMMYFUNCTION("IFNA(FILTER(AdminOnly!$B:$B,AdminOnly!$A:$A=P73),0)"),"#REF!")</f>
        <v>#REF!</v>
      </c>
      <c r="X73" s="101">
        <f>IFERROR(__xludf.DUMMYFUNCTION("IFNA(FILTER(AdminOnly!$F$2:$F$10,AdminOnly!$E$2:$E$10=Q73),0)"),0.0)</f>
        <v>0</v>
      </c>
      <c r="Y73" s="105">
        <f>IFERROR(__xludf.DUMMYFUNCTION("IFNA(FILTER(AdminOnly!$K$2:$K$10,AdminOnly!$H$2:$H$10=J73),0)"),0.0)</f>
        <v>0</v>
      </c>
      <c r="Z73" s="107">
        <f>IFERROR(__xludf.DUMMYFUNCTION("IFNA(FILTER(AdminOnly!$N$2:$N$20,AdminOnly!$M$2:$M$20=K73),0)"),0.0)</f>
        <v>0</v>
      </c>
      <c r="AA73" s="97">
        <f t="shared" si="5"/>
        <v>0</v>
      </c>
      <c r="AB73" s="97" t="str">
        <f>IFERROR(__xludf.DUMMYFUNCTION("MAX(FILTER ( AA:AA,S:S=A73&amp;D73))"),"#REF!")</f>
        <v>#REF!</v>
      </c>
      <c r="AC73" s="97">
        <f t="shared" si="6"/>
        <v>0</v>
      </c>
      <c r="AD73" s="97" t="str">
        <f>IFERROR(__xludf.DUMMYFUNCTION("MAX(FILTER ( AC:AC,S:S=A73&amp;D73))"),"#REF!")</f>
        <v>#REF!</v>
      </c>
      <c r="AE73" s="110"/>
      <c r="AF73" s="110"/>
      <c r="AG73" s="111"/>
      <c r="AH73" s="112"/>
      <c r="AI73" s="113"/>
      <c r="AJ73" s="114"/>
      <c r="AK73" s="111"/>
      <c r="AL73" s="111"/>
      <c r="AM73" s="111"/>
      <c r="AN73" s="111"/>
      <c r="AO73" s="110"/>
      <c r="AP73" s="115"/>
      <c r="AQ73" s="116"/>
      <c r="AR73" s="116"/>
      <c r="AS73" s="116"/>
    </row>
    <row r="74">
      <c r="A74" s="161"/>
      <c r="B74" s="153"/>
      <c r="C74" s="162"/>
      <c r="D74" s="153"/>
      <c r="E74" s="140"/>
      <c r="F74" s="55"/>
      <c r="G74" s="60"/>
      <c r="H74" s="60"/>
      <c r="I74" s="60"/>
      <c r="J74" s="117"/>
      <c r="K74" s="118"/>
      <c r="L74" s="55"/>
      <c r="M74" s="60"/>
      <c r="N74" s="55"/>
      <c r="O74" s="31" t="str">
        <f>IFERROR(__xludf.DUMMYFUNCTION("IFNA(UNIQUE(FILTER(References!$B:$B,References!A:A=I74)), ""#Error: Reference ID"")"),"")</f>
        <v/>
      </c>
      <c r="P74" s="59" t="str">
        <f>IFERROR(__xludf.DUMMYFUNCTION("IFNA(UNIQUE(FILTER(References!$J:$J,References!A:A=I74)), ""#Error: Reference ID"")"),"")</f>
        <v/>
      </c>
      <c r="Q74" s="62" t="str">
        <f>IFERROR(__xludf.DUMMYFUNCTION("IFNA(UNIQUE(FILTER(References!$F:$F,References!A:A=I74)), ""#Error: Reference ID"")"),"")</f>
        <v/>
      </c>
      <c r="R74" s="64" t="str">
        <f>IFERROR(__xludf.DUMMYFUNCTION("IF(LEN(A74)+LEN(D74)=0, """", CONCATENATE(D74, ,"" ("", TEXT(AD74*100, ""00""),""/"",TEXT(AB74*100, ""00""),"") "", UNIQUE(FILTER (T:T,S:S=A74&amp;D74)), H74,"";"", CHAR(10)))"),"")</f>
        <v/>
      </c>
      <c r="S74" s="64" t="str">
        <f t="shared" si="1"/>
        <v/>
      </c>
      <c r="T74" s="64" t="str">
        <f t="shared" si="2"/>
        <v>[]</v>
      </c>
      <c r="U74" s="83">
        <f t="shared" si="3"/>
        <v>0</v>
      </c>
      <c r="V74" s="83">
        <f t="shared" si="4"/>
        <v>0</v>
      </c>
      <c r="W74" s="97" t="str">
        <f>IFERROR(__xludf.DUMMYFUNCTION("IFNA(FILTER(AdminOnly!$B:$B,AdminOnly!$A:$A=P74),0)"),"#REF!")</f>
        <v>#REF!</v>
      </c>
      <c r="X74" s="101">
        <f>IFERROR(__xludf.DUMMYFUNCTION("IFNA(FILTER(AdminOnly!$F$2:$F$10,AdminOnly!$E$2:$E$10=Q74),0)"),0.0)</f>
        <v>0</v>
      </c>
      <c r="Y74" s="105">
        <f>IFERROR(__xludf.DUMMYFUNCTION("IFNA(FILTER(AdminOnly!$K$2:$K$10,AdminOnly!$H$2:$H$10=J74),0)"),0.0)</f>
        <v>0</v>
      </c>
      <c r="Z74" s="107">
        <f>IFERROR(__xludf.DUMMYFUNCTION("IFNA(FILTER(AdminOnly!$N$2:$N$20,AdminOnly!$M$2:$M$20=K74),0)"),0.0)</f>
        <v>0</v>
      </c>
      <c r="AA74" s="97">
        <f t="shared" si="5"/>
        <v>0</v>
      </c>
      <c r="AB74" s="97" t="str">
        <f>IFERROR(__xludf.DUMMYFUNCTION("MAX(FILTER ( AA:AA,S:S=A74&amp;D74))"),"#REF!")</f>
        <v>#REF!</v>
      </c>
      <c r="AC74" s="97">
        <f t="shared" si="6"/>
        <v>0</v>
      </c>
      <c r="AD74" s="97" t="str">
        <f>IFERROR(__xludf.DUMMYFUNCTION("MAX(FILTER ( AC:AC,S:S=A74&amp;D74))"),"#REF!")</f>
        <v>#REF!</v>
      </c>
      <c r="AE74" s="110"/>
      <c r="AF74" s="110"/>
      <c r="AG74" s="111"/>
      <c r="AH74" s="112"/>
      <c r="AI74" s="113"/>
      <c r="AJ74" s="114"/>
      <c r="AK74" s="111"/>
      <c r="AL74" s="111"/>
      <c r="AM74" s="111"/>
      <c r="AN74" s="111"/>
      <c r="AO74" s="110"/>
      <c r="AP74" s="115"/>
      <c r="AQ74" s="116"/>
      <c r="AR74" s="116"/>
      <c r="AS74" s="116"/>
    </row>
    <row r="75">
      <c r="A75" s="52"/>
      <c r="B75" s="60"/>
      <c r="C75" s="55"/>
      <c r="D75" s="60"/>
      <c r="E75" s="60"/>
      <c r="F75" s="55"/>
      <c r="G75" s="67"/>
      <c r="H75" s="67"/>
      <c r="I75" s="60"/>
      <c r="J75" s="117"/>
      <c r="K75" s="118"/>
      <c r="L75" s="55"/>
      <c r="M75" s="60"/>
      <c r="N75" s="55"/>
      <c r="O75" s="31" t="str">
        <f>IFERROR(__xludf.DUMMYFUNCTION("IFNA(UNIQUE(FILTER(References!$B:$B,References!A:A=I75)), ""#Error: Reference ID"")"),"")</f>
        <v/>
      </c>
      <c r="P75" s="59" t="str">
        <f>IFERROR(__xludf.DUMMYFUNCTION("IFNA(UNIQUE(FILTER(References!$J:$J,References!A:A=I75)), ""#Error: Reference ID"")"),"")</f>
        <v/>
      </c>
      <c r="Q75" s="62" t="str">
        <f>IFERROR(__xludf.DUMMYFUNCTION("IFNA(UNIQUE(FILTER(References!$F:$F,References!A:A=I75)), ""#Error: Reference ID"")"),"")</f>
        <v/>
      </c>
      <c r="R75" s="64" t="str">
        <f>IFERROR(__xludf.DUMMYFUNCTION("IF(LEN(A75)+LEN(D75)=0, """", CONCATENATE(D75, ,"" ("", TEXT(AD75*100, ""00""),""/"",TEXT(AB75*100, ""00""),"") "", UNIQUE(FILTER (T:T,S:S=A75&amp;D75)), H75,"";"", CHAR(10)))"),"")</f>
        <v/>
      </c>
      <c r="S75" s="64" t="str">
        <f t="shared" si="1"/>
        <v/>
      </c>
      <c r="T75" s="64" t="str">
        <f t="shared" si="2"/>
        <v>[]</v>
      </c>
      <c r="U75" s="83">
        <f t="shared" si="3"/>
        <v>0</v>
      </c>
      <c r="V75" s="83">
        <f t="shared" si="4"/>
        <v>0</v>
      </c>
      <c r="W75" s="97" t="str">
        <f>IFERROR(__xludf.DUMMYFUNCTION("IFNA(FILTER(AdminOnly!$B:$B,AdminOnly!$A:$A=P75),0)"),"#REF!")</f>
        <v>#REF!</v>
      </c>
      <c r="X75" s="101">
        <f>IFERROR(__xludf.DUMMYFUNCTION("IFNA(FILTER(AdminOnly!$F$2:$F$10,AdminOnly!$E$2:$E$10=Q75),0)"),0.0)</f>
        <v>0</v>
      </c>
      <c r="Y75" s="105">
        <f>IFERROR(__xludf.DUMMYFUNCTION("IFNA(FILTER(AdminOnly!$K$2:$K$10,AdminOnly!$H$2:$H$10=J75),0)"),0.0)</f>
        <v>0</v>
      </c>
      <c r="Z75" s="107">
        <f>IFERROR(__xludf.DUMMYFUNCTION("IFNA(FILTER(AdminOnly!$N$2:$N$20,AdminOnly!$M$2:$M$20=K75),0)"),0.0)</f>
        <v>0</v>
      </c>
      <c r="AA75" s="97">
        <f t="shared" si="5"/>
        <v>0</v>
      </c>
      <c r="AB75" s="97" t="str">
        <f>IFERROR(__xludf.DUMMYFUNCTION("MAX(FILTER ( AA:AA,S:S=A75&amp;D75))"),"#REF!")</f>
        <v>#REF!</v>
      </c>
      <c r="AC75" s="97">
        <f t="shared" si="6"/>
        <v>0</v>
      </c>
      <c r="AD75" s="97" t="str">
        <f>IFERROR(__xludf.DUMMYFUNCTION("MAX(FILTER ( AC:AC,S:S=A75&amp;D75))"),"#REF!")</f>
        <v>#REF!</v>
      </c>
      <c r="AE75" s="110"/>
      <c r="AF75" s="110"/>
      <c r="AG75" s="111"/>
      <c r="AH75" s="112"/>
      <c r="AI75" s="113"/>
      <c r="AJ75" s="114"/>
      <c r="AK75" s="111"/>
      <c r="AL75" s="111"/>
      <c r="AM75" s="111"/>
      <c r="AN75" s="111"/>
      <c r="AO75" s="110"/>
      <c r="AP75" s="115"/>
      <c r="AQ75" s="116"/>
      <c r="AR75" s="116"/>
      <c r="AS75" s="116"/>
    </row>
    <row r="76">
      <c r="A76" s="38"/>
      <c r="B76" s="38"/>
      <c r="C76" s="42"/>
      <c r="D76" s="38"/>
      <c r="E76" s="38"/>
      <c r="F76" s="42"/>
      <c r="G76" s="42"/>
      <c r="H76" s="42"/>
      <c r="I76" s="38"/>
      <c r="J76" s="163"/>
      <c r="K76" s="163"/>
      <c r="L76" s="42"/>
      <c r="M76" s="35"/>
      <c r="N76" s="42"/>
      <c r="O76" s="31" t="str">
        <f>IFERROR(__xludf.DUMMYFUNCTION("IFNA(UNIQUE(FILTER(References!$B:$B,References!A:A=I76)), ""#Error: Reference ID"")"),"")</f>
        <v/>
      </c>
      <c r="P76" s="59" t="str">
        <f>IFERROR(__xludf.DUMMYFUNCTION("IFNA(UNIQUE(FILTER(References!$J:$J,References!A:A=I76)), ""#Error: Reference ID"")"),"")</f>
        <v/>
      </c>
      <c r="Q76" s="62" t="str">
        <f>IFERROR(__xludf.DUMMYFUNCTION("IFNA(UNIQUE(FILTER(References!$F:$F,References!A:A=I76)), ""#Error: Reference ID"")"),"")</f>
        <v/>
      </c>
      <c r="R76" s="64" t="str">
        <f>IFERROR(__xludf.DUMMYFUNCTION("IF(LEN(A76)+LEN(D76)=0, """", CONCATENATE(D76, ,"" ("", TEXT(AD76*100, ""00""),""/"",TEXT(AB76*100, ""00""),"") "", UNIQUE(FILTER (T:T,S:S=A76&amp;D76)), H76,"";"", CHAR(10)))"),"")</f>
        <v/>
      </c>
      <c r="S76" s="64" t="str">
        <f t="shared" si="1"/>
        <v/>
      </c>
      <c r="T76" s="64" t="str">
        <f t="shared" si="2"/>
        <v>[]</v>
      </c>
      <c r="U76" s="83">
        <f t="shared" si="3"/>
        <v>0</v>
      </c>
      <c r="V76" s="83">
        <f t="shared" si="4"/>
        <v>0</v>
      </c>
      <c r="W76" s="97" t="str">
        <f>IFERROR(__xludf.DUMMYFUNCTION("IFNA(FILTER(AdminOnly!$B:$B,AdminOnly!$A:$A=P76),0)"),"#REF!")</f>
        <v>#REF!</v>
      </c>
      <c r="X76" s="101">
        <f>IFERROR(__xludf.DUMMYFUNCTION("IFNA(FILTER(AdminOnly!$F$2:$F$10,AdminOnly!$E$2:$E$10=Q76),0)"),0.0)</f>
        <v>0</v>
      </c>
      <c r="Y76" s="105">
        <f>IFERROR(__xludf.DUMMYFUNCTION("IFNA(FILTER(AdminOnly!$K$2:$K$10,AdminOnly!$H$2:$H$10=J76),0)"),0.0)</f>
        <v>0</v>
      </c>
      <c r="Z76" s="107">
        <f>IFERROR(__xludf.DUMMYFUNCTION("IFNA(FILTER(AdminOnly!$N$2:$N$20,AdminOnly!$M$2:$M$20=K76),0)"),0.0)</f>
        <v>0</v>
      </c>
      <c r="AA76" s="97">
        <f t="shared" si="5"/>
        <v>0</v>
      </c>
      <c r="AB76" s="97" t="str">
        <f>IFERROR(__xludf.DUMMYFUNCTION("MAX(FILTER ( AA:AA,S:S=A76&amp;D76))"),"#REF!")</f>
        <v>#REF!</v>
      </c>
      <c r="AC76" s="97">
        <f t="shared" si="6"/>
        <v>0</v>
      </c>
      <c r="AD76" s="97" t="str">
        <f>IFERROR(__xludf.DUMMYFUNCTION("MAX(FILTER ( AC:AC,S:S=A76&amp;D76))"),"#REF!")</f>
        <v>#REF!</v>
      </c>
      <c r="AE76" s="110"/>
      <c r="AF76" s="110"/>
      <c r="AG76" s="111"/>
      <c r="AH76" s="112"/>
      <c r="AI76" s="164"/>
      <c r="AJ76" s="165"/>
      <c r="AK76" s="111"/>
      <c r="AL76" s="111"/>
      <c r="AM76" s="111"/>
      <c r="AN76" s="111"/>
      <c r="AO76" s="111"/>
      <c r="AP76" s="111"/>
      <c r="AQ76" s="116"/>
      <c r="AR76" s="116"/>
      <c r="AS76" s="116"/>
    </row>
    <row r="77">
      <c r="A77" s="38"/>
      <c r="B77" s="38"/>
      <c r="C77" s="42"/>
      <c r="D77" s="38"/>
      <c r="E77" s="38"/>
      <c r="F77" s="42"/>
      <c r="G77" s="42"/>
      <c r="H77" s="42"/>
      <c r="I77" s="38"/>
      <c r="J77" s="163"/>
      <c r="K77" s="163"/>
      <c r="L77" s="42"/>
      <c r="M77" s="35"/>
      <c r="N77" s="42"/>
      <c r="O77" s="31" t="str">
        <f>IFERROR(__xludf.DUMMYFUNCTION("IFNA(UNIQUE(FILTER(References!$B:$B,References!A:A=I77)), ""#Error: Reference ID"")"),"")</f>
        <v/>
      </c>
      <c r="P77" s="59" t="str">
        <f>IFERROR(__xludf.DUMMYFUNCTION("IFNA(UNIQUE(FILTER(References!$J:$J,References!A:A=I77)), ""#Error: Reference ID"")"),"")</f>
        <v/>
      </c>
      <c r="Q77" s="62" t="str">
        <f>IFERROR(__xludf.DUMMYFUNCTION("IFNA(UNIQUE(FILTER(References!$F:$F,References!A:A=I77)), ""#Error: Reference ID"")"),"")</f>
        <v/>
      </c>
      <c r="R77" s="64" t="str">
        <f>IFERROR(__xludf.DUMMYFUNCTION("IF(LEN(A77)+LEN(D77)=0, """", CONCATENATE(D77, ,"" ("", TEXT(AD77*100, ""00""),""/"",TEXT(AB77*100, ""00""),"") "", UNIQUE(FILTER (T:T,S:S=A77&amp;D77)), H77,"";"", CHAR(10)))"),"")</f>
        <v/>
      </c>
      <c r="S77" s="64" t="str">
        <f t="shared" si="1"/>
        <v/>
      </c>
      <c r="T77" s="64" t="str">
        <f t="shared" si="2"/>
        <v>[]</v>
      </c>
      <c r="U77" s="83">
        <f t="shared" si="3"/>
        <v>0</v>
      </c>
      <c r="V77" s="83">
        <f t="shared" si="4"/>
        <v>0</v>
      </c>
      <c r="W77" s="97" t="str">
        <f>IFERROR(__xludf.DUMMYFUNCTION("IFNA(FILTER(AdminOnly!$B:$B,AdminOnly!$A:$A=P77),0)"),"#REF!")</f>
        <v>#REF!</v>
      </c>
      <c r="X77" s="101">
        <f>IFERROR(__xludf.DUMMYFUNCTION("IFNA(FILTER(AdminOnly!$F$2:$F$10,AdminOnly!$E$2:$E$10=Q77),0)"),0.0)</f>
        <v>0</v>
      </c>
      <c r="Y77" s="105">
        <f>IFERROR(__xludf.DUMMYFUNCTION("IFNA(FILTER(AdminOnly!$K$2:$K$10,AdminOnly!$H$2:$H$10=J77),0)"),0.0)</f>
        <v>0</v>
      </c>
      <c r="Z77" s="107">
        <f>IFERROR(__xludf.DUMMYFUNCTION("IFNA(FILTER(AdminOnly!$N$2:$N$20,AdminOnly!$M$2:$M$20=K77),0)"),0.0)</f>
        <v>0</v>
      </c>
      <c r="AA77" s="97">
        <f t="shared" si="5"/>
        <v>0</v>
      </c>
      <c r="AB77" s="97" t="str">
        <f>IFERROR(__xludf.DUMMYFUNCTION("MAX(FILTER ( AA:AA,S:S=A77&amp;D77))"),"#REF!")</f>
        <v>#REF!</v>
      </c>
      <c r="AC77" s="97">
        <f t="shared" si="6"/>
        <v>0</v>
      </c>
      <c r="AD77" s="97" t="str">
        <f>IFERROR(__xludf.DUMMYFUNCTION("MAX(FILTER ( AC:AC,S:S=A77&amp;D77))"),"#REF!")</f>
        <v>#REF!</v>
      </c>
      <c r="AE77" s="110"/>
      <c r="AF77" s="110"/>
      <c r="AG77" s="111"/>
      <c r="AH77" s="112"/>
      <c r="AI77" s="164"/>
      <c r="AJ77" s="165"/>
      <c r="AK77" s="111"/>
      <c r="AL77" s="111"/>
      <c r="AM77" s="111"/>
      <c r="AN77" s="111"/>
      <c r="AO77" s="111"/>
      <c r="AP77" s="111"/>
      <c r="AQ77" s="116"/>
      <c r="AR77" s="116"/>
      <c r="AS77" s="116"/>
    </row>
    <row r="78">
      <c r="A78" s="38"/>
      <c r="B78" s="38"/>
      <c r="C78" s="42"/>
      <c r="D78" s="38"/>
      <c r="E78" s="38"/>
      <c r="F78" s="42"/>
      <c r="G78" s="42"/>
      <c r="H78" s="42"/>
      <c r="I78" s="38"/>
      <c r="J78" s="163"/>
      <c r="K78" s="163"/>
      <c r="L78" s="42"/>
      <c r="M78" s="35"/>
      <c r="N78" s="42"/>
      <c r="O78" s="31" t="str">
        <f>IFERROR(__xludf.DUMMYFUNCTION("IFNA(UNIQUE(FILTER(References!$B:$B,References!A:A=I78)), ""#Error: Reference ID"")"),"")</f>
        <v/>
      </c>
      <c r="P78" s="59" t="str">
        <f>IFERROR(__xludf.DUMMYFUNCTION("IFNA(UNIQUE(FILTER(References!$J:$J,References!A:A=I78)), ""#Error: Reference ID"")"),"")</f>
        <v/>
      </c>
      <c r="Q78" s="62" t="str">
        <f>IFERROR(__xludf.DUMMYFUNCTION("IFNA(UNIQUE(FILTER(References!$F:$F,References!A:A=I78)), ""#Error: Reference ID"")"),"")</f>
        <v/>
      </c>
      <c r="R78" s="64" t="str">
        <f>IFERROR(__xludf.DUMMYFUNCTION("IF(LEN(A78)+LEN(D78)=0, """", CONCATENATE(D78, ,"" ("", TEXT(AD78*100, ""00""),""/"",TEXT(AB78*100, ""00""),"") "", UNIQUE(FILTER (T:T,S:S=A78&amp;D78)), H78,"";"", CHAR(10)))"),"")</f>
        <v/>
      </c>
      <c r="S78" s="64" t="str">
        <f t="shared" si="1"/>
        <v/>
      </c>
      <c r="T78" s="64" t="str">
        <f t="shared" si="2"/>
        <v>[]</v>
      </c>
      <c r="U78" s="83">
        <f t="shared" si="3"/>
        <v>0</v>
      </c>
      <c r="V78" s="83">
        <f t="shared" si="4"/>
        <v>0</v>
      </c>
      <c r="W78" s="97" t="str">
        <f>IFERROR(__xludf.DUMMYFUNCTION("IFNA(FILTER(AdminOnly!$B:$B,AdminOnly!$A:$A=P78),0)"),"#REF!")</f>
        <v>#REF!</v>
      </c>
      <c r="X78" s="101">
        <f>IFERROR(__xludf.DUMMYFUNCTION("IFNA(FILTER(AdminOnly!$F$2:$F$10,AdminOnly!$E$2:$E$10=Q78),0)"),0.0)</f>
        <v>0</v>
      </c>
      <c r="Y78" s="105">
        <f>IFERROR(__xludf.DUMMYFUNCTION("IFNA(FILTER(AdminOnly!$K$2:$K$10,AdminOnly!$H$2:$H$10=J78),0)"),0.0)</f>
        <v>0</v>
      </c>
      <c r="Z78" s="107">
        <f>IFERROR(__xludf.DUMMYFUNCTION("IFNA(FILTER(AdminOnly!$N$2:$N$20,AdminOnly!$M$2:$M$20=K78),0)"),0.0)</f>
        <v>0</v>
      </c>
      <c r="AA78" s="97">
        <f t="shared" si="5"/>
        <v>0</v>
      </c>
      <c r="AB78" s="97" t="str">
        <f>IFERROR(__xludf.DUMMYFUNCTION("MAX(FILTER ( AA:AA,S:S=A78&amp;D78))"),"#REF!")</f>
        <v>#REF!</v>
      </c>
      <c r="AC78" s="97">
        <f t="shared" si="6"/>
        <v>0</v>
      </c>
      <c r="AD78" s="97" t="str">
        <f>IFERROR(__xludf.DUMMYFUNCTION("MAX(FILTER ( AC:AC,S:S=A78&amp;D78))"),"#REF!")</f>
        <v>#REF!</v>
      </c>
      <c r="AE78" s="110"/>
      <c r="AF78" s="110"/>
      <c r="AG78" s="111"/>
      <c r="AH78" s="112"/>
      <c r="AI78" s="164"/>
      <c r="AJ78" s="165"/>
      <c r="AK78" s="111"/>
      <c r="AL78" s="111"/>
      <c r="AM78" s="111"/>
      <c r="AN78" s="111"/>
      <c r="AO78" s="111"/>
      <c r="AP78" s="111"/>
      <c r="AQ78" s="116"/>
      <c r="AR78" s="116"/>
      <c r="AS78" s="116"/>
    </row>
    <row r="79">
      <c r="A79" s="38"/>
      <c r="B79" s="38"/>
      <c r="C79" s="42"/>
      <c r="D79" s="38"/>
      <c r="E79" s="38"/>
      <c r="F79" s="42"/>
      <c r="G79" s="42"/>
      <c r="H79" s="42"/>
      <c r="I79" s="38"/>
      <c r="J79" s="163"/>
      <c r="K79" s="163"/>
      <c r="L79" s="42"/>
      <c r="M79" s="35"/>
      <c r="N79" s="42"/>
      <c r="O79" s="31" t="str">
        <f>IFERROR(__xludf.DUMMYFUNCTION("IFNA(UNIQUE(FILTER(References!$B:$B,References!A:A=I79)), ""#Error: Reference ID"")"),"")</f>
        <v/>
      </c>
      <c r="P79" s="59" t="str">
        <f>IFERROR(__xludf.DUMMYFUNCTION("IFNA(UNIQUE(FILTER(References!$J:$J,References!A:A=I79)), ""#Error: Reference ID"")"),"")</f>
        <v/>
      </c>
      <c r="Q79" s="62" t="str">
        <f>IFERROR(__xludf.DUMMYFUNCTION("IFNA(UNIQUE(FILTER(References!$F:$F,References!A:A=I79)), ""#Error: Reference ID"")"),"")</f>
        <v/>
      </c>
      <c r="R79" s="64" t="str">
        <f>IFERROR(__xludf.DUMMYFUNCTION("IF(LEN(A79)+LEN(D79)=0, """", CONCATENATE(D79, ,"" ("", TEXT(AD79*100, ""00""),""/"",TEXT(AB79*100, ""00""),"") "", UNIQUE(FILTER (T:T,S:S=A79&amp;D79)), H79,"";"", CHAR(10)))"),"")</f>
        <v/>
      </c>
      <c r="S79" s="64" t="str">
        <f t="shared" si="1"/>
        <v/>
      </c>
      <c r="T79" s="64" t="str">
        <f t="shared" si="2"/>
        <v>[]</v>
      </c>
      <c r="U79" s="83">
        <f t="shared" si="3"/>
        <v>0</v>
      </c>
      <c r="V79" s="83">
        <f t="shared" si="4"/>
        <v>0</v>
      </c>
      <c r="W79" s="97" t="str">
        <f>IFERROR(__xludf.DUMMYFUNCTION("IFNA(FILTER(AdminOnly!$B:$B,AdminOnly!$A:$A=P79),0)"),"#REF!")</f>
        <v>#REF!</v>
      </c>
      <c r="X79" s="101">
        <f>IFERROR(__xludf.DUMMYFUNCTION("IFNA(FILTER(AdminOnly!$F$2:$F$10,AdminOnly!$E$2:$E$10=Q79),0)"),0.0)</f>
        <v>0</v>
      </c>
      <c r="Y79" s="105">
        <f>IFERROR(__xludf.DUMMYFUNCTION("IFNA(FILTER(AdminOnly!$K$2:$K$10,AdminOnly!$H$2:$H$10=J79),0)"),0.0)</f>
        <v>0</v>
      </c>
      <c r="Z79" s="107">
        <f>IFERROR(__xludf.DUMMYFUNCTION("IFNA(FILTER(AdminOnly!$N$2:$N$20,AdminOnly!$M$2:$M$20=K79),0)"),0.0)</f>
        <v>0</v>
      </c>
      <c r="AA79" s="97">
        <f t="shared" si="5"/>
        <v>0</v>
      </c>
      <c r="AB79" s="97" t="str">
        <f>IFERROR(__xludf.DUMMYFUNCTION("MAX(FILTER ( AA:AA,S:S=A79&amp;D79))"),"#REF!")</f>
        <v>#REF!</v>
      </c>
      <c r="AC79" s="97">
        <f t="shared" si="6"/>
        <v>0</v>
      </c>
      <c r="AD79" s="97" t="str">
        <f>IFERROR(__xludf.DUMMYFUNCTION("MAX(FILTER ( AC:AC,S:S=A79&amp;D79))"),"#REF!")</f>
        <v>#REF!</v>
      </c>
      <c r="AE79" s="110"/>
      <c r="AF79" s="110"/>
      <c r="AG79" s="111"/>
      <c r="AH79" s="112"/>
      <c r="AI79" s="164"/>
      <c r="AJ79" s="165"/>
      <c r="AK79" s="111"/>
      <c r="AL79" s="111"/>
      <c r="AM79" s="111"/>
      <c r="AN79" s="111"/>
      <c r="AO79" s="111"/>
      <c r="AP79" s="111"/>
      <c r="AQ79" s="116"/>
      <c r="AR79" s="116"/>
      <c r="AS79" s="116"/>
    </row>
    <row r="80">
      <c r="A80" s="38"/>
      <c r="B80" s="38"/>
      <c r="C80" s="42"/>
      <c r="D80" s="38"/>
      <c r="E80" s="38"/>
      <c r="F80" s="42"/>
      <c r="G80" s="42"/>
      <c r="H80" s="42"/>
      <c r="I80" s="38"/>
      <c r="J80" s="163"/>
      <c r="K80" s="163"/>
      <c r="L80" s="42"/>
      <c r="M80" s="35"/>
      <c r="N80" s="42"/>
      <c r="O80" s="31" t="str">
        <f>IFERROR(__xludf.DUMMYFUNCTION("IFNA(UNIQUE(FILTER(References!$B:$B,References!A:A=I80)), ""#Error: Reference ID"")"),"")</f>
        <v/>
      </c>
      <c r="P80" s="59" t="str">
        <f>IFERROR(__xludf.DUMMYFUNCTION("IFNA(UNIQUE(FILTER(References!$J:$J,References!A:A=I80)), ""#Error: Reference ID"")"),"")</f>
        <v/>
      </c>
      <c r="Q80" s="62" t="str">
        <f>IFERROR(__xludf.DUMMYFUNCTION("IFNA(UNIQUE(FILTER(References!$F:$F,References!A:A=I80)), ""#Error: Reference ID"")"),"")</f>
        <v/>
      </c>
      <c r="R80" s="64" t="str">
        <f>IFERROR(__xludf.DUMMYFUNCTION("IF(LEN(A80)+LEN(D80)=0, """", CONCATENATE(D80, ,"" ("", TEXT(AD80*100, ""00""),""/"",TEXT(AB80*100, ""00""),"") "", UNIQUE(FILTER (T:T,S:S=A80&amp;D80)), H80,"";"", CHAR(10)))"),"")</f>
        <v/>
      </c>
      <c r="S80" s="64" t="str">
        <f t="shared" si="1"/>
        <v/>
      </c>
      <c r="T80" s="64" t="str">
        <f t="shared" si="2"/>
        <v>[]</v>
      </c>
      <c r="U80" s="83">
        <f t="shared" si="3"/>
        <v>0</v>
      </c>
      <c r="V80" s="83">
        <f t="shared" si="4"/>
        <v>0</v>
      </c>
      <c r="W80" s="97" t="str">
        <f>IFERROR(__xludf.DUMMYFUNCTION("IFNA(FILTER(AdminOnly!$B:$B,AdminOnly!$A:$A=P80),0)"),"#REF!")</f>
        <v>#REF!</v>
      </c>
      <c r="X80" s="101">
        <f>IFERROR(__xludf.DUMMYFUNCTION("IFNA(FILTER(AdminOnly!$F$2:$F$10,AdminOnly!$E$2:$E$10=Q80),0)"),0.0)</f>
        <v>0</v>
      </c>
      <c r="Y80" s="105">
        <f>IFERROR(__xludf.DUMMYFUNCTION("IFNA(FILTER(AdminOnly!$K$2:$K$10,AdminOnly!$H$2:$H$10=J80),0)"),0.0)</f>
        <v>0</v>
      </c>
      <c r="Z80" s="107">
        <f>IFERROR(__xludf.DUMMYFUNCTION("IFNA(FILTER(AdminOnly!$N$2:$N$20,AdminOnly!$M$2:$M$20=K80),0)"),0.0)</f>
        <v>0</v>
      </c>
      <c r="AA80" s="97">
        <f t="shared" si="5"/>
        <v>0</v>
      </c>
      <c r="AB80" s="97" t="str">
        <f>IFERROR(__xludf.DUMMYFUNCTION("MAX(FILTER ( AA:AA,S:S=A80&amp;D80))"),"#REF!")</f>
        <v>#REF!</v>
      </c>
      <c r="AC80" s="97">
        <f t="shared" si="6"/>
        <v>0</v>
      </c>
      <c r="AD80" s="97" t="str">
        <f>IFERROR(__xludf.DUMMYFUNCTION("MAX(FILTER ( AC:AC,S:S=A80&amp;D80))"),"#REF!")</f>
        <v>#REF!</v>
      </c>
      <c r="AE80" s="110"/>
      <c r="AF80" s="110"/>
      <c r="AG80" s="111"/>
      <c r="AH80" s="112"/>
      <c r="AI80" s="164"/>
      <c r="AJ80" s="165"/>
      <c r="AK80" s="111"/>
      <c r="AL80" s="111"/>
      <c r="AM80" s="111"/>
      <c r="AN80" s="111"/>
      <c r="AO80" s="111"/>
      <c r="AP80" s="111"/>
      <c r="AQ80" s="116"/>
      <c r="AR80" s="116"/>
      <c r="AS80" s="116"/>
    </row>
    <row r="81" ht="18.75" customHeight="1">
      <c r="A81" s="149"/>
      <c r="B81" s="149"/>
      <c r="C81" s="120"/>
      <c r="D81" s="149"/>
      <c r="E81" s="149"/>
      <c r="F81" s="120"/>
      <c r="G81" s="120"/>
      <c r="H81" s="120"/>
      <c r="I81" s="149"/>
      <c r="J81" s="166"/>
      <c r="K81" s="166"/>
      <c r="L81" s="120"/>
      <c r="M81" s="167"/>
      <c r="N81" s="120"/>
      <c r="O81" s="168" t="str">
        <f>IFERROR(__xludf.DUMMYFUNCTION("IFNA(UNIQUE(FILTER(References!$B$2:$B$2126,References!A$2:A$2126=I81)), ""#Error: Reference ID"")"),"")</f>
        <v/>
      </c>
      <c r="P81" s="120" t="str">
        <f>IFERROR(__xludf.DUMMYFUNCTION("IFNA(UNIQUE(FILTER(References!$J$2:$J$2126,References!A$2:A$2126=I81)), ""#Error: Reference ID"")"),"")</f>
        <v/>
      </c>
      <c r="Q81" s="169" t="str">
        <f>IFERROR(__xludf.DUMMYFUNCTION("IFNA(UNIQUE(FILTER(References!$F$2:$F$2126,References!A$2:A$2126=I81)), ""#Error: Reference ID"")"),"")</f>
        <v/>
      </c>
      <c r="R81" s="169" t="str">
        <f>IFERROR(__xludf.DUMMYFUNCTION("IF(LEN(A81)+LEN(D81)=0, """", CONCATENATE(D81, ,"" ("", TEXT(AD81*100, ""00""),""/"",TEXT(AB81*100, ""00""),"") "", UNIQUE(FILTER (T$2:T$1861,S$2:S$1861=A81&amp;D81)), H81,"";"", CHAR(10)))"),"")</f>
        <v/>
      </c>
      <c r="S81" s="169" t="str">
        <f t="shared" si="1"/>
        <v/>
      </c>
      <c r="T81" s="169"/>
      <c r="U81" s="170"/>
      <c r="V81" s="170"/>
      <c r="W81" s="170" t="str">
        <f>IFERROR(__xludf.DUMMYFUNCTION("IFNA(FILTER(AdminOnly!$B:$B,AdminOnly!$A:$A=P81),0)"),"#REF!")</f>
        <v>#REF!</v>
      </c>
      <c r="X81" s="170"/>
      <c r="Y81" s="171"/>
      <c r="Z81" s="172"/>
      <c r="AA81" s="170"/>
      <c r="AB81" s="170"/>
      <c r="AC81" s="170"/>
      <c r="AD81" s="170"/>
      <c r="AE81" s="173"/>
      <c r="AF81" s="173"/>
      <c r="AG81" s="174"/>
      <c r="AH81" s="175"/>
      <c r="AI81" s="175"/>
      <c r="AJ81" s="174"/>
      <c r="AK81" s="174"/>
      <c r="AL81" s="174"/>
      <c r="AM81" s="174"/>
      <c r="AN81" s="174"/>
      <c r="AO81" s="174"/>
      <c r="AP81" s="174"/>
      <c r="AQ81" s="176"/>
      <c r="AR81" s="176"/>
      <c r="AS81" s="176"/>
    </row>
    <row r="82">
      <c r="A82" s="177" t="str">
        <f>IFERROR(__xludf.DUMMYFUNCTION("IMPORTRANGE(Settings!$A$2,""WBconnections!A2:AP1000"")"),"A1Cr")</f>
        <v>A1Cr</v>
      </c>
      <c r="B82" s="42"/>
      <c r="C82" s="42"/>
      <c r="D82" s="42" t="str">
        <f>IFERROR(__xludf.DUMMYFUNCTION("""COMPUTED_VALUE"""),"ASTC")</f>
        <v>ASTC</v>
      </c>
      <c r="E82" s="42"/>
      <c r="F82" s="42"/>
      <c r="G82" s="42"/>
      <c r="H82" s="42" t="str">
        <f>IFERROR(__xludf.DUMMYFUNCTION("""COMPUTED_VALUE"""),"")</f>
        <v/>
      </c>
      <c r="I82" s="178" t="str">
        <f>IFERROR(__xludf.DUMMYFUNCTION("""COMPUTED_VALUE"""),"Jasmin, 2019")</f>
        <v>Jasmin, 2019</v>
      </c>
      <c r="J82" s="178"/>
      <c r="K82" s="42"/>
      <c r="L82" s="42"/>
      <c r="M82" s="42"/>
      <c r="N82" s="42"/>
      <c r="O82" s="131" t="str">
        <f>IFERROR(__xludf.DUMMYFUNCTION("""COMPUTED_VALUE"""),"DOC")</f>
        <v>DOC</v>
      </c>
      <c r="P82" s="9" t="str">
        <f>IFERROR(__xludf.DUMMYFUNCTION("""COMPUTED_VALUE"""),"Nature Reviews Neuroscience")</f>
        <v>Nature Reviews Neuroscience</v>
      </c>
      <c r="Q82" s="9" t="str">
        <f>IFERROR(__xludf.DUMMYFUNCTION("""COMPUTED_VALUE"""),"Review")</f>
        <v>Review</v>
      </c>
      <c r="R82" s="179" t="str">
        <f>IFERROR(__xludf.DUMMYFUNCTION("""COMPUTED_VALUE"""),"ASTC (00/00) [Jasmin, 2019][Scott, 2017];
")</f>
        <v>ASTC (00/00) [Jasmin, 2019][Scott, 2017];
</v>
      </c>
      <c r="S82" s="179" t="str">
        <f>IFERROR(__xludf.DUMMYFUNCTION("""COMPUTED_VALUE"""),"A1CrASTC")</f>
        <v>A1CrASTC</v>
      </c>
      <c r="T82" s="179" t="str">
        <f>IFERROR(__xludf.DUMMYFUNCTION("""COMPUTED_VALUE"""),"[Jasmin, 2019]")</f>
        <v>[Jasmin, 2019]</v>
      </c>
      <c r="U82" s="179">
        <f>IFERROR(__xludf.DUMMYFUNCTION("""COMPUTED_VALUE"""),0.0)</f>
        <v>0</v>
      </c>
      <c r="V82" s="180">
        <f>IFERROR(__xludf.DUMMYFUNCTION("""COMPUTED_VALUE"""),0.0)</f>
        <v>0</v>
      </c>
      <c r="W82" s="180">
        <f>IFERROR(__xludf.DUMMYFUNCTION("""COMPUTED_VALUE"""),0.95)</f>
        <v>0.95</v>
      </c>
      <c r="X82" s="42">
        <f>IFERROR(__xludf.DUMMYFUNCTION("""COMPUTED_VALUE"""),0.8)</f>
        <v>0.8</v>
      </c>
      <c r="Y82" s="42">
        <f>IFERROR(__xludf.DUMMYFUNCTION("""COMPUTED_VALUE"""),0.0)</f>
        <v>0</v>
      </c>
      <c r="Z82" s="9">
        <f>IFERROR(__xludf.DUMMYFUNCTION("""COMPUTED_VALUE"""),0.0)</f>
        <v>0</v>
      </c>
      <c r="AA82" s="181">
        <f>IFERROR(__xludf.DUMMYFUNCTION("""COMPUTED_VALUE"""),0.0)</f>
        <v>0</v>
      </c>
      <c r="AB82" s="181">
        <f>IFERROR(__xludf.DUMMYFUNCTION("""COMPUTED_VALUE"""),0.0)</f>
        <v>0</v>
      </c>
      <c r="AC82" s="179">
        <f>IFERROR(__xludf.DUMMYFUNCTION("""COMPUTED_VALUE"""),0.0)</f>
        <v>0</v>
      </c>
      <c r="AD82" s="165">
        <f>IFERROR(__xludf.DUMMYFUNCTION("""COMPUTED_VALUE"""),0.0)</f>
        <v>0</v>
      </c>
      <c r="AE82" s="39" t="str">
        <f>IFERROR(__xludf.DUMMYFUNCTION("""COMPUTED_VALUE"""),"Hiroshi Yamakawa")</f>
        <v>Hiroshi Yamakawa</v>
      </c>
      <c r="AF82" s="39" t="str">
        <f>IFERROR(__xludf.DUMMYFUNCTION("""COMPUTED_VALUE"""),"HY22DAA")</f>
        <v>HY22DAA</v>
      </c>
      <c r="AG82" s="39"/>
      <c r="AH82" s="39"/>
      <c r="AI82" s="165"/>
      <c r="AJ82" s="165"/>
      <c r="AK82" s="111"/>
      <c r="AL82" s="111"/>
      <c r="AM82" s="111"/>
      <c r="AN82" s="111"/>
      <c r="AO82" s="111"/>
      <c r="AP82" s="111"/>
      <c r="AQ82" s="116"/>
      <c r="AR82" s="116"/>
      <c r="AS82" s="116"/>
    </row>
    <row r="83">
      <c r="A83" s="182" t="str">
        <f>IFERROR(__xludf.DUMMYFUNCTION("""COMPUTED_VALUE"""),"A1Cr")</f>
        <v>A1Cr</v>
      </c>
      <c r="B83" s="42"/>
      <c r="C83" s="42"/>
      <c r="D83" s="42" t="str">
        <f>IFERROR(__xludf.DUMMYFUNCTION("""COMPUTED_VALUE"""),"AuR")</f>
        <v>AuR</v>
      </c>
      <c r="E83" s="42"/>
      <c r="F83" s="42"/>
      <c r="G83" s="42"/>
      <c r="H83" s="42" t="str">
        <f>IFERROR(__xludf.DUMMYFUNCTION("""COMPUTED_VALUE"""),"")</f>
        <v/>
      </c>
      <c r="I83" s="42" t="str">
        <f>IFERROR(__xludf.DUMMYFUNCTION("""COMPUTED_VALUE"""),"Jasmin, 2019")</f>
        <v>Jasmin, 2019</v>
      </c>
      <c r="J83" s="42"/>
      <c r="K83" s="42"/>
      <c r="L83" s="42"/>
      <c r="M83" s="42"/>
      <c r="N83" s="42"/>
      <c r="O83" s="31" t="str">
        <f>IFERROR(__xludf.DUMMYFUNCTION("""COMPUTED_VALUE"""),"DOC")</f>
        <v>DOC</v>
      </c>
      <c r="P83" s="9" t="str">
        <f>IFERROR(__xludf.DUMMYFUNCTION("""COMPUTED_VALUE"""),"Nature Reviews Neuroscience")</f>
        <v>Nature Reviews Neuroscience</v>
      </c>
      <c r="Q83" s="9" t="str">
        <f>IFERROR(__xludf.DUMMYFUNCTION("""COMPUTED_VALUE"""),"Review")</f>
        <v>Review</v>
      </c>
      <c r="R83" s="179" t="str">
        <f>IFERROR(__xludf.DUMMYFUNCTION("""COMPUTED_VALUE"""),"AuR (00/00) [Jasmin, 2019][Romanski, 2009][Scott, 2017];
")</f>
        <v>AuR (00/00) [Jasmin, 2019][Romanski, 2009][Scott, 2017];
</v>
      </c>
      <c r="S83" s="179" t="str">
        <f>IFERROR(__xludf.DUMMYFUNCTION("""COMPUTED_VALUE"""),"A1CrAuR")</f>
        <v>A1CrAuR</v>
      </c>
      <c r="T83" s="179" t="str">
        <f>IFERROR(__xludf.DUMMYFUNCTION("""COMPUTED_VALUE"""),"[Jasmin, 2019]")</f>
        <v>[Jasmin, 2019]</v>
      </c>
      <c r="U83" s="179">
        <f>IFERROR(__xludf.DUMMYFUNCTION("""COMPUTED_VALUE"""),0.0)</f>
        <v>0</v>
      </c>
      <c r="V83" s="180">
        <f>IFERROR(__xludf.DUMMYFUNCTION("""COMPUTED_VALUE"""),0.0)</f>
        <v>0</v>
      </c>
      <c r="W83" s="180">
        <f>IFERROR(__xludf.DUMMYFUNCTION("""COMPUTED_VALUE"""),0.95)</f>
        <v>0.95</v>
      </c>
      <c r="X83" s="42">
        <f>IFERROR(__xludf.DUMMYFUNCTION("""COMPUTED_VALUE"""),0.8)</f>
        <v>0.8</v>
      </c>
      <c r="Y83" s="42">
        <f>IFERROR(__xludf.DUMMYFUNCTION("""COMPUTED_VALUE"""),0.0)</f>
        <v>0</v>
      </c>
      <c r="Z83" s="9">
        <f>IFERROR(__xludf.DUMMYFUNCTION("""COMPUTED_VALUE"""),0.0)</f>
        <v>0</v>
      </c>
      <c r="AA83" s="181">
        <f>IFERROR(__xludf.DUMMYFUNCTION("""COMPUTED_VALUE"""),0.0)</f>
        <v>0</v>
      </c>
      <c r="AB83" s="181">
        <f>IFERROR(__xludf.DUMMYFUNCTION("""COMPUTED_VALUE"""),0.0)</f>
        <v>0</v>
      </c>
      <c r="AC83" s="179">
        <f>IFERROR(__xludf.DUMMYFUNCTION("""COMPUTED_VALUE"""),0.0)</f>
        <v>0</v>
      </c>
      <c r="AD83" s="165">
        <f>IFERROR(__xludf.DUMMYFUNCTION("""COMPUTED_VALUE"""),0.0)</f>
        <v>0</v>
      </c>
      <c r="AE83" s="39" t="str">
        <f>IFERROR(__xludf.DUMMYFUNCTION("""COMPUTED_VALUE"""),"Hiroshi Yamakawa")</f>
        <v>Hiroshi Yamakawa</v>
      </c>
      <c r="AF83" s="39" t="str">
        <f>IFERROR(__xludf.DUMMYFUNCTION("""COMPUTED_VALUE"""),"HY22DAA")</f>
        <v>HY22DAA</v>
      </c>
      <c r="AG83" s="39"/>
      <c r="AH83" s="39"/>
      <c r="AI83" s="165"/>
      <c r="AJ83" s="165"/>
      <c r="AK83" s="111"/>
      <c r="AL83" s="111"/>
      <c r="AM83" s="111"/>
      <c r="AN83" s="111"/>
      <c r="AO83" s="111"/>
      <c r="AP83" s="111"/>
      <c r="AQ83" s="116"/>
      <c r="AR83" s="116"/>
      <c r="AS83" s="116"/>
    </row>
    <row r="84">
      <c r="A84" s="42" t="str">
        <f>IFERROR(__xludf.DUMMYFUNCTION("""COMPUTED_VALUE"""),"A1Cr")</f>
        <v>A1Cr</v>
      </c>
      <c r="B84" s="42"/>
      <c r="C84" s="42"/>
      <c r="D84" s="42" t="str">
        <f>IFERROR(__xludf.DUMMYFUNCTION("""COMPUTED_VALUE"""),"A1Cr")</f>
        <v>A1Cr</v>
      </c>
      <c r="E84" s="42"/>
      <c r="F84" s="42"/>
      <c r="G84" s="42"/>
      <c r="H84" s="42" t="str">
        <f>IFERROR(__xludf.DUMMYFUNCTION("""COMPUTED_VALUE"""),"")</f>
        <v/>
      </c>
      <c r="I84" s="42" t="str">
        <f>IFERROR(__xludf.DUMMYFUNCTION("""COMPUTED_VALUE"""),"Romanski, 2009")</f>
        <v>Romanski, 2009</v>
      </c>
      <c r="J84" s="42"/>
      <c r="K84" s="42"/>
      <c r="L84" s="42"/>
      <c r="M84" s="42"/>
      <c r="N84" s="42"/>
      <c r="O84" s="31" t="str">
        <f>IFERROR(__xludf.DUMMYFUNCTION("""COMPUTED_VALUE"""),"DOC")</f>
        <v>DOC</v>
      </c>
      <c r="P84" s="9" t="str">
        <f>IFERROR(__xludf.DUMMYFUNCTION("""COMPUTED_VALUE"""),"Annual Review of Neuroscience")</f>
        <v>Annual Review of Neuroscience</v>
      </c>
      <c r="Q84" s="9"/>
      <c r="R84" s="179" t="str">
        <f>IFERROR(__xludf.DUMMYFUNCTION("""COMPUTED_VALUE"""),"A1Cr (00/00) [Romanski, 2009];
")</f>
        <v>A1Cr (00/00) [Romanski, 2009];
</v>
      </c>
      <c r="S84" s="179" t="str">
        <f>IFERROR(__xludf.DUMMYFUNCTION("""COMPUTED_VALUE"""),"A1CrA1Cr")</f>
        <v>A1CrA1Cr</v>
      </c>
      <c r="T84" s="179" t="str">
        <f>IFERROR(__xludf.DUMMYFUNCTION("""COMPUTED_VALUE"""),"[Romanski, 2009]")</f>
        <v>[Romanski, 2009]</v>
      </c>
      <c r="U84" s="179">
        <f>IFERROR(__xludf.DUMMYFUNCTION("""COMPUTED_VALUE"""),0.0)</f>
        <v>0</v>
      </c>
      <c r="V84" s="180">
        <f>IFERROR(__xludf.DUMMYFUNCTION("""COMPUTED_VALUE"""),0.0)</f>
        <v>0</v>
      </c>
      <c r="W84" s="180">
        <f>IFERROR(__xludf.DUMMYFUNCTION("""COMPUTED_VALUE"""),0.95)</f>
        <v>0.95</v>
      </c>
      <c r="X84" s="42">
        <f>IFERROR(__xludf.DUMMYFUNCTION("""COMPUTED_VALUE"""),0.0)</f>
        <v>0</v>
      </c>
      <c r="Y84" s="42">
        <f>IFERROR(__xludf.DUMMYFUNCTION("""COMPUTED_VALUE"""),0.0)</f>
        <v>0</v>
      </c>
      <c r="Z84" s="9">
        <f>IFERROR(__xludf.DUMMYFUNCTION("""COMPUTED_VALUE"""),0.0)</f>
        <v>0</v>
      </c>
      <c r="AA84" s="181">
        <f>IFERROR(__xludf.DUMMYFUNCTION("""COMPUTED_VALUE"""),0.0)</f>
        <v>0</v>
      </c>
      <c r="AB84" s="181">
        <f>IFERROR(__xludf.DUMMYFUNCTION("""COMPUTED_VALUE"""),0.0)</f>
        <v>0</v>
      </c>
      <c r="AC84" s="179">
        <f>IFERROR(__xludf.DUMMYFUNCTION("""COMPUTED_VALUE"""),0.0)</f>
        <v>0</v>
      </c>
      <c r="AD84" s="165">
        <f>IFERROR(__xludf.DUMMYFUNCTION("""COMPUTED_VALUE"""),0.0)</f>
        <v>0</v>
      </c>
      <c r="AE84" s="39" t="str">
        <f>IFERROR(__xludf.DUMMYFUNCTION("""COMPUTED_VALUE"""),"Hiroshi Yamakawa")</f>
        <v>Hiroshi Yamakawa</v>
      </c>
      <c r="AF84" s="39" t="str">
        <f>IFERROR(__xludf.DUMMYFUNCTION("""COMPUTED_VALUE"""),"HY22DAA")</f>
        <v>HY22DAA</v>
      </c>
      <c r="AG84" s="39"/>
      <c r="AH84" s="39"/>
      <c r="AI84" s="165"/>
      <c r="AJ84" s="165"/>
      <c r="AK84" s="111"/>
      <c r="AL84" s="111"/>
      <c r="AM84" s="111"/>
      <c r="AN84" s="111"/>
      <c r="AO84" s="111"/>
      <c r="AP84" s="111"/>
      <c r="AQ84" s="116"/>
      <c r="AR84" s="116"/>
      <c r="AS84" s="116"/>
    </row>
    <row r="85">
      <c r="A85" s="42" t="str">
        <f>IFERROR(__xludf.DUMMYFUNCTION("""COMPUTED_VALUE"""),"A1Cr")</f>
        <v>A1Cr</v>
      </c>
      <c r="B85" s="42"/>
      <c r="C85" s="42"/>
      <c r="D85" s="42" t="str">
        <f>IFERROR(__xludf.DUMMYFUNCTION("""COMPUTED_VALUE"""),"AuAL")</f>
        <v>AuAL</v>
      </c>
      <c r="E85" s="42"/>
      <c r="F85" s="42"/>
      <c r="G85" s="42"/>
      <c r="H85" s="42" t="str">
        <f>IFERROR(__xludf.DUMMYFUNCTION("""COMPUTED_VALUE"""),"")</f>
        <v/>
      </c>
      <c r="I85" s="42" t="str">
        <f>IFERROR(__xludf.DUMMYFUNCTION("""COMPUTED_VALUE"""),"Romanski, 2009")</f>
        <v>Romanski, 2009</v>
      </c>
      <c r="J85" s="42"/>
      <c r="K85" s="42"/>
      <c r="L85" s="42"/>
      <c r="M85" s="42"/>
      <c r="N85" s="42"/>
      <c r="O85" s="31" t="str">
        <f>IFERROR(__xludf.DUMMYFUNCTION("""COMPUTED_VALUE"""),"DOC")</f>
        <v>DOC</v>
      </c>
      <c r="P85" s="9" t="str">
        <f>IFERROR(__xludf.DUMMYFUNCTION("""COMPUTED_VALUE"""),"Annual Review of Neuroscience")</f>
        <v>Annual Review of Neuroscience</v>
      </c>
      <c r="Q85" s="9"/>
      <c r="R85" s="179" t="str">
        <f>IFERROR(__xludf.DUMMYFUNCTION("""COMPUTED_VALUE"""),"AuAL (00/00) [Romanski, 2009];
")</f>
        <v>AuAL (00/00) [Romanski, 2009];
</v>
      </c>
      <c r="S85" s="179" t="str">
        <f>IFERROR(__xludf.DUMMYFUNCTION("""COMPUTED_VALUE"""),"A1CrAuAL")</f>
        <v>A1CrAuAL</v>
      </c>
      <c r="T85" s="179" t="str">
        <f>IFERROR(__xludf.DUMMYFUNCTION("""COMPUTED_VALUE"""),"[Romanski, 2009]")</f>
        <v>[Romanski, 2009]</v>
      </c>
      <c r="U85" s="179">
        <f>IFERROR(__xludf.DUMMYFUNCTION("""COMPUTED_VALUE"""),0.0)</f>
        <v>0</v>
      </c>
      <c r="V85" s="180">
        <f>IFERROR(__xludf.DUMMYFUNCTION("""COMPUTED_VALUE"""),0.0)</f>
        <v>0</v>
      </c>
      <c r="W85" s="180">
        <f>IFERROR(__xludf.DUMMYFUNCTION("""COMPUTED_VALUE"""),0.95)</f>
        <v>0.95</v>
      </c>
      <c r="X85" s="42">
        <f>IFERROR(__xludf.DUMMYFUNCTION("""COMPUTED_VALUE"""),0.0)</f>
        <v>0</v>
      </c>
      <c r="Y85" s="42">
        <f>IFERROR(__xludf.DUMMYFUNCTION("""COMPUTED_VALUE"""),0.0)</f>
        <v>0</v>
      </c>
      <c r="Z85" s="9">
        <f>IFERROR(__xludf.DUMMYFUNCTION("""COMPUTED_VALUE"""),0.0)</f>
        <v>0</v>
      </c>
      <c r="AA85" s="181">
        <f>IFERROR(__xludf.DUMMYFUNCTION("""COMPUTED_VALUE"""),0.0)</f>
        <v>0</v>
      </c>
      <c r="AB85" s="181">
        <f>IFERROR(__xludf.DUMMYFUNCTION("""COMPUTED_VALUE"""),0.0)</f>
        <v>0</v>
      </c>
      <c r="AC85" s="179">
        <f>IFERROR(__xludf.DUMMYFUNCTION("""COMPUTED_VALUE"""),0.0)</f>
        <v>0</v>
      </c>
      <c r="AD85" s="165">
        <f>IFERROR(__xludf.DUMMYFUNCTION("""COMPUTED_VALUE"""),0.0)</f>
        <v>0</v>
      </c>
      <c r="AE85" s="39" t="str">
        <f>IFERROR(__xludf.DUMMYFUNCTION("""COMPUTED_VALUE"""),"Hiroshi Yamakawa")</f>
        <v>Hiroshi Yamakawa</v>
      </c>
      <c r="AF85" s="39" t="str">
        <f>IFERROR(__xludf.DUMMYFUNCTION("""COMPUTED_VALUE"""),"HY22DAA")</f>
        <v>HY22DAA</v>
      </c>
      <c r="AG85" s="39"/>
      <c r="AH85" s="39"/>
      <c r="AI85" s="165"/>
      <c r="AJ85" s="165"/>
      <c r="AK85" s="111"/>
      <c r="AL85" s="111"/>
      <c r="AM85" s="111"/>
      <c r="AN85" s="111"/>
      <c r="AO85" s="111"/>
      <c r="AP85" s="111"/>
      <c r="AQ85" s="116"/>
      <c r="AR85" s="116"/>
      <c r="AS85" s="116"/>
    </row>
    <row r="86">
      <c r="A86" s="42" t="str">
        <f>IFERROR(__xludf.DUMMYFUNCTION("""COMPUTED_VALUE"""),"A1Cr")</f>
        <v>A1Cr</v>
      </c>
      <c r="B86" s="42"/>
      <c r="C86" s="42"/>
      <c r="D86" s="42" t="str">
        <f>IFERROR(__xludf.DUMMYFUNCTION("""COMPUTED_VALUE"""),"AuR")</f>
        <v>AuR</v>
      </c>
      <c r="E86" s="42"/>
      <c r="F86" s="42"/>
      <c r="G86" s="42"/>
      <c r="H86" s="42" t="str">
        <f>IFERROR(__xludf.DUMMYFUNCTION("""COMPUTED_VALUE"""),"")</f>
        <v/>
      </c>
      <c r="I86" s="42" t="str">
        <f>IFERROR(__xludf.DUMMYFUNCTION("""COMPUTED_VALUE"""),"Romanski, 2009")</f>
        <v>Romanski, 2009</v>
      </c>
      <c r="J86" s="42"/>
      <c r="K86" s="42"/>
      <c r="L86" s="42"/>
      <c r="M86" s="42"/>
      <c r="N86" s="42"/>
      <c r="O86" s="31" t="str">
        <f>IFERROR(__xludf.DUMMYFUNCTION("""COMPUTED_VALUE"""),"DOC")</f>
        <v>DOC</v>
      </c>
      <c r="P86" s="9" t="str">
        <f>IFERROR(__xludf.DUMMYFUNCTION("""COMPUTED_VALUE"""),"Annual Review of Neuroscience")</f>
        <v>Annual Review of Neuroscience</v>
      </c>
      <c r="Q86" s="9"/>
      <c r="R86" s="179" t="str">
        <f>IFERROR(__xludf.DUMMYFUNCTION("""COMPUTED_VALUE"""),"AuR (00/00) [Jasmin, 2019][Romanski, 2009][Scott, 2017];
")</f>
        <v>AuR (00/00) [Jasmin, 2019][Romanski, 2009][Scott, 2017];
</v>
      </c>
      <c r="S86" s="179" t="str">
        <f>IFERROR(__xludf.DUMMYFUNCTION("""COMPUTED_VALUE"""),"A1CrAuR")</f>
        <v>A1CrAuR</v>
      </c>
      <c r="T86" s="179" t="str">
        <f>IFERROR(__xludf.DUMMYFUNCTION("""COMPUTED_VALUE"""),"[Romanski, 2009]")</f>
        <v>[Romanski, 2009]</v>
      </c>
      <c r="U86" s="179">
        <f>IFERROR(__xludf.DUMMYFUNCTION("""COMPUTED_VALUE"""),0.0)</f>
        <v>0</v>
      </c>
      <c r="V86" s="180">
        <f>IFERROR(__xludf.DUMMYFUNCTION("""COMPUTED_VALUE"""),0.0)</f>
        <v>0</v>
      </c>
      <c r="W86" s="180">
        <f>IFERROR(__xludf.DUMMYFUNCTION("""COMPUTED_VALUE"""),0.95)</f>
        <v>0.95</v>
      </c>
      <c r="X86" s="42">
        <f>IFERROR(__xludf.DUMMYFUNCTION("""COMPUTED_VALUE"""),0.0)</f>
        <v>0</v>
      </c>
      <c r="Y86" s="42">
        <f>IFERROR(__xludf.DUMMYFUNCTION("""COMPUTED_VALUE"""),0.0)</f>
        <v>0</v>
      </c>
      <c r="Z86" s="9">
        <f>IFERROR(__xludf.DUMMYFUNCTION("""COMPUTED_VALUE"""),0.0)</f>
        <v>0</v>
      </c>
      <c r="AA86" s="181">
        <f>IFERROR(__xludf.DUMMYFUNCTION("""COMPUTED_VALUE"""),0.0)</f>
        <v>0</v>
      </c>
      <c r="AB86" s="181">
        <f>IFERROR(__xludf.DUMMYFUNCTION("""COMPUTED_VALUE"""),0.0)</f>
        <v>0</v>
      </c>
      <c r="AC86" s="179">
        <f>IFERROR(__xludf.DUMMYFUNCTION("""COMPUTED_VALUE"""),0.0)</f>
        <v>0</v>
      </c>
      <c r="AD86" s="165">
        <f>IFERROR(__xludf.DUMMYFUNCTION("""COMPUTED_VALUE"""),0.0)</f>
        <v>0</v>
      </c>
      <c r="AE86" s="39" t="str">
        <f>IFERROR(__xludf.DUMMYFUNCTION("""COMPUTED_VALUE"""),"Hiroshi Yamakawa")</f>
        <v>Hiroshi Yamakawa</v>
      </c>
      <c r="AF86" s="39" t="str">
        <f>IFERROR(__xludf.DUMMYFUNCTION("""COMPUTED_VALUE"""),"HY22DAA")</f>
        <v>HY22DAA</v>
      </c>
      <c r="AG86" s="39"/>
      <c r="AH86" s="39"/>
      <c r="AI86" s="165"/>
      <c r="AJ86" s="165"/>
      <c r="AK86" s="111"/>
      <c r="AL86" s="111"/>
      <c r="AM86" s="111"/>
      <c r="AN86" s="111"/>
      <c r="AO86" s="111"/>
      <c r="AP86" s="111"/>
      <c r="AQ86" s="116"/>
      <c r="AR86" s="116"/>
      <c r="AS86" s="116"/>
    </row>
    <row r="87">
      <c r="A87" s="42" t="str">
        <f>IFERROR(__xludf.DUMMYFUNCTION("""COMPUTED_VALUE"""),"A1Cr")</f>
        <v>A1Cr</v>
      </c>
      <c r="B87" s="42"/>
      <c r="C87" s="42"/>
      <c r="D87" s="42" t="str">
        <f>IFERROR(__xludf.DUMMYFUNCTION("""COMPUTED_VALUE"""),"AuRM")</f>
        <v>AuRM</v>
      </c>
      <c r="E87" s="42"/>
      <c r="F87" s="42"/>
      <c r="G87" s="42"/>
      <c r="H87" s="42" t="str">
        <f>IFERROR(__xludf.DUMMYFUNCTION("""COMPUTED_VALUE"""),"")</f>
        <v/>
      </c>
      <c r="I87" s="42" t="str">
        <f>IFERROR(__xludf.DUMMYFUNCTION("""COMPUTED_VALUE"""),"Romanski, 2009")</f>
        <v>Romanski, 2009</v>
      </c>
      <c r="J87" s="42"/>
      <c r="K87" s="42"/>
      <c r="L87" s="42"/>
      <c r="M87" s="42"/>
      <c r="N87" s="42"/>
      <c r="O87" s="31" t="str">
        <f>IFERROR(__xludf.DUMMYFUNCTION("""COMPUTED_VALUE"""),"DOC")</f>
        <v>DOC</v>
      </c>
      <c r="P87" s="9" t="str">
        <f>IFERROR(__xludf.DUMMYFUNCTION("""COMPUTED_VALUE"""),"Annual Review of Neuroscience")</f>
        <v>Annual Review of Neuroscience</v>
      </c>
      <c r="Q87" s="9"/>
      <c r="R87" s="179" t="str">
        <f>IFERROR(__xludf.DUMMYFUNCTION("""COMPUTED_VALUE"""),"AuRM (00/00) [Romanski, 2009];
")</f>
        <v>AuRM (00/00) [Romanski, 2009];
</v>
      </c>
      <c r="S87" s="179" t="str">
        <f>IFERROR(__xludf.DUMMYFUNCTION("""COMPUTED_VALUE"""),"A1CrAuRM")</f>
        <v>A1CrAuRM</v>
      </c>
      <c r="T87" s="179" t="str">
        <f>IFERROR(__xludf.DUMMYFUNCTION("""COMPUTED_VALUE"""),"[Romanski, 2009]")</f>
        <v>[Romanski, 2009]</v>
      </c>
      <c r="U87" s="179">
        <f>IFERROR(__xludf.DUMMYFUNCTION("""COMPUTED_VALUE"""),0.0)</f>
        <v>0</v>
      </c>
      <c r="V87" s="180">
        <f>IFERROR(__xludf.DUMMYFUNCTION("""COMPUTED_VALUE"""),0.0)</f>
        <v>0</v>
      </c>
      <c r="W87" s="180">
        <f>IFERROR(__xludf.DUMMYFUNCTION("""COMPUTED_VALUE"""),0.95)</f>
        <v>0.95</v>
      </c>
      <c r="X87" s="42">
        <f>IFERROR(__xludf.DUMMYFUNCTION("""COMPUTED_VALUE"""),0.0)</f>
        <v>0</v>
      </c>
      <c r="Y87" s="42">
        <f>IFERROR(__xludf.DUMMYFUNCTION("""COMPUTED_VALUE"""),0.0)</f>
        <v>0</v>
      </c>
      <c r="Z87" s="9">
        <f>IFERROR(__xludf.DUMMYFUNCTION("""COMPUTED_VALUE"""),0.0)</f>
        <v>0</v>
      </c>
      <c r="AA87" s="181">
        <f>IFERROR(__xludf.DUMMYFUNCTION("""COMPUTED_VALUE"""),0.0)</f>
        <v>0</v>
      </c>
      <c r="AB87" s="181">
        <f>IFERROR(__xludf.DUMMYFUNCTION("""COMPUTED_VALUE"""),0.0)</f>
        <v>0</v>
      </c>
      <c r="AC87" s="179">
        <f>IFERROR(__xludf.DUMMYFUNCTION("""COMPUTED_VALUE"""),0.0)</f>
        <v>0</v>
      </c>
      <c r="AD87" s="165">
        <f>IFERROR(__xludf.DUMMYFUNCTION("""COMPUTED_VALUE"""),0.0)</f>
        <v>0</v>
      </c>
      <c r="AE87" s="39" t="str">
        <f>IFERROR(__xludf.DUMMYFUNCTION("""COMPUTED_VALUE"""),"Hiroshi Yamakawa")</f>
        <v>Hiroshi Yamakawa</v>
      </c>
      <c r="AF87" s="39" t="str">
        <f>IFERROR(__xludf.DUMMYFUNCTION("""COMPUTED_VALUE"""),"HY22DAA")</f>
        <v>HY22DAA</v>
      </c>
      <c r="AG87" s="39"/>
      <c r="AH87" s="39"/>
      <c r="AI87" s="165"/>
      <c r="AJ87" s="165"/>
      <c r="AK87" s="111"/>
      <c r="AL87" s="111"/>
      <c r="AM87" s="111"/>
      <c r="AN87" s="111"/>
      <c r="AO87" s="111"/>
      <c r="AP87" s="111"/>
      <c r="AQ87" s="116"/>
      <c r="AR87" s="116"/>
      <c r="AS87" s="116"/>
    </row>
    <row r="88">
      <c r="A88" s="42" t="str">
        <f>IFERROR(__xludf.DUMMYFUNCTION("""COMPUTED_VALUE"""),"A1Cr")</f>
        <v>A1Cr</v>
      </c>
      <c r="B88" s="42"/>
      <c r="C88" s="42"/>
      <c r="D88" s="42" t="str">
        <f>IFERROR(__xludf.DUMMYFUNCTION("""COMPUTED_VALUE"""),"AuRTM")</f>
        <v>AuRTM</v>
      </c>
      <c r="E88" s="42"/>
      <c r="F88" s="42"/>
      <c r="G88" s="42"/>
      <c r="H88" s="42" t="str">
        <f>IFERROR(__xludf.DUMMYFUNCTION("""COMPUTED_VALUE"""),"")</f>
        <v/>
      </c>
      <c r="I88" s="42" t="str">
        <f>IFERROR(__xludf.DUMMYFUNCTION("""COMPUTED_VALUE"""),"Romanski, 2009")</f>
        <v>Romanski, 2009</v>
      </c>
      <c r="J88" s="42"/>
      <c r="K88" s="42"/>
      <c r="L88" s="42"/>
      <c r="M88" s="42"/>
      <c r="N88" s="42"/>
      <c r="O88" s="31" t="str">
        <f>IFERROR(__xludf.DUMMYFUNCTION("""COMPUTED_VALUE"""),"DOC")</f>
        <v>DOC</v>
      </c>
      <c r="P88" s="9" t="str">
        <f>IFERROR(__xludf.DUMMYFUNCTION("""COMPUTED_VALUE"""),"Annual Review of Neuroscience")</f>
        <v>Annual Review of Neuroscience</v>
      </c>
      <c r="Q88" s="9"/>
      <c r="R88" s="179" t="str">
        <f>IFERROR(__xludf.DUMMYFUNCTION("""COMPUTED_VALUE"""),"AuRTM (00/00) [Romanski, 2009];
")</f>
        <v>AuRTM (00/00) [Romanski, 2009];
</v>
      </c>
      <c r="S88" s="179" t="str">
        <f>IFERROR(__xludf.DUMMYFUNCTION("""COMPUTED_VALUE"""),"A1CrAuRTM")</f>
        <v>A1CrAuRTM</v>
      </c>
      <c r="T88" s="179" t="str">
        <f>IFERROR(__xludf.DUMMYFUNCTION("""COMPUTED_VALUE"""),"[Romanski, 2009]")</f>
        <v>[Romanski, 2009]</v>
      </c>
      <c r="U88" s="179">
        <f>IFERROR(__xludf.DUMMYFUNCTION("""COMPUTED_VALUE"""),0.0)</f>
        <v>0</v>
      </c>
      <c r="V88" s="180">
        <f>IFERROR(__xludf.DUMMYFUNCTION("""COMPUTED_VALUE"""),0.0)</f>
        <v>0</v>
      </c>
      <c r="W88" s="180">
        <f>IFERROR(__xludf.DUMMYFUNCTION("""COMPUTED_VALUE"""),0.95)</f>
        <v>0.95</v>
      </c>
      <c r="X88" s="42">
        <f>IFERROR(__xludf.DUMMYFUNCTION("""COMPUTED_VALUE"""),0.0)</f>
        <v>0</v>
      </c>
      <c r="Y88" s="42">
        <f>IFERROR(__xludf.DUMMYFUNCTION("""COMPUTED_VALUE"""),0.0)</f>
        <v>0</v>
      </c>
      <c r="Z88" s="9">
        <f>IFERROR(__xludf.DUMMYFUNCTION("""COMPUTED_VALUE"""),0.0)</f>
        <v>0</v>
      </c>
      <c r="AA88" s="181">
        <f>IFERROR(__xludf.DUMMYFUNCTION("""COMPUTED_VALUE"""),0.0)</f>
        <v>0</v>
      </c>
      <c r="AB88" s="181">
        <f>IFERROR(__xludf.DUMMYFUNCTION("""COMPUTED_VALUE"""),0.0)</f>
        <v>0</v>
      </c>
      <c r="AC88" s="179">
        <f>IFERROR(__xludf.DUMMYFUNCTION("""COMPUTED_VALUE"""),0.0)</f>
        <v>0</v>
      </c>
      <c r="AD88" s="165">
        <f>IFERROR(__xludf.DUMMYFUNCTION("""COMPUTED_VALUE"""),0.0)</f>
        <v>0</v>
      </c>
      <c r="AE88" s="39" t="str">
        <f>IFERROR(__xludf.DUMMYFUNCTION("""COMPUTED_VALUE"""),"Hiroshi Yamakawa")</f>
        <v>Hiroshi Yamakawa</v>
      </c>
      <c r="AF88" s="39" t="str">
        <f>IFERROR(__xludf.DUMMYFUNCTION("""COMPUTED_VALUE"""),"HY22DAA")</f>
        <v>HY22DAA</v>
      </c>
      <c r="AG88" s="39"/>
      <c r="AH88" s="39"/>
      <c r="AI88" s="165"/>
      <c r="AJ88" s="165"/>
      <c r="AK88" s="111"/>
      <c r="AL88" s="111"/>
      <c r="AM88" s="111"/>
      <c r="AN88" s="111"/>
      <c r="AO88" s="111"/>
      <c r="AP88" s="111"/>
      <c r="AQ88" s="116"/>
      <c r="AR88" s="116"/>
      <c r="AS88" s="116"/>
    </row>
    <row r="89">
      <c r="A89" s="42" t="str">
        <f>IFERROR(__xludf.DUMMYFUNCTION("""COMPUTED_VALUE"""),"A1Cr")</f>
        <v>A1Cr</v>
      </c>
      <c r="B89" s="42"/>
      <c r="C89" s="42"/>
      <c r="D89" s="42" t="str">
        <f>IFERROR(__xludf.DUMMYFUNCTION("""COMPUTED_VALUE"""),"A38")</f>
        <v>A38</v>
      </c>
      <c r="E89" s="42"/>
      <c r="F89" s="42"/>
      <c r="G89" s="42"/>
      <c r="H89" s="42" t="str">
        <f>IFERROR(__xludf.DUMMYFUNCTION("""COMPUTED_VALUE"""),"")</f>
        <v/>
      </c>
      <c r="I89" s="42" t="str">
        <f>IFERROR(__xludf.DUMMYFUNCTION("""COMPUTED_VALUE"""),"Scott, 2017")</f>
        <v>Scott, 2017</v>
      </c>
      <c r="J89" s="42"/>
      <c r="K89" s="42"/>
      <c r="L89" s="42"/>
      <c r="M89" s="42"/>
      <c r="N89" s="42"/>
      <c r="O89" s="31" t="str">
        <f>IFERROR(__xludf.DUMMYFUNCTION("""COMPUTED_VALUE"""),"DOC")</f>
        <v>DOC</v>
      </c>
      <c r="P89" s="9" t="str">
        <f>IFERROR(__xludf.DUMMYFUNCTION("""COMPUTED_VALUE"""),"Journal of Comparative Neurology")</f>
        <v>Journal of Comparative Neurology</v>
      </c>
      <c r="Q89" s="9" t="str">
        <f>IFERROR(__xludf.DUMMYFUNCTION("""COMPUTED_VALUE"""),"Experimental results")</f>
        <v>Experimental results</v>
      </c>
      <c r="R89" s="179" t="str">
        <f>IFERROR(__xludf.DUMMYFUNCTION("""COMPUTED_VALUE"""),"A38 (00/00) [Scott, 2017];
")</f>
        <v>A38 (00/00) [Scott, 2017];
</v>
      </c>
      <c r="S89" s="179" t="str">
        <f>IFERROR(__xludf.DUMMYFUNCTION("""COMPUTED_VALUE"""),"A1CrA38")</f>
        <v>A1CrA38</v>
      </c>
      <c r="T89" s="179" t="str">
        <f>IFERROR(__xludf.DUMMYFUNCTION("""COMPUTED_VALUE"""),"[Scott, 2017]")</f>
        <v>[Scott, 2017]</v>
      </c>
      <c r="U89" s="179">
        <f>IFERROR(__xludf.DUMMYFUNCTION("""COMPUTED_VALUE"""),0.0)</f>
        <v>0</v>
      </c>
      <c r="V89" s="180">
        <f>IFERROR(__xludf.DUMMYFUNCTION("""COMPUTED_VALUE"""),0.0)</f>
        <v>0</v>
      </c>
      <c r="W89" s="180">
        <f>IFERROR(__xludf.DUMMYFUNCTION("""COMPUTED_VALUE"""),0.95)</f>
        <v>0.95</v>
      </c>
      <c r="X89" s="42">
        <f>IFERROR(__xludf.DUMMYFUNCTION("""COMPUTED_VALUE"""),1.0)</f>
        <v>1</v>
      </c>
      <c r="Y89" s="42">
        <f>IFERROR(__xludf.DUMMYFUNCTION("""COMPUTED_VALUE"""),0.0)</f>
        <v>0</v>
      </c>
      <c r="Z89" s="9">
        <f>IFERROR(__xludf.DUMMYFUNCTION("""COMPUTED_VALUE"""),0.0)</f>
        <v>0</v>
      </c>
      <c r="AA89" s="181">
        <f>IFERROR(__xludf.DUMMYFUNCTION("""COMPUTED_VALUE"""),0.0)</f>
        <v>0</v>
      </c>
      <c r="AB89" s="181">
        <f>IFERROR(__xludf.DUMMYFUNCTION("""COMPUTED_VALUE"""),0.0)</f>
        <v>0</v>
      </c>
      <c r="AC89" s="179">
        <f>IFERROR(__xludf.DUMMYFUNCTION("""COMPUTED_VALUE"""),0.0)</f>
        <v>0</v>
      </c>
      <c r="AD89" s="165">
        <f>IFERROR(__xludf.DUMMYFUNCTION("""COMPUTED_VALUE"""),0.0)</f>
        <v>0</v>
      </c>
      <c r="AE89" s="39" t="str">
        <f>IFERROR(__xludf.DUMMYFUNCTION("""COMPUTED_VALUE"""),"Hiroshi Yamakawa")</f>
        <v>Hiroshi Yamakawa</v>
      </c>
      <c r="AF89" s="39" t="str">
        <f>IFERROR(__xludf.DUMMYFUNCTION("""COMPUTED_VALUE"""),"HY22DAA")</f>
        <v>HY22DAA</v>
      </c>
      <c r="AG89" s="39"/>
      <c r="AH89" s="39"/>
      <c r="AI89" s="165"/>
      <c r="AJ89" s="165"/>
      <c r="AK89" s="111"/>
      <c r="AL89" s="111"/>
      <c r="AM89" s="111"/>
      <c r="AN89" s="111"/>
      <c r="AO89" s="111"/>
      <c r="AP89" s="111"/>
      <c r="AQ89" s="116"/>
      <c r="AR89" s="116"/>
      <c r="AS89" s="116"/>
    </row>
    <row r="90">
      <c r="A90" s="42" t="str">
        <f>IFERROR(__xludf.DUMMYFUNCTION("""COMPUTED_VALUE"""),"A1Cr")</f>
        <v>A1Cr</v>
      </c>
      <c r="B90" s="42"/>
      <c r="C90" s="42"/>
      <c r="D90" s="42" t="str">
        <f>IFERROR(__xludf.DUMMYFUNCTION("""COMPUTED_VALUE"""),"ASTC")</f>
        <v>ASTC</v>
      </c>
      <c r="E90" s="42"/>
      <c r="F90" s="42"/>
      <c r="G90" s="42"/>
      <c r="H90" s="42" t="str">
        <f>IFERROR(__xludf.DUMMYFUNCTION("""COMPUTED_VALUE"""),"")</f>
        <v/>
      </c>
      <c r="I90" s="42" t="str">
        <f>IFERROR(__xludf.DUMMYFUNCTION("""COMPUTED_VALUE"""),"Scott, 2017")</f>
        <v>Scott, 2017</v>
      </c>
      <c r="J90" s="42"/>
      <c r="K90" s="42"/>
      <c r="L90" s="42"/>
      <c r="M90" s="42"/>
      <c r="N90" s="42"/>
      <c r="O90" s="31" t="str">
        <f>IFERROR(__xludf.DUMMYFUNCTION("""COMPUTED_VALUE"""),"DOC")</f>
        <v>DOC</v>
      </c>
      <c r="P90" s="9" t="str">
        <f>IFERROR(__xludf.DUMMYFUNCTION("""COMPUTED_VALUE"""),"Journal of Comparative Neurology")</f>
        <v>Journal of Comparative Neurology</v>
      </c>
      <c r="Q90" s="9" t="str">
        <f>IFERROR(__xludf.DUMMYFUNCTION("""COMPUTED_VALUE"""),"Experimental results")</f>
        <v>Experimental results</v>
      </c>
      <c r="R90" s="179" t="str">
        <f>IFERROR(__xludf.DUMMYFUNCTION("""COMPUTED_VALUE"""),"ASTC (00/00) [Jasmin, 2019][Scott, 2017];
")</f>
        <v>ASTC (00/00) [Jasmin, 2019][Scott, 2017];
</v>
      </c>
      <c r="S90" s="179" t="str">
        <f>IFERROR(__xludf.DUMMYFUNCTION("""COMPUTED_VALUE"""),"A1CrASTC")</f>
        <v>A1CrASTC</v>
      </c>
      <c r="T90" s="179" t="str">
        <f>IFERROR(__xludf.DUMMYFUNCTION("""COMPUTED_VALUE"""),"[Scott, 2017]")</f>
        <v>[Scott, 2017]</v>
      </c>
      <c r="U90" s="179">
        <f>IFERROR(__xludf.DUMMYFUNCTION("""COMPUTED_VALUE"""),0.0)</f>
        <v>0</v>
      </c>
      <c r="V90" s="180">
        <f>IFERROR(__xludf.DUMMYFUNCTION("""COMPUTED_VALUE"""),0.0)</f>
        <v>0</v>
      </c>
      <c r="W90" s="180">
        <f>IFERROR(__xludf.DUMMYFUNCTION("""COMPUTED_VALUE"""),0.95)</f>
        <v>0.95</v>
      </c>
      <c r="X90" s="42">
        <f>IFERROR(__xludf.DUMMYFUNCTION("""COMPUTED_VALUE"""),1.0)</f>
        <v>1</v>
      </c>
      <c r="Y90" s="42">
        <f>IFERROR(__xludf.DUMMYFUNCTION("""COMPUTED_VALUE"""),0.0)</f>
        <v>0</v>
      </c>
      <c r="Z90" s="9">
        <f>IFERROR(__xludf.DUMMYFUNCTION("""COMPUTED_VALUE"""),0.0)</f>
        <v>0</v>
      </c>
      <c r="AA90" s="181">
        <f>IFERROR(__xludf.DUMMYFUNCTION("""COMPUTED_VALUE"""),0.0)</f>
        <v>0</v>
      </c>
      <c r="AB90" s="181">
        <f>IFERROR(__xludf.DUMMYFUNCTION("""COMPUTED_VALUE"""),0.0)</f>
        <v>0</v>
      </c>
      <c r="AC90" s="179">
        <f>IFERROR(__xludf.DUMMYFUNCTION("""COMPUTED_VALUE"""),0.0)</f>
        <v>0</v>
      </c>
      <c r="AD90" s="165">
        <f>IFERROR(__xludf.DUMMYFUNCTION("""COMPUTED_VALUE"""),0.0)</f>
        <v>0</v>
      </c>
      <c r="AE90" s="39" t="str">
        <f>IFERROR(__xludf.DUMMYFUNCTION("""COMPUTED_VALUE"""),"Hiroshi Yamakawa")</f>
        <v>Hiroshi Yamakawa</v>
      </c>
      <c r="AF90" s="39" t="str">
        <f>IFERROR(__xludf.DUMMYFUNCTION("""COMPUTED_VALUE"""),"HY22DAA")</f>
        <v>HY22DAA</v>
      </c>
      <c r="AG90" s="39"/>
      <c r="AH90" s="39"/>
      <c r="AI90" s="165"/>
      <c r="AJ90" s="165"/>
      <c r="AK90" s="111"/>
      <c r="AL90" s="111"/>
      <c r="AM90" s="111"/>
      <c r="AN90" s="111"/>
      <c r="AO90" s="111"/>
      <c r="AP90" s="111"/>
      <c r="AQ90" s="116"/>
      <c r="AR90" s="116"/>
      <c r="AS90" s="116"/>
    </row>
    <row r="91">
      <c r="A91" s="42" t="str">
        <f>IFERROR(__xludf.DUMMYFUNCTION("""COMPUTED_VALUE"""),"A1Cr")</f>
        <v>A1Cr</v>
      </c>
      <c r="B91" s="42"/>
      <c r="C91" s="42"/>
      <c r="D91" s="42" t="str">
        <f>IFERROR(__xludf.DUMMYFUNCTION("""COMPUTED_VALUE"""),"AuR")</f>
        <v>AuR</v>
      </c>
      <c r="E91" s="42"/>
      <c r="F91" s="42"/>
      <c r="G91" s="42"/>
      <c r="H91" s="42" t="str">
        <f>IFERROR(__xludf.DUMMYFUNCTION("""COMPUTED_VALUE"""),"")</f>
        <v/>
      </c>
      <c r="I91" s="42" t="str">
        <f>IFERROR(__xludf.DUMMYFUNCTION("""COMPUTED_VALUE"""),"Scott, 2017")</f>
        <v>Scott, 2017</v>
      </c>
      <c r="J91" s="42"/>
      <c r="K91" s="42"/>
      <c r="L91" s="42"/>
      <c r="M91" s="42"/>
      <c r="N91" s="42"/>
      <c r="O91" s="31" t="str">
        <f>IFERROR(__xludf.DUMMYFUNCTION("""COMPUTED_VALUE"""),"DOC")</f>
        <v>DOC</v>
      </c>
      <c r="P91" s="9" t="str">
        <f>IFERROR(__xludf.DUMMYFUNCTION("""COMPUTED_VALUE"""),"Journal of Comparative Neurology")</f>
        <v>Journal of Comparative Neurology</v>
      </c>
      <c r="Q91" s="9" t="str">
        <f>IFERROR(__xludf.DUMMYFUNCTION("""COMPUTED_VALUE"""),"Experimental results")</f>
        <v>Experimental results</v>
      </c>
      <c r="R91" s="179" t="str">
        <f>IFERROR(__xludf.DUMMYFUNCTION("""COMPUTED_VALUE"""),"AuR (00/00) [Jasmin, 2019][Romanski, 2009][Scott, 2017];
")</f>
        <v>AuR (00/00) [Jasmin, 2019][Romanski, 2009][Scott, 2017];
</v>
      </c>
      <c r="S91" s="179" t="str">
        <f>IFERROR(__xludf.DUMMYFUNCTION("""COMPUTED_VALUE"""),"A1CrAuR")</f>
        <v>A1CrAuR</v>
      </c>
      <c r="T91" s="179" t="str">
        <f>IFERROR(__xludf.DUMMYFUNCTION("""COMPUTED_VALUE"""),"[Scott, 2017]")</f>
        <v>[Scott, 2017]</v>
      </c>
      <c r="U91" s="179">
        <f>IFERROR(__xludf.DUMMYFUNCTION("""COMPUTED_VALUE"""),0.0)</f>
        <v>0</v>
      </c>
      <c r="V91" s="180">
        <f>IFERROR(__xludf.DUMMYFUNCTION("""COMPUTED_VALUE"""),0.0)</f>
        <v>0</v>
      </c>
      <c r="W91" s="180">
        <f>IFERROR(__xludf.DUMMYFUNCTION("""COMPUTED_VALUE"""),0.95)</f>
        <v>0.95</v>
      </c>
      <c r="X91" s="42">
        <f>IFERROR(__xludf.DUMMYFUNCTION("""COMPUTED_VALUE"""),1.0)</f>
        <v>1</v>
      </c>
      <c r="Y91" s="42">
        <f>IFERROR(__xludf.DUMMYFUNCTION("""COMPUTED_VALUE"""),0.0)</f>
        <v>0</v>
      </c>
      <c r="Z91" s="9">
        <f>IFERROR(__xludf.DUMMYFUNCTION("""COMPUTED_VALUE"""),0.0)</f>
        <v>0</v>
      </c>
      <c r="AA91" s="181">
        <f>IFERROR(__xludf.DUMMYFUNCTION("""COMPUTED_VALUE"""),0.0)</f>
        <v>0</v>
      </c>
      <c r="AB91" s="181">
        <f>IFERROR(__xludf.DUMMYFUNCTION("""COMPUTED_VALUE"""),0.0)</f>
        <v>0</v>
      </c>
      <c r="AC91" s="179">
        <f>IFERROR(__xludf.DUMMYFUNCTION("""COMPUTED_VALUE"""),0.0)</f>
        <v>0</v>
      </c>
      <c r="AD91" s="165">
        <f>IFERROR(__xludf.DUMMYFUNCTION("""COMPUTED_VALUE"""),0.0)</f>
        <v>0</v>
      </c>
      <c r="AE91" s="39" t="str">
        <f>IFERROR(__xludf.DUMMYFUNCTION("""COMPUTED_VALUE"""),"Hiroshi Yamakawa")</f>
        <v>Hiroshi Yamakawa</v>
      </c>
      <c r="AF91" s="39" t="str">
        <f>IFERROR(__xludf.DUMMYFUNCTION("""COMPUTED_VALUE"""),"HY22DAA")</f>
        <v>HY22DAA</v>
      </c>
      <c r="AG91" s="39"/>
      <c r="AH91" s="39"/>
      <c r="AI91" s="165"/>
      <c r="AJ91" s="165"/>
      <c r="AK91" s="111"/>
      <c r="AL91" s="111"/>
      <c r="AM91" s="111"/>
      <c r="AN91" s="111"/>
      <c r="AO91" s="111"/>
      <c r="AP91" s="111"/>
      <c r="AQ91" s="116"/>
      <c r="AR91" s="116"/>
      <c r="AS91" s="116"/>
    </row>
    <row r="92">
      <c r="A92" s="42" t="str">
        <f>IFERROR(__xludf.DUMMYFUNCTION("""COMPUTED_VALUE"""),"A32.L5PT")</f>
        <v>A32.L5PT</v>
      </c>
      <c r="B92" s="42"/>
      <c r="C92" s="42"/>
      <c r="D92" s="42" t="str">
        <f>IFERROR(__xludf.DUMMYFUNCTION("""COMPUTED_VALUE"""),"STHm")</f>
        <v>STHm</v>
      </c>
      <c r="E92" s="42"/>
      <c r="F92" s="42"/>
      <c r="G92" s="42"/>
      <c r="H92" s="42" t="str">
        <f>IFERROR(__xludf.DUMMYFUNCTION("""COMPUTED_VALUE"""),"")</f>
        <v/>
      </c>
      <c r="I92" s="42" t="str">
        <f>IFERROR(__xludf.DUMMYFUNCTION("""COMPUTED_VALUE"""),"Haynes, 2013")</f>
        <v>Haynes, 2013</v>
      </c>
      <c r="J92" s="42"/>
      <c r="K92" s="42"/>
      <c r="L92" s="42"/>
      <c r="M92" s="42"/>
      <c r="N92" s="42"/>
      <c r="O92" s="31" t="str">
        <f>IFERROR(__xludf.DUMMYFUNCTION("""COMPUTED_VALUE"""),"DOC")</f>
        <v>DOC</v>
      </c>
      <c r="P92" s="9" t="str">
        <f>IFERROR(__xludf.DUMMYFUNCTION("""COMPUTED_VALUE"""),"Journal of Neuroscience")</f>
        <v>Journal of Neuroscience</v>
      </c>
      <c r="Q92" s="9"/>
      <c r="R92" s="179" t="str">
        <f>IFERROR(__xludf.DUMMYFUNCTION("""COMPUTED_VALUE"""),"STHm (00/00) [Haynes, 2013];
")</f>
        <v>STHm (00/00) [Haynes, 2013];
</v>
      </c>
      <c r="S92" s="179" t="str">
        <f>IFERROR(__xludf.DUMMYFUNCTION("""COMPUTED_VALUE"""),"A32.L5PTSTHm")</f>
        <v>A32.L5PTSTHm</v>
      </c>
      <c r="T92" s="179" t="str">
        <f>IFERROR(__xludf.DUMMYFUNCTION("""COMPUTED_VALUE"""),"[Haynes, 2013]")</f>
        <v>[Haynes, 2013]</v>
      </c>
      <c r="U92" s="179">
        <f>IFERROR(__xludf.DUMMYFUNCTION("""COMPUTED_VALUE"""),0.0)</f>
        <v>0</v>
      </c>
      <c r="V92" s="180">
        <f>IFERROR(__xludf.DUMMYFUNCTION("""COMPUTED_VALUE"""),0.0)</f>
        <v>0</v>
      </c>
      <c r="W92" s="180">
        <f>IFERROR(__xludf.DUMMYFUNCTION("""COMPUTED_VALUE"""),0.95)</f>
        <v>0.95</v>
      </c>
      <c r="X92" s="42">
        <f>IFERROR(__xludf.DUMMYFUNCTION("""COMPUTED_VALUE"""),0.0)</f>
        <v>0</v>
      </c>
      <c r="Y92" s="42">
        <f>IFERROR(__xludf.DUMMYFUNCTION("""COMPUTED_VALUE"""),0.0)</f>
        <v>0</v>
      </c>
      <c r="Z92" s="9">
        <f>IFERROR(__xludf.DUMMYFUNCTION("""COMPUTED_VALUE"""),0.0)</f>
        <v>0</v>
      </c>
      <c r="AA92" s="181">
        <f>IFERROR(__xludf.DUMMYFUNCTION("""COMPUTED_VALUE"""),0.0)</f>
        <v>0</v>
      </c>
      <c r="AB92" s="181">
        <f>IFERROR(__xludf.DUMMYFUNCTION("""COMPUTED_VALUE"""),0.0)</f>
        <v>0</v>
      </c>
      <c r="AC92" s="179">
        <f>IFERROR(__xludf.DUMMYFUNCTION("""COMPUTED_VALUE"""),0.0)</f>
        <v>0</v>
      </c>
      <c r="AD92" s="165">
        <f>IFERROR(__xludf.DUMMYFUNCTION("""COMPUTED_VALUE"""),0.0)</f>
        <v>0</v>
      </c>
      <c r="AE92" s="39" t="str">
        <f>IFERROR(__xludf.DUMMYFUNCTION("""COMPUTED_VALUE"""),"Yuske Shibata")</f>
        <v>Yuske Shibata</v>
      </c>
      <c r="AF92" s="39" t="str">
        <f>IFERROR(__xludf.DUMMYFUNCTION("""COMPUTED_VALUE"""),"YS21BgLoop")</f>
        <v>YS21BgLoop</v>
      </c>
      <c r="AG92" s="39"/>
      <c r="AH92" s="39"/>
      <c r="AI92" s="165"/>
      <c r="AJ92" s="165"/>
      <c r="AK92" s="111"/>
      <c r="AL92" s="111"/>
      <c r="AM92" s="111"/>
      <c r="AN92" s="111"/>
      <c r="AO92" s="111"/>
      <c r="AP92" s="111"/>
      <c r="AQ92" s="116"/>
      <c r="AR92" s="116"/>
      <c r="AS92" s="116"/>
    </row>
    <row r="93">
      <c r="A93" s="42" t="str">
        <f>IFERROR(__xludf.DUMMYFUNCTION("""COMPUTED_VALUE"""),"A35_uc1")</f>
        <v>A35_uc1</v>
      </c>
      <c r="B93" s="42"/>
      <c r="C93" s="42"/>
      <c r="D93" s="42" t="str">
        <f>IFERROR(__xludf.DUMMYFUNCTION("""COMPUTED_VALUE"""),"LEC_II")</f>
        <v>LEC_II</v>
      </c>
      <c r="E93" s="42"/>
      <c r="F93" s="42"/>
      <c r="G93" s="42"/>
      <c r="H93" s="42" t="str">
        <f>IFERROR(__xludf.DUMMYFUNCTION("""COMPUTED_VALUE"""),"(via LEC_I)")</f>
        <v>(via LEC_I)</v>
      </c>
      <c r="I93" s="42" t="str">
        <f>IFERROR(__xludf.DUMMYFUNCTION("""COMPUTED_VALUE"""),"Moser, 2010")</f>
        <v>Moser, 2010</v>
      </c>
      <c r="J93" s="42"/>
      <c r="K93" s="42"/>
      <c r="L93" s="42"/>
      <c r="M93" s="42"/>
      <c r="N93" s="42"/>
      <c r="O93" s="31" t="str">
        <f>IFERROR(__xludf.DUMMYFUNCTION("""COMPUTED_VALUE"""),"DOC")</f>
        <v>DOC</v>
      </c>
      <c r="P93" s="9" t="str">
        <f>IFERROR(__xludf.DUMMYFUNCTION("""COMPUTED_VALUE"""),"Handbook of Brain Microcircuits")</f>
        <v>Handbook of Brain Microcircuits</v>
      </c>
      <c r="Q93" s="9" t="str">
        <f>IFERROR(__xludf.DUMMYFUNCTION("""COMPUTED_VALUE"""),"Textbook")</f>
        <v>Textbook</v>
      </c>
      <c r="R93" s="179" t="str">
        <f>IFERROR(__xludf.DUMMYFUNCTION("""COMPUTED_VALUE"""),"LEC_II (00/00) [Moser, 2010][Witter, 2000](via LEC_I);
")</f>
        <v>LEC_II (00/00) [Moser, 2010][Witter, 2000](via LEC_I);
</v>
      </c>
      <c r="S93" s="179" t="str">
        <f>IFERROR(__xludf.DUMMYFUNCTION("""COMPUTED_VALUE"""),"A35_uc1LEC_II")</f>
        <v>A35_uc1LEC_II</v>
      </c>
      <c r="T93" s="179" t="str">
        <f>IFERROR(__xludf.DUMMYFUNCTION("""COMPUTED_VALUE"""),"[Moser, 2010]")</f>
        <v>[Moser, 2010]</v>
      </c>
      <c r="U93" s="179">
        <f>IFERROR(__xludf.DUMMYFUNCTION("""COMPUTED_VALUE"""),0.0)</f>
        <v>0</v>
      </c>
      <c r="V93" s="180">
        <f>IFERROR(__xludf.DUMMYFUNCTION("""COMPUTED_VALUE"""),0.0)</f>
        <v>0</v>
      </c>
      <c r="W93" s="180">
        <f>IFERROR(__xludf.DUMMYFUNCTION("""COMPUTED_VALUE"""),0.95)</f>
        <v>0.95</v>
      </c>
      <c r="X93" s="42">
        <f>IFERROR(__xludf.DUMMYFUNCTION("""COMPUTED_VALUE"""),0.9)</f>
        <v>0.9</v>
      </c>
      <c r="Y93" s="42">
        <f>IFERROR(__xludf.DUMMYFUNCTION("""COMPUTED_VALUE"""),0.0)</f>
        <v>0</v>
      </c>
      <c r="Z93" s="9">
        <f>IFERROR(__xludf.DUMMYFUNCTION("""COMPUTED_VALUE"""),0.0)</f>
        <v>0</v>
      </c>
      <c r="AA93" s="181">
        <f>IFERROR(__xludf.DUMMYFUNCTION("""COMPUTED_VALUE"""),0.0)</f>
        <v>0</v>
      </c>
      <c r="AB93" s="181">
        <f>IFERROR(__xludf.DUMMYFUNCTION("""COMPUTED_VALUE"""),0.0)</f>
        <v>0</v>
      </c>
      <c r="AC93" s="179">
        <f>IFERROR(__xludf.DUMMYFUNCTION("""COMPUTED_VALUE"""),0.0)</f>
        <v>0</v>
      </c>
      <c r="AD93" s="165">
        <f>IFERROR(__xludf.DUMMYFUNCTION("""COMPUTED_VALUE"""),0.0)</f>
        <v>0</v>
      </c>
      <c r="AE93" s="39" t="str">
        <f>IFERROR(__xludf.DUMMYFUNCTION("""COMPUTED_VALUE"""),"Ayako Fukawa")</f>
        <v>Ayako Fukawa</v>
      </c>
      <c r="AF93" s="39" t="str">
        <f>IFERROR(__xludf.DUMMYFUNCTION("""COMPUTED_VALUE"""),"AT20HippocampalFormation")</f>
        <v>AT20HippocampalFormation</v>
      </c>
      <c r="AG93" s="39"/>
      <c r="AH93" s="39"/>
      <c r="AI93" s="165"/>
      <c r="AJ93" s="165"/>
      <c r="AK93" s="111"/>
      <c r="AL93" s="111"/>
      <c r="AM93" s="111"/>
      <c r="AN93" s="111"/>
      <c r="AO93" s="111"/>
      <c r="AP93" s="111"/>
      <c r="AQ93" s="116"/>
      <c r="AR93" s="116"/>
      <c r="AS93" s="116"/>
    </row>
    <row r="94">
      <c r="A94" s="42" t="str">
        <f>IFERROR(__xludf.DUMMYFUNCTION("""COMPUTED_VALUE"""),"A35_uc1")</f>
        <v>A35_uc1</v>
      </c>
      <c r="B94" s="42"/>
      <c r="C94" s="42"/>
      <c r="D94" s="42" t="str">
        <f>IFERROR(__xludf.DUMMYFUNCTION("""COMPUTED_VALUE"""),"LEC_II")</f>
        <v>LEC_II</v>
      </c>
      <c r="E94" s="42"/>
      <c r="F94" s="42"/>
      <c r="G94" s="42"/>
      <c r="H94" s="42" t="str">
        <f>IFERROR(__xludf.DUMMYFUNCTION("""COMPUTED_VALUE"""),"")</f>
        <v/>
      </c>
      <c r="I94" s="42" t="str">
        <f>IFERROR(__xludf.DUMMYFUNCTION("""COMPUTED_VALUE"""),"Witter, 2000")</f>
        <v>Witter, 2000</v>
      </c>
      <c r="J94" s="42"/>
      <c r="K94" s="42"/>
      <c r="L94" s="42"/>
      <c r="M94" s="42"/>
      <c r="N94" s="42"/>
      <c r="O94" s="31" t="str">
        <f>IFERROR(__xludf.DUMMYFUNCTION("""COMPUTED_VALUE"""),"DOC")</f>
        <v>DOC</v>
      </c>
      <c r="P94" s="9" t="str">
        <f>IFERROR(__xludf.DUMMYFUNCTION("""COMPUTED_VALUE"""),"Hippocampus")</f>
        <v>Hippocampus</v>
      </c>
      <c r="Q94" s="9" t="str">
        <f>IFERROR(__xludf.DUMMYFUNCTION("""COMPUTED_VALUE"""),"Review")</f>
        <v>Review</v>
      </c>
      <c r="R94" s="179" t="str">
        <f>IFERROR(__xludf.DUMMYFUNCTION("""COMPUTED_VALUE"""),"LEC_II (00/00) [Moser, 2010][Witter, 2000];
")</f>
        <v>LEC_II (00/00) [Moser, 2010][Witter, 2000];
</v>
      </c>
      <c r="S94" s="179" t="str">
        <f>IFERROR(__xludf.DUMMYFUNCTION("""COMPUTED_VALUE"""),"A35_uc1LEC_II")</f>
        <v>A35_uc1LEC_II</v>
      </c>
      <c r="T94" s="179" t="str">
        <f>IFERROR(__xludf.DUMMYFUNCTION("""COMPUTED_VALUE"""),"[Witter, 2000]")</f>
        <v>[Witter, 2000]</v>
      </c>
      <c r="U94" s="179">
        <f>IFERROR(__xludf.DUMMYFUNCTION("""COMPUTED_VALUE"""),0.0)</f>
        <v>0</v>
      </c>
      <c r="V94" s="180">
        <f>IFERROR(__xludf.DUMMYFUNCTION("""COMPUTED_VALUE"""),0.0)</f>
        <v>0</v>
      </c>
      <c r="W94" s="180">
        <f>IFERROR(__xludf.DUMMYFUNCTION("""COMPUTED_VALUE"""),0.95)</f>
        <v>0.95</v>
      </c>
      <c r="X94" s="42">
        <f>IFERROR(__xludf.DUMMYFUNCTION("""COMPUTED_VALUE"""),0.8)</f>
        <v>0.8</v>
      </c>
      <c r="Y94" s="42">
        <f>IFERROR(__xludf.DUMMYFUNCTION("""COMPUTED_VALUE"""),0.0)</f>
        <v>0</v>
      </c>
      <c r="Z94" s="9">
        <f>IFERROR(__xludf.DUMMYFUNCTION("""COMPUTED_VALUE"""),0.0)</f>
        <v>0</v>
      </c>
      <c r="AA94" s="181">
        <f>IFERROR(__xludf.DUMMYFUNCTION("""COMPUTED_VALUE"""),0.0)</f>
        <v>0</v>
      </c>
      <c r="AB94" s="181">
        <f>IFERROR(__xludf.DUMMYFUNCTION("""COMPUTED_VALUE"""),0.0)</f>
        <v>0</v>
      </c>
      <c r="AC94" s="179">
        <f>IFERROR(__xludf.DUMMYFUNCTION("""COMPUTED_VALUE"""),0.0)</f>
        <v>0</v>
      </c>
      <c r="AD94" s="165">
        <f>IFERROR(__xludf.DUMMYFUNCTION("""COMPUTED_VALUE"""),0.0)</f>
        <v>0</v>
      </c>
      <c r="AE94" s="39" t="str">
        <f>IFERROR(__xludf.DUMMYFUNCTION("""COMPUTED_VALUE"""),"Ayako Fukawa")</f>
        <v>Ayako Fukawa</v>
      </c>
      <c r="AF94" s="39" t="str">
        <f>IFERROR(__xludf.DUMMYFUNCTION("""COMPUTED_VALUE"""),"AT20HippocampalFormation")</f>
        <v>AT20HippocampalFormation</v>
      </c>
      <c r="AG94" s="39"/>
      <c r="AH94" s="39"/>
      <c r="AI94" s="165"/>
      <c r="AJ94" s="165"/>
      <c r="AK94" s="111"/>
      <c r="AL94" s="111"/>
      <c r="AM94" s="111"/>
      <c r="AN94" s="111"/>
      <c r="AO94" s="111"/>
      <c r="AP94" s="111"/>
      <c r="AQ94" s="116"/>
      <c r="AR94" s="116"/>
      <c r="AS94" s="116"/>
    </row>
    <row r="95">
      <c r="A95" s="42" t="str">
        <f>IFERROR(__xludf.DUMMYFUNCTION("""COMPUTED_VALUE"""),"A35_uc2")</f>
        <v>A35_uc2</v>
      </c>
      <c r="B95" s="42"/>
      <c r="C95" s="42"/>
      <c r="D95" s="42" t="str">
        <f>IFERROR(__xludf.DUMMYFUNCTION("""COMPUTED_VALUE"""),"LEC_III")</f>
        <v>LEC_III</v>
      </c>
      <c r="E95" s="42"/>
      <c r="F95" s="42"/>
      <c r="G95" s="42"/>
      <c r="H95" s="42" t="str">
        <f>IFERROR(__xludf.DUMMYFUNCTION("""COMPUTED_VALUE"""),"")</f>
        <v/>
      </c>
      <c r="I95" s="42" t="str">
        <f>IFERROR(__xludf.DUMMYFUNCTION("""COMPUTED_VALUE"""),"Moser, 2010")</f>
        <v>Moser, 2010</v>
      </c>
      <c r="J95" s="42"/>
      <c r="K95" s="42"/>
      <c r="L95" s="42"/>
      <c r="M95" s="42"/>
      <c r="N95" s="42"/>
      <c r="O95" s="31" t="str">
        <f>IFERROR(__xludf.DUMMYFUNCTION("""COMPUTED_VALUE"""),"DOC")</f>
        <v>DOC</v>
      </c>
      <c r="P95" s="9" t="str">
        <f>IFERROR(__xludf.DUMMYFUNCTION("""COMPUTED_VALUE"""),"Handbook of Brain Microcircuits")</f>
        <v>Handbook of Brain Microcircuits</v>
      </c>
      <c r="Q95" s="9" t="str">
        <f>IFERROR(__xludf.DUMMYFUNCTION("""COMPUTED_VALUE"""),"Textbook")</f>
        <v>Textbook</v>
      </c>
      <c r="R95" s="179" t="str">
        <f>IFERROR(__xludf.DUMMYFUNCTION("""COMPUTED_VALUE"""),"LEC_III (00/00) [Moser, 2010][Witter, 2000];
")</f>
        <v>LEC_III (00/00) [Moser, 2010][Witter, 2000];
</v>
      </c>
      <c r="S95" s="179" t="str">
        <f>IFERROR(__xludf.DUMMYFUNCTION("""COMPUTED_VALUE"""),"A35_uc2LEC_III")</f>
        <v>A35_uc2LEC_III</v>
      </c>
      <c r="T95" s="179" t="str">
        <f>IFERROR(__xludf.DUMMYFUNCTION("""COMPUTED_VALUE"""),"[Moser, 2010]")</f>
        <v>[Moser, 2010]</v>
      </c>
      <c r="U95" s="179">
        <f>IFERROR(__xludf.DUMMYFUNCTION("""COMPUTED_VALUE"""),0.0)</f>
        <v>0</v>
      </c>
      <c r="V95" s="180">
        <f>IFERROR(__xludf.DUMMYFUNCTION("""COMPUTED_VALUE"""),0.0)</f>
        <v>0</v>
      </c>
      <c r="W95" s="180">
        <f>IFERROR(__xludf.DUMMYFUNCTION("""COMPUTED_VALUE"""),0.95)</f>
        <v>0.95</v>
      </c>
      <c r="X95" s="42">
        <f>IFERROR(__xludf.DUMMYFUNCTION("""COMPUTED_VALUE"""),0.9)</f>
        <v>0.9</v>
      </c>
      <c r="Y95" s="42">
        <f>IFERROR(__xludf.DUMMYFUNCTION("""COMPUTED_VALUE"""),0.0)</f>
        <v>0</v>
      </c>
      <c r="Z95" s="9">
        <f>IFERROR(__xludf.DUMMYFUNCTION("""COMPUTED_VALUE"""),0.0)</f>
        <v>0</v>
      </c>
      <c r="AA95" s="181">
        <f>IFERROR(__xludf.DUMMYFUNCTION("""COMPUTED_VALUE"""),0.0)</f>
        <v>0</v>
      </c>
      <c r="AB95" s="181">
        <f>IFERROR(__xludf.DUMMYFUNCTION("""COMPUTED_VALUE"""),0.0)</f>
        <v>0</v>
      </c>
      <c r="AC95" s="179">
        <f>IFERROR(__xludf.DUMMYFUNCTION("""COMPUTED_VALUE"""),0.0)</f>
        <v>0</v>
      </c>
      <c r="AD95" s="165">
        <f>IFERROR(__xludf.DUMMYFUNCTION("""COMPUTED_VALUE"""),0.0)</f>
        <v>0</v>
      </c>
      <c r="AE95" s="39" t="str">
        <f>IFERROR(__xludf.DUMMYFUNCTION("""COMPUTED_VALUE"""),"Ayako Fukawa")</f>
        <v>Ayako Fukawa</v>
      </c>
      <c r="AF95" s="39" t="str">
        <f>IFERROR(__xludf.DUMMYFUNCTION("""COMPUTED_VALUE"""),"AT20HippocampalFormation")</f>
        <v>AT20HippocampalFormation</v>
      </c>
      <c r="AG95" s="39"/>
      <c r="AH95" s="39"/>
      <c r="AI95" s="165"/>
      <c r="AJ95" s="165"/>
      <c r="AK95" s="111"/>
      <c r="AL95" s="111"/>
      <c r="AM95" s="111"/>
      <c r="AN95" s="111"/>
      <c r="AO95" s="111"/>
      <c r="AP95" s="111"/>
      <c r="AQ95" s="116"/>
      <c r="AR95" s="116"/>
      <c r="AS95" s="116"/>
    </row>
    <row r="96">
      <c r="A96" s="42" t="str">
        <f>IFERROR(__xludf.DUMMYFUNCTION("""COMPUTED_VALUE"""),"A35_uc2")</f>
        <v>A35_uc2</v>
      </c>
      <c r="B96" s="42"/>
      <c r="C96" s="42"/>
      <c r="D96" s="42" t="str">
        <f>IFERROR(__xludf.DUMMYFUNCTION("""COMPUTED_VALUE"""),"LEC_III")</f>
        <v>LEC_III</v>
      </c>
      <c r="E96" s="42"/>
      <c r="F96" s="42"/>
      <c r="G96" s="42"/>
      <c r="H96" s="42" t="str">
        <f>IFERROR(__xludf.DUMMYFUNCTION("""COMPUTED_VALUE"""),"")</f>
        <v/>
      </c>
      <c r="I96" s="42" t="str">
        <f>IFERROR(__xludf.DUMMYFUNCTION("""COMPUTED_VALUE"""),"Witter, 2000")</f>
        <v>Witter, 2000</v>
      </c>
      <c r="J96" s="42"/>
      <c r="K96" s="42"/>
      <c r="L96" s="42"/>
      <c r="M96" s="42"/>
      <c r="N96" s="42"/>
      <c r="O96" s="31" t="str">
        <f>IFERROR(__xludf.DUMMYFUNCTION("""COMPUTED_VALUE"""),"DOC")</f>
        <v>DOC</v>
      </c>
      <c r="P96" s="9" t="str">
        <f>IFERROR(__xludf.DUMMYFUNCTION("""COMPUTED_VALUE"""),"Hippocampus")</f>
        <v>Hippocampus</v>
      </c>
      <c r="Q96" s="9" t="str">
        <f>IFERROR(__xludf.DUMMYFUNCTION("""COMPUTED_VALUE"""),"Review")</f>
        <v>Review</v>
      </c>
      <c r="R96" s="179" t="str">
        <f>IFERROR(__xludf.DUMMYFUNCTION("""COMPUTED_VALUE"""),"LEC_III (00/00) [Moser, 2010][Witter, 2000];
")</f>
        <v>LEC_III (00/00) [Moser, 2010][Witter, 2000];
</v>
      </c>
      <c r="S96" s="179" t="str">
        <f>IFERROR(__xludf.DUMMYFUNCTION("""COMPUTED_VALUE"""),"A35_uc2LEC_III")</f>
        <v>A35_uc2LEC_III</v>
      </c>
      <c r="T96" s="179" t="str">
        <f>IFERROR(__xludf.DUMMYFUNCTION("""COMPUTED_VALUE"""),"[Witter, 2000]")</f>
        <v>[Witter, 2000]</v>
      </c>
      <c r="U96" s="179">
        <f>IFERROR(__xludf.DUMMYFUNCTION("""COMPUTED_VALUE"""),0.0)</f>
        <v>0</v>
      </c>
      <c r="V96" s="180">
        <f>IFERROR(__xludf.DUMMYFUNCTION("""COMPUTED_VALUE"""),0.0)</f>
        <v>0</v>
      </c>
      <c r="W96" s="180">
        <f>IFERROR(__xludf.DUMMYFUNCTION("""COMPUTED_VALUE"""),0.95)</f>
        <v>0.95</v>
      </c>
      <c r="X96" s="42">
        <f>IFERROR(__xludf.DUMMYFUNCTION("""COMPUTED_VALUE"""),0.8)</f>
        <v>0.8</v>
      </c>
      <c r="Y96" s="42">
        <f>IFERROR(__xludf.DUMMYFUNCTION("""COMPUTED_VALUE"""),0.0)</f>
        <v>0</v>
      </c>
      <c r="Z96" s="9">
        <f>IFERROR(__xludf.DUMMYFUNCTION("""COMPUTED_VALUE"""),0.0)</f>
        <v>0</v>
      </c>
      <c r="AA96" s="181">
        <f>IFERROR(__xludf.DUMMYFUNCTION("""COMPUTED_VALUE"""),0.0)</f>
        <v>0</v>
      </c>
      <c r="AB96" s="181">
        <f>IFERROR(__xludf.DUMMYFUNCTION("""COMPUTED_VALUE"""),0.0)</f>
        <v>0</v>
      </c>
      <c r="AC96" s="179">
        <f>IFERROR(__xludf.DUMMYFUNCTION("""COMPUTED_VALUE"""),0.0)</f>
        <v>0</v>
      </c>
      <c r="AD96" s="165">
        <f>IFERROR(__xludf.DUMMYFUNCTION("""COMPUTED_VALUE"""),0.0)</f>
        <v>0</v>
      </c>
      <c r="AE96" s="39" t="str">
        <f>IFERROR(__xludf.DUMMYFUNCTION("""COMPUTED_VALUE"""),"Ayako Fukawa")</f>
        <v>Ayako Fukawa</v>
      </c>
      <c r="AF96" s="39" t="str">
        <f>IFERROR(__xludf.DUMMYFUNCTION("""COMPUTED_VALUE"""),"AT20HippocampalFormation")</f>
        <v>AT20HippocampalFormation</v>
      </c>
      <c r="AG96" s="39"/>
      <c r="AH96" s="39"/>
      <c r="AI96" s="165"/>
      <c r="AJ96" s="165"/>
      <c r="AK96" s="111"/>
      <c r="AL96" s="111"/>
      <c r="AM96" s="111"/>
      <c r="AN96" s="111"/>
      <c r="AO96" s="111"/>
      <c r="AP96" s="111"/>
      <c r="AQ96" s="116"/>
      <c r="AR96" s="116"/>
      <c r="AS96" s="116"/>
    </row>
    <row r="97">
      <c r="A97" s="42" t="str">
        <f>IFERROR(__xludf.DUMMYFUNCTION("""COMPUTED_VALUE"""),"A46.L5PT")</f>
        <v>A46.L5PT</v>
      </c>
      <c r="B97" s="42"/>
      <c r="C97" s="42"/>
      <c r="D97" s="42" t="str">
        <f>IFERROR(__xludf.DUMMYFUNCTION("""COMPUTED_VALUE"""),"STHm")</f>
        <v>STHm</v>
      </c>
      <c r="E97" s="42"/>
      <c r="F97" s="42"/>
      <c r="G97" s="42"/>
      <c r="H97" s="42" t="str">
        <f>IFERROR(__xludf.DUMMYFUNCTION("""COMPUTED_VALUE"""),"")</f>
        <v/>
      </c>
      <c r="I97" s="42" t="str">
        <f>IFERROR(__xludf.DUMMYFUNCTION("""COMPUTED_VALUE"""),"Haynes, 2013")</f>
        <v>Haynes, 2013</v>
      </c>
      <c r="J97" s="42"/>
      <c r="K97" s="42"/>
      <c r="L97" s="42"/>
      <c r="M97" s="42"/>
      <c r="N97" s="42"/>
      <c r="O97" s="31" t="str">
        <f>IFERROR(__xludf.DUMMYFUNCTION("""COMPUTED_VALUE"""),"DOC")</f>
        <v>DOC</v>
      </c>
      <c r="P97" s="9" t="str">
        <f>IFERROR(__xludf.DUMMYFUNCTION("""COMPUTED_VALUE"""),"Journal of Neuroscience")</f>
        <v>Journal of Neuroscience</v>
      </c>
      <c r="Q97" s="9"/>
      <c r="R97" s="179" t="str">
        <f>IFERROR(__xludf.DUMMYFUNCTION("""COMPUTED_VALUE"""),"STHm (00/00) [Haynes, 2013];
")</f>
        <v>STHm (00/00) [Haynes, 2013];
</v>
      </c>
      <c r="S97" s="179" t="str">
        <f>IFERROR(__xludf.DUMMYFUNCTION("""COMPUTED_VALUE"""),"A46.L5PTSTHm")</f>
        <v>A46.L5PTSTHm</v>
      </c>
      <c r="T97" s="179" t="str">
        <f>IFERROR(__xludf.DUMMYFUNCTION("""COMPUTED_VALUE"""),"[Haynes, 2013]")</f>
        <v>[Haynes, 2013]</v>
      </c>
      <c r="U97" s="179">
        <f>IFERROR(__xludf.DUMMYFUNCTION("""COMPUTED_VALUE"""),0.0)</f>
        <v>0</v>
      </c>
      <c r="V97" s="180">
        <f>IFERROR(__xludf.DUMMYFUNCTION("""COMPUTED_VALUE"""),0.0)</f>
        <v>0</v>
      </c>
      <c r="W97" s="180">
        <f>IFERROR(__xludf.DUMMYFUNCTION("""COMPUTED_VALUE"""),0.95)</f>
        <v>0.95</v>
      </c>
      <c r="X97" s="42">
        <f>IFERROR(__xludf.DUMMYFUNCTION("""COMPUTED_VALUE"""),0.0)</f>
        <v>0</v>
      </c>
      <c r="Y97" s="42">
        <f>IFERROR(__xludf.DUMMYFUNCTION("""COMPUTED_VALUE"""),0.0)</f>
        <v>0</v>
      </c>
      <c r="Z97" s="9">
        <f>IFERROR(__xludf.DUMMYFUNCTION("""COMPUTED_VALUE"""),0.0)</f>
        <v>0</v>
      </c>
      <c r="AA97" s="181">
        <f>IFERROR(__xludf.DUMMYFUNCTION("""COMPUTED_VALUE"""),0.0)</f>
        <v>0</v>
      </c>
      <c r="AB97" s="181">
        <f>IFERROR(__xludf.DUMMYFUNCTION("""COMPUTED_VALUE"""),0.0)</f>
        <v>0</v>
      </c>
      <c r="AC97" s="179">
        <f>IFERROR(__xludf.DUMMYFUNCTION("""COMPUTED_VALUE"""),0.0)</f>
        <v>0</v>
      </c>
      <c r="AD97" s="165">
        <f>IFERROR(__xludf.DUMMYFUNCTION("""COMPUTED_VALUE"""),0.0)</f>
        <v>0</v>
      </c>
      <c r="AE97" s="39" t="str">
        <f>IFERROR(__xludf.DUMMYFUNCTION("""COMPUTED_VALUE"""),"Yuske Shibata")</f>
        <v>Yuske Shibata</v>
      </c>
      <c r="AF97" s="39" t="str">
        <f>IFERROR(__xludf.DUMMYFUNCTION("""COMPUTED_VALUE"""),"YS21BgLoop")</f>
        <v>YS21BgLoop</v>
      </c>
      <c r="AG97" s="39"/>
      <c r="AH97" s="39"/>
      <c r="AI97" s="165"/>
      <c r="AJ97" s="165"/>
      <c r="AK97" s="111"/>
      <c r="AL97" s="111"/>
      <c r="AM97" s="111"/>
      <c r="AN97" s="111"/>
      <c r="AO97" s="111"/>
      <c r="AP97" s="111"/>
      <c r="AQ97" s="116"/>
      <c r="AR97" s="116"/>
      <c r="AS97" s="116"/>
    </row>
    <row r="98">
      <c r="A98" s="42" t="str">
        <f>IFERROR(__xludf.DUMMYFUNCTION("""COMPUTED_VALUE"""),"A6ld.L5PT")</f>
        <v>A6ld.L5PT</v>
      </c>
      <c r="B98" s="42"/>
      <c r="C98" s="42"/>
      <c r="D98" s="42" t="str">
        <f>IFERROR(__xludf.DUMMYFUNCTION("""COMPUTED_VALUE"""),"STHlv")</f>
        <v>STHlv</v>
      </c>
      <c r="E98" s="42"/>
      <c r="F98" s="42"/>
      <c r="G98" s="42"/>
      <c r="H98" s="42" t="str">
        <f>IFERROR(__xludf.DUMMYFUNCTION("""COMPUTED_VALUE"""),"")</f>
        <v/>
      </c>
      <c r="I98" s="42" t="str">
        <f>IFERROR(__xludf.DUMMYFUNCTION("""COMPUTED_VALUE"""),"Haynes, 2013")</f>
        <v>Haynes, 2013</v>
      </c>
      <c r="J98" s="42"/>
      <c r="K98" s="42"/>
      <c r="L98" s="42"/>
      <c r="M98" s="42"/>
      <c r="N98" s="42"/>
      <c r="O98" s="31" t="str">
        <f>IFERROR(__xludf.DUMMYFUNCTION("""COMPUTED_VALUE"""),"DOC")</f>
        <v>DOC</v>
      </c>
      <c r="P98" s="9" t="str">
        <f>IFERROR(__xludf.DUMMYFUNCTION("""COMPUTED_VALUE"""),"Journal of Neuroscience")</f>
        <v>Journal of Neuroscience</v>
      </c>
      <c r="Q98" s="9"/>
      <c r="R98" s="179" t="str">
        <f>IFERROR(__xludf.DUMMYFUNCTION("""COMPUTED_VALUE"""),"STHlv (00/00) [Haynes, 2013];
")</f>
        <v>STHlv (00/00) [Haynes, 2013];
</v>
      </c>
      <c r="S98" s="179" t="str">
        <f>IFERROR(__xludf.DUMMYFUNCTION("""COMPUTED_VALUE"""),"A6ld.L5PTSTHlv")</f>
        <v>A6ld.L5PTSTHlv</v>
      </c>
      <c r="T98" s="179" t="str">
        <f>IFERROR(__xludf.DUMMYFUNCTION("""COMPUTED_VALUE"""),"[Haynes, 2013]")</f>
        <v>[Haynes, 2013]</v>
      </c>
      <c r="U98" s="179">
        <f>IFERROR(__xludf.DUMMYFUNCTION("""COMPUTED_VALUE"""),0.0)</f>
        <v>0</v>
      </c>
      <c r="V98" s="180">
        <f>IFERROR(__xludf.DUMMYFUNCTION("""COMPUTED_VALUE"""),0.0)</f>
        <v>0</v>
      </c>
      <c r="W98" s="180">
        <f>IFERROR(__xludf.DUMMYFUNCTION("""COMPUTED_VALUE"""),0.95)</f>
        <v>0.95</v>
      </c>
      <c r="X98" s="42">
        <f>IFERROR(__xludf.DUMMYFUNCTION("""COMPUTED_VALUE"""),0.0)</f>
        <v>0</v>
      </c>
      <c r="Y98" s="42">
        <f>IFERROR(__xludf.DUMMYFUNCTION("""COMPUTED_VALUE"""),0.0)</f>
        <v>0</v>
      </c>
      <c r="Z98" s="9">
        <f>IFERROR(__xludf.DUMMYFUNCTION("""COMPUTED_VALUE"""),0.0)</f>
        <v>0</v>
      </c>
      <c r="AA98" s="181">
        <f>IFERROR(__xludf.DUMMYFUNCTION("""COMPUTED_VALUE"""),0.0)</f>
        <v>0</v>
      </c>
      <c r="AB98" s="181">
        <f>IFERROR(__xludf.DUMMYFUNCTION("""COMPUTED_VALUE"""),0.0)</f>
        <v>0</v>
      </c>
      <c r="AC98" s="179">
        <f>IFERROR(__xludf.DUMMYFUNCTION("""COMPUTED_VALUE"""),0.0)</f>
        <v>0</v>
      </c>
      <c r="AD98" s="165">
        <f>IFERROR(__xludf.DUMMYFUNCTION("""COMPUTED_VALUE"""),0.0)</f>
        <v>0</v>
      </c>
      <c r="AE98" s="39" t="str">
        <f>IFERROR(__xludf.DUMMYFUNCTION("""COMPUTED_VALUE"""),"Yuske Shibata")</f>
        <v>Yuske Shibata</v>
      </c>
      <c r="AF98" s="39" t="str">
        <f>IFERROR(__xludf.DUMMYFUNCTION("""COMPUTED_VALUE"""),"YS21BgLoop")</f>
        <v>YS21BgLoop</v>
      </c>
      <c r="AG98" s="39"/>
      <c r="AH98" s="39"/>
      <c r="AI98" s="165"/>
      <c r="AJ98" s="165"/>
      <c r="AK98" s="111"/>
      <c r="AL98" s="111"/>
      <c r="AM98" s="111"/>
      <c r="AN98" s="111"/>
      <c r="AO98" s="111"/>
      <c r="AP98" s="111"/>
      <c r="AQ98" s="116"/>
      <c r="AR98" s="116"/>
      <c r="AS98" s="116"/>
    </row>
    <row r="99">
      <c r="A99" s="42" t="str">
        <f>IFERROR(__xludf.DUMMYFUNCTION("""COMPUTED_VALUE"""),"A7")</f>
        <v>A7</v>
      </c>
      <c r="B99" s="42"/>
      <c r="C99" s="42"/>
      <c r="D99" s="42" t="str">
        <f>IFERROR(__xludf.DUMMYFUNCTION("""COMPUTED_VALUE"""),"A38")</f>
        <v>A38</v>
      </c>
      <c r="E99" s="42"/>
      <c r="F99" s="42"/>
      <c r="G99" s="42"/>
      <c r="H99" s="42" t="str">
        <f>IFERROR(__xludf.DUMMYFUNCTION("""COMPUTED_VALUE"""),"")</f>
        <v/>
      </c>
      <c r="I99" s="42" t="str">
        <f>IFERROR(__xludf.DUMMYFUNCTION("""COMPUTED_VALUE"""),"Fan, 2016")</f>
        <v>Fan, 2016</v>
      </c>
      <c r="J99" s="42"/>
      <c r="K99" s="42"/>
      <c r="L99" s="42"/>
      <c r="M99" s="42"/>
      <c r="N99" s="42"/>
      <c r="O99" s="31" t="str">
        <f>IFERROR(__xludf.DUMMYFUNCTION("""COMPUTED_VALUE"""),"DOC")</f>
        <v>DOC</v>
      </c>
      <c r="P99" s="9" t="str">
        <f>IFERROR(__xludf.DUMMYFUNCTION("""COMPUTED_VALUE"""),"Cerebral Cortex")</f>
        <v>Cerebral Cortex</v>
      </c>
      <c r="Q99" s="9" t="str">
        <f>IFERROR(__xludf.DUMMYFUNCTION("""COMPUTED_VALUE"""),"Data description")</f>
        <v>Data description</v>
      </c>
      <c r="R99" s="179" t="str">
        <f>IFERROR(__xludf.DUMMYFUNCTION("""COMPUTED_VALUE"""),"A38 (00/00) [Fan, 2016];
")</f>
        <v>A38 (00/00) [Fan, 2016];
</v>
      </c>
      <c r="S99" s="179" t="str">
        <f>IFERROR(__xludf.DUMMYFUNCTION("""COMPUTED_VALUE"""),"A7A38")</f>
        <v>A7A38</v>
      </c>
      <c r="T99" s="179" t="str">
        <f>IFERROR(__xludf.DUMMYFUNCTION("""COMPUTED_VALUE"""),"[Fan, 2016]")</f>
        <v>[Fan, 2016]</v>
      </c>
      <c r="U99" s="179">
        <f>IFERROR(__xludf.DUMMYFUNCTION("""COMPUTED_VALUE"""),0.0)</f>
        <v>0</v>
      </c>
      <c r="V99" s="180">
        <f>IFERROR(__xludf.DUMMYFUNCTION("""COMPUTED_VALUE"""),0.0)</f>
        <v>0</v>
      </c>
      <c r="W99" s="180">
        <f>IFERROR(__xludf.DUMMYFUNCTION("""COMPUTED_VALUE"""),0.95)</f>
        <v>0.95</v>
      </c>
      <c r="X99" s="42">
        <f>IFERROR(__xludf.DUMMYFUNCTION("""COMPUTED_VALUE"""),1.0)</f>
        <v>1</v>
      </c>
      <c r="Y99" s="42">
        <f>IFERROR(__xludf.DUMMYFUNCTION("""COMPUTED_VALUE"""),0.0)</f>
        <v>0</v>
      </c>
      <c r="Z99" s="9">
        <f>IFERROR(__xludf.DUMMYFUNCTION("""COMPUTED_VALUE"""),0.0)</f>
        <v>0</v>
      </c>
      <c r="AA99" s="181">
        <f>IFERROR(__xludf.DUMMYFUNCTION("""COMPUTED_VALUE"""),0.0)</f>
        <v>0</v>
      </c>
      <c r="AB99" s="181">
        <f>IFERROR(__xludf.DUMMYFUNCTION("""COMPUTED_VALUE"""),0.0)</f>
        <v>0</v>
      </c>
      <c r="AC99" s="179">
        <f>IFERROR(__xludf.DUMMYFUNCTION("""COMPUTED_VALUE"""),0.0)</f>
        <v>0</v>
      </c>
      <c r="AD99" s="165">
        <f>IFERROR(__xludf.DUMMYFUNCTION("""COMPUTED_VALUE"""),0.0)</f>
        <v>0</v>
      </c>
      <c r="AE99" s="39" t="str">
        <f>IFERROR(__xludf.DUMMYFUNCTION("""COMPUTED_VALUE"""),"Hiroshi Yamakawa")</f>
        <v>Hiroshi Yamakawa</v>
      </c>
      <c r="AF99" s="39" t="str">
        <f>IFERROR(__xludf.DUMMYFUNCTION("""COMPUTED_VALUE"""),"HY22DAA")</f>
        <v>HY22DAA</v>
      </c>
      <c r="AG99" s="39"/>
      <c r="AH99" s="39"/>
      <c r="AI99" s="165"/>
      <c r="AJ99" s="165"/>
      <c r="AK99" s="111"/>
      <c r="AL99" s="111"/>
      <c r="AM99" s="111"/>
      <c r="AN99" s="111"/>
      <c r="AO99" s="111"/>
      <c r="AP99" s="111"/>
      <c r="AQ99" s="116"/>
      <c r="AR99" s="116"/>
      <c r="AS99" s="116"/>
    </row>
    <row r="100">
      <c r="A100" s="42" t="str">
        <f>IFERROR(__xludf.DUMMYFUNCTION("""COMPUTED_VALUE"""),"A8.L5PT")</f>
        <v>A8.L5PT</v>
      </c>
      <c r="B100" s="42"/>
      <c r="C100" s="42"/>
      <c r="D100" s="42" t="str">
        <f>IFERROR(__xludf.DUMMYFUNCTION("""COMPUTED_VALUE"""),"STH")</f>
        <v>STH</v>
      </c>
      <c r="E100" s="42"/>
      <c r="F100" s="42"/>
      <c r="G100" s="42"/>
      <c r="H100" s="42" t="str">
        <f>IFERROR(__xludf.DUMMYFUNCTION("""COMPUTED_VALUE"""),"")</f>
        <v/>
      </c>
      <c r="I100" s="42" t="str">
        <f>IFERROR(__xludf.DUMMYFUNCTION("""COMPUTED_VALUE"""),"Monakow, 1978")</f>
        <v>Monakow, 1978</v>
      </c>
      <c r="J100" s="42"/>
      <c r="K100" s="42"/>
      <c r="L100" s="42"/>
      <c r="M100" s="42"/>
      <c r="N100" s="42"/>
      <c r="O100" s="31" t="str">
        <f>IFERROR(__xludf.DUMMYFUNCTION("""COMPUTED_VALUE"""),"DOC")</f>
        <v>DOC</v>
      </c>
      <c r="P100" s="9" t="str">
        <f>IFERROR(__xludf.DUMMYFUNCTION("""COMPUTED_VALUE"""),"Experimental Brain Research")</f>
        <v>Experimental Brain Research</v>
      </c>
      <c r="Q100" s="9"/>
      <c r="R100" s="179" t="str">
        <f>IFERROR(__xludf.DUMMYFUNCTION("""COMPUTED_VALUE"""),"STH (00/00) [Monakow, 1978];
")</f>
        <v>STH (00/00) [Monakow, 1978];
</v>
      </c>
      <c r="S100" s="179" t="str">
        <f>IFERROR(__xludf.DUMMYFUNCTION("""COMPUTED_VALUE"""),"A8.L5PTSTH")</f>
        <v>A8.L5PTSTH</v>
      </c>
      <c r="T100" s="179" t="str">
        <f>IFERROR(__xludf.DUMMYFUNCTION("""COMPUTED_VALUE"""),"[Monakow, 1978]")</f>
        <v>[Monakow, 1978]</v>
      </c>
      <c r="U100" s="179">
        <f>IFERROR(__xludf.DUMMYFUNCTION("""COMPUTED_VALUE"""),0.0)</f>
        <v>0</v>
      </c>
      <c r="V100" s="180">
        <f>IFERROR(__xludf.DUMMYFUNCTION("""COMPUTED_VALUE"""),0.0)</f>
        <v>0</v>
      </c>
      <c r="W100" s="180">
        <f>IFERROR(__xludf.DUMMYFUNCTION("""COMPUTED_VALUE"""),0.95)</f>
        <v>0.95</v>
      </c>
      <c r="X100" s="42">
        <f>IFERROR(__xludf.DUMMYFUNCTION("""COMPUTED_VALUE"""),0.0)</f>
        <v>0</v>
      </c>
      <c r="Y100" s="42">
        <f>IFERROR(__xludf.DUMMYFUNCTION("""COMPUTED_VALUE"""),0.0)</f>
        <v>0</v>
      </c>
      <c r="Z100" s="9">
        <f>IFERROR(__xludf.DUMMYFUNCTION("""COMPUTED_VALUE"""),0.0)</f>
        <v>0</v>
      </c>
      <c r="AA100" s="181">
        <f>IFERROR(__xludf.DUMMYFUNCTION("""COMPUTED_VALUE"""),0.0)</f>
        <v>0</v>
      </c>
      <c r="AB100" s="181">
        <f>IFERROR(__xludf.DUMMYFUNCTION("""COMPUTED_VALUE"""),0.0)</f>
        <v>0</v>
      </c>
      <c r="AC100" s="179">
        <f>IFERROR(__xludf.DUMMYFUNCTION("""COMPUTED_VALUE"""),0.0)</f>
        <v>0</v>
      </c>
      <c r="AD100" s="165">
        <f>IFERROR(__xludf.DUMMYFUNCTION("""COMPUTED_VALUE"""),0.0)</f>
        <v>0</v>
      </c>
      <c r="AE100" s="39" t="str">
        <f>IFERROR(__xludf.DUMMYFUNCTION("""COMPUTED_VALUE"""),"Yuske Shibata")</f>
        <v>Yuske Shibata</v>
      </c>
      <c r="AF100" s="39" t="str">
        <f>IFERROR(__xludf.DUMMYFUNCTION("""COMPUTED_VALUE"""),"YS21BgLoop")</f>
        <v>YS21BgLoop</v>
      </c>
      <c r="AG100" s="39"/>
      <c r="AH100" s="39"/>
      <c r="AI100" s="165"/>
      <c r="AJ100" s="165"/>
      <c r="AK100" s="111"/>
      <c r="AL100" s="111"/>
      <c r="AM100" s="111"/>
      <c r="AN100" s="111"/>
      <c r="AO100" s="111"/>
      <c r="AP100" s="111"/>
      <c r="AQ100" s="116"/>
      <c r="AR100" s="116"/>
      <c r="AS100" s="116"/>
    </row>
    <row r="101">
      <c r="A101" s="42" t="str">
        <f>IFERROR(__xludf.DUMMYFUNCTION("""COMPUTED_VALUE"""),"A8lv")</f>
        <v>A8lv</v>
      </c>
      <c r="B101" s="42"/>
      <c r="C101" s="42"/>
      <c r="D101" s="42" t="str">
        <f>IFERROR(__xludf.DUMMYFUNCTION("""COMPUTED_VALUE"""),"PPRF")</f>
        <v>PPRF</v>
      </c>
      <c r="E101" s="42"/>
      <c r="F101" s="42"/>
      <c r="G101" s="42"/>
      <c r="H101" s="42" t="str">
        <f>IFERROR(__xludf.DUMMYFUNCTION("""COMPUTED_VALUE"""),"")</f>
        <v/>
      </c>
      <c r="I101" s="42" t="str">
        <f>IFERROR(__xludf.DUMMYFUNCTION("""COMPUTED_VALUE"""),"Schnyder, 1985")</f>
        <v>Schnyder, 1985</v>
      </c>
      <c r="J101" s="42"/>
      <c r="K101" s="42"/>
      <c r="L101" s="42"/>
      <c r="M101" s="42"/>
      <c r="N101" s="38"/>
      <c r="O101" s="131" t="str">
        <f>IFERROR(__xludf.DUMMYFUNCTION("""COMPUTED_VALUE"""),"DOC")</f>
        <v>DOC</v>
      </c>
      <c r="P101" s="9" t="str">
        <f>IFERROR(__xludf.DUMMYFUNCTION("""COMPUTED_VALUE"""),"Brain Research")</f>
        <v>Brain Research</v>
      </c>
      <c r="Q101" s="9"/>
      <c r="R101" s="179" t="str">
        <f>IFERROR(__xludf.DUMMYFUNCTION("""COMPUTED_VALUE"""),"PPRF (00/00) [Schnyder, 1985];
")</f>
        <v>PPRF (00/00) [Schnyder, 1985];
</v>
      </c>
      <c r="S101" s="179" t="str">
        <f>IFERROR(__xludf.DUMMYFUNCTION("""COMPUTED_VALUE"""),"A8lvPPRF")</f>
        <v>A8lvPPRF</v>
      </c>
      <c r="T101" s="179" t="str">
        <f>IFERROR(__xludf.DUMMYFUNCTION("""COMPUTED_VALUE"""),"[Schnyder, 1985]")</f>
        <v>[Schnyder, 1985]</v>
      </c>
      <c r="U101" s="179">
        <f>IFERROR(__xludf.DUMMYFUNCTION("""COMPUTED_VALUE"""),0.0)</f>
        <v>0</v>
      </c>
      <c r="V101" s="180">
        <f>IFERROR(__xludf.DUMMYFUNCTION("""COMPUTED_VALUE"""),0.0)</f>
        <v>0</v>
      </c>
      <c r="W101" s="180">
        <f>IFERROR(__xludf.DUMMYFUNCTION("""COMPUTED_VALUE"""),0.95)</f>
        <v>0.95</v>
      </c>
      <c r="X101" s="42">
        <f>IFERROR(__xludf.DUMMYFUNCTION("""COMPUTED_VALUE"""),0.0)</f>
        <v>0</v>
      </c>
      <c r="Y101" s="42">
        <f>IFERROR(__xludf.DUMMYFUNCTION("""COMPUTED_VALUE"""),0.0)</f>
        <v>0</v>
      </c>
      <c r="Z101" s="9">
        <f>IFERROR(__xludf.DUMMYFUNCTION("""COMPUTED_VALUE"""),0.0)</f>
        <v>0</v>
      </c>
      <c r="AA101" s="181">
        <f>IFERROR(__xludf.DUMMYFUNCTION("""COMPUTED_VALUE"""),0.0)</f>
        <v>0</v>
      </c>
      <c r="AB101" s="181">
        <f>IFERROR(__xludf.DUMMYFUNCTION("""COMPUTED_VALUE"""),0.0)</f>
        <v>0</v>
      </c>
      <c r="AC101" s="179">
        <f>IFERROR(__xludf.DUMMYFUNCTION("""COMPUTED_VALUE"""),0.0)</f>
        <v>0</v>
      </c>
      <c r="AD101" s="165">
        <f>IFERROR(__xludf.DUMMYFUNCTION("""COMPUTED_VALUE"""),0.0)</f>
        <v>0</v>
      </c>
      <c r="AE101" s="39" t="str">
        <f>IFERROR(__xludf.DUMMYFUNCTION("""COMPUTED_VALUE"""),"Yoshimasa Tawatsuji")</f>
        <v>Yoshimasa Tawatsuji</v>
      </c>
      <c r="AF101" s="39" t="str">
        <f>IFERROR(__xludf.DUMMYFUNCTION("""COMPUTED_VALUE"""),"Oculomotor")</f>
        <v>Oculomotor</v>
      </c>
      <c r="AG101" s="39"/>
      <c r="AH101" s="39"/>
      <c r="AI101" s="165"/>
      <c r="AJ101" s="165"/>
      <c r="AK101" s="111"/>
      <c r="AL101" s="111"/>
      <c r="AM101" s="111"/>
      <c r="AN101" s="111"/>
      <c r="AO101" s="111"/>
      <c r="AP101" s="111"/>
      <c r="AQ101" s="116"/>
      <c r="AR101" s="116"/>
      <c r="AS101" s="116"/>
    </row>
    <row r="102">
      <c r="A102" s="42" t="str">
        <f>IFERROR(__xludf.DUMMYFUNCTION("""COMPUTED_VALUE"""),"A8lv")</f>
        <v>A8lv</v>
      </c>
      <c r="B102" s="42"/>
      <c r="C102" s="42"/>
      <c r="D102" s="42" t="str">
        <f>IFERROR(__xludf.DUMMYFUNCTION("""COMPUTED_VALUE"""),"cMRF")</f>
        <v>cMRF</v>
      </c>
      <c r="E102" s="42"/>
      <c r="F102" s="42"/>
      <c r="G102" s="42"/>
      <c r="H102" s="42" t="str">
        <f>IFERROR(__xludf.DUMMYFUNCTION("""COMPUTED_VALUE"""),"")</f>
        <v/>
      </c>
      <c r="I102" s="42" t="str">
        <f>IFERROR(__xludf.DUMMYFUNCTION("""COMPUTED_VALUE"""),"Shook, 1990")</f>
        <v>Shook, 1990</v>
      </c>
      <c r="J102" s="42"/>
      <c r="K102" s="42"/>
      <c r="L102" s="42"/>
      <c r="M102" s="42"/>
      <c r="N102" s="38"/>
      <c r="O102" s="31" t="str">
        <f>IFERROR(__xludf.DUMMYFUNCTION("""COMPUTED_VALUE"""),"DOC")</f>
        <v>DOC</v>
      </c>
      <c r="P102" s="9" t="str">
        <f>IFERROR(__xludf.DUMMYFUNCTION("""COMPUTED_VALUE"""),"The Journal of Comparative Neurology")</f>
        <v>The Journal of Comparative Neurology</v>
      </c>
      <c r="Q102" s="9"/>
      <c r="R102" s="179" t="str">
        <f>IFERROR(__xludf.DUMMYFUNCTION("""COMPUTED_VALUE"""),"cMRF (00/00) [Shook, 1990];
")</f>
        <v>cMRF (00/00) [Shook, 1990];
</v>
      </c>
      <c r="S102" s="179" t="str">
        <f>IFERROR(__xludf.DUMMYFUNCTION("""COMPUTED_VALUE"""),"A8lvcMRF")</f>
        <v>A8lvcMRF</v>
      </c>
      <c r="T102" s="179" t="str">
        <f>IFERROR(__xludf.DUMMYFUNCTION("""COMPUTED_VALUE"""),"[Shook, 1990]")</f>
        <v>[Shook, 1990]</v>
      </c>
      <c r="U102" s="179">
        <f>IFERROR(__xludf.DUMMYFUNCTION("""COMPUTED_VALUE"""),0.0)</f>
        <v>0</v>
      </c>
      <c r="V102" s="180">
        <f>IFERROR(__xludf.DUMMYFUNCTION("""COMPUTED_VALUE"""),0.0)</f>
        <v>0</v>
      </c>
      <c r="W102" s="180">
        <f>IFERROR(__xludf.DUMMYFUNCTION("""COMPUTED_VALUE"""),0.95)</f>
        <v>0.95</v>
      </c>
      <c r="X102" s="42">
        <f>IFERROR(__xludf.DUMMYFUNCTION("""COMPUTED_VALUE"""),0.0)</f>
        <v>0</v>
      </c>
      <c r="Y102" s="42">
        <f>IFERROR(__xludf.DUMMYFUNCTION("""COMPUTED_VALUE"""),0.0)</f>
        <v>0</v>
      </c>
      <c r="Z102" s="9">
        <f>IFERROR(__xludf.DUMMYFUNCTION("""COMPUTED_VALUE"""),0.0)</f>
        <v>0</v>
      </c>
      <c r="AA102" s="181">
        <f>IFERROR(__xludf.DUMMYFUNCTION("""COMPUTED_VALUE"""),0.0)</f>
        <v>0</v>
      </c>
      <c r="AB102" s="181">
        <f>IFERROR(__xludf.DUMMYFUNCTION("""COMPUTED_VALUE"""),0.0)</f>
        <v>0</v>
      </c>
      <c r="AC102" s="179">
        <f>IFERROR(__xludf.DUMMYFUNCTION("""COMPUTED_VALUE"""),0.0)</f>
        <v>0</v>
      </c>
      <c r="AD102" s="165">
        <f>IFERROR(__xludf.DUMMYFUNCTION("""COMPUTED_VALUE"""),0.0)</f>
        <v>0</v>
      </c>
      <c r="AE102" s="39" t="str">
        <f>IFERROR(__xludf.DUMMYFUNCTION("""COMPUTED_VALUE"""),"Yoshimasa Tawatsuji")</f>
        <v>Yoshimasa Tawatsuji</v>
      </c>
      <c r="AF102" s="39" t="str">
        <f>IFERROR(__xludf.DUMMYFUNCTION("""COMPUTED_VALUE"""),"Oculomotor")</f>
        <v>Oculomotor</v>
      </c>
      <c r="AG102" s="39"/>
      <c r="AH102" s="39"/>
      <c r="AI102" s="165"/>
      <c r="AJ102" s="165"/>
      <c r="AK102" s="111"/>
      <c r="AL102" s="111"/>
      <c r="AM102" s="111"/>
      <c r="AN102" s="111"/>
      <c r="AO102" s="111"/>
      <c r="AP102" s="111"/>
      <c r="AQ102" s="116"/>
      <c r="AR102" s="116"/>
      <c r="AS102" s="116"/>
    </row>
    <row r="103">
      <c r="A103" s="42" t="str">
        <f>IFERROR(__xludf.DUMMYFUNCTION("""COMPUTED_VALUE"""),"A9.Cx.L5PT")</f>
        <v>A9.Cx.L5PT</v>
      </c>
      <c r="B103" s="42"/>
      <c r="C103" s="42"/>
      <c r="D103" s="42" t="str">
        <f>IFERROR(__xludf.DUMMYFUNCTION("""COMPUTED_VALUE"""),"STHm")</f>
        <v>STHm</v>
      </c>
      <c r="E103" s="42"/>
      <c r="F103" s="42"/>
      <c r="G103" s="42"/>
      <c r="H103" s="42" t="str">
        <f>IFERROR(__xludf.DUMMYFUNCTION("""COMPUTED_VALUE"""),":")</f>
        <v>:</v>
      </c>
      <c r="I103" s="42" t="str">
        <f>IFERROR(__xludf.DUMMYFUNCTION("""COMPUTED_VALUE"""),"Haynes, 2013")</f>
        <v>Haynes, 2013</v>
      </c>
      <c r="J103" s="42"/>
      <c r="K103" s="42"/>
      <c r="L103" s="42"/>
      <c r="M103" s="42"/>
      <c r="N103" s="38"/>
      <c r="O103" s="31" t="str">
        <f>IFERROR(__xludf.DUMMYFUNCTION("""COMPUTED_VALUE"""),"DOC")</f>
        <v>DOC</v>
      </c>
      <c r="P103" s="9" t="str">
        <f>IFERROR(__xludf.DUMMYFUNCTION("""COMPUTED_VALUE"""),"Journal of Neuroscience")</f>
        <v>Journal of Neuroscience</v>
      </c>
      <c r="Q103" s="9"/>
      <c r="R103" s="179" t="str">
        <f>IFERROR(__xludf.DUMMYFUNCTION("""COMPUTED_VALUE"""),"STHm (00/00) [Haynes, 2013]:;
")</f>
        <v>STHm (00/00) [Haynes, 2013]:;
</v>
      </c>
      <c r="S103" s="179" t="str">
        <f>IFERROR(__xludf.DUMMYFUNCTION("""COMPUTED_VALUE"""),"A9.Cx.L5PTSTHm")</f>
        <v>A9.Cx.L5PTSTHm</v>
      </c>
      <c r="T103" s="179" t="str">
        <f>IFERROR(__xludf.DUMMYFUNCTION("""COMPUTED_VALUE"""),"[Haynes, 2013]")</f>
        <v>[Haynes, 2013]</v>
      </c>
      <c r="U103" s="179">
        <f>IFERROR(__xludf.DUMMYFUNCTION("""COMPUTED_VALUE"""),0.0)</f>
        <v>0</v>
      </c>
      <c r="V103" s="180">
        <f>IFERROR(__xludf.DUMMYFUNCTION("""COMPUTED_VALUE"""),0.0)</f>
        <v>0</v>
      </c>
      <c r="W103" s="180">
        <f>IFERROR(__xludf.DUMMYFUNCTION("""COMPUTED_VALUE"""),0.95)</f>
        <v>0.95</v>
      </c>
      <c r="X103" s="42">
        <f>IFERROR(__xludf.DUMMYFUNCTION("""COMPUTED_VALUE"""),0.0)</f>
        <v>0</v>
      </c>
      <c r="Y103" s="42">
        <f>IFERROR(__xludf.DUMMYFUNCTION("""COMPUTED_VALUE"""),0.0)</f>
        <v>0</v>
      </c>
      <c r="Z103" s="9">
        <f>IFERROR(__xludf.DUMMYFUNCTION("""COMPUTED_VALUE"""),0.0)</f>
        <v>0</v>
      </c>
      <c r="AA103" s="181">
        <f>IFERROR(__xludf.DUMMYFUNCTION("""COMPUTED_VALUE"""),0.0)</f>
        <v>0</v>
      </c>
      <c r="AB103" s="181">
        <f>IFERROR(__xludf.DUMMYFUNCTION("""COMPUTED_VALUE"""),0.0)</f>
        <v>0</v>
      </c>
      <c r="AC103" s="179">
        <f>IFERROR(__xludf.DUMMYFUNCTION("""COMPUTED_VALUE"""),0.0)</f>
        <v>0</v>
      </c>
      <c r="AD103" s="165">
        <f>IFERROR(__xludf.DUMMYFUNCTION("""COMPUTED_VALUE"""),0.0)</f>
        <v>0</v>
      </c>
      <c r="AE103" s="39" t="str">
        <f>IFERROR(__xludf.DUMMYFUNCTION("""COMPUTED_VALUE"""),"Yuske Shibata")</f>
        <v>Yuske Shibata</v>
      </c>
      <c r="AF103" s="39" t="str">
        <f>IFERROR(__xludf.DUMMYFUNCTION("""COMPUTED_VALUE"""),"YS21BgLoop")</f>
        <v>YS21BgLoop</v>
      </c>
      <c r="AG103" s="39"/>
      <c r="AH103" s="39"/>
      <c r="AI103" s="165"/>
      <c r="AJ103" s="165"/>
      <c r="AK103" s="111"/>
      <c r="AL103" s="111"/>
      <c r="AM103" s="111"/>
      <c r="AN103" s="111"/>
      <c r="AO103" s="111"/>
      <c r="AP103" s="111"/>
      <c r="AQ103" s="116"/>
      <c r="AR103" s="116"/>
      <c r="AS103" s="116"/>
    </row>
    <row r="104">
      <c r="A104" s="42" t="str">
        <f>IFERROR(__xludf.DUMMYFUNCTION("""COMPUTED_VALUE"""),"A9.L5PT")</f>
        <v>A9.L5PT</v>
      </c>
      <c r="B104" s="42"/>
      <c r="C104" s="42"/>
      <c r="D104" s="42" t="str">
        <f>IFERROR(__xludf.DUMMYFUNCTION("""COMPUTED_VALUE"""),"STHlv")</f>
        <v>STHlv</v>
      </c>
      <c r="E104" s="42"/>
      <c r="F104" s="42"/>
      <c r="G104" s="42"/>
      <c r="H104" s="42" t="str">
        <f>IFERROR(__xludf.DUMMYFUNCTION("""COMPUTED_VALUE"""),"")</f>
        <v/>
      </c>
      <c r="I104" s="42" t="str">
        <f>IFERROR(__xludf.DUMMYFUNCTION("""COMPUTED_VALUE"""),"Von Monakow, 1978")</f>
        <v>Von Monakow, 1978</v>
      </c>
      <c r="J104" s="42"/>
      <c r="K104" s="42"/>
      <c r="L104" s="42"/>
      <c r="M104" s="42"/>
      <c r="N104" s="38"/>
      <c r="O104" s="31" t="str">
        <f>IFERROR(__xludf.DUMMYFUNCTION("""COMPUTED_VALUE"""),"#Error: Reference ID")</f>
        <v>#Error: Reference ID</v>
      </c>
      <c r="P104" s="9" t="str">
        <f>IFERROR(__xludf.DUMMYFUNCTION("""COMPUTED_VALUE"""),"#Error: Reference ID")</f>
        <v>#Error: Reference ID</v>
      </c>
      <c r="Q104" s="9" t="str">
        <f>IFERROR(__xludf.DUMMYFUNCTION("""COMPUTED_VALUE"""),"#Error: Reference ID")</f>
        <v>#Error: Reference ID</v>
      </c>
      <c r="R104" s="179" t="str">
        <f>IFERROR(__xludf.DUMMYFUNCTION("""COMPUTED_VALUE"""),"STHlv (00/00) [Von Monakow, 1978];
")</f>
        <v>STHlv (00/00) [Von Monakow, 1978];
</v>
      </c>
      <c r="S104" s="179" t="str">
        <f>IFERROR(__xludf.DUMMYFUNCTION("""COMPUTED_VALUE"""),"A9.L5PTSTHlv")</f>
        <v>A9.L5PTSTHlv</v>
      </c>
      <c r="T104" s="179" t="str">
        <f>IFERROR(__xludf.DUMMYFUNCTION("""COMPUTED_VALUE"""),"[Von Monakow, 1978]")</f>
        <v>[Von Monakow, 1978]</v>
      </c>
      <c r="U104" s="179">
        <f>IFERROR(__xludf.DUMMYFUNCTION("""COMPUTED_VALUE"""),0.0)</f>
        <v>0</v>
      </c>
      <c r="V104" s="180">
        <f>IFERROR(__xludf.DUMMYFUNCTION("""COMPUTED_VALUE"""),0.0)</f>
        <v>0</v>
      </c>
      <c r="W104" s="180">
        <f>IFERROR(__xludf.DUMMYFUNCTION("""COMPUTED_VALUE"""),0.0)</f>
        <v>0</v>
      </c>
      <c r="X104" s="42">
        <f>IFERROR(__xludf.DUMMYFUNCTION("""COMPUTED_VALUE"""),0.0)</f>
        <v>0</v>
      </c>
      <c r="Y104" s="42">
        <f>IFERROR(__xludf.DUMMYFUNCTION("""COMPUTED_VALUE"""),0.0)</f>
        <v>0</v>
      </c>
      <c r="Z104" s="9">
        <f>IFERROR(__xludf.DUMMYFUNCTION("""COMPUTED_VALUE"""),0.0)</f>
        <v>0</v>
      </c>
      <c r="AA104" s="181">
        <f>IFERROR(__xludf.DUMMYFUNCTION("""COMPUTED_VALUE"""),0.0)</f>
        <v>0</v>
      </c>
      <c r="AB104" s="181">
        <f>IFERROR(__xludf.DUMMYFUNCTION("""COMPUTED_VALUE"""),0.0)</f>
        <v>0</v>
      </c>
      <c r="AC104" s="179">
        <f>IFERROR(__xludf.DUMMYFUNCTION("""COMPUTED_VALUE"""),0.0)</f>
        <v>0</v>
      </c>
      <c r="AD104" s="165">
        <f>IFERROR(__xludf.DUMMYFUNCTION("""COMPUTED_VALUE"""),0.0)</f>
        <v>0</v>
      </c>
      <c r="AE104" s="39" t="str">
        <f>IFERROR(__xludf.DUMMYFUNCTION("""COMPUTED_VALUE"""),"Yuske Shibata")</f>
        <v>Yuske Shibata</v>
      </c>
      <c r="AF104" s="39" t="str">
        <f>IFERROR(__xludf.DUMMYFUNCTION("""COMPUTED_VALUE"""),"YS21BgLoop")</f>
        <v>YS21BgLoop</v>
      </c>
      <c r="AG104" s="39"/>
      <c r="AH104" s="39"/>
      <c r="AI104" s="165"/>
      <c r="AJ104" s="165"/>
      <c r="AK104" s="111"/>
      <c r="AL104" s="111"/>
      <c r="AM104" s="111"/>
      <c r="AN104" s="111"/>
      <c r="AO104" s="111"/>
      <c r="AP104" s="111"/>
      <c r="AQ104" s="116"/>
      <c r="AR104" s="116"/>
      <c r="AS104" s="116"/>
    </row>
    <row r="105">
      <c r="A105" s="42" t="str">
        <f>IFERROR(__xludf.DUMMYFUNCTION("""COMPUTED_VALUE"""),"AHA")</f>
        <v>AHA</v>
      </c>
      <c r="B105" s="42"/>
      <c r="C105" s="42"/>
      <c r="D105" s="42" t="str">
        <f>IFERROR(__xludf.DUMMYFUNCTION("""COMPUTED_VALUE"""),"CA1")</f>
        <v>CA1</v>
      </c>
      <c r="E105" s="42"/>
      <c r="F105" s="42"/>
      <c r="G105" s="42"/>
      <c r="H105" s="42" t="str">
        <f>IFERROR(__xludf.DUMMYFUNCTION("""COMPUTED_VALUE"""),"")</f>
        <v/>
      </c>
      <c r="I105" s="42" t="str">
        <f>IFERROR(__xludf.DUMMYFUNCTION("""COMPUTED_VALUE"""),"Pitkänen, 2000")</f>
        <v>Pitkänen, 2000</v>
      </c>
      <c r="J105" s="42" t="str">
        <f>IFERROR(__xludf.DUMMYFUNCTION("""COMPUTED_VALUE"""),"Rat")</f>
        <v>Rat</v>
      </c>
      <c r="K105" s="42" t="str">
        <f>IFERROR(__xludf.DUMMYFUNCTION("""COMPUTED_VALUE"""),"Various tracing")</f>
        <v>Various tracing</v>
      </c>
      <c r="L105" s="42"/>
      <c r="M105" s="42" t="str">
        <f>IFERROR(__xludf.DUMMYFUNCTION("""COMPUTED_VALUE"""),"fig.3-fig.12 (to be specified)")</f>
        <v>fig.3-fig.12 (to be specified)</v>
      </c>
      <c r="N105" s="38"/>
      <c r="O105" s="31" t="str">
        <f>IFERROR(__xludf.DUMMYFUNCTION("""COMPUTED_VALUE"""),"DOC(alt)")</f>
        <v>DOC(alt)</v>
      </c>
      <c r="P105" s="9" t="str">
        <f>IFERROR(__xludf.DUMMYFUNCTION("""COMPUTED_VALUE"""),"Folia morphologica")</f>
        <v>Folia morphologica</v>
      </c>
      <c r="Q105" s="9" t="str">
        <f>IFERROR(__xludf.DUMMYFUNCTION("""COMPUTED_VALUE"""),"Review")</f>
        <v>Review</v>
      </c>
      <c r="R105" s="179" t="str">
        <f>IFERROR(__xludf.DUMMYFUNCTION("""COMPUTED_VALUE"""),"CA1 (00/00) [Pitkänen, 2000];
")</f>
        <v>CA1 (00/00) [Pitkänen, 2000];
</v>
      </c>
      <c r="S105" s="179" t="str">
        <f>IFERROR(__xludf.DUMMYFUNCTION("""COMPUTED_VALUE"""),"AHACA1")</f>
        <v>AHACA1</v>
      </c>
      <c r="T105" s="179" t="str">
        <f>IFERROR(__xludf.DUMMYFUNCTION("""COMPUTED_VALUE"""),"[Pitkänen, 2000]")</f>
        <v>[Pitkänen, 2000]</v>
      </c>
      <c r="U105" s="179">
        <f>IFERROR(__xludf.DUMMYFUNCTION("""COMPUTED_VALUE"""),0.0)</f>
        <v>0</v>
      </c>
      <c r="V105" s="180">
        <f>IFERROR(__xludf.DUMMYFUNCTION("""COMPUTED_VALUE"""),0.0)</f>
        <v>0</v>
      </c>
      <c r="W105" s="180">
        <f>IFERROR(__xludf.DUMMYFUNCTION("""COMPUTED_VALUE"""),0.95)</f>
        <v>0.95</v>
      </c>
      <c r="X105" s="42">
        <f>IFERROR(__xludf.DUMMYFUNCTION("""COMPUTED_VALUE"""),0.8)</f>
        <v>0.8</v>
      </c>
      <c r="Y105" s="42">
        <f>IFERROR(__xludf.DUMMYFUNCTION("""COMPUTED_VALUE"""),0.6)</f>
        <v>0.6</v>
      </c>
      <c r="Z105" s="9">
        <f>IFERROR(__xludf.DUMMYFUNCTION("""COMPUTED_VALUE"""),0.9)</f>
        <v>0.9</v>
      </c>
      <c r="AA105" s="181">
        <f>IFERROR(__xludf.DUMMYFUNCTION("""COMPUTED_VALUE"""),0.0)</f>
        <v>0</v>
      </c>
      <c r="AB105" s="181">
        <f>IFERROR(__xludf.DUMMYFUNCTION("""COMPUTED_VALUE"""),0.0)</f>
        <v>0</v>
      </c>
      <c r="AC105" s="179">
        <f>IFERROR(__xludf.DUMMYFUNCTION("""COMPUTED_VALUE"""),0.0)</f>
        <v>0</v>
      </c>
      <c r="AD105" s="165">
        <f>IFERROR(__xludf.DUMMYFUNCTION("""COMPUTED_VALUE"""),0.0)</f>
        <v>0</v>
      </c>
      <c r="AE105" s="39" t="str">
        <f>IFERROR(__xludf.DUMMYFUNCTION("""COMPUTED_VALUE"""),"Tatsuya Miyamoto")</f>
        <v>Tatsuya Miyamoto</v>
      </c>
      <c r="AF105" s="39" t="str">
        <f>IFERROR(__xludf.DUMMYFUNCTION("""COMPUTED_VALUE"""),"TM21Amygdala")</f>
        <v>TM21Amygdala</v>
      </c>
      <c r="AG105" s="39"/>
      <c r="AH105" s="39"/>
      <c r="AI105" s="165"/>
      <c r="AJ105" s="165"/>
      <c r="AK105" s="111"/>
      <c r="AL105" s="111"/>
      <c r="AM105" s="111"/>
      <c r="AN105" s="111"/>
      <c r="AO105" s="111"/>
      <c r="AP105" s="111"/>
      <c r="AQ105" s="116"/>
      <c r="AR105" s="116"/>
      <c r="AS105" s="116"/>
    </row>
    <row r="106">
      <c r="A106" s="42" t="str">
        <f>IFERROR(__xludf.DUMMYFUNCTION("""COMPUTED_VALUE"""),"AHA")</f>
        <v>AHA</v>
      </c>
      <c r="B106" s="42"/>
      <c r="C106" s="42"/>
      <c r="D106" s="42" t="str">
        <f>IFERROR(__xludf.DUMMYFUNCTION("""COMPUTED_VALUE"""),"LH")</f>
        <v>LH</v>
      </c>
      <c r="E106" s="42"/>
      <c r="F106" s="42"/>
      <c r="G106" s="42"/>
      <c r="H106" s="42" t="str">
        <f>IFERROR(__xludf.DUMMYFUNCTION("""COMPUTED_VALUE"""),"")</f>
        <v/>
      </c>
      <c r="I106" s="42" t="str">
        <f>IFERROR(__xludf.DUMMYFUNCTION("""COMPUTED_VALUE"""),"Pitkänen, 2000")</f>
        <v>Pitkänen, 2000</v>
      </c>
      <c r="J106" s="42" t="str">
        <f>IFERROR(__xludf.DUMMYFUNCTION("""COMPUTED_VALUE"""),"Rat")</f>
        <v>Rat</v>
      </c>
      <c r="K106" s="42" t="str">
        <f>IFERROR(__xludf.DUMMYFUNCTION("""COMPUTED_VALUE"""),"Various tracing")</f>
        <v>Various tracing</v>
      </c>
      <c r="L106" s="42"/>
      <c r="M106" s="42" t="str">
        <f>IFERROR(__xludf.DUMMYFUNCTION("""COMPUTED_VALUE"""),"fig.3-fig.12 (to be specified)")</f>
        <v>fig.3-fig.12 (to be specified)</v>
      </c>
      <c r="N106" s="38"/>
      <c r="O106" s="31" t="str">
        <f>IFERROR(__xludf.DUMMYFUNCTION("""COMPUTED_VALUE"""),"DOC(alt)")</f>
        <v>DOC(alt)</v>
      </c>
      <c r="P106" s="9" t="str">
        <f>IFERROR(__xludf.DUMMYFUNCTION("""COMPUTED_VALUE"""),"Folia morphologica")</f>
        <v>Folia morphologica</v>
      </c>
      <c r="Q106" s="9" t="str">
        <f>IFERROR(__xludf.DUMMYFUNCTION("""COMPUTED_VALUE"""),"Review")</f>
        <v>Review</v>
      </c>
      <c r="R106" s="179" t="str">
        <f>IFERROR(__xludf.DUMMYFUNCTION("""COMPUTED_VALUE"""),"LH (00/00) [Pitkänen, 2000];
")</f>
        <v>LH (00/00) [Pitkänen, 2000];
</v>
      </c>
      <c r="S106" s="179" t="str">
        <f>IFERROR(__xludf.DUMMYFUNCTION("""COMPUTED_VALUE"""),"AHALH")</f>
        <v>AHALH</v>
      </c>
      <c r="T106" s="179" t="str">
        <f>IFERROR(__xludf.DUMMYFUNCTION("""COMPUTED_VALUE"""),"[Pitkänen, 2000]")</f>
        <v>[Pitkänen, 2000]</v>
      </c>
      <c r="U106" s="179">
        <f>IFERROR(__xludf.DUMMYFUNCTION("""COMPUTED_VALUE"""),0.0)</f>
        <v>0</v>
      </c>
      <c r="V106" s="180">
        <f>IFERROR(__xludf.DUMMYFUNCTION("""COMPUTED_VALUE"""),0.0)</f>
        <v>0</v>
      </c>
      <c r="W106" s="180">
        <f>IFERROR(__xludf.DUMMYFUNCTION("""COMPUTED_VALUE"""),0.95)</f>
        <v>0.95</v>
      </c>
      <c r="X106" s="42">
        <f>IFERROR(__xludf.DUMMYFUNCTION("""COMPUTED_VALUE"""),0.8)</f>
        <v>0.8</v>
      </c>
      <c r="Y106" s="42">
        <f>IFERROR(__xludf.DUMMYFUNCTION("""COMPUTED_VALUE"""),0.6)</f>
        <v>0.6</v>
      </c>
      <c r="Z106" s="9">
        <f>IFERROR(__xludf.DUMMYFUNCTION("""COMPUTED_VALUE"""),0.9)</f>
        <v>0.9</v>
      </c>
      <c r="AA106" s="181">
        <f>IFERROR(__xludf.DUMMYFUNCTION("""COMPUTED_VALUE"""),0.0)</f>
        <v>0</v>
      </c>
      <c r="AB106" s="181">
        <f>IFERROR(__xludf.DUMMYFUNCTION("""COMPUTED_VALUE"""),0.0)</f>
        <v>0</v>
      </c>
      <c r="AC106" s="179">
        <f>IFERROR(__xludf.DUMMYFUNCTION("""COMPUTED_VALUE"""),0.0)</f>
        <v>0</v>
      </c>
      <c r="AD106" s="165">
        <f>IFERROR(__xludf.DUMMYFUNCTION("""COMPUTED_VALUE"""),0.0)</f>
        <v>0</v>
      </c>
      <c r="AE106" s="39" t="str">
        <f>IFERROR(__xludf.DUMMYFUNCTION("""COMPUTED_VALUE"""),"Tatsuya Miyamoto")</f>
        <v>Tatsuya Miyamoto</v>
      </c>
      <c r="AF106" s="39" t="str">
        <f>IFERROR(__xludf.DUMMYFUNCTION("""COMPUTED_VALUE"""),"TM21Amygdala")</f>
        <v>TM21Amygdala</v>
      </c>
      <c r="AG106" s="39"/>
      <c r="AH106" s="39"/>
      <c r="AI106" s="165"/>
      <c r="AJ106" s="165"/>
      <c r="AK106" s="111"/>
      <c r="AL106" s="111"/>
      <c r="AM106" s="111"/>
      <c r="AN106" s="111"/>
      <c r="AO106" s="111"/>
      <c r="AP106" s="111"/>
      <c r="AQ106" s="116"/>
      <c r="AR106" s="116"/>
      <c r="AS106" s="116"/>
    </row>
    <row r="107">
      <c r="A107" s="42" t="str">
        <f>IFERROR(__xludf.DUMMYFUNCTION("""COMPUTED_VALUE"""),"AHA")</f>
        <v>AHA</v>
      </c>
      <c r="B107" s="42"/>
      <c r="C107" s="42"/>
      <c r="D107" s="42" t="str">
        <f>IFERROR(__xludf.DUMMYFUNCTION("""COMPUTED_VALUE"""),"PMN")</f>
        <v>PMN</v>
      </c>
      <c r="E107" s="42"/>
      <c r="F107" s="42"/>
      <c r="G107" s="42"/>
      <c r="H107" s="42" t="str">
        <f>IFERROR(__xludf.DUMMYFUNCTION("""COMPUTED_VALUE"""),"")</f>
        <v/>
      </c>
      <c r="I107" s="42" t="str">
        <f>IFERROR(__xludf.DUMMYFUNCTION("""COMPUTED_VALUE"""),"Pitkänen, 2000")</f>
        <v>Pitkänen, 2000</v>
      </c>
      <c r="J107" s="42" t="str">
        <f>IFERROR(__xludf.DUMMYFUNCTION("""COMPUTED_VALUE"""),"Rat")</f>
        <v>Rat</v>
      </c>
      <c r="K107" s="42" t="str">
        <f>IFERROR(__xludf.DUMMYFUNCTION("""COMPUTED_VALUE"""),"Various tracing")</f>
        <v>Various tracing</v>
      </c>
      <c r="L107" s="42"/>
      <c r="M107" s="42" t="str">
        <f>IFERROR(__xludf.DUMMYFUNCTION("""COMPUTED_VALUE"""),"fig.3-fig.12 (to be specified)")</f>
        <v>fig.3-fig.12 (to be specified)</v>
      </c>
      <c r="N107" s="38"/>
      <c r="O107" s="31" t="str">
        <f>IFERROR(__xludf.DUMMYFUNCTION("""COMPUTED_VALUE"""),"DOC(alt)")</f>
        <v>DOC(alt)</v>
      </c>
      <c r="P107" s="9" t="str">
        <f>IFERROR(__xludf.DUMMYFUNCTION("""COMPUTED_VALUE"""),"Folia morphologica")</f>
        <v>Folia morphologica</v>
      </c>
      <c r="Q107" s="9" t="str">
        <f>IFERROR(__xludf.DUMMYFUNCTION("""COMPUTED_VALUE"""),"Review")</f>
        <v>Review</v>
      </c>
      <c r="R107" s="179" t="str">
        <f>IFERROR(__xludf.DUMMYFUNCTION("""COMPUTED_VALUE"""),"PMN (00/00) [Pitkänen, 2000];
")</f>
        <v>PMN (00/00) [Pitkänen, 2000];
</v>
      </c>
      <c r="S107" s="179" t="str">
        <f>IFERROR(__xludf.DUMMYFUNCTION("""COMPUTED_VALUE"""),"AHAPMN")</f>
        <v>AHAPMN</v>
      </c>
      <c r="T107" s="179" t="str">
        <f>IFERROR(__xludf.DUMMYFUNCTION("""COMPUTED_VALUE"""),"[Pitkänen, 2000]")</f>
        <v>[Pitkänen, 2000]</v>
      </c>
      <c r="U107" s="179">
        <f>IFERROR(__xludf.DUMMYFUNCTION("""COMPUTED_VALUE"""),0.0)</f>
        <v>0</v>
      </c>
      <c r="V107" s="180">
        <f>IFERROR(__xludf.DUMMYFUNCTION("""COMPUTED_VALUE"""),0.0)</f>
        <v>0</v>
      </c>
      <c r="W107" s="180">
        <f>IFERROR(__xludf.DUMMYFUNCTION("""COMPUTED_VALUE"""),0.95)</f>
        <v>0.95</v>
      </c>
      <c r="X107" s="42">
        <f>IFERROR(__xludf.DUMMYFUNCTION("""COMPUTED_VALUE"""),0.8)</f>
        <v>0.8</v>
      </c>
      <c r="Y107" s="42">
        <f>IFERROR(__xludf.DUMMYFUNCTION("""COMPUTED_VALUE"""),0.6)</f>
        <v>0.6</v>
      </c>
      <c r="Z107" s="9">
        <f>IFERROR(__xludf.DUMMYFUNCTION("""COMPUTED_VALUE"""),0.9)</f>
        <v>0.9</v>
      </c>
      <c r="AA107" s="181">
        <f>IFERROR(__xludf.DUMMYFUNCTION("""COMPUTED_VALUE"""),0.0)</f>
        <v>0</v>
      </c>
      <c r="AB107" s="181">
        <f>IFERROR(__xludf.DUMMYFUNCTION("""COMPUTED_VALUE"""),0.0)</f>
        <v>0</v>
      </c>
      <c r="AC107" s="179">
        <f>IFERROR(__xludf.DUMMYFUNCTION("""COMPUTED_VALUE"""),0.0)</f>
        <v>0</v>
      </c>
      <c r="AD107" s="165">
        <f>IFERROR(__xludf.DUMMYFUNCTION("""COMPUTED_VALUE"""),0.0)</f>
        <v>0</v>
      </c>
      <c r="AE107" s="39" t="str">
        <f>IFERROR(__xludf.DUMMYFUNCTION("""COMPUTED_VALUE"""),"Tatsuya Miyamoto")</f>
        <v>Tatsuya Miyamoto</v>
      </c>
      <c r="AF107" s="39" t="str">
        <f>IFERROR(__xludf.DUMMYFUNCTION("""COMPUTED_VALUE"""),"TM21Amygdala")</f>
        <v>TM21Amygdala</v>
      </c>
      <c r="AG107" s="39"/>
      <c r="AH107" s="39"/>
      <c r="AI107" s="165"/>
      <c r="AJ107" s="165"/>
      <c r="AK107" s="111"/>
      <c r="AL107" s="111"/>
      <c r="AM107" s="111"/>
      <c r="AN107" s="111"/>
      <c r="AO107" s="111"/>
      <c r="AP107" s="111"/>
      <c r="AQ107" s="116"/>
      <c r="AR107" s="116"/>
      <c r="AS107" s="116"/>
    </row>
    <row r="108">
      <c r="A108" s="42" t="str">
        <f>IFERROR(__xludf.DUMMYFUNCTION("""COMPUTED_VALUE"""),"AHA")</f>
        <v>AHA</v>
      </c>
      <c r="B108" s="42"/>
      <c r="C108" s="42"/>
      <c r="D108" s="42" t="str">
        <f>IFERROR(__xludf.DUMMYFUNCTION("""COMPUTED_VALUE"""),"S")</f>
        <v>S</v>
      </c>
      <c r="E108" s="42"/>
      <c r="F108" s="42"/>
      <c r="G108" s="42"/>
      <c r="H108" s="42" t="str">
        <f>IFERROR(__xludf.DUMMYFUNCTION("""COMPUTED_VALUE"""),"")</f>
        <v/>
      </c>
      <c r="I108" s="42" t="str">
        <f>IFERROR(__xludf.DUMMYFUNCTION("""COMPUTED_VALUE"""),"Pitkänen, 2000")</f>
        <v>Pitkänen, 2000</v>
      </c>
      <c r="J108" s="42" t="str">
        <f>IFERROR(__xludf.DUMMYFUNCTION("""COMPUTED_VALUE"""),"Rat")</f>
        <v>Rat</v>
      </c>
      <c r="K108" s="42" t="str">
        <f>IFERROR(__xludf.DUMMYFUNCTION("""COMPUTED_VALUE"""),"Various tracing")</f>
        <v>Various tracing</v>
      </c>
      <c r="L108" s="42"/>
      <c r="M108" s="42" t="str">
        <f>IFERROR(__xludf.DUMMYFUNCTION("""COMPUTED_VALUE"""),"fig.3-fig.12 (to be specified)")</f>
        <v>fig.3-fig.12 (to be specified)</v>
      </c>
      <c r="N108" s="38"/>
      <c r="O108" s="31" t="str">
        <f>IFERROR(__xludf.DUMMYFUNCTION("""COMPUTED_VALUE"""),"DOC(alt)")</f>
        <v>DOC(alt)</v>
      </c>
      <c r="P108" s="9" t="str">
        <f>IFERROR(__xludf.DUMMYFUNCTION("""COMPUTED_VALUE"""),"Folia morphologica")</f>
        <v>Folia morphologica</v>
      </c>
      <c r="Q108" s="9" t="str">
        <f>IFERROR(__xludf.DUMMYFUNCTION("""COMPUTED_VALUE"""),"Review")</f>
        <v>Review</v>
      </c>
      <c r="R108" s="179" t="str">
        <f>IFERROR(__xludf.DUMMYFUNCTION("""COMPUTED_VALUE"""),"S (00/00) [Pitkänen, 2000];
")</f>
        <v>S (00/00) [Pitkänen, 2000];
</v>
      </c>
      <c r="S108" s="179" t="str">
        <f>IFERROR(__xludf.DUMMYFUNCTION("""COMPUTED_VALUE"""),"AHAS")</f>
        <v>AHAS</v>
      </c>
      <c r="T108" s="179" t="str">
        <f>IFERROR(__xludf.DUMMYFUNCTION("""COMPUTED_VALUE"""),"[Pitkänen, 2000]")</f>
        <v>[Pitkänen, 2000]</v>
      </c>
      <c r="U108" s="179">
        <f>IFERROR(__xludf.DUMMYFUNCTION("""COMPUTED_VALUE"""),0.0)</f>
        <v>0</v>
      </c>
      <c r="V108" s="180">
        <f>IFERROR(__xludf.DUMMYFUNCTION("""COMPUTED_VALUE"""),0.0)</f>
        <v>0</v>
      </c>
      <c r="W108" s="180">
        <f>IFERROR(__xludf.DUMMYFUNCTION("""COMPUTED_VALUE"""),0.95)</f>
        <v>0.95</v>
      </c>
      <c r="X108" s="42">
        <f>IFERROR(__xludf.DUMMYFUNCTION("""COMPUTED_VALUE"""),0.8)</f>
        <v>0.8</v>
      </c>
      <c r="Y108" s="42">
        <f>IFERROR(__xludf.DUMMYFUNCTION("""COMPUTED_VALUE"""),0.6)</f>
        <v>0.6</v>
      </c>
      <c r="Z108" s="9">
        <f>IFERROR(__xludf.DUMMYFUNCTION("""COMPUTED_VALUE"""),0.9)</f>
        <v>0.9</v>
      </c>
      <c r="AA108" s="181">
        <f>IFERROR(__xludf.DUMMYFUNCTION("""COMPUTED_VALUE"""),0.0)</f>
        <v>0</v>
      </c>
      <c r="AB108" s="181">
        <f>IFERROR(__xludf.DUMMYFUNCTION("""COMPUTED_VALUE"""),0.0)</f>
        <v>0</v>
      </c>
      <c r="AC108" s="179">
        <f>IFERROR(__xludf.DUMMYFUNCTION("""COMPUTED_VALUE"""),0.0)</f>
        <v>0</v>
      </c>
      <c r="AD108" s="165">
        <f>IFERROR(__xludf.DUMMYFUNCTION("""COMPUTED_VALUE"""),0.0)</f>
        <v>0</v>
      </c>
      <c r="AE108" s="39" t="str">
        <f>IFERROR(__xludf.DUMMYFUNCTION("""COMPUTED_VALUE"""),"Tatsuya Miyamoto")</f>
        <v>Tatsuya Miyamoto</v>
      </c>
      <c r="AF108" s="39" t="str">
        <f>IFERROR(__xludf.DUMMYFUNCTION("""COMPUTED_VALUE"""),"TM21Amygdala")</f>
        <v>TM21Amygdala</v>
      </c>
      <c r="AG108" s="39"/>
      <c r="AH108" s="39"/>
      <c r="AI108" s="165"/>
      <c r="AJ108" s="165"/>
      <c r="AK108" s="111"/>
      <c r="AL108" s="111"/>
      <c r="AM108" s="111"/>
      <c r="AN108" s="111"/>
      <c r="AO108" s="111"/>
      <c r="AP108" s="111"/>
      <c r="AQ108" s="116"/>
      <c r="AR108" s="116"/>
      <c r="AS108" s="116"/>
    </row>
    <row r="109">
      <c r="A109" s="42" t="str">
        <f>IFERROR(__xludf.DUMMYFUNCTION("""COMPUTED_VALUE"""),"AId")</f>
        <v>AId</v>
      </c>
      <c r="B109" s="42"/>
      <c r="C109" s="42"/>
      <c r="D109" s="42" t="str">
        <f>IFERROR(__xludf.DUMMYFUNCTION("""COMPUTED_VALUE"""),"CoP")</f>
        <v>CoP</v>
      </c>
      <c r="E109" s="42"/>
      <c r="F109" s="42"/>
      <c r="G109" s="42"/>
      <c r="H109" s="42" t="str">
        <f>IFERROR(__xludf.DUMMYFUNCTION("""COMPUTED_VALUE"""),"")</f>
        <v/>
      </c>
      <c r="I109" s="42" t="str">
        <f>IFERROR(__xludf.DUMMYFUNCTION("""COMPUTED_VALUE"""),"Pitkänen, 2000")</f>
        <v>Pitkänen, 2000</v>
      </c>
      <c r="J109" s="42" t="str">
        <f>IFERROR(__xludf.DUMMYFUNCTION("""COMPUTED_VALUE"""),"Rat")</f>
        <v>Rat</v>
      </c>
      <c r="K109" s="42" t="str">
        <f>IFERROR(__xludf.DUMMYFUNCTION("""COMPUTED_VALUE"""),"Various tracing")</f>
        <v>Various tracing</v>
      </c>
      <c r="L109" s="42"/>
      <c r="M109" s="42" t="str">
        <f>IFERROR(__xludf.DUMMYFUNCTION("""COMPUTED_VALUE"""),"fig.3-fig.12 (to be specified)")</f>
        <v>fig.3-fig.12 (to be specified)</v>
      </c>
      <c r="N109" s="38"/>
      <c r="O109" s="31" t="str">
        <f>IFERROR(__xludf.DUMMYFUNCTION("""COMPUTED_VALUE"""),"DOC(alt)")</f>
        <v>DOC(alt)</v>
      </c>
      <c r="P109" s="9" t="str">
        <f>IFERROR(__xludf.DUMMYFUNCTION("""COMPUTED_VALUE"""),"Folia morphologica")</f>
        <v>Folia morphologica</v>
      </c>
      <c r="Q109" s="9" t="str">
        <f>IFERROR(__xludf.DUMMYFUNCTION("""COMPUTED_VALUE"""),"Review")</f>
        <v>Review</v>
      </c>
      <c r="R109" s="179" t="str">
        <f>IFERROR(__xludf.DUMMYFUNCTION("""COMPUTED_VALUE"""),"CoP (00/00) [Pitkänen, 2000];
")</f>
        <v>CoP (00/00) [Pitkänen, 2000];
</v>
      </c>
      <c r="S109" s="179" t="str">
        <f>IFERROR(__xludf.DUMMYFUNCTION("""COMPUTED_VALUE"""),"AIdCoP")</f>
        <v>AIdCoP</v>
      </c>
      <c r="T109" s="179" t="str">
        <f>IFERROR(__xludf.DUMMYFUNCTION("""COMPUTED_VALUE"""),"[Pitkänen, 2000]")</f>
        <v>[Pitkänen, 2000]</v>
      </c>
      <c r="U109" s="179">
        <f>IFERROR(__xludf.DUMMYFUNCTION("""COMPUTED_VALUE"""),0.0)</f>
        <v>0</v>
      </c>
      <c r="V109" s="180">
        <f>IFERROR(__xludf.DUMMYFUNCTION("""COMPUTED_VALUE"""),0.0)</f>
        <v>0</v>
      </c>
      <c r="W109" s="180">
        <f>IFERROR(__xludf.DUMMYFUNCTION("""COMPUTED_VALUE"""),0.95)</f>
        <v>0.95</v>
      </c>
      <c r="X109" s="42">
        <f>IFERROR(__xludf.DUMMYFUNCTION("""COMPUTED_VALUE"""),0.8)</f>
        <v>0.8</v>
      </c>
      <c r="Y109" s="42">
        <f>IFERROR(__xludf.DUMMYFUNCTION("""COMPUTED_VALUE"""),0.6)</f>
        <v>0.6</v>
      </c>
      <c r="Z109" s="9">
        <f>IFERROR(__xludf.DUMMYFUNCTION("""COMPUTED_VALUE"""),0.9)</f>
        <v>0.9</v>
      </c>
      <c r="AA109" s="181">
        <f>IFERROR(__xludf.DUMMYFUNCTION("""COMPUTED_VALUE"""),0.0)</f>
        <v>0</v>
      </c>
      <c r="AB109" s="181">
        <f>IFERROR(__xludf.DUMMYFUNCTION("""COMPUTED_VALUE"""),0.0)</f>
        <v>0</v>
      </c>
      <c r="AC109" s="179">
        <f>IFERROR(__xludf.DUMMYFUNCTION("""COMPUTED_VALUE"""),0.0)</f>
        <v>0</v>
      </c>
      <c r="AD109" s="165">
        <f>IFERROR(__xludf.DUMMYFUNCTION("""COMPUTED_VALUE"""),0.0)</f>
        <v>0</v>
      </c>
      <c r="AE109" s="39" t="str">
        <f>IFERROR(__xludf.DUMMYFUNCTION("""COMPUTED_VALUE"""),"Tatsuya Miyamoto")</f>
        <v>Tatsuya Miyamoto</v>
      </c>
      <c r="AF109" s="39" t="str">
        <f>IFERROR(__xludf.DUMMYFUNCTION("""COMPUTED_VALUE"""),"TM21Amygdala")</f>
        <v>TM21Amygdala</v>
      </c>
      <c r="AG109" s="39"/>
      <c r="AH109" s="39"/>
      <c r="AI109" s="165"/>
      <c r="AJ109" s="165"/>
      <c r="AK109" s="111"/>
      <c r="AL109" s="111"/>
      <c r="AM109" s="111"/>
      <c r="AN109" s="111"/>
      <c r="AO109" s="111"/>
      <c r="AP109" s="111"/>
      <c r="AQ109" s="116"/>
      <c r="AR109" s="116"/>
      <c r="AS109" s="116"/>
    </row>
    <row r="110">
      <c r="A110" s="42" t="str">
        <f>IFERROR(__xludf.DUMMYFUNCTION("""COMPUTED_VALUE"""),"AIp")</f>
        <v>AIp</v>
      </c>
      <c r="B110" s="42"/>
      <c r="C110" s="42"/>
      <c r="D110" s="42" t="str">
        <f>IFERROR(__xludf.DUMMYFUNCTION("""COMPUTED_VALUE"""),"BL")</f>
        <v>BL</v>
      </c>
      <c r="E110" s="42"/>
      <c r="F110" s="42"/>
      <c r="G110" s="42"/>
      <c r="H110" s="42" t="str">
        <f>IFERROR(__xludf.DUMMYFUNCTION("""COMPUTED_VALUE"""),"")</f>
        <v/>
      </c>
      <c r="I110" s="42" t="str">
        <f>IFERROR(__xludf.DUMMYFUNCTION("""COMPUTED_VALUE"""),"Pitkänen, 2000")</f>
        <v>Pitkänen, 2000</v>
      </c>
      <c r="J110" s="42" t="str">
        <f>IFERROR(__xludf.DUMMYFUNCTION("""COMPUTED_VALUE"""),"Rat")</f>
        <v>Rat</v>
      </c>
      <c r="K110" s="42" t="str">
        <f>IFERROR(__xludf.DUMMYFUNCTION("""COMPUTED_VALUE"""),"Various tracing")</f>
        <v>Various tracing</v>
      </c>
      <c r="L110" s="42"/>
      <c r="M110" s="42" t="str">
        <f>IFERROR(__xludf.DUMMYFUNCTION("""COMPUTED_VALUE"""),"fig.3-fig.12 (to be specified)")</f>
        <v>fig.3-fig.12 (to be specified)</v>
      </c>
      <c r="N110" s="38"/>
      <c r="O110" s="31" t="str">
        <f>IFERROR(__xludf.DUMMYFUNCTION("""COMPUTED_VALUE"""),"DOC(alt)")</f>
        <v>DOC(alt)</v>
      </c>
      <c r="P110" s="9" t="str">
        <f>IFERROR(__xludf.DUMMYFUNCTION("""COMPUTED_VALUE"""),"Folia morphologica")</f>
        <v>Folia morphologica</v>
      </c>
      <c r="Q110" s="9" t="str">
        <f>IFERROR(__xludf.DUMMYFUNCTION("""COMPUTED_VALUE"""),"Review")</f>
        <v>Review</v>
      </c>
      <c r="R110" s="179" t="str">
        <f>IFERROR(__xludf.DUMMYFUNCTION("""COMPUTED_VALUE"""),"BL (00/00) [Pitkänen, 2000];
")</f>
        <v>BL (00/00) [Pitkänen, 2000];
</v>
      </c>
      <c r="S110" s="179" t="str">
        <f>IFERROR(__xludf.DUMMYFUNCTION("""COMPUTED_VALUE"""),"AIpBL")</f>
        <v>AIpBL</v>
      </c>
      <c r="T110" s="179" t="str">
        <f>IFERROR(__xludf.DUMMYFUNCTION("""COMPUTED_VALUE"""),"[Pitkänen, 2000]")</f>
        <v>[Pitkänen, 2000]</v>
      </c>
      <c r="U110" s="179">
        <f>IFERROR(__xludf.DUMMYFUNCTION("""COMPUTED_VALUE"""),0.0)</f>
        <v>0</v>
      </c>
      <c r="V110" s="180">
        <f>IFERROR(__xludf.DUMMYFUNCTION("""COMPUTED_VALUE"""),0.0)</f>
        <v>0</v>
      </c>
      <c r="W110" s="180">
        <f>IFERROR(__xludf.DUMMYFUNCTION("""COMPUTED_VALUE"""),0.95)</f>
        <v>0.95</v>
      </c>
      <c r="X110" s="42">
        <f>IFERROR(__xludf.DUMMYFUNCTION("""COMPUTED_VALUE"""),0.8)</f>
        <v>0.8</v>
      </c>
      <c r="Y110" s="42">
        <f>IFERROR(__xludf.DUMMYFUNCTION("""COMPUTED_VALUE"""),0.6)</f>
        <v>0.6</v>
      </c>
      <c r="Z110" s="9">
        <f>IFERROR(__xludf.DUMMYFUNCTION("""COMPUTED_VALUE"""),0.9)</f>
        <v>0.9</v>
      </c>
      <c r="AA110" s="181">
        <f>IFERROR(__xludf.DUMMYFUNCTION("""COMPUTED_VALUE"""),0.0)</f>
        <v>0</v>
      </c>
      <c r="AB110" s="181">
        <f>IFERROR(__xludf.DUMMYFUNCTION("""COMPUTED_VALUE"""),0.0)</f>
        <v>0</v>
      </c>
      <c r="AC110" s="179">
        <f>IFERROR(__xludf.DUMMYFUNCTION("""COMPUTED_VALUE"""),0.0)</f>
        <v>0</v>
      </c>
      <c r="AD110" s="165">
        <f>IFERROR(__xludf.DUMMYFUNCTION("""COMPUTED_VALUE"""),0.0)</f>
        <v>0</v>
      </c>
      <c r="AE110" s="39" t="str">
        <f>IFERROR(__xludf.DUMMYFUNCTION("""COMPUTED_VALUE"""),"Tatsuya Miyamoto")</f>
        <v>Tatsuya Miyamoto</v>
      </c>
      <c r="AF110" s="39" t="str">
        <f>IFERROR(__xludf.DUMMYFUNCTION("""COMPUTED_VALUE"""),"TM21Amygdala")</f>
        <v>TM21Amygdala</v>
      </c>
      <c r="AG110" s="39"/>
      <c r="AH110" s="39"/>
      <c r="AI110" s="165"/>
      <c r="AJ110" s="165"/>
      <c r="AK110" s="111"/>
      <c r="AL110" s="111"/>
      <c r="AM110" s="111"/>
      <c r="AN110" s="111"/>
      <c r="AO110" s="111"/>
      <c r="AP110" s="111"/>
      <c r="AQ110" s="116"/>
      <c r="AR110" s="116"/>
      <c r="AS110" s="116"/>
    </row>
    <row r="111">
      <c r="A111" s="42" t="str">
        <f>IFERROR(__xludf.DUMMYFUNCTION("""COMPUTED_VALUE"""),"AIp")</f>
        <v>AIp</v>
      </c>
      <c r="B111" s="42"/>
      <c r="C111" s="42"/>
      <c r="D111" s="42" t="str">
        <f>IFERROR(__xludf.DUMMYFUNCTION("""COMPUTED_VALUE"""),"La")</f>
        <v>La</v>
      </c>
      <c r="E111" s="42"/>
      <c r="F111" s="42"/>
      <c r="G111" s="42"/>
      <c r="H111" s="42" t="str">
        <f>IFERROR(__xludf.DUMMYFUNCTION("""COMPUTED_VALUE"""),"")</f>
        <v/>
      </c>
      <c r="I111" s="42" t="str">
        <f>IFERROR(__xludf.DUMMYFUNCTION("""COMPUTED_VALUE"""),"Pitkänen, 2000")</f>
        <v>Pitkänen, 2000</v>
      </c>
      <c r="J111" s="42" t="str">
        <f>IFERROR(__xludf.DUMMYFUNCTION("""COMPUTED_VALUE"""),"Rat")</f>
        <v>Rat</v>
      </c>
      <c r="K111" s="42" t="str">
        <f>IFERROR(__xludf.DUMMYFUNCTION("""COMPUTED_VALUE"""),"Various tracing")</f>
        <v>Various tracing</v>
      </c>
      <c r="L111" s="42"/>
      <c r="M111" s="42" t="str">
        <f>IFERROR(__xludf.DUMMYFUNCTION("""COMPUTED_VALUE"""),"fig.3-fig.12 (to be specified)")</f>
        <v>fig.3-fig.12 (to be specified)</v>
      </c>
      <c r="N111" s="38"/>
      <c r="O111" s="31" t="str">
        <f>IFERROR(__xludf.DUMMYFUNCTION("""COMPUTED_VALUE"""),"DOC(alt)")</f>
        <v>DOC(alt)</v>
      </c>
      <c r="P111" s="9" t="str">
        <f>IFERROR(__xludf.DUMMYFUNCTION("""COMPUTED_VALUE"""),"Folia morphologica")</f>
        <v>Folia morphologica</v>
      </c>
      <c r="Q111" s="9" t="str">
        <f>IFERROR(__xludf.DUMMYFUNCTION("""COMPUTED_VALUE"""),"Review")</f>
        <v>Review</v>
      </c>
      <c r="R111" s="179" t="str">
        <f>IFERROR(__xludf.DUMMYFUNCTION("""COMPUTED_VALUE"""),"La (00/00) [Pitkänen, 2000];
")</f>
        <v>La (00/00) [Pitkänen, 2000];
</v>
      </c>
      <c r="S111" s="179" t="str">
        <f>IFERROR(__xludf.DUMMYFUNCTION("""COMPUTED_VALUE"""),"AIpLa")</f>
        <v>AIpLa</v>
      </c>
      <c r="T111" s="179" t="str">
        <f>IFERROR(__xludf.DUMMYFUNCTION("""COMPUTED_VALUE"""),"[Pitkänen, 2000]")</f>
        <v>[Pitkänen, 2000]</v>
      </c>
      <c r="U111" s="179">
        <f>IFERROR(__xludf.DUMMYFUNCTION("""COMPUTED_VALUE"""),0.0)</f>
        <v>0</v>
      </c>
      <c r="V111" s="180">
        <f>IFERROR(__xludf.DUMMYFUNCTION("""COMPUTED_VALUE"""),0.0)</f>
        <v>0</v>
      </c>
      <c r="W111" s="180">
        <f>IFERROR(__xludf.DUMMYFUNCTION("""COMPUTED_VALUE"""),0.95)</f>
        <v>0.95</v>
      </c>
      <c r="X111" s="42">
        <f>IFERROR(__xludf.DUMMYFUNCTION("""COMPUTED_VALUE"""),0.8)</f>
        <v>0.8</v>
      </c>
      <c r="Y111" s="42">
        <f>IFERROR(__xludf.DUMMYFUNCTION("""COMPUTED_VALUE"""),0.6)</f>
        <v>0.6</v>
      </c>
      <c r="Z111" s="9">
        <f>IFERROR(__xludf.DUMMYFUNCTION("""COMPUTED_VALUE"""),0.9)</f>
        <v>0.9</v>
      </c>
      <c r="AA111" s="181">
        <f>IFERROR(__xludf.DUMMYFUNCTION("""COMPUTED_VALUE"""),0.0)</f>
        <v>0</v>
      </c>
      <c r="AB111" s="181">
        <f>IFERROR(__xludf.DUMMYFUNCTION("""COMPUTED_VALUE"""),0.0)</f>
        <v>0</v>
      </c>
      <c r="AC111" s="179">
        <f>IFERROR(__xludf.DUMMYFUNCTION("""COMPUTED_VALUE"""),0.0)</f>
        <v>0</v>
      </c>
      <c r="AD111" s="165">
        <f>IFERROR(__xludf.DUMMYFUNCTION("""COMPUTED_VALUE"""),0.0)</f>
        <v>0</v>
      </c>
      <c r="AE111" s="39" t="str">
        <f>IFERROR(__xludf.DUMMYFUNCTION("""COMPUTED_VALUE"""),"Tatsuya Miyamoto")</f>
        <v>Tatsuya Miyamoto</v>
      </c>
      <c r="AF111" s="39" t="str">
        <f>IFERROR(__xludf.DUMMYFUNCTION("""COMPUTED_VALUE"""),"TM21Amygdala")</f>
        <v>TM21Amygdala</v>
      </c>
      <c r="AG111" s="39"/>
      <c r="AH111" s="39"/>
      <c r="AI111" s="165"/>
      <c r="AJ111" s="165"/>
      <c r="AK111" s="111"/>
      <c r="AL111" s="111"/>
      <c r="AM111" s="111"/>
      <c r="AN111" s="111"/>
      <c r="AO111" s="111"/>
      <c r="AP111" s="111"/>
      <c r="AQ111" s="116"/>
      <c r="AR111" s="116"/>
      <c r="AS111" s="116"/>
    </row>
    <row r="112">
      <c r="A112" s="42" t="str">
        <f>IFERROR(__xludf.DUMMYFUNCTION("""COMPUTED_VALUE"""),"AIv")</f>
        <v>AIv</v>
      </c>
      <c r="B112" s="42"/>
      <c r="C112" s="42"/>
      <c r="D112" s="42" t="str">
        <f>IFERROR(__xludf.DUMMYFUNCTION("""COMPUTED_VALUE"""),"CoP")</f>
        <v>CoP</v>
      </c>
      <c r="E112" s="42"/>
      <c r="F112" s="42"/>
      <c r="G112" s="42"/>
      <c r="H112" s="42" t="str">
        <f>IFERROR(__xludf.DUMMYFUNCTION("""COMPUTED_VALUE"""),"")</f>
        <v/>
      </c>
      <c r="I112" s="42" t="str">
        <f>IFERROR(__xludf.DUMMYFUNCTION("""COMPUTED_VALUE"""),"Pitkänen, 2000")</f>
        <v>Pitkänen, 2000</v>
      </c>
      <c r="J112" s="42" t="str">
        <f>IFERROR(__xludf.DUMMYFUNCTION("""COMPUTED_VALUE"""),"Rat")</f>
        <v>Rat</v>
      </c>
      <c r="K112" s="42" t="str">
        <f>IFERROR(__xludf.DUMMYFUNCTION("""COMPUTED_VALUE"""),"Various tracing")</f>
        <v>Various tracing</v>
      </c>
      <c r="L112" s="42"/>
      <c r="M112" s="42" t="str">
        <f>IFERROR(__xludf.DUMMYFUNCTION("""COMPUTED_VALUE"""),"fig.3-fig.12 (to be specified)")</f>
        <v>fig.3-fig.12 (to be specified)</v>
      </c>
      <c r="N112" s="38"/>
      <c r="O112" s="31" t="str">
        <f>IFERROR(__xludf.DUMMYFUNCTION("""COMPUTED_VALUE"""),"DOC(alt)")</f>
        <v>DOC(alt)</v>
      </c>
      <c r="P112" s="9" t="str">
        <f>IFERROR(__xludf.DUMMYFUNCTION("""COMPUTED_VALUE"""),"Folia morphologica")</f>
        <v>Folia morphologica</v>
      </c>
      <c r="Q112" s="9" t="str">
        <f>IFERROR(__xludf.DUMMYFUNCTION("""COMPUTED_VALUE"""),"Review")</f>
        <v>Review</v>
      </c>
      <c r="R112" s="179" t="str">
        <f>IFERROR(__xludf.DUMMYFUNCTION("""COMPUTED_VALUE"""),"CoP (00/00) [Pitkänen, 2000];
")</f>
        <v>CoP (00/00) [Pitkänen, 2000];
</v>
      </c>
      <c r="S112" s="179" t="str">
        <f>IFERROR(__xludf.DUMMYFUNCTION("""COMPUTED_VALUE"""),"AIvCoP")</f>
        <v>AIvCoP</v>
      </c>
      <c r="T112" s="179" t="str">
        <f>IFERROR(__xludf.DUMMYFUNCTION("""COMPUTED_VALUE"""),"[Pitkänen, 2000]")</f>
        <v>[Pitkänen, 2000]</v>
      </c>
      <c r="U112" s="179">
        <f>IFERROR(__xludf.DUMMYFUNCTION("""COMPUTED_VALUE"""),0.0)</f>
        <v>0</v>
      </c>
      <c r="V112" s="180">
        <f>IFERROR(__xludf.DUMMYFUNCTION("""COMPUTED_VALUE"""),0.0)</f>
        <v>0</v>
      </c>
      <c r="W112" s="180">
        <f>IFERROR(__xludf.DUMMYFUNCTION("""COMPUTED_VALUE"""),0.95)</f>
        <v>0.95</v>
      </c>
      <c r="X112" s="42">
        <f>IFERROR(__xludf.DUMMYFUNCTION("""COMPUTED_VALUE"""),0.8)</f>
        <v>0.8</v>
      </c>
      <c r="Y112" s="42">
        <f>IFERROR(__xludf.DUMMYFUNCTION("""COMPUTED_VALUE"""),0.6)</f>
        <v>0.6</v>
      </c>
      <c r="Z112" s="9">
        <f>IFERROR(__xludf.DUMMYFUNCTION("""COMPUTED_VALUE"""),0.9)</f>
        <v>0.9</v>
      </c>
      <c r="AA112" s="181">
        <f>IFERROR(__xludf.DUMMYFUNCTION("""COMPUTED_VALUE"""),0.0)</f>
        <v>0</v>
      </c>
      <c r="AB112" s="181">
        <f>IFERROR(__xludf.DUMMYFUNCTION("""COMPUTED_VALUE"""),0.0)</f>
        <v>0</v>
      </c>
      <c r="AC112" s="179">
        <f>IFERROR(__xludf.DUMMYFUNCTION("""COMPUTED_VALUE"""),0.0)</f>
        <v>0</v>
      </c>
      <c r="AD112" s="165">
        <f>IFERROR(__xludf.DUMMYFUNCTION("""COMPUTED_VALUE"""),0.0)</f>
        <v>0</v>
      </c>
      <c r="AE112" s="39" t="str">
        <f>IFERROR(__xludf.DUMMYFUNCTION("""COMPUTED_VALUE"""),"Tatsuya Miyamoto")</f>
        <v>Tatsuya Miyamoto</v>
      </c>
      <c r="AF112" s="39" t="str">
        <f>IFERROR(__xludf.DUMMYFUNCTION("""COMPUTED_VALUE"""),"TM21Amygdala")</f>
        <v>TM21Amygdala</v>
      </c>
      <c r="AG112" s="39"/>
      <c r="AH112" s="39"/>
      <c r="AI112" s="165"/>
      <c r="AJ112" s="165"/>
      <c r="AK112" s="111"/>
      <c r="AL112" s="111"/>
      <c r="AM112" s="111"/>
      <c r="AN112" s="111"/>
      <c r="AO112" s="111"/>
      <c r="AP112" s="111"/>
      <c r="AQ112" s="116"/>
      <c r="AR112" s="116"/>
      <c r="AS112" s="116"/>
    </row>
    <row r="113">
      <c r="A113" s="42" t="str">
        <f>IFERROR(__xludf.DUMMYFUNCTION("""COMPUTED_VALUE"""),"AIv")</f>
        <v>AIv</v>
      </c>
      <c r="B113" s="42"/>
      <c r="C113" s="42"/>
      <c r="D113" s="42" t="str">
        <f>IFERROR(__xludf.DUMMYFUNCTION("""COMPUTED_VALUE"""),"La")</f>
        <v>La</v>
      </c>
      <c r="E113" s="42"/>
      <c r="F113" s="42"/>
      <c r="G113" s="42"/>
      <c r="H113" s="42" t="str">
        <f>IFERROR(__xludf.DUMMYFUNCTION("""COMPUTED_VALUE"""),"")</f>
        <v/>
      </c>
      <c r="I113" s="42" t="str">
        <f>IFERROR(__xludf.DUMMYFUNCTION("""COMPUTED_VALUE"""),"Pitkänen, 2000")</f>
        <v>Pitkänen, 2000</v>
      </c>
      <c r="J113" s="42" t="str">
        <f>IFERROR(__xludf.DUMMYFUNCTION("""COMPUTED_VALUE"""),"Rat")</f>
        <v>Rat</v>
      </c>
      <c r="K113" s="42" t="str">
        <f>IFERROR(__xludf.DUMMYFUNCTION("""COMPUTED_VALUE"""),"Various tracing")</f>
        <v>Various tracing</v>
      </c>
      <c r="L113" s="42"/>
      <c r="M113" s="42" t="str">
        <f>IFERROR(__xludf.DUMMYFUNCTION("""COMPUTED_VALUE"""),"fig.3-fig.12 (to be specified)")</f>
        <v>fig.3-fig.12 (to be specified)</v>
      </c>
      <c r="N113" s="42"/>
      <c r="O113" s="31" t="str">
        <f>IFERROR(__xludf.DUMMYFUNCTION("""COMPUTED_VALUE"""),"DOC(alt)")</f>
        <v>DOC(alt)</v>
      </c>
      <c r="P113" s="9" t="str">
        <f>IFERROR(__xludf.DUMMYFUNCTION("""COMPUTED_VALUE"""),"Folia morphologica")</f>
        <v>Folia morphologica</v>
      </c>
      <c r="Q113" s="9" t="str">
        <f>IFERROR(__xludf.DUMMYFUNCTION("""COMPUTED_VALUE"""),"Review")</f>
        <v>Review</v>
      </c>
      <c r="R113" s="179" t="str">
        <f>IFERROR(__xludf.DUMMYFUNCTION("""COMPUTED_VALUE"""),"La (00/00) [Pitkänen, 2000];
")</f>
        <v>La (00/00) [Pitkänen, 2000];
</v>
      </c>
      <c r="S113" s="179" t="str">
        <f>IFERROR(__xludf.DUMMYFUNCTION("""COMPUTED_VALUE"""),"AIvLa")</f>
        <v>AIvLa</v>
      </c>
      <c r="T113" s="179" t="str">
        <f>IFERROR(__xludf.DUMMYFUNCTION("""COMPUTED_VALUE"""),"[Pitkänen, 2000]")</f>
        <v>[Pitkänen, 2000]</v>
      </c>
      <c r="U113" s="179">
        <f>IFERROR(__xludf.DUMMYFUNCTION("""COMPUTED_VALUE"""),0.0)</f>
        <v>0</v>
      </c>
      <c r="V113" s="180">
        <f>IFERROR(__xludf.DUMMYFUNCTION("""COMPUTED_VALUE"""),0.0)</f>
        <v>0</v>
      </c>
      <c r="W113" s="180">
        <f>IFERROR(__xludf.DUMMYFUNCTION("""COMPUTED_VALUE"""),0.95)</f>
        <v>0.95</v>
      </c>
      <c r="X113" s="42">
        <f>IFERROR(__xludf.DUMMYFUNCTION("""COMPUTED_VALUE"""),0.8)</f>
        <v>0.8</v>
      </c>
      <c r="Y113" s="42">
        <f>IFERROR(__xludf.DUMMYFUNCTION("""COMPUTED_VALUE"""),0.6)</f>
        <v>0.6</v>
      </c>
      <c r="Z113" s="9">
        <f>IFERROR(__xludf.DUMMYFUNCTION("""COMPUTED_VALUE"""),0.9)</f>
        <v>0.9</v>
      </c>
      <c r="AA113" s="181">
        <f>IFERROR(__xludf.DUMMYFUNCTION("""COMPUTED_VALUE"""),0.0)</f>
        <v>0</v>
      </c>
      <c r="AB113" s="181">
        <f>IFERROR(__xludf.DUMMYFUNCTION("""COMPUTED_VALUE"""),0.0)</f>
        <v>0</v>
      </c>
      <c r="AC113" s="179">
        <f>IFERROR(__xludf.DUMMYFUNCTION("""COMPUTED_VALUE"""),0.0)</f>
        <v>0</v>
      </c>
      <c r="AD113" s="165">
        <f>IFERROR(__xludf.DUMMYFUNCTION("""COMPUTED_VALUE"""),0.0)</f>
        <v>0</v>
      </c>
      <c r="AE113" s="39" t="str">
        <f>IFERROR(__xludf.DUMMYFUNCTION("""COMPUTED_VALUE"""),"Tatsuya Miyamoto")</f>
        <v>Tatsuya Miyamoto</v>
      </c>
      <c r="AF113" s="39" t="str">
        <f>IFERROR(__xludf.DUMMYFUNCTION("""COMPUTED_VALUE"""),"TM21Amygdala")</f>
        <v>TM21Amygdala</v>
      </c>
      <c r="AG113" s="39"/>
      <c r="AH113" s="39"/>
      <c r="AI113" s="165"/>
      <c r="AJ113" s="165"/>
      <c r="AK113" s="111"/>
      <c r="AL113" s="111"/>
      <c r="AM113" s="111"/>
      <c r="AN113" s="111"/>
      <c r="AO113" s="111"/>
      <c r="AP113" s="111"/>
      <c r="AQ113" s="116"/>
      <c r="AR113" s="116"/>
      <c r="AS113" s="116"/>
    </row>
    <row r="114">
      <c r="A114" s="42" t="str">
        <f>IFERROR(__xludf.DUMMYFUNCTION("""COMPUTED_VALUE"""),"AIv")</f>
        <v>AIv</v>
      </c>
      <c r="B114" s="42"/>
      <c r="C114" s="42"/>
      <c r="D114" s="42" t="str">
        <f>IFERROR(__xludf.DUMMYFUNCTION("""COMPUTED_VALUE"""),"PAC")</f>
        <v>PAC</v>
      </c>
      <c r="E114" s="42"/>
      <c r="F114" s="42"/>
      <c r="G114" s="42"/>
      <c r="H114" s="42" t="str">
        <f>IFERROR(__xludf.DUMMYFUNCTION("""COMPUTED_VALUE"""),"")</f>
        <v/>
      </c>
      <c r="I114" s="42" t="str">
        <f>IFERROR(__xludf.DUMMYFUNCTION("""COMPUTED_VALUE"""),"Pitkänen, 2000")</f>
        <v>Pitkänen, 2000</v>
      </c>
      <c r="J114" s="42" t="str">
        <f>IFERROR(__xludf.DUMMYFUNCTION("""COMPUTED_VALUE"""),"Rat")</f>
        <v>Rat</v>
      </c>
      <c r="K114" s="42" t="str">
        <f>IFERROR(__xludf.DUMMYFUNCTION("""COMPUTED_VALUE"""),"Various tracing")</f>
        <v>Various tracing</v>
      </c>
      <c r="L114" s="42"/>
      <c r="M114" s="42" t="str">
        <f>IFERROR(__xludf.DUMMYFUNCTION("""COMPUTED_VALUE"""),"fig.3-fig.12 (to be specified)")</f>
        <v>fig.3-fig.12 (to be specified)</v>
      </c>
      <c r="N114" s="42"/>
      <c r="O114" s="31" t="str">
        <f>IFERROR(__xludf.DUMMYFUNCTION("""COMPUTED_VALUE"""),"DOC(alt)")</f>
        <v>DOC(alt)</v>
      </c>
      <c r="P114" s="9" t="str">
        <f>IFERROR(__xludf.DUMMYFUNCTION("""COMPUTED_VALUE"""),"Folia morphologica")</f>
        <v>Folia morphologica</v>
      </c>
      <c r="Q114" s="9" t="str">
        <f>IFERROR(__xludf.DUMMYFUNCTION("""COMPUTED_VALUE"""),"Review")</f>
        <v>Review</v>
      </c>
      <c r="R114" s="179" t="str">
        <f>IFERROR(__xludf.DUMMYFUNCTION("""COMPUTED_VALUE"""),"PAC (00/00) [Pitkänen, 2000];
")</f>
        <v>PAC (00/00) [Pitkänen, 2000];
</v>
      </c>
      <c r="S114" s="179" t="str">
        <f>IFERROR(__xludf.DUMMYFUNCTION("""COMPUTED_VALUE"""),"AIvPAC")</f>
        <v>AIvPAC</v>
      </c>
      <c r="T114" s="179" t="str">
        <f>IFERROR(__xludf.DUMMYFUNCTION("""COMPUTED_VALUE"""),"[Pitkänen, 2000]")</f>
        <v>[Pitkänen, 2000]</v>
      </c>
      <c r="U114" s="179">
        <f>IFERROR(__xludf.DUMMYFUNCTION("""COMPUTED_VALUE"""),0.0)</f>
        <v>0</v>
      </c>
      <c r="V114" s="180">
        <f>IFERROR(__xludf.DUMMYFUNCTION("""COMPUTED_VALUE"""),0.0)</f>
        <v>0</v>
      </c>
      <c r="W114" s="180">
        <f>IFERROR(__xludf.DUMMYFUNCTION("""COMPUTED_VALUE"""),0.95)</f>
        <v>0.95</v>
      </c>
      <c r="X114" s="42">
        <f>IFERROR(__xludf.DUMMYFUNCTION("""COMPUTED_VALUE"""),0.8)</f>
        <v>0.8</v>
      </c>
      <c r="Y114" s="42">
        <f>IFERROR(__xludf.DUMMYFUNCTION("""COMPUTED_VALUE"""),0.6)</f>
        <v>0.6</v>
      </c>
      <c r="Z114" s="9">
        <f>IFERROR(__xludf.DUMMYFUNCTION("""COMPUTED_VALUE"""),0.9)</f>
        <v>0.9</v>
      </c>
      <c r="AA114" s="181">
        <f>IFERROR(__xludf.DUMMYFUNCTION("""COMPUTED_VALUE"""),0.0)</f>
        <v>0</v>
      </c>
      <c r="AB114" s="181">
        <f>IFERROR(__xludf.DUMMYFUNCTION("""COMPUTED_VALUE"""),0.0)</f>
        <v>0</v>
      </c>
      <c r="AC114" s="179">
        <f>IFERROR(__xludf.DUMMYFUNCTION("""COMPUTED_VALUE"""),0.0)</f>
        <v>0</v>
      </c>
      <c r="AD114" s="165">
        <f>IFERROR(__xludf.DUMMYFUNCTION("""COMPUTED_VALUE"""),0.0)</f>
        <v>0</v>
      </c>
      <c r="AE114" s="39" t="str">
        <f>IFERROR(__xludf.DUMMYFUNCTION("""COMPUTED_VALUE"""),"Tatsuya Miyamoto")</f>
        <v>Tatsuya Miyamoto</v>
      </c>
      <c r="AF114" s="39" t="str">
        <f>IFERROR(__xludf.DUMMYFUNCTION("""COMPUTED_VALUE"""),"TM21Amygdala")</f>
        <v>TM21Amygdala</v>
      </c>
      <c r="AG114" s="39"/>
      <c r="AH114" s="39"/>
      <c r="AI114" s="165"/>
      <c r="AJ114" s="165"/>
      <c r="AK114" s="111"/>
      <c r="AL114" s="111"/>
      <c r="AM114" s="111"/>
      <c r="AN114" s="111"/>
      <c r="AO114" s="111"/>
      <c r="AP114" s="111"/>
      <c r="AQ114" s="116"/>
      <c r="AR114" s="116"/>
      <c r="AS114" s="116"/>
    </row>
    <row r="115">
      <c r="A115" s="42" t="str">
        <f>IFERROR(__xludf.DUMMYFUNCTION("""COMPUTED_VALUE"""),"AOB")</f>
        <v>AOB</v>
      </c>
      <c r="B115" s="42"/>
      <c r="C115" s="42"/>
      <c r="D115" s="42" t="str">
        <f>IFERROR(__xludf.DUMMYFUNCTION("""COMPUTED_VALUE"""),"CoP")</f>
        <v>CoP</v>
      </c>
      <c r="E115" s="42"/>
      <c r="F115" s="42"/>
      <c r="G115" s="42"/>
      <c r="H115" s="42" t="str">
        <f>IFERROR(__xludf.DUMMYFUNCTION("""COMPUTED_VALUE"""),"")</f>
        <v/>
      </c>
      <c r="I115" s="42" t="str">
        <f>IFERROR(__xludf.DUMMYFUNCTION("""COMPUTED_VALUE"""),"Pitkänen, 2000")</f>
        <v>Pitkänen, 2000</v>
      </c>
      <c r="J115" s="42" t="str">
        <f>IFERROR(__xludf.DUMMYFUNCTION("""COMPUTED_VALUE"""),"Rat")</f>
        <v>Rat</v>
      </c>
      <c r="K115" s="42" t="str">
        <f>IFERROR(__xludf.DUMMYFUNCTION("""COMPUTED_VALUE"""),"Various tracing")</f>
        <v>Various tracing</v>
      </c>
      <c r="L115" s="42"/>
      <c r="M115" s="42" t="str">
        <f>IFERROR(__xludf.DUMMYFUNCTION("""COMPUTED_VALUE"""),"fig.3-fig.12 (to be specified)")</f>
        <v>fig.3-fig.12 (to be specified)</v>
      </c>
      <c r="N115" s="42"/>
      <c r="O115" s="31" t="str">
        <f>IFERROR(__xludf.DUMMYFUNCTION("""COMPUTED_VALUE"""),"DOC(alt)")</f>
        <v>DOC(alt)</v>
      </c>
      <c r="P115" s="9" t="str">
        <f>IFERROR(__xludf.DUMMYFUNCTION("""COMPUTED_VALUE"""),"Folia morphologica")</f>
        <v>Folia morphologica</v>
      </c>
      <c r="Q115" s="9" t="str">
        <f>IFERROR(__xludf.DUMMYFUNCTION("""COMPUTED_VALUE"""),"Review")</f>
        <v>Review</v>
      </c>
      <c r="R115" s="179" t="str">
        <f>IFERROR(__xludf.DUMMYFUNCTION("""COMPUTED_VALUE"""),"CoP (00/00) [Pitkänen, 2000];
")</f>
        <v>CoP (00/00) [Pitkänen, 2000];
</v>
      </c>
      <c r="S115" s="179" t="str">
        <f>IFERROR(__xludf.DUMMYFUNCTION("""COMPUTED_VALUE"""),"AOBCoP")</f>
        <v>AOBCoP</v>
      </c>
      <c r="T115" s="179" t="str">
        <f>IFERROR(__xludf.DUMMYFUNCTION("""COMPUTED_VALUE"""),"[Pitkänen, 2000]")</f>
        <v>[Pitkänen, 2000]</v>
      </c>
      <c r="U115" s="179">
        <f>IFERROR(__xludf.DUMMYFUNCTION("""COMPUTED_VALUE"""),0.0)</f>
        <v>0</v>
      </c>
      <c r="V115" s="180">
        <f>IFERROR(__xludf.DUMMYFUNCTION("""COMPUTED_VALUE"""),0.0)</f>
        <v>0</v>
      </c>
      <c r="W115" s="180">
        <f>IFERROR(__xludf.DUMMYFUNCTION("""COMPUTED_VALUE"""),0.95)</f>
        <v>0.95</v>
      </c>
      <c r="X115" s="42">
        <f>IFERROR(__xludf.DUMMYFUNCTION("""COMPUTED_VALUE"""),0.8)</f>
        <v>0.8</v>
      </c>
      <c r="Y115" s="42">
        <f>IFERROR(__xludf.DUMMYFUNCTION("""COMPUTED_VALUE"""),0.6)</f>
        <v>0.6</v>
      </c>
      <c r="Z115" s="9">
        <f>IFERROR(__xludf.DUMMYFUNCTION("""COMPUTED_VALUE"""),0.9)</f>
        <v>0.9</v>
      </c>
      <c r="AA115" s="181">
        <f>IFERROR(__xludf.DUMMYFUNCTION("""COMPUTED_VALUE"""),0.0)</f>
        <v>0</v>
      </c>
      <c r="AB115" s="181">
        <f>IFERROR(__xludf.DUMMYFUNCTION("""COMPUTED_VALUE"""),0.0)</f>
        <v>0</v>
      </c>
      <c r="AC115" s="179">
        <f>IFERROR(__xludf.DUMMYFUNCTION("""COMPUTED_VALUE"""),0.0)</f>
        <v>0</v>
      </c>
      <c r="AD115" s="165">
        <f>IFERROR(__xludf.DUMMYFUNCTION("""COMPUTED_VALUE"""),0.0)</f>
        <v>0</v>
      </c>
      <c r="AE115" s="39" t="str">
        <f>IFERROR(__xludf.DUMMYFUNCTION("""COMPUTED_VALUE"""),"Tatsuya Miyamoto")</f>
        <v>Tatsuya Miyamoto</v>
      </c>
      <c r="AF115" s="39" t="str">
        <f>IFERROR(__xludf.DUMMYFUNCTION("""COMPUTED_VALUE"""),"TM21Amygdala")</f>
        <v>TM21Amygdala</v>
      </c>
      <c r="AG115" s="39"/>
      <c r="AH115" s="39"/>
      <c r="AI115" s="165"/>
      <c r="AJ115" s="165"/>
      <c r="AK115" s="111"/>
      <c r="AL115" s="111"/>
      <c r="AM115" s="111"/>
      <c r="AN115" s="111"/>
      <c r="AO115" s="111"/>
      <c r="AP115" s="111"/>
      <c r="AQ115" s="116"/>
      <c r="AR115" s="116"/>
      <c r="AS115" s="116"/>
    </row>
    <row r="116">
      <c r="A116" s="42" t="str">
        <f>IFERROR(__xludf.DUMMYFUNCTION("""COMPUTED_VALUE"""),"AOB")</f>
        <v>AOB</v>
      </c>
      <c r="B116" s="42"/>
      <c r="C116" s="42"/>
      <c r="D116" s="42" t="str">
        <f>IFERROR(__xludf.DUMMYFUNCTION("""COMPUTED_VALUE"""),"Me")</f>
        <v>Me</v>
      </c>
      <c r="E116" s="42"/>
      <c r="F116" s="42"/>
      <c r="G116" s="42"/>
      <c r="H116" s="42" t="str">
        <f>IFERROR(__xludf.DUMMYFUNCTION("""COMPUTED_VALUE"""),"")</f>
        <v/>
      </c>
      <c r="I116" s="42" t="str">
        <f>IFERROR(__xludf.DUMMYFUNCTION("""COMPUTED_VALUE"""),"Pitkänen, 2000")</f>
        <v>Pitkänen, 2000</v>
      </c>
      <c r="J116" s="42" t="str">
        <f>IFERROR(__xludf.DUMMYFUNCTION("""COMPUTED_VALUE"""),"Rat")</f>
        <v>Rat</v>
      </c>
      <c r="K116" s="42" t="str">
        <f>IFERROR(__xludf.DUMMYFUNCTION("""COMPUTED_VALUE"""),"Various tracing")</f>
        <v>Various tracing</v>
      </c>
      <c r="L116" s="42"/>
      <c r="M116" s="42" t="str">
        <f>IFERROR(__xludf.DUMMYFUNCTION("""COMPUTED_VALUE"""),"fig.3-fig.12 (to be specified)")</f>
        <v>fig.3-fig.12 (to be specified)</v>
      </c>
      <c r="N116" s="42"/>
      <c r="O116" s="31" t="str">
        <f>IFERROR(__xludf.DUMMYFUNCTION("""COMPUTED_VALUE"""),"DOC(alt)")</f>
        <v>DOC(alt)</v>
      </c>
      <c r="P116" s="9" t="str">
        <f>IFERROR(__xludf.DUMMYFUNCTION("""COMPUTED_VALUE"""),"Folia morphologica")</f>
        <v>Folia morphologica</v>
      </c>
      <c r="Q116" s="9" t="str">
        <f>IFERROR(__xludf.DUMMYFUNCTION("""COMPUTED_VALUE"""),"Review")</f>
        <v>Review</v>
      </c>
      <c r="R116" s="179" t="str">
        <f>IFERROR(__xludf.DUMMYFUNCTION("""COMPUTED_VALUE"""),"Me (00/00) [Pitkänen, 2000];
")</f>
        <v>Me (00/00) [Pitkänen, 2000];
</v>
      </c>
      <c r="S116" s="179" t="str">
        <f>IFERROR(__xludf.DUMMYFUNCTION("""COMPUTED_VALUE"""),"AOBMe")</f>
        <v>AOBMe</v>
      </c>
      <c r="T116" s="179" t="str">
        <f>IFERROR(__xludf.DUMMYFUNCTION("""COMPUTED_VALUE"""),"[Pitkänen, 2000]")</f>
        <v>[Pitkänen, 2000]</v>
      </c>
      <c r="U116" s="179">
        <f>IFERROR(__xludf.DUMMYFUNCTION("""COMPUTED_VALUE"""),0.0)</f>
        <v>0</v>
      </c>
      <c r="V116" s="180">
        <f>IFERROR(__xludf.DUMMYFUNCTION("""COMPUTED_VALUE"""),0.0)</f>
        <v>0</v>
      </c>
      <c r="W116" s="180">
        <f>IFERROR(__xludf.DUMMYFUNCTION("""COMPUTED_VALUE"""),0.95)</f>
        <v>0.95</v>
      </c>
      <c r="X116" s="42">
        <f>IFERROR(__xludf.DUMMYFUNCTION("""COMPUTED_VALUE"""),0.8)</f>
        <v>0.8</v>
      </c>
      <c r="Y116" s="42">
        <f>IFERROR(__xludf.DUMMYFUNCTION("""COMPUTED_VALUE"""),0.6)</f>
        <v>0.6</v>
      </c>
      <c r="Z116" s="9">
        <f>IFERROR(__xludf.DUMMYFUNCTION("""COMPUTED_VALUE"""),0.9)</f>
        <v>0.9</v>
      </c>
      <c r="AA116" s="181">
        <f>IFERROR(__xludf.DUMMYFUNCTION("""COMPUTED_VALUE"""),0.0)</f>
        <v>0</v>
      </c>
      <c r="AB116" s="181">
        <f>IFERROR(__xludf.DUMMYFUNCTION("""COMPUTED_VALUE"""),0.0)</f>
        <v>0</v>
      </c>
      <c r="AC116" s="179">
        <f>IFERROR(__xludf.DUMMYFUNCTION("""COMPUTED_VALUE"""),0.0)</f>
        <v>0</v>
      </c>
      <c r="AD116" s="165">
        <f>IFERROR(__xludf.DUMMYFUNCTION("""COMPUTED_VALUE"""),0.0)</f>
        <v>0</v>
      </c>
      <c r="AE116" s="39" t="str">
        <f>IFERROR(__xludf.DUMMYFUNCTION("""COMPUTED_VALUE"""),"Tatsuya Miyamoto")</f>
        <v>Tatsuya Miyamoto</v>
      </c>
      <c r="AF116" s="39" t="str">
        <f>IFERROR(__xludf.DUMMYFUNCTION("""COMPUTED_VALUE"""),"TM21Amygdala")</f>
        <v>TM21Amygdala</v>
      </c>
      <c r="AG116" s="39"/>
      <c r="AH116" s="39"/>
      <c r="AI116" s="165"/>
      <c r="AJ116" s="165"/>
      <c r="AK116" s="111"/>
      <c r="AL116" s="111"/>
      <c r="AM116" s="111"/>
      <c r="AN116" s="111"/>
      <c r="AO116" s="111"/>
      <c r="AP116" s="111"/>
      <c r="AQ116" s="116"/>
      <c r="AR116" s="116"/>
      <c r="AS116" s="116"/>
    </row>
    <row r="117">
      <c r="A117" s="42" t="str">
        <f>IFERROR(__xludf.DUMMYFUNCTION("""COMPUTED_VALUE"""),"AOP")</f>
        <v>AOP</v>
      </c>
      <c r="B117" s="42"/>
      <c r="C117" s="42"/>
      <c r="D117" s="42" t="str">
        <f>IFERROR(__xludf.DUMMYFUNCTION("""COMPUTED_VALUE"""),"RTg")</f>
        <v>RTg</v>
      </c>
      <c r="E117" s="42"/>
      <c r="F117" s="42"/>
      <c r="G117" s="42"/>
      <c r="H117" s="42" t="str">
        <f>IFERROR(__xludf.DUMMYFUNCTION("""COMPUTED_VALUE"""),"")</f>
        <v/>
      </c>
      <c r="I117" s="42" t="str">
        <f>IFERROR(__xludf.DUMMYFUNCTION("""COMPUTED_VALUE"""),"Rondi-Reig, 2014")</f>
        <v>Rondi-Reig, 2014</v>
      </c>
      <c r="J117" s="42"/>
      <c r="K117" s="42"/>
      <c r="L117" s="42"/>
      <c r="M117" s="42"/>
      <c r="N117" s="42"/>
      <c r="O117" s="31" t="str">
        <f>IFERROR(__xludf.DUMMYFUNCTION("""COMPUTED_VALUE"""),"DOC")</f>
        <v>DOC</v>
      </c>
      <c r="P117" s="9" t="str">
        <f>IFERROR(__xludf.DUMMYFUNCTION("""COMPUTED_VALUE"""),"Frontiers in Systems Neuroscience")</f>
        <v>Frontiers in Systems Neuroscience</v>
      </c>
      <c r="Q117" s="9"/>
      <c r="R117" s="179" t="str">
        <f>IFERROR(__xludf.DUMMYFUNCTION("""COMPUTED_VALUE"""),"RTg (00/00) [Rondi-Reig, 2014];
")</f>
        <v>RTg (00/00) [Rondi-Reig, 2014];
</v>
      </c>
      <c r="S117" s="179" t="str">
        <f>IFERROR(__xludf.DUMMYFUNCTION("""COMPUTED_VALUE"""),"AOPRTg")</f>
        <v>AOPRTg</v>
      </c>
      <c r="T117" s="179" t="str">
        <f>IFERROR(__xludf.DUMMYFUNCTION("""COMPUTED_VALUE"""),"[Rondi-Reig, 2014]")</f>
        <v>[Rondi-Reig, 2014]</v>
      </c>
      <c r="U117" s="179">
        <f>IFERROR(__xludf.DUMMYFUNCTION("""COMPUTED_VALUE"""),0.0)</f>
        <v>0</v>
      </c>
      <c r="V117" s="180">
        <f>IFERROR(__xludf.DUMMYFUNCTION("""COMPUTED_VALUE"""),0.0)</f>
        <v>0</v>
      </c>
      <c r="W117" s="180">
        <f>IFERROR(__xludf.DUMMYFUNCTION("""COMPUTED_VALUE"""),0.95)</f>
        <v>0.95</v>
      </c>
      <c r="X117" s="42">
        <f>IFERROR(__xludf.DUMMYFUNCTION("""COMPUTED_VALUE"""),0.0)</f>
        <v>0</v>
      </c>
      <c r="Y117" s="42">
        <f>IFERROR(__xludf.DUMMYFUNCTION("""COMPUTED_VALUE"""),0.0)</f>
        <v>0</v>
      </c>
      <c r="Z117" s="9">
        <f>IFERROR(__xludf.DUMMYFUNCTION("""COMPUTED_VALUE"""),0.0)</f>
        <v>0</v>
      </c>
      <c r="AA117" s="181">
        <f>IFERROR(__xludf.DUMMYFUNCTION("""COMPUTED_VALUE"""),0.0)</f>
        <v>0</v>
      </c>
      <c r="AB117" s="181">
        <f>IFERROR(__xludf.DUMMYFUNCTION("""COMPUTED_VALUE"""),0.0)</f>
        <v>0</v>
      </c>
      <c r="AC117" s="179">
        <f>IFERROR(__xludf.DUMMYFUNCTION("""COMPUTED_VALUE"""),0.0)</f>
        <v>0</v>
      </c>
      <c r="AD117" s="165">
        <f>IFERROR(__xludf.DUMMYFUNCTION("""COMPUTED_VALUE"""),0.0)</f>
        <v>0</v>
      </c>
      <c r="AE117" s="39" t="str">
        <f>IFERROR(__xludf.DUMMYFUNCTION("""COMPUTED_VALUE"""),"Hiroshi Yamakawa")</f>
        <v>Hiroshi Yamakawa</v>
      </c>
      <c r="AF117" s="39" t="str">
        <f>IFERROR(__xludf.DUMMYFUNCTION("""COMPUTED_VALUE"""),"HY20Cerebellum")</f>
        <v>HY20Cerebellum</v>
      </c>
      <c r="AG117" s="39"/>
      <c r="AH117" s="39"/>
      <c r="AI117" s="165"/>
      <c r="AJ117" s="165"/>
      <c r="AK117" s="111"/>
      <c r="AL117" s="111"/>
      <c r="AM117" s="111"/>
      <c r="AN117" s="111"/>
      <c r="AO117" s="111"/>
      <c r="AP117" s="111"/>
      <c r="AQ117" s="116"/>
      <c r="AR117" s="116"/>
      <c r="AS117" s="116"/>
    </row>
    <row r="118">
      <c r="A118" s="42" t="str">
        <f>IFERROR(__xludf.DUMMYFUNCTION("""COMPUTED_VALUE"""),"AOP")</f>
        <v>AOP</v>
      </c>
      <c r="B118" s="42"/>
      <c r="C118" s="42"/>
      <c r="D118" s="42" t="str">
        <f>IFERROR(__xludf.DUMMYFUNCTION("""COMPUTED_VALUE"""),"IOVeN")</f>
        <v>IOVeN</v>
      </c>
      <c r="E118" s="42"/>
      <c r="F118" s="42"/>
      <c r="G118" s="42"/>
      <c r="H118" s="42" t="str">
        <f>IFERROR(__xludf.DUMMYFUNCTION("""COMPUTED_VALUE"""),"")</f>
        <v/>
      </c>
      <c r="I118" s="42" t="str">
        <f>IFERROR(__xludf.DUMMYFUNCTION("""COMPUTED_VALUE"""),"Rondi-Reig, 2014")</f>
        <v>Rondi-Reig, 2014</v>
      </c>
      <c r="J118" s="42"/>
      <c r="K118" s="42"/>
      <c r="L118" s="42"/>
      <c r="M118" s="42"/>
      <c r="N118" s="42"/>
      <c r="O118" s="31" t="str">
        <f>IFERROR(__xludf.DUMMYFUNCTION("""COMPUTED_VALUE"""),"DOC")</f>
        <v>DOC</v>
      </c>
      <c r="P118" s="9" t="str">
        <f>IFERROR(__xludf.DUMMYFUNCTION("""COMPUTED_VALUE"""),"Frontiers in Systems Neuroscience")</f>
        <v>Frontiers in Systems Neuroscience</v>
      </c>
      <c r="Q118" s="9"/>
      <c r="R118" s="179" t="str">
        <f>IFERROR(__xludf.DUMMYFUNCTION("""COMPUTED_VALUE"""),"IOVeN (00/00) [Rondi-Reig, 2014];
")</f>
        <v>IOVeN (00/00) [Rondi-Reig, 2014];
</v>
      </c>
      <c r="S118" s="179" t="str">
        <f>IFERROR(__xludf.DUMMYFUNCTION("""COMPUTED_VALUE"""),"AOPIOVeN")</f>
        <v>AOPIOVeN</v>
      </c>
      <c r="T118" s="179" t="str">
        <f>IFERROR(__xludf.DUMMYFUNCTION("""COMPUTED_VALUE"""),"[Rondi-Reig, 2014]")</f>
        <v>[Rondi-Reig, 2014]</v>
      </c>
      <c r="U118" s="179">
        <f>IFERROR(__xludf.DUMMYFUNCTION("""COMPUTED_VALUE"""),0.0)</f>
        <v>0</v>
      </c>
      <c r="V118" s="180">
        <f>IFERROR(__xludf.DUMMYFUNCTION("""COMPUTED_VALUE"""),0.0)</f>
        <v>0</v>
      </c>
      <c r="W118" s="180">
        <f>IFERROR(__xludf.DUMMYFUNCTION("""COMPUTED_VALUE"""),0.95)</f>
        <v>0.95</v>
      </c>
      <c r="X118" s="42">
        <f>IFERROR(__xludf.DUMMYFUNCTION("""COMPUTED_VALUE"""),0.0)</f>
        <v>0</v>
      </c>
      <c r="Y118" s="42">
        <f>IFERROR(__xludf.DUMMYFUNCTION("""COMPUTED_VALUE"""),0.0)</f>
        <v>0</v>
      </c>
      <c r="Z118" s="9">
        <f>IFERROR(__xludf.DUMMYFUNCTION("""COMPUTED_VALUE"""),0.0)</f>
        <v>0</v>
      </c>
      <c r="AA118" s="181">
        <f>IFERROR(__xludf.DUMMYFUNCTION("""COMPUTED_VALUE"""),0.0)</f>
        <v>0</v>
      </c>
      <c r="AB118" s="181">
        <f>IFERROR(__xludf.DUMMYFUNCTION("""COMPUTED_VALUE"""),0.0)</f>
        <v>0</v>
      </c>
      <c r="AC118" s="179">
        <f>IFERROR(__xludf.DUMMYFUNCTION("""COMPUTED_VALUE"""),0.0)</f>
        <v>0</v>
      </c>
      <c r="AD118" s="165">
        <f>IFERROR(__xludf.DUMMYFUNCTION("""COMPUTED_VALUE"""),0.0)</f>
        <v>0</v>
      </c>
      <c r="AE118" s="39" t="str">
        <f>IFERROR(__xludf.DUMMYFUNCTION("""COMPUTED_VALUE"""),"Hiroshi Yamakawa")</f>
        <v>Hiroshi Yamakawa</v>
      </c>
      <c r="AF118" s="39" t="str">
        <f>IFERROR(__xludf.DUMMYFUNCTION("""COMPUTED_VALUE"""),"HY20Cerebellum")</f>
        <v>HY20Cerebellum</v>
      </c>
      <c r="AG118" s="39"/>
      <c r="AH118" s="39"/>
      <c r="AI118" s="165"/>
      <c r="AJ118" s="165"/>
      <c r="AK118" s="111"/>
      <c r="AL118" s="111"/>
      <c r="AM118" s="111"/>
      <c r="AN118" s="111"/>
      <c r="AO118" s="111"/>
      <c r="AP118" s="111"/>
      <c r="AQ118" s="116"/>
      <c r="AR118" s="116"/>
      <c r="AS118" s="116"/>
    </row>
    <row r="119">
      <c r="A119" s="42" t="str">
        <f>IFERROR(__xludf.DUMMYFUNCTION("""COMPUTED_VALUE"""),"aRF")</f>
        <v>aRF</v>
      </c>
      <c r="B119" s="42"/>
      <c r="C119" s="42"/>
      <c r="D119" s="42" t="str">
        <f>IFERROR(__xludf.DUMMYFUNCTION("""COMPUTED_VALUE"""),"CBPVg")</f>
        <v>CBPVg</v>
      </c>
      <c r="E119" s="42"/>
      <c r="F119" s="42"/>
      <c r="G119" s="42"/>
      <c r="H119" s="42" t="str">
        <f>IFERROR(__xludf.DUMMYFUNCTION("""COMPUTED_VALUE"""),"")</f>
        <v/>
      </c>
      <c r="I119" s="42" t="str">
        <f>IFERROR(__xludf.DUMMYFUNCTION("""COMPUTED_VALUE"""),"Knierim, 2021")</f>
        <v>Knierim, 2021</v>
      </c>
      <c r="J119" s="42"/>
      <c r="K119" s="42"/>
      <c r="L119" s="42"/>
      <c r="M119" s="42"/>
      <c r="N119" s="42"/>
      <c r="O119" s="31" t="str">
        <f>IFERROR(__xludf.DUMMYFUNCTION("""COMPUTED_VALUE"""),"DOC(alt)")</f>
        <v>DOC(alt)</v>
      </c>
      <c r="P119" s="9" t="str">
        <f>IFERROR(__xludf.DUMMYFUNCTION("""COMPUTED_VALUE"""),"Neuroscience Online, an {Open-Access} Neuroscience Electronic Textbook")</f>
        <v>Neuroscience Online, an {Open-Access} Neuroscience Electronic Textbook</v>
      </c>
      <c r="Q119" s="9" t="str">
        <f>IFERROR(__xludf.DUMMYFUNCTION("""COMPUTED_VALUE"""),"Textbook")</f>
        <v>Textbook</v>
      </c>
      <c r="R119" s="179" t="str">
        <f>IFERROR(__xludf.DUMMYFUNCTION("""COMPUTED_VALUE"""),"CBPVg (00/00) [Knierim, 2021];
")</f>
        <v>CBPVg (00/00) [Knierim, 2021];
</v>
      </c>
      <c r="S119" s="179" t="str">
        <f>IFERROR(__xludf.DUMMYFUNCTION("""COMPUTED_VALUE"""),"aRFCBPVg")</f>
        <v>aRFCBPVg</v>
      </c>
      <c r="T119" s="179" t="str">
        <f>IFERROR(__xludf.DUMMYFUNCTION("""COMPUTED_VALUE"""),"[Knierim, 2021]")</f>
        <v>[Knierim, 2021]</v>
      </c>
      <c r="U119" s="179">
        <f>IFERROR(__xludf.DUMMYFUNCTION("""COMPUTED_VALUE"""),0.0)</f>
        <v>0</v>
      </c>
      <c r="V119" s="180">
        <f>IFERROR(__xludf.DUMMYFUNCTION("""COMPUTED_VALUE"""),0.0)</f>
        <v>0</v>
      </c>
      <c r="W119" s="180">
        <f>IFERROR(__xludf.DUMMYFUNCTION("""COMPUTED_VALUE"""),0.0)</f>
        <v>0</v>
      </c>
      <c r="X119" s="42">
        <f>IFERROR(__xludf.DUMMYFUNCTION("""COMPUTED_VALUE"""),0.9)</f>
        <v>0.9</v>
      </c>
      <c r="Y119" s="42">
        <f>IFERROR(__xludf.DUMMYFUNCTION("""COMPUTED_VALUE"""),0.0)</f>
        <v>0</v>
      </c>
      <c r="Z119" s="9">
        <f>IFERROR(__xludf.DUMMYFUNCTION("""COMPUTED_VALUE"""),0.0)</f>
        <v>0</v>
      </c>
      <c r="AA119" s="181">
        <f>IFERROR(__xludf.DUMMYFUNCTION("""COMPUTED_VALUE"""),0.0)</f>
        <v>0</v>
      </c>
      <c r="AB119" s="181">
        <f>IFERROR(__xludf.DUMMYFUNCTION("""COMPUTED_VALUE"""),0.0)</f>
        <v>0</v>
      </c>
      <c r="AC119" s="179">
        <f>IFERROR(__xludf.DUMMYFUNCTION("""COMPUTED_VALUE"""),0.0)</f>
        <v>0</v>
      </c>
      <c r="AD119" s="165">
        <f>IFERROR(__xludf.DUMMYFUNCTION("""COMPUTED_VALUE"""),0.0)</f>
        <v>0</v>
      </c>
      <c r="AE119" s="39" t="str">
        <f>IFERROR(__xludf.DUMMYFUNCTION("""COMPUTED_VALUE"""),"Hiroshi Yamakawa")</f>
        <v>Hiroshi Yamakawa</v>
      </c>
      <c r="AF119" s="39" t="str">
        <f>IFERROR(__xludf.DUMMYFUNCTION("""COMPUTED_VALUE"""),"HY20Cerebellum")</f>
        <v>HY20Cerebellum</v>
      </c>
      <c r="AG119" s="39"/>
      <c r="AH119" s="39"/>
      <c r="AI119" s="165"/>
      <c r="AJ119" s="165"/>
      <c r="AK119" s="111"/>
      <c r="AL119" s="111"/>
      <c r="AM119" s="111"/>
      <c r="AN119" s="111"/>
      <c r="AO119" s="111"/>
      <c r="AP119" s="111"/>
      <c r="AQ119" s="116"/>
      <c r="AR119" s="116"/>
      <c r="AS119" s="116"/>
    </row>
    <row r="120">
      <c r="A120" s="42" t="str">
        <f>IFERROR(__xludf.DUMMYFUNCTION("""COMPUTED_VALUE"""),"aRF")</f>
        <v>aRF</v>
      </c>
      <c r="B120" s="42"/>
      <c r="C120" s="42"/>
      <c r="D120" s="42" t="str">
        <f>IFERROR(__xludf.DUMMYFUNCTION("""COMPUTED_VALUE"""),"CBVg")</f>
        <v>CBVg</v>
      </c>
      <c r="E120" s="42"/>
      <c r="F120" s="42"/>
      <c r="G120" s="42"/>
      <c r="H120" s="42" t="str">
        <f>IFERROR(__xludf.DUMMYFUNCTION("""COMPUTED_VALUE"""),"")</f>
        <v/>
      </c>
      <c r="I120" s="42" t="str">
        <f>IFERROR(__xludf.DUMMYFUNCTION("""COMPUTED_VALUE"""),"Knierim, 2021")</f>
        <v>Knierim, 2021</v>
      </c>
      <c r="J120" s="42"/>
      <c r="K120" s="42"/>
      <c r="L120" s="42"/>
      <c r="M120" s="42"/>
      <c r="N120" s="42"/>
      <c r="O120" s="31" t="str">
        <f>IFERROR(__xludf.DUMMYFUNCTION("""COMPUTED_VALUE"""),"DOC(alt)")</f>
        <v>DOC(alt)</v>
      </c>
      <c r="P120" s="9" t="str">
        <f>IFERROR(__xludf.DUMMYFUNCTION("""COMPUTED_VALUE"""),"Neuroscience Online, an {Open-Access} Neuroscience Electronic Textbook")</f>
        <v>Neuroscience Online, an {Open-Access} Neuroscience Electronic Textbook</v>
      </c>
      <c r="Q120" s="9" t="str">
        <f>IFERROR(__xludf.DUMMYFUNCTION("""COMPUTED_VALUE"""),"Textbook")</f>
        <v>Textbook</v>
      </c>
      <c r="R120" s="179" t="str">
        <f>IFERROR(__xludf.DUMMYFUNCTION("""COMPUTED_VALUE"""),"CBVg (00/00) [Knierim, 2021];
")</f>
        <v>CBVg (00/00) [Knierim, 2021];
</v>
      </c>
      <c r="S120" s="179" t="str">
        <f>IFERROR(__xludf.DUMMYFUNCTION("""COMPUTED_VALUE"""),"aRFCBVg")</f>
        <v>aRFCBVg</v>
      </c>
      <c r="T120" s="179" t="str">
        <f>IFERROR(__xludf.DUMMYFUNCTION("""COMPUTED_VALUE"""),"[Knierim, 2021]")</f>
        <v>[Knierim, 2021]</v>
      </c>
      <c r="U120" s="179">
        <f>IFERROR(__xludf.DUMMYFUNCTION("""COMPUTED_VALUE"""),0.0)</f>
        <v>0</v>
      </c>
      <c r="V120" s="180">
        <f>IFERROR(__xludf.DUMMYFUNCTION("""COMPUTED_VALUE"""),0.0)</f>
        <v>0</v>
      </c>
      <c r="W120" s="180">
        <f>IFERROR(__xludf.DUMMYFUNCTION("""COMPUTED_VALUE"""),0.0)</f>
        <v>0</v>
      </c>
      <c r="X120" s="42">
        <f>IFERROR(__xludf.DUMMYFUNCTION("""COMPUTED_VALUE"""),0.9)</f>
        <v>0.9</v>
      </c>
      <c r="Y120" s="42">
        <f>IFERROR(__xludf.DUMMYFUNCTION("""COMPUTED_VALUE"""),0.0)</f>
        <v>0</v>
      </c>
      <c r="Z120" s="9">
        <f>IFERROR(__xludf.DUMMYFUNCTION("""COMPUTED_VALUE"""),0.0)</f>
        <v>0</v>
      </c>
      <c r="AA120" s="181">
        <f>IFERROR(__xludf.DUMMYFUNCTION("""COMPUTED_VALUE"""),0.0)</f>
        <v>0</v>
      </c>
      <c r="AB120" s="181">
        <f>IFERROR(__xludf.DUMMYFUNCTION("""COMPUTED_VALUE"""),0.0)</f>
        <v>0</v>
      </c>
      <c r="AC120" s="179">
        <f>IFERROR(__xludf.DUMMYFUNCTION("""COMPUTED_VALUE"""),0.0)</f>
        <v>0</v>
      </c>
      <c r="AD120" s="165">
        <f>IFERROR(__xludf.DUMMYFUNCTION("""COMPUTED_VALUE"""),0.0)</f>
        <v>0</v>
      </c>
      <c r="AE120" s="39" t="str">
        <f>IFERROR(__xludf.DUMMYFUNCTION("""COMPUTED_VALUE"""),"Hiroshi Yamakawa")</f>
        <v>Hiroshi Yamakawa</v>
      </c>
      <c r="AF120" s="39" t="str">
        <f>IFERROR(__xludf.DUMMYFUNCTION("""COMPUTED_VALUE"""),"HY20Cerebellum")</f>
        <v>HY20Cerebellum</v>
      </c>
      <c r="AG120" s="39"/>
      <c r="AH120" s="39"/>
      <c r="AI120" s="165"/>
      <c r="AJ120" s="165"/>
      <c r="AK120" s="111"/>
      <c r="AL120" s="111"/>
      <c r="AM120" s="111"/>
      <c r="AN120" s="111"/>
      <c r="AO120" s="111"/>
      <c r="AP120" s="111"/>
      <c r="AQ120" s="116"/>
      <c r="AR120" s="116"/>
      <c r="AS120" s="116"/>
    </row>
    <row r="121">
      <c r="A121" s="42" t="str">
        <f>IFERROR(__xludf.DUMMYFUNCTION("""COMPUTED_VALUE"""),"aRF")</f>
        <v>aRF</v>
      </c>
      <c r="B121" s="42"/>
      <c r="C121" s="42"/>
      <c r="D121" s="42" t="str">
        <f>IFERROR(__xludf.DUMMYFUNCTION("""COMPUTED_VALUE"""),"Fas")</f>
        <v>Fas</v>
      </c>
      <c r="E121" s="42"/>
      <c r="F121" s="42"/>
      <c r="G121" s="42"/>
      <c r="H121" s="42" t="str">
        <f>IFERROR(__xludf.DUMMYFUNCTION("""COMPUTED_VALUE"""),"")</f>
        <v/>
      </c>
      <c r="I121" s="42" t="str">
        <f>IFERROR(__xludf.DUMMYFUNCTION("""COMPUTED_VALUE"""),"Knierim, 2021")</f>
        <v>Knierim, 2021</v>
      </c>
      <c r="J121" s="42"/>
      <c r="K121" s="42"/>
      <c r="L121" s="42"/>
      <c r="M121" s="42"/>
      <c r="N121" s="42"/>
      <c r="O121" s="31" t="str">
        <f>IFERROR(__xludf.DUMMYFUNCTION("""COMPUTED_VALUE"""),"DOC(alt)")</f>
        <v>DOC(alt)</v>
      </c>
      <c r="P121" s="9" t="str">
        <f>IFERROR(__xludf.DUMMYFUNCTION("""COMPUTED_VALUE"""),"Neuroscience Online, an {Open-Access} Neuroscience Electronic Textbook")</f>
        <v>Neuroscience Online, an {Open-Access} Neuroscience Electronic Textbook</v>
      </c>
      <c r="Q121" s="9" t="str">
        <f>IFERROR(__xludf.DUMMYFUNCTION("""COMPUTED_VALUE"""),"Textbook")</f>
        <v>Textbook</v>
      </c>
      <c r="R121" s="179" t="str">
        <f>IFERROR(__xludf.DUMMYFUNCTION("""COMPUTED_VALUE"""),"Fas (00/00) [Knierim, 2021];
")</f>
        <v>Fas (00/00) [Knierim, 2021];
</v>
      </c>
      <c r="S121" s="179" t="str">
        <f>IFERROR(__xludf.DUMMYFUNCTION("""COMPUTED_VALUE"""),"aRFFas")</f>
        <v>aRFFas</v>
      </c>
      <c r="T121" s="179" t="str">
        <f>IFERROR(__xludf.DUMMYFUNCTION("""COMPUTED_VALUE"""),"[Knierim, 2021]")</f>
        <v>[Knierim, 2021]</v>
      </c>
      <c r="U121" s="179">
        <f>IFERROR(__xludf.DUMMYFUNCTION("""COMPUTED_VALUE"""),0.0)</f>
        <v>0</v>
      </c>
      <c r="V121" s="180">
        <f>IFERROR(__xludf.DUMMYFUNCTION("""COMPUTED_VALUE"""),0.0)</f>
        <v>0</v>
      </c>
      <c r="W121" s="180">
        <f>IFERROR(__xludf.DUMMYFUNCTION("""COMPUTED_VALUE"""),0.0)</f>
        <v>0</v>
      </c>
      <c r="X121" s="42">
        <f>IFERROR(__xludf.DUMMYFUNCTION("""COMPUTED_VALUE"""),0.9)</f>
        <v>0.9</v>
      </c>
      <c r="Y121" s="42">
        <f>IFERROR(__xludf.DUMMYFUNCTION("""COMPUTED_VALUE"""),0.0)</f>
        <v>0</v>
      </c>
      <c r="Z121" s="9">
        <f>IFERROR(__xludf.DUMMYFUNCTION("""COMPUTED_VALUE"""),0.0)</f>
        <v>0</v>
      </c>
      <c r="AA121" s="181">
        <f>IFERROR(__xludf.DUMMYFUNCTION("""COMPUTED_VALUE"""),0.0)</f>
        <v>0</v>
      </c>
      <c r="AB121" s="181">
        <f>IFERROR(__xludf.DUMMYFUNCTION("""COMPUTED_VALUE"""),0.0)</f>
        <v>0</v>
      </c>
      <c r="AC121" s="179">
        <f>IFERROR(__xludf.DUMMYFUNCTION("""COMPUTED_VALUE"""),0.0)</f>
        <v>0</v>
      </c>
      <c r="AD121" s="165">
        <f>IFERROR(__xludf.DUMMYFUNCTION("""COMPUTED_VALUE"""),0.0)</f>
        <v>0</v>
      </c>
      <c r="AE121" s="39" t="str">
        <f>IFERROR(__xludf.DUMMYFUNCTION("""COMPUTED_VALUE"""),"Hiroshi Yamakawa")</f>
        <v>Hiroshi Yamakawa</v>
      </c>
      <c r="AF121" s="39" t="str">
        <f>IFERROR(__xludf.DUMMYFUNCTION("""COMPUTED_VALUE"""),"HY20Cerebellum")</f>
        <v>HY20Cerebellum</v>
      </c>
      <c r="AG121" s="39"/>
      <c r="AH121" s="39"/>
      <c r="AI121" s="165"/>
      <c r="AJ121" s="165"/>
      <c r="AK121" s="111"/>
      <c r="AL121" s="111"/>
      <c r="AM121" s="111"/>
      <c r="AN121" s="111"/>
      <c r="AO121" s="111"/>
      <c r="AP121" s="111"/>
      <c r="AQ121" s="116"/>
      <c r="AR121" s="116"/>
      <c r="AS121" s="116"/>
    </row>
    <row r="122">
      <c r="A122" s="42" t="str">
        <f>IFERROR(__xludf.DUMMYFUNCTION("""COMPUTED_VALUE"""),"aRF")</f>
        <v>aRF</v>
      </c>
      <c r="B122" s="42"/>
      <c r="C122" s="42"/>
      <c r="D122" s="42" t="str">
        <f>IFERROR(__xludf.DUMMYFUNCTION("""COMPUTED_VALUE"""),"InP")</f>
        <v>InP</v>
      </c>
      <c r="E122" s="42"/>
      <c r="F122" s="42"/>
      <c r="G122" s="42"/>
      <c r="H122" s="42" t="str">
        <f>IFERROR(__xludf.DUMMYFUNCTION("""COMPUTED_VALUE"""),"")</f>
        <v/>
      </c>
      <c r="I122" s="42" t="str">
        <f>IFERROR(__xludf.DUMMYFUNCTION("""COMPUTED_VALUE"""),"Knierim, 2021")</f>
        <v>Knierim, 2021</v>
      </c>
      <c r="J122" s="42"/>
      <c r="K122" s="42"/>
      <c r="L122" s="42"/>
      <c r="M122" s="42"/>
      <c r="N122" s="42"/>
      <c r="O122" s="31" t="str">
        <f>IFERROR(__xludf.DUMMYFUNCTION("""COMPUTED_VALUE"""),"DOC(alt)")</f>
        <v>DOC(alt)</v>
      </c>
      <c r="P122" s="9" t="str">
        <f>IFERROR(__xludf.DUMMYFUNCTION("""COMPUTED_VALUE"""),"Neuroscience Online, an {Open-Access} Neuroscience Electronic Textbook")</f>
        <v>Neuroscience Online, an {Open-Access} Neuroscience Electronic Textbook</v>
      </c>
      <c r="Q122" s="9" t="str">
        <f>IFERROR(__xludf.DUMMYFUNCTION("""COMPUTED_VALUE"""),"Textbook")</f>
        <v>Textbook</v>
      </c>
      <c r="R122" s="179" t="str">
        <f>IFERROR(__xludf.DUMMYFUNCTION("""COMPUTED_VALUE"""),"InP (00/00) [Knierim, 2021];
")</f>
        <v>InP (00/00) [Knierim, 2021];
</v>
      </c>
      <c r="S122" s="179" t="str">
        <f>IFERROR(__xludf.DUMMYFUNCTION("""COMPUTED_VALUE"""),"aRFInP")</f>
        <v>aRFInP</v>
      </c>
      <c r="T122" s="179" t="str">
        <f>IFERROR(__xludf.DUMMYFUNCTION("""COMPUTED_VALUE"""),"[Knierim, 2021]")</f>
        <v>[Knierim, 2021]</v>
      </c>
      <c r="U122" s="179">
        <f>IFERROR(__xludf.DUMMYFUNCTION("""COMPUTED_VALUE"""),0.0)</f>
        <v>0</v>
      </c>
      <c r="V122" s="180">
        <f>IFERROR(__xludf.DUMMYFUNCTION("""COMPUTED_VALUE"""),0.0)</f>
        <v>0</v>
      </c>
      <c r="W122" s="180">
        <f>IFERROR(__xludf.DUMMYFUNCTION("""COMPUTED_VALUE"""),0.0)</f>
        <v>0</v>
      </c>
      <c r="X122" s="42">
        <f>IFERROR(__xludf.DUMMYFUNCTION("""COMPUTED_VALUE"""),0.9)</f>
        <v>0.9</v>
      </c>
      <c r="Y122" s="42">
        <f>IFERROR(__xludf.DUMMYFUNCTION("""COMPUTED_VALUE"""),0.0)</f>
        <v>0</v>
      </c>
      <c r="Z122" s="9">
        <f>IFERROR(__xludf.DUMMYFUNCTION("""COMPUTED_VALUE"""),0.0)</f>
        <v>0</v>
      </c>
      <c r="AA122" s="181">
        <f>IFERROR(__xludf.DUMMYFUNCTION("""COMPUTED_VALUE"""),0.0)</f>
        <v>0</v>
      </c>
      <c r="AB122" s="181">
        <f>IFERROR(__xludf.DUMMYFUNCTION("""COMPUTED_VALUE"""),0.0)</f>
        <v>0</v>
      </c>
      <c r="AC122" s="179">
        <f>IFERROR(__xludf.DUMMYFUNCTION("""COMPUTED_VALUE"""),0.0)</f>
        <v>0</v>
      </c>
      <c r="AD122" s="165">
        <f>IFERROR(__xludf.DUMMYFUNCTION("""COMPUTED_VALUE"""),0.0)</f>
        <v>0</v>
      </c>
      <c r="AE122" s="39" t="str">
        <f>IFERROR(__xludf.DUMMYFUNCTION("""COMPUTED_VALUE"""),"Hiroshi Yamakawa")</f>
        <v>Hiroshi Yamakawa</v>
      </c>
      <c r="AF122" s="39" t="str">
        <f>IFERROR(__xludf.DUMMYFUNCTION("""COMPUTED_VALUE"""),"HY20Cerebellum")</f>
        <v>HY20Cerebellum</v>
      </c>
      <c r="AG122" s="39"/>
      <c r="AH122" s="39"/>
      <c r="AI122" s="165"/>
      <c r="AJ122" s="165"/>
      <c r="AK122" s="111"/>
      <c r="AL122" s="111"/>
      <c r="AM122" s="111"/>
      <c r="AN122" s="111"/>
      <c r="AO122" s="111"/>
      <c r="AP122" s="111"/>
      <c r="AQ122" s="116"/>
      <c r="AR122" s="116"/>
      <c r="AS122" s="116"/>
    </row>
    <row r="123">
      <c r="A123" s="42" t="str">
        <f>IFERROR(__xludf.DUMMYFUNCTION("""COMPUTED_VALUE"""),"aSpC")</f>
        <v>aSpC</v>
      </c>
      <c r="B123" s="42"/>
      <c r="C123" s="42"/>
      <c r="D123" s="42" t="str">
        <f>IFERROR(__xludf.DUMMYFUNCTION("""COMPUTED_VALUE"""),"ECu")</f>
        <v>ECu</v>
      </c>
      <c r="E123" s="42"/>
      <c r="F123" s="42"/>
      <c r="G123" s="42"/>
      <c r="H123" s="42" t="str">
        <f>IFERROR(__xludf.DUMMYFUNCTION("""COMPUTED_VALUE"""),"")</f>
        <v/>
      </c>
      <c r="I123" s="42" t="str">
        <f>IFERROR(__xludf.DUMMYFUNCTION("""COMPUTED_VALUE"""),"D’Angelo, 2013")</f>
        <v>D’Angelo, 2013</v>
      </c>
      <c r="J123" s="42"/>
      <c r="K123" s="42"/>
      <c r="L123" s="42"/>
      <c r="M123" s="42"/>
      <c r="N123" s="42"/>
      <c r="O123" s="31" t="str">
        <f>IFERROR(__xludf.DUMMYFUNCTION("""COMPUTED_VALUE"""),"DOC")</f>
        <v>DOC</v>
      </c>
      <c r="P123" s="9" t="str">
        <f>IFERROR(__xludf.DUMMYFUNCTION("""COMPUTED_VALUE"""),"Frontiers in Neural Circuits")</f>
        <v>Frontiers in Neural Circuits</v>
      </c>
      <c r="Q123" s="9" t="str">
        <f>IFERROR(__xludf.DUMMYFUNCTION("""COMPUTED_VALUE"""),"Review")</f>
        <v>Review</v>
      </c>
      <c r="R123" s="179" t="str">
        <f>IFERROR(__xludf.DUMMYFUNCTION("""COMPUTED_VALUE"""),"ECu (00/00) [D’Angelo, 2013];
")</f>
        <v>ECu (00/00) [D’Angelo, 2013];
</v>
      </c>
      <c r="S123" s="179" t="str">
        <f>IFERROR(__xludf.DUMMYFUNCTION("""COMPUTED_VALUE"""),"aSpCECu")</f>
        <v>aSpCECu</v>
      </c>
      <c r="T123" s="179" t="str">
        <f>IFERROR(__xludf.DUMMYFUNCTION("""COMPUTED_VALUE"""),"[D’Angelo, 2013]")</f>
        <v>[D’Angelo, 2013]</v>
      </c>
      <c r="U123" s="179">
        <f>IFERROR(__xludf.DUMMYFUNCTION("""COMPUTED_VALUE"""),0.0)</f>
        <v>0</v>
      </c>
      <c r="V123" s="180">
        <f>IFERROR(__xludf.DUMMYFUNCTION("""COMPUTED_VALUE"""),0.0)</f>
        <v>0</v>
      </c>
      <c r="W123" s="180">
        <f>IFERROR(__xludf.DUMMYFUNCTION("""COMPUTED_VALUE"""),0.95)</f>
        <v>0.95</v>
      </c>
      <c r="X123" s="42">
        <f>IFERROR(__xludf.DUMMYFUNCTION("""COMPUTED_VALUE"""),0.8)</f>
        <v>0.8</v>
      </c>
      <c r="Y123" s="42">
        <f>IFERROR(__xludf.DUMMYFUNCTION("""COMPUTED_VALUE"""),0.0)</f>
        <v>0</v>
      </c>
      <c r="Z123" s="9">
        <f>IFERROR(__xludf.DUMMYFUNCTION("""COMPUTED_VALUE"""),0.0)</f>
        <v>0</v>
      </c>
      <c r="AA123" s="181">
        <f>IFERROR(__xludf.DUMMYFUNCTION("""COMPUTED_VALUE"""),0.0)</f>
        <v>0</v>
      </c>
      <c r="AB123" s="181">
        <f>IFERROR(__xludf.DUMMYFUNCTION("""COMPUTED_VALUE"""),0.0)</f>
        <v>0</v>
      </c>
      <c r="AC123" s="179">
        <f>IFERROR(__xludf.DUMMYFUNCTION("""COMPUTED_VALUE"""),0.0)</f>
        <v>0</v>
      </c>
      <c r="AD123" s="165">
        <f>IFERROR(__xludf.DUMMYFUNCTION("""COMPUTED_VALUE"""),0.0)</f>
        <v>0</v>
      </c>
      <c r="AE123" s="39" t="str">
        <f>IFERROR(__xludf.DUMMYFUNCTION("""COMPUTED_VALUE"""),"Hiroshi Yamakawa")</f>
        <v>Hiroshi Yamakawa</v>
      </c>
      <c r="AF123" s="39" t="str">
        <f>IFERROR(__xludf.DUMMYFUNCTION("""COMPUTED_VALUE"""),"HY20Cerebellum")</f>
        <v>HY20Cerebellum</v>
      </c>
      <c r="AG123" s="39"/>
      <c r="AH123" s="39"/>
      <c r="AI123" s="165"/>
      <c r="AJ123" s="165"/>
      <c r="AK123" s="111"/>
      <c r="AL123" s="111"/>
      <c r="AM123" s="111"/>
      <c r="AN123" s="111"/>
      <c r="AO123" s="111"/>
      <c r="AP123" s="111"/>
      <c r="AQ123" s="116"/>
      <c r="AR123" s="116"/>
      <c r="AS123" s="116"/>
    </row>
    <row r="124">
      <c r="A124" s="42" t="str">
        <f>IFERROR(__xludf.DUMMYFUNCTION("""COMPUTED_VALUE"""),"aSpC")</f>
        <v>aSpC</v>
      </c>
      <c r="B124" s="42"/>
      <c r="C124" s="42"/>
      <c r="D124" s="42" t="str">
        <f>IFERROR(__xludf.DUMMYFUNCTION("""COMPUTED_VALUE"""),"CBPVg")</f>
        <v>CBPVg</v>
      </c>
      <c r="E124" s="42"/>
      <c r="F124" s="42"/>
      <c r="G124" s="42"/>
      <c r="H124" s="42" t="str">
        <f>IFERROR(__xludf.DUMMYFUNCTION("""COMPUTED_VALUE"""),"")</f>
        <v/>
      </c>
      <c r="I124" s="42" t="str">
        <f>IFERROR(__xludf.DUMMYFUNCTION("""COMPUTED_VALUE"""),"Knierim, 2021")</f>
        <v>Knierim, 2021</v>
      </c>
      <c r="J124" s="42"/>
      <c r="K124" s="42"/>
      <c r="L124" s="42"/>
      <c r="M124" s="42"/>
      <c r="N124" s="42"/>
      <c r="O124" s="31" t="str">
        <f>IFERROR(__xludf.DUMMYFUNCTION("""COMPUTED_VALUE"""),"DOC(alt)")</f>
        <v>DOC(alt)</v>
      </c>
      <c r="P124" s="9" t="str">
        <f>IFERROR(__xludf.DUMMYFUNCTION("""COMPUTED_VALUE"""),"Neuroscience Online, an {Open-Access} Neuroscience Electronic Textbook")</f>
        <v>Neuroscience Online, an {Open-Access} Neuroscience Electronic Textbook</v>
      </c>
      <c r="Q124" s="9" t="str">
        <f>IFERROR(__xludf.DUMMYFUNCTION("""COMPUTED_VALUE"""),"Textbook")</f>
        <v>Textbook</v>
      </c>
      <c r="R124" s="179" t="str">
        <f>IFERROR(__xludf.DUMMYFUNCTION("""COMPUTED_VALUE"""),"CBPVg (00/00) [Knierim, 2021];
")</f>
        <v>CBPVg (00/00) [Knierim, 2021];
</v>
      </c>
      <c r="S124" s="179" t="str">
        <f>IFERROR(__xludf.DUMMYFUNCTION("""COMPUTED_VALUE"""),"aSpCCBPVg")</f>
        <v>aSpCCBPVg</v>
      </c>
      <c r="T124" s="179" t="str">
        <f>IFERROR(__xludf.DUMMYFUNCTION("""COMPUTED_VALUE"""),"[Knierim, 2021]")</f>
        <v>[Knierim, 2021]</v>
      </c>
      <c r="U124" s="179">
        <f>IFERROR(__xludf.DUMMYFUNCTION("""COMPUTED_VALUE"""),0.0)</f>
        <v>0</v>
      </c>
      <c r="V124" s="180">
        <f>IFERROR(__xludf.DUMMYFUNCTION("""COMPUTED_VALUE"""),0.0)</f>
        <v>0</v>
      </c>
      <c r="W124" s="180">
        <f>IFERROR(__xludf.DUMMYFUNCTION("""COMPUTED_VALUE"""),0.0)</f>
        <v>0</v>
      </c>
      <c r="X124" s="42">
        <f>IFERROR(__xludf.DUMMYFUNCTION("""COMPUTED_VALUE"""),0.9)</f>
        <v>0.9</v>
      </c>
      <c r="Y124" s="42">
        <f>IFERROR(__xludf.DUMMYFUNCTION("""COMPUTED_VALUE"""),0.0)</f>
        <v>0</v>
      </c>
      <c r="Z124" s="9">
        <f>IFERROR(__xludf.DUMMYFUNCTION("""COMPUTED_VALUE"""),0.0)</f>
        <v>0</v>
      </c>
      <c r="AA124" s="181">
        <f>IFERROR(__xludf.DUMMYFUNCTION("""COMPUTED_VALUE"""),0.0)</f>
        <v>0</v>
      </c>
      <c r="AB124" s="181">
        <f>IFERROR(__xludf.DUMMYFUNCTION("""COMPUTED_VALUE"""),0.0)</f>
        <v>0</v>
      </c>
      <c r="AC124" s="179">
        <f>IFERROR(__xludf.DUMMYFUNCTION("""COMPUTED_VALUE"""),0.0)</f>
        <v>0</v>
      </c>
      <c r="AD124" s="165">
        <f>IFERROR(__xludf.DUMMYFUNCTION("""COMPUTED_VALUE"""),0.0)</f>
        <v>0</v>
      </c>
      <c r="AE124" s="39" t="str">
        <f>IFERROR(__xludf.DUMMYFUNCTION("""COMPUTED_VALUE"""),"Hiroshi Yamakawa")</f>
        <v>Hiroshi Yamakawa</v>
      </c>
      <c r="AF124" s="39" t="str">
        <f>IFERROR(__xludf.DUMMYFUNCTION("""COMPUTED_VALUE"""),"HY20Cerebellum")</f>
        <v>HY20Cerebellum</v>
      </c>
      <c r="AG124" s="39"/>
      <c r="AH124" s="39"/>
      <c r="AI124" s="165"/>
      <c r="AJ124" s="165"/>
      <c r="AK124" s="111"/>
      <c r="AL124" s="111"/>
      <c r="AM124" s="111"/>
      <c r="AN124" s="111"/>
      <c r="AO124" s="111"/>
      <c r="AP124" s="111"/>
      <c r="AQ124" s="116"/>
      <c r="AR124" s="116"/>
      <c r="AS124" s="116"/>
    </row>
    <row r="125">
      <c r="A125" s="42" t="str">
        <f>IFERROR(__xludf.DUMMYFUNCTION("""COMPUTED_VALUE"""),"aSpC")</f>
        <v>aSpC</v>
      </c>
      <c r="B125" s="42"/>
      <c r="C125" s="42"/>
      <c r="D125" s="42" t="str">
        <f>IFERROR(__xludf.DUMMYFUNCTION("""COMPUTED_VALUE"""),"CBVg")</f>
        <v>CBVg</v>
      </c>
      <c r="E125" s="42"/>
      <c r="F125" s="42"/>
      <c r="G125" s="42"/>
      <c r="H125" s="42" t="str">
        <f>IFERROR(__xludf.DUMMYFUNCTION("""COMPUTED_VALUE"""),"")</f>
        <v/>
      </c>
      <c r="I125" s="42" t="str">
        <f>IFERROR(__xludf.DUMMYFUNCTION("""COMPUTED_VALUE"""),"Knierim, 2021")</f>
        <v>Knierim, 2021</v>
      </c>
      <c r="J125" s="42"/>
      <c r="K125" s="42"/>
      <c r="L125" s="42"/>
      <c r="M125" s="42"/>
      <c r="N125" s="42"/>
      <c r="O125" s="31" t="str">
        <f>IFERROR(__xludf.DUMMYFUNCTION("""COMPUTED_VALUE"""),"DOC(alt)")</f>
        <v>DOC(alt)</v>
      </c>
      <c r="P125" s="9" t="str">
        <f>IFERROR(__xludf.DUMMYFUNCTION("""COMPUTED_VALUE"""),"Neuroscience Online, an {Open-Access} Neuroscience Electronic Textbook")</f>
        <v>Neuroscience Online, an {Open-Access} Neuroscience Electronic Textbook</v>
      </c>
      <c r="Q125" s="9" t="str">
        <f>IFERROR(__xludf.DUMMYFUNCTION("""COMPUTED_VALUE"""),"Textbook")</f>
        <v>Textbook</v>
      </c>
      <c r="R125" s="179" t="str">
        <f>IFERROR(__xludf.DUMMYFUNCTION("""COMPUTED_VALUE"""),"CBVg (00/00) [Knierim, 2021];
")</f>
        <v>CBVg (00/00) [Knierim, 2021];
</v>
      </c>
      <c r="S125" s="179" t="str">
        <f>IFERROR(__xludf.DUMMYFUNCTION("""COMPUTED_VALUE"""),"aSpCCBVg")</f>
        <v>aSpCCBVg</v>
      </c>
      <c r="T125" s="179" t="str">
        <f>IFERROR(__xludf.DUMMYFUNCTION("""COMPUTED_VALUE"""),"[Knierim, 2021]")</f>
        <v>[Knierim, 2021]</v>
      </c>
      <c r="U125" s="179">
        <f>IFERROR(__xludf.DUMMYFUNCTION("""COMPUTED_VALUE"""),0.0)</f>
        <v>0</v>
      </c>
      <c r="V125" s="180">
        <f>IFERROR(__xludf.DUMMYFUNCTION("""COMPUTED_VALUE"""),0.0)</f>
        <v>0</v>
      </c>
      <c r="W125" s="180">
        <f>IFERROR(__xludf.DUMMYFUNCTION("""COMPUTED_VALUE"""),0.0)</f>
        <v>0</v>
      </c>
      <c r="X125" s="42">
        <f>IFERROR(__xludf.DUMMYFUNCTION("""COMPUTED_VALUE"""),0.9)</f>
        <v>0.9</v>
      </c>
      <c r="Y125" s="42">
        <f>IFERROR(__xludf.DUMMYFUNCTION("""COMPUTED_VALUE"""),0.0)</f>
        <v>0</v>
      </c>
      <c r="Z125" s="9">
        <f>IFERROR(__xludf.DUMMYFUNCTION("""COMPUTED_VALUE"""),0.0)</f>
        <v>0</v>
      </c>
      <c r="AA125" s="181">
        <f>IFERROR(__xludf.DUMMYFUNCTION("""COMPUTED_VALUE"""),0.0)</f>
        <v>0</v>
      </c>
      <c r="AB125" s="181">
        <f>IFERROR(__xludf.DUMMYFUNCTION("""COMPUTED_VALUE"""),0.0)</f>
        <v>0</v>
      </c>
      <c r="AC125" s="179">
        <f>IFERROR(__xludf.DUMMYFUNCTION("""COMPUTED_VALUE"""),0.0)</f>
        <v>0</v>
      </c>
      <c r="AD125" s="165">
        <f>IFERROR(__xludf.DUMMYFUNCTION("""COMPUTED_VALUE"""),0.0)</f>
        <v>0</v>
      </c>
      <c r="AE125" s="39" t="str">
        <f>IFERROR(__xludf.DUMMYFUNCTION("""COMPUTED_VALUE"""),"Hiroshi Yamakawa")</f>
        <v>Hiroshi Yamakawa</v>
      </c>
      <c r="AF125" s="39" t="str">
        <f>IFERROR(__xludf.DUMMYFUNCTION("""COMPUTED_VALUE"""),"HY20Cerebellum")</f>
        <v>HY20Cerebellum</v>
      </c>
      <c r="AG125" s="39"/>
      <c r="AH125" s="39"/>
      <c r="AI125" s="165"/>
      <c r="AJ125" s="165"/>
      <c r="AK125" s="111"/>
      <c r="AL125" s="111"/>
      <c r="AM125" s="111"/>
      <c r="AN125" s="111"/>
      <c r="AO125" s="111"/>
      <c r="AP125" s="111"/>
      <c r="AQ125" s="116"/>
      <c r="AR125" s="116"/>
      <c r="AS125" s="116"/>
    </row>
    <row r="126">
      <c r="A126" s="42" t="str">
        <f>IFERROR(__xludf.DUMMYFUNCTION("""COMPUTED_VALUE"""),"aSpC")</f>
        <v>aSpC</v>
      </c>
      <c r="B126" s="42"/>
      <c r="C126" s="42"/>
      <c r="D126" s="42" t="str">
        <f>IFERROR(__xludf.DUMMYFUNCTION("""COMPUTED_VALUE"""),"Fas")</f>
        <v>Fas</v>
      </c>
      <c r="E126" s="42"/>
      <c r="F126" s="42"/>
      <c r="G126" s="42"/>
      <c r="H126" s="42" t="str">
        <f>IFERROR(__xludf.DUMMYFUNCTION("""COMPUTED_VALUE"""),"")</f>
        <v/>
      </c>
      <c r="I126" s="42" t="str">
        <f>IFERROR(__xludf.DUMMYFUNCTION("""COMPUTED_VALUE"""),"Knierim, 2021")</f>
        <v>Knierim, 2021</v>
      </c>
      <c r="J126" s="42"/>
      <c r="K126" s="42"/>
      <c r="L126" s="42"/>
      <c r="M126" s="42"/>
      <c r="N126" s="42"/>
      <c r="O126" s="31" t="str">
        <f>IFERROR(__xludf.DUMMYFUNCTION("""COMPUTED_VALUE"""),"DOC(alt)")</f>
        <v>DOC(alt)</v>
      </c>
      <c r="P126" s="9" t="str">
        <f>IFERROR(__xludf.DUMMYFUNCTION("""COMPUTED_VALUE"""),"Neuroscience Online, an {Open-Access} Neuroscience Electronic Textbook")</f>
        <v>Neuroscience Online, an {Open-Access} Neuroscience Electronic Textbook</v>
      </c>
      <c r="Q126" s="9" t="str">
        <f>IFERROR(__xludf.DUMMYFUNCTION("""COMPUTED_VALUE"""),"Textbook")</f>
        <v>Textbook</v>
      </c>
      <c r="R126" s="179" t="str">
        <f>IFERROR(__xludf.DUMMYFUNCTION("""COMPUTED_VALUE"""),"Fas (00/00) [Knierim, 2021];
")</f>
        <v>Fas (00/00) [Knierim, 2021];
</v>
      </c>
      <c r="S126" s="179" t="str">
        <f>IFERROR(__xludf.DUMMYFUNCTION("""COMPUTED_VALUE"""),"aSpCFas")</f>
        <v>aSpCFas</v>
      </c>
      <c r="T126" s="179" t="str">
        <f>IFERROR(__xludf.DUMMYFUNCTION("""COMPUTED_VALUE"""),"[Knierim, 2021]")</f>
        <v>[Knierim, 2021]</v>
      </c>
      <c r="U126" s="179">
        <f>IFERROR(__xludf.DUMMYFUNCTION("""COMPUTED_VALUE"""),0.0)</f>
        <v>0</v>
      </c>
      <c r="V126" s="180">
        <f>IFERROR(__xludf.DUMMYFUNCTION("""COMPUTED_VALUE"""),0.0)</f>
        <v>0</v>
      </c>
      <c r="W126" s="180">
        <f>IFERROR(__xludf.DUMMYFUNCTION("""COMPUTED_VALUE"""),0.0)</f>
        <v>0</v>
      </c>
      <c r="X126" s="42">
        <f>IFERROR(__xludf.DUMMYFUNCTION("""COMPUTED_VALUE"""),0.9)</f>
        <v>0.9</v>
      </c>
      <c r="Y126" s="42">
        <f>IFERROR(__xludf.DUMMYFUNCTION("""COMPUTED_VALUE"""),0.0)</f>
        <v>0</v>
      </c>
      <c r="Z126" s="9">
        <f>IFERROR(__xludf.DUMMYFUNCTION("""COMPUTED_VALUE"""),0.0)</f>
        <v>0</v>
      </c>
      <c r="AA126" s="181">
        <f>IFERROR(__xludf.DUMMYFUNCTION("""COMPUTED_VALUE"""),0.0)</f>
        <v>0</v>
      </c>
      <c r="AB126" s="181">
        <f>IFERROR(__xludf.DUMMYFUNCTION("""COMPUTED_VALUE"""),0.0)</f>
        <v>0</v>
      </c>
      <c r="AC126" s="179">
        <f>IFERROR(__xludf.DUMMYFUNCTION("""COMPUTED_VALUE"""),0.0)</f>
        <v>0</v>
      </c>
      <c r="AD126" s="165">
        <f>IFERROR(__xludf.DUMMYFUNCTION("""COMPUTED_VALUE"""),0.0)</f>
        <v>0</v>
      </c>
      <c r="AE126" s="39" t="str">
        <f>IFERROR(__xludf.DUMMYFUNCTION("""COMPUTED_VALUE"""),"Hiroshi Yamakawa")</f>
        <v>Hiroshi Yamakawa</v>
      </c>
      <c r="AF126" s="39" t="str">
        <f>IFERROR(__xludf.DUMMYFUNCTION("""COMPUTED_VALUE"""),"HY20Cerebellum")</f>
        <v>HY20Cerebellum</v>
      </c>
      <c r="AG126" s="39"/>
      <c r="AH126" s="39"/>
      <c r="AI126" s="165"/>
      <c r="AJ126" s="165"/>
      <c r="AK126" s="111"/>
      <c r="AL126" s="111"/>
      <c r="AM126" s="111"/>
      <c r="AN126" s="111"/>
      <c r="AO126" s="111"/>
      <c r="AP126" s="111"/>
      <c r="AQ126" s="116"/>
      <c r="AR126" s="116"/>
      <c r="AS126" s="116"/>
    </row>
    <row r="127">
      <c r="A127" s="42" t="str">
        <f>IFERROR(__xludf.DUMMYFUNCTION("""COMPUTED_VALUE"""),"aSpC")</f>
        <v>aSpC</v>
      </c>
      <c r="B127" s="42"/>
      <c r="C127" s="42"/>
      <c r="D127" s="42" t="str">
        <f>IFERROR(__xludf.DUMMYFUNCTION("""COMPUTED_VALUE"""),"FNCbg")</f>
        <v>FNCbg</v>
      </c>
      <c r="E127" s="42"/>
      <c r="F127" s="42"/>
      <c r="G127" s="42"/>
      <c r="H127" s="42" t="str">
        <f>IFERROR(__xludf.DUMMYFUNCTION("""COMPUTED_VALUE"""),"")</f>
        <v/>
      </c>
      <c r="I127" s="42" t="str">
        <f>IFERROR(__xludf.DUMMYFUNCTION("""COMPUTED_VALUE"""),"Knierim, 2021")</f>
        <v>Knierim, 2021</v>
      </c>
      <c r="J127" s="42"/>
      <c r="K127" s="42"/>
      <c r="L127" s="42"/>
      <c r="M127" s="42"/>
      <c r="N127" s="42"/>
      <c r="O127" s="31" t="str">
        <f>IFERROR(__xludf.DUMMYFUNCTION("""COMPUTED_VALUE"""),"DOC(alt)")</f>
        <v>DOC(alt)</v>
      </c>
      <c r="P127" s="9" t="str">
        <f>IFERROR(__xludf.DUMMYFUNCTION("""COMPUTED_VALUE"""),"Neuroscience Online, an {Open-Access} Neuroscience Electronic Textbook")</f>
        <v>Neuroscience Online, an {Open-Access} Neuroscience Electronic Textbook</v>
      </c>
      <c r="Q127" s="9" t="str">
        <f>IFERROR(__xludf.DUMMYFUNCTION("""COMPUTED_VALUE"""),"Textbook")</f>
        <v>Textbook</v>
      </c>
      <c r="R127" s="179" t="str">
        <f>IFERROR(__xludf.DUMMYFUNCTION("""COMPUTED_VALUE"""),"FNCbg (00/00) [Knierim, 2021];
")</f>
        <v>FNCbg (00/00) [Knierim, 2021];
</v>
      </c>
      <c r="S127" s="179" t="str">
        <f>IFERROR(__xludf.DUMMYFUNCTION("""COMPUTED_VALUE"""),"aSpCFNCbg")</f>
        <v>aSpCFNCbg</v>
      </c>
      <c r="T127" s="179" t="str">
        <f>IFERROR(__xludf.DUMMYFUNCTION("""COMPUTED_VALUE"""),"[Knierim, 2021]")</f>
        <v>[Knierim, 2021]</v>
      </c>
      <c r="U127" s="179">
        <f>IFERROR(__xludf.DUMMYFUNCTION("""COMPUTED_VALUE"""),0.0)</f>
        <v>0</v>
      </c>
      <c r="V127" s="180">
        <f>IFERROR(__xludf.DUMMYFUNCTION("""COMPUTED_VALUE"""),0.0)</f>
        <v>0</v>
      </c>
      <c r="W127" s="180">
        <f>IFERROR(__xludf.DUMMYFUNCTION("""COMPUTED_VALUE"""),0.0)</f>
        <v>0</v>
      </c>
      <c r="X127" s="42">
        <f>IFERROR(__xludf.DUMMYFUNCTION("""COMPUTED_VALUE"""),0.9)</f>
        <v>0.9</v>
      </c>
      <c r="Y127" s="42">
        <f>IFERROR(__xludf.DUMMYFUNCTION("""COMPUTED_VALUE"""),0.0)</f>
        <v>0</v>
      </c>
      <c r="Z127" s="9">
        <f>IFERROR(__xludf.DUMMYFUNCTION("""COMPUTED_VALUE"""),0.0)</f>
        <v>0</v>
      </c>
      <c r="AA127" s="181">
        <f>IFERROR(__xludf.DUMMYFUNCTION("""COMPUTED_VALUE"""),0.0)</f>
        <v>0</v>
      </c>
      <c r="AB127" s="181">
        <f>IFERROR(__xludf.DUMMYFUNCTION("""COMPUTED_VALUE"""),0.0)</f>
        <v>0</v>
      </c>
      <c r="AC127" s="179">
        <f>IFERROR(__xludf.DUMMYFUNCTION("""COMPUTED_VALUE"""),0.0)</f>
        <v>0</v>
      </c>
      <c r="AD127" s="165">
        <f>IFERROR(__xludf.DUMMYFUNCTION("""COMPUTED_VALUE"""),0.0)</f>
        <v>0</v>
      </c>
      <c r="AE127" s="39" t="str">
        <f>IFERROR(__xludf.DUMMYFUNCTION("""COMPUTED_VALUE"""),"Hiroshi Yamakawa")</f>
        <v>Hiroshi Yamakawa</v>
      </c>
      <c r="AF127" s="39" t="str">
        <f>IFERROR(__xludf.DUMMYFUNCTION("""COMPUTED_VALUE"""),"HY20Cerebellum")</f>
        <v>HY20Cerebellum</v>
      </c>
      <c r="AG127" s="39"/>
      <c r="AH127" s="39"/>
      <c r="AI127" s="165"/>
      <c r="AJ127" s="165"/>
      <c r="AK127" s="111"/>
      <c r="AL127" s="111"/>
      <c r="AM127" s="111"/>
      <c r="AN127" s="111"/>
      <c r="AO127" s="111"/>
      <c r="AP127" s="111"/>
      <c r="AQ127" s="116"/>
      <c r="AR127" s="116"/>
      <c r="AS127" s="116"/>
    </row>
    <row r="128">
      <c r="A128" s="42" t="str">
        <f>IFERROR(__xludf.DUMMYFUNCTION("""COMPUTED_VALUE"""),"aSpC")</f>
        <v>aSpC</v>
      </c>
      <c r="B128" s="42"/>
      <c r="C128" s="42"/>
      <c r="D128" s="42" t="str">
        <f>IFERROR(__xludf.DUMMYFUNCTION("""COMPUTED_VALUE"""),"InP")</f>
        <v>InP</v>
      </c>
      <c r="E128" s="42"/>
      <c r="F128" s="42"/>
      <c r="G128" s="42"/>
      <c r="H128" s="42" t="str">
        <f>IFERROR(__xludf.DUMMYFUNCTION("""COMPUTED_VALUE"""),"")</f>
        <v/>
      </c>
      <c r="I128" s="42" t="str">
        <f>IFERROR(__xludf.DUMMYFUNCTION("""COMPUTED_VALUE"""),"Knierim, 2021")</f>
        <v>Knierim, 2021</v>
      </c>
      <c r="J128" s="42"/>
      <c r="K128" s="42"/>
      <c r="L128" s="42"/>
      <c r="M128" s="42"/>
      <c r="N128" s="42"/>
      <c r="O128" s="31" t="str">
        <f>IFERROR(__xludf.DUMMYFUNCTION("""COMPUTED_VALUE"""),"DOC(alt)")</f>
        <v>DOC(alt)</v>
      </c>
      <c r="P128" s="9" t="str">
        <f>IFERROR(__xludf.DUMMYFUNCTION("""COMPUTED_VALUE"""),"Neuroscience Online, an {Open-Access} Neuroscience Electronic Textbook")</f>
        <v>Neuroscience Online, an {Open-Access} Neuroscience Electronic Textbook</v>
      </c>
      <c r="Q128" s="9" t="str">
        <f>IFERROR(__xludf.DUMMYFUNCTION("""COMPUTED_VALUE"""),"Textbook")</f>
        <v>Textbook</v>
      </c>
      <c r="R128" s="179" t="str">
        <f>IFERROR(__xludf.DUMMYFUNCTION("""COMPUTED_VALUE"""),"InP (00/00) [Knierim, 2021];
")</f>
        <v>InP (00/00) [Knierim, 2021];
</v>
      </c>
      <c r="S128" s="179" t="str">
        <f>IFERROR(__xludf.DUMMYFUNCTION("""COMPUTED_VALUE"""),"aSpCInP")</f>
        <v>aSpCInP</v>
      </c>
      <c r="T128" s="179" t="str">
        <f>IFERROR(__xludf.DUMMYFUNCTION("""COMPUTED_VALUE"""),"[Knierim, 2021]")</f>
        <v>[Knierim, 2021]</v>
      </c>
      <c r="U128" s="179">
        <f>IFERROR(__xludf.DUMMYFUNCTION("""COMPUTED_VALUE"""),0.0)</f>
        <v>0</v>
      </c>
      <c r="V128" s="180">
        <f>IFERROR(__xludf.DUMMYFUNCTION("""COMPUTED_VALUE"""),0.0)</f>
        <v>0</v>
      </c>
      <c r="W128" s="180">
        <f>IFERROR(__xludf.DUMMYFUNCTION("""COMPUTED_VALUE"""),0.0)</f>
        <v>0</v>
      </c>
      <c r="X128" s="42">
        <f>IFERROR(__xludf.DUMMYFUNCTION("""COMPUTED_VALUE"""),0.9)</f>
        <v>0.9</v>
      </c>
      <c r="Y128" s="42">
        <f>IFERROR(__xludf.DUMMYFUNCTION("""COMPUTED_VALUE"""),0.0)</f>
        <v>0</v>
      </c>
      <c r="Z128" s="9">
        <f>IFERROR(__xludf.DUMMYFUNCTION("""COMPUTED_VALUE"""),0.0)</f>
        <v>0</v>
      </c>
      <c r="AA128" s="181">
        <f>IFERROR(__xludf.DUMMYFUNCTION("""COMPUTED_VALUE"""),0.0)</f>
        <v>0</v>
      </c>
      <c r="AB128" s="181">
        <f>IFERROR(__xludf.DUMMYFUNCTION("""COMPUTED_VALUE"""),0.0)</f>
        <v>0</v>
      </c>
      <c r="AC128" s="179">
        <f>IFERROR(__xludf.DUMMYFUNCTION("""COMPUTED_VALUE"""),0.0)</f>
        <v>0</v>
      </c>
      <c r="AD128" s="165">
        <f>IFERROR(__xludf.DUMMYFUNCTION("""COMPUTED_VALUE"""),0.0)</f>
        <v>0</v>
      </c>
      <c r="AE128" s="39" t="str">
        <f>IFERROR(__xludf.DUMMYFUNCTION("""COMPUTED_VALUE"""),"Hiroshi Yamakawa")</f>
        <v>Hiroshi Yamakawa</v>
      </c>
      <c r="AF128" s="39" t="str">
        <f>IFERROR(__xludf.DUMMYFUNCTION("""COMPUTED_VALUE"""),"HY20Cerebellum")</f>
        <v>HY20Cerebellum</v>
      </c>
      <c r="AG128" s="39"/>
      <c r="AH128" s="39"/>
      <c r="AI128" s="165"/>
      <c r="AJ128" s="165"/>
      <c r="AK128" s="111"/>
      <c r="AL128" s="111"/>
      <c r="AM128" s="111"/>
      <c r="AN128" s="111"/>
      <c r="AO128" s="111"/>
      <c r="AP128" s="111"/>
      <c r="AQ128" s="116"/>
      <c r="AR128" s="116"/>
      <c r="AS128" s="116"/>
    </row>
    <row r="129">
      <c r="A129" s="42" t="str">
        <f>IFERROR(__xludf.DUMMYFUNCTION("""COMPUTED_VALUE"""),"ASTC")</f>
        <v>ASTC</v>
      </c>
      <c r="B129" s="42"/>
      <c r="C129" s="42"/>
      <c r="D129" s="42" t="str">
        <f>IFERROR(__xludf.DUMMYFUNCTION("""COMPUTED_VALUE"""),"A1Cr")</f>
        <v>A1Cr</v>
      </c>
      <c r="E129" s="42"/>
      <c r="F129" s="42"/>
      <c r="G129" s="42"/>
      <c r="H129" s="42" t="str">
        <f>IFERROR(__xludf.DUMMYFUNCTION("""COMPUTED_VALUE"""),"")</f>
        <v/>
      </c>
      <c r="I129" s="42" t="str">
        <f>IFERROR(__xludf.DUMMYFUNCTION("""COMPUTED_VALUE"""),"Jasmin, 2019")</f>
        <v>Jasmin, 2019</v>
      </c>
      <c r="J129" s="42"/>
      <c r="K129" s="42"/>
      <c r="L129" s="42"/>
      <c r="M129" s="42"/>
      <c r="N129" s="42"/>
      <c r="O129" s="31" t="str">
        <f>IFERROR(__xludf.DUMMYFUNCTION("""COMPUTED_VALUE"""),"DOC")</f>
        <v>DOC</v>
      </c>
      <c r="P129" s="9" t="str">
        <f>IFERROR(__xludf.DUMMYFUNCTION("""COMPUTED_VALUE"""),"Nature Reviews Neuroscience")</f>
        <v>Nature Reviews Neuroscience</v>
      </c>
      <c r="Q129" s="9" t="str">
        <f>IFERROR(__xludf.DUMMYFUNCTION("""COMPUTED_VALUE"""),"Review")</f>
        <v>Review</v>
      </c>
      <c r="R129" s="179" t="str">
        <f>IFERROR(__xludf.DUMMYFUNCTION("""COMPUTED_VALUE"""),"A1Cr (00/00) [Jasmin, 2019][Scott, 2017];
")</f>
        <v>A1Cr (00/00) [Jasmin, 2019][Scott, 2017];
</v>
      </c>
      <c r="S129" s="179" t="str">
        <f>IFERROR(__xludf.DUMMYFUNCTION("""COMPUTED_VALUE"""),"ASTCA1Cr")</f>
        <v>ASTCA1Cr</v>
      </c>
      <c r="T129" s="179" t="str">
        <f>IFERROR(__xludf.DUMMYFUNCTION("""COMPUTED_VALUE"""),"[Jasmin, 2019]")</f>
        <v>[Jasmin, 2019]</v>
      </c>
      <c r="U129" s="179">
        <f>IFERROR(__xludf.DUMMYFUNCTION("""COMPUTED_VALUE"""),0.0)</f>
        <v>0</v>
      </c>
      <c r="V129" s="180">
        <f>IFERROR(__xludf.DUMMYFUNCTION("""COMPUTED_VALUE"""),0.0)</f>
        <v>0</v>
      </c>
      <c r="W129" s="180">
        <f>IFERROR(__xludf.DUMMYFUNCTION("""COMPUTED_VALUE"""),0.95)</f>
        <v>0.95</v>
      </c>
      <c r="X129" s="42">
        <f>IFERROR(__xludf.DUMMYFUNCTION("""COMPUTED_VALUE"""),0.8)</f>
        <v>0.8</v>
      </c>
      <c r="Y129" s="42">
        <f>IFERROR(__xludf.DUMMYFUNCTION("""COMPUTED_VALUE"""),0.0)</f>
        <v>0</v>
      </c>
      <c r="Z129" s="9">
        <f>IFERROR(__xludf.DUMMYFUNCTION("""COMPUTED_VALUE"""),0.0)</f>
        <v>0</v>
      </c>
      <c r="AA129" s="181">
        <f>IFERROR(__xludf.DUMMYFUNCTION("""COMPUTED_VALUE"""),0.0)</f>
        <v>0</v>
      </c>
      <c r="AB129" s="181">
        <f>IFERROR(__xludf.DUMMYFUNCTION("""COMPUTED_VALUE"""),0.0)</f>
        <v>0</v>
      </c>
      <c r="AC129" s="179">
        <f>IFERROR(__xludf.DUMMYFUNCTION("""COMPUTED_VALUE"""),0.0)</f>
        <v>0</v>
      </c>
      <c r="AD129" s="165">
        <f>IFERROR(__xludf.DUMMYFUNCTION("""COMPUTED_VALUE"""),0.0)</f>
        <v>0</v>
      </c>
      <c r="AE129" s="39" t="str">
        <f>IFERROR(__xludf.DUMMYFUNCTION("""COMPUTED_VALUE"""),"Hiroshi Yamakawa")</f>
        <v>Hiroshi Yamakawa</v>
      </c>
      <c r="AF129" s="39" t="str">
        <f>IFERROR(__xludf.DUMMYFUNCTION("""COMPUTED_VALUE"""),"HY22DAA")</f>
        <v>HY22DAA</v>
      </c>
      <c r="AG129" s="39"/>
      <c r="AH129" s="39"/>
      <c r="AI129" s="165"/>
      <c r="AJ129" s="165"/>
      <c r="AK129" s="111"/>
      <c r="AL129" s="111"/>
      <c r="AM129" s="111"/>
      <c r="AN129" s="111"/>
      <c r="AO129" s="111"/>
      <c r="AP129" s="111"/>
      <c r="AQ129" s="116"/>
      <c r="AR129" s="116"/>
      <c r="AS129" s="116"/>
    </row>
    <row r="130">
      <c r="A130" s="42" t="str">
        <f>IFERROR(__xludf.DUMMYFUNCTION("""COMPUTED_VALUE"""),"ASTC")</f>
        <v>ASTC</v>
      </c>
      <c r="B130" s="42"/>
      <c r="C130" s="42"/>
      <c r="D130" s="42" t="str">
        <f>IFERROR(__xludf.DUMMYFUNCTION("""COMPUTED_VALUE"""),"A38")</f>
        <v>A38</v>
      </c>
      <c r="E130" s="42"/>
      <c r="F130" s="42"/>
      <c r="G130" s="42"/>
      <c r="H130" s="42" t="str">
        <f>IFERROR(__xludf.DUMMYFUNCTION("""COMPUTED_VALUE"""),"")</f>
        <v/>
      </c>
      <c r="I130" s="42" t="str">
        <f>IFERROR(__xludf.DUMMYFUNCTION("""COMPUTED_VALUE"""),"Jasmin, 2019")</f>
        <v>Jasmin, 2019</v>
      </c>
      <c r="J130" s="42"/>
      <c r="K130" s="42"/>
      <c r="L130" s="42"/>
      <c r="M130" s="42"/>
      <c r="N130" s="42"/>
      <c r="O130" s="31" t="str">
        <f>IFERROR(__xludf.DUMMYFUNCTION("""COMPUTED_VALUE"""),"DOC")</f>
        <v>DOC</v>
      </c>
      <c r="P130" s="9" t="str">
        <f>IFERROR(__xludf.DUMMYFUNCTION("""COMPUTED_VALUE"""),"Nature Reviews Neuroscience")</f>
        <v>Nature Reviews Neuroscience</v>
      </c>
      <c r="Q130" s="9" t="str">
        <f>IFERROR(__xludf.DUMMYFUNCTION("""COMPUTED_VALUE"""),"Review")</f>
        <v>Review</v>
      </c>
      <c r="R130" s="179" t="str">
        <f>IFERROR(__xludf.DUMMYFUNCTION("""COMPUTED_VALUE"""),"A38 (00/00) [Jasmin, 2019][Scott, 2017];
")</f>
        <v>A38 (00/00) [Jasmin, 2019][Scott, 2017];
</v>
      </c>
      <c r="S130" s="179" t="str">
        <f>IFERROR(__xludf.DUMMYFUNCTION("""COMPUTED_VALUE"""),"ASTCA38")</f>
        <v>ASTCA38</v>
      </c>
      <c r="T130" s="179" t="str">
        <f>IFERROR(__xludf.DUMMYFUNCTION("""COMPUTED_VALUE"""),"[Jasmin, 2019]")</f>
        <v>[Jasmin, 2019]</v>
      </c>
      <c r="U130" s="179">
        <f>IFERROR(__xludf.DUMMYFUNCTION("""COMPUTED_VALUE"""),0.0)</f>
        <v>0</v>
      </c>
      <c r="V130" s="180">
        <f>IFERROR(__xludf.DUMMYFUNCTION("""COMPUTED_VALUE"""),0.0)</f>
        <v>0</v>
      </c>
      <c r="W130" s="180">
        <f>IFERROR(__xludf.DUMMYFUNCTION("""COMPUTED_VALUE"""),0.95)</f>
        <v>0.95</v>
      </c>
      <c r="X130" s="42">
        <f>IFERROR(__xludf.DUMMYFUNCTION("""COMPUTED_VALUE"""),0.8)</f>
        <v>0.8</v>
      </c>
      <c r="Y130" s="42">
        <f>IFERROR(__xludf.DUMMYFUNCTION("""COMPUTED_VALUE"""),0.0)</f>
        <v>0</v>
      </c>
      <c r="Z130" s="9">
        <f>IFERROR(__xludf.DUMMYFUNCTION("""COMPUTED_VALUE"""),0.0)</f>
        <v>0</v>
      </c>
      <c r="AA130" s="181">
        <f>IFERROR(__xludf.DUMMYFUNCTION("""COMPUTED_VALUE"""),0.0)</f>
        <v>0</v>
      </c>
      <c r="AB130" s="181">
        <f>IFERROR(__xludf.DUMMYFUNCTION("""COMPUTED_VALUE"""),0.0)</f>
        <v>0</v>
      </c>
      <c r="AC130" s="179">
        <f>IFERROR(__xludf.DUMMYFUNCTION("""COMPUTED_VALUE"""),0.0)</f>
        <v>0</v>
      </c>
      <c r="AD130" s="165">
        <f>IFERROR(__xludf.DUMMYFUNCTION("""COMPUTED_VALUE"""),0.0)</f>
        <v>0</v>
      </c>
      <c r="AE130" s="39" t="str">
        <f>IFERROR(__xludf.DUMMYFUNCTION("""COMPUTED_VALUE"""),"Hiroshi Yamakawa")</f>
        <v>Hiroshi Yamakawa</v>
      </c>
      <c r="AF130" s="39" t="str">
        <f>IFERROR(__xludf.DUMMYFUNCTION("""COMPUTED_VALUE"""),"HY22DAA")</f>
        <v>HY22DAA</v>
      </c>
      <c r="AG130" s="39"/>
      <c r="AH130" s="39"/>
      <c r="AI130" s="165"/>
      <c r="AJ130" s="165"/>
      <c r="AK130" s="111"/>
      <c r="AL130" s="111"/>
      <c r="AM130" s="111"/>
      <c r="AN130" s="111"/>
      <c r="AO130" s="111"/>
      <c r="AP130" s="111"/>
      <c r="AQ130" s="116"/>
      <c r="AR130" s="116"/>
      <c r="AS130" s="116"/>
    </row>
    <row r="131">
      <c r="A131" s="42" t="str">
        <f>IFERROR(__xludf.DUMMYFUNCTION("""COMPUTED_VALUE"""),"ASTC")</f>
        <v>ASTC</v>
      </c>
      <c r="B131" s="42"/>
      <c r="C131" s="42"/>
      <c r="D131" s="42" t="str">
        <f>IFERROR(__xludf.DUMMYFUNCTION("""COMPUTED_VALUE"""),"ISTC")</f>
        <v>ISTC</v>
      </c>
      <c r="E131" s="42"/>
      <c r="F131" s="42"/>
      <c r="G131" s="42"/>
      <c r="H131" s="42" t="str">
        <f>IFERROR(__xludf.DUMMYFUNCTION("""COMPUTED_VALUE"""),"")</f>
        <v/>
      </c>
      <c r="I131" s="42" t="str">
        <f>IFERROR(__xludf.DUMMYFUNCTION("""COMPUTED_VALUE"""),"Jasmin, 2019")</f>
        <v>Jasmin, 2019</v>
      </c>
      <c r="J131" s="42"/>
      <c r="K131" s="42"/>
      <c r="L131" s="42"/>
      <c r="M131" s="42"/>
      <c r="N131" s="42"/>
      <c r="O131" s="31" t="str">
        <f>IFERROR(__xludf.DUMMYFUNCTION("""COMPUTED_VALUE"""),"DOC")</f>
        <v>DOC</v>
      </c>
      <c r="P131" s="9" t="str">
        <f>IFERROR(__xludf.DUMMYFUNCTION("""COMPUTED_VALUE"""),"Nature Reviews Neuroscience")</f>
        <v>Nature Reviews Neuroscience</v>
      </c>
      <c r="Q131" s="9" t="str">
        <f>IFERROR(__xludf.DUMMYFUNCTION("""COMPUTED_VALUE"""),"Review")</f>
        <v>Review</v>
      </c>
      <c r="R131" s="179" t="str">
        <f>IFERROR(__xludf.DUMMYFUNCTION("""COMPUTED_VALUE"""),"ISTC (00/00) [Jasmin, 2019];
")</f>
        <v>ISTC (00/00) [Jasmin, 2019];
</v>
      </c>
      <c r="S131" s="179" t="str">
        <f>IFERROR(__xludf.DUMMYFUNCTION("""COMPUTED_VALUE"""),"ASTCISTC")</f>
        <v>ASTCISTC</v>
      </c>
      <c r="T131" s="179" t="str">
        <f>IFERROR(__xludf.DUMMYFUNCTION("""COMPUTED_VALUE"""),"[Jasmin, 2019]")</f>
        <v>[Jasmin, 2019]</v>
      </c>
      <c r="U131" s="179">
        <f>IFERROR(__xludf.DUMMYFUNCTION("""COMPUTED_VALUE"""),0.0)</f>
        <v>0</v>
      </c>
      <c r="V131" s="180">
        <f>IFERROR(__xludf.DUMMYFUNCTION("""COMPUTED_VALUE"""),0.0)</f>
        <v>0</v>
      </c>
      <c r="W131" s="180">
        <f>IFERROR(__xludf.DUMMYFUNCTION("""COMPUTED_VALUE"""),0.95)</f>
        <v>0.95</v>
      </c>
      <c r="X131" s="42">
        <f>IFERROR(__xludf.DUMMYFUNCTION("""COMPUTED_VALUE"""),0.8)</f>
        <v>0.8</v>
      </c>
      <c r="Y131" s="42">
        <f>IFERROR(__xludf.DUMMYFUNCTION("""COMPUTED_VALUE"""),0.0)</f>
        <v>0</v>
      </c>
      <c r="Z131" s="9">
        <f>IFERROR(__xludf.DUMMYFUNCTION("""COMPUTED_VALUE"""),0.0)</f>
        <v>0</v>
      </c>
      <c r="AA131" s="181">
        <f>IFERROR(__xludf.DUMMYFUNCTION("""COMPUTED_VALUE"""),0.0)</f>
        <v>0</v>
      </c>
      <c r="AB131" s="181">
        <f>IFERROR(__xludf.DUMMYFUNCTION("""COMPUTED_VALUE"""),0.0)</f>
        <v>0</v>
      </c>
      <c r="AC131" s="179">
        <f>IFERROR(__xludf.DUMMYFUNCTION("""COMPUTED_VALUE"""),0.0)</f>
        <v>0</v>
      </c>
      <c r="AD131" s="165">
        <f>IFERROR(__xludf.DUMMYFUNCTION("""COMPUTED_VALUE"""),0.0)</f>
        <v>0</v>
      </c>
      <c r="AE131" s="39" t="str">
        <f>IFERROR(__xludf.DUMMYFUNCTION("""COMPUTED_VALUE"""),"Hiroshi Yamakawa")</f>
        <v>Hiroshi Yamakawa</v>
      </c>
      <c r="AF131" s="39" t="str">
        <f>IFERROR(__xludf.DUMMYFUNCTION("""COMPUTED_VALUE"""),"HY22DAA")</f>
        <v>HY22DAA</v>
      </c>
      <c r="AG131" s="39"/>
      <c r="AH131" s="39"/>
      <c r="AI131" s="165"/>
      <c r="AJ131" s="165"/>
      <c r="AK131" s="111"/>
      <c r="AL131" s="111"/>
      <c r="AM131" s="111"/>
      <c r="AN131" s="111"/>
      <c r="AO131" s="111"/>
      <c r="AP131" s="111"/>
      <c r="AQ131" s="116"/>
      <c r="AR131" s="116"/>
      <c r="AS131" s="116"/>
    </row>
    <row r="132">
      <c r="A132" s="42" t="str">
        <f>IFERROR(__xludf.DUMMYFUNCTION("""COMPUTED_VALUE"""),"ASTC")</f>
        <v>ASTC</v>
      </c>
      <c r="B132" s="42"/>
      <c r="C132" s="42"/>
      <c r="D132" s="42" t="str">
        <f>IFERROR(__xludf.DUMMYFUNCTION("""COMPUTED_VALUE"""),"A1Cr")</f>
        <v>A1Cr</v>
      </c>
      <c r="E132" s="42"/>
      <c r="F132" s="42"/>
      <c r="G132" s="42"/>
      <c r="H132" s="42" t="str">
        <f>IFERROR(__xludf.DUMMYFUNCTION("""COMPUTED_VALUE"""),"")</f>
        <v/>
      </c>
      <c r="I132" s="42" t="str">
        <f>IFERROR(__xludf.DUMMYFUNCTION("""COMPUTED_VALUE"""),"Scott, 2017")</f>
        <v>Scott, 2017</v>
      </c>
      <c r="J132" s="42"/>
      <c r="K132" s="42"/>
      <c r="L132" s="42"/>
      <c r="M132" s="42"/>
      <c r="N132" s="42"/>
      <c r="O132" s="31" t="str">
        <f>IFERROR(__xludf.DUMMYFUNCTION("""COMPUTED_VALUE"""),"DOC")</f>
        <v>DOC</v>
      </c>
      <c r="P132" s="9" t="str">
        <f>IFERROR(__xludf.DUMMYFUNCTION("""COMPUTED_VALUE"""),"Journal of Comparative Neurology")</f>
        <v>Journal of Comparative Neurology</v>
      </c>
      <c r="Q132" s="9" t="str">
        <f>IFERROR(__xludf.DUMMYFUNCTION("""COMPUTED_VALUE"""),"Experimental results")</f>
        <v>Experimental results</v>
      </c>
      <c r="R132" s="179" t="str">
        <f>IFERROR(__xludf.DUMMYFUNCTION("""COMPUTED_VALUE"""),"A1Cr (00/00) [Jasmin, 2019][Scott, 2017];
")</f>
        <v>A1Cr (00/00) [Jasmin, 2019][Scott, 2017];
</v>
      </c>
      <c r="S132" s="179" t="str">
        <f>IFERROR(__xludf.DUMMYFUNCTION("""COMPUTED_VALUE"""),"ASTCA1Cr")</f>
        <v>ASTCA1Cr</v>
      </c>
      <c r="T132" s="179" t="str">
        <f>IFERROR(__xludf.DUMMYFUNCTION("""COMPUTED_VALUE"""),"[Scott, 2017]")</f>
        <v>[Scott, 2017]</v>
      </c>
      <c r="U132" s="179">
        <f>IFERROR(__xludf.DUMMYFUNCTION("""COMPUTED_VALUE"""),0.0)</f>
        <v>0</v>
      </c>
      <c r="V132" s="180">
        <f>IFERROR(__xludf.DUMMYFUNCTION("""COMPUTED_VALUE"""),0.0)</f>
        <v>0</v>
      </c>
      <c r="W132" s="180">
        <f>IFERROR(__xludf.DUMMYFUNCTION("""COMPUTED_VALUE"""),0.95)</f>
        <v>0.95</v>
      </c>
      <c r="X132" s="42">
        <f>IFERROR(__xludf.DUMMYFUNCTION("""COMPUTED_VALUE"""),1.0)</f>
        <v>1</v>
      </c>
      <c r="Y132" s="42">
        <f>IFERROR(__xludf.DUMMYFUNCTION("""COMPUTED_VALUE"""),0.0)</f>
        <v>0</v>
      </c>
      <c r="Z132" s="9">
        <f>IFERROR(__xludf.DUMMYFUNCTION("""COMPUTED_VALUE"""),0.0)</f>
        <v>0</v>
      </c>
      <c r="AA132" s="181">
        <f>IFERROR(__xludf.DUMMYFUNCTION("""COMPUTED_VALUE"""),0.0)</f>
        <v>0</v>
      </c>
      <c r="AB132" s="181">
        <f>IFERROR(__xludf.DUMMYFUNCTION("""COMPUTED_VALUE"""),0.0)</f>
        <v>0</v>
      </c>
      <c r="AC132" s="179">
        <f>IFERROR(__xludf.DUMMYFUNCTION("""COMPUTED_VALUE"""),0.0)</f>
        <v>0</v>
      </c>
      <c r="AD132" s="165">
        <f>IFERROR(__xludf.DUMMYFUNCTION("""COMPUTED_VALUE"""),0.0)</f>
        <v>0</v>
      </c>
      <c r="AE132" s="39" t="str">
        <f>IFERROR(__xludf.DUMMYFUNCTION("""COMPUTED_VALUE"""),"Hiroshi Yamakawa")</f>
        <v>Hiroshi Yamakawa</v>
      </c>
      <c r="AF132" s="39" t="str">
        <f>IFERROR(__xludf.DUMMYFUNCTION("""COMPUTED_VALUE"""),"HY22DAA")</f>
        <v>HY22DAA</v>
      </c>
      <c r="AG132" s="39"/>
      <c r="AH132" s="39"/>
      <c r="AI132" s="165"/>
      <c r="AJ132" s="165"/>
      <c r="AK132" s="111"/>
      <c r="AL132" s="111"/>
      <c r="AM132" s="111"/>
      <c r="AN132" s="111"/>
      <c r="AO132" s="111"/>
      <c r="AP132" s="111"/>
      <c r="AQ132" s="116"/>
      <c r="AR132" s="116"/>
      <c r="AS132" s="116"/>
    </row>
    <row r="133">
      <c r="A133" s="42" t="str">
        <f>IFERROR(__xludf.DUMMYFUNCTION("""COMPUTED_VALUE"""),"ASTC")</f>
        <v>ASTC</v>
      </c>
      <c r="B133" s="42"/>
      <c r="C133" s="42"/>
      <c r="D133" s="42" t="str">
        <f>IFERROR(__xludf.DUMMYFUNCTION("""COMPUTED_VALUE"""),"A38")</f>
        <v>A38</v>
      </c>
      <c r="E133" s="42"/>
      <c r="F133" s="42"/>
      <c r="G133" s="42"/>
      <c r="H133" s="42" t="str">
        <f>IFERROR(__xludf.DUMMYFUNCTION("""COMPUTED_VALUE"""),"")</f>
        <v/>
      </c>
      <c r="I133" s="42" t="str">
        <f>IFERROR(__xludf.DUMMYFUNCTION("""COMPUTED_VALUE"""),"Scott, 2017")</f>
        <v>Scott, 2017</v>
      </c>
      <c r="J133" s="42"/>
      <c r="K133" s="42"/>
      <c r="L133" s="42"/>
      <c r="M133" s="42"/>
      <c r="N133" s="42"/>
      <c r="O133" s="31" t="str">
        <f>IFERROR(__xludf.DUMMYFUNCTION("""COMPUTED_VALUE"""),"DOC")</f>
        <v>DOC</v>
      </c>
      <c r="P133" s="9" t="str">
        <f>IFERROR(__xludf.DUMMYFUNCTION("""COMPUTED_VALUE"""),"Journal of Comparative Neurology")</f>
        <v>Journal of Comparative Neurology</v>
      </c>
      <c r="Q133" s="9" t="str">
        <f>IFERROR(__xludf.DUMMYFUNCTION("""COMPUTED_VALUE"""),"Experimental results")</f>
        <v>Experimental results</v>
      </c>
      <c r="R133" s="179" t="str">
        <f>IFERROR(__xludf.DUMMYFUNCTION("""COMPUTED_VALUE"""),"A38 (00/00) [Jasmin, 2019][Scott, 2017];
")</f>
        <v>A38 (00/00) [Jasmin, 2019][Scott, 2017];
</v>
      </c>
      <c r="S133" s="179" t="str">
        <f>IFERROR(__xludf.DUMMYFUNCTION("""COMPUTED_VALUE"""),"ASTCA38")</f>
        <v>ASTCA38</v>
      </c>
      <c r="T133" s="179" t="str">
        <f>IFERROR(__xludf.DUMMYFUNCTION("""COMPUTED_VALUE"""),"[Scott, 2017]")</f>
        <v>[Scott, 2017]</v>
      </c>
      <c r="U133" s="179">
        <f>IFERROR(__xludf.DUMMYFUNCTION("""COMPUTED_VALUE"""),0.0)</f>
        <v>0</v>
      </c>
      <c r="V133" s="180">
        <f>IFERROR(__xludf.DUMMYFUNCTION("""COMPUTED_VALUE"""),0.0)</f>
        <v>0</v>
      </c>
      <c r="W133" s="180">
        <f>IFERROR(__xludf.DUMMYFUNCTION("""COMPUTED_VALUE"""),0.95)</f>
        <v>0.95</v>
      </c>
      <c r="X133" s="42">
        <f>IFERROR(__xludf.DUMMYFUNCTION("""COMPUTED_VALUE"""),1.0)</f>
        <v>1</v>
      </c>
      <c r="Y133" s="42">
        <f>IFERROR(__xludf.DUMMYFUNCTION("""COMPUTED_VALUE"""),0.0)</f>
        <v>0</v>
      </c>
      <c r="Z133" s="9">
        <f>IFERROR(__xludf.DUMMYFUNCTION("""COMPUTED_VALUE"""),0.0)</f>
        <v>0</v>
      </c>
      <c r="AA133" s="181">
        <f>IFERROR(__xludf.DUMMYFUNCTION("""COMPUTED_VALUE"""),0.0)</f>
        <v>0</v>
      </c>
      <c r="AB133" s="181">
        <f>IFERROR(__xludf.DUMMYFUNCTION("""COMPUTED_VALUE"""),0.0)</f>
        <v>0</v>
      </c>
      <c r="AC133" s="179">
        <f>IFERROR(__xludf.DUMMYFUNCTION("""COMPUTED_VALUE"""),0.0)</f>
        <v>0</v>
      </c>
      <c r="AD133" s="165">
        <f>IFERROR(__xludf.DUMMYFUNCTION("""COMPUTED_VALUE"""),0.0)</f>
        <v>0</v>
      </c>
      <c r="AE133" s="39" t="str">
        <f>IFERROR(__xludf.DUMMYFUNCTION("""COMPUTED_VALUE"""),"Hiroshi Yamakawa")</f>
        <v>Hiroshi Yamakawa</v>
      </c>
      <c r="AF133" s="39" t="str">
        <f>IFERROR(__xludf.DUMMYFUNCTION("""COMPUTED_VALUE"""),"HY22DAA")</f>
        <v>HY22DAA</v>
      </c>
      <c r="AG133" s="39"/>
      <c r="AH133" s="39"/>
      <c r="AI133" s="165"/>
      <c r="AJ133" s="165"/>
      <c r="AK133" s="111"/>
      <c r="AL133" s="111"/>
      <c r="AM133" s="111"/>
      <c r="AN133" s="111"/>
      <c r="AO133" s="111"/>
      <c r="AP133" s="111"/>
      <c r="AQ133" s="116"/>
      <c r="AR133" s="116"/>
      <c r="AS133" s="116"/>
    </row>
    <row r="134">
      <c r="A134" s="42" t="str">
        <f>IFERROR(__xludf.DUMMYFUNCTION("""COMPUTED_VALUE"""),"ASTC")</f>
        <v>ASTC</v>
      </c>
      <c r="B134" s="42"/>
      <c r="C134" s="42"/>
      <c r="D134" s="42" t="str">
        <f>IFERROR(__xludf.DUMMYFUNCTION("""COMPUTED_VALUE"""),"AuR")</f>
        <v>AuR</v>
      </c>
      <c r="E134" s="42"/>
      <c r="F134" s="42"/>
      <c r="G134" s="42"/>
      <c r="H134" s="42" t="str">
        <f>IFERROR(__xludf.DUMMYFUNCTION("""COMPUTED_VALUE"""),"")</f>
        <v/>
      </c>
      <c r="I134" s="42" t="str">
        <f>IFERROR(__xludf.DUMMYFUNCTION("""COMPUTED_VALUE"""),"Scott, 2017")</f>
        <v>Scott, 2017</v>
      </c>
      <c r="J134" s="42"/>
      <c r="K134" s="42"/>
      <c r="L134" s="42"/>
      <c r="M134" s="42"/>
      <c r="N134" s="42"/>
      <c r="O134" s="31" t="str">
        <f>IFERROR(__xludf.DUMMYFUNCTION("""COMPUTED_VALUE"""),"DOC")</f>
        <v>DOC</v>
      </c>
      <c r="P134" s="9" t="str">
        <f>IFERROR(__xludf.DUMMYFUNCTION("""COMPUTED_VALUE"""),"Journal of Comparative Neurology")</f>
        <v>Journal of Comparative Neurology</v>
      </c>
      <c r="Q134" s="9" t="str">
        <f>IFERROR(__xludf.DUMMYFUNCTION("""COMPUTED_VALUE"""),"Experimental results")</f>
        <v>Experimental results</v>
      </c>
      <c r="R134" s="179" t="str">
        <f>IFERROR(__xludf.DUMMYFUNCTION("""COMPUTED_VALUE"""),"AuR (00/00) [Scott, 2017];
")</f>
        <v>AuR (00/00) [Scott, 2017];
</v>
      </c>
      <c r="S134" s="179" t="str">
        <f>IFERROR(__xludf.DUMMYFUNCTION("""COMPUTED_VALUE"""),"ASTCAuR")</f>
        <v>ASTCAuR</v>
      </c>
      <c r="T134" s="179" t="str">
        <f>IFERROR(__xludf.DUMMYFUNCTION("""COMPUTED_VALUE"""),"[Scott, 2017]")</f>
        <v>[Scott, 2017]</v>
      </c>
      <c r="U134" s="179">
        <f>IFERROR(__xludf.DUMMYFUNCTION("""COMPUTED_VALUE"""),0.0)</f>
        <v>0</v>
      </c>
      <c r="V134" s="180">
        <f>IFERROR(__xludf.DUMMYFUNCTION("""COMPUTED_VALUE"""),0.0)</f>
        <v>0</v>
      </c>
      <c r="W134" s="180">
        <f>IFERROR(__xludf.DUMMYFUNCTION("""COMPUTED_VALUE"""),0.95)</f>
        <v>0.95</v>
      </c>
      <c r="X134" s="42">
        <f>IFERROR(__xludf.DUMMYFUNCTION("""COMPUTED_VALUE"""),1.0)</f>
        <v>1</v>
      </c>
      <c r="Y134" s="42">
        <f>IFERROR(__xludf.DUMMYFUNCTION("""COMPUTED_VALUE"""),0.0)</f>
        <v>0</v>
      </c>
      <c r="Z134" s="9">
        <f>IFERROR(__xludf.DUMMYFUNCTION("""COMPUTED_VALUE"""),0.0)</f>
        <v>0</v>
      </c>
      <c r="AA134" s="181">
        <f>IFERROR(__xludf.DUMMYFUNCTION("""COMPUTED_VALUE"""),0.0)</f>
        <v>0</v>
      </c>
      <c r="AB134" s="181">
        <f>IFERROR(__xludf.DUMMYFUNCTION("""COMPUTED_VALUE"""),0.0)</f>
        <v>0</v>
      </c>
      <c r="AC134" s="179">
        <f>IFERROR(__xludf.DUMMYFUNCTION("""COMPUTED_VALUE"""),0.0)</f>
        <v>0</v>
      </c>
      <c r="AD134" s="165">
        <f>IFERROR(__xludf.DUMMYFUNCTION("""COMPUTED_VALUE"""),0.0)</f>
        <v>0</v>
      </c>
      <c r="AE134" s="39" t="str">
        <f>IFERROR(__xludf.DUMMYFUNCTION("""COMPUTED_VALUE"""),"Hiroshi Yamakawa")</f>
        <v>Hiroshi Yamakawa</v>
      </c>
      <c r="AF134" s="39" t="str">
        <f>IFERROR(__xludf.DUMMYFUNCTION("""COMPUTED_VALUE"""),"HY22DAA")</f>
        <v>HY22DAA</v>
      </c>
      <c r="AG134" s="39"/>
      <c r="AH134" s="39"/>
      <c r="AI134" s="114"/>
      <c r="AJ134" s="165"/>
      <c r="AK134" s="111"/>
      <c r="AL134" s="111"/>
      <c r="AM134" s="111"/>
      <c r="AN134" s="111"/>
      <c r="AO134" s="111"/>
      <c r="AP134" s="111"/>
      <c r="AQ134" s="116"/>
      <c r="AR134" s="116"/>
      <c r="AS134" s="116"/>
    </row>
    <row r="135">
      <c r="A135" s="42" t="str">
        <f>IFERROR(__xludf.DUMMYFUNCTION("""COMPUTED_VALUE"""),"AuA1")</f>
        <v>AuA1</v>
      </c>
      <c r="B135" s="42"/>
      <c r="C135" s="42"/>
      <c r="D135" s="42" t="str">
        <f>IFERROR(__xludf.DUMMYFUNCTION("""COMPUTED_VALUE"""),"AuCL")</f>
        <v>AuCL</v>
      </c>
      <c r="E135" s="42"/>
      <c r="F135" s="42"/>
      <c r="G135" s="42"/>
      <c r="H135" s="42" t="str">
        <f>IFERROR(__xludf.DUMMYFUNCTION("""COMPUTED_VALUE"""),"")</f>
        <v/>
      </c>
      <c r="I135" s="42" t="str">
        <f>IFERROR(__xludf.DUMMYFUNCTION("""COMPUTED_VALUE"""),"Jasmin, 2019")</f>
        <v>Jasmin, 2019</v>
      </c>
      <c r="J135" s="42"/>
      <c r="K135" s="42"/>
      <c r="L135" s="42"/>
      <c r="M135" s="42"/>
      <c r="N135" s="42"/>
      <c r="O135" s="31" t="str">
        <f>IFERROR(__xludf.DUMMYFUNCTION("""COMPUTED_VALUE"""),"DOC")</f>
        <v>DOC</v>
      </c>
      <c r="P135" s="9" t="str">
        <f>IFERROR(__xludf.DUMMYFUNCTION("""COMPUTED_VALUE"""),"Nature Reviews Neuroscience")</f>
        <v>Nature Reviews Neuroscience</v>
      </c>
      <c r="Q135" s="9" t="str">
        <f>IFERROR(__xludf.DUMMYFUNCTION("""COMPUTED_VALUE"""),"Review")</f>
        <v>Review</v>
      </c>
      <c r="R135" s="179" t="str">
        <f>IFERROR(__xludf.DUMMYFUNCTION("""COMPUTED_VALUE"""),"AuCL (00/00) [Jasmin, 2019][Romanski, 2009];
")</f>
        <v>AuCL (00/00) [Jasmin, 2019][Romanski, 2009];
</v>
      </c>
      <c r="S135" s="179" t="str">
        <f>IFERROR(__xludf.DUMMYFUNCTION("""COMPUTED_VALUE"""),"AuA1AuCL")</f>
        <v>AuA1AuCL</v>
      </c>
      <c r="T135" s="179" t="str">
        <f>IFERROR(__xludf.DUMMYFUNCTION("""COMPUTED_VALUE"""),"[Jasmin, 2019]")</f>
        <v>[Jasmin, 2019]</v>
      </c>
      <c r="U135" s="179">
        <f>IFERROR(__xludf.DUMMYFUNCTION("""COMPUTED_VALUE"""),0.0)</f>
        <v>0</v>
      </c>
      <c r="V135" s="180">
        <f>IFERROR(__xludf.DUMMYFUNCTION("""COMPUTED_VALUE"""),0.0)</f>
        <v>0</v>
      </c>
      <c r="W135" s="180">
        <f>IFERROR(__xludf.DUMMYFUNCTION("""COMPUTED_VALUE"""),0.95)</f>
        <v>0.95</v>
      </c>
      <c r="X135" s="42">
        <f>IFERROR(__xludf.DUMMYFUNCTION("""COMPUTED_VALUE"""),0.8)</f>
        <v>0.8</v>
      </c>
      <c r="Y135" s="42">
        <f>IFERROR(__xludf.DUMMYFUNCTION("""COMPUTED_VALUE"""),0.0)</f>
        <v>0</v>
      </c>
      <c r="Z135" s="9">
        <f>IFERROR(__xludf.DUMMYFUNCTION("""COMPUTED_VALUE"""),0.0)</f>
        <v>0</v>
      </c>
      <c r="AA135" s="181">
        <f>IFERROR(__xludf.DUMMYFUNCTION("""COMPUTED_VALUE"""),0.0)</f>
        <v>0</v>
      </c>
      <c r="AB135" s="181">
        <f>IFERROR(__xludf.DUMMYFUNCTION("""COMPUTED_VALUE"""),0.0)</f>
        <v>0</v>
      </c>
      <c r="AC135" s="179">
        <f>IFERROR(__xludf.DUMMYFUNCTION("""COMPUTED_VALUE"""),0.0)</f>
        <v>0</v>
      </c>
      <c r="AD135" s="165">
        <f>IFERROR(__xludf.DUMMYFUNCTION("""COMPUTED_VALUE"""),0.0)</f>
        <v>0</v>
      </c>
      <c r="AE135" s="39" t="str">
        <f>IFERROR(__xludf.DUMMYFUNCTION("""COMPUTED_VALUE"""),"Hiroshi Yamakawa")</f>
        <v>Hiroshi Yamakawa</v>
      </c>
      <c r="AF135" s="39" t="str">
        <f>IFERROR(__xludf.DUMMYFUNCTION("""COMPUTED_VALUE"""),"HY22DAA")</f>
        <v>HY22DAA</v>
      </c>
      <c r="AG135" s="39"/>
      <c r="AH135" s="39"/>
      <c r="AI135" s="165"/>
      <c r="AJ135" s="165"/>
      <c r="AK135" s="111"/>
      <c r="AL135" s="111"/>
      <c r="AM135" s="111"/>
      <c r="AN135" s="111"/>
      <c r="AO135" s="111"/>
      <c r="AP135" s="111"/>
      <c r="AQ135" s="116"/>
      <c r="AR135" s="116"/>
      <c r="AS135" s="116"/>
    </row>
    <row r="136">
      <c r="A136" s="42" t="str">
        <f>IFERROR(__xludf.DUMMYFUNCTION("""COMPUTED_VALUE"""),"AuA1")</f>
        <v>AuA1</v>
      </c>
      <c r="B136" s="42"/>
      <c r="C136" s="42"/>
      <c r="D136" s="42" t="str">
        <f>IFERROR(__xludf.DUMMYFUNCTION("""COMPUTED_VALUE"""),"AuCM")</f>
        <v>AuCM</v>
      </c>
      <c r="E136" s="42"/>
      <c r="F136" s="42"/>
      <c r="G136" s="42"/>
      <c r="H136" s="42" t="str">
        <f>IFERROR(__xludf.DUMMYFUNCTION("""COMPUTED_VALUE"""),"")</f>
        <v/>
      </c>
      <c r="I136" s="42" t="str">
        <f>IFERROR(__xludf.DUMMYFUNCTION("""COMPUTED_VALUE"""),"Jasmin, 2019")</f>
        <v>Jasmin, 2019</v>
      </c>
      <c r="J136" s="42"/>
      <c r="K136" s="42"/>
      <c r="L136" s="42"/>
      <c r="M136" s="42"/>
      <c r="N136" s="42"/>
      <c r="O136" s="31" t="str">
        <f>IFERROR(__xludf.DUMMYFUNCTION("""COMPUTED_VALUE"""),"DOC")</f>
        <v>DOC</v>
      </c>
      <c r="P136" s="9" t="str">
        <f>IFERROR(__xludf.DUMMYFUNCTION("""COMPUTED_VALUE"""),"Nature Reviews Neuroscience")</f>
        <v>Nature Reviews Neuroscience</v>
      </c>
      <c r="Q136" s="9" t="str">
        <f>IFERROR(__xludf.DUMMYFUNCTION("""COMPUTED_VALUE"""),"Review")</f>
        <v>Review</v>
      </c>
      <c r="R136" s="179" t="str">
        <f>IFERROR(__xludf.DUMMYFUNCTION("""COMPUTED_VALUE"""),"AuCM (00/00) [Jasmin, 2019][Romanski, 2009];
")</f>
        <v>AuCM (00/00) [Jasmin, 2019][Romanski, 2009];
</v>
      </c>
      <c r="S136" s="179" t="str">
        <f>IFERROR(__xludf.DUMMYFUNCTION("""COMPUTED_VALUE"""),"AuA1AuCM")</f>
        <v>AuA1AuCM</v>
      </c>
      <c r="T136" s="179" t="str">
        <f>IFERROR(__xludf.DUMMYFUNCTION("""COMPUTED_VALUE"""),"[Jasmin, 2019]")</f>
        <v>[Jasmin, 2019]</v>
      </c>
      <c r="U136" s="179">
        <f>IFERROR(__xludf.DUMMYFUNCTION("""COMPUTED_VALUE"""),0.0)</f>
        <v>0</v>
      </c>
      <c r="V136" s="180">
        <f>IFERROR(__xludf.DUMMYFUNCTION("""COMPUTED_VALUE"""),0.0)</f>
        <v>0</v>
      </c>
      <c r="W136" s="180">
        <f>IFERROR(__xludf.DUMMYFUNCTION("""COMPUTED_VALUE"""),0.95)</f>
        <v>0.95</v>
      </c>
      <c r="X136" s="42">
        <f>IFERROR(__xludf.DUMMYFUNCTION("""COMPUTED_VALUE"""),0.8)</f>
        <v>0.8</v>
      </c>
      <c r="Y136" s="42">
        <f>IFERROR(__xludf.DUMMYFUNCTION("""COMPUTED_VALUE"""),0.0)</f>
        <v>0</v>
      </c>
      <c r="Z136" s="9">
        <f>IFERROR(__xludf.DUMMYFUNCTION("""COMPUTED_VALUE"""),0.0)</f>
        <v>0</v>
      </c>
      <c r="AA136" s="181">
        <f>IFERROR(__xludf.DUMMYFUNCTION("""COMPUTED_VALUE"""),0.0)</f>
        <v>0</v>
      </c>
      <c r="AB136" s="181">
        <f>IFERROR(__xludf.DUMMYFUNCTION("""COMPUTED_VALUE"""),0.0)</f>
        <v>0</v>
      </c>
      <c r="AC136" s="179">
        <f>IFERROR(__xludf.DUMMYFUNCTION("""COMPUTED_VALUE"""),0.0)</f>
        <v>0</v>
      </c>
      <c r="AD136" s="165">
        <f>IFERROR(__xludf.DUMMYFUNCTION("""COMPUTED_VALUE"""),0.0)</f>
        <v>0</v>
      </c>
      <c r="AE136" s="39" t="str">
        <f>IFERROR(__xludf.DUMMYFUNCTION("""COMPUTED_VALUE"""),"Hiroshi Yamakawa")</f>
        <v>Hiroshi Yamakawa</v>
      </c>
      <c r="AF136" s="39" t="str">
        <f>IFERROR(__xludf.DUMMYFUNCTION("""COMPUTED_VALUE"""),"HY22DAA")</f>
        <v>HY22DAA</v>
      </c>
      <c r="AG136" s="39"/>
      <c r="AH136" s="39"/>
      <c r="AI136" s="165"/>
      <c r="AJ136" s="165"/>
      <c r="AK136" s="111"/>
      <c r="AL136" s="111"/>
      <c r="AM136" s="111"/>
      <c r="AN136" s="111"/>
      <c r="AO136" s="111"/>
      <c r="AP136" s="111"/>
      <c r="AQ136" s="116"/>
      <c r="AR136" s="116"/>
      <c r="AS136" s="116"/>
    </row>
    <row r="137">
      <c r="A137" s="42" t="str">
        <f>IFERROR(__xludf.DUMMYFUNCTION("""COMPUTED_VALUE"""),"AuA1")</f>
        <v>AuA1</v>
      </c>
      <c r="B137" s="42"/>
      <c r="C137" s="42"/>
      <c r="D137" s="42" t="str">
        <f>IFERROR(__xludf.DUMMYFUNCTION("""COMPUTED_VALUE"""),"AuML")</f>
        <v>AuML</v>
      </c>
      <c r="E137" s="42"/>
      <c r="F137" s="42"/>
      <c r="G137" s="42"/>
      <c r="H137" s="42" t="str">
        <f>IFERROR(__xludf.DUMMYFUNCTION("""COMPUTED_VALUE"""),"")</f>
        <v/>
      </c>
      <c r="I137" s="42" t="str">
        <f>IFERROR(__xludf.DUMMYFUNCTION("""COMPUTED_VALUE"""),"Jasmin, 2019")</f>
        <v>Jasmin, 2019</v>
      </c>
      <c r="J137" s="42"/>
      <c r="K137" s="42"/>
      <c r="L137" s="42"/>
      <c r="M137" s="42"/>
      <c r="N137" s="42"/>
      <c r="O137" s="31" t="str">
        <f>IFERROR(__xludf.DUMMYFUNCTION("""COMPUTED_VALUE"""),"DOC")</f>
        <v>DOC</v>
      </c>
      <c r="P137" s="9" t="str">
        <f>IFERROR(__xludf.DUMMYFUNCTION("""COMPUTED_VALUE"""),"Nature Reviews Neuroscience")</f>
        <v>Nature Reviews Neuroscience</v>
      </c>
      <c r="Q137" s="9" t="str">
        <f>IFERROR(__xludf.DUMMYFUNCTION("""COMPUTED_VALUE"""),"Review")</f>
        <v>Review</v>
      </c>
      <c r="R137" s="179" t="str">
        <f>IFERROR(__xludf.DUMMYFUNCTION("""COMPUTED_VALUE"""),"AuML (00/00) [Jasmin, 2019][Romanski, 2009];
")</f>
        <v>AuML (00/00) [Jasmin, 2019][Romanski, 2009];
</v>
      </c>
      <c r="S137" s="179" t="str">
        <f>IFERROR(__xludf.DUMMYFUNCTION("""COMPUTED_VALUE"""),"AuA1AuML")</f>
        <v>AuA1AuML</v>
      </c>
      <c r="T137" s="179" t="str">
        <f>IFERROR(__xludf.DUMMYFUNCTION("""COMPUTED_VALUE"""),"[Jasmin, 2019]")</f>
        <v>[Jasmin, 2019]</v>
      </c>
      <c r="U137" s="179">
        <f>IFERROR(__xludf.DUMMYFUNCTION("""COMPUTED_VALUE"""),0.0)</f>
        <v>0</v>
      </c>
      <c r="V137" s="180">
        <f>IFERROR(__xludf.DUMMYFUNCTION("""COMPUTED_VALUE"""),0.0)</f>
        <v>0</v>
      </c>
      <c r="W137" s="180">
        <f>IFERROR(__xludf.DUMMYFUNCTION("""COMPUTED_VALUE"""),0.95)</f>
        <v>0.95</v>
      </c>
      <c r="X137" s="42">
        <f>IFERROR(__xludf.DUMMYFUNCTION("""COMPUTED_VALUE"""),0.8)</f>
        <v>0.8</v>
      </c>
      <c r="Y137" s="42">
        <f>IFERROR(__xludf.DUMMYFUNCTION("""COMPUTED_VALUE"""),0.0)</f>
        <v>0</v>
      </c>
      <c r="Z137" s="9">
        <f>IFERROR(__xludf.DUMMYFUNCTION("""COMPUTED_VALUE"""),0.0)</f>
        <v>0</v>
      </c>
      <c r="AA137" s="181">
        <f>IFERROR(__xludf.DUMMYFUNCTION("""COMPUTED_VALUE"""),0.0)</f>
        <v>0</v>
      </c>
      <c r="AB137" s="181">
        <f>IFERROR(__xludf.DUMMYFUNCTION("""COMPUTED_VALUE"""),0.0)</f>
        <v>0</v>
      </c>
      <c r="AC137" s="179">
        <f>IFERROR(__xludf.DUMMYFUNCTION("""COMPUTED_VALUE"""),0.0)</f>
        <v>0</v>
      </c>
      <c r="AD137" s="165">
        <f>IFERROR(__xludf.DUMMYFUNCTION("""COMPUTED_VALUE"""),0.0)</f>
        <v>0</v>
      </c>
      <c r="AE137" s="39" t="str">
        <f>IFERROR(__xludf.DUMMYFUNCTION("""COMPUTED_VALUE"""),"Hiroshi Yamakawa")</f>
        <v>Hiroshi Yamakawa</v>
      </c>
      <c r="AF137" s="39" t="str">
        <f>IFERROR(__xludf.DUMMYFUNCTION("""COMPUTED_VALUE"""),"HY22DAA")</f>
        <v>HY22DAA</v>
      </c>
      <c r="AG137" s="39"/>
      <c r="AH137" s="39"/>
      <c r="AI137" s="165"/>
      <c r="AJ137" s="165"/>
      <c r="AK137" s="111"/>
      <c r="AL137" s="111"/>
      <c r="AM137" s="111"/>
      <c r="AN137" s="111"/>
      <c r="AO137" s="111"/>
      <c r="AP137" s="111"/>
      <c r="AQ137" s="116"/>
      <c r="AR137" s="116"/>
      <c r="AS137" s="116"/>
    </row>
    <row r="138">
      <c r="A138" s="42" t="str">
        <f>IFERROR(__xludf.DUMMYFUNCTION("""COMPUTED_VALUE"""),"AuA1")</f>
        <v>AuA1</v>
      </c>
      <c r="B138" s="42"/>
      <c r="C138" s="42"/>
      <c r="D138" s="42" t="str">
        <f>IFERROR(__xludf.DUMMYFUNCTION("""COMPUTED_VALUE"""),"AuR")</f>
        <v>AuR</v>
      </c>
      <c r="E138" s="42"/>
      <c r="F138" s="42"/>
      <c r="G138" s="42"/>
      <c r="H138" s="42" t="str">
        <f>IFERROR(__xludf.DUMMYFUNCTION("""COMPUTED_VALUE"""),"")</f>
        <v/>
      </c>
      <c r="I138" s="42" t="str">
        <f>IFERROR(__xludf.DUMMYFUNCTION("""COMPUTED_VALUE"""),"Jasmin, 2019")</f>
        <v>Jasmin, 2019</v>
      </c>
      <c r="J138" s="42"/>
      <c r="K138" s="42"/>
      <c r="L138" s="42"/>
      <c r="M138" s="42"/>
      <c r="N138" s="42"/>
      <c r="O138" s="31" t="str">
        <f>IFERROR(__xludf.DUMMYFUNCTION("""COMPUTED_VALUE"""),"DOC")</f>
        <v>DOC</v>
      </c>
      <c r="P138" s="9" t="str">
        <f>IFERROR(__xludf.DUMMYFUNCTION("""COMPUTED_VALUE"""),"Nature Reviews Neuroscience")</f>
        <v>Nature Reviews Neuroscience</v>
      </c>
      <c r="Q138" s="9" t="str">
        <f>IFERROR(__xludf.DUMMYFUNCTION("""COMPUTED_VALUE"""),"Review")</f>
        <v>Review</v>
      </c>
      <c r="R138" s="179" t="str">
        <f>IFERROR(__xludf.DUMMYFUNCTION("""COMPUTED_VALUE"""),"AuR (00/00) [Jasmin, 2019][Romanski, 2009][Scott, 2017];
")</f>
        <v>AuR (00/00) [Jasmin, 2019][Romanski, 2009][Scott, 2017];
</v>
      </c>
      <c r="S138" s="179" t="str">
        <f>IFERROR(__xludf.DUMMYFUNCTION("""COMPUTED_VALUE"""),"AuA1AuR")</f>
        <v>AuA1AuR</v>
      </c>
      <c r="T138" s="179" t="str">
        <f>IFERROR(__xludf.DUMMYFUNCTION("""COMPUTED_VALUE"""),"[Jasmin, 2019]")</f>
        <v>[Jasmin, 2019]</v>
      </c>
      <c r="U138" s="179">
        <f>IFERROR(__xludf.DUMMYFUNCTION("""COMPUTED_VALUE"""),0.0)</f>
        <v>0</v>
      </c>
      <c r="V138" s="180">
        <f>IFERROR(__xludf.DUMMYFUNCTION("""COMPUTED_VALUE"""),0.0)</f>
        <v>0</v>
      </c>
      <c r="W138" s="180">
        <f>IFERROR(__xludf.DUMMYFUNCTION("""COMPUTED_VALUE"""),0.95)</f>
        <v>0.95</v>
      </c>
      <c r="X138" s="42">
        <f>IFERROR(__xludf.DUMMYFUNCTION("""COMPUTED_VALUE"""),0.8)</f>
        <v>0.8</v>
      </c>
      <c r="Y138" s="42">
        <f>IFERROR(__xludf.DUMMYFUNCTION("""COMPUTED_VALUE"""),0.0)</f>
        <v>0</v>
      </c>
      <c r="Z138" s="9">
        <f>IFERROR(__xludf.DUMMYFUNCTION("""COMPUTED_VALUE"""),0.0)</f>
        <v>0</v>
      </c>
      <c r="AA138" s="181">
        <f>IFERROR(__xludf.DUMMYFUNCTION("""COMPUTED_VALUE"""),0.0)</f>
        <v>0</v>
      </c>
      <c r="AB138" s="181">
        <f>IFERROR(__xludf.DUMMYFUNCTION("""COMPUTED_VALUE"""),0.0)</f>
        <v>0</v>
      </c>
      <c r="AC138" s="179">
        <f>IFERROR(__xludf.DUMMYFUNCTION("""COMPUTED_VALUE"""),0.0)</f>
        <v>0</v>
      </c>
      <c r="AD138" s="165">
        <f>IFERROR(__xludf.DUMMYFUNCTION("""COMPUTED_VALUE"""),0.0)</f>
        <v>0</v>
      </c>
      <c r="AE138" s="39" t="str">
        <f>IFERROR(__xludf.DUMMYFUNCTION("""COMPUTED_VALUE"""),"Hiroshi Yamakawa")</f>
        <v>Hiroshi Yamakawa</v>
      </c>
      <c r="AF138" s="39" t="str">
        <f>IFERROR(__xludf.DUMMYFUNCTION("""COMPUTED_VALUE"""),"HY22DAA")</f>
        <v>HY22DAA</v>
      </c>
      <c r="AG138" s="39"/>
      <c r="AH138" s="39"/>
      <c r="AI138" s="165"/>
      <c r="AJ138" s="165"/>
      <c r="AK138" s="111"/>
      <c r="AL138" s="111"/>
      <c r="AM138" s="111"/>
      <c r="AN138" s="111"/>
      <c r="AO138" s="111"/>
      <c r="AP138" s="111"/>
      <c r="AQ138" s="116"/>
      <c r="AR138" s="116"/>
      <c r="AS138" s="116"/>
    </row>
    <row r="139">
      <c r="A139" s="42" t="str">
        <f>IFERROR(__xludf.DUMMYFUNCTION("""COMPUTED_VALUE"""),"AuA1")</f>
        <v>AuA1</v>
      </c>
      <c r="B139" s="42"/>
      <c r="C139" s="42"/>
      <c r="D139" s="42" t="str">
        <f>IFERROR(__xludf.DUMMYFUNCTION("""COMPUTED_VALUE"""),"STC")</f>
        <v>STC</v>
      </c>
      <c r="E139" s="42"/>
      <c r="F139" s="42"/>
      <c r="G139" s="42"/>
      <c r="H139" s="42" t="str">
        <f>IFERROR(__xludf.DUMMYFUNCTION("""COMPUTED_VALUE"""),"")</f>
        <v/>
      </c>
      <c r="I139" s="42" t="str">
        <f>IFERROR(__xludf.DUMMYFUNCTION("""COMPUTED_VALUE"""),"Jasmin, 2019")</f>
        <v>Jasmin, 2019</v>
      </c>
      <c r="J139" s="42"/>
      <c r="K139" s="42"/>
      <c r="L139" s="42"/>
      <c r="M139" s="42"/>
      <c r="N139" s="42"/>
      <c r="O139" s="31" t="str">
        <f>IFERROR(__xludf.DUMMYFUNCTION("""COMPUTED_VALUE"""),"DOC")</f>
        <v>DOC</v>
      </c>
      <c r="P139" s="9" t="str">
        <f>IFERROR(__xludf.DUMMYFUNCTION("""COMPUTED_VALUE"""),"Nature Reviews Neuroscience")</f>
        <v>Nature Reviews Neuroscience</v>
      </c>
      <c r="Q139" s="9" t="str">
        <f>IFERROR(__xludf.DUMMYFUNCTION("""COMPUTED_VALUE"""),"Review")</f>
        <v>Review</v>
      </c>
      <c r="R139" s="179" t="str">
        <f>IFERROR(__xludf.DUMMYFUNCTION("""COMPUTED_VALUE"""),"STC (00/00) [Jasmin, 2019];
")</f>
        <v>STC (00/00) [Jasmin, 2019];
</v>
      </c>
      <c r="S139" s="179" t="str">
        <f>IFERROR(__xludf.DUMMYFUNCTION("""COMPUTED_VALUE"""),"AuA1STC")</f>
        <v>AuA1STC</v>
      </c>
      <c r="T139" s="179" t="str">
        <f>IFERROR(__xludf.DUMMYFUNCTION("""COMPUTED_VALUE"""),"[Jasmin, 2019]")</f>
        <v>[Jasmin, 2019]</v>
      </c>
      <c r="U139" s="179">
        <f>IFERROR(__xludf.DUMMYFUNCTION("""COMPUTED_VALUE"""),0.0)</f>
        <v>0</v>
      </c>
      <c r="V139" s="180">
        <f>IFERROR(__xludf.DUMMYFUNCTION("""COMPUTED_VALUE"""),0.0)</f>
        <v>0</v>
      </c>
      <c r="W139" s="180">
        <f>IFERROR(__xludf.DUMMYFUNCTION("""COMPUTED_VALUE"""),0.95)</f>
        <v>0.95</v>
      </c>
      <c r="X139" s="42">
        <f>IFERROR(__xludf.DUMMYFUNCTION("""COMPUTED_VALUE"""),0.8)</f>
        <v>0.8</v>
      </c>
      <c r="Y139" s="42">
        <f>IFERROR(__xludf.DUMMYFUNCTION("""COMPUTED_VALUE"""),0.0)</f>
        <v>0</v>
      </c>
      <c r="Z139" s="9">
        <f>IFERROR(__xludf.DUMMYFUNCTION("""COMPUTED_VALUE"""),0.0)</f>
        <v>0</v>
      </c>
      <c r="AA139" s="181">
        <f>IFERROR(__xludf.DUMMYFUNCTION("""COMPUTED_VALUE"""),0.0)</f>
        <v>0</v>
      </c>
      <c r="AB139" s="181">
        <f>IFERROR(__xludf.DUMMYFUNCTION("""COMPUTED_VALUE"""),0.0)</f>
        <v>0</v>
      </c>
      <c r="AC139" s="179">
        <f>IFERROR(__xludf.DUMMYFUNCTION("""COMPUTED_VALUE"""),0.0)</f>
        <v>0</v>
      </c>
      <c r="AD139" s="165">
        <f>IFERROR(__xludf.DUMMYFUNCTION("""COMPUTED_VALUE"""),0.0)</f>
        <v>0</v>
      </c>
      <c r="AE139" s="39" t="str">
        <f>IFERROR(__xludf.DUMMYFUNCTION("""COMPUTED_VALUE"""),"Hiroshi Yamakawa")</f>
        <v>Hiroshi Yamakawa</v>
      </c>
      <c r="AF139" s="39" t="str">
        <f>IFERROR(__xludf.DUMMYFUNCTION("""COMPUTED_VALUE"""),"HY22DAA")</f>
        <v>HY22DAA</v>
      </c>
      <c r="AG139" s="39"/>
      <c r="AH139" s="39"/>
      <c r="AI139" s="165"/>
      <c r="AJ139" s="165"/>
      <c r="AK139" s="111"/>
      <c r="AL139" s="111"/>
      <c r="AM139" s="111"/>
      <c r="AN139" s="111"/>
      <c r="AO139" s="111"/>
      <c r="AP139" s="111"/>
      <c r="AQ139" s="116"/>
      <c r="AR139" s="116"/>
      <c r="AS139" s="116"/>
    </row>
    <row r="140">
      <c r="A140" s="42" t="str">
        <f>IFERROR(__xludf.DUMMYFUNCTION("""COMPUTED_VALUE"""),"AuA1")</f>
        <v>AuA1</v>
      </c>
      <c r="B140" s="42"/>
      <c r="C140" s="42"/>
      <c r="D140" s="42" t="str">
        <f>IFERROR(__xludf.DUMMYFUNCTION("""COMPUTED_VALUE"""),"AuAL")</f>
        <v>AuAL</v>
      </c>
      <c r="E140" s="42"/>
      <c r="F140" s="42"/>
      <c r="G140" s="42"/>
      <c r="H140" s="42" t="str">
        <f>IFERROR(__xludf.DUMMYFUNCTION("""COMPUTED_VALUE"""),"")</f>
        <v/>
      </c>
      <c r="I140" s="42" t="str">
        <f>IFERROR(__xludf.DUMMYFUNCTION("""COMPUTED_VALUE"""),"Romanski, 2009")</f>
        <v>Romanski, 2009</v>
      </c>
      <c r="J140" s="42"/>
      <c r="K140" s="42"/>
      <c r="L140" s="42"/>
      <c r="M140" s="42"/>
      <c r="N140" s="42"/>
      <c r="O140" s="31" t="str">
        <f>IFERROR(__xludf.DUMMYFUNCTION("""COMPUTED_VALUE"""),"DOC")</f>
        <v>DOC</v>
      </c>
      <c r="P140" s="9" t="str">
        <f>IFERROR(__xludf.DUMMYFUNCTION("""COMPUTED_VALUE"""),"Annual Review of Neuroscience")</f>
        <v>Annual Review of Neuroscience</v>
      </c>
      <c r="Q140" s="9"/>
      <c r="R140" s="179" t="str">
        <f>IFERROR(__xludf.DUMMYFUNCTION("""COMPUTED_VALUE"""),"AuAL (00/00) [Romanski, 2009];
")</f>
        <v>AuAL (00/00) [Romanski, 2009];
</v>
      </c>
      <c r="S140" s="179" t="str">
        <f>IFERROR(__xludf.DUMMYFUNCTION("""COMPUTED_VALUE"""),"AuA1AuAL")</f>
        <v>AuA1AuAL</v>
      </c>
      <c r="T140" s="179" t="str">
        <f>IFERROR(__xludf.DUMMYFUNCTION("""COMPUTED_VALUE"""),"[Romanski, 2009]")</f>
        <v>[Romanski, 2009]</v>
      </c>
      <c r="U140" s="179">
        <f>IFERROR(__xludf.DUMMYFUNCTION("""COMPUTED_VALUE"""),0.0)</f>
        <v>0</v>
      </c>
      <c r="V140" s="180">
        <f>IFERROR(__xludf.DUMMYFUNCTION("""COMPUTED_VALUE"""),0.0)</f>
        <v>0</v>
      </c>
      <c r="W140" s="180">
        <f>IFERROR(__xludf.DUMMYFUNCTION("""COMPUTED_VALUE"""),0.95)</f>
        <v>0.95</v>
      </c>
      <c r="X140" s="42">
        <f>IFERROR(__xludf.DUMMYFUNCTION("""COMPUTED_VALUE"""),0.0)</f>
        <v>0</v>
      </c>
      <c r="Y140" s="42">
        <f>IFERROR(__xludf.DUMMYFUNCTION("""COMPUTED_VALUE"""),0.0)</f>
        <v>0</v>
      </c>
      <c r="Z140" s="9">
        <f>IFERROR(__xludf.DUMMYFUNCTION("""COMPUTED_VALUE"""),0.0)</f>
        <v>0</v>
      </c>
      <c r="AA140" s="181">
        <f>IFERROR(__xludf.DUMMYFUNCTION("""COMPUTED_VALUE"""),0.0)</f>
        <v>0</v>
      </c>
      <c r="AB140" s="181">
        <f>IFERROR(__xludf.DUMMYFUNCTION("""COMPUTED_VALUE"""),0.0)</f>
        <v>0</v>
      </c>
      <c r="AC140" s="179">
        <f>IFERROR(__xludf.DUMMYFUNCTION("""COMPUTED_VALUE"""),0.0)</f>
        <v>0</v>
      </c>
      <c r="AD140" s="165">
        <f>IFERROR(__xludf.DUMMYFUNCTION("""COMPUTED_VALUE"""),0.0)</f>
        <v>0</v>
      </c>
      <c r="AE140" s="39" t="str">
        <f>IFERROR(__xludf.DUMMYFUNCTION("""COMPUTED_VALUE"""),"Hiroshi Yamakawa")</f>
        <v>Hiroshi Yamakawa</v>
      </c>
      <c r="AF140" s="39" t="str">
        <f>IFERROR(__xludf.DUMMYFUNCTION("""COMPUTED_VALUE"""),"HY22DAA")</f>
        <v>HY22DAA</v>
      </c>
      <c r="AG140" s="39"/>
      <c r="AH140" s="39"/>
      <c r="AI140" s="165"/>
      <c r="AJ140" s="165"/>
      <c r="AK140" s="111"/>
      <c r="AL140" s="111"/>
      <c r="AM140" s="111"/>
      <c r="AN140" s="111"/>
      <c r="AO140" s="111"/>
      <c r="AP140" s="111"/>
      <c r="AQ140" s="116"/>
      <c r="AR140" s="116"/>
      <c r="AS140" s="116"/>
    </row>
    <row r="141">
      <c r="A141" s="42" t="str">
        <f>IFERROR(__xludf.DUMMYFUNCTION("""COMPUTED_VALUE"""),"AuA1")</f>
        <v>AuA1</v>
      </c>
      <c r="B141" s="42"/>
      <c r="C141" s="42"/>
      <c r="D141" s="42" t="str">
        <f>IFERROR(__xludf.DUMMYFUNCTION("""COMPUTED_VALUE"""),"AuCL")</f>
        <v>AuCL</v>
      </c>
      <c r="E141" s="42"/>
      <c r="F141" s="42"/>
      <c r="G141" s="42"/>
      <c r="H141" s="42" t="str">
        <f>IFERROR(__xludf.DUMMYFUNCTION("""COMPUTED_VALUE"""),"")</f>
        <v/>
      </c>
      <c r="I141" s="42" t="str">
        <f>IFERROR(__xludf.DUMMYFUNCTION("""COMPUTED_VALUE"""),"Romanski, 2009")</f>
        <v>Romanski, 2009</v>
      </c>
      <c r="J141" s="42"/>
      <c r="K141" s="42"/>
      <c r="L141" s="42"/>
      <c r="M141" s="42"/>
      <c r="N141" s="42"/>
      <c r="O141" s="31" t="str">
        <f>IFERROR(__xludf.DUMMYFUNCTION("""COMPUTED_VALUE"""),"DOC")</f>
        <v>DOC</v>
      </c>
      <c r="P141" s="9" t="str">
        <f>IFERROR(__xludf.DUMMYFUNCTION("""COMPUTED_VALUE"""),"Annual Review of Neuroscience")</f>
        <v>Annual Review of Neuroscience</v>
      </c>
      <c r="Q141" s="9"/>
      <c r="R141" s="179" t="str">
        <f>IFERROR(__xludf.DUMMYFUNCTION("""COMPUTED_VALUE"""),"AuCL (00/00) [Jasmin, 2019][Romanski, 2009];
")</f>
        <v>AuCL (00/00) [Jasmin, 2019][Romanski, 2009];
</v>
      </c>
      <c r="S141" s="179" t="str">
        <f>IFERROR(__xludf.DUMMYFUNCTION("""COMPUTED_VALUE"""),"AuA1AuCL")</f>
        <v>AuA1AuCL</v>
      </c>
      <c r="T141" s="179" t="str">
        <f>IFERROR(__xludf.DUMMYFUNCTION("""COMPUTED_VALUE"""),"[Romanski, 2009]")</f>
        <v>[Romanski, 2009]</v>
      </c>
      <c r="U141" s="179">
        <f>IFERROR(__xludf.DUMMYFUNCTION("""COMPUTED_VALUE"""),0.0)</f>
        <v>0</v>
      </c>
      <c r="V141" s="180">
        <f>IFERROR(__xludf.DUMMYFUNCTION("""COMPUTED_VALUE"""),0.0)</f>
        <v>0</v>
      </c>
      <c r="W141" s="180">
        <f>IFERROR(__xludf.DUMMYFUNCTION("""COMPUTED_VALUE"""),0.95)</f>
        <v>0.95</v>
      </c>
      <c r="X141" s="42">
        <f>IFERROR(__xludf.DUMMYFUNCTION("""COMPUTED_VALUE"""),0.0)</f>
        <v>0</v>
      </c>
      <c r="Y141" s="42">
        <f>IFERROR(__xludf.DUMMYFUNCTION("""COMPUTED_VALUE"""),0.0)</f>
        <v>0</v>
      </c>
      <c r="Z141" s="9">
        <f>IFERROR(__xludf.DUMMYFUNCTION("""COMPUTED_VALUE"""),0.0)</f>
        <v>0</v>
      </c>
      <c r="AA141" s="181">
        <f>IFERROR(__xludf.DUMMYFUNCTION("""COMPUTED_VALUE"""),0.0)</f>
        <v>0</v>
      </c>
      <c r="AB141" s="181">
        <f>IFERROR(__xludf.DUMMYFUNCTION("""COMPUTED_VALUE"""),0.0)</f>
        <v>0</v>
      </c>
      <c r="AC141" s="179">
        <f>IFERROR(__xludf.DUMMYFUNCTION("""COMPUTED_VALUE"""),0.0)</f>
        <v>0</v>
      </c>
      <c r="AD141" s="165">
        <f>IFERROR(__xludf.DUMMYFUNCTION("""COMPUTED_VALUE"""),0.0)</f>
        <v>0</v>
      </c>
      <c r="AE141" s="39" t="str">
        <f>IFERROR(__xludf.DUMMYFUNCTION("""COMPUTED_VALUE"""),"Hiroshi Yamakawa")</f>
        <v>Hiroshi Yamakawa</v>
      </c>
      <c r="AF141" s="39" t="str">
        <f>IFERROR(__xludf.DUMMYFUNCTION("""COMPUTED_VALUE"""),"HY22DAA")</f>
        <v>HY22DAA</v>
      </c>
      <c r="AG141" s="39"/>
      <c r="AH141" s="39"/>
      <c r="AI141" s="165"/>
      <c r="AJ141" s="165"/>
      <c r="AK141" s="111"/>
      <c r="AL141" s="111"/>
      <c r="AM141" s="111"/>
      <c r="AN141" s="111"/>
      <c r="AO141" s="111"/>
      <c r="AP141" s="111"/>
      <c r="AQ141" s="116"/>
      <c r="AR141" s="116"/>
      <c r="AS141" s="116"/>
    </row>
    <row r="142">
      <c r="A142" s="42" t="str">
        <f>IFERROR(__xludf.DUMMYFUNCTION("""COMPUTED_VALUE"""),"AuA1")</f>
        <v>AuA1</v>
      </c>
      <c r="B142" s="42"/>
      <c r="C142" s="42"/>
      <c r="D142" s="42" t="str">
        <f>IFERROR(__xludf.DUMMYFUNCTION("""COMPUTED_VALUE"""),"AuCM")</f>
        <v>AuCM</v>
      </c>
      <c r="E142" s="42"/>
      <c r="F142" s="42"/>
      <c r="G142" s="42"/>
      <c r="H142" s="42" t="str">
        <f>IFERROR(__xludf.DUMMYFUNCTION("""COMPUTED_VALUE"""),"")</f>
        <v/>
      </c>
      <c r="I142" s="42" t="str">
        <f>IFERROR(__xludf.DUMMYFUNCTION("""COMPUTED_VALUE"""),"Romanski, 2009")</f>
        <v>Romanski, 2009</v>
      </c>
      <c r="J142" s="42"/>
      <c r="K142" s="42"/>
      <c r="L142" s="42"/>
      <c r="M142" s="42"/>
      <c r="N142" s="42"/>
      <c r="O142" s="31" t="str">
        <f>IFERROR(__xludf.DUMMYFUNCTION("""COMPUTED_VALUE"""),"DOC")</f>
        <v>DOC</v>
      </c>
      <c r="P142" s="9" t="str">
        <f>IFERROR(__xludf.DUMMYFUNCTION("""COMPUTED_VALUE"""),"Annual Review of Neuroscience")</f>
        <v>Annual Review of Neuroscience</v>
      </c>
      <c r="Q142" s="9"/>
      <c r="R142" s="179" t="str">
        <f>IFERROR(__xludf.DUMMYFUNCTION("""COMPUTED_VALUE"""),"AuCM (00/00) [Jasmin, 2019][Romanski, 2009];
")</f>
        <v>AuCM (00/00) [Jasmin, 2019][Romanski, 2009];
</v>
      </c>
      <c r="S142" s="179" t="str">
        <f>IFERROR(__xludf.DUMMYFUNCTION("""COMPUTED_VALUE"""),"AuA1AuCM")</f>
        <v>AuA1AuCM</v>
      </c>
      <c r="T142" s="179" t="str">
        <f>IFERROR(__xludf.DUMMYFUNCTION("""COMPUTED_VALUE"""),"[Romanski, 2009]")</f>
        <v>[Romanski, 2009]</v>
      </c>
      <c r="U142" s="179">
        <f>IFERROR(__xludf.DUMMYFUNCTION("""COMPUTED_VALUE"""),0.0)</f>
        <v>0</v>
      </c>
      <c r="V142" s="180">
        <f>IFERROR(__xludf.DUMMYFUNCTION("""COMPUTED_VALUE"""),0.0)</f>
        <v>0</v>
      </c>
      <c r="W142" s="180">
        <f>IFERROR(__xludf.DUMMYFUNCTION("""COMPUTED_VALUE"""),0.95)</f>
        <v>0.95</v>
      </c>
      <c r="X142" s="42">
        <f>IFERROR(__xludf.DUMMYFUNCTION("""COMPUTED_VALUE"""),0.0)</f>
        <v>0</v>
      </c>
      <c r="Y142" s="42">
        <f>IFERROR(__xludf.DUMMYFUNCTION("""COMPUTED_VALUE"""),0.0)</f>
        <v>0</v>
      </c>
      <c r="Z142" s="9">
        <f>IFERROR(__xludf.DUMMYFUNCTION("""COMPUTED_VALUE"""),0.0)</f>
        <v>0</v>
      </c>
      <c r="AA142" s="181">
        <f>IFERROR(__xludf.DUMMYFUNCTION("""COMPUTED_VALUE"""),0.0)</f>
        <v>0</v>
      </c>
      <c r="AB142" s="181">
        <f>IFERROR(__xludf.DUMMYFUNCTION("""COMPUTED_VALUE"""),0.0)</f>
        <v>0</v>
      </c>
      <c r="AC142" s="179">
        <f>IFERROR(__xludf.DUMMYFUNCTION("""COMPUTED_VALUE"""),0.0)</f>
        <v>0</v>
      </c>
      <c r="AD142" s="165">
        <f>IFERROR(__xludf.DUMMYFUNCTION("""COMPUTED_VALUE"""),0.0)</f>
        <v>0</v>
      </c>
      <c r="AE142" s="39" t="str">
        <f>IFERROR(__xludf.DUMMYFUNCTION("""COMPUTED_VALUE"""),"Hiroshi Yamakawa")</f>
        <v>Hiroshi Yamakawa</v>
      </c>
      <c r="AF142" s="39" t="str">
        <f>IFERROR(__xludf.DUMMYFUNCTION("""COMPUTED_VALUE"""),"HY22DAA")</f>
        <v>HY22DAA</v>
      </c>
      <c r="AG142" s="39"/>
      <c r="AH142" s="39"/>
      <c r="AI142" s="165"/>
      <c r="AJ142" s="165"/>
      <c r="AK142" s="111"/>
      <c r="AL142" s="111"/>
      <c r="AM142" s="111"/>
      <c r="AN142" s="111"/>
      <c r="AO142" s="111"/>
      <c r="AP142" s="111"/>
      <c r="AQ142" s="116"/>
      <c r="AR142" s="116"/>
      <c r="AS142" s="116"/>
    </row>
    <row r="143">
      <c r="A143" s="42" t="str">
        <f>IFERROR(__xludf.DUMMYFUNCTION("""COMPUTED_VALUE"""),"AuA1")</f>
        <v>AuA1</v>
      </c>
      <c r="B143" s="42"/>
      <c r="C143" s="42"/>
      <c r="D143" s="42" t="str">
        <f>IFERROR(__xludf.DUMMYFUNCTION("""COMPUTED_VALUE"""),"AuML")</f>
        <v>AuML</v>
      </c>
      <c r="E143" s="42"/>
      <c r="F143" s="42"/>
      <c r="G143" s="42"/>
      <c r="H143" s="42" t="str">
        <f>IFERROR(__xludf.DUMMYFUNCTION("""COMPUTED_VALUE"""),"")</f>
        <v/>
      </c>
      <c r="I143" s="42" t="str">
        <f>IFERROR(__xludf.DUMMYFUNCTION("""COMPUTED_VALUE"""),"Romanski, 2009")</f>
        <v>Romanski, 2009</v>
      </c>
      <c r="J143" s="42"/>
      <c r="K143" s="42"/>
      <c r="L143" s="42"/>
      <c r="M143" s="42"/>
      <c r="N143" s="42"/>
      <c r="O143" s="31" t="str">
        <f>IFERROR(__xludf.DUMMYFUNCTION("""COMPUTED_VALUE"""),"DOC")</f>
        <v>DOC</v>
      </c>
      <c r="P143" s="9" t="str">
        <f>IFERROR(__xludf.DUMMYFUNCTION("""COMPUTED_VALUE"""),"Annual Review of Neuroscience")</f>
        <v>Annual Review of Neuroscience</v>
      </c>
      <c r="Q143" s="9"/>
      <c r="R143" s="179" t="str">
        <f>IFERROR(__xludf.DUMMYFUNCTION("""COMPUTED_VALUE"""),"AuML (00/00) [Jasmin, 2019][Romanski, 2009];
")</f>
        <v>AuML (00/00) [Jasmin, 2019][Romanski, 2009];
</v>
      </c>
      <c r="S143" s="179" t="str">
        <f>IFERROR(__xludf.DUMMYFUNCTION("""COMPUTED_VALUE"""),"AuA1AuML")</f>
        <v>AuA1AuML</v>
      </c>
      <c r="T143" s="179" t="str">
        <f>IFERROR(__xludf.DUMMYFUNCTION("""COMPUTED_VALUE"""),"[Romanski, 2009]")</f>
        <v>[Romanski, 2009]</v>
      </c>
      <c r="U143" s="179">
        <f>IFERROR(__xludf.DUMMYFUNCTION("""COMPUTED_VALUE"""),0.0)</f>
        <v>0</v>
      </c>
      <c r="V143" s="180">
        <f>IFERROR(__xludf.DUMMYFUNCTION("""COMPUTED_VALUE"""),0.0)</f>
        <v>0</v>
      </c>
      <c r="W143" s="180">
        <f>IFERROR(__xludf.DUMMYFUNCTION("""COMPUTED_VALUE"""),0.95)</f>
        <v>0.95</v>
      </c>
      <c r="X143" s="42">
        <f>IFERROR(__xludf.DUMMYFUNCTION("""COMPUTED_VALUE"""),0.0)</f>
        <v>0</v>
      </c>
      <c r="Y143" s="42">
        <f>IFERROR(__xludf.DUMMYFUNCTION("""COMPUTED_VALUE"""),0.0)</f>
        <v>0</v>
      </c>
      <c r="Z143" s="9">
        <f>IFERROR(__xludf.DUMMYFUNCTION("""COMPUTED_VALUE"""),0.0)</f>
        <v>0</v>
      </c>
      <c r="AA143" s="181">
        <f>IFERROR(__xludf.DUMMYFUNCTION("""COMPUTED_VALUE"""),0.0)</f>
        <v>0</v>
      </c>
      <c r="AB143" s="181">
        <f>IFERROR(__xludf.DUMMYFUNCTION("""COMPUTED_VALUE"""),0.0)</f>
        <v>0</v>
      </c>
      <c r="AC143" s="179">
        <f>IFERROR(__xludf.DUMMYFUNCTION("""COMPUTED_VALUE"""),0.0)</f>
        <v>0</v>
      </c>
      <c r="AD143" s="165">
        <f>IFERROR(__xludf.DUMMYFUNCTION("""COMPUTED_VALUE"""),0.0)</f>
        <v>0</v>
      </c>
      <c r="AE143" s="39" t="str">
        <f>IFERROR(__xludf.DUMMYFUNCTION("""COMPUTED_VALUE"""),"Hiroshi Yamakawa")</f>
        <v>Hiroshi Yamakawa</v>
      </c>
      <c r="AF143" s="39" t="str">
        <f>IFERROR(__xludf.DUMMYFUNCTION("""COMPUTED_VALUE"""),"HY22DAA")</f>
        <v>HY22DAA</v>
      </c>
      <c r="AG143" s="39"/>
      <c r="AH143" s="39"/>
      <c r="AI143" s="165"/>
      <c r="AJ143" s="165"/>
      <c r="AK143" s="111"/>
      <c r="AL143" s="111"/>
      <c r="AM143" s="111"/>
      <c r="AN143" s="111"/>
      <c r="AO143" s="111"/>
      <c r="AP143" s="111"/>
      <c r="AQ143" s="116"/>
      <c r="AR143" s="116"/>
      <c r="AS143" s="116"/>
    </row>
    <row r="144">
      <c r="A144" s="42" t="str">
        <f>IFERROR(__xludf.DUMMYFUNCTION("""COMPUTED_VALUE"""),"AuA1")</f>
        <v>AuA1</v>
      </c>
      <c r="B144" s="42"/>
      <c r="C144" s="42"/>
      <c r="D144" s="42" t="str">
        <f>IFERROR(__xludf.DUMMYFUNCTION("""COMPUTED_VALUE"""),"AuMM")</f>
        <v>AuMM</v>
      </c>
      <c r="E144" s="42"/>
      <c r="F144" s="42"/>
      <c r="G144" s="42"/>
      <c r="H144" s="42" t="str">
        <f>IFERROR(__xludf.DUMMYFUNCTION("""COMPUTED_VALUE"""),"")</f>
        <v/>
      </c>
      <c r="I144" s="42" t="str">
        <f>IFERROR(__xludf.DUMMYFUNCTION("""COMPUTED_VALUE"""),"Romanski, 2009")</f>
        <v>Romanski, 2009</v>
      </c>
      <c r="J144" s="42"/>
      <c r="K144" s="42"/>
      <c r="L144" s="42"/>
      <c r="M144" s="42"/>
      <c r="N144" s="42"/>
      <c r="O144" s="31" t="str">
        <f>IFERROR(__xludf.DUMMYFUNCTION("""COMPUTED_VALUE"""),"DOC")</f>
        <v>DOC</v>
      </c>
      <c r="P144" s="9" t="str">
        <f>IFERROR(__xludf.DUMMYFUNCTION("""COMPUTED_VALUE"""),"Annual Review of Neuroscience")</f>
        <v>Annual Review of Neuroscience</v>
      </c>
      <c r="Q144" s="9"/>
      <c r="R144" s="179" t="str">
        <f>IFERROR(__xludf.DUMMYFUNCTION("""COMPUTED_VALUE"""),"AuMM (00/00) [Romanski, 2009];
")</f>
        <v>AuMM (00/00) [Romanski, 2009];
</v>
      </c>
      <c r="S144" s="179" t="str">
        <f>IFERROR(__xludf.DUMMYFUNCTION("""COMPUTED_VALUE"""),"AuA1AuMM")</f>
        <v>AuA1AuMM</v>
      </c>
      <c r="T144" s="179" t="str">
        <f>IFERROR(__xludf.DUMMYFUNCTION("""COMPUTED_VALUE"""),"[Romanski, 2009]")</f>
        <v>[Romanski, 2009]</v>
      </c>
      <c r="U144" s="179">
        <f>IFERROR(__xludf.DUMMYFUNCTION("""COMPUTED_VALUE"""),0.0)</f>
        <v>0</v>
      </c>
      <c r="V144" s="180">
        <f>IFERROR(__xludf.DUMMYFUNCTION("""COMPUTED_VALUE"""),0.0)</f>
        <v>0</v>
      </c>
      <c r="W144" s="180">
        <f>IFERROR(__xludf.DUMMYFUNCTION("""COMPUTED_VALUE"""),0.95)</f>
        <v>0.95</v>
      </c>
      <c r="X144" s="42">
        <f>IFERROR(__xludf.DUMMYFUNCTION("""COMPUTED_VALUE"""),0.0)</f>
        <v>0</v>
      </c>
      <c r="Y144" s="42">
        <f>IFERROR(__xludf.DUMMYFUNCTION("""COMPUTED_VALUE"""),0.0)</f>
        <v>0</v>
      </c>
      <c r="Z144" s="9">
        <f>IFERROR(__xludf.DUMMYFUNCTION("""COMPUTED_VALUE"""),0.0)</f>
        <v>0</v>
      </c>
      <c r="AA144" s="181">
        <f>IFERROR(__xludf.DUMMYFUNCTION("""COMPUTED_VALUE"""),0.0)</f>
        <v>0</v>
      </c>
      <c r="AB144" s="181">
        <f>IFERROR(__xludf.DUMMYFUNCTION("""COMPUTED_VALUE"""),0.0)</f>
        <v>0</v>
      </c>
      <c r="AC144" s="179">
        <f>IFERROR(__xludf.DUMMYFUNCTION("""COMPUTED_VALUE"""),0.0)</f>
        <v>0</v>
      </c>
      <c r="AD144" s="165">
        <f>IFERROR(__xludf.DUMMYFUNCTION("""COMPUTED_VALUE"""),0.0)</f>
        <v>0</v>
      </c>
      <c r="AE144" s="39" t="str">
        <f>IFERROR(__xludf.DUMMYFUNCTION("""COMPUTED_VALUE"""),"Hiroshi Yamakawa")</f>
        <v>Hiroshi Yamakawa</v>
      </c>
      <c r="AF144" s="39" t="str">
        <f>IFERROR(__xludf.DUMMYFUNCTION("""COMPUTED_VALUE"""),"HY22DAA")</f>
        <v>HY22DAA</v>
      </c>
      <c r="AG144" s="39"/>
      <c r="AH144" s="39"/>
      <c r="AI144" s="165"/>
      <c r="AJ144" s="165"/>
      <c r="AK144" s="111"/>
      <c r="AL144" s="111"/>
      <c r="AM144" s="111"/>
      <c r="AN144" s="111"/>
      <c r="AO144" s="111"/>
      <c r="AP144" s="111"/>
      <c r="AQ144" s="116"/>
      <c r="AR144" s="116"/>
      <c r="AS144" s="116"/>
    </row>
    <row r="145">
      <c r="A145" s="42" t="str">
        <f>IFERROR(__xludf.DUMMYFUNCTION("""COMPUTED_VALUE"""),"AuA1")</f>
        <v>AuA1</v>
      </c>
      <c r="B145" s="42"/>
      <c r="C145" s="42"/>
      <c r="D145" s="42" t="str">
        <f>IFERROR(__xludf.DUMMYFUNCTION("""COMPUTED_VALUE"""),"AuR")</f>
        <v>AuR</v>
      </c>
      <c r="E145" s="42"/>
      <c r="F145" s="42"/>
      <c r="G145" s="42"/>
      <c r="H145" s="42" t="str">
        <f>IFERROR(__xludf.DUMMYFUNCTION("""COMPUTED_VALUE"""),"")</f>
        <v/>
      </c>
      <c r="I145" s="42" t="str">
        <f>IFERROR(__xludf.DUMMYFUNCTION("""COMPUTED_VALUE"""),"Romanski, 2009")</f>
        <v>Romanski, 2009</v>
      </c>
      <c r="J145" s="42"/>
      <c r="K145" s="42"/>
      <c r="L145" s="42"/>
      <c r="M145" s="42"/>
      <c r="N145" s="42"/>
      <c r="O145" s="31" t="str">
        <f>IFERROR(__xludf.DUMMYFUNCTION("""COMPUTED_VALUE"""),"DOC")</f>
        <v>DOC</v>
      </c>
      <c r="P145" s="9" t="str">
        <f>IFERROR(__xludf.DUMMYFUNCTION("""COMPUTED_VALUE"""),"Annual Review of Neuroscience")</f>
        <v>Annual Review of Neuroscience</v>
      </c>
      <c r="Q145" s="9"/>
      <c r="R145" s="179" t="str">
        <f>IFERROR(__xludf.DUMMYFUNCTION("""COMPUTED_VALUE"""),"AuR (00/00) [Jasmin, 2019][Romanski, 2009][Scott, 2017];
")</f>
        <v>AuR (00/00) [Jasmin, 2019][Romanski, 2009][Scott, 2017];
</v>
      </c>
      <c r="S145" s="179" t="str">
        <f>IFERROR(__xludf.DUMMYFUNCTION("""COMPUTED_VALUE"""),"AuA1AuR")</f>
        <v>AuA1AuR</v>
      </c>
      <c r="T145" s="179" t="str">
        <f>IFERROR(__xludf.DUMMYFUNCTION("""COMPUTED_VALUE"""),"[Romanski, 2009]")</f>
        <v>[Romanski, 2009]</v>
      </c>
      <c r="U145" s="179">
        <f>IFERROR(__xludf.DUMMYFUNCTION("""COMPUTED_VALUE"""),0.0)</f>
        <v>0</v>
      </c>
      <c r="V145" s="180">
        <f>IFERROR(__xludf.DUMMYFUNCTION("""COMPUTED_VALUE"""),0.0)</f>
        <v>0</v>
      </c>
      <c r="W145" s="180">
        <f>IFERROR(__xludf.DUMMYFUNCTION("""COMPUTED_VALUE"""),0.95)</f>
        <v>0.95</v>
      </c>
      <c r="X145" s="42">
        <f>IFERROR(__xludf.DUMMYFUNCTION("""COMPUTED_VALUE"""),0.0)</f>
        <v>0</v>
      </c>
      <c r="Y145" s="42">
        <f>IFERROR(__xludf.DUMMYFUNCTION("""COMPUTED_VALUE"""),0.0)</f>
        <v>0</v>
      </c>
      <c r="Z145" s="9">
        <f>IFERROR(__xludf.DUMMYFUNCTION("""COMPUTED_VALUE"""),0.0)</f>
        <v>0</v>
      </c>
      <c r="AA145" s="181">
        <f>IFERROR(__xludf.DUMMYFUNCTION("""COMPUTED_VALUE"""),0.0)</f>
        <v>0</v>
      </c>
      <c r="AB145" s="181">
        <f>IFERROR(__xludf.DUMMYFUNCTION("""COMPUTED_VALUE"""),0.0)</f>
        <v>0</v>
      </c>
      <c r="AC145" s="179">
        <f>IFERROR(__xludf.DUMMYFUNCTION("""COMPUTED_VALUE"""),0.0)</f>
        <v>0</v>
      </c>
      <c r="AD145" s="165">
        <f>IFERROR(__xludf.DUMMYFUNCTION("""COMPUTED_VALUE"""),0.0)</f>
        <v>0</v>
      </c>
      <c r="AE145" s="39" t="str">
        <f>IFERROR(__xludf.DUMMYFUNCTION("""COMPUTED_VALUE"""),"Hiroshi Yamakawa")</f>
        <v>Hiroshi Yamakawa</v>
      </c>
      <c r="AF145" s="39" t="str">
        <f>IFERROR(__xludf.DUMMYFUNCTION("""COMPUTED_VALUE"""),"HY22DAA")</f>
        <v>HY22DAA</v>
      </c>
      <c r="AG145" s="39"/>
      <c r="AH145" s="39"/>
      <c r="AI145" s="165"/>
      <c r="AJ145" s="165"/>
      <c r="AK145" s="111"/>
      <c r="AL145" s="111"/>
      <c r="AM145" s="111"/>
      <c r="AN145" s="111"/>
      <c r="AO145" s="111"/>
      <c r="AP145" s="111"/>
      <c r="AQ145" s="116"/>
      <c r="AR145" s="116"/>
      <c r="AS145" s="116"/>
    </row>
    <row r="146">
      <c r="A146" s="42" t="str">
        <f>IFERROR(__xludf.DUMMYFUNCTION("""COMPUTED_VALUE"""),"AuA1")</f>
        <v>AuA1</v>
      </c>
      <c r="B146" s="42"/>
      <c r="C146" s="42"/>
      <c r="D146" s="42" t="str">
        <f>IFERROR(__xludf.DUMMYFUNCTION("""COMPUTED_VALUE"""),"AuRM")</f>
        <v>AuRM</v>
      </c>
      <c r="E146" s="42"/>
      <c r="F146" s="42"/>
      <c r="G146" s="42"/>
      <c r="H146" s="42" t="str">
        <f>IFERROR(__xludf.DUMMYFUNCTION("""COMPUTED_VALUE"""),"")</f>
        <v/>
      </c>
      <c r="I146" s="42" t="str">
        <f>IFERROR(__xludf.DUMMYFUNCTION("""COMPUTED_VALUE"""),"Romanski, 2009")</f>
        <v>Romanski, 2009</v>
      </c>
      <c r="J146" s="42"/>
      <c r="K146" s="42"/>
      <c r="L146" s="42"/>
      <c r="M146" s="42"/>
      <c r="N146" s="42"/>
      <c r="O146" s="31" t="str">
        <f>IFERROR(__xludf.DUMMYFUNCTION("""COMPUTED_VALUE"""),"DOC")</f>
        <v>DOC</v>
      </c>
      <c r="P146" s="9" t="str">
        <f>IFERROR(__xludf.DUMMYFUNCTION("""COMPUTED_VALUE"""),"Annual Review of Neuroscience")</f>
        <v>Annual Review of Neuroscience</v>
      </c>
      <c r="Q146" s="9"/>
      <c r="R146" s="179" t="str">
        <f>IFERROR(__xludf.DUMMYFUNCTION("""COMPUTED_VALUE"""),"AuRM (00/00) [Romanski, 2009];
")</f>
        <v>AuRM (00/00) [Romanski, 2009];
</v>
      </c>
      <c r="S146" s="179" t="str">
        <f>IFERROR(__xludf.DUMMYFUNCTION("""COMPUTED_VALUE"""),"AuA1AuRM")</f>
        <v>AuA1AuRM</v>
      </c>
      <c r="T146" s="179" t="str">
        <f>IFERROR(__xludf.DUMMYFUNCTION("""COMPUTED_VALUE"""),"[Romanski, 2009]")</f>
        <v>[Romanski, 2009]</v>
      </c>
      <c r="U146" s="179">
        <f>IFERROR(__xludf.DUMMYFUNCTION("""COMPUTED_VALUE"""),0.0)</f>
        <v>0</v>
      </c>
      <c r="V146" s="180">
        <f>IFERROR(__xludf.DUMMYFUNCTION("""COMPUTED_VALUE"""),0.0)</f>
        <v>0</v>
      </c>
      <c r="W146" s="180">
        <f>IFERROR(__xludf.DUMMYFUNCTION("""COMPUTED_VALUE"""),0.95)</f>
        <v>0.95</v>
      </c>
      <c r="X146" s="42">
        <f>IFERROR(__xludf.DUMMYFUNCTION("""COMPUTED_VALUE"""),0.0)</f>
        <v>0</v>
      </c>
      <c r="Y146" s="42">
        <f>IFERROR(__xludf.DUMMYFUNCTION("""COMPUTED_VALUE"""),0.0)</f>
        <v>0</v>
      </c>
      <c r="Z146" s="9">
        <f>IFERROR(__xludf.DUMMYFUNCTION("""COMPUTED_VALUE"""),0.0)</f>
        <v>0</v>
      </c>
      <c r="AA146" s="181">
        <f>IFERROR(__xludf.DUMMYFUNCTION("""COMPUTED_VALUE"""),0.0)</f>
        <v>0</v>
      </c>
      <c r="AB146" s="181">
        <f>IFERROR(__xludf.DUMMYFUNCTION("""COMPUTED_VALUE"""),0.0)</f>
        <v>0</v>
      </c>
      <c r="AC146" s="179">
        <f>IFERROR(__xludf.DUMMYFUNCTION("""COMPUTED_VALUE"""),0.0)</f>
        <v>0</v>
      </c>
      <c r="AD146" s="165">
        <f>IFERROR(__xludf.DUMMYFUNCTION("""COMPUTED_VALUE"""),0.0)</f>
        <v>0</v>
      </c>
      <c r="AE146" s="39" t="str">
        <f>IFERROR(__xludf.DUMMYFUNCTION("""COMPUTED_VALUE"""),"Hiroshi Yamakawa")</f>
        <v>Hiroshi Yamakawa</v>
      </c>
      <c r="AF146" s="39" t="str">
        <f>IFERROR(__xludf.DUMMYFUNCTION("""COMPUTED_VALUE"""),"HY22DAA")</f>
        <v>HY22DAA</v>
      </c>
      <c r="AG146" s="39"/>
      <c r="AH146" s="39"/>
      <c r="AI146" s="165"/>
      <c r="AJ146" s="165"/>
      <c r="AK146" s="111"/>
      <c r="AL146" s="111"/>
      <c r="AM146" s="111"/>
      <c r="AN146" s="111"/>
      <c r="AO146" s="111"/>
      <c r="AP146" s="111"/>
      <c r="AQ146" s="116"/>
      <c r="AR146" s="116"/>
      <c r="AS146" s="116"/>
    </row>
    <row r="147">
      <c r="A147" s="42" t="str">
        <f>IFERROR(__xludf.DUMMYFUNCTION("""COMPUTED_VALUE"""),"AuA1")</f>
        <v>AuA1</v>
      </c>
      <c r="B147" s="42"/>
      <c r="C147" s="42"/>
      <c r="D147" s="42" t="str">
        <f>IFERROR(__xludf.DUMMYFUNCTION("""COMPUTED_VALUE"""),"A1Cr")</f>
        <v>A1Cr</v>
      </c>
      <c r="E147" s="42"/>
      <c r="F147" s="42"/>
      <c r="G147" s="42"/>
      <c r="H147" s="42" t="str">
        <f>IFERROR(__xludf.DUMMYFUNCTION("""COMPUTED_VALUE"""),"")</f>
        <v/>
      </c>
      <c r="I147" s="42" t="str">
        <f>IFERROR(__xludf.DUMMYFUNCTION("""COMPUTED_VALUE"""),"Scott, 2017")</f>
        <v>Scott, 2017</v>
      </c>
      <c r="J147" s="42"/>
      <c r="K147" s="42"/>
      <c r="L147" s="42"/>
      <c r="M147" s="42"/>
      <c r="N147" s="42"/>
      <c r="O147" s="31" t="str">
        <f>IFERROR(__xludf.DUMMYFUNCTION("""COMPUTED_VALUE"""),"DOC")</f>
        <v>DOC</v>
      </c>
      <c r="P147" s="9" t="str">
        <f>IFERROR(__xludf.DUMMYFUNCTION("""COMPUTED_VALUE"""),"Journal of Comparative Neurology")</f>
        <v>Journal of Comparative Neurology</v>
      </c>
      <c r="Q147" s="9" t="str">
        <f>IFERROR(__xludf.DUMMYFUNCTION("""COMPUTED_VALUE"""),"Experimental results")</f>
        <v>Experimental results</v>
      </c>
      <c r="R147" s="179" t="str">
        <f>IFERROR(__xludf.DUMMYFUNCTION("""COMPUTED_VALUE"""),"A1Cr (00/00) [Scott, 2017];
")</f>
        <v>A1Cr (00/00) [Scott, 2017];
</v>
      </c>
      <c r="S147" s="179" t="str">
        <f>IFERROR(__xludf.DUMMYFUNCTION("""COMPUTED_VALUE"""),"AuA1A1Cr")</f>
        <v>AuA1A1Cr</v>
      </c>
      <c r="T147" s="179" t="str">
        <f>IFERROR(__xludf.DUMMYFUNCTION("""COMPUTED_VALUE"""),"[Scott, 2017]")</f>
        <v>[Scott, 2017]</v>
      </c>
      <c r="U147" s="179">
        <f>IFERROR(__xludf.DUMMYFUNCTION("""COMPUTED_VALUE"""),0.0)</f>
        <v>0</v>
      </c>
      <c r="V147" s="180">
        <f>IFERROR(__xludf.DUMMYFUNCTION("""COMPUTED_VALUE"""),0.0)</f>
        <v>0</v>
      </c>
      <c r="W147" s="180">
        <f>IFERROR(__xludf.DUMMYFUNCTION("""COMPUTED_VALUE"""),0.95)</f>
        <v>0.95</v>
      </c>
      <c r="X147" s="42">
        <f>IFERROR(__xludf.DUMMYFUNCTION("""COMPUTED_VALUE"""),1.0)</f>
        <v>1</v>
      </c>
      <c r="Y147" s="42">
        <f>IFERROR(__xludf.DUMMYFUNCTION("""COMPUTED_VALUE"""),0.0)</f>
        <v>0</v>
      </c>
      <c r="Z147" s="9">
        <f>IFERROR(__xludf.DUMMYFUNCTION("""COMPUTED_VALUE"""),0.0)</f>
        <v>0</v>
      </c>
      <c r="AA147" s="181">
        <f>IFERROR(__xludf.DUMMYFUNCTION("""COMPUTED_VALUE"""),0.0)</f>
        <v>0</v>
      </c>
      <c r="AB147" s="181">
        <f>IFERROR(__xludf.DUMMYFUNCTION("""COMPUTED_VALUE"""),0.0)</f>
        <v>0</v>
      </c>
      <c r="AC147" s="179">
        <f>IFERROR(__xludf.DUMMYFUNCTION("""COMPUTED_VALUE"""),0.0)</f>
        <v>0</v>
      </c>
      <c r="AD147" s="165">
        <f>IFERROR(__xludf.DUMMYFUNCTION("""COMPUTED_VALUE"""),0.0)</f>
        <v>0</v>
      </c>
      <c r="AE147" s="39" t="str">
        <f>IFERROR(__xludf.DUMMYFUNCTION("""COMPUTED_VALUE"""),"Hiroshi Yamakawa")</f>
        <v>Hiroshi Yamakawa</v>
      </c>
      <c r="AF147" s="39" t="str">
        <f>IFERROR(__xludf.DUMMYFUNCTION("""COMPUTED_VALUE"""),"HY22DAA")</f>
        <v>HY22DAA</v>
      </c>
      <c r="AG147" s="39"/>
      <c r="AH147" s="39"/>
      <c r="AI147" s="165"/>
      <c r="AJ147" s="165"/>
      <c r="AK147" s="111"/>
      <c r="AL147" s="111"/>
      <c r="AM147" s="111"/>
      <c r="AN147" s="111"/>
      <c r="AO147" s="111"/>
      <c r="AP147" s="111"/>
      <c r="AQ147" s="116"/>
      <c r="AR147" s="116"/>
      <c r="AS147" s="116"/>
    </row>
    <row r="148">
      <c r="A148" s="42" t="str">
        <f>IFERROR(__xludf.DUMMYFUNCTION("""COMPUTED_VALUE"""),"AuA1")</f>
        <v>AuA1</v>
      </c>
      <c r="B148" s="42"/>
      <c r="C148" s="42"/>
      <c r="D148" s="42" t="str">
        <f>IFERROR(__xludf.DUMMYFUNCTION("""COMPUTED_VALUE"""),"AuR")</f>
        <v>AuR</v>
      </c>
      <c r="E148" s="42"/>
      <c r="F148" s="42"/>
      <c r="G148" s="42"/>
      <c r="H148" s="42" t="str">
        <f>IFERROR(__xludf.DUMMYFUNCTION("""COMPUTED_VALUE"""),"")</f>
        <v/>
      </c>
      <c r="I148" s="42" t="str">
        <f>IFERROR(__xludf.DUMMYFUNCTION("""COMPUTED_VALUE"""),"Scott, 2017")</f>
        <v>Scott, 2017</v>
      </c>
      <c r="J148" s="42"/>
      <c r="K148" s="42"/>
      <c r="L148" s="42"/>
      <c r="M148" s="42"/>
      <c r="N148" s="42"/>
      <c r="O148" s="31" t="str">
        <f>IFERROR(__xludf.DUMMYFUNCTION("""COMPUTED_VALUE"""),"DOC")</f>
        <v>DOC</v>
      </c>
      <c r="P148" s="9" t="str">
        <f>IFERROR(__xludf.DUMMYFUNCTION("""COMPUTED_VALUE"""),"Journal of Comparative Neurology")</f>
        <v>Journal of Comparative Neurology</v>
      </c>
      <c r="Q148" s="9" t="str">
        <f>IFERROR(__xludf.DUMMYFUNCTION("""COMPUTED_VALUE"""),"Experimental results")</f>
        <v>Experimental results</v>
      </c>
      <c r="R148" s="179" t="str">
        <f>IFERROR(__xludf.DUMMYFUNCTION("""COMPUTED_VALUE"""),"AuR (00/00) [Jasmin, 2019][Romanski, 2009][Scott, 2017];
")</f>
        <v>AuR (00/00) [Jasmin, 2019][Romanski, 2009][Scott, 2017];
</v>
      </c>
      <c r="S148" s="179" t="str">
        <f>IFERROR(__xludf.DUMMYFUNCTION("""COMPUTED_VALUE"""),"AuA1AuR")</f>
        <v>AuA1AuR</v>
      </c>
      <c r="T148" s="179" t="str">
        <f>IFERROR(__xludf.DUMMYFUNCTION("""COMPUTED_VALUE"""),"[Scott, 2017]")</f>
        <v>[Scott, 2017]</v>
      </c>
      <c r="U148" s="179">
        <f>IFERROR(__xludf.DUMMYFUNCTION("""COMPUTED_VALUE"""),0.0)</f>
        <v>0</v>
      </c>
      <c r="V148" s="180">
        <f>IFERROR(__xludf.DUMMYFUNCTION("""COMPUTED_VALUE"""),0.0)</f>
        <v>0</v>
      </c>
      <c r="W148" s="180">
        <f>IFERROR(__xludf.DUMMYFUNCTION("""COMPUTED_VALUE"""),0.95)</f>
        <v>0.95</v>
      </c>
      <c r="X148" s="42">
        <f>IFERROR(__xludf.DUMMYFUNCTION("""COMPUTED_VALUE"""),1.0)</f>
        <v>1</v>
      </c>
      <c r="Y148" s="42">
        <f>IFERROR(__xludf.DUMMYFUNCTION("""COMPUTED_VALUE"""),0.0)</f>
        <v>0</v>
      </c>
      <c r="Z148" s="9">
        <f>IFERROR(__xludf.DUMMYFUNCTION("""COMPUTED_VALUE"""),0.0)</f>
        <v>0</v>
      </c>
      <c r="AA148" s="181">
        <f>IFERROR(__xludf.DUMMYFUNCTION("""COMPUTED_VALUE"""),0.0)</f>
        <v>0</v>
      </c>
      <c r="AB148" s="181">
        <f>IFERROR(__xludf.DUMMYFUNCTION("""COMPUTED_VALUE"""),0.0)</f>
        <v>0</v>
      </c>
      <c r="AC148" s="179">
        <f>IFERROR(__xludf.DUMMYFUNCTION("""COMPUTED_VALUE"""),0.0)</f>
        <v>0</v>
      </c>
      <c r="AD148" s="165">
        <f>IFERROR(__xludf.DUMMYFUNCTION("""COMPUTED_VALUE"""),0.0)</f>
        <v>0</v>
      </c>
      <c r="AE148" s="39" t="str">
        <f>IFERROR(__xludf.DUMMYFUNCTION("""COMPUTED_VALUE"""),"Hiroshi Yamakawa")</f>
        <v>Hiroshi Yamakawa</v>
      </c>
      <c r="AF148" s="39" t="str">
        <f>IFERROR(__xludf.DUMMYFUNCTION("""COMPUTED_VALUE"""),"HY22DAA")</f>
        <v>HY22DAA</v>
      </c>
      <c r="AG148" s="39"/>
      <c r="AH148" s="39"/>
      <c r="AI148" s="165"/>
      <c r="AJ148" s="165"/>
      <c r="AK148" s="111"/>
      <c r="AL148" s="111"/>
      <c r="AM148" s="111"/>
      <c r="AN148" s="111"/>
      <c r="AO148" s="111"/>
      <c r="AP148" s="111"/>
      <c r="AQ148" s="116"/>
      <c r="AR148" s="116"/>
      <c r="AS148" s="116"/>
    </row>
    <row r="149">
      <c r="A149" s="42" t="str">
        <f>IFERROR(__xludf.DUMMYFUNCTION("""COMPUTED_VALUE"""),"AuAL")</f>
        <v>AuAL</v>
      </c>
      <c r="B149" s="42"/>
      <c r="C149" s="42"/>
      <c r="D149" s="42" t="str">
        <f>IFERROR(__xludf.DUMMYFUNCTION("""COMPUTED_VALUE"""),"A1Cr")</f>
        <v>A1Cr</v>
      </c>
      <c r="E149" s="42"/>
      <c r="F149" s="42"/>
      <c r="G149" s="42"/>
      <c r="H149" s="42" t="str">
        <f>IFERROR(__xludf.DUMMYFUNCTION("""COMPUTED_VALUE"""),"")</f>
        <v/>
      </c>
      <c r="I149" s="42" t="str">
        <f>IFERROR(__xludf.DUMMYFUNCTION("""COMPUTED_VALUE"""),"Romanski, 2009")</f>
        <v>Romanski, 2009</v>
      </c>
      <c r="J149" s="42"/>
      <c r="K149" s="42"/>
      <c r="L149" s="42"/>
      <c r="M149" s="42"/>
      <c r="N149" s="42"/>
      <c r="O149" s="31" t="str">
        <f>IFERROR(__xludf.DUMMYFUNCTION("""COMPUTED_VALUE"""),"DOC")</f>
        <v>DOC</v>
      </c>
      <c r="P149" s="9" t="str">
        <f>IFERROR(__xludf.DUMMYFUNCTION("""COMPUTED_VALUE"""),"Annual Review of Neuroscience")</f>
        <v>Annual Review of Neuroscience</v>
      </c>
      <c r="Q149" s="9"/>
      <c r="R149" s="179" t="str">
        <f>IFERROR(__xludf.DUMMYFUNCTION("""COMPUTED_VALUE"""),"A1Cr (00/00) [Romanski, 2009];
")</f>
        <v>A1Cr (00/00) [Romanski, 2009];
</v>
      </c>
      <c r="S149" s="179" t="str">
        <f>IFERROR(__xludf.DUMMYFUNCTION("""COMPUTED_VALUE"""),"AuALA1Cr")</f>
        <v>AuALA1Cr</v>
      </c>
      <c r="T149" s="179" t="str">
        <f>IFERROR(__xludf.DUMMYFUNCTION("""COMPUTED_VALUE"""),"[Romanski, 2009]")</f>
        <v>[Romanski, 2009]</v>
      </c>
      <c r="U149" s="179">
        <f>IFERROR(__xludf.DUMMYFUNCTION("""COMPUTED_VALUE"""),0.0)</f>
        <v>0</v>
      </c>
      <c r="V149" s="180">
        <f>IFERROR(__xludf.DUMMYFUNCTION("""COMPUTED_VALUE"""),0.0)</f>
        <v>0</v>
      </c>
      <c r="W149" s="180">
        <f>IFERROR(__xludf.DUMMYFUNCTION("""COMPUTED_VALUE"""),0.95)</f>
        <v>0.95</v>
      </c>
      <c r="X149" s="42">
        <f>IFERROR(__xludf.DUMMYFUNCTION("""COMPUTED_VALUE"""),0.0)</f>
        <v>0</v>
      </c>
      <c r="Y149" s="42">
        <f>IFERROR(__xludf.DUMMYFUNCTION("""COMPUTED_VALUE"""),0.0)</f>
        <v>0</v>
      </c>
      <c r="Z149" s="9">
        <f>IFERROR(__xludf.DUMMYFUNCTION("""COMPUTED_VALUE"""),0.0)</f>
        <v>0</v>
      </c>
      <c r="AA149" s="181">
        <f>IFERROR(__xludf.DUMMYFUNCTION("""COMPUTED_VALUE"""),0.0)</f>
        <v>0</v>
      </c>
      <c r="AB149" s="181">
        <f>IFERROR(__xludf.DUMMYFUNCTION("""COMPUTED_VALUE"""),0.0)</f>
        <v>0</v>
      </c>
      <c r="AC149" s="179">
        <f>IFERROR(__xludf.DUMMYFUNCTION("""COMPUTED_VALUE"""),0.0)</f>
        <v>0</v>
      </c>
      <c r="AD149" s="165">
        <f>IFERROR(__xludf.DUMMYFUNCTION("""COMPUTED_VALUE"""),0.0)</f>
        <v>0</v>
      </c>
      <c r="AE149" s="39" t="str">
        <f>IFERROR(__xludf.DUMMYFUNCTION("""COMPUTED_VALUE"""),"Hiroshi Yamakawa")</f>
        <v>Hiroshi Yamakawa</v>
      </c>
      <c r="AF149" s="39" t="str">
        <f>IFERROR(__xludf.DUMMYFUNCTION("""COMPUTED_VALUE"""),"HY22DAA")</f>
        <v>HY22DAA</v>
      </c>
      <c r="AG149" s="39"/>
      <c r="AH149" s="39"/>
      <c r="AI149" s="165"/>
      <c r="AJ149" s="165"/>
      <c r="AK149" s="111"/>
      <c r="AL149" s="111"/>
      <c r="AM149" s="111"/>
      <c r="AN149" s="111"/>
      <c r="AO149" s="111"/>
      <c r="AP149" s="111"/>
      <c r="AQ149" s="116"/>
      <c r="AR149" s="116"/>
      <c r="AS149" s="116"/>
    </row>
    <row r="150">
      <c r="A150" s="42" t="str">
        <f>IFERROR(__xludf.DUMMYFUNCTION("""COMPUTED_VALUE"""),"AuAL")</f>
        <v>AuAL</v>
      </c>
      <c r="B150" s="42"/>
      <c r="C150" s="42"/>
      <c r="D150" s="42" t="str">
        <f>IFERROR(__xludf.DUMMYFUNCTION("""COMPUTED_VALUE"""),"AuA1")</f>
        <v>AuA1</v>
      </c>
      <c r="E150" s="42"/>
      <c r="F150" s="42"/>
      <c r="G150" s="42"/>
      <c r="H150" s="42" t="str">
        <f>IFERROR(__xludf.DUMMYFUNCTION("""COMPUTED_VALUE"""),"")</f>
        <v/>
      </c>
      <c r="I150" s="42" t="str">
        <f>IFERROR(__xludf.DUMMYFUNCTION("""COMPUTED_VALUE"""),"Romanski, 2009")</f>
        <v>Romanski, 2009</v>
      </c>
      <c r="J150" s="42"/>
      <c r="K150" s="42"/>
      <c r="L150" s="42"/>
      <c r="M150" s="42"/>
      <c r="N150" s="42"/>
      <c r="O150" s="31" t="str">
        <f>IFERROR(__xludf.DUMMYFUNCTION("""COMPUTED_VALUE"""),"DOC")</f>
        <v>DOC</v>
      </c>
      <c r="P150" s="9" t="str">
        <f>IFERROR(__xludf.DUMMYFUNCTION("""COMPUTED_VALUE"""),"Annual Review of Neuroscience")</f>
        <v>Annual Review of Neuroscience</v>
      </c>
      <c r="Q150" s="9"/>
      <c r="R150" s="179" t="str">
        <f>IFERROR(__xludf.DUMMYFUNCTION("""COMPUTED_VALUE"""),"AuA1 (00/00) [Romanski, 2009];
")</f>
        <v>AuA1 (00/00) [Romanski, 2009];
</v>
      </c>
      <c r="S150" s="179" t="str">
        <f>IFERROR(__xludf.DUMMYFUNCTION("""COMPUTED_VALUE"""),"AuALAuA1")</f>
        <v>AuALAuA1</v>
      </c>
      <c r="T150" s="179" t="str">
        <f>IFERROR(__xludf.DUMMYFUNCTION("""COMPUTED_VALUE"""),"[Romanski, 2009]")</f>
        <v>[Romanski, 2009]</v>
      </c>
      <c r="U150" s="179">
        <f>IFERROR(__xludf.DUMMYFUNCTION("""COMPUTED_VALUE"""),0.0)</f>
        <v>0</v>
      </c>
      <c r="V150" s="180">
        <f>IFERROR(__xludf.DUMMYFUNCTION("""COMPUTED_VALUE"""),0.0)</f>
        <v>0</v>
      </c>
      <c r="W150" s="180">
        <f>IFERROR(__xludf.DUMMYFUNCTION("""COMPUTED_VALUE"""),0.95)</f>
        <v>0.95</v>
      </c>
      <c r="X150" s="42">
        <f>IFERROR(__xludf.DUMMYFUNCTION("""COMPUTED_VALUE"""),0.0)</f>
        <v>0</v>
      </c>
      <c r="Y150" s="42">
        <f>IFERROR(__xludf.DUMMYFUNCTION("""COMPUTED_VALUE"""),0.0)</f>
        <v>0</v>
      </c>
      <c r="Z150" s="9">
        <f>IFERROR(__xludf.DUMMYFUNCTION("""COMPUTED_VALUE"""),0.0)</f>
        <v>0</v>
      </c>
      <c r="AA150" s="181">
        <f>IFERROR(__xludf.DUMMYFUNCTION("""COMPUTED_VALUE"""),0.0)</f>
        <v>0</v>
      </c>
      <c r="AB150" s="181">
        <f>IFERROR(__xludf.DUMMYFUNCTION("""COMPUTED_VALUE"""),0.0)</f>
        <v>0</v>
      </c>
      <c r="AC150" s="179">
        <f>IFERROR(__xludf.DUMMYFUNCTION("""COMPUTED_VALUE"""),0.0)</f>
        <v>0</v>
      </c>
      <c r="AD150" s="165">
        <f>IFERROR(__xludf.DUMMYFUNCTION("""COMPUTED_VALUE"""),0.0)</f>
        <v>0</v>
      </c>
      <c r="AE150" s="39" t="str">
        <f>IFERROR(__xludf.DUMMYFUNCTION("""COMPUTED_VALUE"""),"Hiroshi Yamakawa")</f>
        <v>Hiroshi Yamakawa</v>
      </c>
      <c r="AF150" s="39" t="str">
        <f>IFERROR(__xludf.DUMMYFUNCTION("""COMPUTED_VALUE"""),"HY22DAA")</f>
        <v>HY22DAA</v>
      </c>
      <c r="AG150" s="39"/>
      <c r="AH150" s="39"/>
      <c r="AI150" s="165"/>
      <c r="AJ150" s="165"/>
      <c r="AK150" s="111"/>
      <c r="AL150" s="111"/>
      <c r="AM150" s="111"/>
      <c r="AN150" s="111"/>
      <c r="AO150" s="111"/>
      <c r="AP150" s="111"/>
      <c r="AQ150" s="116"/>
      <c r="AR150" s="116"/>
      <c r="AS150" s="116"/>
    </row>
    <row r="151">
      <c r="A151" s="42" t="str">
        <f>IFERROR(__xludf.DUMMYFUNCTION("""COMPUTED_VALUE"""),"AuAL")</f>
        <v>AuAL</v>
      </c>
      <c r="B151" s="42"/>
      <c r="C151" s="42"/>
      <c r="D151" s="42" t="str">
        <f>IFERROR(__xludf.DUMMYFUNCTION("""COMPUTED_VALUE"""),"AuML")</f>
        <v>AuML</v>
      </c>
      <c r="E151" s="42"/>
      <c r="F151" s="42"/>
      <c r="G151" s="42"/>
      <c r="H151" s="42" t="str">
        <f>IFERROR(__xludf.DUMMYFUNCTION("""COMPUTED_VALUE"""),"")</f>
        <v/>
      </c>
      <c r="I151" s="42" t="str">
        <f>IFERROR(__xludf.DUMMYFUNCTION("""COMPUTED_VALUE"""),"Romanski, 2009")</f>
        <v>Romanski, 2009</v>
      </c>
      <c r="J151" s="42"/>
      <c r="K151" s="42"/>
      <c r="L151" s="42"/>
      <c r="M151" s="42"/>
      <c r="N151" s="42"/>
      <c r="O151" s="31" t="str">
        <f>IFERROR(__xludf.DUMMYFUNCTION("""COMPUTED_VALUE"""),"DOC")</f>
        <v>DOC</v>
      </c>
      <c r="P151" s="9" t="str">
        <f>IFERROR(__xludf.DUMMYFUNCTION("""COMPUTED_VALUE"""),"Annual Review of Neuroscience")</f>
        <v>Annual Review of Neuroscience</v>
      </c>
      <c r="Q151" s="9"/>
      <c r="R151" s="179" t="str">
        <f>IFERROR(__xludf.DUMMYFUNCTION("""COMPUTED_VALUE"""),"AuML (00/00) [Romanski, 2009];
")</f>
        <v>AuML (00/00) [Romanski, 2009];
</v>
      </c>
      <c r="S151" s="179" t="str">
        <f>IFERROR(__xludf.DUMMYFUNCTION("""COMPUTED_VALUE"""),"AuALAuML")</f>
        <v>AuALAuML</v>
      </c>
      <c r="T151" s="179" t="str">
        <f>IFERROR(__xludf.DUMMYFUNCTION("""COMPUTED_VALUE"""),"[Romanski, 2009]")</f>
        <v>[Romanski, 2009]</v>
      </c>
      <c r="U151" s="179">
        <f>IFERROR(__xludf.DUMMYFUNCTION("""COMPUTED_VALUE"""),0.0)</f>
        <v>0</v>
      </c>
      <c r="V151" s="180">
        <f>IFERROR(__xludf.DUMMYFUNCTION("""COMPUTED_VALUE"""),0.0)</f>
        <v>0</v>
      </c>
      <c r="W151" s="180">
        <f>IFERROR(__xludf.DUMMYFUNCTION("""COMPUTED_VALUE"""),0.95)</f>
        <v>0.95</v>
      </c>
      <c r="X151" s="42">
        <f>IFERROR(__xludf.DUMMYFUNCTION("""COMPUTED_VALUE"""),0.0)</f>
        <v>0</v>
      </c>
      <c r="Y151" s="42">
        <f>IFERROR(__xludf.DUMMYFUNCTION("""COMPUTED_VALUE"""),0.0)</f>
        <v>0</v>
      </c>
      <c r="Z151" s="9">
        <f>IFERROR(__xludf.DUMMYFUNCTION("""COMPUTED_VALUE"""),0.0)</f>
        <v>0</v>
      </c>
      <c r="AA151" s="181">
        <f>IFERROR(__xludf.DUMMYFUNCTION("""COMPUTED_VALUE"""),0.0)</f>
        <v>0</v>
      </c>
      <c r="AB151" s="181">
        <f>IFERROR(__xludf.DUMMYFUNCTION("""COMPUTED_VALUE"""),0.0)</f>
        <v>0</v>
      </c>
      <c r="AC151" s="179">
        <f>IFERROR(__xludf.DUMMYFUNCTION("""COMPUTED_VALUE"""),0.0)</f>
        <v>0</v>
      </c>
      <c r="AD151" s="165">
        <f>IFERROR(__xludf.DUMMYFUNCTION("""COMPUTED_VALUE"""),0.0)</f>
        <v>0</v>
      </c>
      <c r="AE151" s="39" t="str">
        <f>IFERROR(__xludf.DUMMYFUNCTION("""COMPUTED_VALUE"""),"Hiroshi Yamakawa")</f>
        <v>Hiroshi Yamakawa</v>
      </c>
      <c r="AF151" s="39" t="str">
        <f>IFERROR(__xludf.DUMMYFUNCTION("""COMPUTED_VALUE"""),"HY22DAA")</f>
        <v>HY22DAA</v>
      </c>
      <c r="AG151" s="39"/>
      <c r="AH151" s="39"/>
      <c r="AI151" s="165"/>
      <c r="AJ151" s="165"/>
      <c r="AK151" s="111"/>
      <c r="AL151" s="111"/>
      <c r="AM151" s="111"/>
      <c r="AN151" s="111"/>
      <c r="AO151" s="111"/>
      <c r="AP151" s="111"/>
      <c r="AQ151" s="116"/>
      <c r="AR151" s="116"/>
      <c r="AS151" s="116"/>
    </row>
    <row r="152">
      <c r="A152" s="42" t="str">
        <f>IFERROR(__xludf.DUMMYFUNCTION("""COMPUTED_VALUE"""),"AuAL")</f>
        <v>AuAL</v>
      </c>
      <c r="B152" s="42"/>
      <c r="C152" s="42"/>
      <c r="D152" s="42" t="str">
        <f>IFERROR(__xludf.DUMMYFUNCTION("""COMPUTED_VALUE"""),"AuR")</f>
        <v>AuR</v>
      </c>
      <c r="E152" s="42"/>
      <c r="F152" s="42"/>
      <c r="G152" s="42"/>
      <c r="H152" s="42" t="str">
        <f>IFERROR(__xludf.DUMMYFUNCTION("""COMPUTED_VALUE"""),"")</f>
        <v/>
      </c>
      <c r="I152" s="42" t="str">
        <f>IFERROR(__xludf.DUMMYFUNCTION("""COMPUTED_VALUE"""),"Romanski, 2009")</f>
        <v>Romanski, 2009</v>
      </c>
      <c r="J152" s="42"/>
      <c r="K152" s="42"/>
      <c r="L152" s="42"/>
      <c r="M152" s="42"/>
      <c r="N152" s="42"/>
      <c r="O152" s="31" t="str">
        <f>IFERROR(__xludf.DUMMYFUNCTION("""COMPUTED_VALUE"""),"DOC")</f>
        <v>DOC</v>
      </c>
      <c r="P152" s="9" t="str">
        <f>IFERROR(__xludf.DUMMYFUNCTION("""COMPUTED_VALUE"""),"Annual Review of Neuroscience")</f>
        <v>Annual Review of Neuroscience</v>
      </c>
      <c r="Q152" s="9"/>
      <c r="R152" s="179" t="str">
        <f>IFERROR(__xludf.DUMMYFUNCTION("""COMPUTED_VALUE"""),"AuR (00/00) [Romanski, 2009];
")</f>
        <v>AuR (00/00) [Romanski, 2009];
</v>
      </c>
      <c r="S152" s="179" t="str">
        <f>IFERROR(__xludf.DUMMYFUNCTION("""COMPUTED_VALUE"""),"AuALAuR")</f>
        <v>AuALAuR</v>
      </c>
      <c r="T152" s="179" t="str">
        <f>IFERROR(__xludf.DUMMYFUNCTION("""COMPUTED_VALUE"""),"[Romanski, 2009]")</f>
        <v>[Romanski, 2009]</v>
      </c>
      <c r="U152" s="179">
        <f>IFERROR(__xludf.DUMMYFUNCTION("""COMPUTED_VALUE"""),0.0)</f>
        <v>0</v>
      </c>
      <c r="V152" s="180">
        <f>IFERROR(__xludf.DUMMYFUNCTION("""COMPUTED_VALUE"""),0.0)</f>
        <v>0</v>
      </c>
      <c r="W152" s="180">
        <f>IFERROR(__xludf.DUMMYFUNCTION("""COMPUTED_VALUE"""),0.95)</f>
        <v>0.95</v>
      </c>
      <c r="X152" s="42">
        <f>IFERROR(__xludf.DUMMYFUNCTION("""COMPUTED_VALUE"""),0.0)</f>
        <v>0</v>
      </c>
      <c r="Y152" s="42">
        <f>IFERROR(__xludf.DUMMYFUNCTION("""COMPUTED_VALUE"""),0.0)</f>
        <v>0</v>
      </c>
      <c r="Z152" s="9">
        <f>IFERROR(__xludf.DUMMYFUNCTION("""COMPUTED_VALUE"""),0.0)</f>
        <v>0</v>
      </c>
      <c r="AA152" s="181">
        <f>IFERROR(__xludf.DUMMYFUNCTION("""COMPUTED_VALUE"""),0.0)</f>
        <v>0</v>
      </c>
      <c r="AB152" s="181">
        <f>IFERROR(__xludf.DUMMYFUNCTION("""COMPUTED_VALUE"""),0.0)</f>
        <v>0</v>
      </c>
      <c r="AC152" s="179">
        <f>IFERROR(__xludf.DUMMYFUNCTION("""COMPUTED_VALUE"""),0.0)</f>
        <v>0</v>
      </c>
      <c r="AD152" s="165">
        <f>IFERROR(__xludf.DUMMYFUNCTION("""COMPUTED_VALUE"""),0.0)</f>
        <v>0</v>
      </c>
      <c r="AE152" s="39" t="str">
        <f>IFERROR(__xludf.DUMMYFUNCTION("""COMPUTED_VALUE"""),"Hiroshi Yamakawa")</f>
        <v>Hiroshi Yamakawa</v>
      </c>
      <c r="AF152" s="39" t="str">
        <f>IFERROR(__xludf.DUMMYFUNCTION("""COMPUTED_VALUE"""),"HY22DAA")</f>
        <v>HY22DAA</v>
      </c>
      <c r="AG152" s="39"/>
      <c r="AH152" s="39"/>
      <c r="AI152" s="165"/>
      <c r="AJ152" s="165"/>
      <c r="AK152" s="111"/>
      <c r="AL152" s="111"/>
      <c r="AM152" s="111"/>
      <c r="AN152" s="111"/>
      <c r="AO152" s="111"/>
      <c r="AP152" s="111"/>
      <c r="AQ152" s="116"/>
      <c r="AR152" s="116"/>
      <c r="AS152" s="116"/>
    </row>
    <row r="153">
      <c r="A153" s="42" t="str">
        <f>IFERROR(__xludf.DUMMYFUNCTION("""COMPUTED_VALUE"""),"AuAL")</f>
        <v>AuAL</v>
      </c>
      <c r="B153" s="42"/>
      <c r="C153" s="42"/>
      <c r="D153" s="42" t="str">
        <f>IFERROR(__xludf.DUMMYFUNCTION("""COMPUTED_VALUE"""),"AuRTL")</f>
        <v>AuRTL</v>
      </c>
      <c r="E153" s="42"/>
      <c r="F153" s="42"/>
      <c r="G153" s="42"/>
      <c r="H153" s="42" t="str">
        <f>IFERROR(__xludf.DUMMYFUNCTION("""COMPUTED_VALUE"""),"")</f>
        <v/>
      </c>
      <c r="I153" s="42" t="str">
        <f>IFERROR(__xludf.DUMMYFUNCTION("""COMPUTED_VALUE"""),"Romanski, 2009")</f>
        <v>Romanski, 2009</v>
      </c>
      <c r="J153" s="42"/>
      <c r="K153" s="42"/>
      <c r="L153" s="42"/>
      <c r="M153" s="42"/>
      <c r="N153" s="42"/>
      <c r="O153" s="31" t="str">
        <f>IFERROR(__xludf.DUMMYFUNCTION("""COMPUTED_VALUE"""),"DOC")</f>
        <v>DOC</v>
      </c>
      <c r="P153" s="9" t="str">
        <f>IFERROR(__xludf.DUMMYFUNCTION("""COMPUTED_VALUE"""),"Annual Review of Neuroscience")</f>
        <v>Annual Review of Neuroscience</v>
      </c>
      <c r="Q153" s="9"/>
      <c r="R153" s="179" t="str">
        <f>IFERROR(__xludf.DUMMYFUNCTION("""COMPUTED_VALUE"""),"AuRTL (00/00) [Romanski, 2009];
")</f>
        <v>AuRTL (00/00) [Romanski, 2009];
</v>
      </c>
      <c r="S153" s="179" t="str">
        <f>IFERROR(__xludf.DUMMYFUNCTION("""COMPUTED_VALUE"""),"AuALAuRTL")</f>
        <v>AuALAuRTL</v>
      </c>
      <c r="T153" s="179" t="str">
        <f>IFERROR(__xludf.DUMMYFUNCTION("""COMPUTED_VALUE"""),"[Romanski, 2009]")</f>
        <v>[Romanski, 2009]</v>
      </c>
      <c r="U153" s="179">
        <f>IFERROR(__xludf.DUMMYFUNCTION("""COMPUTED_VALUE"""),0.0)</f>
        <v>0</v>
      </c>
      <c r="V153" s="180">
        <f>IFERROR(__xludf.DUMMYFUNCTION("""COMPUTED_VALUE"""),0.0)</f>
        <v>0</v>
      </c>
      <c r="W153" s="180">
        <f>IFERROR(__xludf.DUMMYFUNCTION("""COMPUTED_VALUE"""),0.95)</f>
        <v>0.95</v>
      </c>
      <c r="X153" s="42">
        <f>IFERROR(__xludf.DUMMYFUNCTION("""COMPUTED_VALUE"""),0.0)</f>
        <v>0</v>
      </c>
      <c r="Y153" s="42">
        <f>IFERROR(__xludf.DUMMYFUNCTION("""COMPUTED_VALUE"""),0.0)</f>
        <v>0</v>
      </c>
      <c r="Z153" s="9">
        <f>IFERROR(__xludf.DUMMYFUNCTION("""COMPUTED_VALUE"""),0.0)</f>
        <v>0</v>
      </c>
      <c r="AA153" s="181">
        <f>IFERROR(__xludf.DUMMYFUNCTION("""COMPUTED_VALUE"""),0.0)</f>
        <v>0</v>
      </c>
      <c r="AB153" s="181">
        <f>IFERROR(__xludf.DUMMYFUNCTION("""COMPUTED_VALUE"""),0.0)</f>
        <v>0</v>
      </c>
      <c r="AC153" s="179">
        <f>IFERROR(__xludf.DUMMYFUNCTION("""COMPUTED_VALUE"""),0.0)</f>
        <v>0</v>
      </c>
      <c r="AD153" s="165">
        <f>IFERROR(__xludf.DUMMYFUNCTION("""COMPUTED_VALUE"""),0.0)</f>
        <v>0</v>
      </c>
      <c r="AE153" s="39" t="str">
        <f>IFERROR(__xludf.DUMMYFUNCTION("""COMPUTED_VALUE"""),"Hiroshi Yamakawa")</f>
        <v>Hiroshi Yamakawa</v>
      </c>
      <c r="AF153" s="39" t="str">
        <f>IFERROR(__xludf.DUMMYFUNCTION("""COMPUTED_VALUE"""),"HY22DAA")</f>
        <v>HY22DAA</v>
      </c>
      <c r="AG153" s="39"/>
      <c r="AH153" s="39"/>
      <c r="AI153" s="165"/>
      <c r="AJ153" s="165"/>
      <c r="AK153" s="111"/>
      <c r="AL153" s="111"/>
      <c r="AM153" s="111"/>
      <c r="AN153" s="111"/>
      <c r="AO153" s="111"/>
      <c r="AP153" s="111"/>
      <c r="AQ153" s="116"/>
      <c r="AR153" s="116"/>
      <c r="AS153" s="116"/>
    </row>
    <row r="154">
      <c r="A154" s="42" t="str">
        <f>IFERROR(__xludf.DUMMYFUNCTION("""COMPUTED_VALUE"""),"AuAL")</f>
        <v>AuAL</v>
      </c>
      <c r="B154" s="42"/>
      <c r="C154" s="42"/>
      <c r="D154" s="42" t="str">
        <f>IFERROR(__xludf.DUMMYFUNCTION("""COMPUTED_VALUE"""),"ISTC")</f>
        <v>ISTC</v>
      </c>
      <c r="E154" s="42"/>
      <c r="F154" s="42"/>
      <c r="G154" s="42"/>
      <c r="H154" s="42" t="str">
        <f>IFERROR(__xludf.DUMMYFUNCTION("""COMPUTED_VALUE"""),"")</f>
        <v/>
      </c>
      <c r="I154" s="42" t="str">
        <f>IFERROR(__xludf.DUMMYFUNCTION("""COMPUTED_VALUE"""),"Romanski, 2009")</f>
        <v>Romanski, 2009</v>
      </c>
      <c r="J154" s="42"/>
      <c r="K154" s="42"/>
      <c r="L154" s="42"/>
      <c r="M154" s="42"/>
      <c r="N154" s="42"/>
      <c r="O154" s="31" t="str">
        <f>IFERROR(__xludf.DUMMYFUNCTION("""COMPUTED_VALUE"""),"DOC")</f>
        <v>DOC</v>
      </c>
      <c r="P154" s="9" t="str">
        <f>IFERROR(__xludf.DUMMYFUNCTION("""COMPUTED_VALUE"""),"Annual Review of Neuroscience")</f>
        <v>Annual Review of Neuroscience</v>
      </c>
      <c r="Q154" s="9"/>
      <c r="R154" s="179" t="str">
        <f>IFERROR(__xludf.DUMMYFUNCTION("""COMPUTED_VALUE"""),"ISTC (00/00) [Romanski, 2009];
")</f>
        <v>ISTC (00/00) [Romanski, 2009];
</v>
      </c>
      <c r="S154" s="179" t="str">
        <f>IFERROR(__xludf.DUMMYFUNCTION("""COMPUTED_VALUE"""),"AuALISTC")</f>
        <v>AuALISTC</v>
      </c>
      <c r="T154" s="179" t="str">
        <f>IFERROR(__xludf.DUMMYFUNCTION("""COMPUTED_VALUE"""),"[Romanski, 2009]")</f>
        <v>[Romanski, 2009]</v>
      </c>
      <c r="U154" s="179">
        <f>IFERROR(__xludf.DUMMYFUNCTION("""COMPUTED_VALUE"""),0.0)</f>
        <v>0</v>
      </c>
      <c r="V154" s="180">
        <f>IFERROR(__xludf.DUMMYFUNCTION("""COMPUTED_VALUE"""),0.0)</f>
        <v>0</v>
      </c>
      <c r="W154" s="180">
        <f>IFERROR(__xludf.DUMMYFUNCTION("""COMPUTED_VALUE"""),0.95)</f>
        <v>0.95</v>
      </c>
      <c r="X154" s="42">
        <f>IFERROR(__xludf.DUMMYFUNCTION("""COMPUTED_VALUE"""),0.0)</f>
        <v>0</v>
      </c>
      <c r="Y154" s="42">
        <f>IFERROR(__xludf.DUMMYFUNCTION("""COMPUTED_VALUE"""),0.0)</f>
        <v>0</v>
      </c>
      <c r="Z154" s="9">
        <f>IFERROR(__xludf.DUMMYFUNCTION("""COMPUTED_VALUE"""),0.0)</f>
        <v>0</v>
      </c>
      <c r="AA154" s="181">
        <f>IFERROR(__xludf.DUMMYFUNCTION("""COMPUTED_VALUE"""),0.0)</f>
        <v>0</v>
      </c>
      <c r="AB154" s="181">
        <f>IFERROR(__xludf.DUMMYFUNCTION("""COMPUTED_VALUE"""),0.0)</f>
        <v>0</v>
      </c>
      <c r="AC154" s="179">
        <f>IFERROR(__xludf.DUMMYFUNCTION("""COMPUTED_VALUE"""),0.0)</f>
        <v>0</v>
      </c>
      <c r="AD154" s="165">
        <f>IFERROR(__xludf.DUMMYFUNCTION("""COMPUTED_VALUE"""),0.0)</f>
        <v>0</v>
      </c>
      <c r="AE154" s="39" t="str">
        <f>IFERROR(__xludf.DUMMYFUNCTION("""COMPUTED_VALUE"""),"Hiroshi Yamakawa")</f>
        <v>Hiroshi Yamakawa</v>
      </c>
      <c r="AF154" s="39" t="str">
        <f>IFERROR(__xludf.DUMMYFUNCTION("""COMPUTED_VALUE"""),"HY22DAA")</f>
        <v>HY22DAA</v>
      </c>
      <c r="AG154" s="39"/>
      <c r="AH154" s="39"/>
      <c r="AI154" s="165"/>
      <c r="AJ154" s="165"/>
      <c r="AK154" s="111"/>
      <c r="AL154" s="111"/>
      <c r="AM154" s="111"/>
      <c r="AN154" s="111"/>
      <c r="AO154" s="111"/>
      <c r="AP154" s="111"/>
      <c r="AQ154" s="116"/>
      <c r="AR154" s="116"/>
      <c r="AS154" s="116"/>
    </row>
    <row r="155">
      <c r="A155" s="42" t="str">
        <f>IFERROR(__xludf.DUMMYFUNCTION("""COMPUTED_VALUE"""),"AuCL")</f>
        <v>AuCL</v>
      </c>
      <c r="B155" s="42"/>
      <c r="C155" s="42"/>
      <c r="D155" s="42" t="str">
        <f>IFERROR(__xludf.DUMMYFUNCTION("""COMPUTED_VALUE"""),"AuA1")</f>
        <v>AuA1</v>
      </c>
      <c r="E155" s="42"/>
      <c r="F155" s="42"/>
      <c r="G155" s="42"/>
      <c r="H155" s="42" t="str">
        <f>IFERROR(__xludf.DUMMYFUNCTION("""COMPUTED_VALUE"""),"")</f>
        <v/>
      </c>
      <c r="I155" s="42" t="str">
        <f>IFERROR(__xludf.DUMMYFUNCTION("""COMPUTED_VALUE"""),"Romanski, 2009")</f>
        <v>Romanski, 2009</v>
      </c>
      <c r="J155" s="42"/>
      <c r="K155" s="42"/>
      <c r="L155" s="42"/>
      <c r="M155" s="42"/>
      <c r="N155" s="42"/>
      <c r="O155" s="31" t="str">
        <f>IFERROR(__xludf.DUMMYFUNCTION("""COMPUTED_VALUE"""),"DOC")</f>
        <v>DOC</v>
      </c>
      <c r="P155" s="9" t="str">
        <f>IFERROR(__xludf.DUMMYFUNCTION("""COMPUTED_VALUE"""),"Annual Review of Neuroscience")</f>
        <v>Annual Review of Neuroscience</v>
      </c>
      <c r="Q155" s="9"/>
      <c r="R155" s="179" t="str">
        <f>IFERROR(__xludf.DUMMYFUNCTION("""COMPUTED_VALUE"""),"AuA1 (00/00) [Romanski, 2009];
")</f>
        <v>AuA1 (00/00) [Romanski, 2009];
</v>
      </c>
      <c r="S155" s="179" t="str">
        <f>IFERROR(__xludf.DUMMYFUNCTION("""COMPUTED_VALUE"""),"AuCLAuA1")</f>
        <v>AuCLAuA1</v>
      </c>
      <c r="T155" s="179" t="str">
        <f>IFERROR(__xludf.DUMMYFUNCTION("""COMPUTED_VALUE"""),"[Romanski, 2009]")</f>
        <v>[Romanski, 2009]</v>
      </c>
      <c r="U155" s="179">
        <f>IFERROR(__xludf.DUMMYFUNCTION("""COMPUTED_VALUE"""),0.0)</f>
        <v>0</v>
      </c>
      <c r="V155" s="180">
        <f>IFERROR(__xludf.DUMMYFUNCTION("""COMPUTED_VALUE"""),0.0)</f>
        <v>0</v>
      </c>
      <c r="W155" s="180">
        <f>IFERROR(__xludf.DUMMYFUNCTION("""COMPUTED_VALUE"""),0.95)</f>
        <v>0.95</v>
      </c>
      <c r="X155" s="42">
        <f>IFERROR(__xludf.DUMMYFUNCTION("""COMPUTED_VALUE"""),0.0)</f>
        <v>0</v>
      </c>
      <c r="Y155" s="42">
        <f>IFERROR(__xludf.DUMMYFUNCTION("""COMPUTED_VALUE"""),0.0)</f>
        <v>0</v>
      </c>
      <c r="Z155" s="9">
        <f>IFERROR(__xludf.DUMMYFUNCTION("""COMPUTED_VALUE"""),0.0)</f>
        <v>0</v>
      </c>
      <c r="AA155" s="181">
        <f>IFERROR(__xludf.DUMMYFUNCTION("""COMPUTED_VALUE"""),0.0)</f>
        <v>0</v>
      </c>
      <c r="AB155" s="181">
        <f>IFERROR(__xludf.DUMMYFUNCTION("""COMPUTED_VALUE"""),0.0)</f>
        <v>0</v>
      </c>
      <c r="AC155" s="179">
        <f>IFERROR(__xludf.DUMMYFUNCTION("""COMPUTED_VALUE"""),0.0)</f>
        <v>0</v>
      </c>
      <c r="AD155" s="165">
        <f>IFERROR(__xludf.DUMMYFUNCTION("""COMPUTED_VALUE"""),0.0)</f>
        <v>0</v>
      </c>
      <c r="AE155" s="39" t="str">
        <f>IFERROR(__xludf.DUMMYFUNCTION("""COMPUTED_VALUE"""),"Hiroshi Yamakawa")</f>
        <v>Hiroshi Yamakawa</v>
      </c>
      <c r="AF155" s="39" t="str">
        <f>IFERROR(__xludf.DUMMYFUNCTION("""COMPUTED_VALUE"""),"HY22DAA")</f>
        <v>HY22DAA</v>
      </c>
      <c r="AG155" s="39"/>
      <c r="AH155" s="39"/>
      <c r="AI155" s="165"/>
      <c r="AJ155" s="165"/>
      <c r="AK155" s="111"/>
      <c r="AL155" s="111"/>
      <c r="AM155" s="111"/>
      <c r="AN155" s="111"/>
      <c r="AO155" s="111"/>
      <c r="AP155" s="111"/>
      <c r="AQ155" s="116"/>
      <c r="AR155" s="116"/>
      <c r="AS155" s="116"/>
    </row>
    <row r="156">
      <c r="A156" s="42" t="str">
        <f>IFERROR(__xludf.DUMMYFUNCTION("""COMPUTED_VALUE"""),"AuCL")</f>
        <v>AuCL</v>
      </c>
      <c r="B156" s="42"/>
      <c r="C156" s="42"/>
      <c r="D156" s="42" t="str">
        <f>IFERROR(__xludf.DUMMYFUNCTION("""COMPUTED_VALUE"""),"AuCM")</f>
        <v>AuCM</v>
      </c>
      <c r="E156" s="42"/>
      <c r="F156" s="42"/>
      <c r="G156" s="42"/>
      <c r="H156" s="42" t="str">
        <f>IFERROR(__xludf.DUMMYFUNCTION("""COMPUTED_VALUE"""),"")</f>
        <v/>
      </c>
      <c r="I156" s="42" t="str">
        <f>IFERROR(__xludf.DUMMYFUNCTION("""COMPUTED_VALUE"""),"Romanski, 2009")</f>
        <v>Romanski, 2009</v>
      </c>
      <c r="J156" s="42"/>
      <c r="K156" s="42"/>
      <c r="L156" s="42"/>
      <c r="M156" s="42"/>
      <c r="N156" s="42"/>
      <c r="O156" s="31" t="str">
        <f>IFERROR(__xludf.DUMMYFUNCTION("""COMPUTED_VALUE"""),"DOC")</f>
        <v>DOC</v>
      </c>
      <c r="P156" s="9" t="str">
        <f>IFERROR(__xludf.DUMMYFUNCTION("""COMPUTED_VALUE"""),"Annual Review of Neuroscience")</f>
        <v>Annual Review of Neuroscience</v>
      </c>
      <c r="Q156" s="9"/>
      <c r="R156" s="179" t="str">
        <f>IFERROR(__xludf.DUMMYFUNCTION("""COMPUTED_VALUE"""),"AuCM (00/00) [Romanski, 2009];
")</f>
        <v>AuCM (00/00) [Romanski, 2009];
</v>
      </c>
      <c r="S156" s="179" t="str">
        <f>IFERROR(__xludf.DUMMYFUNCTION("""COMPUTED_VALUE"""),"AuCLAuCM")</f>
        <v>AuCLAuCM</v>
      </c>
      <c r="T156" s="179" t="str">
        <f>IFERROR(__xludf.DUMMYFUNCTION("""COMPUTED_VALUE"""),"[Romanski, 2009]")</f>
        <v>[Romanski, 2009]</v>
      </c>
      <c r="U156" s="179">
        <f>IFERROR(__xludf.DUMMYFUNCTION("""COMPUTED_VALUE"""),0.0)</f>
        <v>0</v>
      </c>
      <c r="V156" s="180">
        <f>IFERROR(__xludf.DUMMYFUNCTION("""COMPUTED_VALUE"""),0.0)</f>
        <v>0</v>
      </c>
      <c r="W156" s="180">
        <f>IFERROR(__xludf.DUMMYFUNCTION("""COMPUTED_VALUE"""),0.95)</f>
        <v>0.95</v>
      </c>
      <c r="X156" s="42">
        <f>IFERROR(__xludf.DUMMYFUNCTION("""COMPUTED_VALUE"""),0.0)</f>
        <v>0</v>
      </c>
      <c r="Y156" s="42">
        <f>IFERROR(__xludf.DUMMYFUNCTION("""COMPUTED_VALUE"""),0.0)</f>
        <v>0</v>
      </c>
      <c r="Z156" s="9">
        <f>IFERROR(__xludf.DUMMYFUNCTION("""COMPUTED_VALUE"""),0.0)</f>
        <v>0</v>
      </c>
      <c r="AA156" s="181">
        <f>IFERROR(__xludf.DUMMYFUNCTION("""COMPUTED_VALUE"""),0.0)</f>
        <v>0</v>
      </c>
      <c r="AB156" s="181">
        <f>IFERROR(__xludf.DUMMYFUNCTION("""COMPUTED_VALUE"""),0.0)</f>
        <v>0</v>
      </c>
      <c r="AC156" s="179">
        <f>IFERROR(__xludf.DUMMYFUNCTION("""COMPUTED_VALUE"""),0.0)</f>
        <v>0</v>
      </c>
      <c r="AD156" s="165">
        <f>IFERROR(__xludf.DUMMYFUNCTION("""COMPUTED_VALUE"""),0.0)</f>
        <v>0</v>
      </c>
      <c r="AE156" s="39" t="str">
        <f>IFERROR(__xludf.DUMMYFUNCTION("""COMPUTED_VALUE"""),"Hiroshi Yamakawa")</f>
        <v>Hiroshi Yamakawa</v>
      </c>
      <c r="AF156" s="39" t="str">
        <f>IFERROR(__xludf.DUMMYFUNCTION("""COMPUTED_VALUE"""),"HY22DAA")</f>
        <v>HY22DAA</v>
      </c>
      <c r="AG156" s="39"/>
      <c r="AH156" s="39"/>
      <c r="AI156" s="165"/>
      <c r="AJ156" s="165"/>
      <c r="AK156" s="111"/>
      <c r="AL156" s="111"/>
      <c r="AM156" s="111"/>
      <c r="AN156" s="111"/>
      <c r="AO156" s="111"/>
      <c r="AP156" s="111"/>
      <c r="AQ156" s="116"/>
      <c r="AR156" s="116"/>
      <c r="AS156" s="116"/>
    </row>
    <row r="157">
      <c r="A157" s="42" t="str">
        <f>IFERROR(__xludf.DUMMYFUNCTION("""COMPUTED_VALUE"""),"AuCL")</f>
        <v>AuCL</v>
      </c>
      <c r="B157" s="42"/>
      <c r="C157" s="42"/>
      <c r="D157" s="42" t="str">
        <f>IFERROR(__xludf.DUMMYFUNCTION("""COMPUTED_VALUE"""),"AuML")</f>
        <v>AuML</v>
      </c>
      <c r="E157" s="42"/>
      <c r="F157" s="42"/>
      <c r="G157" s="42"/>
      <c r="H157" s="42" t="str">
        <f>IFERROR(__xludf.DUMMYFUNCTION("""COMPUTED_VALUE"""),"")</f>
        <v/>
      </c>
      <c r="I157" s="42" t="str">
        <f>IFERROR(__xludf.DUMMYFUNCTION("""COMPUTED_VALUE"""),"Romanski, 2009")</f>
        <v>Romanski, 2009</v>
      </c>
      <c r="J157" s="42"/>
      <c r="K157" s="42"/>
      <c r="L157" s="42"/>
      <c r="M157" s="42"/>
      <c r="N157" s="42"/>
      <c r="O157" s="31" t="str">
        <f>IFERROR(__xludf.DUMMYFUNCTION("""COMPUTED_VALUE"""),"DOC")</f>
        <v>DOC</v>
      </c>
      <c r="P157" s="9" t="str">
        <f>IFERROR(__xludf.DUMMYFUNCTION("""COMPUTED_VALUE"""),"Annual Review of Neuroscience")</f>
        <v>Annual Review of Neuroscience</v>
      </c>
      <c r="Q157" s="9"/>
      <c r="R157" s="179" t="str">
        <f>IFERROR(__xludf.DUMMYFUNCTION("""COMPUTED_VALUE"""),"AuML (00/00) [Romanski, 2009];
")</f>
        <v>AuML (00/00) [Romanski, 2009];
</v>
      </c>
      <c r="S157" s="179" t="str">
        <f>IFERROR(__xludf.DUMMYFUNCTION("""COMPUTED_VALUE"""),"AuCLAuML")</f>
        <v>AuCLAuML</v>
      </c>
      <c r="T157" s="179" t="str">
        <f>IFERROR(__xludf.DUMMYFUNCTION("""COMPUTED_VALUE"""),"[Romanski, 2009]")</f>
        <v>[Romanski, 2009]</v>
      </c>
      <c r="U157" s="179">
        <f>IFERROR(__xludf.DUMMYFUNCTION("""COMPUTED_VALUE"""),0.0)</f>
        <v>0</v>
      </c>
      <c r="V157" s="180">
        <f>IFERROR(__xludf.DUMMYFUNCTION("""COMPUTED_VALUE"""),0.0)</f>
        <v>0</v>
      </c>
      <c r="W157" s="180">
        <f>IFERROR(__xludf.DUMMYFUNCTION("""COMPUTED_VALUE"""),0.95)</f>
        <v>0.95</v>
      </c>
      <c r="X157" s="42">
        <f>IFERROR(__xludf.DUMMYFUNCTION("""COMPUTED_VALUE"""),0.0)</f>
        <v>0</v>
      </c>
      <c r="Y157" s="42">
        <f>IFERROR(__xludf.DUMMYFUNCTION("""COMPUTED_VALUE"""),0.0)</f>
        <v>0</v>
      </c>
      <c r="Z157" s="9">
        <f>IFERROR(__xludf.DUMMYFUNCTION("""COMPUTED_VALUE"""),0.0)</f>
        <v>0</v>
      </c>
      <c r="AA157" s="181">
        <f>IFERROR(__xludf.DUMMYFUNCTION("""COMPUTED_VALUE"""),0.0)</f>
        <v>0</v>
      </c>
      <c r="AB157" s="181">
        <f>IFERROR(__xludf.DUMMYFUNCTION("""COMPUTED_VALUE"""),0.0)</f>
        <v>0</v>
      </c>
      <c r="AC157" s="179">
        <f>IFERROR(__xludf.DUMMYFUNCTION("""COMPUTED_VALUE"""),0.0)</f>
        <v>0</v>
      </c>
      <c r="AD157" s="165">
        <f>IFERROR(__xludf.DUMMYFUNCTION("""COMPUTED_VALUE"""),0.0)</f>
        <v>0</v>
      </c>
      <c r="AE157" s="39" t="str">
        <f>IFERROR(__xludf.DUMMYFUNCTION("""COMPUTED_VALUE"""),"Hiroshi Yamakawa")</f>
        <v>Hiroshi Yamakawa</v>
      </c>
      <c r="AF157" s="39" t="str">
        <f>IFERROR(__xludf.DUMMYFUNCTION("""COMPUTED_VALUE"""),"HY22DAA")</f>
        <v>HY22DAA</v>
      </c>
      <c r="AG157" s="39"/>
      <c r="AH157" s="39"/>
      <c r="AI157" s="165"/>
      <c r="AJ157" s="165"/>
      <c r="AK157" s="111"/>
      <c r="AL157" s="111"/>
      <c r="AM157" s="111"/>
      <c r="AN157" s="111"/>
      <c r="AO157" s="111"/>
      <c r="AP157" s="111"/>
      <c r="AQ157" s="116"/>
      <c r="AR157" s="116"/>
      <c r="AS157" s="116"/>
    </row>
    <row r="158">
      <c r="A158" s="42" t="str">
        <f>IFERROR(__xludf.DUMMYFUNCTION("""COMPUTED_VALUE"""),"AuCL")</f>
        <v>AuCL</v>
      </c>
      <c r="B158" s="42"/>
      <c r="C158" s="42"/>
      <c r="D158" s="42" t="str">
        <f>IFERROR(__xludf.DUMMYFUNCTION("""COMPUTED_VALUE"""),"STC")</f>
        <v>STC</v>
      </c>
      <c r="E158" s="42"/>
      <c r="F158" s="42"/>
      <c r="G158" s="42"/>
      <c r="H158" s="42" t="str">
        <f>IFERROR(__xludf.DUMMYFUNCTION("""COMPUTED_VALUE"""),"")</f>
        <v/>
      </c>
      <c r="I158" s="42" t="str">
        <f>IFERROR(__xludf.DUMMYFUNCTION("""COMPUTED_VALUE"""),"Romanski, 2009")</f>
        <v>Romanski, 2009</v>
      </c>
      <c r="J158" s="42"/>
      <c r="K158" s="42"/>
      <c r="L158" s="42"/>
      <c r="M158" s="42"/>
      <c r="N158" s="42"/>
      <c r="O158" s="31" t="str">
        <f>IFERROR(__xludf.DUMMYFUNCTION("""COMPUTED_VALUE"""),"DOC")</f>
        <v>DOC</v>
      </c>
      <c r="P158" s="9" t="str">
        <f>IFERROR(__xludf.DUMMYFUNCTION("""COMPUTED_VALUE"""),"Annual Review of Neuroscience")</f>
        <v>Annual Review of Neuroscience</v>
      </c>
      <c r="Q158" s="9"/>
      <c r="R158" s="179" t="str">
        <f>IFERROR(__xludf.DUMMYFUNCTION("""COMPUTED_VALUE"""),"STC (00/00) [Romanski, 2009];
")</f>
        <v>STC (00/00) [Romanski, 2009];
</v>
      </c>
      <c r="S158" s="179" t="str">
        <f>IFERROR(__xludf.DUMMYFUNCTION("""COMPUTED_VALUE"""),"AuCLSTC")</f>
        <v>AuCLSTC</v>
      </c>
      <c r="T158" s="179" t="str">
        <f>IFERROR(__xludf.DUMMYFUNCTION("""COMPUTED_VALUE"""),"[Romanski, 2009]")</f>
        <v>[Romanski, 2009]</v>
      </c>
      <c r="U158" s="179">
        <f>IFERROR(__xludf.DUMMYFUNCTION("""COMPUTED_VALUE"""),0.0)</f>
        <v>0</v>
      </c>
      <c r="V158" s="180">
        <f>IFERROR(__xludf.DUMMYFUNCTION("""COMPUTED_VALUE"""),0.0)</f>
        <v>0</v>
      </c>
      <c r="W158" s="180">
        <f>IFERROR(__xludf.DUMMYFUNCTION("""COMPUTED_VALUE"""),0.95)</f>
        <v>0.95</v>
      </c>
      <c r="X158" s="42">
        <f>IFERROR(__xludf.DUMMYFUNCTION("""COMPUTED_VALUE"""),0.0)</f>
        <v>0</v>
      </c>
      <c r="Y158" s="42">
        <f>IFERROR(__xludf.DUMMYFUNCTION("""COMPUTED_VALUE"""),0.0)</f>
        <v>0</v>
      </c>
      <c r="Z158" s="9">
        <f>IFERROR(__xludf.DUMMYFUNCTION("""COMPUTED_VALUE"""),0.0)</f>
        <v>0</v>
      </c>
      <c r="AA158" s="181">
        <f>IFERROR(__xludf.DUMMYFUNCTION("""COMPUTED_VALUE"""),0.0)</f>
        <v>0</v>
      </c>
      <c r="AB158" s="181">
        <f>IFERROR(__xludf.DUMMYFUNCTION("""COMPUTED_VALUE"""),0.0)</f>
        <v>0</v>
      </c>
      <c r="AC158" s="179">
        <f>IFERROR(__xludf.DUMMYFUNCTION("""COMPUTED_VALUE"""),0.0)</f>
        <v>0</v>
      </c>
      <c r="AD158" s="165">
        <f>IFERROR(__xludf.DUMMYFUNCTION("""COMPUTED_VALUE"""),0.0)</f>
        <v>0</v>
      </c>
      <c r="AE158" s="39" t="str">
        <f>IFERROR(__xludf.DUMMYFUNCTION("""COMPUTED_VALUE"""),"Hiroshi Yamakawa")</f>
        <v>Hiroshi Yamakawa</v>
      </c>
      <c r="AF158" s="39" t="str">
        <f>IFERROR(__xludf.DUMMYFUNCTION("""COMPUTED_VALUE"""),"HY22DAA")</f>
        <v>HY22DAA</v>
      </c>
      <c r="AG158" s="39"/>
      <c r="AH158" s="39"/>
      <c r="AI158" s="165"/>
      <c r="AJ158" s="165"/>
      <c r="AK158" s="111"/>
      <c r="AL158" s="111"/>
      <c r="AM158" s="111"/>
      <c r="AN158" s="111"/>
      <c r="AO158" s="111"/>
      <c r="AP158" s="111"/>
      <c r="AQ158" s="116"/>
      <c r="AR158" s="116"/>
      <c r="AS158" s="116"/>
    </row>
    <row r="159">
      <c r="A159" s="42" t="str">
        <f>IFERROR(__xludf.DUMMYFUNCTION("""COMPUTED_VALUE"""),"AuCM")</f>
        <v>AuCM</v>
      </c>
      <c r="B159" s="42"/>
      <c r="C159" s="42"/>
      <c r="D159" s="42" t="str">
        <f>IFERROR(__xludf.DUMMYFUNCTION("""COMPUTED_VALUE"""),"AuA1")</f>
        <v>AuA1</v>
      </c>
      <c r="E159" s="42"/>
      <c r="F159" s="42"/>
      <c r="G159" s="42"/>
      <c r="H159" s="42" t="str">
        <f>IFERROR(__xludf.DUMMYFUNCTION("""COMPUTED_VALUE"""),"")</f>
        <v/>
      </c>
      <c r="I159" s="42" t="str">
        <f>IFERROR(__xludf.DUMMYFUNCTION("""COMPUTED_VALUE"""),"Romanski, 2009")</f>
        <v>Romanski, 2009</v>
      </c>
      <c r="J159" s="42"/>
      <c r="K159" s="42"/>
      <c r="L159" s="42"/>
      <c r="M159" s="42"/>
      <c r="N159" s="42"/>
      <c r="O159" s="31" t="str">
        <f>IFERROR(__xludf.DUMMYFUNCTION("""COMPUTED_VALUE"""),"DOC")</f>
        <v>DOC</v>
      </c>
      <c r="P159" s="9" t="str">
        <f>IFERROR(__xludf.DUMMYFUNCTION("""COMPUTED_VALUE"""),"Annual Review of Neuroscience")</f>
        <v>Annual Review of Neuroscience</v>
      </c>
      <c r="Q159" s="9"/>
      <c r="R159" s="179" t="str">
        <f>IFERROR(__xludf.DUMMYFUNCTION("""COMPUTED_VALUE"""),"AuA1 (00/00) [Romanski, 2009];
")</f>
        <v>AuA1 (00/00) [Romanski, 2009];
</v>
      </c>
      <c r="S159" s="179" t="str">
        <f>IFERROR(__xludf.DUMMYFUNCTION("""COMPUTED_VALUE"""),"AuCMAuA1")</f>
        <v>AuCMAuA1</v>
      </c>
      <c r="T159" s="179" t="str">
        <f>IFERROR(__xludf.DUMMYFUNCTION("""COMPUTED_VALUE"""),"[Romanski, 2009]")</f>
        <v>[Romanski, 2009]</v>
      </c>
      <c r="U159" s="179">
        <f>IFERROR(__xludf.DUMMYFUNCTION("""COMPUTED_VALUE"""),0.0)</f>
        <v>0</v>
      </c>
      <c r="V159" s="180">
        <f>IFERROR(__xludf.DUMMYFUNCTION("""COMPUTED_VALUE"""),0.0)</f>
        <v>0</v>
      </c>
      <c r="W159" s="180">
        <f>IFERROR(__xludf.DUMMYFUNCTION("""COMPUTED_VALUE"""),0.95)</f>
        <v>0.95</v>
      </c>
      <c r="X159" s="42">
        <f>IFERROR(__xludf.DUMMYFUNCTION("""COMPUTED_VALUE"""),0.0)</f>
        <v>0</v>
      </c>
      <c r="Y159" s="42">
        <f>IFERROR(__xludf.DUMMYFUNCTION("""COMPUTED_VALUE"""),0.0)</f>
        <v>0</v>
      </c>
      <c r="Z159" s="9">
        <f>IFERROR(__xludf.DUMMYFUNCTION("""COMPUTED_VALUE"""),0.0)</f>
        <v>0</v>
      </c>
      <c r="AA159" s="181">
        <f>IFERROR(__xludf.DUMMYFUNCTION("""COMPUTED_VALUE"""),0.0)</f>
        <v>0</v>
      </c>
      <c r="AB159" s="181">
        <f>IFERROR(__xludf.DUMMYFUNCTION("""COMPUTED_VALUE"""),0.0)</f>
        <v>0</v>
      </c>
      <c r="AC159" s="179">
        <f>IFERROR(__xludf.DUMMYFUNCTION("""COMPUTED_VALUE"""),0.0)</f>
        <v>0</v>
      </c>
      <c r="AD159" s="165">
        <f>IFERROR(__xludf.DUMMYFUNCTION("""COMPUTED_VALUE"""),0.0)</f>
        <v>0</v>
      </c>
      <c r="AE159" s="39" t="str">
        <f>IFERROR(__xludf.DUMMYFUNCTION("""COMPUTED_VALUE"""),"Hiroshi Yamakawa")</f>
        <v>Hiroshi Yamakawa</v>
      </c>
      <c r="AF159" s="39" t="str">
        <f>IFERROR(__xludf.DUMMYFUNCTION("""COMPUTED_VALUE"""),"HY22DAA")</f>
        <v>HY22DAA</v>
      </c>
      <c r="AG159" s="39"/>
      <c r="AH159" s="39"/>
      <c r="AI159" s="165"/>
      <c r="AJ159" s="165"/>
      <c r="AK159" s="111"/>
      <c r="AL159" s="111"/>
      <c r="AM159" s="111"/>
      <c r="AN159" s="111"/>
      <c r="AO159" s="111"/>
      <c r="AP159" s="111"/>
      <c r="AQ159" s="116"/>
      <c r="AR159" s="116"/>
      <c r="AS159" s="116"/>
    </row>
    <row r="160">
      <c r="A160" s="42" t="str">
        <f>IFERROR(__xludf.DUMMYFUNCTION("""COMPUTED_VALUE"""),"AuCM")</f>
        <v>AuCM</v>
      </c>
      <c r="B160" s="42"/>
      <c r="C160" s="42"/>
      <c r="D160" s="42" t="str">
        <f>IFERROR(__xludf.DUMMYFUNCTION("""COMPUTED_VALUE"""),"AuCL")</f>
        <v>AuCL</v>
      </c>
      <c r="E160" s="42"/>
      <c r="F160" s="42"/>
      <c r="G160" s="42"/>
      <c r="H160" s="42" t="str">
        <f>IFERROR(__xludf.DUMMYFUNCTION("""COMPUTED_VALUE"""),"")</f>
        <v/>
      </c>
      <c r="I160" s="42" t="str">
        <f>IFERROR(__xludf.DUMMYFUNCTION("""COMPUTED_VALUE"""),"Romanski, 2009")</f>
        <v>Romanski, 2009</v>
      </c>
      <c r="J160" s="42"/>
      <c r="K160" s="42"/>
      <c r="L160" s="42"/>
      <c r="M160" s="42"/>
      <c r="N160" s="42"/>
      <c r="O160" s="31" t="str">
        <f>IFERROR(__xludf.DUMMYFUNCTION("""COMPUTED_VALUE"""),"DOC")</f>
        <v>DOC</v>
      </c>
      <c r="P160" s="9" t="str">
        <f>IFERROR(__xludf.DUMMYFUNCTION("""COMPUTED_VALUE"""),"Annual Review of Neuroscience")</f>
        <v>Annual Review of Neuroscience</v>
      </c>
      <c r="Q160" s="9"/>
      <c r="R160" s="179" t="str">
        <f>IFERROR(__xludf.DUMMYFUNCTION("""COMPUTED_VALUE"""),"AuCL (00/00) [Romanski, 2009];
")</f>
        <v>AuCL (00/00) [Romanski, 2009];
</v>
      </c>
      <c r="S160" s="179" t="str">
        <f>IFERROR(__xludf.DUMMYFUNCTION("""COMPUTED_VALUE"""),"AuCMAuCL")</f>
        <v>AuCMAuCL</v>
      </c>
      <c r="T160" s="179" t="str">
        <f>IFERROR(__xludf.DUMMYFUNCTION("""COMPUTED_VALUE"""),"[Romanski, 2009]")</f>
        <v>[Romanski, 2009]</v>
      </c>
      <c r="U160" s="179">
        <f>IFERROR(__xludf.DUMMYFUNCTION("""COMPUTED_VALUE"""),0.0)</f>
        <v>0</v>
      </c>
      <c r="V160" s="180">
        <f>IFERROR(__xludf.DUMMYFUNCTION("""COMPUTED_VALUE"""),0.0)</f>
        <v>0</v>
      </c>
      <c r="W160" s="180">
        <f>IFERROR(__xludf.DUMMYFUNCTION("""COMPUTED_VALUE"""),0.95)</f>
        <v>0.95</v>
      </c>
      <c r="X160" s="42">
        <f>IFERROR(__xludf.DUMMYFUNCTION("""COMPUTED_VALUE"""),0.0)</f>
        <v>0</v>
      </c>
      <c r="Y160" s="42">
        <f>IFERROR(__xludf.DUMMYFUNCTION("""COMPUTED_VALUE"""),0.0)</f>
        <v>0</v>
      </c>
      <c r="Z160" s="9">
        <f>IFERROR(__xludf.DUMMYFUNCTION("""COMPUTED_VALUE"""),0.0)</f>
        <v>0</v>
      </c>
      <c r="AA160" s="181">
        <f>IFERROR(__xludf.DUMMYFUNCTION("""COMPUTED_VALUE"""),0.0)</f>
        <v>0</v>
      </c>
      <c r="AB160" s="181">
        <f>IFERROR(__xludf.DUMMYFUNCTION("""COMPUTED_VALUE"""),0.0)</f>
        <v>0</v>
      </c>
      <c r="AC160" s="179">
        <f>IFERROR(__xludf.DUMMYFUNCTION("""COMPUTED_VALUE"""),0.0)</f>
        <v>0</v>
      </c>
      <c r="AD160" s="165">
        <f>IFERROR(__xludf.DUMMYFUNCTION("""COMPUTED_VALUE"""),0.0)</f>
        <v>0</v>
      </c>
      <c r="AE160" s="39" t="str">
        <f>IFERROR(__xludf.DUMMYFUNCTION("""COMPUTED_VALUE"""),"Hiroshi Yamakawa")</f>
        <v>Hiroshi Yamakawa</v>
      </c>
      <c r="AF160" s="39" t="str">
        <f>IFERROR(__xludf.DUMMYFUNCTION("""COMPUTED_VALUE"""),"HY22DAA")</f>
        <v>HY22DAA</v>
      </c>
      <c r="AG160" s="39"/>
      <c r="AH160" s="39"/>
      <c r="AI160" s="165"/>
      <c r="AJ160" s="165"/>
      <c r="AK160" s="111"/>
      <c r="AL160" s="111"/>
      <c r="AM160" s="111"/>
      <c r="AN160" s="111"/>
      <c r="AO160" s="111"/>
      <c r="AP160" s="111"/>
      <c r="AQ160" s="116"/>
      <c r="AR160" s="116"/>
      <c r="AS160" s="116"/>
    </row>
    <row r="161">
      <c r="A161" s="42" t="str">
        <f>IFERROR(__xludf.DUMMYFUNCTION("""COMPUTED_VALUE"""),"AuCM")</f>
        <v>AuCM</v>
      </c>
      <c r="B161" s="42"/>
      <c r="C161" s="42"/>
      <c r="D161" s="42" t="str">
        <f>IFERROR(__xludf.DUMMYFUNCTION("""COMPUTED_VALUE"""),"AuMM")</f>
        <v>AuMM</v>
      </c>
      <c r="E161" s="42"/>
      <c r="F161" s="42"/>
      <c r="G161" s="42"/>
      <c r="H161" s="42" t="str">
        <f>IFERROR(__xludf.DUMMYFUNCTION("""COMPUTED_VALUE"""),"")</f>
        <v/>
      </c>
      <c r="I161" s="42" t="str">
        <f>IFERROR(__xludf.DUMMYFUNCTION("""COMPUTED_VALUE"""),"Romanski, 2009")</f>
        <v>Romanski, 2009</v>
      </c>
      <c r="J161" s="42"/>
      <c r="K161" s="42"/>
      <c r="L161" s="42"/>
      <c r="M161" s="42"/>
      <c r="N161" s="42"/>
      <c r="O161" s="31" t="str">
        <f>IFERROR(__xludf.DUMMYFUNCTION("""COMPUTED_VALUE"""),"DOC")</f>
        <v>DOC</v>
      </c>
      <c r="P161" s="9" t="str">
        <f>IFERROR(__xludf.DUMMYFUNCTION("""COMPUTED_VALUE"""),"Annual Review of Neuroscience")</f>
        <v>Annual Review of Neuroscience</v>
      </c>
      <c r="Q161" s="9"/>
      <c r="R161" s="179" t="str">
        <f>IFERROR(__xludf.DUMMYFUNCTION("""COMPUTED_VALUE"""),"AuMM (00/00) [Romanski, 2009];
")</f>
        <v>AuMM (00/00) [Romanski, 2009];
</v>
      </c>
      <c r="S161" s="179" t="str">
        <f>IFERROR(__xludf.DUMMYFUNCTION("""COMPUTED_VALUE"""),"AuCMAuMM")</f>
        <v>AuCMAuMM</v>
      </c>
      <c r="T161" s="179" t="str">
        <f>IFERROR(__xludf.DUMMYFUNCTION("""COMPUTED_VALUE"""),"[Romanski, 2009]")</f>
        <v>[Romanski, 2009]</v>
      </c>
      <c r="U161" s="179">
        <f>IFERROR(__xludf.DUMMYFUNCTION("""COMPUTED_VALUE"""),0.0)</f>
        <v>0</v>
      </c>
      <c r="V161" s="180">
        <f>IFERROR(__xludf.DUMMYFUNCTION("""COMPUTED_VALUE"""),0.0)</f>
        <v>0</v>
      </c>
      <c r="W161" s="180">
        <f>IFERROR(__xludf.DUMMYFUNCTION("""COMPUTED_VALUE"""),0.95)</f>
        <v>0.95</v>
      </c>
      <c r="X161" s="42">
        <f>IFERROR(__xludf.DUMMYFUNCTION("""COMPUTED_VALUE"""),0.0)</f>
        <v>0</v>
      </c>
      <c r="Y161" s="42">
        <f>IFERROR(__xludf.DUMMYFUNCTION("""COMPUTED_VALUE"""),0.0)</f>
        <v>0</v>
      </c>
      <c r="Z161" s="9">
        <f>IFERROR(__xludf.DUMMYFUNCTION("""COMPUTED_VALUE"""),0.0)</f>
        <v>0</v>
      </c>
      <c r="AA161" s="181">
        <f>IFERROR(__xludf.DUMMYFUNCTION("""COMPUTED_VALUE"""),0.0)</f>
        <v>0</v>
      </c>
      <c r="AB161" s="181">
        <f>IFERROR(__xludf.DUMMYFUNCTION("""COMPUTED_VALUE"""),0.0)</f>
        <v>0</v>
      </c>
      <c r="AC161" s="179">
        <f>IFERROR(__xludf.DUMMYFUNCTION("""COMPUTED_VALUE"""),0.0)</f>
        <v>0</v>
      </c>
      <c r="AD161" s="165">
        <f>IFERROR(__xludf.DUMMYFUNCTION("""COMPUTED_VALUE"""),0.0)</f>
        <v>0</v>
      </c>
      <c r="AE161" s="39" t="str">
        <f>IFERROR(__xludf.DUMMYFUNCTION("""COMPUTED_VALUE"""),"Hiroshi Yamakawa")</f>
        <v>Hiroshi Yamakawa</v>
      </c>
      <c r="AF161" s="39" t="str">
        <f>IFERROR(__xludf.DUMMYFUNCTION("""COMPUTED_VALUE"""),"HY22DAA")</f>
        <v>HY22DAA</v>
      </c>
      <c r="AG161" s="39"/>
      <c r="AH161" s="39"/>
      <c r="AI161" s="165"/>
      <c r="AJ161" s="165"/>
      <c r="AK161" s="111"/>
      <c r="AL161" s="111"/>
      <c r="AM161" s="111"/>
      <c r="AN161" s="111"/>
      <c r="AO161" s="111"/>
      <c r="AP161" s="111"/>
      <c r="AQ161" s="116"/>
      <c r="AR161" s="116"/>
      <c r="AS161" s="116"/>
    </row>
    <row r="162">
      <c r="A162" s="42" t="str">
        <f>IFERROR(__xludf.DUMMYFUNCTION("""COMPUTED_VALUE"""),"AuCM")</f>
        <v>AuCM</v>
      </c>
      <c r="B162" s="42"/>
      <c r="C162" s="42"/>
      <c r="D162" s="42" t="str">
        <f>IFERROR(__xludf.DUMMYFUNCTION("""COMPUTED_VALUE"""),"STC")</f>
        <v>STC</v>
      </c>
      <c r="E162" s="42"/>
      <c r="F162" s="42"/>
      <c r="G162" s="42"/>
      <c r="H162" s="42" t="str">
        <f>IFERROR(__xludf.DUMMYFUNCTION("""COMPUTED_VALUE"""),"")</f>
        <v/>
      </c>
      <c r="I162" s="42" t="str">
        <f>IFERROR(__xludf.DUMMYFUNCTION("""COMPUTED_VALUE"""),"Romanski, 2009")</f>
        <v>Romanski, 2009</v>
      </c>
      <c r="J162" s="42"/>
      <c r="K162" s="42"/>
      <c r="L162" s="42"/>
      <c r="M162" s="42"/>
      <c r="N162" s="42"/>
      <c r="O162" s="31" t="str">
        <f>IFERROR(__xludf.DUMMYFUNCTION("""COMPUTED_VALUE"""),"DOC")</f>
        <v>DOC</v>
      </c>
      <c r="P162" s="9" t="str">
        <f>IFERROR(__xludf.DUMMYFUNCTION("""COMPUTED_VALUE"""),"Annual Review of Neuroscience")</f>
        <v>Annual Review of Neuroscience</v>
      </c>
      <c r="Q162" s="9"/>
      <c r="R162" s="179" t="str">
        <f>IFERROR(__xludf.DUMMYFUNCTION("""COMPUTED_VALUE"""),"STC (00/00) [Romanski, 2009];
")</f>
        <v>STC (00/00) [Romanski, 2009];
</v>
      </c>
      <c r="S162" s="179" t="str">
        <f>IFERROR(__xludf.DUMMYFUNCTION("""COMPUTED_VALUE"""),"AuCMSTC")</f>
        <v>AuCMSTC</v>
      </c>
      <c r="T162" s="179" t="str">
        <f>IFERROR(__xludf.DUMMYFUNCTION("""COMPUTED_VALUE"""),"[Romanski, 2009]")</f>
        <v>[Romanski, 2009]</v>
      </c>
      <c r="U162" s="179">
        <f>IFERROR(__xludf.DUMMYFUNCTION("""COMPUTED_VALUE"""),0.0)</f>
        <v>0</v>
      </c>
      <c r="V162" s="180">
        <f>IFERROR(__xludf.DUMMYFUNCTION("""COMPUTED_VALUE"""),0.0)</f>
        <v>0</v>
      </c>
      <c r="W162" s="180">
        <f>IFERROR(__xludf.DUMMYFUNCTION("""COMPUTED_VALUE"""),0.95)</f>
        <v>0.95</v>
      </c>
      <c r="X162" s="42">
        <f>IFERROR(__xludf.DUMMYFUNCTION("""COMPUTED_VALUE"""),0.0)</f>
        <v>0</v>
      </c>
      <c r="Y162" s="42">
        <f>IFERROR(__xludf.DUMMYFUNCTION("""COMPUTED_VALUE"""),0.0)</f>
        <v>0</v>
      </c>
      <c r="Z162" s="9">
        <f>IFERROR(__xludf.DUMMYFUNCTION("""COMPUTED_VALUE"""),0.0)</f>
        <v>0</v>
      </c>
      <c r="AA162" s="181">
        <f>IFERROR(__xludf.DUMMYFUNCTION("""COMPUTED_VALUE"""),0.0)</f>
        <v>0</v>
      </c>
      <c r="AB162" s="181">
        <f>IFERROR(__xludf.DUMMYFUNCTION("""COMPUTED_VALUE"""),0.0)</f>
        <v>0</v>
      </c>
      <c r="AC162" s="179">
        <f>IFERROR(__xludf.DUMMYFUNCTION("""COMPUTED_VALUE"""),0.0)</f>
        <v>0</v>
      </c>
      <c r="AD162" s="165">
        <f>IFERROR(__xludf.DUMMYFUNCTION("""COMPUTED_VALUE"""),0.0)</f>
        <v>0</v>
      </c>
      <c r="AE162" s="39" t="str">
        <f>IFERROR(__xludf.DUMMYFUNCTION("""COMPUTED_VALUE"""),"Hiroshi Yamakawa")</f>
        <v>Hiroshi Yamakawa</v>
      </c>
      <c r="AF162" s="39" t="str">
        <f>IFERROR(__xludf.DUMMYFUNCTION("""COMPUTED_VALUE"""),"HY22DAA")</f>
        <v>HY22DAA</v>
      </c>
      <c r="AG162" s="39"/>
      <c r="AH162" s="39"/>
      <c r="AI162" s="165"/>
      <c r="AJ162" s="165"/>
      <c r="AK162" s="111"/>
      <c r="AL162" s="111"/>
      <c r="AM162" s="111"/>
      <c r="AN162" s="111"/>
      <c r="AO162" s="111"/>
      <c r="AP162" s="111"/>
      <c r="AQ162" s="116"/>
      <c r="AR162" s="116"/>
      <c r="AS162" s="116"/>
    </row>
    <row r="163">
      <c r="A163" s="42" t="str">
        <f>IFERROR(__xludf.DUMMYFUNCTION("""COMPUTED_VALUE"""),"AuML")</f>
        <v>AuML</v>
      </c>
      <c r="B163" s="42"/>
      <c r="C163" s="42"/>
      <c r="D163" s="42" t="str">
        <f>IFERROR(__xludf.DUMMYFUNCTION("""COMPUTED_VALUE"""),"AuA1")</f>
        <v>AuA1</v>
      </c>
      <c r="E163" s="42"/>
      <c r="F163" s="42"/>
      <c r="G163" s="42"/>
      <c r="H163" s="42" t="str">
        <f>IFERROR(__xludf.DUMMYFUNCTION("""COMPUTED_VALUE"""),"")</f>
        <v/>
      </c>
      <c r="I163" s="42" t="str">
        <f>IFERROR(__xludf.DUMMYFUNCTION("""COMPUTED_VALUE"""),"Romanski, 2009")</f>
        <v>Romanski, 2009</v>
      </c>
      <c r="J163" s="42"/>
      <c r="K163" s="42"/>
      <c r="L163" s="42"/>
      <c r="M163" s="42"/>
      <c r="N163" s="42"/>
      <c r="O163" s="31" t="str">
        <f>IFERROR(__xludf.DUMMYFUNCTION("""COMPUTED_VALUE"""),"DOC")</f>
        <v>DOC</v>
      </c>
      <c r="P163" s="9" t="str">
        <f>IFERROR(__xludf.DUMMYFUNCTION("""COMPUTED_VALUE"""),"Annual Review of Neuroscience")</f>
        <v>Annual Review of Neuroscience</v>
      </c>
      <c r="Q163" s="9"/>
      <c r="R163" s="179" t="str">
        <f>IFERROR(__xludf.DUMMYFUNCTION("""COMPUTED_VALUE"""),"AuA1 (00/00) [Romanski, 2009];
")</f>
        <v>AuA1 (00/00) [Romanski, 2009];
</v>
      </c>
      <c r="S163" s="179" t="str">
        <f>IFERROR(__xludf.DUMMYFUNCTION("""COMPUTED_VALUE"""),"AuMLAuA1")</f>
        <v>AuMLAuA1</v>
      </c>
      <c r="T163" s="179" t="str">
        <f>IFERROR(__xludf.DUMMYFUNCTION("""COMPUTED_VALUE"""),"[Romanski, 2009]")</f>
        <v>[Romanski, 2009]</v>
      </c>
      <c r="U163" s="179">
        <f>IFERROR(__xludf.DUMMYFUNCTION("""COMPUTED_VALUE"""),0.0)</f>
        <v>0</v>
      </c>
      <c r="V163" s="180">
        <f>IFERROR(__xludf.DUMMYFUNCTION("""COMPUTED_VALUE"""),0.0)</f>
        <v>0</v>
      </c>
      <c r="W163" s="180">
        <f>IFERROR(__xludf.DUMMYFUNCTION("""COMPUTED_VALUE"""),0.95)</f>
        <v>0.95</v>
      </c>
      <c r="X163" s="42">
        <f>IFERROR(__xludf.DUMMYFUNCTION("""COMPUTED_VALUE"""),0.0)</f>
        <v>0</v>
      </c>
      <c r="Y163" s="42">
        <f>IFERROR(__xludf.DUMMYFUNCTION("""COMPUTED_VALUE"""),0.0)</f>
        <v>0</v>
      </c>
      <c r="Z163" s="9">
        <f>IFERROR(__xludf.DUMMYFUNCTION("""COMPUTED_VALUE"""),0.0)</f>
        <v>0</v>
      </c>
      <c r="AA163" s="181">
        <f>IFERROR(__xludf.DUMMYFUNCTION("""COMPUTED_VALUE"""),0.0)</f>
        <v>0</v>
      </c>
      <c r="AB163" s="181">
        <f>IFERROR(__xludf.DUMMYFUNCTION("""COMPUTED_VALUE"""),0.0)</f>
        <v>0</v>
      </c>
      <c r="AC163" s="179">
        <f>IFERROR(__xludf.DUMMYFUNCTION("""COMPUTED_VALUE"""),0.0)</f>
        <v>0</v>
      </c>
      <c r="AD163" s="165">
        <f>IFERROR(__xludf.DUMMYFUNCTION("""COMPUTED_VALUE"""),0.0)</f>
        <v>0</v>
      </c>
      <c r="AE163" s="39" t="str">
        <f>IFERROR(__xludf.DUMMYFUNCTION("""COMPUTED_VALUE"""),"Hiroshi Yamakawa")</f>
        <v>Hiroshi Yamakawa</v>
      </c>
      <c r="AF163" s="39" t="str">
        <f>IFERROR(__xludf.DUMMYFUNCTION("""COMPUTED_VALUE"""),"HY22DAA")</f>
        <v>HY22DAA</v>
      </c>
      <c r="AG163" s="39"/>
      <c r="AH163" s="39"/>
      <c r="AI163" s="165"/>
      <c r="AJ163" s="165"/>
      <c r="AK163" s="111"/>
      <c r="AL163" s="111"/>
      <c r="AM163" s="111"/>
      <c r="AN163" s="111"/>
      <c r="AO163" s="111"/>
      <c r="AP163" s="111"/>
      <c r="AQ163" s="116"/>
      <c r="AR163" s="116"/>
      <c r="AS163" s="116"/>
    </row>
    <row r="164">
      <c r="A164" s="42" t="str">
        <f>IFERROR(__xludf.DUMMYFUNCTION("""COMPUTED_VALUE"""),"AuML")</f>
        <v>AuML</v>
      </c>
      <c r="B164" s="42"/>
      <c r="C164" s="42"/>
      <c r="D164" s="42" t="str">
        <f>IFERROR(__xludf.DUMMYFUNCTION("""COMPUTED_VALUE"""),"AuAL")</f>
        <v>AuAL</v>
      </c>
      <c r="E164" s="42"/>
      <c r="F164" s="42"/>
      <c r="G164" s="42"/>
      <c r="H164" s="42" t="str">
        <f>IFERROR(__xludf.DUMMYFUNCTION("""COMPUTED_VALUE"""),"")</f>
        <v/>
      </c>
      <c r="I164" s="42" t="str">
        <f>IFERROR(__xludf.DUMMYFUNCTION("""COMPUTED_VALUE"""),"Romanski, 2009")</f>
        <v>Romanski, 2009</v>
      </c>
      <c r="J164" s="42"/>
      <c r="K164" s="42"/>
      <c r="L164" s="42"/>
      <c r="M164" s="42"/>
      <c r="N164" s="42"/>
      <c r="O164" s="31" t="str">
        <f>IFERROR(__xludf.DUMMYFUNCTION("""COMPUTED_VALUE"""),"DOC")</f>
        <v>DOC</v>
      </c>
      <c r="P164" s="9" t="str">
        <f>IFERROR(__xludf.DUMMYFUNCTION("""COMPUTED_VALUE"""),"Annual Review of Neuroscience")</f>
        <v>Annual Review of Neuroscience</v>
      </c>
      <c r="Q164" s="9"/>
      <c r="R164" s="179" t="str">
        <f>IFERROR(__xludf.DUMMYFUNCTION("""COMPUTED_VALUE"""),"AuAL (00/00) [Romanski, 2009];
")</f>
        <v>AuAL (00/00) [Romanski, 2009];
</v>
      </c>
      <c r="S164" s="179" t="str">
        <f>IFERROR(__xludf.DUMMYFUNCTION("""COMPUTED_VALUE"""),"AuMLAuAL")</f>
        <v>AuMLAuAL</v>
      </c>
      <c r="T164" s="179" t="str">
        <f>IFERROR(__xludf.DUMMYFUNCTION("""COMPUTED_VALUE"""),"[Romanski, 2009]")</f>
        <v>[Romanski, 2009]</v>
      </c>
      <c r="U164" s="179">
        <f>IFERROR(__xludf.DUMMYFUNCTION("""COMPUTED_VALUE"""),0.0)</f>
        <v>0</v>
      </c>
      <c r="V164" s="180">
        <f>IFERROR(__xludf.DUMMYFUNCTION("""COMPUTED_VALUE"""),0.0)</f>
        <v>0</v>
      </c>
      <c r="W164" s="180">
        <f>IFERROR(__xludf.DUMMYFUNCTION("""COMPUTED_VALUE"""),0.95)</f>
        <v>0.95</v>
      </c>
      <c r="X164" s="42">
        <f>IFERROR(__xludf.DUMMYFUNCTION("""COMPUTED_VALUE"""),0.0)</f>
        <v>0</v>
      </c>
      <c r="Y164" s="42">
        <f>IFERROR(__xludf.DUMMYFUNCTION("""COMPUTED_VALUE"""),0.0)</f>
        <v>0</v>
      </c>
      <c r="Z164" s="9">
        <f>IFERROR(__xludf.DUMMYFUNCTION("""COMPUTED_VALUE"""),0.0)</f>
        <v>0</v>
      </c>
      <c r="AA164" s="181">
        <f>IFERROR(__xludf.DUMMYFUNCTION("""COMPUTED_VALUE"""),0.0)</f>
        <v>0</v>
      </c>
      <c r="AB164" s="181">
        <f>IFERROR(__xludf.DUMMYFUNCTION("""COMPUTED_VALUE"""),0.0)</f>
        <v>0</v>
      </c>
      <c r="AC164" s="179">
        <f>IFERROR(__xludf.DUMMYFUNCTION("""COMPUTED_VALUE"""),0.0)</f>
        <v>0</v>
      </c>
      <c r="AD164" s="165">
        <f>IFERROR(__xludf.DUMMYFUNCTION("""COMPUTED_VALUE"""),0.0)</f>
        <v>0</v>
      </c>
      <c r="AE164" s="39" t="str">
        <f>IFERROR(__xludf.DUMMYFUNCTION("""COMPUTED_VALUE"""),"Hiroshi Yamakawa")</f>
        <v>Hiroshi Yamakawa</v>
      </c>
      <c r="AF164" s="39" t="str">
        <f>IFERROR(__xludf.DUMMYFUNCTION("""COMPUTED_VALUE"""),"HY22DAA")</f>
        <v>HY22DAA</v>
      </c>
      <c r="AG164" s="39"/>
      <c r="AH164" s="39"/>
      <c r="AI164" s="165"/>
      <c r="AJ164" s="165"/>
      <c r="AK164" s="111"/>
      <c r="AL164" s="111"/>
      <c r="AM164" s="111"/>
      <c r="AN164" s="111"/>
      <c r="AO164" s="111"/>
      <c r="AP164" s="111"/>
      <c r="AQ164" s="116"/>
      <c r="AR164" s="116"/>
      <c r="AS164" s="116"/>
    </row>
    <row r="165">
      <c r="A165" s="42" t="str">
        <f>IFERROR(__xludf.DUMMYFUNCTION("""COMPUTED_VALUE"""),"AuML")</f>
        <v>AuML</v>
      </c>
      <c r="B165" s="42"/>
      <c r="C165" s="42"/>
      <c r="D165" s="42" t="str">
        <f>IFERROR(__xludf.DUMMYFUNCTION("""COMPUTED_VALUE"""),"AuCL")</f>
        <v>AuCL</v>
      </c>
      <c r="E165" s="42"/>
      <c r="F165" s="42"/>
      <c r="G165" s="42"/>
      <c r="H165" s="42" t="str">
        <f>IFERROR(__xludf.DUMMYFUNCTION("""COMPUTED_VALUE"""),"")</f>
        <v/>
      </c>
      <c r="I165" s="42" t="str">
        <f>IFERROR(__xludf.DUMMYFUNCTION("""COMPUTED_VALUE"""),"Romanski, 2009")</f>
        <v>Romanski, 2009</v>
      </c>
      <c r="J165" s="42"/>
      <c r="K165" s="42"/>
      <c r="L165" s="42"/>
      <c r="M165" s="42"/>
      <c r="N165" s="42"/>
      <c r="O165" s="31" t="str">
        <f>IFERROR(__xludf.DUMMYFUNCTION("""COMPUTED_VALUE"""),"DOC")</f>
        <v>DOC</v>
      </c>
      <c r="P165" s="9" t="str">
        <f>IFERROR(__xludf.DUMMYFUNCTION("""COMPUTED_VALUE"""),"Annual Review of Neuroscience")</f>
        <v>Annual Review of Neuroscience</v>
      </c>
      <c r="Q165" s="9"/>
      <c r="R165" s="179" t="str">
        <f>IFERROR(__xludf.DUMMYFUNCTION("""COMPUTED_VALUE"""),"AuCL (00/00) [Romanski, 2009];
")</f>
        <v>AuCL (00/00) [Romanski, 2009];
</v>
      </c>
      <c r="S165" s="179" t="str">
        <f>IFERROR(__xludf.DUMMYFUNCTION("""COMPUTED_VALUE"""),"AuMLAuCL")</f>
        <v>AuMLAuCL</v>
      </c>
      <c r="T165" s="179" t="str">
        <f>IFERROR(__xludf.DUMMYFUNCTION("""COMPUTED_VALUE"""),"[Romanski, 2009]")</f>
        <v>[Romanski, 2009]</v>
      </c>
      <c r="U165" s="179">
        <f>IFERROR(__xludf.DUMMYFUNCTION("""COMPUTED_VALUE"""),0.0)</f>
        <v>0</v>
      </c>
      <c r="V165" s="180">
        <f>IFERROR(__xludf.DUMMYFUNCTION("""COMPUTED_VALUE"""),0.0)</f>
        <v>0</v>
      </c>
      <c r="W165" s="180">
        <f>IFERROR(__xludf.DUMMYFUNCTION("""COMPUTED_VALUE"""),0.95)</f>
        <v>0.95</v>
      </c>
      <c r="X165" s="42">
        <f>IFERROR(__xludf.DUMMYFUNCTION("""COMPUTED_VALUE"""),0.0)</f>
        <v>0</v>
      </c>
      <c r="Y165" s="42">
        <f>IFERROR(__xludf.DUMMYFUNCTION("""COMPUTED_VALUE"""),0.0)</f>
        <v>0</v>
      </c>
      <c r="Z165" s="9">
        <f>IFERROR(__xludf.DUMMYFUNCTION("""COMPUTED_VALUE"""),0.0)</f>
        <v>0</v>
      </c>
      <c r="AA165" s="181">
        <f>IFERROR(__xludf.DUMMYFUNCTION("""COMPUTED_VALUE"""),0.0)</f>
        <v>0</v>
      </c>
      <c r="AB165" s="181">
        <f>IFERROR(__xludf.DUMMYFUNCTION("""COMPUTED_VALUE"""),0.0)</f>
        <v>0</v>
      </c>
      <c r="AC165" s="179">
        <f>IFERROR(__xludf.DUMMYFUNCTION("""COMPUTED_VALUE"""),0.0)</f>
        <v>0</v>
      </c>
      <c r="AD165" s="165">
        <f>IFERROR(__xludf.DUMMYFUNCTION("""COMPUTED_VALUE"""),0.0)</f>
        <v>0</v>
      </c>
      <c r="AE165" s="39" t="str">
        <f>IFERROR(__xludf.DUMMYFUNCTION("""COMPUTED_VALUE"""),"Hiroshi Yamakawa")</f>
        <v>Hiroshi Yamakawa</v>
      </c>
      <c r="AF165" s="39" t="str">
        <f>IFERROR(__xludf.DUMMYFUNCTION("""COMPUTED_VALUE"""),"HY22DAA")</f>
        <v>HY22DAA</v>
      </c>
      <c r="AG165" s="39"/>
      <c r="AH165" s="39"/>
      <c r="AI165" s="165"/>
      <c r="AJ165" s="165"/>
      <c r="AK165" s="111"/>
      <c r="AL165" s="111"/>
      <c r="AM165" s="111"/>
      <c r="AN165" s="111"/>
      <c r="AO165" s="111"/>
      <c r="AP165" s="111"/>
      <c r="AQ165" s="116"/>
      <c r="AR165" s="116"/>
      <c r="AS165" s="116"/>
    </row>
    <row r="166">
      <c r="A166" s="42" t="str">
        <f>IFERROR(__xludf.DUMMYFUNCTION("""COMPUTED_VALUE"""),"AuML")</f>
        <v>AuML</v>
      </c>
      <c r="B166" s="42"/>
      <c r="C166" s="42"/>
      <c r="D166" s="42" t="str">
        <f>IFERROR(__xludf.DUMMYFUNCTION("""COMPUTED_VALUE"""),"AuR")</f>
        <v>AuR</v>
      </c>
      <c r="E166" s="42"/>
      <c r="F166" s="42"/>
      <c r="G166" s="42"/>
      <c r="H166" s="42" t="str">
        <f>IFERROR(__xludf.DUMMYFUNCTION("""COMPUTED_VALUE"""),"")</f>
        <v/>
      </c>
      <c r="I166" s="42" t="str">
        <f>IFERROR(__xludf.DUMMYFUNCTION("""COMPUTED_VALUE"""),"Romanski, 2009")</f>
        <v>Romanski, 2009</v>
      </c>
      <c r="J166" s="42"/>
      <c r="K166" s="42"/>
      <c r="L166" s="42"/>
      <c r="M166" s="42"/>
      <c r="N166" s="42"/>
      <c r="O166" s="31" t="str">
        <f>IFERROR(__xludf.DUMMYFUNCTION("""COMPUTED_VALUE"""),"DOC")</f>
        <v>DOC</v>
      </c>
      <c r="P166" s="9" t="str">
        <f>IFERROR(__xludf.DUMMYFUNCTION("""COMPUTED_VALUE"""),"Annual Review of Neuroscience")</f>
        <v>Annual Review of Neuroscience</v>
      </c>
      <c r="Q166" s="9"/>
      <c r="R166" s="179" t="str">
        <f>IFERROR(__xludf.DUMMYFUNCTION("""COMPUTED_VALUE"""),"AuR (00/00) [Romanski, 2009];
")</f>
        <v>AuR (00/00) [Romanski, 2009];
</v>
      </c>
      <c r="S166" s="179" t="str">
        <f>IFERROR(__xludf.DUMMYFUNCTION("""COMPUTED_VALUE"""),"AuMLAuR")</f>
        <v>AuMLAuR</v>
      </c>
      <c r="T166" s="179" t="str">
        <f>IFERROR(__xludf.DUMMYFUNCTION("""COMPUTED_VALUE"""),"[Romanski, 2009]")</f>
        <v>[Romanski, 2009]</v>
      </c>
      <c r="U166" s="179">
        <f>IFERROR(__xludf.DUMMYFUNCTION("""COMPUTED_VALUE"""),0.0)</f>
        <v>0</v>
      </c>
      <c r="V166" s="180">
        <f>IFERROR(__xludf.DUMMYFUNCTION("""COMPUTED_VALUE"""),0.0)</f>
        <v>0</v>
      </c>
      <c r="W166" s="180">
        <f>IFERROR(__xludf.DUMMYFUNCTION("""COMPUTED_VALUE"""),0.95)</f>
        <v>0.95</v>
      </c>
      <c r="X166" s="42">
        <f>IFERROR(__xludf.DUMMYFUNCTION("""COMPUTED_VALUE"""),0.0)</f>
        <v>0</v>
      </c>
      <c r="Y166" s="42">
        <f>IFERROR(__xludf.DUMMYFUNCTION("""COMPUTED_VALUE"""),0.0)</f>
        <v>0</v>
      </c>
      <c r="Z166" s="9">
        <f>IFERROR(__xludf.DUMMYFUNCTION("""COMPUTED_VALUE"""),0.0)</f>
        <v>0</v>
      </c>
      <c r="AA166" s="181">
        <f>IFERROR(__xludf.DUMMYFUNCTION("""COMPUTED_VALUE"""),0.0)</f>
        <v>0</v>
      </c>
      <c r="AB166" s="181">
        <f>IFERROR(__xludf.DUMMYFUNCTION("""COMPUTED_VALUE"""),0.0)</f>
        <v>0</v>
      </c>
      <c r="AC166" s="179">
        <f>IFERROR(__xludf.DUMMYFUNCTION("""COMPUTED_VALUE"""),0.0)</f>
        <v>0</v>
      </c>
      <c r="AD166" s="165">
        <f>IFERROR(__xludf.DUMMYFUNCTION("""COMPUTED_VALUE"""),0.0)</f>
        <v>0</v>
      </c>
      <c r="AE166" s="39" t="str">
        <f>IFERROR(__xludf.DUMMYFUNCTION("""COMPUTED_VALUE"""),"Hiroshi Yamakawa")</f>
        <v>Hiroshi Yamakawa</v>
      </c>
      <c r="AF166" s="39" t="str">
        <f>IFERROR(__xludf.DUMMYFUNCTION("""COMPUTED_VALUE"""),"HY22DAA")</f>
        <v>HY22DAA</v>
      </c>
      <c r="AG166" s="39"/>
      <c r="AH166" s="39"/>
      <c r="AI166" s="165"/>
      <c r="AJ166" s="165"/>
      <c r="AK166" s="111"/>
      <c r="AL166" s="111"/>
      <c r="AM166" s="111"/>
      <c r="AN166" s="111"/>
      <c r="AO166" s="111"/>
      <c r="AP166" s="111"/>
      <c r="AQ166" s="116"/>
      <c r="AR166" s="116"/>
      <c r="AS166" s="116"/>
    </row>
    <row r="167">
      <c r="A167" s="42" t="str">
        <f>IFERROR(__xludf.DUMMYFUNCTION("""COMPUTED_VALUE"""),"AuML")</f>
        <v>AuML</v>
      </c>
      <c r="B167" s="42"/>
      <c r="C167" s="42"/>
      <c r="D167" s="42" t="str">
        <f>IFERROR(__xludf.DUMMYFUNCTION("""COMPUTED_VALUE"""),"STC")</f>
        <v>STC</v>
      </c>
      <c r="E167" s="42"/>
      <c r="F167" s="42"/>
      <c r="G167" s="42"/>
      <c r="H167" s="42" t="str">
        <f>IFERROR(__xludf.DUMMYFUNCTION("""COMPUTED_VALUE"""),"")</f>
        <v/>
      </c>
      <c r="I167" s="42" t="str">
        <f>IFERROR(__xludf.DUMMYFUNCTION("""COMPUTED_VALUE"""),"Romanski, 2009")</f>
        <v>Romanski, 2009</v>
      </c>
      <c r="J167" s="42"/>
      <c r="K167" s="42"/>
      <c r="L167" s="42"/>
      <c r="M167" s="42"/>
      <c r="N167" s="42"/>
      <c r="O167" s="31" t="str">
        <f>IFERROR(__xludf.DUMMYFUNCTION("""COMPUTED_VALUE"""),"DOC")</f>
        <v>DOC</v>
      </c>
      <c r="P167" s="9" t="str">
        <f>IFERROR(__xludf.DUMMYFUNCTION("""COMPUTED_VALUE"""),"Annual Review of Neuroscience")</f>
        <v>Annual Review of Neuroscience</v>
      </c>
      <c r="Q167" s="9"/>
      <c r="R167" s="179" t="str">
        <f>IFERROR(__xludf.DUMMYFUNCTION("""COMPUTED_VALUE"""),"STC (00/00) [Romanski, 2009];
")</f>
        <v>STC (00/00) [Romanski, 2009];
</v>
      </c>
      <c r="S167" s="179" t="str">
        <f>IFERROR(__xludf.DUMMYFUNCTION("""COMPUTED_VALUE"""),"AuMLSTC")</f>
        <v>AuMLSTC</v>
      </c>
      <c r="T167" s="179" t="str">
        <f>IFERROR(__xludf.DUMMYFUNCTION("""COMPUTED_VALUE"""),"[Romanski, 2009]")</f>
        <v>[Romanski, 2009]</v>
      </c>
      <c r="U167" s="179">
        <f>IFERROR(__xludf.DUMMYFUNCTION("""COMPUTED_VALUE"""),0.0)</f>
        <v>0</v>
      </c>
      <c r="V167" s="180">
        <f>IFERROR(__xludf.DUMMYFUNCTION("""COMPUTED_VALUE"""),0.0)</f>
        <v>0</v>
      </c>
      <c r="W167" s="180">
        <f>IFERROR(__xludf.DUMMYFUNCTION("""COMPUTED_VALUE"""),0.95)</f>
        <v>0.95</v>
      </c>
      <c r="X167" s="42">
        <f>IFERROR(__xludf.DUMMYFUNCTION("""COMPUTED_VALUE"""),0.0)</f>
        <v>0</v>
      </c>
      <c r="Y167" s="42">
        <f>IFERROR(__xludf.DUMMYFUNCTION("""COMPUTED_VALUE"""),0.0)</f>
        <v>0</v>
      </c>
      <c r="Z167" s="9">
        <f>IFERROR(__xludf.DUMMYFUNCTION("""COMPUTED_VALUE"""),0.0)</f>
        <v>0</v>
      </c>
      <c r="AA167" s="181">
        <f>IFERROR(__xludf.DUMMYFUNCTION("""COMPUTED_VALUE"""),0.0)</f>
        <v>0</v>
      </c>
      <c r="AB167" s="181">
        <f>IFERROR(__xludf.DUMMYFUNCTION("""COMPUTED_VALUE"""),0.0)</f>
        <v>0</v>
      </c>
      <c r="AC167" s="179">
        <f>IFERROR(__xludf.DUMMYFUNCTION("""COMPUTED_VALUE"""),0.0)</f>
        <v>0</v>
      </c>
      <c r="AD167" s="165">
        <f>IFERROR(__xludf.DUMMYFUNCTION("""COMPUTED_VALUE"""),0.0)</f>
        <v>0</v>
      </c>
      <c r="AE167" s="39" t="str">
        <f>IFERROR(__xludf.DUMMYFUNCTION("""COMPUTED_VALUE"""),"Hiroshi Yamakawa")</f>
        <v>Hiroshi Yamakawa</v>
      </c>
      <c r="AF167" s="39" t="str">
        <f>IFERROR(__xludf.DUMMYFUNCTION("""COMPUTED_VALUE"""),"HY22DAA")</f>
        <v>HY22DAA</v>
      </c>
      <c r="AG167" s="39"/>
      <c r="AH167" s="39"/>
      <c r="AI167" s="165"/>
      <c r="AJ167" s="165"/>
      <c r="AK167" s="111"/>
      <c r="AL167" s="111"/>
      <c r="AM167" s="111"/>
      <c r="AN167" s="111"/>
      <c r="AO167" s="111"/>
      <c r="AP167" s="111"/>
      <c r="AQ167" s="116"/>
      <c r="AR167" s="116"/>
      <c r="AS167" s="116"/>
    </row>
    <row r="168">
      <c r="A168" s="42" t="str">
        <f>IFERROR(__xludf.DUMMYFUNCTION("""COMPUTED_VALUE"""),"AuMM")</f>
        <v>AuMM</v>
      </c>
      <c r="B168" s="42"/>
      <c r="C168" s="42"/>
      <c r="D168" s="42" t="str">
        <f>IFERROR(__xludf.DUMMYFUNCTION("""COMPUTED_VALUE"""),"AuA1")</f>
        <v>AuA1</v>
      </c>
      <c r="E168" s="42"/>
      <c r="F168" s="42"/>
      <c r="G168" s="42"/>
      <c r="H168" s="42" t="str">
        <f>IFERROR(__xludf.DUMMYFUNCTION("""COMPUTED_VALUE"""),"")</f>
        <v/>
      </c>
      <c r="I168" s="42" t="str">
        <f>IFERROR(__xludf.DUMMYFUNCTION("""COMPUTED_VALUE"""),"Romanski, 2009")</f>
        <v>Romanski, 2009</v>
      </c>
      <c r="J168" s="42"/>
      <c r="K168" s="42"/>
      <c r="L168" s="42"/>
      <c r="M168" s="42"/>
      <c r="N168" s="42"/>
      <c r="O168" s="31" t="str">
        <f>IFERROR(__xludf.DUMMYFUNCTION("""COMPUTED_VALUE"""),"DOC")</f>
        <v>DOC</v>
      </c>
      <c r="P168" s="9" t="str">
        <f>IFERROR(__xludf.DUMMYFUNCTION("""COMPUTED_VALUE"""),"Annual Review of Neuroscience")</f>
        <v>Annual Review of Neuroscience</v>
      </c>
      <c r="Q168" s="9"/>
      <c r="R168" s="179" t="str">
        <f>IFERROR(__xludf.DUMMYFUNCTION("""COMPUTED_VALUE"""),"AuA1 (00/00) [Romanski, 2009];
")</f>
        <v>AuA1 (00/00) [Romanski, 2009];
</v>
      </c>
      <c r="S168" s="179" t="str">
        <f>IFERROR(__xludf.DUMMYFUNCTION("""COMPUTED_VALUE"""),"AuMMAuA1")</f>
        <v>AuMMAuA1</v>
      </c>
      <c r="T168" s="179" t="str">
        <f>IFERROR(__xludf.DUMMYFUNCTION("""COMPUTED_VALUE"""),"[Romanski, 2009]")</f>
        <v>[Romanski, 2009]</v>
      </c>
      <c r="U168" s="179">
        <f>IFERROR(__xludf.DUMMYFUNCTION("""COMPUTED_VALUE"""),0.0)</f>
        <v>0</v>
      </c>
      <c r="V168" s="180">
        <f>IFERROR(__xludf.DUMMYFUNCTION("""COMPUTED_VALUE"""),0.0)</f>
        <v>0</v>
      </c>
      <c r="W168" s="180">
        <f>IFERROR(__xludf.DUMMYFUNCTION("""COMPUTED_VALUE"""),0.95)</f>
        <v>0.95</v>
      </c>
      <c r="X168" s="42">
        <f>IFERROR(__xludf.DUMMYFUNCTION("""COMPUTED_VALUE"""),0.0)</f>
        <v>0</v>
      </c>
      <c r="Y168" s="42">
        <f>IFERROR(__xludf.DUMMYFUNCTION("""COMPUTED_VALUE"""),0.0)</f>
        <v>0</v>
      </c>
      <c r="Z168" s="9">
        <f>IFERROR(__xludf.DUMMYFUNCTION("""COMPUTED_VALUE"""),0.0)</f>
        <v>0</v>
      </c>
      <c r="AA168" s="181">
        <f>IFERROR(__xludf.DUMMYFUNCTION("""COMPUTED_VALUE"""),0.0)</f>
        <v>0</v>
      </c>
      <c r="AB168" s="181">
        <f>IFERROR(__xludf.DUMMYFUNCTION("""COMPUTED_VALUE"""),0.0)</f>
        <v>0</v>
      </c>
      <c r="AC168" s="179">
        <f>IFERROR(__xludf.DUMMYFUNCTION("""COMPUTED_VALUE"""),0.0)</f>
        <v>0</v>
      </c>
      <c r="AD168" s="165">
        <f>IFERROR(__xludf.DUMMYFUNCTION("""COMPUTED_VALUE"""),0.0)</f>
        <v>0</v>
      </c>
      <c r="AE168" s="39" t="str">
        <f>IFERROR(__xludf.DUMMYFUNCTION("""COMPUTED_VALUE"""),"Hiroshi Yamakawa")</f>
        <v>Hiroshi Yamakawa</v>
      </c>
      <c r="AF168" s="39" t="str">
        <f>IFERROR(__xludf.DUMMYFUNCTION("""COMPUTED_VALUE"""),"HY22DAA")</f>
        <v>HY22DAA</v>
      </c>
      <c r="AG168" s="39"/>
      <c r="AH168" s="39"/>
      <c r="AI168" s="165"/>
      <c r="AJ168" s="165"/>
      <c r="AK168" s="111"/>
      <c r="AL168" s="111"/>
      <c r="AM168" s="111"/>
      <c r="AN168" s="111"/>
      <c r="AO168" s="111"/>
      <c r="AP168" s="111"/>
      <c r="AQ168" s="116"/>
      <c r="AR168" s="116"/>
      <c r="AS168" s="116"/>
    </row>
    <row r="169">
      <c r="A169" s="42" t="str">
        <f>IFERROR(__xludf.DUMMYFUNCTION("""COMPUTED_VALUE"""),"AuMM")</f>
        <v>AuMM</v>
      </c>
      <c r="B169" s="42"/>
      <c r="C169" s="42"/>
      <c r="D169" s="42" t="str">
        <f>IFERROR(__xludf.DUMMYFUNCTION("""COMPUTED_VALUE"""),"AuCM")</f>
        <v>AuCM</v>
      </c>
      <c r="E169" s="42"/>
      <c r="F169" s="42"/>
      <c r="G169" s="42"/>
      <c r="H169" s="42" t="str">
        <f>IFERROR(__xludf.DUMMYFUNCTION("""COMPUTED_VALUE"""),"")</f>
        <v/>
      </c>
      <c r="I169" s="42" t="str">
        <f>IFERROR(__xludf.DUMMYFUNCTION("""COMPUTED_VALUE"""),"Romanski, 2009")</f>
        <v>Romanski, 2009</v>
      </c>
      <c r="J169" s="42"/>
      <c r="K169" s="42"/>
      <c r="L169" s="42"/>
      <c r="M169" s="42"/>
      <c r="N169" s="42"/>
      <c r="O169" s="31" t="str">
        <f>IFERROR(__xludf.DUMMYFUNCTION("""COMPUTED_VALUE"""),"DOC")</f>
        <v>DOC</v>
      </c>
      <c r="P169" s="9" t="str">
        <f>IFERROR(__xludf.DUMMYFUNCTION("""COMPUTED_VALUE"""),"Annual Review of Neuroscience")</f>
        <v>Annual Review of Neuroscience</v>
      </c>
      <c r="Q169" s="9"/>
      <c r="R169" s="179" t="str">
        <f>IFERROR(__xludf.DUMMYFUNCTION("""COMPUTED_VALUE"""),"AuCM (00/00) [Romanski, 2009];
")</f>
        <v>AuCM (00/00) [Romanski, 2009];
</v>
      </c>
      <c r="S169" s="179" t="str">
        <f>IFERROR(__xludf.DUMMYFUNCTION("""COMPUTED_VALUE"""),"AuMMAuCM")</f>
        <v>AuMMAuCM</v>
      </c>
      <c r="T169" s="179" t="str">
        <f>IFERROR(__xludf.DUMMYFUNCTION("""COMPUTED_VALUE"""),"[Romanski, 2009]")</f>
        <v>[Romanski, 2009]</v>
      </c>
      <c r="U169" s="179">
        <f>IFERROR(__xludf.DUMMYFUNCTION("""COMPUTED_VALUE"""),0.0)</f>
        <v>0</v>
      </c>
      <c r="V169" s="180">
        <f>IFERROR(__xludf.DUMMYFUNCTION("""COMPUTED_VALUE"""),0.0)</f>
        <v>0</v>
      </c>
      <c r="W169" s="180">
        <f>IFERROR(__xludf.DUMMYFUNCTION("""COMPUTED_VALUE"""),0.95)</f>
        <v>0.95</v>
      </c>
      <c r="X169" s="42">
        <f>IFERROR(__xludf.DUMMYFUNCTION("""COMPUTED_VALUE"""),0.0)</f>
        <v>0</v>
      </c>
      <c r="Y169" s="42">
        <f>IFERROR(__xludf.DUMMYFUNCTION("""COMPUTED_VALUE"""),0.0)</f>
        <v>0</v>
      </c>
      <c r="Z169" s="9">
        <f>IFERROR(__xludf.DUMMYFUNCTION("""COMPUTED_VALUE"""),0.0)</f>
        <v>0</v>
      </c>
      <c r="AA169" s="181">
        <f>IFERROR(__xludf.DUMMYFUNCTION("""COMPUTED_VALUE"""),0.0)</f>
        <v>0</v>
      </c>
      <c r="AB169" s="181">
        <f>IFERROR(__xludf.DUMMYFUNCTION("""COMPUTED_VALUE"""),0.0)</f>
        <v>0</v>
      </c>
      <c r="AC169" s="179">
        <f>IFERROR(__xludf.DUMMYFUNCTION("""COMPUTED_VALUE"""),0.0)</f>
        <v>0</v>
      </c>
      <c r="AD169" s="165">
        <f>IFERROR(__xludf.DUMMYFUNCTION("""COMPUTED_VALUE"""),0.0)</f>
        <v>0</v>
      </c>
      <c r="AE169" s="39" t="str">
        <f>IFERROR(__xludf.DUMMYFUNCTION("""COMPUTED_VALUE"""),"Hiroshi Yamakawa")</f>
        <v>Hiroshi Yamakawa</v>
      </c>
      <c r="AF169" s="39" t="str">
        <f>IFERROR(__xludf.DUMMYFUNCTION("""COMPUTED_VALUE"""),"HY22DAA")</f>
        <v>HY22DAA</v>
      </c>
      <c r="AG169" s="39"/>
      <c r="AH169" s="39"/>
      <c r="AI169" s="165"/>
      <c r="AJ169" s="165"/>
      <c r="AK169" s="111"/>
      <c r="AL169" s="111"/>
      <c r="AM169" s="111"/>
      <c r="AN169" s="111"/>
      <c r="AO169" s="111"/>
      <c r="AP169" s="111"/>
      <c r="AQ169" s="116"/>
      <c r="AR169" s="116"/>
      <c r="AS169" s="116"/>
    </row>
    <row r="170">
      <c r="A170" s="42" t="str">
        <f>IFERROR(__xludf.DUMMYFUNCTION("""COMPUTED_VALUE"""),"AuMM")</f>
        <v>AuMM</v>
      </c>
      <c r="B170" s="42"/>
      <c r="C170" s="42"/>
      <c r="D170" s="42" t="str">
        <f>IFERROR(__xludf.DUMMYFUNCTION("""COMPUTED_VALUE"""),"AuR")</f>
        <v>AuR</v>
      </c>
      <c r="E170" s="42"/>
      <c r="F170" s="42"/>
      <c r="G170" s="42"/>
      <c r="H170" s="42" t="str">
        <f>IFERROR(__xludf.DUMMYFUNCTION("""COMPUTED_VALUE"""),"")</f>
        <v/>
      </c>
      <c r="I170" s="42" t="str">
        <f>IFERROR(__xludf.DUMMYFUNCTION("""COMPUTED_VALUE"""),"Romanski, 2009")</f>
        <v>Romanski, 2009</v>
      </c>
      <c r="J170" s="42"/>
      <c r="K170" s="42"/>
      <c r="L170" s="42"/>
      <c r="M170" s="42"/>
      <c r="N170" s="42"/>
      <c r="O170" s="31" t="str">
        <f>IFERROR(__xludf.DUMMYFUNCTION("""COMPUTED_VALUE"""),"DOC")</f>
        <v>DOC</v>
      </c>
      <c r="P170" s="9" t="str">
        <f>IFERROR(__xludf.DUMMYFUNCTION("""COMPUTED_VALUE"""),"Annual Review of Neuroscience")</f>
        <v>Annual Review of Neuroscience</v>
      </c>
      <c r="Q170" s="9"/>
      <c r="R170" s="179" t="str">
        <f>IFERROR(__xludf.DUMMYFUNCTION("""COMPUTED_VALUE"""),"AuR (00/00) [Romanski, 2009];
")</f>
        <v>AuR (00/00) [Romanski, 2009];
</v>
      </c>
      <c r="S170" s="179" t="str">
        <f>IFERROR(__xludf.DUMMYFUNCTION("""COMPUTED_VALUE"""),"AuMMAuR")</f>
        <v>AuMMAuR</v>
      </c>
      <c r="T170" s="179" t="str">
        <f>IFERROR(__xludf.DUMMYFUNCTION("""COMPUTED_VALUE"""),"[Romanski, 2009]")</f>
        <v>[Romanski, 2009]</v>
      </c>
      <c r="U170" s="179">
        <f>IFERROR(__xludf.DUMMYFUNCTION("""COMPUTED_VALUE"""),0.0)</f>
        <v>0</v>
      </c>
      <c r="V170" s="180">
        <f>IFERROR(__xludf.DUMMYFUNCTION("""COMPUTED_VALUE"""),0.0)</f>
        <v>0</v>
      </c>
      <c r="W170" s="180">
        <f>IFERROR(__xludf.DUMMYFUNCTION("""COMPUTED_VALUE"""),0.95)</f>
        <v>0.95</v>
      </c>
      <c r="X170" s="42">
        <f>IFERROR(__xludf.DUMMYFUNCTION("""COMPUTED_VALUE"""),0.0)</f>
        <v>0</v>
      </c>
      <c r="Y170" s="42">
        <f>IFERROR(__xludf.DUMMYFUNCTION("""COMPUTED_VALUE"""),0.0)</f>
        <v>0</v>
      </c>
      <c r="Z170" s="9">
        <f>IFERROR(__xludf.DUMMYFUNCTION("""COMPUTED_VALUE"""),0.0)</f>
        <v>0</v>
      </c>
      <c r="AA170" s="181">
        <f>IFERROR(__xludf.DUMMYFUNCTION("""COMPUTED_VALUE"""),0.0)</f>
        <v>0</v>
      </c>
      <c r="AB170" s="181">
        <f>IFERROR(__xludf.DUMMYFUNCTION("""COMPUTED_VALUE"""),0.0)</f>
        <v>0</v>
      </c>
      <c r="AC170" s="179">
        <f>IFERROR(__xludf.DUMMYFUNCTION("""COMPUTED_VALUE"""),0.0)</f>
        <v>0</v>
      </c>
      <c r="AD170" s="165">
        <f>IFERROR(__xludf.DUMMYFUNCTION("""COMPUTED_VALUE"""),0.0)</f>
        <v>0</v>
      </c>
      <c r="AE170" s="39" t="str">
        <f>IFERROR(__xludf.DUMMYFUNCTION("""COMPUTED_VALUE"""),"Hiroshi Yamakawa")</f>
        <v>Hiroshi Yamakawa</v>
      </c>
      <c r="AF170" s="39" t="str">
        <f>IFERROR(__xludf.DUMMYFUNCTION("""COMPUTED_VALUE"""),"HY22DAA")</f>
        <v>HY22DAA</v>
      </c>
      <c r="AG170" s="39"/>
      <c r="AH170" s="39"/>
      <c r="AI170" s="165"/>
      <c r="AJ170" s="165"/>
      <c r="AK170" s="111"/>
      <c r="AL170" s="111"/>
      <c r="AM170" s="111"/>
      <c r="AN170" s="111"/>
      <c r="AO170" s="111"/>
      <c r="AP170" s="111"/>
      <c r="AQ170" s="116"/>
      <c r="AR170" s="116"/>
      <c r="AS170" s="116"/>
    </row>
    <row r="171">
      <c r="A171" s="42" t="str">
        <f>IFERROR(__xludf.DUMMYFUNCTION("""COMPUTED_VALUE"""),"AuMM")</f>
        <v>AuMM</v>
      </c>
      <c r="B171" s="42"/>
      <c r="C171" s="42"/>
      <c r="D171" s="42" t="str">
        <f>IFERROR(__xludf.DUMMYFUNCTION("""COMPUTED_VALUE"""),"STC")</f>
        <v>STC</v>
      </c>
      <c r="E171" s="42"/>
      <c r="F171" s="42"/>
      <c r="G171" s="42"/>
      <c r="H171" s="42" t="str">
        <f>IFERROR(__xludf.DUMMYFUNCTION("""COMPUTED_VALUE"""),"")</f>
        <v/>
      </c>
      <c r="I171" s="42" t="str">
        <f>IFERROR(__xludf.DUMMYFUNCTION("""COMPUTED_VALUE"""),"Romanski, 2009")</f>
        <v>Romanski, 2009</v>
      </c>
      <c r="J171" s="42"/>
      <c r="K171" s="42"/>
      <c r="L171" s="42"/>
      <c r="M171" s="42"/>
      <c r="N171" s="42"/>
      <c r="O171" s="31" t="str">
        <f>IFERROR(__xludf.DUMMYFUNCTION("""COMPUTED_VALUE"""),"DOC")</f>
        <v>DOC</v>
      </c>
      <c r="P171" s="9" t="str">
        <f>IFERROR(__xludf.DUMMYFUNCTION("""COMPUTED_VALUE"""),"Annual Review of Neuroscience")</f>
        <v>Annual Review of Neuroscience</v>
      </c>
      <c r="Q171" s="9"/>
      <c r="R171" s="179" t="str">
        <f>IFERROR(__xludf.DUMMYFUNCTION("""COMPUTED_VALUE"""),"STC (00/00) [Romanski, 2009];
")</f>
        <v>STC (00/00) [Romanski, 2009];
</v>
      </c>
      <c r="S171" s="179" t="str">
        <f>IFERROR(__xludf.DUMMYFUNCTION("""COMPUTED_VALUE"""),"AuMMSTC")</f>
        <v>AuMMSTC</v>
      </c>
      <c r="T171" s="179" t="str">
        <f>IFERROR(__xludf.DUMMYFUNCTION("""COMPUTED_VALUE"""),"[Romanski, 2009]")</f>
        <v>[Romanski, 2009]</v>
      </c>
      <c r="U171" s="179">
        <f>IFERROR(__xludf.DUMMYFUNCTION("""COMPUTED_VALUE"""),0.0)</f>
        <v>0</v>
      </c>
      <c r="V171" s="180">
        <f>IFERROR(__xludf.DUMMYFUNCTION("""COMPUTED_VALUE"""),0.0)</f>
        <v>0</v>
      </c>
      <c r="W171" s="180">
        <f>IFERROR(__xludf.DUMMYFUNCTION("""COMPUTED_VALUE"""),0.95)</f>
        <v>0.95</v>
      </c>
      <c r="X171" s="42">
        <f>IFERROR(__xludf.DUMMYFUNCTION("""COMPUTED_VALUE"""),0.0)</f>
        <v>0</v>
      </c>
      <c r="Y171" s="42">
        <f>IFERROR(__xludf.DUMMYFUNCTION("""COMPUTED_VALUE"""),0.0)</f>
        <v>0</v>
      </c>
      <c r="Z171" s="9">
        <f>IFERROR(__xludf.DUMMYFUNCTION("""COMPUTED_VALUE"""),0.0)</f>
        <v>0</v>
      </c>
      <c r="AA171" s="181">
        <f>IFERROR(__xludf.DUMMYFUNCTION("""COMPUTED_VALUE"""),0.0)</f>
        <v>0</v>
      </c>
      <c r="AB171" s="181">
        <f>IFERROR(__xludf.DUMMYFUNCTION("""COMPUTED_VALUE"""),0.0)</f>
        <v>0</v>
      </c>
      <c r="AC171" s="179">
        <f>IFERROR(__xludf.DUMMYFUNCTION("""COMPUTED_VALUE"""),0.0)</f>
        <v>0</v>
      </c>
      <c r="AD171" s="165">
        <f>IFERROR(__xludf.DUMMYFUNCTION("""COMPUTED_VALUE"""),0.0)</f>
        <v>0</v>
      </c>
      <c r="AE171" s="39" t="str">
        <f>IFERROR(__xludf.DUMMYFUNCTION("""COMPUTED_VALUE"""),"Hiroshi Yamakawa")</f>
        <v>Hiroshi Yamakawa</v>
      </c>
      <c r="AF171" s="39" t="str">
        <f>IFERROR(__xludf.DUMMYFUNCTION("""COMPUTED_VALUE"""),"HY22DAA")</f>
        <v>HY22DAA</v>
      </c>
      <c r="AG171" s="39"/>
      <c r="AH171" s="39"/>
      <c r="AI171" s="165"/>
      <c r="AJ171" s="165"/>
      <c r="AK171" s="111"/>
      <c r="AL171" s="111"/>
      <c r="AM171" s="111"/>
      <c r="AN171" s="111"/>
      <c r="AO171" s="111"/>
      <c r="AP171" s="111"/>
      <c r="AQ171" s="116"/>
      <c r="AR171" s="116"/>
      <c r="AS171" s="116"/>
    </row>
    <row r="172">
      <c r="A172" s="42" t="str">
        <f>IFERROR(__xludf.DUMMYFUNCTION("""COMPUTED_VALUE"""),"AuR")</f>
        <v>AuR</v>
      </c>
      <c r="B172" s="42"/>
      <c r="C172" s="42"/>
      <c r="D172" s="42" t="str">
        <f>IFERROR(__xludf.DUMMYFUNCTION("""COMPUTED_VALUE"""),"A1Cr")</f>
        <v>A1Cr</v>
      </c>
      <c r="E172" s="42"/>
      <c r="F172" s="42"/>
      <c r="G172" s="42"/>
      <c r="H172" s="42" t="str">
        <f>IFERROR(__xludf.DUMMYFUNCTION("""COMPUTED_VALUE"""),"")</f>
        <v/>
      </c>
      <c r="I172" s="42" t="str">
        <f>IFERROR(__xludf.DUMMYFUNCTION("""COMPUTED_VALUE"""),"Jasmin, 2019")</f>
        <v>Jasmin, 2019</v>
      </c>
      <c r="J172" s="42"/>
      <c r="K172" s="42"/>
      <c r="L172" s="42"/>
      <c r="M172" s="42"/>
      <c r="N172" s="42"/>
      <c r="O172" s="31" t="str">
        <f>IFERROR(__xludf.DUMMYFUNCTION("""COMPUTED_VALUE"""),"DOC")</f>
        <v>DOC</v>
      </c>
      <c r="P172" s="9" t="str">
        <f>IFERROR(__xludf.DUMMYFUNCTION("""COMPUTED_VALUE"""),"Nature Reviews Neuroscience")</f>
        <v>Nature Reviews Neuroscience</v>
      </c>
      <c r="Q172" s="9" t="str">
        <f>IFERROR(__xludf.DUMMYFUNCTION("""COMPUTED_VALUE"""),"Review")</f>
        <v>Review</v>
      </c>
      <c r="R172" s="179" t="str">
        <f>IFERROR(__xludf.DUMMYFUNCTION("""COMPUTED_VALUE"""),"A1Cr (00/00) [Jasmin, 2019][Romanski, 2009][Scott, 2017];
")</f>
        <v>A1Cr (00/00) [Jasmin, 2019][Romanski, 2009][Scott, 2017];
</v>
      </c>
      <c r="S172" s="179" t="str">
        <f>IFERROR(__xludf.DUMMYFUNCTION("""COMPUTED_VALUE"""),"AuRA1Cr")</f>
        <v>AuRA1Cr</v>
      </c>
      <c r="T172" s="179" t="str">
        <f>IFERROR(__xludf.DUMMYFUNCTION("""COMPUTED_VALUE"""),"[Jasmin, 2019]")</f>
        <v>[Jasmin, 2019]</v>
      </c>
      <c r="U172" s="179">
        <f>IFERROR(__xludf.DUMMYFUNCTION("""COMPUTED_VALUE"""),0.0)</f>
        <v>0</v>
      </c>
      <c r="V172" s="180">
        <f>IFERROR(__xludf.DUMMYFUNCTION("""COMPUTED_VALUE"""),0.0)</f>
        <v>0</v>
      </c>
      <c r="W172" s="180">
        <f>IFERROR(__xludf.DUMMYFUNCTION("""COMPUTED_VALUE"""),0.95)</f>
        <v>0.95</v>
      </c>
      <c r="X172" s="42">
        <f>IFERROR(__xludf.DUMMYFUNCTION("""COMPUTED_VALUE"""),0.8)</f>
        <v>0.8</v>
      </c>
      <c r="Y172" s="42">
        <f>IFERROR(__xludf.DUMMYFUNCTION("""COMPUTED_VALUE"""),0.0)</f>
        <v>0</v>
      </c>
      <c r="Z172" s="9">
        <f>IFERROR(__xludf.DUMMYFUNCTION("""COMPUTED_VALUE"""),0.0)</f>
        <v>0</v>
      </c>
      <c r="AA172" s="181">
        <f>IFERROR(__xludf.DUMMYFUNCTION("""COMPUTED_VALUE"""),0.0)</f>
        <v>0</v>
      </c>
      <c r="AB172" s="181">
        <f>IFERROR(__xludf.DUMMYFUNCTION("""COMPUTED_VALUE"""),0.0)</f>
        <v>0</v>
      </c>
      <c r="AC172" s="179">
        <f>IFERROR(__xludf.DUMMYFUNCTION("""COMPUTED_VALUE"""),0.0)</f>
        <v>0</v>
      </c>
      <c r="AD172" s="165">
        <f>IFERROR(__xludf.DUMMYFUNCTION("""COMPUTED_VALUE"""),0.0)</f>
        <v>0</v>
      </c>
      <c r="AE172" s="39" t="str">
        <f>IFERROR(__xludf.DUMMYFUNCTION("""COMPUTED_VALUE"""),"Hiroshi Yamakawa")</f>
        <v>Hiroshi Yamakawa</v>
      </c>
      <c r="AF172" s="39" t="str">
        <f>IFERROR(__xludf.DUMMYFUNCTION("""COMPUTED_VALUE"""),"HY22DAA")</f>
        <v>HY22DAA</v>
      </c>
      <c r="AG172" s="39"/>
      <c r="AH172" s="39"/>
      <c r="AI172" s="165"/>
      <c r="AJ172" s="165"/>
      <c r="AK172" s="111"/>
      <c r="AL172" s="111"/>
      <c r="AM172" s="111"/>
      <c r="AN172" s="111"/>
      <c r="AO172" s="111"/>
      <c r="AP172" s="111"/>
      <c r="AQ172" s="116"/>
      <c r="AR172" s="116"/>
      <c r="AS172" s="116"/>
    </row>
    <row r="173">
      <c r="A173" s="42" t="str">
        <f>IFERROR(__xludf.DUMMYFUNCTION("""COMPUTED_VALUE"""),"AuR")</f>
        <v>AuR</v>
      </c>
      <c r="B173" s="42"/>
      <c r="C173" s="42"/>
      <c r="D173" s="42" t="str">
        <f>IFERROR(__xludf.DUMMYFUNCTION("""COMPUTED_VALUE"""),"AuA1")</f>
        <v>AuA1</v>
      </c>
      <c r="E173" s="42"/>
      <c r="F173" s="42"/>
      <c r="G173" s="42"/>
      <c r="H173" s="42" t="str">
        <f>IFERROR(__xludf.DUMMYFUNCTION("""COMPUTED_VALUE"""),"")</f>
        <v/>
      </c>
      <c r="I173" s="42" t="str">
        <f>IFERROR(__xludf.DUMMYFUNCTION("""COMPUTED_VALUE"""),"Jasmin, 2019")</f>
        <v>Jasmin, 2019</v>
      </c>
      <c r="J173" s="42"/>
      <c r="K173" s="42"/>
      <c r="L173" s="42"/>
      <c r="M173" s="42"/>
      <c r="N173" s="42"/>
      <c r="O173" s="31" t="str">
        <f>IFERROR(__xludf.DUMMYFUNCTION("""COMPUTED_VALUE"""),"DOC")</f>
        <v>DOC</v>
      </c>
      <c r="P173" s="9" t="str">
        <f>IFERROR(__xludf.DUMMYFUNCTION("""COMPUTED_VALUE"""),"Nature Reviews Neuroscience")</f>
        <v>Nature Reviews Neuroscience</v>
      </c>
      <c r="Q173" s="9" t="str">
        <f>IFERROR(__xludf.DUMMYFUNCTION("""COMPUTED_VALUE"""),"Review")</f>
        <v>Review</v>
      </c>
      <c r="R173" s="179" t="str">
        <f>IFERROR(__xludf.DUMMYFUNCTION("""COMPUTED_VALUE"""),"AuA1 (00/00) [Jasmin, 2019][Romanski, 2009][Scott, 2017];
")</f>
        <v>AuA1 (00/00) [Jasmin, 2019][Romanski, 2009][Scott, 2017];
</v>
      </c>
      <c r="S173" s="179" t="str">
        <f>IFERROR(__xludf.DUMMYFUNCTION("""COMPUTED_VALUE"""),"AuRAuA1")</f>
        <v>AuRAuA1</v>
      </c>
      <c r="T173" s="179" t="str">
        <f>IFERROR(__xludf.DUMMYFUNCTION("""COMPUTED_VALUE"""),"[Jasmin, 2019]")</f>
        <v>[Jasmin, 2019]</v>
      </c>
      <c r="U173" s="179">
        <f>IFERROR(__xludf.DUMMYFUNCTION("""COMPUTED_VALUE"""),0.0)</f>
        <v>0</v>
      </c>
      <c r="V173" s="180">
        <f>IFERROR(__xludf.DUMMYFUNCTION("""COMPUTED_VALUE"""),0.0)</f>
        <v>0</v>
      </c>
      <c r="W173" s="180">
        <f>IFERROR(__xludf.DUMMYFUNCTION("""COMPUTED_VALUE"""),0.95)</f>
        <v>0.95</v>
      </c>
      <c r="X173" s="42">
        <f>IFERROR(__xludf.DUMMYFUNCTION("""COMPUTED_VALUE"""),0.8)</f>
        <v>0.8</v>
      </c>
      <c r="Y173" s="42">
        <f>IFERROR(__xludf.DUMMYFUNCTION("""COMPUTED_VALUE"""),0.0)</f>
        <v>0</v>
      </c>
      <c r="Z173" s="9">
        <f>IFERROR(__xludf.DUMMYFUNCTION("""COMPUTED_VALUE"""),0.0)</f>
        <v>0</v>
      </c>
      <c r="AA173" s="181">
        <f>IFERROR(__xludf.DUMMYFUNCTION("""COMPUTED_VALUE"""),0.0)</f>
        <v>0</v>
      </c>
      <c r="AB173" s="181">
        <f>IFERROR(__xludf.DUMMYFUNCTION("""COMPUTED_VALUE"""),0.0)</f>
        <v>0</v>
      </c>
      <c r="AC173" s="179">
        <f>IFERROR(__xludf.DUMMYFUNCTION("""COMPUTED_VALUE"""),0.0)</f>
        <v>0</v>
      </c>
      <c r="AD173" s="165">
        <f>IFERROR(__xludf.DUMMYFUNCTION("""COMPUTED_VALUE"""),0.0)</f>
        <v>0</v>
      </c>
      <c r="AE173" s="39" t="str">
        <f>IFERROR(__xludf.DUMMYFUNCTION("""COMPUTED_VALUE"""),"Hiroshi Yamakawa")</f>
        <v>Hiroshi Yamakawa</v>
      </c>
      <c r="AF173" s="39" t="str">
        <f>IFERROR(__xludf.DUMMYFUNCTION("""COMPUTED_VALUE"""),"HY22DAA")</f>
        <v>HY22DAA</v>
      </c>
      <c r="AG173" s="39"/>
      <c r="AH173" s="39"/>
      <c r="AI173" s="165"/>
      <c r="AJ173" s="165"/>
      <c r="AK173" s="111"/>
      <c r="AL173" s="111"/>
      <c r="AM173" s="111"/>
      <c r="AN173" s="111"/>
      <c r="AO173" s="111"/>
      <c r="AP173" s="111"/>
      <c r="AQ173" s="116"/>
      <c r="AR173" s="116"/>
      <c r="AS173" s="116"/>
    </row>
    <row r="174">
      <c r="A174" s="42" t="str">
        <f>IFERROR(__xludf.DUMMYFUNCTION("""COMPUTED_VALUE"""),"AuR")</f>
        <v>AuR</v>
      </c>
      <c r="B174" s="42"/>
      <c r="C174" s="42"/>
      <c r="D174" s="42" t="str">
        <f>IFERROR(__xludf.DUMMYFUNCTION("""COMPUTED_VALUE"""),"ISTC")</f>
        <v>ISTC</v>
      </c>
      <c r="E174" s="42"/>
      <c r="F174" s="42"/>
      <c r="G174" s="42"/>
      <c r="H174" s="42" t="str">
        <f>IFERROR(__xludf.DUMMYFUNCTION("""COMPUTED_VALUE"""),"")</f>
        <v/>
      </c>
      <c r="I174" s="42" t="str">
        <f>IFERROR(__xludf.DUMMYFUNCTION("""COMPUTED_VALUE"""),"Jasmin, 2019")</f>
        <v>Jasmin, 2019</v>
      </c>
      <c r="J174" s="42"/>
      <c r="K174" s="42"/>
      <c r="L174" s="42"/>
      <c r="M174" s="42"/>
      <c r="N174" s="42"/>
      <c r="O174" s="31" t="str">
        <f>IFERROR(__xludf.DUMMYFUNCTION("""COMPUTED_VALUE"""),"DOC")</f>
        <v>DOC</v>
      </c>
      <c r="P174" s="9" t="str">
        <f>IFERROR(__xludf.DUMMYFUNCTION("""COMPUTED_VALUE"""),"Nature Reviews Neuroscience")</f>
        <v>Nature Reviews Neuroscience</v>
      </c>
      <c r="Q174" s="9" t="str">
        <f>IFERROR(__xludf.DUMMYFUNCTION("""COMPUTED_VALUE"""),"Review")</f>
        <v>Review</v>
      </c>
      <c r="R174" s="179" t="str">
        <f>IFERROR(__xludf.DUMMYFUNCTION("""COMPUTED_VALUE"""),"ISTC (00/00) [Jasmin, 2019];
")</f>
        <v>ISTC (00/00) [Jasmin, 2019];
</v>
      </c>
      <c r="S174" s="179" t="str">
        <f>IFERROR(__xludf.DUMMYFUNCTION("""COMPUTED_VALUE"""),"AuRISTC")</f>
        <v>AuRISTC</v>
      </c>
      <c r="T174" s="179" t="str">
        <f>IFERROR(__xludf.DUMMYFUNCTION("""COMPUTED_VALUE"""),"[Jasmin, 2019]")</f>
        <v>[Jasmin, 2019]</v>
      </c>
      <c r="U174" s="179">
        <f>IFERROR(__xludf.DUMMYFUNCTION("""COMPUTED_VALUE"""),0.0)</f>
        <v>0</v>
      </c>
      <c r="V174" s="180">
        <f>IFERROR(__xludf.DUMMYFUNCTION("""COMPUTED_VALUE"""),0.0)</f>
        <v>0</v>
      </c>
      <c r="W174" s="180">
        <f>IFERROR(__xludf.DUMMYFUNCTION("""COMPUTED_VALUE"""),0.95)</f>
        <v>0.95</v>
      </c>
      <c r="X174" s="42">
        <f>IFERROR(__xludf.DUMMYFUNCTION("""COMPUTED_VALUE"""),0.8)</f>
        <v>0.8</v>
      </c>
      <c r="Y174" s="42">
        <f>IFERROR(__xludf.DUMMYFUNCTION("""COMPUTED_VALUE"""),0.0)</f>
        <v>0</v>
      </c>
      <c r="Z174" s="9">
        <f>IFERROR(__xludf.DUMMYFUNCTION("""COMPUTED_VALUE"""),0.0)</f>
        <v>0</v>
      </c>
      <c r="AA174" s="181">
        <f>IFERROR(__xludf.DUMMYFUNCTION("""COMPUTED_VALUE"""),0.0)</f>
        <v>0</v>
      </c>
      <c r="AB174" s="181">
        <f>IFERROR(__xludf.DUMMYFUNCTION("""COMPUTED_VALUE"""),0.0)</f>
        <v>0</v>
      </c>
      <c r="AC174" s="179">
        <f>IFERROR(__xludf.DUMMYFUNCTION("""COMPUTED_VALUE"""),0.0)</f>
        <v>0</v>
      </c>
      <c r="AD174" s="165">
        <f>IFERROR(__xludf.DUMMYFUNCTION("""COMPUTED_VALUE"""),0.0)</f>
        <v>0</v>
      </c>
      <c r="AE174" s="39" t="str">
        <f>IFERROR(__xludf.DUMMYFUNCTION("""COMPUTED_VALUE"""),"Hiroshi Yamakawa")</f>
        <v>Hiroshi Yamakawa</v>
      </c>
      <c r="AF174" s="39" t="str">
        <f>IFERROR(__xludf.DUMMYFUNCTION("""COMPUTED_VALUE"""),"HY22DAA")</f>
        <v>HY22DAA</v>
      </c>
      <c r="AG174" s="39"/>
      <c r="AH174" s="39"/>
      <c r="AI174" s="165"/>
      <c r="AJ174" s="165"/>
      <c r="AK174" s="111"/>
      <c r="AL174" s="111"/>
      <c r="AM174" s="111"/>
      <c r="AN174" s="111"/>
      <c r="AO174" s="111"/>
      <c r="AP174" s="111"/>
      <c r="AQ174" s="116"/>
      <c r="AR174" s="116"/>
      <c r="AS174" s="116"/>
    </row>
    <row r="175">
      <c r="A175" s="42" t="str">
        <f>IFERROR(__xludf.DUMMYFUNCTION("""COMPUTED_VALUE"""),"AuR")</f>
        <v>AuR</v>
      </c>
      <c r="B175" s="42"/>
      <c r="C175" s="42"/>
      <c r="D175" s="42" t="str">
        <f>IFERROR(__xludf.DUMMYFUNCTION("""COMPUTED_VALUE"""),"STC")</f>
        <v>STC</v>
      </c>
      <c r="E175" s="42"/>
      <c r="F175" s="42"/>
      <c r="G175" s="42"/>
      <c r="H175" s="42" t="str">
        <f>IFERROR(__xludf.DUMMYFUNCTION("""COMPUTED_VALUE"""),"")</f>
        <v/>
      </c>
      <c r="I175" s="42" t="str">
        <f>IFERROR(__xludf.DUMMYFUNCTION("""COMPUTED_VALUE"""),"Jasmin, 2019")</f>
        <v>Jasmin, 2019</v>
      </c>
      <c r="J175" s="42"/>
      <c r="K175" s="42"/>
      <c r="L175" s="42"/>
      <c r="M175" s="42"/>
      <c r="N175" s="42"/>
      <c r="O175" s="31" t="str">
        <f>IFERROR(__xludf.DUMMYFUNCTION("""COMPUTED_VALUE"""),"DOC")</f>
        <v>DOC</v>
      </c>
      <c r="P175" s="9" t="str">
        <f>IFERROR(__xludf.DUMMYFUNCTION("""COMPUTED_VALUE"""),"Nature Reviews Neuroscience")</f>
        <v>Nature Reviews Neuroscience</v>
      </c>
      <c r="Q175" s="9" t="str">
        <f>IFERROR(__xludf.DUMMYFUNCTION("""COMPUTED_VALUE"""),"Review")</f>
        <v>Review</v>
      </c>
      <c r="R175" s="179" t="str">
        <f>IFERROR(__xludf.DUMMYFUNCTION("""COMPUTED_VALUE"""),"STC (00/00) [Jasmin, 2019];
")</f>
        <v>STC (00/00) [Jasmin, 2019];
</v>
      </c>
      <c r="S175" s="179" t="str">
        <f>IFERROR(__xludf.DUMMYFUNCTION("""COMPUTED_VALUE"""),"AuRSTC")</f>
        <v>AuRSTC</v>
      </c>
      <c r="T175" s="179" t="str">
        <f>IFERROR(__xludf.DUMMYFUNCTION("""COMPUTED_VALUE"""),"[Jasmin, 2019]")</f>
        <v>[Jasmin, 2019]</v>
      </c>
      <c r="U175" s="179">
        <f>IFERROR(__xludf.DUMMYFUNCTION("""COMPUTED_VALUE"""),0.0)</f>
        <v>0</v>
      </c>
      <c r="V175" s="180">
        <f>IFERROR(__xludf.DUMMYFUNCTION("""COMPUTED_VALUE"""),0.0)</f>
        <v>0</v>
      </c>
      <c r="W175" s="180">
        <f>IFERROR(__xludf.DUMMYFUNCTION("""COMPUTED_VALUE"""),0.95)</f>
        <v>0.95</v>
      </c>
      <c r="X175" s="42">
        <f>IFERROR(__xludf.DUMMYFUNCTION("""COMPUTED_VALUE"""),0.8)</f>
        <v>0.8</v>
      </c>
      <c r="Y175" s="42">
        <f>IFERROR(__xludf.DUMMYFUNCTION("""COMPUTED_VALUE"""),0.0)</f>
        <v>0</v>
      </c>
      <c r="Z175" s="9">
        <f>IFERROR(__xludf.DUMMYFUNCTION("""COMPUTED_VALUE"""),0.0)</f>
        <v>0</v>
      </c>
      <c r="AA175" s="181">
        <f>IFERROR(__xludf.DUMMYFUNCTION("""COMPUTED_VALUE"""),0.0)</f>
        <v>0</v>
      </c>
      <c r="AB175" s="181">
        <f>IFERROR(__xludf.DUMMYFUNCTION("""COMPUTED_VALUE"""),0.0)</f>
        <v>0</v>
      </c>
      <c r="AC175" s="179">
        <f>IFERROR(__xludf.DUMMYFUNCTION("""COMPUTED_VALUE"""),0.0)</f>
        <v>0</v>
      </c>
      <c r="AD175" s="165">
        <f>IFERROR(__xludf.DUMMYFUNCTION("""COMPUTED_VALUE"""),0.0)</f>
        <v>0</v>
      </c>
      <c r="AE175" s="39" t="str">
        <f>IFERROR(__xludf.DUMMYFUNCTION("""COMPUTED_VALUE"""),"Hiroshi Yamakawa")</f>
        <v>Hiroshi Yamakawa</v>
      </c>
      <c r="AF175" s="39" t="str">
        <f>IFERROR(__xludf.DUMMYFUNCTION("""COMPUTED_VALUE"""),"HY22DAA")</f>
        <v>HY22DAA</v>
      </c>
      <c r="AG175" s="39"/>
      <c r="AH175" s="39"/>
      <c r="AI175" s="165"/>
      <c r="AJ175" s="165"/>
      <c r="AK175" s="111"/>
      <c r="AL175" s="111"/>
      <c r="AM175" s="111"/>
      <c r="AN175" s="111"/>
      <c r="AO175" s="111"/>
      <c r="AP175" s="111"/>
      <c r="AQ175" s="116"/>
      <c r="AR175" s="116"/>
      <c r="AS175" s="116"/>
    </row>
    <row r="176">
      <c r="A176" s="42" t="str">
        <f>IFERROR(__xludf.DUMMYFUNCTION("""COMPUTED_VALUE"""),"AuR")</f>
        <v>AuR</v>
      </c>
      <c r="B176" s="42"/>
      <c r="C176" s="42"/>
      <c r="D176" s="42" t="str">
        <f>IFERROR(__xludf.DUMMYFUNCTION("""COMPUTED_VALUE"""),"A1Cr")</f>
        <v>A1Cr</v>
      </c>
      <c r="E176" s="42"/>
      <c r="F176" s="42"/>
      <c r="G176" s="42"/>
      <c r="H176" s="42" t="str">
        <f>IFERROR(__xludf.DUMMYFUNCTION("""COMPUTED_VALUE"""),"")</f>
        <v/>
      </c>
      <c r="I176" s="42" t="str">
        <f>IFERROR(__xludf.DUMMYFUNCTION("""COMPUTED_VALUE"""),"Romanski, 2009")</f>
        <v>Romanski, 2009</v>
      </c>
      <c r="J176" s="42"/>
      <c r="K176" s="42"/>
      <c r="L176" s="42"/>
      <c r="M176" s="42"/>
      <c r="N176" s="42"/>
      <c r="O176" s="31" t="str">
        <f>IFERROR(__xludf.DUMMYFUNCTION("""COMPUTED_VALUE"""),"DOC")</f>
        <v>DOC</v>
      </c>
      <c r="P176" s="9" t="str">
        <f>IFERROR(__xludf.DUMMYFUNCTION("""COMPUTED_VALUE"""),"Annual Review of Neuroscience")</f>
        <v>Annual Review of Neuroscience</v>
      </c>
      <c r="Q176" s="9"/>
      <c r="R176" s="179" t="str">
        <f>IFERROR(__xludf.DUMMYFUNCTION("""COMPUTED_VALUE"""),"A1Cr (00/00) [Jasmin, 2019][Romanski, 2009][Scott, 2017];
")</f>
        <v>A1Cr (00/00) [Jasmin, 2019][Romanski, 2009][Scott, 2017];
</v>
      </c>
      <c r="S176" s="179" t="str">
        <f>IFERROR(__xludf.DUMMYFUNCTION("""COMPUTED_VALUE"""),"AuRA1Cr")</f>
        <v>AuRA1Cr</v>
      </c>
      <c r="T176" s="179" t="str">
        <f>IFERROR(__xludf.DUMMYFUNCTION("""COMPUTED_VALUE"""),"[Romanski, 2009]")</f>
        <v>[Romanski, 2009]</v>
      </c>
      <c r="U176" s="179">
        <f>IFERROR(__xludf.DUMMYFUNCTION("""COMPUTED_VALUE"""),0.0)</f>
        <v>0</v>
      </c>
      <c r="V176" s="180">
        <f>IFERROR(__xludf.DUMMYFUNCTION("""COMPUTED_VALUE"""),0.0)</f>
        <v>0</v>
      </c>
      <c r="W176" s="180">
        <f>IFERROR(__xludf.DUMMYFUNCTION("""COMPUTED_VALUE"""),0.95)</f>
        <v>0.95</v>
      </c>
      <c r="X176" s="42">
        <f>IFERROR(__xludf.DUMMYFUNCTION("""COMPUTED_VALUE"""),0.0)</f>
        <v>0</v>
      </c>
      <c r="Y176" s="42">
        <f>IFERROR(__xludf.DUMMYFUNCTION("""COMPUTED_VALUE"""),0.0)</f>
        <v>0</v>
      </c>
      <c r="Z176" s="9">
        <f>IFERROR(__xludf.DUMMYFUNCTION("""COMPUTED_VALUE"""),0.0)</f>
        <v>0</v>
      </c>
      <c r="AA176" s="181">
        <f>IFERROR(__xludf.DUMMYFUNCTION("""COMPUTED_VALUE"""),0.0)</f>
        <v>0</v>
      </c>
      <c r="AB176" s="181">
        <f>IFERROR(__xludf.DUMMYFUNCTION("""COMPUTED_VALUE"""),0.0)</f>
        <v>0</v>
      </c>
      <c r="AC176" s="179">
        <f>IFERROR(__xludf.DUMMYFUNCTION("""COMPUTED_VALUE"""),0.0)</f>
        <v>0</v>
      </c>
      <c r="AD176" s="165">
        <f>IFERROR(__xludf.DUMMYFUNCTION("""COMPUTED_VALUE"""),0.0)</f>
        <v>0</v>
      </c>
      <c r="AE176" s="39" t="str">
        <f>IFERROR(__xludf.DUMMYFUNCTION("""COMPUTED_VALUE"""),"Hiroshi Yamakawa")</f>
        <v>Hiroshi Yamakawa</v>
      </c>
      <c r="AF176" s="39" t="str">
        <f>IFERROR(__xludf.DUMMYFUNCTION("""COMPUTED_VALUE"""),"HY22DAA")</f>
        <v>HY22DAA</v>
      </c>
      <c r="AG176" s="39"/>
      <c r="AH176" s="39"/>
      <c r="AI176" s="165"/>
      <c r="AJ176" s="165"/>
      <c r="AK176" s="111"/>
      <c r="AL176" s="111"/>
      <c r="AM176" s="111"/>
      <c r="AN176" s="111"/>
      <c r="AO176" s="111"/>
      <c r="AP176" s="111"/>
      <c r="AQ176" s="116"/>
      <c r="AR176" s="116"/>
      <c r="AS176" s="116"/>
    </row>
    <row r="177">
      <c r="A177" s="42" t="str">
        <f>IFERROR(__xludf.DUMMYFUNCTION("""COMPUTED_VALUE"""),"AuR")</f>
        <v>AuR</v>
      </c>
      <c r="B177" s="42"/>
      <c r="C177" s="42"/>
      <c r="D177" s="42" t="str">
        <f>IFERROR(__xludf.DUMMYFUNCTION("""COMPUTED_VALUE"""),"AuA1")</f>
        <v>AuA1</v>
      </c>
      <c r="E177" s="42"/>
      <c r="F177" s="42"/>
      <c r="G177" s="42"/>
      <c r="H177" s="42" t="str">
        <f>IFERROR(__xludf.DUMMYFUNCTION("""COMPUTED_VALUE"""),"")</f>
        <v/>
      </c>
      <c r="I177" s="42" t="str">
        <f>IFERROR(__xludf.DUMMYFUNCTION("""COMPUTED_VALUE"""),"Romanski, 2009")</f>
        <v>Romanski, 2009</v>
      </c>
      <c r="J177" s="42"/>
      <c r="K177" s="42"/>
      <c r="L177" s="42"/>
      <c r="M177" s="42"/>
      <c r="N177" s="42"/>
      <c r="O177" s="31" t="str">
        <f>IFERROR(__xludf.DUMMYFUNCTION("""COMPUTED_VALUE"""),"DOC")</f>
        <v>DOC</v>
      </c>
      <c r="P177" s="9" t="str">
        <f>IFERROR(__xludf.DUMMYFUNCTION("""COMPUTED_VALUE"""),"Annual Review of Neuroscience")</f>
        <v>Annual Review of Neuroscience</v>
      </c>
      <c r="Q177" s="9"/>
      <c r="R177" s="179" t="str">
        <f>IFERROR(__xludf.DUMMYFUNCTION("""COMPUTED_VALUE"""),"AuA1 (00/00) [Jasmin, 2019][Romanski, 2009][Scott, 2017];
")</f>
        <v>AuA1 (00/00) [Jasmin, 2019][Romanski, 2009][Scott, 2017];
</v>
      </c>
      <c r="S177" s="179" t="str">
        <f>IFERROR(__xludf.DUMMYFUNCTION("""COMPUTED_VALUE"""),"AuRAuA1")</f>
        <v>AuRAuA1</v>
      </c>
      <c r="T177" s="179" t="str">
        <f>IFERROR(__xludf.DUMMYFUNCTION("""COMPUTED_VALUE"""),"[Romanski, 2009]")</f>
        <v>[Romanski, 2009]</v>
      </c>
      <c r="U177" s="179">
        <f>IFERROR(__xludf.DUMMYFUNCTION("""COMPUTED_VALUE"""),0.0)</f>
        <v>0</v>
      </c>
      <c r="V177" s="180">
        <f>IFERROR(__xludf.DUMMYFUNCTION("""COMPUTED_VALUE"""),0.0)</f>
        <v>0</v>
      </c>
      <c r="W177" s="180">
        <f>IFERROR(__xludf.DUMMYFUNCTION("""COMPUTED_VALUE"""),0.95)</f>
        <v>0.95</v>
      </c>
      <c r="X177" s="42">
        <f>IFERROR(__xludf.DUMMYFUNCTION("""COMPUTED_VALUE"""),0.0)</f>
        <v>0</v>
      </c>
      <c r="Y177" s="42">
        <f>IFERROR(__xludf.DUMMYFUNCTION("""COMPUTED_VALUE"""),0.0)</f>
        <v>0</v>
      </c>
      <c r="Z177" s="9">
        <f>IFERROR(__xludf.DUMMYFUNCTION("""COMPUTED_VALUE"""),0.0)</f>
        <v>0</v>
      </c>
      <c r="AA177" s="181">
        <f>IFERROR(__xludf.DUMMYFUNCTION("""COMPUTED_VALUE"""),0.0)</f>
        <v>0</v>
      </c>
      <c r="AB177" s="181">
        <f>IFERROR(__xludf.DUMMYFUNCTION("""COMPUTED_VALUE"""),0.0)</f>
        <v>0</v>
      </c>
      <c r="AC177" s="179">
        <f>IFERROR(__xludf.DUMMYFUNCTION("""COMPUTED_VALUE"""),0.0)</f>
        <v>0</v>
      </c>
      <c r="AD177" s="165">
        <f>IFERROR(__xludf.DUMMYFUNCTION("""COMPUTED_VALUE"""),0.0)</f>
        <v>0</v>
      </c>
      <c r="AE177" s="39" t="str">
        <f>IFERROR(__xludf.DUMMYFUNCTION("""COMPUTED_VALUE"""),"Hiroshi Yamakawa")</f>
        <v>Hiroshi Yamakawa</v>
      </c>
      <c r="AF177" s="39" t="str">
        <f>IFERROR(__xludf.DUMMYFUNCTION("""COMPUTED_VALUE"""),"HY22DAA")</f>
        <v>HY22DAA</v>
      </c>
      <c r="AG177" s="39"/>
      <c r="AH177" s="39"/>
      <c r="AI177" s="165"/>
      <c r="AJ177" s="165"/>
      <c r="AK177" s="111"/>
      <c r="AL177" s="111"/>
      <c r="AM177" s="111"/>
      <c r="AN177" s="111"/>
      <c r="AO177" s="111"/>
      <c r="AP177" s="111"/>
      <c r="AQ177" s="116"/>
      <c r="AR177" s="116"/>
      <c r="AS177" s="116"/>
    </row>
    <row r="178">
      <c r="A178" s="42" t="str">
        <f>IFERROR(__xludf.DUMMYFUNCTION("""COMPUTED_VALUE"""),"AuR")</f>
        <v>AuR</v>
      </c>
      <c r="B178" s="42"/>
      <c r="C178" s="42"/>
      <c r="D178" s="42" t="str">
        <f>IFERROR(__xludf.DUMMYFUNCTION("""COMPUTED_VALUE"""),"AuAL")</f>
        <v>AuAL</v>
      </c>
      <c r="E178" s="42"/>
      <c r="F178" s="42"/>
      <c r="G178" s="42"/>
      <c r="H178" s="42" t="str">
        <f>IFERROR(__xludf.DUMMYFUNCTION("""COMPUTED_VALUE"""),"")</f>
        <v/>
      </c>
      <c r="I178" s="42" t="str">
        <f>IFERROR(__xludf.DUMMYFUNCTION("""COMPUTED_VALUE"""),"Romanski, 2009")</f>
        <v>Romanski, 2009</v>
      </c>
      <c r="J178" s="42"/>
      <c r="K178" s="42"/>
      <c r="L178" s="42"/>
      <c r="M178" s="42"/>
      <c r="N178" s="42"/>
      <c r="O178" s="31" t="str">
        <f>IFERROR(__xludf.DUMMYFUNCTION("""COMPUTED_VALUE"""),"DOC")</f>
        <v>DOC</v>
      </c>
      <c r="P178" s="9" t="str">
        <f>IFERROR(__xludf.DUMMYFUNCTION("""COMPUTED_VALUE"""),"Annual Review of Neuroscience")</f>
        <v>Annual Review of Neuroscience</v>
      </c>
      <c r="Q178" s="9"/>
      <c r="R178" s="179" t="str">
        <f>IFERROR(__xludf.DUMMYFUNCTION("""COMPUTED_VALUE"""),"AuAL (00/00) [Romanski, 2009];
")</f>
        <v>AuAL (00/00) [Romanski, 2009];
</v>
      </c>
      <c r="S178" s="179" t="str">
        <f>IFERROR(__xludf.DUMMYFUNCTION("""COMPUTED_VALUE"""),"AuRAuAL")</f>
        <v>AuRAuAL</v>
      </c>
      <c r="T178" s="179" t="str">
        <f>IFERROR(__xludf.DUMMYFUNCTION("""COMPUTED_VALUE"""),"[Romanski, 2009]")</f>
        <v>[Romanski, 2009]</v>
      </c>
      <c r="U178" s="179">
        <f>IFERROR(__xludf.DUMMYFUNCTION("""COMPUTED_VALUE"""),0.0)</f>
        <v>0</v>
      </c>
      <c r="V178" s="180">
        <f>IFERROR(__xludf.DUMMYFUNCTION("""COMPUTED_VALUE"""),0.0)</f>
        <v>0</v>
      </c>
      <c r="W178" s="180">
        <f>IFERROR(__xludf.DUMMYFUNCTION("""COMPUTED_VALUE"""),0.95)</f>
        <v>0.95</v>
      </c>
      <c r="X178" s="42">
        <f>IFERROR(__xludf.DUMMYFUNCTION("""COMPUTED_VALUE"""),0.0)</f>
        <v>0</v>
      </c>
      <c r="Y178" s="42">
        <f>IFERROR(__xludf.DUMMYFUNCTION("""COMPUTED_VALUE"""),0.0)</f>
        <v>0</v>
      </c>
      <c r="Z178" s="9">
        <f>IFERROR(__xludf.DUMMYFUNCTION("""COMPUTED_VALUE"""),0.0)</f>
        <v>0</v>
      </c>
      <c r="AA178" s="181">
        <f>IFERROR(__xludf.DUMMYFUNCTION("""COMPUTED_VALUE"""),0.0)</f>
        <v>0</v>
      </c>
      <c r="AB178" s="181">
        <f>IFERROR(__xludf.DUMMYFUNCTION("""COMPUTED_VALUE"""),0.0)</f>
        <v>0</v>
      </c>
      <c r="AC178" s="179">
        <f>IFERROR(__xludf.DUMMYFUNCTION("""COMPUTED_VALUE"""),0.0)</f>
        <v>0</v>
      </c>
      <c r="AD178" s="165">
        <f>IFERROR(__xludf.DUMMYFUNCTION("""COMPUTED_VALUE"""),0.0)</f>
        <v>0</v>
      </c>
      <c r="AE178" s="39" t="str">
        <f>IFERROR(__xludf.DUMMYFUNCTION("""COMPUTED_VALUE"""),"Hiroshi Yamakawa")</f>
        <v>Hiroshi Yamakawa</v>
      </c>
      <c r="AF178" s="39" t="str">
        <f>IFERROR(__xludf.DUMMYFUNCTION("""COMPUTED_VALUE"""),"HY22DAA")</f>
        <v>HY22DAA</v>
      </c>
      <c r="AG178" s="39"/>
      <c r="AH178" s="39"/>
      <c r="AI178" s="165"/>
      <c r="AJ178" s="165"/>
      <c r="AK178" s="111"/>
      <c r="AL178" s="111"/>
      <c r="AM178" s="111"/>
      <c r="AN178" s="111"/>
      <c r="AO178" s="111"/>
      <c r="AP178" s="111"/>
      <c r="AQ178" s="116"/>
      <c r="AR178" s="116"/>
      <c r="AS178" s="116"/>
    </row>
    <row r="179">
      <c r="A179" s="42" t="str">
        <f>IFERROR(__xludf.DUMMYFUNCTION("""COMPUTED_VALUE"""),"AuR")</f>
        <v>AuR</v>
      </c>
      <c r="B179" s="42"/>
      <c r="C179" s="42"/>
      <c r="D179" s="42" t="str">
        <f>IFERROR(__xludf.DUMMYFUNCTION("""COMPUTED_VALUE"""),"AuML")</f>
        <v>AuML</v>
      </c>
      <c r="E179" s="42"/>
      <c r="F179" s="42"/>
      <c r="G179" s="42"/>
      <c r="H179" s="42" t="str">
        <f>IFERROR(__xludf.DUMMYFUNCTION("""COMPUTED_VALUE"""),"")</f>
        <v/>
      </c>
      <c r="I179" s="42" t="str">
        <f>IFERROR(__xludf.DUMMYFUNCTION("""COMPUTED_VALUE"""),"Romanski, 2009")</f>
        <v>Romanski, 2009</v>
      </c>
      <c r="J179" s="42"/>
      <c r="K179" s="42"/>
      <c r="L179" s="42"/>
      <c r="M179" s="42"/>
      <c r="N179" s="42"/>
      <c r="O179" s="31" t="str">
        <f>IFERROR(__xludf.DUMMYFUNCTION("""COMPUTED_VALUE"""),"DOC")</f>
        <v>DOC</v>
      </c>
      <c r="P179" s="9" t="str">
        <f>IFERROR(__xludf.DUMMYFUNCTION("""COMPUTED_VALUE"""),"Annual Review of Neuroscience")</f>
        <v>Annual Review of Neuroscience</v>
      </c>
      <c r="Q179" s="9"/>
      <c r="R179" s="179" t="str">
        <f>IFERROR(__xludf.DUMMYFUNCTION("""COMPUTED_VALUE"""),"AuML (00/00) [Romanski, 2009];
")</f>
        <v>AuML (00/00) [Romanski, 2009];
</v>
      </c>
      <c r="S179" s="179" t="str">
        <f>IFERROR(__xludf.DUMMYFUNCTION("""COMPUTED_VALUE"""),"AuRAuML")</f>
        <v>AuRAuML</v>
      </c>
      <c r="T179" s="179" t="str">
        <f>IFERROR(__xludf.DUMMYFUNCTION("""COMPUTED_VALUE"""),"[Romanski, 2009]")</f>
        <v>[Romanski, 2009]</v>
      </c>
      <c r="U179" s="179">
        <f>IFERROR(__xludf.DUMMYFUNCTION("""COMPUTED_VALUE"""),0.0)</f>
        <v>0</v>
      </c>
      <c r="V179" s="180">
        <f>IFERROR(__xludf.DUMMYFUNCTION("""COMPUTED_VALUE"""),0.0)</f>
        <v>0</v>
      </c>
      <c r="W179" s="180">
        <f>IFERROR(__xludf.DUMMYFUNCTION("""COMPUTED_VALUE"""),0.95)</f>
        <v>0.95</v>
      </c>
      <c r="X179" s="42">
        <f>IFERROR(__xludf.DUMMYFUNCTION("""COMPUTED_VALUE"""),0.0)</f>
        <v>0</v>
      </c>
      <c r="Y179" s="42">
        <f>IFERROR(__xludf.DUMMYFUNCTION("""COMPUTED_VALUE"""),0.0)</f>
        <v>0</v>
      </c>
      <c r="Z179" s="9">
        <f>IFERROR(__xludf.DUMMYFUNCTION("""COMPUTED_VALUE"""),0.0)</f>
        <v>0</v>
      </c>
      <c r="AA179" s="181">
        <f>IFERROR(__xludf.DUMMYFUNCTION("""COMPUTED_VALUE"""),0.0)</f>
        <v>0</v>
      </c>
      <c r="AB179" s="181">
        <f>IFERROR(__xludf.DUMMYFUNCTION("""COMPUTED_VALUE"""),0.0)</f>
        <v>0</v>
      </c>
      <c r="AC179" s="179">
        <f>IFERROR(__xludf.DUMMYFUNCTION("""COMPUTED_VALUE"""),0.0)</f>
        <v>0</v>
      </c>
      <c r="AD179" s="165">
        <f>IFERROR(__xludf.DUMMYFUNCTION("""COMPUTED_VALUE"""),0.0)</f>
        <v>0</v>
      </c>
      <c r="AE179" s="39" t="str">
        <f>IFERROR(__xludf.DUMMYFUNCTION("""COMPUTED_VALUE"""),"Hiroshi Yamakawa")</f>
        <v>Hiroshi Yamakawa</v>
      </c>
      <c r="AF179" s="39" t="str">
        <f>IFERROR(__xludf.DUMMYFUNCTION("""COMPUTED_VALUE"""),"HY22DAA")</f>
        <v>HY22DAA</v>
      </c>
      <c r="AG179" s="39"/>
      <c r="AH179" s="39"/>
      <c r="AI179" s="165"/>
      <c r="AJ179" s="165"/>
      <c r="AK179" s="111"/>
      <c r="AL179" s="111"/>
      <c r="AM179" s="111"/>
      <c r="AN179" s="111"/>
      <c r="AO179" s="111"/>
      <c r="AP179" s="111"/>
      <c r="AQ179" s="116"/>
      <c r="AR179" s="116"/>
      <c r="AS179" s="116"/>
    </row>
    <row r="180">
      <c r="A180" s="42" t="str">
        <f>IFERROR(__xludf.DUMMYFUNCTION("""COMPUTED_VALUE"""),"AuR")</f>
        <v>AuR</v>
      </c>
      <c r="B180" s="42"/>
      <c r="C180" s="42"/>
      <c r="D180" s="42" t="str">
        <f>IFERROR(__xludf.DUMMYFUNCTION("""COMPUTED_VALUE"""),"AuMM")</f>
        <v>AuMM</v>
      </c>
      <c r="E180" s="42"/>
      <c r="F180" s="42"/>
      <c r="G180" s="42"/>
      <c r="H180" s="42" t="str">
        <f>IFERROR(__xludf.DUMMYFUNCTION("""COMPUTED_VALUE"""),"")</f>
        <v/>
      </c>
      <c r="I180" s="42" t="str">
        <f>IFERROR(__xludf.DUMMYFUNCTION("""COMPUTED_VALUE"""),"Romanski, 2009")</f>
        <v>Romanski, 2009</v>
      </c>
      <c r="J180" s="42"/>
      <c r="K180" s="42"/>
      <c r="L180" s="42"/>
      <c r="M180" s="42"/>
      <c r="N180" s="42"/>
      <c r="O180" s="31" t="str">
        <f>IFERROR(__xludf.DUMMYFUNCTION("""COMPUTED_VALUE"""),"DOC")</f>
        <v>DOC</v>
      </c>
      <c r="P180" s="9" t="str">
        <f>IFERROR(__xludf.DUMMYFUNCTION("""COMPUTED_VALUE"""),"Annual Review of Neuroscience")</f>
        <v>Annual Review of Neuroscience</v>
      </c>
      <c r="Q180" s="9"/>
      <c r="R180" s="179" t="str">
        <f>IFERROR(__xludf.DUMMYFUNCTION("""COMPUTED_VALUE"""),"AuMM (00/00) [Romanski, 2009];
")</f>
        <v>AuMM (00/00) [Romanski, 2009];
</v>
      </c>
      <c r="S180" s="179" t="str">
        <f>IFERROR(__xludf.DUMMYFUNCTION("""COMPUTED_VALUE"""),"AuRAuMM")</f>
        <v>AuRAuMM</v>
      </c>
      <c r="T180" s="179" t="str">
        <f>IFERROR(__xludf.DUMMYFUNCTION("""COMPUTED_VALUE"""),"[Romanski, 2009]")</f>
        <v>[Romanski, 2009]</v>
      </c>
      <c r="U180" s="179">
        <f>IFERROR(__xludf.DUMMYFUNCTION("""COMPUTED_VALUE"""),0.0)</f>
        <v>0</v>
      </c>
      <c r="V180" s="180">
        <f>IFERROR(__xludf.DUMMYFUNCTION("""COMPUTED_VALUE"""),0.0)</f>
        <v>0</v>
      </c>
      <c r="W180" s="180">
        <f>IFERROR(__xludf.DUMMYFUNCTION("""COMPUTED_VALUE"""),0.95)</f>
        <v>0.95</v>
      </c>
      <c r="X180" s="42">
        <f>IFERROR(__xludf.DUMMYFUNCTION("""COMPUTED_VALUE"""),0.0)</f>
        <v>0</v>
      </c>
      <c r="Y180" s="42">
        <f>IFERROR(__xludf.DUMMYFUNCTION("""COMPUTED_VALUE"""),0.0)</f>
        <v>0</v>
      </c>
      <c r="Z180" s="9">
        <f>IFERROR(__xludf.DUMMYFUNCTION("""COMPUTED_VALUE"""),0.0)</f>
        <v>0</v>
      </c>
      <c r="AA180" s="181">
        <f>IFERROR(__xludf.DUMMYFUNCTION("""COMPUTED_VALUE"""),0.0)</f>
        <v>0</v>
      </c>
      <c r="AB180" s="181">
        <f>IFERROR(__xludf.DUMMYFUNCTION("""COMPUTED_VALUE"""),0.0)</f>
        <v>0</v>
      </c>
      <c r="AC180" s="179">
        <f>IFERROR(__xludf.DUMMYFUNCTION("""COMPUTED_VALUE"""),0.0)</f>
        <v>0</v>
      </c>
      <c r="AD180" s="165">
        <f>IFERROR(__xludf.DUMMYFUNCTION("""COMPUTED_VALUE"""),0.0)</f>
        <v>0</v>
      </c>
      <c r="AE180" s="39" t="str">
        <f>IFERROR(__xludf.DUMMYFUNCTION("""COMPUTED_VALUE"""),"Hiroshi Yamakawa")</f>
        <v>Hiroshi Yamakawa</v>
      </c>
      <c r="AF180" s="39" t="str">
        <f>IFERROR(__xludf.DUMMYFUNCTION("""COMPUTED_VALUE"""),"HY22DAA")</f>
        <v>HY22DAA</v>
      </c>
      <c r="AG180" s="39"/>
      <c r="AH180" s="39"/>
      <c r="AI180" s="165"/>
      <c r="AJ180" s="165"/>
      <c r="AK180" s="111"/>
      <c r="AL180" s="111"/>
      <c r="AM180" s="111"/>
      <c r="AN180" s="111"/>
      <c r="AO180" s="111"/>
      <c r="AP180" s="111"/>
      <c r="AQ180" s="116"/>
      <c r="AR180" s="116"/>
      <c r="AS180" s="116"/>
    </row>
    <row r="181">
      <c r="A181" s="42" t="str">
        <f>IFERROR(__xludf.DUMMYFUNCTION("""COMPUTED_VALUE"""),"AuR")</f>
        <v>AuR</v>
      </c>
      <c r="B181" s="42"/>
      <c r="C181" s="42"/>
      <c r="D181" s="42" t="str">
        <f>IFERROR(__xludf.DUMMYFUNCTION("""COMPUTED_VALUE"""),"AuRM")</f>
        <v>AuRM</v>
      </c>
      <c r="E181" s="42"/>
      <c r="F181" s="42"/>
      <c r="G181" s="42"/>
      <c r="H181" s="42" t="str">
        <f>IFERROR(__xludf.DUMMYFUNCTION("""COMPUTED_VALUE"""),"")</f>
        <v/>
      </c>
      <c r="I181" s="42" t="str">
        <f>IFERROR(__xludf.DUMMYFUNCTION("""COMPUTED_VALUE"""),"Romanski, 2009")</f>
        <v>Romanski, 2009</v>
      </c>
      <c r="J181" s="42"/>
      <c r="K181" s="42"/>
      <c r="L181" s="42"/>
      <c r="M181" s="42"/>
      <c r="N181" s="42"/>
      <c r="O181" s="31" t="str">
        <f>IFERROR(__xludf.DUMMYFUNCTION("""COMPUTED_VALUE"""),"DOC")</f>
        <v>DOC</v>
      </c>
      <c r="P181" s="9" t="str">
        <f>IFERROR(__xludf.DUMMYFUNCTION("""COMPUTED_VALUE"""),"Annual Review of Neuroscience")</f>
        <v>Annual Review of Neuroscience</v>
      </c>
      <c r="Q181" s="9"/>
      <c r="R181" s="179" t="str">
        <f>IFERROR(__xludf.DUMMYFUNCTION("""COMPUTED_VALUE"""),"AuRM (00/00) [Romanski, 2009];
")</f>
        <v>AuRM (00/00) [Romanski, 2009];
</v>
      </c>
      <c r="S181" s="179" t="str">
        <f>IFERROR(__xludf.DUMMYFUNCTION("""COMPUTED_VALUE"""),"AuRAuRM")</f>
        <v>AuRAuRM</v>
      </c>
      <c r="T181" s="179" t="str">
        <f>IFERROR(__xludf.DUMMYFUNCTION("""COMPUTED_VALUE"""),"[Romanski, 2009]")</f>
        <v>[Romanski, 2009]</v>
      </c>
      <c r="U181" s="179">
        <f>IFERROR(__xludf.DUMMYFUNCTION("""COMPUTED_VALUE"""),0.0)</f>
        <v>0</v>
      </c>
      <c r="V181" s="180">
        <f>IFERROR(__xludf.DUMMYFUNCTION("""COMPUTED_VALUE"""),0.0)</f>
        <v>0</v>
      </c>
      <c r="W181" s="180">
        <f>IFERROR(__xludf.DUMMYFUNCTION("""COMPUTED_VALUE"""),0.95)</f>
        <v>0.95</v>
      </c>
      <c r="X181" s="42">
        <f>IFERROR(__xludf.DUMMYFUNCTION("""COMPUTED_VALUE"""),0.0)</f>
        <v>0</v>
      </c>
      <c r="Y181" s="42">
        <f>IFERROR(__xludf.DUMMYFUNCTION("""COMPUTED_VALUE"""),0.0)</f>
        <v>0</v>
      </c>
      <c r="Z181" s="9">
        <f>IFERROR(__xludf.DUMMYFUNCTION("""COMPUTED_VALUE"""),0.0)</f>
        <v>0</v>
      </c>
      <c r="AA181" s="181">
        <f>IFERROR(__xludf.DUMMYFUNCTION("""COMPUTED_VALUE"""),0.0)</f>
        <v>0</v>
      </c>
      <c r="AB181" s="181">
        <f>IFERROR(__xludf.DUMMYFUNCTION("""COMPUTED_VALUE"""),0.0)</f>
        <v>0</v>
      </c>
      <c r="AC181" s="179">
        <f>IFERROR(__xludf.DUMMYFUNCTION("""COMPUTED_VALUE"""),0.0)</f>
        <v>0</v>
      </c>
      <c r="AD181" s="165">
        <f>IFERROR(__xludf.DUMMYFUNCTION("""COMPUTED_VALUE"""),0.0)</f>
        <v>0</v>
      </c>
      <c r="AE181" s="39" t="str">
        <f>IFERROR(__xludf.DUMMYFUNCTION("""COMPUTED_VALUE"""),"Hiroshi Yamakawa")</f>
        <v>Hiroshi Yamakawa</v>
      </c>
      <c r="AF181" s="39" t="str">
        <f>IFERROR(__xludf.DUMMYFUNCTION("""COMPUTED_VALUE"""),"HY22DAA")</f>
        <v>HY22DAA</v>
      </c>
      <c r="AG181" s="39"/>
      <c r="AH181" s="39"/>
      <c r="AI181" s="165"/>
      <c r="AJ181" s="165"/>
      <c r="AK181" s="111"/>
      <c r="AL181" s="111"/>
      <c r="AM181" s="111"/>
      <c r="AN181" s="111"/>
      <c r="AO181" s="111"/>
      <c r="AP181" s="111"/>
      <c r="AQ181" s="116"/>
      <c r="AR181" s="116"/>
      <c r="AS181" s="116"/>
    </row>
    <row r="182">
      <c r="A182" s="42" t="str">
        <f>IFERROR(__xludf.DUMMYFUNCTION("""COMPUTED_VALUE"""),"AuR")</f>
        <v>AuR</v>
      </c>
      <c r="B182" s="42"/>
      <c r="C182" s="42"/>
      <c r="D182" s="42" t="str">
        <f>IFERROR(__xludf.DUMMYFUNCTION("""COMPUTED_VALUE"""),"AuRTL")</f>
        <v>AuRTL</v>
      </c>
      <c r="E182" s="42"/>
      <c r="F182" s="42"/>
      <c r="G182" s="42"/>
      <c r="H182" s="42" t="str">
        <f>IFERROR(__xludf.DUMMYFUNCTION("""COMPUTED_VALUE"""),"")</f>
        <v/>
      </c>
      <c r="I182" s="42" t="str">
        <f>IFERROR(__xludf.DUMMYFUNCTION("""COMPUTED_VALUE"""),"Romanski, 2009")</f>
        <v>Romanski, 2009</v>
      </c>
      <c r="J182" s="42"/>
      <c r="K182" s="42"/>
      <c r="L182" s="42"/>
      <c r="M182" s="42"/>
      <c r="N182" s="42"/>
      <c r="O182" s="31" t="str">
        <f>IFERROR(__xludf.DUMMYFUNCTION("""COMPUTED_VALUE"""),"DOC")</f>
        <v>DOC</v>
      </c>
      <c r="P182" s="9" t="str">
        <f>IFERROR(__xludf.DUMMYFUNCTION("""COMPUTED_VALUE"""),"Annual Review of Neuroscience")</f>
        <v>Annual Review of Neuroscience</v>
      </c>
      <c r="Q182" s="9"/>
      <c r="R182" s="179" t="str">
        <f>IFERROR(__xludf.DUMMYFUNCTION("""COMPUTED_VALUE"""),"AuRTL (00/00) [Romanski, 2009];
")</f>
        <v>AuRTL (00/00) [Romanski, 2009];
</v>
      </c>
      <c r="S182" s="179" t="str">
        <f>IFERROR(__xludf.DUMMYFUNCTION("""COMPUTED_VALUE"""),"AuRAuRTL")</f>
        <v>AuRAuRTL</v>
      </c>
      <c r="T182" s="179" t="str">
        <f>IFERROR(__xludf.DUMMYFUNCTION("""COMPUTED_VALUE"""),"[Romanski, 2009]")</f>
        <v>[Romanski, 2009]</v>
      </c>
      <c r="U182" s="179">
        <f>IFERROR(__xludf.DUMMYFUNCTION("""COMPUTED_VALUE"""),0.0)</f>
        <v>0</v>
      </c>
      <c r="V182" s="180">
        <f>IFERROR(__xludf.DUMMYFUNCTION("""COMPUTED_VALUE"""),0.0)</f>
        <v>0</v>
      </c>
      <c r="W182" s="180">
        <f>IFERROR(__xludf.DUMMYFUNCTION("""COMPUTED_VALUE"""),0.95)</f>
        <v>0.95</v>
      </c>
      <c r="X182" s="42">
        <f>IFERROR(__xludf.DUMMYFUNCTION("""COMPUTED_VALUE"""),0.0)</f>
        <v>0</v>
      </c>
      <c r="Y182" s="42">
        <f>IFERROR(__xludf.DUMMYFUNCTION("""COMPUTED_VALUE"""),0.0)</f>
        <v>0</v>
      </c>
      <c r="Z182" s="9">
        <f>IFERROR(__xludf.DUMMYFUNCTION("""COMPUTED_VALUE"""),0.0)</f>
        <v>0</v>
      </c>
      <c r="AA182" s="181">
        <f>IFERROR(__xludf.DUMMYFUNCTION("""COMPUTED_VALUE"""),0.0)</f>
        <v>0</v>
      </c>
      <c r="AB182" s="181">
        <f>IFERROR(__xludf.DUMMYFUNCTION("""COMPUTED_VALUE"""),0.0)</f>
        <v>0</v>
      </c>
      <c r="AC182" s="179">
        <f>IFERROR(__xludf.DUMMYFUNCTION("""COMPUTED_VALUE"""),0.0)</f>
        <v>0</v>
      </c>
      <c r="AD182" s="165">
        <f>IFERROR(__xludf.DUMMYFUNCTION("""COMPUTED_VALUE"""),0.0)</f>
        <v>0</v>
      </c>
      <c r="AE182" s="39" t="str">
        <f>IFERROR(__xludf.DUMMYFUNCTION("""COMPUTED_VALUE"""),"Hiroshi Yamakawa")</f>
        <v>Hiroshi Yamakawa</v>
      </c>
      <c r="AF182" s="39" t="str">
        <f>IFERROR(__xludf.DUMMYFUNCTION("""COMPUTED_VALUE"""),"HY22DAA")</f>
        <v>HY22DAA</v>
      </c>
      <c r="AG182" s="39"/>
      <c r="AH182" s="39"/>
      <c r="AI182" s="165"/>
      <c r="AJ182" s="165"/>
      <c r="AK182" s="111"/>
      <c r="AL182" s="111"/>
      <c r="AM182" s="111"/>
      <c r="AN182" s="111"/>
      <c r="AO182" s="111"/>
      <c r="AP182" s="111"/>
      <c r="AQ182" s="116"/>
      <c r="AR182" s="116"/>
      <c r="AS182" s="116"/>
    </row>
    <row r="183">
      <c r="A183" s="42" t="str">
        <f>IFERROR(__xludf.DUMMYFUNCTION("""COMPUTED_VALUE"""),"AuR")</f>
        <v>AuR</v>
      </c>
      <c r="B183" s="42"/>
      <c r="C183" s="42"/>
      <c r="D183" s="42" t="str">
        <f>IFERROR(__xludf.DUMMYFUNCTION("""COMPUTED_VALUE"""),"AuRTM")</f>
        <v>AuRTM</v>
      </c>
      <c r="E183" s="42"/>
      <c r="F183" s="42"/>
      <c r="G183" s="42"/>
      <c r="H183" s="42" t="str">
        <f>IFERROR(__xludf.DUMMYFUNCTION("""COMPUTED_VALUE"""),"")</f>
        <v/>
      </c>
      <c r="I183" s="42" t="str">
        <f>IFERROR(__xludf.DUMMYFUNCTION("""COMPUTED_VALUE"""),"Romanski, 2009")</f>
        <v>Romanski, 2009</v>
      </c>
      <c r="J183" s="42"/>
      <c r="K183" s="42"/>
      <c r="L183" s="42"/>
      <c r="M183" s="42"/>
      <c r="N183" s="42"/>
      <c r="O183" s="31" t="str">
        <f>IFERROR(__xludf.DUMMYFUNCTION("""COMPUTED_VALUE"""),"DOC")</f>
        <v>DOC</v>
      </c>
      <c r="P183" s="9" t="str">
        <f>IFERROR(__xludf.DUMMYFUNCTION("""COMPUTED_VALUE"""),"Annual Review of Neuroscience")</f>
        <v>Annual Review of Neuroscience</v>
      </c>
      <c r="Q183" s="9"/>
      <c r="R183" s="179" t="str">
        <f>IFERROR(__xludf.DUMMYFUNCTION("""COMPUTED_VALUE"""),"AuRTM (00/00) [Romanski, 2009];
")</f>
        <v>AuRTM (00/00) [Romanski, 2009];
</v>
      </c>
      <c r="S183" s="179" t="str">
        <f>IFERROR(__xludf.DUMMYFUNCTION("""COMPUTED_VALUE"""),"AuRAuRTM")</f>
        <v>AuRAuRTM</v>
      </c>
      <c r="T183" s="179" t="str">
        <f>IFERROR(__xludf.DUMMYFUNCTION("""COMPUTED_VALUE"""),"[Romanski, 2009]")</f>
        <v>[Romanski, 2009]</v>
      </c>
      <c r="U183" s="179">
        <f>IFERROR(__xludf.DUMMYFUNCTION("""COMPUTED_VALUE"""),0.0)</f>
        <v>0</v>
      </c>
      <c r="V183" s="180">
        <f>IFERROR(__xludf.DUMMYFUNCTION("""COMPUTED_VALUE"""),0.0)</f>
        <v>0</v>
      </c>
      <c r="W183" s="180">
        <f>IFERROR(__xludf.DUMMYFUNCTION("""COMPUTED_VALUE"""),0.95)</f>
        <v>0.95</v>
      </c>
      <c r="X183" s="42">
        <f>IFERROR(__xludf.DUMMYFUNCTION("""COMPUTED_VALUE"""),0.0)</f>
        <v>0</v>
      </c>
      <c r="Y183" s="42">
        <f>IFERROR(__xludf.DUMMYFUNCTION("""COMPUTED_VALUE"""),0.0)</f>
        <v>0</v>
      </c>
      <c r="Z183" s="9">
        <f>IFERROR(__xludf.DUMMYFUNCTION("""COMPUTED_VALUE"""),0.0)</f>
        <v>0</v>
      </c>
      <c r="AA183" s="181">
        <f>IFERROR(__xludf.DUMMYFUNCTION("""COMPUTED_VALUE"""),0.0)</f>
        <v>0</v>
      </c>
      <c r="AB183" s="181">
        <f>IFERROR(__xludf.DUMMYFUNCTION("""COMPUTED_VALUE"""),0.0)</f>
        <v>0</v>
      </c>
      <c r="AC183" s="179">
        <f>IFERROR(__xludf.DUMMYFUNCTION("""COMPUTED_VALUE"""),0.0)</f>
        <v>0</v>
      </c>
      <c r="AD183" s="165">
        <f>IFERROR(__xludf.DUMMYFUNCTION("""COMPUTED_VALUE"""),0.0)</f>
        <v>0</v>
      </c>
      <c r="AE183" s="39" t="str">
        <f>IFERROR(__xludf.DUMMYFUNCTION("""COMPUTED_VALUE"""),"Hiroshi Yamakawa")</f>
        <v>Hiroshi Yamakawa</v>
      </c>
      <c r="AF183" s="39" t="str">
        <f>IFERROR(__xludf.DUMMYFUNCTION("""COMPUTED_VALUE"""),"HY22DAA")</f>
        <v>HY22DAA</v>
      </c>
      <c r="AG183" s="39"/>
      <c r="AH183" s="39"/>
      <c r="AI183" s="165"/>
      <c r="AJ183" s="165"/>
      <c r="AK183" s="111"/>
      <c r="AL183" s="111"/>
      <c r="AM183" s="111"/>
      <c r="AN183" s="111"/>
      <c r="AO183" s="111"/>
      <c r="AP183" s="111"/>
      <c r="AQ183" s="116"/>
      <c r="AR183" s="116"/>
      <c r="AS183" s="116"/>
    </row>
    <row r="184">
      <c r="A184" s="42" t="str">
        <f>IFERROR(__xludf.DUMMYFUNCTION("""COMPUTED_VALUE"""),"AuR")</f>
        <v>AuR</v>
      </c>
      <c r="B184" s="42"/>
      <c r="C184" s="42"/>
      <c r="D184" s="42" t="str">
        <f>IFERROR(__xludf.DUMMYFUNCTION("""COMPUTED_VALUE"""),"A1Cr")</f>
        <v>A1Cr</v>
      </c>
      <c r="E184" s="42"/>
      <c r="F184" s="42"/>
      <c r="G184" s="42"/>
      <c r="H184" s="42" t="str">
        <f>IFERROR(__xludf.DUMMYFUNCTION("""COMPUTED_VALUE"""),"")</f>
        <v/>
      </c>
      <c r="I184" s="42" t="str">
        <f>IFERROR(__xludf.DUMMYFUNCTION("""COMPUTED_VALUE"""),"Scott, 2017")</f>
        <v>Scott, 2017</v>
      </c>
      <c r="J184" s="42"/>
      <c r="K184" s="42"/>
      <c r="L184" s="42"/>
      <c r="M184" s="42"/>
      <c r="N184" s="42"/>
      <c r="O184" s="31" t="str">
        <f>IFERROR(__xludf.DUMMYFUNCTION("""COMPUTED_VALUE"""),"DOC")</f>
        <v>DOC</v>
      </c>
      <c r="P184" s="9" t="str">
        <f>IFERROR(__xludf.DUMMYFUNCTION("""COMPUTED_VALUE"""),"Journal of Comparative Neurology")</f>
        <v>Journal of Comparative Neurology</v>
      </c>
      <c r="Q184" s="9" t="str">
        <f>IFERROR(__xludf.DUMMYFUNCTION("""COMPUTED_VALUE"""),"Experimental results")</f>
        <v>Experimental results</v>
      </c>
      <c r="R184" s="179" t="str">
        <f>IFERROR(__xludf.DUMMYFUNCTION("""COMPUTED_VALUE"""),"A1Cr (00/00) [Jasmin, 2019][Romanski, 2009][Scott, 2017];
")</f>
        <v>A1Cr (00/00) [Jasmin, 2019][Romanski, 2009][Scott, 2017];
</v>
      </c>
      <c r="S184" s="179" t="str">
        <f>IFERROR(__xludf.DUMMYFUNCTION("""COMPUTED_VALUE"""),"AuRA1Cr")</f>
        <v>AuRA1Cr</v>
      </c>
      <c r="T184" s="179" t="str">
        <f>IFERROR(__xludf.DUMMYFUNCTION("""COMPUTED_VALUE"""),"[Scott, 2017]")</f>
        <v>[Scott, 2017]</v>
      </c>
      <c r="U184" s="179">
        <f>IFERROR(__xludf.DUMMYFUNCTION("""COMPUTED_VALUE"""),0.0)</f>
        <v>0</v>
      </c>
      <c r="V184" s="180">
        <f>IFERROR(__xludf.DUMMYFUNCTION("""COMPUTED_VALUE"""),0.0)</f>
        <v>0</v>
      </c>
      <c r="W184" s="180">
        <f>IFERROR(__xludf.DUMMYFUNCTION("""COMPUTED_VALUE"""),0.95)</f>
        <v>0.95</v>
      </c>
      <c r="X184" s="42">
        <f>IFERROR(__xludf.DUMMYFUNCTION("""COMPUTED_VALUE"""),1.0)</f>
        <v>1</v>
      </c>
      <c r="Y184" s="42">
        <f>IFERROR(__xludf.DUMMYFUNCTION("""COMPUTED_VALUE"""),0.0)</f>
        <v>0</v>
      </c>
      <c r="Z184" s="9">
        <f>IFERROR(__xludf.DUMMYFUNCTION("""COMPUTED_VALUE"""),0.0)</f>
        <v>0</v>
      </c>
      <c r="AA184" s="181">
        <f>IFERROR(__xludf.DUMMYFUNCTION("""COMPUTED_VALUE"""),0.0)</f>
        <v>0</v>
      </c>
      <c r="AB184" s="181">
        <f>IFERROR(__xludf.DUMMYFUNCTION("""COMPUTED_VALUE"""),0.0)</f>
        <v>0</v>
      </c>
      <c r="AC184" s="179">
        <f>IFERROR(__xludf.DUMMYFUNCTION("""COMPUTED_VALUE"""),0.0)</f>
        <v>0</v>
      </c>
      <c r="AD184" s="165">
        <f>IFERROR(__xludf.DUMMYFUNCTION("""COMPUTED_VALUE"""),0.0)</f>
        <v>0</v>
      </c>
      <c r="AE184" s="39" t="str">
        <f>IFERROR(__xludf.DUMMYFUNCTION("""COMPUTED_VALUE"""),"Hiroshi Yamakawa")</f>
        <v>Hiroshi Yamakawa</v>
      </c>
      <c r="AF184" s="39" t="str">
        <f>IFERROR(__xludf.DUMMYFUNCTION("""COMPUTED_VALUE"""),"HY22DAA")</f>
        <v>HY22DAA</v>
      </c>
      <c r="AG184" s="39"/>
      <c r="AH184" s="39"/>
      <c r="AI184" s="165"/>
      <c r="AJ184" s="165"/>
      <c r="AK184" s="111"/>
      <c r="AL184" s="111"/>
      <c r="AM184" s="111"/>
      <c r="AN184" s="111"/>
      <c r="AO184" s="111"/>
      <c r="AP184" s="111"/>
      <c r="AQ184" s="116"/>
      <c r="AR184" s="116"/>
      <c r="AS184" s="116"/>
    </row>
    <row r="185">
      <c r="A185" s="42" t="str">
        <f>IFERROR(__xludf.DUMMYFUNCTION("""COMPUTED_VALUE"""),"AuR")</f>
        <v>AuR</v>
      </c>
      <c r="B185" s="42"/>
      <c r="C185" s="42"/>
      <c r="D185" s="42" t="str">
        <f>IFERROR(__xludf.DUMMYFUNCTION("""COMPUTED_VALUE"""),"ASTC")</f>
        <v>ASTC</v>
      </c>
      <c r="E185" s="42"/>
      <c r="F185" s="42"/>
      <c r="G185" s="42"/>
      <c r="H185" s="42" t="str">
        <f>IFERROR(__xludf.DUMMYFUNCTION("""COMPUTED_VALUE"""),"")</f>
        <v/>
      </c>
      <c r="I185" s="42" t="str">
        <f>IFERROR(__xludf.DUMMYFUNCTION("""COMPUTED_VALUE"""),"Scott, 2017")</f>
        <v>Scott, 2017</v>
      </c>
      <c r="J185" s="42"/>
      <c r="K185" s="42"/>
      <c r="L185" s="42"/>
      <c r="M185" s="42"/>
      <c r="N185" s="42"/>
      <c r="O185" s="31" t="str">
        <f>IFERROR(__xludf.DUMMYFUNCTION("""COMPUTED_VALUE"""),"DOC")</f>
        <v>DOC</v>
      </c>
      <c r="P185" s="9" t="str">
        <f>IFERROR(__xludf.DUMMYFUNCTION("""COMPUTED_VALUE"""),"Journal of Comparative Neurology")</f>
        <v>Journal of Comparative Neurology</v>
      </c>
      <c r="Q185" s="9" t="str">
        <f>IFERROR(__xludf.DUMMYFUNCTION("""COMPUTED_VALUE"""),"Experimental results")</f>
        <v>Experimental results</v>
      </c>
      <c r="R185" s="179" t="str">
        <f>IFERROR(__xludf.DUMMYFUNCTION("""COMPUTED_VALUE"""),"ASTC (00/00) [Scott, 2017];
")</f>
        <v>ASTC (00/00) [Scott, 2017];
</v>
      </c>
      <c r="S185" s="179" t="str">
        <f>IFERROR(__xludf.DUMMYFUNCTION("""COMPUTED_VALUE"""),"AuRASTC")</f>
        <v>AuRASTC</v>
      </c>
      <c r="T185" s="179" t="str">
        <f>IFERROR(__xludf.DUMMYFUNCTION("""COMPUTED_VALUE"""),"[Scott, 2017]")</f>
        <v>[Scott, 2017]</v>
      </c>
      <c r="U185" s="179">
        <f>IFERROR(__xludf.DUMMYFUNCTION("""COMPUTED_VALUE"""),0.0)</f>
        <v>0</v>
      </c>
      <c r="V185" s="180">
        <f>IFERROR(__xludf.DUMMYFUNCTION("""COMPUTED_VALUE"""),0.0)</f>
        <v>0</v>
      </c>
      <c r="W185" s="180">
        <f>IFERROR(__xludf.DUMMYFUNCTION("""COMPUTED_VALUE"""),0.95)</f>
        <v>0.95</v>
      </c>
      <c r="X185" s="42">
        <f>IFERROR(__xludf.DUMMYFUNCTION("""COMPUTED_VALUE"""),1.0)</f>
        <v>1</v>
      </c>
      <c r="Y185" s="42">
        <f>IFERROR(__xludf.DUMMYFUNCTION("""COMPUTED_VALUE"""),0.0)</f>
        <v>0</v>
      </c>
      <c r="Z185" s="9">
        <f>IFERROR(__xludf.DUMMYFUNCTION("""COMPUTED_VALUE"""),0.0)</f>
        <v>0</v>
      </c>
      <c r="AA185" s="181">
        <f>IFERROR(__xludf.DUMMYFUNCTION("""COMPUTED_VALUE"""),0.0)</f>
        <v>0</v>
      </c>
      <c r="AB185" s="181">
        <f>IFERROR(__xludf.DUMMYFUNCTION("""COMPUTED_VALUE"""),0.0)</f>
        <v>0</v>
      </c>
      <c r="AC185" s="179">
        <f>IFERROR(__xludf.DUMMYFUNCTION("""COMPUTED_VALUE"""),0.0)</f>
        <v>0</v>
      </c>
      <c r="AD185" s="165">
        <f>IFERROR(__xludf.DUMMYFUNCTION("""COMPUTED_VALUE"""),0.0)</f>
        <v>0</v>
      </c>
      <c r="AE185" s="39" t="str">
        <f>IFERROR(__xludf.DUMMYFUNCTION("""COMPUTED_VALUE"""),"Hiroshi Yamakawa")</f>
        <v>Hiroshi Yamakawa</v>
      </c>
      <c r="AF185" s="39" t="str">
        <f>IFERROR(__xludf.DUMMYFUNCTION("""COMPUTED_VALUE"""),"HY22DAA")</f>
        <v>HY22DAA</v>
      </c>
      <c r="AG185" s="39"/>
      <c r="AH185" s="39"/>
      <c r="AI185" s="165"/>
      <c r="AJ185" s="165"/>
      <c r="AK185" s="111"/>
      <c r="AL185" s="111"/>
      <c r="AM185" s="111"/>
      <c r="AN185" s="111"/>
      <c r="AO185" s="111"/>
      <c r="AP185" s="111"/>
      <c r="AQ185" s="116"/>
      <c r="AR185" s="116"/>
      <c r="AS185" s="116"/>
    </row>
    <row r="186">
      <c r="A186" s="42" t="str">
        <f>IFERROR(__xludf.DUMMYFUNCTION("""COMPUTED_VALUE"""),"AuR")</f>
        <v>AuR</v>
      </c>
      <c r="B186" s="42"/>
      <c r="C186" s="42"/>
      <c r="D186" s="42" t="str">
        <f>IFERROR(__xludf.DUMMYFUNCTION("""COMPUTED_VALUE"""),"AuA1")</f>
        <v>AuA1</v>
      </c>
      <c r="E186" s="42"/>
      <c r="F186" s="42"/>
      <c r="G186" s="42"/>
      <c r="H186" s="42" t="str">
        <f>IFERROR(__xludf.DUMMYFUNCTION("""COMPUTED_VALUE"""),"")</f>
        <v/>
      </c>
      <c r="I186" s="42" t="str">
        <f>IFERROR(__xludf.DUMMYFUNCTION("""COMPUTED_VALUE"""),"Scott, 2017")</f>
        <v>Scott, 2017</v>
      </c>
      <c r="J186" s="42"/>
      <c r="K186" s="42"/>
      <c r="L186" s="42"/>
      <c r="M186" s="42"/>
      <c r="N186" s="42"/>
      <c r="O186" s="31" t="str">
        <f>IFERROR(__xludf.DUMMYFUNCTION("""COMPUTED_VALUE"""),"DOC")</f>
        <v>DOC</v>
      </c>
      <c r="P186" s="9" t="str">
        <f>IFERROR(__xludf.DUMMYFUNCTION("""COMPUTED_VALUE"""),"Journal of Comparative Neurology")</f>
        <v>Journal of Comparative Neurology</v>
      </c>
      <c r="Q186" s="9" t="str">
        <f>IFERROR(__xludf.DUMMYFUNCTION("""COMPUTED_VALUE"""),"Experimental results")</f>
        <v>Experimental results</v>
      </c>
      <c r="R186" s="179" t="str">
        <f>IFERROR(__xludf.DUMMYFUNCTION("""COMPUTED_VALUE"""),"AuA1 (00/00) [Jasmin, 2019][Romanski, 2009][Scott, 2017];
")</f>
        <v>AuA1 (00/00) [Jasmin, 2019][Romanski, 2009][Scott, 2017];
</v>
      </c>
      <c r="S186" s="179" t="str">
        <f>IFERROR(__xludf.DUMMYFUNCTION("""COMPUTED_VALUE"""),"AuRAuA1")</f>
        <v>AuRAuA1</v>
      </c>
      <c r="T186" s="179" t="str">
        <f>IFERROR(__xludf.DUMMYFUNCTION("""COMPUTED_VALUE"""),"[Scott, 2017]")</f>
        <v>[Scott, 2017]</v>
      </c>
      <c r="U186" s="179">
        <f>IFERROR(__xludf.DUMMYFUNCTION("""COMPUTED_VALUE"""),0.0)</f>
        <v>0</v>
      </c>
      <c r="V186" s="180">
        <f>IFERROR(__xludf.DUMMYFUNCTION("""COMPUTED_VALUE"""),0.0)</f>
        <v>0</v>
      </c>
      <c r="W186" s="180">
        <f>IFERROR(__xludf.DUMMYFUNCTION("""COMPUTED_VALUE"""),0.95)</f>
        <v>0.95</v>
      </c>
      <c r="X186" s="42">
        <f>IFERROR(__xludf.DUMMYFUNCTION("""COMPUTED_VALUE"""),1.0)</f>
        <v>1</v>
      </c>
      <c r="Y186" s="42">
        <f>IFERROR(__xludf.DUMMYFUNCTION("""COMPUTED_VALUE"""),0.0)</f>
        <v>0</v>
      </c>
      <c r="Z186" s="9">
        <f>IFERROR(__xludf.DUMMYFUNCTION("""COMPUTED_VALUE"""),0.0)</f>
        <v>0</v>
      </c>
      <c r="AA186" s="181">
        <f>IFERROR(__xludf.DUMMYFUNCTION("""COMPUTED_VALUE"""),0.0)</f>
        <v>0</v>
      </c>
      <c r="AB186" s="181">
        <f>IFERROR(__xludf.DUMMYFUNCTION("""COMPUTED_VALUE"""),0.0)</f>
        <v>0</v>
      </c>
      <c r="AC186" s="179">
        <f>IFERROR(__xludf.DUMMYFUNCTION("""COMPUTED_VALUE"""),0.0)</f>
        <v>0</v>
      </c>
      <c r="AD186" s="165">
        <f>IFERROR(__xludf.DUMMYFUNCTION("""COMPUTED_VALUE"""),0.0)</f>
        <v>0</v>
      </c>
      <c r="AE186" s="39" t="str">
        <f>IFERROR(__xludf.DUMMYFUNCTION("""COMPUTED_VALUE"""),"Hiroshi Yamakawa")</f>
        <v>Hiroshi Yamakawa</v>
      </c>
      <c r="AF186" s="39" t="str">
        <f>IFERROR(__xludf.DUMMYFUNCTION("""COMPUTED_VALUE"""),"HY22DAA")</f>
        <v>HY22DAA</v>
      </c>
      <c r="AG186" s="39"/>
      <c r="AH186" s="39"/>
      <c r="AI186" s="165"/>
      <c r="AJ186" s="165"/>
      <c r="AK186" s="111"/>
      <c r="AL186" s="111"/>
      <c r="AM186" s="111"/>
      <c r="AN186" s="111"/>
      <c r="AO186" s="111"/>
      <c r="AP186" s="111"/>
      <c r="AQ186" s="116"/>
      <c r="AR186" s="116"/>
      <c r="AS186" s="116"/>
    </row>
    <row r="187">
      <c r="A187" s="42" t="str">
        <f>IFERROR(__xludf.DUMMYFUNCTION("""COMPUTED_VALUE"""),"AuRM")</f>
        <v>AuRM</v>
      </c>
      <c r="B187" s="42"/>
      <c r="C187" s="42"/>
      <c r="D187" s="42" t="str">
        <f>IFERROR(__xludf.DUMMYFUNCTION("""COMPUTED_VALUE"""),"A1Cr")</f>
        <v>A1Cr</v>
      </c>
      <c r="E187" s="42"/>
      <c r="F187" s="42"/>
      <c r="G187" s="42"/>
      <c r="H187" s="42" t="str">
        <f>IFERROR(__xludf.DUMMYFUNCTION("""COMPUTED_VALUE"""),"")</f>
        <v/>
      </c>
      <c r="I187" s="42" t="str">
        <f>IFERROR(__xludf.DUMMYFUNCTION("""COMPUTED_VALUE"""),"Romanski, 2009")</f>
        <v>Romanski, 2009</v>
      </c>
      <c r="J187" s="42"/>
      <c r="K187" s="42"/>
      <c r="L187" s="42"/>
      <c r="M187" s="42"/>
      <c r="N187" s="42"/>
      <c r="O187" s="31" t="str">
        <f>IFERROR(__xludf.DUMMYFUNCTION("""COMPUTED_VALUE"""),"DOC")</f>
        <v>DOC</v>
      </c>
      <c r="P187" s="9" t="str">
        <f>IFERROR(__xludf.DUMMYFUNCTION("""COMPUTED_VALUE"""),"Annual Review of Neuroscience")</f>
        <v>Annual Review of Neuroscience</v>
      </c>
      <c r="Q187" s="9"/>
      <c r="R187" s="179" t="str">
        <f>IFERROR(__xludf.DUMMYFUNCTION("""COMPUTED_VALUE"""),"A1Cr (00/00) [Romanski, 2009];
")</f>
        <v>A1Cr (00/00) [Romanski, 2009];
</v>
      </c>
      <c r="S187" s="179" t="str">
        <f>IFERROR(__xludf.DUMMYFUNCTION("""COMPUTED_VALUE"""),"AuRMA1Cr")</f>
        <v>AuRMA1Cr</v>
      </c>
      <c r="T187" s="179" t="str">
        <f>IFERROR(__xludf.DUMMYFUNCTION("""COMPUTED_VALUE"""),"[Romanski, 2009]")</f>
        <v>[Romanski, 2009]</v>
      </c>
      <c r="U187" s="179">
        <f>IFERROR(__xludf.DUMMYFUNCTION("""COMPUTED_VALUE"""),0.0)</f>
        <v>0</v>
      </c>
      <c r="V187" s="180">
        <f>IFERROR(__xludf.DUMMYFUNCTION("""COMPUTED_VALUE"""),0.0)</f>
        <v>0</v>
      </c>
      <c r="W187" s="180">
        <f>IFERROR(__xludf.DUMMYFUNCTION("""COMPUTED_VALUE"""),0.95)</f>
        <v>0.95</v>
      </c>
      <c r="X187" s="42">
        <f>IFERROR(__xludf.DUMMYFUNCTION("""COMPUTED_VALUE"""),0.0)</f>
        <v>0</v>
      </c>
      <c r="Y187" s="42">
        <f>IFERROR(__xludf.DUMMYFUNCTION("""COMPUTED_VALUE"""),0.0)</f>
        <v>0</v>
      </c>
      <c r="Z187" s="9">
        <f>IFERROR(__xludf.DUMMYFUNCTION("""COMPUTED_VALUE"""),0.0)</f>
        <v>0</v>
      </c>
      <c r="AA187" s="181">
        <f>IFERROR(__xludf.DUMMYFUNCTION("""COMPUTED_VALUE"""),0.0)</f>
        <v>0</v>
      </c>
      <c r="AB187" s="181">
        <f>IFERROR(__xludf.DUMMYFUNCTION("""COMPUTED_VALUE"""),0.0)</f>
        <v>0</v>
      </c>
      <c r="AC187" s="179">
        <f>IFERROR(__xludf.DUMMYFUNCTION("""COMPUTED_VALUE"""),0.0)</f>
        <v>0</v>
      </c>
      <c r="AD187" s="165">
        <f>IFERROR(__xludf.DUMMYFUNCTION("""COMPUTED_VALUE"""),0.0)</f>
        <v>0</v>
      </c>
      <c r="AE187" s="39" t="str">
        <f>IFERROR(__xludf.DUMMYFUNCTION("""COMPUTED_VALUE"""),"Hiroshi Yamakawa")</f>
        <v>Hiroshi Yamakawa</v>
      </c>
      <c r="AF187" s="39" t="str">
        <f>IFERROR(__xludf.DUMMYFUNCTION("""COMPUTED_VALUE"""),"HY22DAA")</f>
        <v>HY22DAA</v>
      </c>
      <c r="AG187" s="39"/>
      <c r="AH187" s="39"/>
      <c r="AI187" s="165"/>
      <c r="AJ187" s="165"/>
      <c r="AK187" s="111"/>
      <c r="AL187" s="111"/>
      <c r="AM187" s="111"/>
      <c r="AN187" s="111"/>
      <c r="AO187" s="111"/>
      <c r="AP187" s="111"/>
      <c r="AQ187" s="116"/>
      <c r="AR187" s="116"/>
      <c r="AS187" s="116"/>
    </row>
    <row r="188">
      <c r="A188" s="42" t="str">
        <f>IFERROR(__xludf.DUMMYFUNCTION("""COMPUTED_VALUE"""),"AuRM")</f>
        <v>AuRM</v>
      </c>
      <c r="B188" s="42"/>
      <c r="C188" s="42"/>
      <c r="D188" s="42" t="str">
        <f>IFERROR(__xludf.DUMMYFUNCTION("""COMPUTED_VALUE"""),"AuA1")</f>
        <v>AuA1</v>
      </c>
      <c r="E188" s="42"/>
      <c r="F188" s="42"/>
      <c r="G188" s="42"/>
      <c r="H188" s="42" t="str">
        <f>IFERROR(__xludf.DUMMYFUNCTION("""COMPUTED_VALUE"""),"")</f>
        <v/>
      </c>
      <c r="I188" s="42" t="str">
        <f>IFERROR(__xludf.DUMMYFUNCTION("""COMPUTED_VALUE"""),"Romanski, 2009")</f>
        <v>Romanski, 2009</v>
      </c>
      <c r="J188" s="42"/>
      <c r="K188" s="42"/>
      <c r="L188" s="42"/>
      <c r="M188" s="42"/>
      <c r="N188" s="42"/>
      <c r="O188" s="31" t="str">
        <f>IFERROR(__xludf.DUMMYFUNCTION("""COMPUTED_VALUE"""),"DOC")</f>
        <v>DOC</v>
      </c>
      <c r="P188" s="9" t="str">
        <f>IFERROR(__xludf.DUMMYFUNCTION("""COMPUTED_VALUE"""),"Annual Review of Neuroscience")</f>
        <v>Annual Review of Neuroscience</v>
      </c>
      <c r="Q188" s="9"/>
      <c r="R188" s="179" t="str">
        <f>IFERROR(__xludf.DUMMYFUNCTION("""COMPUTED_VALUE"""),"AuA1 (00/00) [Romanski, 2009];
")</f>
        <v>AuA1 (00/00) [Romanski, 2009];
</v>
      </c>
      <c r="S188" s="179" t="str">
        <f>IFERROR(__xludf.DUMMYFUNCTION("""COMPUTED_VALUE"""),"AuRMAuA1")</f>
        <v>AuRMAuA1</v>
      </c>
      <c r="T188" s="179" t="str">
        <f>IFERROR(__xludf.DUMMYFUNCTION("""COMPUTED_VALUE"""),"[Romanski, 2009]")</f>
        <v>[Romanski, 2009]</v>
      </c>
      <c r="U188" s="179">
        <f>IFERROR(__xludf.DUMMYFUNCTION("""COMPUTED_VALUE"""),0.0)</f>
        <v>0</v>
      </c>
      <c r="V188" s="180">
        <f>IFERROR(__xludf.DUMMYFUNCTION("""COMPUTED_VALUE"""),0.0)</f>
        <v>0</v>
      </c>
      <c r="W188" s="180">
        <f>IFERROR(__xludf.DUMMYFUNCTION("""COMPUTED_VALUE"""),0.95)</f>
        <v>0.95</v>
      </c>
      <c r="X188" s="42">
        <f>IFERROR(__xludf.DUMMYFUNCTION("""COMPUTED_VALUE"""),0.0)</f>
        <v>0</v>
      </c>
      <c r="Y188" s="42">
        <f>IFERROR(__xludf.DUMMYFUNCTION("""COMPUTED_VALUE"""),0.0)</f>
        <v>0</v>
      </c>
      <c r="Z188" s="9">
        <f>IFERROR(__xludf.DUMMYFUNCTION("""COMPUTED_VALUE"""),0.0)</f>
        <v>0</v>
      </c>
      <c r="AA188" s="181">
        <f>IFERROR(__xludf.DUMMYFUNCTION("""COMPUTED_VALUE"""),0.0)</f>
        <v>0</v>
      </c>
      <c r="AB188" s="181">
        <f>IFERROR(__xludf.DUMMYFUNCTION("""COMPUTED_VALUE"""),0.0)</f>
        <v>0</v>
      </c>
      <c r="AC188" s="179">
        <f>IFERROR(__xludf.DUMMYFUNCTION("""COMPUTED_VALUE"""),0.0)</f>
        <v>0</v>
      </c>
      <c r="AD188" s="165">
        <f>IFERROR(__xludf.DUMMYFUNCTION("""COMPUTED_VALUE"""),0.0)</f>
        <v>0</v>
      </c>
      <c r="AE188" s="39" t="str">
        <f>IFERROR(__xludf.DUMMYFUNCTION("""COMPUTED_VALUE"""),"Hiroshi Yamakawa")</f>
        <v>Hiroshi Yamakawa</v>
      </c>
      <c r="AF188" s="39" t="str">
        <f>IFERROR(__xludf.DUMMYFUNCTION("""COMPUTED_VALUE"""),"HY22DAA")</f>
        <v>HY22DAA</v>
      </c>
      <c r="AG188" s="39"/>
      <c r="AH188" s="39"/>
      <c r="AI188" s="165"/>
      <c r="AJ188" s="165"/>
      <c r="AK188" s="111"/>
      <c r="AL188" s="111"/>
      <c r="AM188" s="111"/>
      <c r="AN188" s="111"/>
      <c r="AO188" s="111"/>
      <c r="AP188" s="111"/>
      <c r="AQ188" s="116"/>
      <c r="AR188" s="116"/>
      <c r="AS188" s="116"/>
    </row>
    <row r="189">
      <c r="A189" s="42" t="str">
        <f>IFERROR(__xludf.DUMMYFUNCTION("""COMPUTED_VALUE"""),"AuRM")</f>
        <v>AuRM</v>
      </c>
      <c r="B189" s="42"/>
      <c r="C189" s="42"/>
      <c r="D189" s="42" t="str">
        <f>IFERROR(__xludf.DUMMYFUNCTION("""COMPUTED_VALUE"""),"AuR")</f>
        <v>AuR</v>
      </c>
      <c r="E189" s="42"/>
      <c r="F189" s="42"/>
      <c r="G189" s="42"/>
      <c r="H189" s="42" t="str">
        <f>IFERROR(__xludf.DUMMYFUNCTION("""COMPUTED_VALUE"""),"")</f>
        <v/>
      </c>
      <c r="I189" s="42" t="str">
        <f>IFERROR(__xludf.DUMMYFUNCTION("""COMPUTED_VALUE"""),"Romanski, 2009")</f>
        <v>Romanski, 2009</v>
      </c>
      <c r="J189" s="42"/>
      <c r="K189" s="42"/>
      <c r="L189" s="42"/>
      <c r="M189" s="42"/>
      <c r="N189" s="42"/>
      <c r="O189" s="31" t="str">
        <f>IFERROR(__xludf.DUMMYFUNCTION("""COMPUTED_VALUE"""),"DOC")</f>
        <v>DOC</v>
      </c>
      <c r="P189" s="9" t="str">
        <f>IFERROR(__xludf.DUMMYFUNCTION("""COMPUTED_VALUE"""),"Annual Review of Neuroscience")</f>
        <v>Annual Review of Neuroscience</v>
      </c>
      <c r="Q189" s="9"/>
      <c r="R189" s="179" t="str">
        <f>IFERROR(__xludf.DUMMYFUNCTION("""COMPUTED_VALUE"""),"AuR (00/00) [Romanski, 2009];
")</f>
        <v>AuR (00/00) [Romanski, 2009];
</v>
      </c>
      <c r="S189" s="179" t="str">
        <f>IFERROR(__xludf.DUMMYFUNCTION("""COMPUTED_VALUE"""),"AuRMAuR")</f>
        <v>AuRMAuR</v>
      </c>
      <c r="T189" s="179" t="str">
        <f>IFERROR(__xludf.DUMMYFUNCTION("""COMPUTED_VALUE"""),"[Romanski, 2009]")</f>
        <v>[Romanski, 2009]</v>
      </c>
      <c r="U189" s="179">
        <f>IFERROR(__xludf.DUMMYFUNCTION("""COMPUTED_VALUE"""),0.0)</f>
        <v>0</v>
      </c>
      <c r="V189" s="180">
        <f>IFERROR(__xludf.DUMMYFUNCTION("""COMPUTED_VALUE"""),0.0)</f>
        <v>0</v>
      </c>
      <c r="W189" s="180">
        <f>IFERROR(__xludf.DUMMYFUNCTION("""COMPUTED_VALUE"""),0.95)</f>
        <v>0.95</v>
      </c>
      <c r="X189" s="42">
        <f>IFERROR(__xludf.DUMMYFUNCTION("""COMPUTED_VALUE"""),0.0)</f>
        <v>0</v>
      </c>
      <c r="Y189" s="42">
        <f>IFERROR(__xludf.DUMMYFUNCTION("""COMPUTED_VALUE"""),0.0)</f>
        <v>0</v>
      </c>
      <c r="Z189" s="9">
        <f>IFERROR(__xludf.DUMMYFUNCTION("""COMPUTED_VALUE"""),0.0)</f>
        <v>0</v>
      </c>
      <c r="AA189" s="181">
        <f>IFERROR(__xludf.DUMMYFUNCTION("""COMPUTED_VALUE"""),0.0)</f>
        <v>0</v>
      </c>
      <c r="AB189" s="181">
        <f>IFERROR(__xludf.DUMMYFUNCTION("""COMPUTED_VALUE"""),0.0)</f>
        <v>0</v>
      </c>
      <c r="AC189" s="179">
        <f>IFERROR(__xludf.DUMMYFUNCTION("""COMPUTED_VALUE"""),0.0)</f>
        <v>0</v>
      </c>
      <c r="AD189" s="165">
        <f>IFERROR(__xludf.DUMMYFUNCTION("""COMPUTED_VALUE"""),0.0)</f>
        <v>0</v>
      </c>
      <c r="AE189" s="39" t="str">
        <f>IFERROR(__xludf.DUMMYFUNCTION("""COMPUTED_VALUE"""),"Hiroshi Yamakawa")</f>
        <v>Hiroshi Yamakawa</v>
      </c>
      <c r="AF189" s="39" t="str">
        <f>IFERROR(__xludf.DUMMYFUNCTION("""COMPUTED_VALUE"""),"HY22DAA")</f>
        <v>HY22DAA</v>
      </c>
      <c r="AG189" s="39"/>
      <c r="AH189" s="39"/>
      <c r="AI189" s="165"/>
      <c r="AJ189" s="165"/>
      <c r="AK189" s="111"/>
      <c r="AL189" s="111"/>
      <c r="AM189" s="111"/>
      <c r="AN189" s="111"/>
      <c r="AO189" s="111"/>
      <c r="AP189" s="111"/>
      <c r="AQ189" s="116"/>
      <c r="AR189" s="116"/>
      <c r="AS189" s="116"/>
    </row>
    <row r="190">
      <c r="A190" s="42" t="str">
        <f>IFERROR(__xludf.DUMMYFUNCTION("""COMPUTED_VALUE"""),"AuRM")</f>
        <v>AuRM</v>
      </c>
      <c r="B190" s="42"/>
      <c r="C190" s="42"/>
      <c r="D190" s="42" t="str">
        <f>IFERROR(__xludf.DUMMYFUNCTION("""COMPUTED_VALUE"""),"ISTC")</f>
        <v>ISTC</v>
      </c>
      <c r="E190" s="42"/>
      <c r="F190" s="42"/>
      <c r="G190" s="42"/>
      <c r="H190" s="42" t="str">
        <f>IFERROR(__xludf.DUMMYFUNCTION("""COMPUTED_VALUE"""),"")</f>
        <v/>
      </c>
      <c r="I190" s="42" t="str">
        <f>IFERROR(__xludf.DUMMYFUNCTION("""COMPUTED_VALUE"""),"Romanski, 2009")</f>
        <v>Romanski, 2009</v>
      </c>
      <c r="J190" s="42"/>
      <c r="K190" s="42"/>
      <c r="L190" s="42"/>
      <c r="M190" s="42"/>
      <c r="N190" s="42"/>
      <c r="O190" s="31" t="str">
        <f>IFERROR(__xludf.DUMMYFUNCTION("""COMPUTED_VALUE"""),"DOC")</f>
        <v>DOC</v>
      </c>
      <c r="P190" s="9" t="str">
        <f>IFERROR(__xludf.DUMMYFUNCTION("""COMPUTED_VALUE"""),"Annual Review of Neuroscience")</f>
        <v>Annual Review of Neuroscience</v>
      </c>
      <c r="Q190" s="9"/>
      <c r="R190" s="179" t="str">
        <f>IFERROR(__xludf.DUMMYFUNCTION("""COMPUTED_VALUE"""),"ISTC (00/00) [Romanski, 2009];
")</f>
        <v>ISTC (00/00) [Romanski, 2009];
</v>
      </c>
      <c r="S190" s="179" t="str">
        <f>IFERROR(__xludf.DUMMYFUNCTION("""COMPUTED_VALUE"""),"AuRMISTC")</f>
        <v>AuRMISTC</v>
      </c>
      <c r="T190" s="179" t="str">
        <f>IFERROR(__xludf.DUMMYFUNCTION("""COMPUTED_VALUE"""),"[Romanski, 2009]")</f>
        <v>[Romanski, 2009]</v>
      </c>
      <c r="U190" s="179">
        <f>IFERROR(__xludf.DUMMYFUNCTION("""COMPUTED_VALUE"""),0.0)</f>
        <v>0</v>
      </c>
      <c r="V190" s="180">
        <f>IFERROR(__xludf.DUMMYFUNCTION("""COMPUTED_VALUE"""),0.0)</f>
        <v>0</v>
      </c>
      <c r="W190" s="180">
        <f>IFERROR(__xludf.DUMMYFUNCTION("""COMPUTED_VALUE"""),0.95)</f>
        <v>0.95</v>
      </c>
      <c r="X190" s="42">
        <f>IFERROR(__xludf.DUMMYFUNCTION("""COMPUTED_VALUE"""),0.0)</f>
        <v>0</v>
      </c>
      <c r="Y190" s="42">
        <f>IFERROR(__xludf.DUMMYFUNCTION("""COMPUTED_VALUE"""),0.0)</f>
        <v>0</v>
      </c>
      <c r="Z190" s="9">
        <f>IFERROR(__xludf.DUMMYFUNCTION("""COMPUTED_VALUE"""),0.0)</f>
        <v>0</v>
      </c>
      <c r="AA190" s="181">
        <f>IFERROR(__xludf.DUMMYFUNCTION("""COMPUTED_VALUE"""),0.0)</f>
        <v>0</v>
      </c>
      <c r="AB190" s="181">
        <f>IFERROR(__xludf.DUMMYFUNCTION("""COMPUTED_VALUE"""),0.0)</f>
        <v>0</v>
      </c>
      <c r="AC190" s="179">
        <f>IFERROR(__xludf.DUMMYFUNCTION("""COMPUTED_VALUE"""),0.0)</f>
        <v>0</v>
      </c>
      <c r="AD190" s="165">
        <f>IFERROR(__xludf.DUMMYFUNCTION("""COMPUTED_VALUE"""),0.0)</f>
        <v>0</v>
      </c>
      <c r="AE190" s="39" t="str">
        <f>IFERROR(__xludf.DUMMYFUNCTION("""COMPUTED_VALUE"""),"Hiroshi Yamakawa")</f>
        <v>Hiroshi Yamakawa</v>
      </c>
      <c r="AF190" s="39" t="str">
        <f>IFERROR(__xludf.DUMMYFUNCTION("""COMPUTED_VALUE"""),"HY22DAA")</f>
        <v>HY22DAA</v>
      </c>
      <c r="AG190" s="39"/>
      <c r="AH190" s="39"/>
      <c r="AI190" s="165"/>
      <c r="AJ190" s="165"/>
      <c r="AK190" s="111"/>
      <c r="AL190" s="111"/>
      <c r="AM190" s="111"/>
      <c r="AN190" s="111"/>
      <c r="AO190" s="111"/>
      <c r="AP190" s="111"/>
      <c r="AQ190" s="116"/>
      <c r="AR190" s="116"/>
      <c r="AS190" s="116"/>
    </row>
    <row r="191">
      <c r="A191" s="42" t="str">
        <f>IFERROR(__xludf.DUMMYFUNCTION("""COMPUTED_VALUE"""),"AuRM")</f>
        <v>AuRM</v>
      </c>
      <c r="B191" s="42"/>
      <c r="C191" s="42"/>
      <c r="D191" s="42" t="str">
        <f>IFERROR(__xludf.DUMMYFUNCTION("""COMPUTED_VALUE"""),"STC")</f>
        <v>STC</v>
      </c>
      <c r="E191" s="42"/>
      <c r="F191" s="42"/>
      <c r="G191" s="42"/>
      <c r="H191" s="42" t="str">
        <f>IFERROR(__xludf.DUMMYFUNCTION("""COMPUTED_VALUE"""),"")</f>
        <v/>
      </c>
      <c r="I191" s="42" t="str">
        <f>IFERROR(__xludf.DUMMYFUNCTION("""COMPUTED_VALUE"""),"Romanski, 2009")</f>
        <v>Romanski, 2009</v>
      </c>
      <c r="J191" s="42"/>
      <c r="K191" s="42"/>
      <c r="L191" s="42"/>
      <c r="M191" s="42"/>
      <c r="N191" s="42"/>
      <c r="O191" s="31" t="str">
        <f>IFERROR(__xludf.DUMMYFUNCTION("""COMPUTED_VALUE"""),"DOC")</f>
        <v>DOC</v>
      </c>
      <c r="P191" s="9" t="str">
        <f>IFERROR(__xludf.DUMMYFUNCTION("""COMPUTED_VALUE"""),"Annual Review of Neuroscience")</f>
        <v>Annual Review of Neuroscience</v>
      </c>
      <c r="Q191" s="9"/>
      <c r="R191" s="179" t="str">
        <f>IFERROR(__xludf.DUMMYFUNCTION("""COMPUTED_VALUE"""),"STC (00/00) [Romanski, 2009];
")</f>
        <v>STC (00/00) [Romanski, 2009];
</v>
      </c>
      <c r="S191" s="179" t="str">
        <f>IFERROR(__xludf.DUMMYFUNCTION("""COMPUTED_VALUE"""),"AuRMSTC")</f>
        <v>AuRMSTC</v>
      </c>
      <c r="T191" s="179" t="str">
        <f>IFERROR(__xludf.DUMMYFUNCTION("""COMPUTED_VALUE"""),"[Romanski, 2009]")</f>
        <v>[Romanski, 2009]</v>
      </c>
      <c r="U191" s="179">
        <f>IFERROR(__xludf.DUMMYFUNCTION("""COMPUTED_VALUE"""),0.0)</f>
        <v>0</v>
      </c>
      <c r="V191" s="180">
        <f>IFERROR(__xludf.DUMMYFUNCTION("""COMPUTED_VALUE"""),0.0)</f>
        <v>0</v>
      </c>
      <c r="W191" s="180">
        <f>IFERROR(__xludf.DUMMYFUNCTION("""COMPUTED_VALUE"""),0.95)</f>
        <v>0.95</v>
      </c>
      <c r="X191" s="42">
        <f>IFERROR(__xludf.DUMMYFUNCTION("""COMPUTED_VALUE"""),0.0)</f>
        <v>0</v>
      </c>
      <c r="Y191" s="42">
        <f>IFERROR(__xludf.DUMMYFUNCTION("""COMPUTED_VALUE"""),0.0)</f>
        <v>0</v>
      </c>
      <c r="Z191" s="9">
        <f>IFERROR(__xludf.DUMMYFUNCTION("""COMPUTED_VALUE"""),0.0)</f>
        <v>0</v>
      </c>
      <c r="AA191" s="181">
        <f>IFERROR(__xludf.DUMMYFUNCTION("""COMPUTED_VALUE"""),0.0)</f>
        <v>0</v>
      </c>
      <c r="AB191" s="181">
        <f>IFERROR(__xludf.DUMMYFUNCTION("""COMPUTED_VALUE"""),0.0)</f>
        <v>0</v>
      </c>
      <c r="AC191" s="179">
        <f>IFERROR(__xludf.DUMMYFUNCTION("""COMPUTED_VALUE"""),0.0)</f>
        <v>0</v>
      </c>
      <c r="AD191" s="165">
        <f>IFERROR(__xludf.DUMMYFUNCTION("""COMPUTED_VALUE"""),0.0)</f>
        <v>0</v>
      </c>
      <c r="AE191" s="39" t="str">
        <f>IFERROR(__xludf.DUMMYFUNCTION("""COMPUTED_VALUE"""),"Hiroshi Yamakawa")</f>
        <v>Hiroshi Yamakawa</v>
      </c>
      <c r="AF191" s="39" t="str">
        <f>IFERROR(__xludf.DUMMYFUNCTION("""COMPUTED_VALUE"""),"HY22DAA")</f>
        <v>HY22DAA</v>
      </c>
      <c r="AG191" s="39"/>
      <c r="AH191" s="39"/>
      <c r="AI191" s="165"/>
      <c r="AJ191" s="165"/>
      <c r="AK191" s="111"/>
      <c r="AL191" s="111"/>
      <c r="AM191" s="111"/>
      <c r="AN191" s="111"/>
      <c r="AO191" s="111"/>
      <c r="AP191" s="111"/>
      <c r="AQ191" s="116"/>
      <c r="AR191" s="116"/>
      <c r="AS191" s="116"/>
    </row>
    <row r="192">
      <c r="A192" s="42" t="str">
        <f>IFERROR(__xludf.DUMMYFUNCTION("""COMPUTED_VALUE"""),"AuRTL")</f>
        <v>AuRTL</v>
      </c>
      <c r="B192" s="42"/>
      <c r="C192" s="42"/>
      <c r="D192" s="42" t="str">
        <f>IFERROR(__xludf.DUMMYFUNCTION("""COMPUTED_VALUE"""),"A1Cr")</f>
        <v>A1Cr</v>
      </c>
      <c r="E192" s="42"/>
      <c r="F192" s="42"/>
      <c r="G192" s="42"/>
      <c r="H192" s="42" t="str">
        <f>IFERROR(__xludf.DUMMYFUNCTION("""COMPUTED_VALUE"""),"")</f>
        <v/>
      </c>
      <c r="I192" s="42" t="str">
        <f>IFERROR(__xludf.DUMMYFUNCTION("""COMPUTED_VALUE"""),"Romanski, 2009")</f>
        <v>Romanski, 2009</v>
      </c>
      <c r="J192" s="42"/>
      <c r="K192" s="42"/>
      <c r="L192" s="42"/>
      <c r="M192" s="42"/>
      <c r="N192" s="42"/>
      <c r="O192" s="31" t="str">
        <f>IFERROR(__xludf.DUMMYFUNCTION("""COMPUTED_VALUE"""),"DOC")</f>
        <v>DOC</v>
      </c>
      <c r="P192" s="9" t="str">
        <f>IFERROR(__xludf.DUMMYFUNCTION("""COMPUTED_VALUE"""),"Annual Review of Neuroscience")</f>
        <v>Annual Review of Neuroscience</v>
      </c>
      <c r="Q192" s="9"/>
      <c r="R192" s="179" t="str">
        <f>IFERROR(__xludf.DUMMYFUNCTION("""COMPUTED_VALUE"""),"A1Cr (00/00) [Romanski, 2009];
")</f>
        <v>A1Cr (00/00) [Romanski, 2009];
</v>
      </c>
      <c r="S192" s="179" t="str">
        <f>IFERROR(__xludf.DUMMYFUNCTION("""COMPUTED_VALUE"""),"AuRTLA1Cr")</f>
        <v>AuRTLA1Cr</v>
      </c>
      <c r="T192" s="179" t="str">
        <f>IFERROR(__xludf.DUMMYFUNCTION("""COMPUTED_VALUE"""),"[Romanski, 2009]")</f>
        <v>[Romanski, 2009]</v>
      </c>
      <c r="U192" s="179">
        <f>IFERROR(__xludf.DUMMYFUNCTION("""COMPUTED_VALUE"""),0.0)</f>
        <v>0</v>
      </c>
      <c r="V192" s="180">
        <f>IFERROR(__xludf.DUMMYFUNCTION("""COMPUTED_VALUE"""),0.0)</f>
        <v>0</v>
      </c>
      <c r="W192" s="180">
        <f>IFERROR(__xludf.DUMMYFUNCTION("""COMPUTED_VALUE"""),0.95)</f>
        <v>0.95</v>
      </c>
      <c r="X192" s="42">
        <f>IFERROR(__xludf.DUMMYFUNCTION("""COMPUTED_VALUE"""),0.0)</f>
        <v>0</v>
      </c>
      <c r="Y192" s="42">
        <f>IFERROR(__xludf.DUMMYFUNCTION("""COMPUTED_VALUE"""),0.0)</f>
        <v>0</v>
      </c>
      <c r="Z192" s="9">
        <f>IFERROR(__xludf.DUMMYFUNCTION("""COMPUTED_VALUE"""),0.0)</f>
        <v>0</v>
      </c>
      <c r="AA192" s="181">
        <f>IFERROR(__xludf.DUMMYFUNCTION("""COMPUTED_VALUE"""),0.0)</f>
        <v>0</v>
      </c>
      <c r="AB192" s="181">
        <f>IFERROR(__xludf.DUMMYFUNCTION("""COMPUTED_VALUE"""),0.0)</f>
        <v>0</v>
      </c>
      <c r="AC192" s="179">
        <f>IFERROR(__xludf.DUMMYFUNCTION("""COMPUTED_VALUE"""),0.0)</f>
        <v>0</v>
      </c>
      <c r="AD192" s="165">
        <f>IFERROR(__xludf.DUMMYFUNCTION("""COMPUTED_VALUE"""),0.0)</f>
        <v>0</v>
      </c>
      <c r="AE192" s="39" t="str">
        <f>IFERROR(__xludf.DUMMYFUNCTION("""COMPUTED_VALUE"""),"Hiroshi Yamakawa")</f>
        <v>Hiroshi Yamakawa</v>
      </c>
      <c r="AF192" s="39" t="str">
        <f>IFERROR(__xludf.DUMMYFUNCTION("""COMPUTED_VALUE"""),"HY22DAA")</f>
        <v>HY22DAA</v>
      </c>
      <c r="AG192" s="39"/>
      <c r="AH192" s="39"/>
      <c r="AI192" s="165"/>
      <c r="AJ192" s="165"/>
      <c r="AK192" s="111"/>
      <c r="AL192" s="111"/>
      <c r="AM192" s="111"/>
      <c r="AN192" s="111"/>
      <c r="AO192" s="111"/>
      <c r="AP192" s="111"/>
      <c r="AQ192" s="116"/>
      <c r="AR192" s="116"/>
      <c r="AS192" s="116"/>
    </row>
    <row r="193">
      <c r="A193" s="42" t="str">
        <f>IFERROR(__xludf.DUMMYFUNCTION("""COMPUTED_VALUE"""),"AuRTL")</f>
        <v>AuRTL</v>
      </c>
      <c r="B193" s="42"/>
      <c r="C193" s="42"/>
      <c r="D193" s="42" t="str">
        <f>IFERROR(__xludf.DUMMYFUNCTION("""COMPUTED_VALUE"""),"AuAL")</f>
        <v>AuAL</v>
      </c>
      <c r="E193" s="42"/>
      <c r="F193" s="42"/>
      <c r="G193" s="42"/>
      <c r="H193" s="42" t="str">
        <f>IFERROR(__xludf.DUMMYFUNCTION("""COMPUTED_VALUE"""),"")</f>
        <v/>
      </c>
      <c r="I193" s="42" t="str">
        <f>IFERROR(__xludf.DUMMYFUNCTION("""COMPUTED_VALUE"""),"Romanski, 2009")</f>
        <v>Romanski, 2009</v>
      </c>
      <c r="J193" s="42"/>
      <c r="K193" s="42"/>
      <c r="L193" s="42"/>
      <c r="M193" s="42"/>
      <c r="N193" s="42"/>
      <c r="O193" s="31" t="str">
        <f>IFERROR(__xludf.DUMMYFUNCTION("""COMPUTED_VALUE"""),"DOC")</f>
        <v>DOC</v>
      </c>
      <c r="P193" s="9" t="str">
        <f>IFERROR(__xludf.DUMMYFUNCTION("""COMPUTED_VALUE"""),"Annual Review of Neuroscience")</f>
        <v>Annual Review of Neuroscience</v>
      </c>
      <c r="Q193" s="9"/>
      <c r="R193" s="179" t="str">
        <f>IFERROR(__xludf.DUMMYFUNCTION("""COMPUTED_VALUE"""),"AuAL (00/00) [Romanski, 2009];
")</f>
        <v>AuAL (00/00) [Romanski, 2009];
</v>
      </c>
      <c r="S193" s="179" t="str">
        <f>IFERROR(__xludf.DUMMYFUNCTION("""COMPUTED_VALUE"""),"AuRTLAuAL")</f>
        <v>AuRTLAuAL</v>
      </c>
      <c r="T193" s="179" t="str">
        <f>IFERROR(__xludf.DUMMYFUNCTION("""COMPUTED_VALUE"""),"[Romanski, 2009]")</f>
        <v>[Romanski, 2009]</v>
      </c>
      <c r="U193" s="179">
        <f>IFERROR(__xludf.DUMMYFUNCTION("""COMPUTED_VALUE"""),0.0)</f>
        <v>0</v>
      </c>
      <c r="V193" s="180">
        <f>IFERROR(__xludf.DUMMYFUNCTION("""COMPUTED_VALUE"""),0.0)</f>
        <v>0</v>
      </c>
      <c r="W193" s="180">
        <f>IFERROR(__xludf.DUMMYFUNCTION("""COMPUTED_VALUE"""),0.95)</f>
        <v>0.95</v>
      </c>
      <c r="X193" s="42">
        <f>IFERROR(__xludf.DUMMYFUNCTION("""COMPUTED_VALUE"""),0.0)</f>
        <v>0</v>
      </c>
      <c r="Y193" s="42">
        <f>IFERROR(__xludf.DUMMYFUNCTION("""COMPUTED_VALUE"""),0.0)</f>
        <v>0</v>
      </c>
      <c r="Z193" s="9">
        <f>IFERROR(__xludf.DUMMYFUNCTION("""COMPUTED_VALUE"""),0.0)</f>
        <v>0</v>
      </c>
      <c r="AA193" s="181">
        <f>IFERROR(__xludf.DUMMYFUNCTION("""COMPUTED_VALUE"""),0.0)</f>
        <v>0</v>
      </c>
      <c r="AB193" s="181">
        <f>IFERROR(__xludf.DUMMYFUNCTION("""COMPUTED_VALUE"""),0.0)</f>
        <v>0</v>
      </c>
      <c r="AC193" s="179">
        <f>IFERROR(__xludf.DUMMYFUNCTION("""COMPUTED_VALUE"""),0.0)</f>
        <v>0</v>
      </c>
      <c r="AD193" s="165">
        <f>IFERROR(__xludf.DUMMYFUNCTION("""COMPUTED_VALUE"""),0.0)</f>
        <v>0</v>
      </c>
      <c r="AE193" s="39" t="str">
        <f>IFERROR(__xludf.DUMMYFUNCTION("""COMPUTED_VALUE"""),"Hiroshi Yamakawa")</f>
        <v>Hiroshi Yamakawa</v>
      </c>
      <c r="AF193" s="39" t="str">
        <f>IFERROR(__xludf.DUMMYFUNCTION("""COMPUTED_VALUE"""),"HY22DAA")</f>
        <v>HY22DAA</v>
      </c>
      <c r="AG193" s="39"/>
      <c r="AH193" s="39"/>
      <c r="AI193" s="165"/>
      <c r="AJ193" s="165"/>
      <c r="AK193" s="111"/>
      <c r="AL193" s="111"/>
      <c r="AM193" s="111"/>
      <c r="AN193" s="111"/>
      <c r="AO193" s="111"/>
      <c r="AP193" s="111"/>
      <c r="AQ193" s="116"/>
      <c r="AR193" s="116"/>
      <c r="AS193" s="116"/>
    </row>
    <row r="194">
      <c r="A194" s="42" t="str">
        <f>IFERROR(__xludf.DUMMYFUNCTION("""COMPUTED_VALUE"""),"AuRTL")</f>
        <v>AuRTL</v>
      </c>
      <c r="B194" s="42"/>
      <c r="C194" s="42"/>
      <c r="D194" s="42" t="str">
        <f>IFERROR(__xludf.DUMMYFUNCTION("""COMPUTED_VALUE"""),"AuR")</f>
        <v>AuR</v>
      </c>
      <c r="E194" s="42"/>
      <c r="F194" s="42"/>
      <c r="G194" s="42"/>
      <c r="H194" s="42" t="str">
        <f>IFERROR(__xludf.DUMMYFUNCTION("""COMPUTED_VALUE"""),"")</f>
        <v/>
      </c>
      <c r="I194" s="42" t="str">
        <f>IFERROR(__xludf.DUMMYFUNCTION("""COMPUTED_VALUE"""),"Romanski, 2009")</f>
        <v>Romanski, 2009</v>
      </c>
      <c r="J194" s="42"/>
      <c r="K194" s="42"/>
      <c r="L194" s="42"/>
      <c r="M194" s="42"/>
      <c r="N194" s="42"/>
      <c r="O194" s="31" t="str">
        <f>IFERROR(__xludf.DUMMYFUNCTION("""COMPUTED_VALUE"""),"DOC")</f>
        <v>DOC</v>
      </c>
      <c r="P194" s="9" t="str">
        <f>IFERROR(__xludf.DUMMYFUNCTION("""COMPUTED_VALUE"""),"Annual Review of Neuroscience")</f>
        <v>Annual Review of Neuroscience</v>
      </c>
      <c r="Q194" s="9"/>
      <c r="R194" s="179" t="str">
        <f>IFERROR(__xludf.DUMMYFUNCTION("""COMPUTED_VALUE"""),"AuR (00/00) [Romanski, 2009];
")</f>
        <v>AuR (00/00) [Romanski, 2009];
</v>
      </c>
      <c r="S194" s="179" t="str">
        <f>IFERROR(__xludf.DUMMYFUNCTION("""COMPUTED_VALUE"""),"AuRTLAuR")</f>
        <v>AuRTLAuR</v>
      </c>
      <c r="T194" s="179" t="str">
        <f>IFERROR(__xludf.DUMMYFUNCTION("""COMPUTED_VALUE"""),"[Romanski, 2009]")</f>
        <v>[Romanski, 2009]</v>
      </c>
      <c r="U194" s="179">
        <f>IFERROR(__xludf.DUMMYFUNCTION("""COMPUTED_VALUE"""),0.0)</f>
        <v>0</v>
      </c>
      <c r="V194" s="180">
        <f>IFERROR(__xludf.DUMMYFUNCTION("""COMPUTED_VALUE"""),0.0)</f>
        <v>0</v>
      </c>
      <c r="W194" s="180">
        <f>IFERROR(__xludf.DUMMYFUNCTION("""COMPUTED_VALUE"""),0.95)</f>
        <v>0.95</v>
      </c>
      <c r="X194" s="42">
        <f>IFERROR(__xludf.DUMMYFUNCTION("""COMPUTED_VALUE"""),0.0)</f>
        <v>0</v>
      </c>
      <c r="Y194" s="42">
        <f>IFERROR(__xludf.DUMMYFUNCTION("""COMPUTED_VALUE"""),0.0)</f>
        <v>0</v>
      </c>
      <c r="Z194" s="9">
        <f>IFERROR(__xludf.DUMMYFUNCTION("""COMPUTED_VALUE"""),0.0)</f>
        <v>0</v>
      </c>
      <c r="AA194" s="181">
        <f>IFERROR(__xludf.DUMMYFUNCTION("""COMPUTED_VALUE"""),0.0)</f>
        <v>0</v>
      </c>
      <c r="AB194" s="181">
        <f>IFERROR(__xludf.DUMMYFUNCTION("""COMPUTED_VALUE"""),0.0)</f>
        <v>0</v>
      </c>
      <c r="AC194" s="179">
        <f>IFERROR(__xludf.DUMMYFUNCTION("""COMPUTED_VALUE"""),0.0)</f>
        <v>0</v>
      </c>
      <c r="AD194" s="165">
        <f>IFERROR(__xludf.DUMMYFUNCTION("""COMPUTED_VALUE"""),0.0)</f>
        <v>0</v>
      </c>
      <c r="AE194" s="39" t="str">
        <f>IFERROR(__xludf.DUMMYFUNCTION("""COMPUTED_VALUE"""),"Hiroshi Yamakawa")</f>
        <v>Hiroshi Yamakawa</v>
      </c>
      <c r="AF194" s="39" t="str">
        <f>IFERROR(__xludf.DUMMYFUNCTION("""COMPUTED_VALUE"""),"HY22DAA")</f>
        <v>HY22DAA</v>
      </c>
      <c r="AG194" s="39"/>
      <c r="AH194" s="39"/>
      <c r="AI194" s="165"/>
      <c r="AJ194" s="165"/>
      <c r="AK194" s="111"/>
      <c r="AL194" s="111"/>
      <c r="AM194" s="111"/>
      <c r="AN194" s="111"/>
      <c r="AO194" s="111"/>
      <c r="AP194" s="111"/>
      <c r="AQ194" s="116"/>
      <c r="AR194" s="116"/>
      <c r="AS194" s="116"/>
    </row>
    <row r="195">
      <c r="A195" s="42" t="str">
        <f>IFERROR(__xludf.DUMMYFUNCTION("""COMPUTED_VALUE"""),"AuRTL")</f>
        <v>AuRTL</v>
      </c>
      <c r="B195" s="42"/>
      <c r="C195" s="42"/>
      <c r="D195" s="42" t="str">
        <f>IFERROR(__xludf.DUMMYFUNCTION("""COMPUTED_VALUE"""),"ISTC")</f>
        <v>ISTC</v>
      </c>
      <c r="E195" s="42"/>
      <c r="F195" s="42"/>
      <c r="G195" s="42"/>
      <c r="H195" s="42" t="str">
        <f>IFERROR(__xludf.DUMMYFUNCTION("""COMPUTED_VALUE"""),"")</f>
        <v/>
      </c>
      <c r="I195" s="42" t="str">
        <f>IFERROR(__xludf.DUMMYFUNCTION("""COMPUTED_VALUE"""),"Romanski, 2009")</f>
        <v>Romanski, 2009</v>
      </c>
      <c r="J195" s="42"/>
      <c r="K195" s="42"/>
      <c r="L195" s="42"/>
      <c r="M195" s="42"/>
      <c r="N195" s="42"/>
      <c r="O195" s="31" t="str">
        <f>IFERROR(__xludf.DUMMYFUNCTION("""COMPUTED_VALUE"""),"DOC")</f>
        <v>DOC</v>
      </c>
      <c r="P195" s="9" t="str">
        <f>IFERROR(__xludf.DUMMYFUNCTION("""COMPUTED_VALUE"""),"Annual Review of Neuroscience")</f>
        <v>Annual Review of Neuroscience</v>
      </c>
      <c r="Q195" s="9"/>
      <c r="R195" s="179" t="str">
        <f>IFERROR(__xludf.DUMMYFUNCTION("""COMPUTED_VALUE"""),"ISTC (00/00) [Romanski, 2009];
")</f>
        <v>ISTC (00/00) [Romanski, 2009];
</v>
      </c>
      <c r="S195" s="179" t="str">
        <f>IFERROR(__xludf.DUMMYFUNCTION("""COMPUTED_VALUE"""),"AuRTLISTC")</f>
        <v>AuRTLISTC</v>
      </c>
      <c r="T195" s="179" t="str">
        <f>IFERROR(__xludf.DUMMYFUNCTION("""COMPUTED_VALUE"""),"[Romanski, 2009]")</f>
        <v>[Romanski, 2009]</v>
      </c>
      <c r="U195" s="179">
        <f>IFERROR(__xludf.DUMMYFUNCTION("""COMPUTED_VALUE"""),0.0)</f>
        <v>0</v>
      </c>
      <c r="V195" s="180">
        <f>IFERROR(__xludf.DUMMYFUNCTION("""COMPUTED_VALUE"""),0.0)</f>
        <v>0</v>
      </c>
      <c r="W195" s="180">
        <f>IFERROR(__xludf.DUMMYFUNCTION("""COMPUTED_VALUE"""),0.95)</f>
        <v>0.95</v>
      </c>
      <c r="X195" s="42">
        <f>IFERROR(__xludf.DUMMYFUNCTION("""COMPUTED_VALUE"""),0.0)</f>
        <v>0</v>
      </c>
      <c r="Y195" s="42">
        <f>IFERROR(__xludf.DUMMYFUNCTION("""COMPUTED_VALUE"""),0.0)</f>
        <v>0</v>
      </c>
      <c r="Z195" s="9">
        <f>IFERROR(__xludf.DUMMYFUNCTION("""COMPUTED_VALUE"""),0.0)</f>
        <v>0</v>
      </c>
      <c r="AA195" s="181">
        <f>IFERROR(__xludf.DUMMYFUNCTION("""COMPUTED_VALUE"""),0.0)</f>
        <v>0</v>
      </c>
      <c r="AB195" s="181">
        <f>IFERROR(__xludf.DUMMYFUNCTION("""COMPUTED_VALUE"""),0.0)</f>
        <v>0</v>
      </c>
      <c r="AC195" s="179">
        <f>IFERROR(__xludf.DUMMYFUNCTION("""COMPUTED_VALUE"""),0.0)</f>
        <v>0</v>
      </c>
      <c r="AD195" s="165">
        <f>IFERROR(__xludf.DUMMYFUNCTION("""COMPUTED_VALUE"""),0.0)</f>
        <v>0</v>
      </c>
      <c r="AE195" s="39" t="str">
        <f>IFERROR(__xludf.DUMMYFUNCTION("""COMPUTED_VALUE"""),"Hiroshi Yamakawa")</f>
        <v>Hiroshi Yamakawa</v>
      </c>
      <c r="AF195" s="39" t="str">
        <f>IFERROR(__xludf.DUMMYFUNCTION("""COMPUTED_VALUE"""),"HY22DAA")</f>
        <v>HY22DAA</v>
      </c>
      <c r="AG195" s="39"/>
      <c r="AH195" s="39"/>
      <c r="AI195" s="165"/>
      <c r="AJ195" s="165"/>
      <c r="AK195" s="111"/>
      <c r="AL195" s="111"/>
      <c r="AM195" s="111"/>
      <c r="AN195" s="111"/>
      <c r="AO195" s="111"/>
      <c r="AP195" s="111"/>
      <c r="AQ195" s="116"/>
      <c r="AR195" s="116"/>
      <c r="AS195" s="116"/>
    </row>
    <row r="196">
      <c r="A196" s="42" t="str">
        <f>IFERROR(__xludf.DUMMYFUNCTION("""COMPUTED_VALUE"""),"AuRTM")</f>
        <v>AuRTM</v>
      </c>
      <c r="B196" s="42"/>
      <c r="C196" s="42"/>
      <c r="D196" s="42" t="str">
        <f>IFERROR(__xludf.DUMMYFUNCTION("""COMPUTED_VALUE"""),"A1Cr")</f>
        <v>A1Cr</v>
      </c>
      <c r="E196" s="42"/>
      <c r="F196" s="42"/>
      <c r="G196" s="42"/>
      <c r="H196" s="42" t="str">
        <f>IFERROR(__xludf.DUMMYFUNCTION("""COMPUTED_VALUE"""),"")</f>
        <v/>
      </c>
      <c r="I196" s="42" t="str">
        <f>IFERROR(__xludf.DUMMYFUNCTION("""COMPUTED_VALUE"""),"Romanski, 2009")</f>
        <v>Romanski, 2009</v>
      </c>
      <c r="J196" s="42"/>
      <c r="K196" s="42"/>
      <c r="L196" s="42"/>
      <c r="M196" s="42"/>
      <c r="N196" s="42"/>
      <c r="O196" s="31" t="str">
        <f>IFERROR(__xludf.DUMMYFUNCTION("""COMPUTED_VALUE"""),"DOC")</f>
        <v>DOC</v>
      </c>
      <c r="P196" s="9" t="str">
        <f>IFERROR(__xludf.DUMMYFUNCTION("""COMPUTED_VALUE"""),"Annual Review of Neuroscience")</f>
        <v>Annual Review of Neuroscience</v>
      </c>
      <c r="Q196" s="9"/>
      <c r="R196" s="179" t="str">
        <f>IFERROR(__xludf.DUMMYFUNCTION("""COMPUTED_VALUE"""),"A1Cr (00/00) [Romanski, 2009];
")</f>
        <v>A1Cr (00/00) [Romanski, 2009];
</v>
      </c>
      <c r="S196" s="179" t="str">
        <f>IFERROR(__xludf.DUMMYFUNCTION("""COMPUTED_VALUE"""),"AuRTMA1Cr")</f>
        <v>AuRTMA1Cr</v>
      </c>
      <c r="T196" s="179" t="str">
        <f>IFERROR(__xludf.DUMMYFUNCTION("""COMPUTED_VALUE"""),"[Romanski, 2009]")</f>
        <v>[Romanski, 2009]</v>
      </c>
      <c r="U196" s="179">
        <f>IFERROR(__xludf.DUMMYFUNCTION("""COMPUTED_VALUE"""),0.0)</f>
        <v>0</v>
      </c>
      <c r="V196" s="180">
        <f>IFERROR(__xludf.DUMMYFUNCTION("""COMPUTED_VALUE"""),0.0)</f>
        <v>0</v>
      </c>
      <c r="W196" s="180">
        <f>IFERROR(__xludf.DUMMYFUNCTION("""COMPUTED_VALUE"""),0.95)</f>
        <v>0.95</v>
      </c>
      <c r="X196" s="42">
        <f>IFERROR(__xludf.DUMMYFUNCTION("""COMPUTED_VALUE"""),0.0)</f>
        <v>0</v>
      </c>
      <c r="Y196" s="42">
        <f>IFERROR(__xludf.DUMMYFUNCTION("""COMPUTED_VALUE"""),0.0)</f>
        <v>0</v>
      </c>
      <c r="Z196" s="9">
        <f>IFERROR(__xludf.DUMMYFUNCTION("""COMPUTED_VALUE"""),0.0)</f>
        <v>0</v>
      </c>
      <c r="AA196" s="181">
        <f>IFERROR(__xludf.DUMMYFUNCTION("""COMPUTED_VALUE"""),0.0)</f>
        <v>0</v>
      </c>
      <c r="AB196" s="181">
        <f>IFERROR(__xludf.DUMMYFUNCTION("""COMPUTED_VALUE"""),0.0)</f>
        <v>0</v>
      </c>
      <c r="AC196" s="179">
        <f>IFERROR(__xludf.DUMMYFUNCTION("""COMPUTED_VALUE"""),0.0)</f>
        <v>0</v>
      </c>
      <c r="AD196" s="165">
        <f>IFERROR(__xludf.DUMMYFUNCTION("""COMPUTED_VALUE"""),0.0)</f>
        <v>0</v>
      </c>
      <c r="AE196" s="39" t="str">
        <f>IFERROR(__xludf.DUMMYFUNCTION("""COMPUTED_VALUE"""),"Hiroshi Yamakawa")</f>
        <v>Hiroshi Yamakawa</v>
      </c>
      <c r="AF196" s="39" t="str">
        <f>IFERROR(__xludf.DUMMYFUNCTION("""COMPUTED_VALUE"""),"HY22DAA")</f>
        <v>HY22DAA</v>
      </c>
      <c r="AG196" s="39"/>
      <c r="AH196" s="39"/>
      <c r="AI196" s="165"/>
      <c r="AJ196" s="165"/>
      <c r="AK196" s="111"/>
      <c r="AL196" s="111"/>
      <c r="AM196" s="111"/>
      <c r="AN196" s="111"/>
      <c r="AO196" s="111"/>
      <c r="AP196" s="111"/>
      <c r="AQ196" s="116"/>
      <c r="AR196" s="116"/>
      <c r="AS196" s="116"/>
    </row>
    <row r="197">
      <c r="A197" s="42" t="str">
        <f>IFERROR(__xludf.DUMMYFUNCTION("""COMPUTED_VALUE"""),"AuRTM")</f>
        <v>AuRTM</v>
      </c>
      <c r="B197" s="42"/>
      <c r="C197" s="42"/>
      <c r="D197" s="42" t="str">
        <f>IFERROR(__xludf.DUMMYFUNCTION("""COMPUTED_VALUE"""),"AuR")</f>
        <v>AuR</v>
      </c>
      <c r="E197" s="42"/>
      <c r="F197" s="42"/>
      <c r="G197" s="42"/>
      <c r="H197" s="42" t="str">
        <f>IFERROR(__xludf.DUMMYFUNCTION("""COMPUTED_VALUE"""),"")</f>
        <v/>
      </c>
      <c r="I197" s="42" t="str">
        <f>IFERROR(__xludf.DUMMYFUNCTION("""COMPUTED_VALUE"""),"Romanski, 2009")</f>
        <v>Romanski, 2009</v>
      </c>
      <c r="J197" s="42"/>
      <c r="K197" s="42"/>
      <c r="L197" s="42"/>
      <c r="M197" s="42"/>
      <c r="N197" s="42"/>
      <c r="O197" s="31" t="str">
        <f>IFERROR(__xludf.DUMMYFUNCTION("""COMPUTED_VALUE"""),"DOC")</f>
        <v>DOC</v>
      </c>
      <c r="P197" s="9" t="str">
        <f>IFERROR(__xludf.DUMMYFUNCTION("""COMPUTED_VALUE"""),"Annual Review of Neuroscience")</f>
        <v>Annual Review of Neuroscience</v>
      </c>
      <c r="Q197" s="9"/>
      <c r="R197" s="179" t="str">
        <f>IFERROR(__xludf.DUMMYFUNCTION("""COMPUTED_VALUE"""),"AuR (00/00) [Romanski, 2009];
")</f>
        <v>AuR (00/00) [Romanski, 2009];
</v>
      </c>
      <c r="S197" s="179" t="str">
        <f>IFERROR(__xludf.DUMMYFUNCTION("""COMPUTED_VALUE"""),"AuRTMAuR")</f>
        <v>AuRTMAuR</v>
      </c>
      <c r="T197" s="179" t="str">
        <f>IFERROR(__xludf.DUMMYFUNCTION("""COMPUTED_VALUE"""),"[Romanski, 2009]")</f>
        <v>[Romanski, 2009]</v>
      </c>
      <c r="U197" s="179">
        <f>IFERROR(__xludf.DUMMYFUNCTION("""COMPUTED_VALUE"""),0.0)</f>
        <v>0</v>
      </c>
      <c r="V197" s="180">
        <f>IFERROR(__xludf.DUMMYFUNCTION("""COMPUTED_VALUE"""),0.0)</f>
        <v>0</v>
      </c>
      <c r="W197" s="180">
        <f>IFERROR(__xludf.DUMMYFUNCTION("""COMPUTED_VALUE"""),0.95)</f>
        <v>0.95</v>
      </c>
      <c r="X197" s="42">
        <f>IFERROR(__xludf.DUMMYFUNCTION("""COMPUTED_VALUE"""),0.0)</f>
        <v>0</v>
      </c>
      <c r="Y197" s="42">
        <f>IFERROR(__xludf.DUMMYFUNCTION("""COMPUTED_VALUE"""),0.0)</f>
        <v>0</v>
      </c>
      <c r="Z197" s="9">
        <f>IFERROR(__xludf.DUMMYFUNCTION("""COMPUTED_VALUE"""),0.0)</f>
        <v>0</v>
      </c>
      <c r="AA197" s="181">
        <f>IFERROR(__xludf.DUMMYFUNCTION("""COMPUTED_VALUE"""),0.0)</f>
        <v>0</v>
      </c>
      <c r="AB197" s="181">
        <f>IFERROR(__xludf.DUMMYFUNCTION("""COMPUTED_VALUE"""),0.0)</f>
        <v>0</v>
      </c>
      <c r="AC197" s="179">
        <f>IFERROR(__xludf.DUMMYFUNCTION("""COMPUTED_VALUE"""),0.0)</f>
        <v>0</v>
      </c>
      <c r="AD197" s="165">
        <f>IFERROR(__xludf.DUMMYFUNCTION("""COMPUTED_VALUE"""),0.0)</f>
        <v>0</v>
      </c>
      <c r="AE197" s="39" t="str">
        <f>IFERROR(__xludf.DUMMYFUNCTION("""COMPUTED_VALUE"""),"Hiroshi Yamakawa")</f>
        <v>Hiroshi Yamakawa</v>
      </c>
      <c r="AF197" s="39" t="str">
        <f>IFERROR(__xludf.DUMMYFUNCTION("""COMPUTED_VALUE"""),"HY22DAA")</f>
        <v>HY22DAA</v>
      </c>
      <c r="AG197" s="39"/>
      <c r="AH197" s="39"/>
      <c r="AI197" s="165"/>
      <c r="AJ197" s="165"/>
      <c r="AK197" s="111"/>
      <c r="AL197" s="111"/>
      <c r="AM197" s="111"/>
      <c r="AN197" s="111"/>
      <c r="AO197" s="111"/>
      <c r="AP197" s="111"/>
      <c r="AQ197" s="116"/>
      <c r="AR197" s="116"/>
      <c r="AS197" s="116"/>
    </row>
    <row r="198">
      <c r="A198" s="42" t="str">
        <f>IFERROR(__xludf.DUMMYFUNCTION("""COMPUTED_VALUE"""),"AuRTM")</f>
        <v>AuRTM</v>
      </c>
      <c r="B198" s="42"/>
      <c r="C198" s="42"/>
      <c r="D198" s="42" t="str">
        <f>IFERROR(__xludf.DUMMYFUNCTION("""COMPUTED_VALUE"""),"ISTC")</f>
        <v>ISTC</v>
      </c>
      <c r="E198" s="42"/>
      <c r="F198" s="42"/>
      <c r="G198" s="42"/>
      <c r="H198" s="42" t="str">
        <f>IFERROR(__xludf.DUMMYFUNCTION("""COMPUTED_VALUE"""),"")</f>
        <v/>
      </c>
      <c r="I198" s="42" t="str">
        <f>IFERROR(__xludf.DUMMYFUNCTION("""COMPUTED_VALUE"""),"Romanski, 2009")</f>
        <v>Romanski, 2009</v>
      </c>
      <c r="J198" s="42"/>
      <c r="K198" s="42"/>
      <c r="L198" s="42"/>
      <c r="M198" s="42"/>
      <c r="N198" s="42"/>
      <c r="O198" s="31" t="str">
        <f>IFERROR(__xludf.DUMMYFUNCTION("""COMPUTED_VALUE"""),"DOC")</f>
        <v>DOC</v>
      </c>
      <c r="P198" s="9" t="str">
        <f>IFERROR(__xludf.DUMMYFUNCTION("""COMPUTED_VALUE"""),"Annual Review of Neuroscience")</f>
        <v>Annual Review of Neuroscience</v>
      </c>
      <c r="Q198" s="9"/>
      <c r="R198" s="179" t="str">
        <f>IFERROR(__xludf.DUMMYFUNCTION("""COMPUTED_VALUE"""),"ISTC (00/00) [Romanski, 2009];
")</f>
        <v>ISTC (00/00) [Romanski, 2009];
</v>
      </c>
      <c r="S198" s="179" t="str">
        <f>IFERROR(__xludf.DUMMYFUNCTION("""COMPUTED_VALUE"""),"AuRTMISTC")</f>
        <v>AuRTMISTC</v>
      </c>
      <c r="T198" s="179" t="str">
        <f>IFERROR(__xludf.DUMMYFUNCTION("""COMPUTED_VALUE"""),"[Romanski, 2009]")</f>
        <v>[Romanski, 2009]</v>
      </c>
      <c r="U198" s="179">
        <f>IFERROR(__xludf.DUMMYFUNCTION("""COMPUTED_VALUE"""),0.0)</f>
        <v>0</v>
      </c>
      <c r="V198" s="180">
        <f>IFERROR(__xludf.DUMMYFUNCTION("""COMPUTED_VALUE"""),0.0)</f>
        <v>0</v>
      </c>
      <c r="W198" s="180">
        <f>IFERROR(__xludf.DUMMYFUNCTION("""COMPUTED_VALUE"""),0.95)</f>
        <v>0.95</v>
      </c>
      <c r="X198" s="42">
        <f>IFERROR(__xludf.DUMMYFUNCTION("""COMPUTED_VALUE"""),0.0)</f>
        <v>0</v>
      </c>
      <c r="Y198" s="42">
        <f>IFERROR(__xludf.DUMMYFUNCTION("""COMPUTED_VALUE"""),0.0)</f>
        <v>0</v>
      </c>
      <c r="Z198" s="9">
        <f>IFERROR(__xludf.DUMMYFUNCTION("""COMPUTED_VALUE"""),0.0)</f>
        <v>0</v>
      </c>
      <c r="AA198" s="181">
        <f>IFERROR(__xludf.DUMMYFUNCTION("""COMPUTED_VALUE"""),0.0)</f>
        <v>0</v>
      </c>
      <c r="AB198" s="181">
        <f>IFERROR(__xludf.DUMMYFUNCTION("""COMPUTED_VALUE"""),0.0)</f>
        <v>0</v>
      </c>
      <c r="AC198" s="179">
        <f>IFERROR(__xludf.DUMMYFUNCTION("""COMPUTED_VALUE"""),0.0)</f>
        <v>0</v>
      </c>
      <c r="AD198" s="165">
        <f>IFERROR(__xludf.DUMMYFUNCTION("""COMPUTED_VALUE"""),0.0)</f>
        <v>0</v>
      </c>
      <c r="AE198" s="39" t="str">
        <f>IFERROR(__xludf.DUMMYFUNCTION("""COMPUTED_VALUE"""),"Hiroshi Yamakawa")</f>
        <v>Hiroshi Yamakawa</v>
      </c>
      <c r="AF198" s="39" t="str">
        <f>IFERROR(__xludf.DUMMYFUNCTION("""COMPUTED_VALUE"""),"HY22DAA")</f>
        <v>HY22DAA</v>
      </c>
      <c r="AG198" s="39"/>
      <c r="AH198" s="39"/>
      <c r="AI198" s="165"/>
      <c r="AJ198" s="165"/>
      <c r="AK198" s="111"/>
      <c r="AL198" s="111"/>
      <c r="AM198" s="111"/>
      <c r="AN198" s="111"/>
      <c r="AO198" s="111"/>
      <c r="AP198" s="111"/>
      <c r="AQ198" s="116"/>
      <c r="AR198" s="116"/>
      <c r="AS198" s="116"/>
    </row>
    <row r="199">
      <c r="A199" s="42" t="str">
        <f>IFERROR(__xludf.DUMMYFUNCTION("""COMPUTED_VALUE"""),"BL")</f>
        <v>BL</v>
      </c>
      <c r="B199" s="42"/>
      <c r="C199" s="42"/>
      <c r="D199" s="42" t="str">
        <f>IFERROR(__xludf.DUMMYFUNCTION("""COMPUTED_VALUE"""),"AId")</f>
        <v>AId</v>
      </c>
      <c r="E199" s="42"/>
      <c r="F199" s="42"/>
      <c r="G199" s="42"/>
      <c r="H199" s="42" t="str">
        <f>IFERROR(__xludf.DUMMYFUNCTION("""COMPUTED_VALUE"""),"")</f>
        <v/>
      </c>
      <c r="I199" s="42" t="str">
        <f>IFERROR(__xludf.DUMMYFUNCTION("""COMPUTED_VALUE"""),"Pitkänen, 2000")</f>
        <v>Pitkänen, 2000</v>
      </c>
      <c r="J199" s="42" t="str">
        <f>IFERROR(__xludf.DUMMYFUNCTION("""COMPUTED_VALUE"""),"Rat")</f>
        <v>Rat</v>
      </c>
      <c r="K199" s="42" t="str">
        <f>IFERROR(__xludf.DUMMYFUNCTION("""COMPUTED_VALUE"""),"Various tracing")</f>
        <v>Various tracing</v>
      </c>
      <c r="L199" s="42"/>
      <c r="M199" s="42" t="str">
        <f>IFERROR(__xludf.DUMMYFUNCTION("""COMPUTED_VALUE"""),"fig.3-fig.12 (to be specified)")</f>
        <v>fig.3-fig.12 (to be specified)</v>
      </c>
      <c r="N199" s="42"/>
      <c r="O199" s="31" t="str">
        <f>IFERROR(__xludf.DUMMYFUNCTION("""COMPUTED_VALUE"""),"DOC(alt)")</f>
        <v>DOC(alt)</v>
      </c>
      <c r="P199" s="9" t="str">
        <f>IFERROR(__xludf.DUMMYFUNCTION("""COMPUTED_VALUE"""),"Folia morphologica")</f>
        <v>Folia morphologica</v>
      </c>
      <c r="Q199" s="9" t="str">
        <f>IFERROR(__xludf.DUMMYFUNCTION("""COMPUTED_VALUE"""),"Review")</f>
        <v>Review</v>
      </c>
      <c r="R199" s="179" t="str">
        <f>IFERROR(__xludf.DUMMYFUNCTION("""COMPUTED_VALUE"""),"AId (00/00) [Pitkänen, 2000];
")</f>
        <v>AId (00/00) [Pitkänen, 2000];
</v>
      </c>
      <c r="S199" s="179" t="str">
        <f>IFERROR(__xludf.DUMMYFUNCTION("""COMPUTED_VALUE"""),"BLAId")</f>
        <v>BLAId</v>
      </c>
      <c r="T199" s="179" t="str">
        <f>IFERROR(__xludf.DUMMYFUNCTION("""COMPUTED_VALUE"""),"[Pitkänen, 2000]")</f>
        <v>[Pitkänen, 2000]</v>
      </c>
      <c r="U199" s="179">
        <f>IFERROR(__xludf.DUMMYFUNCTION("""COMPUTED_VALUE"""),0.0)</f>
        <v>0</v>
      </c>
      <c r="V199" s="180">
        <f>IFERROR(__xludf.DUMMYFUNCTION("""COMPUTED_VALUE"""),0.0)</f>
        <v>0</v>
      </c>
      <c r="W199" s="180">
        <f>IFERROR(__xludf.DUMMYFUNCTION("""COMPUTED_VALUE"""),0.95)</f>
        <v>0.95</v>
      </c>
      <c r="X199" s="42">
        <f>IFERROR(__xludf.DUMMYFUNCTION("""COMPUTED_VALUE"""),0.8)</f>
        <v>0.8</v>
      </c>
      <c r="Y199" s="42">
        <f>IFERROR(__xludf.DUMMYFUNCTION("""COMPUTED_VALUE"""),0.6)</f>
        <v>0.6</v>
      </c>
      <c r="Z199" s="9">
        <f>IFERROR(__xludf.DUMMYFUNCTION("""COMPUTED_VALUE"""),0.9)</f>
        <v>0.9</v>
      </c>
      <c r="AA199" s="181">
        <f>IFERROR(__xludf.DUMMYFUNCTION("""COMPUTED_VALUE"""),0.0)</f>
        <v>0</v>
      </c>
      <c r="AB199" s="181">
        <f>IFERROR(__xludf.DUMMYFUNCTION("""COMPUTED_VALUE"""),0.0)</f>
        <v>0</v>
      </c>
      <c r="AC199" s="179">
        <f>IFERROR(__xludf.DUMMYFUNCTION("""COMPUTED_VALUE"""),0.0)</f>
        <v>0</v>
      </c>
      <c r="AD199" s="165">
        <f>IFERROR(__xludf.DUMMYFUNCTION("""COMPUTED_VALUE"""),0.0)</f>
        <v>0</v>
      </c>
      <c r="AE199" s="39" t="str">
        <f>IFERROR(__xludf.DUMMYFUNCTION("""COMPUTED_VALUE"""),"Tatsuya Miyamoto")</f>
        <v>Tatsuya Miyamoto</v>
      </c>
      <c r="AF199" s="39" t="str">
        <f>IFERROR(__xludf.DUMMYFUNCTION("""COMPUTED_VALUE"""),"TM21Amygdala")</f>
        <v>TM21Amygdala</v>
      </c>
      <c r="AG199" s="39"/>
      <c r="AH199" s="39"/>
      <c r="AI199" s="165"/>
      <c r="AJ199" s="165"/>
      <c r="AK199" s="111"/>
      <c r="AL199" s="111"/>
      <c r="AM199" s="111"/>
      <c r="AN199" s="111"/>
      <c r="AO199" s="111"/>
      <c r="AP199" s="111"/>
      <c r="AQ199" s="116"/>
      <c r="AR199" s="116"/>
      <c r="AS199" s="116"/>
    </row>
    <row r="200">
      <c r="A200" s="42" t="str">
        <f>IFERROR(__xludf.DUMMYFUNCTION("""COMPUTED_VALUE"""),"BL")</f>
        <v>BL</v>
      </c>
      <c r="B200" s="42"/>
      <c r="C200" s="42"/>
      <c r="D200" s="42" t="str">
        <f>IFERROR(__xludf.DUMMYFUNCTION("""COMPUTED_VALUE"""),"AIp")</f>
        <v>AIp</v>
      </c>
      <c r="E200" s="42"/>
      <c r="F200" s="42"/>
      <c r="G200" s="42"/>
      <c r="H200" s="42" t="str">
        <f>IFERROR(__xludf.DUMMYFUNCTION("""COMPUTED_VALUE"""),"")</f>
        <v/>
      </c>
      <c r="I200" s="42" t="str">
        <f>IFERROR(__xludf.DUMMYFUNCTION("""COMPUTED_VALUE"""),"Pitkänen, 2000")</f>
        <v>Pitkänen, 2000</v>
      </c>
      <c r="J200" s="42" t="str">
        <f>IFERROR(__xludf.DUMMYFUNCTION("""COMPUTED_VALUE"""),"Rat")</f>
        <v>Rat</v>
      </c>
      <c r="K200" s="42" t="str">
        <f>IFERROR(__xludf.DUMMYFUNCTION("""COMPUTED_VALUE"""),"Various tracing")</f>
        <v>Various tracing</v>
      </c>
      <c r="L200" s="42"/>
      <c r="M200" s="42" t="str">
        <f>IFERROR(__xludf.DUMMYFUNCTION("""COMPUTED_VALUE"""),"fig.3-fig.12 (to be specified)")</f>
        <v>fig.3-fig.12 (to be specified)</v>
      </c>
      <c r="N200" s="38"/>
      <c r="O200" s="31" t="str">
        <f>IFERROR(__xludf.DUMMYFUNCTION("""COMPUTED_VALUE"""),"DOC(alt)")</f>
        <v>DOC(alt)</v>
      </c>
      <c r="P200" s="9" t="str">
        <f>IFERROR(__xludf.DUMMYFUNCTION("""COMPUTED_VALUE"""),"Folia morphologica")</f>
        <v>Folia morphologica</v>
      </c>
      <c r="Q200" s="9" t="str">
        <f>IFERROR(__xludf.DUMMYFUNCTION("""COMPUTED_VALUE"""),"Review")</f>
        <v>Review</v>
      </c>
      <c r="R200" s="179" t="str">
        <f>IFERROR(__xludf.DUMMYFUNCTION("""COMPUTED_VALUE"""),"AIp (00/00) [Pitkänen, 2000];
")</f>
        <v>AIp (00/00) [Pitkänen, 2000];
</v>
      </c>
      <c r="S200" s="179" t="str">
        <f>IFERROR(__xludf.DUMMYFUNCTION("""COMPUTED_VALUE"""),"BLAIp")</f>
        <v>BLAIp</v>
      </c>
      <c r="T200" s="179" t="str">
        <f>IFERROR(__xludf.DUMMYFUNCTION("""COMPUTED_VALUE"""),"[Pitkänen, 2000]")</f>
        <v>[Pitkänen, 2000]</v>
      </c>
      <c r="U200" s="179">
        <f>IFERROR(__xludf.DUMMYFUNCTION("""COMPUTED_VALUE"""),0.0)</f>
        <v>0</v>
      </c>
      <c r="V200" s="180">
        <f>IFERROR(__xludf.DUMMYFUNCTION("""COMPUTED_VALUE"""),0.0)</f>
        <v>0</v>
      </c>
      <c r="W200" s="180">
        <f>IFERROR(__xludf.DUMMYFUNCTION("""COMPUTED_VALUE"""),0.95)</f>
        <v>0.95</v>
      </c>
      <c r="X200" s="42">
        <f>IFERROR(__xludf.DUMMYFUNCTION("""COMPUTED_VALUE"""),0.8)</f>
        <v>0.8</v>
      </c>
      <c r="Y200" s="42">
        <f>IFERROR(__xludf.DUMMYFUNCTION("""COMPUTED_VALUE"""),0.6)</f>
        <v>0.6</v>
      </c>
      <c r="Z200" s="9">
        <f>IFERROR(__xludf.DUMMYFUNCTION("""COMPUTED_VALUE"""),0.9)</f>
        <v>0.9</v>
      </c>
      <c r="AA200" s="181">
        <f>IFERROR(__xludf.DUMMYFUNCTION("""COMPUTED_VALUE"""),0.0)</f>
        <v>0</v>
      </c>
      <c r="AB200" s="181">
        <f>IFERROR(__xludf.DUMMYFUNCTION("""COMPUTED_VALUE"""),0.0)</f>
        <v>0</v>
      </c>
      <c r="AC200" s="179">
        <f>IFERROR(__xludf.DUMMYFUNCTION("""COMPUTED_VALUE"""),0.0)</f>
        <v>0</v>
      </c>
      <c r="AD200" s="165">
        <f>IFERROR(__xludf.DUMMYFUNCTION("""COMPUTED_VALUE"""),0.0)</f>
        <v>0</v>
      </c>
      <c r="AE200" s="39" t="str">
        <f>IFERROR(__xludf.DUMMYFUNCTION("""COMPUTED_VALUE"""),"Tatsuya Miyamoto")</f>
        <v>Tatsuya Miyamoto</v>
      </c>
      <c r="AF200" s="39" t="str">
        <f>IFERROR(__xludf.DUMMYFUNCTION("""COMPUTED_VALUE"""),"TM21Amygdala")</f>
        <v>TM21Amygdala</v>
      </c>
      <c r="AG200" s="39"/>
      <c r="AH200" s="39"/>
      <c r="AI200" s="165"/>
      <c r="AJ200" s="165"/>
      <c r="AK200" s="111"/>
      <c r="AL200" s="111"/>
      <c r="AM200" s="111"/>
      <c r="AN200" s="111"/>
      <c r="AO200" s="111"/>
      <c r="AP200" s="111"/>
      <c r="AQ200" s="116"/>
      <c r="AR200" s="116"/>
      <c r="AS200" s="116"/>
    </row>
    <row r="201">
      <c r="A201" s="42" t="str">
        <f>IFERROR(__xludf.DUMMYFUNCTION("""COMPUTED_VALUE"""),"BL")</f>
        <v>BL</v>
      </c>
      <c r="B201" s="42"/>
      <c r="C201" s="42"/>
      <c r="D201" s="42" t="str">
        <f>IFERROR(__xludf.DUMMYFUNCTION("""COMPUTED_VALUE"""),"CA1")</f>
        <v>CA1</v>
      </c>
      <c r="E201" s="42"/>
      <c r="F201" s="42"/>
      <c r="G201" s="42"/>
      <c r="H201" s="42" t="str">
        <f>IFERROR(__xludf.DUMMYFUNCTION("""COMPUTED_VALUE"""),"")</f>
        <v/>
      </c>
      <c r="I201" s="42" t="str">
        <f>IFERROR(__xludf.DUMMYFUNCTION("""COMPUTED_VALUE"""),"Pitkänen, 2000")</f>
        <v>Pitkänen, 2000</v>
      </c>
      <c r="J201" s="42" t="str">
        <f>IFERROR(__xludf.DUMMYFUNCTION("""COMPUTED_VALUE"""),"Rat")</f>
        <v>Rat</v>
      </c>
      <c r="K201" s="42" t="str">
        <f>IFERROR(__xludf.DUMMYFUNCTION("""COMPUTED_VALUE"""),"Various tracing")</f>
        <v>Various tracing</v>
      </c>
      <c r="L201" s="42"/>
      <c r="M201" s="42" t="str">
        <f>IFERROR(__xludf.DUMMYFUNCTION("""COMPUTED_VALUE"""),"fig.3-fig.12 (to be specified)")</f>
        <v>fig.3-fig.12 (to be specified)</v>
      </c>
      <c r="N201" s="38"/>
      <c r="O201" s="31" t="str">
        <f>IFERROR(__xludf.DUMMYFUNCTION("""COMPUTED_VALUE"""),"DOC(alt)")</f>
        <v>DOC(alt)</v>
      </c>
      <c r="P201" s="9" t="str">
        <f>IFERROR(__xludf.DUMMYFUNCTION("""COMPUTED_VALUE"""),"Folia morphologica")</f>
        <v>Folia morphologica</v>
      </c>
      <c r="Q201" s="9" t="str">
        <f>IFERROR(__xludf.DUMMYFUNCTION("""COMPUTED_VALUE"""),"Review")</f>
        <v>Review</v>
      </c>
      <c r="R201" s="179" t="str">
        <f>IFERROR(__xludf.DUMMYFUNCTION("""COMPUTED_VALUE"""),"CA1 (00/00) [Pitkänen, 2000];
")</f>
        <v>CA1 (00/00) [Pitkänen, 2000];
</v>
      </c>
      <c r="S201" s="179" t="str">
        <f>IFERROR(__xludf.DUMMYFUNCTION("""COMPUTED_VALUE"""),"BLCA1")</f>
        <v>BLCA1</v>
      </c>
      <c r="T201" s="179" t="str">
        <f>IFERROR(__xludf.DUMMYFUNCTION("""COMPUTED_VALUE"""),"[Pitkänen, 2000]")</f>
        <v>[Pitkänen, 2000]</v>
      </c>
      <c r="U201" s="179">
        <f>IFERROR(__xludf.DUMMYFUNCTION("""COMPUTED_VALUE"""),0.0)</f>
        <v>0</v>
      </c>
      <c r="V201" s="180">
        <f>IFERROR(__xludf.DUMMYFUNCTION("""COMPUTED_VALUE"""),0.0)</f>
        <v>0</v>
      </c>
      <c r="W201" s="180">
        <f>IFERROR(__xludf.DUMMYFUNCTION("""COMPUTED_VALUE"""),0.95)</f>
        <v>0.95</v>
      </c>
      <c r="X201" s="42">
        <f>IFERROR(__xludf.DUMMYFUNCTION("""COMPUTED_VALUE"""),0.8)</f>
        <v>0.8</v>
      </c>
      <c r="Y201" s="42">
        <f>IFERROR(__xludf.DUMMYFUNCTION("""COMPUTED_VALUE"""),0.6)</f>
        <v>0.6</v>
      </c>
      <c r="Z201" s="9">
        <f>IFERROR(__xludf.DUMMYFUNCTION("""COMPUTED_VALUE"""),0.9)</f>
        <v>0.9</v>
      </c>
      <c r="AA201" s="181">
        <f>IFERROR(__xludf.DUMMYFUNCTION("""COMPUTED_VALUE"""),0.0)</f>
        <v>0</v>
      </c>
      <c r="AB201" s="181">
        <f>IFERROR(__xludf.DUMMYFUNCTION("""COMPUTED_VALUE"""),0.0)</f>
        <v>0</v>
      </c>
      <c r="AC201" s="179">
        <f>IFERROR(__xludf.DUMMYFUNCTION("""COMPUTED_VALUE"""),0.0)</f>
        <v>0</v>
      </c>
      <c r="AD201" s="165">
        <f>IFERROR(__xludf.DUMMYFUNCTION("""COMPUTED_VALUE"""),0.0)</f>
        <v>0</v>
      </c>
      <c r="AE201" s="39" t="str">
        <f>IFERROR(__xludf.DUMMYFUNCTION("""COMPUTED_VALUE"""),"Tatsuya Miyamoto")</f>
        <v>Tatsuya Miyamoto</v>
      </c>
      <c r="AF201" s="39" t="str">
        <f>IFERROR(__xludf.DUMMYFUNCTION("""COMPUTED_VALUE"""),"TM21Amygdala")</f>
        <v>TM21Amygdala</v>
      </c>
      <c r="AG201" s="39"/>
      <c r="AH201" s="39"/>
      <c r="AI201" s="165"/>
      <c r="AJ201" s="165"/>
      <c r="AK201" s="111"/>
      <c r="AL201" s="111"/>
      <c r="AM201" s="111"/>
      <c r="AN201" s="111"/>
      <c r="AO201" s="111"/>
      <c r="AP201" s="111"/>
      <c r="AQ201" s="116"/>
      <c r="AR201" s="116"/>
      <c r="AS201" s="116"/>
    </row>
    <row r="202">
      <c r="A202" s="42" t="str">
        <f>IFERROR(__xludf.DUMMYFUNCTION("""COMPUTED_VALUE"""),"BL")</f>
        <v>BL</v>
      </c>
      <c r="B202" s="42"/>
      <c r="C202" s="42"/>
      <c r="D202" s="42" t="str">
        <f>IFERROR(__xludf.DUMMYFUNCTION("""COMPUTED_VALUE"""),"CEN")</f>
        <v>CEN</v>
      </c>
      <c r="E202" s="42"/>
      <c r="F202" s="42"/>
      <c r="G202" s="42"/>
      <c r="H202" s="42" t="str">
        <f>IFERROR(__xludf.DUMMYFUNCTION("""COMPUTED_VALUE"""),"")</f>
        <v/>
      </c>
      <c r="I202" s="42" t="str">
        <f>IFERROR(__xludf.DUMMYFUNCTION("""COMPUTED_VALUE"""),"Pitkänen, 2000")</f>
        <v>Pitkänen, 2000</v>
      </c>
      <c r="J202" s="42" t="str">
        <f>IFERROR(__xludf.DUMMYFUNCTION("""COMPUTED_VALUE"""),"Rat")</f>
        <v>Rat</v>
      </c>
      <c r="K202" s="42" t="str">
        <f>IFERROR(__xludf.DUMMYFUNCTION("""COMPUTED_VALUE"""),"Various tracing")</f>
        <v>Various tracing</v>
      </c>
      <c r="L202" s="42"/>
      <c r="M202" s="42" t="str">
        <f>IFERROR(__xludf.DUMMYFUNCTION("""COMPUTED_VALUE"""),"fig.3-fig.12 (to be specified)")</f>
        <v>fig.3-fig.12 (to be specified)</v>
      </c>
      <c r="N202" s="38"/>
      <c r="O202" s="31" t="str">
        <f>IFERROR(__xludf.DUMMYFUNCTION("""COMPUTED_VALUE"""),"DOC(alt)")</f>
        <v>DOC(alt)</v>
      </c>
      <c r="P202" s="9" t="str">
        <f>IFERROR(__xludf.DUMMYFUNCTION("""COMPUTED_VALUE"""),"Folia morphologica")</f>
        <v>Folia morphologica</v>
      </c>
      <c r="Q202" s="9" t="str">
        <f>IFERROR(__xludf.DUMMYFUNCTION("""COMPUTED_VALUE"""),"Review")</f>
        <v>Review</v>
      </c>
      <c r="R202" s="179" t="str">
        <f>IFERROR(__xludf.DUMMYFUNCTION("""COMPUTED_VALUE"""),"CEN (00/00) [Pitkänen, 2000];
")</f>
        <v>CEN (00/00) [Pitkänen, 2000];
</v>
      </c>
      <c r="S202" s="179" t="str">
        <f>IFERROR(__xludf.DUMMYFUNCTION("""COMPUTED_VALUE"""),"BLCEN")</f>
        <v>BLCEN</v>
      </c>
      <c r="T202" s="179" t="str">
        <f>IFERROR(__xludf.DUMMYFUNCTION("""COMPUTED_VALUE"""),"[Pitkänen, 2000]")</f>
        <v>[Pitkänen, 2000]</v>
      </c>
      <c r="U202" s="179">
        <f>IFERROR(__xludf.DUMMYFUNCTION("""COMPUTED_VALUE"""),0.0)</f>
        <v>0</v>
      </c>
      <c r="V202" s="180">
        <f>IFERROR(__xludf.DUMMYFUNCTION("""COMPUTED_VALUE"""),0.0)</f>
        <v>0</v>
      </c>
      <c r="W202" s="180">
        <f>IFERROR(__xludf.DUMMYFUNCTION("""COMPUTED_VALUE"""),0.95)</f>
        <v>0.95</v>
      </c>
      <c r="X202" s="42">
        <f>IFERROR(__xludf.DUMMYFUNCTION("""COMPUTED_VALUE"""),0.8)</f>
        <v>0.8</v>
      </c>
      <c r="Y202" s="42">
        <f>IFERROR(__xludf.DUMMYFUNCTION("""COMPUTED_VALUE"""),0.6)</f>
        <v>0.6</v>
      </c>
      <c r="Z202" s="9">
        <f>IFERROR(__xludf.DUMMYFUNCTION("""COMPUTED_VALUE"""),0.9)</f>
        <v>0.9</v>
      </c>
      <c r="AA202" s="181">
        <f>IFERROR(__xludf.DUMMYFUNCTION("""COMPUTED_VALUE"""),0.0)</f>
        <v>0</v>
      </c>
      <c r="AB202" s="181">
        <f>IFERROR(__xludf.DUMMYFUNCTION("""COMPUTED_VALUE"""),0.0)</f>
        <v>0</v>
      </c>
      <c r="AC202" s="179">
        <f>IFERROR(__xludf.DUMMYFUNCTION("""COMPUTED_VALUE"""),0.0)</f>
        <v>0</v>
      </c>
      <c r="AD202" s="165">
        <f>IFERROR(__xludf.DUMMYFUNCTION("""COMPUTED_VALUE"""),0.0)</f>
        <v>0</v>
      </c>
      <c r="AE202" s="39" t="str">
        <f>IFERROR(__xludf.DUMMYFUNCTION("""COMPUTED_VALUE"""),"Tatsuya Miyamoto")</f>
        <v>Tatsuya Miyamoto</v>
      </c>
      <c r="AF202" s="39" t="str">
        <f>IFERROR(__xludf.DUMMYFUNCTION("""COMPUTED_VALUE"""),"TM21Amygdala")</f>
        <v>TM21Amygdala</v>
      </c>
      <c r="AG202" s="39"/>
      <c r="AH202" s="39"/>
      <c r="AI202" s="165"/>
      <c r="AJ202" s="165"/>
      <c r="AK202" s="111"/>
      <c r="AL202" s="111"/>
      <c r="AM202" s="111"/>
      <c r="AN202" s="111"/>
      <c r="AO202" s="111"/>
      <c r="AP202" s="111"/>
      <c r="AQ202" s="116"/>
      <c r="AR202" s="116"/>
      <c r="AS202" s="116"/>
    </row>
    <row r="203">
      <c r="A203" s="42" t="str">
        <f>IFERROR(__xludf.DUMMYFUNCTION("""COMPUTED_VALUE"""),"BL")</f>
        <v>BL</v>
      </c>
      <c r="B203" s="42"/>
      <c r="C203" s="42"/>
      <c r="D203" s="42" t="str">
        <f>IFERROR(__xludf.DUMMYFUNCTION("""COMPUTED_VALUE"""),"DIg")</f>
        <v>DIg</v>
      </c>
      <c r="E203" s="42"/>
      <c r="F203" s="42"/>
      <c r="G203" s="42"/>
      <c r="H203" s="42" t="str">
        <f>IFERROR(__xludf.DUMMYFUNCTION("""COMPUTED_VALUE"""),"")</f>
        <v/>
      </c>
      <c r="I203" s="42" t="str">
        <f>IFERROR(__xludf.DUMMYFUNCTION("""COMPUTED_VALUE"""),"Pitkänen, 2000")</f>
        <v>Pitkänen, 2000</v>
      </c>
      <c r="J203" s="42" t="str">
        <f>IFERROR(__xludf.DUMMYFUNCTION("""COMPUTED_VALUE"""),"Rat")</f>
        <v>Rat</v>
      </c>
      <c r="K203" s="42" t="str">
        <f>IFERROR(__xludf.DUMMYFUNCTION("""COMPUTED_VALUE"""),"Various tracing")</f>
        <v>Various tracing</v>
      </c>
      <c r="L203" s="42"/>
      <c r="M203" s="42" t="str">
        <f>IFERROR(__xludf.DUMMYFUNCTION("""COMPUTED_VALUE"""),"fig.3-fig.12 (to be specified)")</f>
        <v>fig.3-fig.12 (to be specified)</v>
      </c>
      <c r="N203" s="38"/>
      <c r="O203" s="31" t="str">
        <f>IFERROR(__xludf.DUMMYFUNCTION("""COMPUTED_VALUE"""),"DOC(alt)")</f>
        <v>DOC(alt)</v>
      </c>
      <c r="P203" s="9" t="str">
        <f>IFERROR(__xludf.DUMMYFUNCTION("""COMPUTED_VALUE"""),"Folia morphologica")</f>
        <v>Folia morphologica</v>
      </c>
      <c r="Q203" s="9" t="str">
        <f>IFERROR(__xludf.DUMMYFUNCTION("""COMPUTED_VALUE"""),"Review")</f>
        <v>Review</v>
      </c>
      <c r="R203" s="179" t="str">
        <f>IFERROR(__xludf.DUMMYFUNCTION("""COMPUTED_VALUE"""),"DIg (00/00) [Pitkänen, 2000];
")</f>
        <v>DIg (00/00) [Pitkänen, 2000];
</v>
      </c>
      <c r="S203" s="179" t="str">
        <f>IFERROR(__xludf.DUMMYFUNCTION("""COMPUTED_VALUE"""),"BLDIg")</f>
        <v>BLDIg</v>
      </c>
      <c r="T203" s="179" t="str">
        <f>IFERROR(__xludf.DUMMYFUNCTION("""COMPUTED_VALUE"""),"[Pitkänen, 2000]")</f>
        <v>[Pitkänen, 2000]</v>
      </c>
      <c r="U203" s="179">
        <f>IFERROR(__xludf.DUMMYFUNCTION("""COMPUTED_VALUE"""),0.0)</f>
        <v>0</v>
      </c>
      <c r="V203" s="180">
        <f>IFERROR(__xludf.DUMMYFUNCTION("""COMPUTED_VALUE"""),0.0)</f>
        <v>0</v>
      </c>
      <c r="W203" s="180">
        <f>IFERROR(__xludf.DUMMYFUNCTION("""COMPUTED_VALUE"""),0.95)</f>
        <v>0.95</v>
      </c>
      <c r="X203" s="42">
        <f>IFERROR(__xludf.DUMMYFUNCTION("""COMPUTED_VALUE"""),0.8)</f>
        <v>0.8</v>
      </c>
      <c r="Y203" s="42">
        <f>IFERROR(__xludf.DUMMYFUNCTION("""COMPUTED_VALUE"""),0.6)</f>
        <v>0.6</v>
      </c>
      <c r="Z203" s="9">
        <f>IFERROR(__xludf.DUMMYFUNCTION("""COMPUTED_VALUE"""),0.9)</f>
        <v>0.9</v>
      </c>
      <c r="AA203" s="181">
        <f>IFERROR(__xludf.DUMMYFUNCTION("""COMPUTED_VALUE"""),0.0)</f>
        <v>0</v>
      </c>
      <c r="AB203" s="181">
        <f>IFERROR(__xludf.DUMMYFUNCTION("""COMPUTED_VALUE"""),0.0)</f>
        <v>0</v>
      </c>
      <c r="AC203" s="179">
        <f>IFERROR(__xludf.DUMMYFUNCTION("""COMPUTED_VALUE"""),0.0)</f>
        <v>0</v>
      </c>
      <c r="AD203" s="165">
        <f>IFERROR(__xludf.DUMMYFUNCTION("""COMPUTED_VALUE"""),0.0)</f>
        <v>0</v>
      </c>
      <c r="AE203" s="39" t="str">
        <f>IFERROR(__xludf.DUMMYFUNCTION("""COMPUTED_VALUE"""),"Tatsuya Miyamoto")</f>
        <v>Tatsuya Miyamoto</v>
      </c>
      <c r="AF203" s="39" t="str">
        <f>IFERROR(__xludf.DUMMYFUNCTION("""COMPUTED_VALUE"""),"TM21Amygdala")</f>
        <v>TM21Amygdala</v>
      </c>
      <c r="AG203" s="39"/>
      <c r="AH203" s="39"/>
      <c r="AI203" s="165"/>
      <c r="AJ203" s="165"/>
      <c r="AK203" s="111"/>
      <c r="AL203" s="111"/>
      <c r="AM203" s="111"/>
      <c r="AN203" s="111"/>
      <c r="AO203" s="111"/>
      <c r="AP203" s="111"/>
      <c r="AQ203" s="116"/>
      <c r="AR203" s="116"/>
      <c r="AS203" s="116"/>
    </row>
    <row r="204">
      <c r="A204" s="42" t="str">
        <f>IFERROR(__xludf.DUMMYFUNCTION("""COMPUTED_VALUE"""),"BL")</f>
        <v>BL</v>
      </c>
      <c r="B204" s="42"/>
      <c r="C204" s="42"/>
      <c r="D204" s="42" t="str">
        <f>IFERROR(__xludf.DUMMYFUNCTION("""COMPUTED_VALUE"""),"EC")</f>
        <v>EC</v>
      </c>
      <c r="E204" s="42"/>
      <c r="F204" s="42"/>
      <c r="G204" s="42"/>
      <c r="H204" s="42" t="str">
        <f>IFERROR(__xludf.DUMMYFUNCTION("""COMPUTED_VALUE"""),"")</f>
        <v/>
      </c>
      <c r="I204" s="42" t="str">
        <f>IFERROR(__xludf.DUMMYFUNCTION("""COMPUTED_VALUE"""),"Pitkänen, 2000")</f>
        <v>Pitkänen, 2000</v>
      </c>
      <c r="J204" s="42" t="str">
        <f>IFERROR(__xludf.DUMMYFUNCTION("""COMPUTED_VALUE"""),"Rat")</f>
        <v>Rat</v>
      </c>
      <c r="K204" s="42" t="str">
        <f>IFERROR(__xludf.DUMMYFUNCTION("""COMPUTED_VALUE"""),"Various tracing")</f>
        <v>Various tracing</v>
      </c>
      <c r="L204" s="42"/>
      <c r="M204" s="42" t="str">
        <f>IFERROR(__xludf.DUMMYFUNCTION("""COMPUTED_VALUE"""),"fig.3-fig.12 (to be specified)")</f>
        <v>fig.3-fig.12 (to be specified)</v>
      </c>
      <c r="N204" s="38"/>
      <c r="O204" s="31" t="str">
        <f>IFERROR(__xludf.DUMMYFUNCTION("""COMPUTED_VALUE"""),"DOC(alt)")</f>
        <v>DOC(alt)</v>
      </c>
      <c r="P204" s="9" t="str">
        <f>IFERROR(__xludf.DUMMYFUNCTION("""COMPUTED_VALUE"""),"Folia morphologica")</f>
        <v>Folia morphologica</v>
      </c>
      <c r="Q204" s="9" t="str">
        <f>IFERROR(__xludf.DUMMYFUNCTION("""COMPUTED_VALUE"""),"Review")</f>
        <v>Review</v>
      </c>
      <c r="R204" s="179" t="str">
        <f>IFERROR(__xludf.DUMMYFUNCTION("""COMPUTED_VALUE"""),"EC (00/00) [Pitkänen, 2000];
")</f>
        <v>EC (00/00) [Pitkänen, 2000];
</v>
      </c>
      <c r="S204" s="179" t="str">
        <f>IFERROR(__xludf.DUMMYFUNCTION("""COMPUTED_VALUE"""),"BLEC")</f>
        <v>BLEC</v>
      </c>
      <c r="T204" s="179" t="str">
        <f>IFERROR(__xludf.DUMMYFUNCTION("""COMPUTED_VALUE"""),"[Pitkänen, 2000]")</f>
        <v>[Pitkänen, 2000]</v>
      </c>
      <c r="U204" s="179">
        <f>IFERROR(__xludf.DUMMYFUNCTION("""COMPUTED_VALUE"""),0.0)</f>
        <v>0</v>
      </c>
      <c r="V204" s="180">
        <f>IFERROR(__xludf.DUMMYFUNCTION("""COMPUTED_VALUE"""),0.0)</f>
        <v>0</v>
      </c>
      <c r="W204" s="180">
        <f>IFERROR(__xludf.DUMMYFUNCTION("""COMPUTED_VALUE"""),0.95)</f>
        <v>0.95</v>
      </c>
      <c r="X204" s="42">
        <f>IFERROR(__xludf.DUMMYFUNCTION("""COMPUTED_VALUE"""),0.8)</f>
        <v>0.8</v>
      </c>
      <c r="Y204" s="42">
        <f>IFERROR(__xludf.DUMMYFUNCTION("""COMPUTED_VALUE"""),0.6)</f>
        <v>0.6</v>
      </c>
      <c r="Z204" s="9">
        <f>IFERROR(__xludf.DUMMYFUNCTION("""COMPUTED_VALUE"""),0.9)</f>
        <v>0.9</v>
      </c>
      <c r="AA204" s="181">
        <f>IFERROR(__xludf.DUMMYFUNCTION("""COMPUTED_VALUE"""),0.0)</f>
        <v>0</v>
      </c>
      <c r="AB204" s="181">
        <f>IFERROR(__xludf.DUMMYFUNCTION("""COMPUTED_VALUE"""),0.0)</f>
        <v>0</v>
      </c>
      <c r="AC204" s="179">
        <f>IFERROR(__xludf.DUMMYFUNCTION("""COMPUTED_VALUE"""),0.0)</f>
        <v>0</v>
      </c>
      <c r="AD204" s="165">
        <f>IFERROR(__xludf.DUMMYFUNCTION("""COMPUTED_VALUE"""),0.0)</f>
        <v>0</v>
      </c>
      <c r="AE204" s="39" t="str">
        <f>IFERROR(__xludf.DUMMYFUNCTION("""COMPUTED_VALUE"""),"Tatsuya Miyamoto")</f>
        <v>Tatsuya Miyamoto</v>
      </c>
      <c r="AF204" s="39" t="str">
        <f>IFERROR(__xludf.DUMMYFUNCTION("""COMPUTED_VALUE"""),"TM21Amygdala")</f>
        <v>TM21Amygdala</v>
      </c>
      <c r="AG204" s="39"/>
      <c r="AH204" s="39"/>
      <c r="AI204" s="165"/>
      <c r="AJ204" s="165"/>
      <c r="AK204" s="111"/>
      <c r="AL204" s="111"/>
      <c r="AM204" s="111"/>
      <c r="AN204" s="111"/>
      <c r="AO204" s="111"/>
      <c r="AP204" s="111"/>
      <c r="AQ204" s="116"/>
      <c r="AR204" s="116"/>
      <c r="AS204" s="116"/>
    </row>
    <row r="205">
      <c r="A205" s="42" t="str">
        <f>IFERROR(__xludf.DUMMYFUNCTION("""COMPUTED_VALUE"""),"BL")</f>
        <v>BL</v>
      </c>
      <c r="B205" s="42"/>
      <c r="C205" s="42"/>
      <c r="D205" s="42" t="str">
        <f>IFERROR(__xludf.DUMMYFUNCTION("""COMPUTED_VALUE"""),"HIP")</f>
        <v>HIP</v>
      </c>
      <c r="E205" s="42"/>
      <c r="F205" s="42"/>
      <c r="G205" s="42"/>
      <c r="H205" s="42" t="str">
        <f>IFERROR(__xludf.DUMMYFUNCTION("""COMPUTED_VALUE"""),"")</f>
        <v/>
      </c>
      <c r="I205" s="42" t="str">
        <f>IFERROR(__xludf.DUMMYFUNCTION("""COMPUTED_VALUE"""),"Pitkänen, 2000")</f>
        <v>Pitkänen, 2000</v>
      </c>
      <c r="J205" s="42" t="str">
        <f>IFERROR(__xludf.DUMMYFUNCTION("""COMPUTED_VALUE"""),"Rat")</f>
        <v>Rat</v>
      </c>
      <c r="K205" s="42" t="str">
        <f>IFERROR(__xludf.DUMMYFUNCTION("""COMPUTED_VALUE"""),"Various tracing")</f>
        <v>Various tracing</v>
      </c>
      <c r="L205" s="42"/>
      <c r="M205" s="42" t="str">
        <f>IFERROR(__xludf.DUMMYFUNCTION("""COMPUTED_VALUE"""),"fig.3-fig.12 (to be specified)")</f>
        <v>fig.3-fig.12 (to be specified)</v>
      </c>
      <c r="N205" s="38"/>
      <c r="O205" s="31" t="str">
        <f>IFERROR(__xludf.DUMMYFUNCTION("""COMPUTED_VALUE"""),"DOC(alt)")</f>
        <v>DOC(alt)</v>
      </c>
      <c r="P205" s="9" t="str">
        <f>IFERROR(__xludf.DUMMYFUNCTION("""COMPUTED_VALUE"""),"Folia morphologica")</f>
        <v>Folia morphologica</v>
      </c>
      <c r="Q205" s="9" t="str">
        <f>IFERROR(__xludf.DUMMYFUNCTION("""COMPUTED_VALUE"""),"Review")</f>
        <v>Review</v>
      </c>
      <c r="R205" s="179" t="str">
        <f>IFERROR(__xludf.DUMMYFUNCTION("""COMPUTED_VALUE"""),"HIP (00/00) [Pitkänen, 2000];
")</f>
        <v>HIP (00/00) [Pitkänen, 2000];
</v>
      </c>
      <c r="S205" s="179" t="str">
        <f>IFERROR(__xludf.DUMMYFUNCTION("""COMPUTED_VALUE"""),"BLHIP")</f>
        <v>BLHIP</v>
      </c>
      <c r="T205" s="179" t="str">
        <f>IFERROR(__xludf.DUMMYFUNCTION("""COMPUTED_VALUE"""),"[Pitkänen, 2000]")</f>
        <v>[Pitkänen, 2000]</v>
      </c>
      <c r="U205" s="179">
        <f>IFERROR(__xludf.DUMMYFUNCTION("""COMPUTED_VALUE"""),0.0)</f>
        <v>0</v>
      </c>
      <c r="V205" s="180">
        <f>IFERROR(__xludf.DUMMYFUNCTION("""COMPUTED_VALUE"""),0.0)</f>
        <v>0</v>
      </c>
      <c r="W205" s="180">
        <f>IFERROR(__xludf.DUMMYFUNCTION("""COMPUTED_VALUE"""),0.95)</f>
        <v>0.95</v>
      </c>
      <c r="X205" s="42">
        <f>IFERROR(__xludf.DUMMYFUNCTION("""COMPUTED_VALUE"""),0.8)</f>
        <v>0.8</v>
      </c>
      <c r="Y205" s="42">
        <f>IFERROR(__xludf.DUMMYFUNCTION("""COMPUTED_VALUE"""),0.6)</f>
        <v>0.6</v>
      </c>
      <c r="Z205" s="9">
        <f>IFERROR(__xludf.DUMMYFUNCTION("""COMPUTED_VALUE"""),0.9)</f>
        <v>0.9</v>
      </c>
      <c r="AA205" s="181">
        <f>IFERROR(__xludf.DUMMYFUNCTION("""COMPUTED_VALUE"""),0.0)</f>
        <v>0</v>
      </c>
      <c r="AB205" s="181">
        <f>IFERROR(__xludf.DUMMYFUNCTION("""COMPUTED_VALUE"""),0.0)</f>
        <v>0</v>
      </c>
      <c r="AC205" s="179">
        <f>IFERROR(__xludf.DUMMYFUNCTION("""COMPUTED_VALUE"""),0.0)</f>
        <v>0</v>
      </c>
      <c r="AD205" s="165">
        <f>IFERROR(__xludf.DUMMYFUNCTION("""COMPUTED_VALUE"""),0.0)</f>
        <v>0</v>
      </c>
      <c r="AE205" s="39" t="str">
        <f>IFERROR(__xludf.DUMMYFUNCTION("""COMPUTED_VALUE"""),"Tatsuya Miyamoto")</f>
        <v>Tatsuya Miyamoto</v>
      </c>
      <c r="AF205" s="39" t="str">
        <f>IFERROR(__xludf.DUMMYFUNCTION("""COMPUTED_VALUE"""),"TM21Amygdala")</f>
        <v>TM21Amygdala</v>
      </c>
      <c r="AG205" s="39"/>
      <c r="AH205" s="39"/>
      <c r="AI205" s="165"/>
      <c r="AJ205" s="165"/>
      <c r="AK205" s="111"/>
      <c r="AL205" s="111"/>
      <c r="AM205" s="111"/>
      <c r="AN205" s="111"/>
      <c r="AO205" s="111"/>
      <c r="AP205" s="111"/>
      <c r="AQ205" s="116"/>
      <c r="AR205" s="116"/>
      <c r="AS205" s="116"/>
    </row>
    <row r="206">
      <c r="A206" s="42" t="str">
        <f>IFERROR(__xludf.DUMMYFUNCTION("""COMPUTED_VALUE"""),"BL")</f>
        <v>BL</v>
      </c>
      <c r="B206" s="42"/>
      <c r="C206" s="42"/>
      <c r="D206" s="42" t="str">
        <f>IFERROR(__xludf.DUMMYFUNCTION("""COMPUTED_VALUE"""),"Me")</f>
        <v>Me</v>
      </c>
      <c r="E206" s="42"/>
      <c r="F206" s="42"/>
      <c r="G206" s="42"/>
      <c r="H206" s="42" t="str">
        <f>IFERROR(__xludf.DUMMYFUNCTION("""COMPUTED_VALUE"""),"")</f>
        <v/>
      </c>
      <c r="I206" s="42" t="str">
        <f>IFERROR(__xludf.DUMMYFUNCTION("""COMPUTED_VALUE"""),"Pitkänen, 2000")</f>
        <v>Pitkänen, 2000</v>
      </c>
      <c r="J206" s="42" t="str">
        <f>IFERROR(__xludf.DUMMYFUNCTION("""COMPUTED_VALUE"""),"Rat")</f>
        <v>Rat</v>
      </c>
      <c r="K206" s="42" t="str">
        <f>IFERROR(__xludf.DUMMYFUNCTION("""COMPUTED_VALUE"""),"Various tracing")</f>
        <v>Various tracing</v>
      </c>
      <c r="L206" s="42"/>
      <c r="M206" s="42" t="str">
        <f>IFERROR(__xludf.DUMMYFUNCTION("""COMPUTED_VALUE"""),"fig.3-fig.12 (to be specified)")</f>
        <v>fig.3-fig.12 (to be specified)</v>
      </c>
      <c r="N206" s="38"/>
      <c r="O206" s="31" t="str">
        <f>IFERROR(__xludf.DUMMYFUNCTION("""COMPUTED_VALUE"""),"DOC(alt)")</f>
        <v>DOC(alt)</v>
      </c>
      <c r="P206" s="9" t="str">
        <f>IFERROR(__xludf.DUMMYFUNCTION("""COMPUTED_VALUE"""),"Folia morphologica")</f>
        <v>Folia morphologica</v>
      </c>
      <c r="Q206" s="9" t="str">
        <f>IFERROR(__xludf.DUMMYFUNCTION("""COMPUTED_VALUE"""),"Review")</f>
        <v>Review</v>
      </c>
      <c r="R206" s="179" t="str">
        <f>IFERROR(__xludf.DUMMYFUNCTION("""COMPUTED_VALUE"""),"Me (00/00) [Pitkänen, 2000];
")</f>
        <v>Me (00/00) [Pitkänen, 2000];
</v>
      </c>
      <c r="S206" s="179" t="str">
        <f>IFERROR(__xludf.DUMMYFUNCTION("""COMPUTED_VALUE"""),"BLMe")</f>
        <v>BLMe</v>
      </c>
      <c r="T206" s="179" t="str">
        <f>IFERROR(__xludf.DUMMYFUNCTION("""COMPUTED_VALUE"""),"[Pitkänen, 2000]")</f>
        <v>[Pitkänen, 2000]</v>
      </c>
      <c r="U206" s="179">
        <f>IFERROR(__xludf.DUMMYFUNCTION("""COMPUTED_VALUE"""),0.0)</f>
        <v>0</v>
      </c>
      <c r="V206" s="180">
        <f>IFERROR(__xludf.DUMMYFUNCTION("""COMPUTED_VALUE"""),0.0)</f>
        <v>0</v>
      </c>
      <c r="W206" s="180">
        <f>IFERROR(__xludf.DUMMYFUNCTION("""COMPUTED_VALUE"""),0.95)</f>
        <v>0.95</v>
      </c>
      <c r="X206" s="42">
        <f>IFERROR(__xludf.DUMMYFUNCTION("""COMPUTED_VALUE"""),0.8)</f>
        <v>0.8</v>
      </c>
      <c r="Y206" s="42">
        <f>IFERROR(__xludf.DUMMYFUNCTION("""COMPUTED_VALUE"""),0.6)</f>
        <v>0.6</v>
      </c>
      <c r="Z206" s="9">
        <f>IFERROR(__xludf.DUMMYFUNCTION("""COMPUTED_VALUE"""),0.9)</f>
        <v>0.9</v>
      </c>
      <c r="AA206" s="181">
        <f>IFERROR(__xludf.DUMMYFUNCTION("""COMPUTED_VALUE"""),0.0)</f>
        <v>0</v>
      </c>
      <c r="AB206" s="181">
        <f>IFERROR(__xludf.DUMMYFUNCTION("""COMPUTED_VALUE"""),0.0)</f>
        <v>0</v>
      </c>
      <c r="AC206" s="179">
        <f>IFERROR(__xludf.DUMMYFUNCTION("""COMPUTED_VALUE"""),0.0)</f>
        <v>0</v>
      </c>
      <c r="AD206" s="165">
        <f>IFERROR(__xludf.DUMMYFUNCTION("""COMPUTED_VALUE"""),0.0)</f>
        <v>0</v>
      </c>
      <c r="AE206" s="39" t="str">
        <f>IFERROR(__xludf.DUMMYFUNCTION("""COMPUTED_VALUE"""),"Tatsuya Miyamoto")</f>
        <v>Tatsuya Miyamoto</v>
      </c>
      <c r="AF206" s="39" t="str">
        <f>IFERROR(__xludf.DUMMYFUNCTION("""COMPUTED_VALUE"""),"TM21Amygdala")</f>
        <v>TM21Amygdala</v>
      </c>
      <c r="AG206" s="39"/>
      <c r="AH206" s="39"/>
      <c r="AI206" s="165"/>
      <c r="AJ206" s="165"/>
      <c r="AK206" s="111"/>
      <c r="AL206" s="111"/>
      <c r="AM206" s="111"/>
      <c r="AN206" s="111"/>
      <c r="AO206" s="111"/>
      <c r="AP206" s="111"/>
      <c r="AQ206" s="116"/>
      <c r="AR206" s="116"/>
      <c r="AS206" s="116"/>
    </row>
    <row r="207">
      <c r="A207" s="42" t="str">
        <f>IFERROR(__xludf.DUMMYFUNCTION("""COMPUTED_VALUE"""),"BL")</f>
        <v>BL</v>
      </c>
      <c r="B207" s="42"/>
      <c r="C207" s="42"/>
      <c r="D207" s="42" t="str">
        <f>IFERROR(__xludf.DUMMYFUNCTION("""COMPUTED_VALUE"""),"MFC")</f>
        <v>MFC</v>
      </c>
      <c r="E207" s="42"/>
      <c r="F207" s="42"/>
      <c r="G207" s="42"/>
      <c r="H207" s="42" t="str">
        <f>IFERROR(__xludf.DUMMYFUNCTION("""COMPUTED_VALUE"""),"")</f>
        <v/>
      </c>
      <c r="I207" s="42" t="str">
        <f>IFERROR(__xludf.DUMMYFUNCTION("""COMPUTED_VALUE"""),"Pitkänen, 2000")</f>
        <v>Pitkänen, 2000</v>
      </c>
      <c r="J207" s="42" t="str">
        <f>IFERROR(__xludf.DUMMYFUNCTION("""COMPUTED_VALUE"""),"Rat")</f>
        <v>Rat</v>
      </c>
      <c r="K207" s="42" t="str">
        <f>IFERROR(__xludf.DUMMYFUNCTION("""COMPUTED_VALUE"""),"Various tracing")</f>
        <v>Various tracing</v>
      </c>
      <c r="L207" s="42"/>
      <c r="M207" s="42" t="str">
        <f>IFERROR(__xludf.DUMMYFUNCTION("""COMPUTED_VALUE"""),"fig.3-fig.12 (to be specified)")</f>
        <v>fig.3-fig.12 (to be specified)</v>
      </c>
      <c r="N207" s="38"/>
      <c r="O207" s="31" t="str">
        <f>IFERROR(__xludf.DUMMYFUNCTION("""COMPUTED_VALUE"""),"DOC(alt)")</f>
        <v>DOC(alt)</v>
      </c>
      <c r="P207" s="9" t="str">
        <f>IFERROR(__xludf.DUMMYFUNCTION("""COMPUTED_VALUE"""),"Folia morphologica")</f>
        <v>Folia morphologica</v>
      </c>
      <c r="Q207" s="9" t="str">
        <f>IFERROR(__xludf.DUMMYFUNCTION("""COMPUTED_VALUE"""),"Review")</f>
        <v>Review</v>
      </c>
      <c r="R207" s="179" t="str">
        <f>IFERROR(__xludf.DUMMYFUNCTION("""COMPUTED_VALUE"""),"MFC (00/00) [Pitkänen, 2000];
")</f>
        <v>MFC (00/00) [Pitkänen, 2000];
</v>
      </c>
      <c r="S207" s="179" t="str">
        <f>IFERROR(__xludf.DUMMYFUNCTION("""COMPUTED_VALUE"""),"BLMFC")</f>
        <v>BLMFC</v>
      </c>
      <c r="T207" s="179" t="str">
        <f>IFERROR(__xludf.DUMMYFUNCTION("""COMPUTED_VALUE"""),"[Pitkänen, 2000]")</f>
        <v>[Pitkänen, 2000]</v>
      </c>
      <c r="U207" s="179">
        <f>IFERROR(__xludf.DUMMYFUNCTION("""COMPUTED_VALUE"""),0.0)</f>
        <v>0</v>
      </c>
      <c r="V207" s="180">
        <f>IFERROR(__xludf.DUMMYFUNCTION("""COMPUTED_VALUE"""),0.0)</f>
        <v>0</v>
      </c>
      <c r="W207" s="180">
        <f>IFERROR(__xludf.DUMMYFUNCTION("""COMPUTED_VALUE"""),0.95)</f>
        <v>0.95</v>
      </c>
      <c r="X207" s="42">
        <f>IFERROR(__xludf.DUMMYFUNCTION("""COMPUTED_VALUE"""),0.8)</f>
        <v>0.8</v>
      </c>
      <c r="Y207" s="42">
        <f>IFERROR(__xludf.DUMMYFUNCTION("""COMPUTED_VALUE"""),0.6)</f>
        <v>0.6</v>
      </c>
      <c r="Z207" s="9">
        <f>IFERROR(__xludf.DUMMYFUNCTION("""COMPUTED_VALUE"""),0.9)</f>
        <v>0.9</v>
      </c>
      <c r="AA207" s="181">
        <f>IFERROR(__xludf.DUMMYFUNCTION("""COMPUTED_VALUE"""),0.0)</f>
        <v>0</v>
      </c>
      <c r="AB207" s="181">
        <f>IFERROR(__xludf.DUMMYFUNCTION("""COMPUTED_VALUE"""),0.0)</f>
        <v>0</v>
      </c>
      <c r="AC207" s="179">
        <f>IFERROR(__xludf.DUMMYFUNCTION("""COMPUTED_VALUE"""),0.0)</f>
        <v>0</v>
      </c>
      <c r="AD207" s="165">
        <f>IFERROR(__xludf.DUMMYFUNCTION("""COMPUTED_VALUE"""),0.0)</f>
        <v>0</v>
      </c>
      <c r="AE207" s="39" t="str">
        <f>IFERROR(__xludf.DUMMYFUNCTION("""COMPUTED_VALUE"""),"Tatsuya Miyamoto")</f>
        <v>Tatsuya Miyamoto</v>
      </c>
      <c r="AF207" s="39" t="str">
        <f>IFERROR(__xludf.DUMMYFUNCTION("""COMPUTED_VALUE"""),"TM21Amygdala")</f>
        <v>TM21Amygdala</v>
      </c>
      <c r="AG207" s="39"/>
      <c r="AH207" s="39"/>
      <c r="AI207" s="165"/>
      <c r="AJ207" s="165"/>
      <c r="AK207" s="111"/>
      <c r="AL207" s="111"/>
      <c r="AM207" s="111"/>
      <c r="AN207" s="111"/>
      <c r="AO207" s="111"/>
      <c r="AP207" s="111"/>
      <c r="AQ207" s="116"/>
      <c r="AR207" s="116"/>
      <c r="AS207" s="116"/>
    </row>
    <row r="208">
      <c r="A208" s="42" t="str">
        <f>IFERROR(__xludf.DUMMYFUNCTION("""COMPUTED_VALUE"""),"BL")</f>
        <v>BL</v>
      </c>
      <c r="B208" s="42"/>
      <c r="C208" s="42"/>
      <c r="D208" s="42" t="str">
        <f>IFERROR(__xludf.DUMMYFUNCTION("""COMPUTED_VALUE"""),"NAc")</f>
        <v>NAc</v>
      </c>
      <c r="E208" s="42"/>
      <c r="F208" s="42"/>
      <c r="G208" s="42"/>
      <c r="H208" s="42" t="str">
        <f>IFERROR(__xludf.DUMMYFUNCTION("""COMPUTED_VALUE"""),"")</f>
        <v/>
      </c>
      <c r="I208" s="42" t="str">
        <f>IFERROR(__xludf.DUMMYFUNCTION("""COMPUTED_VALUE"""),"Pitkänen, 2000")</f>
        <v>Pitkänen, 2000</v>
      </c>
      <c r="J208" s="42" t="str">
        <f>IFERROR(__xludf.DUMMYFUNCTION("""COMPUTED_VALUE"""),"Rat")</f>
        <v>Rat</v>
      </c>
      <c r="K208" s="42" t="str">
        <f>IFERROR(__xludf.DUMMYFUNCTION("""COMPUTED_VALUE"""),"Various tracing")</f>
        <v>Various tracing</v>
      </c>
      <c r="L208" s="42"/>
      <c r="M208" s="42" t="str">
        <f>IFERROR(__xludf.DUMMYFUNCTION("""COMPUTED_VALUE"""),"fig.3-fig.12 (to be specified)")</f>
        <v>fig.3-fig.12 (to be specified)</v>
      </c>
      <c r="N208" s="38"/>
      <c r="O208" s="31" t="str">
        <f>IFERROR(__xludf.DUMMYFUNCTION("""COMPUTED_VALUE"""),"DOC(alt)")</f>
        <v>DOC(alt)</v>
      </c>
      <c r="P208" s="9" t="str">
        <f>IFERROR(__xludf.DUMMYFUNCTION("""COMPUTED_VALUE"""),"Folia morphologica")</f>
        <v>Folia morphologica</v>
      </c>
      <c r="Q208" s="9" t="str">
        <f>IFERROR(__xludf.DUMMYFUNCTION("""COMPUTED_VALUE"""),"Review")</f>
        <v>Review</v>
      </c>
      <c r="R208" s="179" t="str">
        <f>IFERROR(__xludf.DUMMYFUNCTION("""COMPUTED_VALUE"""),"NAc (00/00) [Pitkänen, 2000];
")</f>
        <v>NAc (00/00) [Pitkänen, 2000];
</v>
      </c>
      <c r="S208" s="179" t="str">
        <f>IFERROR(__xludf.DUMMYFUNCTION("""COMPUTED_VALUE"""),"BLNAc")</f>
        <v>BLNAc</v>
      </c>
      <c r="T208" s="179" t="str">
        <f>IFERROR(__xludf.DUMMYFUNCTION("""COMPUTED_VALUE"""),"[Pitkänen, 2000]")</f>
        <v>[Pitkänen, 2000]</v>
      </c>
      <c r="U208" s="179">
        <f>IFERROR(__xludf.DUMMYFUNCTION("""COMPUTED_VALUE"""),0.0)</f>
        <v>0</v>
      </c>
      <c r="V208" s="180">
        <f>IFERROR(__xludf.DUMMYFUNCTION("""COMPUTED_VALUE"""),0.0)</f>
        <v>0</v>
      </c>
      <c r="W208" s="180">
        <f>IFERROR(__xludf.DUMMYFUNCTION("""COMPUTED_VALUE"""),0.95)</f>
        <v>0.95</v>
      </c>
      <c r="X208" s="42">
        <f>IFERROR(__xludf.DUMMYFUNCTION("""COMPUTED_VALUE"""),0.8)</f>
        <v>0.8</v>
      </c>
      <c r="Y208" s="42">
        <f>IFERROR(__xludf.DUMMYFUNCTION("""COMPUTED_VALUE"""),0.6)</f>
        <v>0.6</v>
      </c>
      <c r="Z208" s="9">
        <f>IFERROR(__xludf.DUMMYFUNCTION("""COMPUTED_VALUE"""),0.9)</f>
        <v>0.9</v>
      </c>
      <c r="AA208" s="181">
        <f>IFERROR(__xludf.DUMMYFUNCTION("""COMPUTED_VALUE"""),0.0)</f>
        <v>0</v>
      </c>
      <c r="AB208" s="181">
        <f>IFERROR(__xludf.DUMMYFUNCTION("""COMPUTED_VALUE"""),0.0)</f>
        <v>0</v>
      </c>
      <c r="AC208" s="179">
        <f>IFERROR(__xludf.DUMMYFUNCTION("""COMPUTED_VALUE"""),0.0)</f>
        <v>0</v>
      </c>
      <c r="AD208" s="165">
        <f>IFERROR(__xludf.DUMMYFUNCTION("""COMPUTED_VALUE"""),0.0)</f>
        <v>0</v>
      </c>
      <c r="AE208" s="39" t="str">
        <f>IFERROR(__xludf.DUMMYFUNCTION("""COMPUTED_VALUE"""),"Tatsuya Miyamoto")</f>
        <v>Tatsuya Miyamoto</v>
      </c>
      <c r="AF208" s="39" t="str">
        <f>IFERROR(__xludf.DUMMYFUNCTION("""COMPUTED_VALUE"""),"TM21Amygdala")</f>
        <v>TM21Amygdala</v>
      </c>
      <c r="AG208" s="39"/>
      <c r="AH208" s="39"/>
      <c r="AI208" s="165"/>
      <c r="AJ208" s="165"/>
      <c r="AK208" s="111"/>
      <c r="AL208" s="111"/>
      <c r="AM208" s="111"/>
      <c r="AN208" s="111"/>
      <c r="AO208" s="111"/>
      <c r="AP208" s="111"/>
      <c r="AQ208" s="116"/>
      <c r="AR208" s="116"/>
      <c r="AS208" s="116"/>
    </row>
    <row r="209">
      <c r="A209" s="42" t="str">
        <f>IFERROR(__xludf.DUMMYFUNCTION("""COMPUTED_VALUE"""),"BL")</f>
        <v>BL</v>
      </c>
      <c r="B209" s="42"/>
      <c r="C209" s="42"/>
      <c r="D209" s="42" t="str">
        <f>IFERROR(__xludf.DUMMYFUNCTION("""COMPUTED_VALUE"""),"NAc")</f>
        <v>NAc</v>
      </c>
      <c r="E209" s="42"/>
      <c r="F209" s="42"/>
      <c r="G209" s="42"/>
      <c r="H209" s="42" t="str">
        <f>IFERROR(__xludf.DUMMYFUNCTION("""COMPUTED_VALUE"""),"")</f>
        <v/>
      </c>
      <c r="I209" s="42" t="str">
        <f>IFERROR(__xludf.DUMMYFUNCTION("""COMPUTED_VALUE"""),"Pitkänen, 2000")</f>
        <v>Pitkänen, 2000</v>
      </c>
      <c r="J209" s="42" t="str">
        <f>IFERROR(__xludf.DUMMYFUNCTION("""COMPUTED_VALUE"""),"Rat")</f>
        <v>Rat</v>
      </c>
      <c r="K209" s="42" t="str">
        <f>IFERROR(__xludf.DUMMYFUNCTION("""COMPUTED_VALUE"""),"Various tracing")</f>
        <v>Various tracing</v>
      </c>
      <c r="L209" s="42"/>
      <c r="M209" s="42" t="str">
        <f>IFERROR(__xludf.DUMMYFUNCTION("""COMPUTED_VALUE"""),"fig.3-fig.12 (to be specified)")</f>
        <v>fig.3-fig.12 (to be specified)</v>
      </c>
      <c r="N209" s="38"/>
      <c r="O209" s="31" t="str">
        <f>IFERROR(__xludf.DUMMYFUNCTION("""COMPUTED_VALUE"""),"DOC(alt)")</f>
        <v>DOC(alt)</v>
      </c>
      <c r="P209" s="9" t="str">
        <f>IFERROR(__xludf.DUMMYFUNCTION("""COMPUTED_VALUE"""),"Folia morphologica")</f>
        <v>Folia morphologica</v>
      </c>
      <c r="Q209" s="9" t="str">
        <f>IFERROR(__xludf.DUMMYFUNCTION("""COMPUTED_VALUE"""),"Review")</f>
        <v>Review</v>
      </c>
      <c r="R209" s="179" t="str">
        <f>IFERROR(__xludf.DUMMYFUNCTION("""COMPUTED_VALUE"""),"NAc (00/00) [Pitkänen, 2000];
")</f>
        <v>NAc (00/00) [Pitkänen, 2000];
</v>
      </c>
      <c r="S209" s="179" t="str">
        <f>IFERROR(__xludf.DUMMYFUNCTION("""COMPUTED_VALUE"""),"BLNAc")</f>
        <v>BLNAc</v>
      </c>
      <c r="T209" s="179" t="str">
        <f>IFERROR(__xludf.DUMMYFUNCTION("""COMPUTED_VALUE"""),"[Pitkänen, 2000]")</f>
        <v>[Pitkänen, 2000]</v>
      </c>
      <c r="U209" s="179">
        <f>IFERROR(__xludf.DUMMYFUNCTION("""COMPUTED_VALUE"""),0.0)</f>
        <v>0</v>
      </c>
      <c r="V209" s="180">
        <f>IFERROR(__xludf.DUMMYFUNCTION("""COMPUTED_VALUE"""),0.0)</f>
        <v>0</v>
      </c>
      <c r="W209" s="180">
        <f>IFERROR(__xludf.DUMMYFUNCTION("""COMPUTED_VALUE"""),0.95)</f>
        <v>0.95</v>
      </c>
      <c r="X209" s="42">
        <f>IFERROR(__xludf.DUMMYFUNCTION("""COMPUTED_VALUE"""),0.8)</f>
        <v>0.8</v>
      </c>
      <c r="Y209" s="42">
        <f>IFERROR(__xludf.DUMMYFUNCTION("""COMPUTED_VALUE"""),0.6)</f>
        <v>0.6</v>
      </c>
      <c r="Z209" s="9">
        <f>IFERROR(__xludf.DUMMYFUNCTION("""COMPUTED_VALUE"""),0.9)</f>
        <v>0.9</v>
      </c>
      <c r="AA209" s="181">
        <f>IFERROR(__xludf.DUMMYFUNCTION("""COMPUTED_VALUE"""),0.0)</f>
        <v>0</v>
      </c>
      <c r="AB209" s="181">
        <f>IFERROR(__xludf.DUMMYFUNCTION("""COMPUTED_VALUE"""),0.0)</f>
        <v>0</v>
      </c>
      <c r="AC209" s="179">
        <f>IFERROR(__xludf.DUMMYFUNCTION("""COMPUTED_VALUE"""),0.0)</f>
        <v>0</v>
      </c>
      <c r="AD209" s="165">
        <f>IFERROR(__xludf.DUMMYFUNCTION("""COMPUTED_VALUE"""),0.0)</f>
        <v>0</v>
      </c>
      <c r="AE209" s="39" t="str">
        <f>IFERROR(__xludf.DUMMYFUNCTION("""COMPUTED_VALUE"""),"Tatsuya Miyamoto")</f>
        <v>Tatsuya Miyamoto</v>
      </c>
      <c r="AF209" s="39" t="str">
        <f>IFERROR(__xludf.DUMMYFUNCTION("""COMPUTED_VALUE"""),"TM21Amygdala")</f>
        <v>TM21Amygdala</v>
      </c>
      <c r="AG209" s="39"/>
      <c r="AH209" s="39"/>
      <c r="AI209" s="165"/>
      <c r="AJ209" s="165"/>
      <c r="AK209" s="111"/>
      <c r="AL209" s="111"/>
      <c r="AM209" s="111"/>
      <c r="AN209" s="111"/>
      <c r="AO209" s="111"/>
      <c r="AP209" s="111"/>
      <c r="AQ209" s="116"/>
      <c r="AR209" s="116"/>
      <c r="AS209" s="116"/>
    </row>
    <row r="210">
      <c r="A210" s="42" t="str">
        <f>IFERROR(__xludf.DUMMYFUNCTION("""COMPUTED_VALUE"""),"BL")</f>
        <v>BL</v>
      </c>
      <c r="B210" s="42"/>
      <c r="C210" s="42"/>
      <c r="D210" s="42" t="str">
        <f>IFERROR(__xludf.DUMMYFUNCTION("""COMPUTED_VALUE"""),"PaRh")</f>
        <v>PaRh</v>
      </c>
      <c r="E210" s="42"/>
      <c r="F210" s="42"/>
      <c r="G210" s="42"/>
      <c r="H210" s="42" t="str">
        <f>IFERROR(__xludf.DUMMYFUNCTION("""COMPUTED_VALUE"""),"")</f>
        <v/>
      </c>
      <c r="I210" s="42" t="str">
        <f>IFERROR(__xludf.DUMMYFUNCTION("""COMPUTED_VALUE"""),"Pitkänen, 2000")</f>
        <v>Pitkänen, 2000</v>
      </c>
      <c r="J210" s="42" t="str">
        <f>IFERROR(__xludf.DUMMYFUNCTION("""COMPUTED_VALUE"""),"Rat")</f>
        <v>Rat</v>
      </c>
      <c r="K210" s="42" t="str">
        <f>IFERROR(__xludf.DUMMYFUNCTION("""COMPUTED_VALUE"""),"Various tracing")</f>
        <v>Various tracing</v>
      </c>
      <c r="L210" s="42"/>
      <c r="M210" s="42" t="str">
        <f>IFERROR(__xludf.DUMMYFUNCTION("""COMPUTED_VALUE"""),"fig.3-fig.12 (to be specified)")</f>
        <v>fig.3-fig.12 (to be specified)</v>
      </c>
      <c r="N210" s="38"/>
      <c r="O210" s="31" t="str">
        <f>IFERROR(__xludf.DUMMYFUNCTION("""COMPUTED_VALUE"""),"DOC(alt)")</f>
        <v>DOC(alt)</v>
      </c>
      <c r="P210" s="9" t="str">
        <f>IFERROR(__xludf.DUMMYFUNCTION("""COMPUTED_VALUE"""),"Folia morphologica")</f>
        <v>Folia morphologica</v>
      </c>
      <c r="Q210" s="9" t="str">
        <f>IFERROR(__xludf.DUMMYFUNCTION("""COMPUTED_VALUE"""),"Review")</f>
        <v>Review</v>
      </c>
      <c r="R210" s="179" t="str">
        <f>IFERROR(__xludf.DUMMYFUNCTION("""COMPUTED_VALUE"""),"PaRh (00/00) [Pitkänen, 2000];
")</f>
        <v>PaRh (00/00) [Pitkänen, 2000];
</v>
      </c>
      <c r="S210" s="179" t="str">
        <f>IFERROR(__xludf.DUMMYFUNCTION("""COMPUTED_VALUE"""),"BLPaRh")</f>
        <v>BLPaRh</v>
      </c>
      <c r="T210" s="179" t="str">
        <f>IFERROR(__xludf.DUMMYFUNCTION("""COMPUTED_VALUE"""),"[Pitkänen, 2000]")</f>
        <v>[Pitkänen, 2000]</v>
      </c>
      <c r="U210" s="179">
        <f>IFERROR(__xludf.DUMMYFUNCTION("""COMPUTED_VALUE"""),0.0)</f>
        <v>0</v>
      </c>
      <c r="V210" s="180">
        <f>IFERROR(__xludf.DUMMYFUNCTION("""COMPUTED_VALUE"""),0.0)</f>
        <v>0</v>
      </c>
      <c r="W210" s="180">
        <f>IFERROR(__xludf.DUMMYFUNCTION("""COMPUTED_VALUE"""),0.95)</f>
        <v>0.95</v>
      </c>
      <c r="X210" s="42">
        <f>IFERROR(__xludf.DUMMYFUNCTION("""COMPUTED_VALUE"""),0.8)</f>
        <v>0.8</v>
      </c>
      <c r="Y210" s="42">
        <f>IFERROR(__xludf.DUMMYFUNCTION("""COMPUTED_VALUE"""),0.6)</f>
        <v>0.6</v>
      </c>
      <c r="Z210" s="9">
        <f>IFERROR(__xludf.DUMMYFUNCTION("""COMPUTED_VALUE"""),0.9)</f>
        <v>0.9</v>
      </c>
      <c r="AA210" s="181">
        <f>IFERROR(__xludf.DUMMYFUNCTION("""COMPUTED_VALUE"""),0.0)</f>
        <v>0</v>
      </c>
      <c r="AB210" s="181">
        <f>IFERROR(__xludf.DUMMYFUNCTION("""COMPUTED_VALUE"""),0.0)</f>
        <v>0</v>
      </c>
      <c r="AC210" s="179">
        <f>IFERROR(__xludf.DUMMYFUNCTION("""COMPUTED_VALUE"""),0.0)</f>
        <v>0</v>
      </c>
      <c r="AD210" s="165">
        <f>IFERROR(__xludf.DUMMYFUNCTION("""COMPUTED_VALUE"""),0.0)</f>
        <v>0</v>
      </c>
      <c r="AE210" s="39" t="str">
        <f>IFERROR(__xludf.DUMMYFUNCTION("""COMPUTED_VALUE"""),"Tatsuya Miyamoto")</f>
        <v>Tatsuya Miyamoto</v>
      </c>
      <c r="AF210" s="39" t="str">
        <f>IFERROR(__xludf.DUMMYFUNCTION("""COMPUTED_VALUE"""),"TM21Amygdala")</f>
        <v>TM21Amygdala</v>
      </c>
      <c r="AG210" s="39"/>
      <c r="AH210" s="39"/>
      <c r="AI210" s="165"/>
      <c r="AJ210" s="165"/>
      <c r="AK210" s="111"/>
      <c r="AL210" s="111"/>
      <c r="AM210" s="111"/>
      <c r="AN210" s="111"/>
      <c r="AO210" s="111"/>
      <c r="AP210" s="111"/>
      <c r="AQ210" s="116"/>
      <c r="AR210" s="116"/>
      <c r="AS210" s="116"/>
    </row>
    <row r="211">
      <c r="A211" s="42" t="str">
        <f>IFERROR(__xludf.DUMMYFUNCTION("""COMPUTED_VALUE"""),"BL")</f>
        <v>BL</v>
      </c>
      <c r="B211" s="42"/>
      <c r="C211" s="42"/>
      <c r="D211" s="42" t="str">
        <f>IFERROR(__xludf.DUMMYFUNCTION("""COMPUTED_VALUE"""),"PaV")</f>
        <v>PaV</v>
      </c>
      <c r="E211" s="42"/>
      <c r="F211" s="42"/>
      <c r="G211" s="42"/>
      <c r="H211" s="42" t="str">
        <f>IFERROR(__xludf.DUMMYFUNCTION("""COMPUTED_VALUE"""),"")</f>
        <v/>
      </c>
      <c r="I211" s="42" t="str">
        <f>IFERROR(__xludf.DUMMYFUNCTION("""COMPUTED_VALUE"""),"Pitkänen, 2000")</f>
        <v>Pitkänen, 2000</v>
      </c>
      <c r="J211" s="42" t="str">
        <f>IFERROR(__xludf.DUMMYFUNCTION("""COMPUTED_VALUE"""),"Rat")</f>
        <v>Rat</v>
      </c>
      <c r="K211" s="42" t="str">
        <f>IFERROR(__xludf.DUMMYFUNCTION("""COMPUTED_VALUE"""),"Various tracing")</f>
        <v>Various tracing</v>
      </c>
      <c r="L211" s="42"/>
      <c r="M211" s="42" t="str">
        <f>IFERROR(__xludf.DUMMYFUNCTION("""COMPUTED_VALUE"""),"fig.3-fig.12 (to be specified)")</f>
        <v>fig.3-fig.12 (to be specified)</v>
      </c>
      <c r="N211" s="38"/>
      <c r="O211" s="31" t="str">
        <f>IFERROR(__xludf.DUMMYFUNCTION("""COMPUTED_VALUE"""),"DOC(alt)")</f>
        <v>DOC(alt)</v>
      </c>
      <c r="P211" s="9" t="str">
        <f>IFERROR(__xludf.DUMMYFUNCTION("""COMPUTED_VALUE"""),"Folia morphologica")</f>
        <v>Folia morphologica</v>
      </c>
      <c r="Q211" s="9" t="str">
        <f>IFERROR(__xludf.DUMMYFUNCTION("""COMPUTED_VALUE"""),"Review")</f>
        <v>Review</v>
      </c>
      <c r="R211" s="179" t="str">
        <f>IFERROR(__xludf.DUMMYFUNCTION("""COMPUTED_VALUE"""),"PaV (00/00) [Pitkänen, 2000];
")</f>
        <v>PaV (00/00) [Pitkänen, 2000];
</v>
      </c>
      <c r="S211" s="179" t="str">
        <f>IFERROR(__xludf.DUMMYFUNCTION("""COMPUTED_VALUE"""),"BLPaV")</f>
        <v>BLPaV</v>
      </c>
      <c r="T211" s="179" t="str">
        <f>IFERROR(__xludf.DUMMYFUNCTION("""COMPUTED_VALUE"""),"[Pitkänen, 2000]")</f>
        <v>[Pitkänen, 2000]</v>
      </c>
      <c r="U211" s="179">
        <f>IFERROR(__xludf.DUMMYFUNCTION("""COMPUTED_VALUE"""),0.0)</f>
        <v>0</v>
      </c>
      <c r="V211" s="180">
        <f>IFERROR(__xludf.DUMMYFUNCTION("""COMPUTED_VALUE"""),0.0)</f>
        <v>0</v>
      </c>
      <c r="W211" s="180">
        <f>IFERROR(__xludf.DUMMYFUNCTION("""COMPUTED_VALUE"""),0.95)</f>
        <v>0.95</v>
      </c>
      <c r="X211" s="42">
        <f>IFERROR(__xludf.DUMMYFUNCTION("""COMPUTED_VALUE"""),0.8)</f>
        <v>0.8</v>
      </c>
      <c r="Y211" s="42">
        <f>IFERROR(__xludf.DUMMYFUNCTION("""COMPUTED_VALUE"""),0.6)</f>
        <v>0.6</v>
      </c>
      <c r="Z211" s="9">
        <f>IFERROR(__xludf.DUMMYFUNCTION("""COMPUTED_VALUE"""),0.9)</f>
        <v>0.9</v>
      </c>
      <c r="AA211" s="181">
        <f>IFERROR(__xludf.DUMMYFUNCTION("""COMPUTED_VALUE"""),0.0)</f>
        <v>0</v>
      </c>
      <c r="AB211" s="181">
        <f>IFERROR(__xludf.DUMMYFUNCTION("""COMPUTED_VALUE"""),0.0)</f>
        <v>0</v>
      </c>
      <c r="AC211" s="179">
        <f>IFERROR(__xludf.DUMMYFUNCTION("""COMPUTED_VALUE"""),0.0)</f>
        <v>0</v>
      </c>
      <c r="AD211" s="165">
        <f>IFERROR(__xludf.DUMMYFUNCTION("""COMPUTED_VALUE"""),0.0)</f>
        <v>0</v>
      </c>
      <c r="AE211" s="39" t="str">
        <f>IFERROR(__xludf.DUMMYFUNCTION("""COMPUTED_VALUE"""),"Tatsuya Miyamoto")</f>
        <v>Tatsuya Miyamoto</v>
      </c>
      <c r="AF211" s="39" t="str">
        <f>IFERROR(__xludf.DUMMYFUNCTION("""COMPUTED_VALUE"""),"TM21Amygdala")</f>
        <v>TM21Amygdala</v>
      </c>
      <c r="AG211" s="39"/>
      <c r="AH211" s="39"/>
      <c r="AI211" s="165"/>
      <c r="AJ211" s="165"/>
      <c r="AK211" s="111"/>
      <c r="AL211" s="111"/>
      <c r="AM211" s="111"/>
      <c r="AN211" s="111"/>
      <c r="AO211" s="111"/>
      <c r="AP211" s="111"/>
      <c r="AQ211" s="116"/>
      <c r="AR211" s="116"/>
      <c r="AS211" s="116"/>
    </row>
    <row r="212">
      <c r="A212" s="42" t="str">
        <f>IFERROR(__xludf.DUMMYFUNCTION("""COMPUTED_VALUE"""),"BL")</f>
        <v>BL</v>
      </c>
      <c r="B212" s="42"/>
      <c r="C212" s="42"/>
      <c r="D212" s="42" t="str">
        <f>IFERROR(__xludf.DUMMYFUNCTION("""COMPUTED_VALUE"""),"PL")</f>
        <v>PL</v>
      </c>
      <c r="E212" s="42"/>
      <c r="F212" s="42"/>
      <c r="G212" s="42"/>
      <c r="H212" s="42" t="str">
        <f>IFERROR(__xludf.DUMMYFUNCTION("""COMPUTED_VALUE"""),"")</f>
        <v/>
      </c>
      <c r="I212" s="42" t="str">
        <f>IFERROR(__xludf.DUMMYFUNCTION("""COMPUTED_VALUE"""),"Pitkänen, 2000")</f>
        <v>Pitkänen, 2000</v>
      </c>
      <c r="J212" s="42" t="str">
        <f>IFERROR(__xludf.DUMMYFUNCTION("""COMPUTED_VALUE"""),"Rat")</f>
        <v>Rat</v>
      </c>
      <c r="K212" s="42" t="str">
        <f>IFERROR(__xludf.DUMMYFUNCTION("""COMPUTED_VALUE"""),"Various tracing")</f>
        <v>Various tracing</v>
      </c>
      <c r="L212" s="42"/>
      <c r="M212" s="42" t="str">
        <f>IFERROR(__xludf.DUMMYFUNCTION("""COMPUTED_VALUE"""),"fig.3-fig.12 (to be specified)")</f>
        <v>fig.3-fig.12 (to be specified)</v>
      </c>
      <c r="N212" s="38"/>
      <c r="O212" s="31" t="str">
        <f>IFERROR(__xludf.DUMMYFUNCTION("""COMPUTED_VALUE"""),"DOC(alt)")</f>
        <v>DOC(alt)</v>
      </c>
      <c r="P212" s="9" t="str">
        <f>IFERROR(__xludf.DUMMYFUNCTION("""COMPUTED_VALUE"""),"Folia morphologica")</f>
        <v>Folia morphologica</v>
      </c>
      <c r="Q212" s="9" t="str">
        <f>IFERROR(__xludf.DUMMYFUNCTION("""COMPUTED_VALUE"""),"Review")</f>
        <v>Review</v>
      </c>
      <c r="R212" s="179" t="str">
        <f>IFERROR(__xludf.DUMMYFUNCTION("""COMPUTED_VALUE"""),"PL (00/00) [Pitkänen, 2000];
")</f>
        <v>PL (00/00) [Pitkänen, 2000];
</v>
      </c>
      <c r="S212" s="179" t="str">
        <f>IFERROR(__xludf.DUMMYFUNCTION("""COMPUTED_VALUE"""),"BLPL")</f>
        <v>BLPL</v>
      </c>
      <c r="T212" s="179" t="str">
        <f>IFERROR(__xludf.DUMMYFUNCTION("""COMPUTED_VALUE"""),"[Pitkänen, 2000]")</f>
        <v>[Pitkänen, 2000]</v>
      </c>
      <c r="U212" s="179">
        <f>IFERROR(__xludf.DUMMYFUNCTION("""COMPUTED_VALUE"""),0.0)</f>
        <v>0</v>
      </c>
      <c r="V212" s="180">
        <f>IFERROR(__xludf.DUMMYFUNCTION("""COMPUTED_VALUE"""),0.0)</f>
        <v>0</v>
      </c>
      <c r="W212" s="180">
        <f>IFERROR(__xludf.DUMMYFUNCTION("""COMPUTED_VALUE"""),0.95)</f>
        <v>0.95</v>
      </c>
      <c r="X212" s="42">
        <f>IFERROR(__xludf.DUMMYFUNCTION("""COMPUTED_VALUE"""),0.8)</f>
        <v>0.8</v>
      </c>
      <c r="Y212" s="42">
        <f>IFERROR(__xludf.DUMMYFUNCTION("""COMPUTED_VALUE"""),0.6)</f>
        <v>0.6</v>
      </c>
      <c r="Z212" s="9">
        <f>IFERROR(__xludf.DUMMYFUNCTION("""COMPUTED_VALUE"""),0.9)</f>
        <v>0.9</v>
      </c>
      <c r="AA212" s="181">
        <f>IFERROR(__xludf.DUMMYFUNCTION("""COMPUTED_VALUE"""),0.0)</f>
        <v>0</v>
      </c>
      <c r="AB212" s="181">
        <f>IFERROR(__xludf.DUMMYFUNCTION("""COMPUTED_VALUE"""),0.0)</f>
        <v>0</v>
      </c>
      <c r="AC212" s="179">
        <f>IFERROR(__xludf.DUMMYFUNCTION("""COMPUTED_VALUE"""),0.0)</f>
        <v>0</v>
      </c>
      <c r="AD212" s="165">
        <f>IFERROR(__xludf.DUMMYFUNCTION("""COMPUTED_VALUE"""),0.0)</f>
        <v>0</v>
      </c>
      <c r="AE212" s="39" t="str">
        <f>IFERROR(__xludf.DUMMYFUNCTION("""COMPUTED_VALUE"""),"Tatsuya Miyamoto")</f>
        <v>Tatsuya Miyamoto</v>
      </c>
      <c r="AF212" s="39" t="str">
        <f>IFERROR(__xludf.DUMMYFUNCTION("""COMPUTED_VALUE"""),"TM21Amygdala")</f>
        <v>TM21Amygdala</v>
      </c>
      <c r="AG212" s="39"/>
      <c r="AH212" s="39"/>
      <c r="AI212" s="165"/>
      <c r="AJ212" s="165"/>
      <c r="AK212" s="111"/>
      <c r="AL212" s="111"/>
      <c r="AM212" s="111"/>
      <c r="AN212" s="111"/>
      <c r="AO212" s="111"/>
      <c r="AP212" s="111"/>
      <c r="AQ212" s="116"/>
      <c r="AR212" s="116"/>
      <c r="AS212" s="116"/>
    </row>
    <row r="213">
      <c r="A213" s="42" t="str">
        <f>IFERROR(__xludf.DUMMYFUNCTION("""COMPUTED_VALUE"""),"BL")</f>
        <v>BL</v>
      </c>
      <c r="B213" s="42"/>
      <c r="C213" s="42"/>
      <c r="D213" s="42" t="str">
        <f>IFERROR(__xludf.DUMMYFUNCTION("""COMPUTED_VALUE"""),"PRCv")</f>
        <v>PRCv</v>
      </c>
      <c r="E213" s="42"/>
      <c r="F213" s="42"/>
      <c r="G213" s="42"/>
      <c r="H213" s="42" t="str">
        <f>IFERROR(__xludf.DUMMYFUNCTION("""COMPUTED_VALUE"""),"")</f>
        <v/>
      </c>
      <c r="I213" s="42" t="str">
        <f>IFERROR(__xludf.DUMMYFUNCTION("""COMPUTED_VALUE"""),"Pitkänen, 2000")</f>
        <v>Pitkänen, 2000</v>
      </c>
      <c r="J213" s="42" t="str">
        <f>IFERROR(__xludf.DUMMYFUNCTION("""COMPUTED_VALUE"""),"Rat")</f>
        <v>Rat</v>
      </c>
      <c r="K213" s="42" t="str">
        <f>IFERROR(__xludf.DUMMYFUNCTION("""COMPUTED_VALUE"""),"Various tracing")</f>
        <v>Various tracing</v>
      </c>
      <c r="L213" s="42"/>
      <c r="M213" s="42" t="str">
        <f>IFERROR(__xludf.DUMMYFUNCTION("""COMPUTED_VALUE"""),"fig.3-fig.12 (to be specified)")</f>
        <v>fig.3-fig.12 (to be specified)</v>
      </c>
      <c r="N213" s="38"/>
      <c r="O213" s="31" t="str">
        <f>IFERROR(__xludf.DUMMYFUNCTION("""COMPUTED_VALUE"""),"DOC(alt)")</f>
        <v>DOC(alt)</v>
      </c>
      <c r="P213" s="9" t="str">
        <f>IFERROR(__xludf.DUMMYFUNCTION("""COMPUTED_VALUE"""),"Folia morphologica")</f>
        <v>Folia morphologica</v>
      </c>
      <c r="Q213" s="9" t="str">
        <f>IFERROR(__xludf.DUMMYFUNCTION("""COMPUTED_VALUE"""),"Review")</f>
        <v>Review</v>
      </c>
      <c r="R213" s="179" t="str">
        <f>IFERROR(__xludf.DUMMYFUNCTION("""COMPUTED_VALUE"""),"PRCv (00/00) [Pitkänen, 2000];
")</f>
        <v>PRCv (00/00) [Pitkänen, 2000];
</v>
      </c>
      <c r="S213" s="179" t="str">
        <f>IFERROR(__xludf.DUMMYFUNCTION("""COMPUTED_VALUE"""),"BLPRCv")</f>
        <v>BLPRCv</v>
      </c>
      <c r="T213" s="179" t="str">
        <f>IFERROR(__xludf.DUMMYFUNCTION("""COMPUTED_VALUE"""),"[Pitkänen, 2000]")</f>
        <v>[Pitkänen, 2000]</v>
      </c>
      <c r="U213" s="179">
        <f>IFERROR(__xludf.DUMMYFUNCTION("""COMPUTED_VALUE"""),0.0)</f>
        <v>0</v>
      </c>
      <c r="V213" s="180">
        <f>IFERROR(__xludf.DUMMYFUNCTION("""COMPUTED_VALUE"""),0.0)</f>
        <v>0</v>
      </c>
      <c r="W213" s="180">
        <f>IFERROR(__xludf.DUMMYFUNCTION("""COMPUTED_VALUE"""),0.95)</f>
        <v>0.95</v>
      </c>
      <c r="X213" s="42">
        <f>IFERROR(__xludf.DUMMYFUNCTION("""COMPUTED_VALUE"""),0.8)</f>
        <v>0.8</v>
      </c>
      <c r="Y213" s="42">
        <f>IFERROR(__xludf.DUMMYFUNCTION("""COMPUTED_VALUE"""),0.6)</f>
        <v>0.6</v>
      </c>
      <c r="Z213" s="9">
        <f>IFERROR(__xludf.DUMMYFUNCTION("""COMPUTED_VALUE"""),0.9)</f>
        <v>0.9</v>
      </c>
      <c r="AA213" s="181">
        <f>IFERROR(__xludf.DUMMYFUNCTION("""COMPUTED_VALUE"""),0.0)</f>
        <v>0</v>
      </c>
      <c r="AB213" s="181">
        <f>IFERROR(__xludf.DUMMYFUNCTION("""COMPUTED_VALUE"""),0.0)</f>
        <v>0</v>
      </c>
      <c r="AC213" s="179">
        <f>IFERROR(__xludf.DUMMYFUNCTION("""COMPUTED_VALUE"""),0.0)</f>
        <v>0</v>
      </c>
      <c r="AD213" s="165">
        <f>IFERROR(__xludf.DUMMYFUNCTION("""COMPUTED_VALUE"""),0.0)</f>
        <v>0</v>
      </c>
      <c r="AE213" s="39" t="str">
        <f>IFERROR(__xludf.DUMMYFUNCTION("""COMPUTED_VALUE"""),"Tatsuya Miyamoto")</f>
        <v>Tatsuya Miyamoto</v>
      </c>
      <c r="AF213" s="39" t="str">
        <f>IFERROR(__xludf.DUMMYFUNCTION("""COMPUTED_VALUE"""),"TM21Amygdala")</f>
        <v>TM21Amygdala</v>
      </c>
      <c r="AG213" s="39"/>
      <c r="AH213" s="39"/>
      <c r="AI213" s="165"/>
      <c r="AJ213" s="165"/>
      <c r="AK213" s="111"/>
      <c r="AL213" s="111"/>
      <c r="AM213" s="111"/>
      <c r="AN213" s="111"/>
      <c r="AO213" s="111"/>
      <c r="AP213" s="111"/>
      <c r="AQ213" s="116"/>
      <c r="AR213" s="116"/>
      <c r="AS213" s="116"/>
    </row>
    <row r="214">
      <c r="A214" s="42" t="str">
        <f>IFERROR(__xludf.DUMMYFUNCTION("""COMPUTED_VALUE"""),"BL")</f>
        <v>BL</v>
      </c>
      <c r="B214" s="42"/>
      <c r="C214" s="42"/>
      <c r="D214" s="42" t="str">
        <f>IFERROR(__xludf.DUMMYFUNCTION("""COMPUTED_VALUE"""),"S")</f>
        <v>S</v>
      </c>
      <c r="E214" s="42"/>
      <c r="F214" s="42"/>
      <c r="G214" s="42"/>
      <c r="H214" s="42" t="str">
        <f>IFERROR(__xludf.DUMMYFUNCTION("""COMPUTED_VALUE"""),"")</f>
        <v/>
      </c>
      <c r="I214" s="42" t="str">
        <f>IFERROR(__xludf.DUMMYFUNCTION("""COMPUTED_VALUE"""),"Pitkänen, 2000")</f>
        <v>Pitkänen, 2000</v>
      </c>
      <c r="J214" s="42" t="str">
        <f>IFERROR(__xludf.DUMMYFUNCTION("""COMPUTED_VALUE"""),"Rat")</f>
        <v>Rat</v>
      </c>
      <c r="K214" s="42" t="str">
        <f>IFERROR(__xludf.DUMMYFUNCTION("""COMPUTED_VALUE"""),"Various tracing")</f>
        <v>Various tracing</v>
      </c>
      <c r="L214" s="42"/>
      <c r="M214" s="42" t="str">
        <f>IFERROR(__xludf.DUMMYFUNCTION("""COMPUTED_VALUE"""),"fig.3-fig.12 (to be specified)")</f>
        <v>fig.3-fig.12 (to be specified)</v>
      </c>
      <c r="N214" s="38"/>
      <c r="O214" s="31" t="str">
        <f>IFERROR(__xludf.DUMMYFUNCTION("""COMPUTED_VALUE"""),"DOC(alt)")</f>
        <v>DOC(alt)</v>
      </c>
      <c r="P214" s="9" t="str">
        <f>IFERROR(__xludf.DUMMYFUNCTION("""COMPUTED_VALUE"""),"Folia morphologica")</f>
        <v>Folia morphologica</v>
      </c>
      <c r="Q214" s="9" t="str">
        <f>IFERROR(__xludf.DUMMYFUNCTION("""COMPUTED_VALUE"""),"Review")</f>
        <v>Review</v>
      </c>
      <c r="R214" s="179" t="str">
        <f>IFERROR(__xludf.DUMMYFUNCTION("""COMPUTED_VALUE"""),"S (00/00) [Pitkänen, 2000];
")</f>
        <v>S (00/00) [Pitkänen, 2000];
</v>
      </c>
      <c r="S214" s="179" t="str">
        <f>IFERROR(__xludf.DUMMYFUNCTION("""COMPUTED_VALUE"""),"BLS")</f>
        <v>BLS</v>
      </c>
      <c r="T214" s="179" t="str">
        <f>IFERROR(__xludf.DUMMYFUNCTION("""COMPUTED_VALUE"""),"[Pitkänen, 2000]")</f>
        <v>[Pitkänen, 2000]</v>
      </c>
      <c r="U214" s="179">
        <f>IFERROR(__xludf.DUMMYFUNCTION("""COMPUTED_VALUE"""),0.0)</f>
        <v>0</v>
      </c>
      <c r="V214" s="180">
        <f>IFERROR(__xludf.DUMMYFUNCTION("""COMPUTED_VALUE"""),0.0)</f>
        <v>0</v>
      </c>
      <c r="W214" s="180">
        <f>IFERROR(__xludf.DUMMYFUNCTION("""COMPUTED_VALUE"""),0.95)</f>
        <v>0.95</v>
      </c>
      <c r="X214" s="42">
        <f>IFERROR(__xludf.DUMMYFUNCTION("""COMPUTED_VALUE"""),0.8)</f>
        <v>0.8</v>
      </c>
      <c r="Y214" s="42">
        <f>IFERROR(__xludf.DUMMYFUNCTION("""COMPUTED_VALUE"""),0.6)</f>
        <v>0.6</v>
      </c>
      <c r="Z214" s="9">
        <f>IFERROR(__xludf.DUMMYFUNCTION("""COMPUTED_VALUE"""),0.9)</f>
        <v>0.9</v>
      </c>
      <c r="AA214" s="181">
        <f>IFERROR(__xludf.DUMMYFUNCTION("""COMPUTED_VALUE"""),0.0)</f>
        <v>0</v>
      </c>
      <c r="AB214" s="181">
        <f>IFERROR(__xludf.DUMMYFUNCTION("""COMPUTED_VALUE"""),0.0)</f>
        <v>0</v>
      </c>
      <c r="AC214" s="179">
        <f>IFERROR(__xludf.DUMMYFUNCTION("""COMPUTED_VALUE"""),0.0)</f>
        <v>0</v>
      </c>
      <c r="AD214" s="165">
        <f>IFERROR(__xludf.DUMMYFUNCTION("""COMPUTED_VALUE"""),0.0)</f>
        <v>0</v>
      </c>
      <c r="AE214" s="39" t="str">
        <f>IFERROR(__xludf.DUMMYFUNCTION("""COMPUTED_VALUE"""),"Tatsuya Miyamoto")</f>
        <v>Tatsuya Miyamoto</v>
      </c>
      <c r="AF214" s="39" t="str">
        <f>IFERROR(__xludf.DUMMYFUNCTION("""COMPUTED_VALUE"""),"TM21Amygdala")</f>
        <v>TM21Amygdala</v>
      </c>
      <c r="AG214" s="39"/>
      <c r="AH214" s="39"/>
      <c r="AI214" s="165"/>
      <c r="AJ214" s="165"/>
      <c r="AK214" s="111"/>
      <c r="AL214" s="111"/>
      <c r="AM214" s="111"/>
      <c r="AN214" s="111"/>
      <c r="AO214" s="111"/>
      <c r="AP214" s="111"/>
      <c r="AQ214" s="116"/>
      <c r="AR214" s="116"/>
      <c r="AS214" s="116"/>
    </row>
    <row r="215">
      <c r="A215" s="42" t="str">
        <f>IFERROR(__xludf.DUMMYFUNCTION("""COMPUTED_VALUE"""),"BM")</f>
        <v>BM</v>
      </c>
      <c r="B215" s="42"/>
      <c r="C215" s="42"/>
      <c r="D215" s="42" t="str">
        <f>IFERROR(__xludf.DUMMYFUNCTION("""COMPUTED_VALUE"""),"AIp")</f>
        <v>AIp</v>
      </c>
      <c r="E215" s="42"/>
      <c r="F215" s="42"/>
      <c r="G215" s="42"/>
      <c r="H215" s="42" t="str">
        <f>IFERROR(__xludf.DUMMYFUNCTION("""COMPUTED_VALUE"""),"")</f>
        <v/>
      </c>
      <c r="I215" s="42" t="str">
        <f>IFERROR(__xludf.DUMMYFUNCTION("""COMPUTED_VALUE"""),"Pitkänen, 2000")</f>
        <v>Pitkänen, 2000</v>
      </c>
      <c r="J215" s="42" t="str">
        <f>IFERROR(__xludf.DUMMYFUNCTION("""COMPUTED_VALUE"""),"Rat")</f>
        <v>Rat</v>
      </c>
      <c r="K215" s="42" t="str">
        <f>IFERROR(__xludf.DUMMYFUNCTION("""COMPUTED_VALUE"""),"Various tracing")</f>
        <v>Various tracing</v>
      </c>
      <c r="L215" s="42"/>
      <c r="M215" s="42" t="str">
        <f>IFERROR(__xludf.DUMMYFUNCTION("""COMPUTED_VALUE"""),"fig.3-fig.12 (to be specified)")</f>
        <v>fig.3-fig.12 (to be specified)</v>
      </c>
      <c r="N215" s="38"/>
      <c r="O215" s="31" t="str">
        <f>IFERROR(__xludf.DUMMYFUNCTION("""COMPUTED_VALUE"""),"DOC(alt)")</f>
        <v>DOC(alt)</v>
      </c>
      <c r="P215" s="9" t="str">
        <f>IFERROR(__xludf.DUMMYFUNCTION("""COMPUTED_VALUE"""),"Folia morphologica")</f>
        <v>Folia morphologica</v>
      </c>
      <c r="Q215" s="9" t="str">
        <f>IFERROR(__xludf.DUMMYFUNCTION("""COMPUTED_VALUE"""),"Review")</f>
        <v>Review</v>
      </c>
      <c r="R215" s="179" t="str">
        <f>IFERROR(__xludf.DUMMYFUNCTION("""COMPUTED_VALUE"""),"AIp (00/00) [Pitkänen, 2000];
")</f>
        <v>AIp (00/00) [Pitkänen, 2000];
</v>
      </c>
      <c r="S215" s="179" t="str">
        <f>IFERROR(__xludf.DUMMYFUNCTION("""COMPUTED_VALUE"""),"BMAIp")</f>
        <v>BMAIp</v>
      </c>
      <c r="T215" s="179" t="str">
        <f>IFERROR(__xludf.DUMMYFUNCTION("""COMPUTED_VALUE"""),"[Pitkänen, 2000]")</f>
        <v>[Pitkänen, 2000]</v>
      </c>
      <c r="U215" s="179">
        <f>IFERROR(__xludf.DUMMYFUNCTION("""COMPUTED_VALUE"""),0.0)</f>
        <v>0</v>
      </c>
      <c r="V215" s="180">
        <f>IFERROR(__xludf.DUMMYFUNCTION("""COMPUTED_VALUE"""),0.0)</f>
        <v>0</v>
      </c>
      <c r="W215" s="180">
        <f>IFERROR(__xludf.DUMMYFUNCTION("""COMPUTED_VALUE"""),0.95)</f>
        <v>0.95</v>
      </c>
      <c r="X215" s="42">
        <f>IFERROR(__xludf.DUMMYFUNCTION("""COMPUTED_VALUE"""),0.8)</f>
        <v>0.8</v>
      </c>
      <c r="Y215" s="42">
        <f>IFERROR(__xludf.DUMMYFUNCTION("""COMPUTED_VALUE"""),0.6)</f>
        <v>0.6</v>
      </c>
      <c r="Z215" s="9">
        <f>IFERROR(__xludf.DUMMYFUNCTION("""COMPUTED_VALUE"""),0.9)</f>
        <v>0.9</v>
      </c>
      <c r="AA215" s="181">
        <f>IFERROR(__xludf.DUMMYFUNCTION("""COMPUTED_VALUE"""),0.0)</f>
        <v>0</v>
      </c>
      <c r="AB215" s="181">
        <f>IFERROR(__xludf.DUMMYFUNCTION("""COMPUTED_VALUE"""),0.0)</f>
        <v>0</v>
      </c>
      <c r="AC215" s="179">
        <f>IFERROR(__xludf.DUMMYFUNCTION("""COMPUTED_VALUE"""),0.0)</f>
        <v>0</v>
      </c>
      <c r="AD215" s="165">
        <f>IFERROR(__xludf.DUMMYFUNCTION("""COMPUTED_VALUE"""),0.0)</f>
        <v>0</v>
      </c>
      <c r="AE215" s="39" t="str">
        <f>IFERROR(__xludf.DUMMYFUNCTION("""COMPUTED_VALUE"""),"Tatsuya Miyamoto")</f>
        <v>Tatsuya Miyamoto</v>
      </c>
      <c r="AF215" s="39" t="str">
        <f>IFERROR(__xludf.DUMMYFUNCTION("""COMPUTED_VALUE"""),"TM21Amygdala")</f>
        <v>TM21Amygdala</v>
      </c>
      <c r="AG215" s="39"/>
      <c r="AH215" s="39"/>
      <c r="AI215" s="165"/>
      <c r="AJ215" s="165"/>
      <c r="AK215" s="111"/>
      <c r="AL215" s="111"/>
      <c r="AM215" s="111"/>
      <c r="AN215" s="111"/>
      <c r="AO215" s="111"/>
      <c r="AP215" s="111"/>
      <c r="AQ215" s="116"/>
      <c r="AR215" s="116"/>
      <c r="AS215" s="116"/>
    </row>
    <row r="216">
      <c r="A216" s="42" t="str">
        <f>IFERROR(__xludf.DUMMYFUNCTION("""COMPUTED_VALUE"""),"BM")</f>
        <v>BM</v>
      </c>
      <c r="B216" s="42"/>
      <c r="C216" s="42"/>
      <c r="D216" s="42" t="str">
        <f>IFERROR(__xludf.DUMMYFUNCTION("""COMPUTED_VALUE"""),"EC")</f>
        <v>EC</v>
      </c>
      <c r="E216" s="42"/>
      <c r="F216" s="42"/>
      <c r="G216" s="42"/>
      <c r="H216" s="42" t="str">
        <f>IFERROR(__xludf.DUMMYFUNCTION("""COMPUTED_VALUE"""),"")</f>
        <v/>
      </c>
      <c r="I216" s="42" t="str">
        <f>IFERROR(__xludf.DUMMYFUNCTION("""COMPUTED_VALUE"""),"Pitkänen, 2000")</f>
        <v>Pitkänen, 2000</v>
      </c>
      <c r="J216" s="42" t="str">
        <f>IFERROR(__xludf.DUMMYFUNCTION("""COMPUTED_VALUE"""),"Rat")</f>
        <v>Rat</v>
      </c>
      <c r="K216" s="42" t="str">
        <f>IFERROR(__xludf.DUMMYFUNCTION("""COMPUTED_VALUE"""),"Various tracing")</f>
        <v>Various tracing</v>
      </c>
      <c r="L216" s="42"/>
      <c r="M216" s="42" t="str">
        <f>IFERROR(__xludf.DUMMYFUNCTION("""COMPUTED_VALUE"""),"fig.3-fig.12 (to be specified)")</f>
        <v>fig.3-fig.12 (to be specified)</v>
      </c>
      <c r="N216" s="38"/>
      <c r="O216" s="31" t="str">
        <f>IFERROR(__xludf.DUMMYFUNCTION("""COMPUTED_VALUE"""),"DOC(alt)")</f>
        <v>DOC(alt)</v>
      </c>
      <c r="P216" s="9" t="str">
        <f>IFERROR(__xludf.DUMMYFUNCTION("""COMPUTED_VALUE"""),"Folia morphologica")</f>
        <v>Folia morphologica</v>
      </c>
      <c r="Q216" s="9" t="str">
        <f>IFERROR(__xludf.DUMMYFUNCTION("""COMPUTED_VALUE"""),"Review")</f>
        <v>Review</v>
      </c>
      <c r="R216" s="179" t="str">
        <f>IFERROR(__xludf.DUMMYFUNCTION("""COMPUTED_VALUE"""),"EC (00/00) [Pitkänen, 2000];
")</f>
        <v>EC (00/00) [Pitkänen, 2000];
</v>
      </c>
      <c r="S216" s="179" t="str">
        <f>IFERROR(__xludf.DUMMYFUNCTION("""COMPUTED_VALUE"""),"BMEC")</f>
        <v>BMEC</v>
      </c>
      <c r="T216" s="179" t="str">
        <f>IFERROR(__xludf.DUMMYFUNCTION("""COMPUTED_VALUE"""),"[Pitkänen, 2000]")</f>
        <v>[Pitkänen, 2000]</v>
      </c>
      <c r="U216" s="179">
        <f>IFERROR(__xludf.DUMMYFUNCTION("""COMPUTED_VALUE"""),0.0)</f>
        <v>0</v>
      </c>
      <c r="V216" s="180">
        <f>IFERROR(__xludf.DUMMYFUNCTION("""COMPUTED_VALUE"""),0.0)</f>
        <v>0</v>
      </c>
      <c r="W216" s="180">
        <f>IFERROR(__xludf.DUMMYFUNCTION("""COMPUTED_VALUE"""),0.95)</f>
        <v>0.95</v>
      </c>
      <c r="X216" s="42">
        <f>IFERROR(__xludf.DUMMYFUNCTION("""COMPUTED_VALUE"""),0.8)</f>
        <v>0.8</v>
      </c>
      <c r="Y216" s="42">
        <f>IFERROR(__xludf.DUMMYFUNCTION("""COMPUTED_VALUE"""),0.6)</f>
        <v>0.6</v>
      </c>
      <c r="Z216" s="9">
        <f>IFERROR(__xludf.DUMMYFUNCTION("""COMPUTED_VALUE"""),0.9)</f>
        <v>0.9</v>
      </c>
      <c r="AA216" s="181">
        <f>IFERROR(__xludf.DUMMYFUNCTION("""COMPUTED_VALUE"""),0.0)</f>
        <v>0</v>
      </c>
      <c r="AB216" s="181">
        <f>IFERROR(__xludf.DUMMYFUNCTION("""COMPUTED_VALUE"""),0.0)</f>
        <v>0</v>
      </c>
      <c r="AC216" s="179">
        <f>IFERROR(__xludf.DUMMYFUNCTION("""COMPUTED_VALUE"""),0.0)</f>
        <v>0</v>
      </c>
      <c r="AD216" s="165">
        <f>IFERROR(__xludf.DUMMYFUNCTION("""COMPUTED_VALUE"""),0.0)</f>
        <v>0</v>
      </c>
      <c r="AE216" s="39" t="str">
        <f>IFERROR(__xludf.DUMMYFUNCTION("""COMPUTED_VALUE"""),"Tatsuya Miyamoto")</f>
        <v>Tatsuya Miyamoto</v>
      </c>
      <c r="AF216" s="39" t="str">
        <f>IFERROR(__xludf.DUMMYFUNCTION("""COMPUTED_VALUE"""),"TM21Amygdala")</f>
        <v>TM21Amygdala</v>
      </c>
      <c r="AG216" s="39"/>
      <c r="AH216" s="39"/>
      <c r="AI216" s="165"/>
      <c r="AJ216" s="165"/>
      <c r="AK216" s="111"/>
      <c r="AL216" s="111"/>
      <c r="AM216" s="111"/>
      <c r="AN216" s="111"/>
      <c r="AO216" s="111"/>
      <c r="AP216" s="111"/>
      <c r="AQ216" s="116"/>
      <c r="AR216" s="116"/>
      <c r="AS216" s="116"/>
    </row>
    <row r="217">
      <c r="A217" s="42" t="str">
        <f>IFERROR(__xludf.DUMMYFUNCTION("""COMPUTED_VALUE"""),"BM")</f>
        <v>BM</v>
      </c>
      <c r="B217" s="42"/>
      <c r="C217" s="42"/>
      <c r="D217" s="42" t="str">
        <f>IFERROR(__xludf.DUMMYFUNCTION("""COMPUTED_VALUE"""),"IL")</f>
        <v>IL</v>
      </c>
      <c r="E217" s="42"/>
      <c r="F217" s="42"/>
      <c r="G217" s="42"/>
      <c r="H217" s="42" t="str">
        <f>IFERROR(__xludf.DUMMYFUNCTION("""COMPUTED_VALUE"""),"")</f>
        <v/>
      </c>
      <c r="I217" s="42" t="str">
        <f>IFERROR(__xludf.DUMMYFUNCTION("""COMPUTED_VALUE"""),"Pitkänen, 2000")</f>
        <v>Pitkänen, 2000</v>
      </c>
      <c r="J217" s="42" t="str">
        <f>IFERROR(__xludf.DUMMYFUNCTION("""COMPUTED_VALUE"""),"Rat")</f>
        <v>Rat</v>
      </c>
      <c r="K217" s="42" t="str">
        <f>IFERROR(__xludf.DUMMYFUNCTION("""COMPUTED_VALUE"""),"Various tracing")</f>
        <v>Various tracing</v>
      </c>
      <c r="L217" s="42"/>
      <c r="M217" s="42" t="str">
        <f>IFERROR(__xludf.DUMMYFUNCTION("""COMPUTED_VALUE"""),"fig.3-fig.12 (to be specified)")</f>
        <v>fig.3-fig.12 (to be specified)</v>
      </c>
      <c r="N217" s="38"/>
      <c r="O217" s="31" t="str">
        <f>IFERROR(__xludf.DUMMYFUNCTION("""COMPUTED_VALUE"""),"DOC(alt)")</f>
        <v>DOC(alt)</v>
      </c>
      <c r="P217" s="9" t="str">
        <f>IFERROR(__xludf.DUMMYFUNCTION("""COMPUTED_VALUE"""),"Folia morphologica")</f>
        <v>Folia morphologica</v>
      </c>
      <c r="Q217" s="9" t="str">
        <f>IFERROR(__xludf.DUMMYFUNCTION("""COMPUTED_VALUE"""),"Review")</f>
        <v>Review</v>
      </c>
      <c r="R217" s="179" t="str">
        <f>IFERROR(__xludf.DUMMYFUNCTION("""COMPUTED_VALUE"""),"IL (00/00) [Pitkänen, 2000];
")</f>
        <v>IL (00/00) [Pitkänen, 2000];
</v>
      </c>
      <c r="S217" s="179" t="str">
        <f>IFERROR(__xludf.DUMMYFUNCTION("""COMPUTED_VALUE"""),"BMIL")</f>
        <v>BMIL</v>
      </c>
      <c r="T217" s="179" t="str">
        <f>IFERROR(__xludf.DUMMYFUNCTION("""COMPUTED_VALUE"""),"[Pitkänen, 2000]")</f>
        <v>[Pitkänen, 2000]</v>
      </c>
      <c r="U217" s="179">
        <f>IFERROR(__xludf.DUMMYFUNCTION("""COMPUTED_VALUE"""),0.0)</f>
        <v>0</v>
      </c>
      <c r="V217" s="180">
        <f>IFERROR(__xludf.DUMMYFUNCTION("""COMPUTED_VALUE"""),0.0)</f>
        <v>0</v>
      </c>
      <c r="W217" s="180">
        <f>IFERROR(__xludf.DUMMYFUNCTION("""COMPUTED_VALUE"""),0.95)</f>
        <v>0.95</v>
      </c>
      <c r="X217" s="42">
        <f>IFERROR(__xludf.DUMMYFUNCTION("""COMPUTED_VALUE"""),0.8)</f>
        <v>0.8</v>
      </c>
      <c r="Y217" s="42">
        <f>IFERROR(__xludf.DUMMYFUNCTION("""COMPUTED_VALUE"""),0.6)</f>
        <v>0.6</v>
      </c>
      <c r="Z217" s="9">
        <f>IFERROR(__xludf.DUMMYFUNCTION("""COMPUTED_VALUE"""),0.9)</f>
        <v>0.9</v>
      </c>
      <c r="AA217" s="181">
        <f>IFERROR(__xludf.DUMMYFUNCTION("""COMPUTED_VALUE"""),0.0)</f>
        <v>0</v>
      </c>
      <c r="AB217" s="181">
        <f>IFERROR(__xludf.DUMMYFUNCTION("""COMPUTED_VALUE"""),0.0)</f>
        <v>0</v>
      </c>
      <c r="AC217" s="179">
        <f>IFERROR(__xludf.DUMMYFUNCTION("""COMPUTED_VALUE"""),0.0)</f>
        <v>0</v>
      </c>
      <c r="AD217" s="165">
        <f>IFERROR(__xludf.DUMMYFUNCTION("""COMPUTED_VALUE"""),0.0)</f>
        <v>0</v>
      </c>
      <c r="AE217" s="39" t="str">
        <f>IFERROR(__xludf.DUMMYFUNCTION("""COMPUTED_VALUE"""),"Tatsuya Miyamoto")</f>
        <v>Tatsuya Miyamoto</v>
      </c>
      <c r="AF217" s="39" t="str">
        <f>IFERROR(__xludf.DUMMYFUNCTION("""COMPUTED_VALUE"""),"TM21Amygdala")</f>
        <v>TM21Amygdala</v>
      </c>
      <c r="AG217" s="39"/>
      <c r="AH217" s="39"/>
      <c r="AI217" s="165"/>
      <c r="AJ217" s="165"/>
      <c r="AK217" s="111"/>
      <c r="AL217" s="111"/>
      <c r="AM217" s="111"/>
      <c r="AN217" s="111"/>
      <c r="AO217" s="111"/>
      <c r="AP217" s="111"/>
      <c r="AQ217" s="116"/>
      <c r="AR217" s="116"/>
      <c r="AS217" s="116"/>
    </row>
    <row r="218">
      <c r="A218" s="42" t="str">
        <f>IFERROR(__xludf.DUMMYFUNCTION("""COMPUTED_VALUE"""),"BM")</f>
        <v>BM</v>
      </c>
      <c r="B218" s="42"/>
      <c r="C218" s="42"/>
      <c r="D218" s="42" t="str">
        <f>IFERROR(__xludf.DUMMYFUNCTION("""COMPUTED_VALUE"""),"PaRh")</f>
        <v>PaRh</v>
      </c>
      <c r="E218" s="42"/>
      <c r="F218" s="42"/>
      <c r="G218" s="42"/>
      <c r="H218" s="42" t="str">
        <f>IFERROR(__xludf.DUMMYFUNCTION("""COMPUTED_VALUE"""),"")</f>
        <v/>
      </c>
      <c r="I218" s="42" t="str">
        <f>IFERROR(__xludf.DUMMYFUNCTION("""COMPUTED_VALUE"""),"Pitkänen, 2000")</f>
        <v>Pitkänen, 2000</v>
      </c>
      <c r="J218" s="42" t="str">
        <f>IFERROR(__xludf.DUMMYFUNCTION("""COMPUTED_VALUE"""),"Rat")</f>
        <v>Rat</v>
      </c>
      <c r="K218" s="42" t="str">
        <f>IFERROR(__xludf.DUMMYFUNCTION("""COMPUTED_VALUE"""),"Various tracing")</f>
        <v>Various tracing</v>
      </c>
      <c r="L218" s="42"/>
      <c r="M218" s="42" t="str">
        <f>IFERROR(__xludf.DUMMYFUNCTION("""COMPUTED_VALUE"""),"fig.3-fig.12 (to be specified)")</f>
        <v>fig.3-fig.12 (to be specified)</v>
      </c>
      <c r="N218" s="38"/>
      <c r="O218" s="31" t="str">
        <f>IFERROR(__xludf.DUMMYFUNCTION("""COMPUTED_VALUE"""),"DOC(alt)")</f>
        <v>DOC(alt)</v>
      </c>
      <c r="P218" s="9" t="str">
        <f>IFERROR(__xludf.DUMMYFUNCTION("""COMPUTED_VALUE"""),"Folia morphologica")</f>
        <v>Folia morphologica</v>
      </c>
      <c r="Q218" s="9" t="str">
        <f>IFERROR(__xludf.DUMMYFUNCTION("""COMPUTED_VALUE"""),"Review")</f>
        <v>Review</v>
      </c>
      <c r="R218" s="179" t="str">
        <f>IFERROR(__xludf.DUMMYFUNCTION("""COMPUTED_VALUE"""),"PaRh (00/00) [Pitkänen, 2000];
")</f>
        <v>PaRh (00/00) [Pitkänen, 2000];
</v>
      </c>
      <c r="S218" s="179" t="str">
        <f>IFERROR(__xludf.DUMMYFUNCTION("""COMPUTED_VALUE"""),"BMPaRh")</f>
        <v>BMPaRh</v>
      </c>
      <c r="T218" s="179" t="str">
        <f>IFERROR(__xludf.DUMMYFUNCTION("""COMPUTED_VALUE"""),"[Pitkänen, 2000]")</f>
        <v>[Pitkänen, 2000]</v>
      </c>
      <c r="U218" s="179">
        <f>IFERROR(__xludf.DUMMYFUNCTION("""COMPUTED_VALUE"""),0.0)</f>
        <v>0</v>
      </c>
      <c r="V218" s="180">
        <f>IFERROR(__xludf.DUMMYFUNCTION("""COMPUTED_VALUE"""),0.0)</f>
        <v>0</v>
      </c>
      <c r="W218" s="180">
        <f>IFERROR(__xludf.DUMMYFUNCTION("""COMPUTED_VALUE"""),0.95)</f>
        <v>0.95</v>
      </c>
      <c r="X218" s="42">
        <f>IFERROR(__xludf.DUMMYFUNCTION("""COMPUTED_VALUE"""),0.8)</f>
        <v>0.8</v>
      </c>
      <c r="Y218" s="42">
        <f>IFERROR(__xludf.DUMMYFUNCTION("""COMPUTED_VALUE"""),0.6)</f>
        <v>0.6</v>
      </c>
      <c r="Z218" s="9">
        <f>IFERROR(__xludf.DUMMYFUNCTION("""COMPUTED_VALUE"""),0.9)</f>
        <v>0.9</v>
      </c>
      <c r="AA218" s="181">
        <f>IFERROR(__xludf.DUMMYFUNCTION("""COMPUTED_VALUE"""),0.0)</f>
        <v>0</v>
      </c>
      <c r="AB218" s="181">
        <f>IFERROR(__xludf.DUMMYFUNCTION("""COMPUTED_VALUE"""),0.0)</f>
        <v>0</v>
      </c>
      <c r="AC218" s="179">
        <f>IFERROR(__xludf.DUMMYFUNCTION("""COMPUTED_VALUE"""),0.0)</f>
        <v>0</v>
      </c>
      <c r="AD218" s="165">
        <f>IFERROR(__xludf.DUMMYFUNCTION("""COMPUTED_VALUE"""),0.0)</f>
        <v>0</v>
      </c>
      <c r="AE218" s="39" t="str">
        <f>IFERROR(__xludf.DUMMYFUNCTION("""COMPUTED_VALUE"""),"Tatsuya Miyamoto")</f>
        <v>Tatsuya Miyamoto</v>
      </c>
      <c r="AF218" s="39" t="str">
        <f>IFERROR(__xludf.DUMMYFUNCTION("""COMPUTED_VALUE"""),"TM21Amygdala")</f>
        <v>TM21Amygdala</v>
      </c>
      <c r="AG218" s="39"/>
      <c r="AH218" s="39"/>
      <c r="AI218" s="165"/>
      <c r="AJ218" s="165"/>
      <c r="AK218" s="111"/>
      <c r="AL218" s="111"/>
      <c r="AM218" s="111"/>
      <c r="AN218" s="111"/>
      <c r="AO218" s="111"/>
      <c r="AP218" s="111"/>
      <c r="AQ218" s="116"/>
      <c r="AR218" s="116"/>
      <c r="AS218" s="116"/>
    </row>
    <row r="219">
      <c r="A219" s="42" t="str">
        <f>IFERROR(__xludf.DUMMYFUNCTION("""COMPUTED_VALUE"""),"BM")</f>
        <v>BM</v>
      </c>
      <c r="B219" s="42"/>
      <c r="C219" s="42"/>
      <c r="D219" s="42" t="str">
        <f>IFERROR(__xludf.DUMMYFUNCTION("""COMPUTED_VALUE"""),"PaV")</f>
        <v>PaV</v>
      </c>
      <c r="E219" s="42"/>
      <c r="F219" s="42"/>
      <c r="G219" s="42"/>
      <c r="H219" s="42" t="str">
        <f>IFERROR(__xludf.DUMMYFUNCTION("""COMPUTED_VALUE"""),"")</f>
        <v/>
      </c>
      <c r="I219" s="42" t="str">
        <f>IFERROR(__xludf.DUMMYFUNCTION("""COMPUTED_VALUE"""),"Pitkänen, 2000")</f>
        <v>Pitkänen, 2000</v>
      </c>
      <c r="J219" s="42" t="str">
        <f>IFERROR(__xludf.DUMMYFUNCTION("""COMPUTED_VALUE"""),"Rat")</f>
        <v>Rat</v>
      </c>
      <c r="K219" s="42" t="str">
        <f>IFERROR(__xludf.DUMMYFUNCTION("""COMPUTED_VALUE"""),"Various tracing")</f>
        <v>Various tracing</v>
      </c>
      <c r="L219" s="42"/>
      <c r="M219" s="42" t="str">
        <f>IFERROR(__xludf.DUMMYFUNCTION("""COMPUTED_VALUE"""),"fig.3-fig.12 (to be specified)")</f>
        <v>fig.3-fig.12 (to be specified)</v>
      </c>
      <c r="N219" s="38"/>
      <c r="O219" s="31" t="str">
        <f>IFERROR(__xludf.DUMMYFUNCTION("""COMPUTED_VALUE"""),"DOC(alt)")</f>
        <v>DOC(alt)</v>
      </c>
      <c r="P219" s="9" t="str">
        <f>IFERROR(__xludf.DUMMYFUNCTION("""COMPUTED_VALUE"""),"Folia morphologica")</f>
        <v>Folia morphologica</v>
      </c>
      <c r="Q219" s="9" t="str">
        <f>IFERROR(__xludf.DUMMYFUNCTION("""COMPUTED_VALUE"""),"Review")</f>
        <v>Review</v>
      </c>
      <c r="R219" s="179" t="str">
        <f>IFERROR(__xludf.DUMMYFUNCTION("""COMPUTED_VALUE"""),"PaV (00/00) [Pitkänen, 2000];
")</f>
        <v>PaV (00/00) [Pitkänen, 2000];
</v>
      </c>
      <c r="S219" s="179" t="str">
        <f>IFERROR(__xludf.DUMMYFUNCTION("""COMPUTED_VALUE"""),"BMPaV")</f>
        <v>BMPaV</v>
      </c>
      <c r="T219" s="179" t="str">
        <f>IFERROR(__xludf.DUMMYFUNCTION("""COMPUTED_VALUE"""),"[Pitkänen, 2000]")</f>
        <v>[Pitkänen, 2000]</v>
      </c>
      <c r="U219" s="179">
        <f>IFERROR(__xludf.DUMMYFUNCTION("""COMPUTED_VALUE"""),0.0)</f>
        <v>0</v>
      </c>
      <c r="V219" s="180">
        <f>IFERROR(__xludf.DUMMYFUNCTION("""COMPUTED_VALUE"""),0.0)</f>
        <v>0</v>
      </c>
      <c r="W219" s="180">
        <f>IFERROR(__xludf.DUMMYFUNCTION("""COMPUTED_VALUE"""),0.95)</f>
        <v>0.95</v>
      </c>
      <c r="X219" s="42">
        <f>IFERROR(__xludf.DUMMYFUNCTION("""COMPUTED_VALUE"""),0.8)</f>
        <v>0.8</v>
      </c>
      <c r="Y219" s="42">
        <f>IFERROR(__xludf.DUMMYFUNCTION("""COMPUTED_VALUE"""),0.6)</f>
        <v>0.6</v>
      </c>
      <c r="Z219" s="9">
        <f>IFERROR(__xludf.DUMMYFUNCTION("""COMPUTED_VALUE"""),0.9)</f>
        <v>0.9</v>
      </c>
      <c r="AA219" s="181">
        <f>IFERROR(__xludf.DUMMYFUNCTION("""COMPUTED_VALUE"""),0.0)</f>
        <v>0</v>
      </c>
      <c r="AB219" s="181">
        <f>IFERROR(__xludf.DUMMYFUNCTION("""COMPUTED_VALUE"""),0.0)</f>
        <v>0</v>
      </c>
      <c r="AC219" s="179">
        <f>IFERROR(__xludf.DUMMYFUNCTION("""COMPUTED_VALUE"""),0.0)</f>
        <v>0</v>
      </c>
      <c r="AD219" s="165">
        <f>IFERROR(__xludf.DUMMYFUNCTION("""COMPUTED_VALUE"""),0.0)</f>
        <v>0</v>
      </c>
      <c r="AE219" s="39" t="str">
        <f>IFERROR(__xludf.DUMMYFUNCTION("""COMPUTED_VALUE"""),"Tatsuya Miyamoto")</f>
        <v>Tatsuya Miyamoto</v>
      </c>
      <c r="AF219" s="39" t="str">
        <f>IFERROR(__xludf.DUMMYFUNCTION("""COMPUTED_VALUE"""),"TM21Amygdala")</f>
        <v>TM21Amygdala</v>
      </c>
      <c r="AG219" s="39"/>
      <c r="AH219" s="39"/>
      <c r="AI219" s="165"/>
      <c r="AJ219" s="165"/>
      <c r="AK219" s="111"/>
      <c r="AL219" s="111"/>
      <c r="AM219" s="111"/>
      <c r="AN219" s="111"/>
      <c r="AO219" s="111"/>
      <c r="AP219" s="111"/>
      <c r="AQ219" s="116"/>
      <c r="AR219" s="116"/>
      <c r="AS219" s="116"/>
    </row>
    <row r="220">
      <c r="A220" s="42" t="str">
        <f>IFERROR(__xludf.DUMMYFUNCTION("""COMPUTED_VALUE"""),"BM")</f>
        <v>BM</v>
      </c>
      <c r="B220" s="42"/>
      <c r="C220" s="42"/>
      <c r="D220" s="42" t="str">
        <f>IFERROR(__xludf.DUMMYFUNCTION("""COMPUTED_VALUE"""),"PeF")</f>
        <v>PeF</v>
      </c>
      <c r="E220" s="42"/>
      <c r="F220" s="42"/>
      <c r="G220" s="42"/>
      <c r="H220" s="42" t="str">
        <f>IFERROR(__xludf.DUMMYFUNCTION("""COMPUTED_VALUE"""),"")</f>
        <v/>
      </c>
      <c r="I220" s="42" t="str">
        <f>IFERROR(__xludf.DUMMYFUNCTION("""COMPUTED_VALUE"""),"Pitkänen, 2000")</f>
        <v>Pitkänen, 2000</v>
      </c>
      <c r="J220" s="42" t="str">
        <f>IFERROR(__xludf.DUMMYFUNCTION("""COMPUTED_VALUE"""),"Rat")</f>
        <v>Rat</v>
      </c>
      <c r="K220" s="42" t="str">
        <f>IFERROR(__xludf.DUMMYFUNCTION("""COMPUTED_VALUE"""),"Various tracing")</f>
        <v>Various tracing</v>
      </c>
      <c r="L220" s="42"/>
      <c r="M220" s="42" t="str">
        <f>IFERROR(__xludf.DUMMYFUNCTION("""COMPUTED_VALUE"""),"fig.3-fig.12 (to be specified)")</f>
        <v>fig.3-fig.12 (to be specified)</v>
      </c>
      <c r="N220" s="38"/>
      <c r="O220" s="31" t="str">
        <f>IFERROR(__xludf.DUMMYFUNCTION("""COMPUTED_VALUE"""),"DOC(alt)")</f>
        <v>DOC(alt)</v>
      </c>
      <c r="P220" s="9" t="str">
        <f>IFERROR(__xludf.DUMMYFUNCTION("""COMPUTED_VALUE"""),"Folia morphologica")</f>
        <v>Folia morphologica</v>
      </c>
      <c r="Q220" s="9" t="str">
        <f>IFERROR(__xludf.DUMMYFUNCTION("""COMPUTED_VALUE"""),"Review")</f>
        <v>Review</v>
      </c>
      <c r="R220" s="179" t="str">
        <f>IFERROR(__xludf.DUMMYFUNCTION("""COMPUTED_VALUE"""),"PeF (00/00) [Pitkänen, 2000];
")</f>
        <v>PeF (00/00) [Pitkänen, 2000];
</v>
      </c>
      <c r="S220" s="179" t="str">
        <f>IFERROR(__xludf.DUMMYFUNCTION("""COMPUTED_VALUE"""),"BMPeF")</f>
        <v>BMPeF</v>
      </c>
      <c r="T220" s="179" t="str">
        <f>IFERROR(__xludf.DUMMYFUNCTION("""COMPUTED_VALUE"""),"[Pitkänen, 2000]")</f>
        <v>[Pitkänen, 2000]</v>
      </c>
      <c r="U220" s="179">
        <f>IFERROR(__xludf.DUMMYFUNCTION("""COMPUTED_VALUE"""),0.0)</f>
        <v>0</v>
      </c>
      <c r="V220" s="180">
        <f>IFERROR(__xludf.DUMMYFUNCTION("""COMPUTED_VALUE"""),0.0)</f>
        <v>0</v>
      </c>
      <c r="W220" s="180">
        <f>IFERROR(__xludf.DUMMYFUNCTION("""COMPUTED_VALUE"""),0.95)</f>
        <v>0.95</v>
      </c>
      <c r="X220" s="42">
        <f>IFERROR(__xludf.DUMMYFUNCTION("""COMPUTED_VALUE"""),0.8)</f>
        <v>0.8</v>
      </c>
      <c r="Y220" s="42">
        <f>IFERROR(__xludf.DUMMYFUNCTION("""COMPUTED_VALUE"""),0.6)</f>
        <v>0.6</v>
      </c>
      <c r="Z220" s="9">
        <f>IFERROR(__xludf.DUMMYFUNCTION("""COMPUTED_VALUE"""),0.9)</f>
        <v>0.9</v>
      </c>
      <c r="AA220" s="181">
        <f>IFERROR(__xludf.DUMMYFUNCTION("""COMPUTED_VALUE"""),0.0)</f>
        <v>0</v>
      </c>
      <c r="AB220" s="181">
        <f>IFERROR(__xludf.DUMMYFUNCTION("""COMPUTED_VALUE"""),0.0)</f>
        <v>0</v>
      </c>
      <c r="AC220" s="179">
        <f>IFERROR(__xludf.DUMMYFUNCTION("""COMPUTED_VALUE"""),0.0)</f>
        <v>0</v>
      </c>
      <c r="AD220" s="165">
        <f>IFERROR(__xludf.DUMMYFUNCTION("""COMPUTED_VALUE"""),0.0)</f>
        <v>0</v>
      </c>
      <c r="AE220" s="39" t="str">
        <f>IFERROR(__xludf.DUMMYFUNCTION("""COMPUTED_VALUE"""),"Tatsuya Miyamoto")</f>
        <v>Tatsuya Miyamoto</v>
      </c>
      <c r="AF220" s="39" t="str">
        <f>IFERROR(__xludf.DUMMYFUNCTION("""COMPUTED_VALUE"""),"TM21Amygdala")</f>
        <v>TM21Amygdala</v>
      </c>
      <c r="AG220" s="39"/>
      <c r="AH220" s="39"/>
      <c r="AI220" s="165"/>
      <c r="AJ220" s="165"/>
      <c r="AK220" s="111"/>
      <c r="AL220" s="111"/>
      <c r="AM220" s="111"/>
      <c r="AN220" s="111"/>
      <c r="AO220" s="111"/>
      <c r="AP220" s="111"/>
      <c r="AQ220" s="116"/>
      <c r="AR220" s="116"/>
      <c r="AS220" s="116"/>
    </row>
    <row r="221">
      <c r="A221" s="42" t="str">
        <f>IFERROR(__xludf.DUMMYFUNCTION("""COMPUTED_VALUE"""),"BM")</f>
        <v>BM</v>
      </c>
      <c r="B221" s="42"/>
      <c r="C221" s="42"/>
      <c r="D221" s="42" t="str">
        <f>IFERROR(__xludf.DUMMYFUNCTION("""COMPUTED_VALUE"""),"Pir")</f>
        <v>Pir</v>
      </c>
      <c r="E221" s="42"/>
      <c r="F221" s="42"/>
      <c r="G221" s="42"/>
      <c r="H221" s="42" t="str">
        <f>IFERROR(__xludf.DUMMYFUNCTION("""COMPUTED_VALUE"""),"")</f>
        <v/>
      </c>
      <c r="I221" s="42" t="str">
        <f>IFERROR(__xludf.DUMMYFUNCTION("""COMPUTED_VALUE"""),"Pitkänen, 2000")</f>
        <v>Pitkänen, 2000</v>
      </c>
      <c r="J221" s="42" t="str">
        <f>IFERROR(__xludf.DUMMYFUNCTION("""COMPUTED_VALUE"""),"Rat")</f>
        <v>Rat</v>
      </c>
      <c r="K221" s="42" t="str">
        <f>IFERROR(__xludf.DUMMYFUNCTION("""COMPUTED_VALUE"""),"Various tracing")</f>
        <v>Various tracing</v>
      </c>
      <c r="L221" s="42"/>
      <c r="M221" s="42" t="str">
        <f>IFERROR(__xludf.DUMMYFUNCTION("""COMPUTED_VALUE"""),"fig.3-fig.12 (to be specified)")</f>
        <v>fig.3-fig.12 (to be specified)</v>
      </c>
      <c r="N221" s="38"/>
      <c r="O221" s="31" t="str">
        <f>IFERROR(__xludf.DUMMYFUNCTION("""COMPUTED_VALUE"""),"DOC(alt)")</f>
        <v>DOC(alt)</v>
      </c>
      <c r="P221" s="9" t="str">
        <f>IFERROR(__xludf.DUMMYFUNCTION("""COMPUTED_VALUE"""),"Folia morphologica")</f>
        <v>Folia morphologica</v>
      </c>
      <c r="Q221" s="9" t="str">
        <f>IFERROR(__xludf.DUMMYFUNCTION("""COMPUTED_VALUE"""),"Review")</f>
        <v>Review</v>
      </c>
      <c r="R221" s="179" t="str">
        <f>IFERROR(__xludf.DUMMYFUNCTION("""COMPUTED_VALUE"""),"Pir (00/00) [Pitkänen, 2000];
")</f>
        <v>Pir (00/00) [Pitkänen, 2000];
</v>
      </c>
      <c r="S221" s="179" t="str">
        <f>IFERROR(__xludf.DUMMYFUNCTION("""COMPUTED_VALUE"""),"BMPir")</f>
        <v>BMPir</v>
      </c>
      <c r="T221" s="179" t="str">
        <f>IFERROR(__xludf.DUMMYFUNCTION("""COMPUTED_VALUE"""),"[Pitkänen, 2000]")</f>
        <v>[Pitkänen, 2000]</v>
      </c>
      <c r="U221" s="179">
        <f>IFERROR(__xludf.DUMMYFUNCTION("""COMPUTED_VALUE"""),0.0)</f>
        <v>0</v>
      </c>
      <c r="V221" s="180">
        <f>IFERROR(__xludf.DUMMYFUNCTION("""COMPUTED_VALUE"""),0.0)</f>
        <v>0</v>
      </c>
      <c r="W221" s="180">
        <f>IFERROR(__xludf.DUMMYFUNCTION("""COMPUTED_VALUE"""),0.95)</f>
        <v>0.95</v>
      </c>
      <c r="X221" s="42">
        <f>IFERROR(__xludf.DUMMYFUNCTION("""COMPUTED_VALUE"""),0.8)</f>
        <v>0.8</v>
      </c>
      <c r="Y221" s="42">
        <f>IFERROR(__xludf.DUMMYFUNCTION("""COMPUTED_VALUE"""),0.6)</f>
        <v>0.6</v>
      </c>
      <c r="Z221" s="9">
        <f>IFERROR(__xludf.DUMMYFUNCTION("""COMPUTED_VALUE"""),0.9)</f>
        <v>0.9</v>
      </c>
      <c r="AA221" s="181">
        <f>IFERROR(__xludf.DUMMYFUNCTION("""COMPUTED_VALUE"""),0.0)</f>
        <v>0</v>
      </c>
      <c r="AB221" s="181">
        <f>IFERROR(__xludf.DUMMYFUNCTION("""COMPUTED_VALUE"""),0.0)</f>
        <v>0</v>
      </c>
      <c r="AC221" s="179">
        <f>IFERROR(__xludf.DUMMYFUNCTION("""COMPUTED_VALUE"""),0.0)</f>
        <v>0</v>
      </c>
      <c r="AD221" s="165">
        <f>IFERROR(__xludf.DUMMYFUNCTION("""COMPUTED_VALUE"""),0.0)</f>
        <v>0</v>
      </c>
      <c r="AE221" s="39" t="str">
        <f>IFERROR(__xludf.DUMMYFUNCTION("""COMPUTED_VALUE"""),"Tatsuya Miyamoto")</f>
        <v>Tatsuya Miyamoto</v>
      </c>
      <c r="AF221" s="39" t="str">
        <f>IFERROR(__xludf.DUMMYFUNCTION("""COMPUTED_VALUE"""),"TM21Amygdala")</f>
        <v>TM21Amygdala</v>
      </c>
      <c r="AG221" s="39"/>
      <c r="AH221" s="39"/>
      <c r="AI221" s="165"/>
      <c r="AJ221" s="165"/>
      <c r="AK221" s="111"/>
      <c r="AL221" s="111"/>
      <c r="AM221" s="111"/>
      <c r="AN221" s="111"/>
      <c r="AO221" s="111"/>
      <c r="AP221" s="111"/>
      <c r="AQ221" s="116"/>
      <c r="AR221" s="116"/>
      <c r="AS221" s="116"/>
    </row>
    <row r="222">
      <c r="A222" s="42" t="str">
        <f>IFERROR(__xludf.DUMMYFUNCTION("""COMPUTED_VALUE"""),"BM")</f>
        <v>BM</v>
      </c>
      <c r="B222" s="42"/>
      <c r="C222" s="42"/>
      <c r="D222" s="42" t="str">
        <f>IFERROR(__xludf.DUMMYFUNCTION("""COMPUTED_VALUE"""),"PRCd")</f>
        <v>PRCd</v>
      </c>
      <c r="E222" s="42"/>
      <c r="F222" s="42"/>
      <c r="G222" s="42"/>
      <c r="H222" s="42" t="str">
        <f>IFERROR(__xludf.DUMMYFUNCTION("""COMPUTED_VALUE"""),"")</f>
        <v/>
      </c>
      <c r="I222" s="42" t="str">
        <f>IFERROR(__xludf.DUMMYFUNCTION("""COMPUTED_VALUE"""),"Pitkänen, 2000")</f>
        <v>Pitkänen, 2000</v>
      </c>
      <c r="J222" s="42" t="str">
        <f>IFERROR(__xludf.DUMMYFUNCTION("""COMPUTED_VALUE"""),"Rat")</f>
        <v>Rat</v>
      </c>
      <c r="K222" s="42" t="str">
        <f>IFERROR(__xludf.DUMMYFUNCTION("""COMPUTED_VALUE"""),"Various tracing")</f>
        <v>Various tracing</v>
      </c>
      <c r="L222" s="42"/>
      <c r="M222" s="42" t="str">
        <f>IFERROR(__xludf.DUMMYFUNCTION("""COMPUTED_VALUE"""),"fig.3-fig.12 (to be specified)")</f>
        <v>fig.3-fig.12 (to be specified)</v>
      </c>
      <c r="N222" s="38"/>
      <c r="O222" s="31" t="str">
        <f>IFERROR(__xludf.DUMMYFUNCTION("""COMPUTED_VALUE"""),"DOC(alt)")</f>
        <v>DOC(alt)</v>
      </c>
      <c r="P222" s="9" t="str">
        <f>IFERROR(__xludf.DUMMYFUNCTION("""COMPUTED_VALUE"""),"Folia morphologica")</f>
        <v>Folia morphologica</v>
      </c>
      <c r="Q222" s="9" t="str">
        <f>IFERROR(__xludf.DUMMYFUNCTION("""COMPUTED_VALUE"""),"Review")</f>
        <v>Review</v>
      </c>
      <c r="R222" s="179" t="str">
        <f>IFERROR(__xludf.DUMMYFUNCTION("""COMPUTED_VALUE"""),"PRCd (00/00) [Pitkänen, 2000];
")</f>
        <v>PRCd (00/00) [Pitkänen, 2000];
</v>
      </c>
      <c r="S222" s="179" t="str">
        <f>IFERROR(__xludf.DUMMYFUNCTION("""COMPUTED_VALUE"""),"BMPRCd")</f>
        <v>BMPRCd</v>
      </c>
      <c r="T222" s="179" t="str">
        <f>IFERROR(__xludf.DUMMYFUNCTION("""COMPUTED_VALUE"""),"[Pitkänen, 2000]")</f>
        <v>[Pitkänen, 2000]</v>
      </c>
      <c r="U222" s="179">
        <f>IFERROR(__xludf.DUMMYFUNCTION("""COMPUTED_VALUE"""),0.0)</f>
        <v>0</v>
      </c>
      <c r="V222" s="180">
        <f>IFERROR(__xludf.DUMMYFUNCTION("""COMPUTED_VALUE"""),0.0)</f>
        <v>0</v>
      </c>
      <c r="W222" s="180">
        <f>IFERROR(__xludf.DUMMYFUNCTION("""COMPUTED_VALUE"""),0.95)</f>
        <v>0.95</v>
      </c>
      <c r="X222" s="42">
        <f>IFERROR(__xludf.DUMMYFUNCTION("""COMPUTED_VALUE"""),0.8)</f>
        <v>0.8</v>
      </c>
      <c r="Y222" s="42">
        <f>IFERROR(__xludf.DUMMYFUNCTION("""COMPUTED_VALUE"""),0.6)</f>
        <v>0.6</v>
      </c>
      <c r="Z222" s="9">
        <f>IFERROR(__xludf.DUMMYFUNCTION("""COMPUTED_VALUE"""),0.9)</f>
        <v>0.9</v>
      </c>
      <c r="AA222" s="181">
        <f>IFERROR(__xludf.DUMMYFUNCTION("""COMPUTED_VALUE"""),0.0)</f>
        <v>0</v>
      </c>
      <c r="AB222" s="181">
        <f>IFERROR(__xludf.DUMMYFUNCTION("""COMPUTED_VALUE"""),0.0)</f>
        <v>0</v>
      </c>
      <c r="AC222" s="179">
        <f>IFERROR(__xludf.DUMMYFUNCTION("""COMPUTED_VALUE"""),0.0)</f>
        <v>0</v>
      </c>
      <c r="AD222" s="165">
        <f>IFERROR(__xludf.DUMMYFUNCTION("""COMPUTED_VALUE"""),0.0)</f>
        <v>0</v>
      </c>
      <c r="AE222" s="39" t="str">
        <f>IFERROR(__xludf.DUMMYFUNCTION("""COMPUTED_VALUE"""),"Tatsuya Miyamoto")</f>
        <v>Tatsuya Miyamoto</v>
      </c>
      <c r="AF222" s="39" t="str">
        <f>IFERROR(__xludf.DUMMYFUNCTION("""COMPUTED_VALUE"""),"TM21Amygdala")</f>
        <v>TM21Amygdala</v>
      </c>
      <c r="AG222" s="39"/>
      <c r="AH222" s="39"/>
      <c r="AI222" s="165"/>
      <c r="AJ222" s="165"/>
      <c r="AK222" s="111"/>
      <c r="AL222" s="111"/>
      <c r="AM222" s="111"/>
      <c r="AN222" s="111"/>
      <c r="AO222" s="111"/>
      <c r="AP222" s="111"/>
      <c r="AQ222" s="116"/>
      <c r="AR222" s="116"/>
      <c r="AS222" s="116"/>
    </row>
    <row r="223">
      <c r="A223" s="42" t="str">
        <f>IFERROR(__xludf.DUMMYFUNCTION("""COMPUTED_VALUE"""),"BM")</f>
        <v>BM</v>
      </c>
      <c r="B223" s="42"/>
      <c r="C223" s="42"/>
      <c r="D223" s="42" t="str">
        <f>IFERROR(__xludf.DUMMYFUNCTION("""COMPUTED_VALUE"""),"S")</f>
        <v>S</v>
      </c>
      <c r="E223" s="42"/>
      <c r="F223" s="42"/>
      <c r="G223" s="42"/>
      <c r="H223" s="42" t="str">
        <f>IFERROR(__xludf.DUMMYFUNCTION("""COMPUTED_VALUE"""),"")</f>
        <v/>
      </c>
      <c r="I223" s="42" t="str">
        <f>IFERROR(__xludf.DUMMYFUNCTION("""COMPUTED_VALUE"""),"Pitkänen, 2000")</f>
        <v>Pitkänen, 2000</v>
      </c>
      <c r="J223" s="42" t="str">
        <f>IFERROR(__xludf.DUMMYFUNCTION("""COMPUTED_VALUE"""),"Rat")</f>
        <v>Rat</v>
      </c>
      <c r="K223" s="42" t="str">
        <f>IFERROR(__xludf.DUMMYFUNCTION("""COMPUTED_VALUE"""),"Various tracing")</f>
        <v>Various tracing</v>
      </c>
      <c r="L223" s="42"/>
      <c r="M223" s="42" t="str">
        <f>IFERROR(__xludf.DUMMYFUNCTION("""COMPUTED_VALUE"""),"fig.3-fig.12 (to be specified)")</f>
        <v>fig.3-fig.12 (to be specified)</v>
      </c>
      <c r="N223" s="38"/>
      <c r="O223" s="31" t="str">
        <f>IFERROR(__xludf.DUMMYFUNCTION("""COMPUTED_VALUE"""),"DOC(alt)")</f>
        <v>DOC(alt)</v>
      </c>
      <c r="P223" s="9" t="str">
        <f>IFERROR(__xludf.DUMMYFUNCTION("""COMPUTED_VALUE"""),"Folia morphologica")</f>
        <v>Folia morphologica</v>
      </c>
      <c r="Q223" s="9" t="str">
        <f>IFERROR(__xludf.DUMMYFUNCTION("""COMPUTED_VALUE"""),"Review")</f>
        <v>Review</v>
      </c>
      <c r="R223" s="179" t="str">
        <f>IFERROR(__xludf.DUMMYFUNCTION("""COMPUTED_VALUE"""),"S (00/00) [Pitkänen, 2000];
")</f>
        <v>S (00/00) [Pitkänen, 2000];
</v>
      </c>
      <c r="S223" s="179" t="str">
        <f>IFERROR(__xludf.DUMMYFUNCTION("""COMPUTED_VALUE"""),"BMS")</f>
        <v>BMS</v>
      </c>
      <c r="T223" s="179" t="str">
        <f>IFERROR(__xludf.DUMMYFUNCTION("""COMPUTED_VALUE"""),"[Pitkänen, 2000]")</f>
        <v>[Pitkänen, 2000]</v>
      </c>
      <c r="U223" s="179">
        <f>IFERROR(__xludf.DUMMYFUNCTION("""COMPUTED_VALUE"""),0.0)</f>
        <v>0</v>
      </c>
      <c r="V223" s="180">
        <f>IFERROR(__xludf.DUMMYFUNCTION("""COMPUTED_VALUE"""),0.0)</f>
        <v>0</v>
      </c>
      <c r="W223" s="180">
        <f>IFERROR(__xludf.DUMMYFUNCTION("""COMPUTED_VALUE"""),0.95)</f>
        <v>0.95</v>
      </c>
      <c r="X223" s="42">
        <f>IFERROR(__xludf.DUMMYFUNCTION("""COMPUTED_VALUE"""),0.8)</f>
        <v>0.8</v>
      </c>
      <c r="Y223" s="42">
        <f>IFERROR(__xludf.DUMMYFUNCTION("""COMPUTED_VALUE"""),0.6)</f>
        <v>0.6</v>
      </c>
      <c r="Z223" s="9">
        <f>IFERROR(__xludf.DUMMYFUNCTION("""COMPUTED_VALUE"""),0.9)</f>
        <v>0.9</v>
      </c>
      <c r="AA223" s="181">
        <f>IFERROR(__xludf.DUMMYFUNCTION("""COMPUTED_VALUE"""),0.0)</f>
        <v>0</v>
      </c>
      <c r="AB223" s="181">
        <f>IFERROR(__xludf.DUMMYFUNCTION("""COMPUTED_VALUE"""),0.0)</f>
        <v>0</v>
      </c>
      <c r="AC223" s="179">
        <f>IFERROR(__xludf.DUMMYFUNCTION("""COMPUTED_VALUE"""),0.0)</f>
        <v>0</v>
      </c>
      <c r="AD223" s="165">
        <f>IFERROR(__xludf.DUMMYFUNCTION("""COMPUTED_VALUE"""),0.0)</f>
        <v>0</v>
      </c>
      <c r="AE223" s="39" t="str">
        <f>IFERROR(__xludf.DUMMYFUNCTION("""COMPUTED_VALUE"""),"Tatsuya Miyamoto")</f>
        <v>Tatsuya Miyamoto</v>
      </c>
      <c r="AF223" s="39" t="str">
        <f>IFERROR(__xludf.DUMMYFUNCTION("""COMPUTED_VALUE"""),"TM21Amygdala")</f>
        <v>TM21Amygdala</v>
      </c>
      <c r="AG223" s="39"/>
      <c r="AH223" s="39"/>
      <c r="AI223" s="165"/>
      <c r="AJ223" s="165"/>
      <c r="AK223" s="111"/>
      <c r="AL223" s="111"/>
      <c r="AM223" s="111"/>
      <c r="AN223" s="111"/>
      <c r="AO223" s="111"/>
      <c r="AP223" s="111"/>
      <c r="AQ223" s="116"/>
      <c r="AR223" s="116"/>
      <c r="AS223" s="116"/>
    </row>
    <row r="224">
      <c r="A224" s="42" t="str">
        <f>IFERROR(__xludf.DUMMYFUNCTION("""COMPUTED_VALUE"""),"BNST")</f>
        <v>BNST</v>
      </c>
      <c r="B224" s="42"/>
      <c r="C224" s="42"/>
      <c r="D224" s="42" t="str">
        <f>IFERROR(__xludf.DUMMYFUNCTION("""COMPUTED_VALUE"""),"AHA")</f>
        <v>AHA</v>
      </c>
      <c r="E224" s="42"/>
      <c r="F224" s="42"/>
      <c r="G224" s="42"/>
      <c r="H224" s="42" t="str">
        <f>IFERROR(__xludf.DUMMYFUNCTION("""COMPUTED_VALUE"""),"")</f>
        <v/>
      </c>
      <c r="I224" s="42" t="str">
        <f>IFERROR(__xludf.DUMMYFUNCTION("""COMPUTED_VALUE"""),"Pitkänen, 2000")</f>
        <v>Pitkänen, 2000</v>
      </c>
      <c r="J224" s="42" t="str">
        <f>IFERROR(__xludf.DUMMYFUNCTION("""COMPUTED_VALUE"""),"Rat")</f>
        <v>Rat</v>
      </c>
      <c r="K224" s="42" t="str">
        <f>IFERROR(__xludf.DUMMYFUNCTION("""COMPUTED_VALUE"""),"Various tracing")</f>
        <v>Various tracing</v>
      </c>
      <c r="L224" s="42"/>
      <c r="M224" s="42" t="str">
        <f>IFERROR(__xludf.DUMMYFUNCTION("""COMPUTED_VALUE"""),"fig.3-fig.12 (to be specified)")</f>
        <v>fig.3-fig.12 (to be specified)</v>
      </c>
      <c r="N224" s="38"/>
      <c r="O224" s="31" t="str">
        <f>IFERROR(__xludf.DUMMYFUNCTION("""COMPUTED_VALUE"""),"DOC(alt)")</f>
        <v>DOC(alt)</v>
      </c>
      <c r="P224" s="9" t="str">
        <f>IFERROR(__xludf.DUMMYFUNCTION("""COMPUTED_VALUE"""),"Folia morphologica")</f>
        <v>Folia morphologica</v>
      </c>
      <c r="Q224" s="9" t="str">
        <f>IFERROR(__xludf.DUMMYFUNCTION("""COMPUTED_VALUE"""),"Review")</f>
        <v>Review</v>
      </c>
      <c r="R224" s="179" t="str">
        <f>IFERROR(__xludf.DUMMYFUNCTION("""COMPUTED_VALUE"""),"AHA (00/00) [Pitkänen, 2000];
")</f>
        <v>AHA (00/00) [Pitkänen, 2000];
</v>
      </c>
      <c r="S224" s="179" t="str">
        <f>IFERROR(__xludf.DUMMYFUNCTION("""COMPUTED_VALUE"""),"BNSTAHA")</f>
        <v>BNSTAHA</v>
      </c>
      <c r="T224" s="179" t="str">
        <f>IFERROR(__xludf.DUMMYFUNCTION("""COMPUTED_VALUE"""),"[Pitkänen, 2000]")</f>
        <v>[Pitkänen, 2000]</v>
      </c>
      <c r="U224" s="179">
        <f>IFERROR(__xludf.DUMMYFUNCTION("""COMPUTED_VALUE"""),0.0)</f>
        <v>0</v>
      </c>
      <c r="V224" s="180">
        <f>IFERROR(__xludf.DUMMYFUNCTION("""COMPUTED_VALUE"""),0.0)</f>
        <v>0</v>
      </c>
      <c r="W224" s="180">
        <f>IFERROR(__xludf.DUMMYFUNCTION("""COMPUTED_VALUE"""),0.95)</f>
        <v>0.95</v>
      </c>
      <c r="X224" s="42">
        <f>IFERROR(__xludf.DUMMYFUNCTION("""COMPUTED_VALUE"""),0.8)</f>
        <v>0.8</v>
      </c>
      <c r="Y224" s="42">
        <f>IFERROR(__xludf.DUMMYFUNCTION("""COMPUTED_VALUE"""),0.6)</f>
        <v>0.6</v>
      </c>
      <c r="Z224" s="9">
        <f>IFERROR(__xludf.DUMMYFUNCTION("""COMPUTED_VALUE"""),0.9)</f>
        <v>0.9</v>
      </c>
      <c r="AA224" s="181">
        <f>IFERROR(__xludf.DUMMYFUNCTION("""COMPUTED_VALUE"""),0.0)</f>
        <v>0</v>
      </c>
      <c r="AB224" s="181">
        <f>IFERROR(__xludf.DUMMYFUNCTION("""COMPUTED_VALUE"""),0.0)</f>
        <v>0</v>
      </c>
      <c r="AC224" s="179">
        <f>IFERROR(__xludf.DUMMYFUNCTION("""COMPUTED_VALUE"""),0.0)</f>
        <v>0</v>
      </c>
      <c r="AD224" s="165">
        <f>IFERROR(__xludf.DUMMYFUNCTION("""COMPUTED_VALUE"""),0.0)</f>
        <v>0</v>
      </c>
      <c r="AE224" s="39" t="str">
        <f>IFERROR(__xludf.DUMMYFUNCTION("""COMPUTED_VALUE"""),"Tatsuya Miyamoto")</f>
        <v>Tatsuya Miyamoto</v>
      </c>
      <c r="AF224" s="39" t="str">
        <f>IFERROR(__xludf.DUMMYFUNCTION("""COMPUTED_VALUE"""),"TM21Amygdala")</f>
        <v>TM21Amygdala</v>
      </c>
      <c r="AG224" s="39"/>
      <c r="AH224" s="39"/>
      <c r="AI224" s="165"/>
      <c r="AJ224" s="165"/>
      <c r="AK224" s="111"/>
      <c r="AL224" s="111"/>
      <c r="AM224" s="111"/>
      <c r="AN224" s="111"/>
      <c r="AO224" s="111"/>
      <c r="AP224" s="111"/>
      <c r="AQ224" s="116"/>
      <c r="AR224" s="116"/>
      <c r="AS224" s="116"/>
    </row>
    <row r="225">
      <c r="A225" s="42" t="str">
        <f>IFERROR(__xludf.DUMMYFUNCTION("""COMPUTED_VALUE"""),"BNST")</f>
        <v>BNST</v>
      </c>
      <c r="B225" s="42"/>
      <c r="C225" s="42"/>
      <c r="D225" s="42" t="str">
        <f>IFERROR(__xludf.DUMMYFUNCTION("""COMPUTED_VALUE"""),"BL")</f>
        <v>BL</v>
      </c>
      <c r="E225" s="42"/>
      <c r="F225" s="42"/>
      <c r="G225" s="42"/>
      <c r="H225" s="42" t="str">
        <f>IFERROR(__xludf.DUMMYFUNCTION("""COMPUTED_VALUE"""),"")</f>
        <v/>
      </c>
      <c r="I225" s="42" t="str">
        <f>IFERROR(__xludf.DUMMYFUNCTION("""COMPUTED_VALUE"""),"Pitkänen, 2000")</f>
        <v>Pitkänen, 2000</v>
      </c>
      <c r="J225" s="42" t="str">
        <f>IFERROR(__xludf.DUMMYFUNCTION("""COMPUTED_VALUE"""),"Rat")</f>
        <v>Rat</v>
      </c>
      <c r="K225" s="42" t="str">
        <f>IFERROR(__xludf.DUMMYFUNCTION("""COMPUTED_VALUE"""),"Various tracing")</f>
        <v>Various tracing</v>
      </c>
      <c r="L225" s="42"/>
      <c r="M225" s="42" t="str">
        <f>IFERROR(__xludf.DUMMYFUNCTION("""COMPUTED_VALUE"""),"fig.3-fig.12 (to be specified)")</f>
        <v>fig.3-fig.12 (to be specified)</v>
      </c>
      <c r="N225" s="38"/>
      <c r="O225" s="31" t="str">
        <f>IFERROR(__xludf.DUMMYFUNCTION("""COMPUTED_VALUE"""),"DOC(alt)")</f>
        <v>DOC(alt)</v>
      </c>
      <c r="P225" s="9" t="str">
        <f>IFERROR(__xludf.DUMMYFUNCTION("""COMPUTED_VALUE"""),"Folia morphologica")</f>
        <v>Folia morphologica</v>
      </c>
      <c r="Q225" s="9" t="str">
        <f>IFERROR(__xludf.DUMMYFUNCTION("""COMPUTED_VALUE"""),"Review")</f>
        <v>Review</v>
      </c>
      <c r="R225" s="179" t="str">
        <f>IFERROR(__xludf.DUMMYFUNCTION("""COMPUTED_VALUE"""),"BL (00/00) [Pitkänen, 2000];
")</f>
        <v>BL (00/00) [Pitkänen, 2000];
</v>
      </c>
      <c r="S225" s="179" t="str">
        <f>IFERROR(__xludf.DUMMYFUNCTION("""COMPUTED_VALUE"""),"BNSTBL")</f>
        <v>BNSTBL</v>
      </c>
      <c r="T225" s="179" t="str">
        <f>IFERROR(__xludf.DUMMYFUNCTION("""COMPUTED_VALUE"""),"[Pitkänen, 2000]")</f>
        <v>[Pitkänen, 2000]</v>
      </c>
      <c r="U225" s="179">
        <f>IFERROR(__xludf.DUMMYFUNCTION("""COMPUTED_VALUE"""),0.0)</f>
        <v>0</v>
      </c>
      <c r="V225" s="180">
        <f>IFERROR(__xludf.DUMMYFUNCTION("""COMPUTED_VALUE"""),0.0)</f>
        <v>0</v>
      </c>
      <c r="W225" s="180">
        <f>IFERROR(__xludf.DUMMYFUNCTION("""COMPUTED_VALUE"""),0.95)</f>
        <v>0.95</v>
      </c>
      <c r="X225" s="42">
        <f>IFERROR(__xludf.DUMMYFUNCTION("""COMPUTED_VALUE"""),0.8)</f>
        <v>0.8</v>
      </c>
      <c r="Y225" s="42">
        <f>IFERROR(__xludf.DUMMYFUNCTION("""COMPUTED_VALUE"""),0.6)</f>
        <v>0.6</v>
      </c>
      <c r="Z225" s="9">
        <f>IFERROR(__xludf.DUMMYFUNCTION("""COMPUTED_VALUE"""),0.9)</f>
        <v>0.9</v>
      </c>
      <c r="AA225" s="181">
        <f>IFERROR(__xludf.DUMMYFUNCTION("""COMPUTED_VALUE"""),0.0)</f>
        <v>0</v>
      </c>
      <c r="AB225" s="181">
        <f>IFERROR(__xludf.DUMMYFUNCTION("""COMPUTED_VALUE"""),0.0)</f>
        <v>0</v>
      </c>
      <c r="AC225" s="179">
        <f>IFERROR(__xludf.DUMMYFUNCTION("""COMPUTED_VALUE"""),0.0)</f>
        <v>0</v>
      </c>
      <c r="AD225" s="165">
        <f>IFERROR(__xludf.DUMMYFUNCTION("""COMPUTED_VALUE"""),0.0)</f>
        <v>0</v>
      </c>
      <c r="AE225" s="39" t="str">
        <f>IFERROR(__xludf.DUMMYFUNCTION("""COMPUTED_VALUE"""),"Tatsuya Miyamoto")</f>
        <v>Tatsuya Miyamoto</v>
      </c>
      <c r="AF225" s="39" t="str">
        <f>IFERROR(__xludf.DUMMYFUNCTION("""COMPUTED_VALUE"""),"TM21Amygdala")</f>
        <v>TM21Amygdala</v>
      </c>
      <c r="AG225" s="39"/>
      <c r="AH225" s="39"/>
      <c r="AI225" s="165"/>
      <c r="AJ225" s="165"/>
      <c r="AK225" s="111"/>
      <c r="AL225" s="111"/>
      <c r="AM225" s="111"/>
      <c r="AN225" s="111"/>
      <c r="AO225" s="111"/>
      <c r="AP225" s="111"/>
      <c r="AQ225" s="116"/>
      <c r="AR225" s="116"/>
      <c r="AS225" s="116"/>
    </row>
    <row r="226">
      <c r="A226" s="42" t="str">
        <f>IFERROR(__xludf.DUMMYFUNCTION("""COMPUTED_VALUE"""),"BNST")</f>
        <v>BNST</v>
      </c>
      <c r="B226" s="42"/>
      <c r="C226" s="42"/>
      <c r="D226" s="42" t="str">
        <f>IFERROR(__xludf.DUMMYFUNCTION("""COMPUTED_VALUE"""),"BM")</f>
        <v>BM</v>
      </c>
      <c r="E226" s="42"/>
      <c r="F226" s="42"/>
      <c r="G226" s="42"/>
      <c r="H226" s="42" t="str">
        <f>IFERROR(__xludf.DUMMYFUNCTION("""COMPUTED_VALUE"""),"")</f>
        <v/>
      </c>
      <c r="I226" s="42" t="str">
        <f>IFERROR(__xludf.DUMMYFUNCTION("""COMPUTED_VALUE"""),"Pitkänen, 2000")</f>
        <v>Pitkänen, 2000</v>
      </c>
      <c r="J226" s="42" t="str">
        <f>IFERROR(__xludf.DUMMYFUNCTION("""COMPUTED_VALUE"""),"Rat")</f>
        <v>Rat</v>
      </c>
      <c r="K226" s="42" t="str">
        <f>IFERROR(__xludf.DUMMYFUNCTION("""COMPUTED_VALUE"""),"Various tracing")</f>
        <v>Various tracing</v>
      </c>
      <c r="L226" s="42"/>
      <c r="M226" s="42" t="str">
        <f>IFERROR(__xludf.DUMMYFUNCTION("""COMPUTED_VALUE"""),"fig.3-fig.12 (to be specified)")</f>
        <v>fig.3-fig.12 (to be specified)</v>
      </c>
      <c r="N226" s="38"/>
      <c r="O226" s="31" t="str">
        <f>IFERROR(__xludf.DUMMYFUNCTION("""COMPUTED_VALUE"""),"DOC(alt)")</f>
        <v>DOC(alt)</v>
      </c>
      <c r="P226" s="9" t="str">
        <f>IFERROR(__xludf.DUMMYFUNCTION("""COMPUTED_VALUE"""),"Folia morphologica")</f>
        <v>Folia morphologica</v>
      </c>
      <c r="Q226" s="9" t="str">
        <f>IFERROR(__xludf.DUMMYFUNCTION("""COMPUTED_VALUE"""),"Review")</f>
        <v>Review</v>
      </c>
      <c r="R226" s="179" t="str">
        <f>IFERROR(__xludf.DUMMYFUNCTION("""COMPUTED_VALUE"""),"BM (00/00) [Pitkänen, 2000];
")</f>
        <v>BM (00/00) [Pitkänen, 2000];
</v>
      </c>
      <c r="S226" s="179" t="str">
        <f>IFERROR(__xludf.DUMMYFUNCTION("""COMPUTED_VALUE"""),"BNSTBM")</f>
        <v>BNSTBM</v>
      </c>
      <c r="T226" s="179" t="str">
        <f>IFERROR(__xludf.DUMMYFUNCTION("""COMPUTED_VALUE"""),"[Pitkänen, 2000]")</f>
        <v>[Pitkänen, 2000]</v>
      </c>
      <c r="U226" s="179">
        <f>IFERROR(__xludf.DUMMYFUNCTION("""COMPUTED_VALUE"""),0.0)</f>
        <v>0</v>
      </c>
      <c r="V226" s="180">
        <f>IFERROR(__xludf.DUMMYFUNCTION("""COMPUTED_VALUE"""),0.0)</f>
        <v>0</v>
      </c>
      <c r="W226" s="180">
        <f>IFERROR(__xludf.DUMMYFUNCTION("""COMPUTED_VALUE"""),0.95)</f>
        <v>0.95</v>
      </c>
      <c r="X226" s="42">
        <f>IFERROR(__xludf.DUMMYFUNCTION("""COMPUTED_VALUE"""),0.8)</f>
        <v>0.8</v>
      </c>
      <c r="Y226" s="42">
        <f>IFERROR(__xludf.DUMMYFUNCTION("""COMPUTED_VALUE"""),0.6)</f>
        <v>0.6</v>
      </c>
      <c r="Z226" s="9">
        <f>IFERROR(__xludf.DUMMYFUNCTION("""COMPUTED_VALUE"""),0.9)</f>
        <v>0.9</v>
      </c>
      <c r="AA226" s="181">
        <f>IFERROR(__xludf.DUMMYFUNCTION("""COMPUTED_VALUE"""),0.0)</f>
        <v>0</v>
      </c>
      <c r="AB226" s="181">
        <f>IFERROR(__xludf.DUMMYFUNCTION("""COMPUTED_VALUE"""),0.0)</f>
        <v>0</v>
      </c>
      <c r="AC226" s="179">
        <f>IFERROR(__xludf.DUMMYFUNCTION("""COMPUTED_VALUE"""),0.0)</f>
        <v>0</v>
      </c>
      <c r="AD226" s="165">
        <f>IFERROR(__xludf.DUMMYFUNCTION("""COMPUTED_VALUE"""),0.0)</f>
        <v>0</v>
      </c>
      <c r="AE226" s="39" t="str">
        <f>IFERROR(__xludf.DUMMYFUNCTION("""COMPUTED_VALUE"""),"Tatsuya Miyamoto")</f>
        <v>Tatsuya Miyamoto</v>
      </c>
      <c r="AF226" s="39" t="str">
        <f>IFERROR(__xludf.DUMMYFUNCTION("""COMPUTED_VALUE"""),"TM21Amygdala")</f>
        <v>TM21Amygdala</v>
      </c>
      <c r="AG226" s="39"/>
      <c r="AH226" s="39"/>
      <c r="AI226" s="165"/>
      <c r="AJ226" s="165"/>
      <c r="AK226" s="111"/>
      <c r="AL226" s="111"/>
      <c r="AM226" s="111"/>
      <c r="AN226" s="111"/>
      <c r="AO226" s="111"/>
      <c r="AP226" s="111"/>
      <c r="AQ226" s="116"/>
      <c r="AR226" s="116"/>
      <c r="AS226" s="116"/>
    </row>
    <row r="227">
      <c r="A227" s="42" t="str">
        <f>IFERROR(__xludf.DUMMYFUNCTION("""COMPUTED_VALUE"""),"BNST")</f>
        <v>BNST</v>
      </c>
      <c r="B227" s="42"/>
      <c r="C227" s="42"/>
      <c r="D227" s="42" t="str">
        <f>IFERROR(__xludf.DUMMYFUNCTION("""COMPUTED_VALUE"""),"CEN")</f>
        <v>CEN</v>
      </c>
      <c r="E227" s="42"/>
      <c r="F227" s="42"/>
      <c r="G227" s="42"/>
      <c r="H227" s="42" t="str">
        <f>IFERROR(__xludf.DUMMYFUNCTION("""COMPUTED_VALUE"""),"")</f>
        <v/>
      </c>
      <c r="I227" s="42" t="str">
        <f>IFERROR(__xludf.DUMMYFUNCTION("""COMPUTED_VALUE"""),"Pitkänen, 2000")</f>
        <v>Pitkänen, 2000</v>
      </c>
      <c r="J227" s="42" t="str">
        <f>IFERROR(__xludf.DUMMYFUNCTION("""COMPUTED_VALUE"""),"Rat")</f>
        <v>Rat</v>
      </c>
      <c r="K227" s="42" t="str">
        <f>IFERROR(__xludf.DUMMYFUNCTION("""COMPUTED_VALUE"""),"Various tracing")</f>
        <v>Various tracing</v>
      </c>
      <c r="L227" s="42"/>
      <c r="M227" s="42" t="str">
        <f>IFERROR(__xludf.DUMMYFUNCTION("""COMPUTED_VALUE"""),"fig.3-fig.12 (to be specified)")</f>
        <v>fig.3-fig.12 (to be specified)</v>
      </c>
      <c r="N227" s="38"/>
      <c r="O227" s="31" t="str">
        <f>IFERROR(__xludf.DUMMYFUNCTION("""COMPUTED_VALUE"""),"DOC(alt)")</f>
        <v>DOC(alt)</v>
      </c>
      <c r="P227" s="9" t="str">
        <f>IFERROR(__xludf.DUMMYFUNCTION("""COMPUTED_VALUE"""),"Folia morphologica")</f>
        <v>Folia morphologica</v>
      </c>
      <c r="Q227" s="9" t="str">
        <f>IFERROR(__xludf.DUMMYFUNCTION("""COMPUTED_VALUE"""),"Review")</f>
        <v>Review</v>
      </c>
      <c r="R227" s="179" t="str">
        <f>IFERROR(__xludf.DUMMYFUNCTION("""COMPUTED_VALUE"""),"CEN (00/00) [Pitkänen, 2000];
")</f>
        <v>CEN (00/00) [Pitkänen, 2000];
</v>
      </c>
      <c r="S227" s="179" t="str">
        <f>IFERROR(__xludf.DUMMYFUNCTION("""COMPUTED_VALUE"""),"BNSTCEN")</f>
        <v>BNSTCEN</v>
      </c>
      <c r="T227" s="179" t="str">
        <f>IFERROR(__xludf.DUMMYFUNCTION("""COMPUTED_VALUE"""),"[Pitkänen, 2000]")</f>
        <v>[Pitkänen, 2000]</v>
      </c>
      <c r="U227" s="179">
        <f>IFERROR(__xludf.DUMMYFUNCTION("""COMPUTED_VALUE"""),0.0)</f>
        <v>0</v>
      </c>
      <c r="V227" s="180">
        <f>IFERROR(__xludf.DUMMYFUNCTION("""COMPUTED_VALUE"""),0.0)</f>
        <v>0</v>
      </c>
      <c r="W227" s="180">
        <f>IFERROR(__xludf.DUMMYFUNCTION("""COMPUTED_VALUE"""),0.95)</f>
        <v>0.95</v>
      </c>
      <c r="X227" s="42">
        <f>IFERROR(__xludf.DUMMYFUNCTION("""COMPUTED_VALUE"""),0.8)</f>
        <v>0.8</v>
      </c>
      <c r="Y227" s="42">
        <f>IFERROR(__xludf.DUMMYFUNCTION("""COMPUTED_VALUE"""),0.6)</f>
        <v>0.6</v>
      </c>
      <c r="Z227" s="9">
        <f>IFERROR(__xludf.DUMMYFUNCTION("""COMPUTED_VALUE"""),0.9)</f>
        <v>0.9</v>
      </c>
      <c r="AA227" s="181">
        <f>IFERROR(__xludf.DUMMYFUNCTION("""COMPUTED_VALUE"""),0.0)</f>
        <v>0</v>
      </c>
      <c r="AB227" s="181">
        <f>IFERROR(__xludf.DUMMYFUNCTION("""COMPUTED_VALUE"""),0.0)</f>
        <v>0</v>
      </c>
      <c r="AC227" s="179">
        <f>IFERROR(__xludf.DUMMYFUNCTION("""COMPUTED_VALUE"""),0.0)</f>
        <v>0</v>
      </c>
      <c r="AD227" s="165">
        <f>IFERROR(__xludf.DUMMYFUNCTION("""COMPUTED_VALUE"""),0.0)</f>
        <v>0</v>
      </c>
      <c r="AE227" s="39" t="str">
        <f>IFERROR(__xludf.DUMMYFUNCTION("""COMPUTED_VALUE"""),"Tatsuya Miyamoto")</f>
        <v>Tatsuya Miyamoto</v>
      </c>
      <c r="AF227" s="39" t="str">
        <f>IFERROR(__xludf.DUMMYFUNCTION("""COMPUTED_VALUE"""),"TM21Amygdala")</f>
        <v>TM21Amygdala</v>
      </c>
      <c r="AG227" s="39"/>
      <c r="AH227" s="39"/>
      <c r="AI227" s="165"/>
      <c r="AJ227" s="165"/>
      <c r="AK227" s="111"/>
      <c r="AL227" s="111"/>
      <c r="AM227" s="111"/>
      <c r="AN227" s="111"/>
      <c r="AO227" s="111"/>
      <c r="AP227" s="111"/>
      <c r="AQ227" s="116"/>
      <c r="AR227" s="116"/>
      <c r="AS227" s="116"/>
    </row>
    <row r="228">
      <c r="A228" s="42" t="str">
        <f>IFERROR(__xludf.DUMMYFUNCTION("""COMPUTED_VALUE"""),"BNST")</f>
        <v>BNST</v>
      </c>
      <c r="B228" s="42"/>
      <c r="C228" s="42"/>
      <c r="D228" s="42" t="str">
        <f>IFERROR(__xludf.DUMMYFUNCTION("""COMPUTED_VALUE"""),"CoA")</f>
        <v>CoA</v>
      </c>
      <c r="E228" s="42"/>
      <c r="F228" s="42"/>
      <c r="G228" s="42"/>
      <c r="H228" s="42" t="str">
        <f>IFERROR(__xludf.DUMMYFUNCTION("""COMPUTED_VALUE"""),"")</f>
        <v/>
      </c>
      <c r="I228" s="42" t="str">
        <f>IFERROR(__xludf.DUMMYFUNCTION("""COMPUTED_VALUE"""),"Pitkänen, 2000")</f>
        <v>Pitkänen, 2000</v>
      </c>
      <c r="J228" s="42" t="str">
        <f>IFERROR(__xludf.DUMMYFUNCTION("""COMPUTED_VALUE"""),"Rat")</f>
        <v>Rat</v>
      </c>
      <c r="K228" s="42" t="str">
        <f>IFERROR(__xludf.DUMMYFUNCTION("""COMPUTED_VALUE"""),"Various tracing")</f>
        <v>Various tracing</v>
      </c>
      <c r="L228" s="42"/>
      <c r="M228" s="42" t="str">
        <f>IFERROR(__xludf.DUMMYFUNCTION("""COMPUTED_VALUE"""),"fig.3-fig.12 (to be specified)")</f>
        <v>fig.3-fig.12 (to be specified)</v>
      </c>
      <c r="N228" s="38"/>
      <c r="O228" s="31" t="str">
        <f>IFERROR(__xludf.DUMMYFUNCTION("""COMPUTED_VALUE"""),"DOC(alt)")</f>
        <v>DOC(alt)</v>
      </c>
      <c r="P228" s="9" t="str">
        <f>IFERROR(__xludf.DUMMYFUNCTION("""COMPUTED_VALUE"""),"Folia morphologica")</f>
        <v>Folia morphologica</v>
      </c>
      <c r="Q228" s="9" t="str">
        <f>IFERROR(__xludf.DUMMYFUNCTION("""COMPUTED_VALUE"""),"Review")</f>
        <v>Review</v>
      </c>
      <c r="R228" s="179" t="str">
        <f>IFERROR(__xludf.DUMMYFUNCTION("""COMPUTED_VALUE"""),"CoA (00/00) [Pitkänen, 2000];
")</f>
        <v>CoA (00/00) [Pitkänen, 2000];
</v>
      </c>
      <c r="S228" s="179" t="str">
        <f>IFERROR(__xludf.DUMMYFUNCTION("""COMPUTED_VALUE"""),"BNSTCoA")</f>
        <v>BNSTCoA</v>
      </c>
      <c r="T228" s="179" t="str">
        <f>IFERROR(__xludf.DUMMYFUNCTION("""COMPUTED_VALUE"""),"[Pitkänen, 2000]")</f>
        <v>[Pitkänen, 2000]</v>
      </c>
      <c r="U228" s="179">
        <f>IFERROR(__xludf.DUMMYFUNCTION("""COMPUTED_VALUE"""),0.0)</f>
        <v>0</v>
      </c>
      <c r="V228" s="180">
        <f>IFERROR(__xludf.DUMMYFUNCTION("""COMPUTED_VALUE"""),0.0)</f>
        <v>0</v>
      </c>
      <c r="W228" s="180">
        <f>IFERROR(__xludf.DUMMYFUNCTION("""COMPUTED_VALUE"""),0.95)</f>
        <v>0.95</v>
      </c>
      <c r="X228" s="42">
        <f>IFERROR(__xludf.DUMMYFUNCTION("""COMPUTED_VALUE"""),0.8)</f>
        <v>0.8</v>
      </c>
      <c r="Y228" s="42">
        <f>IFERROR(__xludf.DUMMYFUNCTION("""COMPUTED_VALUE"""),0.6)</f>
        <v>0.6</v>
      </c>
      <c r="Z228" s="9">
        <f>IFERROR(__xludf.DUMMYFUNCTION("""COMPUTED_VALUE"""),0.9)</f>
        <v>0.9</v>
      </c>
      <c r="AA228" s="181">
        <f>IFERROR(__xludf.DUMMYFUNCTION("""COMPUTED_VALUE"""),0.0)</f>
        <v>0</v>
      </c>
      <c r="AB228" s="181">
        <f>IFERROR(__xludf.DUMMYFUNCTION("""COMPUTED_VALUE"""),0.0)</f>
        <v>0</v>
      </c>
      <c r="AC228" s="179">
        <f>IFERROR(__xludf.DUMMYFUNCTION("""COMPUTED_VALUE"""),0.0)</f>
        <v>0</v>
      </c>
      <c r="AD228" s="165">
        <f>IFERROR(__xludf.DUMMYFUNCTION("""COMPUTED_VALUE"""),0.0)</f>
        <v>0</v>
      </c>
      <c r="AE228" s="39" t="str">
        <f>IFERROR(__xludf.DUMMYFUNCTION("""COMPUTED_VALUE"""),"Tatsuya Miyamoto")</f>
        <v>Tatsuya Miyamoto</v>
      </c>
      <c r="AF228" s="39" t="str">
        <f>IFERROR(__xludf.DUMMYFUNCTION("""COMPUTED_VALUE"""),"TM21Amygdala")</f>
        <v>TM21Amygdala</v>
      </c>
      <c r="AG228" s="39"/>
      <c r="AH228" s="39"/>
      <c r="AI228" s="165"/>
      <c r="AJ228" s="165"/>
      <c r="AK228" s="111"/>
      <c r="AL228" s="111"/>
      <c r="AM228" s="111"/>
      <c r="AN228" s="111"/>
      <c r="AO228" s="111"/>
      <c r="AP228" s="111"/>
      <c r="AQ228" s="116"/>
      <c r="AR228" s="116"/>
      <c r="AS228" s="116"/>
    </row>
    <row r="229">
      <c r="A229" s="42" t="str">
        <f>IFERROR(__xludf.DUMMYFUNCTION("""COMPUTED_VALUE"""),"BNST")</f>
        <v>BNST</v>
      </c>
      <c r="B229" s="42"/>
      <c r="C229" s="42"/>
      <c r="D229" s="42" t="str">
        <f>IFERROR(__xludf.DUMMYFUNCTION("""COMPUTED_VALUE"""),"CoP")</f>
        <v>CoP</v>
      </c>
      <c r="E229" s="42"/>
      <c r="F229" s="42"/>
      <c r="G229" s="42"/>
      <c r="H229" s="42" t="str">
        <f>IFERROR(__xludf.DUMMYFUNCTION("""COMPUTED_VALUE"""),"")</f>
        <v/>
      </c>
      <c r="I229" s="42" t="str">
        <f>IFERROR(__xludf.DUMMYFUNCTION("""COMPUTED_VALUE"""),"Pitkänen, 2000")</f>
        <v>Pitkänen, 2000</v>
      </c>
      <c r="J229" s="42" t="str">
        <f>IFERROR(__xludf.DUMMYFUNCTION("""COMPUTED_VALUE"""),"Rat")</f>
        <v>Rat</v>
      </c>
      <c r="K229" s="42" t="str">
        <f>IFERROR(__xludf.DUMMYFUNCTION("""COMPUTED_VALUE"""),"Various tracing")</f>
        <v>Various tracing</v>
      </c>
      <c r="L229" s="42"/>
      <c r="M229" s="42" t="str">
        <f>IFERROR(__xludf.DUMMYFUNCTION("""COMPUTED_VALUE"""),"fig.3-fig.12 (to be specified)")</f>
        <v>fig.3-fig.12 (to be specified)</v>
      </c>
      <c r="N229" s="38"/>
      <c r="O229" s="31" t="str">
        <f>IFERROR(__xludf.DUMMYFUNCTION("""COMPUTED_VALUE"""),"DOC(alt)")</f>
        <v>DOC(alt)</v>
      </c>
      <c r="P229" s="9" t="str">
        <f>IFERROR(__xludf.DUMMYFUNCTION("""COMPUTED_VALUE"""),"Folia morphologica")</f>
        <v>Folia morphologica</v>
      </c>
      <c r="Q229" s="9" t="str">
        <f>IFERROR(__xludf.DUMMYFUNCTION("""COMPUTED_VALUE"""),"Review")</f>
        <v>Review</v>
      </c>
      <c r="R229" s="179" t="str">
        <f>IFERROR(__xludf.DUMMYFUNCTION("""COMPUTED_VALUE"""),"CoP (00/00) [Pitkänen, 2000];
")</f>
        <v>CoP (00/00) [Pitkänen, 2000];
</v>
      </c>
      <c r="S229" s="179" t="str">
        <f>IFERROR(__xludf.DUMMYFUNCTION("""COMPUTED_VALUE"""),"BNSTCoP")</f>
        <v>BNSTCoP</v>
      </c>
      <c r="T229" s="179" t="str">
        <f>IFERROR(__xludf.DUMMYFUNCTION("""COMPUTED_VALUE"""),"[Pitkänen, 2000]")</f>
        <v>[Pitkänen, 2000]</v>
      </c>
      <c r="U229" s="179">
        <f>IFERROR(__xludf.DUMMYFUNCTION("""COMPUTED_VALUE"""),0.0)</f>
        <v>0</v>
      </c>
      <c r="V229" s="180">
        <f>IFERROR(__xludf.DUMMYFUNCTION("""COMPUTED_VALUE"""),0.0)</f>
        <v>0</v>
      </c>
      <c r="W229" s="180">
        <f>IFERROR(__xludf.DUMMYFUNCTION("""COMPUTED_VALUE"""),0.95)</f>
        <v>0.95</v>
      </c>
      <c r="X229" s="42">
        <f>IFERROR(__xludf.DUMMYFUNCTION("""COMPUTED_VALUE"""),0.8)</f>
        <v>0.8</v>
      </c>
      <c r="Y229" s="42">
        <f>IFERROR(__xludf.DUMMYFUNCTION("""COMPUTED_VALUE"""),0.6)</f>
        <v>0.6</v>
      </c>
      <c r="Z229" s="9">
        <f>IFERROR(__xludf.DUMMYFUNCTION("""COMPUTED_VALUE"""),0.9)</f>
        <v>0.9</v>
      </c>
      <c r="AA229" s="181">
        <f>IFERROR(__xludf.DUMMYFUNCTION("""COMPUTED_VALUE"""),0.0)</f>
        <v>0</v>
      </c>
      <c r="AB229" s="181">
        <f>IFERROR(__xludf.DUMMYFUNCTION("""COMPUTED_VALUE"""),0.0)</f>
        <v>0</v>
      </c>
      <c r="AC229" s="179">
        <f>IFERROR(__xludf.DUMMYFUNCTION("""COMPUTED_VALUE"""),0.0)</f>
        <v>0</v>
      </c>
      <c r="AD229" s="165">
        <f>IFERROR(__xludf.DUMMYFUNCTION("""COMPUTED_VALUE"""),0.0)</f>
        <v>0</v>
      </c>
      <c r="AE229" s="39" t="str">
        <f>IFERROR(__xludf.DUMMYFUNCTION("""COMPUTED_VALUE"""),"Tatsuya Miyamoto")</f>
        <v>Tatsuya Miyamoto</v>
      </c>
      <c r="AF229" s="39" t="str">
        <f>IFERROR(__xludf.DUMMYFUNCTION("""COMPUTED_VALUE"""),"TM21Amygdala")</f>
        <v>TM21Amygdala</v>
      </c>
      <c r="AG229" s="39"/>
      <c r="AH229" s="39"/>
      <c r="AI229" s="165"/>
      <c r="AJ229" s="165"/>
      <c r="AK229" s="111"/>
      <c r="AL229" s="111"/>
      <c r="AM229" s="111"/>
      <c r="AN229" s="111"/>
      <c r="AO229" s="111"/>
      <c r="AP229" s="111"/>
      <c r="AQ229" s="116"/>
      <c r="AR229" s="116"/>
      <c r="AS229" s="116"/>
    </row>
    <row r="230">
      <c r="A230" s="42" t="str">
        <f>IFERROR(__xludf.DUMMYFUNCTION("""COMPUTED_VALUE"""),"BNST")</f>
        <v>BNST</v>
      </c>
      <c r="B230" s="42"/>
      <c r="C230" s="42"/>
      <c r="D230" s="42" t="str">
        <f>IFERROR(__xludf.DUMMYFUNCTION("""COMPUTED_VALUE"""),"Me")</f>
        <v>Me</v>
      </c>
      <c r="E230" s="42"/>
      <c r="F230" s="42"/>
      <c r="G230" s="42"/>
      <c r="H230" s="42" t="str">
        <f>IFERROR(__xludf.DUMMYFUNCTION("""COMPUTED_VALUE"""),"")</f>
        <v/>
      </c>
      <c r="I230" s="42" t="str">
        <f>IFERROR(__xludf.DUMMYFUNCTION("""COMPUTED_VALUE"""),"Pitkänen, 2000")</f>
        <v>Pitkänen, 2000</v>
      </c>
      <c r="J230" s="42" t="str">
        <f>IFERROR(__xludf.DUMMYFUNCTION("""COMPUTED_VALUE"""),"Rat")</f>
        <v>Rat</v>
      </c>
      <c r="K230" s="42" t="str">
        <f>IFERROR(__xludf.DUMMYFUNCTION("""COMPUTED_VALUE"""),"Various tracing")</f>
        <v>Various tracing</v>
      </c>
      <c r="L230" s="42"/>
      <c r="M230" s="42" t="str">
        <f>IFERROR(__xludf.DUMMYFUNCTION("""COMPUTED_VALUE"""),"fig.3-fig.12 (to be specified)")</f>
        <v>fig.3-fig.12 (to be specified)</v>
      </c>
      <c r="N230" s="38"/>
      <c r="O230" s="31" t="str">
        <f>IFERROR(__xludf.DUMMYFUNCTION("""COMPUTED_VALUE"""),"DOC(alt)")</f>
        <v>DOC(alt)</v>
      </c>
      <c r="P230" s="9" t="str">
        <f>IFERROR(__xludf.DUMMYFUNCTION("""COMPUTED_VALUE"""),"Folia morphologica")</f>
        <v>Folia morphologica</v>
      </c>
      <c r="Q230" s="9" t="str">
        <f>IFERROR(__xludf.DUMMYFUNCTION("""COMPUTED_VALUE"""),"Review")</f>
        <v>Review</v>
      </c>
      <c r="R230" s="179" t="str">
        <f>IFERROR(__xludf.DUMMYFUNCTION("""COMPUTED_VALUE"""),"Me (00/00) [Pitkänen, 2000];
")</f>
        <v>Me (00/00) [Pitkänen, 2000];
</v>
      </c>
      <c r="S230" s="179" t="str">
        <f>IFERROR(__xludf.DUMMYFUNCTION("""COMPUTED_VALUE"""),"BNSTMe")</f>
        <v>BNSTMe</v>
      </c>
      <c r="T230" s="179" t="str">
        <f>IFERROR(__xludf.DUMMYFUNCTION("""COMPUTED_VALUE"""),"[Pitkänen, 2000]")</f>
        <v>[Pitkänen, 2000]</v>
      </c>
      <c r="U230" s="179">
        <f>IFERROR(__xludf.DUMMYFUNCTION("""COMPUTED_VALUE"""),0.0)</f>
        <v>0</v>
      </c>
      <c r="V230" s="180">
        <f>IFERROR(__xludf.DUMMYFUNCTION("""COMPUTED_VALUE"""),0.0)</f>
        <v>0</v>
      </c>
      <c r="W230" s="180">
        <f>IFERROR(__xludf.DUMMYFUNCTION("""COMPUTED_VALUE"""),0.95)</f>
        <v>0.95</v>
      </c>
      <c r="X230" s="42">
        <f>IFERROR(__xludf.DUMMYFUNCTION("""COMPUTED_VALUE"""),0.8)</f>
        <v>0.8</v>
      </c>
      <c r="Y230" s="42">
        <f>IFERROR(__xludf.DUMMYFUNCTION("""COMPUTED_VALUE"""),0.6)</f>
        <v>0.6</v>
      </c>
      <c r="Z230" s="9">
        <f>IFERROR(__xludf.DUMMYFUNCTION("""COMPUTED_VALUE"""),0.9)</f>
        <v>0.9</v>
      </c>
      <c r="AA230" s="181">
        <f>IFERROR(__xludf.DUMMYFUNCTION("""COMPUTED_VALUE"""),0.0)</f>
        <v>0</v>
      </c>
      <c r="AB230" s="181">
        <f>IFERROR(__xludf.DUMMYFUNCTION("""COMPUTED_VALUE"""),0.0)</f>
        <v>0</v>
      </c>
      <c r="AC230" s="179">
        <f>IFERROR(__xludf.DUMMYFUNCTION("""COMPUTED_VALUE"""),0.0)</f>
        <v>0</v>
      </c>
      <c r="AD230" s="165">
        <f>IFERROR(__xludf.DUMMYFUNCTION("""COMPUTED_VALUE"""),0.0)</f>
        <v>0</v>
      </c>
      <c r="AE230" s="39" t="str">
        <f>IFERROR(__xludf.DUMMYFUNCTION("""COMPUTED_VALUE"""),"Tatsuya Miyamoto")</f>
        <v>Tatsuya Miyamoto</v>
      </c>
      <c r="AF230" s="39" t="str">
        <f>IFERROR(__xludf.DUMMYFUNCTION("""COMPUTED_VALUE"""),"TM21Amygdala")</f>
        <v>TM21Amygdala</v>
      </c>
      <c r="AG230" s="39"/>
      <c r="AH230" s="39"/>
      <c r="AI230" s="165"/>
      <c r="AJ230" s="165"/>
      <c r="AK230" s="111"/>
      <c r="AL230" s="111"/>
      <c r="AM230" s="111"/>
      <c r="AN230" s="111"/>
      <c r="AO230" s="111"/>
      <c r="AP230" s="111"/>
      <c r="AQ230" s="116"/>
      <c r="AR230" s="116"/>
      <c r="AS230" s="116"/>
    </row>
    <row r="231">
      <c r="A231" s="42" t="str">
        <f>IFERROR(__xludf.DUMMYFUNCTION("""COMPUTED_VALUE"""),"Ca")</f>
        <v>Ca</v>
      </c>
      <c r="B231" s="42"/>
      <c r="C231" s="42"/>
      <c r="D231" s="42" t="str">
        <f>IFERROR(__xludf.DUMMYFUNCTION("""COMPUTED_VALUE"""),"GPi")</f>
        <v>GPi</v>
      </c>
      <c r="E231" s="42"/>
      <c r="F231" s="42"/>
      <c r="G231" s="42"/>
      <c r="H231" s="42" t="str">
        <f>IFERROR(__xludf.DUMMYFUNCTION("""COMPUTED_VALUE"""),"(Associative loop)")</f>
        <v>(Associative loop)</v>
      </c>
      <c r="I231" s="42" t="str">
        <f>IFERROR(__xludf.DUMMYFUNCTION("""COMPUTED_VALUE"""),"Fiore, 2015")</f>
        <v>Fiore, 2015</v>
      </c>
      <c r="J231" s="42"/>
      <c r="K231" s="42"/>
      <c r="L231" s="42"/>
      <c r="M231" s="42"/>
      <c r="N231" s="38"/>
      <c r="O231" s="31" t="str">
        <f>IFERROR(__xludf.DUMMYFUNCTION("""COMPUTED_VALUE"""),"DOC")</f>
        <v>DOC</v>
      </c>
      <c r="P231" s="9" t="str">
        <f>IFERROR(__xludf.DUMMYFUNCTION("""COMPUTED_VALUE"""),"Philosophical Transactions of the Royal Society B: Biological Sciences")</f>
        <v>Philosophical Transactions of the Royal Society B: Biological Sciences</v>
      </c>
      <c r="Q231" s="9"/>
      <c r="R231" s="179" t="str">
        <f>IFERROR(__xludf.DUMMYFUNCTION("""COMPUTED_VALUE"""),"GPi (00/00) [Fiore, 2015][Galvan, 2015](Associative loop);
")</f>
        <v>GPi (00/00) [Fiore, 2015][Galvan, 2015](Associative loop);
</v>
      </c>
      <c r="S231" s="179" t="str">
        <f>IFERROR(__xludf.DUMMYFUNCTION("""COMPUTED_VALUE"""),"CaGPi")</f>
        <v>CaGPi</v>
      </c>
      <c r="T231" s="179" t="str">
        <f>IFERROR(__xludf.DUMMYFUNCTION("""COMPUTED_VALUE"""),"[Fiore, 2015]")</f>
        <v>[Fiore, 2015]</v>
      </c>
      <c r="U231" s="179">
        <f>IFERROR(__xludf.DUMMYFUNCTION("""COMPUTED_VALUE"""),0.0)</f>
        <v>0</v>
      </c>
      <c r="V231" s="180">
        <f>IFERROR(__xludf.DUMMYFUNCTION("""COMPUTED_VALUE"""),0.0)</f>
        <v>0</v>
      </c>
      <c r="W231" s="180">
        <f>IFERROR(__xludf.DUMMYFUNCTION("""COMPUTED_VALUE"""),0.95)</f>
        <v>0.95</v>
      </c>
      <c r="X231" s="42">
        <f>IFERROR(__xludf.DUMMYFUNCTION("""COMPUTED_VALUE"""),0.0)</f>
        <v>0</v>
      </c>
      <c r="Y231" s="42">
        <f>IFERROR(__xludf.DUMMYFUNCTION("""COMPUTED_VALUE"""),0.0)</f>
        <v>0</v>
      </c>
      <c r="Z231" s="9">
        <f>IFERROR(__xludf.DUMMYFUNCTION("""COMPUTED_VALUE"""),0.0)</f>
        <v>0</v>
      </c>
      <c r="AA231" s="181">
        <f>IFERROR(__xludf.DUMMYFUNCTION("""COMPUTED_VALUE"""),0.0)</f>
        <v>0</v>
      </c>
      <c r="AB231" s="181">
        <f>IFERROR(__xludf.DUMMYFUNCTION("""COMPUTED_VALUE"""),0.0)</f>
        <v>0</v>
      </c>
      <c r="AC231" s="179">
        <f>IFERROR(__xludf.DUMMYFUNCTION("""COMPUTED_VALUE"""),0.0)</f>
        <v>0</v>
      </c>
      <c r="AD231" s="165">
        <f>IFERROR(__xludf.DUMMYFUNCTION("""COMPUTED_VALUE"""),0.0)</f>
        <v>0</v>
      </c>
      <c r="AE231" s="39" t="str">
        <f>IFERROR(__xludf.DUMMYFUNCTION("""COMPUTED_VALUE"""),"Yuske Shibata")</f>
        <v>Yuske Shibata</v>
      </c>
      <c r="AF231" s="39" t="str">
        <f>IFERROR(__xludf.DUMMYFUNCTION("""COMPUTED_VALUE"""),"YS21BgLoop")</f>
        <v>YS21BgLoop</v>
      </c>
      <c r="AG231" s="39"/>
      <c r="AH231" s="39"/>
      <c r="AI231" s="165"/>
      <c r="AJ231" s="165"/>
      <c r="AK231" s="111"/>
      <c r="AL231" s="111"/>
      <c r="AM231" s="111"/>
      <c r="AN231" s="111"/>
      <c r="AO231" s="111"/>
      <c r="AP231" s="111"/>
      <c r="AQ231" s="116"/>
      <c r="AR231" s="116"/>
      <c r="AS231" s="116"/>
    </row>
    <row r="232">
      <c r="A232" s="42" t="str">
        <f>IFERROR(__xludf.DUMMYFUNCTION("""COMPUTED_VALUE"""),"Ca")</f>
        <v>Ca</v>
      </c>
      <c r="B232" s="42"/>
      <c r="C232" s="42"/>
      <c r="D232" s="42" t="str">
        <f>IFERROR(__xludf.DUMMYFUNCTION("""COMPUTED_VALUE"""),"SNr")</f>
        <v>SNr</v>
      </c>
      <c r="E232" s="42"/>
      <c r="F232" s="42"/>
      <c r="G232" s="42"/>
      <c r="H232" s="42" t="str">
        <f>IFERROR(__xludf.DUMMYFUNCTION("""COMPUTED_VALUE"""),"(Associative loop)")</f>
        <v>(Associative loop)</v>
      </c>
      <c r="I232" s="42" t="str">
        <f>IFERROR(__xludf.DUMMYFUNCTION("""COMPUTED_VALUE"""),"Fiore, 2015")</f>
        <v>Fiore, 2015</v>
      </c>
      <c r="J232" s="42"/>
      <c r="K232" s="42"/>
      <c r="L232" s="42"/>
      <c r="M232" s="42"/>
      <c r="N232" s="42"/>
      <c r="O232" s="31" t="str">
        <f>IFERROR(__xludf.DUMMYFUNCTION("""COMPUTED_VALUE"""),"DOC")</f>
        <v>DOC</v>
      </c>
      <c r="P232" s="9" t="str">
        <f>IFERROR(__xludf.DUMMYFUNCTION("""COMPUTED_VALUE"""),"Philosophical Transactions of the Royal Society B: Biological Sciences")</f>
        <v>Philosophical Transactions of the Royal Society B: Biological Sciences</v>
      </c>
      <c r="Q232" s="9"/>
      <c r="R232" s="179" t="str">
        <f>IFERROR(__xludf.DUMMYFUNCTION("""COMPUTED_VALUE"""),"SNr (00/00) [Fiore, 2015][Galvan, 2015](Associative loop);
")</f>
        <v>SNr (00/00) [Fiore, 2015][Galvan, 2015](Associative loop);
</v>
      </c>
      <c r="S232" s="179" t="str">
        <f>IFERROR(__xludf.DUMMYFUNCTION("""COMPUTED_VALUE"""),"CaSNr")</f>
        <v>CaSNr</v>
      </c>
      <c r="T232" s="179" t="str">
        <f>IFERROR(__xludf.DUMMYFUNCTION("""COMPUTED_VALUE"""),"[Fiore, 2015]")</f>
        <v>[Fiore, 2015]</v>
      </c>
      <c r="U232" s="179">
        <f>IFERROR(__xludf.DUMMYFUNCTION("""COMPUTED_VALUE"""),0.0)</f>
        <v>0</v>
      </c>
      <c r="V232" s="180">
        <f>IFERROR(__xludf.DUMMYFUNCTION("""COMPUTED_VALUE"""),0.0)</f>
        <v>0</v>
      </c>
      <c r="W232" s="180">
        <f>IFERROR(__xludf.DUMMYFUNCTION("""COMPUTED_VALUE"""),0.95)</f>
        <v>0.95</v>
      </c>
      <c r="X232" s="42">
        <f>IFERROR(__xludf.DUMMYFUNCTION("""COMPUTED_VALUE"""),0.0)</f>
        <v>0</v>
      </c>
      <c r="Y232" s="42">
        <f>IFERROR(__xludf.DUMMYFUNCTION("""COMPUTED_VALUE"""),0.0)</f>
        <v>0</v>
      </c>
      <c r="Z232" s="9">
        <f>IFERROR(__xludf.DUMMYFUNCTION("""COMPUTED_VALUE"""),0.0)</f>
        <v>0</v>
      </c>
      <c r="AA232" s="181">
        <f>IFERROR(__xludf.DUMMYFUNCTION("""COMPUTED_VALUE"""),0.0)</f>
        <v>0</v>
      </c>
      <c r="AB232" s="181">
        <f>IFERROR(__xludf.DUMMYFUNCTION("""COMPUTED_VALUE"""),0.0)</f>
        <v>0</v>
      </c>
      <c r="AC232" s="179">
        <f>IFERROR(__xludf.DUMMYFUNCTION("""COMPUTED_VALUE"""),0.0)</f>
        <v>0</v>
      </c>
      <c r="AD232" s="165">
        <f>IFERROR(__xludf.DUMMYFUNCTION("""COMPUTED_VALUE"""),0.0)</f>
        <v>0</v>
      </c>
      <c r="AE232" s="39" t="str">
        <f>IFERROR(__xludf.DUMMYFUNCTION("""COMPUTED_VALUE"""),"Yuske Shibata")</f>
        <v>Yuske Shibata</v>
      </c>
      <c r="AF232" s="39" t="str">
        <f>IFERROR(__xludf.DUMMYFUNCTION("""COMPUTED_VALUE"""),"YS21BgLoop")</f>
        <v>YS21BgLoop</v>
      </c>
      <c r="AG232" s="39"/>
      <c r="AH232" s="39"/>
      <c r="AI232" s="165"/>
      <c r="AJ232" s="165"/>
      <c r="AK232" s="111"/>
      <c r="AL232" s="111"/>
      <c r="AM232" s="111"/>
      <c r="AN232" s="111"/>
      <c r="AO232" s="111"/>
      <c r="AP232" s="111"/>
      <c r="AQ232" s="116"/>
      <c r="AR232" s="116"/>
      <c r="AS232" s="116"/>
    </row>
    <row r="233">
      <c r="A233" s="42" t="str">
        <f>IFERROR(__xludf.DUMMYFUNCTION("""COMPUTED_VALUE"""),"Ca")</f>
        <v>Ca</v>
      </c>
      <c r="B233" s="42"/>
      <c r="C233" s="42"/>
      <c r="D233" s="42" t="str">
        <f>IFERROR(__xludf.DUMMYFUNCTION("""COMPUTED_VALUE"""),"GPi")</f>
        <v>GPi</v>
      </c>
      <c r="E233" s="42"/>
      <c r="F233" s="42"/>
      <c r="G233" s="42"/>
      <c r="H233" s="42" t="str">
        <f>IFERROR(__xludf.DUMMYFUNCTION("""COMPUTED_VALUE"""),"")</f>
        <v/>
      </c>
      <c r="I233" s="42" t="str">
        <f>IFERROR(__xludf.DUMMYFUNCTION("""COMPUTED_VALUE"""),"Galvan, 2015")</f>
        <v>Galvan, 2015</v>
      </c>
      <c r="J233" s="42"/>
      <c r="K233" s="42"/>
      <c r="L233" s="42"/>
      <c r="M233" s="42"/>
      <c r="N233" s="42"/>
      <c r="O233" s="31" t="str">
        <f>IFERROR(__xludf.DUMMYFUNCTION("""COMPUTED_VALUE"""),"DOC")</f>
        <v>DOC</v>
      </c>
      <c r="P233" s="9" t="str">
        <f>IFERROR(__xludf.DUMMYFUNCTION("""COMPUTED_VALUE"""),"Frontiers in Neuroanatomy")</f>
        <v>Frontiers in Neuroanatomy</v>
      </c>
      <c r="Q233" s="9"/>
      <c r="R233" s="179" t="str">
        <f>IFERROR(__xludf.DUMMYFUNCTION("""COMPUTED_VALUE"""),"GPi (00/00) [Fiore, 2015][Galvan, 2015];
")</f>
        <v>GPi (00/00) [Fiore, 2015][Galvan, 2015];
</v>
      </c>
      <c r="S233" s="179" t="str">
        <f>IFERROR(__xludf.DUMMYFUNCTION("""COMPUTED_VALUE"""),"CaGPi")</f>
        <v>CaGPi</v>
      </c>
      <c r="T233" s="179" t="str">
        <f>IFERROR(__xludf.DUMMYFUNCTION("""COMPUTED_VALUE"""),"[Galvan, 2015]")</f>
        <v>[Galvan, 2015]</v>
      </c>
      <c r="U233" s="179">
        <f>IFERROR(__xludf.DUMMYFUNCTION("""COMPUTED_VALUE"""),0.0)</f>
        <v>0</v>
      </c>
      <c r="V233" s="180">
        <f>IFERROR(__xludf.DUMMYFUNCTION("""COMPUTED_VALUE"""),0.0)</f>
        <v>0</v>
      </c>
      <c r="W233" s="180">
        <f>IFERROR(__xludf.DUMMYFUNCTION("""COMPUTED_VALUE"""),0.95)</f>
        <v>0.95</v>
      </c>
      <c r="X233" s="42">
        <f>IFERROR(__xludf.DUMMYFUNCTION("""COMPUTED_VALUE"""),0.0)</f>
        <v>0</v>
      </c>
      <c r="Y233" s="42">
        <f>IFERROR(__xludf.DUMMYFUNCTION("""COMPUTED_VALUE"""),0.0)</f>
        <v>0</v>
      </c>
      <c r="Z233" s="9">
        <f>IFERROR(__xludf.DUMMYFUNCTION("""COMPUTED_VALUE"""),0.0)</f>
        <v>0</v>
      </c>
      <c r="AA233" s="181">
        <f>IFERROR(__xludf.DUMMYFUNCTION("""COMPUTED_VALUE"""),0.0)</f>
        <v>0</v>
      </c>
      <c r="AB233" s="181">
        <f>IFERROR(__xludf.DUMMYFUNCTION("""COMPUTED_VALUE"""),0.0)</f>
        <v>0</v>
      </c>
      <c r="AC233" s="179">
        <f>IFERROR(__xludf.DUMMYFUNCTION("""COMPUTED_VALUE"""),0.0)</f>
        <v>0</v>
      </c>
      <c r="AD233" s="165">
        <f>IFERROR(__xludf.DUMMYFUNCTION("""COMPUTED_VALUE"""),0.0)</f>
        <v>0</v>
      </c>
      <c r="AE233" s="39" t="str">
        <f>IFERROR(__xludf.DUMMYFUNCTION("""COMPUTED_VALUE"""),"Yuske Shibata")</f>
        <v>Yuske Shibata</v>
      </c>
      <c r="AF233" s="39" t="str">
        <f>IFERROR(__xludf.DUMMYFUNCTION("""COMPUTED_VALUE"""),"YS21BgLoop")</f>
        <v>YS21BgLoop</v>
      </c>
      <c r="AG233" s="39"/>
      <c r="AH233" s="39"/>
      <c r="AI233" s="165"/>
      <c r="AJ233" s="165"/>
      <c r="AK233" s="111"/>
      <c r="AL233" s="111"/>
      <c r="AM233" s="111"/>
      <c r="AN233" s="111"/>
      <c r="AO233" s="111"/>
      <c r="AP233" s="111"/>
      <c r="AQ233" s="116"/>
      <c r="AR233" s="116"/>
      <c r="AS233" s="116"/>
    </row>
    <row r="234">
      <c r="A234" s="42" t="str">
        <f>IFERROR(__xludf.DUMMYFUNCTION("""COMPUTED_VALUE"""),"Ca")</f>
        <v>Ca</v>
      </c>
      <c r="B234" s="42"/>
      <c r="C234" s="42"/>
      <c r="D234" s="42" t="str">
        <f>IFERROR(__xludf.DUMMYFUNCTION("""COMPUTED_VALUE"""),"SNr")</f>
        <v>SNr</v>
      </c>
      <c r="E234" s="42"/>
      <c r="F234" s="42"/>
      <c r="G234" s="42"/>
      <c r="H234" s="42" t="str">
        <f>IFERROR(__xludf.DUMMYFUNCTION("""COMPUTED_VALUE"""),"")</f>
        <v/>
      </c>
      <c r="I234" s="42" t="str">
        <f>IFERROR(__xludf.DUMMYFUNCTION("""COMPUTED_VALUE"""),"Galvan, 2015")</f>
        <v>Galvan, 2015</v>
      </c>
      <c r="J234" s="42"/>
      <c r="K234" s="42"/>
      <c r="L234" s="42"/>
      <c r="M234" s="42"/>
      <c r="N234" s="42"/>
      <c r="O234" s="31" t="str">
        <f>IFERROR(__xludf.DUMMYFUNCTION("""COMPUTED_VALUE"""),"DOC")</f>
        <v>DOC</v>
      </c>
      <c r="P234" s="9" t="str">
        <f>IFERROR(__xludf.DUMMYFUNCTION("""COMPUTED_VALUE"""),"Frontiers in Neuroanatomy")</f>
        <v>Frontiers in Neuroanatomy</v>
      </c>
      <c r="Q234" s="9"/>
      <c r="R234" s="179" t="str">
        <f>IFERROR(__xludf.DUMMYFUNCTION("""COMPUTED_VALUE"""),"SNr (00/00) [Fiore, 2015][Galvan, 2015];
")</f>
        <v>SNr (00/00) [Fiore, 2015][Galvan, 2015];
</v>
      </c>
      <c r="S234" s="179" t="str">
        <f>IFERROR(__xludf.DUMMYFUNCTION("""COMPUTED_VALUE"""),"CaSNr")</f>
        <v>CaSNr</v>
      </c>
      <c r="T234" s="179" t="str">
        <f>IFERROR(__xludf.DUMMYFUNCTION("""COMPUTED_VALUE"""),"[Galvan, 2015]")</f>
        <v>[Galvan, 2015]</v>
      </c>
      <c r="U234" s="179">
        <f>IFERROR(__xludf.DUMMYFUNCTION("""COMPUTED_VALUE"""),0.0)</f>
        <v>0</v>
      </c>
      <c r="V234" s="180">
        <f>IFERROR(__xludf.DUMMYFUNCTION("""COMPUTED_VALUE"""),0.0)</f>
        <v>0</v>
      </c>
      <c r="W234" s="180">
        <f>IFERROR(__xludf.DUMMYFUNCTION("""COMPUTED_VALUE"""),0.95)</f>
        <v>0.95</v>
      </c>
      <c r="X234" s="42">
        <f>IFERROR(__xludf.DUMMYFUNCTION("""COMPUTED_VALUE"""),0.0)</f>
        <v>0</v>
      </c>
      <c r="Y234" s="42">
        <f>IFERROR(__xludf.DUMMYFUNCTION("""COMPUTED_VALUE"""),0.0)</f>
        <v>0</v>
      </c>
      <c r="Z234" s="9">
        <f>IFERROR(__xludf.DUMMYFUNCTION("""COMPUTED_VALUE"""),0.0)</f>
        <v>0</v>
      </c>
      <c r="AA234" s="181">
        <f>IFERROR(__xludf.DUMMYFUNCTION("""COMPUTED_VALUE"""),0.0)</f>
        <v>0</v>
      </c>
      <c r="AB234" s="181">
        <f>IFERROR(__xludf.DUMMYFUNCTION("""COMPUTED_VALUE"""),0.0)</f>
        <v>0</v>
      </c>
      <c r="AC234" s="179">
        <f>IFERROR(__xludf.DUMMYFUNCTION("""COMPUTED_VALUE"""),0.0)</f>
        <v>0</v>
      </c>
      <c r="AD234" s="165">
        <f>IFERROR(__xludf.DUMMYFUNCTION("""COMPUTED_VALUE"""),0.0)</f>
        <v>0</v>
      </c>
      <c r="AE234" s="39" t="str">
        <f>IFERROR(__xludf.DUMMYFUNCTION("""COMPUTED_VALUE"""),"Yuske Shibata")</f>
        <v>Yuske Shibata</v>
      </c>
      <c r="AF234" s="39" t="str">
        <f>IFERROR(__xludf.DUMMYFUNCTION("""COMPUTED_VALUE"""),"YS21BgLoop")</f>
        <v>YS21BgLoop</v>
      </c>
      <c r="AG234" s="39"/>
      <c r="AH234" s="39"/>
      <c r="AI234" s="165"/>
      <c r="AJ234" s="165"/>
      <c r="AK234" s="111"/>
      <c r="AL234" s="111"/>
      <c r="AM234" s="111"/>
      <c r="AN234" s="111"/>
      <c r="AO234" s="111"/>
      <c r="AP234" s="111"/>
      <c r="AQ234" s="116"/>
      <c r="AR234" s="116"/>
      <c r="AS234" s="116"/>
    </row>
    <row r="235">
      <c r="A235" s="42" t="str">
        <f>IFERROR(__xludf.DUMMYFUNCTION("""COMPUTED_VALUE"""),"CA1")</f>
        <v>CA1</v>
      </c>
      <c r="B235" s="42"/>
      <c r="C235" s="42"/>
      <c r="D235" s="42" t="str">
        <f>IFERROR(__xludf.DUMMYFUNCTION("""COMPUTED_VALUE"""),"BL")</f>
        <v>BL</v>
      </c>
      <c r="E235" s="42"/>
      <c r="F235" s="42"/>
      <c r="G235" s="42"/>
      <c r="H235" s="42" t="str">
        <f>IFERROR(__xludf.DUMMYFUNCTION("""COMPUTED_VALUE"""),"")</f>
        <v/>
      </c>
      <c r="I235" s="42" t="str">
        <f>IFERROR(__xludf.DUMMYFUNCTION("""COMPUTED_VALUE"""),"Pitkänen, 2000")</f>
        <v>Pitkänen, 2000</v>
      </c>
      <c r="J235" s="42" t="str">
        <f>IFERROR(__xludf.DUMMYFUNCTION("""COMPUTED_VALUE"""),"Rat")</f>
        <v>Rat</v>
      </c>
      <c r="K235" s="42" t="str">
        <f>IFERROR(__xludf.DUMMYFUNCTION("""COMPUTED_VALUE"""),"Various tracing")</f>
        <v>Various tracing</v>
      </c>
      <c r="L235" s="42"/>
      <c r="M235" s="42" t="str">
        <f>IFERROR(__xludf.DUMMYFUNCTION("""COMPUTED_VALUE"""),"fig.3-fig.12 (to be specified)")</f>
        <v>fig.3-fig.12 (to be specified)</v>
      </c>
      <c r="N235" s="42"/>
      <c r="O235" s="31" t="str">
        <f>IFERROR(__xludf.DUMMYFUNCTION("""COMPUTED_VALUE"""),"DOC(alt)")</f>
        <v>DOC(alt)</v>
      </c>
      <c r="P235" s="9" t="str">
        <f>IFERROR(__xludf.DUMMYFUNCTION("""COMPUTED_VALUE"""),"Folia morphologica")</f>
        <v>Folia morphologica</v>
      </c>
      <c r="Q235" s="9" t="str">
        <f>IFERROR(__xludf.DUMMYFUNCTION("""COMPUTED_VALUE"""),"Review")</f>
        <v>Review</v>
      </c>
      <c r="R235" s="179" t="str">
        <f>IFERROR(__xludf.DUMMYFUNCTION("""COMPUTED_VALUE"""),"BL (00/00) [Pitkänen, 2000];
")</f>
        <v>BL (00/00) [Pitkänen, 2000];
</v>
      </c>
      <c r="S235" s="179" t="str">
        <f>IFERROR(__xludf.DUMMYFUNCTION("""COMPUTED_VALUE"""),"CA1BL")</f>
        <v>CA1BL</v>
      </c>
      <c r="T235" s="179" t="str">
        <f>IFERROR(__xludf.DUMMYFUNCTION("""COMPUTED_VALUE"""),"[Pitkänen, 2000]")</f>
        <v>[Pitkänen, 2000]</v>
      </c>
      <c r="U235" s="179">
        <f>IFERROR(__xludf.DUMMYFUNCTION("""COMPUTED_VALUE"""),0.0)</f>
        <v>0</v>
      </c>
      <c r="V235" s="180">
        <f>IFERROR(__xludf.DUMMYFUNCTION("""COMPUTED_VALUE"""),0.0)</f>
        <v>0</v>
      </c>
      <c r="W235" s="180">
        <f>IFERROR(__xludf.DUMMYFUNCTION("""COMPUTED_VALUE"""),0.95)</f>
        <v>0.95</v>
      </c>
      <c r="X235" s="42">
        <f>IFERROR(__xludf.DUMMYFUNCTION("""COMPUTED_VALUE"""),0.8)</f>
        <v>0.8</v>
      </c>
      <c r="Y235" s="42">
        <f>IFERROR(__xludf.DUMMYFUNCTION("""COMPUTED_VALUE"""),0.6)</f>
        <v>0.6</v>
      </c>
      <c r="Z235" s="9">
        <f>IFERROR(__xludf.DUMMYFUNCTION("""COMPUTED_VALUE"""),0.9)</f>
        <v>0.9</v>
      </c>
      <c r="AA235" s="181">
        <f>IFERROR(__xludf.DUMMYFUNCTION("""COMPUTED_VALUE"""),0.0)</f>
        <v>0</v>
      </c>
      <c r="AB235" s="181">
        <f>IFERROR(__xludf.DUMMYFUNCTION("""COMPUTED_VALUE"""),0.0)</f>
        <v>0</v>
      </c>
      <c r="AC235" s="179">
        <f>IFERROR(__xludf.DUMMYFUNCTION("""COMPUTED_VALUE"""),0.0)</f>
        <v>0</v>
      </c>
      <c r="AD235" s="165">
        <f>IFERROR(__xludf.DUMMYFUNCTION("""COMPUTED_VALUE"""),0.0)</f>
        <v>0</v>
      </c>
      <c r="AE235" s="39" t="str">
        <f>IFERROR(__xludf.DUMMYFUNCTION("""COMPUTED_VALUE"""),"Tatsuya Miyamoto")</f>
        <v>Tatsuya Miyamoto</v>
      </c>
      <c r="AF235" s="39" t="str">
        <f>IFERROR(__xludf.DUMMYFUNCTION("""COMPUTED_VALUE"""),"TM21Amygdala")</f>
        <v>TM21Amygdala</v>
      </c>
      <c r="AG235" s="39"/>
      <c r="AH235" s="39"/>
      <c r="AI235" s="165"/>
      <c r="AJ235" s="165"/>
      <c r="AK235" s="111"/>
      <c r="AL235" s="111"/>
      <c r="AM235" s="111"/>
      <c r="AN235" s="111"/>
      <c r="AO235" s="111"/>
      <c r="AP235" s="111"/>
      <c r="AQ235" s="116"/>
      <c r="AR235" s="116"/>
      <c r="AS235" s="116"/>
    </row>
    <row r="236">
      <c r="A236" s="42" t="str">
        <f>IFERROR(__xludf.DUMMYFUNCTION("""COMPUTED_VALUE"""),"CA1")</f>
        <v>CA1</v>
      </c>
      <c r="B236" s="42"/>
      <c r="C236" s="42"/>
      <c r="D236" s="42" t="str">
        <f>IFERROR(__xludf.DUMMYFUNCTION("""COMPUTED_VALUE"""),"BM")</f>
        <v>BM</v>
      </c>
      <c r="E236" s="42"/>
      <c r="F236" s="42"/>
      <c r="G236" s="42"/>
      <c r="H236" s="42" t="str">
        <f>IFERROR(__xludf.DUMMYFUNCTION("""COMPUTED_VALUE"""),"")</f>
        <v/>
      </c>
      <c r="I236" s="42" t="str">
        <f>IFERROR(__xludf.DUMMYFUNCTION("""COMPUTED_VALUE"""),"Pitkänen, 2000")</f>
        <v>Pitkänen, 2000</v>
      </c>
      <c r="J236" s="42" t="str">
        <f>IFERROR(__xludf.DUMMYFUNCTION("""COMPUTED_VALUE"""),"Rat")</f>
        <v>Rat</v>
      </c>
      <c r="K236" s="42" t="str">
        <f>IFERROR(__xludf.DUMMYFUNCTION("""COMPUTED_VALUE"""),"Various tracing")</f>
        <v>Various tracing</v>
      </c>
      <c r="L236" s="42"/>
      <c r="M236" s="42" t="str">
        <f>IFERROR(__xludf.DUMMYFUNCTION("""COMPUTED_VALUE"""),"fig.3-fig.12 (to be specified)")</f>
        <v>fig.3-fig.12 (to be specified)</v>
      </c>
      <c r="N236" s="42"/>
      <c r="O236" s="31" t="str">
        <f>IFERROR(__xludf.DUMMYFUNCTION("""COMPUTED_VALUE"""),"DOC(alt)")</f>
        <v>DOC(alt)</v>
      </c>
      <c r="P236" s="9" t="str">
        <f>IFERROR(__xludf.DUMMYFUNCTION("""COMPUTED_VALUE"""),"Folia morphologica")</f>
        <v>Folia morphologica</v>
      </c>
      <c r="Q236" s="9" t="str">
        <f>IFERROR(__xludf.DUMMYFUNCTION("""COMPUTED_VALUE"""),"Review")</f>
        <v>Review</v>
      </c>
      <c r="R236" s="179" t="str">
        <f>IFERROR(__xludf.DUMMYFUNCTION("""COMPUTED_VALUE"""),"BM (00/00) [Pitkänen, 2000];
")</f>
        <v>BM (00/00) [Pitkänen, 2000];
</v>
      </c>
      <c r="S236" s="179" t="str">
        <f>IFERROR(__xludf.DUMMYFUNCTION("""COMPUTED_VALUE"""),"CA1BM")</f>
        <v>CA1BM</v>
      </c>
      <c r="T236" s="179" t="str">
        <f>IFERROR(__xludf.DUMMYFUNCTION("""COMPUTED_VALUE"""),"[Pitkänen, 2000]")</f>
        <v>[Pitkänen, 2000]</v>
      </c>
      <c r="U236" s="179">
        <f>IFERROR(__xludf.DUMMYFUNCTION("""COMPUTED_VALUE"""),0.0)</f>
        <v>0</v>
      </c>
      <c r="V236" s="180">
        <f>IFERROR(__xludf.DUMMYFUNCTION("""COMPUTED_VALUE"""),0.0)</f>
        <v>0</v>
      </c>
      <c r="W236" s="180">
        <f>IFERROR(__xludf.DUMMYFUNCTION("""COMPUTED_VALUE"""),0.95)</f>
        <v>0.95</v>
      </c>
      <c r="X236" s="42">
        <f>IFERROR(__xludf.DUMMYFUNCTION("""COMPUTED_VALUE"""),0.8)</f>
        <v>0.8</v>
      </c>
      <c r="Y236" s="42">
        <f>IFERROR(__xludf.DUMMYFUNCTION("""COMPUTED_VALUE"""),0.6)</f>
        <v>0.6</v>
      </c>
      <c r="Z236" s="9">
        <f>IFERROR(__xludf.DUMMYFUNCTION("""COMPUTED_VALUE"""),0.9)</f>
        <v>0.9</v>
      </c>
      <c r="AA236" s="181">
        <f>IFERROR(__xludf.DUMMYFUNCTION("""COMPUTED_VALUE"""),0.0)</f>
        <v>0</v>
      </c>
      <c r="AB236" s="181">
        <f>IFERROR(__xludf.DUMMYFUNCTION("""COMPUTED_VALUE"""),0.0)</f>
        <v>0</v>
      </c>
      <c r="AC236" s="179">
        <f>IFERROR(__xludf.DUMMYFUNCTION("""COMPUTED_VALUE"""),0.0)</f>
        <v>0</v>
      </c>
      <c r="AD236" s="165">
        <f>IFERROR(__xludf.DUMMYFUNCTION("""COMPUTED_VALUE"""),0.0)</f>
        <v>0</v>
      </c>
      <c r="AE236" s="39" t="str">
        <f>IFERROR(__xludf.DUMMYFUNCTION("""COMPUTED_VALUE"""),"Tatsuya Miyamoto")</f>
        <v>Tatsuya Miyamoto</v>
      </c>
      <c r="AF236" s="39" t="str">
        <f>IFERROR(__xludf.DUMMYFUNCTION("""COMPUTED_VALUE"""),"TM21Amygdala")</f>
        <v>TM21Amygdala</v>
      </c>
      <c r="AG236" s="39"/>
      <c r="AH236" s="39"/>
      <c r="AI236" s="165"/>
      <c r="AJ236" s="165"/>
      <c r="AK236" s="111"/>
      <c r="AL236" s="111"/>
      <c r="AM236" s="111"/>
      <c r="AN236" s="111"/>
      <c r="AO236" s="111"/>
      <c r="AP236" s="111"/>
      <c r="AQ236" s="116"/>
      <c r="AR236" s="116"/>
      <c r="AS236" s="116"/>
    </row>
    <row r="237">
      <c r="A237" s="42" t="str">
        <f>IFERROR(__xludf.DUMMYFUNCTION("""COMPUTED_VALUE"""),"CA1")</f>
        <v>CA1</v>
      </c>
      <c r="B237" s="42"/>
      <c r="C237" s="42"/>
      <c r="D237" s="42" t="str">
        <f>IFERROR(__xludf.DUMMYFUNCTION("""COMPUTED_VALUE"""),"S")</f>
        <v>S</v>
      </c>
      <c r="E237" s="42"/>
      <c r="F237" s="42"/>
      <c r="G237" s="42"/>
      <c r="H237" s="42" t="str">
        <f>IFERROR(__xludf.DUMMYFUNCTION("""COMPUTED_VALUE"""),"")</f>
        <v/>
      </c>
      <c r="I237" s="42" t="str">
        <f>IFERROR(__xludf.DUMMYFUNCTION("""COMPUTED_VALUE"""),"Llorens-Martín, 2014")</f>
        <v>Llorens-Martín, 2014</v>
      </c>
      <c r="J237" s="42"/>
      <c r="K237" s="42"/>
      <c r="L237" s="42"/>
      <c r="M237" s="42" t="str">
        <f>IFERROR(__xludf.DUMMYFUNCTION("""COMPUTED_VALUE"""),"Fig.1")</f>
        <v>Fig.1</v>
      </c>
      <c r="N237" s="42"/>
      <c r="O237" s="31" t="str">
        <f>IFERROR(__xludf.DUMMYFUNCTION("""COMPUTED_VALUE"""),"DOC")</f>
        <v>DOC</v>
      </c>
      <c r="P237" s="9" t="str">
        <f>IFERROR(__xludf.DUMMYFUNCTION("""COMPUTED_VALUE"""),"Frontiers in Neuroanatomy")</f>
        <v>Frontiers in Neuroanatomy</v>
      </c>
      <c r="Q237" s="9" t="str">
        <f>IFERROR(__xludf.DUMMYFUNCTION("""COMPUTED_VALUE"""),"Hypothesis")</f>
        <v>Hypothesis</v>
      </c>
      <c r="R237" s="179" t="str">
        <f>IFERROR(__xludf.DUMMYFUNCTION("""COMPUTED_VALUE"""),"S (00/00) [Llorens-Martín, 2014];
")</f>
        <v>S (00/00) [Llorens-Martín, 2014];
</v>
      </c>
      <c r="S237" s="179" t="str">
        <f>IFERROR(__xludf.DUMMYFUNCTION("""COMPUTED_VALUE"""),"CA1S")</f>
        <v>CA1S</v>
      </c>
      <c r="T237" s="179" t="str">
        <f>IFERROR(__xludf.DUMMYFUNCTION("""COMPUTED_VALUE"""),"[Llorens-Martín, 2014]")</f>
        <v>[Llorens-Martín, 2014]</v>
      </c>
      <c r="U237" s="179">
        <f>IFERROR(__xludf.DUMMYFUNCTION("""COMPUTED_VALUE"""),0.0)</f>
        <v>0</v>
      </c>
      <c r="V237" s="180">
        <f>IFERROR(__xludf.DUMMYFUNCTION("""COMPUTED_VALUE"""),0.0)</f>
        <v>0</v>
      </c>
      <c r="W237" s="180">
        <f>IFERROR(__xludf.DUMMYFUNCTION("""COMPUTED_VALUE"""),0.95)</f>
        <v>0.95</v>
      </c>
      <c r="X237" s="42">
        <f>IFERROR(__xludf.DUMMYFUNCTION("""COMPUTED_VALUE"""),0.5)</f>
        <v>0.5</v>
      </c>
      <c r="Y237" s="42">
        <f>IFERROR(__xludf.DUMMYFUNCTION("""COMPUTED_VALUE"""),0.0)</f>
        <v>0</v>
      </c>
      <c r="Z237" s="9">
        <f>IFERROR(__xludf.DUMMYFUNCTION("""COMPUTED_VALUE"""),0.0)</f>
        <v>0</v>
      </c>
      <c r="AA237" s="181">
        <f>IFERROR(__xludf.DUMMYFUNCTION("""COMPUTED_VALUE"""),0.0)</f>
        <v>0</v>
      </c>
      <c r="AB237" s="181">
        <f>IFERROR(__xludf.DUMMYFUNCTION("""COMPUTED_VALUE"""),0.0)</f>
        <v>0</v>
      </c>
      <c r="AC237" s="179">
        <f>IFERROR(__xludf.DUMMYFUNCTION("""COMPUTED_VALUE"""),0.0)</f>
        <v>0</v>
      </c>
      <c r="AD237" s="165">
        <f>IFERROR(__xludf.DUMMYFUNCTION("""COMPUTED_VALUE"""),0.0)</f>
        <v>0</v>
      </c>
      <c r="AE237" s="39" t="str">
        <f>IFERROR(__xludf.DUMMYFUNCTION("""COMPUTED_VALUE"""),"Ayako Fukawa")</f>
        <v>Ayako Fukawa</v>
      </c>
      <c r="AF237" s="39" t="str">
        <f>IFERROR(__xludf.DUMMYFUNCTION("""COMPUTED_VALUE"""),"AT20HippocampalFormation")</f>
        <v>AT20HippocampalFormation</v>
      </c>
      <c r="AG237" s="39"/>
      <c r="AH237" s="39"/>
      <c r="AI237" s="165"/>
      <c r="AJ237" s="165"/>
      <c r="AK237" s="111"/>
      <c r="AL237" s="111"/>
      <c r="AM237" s="111"/>
      <c r="AN237" s="111"/>
      <c r="AO237" s="111"/>
      <c r="AP237" s="111"/>
      <c r="AQ237" s="116"/>
      <c r="AR237" s="116"/>
      <c r="AS237" s="116"/>
    </row>
    <row r="238">
      <c r="A238" s="42" t="str">
        <f>IFERROR(__xludf.DUMMYFUNCTION("""COMPUTED_VALUE"""),"CA1")</f>
        <v>CA1</v>
      </c>
      <c r="B238" s="42"/>
      <c r="C238" s="42"/>
      <c r="D238" s="42" t="str">
        <f>IFERROR(__xludf.DUMMYFUNCTION("""COMPUTED_VALUE"""),"MEC_V")</f>
        <v>MEC_V</v>
      </c>
      <c r="E238" s="42"/>
      <c r="F238" s="42"/>
      <c r="G238" s="42"/>
      <c r="H238" s="42" t="str">
        <f>IFERROR(__xludf.DUMMYFUNCTION("""COMPUTED_VALUE"""),"")</f>
        <v/>
      </c>
      <c r="I238" s="42" t="str">
        <f>IFERROR(__xludf.DUMMYFUNCTION("""COMPUTED_VALUE"""),"Moser, 2010")</f>
        <v>Moser, 2010</v>
      </c>
      <c r="J238" s="42"/>
      <c r="K238" s="42"/>
      <c r="L238" s="42"/>
      <c r="M238" s="42"/>
      <c r="N238" s="42"/>
      <c r="O238" s="31" t="str">
        <f>IFERROR(__xludf.DUMMYFUNCTION("""COMPUTED_VALUE"""),"DOC")</f>
        <v>DOC</v>
      </c>
      <c r="P238" s="9" t="str">
        <f>IFERROR(__xludf.DUMMYFUNCTION("""COMPUTED_VALUE"""),"Handbook of Brain Microcircuits")</f>
        <v>Handbook of Brain Microcircuits</v>
      </c>
      <c r="Q238" s="9" t="str">
        <f>IFERROR(__xludf.DUMMYFUNCTION("""COMPUTED_VALUE"""),"Textbook")</f>
        <v>Textbook</v>
      </c>
      <c r="R238" s="179" t="str">
        <f>IFERROR(__xludf.DUMMYFUNCTION("""COMPUTED_VALUE"""),"MEC_V (00/00) [Moser, 2010];
")</f>
        <v>MEC_V (00/00) [Moser, 2010];
</v>
      </c>
      <c r="S238" s="179" t="str">
        <f>IFERROR(__xludf.DUMMYFUNCTION("""COMPUTED_VALUE"""),"CA1MEC_V")</f>
        <v>CA1MEC_V</v>
      </c>
      <c r="T238" s="179" t="str">
        <f>IFERROR(__xludf.DUMMYFUNCTION("""COMPUTED_VALUE"""),"[Moser, 2010]")</f>
        <v>[Moser, 2010]</v>
      </c>
      <c r="U238" s="179">
        <f>IFERROR(__xludf.DUMMYFUNCTION("""COMPUTED_VALUE"""),0.0)</f>
        <v>0</v>
      </c>
      <c r="V238" s="180">
        <f>IFERROR(__xludf.DUMMYFUNCTION("""COMPUTED_VALUE"""),0.0)</f>
        <v>0</v>
      </c>
      <c r="W238" s="180">
        <f>IFERROR(__xludf.DUMMYFUNCTION("""COMPUTED_VALUE"""),0.95)</f>
        <v>0.95</v>
      </c>
      <c r="X238" s="42">
        <f>IFERROR(__xludf.DUMMYFUNCTION("""COMPUTED_VALUE"""),0.9)</f>
        <v>0.9</v>
      </c>
      <c r="Y238" s="42">
        <f>IFERROR(__xludf.DUMMYFUNCTION("""COMPUTED_VALUE"""),0.0)</f>
        <v>0</v>
      </c>
      <c r="Z238" s="9">
        <f>IFERROR(__xludf.DUMMYFUNCTION("""COMPUTED_VALUE"""),0.0)</f>
        <v>0</v>
      </c>
      <c r="AA238" s="181">
        <f>IFERROR(__xludf.DUMMYFUNCTION("""COMPUTED_VALUE"""),0.0)</f>
        <v>0</v>
      </c>
      <c r="AB238" s="181">
        <f>IFERROR(__xludf.DUMMYFUNCTION("""COMPUTED_VALUE"""),0.0)</f>
        <v>0</v>
      </c>
      <c r="AC238" s="179">
        <f>IFERROR(__xludf.DUMMYFUNCTION("""COMPUTED_VALUE"""),0.0)</f>
        <v>0</v>
      </c>
      <c r="AD238" s="165">
        <f>IFERROR(__xludf.DUMMYFUNCTION("""COMPUTED_VALUE"""),0.0)</f>
        <v>0</v>
      </c>
      <c r="AE238" s="39" t="str">
        <f>IFERROR(__xludf.DUMMYFUNCTION("""COMPUTED_VALUE"""),"Ayako Fukawa")</f>
        <v>Ayako Fukawa</v>
      </c>
      <c r="AF238" s="39" t="str">
        <f>IFERROR(__xludf.DUMMYFUNCTION("""COMPUTED_VALUE"""),"AT20HippocampalFormation")</f>
        <v>AT20HippocampalFormation</v>
      </c>
      <c r="AG238" s="39"/>
      <c r="AH238" s="39"/>
      <c r="AI238" s="165"/>
      <c r="AJ238" s="165"/>
      <c r="AK238" s="111"/>
      <c r="AL238" s="111"/>
      <c r="AM238" s="111"/>
      <c r="AN238" s="111"/>
      <c r="AO238" s="111"/>
      <c r="AP238" s="111"/>
      <c r="AQ238" s="116"/>
      <c r="AR238" s="116"/>
      <c r="AS238" s="116"/>
    </row>
    <row r="239">
      <c r="A239" s="42" t="str">
        <f>IFERROR(__xludf.DUMMYFUNCTION("""COMPUTED_VALUE"""),"CA1")</f>
        <v>CA1</v>
      </c>
      <c r="B239" s="42"/>
      <c r="C239" s="42"/>
      <c r="D239" s="42" t="str">
        <f>IFERROR(__xludf.DUMMYFUNCTION("""COMPUTED_VALUE"""),"MEC_III")</f>
        <v>MEC_III</v>
      </c>
      <c r="E239" s="42"/>
      <c r="F239" s="42"/>
      <c r="G239" s="42"/>
      <c r="H239" s="42"/>
      <c r="I239" s="42" t="str">
        <f>IFERROR(__xludf.DUMMYFUNCTION("""COMPUTED_VALUE"""),"Moser, 2010")</f>
        <v>Moser, 2010</v>
      </c>
      <c r="J239" s="42"/>
      <c r="K239" s="42"/>
      <c r="L239" s="42"/>
      <c r="M239" s="42"/>
      <c r="N239" s="38"/>
      <c r="O239" s="31" t="str">
        <f>IFERROR(__xludf.DUMMYFUNCTION("""COMPUTED_VALUE"""),"DOC")</f>
        <v>DOC</v>
      </c>
      <c r="P239" s="9" t="str">
        <f>IFERROR(__xludf.DUMMYFUNCTION("""COMPUTED_VALUE"""),"Handbook of Brain Microcircuits")</f>
        <v>Handbook of Brain Microcircuits</v>
      </c>
      <c r="Q239" s="9" t="str">
        <f>IFERROR(__xludf.DUMMYFUNCTION("""COMPUTED_VALUE"""),"Textbook")</f>
        <v>Textbook</v>
      </c>
      <c r="R239" s="179" t="str">
        <f>IFERROR(__xludf.DUMMYFUNCTION("""COMPUTED_VALUE"""),"MEC_III (00/00) [Moser, 2010];
")</f>
        <v>MEC_III (00/00) [Moser, 2010];
</v>
      </c>
      <c r="S239" s="179" t="str">
        <f>IFERROR(__xludf.DUMMYFUNCTION("""COMPUTED_VALUE"""),"CA1MEC_III")</f>
        <v>CA1MEC_III</v>
      </c>
      <c r="T239" s="179" t="str">
        <f>IFERROR(__xludf.DUMMYFUNCTION("""COMPUTED_VALUE"""),"[Moser, 2010]")</f>
        <v>[Moser, 2010]</v>
      </c>
      <c r="U239" s="179">
        <f>IFERROR(__xludf.DUMMYFUNCTION("""COMPUTED_VALUE"""),0.0)</f>
        <v>0</v>
      </c>
      <c r="V239" s="180">
        <f>IFERROR(__xludf.DUMMYFUNCTION("""COMPUTED_VALUE"""),0.0)</f>
        <v>0</v>
      </c>
      <c r="W239" s="180">
        <f>IFERROR(__xludf.DUMMYFUNCTION("""COMPUTED_VALUE"""),0.95)</f>
        <v>0.95</v>
      </c>
      <c r="X239" s="42">
        <f>IFERROR(__xludf.DUMMYFUNCTION("""COMPUTED_VALUE"""),0.9)</f>
        <v>0.9</v>
      </c>
      <c r="Y239" s="42">
        <f>IFERROR(__xludf.DUMMYFUNCTION("""COMPUTED_VALUE"""),0.0)</f>
        <v>0</v>
      </c>
      <c r="Z239" s="9">
        <f>IFERROR(__xludf.DUMMYFUNCTION("""COMPUTED_VALUE"""),0.0)</f>
        <v>0</v>
      </c>
      <c r="AA239" s="181">
        <f>IFERROR(__xludf.DUMMYFUNCTION("""COMPUTED_VALUE"""),0.0)</f>
        <v>0</v>
      </c>
      <c r="AB239" s="181">
        <f>IFERROR(__xludf.DUMMYFUNCTION("""COMPUTED_VALUE"""),0.0)</f>
        <v>0</v>
      </c>
      <c r="AC239" s="179">
        <f>IFERROR(__xludf.DUMMYFUNCTION("""COMPUTED_VALUE"""),0.0)</f>
        <v>0</v>
      </c>
      <c r="AD239" s="165">
        <f>IFERROR(__xludf.DUMMYFUNCTION("""COMPUTED_VALUE"""),0.0)</f>
        <v>0</v>
      </c>
      <c r="AE239" s="39" t="str">
        <f>IFERROR(__xludf.DUMMYFUNCTION("""COMPUTED_VALUE"""),"Ayako Fukawa")</f>
        <v>Ayako Fukawa</v>
      </c>
      <c r="AF239" s="39" t="str">
        <f>IFERROR(__xludf.DUMMYFUNCTION("""COMPUTED_VALUE"""),"AT20HippocampalFormation")</f>
        <v>AT20HippocampalFormation</v>
      </c>
      <c r="AG239" s="39"/>
      <c r="AH239" s="39"/>
      <c r="AI239" s="165"/>
      <c r="AJ239" s="165"/>
      <c r="AK239" s="111"/>
      <c r="AL239" s="111"/>
      <c r="AM239" s="111"/>
      <c r="AN239" s="111"/>
      <c r="AO239" s="111"/>
      <c r="AP239" s="111"/>
      <c r="AQ239" s="116"/>
      <c r="AR239" s="116"/>
      <c r="AS239" s="116"/>
    </row>
    <row r="240">
      <c r="A240" s="42" t="str">
        <f>IFERROR(__xludf.DUMMYFUNCTION("""COMPUTED_VALUE"""),"CA1")</f>
        <v>CA1</v>
      </c>
      <c r="B240" s="42"/>
      <c r="C240" s="42"/>
      <c r="D240" s="42" t="str">
        <f>IFERROR(__xludf.DUMMYFUNCTION("""COMPUTED_VALUE"""),"Medial septum")</f>
        <v>Medial septum</v>
      </c>
      <c r="E240" s="42"/>
      <c r="F240" s="42"/>
      <c r="G240" s="42"/>
      <c r="H240" s="42" t="str">
        <f>IFERROR(__xludf.DUMMYFUNCTION("""COMPUTED_VALUE"""),"")</f>
        <v/>
      </c>
      <c r="I240" s="42" t="str">
        <f>IFERROR(__xludf.DUMMYFUNCTION("""COMPUTED_VALUE"""),"Rolls, 2013")</f>
        <v>Rolls, 2013</v>
      </c>
      <c r="J240" s="42"/>
      <c r="K240" s="42"/>
      <c r="L240" s="42"/>
      <c r="M240" s="42"/>
      <c r="N240" s="38"/>
      <c r="O240" s="31" t="str">
        <f>IFERROR(__xludf.DUMMYFUNCTION("""COMPUTED_VALUE"""),"DOC")</f>
        <v>DOC</v>
      </c>
      <c r="P240" s="9" t="str">
        <f>IFERROR(__xludf.DUMMYFUNCTION("""COMPUTED_VALUE"""),"Frontiers in Systems Neuroscience")</f>
        <v>Frontiers in Systems Neuroscience</v>
      </c>
      <c r="Q240" s="9"/>
      <c r="R240" s="179" t="str">
        <f>IFERROR(__xludf.DUMMYFUNCTION("""COMPUTED_VALUE"""),"Medial septum (00/00) [Rolls, 2013];
")</f>
        <v>Medial septum (00/00) [Rolls, 2013];
</v>
      </c>
      <c r="S240" s="179" t="str">
        <f>IFERROR(__xludf.DUMMYFUNCTION("""COMPUTED_VALUE"""),"CA1Medial septum")</f>
        <v>CA1Medial septum</v>
      </c>
      <c r="T240" s="179" t="str">
        <f>IFERROR(__xludf.DUMMYFUNCTION("""COMPUTED_VALUE"""),"[Rolls, 2013]")</f>
        <v>[Rolls, 2013]</v>
      </c>
      <c r="U240" s="179">
        <f>IFERROR(__xludf.DUMMYFUNCTION("""COMPUTED_VALUE"""),0.0)</f>
        <v>0</v>
      </c>
      <c r="V240" s="180">
        <f>IFERROR(__xludf.DUMMYFUNCTION("""COMPUTED_VALUE"""),0.0)</f>
        <v>0</v>
      </c>
      <c r="W240" s="180">
        <f>IFERROR(__xludf.DUMMYFUNCTION("""COMPUTED_VALUE"""),0.95)</f>
        <v>0.95</v>
      </c>
      <c r="X240" s="42">
        <f>IFERROR(__xludf.DUMMYFUNCTION("""COMPUTED_VALUE"""),0.0)</f>
        <v>0</v>
      </c>
      <c r="Y240" s="42">
        <f>IFERROR(__xludf.DUMMYFUNCTION("""COMPUTED_VALUE"""),0.0)</f>
        <v>0</v>
      </c>
      <c r="Z240" s="9">
        <f>IFERROR(__xludf.DUMMYFUNCTION("""COMPUTED_VALUE"""),0.0)</f>
        <v>0</v>
      </c>
      <c r="AA240" s="181">
        <f>IFERROR(__xludf.DUMMYFUNCTION("""COMPUTED_VALUE"""),0.0)</f>
        <v>0</v>
      </c>
      <c r="AB240" s="181">
        <f>IFERROR(__xludf.DUMMYFUNCTION("""COMPUTED_VALUE"""),0.0)</f>
        <v>0</v>
      </c>
      <c r="AC240" s="179">
        <f>IFERROR(__xludf.DUMMYFUNCTION("""COMPUTED_VALUE"""),0.0)</f>
        <v>0</v>
      </c>
      <c r="AD240" s="165">
        <f>IFERROR(__xludf.DUMMYFUNCTION("""COMPUTED_VALUE"""),0.0)</f>
        <v>0</v>
      </c>
      <c r="AE240" s="39" t="str">
        <f>IFERROR(__xludf.DUMMYFUNCTION("""COMPUTED_VALUE"""),"Ayako Fukawa")</f>
        <v>Ayako Fukawa</v>
      </c>
      <c r="AF240" s="39" t="str">
        <f>IFERROR(__xludf.DUMMYFUNCTION("""COMPUTED_VALUE"""),"AT20HippocampalFormation")</f>
        <v>AT20HippocampalFormation</v>
      </c>
      <c r="AG240" s="39"/>
      <c r="AH240" s="39"/>
      <c r="AI240" s="165"/>
      <c r="AJ240" s="165"/>
      <c r="AK240" s="111"/>
      <c r="AL240" s="111"/>
      <c r="AM240" s="111"/>
      <c r="AN240" s="111"/>
      <c r="AO240" s="111"/>
      <c r="AP240" s="111"/>
      <c r="AQ240" s="116"/>
      <c r="AR240" s="116"/>
      <c r="AS240" s="116"/>
    </row>
    <row r="241">
      <c r="A241" s="42" t="str">
        <f>IFERROR(__xludf.DUMMYFUNCTION("""COMPUTED_VALUE"""),"CA1")</f>
        <v>CA1</v>
      </c>
      <c r="B241" s="42"/>
      <c r="C241" s="42"/>
      <c r="D241" s="42" t="str">
        <f>IFERROR(__xludf.DUMMYFUNCTION("""COMPUTED_VALUE"""),"Nucleus acumens")</f>
        <v>Nucleus acumens</v>
      </c>
      <c r="E241" s="42"/>
      <c r="F241" s="42"/>
      <c r="G241" s="42"/>
      <c r="H241" s="42" t="str">
        <f>IFERROR(__xludf.DUMMYFUNCTION("""COMPUTED_VALUE"""),"")</f>
        <v/>
      </c>
      <c r="I241" s="42" t="str">
        <f>IFERROR(__xludf.DUMMYFUNCTION("""COMPUTED_VALUE"""),"Rolls, 2013")</f>
        <v>Rolls, 2013</v>
      </c>
      <c r="J241" s="42"/>
      <c r="K241" s="42"/>
      <c r="L241" s="42"/>
      <c r="M241" s="42"/>
      <c r="N241" s="42"/>
      <c r="O241" s="31" t="str">
        <f>IFERROR(__xludf.DUMMYFUNCTION("""COMPUTED_VALUE"""),"DOC")</f>
        <v>DOC</v>
      </c>
      <c r="P241" s="9" t="str">
        <f>IFERROR(__xludf.DUMMYFUNCTION("""COMPUTED_VALUE"""),"Frontiers in Systems Neuroscience")</f>
        <v>Frontiers in Systems Neuroscience</v>
      </c>
      <c r="Q241" s="9"/>
      <c r="R241" s="179" t="str">
        <f>IFERROR(__xludf.DUMMYFUNCTION("""COMPUTED_VALUE"""),"Nucleus acumens (00/00) [Rolls, 2013];
")</f>
        <v>Nucleus acumens (00/00) [Rolls, 2013];
</v>
      </c>
      <c r="S241" s="179" t="str">
        <f>IFERROR(__xludf.DUMMYFUNCTION("""COMPUTED_VALUE"""),"CA1Nucleus acumens")</f>
        <v>CA1Nucleus acumens</v>
      </c>
      <c r="T241" s="179" t="str">
        <f>IFERROR(__xludf.DUMMYFUNCTION("""COMPUTED_VALUE"""),"[Rolls, 2013]")</f>
        <v>[Rolls, 2013]</v>
      </c>
      <c r="U241" s="179">
        <f>IFERROR(__xludf.DUMMYFUNCTION("""COMPUTED_VALUE"""),0.0)</f>
        <v>0</v>
      </c>
      <c r="V241" s="180">
        <f>IFERROR(__xludf.DUMMYFUNCTION("""COMPUTED_VALUE"""),0.0)</f>
        <v>0</v>
      </c>
      <c r="W241" s="180">
        <f>IFERROR(__xludf.DUMMYFUNCTION("""COMPUTED_VALUE"""),0.95)</f>
        <v>0.95</v>
      </c>
      <c r="X241" s="42">
        <f>IFERROR(__xludf.DUMMYFUNCTION("""COMPUTED_VALUE"""),0.0)</f>
        <v>0</v>
      </c>
      <c r="Y241" s="42">
        <f>IFERROR(__xludf.DUMMYFUNCTION("""COMPUTED_VALUE"""),0.0)</f>
        <v>0</v>
      </c>
      <c r="Z241" s="9">
        <f>IFERROR(__xludf.DUMMYFUNCTION("""COMPUTED_VALUE"""),0.0)</f>
        <v>0</v>
      </c>
      <c r="AA241" s="181">
        <f>IFERROR(__xludf.DUMMYFUNCTION("""COMPUTED_VALUE"""),0.0)</f>
        <v>0</v>
      </c>
      <c r="AB241" s="181">
        <f>IFERROR(__xludf.DUMMYFUNCTION("""COMPUTED_VALUE"""),0.0)</f>
        <v>0</v>
      </c>
      <c r="AC241" s="179">
        <f>IFERROR(__xludf.DUMMYFUNCTION("""COMPUTED_VALUE"""),0.0)</f>
        <v>0</v>
      </c>
      <c r="AD241" s="165">
        <f>IFERROR(__xludf.DUMMYFUNCTION("""COMPUTED_VALUE"""),0.0)</f>
        <v>0</v>
      </c>
      <c r="AE241" s="39" t="str">
        <f>IFERROR(__xludf.DUMMYFUNCTION("""COMPUTED_VALUE"""),"Ayako Fukawa")</f>
        <v>Ayako Fukawa</v>
      </c>
      <c r="AF241" s="39" t="str">
        <f>IFERROR(__xludf.DUMMYFUNCTION("""COMPUTED_VALUE"""),"AT20HippocampalFormation")</f>
        <v>AT20HippocampalFormation</v>
      </c>
      <c r="AG241" s="39"/>
      <c r="AH241" s="39"/>
      <c r="AI241" s="165"/>
      <c r="AJ241" s="165"/>
      <c r="AK241" s="111"/>
      <c r="AL241" s="111"/>
      <c r="AM241" s="111"/>
      <c r="AN241" s="111"/>
      <c r="AO241" s="111"/>
      <c r="AP241" s="111"/>
      <c r="AQ241" s="116"/>
      <c r="AR241" s="116"/>
      <c r="AS241" s="116"/>
    </row>
    <row r="242">
      <c r="A242" s="42" t="str">
        <f>IFERROR(__xludf.DUMMYFUNCTION("""COMPUTED_VALUE"""),"CA1")</f>
        <v>CA1</v>
      </c>
      <c r="B242" s="42"/>
      <c r="C242" s="42"/>
      <c r="D242" s="42" t="str">
        <f>IFERROR(__xludf.DUMMYFUNCTION("""COMPUTED_VALUE"""),"PFC.L2")</f>
        <v>PFC.L2</v>
      </c>
      <c r="E242" s="42"/>
      <c r="F242" s="42"/>
      <c r="G242" s="42"/>
      <c r="H242" s="42" t="str">
        <f>IFERROR(__xludf.DUMMYFUNCTION("""COMPUTED_VALUE"""),"")</f>
        <v/>
      </c>
      <c r="I242" s="42" t="str">
        <f>IFERROR(__xludf.DUMMYFUNCTION("""COMPUTED_VALUE"""),"Verwer, 1997")</f>
        <v>Verwer, 1997</v>
      </c>
      <c r="J242" s="42"/>
      <c r="K242" s="42"/>
      <c r="L242" s="42"/>
      <c r="M242" s="42"/>
      <c r="N242" s="42"/>
      <c r="O242" s="31" t="str">
        <f>IFERROR(__xludf.DUMMYFUNCTION("""COMPUTED_VALUE"""),"DOC")</f>
        <v>DOC</v>
      </c>
      <c r="P242" s="9" t="str">
        <f>IFERROR(__xludf.DUMMYFUNCTION("""COMPUTED_VALUE"""),"Hippocampus")</f>
        <v>Hippocampus</v>
      </c>
      <c r="Q242" s="9"/>
      <c r="R242" s="179" t="str">
        <f>IFERROR(__xludf.DUMMYFUNCTION("""COMPUTED_VALUE"""),"PFC.L2 (00/00) [Verwer, 1997];
")</f>
        <v>PFC.L2 (00/00) [Verwer, 1997];
</v>
      </c>
      <c r="S242" s="179" t="str">
        <f>IFERROR(__xludf.DUMMYFUNCTION("""COMPUTED_VALUE"""),"CA1PFC.L2")</f>
        <v>CA1PFC.L2</v>
      </c>
      <c r="T242" s="179" t="str">
        <f>IFERROR(__xludf.DUMMYFUNCTION("""COMPUTED_VALUE"""),"[Verwer, 1997]")</f>
        <v>[Verwer, 1997]</v>
      </c>
      <c r="U242" s="179">
        <f>IFERROR(__xludf.DUMMYFUNCTION("""COMPUTED_VALUE"""),0.0)</f>
        <v>0</v>
      </c>
      <c r="V242" s="180">
        <f>IFERROR(__xludf.DUMMYFUNCTION("""COMPUTED_VALUE"""),0.0)</f>
        <v>0</v>
      </c>
      <c r="W242" s="180">
        <f>IFERROR(__xludf.DUMMYFUNCTION("""COMPUTED_VALUE"""),0.95)</f>
        <v>0.95</v>
      </c>
      <c r="X242" s="42">
        <f>IFERROR(__xludf.DUMMYFUNCTION("""COMPUTED_VALUE"""),0.0)</f>
        <v>0</v>
      </c>
      <c r="Y242" s="42">
        <f>IFERROR(__xludf.DUMMYFUNCTION("""COMPUTED_VALUE"""),0.0)</f>
        <v>0</v>
      </c>
      <c r="Z242" s="9">
        <f>IFERROR(__xludf.DUMMYFUNCTION("""COMPUTED_VALUE"""),0.0)</f>
        <v>0</v>
      </c>
      <c r="AA242" s="181">
        <f>IFERROR(__xludf.DUMMYFUNCTION("""COMPUTED_VALUE"""),0.0)</f>
        <v>0</v>
      </c>
      <c r="AB242" s="181">
        <f>IFERROR(__xludf.DUMMYFUNCTION("""COMPUTED_VALUE"""),0.0)</f>
        <v>0</v>
      </c>
      <c r="AC242" s="179">
        <f>IFERROR(__xludf.DUMMYFUNCTION("""COMPUTED_VALUE"""),0.0)</f>
        <v>0</v>
      </c>
      <c r="AD242" s="165">
        <f>IFERROR(__xludf.DUMMYFUNCTION("""COMPUTED_VALUE"""),0.0)</f>
        <v>0</v>
      </c>
      <c r="AE242" s="39" t="str">
        <f>IFERROR(__xludf.DUMMYFUNCTION("""COMPUTED_VALUE"""),"Ayako Fukawa")</f>
        <v>Ayako Fukawa</v>
      </c>
      <c r="AF242" s="39" t="str">
        <f>IFERROR(__xludf.DUMMYFUNCTION("""COMPUTED_VALUE"""),"AT20HippocampalFormation")</f>
        <v>AT20HippocampalFormation</v>
      </c>
      <c r="AG242" s="39"/>
      <c r="AH242" s="39"/>
      <c r="AI242" s="165"/>
      <c r="AJ242" s="165"/>
      <c r="AK242" s="111"/>
      <c r="AL242" s="111"/>
      <c r="AM242" s="111"/>
      <c r="AN242" s="111"/>
      <c r="AO242" s="111"/>
      <c r="AP242" s="111"/>
      <c r="AQ242" s="116"/>
      <c r="AR242" s="116"/>
      <c r="AS242" s="116"/>
    </row>
    <row r="243">
      <c r="A243" s="42" t="str">
        <f>IFERROR(__xludf.DUMMYFUNCTION("""COMPUTED_VALUE"""),"CA1")</f>
        <v>CA1</v>
      </c>
      <c r="B243" s="42"/>
      <c r="C243" s="42"/>
      <c r="D243" s="42" t="str">
        <f>IFERROR(__xludf.DUMMYFUNCTION("""COMPUTED_VALUE"""),"PFC.L3")</f>
        <v>PFC.L3</v>
      </c>
      <c r="E243" s="42"/>
      <c r="F243" s="42"/>
      <c r="G243" s="42"/>
      <c r="H243" s="42" t="str">
        <f>IFERROR(__xludf.DUMMYFUNCTION("""COMPUTED_VALUE"""),"")</f>
        <v/>
      </c>
      <c r="I243" s="42" t="str">
        <f>IFERROR(__xludf.DUMMYFUNCTION("""COMPUTED_VALUE"""),"Verwer, 1997")</f>
        <v>Verwer, 1997</v>
      </c>
      <c r="J243" s="42"/>
      <c r="K243" s="42"/>
      <c r="L243" s="42"/>
      <c r="M243" s="42"/>
      <c r="N243" s="42"/>
      <c r="O243" s="31" t="str">
        <f>IFERROR(__xludf.DUMMYFUNCTION("""COMPUTED_VALUE"""),"DOC")</f>
        <v>DOC</v>
      </c>
      <c r="P243" s="9" t="str">
        <f>IFERROR(__xludf.DUMMYFUNCTION("""COMPUTED_VALUE"""),"Hippocampus")</f>
        <v>Hippocampus</v>
      </c>
      <c r="Q243" s="9"/>
      <c r="R243" s="179" t="str">
        <f>IFERROR(__xludf.DUMMYFUNCTION("""COMPUTED_VALUE"""),"PFC.L3 (00/00) [Verwer, 1997];
")</f>
        <v>PFC.L3 (00/00) [Verwer, 1997];
</v>
      </c>
      <c r="S243" s="179" t="str">
        <f>IFERROR(__xludf.DUMMYFUNCTION("""COMPUTED_VALUE"""),"CA1PFC.L3")</f>
        <v>CA1PFC.L3</v>
      </c>
      <c r="T243" s="179" t="str">
        <f>IFERROR(__xludf.DUMMYFUNCTION("""COMPUTED_VALUE"""),"[Verwer, 1997]")</f>
        <v>[Verwer, 1997]</v>
      </c>
      <c r="U243" s="179">
        <f>IFERROR(__xludf.DUMMYFUNCTION("""COMPUTED_VALUE"""),0.0)</f>
        <v>0</v>
      </c>
      <c r="V243" s="180">
        <f>IFERROR(__xludf.DUMMYFUNCTION("""COMPUTED_VALUE"""),0.0)</f>
        <v>0</v>
      </c>
      <c r="W243" s="180">
        <f>IFERROR(__xludf.DUMMYFUNCTION("""COMPUTED_VALUE"""),0.95)</f>
        <v>0.95</v>
      </c>
      <c r="X243" s="42">
        <f>IFERROR(__xludf.DUMMYFUNCTION("""COMPUTED_VALUE"""),0.0)</f>
        <v>0</v>
      </c>
      <c r="Y243" s="42">
        <f>IFERROR(__xludf.DUMMYFUNCTION("""COMPUTED_VALUE"""),0.0)</f>
        <v>0</v>
      </c>
      <c r="Z243" s="9">
        <f>IFERROR(__xludf.DUMMYFUNCTION("""COMPUTED_VALUE"""),0.0)</f>
        <v>0</v>
      </c>
      <c r="AA243" s="181">
        <f>IFERROR(__xludf.DUMMYFUNCTION("""COMPUTED_VALUE"""),0.0)</f>
        <v>0</v>
      </c>
      <c r="AB243" s="181">
        <f>IFERROR(__xludf.DUMMYFUNCTION("""COMPUTED_VALUE"""),0.0)</f>
        <v>0</v>
      </c>
      <c r="AC243" s="179">
        <f>IFERROR(__xludf.DUMMYFUNCTION("""COMPUTED_VALUE"""),0.0)</f>
        <v>0</v>
      </c>
      <c r="AD243" s="165">
        <f>IFERROR(__xludf.DUMMYFUNCTION("""COMPUTED_VALUE"""),0.0)</f>
        <v>0</v>
      </c>
      <c r="AE243" s="39" t="str">
        <f>IFERROR(__xludf.DUMMYFUNCTION("""COMPUTED_VALUE"""),"Ayako Fukawa")</f>
        <v>Ayako Fukawa</v>
      </c>
      <c r="AF243" s="39" t="str">
        <f>IFERROR(__xludf.DUMMYFUNCTION("""COMPUTED_VALUE"""),"AT20HippocampalFormation")</f>
        <v>AT20HippocampalFormation</v>
      </c>
      <c r="AG243" s="39"/>
      <c r="AH243" s="39"/>
      <c r="AI243" s="165"/>
      <c r="AJ243" s="165"/>
      <c r="AK243" s="111"/>
      <c r="AL243" s="111"/>
      <c r="AM243" s="111"/>
      <c r="AN243" s="111"/>
      <c r="AO243" s="111"/>
      <c r="AP243" s="111"/>
      <c r="AQ243" s="116"/>
      <c r="AR243" s="116"/>
      <c r="AS243" s="116"/>
    </row>
    <row r="244">
      <c r="A244" s="42" t="str">
        <f>IFERROR(__xludf.DUMMYFUNCTION("""COMPUTED_VALUE"""),"CA1_distal")</f>
        <v>CA1_distal</v>
      </c>
      <c r="B244" s="42" t="str">
        <f>IFERROR(__xludf.DUMMYFUNCTION("""COMPUTED_VALUE"""),"=")</f>
        <v>=</v>
      </c>
      <c r="C244" s="42" t="str">
        <f>IFERROR(__xludf.DUMMYFUNCTION("""COMPUTED_VALUE"""),"CA1_distal")</f>
        <v>CA1_distal</v>
      </c>
      <c r="D244" s="42" t="str">
        <f>IFERROR(__xludf.DUMMYFUNCTION("""COMPUTED_VALUE"""),"S_proximal")</f>
        <v>S_proximal</v>
      </c>
      <c r="E244" s="42" t="str">
        <f>IFERROR(__xludf.DUMMYFUNCTION("""COMPUTED_VALUE"""),"=")</f>
        <v>=</v>
      </c>
      <c r="F244" s="42" t="str">
        <f>IFERROR(__xludf.DUMMYFUNCTION("""COMPUTED_VALUE"""),"S_proximal")</f>
        <v>S_proximal</v>
      </c>
      <c r="G244" s="42"/>
      <c r="H244" s="42"/>
      <c r="I244" s="42" t="str">
        <f>IFERROR(__xludf.DUMMYFUNCTION("""COMPUTED_VALUE"""),"Amaral, 1991")</f>
        <v>Amaral, 1991</v>
      </c>
      <c r="J244" s="42" t="str">
        <f>IFERROR(__xludf.DUMMYFUNCTION("""COMPUTED_VALUE"""),"Rat")</f>
        <v>Rat</v>
      </c>
      <c r="K244" s="42" t="str">
        <f>IFERROR(__xludf.DUMMYFUNCTION("""COMPUTED_VALUE"""),"anterograde tracer")</f>
        <v>anterograde tracer</v>
      </c>
      <c r="L244" s="42" t="str">
        <f>IFERROR(__xludf.DUMMYFUNCTION("""COMPUTED_VALUE"""),"CA1 cells located distally in the field, i.e., close to the subiculum, gave rise to projections that terminated proximally in the subiculum, i.e., just across the CA1/subiculum border.")</f>
        <v>CA1 cells located distally in the field, i.e., close to the subiculum, gave rise to projections that terminated proximally in the subiculum, i.e., just across the CA1/subiculum border.</v>
      </c>
      <c r="M244" s="42"/>
      <c r="N244" s="42"/>
      <c r="O244" s="31" t="str">
        <f>IFERROR(__xludf.DUMMYFUNCTION("""COMPUTED_VALUE"""),"DOC")</f>
        <v>DOC</v>
      </c>
      <c r="P244" s="9" t="str">
        <f>IFERROR(__xludf.DUMMYFUNCTION("""COMPUTED_VALUE"""),"Hippocampus")</f>
        <v>Hippocampus</v>
      </c>
      <c r="Q244" s="9" t="str">
        <f>IFERROR(__xludf.DUMMYFUNCTION("""COMPUTED_VALUE"""),"Experimental results")</f>
        <v>Experimental results</v>
      </c>
      <c r="R244" s="179" t="str">
        <f>IFERROR(__xludf.DUMMYFUNCTION("""COMPUTED_VALUE"""),"S_proximal (00/00) [Amaral, 1991][Knierim, 2014][Witter, 2000];
")</f>
        <v>S_proximal (00/00) [Amaral, 1991][Knierim, 2014][Witter, 2000];
</v>
      </c>
      <c r="S244" s="179" t="str">
        <f>IFERROR(__xludf.DUMMYFUNCTION("""COMPUTED_VALUE"""),"CA1_distalS_proximal")</f>
        <v>CA1_distalS_proximal</v>
      </c>
      <c r="T244" s="179" t="str">
        <f>IFERROR(__xludf.DUMMYFUNCTION("""COMPUTED_VALUE"""),"[Amaral, 1991]")</f>
        <v>[Amaral, 1991]</v>
      </c>
      <c r="U244" s="179">
        <f>IFERROR(__xludf.DUMMYFUNCTION("""COMPUTED_VALUE"""),1.0)</f>
        <v>1</v>
      </c>
      <c r="V244" s="180">
        <f>IFERROR(__xludf.DUMMYFUNCTION("""COMPUTED_VALUE"""),1.0)</f>
        <v>1</v>
      </c>
      <c r="W244" s="180">
        <f>IFERROR(__xludf.DUMMYFUNCTION("""COMPUTED_VALUE"""),0.95)</f>
        <v>0.95</v>
      </c>
      <c r="X244" s="42">
        <f>IFERROR(__xludf.DUMMYFUNCTION("""COMPUTED_VALUE"""),1.0)</f>
        <v>1</v>
      </c>
      <c r="Y244" s="42">
        <f>IFERROR(__xludf.DUMMYFUNCTION("""COMPUTED_VALUE"""),0.6)</f>
        <v>0.6</v>
      </c>
      <c r="Z244" s="9">
        <f>IFERROR(__xludf.DUMMYFUNCTION("""COMPUTED_VALUE"""),0.0)</f>
        <v>0</v>
      </c>
      <c r="AA244" s="181">
        <f>IFERROR(__xludf.DUMMYFUNCTION("""COMPUTED_VALUE"""),0.0)</f>
        <v>0</v>
      </c>
      <c r="AB244" s="181">
        <f>IFERROR(__xludf.DUMMYFUNCTION("""COMPUTED_VALUE"""),0.0)</f>
        <v>0</v>
      </c>
      <c r="AC244" s="179">
        <f>IFERROR(__xludf.DUMMYFUNCTION("""COMPUTED_VALUE"""),0.0)</f>
        <v>0</v>
      </c>
      <c r="AD244" s="165">
        <f>IFERROR(__xludf.DUMMYFUNCTION("""COMPUTED_VALUE"""),0.0)</f>
        <v>0</v>
      </c>
      <c r="AE244" s="39" t="str">
        <f>IFERROR(__xludf.DUMMYFUNCTION("""COMPUTED_VALUE"""),"Yuske Shibata")</f>
        <v>Yuske Shibata</v>
      </c>
      <c r="AF244" s="39" t="str">
        <f>IFERROR(__xludf.DUMMYFUNCTION("""COMPUTED_VALUE"""),"Credibility check")</f>
        <v>Credibility check</v>
      </c>
      <c r="AG244" s="39"/>
      <c r="AH244" s="39"/>
      <c r="AI244" s="165"/>
      <c r="AJ244" s="165"/>
      <c r="AK244" s="111"/>
      <c r="AL244" s="111"/>
      <c r="AM244" s="111"/>
      <c r="AN244" s="111"/>
      <c r="AO244" s="111"/>
      <c r="AP244" s="111"/>
      <c r="AQ244" s="116"/>
      <c r="AR244" s="116"/>
      <c r="AS244" s="116"/>
    </row>
    <row r="245">
      <c r="A245" s="42" t="str">
        <f>IFERROR(__xludf.DUMMYFUNCTION("""COMPUTED_VALUE"""),"CA1_distal")</f>
        <v>CA1_distal</v>
      </c>
      <c r="B245" s="42"/>
      <c r="C245" s="42"/>
      <c r="D245" s="42" t="str">
        <f>IFERROR(__xludf.DUMMYFUNCTION("""COMPUTED_VALUE"""),"LEC_deep")</f>
        <v>LEC_deep</v>
      </c>
      <c r="E245" s="42"/>
      <c r="F245" s="42"/>
      <c r="G245" s="42"/>
      <c r="H245" s="42" t="str">
        <f>IFERROR(__xludf.DUMMYFUNCTION("""COMPUTED_VALUE"""),"")</f>
        <v/>
      </c>
      <c r="I245" s="42" t="str">
        <f>IFERROR(__xludf.DUMMYFUNCTION("""COMPUTED_VALUE"""),"Knierim, 2014")</f>
        <v>Knierim, 2014</v>
      </c>
      <c r="J245" s="42"/>
      <c r="K245" s="42"/>
      <c r="L245" s="42"/>
      <c r="M245" s="42"/>
      <c r="N245" s="42"/>
      <c r="O245" s="31" t="str">
        <f>IFERROR(__xludf.DUMMYFUNCTION("""COMPUTED_VALUE"""),"DOC")</f>
        <v>DOC</v>
      </c>
      <c r="P245" s="9" t="str">
        <f>IFERROR(__xludf.DUMMYFUNCTION("""COMPUTED_VALUE"""),"Philosophical Transactions of the Royal Society B: Biological Sciences")</f>
        <v>Philosophical Transactions of the Royal Society B: Biological Sciences</v>
      </c>
      <c r="Q245" s="9"/>
      <c r="R245" s="179" t="str">
        <f>IFERROR(__xludf.DUMMYFUNCTION("""COMPUTED_VALUE"""),"LEC_deep (00/00) [Knierim, 2014];
")</f>
        <v>LEC_deep (00/00) [Knierim, 2014];
</v>
      </c>
      <c r="S245" s="179" t="str">
        <f>IFERROR(__xludf.DUMMYFUNCTION("""COMPUTED_VALUE"""),"CA1_distalLEC_deep")</f>
        <v>CA1_distalLEC_deep</v>
      </c>
      <c r="T245" s="179" t="str">
        <f>IFERROR(__xludf.DUMMYFUNCTION("""COMPUTED_VALUE"""),"[Knierim, 2014]")</f>
        <v>[Knierim, 2014]</v>
      </c>
      <c r="U245" s="179">
        <f>IFERROR(__xludf.DUMMYFUNCTION("""COMPUTED_VALUE"""),0.0)</f>
        <v>0</v>
      </c>
      <c r="V245" s="180">
        <f>IFERROR(__xludf.DUMMYFUNCTION("""COMPUTED_VALUE"""),0.0)</f>
        <v>0</v>
      </c>
      <c r="W245" s="180">
        <f>IFERROR(__xludf.DUMMYFUNCTION("""COMPUTED_VALUE"""),0.95)</f>
        <v>0.95</v>
      </c>
      <c r="X245" s="42">
        <f>IFERROR(__xludf.DUMMYFUNCTION("""COMPUTED_VALUE"""),0.0)</f>
        <v>0</v>
      </c>
      <c r="Y245" s="42">
        <f>IFERROR(__xludf.DUMMYFUNCTION("""COMPUTED_VALUE"""),0.0)</f>
        <v>0</v>
      </c>
      <c r="Z245" s="9">
        <f>IFERROR(__xludf.DUMMYFUNCTION("""COMPUTED_VALUE"""),0.0)</f>
        <v>0</v>
      </c>
      <c r="AA245" s="181">
        <f>IFERROR(__xludf.DUMMYFUNCTION("""COMPUTED_VALUE"""),0.0)</f>
        <v>0</v>
      </c>
      <c r="AB245" s="181">
        <f>IFERROR(__xludf.DUMMYFUNCTION("""COMPUTED_VALUE"""),0.0)</f>
        <v>0</v>
      </c>
      <c r="AC245" s="179">
        <f>IFERROR(__xludf.DUMMYFUNCTION("""COMPUTED_VALUE"""),0.0)</f>
        <v>0</v>
      </c>
      <c r="AD245" s="165">
        <f>IFERROR(__xludf.DUMMYFUNCTION("""COMPUTED_VALUE"""),0.0)</f>
        <v>0</v>
      </c>
      <c r="AE245" s="39" t="str">
        <f>IFERROR(__xludf.DUMMYFUNCTION("""COMPUTED_VALUE"""),"Ayako Fukawa")</f>
        <v>Ayako Fukawa</v>
      </c>
      <c r="AF245" s="39" t="str">
        <f>IFERROR(__xludf.DUMMYFUNCTION("""COMPUTED_VALUE"""),"AT20HippocampalFormation")</f>
        <v>AT20HippocampalFormation</v>
      </c>
      <c r="AG245" s="39"/>
      <c r="AH245" s="39"/>
      <c r="AI245" s="165"/>
      <c r="AJ245" s="165"/>
      <c r="AK245" s="111"/>
      <c r="AL245" s="111"/>
      <c r="AM245" s="111"/>
      <c r="AN245" s="111"/>
      <c r="AO245" s="111"/>
      <c r="AP245" s="111"/>
      <c r="AQ245" s="116"/>
      <c r="AR245" s="116"/>
      <c r="AS245" s="116"/>
    </row>
    <row r="246">
      <c r="A246" s="42" t="str">
        <f>IFERROR(__xludf.DUMMYFUNCTION("""COMPUTED_VALUE"""),"CA1_distal")</f>
        <v>CA1_distal</v>
      </c>
      <c r="B246" s="42"/>
      <c r="C246" s="42"/>
      <c r="D246" s="42" t="str">
        <f>IFERROR(__xludf.DUMMYFUNCTION("""COMPUTED_VALUE"""),"S_proximal")</f>
        <v>S_proximal</v>
      </c>
      <c r="E246" s="42"/>
      <c r="F246" s="42"/>
      <c r="G246" s="42"/>
      <c r="H246" s="42" t="str">
        <f>IFERROR(__xludf.DUMMYFUNCTION("""COMPUTED_VALUE"""),"")</f>
        <v/>
      </c>
      <c r="I246" s="42" t="str">
        <f>IFERROR(__xludf.DUMMYFUNCTION("""COMPUTED_VALUE"""),"Knierim, 2014")</f>
        <v>Knierim, 2014</v>
      </c>
      <c r="J246" s="42"/>
      <c r="K246" s="42"/>
      <c r="L246" s="42"/>
      <c r="M246" s="42"/>
      <c r="N246" s="42"/>
      <c r="O246" s="31" t="str">
        <f>IFERROR(__xludf.DUMMYFUNCTION("""COMPUTED_VALUE"""),"DOC")</f>
        <v>DOC</v>
      </c>
      <c r="P246" s="9" t="str">
        <f>IFERROR(__xludf.DUMMYFUNCTION("""COMPUTED_VALUE"""),"Philosophical Transactions of the Royal Society B: Biological Sciences")</f>
        <v>Philosophical Transactions of the Royal Society B: Biological Sciences</v>
      </c>
      <c r="Q246" s="9"/>
      <c r="R246" s="179" t="str">
        <f>IFERROR(__xludf.DUMMYFUNCTION("""COMPUTED_VALUE"""),"S_proximal (00/00) [Amaral, 1991][Knierim, 2014][Witter, 2000];
")</f>
        <v>S_proximal (00/00) [Amaral, 1991][Knierim, 2014][Witter, 2000];
</v>
      </c>
      <c r="S246" s="179" t="str">
        <f>IFERROR(__xludf.DUMMYFUNCTION("""COMPUTED_VALUE"""),"CA1_distalS_proximal")</f>
        <v>CA1_distalS_proximal</v>
      </c>
      <c r="T246" s="179" t="str">
        <f>IFERROR(__xludf.DUMMYFUNCTION("""COMPUTED_VALUE"""),"[Knierim, 2014]")</f>
        <v>[Knierim, 2014]</v>
      </c>
      <c r="U246" s="179">
        <f>IFERROR(__xludf.DUMMYFUNCTION("""COMPUTED_VALUE"""),0.0)</f>
        <v>0</v>
      </c>
      <c r="V246" s="180">
        <f>IFERROR(__xludf.DUMMYFUNCTION("""COMPUTED_VALUE"""),0.0)</f>
        <v>0</v>
      </c>
      <c r="W246" s="180">
        <f>IFERROR(__xludf.DUMMYFUNCTION("""COMPUTED_VALUE"""),0.95)</f>
        <v>0.95</v>
      </c>
      <c r="X246" s="42">
        <f>IFERROR(__xludf.DUMMYFUNCTION("""COMPUTED_VALUE"""),0.0)</f>
        <v>0</v>
      </c>
      <c r="Y246" s="42">
        <f>IFERROR(__xludf.DUMMYFUNCTION("""COMPUTED_VALUE"""),0.0)</f>
        <v>0</v>
      </c>
      <c r="Z246" s="9">
        <f>IFERROR(__xludf.DUMMYFUNCTION("""COMPUTED_VALUE"""),0.0)</f>
        <v>0</v>
      </c>
      <c r="AA246" s="181">
        <f>IFERROR(__xludf.DUMMYFUNCTION("""COMPUTED_VALUE"""),0.0)</f>
        <v>0</v>
      </c>
      <c r="AB246" s="181">
        <f>IFERROR(__xludf.DUMMYFUNCTION("""COMPUTED_VALUE"""),0.0)</f>
        <v>0</v>
      </c>
      <c r="AC246" s="179">
        <f>IFERROR(__xludf.DUMMYFUNCTION("""COMPUTED_VALUE"""),0.0)</f>
        <v>0</v>
      </c>
      <c r="AD246" s="165">
        <f>IFERROR(__xludf.DUMMYFUNCTION("""COMPUTED_VALUE"""),0.0)</f>
        <v>0</v>
      </c>
      <c r="AE246" s="39" t="str">
        <f>IFERROR(__xludf.DUMMYFUNCTION("""COMPUTED_VALUE"""),"Ayako Fukawa")</f>
        <v>Ayako Fukawa</v>
      </c>
      <c r="AF246" s="39" t="str">
        <f>IFERROR(__xludf.DUMMYFUNCTION("""COMPUTED_VALUE"""),"AT20HippocampalFormation")</f>
        <v>AT20HippocampalFormation</v>
      </c>
      <c r="AG246" s="39"/>
      <c r="AH246" s="39"/>
      <c r="AI246" s="165"/>
      <c r="AJ246" s="165"/>
      <c r="AK246" s="111"/>
      <c r="AL246" s="111"/>
      <c r="AM246" s="111"/>
      <c r="AN246" s="111"/>
      <c r="AO246" s="111"/>
      <c r="AP246" s="111"/>
      <c r="AQ246" s="116"/>
      <c r="AR246" s="116"/>
      <c r="AS246" s="116"/>
    </row>
    <row r="247">
      <c r="A247" s="42" t="str">
        <f>IFERROR(__xludf.DUMMYFUNCTION("""COMPUTED_VALUE"""),"CA1_distal")</f>
        <v>CA1_distal</v>
      </c>
      <c r="B247" s="42"/>
      <c r="C247" s="42"/>
      <c r="D247" s="42" t="str">
        <f>IFERROR(__xludf.DUMMYFUNCTION("""COMPUTED_VALUE"""),"MEC_III")</f>
        <v>MEC_III</v>
      </c>
      <c r="E247" s="42"/>
      <c r="F247" s="42"/>
      <c r="G247" s="42"/>
      <c r="H247" s="42" t="str">
        <f>IFERROR(__xludf.DUMMYFUNCTION("""COMPUTED_VALUE"""),"")</f>
        <v/>
      </c>
      <c r="I247" s="42" t="str">
        <f>IFERROR(__xludf.DUMMYFUNCTION("""COMPUTED_VALUE"""),"Moser, 2010")</f>
        <v>Moser, 2010</v>
      </c>
      <c r="J247" s="42"/>
      <c r="K247" s="42"/>
      <c r="L247" s="42"/>
      <c r="M247" s="42"/>
      <c r="N247" s="42"/>
      <c r="O247" s="31" t="str">
        <f>IFERROR(__xludf.DUMMYFUNCTION("""COMPUTED_VALUE"""),"DOC")</f>
        <v>DOC</v>
      </c>
      <c r="P247" s="9" t="str">
        <f>IFERROR(__xludf.DUMMYFUNCTION("""COMPUTED_VALUE"""),"Handbook of Brain Microcircuits")</f>
        <v>Handbook of Brain Microcircuits</v>
      </c>
      <c r="Q247" s="9" t="str">
        <f>IFERROR(__xludf.DUMMYFUNCTION("""COMPUTED_VALUE"""),"Textbook")</f>
        <v>Textbook</v>
      </c>
      <c r="R247" s="179" t="str">
        <f>IFERROR(__xludf.DUMMYFUNCTION("""COMPUTED_VALUE"""),"MEC_III (00/00) [Moser, 2010];
")</f>
        <v>MEC_III (00/00) [Moser, 2010];
</v>
      </c>
      <c r="S247" s="179" t="str">
        <f>IFERROR(__xludf.DUMMYFUNCTION("""COMPUTED_VALUE"""),"CA1_distalMEC_III")</f>
        <v>CA1_distalMEC_III</v>
      </c>
      <c r="T247" s="179" t="str">
        <f>IFERROR(__xludf.DUMMYFUNCTION("""COMPUTED_VALUE"""),"[Moser, 2010]")</f>
        <v>[Moser, 2010]</v>
      </c>
      <c r="U247" s="179">
        <f>IFERROR(__xludf.DUMMYFUNCTION("""COMPUTED_VALUE"""),0.0)</f>
        <v>0</v>
      </c>
      <c r="V247" s="180">
        <f>IFERROR(__xludf.DUMMYFUNCTION("""COMPUTED_VALUE"""),0.0)</f>
        <v>0</v>
      </c>
      <c r="W247" s="180">
        <f>IFERROR(__xludf.DUMMYFUNCTION("""COMPUTED_VALUE"""),0.95)</f>
        <v>0.95</v>
      </c>
      <c r="X247" s="42">
        <f>IFERROR(__xludf.DUMMYFUNCTION("""COMPUTED_VALUE"""),0.9)</f>
        <v>0.9</v>
      </c>
      <c r="Y247" s="42">
        <f>IFERROR(__xludf.DUMMYFUNCTION("""COMPUTED_VALUE"""),0.0)</f>
        <v>0</v>
      </c>
      <c r="Z247" s="9">
        <f>IFERROR(__xludf.DUMMYFUNCTION("""COMPUTED_VALUE"""),0.0)</f>
        <v>0</v>
      </c>
      <c r="AA247" s="181">
        <f>IFERROR(__xludf.DUMMYFUNCTION("""COMPUTED_VALUE"""),0.0)</f>
        <v>0</v>
      </c>
      <c r="AB247" s="181">
        <f>IFERROR(__xludf.DUMMYFUNCTION("""COMPUTED_VALUE"""),0.0)</f>
        <v>0</v>
      </c>
      <c r="AC247" s="179">
        <f>IFERROR(__xludf.DUMMYFUNCTION("""COMPUTED_VALUE"""),0.0)</f>
        <v>0</v>
      </c>
      <c r="AD247" s="165">
        <f>IFERROR(__xludf.DUMMYFUNCTION("""COMPUTED_VALUE"""),0.0)</f>
        <v>0</v>
      </c>
      <c r="AE247" s="39" t="str">
        <f>IFERROR(__xludf.DUMMYFUNCTION("""COMPUTED_VALUE"""),"Ayako Fukawa")</f>
        <v>Ayako Fukawa</v>
      </c>
      <c r="AF247" s="39" t="str">
        <f>IFERROR(__xludf.DUMMYFUNCTION("""COMPUTED_VALUE"""),"AT20HippocampalFormation")</f>
        <v>AT20HippocampalFormation</v>
      </c>
      <c r="AG247" s="39"/>
      <c r="AH247" s="39"/>
      <c r="AI247" s="165"/>
      <c r="AJ247" s="165"/>
      <c r="AK247" s="111"/>
      <c r="AL247" s="111"/>
      <c r="AM247" s="111"/>
      <c r="AN247" s="111"/>
      <c r="AO247" s="111"/>
      <c r="AP247" s="111"/>
      <c r="AQ247" s="116"/>
      <c r="AR247" s="116"/>
      <c r="AS247" s="116"/>
    </row>
    <row r="248">
      <c r="A248" s="42" t="str">
        <f>IFERROR(__xludf.DUMMYFUNCTION("""COMPUTED_VALUE"""),"CA1_distal")</f>
        <v>CA1_distal</v>
      </c>
      <c r="B248" s="42" t="str">
        <f>IFERROR(__xludf.DUMMYFUNCTION("""COMPUTED_VALUE"""),"=")</f>
        <v>=</v>
      </c>
      <c r="C248" s="42" t="str">
        <f>IFERROR(__xludf.DUMMYFUNCTION("""COMPUTED_VALUE"""),"CA1_distal")</f>
        <v>CA1_distal</v>
      </c>
      <c r="D248" s="42" t="str">
        <f>IFERROR(__xludf.DUMMYFUNCTION("""COMPUTED_VALUE"""),"S_proximal")</f>
        <v>S_proximal</v>
      </c>
      <c r="E248" s="42" t="str">
        <f>IFERROR(__xludf.DUMMYFUNCTION("""COMPUTED_VALUE"""),"=")</f>
        <v>=</v>
      </c>
      <c r="F248" s="42" t="str">
        <f>IFERROR(__xludf.DUMMYFUNCTION("""COMPUTED_VALUE"""),"S_proximal")</f>
        <v>S_proximal</v>
      </c>
      <c r="G248" s="42"/>
      <c r="H248" s="42"/>
      <c r="I248" s="42" t="str">
        <f>IFERROR(__xludf.DUMMYFUNCTION("""COMPUTED_VALUE"""),"Witter, 2000")</f>
        <v>Witter, 2000</v>
      </c>
      <c r="J248" s="42"/>
      <c r="K248" s="42"/>
      <c r="L248" s="42" t="str">
        <f>IFERROR(__xludf.DUMMYFUNCTION("""COMPUTED_VALUE"""),"projections from the distal part of CA1 predominantly reach the proximal part of the subiculum; projections from the center of CA1 reach the center of the subiculum. ")</f>
        <v>projections from the distal part of CA1 predominantly reach the proximal part of the subiculum; projections from the center of CA1 reach the center of the subiculum. </v>
      </c>
      <c r="M248" s="42" t="str">
        <f>IFERROR(__xludf.DUMMYFUNCTION("""COMPUTED_VALUE"""),"Fig. 3")</f>
        <v>Fig. 3</v>
      </c>
      <c r="N248" s="42" t="str">
        <f>IFERROR(__xludf.DUMMYFUNCTION("""COMPUTED_VALUE"""),"Amaral et al, 1991")</f>
        <v>Amaral et al, 1991</v>
      </c>
      <c r="O248" s="31" t="str">
        <f>IFERROR(__xludf.DUMMYFUNCTION("""COMPUTED_VALUE"""),"DOC")</f>
        <v>DOC</v>
      </c>
      <c r="P248" s="9" t="str">
        <f>IFERROR(__xludf.DUMMYFUNCTION("""COMPUTED_VALUE"""),"Hippocampus")</f>
        <v>Hippocampus</v>
      </c>
      <c r="Q248" s="9" t="str">
        <f>IFERROR(__xludf.DUMMYFUNCTION("""COMPUTED_VALUE"""),"Review")</f>
        <v>Review</v>
      </c>
      <c r="R248" s="179" t="str">
        <f>IFERROR(__xludf.DUMMYFUNCTION("""COMPUTED_VALUE"""),"S_proximal (00/00) [Amaral, 1991][Knierim, 2014][Witter, 2000];
")</f>
        <v>S_proximal (00/00) [Amaral, 1991][Knierim, 2014][Witter, 2000];
</v>
      </c>
      <c r="S248" s="179" t="str">
        <f>IFERROR(__xludf.DUMMYFUNCTION("""COMPUTED_VALUE"""),"CA1_distalS_proximal")</f>
        <v>CA1_distalS_proximal</v>
      </c>
      <c r="T248" s="179" t="str">
        <f>IFERROR(__xludf.DUMMYFUNCTION("""COMPUTED_VALUE"""),"[Witter, 2000]")</f>
        <v>[Witter, 2000]</v>
      </c>
      <c r="U248" s="179">
        <f>IFERROR(__xludf.DUMMYFUNCTION("""COMPUTED_VALUE"""),1.0)</f>
        <v>1</v>
      </c>
      <c r="V248" s="180">
        <f>IFERROR(__xludf.DUMMYFUNCTION("""COMPUTED_VALUE"""),1.0)</f>
        <v>1</v>
      </c>
      <c r="W248" s="180">
        <f>IFERROR(__xludf.DUMMYFUNCTION("""COMPUTED_VALUE"""),0.95)</f>
        <v>0.95</v>
      </c>
      <c r="X248" s="42">
        <f>IFERROR(__xludf.DUMMYFUNCTION("""COMPUTED_VALUE"""),0.8)</f>
        <v>0.8</v>
      </c>
      <c r="Y248" s="42">
        <f>IFERROR(__xludf.DUMMYFUNCTION("""COMPUTED_VALUE"""),0.0)</f>
        <v>0</v>
      </c>
      <c r="Z248" s="9">
        <f>IFERROR(__xludf.DUMMYFUNCTION("""COMPUTED_VALUE"""),0.0)</f>
        <v>0</v>
      </c>
      <c r="AA248" s="181">
        <f>IFERROR(__xludf.DUMMYFUNCTION("""COMPUTED_VALUE"""),0.0)</f>
        <v>0</v>
      </c>
      <c r="AB248" s="181">
        <f>IFERROR(__xludf.DUMMYFUNCTION("""COMPUTED_VALUE"""),0.0)</f>
        <v>0</v>
      </c>
      <c r="AC248" s="179">
        <f>IFERROR(__xludf.DUMMYFUNCTION("""COMPUTED_VALUE"""),0.0)</f>
        <v>0</v>
      </c>
      <c r="AD248" s="165">
        <f>IFERROR(__xludf.DUMMYFUNCTION("""COMPUTED_VALUE"""),0.0)</f>
        <v>0</v>
      </c>
      <c r="AE248" s="39" t="str">
        <f>IFERROR(__xludf.DUMMYFUNCTION("""COMPUTED_VALUE"""),"Ayako Fukawa")</f>
        <v>Ayako Fukawa</v>
      </c>
      <c r="AF248" s="39" t="str">
        <f>IFERROR(__xludf.DUMMYFUNCTION("""COMPUTED_VALUE"""),"AT20HippocampalFormation")</f>
        <v>AT20HippocampalFormation</v>
      </c>
      <c r="AG248" s="39"/>
      <c r="AH248" s="39"/>
      <c r="AI248" s="165"/>
      <c r="AJ248" s="165"/>
      <c r="AK248" s="111"/>
      <c r="AL248" s="111"/>
      <c r="AM248" s="111"/>
      <c r="AN248" s="111"/>
      <c r="AO248" s="111"/>
      <c r="AP248" s="111"/>
      <c r="AQ248" s="116"/>
      <c r="AR248" s="116"/>
      <c r="AS248" s="116"/>
    </row>
    <row r="249">
      <c r="A249" s="42" t="str">
        <f>IFERROR(__xludf.DUMMYFUNCTION("""COMPUTED_VALUE"""),"CA1_proximal")</f>
        <v>CA1_proximal</v>
      </c>
      <c r="B249" s="42" t="str">
        <f>IFERROR(__xludf.DUMMYFUNCTION("""COMPUTED_VALUE"""),"=")</f>
        <v>=</v>
      </c>
      <c r="C249" s="42" t="str">
        <f>IFERROR(__xludf.DUMMYFUNCTION("""COMPUTED_VALUE"""),"CA1_proximal")</f>
        <v>CA1_proximal</v>
      </c>
      <c r="D249" s="42" t="str">
        <f>IFERROR(__xludf.DUMMYFUNCTION("""COMPUTED_VALUE"""),"S_distal")</f>
        <v>S_distal</v>
      </c>
      <c r="E249" s="42" t="str">
        <f>IFERROR(__xludf.DUMMYFUNCTION("""COMPUTED_VALUE"""),"=")</f>
        <v>=</v>
      </c>
      <c r="F249" s="42" t="str">
        <f>IFERROR(__xludf.DUMMYFUNCTION("""COMPUTED_VALUE"""),"S_distal")</f>
        <v>S_distal</v>
      </c>
      <c r="G249" s="42"/>
      <c r="H249" s="42"/>
      <c r="I249" s="42" t="str">
        <f>IFERROR(__xludf.DUMMYFUNCTION("""COMPUTED_VALUE"""),"Amaral, 1991")</f>
        <v>Amaral, 1991</v>
      </c>
      <c r="J249" s="42" t="str">
        <f>IFERROR(__xludf.DUMMYFUNCTION("""COMPUTED_VALUE"""),"Rat")</f>
        <v>Rat</v>
      </c>
      <c r="K249" s="42" t="str">
        <f>IFERROR(__xludf.DUMMYFUNCTION("""COMPUTED_VALUE"""),"anterograde tracer")</f>
        <v>anterograde tracer</v>
      </c>
      <c r="L249" s="42" t="str">
        <f>IFERROR(__xludf.DUMMYFUNCTION("""COMPUTED_VALUE"""),"CA1 cells located proximally in the field, i.e., close to the CA2 field, gave rise to projections that terminated in the distal third of the subiculum, i.e., close to the presubiculum.")</f>
        <v>CA1 cells located proximally in the field, i.e., close to the CA2 field, gave rise to projections that terminated in the distal third of the subiculum, i.e., close to the presubiculum.</v>
      </c>
      <c r="M249" s="42"/>
      <c r="N249" s="42"/>
      <c r="O249" s="31" t="str">
        <f>IFERROR(__xludf.DUMMYFUNCTION("""COMPUTED_VALUE"""),"DOC")</f>
        <v>DOC</v>
      </c>
      <c r="P249" s="9" t="str">
        <f>IFERROR(__xludf.DUMMYFUNCTION("""COMPUTED_VALUE"""),"Hippocampus")</f>
        <v>Hippocampus</v>
      </c>
      <c r="Q249" s="9" t="str">
        <f>IFERROR(__xludf.DUMMYFUNCTION("""COMPUTED_VALUE"""),"Experimental results")</f>
        <v>Experimental results</v>
      </c>
      <c r="R249" s="179" t="str">
        <f>IFERROR(__xludf.DUMMYFUNCTION("""COMPUTED_VALUE"""),"S_distal (00/00) [Amaral, 1991][Knierim, 2014][Witter, 2000];
")</f>
        <v>S_distal (00/00) [Amaral, 1991][Knierim, 2014][Witter, 2000];
</v>
      </c>
      <c r="S249" s="179" t="str">
        <f>IFERROR(__xludf.DUMMYFUNCTION("""COMPUTED_VALUE"""),"CA1_proximalS_distal")</f>
        <v>CA1_proximalS_distal</v>
      </c>
      <c r="T249" s="179" t="str">
        <f>IFERROR(__xludf.DUMMYFUNCTION("""COMPUTED_VALUE"""),"[Amaral, 1991]")</f>
        <v>[Amaral, 1991]</v>
      </c>
      <c r="U249" s="179">
        <f>IFERROR(__xludf.DUMMYFUNCTION("""COMPUTED_VALUE"""),1.0)</f>
        <v>1</v>
      </c>
      <c r="V249" s="180">
        <f>IFERROR(__xludf.DUMMYFUNCTION("""COMPUTED_VALUE"""),1.0)</f>
        <v>1</v>
      </c>
      <c r="W249" s="180">
        <f>IFERROR(__xludf.DUMMYFUNCTION("""COMPUTED_VALUE"""),0.95)</f>
        <v>0.95</v>
      </c>
      <c r="X249" s="42">
        <f>IFERROR(__xludf.DUMMYFUNCTION("""COMPUTED_VALUE"""),1.0)</f>
        <v>1</v>
      </c>
      <c r="Y249" s="42">
        <f>IFERROR(__xludf.DUMMYFUNCTION("""COMPUTED_VALUE"""),0.6)</f>
        <v>0.6</v>
      </c>
      <c r="Z249" s="9">
        <f>IFERROR(__xludf.DUMMYFUNCTION("""COMPUTED_VALUE"""),0.0)</f>
        <v>0</v>
      </c>
      <c r="AA249" s="181">
        <f>IFERROR(__xludf.DUMMYFUNCTION("""COMPUTED_VALUE"""),0.0)</f>
        <v>0</v>
      </c>
      <c r="AB249" s="181">
        <f>IFERROR(__xludf.DUMMYFUNCTION("""COMPUTED_VALUE"""),0.0)</f>
        <v>0</v>
      </c>
      <c r="AC249" s="179">
        <f>IFERROR(__xludf.DUMMYFUNCTION("""COMPUTED_VALUE"""),0.0)</f>
        <v>0</v>
      </c>
      <c r="AD249" s="165">
        <f>IFERROR(__xludf.DUMMYFUNCTION("""COMPUTED_VALUE"""),0.0)</f>
        <v>0</v>
      </c>
      <c r="AE249" s="39" t="str">
        <f>IFERROR(__xludf.DUMMYFUNCTION("""COMPUTED_VALUE"""),"Yuske Shibata")</f>
        <v>Yuske Shibata</v>
      </c>
      <c r="AF249" s="39" t="str">
        <f>IFERROR(__xludf.DUMMYFUNCTION("""COMPUTED_VALUE"""),"Credibility check")</f>
        <v>Credibility check</v>
      </c>
      <c r="AG249" s="39"/>
      <c r="AH249" s="39"/>
      <c r="AI249" s="165"/>
      <c r="AJ249" s="165"/>
      <c r="AK249" s="111"/>
      <c r="AL249" s="111"/>
      <c r="AM249" s="111"/>
      <c r="AN249" s="111"/>
      <c r="AO249" s="111"/>
      <c r="AP249" s="111"/>
      <c r="AQ249" s="116"/>
      <c r="AR249" s="116"/>
      <c r="AS249" s="116"/>
    </row>
    <row r="250">
      <c r="A250" s="42" t="str">
        <f>IFERROR(__xludf.DUMMYFUNCTION("""COMPUTED_VALUE"""),"CA1_proximal")</f>
        <v>CA1_proximal</v>
      </c>
      <c r="B250" s="42"/>
      <c r="C250" s="42"/>
      <c r="D250" s="42" t="str">
        <f>IFERROR(__xludf.DUMMYFUNCTION("""COMPUTED_VALUE"""),"S_distal")</f>
        <v>S_distal</v>
      </c>
      <c r="E250" s="42"/>
      <c r="F250" s="42"/>
      <c r="G250" s="42"/>
      <c r="H250" s="42" t="str">
        <f>IFERROR(__xludf.DUMMYFUNCTION("""COMPUTED_VALUE"""),"")</f>
        <v/>
      </c>
      <c r="I250" s="42" t="str">
        <f>IFERROR(__xludf.DUMMYFUNCTION("""COMPUTED_VALUE"""),"Knierim, 2014")</f>
        <v>Knierim, 2014</v>
      </c>
      <c r="J250" s="42"/>
      <c r="K250" s="42"/>
      <c r="L250" s="42"/>
      <c r="M250" s="42"/>
      <c r="N250" s="42"/>
      <c r="O250" s="31" t="str">
        <f>IFERROR(__xludf.DUMMYFUNCTION("""COMPUTED_VALUE"""),"DOC")</f>
        <v>DOC</v>
      </c>
      <c r="P250" s="9" t="str">
        <f>IFERROR(__xludf.DUMMYFUNCTION("""COMPUTED_VALUE"""),"Philosophical Transactions of the Royal Society B: Biological Sciences")</f>
        <v>Philosophical Transactions of the Royal Society B: Biological Sciences</v>
      </c>
      <c r="Q250" s="9"/>
      <c r="R250" s="179" t="str">
        <f>IFERROR(__xludf.DUMMYFUNCTION("""COMPUTED_VALUE"""),"S_distal (00/00) [Amaral, 1991][Knierim, 2014][Witter, 2000];
")</f>
        <v>S_distal (00/00) [Amaral, 1991][Knierim, 2014][Witter, 2000];
</v>
      </c>
      <c r="S250" s="179" t="str">
        <f>IFERROR(__xludf.DUMMYFUNCTION("""COMPUTED_VALUE"""),"CA1_proximalS_distal")</f>
        <v>CA1_proximalS_distal</v>
      </c>
      <c r="T250" s="179" t="str">
        <f>IFERROR(__xludf.DUMMYFUNCTION("""COMPUTED_VALUE"""),"[Knierim, 2014]")</f>
        <v>[Knierim, 2014]</v>
      </c>
      <c r="U250" s="179">
        <f>IFERROR(__xludf.DUMMYFUNCTION("""COMPUTED_VALUE"""),0.0)</f>
        <v>0</v>
      </c>
      <c r="V250" s="180">
        <f>IFERROR(__xludf.DUMMYFUNCTION("""COMPUTED_VALUE"""),0.0)</f>
        <v>0</v>
      </c>
      <c r="W250" s="180">
        <f>IFERROR(__xludf.DUMMYFUNCTION("""COMPUTED_VALUE"""),0.95)</f>
        <v>0.95</v>
      </c>
      <c r="X250" s="42">
        <f>IFERROR(__xludf.DUMMYFUNCTION("""COMPUTED_VALUE"""),0.0)</f>
        <v>0</v>
      </c>
      <c r="Y250" s="42">
        <f>IFERROR(__xludf.DUMMYFUNCTION("""COMPUTED_VALUE"""),0.0)</f>
        <v>0</v>
      </c>
      <c r="Z250" s="9">
        <f>IFERROR(__xludf.DUMMYFUNCTION("""COMPUTED_VALUE"""),0.0)</f>
        <v>0</v>
      </c>
      <c r="AA250" s="181">
        <f>IFERROR(__xludf.DUMMYFUNCTION("""COMPUTED_VALUE"""),0.0)</f>
        <v>0</v>
      </c>
      <c r="AB250" s="181">
        <f>IFERROR(__xludf.DUMMYFUNCTION("""COMPUTED_VALUE"""),0.0)</f>
        <v>0</v>
      </c>
      <c r="AC250" s="179">
        <f>IFERROR(__xludf.DUMMYFUNCTION("""COMPUTED_VALUE"""),0.0)</f>
        <v>0</v>
      </c>
      <c r="AD250" s="165">
        <f>IFERROR(__xludf.DUMMYFUNCTION("""COMPUTED_VALUE"""),0.0)</f>
        <v>0</v>
      </c>
      <c r="AE250" s="39" t="str">
        <f>IFERROR(__xludf.DUMMYFUNCTION("""COMPUTED_VALUE"""),"Ayako Fukawa")</f>
        <v>Ayako Fukawa</v>
      </c>
      <c r="AF250" s="39" t="str">
        <f>IFERROR(__xludf.DUMMYFUNCTION("""COMPUTED_VALUE"""),"AT20HippocampalFormation")</f>
        <v>AT20HippocampalFormation</v>
      </c>
      <c r="AG250" s="39"/>
      <c r="AH250" s="39"/>
      <c r="AI250" s="165"/>
      <c r="AJ250" s="165"/>
      <c r="AK250" s="111"/>
      <c r="AL250" s="111"/>
      <c r="AM250" s="111"/>
      <c r="AN250" s="111"/>
      <c r="AO250" s="111"/>
      <c r="AP250" s="111"/>
      <c r="AQ250" s="116"/>
      <c r="AR250" s="116"/>
      <c r="AS250" s="116"/>
    </row>
    <row r="251">
      <c r="A251" s="42" t="str">
        <f>IFERROR(__xludf.DUMMYFUNCTION("""COMPUTED_VALUE"""),"CA1_proximal")</f>
        <v>CA1_proximal</v>
      </c>
      <c r="B251" s="42" t="str">
        <f>IFERROR(__xludf.DUMMYFUNCTION("""COMPUTED_VALUE"""),"=")</f>
        <v>=</v>
      </c>
      <c r="C251" s="42" t="str">
        <f>IFERROR(__xludf.DUMMYFUNCTION("""COMPUTED_VALUE"""),"CA1_proximal")</f>
        <v>CA1_proximal</v>
      </c>
      <c r="D251" s="42" t="str">
        <f>IFERROR(__xludf.DUMMYFUNCTION("""COMPUTED_VALUE"""),"S_distal")</f>
        <v>S_distal</v>
      </c>
      <c r="E251" s="42" t="str">
        <f>IFERROR(__xludf.DUMMYFUNCTION("""COMPUTED_VALUE"""),"=")</f>
        <v>=</v>
      </c>
      <c r="F251" s="42" t="str">
        <f>IFERROR(__xludf.DUMMYFUNCTION("""COMPUTED_VALUE"""),"S_distal")</f>
        <v>S_distal</v>
      </c>
      <c r="G251" s="42"/>
      <c r="H251" s="42"/>
      <c r="I251" s="42" t="str">
        <f>IFERROR(__xludf.DUMMYFUNCTION("""COMPUTED_VALUE"""),"Witter, 2000")</f>
        <v>Witter, 2000</v>
      </c>
      <c r="J251" s="42"/>
      <c r="K251" s="42"/>
      <c r="L251" s="42" t="str">
        <f>IFERROR(__xludf.DUMMYFUNCTION("""COMPUTED_VALUE"""),"Projections from the proximal part of CA1 terminate in the distal part of the subiculum.")</f>
        <v>Projections from the proximal part of CA1 terminate in the distal part of the subiculum.</v>
      </c>
      <c r="M251" s="42" t="str">
        <f>IFERROR(__xludf.DUMMYFUNCTION("""COMPUTED_VALUE"""),"Fig. 3")</f>
        <v>Fig. 3</v>
      </c>
      <c r="N251" s="42" t="str">
        <f>IFERROR(__xludf.DUMMYFUNCTION("""COMPUTED_VALUE"""),"Amaral et al, 1991")</f>
        <v>Amaral et al, 1991</v>
      </c>
      <c r="O251" s="31" t="str">
        <f>IFERROR(__xludf.DUMMYFUNCTION("""COMPUTED_VALUE"""),"DOC")</f>
        <v>DOC</v>
      </c>
      <c r="P251" s="9" t="str">
        <f>IFERROR(__xludf.DUMMYFUNCTION("""COMPUTED_VALUE"""),"Hippocampus")</f>
        <v>Hippocampus</v>
      </c>
      <c r="Q251" s="9" t="str">
        <f>IFERROR(__xludf.DUMMYFUNCTION("""COMPUTED_VALUE"""),"Review")</f>
        <v>Review</v>
      </c>
      <c r="R251" s="179" t="str">
        <f>IFERROR(__xludf.DUMMYFUNCTION("""COMPUTED_VALUE"""),"S_distal (00/00) [Amaral, 1991][Knierim, 2014][Witter, 2000];
")</f>
        <v>S_distal (00/00) [Amaral, 1991][Knierim, 2014][Witter, 2000];
</v>
      </c>
      <c r="S251" s="179" t="str">
        <f>IFERROR(__xludf.DUMMYFUNCTION("""COMPUTED_VALUE"""),"CA1_proximalS_distal")</f>
        <v>CA1_proximalS_distal</v>
      </c>
      <c r="T251" s="179" t="str">
        <f>IFERROR(__xludf.DUMMYFUNCTION("""COMPUTED_VALUE"""),"[Witter, 2000]")</f>
        <v>[Witter, 2000]</v>
      </c>
      <c r="U251" s="179">
        <f>IFERROR(__xludf.DUMMYFUNCTION("""COMPUTED_VALUE"""),1.0)</f>
        <v>1</v>
      </c>
      <c r="V251" s="180">
        <f>IFERROR(__xludf.DUMMYFUNCTION("""COMPUTED_VALUE"""),1.0)</f>
        <v>1</v>
      </c>
      <c r="W251" s="180">
        <f>IFERROR(__xludf.DUMMYFUNCTION("""COMPUTED_VALUE"""),0.95)</f>
        <v>0.95</v>
      </c>
      <c r="X251" s="42">
        <f>IFERROR(__xludf.DUMMYFUNCTION("""COMPUTED_VALUE"""),0.8)</f>
        <v>0.8</v>
      </c>
      <c r="Y251" s="42">
        <f>IFERROR(__xludf.DUMMYFUNCTION("""COMPUTED_VALUE"""),0.0)</f>
        <v>0</v>
      </c>
      <c r="Z251" s="9">
        <f>IFERROR(__xludf.DUMMYFUNCTION("""COMPUTED_VALUE"""),0.0)</f>
        <v>0</v>
      </c>
      <c r="AA251" s="181">
        <f>IFERROR(__xludf.DUMMYFUNCTION("""COMPUTED_VALUE"""),0.0)</f>
        <v>0</v>
      </c>
      <c r="AB251" s="181">
        <f>IFERROR(__xludf.DUMMYFUNCTION("""COMPUTED_VALUE"""),0.0)</f>
        <v>0</v>
      </c>
      <c r="AC251" s="179">
        <f>IFERROR(__xludf.DUMMYFUNCTION("""COMPUTED_VALUE"""),0.0)</f>
        <v>0</v>
      </c>
      <c r="AD251" s="165">
        <f>IFERROR(__xludf.DUMMYFUNCTION("""COMPUTED_VALUE"""),0.0)</f>
        <v>0</v>
      </c>
      <c r="AE251" s="39" t="str">
        <f>IFERROR(__xludf.DUMMYFUNCTION("""COMPUTED_VALUE"""),"Ayako Fukawa")</f>
        <v>Ayako Fukawa</v>
      </c>
      <c r="AF251" s="39" t="str">
        <f>IFERROR(__xludf.DUMMYFUNCTION("""COMPUTED_VALUE"""),"AT20HippocampalFormation")</f>
        <v>AT20HippocampalFormation</v>
      </c>
      <c r="AG251" s="39"/>
      <c r="AH251" s="39"/>
      <c r="AI251" s="165"/>
      <c r="AJ251" s="165"/>
      <c r="AK251" s="111"/>
      <c r="AL251" s="111"/>
      <c r="AM251" s="111"/>
      <c r="AN251" s="111"/>
      <c r="AO251" s="111"/>
      <c r="AP251" s="111"/>
      <c r="AQ251" s="116"/>
      <c r="AR251" s="116"/>
      <c r="AS251" s="116"/>
    </row>
    <row r="252">
      <c r="A252" s="42" t="str">
        <f>IFERROR(__xludf.DUMMYFUNCTION("""COMPUTED_VALUE"""),"CA2")</f>
        <v>CA2</v>
      </c>
      <c r="B252" s="42" t="str">
        <f>IFERROR(__xludf.DUMMYFUNCTION("""COMPUTED_VALUE"""),"=")</f>
        <v>=</v>
      </c>
      <c r="C252" s="42" t="str">
        <f>IFERROR(__xludf.DUMMYFUNCTION("""COMPUTED_VALUE"""),"CA2")</f>
        <v>CA2</v>
      </c>
      <c r="D252" s="42" t="str">
        <f>IFERROR(__xludf.DUMMYFUNCTION("""COMPUTED_VALUE"""),"MEC_II")</f>
        <v>MEC_II</v>
      </c>
      <c r="E252" s="42" t="str">
        <f>IFERROR(__xludf.DUMMYFUNCTION("""COMPUTED_VALUE"""),"=")</f>
        <v>=</v>
      </c>
      <c r="F252" s="42" t="str">
        <f>IFERROR(__xludf.DUMMYFUNCTION("""COMPUTED_VALUE"""),"MEC_II")</f>
        <v>MEC_II</v>
      </c>
      <c r="G252" s="42"/>
      <c r="H252" s="42"/>
      <c r="I252" s="42" t="str">
        <f>IFERROR(__xludf.DUMMYFUNCTION("""COMPUTED_VALUE"""),"Rowland, 2013")</f>
        <v>Rowland, 2013</v>
      </c>
      <c r="J252" s="42" t="str">
        <f>IFERROR(__xludf.DUMMYFUNCTION("""COMPUTED_VALUE"""),"Mouse")</f>
        <v>Mouse</v>
      </c>
      <c r="K252" s="42" t="str">
        <f>IFERROR(__xludf.DUMMYFUNCTION("""COMPUTED_VALUE"""),"Trans-synaptic tracing")</f>
        <v>Trans-synaptic tracing</v>
      </c>
      <c r="L252" s="42" t="str">
        <f>IFERROR(__xludf.DUMMYFUNCTION("""COMPUTED_VALUE"""),"the vast majority of these direct hippocampal inputs arise not from the major hippocampal subfields of CA1 and CA3, but from area CA2, a region that has historically been thought to merely be a transitional zone between CA3 and CA1")</f>
        <v>the vast majority of these direct hippocampal inputs arise not from the major hippocampal subfields of CA1 and CA3, but from area CA2, a region that has historically been thought to merely be a transitional zone between CA3 and CA1</v>
      </c>
      <c r="M252" s="42"/>
      <c r="N252" s="42"/>
      <c r="O252" s="31" t="str">
        <f>IFERROR(__xludf.DUMMYFUNCTION("""COMPUTED_VALUE"""),"DOC")</f>
        <v>DOC</v>
      </c>
      <c r="P252" s="9" t="str">
        <f>IFERROR(__xludf.DUMMYFUNCTION("""COMPUTED_VALUE"""),"Journal of Neuroscience")</f>
        <v>Journal of Neuroscience</v>
      </c>
      <c r="Q252" s="9" t="str">
        <f>IFERROR(__xludf.DUMMYFUNCTION("""COMPUTED_VALUE"""),"Experimental results")</f>
        <v>Experimental results</v>
      </c>
      <c r="R252" s="179" t="str">
        <f>IFERROR(__xludf.DUMMYFUNCTION("""COMPUTED_VALUE"""),"MEC_II (00/00) [Rowland, 2013][Llorens-Martín, 2014];
")</f>
        <v>MEC_II (00/00) [Rowland, 2013][Llorens-Martín, 2014];
</v>
      </c>
      <c r="S252" s="179" t="str">
        <f>IFERROR(__xludf.DUMMYFUNCTION("""COMPUTED_VALUE"""),"CA2MEC_II")</f>
        <v>CA2MEC_II</v>
      </c>
      <c r="T252" s="179" t="str">
        <f>IFERROR(__xludf.DUMMYFUNCTION("""COMPUTED_VALUE"""),"[Rowland, 2013]")</f>
        <v>[Rowland, 2013]</v>
      </c>
      <c r="U252" s="179">
        <f>IFERROR(__xludf.DUMMYFUNCTION("""COMPUTED_VALUE"""),1.0)</f>
        <v>1</v>
      </c>
      <c r="V252" s="180">
        <f>IFERROR(__xludf.DUMMYFUNCTION("""COMPUTED_VALUE"""),1.0)</f>
        <v>1</v>
      </c>
      <c r="W252" s="180">
        <f>IFERROR(__xludf.DUMMYFUNCTION("""COMPUTED_VALUE"""),0.95)</f>
        <v>0.95</v>
      </c>
      <c r="X252" s="42">
        <f>IFERROR(__xludf.DUMMYFUNCTION("""COMPUTED_VALUE"""),1.0)</f>
        <v>1</v>
      </c>
      <c r="Y252" s="42">
        <f>IFERROR(__xludf.DUMMYFUNCTION("""COMPUTED_VALUE"""),0.5)</f>
        <v>0.5</v>
      </c>
      <c r="Z252" s="9">
        <f>IFERROR(__xludf.DUMMYFUNCTION("""COMPUTED_VALUE"""),0.0)</f>
        <v>0</v>
      </c>
      <c r="AA252" s="181">
        <f>IFERROR(__xludf.DUMMYFUNCTION("""COMPUTED_VALUE"""),0.0)</f>
        <v>0</v>
      </c>
      <c r="AB252" s="181">
        <f>IFERROR(__xludf.DUMMYFUNCTION("""COMPUTED_VALUE"""),0.0)</f>
        <v>0</v>
      </c>
      <c r="AC252" s="179">
        <f>IFERROR(__xludf.DUMMYFUNCTION("""COMPUTED_VALUE"""),0.0)</f>
        <v>0</v>
      </c>
      <c r="AD252" s="165">
        <f>IFERROR(__xludf.DUMMYFUNCTION("""COMPUTED_VALUE"""),0.0)</f>
        <v>0</v>
      </c>
      <c r="AE252" s="39" t="str">
        <f>IFERROR(__xludf.DUMMYFUNCTION("""COMPUTED_VALUE"""),"Yuske Shibata")</f>
        <v>Yuske Shibata</v>
      </c>
      <c r="AF252" s="39" t="str">
        <f>IFERROR(__xludf.DUMMYFUNCTION("""COMPUTED_VALUE"""),"Credibility check")</f>
        <v>Credibility check</v>
      </c>
      <c r="AG252" s="39"/>
      <c r="AH252" s="39"/>
      <c r="AI252" s="165"/>
      <c r="AJ252" s="165"/>
      <c r="AK252" s="111" t="b">
        <f>IFERROR(__xludf.DUMMYFUNCTION("""COMPUTED_VALUE"""),FALSE)</f>
        <v>0</v>
      </c>
      <c r="AL252" s="111"/>
      <c r="AM252" s="111"/>
      <c r="AN252" s="111" t="str">
        <f>IFERROR(__xludf.DUMMYFUNCTION("""COMPUTED_VALUE"""),"☓内容が不一致")</f>
        <v>☓内容が不一致</v>
      </c>
      <c r="AO252" s="111" t="str">
        <f>IFERROR(__xludf.DUMMYFUNCTION("""COMPUTED_VALUE"""),"Hiroshi Yamakawa")</f>
        <v>Hiroshi Yamakawa</v>
      </c>
      <c r="AP252" s="111"/>
      <c r="AQ252" s="116"/>
      <c r="AR252" s="116"/>
      <c r="AS252" s="116"/>
    </row>
    <row r="253">
      <c r="A253" s="42" t="str">
        <f>IFERROR(__xludf.DUMMYFUNCTION("""COMPUTED_VALUE"""),"CA2")</f>
        <v>CA2</v>
      </c>
      <c r="B253" s="42" t="str">
        <f>IFERROR(__xludf.DUMMYFUNCTION("""COMPUTED_VALUE"""),"=")</f>
        <v>=</v>
      </c>
      <c r="C253" s="42" t="str">
        <f>IFERROR(__xludf.DUMMYFUNCTION("""COMPUTED_VALUE"""),"CA2")</f>
        <v>CA2</v>
      </c>
      <c r="D253" s="42" t="str">
        <f>IFERROR(__xludf.DUMMYFUNCTION("""COMPUTED_VALUE"""),"CA1")</f>
        <v>CA1</v>
      </c>
      <c r="E253" s="42" t="str">
        <f>IFERROR(__xludf.DUMMYFUNCTION("""COMPUTED_VALUE"""),"=")</f>
        <v>=</v>
      </c>
      <c r="F253" s="42" t="str">
        <f>IFERROR(__xludf.DUMMYFUNCTION("""COMPUTED_VALUE"""),"CA1")</f>
        <v>CA1</v>
      </c>
      <c r="G253" s="42"/>
      <c r="H253" s="42"/>
      <c r="I253" s="42" t="str">
        <f>IFERROR(__xludf.DUMMYFUNCTION("""COMPUTED_VALUE"""),"Chevaleyre, 2010")</f>
        <v>Chevaleyre, 2010</v>
      </c>
      <c r="J253" s="42" t="str">
        <f>IFERROR(__xludf.DUMMYFUNCTION("""COMPUTED_VALUE"""),"Mouse")</f>
        <v>Mouse</v>
      </c>
      <c r="K253" s="42" t="str">
        <f>IFERROR(__xludf.DUMMYFUNCTION("""COMPUTED_VALUE"""),"Electro physiology")</f>
        <v>Electro physiology</v>
      </c>
      <c r="L253" s="42" t="str">
        <f>IFERROR(__xludf.DUMMYFUNCTION("""COMPUTED_VALUE"""),"CA2 neurons are strongly excited by their distal dendritic inputs from entorhinal cortex but only weakly activated by their more proximal dendritic inputs from hippocampal CA3 neurons.")</f>
        <v>CA2 neurons are strongly excited by their distal dendritic inputs from entorhinal cortex but only weakly activated by their more proximal dendritic inputs from hippocampal CA3 neurons.</v>
      </c>
      <c r="M253" s="42"/>
      <c r="N253" s="42"/>
      <c r="O253" s="31" t="str">
        <f>IFERROR(__xludf.DUMMYFUNCTION("""COMPUTED_VALUE"""),"DOC")</f>
        <v>DOC</v>
      </c>
      <c r="P253" s="9" t="str">
        <f>IFERROR(__xludf.DUMMYFUNCTION("""COMPUTED_VALUE"""),"Neuron")</f>
        <v>Neuron</v>
      </c>
      <c r="Q253" s="9" t="str">
        <f>IFERROR(__xludf.DUMMYFUNCTION("""COMPUTED_VALUE"""),"Experimental results")</f>
        <v>Experimental results</v>
      </c>
      <c r="R253" s="179" t="str">
        <f>IFERROR(__xludf.DUMMYFUNCTION("""COMPUTED_VALUE"""),"CA1 (00/19) [Chevaleyre, 2010][Llorens-Martín, 2014];
")</f>
        <v>CA1 (00/19) [Chevaleyre, 2010][Llorens-Martín, 2014];
</v>
      </c>
      <c r="S253" s="179" t="str">
        <f>IFERROR(__xludf.DUMMYFUNCTION("""COMPUTED_VALUE"""),"CA2CA1")</f>
        <v>CA2CA1</v>
      </c>
      <c r="T253" s="179" t="str">
        <f>IFERROR(__xludf.DUMMYFUNCTION("""COMPUTED_VALUE"""),"[Chevaleyre, 2010]")</f>
        <v>[Chevaleyre, 2010]</v>
      </c>
      <c r="U253" s="179">
        <f>IFERROR(__xludf.DUMMYFUNCTION("""COMPUTED_VALUE"""),1.0)</f>
        <v>1</v>
      </c>
      <c r="V253" s="180">
        <f>IFERROR(__xludf.DUMMYFUNCTION("""COMPUTED_VALUE"""),1.0)</f>
        <v>1</v>
      </c>
      <c r="W253" s="180">
        <f>IFERROR(__xludf.DUMMYFUNCTION("""COMPUTED_VALUE"""),0.95)</f>
        <v>0.95</v>
      </c>
      <c r="X253" s="42">
        <f>IFERROR(__xludf.DUMMYFUNCTION("""COMPUTED_VALUE"""),1.0)</f>
        <v>1</v>
      </c>
      <c r="Y253" s="42">
        <f>IFERROR(__xludf.DUMMYFUNCTION("""COMPUTED_VALUE"""),0.5)</f>
        <v>0.5</v>
      </c>
      <c r="Z253" s="9">
        <f>IFERROR(__xludf.DUMMYFUNCTION("""COMPUTED_VALUE"""),0.4)</f>
        <v>0.4</v>
      </c>
      <c r="AA253" s="181">
        <f>IFERROR(__xludf.DUMMYFUNCTION("""COMPUTED_VALUE"""),0.19)</f>
        <v>0.19</v>
      </c>
      <c r="AB253" s="181">
        <f>IFERROR(__xludf.DUMMYFUNCTION("""COMPUTED_VALUE"""),0.19)</f>
        <v>0.19</v>
      </c>
      <c r="AC253" s="179">
        <f>IFERROR(__xludf.DUMMYFUNCTION("""COMPUTED_VALUE"""),0.0)</f>
        <v>0</v>
      </c>
      <c r="AD253" s="165">
        <f>IFERROR(__xludf.DUMMYFUNCTION("""COMPUTED_VALUE"""),0.0)</f>
        <v>0</v>
      </c>
      <c r="AE253" s="39" t="str">
        <f>IFERROR(__xludf.DUMMYFUNCTION("""COMPUTED_VALUE"""),"Yuske Shibata")</f>
        <v>Yuske Shibata</v>
      </c>
      <c r="AF253" s="39" t="str">
        <f>IFERROR(__xludf.DUMMYFUNCTION("""COMPUTED_VALUE"""),"Credibility check")</f>
        <v>Credibility check</v>
      </c>
      <c r="AG253" s="39"/>
      <c r="AH253" s="39"/>
      <c r="AI253" s="165"/>
      <c r="AJ253" s="165"/>
      <c r="AK253" s="111" t="b">
        <f>IFERROR(__xludf.DUMMYFUNCTION("""COMPUTED_VALUE"""),FALSE)</f>
        <v>0</v>
      </c>
      <c r="AL253" s="111"/>
      <c r="AM253" s="111"/>
      <c r="AN253" s="111" t="str">
        <f>IFERROR(__xludf.DUMMYFUNCTION("""COMPUTED_VALUE"""),"☓内容が不一致")</f>
        <v>☓内容が不一致</v>
      </c>
      <c r="AO253" s="111" t="str">
        <f>IFERROR(__xludf.DUMMYFUNCTION("""COMPUTED_VALUE"""),"Hiroshi Yamakawa")</f>
        <v>Hiroshi Yamakawa</v>
      </c>
      <c r="AP253" s="111"/>
      <c r="AQ253" s="116"/>
      <c r="AR253" s="116"/>
      <c r="AS253" s="116"/>
    </row>
    <row r="254">
      <c r="A254" s="42" t="str">
        <f>IFERROR(__xludf.DUMMYFUNCTION("""COMPUTED_VALUE"""),"CA2")</f>
        <v>CA2</v>
      </c>
      <c r="B254" s="42" t="str">
        <f>IFERROR(__xludf.DUMMYFUNCTION("""COMPUTED_VALUE"""),"=")</f>
        <v>=</v>
      </c>
      <c r="C254" s="42" t="str">
        <f>IFERROR(__xludf.DUMMYFUNCTION("""COMPUTED_VALUE"""),"CA2")</f>
        <v>CA2</v>
      </c>
      <c r="D254" s="42" t="str">
        <f>IFERROR(__xludf.DUMMYFUNCTION("""COMPUTED_VALUE"""),"CA1")</f>
        <v>CA1</v>
      </c>
      <c r="E254" s="42" t="str">
        <f>IFERROR(__xludf.DUMMYFUNCTION("""COMPUTED_VALUE"""),"=")</f>
        <v>=</v>
      </c>
      <c r="F254" s="42" t="str">
        <f>IFERROR(__xludf.DUMMYFUNCTION("""COMPUTED_VALUE"""),"CA1")</f>
        <v>CA1</v>
      </c>
      <c r="G254" s="42"/>
      <c r="H254" s="42"/>
      <c r="I254" s="42" t="str">
        <f>IFERROR(__xludf.DUMMYFUNCTION("""COMPUTED_VALUE"""),"Chevaleyre, 2010")</f>
        <v>Chevaleyre, 2010</v>
      </c>
      <c r="J254" s="42" t="str">
        <f>IFERROR(__xludf.DUMMYFUNCTION("""COMPUTED_VALUE"""),"Mouse")</f>
        <v>Mouse</v>
      </c>
      <c r="K254" s="42" t="str">
        <f>IFERROR(__xludf.DUMMYFUNCTION("""COMPUTED_VALUE"""),"Electro physiology")</f>
        <v>Electro physiology</v>
      </c>
      <c r="L254" s="180" t="str">
        <f>IFERROR(__xludf.DUMMYFUNCTION("""COMPUTED_VALUE"""),"CA2 neurons mediate a disynaptic link between cortex and hippocampal CA1 neurons")</f>
        <v>CA2 neurons mediate a disynaptic link between cortex and hippocampal CA1 neurons</v>
      </c>
      <c r="M254" s="42"/>
      <c r="N254" s="42"/>
      <c r="O254" s="31" t="str">
        <f>IFERROR(__xludf.DUMMYFUNCTION("""COMPUTED_VALUE"""),"DOC")</f>
        <v>DOC</v>
      </c>
      <c r="P254" s="9" t="str">
        <f>IFERROR(__xludf.DUMMYFUNCTION("""COMPUTED_VALUE"""),"Neuron")</f>
        <v>Neuron</v>
      </c>
      <c r="Q254" s="9" t="str">
        <f>IFERROR(__xludf.DUMMYFUNCTION("""COMPUTED_VALUE"""),"Experimental results")</f>
        <v>Experimental results</v>
      </c>
      <c r="R254" s="179" t="str">
        <f>IFERROR(__xludf.DUMMYFUNCTION("""COMPUTED_VALUE"""),"CA1 (00/19) [Chevaleyre, 2010][Llorens-Martín, 2014];
")</f>
        <v>CA1 (00/19) [Chevaleyre, 2010][Llorens-Martín, 2014];
</v>
      </c>
      <c r="S254" s="179" t="str">
        <f>IFERROR(__xludf.DUMMYFUNCTION("""COMPUTED_VALUE"""),"CA2CA1")</f>
        <v>CA2CA1</v>
      </c>
      <c r="T254" s="179" t="str">
        <f>IFERROR(__xludf.DUMMYFUNCTION("""COMPUTED_VALUE"""),"[Chevaleyre, 2010]")</f>
        <v>[Chevaleyre, 2010]</v>
      </c>
      <c r="U254" s="179">
        <f>IFERROR(__xludf.DUMMYFUNCTION("""COMPUTED_VALUE"""),1.0)</f>
        <v>1</v>
      </c>
      <c r="V254" s="180">
        <f>IFERROR(__xludf.DUMMYFUNCTION("""COMPUTED_VALUE"""),1.0)</f>
        <v>1</v>
      </c>
      <c r="W254" s="204">
        <f>IFERROR(__xludf.DUMMYFUNCTION("""COMPUTED_VALUE"""),0.95)</f>
        <v>0.95</v>
      </c>
      <c r="X254" s="42">
        <f>IFERROR(__xludf.DUMMYFUNCTION("""COMPUTED_VALUE"""),1.0)</f>
        <v>1</v>
      </c>
      <c r="Y254" s="42">
        <f>IFERROR(__xludf.DUMMYFUNCTION("""COMPUTED_VALUE"""),0.5)</f>
        <v>0.5</v>
      </c>
      <c r="Z254" s="9">
        <f>IFERROR(__xludf.DUMMYFUNCTION("""COMPUTED_VALUE"""),0.4)</f>
        <v>0.4</v>
      </c>
      <c r="AA254" s="181">
        <f>IFERROR(__xludf.DUMMYFUNCTION("""COMPUTED_VALUE"""),0.19)</f>
        <v>0.19</v>
      </c>
      <c r="AB254" s="181">
        <f>IFERROR(__xludf.DUMMYFUNCTION("""COMPUTED_VALUE"""),0.19)</f>
        <v>0.19</v>
      </c>
      <c r="AC254" s="179">
        <f>IFERROR(__xludf.DUMMYFUNCTION("""COMPUTED_VALUE"""),0.0)</f>
        <v>0</v>
      </c>
      <c r="AD254" s="165">
        <f>IFERROR(__xludf.DUMMYFUNCTION("""COMPUTED_VALUE"""),0.0)</f>
        <v>0</v>
      </c>
      <c r="AE254" s="39" t="str">
        <f>IFERROR(__xludf.DUMMYFUNCTION("""COMPUTED_VALUE"""),"Yuske Shibata")</f>
        <v>Yuske Shibata</v>
      </c>
      <c r="AF254" s="39" t="str">
        <f>IFERROR(__xludf.DUMMYFUNCTION("""COMPUTED_VALUE"""),"Credibility check")</f>
        <v>Credibility check</v>
      </c>
      <c r="AG254" s="39"/>
      <c r="AH254" s="39"/>
      <c r="AI254" s="165"/>
      <c r="AJ254" s="165"/>
      <c r="AK254" s="111" t="b">
        <f>IFERROR(__xludf.DUMMYFUNCTION("""COMPUTED_VALUE"""),FALSE)</f>
        <v>0</v>
      </c>
      <c r="AL254" s="111"/>
      <c r="AM254" s="111"/>
      <c r="AN254" s="111" t="str">
        <f>IFERROR(__xludf.DUMMYFUNCTION("""COMPUTED_VALUE"""),"記述が見つからない")</f>
        <v>記述が見つからない</v>
      </c>
      <c r="AO254" s="111" t="str">
        <f>IFERROR(__xludf.DUMMYFUNCTION("""COMPUTED_VALUE"""),"Hiroshi Yamakawa")</f>
        <v>Hiroshi Yamakawa</v>
      </c>
      <c r="AP254" s="111"/>
      <c r="AQ254" s="116"/>
      <c r="AR254" s="116"/>
      <c r="AS254" s="116"/>
    </row>
    <row r="255">
      <c r="A255" s="42" t="str">
        <f>IFERROR(__xludf.DUMMYFUNCTION("""COMPUTED_VALUE"""),"CA2")</f>
        <v>CA2</v>
      </c>
      <c r="B255" s="42" t="str">
        <f>IFERROR(__xludf.DUMMYFUNCTION("""COMPUTED_VALUE"""),"=")</f>
        <v>=</v>
      </c>
      <c r="C255" s="42" t="str">
        <f>IFERROR(__xludf.DUMMYFUNCTION("""COMPUTED_VALUE"""),"CA2")</f>
        <v>CA2</v>
      </c>
      <c r="D255" s="42" t="str">
        <f>IFERROR(__xludf.DUMMYFUNCTION("""COMPUTED_VALUE"""),"CA3")</f>
        <v>CA3</v>
      </c>
      <c r="E255" s="42" t="str">
        <f>IFERROR(__xludf.DUMMYFUNCTION("""COMPUTED_VALUE"""),"=")</f>
        <v>=</v>
      </c>
      <c r="F255" s="42" t="str">
        <f>IFERROR(__xludf.DUMMYFUNCTION("""COMPUTED_VALUE"""),"CA3")</f>
        <v>CA3</v>
      </c>
      <c r="G255" s="42"/>
      <c r="H255" s="42"/>
      <c r="I255" s="42" t="str">
        <f>IFERROR(__xludf.DUMMYFUNCTION("""COMPUTED_VALUE"""),"Kohara, 2013")</f>
        <v>Kohara, 2013</v>
      </c>
      <c r="J255" s="42" t="str">
        <f>IFERROR(__xludf.DUMMYFUNCTION("""COMPUTED_VALUE"""),"Mouse")</f>
        <v>Mouse</v>
      </c>
      <c r="K255" s="180" t="str">
        <f>IFERROR(__xludf.DUMMYFUNCTION("""COMPUTED_VALUE"""),"Optogenetic")</f>
        <v>Optogenetic</v>
      </c>
      <c r="L255" s="42" t="str">
        <f>IFERROR(__xludf.DUMMYFUNCTION("""COMPUTED_VALUE"""),":Unidentified the relevant description")</f>
        <v>:Unidentified the relevant description</v>
      </c>
      <c r="M255" s="42"/>
      <c r="N255" s="42"/>
      <c r="O255" s="31" t="str">
        <f>IFERROR(__xludf.DUMMYFUNCTION("""COMPUTED_VALUE"""),"DOC")</f>
        <v>DOC</v>
      </c>
      <c r="P255" s="9" t="str">
        <f>IFERROR(__xludf.DUMMYFUNCTION("""COMPUTED_VALUE"""),"Nature Neuroscience")</f>
        <v>Nature Neuroscience</v>
      </c>
      <c r="Q255" s="9" t="str">
        <f>IFERROR(__xludf.DUMMYFUNCTION("""COMPUTED_VALUE"""),"Experimental results")</f>
        <v>Experimental results</v>
      </c>
      <c r="R255" s="179" t="str">
        <f>IFERROR(__xludf.DUMMYFUNCTION("""COMPUTED_VALUE"""),"CA3 (00/14) [Kohara, 2013][Llorens-Martín, 2014];
")</f>
        <v>CA3 (00/14) [Kohara, 2013][Llorens-Martín, 2014];
</v>
      </c>
      <c r="S255" s="179" t="str">
        <f>IFERROR(__xludf.DUMMYFUNCTION("""COMPUTED_VALUE"""),"CA2CA3")</f>
        <v>CA2CA3</v>
      </c>
      <c r="T255" s="179" t="str">
        <f>IFERROR(__xludf.DUMMYFUNCTION("""COMPUTED_VALUE"""),"[Kohara, 2013]")</f>
        <v>[Kohara, 2013]</v>
      </c>
      <c r="U255" s="179">
        <f>IFERROR(__xludf.DUMMYFUNCTION("""COMPUTED_VALUE"""),1.0)</f>
        <v>1</v>
      </c>
      <c r="V255" s="180">
        <f>IFERROR(__xludf.DUMMYFUNCTION("""COMPUTED_VALUE"""),1.0)</f>
        <v>1</v>
      </c>
      <c r="W255" s="204">
        <f>IFERROR(__xludf.DUMMYFUNCTION("""COMPUTED_VALUE"""),0.95)</f>
        <v>0.95</v>
      </c>
      <c r="X255" s="42">
        <f>IFERROR(__xludf.DUMMYFUNCTION("""COMPUTED_VALUE"""),1.0)</f>
        <v>1</v>
      </c>
      <c r="Y255" s="42">
        <f>IFERROR(__xludf.DUMMYFUNCTION("""COMPUTED_VALUE"""),0.5)</f>
        <v>0.5</v>
      </c>
      <c r="Z255" s="9">
        <f>IFERROR(__xludf.DUMMYFUNCTION("""COMPUTED_VALUE"""),0.3)</f>
        <v>0.3</v>
      </c>
      <c r="AA255" s="181">
        <f>IFERROR(__xludf.DUMMYFUNCTION("""COMPUTED_VALUE"""),0.1425)</f>
        <v>0.1425</v>
      </c>
      <c r="AB255" s="181">
        <f>IFERROR(__xludf.DUMMYFUNCTION("""COMPUTED_VALUE"""),0.1425)</f>
        <v>0.1425</v>
      </c>
      <c r="AC255" s="179">
        <f>IFERROR(__xludf.DUMMYFUNCTION("""COMPUTED_VALUE"""),0.0)</f>
        <v>0</v>
      </c>
      <c r="AD255" s="165">
        <f>IFERROR(__xludf.DUMMYFUNCTION("""COMPUTED_VALUE"""),0.0)</f>
        <v>0</v>
      </c>
      <c r="AE255" s="39" t="str">
        <f>IFERROR(__xludf.DUMMYFUNCTION("""COMPUTED_VALUE"""),"Yuske Shibata")</f>
        <v>Yuske Shibata</v>
      </c>
      <c r="AF255" s="39" t="str">
        <f>IFERROR(__xludf.DUMMYFUNCTION("""COMPUTED_VALUE"""),"Credibility check")</f>
        <v>Credibility check</v>
      </c>
      <c r="AG255" s="39"/>
      <c r="AH255" s="39"/>
      <c r="AI255" s="165"/>
      <c r="AJ255" s="165"/>
      <c r="AK255" s="111" t="b">
        <f>IFERROR(__xludf.DUMMYFUNCTION("""COMPUTED_VALUE"""),FALSE)</f>
        <v>0</v>
      </c>
      <c r="AL255" s="111"/>
      <c r="AM255" s="111"/>
      <c r="AN255" s="111" t="str">
        <f>IFERROR(__xludf.DUMMYFUNCTION("""COMPUTED_VALUE"""),"(検査対象外）")</f>
        <v>(検査対象外）</v>
      </c>
      <c r="AO255" s="111" t="str">
        <f>IFERROR(__xludf.DUMMYFUNCTION("""COMPUTED_VALUE"""),"Hiroshi Yamakawa")</f>
        <v>Hiroshi Yamakawa</v>
      </c>
      <c r="AP255" s="111"/>
      <c r="AQ255" s="116"/>
      <c r="AR255" s="116"/>
      <c r="AS255" s="116"/>
    </row>
    <row r="256">
      <c r="A256" s="42" t="str">
        <f>IFERROR(__xludf.DUMMYFUNCTION("""COMPUTED_VALUE"""),"CA2")</f>
        <v>CA2</v>
      </c>
      <c r="B256" s="42" t="str">
        <f>IFERROR(__xludf.DUMMYFUNCTION("""COMPUTED_VALUE"""),"=")</f>
        <v>=</v>
      </c>
      <c r="C256" s="42" t="str">
        <f>IFERROR(__xludf.DUMMYFUNCTION("""COMPUTED_VALUE"""),"CA2")</f>
        <v>CA2</v>
      </c>
      <c r="D256" s="42" t="str">
        <f>IFERROR(__xludf.DUMMYFUNCTION("""COMPUTED_VALUE"""),"MEC_II")</f>
        <v>MEC_II</v>
      </c>
      <c r="E256" s="42" t="str">
        <f>IFERROR(__xludf.DUMMYFUNCTION("""COMPUTED_VALUE"""),"=")</f>
        <v>=</v>
      </c>
      <c r="F256" s="42" t="str">
        <f>IFERROR(__xludf.DUMMYFUNCTION("""COMPUTED_VALUE"""),"MEC_II")</f>
        <v>MEC_II</v>
      </c>
      <c r="G256" s="42"/>
      <c r="H256" s="42"/>
      <c r="I256" s="42" t="str">
        <f>IFERROR(__xludf.DUMMYFUNCTION("""COMPUTED_VALUE"""),"Llorens-Martín, 2014")</f>
        <v>Llorens-Martín, 2014</v>
      </c>
      <c r="J256" s="42"/>
      <c r="K256" s="42"/>
      <c r="L256" s="42"/>
      <c r="M256" s="42" t="str">
        <f>IFERROR(__xludf.DUMMYFUNCTION("""COMPUTED_VALUE"""),"Fig.1")</f>
        <v>Fig.1</v>
      </c>
      <c r="N256" s="42" t="str">
        <f>IFERROR(__xludf.DUMMYFUNCTION("""COMPUTED_VALUE"""),"Rowland et al., 2013")</f>
        <v>Rowland et al., 2013</v>
      </c>
      <c r="O256" s="31" t="str">
        <f>IFERROR(__xludf.DUMMYFUNCTION("""COMPUTED_VALUE"""),"DOC")</f>
        <v>DOC</v>
      </c>
      <c r="P256" s="9" t="str">
        <f>IFERROR(__xludf.DUMMYFUNCTION("""COMPUTED_VALUE"""),"Frontiers in Neuroanatomy")</f>
        <v>Frontiers in Neuroanatomy</v>
      </c>
      <c r="Q256" s="9" t="str">
        <f>IFERROR(__xludf.DUMMYFUNCTION("""COMPUTED_VALUE"""),"Hypothesis")</f>
        <v>Hypothesis</v>
      </c>
      <c r="R256" s="179" t="str">
        <f>IFERROR(__xludf.DUMMYFUNCTION("""COMPUTED_VALUE"""),"MEC_II (00/00) [Rowland, 2013][Llorens-Martín, 2014];
")</f>
        <v>MEC_II (00/00) [Rowland, 2013][Llorens-Martín, 2014];
</v>
      </c>
      <c r="S256" s="179" t="str">
        <f>IFERROR(__xludf.DUMMYFUNCTION("""COMPUTED_VALUE"""),"CA2MEC_II")</f>
        <v>CA2MEC_II</v>
      </c>
      <c r="T256" s="179" t="str">
        <f>IFERROR(__xludf.DUMMYFUNCTION("""COMPUTED_VALUE"""),"[Llorens-Martín, 2014]")</f>
        <v>[Llorens-Martín, 2014]</v>
      </c>
      <c r="U256" s="179">
        <f>IFERROR(__xludf.DUMMYFUNCTION("""COMPUTED_VALUE"""),1.0)</f>
        <v>1</v>
      </c>
      <c r="V256" s="180">
        <f>IFERROR(__xludf.DUMMYFUNCTION("""COMPUTED_VALUE"""),1.0)</f>
        <v>1</v>
      </c>
      <c r="W256" s="204">
        <f>IFERROR(__xludf.DUMMYFUNCTION("""COMPUTED_VALUE"""),0.95)</f>
        <v>0.95</v>
      </c>
      <c r="X256" s="42">
        <f>IFERROR(__xludf.DUMMYFUNCTION("""COMPUTED_VALUE"""),0.5)</f>
        <v>0.5</v>
      </c>
      <c r="Y256" s="42">
        <f>IFERROR(__xludf.DUMMYFUNCTION("""COMPUTED_VALUE"""),0.0)</f>
        <v>0</v>
      </c>
      <c r="Z256" s="9">
        <f>IFERROR(__xludf.DUMMYFUNCTION("""COMPUTED_VALUE"""),0.0)</f>
        <v>0</v>
      </c>
      <c r="AA256" s="181">
        <f>IFERROR(__xludf.DUMMYFUNCTION("""COMPUTED_VALUE"""),0.0)</f>
        <v>0</v>
      </c>
      <c r="AB256" s="181">
        <f>IFERROR(__xludf.DUMMYFUNCTION("""COMPUTED_VALUE"""),0.0)</f>
        <v>0</v>
      </c>
      <c r="AC256" s="179">
        <f>IFERROR(__xludf.DUMMYFUNCTION("""COMPUTED_VALUE"""),0.0)</f>
        <v>0</v>
      </c>
      <c r="AD256" s="165">
        <f>IFERROR(__xludf.DUMMYFUNCTION("""COMPUTED_VALUE"""),0.0)</f>
        <v>0</v>
      </c>
      <c r="AE256" s="39" t="str">
        <f>IFERROR(__xludf.DUMMYFUNCTION("""COMPUTED_VALUE"""),"Ayako Fukawa")</f>
        <v>Ayako Fukawa</v>
      </c>
      <c r="AF256" s="39" t="str">
        <f>IFERROR(__xludf.DUMMYFUNCTION("""COMPUTED_VALUE"""),"AT20HippocampalFormation")</f>
        <v>AT20HippocampalFormation</v>
      </c>
      <c r="AG256" s="39"/>
      <c r="AH256" s="39"/>
      <c r="AI256" s="165"/>
      <c r="AJ256" s="165"/>
      <c r="AK256" s="111" t="b">
        <f>IFERROR(__xludf.DUMMYFUNCTION("""COMPUTED_VALUE"""),TRUE)</f>
        <v>1</v>
      </c>
      <c r="AL256" s="111"/>
      <c r="AM256" s="111"/>
      <c r="AN256" s="111" t="str">
        <f>IFERROR(__xludf.DUMMYFUNCTION("""COMPUTED_VALUE"""),"◯左記の図中で、確認した。")</f>
        <v>◯左記の図中で、確認した。</v>
      </c>
      <c r="AO256" s="111" t="str">
        <f>IFERROR(__xludf.DUMMYFUNCTION("""COMPUTED_VALUE"""),"Hiroshi Yamakawa")</f>
        <v>Hiroshi Yamakawa</v>
      </c>
      <c r="AP256" s="111"/>
      <c r="AQ256" s="116"/>
      <c r="AR256" s="116"/>
      <c r="AS256" s="116"/>
    </row>
    <row r="257">
      <c r="A257" s="42" t="str">
        <f>IFERROR(__xludf.DUMMYFUNCTION("""COMPUTED_VALUE"""),"CA2")</f>
        <v>CA2</v>
      </c>
      <c r="B257" s="42" t="str">
        <f>IFERROR(__xludf.DUMMYFUNCTION("""COMPUTED_VALUE"""),"=")</f>
        <v>=</v>
      </c>
      <c r="C257" s="42" t="str">
        <f>IFERROR(__xludf.DUMMYFUNCTION("""COMPUTED_VALUE"""),"CA2")</f>
        <v>CA2</v>
      </c>
      <c r="D257" s="42" t="str">
        <f>IFERROR(__xludf.DUMMYFUNCTION("""COMPUTED_VALUE"""),"CA1")</f>
        <v>CA1</v>
      </c>
      <c r="E257" s="42" t="str">
        <f>IFERROR(__xludf.DUMMYFUNCTION("""COMPUTED_VALUE"""),"=")</f>
        <v>=</v>
      </c>
      <c r="F257" s="42" t="str">
        <f>IFERROR(__xludf.DUMMYFUNCTION("""COMPUTED_VALUE"""),"CA1")</f>
        <v>CA1</v>
      </c>
      <c r="G257" s="42"/>
      <c r="H257" s="42"/>
      <c r="I257" s="42" t="str">
        <f>IFERROR(__xludf.DUMMYFUNCTION("""COMPUTED_VALUE"""),"Llorens-Martín, 2014")</f>
        <v>Llorens-Martín, 2014</v>
      </c>
      <c r="J257" s="42"/>
      <c r="K257" s="180"/>
      <c r="L257" s="180" t="str">
        <f>IFERROR(__xludf.DUMMYFUNCTION("""COMPUTED_VALUE"""),"According to these studies DG cells also project to CA2, which in turn connects mainly with CA1.")</f>
        <v>According to these studies DG cells also project to CA2, which in turn connects mainly with CA1.</v>
      </c>
      <c r="M257" s="42"/>
      <c r="N257" s="42" t="str">
        <f>IFERROR(__xludf.DUMMYFUNCTION("""COMPUTED_VALUE"""),"Chevaleyre, 2010;
Jones and McHugh, 2011;
Cui et al., 2013;
Rowland et al., 2013; 
Kohara et al., 2014")</f>
        <v>Chevaleyre, 2010;
Jones and McHugh, 2011;
Cui et al., 2013;
Rowland et al., 2013; 
Kohara et al., 2014</v>
      </c>
      <c r="O257" s="31" t="str">
        <f>IFERROR(__xludf.DUMMYFUNCTION("""COMPUTED_VALUE"""),"DOC")</f>
        <v>DOC</v>
      </c>
      <c r="P257" s="9" t="str">
        <f>IFERROR(__xludf.DUMMYFUNCTION("""COMPUTED_VALUE"""),"Frontiers in Neuroanatomy")</f>
        <v>Frontiers in Neuroanatomy</v>
      </c>
      <c r="Q257" s="9" t="str">
        <f>IFERROR(__xludf.DUMMYFUNCTION("""COMPUTED_VALUE"""),"Hypothesis")</f>
        <v>Hypothesis</v>
      </c>
      <c r="R257" s="179" t="str">
        <f>IFERROR(__xludf.DUMMYFUNCTION("""COMPUTED_VALUE"""),"CA1 (00/19) [Chevaleyre, 2010][Llorens-Martín, 2014];
")</f>
        <v>CA1 (00/19) [Chevaleyre, 2010][Llorens-Martín, 2014];
</v>
      </c>
      <c r="S257" s="179" t="str">
        <f>IFERROR(__xludf.DUMMYFUNCTION("""COMPUTED_VALUE"""),"CA2CA1")</f>
        <v>CA2CA1</v>
      </c>
      <c r="T257" s="179" t="str">
        <f>IFERROR(__xludf.DUMMYFUNCTION("""COMPUTED_VALUE"""),"[Llorens-Martín, 2014]")</f>
        <v>[Llorens-Martín, 2014]</v>
      </c>
      <c r="U257" s="179">
        <f>IFERROR(__xludf.DUMMYFUNCTION("""COMPUTED_VALUE"""),1.0)</f>
        <v>1</v>
      </c>
      <c r="V257" s="180">
        <f>IFERROR(__xludf.DUMMYFUNCTION("""COMPUTED_VALUE"""),1.0)</f>
        <v>1</v>
      </c>
      <c r="W257" s="204">
        <f>IFERROR(__xludf.DUMMYFUNCTION("""COMPUTED_VALUE"""),0.95)</f>
        <v>0.95</v>
      </c>
      <c r="X257" s="42">
        <f>IFERROR(__xludf.DUMMYFUNCTION("""COMPUTED_VALUE"""),0.5)</f>
        <v>0.5</v>
      </c>
      <c r="Y257" s="42">
        <f>IFERROR(__xludf.DUMMYFUNCTION("""COMPUTED_VALUE"""),0.0)</f>
        <v>0</v>
      </c>
      <c r="Z257" s="9">
        <f>IFERROR(__xludf.DUMMYFUNCTION("""COMPUTED_VALUE"""),0.0)</f>
        <v>0</v>
      </c>
      <c r="AA257" s="181">
        <f>IFERROR(__xludf.DUMMYFUNCTION("""COMPUTED_VALUE"""),0.0)</f>
        <v>0</v>
      </c>
      <c r="AB257" s="181">
        <f>IFERROR(__xludf.DUMMYFUNCTION("""COMPUTED_VALUE"""),0.19)</f>
        <v>0.19</v>
      </c>
      <c r="AC257" s="179">
        <f>IFERROR(__xludf.DUMMYFUNCTION("""COMPUTED_VALUE"""),0.0)</f>
        <v>0</v>
      </c>
      <c r="AD257" s="165">
        <f>IFERROR(__xludf.DUMMYFUNCTION("""COMPUTED_VALUE"""),0.0)</f>
        <v>0</v>
      </c>
      <c r="AE257" s="39" t="str">
        <f>IFERROR(__xludf.DUMMYFUNCTION("""COMPUTED_VALUE"""),"Ayako Fukawa")</f>
        <v>Ayako Fukawa</v>
      </c>
      <c r="AF257" s="39" t="str">
        <f>IFERROR(__xludf.DUMMYFUNCTION("""COMPUTED_VALUE"""),"AT20HippocampalFormation")</f>
        <v>AT20HippocampalFormation</v>
      </c>
      <c r="AG257" s="39"/>
      <c r="AH257" s="39"/>
      <c r="AI257" s="165"/>
      <c r="AJ257" s="165"/>
      <c r="AK257" s="111" t="b">
        <f>IFERROR(__xludf.DUMMYFUNCTION("""COMPUTED_VALUE"""),TRUE)</f>
        <v>1</v>
      </c>
      <c r="AL257" s="111"/>
      <c r="AM257" s="111"/>
      <c r="AN257" s="111" t="str">
        <f>IFERROR(__xludf.DUMMYFUNCTION("""COMPUTED_VALUE"""),"◯左記の記述を確認した。")</f>
        <v>◯左記の記述を確認した。</v>
      </c>
      <c r="AO257" s="111" t="str">
        <f>IFERROR(__xludf.DUMMYFUNCTION("""COMPUTED_VALUE"""),"Hiroshi Yamakawa")</f>
        <v>Hiroshi Yamakawa</v>
      </c>
      <c r="AP257" s="111"/>
      <c r="AQ257" s="116"/>
      <c r="AR257" s="116"/>
      <c r="AS257" s="116"/>
    </row>
    <row r="258">
      <c r="A258" s="42" t="str">
        <f>IFERROR(__xludf.DUMMYFUNCTION("""COMPUTED_VALUE"""),"CA2")</f>
        <v>CA2</v>
      </c>
      <c r="B258" s="42" t="str">
        <f>IFERROR(__xludf.DUMMYFUNCTION("""COMPUTED_VALUE"""),"=")</f>
        <v>=</v>
      </c>
      <c r="C258" s="42" t="str">
        <f>IFERROR(__xludf.DUMMYFUNCTION("""COMPUTED_VALUE"""),"CA2")</f>
        <v>CA2</v>
      </c>
      <c r="D258" s="42" t="str">
        <f>IFERROR(__xludf.DUMMYFUNCTION("""COMPUTED_VALUE"""),"CA3")</f>
        <v>CA3</v>
      </c>
      <c r="E258" s="42" t="str">
        <f>IFERROR(__xludf.DUMMYFUNCTION("""COMPUTED_VALUE"""),"=")</f>
        <v>=</v>
      </c>
      <c r="F258" s="42" t="str">
        <f>IFERROR(__xludf.DUMMYFUNCTION("""COMPUTED_VALUE"""),"CA3")</f>
        <v>CA3</v>
      </c>
      <c r="G258" s="42"/>
      <c r="H258" s="42"/>
      <c r="I258" s="42" t="str">
        <f>IFERROR(__xludf.DUMMYFUNCTION("""COMPUTED_VALUE"""),"Llorens-Martín, 2014")</f>
        <v>Llorens-Martín, 2014</v>
      </c>
      <c r="J258" s="42" t="str">
        <f>IFERROR(__xludf.DUMMYFUNCTION("""COMPUTED_VALUE"""),"Mouse")</f>
        <v>Mouse</v>
      </c>
      <c r="K258" s="42" t="str">
        <f>IFERROR(__xludf.DUMMYFUNCTION("""COMPUTED_VALUE"""),"Optogenetic")</f>
        <v>Optogenetic</v>
      </c>
      <c r="L258" s="205" t="str">
        <f>IFERROR(__xludf.DUMMYFUNCTION("""COMPUTED_VALUE"""),"The pyramidal cell axons of CA2 terminate in stratum oriens and stratum radiatum of CA1. Furthermore, CA3 and CA2 are mutually connected and these connections are dominated by inhibition")</f>
        <v>The pyramidal cell axons of CA2 terminate in stratum oriens and stratum radiatum of CA1. Furthermore, CA3 and CA2 are mutually connected and these connections are dominated by inhibition</v>
      </c>
      <c r="M258" s="42">
        <f>IFERROR(__xludf.DUMMYFUNCTION("""COMPUTED_VALUE"""),1.0)</f>
        <v>1</v>
      </c>
      <c r="N258" s="42" t="str">
        <f>IFERROR(__xludf.DUMMYFUNCTION("""COMPUTED_VALUE"""),"Kohara et al., 2014")</f>
        <v>Kohara et al., 2014</v>
      </c>
      <c r="O258" s="31" t="str">
        <f>IFERROR(__xludf.DUMMYFUNCTION("""COMPUTED_VALUE"""),"DOC")</f>
        <v>DOC</v>
      </c>
      <c r="P258" s="9" t="str">
        <f>IFERROR(__xludf.DUMMYFUNCTION("""COMPUTED_VALUE"""),"Frontiers in Neuroanatomy")</f>
        <v>Frontiers in Neuroanatomy</v>
      </c>
      <c r="Q258" s="9" t="str">
        <f>IFERROR(__xludf.DUMMYFUNCTION("""COMPUTED_VALUE"""),"Hypothesis")</f>
        <v>Hypothesis</v>
      </c>
      <c r="R258" s="179" t="str">
        <f>IFERROR(__xludf.DUMMYFUNCTION("""COMPUTED_VALUE"""),"CA3 (00/14) [Kohara, 2013][Llorens-Martín, 2014];
")</f>
        <v>CA3 (00/14) [Kohara, 2013][Llorens-Martín, 2014];
</v>
      </c>
      <c r="S258" s="179" t="str">
        <f>IFERROR(__xludf.DUMMYFUNCTION("""COMPUTED_VALUE"""),"CA2CA3")</f>
        <v>CA2CA3</v>
      </c>
      <c r="T258" s="179" t="str">
        <f>IFERROR(__xludf.DUMMYFUNCTION("""COMPUTED_VALUE"""),"[Llorens-Martín, 2014]")</f>
        <v>[Llorens-Martín, 2014]</v>
      </c>
      <c r="U258" s="179">
        <f>IFERROR(__xludf.DUMMYFUNCTION("""COMPUTED_VALUE"""),1.0)</f>
        <v>1</v>
      </c>
      <c r="V258" s="180">
        <f>IFERROR(__xludf.DUMMYFUNCTION("""COMPUTED_VALUE"""),1.0)</f>
        <v>1</v>
      </c>
      <c r="W258" s="204">
        <f>IFERROR(__xludf.DUMMYFUNCTION("""COMPUTED_VALUE"""),0.95)</f>
        <v>0.95</v>
      </c>
      <c r="X258" s="42">
        <f>IFERROR(__xludf.DUMMYFUNCTION("""COMPUTED_VALUE"""),0.5)</f>
        <v>0.5</v>
      </c>
      <c r="Y258" s="42">
        <f>IFERROR(__xludf.DUMMYFUNCTION("""COMPUTED_VALUE"""),0.5)</f>
        <v>0.5</v>
      </c>
      <c r="Z258" s="9">
        <f>IFERROR(__xludf.DUMMYFUNCTION("""COMPUTED_VALUE"""),0.3)</f>
        <v>0.3</v>
      </c>
      <c r="AA258" s="181">
        <f>IFERROR(__xludf.DUMMYFUNCTION("""COMPUTED_VALUE"""),0.07125)</f>
        <v>0.07125</v>
      </c>
      <c r="AB258" s="181">
        <f>IFERROR(__xludf.DUMMYFUNCTION("""COMPUTED_VALUE"""),0.1425)</f>
        <v>0.1425</v>
      </c>
      <c r="AC258" s="179">
        <f>IFERROR(__xludf.DUMMYFUNCTION("""COMPUTED_VALUE"""),0.0)</f>
        <v>0</v>
      </c>
      <c r="AD258" s="165">
        <f>IFERROR(__xludf.DUMMYFUNCTION("""COMPUTED_VALUE"""),0.0)</f>
        <v>0</v>
      </c>
      <c r="AE258" s="39" t="str">
        <f>IFERROR(__xludf.DUMMYFUNCTION("""COMPUTED_VALUE"""),"Ayako Fukawa")</f>
        <v>Ayako Fukawa</v>
      </c>
      <c r="AF258" s="39" t="str">
        <f>IFERROR(__xludf.DUMMYFUNCTION("""COMPUTED_VALUE"""),"AT20HippocampalFormation")</f>
        <v>AT20HippocampalFormation</v>
      </c>
      <c r="AG258" s="39"/>
      <c r="AH258" s="39"/>
      <c r="AI258" s="165"/>
      <c r="AJ258" s="165"/>
      <c r="AK258" s="111" t="b">
        <f>IFERROR(__xludf.DUMMYFUNCTION("""COMPUTED_VALUE"""),TRUE)</f>
        <v>1</v>
      </c>
      <c r="AL258" s="111"/>
      <c r="AM258" s="111"/>
      <c r="AN258" s="111" t="str">
        <f>IFERROR(__xludf.DUMMYFUNCTION("""COMPUTED_VALUE"""),"◯左記の記述を確認した。")</f>
        <v>◯左記の記述を確認した。</v>
      </c>
      <c r="AO258" s="111" t="str">
        <f>IFERROR(__xludf.DUMMYFUNCTION("""COMPUTED_VALUE"""),"Hiroshi Yamakawa")</f>
        <v>Hiroshi Yamakawa</v>
      </c>
      <c r="AP258" s="111"/>
      <c r="AQ258" s="116"/>
      <c r="AR258" s="116"/>
      <c r="AS258" s="116"/>
    </row>
    <row r="259">
      <c r="A259" s="42" t="str">
        <f>IFERROR(__xludf.DUMMYFUNCTION("""COMPUTED_VALUE"""),"CA3")</f>
        <v>CA3</v>
      </c>
      <c r="B259" s="42"/>
      <c r="C259" s="42"/>
      <c r="D259" s="42" t="str">
        <f>IFERROR(__xludf.DUMMYFUNCTION("""COMPUTED_VALUE"""),"CA2")</f>
        <v>CA2</v>
      </c>
      <c r="E259" s="42"/>
      <c r="F259" s="42"/>
      <c r="G259" s="42"/>
      <c r="H259" s="42" t="str">
        <f>IFERROR(__xludf.DUMMYFUNCTION("""COMPUTED_VALUE"""),"")</f>
        <v/>
      </c>
      <c r="I259" s="42" t="str">
        <f>IFERROR(__xludf.DUMMYFUNCTION("""COMPUTED_VALUE"""),"Knierim, 2015")</f>
        <v>Knierim, 2015</v>
      </c>
      <c r="J259" s="42"/>
      <c r="K259" s="42"/>
      <c r="L259" s="42"/>
      <c r="M259" s="42"/>
      <c r="N259" s="42"/>
      <c r="O259" s="31" t="str">
        <f>IFERROR(__xludf.DUMMYFUNCTION("""COMPUTED_VALUE"""),"DOC")</f>
        <v>DOC</v>
      </c>
      <c r="P259" s="9" t="str">
        <f>IFERROR(__xludf.DUMMYFUNCTION("""COMPUTED_VALUE"""),"Current Biology")</f>
        <v>Current Biology</v>
      </c>
      <c r="Q259" s="9"/>
      <c r="R259" s="179" t="str">
        <f>IFERROR(__xludf.DUMMYFUNCTION("""COMPUTED_VALUE"""),"CA2 (00/10) [Knierim, 2015][Llorens-Martín, 2014];
")</f>
        <v>CA2 (00/10) [Knierim, 2015][Llorens-Martín, 2014];
</v>
      </c>
      <c r="S259" s="179" t="str">
        <f>IFERROR(__xludf.DUMMYFUNCTION("""COMPUTED_VALUE"""),"CA3CA2")</f>
        <v>CA3CA2</v>
      </c>
      <c r="T259" s="179" t="str">
        <f>IFERROR(__xludf.DUMMYFUNCTION("""COMPUTED_VALUE"""),"[Knierim, 2015]")</f>
        <v>[Knierim, 2015]</v>
      </c>
      <c r="U259" s="179">
        <f>IFERROR(__xludf.DUMMYFUNCTION("""COMPUTED_VALUE"""),0.0)</f>
        <v>0</v>
      </c>
      <c r="V259" s="180">
        <f>IFERROR(__xludf.DUMMYFUNCTION("""COMPUTED_VALUE"""),0.0)</f>
        <v>0</v>
      </c>
      <c r="W259" s="204">
        <f>IFERROR(__xludf.DUMMYFUNCTION("""COMPUTED_VALUE"""),0.95)</f>
        <v>0.95</v>
      </c>
      <c r="X259" s="42">
        <f>IFERROR(__xludf.DUMMYFUNCTION("""COMPUTED_VALUE"""),0.0)</f>
        <v>0</v>
      </c>
      <c r="Y259" s="42">
        <f>IFERROR(__xludf.DUMMYFUNCTION("""COMPUTED_VALUE"""),0.0)</f>
        <v>0</v>
      </c>
      <c r="Z259" s="9">
        <f>IFERROR(__xludf.DUMMYFUNCTION("""COMPUTED_VALUE"""),0.0)</f>
        <v>0</v>
      </c>
      <c r="AA259" s="181">
        <f>IFERROR(__xludf.DUMMYFUNCTION("""COMPUTED_VALUE"""),0.0)</f>
        <v>0</v>
      </c>
      <c r="AB259" s="181">
        <f>IFERROR(__xludf.DUMMYFUNCTION("""COMPUTED_VALUE"""),0.095)</f>
        <v>0.095</v>
      </c>
      <c r="AC259" s="179">
        <f>IFERROR(__xludf.DUMMYFUNCTION("""COMPUTED_VALUE"""),0.0)</f>
        <v>0</v>
      </c>
      <c r="AD259" s="165">
        <f>IFERROR(__xludf.DUMMYFUNCTION("""COMPUTED_VALUE"""),0.0)</f>
        <v>0</v>
      </c>
      <c r="AE259" s="39" t="str">
        <f>IFERROR(__xludf.DUMMYFUNCTION("""COMPUTED_VALUE"""),"Ayako Fukawa")</f>
        <v>Ayako Fukawa</v>
      </c>
      <c r="AF259" s="39" t="str">
        <f>IFERROR(__xludf.DUMMYFUNCTION("""COMPUTED_VALUE"""),"AT20HippocampalFormation")</f>
        <v>AT20HippocampalFormation</v>
      </c>
      <c r="AG259" s="39"/>
      <c r="AH259" s="39"/>
      <c r="AI259" s="165"/>
      <c r="AJ259" s="165"/>
      <c r="AK259" s="111"/>
      <c r="AL259" s="111"/>
      <c r="AM259" s="111"/>
      <c r="AN259" s="111"/>
      <c r="AO259" s="111"/>
      <c r="AP259" s="111"/>
      <c r="AQ259" s="116"/>
      <c r="AR259" s="116"/>
      <c r="AS259" s="116"/>
    </row>
    <row r="260">
      <c r="A260" s="42" t="str">
        <f>IFERROR(__xludf.DUMMYFUNCTION("""COMPUTED_VALUE"""),"CA3")</f>
        <v>CA3</v>
      </c>
      <c r="B260" s="42" t="str">
        <f>IFERROR(__xludf.DUMMYFUNCTION("""COMPUTED_VALUE"""),"=")</f>
        <v>=</v>
      </c>
      <c r="C260" s="42" t="str">
        <f>IFERROR(__xludf.DUMMYFUNCTION("""COMPUTED_VALUE"""),"CA3")</f>
        <v>CA3</v>
      </c>
      <c r="D260" s="42" t="str">
        <f>IFERROR(__xludf.DUMMYFUNCTION("""COMPUTED_VALUE"""),"CA2")</f>
        <v>CA2</v>
      </c>
      <c r="E260" s="42" t="str">
        <f>IFERROR(__xludf.DUMMYFUNCTION("""COMPUTED_VALUE"""),"=")</f>
        <v>=</v>
      </c>
      <c r="F260" s="42" t="str">
        <f>IFERROR(__xludf.DUMMYFUNCTION("""COMPUTED_VALUE"""),"CA2")</f>
        <v>CA2</v>
      </c>
      <c r="G260" s="42"/>
      <c r="H260" s="42"/>
      <c r="I260" s="42" t="str">
        <f>IFERROR(__xludf.DUMMYFUNCTION("""COMPUTED_VALUE"""),"Llorens-Martín, 2014")</f>
        <v>Llorens-Martín, 2014</v>
      </c>
      <c r="J260" s="42" t="str">
        <f>IFERROR(__xludf.DUMMYFUNCTION("""COMPUTED_VALUE"""),"Mouse")</f>
        <v>Mouse</v>
      </c>
      <c r="K260" s="42" t="str">
        <f>IFERROR(__xludf.DUMMYFUNCTION("""COMPUTED_VALUE"""),"Electro physiology")</f>
        <v>Electro physiology</v>
      </c>
      <c r="L260" s="42"/>
      <c r="M260" s="42" t="str">
        <f>IFERROR(__xludf.DUMMYFUNCTION("""COMPUTED_VALUE"""),"Fig.1")</f>
        <v>Fig.1</v>
      </c>
      <c r="N260" s="42" t="str">
        <f>IFERROR(__xludf.DUMMYFUNCTION("""COMPUTED_VALUE"""),"Chevaleyre, 2010")</f>
        <v>Chevaleyre, 2010</v>
      </c>
      <c r="O260" s="31" t="str">
        <f>IFERROR(__xludf.DUMMYFUNCTION("""COMPUTED_VALUE"""),"DOC")</f>
        <v>DOC</v>
      </c>
      <c r="P260" s="9" t="str">
        <f>IFERROR(__xludf.DUMMYFUNCTION("""COMPUTED_VALUE"""),"Frontiers in Neuroanatomy")</f>
        <v>Frontiers in Neuroanatomy</v>
      </c>
      <c r="Q260" s="9" t="str">
        <f>IFERROR(__xludf.DUMMYFUNCTION("""COMPUTED_VALUE"""),"Hypothesis")</f>
        <v>Hypothesis</v>
      </c>
      <c r="R260" s="179" t="str">
        <f>IFERROR(__xludf.DUMMYFUNCTION("""COMPUTED_VALUE"""),"CA2 (00/10) [Knierim, 2015][Llorens-Martín, 2014];
")</f>
        <v>CA2 (00/10) [Knierim, 2015][Llorens-Martín, 2014];
</v>
      </c>
      <c r="S260" s="179" t="str">
        <f>IFERROR(__xludf.DUMMYFUNCTION("""COMPUTED_VALUE"""),"CA3CA2")</f>
        <v>CA3CA2</v>
      </c>
      <c r="T260" s="179" t="str">
        <f>IFERROR(__xludf.DUMMYFUNCTION("""COMPUTED_VALUE"""),"[Llorens-Martín, 2014]")</f>
        <v>[Llorens-Martín, 2014]</v>
      </c>
      <c r="U260" s="179">
        <f>IFERROR(__xludf.DUMMYFUNCTION("""COMPUTED_VALUE"""),1.0)</f>
        <v>1</v>
      </c>
      <c r="V260" s="180">
        <f>IFERROR(__xludf.DUMMYFUNCTION("""COMPUTED_VALUE"""),1.0)</f>
        <v>1</v>
      </c>
      <c r="W260" s="204">
        <f>IFERROR(__xludf.DUMMYFUNCTION("""COMPUTED_VALUE"""),0.95)</f>
        <v>0.95</v>
      </c>
      <c r="X260" s="42">
        <f>IFERROR(__xludf.DUMMYFUNCTION("""COMPUTED_VALUE"""),0.5)</f>
        <v>0.5</v>
      </c>
      <c r="Y260" s="42">
        <f>IFERROR(__xludf.DUMMYFUNCTION("""COMPUTED_VALUE"""),0.5)</f>
        <v>0.5</v>
      </c>
      <c r="Z260" s="9">
        <f>IFERROR(__xludf.DUMMYFUNCTION("""COMPUTED_VALUE"""),0.4)</f>
        <v>0.4</v>
      </c>
      <c r="AA260" s="181">
        <f>IFERROR(__xludf.DUMMYFUNCTION("""COMPUTED_VALUE"""),0.095)</f>
        <v>0.095</v>
      </c>
      <c r="AB260" s="181">
        <f>IFERROR(__xludf.DUMMYFUNCTION("""COMPUTED_VALUE"""),0.095)</f>
        <v>0.095</v>
      </c>
      <c r="AC260" s="179">
        <f>IFERROR(__xludf.DUMMYFUNCTION("""COMPUTED_VALUE"""),0.0)</f>
        <v>0</v>
      </c>
      <c r="AD260" s="165">
        <f>IFERROR(__xludf.DUMMYFUNCTION("""COMPUTED_VALUE"""),0.0)</f>
        <v>0</v>
      </c>
      <c r="AE260" s="39" t="str">
        <f>IFERROR(__xludf.DUMMYFUNCTION("""COMPUTED_VALUE"""),"Ayako Fukawa")</f>
        <v>Ayako Fukawa</v>
      </c>
      <c r="AF260" s="39" t="str">
        <f>IFERROR(__xludf.DUMMYFUNCTION("""COMPUTED_VALUE"""),"AT20HippocampalFormation")</f>
        <v>AT20HippocampalFormation</v>
      </c>
      <c r="AG260" s="39"/>
      <c r="AH260" s="39"/>
      <c r="AI260" s="165"/>
      <c r="AJ260" s="165"/>
      <c r="AK260" s="111" t="b">
        <f>IFERROR(__xludf.DUMMYFUNCTION("""COMPUTED_VALUE"""),TRUE)</f>
        <v>1</v>
      </c>
      <c r="AL260" s="111"/>
      <c r="AM260" s="111"/>
      <c r="AN260" s="111" t="str">
        <f>IFERROR(__xludf.DUMMYFUNCTION("""COMPUTED_VALUE"""),"◯左記の図中で、確認した。")</f>
        <v>◯左記の図中で、確認した。</v>
      </c>
      <c r="AO260" s="111" t="str">
        <f>IFERROR(__xludf.DUMMYFUNCTION("""COMPUTED_VALUE"""),"Hiroshi Yamakawa")</f>
        <v>Hiroshi Yamakawa</v>
      </c>
      <c r="AP260" s="111"/>
      <c r="AQ260" s="116"/>
      <c r="AR260" s="116"/>
      <c r="AS260" s="116"/>
    </row>
    <row r="261">
      <c r="A261" s="42" t="str">
        <f>IFERROR(__xludf.DUMMYFUNCTION("""COMPUTED_VALUE"""),"CA3")</f>
        <v>CA3</v>
      </c>
      <c r="B261" s="42"/>
      <c r="C261" s="42"/>
      <c r="D261" s="42" t="str">
        <f>IFERROR(__xludf.DUMMYFUNCTION("""COMPUTED_VALUE"""),"CA1_distal")</f>
        <v>CA1_distal</v>
      </c>
      <c r="E261" s="42"/>
      <c r="F261" s="42"/>
      <c r="G261" s="42"/>
      <c r="H261" s="42" t="str">
        <f>IFERROR(__xludf.DUMMYFUNCTION("""COMPUTED_VALUE"""),"")</f>
        <v/>
      </c>
      <c r="I261" s="42" t="str">
        <f>IFERROR(__xludf.DUMMYFUNCTION("""COMPUTED_VALUE"""),"Knierim, 2015")</f>
        <v>Knierim, 2015</v>
      </c>
      <c r="J261" s="42"/>
      <c r="K261" s="42"/>
      <c r="L261" s="42"/>
      <c r="M261" s="42"/>
      <c r="N261" s="42"/>
      <c r="O261" s="31" t="str">
        <f>IFERROR(__xludf.DUMMYFUNCTION("""COMPUTED_VALUE"""),"DOC")</f>
        <v>DOC</v>
      </c>
      <c r="P261" s="9" t="str">
        <f>IFERROR(__xludf.DUMMYFUNCTION("""COMPUTED_VALUE"""),"Current Biology")</f>
        <v>Current Biology</v>
      </c>
      <c r="Q261" s="9"/>
      <c r="R261" s="179" t="str">
        <f>IFERROR(__xludf.DUMMYFUNCTION("""COMPUTED_VALUE"""),"CA1_distal (00/00) [Knierim, 2015];
")</f>
        <v>CA1_distal (00/00) [Knierim, 2015];
</v>
      </c>
      <c r="S261" s="179" t="str">
        <f>IFERROR(__xludf.DUMMYFUNCTION("""COMPUTED_VALUE"""),"CA3CA1_distal")</f>
        <v>CA3CA1_distal</v>
      </c>
      <c r="T261" s="179" t="str">
        <f>IFERROR(__xludf.DUMMYFUNCTION("""COMPUTED_VALUE"""),"[Knierim, 2015]")</f>
        <v>[Knierim, 2015]</v>
      </c>
      <c r="U261" s="179">
        <f>IFERROR(__xludf.DUMMYFUNCTION("""COMPUTED_VALUE"""),0.0)</f>
        <v>0</v>
      </c>
      <c r="V261" s="180">
        <f>IFERROR(__xludf.DUMMYFUNCTION("""COMPUTED_VALUE"""),0.0)</f>
        <v>0</v>
      </c>
      <c r="W261" s="180">
        <f>IFERROR(__xludf.DUMMYFUNCTION("""COMPUTED_VALUE"""),0.95)</f>
        <v>0.95</v>
      </c>
      <c r="X261" s="42">
        <f>IFERROR(__xludf.DUMMYFUNCTION("""COMPUTED_VALUE"""),0.0)</f>
        <v>0</v>
      </c>
      <c r="Y261" s="42">
        <f>IFERROR(__xludf.DUMMYFUNCTION("""COMPUTED_VALUE"""),0.0)</f>
        <v>0</v>
      </c>
      <c r="Z261" s="9">
        <f>IFERROR(__xludf.DUMMYFUNCTION("""COMPUTED_VALUE"""),0.0)</f>
        <v>0</v>
      </c>
      <c r="AA261" s="181">
        <f>IFERROR(__xludf.DUMMYFUNCTION("""COMPUTED_VALUE"""),0.0)</f>
        <v>0</v>
      </c>
      <c r="AB261" s="181">
        <f>IFERROR(__xludf.DUMMYFUNCTION("""COMPUTED_VALUE"""),0.0)</f>
        <v>0</v>
      </c>
      <c r="AC261" s="179">
        <f>IFERROR(__xludf.DUMMYFUNCTION("""COMPUTED_VALUE"""),0.0)</f>
        <v>0</v>
      </c>
      <c r="AD261" s="165">
        <f>IFERROR(__xludf.DUMMYFUNCTION("""COMPUTED_VALUE"""),0.0)</f>
        <v>0</v>
      </c>
      <c r="AE261" s="39" t="str">
        <f>IFERROR(__xludf.DUMMYFUNCTION("""COMPUTED_VALUE"""),"Ayako Fukawa")</f>
        <v>Ayako Fukawa</v>
      </c>
      <c r="AF261" s="39" t="str">
        <f>IFERROR(__xludf.DUMMYFUNCTION("""COMPUTED_VALUE"""),"AT20HippocampalFormation")</f>
        <v>AT20HippocampalFormation</v>
      </c>
      <c r="AG261" s="39"/>
      <c r="AH261" s="39"/>
      <c r="AI261" s="165"/>
      <c r="AJ261" s="165"/>
      <c r="AK261" s="111"/>
      <c r="AL261" s="111"/>
      <c r="AM261" s="111"/>
      <c r="AN261" s="111"/>
      <c r="AO261" s="111"/>
      <c r="AP261" s="111"/>
      <c r="AQ261" s="116"/>
      <c r="AR261" s="116"/>
      <c r="AS261" s="116"/>
    </row>
    <row r="262">
      <c r="A262" s="42" t="str">
        <f>IFERROR(__xludf.DUMMYFUNCTION("""COMPUTED_VALUE"""),"CA3")</f>
        <v>CA3</v>
      </c>
      <c r="B262" s="42"/>
      <c r="C262" s="42"/>
      <c r="D262" s="42" t="str">
        <f>IFERROR(__xludf.DUMMYFUNCTION("""COMPUTED_VALUE"""),"CA1_proximal")</f>
        <v>CA1_proximal</v>
      </c>
      <c r="E262" s="42"/>
      <c r="F262" s="42"/>
      <c r="G262" s="42"/>
      <c r="H262" s="42" t="str">
        <f>IFERROR(__xludf.DUMMYFUNCTION("""COMPUTED_VALUE"""),"")</f>
        <v/>
      </c>
      <c r="I262" s="42" t="str">
        <f>IFERROR(__xludf.DUMMYFUNCTION("""COMPUTED_VALUE"""),"Knierim, 2015")</f>
        <v>Knierim, 2015</v>
      </c>
      <c r="J262" s="42"/>
      <c r="K262" s="42"/>
      <c r="L262" s="42"/>
      <c r="M262" s="42"/>
      <c r="N262" s="42"/>
      <c r="O262" s="31" t="str">
        <f>IFERROR(__xludf.DUMMYFUNCTION("""COMPUTED_VALUE"""),"DOC")</f>
        <v>DOC</v>
      </c>
      <c r="P262" s="9" t="str">
        <f>IFERROR(__xludf.DUMMYFUNCTION("""COMPUTED_VALUE"""),"Current Biology")</f>
        <v>Current Biology</v>
      </c>
      <c r="Q262" s="9"/>
      <c r="R262" s="179" t="str">
        <f>IFERROR(__xludf.DUMMYFUNCTION("""COMPUTED_VALUE"""),"CA1_proximal (00/00) [Knierim, 2015][Witter, 2000];
")</f>
        <v>CA1_proximal (00/00) [Knierim, 2015][Witter, 2000];
</v>
      </c>
      <c r="S262" s="179" t="str">
        <f>IFERROR(__xludf.DUMMYFUNCTION("""COMPUTED_VALUE"""),"CA3CA1_proximal")</f>
        <v>CA3CA1_proximal</v>
      </c>
      <c r="T262" s="179" t="str">
        <f>IFERROR(__xludf.DUMMYFUNCTION("""COMPUTED_VALUE"""),"[Knierim, 2015]")</f>
        <v>[Knierim, 2015]</v>
      </c>
      <c r="U262" s="179">
        <f>IFERROR(__xludf.DUMMYFUNCTION("""COMPUTED_VALUE"""),0.0)</f>
        <v>0</v>
      </c>
      <c r="V262" s="180">
        <f>IFERROR(__xludf.DUMMYFUNCTION("""COMPUTED_VALUE"""),0.0)</f>
        <v>0</v>
      </c>
      <c r="W262" s="180">
        <f>IFERROR(__xludf.DUMMYFUNCTION("""COMPUTED_VALUE"""),0.95)</f>
        <v>0.95</v>
      </c>
      <c r="X262" s="42">
        <f>IFERROR(__xludf.DUMMYFUNCTION("""COMPUTED_VALUE"""),0.0)</f>
        <v>0</v>
      </c>
      <c r="Y262" s="42">
        <f>IFERROR(__xludf.DUMMYFUNCTION("""COMPUTED_VALUE"""),0.0)</f>
        <v>0</v>
      </c>
      <c r="Z262" s="9">
        <f>IFERROR(__xludf.DUMMYFUNCTION("""COMPUTED_VALUE"""),0.0)</f>
        <v>0</v>
      </c>
      <c r="AA262" s="181">
        <f>IFERROR(__xludf.DUMMYFUNCTION("""COMPUTED_VALUE"""),0.0)</f>
        <v>0</v>
      </c>
      <c r="AB262" s="181">
        <f>IFERROR(__xludf.DUMMYFUNCTION("""COMPUTED_VALUE"""),0.0)</f>
        <v>0</v>
      </c>
      <c r="AC262" s="179">
        <f>IFERROR(__xludf.DUMMYFUNCTION("""COMPUTED_VALUE"""),0.0)</f>
        <v>0</v>
      </c>
      <c r="AD262" s="165">
        <f>IFERROR(__xludf.DUMMYFUNCTION("""COMPUTED_VALUE"""),0.0)</f>
        <v>0</v>
      </c>
      <c r="AE262" s="39" t="str">
        <f>IFERROR(__xludf.DUMMYFUNCTION("""COMPUTED_VALUE"""),"Ayako Fukawa")</f>
        <v>Ayako Fukawa</v>
      </c>
      <c r="AF262" s="39" t="str">
        <f>IFERROR(__xludf.DUMMYFUNCTION("""COMPUTED_VALUE"""),"AT20HippocampalFormation")</f>
        <v>AT20HippocampalFormation</v>
      </c>
      <c r="AG262" s="39"/>
      <c r="AH262" s="39"/>
      <c r="AI262" s="165"/>
      <c r="AJ262" s="165"/>
      <c r="AK262" s="111"/>
      <c r="AL262" s="111"/>
      <c r="AM262" s="111"/>
      <c r="AN262" s="111"/>
      <c r="AO262" s="111"/>
      <c r="AP262" s="111"/>
      <c r="AQ262" s="116"/>
      <c r="AR262" s="116"/>
      <c r="AS262" s="116"/>
    </row>
    <row r="263">
      <c r="A263" s="42" t="str">
        <f>IFERROR(__xludf.DUMMYFUNCTION("""COMPUTED_VALUE"""),"CA3")</f>
        <v>CA3</v>
      </c>
      <c r="B263" s="42"/>
      <c r="C263" s="42"/>
      <c r="D263" s="42" t="str">
        <f>IFERROR(__xludf.DUMMYFUNCTION("""COMPUTED_VALUE"""),"CA3")</f>
        <v>CA3</v>
      </c>
      <c r="E263" s="42"/>
      <c r="F263" s="42"/>
      <c r="G263" s="42"/>
      <c r="H263" s="42" t="str">
        <f>IFERROR(__xludf.DUMMYFUNCTION("""COMPUTED_VALUE"""),"")</f>
        <v/>
      </c>
      <c r="I263" s="42" t="str">
        <f>IFERROR(__xludf.DUMMYFUNCTION("""COMPUTED_VALUE"""),"Knierim, 2015")</f>
        <v>Knierim, 2015</v>
      </c>
      <c r="J263" s="42"/>
      <c r="K263" s="42"/>
      <c r="L263" s="42"/>
      <c r="M263" s="42"/>
      <c r="N263" s="42"/>
      <c r="O263" s="31" t="str">
        <f>IFERROR(__xludf.DUMMYFUNCTION("""COMPUTED_VALUE"""),"DOC")</f>
        <v>DOC</v>
      </c>
      <c r="P263" s="9" t="str">
        <f>IFERROR(__xludf.DUMMYFUNCTION("""COMPUTED_VALUE"""),"Current Biology")</f>
        <v>Current Biology</v>
      </c>
      <c r="Q263" s="9"/>
      <c r="R263" s="179" t="str">
        <f>IFERROR(__xludf.DUMMYFUNCTION("""COMPUTED_VALUE"""),"CA3 (00/00) [Knierim, 2015];
")</f>
        <v>CA3 (00/00) [Knierim, 2015];
</v>
      </c>
      <c r="S263" s="179" t="str">
        <f>IFERROR(__xludf.DUMMYFUNCTION("""COMPUTED_VALUE"""),"CA3CA3")</f>
        <v>CA3CA3</v>
      </c>
      <c r="T263" s="179" t="str">
        <f>IFERROR(__xludf.DUMMYFUNCTION("""COMPUTED_VALUE"""),"[Knierim, 2015]")</f>
        <v>[Knierim, 2015]</v>
      </c>
      <c r="U263" s="179">
        <f>IFERROR(__xludf.DUMMYFUNCTION("""COMPUTED_VALUE"""),0.0)</f>
        <v>0</v>
      </c>
      <c r="V263" s="180">
        <f>IFERROR(__xludf.DUMMYFUNCTION("""COMPUTED_VALUE"""),0.0)</f>
        <v>0</v>
      </c>
      <c r="W263" s="180">
        <f>IFERROR(__xludf.DUMMYFUNCTION("""COMPUTED_VALUE"""),0.95)</f>
        <v>0.95</v>
      </c>
      <c r="X263" s="42">
        <f>IFERROR(__xludf.DUMMYFUNCTION("""COMPUTED_VALUE"""),0.0)</f>
        <v>0</v>
      </c>
      <c r="Y263" s="42">
        <f>IFERROR(__xludf.DUMMYFUNCTION("""COMPUTED_VALUE"""),0.0)</f>
        <v>0</v>
      </c>
      <c r="Z263" s="9">
        <f>IFERROR(__xludf.DUMMYFUNCTION("""COMPUTED_VALUE"""),0.0)</f>
        <v>0</v>
      </c>
      <c r="AA263" s="181">
        <f>IFERROR(__xludf.DUMMYFUNCTION("""COMPUTED_VALUE"""),0.0)</f>
        <v>0</v>
      </c>
      <c r="AB263" s="181">
        <f>IFERROR(__xludf.DUMMYFUNCTION("""COMPUTED_VALUE"""),0.0)</f>
        <v>0</v>
      </c>
      <c r="AC263" s="179">
        <f>IFERROR(__xludf.DUMMYFUNCTION("""COMPUTED_VALUE"""),0.0)</f>
        <v>0</v>
      </c>
      <c r="AD263" s="165">
        <f>IFERROR(__xludf.DUMMYFUNCTION("""COMPUTED_VALUE"""),0.0)</f>
        <v>0</v>
      </c>
      <c r="AE263" s="39" t="str">
        <f>IFERROR(__xludf.DUMMYFUNCTION("""COMPUTED_VALUE"""),"Ayako Fukawa")</f>
        <v>Ayako Fukawa</v>
      </c>
      <c r="AF263" s="39" t="str">
        <f>IFERROR(__xludf.DUMMYFUNCTION("""COMPUTED_VALUE"""),"AT20HippocampalFormation")</f>
        <v>AT20HippocampalFormation</v>
      </c>
      <c r="AG263" s="39"/>
      <c r="AH263" s="39"/>
      <c r="AI263" s="165"/>
      <c r="AJ263" s="165"/>
      <c r="AK263" s="111"/>
      <c r="AL263" s="111"/>
      <c r="AM263" s="111"/>
      <c r="AN263" s="111"/>
      <c r="AO263" s="111"/>
      <c r="AP263" s="111"/>
      <c r="AQ263" s="116"/>
      <c r="AR263" s="116"/>
      <c r="AS263" s="116"/>
    </row>
    <row r="264">
      <c r="A264" s="42" t="str">
        <f>IFERROR(__xludf.DUMMYFUNCTION("""COMPUTED_VALUE"""),"CA3")</f>
        <v>CA3</v>
      </c>
      <c r="B264" s="42" t="str">
        <f>IFERROR(__xludf.DUMMYFUNCTION("""COMPUTED_VALUE"""),"=")</f>
        <v>=</v>
      </c>
      <c r="C264" s="42" t="str">
        <f>IFERROR(__xludf.DUMMYFUNCTION("""COMPUTED_VALUE"""),"CA3")</f>
        <v>CA3</v>
      </c>
      <c r="D264" s="42" t="str">
        <f>IFERROR(__xludf.DUMMYFUNCTION("""COMPUTED_VALUE"""),"DG")</f>
        <v>DG</v>
      </c>
      <c r="E264" s="42" t="str">
        <f>IFERROR(__xludf.DUMMYFUNCTION("""COMPUTED_VALUE"""),"=")</f>
        <v>=</v>
      </c>
      <c r="F264" s="42" t="str">
        <f>IFERROR(__xludf.DUMMYFUNCTION("""COMPUTED_VALUE"""),"DG")</f>
        <v>DG</v>
      </c>
      <c r="G264" s="42"/>
      <c r="H264" s="42"/>
      <c r="I264" s="42" t="str">
        <f>IFERROR(__xludf.DUMMYFUNCTION("""COMPUTED_VALUE"""),"Llorens-Martín, 2014")</f>
        <v>Llorens-Martín, 2014</v>
      </c>
      <c r="J264" s="42"/>
      <c r="K264" s="42"/>
      <c r="L264" s="42"/>
      <c r="M264" s="42" t="str">
        <f>IFERROR(__xludf.DUMMYFUNCTION("""COMPUTED_VALUE"""),"Fig.1")</f>
        <v>Fig.1</v>
      </c>
      <c r="N264" s="42"/>
      <c r="O264" s="31" t="str">
        <f>IFERROR(__xludf.DUMMYFUNCTION("""COMPUTED_VALUE"""),"DOC")</f>
        <v>DOC</v>
      </c>
      <c r="P264" s="9" t="str">
        <f>IFERROR(__xludf.DUMMYFUNCTION("""COMPUTED_VALUE"""),"Frontiers in Neuroanatomy")</f>
        <v>Frontiers in Neuroanatomy</v>
      </c>
      <c r="Q264" s="9" t="str">
        <f>IFERROR(__xludf.DUMMYFUNCTION("""COMPUTED_VALUE"""),"Hypothesis")</f>
        <v>Hypothesis</v>
      </c>
      <c r="R264" s="179" t="str">
        <f>IFERROR(__xludf.DUMMYFUNCTION("""COMPUTED_VALUE"""),"DG (00/00) [Llorens-Martín, 2014];
")</f>
        <v>DG (00/00) [Llorens-Martín, 2014];
</v>
      </c>
      <c r="S264" s="179" t="str">
        <f>IFERROR(__xludf.DUMMYFUNCTION("""COMPUTED_VALUE"""),"CA3DG")</f>
        <v>CA3DG</v>
      </c>
      <c r="T264" s="179" t="str">
        <f>IFERROR(__xludf.DUMMYFUNCTION("""COMPUTED_VALUE"""),"[Llorens-Martín, 2014]")</f>
        <v>[Llorens-Martín, 2014]</v>
      </c>
      <c r="U264" s="179">
        <f>IFERROR(__xludf.DUMMYFUNCTION("""COMPUTED_VALUE"""),1.0)</f>
        <v>1</v>
      </c>
      <c r="V264" s="180">
        <f>IFERROR(__xludf.DUMMYFUNCTION("""COMPUTED_VALUE"""),1.0)</f>
        <v>1</v>
      </c>
      <c r="W264" s="180">
        <f>IFERROR(__xludf.DUMMYFUNCTION("""COMPUTED_VALUE"""),0.95)</f>
        <v>0.95</v>
      </c>
      <c r="X264" s="42">
        <f>IFERROR(__xludf.DUMMYFUNCTION("""COMPUTED_VALUE"""),0.5)</f>
        <v>0.5</v>
      </c>
      <c r="Y264" s="42">
        <f>IFERROR(__xludf.DUMMYFUNCTION("""COMPUTED_VALUE"""),0.0)</f>
        <v>0</v>
      </c>
      <c r="Z264" s="9">
        <f>IFERROR(__xludf.DUMMYFUNCTION("""COMPUTED_VALUE"""),0.0)</f>
        <v>0</v>
      </c>
      <c r="AA264" s="181">
        <f>IFERROR(__xludf.DUMMYFUNCTION("""COMPUTED_VALUE"""),0.0)</f>
        <v>0</v>
      </c>
      <c r="AB264" s="181">
        <f>IFERROR(__xludf.DUMMYFUNCTION("""COMPUTED_VALUE"""),0.0)</f>
        <v>0</v>
      </c>
      <c r="AC264" s="179">
        <f>IFERROR(__xludf.DUMMYFUNCTION("""COMPUTED_VALUE"""),0.0)</f>
        <v>0</v>
      </c>
      <c r="AD264" s="165">
        <f>IFERROR(__xludf.DUMMYFUNCTION("""COMPUTED_VALUE"""),0.0)</f>
        <v>0</v>
      </c>
      <c r="AE264" s="39" t="str">
        <f>IFERROR(__xludf.DUMMYFUNCTION("""COMPUTED_VALUE"""),"Ayako Fukawa")</f>
        <v>Ayako Fukawa</v>
      </c>
      <c r="AF264" s="39" t="str">
        <f>IFERROR(__xludf.DUMMYFUNCTION("""COMPUTED_VALUE"""),"AT20HippocampalFormation")</f>
        <v>AT20HippocampalFormation</v>
      </c>
      <c r="AG264" s="39"/>
      <c r="AH264" s="39"/>
      <c r="AI264" s="165"/>
      <c r="AJ264" s="165"/>
      <c r="AK264" s="111" t="b">
        <f>IFERROR(__xludf.DUMMYFUNCTION("""COMPUTED_VALUE"""),TRUE)</f>
        <v>1</v>
      </c>
      <c r="AL264" s="111"/>
      <c r="AM264" s="111"/>
      <c r="AN264" s="111" t="str">
        <f>IFERROR(__xludf.DUMMYFUNCTION("""COMPUTED_VALUE"""),"◯左記の図中で、確認した。")</f>
        <v>◯左記の図中で、確認した。</v>
      </c>
      <c r="AO264" s="111" t="str">
        <f>IFERROR(__xludf.DUMMYFUNCTION("""COMPUTED_VALUE"""),"Hiroshi Yamakawa")</f>
        <v>Hiroshi Yamakawa</v>
      </c>
      <c r="AP264" s="111"/>
      <c r="AQ264" s="116"/>
      <c r="AR264" s="116"/>
      <c r="AS264" s="116"/>
    </row>
    <row r="265">
      <c r="A265" s="42" t="str">
        <f>IFERROR(__xludf.DUMMYFUNCTION("""COMPUTED_VALUE"""),"CA3")</f>
        <v>CA3</v>
      </c>
      <c r="B265" s="42"/>
      <c r="C265" s="42"/>
      <c r="D265" s="42" t="str">
        <f>IFERROR(__xludf.DUMMYFUNCTION("""COMPUTED_VALUE"""),"CA1_proximal")</f>
        <v>CA1_proximal</v>
      </c>
      <c r="E265" s="42"/>
      <c r="F265" s="42"/>
      <c r="G265" s="42"/>
      <c r="H265" s="42" t="str">
        <f>IFERROR(__xludf.DUMMYFUNCTION("""COMPUTED_VALUE"""),"")</f>
        <v/>
      </c>
      <c r="I265" s="42" t="str">
        <f>IFERROR(__xludf.DUMMYFUNCTION("""COMPUTED_VALUE"""),"Witter, 2000")</f>
        <v>Witter, 2000</v>
      </c>
      <c r="J265" s="42"/>
      <c r="K265" s="42"/>
      <c r="L265" s="42"/>
      <c r="M265" s="42"/>
      <c r="N265" s="42"/>
      <c r="O265" s="31" t="str">
        <f>IFERROR(__xludf.DUMMYFUNCTION("""COMPUTED_VALUE"""),"DOC")</f>
        <v>DOC</v>
      </c>
      <c r="P265" s="9" t="str">
        <f>IFERROR(__xludf.DUMMYFUNCTION("""COMPUTED_VALUE"""),"Hippocampus")</f>
        <v>Hippocampus</v>
      </c>
      <c r="Q265" s="9" t="str">
        <f>IFERROR(__xludf.DUMMYFUNCTION("""COMPUTED_VALUE"""),"Review")</f>
        <v>Review</v>
      </c>
      <c r="R265" s="179" t="str">
        <f>IFERROR(__xludf.DUMMYFUNCTION("""COMPUTED_VALUE"""),"CA1_proximal (00/00) [Knierim, 2015][Witter, 2000];
")</f>
        <v>CA1_proximal (00/00) [Knierim, 2015][Witter, 2000];
</v>
      </c>
      <c r="S265" s="179" t="str">
        <f>IFERROR(__xludf.DUMMYFUNCTION("""COMPUTED_VALUE"""),"CA3CA1_proximal")</f>
        <v>CA3CA1_proximal</v>
      </c>
      <c r="T265" s="179" t="str">
        <f>IFERROR(__xludf.DUMMYFUNCTION("""COMPUTED_VALUE"""),"[Witter, 2000]")</f>
        <v>[Witter, 2000]</v>
      </c>
      <c r="U265" s="179">
        <f>IFERROR(__xludf.DUMMYFUNCTION("""COMPUTED_VALUE"""),0.0)</f>
        <v>0</v>
      </c>
      <c r="V265" s="180">
        <f>IFERROR(__xludf.DUMMYFUNCTION("""COMPUTED_VALUE"""),0.0)</f>
        <v>0</v>
      </c>
      <c r="W265" s="204">
        <f>IFERROR(__xludf.DUMMYFUNCTION("""COMPUTED_VALUE"""),0.95)</f>
        <v>0.95</v>
      </c>
      <c r="X265" s="42">
        <f>IFERROR(__xludf.DUMMYFUNCTION("""COMPUTED_VALUE"""),0.8)</f>
        <v>0.8</v>
      </c>
      <c r="Y265" s="42">
        <f>IFERROR(__xludf.DUMMYFUNCTION("""COMPUTED_VALUE"""),0.0)</f>
        <v>0</v>
      </c>
      <c r="Z265" s="9">
        <f>IFERROR(__xludf.DUMMYFUNCTION("""COMPUTED_VALUE"""),0.0)</f>
        <v>0</v>
      </c>
      <c r="AA265" s="181">
        <f>IFERROR(__xludf.DUMMYFUNCTION("""COMPUTED_VALUE"""),0.0)</f>
        <v>0</v>
      </c>
      <c r="AB265" s="181">
        <f>IFERROR(__xludf.DUMMYFUNCTION("""COMPUTED_VALUE"""),0.0)</f>
        <v>0</v>
      </c>
      <c r="AC265" s="179">
        <f>IFERROR(__xludf.DUMMYFUNCTION("""COMPUTED_VALUE"""),0.0)</f>
        <v>0</v>
      </c>
      <c r="AD265" s="165">
        <f>IFERROR(__xludf.DUMMYFUNCTION("""COMPUTED_VALUE"""),0.0)</f>
        <v>0</v>
      </c>
      <c r="AE265" s="39" t="str">
        <f>IFERROR(__xludf.DUMMYFUNCTION("""COMPUTED_VALUE"""),"Ayako Fukawa")</f>
        <v>Ayako Fukawa</v>
      </c>
      <c r="AF265" s="39" t="str">
        <f>IFERROR(__xludf.DUMMYFUNCTION("""COMPUTED_VALUE"""),"AT20HippocampalFormation")</f>
        <v>AT20HippocampalFormation</v>
      </c>
      <c r="AG265" s="39"/>
      <c r="AH265" s="39"/>
      <c r="AI265" s="165"/>
      <c r="AJ265" s="165"/>
      <c r="AK265" s="111"/>
      <c r="AL265" s="111"/>
      <c r="AM265" s="111"/>
      <c r="AN265" s="111"/>
      <c r="AO265" s="111"/>
      <c r="AP265" s="111"/>
      <c r="AQ265" s="116"/>
      <c r="AR265" s="116"/>
      <c r="AS265" s="116"/>
    </row>
    <row r="266">
      <c r="A266" s="42" t="str">
        <f>IFERROR(__xludf.DUMMYFUNCTION("""COMPUTED_VALUE"""),"CbDN")</f>
        <v>CbDN</v>
      </c>
      <c r="B266" s="42"/>
      <c r="C266" s="42"/>
      <c r="D266" s="42" t="str">
        <f>IFERROR(__xludf.DUMMYFUNCTION("""COMPUTED_VALUE"""),"RF")</f>
        <v>RF</v>
      </c>
      <c r="E266" s="42"/>
      <c r="F266" s="42"/>
      <c r="G266" s="42"/>
      <c r="H266" s="42" t="str">
        <f>IFERROR(__xludf.DUMMYFUNCTION("""COMPUTED_VALUE"""),"")</f>
        <v/>
      </c>
      <c r="I266" s="42" t="str">
        <f>IFERROR(__xludf.DUMMYFUNCTION("""COMPUTED_VALUE"""),"D’Angelo, 2013")</f>
        <v>D’Angelo, 2013</v>
      </c>
      <c r="J266" s="42"/>
      <c r="K266" s="42"/>
      <c r="L266" s="42"/>
      <c r="M266" s="42"/>
      <c r="N266" s="42"/>
      <c r="O266" s="31" t="str">
        <f>IFERROR(__xludf.DUMMYFUNCTION("""COMPUTED_VALUE"""),"DOC")</f>
        <v>DOC</v>
      </c>
      <c r="P266" s="9" t="str">
        <f>IFERROR(__xludf.DUMMYFUNCTION("""COMPUTED_VALUE"""),"Frontiers in Neural Circuits")</f>
        <v>Frontiers in Neural Circuits</v>
      </c>
      <c r="Q266" s="9" t="str">
        <f>IFERROR(__xludf.DUMMYFUNCTION("""COMPUTED_VALUE"""),"Review")</f>
        <v>Review</v>
      </c>
      <c r="R266" s="179" t="str">
        <f>IFERROR(__xludf.DUMMYFUNCTION("""COMPUTED_VALUE"""),"RF (00/00) [D’Angelo, 2013];
")</f>
        <v>RF (00/00) [D’Angelo, 2013];
</v>
      </c>
      <c r="S266" s="179" t="str">
        <f>IFERROR(__xludf.DUMMYFUNCTION("""COMPUTED_VALUE"""),"CbDNRF")</f>
        <v>CbDNRF</v>
      </c>
      <c r="T266" s="179" t="str">
        <f>IFERROR(__xludf.DUMMYFUNCTION("""COMPUTED_VALUE"""),"[D’Angelo, 2013]")</f>
        <v>[D’Angelo, 2013]</v>
      </c>
      <c r="U266" s="179">
        <f>IFERROR(__xludf.DUMMYFUNCTION("""COMPUTED_VALUE"""),0.0)</f>
        <v>0</v>
      </c>
      <c r="V266" s="180">
        <f>IFERROR(__xludf.DUMMYFUNCTION("""COMPUTED_VALUE"""),0.0)</f>
        <v>0</v>
      </c>
      <c r="W266" s="204">
        <f>IFERROR(__xludf.DUMMYFUNCTION("""COMPUTED_VALUE"""),0.95)</f>
        <v>0.95</v>
      </c>
      <c r="X266" s="42">
        <f>IFERROR(__xludf.DUMMYFUNCTION("""COMPUTED_VALUE"""),0.8)</f>
        <v>0.8</v>
      </c>
      <c r="Y266" s="42">
        <f>IFERROR(__xludf.DUMMYFUNCTION("""COMPUTED_VALUE"""),0.0)</f>
        <v>0</v>
      </c>
      <c r="Z266" s="9">
        <f>IFERROR(__xludf.DUMMYFUNCTION("""COMPUTED_VALUE"""),0.0)</f>
        <v>0</v>
      </c>
      <c r="AA266" s="181">
        <f>IFERROR(__xludf.DUMMYFUNCTION("""COMPUTED_VALUE"""),0.0)</f>
        <v>0</v>
      </c>
      <c r="AB266" s="181">
        <f>IFERROR(__xludf.DUMMYFUNCTION("""COMPUTED_VALUE"""),0.0)</f>
        <v>0</v>
      </c>
      <c r="AC266" s="179">
        <f>IFERROR(__xludf.DUMMYFUNCTION("""COMPUTED_VALUE"""),0.0)</f>
        <v>0</v>
      </c>
      <c r="AD266" s="165">
        <f>IFERROR(__xludf.DUMMYFUNCTION("""COMPUTED_VALUE"""),0.0)</f>
        <v>0</v>
      </c>
      <c r="AE266" s="39" t="str">
        <f>IFERROR(__xludf.DUMMYFUNCTION("""COMPUTED_VALUE"""),"Hiroshi Yamakawa")</f>
        <v>Hiroshi Yamakawa</v>
      </c>
      <c r="AF266" s="39" t="str">
        <f>IFERROR(__xludf.DUMMYFUNCTION("""COMPUTED_VALUE"""),"HY20Cerebellum")</f>
        <v>HY20Cerebellum</v>
      </c>
      <c r="AG266" s="39"/>
      <c r="AH266" s="39"/>
      <c r="AI266" s="165"/>
      <c r="AJ266" s="165"/>
      <c r="AK266" s="111"/>
      <c r="AL266" s="111"/>
      <c r="AM266" s="111"/>
      <c r="AN266" s="111"/>
      <c r="AO266" s="111"/>
      <c r="AP266" s="111"/>
      <c r="AQ266" s="116"/>
      <c r="AR266" s="116"/>
      <c r="AS266" s="116"/>
    </row>
    <row r="267">
      <c r="A267" s="42" t="str">
        <f>IFERROR(__xludf.DUMMYFUNCTION("""COMPUTED_VALUE"""),"CbDN")</f>
        <v>CbDN</v>
      </c>
      <c r="B267" s="42"/>
      <c r="C267" s="42"/>
      <c r="D267" s="42" t="str">
        <f>IFERROR(__xludf.DUMMYFUNCTION("""COMPUTED_VALUE"""),"RN")</f>
        <v>RN</v>
      </c>
      <c r="E267" s="42"/>
      <c r="F267" s="42"/>
      <c r="G267" s="42"/>
      <c r="H267" s="42" t="str">
        <f>IFERROR(__xludf.DUMMYFUNCTION("""COMPUTED_VALUE"""),"")</f>
        <v/>
      </c>
      <c r="I267" s="42" t="str">
        <f>IFERROR(__xludf.DUMMYFUNCTION("""COMPUTED_VALUE"""),"D’Angelo, 2013")</f>
        <v>D’Angelo, 2013</v>
      </c>
      <c r="J267" s="42"/>
      <c r="K267" s="42"/>
      <c r="L267" s="42"/>
      <c r="M267" s="42"/>
      <c r="N267" s="42"/>
      <c r="O267" s="31" t="str">
        <f>IFERROR(__xludf.DUMMYFUNCTION("""COMPUTED_VALUE"""),"DOC")</f>
        <v>DOC</v>
      </c>
      <c r="P267" s="9" t="str">
        <f>IFERROR(__xludf.DUMMYFUNCTION("""COMPUTED_VALUE"""),"Frontiers in Neural Circuits")</f>
        <v>Frontiers in Neural Circuits</v>
      </c>
      <c r="Q267" s="9" t="str">
        <f>IFERROR(__xludf.DUMMYFUNCTION("""COMPUTED_VALUE"""),"Review")</f>
        <v>Review</v>
      </c>
      <c r="R267" s="179" t="str">
        <f>IFERROR(__xludf.DUMMYFUNCTION("""COMPUTED_VALUE"""),"RN (00/00) [D’Angelo, 2013];
")</f>
        <v>RN (00/00) [D’Angelo, 2013];
</v>
      </c>
      <c r="S267" s="179" t="str">
        <f>IFERROR(__xludf.DUMMYFUNCTION("""COMPUTED_VALUE"""),"CbDNRN")</f>
        <v>CbDNRN</v>
      </c>
      <c r="T267" s="179" t="str">
        <f>IFERROR(__xludf.DUMMYFUNCTION("""COMPUTED_VALUE"""),"[D’Angelo, 2013]")</f>
        <v>[D’Angelo, 2013]</v>
      </c>
      <c r="U267" s="179">
        <f>IFERROR(__xludf.DUMMYFUNCTION("""COMPUTED_VALUE"""),0.0)</f>
        <v>0</v>
      </c>
      <c r="V267" s="180">
        <f>IFERROR(__xludf.DUMMYFUNCTION("""COMPUTED_VALUE"""),0.0)</f>
        <v>0</v>
      </c>
      <c r="W267" s="180">
        <f>IFERROR(__xludf.DUMMYFUNCTION("""COMPUTED_VALUE"""),0.95)</f>
        <v>0.95</v>
      </c>
      <c r="X267" s="42">
        <f>IFERROR(__xludf.DUMMYFUNCTION("""COMPUTED_VALUE"""),0.8)</f>
        <v>0.8</v>
      </c>
      <c r="Y267" s="42">
        <f>IFERROR(__xludf.DUMMYFUNCTION("""COMPUTED_VALUE"""),0.0)</f>
        <v>0</v>
      </c>
      <c r="Z267" s="9">
        <f>IFERROR(__xludf.DUMMYFUNCTION("""COMPUTED_VALUE"""),0.0)</f>
        <v>0</v>
      </c>
      <c r="AA267" s="181">
        <f>IFERROR(__xludf.DUMMYFUNCTION("""COMPUTED_VALUE"""),0.0)</f>
        <v>0</v>
      </c>
      <c r="AB267" s="181">
        <f>IFERROR(__xludf.DUMMYFUNCTION("""COMPUTED_VALUE"""),0.0)</f>
        <v>0</v>
      </c>
      <c r="AC267" s="179">
        <f>IFERROR(__xludf.DUMMYFUNCTION("""COMPUTED_VALUE"""),0.0)</f>
        <v>0</v>
      </c>
      <c r="AD267" s="165">
        <f>IFERROR(__xludf.DUMMYFUNCTION("""COMPUTED_VALUE"""),0.0)</f>
        <v>0</v>
      </c>
      <c r="AE267" s="39" t="str">
        <f>IFERROR(__xludf.DUMMYFUNCTION("""COMPUTED_VALUE"""),"Hiroshi Yamakawa")</f>
        <v>Hiroshi Yamakawa</v>
      </c>
      <c r="AF267" s="39" t="str">
        <f>IFERROR(__xludf.DUMMYFUNCTION("""COMPUTED_VALUE"""),"HY20Cerebellum")</f>
        <v>HY20Cerebellum</v>
      </c>
      <c r="AG267" s="39"/>
      <c r="AH267" s="39"/>
      <c r="AI267" s="165"/>
      <c r="AJ267" s="165"/>
      <c r="AK267" s="111"/>
      <c r="AL267" s="111"/>
      <c r="AM267" s="111"/>
      <c r="AN267" s="111"/>
      <c r="AO267" s="111"/>
      <c r="AP267" s="111"/>
      <c r="AQ267" s="116"/>
      <c r="AR267" s="116"/>
      <c r="AS267" s="116"/>
    </row>
    <row r="268">
      <c r="A268" s="42" t="str">
        <f>IFERROR(__xludf.DUMMYFUNCTION("""COMPUTED_VALUE"""),"CbDN")</f>
        <v>CbDN</v>
      </c>
      <c r="B268" s="42"/>
      <c r="C268" s="42"/>
      <c r="D268" s="42" t="str">
        <f>IFERROR(__xludf.DUMMYFUNCTION("""COMPUTED_VALUE"""),"IO")</f>
        <v>IO</v>
      </c>
      <c r="E268" s="42"/>
      <c r="F268" s="42"/>
      <c r="G268" s="42"/>
      <c r="H268" s="42" t="str">
        <f>IFERROR(__xludf.DUMMYFUNCTION("""COMPUTED_VALUE"""),"")</f>
        <v/>
      </c>
      <c r="I268" s="42" t="str">
        <f>IFERROR(__xludf.DUMMYFUNCTION("""COMPUTED_VALUE"""),"Wagner, 2020")</f>
        <v>Wagner, 2020</v>
      </c>
      <c r="J268" s="42"/>
      <c r="K268" s="42"/>
      <c r="L268" s="42"/>
      <c r="M268" s="42"/>
      <c r="N268" s="42"/>
      <c r="O268" s="31" t="str">
        <f>IFERROR(__xludf.DUMMYFUNCTION("""COMPUTED_VALUE"""),"DOC")</f>
        <v>DOC</v>
      </c>
      <c r="P268" s="9" t="str">
        <f>IFERROR(__xludf.DUMMYFUNCTION("""COMPUTED_VALUE"""),"Trends in Neurosciences")</f>
        <v>Trends in Neurosciences</v>
      </c>
      <c r="Q268" s="9"/>
      <c r="R268" s="179" t="str">
        <f>IFERROR(__xludf.DUMMYFUNCTION("""COMPUTED_VALUE"""),"IO (00/00) [Wagner, 2020];
")</f>
        <v>IO (00/00) [Wagner, 2020];
</v>
      </c>
      <c r="S268" s="179" t="str">
        <f>IFERROR(__xludf.DUMMYFUNCTION("""COMPUTED_VALUE"""),"CbDNIO")</f>
        <v>CbDNIO</v>
      </c>
      <c r="T268" s="179" t="str">
        <f>IFERROR(__xludf.DUMMYFUNCTION("""COMPUTED_VALUE"""),"[Wagner, 2020]")</f>
        <v>[Wagner, 2020]</v>
      </c>
      <c r="U268" s="179">
        <f>IFERROR(__xludf.DUMMYFUNCTION("""COMPUTED_VALUE"""),0.0)</f>
        <v>0</v>
      </c>
      <c r="V268" s="180">
        <f>IFERROR(__xludf.DUMMYFUNCTION("""COMPUTED_VALUE"""),0.0)</f>
        <v>0</v>
      </c>
      <c r="W268" s="180">
        <f>IFERROR(__xludf.DUMMYFUNCTION("""COMPUTED_VALUE"""),0.95)</f>
        <v>0.95</v>
      </c>
      <c r="X268" s="42">
        <f>IFERROR(__xludf.DUMMYFUNCTION("""COMPUTED_VALUE"""),0.0)</f>
        <v>0</v>
      </c>
      <c r="Y268" s="42">
        <f>IFERROR(__xludf.DUMMYFUNCTION("""COMPUTED_VALUE"""),0.0)</f>
        <v>0</v>
      </c>
      <c r="Z268" s="9">
        <f>IFERROR(__xludf.DUMMYFUNCTION("""COMPUTED_VALUE"""),0.0)</f>
        <v>0</v>
      </c>
      <c r="AA268" s="181">
        <f>IFERROR(__xludf.DUMMYFUNCTION("""COMPUTED_VALUE"""),0.0)</f>
        <v>0</v>
      </c>
      <c r="AB268" s="181">
        <f>IFERROR(__xludf.DUMMYFUNCTION("""COMPUTED_VALUE"""),0.0)</f>
        <v>0</v>
      </c>
      <c r="AC268" s="179">
        <f>IFERROR(__xludf.DUMMYFUNCTION("""COMPUTED_VALUE"""),0.0)</f>
        <v>0</v>
      </c>
      <c r="AD268" s="165">
        <f>IFERROR(__xludf.DUMMYFUNCTION("""COMPUTED_VALUE"""),0.0)</f>
        <v>0</v>
      </c>
      <c r="AE268" s="39" t="str">
        <f>IFERROR(__xludf.DUMMYFUNCTION("""COMPUTED_VALUE"""),"Hiroshi Yamakawa")</f>
        <v>Hiroshi Yamakawa</v>
      </c>
      <c r="AF268" s="39" t="str">
        <f>IFERROR(__xludf.DUMMYFUNCTION("""COMPUTED_VALUE"""),"HY20Cerebellum")</f>
        <v>HY20Cerebellum</v>
      </c>
      <c r="AG268" s="39"/>
      <c r="AH268" s="39"/>
      <c r="AI268" s="165"/>
      <c r="AJ268" s="165"/>
      <c r="AK268" s="111"/>
      <c r="AL268" s="111"/>
      <c r="AM268" s="111"/>
      <c r="AN268" s="111"/>
      <c r="AO268" s="111"/>
      <c r="AP268" s="111"/>
      <c r="AQ268" s="116"/>
      <c r="AR268" s="116"/>
      <c r="AS268" s="116"/>
    </row>
    <row r="269">
      <c r="A269" s="42" t="str">
        <f>IFERROR(__xludf.DUMMYFUNCTION("""COMPUTED_VALUE"""),"CbDN")</f>
        <v>CbDN</v>
      </c>
      <c r="B269" s="42"/>
      <c r="C269" s="42"/>
      <c r="D269" s="42" t="str">
        <f>IFERROR(__xludf.DUMMYFUNCTION("""COMPUTED_VALUE"""),"THM")</f>
        <v>THM</v>
      </c>
      <c r="E269" s="42"/>
      <c r="F269" s="42"/>
      <c r="G269" s="42"/>
      <c r="H269" s="42" t="str">
        <f>IFERROR(__xludf.DUMMYFUNCTION("""COMPUTED_VALUE"""),"")</f>
        <v/>
      </c>
      <c r="I269" s="42" t="str">
        <f>IFERROR(__xludf.DUMMYFUNCTION("""COMPUTED_VALUE"""),"Wagner, 2020")</f>
        <v>Wagner, 2020</v>
      </c>
      <c r="J269" s="42"/>
      <c r="K269" s="42"/>
      <c r="L269" s="42"/>
      <c r="M269" s="42"/>
      <c r="N269" s="42"/>
      <c r="O269" s="31" t="str">
        <f>IFERROR(__xludf.DUMMYFUNCTION("""COMPUTED_VALUE"""),"DOC")</f>
        <v>DOC</v>
      </c>
      <c r="P269" s="9" t="str">
        <f>IFERROR(__xludf.DUMMYFUNCTION("""COMPUTED_VALUE"""),"Trends in Neurosciences")</f>
        <v>Trends in Neurosciences</v>
      </c>
      <c r="Q269" s="9"/>
      <c r="R269" s="179" t="str">
        <f>IFERROR(__xludf.DUMMYFUNCTION("""COMPUTED_VALUE"""),"THM (00/00) [Wagner, 2020];
")</f>
        <v>THM (00/00) [Wagner, 2020];
</v>
      </c>
      <c r="S269" s="179" t="str">
        <f>IFERROR(__xludf.DUMMYFUNCTION("""COMPUTED_VALUE"""),"CbDNTHM")</f>
        <v>CbDNTHM</v>
      </c>
      <c r="T269" s="179" t="str">
        <f>IFERROR(__xludf.DUMMYFUNCTION("""COMPUTED_VALUE"""),"[Wagner, 2020]")</f>
        <v>[Wagner, 2020]</v>
      </c>
      <c r="U269" s="179">
        <f>IFERROR(__xludf.DUMMYFUNCTION("""COMPUTED_VALUE"""),0.0)</f>
        <v>0</v>
      </c>
      <c r="V269" s="180">
        <f>IFERROR(__xludf.DUMMYFUNCTION("""COMPUTED_VALUE"""),0.0)</f>
        <v>0</v>
      </c>
      <c r="W269" s="180">
        <f>IFERROR(__xludf.DUMMYFUNCTION("""COMPUTED_VALUE"""),0.95)</f>
        <v>0.95</v>
      </c>
      <c r="X269" s="42">
        <f>IFERROR(__xludf.DUMMYFUNCTION("""COMPUTED_VALUE"""),0.0)</f>
        <v>0</v>
      </c>
      <c r="Y269" s="42">
        <f>IFERROR(__xludf.DUMMYFUNCTION("""COMPUTED_VALUE"""),0.0)</f>
        <v>0</v>
      </c>
      <c r="Z269" s="9">
        <f>IFERROR(__xludf.DUMMYFUNCTION("""COMPUTED_VALUE"""),0.0)</f>
        <v>0</v>
      </c>
      <c r="AA269" s="181">
        <f>IFERROR(__xludf.DUMMYFUNCTION("""COMPUTED_VALUE"""),0.0)</f>
        <v>0</v>
      </c>
      <c r="AB269" s="181">
        <f>IFERROR(__xludf.DUMMYFUNCTION("""COMPUTED_VALUE"""),0.0)</f>
        <v>0</v>
      </c>
      <c r="AC269" s="179">
        <f>IFERROR(__xludf.DUMMYFUNCTION("""COMPUTED_VALUE"""),0.0)</f>
        <v>0</v>
      </c>
      <c r="AD269" s="165">
        <f>IFERROR(__xludf.DUMMYFUNCTION("""COMPUTED_VALUE"""),0.0)</f>
        <v>0</v>
      </c>
      <c r="AE269" s="39" t="str">
        <f>IFERROR(__xludf.DUMMYFUNCTION("""COMPUTED_VALUE"""),"Hiroshi Yamakawa")</f>
        <v>Hiroshi Yamakawa</v>
      </c>
      <c r="AF269" s="39" t="str">
        <f>IFERROR(__xludf.DUMMYFUNCTION("""COMPUTED_VALUE"""),"HY20Cerebellum")</f>
        <v>HY20Cerebellum</v>
      </c>
      <c r="AG269" s="39"/>
      <c r="AH269" s="39"/>
      <c r="AI269" s="165"/>
      <c r="AJ269" s="165"/>
      <c r="AK269" s="111"/>
      <c r="AL269" s="111"/>
      <c r="AM269" s="111"/>
      <c r="AN269" s="111"/>
      <c r="AO269" s="111"/>
      <c r="AP269" s="111"/>
      <c r="AQ269" s="116"/>
      <c r="AR269" s="116"/>
      <c r="AS269" s="116"/>
    </row>
    <row r="270">
      <c r="A270" s="42" t="str">
        <f>IFERROR(__xludf.DUMMYFUNCTION("""COMPUTED_VALUE"""),"CbDN")</f>
        <v>CbDN</v>
      </c>
      <c r="B270" s="42"/>
      <c r="C270" s="42"/>
      <c r="D270" s="42" t="str">
        <f>IFERROR(__xludf.DUMMYFUNCTION("""COMPUTED_VALUE"""),"VTA")</f>
        <v>VTA</v>
      </c>
      <c r="E270" s="42"/>
      <c r="F270" s="42"/>
      <c r="G270" s="42"/>
      <c r="H270" s="42" t="str">
        <f>IFERROR(__xludf.DUMMYFUNCTION("""COMPUTED_VALUE"""),"")</f>
        <v/>
      </c>
      <c r="I270" s="42" t="str">
        <f>IFERROR(__xludf.DUMMYFUNCTION("""COMPUTED_VALUE"""),"Wagner, 2020")</f>
        <v>Wagner, 2020</v>
      </c>
      <c r="J270" s="42"/>
      <c r="K270" s="42"/>
      <c r="L270" s="42"/>
      <c r="M270" s="42"/>
      <c r="N270" s="42"/>
      <c r="O270" s="31" t="str">
        <f>IFERROR(__xludf.DUMMYFUNCTION("""COMPUTED_VALUE"""),"DOC")</f>
        <v>DOC</v>
      </c>
      <c r="P270" s="9" t="str">
        <f>IFERROR(__xludf.DUMMYFUNCTION("""COMPUTED_VALUE"""),"Trends in Neurosciences")</f>
        <v>Trends in Neurosciences</v>
      </c>
      <c r="Q270" s="9"/>
      <c r="R270" s="179" t="str">
        <f>IFERROR(__xludf.DUMMYFUNCTION("""COMPUTED_VALUE"""),"VTA (00/00) [Wagner, 2020];
")</f>
        <v>VTA (00/00) [Wagner, 2020];
</v>
      </c>
      <c r="S270" s="179" t="str">
        <f>IFERROR(__xludf.DUMMYFUNCTION("""COMPUTED_VALUE"""),"CbDNVTA")</f>
        <v>CbDNVTA</v>
      </c>
      <c r="T270" s="179" t="str">
        <f>IFERROR(__xludf.DUMMYFUNCTION("""COMPUTED_VALUE"""),"[Wagner, 2020]")</f>
        <v>[Wagner, 2020]</v>
      </c>
      <c r="U270" s="179">
        <f>IFERROR(__xludf.DUMMYFUNCTION("""COMPUTED_VALUE"""),0.0)</f>
        <v>0</v>
      </c>
      <c r="V270" s="180">
        <f>IFERROR(__xludf.DUMMYFUNCTION("""COMPUTED_VALUE"""),0.0)</f>
        <v>0</v>
      </c>
      <c r="W270" s="180">
        <f>IFERROR(__xludf.DUMMYFUNCTION("""COMPUTED_VALUE"""),0.95)</f>
        <v>0.95</v>
      </c>
      <c r="X270" s="42">
        <f>IFERROR(__xludf.DUMMYFUNCTION("""COMPUTED_VALUE"""),0.0)</f>
        <v>0</v>
      </c>
      <c r="Y270" s="42">
        <f>IFERROR(__xludf.DUMMYFUNCTION("""COMPUTED_VALUE"""),0.0)</f>
        <v>0</v>
      </c>
      <c r="Z270" s="9">
        <f>IFERROR(__xludf.DUMMYFUNCTION("""COMPUTED_VALUE"""),0.0)</f>
        <v>0</v>
      </c>
      <c r="AA270" s="181">
        <f>IFERROR(__xludf.DUMMYFUNCTION("""COMPUTED_VALUE"""),0.0)</f>
        <v>0</v>
      </c>
      <c r="AB270" s="181">
        <f>IFERROR(__xludf.DUMMYFUNCTION("""COMPUTED_VALUE"""),0.0)</f>
        <v>0</v>
      </c>
      <c r="AC270" s="179">
        <f>IFERROR(__xludf.DUMMYFUNCTION("""COMPUTED_VALUE"""),0.0)</f>
        <v>0</v>
      </c>
      <c r="AD270" s="165">
        <f>IFERROR(__xludf.DUMMYFUNCTION("""COMPUTED_VALUE"""),0.0)</f>
        <v>0</v>
      </c>
      <c r="AE270" s="39" t="str">
        <f>IFERROR(__xludf.DUMMYFUNCTION("""COMPUTED_VALUE"""),"Hiroshi Yamakawa")</f>
        <v>Hiroshi Yamakawa</v>
      </c>
      <c r="AF270" s="39" t="str">
        <f>IFERROR(__xludf.DUMMYFUNCTION("""COMPUTED_VALUE"""),"HY20Cerebellum")</f>
        <v>HY20Cerebellum</v>
      </c>
      <c r="AG270" s="39"/>
      <c r="AH270" s="39"/>
      <c r="AI270" s="165"/>
      <c r="AJ270" s="165"/>
      <c r="AK270" s="111"/>
      <c r="AL270" s="111"/>
      <c r="AM270" s="111"/>
      <c r="AN270" s="111"/>
      <c r="AO270" s="111"/>
      <c r="AP270" s="111"/>
      <c r="AQ270" s="116"/>
      <c r="AR270" s="116"/>
      <c r="AS270" s="116"/>
    </row>
    <row r="271">
      <c r="A271" s="42" t="str">
        <f>IFERROR(__xludf.DUMMYFUNCTION("""COMPUTED_VALUE"""),"CBLg")</f>
        <v>CBLg</v>
      </c>
      <c r="B271" s="42"/>
      <c r="C271" s="42"/>
      <c r="D271" s="42" t="str">
        <f>IFERROR(__xludf.DUMMYFUNCTION("""COMPUTED_VALUE"""),"CBLp")</f>
        <v>CBLp</v>
      </c>
      <c r="E271" s="42"/>
      <c r="F271" s="42"/>
      <c r="G271" s="42"/>
      <c r="H271" s="42" t="str">
        <f>IFERROR(__xludf.DUMMYFUNCTION("""COMPUTED_VALUE"""),"")</f>
        <v/>
      </c>
      <c r="I271" s="42" t="str">
        <f>IFERROR(__xludf.DUMMYFUNCTION("""COMPUTED_VALUE"""),"Knierim, 2021")</f>
        <v>Knierim, 2021</v>
      </c>
      <c r="J271" s="42"/>
      <c r="K271" s="42"/>
      <c r="L271" s="42"/>
      <c r="M271" s="42"/>
      <c r="N271" s="42"/>
      <c r="O271" s="31" t="str">
        <f>IFERROR(__xludf.DUMMYFUNCTION("""COMPUTED_VALUE"""),"DOC(alt)")</f>
        <v>DOC(alt)</v>
      </c>
      <c r="P271" s="9" t="str">
        <f>IFERROR(__xludf.DUMMYFUNCTION("""COMPUTED_VALUE"""),"Neuroscience Online, an {Open-Access} Neuroscience Electronic Textbook")</f>
        <v>Neuroscience Online, an {Open-Access} Neuroscience Electronic Textbook</v>
      </c>
      <c r="Q271" s="9" t="str">
        <f>IFERROR(__xludf.DUMMYFUNCTION("""COMPUTED_VALUE"""),"Textbook")</f>
        <v>Textbook</v>
      </c>
      <c r="R271" s="179" t="str">
        <f>IFERROR(__xludf.DUMMYFUNCTION("""COMPUTED_VALUE"""),"CBLp (00/00) [Knierim, 2021];
")</f>
        <v>CBLp (00/00) [Knierim, 2021];
</v>
      </c>
      <c r="S271" s="179" t="str">
        <f>IFERROR(__xludf.DUMMYFUNCTION("""COMPUTED_VALUE"""),"CBLgCBLp")</f>
        <v>CBLgCBLp</v>
      </c>
      <c r="T271" s="179" t="str">
        <f>IFERROR(__xludf.DUMMYFUNCTION("""COMPUTED_VALUE"""),"[Knierim, 2021]")</f>
        <v>[Knierim, 2021]</v>
      </c>
      <c r="U271" s="179">
        <f>IFERROR(__xludf.DUMMYFUNCTION("""COMPUTED_VALUE"""),0.0)</f>
        <v>0</v>
      </c>
      <c r="V271" s="180">
        <f>IFERROR(__xludf.DUMMYFUNCTION("""COMPUTED_VALUE"""),0.0)</f>
        <v>0</v>
      </c>
      <c r="W271" s="180">
        <f>IFERROR(__xludf.DUMMYFUNCTION("""COMPUTED_VALUE"""),0.0)</f>
        <v>0</v>
      </c>
      <c r="X271" s="42">
        <f>IFERROR(__xludf.DUMMYFUNCTION("""COMPUTED_VALUE"""),0.9)</f>
        <v>0.9</v>
      </c>
      <c r="Y271" s="42">
        <f>IFERROR(__xludf.DUMMYFUNCTION("""COMPUTED_VALUE"""),0.0)</f>
        <v>0</v>
      </c>
      <c r="Z271" s="9">
        <f>IFERROR(__xludf.DUMMYFUNCTION("""COMPUTED_VALUE"""),0.0)</f>
        <v>0</v>
      </c>
      <c r="AA271" s="181">
        <f>IFERROR(__xludf.DUMMYFUNCTION("""COMPUTED_VALUE"""),0.0)</f>
        <v>0</v>
      </c>
      <c r="AB271" s="181">
        <f>IFERROR(__xludf.DUMMYFUNCTION("""COMPUTED_VALUE"""),0.0)</f>
        <v>0</v>
      </c>
      <c r="AC271" s="179">
        <f>IFERROR(__xludf.DUMMYFUNCTION("""COMPUTED_VALUE"""),0.0)</f>
        <v>0</v>
      </c>
      <c r="AD271" s="165">
        <f>IFERROR(__xludf.DUMMYFUNCTION("""COMPUTED_VALUE"""),0.0)</f>
        <v>0</v>
      </c>
      <c r="AE271" s="39" t="str">
        <f>IFERROR(__xludf.DUMMYFUNCTION("""COMPUTED_VALUE"""),"Hiroshi Yamakawa")</f>
        <v>Hiroshi Yamakawa</v>
      </c>
      <c r="AF271" s="39" t="str">
        <f>IFERROR(__xludf.DUMMYFUNCTION("""COMPUTED_VALUE"""),"HY20Cerebellum")</f>
        <v>HY20Cerebellum</v>
      </c>
      <c r="AG271" s="39"/>
      <c r="AH271" s="39"/>
      <c r="AI271" s="165"/>
      <c r="AJ271" s="165"/>
      <c r="AK271" s="111"/>
      <c r="AL271" s="111"/>
      <c r="AM271" s="111"/>
      <c r="AN271" s="111"/>
      <c r="AO271" s="111"/>
      <c r="AP271" s="111"/>
      <c r="AQ271" s="116"/>
      <c r="AR271" s="116"/>
      <c r="AS271" s="116"/>
    </row>
    <row r="272">
      <c r="A272" s="42" t="str">
        <f>IFERROR(__xludf.DUMMYFUNCTION("""COMPUTED_VALUE"""),"CBLp")</f>
        <v>CBLp</v>
      </c>
      <c r="B272" s="42"/>
      <c r="C272" s="42"/>
      <c r="D272" s="42" t="str">
        <f>IFERROR(__xludf.DUMMYFUNCTION("""COMPUTED_VALUE"""),"DT")</f>
        <v>DT</v>
      </c>
      <c r="E272" s="42"/>
      <c r="F272" s="42"/>
      <c r="G272" s="42"/>
      <c r="H272" s="42" t="str">
        <f>IFERROR(__xludf.DUMMYFUNCTION("""COMPUTED_VALUE"""),"")</f>
        <v/>
      </c>
      <c r="I272" s="42" t="str">
        <f>IFERROR(__xludf.DUMMYFUNCTION("""COMPUTED_VALUE"""),"Basile, 2021")</f>
        <v>Basile, 2021</v>
      </c>
      <c r="J272" s="42"/>
      <c r="K272" s="42"/>
      <c r="L272" s="42"/>
      <c r="M272" s="42"/>
      <c r="N272" s="42"/>
      <c r="O272" s="31" t="str">
        <f>IFERROR(__xludf.DUMMYFUNCTION("""COMPUTED_VALUE"""),"DOC")</f>
        <v>DOC</v>
      </c>
      <c r="P272" s="9" t="str">
        <f>IFERROR(__xludf.DUMMYFUNCTION("""COMPUTED_VALUE"""),"Brain Structure and Function")</f>
        <v>Brain Structure and Function</v>
      </c>
      <c r="Q272" s="9"/>
      <c r="R272" s="179" t="str">
        <f>IFERROR(__xludf.DUMMYFUNCTION("""COMPUTED_VALUE"""),"DT (00/00) [Basile, 2021];
")</f>
        <v>DT (00/00) [Basile, 2021];
</v>
      </c>
      <c r="S272" s="179" t="str">
        <f>IFERROR(__xludf.DUMMYFUNCTION("""COMPUTED_VALUE"""),"CBLpDT")</f>
        <v>CBLpDT</v>
      </c>
      <c r="T272" s="179" t="str">
        <f>IFERROR(__xludf.DUMMYFUNCTION("""COMPUTED_VALUE"""),"[Basile, 2021]")</f>
        <v>[Basile, 2021]</v>
      </c>
      <c r="U272" s="179">
        <f>IFERROR(__xludf.DUMMYFUNCTION("""COMPUTED_VALUE"""),0.0)</f>
        <v>0</v>
      </c>
      <c r="V272" s="180">
        <f>IFERROR(__xludf.DUMMYFUNCTION("""COMPUTED_VALUE"""),0.0)</f>
        <v>0</v>
      </c>
      <c r="W272" s="180">
        <f>IFERROR(__xludf.DUMMYFUNCTION("""COMPUTED_VALUE"""),0.95)</f>
        <v>0.95</v>
      </c>
      <c r="X272" s="42">
        <f>IFERROR(__xludf.DUMMYFUNCTION("""COMPUTED_VALUE"""),0.0)</f>
        <v>0</v>
      </c>
      <c r="Y272" s="42">
        <f>IFERROR(__xludf.DUMMYFUNCTION("""COMPUTED_VALUE"""),0.0)</f>
        <v>0</v>
      </c>
      <c r="Z272" s="9">
        <f>IFERROR(__xludf.DUMMYFUNCTION("""COMPUTED_VALUE"""),0.0)</f>
        <v>0</v>
      </c>
      <c r="AA272" s="181">
        <f>IFERROR(__xludf.DUMMYFUNCTION("""COMPUTED_VALUE"""),0.0)</f>
        <v>0</v>
      </c>
      <c r="AB272" s="181">
        <f>IFERROR(__xludf.DUMMYFUNCTION("""COMPUTED_VALUE"""),0.0)</f>
        <v>0</v>
      </c>
      <c r="AC272" s="179">
        <f>IFERROR(__xludf.DUMMYFUNCTION("""COMPUTED_VALUE"""),0.0)</f>
        <v>0</v>
      </c>
      <c r="AD272" s="165">
        <f>IFERROR(__xludf.DUMMYFUNCTION("""COMPUTED_VALUE"""),0.0)</f>
        <v>0</v>
      </c>
      <c r="AE272" s="39" t="str">
        <f>IFERROR(__xludf.DUMMYFUNCTION("""COMPUTED_VALUE"""),"Hiroshi Yamakawa")</f>
        <v>Hiroshi Yamakawa</v>
      </c>
      <c r="AF272" s="39" t="str">
        <f>IFERROR(__xludf.DUMMYFUNCTION("""COMPUTED_VALUE"""),"HY20Cerebellum")</f>
        <v>HY20Cerebellum</v>
      </c>
      <c r="AG272" s="39"/>
      <c r="AH272" s="39"/>
      <c r="AI272" s="165"/>
      <c r="AJ272" s="165"/>
      <c r="AK272" s="111"/>
      <c r="AL272" s="111"/>
      <c r="AM272" s="111"/>
      <c r="AN272" s="111"/>
      <c r="AO272" s="111"/>
      <c r="AP272" s="111"/>
      <c r="AQ272" s="116"/>
      <c r="AR272" s="116"/>
      <c r="AS272" s="116"/>
    </row>
    <row r="273">
      <c r="A273" s="42" t="str">
        <f>IFERROR(__xludf.DUMMYFUNCTION("""COMPUTED_VALUE"""),"CBPVg")</f>
        <v>CBPVg</v>
      </c>
      <c r="B273" s="42"/>
      <c r="C273" s="42"/>
      <c r="D273" s="42" t="str">
        <f>IFERROR(__xludf.DUMMYFUNCTION("""COMPUTED_VALUE"""),"CBPVp")</f>
        <v>CBPVp</v>
      </c>
      <c r="E273" s="42"/>
      <c r="F273" s="42"/>
      <c r="G273" s="42"/>
      <c r="H273" s="42" t="str">
        <f>IFERROR(__xludf.DUMMYFUNCTION("""COMPUTED_VALUE"""),"")</f>
        <v/>
      </c>
      <c r="I273" s="42" t="str">
        <f>IFERROR(__xludf.DUMMYFUNCTION("""COMPUTED_VALUE"""),"Knierim, 2021")</f>
        <v>Knierim, 2021</v>
      </c>
      <c r="J273" s="42"/>
      <c r="K273" s="42"/>
      <c r="L273" s="42"/>
      <c r="M273" s="42"/>
      <c r="N273" s="42"/>
      <c r="O273" s="31" t="str">
        <f>IFERROR(__xludf.DUMMYFUNCTION("""COMPUTED_VALUE"""),"DOC(alt)")</f>
        <v>DOC(alt)</v>
      </c>
      <c r="P273" s="9" t="str">
        <f>IFERROR(__xludf.DUMMYFUNCTION("""COMPUTED_VALUE"""),"Neuroscience Online, an {Open-Access} Neuroscience Electronic Textbook")</f>
        <v>Neuroscience Online, an {Open-Access} Neuroscience Electronic Textbook</v>
      </c>
      <c r="Q273" s="9" t="str">
        <f>IFERROR(__xludf.DUMMYFUNCTION("""COMPUTED_VALUE"""),"Textbook")</f>
        <v>Textbook</v>
      </c>
      <c r="R273" s="179" t="str">
        <f>IFERROR(__xludf.DUMMYFUNCTION("""COMPUTED_VALUE"""),"CBPVp (00/00) [Knierim, 2021];
")</f>
        <v>CBPVp (00/00) [Knierim, 2021];
</v>
      </c>
      <c r="S273" s="179" t="str">
        <f>IFERROR(__xludf.DUMMYFUNCTION("""COMPUTED_VALUE"""),"CBPVgCBPVp")</f>
        <v>CBPVgCBPVp</v>
      </c>
      <c r="T273" s="179" t="str">
        <f>IFERROR(__xludf.DUMMYFUNCTION("""COMPUTED_VALUE"""),"[Knierim, 2021]")</f>
        <v>[Knierim, 2021]</v>
      </c>
      <c r="U273" s="179">
        <f>IFERROR(__xludf.DUMMYFUNCTION("""COMPUTED_VALUE"""),0.0)</f>
        <v>0</v>
      </c>
      <c r="V273" s="180">
        <f>IFERROR(__xludf.DUMMYFUNCTION("""COMPUTED_VALUE"""),0.0)</f>
        <v>0</v>
      </c>
      <c r="W273" s="180">
        <f>IFERROR(__xludf.DUMMYFUNCTION("""COMPUTED_VALUE"""),0.0)</f>
        <v>0</v>
      </c>
      <c r="X273" s="42">
        <f>IFERROR(__xludf.DUMMYFUNCTION("""COMPUTED_VALUE"""),0.9)</f>
        <v>0.9</v>
      </c>
      <c r="Y273" s="42">
        <f>IFERROR(__xludf.DUMMYFUNCTION("""COMPUTED_VALUE"""),0.0)</f>
        <v>0</v>
      </c>
      <c r="Z273" s="9">
        <f>IFERROR(__xludf.DUMMYFUNCTION("""COMPUTED_VALUE"""),0.0)</f>
        <v>0</v>
      </c>
      <c r="AA273" s="181">
        <f>IFERROR(__xludf.DUMMYFUNCTION("""COMPUTED_VALUE"""),0.0)</f>
        <v>0</v>
      </c>
      <c r="AB273" s="181">
        <f>IFERROR(__xludf.DUMMYFUNCTION("""COMPUTED_VALUE"""),0.0)</f>
        <v>0</v>
      </c>
      <c r="AC273" s="179">
        <f>IFERROR(__xludf.DUMMYFUNCTION("""COMPUTED_VALUE"""),0.0)</f>
        <v>0</v>
      </c>
      <c r="AD273" s="165">
        <f>IFERROR(__xludf.DUMMYFUNCTION("""COMPUTED_VALUE"""),0.0)</f>
        <v>0</v>
      </c>
      <c r="AE273" s="39" t="str">
        <f>IFERROR(__xludf.DUMMYFUNCTION("""COMPUTED_VALUE"""),"Hiroshi Yamakawa")</f>
        <v>Hiroshi Yamakawa</v>
      </c>
      <c r="AF273" s="39" t="str">
        <f>IFERROR(__xludf.DUMMYFUNCTION("""COMPUTED_VALUE"""),"HY20Cerebellum")</f>
        <v>HY20Cerebellum</v>
      </c>
      <c r="AG273" s="39"/>
      <c r="AH273" s="39"/>
      <c r="AI273" s="165"/>
      <c r="AJ273" s="165"/>
      <c r="AK273" s="111"/>
      <c r="AL273" s="111"/>
      <c r="AM273" s="111"/>
      <c r="AN273" s="111"/>
      <c r="AO273" s="111"/>
      <c r="AP273" s="111"/>
      <c r="AQ273" s="116"/>
      <c r="AR273" s="116"/>
      <c r="AS273" s="116"/>
    </row>
    <row r="274">
      <c r="A274" s="42" t="str">
        <f>IFERROR(__xludf.DUMMYFUNCTION("""COMPUTED_VALUE"""),"CBPVp")</f>
        <v>CBPVp</v>
      </c>
      <c r="B274" s="42"/>
      <c r="C274" s="42"/>
      <c r="D274" s="42" t="str">
        <f>IFERROR(__xludf.DUMMYFUNCTION("""COMPUTED_VALUE"""),"InP")</f>
        <v>InP</v>
      </c>
      <c r="E274" s="42"/>
      <c r="F274" s="42"/>
      <c r="G274" s="42"/>
      <c r="H274" s="42" t="str">
        <f>IFERROR(__xludf.DUMMYFUNCTION("""COMPUTED_VALUE"""),"")</f>
        <v/>
      </c>
      <c r="I274" s="42" t="str">
        <f>IFERROR(__xludf.DUMMYFUNCTION("""COMPUTED_VALUE"""),"Basile, 2021")</f>
        <v>Basile, 2021</v>
      </c>
      <c r="J274" s="42"/>
      <c r="K274" s="42"/>
      <c r="L274" s="42"/>
      <c r="M274" s="42"/>
      <c r="N274" s="42"/>
      <c r="O274" s="31" t="str">
        <f>IFERROR(__xludf.DUMMYFUNCTION("""COMPUTED_VALUE"""),"DOC")</f>
        <v>DOC</v>
      </c>
      <c r="P274" s="9" t="str">
        <f>IFERROR(__xludf.DUMMYFUNCTION("""COMPUTED_VALUE"""),"Brain Structure and Function")</f>
        <v>Brain Structure and Function</v>
      </c>
      <c r="Q274" s="9"/>
      <c r="R274" s="179" t="str">
        <f>IFERROR(__xludf.DUMMYFUNCTION("""COMPUTED_VALUE"""),"InP (00/00) [Basile, 2021];
")</f>
        <v>InP (00/00) [Basile, 2021];
</v>
      </c>
      <c r="S274" s="179" t="str">
        <f>IFERROR(__xludf.DUMMYFUNCTION("""COMPUTED_VALUE"""),"CBPVpInP")</f>
        <v>CBPVpInP</v>
      </c>
      <c r="T274" s="179" t="str">
        <f>IFERROR(__xludf.DUMMYFUNCTION("""COMPUTED_VALUE"""),"[Basile, 2021]")</f>
        <v>[Basile, 2021]</v>
      </c>
      <c r="U274" s="179">
        <f>IFERROR(__xludf.DUMMYFUNCTION("""COMPUTED_VALUE"""),0.0)</f>
        <v>0</v>
      </c>
      <c r="V274" s="180">
        <f>IFERROR(__xludf.DUMMYFUNCTION("""COMPUTED_VALUE"""),0.0)</f>
        <v>0</v>
      </c>
      <c r="W274" s="180">
        <f>IFERROR(__xludf.DUMMYFUNCTION("""COMPUTED_VALUE"""),0.95)</f>
        <v>0.95</v>
      </c>
      <c r="X274" s="42">
        <f>IFERROR(__xludf.DUMMYFUNCTION("""COMPUTED_VALUE"""),0.0)</f>
        <v>0</v>
      </c>
      <c r="Y274" s="42">
        <f>IFERROR(__xludf.DUMMYFUNCTION("""COMPUTED_VALUE"""),0.0)</f>
        <v>0</v>
      </c>
      <c r="Z274" s="9">
        <f>IFERROR(__xludf.DUMMYFUNCTION("""COMPUTED_VALUE"""),0.0)</f>
        <v>0</v>
      </c>
      <c r="AA274" s="181">
        <f>IFERROR(__xludf.DUMMYFUNCTION("""COMPUTED_VALUE"""),0.0)</f>
        <v>0</v>
      </c>
      <c r="AB274" s="181">
        <f>IFERROR(__xludf.DUMMYFUNCTION("""COMPUTED_VALUE"""),0.0)</f>
        <v>0</v>
      </c>
      <c r="AC274" s="179">
        <f>IFERROR(__xludf.DUMMYFUNCTION("""COMPUTED_VALUE"""),0.0)</f>
        <v>0</v>
      </c>
      <c r="AD274" s="165">
        <f>IFERROR(__xludf.DUMMYFUNCTION("""COMPUTED_VALUE"""),0.0)</f>
        <v>0</v>
      </c>
      <c r="AE274" s="39" t="str">
        <f>IFERROR(__xludf.DUMMYFUNCTION("""COMPUTED_VALUE"""),"Hiroshi Yamakawa")</f>
        <v>Hiroshi Yamakawa</v>
      </c>
      <c r="AF274" s="39" t="str">
        <f>IFERROR(__xludf.DUMMYFUNCTION("""COMPUTED_VALUE"""),"HY20Cerebellum")</f>
        <v>HY20Cerebellum</v>
      </c>
      <c r="AG274" s="39"/>
      <c r="AH274" s="39"/>
      <c r="AI274" s="165"/>
      <c r="AJ274" s="165"/>
      <c r="AK274" s="111"/>
      <c r="AL274" s="111"/>
      <c r="AM274" s="111"/>
      <c r="AN274" s="111"/>
      <c r="AO274" s="111"/>
      <c r="AP274" s="111"/>
      <c r="AQ274" s="116"/>
      <c r="AR274" s="116"/>
      <c r="AS274" s="116"/>
    </row>
    <row r="275">
      <c r="A275" s="42" t="str">
        <f>IFERROR(__xludf.DUMMYFUNCTION("""COMPUTED_VALUE"""),"CBV")</f>
        <v>CBV</v>
      </c>
      <c r="B275" s="42"/>
      <c r="C275" s="42"/>
      <c r="D275" s="42" t="str">
        <f>IFERROR(__xludf.DUMMYFUNCTION("""COMPUTED_VALUE"""),"Fas")</f>
        <v>Fas</v>
      </c>
      <c r="E275" s="42"/>
      <c r="F275" s="42"/>
      <c r="G275" s="42"/>
      <c r="H275" s="42" t="str">
        <f>IFERROR(__xludf.DUMMYFUNCTION("""COMPUTED_VALUE"""),"")</f>
        <v/>
      </c>
      <c r="I275" s="42" t="str">
        <f>IFERROR(__xludf.DUMMYFUNCTION("""COMPUTED_VALUE"""),"Kheradmand, 2011")</f>
        <v>Kheradmand, 2011</v>
      </c>
      <c r="J275" s="42"/>
      <c r="K275" s="42"/>
      <c r="L275" s="42"/>
      <c r="M275" s="42"/>
      <c r="N275" s="42"/>
      <c r="O275" s="31" t="str">
        <f>IFERROR(__xludf.DUMMYFUNCTION("""COMPUTED_VALUE"""),"DOC")</f>
        <v>DOC</v>
      </c>
      <c r="P275" s="9" t="str">
        <f>IFERROR(__xludf.DUMMYFUNCTION("""COMPUTED_VALUE"""),"Frontiers in Neurology")</f>
        <v>Frontiers in Neurology</v>
      </c>
      <c r="Q275" s="9"/>
      <c r="R275" s="179" t="str">
        <f>IFERROR(__xludf.DUMMYFUNCTION("""COMPUTED_VALUE"""),"Fas (00/00) [Kheradmand, 2011];
")</f>
        <v>Fas (00/00) [Kheradmand, 2011];
</v>
      </c>
      <c r="S275" s="179" t="str">
        <f>IFERROR(__xludf.DUMMYFUNCTION("""COMPUTED_VALUE"""),"CBVFas")</f>
        <v>CBVFas</v>
      </c>
      <c r="T275" s="179" t="str">
        <f>IFERROR(__xludf.DUMMYFUNCTION("""COMPUTED_VALUE"""),"[Kheradmand, 2011]")</f>
        <v>[Kheradmand, 2011]</v>
      </c>
      <c r="U275" s="179">
        <f>IFERROR(__xludf.DUMMYFUNCTION("""COMPUTED_VALUE"""),0.0)</f>
        <v>0</v>
      </c>
      <c r="V275" s="180">
        <f>IFERROR(__xludf.DUMMYFUNCTION("""COMPUTED_VALUE"""),0.0)</f>
        <v>0</v>
      </c>
      <c r="W275" s="180">
        <f>IFERROR(__xludf.DUMMYFUNCTION("""COMPUTED_VALUE"""),0.95)</f>
        <v>0.95</v>
      </c>
      <c r="X275" s="42">
        <f>IFERROR(__xludf.DUMMYFUNCTION("""COMPUTED_VALUE"""),0.0)</f>
        <v>0</v>
      </c>
      <c r="Y275" s="42">
        <f>IFERROR(__xludf.DUMMYFUNCTION("""COMPUTED_VALUE"""),0.0)</f>
        <v>0</v>
      </c>
      <c r="Z275" s="9">
        <f>IFERROR(__xludf.DUMMYFUNCTION("""COMPUTED_VALUE"""),0.0)</f>
        <v>0</v>
      </c>
      <c r="AA275" s="181">
        <f>IFERROR(__xludf.DUMMYFUNCTION("""COMPUTED_VALUE"""),0.0)</f>
        <v>0</v>
      </c>
      <c r="AB275" s="181">
        <f>IFERROR(__xludf.DUMMYFUNCTION("""COMPUTED_VALUE"""),0.0)</f>
        <v>0</v>
      </c>
      <c r="AC275" s="179">
        <f>IFERROR(__xludf.DUMMYFUNCTION("""COMPUTED_VALUE"""),0.0)</f>
        <v>0</v>
      </c>
      <c r="AD275" s="165">
        <f>IFERROR(__xludf.DUMMYFUNCTION("""COMPUTED_VALUE"""),0.0)</f>
        <v>0</v>
      </c>
      <c r="AE275" s="39" t="str">
        <f>IFERROR(__xludf.DUMMYFUNCTION("""COMPUTED_VALUE"""),"Yoshimasa Tawatsuji")</f>
        <v>Yoshimasa Tawatsuji</v>
      </c>
      <c r="AF275" s="39" t="str">
        <f>IFERROR(__xludf.DUMMYFUNCTION("""COMPUTED_VALUE"""),"Oculomotor")</f>
        <v>Oculomotor</v>
      </c>
      <c r="AG275" s="39"/>
      <c r="AH275" s="39"/>
      <c r="AI275" s="165"/>
      <c r="AJ275" s="165"/>
      <c r="AK275" s="111"/>
      <c r="AL275" s="111"/>
      <c r="AM275" s="111"/>
      <c r="AN275" s="111"/>
      <c r="AO275" s="111"/>
      <c r="AP275" s="111"/>
      <c r="AQ275" s="116"/>
      <c r="AR275" s="116"/>
      <c r="AS275" s="116"/>
    </row>
    <row r="276">
      <c r="A276" s="42" t="str">
        <f>IFERROR(__xludf.DUMMYFUNCTION("""COMPUTED_VALUE"""),"CBVg")</f>
        <v>CBVg</v>
      </c>
      <c r="B276" s="42"/>
      <c r="C276" s="42"/>
      <c r="D276" s="42" t="str">
        <f>IFERROR(__xludf.DUMMYFUNCTION("""COMPUTED_VALUE"""),"CBVp")</f>
        <v>CBVp</v>
      </c>
      <c r="E276" s="42"/>
      <c r="F276" s="42"/>
      <c r="G276" s="42"/>
      <c r="H276" s="42" t="str">
        <f>IFERROR(__xludf.DUMMYFUNCTION("""COMPUTED_VALUE"""),"")</f>
        <v/>
      </c>
      <c r="I276" s="42" t="str">
        <f>IFERROR(__xludf.DUMMYFUNCTION("""COMPUTED_VALUE"""),"Knierim, 2021")</f>
        <v>Knierim, 2021</v>
      </c>
      <c r="J276" s="42"/>
      <c r="K276" s="42"/>
      <c r="L276" s="42"/>
      <c r="M276" s="42"/>
      <c r="N276" s="42"/>
      <c r="O276" s="31" t="str">
        <f>IFERROR(__xludf.DUMMYFUNCTION("""COMPUTED_VALUE"""),"DOC(alt)")</f>
        <v>DOC(alt)</v>
      </c>
      <c r="P276" s="9" t="str">
        <f>IFERROR(__xludf.DUMMYFUNCTION("""COMPUTED_VALUE"""),"Neuroscience Online, an {Open-Access} Neuroscience Electronic Textbook")</f>
        <v>Neuroscience Online, an {Open-Access} Neuroscience Electronic Textbook</v>
      </c>
      <c r="Q276" s="9" t="str">
        <f>IFERROR(__xludf.DUMMYFUNCTION("""COMPUTED_VALUE"""),"Textbook")</f>
        <v>Textbook</v>
      </c>
      <c r="R276" s="179" t="str">
        <f>IFERROR(__xludf.DUMMYFUNCTION("""COMPUTED_VALUE"""),"CBVp (00/00) [Knierim, 2021];
")</f>
        <v>CBVp (00/00) [Knierim, 2021];
</v>
      </c>
      <c r="S276" s="179" t="str">
        <f>IFERROR(__xludf.DUMMYFUNCTION("""COMPUTED_VALUE"""),"CBVgCBVp")</f>
        <v>CBVgCBVp</v>
      </c>
      <c r="T276" s="179" t="str">
        <f>IFERROR(__xludf.DUMMYFUNCTION("""COMPUTED_VALUE"""),"[Knierim, 2021]")</f>
        <v>[Knierim, 2021]</v>
      </c>
      <c r="U276" s="179">
        <f>IFERROR(__xludf.DUMMYFUNCTION("""COMPUTED_VALUE"""),0.0)</f>
        <v>0</v>
      </c>
      <c r="V276" s="180">
        <f>IFERROR(__xludf.DUMMYFUNCTION("""COMPUTED_VALUE"""),0.0)</f>
        <v>0</v>
      </c>
      <c r="W276" s="180">
        <f>IFERROR(__xludf.DUMMYFUNCTION("""COMPUTED_VALUE"""),0.0)</f>
        <v>0</v>
      </c>
      <c r="X276" s="42">
        <f>IFERROR(__xludf.DUMMYFUNCTION("""COMPUTED_VALUE"""),0.9)</f>
        <v>0.9</v>
      </c>
      <c r="Y276" s="42">
        <f>IFERROR(__xludf.DUMMYFUNCTION("""COMPUTED_VALUE"""),0.0)</f>
        <v>0</v>
      </c>
      <c r="Z276" s="9">
        <f>IFERROR(__xludf.DUMMYFUNCTION("""COMPUTED_VALUE"""),0.0)</f>
        <v>0</v>
      </c>
      <c r="AA276" s="181">
        <f>IFERROR(__xludf.DUMMYFUNCTION("""COMPUTED_VALUE"""),0.0)</f>
        <v>0</v>
      </c>
      <c r="AB276" s="181">
        <f>IFERROR(__xludf.DUMMYFUNCTION("""COMPUTED_VALUE"""),0.0)</f>
        <v>0</v>
      </c>
      <c r="AC276" s="179">
        <f>IFERROR(__xludf.DUMMYFUNCTION("""COMPUTED_VALUE"""),0.0)</f>
        <v>0</v>
      </c>
      <c r="AD276" s="165">
        <f>IFERROR(__xludf.DUMMYFUNCTION("""COMPUTED_VALUE"""),0.0)</f>
        <v>0</v>
      </c>
      <c r="AE276" s="39" t="str">
        <f>IFERROR(__xludf.DUMMYFUNCTION("""COMPUTED_VALUE"""),"Hiroshi Yamakawa")</f>
        <v>Hiroshi Yamakawa</v>
      </c>
      <c r="AF276" s="39" t="str">
        <f>IFERROR(__xludf.DUMMYFUNCTION("""COMPUTED_VALUE"""),"HY20Cerebellum")</f>
        <v>HY20Cerebellum</v>
      </c>
      <c r="AG276" s="39"/>
      <c r="AH276" s="39"/>
      <c r="AI276" s="165"/>
      <c r="AJ276" s="165"/>
      <c r="AK276" s="111"/>
      <c r="AL276" s="111"/>
      <c r="AM276" s="111"/>
      <c r="AN276" s="111"/>
      <c r="AO276" s="111"/>
      <c r="AP276" s="111"/>
      <c r="AQ276" s="116"/>
      <c r="AR276" s="116"/>
      <c r="AS276" s="116"/>
    </row>
    <row r="277">
      <c r="A277" s="42" t="str">
        <f>IFERROR(__xludf.DUMMYFUNCTION("""COMPUTED_VALUE"""),"CBVp")</f>
        <v>CBVp</v>
      </c>
      <c r="B277" s="42"/>
      <c r="C277" s="42"/>
      <c r="D277" s="42" t="str">
        <f>IFERROR(__xludf.DUMMYFUNCTION("""COMPUTED_VALUE"""),"Fas")</f>
        <v>Fas</v>
      </c>
      <c r="E277" s="42"/>
      <c r="F277" s="42"/>
      <c r="G277" s="42"/>
      <c r="H277" s="42" t="str">
        <f>IFERROR(__xludf.DUMMYFUNCTION("""COMPUTED_VALUE"""),"")</f>
        <v/>
      </c>
      <c r="I277" s="42" t="str">
        <f>IFERROR(__xludf.DUMMYFUNCTION("""COMPUTED_VALUE"""),"Basile, 2021")</f>
        <v>Basile, 2021</v>
      </c>
      <c r="J277" s="42"/>
      <c r="K277" s="42"/>
      <c r="L277" s="42"/>
      <c r="M277" s="42"/>
      <c r="N277" s="42"/>
      <c r="O277" s="31" t="str">
        <f>IFERROR(__xludf.DUMMYFUNCTION("""COMPUTED_VALUE"""),"DOC")</f>
        <v>DOC</v>
      </c>
      <c r="P277" s="9" t="str">
        <f>IFERROR(__xludf.DUMMYFUNCTION("""COMPUTED_VALUE"""),"Brain Structure and Function")</f>
        <v>Brain Structure and Function</v>
      </c>
      <c r="Q277" s="9"/>
      <c r="R277" s="179" t="str">
        <f>IFERROR(__xludf.DUMMYFUNCTION("""COMPUTED_VALUE"""),"Fas (00/00) [Basile, 2021];
")</f>
        <v>Fas (00/00) [Basile, 2021];
</v>
      </c>
      <c r="S277" s="179" t="str">
        <f>IFERROR(__xludf.DUMMYFUNCTION("""COMPUTED_VALUE"""),"CBVpFas")</f>
        <v>CBVpFas</v>
      </c>
      <c r="T277" s="179" t="str">
        <f>IFERROR(__xludf.DUMMYFUNCTION("""COMPUTED_VALUE"""),"[Basile, 2021]")</f>
        <v>[Basile, 2021]</v>
      </c>
      <c r="U277" s="179">
        <f>IFERROR(__xludf.DUMMYFUNCTION("""COMPUTED_VALUE"""),0.0)</f>
        <v>0</v>
      </c>
      <c r="V277" s="180">
        <f>IFERROR(__xludf.DUMMYFUNCTION("""COMPUTED_VALUE"""),0.0)</f>
        <v>0</v>
      </c>
      <c r="W277" s="180">
        <f>IFERROR(__xludf.DUMMYFUNCTION("""COMPUTED_VALUE"""),0.95)</f>
        <v>0.95</v>
      </c>
      <c r="X277" s="42">
        <f>IFERROR(__xludf.DUMMYFUNCTION("""COMPUTED_VALUE"""),0.0)</f>
        <v>0</v>
      </c>
      <c r="Y277" s="42">
        <f>IFERROR(__xludf.DUMMYFUNCTION("""COMPUTED_VALUE"""),0.0)</f>
        <v>0</v>
      </c>
      <c r="Z277" s="9">
        <f>IFERROR(__xludf.DUMMYFUNCTION("""COMPUTED_VALUE"""),0.0)</f>
        <v>0</v>
      </c>
      <c r="AA277" s="181">
        <f>IFERROR(__xludf.DUMMYFUNCTION("""COMPUTED_VALUE"""),0.0)</f>
        <v>0</v>
      </c>
      <c r="AB277" s="181">
        <f>IFERROR(__xludf.DUMMYFUNCTION("""COMPUTED_VALUE"""),0.0)</f>
        <v>0</v>
      </c>
      <c r="AC277" s="179">
        <f>IFERROR(__xludf.DUMMYFUNCTION("""COMPUTED_VALUE"""),0.0)</f>
        <v>0</v>
      </c>
      <c r="AD277" s="165">
        <f>IFERROR(__xludf.DUMMYFUNCTION("""COMPUTED_VALUE"""),0.0)</f>
        <v>0</v>
      </c>
      <c r="AE277" s="39" t="str">
        <f>IFERROR(__xludf.DUMMYFUNCTION("""COMPUTED_VALUE"""),"Hiroshi Yamakawa")</f>
        <v>Hiroshi Yamakawa</v>
      </c>
      <c r="AF277" s="39" t="str">
        <f>IFERROR(__xludf.DUMMYFUNCTION("""COMPUTED_VALUE"""),"HY20Cerebellum")</f>
        <v>HY20Cerebellum</v>
      </c>
      <c r="AG277" s="39"/>
      <c r="AH277" s="39"/>
      <c r="AI277" s="165"/>
      <c r="AJ277" s="165"/>
      <c r="AK277" s="111"/>
      <c r="AL277" s="111"/>
      <c r="AM277" s="111"/>
      <c r="AN277" s="111"/>
      <c r="AO277" s="111"/>
      <c r="AP277" s="111"/>
      <c r="AQ277" s="116"/>
      <c r="AR277" s="116"/>
      <c r="AS277" s="116"/>
    </row>
    <row r="278">
      <c r="A278" s="42" t="str">
        <f>IFERROR(__xludf.DUMMYFUNCTION("""COMPUTED_VALUE"""),"CEl")</f>
        <v>CEl</v>
      </c>
      <c r="B278" s="42"/>
      <c r="C278" s="42"/>
      <c r="D278" s="42" t="str">
        <f>IFERROR(__xludf.DUMMYFUNCTION("""COMPUTED_VALUE"""),"CEm")</f>
        <v>CEm</v>
      </c>
      <c r="E278" s="42"/>
      <c r="F278" s="42"/>
      <c r="G278" s="42"/>
      <c r="H278" s="42" t="str">
        <f>IFERROR(__xludf.DUMMYFUNCTION("""COMPUTED_VALUE"""),"")</f>
        <v/>
      </c>
      <c r="I278" s="42" t="str">
        <f>IFERROR(__xludf.DUMMYFUNCTION("""COMPUTED_VALUE"""),"Pitkänen, 2000")</f>
        <v>Pitkänen, 2000</v>
      </c>
      <c r="J278" s="42" t="str">
        <f>IFERROR(__xludf.DUMMYFUNCTION("""COMPUTED_VALUE"""),"Rat")</f>
        <v>Rat</v>
      </c>
      <c r="K278" s="42" t="str">
        <f>IFERROR(__xludf.DUMMYFUNCTION("""COMPUTED_VALUE"""),"Various tracing")</f>
        <v>Various tracing</v>
      </c>
      <c r="L278" s="42"/>
      <c r="M278" s="42" t="str">
        <f>IFERROR(__xludf.DUMMYFUNCTION("""COMPUTED_VALUE"""),"fig.3-fig.12 (to be specified)")</f>
        <v>fig.3-fig.12 (to be specified)</v>
      </c>
      <c r="N278" s="42"/>
      <c r="O278" s="31" t="str">
        <f>IFERROR(__xludf.DUMMYFUNCTION("""COMPUTED_VALUE"""),"DOC(alt)")</f>
        <v>DOC(alt)</v>
      </c>
      <c r="P278" s="9" t="str">
        <f>IFERROR(__xludf.DUMMYFUNCTION("""COMPUTED_VALUE"""),"Folia morphologica")</f>
        <v>Folia morphologica</v>
      </c>
      <c r="Q278" s="9" t="str">
        <f>IFERROR(__xludf.DUMMYFUNCTION("""COMPUTED_VALUE"""),"Review")</f>
        <v>Review</v>
      </c>
      <c r="R278" s="179" t="str">
        <f>IFERROR(__xludf.DUMMYFUNCTION("""COMPUTED_VALUE"""),"CEm (00/00) [Pitkänen, 2000];
")</f>
        <v>CEm (00/00) [Pitkänen, 2000];
</v>
      </c>
      <c r="S278" s="179" t="str">
        <f>IFERROR(__xludf.DUMMYFUNCTION("""COMPUTED_VALUE"""),"CElCEm")</f>
        <v>CElCEm</v>
      </c>
      <c r="T278" s="179" t="str">
        <f>IFERROR(__xludf.DUMMYFUNCTION("""COMPUTED_VALUE"""),"[Pitkänen, 2000]")</f>
        <v>[Pitkänen, 2000]</v>
      </c>
      <c r="U278" s="179">
        <f>IFERROR(__xludf.DUMMYFUNCTION("""COMPUTED_VALUE"""),0.0)</f>
        <v>0</v>
      </c>
      <c r="V278" s="180">
        <f>IFERROR(__xludf.DUMMYFUNCTION("""COMPUTED_VALUE"""),0.0)</f>
        <v>0</v>
      </c>
      <c r="W278" s="180">
        <f>IFERROR(__xludf.DUMMYFUNCTION("""COMPUTED_VALUE"""),0.95)</f>
        <v>0.95</v>
      </c>
      <c r="X278" s="42">
        <f>IFERROR(__xludf.DUMMYFUNCTION("""COMPUTED_VALUE"""),0.8)</f>
        <v>0.8</v>
      </c>
      <c r="Y278" s="42">
        <f>IFERROR(__xludf.DUMMYFUNCTION("""COMPUTED_VALUE"""),0.6)</f>
        <v>0.6</v>
      </c>
      <c r="Z278" s="9">
        <f>IFERROR(__xludf.DUMMYFUNCTION("""COMPUTED_VALUE"""),0.9)</f>
        <v>0.9</v>
      </c>
      <c r="AA278" s="181">
        <f>IFERROR(__xludf.DUMMYFUNCTION("""COMPUTED_VALUE"""),0.0)</f>
        <v>0</v>
      </c>
      <c r="AB278" s="181">
        <f>IFERROR(__xludf.DUMMYFUNCTION("""COMPUTED_VALUE"""),0.0)</f>
        <v>0</v>
      </c>
      <c r="AC278" s="179">
        <f>IFERROR(__xludf.DUMMYFUNCTION("""COMPUTED_VALUE"""),0.0)</f>
        <v>0</v>
      </c>
      <c r="AD278" s="165">
        <f>IFERROR(__xludf.DUMMYFUNCTION("""COMPUTED_VALUE"""),0.0)</f>
        <v>0</v>
      </c>
      <c r="AE278" s="39" t="str">
        <f>IFERROR(__xludf.DUMMYFUNCTION("""COMPUTED_VALUE"""),"Tatsuya Miyamoto")</f>
        <v>Tatsuya Miyamoto</v>
      </c>
      <c r="AF278" s="39" t="str">
        <f>IFERROR(__xludf.DUMMYFUNCTION("""COMPUTED_VALUE"""),"TM21Amygdala")</f>
        <v>TM21Amygdala</v>
      </c>
      <c r="AG278" s="39"/>
      <c r="AH278" s="39"/>
      <c r="AI278" s="165"/>
      <c r="AJ278" s="165"/>
      <c r="AK278" s="111"/>
      <c r="AL278" s="111"/>
      <c r="AM278" s="111"/>
      <c r="AN278" s="111"/>
      <c r="AO278" s="111"/>
      <c r="AP278" s="111"/>
      <c r="AQ278" s="116"/>
      <c r="AR278" s="116"/>
      <c r="AS278" s="116"/>
    </row>
    <row r="279">
      <c r="A279" s="42" t="str">
        <f>IFERROR(__xludf.DUMMYFUNCTION("""COMPUTED_VALUE"""),"CEN")</f>
        <v>CEN</v>
      </c>
      <c r="B279" s="42"/>
      <c r="C279" s="42"/>
      <c r="D279" s="42" t="str">
        <f>IFERROR(__xludf.DUMMYFUNCTION("""COMPUTED_VALUE"""),"AId")</f>
        <v>AId</v>
      </c>
      <c r="E279" s="42"/>
      <c r="F279" s="42"/>
      <c r="G279" s="42"/>
      <c r="H279" s="42" t="str">
        <f>IFERROR(__xludf.DUMMYFUNCTION("""COMPUTED_VALUE"""),"")</f>
        <v/>
      </c>
      <c r="I279" s="42" t="str">
        <f>IFERROR(__xludf.DUMMYFUNCTION("""COMPUTED_VALUE"""),"Pitkänen, 2000")</f>
        <v>Pitkänen, 2000</v>
      </c>
      <c r="J279" s="42" t="str">
        <f>IFERROR(__xludf.DUMMYFUNCTION("""COMPUTED_VALUE"""),"Rat")</f>
        <v>Rat</v>
      </c>
      <c r="K279" s="42" t="str">
        <f>IFERROR(__xludf.DUMMYFUNCTION("""COMPUTED_VALUE"""),"Various tracing")</f>
        <v>Various tracing</v>
      </c>
      <c r="L279" s="42"/>
      <c r="M279" s="42" t="str">
        <f>IFERROR(__xludf.DUMMYFUNCTION("""COMPUTED_VALUE"""),"fig.3-fig.12 (to be specified)")</f>
        <v>fig.3-fig.12 (to be specified)</v>
      </c>
      <c r="N279" s="38"/>
      <c r="O279" s="31" t="str">
        <f>IFERROR(__xludf.DUMMYFUNCTION("""COMPUTED_VALUE"""),"DOC(alt)")</f>
        <v>DOC(alt)</v>
      </c>
      <c r="P279" s="9" t="str">
        <f>IFERROR(__xludf.DUMMYFUNCTION("""COMPUTED_VALUE"""),"Folia morphologica")</f>
        <v>Folia morphologica</v>
      </c>
      <c r="Q279" s="9" t="str">
        <f>IFERROR(__xludf.DUMMYFUNCTION("""COMPUTED_VALUE"""),"Review")</f>
        <v>Review</v>
      </c>
      <c r="R279" s="179" t="str">
        <f>IFERROR(__xludf.DUMMYFUNCTION("""COMPUTED_VALUE"""),"AId (00/00) [Pitkänen, 2000];
")</f>
        <v>AId (00/00) [Pitkänen, 2000];
</v>
      </c>
      <c r="S279" s="179" t="str">
        <f>IFERROR(__xludf.DUMMYFUNCTION("""COMPUTED_VALUE"""),"CENAId")</f>
        <v>CENAId</v>
      </c>
      <c r="T279" s="179" t="str">
        <f>IFERROR(__xludf.DUMMYFUNCTION("""COMPUTED_VALUE"""),"[Pitkänen, 2000]")</f>
        <v>[Pitkänen, 2000]</v>
      </c>
      <c r="U279" s="179">
        <f>IFERROR(__xludf.DUMMYFUNCTION("""COMPUTED_VALUE"""),0.0)</f>
        <v>0</v>
      </c>
      <c r="V279" s="180">
        <f>IFERROR(__xludf.DUMMYFUNCTION("""COMPUTED_VALUE"""),0.0)</f>
        <v>0</v>
      </c>
      <c r="W279" s="180">
        <f>IFERROR(__xludf.DUMMYFUNCTION("""COMPUTED_VALUE"""),0.95)</f>
        <v>0.95</v>
      </c>
      <c r="X279" s="42">
        <f>IFERROR(__xludf.DUMMYFUNCTION("""COMPUTED_VALUE"""),0.8)</f>
        <v>0.8</v>
      </c>
      <c r="Y279" s="42">
        <f>IFERROR(__xludf.DUMMYFUNCTION("""COMPUTED_VALUE"""),0.6)</f>
        <v>0.6</v>
      </c>
      <c r="Z279" s="9">
        <f>IFERROR(__xludf.DUMMYFUNCTION("""COMPUTED_VALUE"""),0.9)</f>
        <v>0.9</v>
      </c>
      <c r="AA279" s="181">
        <f>IFERROR(__xludf.DUMMYFUNCTION("""COMPUTED_VALUE"""),0.0)</f>
        <v>0</v>
      </c>
      <c r="AB279" s="181">
        <f>IFERROR(__xludf.DUMMYFUNCTION("""COMPUTED_VALUE"""),0.0)</f>
        <v>0</v>
      </c>
      <c r="AC279" s="179">
        <f>IFERROR(__xludf.DUMMYFUNCTION("""COMPUTED_VALUE"""),0.0)</f>
        <v>0</v>
      </c>
      <c r="AD279" s="165">
        <f>IFERROR(__xludf.DUMMYFUNCTION("""COMPUTED_VALUE"""),0.0)</f>
        <v>0</v>
      </c>
      <c r="AE279" s="39" t="str">
        <f>IFERROR(__xludf.DUMMYFUNCTION("""COMPUTED_VALUE"""),"Tatsuya Miyamoto")</f>
        <v>Tatsuya Miyamoto</v>
      </c>
      <c r="AF279" s="39" t="str">
        <f>IFERROR(__xludf.DUMMYFUNCTION("""COMPUTED_VALUE"""),"TM21Amygdala")</f>
        <v>TM21Amygdala</v>
      </c>
      <c r="AG279" s="39"/>
      <c r="AH279" s="39"/>
      <c r="AI279" s="165"/>
      <c r="AJ279" s="165"/>
      <c r="AK279" s="111"/>
      <c r="AL279" s="111"/>
      <c r="AM279" s="111"/>
      <c r="AN279" s="111"/>
      <c r="AO279" s="111"/>
      <c r="AP279" s="111"/>
      <c r="AQ279" s="116"/>
      <c r="AR279" s="116"/>
      <c r="AS279" s="116"/>
    </row>
    <row r="280">
      <c r="A280" s="42" t="str">
        <f>IFERROR(__xludf.DUMMYFUNCTION("""COMPUTED_VALUE"""),"CEN")</f>
        <v>CEN</v>
      </c>
      <c r="B280" s="42"/>
      <c r="C280" s="42"/>
      <c r="D280" s="42" t="str">
        <f>IFERROR(__xludf.DUMMYFUNCTION("""COMPUTED_VALUE"""),"AIp")</f>
        <v>AIp</v>
      </c>
      <c r="E280" s="42"/>
      <c r="F280" s="42"/>
      <c r="G280" s="42"/>
      <c r="H280" s="42" t="str">
        <f>IFERROR(__xludf.DUMMYFUNCTION("""COMPUTED_VALUE"""),"")</f>
        <v/>
      </c>
      <c r="I280" s="42" t="str">
        <f>IFERROR(__xludf.DUMMYFUNCTION("""COMPUTED_VALUE"""),"Pitkänen, 2000")</f>
        <v>Pitkänen, 2000</v>
      </c>
      <c r="J280" s="42" t="str">
        <f>IFERROR(__xludf.DUMMYFUNCTION("""COMPUTED_VALUE"""),"Rat")</f>
        <v>Rat</v>
      </c>
      <c r="K280" s="42" t="str">
        <f>IFERROR(__xludf.DUMMYFUNCTION("""COMPUTED_VALUE"""),"Various tracing")</f>
        <v>Various tracing</v>
      </c>
      <c r="L280" s="42"/>
      <c r="M280" s="42" t="str">
        <f>IFERROR(__xludf.DUMMYFUNCTION("""COMPUTED_VALUE"""),"fig.3-fig.12 (to be specified)")</f>
        <v>fig.3-fig.12 (to be specified)</v>
      </c>
      <c r="N280" s="38"/>
      <c r="O280" s="31" t="str">
        <f>IFERROR(__xludf.DUMMYFUNCTION("""COMPUTED_VALUE"""),"DOC(alt)")</f>
        <v>DOC(alt)</v>
      </c>
      <c r="P280" s="9" t="str">
        <f>IFERROR(__xludf.DUMMYFUNCTION("""COMPUTED_VALUE"""),"Folia morphologica")</f>
        <v>Folia morphologica</v>
      </c>
      <c r="Q280" s="9" t="str">
        <f>IFERROR(__xludf.DUMMYFUNCTION("""COMPUTED_VALUE"""),"Review")</f>
        <v>Review</v>
      </c>
      <c r="R280" s="179" t="str">
        <f>IFERROR(__xludf.DUMMYFUNCTION("""COMPUTED_VALUE"""),"AIp (00/00) [Pitkänen, 2000];
")</f>
        <v>AIp (00/00) [Pitkänen, 2000];
</v>
      </c>
      <c r="S280" s="179" t="str">
        <f>IFERROR(__xludf.DUMMYFUNCTION("""COMPUTED_VALUE"""),"CENAIp")</f>
        <v>CENAIp</v>
      </c>
      <c r="T280" s="179" t="str">
        <f>IFERROR(__xludf.DUMMYFUNCTION("""COMPUTED_VALUE"""),"[Pitkänen, 2000]")</f>
        <v>[Pitkänen, 2000]</v>
      </c>
      <c r="U280" s="179">
        <f>IFERROR(__xludf.DUMMYFUNCTION("""COMPUTED_VALUE"""),0.0)</f>
        <v>0</v>
      </c>
      <c r="V280" s="180">
        <f>IFERROR(__xludf.DUMMYFUNCTION("""COMPUTED_VALUE"""),0.0)</f>
        <v>0</v>
      </c>
      <c r="W280" s="180">
        <f>IFERROR(__xludf.DUMMYFUNCTION("""COMPUTED_VALUE"""),0.95)</f>
        <v>0.95</v>
      </c>
      <c r="X280" s="42">
        <f>IFERROR(__xludf.DUMMYFUNCTION("""COMPUTED_VALUE"""),0.8)</f>
        <v>0.8</v>
      </c>
      <c r="Y280" s="42">
        <f>IFERROR(__xludf.DUMMYFUNCTION("""COMPUTED_VALUE"""),0.6)</f>
        <v>0.6</v>
      </c>
      <c r="Z280" s="9">
        <f>IFERROR(__xludf.DUMMYFUNCTION("""COMPUTED_VALUE"""),0.9)</f>
        <v>0.9</v>
      </c>
      <c r="AA280" s="181">
        <f>IFERROR(__xludf.DUMMYFUNCTION("""COMPUTED_VALUE"""),0.0)</f>
        <v>0</v>
      </c>
      <c r="AB280" s="181">
        <f>IFERROR(__xludf.DUMMYFUNCTION("""COMPUTED_VALUE"""),0.0)</f>
        <v>0</v>
      </c>
      <c r="AC280" s="179">
        <f>IFERROR(__xludf.DUMMYFUNCTION("""COMPUTED_VALUE"""),0.0)</f>
        <v>0</v>
      </c>
      <c r="AD280" s="165">
        <f>IFERROR(__xludf.DUMMYFUNCTION("""COMPUTED_VALUE"""),0.0)</f>
        <v>0</v>
      </c>
      <c r="AE280" s="39" t="str">
        <f>IFERROR(__xludf.DUMMYFUNCTION("""COMPUTED_VALUE"""),"Tatsuya Miyamoto")</f>
        <v>Tatsuya Miyamoto</v>
      </c>
      <c r="AF280" s="39" t="str">
        <f>IFERROR(__xludf.DUMMYFUNCTION("""COMPUTED_VALUE"""),"TM21Amygdala")</f>
        <v>TM21Amygdala</v>
      </c>
      <c r="AG280" s="39"/>
      <c r="AH280" s="39"/>
      <c r="AI280" s="165"/>
      <c r="AJ280" s="165"/>
      <c r="AK280" s="111"/>
      <c r="AL280" s="111"/>
      <c r="AM280" s="111"/>
      <c r="AN280" s="111"/>
      <c r="AO280" s="111"/>
      <c r="AP280" s="111"/>
      <c r="AQ280" s="116"/>
      <c r="AR280" s="116"/>
      <c r="AS280" s="116"/>
    </row>
    <row r="281">
      <c r="A281" s="42" t="str">
        <f>IFERROR(__xludf.DUMMYFUNCTION("""COMPUTED_VALUE"""),"CEN")</f>
        <v>CEN</v>
      </c>
      <c r="B281" s="42"/>
      <c r="C281" s="42"/>
      <c r="D281" s="42" t="str">
        <f>IFERROR(__xludf.DUMMYFUNCTION("""COMPUTED_VALUE"""),"BF")</f>
        <v>BF</v>
      </c>
      <c r="E281" s="42"/>
      <c r="F281" s="42"/>
      <c r="G281" s="42"/>
      <c r="H281" s="42" t="str">
        <f>IFERROR(__xludf.DUMMYFUNCTION("""COMPUTED_VALUE"""),"")</f>
        <v/>
      </c>
      <c r="I281" s="42" t="str">
        <f>IFERROR(__xludf.DUMMYFUNCTION("""COMPUTED_VALUE"""),"Pitkänen, 2000")</f>
        <v>Pitkänen, 2000</v>
      </c>
      <c r="J281" s="42" t="str">
        <f>IFERROR(__xludf.DUMMYFUNCTION("""COMPUTED_VALUE"""),"Rat")</f>
        <v>Rat</v>
      </c>
      <c r="K281" s="42" t="str">
        <f>IFERROR(__xludf.DUMMYFUNCTION("""COMPUTED_VALUE"""),"Various tracing")</f>
        <v>Various tracing</v>
      </c>
      <c r="L281" s="42"/>
      <c r="M281" s="42" t="str">
        <f>IFERROR(__xludf.DUMMYFUNCTION("""COMPUTED_VALUE"""),"fig.3-fig.12 (to be specified)")</f>
        <v>fig.3-fig.12 (to be specified)</v>
      </c>
      <c r="N281" s="38"/>
      <c r="O281" s="31" t="str">
        <f>IFERROR(__xludf.DUMMYFUNCTION("""COMPUTED_VALUE"""),"DOC(alt)")</f>
        <v>DOC(alt)</v>
      </c>
      <c r="P281" s="9" t="str">
        <f>IFERROR(__xludf.DUMMYFUNCTION("""COMPUTED_VALUE"""),"Folia morphologica")</f>
        <v>Folia morphologica</v>
      </c>
      <c r="Q281" s="9" t="str">
        <f>IFERROR(__xludf.DUMMYFUNCTION("""COMPUTED_VALUE"""),"Review")</f>
        <v>Review</v>
      </c>
      <c r="R281" s="179" t="str">
        <f>IFERROR(__xludf.DUMMYFUNCTION("""COMPUTED_VALUE"""),"BF (00/00) [Pitkänen, 2000];
")</f>
        <v>BF (00/00) [Pitkänen, 2000];
</v>
      </c>
      <c r="S281" s="179" t="str">
        <f>IFERROR(__xludf.DUMMYFUNCTION("""COMPUTED_VALUE"""),"CENBF")</f>
        <v>CENBF</v>
      </c>
      <c r="T281" s="179" t="str">
        <f>IFERROR(__xludf.DUMMYFUNCTION("""COMPUTED_VALUE"""),"[Pitkänen, 2000]")</f>
        <v>[Pitkänen, 2000]</v>
      </c>
      <c r="U281" s="179">
        <f>IFERROR(__xludf.DUMMYFUNCTION("""COMPUTED_VALUE"""),0.0)</f>
        <v>0</v>
      </c>
      <c r="V281" s="180">
        <f>IFERROR(__xludf.DUMMYFUNCTION("""COMPUTED_VALUE"""),0.0)</f>
        <v>0</v>
      </c>
      <c r="W281" s="180">
        <f>IFERROR(__xludf.DUMMYFUNCTION("""COMPUTED_VALUE"""),0.95)</f>
        <v>0.95</v>
      </c>
      <c r="X281" s="42">
        <f>IFERROR(__xludf.DUMMYFUNCTION("""COMPUTED_VALUE"""),0.8)</f>
        <v>0.8</v>
      </c>
      <c r="Y281" s="42">
        <f>IFERROR(__xludf.DUMMYFUNCTION("""COMPUTED_VALUE"""),0.6)</f>
        <v>0.6</v>
      </c>
      <c r="Z281" s="9">
        <f>IFERROR(__xludf.DUMMYFUNCTION("""COMPUTED_VALUE"""),0.9)</f>
        <v>0.9</v>
      </c>
      <c r="AA281" s="181">
        <f>IFERROR(__xludf.DUMMYFUNCTION("""COMPUTED_VALUE"""),0.0)</f>
        <v>0</v>
      </c>
      <c r="AB281" s="181">
        <f>IFERROR(__xludf.DUMMYFUNCTION("""COMPUTED_VALUE"""),0.0)</f>
        <v>0</v>
      </c>
      <c r="AC281" s="179">
        <f>IFERROR(__xludf.DUMMYFUNCTION("""COMPUTED_VALUE"""),0.0)</f>
        <v>0</v>
      </c>
      <c r="AD281" s="165">
        <f>IFERROR(__xludf.DUMMYFUNCTION("""COMPUTED_VALUE"""),0.0)</f>
        <v>0</v>
      </c>
      <c r="AE281" s="39" t="str">
        <f>IFERROR(__xludf.DUMMYFUNCTION("""COMPUTED_VALUE"""),"Tatsuya Miyamoto")</f>
        <v>Tatsuya Miyamoto</v>
      </c>
      <c r="AF281" s="39" t="str">
        <f>IFERROR(__xludf.DUMMYFUNCTION("""COMPUTED_VALUE"""),"TM21Amygdala")</f>
        <v>TM21Amygdala</v>
      </c>
      <c r="AG281" s="39"/>
      <c r="AH281" s="39"/>
      <c r="AI281" s="165"/>
      <c r="AJ281" s="165"/>
      <c r="AK281" s="111"/>
      <c r="AL281" s="111"/>
      <c r="AM281" s="111"/>
      <c r="AN281" s="111"/>
      <c r="AO281" s="111"/>
      <c r="AP281" s="111"/>
      <c r="AQ281" s="116"/>
      <c r="AR281" s="116"/>
      <c r="AS281" s="116"/>
    </row>
    <row r="282">
      <c r="A282" s="42" t="str">
        <f>IFERROR(__xludf.DUMMYFUNCTION("""COMPUTED_VALUE"""),"CEN")</f>
        <v>CEN</v>
      </c>
      <c r="B282" s="42"/>
      <c r="C282" s="42"/>
      <c r="D282" s="42" t="str">
        <f>IFERROR(__xludf.DUMMYFUNCTION("""COMPUTED_VALUE"""),"BNST")</f>
        <v>BNST</v>
      </c>
      <c r="E282" s="42"/>
      <c r="F282" s="42"/>
      <c r="G282" s="42"/>
      <c r="H282" s="42" t="str">
        <f>IFERROR(__xludf.DUMMYFUNCTION("""COMPUTED_VALUE"""),"")</f>
        <v/>
      </c>
      <c r="I282" s="42" t="str">
        <f>IFERROR(__xludf.DUMMYFUNCTION("""COMPUTED_VALUE"""),"Pitkänen, 2000")</f>
        <v>Pitkänen, 2000</v>
      </c>
      <c r="J282" s="42" t="str">
        <f>IFERROR(__xludf.DUMMYFUNCTION("""COMPUTED_VALUE"""),"Rat")</f>
        <v>Rat</v>
      </c>
      <c r="K282" s="42" t="str">
        <f>IFERROR(__xludf.DUMMYFUNCTION("""COMPUTED_VALUE"""),"Various tracing")</f>
        <v>Various tracing</v>
      </c>
      <c r="L282" s="42"/>
      <c r="M282" s="42" t="str">
        <f>IFERROR(__xludf.DUMMYFUNCTION("""COMPUTED_VALUE"""),"fig.3-fig.12 (to be specified)")</f>
        <v>fig.3-fig.12 (to be specified)</v>
      </c>
      <c r="N282" s="38"/>
      <c r="O282" s="31" t="str">
        <f>IFERROR(__xludf.DUMMYFUNCTION("""COMPUTED_VALUE"""),"DOC(alt)")</f>
        <v>DOC(alt)</v>
      </c>
      <c r="P282" s="9" t="str">
        <f>IFERROR(__xludf.DUMMYFUNCTION("""COMPUTED_VALUE"""),"Folia morphologica")</f>
        <v>Folia morphologica</v>
      </c>
      <c r="Q282" s="9" t="str">
        <f>IFERROR(__xludf.DUMMYFUNCTION("""COMPUTED_VALUE"""),"Review")</f>
        <v>Review</v>
      </c>
      <c r="R282" s="179" t="str">
        <f>IFERROR(__xludf.DUMMYFUNCTION("""COMPUTED_VALUE"""),"BNST (00/00) [Pitkänen, 2000];
")</f>
        <v>BNST (00/00) [Pitkänen, 2000];
</v>
      </c>
      <c r="S282" s="179" t="str">
        <f>IFERROR(__xludf.DUMMYFUNCTION("""COMPUTED_VALUE"""),"CENBNST")</f>
        <v>CENBNST</v>
      </c>
      <c r="T282" s="179" t="str">
        <f>IFERROR(__xludf.DUMMYFUNCTION("""COMPUTED_VALUE"""),"[Pitkänen, 2000]")</f>
        <v>[Pitkänen, 2000]</v>
      </c>
      <c r="U282" s="179">
        <f>IFERROR(__xludf.DUMMYFUNCTION("""COMPUTED_VALUE"""),0.0)</f>
        <v>0</v>
      </c>
      <c r="V282" s="180">
        <f>IFERROR(__xludf.DUMMYFUNCTION("""COMPUTED_VALUE"""),0.0)</f>
        <v>0</v>
      </c>
      <c r="W282" s="180">
        <f>IFERROR(__xludf.DUMMYFUNCTION("""COMPUTED_VALUE"""),0.95)</f>
        <v>0.95</v>
      </c>
      <c r="X282" s="42">
        <f>IFERROR(__xludf.DUMMYFUNCTION("""COMPUTED_VALUE"""),0.8)</f>
        <v>0.8</v>
      </c>
      <c r="Y282" s="42">
        <f>IFERROR(__xludf.DUMMYFUNCTION("""COMPUTED_VALUE"""),0.6)</f>
        <v>0.6</v>
      </c>
      <c r="Z282" s="9">
        <f>IFERROR(__xludf.DUMMYFUNCTION("""COMPUTED_VALUE"""),0.9)</f>
        <v>0.9</v>
      </c>
      <c r="AA282" s="181">
        <f>IFERROR(__xludf.DUMMYFUNCTION("""COMPUTED_VALUE"""),0.0)</f>
        <v>0</v>
      </c>
      <c r="AB282" s="181">
        <f>IFERROR(__xludf.DUMMYFUNCTION("""COMPUTED_VALUE"""),0.0)</f>
        <v>0</v>
      </c>
      <c r="AC282" s="179">
        <f>IFERROR(__xludf.DUMMYFUNCTION("""COMPUTED_VALUE"""),0.0)</f>
        <v>0</v>
      </c>
      <c r="AD282" s="165">
        <f>IFERROR(__xludf.DUMMYFUNCTION("""COMPUTED_VALUE"""),0.0)</f>
        <v>0</v>
      </c>
      <c r="AE282" s="39" t="str">
        <f>IFERROR(__xludf.DUMMYFUNCTION("""COMPUTED_VALUE"""),"Tatsuya Miyamoto")</f>
        <v>Tatsuya Miyamoto</v>
      </c>
      <c r="AF282" s="39" t="str">
        <f>IFERROR(__xludf.DUMMYFUNCTION("""COMPUTED_VALUE"""),"TM21Amygdala")</f>
        <v>TM21Amygdala</v>
      </c>
      <c r="AG282" s="39"/>
      <c r="AH282" s="39"/>
      <c r="AI282" s="165"/>
      <c r="AJ282" s="165"/>
      <c r="AK282" s="111"/>
      <c r="AL282" s="111"/>
      <c r="AM282" s="111"/>
      <c r="AN282" s="111"/>
      <c r="AO282" s="111"/>
      <c r="AP282" s="111"/>
      <c r="AQ282" s="116"/>
      <c r="AR282" s="116"/>
      <c r="AS282" s="116"/>
    </row>
    <row r="283">
      <c r="A283" s="42" t="str">
        <f>IFERROR(__xludf.DUMMYFUNCTION("""COMPUTED_VALUE"""),"CEN")</f>
        <v>CEN</v>
      </c>
      <c r="B283" s="42"/>
      <c r="C283" s="42"/>
      <c r="D283" s="42" t="str">
        <f>IFERROR(__xludf.DUMMYFUNCTION("""COMPUTED_VALUE"""),"DIg")</f>
        <v>DIg</v>
      </c>
      <c r="E283" s="42"/>
      <c r="F283" s="42"/>
      <c r="G283" s="42"/>
      <c r="H283" s="42" t="str">
        <f>IFERROR(__xludf.DUMMYFUNCTION("""COMPUTED_VALUE"""),"")</f>
        <v/>
      </c>
      <c r="I283" s="42" t="str">
        <f>IFERROR(__xludf.DUMMYFUNCTION("""COMPUTED_VALUE"""),"Pitkänen, 2000")</f>
        <v>Pitkänen, 2000</v>
      </c>
      <c r="J283" s="42" t="str">
        <f>IFERROR(__xludf.DUMMYFUNCTION("""COMPUTED_VALUE"""),"Rat")</f>
        <v>Rat</v>
      </c>
      <c r="K283" s="42" t="str">
        <f>IFERROR(__xludf.DUMMYFUNCTION("""COMPUTED_VALUE"""),"Various tracing")</f>
        <v>Various tracing</v>
      </c>
      <c r="L283" s="42"/>
      <c r="M283" s="42" t="str">
        <f>IFERROR(__xludf.DUMMYFUNCTION("""COMPUTED_VALUE"""),"fig.3-fig.12 (to be specified)")</f>
        <v>fig.3-fig.12 (to be specified)</v>
      </c>
      <c r="N283" s="38"/>
      <c r="O283" s="31" t="str">
        <f>IFERROR(__xludf.DUMMYFUNCTION("""COMPUTED_VALUE"""),"DOC(alt)")</f>
        <v>DOC(alt)</v>
      </c>
      <c r="P283" s="9" t="str">
        <f>IFERROR(__xludf.DUMMYFUNCTION("""COMPUTED_VALUE"""),"Folia morphologica")</f>
        <v>Folia morphologica</v>
      </c>
      <c r="Q283" s="9" t="str">
        <f>IFERROR(__xludf.DUMMYFUNCTION("""COMPUTED_VALUE"""),"Review")</f>
        <v>Review</v>
      </c>
      <c r="R283" s="179" t="str">
        <f>IFERROR(__xludf.DUMMYFUNCTION("""COMPUTED_VALUE"""),"DIg (00/00) [Pitkänen, 2000];
")</f>
        <v>DIg (00/00) [Pitkänen, 2000];
</v>
      </c>
      <c r="S283" s="179" t="str">
        <f>IFERROR(__xludf.DUMMYFUNCTION("""COMPUTED_VALUE"""),"CENDIg")</f>
        <v>CENDIg</v>
      </c>
      <c r="T283" s="179" t="str">
        <f>IFERROR(__xludf.DUMMYFUNCTION("""COMPUTED_VALUE"""),"[Pitkänen, 2000]")</f>
        <v>[Pitkänen, 2000]</v>
      </c>
      <c r="U283" s="179">
        <f>IFERROR(__xludf.DUMMYFUNCTION("""COMPUTED_VALUE"""),0.0)</f>
        <v>0</v>
      </c>
      <c r="V283" s="180">
        <f>IFERROR(__xludf.DUMMYFUNCTION("""COMPUTED_VALUE"""),0.0)</f>
        <v>0</v>
      </c>
      <c r="W283" s="180">
        <f>IFERROR(__xludf.DUMMYFUNCTION("""COMPUTED_VALUE"""),0.95)</f>
        <v>0.95</v>
      </c>
      <c r="X283" s="42">
        <f>IFERROR(__xludf.DUMMYFUNCTION("""COMPUTED_VALUE"""),0.8)</f>
        <v>0.8</v>
      </c>
      <c r="Y283" s="42">
        <f>IFERROR(__xludf.DUMMYFUNCTION("""COMPUTED_VALUE"""),0.6)</f>
        <v>0.6</v>
      </c>
      <c r="Z283" s="9">
        <f>IFERROR(__xludf.DUMMYFUNCTION("""COMPUTED_VALUE"""),0.9)</f>
        <v>0.9</v>
      </c>
      <c r="AA283" s="181">
        <f>IFERROR(__xludf.DUMMYFUNCTION("""COMPUTED_VALUE"""),0.0)</f>
        <v>0</v>
      </c>
      <c r="AB283" s="181">
        <f>IFERROR(__xludf.DUMMYFUNCTION("""COMPUTED_VALUE"""),0.0)</f>
        <v>0</v>
      </c>
      <c r="AC283" s="179">
        <f>IFERROR(__xludf.DUMMYFUNCTION("""COMPUTED_VALUE"""),0.0)</f>
        <v>0</v>
      </c>
      <c r="AD283" s="165">
        <f>IFERROR(__xludf.DUMMYFUNCTION("""COMPUTED_VALUE"""),0.0)</f>
        <v>0</v>
      </c>
      <c r="AE283" s="39" t="str">
        <f>IFERROR(__xludf.DUMMYFUNCTION("""COMPUTED_VALUE"""),"Tatsuya Miyamoto")</f>
        <v>Tatsuya Miyamoto</v>
      </c>
      <c r="AF283" s="39" t="str">
        <f>IFERROR(__xludf.DUMMYFUNCTION("""COMPUTED_VALUE"""),"TM21Amygdala")</f>
        <v>TM21Amygdala</v>
      </c>
      <c r="AG283" s="39"/>
      <c r="AH283" s="39"/>
      <c r="AI283" s="165"/>
      <c r="AJ283" s="165"/>
      <c r="AK283" s="111"/>
      <c r="AL283" s="111"/>
      <c r="AM283" s="111"/>
      <c r="AN283" s="111"/>
      <c r="AO283" s="111"/>
      <c r="AP283" s="111"/>
      <c r="AQ283" s="116"/>
      <c r="AR283" s="116"/>
      <c r="AS283" s="116"/>
    </row>
    <row r="284">
      <c r="A284" s="42" t="str">
        <f>IFERROR(__xludf.DUMMYFUNCTION("""COMPUTED_VALUE"""),"CEN")</f>
        <v>CEN</v>
      </c>
      <c r="B284" s="42"/>
      <c r="C284" s="42"/>
      <c r="D284" s="42" t="str">
        <f>IFERROR(__xludf.DUMMYFUNCTION("""COMPUTED_VALUE"""),"EC")</f>
        <v>EC</v>
      </c>
      <c r="E284" s="42"/>
      <c r="F284" s="42"/>
      <c r="G284" s="42"/>
      <c r="H284" s="42" t="str">
        <f>IFERROR(__xludf.DUMMYFUNCTION("""COMPUTED_VALUE"""),"")</f>
        <v/>
      </c>
      <c r="I284" s="42" t="str">
        <f>IFERROR(__xludf.DUMMYFUNCTION("""COMPUTED_VALUE"""),"Pitkänen, 2000")</f>
        <v>Pitkänen, 2000</v>
      </c>
      <c r="J284" s="42" t="str">
        <f>IFERROR(__xludf.DUMMYFUNCTION("""COMPUTED_VALUE"""),"Rat")</f>
        <v>Rat</v>
      </c>
      <c r="K284" s="42" t="str">
        <f>IFERROR(__xludf.DUMMYFUNCTION("""COMPUTED_VALUE"""),"Various tracing")</f>
        <v>Various tracing</v>
      </c>
      <c r="L284" s="42"/>
      <c r="M284" s="42" t="str">
        <f>IFERROR(__xludf.DUMMYFUNCTION("""COMPUTED_VALUE"""),"fig.3-fig.12 (to be specified)")</f>
        <v>fig.3-fig.12 (to be specified)</v>
      </c>
      <c r="N284" s="38"/>
      <c r="O284" s="31" t="str">
        <f>IFERROR(__xludf.DUMMYFUNCTION("""COMPUTED_VALUE"""),"DOC(alt)")</f>
        <v>DOC(alt)</v>
      </c>
      <c r="P284" s="9" t="str">
        <f>IFERROR(__xludf.DUMMYFUNCTION("""COMPUTED_VALUE"""),"Folia morphologica")</f>
        <v>Folia morphologica</v>
      </c>
      <c r="Q284" s="9" t="str">
        <f>IFERROR(__xludf.DUMMYFUNCTION("""COMPUTED_VALUE"""),"Review")</f>
        <v>Review</v>
      </c>
      <c r="R284" s="179" t="str">
        <f>IFERROR(__xludf.DUMMYFUNCTION("""COMPUTED_VALUE"""),"EC (00/00) [Pitkänen, 2000];
")</f>
        <v>EC (00/00) [Pitkänen, 2000];
</v>
      </c>
      <c r="S284" s="179" t="str">
        <f>IFERROR(__xludf.DUMMYFUNCTION("""COMPUTED_VALUE"""),"CENEC")</f>
        <v>CENEC</v>
      </c>
      <c r="T284" s="179" t="str">
        <f>IFERROR(__xludf.DUMMYFUNCTION("""COMPUTED_VALUE"""),"[Pitkänen, 2000]")</f>
        <v>[Pitkänen, 2000]</v>
      </c>
      <c r="U284" s="179">
        <f>IFERROR(__xludf.DUMMYFUNCTION("""COMPUTED_VALUE"""),0.0)</f>
        <v>0</v>
      </c>
      <c r="V284" s="180">
        <f>IFERROR(__xludf.DUMMYFUNCTION("""COMPUTED_VALUE"""),0.0)</f>
        <v>0</v>
      </c>
      <c r="W284" s="180">
        <f>IFERROR(__xludf.DUMMYFUNCTION("""COMPUTED_VALUE"""),0.95)</f>
        <v>0.95</v>
      </c>
      <c r="X284" s="42">
        <f>IFERROR(__xludf.DUMMYFUNCTION("""COMPUTED_VALUE"""),0.8)</f>
        <v>0.8</v>
      </c>
      <c r="Y284" s="42">
        <f>IFERROR(__xludf.DUMMYFUNCTION("""COMPUTED_VALUE"""),0.6)</f>
        <v>0.6</v>
      </c>
      <c r="Z284" s="9">
        <f>IFERROR(__xludf.DUMMYFUNCTION("""COMPUTED_VALUE"""),0.9)</f>
        <v>0.9</v>
      </c>
      <c r="AA284" s="181">
        <f>IFERROR(__xludf.DUMMYFUNCTION("""COMPUTED_VALUE"""),0.0)</f>
        <v>0</v>
      </c>
      <c r="AB284" s="181">
        <f>IFERROR(__xludf.DUMMYFUNCTION("""COMPUTED_VALUE"""),0.0)</f>
        <v>0</v>
      </c>
      <c r="AC284" s="179">
        <f>IFERROR(__xludf.DUMMYFUNCTION("""COMPUTED_VALUE"""),0.0)</f>
        <v>0</v>
      </c>
      <c r="AD284" s="165">
        <f>IFERROR(__xludf.DUMMYFUNCTION("""COMPUTED_VALUE"""),0.0)</f>
        <v>0</v>
      </c>
      <c r="AE284" s="39" t="str">
        <f>IFERROR(__xludf.DUMMYFUNCTION("""COMPUTED_VALUE"""),"Tatsuya Miyamoto")</f>
        <v>Tatsuya Miyamoto</v>
      </c>
      <c r="AF284" s="39" t="str">
        <f>IFERROR(__xludf.DUMMYFUNCTION("""COMPUTED_VALUE"""),"TM21Amygdala")</f>
        <v>TM21Amygdala</v>
      </c>
      <c r="AG284" s="39"/>
      <c r="AH284" s="39"/>
      <c r="AI284" s="165"/>
      <c r="AJ284" s="165"/>
      <c r="AK284" s="111"/>
      <c r="AL284" s="111"/>
      <c r="AM284" s="111"/>
      <c r="AN284" s="111"/>
      <c r="AO284" s="111"/>
      <c r="AP284" s="111"/>
      <c r="AQ284" s="116"/>
      <c r="AR284" s="116"/>
      <c r="AS284" s="116"/>
    </row>
    <row r="285">
      <c r="A285" s="42" t="str">
        <f>IFERROR(__xludf.DUMMYFUNCTION("""COMPUTED_VALUE"""),"CEN")</f>
        <v>CEN</v>
      </c>
      <c r="B285" s="42"/>
      <c r="C285" s="42"/>
      <c r="D285" s="42" t="str">
        <f>IFERROR(__xludf.DUMMYFUNCTION("""COMPUTED_VALUE"""),"HTH")</f>
        <v>HTH</v>
      </c>
      <c r="E285" s="42"/>
      <c r="F285" s="42"/>
      <c r="G285" s="42"/>
      <c r="H285" s="42" t="str">
        <f>IFERROR(__xludf.DUMMYFUNCTION("""COMPUTED_VALUE"""),"")</f>
        <v/>
      </c>
      <c r="I285" s="42" t="str">
        <f>IFERROR(__xludf.DUMMYFUNCTION("""COMPUTED_VALUE"""),"Pitkänen, 2000")</f>
        <v>Pitkänen, 2000</v>
      </c>
      <c r="J285" s="42" t="str">
        <f>IFERROR(__xludf.DUMMYFUNCTION("""COMPUTED_VALUE"""),"Rat")</f>
        <v>Rat</v>
      </c>
      <c r="K285" s="42" t="str">
        <f>IFERROR(__xludf.DUMMYFUNCTION("""COMPUTED_VALUE"""),"Various tracing")</f>
        <v>Various tracing</v>
      </c>
      <c r="L285" s="42"/>
      <c r="M285" s="42" t="str">
        <f>IFERROR(__xludf.DUMMYFUNCTION("""COMPUTED_VALUE"""),"fig.3-fig.12 (to be specified)")</f>
        <v>fig.3-fig.12 (to be specified)</v>
      </c>
      <c r="N285" s="38"/>
      <c r="O285" s="31" t="str">
        <f>IFERROR(__xludf.DUMMYFUNCTION("""COMPUTED_VALUE"""),"DOC(alt)")</f>
        <v>DOC(alt)</v>
      </c>
      <c r="P285" s="9" t="str">
        <f>IFERROR(__xludf.DUMMYFUNCTION("""COMPUTED_VALUE"""),"Folia morphologica")</f>
        <v>Folia morphologica</v>
      </c>
      <c r="Q285" s="9" t="str">
        <f>IFERROR(__xludf.DUMMYFUNCTION("""COMPUTED_VALUE"""),"Review")</f>
        <v>Review</v>
      </c>
      <c r="R285" s="179" t="str">
        <f>IFERROR(__xludf.DUMMYFUNCTION("""COMPUTED_VALUE"""),"HTH (00/00) [Pitkänen, 2000];
")</f>
        <v>HTH (00/00) [Pitkänen, 2000];
</v>
      </c>
      <c r="S285" s="179" t="str">
        <f>IFERROR(__xludf.DUMMYFUNCTION("""COMPUTED_VALUE"""),"CENHTH")</f>
        <v>CENHTH</v>
      </c>
      <c r="T285" s="179" t="str">
        <f>IFERROR(__xludf.DUMMYFUNCTION("""COMPUTED_VALUE"""),"[Pitkänen, 2000]")</f>
        <v>[Pitkänen, 2000]</v>
      </c>
      <c r="U285" s="179">
        <f>IFERROR(__xludf.DUMMYFUNCTION("""COMPUTED_VALUE"""),0.0)</f>
        <v>0</v>
      </c>
      <c r="V285" s="180">
        <f>IFERROR(__xludf.DUMMYFUNCTION("""COMPUTED_VALUE"""),0.0)</f>
        <v>0</v>
      </c>
      <c r="W285" s="180">
        <f>IFERROR(__xludf.DUMMYFUNCTION("""COMPUTED_VALUE"""),0.95)</f>
        <v>0.95</v>
      </c>
      <c r="X285" s="42">
        <f>IFERROR(__xludf.DUMMYFUNCTION("""COMPUTED_VALUE"""),0.8)</f>
        <v>0.8</v>
      </c>
      <c r="Y285" s="42">
        <f>IFERROR(__xludf.DUMMYFUNCTION("""COMPUTED_VALUE"""),0.6)</f>
        <v>0.6</v>
      </c>
      <c r="Z285" s="9">
        <f>IFERROR(__xludf.DUMMYFUNCTION("""COMPUTED_VALUE"""),0.9)</f>
        <v>0.9</v>
      </c>
      <c r="AA285" s="181">
        <f>IFERROR(__xludf.DUMMYFUNCTION("""COMPUTED_VALUE"""),0.0)</f>
        <v>0</v>
      </c>
      <c r="AB285" s="181">
        <f>IFERROR(__xludf.DUMMYFUNCTION("""COMPUTED_VALUE"""),0.0)</f>
        <v>0</v>
      </c>
      <c r="AC285" s="179">
        <f>IFERROR(__xludf.DUMMYFUNCTION("""COMPUTED_VALUE"""),0.0)</f>
        <v>0</v>
      </c>
      <c r="AD285" s="165">
        <f>IFERROR(__xludf.DUMMYFUNCTION("""COMPUTED_VALUE"""),0.0)</f>
        <v>0</v>
      </c>
      <c r="AE285" s="39" t="str">
        <f>IFERROR(__xludf.DUMMYFUNCTION("""COMPUTED_VALUE"""),"Tatsuya Miyamoto")</f>
        <v>Tatsuya Miyamoto</v>
      </c>
      <c r="AF285" s="39" t="str">
        <f>IFERROR(__xludf.DUMMYFUNCTION("""COMPUTED_VALUE"""),"TM21Amygdala")</f>
        <v>TM21Amygdala</v>
      </c>
      <c r="AG285" s="39"/>
      <c r="AH285" s="39"/>
      <c r="AI285" s="165"/>
      <c r="AJ285" s="165"/>
      <c r="AK285" s="111"/>
      <c r="AL285" s="111"/>
      <c r="AM285" s="111"/>
      <c r="AN285" s="111"/>
      <c r="AO285" s="111"/>
      <c r="AP285" s="111"/>
      <c r="AQ285" s="116"/>
      <c r="AR285" s="116"/>
      <c r="AS285" s="116"/>
    </row>
    <row r="286">
      <c r="A286" s="42" t="str">
        <f>IFERROR(__xludf.DUMMYFUNCTION("""COMPUTED_VALUE"""),"CEN")</f>
        <v>CEN</v>
      </c>
      <c r="B286" s="42"/>
      <c r="C286" s="42"/>
      <c r="D286" s="42" t="str">
        <f>IFERROR(__xludf.DUMMYFUNCTION("""COMPUTED_VALUE"""),"IL")</f>
        <v>IL</v>
      </c>
      <c r="E286" s="42"/>
      <c r="F286" s="42"/>
      <c r="G286" s="42"/>
      <c r="H286" s="42" t="str">
        <f>IFERROR(__xludf.DUMMYFUNCTION("""COMPUTED_VALUE"""),"")</f>
        <v/>
      </c>
      <c r="I286" s="42" t="str">
        <f>IFERROR(__xludf.DUMMYFUNCTION("""COMPUTED_VALUE"""),"Pitkänen, 2000")</f>
        <v>Pitkänen, 2000</v>
      </c>
      <c r="J286" s="42" t="str">
        <f>IFERROR(__xludf.DUMMYFUNCTION("""COMPUTED_VALUE"""),"Rat")</f>
        <v>Rat</v>
      </c>
      <c r="K286" s="42" t="str">
        <f>IFERROR(__xludf.DUMMYFUNCTION("""COMPUTED_VALUE"""),"Various tracing")</f>
        <v>Various tracing</v>
      </c>
      <c r="L286" s="42"/>
      <c r="M286" s="42" t="str">
        <f>IFERROR(__xludf.DUMMYFUNCTION("""COMPUTED_VALUE"""),"fig.3-fig.12 (to be specified)")</f>
        <v>fig.3-fig.12 (to be specified)</v>
      </c>
      <c r="N286" s="38"/>
      <c r="O286" s="31" t="str">
        <f>IFERROR(__xludf.DUMMYFUNCTION("""COMPUTED_VALUE"""),"DOC(alt)")</f>
        <v>DOC(alt)</v>
      </c>
      <c r="P286" s="9" t="str">
        <f>IFERROR(__xludf.DUMMYFUNCTION("""COMPUTED_VALUE"""),"Folia morphologica")</f>
        <v>Folia morphologica</v>
      </c>
      <c r="Q286" s="9" t="str">
        <f>IFERROR(__xludf.DUMMYFUNCTION("""COMPUTED_VALUE"""),"Review")</f>
        <v>Review</v>
      </c>
      <c r="R286" s="179" t="str">
        <f>IFERROR(__xludf.DUMMYFUNCTION("""COMPUTED_VALUE"""),"IL (00/00) [Pitkänen, 2000];
")</f>
        <v>IL (00/00) [Pitkänen, 2000];
</v>
      </c>
      <c r="S286" s="179" t="str">
        <f>IFERROR(__xludf.DUMMYFUNCTION("""COMPUTED_VALUE"""),"CENIL")</f>
        <v>CENIL</v>
      </c>
      <c r="T286" s="179" t="str">
        <f>IFERROR(__xludf.DUMMYFUNCTION("""COMPUTED_VALUE"""),"[Pitkänen, 2000]")</f>
        <v>[Pitkänen, 2000]</v>
      </c>
      <c r="U286" s="179">
        <f>IFERROR(__xludf.DUMMYFUNCTION("""COMPUTED_VALUE"""),0.0)</f>
        <v>0</v>
      </c>
      <c r="V286" s="180">
        <f>IFERROR(__xludf.DUMMYFUNCTION("""COMPUTED_VALUE"""),0.0)</f>
        <v>0</v>
      </c>
      <c r="W286" s="180">
        <f>IFERROR(__xludf.DUMMYFUNCTION("""COMPUTED_VALUE"""),0.95)</f>
        <v>0.95</v>
      </c>
      <c r="X286" s="42">
        <f>IFERROR(__xludf.DUMMYFUNCTION("""COMPUTED_VALUE"""),0.8)</f>
        <v>0.8</v>
      </c>
      <c r="Y286" s="42">
        <f>IFERROR(__xludf.DUMMYFUNCTION("""COMPUTED_VALUE"""),0.6)</f>
        <v>0.6</v>
      </c>
      <c r="Z286" s="9">
        <f>IFERROR(__xludf.DUMMYFUNCTION("""COMPUTED_VALUE"""),0.9)</f>
        <v>0.9</v>
      </c>
      <c r="AA286" s="181">
        <f>IFERROR(__xludf.DUMMYFUNCTION("""COMPUTED_VALUE"""),0.0)</f>
        <v>0</v>
      </c>
      <c r="AB286" s="181">
        <f>IFERROR(__xludf.DUMMYFUNCTION("""COMPUTED_VALUE"""),0.0)</f>
        <v>0</v>
      </c>
      <c r="AC286" s="179">
        <f>IFERROR(__xludf.DUMMYFUNCTION("""COMPUTED_VALUE"""),0.0)</f>
        <v>0</v>
      </c>
      <c r="AD286" s="165">
        <f>IFERROR(__xludf.DUMMYFUNCTION("""COMPUTED_VALUE"""),0.0)</f>
        <v>0</v>
      </c>
      <c r="AE286" s="39" t="str">
        <f>IFERROR(__xludf.DUMMYFUNCTION("""COMPUTED_VALUE"""),"Tatsuya Miyamoto")</f>
        <v>Tatsuya Miyamoto</v>
      </c>
      <c r="AF286" s="39" t="str">
        <f>IFERROR(__xludf.DUMMYFUNCTION("""COMPUTED_VALUE"""),"TM21Amygdala")</f>
        <v>TM21Amygdala</v>
      </c>
      <c r="AG286" s="39"/>
      <c r="AH286" s="39"/>
      <c r="AI286" s="165"/>
      <c r="AJ286" s="165"/>
      <c r="AK286" s="111"/>
      <c r="AL286" s="111"/>
      <c r="AM286" s="111"/>
      <c r="AN286" s="111"/>
      <c r="AO286" s="111"/>
      <c r="AP286" s="111"/>
      <c r="AQ286" s="116"/>
      <c r="AR286" s="116"/>
      <c r="AS286" s="116"/>
    </row>
    <row r="287">
      <c r="A287" s="42" t="str">
        <f>IFERROR(__xludf.DUMMYFUNCTION("""COMPUTED_VALUE"""),"CEN")</f>
        <v>CEN</v>
      </c>
      <c r="B287" s="42"/>
      <c r="C287" s="42"/>
      <c r="D287" s="42" t="str">
        <f>IFERROR(__xludf.DUMMYFUNCTION("""COMPUTED_VALUE"""),"LC")</f>
        <v>LC</v>
      </c>
      <c r="E287" s="42"/>
      <c r="F287" s="42"/>
      <c r="G287" s="42"/>
      <c r="H287" s="42" t="str">
        <f>IFERROR(__xludf.DUMMYFUNCTION("""COMPUTED_VALUE"""),"DummyString")</f>
        <v>DummyString</v>
      </c>
      <c r="I287" s="42" t="str">
        <f>IFERROR(__xludf.DUMMYFUNCTION("""COMPUTED_VALUE"""),"Pitkänen, 2000")</f>
        <v>Pitkänen, 2000</v>
      </c>
      <c r="J287" s="42" t="str">
        <f>IFERROR(__xludf.DUMMYFUNCTION("""COMPUTED_VALUE"""),"Rat")</f>
        <v>Rat</v>
      </c>
      <c r="K287" s="42" t="str">
        <f>IFERROR(__xludf.DUMMYFUNCTION("""COMPUTED_VALUE"""),"Various tracing")</f>
        <v>Various tracing</v>
      </c>
      <c r="L287" s="42"/>
      <c r="M287" s="42" t="str">
        <f>IFERROR(__xludf.DUMMYFUNCTION("""COMPUTED_VALUE"""),"fig.3-fig.12 (to be specified)")</f>
        <v>fig.3-fig.12 (to be specified)</v>
      </c>
      <c r="N287" s="38"/>
      <c r="O287" s="31" t="str">
        <f>IFERROR(__xludf.DUMMYFUNCTION("""COMPUTED_VALUE"""),"DOC(alt)")</f>
        <v>DOC(alt)</v>
      </c>
      <c r="P287" s="9" t="str">
        <f>IFERROR(__xludf.DUMMYFUNCTION("""COMPUTED_VALUE"""),"Folia morphologica")</f>
        <v>Folia morphologica</v>
      </c>
      <c r="Q287" s="9" t="str">
        <f>IFERROR(__xludf.DUMMYFUNCTION("""COMPUTED_VALUE"""),"Review")</f>
        <v>Review</v>
      </c>
      <c r="R287" s="179" t="str">
        <f>IFERROR(__xludf.DUMMYFUNCTION("""COMPUTED_VALUE"""),"LC (00/00) [Pitkänen, 2000]DummyString;
")</f>
        <v>LC (00/00) [Pitkänen, 2000]DummyString;
</v>
      </c>
      <c r="S287" s="179" t="str">
        <f>IFERROR(__xludf.DUMMYFUNCTION("""COMPUTED_VALUE"""),"CENLC")</f>
        <v>CENLC</v>
      </c>
      <c r="T287" s="179" t="str">
        <f>IFERROR(__xludf.DUMMYFUNCTION("""COMPUTED_VALUE"""),"[Pitkänen, 2000]")</f>
        <v>[Pitkänen, 2000]</v>
      </c>
      <c r="U287" s="179">
        <f>IFERROR(__xludf.DUMMYFUNCTION("""COMPUTED_VALUE"""),0.0)</f>
        <v>0</v>
      </c>
      <c r="V287" s="180">
        <f>IFERROR(__xludf.DUMMYFUNCTION("""COMPUTED_VALUE"""),0.0)</f>
        <v>0</v>
      </c>
      <c r="W287" s="180">
        <f>IFERROR(__xludf.DUMMYFUNCTION("""COMPUTED_VALUE"""),0.95)</f>
        <v>0.95</v>
      </c>
      <c r="X287" s="42">
        <f>IFERROR(__xludf.DUMMYFUNCTION("""COMPUTED_VALUE"""),0.8)</f>
        <v>0.8</v>
      </c>
      <c r="Y287" s="42">
        <f>IFERROR(__xludf.DUMMYFUNCTION("""COMPUTED_VALUE"""),0.6)</f>
        <v>0.6</v>
      </c>
      <c r="Z287" s="9">
        <f>IFERROR(__xludf.DUMMYFUNCTION("""COMPUTED_VALUE"""),0.9)</f>
        <v>0.9</v>
      </c>
      <c r="AA287" s="181">
        <f>IFERROR(__xludf.DUMMYFUNCTION("""COMPUTED_VALUE"""),0.0)</f>
        <v>0</v>
      </c>
      <c r="AB287" s="181">
        <f>IFERROR(__xludf.DUMMYFUNCTION("""COMPUTED_VALUE"""),0.0)</f>
        <v>0</v>
      </c>
      <c r="AC287" s="179">
        <f>IFERROR(__xludf.DUMMYFUNCTION("""COMPUTED_VALUE"""),0.0)</f>
        <v>0</v>
      </c>
      <c r="AD287" s="165">
        <f>IFERROR(__xludf.DUMMYFUNCTION("""COMPUTED_VALUE"""),0.0)</f>
        <v>0</v>
      </c>
      <c r="AE287" s="39" t="str">
        <f>IFERROR(__xludf.DUMMYFUNCTION("""COMPUTED_VALUE"""),"Tatsuya Miyamoto")</f>
        <v>Tatsuya Miyamoto</v>
      </c>
      <c r="AF287" s="39" t="str">
        <f>IFERROR(__xludf.DUMMYFUNCTION("""COMPUTED_VALUE"""),"TM21Amygdala")</f>
        <v>TM21Amygdala</v>
      </c>
      <c r="AG287" s="39"/>
      <c r="AH287" s="39"/>
      <c r="AI287" s="165"/>
      <c r="AJ287" s="165"/>
      <c r="AK287" s="111"/>
      <c r="AL287" s="111"/>
      <c r="AM287" s="111"/>
      <c r="AN287" s="111"/>
      <c r="AO287" s="111"/>
      <c r="AP287" s="111"/>
      <c r="AQ287" s="116"/>
      <c r="AR287" s="116"/>
      <c r="AS287" s="116"/>
    </row>
    <row r="288">
      <c r="A288" s="42" t="str">
        <f>IFERROR(__xludf.DUMMYFUNCTION("""COMPUTED_VALUE"""),"CEN")</f>
        <v>CEN</v>
      </c>
      <c r="B288" s="42"/>
      <c r="C288" s="42"/>
      <c r="D288" s="42" t="str">
        <f>IFERROR(__xludf.DUMMYFUNCTION("""COMPUTED_VALUE"""),"LH")</f>
        <v>LH</v>
      </c>
      <c r="E288" s="42"/>
      <c r="F288" s="42"/>
      <c r="G288" s="42"/>
      <c r="H288" s="42" t="str">
        <f>IFERROR(__xludf.DUMMYFUNCTION("""COMPUTED_VALUE"""),"")</f>
        <v/>
      </c>
      <c r="I288" s="42" t="str">
        <f>IFERROR(__xludf.DUMMYFUNCTION("""COMPUTED_VALUE"""),"Pitkänen, 2000")</f>
        <v>Pitkänen, 2000</v>
      </c>
      <c r="J288" s="42" t="str">
        <f>IFERROR(__xludf.DUMMYFUNCTION("""COMPUTED_VALUE"""),"Rat")</f>
        <v>Rat</v>
      </c>
      <c r="K288" s="42" t="str">
        <f>IFERROR(__xludf.DUMMYFUNCTION("""COMPUTED_VALUE"""),"Various tracing")</f>
        <v>Various tracing</v>
      </c>
      <c r="L288" s="42"/>
      <c r="M288" s="42" t="str">
        <f>IFERROR(__xludf.DUMMYFUNCTION("""COMPUTED_VALUE"""),"fig.3-fig.12 (to be specified)")</f>
        <v>fig.3-fig.12 (to be specified)</v>
      </c>
      <c r="N288" s="38"/>
      <c r="O288" s="31" t="str">
        <f>IFERROR(__xludf.DUMMYFUNCTION("""COMPUTED_VALUE"""),"DOC(alt)")</f>
        <v>DOC(alt)</v>
      </c>
      <c r="P288" s="9" t="str">
        <f>IFERROR(__xludf.DUMMYFUNCTION("""COMPUTED_VALUE"""),"Folia morphologica")</f>
        <v>Folia morphologica</v>
      </c>
      <c r="Q288" s="9" t="str">
        <f>IFERROR(__xludf.DUMMYFUNCTION("""COMPUTED_VALUE"""),"Review")</f>
        <v>Review</v>
      </c>
      <c r="R288" s="179" t="str">
        <f>IFERROR(__xludf.DUMMYFUNCTION("""COMPUTED_VALUE"""),"LH (00/00) [Pitkänen, 2000];
")</f>
        <v>LH (00/00) [Pitkänen, 2000];
</v>
      </c>
      <c r="S288" s="179" t="str">
        <f>IFERROR(__xludf.DUMMYFUNCTION("""COMPUTED_VALUE"""),"CENLH")</f>
        <v>CENLH</v>
      </c>
      <c r="T288" s="179" t="str">
        <f>IFERROR(__xludf.DUMMYFUNCTION("""COMPUTED_VALUE"""),"[Pitkänen, 2000]")</f>
        <v>[Pitkänen, 2000]</v>
      </c>
      <c r="U288" s="179">
        <f>IFERROR(__xludf.DUMMYFUNCTION("""COMPUTED_VALUE"""),0.0)</f>
        <v>0</v>
      </c>
      <c r="V288" s="180">
        <f>IFERROR(__xludf.DUMMYFUNCTION("""COMPUTED_VALUE"""),0.0)</f>
        <v>0</v>
      </c>
      <c r="W288" s="180">
        <f>IFERROR(__xludf.DUMMYFUNCTION("""COMPUTED_VALUE"""),0.95)</f>
        <v>0.95</v>
      </c>
      <c r="X288" s="42">
        <f>IFERROR(__xludf.DUMMYFUNCTION("""COMPUTED_VALUE"""),0.8)</f>
        <v>0.8</v>
      </c>
      <c r="Y288" s="42">
        <f>IFERROR(__xludf.DUMMYFUNCTION("""COMPUTED_VALUE"""),0.6)</f>
        <v>0.6</v>
      </c>
      <c r="Z288" s="9">
        <f>IFERROR(__xludf.DUMMYFUNCTION("""COMPUTED_VALUE"""),0.9)</f>
        <v>0.9</v>
      </c>
      <c r="AA288" s="181">
        <f>IFERROR(__xludf.DUMMYFUNCTION("""COMPUTED_VALUE"""),0.0)</f>
        <v>0</v>
      </c>
      <c r="AB288" s="181">
        <f>IFERROR(__xludf.DUMMYFUNCTION("""COMPUTED_VALUE"""),0.0)</f>
        <v>0</v>
      </c>
      <c r="AC288" s="179">
        <f>IFERROR(__xludf.DUMMYFUNCTION("""COMPUTED_VALUE"""),0.0)</f>
        <v>0</v>
      </c>
      <c r="AD288" s="165">
        <f>IFERROR(__xludf.DUMMYFUNCTION("""COMPUTED_VALUE"""),0.0)</f>
        <v>0</v>
      </c>
      <c r="AE288" s="39" t="str">
        <f>IFERROR(__xludf.DUMMYFUNCTION("""COMPUTED_VALUE"""),"Tatsuya Miyamoto")</f>
        <v>Tatsuya Miyamoto</v>
      </c>
      <c r="AF288" s="39" t="str">
        <f>IFERROR(__xludf.DUMMYFUNCTION("""COMPUTED_VALUE"""),"TM21Amygdala")</f>
        <v>TM21Amygdala</v>
      </c>
      <c r="AG288" s="39"/>
      <c r="AH288" s="39"/>
      <c r="AI288" s="165"/>
      <c r="AJ288" s="165"/>
      <c r="AK288" s="111"/>
      <c r="AL288" s="111"/>
      <c r="AM288" s="111"/>
      <c r="AN288" s="111"/>
      <c r="AO288" s="111"/>
      <c r="AP288" s="111"/>
      <c r="AQ288" s="116"/>
      <c r="AR288" s="116"/>
      <c r="AS288" s="116"/>
    </row>
    <row r="289">
      <c r="A289" s="42" t="str">
        <f>IFERROR(__xludf.DUMMYFUNCTION("""COMPUTED_VALUE"""),"CEN")</f>
        <v>CEN</v>
      </c>
      <c r="B289" s="42"/>
      <c r="C289" s="42"/>
      <c r="D289" s="42" t="str">
        <f>IFERROR(__xludf.DUMMYFUNCTION("""COMPUTED_VALUE"""),"NTS")</f>
        <v>NTS</v>
      </c>
      <c r="E289" s="42"/>
      <c r="F289" s="42"/>
      <c r="G289" s="42"/>
      <c r="H289" s="42" t="str">
        <f>IFERROR(__xludf.DUMMYFUNCTION("""COMPUTED_VALUE"""),"")</f>
        <v/>
      </c>
      <c r="I289" s="42" t="str">
        <f>IFERROR(__xludf.DUMMYFUNCTION("""COMPUTED_VALUE"""),"Pitkänen, 2000")</f>
        <v>Pitkänen, 2000</v>
      </c>
      <c r="J289" s="42" t="str">
        <f>IFERROR(__xludf.DUMMYFUNCTION("""COMPUTED_VALUE"""),"Rat")</f>
        <v>Rat</v>
      </c>
      <c r="K289" s="42" t="str">
        <f>IFERROR(__xludf.DUMMYFUNCTION("""COMPUTED_VALUE"""),"Various tracing")</f>
        <v>Various tracing</v>
      </c>
      <c r="L289" s="42"/>
      <c r="M289" s="42" t="str">
        <f>IFERROR(__xludf.DUMMYFUNCTION("""COMPUTED_VALUE"""),"fig.3-fig.12 (to be specified)")</f>
        <v>fig.3-fig.12 (to be specified)</v>
      </c>
      <c r="N289" s="38"/>
      <c r="O289" s="31" t="str">
        <f>IFERROR(__xludf.DUMMYFUNCTION("""COMPUTED_VALUE"""),"DOC(alt)")</f>
        <v>DOC(alt)</v>
      </c>
      <c r="P289" s="9" t="str">
        <f>IFERROR(__xludf.DUMMYFUNCTION("""COMPUTED_VALUE"""),"Folia morphologica")</f>
        <v>Folia morphologica</v>
      </c>
      <c r="Q289" s="9" t="str">
        <f>IFERROR(__xludf.DUMMYFUNCTION("""COMPUTED_VALUE"""),"Review")</f>
        <v>Review</v>
      </c>
      <c r="R289" s="179" t="str">
        <f>IFERROR(__xludf.DUMMYFUNCTION("""COMPUTED_VALUE"""),"NTS (00/00) [Pitkänen, 2000];
")</f>
        <v>NTS (00/00) [Pitkänen, 2000];
</v>
      </c>
      <c r="S289" s="179" t="str">
        <f>IFERROR(__xludf.DUMMYFUNCTION("""COMPUTED_VALUE"""),"CENNTS")</f>
        <v>CENNTS</v>
      </c>
      <c r="T289" s="179" t="str">
        <f>IFERROR(__xludf.DUMMYFUNCTION("""COMPUTED_VALUE"""),"[Pitkänen, 2000]")</f>
        <v>[Pitkänen, 2000]</v>
      </c>
      <c r="U289" s="179">
        <f>IFERROR(__xludf.DUMMYFUNCTION("""COMPUTED_VALUE"""),0.0)</f>
        <v>0</v>
      </c>
      <c r="V289" s="180">
        <f>IFERROR(__xludf.DUMMYFUNCTION("""COMPUTED_VALUE"""),0.0)</f>
        <v>0</v>
      </c>
      <c r="W289" s="180">
        <f>IFERROR(__xludf.DUMMYFUNCTION("""COMPUTED_VALUE"""),0.95)</f>
        <v>0.95</v>
      </c>
      <c r="X289" s="42">
        <f>IFERROR(__xludf.DUMMYFUNCTION("""COMPUTED_VALUE"""),0.8)</f>
        <v>0.8</v>
      </c>
      <c r="Y289" s="42">
        <f>IFERROR(__xludf.DUMMYFUNCTION("""COMPUTED_VALUE"""),0.6)</f>
        <v>0.6</v>
      </c>
      <c r="Z289" s="9">
        <f>IFERROR(__xludf.DUMMYFUNCTION("""COMPUTED_VALUE"""),0.9)</f>
        <v>0.9</v>
      </c>
      <c r="AA289" s="181">
        <f>IFERROR(__xludf.DUMMYFUNCTION("""COMPUTED_VALUE"""),0.0)</f>
        <v>0</v>
      </c>
      <c r="AB289" s="181">
        <f>IFERROR(__xludf.DUMMYFUNCTION("""COMPUTED_VALUE"""),0.0)</f>
        <v>0</v>
      </c>
      <c r="AC289" s="179">
        <f>IFERROR(__xludf.DUMMYFUNCTION("""COMPUTED_VALUE"""),0.0)</f>
        <v>0</v>
      </c>
      <c r="AD289" s="165">
        <f>IFERROR(__xludf.DUMMYFUNCTION("""COMPUTED_VALUE"""),0.0)</f>
        <v>0</v>
      </c>
      <c r="AE289" s="39" t="str">
        <f>IFERROR(__xludf.DUMMYFUNCTION("""COMPUTED_VALUE"""),"Tatsuya Miyamoto")</f>
        <v>Tatsuya Miyamoto</v>
      </c>
      <c r="AF289" s="39" t="str">
        <f>IFERROR(__xludf.DUMMYFUNCTION("""COMPUTED_VALUE"""),"TM21Amygdala")</f>
        <v>TM21Amygdala</v>
      </c>
      <c r="AG289" s="39"/>
      <c r="AH289" s="39"/>
      <c r="AI289" s="165"/>
      <c r="AJ289" s="165"/>
      <c r="AK289" s="111"/>
      <c r="AL289" s="111"/>
      <c r="AM289" s="111"/>
      <c r="AN289" s="111"/>
      <c r="AO289" s="111"/>
      <c r="AP289" s="111"/>
      <c r="AQ289" s="116"/>
      <c r="AR289" s="116"/>
      <c r="AS289" s="116"/>
    </row>
    <row r="290">
      <c r="A290" s="42" t="str">
        <f>IFERROR(__xludf.DUMMYFUNCTION("""COMPUTED_VALUE"""),"CEN")</f>
        <v>CEN</v>
      </c>
      <c r="B290" s="42"/>
      <c r="C290" s="42"/>
      <c r="D290" s="42" t="str">
        <f>IFERROR(__xludf.DUMMYFUNCTION("""COMPUTED_VALUE"""),"PAG")</f>
        <v>PAG</v>
      </c>
      <c r="E290" s="42"/>
      <c r="F290" s="42"/>
      <c r="G290" s="42"/>
      <c r="H290" s="42" t="str">
        <f>IFERROR(__xludf.DUMMYFUNCTION("""COMPUTED_VALUE"""),"")</f>
        <v/>
      </c>
      <c r="I290" s="42" t="str">
        <f>IFERROR(__xludf.DUMMYFUNCTION("""COMPUTED_VALUE"""),"Pitkänen, 2000")</f>
        <v>Pitkänen, 2000</v>
      </c>
      <c r="J290" s="42" t="str">
        <f>IFERROR(__xludf.DUMMYFUNCTION("""COMPUTED_VALUE"""),"Rat")</f>
        <v>Rat</v>
      </c>
      <c r="K290" s="42" t="str">
        <f>IFERROR(__xludf.DUMMYFUNCTION("""COMPUTED_VALUE"""),"Various tracing")</f>
        <v>Various tracing</v>
      </c>
      <c r="L290" s="42"/>
      <c r="M290" s="42" t="str">
        <f>IFERROR(__xludf.DUMMYFUNCTION("""COMPUTED_VALUE"""),"fig.3-fig.12 (to be specified)")</f>
        <v>fig.3-fig.12 (to be specified)</v>
      </c>
      <c r="N290" s="38"/>
      <c r="O290" s="31" t="str">
        <f>IFERROR(__xludf.DUMMYFUNCTION("""COMPUTED_VALUE"""),"DOC(alt)")</f>
        <v>DOC(alt)</v>
      </c>
      <c r="P290" s="9" t="str">
        <f>IFERROR(__xludf.DUMMYFUNCTION("""COMPUTED_VALUE"""),"Folia morphologica")</f>
        <v>Folia morphologica</v>
      </c>
      <c r="Q290" s="9" t="str">
        <f>IFERROR(__xludf.DUMMYFUNCTION("""COMPUTED_VALUE"""),"Review")</f>
        <v>Review</v>
      </c>
      <c r="R290" s="179" t="str">
        <f>IFERROR(__xludf.DUMMYFUNCTION("""COMPUTED_VALUE"""),"PAG (00/00) [Pitkänen, 2000];
")</f>
        <v>PAG (00/00) [Pitkänen, 2000];
</v>
      </c>
      <c r="S290" s="179" t="str">
        <f>IFERROR(__xludf.DUMMYFUNCTION("""COMPUTED_VALUE"""),"CENPAG")</f>
        <v>CENPAG</v>
      </c>
      <c r="T290" s="179" t="str">
        <f>IFERROR(__xludf.DUMMYFUNCTION("""COMPUTED_VALUE"""),"[Pitkänen, 2000]")</f>
        <v>[Pitkänen, 2000]</v>
      </c>
      <c r="U290" s="179">
        <f>IFERROR(__xludf.DUMMYFUNCTION("""COMPUTED_VALUE"""),0.0)</f>
        <v>0</v>
      </c>
      <c r="V290" s="180">
        <f>IFERROR(__xludf.DUMMYFUNCTION("""COMPUTED_VALUE"""),0.0)</f>
        <v>0</v>
      </c>
      <c r="W290" s="180">
        <f>IFERROR(__xludf.DUMMYFUNCTION("""COMPUTED_VALUE"""),0.95)</f>
        <v>0.95</v>
      </c>
      <c r="X290" s="42">
        <f>IFERROR(__xludf.DUMMYFUNCTION("""COMPUTED_VALUE"""),0.8)</f>
        <v>0.8</v>
      </c>
      <c r="Y290" s="42">
        <f>IFERROR(__xludf.DUMMYFUNCTION("""COMPUTED_VALUE"""),0.6)</f>
        <v>0.6</v>
      </c>
      <c r="Z290" s="9">
        <f>IFERROR(__xludf.DUMMYFUNCTION("""COMPUTED_VALUE"""),0.9)</f>
        <v>0.9</v>
      </c>
      <c r="AA290" s="181">
        <f>IFERROR(__xludf.DUMMYFUNCTION("""COMPUTED_VALUE"""),0.0)</f>
        <v>0</v>
      </c>
      <c r="AB290" s="181">
        <f>IFERROR(__xludf.DUMMYFUNCTION("""COMPUTED_VALUE"""),0.0)</f>
        <v>0</v>
      </c>
      <c r="AC290" s="179">
        <f>IFERROR(__xludf.DUMMYFUNCTION("""COMPUTED_VALUE"""),0.0)</f>
        <v>0</v>
      </c>
      <c r="AD290" s="165">
        <f>IFERROR(__xludf.DUMMYFUNCTION("""COMPUTED_VALUE"""),0.0)</f>
        <v>0</v>
      </c>
      <c r="AE290" s="39" t="str">
        <f>IFERROR(__xludf.DUMMYFUNCTION("""COMPUTED_VALUE"""),"Tatsuya Miyamoto")</f>
        <v>Tatsuya Miyamoto</v>
      </c>
      <c r="AF290" s="39" t="str">
        <f>IFERROR(__xludf.DUMMYFUNCTION("""COMPUTED_VALUE"""),"TM21Amygdala")</f>
        <v>TM21Amygdala</v>
      </c>
      <c r="AG290" s="39"/>
      <c r="AH290" s="39"/>
      <c r="AI290" s="165"/>
      <c r="AJ290" s="165"/>
      <c r="AK290" s="111"/>
      <c r="AL290" s="111"/>
      <c r="AM290" s="111"/>
      <c r="AN290" s="111"/>
      <c r="AO290" s="111"/>
      <c r="AP290" s="111"/>
      <c r="AQ290" s="116"/>
      <c r="AR290" s="116"/>
      <c r="AS290" s="116"/>
    </row>
    <row r="291">
      <c r="A291" s="42" t="str">
        <f>IFERROR(__xludf.DUMMYFUNCTION("""COMPUTED_VALUE"""),"CEN")</f>
        <v>CEN</v>
      </c>
      <c r="B291" s="42"/>
      <c r="C291" s="42"/>
      <c r="D291" s="42" t="str">
        <f>IFERROR(__xludf.DUMMYFUNCTION("""COMPUTED_VALUE"""),"PaRh")</f>
        <v>PaRh</v>
      </c>
      <c r="E291" s="42"/>
      <c r="F291" s="42"/>
      <c r="G291" s="42"/>
      <c r="H291" s="42" t="str">
        <f>IFERROR(__xludf.DUMMYFUNCTION("""COMPUTED_VALUE"""),"")</f>
        <v/>
      </c>
      <c r="I291" s="42" t="str">
        <f>IFERROR(__xludf.DUMMYFUNCTION("""COMPUTED_VALUE"""),"Pitkänen, 2000")</f>
        <v>Pitkänen, 2000</v>
      </c>
      <c r="J291" s="42" t="str">
        <f>IFERROR(__xludf.DUMMYFUNCTION("""COMPUTED_VALUE"""),"Rat")</f>
        <v>Rat</v>
      </c>
      <c r="K291" s="42" t="str">
        <f>IFERROR(__xludf.DUMMYFUNCTION("""COMPUTED_VALUE"""),"Various tracing")</f>
        <v>Various tracing</v>
      </c>
      <c r="L291" s="42"/>
      <c r="M291" s="42" t="str">
        <f>IFERROR(__xludf.DUMMYFUNCTION("""COMPUTED_VALUE"""),"fig.3-fig.12 (to be specified)")</f>
        <v>fig.3-fig.12 (to be specified)</v>
      </c>
      <c r="N291" s="38"/>
      <c r="O291" s="31" t="str">
        <f>IFERROR(__xludf.DUMMYFUNCTION("""COMPUTED_VALUE"""),"DOC(alt)")</f>
        <v>DOC(alt)</v>
      </c>
      <c r="P291" s="9" t="str">
        <f>IFERROR(__xludf.DUMMYFUNCTION("""COMPUTED_VALUE"""),"Folia morphologica")</f>
        <v>Folia morphologica</v>
      </c>
      <c r="Q291" s="9" t="str">
        <f>IFERROR(__xludf.DUMMYFUNCTION("""COMPUTED_VALUE"""),"Review")</f>
        <v>Review</v>
      </c>
      <c r="R291" s="179" t="str">
        <f>IFERROR(__xludf.DUMMYFUNCTION("""COMPUTED_VALUE"""),"PaRh (00/00) [Pitkänen, 2000];
")</f>
        <v>PaRh (00/00) [Pitkänen, 2000];
</v>
      </c>
      <c r="S291" s="179" t="str">
        <f>IFERROR(__xludf.DUMMYFUNCTION("""COMPUTED_VALUE"""),"CENPaRh")</f>
        <v>CENPaRh</v>
      </c>
      <c r="T291" s="179" t="str">
        <f>IFERROR(__xludf.DUMMYFUNCTION("""COMPUTED_VALUE"""),"[Pitkänen, 2000]")</f>
        <v>[Pitkänen, 2000]</v>
      </c>
      <c r="U291" s="179">
        <f>IFERROR(__xludf.DUMMYFUNCTION("""COMPUTED_VALUE"""),0.0)</f>
        <v>0</v>
      </c>
      <c r="V291" s="180">
        <f>IFERROR(__xludf.DUMMYFUNCTION("""COMPUTED_VALUE"""),0.0)</f>
        <v>0</v>
      </c>
      <c r="W291" s="180">
        <f>IFERROR(__xludf.DUMMYFUNCTION("""COMPUTED_VALUE"""),0.95)</f>
        <v>0.95</v>
      </c>
      <c r="X291" s="42">
        <f>IFERROR(__xludf.DUMMYFUNCTION("""COMPUTED_VALUE"""),0.8)</f>
        <v>0.8</v>
      </c>
      <c r="Y291" s="42">
        <f>IFERROR(__xludf.DUMMYFUNCTION("""COMPUTED_VALUE"""),0.6)</f>
        <v>0.6</v>
      </c>
      <c r="Z291" s="9">
        <f>IFERROR(__xludf.DUMMYFUNCTION("""COMPUTED_VALUE"""),0.9)</f>
        <v>0.9</v>
      </c>
      <c r="AA291" s="181">
        <f>IFERROR(__xludf.DUMMYFUNCTION("""COMPUTED_VALUE"""),0.0)</f>
        <v>0</v>
      </c>
      <c r="AB291" s="181">
        <f>IFERROR(__xludf.DUMMYFUNCTION("""COMPUTED_VALUE"""),0.0)</f>
        <v>0</v>
      </c>
      <c r="AC291" s="179">
        <f>IFERROR(__xludf.DUMMYFUNCTION("""COMPUTED_VALUE"""),0.0)</f>
        <v>0</v>
      </c>
      <c r="AD291" s="165">
        <f>IFERROR(__xludf.DUMMYFUNCTION("""COMPUTED_VALUE"""),0.0)</f>
        <v>0</v>
      </c>
      <c r="AE291" s="39" t="str">
        <f>IFERROR(__xludf.DUMMYFUNCTION("""COMPUTED_VALUE"""),"Tatsuya Miyamoto")</f>
        <v>Tatsuya Miyamoto</v>
      </c>
      <c r="AF291" s="39" t="str">
        <f>IFERROR(__xludf.DUMMYFUNCTION("""COMPUTED_VALUE"""),"TM21Amygdala")</f>
        <v>TM21Amygdala</v>
      </c>
      <c r="AG291" s="39"/>
      <c r="AH291" s="39"/>
      <c r="AI291" s="165"/>
      <c r="AJ291" s="165"/>
      <c r="AK291" s="111"/>
      <c r="AL291" s="111"/>
      <c r="AM291" s="111"/>
      <c r="AN291" s="111"/>
      <c r="AO291" s="111"/>
      <c r="AP291" s="111"/>
      <c r="AQ291" s="116"/>
      <c r="AR291" s="116"/>
      <c r="AS291" s="116"/>
    </row>
    <row r="292">
      <c r="A292" s="42" t="str">
        <f>IFERROR(__xludf.DUMMYFUNCTION("""COMPUTED_VALUE"""),"CEN")</f>
        <v>CEN</v>
      </c>
      <c r="B292" s="42"/>
      <c r="C292" s="42"/>
      <c r="D292" s="42" t="str">
        <f>IFERROR(__xludf.DUMMYFUNCTION("""COMPUTED_VALUE"""),"PaV")</f>
        <v>PaV</v>
      </c>
      <c r="E292" s="42"/>
      <c r="F292" s="42"/>
      <c r="G292" s="42"/>
      <c r="H292" s="42" t="str">
        <f>IFERROR(__xludf.DUMMYFUNCTION("""COMPUTED_VALUE"""),"")</f>
        <v/>
      </c>
      <c r="I292" s="42" t="str">
        <f>IFERROR(__xludf.DUMMYFUNCTION("""COMPUTED_VALUE"""),"Pitkänen, 2000")</f>
        <v>Pitkänen, 2000</v>
      </c>
      <c r="J292" s="42" t="str">
        <f>IFERROR(__xludf.DUMMYFUNCTION("""COMPUTED_VALUE"""),"Rat")</f>
        <v>Rat</v>
      </c>
      <c r="K292" s="42" t="str">
        <f>IFERROR(__xludf.DUMMYFUNCTION("""COMPUTED_VALUE"""),"Various tracing")</f>
        <v>Various tracing</v>
      </c>
      <c r="L292" s="42"/>
      <c r="M292" s="42" t="str">
        <f>IFERROR(__xludf.DUMMYFUNCTION("""COMPUTED_VALUE"""),"fig.3-fig.12 (to be specified)")</f>
        <v>fig.3-fig.12 (to be specified)</v>
      </c>
      <c r="N292" s="38"/>
      <c r="O292" s="31" t="str">
        <f>IFERROR(__xludf.DUMMYFUNCTION("""COMPUTED_VALUE"""),"DOC(alt)")</f>
        <v>DOC(alt)</v>
      </c>
      <c r="P292" s="9" t="str">
        <f>IFERROR(__xludf.DUMMYFUNCTION("""COMPUTED_VALUE"""),"Folia morphologica")</f>
        <v>Folia morphologica</v>
      </c>
      <c r="Q292" s="9" t="str">
        <f>IFERROR(__xludf.DUMMYFUNCTION("""COMPUTED_VALUE"""),"Review")</f>
        <v>Review</v>
      </c>
      <c r="R292" s="179" t="str">
        <f>IFERROR(__xludf.DUMMYFUNCTION("""COMPUTED_VALUE"""),"PaV (00/00) [Pitkänen, 2000];
")</f>
        <v>PaV (00/00) [Pitkänen, 2000];
</v>
      </c>
      <c r="S292" s="179" t="str">
        <f>IFERROR(__xludf.DUMMYFUNCTION("""COMPUTED_VALUE"""),"CENPaV")</f>
        <v>CENPaV</v>
      </c>
      <c r="T292" s="179" t="str">
        <f>IFERROR(__xludf.DUMMYFUNCTION("""COMPUTED_VALUE"""),"[Pitkänen, 2000]")</f>
        <v>[Pitkänen, 2000]</v>
      </c>
      <c r="U292" s="179">
        <f>IFERROR(__xludf.DUMMYFUNCTION("""COMPUTED_VALUE"""),0.0)</f>
        <v>0</v>
      </c>
      <c r="V292" s="180">
        <f>IFERROR(__xludf.DUMMYFUNCTION("""COMPUTED_VALUE"""),0.0)</f>
        <v>0</v>
      </c>
      <c r="W292" s="180">
        <f>IFERROR(__xludf.DUMMYFUNCTION("""COMPUTED_VALUE"""),0.95)</f>
        <v>0.95</v>
      </c>
      <c r="X292" s="42">
        <f>IFERROR(__xludf.DUMMYFUNCTION("""COMPUTED_VALUE"""),0.8)</f>
        <v>0.8</v>
      </c>
      <c r="Y292" s="42">
        <f>IFERROR(__xludf.DUMMYFUNCTION("""COMPUTED_VALUE"""),0.6)</f>
        <v>0.6</v>
      </c>
      <c r="Z292" s="9">
        <f>IFERROR(__xludf.DUMMYFUNCTION("""COMPUTED_VALUE"""),0.9)</f>
        <v>0.9</v>
      </c>
      <c r="AA292" s="181">
        <f>IFERROR(__xludf.DUMMYFUNCTION("""COMPUTED_VALUE"""),0.0)</f>
        <v>0</v>
      </c>
      <c r="AB292" s="181">
        <f>IFERROR(__xludf.DUMMYFUNCTION("""COMPUTED_VALUE"""),0.0)</f>
        <v>0</v>
      </c>
      <c r="AC292" s="179">
        <f>IFERROR(__xludf.DUMMYFUNCTION("""COMPUTED_VALUE"""),0.0)</f>
        <v>0</v>
      </c>
      <c r="AD292" s="165">
        <f>IFERROR(__xludf.DUMMYFUNCTION("""COMPUTED_VALUE"""),0.0)</f>
        <v>0</v>
      </c>
      <c r="AE292" s="39" t="str">
        <f>IFERROR(__xludf.DUMMYFUNCTION("""COMPUTED_VALUE"""),"Tatsuya Miyamoto")</f>
        <v>Tatsuya Miyamoto</v>
      </c>
      <c r="AF292" s="39" t="str">
        <f>IFERROR(__xludf.DUMMYFUNCTION("""COMPUTED_VALUE"""),"TM21Amygdala")</f>
        <v>TM21Amygdala</v>
      </c>
      <c r="AG292" s="39"/>
      <c r="AH292" s="39"/>
      <c r="AI292" s="165"/>
      <c r="AJ292" s="165"/>
      <c r="AK292" s="111"/>
      <c r="AL292" s="111"/>
      <c r="AM292" s="111"/>
      <c r="AN292" s="111"/>
      <c r="AO292" s="111"/>
      <c r="AP292" s="111"/>
      <c r="AQ292" s="116"/>
      <c r="AR292" s="116"/>
      <c r="AS292" s="116"/>
    </row>
    <row r="293">
      <c r="A293" s="42" t="str">
        <f>IFERROR(__xludf.DUMMYFUNCTION("""COMPUTED_VALUE"""),"CEN")</f>
        <v>CEN</v>
      </c>
      <c r="B293" s="42"/>
      <c r="C293" s="42"/>
      <c r="D293" s="42" t="str">
        <f>IFERROR(__xludf.DUMMYFUNCTION("""COMPUTED_VALUE"""),"PB")</f>
        <v>PB</v>
      </c>
      <c r="E293" s="42"/>
      <c r="F293" s="42"/>
      <c r="G293" s="42"/>
      <c r="H293" s="42" t="str">
        <f>IFERROR(__xludf.DUMMYFUNCTION("""COMPUTED_VALUE"""),"")</f>
        <v/>
      </c>
      <c r="I293" s="42" t="str">
        <f>IFERROR(__xludf.DUMMYFUNCTION("""COMPUTED_VALUE"""),"Pitkänen, 2000")</f>
        <v>Pitkänen, 2000</v>
      </c>
      <c r="J293" s="42" t="str">
        <f>IFERROR(__xludf.DUMMYFUNCTION("""COMPUTED_VALUE"""),"Rat")</f>
        <v>Rat</v>
      </c>
      <c r="K293" s="42" t="str">
        <f>IFERROR(__xludf.DUMMYFUNCTION("""COMPUTED_VALUE"""),"Various tracing")</f>
        <v>Various tracing</v>
      </c>
      <c r="L293" s="42"/>
      <c r="M293" s="42" t="str">
        <f>IFERROR(__xludf.DUMMYFUNCTION("""COMPUTED_VALUE"""),"fig.3-fig.12 (to be specified)")</f>
        <v>fig.3-fig.12 (to be specified)</v>
      </c>
      <c r="N293" s="38"/>
      <c r="O293" s="31" t="str">
        <f>IFERROR(__xludf.DUMMYFUNCTION("""COMPUTED_VALUE"""),"DOC(alt)")</f>
        <v>DOC(alt)</v>
      </c>
      <c r="P293" s="9" t="str">
        <f>IFERROR(__xludf.DUMMYFUNCTION("""COMPUTED_VALUE"""),"Folia morphologica")</f>
        <v>Folia morphologica</v>
      </c>
      <c r="Q293" s="9" t="str">
        <f>IFERROR(__xludf.DUMMYFUNCTION("""COMPUTED_VALUE"""),"Review")</f>
        <v>Review</v>
      </c>
      <c r="R293" s="179" t="str">
        <f>IFERROR(__xludf.DUMMYFUNCTION("""COMPUTED_VALUE"""),"PB (00/00) [Pitkänen, 2000];
")</f>
        <v>PB (00/00) [Pitkänen, 2000];
</v>
      </c>
      <c r="S293" s="179" t="str">
        <f>IFERROR(__xludf.DUMMYFUNCTION("""COMPUTED_VALUE"""),"CENPB")</f>
        <v>CENPB</v>
      </c>
      <c r="T293" s="179" t="str">
        <f>IFERROR(__xludf.DUMMYFUNCTION("""COMPUTED_VALUE"""),"[Pitkänen, 2000]")</f>
        <v>[Pitkänen, 2000]</v>
      </c>
      <c r="U293" s="179">
        <f>IFERROR(__xludf.DUMMYFUNCTION("""COMPUTED_VALUE"""),0.0)</f>
        <v>0</v>
      </c>
      <c r="V293" s="180">
        <f>IFERROR(__xludf.DUMMYFUNCTION("""COMPUTED_VALUE"""),0.0)</f>
        <v>0</v>
      </c>
      <c r="W293" s="180">
        <f>IFERROR(__xludf.DUMMYFUNCTION("""COMPUTED_VALUE"""),0.95)</f>
        <v>0.95</v>
      </c>
      <c r="X293" s="42">
        <f>IFERROR(__xludf.DUMMYFUNCTION("""COMPUTED_VALUE"""),0.8)</f>
        <v>0.8</v>
      </c>
      <c r="Y293" s="42">
        <f>IFERROR(__xludf.DUMMYFUNCTION("""COMPUTED_VALUE"""),0.6)</f>
        <v>0.6</v>
      </c>
      <c r="Z293" s="9">
        <f>IFERROR(__xludf.DUMMYFUNCTION("""COMPUTED_VALUE"""),0.9)</f>
        <v>0.9</v>
      </c>
      <c r="AA293" s="181">
        <f>IFERROR(__xludf.DUMMYFUNCTION("""COMPUTED_VALUE"""),0.0)</f>
        <v>0</v>
      </c>
      <c r="AB293" s="181">
        <f>IFERROR(__xludf.DUMMYFUNCTION("""COMPUTED_VALUE"""),0.0)</f>
        <v>0</v>
      </c>
      <c r="AC293" s="179">
        <f>IFERROR(__xludf.DUMMYFUNCTION("""COMPUTED_VALUE"""),0.0)</f>
        <v>0</v>
      </c>
      <c r="AD293" s="165">
        <f>IFERROR(__xludf.DUMMYFUNCTION("""COMPUTED_VALUE"""),0.0)</f>
        <v>0</v>
      </c>
      <c r="AE293" s="39" t="str">
        <f>IFERROR(__xludf.DUMMYFUNCTION("""COMPUTED_VALUE"""),"Tatsuya Miyamoto")</f>
        <v>Tatsuya Miyamoto</v>
      </c>
      <c r="AF293" s="39" t="str">
        <f>IFERROR(__xludf.DUMMYFUNCTION("""COMPUTED_VALUE"""),"TM21Amygdala")</f>
        <v>TM21Amygdala</v>
      </c>
      <c r="AG293" s="39"/>
      <c r="AH293" s="39"/>
      <c r="AI293" s="165"/>
      <c r="AJ293" s="165"/>
      <c r="AK293" s="111"/>
      <c r="AL293" s="111"/>
      <c r="AM293" s="111"/>
      <c r="AN293" s="111"/>
      <c r="AO293" s="111"/>
      <c r="AP293" s="111"/>
      <c r="AQ293" s="116"/>
      <c r="AR293" s="116"/>
      <c r="AS293" s="116"/>
    </row>
    <row r="294">
      <c r="A294" s="42" t="str">
        <f>IFERROR(__xludf.DUMMYFUNCTION("""COMPUTED_VALUE"""),"CEN")</f>
        <v>CEN</v>
      </c>
      <c r="B294" s="42"/>
      <c r="C294" s="42"/>
      <c r="D294" s="42" t="str">
        <f>IFERROR(__xludf.DUMMYFUNCTION("""COMPUTED_VALUE"""),"PBN")</f>
        <v>PBN</v>
      </c>
      <c r="E294" s="42"/>
      <c r="F294" s="42"/>
      <c r="G294" s="42"/>
      <c r="H294" s="42" t="str">
        <f>IFERROR(__xludf.DUMMYFUNCTION("""COMPUTED_VALUE"""),"")</f>
        <v/>
      </c>
      <c r="I294" s="42" t="str">
        <f>IFERROR(__xludf.DUMMYFUNCTION("""COMPUTED_VALUE"""),"Pitkänen, 2000")</f>
        <v>Pitkänen, 2000</v>
      </c>
      <c r="J294" s="42" t="str">
        <f>IFERROR(__xludf.DUMMYFUNCTION("""COMPUTED_VALUE"""),"Rat")</f>
        <v>Rat</v>
      </c>
      <c r="K294" s="42" t="str">
        <f>IFERROR(__xludf.DUMMYFUNCTION("""COMPUTED_VALUE"""),"Various tracing")</f>
        <v>Various tracing</v>
      </c>
      <c r="L294" s="42"/>
      <c r="M294" s="42" t="str">
        <f>IFERROR(__xludf.DUMMYFUNCTION("""COMPUTED_VALUE"""),"fig.3-fig.12 (to be specified)")</f>
        <v>fig.3-fig.12 (to be specified)</v>
      </c>
      <c r="N294" s="38"/>
      <c r="O294" s="31" t="str">
        <f>IFERROR(__xludf.DUMMYFUNCTION("""COMPUTED_VALUE"""),"DOC(alt)")</f>
        <v>DOC(alt)</v>
      </c>
      <c r="P294" s="9" t="str">
        <f>IFERROR(__xludf.DUMMYFUNCTION("""COMPUTED_VALUE"""),"Folia morphologica")</f>
        <v>Folia morphologica</v>
      </c>
      <c r="Q294" s="9" t="str">
        <f>IFERROR(__xludf.DUMMYFUNCTION("""COMPUTED_VALUE"""),"Review")</f>
        <v>Review</v>
      </c>
      <c r="R294" s="179" t="str">
        <f>IFERROR(__xludf.DUMMYFUNCTION("""COMPUTED_VALUE"""),"PBN (00/00) [Pitkänen, 2000];
")</f>
        <v>PBN (00/00) [Pitkänen, 2000];
</v>
      </c>
      <c r="S294" s="179" t="str">
        <f>IFERROR(__xludf.DUMMYFUNCTION("""COMPUTED_VALUE"""),"CENPBN")</f>
        <v>CENPBN</v>
      </c>
      <c r="T294" s="179" t="str">
        <f>IFERROR(__xludf.DUMMYFUNCTION("""COMPUTED_VALUE"""),"[Pitkänen, 2000]")</f>
        <v>[Pitkänen, 2000]</v>
      </c>
      <c r="U294" s="179">
        <f>IFERROR(__xludf.DUMMYFUNCTION("""COMPUTED_VALUE"""),0.0)</f>
        <v>0</v>
      </c>
      <c r="V294" s="180">
        <f>IFERROR(__xludf.DUMMYFUNCTION("""COMPUTED_VALUE"""),0.0)</f>
        <v>0</v>
      </c>
      <c r="W294" s="180">
        <f>IFERROR(__xludf.DUMMYFUNCTION("""COMPUTED_VALUE"""),0.95)</f>
        <v>0.95</v>
      </c>
      <c r="X294" s="42">
        <f>IFERROR(__xludf.DUMMYFUNCTION("""COMPUTED_VALUE"""),0.8)</f>
        <v>0.8</v>
      </c>
      <c r="Y294" s="42">
        <f>IFERROR(__xludf.DUMMYFUNCTION("""COMPUTED_VALUE"""),0.6)</f>
        <v>0.6</v>
      </c>
      <c r="Z294" s="9">
        <f>IFERROR(__xludf.DUMMYFUNCTION("""COMPUTED_VALUE"""),0.9)</f>
        <v>0.9</v>
      </c>
      <c r="AA294" s="181">
        <f>IFERROR(__xludf.DUMMYFUNCTION("""COMPUTED_VALUE"""),0.0)</f>
        <v>0</v>
      </c>
      <c r="AB294" s="181">
        <f>IFERROR(__xludf.DUMMYFUNCTION("""COMPUTED_VALUE"""),0.0)</f>
        <v>0</v>
      </c>
      <c r="AC294" s="179">
        <f>IFERROR(__xludf.DUMMYFUNCTION("""COMPUTED_VALUE"""),0.0)</f>
        <v>0</v>
      </c>
      <c r="AD294" s="165">
        <f>IFERROR(__xludf.DUMMYFUNCTION("""COMPUTED_VALUE"""),0.0)</f>
        <v>0</v>
      </c>
      <c r="AE294" s="39" t="str">
        <f>IFERROR(__xludf.DUMMYFUNCTION("""COMPUTED_VALUE"""),"Tatsuya Miyamoto")</f>
        <v>Tatsuya Miyamoto</v>
      </c>
      <c r="AF294" s="39" t="str">
        <f>IFERROR(__xludf.DUMMYFUNCTION("""COMPUTED_VALUE"""),"TM21Amygdala")</f>
        <v>TM21Amygdala</v>
      </c>
      <c r="AG294" s="39"/>
      <c r="AH294" s="39"/>
      <c r="AI294" s="165"/>
      <c r="AJ294" s="165"/>
      <c r="AK294" s="111"/>
      <c r="AL294" s="111"/>
      <c r="AM294" s="111"/>
      <c r="AN294" s="111"/>
      <c r="AO294" s="111"/>
      <c r="AP294" s="111"/>
      <c r="AQ294" s="116"/>
      <c r="AR294" s="116"/>
      <c r="AS294" s="116"/>
    </row>
    <row r="295">
      <c r="A295" s="42" t="str">
        <f>IFERROR(__xludf.DUMMYFUNCTION("""COMPUTED_VALUE"""),"CEN")</f>
        <v>CEN</v>
      </c>
      <c r="B295" s="42"/>
      <c r="C295" s="42"/>
      <c r="D295" s="42" t="str">
        <f>IFERROR(__xludf.DUMMYFUNCTION("""COMPUTED_VALUE"""),"PMN")</f>
        <v>PMN</v>
      </c>
      <c r="E295" s="42"/>
      <c r="F295" s="42"/>
      <c r="G295" s="42"/>
      <c r="H295" s="42" t="str">
        <f>IFERROR(__xludf.DUMMYFUNCTION("""COMPUTED_VALUE"""),"")</f>
        <v/>
      </c>
      <c r="I295" s="42" t="str">
        <f>IFERROR(__xludf.DUMMYFUNCTION("""COMPUTED_VALUE"""),"Pitkänen, 2000")</f>
        <v>Pitkänen, 2000</v>
      </c>
      <c r="J295" s="42" t="str">
        <f>IFERROR(__xludf.DUMMYFUNCTION("""COMPUTED_VALUE"""),"Rat")</f>
        <v>Rat</v>
      </c>
      <c r="K295" s="42" t="str">
        <f>IFERROR(__xludf.DUMMYFUNCTION("""COMPUTED_VALUE"""),"Various tracing")</f>
        <v>Various tracing</v>
      </c>
      <c r="L295" s="42"/>
      <c r="M295" s="42" t="str">
        <f>IFERROR(__xludf.DUMMYFUNCTION("""COMPUTED_VALUE"""),"fig.3-fig.12 (to be specified)")</f>
        <v>fig.3-fig.12 (to be specified)</v>
      </c>
      <c r="N295" s="38"/>
      <c r="O295" s="31" t="str">
        <f>IFERROR(__xludf.DUMMYFUNCTION("""COMPUTED_VALUE"""),"DOC(alt)")</f>
        <v>DOC(alt)</v>
      </c>
      <c r="P295" s="9" t="str">
        <f>IFERROR(__xludf.DUMMYFUNCTION("""COMPUTED_VALUE"""),"Folia morphologica")</f>
        <v>Folia morphologica</v>
      </c>
      <c r="Q295" s="9" t="str">
        <f>IFERROR(__xludf.DUMMYFUNCTION("""COMPUTED_VALUE"""),"Review")</f>
        <v>Review</v>
      </c>
      <c r="R295" s="179" t="str">
        <f>IFERROR(__xludf.DUMMYFUNCTION("""COMPUTED_VALUE"""),"PMN (00/00) [Pitkänen, 2000];
")</f>
        <v>PMN (00/00) [Pitkänen, 2000];
</v>
      </c>
      <c r="S295" s="179" t="str">
        <f>IFERROR(__xludf.DUMMYFUNCTION("""COMPUTED_VALUE"""),"CENPMN")</f>
        <v>CENPMN</v>
      </c>
      <c r="T295" s="179" t="str">
        <f>IFERROR(__xludf.DUMMYFUNCTION("""COMPUTED_VALUE"""),"[Pitkänen, 2000]")</f>
        <v>[Pitkänen, 2000]</v>
      </c>
      <c r="U295" s="179">
        <f>IFERROR(__xludf.DUMMYFUNCTION("""COMPUTED_VALUE"""),0.0)</f>
        <v>0</v>
      </c>
      <c r="V295" s="180">
        <f>IFERROR(__xludf.DUMMYFUNCTION("""COMPUTED_VALUE"""),0.0)</f>
        <v>0</v>
      </c>
      <c r="W295" s="180">
        <f>IFERROR(__xludf.DUMMYFUNCTION("""COMPUTED_VALUE"""),0.95)</f>
        <v>0.95</v>
      </c>
      <c r="X295" s="42">
        <f>IFERROR(__xludf.DUMMYFUNCTION("""COMPUTED_VALUE"""),0.8)</f>
        <v>0.8</v>
      </c>
      <c r="Y295" s="42">
        <f>IFERROR(__xludf.DUMMYFUNCTION("""COMPUTED_VALUE"""),0.6)</f>
        <v>0.6</v>
      </c>
      <c r="Z295" s="9">
        <f>IFERROR(__xludf.DUMMYFUNCTION("""COMPUTED_VALUE"""),0.9)</f>
        <v>0.9</v>
      </c>
      <c r="AA295" s="181">
        <f>IFERROR(__xludf.DUMMYFUNCTION("""COMPUTED_VALUE"""),0.0)</f>
        <v>0</v>
      </c>
      <c r="AB295" s="181">
        <f>IFERROR(__xludf.DUMMYFUNCTION("""COMPUTED_VALUE"""),0.0)</f>
        <v>0</v>
      </c>
      <c r="AC295" s="179">
        <f>IFERROR(__xludf.DUMMYFUNCTION("""COMPUTED_VALUE"""),0.0)</f>
        <v>0</v>
      </c>
      <c r="AD295" s="165">
        <f>IFERROR(__xludf.DUMMYFUNCTION("""COMPUTED_VALUE"""),0.0)</f>
        <v>0</v>
      </c>
      <c r="AE295" s="39" t="str">
        <f>IFERROR(__xludf.DUMMYFUNCTION("""COMPUTED_VALUE"""),"Tatsuya Miyamoto")</f>
        <v>Tatsuya Miyamoto</v>
      </c>
      <c r="AF295" s="39" t="str">
        <f>IFERROR(__xludf.DUMMYFUNCTION("""COMPUTED_VALUE"""),"TM21Amygdala")</f>
        <v>TM21Amygdala</v>
      </c>
      <c r="AG295" s="39"/>
      <c r="AH295" s="39"/>
      <c r="AI295" s="165"/>
      <c r="AJ295" s="165"/>
      <c r="AK295" s="111"/>
      <c r="AL295" s="111"/>
      <c r="AM295" s="111"/>
      <c r="AN295" s="111"/>
      <c r="AO295" s="111"/>
      <c r="AP295" s="111"/>
      <c r="AQ295" s="116"/>
      <c r="AR295" s="116"/>
      <c r="AS295" s="116"/>
    </row>
    <row r="296">
      <c r="A296" s="42" t="str">
        <f>IFERROR(__xludf.DUMMYFUNCTION("""COMPUTED_VALUE"""),"CEN")</f>
        <v>CEN</v>
      </c>
      <c r="B296" s="42"/>
      <c r="C296" s="42"/>
      <c r="D296" s="42" t="str">
        <f>IFERROR(__xludf.DUMMYFUNCTION("""COMPUTED_VALUE"""),"PRCd")</f>
        <v>PRCd</v>
      </c>
      <c r="E296" s="42"/>
      <c r="F296" s="42"/>
      <c r="G296" s="42"/>
      <c r="H296" s="42" t="str">
        <f>IFERROR(__xludf.DUMMYFUNCTION("""COMPUTED_VALUE"""),"")</f>
        <v/>
      </c>
      <c r="I296" s="42" t="str">
        <f>IFERROR(__xludf.DUMMYFUNCTION("""COMPUTED_VALUE"""),"Pitkänen, 2000")</f>
        <v>Pitkänen, 2000</v>
      </c>
      <c r="J296" s="42" t="str">
        <f>IFERROR(__xludf.DUMMYFUNCTION("""COMPUTED_VALUE"""),"Rat")</f>
        <v>Rat</v>
      </c>
      <c r="K296" s="42" t="str">
        <f>IFERROR(__xludf.DUMMYFUNCTION("""COMPUTED_VALUE"""),"Various tracing")</f>
        <v>Various tracing</v>
      </c>
      <c r="L296" s="42"/>
      <c r="M296" s="42" t="str">
        <f>IFERROR(__xludf.DUMMYFUNCTION("""COMPUTED_VALUE"""),"fig.3-fig.12 (to be specified)")</f>
        <v>fig.3-fig.12 (to be specified)</v>
      </c>
      <c r="N296" s="38"/>
      <c r="O296" s="31" t="str">
        <f>IFERROR(__xludf.DUMMYFUNCTION("""COMPUTED_VALUE"""),"DOC(alt)")</f>
        <v>DOC(alt)</v>
      </c>
      <c r="P296" s="9" t="str">
        <f>IFERROR(__xludf.DUMMYFUNCTION("""COMPUTED_VALUE"""),"Folia morphologica")</f>
        <v>Folia morphologica</v>
      </c>
      <c r="Q296" s="9" t="str">
        <f>IFERROR(__xludf.DUMMYFUNCTION("""COMPUTED_VALUE"""),"Review")</f>
        <v>Review</v>
      </c>
      <c r="R296" s="179" t="str">
        <f>IFERROR(__xludf.DUMMYFUNCTION("""COMPUTED_VALUE"""),"PRCd (00/00) [Pitkänen, 2000];
")</f>
        <v>PRCd (00/00) [Pitkänen, 2000];
</v>
      </c>
      <c r="S296" s="179" t="str">
        <f>IFERROR(__xludf.DUMMYFUNCTION("""COMPUTED_VALUE"""),"CENPRCd")</f>
        <v>CENPRCd</v>
      </c>
      <c r="T296" s="179" t="str">
        <f>IFERROR(__xludf.DUMMYFUNCTION("""COMPUTED_VALUE"""),"[Pitkänen, 2000]")</f>
        <v>[Pitkänen, 2000]</v>
      </c>
      <c r="U296" s="179">
        <f>IFERROR(__xludf.DUMMYFUNCTION("""COMPUTED_VALUE"""),0.0)</f>
        <v>0</v>
      </c>
      <c r="V296" s="180">
        <f>IFERROR(__xludf.DUMMYFUNCTION("""COMPUTED_VALUE"""),0.0)</f>
        <v>0</v>
      </c>
      <c r="W296" s="180">
        <f>IFERROR(__xludf.DUMMYFUNCTION("""COMPUTED_VALUE"""),0.95)</f>
        <v>0.95</v>
      </c>
      <c r="X296" s="42">
        <f>IFERROR(__xludf.DUMMYFUNCTION("""COMPUTED_VALUE"""),0.8)</f>
        <v>0.8</v>
      </c>
      <c r="Y296" s="42">
        <f>IFERROR(__xludf.DUMMYFUNCTION("""COMPUTED_VALUE"""),0.6)</f>
        <v>0.6</v>
      </c>
      <c r="Z296" s="9">
        <f>IFERROR(__xludf.DUMMYFUNCTION("""COMPUTED_VALUE"""),0.9)</f>
        <v>0.9</v>
      </c>
      <c r="AA296" s="181">
        <f>IFERROR(__xludf.DUMMYFUNCTION("""COMPUTED_VALUE"""),0.0)</f>
        <v>0</v>
      </c>
      <c r="AB296" s="181">
        <f>IFERROR(__xludf.DUMMYFUNCTION("""COMPUTED_VALUE"""),0.0)</f>
        <v>0</v>
      </c>
      <c r="AC296" s="179">
        <f>IFERROR(__xludf.DUMMYFUNCTION("""COMPUTED_VALUE"""),0.0)</f>
        <v>0</v>
      </c>
      <c r="AD296" s="165">
        <f>IFERROR(__xludf.DUMMYFUNCTION("""COMPUTED_VALUE"""),0.0)</f>
        <v>0</v>
      </c>
      <c r="AE296" s="39" t="str">
        <f>IFERROR(__xludf.DUMMYFUNCTION("""COMPUTED_VALUE"""),"Tatsuya Miyamoto")</f>
        <v>Tatsuya Miyamoto</v>
      </c>
      <c r="AF296" s="39" t="str">
        <f>IFERROR(__xludf.DUMMYFUNCTION("""COMPUTED_VALUE"""),"TM21Amygdala")</f>
        <v>TM21Amygdala</v>
      </c>
      <c r="AG296" s="39"/>
      <c r="AH296" s="39"/>
      <c r="AI296" s="165"/>
      <c r="AJ296" s="165"/>
      <c r="AK296" s="111"/>
      <c r="AL296" s="111"/>
      <c r="AM296" s="111"/>
      <c r="AN296" s="111"/>
      <c r="AO296" s="111"/>
      <c r="AP296" s="111"/>
      <c r="AQ296" s="116"/>
      <c r="AR296" s="116"/>
      <c r="AS296" s="116"/>
    </row>
    <row r="297">
      <c r="A297" s="42" t="str">
        <f>IFERROR(__xludf.DUMMYFUNCTION("""COMPUTED_VALUE"""),"CEN")</f>
        <v>CEN</v>
      </c>
      <c r="B297" s="42"/>
      <c r="C297" s="42"/>
      <c r="D297" s="42" t="str">
        <f>IFERROR(__xludf.DUMMYFUNCTION("""COMPUTED_VALUE"""),"S")</f>
        <v>S</v>
      </c>
      <c r="E297" s="42"/>
      <c r="F297" s="42"/>
      <c r="G297" s="42"/>
      <c r="H297" s="42" t="str">
        <f>IFERROR(__xludf.DUMMYFUNCTION("""COMPUTED_VALUE"""),"")</f>
        <v/>
      </c>
      <c r="I297" s="42" t="str">
        <f>IFERROR(__xludf.DUMMYFUNCTION("""COMPUTED_VALUE"""),"Pitkänen, 2000")</f>
        <v>Pitkänen, 2000</v>
      </c>
      <c r="J297" s="42" t="str">
        <f>IFERROR(__xludf.DUMMYFUNCTION("""COMPUTED_VALUE"""),"Rat")</f>
        <v>Rat</v>
      </c>
      <c r="K297" s="42" t="str">
        <f>IFERROR(__xludf.DUMMYFUNCTION("""COMPUTED_VALUE"""),"Various tracing")</f>
        <v>Various tracing</v>
      </c>
      <c r="L297" s="42"/>
      <c r="M297" s="42" t="str">
        <f>IFERROR(__xludf.DUMMYFUNCTION("""COMPUTED_VALUE"""),"fig.3-fig.12 (to be specified)")</f>
        <v>fig.3-fig.12 (to be specified)</v>
      </c>
      <c r="N297" s="38"/>
      <c r="O297" s="31" t="str">
        <f>IFERROR(__xludf.DUMMYFUNCTION("""COMPUTED_VALUE"""),"DOC(alt)")</f>
        <v>DOC(alt)</v>
      </c>
      <c r="P297" s="9" t="str">
        <f>IFERROR(__xludf.DUMMYFUNCTION("""COMPUTED_VALUE"""),"Folia morphologica")</f>
        <v>Folia morphologica</v>
      </c>
      <c r="Q297" s="9" t="str">
        <f>IFERROR(__xludf.DUMMYFUNCTION("""COMPUTED_VALUE"""),"Review")</f>
        <v>Review</v>
      </c>
      <c r="R297" s="179" t="str">
        <f>IFERROR(__xludf.DUMMYFUNCTION("""COMPUTED_VALUE"""),"S (00/00) [Pitkänen, 2000];
")</f>
        <v>S (00/00) [Pitkänen, 2000];
</v>
      </c>
      <c r="S297" s="179" t="str">
        <f>IFERROR(__xludf.DUMMYFUNCTION("""COMPUTED_VALUE"""),"CENS")</f>
        <v>CENS</v>
      </c>
      <c r="T297" s="179" t="str">
        <f>IFERROR(__xludf.DUMMYFUNCTION("""COMPUTED_VALUE"""),"[Pitkänen, 2000]")</f>
        <v>[Pitkänen, 2000]</v>
      </c>
      <c r="U297" s="179">
        <f>IFERROR(__xludf.DUMMYFUNCTION("""COMPUTED_VALUE"""),0.0)</f>
        <v>0</v>
      </c>
      <c r="V297" s="180">
        <f>IFERROR(__xludf.DUMMYFUNCTION("""COMPUTED_VALUE"""),0.0)</f>
        <v>0</v>
      </c>
      <c r="W297" s="180">
        <f>IFERROR(__xludf.DUMMYFUNCTION("""COMPUTED_VALUE"""),0.95)</f>
        <v>0.95</v>
      </c>
      <c r="X297" s="42">
        <f>IFERROR(__xludf.DUMMYFUNCTION("""COMPUTED_VALUE"""),0.8)</f>
        <v>0.8</v>
      </c>
      <c r="Y297" s="42">
        <f>IFERROR(__xludf.DUMMYFUNCTION("""COMPUTED_VALUE"""),0.6)</f>
        <v>0.6</v>
      </c>
      <c r="Z297" s="9">
        <f>IFERROR(__xludf.DUMMYFUNCTION("""COMPUTED_VALUE"""),0.9)</f>
        <v>0.9</v>
      </c>
      <c r="AA297" s="181">
        <f>IFERROR(__xludf.DUMMYFUNCTION("""COMPUTED_VALUE"""),0.0)</f>
        <v>0</v>
      </c>
      <c r="AB297" s="181">
        <f>IFERROR(__xludf.DUMMYFUNCTION("""COMPUTED_VALUE"""),0.0)</f>
        <v>0</v>
      </c>
      <c r="AC297" s="179">
        <f>IFERROR(__xludf.DUMMYFUNCTION("""COMPUTED_VALUE"""),0.0)</f>
        <v>0</v>
      </c>
      <c r="AD297" s="165">
        <f>IFERROR(__xludf.DUMMYFUNCTION("""COMPUTED_VALUE"""),0.0)</f>
        <v>0</v>
      </c>
      <c r="AE297" s="39" t="str">
        <f>IFERROR(__xludf.DUMMYFUNCTION("""COMPUTED_VALUE"""),"Tatsuya Miyamoto")</f>
        <v>Tatsuya Miyamoto</v>
      </c>
      <c r="AF297" s="39" t="str">
        <f>IFERROR(__xludf.DUMMYFUNCTION("""COMPUTED_VALUE"""),"TM21Amygdala")</f>
        <v>TM21Amygdala</v>
      </c>
      <c r="AG297" s="39"/>
      <c r="AH297" s="39"/>
      <c r="AI297" s="165"/>
      <c r="AJ297" s="165"/>
      <c r="AK297" s="111"/>
      <c r="AL297" s="111"/>
      <c r="AM297" s="111"/>
      <c r="AN297" s="111"/>
      <c r="AO297" s="111"/>
      <c r="AP297" s="111"/>
      <c r="AQ297" s="116"/>
      <c r="AR297" s="116"/>
      <c r="AS297" s="116"/>
    </row>
    <row r="298">
      <c r="A298" s="42" t="str">
        <f>IFERROR(__xludf.DUMMYFUNCTION("""COMPUTED_VALUE"""),"CEN")</f>
        <v>CEN</v>
      </c>
      <c r="B298" s="42"/>
      <c r="C298" s="42"/>
      <c r="D298" s="42" t="str">
        <f>IFERROR(__xludf.DUMMYFUNCTION("""COMPUTED_VALUE"""),"S1C")</f>
        <v>S1C</v>
      </c>
      <c r="E298" s="42"/>
      <c r="F298" s="42"/>
      <c r="G298" s="42"/>
      <c r="H298" s="42" t="str">
        <f>IFERROR(__xludf.DUMMYFUNCTION("""COMPUTED_VALUE"""),"")</f>
        <v/>
      </c>
      <c r="I298" s="42" t="str">
        <f>IFERROR(__xludf.DUMMYFUNCTION("""COMPUTED_VALUE"""),"Pitkänen, 2000")</f>
        <v>Pitkänen, 2000</v>
      </c>
      <c r="J298" s="42" t="str">
        <f>IFERROR(__xludf.DUMMYFUNCTION("""COMPUTED_VALUE"""),"Rat")</f>
        <v>Rat</v>
      </c>
      <c r="K298" s="42" t="str">
        <f>IFERROR(__xludf.DUMMYFUNCTION("""COMPUTED_VALUE"""),"Various tracing")</f>
        <v>Various tracing</v>
      </c>
      <c r="L298" s="42"/>
      <c r="M298" s="42" t="str">
        <f>IFERROR(__xludf.DUMMYFUNCTION("""COMPUTED_VALUE"""),"fig.3-fig.12 (to be specified)")</f>
        <v>fig.3-fig.12 (to be specified)</v>
      </c>
      <c r="N298" s="38"/>
      <c r="O298" s="31" t="str">
        <f>IFERROR(__xludf.DUMMYFUNCTION("""COMPUTED_VALUE"""),"DOC(alt)")</f>
        <v>DOC(alt)</v>
      </c>
      <c r="P298" s="9" t="str">
        <f>IFERROR(__xludf.DUMMYFUNCTION("""COMPUTED_VALUE"""),"Folia morphologica")</f>
        <v>Folia morphologica</v>
      </c>
      <c r="Q298" s="9" t="str">
        <f>IFERROR(__xludf.DUMMYFUNCTION("""COMPUTED_VALUE"""),"Review")</f>
        <v>Review</v>
      </c>
      <c r="R298" s="179" t="str">
        <f>IFERROR(__xludf.DUMMYFUNCTION("""COMPUTED_VALUE"""),"S1C (00/00) [Pitkänen, 2000];
")</f>
        <v>S1C (00/00) [Pitkänen, 2000];
</v>
      </c>
      <c r="S298" s="179" t="str">
        <f>IFERROR(__xludf.DUMMYFUNCTION("""COMPUTED_VALUE"""),"CENS1C")</f>
        <v>CENS1C</v>
      </c>
      <c r="T298" s="179" t="str">
        <f>IFERROR(__xludf.DUMMYFUNCTION("""COMPUTED_VALUE"""),"[Pitkänen, 2000]")</f>
        <v>[Pitkänen, 2000]</v>
      </c>
      <c r="U298" s="179">
        <f>IFERROR(__xludf.DUMMYFUNCTION("""COMPUTED_VALUE"""),0.0)</f>
        <v>0</v>
      </c>
      <c r="V298" s="180">
        <f>IFERROR(__xludf.DUMMYFUNCTION("""COMPUTED_VALUE"""),0.0)</f>
        <v>0</v>
      </c>
      <c r="W298" s="180">
        <f>IFERROR(__xludf.DUMMYFUNCTION("""COMPUTED_VALUE"""),0.95)</f>
        <v>0.95</v>
      </c>
      <c r="X298" s="42">
        <f>IFERROR(__xludf.DUMMYFUNCTION("""COMPUTED_VALUE"""),0.8)</f>
        <v>0.8</v>
      </c>
      <c r="Y298" s="42">
        <f>IFERROR(__xludf.DUMMYFUNCTION("""COMPUTED_VALUE"""),0.6)</f>
        <v>0.6</v>
      </c>
      <c r="Z298" s="9">
        <f>IFERROR(__xludf.DUMMYFUNCTION("""COMPUTED_VALUE"""),0.9)</f>
        <v>0.9</v>
      </c>
      <c r="AA298" s="181">
        <f>IFERROR(__xludf.DUMMYFUNCTION("""COMPUTED_VALUE"""),0.0)</f>
        <v>0</v>
      </c>
      <c r="AB298" s="181">
        <f>IFERROR(__xludf.DUMMYFUNCTION("""COMPUTED_VALUE"""),0.0)</f>
        <v>0</v>
      </c>
      <c r="AC298" s="179">
        <f>IFERROR(__xludf.DUMMYFUNCTION("""COMPUTED_VALUE"""),0.0)</f>
        <v>0</v>
      </c>
      <c r="AD298" s="165">
        <f>IFERROR(__xludf.DUMMYFUNCTION("""COMPUTED_VALUE"""),0.0)</f>
        <v>0</v>
      </c>
      <c r="AE298" s="39" t="str">
        <f>IFERROR(__xludf.DUMMYFUNCTION("""COMPUTED_VALUE"""),"Tatsuya Miyamoto")</f>
        <v>Tatsuya Miyamoto</v>
      </c>
      <c r="AF298" s="39" t="str">
        <f>IFERROR(__xludf.DUMMYFUNCTION("""COMPUTED_VALUE"""),"TM21Amygdala")</f>
        <v>TM21Amygdala</v>
      </c>
      <c r="AG298" s="39"/>
      <c r="AH298" s="39"/>
      <c r="AI298" s="165"/>
      <c r="AJ298" s="165"/>
      <c r="AK298" s="111"/>
      <c r="AL298" s="111"/>
      <c r="AM298" s="111"/>
      <c r="AN298" s="111"/>
      <c r="AO298" s="111"/>
      <c r="AP298" s="111"/>
      <c r="AQ298" s="116"/>
      <c r="AR298" s="116"/>
      <c r="AS298" s="116"/>
    </row>
    <row r="299">
      <c r="A299" s="42" t="str">
        <f>IFERROR(__xludf.DUMMYFUNCTION("""COMPUTED_VALUE"""),"CEN")</f>
        <v>CEN</v>
      </c>
      <c r="B299" s="42"/>
      <c r="C299" s="42"/>
      <c r="D299" s="42" t="str">
        <f>IFERROR(__xludf.DUMMYFUNCTION("""COMPUTED_VALUE"""),"SNL")</f>
        <v>SNL</v>
      </c>
      <c r="E299" s="42"/>
      <c r="F299" s="42"/>
      <c r="G299" s="42"/>
      <c r="H299" s="42" t="str">
        <f>IFERROR(__xludf.DUMMYFUNCTION("""COMPUTED_VALUE"""),"")</f>
        <v/>
      </c>
      <c r="I299" s="42" t="str">
        <f>IFERROR(__xludf.DUMMYFUNCTION("""COMPUTED_VALUE"""),"Pitkänen, 2000")</f>
        <v>Pitkänen, 2000</v>
      </c>
      <c r="J299" s="42" t="str">
        <f>IFERROR(__xludf.DUMMYFUNCTION("""COMPUTED_VALUE"""),"Rat")</f>
        <v>Rat</v>
      </c>
      <c r="K299" s="42" t="str">
        <f>IFERROR(__xludf.DUMMYFUNCTION("""COMPUTED_VALUE"""),"Various tracing")</f>
        <v>Various tracing</v>
      </c>
      <c r="L299" s="42"/>
      <c r="M299" s="42" t="str">
        <f>IFERROR(__xludf.DUMMYFUNCTION("""COMPUTED_VALUE"""),"fig.3-fig.12 (to be specified)")</f>
        <v>fig.3-fig.12 (to be specified)</v>
      </c>
      <c r="N299" s="38"/>
      <c r="O299" s="31" t="str">
        <f>IFERROR(__xludf.DUMMYFUNCTION("""COMPUTED_VALUE"""),"DOC(alt)")</f>
        <v>DOC(alt)</v>
      </c>
      <c r="P299" s="9" t="str">
        <f>IFERROR(__xludf.DUMMYFUNCTION("""COMPUTED_VALUE"""),"Folia morphologica")</f>
        <v>Folia morphologica</v>
      </c>
      <c r="Q299" s="9" t="str">
        <f>IFERROR(__xludf.DUMMYFUNCTION("""COMPUTED_VALUE"""),"Review")</f>
        <v>Review</v>
      </c>
      <c r="R299" s="179" t="str">
        <f>IFERROR(__xludf.DUMMYFUNCTION("""COMPUTED_VALUE"""),"SNL (00/00) [Pitkänen, 2000];
")</f>
        <v>SNL (00/00) [Pitkänen, 2000];
</v>
      </c>
      <c r="S299" s="179" t="str">
        <f>IFERROR(__xludf.DUMMYFUNCTION("""COMPUTED_VALUE"""),"CENSNL")</f>
        <v>CENSNL</v>
      </c>
      <c r="T299" s="179" t="str">
        <f>IFERROR(__xludf.DUMMYFUNCTION("""COMPUTED_VALUE"""),"[Pitkänen, 2000]")</f>
        <v>[Pitkänen, 2000]</v>
      </c>
      <c r="U299" s="179">
        <f>IFERROR(__xludf.DUMMYFUNCTION("""COMPUTED_VALUE"""),0.0)</f>
        <v>0</v>
      </c>
      <c r="V299" s="180">
        <f>IFERROR(__xludf.DUMMYFUNCTION("""COMPUTED_VALUE"""),0.0)</f>
        <v>0</v>
      </c>
      <c r="W299" s="180">
        <f>IFERROR(__xludf.DUMMYFUNCTION("""COMPUTED_VALUE"""),0.95)</f>
        <v>0.95</v>
      </c>
      <c r="X299" s="42">
        <f>IFERROR(__xludf.DUMMYFUNCTION("""COMPUTED_VALUE"""),0.8)</f>
        <v>0.8</v>
      </c>
      <c r="Y299" s="42">
        <f>IFERROR(__xludf.DUMMYFUNCTION("""COMPUTED_VALUE"""),0.6)</f>
        <v>0.6</v>
      </c>
      <c r="Z299" s="9">
        <f>IFERROR(__xludf.DUMMYFUNCTION("""COMPUTED_VALUE"""),0.9)</f>
        <v>0.9</v>
      </c>
      <c r="AA299" s="181">
        <f>IFERROR(__xludf.DUMMYFUNCTION("""COMPUTED_VALUE"""),0.0)</f>
        <v>0</v>
      </c>
      <c r="AB299" s="181">
        <f>IFERROR(__xludf.DUMMYFUNCTION("""COMPUTED_VALUE"""),0.0)</f>
        <v>0</v>
      </c>
      <c r="AC299" s="179">
        <f>IFERROR(__xludf.DUMMYFUNCTION("""COMPUTED_VALUE"""),0.0)</f>
        <v>0</v>
      </c>
      <c r="AD299" s="165">
        <f>IFERROR(__xludf.DUMMYFUNCTION("""COMPUTED_VALUE"""),0.0)</f>
        <v>0</v>
      </c>
      <c r="AE299" s="39" t="str">
        <f>IFERROR(__xludf.DUMMYFUNCTION("""COMPUTED_VALUE"""),"Tatsuya Miyamoto")</f>
        <v>Tatsuya Miyamoto</v>
      </c>
      <c r="AF299" s="39" t="str">
        <f>IFERROR(__xludf.DUMMYFUNCTION("""COMPUTED_VALUE"""),"TM21Amygdala")</f>
        <v>TM21Amygdala</v>
      </c>
      <c r="AG299" s="39"/>
      <c r="AH299" s="39"/>
      <c r="AI299" s="165"/>
      <c r="AJ299" s="165"/>
      <c r="AK299" s="111"/>
      <c r="AL299" s="111"/>
      <c r="AM299" s="111"/>
      <c r="AN299" s="111"/>
      <c r="AO299" s="111"/>
      <c r="AP299" s="111"/>
      <c r="AQ299" s="116"/>
      <c r="AR299" s="116"/>
      <c r="AS299" s="116"/>
    </row>
    <row r="300">
      <c r="A300" s="42" t="str">
        <f>IFERROR(__xludf.DUMMYFUNCTION("""COMPUTED_VALUE"""),"CEN")</f>
        <v>CEN</v>
      </c>
      <c r="B300" s="42"/>
      <c r="C300" s="42"/>
      <c r="D300" s="42" t="str">
        <f>IFERROR(__xludf.DUMMYFUNCTION("""COMPUTED_VALUE"""),"SubC")</f>
        <v>SubC</v>
      </c>
      <c r="E300" s="42"/>
      <c r="F300" s="42"/>
      <c r="G300" s="42"/>
      <c r="H300" s="42" t="str">
        <f>IFERROR(__xludf.DUMMYFUNCTION("""COMPUTED_VALUE"""),"")</f>
        <v/>
      </c>
      <c r="I300" s="42" t="str">
        <f>IFERROR(__xludf.DUMMYFUNCTION("""COMPUTED_VALUE"""),"Pitkänen, 2000")</f>
        <v>Pitkänen, 2000</v>
      </c>
      <c r="J300" s="42" t="str">
        <f>IFERROR(__xludf.DUMMYFUNCTION("""COMPUTED_VALUE"""),"Rat")</f>
        <v>Rat</v>
      </c>
      <c r="K300" s="42" t="str">
        <f>IFERROR(__xludf.DUMMYFUNCTION("""COMPUTED_VALUE"""),"Various tracing")</f>
        <v>Various tracing</v>
      </c>
      <c r="L300" s="42"/>
      <c r="M300" s="42" t="str">
        <f>IFERROR(__xludf.DUMMYFUNCTION("""COMPUTED_VALUE"""),"fig.3-fig.12 (to be specified)")</f>
        <v>fig.3-fig.12 (to be specified)</v>
      </c>
      <c r="N300" s="38"/>
      <c r="O300" s="31" t="str">
        <f>IFERROR(__xludf.DUMMYFUNCTION("""COMPUTED_VALUE"""),"DOC(alt)")</f>
        <v>DOC(alt)</v>
      </c>
      <c r="P300" s="9" t="str">
        <f>IFERROR(__xludf.DUMMYFUNCTION("""COMPUTED_VALUE"""),"Folia morphologica")</f>
        <v>Folia morphologica</v>
      </c>
      <c r="Q300" s="9" t="str">
        <f>IFERROR(__xludf.DUMMYFUNCTION("""COMPUTED_VALUE"""),"Review")</f>
        <v>Review</v>
      </c>
      <c r="R300" s="179" t="str">
        <f>IFERROR(__xludf.DUMMYFUNCTION("""COMPUTED_VALUE"""),"SubC (00/00) [Pitkänen, 2000];
")</f>
        <v>SubC (00/00) [Pitkänen, 2000];
</v>
      </c>
      <c r="S300" s="179" t="str">
        <f>IFERROR(__xludf.DUMMYFUNCTION("""COMPUTED_VALUE"""),"CENSubC")</f>
        <v>CENSubC</v>
      </c>
      <c r="T300" s="179" t="str">
        <f>IFERROR(__xludf.DUMMYFUNCTION("""COMPUTED_VALUE"""),"[Pitkänen, 2000]")</f>
        <v>[Pitkänen, 2000]</v>
      </c>
      <c r="U300" s="179">
        <f>IFERROR(__xludf.DUMMYFUNCTION("""COMPUTED_VALUE"""),0.0)</f>
        <v>0</v>
      </c>
      <c r="V300" s="180">
        <f>IFERROR(__xludf.DUMMYFUNCTION("""COMPUTED_VALUE"""),0.0)</f>
        <v>0</v>
      </c>
      <c r="W300" s="180">
        <f>IFERROR(__xludf.DUMMYFUNCTION("""COMPUTED_VALUE"""),0.95)</f>
        <v>0.95</v>
      </c>
      <c r="X300" s="42">
        <f>IFERROR(__xludf.DUMMYFUNCTION("""COMPUTED_VALUE"""),0.8)</f>
        <v>0.8</v>
      </c>
      <c r="Y300" s="42">
        <f>IFERROR(__xludf.DUMMYFUNCTION("""COMPUTED_VALUE"""),0.6)</f>
        <v>0.6</v>
      </c>
      <c r="Z300" s="9">
        <f>IFERROR(__xludf.DUMMYFUNCTION("""COMPUTED_VALUE"""),0.9)</f>
        <v>0.9</v>
      </c>
      <c r="AA300" s="181">
        <f>IFERROR(__xludf.DUMMYFUNCTION("""COMPUTED_VALUE"""),0.0)</f>
        <v>0</v>
      </c>
      <c r="AB300" s="181">
        <f>IFERROR(__xludf.DUMMYFUNCTION("""COMPUTED_VALUE"""),0.0)</f>
        <v>0</v>
      </c>
      <c r="AC300" s="179">
        <f>IFERROR(__xludf.DUMMYFUNCTION("""COMPUTED_VALUE"""),0.0)</f>
        <v>0</v>
      </c>
      <c r="AD300" s="165">
        <f>IFERROR(__xludf.DUMMYFUNCTION("""COMPUTED_VALUE"""),0.0)</f>
        <v>0</v>
      </c>
      <c r="AE300" s="39" t="str">
        <f>IFERROR(__xludf.DUMMYFUNCTION("""COMPUTED_VALUE"""),"Tatsuya Miyamoto")</f>
        <v>Tatsuya Miyamoto</v>
      </c>
      <c r="AF300" s="39" t="str">
        <f>IFERROR(__xludf.DUMMYFUNCTION("""COMPUTED_VALUE"""),"TM21Amygdala")</f>
        <v>TM21Amygdala</v>
      </c>
      <c r="AG300" s="39"/>
      <c r="AH300" s="39"/>
      <c r="AI300" s="165"/>
      <c r="AJ300" s="165"/>
      <c r="AK300" s="111"/>
      <c r="AL300" s="111"/>
      <c r="AM300" s="111"/>
      <c r="AN300" s="111"/>
      <c r="AO300" s="111"/>
      <c r="AP300" s="111"/>
      <c r="AQ300" s="116"/>
      <c r="AR300" s="116"/>
      <c r="AS300" s="116"/>
    </row>
    <row r="301">
      <c r="A301" s="42" t="str">
        <f>IFERROR(__xludf.DUMMYFUNCTION("""COMPUTED_VALUE"""),"CEN")</f>
        <v>CEN</v>
      </c>
      <c r="B301" s="42"/>
      <c r="C301" s="42"/>
      <c r="D301" s="42" t="str">
        <f>IFERROR(__xludf.DUMMYFUNCTION("""COMPUTED_VALUE"""),"Te2")</f>
        <v>Te2</v>
      </c>
      <c r="E301" s="42"/>
      <c r="F301" s="42"/>
      <c r="G301" s="42"/>
      <c r="H301" s="42" t="str">
        <f>IFERROR(__xludf.DUMMYFUNCTION("""COMPUTED_VALUE"""),"")</f>
        <v/>
      </c>
      <c r="I301" s="42" t="str">
        <f>IFERROR(__xludf.DUMMYFUNCTION("""COMPUTED_VALUE"""),"Pitkänen, 2000")</f>
        <v>Pitkänen, 2000</v>
      </c>
      <c r="J301" s="42" t="str">
        <f>IFERROR(__xludf.DUMMYFUNCTION("""COMPUTED_VALUE"""),"Rat")</f>
        <v>Rat</v>
      </c>
      <c r="K301" s="42" t="str">
        <f>IFERROR(__xludf.DUMMYFUNCTION("""COMPUTED_VALUE"""),"Various tracing")</f>
        <v>Various tracing</v>
      </c>
      <c r="L301" s="42"/>
      <c r="M301" s="42" t="str">
        <f>IFERROR(__xludf.DUMMYFUNCTION("""COMPUTED_VALUE"""),"fig.3-fig.12 (to be specified)")</f>
        <v>fig.3-fig.12 (to be specified)</v>
      </c>
      <c r="N301" s="38"/>
      <c r="O301" s="31" t="str">
        <f>IFERROR(__xludf.DUMMYFUNCTION("""COMPUTED_VALUE"""),"DOC(alt)")</f>
        <v>DOC(alt)</v>
      </c>
      <c r="P301" s="9" t="str">
        <f>IFERROR(__xludf.DUMMYFUNCTION("""COMPUTED_VALUE"""),"Folia morphologica")</f>
        <v>Folia morphologica</v>
      </c>
      <c r="Q301" s="9" t="str">
        <f>IFERROR(__xludf.DUMMYFUNCTION("""COMPUTED_VALUE"""),"Review")</f>
        <v>Review</v>
      </c>
      <c r="R301" s="179" t="str">
        <f>IFERROR(__xludf.DUMMYFUNCTION("""COMPUTED_VALUE"""),"Te2 (00/00) [Pitkänen, 2000];
")</f>
        <v>Te2 (00/00) [Pitkänen, 2000];
</v>
      </c>
      <c r="S301" s="179" t="str">
        <f>IFERROR(__xludf.DUMMYFUNCTION("""COMPUTED_VALUE"""),"CENTe2")</f>
        <v>CENTe2</v>
      </c>
      <c r="T301" s="179" t="str">
        <f>IFERROR(__xludf.DUMMYFUNCTION("""COMPUTED_VALUE"""),"[Pitkänen, 2000]")</f>
        <v>[Pitkänen, 2000]</v>
      </c>
      <c r="U301" s="179">
        <f>IFERROR(__xludf.DUMMYFUNCTION("""COMPUTED_VALUE"""),0.0)</f>
        <v>0</v>
      </c>
      <c r="V301" s="180">
        <f>IFERROR(__xludf.DUMMYFUNCTION("""COMPUTED_VALUE"""),0.0)</f>
        <v>0</v>
      </c>
      <c r="W301" s="180">
        <f>IFERROR(__xludf.DUMMYFUNCTION("""COMPUTED_VALUE"""),0.95)</f>
        <v>0.95</v>
      </c>
      <c r="X301" s="42">
        <f>IFERROR(__xludf.DUMMYFUNCTION("""COMPUTED_VALUE"""),0.8)</f>
        <v>0.8</v>
      </c>
      <c r="Y301" s="42">
        <f>IFERROR(__xludf.DUMMYFUNCTION("""COMPUTED_VALUE"""),0.6)</f>
        <v>0.6</v>
      </c>
      <c r="Z301" s="9">
        <f>IFERROR(__xludf.DUMMYFUNCTION("""COMPUTED_VALUE"""),0.9)</f>
        <v>0.9</v>
      </c>
      <c r="AA301" s="181">
        <f>IFERROR(__xludf.DUMMYFUNCTION("""COMPUTED_VALUE"""),0.0)</f>
        <v>0</v>
      </c>
      <c r="AB301" s="181">
        <f>IFERROR(__xludf.DUMMYFUNCTION("""COMPUTED_VALUE"""),0.0)</f>
        <v>0</v>
      </c>
      <c r="AC301" s="179">
        <f>IFERROR(__xludf.DUMMYFUNCTION("""COMPUTED_VALUE"""),0.0)</f>
        <v>0</v>
      </c>
      <c r="AD301" s="165">
        <f>IFERROR(__xludf.DUMMYFUNCTION("""COMPUTED_VALUE"""),0.0)</f>
        <v>0</v>
      </c>
      <c r="AE301" s="39" t="str">
        <f>IFERROR(__xludf.DUMMYFUNCTION("""COMPUTED_VALUE"""),"Tatsuya Miyamoto")</f>
        <v>Tatsuya Miyamoto</v>
      </c>
      <c r="AF301" s="39" t="str">
        <f>IFERROR(__xludf.DUMMYFUNCTION("""COMPUTED_VALUE"""),"TM21Amygdala")</f>
        <v>TM21Amygdala</v>
      </c>
      <c r="AG301" s="39"/>
      <c r="AH301" s="39"/>
      <c r="AI301" s="165"/>
      <c r="AJ301" s="165"/>
      <c r="AK301" s="111"/>
      <c r="AL301" s="111"/>
      <c r="AM301" s="111"/>
      <c r="AN301" s="111"/>
      <c r="AO301" s="111"/>
      <c r="AP301" s="111"/>
      <c r="AQ301" s="116"/>
      <c r="AR301" s="116"/>
      <c r="AS301" s="116"/>
    </row>
    <row r="302">
      <c r="A302" s="42" t="str">
        <f>IFERROR(__xludf.DUMMYFUNCTION("""COMPUTED_VALUE"""),"CEN")</f>
        <v>CEN</v>
      </c>
      <c r="B302" s="42"/>
      <c r="C302" s="42"/>
      <c r="D302" s="42" t="str">
        <f>IFERROR(__xludf.DUMMYFUNCTION("""COMPUTED_VALUE"""),"Te3")</f>
        <v>Te3</v>
      </c>
      <c r="E302" s="42"/>
      <c r="F302" s="42"/>
      <c r="G302" s="42"/>
      <c r="H302" s="42" t="str">
        <f>IFERROR(__xludf.DUMMYFUNCTION("""COMPUTED_VALUE"""),"")</f>
        <v/>
      </c>
      <c r="I302" s="42" t="str">
        <f>IFERROR(__xludf.DUMMYFUNCTION("""COMPUTED_VALUE"""),"Pitkänen, 2000")</f>
        <v>Pitkänen, 2000</v>
      </c>
      <c r="J302" s="42" t="str">
        <f>IFERROR(__xludf.DUMMYFUNCTION("""COMPUTED_VALUE"""),"Rat")</f>
        <v>Rat</v>
      </c>
      <c r="K302" s="42" t="str">
        <f>IFERROR(__xludf.DUMMYFUNCTION("""COMPUTED_VALUE"""),"Various tracing")</f>
        <v>Various tracing</v>
      </c>
      <c r="L302" s="42"/>
      <c r="M302" s="42" t="str">
        <f>IFERROR(__xludf.DUMMYFUNCTION("""COMPUTED_VALUE"""),"fig.3-fig.12 (to be specified)")</f>
        <v>fig.3-fig.12 (to be specified)</v>
      </c>
      <c r="N302" s="38"/>
      <c r="O302" s="31" t="str">
        <f>IFERROR(__xludf.DUMMYFUNCTION("""COMPUTED_VALUE"""),"DOC(alt)")</f>
        <v>DOC(alt)</v>
      </c>
      <c r="P302" s="9" t="str">
        <f>IFERROR(__xludf.DUMMYFUNCTION("""COMPUTED_VALUE"""),"Folia morphologica")</f>
        <v>Folia morphologica</v>
      </c>
      <c r="Q302" s="9" t="str">
        <f>IFERROR(__xludf.DUMMYFUNCTION("""COMPUTED_VALUE"""),"Review")</f>
        <v>Review</v>
      </c>
      <c r="R302" s="179" t="str">
        <f>IFERROR(__xludf.DUMMYFUNCTION("""COMPUTED_VALUE"""),"Te3 (00/00) [Pitkänen, 2000];
")</f>
        <v>Te3 (00/00) [Pitkänen, 2000];
</v>
      </c>
      <c r="S302" s="179" t="str">
        <f>IFERROR(__xludf.DUMMYFUNCTION("""COMPUTED_VALUE"""),"CENTe3")</f>
        <v>CENTe3</v>
      </c>
      <c r="T302" s="179" t="str">
        <f>IFERROR(__xludf.DUMMYFUNCTION("""COMPUTED_VALUE"""),"[Pitkänen, 2000]")</f>
        <v>[Pitkänen, 2000]</v>
      </c>
      <c r="U302" s="179">
        <f>IFERROR(__xludf.DUMMYFUNCTION("""COMPUTED_VALUE"""),0.0)</f>
        <v>0</v>
      </c>
      <c r="V302" s="180">
        <f>IFERROR(__xludf.DUMMYFUNCTION("""COMPUTED_VALUE"""),0.0)</f>
        <v>0</v>
      </c>
      <c r="W302" s="180">
        <f>IFERROR(__xludf.DUMMYFUNCTION("""COMPUTED_VALUE"""),0.95)</f>
        <v>0.95</v>
      </c>
      <c r="X302" s="42">
        <f>IFERROR(__xludf.DUMMYFUNCTION("""COMPUTED_VALUE"""),0.8)</f>
        <v>0.8</v>
      </c>
      <c r="Y302" s="42">
        <f>IFERROR(__xludf.DUMMYFUNCTION("""COMPUTED_VALUE"""),0.6)</f>
        <v>0.6</v>
      </c>
      <c r="Z302" s="9">
        <f>IFERROR(__xludf.DUMMYFUNCTION("""COMPUTED_VALUE"""),0.9)</f>
        <v>0.9</v>
      </c>
      <c r="AA302" s="181">
        <f>IFERROR(__xludf.DUMMYFUNCTION("""COMPUTED_VALUE"""),0.0)</f>
        <v>0</v>
      </c>
      <c r="AB302" s="181">
        <f>IFERROR(__xludf.DUMMYFUNCTION("""COMPUTED_VALUE"""),0.0)</f>
        <v>0</v>
      </c>
      <c r="AC302" s="179">
        <f>IFERROR(__xludf.DUMMYFUNCTION("""COMPUTED_VALUE"""),0.0)</f>
        <v>0</v>
      </c>
      <c r="AD302" s="165">
        <f>IFERROR(__xludf.DUMMYFUNCTION("""COMPUTED_VALUE"""),0.0)</f>
        <v>0</v>
      </c>
      <c r="AE302" s="39" t="str">
        <f>IFERROR(__xludf.DUMMYFUNCTION("""COMPUTED_VALUE"""),"Tatsuya Miyamoto")</f>
        <v>Tatsuya Miyamoto</v>
      </c>
      <c r="AF302" s="39" t="str">
        <f>IFERROR(__xludf.DUMMYFUNCTION("""COMPUTED_VALUE"""),"TM21Amygdala")</f>
        <v>TM21Amygdala</v>
      </c>
      <c r="AG302" s="39"/>
      <c r="AH302" s="39"/>
      <c r="AI302" s="165"/>
      <c r="AJ302" s="165"/>
      <c r="AK302" s="111"/>
      <c r="AL302" s="111"/>
      <c r="AM302" s="111"/>
      <c r="AN302" s="111"/>
      <c r="AO302" s="111"/>
      <c r="AP302" s="111"/>
      <c r="AQ302" s="116"/>
      <c r="AR302" s="116"/>
      <c r="AS302" s="116"/>
    </row>
    <row r="303">
      <c r="A303" s="42" t="str">
        <f>IFERROR(__xludf.DUMMYFUNCTION("""COMPUTED_VALUE"""),"CEN")</f>
        <v>CEN</v>
      </c>
      <c r="B303" s="42"/>
      <c r="C303" s="42"/>
      <c r="D303" s="42" t="str">
        <f>IFERROR(__xludf.DUMMYFUNCTION("""COMPUTED_VALUE"""),"VMH")</f>
        <v>VMH</v>
      </c>
      <c r="E303" s="42"/>
      <c r="F303" s="42"/>
      <c r="G303" s="42"/>
      <c r="H303" s="42" t="str">
        <f>IFERROR(__xludf.DUMMYFUNCTION("""COMPUTED_VALUE"""),"")</f>
        <v/>
      </c>
      <c r="I303" s="42" t="str">
        <f>IFERROR(__xludf.DUMMYFUNCTION("""COMPUTED_VALUE"""),"Pitkänen, 2000")</f>
        <v>Pitkänen, 2000</v>
      </c>
      <c r="J303" s="42" t="str">
        <f>IFERROR(__xludf.DUMMYFUNCTION("""COMPUTED_VALUE"""),"Rat")</f>
        <v>Rat</v>
      </c>
      <c r="K303" s="42" t="str">
        <f>IFERROR(__xludf.DUMMYFUNCTION("""COMPUTED_VALUE"""),"Various tracing")</f>
        <v>Various tracing</v>
      </c>
      <c r="L303" s="42"/>
      <c r="M303" s="42" t="str">
        <f>IFERROR(__xludf.DUMMYFUNCTION("""COMPUTED_VALUE"""),"fig.3-fig.12 (to be specified)")</f>
        <v>fig.3-fig.12 (to be specified)</v>
      </c>
      <c r="N303" s="38"/>
      <c r="O303" s="31" t="str">
        <f>IFERROR(__xludf.DUMMYFUNCTION("""COMPUTED_VALUE"""),"DOC(alt)")</f>
        <v>DOC(alt)</v>
      </c>
      <c r="P303" s="9" t="str">
        <f>IFERROR(__xludf.DUMMYFUNCTION("""COMPUTED_VALUE"""),"Folia morphologica")</f>
        <v>Folia morphologica</v>
      </c>
      <c r="Q303" s="9" t="str">
        <f>IFERROR(__xludf.DUMMYFUNCTION("""COMPUTED_VALUE"""),"Review")</f>
        <v>Review</v>
      </c>
      <c r="R303" s="179" t="str">
        <f>IFERROR(__xludf.DUMMYFUNCTION("""COMPUTED_VALUE"""),"VMH (00/00) [Pitkänen, 2000];
")</f>
        <v>VMH (00/00) [Pitkänen, 2000];
</v>
      </c>
      <c r="S303" s="179" t="str">
        <f>IFERROR(__xludf.DUMMYFUNCTION("""COMPUTED_VALUE"""),"CENVMH")</f>
        <v>CENVMH</v>
      </c>
      <c r="T303" s="179" t="str">
        <f>IFERROR(__xludf.DUMMYFUNCTION("""COMPUTED_VALUE"""),"[Pitkänen, 2000]")</f>
        <v>[Pitkänen, 2000]</v>
      </c>
      <c r="U303" s="179">
        <f>IFERROR(__xludf.DUMMYFUNCTION("""COMPUTED_VALUE"""),0.0)</f>
        <v>0</v>
      </c>
      <c r="V303" s="180">
        <f>IFERROR(__xludf.DUMMYFUNCTION("""COMPUTED_VALUE"""),0.0)</f>
        <v>0</v>
      </c>
      <c r="W303" s="180">
        <f>IFERROR(__xludf.DUMMYFUNCTION("""COMPUTED_VALUE"""),0.95)</f>
        <v>0.95</v>
      </c>
      <c r="X303" s="42">
        <f>IFERROR(__xludf.DUMMYFUNCTION("""COMPUTED_VALUE"""),0.8)</f>
        <v>0.8</v>
      </c>
      <c r="Y303" s="42">
        <f>IFERROR(__xludf.DUMMYFUNCTION("""COMPUTED_VALUE"""),0.6)</f>
        <v>0.6</v>
      </c>
      <c r="Z303" s="9">
        <f>IFERROR(__xludf.DUMMYFUNCTION("""COMPUTED_VALUE"""),0.9)</f>
        <v>0.9</v>
      </c>
      <c r="AA303" s="181">
        <f>IFERROR(__xludf.DUMMYFUNCTION("""COMPUTED_VALUE"""),0.0)</f>
        <v>0</v>
      </c>
      <c r="AB303" s="181">
        <f>IFERROR(__xludf.DUMMYFUNCTION("""COMPUTED_VALUE"""),0.0)</f>
        <v>0</v>
      </c>
      <c r="AC303" s="179">
        <f>IFERROR(__xludf.DUMMYFUNCTION("""COMPUTED_VALUE"""),0.0)</f>
        <v>0</v>
      </c>
      <c r="AD303" s="165">
        <f>IFERROR(__xludf.DUMMYFUNCTION("""COMPUTED_VALUE"""),0.0)</f>
        <v>0</v>
      </c>
      <c r="AE303" s="39" t="str">
        <f>IFERROR(__xludf.DUMMYFUNCTION("""COMPUTED_VALUE"""),"Tatsuya Miyamoto")</f>
        <v>Tatsuya Miyamoto</v>
      </c>
      <c r="AF303" s="39" t="str">
        <f>IFERROR(__xludf.DUMMYFUNCTION("""COMPUTED_VALUE"""),"TM21Amygdala")</f>
        <v>TM21Amygdala</v>
      </c>
      <c r="AG303" s="39"/>
      <c r="AH303" s="39"/>
      <c r="AI303" s="165"/>
      <c r="AJ303" s="165"/>
      <c r="AK303" s="111"/>
      <c r="AL303" s="111"/>
      <c r="AM303" s="111"/>
      <c r="AN303" s="111"/>
      <c r="AO303" s="111"/>
      <c r="AP303" s="111"/>
      <c r="AQ303" s="116"/>
      <c r="AR303" s="116"/>
      <c r="AS303" s="116"/>
    </row>
    <row r="304">
      <c r="A304" s="42" t="str">
        <f>IFERROR(__xludf.DUMMYFUNCTION("""COMPUTED_VALUE"""),"CEN")</f>
        <v>CEN</v>
      </c>
      <c r="B304" s="42"/>
      <c r="C304" s="42"/>
      <c r="D304" s="42" t="str">
        <f>IFERROR(__xludf.DUMMYFUNCTION("""COMPUTED_VALUE"""),"VTA")</f>
        <v>VTA</v>
      </c>
      <c r="E304" s="42"/>
      <c r="F304" s="42"/>
      <c r="G304" s="42"/>
      <c r="H304" s="42" t="str">
        <f>IFERROR(__xludf.DUMMYFUNCTION("""COMPUTED_VALUE"""),"")</f>
        <v/>
      </c>
      <c r="I304" s="42" t="str">
        <f>IFERROR(__xludf.DUMMYFUNCTION("""COMPUTED_VALUE"""),"Pitkänen, 2000")</f>
        <v>Pitkänen, 2000</v>
      </c>
      <c r="J304" s="42" t="str">
        <f>IFERROR(__xludf.DUMMYFUNCTION("""COMPUTED_VALUE"""),"Rat")</f>
        <v>Rat</v>
      </c>
      <c r="K304" s="42" t="str">
        <f>IFERROR(__xludf.DUMMYFUNCTION("""COMPUTED_VALUE"""),"Various tracing")</f>
        <v>Various tracing</v>
      </c>
      <c r="L304" s="42"/>
      <c r="M304" s="42" t="str">
        <f>IFERROR(__xludf.DUMMYFUNCTION("""COMPUTED_VALUE"""),"fig.3-fig.12 (to be specified)")</f>
        <v>fig.3-fig.12 (to be specified)</v>
      </c>
      <c r="N304" s="38"/>
      <c r="O304" s="31" t="str">
        <f>IFERROR(__xludf.DUMMYFUNCTION("""COMPUTED_VALUE"""),"DOC(alt)")</f>
        <v>DOC(alt)</v>
      </c>
      <c r="P304" s="9" t="str">
        <f>IFERROR(__xludf.DUMMYFUNCTION("""COMPUTED_VALUE"""),"Folia morphologica")</f>
        <v>Folia morphologica</v>
      </c>
      <c r="Q304" s="9" t="str">
        <f>IFERROR(__xludf.DUMMYFUNCTION("""COMPUTED_VALUE"""),"Review")</f>
        <v>Review</v>
      </c>
      <c r="R304" s="179" t="str">
        <f>IFERROR(__xludf.DUMMYFUNCTION("""COMPUTED_VALUE"""),"VTA (00/00) [Pitkänen, 2000];
")</f>
        <v>VTA (00/00) [Pitkänen, 2000];
</v>
      </c>
      <c r="S304" s="179" t="str">
        <f>IFERROR(__xludf.DUMMYFUNCTION("""COMPUTED_VALUE"""),"CENVTA")</f>
        <v>CENVTA</v>
      </c>
      <c r="T304" s="179" t="str">
        <f>IFERROR(__xludf.DUMMYFUNCTION("""COMPUTED_VALUE"""),"[Pitkänen, 2000]")</f>
        <v>[Pitkänen, 2000]</v>
      </c>
      <c r="U304" s="179">
        <f>IFERROR(__xludf.DUMMYFUNCTION("""COMPUTED_VALUE"""),0.0)</f>
        <v>0</v>
      </c>
      <c r="V304" s="180">
        <f>IFERROR(__xludf.DUMMYFUNCTION("""COMPUTED_VALUE"""),0.0)</f>
        <v>0</v>
      </c>
      <c r="W304" s="180">
        <f>IFERROR(__xludf.DUMMYFUNCTION("""COMPUTED_VALUE"""),0.95)</f>
        <v>0.95</v>
      </c>
      <c r="X304" s="42">
        <f>IFERROR(__xludf.DUMMYFUNCTION("""COMPUTED_VALUE"""),0.8)</f>
        <v>0.8</v>
      </c>
      <c r="Y304" s="42">
        <f>IFERROR(__xludf.DUMMYFUNCTION("""COMPUTED_VALUE"""),0.6)</f>
        <v>0.6</v>
      </c>
      <c r="Z304" s="9">
        <f>IFERROR(__xludf.DUMMYFUNCTION("""COMPUTED_VALUE"""),0.9)</f>
        <v>0.9</v>
      </c>
      <c r="AA304" s="181">
        <f>IFERROR(__xludf.DUMMYFUNCTION("""COMPUTED_VALUE"""),0.0)</f>
        <v>0</v>
      </c>
      <c r="AB304" s="181">
        <f>IFERROR(__xludf.DUMMYFUNCTION("""COMPUTED_VALUE"""),0.0)</f>
        <v>0</v>
      </c>
      <c r="AC304" s="179">
        <f>IFERROR(__xludf.DUMMYFUNCTION("""COMPUTED_VALUE"""),0.0)</f>
        <v>0</v>
      </c>
      <c r="AD304" s="165">
        <f>IFERROR(__xludf.DUMMYFUNCTION("""COMPUTED_VALUE"""),0.0)</f>
        <v>0</v>
      </c>
      <c r="AE304" s="39" t="str">
        <f>IFERROR(__xludf.DUMMYFUNCTION("""COMPUTED_VALUE"""),"Tatsuya Miyamoto")</f>
        <v>Tatsuya Miyamoto</v>
      </c>
      <c r="AF304" s="39" t="str">
        <f>IFERROR(__xludf.DUMMYFUNCTION("""COMPUTED_VALUE"""),"TM21Amygdala")</f>
        <v>TM21Amygdala</v>
      </c>
      <c r="AG304" s="39"/>
      <c r="AH304" s="39"/>
      <c r="AI304" s="165"/>
      <c r="AJ304" s="165"/>
      <c r="AK304" s="111"/>
      <c r="AL304" s="111"/>
      <c r="AM304" s="111"/>
      <c r="AN304" s="111"/>
      <c r="AO304" s="111"/>
      <c r="AP304" s="111"/>
      <c r="AQ304" s="116"/>
      <c r="AR304" s="116"/>
      <c r="AS304" s="116"/>
    </row>
    <row r="305">
      <c r="A305" s="42" t="str">
        <f>IFERROR(__xludf.DUMMYFUNCTION("""COMPUTED_VALUE"""),"Cla")</f>
        <v>Cla</v>
      </c>
      <c r="B305" s="42"/>
      <c r="C305" s="42"/>
      <c r="D305" s="42" t="str">
        <f>IFERROR(__xludf.DUMMYFUNCTION("""COMPUTED_VALUE"""),"BL")</f>
        <v>BL</v>
      </c>
      <c r="E305" s="42"/>
      <c r="F305" s="42"/>
      <c r="G305" s="42"/>
      <c r="H305" s="42" t="str">
        <f>IFERROR(__xludf.DUMMYFUNCTION("""COMPUTED_VALUE"""),"")</f>
        <v/>
      </c>
      <c r="I305" s="42" t="str">
        <f>IFERROR(__xludf.DUMMYFUNCTION("""COMPUTED_VALUE"""),"Pitkänen, 2000")</f>
        <v>Pitkänen, 2000</v>
      </c>
      <c r="J305" s="42" t="str">
        <f>IFERROR(__xludf.DUMMYFUNCTION("""COMPUTED_VALUE"""),"Rat")</f>
        <v>Rat</v>
      </c>
      <c r="K305" s="42" t="str">
        <f>IFERROR(__xludf.DUMMYFUNCTION("""COMPUTED_VALUE"""),"Various tracing")</f>
        <v>Various tracing</v>
      </c>
      <c r="L305" s="42"/>
      <c r="M305" s="42" t="str">
        <f>IFERROR(__xludf.DUMMYFUNCTION("""COMPUTED_VALUE"""),"fig.3-fig.12 (to be specified)")</f>
        <v>fig.3-fig.12 (to be specified)</v>
      </c>
      <c r="N305" s="38"/>
      <c r="O305" s="31" t="str">
        <f>IFERROR(__xludf.DUMMYFUNCTION("""COMPUTED_VALUE"""),"DOC(alt)")</f>
        <v>DOC(alt)</v>
      </c>
      <c r="P305" s="9" t="str">
        <f>IFERROR(__xludf.DUMMYFUNCTION("""COMPUTED_VALUE"""),"Folia morphologica")</f>
        <v>Folia morphologica</v>
      </c>
      <c r="Q305" s="9" t="str">
        <f>IFERROR(__xludf.DUMMYFUNCTION("""COMPUTED_VALUE"""),"Review")</f>
        <v>Review</v>
      </c>
      <c r="R305" s="179" t="str">
        <f>IFERROR(__xludf.DUMMYFUNCTION("""COMPUTED_VALUE"""),"BL (00/00) [Pitkänen, 2000];
")</f>
        <v>BL (00/00) [Pitkänen, 2000];
</v>
      </c>
      <c r="S305" s="179" t="str">
        <f>IFERROR(__xludf.DUMMYFUNCTION("""COMPUTED_VALUE"""),"ClaBL")</f>
        <v>ClaBL</v>
      </c>
      <c r="T305" s="179" t="str">
        <f>IFERROR(__xludf.DUMMYFUNCTION("""COMPUTED_VALUE"""),"[Pitkänen, 2000]")</f>
        <v>[Pitkänen, 2000]</v>
      </c>
      <c r="U305" s="179">
        <f>IFERROR(__xludf.DUMMYFUNCTION("""COMPUTED_VALUE"""),0.0)</f>
        <v>0</v>
      </c>
      <c r="V305" s="180">
        <f>IFERROR(__xludf.DUMMYFUNCTION("""COMPUTED_VALUE"""),0.0)</f>
        <v>0</v>
      </c>
      <c r="W305" s="180">
        <f>IFERROR(__xludf.DUMMYFUNCTION("""COMPUTED_VALUE"""),0.95)</f>
        <v>0.95</v>
      </c>
      <c r="X305" s="42">
        <f>IFERROR(__xludf.DUMMYFUNCTION("""COMPUTED_VALUE"""),0.8)</f>
        <v>0.8</v>
      </c>
      <c r="Y305" s="42">
        <f>IFERROR(__xludf.DUMMYFUNCTION("""COMPUTED_VALUE"""),0.6)</f>
        <v>0.6</v>
      </c>
      <c r="Z305" s="9">
        <f>IFERROR(__xludf.DUMMYFUNCTION("""COMPUTED_VALUE"""),0.9)</f>
        <v>0.9</v>
      </c>
      <c r="AA305" s="181">
        <f>IFERROR(__xludf.DUMMYFUNCTION("""COMPUTED_VALUE"""),0.0)</f>
        <v>0</v>
      </c>
      <c r="AB305" s="181">
        <f>IFERROR(__xludf.DUMMYFUNCTION("""COMPUTED_VALUE"""),0.0)</f>
        <v>0</v>
      </c>
      <c r="AC305" s="179">
        <f>IFERROR(__xludf.DUMMYFUNCTION("""COMPUTED_VALUE"""),0.0)</f>
        <v>0</v>
      </c>
      <c r="AD305" s="165">
        <f>IFERROR(__xludf.DUMMYFUNCTION("""COMPUTED_VALUE"""),0.0)</f>
        <v>0</v>
      </c>
      <c r="AE305" s="39" t="str">
        <f>IFERROR(__xludf.DUMMYFUNCTION("""COMPUTED_VALUE"""),"Tatsuya Miyamoto")</f>
        <v>Tatsuya Miyamoto</v>
      </c>
      <c r="AF305" s="39" t="str">
        <f>IFERROR(__xludf.DUMMYFUNCTION("""COMPUTED_VALUE"""),"TM21Amygdala")</f>
        <v>TM21Amygdala</v>
      </c>
      <c r="AG305" s="39"/>
      <c r="AH305" s="39"/>
      <c r="AI305" s="165"/>
      <c r="AJ305" s="165"/>
      <c r="AK305" s="111"/>
      <c r="AL305" s="111"/>
      <c r="AM305" s="111"/>
      <c r="AN305" s="111"/>
      <c r="AO305" s="111"/>
      <c r="AP305" s="111"/>
      <c r="AQ305" s="116"/>
      <c r="AR305" s="116"/>
      <c r="AS305" s="116"/>
    </row>
    <row r="306">
      <c r="A306" s="42" t="str">
        <f>IFERROR(__xludf.DUMMYFUNCTION("""COMPUTED_VALUE"""),"CM")</f>
        <v>CM</v>
      </c>
      <c r="B306" s="42"/>
      <c r="C306" s="42"/>
      <c r="D306" s="42" t="str">
        <f>IFERROR(__xludf.DUMMYFUNCTION("""COMPUTED_VALUE"""),"Pu")</f>
        <v>Pu</v>
      </c>
      <c r="E306" s="42"/>
      <c r="F306" s="42"/>
      <c r="G306" s="42"/>
      <c r="H306" s="42" t="str">
        <f>IFERROR(__xludf.DUMMYFUNCTION("""COMPUTED_VALUE"""),"(Sensorymotor)")</f>
        <v>(Sensorymotor)</v>
      </c>
      <c r="I306" s="42" t="str">
        <f>IFERROR(__xludf.DUMMYFUNCTION("""COMPUTED_VALUE"""),"Galvan, 2015")</f>
        <v>Galvan, 2015</v>
      </c>
      <c r="J306" s="42"/>
      <c r="K306" s="42"/>
      <c r="L306" s="42"/>
      <c r="M306" s="42"/>
      <c r="N306" s="42"/>
      <c r="O306" s="31" t="str">
        <f>IFERROR(__xludf.DUMMYFUNCTION("""COMPUTED_VALUE"""),"DOC")</f>
        <v>DOC</v>
      </c>
      <c r="P306" s="9" t="str">
        <f>IFERROR(__xludf.DUMMYFUNCTION("""COMPUTED_VALUE"""),"Frontiers in Neuroanatomy")</f>
        <v>Frontiers in Neuroanatomy</v>
      </c>
      <c r="Q306" s="9"/>
      <c r="R306" s="179" t="str">
        <f>IFERROR(__xludf.DUMMYFUNCTION("""COMPUTED_VALUE"""),"Pu (00/00) [Galvan, 2015](Sensorymotor);
")</f>
        <v>Pu (00/00) [Galvan, 2015](Sensorymotor);
</v>
      </c>
      <c r="S306" s="179" t="str">
        <f>IFERROR(__xludf.DUMMYFUNCTION("""COMPUTED_VALUE"""),"CMPu")</f>
        <v>CMPu</v>
      </c>
      <c r="T306" s="179" t="str">
        <f>IFERROR(__xludf.DUMMYFUNCTION("""COMPUTED_VALUE"""),"[Galvan, 2015]")</f>
        <v>[Galvan, 2015]</v>
      </c>
      <c r="U306" s="179">
        <f>IFERROR(__xludf.DUMMYFUNCTION("""COMPUTED_VALUE"""),0.0)</f>
        <v>0</v>
      </c>
      <c r="V306" s="180">
        <f>IFERROR(__xludf.DUMMYFUNCTION("""COMPUTED_VALUE"""),0.0)</f>
        <v>0</v>
      </c>
      <c r="W306" s="180">
        <f>IFERROR(__xludf.DUMMYFUNCTION("""COMPUTED_VALUE"""),0.95)</f>
        <v>0.95</v>
      </c>
      <c r="X306" s="42">
        <f>IFERROR(__xludf.DUMMYFUNCTION("""COMPUTED_VALUE"""),0.0)</f>
        <v>0</v>
      </c>
      <c r="Y306" s="42">
        <f>IFERROR(__xludf.DUMMYFUNCTION("""COMPUTED_VALUE"""),0.0)</f>
        <v>0</v>
      </c>
      <c r="Z306" s="9">
        <f>IFERROR(__xludf.DUMMYFUNCTION("""COMPUTED_VALUE"""),0.0)</f>
        <v>0</v>
      </c>
      <c r="AA306" s="181">
        <f>IFERROR(__xludf.DUMMYFUNCTION("""COMPUTED_VALUE"""),0.0)</f>
        <v>0</v>
      </c>
      <c r="AB306" s="181">
        <f>IFERROR(__xludf.DUMMYFUNCTION("""COMPUTED_VALUE"""),0.0)</f>
        <v>0</v>
      </c>
      <c r="AC306" s="179">
        <f>IFERROR(__xludf.DUMMYFUNCTION("""COMPUTED_VALUE"""),0.0)</f>
        <v>0</v>
      </c>
      <c r="AD306" s="165">
        <f>IFERROR(__xludf.DUMMYFUNCTION("""COMPUTED_VALUE"""),0.0)</f>
        <v>0</v>
      </c>
      <c r="AE306" s="39" t="str">
        <f>IFERROR(__xludf.DUMMYFUNCTION("""COMPUTED_VALUE"""),"Yuske Shibata")</f>
        <v>Yuske Shibata</v>
      </c>
      <c r="AF306" s="39" t="str">
        <f>IFERROR(__xludf.DUMMYFUNCTION("""COMPUTED_VALUE"""),"YS21BgLoop")</f>
        <v>YS21BgLoop</v>
      </c>
      <c r="AG306" s="39"/>
      <c r="AH306" s="39"/>
      <c r="AI306" s="165"/>
      <c r="AJ306" s="165"/>
      <c r="AK306" s="111"/>
      <c r="AL306" s="111"/>
      <c r="AM306" s="111"/>
      <c r="AN306" s="111"/>
      <c r="AO306" s="111"/>
      <c r="AP306" s="111"/>
      <c r="AQ306" s="116"/>
      <c r="AR306" s="116"/>
      <c r="AS306" s="116"/>
    </row>
    <row r="307">
      <c r="A307" s="42" t="str">
        <f>IFERROR(__xludf.DUMMYFUNCTION("""COMPUTED_VALUE"""),"cMRF")</f>
        <v>cMRF</v>
      </c>
      <c r="B307" s="42"/>
      <c r="C307" s="42"/>
      <c r="D307" s="42" t="str">
        <f>IFERROR(__xludf.DUMMYFUNCTION("""COMPUTED_VALUE"""),"RIP")</f>
        <v>RIP</v>
      </c>
      <c r="E307" s="42"/>
      <c r="F307" s="42"/>
      <c r="G307" s="42"/>
      <c r="H307" s="42" t="str">
        <f>IFERROR(__xludf.DUMMYFUNCTION("""COMPUTED_VALUE"""),"")</f>
        <v/>
      </c>
      <c r="I307" s="42" t="str">
        <f>IFERROR(__xludf.DUMMYFUNCTION("""COMPUTED_VALUE"""),"May, 2019")</f>
        <v>May, 2019</v>
      </c>
      <c r="J307" s="42"/>
      <c r="K307" s="42"/>
      <c r="L307" s="42"/>
      <c r="M307" s="42"/>
      <c r="N307" s="42"/>
      <c r="O307" s="31" t="str">
        <f>IFERROR(__xludf.DUMMYFUNCTION("""COMPUTED_VALUE"""),"DOC")</f>
        <v>DOC</v>
      </c>
      <c r="P307" s="9" t="str">
        <f>IFERROR(__xludf.DUMMYFUNCTION("""COMPUTED_VALUE"""),"Journal of Neurophysiology")</f>
        <v>Journal of Neurophysiology</v>
      </c>
      <c r="Q307" s="9"/>
      <c r="R307" s="179" t="str">
        <f>IFERROR(__xludf.DUMMYFUNCTION("""COMPUTED_VALUE"""),"RIP (00/00) [May, 2019][Wang, 2013];
")</f>
        <v>RIP (00/00) [May, 2019][Wang, 2013];
</v>
      </c>
      <c r="S307" s="179" t="str">
        <f>IFERROR(__xludf.DUMMYFUNCTION("""COMPUTED_VALUE"""),"cMRFRIP")</f>
        <v>cMRFRIP</v>
      </c>
      <c r="T307" s="179" t="str">
        <f>IFERROR(__xludf.DUMMYFUNCTION("""COMPUTED_VALUE"""),"[May, 2019]")</f>
        <v>[May, 2019]</v>
      </c>
      <c r="U307" s="179">
        <f>IFERROR(__xludf.DUMMYFUNCTION("""COMPUTED_VALUE"""),0.0)</f>
        <v>0</v>
      </c>
      <c r="V307" s="180">
        <f>IFERROR(__xludf.DUMMYFUNCTION("""COMPUTED_VALUE"""),0.0)</f>
        <v>0</v>
      </c>
      <c r="W307" s="180">
        <f>IFERROR(__xludf.DUMMYFUNCTION("""COMPUTED_VALUE"""),0.95)</f>
        <v>0.95</v>
      </c>
      <c r="X307" s="42">
        <f>IFERROR(__xludf.DUMMYFUNCTION("""COMPUTED_VALUE"""),0.0)</f>
        <v>0</v>
      </c>
      <c r="Y307" s="42">
        <f>IFERROR(__xludf.DUMMYFUNCTION("""COMPUTED_VALUE"""),0.0)</f>
        <v>0</v>
      </c>
      <c r="Z307" s="9">
        <f>IFERROR(__xludf.DUMMYFUNCTION("""COMPUTED_VALUE"""),0.0)</f>
        <v>0</v>
      </c>
      <c r="AA307" s="181">
        <f>IFERROR(__xludf.DUMMYFUNCTION("""COMPUTED_VALUE"""),0.0)</f>
        <v>0</v>
      </c>
      <c r="AB307" s="181">
        <f>IFERROR(__xludf.DUMMYFUNCTION("""COMPUTED_VALUE"""),0.0)</f>
        <v>0</v>
      </c>
      <c r="AC307" s="179">
        <f>IFERROR(__xludf.DUMMYFUNCTION("""COMPUTED_VALUE"""),0.0)</f>
        <v>0</v>
      </c>
      <c r="AD307" s="165">
        <f>IFERROR(__xludf.DUMMYFUNCTION("""COMPUTED_VALUE"""),0.0)</f>
        <v>0</v>
      </c>
      <c r="AE307" s="39" t="str">
        <f>IFERROR(__xludf.DUMMYFUNCTION("""COMPUTED_VALUE"""),"Yoshimasa Tawatsuji")</f>
        <v>Yoshimasa Tawatsuji</v>
      </c>
      <c r="AF307" s="39" t="str">
        <f>IFERROR(__xludf.DUMMYFUNCTION("""COMPUTED_VALUE"""),"Oculomotor")</f>
        <v>Oculomotor</v>
      </c>
      <c r="AG307" s="39"/>
      <c r="AH307" s="39"/>
      <c r="AI307" s="165"/>
      <c r="AJ307" s="165"/>
      <c r="AK307" s="111"/>
      <c r="AL307" s="111"/>
      <c r="AM307" s="111"/>
      <c r="AN307" s="111"/>
      <c r="AO307" s="111"/>
      <c r="AP307" s="111"/>
      <c r="AQ307" s="116"/>
      <c r="AR307" s="116"/>
      <c r="AS307" s="116"/>
    </row>
    <row r="308">
      <c r="A308" s="42" t="str">
        <f>IFERROR(__xludf.DUMMYFUNCTION("""COMPUTED_VALUE"""),"cMRF")</f>
        <v>cMRF</v>
      </c>
      <c r="B308" s="42"/>
      <c r="C308" s="42"/>
      <c r="D308" s="42" t="str">
        <f>IFERROR(__xludf.DUMMYFUNCTION("""COMPUTED_VALUE"""),"SCI")</f>
        <v>SCI</v>
      </c>
      <c r="E308" s="42"/>
      <c r="F308" s="42"/>
      <c r="G308" s="42"/>
      <c r="H308" s="42" t="str">
        <f>IFERROR(__xludf.DUMMYFUNCTION("""COMPUTED_VALUE"""),"")</f>
        <v/>
      </c>
      <c r="I308" s="42" t="str">
        <f>IFERROR(__xludf.DUMMYFUNCTION("""COMPUTED_VALUE"""),"May, 2019")</f>
        <v>May, 2019</v>
      </c>
      <c r="J308" s="42"/>
      <c r="K308" s="42"/>
      <c r="L308" s="42"/>
      <c r="M308" s="42"/>
      <c r="N308" s="42"/>
      <c r="O308" s="31" t="str">
        <f>IFERROR(__xludf.DUMMYFUNCTION("""COMPUTED_VALUE"""),"DOC")</f>
        <v>DOC</v>
      </c>
      <c r="P308" s="9" t="str">
        <f>IFERROR(__xludf.DUMMYFUNCTION("""COMPUTED_VALUE"""),"Journal of Neurophysiology")</f>
        <v>Journal of Neurophysiology</v>
      </c>
      <c r="Q308" s="9"/>
      <c r="R308" s="179" t="str">
        <f>IFERROR(__xludf.DUMMYFUNCTION("""COMPUTED_VALUE"""),"SCI (00/00) [May, 2019];
")</f>
        <v>SCI (00/00) [May, 2019];
</v>
      </c>
      <c r="S308" s="179" t="str">
        <f>IFERROR(__xludf.DUMMYFUNCTION("""COMPUTED_VALUE"""),"cMRFSCI")</f>
        <v>cMRFSCI</v>
      </c>
      <c r="T308" s="179" t="str">
        <f>IFERROR(__xludf.DUMMYFUNCTION("""COMPUTED_VALUE"""),"[May, 2019]")</f>
        <v>[May, 2019]</v>
      </c>
      <c r="U308" s="179">
        <f>IFERROR(__xludf.DUMMYFUNCTION("""COMPUTED_VALUE"""),0.0)</f>
        <v>0</v>
      </c>
      <c r="V308" s="180">
        <f>IFERROR(__xludf.DUMMYFUNCTION("""COMPUTED_VALUE"""),0.0)</f>
        <v>0</v>
      </c>
      <c r="W308" s="180">
        <f>IFERROR(__xludf.DUMMYFUNCTION("""COMPUTED_VALUE"""),0.95)</f>
        <v>0.95</v>
      </c>
      <c r="X308" s="42">
        <f>IFERROR(__xludf.DUMMYFUNCTION("""COMPUTED_VALUE"""),0.0)</f>
        <v>0</v>
      </c>
      <c r="Y308" s="42">
        <f>IFERROR(__xludf.DUMMYFUNCTION("""COMPUTED_VALUE"""),0.0)</f>
        <v>0</v>
      </c>
      <c r="Z308" s="9">
        <f>IFERROR(__xludf.DUMMYFUNCTION("""COMPUTED_VALUE"""),0.0)</f>
        <v>0</v>
      </c>
      <c r="AA308" s="181">
        <f>IFERROR(__xludf.DUMMYFUNCTION("""COMPUTED_VALUE"""),0.0)</f>
        <v>0</v>
      </c>
      <c r="AB308" s="181">
        <f>IFERROR(__xludf.DUMMYFUNCTION("""COMPUTED_VALUE"""),0.0)</f>
        <v>0</v>
      </c>
      <c r="AC308" s="179">
        <f>IFERROR(__xludf.DUMMYFUNCTION("""COMPUTED_VALUE"""),0.0)</f>
        <v>0</v>
      </c>
      <c r="AD308" s="165">
        <f>IFERROR(__xludf.DUMMYFUNCTION("""COMPUTED_VALUE"""),0.0)</f>
        <v>0</v>
      </c>
      <c r="AE308" s="39" t="str">
        <f>IFERROR(__xludf.DUMMYFUNCTION("""COMPUTED_VALUE"""),"Yoshimasa Tawatsuji")</f>
        <v>Yoshimasa Tawatsuji</v>
      </c>
      <c r="AF308" s="39" t="str">
        <f>IFERROR(__xludf.DUMMYFUNCTION("""COMPUTED_VALUE"""),"Oculomotor")</f>
        <v>Oculomotor</v>
      </c>
      <c r="AG308" s="39"/>
      <c r="AH308" s="39"/>
      <c r="AI308" s="165"/>
      <c r="AJ308" s="165"/>
      <c r="AK308" s="111"/>
      <c r="AL308" s="111"/>
      <c r="AM308" s="111"/>
      <c r="AN308" s="111"/>
      <c r="AO308" s="111"/>
      <c r="AP308" s="111"/>
      <c r="AQ308" s="116"/>
      <c r="AR308" s="116"/>
      <c r="AS308" s="116"/>
    </row>
    <row r="309">
      <c r="A309" s="42" t="str">
        <f>IFERROR(__xludf.DUMMYFUNCTION("""COMPUTED_VALUE"""),"cMRF")</f>
        <v>cMRF</v>
      </c>
      <c r="B309" s="42"/>
      <c r="C309" s="42"/>
      <c r="D309" s="42" t="str">
        <f>IFERROR(__xludf.DUMMYFUNCTION("""COMPUTED_VALUE"""),"PPRF")</f>
        <v>PPRF</v>
      </c>
      <c r="E309" s="42"/>
      <c r="F309" s="42"/>
      <c r="G309" s="42"/>
      <c r="H309" s="42" t="str">
        <f>IFERROR(__xludf.DUMMYFUNCTION("""COMPUTED_VALUE"""),"")</f>
        <v/>
      </c>
      <c r="I309" s="42" t="str">
        <f>IFERROR(__xludf.DUMMYFUNCTION("""COMPUTED_VALUE"""),"May, 2019")</f>
        <v>May, 2019</v>
      </c>
      <c r="J309" s="42"/>
      <c r="K309" s="42"/>
      <c r="L309" s="42"/>
      <c r="M309" s="42"/>
      <c r="N309" s="42"/>
      <c r="O309" s="31" t="str">
        <f>IFERROR(__xludf.DUMMYFUNCTION("""COMPUTED_VALUE"""),"DOC")</f>
        <v>DOC</v>
      </c>
      <c r="P309" s="9" t="str">
        <f>IFERROR(__xludf.DUMMYFUNCTION("""COMPUTED_VALUE"""),"Journal of Neurophysiology")</f>
        <v>Journal of Neurophysiology</v>
      </c>
      <c r="Q309" s="9"/>
      <c r="R309" s="179" t="str">
        <f>IFERROR(__xludf.DUMMYFUNCTION("""COMPUTED_VALUE"""),"PPRF (00/00) [May, 2019];
")</f>
        <v>PPRF (00/00) [May, 2019];
</v>
      </c>
      <c r="S309" s="179" t="str">
        <f>IFERROR(__xludf.DUMMYFUNCTION("""COMPUTED_VALUE"""),"cMRFPPRF")</f>
        <v>cMRFPPRF</v>
      </c>
      <c r="T309" s="179" t="str">
        <f>IFERROR(__xludf.DUMMYFUNCTION("""COMPUTED_VALUE"""),"[May, 2019]")</f>
        <v>[May, 2019]</v>
      </c>
      <c r="U309" s="179">
        <f>IFERROR(__xludf.DUMMYFUNCTION("""COMPUTED_VALUE"""),0.0)</f>
        <v>0</v>
      </c>
      <c r="V309" s="180">
        <f>IFERROR(__xludf.DUMMYFUNCTION("""COMPUTED_VALUE"""),0.0)</f>
        <v>0</v>
      </c>
      <c r="W309" s="180">
        <f>IFERROR(__xludf.DUMMYFUNCTION("""COMPUTED_VALUE"""),0.95)</f>
        <v>0.95</v>
      </c>
      <c r="X309" s="42">
        <f>IFERROR(__xludf.DUMMYFUNCTION("""COMPUTED_VALUE"""),0.0)</f>
        <v>0</v>
      </c>
      <c r="Y309" s="42">
        <f>IFERROR(__xludf.DUMMYFUNCTION("""COMPUTED_VALUE"""),0.0)</f>
        <v>0</v>
      </c>
      <c r="Z309" s="9">
        <f>IFERROR(__xludf.DUMMYFUNCTION("""COMPUTED_VALUE"""),0.0)</f>
        <v>0</v>
      </c>
      <c r="AA309" s="181">
        <f>IFERROR(__xludf.DUMMYFUNCTION("""COMPUTED_VALUE"""),0.0)</f>
        <v>0</v>
      </c>
      <c r="AB309" s="181">
        <f>IFERROR(__xludf.DUMMYFUNCTION("""COMPUTED_VALUE"""),0.0)</f>
        <v>0</v>
      </c>
      <c r="AC309" s="179">
        <f>IFERROR(__xludf.DUMMYFUNCTION("""COMPUTED_VALUE"""),0.0)</f>
        <v>0</v>
      </c>
      <c r="AD309" s="165">
        <f>IFERROR(__xludf.DUMMYFUNCTION("""COMPUTED_VALUE"""),0.0)</f>
        <v>0</v>
      </c>
      <c r="AE309" s="39" t="str">
        <f>IFERROR(__xludf.DUMMYFUNCTION("""COMPUTED_VALUE"""),"Yoshimasa Tawatsuji")</f>
        <v>Yoshimasa Tawatsuji</v>
      </c>
      <c r="AF309" s="39" t="str">
        <f>IFERROR(__xludf.DUMMYFUNCTION("""COMPUTED_VALUE"""),"Oculomotor")</f>
        <v>Oculomotor</v>
      </c>
      <c r="AG309" s="39"/>
      <c r="AH309" s="39"/>
      <c r="AI309" s="165"/>
      <c r="AJ309" s="165"/>
      <c r="AK309" s="111"/>
      <c r="AL309" s="111"/>
      <c r="AM309" s="111"/>
      <c r="AN309" s="111"/>
      <c r="AO309" s="111"/>
      <c r="AP309" s="111"/>
      <c r="AQ309" s="116"/>
      <c r="AR309" s="116"/>
      <c r="AS309" s="116"/>
    </row>
    <row r="310">
      <c r="A310" s="42" t="str">
        <f>IFERROR(__xludf.DUMMYFUNCTION("""COMPUTED_VALUE"""),"cMRF")</f>
        <v>cMRF</v>
      </c>
      <c r="B310" s="42"/>
      <c r="C310" s="42"/>
      <c r="D310" s="42" t="str">
        <f>IFERROR(__xludf.DUMMYFUNCTION("""COMPUTED_VALUE"""),"RIP")</f>
        <v>RIP</v>
      </c>
      <c r="E310" s="42"/>
      <c r="F310" s="42"/>
      <c r="G310" s="42"/>
      <c r="H310" s="42" t="str">
        <f>IFERROR(__xludf.DUMMYFUNCTION("""COMPUTED_VALUE"""),"")</f>
        <v/>
      </c>
      <c r="I310" s="42" t="str">
        <f>IFERROR(__xludf.DUMMYFUNCTION("""COMPUTED_VALUE"""),"Wang, 2013")</f>
        <v>Wang, 2013</v>
      </c>
      <c r="J310" s="42"/>
      <c r="K310" s="42"/>
      <c r="L310" s="42"/>
      <c r="M310" s="42"/>
      <c r="N310" s="42"/>
      <c r="O310" s="31" t="str">
        <f>IFERROR(__xludf.DUMMYFUNCTION("""COMPUTED_VALUE"""),"DOC")</f>
        <v>DOC</v>
      </c>
      <c r="P310" s="9" t="str">
        <f>IFERROR(__xludf.DUMMYFUNCTION("""COMPUTED_VALUE"""),"Journal of Neuroscience")</f>
        <v>Journal of Neuroscience</v>
      </c>
      <c r="Q310" s="9"/>
      <c r="R310" s="179" t="str">
        <f>IFERROR(__xludf.DUMMYFUNCTION("""COMPUTED_VALUE"""),"RIP (00/00) [May, 2019][Wang, 2013];
")</f>
        <v>RIP (00/00) [May, 2019][Wang, 2013];
</v>
      </c>
      <c r="S310" s="179" t="str">
        <f>IFERROR(__xludf.DUMMYFUNCTION("""COMPUTED_VALUE"""),"cMRFRIP")</f>
        <v>cMRFRIP</v>
      </c>
      <c r="T310" s="179" t="str">
        <f>IFERROR(__xludf.DUMMYFUNCTION("""COMPUTED_VALUE"""),"[Wang, 2013]")</f>
        <v>[Wang, 2013]</v>
      </c>
      <c r="U310" s="179">
        <f>IFERROR(__xludf.DUMMYFUNCTION("""COMPUTED_VALUE"""),0.0)</f>
        <v>0</v>
      </c>
      <c r="V310" s="180">
        <f>IFERROR(__xludf.DUMMYFUNCTION("""COMPUTED_VALUE"""),0.0)</f>
        <v>0</v>
      </c>
      <c r="W310" s="180">
        <f>IFERROR(__xludf.DUMMYFUNCTION("""COMPUTED_VALUE"""),0.95)</f>
        <v>0.95</v>
      </c>
      <c r="X310" s="42">
        <f>IFERROR(__xludf.DUMMYFUNCTION("""COMPUTED_VALUE"""),0.0)</f>
        <v>0</v>
      </c>
      <c r="Y310" s="42">
        <f>IFERROR(__xludf.DUMMYFUNCTION("""COMPUTED_VALUE"""),0.0)</f>
        <v>0</v>
      </c>
      <c r="Z310" s="9">
        <f>IFERROR(__xludf.DUMMYFUNCTION("""COMPUTED_VALUE"""),0.0)</f>
        <v>0</v>
      </c>
      <c r="AA310" s="181">
        <f>IFERROR(__xludf.DUMMYFUNCTION("""COMPUTED_VALUE"""),0.0)</f>
        <v>0</v>
      </c>
      <c r="AB310" s="181">
        <f>IFERROR(__xludf.DUMMYFUNCTION("""COMPUTED_VALUE"""),0.0)</f>
        <v>0</v>
      </c>
      <c r="AC310" s="179">
        <f>IFERROR(__xludf.DUMMYFUNCTION("""COMPUTED_VALUE"""),0.0)</f>
        <v>0</v>
      </c>
      <c r="AD310" s="165">
        <f>IFERROR(__xludf.DUMMYFUNCTION("""COMPUTED_VALUE"""),0.0)</f>
        <v>0</v>
      </c>
      <c r="AE310" s="39" t="str">
        <f>IFERROR(__xludf.DUMMYFUNCTION("""COMPUTED_VALUE"""),"Yoshimasa Tawatsuji")</f>
        <v>Yoshimasa Tawatsuji</v>
      </c>
      <c r="AF310" s="39" t="str">
        <f>IFERROR(__xludf.DUMMYFUNCTION("""COMPUTED_VALUE"""),"Oculomotor")</f>
        <v>Oculomotor</v>
      </c>
      <c r="AG310" s="39"/>
      <c r="AH310" s="39"/>
      <c r="AI310" s="165"/>
      <c r="AJ310" s="165"/>
      <c r="AK310" s="111"/>
      <c r="AL310" s="111"/>
      <c r="AM310" s="111"/>
      <c r="AN310" s="111"/>
      <c r="AO310" s="111"/>
      <c r="AP310" s="111"/>
      <c r="AQ310" s="116"/>
      <c r="AR310" s="116"/>
      <c r="AS310" s="116"/>
    </row>
    <row r="311">
      <c r="A311" s="42" t="str">
        <f>IFERROR(__xludf.DUMMYFUNCTION("""COMPUTED_VALUE"""),"CoA")</f>
        <v>CoA</v>
      </c>
      <c r="B311" s="42"/>
      <c r="C311" s="42"/>
      <c r="D311" s="42" t="str">
        <f>IFERROR(__xludf.DUMMYFUNCTION("""COMPUTED_VALUE"""),"AIp")</f>
        <v>AIp</v>
      </c>
      <c r="E311" s="42"/>
      <c r="F311" s="42"/>
      <c r="G311" s="42"/>
      <c r="H311" s="42" t="str">
        <f>IFERROR(__xludf.DUMMYFUNCTION("""COMPUTED_VALUE"""),"")</f>
        <v/>
      </c>
      <c r="I311" s="42" t="str">
        <f>IFERROR(__xludf.DUMMYFUNCTION("""COMPUTED_VALUE"""),"Pitkänen, 2000")</f>
        <v>Pitkänen, 2000</v>
      </c>
      <c r="J311" s="42" t="str">
        <f>IFERROR(__xludf.DUMMYFUNCTION("""COMPUTED_VALUE"""),"Rat")</f>
        <v>Rat</v>
      </c>
      <c r="K311" s="42" t="str">
        <f>IFERROR(__xludf.DUMMYFUNCTION("""COMPUTED_VALUE"""),"Various tracing")</f>
        <v>Various tracing</v>
      </c>
      <c r="L311" s="42"/>
      <c r="M311" s="42" t="str">
        <f>IFERROR(__xludf.DUMMYFUNCTION("""COMPUTED_VALUE"""),"fig.3-fig.12 (to be specified)")</f>
        <v>fig.3-fig.12 (to be specified)</v>
      </c>
      <c r="N311" s="38"/>
      <c r="O311" s="31" t="str">
        <f>IFERROR(__xludf.DUMMYFUNCTION("""COMPUTED_VALUE"""),"DOC(alt)")</f>
        <v>DOC(alt)</v>
      </c>
      <c r="P311" s="9" t="str">
        <f>IFERROR(__xludf.DUMMYFUNCTION("""COMPUTED_VALUE"""),"Folia morphologica")</f>
        <v>Folia morphologica</v>
      </c>
      <c r="Q311" s="9" t="str">
        <f>IFERROR(__xludf.DUMMYFUNCTION("""COMPUTED_VALUE"""),"Review")</f>
        <v>Review</v>
      </c>
      <c r="R311" s="179" t="str">
        <f>IFERROR(__xludf.DUMMYFUNCTION("""COMPUTED_VALUE"""),"AIp (00/00) [Pitkänen, 2000];
")</f>
        <v>AIp (00/00) [Pitkänen, 2000];
</v>
      </c>
      <c r="S311" s="179" t="str">
        <f>IFERROR(__xludf.DUMMYFUNCTION("""COMPUTED_VALUE"""),"CoAAIp")</f>
        <v>CoAAIp</v>
      </c>
      <c r="T311" s="179" t="str">
        <f>IFERROR(__xludf.DUMMYFUNCTION("""COMPUTED_VALUE"""),"[Pitkänen, 2000]")</f>
        <v>[Pitkänen, 2000]</v>
      </c>
      <c r="U311" s="179">
        <f>IFERROR(__xludf.DUMMYFUNCTION("""COMPUTED_VALUE"""),0.0)</f>
        <v>0</v>
      </c>
      <c r="V311" s="180">
        <f>IFERROR(__xludf.DUMMYFUNCTION("""COMPUTED_VALUE"""),0.0)</f>
        <v>0</v>
      </c>
      <c r="W311" s="180">
        <f>IFERROR(__xludf.DUMMYFUNCTION("""COMPUTED_VALUE"""),0.95)</f>
        <v>0.95</v>
      </c>
      <c r="X311" s="42">
        <f>IFERROR(__xludf.DUMMYFUNCTION("""COMPUTED_VALUE"""),0.8)</f>
        <v>0.8</v>
      </c>
      <c r="Y311" s="42">
        <f>IFERROR(__xludf.DUMMYFUNCTION("""COMPUTED_VALUE"""),0.6)</f>
        <v>0.6</v>
      </c>
      <c r="Z311" s="9">
        <f>IFERROR(__xludf.DUMMYFUNCTION("""COMPUTED_VALUE"""),0.9)</f>
        <v>0.9</v>
      </c>
      <c r="AA311" s="181">
        <f>IFERROR(__xludf.DUMMYFUNCTION("""COMPUTED_VALUE"""),0.0)</f>
        <v>0</v>
      </c>
      <c r="AB311" s="181">
        <f>IFERROR(__xludf.DUMMYFUNCTION("""COMPUTED_VALUE"""),0.0)</f>
        <v>0</v>
      </c>
      <c r="AC311" s="179">
        <f>IFERROR(__xludf.DUMMYFUNCTION("""COMPUTED_VALUE"""),0.0)</f>
        <v>0</v>
      </c>
      <c r="AD311" s="165">
        <f>IFERROR(__xludf.DUMMYFUNCTION("""COMPUTED_VALUE"""),0.0)</f>
        <v>0</v>
      </c>
      <c r="AE311" s="39" t="str">
        <f>IFERROR(__xludf.DUMMYFUNCTION("""COMPUTED_VALUE"""),"Tatsuya Miyamoto")</f>
        <v>Tatsuya Miyamoto</v>
      </c>
      <c r="AF311" s="39" t="str">
        <f>IFERROR(__xludf.DUMMYFUNCTION("""COMPUTED_VALUE"""),"TM21Amygdala")</f>
        <v>TM21Amygdala</v>
      </c>
      <c r="AG311" s="39"/>
      <c r="AH311" s="39"/>
      <c r="AI311" s="165"/>
      <c r="AJ311" s="165"/>
      <c r="AK311" s="111"/>
      <c r="AL311" s="111"/>
      <c r="AM311" s="111"/>
      <c r="AN311" s="111"/>
      <c r="AO311" s="111"/>
      <c r="AP311" s="111"/>
      <c r="AQ311" s="116"/>
      <c r="AR311" s="116"/>
      <c r="AS311" s="116"/>
    </row>
    <row r="312">
      <c r="A312" s="42" t="str">
        <f>IFERROR(__xludf.DUMMYFUNCTION("""COMPUTED_VALUE"""),"CoA")</f>
        <v>CoA</v>
      </c>
      <c r="B312" s="42"/>
      <c r="C312" s="42"/>
      <c r="D312" s="42" t="str">
        <f>IFERROR(__xludf.DUMMYFUNCTION("""COMPUTED_VALUE"""),"AIv")</f>
        <v>AIv</v>
      </c>
      <c r="E312" s="42"/>
      <c r="F312" s="42"/>
      <c r="G312" s="42"/>
      <c r="H312" s="42" t="str">
        <f>IFERROR(__xludf.DUMMYFUNCTION("""COMPUTED_VALUE"""),"")</f>
        <v/>
      </c>
      <c r="I312" s="42" t="str">
        <f>IFERROR(__xludf.DUMMYFUNCTION("""COMPUTED_VALUE"""),"Pitkänen, 2000")</f>
        <v>Pitkänen, 2000</v>
      </c>
      <c r="J312" s="42" t="str">
        <f>IFERROR(__xludf.DUMMYFUNCTION("""COMPUTED_VALUE"""),"Rat")</f>
        <v>Rat</v>
      </c>
      <c r="K312" s="42" t="str">
        <f>IFERROR(__xludf.DUMMYFUNCTION("""COMPUTED_VALUE"""),"Various tracing")</f>
        <v>Various tracing</v>
      </c>
      <c r="L312" s="42"/>
      <c r="M312" s="42" t="str">
        <f>IFERROR(__xludf.DUMMYFUNCTION("""COMPUTED_VALUE"""),"fig.3-fig.12 (to be specified)")</f>
        <v>fig.3-fig.12 (to be specified)</v>
      </c>
      <c r="N312" s="42"/>
      <c r="O312" s="31" t="str">
        <f>IFERROR(__xludf.DUMMYFUNCTION("""COMPUTED_VALUE"""),"DOC(alt)")</f>
        <v>DOC(alt)</v>
      </c>
      <c r="P312" s="9" t="str">
        <f>IFERROR(__xludf.DUMMYFUNCTION("""COMPUTED_VALUE"""),"Folia morphologica")</f>
        <v>Folia morphologica</v>
      </c>
      <c r="Q312" s="9" t="str">
        <f>IFERROR(__xludf.DUMMYFUNCTION("""COMPUTED_VALUE"""),"Review")</f>
        <v>Review</v>
      </c>
      <c r="R312" s="179" t="str">
        <f>IFERROR(__xludf.DUMMYFUNCTION("""COMPUTED_VALUE"""),"AIv (00/00) [Pitkänen, 2000];
")</f>
        <v>AIv (00/00) [Pitkänen, 2000];
</v>
      </c>
      <c r="S312" s="179" t="str">
        <f>IFERROR(__xludf.DUMMYFUNCTION("""COMPUTED_VALUE"""),"CoAAIv")</f>
        <v>CoAAIv</v>
      </c>
      <c r="T312" s="179" t="str">
        <f>IFERROR(__xludf.DUMMYFUNCTION("""COMPUTED_VALUE"""),"[Pitkänen, 2000]")</f>
        <v>[Pitkänen, 2000]</v>
      </c>
      <c r="U312" s="179">
        <f>IFERROR(__xludf.DUMMYFUNCTION("""COMPUTED_VALUE"""),0.0)</f>
        <v>0</v>
      </c>
      <c r="V312" s="180">
        <f>IFERROR(__xludf.DUMMYFUNCTION("""COMPUTED_VALUE"""),0.0)</f>
        <v>0</v>
      </c>
      <c r="W312" s="180">
        <f>IFERROR(__xludf.DUMMYFUNCTION("""COMPUTED_VALUE"""),0.95)</f>
        <v>0.95</v>
      </c>
      <c r="X312" s="42">
        <f>IFERROR(__xludf.DUMMYFUNCTION("""COMPUTED_VALUE"""),0.8)</f>
        <v>0.8</v>
      </c>
      <c r="Y312" s="42">
        <f>IFERROR(__xludf.DUMMYFUNCTION("""COMPUTED_VALUE"""),0.6)</f>
        <v>0.6</v>
      </c>
      <c r="Z312" s="9">
        <f>IFERROR(__xludf.DUMMYFUNCTION("""COMPUTED_VALUE"""),0.9)</f>
        <v>0.9</v>
      </c>
      <c r="AA312" s="181">
        <f>IFERROR(__xludf.DUMMYFUNCTION("""COMPUTED_VALUE"""),0.0)</f>
        <v>0</v>
      </c>
      <c r="AB312" s="181">
        <f>IFERROR(__xludf.DUMMYFUNCTION("""COMPUTED_VALUE"""),0.0)</f>
        <v>0</v>
      </c>
      <c r="AC312" s="179">
        <f>IFERROR(__xludf.DUMMYFUNCTION("""COMPUTED_VALUE"""),0.0)</f>
        <v>0</v>
      </c>
      <c r="AD312" s="165">
        <f>IFERROR(__xludf.DUMMYFUNCTION("""COMPUTED_VALUE"""),0.0)</f>
        <v>0</v>
      </c>
      <c r="AE312" s="39" t="str">
        <f>IFERROR(__xludf.DUMMYFUNCTION("""COMPUTED_VALUE"""),"Tatsuya Miyamoto")</f>
        <v>Tatsuya Miyamoto</v>
      </c>
      <c r="AF312" s="39" t="str">
        <f>IFERROR(__xludf.DUMMYFUNCTION("""COMPUTED_VALUE"""),"TM21Amygdala")</f>
        <v>TM21Amygdala</v>
      </c>
      <c r="AG312" s="39"/>
      <c r="AH312" s="39"/>
      <c r="AI312" s="165"/>
      <c r="AJ312" s="165"/>
      <c r="AK312" s="111"/>
      <c r="AL312" s="111"/>
      <c r="AM312" s="111"/>
      <c r="AN312" s="111"/>
      <c r="AO312" s="111"/>
      <c r="AP312" s="111"/>
      <c r="AQ312" s="116"/>
      <c r="AR312" s="116"/>
      <c r="AS312" s="116"/>
    </row>
    <row r="313">
      <c r="A313" s="42" t="str">
        <f>IFERROR(__xludf.DUMMYFUNCTION("""COMPUTED_VALUE"""),"CoA")</f>
        <v>CoA</v>
      </c>
      <c r="B313" s="42"/>
      <c r="C313" s="42"/>
      <c r="D313" s="42" t="str">
        <f>IFERROR(__xludf.DUMMYFUNCTION("""COMPUTED_VALUE"""),"DIg")</f>
        <v>DIg</v>
      </c>
      <c r="E313" s="42"/>
      <c r="F313" s="42"/>
      <c r="G313" s="42"/>
      <c r="H313" s="42" t="str">
        <f>IFERROR(__xludf.DUMMYFUNCTION("""COMPUTED_VALUE"""),"")</f>
        <v/>
      </c>
      <c r="I313" s="42" t="str">
        <f>IFERROR(__xludf.DUMMYFUNCTION("""COMPUTED_VALUE"""),"Pitkänen, 2000")</f>
        <v>Pitkänen, 2000</v>
      </c>
      <c r="J313" s="42" t="str">
        <f>IFERROR(__xludf.DUMMYFUNCTION("""COMPUTED_VALUE"""),"Rat")</f>
        <v>Rat</v>
      </c>
      <c r="K313" s="42" t="str">
        <f>IFERROR(__xludf.DUMMYFUNCTION("""COMPUTED_VALUE"""),"Various tracing")</f>
        <v>Various tracing</v>
      </c>
      <c r="L313" s="42"/>
      <c r="M313" s="42" t="str">
        <f>IFERROR(__xludf.DUMMYFUNCTION("""COMPUTED_VALUE"""),"fig.3-fig.12 (to be specified)")</f>
        <v>fig.3-fig.12 (to be specified)</v>
      </c>
      <c r="N313" s="42"/>
      <c r="O313" s="31" t="str">
        <f>IFERROR(__xludf.DUMMYFUNCTION("""COMPUTED_VALUE"""),"DOC(alt)")</f>
        <v>DOC(alt)</v>
      </c>
      <c r="P313" s="9" t="str">
        <f>IFERROR(__xludf.DUMMYFUNCTION("""COMPUTED_VALUE"""),"Folia morphologica")</f>
        <v>Folia morphologica</v>
      </c>
      <c r="Q313" s="9" t="str">
        <f>IFERROR(__xludf.DUMMYFUNCTION("""COMPUTED_VALUE"""),"Review")</f>
        <v>Review</v>
      </c>
      <c r="R313" s="179" t="str">
        <f>IFERROR(__xludf.DUMMYFUNCTION("""COMPUTED_VALUE"""),"DIg (00/00) [Pitkänen, 2000];
")</f>
        <v>DIg (00/00) [Pitkänen, 2000];
</v>
      </c>
      <c r="S313" s="179" t="str">
        <f>IFERROR(__xludf.DUMMYFUNCTION("""COMPUTED_VALUE"""),"CoADIg")</f>
        <v>CoADIg</v>
      </c>
      <c r="T313" s="179" t="str">
        <f>IFERROR(__xludf.DUMMYFUNCTION("""COMPUTED_VALUE"""),"[Pitkänen, 2000]")</f>
        <v>[Pitkänen, 2000]</v>
      </c>
      <c r="U313" s="179">
        <f>IFERROR(__xludf.DUMMYFUNCTION("""COMPUTED_VALUE"""),0.0)</f>
        <v>0</v>
      </c>
      <c r="V313" s="180">
        <f>IFERROR(__xludf.DUMMYFUNCTION("""COMPUTED_VALUE"""),0.0)</f>
        <v>0</v>
      </c>
      <c r="W313" s="180">
        <f>IFERROR(__xludf.DUMMYFUNCTION("""COMPUTED_VALUE"""),0.95)</f>
        <v>0.95</v>
      </c>
      <c r="X313" s="42">
        <f>IFERROR(__xludf.DUMMYFUNCTION("""COMPUTED_VALUE"""),0.8)</f>
        <v>0.8</v>
      </c>
      <c r="Y313" s="42">
        <f>IFERROR(__xludf.DUMMYFUNCTION("""COMPUTED_VALUE"""),0.6)</f>
        <v>0.6</v>
      </c>
      <c r="Z313" s="9">
        <f>IFERROR(__xludf.DUMMYFUNCTION("""COMPUTED_VALUE"""),0.9)</f>
        <v>0.9</v>
      </c>
      <c r="AA313" s="181">
        <f>IFERROR(__xludf.DUMMYFUNCTION("""COMPUTED_VALUE"""),0.0)</f>
        <v>0</v>
      </c>
      <c r="AB313" s="181">
        <f>IFERROR(__xludf.DUMMYFUNCTION("""COMPUTED_VALUE"""),0.0)</f>
        <v>0</v>
      </c>
      <c r="AC313" s="179">
        <f>IFERROR(__xludf.DUMMYFUNCTION("""COMPUTED_VALUE"""),0.0)</f>
        <v>0</v>
      </c>
      <c r="AD313" s="165">
        <f>IFERROR(__xludf.DUMMYFUNCTION("""COMPUTED_VALUE"""),0.0)</f>
        <v>0</v>
      </c>
      <c r="AE313" s="39" t="str">
        <f>IFERROR(__xludf.DUMMYFUNCTION("""COMPUTED_VALUE"""),"Tatsuya Miyamoto")</f>
        <v>Tatsuya Miyamoto</v>
      </c>
      <c r="AF313" s="39" t="str">
        <f>IFERROR(__xludf.DUMMYFUNCTION("""COMPUTED_VALUE"""),"TM21Amygdala")</f>
        <v>TM21Amygdala</v>
      </c>
      <c r="AG313" s="39"/>
      <c r="AH313" s="39"/>
      <c r="AI313" s="165"/>
      <c r="AJ313" s="165"/>
      <c r="AK313" s="111"/>
      <c r="AL313" s="111"/>
      <c r="AM313" s="111"/>
      <c r="AN313" s="111"/>
      <c r="AO313" s="111"/>
      <c r="AP313" s="111"/>
      <c r="AQ313" s="116"/>
      <c r="AR313" s="116"/>
      <c r="AS313" s="116"/>
    </row>
    <row r="314">
      <c r="A314" s="42" t="str">
        <f>IFERROR(__xludf.DUMMYFUNCTION("""COMPUTED_VALUE"""),"CoA")</f>
        <v>CoA</v>
      </c>
      <c r="B314" s="42"/>
      <c r="C314" s="42"/>
      <c r="D314" s="42" t="str">
        <f>IFERROR(__xludf.DUMMYFUNCTION("""COMPUTED_VALUE"""),"En")</f>
        <v>En</v>
      </c>
      <c r="E314" s="42"/>
      <c r="F314" s="42"/>
      <c r="G314" s="42"/>
      <c r="H314" s="42" t="str">
        <f>IFERROR(__xludf.DUMMYFUNCTION("""COMPUTED_VALUE"""),"")</f>
        <v/>
      </c>
      <c r="I314" s="42" t="str">
        <f>IFERROR(__xludf.DUMMYFUNCTION("""COMPUTED_VALUE"""),"Pitkänen, 2000")</f>
        <v>Pitkänen, 2000</v>
      </c>
      <c r="J314" s="42" t="str">
        <f>IFERROR(__xludf.DUMMYFUNCTION("""COMPUTED_VALUE"""),"Rat")</f>
        <v>Rat</v>
      </c>
      <c r="K314" s="42" t="str">
        <f>IFERROR(__xludf.DUMMYFUNCTION("""COMPUTED_VALUE"""),"Various tracing")</f>
        <v>Various tracing</v>
      </c>
      <c r="L314" s="42"/>
      <c r="M314" s="42" t="str">
        <f>IFERROR(__xludf.DUMMYFUNCTION("""COMPUTED_VALUE"""),"fig.3-fig.12 (to be specified)")</f>
        <v>fig.3-fig.12 (to be specified)</v>
      </c>
      <c r="N314" s="42"/>
      <c r="O314" s="31" t="str">
        <f>IFERROR(__xludf.DUMMYFUNCTION("""COMPUTED_VALUE"""),"DOC(alt)")</f>
        <v>DOC(alt)</v>
      </c>
      <c r="P314" s="9" t="str">
        <f>IFERROR(__xludf.DUMMYFUNCTION("""COMPUTED_VALUE"""),"Folia morphologica")</f>
        <v>Folia morphologica</v>
      </c>
      <c r="Q314" s="9" t="str">
        <f>IFERROR(__xludf.DUMMYFUNCTION("""COMPUTED_VALUE"""),"Review")</f>
        <v>Review</v>
      </c>
      <c r="R314" s="179" t="str">
        <f>IFERROR(__xludf.DUMMYFUNCTION("""COMPUTED_VALUE"""),"En (00/00) [Pitkänen, 2000];
")</f>
        <v>En (00/00) [Pitkänen, 2000];
</v>
      </c>
      <c r="S314" s="179" t="str">
        <f>IFERROR(__xludf.DUMMYFUNCTION("""COMPUTED_VALUE"""),"CoAEn")</f>
        <v>CoAEn</v>
      </c>
      <c r="T314" s="179" t="str">
        <f>IFERROR(__xludf.DUMMYFUNCTION("""COMPUTED_VALUE"""),"[Pitkänen, 2000]")</f>
        <v>[Pitkänen, 2000]</v>
      </c>
      <c r="U314" s="179">
        <f>IFERROR(__xludf.DUMMYFUNCTION("""COMPUTED_VALUE"""),0.0)</f>
        <v>0</v>
      </c>
      <c r="V314" s="180">
        <f>IFERROR(__xludf.DUMMYFUNCTION("""COMPUTED_VALUE"""),0.0)</f>
        <v>0</v>
      </c>
      <c r="W314" s="180">
        <f>IFERROR(__xludf.DUMMYFUNCTION("""COMPUTED_VALUE"""),0.95)</f>
        <v>0.95</v>
      </c>
      <c r="X314" s="42">
        <f>IFERROR(__xludf.DUMMYFUNCTION("""COMPUTED_VALUE"""),0.8)</f>
        <v>0.8</v>
      </c>
      <c r="Y314" s="42">
        <f>IFERROR(__xludf.DUMMYFUNCTION("""COMPUTED_VALUE"""),0.6)</f>
        <v>0.6</v>
      </c>
      <c r="Z314" s="9">
        <f>IFERROR(__xludf.DUMMYFUNCTION("""COMPUTED_VALUE"""),0.9)</f>
        <v>0.9</v>
      </c>
      <c r="AA314" s="181">
        <f>IFERROR(__xludf.DUMMYFUNCTION("""COMPUTED_VALUE"""),0.0)</f>
        <v>0</v>
      </c>
      <c r="AB314" s="181">
        <f>IFERROR(__xludf.DUMMYFUNCTION("""COMPUTED_VALUE"""),0.0)</f>
        <v>0</v>
      </c>
      <c r="AC314" s="179">
        <f>IFERROR(__xludf.DUMMYFUNCTION("""COMPUTED_VALUE"""),0.0)</f>
        <v>0</v>
      </c>
      <c r="AD314" s="165">
        <f>IFERROR(__xludf.DUMMYFUNCTION("""COMPUTED_VALUE"""),0.0)</f>
        <v>0</v>
      </c>
      <c r="AE314" s="39" t="str">
        <f>IFERROR(__xludf.DUMMYFUNCTION("""COMPUTED_VALUE"""),"Tatsuya Miyamoto")</f>
        <v>Tatsuya Miyamoto</v>
      </c>
      <c r="AF314" s="39" t="str">
        <f>IFERROR(__xludf.DUMMYFUNCTION("""COMPUTED_VALUE"""),"TM21Amygdala")</f>
        <v>TM21Amygdala</v>
      </c>
      <c r="AG314" s="39"/>
      <c r="AH314" s="39"/>
      <c r="AI314" s="165"/>
      <c r="AJ314" s="165"/>
      <c r="AK314" s="111"/>
      <c r="AL314" s="111"/>
      <c r="AM314" s="111"/>
      <c r="AN314" s="111"/>
      <c r="AO314" s="111"/>
      <c r="AP314" s="111"/>
      <c r="AQ314" s="116"/>
      <c r="AR314" s="116"/>
      <c r="AS314" s="116"/>
    </row>
    <row r="315">
      <c r="A315" s="42" t="str">
        <f>IFERROR(__xludf.DUMMYFUNCTION("""COMPUTED_VALUE"""),"CoA")</f>
        <v>CoA</v>
      </c>
      <c r="B315" s="42"/>
      <c r="C315" s="42"/>
      <c r="D315" s="42" t="str">
        <f>IFERROR(__xludf.DUMMYFUNCTION("""COMPUTED_VALUE"""),"IL")</f>
        <v>IL</v>
      </c>
      <c r="E315" s="42"/>
      <c r="F315" s="42"/>
      <c r="G315" s="42"/>
      <c r="H315" s="42" t="str">
        <f>IFERROR(__xludf.DUMMYFUNCTION("""COMPUTED_VALUE"""),"")</f>
        <v/>
      </c>
      <c r="I315" s="42" t="str">
        <f>IFERROR(__xludf.DUMMYFUNCTION("""COMPUTED_VALUE"""),"Pitkänen, 2000")</f>
        <v>Pitkänen, 2000</v>
      </c>
      <c r="J315" s="42" t="str">
        <f>IFERROR(__xludf.DUMMYFUNCTION("""COMPUTED_VALUE"""),"Rat")</f>
        <v>Rat</v>
      </c>
      <c r="K315" s="42" t="str">
        <f>IFERROR(__xludf.DUMMYFUNCTION("""COMPUTED_VALUE"""),"Various tracing")</f>
        <v>Various tracing</v>
      </c>
      <c r="L315" s="42"/>
      <c r="M315" s="42" t="str">
        <f>IFERROR(__xludf.DUMMYFUNCTION("""COMPUTED_VALUE"""),"fig.3-fig.12 (to be specified)")</f>
        <v>fig.3-fig.12 (to be specified)</v>
      </c>
      <c r="N315" s="42"/>
      <c r="O315" s="31" t="str">
        <f>IFERROR(__xludf.DUMMYFUNCTION("""COMPUTED_VALUE"""),"DOC(alt)")</f>
        <v>DOC(alt)</v>
      </c>
      <c r="P315" s="9" t="str">
        <f>IFERROR(__xludf.DUMMYFUNCTION("""COMPUTED_VALUE"""),"Folia morphologica")</f>
        <v>Folia morphologica</v>
      </c>
      <c r="Q315" s="9" t="str">
        <f>IFERROR(__xludf.DUMMYFUNCTION("""COMPUTED_VALUE"""),"Review")</f>
        <v>Review</v>
      </c>
      <c r="R315" s="179" t="str">
        <f>IFERROR(__xludf.DUMMYFUNCTION("""COMPUTED_VALUE"""),"IL (00/00) [Pitkänen, 2000];
")</f>
        <v>IL (00/00) [Pitkänen, 2000];
</v>
      </c>
      <c r="S315" s="179" t="str">
        <f>IFERROR(__xludf.DUMMYFUNCTION("""COMPUTED_VALUE"""),"CoAIL")</f>
        <v>CoAIL</v>
      </c>
      <c r="T315" s="179" t="str">
        <f>IFERROR(__xludf.DUMMYFUNCTION("""COMPUTED_VALUE"""),"[Pitkänen, 2000]")</f>
        <v>[Pitkänen, 2000]</v>
      </c>
      <c r="U315" s="179">
        <f>IFERROR(__xludf.DUMMYFUNCTION("""COMPUTED_VALUE"""),0.0)</f>
        <v>0</v>
      </c>
      <c r="V315" s="180">
        <f>IFERROR(__xludf.DUMMYFUNCTION("""COMPUTED_VALUE"""),0.0)</f>
        <v>0</v>
      </c>
      <c r="W315" s="180">
        <f>IFERROR(__xludf.DUMMYFUNCTION("""COMPUTED_VALUE"""),0.95)</f>
        <v>0.95</v>
      </c>
      <c r="X315" s="42">
        <f>IFERROR(__xludf.DUMMYFUNCTION("""COMPUTED_VALUE"""),0.8)</f>
        <v>0.8</v>
      </c>
      <c r="Y315" s="42">
        <f>IFERROR(__xludf.DUMMYFUNCTION("""COMPUTED_VALUE"""),0.6)</f>
        <v>0.6</v>
      </c>
      <c r="Z315" s="9">
        <f>IFERROR(__xludf.DUMMYFUNCTION("""COMPUTED_VALUE"""),0.9)</f>
        <v>0.9</v>
      </c>
      <c r="AA315" s="181">
        <f>IFERROR(__xludf.DUMMYFUNCTION("""COMPUTED_VALUE"""),0.0)</f>
        <v>0</v>
      </c>
      <c r="AB315" s="181">
        <f>IFERROR(__xludf.DUMMYFUNCTION("""COMPUTED_VALUE"""),0.0)</f>
        <v>0</v>
      </c>
      <c r="AC315" s="179">
        <f>IFERROR(__xludf.DUMMYFUNCTION("""COMPUTED_VALUE"""),0.0)</f>
        <v>0</v>
      </c>
      <c r="AD315" s="165">
        <f>IFERROR(__xludf.DUMMYFUNCTION("""COMPUTED_VALUE"""),0.0)</f>
        <v>0</v>
      </c>
      <c r="AE315" s="39" t="str">
        <f>IFERROR(__xludf.DUMMYFUNCTION("""COMPUTED_VALUE"""),"Tatsuya Miyamoto")</f>
        <v>Tatsuya Miyamoto</v>
      </c>
      <c r="AF315" s="39" t="str">
        <f>IFERROR(__xludf.DUMMYFUNCTION("""COMPUTED_VALUE"""),"TM21Amygdala")</f>
        <v>TM21Amygdala</v>
      </c>
      <c r="AG315" s="39"/>
      <c r="AH315" s="39"/>
      <c r="AI315" s="165"/>
      <c r="AJ315" s="165"/>
      <c r="AK315" s="111"/>
      <c r="AL315" s="111"/>
      <c r="AM315" s="111"/>
      <c r="AN315" s="111"/>
      <c r="AO315" s="111"/>
      <c r="AP315" s="111"/>
      <c r="AQ315" s="116"/>
      <c r="AR315" s="116"/>
      <c r="AS315" s="116"/>
    </row>
    <row r="316">
      <c r="A316" s="42" t="str">
        <f>IFERROR(__xludf.DUMMYFUNCTION("""COMPUTED_VALUE"""),"CoA")</f>
        <v>CoA</v>
      </c>
      <c r="B316" s="42"/>
      <c r="C316" s="42"/>
      <c r="D316" s="42" t="str">
        <f>IFERROR(__xludf.DUMMYFUNCTION("""COMPUTED_VALUE"""),"PaV")</f>
        <v>PaV</v>
      </c>
      <c r="E316" s="42"/>
      <c r="F316" s="42"/>
      <c r="G316" s="42"/>
      <c r="H316" s="42" t="str">
        <f>IFERROR(__xludf.DUMMYFUNCTION("""COMPUTED_VALUE"""),"")</f>
        <v/>
      </c>
      <c r="I316" s="42" t="str">
        <f>IFERROR(__xludf.DUMMYFUNCTION("""COMPUTED_VALUE"""),"Pitkänen, 2000")</f>
        <v>Pitkänen, 2000</v>
      </c>
      <c r="J316" s="42" t="str">
        <f>IFERROR(__xludf.DUMMYFUNCTION("""COMPUTED_VALUE"""),"Rat")</f>
        <v>Rat</v>
      </c>
      <c r="K316" s="42" t="str">
        <f>IFERROR(__xludf.DUMMYFUNCTION("""COMPUTED_VALUE"""),"Various tracing")</f>
        <v>Various tracing</v>
      </c>
      <c r="L316" s="42"/>
      <c r="M316" s="42" t="str">
        <f>IFERROR(__xludf.DUMMYFUNCTION("""COMPUTED_VALUE"""),"fig.3-fig.12 (to be specified)")</f>
        <v>fig.3-fig.12 (to be specified)</v>
      </c>
      <c r="N316" s="42"/>
      <c r="O316" s="31" t="str">
        <f>IFERROR(__xludf.DUMMYFUNCTION("""COMPUTED_VALUE"""),"DOC(alt)")</f>
        <v>DOC(alt)</v>
      </c>
      <c r="P316" s="9" t="str">
        <f>IFERROR(__xludf.DUMMYFUNCTION("""COMPUTED_VALUE"""),"Folia morphologica")</f>
        <v>Folia morphologica</v>
      </c>
      <c r="Q316" s="9" t="str">
        <f>IFERROR(__xludf.DUMMYFUNCTION("""COMPUTED_VALUE"""),"Review")</f>
        <v>Review</v>
      </c>
      <c r="R316" s="179" t="str">
        <f>IFERROR(__xludf.DUMMYFUNCTION("""COMPUTED_VALUE"""),"PaV (00/00) [Pitkänen, 2000];
")</f>
        <v>PaV (00/00) [Pitkänen, 2000];
</v>
      </c>
      <c r="S316" s="179" t="str">
        <f>IFERROR(__xludf.DUMMYFUNCTION("""COMPUTED_VALUE"""),"CoAPaV")</f>
        <v>CoAPaV</v>
      </c>
      <c r="T316" s="179" t="str">
        <f>IFERROR(__xludf.DUMMYFUNCTION("""COMPUTED_VALUE"""),"[Pitkänen, 2000]")</f>
        <v>[Pitkänen, 2000]</v>
      </c>
      <c r="U316" s="179">
        <f>IFERROR(__xludf.DUMMYFUNCTION("""COMPUTED_VALUE"""),0.0)</f>
        <v>0</v>
      </c>
      <c r="V316" s="180">
        <f>IFERROR(__xludf.DUMMYFUNCTION("""COMPUTED_VALUE"""),0.0)</f>
        <v>0</v>
      </c>
      <c r="W316" s="180">
        <f>IFERROR(__xludf.DUMMYFUNCTION("""COMPUTED_VALUE"""),0.95)</f>
        <v>0.95</v>
      </c>
      <c r="X316" s="42">
        <f>IFERROR(__xludf.DUMMYFUNCTION("""COMPUTED_VALUE"""),0.8)</f>
        <v>0.8</v>
      </c>
      <c r="Y316" s="42">
        <f>IFERROR(__xludf.DUMMYFUNCTION("""COMPUTED_VALUE"""),0.6)</f>
        <v>0.6</v>
      </c>
      <c r="Z316" s="9">
        <f>IFERROR(__xludf.DUMMYFUNCTION("""COMPUTED_VALUE"""),0.9)</f>
        <v>0.9</v>
      </c>
      <c r="AA316" s="181">
        <f>IFERROR(__xludf.DUMMYFUNCTION("""COMPUTED_VALUE"""),0.0)</f>
        <v>0</v>
      </c>
      <c r="AB316" s="181">
        <f>IFERROR(__xludf.DUMMYFUNCTION("""COMPUTED_VALUE"""),0.0)</f>
        <v>0</v>
      </c>
      <c r="AC316" s="179">
        <f>IFERROR(__xludf.DUMMYFUNCTION("""COMPUTED_VALUE"""),0.0)</f>
        <v>0</v>
      </c>
      <c r="AD316" s="165">
        <f>IFERROR(__xludf.DUMMYFUNCTION("""COMPUTED_VALUE"""),0.0)</f>
        <v>0</v>
      </c>
      <c r="AE316" s="39" t="str">
        <f>IFERROR(__xludf.DUMMYFUNCTION("""COMPUTED_VALUE"""),"Tatsuya Miyamoto")</f>
        <v>Tatsuya Miyamoto</v>
      </c>
      <c r="AF316" s="39" t="str">
        <f>IFERROR(__xludf.DUMMYFUNCTION("""COMPUTED_VALUE"""),"TM21Amygdala")</f>
        <v>TM21Amygdala</v>
      </c>
      <c r="AG316" s="39"/>
      <c r="AH316" s="39"/>
      <c r="AI316" s="165"/>
      <c r="AJ316" s="165"/>
      <c r="AK316" s="111"/>
      <c r="AL316" s="111"/>
      <c r="AM316" s="111"/>
      <c r="AN316" s="111"/>
      <c r="AO316" s="111"/>
      <c r="AP316" s="111"/>
      <c r="AQ316" s="116"/>
      <c r="AR316" s="116"/>
      <c r="AS316" s="116"/>
    </row>
    <row r="317">
      <c r="A317" s="42" t="str">
        <f>IFERROR(__xludf.DUMMYFUNCTION("""COMPUTED_VALUE"""),"CoA")</f>
        <v>CoA</v>
      </c>
      <c r="B317" s="42"/>
      <c r="C317" s="42"/>
      <c r="D317" s="42" t="str">
        <f>IFERROR(__xludf.DUMMYFUNCTION("""COMPUTED_VALUE"""),"PB")</f>
        <v>PB</v>
      </c>
      <c r="E317" s="42"/>
      <c r="F317" s="42"/>
      <c r="G317" s="42"/>
      <c r="H317" s="42" t="str">
        <f>IFERROR(__xludf.DUMMYFUNCTION("""COMPUTED_VALUE"""),"")</f>
        <v/>
      </c>
      <c r="I317" s="42" t="str">
        <f>IFERROR(__xludf.DUMMYFUNCTION("""COMPUTED_VALUE"""),"Pitkänen, 2000")</f>
        <v>Pitkänen, 2000</v>
      </c>
      <c r="J317" s="42" t="str">
        <f>IFERROR(__xludf.DUMMYFUNCTION("""COMPUTED_VALUE"""),"Rat")</f>
        <v>Rat</v>
      </c>
      <c r="K317" s="42" t="str">
        <f>IFERROR(__xludf.DUMMYFUNCTION("""COMPUTED_VALUE"""),"Various tracing")</f>
        <v>Various tracing</v>
      </c>
      <c r="L317" s="42"/>
      <c r="M317" s="42" t="str">
        <f>IFERROR(__xludf.DUMMYFUNCTION("""COMPUTED_VALUE"""),"fig.3-fig.12 (to be specified)")</f>
        <v>fig.3-fig.12 (to be specified)</v>
      </c>
      <c r="N317" s="42"/>
      <c r="O317" s="31" t="str">
        <f>IFERROR(__xludf.DUMMYFUNCTION("""COMPUTED_VALUE"""),"DOC(alt)")</f>
        <v>DOC(alt)</v>
      </c>
      <c r="P317" s="9" t="str">
        <f>IFERROR(__xludf.DUMMYFUNCTION("""COMPUTED_VALUE"""),"Folia morphologica")</f>
        <v>Folia morphologica</v>
      </c>
      <c r="Q317" s="9" t="str">
        <f>IFERROR(__xludf.DUMMYFUNCTION("""COMPUTED_VALUE"""),"Review")</f>
        <v>Review</v>
      </c>
      <c r="R317" s="179" t="str">
        <f>IFERROR(__xludf.DUMMYFUNCTION("""COMPUTED_VALUE"""),"PB (00/00) [Pitkänen, 2000];
")</f>
        <v>PB (00/00) [Pitkänen, 2000];
</v>
      </c>
      <c r="S317" s="179" t="str">
        <f>IFERROR(__xludf.DUMMYFUNCTION("""COMPUTED_VALUE"""),"CoAPB")</f>
        <v>CoAPB</v>
      </c>
      <c r="T317" s="179" t="str">
        <f>IFERROR(__xludf.DUMMYFUNCTION("""COMPUTED_VALUE"""),"[Pitkänen, 2000]")</f>
        <v>[Pitkänen, 2000]</v>
      </c>
      <c r="U317" s="179">
        <f>IFERROR(__xludf.DUMMYFUNCTION("""COMPUTED_VALUE"""),0.0)</f>
        <v>0</v>
      </c>
      <c r="V317" s="180">
        <f>IFERROR(__xludf.DUMMYFUNCTION("""COMPUTED_VALUE"""),0.0)</f>
        <v>0</v>
      </c>
      <c r="W317" s="180">
        <f>IFERROR(__xludf.DUMMYFUNCTION("""COMPUTED_VALUE"""),0.95)</f>
        <v>0.95</v>
      </c>
      <c r="X317" s="42">
        <f>IFERROR(__xludf.DUMMYFUNCTION("""COMPUTED_VALUE"""),0.8)</f>
        <v>0.8</v>
      </c>
      <c r="Y317" s="42">
        <f>IFERROR(__xludf.DUMMYFUNCTION("""COMPUTED_VALUE"""),0.6)</f>
        <v>0.6</v>
      </c>
      <c r="Z317" s="9">
        <f>IFERROR(__xludf.DUMMYFUNCTION("""COMPUTED_VALUE"""),0.9)</f>
        <v>0.9</v>
      </c>
      <c r="AA317" s="181">
        <f>IFERROR(__xludf.DUMMYFUNCTION("""COMPUTED_VALUE"""),0.0)</f>
        <v>0</v>
      </c>
      <c r="AB317" s="181">
        <f>IFERROR(__xludf.DUMMYFUNCTION("""COMPUTED_VALUE"""),0.0)</f>
        <v>0</v>
      </c>
      <c r="AC317" s="179">
        <f>IFERROR(__xludf.DUMMYFUNCTION("""COMPUTED_VALUE"""),0.0)</f>
        <v>0</v>
      </c>
      <c r="AD317" s="165">
        <f>IFERROR(__xludf.DUMMYFUNCTION("""COMPUTED_VALUE"""),0.0)</f>
        <v>0</v>
      </c>
      <c r="AE317" s="39" t="str">
        <f>IFERROR(__xludf.DUMMYFUNCTION("""COMPUTED_VALUE"""),"Tatsuya Miyamoto")</f>
        <v>Tatsuya Miyamoto</v>
      </c>
      <c r="AF317" s="39" t="str">
        <f>IFERROR(__xludf.DUMMYFUNCTION("""COMPUTED_VALUE"""),"TM21Amygdala")</f>
        <v>TM21Amygdala</v>
      </c>
      <c r="AG317" s="39"/>
      <c r="AH317" s="39"/>
      <c r="AI317" s="165"/>
      <c r="AJ317" s="165"/>
      <c r="AK317" s="111"/>
      <c r="AL317" s="111"/>
      <c r="AM317" s="111"/>
      <c r="AN317" s="111"/>
      <c r="AO317" s="111"/>
      <c r="AP317" s="111"/>
      <c r="AQ317" s="116"/>
      <c r="AR317" s="116"/>
      <c r="AS317" s="116"/>
    </row>
    <row r="318">
      <c r="A318" s="42" t="str">
        <f>IFERROR(__xludf.DUMMYFUNCTION("""COMPUTED_VALUE"""),"CoA")</f>
        <v>CoA</v>
      </c>
      <c r="B318" s="42"/>
      <c r="C318" s="42"/>
      <c r="D318" s="42" t="str">
        <f>IFERROR(__xludf.DUMMYFUNCTION("""COMPUTED_VALUE"""),"Pir")</f>
        <v>Pir</v>
      </c>
      <c r="E318" s="42"/>
      <c r="F318" s="42"/>
      <c r="G318" s="42"/>
      <c r="H318" s="42" t="str">
        <f>IFERROR(__xludf.DUMMYFUNCTION("""COMPUTED_VALUE"""),"")</f>
        <v/>
      </c>
      <c r="I318" s="42" t="str">
        <f>IFERROR(__xludf.DUMMYFUNCTION("""COMPUTED_VALUE"""),"Pitkänen, 2000")</f>
        <v>Pitkänen, 2000</v>
      </c>
      <c r="J318" s="42" t="str">
        <f>IFERROR(__xludf.DUMMYFUNCTION("""COMPUTED_VALUE"""),"Rat")</f>
        <v>Rat</v>
      </c>
      <c r="K318" s="42" t="str">
        <f>IFERROR(__xludf.DUMMYFUNCTION("""COMPUTED_VALUE"""),"Various tracing")</f>
        <v>Various tracing</v>
      </c>
      <c r="L318" s="42"/>
      <c r="M318" s="42" t="str">
        <f>IFERROR(__xludf.DUMMYFUNCTION("""COMPUTED_VALUE"""),"fig.3-fig.12 (to be specified)")</f>
        <v>fig.3-fig.12 (to be specified)</v>
      </c>
      <c r="N318" s="42"/>
      <c r="O318" s="31" t="str">
        <f>IFERROR(__xludf.DUMMYFUNCTION("""COMPUTED_VALUE"""),"DOC(alt)")</f>
        <v>DOC(alt)</v>
      </c>
      <c r="P318" s="9" t="str">
        <f>IFERROR(__xludf.DUMMYFUNCTION("""COMPUTED_VALUE"""),"Folia morphologica")</f>
        <v>Folia morphologica</v>
      </c>
      <c r="Q318" s="9" t="str">
        <f>IFERROR(__xludf.DUMMYFUNCTION("""COMPUTED_VALUE"""),"Review")</f>
        <v>Review</v>
      </c>
      <c r="R318" s="179" t="str">
        <f>IFERROR(__xludf.DUMMYFUNCTION("""COMPUTED_VALUE"""),"Pir (00/00) [Pitkänen, 2000];
")</f>
        <v>Pir (00/00) [Pitkänen, 2000];
</v>
      </c>
      <c r="S318" s="179" t="str">
        <f>IFERROR(__xludf.DUMMYFUNCTION("""COMPUTED_VALUE"""),"CoAPir")</f>
        <v>CoAPir</v>
      </c>
      <c r="T318" s="179" t="str">
        <f>IFERROR(__xludf.DUMMYFUNCTION("""COMPUTED_VALUE"""),"[Pitkänen, 2000]")</f>
        <v>[Pitkänen, 2000]</v>
      </c>
      <c r="U318" s="179">
        <f>IFERROR(__xludf.DUMMYFUNCTION("""COMPUTED_VALUE"""),0.0)</f>
        <v>0</v>
      </c>
      <c r="V318" s="180">
        <f>IFERROR(__xludf.DUMMYFUNCTION("""COMPUTED_VALUE"""),0.0)</f>
        <v>0</v>
      </c>
      <c r="W318" s="180">
        <f>IFERROR(__xludf.DUMMYFUNCTION("""COMPUTED_VALUE"""),0.95)</f>
        <v>0.95</v>
      </c>
      <c r="X318" s="42">
        <f>IFERROR(__xludf.DUMMYFUNCTION("""COMPUTED_VALUE"""),0.8)</f>
        <v>0.8</v>
      </c>
      <c r="Y318" s="42">
        <f>IFERROR(__xludf.DUMMYFUNCTION("""COMPUTED_VALUE"""),0.6)</f>
        <v>0.6</v>
      </c>
      <c r="Z318" s="9">
        <f>IFERROR(__xludf.DUMMYFUNCTION("""COMPUTED_VALUE"""),0.9)</f>
        <v>0.9</v>
      </c>
      <c r="AA318" s="181">
        <f>IFERROR(__xludf.DUMMYFUNCTION("""COMPUTED_VALUE"""),0.0)</f>
        <v>0</v>
      </c>
      <c r="AB318" s="181">
        <f>IFERROR(__xludf.DUMMYFUNCTION("""COMPUTED_VALUE"""),0.0)</f>
        <v>0</v>
      </c>
      <c r="AC318" s="179">
        <f>IFERROR(__xludf.DUMMYFUNCTION("""COMPUTED_VALUE"""),0.0)</f>
        <v>0</v>
      </c>
      <c r="AD318" s="165">
        <f>IFERROR(__xludf.DUMMYFUNCTION("""COMPUTED_VALUE"""),0.0)</f>
        <v>0</v>
      </c>
      <c r="AE318" s="39" t="str">
        <f>IFERROR(__xludf.DUMMYFUNCTION("""COMPUTED_VALUE"""),"Tatsuya Miyamoto")</f>
        <v>Tatsuya Miyamoto</v>
      </c>
      <c r="AF318" s="39" t="str">
        <f>IFERROR(__xludf.DUMMYFUNCTION("""COMPUTED_VALUE"""),"TM21Amygdala")</f>
        <v>TM21Amygdala</v>
      </c>
      <c r="AG318" s="39"/>
      <c r="AH318" s="39"/>
      <c r="AI318" s="165"/>
      <c r="AJ318" s="165"/>
      <c r="AK318" s="111"/>
      <c r="AL318" s="111"/>
      <c r="AM318" s="111"/>
      <c r="AN318" s="111"/>
      <c r="AO318" s="111"/>
      <c r="AP318" s="111"/>
      <c r="AQ318" s="116"/>
      <c r="AR318" s="116"/>
      <c r="AS318" s="116"/>
    </row>
    <row r="319">
      <c r="A319" s="42" t="str">
        <f>IFERROR(__xludf.DUMMYFUNCTION("""COMPUTED_VALUE"""),"CoA")</f>
        <v>CoA</v>
      </c>
      <c r="B319" s="42"/>
      <c r="C319" s="42"/>
      <c r="D319" s="42" t="str">
        <f>IFERROR(__xludf.DUMMYFUNCTION("""COMPUTED_VALUE"""),"S")</f>
        <v>S</v>
      </c>
      <c r="E319" s="42"/>
      <c r="F319" s="42"/>
      <c r="G319" s="42"/>
      <c r="H319" s="42" t="str">
        <f>IFERROR(__xludf.DUMMYFUNCTION("""COMPUTED_VALUE"""),"")</f>
        <v/>
      </c>
      <c r="I319" s="42" t="str">
        <f>IFERROR(__xludf.DUMMYFUNCTION("""COMPUTED_VALUE"""),"Pitkänen, 2000")</f>
        <v>Pitkänen, 2000</v>
      </c>
      <c r="J319" s="42" t="str">
        <f>IFERROR(__xludf.DUMMYFUNCTION("""COMPUTED_VALUE"""),"Rat")</f>
        <v>Rat</v>
      </c>
      <c r="K319" s="42" t="str">
        <f>IFERROR(__xludf.DUMMYFUNCTION("""COMPUTED_VALUE"""),"Various tracing")</f>
        <v>Various tracing</v>
      </c>
      <c r="L319" s="42"/>
      <c r="M319" s="42" t="str">
        <f>IFERROR(__xludf.DUMMYFUNCTION("""COMPUTED_VALUE"""),"fig.3-fig.12 (to be specified)")</f>
        <v>fig.3-fig.12 (to be specified)</v>
      </c>
      <c r="N319" s="42"/>
      <c r="O319" s="31" t="str">
        <f>IFERROR(__xludf.DUMMYFUNCTION("""COMPUTED_VALUE"""),"DOC(alt)")</f>
        <v>DOC(alt)</v>
      </c>
      <c r="P319" s="9" t="str">
        <f>IFERROR(__xludf.DUMMYFUNCTION("""COMPUTED_VALUE"""),"Folia morphologica")</f>
        <v>Folia morphologica</v>
      </c>
      <c r="Q319" s="9" t="str">
        <f>IFERROR(__xludf.DUMMYFUNCTION("""COMPUTED_VALUE"""),"Review")</f>
        <v>Review</v>
      </c>
      <c r="R319" s="179" t="str">
        <f>IFERROR(__xludf.DUMMYFUNCTION("""COMPUTED_VALUE"""),"S (00/00) [Pitkänen, 2000];
")</f>
        <v>S (00/00) [Pitkänen, 2000];
</v>
      </c>
      <c r="S319" s="179" t="str">
        <f>IFERROR(__xludf.DUMMYFUNCTION("""COMPUTED_VALUE"""),"CoAS")</f>
        <v>CoAS</v>
      </c>
      <c r="T319" s="179" t="str">
        <f>IFERROR(__xludf.DUMMYFUNCTION("""COMPUTED_VALUE"""),"[Pitkänen, 2000]")</f>
        <v>[Pitkänen, 2000]</v>
      </c>
      <c r="U319" s="179">
        <f>IFERROR(__xludf.DUMMYFUNCTION("""COMPUTED_VALUE"""),0.0)</f>
        <v>0</v>
      </c>
      <c r="V319" s="180">
        <f>IFERROR(__xludf.DUMMYFUNCTION("""COMPUTED_VALUE"""),0.0)</f>
        <v>0</v>
      </c>
      <c r="W319" s="180">
        <f>IFERROR(__xludf.DUMMYFUNCTION("""COMPUTED_VALUE"""),0.95)</f>
        <v>0.95</v>
      </c>
      <c r="X319" s="42">
        <f>IFERROR(__xludf.DUMMYFUNCTION("""COMPUTED_VALUE"""),0.8)</f>
        <v>0.8</v>
      </c>
      <c r="Y319" s="42">
        <f>IFERROR(__xludf.DUMMYFUNCTION("""COMPUTED_VALUE"""),0.6)</f>
        <v>0.6</v>
      </c>
      <c r="Z319" s="9">
        <f>IFERROR(__xludf.DUMMYFUNCTION("""COMPUTED_VALUE"""),0.9)</f>
        <v>0.9</v>
      </c>
      <c r="AA319" s="181">
        <f>IFERROR(__xludf.DUMMYFUNCTION("""COMPUTED_VALUE"""),0.0)</f>
        <v>0</v>
      </c>
      <c r="AB319" s="181">
        <f>IFERROR(__xludf.DUMMYFUNCTION("""COMPUTED_VALUE"""),0.0)</f>
        <v>0</v>
      </c>
      <c r="AC319" s="179">
        <f>IFERROR(__xludf.DUMMYFUNCTION("""COMPUTED_VALUE"""),0.0)</f>
        <v>0</v>
      </c>
      <c r="AD319" s="165">
        <f>IFERROR(__xludf.DUMMYFUNCTION("""COMPUTED_VALUE"""),0.0)</f>
        <v>0</v>
      </c>
      <c r="AE319" s="39" t="str">
        <f>IFERROR(__xludf.DUMMYFUNCTION("""COMPUTED_VALUE"""),"Tatsuya Miyamoto")</f>
        <v>Tatsuya Miyamoto</v>
      </c>
      <c r="AF319" s="39" t="str">
        <f>IFERROR(__xludf.DUMMYFUNCTION("""COMPUTED_VALUE"""),"TM21Amygdala")</f>
        <v>TM21Amygdala</v>
      </c>
      <c r="AG319" s="39"/>
      <c r="AH319" s="39"/>
      <c r="AI319" s="165"/>
      <c r="AJ319" s="165"/>
      <c r="AK319" s="111"/>
      <c r="AL319" s="111"/>
      <c r="AM319" s="111"/>
      <c r="AN319" s="111"/>
      <c r="AO319" s="111"/>
      <c r="AP319" s="111"/>
      <c r="AQ319" s="116"/>
      <c r="AR319" s="116"/>
      <c r="AS319" s="116"/>
    </row>
    <row r="320">
      <c r="A320" s="42" t="str">
        <f>IFERROR(__xludf.DUMMYFUNCTION("""COMPUTED_VALUE"""),"CoP")</f>
        <v>CoP</v>
      </c>
      <c r="B320" s="42"/>
      <c r="C320" s="42"/>
      <c r="D320" s="42" t="str">
        <f>IFERROR(__xludf.DUMMYFUNCTION("""COMPUTED_VALUE"""),"AOB")</f>
        <v>AOB</v>
      </c>
      <c r="E320" s="42"/>
      <c r="F320" s="42"/>
      <c r="G320" s="42"/>
      <c r="H320" s="42" t="str">
        <f>IFERROR(__xludf.DUMMYFUNCTION("""COMPUTED_VALUE"""),"")</f>
        <v/>
      </c>
      <c r="I320" s="42" t="str">
        <f>IFERROR(__xludf.DUMMYFUNCTION("""COMPUTED_VALUE"""),"Pitkänen, 2000")</f>
        <v>Pitkänen, 2000</v>
      </c>
      <c r="J320" s="42" t="str">
        <f>IFERROR(__xludf.DUMMYFUNCTION("""COMPUTED_VALUE"""),"Rat")</f>
        <v>Rat</v>
      </c>
      <c r="K320" s="42" t="str">
        <f>IFERROR(__xludf.DUMMYFUNCTION("""COMPUTED_VALUE"""),"Various tracing")</f>
        <v>Various tracing</v>
      </c>
      <c r="L320" s="42"/>
      <c r="M320" s="42" t="str">
        <f>IFERROR(__xludf.DUMMYFUNCTION("""COMPUTED_VALUE"""),"fig.3-fig.12 (to be specified)")</f>
        <v>fig.3-fig.12 (to be specified)</v>
      </c>
      <c r="N320" s="42"/>
      <c r="O320" s="31" t="str">
        <f>IFERROR(__xludf.DUMMYFUNCTION("""COMPUTED_VALUE"""),"DOC(alt)")</f>
        <v>DOC(alt)</v>
      </c>
      <c r="P320" s="9" t="str">
        <f>IFERROR(__xludf.DUMMYFUNCTION("""COMPUTED_VALUE"""),"Folia morphologica")</f>
        <v>Folia morphologica</v>
      </c>
      <c r="Q320" s="9" t="str">
        <f>IFERROR(__xludf.DUMMYFUNCTION("""COMPUTED_VALUE"""),"Review")</f>
        <v>Review</v>
      </c>
      <c r="R320" s="179" t="str">
        <f>IFERROR(__xludf.DUMMYFUNCTION("""COMPUTED_VALUE"""),"AOB (00/00) [Pitkänen, 2000];
")</f>
        <v>AOB (00/00) [Pitkänen, 2000];
</v>
      </c>
      <c r="S320" s="179" t="str">
        <f>IFERROR(__xludf.DUMMYFUNCTION("""COMPUTED_VALUE"""),"CoPAOB")</f>
        <v>CoPAOB</v>
      </c>
      <c r="T320" s="179" t="str">
        <f>IFERROR(__xludf.DUMMYFUNCTION("""COMPUTED_VALUE"""),"[Pitkänen, 2000]")</f>
        <v>[Pitkänen, 2000]</v>
      </c>
      <c r="U320" s="179">
        <f>IFERROR(__xludf.DUMMYFUNCTION("""COMPUTED_VALUE"""),0.0)</f>
        <v>0</v>
      </c>
      <c r="V320" s="180">
        <f>IFERROR(__xludf.DUMMYFUNCTION("""COMPUTED_VALUE"""),0.0)</f>
        <v>0</v>
      </c>
      <c r="W320" s="180">
        <f>IFERROR(__xludf.DUMMYFUNCTION("""COMPUTED_VALUE"""),0.95)</f>
        <v>0.95</v>
      </c>
      <c r="X320" s="42">
        <f>IFERROR(__xludf.DUMMYFUNCTION("""COMPUTED_VALUE"""),0.8)</f>
        <v>0.8</v>
      </c>
      <c r="Y320" s="42">
        <f>IFERROR(__xludf.DUMMYFUNCTION("""COMPUTED_VALUE"""),0.6)</f>
        <v>0.6</v>
      </c>
      <c r="Z320" s="9">
        <f>IFERROR(__xludf.DUMMYFUNCTION("""COMPUTED_VALUE"""),0.9)</f>
        <v>0.9</v>
      </c>
      <c r="AA320" s="181">
        <f>IFERROR(__xludf.DUMMYFUNCTION("""COMPUTED_VALUE"""),0.0)</f>
        <v>0</v>
      </c>
      <c r="AB320" s="181">
        <f>IFERROR(__xludf.DUMMYFUNCTION("""COMPUTED_VALUE"""),0.0)</f>
        <v>0</v>
      </c>
      <c r="AC320" s="179">
        <f>IFERROR(__xludf.DUMMYFUNCTION("""COMPUTED_VALUE"""),0.0)</f>
        <v>0</v>
      </c>
      <c r="AD320" s="165">
        <f>IFERROR(__xludf.DUMMYFUNCTION("""COMPUTED_VALUE"""),0.0)</f>
        <v>0</v>
      </c>
      <c r="AE320" s="39" t="str">
        <f>IFERROR(__xludf.DUMMYFUNCTION("""COMPUTED_VALUE"""),"Tatsuya Miyamoto")</f>
        <v>Tatsuya Miyamoto</v>
      </c>
      <c r="AF320" s="39" t="str">
        <f>IFERROR(__xludf.DUMMYFUNCTION("""COMPUTED_VALUE"""),"TM21Amygdala")</f>
        <v>TM21Amygdala</v>
      </c>
      <c r="AG320" s="39"/>
      <c r="AH320" s="39"/>
      <c r="AI320" s="165"/>
      <c r="AJ320" s="165"/>
      <c r="AK320" s="111"/>
      <c r="AL320" s="111"/>
      <c r="AM320" s="111"/>
      <c r="AN320" s="111"/>
      <c r="AO320" s="111"/>
      <c r="AP320" s="111"/>
      <c r="AQ320" s="116"/>
      <c r="AR320" s="116"/>
      <c r="AS320" s="116"/>
    </row>
    <row r="321">
      <c r="A321" s="42" t="str">
        <f>IFERROR(__xludf.DUMMYFUNCTION("""COMPUTED_VALUE"""),"CoP")</f>
        <v>CoP</v>
      </c>
      <c r="B321" s="42"/>
      <c r="C321" s="42"/>
      <c r="D321" s="42" t="str">
        <f>IFERROR(__xludf.DUMMYFUNCTION("""COMPUTED_VALUE"""),"EC")</f>
        <v>EC</v>
      </c>
      <c r="E321" s="42"/>
      <c r="F321" s="42"/>
      <c r="G321" s="42"/>
      <c r="H321" s="42" t="str">
        <f>IFERROR(__xludf.DUMMYFUNCTION("""COMPUTED_VALUE"""),"")</f>
        <v/>
      </c>
      <c r="I321" s="42" t="str">
        <f>IFERROR(__xludf.DUMMYFUNCTION("""COMPUTED_VALUE"""),"Pitkänen, 2000")</f>
        <v>Pitkänen, 2000</v>
      </c>
      <c r="J321" s="42" t="str">
        <f>IFERROR(__xludf.DUMMYFUNCTION("""COMPUTED_VALUE"""),"Rat")</f>
        <v>Rat</v>
      </c>
      <c r="K321" s="42" t="str">
        <f>IFERROR(__xludf.DUMMYFUNCTION("""COMPUTED_VALUE"""),"Various tracing")</f>
        <v>Various tracing</v>
      </c>
      <c r="L321" s="42"/>
      <c r="M321" s="42" t="str">
        <f>IFERROR(__xludf.DUMMYFUNCTION("""COMPUTED_VALUE"""),"fig.3-fig.12 (to be specified)")</f>
        <v>fig.3-fig.12 (to be specified)</v>
      </c>
      <c r="N321" s="42"/>
      <c r="O321" s="31" t="str">
        <f>IFERROR(__xludf.DUMMYFUNCTION("""COMPUTED_VALUE"""),"DOC(alt)")</f>
        <v>DOC(alt)</v>
      </c>
      <c r="P321" s="9" t="str">
        <f>IFERROR(__xludf.DUMMYFUNCTION("""COMPUTED_VALUE"""),"Folia morphologica")</f>
        <v>Folia morphologica</v>
      </c>
      <c r="Q321" s="9" t="str">
        <f>IFERROR(__xludf.DUMMYFUNCTION("""COMPUTED_VALUE"""),"Review")</f>
        <v>Review</v>
      </c>
      <c r="R321" s="179" t="str">
        <f>IFERROR(__xludf.DUMMYFUNCTION("""COMPUTED_VALUE"""),"EC (00/00) [Pitkänen, 2000];
")</f>
        <v>EC (00/00) [Pitkänen, 2000];
</v>
      </c>
      <c r="S321" s="179" t="str">
        <f>IFERROR(__xludf.DUMMYFUNCTION("""COMPUTED_VALUE"""),"CoPEC")</f>
        <v>CoPEC</v>
      </c>
      <c r="T321" s="179" t="str">
        <f>IFERROR(__xludf.DUMMYFUNCTION("""COMPUTED_VALUE"""),"[Pitkänen, 2000]")</f>
        <v>[Pitkänen, 2000]</v>
      </c>
      <c r="U321" s="179">
        <f>IFERROR(__xludf.DUMMYFUNCTION("""COMPUTED_VALUE"""),0.0)</f>
        <v>0</v>
      </c>
      <c r="V321" s="180">
        <f>IFERROR(__xludf.DUMMYFUNCTION("""COMPUTED_VALUE"""),0.0)</f>
        <v>0</v>
      </c>
      <c r="W321" s="180">
        <f>IFERROR(__xludf.DUMMYFUNCTION("""COMPUTED_VALUE"""),0.95)</f>
        <v>0.95</v>
      </c>
      <c r="X321" s="42">
        <f>IFERROR(__xludf.DUMMYFUNCTION("""COMPUTED_VALUE"""),0.8)</f>
        <v>0.8</v>
      </c>
      <c r="Y321" s="42">
        <f>IFERROR(__xludf.DUMMYFUNCTION("""COMPUTED_VALUE"""),0.6)</f>
        <v>0.6</v>
      </c>
      <c r="Z321" s="9">
        <f>IFERROR(__xludf.DUMMYFUNCTION("""COMPUTED_VALUE"""),0.9)</f>
        <v>0.9</v>
      </c>
      <c r="AA321" s="181">
        <f>IFERROR(__xludf.DUMMYFUNCTION("""COMPUTED_VALUE"""),0.0)</f>
        <v>0</v>
      </c>
      <c r="AB321" s="181">
        <f>IFERROR(__xludf.DUMMYFUNCTION("""COMPUTED_VALUE"""),0.0)</f>
        <v>0</v>
      </c>
      <c r="AC321" s="179">
        <f>IFERROR(__xludf.DUMMYFUNCTION("""COMPUTED_VALUE"""),0.0)</f>
        <v>0</v>
      </c>
      <c r="AD321" s="165">
        <f>IFERROR(__xludf.DUMMYFUNCTION("""COMPUTED_VALUE"""),0.0)</f>
        <v>0</v>
      </c>
      <c r="AE321" s="39" t="str">
        <f>IFERROR(__xludf.DUMMYFUNCTION("""COMPUTED_VALUE"""),"Tatsuya Miyamoto")</f>
        <v>Tatsuya Miyamoto</v>
      </c>
      <c r="AF321" s="39" t="str">
        <f>IFERROR(__xludf.DUMMYFUNCTION("""COMPUTED_VALUE"""),"TM21Amygdala")</f>
        <v>TM21Amygdala</v>
      </c>
      <c r="AG321" s="39"/>
      <c r="AH321" s="39"/>
      <c r="AI321" s="165"/>
      <c r="AJ321" s="165"/>
      <c r="AK321" s="111"/>
      <c r="AL321" s="111"/>
      <c r="AM321" s="111"/>
      <c r="AN321" s="111"/>
      <c r="AO321" s="111"/>
      <c r="AP321" s="111"/>
      <c r="AQ321" s="116"/>
      <c r="AR321" s="116"/>
      <c r="AS321" s="116"/>
    </row>
    <row r="322">
      <c r="A322" s="42" t="str">
        <f>IFERROR(__xludf.DUMMYFUNCTION("""COMPUTED_VALUE"""),"CoP")</f>
        <v>CoP</v>
      </c>
      <c r="B322" s="42"/>
      <c r="C322" s="42"/>
      <c r="D322" s="42" t="str">
        <f>IFERROR(__xludf.DUMMYFUNCTION("""COMPUTED_VALUE"""),"En")</f>
        <v>En</v>
      </c>
      <c r="E322" s="42"/>
      <c r="F322" s="42"/>
      <c r="G322" s="42"/>
      <c r="H322" s="42" t="str">
        <f>IFERROR(__xludf.DUMMYFUNCTION("""COMPUTED_VALUE"""),"")</f>
        <v/>
      </c>
      <c r="I322" s="42" t="str">
        <f>IFERROR(__xludf.DUMMYFUNCTION("""COMPUTED_VALUE"""),"Pitkänen, 2000")</f>
        <v>Pitkänen, 2000</v>
      </c>
      <c r="J322" s="42" t="str">
        <f>IFERROR(__xludf.DUMMYFUNCTION("""COMPUTED_VALUE"""),"Rat")</f>
        <v>Rat</v>
      </c>
      <c r="K322" s="42" t="str">
        <f>IFERROR(__xludf.DUMMYFUNCTION("""COMPUTED_VALUE"""),"Various tracing")</f>
        <v>Various tracing</v>
      </c>
      <c r="L322" s="42"/>
      <c r="M322" s="42" t="str">
        <f>IFERROR(__xludf.DUMMYFUNCTION("""COMPUTED_VALUE"""),"fig.3-fig.12 (to be specified)")</f>
        <v>fig.3-fig.12 (to be specified)</v>
      </c>
      <c r="N322" s="42"/>
      <c r="O322" s="31" t="str">
        <f>IFERROR(__xludf.DUMMYFUNCTION("""COMPUTED_VALUE"""),"DOC(alt)")</f>
        <v>DOC(alt)</v>
      </c>
      <c r="P322" s="9" t="str">
        <f>IFERROR(__xludf.DUMMYFUNCTION("""COMPUTED_VALUE"""),"Folia morphologica")</f>
        <v>Folia morphologica</v>
      </c>
      <c r="Q322" s="9" t="str">
        <f>IFERROR(__xludf.DUMMYFUNCTION("""COMPUTED_VALUE"""),"Review")</f>
        <v>Review</v>
      </c>
      <c r="R322" s="179" t="str">
        <f>IFERROR(__xludf.DUMMYFUNCTION("""COMPUTED_VALUE"""),"En (00/00) [Pitkänen, 2000];
")</f>
        <v>En (00/00) [Pitkänen, 2000];
</v>
      </c>
      <c r="S322" s="179" t="str">
        <f>IFERROR(__xludf.DUMMYFUNCTION("""COMPUTED_VALUE"""),"CoPEn")</f>
        <v>CoPEn</v>
      </c>
      <c r="T322" s="179" t="str">
        <f>IFERROR(__xludf.DUMMYFUNCTION("""COMPUTED_VALUE"""),"[Pitkänen, 2000]")</f>
        <v>[Pitkänen, 2000]</v>
      </c>
      <c r="U322" s="179">
        <f>IFERROR(__xludf.DUMMYFUNCTION("""COMPUTED_VALUE"""),0.0)</f>
        <v>0</v>
      </c>
      <c r="V322" s="180">
        <f>IFERROR(__xludf.DUMMYFUNCTION("""COMPUTED_VALUE"""),0.0)</f>
        <v>0</v>
      </c>
      <c r="W322" s="180">
        <f>IFERROR(__xludf.DUMMYFUNCTION("""COMPUTED_VALUE"""),0.95)</f>
        <v>0.95</v>
      </c>
      <c r="X322" s="42">
        <f>IFERROR(__xludf.DUMMYFUNCTION("""COMPUTED_VALUE"""),0.8)</f>
        <v>0.8</v>
      </c>
      <c r="Y322" s="42">
        <f>IFERROR(__xludf.DUMMYFUNCTION("""COMPUTED_VALUE"""),0.6)</f>
        <v>0.6</v>
      </c>
      <c r="Z322" s="9">
        <f>IFERROR(__xludf.DUMMYFUNCTION("""COMPUTED_VALUE"""),0.9)</f>
        <v>0.9</v>
      </c>
      <c r="AA322" s="181">
        <f>IFERROR(__xludf.DUMMYFUNCTION("""COMPUTED_VALUE"""),0.0)</f>
        <v>0</v>
      </c>
      <c r="AB322" s="181">
        <f>IFERROR(__xludf.DUMMYFUNCTION("""COMPUTED_VALUE"""),0.0)</f>
        <v>0</v>
      </c>
      <c r="AC322" s="179">
        <f>IFERROR(__xludf.DUMMYFUNCTION("""COMPUTED_VALUE"""),0.0)</f>
        <v>0</v>
      </c>
      <c r="AD322" s="165">
        <f>IFERROR(__xludf.DUMMYFUNCTION("""COMPUTED_VALUE"""),0.0)</f>
        <v>0</v>
      </c>
      <c r="AE322" s="39" t="str">
        <f>IFERROR(__xludf.DUMMYFUNCTION("""COMPUTED_VALUE"""),"Tatsuya Miyamoto")</f>
        <v>Tatsuya Miyamoto</v>
      </c>
      <c r="AF322" s="39" t="str">
        <f>IFERROR(__xludf.DUMMYFUNCTION("""COMPUTED_VALUE"""),"TM21Amygdala")</f>
        <v>TM21Amygdala</v>
      </c>
      <c r="AG322" s="39"/>
      <c r="AH322" s="39"/>
      <c r="AI322" s="165"/>
      <c r="AJ322" s="165"/>
      <c r="AK322" s="111"/>
      <c r="AL322" s="111"/>
      <c r="AM322" s="111"/>
      <c r="AN322" s="111"/>
      <c r="AO322" s="111"/>
      <c r="AP322" s="111"/>
      <c r="AQ322" s="116"/>
      <c r="AR322" s="116"/>
      <c r="AS322" s="116"/>
    </row>
    <row r="323">
      <c r="A323" s="42" t="str">
        <f>IFERROR(__xludf.DUMMYFUNCTION("""COMPUTED_VALUE"""),"CoP")</f>
        <v>CoP</v>
      </c>
      <c r="B323" s="42"/>
      <c r="C323" s="42"/>
      <c r="D323" s="42" t="str">
        <f>IFERROR(__xludf.DUMMYFUNCTION("""COMPUTED_VALUE"""),"Pir")</f>
        <v>Pir</v>
      </c>
      <c r="E323" s="42"/>
      <c r="F323" s="42"/>
      <c r="G323" s="42"/>
      <c r="H323" s="42" t="str">
        <f>IFERROR(__xludf.DUMMYFUNCTION("""COMPUTED_VALUE"""),"")</f>
        <v/>
      </c>
      <c r="I323" s="42" t="str">
        <f>IFERROR(__xludf.DUMMYFUNCTION("""COMPUTED_VALUE"""),"Pitkänen, 2000")</f>
        <v>Pitkänen, 2000</v>
      </c>
      <c r="J323" s="42" t="str">
        <f>IFERROR(__xludf.DUMMYFUNCTION("""COMPUTED_VALUE"""),"Rat")</f>
        <v>Rat</v>
      </c>
      <c r="K323" s="42" t="str">
        <f>IFERROR(__xludf.DUMMYFUNCTION("""COMPUTED_VALUE"""),"Various tracing")</f>
        <v>Various tracing</v>
      </c>
      <c r="L323" s="42"/>
      <c r="M323" s="42" t="str">
        <f>IFERROR(__xludf.DUMMYFUNCTION("""COMPUTED_VALUE"""),"fig.3-fig.12 (to be specified)")</f>
        <v>fig.3-fig.12 (to be specified)</v>
      </c>
      <c r="N323" s="42"/>
      <c r="O323" s="31" t="str">
        <f>IFERROR(__xludf.DUMMYFUNCTION("""COMPUTED_VALUE"""),"DOC(alt)")</f>
        <v>DOC(alt)</v>
      </c>
      <c r="P323" s="9" t="str">
        <f>IFERROR(__xludf.DUMMYFUNCTION("""COMPUTED_VALUE"""),"Folia morphologica")</f>
        <v>Folia morphologica</v>
      </c>
      <c r="Q323" s="9" t="str">
        <f>IFERROR(__xludf.DUMMYFUNCTION("""COMPUTED_VALUE"""),"Review")</f>
        <v>Review</v>
      </c>
      <c r="R323" s="179" t="str">
        <f>IFERROR(__xludf.DUMMYFUNCTION("""COMPUTED_VALUE"""),"Pir (00/00) [Pitkänen, 2000];
")</f>
        <v>Pir (00/00) [Pitkänen, 2000];
</v>
      </c>
      <c r="S323" s="179" t="str">
        <f>IFERROR(__xludf.DUMMYFUNCTION("""COMPUTED_VALUE"""),"CoPPir")</f>
        <v>CoPPir</v>
      </c>
      <c r="T323" s="179" t="str">
        <f>IFERROR(__xludf.DUMMYFUNCTION("""COMPUTED_VALUE"""),"[Pitkänen, 2000]")</f>
        <v>[Pitkänen, 2000]</v>
      </c>
      <c r="U323" s="179">
        <f>IFERROR(__xludf.DUMMYFUNCTION("""COMPUTED_VALUE"""),0.0)</f>
        <v>0</v>
      </c>
      <c r="V323" s="180">
        <f>IFERROR(__xludf.DUMMYFUNCTION("""COMPUTED_VALUE"""),0.0)</f>
        <v>0</v>
      </c>
      <c r="W323" s="180">
        <f>IFERROR(__xludf.DUMMYFUNCTION("""COMPUTED_VALUE"""),0.95)</f>
        <v>0.95</v>
      </c>
      <c r="X323" s="42">
        <f>IFERROR(__xludf.DUMMYFUNCTION("""COMPUTED_VALUE"""),0.8)</f>
        <v>0.8</v>
      </c>
      <c r="Y323" s="42">
        <f>IFERROR(__xludf.DUMMYFUNCTION("""COMPUTED_VALUE"""),0.6)</f>
        <v>0.6</v>
      </c>
      <c r="Z323" s="9">
        <f>IFERROR(__xludf.DUMMYFUNCTION("""COMPUTED_VALUE"""),0.9)</f>
        <v>0.9</v>
      </c>
      <c r="AA323" s="181">
        <f>IFERROR(__xludf.DUMMYFUNCTION("""COMPUTED_VALUE"""),0.0)</f>
        <v>0</v>
      </c>
      <c r="AB323" s="181">
        <f>IFERROR(__xludf.DUMMYFUNCTION("""COMPUTED_VALUE"""),0.0)</f>
        <v>0</v>
      </c>
      <c r="AC323" s="179">
        <f>IFERROR(__xludf.DUMMYFUNCTION("""COMPUTED_VALUE"""),0.0)</f>
        <v>0</v>
      </c>
      <c r="AD323" s="165">
        <f>IFERROR(__xludf.DUMMYFUNCTION("""COMPUTED_VALUE"""),0.0)</f>
        <v>0</v>
      </c>
      <c r="AE323" s="39" t="str">
        <f>IFERROR(__xludf.DUMMYFUNCTION("""COMPUTED_VALUE"""),"Tatsuya Miyamoto")</f>
        <v>Tatsuya Miyamoto</v>
      </c>
      <c r="AF323" s="39" t="str">
        <f>IFERROR(__xludf.DUMMYFUNCTION("""COMPUTED_VALUE"""),"TM21Amygdala")</f>
        <v>TM21Amygdala</v>
      </c>
      <c r="AG323" s="39"/>
      <c r="AH323" s="39"/>
      <c r="AI323" s="165"/>
      <c r="AJ323" s="165"/>
      <c r="AK323" s="111"/>
      <c r="AL323" s="111"/>
      <c r="AM323" s="111"/>
      <c r="AN323" s="111"/>
      <c r="AO323" s="111"/>
      <c r="AP323" s="111"/>
      <c r="AQ323" s="116"/>
      <c r="AR323" s="116"/>
      <c r="AS323" s="116"/>
    </row>
    <row r="324">
      <c r="A324" s="42" t="str">
        <f>IFERROR(__xludf.DUMMYFUNCTION("""COMPUTED_VALUE"""),"cSCI")</f>
        <v>cSCI</v>
      </c>
      <c r="B324" s="42"/>
      <c r="C324" s="42"/>
      <c r="D324" s="42" t="str">
        <f>IFERROR(__xludf.DUMMYFUNCTION("""COMPUTED_VALUE"""),"vcMRF")</f>
        <v>vcMRF</v>
      </c>
      <c r="E324" s="42"/>
      <c r="F324" s="42"/>
      <c r="G324" s="42"/>
      <c r="H324" s="42" t="str">
        <f>IFERROR(__xludf.DUMMYFUNCTION("""COMPUTED_VALUE"""),"")</f>
        <v/>
      </c>
      <c r="I324" s="42" t="str">
        <f>IFERROR(__xludf.DUMMYFUNCTION("""COMPUTED_VALUE"""),"Cohen, 1984")</f>
        <v>Cohen, 1984</v>
      </c>
      <c r="J324" s="42"/>
      <c r="K324" s="42"/>
      <c r="L324" s="42"/>
      <c r="M324" s="42"/>
      <c r="N324" s="42"/>
      <c r="O324" s="31" t="str">
        <f>IFERROR(__xludf.DUMMYFUNCTION("""COMPUTED_VALUE"""),"DOC")</f>
        <v>DOC</v>
      </c>
      <c r="P324" s="9" t="str">
        <f>IFERROR(__xludf.DUMMYFUNCTION("""COMPUTED_VALUE"""),"Experimental Brain Research")</f>
        <v>Experimental Brain Research</v>
      </c>
      <c r="Q324" s="9"/>
      <c r="R324" s="179" t="str">
        <f>IFERROR(__xludf.DUMMYFUNCTION("""COMPUTED_VALUE"""),"vcMRF (00/00) [Cohen, 1984];
")</f>
        <v>vcMRF (00/00) [Cohen, 1984];
</v>
      </c>
      <c r="S324" s="179" t="str">
        <f>IFERROR(__xludf.DUMMYFUNCTION("""COMPUTED_VALUE"""),"cSCIvcMRF")</f>
        <v>cSCIvcMRF</v>
      </c>
      <c r="T324" s="179" t="str">
        <f>IFERROR(__xludf.DUMMYFUNCTION("""COMPUTED_VALUE"""),"[Cohen, 1984]")</f>
        <v>[Cohen, 1984]</v>
      </c>
      <c r="U324" s="179">
        <f>IFERROR(__xludf.DUMMYFUNCTION("""COMPUTED_VALUE"""),0.0)</f>
        <v>0</v>
      </c>
      <c r="V324" s="180">
        <f>IFERROR(__xludf.DUMMYFUNCTION("""COMPUTED_VALUE"""),0.0)</f>
        <v>0</v>
      </c>
      <c r="W324" s="180">
        <f>IFERROR(__xludf.DUMMYFUNCTION("""COMPUTED_VALUE"""),0.95)</f>
        <v>0.95</v>
      </c>
      <c r="X324" s="42">
        <f>IFERROR(__xludf.DUMMYFUNCTION("""COMPUTED_VALUE"""),0.0)</f>
        <v>0</v>
      </c>
      <c r="Y324" s="42">
        <f>IFERROR(__xludf.DUMMYFUNCTION("""COMPUTED_VALUE"""),0.0)</f>
        <v>0</v>
      </c>
      <c r="Z324" s="9">
        <f>IFERROR(__xludf.DUMMYFUNCTION("""COMPUTED_VALUE"""),0.0)</f>
        <v>0</v>
      </c>
      <c r="AA324" s="181">
        <f>IFERROR(__xludf.DUMMYFUNCTION("""COMPUTED_VALUE"""),0.0)</f>
        <v>0</v>
      </c>
      <c r="AB324" s="181">
        <f>IFERROR(__xludf.DUMMYFUNCTION("""COMPUTED_VALUE"""),0.0)</f>
        <v>0</v>
      </c>
      <c r="AC324" s="179">
        <f>IFERROR(__xludf.DUMMYFUNCTION("""COMPUTED_VALUE"""),0.0)</f>
        <v>0</v>
      </c>
      <c r="AD324" s="165">
        <f>IFERROR(__xludf.DUMMYFUNCTION("""COMPUTED_VALUE"""),0.0)</f>
        <v>0</v>
      </c>
      <c r="AE324" s="39" t="str">
        <f>IFERROR(__xludf.DUMMYFUNCTION("""COMPUTED_VALUE"""),"Yoshimasa Tawatsuji")</f>
        <v>Yoshimasa Tawatsuji</v>
      </c>
      <c r="AF324" s="39" t="str">
        <f>IFERROR(__xludf.DUMMYFUNCTION("""COMPUTED_VALUE"""),"Oculomotor")</f>
        <v>Oculomotor</v>
      </c>
      <c r="AG324" s="39"/>
      <c r="AH324" s="39"/>
      <c r="AI324" s="165"/>
      <c r="AJ324" s="165"/>
      <c r="AK324" s="111"/>
      <c r="AL324" s="111"/>
      <c r="AM324" s="111"/>
      <c r="AN324" s="111"/>
      <c r="AO324" s="111"/>
      <c r="AP324" s="111"/>
      <c r="AQ324" s="116"/>
      <c r="AR324" s="116"/>
      <c r="AS324" s="116"/>
    </row>
    <row r="325">
      <c r="A325" s="42" t="str">
        <f>IFERROR(__xludf.DUMMYFUNCTION("""COMPUTED_VALUE"""),"cSCI")</f>
        <v>cSCI</v>
      </c>
      <c r="B325" s="42"/>
      <c r="C325" s="42"/>
      <c r="D325" s="42" t="str">
        <f>IFERROR(__xludf.DUMMYFUNCTION("""COMPUTED_VALUE"""),"PTg")</f>
        <v>PTg</v>
      </c>
      <c r="E325" s="42"/>
      <c r="F325" s="42"/>
      <c r="G325" s="42"/>
      <c r="H325" s="42" t="str">
        <f>IFERROR(__xludf.DUMMYFUNCTION("""COMPUTED_VALUE"""),"")</f>
        <v/>
      </c>
      <c r="I325" s="42" t="str">
        <f>IFERROR(__xludf.DUMMYFUNCTION("""COMPUTED_VALUE"""),"Kheradmand, 2011")</f>
        <v>Kheradmand, 2011</v>
      </c>
      <c r="J325" s="42"/>
      <c r="K325" s="42"/>
      <c r="L325" s="42"/>
      <c r="M325" s="42"/>
      <c r="N325" s="42"/>
      <c r="O325" s="31" t="str">
        <f>IFERROR(__xludf.DUMMYFUNCTION("""COMPUTED_VALUE"""),"DOC")</f>
        <v>DOC</v>
      </c>
      <c r="P325" s="9" t="str">
        <f>IFERROR(__xludf.DUMMYFUNCTION("""COMPUTED_VALUE"""),"Frontiers in Neurology")</f>
        <v>Frontiers in Neurology</v>
      </c>
      <c r="Q325" s="9"/>
      <c r="R325" s="179" t="str">
        <f>IFERROR(__xludf.DUMMYFUNCTION("""COMPUTED_VALUE"""),"PTg (00/00) [Kheradmand, 2011];
")</f>
        <v>PTg (00/00) [Kheradmand, 2011];
</v>
      </c>
      <c r="S325" s="179" t="str">
        <f>IFERROR(__xludf.DUMMYFUNCTION("""COMPUTED_VALUE"""),"cSCIPTg")</f>
        <v>cSCIPTg</v>
      </c>
      <c r="T325" s="179" t="str">
        <f>IFERROR(__xludf.DUMMYFUNCTION("""COMPUTED_VALUE"""),"[Kheradmand, 2011]")</f>
        <v>[Kheradmand, 2011]</v>
      </c>
      <c r="U325" s="179">
        <f>IFERROR(__xludf.DUMMYFUNCTION("""COMPUTED_VALUE"""),0.0)</f>
        <v>0</v>
      </c>
      <c r="V325" s="180">
        <f>IFERROR(__xludf.DUMMYFUNCTION("""COMPUTED_VALUE"""),0.0)</f>
        <v>0</v>
      </c>
      <c r="W325" s="180">
        <f>IFERROR(__xludf.DUMMYFUNCTION("""COMPUTED_VALUE"""),0.95)</f>
        <v>0.95</v>
      </c>
      <c r="X325" s="42">
        <f>IFERROR(__xludf.DUMMYFUNCTION("""COMPUTED_VALUE"""),0.0)</f>
        <v>0</v>
      </c>
      <c r="Y325" s="42">
        <f>IFERROR(__xludf.DUMMYFUNCTION("""COMPUTED_VALUE"""),0.0)</f>
        <v>0</v>
      </c>
      <c r="Z325" s="9">
        <f>IFERROR(__xludf.DUMMYFUNCTION("""COMPUTED_VALUE"""),0.0)</f>
        <v>0</v>
      </c>
      <c r="AA325" s="181">
        <f>IFERROR(__xludf.DUMMYFUNCTION("""COMPUTED_VALUE"""),0.0)</f>
        <v>0</v>
      </c>
      <c r="AB325" s="181">
        <f>IFERROR(__xludf.DUMMYFUNCTION("""COMPUTED_VALUE"""),0.0)</f>
        <v>0</v>
      </c>
      <c r="AC325" s="179">
        <f>IFERROR(__xludf.DUMMYFUNCTION("""COMPUTED_VALUE"""),0.0)</f>
        <v>0</v>
      </c>
      <c r="AD325" s="165">
        <f>IFERROR(__xludf.DUMMYFUNCTION("""COMPUTED_VALUE"""),0.0)</f>
        <v>0</v>
      </c>
      <c r="AE325" s="39" t="str">
        <f>IFERROR(__xludf.DUMMYFUNCTION("""COMPUTED_VALUE"""),"Yoshimasa Tawatsuji")</f>
        <v>Yoshimasa Tawatsuji</v>
      </c>
      <c r="AF325" s="39" t="str">
        <f>IFERROR(__xludf.DUMMYFUNCTION("""COMPUTED_VALUE"""),"Oculomotor")</f>
        <v>Oculomotor</v>
      </c>
      <c r="AG325" s="39"/>
      <c r="AH325" s="39"/>
      <c r="AI325" s="165"/>
      <c r="AJ325" s="165"/>
      <c r="AK325" s="111"/>
      <c r="AL325" s="111"/>
      <c r="AM325" s="111"/>
      <c r="AN325" s="111"/>
      <c r="AO325" s="111"/>
      <c r="AP325" s="111"/>
      <c r="AQ325" s="116"/>
      <c r="AR325" s="116"/>
      <c r="AS325" s="116"/>
    </row>
    <row r="326">
      <c r="A326" s="42" t="str">
        <f>IFERROR(__xludf.DUMMYFUNCTION("""COMPUTED_VALUE"""),"cSCI")</f>
        <v>cSCI</v>
      </c>
      <c r="B326" s="42"/>
      <c r="C326" s="42"/>
      <c r="D326" s="42" t="str">
        <f>IFERROR(__xludf.DUMMYFUNCTION("""COMPUTED_VALUE"""),"FF")</f>
        <v>FF</v>
      </c>
      <c r="E326" s="42"/>
      <c r="F326" s="42"/>
      <c r="G326" s="42"/>
      <c r="H326" s="42" t="str">
        <f>IFERROR(__xludf.DUMMYFUNCTION("""COMPUTED_VALUE"""),"")</f>
        <v/>
      </c>
      <c r="I326" s="42" t="str">
        <f>IFERROR(__xludf.DUMMYFUNCTION("""COMPUTED_VALUE"""),"Takahashi, 2018")</f>
        <v>Takahashi, 2018</v>
      </c>
      <c r="J326" s="42"/>
      <c r="K326" s="42"/>
      <c r="L326" s="42"/>
      <c r="M326" s="42"/>
      <c r="N326" s="42"/>
      <c r="O326" s="31" t="str">
        <f>IFERROR(__xludf.DUMMYFUNCTION("""COMPUTED_VALUE"""),"DOC")</f>
        <v>DOC</v>
      </c>
      <c r="P326" s="9" t="str">
        <f>IFERROR(__xludf.DUMMYFUNCTION("""COMPUTED_VALUE"""),"Neuroscience")</f>
        <v>Neuroscience</v>
      </c>
      <c r="Q326" s="9"/>
      <c r="R326" s="179" t="str">
        <f>IFERROR(__xludf.DUMMYFUNCTION("""COMPUTED_VALUE"""),"FF (00/00) [Takahashi, 2018];
")</f>
        <v>FF (00/00) [Takahashi, 2018];
</v>
      </c>
      <c r="S326" s="179" t="str">
        <f>IFERROR(__xludf.DUMMYFUNCTION("""COMPUTED_VALUE"""),"cSCIFF")</f>
        <v>cSCIFF</v>
      </c>
      <c r="T326" s="179" t="str">
        <f>IFERROR(__xludf.DUMMYFUNCTION("""COMPUTED_VALUE"""),"[Takahashi, 2018]")</f>
        <v>[Takahashi, 2018]</v>
      </c>
      <c r="U326" s="179">
        <f>IFERROR(__xludf.DUMMYFUNCTION("""COMPUTED_VALUE"""),0.0)</f>
        <v>0</v>
      </c>
      <c r="V326" s="180">
        <f>IFERROR(__xludf.DUMMYFUNCTION("""COMPUTED_VALUE"""),0.0)</f>
        <v>0</v>
      </c>
      <c r="W326" s="180">
        <f>IFERROR(__xludf.DUMMYFUNCTION("""COMPUTED_VALUE"""),0.95)</f>
        <v>0.95</v>
      </c>
      <c r="X326" s="42">
        <f>IFERROR(__xludf.DUMMYFUNCTION("""COMPUTED_VALUE"""),0.0)</f>
        <v>0</v>
      </c>
      <c r="Y326" s="42">
        <f>IFERROR(__xludf.DUMMYFUNCTION("""COMPUTED_VALUE"""),0.0)</f>
        <v>0</v>
      </c>
      <c r="Z326" s="9">
        <f>IFERROR(__xludf.DUMMYFUNCTION("""COMPUTED_VALUE"""),0.0)</f>
        <v>0</v>
      </c>
      <c r="AA326" s="181">
        <f>IFERROR(__xludf.DUMMYFUNCTION("""COMPUTED_VALUE"""),0.0)</f>
        <v>0</v>
      </c>
      <c r="AB326" s="181">
        <f>IFERROR(__xludf.DUMMYFUNCTION("""COMPUTED_VALUE"""),0.0)</f>
        <v>0</v>
      </c>
      <c r="AC326" s="179">
        <f>IFERROR(__xludf.DUMMYFUNCTION("""COMPUTED_VALUE"""),0.0)</f>
        <v>0</v>
      </c>
      <c r="AD326" s="165">
        <f>IFERROR(__xludf.DUMMYFUNCTION("""COMPUTED_VALUE"""),0.0)</f>
        <v>0</v>
      </c>
      <c r="AE326" s="39" t="str">
        <f>IFERROR(__xludf.DUMMYFUNCTION("""COMPUTED_VALUE"""),"Yoshimasa Tawatsuji")</f>
        <v>Yoshimasa Tawatsuji</v>
      </c>
      <c r="AF326" s="39" t="str">
        <f>IFERROR(__xludf.DUMMYFUNCTION("""COMPUTED_VALUE"""),"Oculomotor")</f>
        <v>Oculomotor</v>
      </c>
      <c r="AG326" s="39"/>
      <c r="AH326" s="39"/>
      <c r="AI326" s="165"/>
      <c r="AJ326" s="165"/>
      <c r="AK326" s="111"/>
      <c r="AL326" s="111"/>
      <c r="AM326" s="111"/>
      <c r="AN326" s="111"/>
      <c r="AO326" s="111"/>
      <c r="AP326" s="111"/>
      <c r="AQ326" s="116"/>
      <c r="AR326" s="116"/>
      <c r="AS326" s="116"/>
    </row>
    <row r="327">
      <c r="A327" s="42" t="str">
        <f>IFERROR(__xludf.DUMMYFUNCTION("""COMPUTED_VALUE"""),"cSCI")</f>
        <v>cSCI</v>
      </c>
      <c r="B327" s="42"/>
      <c r="C327" s="42"/>
      <c r="D327" s="42" t="str">
        <f>IFERROR(__xludf.DUMMYFUNCTION("""COMPUTED_VALUE"""),"PPRF")</f>
        <v>PPRF</v>
      </c>
      <c r="E327" s="42"/>
      <c r="F327" s="42"/>
      <c r="G327" s="42"/>
      <c r="H327" s="42" t="str">
        <f>IFERROR(__xludf.DUMMYFUNCTION("""COMPUTED_VALUE"""),"")</f>
        <v/>
      </c>
      <c r="I327" s="42" t="str">
        <f>IFERROR(__xludf.DUMMYFUNCTION("""COMPUTED_VALUE"""),"Takahashi, 2018")</f>
        <v>Takahashi, 2018</v>
      </c>
      <c r="J327" s="42"/>
      <c r="K327" s="42"/>
      <c r="L327" s="42"/>
      <c r="M327" s="42"/>
      <c r="N327" s="42"/>
      <c r="O327" s="31" t="str">
        <f>IFERROR(__xludf.DUMMYFUNCTION("""COMPUTED_VALUE"""),"DOC")</f>
        <v>DOC</v>
      </c>
      <c r="P327" s="9" t="str">
        <f>IFERROR(__xludf.DUMMYFUNCTION("""COMPUTED_VALUE"""),"Neuroscience")</f>
        <v>Neuroscience</v>
      </c>
      <c r="Q327" s="9"/>
      <c r="R327" s="179" t="str">
        <f>IFERROR(__xludf.DUMMYFUNCTION("""COMPUTED_VALUE"""),"PPRF (00/00) [Takahashi, 2018];
")</f>
        <v>PPRF (00/00) [Takahashi, 2018];
</v>
      </c>
      <c r="S327" s="179" t="str">
        <f>IFERROR(__xludf.DUMMYFUNCTION("""COMPUTED_VALUE"""),"cSCIPPRF")</f>
        <v>cSCIPPRF</v>
      </c>
      <c r="T327" s="179" t="str">
        <f>IFERROR(__xludf.DUMMYFUNCTION("""COMPUTED_VALUE"""),"[Takahashi, 2018]")</f>
        <v>[Takahashi, 2018]</v>
      </c>
      <c r="U327" s="179">
        <f>IFERROR(__xludf.DUMMYFUNCTION("""COMPUTED_VALUE"""),0.0)</f>
        <v>0</v>
      </c>
      <c r="V327" s="180">
        <f>IFERROR(__xludf.DUMMYFUNCTION("""COMPUTED_VALUE"""),0.0)</f>
        <v>0</v>
      </c>
      <c r="W327" s="180">
        <f>IFERROR(__xludf.DUMMYFUNCTION("""COMPUTED_VALUE"""),0.95)</f>
        <v>0.95</v>
      </c>
      <c r="X327" s="42">
        <f>IFERROR(__xludf.DUMMYFUNCTION("""COMPUTED_VALUE"""),0.0)</f>
        <v>0</v>
      </c>
      <c r="Y327" s="42">
        <f>IFERROR(__xludf.DUMMYFUNCTION("""COMPUTED_VALUE"""),0.0)</f>
        <v>0</v>
      </c>
      <c r="Z327" s="9">
        <f>IFERROR(__xludf.DUMMYFUNCTION("""COMPUTED_VALUE"""),0.0)</f>
        <v>0</v>
      </c>
      <c r="AA327" s="181">
        <f>IFERROR(__xludf.DUMMYFUNCTION("""COMPUTED_VALUE"""),0.0)</f>
        <v>0</v>
      </c>
      <c r="AB327" s="181">
        <f>IFERROR(__xludf.DUMMYFUNCTION("""COMPUTED_VALUE"""),0.0)</f>
        <v>0</v>
      </c>
      <c r="AC327" s="179">
        <f>IFERROR(__xludf.DUMMYFUNCTION("""COMPUTED_VALUE"""),0.0)</f>
        <v>0</v>
      </c>
      <c r="AD327" s="165">
        <f>IFERROR(__xludf.DUMMYFUNCTION("""COMPUTED_VALUE"""),0.0)</f>
        <v>0</v>
      </c>
      <c r="AE327" s="39" t="str">
        <f>IFERROR(__xludf.DUMMYFUNCTION("""COMPUTED_VALUE"""),"Yoshimasa Tawatsuji")</f>
        <v>Yoshimasa Tawatsuji</v>
      </c>
      <c r="AF327" s="39" t="str">
        <f>IFERROR(__xludf.DUMMYFUNCTION("""COMPUTED_VALUE"""),"Oculomotor")</f>
        <v>Oculomotor</v>
      </c>
      <c r="AG327" s="39"/>
      <c r="AH327" s="39"/>
      <c r="AI327" s="165"/>
      <c r="AJ327" s="165"/>
      <c r="AK327" s="111"/>
      <c r="AL327" s="111"/>
      <c r="AM327" s="111"/>
      <c r="AN327" s="111"/>
      <c r="AO327" s="111"/>
      <c r="AP327" s="111"/>
      <c r="AQ327" s="116"/>
      <c r="AR327" s="116"/>
      <c r="AS327" s="116"/>
    </row>
    <row r="328">
      <c r="A328" s="42" t="str">
        <f>IFERROR(__xludf.DUMMYFUNCTION("""COMPUTED_VALUE"""),"Cx.L5")</f>
        <v>Cx.L5</v>
      </c>
      <c r="B328" s="42"/>
      <c r="C328" s="42"/>
      <c r="D328" s="42" t="str">
        <f>IFERROR(__xludf.DUMMYFUNCTION("""COMPUTED_VALUE"""),"STR")</f>
        <v>STR</v>
      </c>
      <c r="E328" s="42"/>
      <c r="F328" s="42"/>
      <c r="G328" s="42"/>
      <c r="H328" s="42"/>
      <c r="I328" s="42" t="str">
        <f>IFERROR(__xludf.DUMMYFUNCTION("""COMPUTED_VALUE"""),"")</f>
        <v/>
      </c>
      <c r="J328" s="42"/>
      <c r="K328" s="42"/>
      <c r="L328" s="42"/>
      <c r="M328" s="42"/>
      <c r="N328" s="42"/>
      <c r="O328" s="31"/>
      <c r="P328" s="9"/>
      <c r="Q328" s="9"/>
      <c r="R328" s="179" t="str">
        <f>IFERROR(__xludf.DUMMYFUNCTION("""COMPUTED_VALUE"""),"#REF!")</f>
        <v>#REF!</v>
      </c>
      <c r="S328" s="179" t="str">
        <f>IFERROR(__xludf.DUMMYFUNCTION("""COMPUTED_VALUE"""),"Cx.L5STR")</f>
        <v>Cx.L5STR</v>
      </c>
      <c r="T328" s="179" t="str">
        <f>IFERROR(__xludf.DUMMYFUNCTION("""COMPUTED_VALUE"""),"[]")</f>
        <v>[]</v>
      </c>
      <c r="U328" s="179">
        <f>IFERROR(__xludf.DUMMYFUNCTION("""COMPUTED_VALUE"""),0.0)</f>
        <v>0</v>
      </c>
      <c r="V328" s="180">
        <f>IFERROR(__xludf.DUMMYFUNCTION("""COMPUTED_VALUE"""),0.0)</f>
        <v>0</v>
      </c>
      <c r="W328" s="180" t="str">
        <f>IFERROR(__xludf.DUMMYFUNCTION("""COMPUTED_VALUE"""),"#REF!")</f>
        <v>#REF!</v>
      </c>
      <c r="X328" s="42">
        <f>IFERROR(__xludf.DUMMYFUNCTION("""COMPUTED_VALUE"""),0.0)</f>
        <v>0</v>
      </c>
      <c r="Y328" s="42">
        <f>IFERROR(__xludf.DUMMYFUNCTION("""COMPUTED_VALUE"""),0.0)</f>
        <v>0</v>
      </c>
      <c r="Z328" s="9">
        <f>IFERROR(__xludf.DUMMYFUNCTION("""COMPUTED_VALUE"""),0.0)</f>
        <v>0</v>
      </c>
      <c r="AA328" s="181" t="str">
        <f>IFERROR(__xludf.DUMMYFUNCTION("""COMPUTED_VALUE"""),"#REF!")</f>
        <v>#REF!</v>
      </c>
      <c r="AB328" s="181" t="str">
        <f>IFERROR(__xludf.DUMMYFUNCTION("""COMPUTED_VALUE"""),"#REF!")</f>
        <v>#REF!</v>
      </c>
      <c r="AC328" s="179" t="str">
        <f>IFERROR(__xludf.DUMMYFUNCTION("""COMPUTED_VALUE"""),"#REF!")</f>
        <v>#REF!</v>
      </c>
      <c r="AD328" s="165" t="str">
        <f>IFERROR(__xludf.DUMMYFUNCTION("""COMPUTED_VALUE"""),"#REF!")</f>
        <v>#REF!</v>
      </c>
      <c r="AE328" s="39" t="str">
        <f>IFERROR(__xludf.DUMMYFUNCTION("""COMPUTED_VALUE"""),"Hiroshi Yamakawa")</f>
        <v>Hiroshi Yamakawa</v>
      </c>
      <c r="AF328" s="39" t="str">
        <f>IFERROR(__xludf.DUMMYFUNCTION("""COMPUTED_VALUE"""),"HY20Cerebellum")</f>
        <v>HY20Cerebellum</v>
      </c>
      <c r="AG328" s="39"/>
      <c r="AH328" s="39"/>
      <c r="AI328" s="165"/>
      <c r="AJ328" s="165"/>
      <c r="AK328" s="111"/>
      <c r="AL328" s="111"/>
      <c r="AM328" s="111"/>
      <c r="AN328" s="111"/>
      <c r="AO328" s="111"/>
      <c r="AP328" s="111"/>
      <c r="AQ328" s="116"/>
      <c r="AR328" s="116"/>
      <c r="AS328" s="116"/>
    </row>
    <row r="329">
      <c r="A329" s="42" t="str">
        <f>IFERROR(__xludf.DUMMYFUNCTION("""COMPUTED_VALUE"""),"Cx.L5")</f>
        <v>Cx.L5</v>
      </c>
      <c r="B329" s="42"/>
      <c r="C329" s="42"/>
      <c r="D329" s="42" t="str">
        <f>IFERROR(__xludf.DUMMYFUNCTION("""COMPUTED_VALUE"""),"STH")</f>
        <v>STH</v>
      </c>
      <c r="E329" s="42"/>
      <c r="F329" s="42"/>
      <c r="G329" s="42"/>
      <c r="H329" s="42"/>
      <c r="I329" s="42"/>
      <c r="J329" s="42"/>
      <c r="K329" s="42"/>
      <c r="L329" s="42"/>
      <c r="M329" s="42"/>
      <c r="N329" s="42"/>
      <c r="O329" s="31"/>
      <c r="P329" s="9"/>
      <c r="Q329" s="9"/>
      <c r="R329" s="179" t="str">
        <f>IFERROR(__xludf.DUMMYFUNCTION("""COMPUTED_VALUE"""),"#REF!")</f>
        <v>#REF!</v>
      </c>
      <c r="S329" s="179" t="str">
        <f>IFERROR(__xludf.DUMMYFUNCTION("""COMPUTED_VALUE"""),"Cx.L5STH")</f>
        <v>Cx.L5STH</v>
      </c>
      <c r="T329" s="179" t="str">
        <f>IFERROR(__xludf.DUMMYFUNCTION("""COMPUTED_VALUE"""),"[]")</f>
        <v>[]</v>
      </c>
      <c r="U329" s="179">
        <f>IFERROR(__xludf.DUMMYFUNCTION("""COMPUTED_VALUE"""),0.0)</f>
        <v>0</v>
      </c>
      <c r="V329" s="180">
        <f>IFERROR(__xludf.DUMMYFUNCTION("""COMPUTED_VALUE"""),0.0)</f>
        <v>0</v>
      </c>
      <c r="W329" s="180" t="str">
        <f>IFERROR(__xludf.DUMMYFUNCTION("""COMPUTED_VALUE"""),"#REF!")</f>
        <v>#REF!</v>
      </c>
      <c r="X329" s="42">
        <f>IFERROR(__xludf.DUMMYFUNCTION("""COMPUTED_VALUE"""),0.0)</f>
        <v>0</v>
      </c>
      <c r="Y329" s="42">
        <f>IFERROR(__xludf.DUMMYFUNCTION("""COMPUTED_VALUE"""),0.0)</f>
        <v>0</v>
      </c>
      <c r="Z329" s="9">
        <f>IFERROR(__xludf.DUMMYFUNCTION("""COMPUTED_VALUE"""),0.0)</f>
        <v>0</v>
      </c>
      <c r="AA329" s="181" t="str">
        <f>IFERROR(__xludf.DUMMYFUNCTION("""COMPUTED_VALUE"""),"#REF!")</f>
        <v>#REF!</v>
      </c>
      <c r="AB329" s="181" t="str">
        <f>IFERROR(__xludf.DUMMYFUNCTION("""COMPUTED_VALUE"""),"#REF!")</f>
        <v>#REF!</v>
      </c>
      <c r="AC329" s="179" t="str">
        <f>IFERROR(__xludf.DUMMYFUNCTION("""COMPUTED_VALUE"""),"#REF!")</f>
        <v>#REF!</v>
      </c>
      <c r="AD329" s="165" t="str">
        <f>IFERROR(__xludf.DUMMYFUNCTION("""COMPUTED_VALUE"""),"#REF!")</f>
        <v>#REF!</v>
      </c>
      <c r="AE329" s="39" t="str">
        <f>IFERROR(__xludf.DUMMYFUNCTION("""COMPUTED_VALUE"""),"Hiroshi Yamakawa")</f>
        <v>Hiroshi Yamakawa</v>
      </c>
      <c r="AF329" s="39" t="str">
        <f>IFERROR(__xludf.DUMMYFUNCTION("""COMPUTED_VALUE"""),"HY20Cerebellum")</f>
        <v>HY20Cerebellum</v>
      </c>
      <c r="AG329" s="39"/>
      <c r="AH329" s="39"/>
      <c r="AI329" s="165"/>
      <c r="AJ329" s="165"/>
      <c r="AK329" s="111"/>
      <c r="AL329" s="111"/>
      <c r="AM329" s="111"/>
      <c r="AN329" s="111"/>
      <c r="AO329" s="111"/>
      <c r="AP329" s="111"/>
      <c r="AQ329" s="116"/>
      <c r="AR329" s="116"/>
      <c r="AS329" s="116"/>
    </row>
    <row r="330">
      <c r="A330" s="42" t="str">
        <f>IFERROR(__xludf.DUMMYFUNCTION("""COMPUTED_VALUE"""),"Cx.L5")</f>
        <v>Cx.L5</v>
      </c>
      <c r="B330" s="42"/>
      <c r="C330" s="42"/>
      <c r="D330" s="42" t="str">
        <f>IFERROR(__xludf.DUMMYFUNCTION("""COMPUTED_VALUE"""),"PN")</f>
        <v>PN</v>
      </c>
      <c r="E330" s="42"/>
      <c r="F330" s="42"/>
      <c r="G330" s="42"/>
      <c r="H330" s="42" t="str">
        <f>IFERROR(__xludf.DUMMYFUNCTION("""COMPUTED_VALUE"""),"")</f>
        <v/>
      </c>
      <c r="I330" s="42" t="str">
        <f>IFERROR(__xludf.DUMMYFUNCTION("""COMPUTED_VALUE"""),"Wagner, 2020")</f>
        <v>Wagner, 2020</v>
      </c>
      <c r="J330" s="42"/>
      <c r="K330" s="42"/>
      <c r="L330" s="42" t="str">
        <f>IFERROR(__xludf.DUMMYFUNCTION("""COMPUTED_VALUE"""),"Specifically,nearly all subcortically projecting layer 5 pyramidal neurons send an axon collateral to the pontine
nuclei, and the neurons of the pontine nuclei all project mossy fibers to the cerebellum [22,23,69–
71].")</f>
        <v>Specifically,nearly all subcortically projecting layer 5 pyramidal neurons send an axon collateral to the pontine
nuclei, and the neurons of the pontine nuclei all project mossy fibers to the cerebellum [22,23,69–
71].</v>
      </c>
      <c r="M330" s="42"/>
      <c r="N330" s="42"/>
      <c r="O330" s="31" t="str">
        <f>IFERROR(__xludf.DUMMYFUNCTION("""COMPUTED_VALUE"""),"DOC")</f>
        <v>DOC</v>
      </c>
      <c r="P330" s="9" t="str">
        <f>IFERROR(__xludf.DUMMYFUNCTION("""COMPUTED_VALUE"""),"Trends in Neurosciences")</f>
        <v>Trends in Neurosciences</v>
      </c>
      <c r="Q330" s="9"/>
      <c r="R330" s="179" t="str">
        <f>IFERROR(__xludf.DUMMYFUNCTION("""COMPUTED_VALUE"""),"PN (00/00) [Wagner, 2020];
")</f>
        <v>PN (00/00) [Wagner, 2020];
</v>
      </c>
      <c r="S330" s="179" t="str">
        <f>IFERROR(__xludf.DUMMYFUNCTION("""COMPUTED_VALUE"""),"Cx.L5PN")</f>
        <v>Cx.L5PN</v>
      </c>
      <c r="T330" s="179" t="str">
        <f>IFERROR(__xludf.DUMMYFUNCTION("""COMPUTED_VALUE"""),"[Wagner, 2020]")</f>
        <v>[Wagner, 2020]</v>
      </c>
      <c r="U330" s="179">
        <f>IFERROR(__xludf.DUMMYFUNCTION("""COMPUTED_VALUE"""),0.0)</f>
        <v>0</v>
      </c>
      <c r="V330" s="180">
        <f>IFERROR(__xludf.DUMMYFUNCTION("""COMPUTED_VALUE"""),0.0)</f>
        <v>0</v>
      </c>
      <c r="W330" s="180">
        <f>IFERROR(__xludf.DUMMYFUNCTION("""COMPUTED_VALUE"""),0.95)</f>
        <v>0.95</v>
      </c>
      <c r="X330" s="42">
        <f>IFERROR(__xludf.DUMMYFUNCTION("""COMPUTED_VALUE"""),0.0)</f>
        <v>0</v>
      </c>
      <c r="Y330" s="42">
        <f>IFERROR(__xludf.DUMMYFUNCTION("""COMPUTED_VALUE"""),0.0)</f>
        <v>0</v>
      </c>
      <c r="Z330" s="9">
        <f>IFERROR(__xludf.DUMMYFUNCTION("""COMPUTED_VALUE"""),0.0)</f>
        <v>0</v>
      </c>
      <c r="AA330" s="181">
        <f>IFERROR(__xludf.DUMMYFUNCTION("""COMPUTED_VALUE"""),0.0)</f>
        <v>0</v>
      </c>
      <c r="AB330" s="181">
        <f>IFERROR(__xludf.DUMMYFUNCTION("""COMPUTED_VALUE"""),0.0)</f>
        <v>0</v>
      </c>
      <c r="AC330" s="179">
        <f>IFERROR(__xludf.DUMMYFUNCTION("""COMPUTED_VALUE"""),0.0)</f>
        <v>0</v>
      </c>
      <c r="AD330" s="165">
        <f>IFERROR(__xludf.DUMMYFUNCTION("""COMPUTED_VALUE"""),0.0)</f>
        <v>0</v>
      </c>
      <c r="AE330" s="39" t="str">
        <f>IFERROR(__xludf.DUMMYFUNCTION("""COMPUTED_VALUE"""),"Hiroshi Yamakawa")</f>
        <v>Hiroshi Yamakawa</v>
      </c>
      <c r="AF330" s="39" t="str">
        <f>IFERROR(__xludf.DUMMYFUNCTION("""COMPUTED_VALUE"""),"HY20Cerebellum")</f>
        <v>HY20Cerebellum</v>
      </c>
      <c r="AG330" s="39"/>
      <c r="AH330" s="39"/>
      <c r="AI330" s="165"/>
      <c r="AJ330" s="165"/>
      <c r="AK330" s="111"/>
      <c r="AL330" s="111"/>
      <c r="AM330" s="111"/>
      <c r="AN330" s="111"/>
      <c r="AO330" s="111"/>
      <c r="AP330" s="111"/>
      <c r="AQ330" s="116"/>
      <c r="AR330" s="116"/>
      <c r="AS330" s="116"/>
    </row>
    <row r="331">
      <c r="A331" s="42" t="str">
        <f>IFERROR(__xludf.DUMMYFUNCTION("""COMPUTED_VALUE"""),"Cx.L5IT")</f>
        <v>Cx.L5IT</v>
      </c>
      <c r="B331" s="42"/>
      <c r="C331" s="42"/>
      <c r="D331" s="42" t="str">
        <f>IFERROR(__xludf.DUMMYFUNCTION("""COMPUTED_VALUE"""),"STR")</f>
        <v>STR</v>
      </c>
      <c r="E331" s="42"/>
      <c r="F331" s="42"/>
      <c r="G331" s="42"/>
      <c r="H331" s="42" t="str">
        <f>IFERROR(__xludf.DUMMYFUNCTION("""COMPUTED_VALUE"""),"")</f>
        <v/>
      </c>
      <c r="I331" s="42" t="str">
        <f>IFERROR(__xludf.DUMMYFUNCTION("""COMPUTED_VALUE"""),"Baker, 2018")</f>
        <v>Baker, 2018</v>
      </c>
      <c r="J331" s="42"/>
      <c r="K331" s="42"/>
      <c r="L331" s="42"/>
      <c r="M331" s="42"/>
      <c r="N331" s="42"/>
      <c r="O331" s="31" t="str">
        <f>IFERROR(__xludf.DUMMYFUNCTION("""COMPUTED_VALUE"""),"DOC")</f>
        <v>DOC</v>
      </c>
      <c r="P331" s="9" t="str">
        <f>IFERROR(__xludf.DUMMYFUNCTION("""COMPUTED_VALUE"""),"The Journal of Neuroscience")</f>
        <v>The Journal of Neuroscience</v>
      </c>
      <c r="Q331" s="9"/>
      <c r="R331" s="179" t="str">
        <f>IFERROR(__xludf.DUMMYFUNCTION("""COMPUTED_VALUE"""),"STR (00/00) [Baker, 2018];
")</f>
        <v>STR (00/00) [Baker, 2018];
</v>
      </c>
      <c r="S331" s="179" t="str">
        <f>IFERROR(__xludf.DUMMYFUNCTION("""COMPUTED_VALUE"""),"Cx.L5ITSTR")</f>
        <v>Cx.L5ITSTR</v>
      </c>
      <c r="T331" s="179" t="str">
        <f>IFERROR(__xludf.DUMMYFUNCTION("""COMPUTED_VALUE"""),"[Baker, 2018]")</f>
        <v>[Baker, 2018]</v>
      </c>
      <c r="U331" s="179">
        <f>IFERROR(__xludf.DUMMYFUNCTION("""COMPUTED_VALUE"""),0.0)</f>
        <v>0</v>
      </c>
      <c r="V331" s="180">
        <f>IFERROR(__xludf.DUMMYFUNCTION("""COMPUTED_VALUE"""),0.0)</f>
        <v>0</v>
      </c>
      <c r="W331" s="180">
        <f>IFERROR(__xludf.DUMMYFUNCTION("""COMPUTED_VALUE"""),0.95)</f>
        <v>0.95</v>
      </c>
      <c r="X331" s="42">
        <f>IFERROR(__xludf.DUMMYFUNCTION("""COMPUTED_VALUE"""),0.0)</f>
        <v>0</v>
      </c>
      <c r="Y331" s="42">
        <f>IFERROR(__xludf.DUMMYFUNCTION("""COMPUTED_VALUE"""),0.0)</f>
        <v>0</v>
      </c>
      <c r="Z331" s="9">
        <f>IFERROR(__xludf.DUMMYFUNCTION("""COMPUTED_VALUE"""),0.0)</f>
        <v>0</v>
      </c>
      <c r="AA331" s="181">
        <f>IFERROR(__xludf.DUMMYFUNCTION("""COMPUTED_VALUE"""),0.0)</f>
        <v>0</v>
      </c>
      <c r="AB331" s="181">
        <f>IFERROR(__xludf.DUMMYFUNCTION("""COMPUTED_VALUE"""),0.0)</f>
        <v>0</v>
      </c>
      <c r="AC331" s="179">
        <f>IFERROR(__xludf.DUMMYFUNCTION("""COMPUTED_VALUE"""),0.0)</f>
        <v>0</v>
      </c>
      <c r="AD331" s="165">
        <f>IFERROR(__xludf.DUMMYFUNCTION("""COMPUTED_VALUE"""),0.0)</f>
        <v>0</v>
      </c>
      <c r="AE331" s="39" t="str">
        <f>IFERROR(__xludf.DUMMYFUNCTION("""COMPUTED_VALUE"""),"Hiroshi Yamakawa")</f>
        <v>Hiroshi Yamakawa</v>
      </c>
      <c r="AF331" s="39" t="str">
        <f>IFERROR(__xludf.DUMMYFUNCTION("""COMPUTED_VALUE"""),"HY18NeocorticalInterareaSignals")</f>
        <v>HY18NeocorticalInterareaSignals</v>
      </c>
      <c r="AG331" s="39"/>
      <c r="AH331" s="39"/>
      <c r="AI331" s="165"/>
      <c r="AJ331" s="165"/>
      <c r="AK331" s="111"/>
      <c r="AL331" s="111"/>
      <c r="AM331" s="111"/>
      <c r="AN331" s="111"/>
      <c r="AO331" s="111"/>
      <c r="AP331" s="111"/>
      <c r="AQ331" s="116"/>
      <c r="AR331" s="116"/>
      <c r="AS331" s="116"/>
    </row>
    <row r="332">
      <c r="A332" s="42" t="str">
        <f>IFERROR(__xludf.DUMMYFUNCTION("""COMPUTED_VALUE"""),"Cx.L5IT")</f>
        <v>Cx.L5IT</v>
      </c>
      <c r="B332" s="42"/>
      <c r="C332" s="42"/>
      <c r="D332" s="42" t="str">
        <f>IFERROR(__xludf.DUMMYFUNCTION("""COMPUTED_VALUE"""),"STR_matrix")</f>
        <v>STR_matrix</v>
      </c>
      <c r="E332" s="42"/>
      <c r="F332" s="42"/>
      <c r="G332" s="42"/>
      <c r="H332" s="42" t="str">
        <f>IFERROR(__xludf.DUMMYFUNCTION("""COMPUTED_VALUE"""),"")</f>
        <v/>
      </c>
      <c r="I332" s="42" t="str">
        <f>IFERROR(__xludf.DUMMYFUNCTION("""COMPUTED_VALUE"""),"Shepherd, 2013")</f>
        <v>Shepherd, 2013</v>
      </c>
      <c r="J332" s="42"/>
      <c r="K332" s="42"/>
      <c r="L332" s="42"/>
      <c r="M332" s="42"/>
      <c r="N332" s="42"/>
      <c r="O332" s="31" t="str">
        <f>IFERROR(__xludf.DUMMYFUNCTION("""COMPUTED_VALUE"""),"DOC")</f>
        <v>DOC</v>
      </c>
      <c r="P332" s="9" t="str">
        <f>IFERROR(__xludf.DUMMYFUNCTION("""COMPUTED_VALUE"""),"Nature Reviews Neuroscience")</f>
        <v>Nature Reviews Neuroscience</v>
      </c>
      <c r="Q332" s="9"/>
      <c r="R332" s="179" t="str">
        <f>IFERROR(__xludf.DUMMYFUNCTION("""COMPUTED_VALUE"""),"STR_matrix (00/00) [Shepherd, 2013];
")</f>
        <v>STR_matrix (00/00) [Shepherd, 2013];
</v>
      </c>
      <c r="S332" s="179" t="str">
        <f>IFERROR(__xludf.DUMMYFUNCTION("""COMPUTED_VALUE"""),"Cx.L5ITSTR_matrix")</f>
        <v>Cx.L5ITSTR_matrix</v>
      </c>
      <c r="T332" s="179" t="str">
        <f>IFERROR(__xludf.DUMMYFUNCTION("""COMPUTED_VALUE"""),"[Shepherd, 2013]")</f>
        <v>[Shepherd, 2013]</v>
      </c>
      <c r="U332" s="179">
        <f>IFERROR(__xludf.DUMMYFUNCTION("""COMPUTED_VALUE"""),0.0)</f>
        <v>0</v>
      </c>
      <c r="V332" s="180">
        <f>IFERROR(__xludf.DUMMYFUNCTION("""COMPUTED_VALUE"""),0.0)</f>
        <v>0</v>
      </c>
      <c r="W332" s="180">
        <f>IFERROR(__xludf.DUMMYFUNCTION("""COMPUTED_VALUE"""),0.95)</f>
        <v>0.95</v>
      </c>
      <c r="X332" s="42">
        <f>IFERROR(__xludf.DUMMYFUNCTION("""COMPUTED_VALUE"""),0.0)</f>
        <v>0</v>
      </c>
      <c r="Y332" s="42">
        <f>IFERROR(__xludf.DUMMYFUNCTION("""COMPUTED_VALUE"""),0.0)</f>
        <v>0</v>
      </c>
      <c r="Z332" s="9">
        <f>IFERROR(__xludf.DUMMYFUNCTION("""COMPUTED_VALUE"""),0.0)</f>
        <v>0</v>
      </c>
      <c r="AA332" s="181">
        <f>IFERROR(__xludf.DUMMYFUNCTION("""COMPUTED_VALUE"""),0.0)</f>
        <v>0</v>
      </c>
      <c r="AB332" s="181">
        <f>IFERROR(__xludf.DUMMYFUNCTION("""COMPUTED_VALUE"""),0.0)</f>
        <v>0</v>
      </c>
      <c r="AC332" s="179">
        <f>IFERROR(__xludf.DUMMYFUNCTION("""COMPUTED_VALUE"""),0.0)</f>
        <v>0</v>
      </c>
      <c r="AD332" s="165">
        <f>IFERROR(__xludf.DUMMYFUNCTION("""COMPUTED_VALUE"""),0.0)</f>
        <v>0</v>
      </c>
      <c r="AE332" s="39" t="str">
        <f>IFERROR(__xludf.DUMMYFUNCTION("""COMPUTED_VALUE"""),"Hiroshi Yamakawa")</f>
        <v>Hiroshi Yamakawa</v>
      </c>
      <c r="AF332" s="39" t="str">
        <f>IFERROR(__xludf.DUMMYFUNCTION("""COMPUTED_VALUE"""),"HY18NeocorticalInterareaSignals")</f>
        <v>HY18NeocorticalInterareaSignals</v>
      </c>
      <c r="AG332" s="39"/>
      <c r="AH332" s="39"/>
      <c r="AI332" s="165"/>
      <c r="AJ332" s="165"/>
      <c r="AK332" s="111"/>
      <c r="AL332" s="111"/>
      <c r="AM332" s="111"/>
      <c r="AN332" s="111"/>
      <c r="AO332" s="111"/>
      <c r="AP332" s="111"/>
      <c r="AQ332" s="116"/>
      <c r="AR332" s="116"/>
      <c r="AS332" s="116"/>
    </row>
    <row r="333">
      <c r="A333" s="42" t="str">
        <f>IFERROR(__xludf.DUMMYFUNCTION("""COMPUTED_VALUE"""),"Cx.L5PT")</f>
        <v>Cx.L5PT</v>
      </c>
      <c r="B333" s="42"/>
      <c r="C333" s="42"/>
      <c r="D333" s="42" t="str">
        <f>IFERROR(__xludf.DUMMYFUNCTION("""COMPUTED_VALUE"""),"csp-h")</f>
        <v>csp-h</v>
      </c>
      <c r="E333" s="42"/>
      <c r="F333" s="42"/>
      <c r="G333" s="42"/>
      <c r="H333" s="42" t="str">
        <f>IFERROR(__xludf.DUMMYFUNCTION("""COMPUTED_VALUE"""),"")</f>
        <v/>
      </c>
      <c r="I333" s="42" t="str">
        <f>IFERROR(__xludf.DUMMYFUNCTION("""COMPUTED_VALUE"""),"Baker, 2018")</f>
        <v>Baker, 2018</v>
      </c>
      <c r="J333" s="42"/>
      <c r="K333" s="42"/>
      <c r="L333" s="42"/>
      <c r="M333" s="42"/>
      <c r="N333" s="42"/>
      <c r="O333" s="31" t="str">
        <f>IFERROR(__xludf.DUMMYFUNCTION("""COMPUTED_VALUE"""),"DOC")</f>
        <v>DOC</v>
      </c>
      <c r="P333" s="9" t="str">
        <f>IFERROR(__xludf.DUMMYFUNCTION("""COMPUTED_VALUE"""),"The Journal of Neuroscience")</f>
        <v>The Journal of Neuroscience</v>
      </c>
      <c r="Q333" s="9"/>
      <c r="R333" s="179" t="str">
        <f>IFERROR(__xludf.DUMMYFUNCTION("""COMPUTED_VALUE"""),"csp-h (00/00) [Baker, 2018][Kaneko, 2013][Shepherd, 2013];
")</f>
        <v>csp-h (00/00) [Baker, 2018][Kaneko, 2013][Shepherd, 2013];
</v>
      </c>
      <c r="S333" s="179" t="str">
        <f>IFERROR(__xludf.DUMMYFUNCTION("""COMPUTED_VALUE"""),"Cx.L5PTcsp-h")</f>
        <v>Cx.L5PTcsp-h</v>
      </c>
      <c r="T333" s="179" t="str">
        <f>IFERROR(__xludf.DUMMYFUNCTION("""COMPUTED_VALUE"""),"[Baker, 2018]")</f>
        <v>[Baker, 2018]</v>
      </c>
      <c r="U333" s="179">
        <f>IFERROR(__xludf.DUMMYFUNCTION("""COMPUTED_VALUE"""),0.0)</f>
        <v>0</v>
      </c>
      <c r="V333" s="180">
        <f>IFERROR(__xludf.DUMMYFUNCTION("""COMPUTED_VALUE"""),0.0)</f>
        <v>0</v>
      </c>
      <c r="W333" s="180">
        <f>IFERROR(__xludf.DUMMYFUNCTION("""COMPUTED_VALUE"""),0.95)</f>
        <v>0.95</v>
      </c>
      <c r="X333" s="42">
        <f>IFERROR(__xludf.DUMMYFUNCTION("""COMPUTED_VALUE"""),0.0)</f>
        <v>0</v>
      </c>
      <c r="Y333" s="42">
        <f>IFERROR(__xludf.DUMMYFUNCTION("""COMPUTED_VALUE"""),0.0)</f>
        <v>0</v>
      </c>
      <c r="Z333" s="9">
        <f>IFERROR(__xludf.DUMMYFUNCTION("""COMPUTED_VALUE"""),0.0)</f>
        <v>0</v>
      </c>
      <c r="AA333" s="181">
        <f>IFERROR(__xludf.DUMMYFUNCTION("""COMPUTED_VALUE"""),0.0)</f>
        <v>0</v>
      </c>
      <c r="AB333" s="181">
        <f>IFERROR(__xludf.DUMMYFUNCTION("""COMPUTED_VALUE"""),0.0)</f>
        <v>0</v>
      </c>
      <c r="AC333" s="179">
        <f>IFERROR(__xludf.DUMMYFUNCTION("""COMPUTED_VALUE"""),0.0)</f>
        <v>0</v>
      </c>
      <c r="AD333" s="165">
        <f>IFERROR(__xludf.DUMMYFUNCTION("""COMPUTED_VALUE"""),0.0)</f>
        <v>0</v>
      </c>
      <c r="AE333" s="39" t="str">
        <f>IFERROR(__xludf.DUMMYFUNCTION("""COMPUTED_VALUE"""),"Hiroshi Yamakawa")</f>
        <v>Hiroshi Yamakawa</v>
      </c>
      <c r="AF333" s="39" t="str">
        <f>IFERROR(__xludf.DUMMYFUNCTION("""COMPUTED_VALUE"""),"HY18NeocorticalInterareaSignals")</f>
        <v>HY18NeocorticalInterareaSignals</v>
      </c>
      <c r="AG333" s="39"/>
      <c r="AH333" s="39"/>
      <c r="AI333" s="165"/>
      <c r="AJ333" s="165"/>
      <c r="AK333" s="111"/>
      <c r="AL333" s="111"/>
      <c r="AM333" s="111"/>
      <c r="AN333" s="111"/>
      <c r="AO333" s="111"/>
      <c r="AP333" s="111"/>
      <c r="AQ333" s="116"/>
      <c r="AR333" s="116"/>
      <c r="AS333" s="116"/>
    </row>
    <row r="334">
      <c r="A334" s="42" t="str">
        <f>IFERROR(__xludf.DUMMYFUNCTION("""COMPUTED_VALUE"""),"Cx.L5PT")</f>
        <v>Cx.L5PT</v>
      </c>
      <c r="B334" s="42"/>
      <c r="C334" s="42"/>
      <c r="D334" s="42" t="str">
        <f>IFERROR(__xludf.DUMMYFUNCTION("""COMPUTED_VALUE"""),"MTc")</f>
        <v>MTc</v>
      </c>
      <c r="E334" s="42"/>
      <c r="F334" s="42"/>
      <c r="G334" s="42"/>
      <c r="H334" s="42" t="str">
        <f>IFERROR(__xludf.DUMMYFUNCTION("""COMPUTED_VALUE"""),"")</f>
        <v/>
      </c>
      <c r="I334" s="42" t="str">
        <f>IFERROR(__xludf.DUMMYFUNCTION("""COMPUTED_VALUE"""),"Baker, 2018")</f>
        <v>Baker, 2018</v>
      </c>
      <c r="J334" s="42"/>
      <c r="K334" s="42"/>
      <c r="L334" s="42"/>
      <c r="M334" s="42"/>
      <c r="N334" s="42"/>
      <c r="O334" s="31" t="str">
        <f>IFERROR(__xludf.DUMMYFUNCTION("""COMPUTED_VALUE"""),"DOC")</f>
        <v>DOC</v>
      </c>
      <c r="P334" s="9" t="str">
        <f>IFERROR(__xludf.DUMMYFUNCTION("""COMPUTED_VALUE"""),"The Journal of Neuroscience")</f>
        <v>The Journal of Neuroscience</v>
      </c>
      <c r="Q334" s="9"/>
      <c r="R334" s="179" t="str">
        <f>IFERROR(__xludf.DUMMYFUNCTION("""COMPUTED_VALUE"""),"MTc (00/00) [Baker, 2018];
")</f>
        <v>MTc (00/00) [Baker, 2018];
</v>
      </c>
      <c r="S334" s="179" t="str">
        <f>IFERROR(__xludf.DUMMYFUNCTION("""COMPUTED_VALUE"""),"Cx.L5PTMTc")</f>
        <v>Cx.L5PTMTc</v>
      </c>
      <c r="T334" s="179" t="str">
        <f>IFERROR(__xludf.DUMMYFUNCTION("""COMPUTED_VALUE"""),"[Baker, 2018]")</f>
        <v>[Baker, 2018]</v>
      </c>
      <c r="U334" s="179">
        <f>IFERROR(__xludf.DUMMYFUNCTION("""COMPUTED_VALUE"""),0.0)</f>
        <v>0</v>
      </c>
      <c r="V334" s="180">
        <f>IFERROR(__xludf.DUMMYFUNCTION("""COMPUTED_VALUE"""),0.0)</f>
        <v>0</v>
      </c>
      <c r="W334" s="180">
        <f>IFERROR(__xludf.DUMMYFUNCTION("""COMPUTED_VALUE"""),0.95)</f>
        <v>0.95</v>
      </c>
      <c r="X334" s="42">
        <f>IFERROR(__xludf.DUMMYFUNCTION("""COMPUTED_VALUE"""),0.0)</f>
        <v>0</v>
      </c>
      <c r="Y334" s="42">
        <f>IFERROR(__xludf.DUMMYFUNCTION("""COMPUTED_VALUE"""),0.0)</f>
        <v>0</v>
      </c>
      <c r="Z334" s="9">
        <f>IFERROR(__xludf.DUMMYFUNCTION("""COMPUTED_VALUE"""),0.0)</f>
        <v>0</v>
      </c>
      <c r="AA334" s="181">
        <f>IFERROR(__xludf.DUMMYFUNCTION("""COMPUTED_VALUE"""),0.0)</f>
        <v>0</v>
      </c>
      <c r="AB334" s="181">
        <f>IFERROR(__xludf.DUMMYFUNCTION("""COMPUTED_VALUE"""),0.0)</f>
        <v>0</v>
      </c>
      <c r="AC334" s="179">
        <f>IFERROR(__xludf.DUMMYFUNCTION("""COMPUTED_VALUE"""),0.0)</f>
        <v>0</v>
      </c>
      <c r="AD334" s="165">
        <f>IFERROR(__xludf.DUMMYFUNCTION("""COMPUTED_VALUE"""),0.0)</f>
        <v>0</v>
      </c>
      <c r="AE334" s="39" t="str">
        <f>IFERROR(__xludf.DUMMYFUNCTION("""COMPUTED_VALUE"""),"Hiroshi Yamakawa")</f>
        <v>Hiroshi Yamakawa</v>
      </c>
      <c r="AF334" s="39" t="str">
        <f>IFERROR(__xludf.DUMMYFUNCTION("""COMPUTED_VALUE"""),"HY18NeocorticalInterareaSignals")</f>
        <v>HY18NeocorticalInterareaSignals</v>
      </c>
      <c r="AG334" s="39"/>
      <c r="AH334" s="39"/>
      <c r="AI334" s="165"/>
      <c r="AJ334" s="165"/>
      <c r="AK334" s="111"/>
      <c r="AL334" s="111"/>
      <c r="AM334" s="111"/>
      <c r="AN334" s="111"/>
      <c r="AO334" s="111"/>
      <c r="AP334" s="111"/>
      <c r="AQ334" s="116"/>
      <c r="AR334" s="116"/>
      <c r="AS334" s="116"/>
    </row>
    <row r="335">
      <c r="A335" s="42" t="str">
        <f>IFERROR(__xludf.DUMMYFUNCTION("""COMPUTED_VALUE"""),"Cx.L5PT")</f>
        <v>Cx.L5PT</v>
      </c>
      <c r="B335" s="42"/>
      <c r="C335" s="42"/>
      <c r="D335" s="42" t="str">
        <f>IFERROR(__xludf.DUMMYFUNCTION("""COMPUTED_VALUE"""),"NCx")</f>
        <v>NCx</v>
      </c>
      <c r="E335" s="42"/>
      <c r="F335" s="42"/>
      <c r="G335" s="42"/>
      <c r="H335" s="42" t="str">
        <f>IFERROR(__xludf.DUMMYFUNCTION("""COMPUTED_VALUE"""),"")</f>
        <v/>
      </c>
      <c r="I335" s="42" t="str">
        <f>IFERROR(__xludf.DUMMYFUNCTION("""COMPUTED_VALUE"""),"Baker, 2018")</f>
        <v>Baker, 2018</v>
      </c>
      <c r="J335" s="42"/>
      <c r="K335" s="42"/>
      <c r="L335" s="42"/>
      <c r="M335" s="42"/>
      <c r="N335" s="42"/>
      <c r="O335" s="31" t="str">
        <f>IFERROR(__xludf.DUMMYFUNCTION("""COMPUTED_VALUE"""),"DOC")</f>
        <v>DOC</v>
      </c>
      <c r="P335" s="9" t="str">
        <f>IFERROR(__xludf.DUMMYFUNCTION("""COMPUTED_VALUE"""),"The Journal of Neuroscience")</f>
        <v>The Journal of Neuroscience</v>
      </c>
      <c r="Q335" s="9"/>
      <c r="R335" s="179" t="str">
        <f>IFERROR(__xludf.DUMMYFUNCTION("""COMPUTED_VALUE"""),"NCx (00/00) [Baker, 2018];
")</f>
        <v>NCx (00/00) [Baker, 2018];
</v>
      </c>
      <c r="S335" s="179" t="str">
        <f>IFERROR(__xludf.DUMMYFUNCTION("""COMPUTED_VALUE"""),"Cx.L5PTNCx")</f>
        <v>Cx.L5PTNCx</v>
      </c>
      <c r="T335" s="179" t="str">
        <f>IFERROR(__xludf.DUMMYFUNCTION("""COMPUTED_VALUE"""),"[Baker, 2018]")</f>
        <v>[Baker, 2018]</v>
      </c>
      <c r="U335" s="179">
        <f>IFERROR(__xludf.DUMMYFUNCTION("""COMPUTED_VALUE"""),0.0)</f>
        <v>0</v>
      </c>
      <c r="V335" s="180">
        <f>IFERROR(__xludf.DUMMYFUNCTION("""COMPUTED_VALUE"""),0.0)</f>
        <v>0</v>
      </c>
      <c r="W335" s="180">
        <f>IFERROR(__xludf.DUMMYFUNCTION("""COMPUTED_VALUE"""),0.95)</f>
        <v>0.95</v>
      </c>
      <c r="X335" s="42">
        <f>IFERROR(__xludf.DUMMYFUNCTION("""COMPUTED_VALUE"""),0.0)</f>
        <v>0</v>
      </c>
      <c r="Y335" s="42">
        <f>IFERROR(__xludf.DUMMYFUNCTION("""COMPUTED_VALUE"""),0.0)</f>
        <v>0</v>
      </c>
      <c r="Z335" s="9">
        <f>IFERROR(__xludf.DUMMYFUNCTION("""COMPUTED_VALUE"""),0.0)</f>
        <v>0</v>
      </c>
      <c r="AA335" s="181">
        <f>IFERROR(__xludf.DUMMYFUNCTION("""COMPUTED_VALUE"""),0.0)</f>
        <v>0</v>
      </c>
      <c r="AB335" s="181">
        <f>IFERROR(__xludf.DUMMYFUNCTION("""COMPUTED_VALUE"""),0.0)</f>
        <v>0</v>
      </c>
      <c r="AC335" s="179">
        <f>IFERROR(__xludf.DUMMYFUNCTION("""COMPUTED_VALUE"""),0.0)</f>
        <v>0</v>
      </c>
      <c r="AD335" s="165">
        <f>IFERROR(__xludf.DUMMYFUNCTION("""COMPUTED_VALUE"""),0.0)</f>
        <v>0</v>
      </c>
      <c r="AE335" s="39" t="str">
        <f>IFERROR(__xludf.DUMMYFUNCTION("""COMPUTED_VALUE"""),"Hiroshi Yamakawa")</f>
        <v>Hiroshi Yamakawa</v>
      </c>
      <c r="AF335" s="39" t="str">
        <f>IFERROR(__xludf.DUMMYFUNCTION("""COMPUTED_VALUE"""),"HY18NeocorticalInterareaSignals")</f>
        <v>HY18NeocorticalInterareaSignals</v>
      </c>
      <c r="AG335" s="39"/>
      <c r="AH335" s="39"/>
      <c r="AI335" s="165"/>
      <c r="AJ335" s="165"/>
      <c r="AK335" s="111"/>
      <c r="AL335" s="111"/>
      <c r="AM335" s="111"/>
      <c r="AN335" s="111"/>
      <c r="AO335" s="111"/>
      <c r="AP335" s="111"/>
      <c r="AQ335" s="116"/>
      <c r="AR335" s="116"/>
      <c r="AS335" s="116"/>
    </row>
    <row r="336">
      <c r="A336" s="42" t="str">
        <f>IFERROR(__xludf.DUMMYFUNCTION("""COMPUTED_VALUE"""),"Cx.L5PT")</f>
        <v>Cx.L5PT</v>
      </c>
      <c r="B336" s="42"/>
      <c r="C336" s="42"/>
      <c r="D336" s="42" t="str">
        <f>IFERROR(__xludf.DUMMYFUNCTION("""COMPUTED_VALUE"""),"Po")</f>
        <v>Po</v>
      </c>
      <c r="E336" s="42"/>
      <c r="F336" s="42"/>
      <c r="G336" s="42"/>
      <c r="H336" s="42" t="str">
        <f>IFERROR(__xludf.DUMMYFUNCTION("""COMPUTED_VALUE"""),"")</f>
        <v/>
      </c>
      <c r="I336" s="42" t="str">
        <f>IFERROR(__xludf.DUMMYFUNCTION("""COMPUTED_VALUE"""),"Baker, 2018")</f>
        <v>Baker, 2018</v>
      </c>
      <c r="J336" s="42"/>
      <c r="K336" s="42"/>
      <c r="L336" s="42"/>
      <c r="M336" s="42"/>
      <c r="N336" s="42"/>
      <c r="O336" s="31" t="str">
        <f>IFERROR(__xludf.DUMMYFUNCTION("""COMPUTED_VALUE"""),"DOC")</f>
        <v>DOC</v>
      </c>
      <c r="P336" s="9" t="str">
        <f>IFERROR(__xludf.DUMMYFUNCTION("""COMPUTED_VALUE"""),"The Journal of Neuroscience")</f>
        <v>The Journal of Neuroscience</v>
      </c>
      <c r="Q336" s="9"/>
      <c r="R336" s="179" t="str">
        <f>IFERROR(__xludf.DUMMYFUNCTION("""COMPUTED_VALUE"""),"Po (00/00) [Baker, 2018][Economo, 2018];
")</f>
        <v>Po (00/00) [Baker, 2018][Economo, 2018];
</v>
      </c>
      <c r="S336" s="179" t="str">
        <f>IFERROR(__xludf.DUMMYFUNCTION("""COMPUTED_VALUE"""),"Cx.L5PTPo")</f>
        <v>Cx.L5PTPo</v>
      </c>
      <c r="T336" s="179" t="str">
        <f>IFERROR(__xludf.DUMMYFUNCTION("""COMPUTED_VALUE"""),"[Baker, 2018]")</f>
        <v>[Baker, 2018]</v>
      </c>
      <c r="U336" s="179">
        <f>IFERROR(__xludf.DUMMYFUNCTION("""COMPUTED_VALUE"""),0.0)</f>
        <v>0</v>
      </c>
      <c r="V336" s="180">
        <f>IFERROR(__xludf.DUMMYFUNCTION("""COMPUTED_VALUE"""),0.0)</f>
        <v>0</v>
      </c>
      <c r="W336" s="180">
        <f>IFERROR(__xludf.DUMMYFUNCTION("""COMPUTED_VALUE"""),0.95)</f>
        <v>0.95</v>
      </c>
      <c r="X336" s="42">
        <f>IFERROR(__xludf.DUMMYFUNCTION("""COMPUTED_VALUE"""),0.0)</f>
        <v>0</v>
      </c>
      <c r="Y336" s="42">
        <f>IFERROR(__xludf.DUMMYFUNCTION("""COMPUTED_VALUE"""),0.0)</f>
        <v>0</v>
      </c>
      <c r="Z336" s="9">
        <f>IFERROR(__xludf.DUMMYFUNCTION("""COMPUTED_VALUE"""),0.0)</f>
        <v>0</v>
      </c>
      <c r="AA336" s="181">
        <f>IFERROR(__xludf.DUMMYFUNCTION("""COMPUTED_VALUE"""),0.0)</f>
        <v>0</v>
      </c>
      <c r="AB336" s="181">
        <f>IFERROR(__xludf.DUMMYFUNCTION("""COMPUTED_VALUE"""),0.0)</f>
        <v>0</v>
      </c>
      <c r="AC336" s="179">
        <f>IFERROR(__xludf.DUMMYFUNCTION("""COMPUTED_VALUE"""),0.0)</f>
        <v>0</v>
      </c>
      <c r="AD336" s="165">
        <f>IFERROR(__xludf.DUMMYFUNCTION("""COMPUTED_VALUE"""),0.0)</f>
        <v>0</v>
      </c>
      <c r="AE336" s="39" t="str">
        <f>IFERROR(__xludf.DUMMYFUNCTION("""COMPUTED_VALUE"""),"Hiroshi Yamakawa")</f>
        <v>Hiroshi Yamakawa</v>
      </c>
      <c r="AF336" s="39" t="str">
        <f>IFERROR(__xludf.DUMMYFUNCTION("""COMPUTED_VALUE"""),"HY18NeocorticalInterareaSignals")</f>
        <v>HY18NeocorticalInterareaSignals</v>
      </c>
      <c r="AG336" s="39"/>
      <c r="AH336" s="39"/>
      <c r="AI336" s="165"/>
      <c r="AJ336" s="165"/>
      <c r="AK336" s="111"/>
      <c r="AL336" s="111"/>
      <c r="AM336" s="111"/>
      <c r="AN336" s="111"/>
      <c r="AO336" s="111"/>
      <c r="AP336" s="111"/>
      <c r="AQ336" s="116"/>
      <c r="AR336" s="116"/>
      <c r="AS336" s="116"/>
    </row>
    <row r="337">
      <c r="A337" s="42" t="str">
        <f>IFERROR(__xludf.DUMMYFUNCTION("""COMPUTED_VALUE"""),"Cx.L5PT")</f>
        <v>Cx.L5PT</v>
      </c>
      <c r="B337" s="42"/>
      <c r="C337" s="42"/>
      <c r="D337" s="42" t="str">
        <f>IFERROR(__xludf.DUMMYFUNCTION("""COMPUTED_VALUE"""),"STR_patch")</f>
        <v>STR_patch</v>
      </c>
      <c r="E337" s="42"/>
      <c r="F337" s="42"/>
      <c r="G337" s="42"/>
      <c r="H337" s="42" t="str">
        <f>IFERROR(__xludf.DUMMYFUNCTION("""COMPUTED_VALUE"""),"")</f>
        <v/>
      </c>
      <c r="I337" s="42" t="str">
        <f>IFERROR(__xludf.DUMMYFUNCTION("""COMPUTED_VALUE"""),"Baker, 2018")</f>
        <v>Baker, 2018</v>
      </c>
      <c r="J337" s="42"/>
      <c r="K337" s="42"/>
      <c r="L337" s="42"/>
      <c r="M337" s="42"/>
      <c r="N337" s="42"/>
      <c r="O337" s="31" t="str">
        <f>IFERROR(__xludf.DUMMYFUNCTION("""COMPUTED_VALUE"""),"DOC")</f>
        <v>DOC</v>
      </c>
      <c r="P337" s="9" t="str">
        <f>IFERROR(__xludf.DUMMYFUNCTION("""COMPUTED_VALUE"""),"The Journal of Neuroscience")</f>
        <v>The Journal of Neuroscience</v>
      </c>
      <c r="Q337" s="9"/>
      <c r="R337" s="179" t="str">
        <f>IFERROR(__xludf.DUMMYFUNCTION("""COMPUTED_VALUE"""),"STR_patch (00/00) [Baker, 2018][Shepherd, 2013];
")</f>
        <v>STR_patch (00/00) [Baker, 2018][Shepherd, 2013];
</v>
      </c>
      <c r="S337" s="179" t="str">
        <f>IFERROR(__xludf.DUMMYFUNCTION("""COMPUTED_VALUE"""),"Cx.L5PTSTR_patch")</f>
        <v>Cx.L5PTSTR_patch</v>
      </c>
      <c r="T337" s="179" t="str">
        <f>IFERROR(__xludf.DUMMYFUNCTION("""COMPUTED_VALUE"""),"[Baker, 2018]")</f>
        <v>[Baker, 2018]</v>
      </c>
      <c r="U337" s="179">
        <f>IFERROR(__xludf.DUMMYFUNCTION("""COMPUTED_VALUE"""),0.0)</f>
        <v>0</v>
      </c>
      <c r="V337" s="180">
        <f>IFERROR(__xludf.DUMMYFUNCTION("""COMPUTED_VALUE"""),0.0)</f>
        <v>0</v>
      </c>
      <c r="W337" s="180">
        <f>IFERROR(__xludf.DUMMYFUNCTION("""COMPUTED_VALUE"""),0.95)</f>
        <v>0.95</v>
      </c>
      <c r="X337" s="42">
        <f>IFERROR(__xludf.DUMMYFUNCTION("""COMPUTED_VALUE"""),0.0)</f>
        <v>0</v>
      </c>
      <c r="Y337" s="42">
        <f>IFERROR(__xludf.DUMMYFUNCTION("""COMPUTED_VALUE"""),0.0)</f>
        <v>0</v>
      </c>
      <c r="Z337" s="9">
        <f>IFERROR(__xludf.DUMMYFUNCTION("""COMPUTED_VALUE"""),0.0)</f>
        <v>0</v>
      </c>
      <c r="AA337" s="181">
        <f>IFERROR(__xludf.DUMMYFUNCTION("""COMPUTED_VALUE"""),0.0)</f>
        <v>0</v>
      </c>
      <c r="AB337" s="181">
        <f>IFERROR(__xludf.DUMMYFUNCTION("""COMPUTED_VALUE"""),0.0)</f>
        <v>0</v>
      </c>
      <c r="AC337" s="179">
        <f>IFERROR(__xludf.DUMMYFUNCTION("""COMPUTED_VALUE"""),0.0)</f>
        <v>0</v>
      </c>
      <c r="AD337" s="165">
        <f>IFERROR(__xludf.DUMMYFUNCTION("""COMPUTED_VALUE"""),0.0)</f>
        <v>0</v>
      </c>
      <c r="AE337" s="39" t="str">
        <f>IFERROR(__xludf.DUMMYFUNCTION("""COMPUTED_VALUE"""),"Hiroshi Yamakawa")</f>
        <v>Hiroshi Yamakawa</v>
      </c>
      <c r="AF337" s="39" t="str">
        <f>IFERROR(__xludf.DUMMYFUNCTION("""COMPUTED_VALUE"""),"HY18NeocorticalInterareaSignals")</f>
        <v>HY18NeocorticalInterareaSignals</v>
      </c>
      <c r="AG337" s="39"/>
      <c r="AH337" s="39"/>
      <c r="AI337" s="165"/>
      <c r="AJ337" s="165"/>
      <c r="AK337" s="111"/>
      <c r="AL337" s="111"/>
      <c r="AM337" s="111"/>
      <c r="AN337" s="111"/>
      <c r="AO337" s="111"/>
      <c r="AP337" s="111"/>
      <c r="AQ337" s="116"/>
      <c r="AR337" s="116"/>
      <c r="AS337" s="116"/>
    </row>
    <row r="338">
      <c r="A338" s="42" t="str">
        <f>IFERROR(__xludf.DUMMYFUNCTION("""COMPUTED_VALUE"""),"Cx.L5PT")</f>
        <v>Cx.L5PT</v>
      </c>
      <c r="B338" s="42"/>
      <c r="C338" s="42"/>
      <c r="D338" s="42" t="str">
        <f>IFERROR(__xludf.DUMMYFUNCTION("""COMPUTED_VALUE"""),"TRN_matrix")</f>
        <v>TRN_matrix</v>
      </c>
      <c r="E338" s="42"/>
      <c r="F338" s="42"/>
      <c r="G338" s="42"/>
      <c r="H338" s="42" t="str">
        <f>IFERROR(__xludf.DUMMYFUNCTION("""COMPUTED_VALUE"""),"")</f>
        <v/>
      </c>
      <c r="I338" s="42" t="str">
        <f>IFERROR(__xludf.DUMMYFUNCTION("""COMPUTED_VALUE"""),"Baker, 2018")</f>
        <v>Baker, 2018</v>
      </c>
      <c r="J338" s="42"/>
      <c r="K338" s="42"/>
      <c r="L338" s="42"/>
      <c r="M338" s="42"/>
      <c r="N338" s="42"/>
      <c r="O338" s="31" t="str">
        <f>IFERROR(__xludf.DUMMYFUNCTION("""COMPUTED_VALUE"""),"DOC")</f>
        <v>DOC</v>
      </c>
      <c r="P338" s="9" t="str">
        <f>IFERROR(__xludf.DUMMYFUNCTION("""COMPUTED_VALUE"""),"The Journal of Neuroscience")</f>
        <v>The Journal of Neuroscience</v>
      </c>
      <c r="Q338" s="9"/>
      <c r="R338" s="179" t="str">
        <f>IFERROR(__xludf.DUMMYFUNCTION("""COMPUTED_VALUE"""),"TRN_matrix (00/00) [Baker, 2018][Bonjean, 2012][Lemieux, 2014][Rodriguez, 2004][Shepherd, 2013];
")</f>
        <v>TRN_matrix (00/00) [Baker, 2018][Bonjean, 2012][Lemieux, 2014][Rodriguez, 2004][Shepherd, 2013];
</v>
      </c>
      <c r="S338" s="179" t="str">
        <f>IFERROR(__xludf.DUMMYFUNCTION("""COMPUTED_VALUE"""),"Cx.L5PTTRN_matrix")</f>
        <v>Cx.L5PTTRN_matrix</v>
      </c>
      <c r="T338" s="179" t="str">
        <f>IFERROR(__xludf.DUMMYFUNCTION("""COMPUTED_VALUE"""),"[Baker, 2018]")</f>
        <v>[Baker, 2018]</v>
      </c>
      <c r="U338" s="179">
        <f>IFERROR(__xludf.DUMMYFUNCTION("""COMPUTED_VALUE"""),0.0)</f>
        <v>0</v>
      </c>
      <c r="V338" s="180">
        <f>IFERROR(__xludf.DUMMYFUNCTION("""COMPUTED_VALUE"""),0.0)</f>
        <v>0</v>
      </c>
      <c r="W338" s="180">
        <f>IFERROR(__xludf.DUMMYFUNCTION("""COMPUTED_VALUE"""),0.95)</f>
        <v>0.95</v>
      </c>
      <c r="X338" s="42">
        <f>IFERROR(__xludf.DUMMYFUNCTION("""COMPUTED_VALUE"""),0.0)</f>
        <v>0</v>
      </c>
      <c r="Y338" s="42">
        <f>IFERROR(__xludf.DUMMYFUNCTION("""COMPUTED_VALUE"""),0.0)</f>
        <v>0</v>
      </c>
      <c r="Z338" s="9">
        <f>IFERROR(__xludf.DUMMYFUNCTION("""COMPUTED_VALUE"""),0.0)</f>
        <v>0</v>
      </c>
      <c r="AA338" s="181">
        <f>IFERROR(__xludf.DUMMYFUNCTION("""COMPUTED_VALUE"""),0.0)</f>
        <v>0</v>
      </c>
      <c r="AB338" s="181">
        <f>IFERROR(__xludf.DUMMYFUNCTION("""COMPUTED_VALUE"""),0.0)</f>
        <v>0</v>
      </c>
      <c r="AC338" s="179">
        <f>IFERROR(__xludf.DUMMYFUNCTION("""COMPUTED_VALUE"""),0.0)</f>
        <v>0</v>
      </c>
      <c r="AD338" s="165">
        <f>IFERROR(__xludf.DUMMYFUNCTION("""COMPUTED_VALUE"""),0.0)</f>
        <v>0</v>
      </c>
      <c r="AE338" s="39" t="str">
        <f>IFERROR(__xludf.DUMMYFUNCTION("""COMPUTED_VALUE"""),"Hiroshi Yamakawa")</f>
        <v>Hiroshi Yamakawa</v>
      </c>
      <c r="AF338" s="39" t="str">
        <f>IFERROR(__xludf.DUMMYFUNCTION("""COMPUTED_VALUE"""),"HY18NeocorticalInterareaSignals")</f>
        <v>HY18NeocorticalInterareaSignals</v>
      </c>
      <c r="AG338" s="39"/>
      <c r="AH338" s="39"/>
      <c r="AI338" s="165"/>
      <c r="AJ338" s="165"/>
      <c r="AK338" s="111"/>
      <c r="AL338" s="111"/>
      <c r="AM338" s="111"/>
      <c r="AN338" s="111"/>
      <c r="AO338" s="111"/>
      <c r="AP338" s="111"/>
      <c r="AQ338" s="116"/>
      <c r="AR338" s="116"/>
      <c r="AS338" s="116"/>
    </row>
    <row r="339">
      <c r="A339" s="42" t="str">
        <f>IFERROR(__xludf.DUMMYFUNCTION("""COMPUTED_VALUE"""),"Cx.L5PT")</f>
        <v>Cx.L5PT</v>
      </c>
      <c r="B339" s="42"/>
      <c r="C339" s="42"/>
      <c r="D339" s="42" t="str">
        <f>IFERROR(__xludf.DUMMYFUNCTION("""COMPUTED_VALUE"""),"R")</f>
        <v>R</v>
      </c>
      <c r="E339" s="42"/>
      <c r="F339" s="42"/>
      <c r="G339" s="42"/>
      <c r="H339" s="42" t="str">
        <f>IFERROR(__xludf.DUMMYFUNCTION("""COMPUTED_VALUE"""),"")</f>
        <v/>
      </c>
      <c r="I339" s="42" t="str">
        <f>IFERROR(__xludf.DUMMYFUNCTION("""COMPUTED_VALUE"""),"Bonjean, 2012")</f>
        <v>Bonjean, 2012</v>
      </c>
      <c r="J339" s="42"/>
      <c r="K339" s="42"/>
      <c r="L339" s="42"/>
      <c r="M339" s="42"/>
      <c r="N339" s="42"/>
      <c r="O339" s="31" t="str">
        <f>IFERROR(__xludf.DUMMYFUNCTION("""COMPUTED_VALUE"""),"DOC")</f>
        <v>DOC</v>
      </c>
      <c r="P339" s="9" t="str">
        <f>IFERROR(__xludf.DUMMYFUNCTION("""COMPUTED_VALUE"""),"Journal of Neuroscience")</f>
        <v>Journal of Neuroscience</v>
      </c>
      <c r="Q339" s="9"/>
      <c r="R339" s="179" t="str">
        <f>IFERROR(__xludf.DUMMYFUNCTION("""COMPUTED_VALUE"""),"R (00/00) [Bonjean, 2012][Lemieux, 2014];
")</f>
        <v>R (00/00) [Bonjean, 2012][Lemieux, 2014];
</v>
      </c>
      <c r="S339" s="179" t="str">
        <f>IFERROR(__xludf.DUMMYFUNCTION("""COMPUTED_VALUE"""),"Cx.L5PTR")</f>
        <v>Cx.L5PTR</v>
      </c>
      <c r="T339" s="179" t="str">
        <f>IFERROR(__xludf.DUMMYFUNCTION("""COMPUTED_VALUE"""),"[Bonjean, 2012]")</f>
        <v>[Bonjean, 2012]</v>
      </c>
      <c r="U339" s="179">
        <f>IFERROR(__xludf.DUMMYFUNCTION("""COMPUTED_VALUE"""),0.0)</f>
        <v>0</v>
      </c>
      <c r="V339" s="180">
        <f>IFERROR(__xludf.DUMMYFUNCTION("""COMPUTED_VALUE"""),0.0)</f>
        <v>0</v>
      </c>
      <c r="W339" s="180">
        <f>IFERROR(__xludf.DUMMYFUNCTION("""COMPUTED_VALUE"""),0.95)</f>
        <v>0.95</v>
      </c>
      <c r="X339" s="42">
        <f>IFERROR(__xludf.DUMMYFUNCTION("""COMPUTED_VALUE"""),0.0)</f>
        <v>0</v>
      </c>
      <c r="Y339" s="42">
        <f>IFERROR(__xludf.DUMMYFUNCTION("""COMPUTED_VALUE"""),0.0)</f>
        <v>0</v>
      </c>
      <c r="Z339" s="9">
        <f>IFERROR(__xludf.DUMMYFUNCTION("""COMPUTED_VALUE"""),0.0)</f>
        <v>0</v>
      </c>
      <c r="AA339" s="181">
        <f>IFERROR(__xludf.DUMMYFUNCTION("""COMPUTED_VALUE"""),0.0)</f>
        <v>0</v>
      </c>
      <c r="AB339" s="181">
        <f>IFERROR(__xludf.DUMMYFUNCTION("""COMPUTED_VALUE"""),0.0)</f>
        <v>0</v>
      </c>
      <c r="AC339" s="179">
        <f>IFERROR(__xludf.DUMMYFUNCTION("""COMPUTED_VALUE"""),0.0)</f>
        <v>0</v>
      </c>
      <c r="AD339" s="165">
        <f>IFERROR(__xludf.DUMMYFUNCTION("""COMPUTED_VALUE"""),0.0)</f>
        <v>0</v>
      </c>
      <c r="AE339" s="39" t="str">
        <f>IFERROR(__xludf.DUMMYFUNCTION("""COMPUTED_VALUE"""),"Hiroshi Yamakawa")</f>
        <v>Hiroshi Yamakawa</v>
      </c>
      <c r="AF339" s="39" t="str">
        <f>IFERROR(__xludf.DUMMYFUNCTION("""COMPUTED_VALUE"""),"HY18NeocorticalInterareaSignals")</f>
        <v>HY18NeocorticalInterareaSignals</v>
      </c>
      <c r="AG339" s="39"/>
      <c r="AH339" s="39"/>
      <c r="AI339" s="165"/>
      <c r="AJ339" s="165"/>
      <c r="AK339" s="111"/>
      <c r="AL339" s="111"/>
      <c r="AM339" s="111"/>
      <c r="AN339" s="111"/>
      <c r="AO339" s="111"/>
      <c r="AP339" s="111"/>
      <c r="AQ339" s="116"/>
      <c r="AR339" s="116"/>
      <c r="AS339" s="116"/>
    </row>
    <row r="340">
      <c r="A340" s="42" t="str">
        <f>IFERROR(__xludf.DUMMYFUNCTION("""COMPUTED_VALUE"""),"Cx.L5PT")</f>
        <v>Cx.L5PT</v>
      </c>
      <c r="B340" s="42"/>
      <c r="C340" s="42"/>
      <c r="D340" s="42" t="str">
        <f>IFERROR(__xludf.DUMMYFUNCTION("""COMPUTED_VALUE"""),"TRN_matrix")</f>
        <v>TRN_matrix</v>
      </c>
      <c r="E340" s="42"/>
      <c r="F340" s="42"/>
      <c r="G340" s="42"/>
      <c r="H340" s="42" t="str">
        <f>IFERROR(__xludf.DUMMYFUNCTION("""COMPUTED_VALUE"""),"")</f>
        <v/>
      </c>
      <c r="I340" s="42" t="str">
        <f>IFERROR(__xludf.DUMMYFUNCTION("""COMPUTED_VALUE"""),"Bonjean, 2012")</f>
        <v>Bonjean, 2012</v>
      </c>
      <c r="J340" s="42"/>
      <c r="K340" s="42"/>
      <c r="L340" s="42"/>
      <c r="M340" s="42"/>
      <c r="N340" s="42"/>
      <c r="O340" s="31" t="str">
        <f>IFERROR(__xludf.DUMMYFUNCTION("""COMPUTED_VALUE"""),"DOC")</f>
        <v>DOC</v>
      </c>
      <c r="P340" s="9" t="str">
        <f>IFERROR(__xludf.DUMMYFUNCTION("""COMPUTED_VALUE"""),"Journal of Neuroscience")</f>
        <v>Journal of Neuroscience</v>
      </c>
      <c r="Q340" s="9"/>
      <c r="R340" s="179" t="str">
        <f>IFERROR(__xludf.DUMMYFUNCTION("""COMPUTED_VALUE"""),"TRN_matrix (00/00) [Baker, 2018][Bonjean, 2012][Lemieux, 2014][Rodriguez, 2004][Shepherd, 2013];
")</f>
        <v>TRN_matrix (00/00) [Baker, 2018][Bonjean, 2012][Lemieux, 2014][Rodriguez, 2004][Shepherd, 2013];
</v>
      </c>
      <c r="S340" s="179" t="str">
        <f>IFERROR(__xludf.DUMMYFUNCTION("""COMPUTED_VALUE"""),"Cx.L5PTTRN_matrix")</f>
        <v>Cx.L5PTTRN_matrix</v>
      </c>
      <c r="T340" s="179" t="str">
        <f>IFERROR(__xludf.DUMMYFUNCTION("""COMPUTED_VALUE"""),"[Bonjean, 2012]")</f>
        <v>[Bonjean, 2012]</v>
      </c>
      <c r="U340" s="179">
        <f>IFERROR(__xludf.DUMMYFUNCTION("""COMPUTED_VALUE"""),0.0)</f>
        <v>0</v>
      </c>
      <c r="V340" s="180">
        <f>IFERROR(__xludf.DUMMYFUNCTION("""COMPUTED_VALUE"""),0.0)</f>
        <v>0</v>
      </c>
      <c r="W340" s="180">
        <f>IFERROR(__xludf.DUMMYFUNCTION("""COMPUTED_VALUE"""),0.95)</f>
        <v>0.95</v>
      </c>
      <c r="X340" s="42">
        <f>IFERROR(__xludf.DUMMYFUNCTION("""COMPUTED_VALUE"""),0.0)</f>
        <v>0</v>
      </c>
      <c r="Y340" s="42">
        <f>IFERROR(__xludf.DUMMYFUNCTION("""COMPUTED_VALUE"""),0.0)</f>
        <v>0</v>
      </c>
      <c r="Z340" s="9">
        <f>IFERROR(__xludf.DUMMYFUNCTION("""COMPUTED_VALUE"""),0.0)</f>
        <v>0</v>
      </c>
      <c r="AA340" s="181">
        <f>IFERROR(__xludf.DUMMYFUNCTION("""COMPUTED_VALUE"""),0.0)</f>
        <v>0</v>
      </c>
      <c r="AB340" s="181">
        <f>IFERROR(__xludf.DUMMYFUNCTION("""COMPUTED_VALUE"""),0.0)</f>
        <v>0</v>
      </c>
      <c r="AC340" s="179">
        <f>IFERROR(__xludf.DUMMYFUNCTION("""COMPUTED_VALUE"""),0.0)</f>
        <v>0</v>
      </c>
      <c r="AD340" s="165">
        <f>IFERROR(__xludf.DUMMYFUNCTION("""COMPUTED_VALUE"""),0.0)</f>
        <v>0</v>
      </c>
      <c r="AE340" s="39" t="str">
        <f>IFERROR(__xludf.DUMMYFUNCTION("""COMPUTED_VALUE"""),"Hiroshi Yamakawa")</f>
        <v>Hiroshi Yamakawa</v>
      </c>
      <c r="AF340" s="39" t="str">
        <f>IFERROR(__xludf.DUMMYFUNCTION("""COMPUTED_VALUE"""),"HY18NeocorticalInterareaSignals")</f>
        <v>HY18NeocorticalInterareaSignals</v>
      </c>
      <c r="AG340" s="39"/>
      <c r="AH340" s="39"/>
      <c r="AI340" s="165"/>
      <c r="AJ340" s="165"/>
      <c r="AK340" s="111"/>
      <c r="AL340" s="111"/>
      <c r="AM340" s="111"/>
      <c r="AN340" s="111"/>
      <c r="AO340" s="111"/>
      <c r="AP340" s="111"/>
      <c r="AQ340" s="116"/>
      <c r="AR340" s="116"/>
      <c r="AS340" s="116"/>
    </row>
    <row r="341">
      <c r="A341" s="42" t="str">
        <f>IFERROR(__xludf.DUMMYFUNCTION("""COMPUTED_VALUE"""),"Cx.L5PT")</f>
        <v>Cx.L5PT</v>
      </c>
      <c r="B341" s="42"/>
      <c r="C341" s="42"/>
      <c r="D341" s="42" t="str">
        <f>IFERROR(__xludf.DUMMYFUNCTION("""COMPUTED_VALUE"""),"TRN_IL")</f>
        <v>TRN_IL</v>
      </c>
      <c r="E341" s="42"/>
      <c r="F341" s="42"/>
      <c r="G341" s="42"/>
      <c r="H341" s="42" t="str">
        <f>IFERROR(__xludf.DUMMYFUNCTION("""COMPUTED_VALUE"""),"?")</f>
        <v>?</v>
      </c>
      <c r="I341" s="42" t="str">
        <f>IFERROR(__xludf.DUMMYFUNCTION("""COMPUTED_VALUE"""),"Clascá, 2012")</f>
        <v>Clascá, 2012</v>
      </c>
      <c r="J341" s="42"/>
      <c r="K341" s="42"/>
      <c r="L341" s="42"/>
      <c r="M341" s="42"/>
      <c r="N341" s="42"/>
      <c r="O341" s="31" t="str">
        <f>IFERROR(__xludf.DUMMYFUNCTION("""COMPUTED_VALUE"""),"DOC")</f>
        <v>DOC</v>
      </c>
      <c r="P341" s="9" t="str">
        <f>IFERROR(__xludf.DUMMYFUNCTION("""COMPUTED_VALUE"""),"European Journal of Neuroscience")</f>
        <v>European Journal of Neuroscience</v>
      </c>
      <c r="Q341" s="9"/>
      <c r="R341" s="179" t="str">
        <f>IFERROR(__xludf.DUMMYFUNCTION("""COMPUTED_VALUE"""),"TRN_IL (00/00) [Clascá, 2012]?;
")</f>
        <v>TRN_IL (00/00) [Clascá, 2012]?;
</v>
      </c>
      <c r="S341" s="179" t="str">
        <f>IFERROR(__xludf.DUMMYFUNCTION("""COMPUTED_VALUE"""),"Cx.L5PTTRN_IL")</f>
        <v>Cx.L5PTTRN_IL</v>
      </c>
      <c r="T341" s="179" t="str">
        <f>IFERROR(__xludf.DUMMYFUNCTION("""COMPUTED_VALUE"""),"[Clascá, 2012]")</f>
        <v>[Clascá, 2012]</v>
      </c>
      <c r="U341" s="179">
        <f>IFERROR(__xludf.DUMMYFUNCTION("""COMPUTED_VALUE"""),0.0)</f>
        <v>0</v>
      </c>
      <c r="V341" s="180">
        <f>IFERROR(__xludf.DUMMYFUNCTION("""COMPUTED_VALUE"""),0.0)</f>
        <v>0</v>
      </c>
      <c r="W341" s="180">
        <f>IFERROR(__xludf.DUMMYFUNCTION("""COMPUTED_VALUE"""),0.95)</f>
        <v>0.95</v>
      </c>
      <c r="X341" s="42">
        <f>IFERROR(__xludf.DUMMYFUNCTION("""COMPUTED_VALUE"""),0.0)</f>
        <v>0</v>
      </c>
      <c r="Y341" s="42">
        <f>IFERROR(__xludf.DUMMYFUNCTION("""COMPUTED_VALUE"""),0.0)</f>
        <v>0</v>
      </c>
      <c r="Z341" s="9">
        <f>IFERROR(__xludf.DUMMYFUNCTION("""COMPUTED_VALUE"""),0.0)</f>
        <v>0</v>
      </c>
      <c r="AA341" s="181">
        <f>IFERROR(__xludf.DUMMYFUNCTION("""COMPUTED_VALUE"""),0.0)</f>
        <v>0</v>
      </c>
      <c r="AB341" s="181">
        <f>IFERROR(__xludf.DUMMYFUNCTION("""COMPUTED_VALUE"""),0.0)</f>
        <v>0</v>
      </c>
      <c r="AC341" s="179">
        <f>IFERROR(__xludf.DUMMYFUNCTION("""COMPUTED_VALUE"""),0.0)</f>
        <v>0</v>
      </c>
      <c r="AD341" s="165">
        <f>IFERROR(__xludf.DUMMYFUNCTION("""COMPUTED_VALUE"""),0.0)</f>
        <v>0</v>
      </c>
      <c r="AE341" s="39" t="str">
        <f>IFERROR(__xludf.DUMMYFUNCTION("""COMPUTED_VALUE"""),"Hiroshi Yamakawa")</f>
        <v>Hiroshi Yamakawa</v>
      </c>
      <c r="AF341" s="39" t="str">
        <f>IFERROR(__xludf.DUMMYFUNCTION("""COMPUTED_VALUE"""),"HY18NeocorticalInterareaSignals")</f>
        <v>HY18NeocorticalInterareaSignals</v>
      </c>
      <c r="AG341" s="39"/>
      <c r="AH341" s="39"/>
      <c r="AI341" s="165"/>
      <c r="AJ341" s="165"/>
      <c r="AK341" s="111"/>
      <c r="AL341" s="111"/>
      <c r="AM341" s="111"/>
      <c r="AN341" s="111"/>
      <c r="AO341" s="111"/>
      <c r="AP341" s="111"/>
      <c r="AQ341" s="116"/>
      <c r="AR341" s="116"/>
      <c r="AS341" s="116"/>
    </row>
    <row r="342">
      <c r="A342" s="42" t="str">
        <f>IFERROR(__xludf.DUMMYFUNCTION("""COMPUTED_VALUE"""),"Cx.L5PT")</f>
        <v>Cx.L5PT</v>
      </c>
      <c r="B342" s="42"/>
      <c r="C342" s="42"/>
      <c r="D342" s="42" t="str">
        <f>IFERROR(__xludf.DUMMYFUNCTION("""COMPUTED_VALUE"""),"Mo")</f>
        <v>Mo</v>
      </c>
      <c r="E342" s="42"/>
      <c r="F342" s="42"/>
      <c r="G342" s="42"/>
      <c r="H342" s="42" t="str">
        <f>IFERROR(__xludf.DUMMYFUNCTION("""COMPUTED_VALUE"""),"")</f>
        <v/>
      </c>
      <c r="I342" s="42" t="str">
        <f>IFERROR(__xludf.DUMMYFUNCTION("""COMPUTED_VALUE"""),"Economo, 2018")</f>
        <v>Economo, 2018</v>
      </c>
      <c r="J342" s="42"/>
      <c r="K342" s="42"/>
      <c r="L342" s="42"/>
      <c r="M342" s="42"/>
      <c r="N342" s="42"/>
      <c r="O342" s="31" t="str">
        <f>IFERROR(__xludf.DUMMYFUNCTION("""COMPUTED_VALUE"""),"DOC")</f>
        <v>DOC</v>
      </c>
      <c r="P342" s="9" t="str">
        <f>IFERROR(__xludf.DUMMYFUNCTION("""COMPUTED_VALUE"""),"Nature")</f>
        <v>Nature</v>
      </c>
      <c r="Q342" s="9"/>
      <c r="R342" s="179" t="str">
        <f>IFERROR(__xludf.DUMMYFUNCTION("""COMPUTED_VALUE"""),"Mo (00/00) [Economo, 2018];
")</f>
        <v>Mo (00/00) [Economo, 2018];
</v>
      </c>
      <c r="S342" s="179" t="str">
        <f>IFERROR(__xludf.DUMMYFUNCTION("""COMPUTED_VALUE"""),"Cx.L5PTMo")</f>
        <v>Cx.L5PTMo</v>
      </c>
      <c r="T342" s="179" t="str">
        <f>IFERROR(__xludf.DUMMYFUNCTION("""COMPUTED_VALUE"""),"[Economo, 2018]")</f>
        <v>[Economo, 2018]</v>
      </c>
      <c r="U342" s="179">
        <f>IFERROR(__xludf.DUMMYFUNCTION("""COMPUTED_VALUE"""),0.0)</f>
        <v>0</v>
      </c>
      <c r="V342" s="180">
        <f>IFERROR(__xludf.DUMMYFUNCTION("""COMPUTED_VALUE"""),0.0)</f>
        <v>0</v>
      </c>
      <c r="W342" s="180">
        <f>IFERROR(__xludf.DUMMYFUNCTION("""COMPUTED_VALUE"""),0.95)</f>
        <v>0.95</v>
      </c>
      <c r="X342" s="42">
        <f>IFERROR(__xludf.DUMMYFUNCTION("""COMPUTED_VALUE"""),0.0)</f>
        <v>0</v>
      </c>
      <c r="Y342" s="42">
        <f>IFERROR(__xludf.DUMMYFUNCTION("""COMPUTED_VALUE"""),0.0)</f>
        <v>0</v>
      </c>
      <c r="Z342" s="9">
        <f>IFERROR(__xludf.DUMMYFUNCTION("""COMPUTED_VALUE"""),0.0)</f>
        <v>0</v>
      </c>
      <c r="AA342" s="181">
        <f>IFERROR(__xludf.DUMMYFUNCTION("""COMPUTED_VALUE"""),0.0)</f>
        <v>0</v>
      </c>
      <c r="AB342" s="181">
        <f>IFERROR(__xludf.DUMMYFUNCTION("""COMPUTED_VALUE"""),0.0)</f>
        <v>0</v>
      </c>
      <c r="AC342" s="179">
        <f>IFERROR(__xludf.DUMMYFUNCTION("""COMPUTED_VALUE"""),0.0)</f>
        <v>0</v>
      </c>
      <c r="AD342" s="165">
        <f>IFERROR(__xludf.DUMMYFUNCTION("""COMPUTED_VALUE"""),0.0)</f>
        <v>0</v>
      </c>
      <c r="AE342" s="39" t="str">
        <f>IFERROR(__xludf.DUMMYFUNCTION("""COMPUTED_VALUE"""),"Hiroshi Yamakawa")</f>
        <v>Hiroshi Yamakawa</v>
      </c>
      <c r="AF342" s="39" t="str">
        <f>IFERROR(__xludf.DUMMYFUNCTION("""COMPUTED_VALUE"""),"HY18NeocorticalInterareaSignals")</f>
        <v>HY18NeocorticalInterareaSignals</v>
      </c>
      <c r="AG342" s="39"/>
      <c r="AH342" s="39"/>
      <c r="AI342" s="165"/>
      <c r="AJ342" s="165"/>
      <c r="AK342" s="111"/>
      <c r="AL342" s="111"/>
      <c r="AM342" s="111"/>
      <c r="AN342" s="111"/>
      <c r="AO342" s="111"/>
      <c r="AP342" s="111"/>
      <c r="AQ342" s="116"/>
      <c r="AR342" s="116"/>
      <c r="AS342" s="116"/>
    </row>
    <row r="343">
      <c r="A343" s="42" t="str">
        <f>IFERROR(__xludf.DUMMYFUNCTION("""COMPUTED_VALUE"""),"Cx.L5PT")</f>
        <v>Cx.L5PT</v>
      </c>
      <c r="B343" s="42"/>
      <c r="C343" s="42"/>
      <c r="D343" s="42" t="str">
        <f>IFERROR(__xludf.DUMMYFUNCTION("""COMPUTED_VALUE"""),"Po")</f>
        <v>Po</v>
      </c>
      <c r="E343" s="42"/>
      <c r="F343" s="42"/>
      <c r="G343" s="42"/>
      <c r="H343" s="42" t="str">
        <f>IFERROR(__xludf.DUMMYFUNCTION("""COMPUTED_VALUE"""),"")</f>
        <v/>
      </c>
      <c r="I343" s="42" t="str">
        <f>IFERROR(__xludf.DUMMYFUNCTION("""COMPUTED_VALUE"""),"Economo, 2018")</f>
        <v>Economo, 2018</v>
      </c>
      <c r="J343" s="42"/>
      <c r="K343" s="42"/>
      <c r="L343" s="42"/>
      <c r="M343" s="42"/>
      <c r="N343" s="42"/>
      <c r="O343" s="31" t="str">
        <f>IFERROR(__xludf.DUMMYFUNCTION("""COMPUTED_VALUE"""),"DOC")</f>
        <v>DOC</v>
      </c>
      <c r="P343" s="9" t="str">
        <f>IFERROR(__xludf.DUMMYFUNCTION("""COMPUTED_VALUE"""),"Nature")</f>
        <v>Nature</v>
      </c>
      <c r="Q343" s="9"/>
      <c r="R343" s="179" t="str">
        <f>IFERROR(__xludf.DUMMYFUNCTION("""COMPUTED_VALUE"""),"Po (00/00) [Baker, 2018][Economo, 2018];
")</f>
        <v>Po (00/00) [Baker, 2018][Economo, 2018];
</v>
      </c>
      <c r="S343" s="179" t="str">
        <f>IFERROR(__xludf.DUMMYFUNCTION("""COMPUTED_VALUE"""),"Cx.L5PTPo")</f>
        <v>Cx.L5PTPo</v>
      </c>
      <c r="T343" s="179" t="str">
        <f>IFERROR(__xludf.DUMMYFUNCTION("""COMPUTED_VALUE"""),"[Economo, 2018]")</f>
        <v>[Economo, 2018]</v>
      </c>
      <c r="U343" s="179">
        <f>IFERROR(__xludf.DUMMYFUNCTION("""COMPUTED_VALUE"""),0.0)</f>
        <v>0</v>
      </c>
      <c r="V343" s="180">
        <f>IFERROR(__xludf.DUMMYFUNCTION("""COMPUTED_VALUE"""),0.0)</f>
        <v>0</v>
      </c>
      <c r="W343" s="180">
        <f>IFERROR(__xludf.DUMMYFUNCTION("""COMPUTED_VALUE"""),0.95)</f>
        <v>0.95</v>
      </c>
      <c r="X343" s="42">
        <f>IFERROR(__xludf.DUMMYFUNCTION("""COMPUTED_VALUE"""),0.0)</f>
        <v>0</v>
      </c>
      <c r="Y343" s="42">
        <f>IFERROR(__xludf.DUMMYFUNCTION("""COMPUTED_VALUE"""),0.0)</f>
        <v>0</v>
      </c>
      <c r="Z343" s="9">
        <f>IFERROR(__xludf.DUMMYFUNCTION("""COMPUTED_VALUE"""),0.0)</f>
        <v>0</v>
      </c>
      <c r="AA343" s="181">
        <f>IFERROR(__xludf.DUMMYFUNCTION("""COMPUTED_VALUE"""),0.0)</f>
        <v>0</v>
      </c>
      <c r="AB343" s="181">
        <f>IFERROR(__xludf.DUMMYFUNCTION("""COMPUTED_VALUE"""),0.0)</f>
        <v>0</v>
      </c>
      <c r="AC343" s="179">
        <f>IFERROR(__xludf.DUMMYFUNCTION("""COMPUTED_VALUE"""),0.0)</f>
        <v>0</v>
      </c>
      <c r="AD343" s="165">
        <f>IFERROR(__xludf.DUMMYFUNCTION("""COMPUTED_VALUE"""),0.0)</f>
        <v>0</v>
      </c>
      <c r="AE343" s="39" t="str">
        <f>IFERROR(__xludf.DUMMYFUNCTION("""COMPUTED_VALUE"""),"Hiroshi Yamakawa")</f>
        <v>Hiroshi Yamakawa</v>
      </c>
      <c r="AF343" s="39" t="str">
        <f>IFERROR(__xludf.DUMMYFUNCTION("""COMPUTED_VALUE"""),"HY18NeocorticalInterareaSignals")</f>
        <v>HY18NeocorticalInterareaSignals</v>
      </c>
      <c r="AG343" s="39"/>
      <c r="AH343" s="39"/>
      <c r="AI343" s="165"/>
      <c r="AJ343" s="165"/>
      <c r="AK343" s="111"/>
      <c r="AL343" s="111"/>
      <c r="AM343" s="111"/>
      <c r="AN343" s="111"/>
      <c r="AO343" s="111"/>
      <c r="AP343" s="111"/>
      <c r="AQ343" s="116"/>
      <c r="AR343" s="116"/>
      <c r="AS343" s="116"/>
    </row>
    <row r="344">
      <c r="A344" s="42" t="str">
        <f>IFERROR(__xludf.DUMMYFUNCTION("""COMPUTED_VALUE"""),"Cx.L5PT")</f>
        <v>Cx.L5PT</v>
      </c>
      <c r="B344" s="42"/>
      <c r="C344" s="42"/>
      <c r="D344" s="42" t="str">
        <f>IFERROR(__xludf.DUMMYFUNCTION("""COMPUTED_VALUE"""),"SC")</f>
        <v>SC</v>
      </c>
      <c r="E344" s="42"/>
      <c r="F344" s="42"/>
      <c r="G344" s="42"/>
      <c r="H344" s="42" t="str">
        <f>IFERROR(__xludf.DUMMYFUNCTION("""COMPUTED_VALUE"""),"")</f>
        <v/>
      </c>
      <c r="I344" s="42" t="str">
        <f>IFERROR(__xludf.DUMMYFUNCTION("""COMPUTED_VALUE"""),"Economo, 2018")</f>
        <v>Economo, 2018</v>
      </c>
      <c r="J344" s="42"/>
      <c r="K344" s="42"/>
      <c r="L344" s="42"/>
      <c r="M344" s="42"/>
      <c r="N344" s="42"/>
      <c r="O344" s="31" t="str">
        <f>IFERROR(__xludf.DUMMYFUNCTION("""COMPUTED_VALUE"""),"DOC")</f>
        <v>DOC</v>
      </c>
      <c r="P344" s="9" t="str">
        <f>IFERROR(__xludf.DUMMYFUNCTION("""COMPUTED_VALUE"""),"Nature")</f>
        <v>Nature</v>
      </c>
      <c r="Q344" s="9"/>
      <c r="R344" s="179" t="str">
        <f>IFERROR(__xludf.DUMMYFUNCTION("""COMPUTED_VALUE"""),"SC (00/00) [Economo, 2018];
")</f>
        <v>SC (00/00) [Economo, 2018];
</v>
      </c>
      <c r="S344" s="179" t="str">
        <f>IFERROR(__xludf.DUMMYFUNCTION("""COMPUTED_VALUE"""),"Cx.L5PTSC")</f>
        <v>Cx.L5PTSC</v>
      </c>
      <c r="T344" s="179" t="str">
        <f>IFERROR(__xludf.DUMMYFUNCTION("""COMPUTED_VALUE"""),"[Economo, 2018]")</f>
        <v>[Economo, 2018]</v>
      </c>
      <c r="U344" s="179">
        <f>IFERROR(__xludf.DUMMYFUNCTION("""COMPUTED_VALUE"""),0.0)</f>
        <v>0</v>
      </c>
      <c r="V344" s="180">
        <f>IFERROR(__xludf.DUMMYFUNCTION("""COMPUTED_VALUE"""),0.0)</f>
        <v>0</v>
      </c>
      <c r="W344" s="180">
        <f>IFERROR(__xludf.DUMMYFUNCTION("""COMPUTED_VALUE"""),0.95)</f>
        <v>0.95</v>
      </c>
      <c r="X344" s="42">
        <f>IFERROR(__xludf.DUMMYFUNCTION("""COMPUTED_VALUE"""),0.0)</f>
        <v>0</v>
      </c>
      <c r="Y344" s="42">
        <f>IFERROR(__xludf.DUMMYFUNCTION("""COMPUTED_VALUE"""),0.0)</f>
        <v>0</v>
      </c>
      <c r="Z344" s="9">
        <f>IFERROR(__xludf.DUMMYFUNCTION("""COMPUTED_VALUE"""),0.0)</f>
        <v>0</v>
      </c>
      <c r="AA344" s="181">
        <f>IFERROR(__xludf.DUMMYFUNCTION("""COMPUTED_VALUE"""),0.0)</f>
        <v>0</v>
      </c>
      <c r="AB344" s="181">
        <f>IFERROR(__xludf.DUMMYFUNCTION("""COMPUTED_VALUE"""),0.0)</f>
        <v>0</v>
      </c>
      <c r="AC344" s="179">
        <f>IFERROR(__xludf.DUMMYFUNCTION("""COMPUTED_VALUE"""),0.0)</f>
        <v>0</v>
      </c>
      <c r="AD344" s="165">
        <f>IFERROR(__xludf.DUMMYFUNCTION("""COMPUTED_VALUE"""),0.0)</f>
        <v>0</v>
      </c>
      <c r="AE344" s="39" t="str">
        <f>IFERROR(__xludf.DUMMYFUNCTION("""COMPUTED_VALUE"""),"Hiroshi Yamakawa")</f>
        <v>Hiroshi Yamakawa</v>
      </c>
      <c r="AF344" s="39" t="str">
        <f>IFERROR(__xludf.DUMMYFUNCTION("""COMPUTED_VALUE"""),"HY18NeocorticalInterareaSignals")</f>
        <v>HY18NeocorticalInterareaSignals</v>
      </c>
      <c r="AG344" s="39"/>
      <c r="AH344" s="39"/>
      <c r="AI344" s="165"/>
      <c r="AJ344" s="165"/>
      <c r="AK344" s="111"/>
      <c r="AL344" s="111"/>
      <c r="AM344" s="111"/>
      <c r="AN344" s="111"/>
      <c r="AO344" s="111"/>
      <c r="AP344" s="111"/>
      <c r="AQ344" s="116"/>
      <c r="AR344" s="116"/>
      <c r="AS344" s="116"/>
    </row>
    <row r="345">
      <c r="A345" s="42" t="str">
        <f>IFERROR(__xludf.DUMMYFUNCTION("""COMPUTED_VALUE"""),"Cx.L5PT")</f>
        <v>Cx.L5PT</v>
      </c>
      <c r="B345" s="42"/>
      <c r="C345" s="42"/>
      <c r="D345" s="42" t="str">
        <f>IFERROR(__xludf.DUMMYFUNCTION("""COMPUTED_VALUE"""),"csp-h")</f>
        <v>csp-h</v>
      </c>
      <c r="E345" s="42"/>
      <c r="F345" s="42"/>
      <c r="G345" s="42"/>
      <c r="H345" s="42" t="str">
        <f>IFERROR(__xludf.DUMMYFUNCTION("""COMPUTED_VALUE"""),"")</f>
        <v/>
      </c>
      <c r="I345" s="42" t="str">
        <f>IFERROR(__xludf.DUMMYFUNCTION("""COMPUTED_VALUE"""),"Kaneko, 2013")</f>
        <v>Kaneko, 2013</v>
      </c>
      <c r="J345" s="42"/>
      <c r="K345" s="42"/>
      <c r="L345" s="42"/>
      <c r="M345" s="42"/>
      <c r="N345" s="42"/>
      <c r="O345" s="31" t="str">
        <f>IFERROR(__xludf.DUMMYFUNCTION("""COMPUTED_VALUE"""),"DOC")</f>
        <v>DOC</v>
      </c>
      <c r="P345" s="9" t="str">
        <f>IFERROR(__xludf.DUMMYFUNCTION("""COMPUTED_VALUE"""),"Frontiers in Neural Circuits")</f>
        <v>Frontiers in Neural Circuits</v>
      </c>
      <c r="Q345" s="9"/>
      <c r="R345" s="179" t="str">
        <f>IFERROR(__xludf.DUMMYFUNCTION("""COMPUTED_VALUE"""),"csp-h (00/00) [Baker, 2018][Kaneko, 2013][Shepherd, 2013];
")</f>
        <v>csp-h (00/00) [Baker, 2018][Kaneko, 2013][Shepherd, 2013];
</v>
      </c>
      <c r="S345" s="179" t="str">
        <f>IFERROR(__xludf.DUMMYFUNCTION("""COMPUTED_VALUE"""),"Cx.L5PTcsp-h")</f>
        <v>Cx.L5PTcsp-h</v>
      </c>
      <c r="T345" s="179" t="str">
        <f>IFERROR(__xludf.DUMMYFUNCTION("""COMPUTED_VALUE"""),"[Kaneko, 2013]")</f>
        <v>[Kaneko, 2013]</v>
      </c>
      <c r="U345" s="179">
        <f>IFERROR(__xludf.DUMMYFUNCTION("""COMPUTED_VALUE"""),0.0)</f>
        <v>0</v>
      </c>
      <c r="V345" s="180">
        <f>IFERROR(__xludf.DUMMYFUNCTION("""COMPUTED_VALUE"""),0.0)</f>
        <v>0</v>
      </c>
      <c r="W345" s="180">
        <f>IFERROR(__xludf.DUMMYFUNCTION("""COMPUTED_VALUE"""),0.95)</f>
        <v>0.95</v>
      </c>
      <c r="X345" s="42">
        <f>IFERROR(__xludf.DUMMYFUNCTION("""COMPUTED_VALUE"""),0.0)</f>
        <v>0</v>
      </c>
      <c r="Y345" s="42">
        <f>IFERROR(__xludf.DUMMYFUNCTION("""COMPUTED_VALUE"""),0.0)</f>
        <v>0</v>
      </c>
      <c r="Z345" s="9">
        <f>IFERROR(__xludf.DUMMYFUNCTION("""COMPUTED_VALUE"""),0.0)</f>
        <v>0</v>
      </c>
      <c r="AA345" s="181">
        <f>IFERROR(__xludf.DUMMYFUNCTION("""COMPUTED_VALUE"""),0.0)</f>
        <v>0</v>
      </c>
      <c r="AB345" s="181">
        <f>IFERROR(__xludf.DUMMYFUNCTION("""COMPUTED_VALUE"""),0.0)</f>
        <v>0</v>
      </c>
      <c r="AC345" s="179">
        <f>IFERROR(__xludf.DUMMYFUNCTION("""COMPUTED_VALUE"""),0.0)</f>
        <v>0</v>
      </c>
      <c r="AD345" s="165">
        <f>IFERROR(__xludf.DUMMYFUNCTION("""COMPUTED_VALUE"""),0.0)</f>
        <v>0</v>
      </c>
      <c r="AE345" s="39" t="str">
        <f>IFERROR(__xludf.DUMMYFUNCTION("""COMPUTED_VALUE"""),"Hiroshi Yamakawa")</f>
        <v>Hiroshi Yamakawa</v>
      </c>
      <c r="AF345" s="39" t="str">
        <f>IFERROR(__xludf.DUMMYFUNCTION("""COMPUTED_VALUE"""),"HY18NeocorticalInterareaSignals")</f>
        <v>HY18NeocorticalInterareaSignals</v>
      </c>
      <c r="AG345" s="39"/>
      <c r="AH345" s="39"/>
      <c r="AI345" s="165"/>
      <c r="AJ345" s="165"/>
      <c r="AK345" s="111"/>
      <c r="AL345" s="111"/>
      <c r="AM345" s="111"/>
      <c r="AN345" s="111"/>
      <c r="AO345" s="111"/>
      <c r="AP345" s="111"/>
      <c r="AQ345" s="116"/>
      <c r="AR345" s="116"/>
      <c r="AS345" s="116"/>
    </row>
    <row r="346">
      <c r="A346" s="42" t="str">
        <f>IFERROR(__xludf.DUMMYFUNCTION("""COMPUTED_VALUE"""),"Cx.L5PT")</f>
        <v>Cx.L5PT</v>
      </c>
      <c r="B346" s="42"/>
      <c r="C346" s="42"/>
      <c r="D346" s="42" t="str">
        <f>IFERROR(__xludf.DUMMYFUNCTION("""COMPUTED_VALUE"""),"R")</f>
        <v>R</v>
      </c>
      <c r="E346" s="42"/>
      <c r="F346" s="42"/>
      <c r="G346" s="42"/>
      <c r="H346" s="42" t="str">
        <f>IFERROR(__xludf.DUMMYFUNCTION("""COMPUTED_VALUE"""),"")</f>
        <v/>
      </c>
      <c r="I346" s="42" t="str">
        <f>IFERROR(__xludf.DUMMYFUNCTION("""COMPUTED_VALUE"""),"Lemieux, 2014")</f>
        <v>Lemieux, 2014</v>
      </c>
      <c r="J346" s="42"/>
      <c r="K346" s="42"/>
      <c r="L346" s="42"/>
      <c r="M346" s="42"/>
      <c r="N346" s="42"/>
      <c r="O346" s="31" t="str">
        <f>IFERROR(__xludf.DUMMYFUNCTION("""COMPUTED_VALUE"""),"DOC")</f>
        <v>DOC</v>
      </c>
      <c r="P346" s="9" t="str">
        <f>IFERROR(__xludf.DUMMYFUNCTION("""COMPUTED_VALUE"""),"Journal of Neuroscience")</f>
        <v>Journal of Neuroscience</v>
      </c>
      <c r="Q346" s="9"/>
      <c r="R346" s="179" t="str">
        <f>IFERROR(__xludf.DUMMYFUNCTION("""COMPUTED_VALUE"""),"R (00/00) [Bonjean, 2012][Lemieux, 2014];
")</f>
        <v>R (00/00) [Bonjean, 2012][Lemieux, 2014];
</v>
      </c>
      <c r="S346" s="179" t="str">
        <f>IFERROR(__xludf.DUMMYFUNCTION("""COMPUTED_VALUE"""),"Cx.L5PTR")</f>
        <v>Cx.L5PTR</v>
      </c>
      <c r="T346" s="179" t="str">
        <f>IFERROR(__xludf.DUMMYFUNCTION("""COMPUTED_VALUE"""),"[Lemieux, 2014]")</f>
        <v>[Lemieux, 2014]</v>
      </c>
      <c r="U346" s="179">
        <f>IFERROR(__xludf.DUMMYFUNCTION("""COMPUTED_VALUE"""),0.0)</f>
        <v>0</v>
      </c>
      <c r="V346" s="180">
        <f>IFERROR(__xludf.DUMMYFUNCTION("""COMPUTED_VALUE"""),0.0)</f>
        <v>0</v>
      </c>
      <c r="W346" s="180">
        <f>IFERROR(__xludf.DUMMYFUNCTION("""COMPUTED_VALUE"""),0.95)</f>
        <v>0.95</v>
      </c>
      <c r="X346" s="42">
        <f>IFERROR(__xludf.DUMMYFUNCTION("""COMPUTED_VALUE"""),0.0)</f>
        <v>0</v>
      </c>
      <c r="Y346" s="42">
        <f>IFERROR(__xludf.DUMMYFUNCTION("""COMPUTED_VALUE"""),0.0)</f>
        <v>0</v>
      </c>
      <c r="Z346" s="9">
        <f>IFERROR(__xludf.DUMMYFUNCTION("""COMPUTED_VALUE"""),0.0)</f>
        <v>0</v>
      </c>
      <c r="AA346" s="181">
        <f>IFERROR(__xludf.DUMMYFUNCTION("""COMPUTED_VALUE"""),0.0)</f>
        <v>0</v>
      </c>
      <c r="AB346" s="181">
        <f>IFERROR(__xludf.DUMMYFUNCTION("""COMPUTED_VALUE"""),0.0)</f>
        <v>0</v>
      </c>
      <c r="AC346" s="179">
        <f>IFERROR(__xludf.DUMMYFUNCTION("""COMPUTED_VALUE"""),0.0)</f>
        <v>0</v>
      </c>
      <c r="AD346" s="165">
        <f>IFERROR(__xludf.DUMMYFUNCTION("""COMPUTED_VALUE"""),0.0)</f>
        <v>0</v>
      </c>
      <c r="AE346" s="39" t="str">
        <f>IFERROR(__xludf.DUMMYFUNCTION("""COMPUTED_VALUE"""),"Hiroshi Yamakawa")</f>
        <v>Hiroshi Yamakawa</v>
      </c>
      <c r="AF346" s="39" t="str">
        <f>IFERROR(__xludf.DUMMYFUNCTION("""COMPUTED_VALUE"""),"HY18NeocorticalInterareaSignals")</f>
        <v>HY18NeocorticalInterareaSignals</v>
      </c>
      <c r="AG346" s="39"/>
      <c r="AH346" s="39"/>
      <c r="AI346" s="165"/>
      <c r="AJ346" s="165"/>
      <c r="AK346" s="111"/>
      <c r="AL346" s="111"/>
      <c r="AM346" s="111"/>
      <c r="AN346" s="111"/>
      <c r="AO346" s="111"/>
      <c r="AP346" s="111"/>
      <c r="AQ346" s="116"/>
      <c r="AR346" s="116"/>
      <c r="AS346" s="116"/>
    </row>
    <row r="347">
      <c r="A347" s="42" t="str">
        <f>IFERROR(__xludf.DUMMYFUNCTION("""COMPUTED_VALUE"""),"Cx.L5PT")</f>
        <v>Cx.L5PT</v>
      </c>
      <c r="B347" s="42"/>
      <c r="C347" s="42"/>
      <c r="D347" s="42" t="str">
        <f>IFERROR(__xludf.DUMMYFUNCTION("""COMPUTED_VALUE"""),"TRN_matrix")</f>
        <v>TRN_matrix</v>
      </c>
      <c r="E347" s="42"/>
      <c r="F347" s="42"/>
      <c r="G347" s="42"/>
      <c r="H347" s="42" t="str">
        <f>IFERROR(__xludf.DUMMYFUNCTION("""COMPUTED_VALUE"""),"")</f>
        <v/>
      </c>
      <c r="I347" s="42" t="str">
        <f>IFERROR(__xludf.DUMMYFUNCTION("""COMPUTED_VALUE"""),"Lemieux, 2014")</f>
        <v>Lemieux, 2014</v>
      </c>
      <c r="J347" s="42"/>
      <c r="K347" s="42"/>
      <c r="L347" s="42"/>
      <c r="M347" s="42"/>
      <c r="N347" s="42"/>
      <c r="O347" s="31" t="str">
        <f>IFERROR(__xludf.DUMMYFUNCTION("""COMPUTED_VALUE"""),"DOC")</f>
        <v>DOC</v>
      </c>
      <c r="P347" s="9" t="str">
        <f>IFERROR(__xludf.DUMMYFUNCTION("""COMPUTED_VALUE"""),"Journal of Neuroscience")</f>
        <v>Journal of Neuroscience</v>
      </c>
      <c r="Q347" s="9"/>
      <c r="R347" s="179" t="str">
        <f>IFERROR(__xludf.DUMMYFUNCTION("""COMPUTED_VALUE"""),"TRN_matrix (00/00) [Baker, 2018][Bonjean, 2012][Lemieux, 2014][Rodriguez, 2004][Shepherd, 2013];
")</f>
        <v>TRN_matrix (00/00) [Baker, 2018][Bonjean, 2012][Lemieux, 2014][Rodriguez, 2004][Shepherd, 2013];
</v>
      </c>
      <c r="S347" s="179" t="str">
        <f>IFERROR(__xludf.DUMMYFUNCTION("""COMPUTED_VALUE"""),"Cx.L5PTTRN_matrix")</f>
        <v>Cx.L5PTTRN_matrix</v>
      </c>
      <c r="T347" s="179" t="str">
        <f>IFERROR(__xludf.DUMMYFUNCTION("""COMPUTED_VALUE"""),"[Lemieux, 2014]")</f>
        <v>[Lemieux, 2014]</v>
      </c>
      <c r="U347" s="179">
        <f>IFERROR(__xludf.DUMMYFUNCTION("""COMPUTED_VALUE"""),0.0)</f>
        <v>0</v>
      </c>
      <c r="V347" s="180">
        <f>IFERROR(__xludf.DUMMYFUNCTION("""COMPUTED_VALUE"""),0.0)</f>
        <v>0</v>
      </c>
      <c r="W347" s="180">
        <f>IFERROR(__xludf.DUMMYFUNCTION("""COMPUTED_VALUE"""),0.95)</f>
        <v>0.95</v>
      </c>
      <c r="X347" s="42">
        <f>IFERROR(__xludf.DUMMYFUNCTION("""COMPUTED_VALUE"""),0.0)</f>
        <v>0</v>
      </c>
      <c r="Y347" s="42">
        <f>IFERROR(__xludf.DUMMYFUNCTION("""COMPUTED_VALUE"""),0.0)</f>
        <v>0</v>
      </c>
      <c r="Z347" s="9">
        <f>IFERROR(__xludf.DUMMYFUNCTION("""COMPUTED_VALUE"""),0.0)</f>
        <v>0</v>
      </c>
      <c r="AA347" s="181">
        <f>IFERROR(__xludf.DUMMYFUNCTION("""COMPUTED_VALUE"""),0.0)</f>
        <v>0</v>
      </c>
      <c r="AB347" s="181">
        <f>IFERROR(__xludf.DUMMYFUNCTION("""COMPUTED_VALUE"""),0.0)</f>
        <v>0</v>
      </c>
      <c r="AC347" s="179">
        <f>IFERROR(__xludf.DUMMYFUNCTION("""COMPUTED_VALUE"""),0.0)</f>
        <v>0</v>
      </c>
      <c r="AD347" s="165">
        <f>IFERROR(__xludf.DUMMYFUNCTION("""COMPUTED_VALUE"""),0.0)</f>
        <v>0</v>
      </c>
      <c r="AE347" s="39" t="str">
        <f>IFERROR(__xludf.DUMMYFUNCTION("""COMPUTED_VALUE"""),"Hiroshi Yamakawa")</f>
        <v>Hiroshi Yamakawa</v>
      </c>
      <c r="AF347" s="39" t="str">
        <f>IFERROR(__xludf.DUMMYFUNCTION("""COMPUTED_VALUE"""),"HY18NeocorticalInterareaSignals")</f>
        <v>HY18NeocorticalInterareaSignals</v>
      </c>
      <c r="AG347" s="39"/>
      <c r="AH347" s="39"/>
      <c r="AI347" s="165"/>
      <c r="AJ347" s="165"/>
      <c r="AK347" s="111"/>
      <c r="AL347" s="111"/>
      <c r="AM347" s="111"/>
      <c r="AN347" s="111"/>
      <c r="AO347" s="111"/>
      <c r="AP347" s="111"/>
      <c r="AQ347" s="116"/>
      <c r="AR347" s="116"/>
      <c r="AS347" s="116"/>
    </row>
    <row r="348">
      <c r="A348" s="42" t="str">
        <f>IFERROR(__xludf.DUMMYFUNCTION("""COMPUTED_VALUE"""),"Cx.L5PT")</f>
        <v>Cx.L5PT</v>
      </c>
      <c r="B348" s="42"/>
      <c r="C348" s="42"/>
      <c r="D348" s="42" t="str">
        <f>IFERROR(__xludf.DUMMYFUNCTION("""COMPUTED_VALUE"""),"TRN_matrix")</f>
        <v>TRN_matrix</v>
      </c>
      <c r="E348" s="42"/>
      <c r="F348" s="42"/>
      <c r="G348" s="42"/>
      <c r="H348" s="42" t="str">
        <f>IFERROR(__xludf.DUMMYFUNCTION("""COMPUTED_VALUE"""),"")</f>
        <v/>
      </c>
      <c r="I348" s="42" t="str">
        <f>IFERROR(__xludf.DUMMYFUNCTION("""COMPUTED_VALUE"""),"Rodriguez, 2004")</f>
        <v>Rodriguez, 2004</v>
      </c>
      <c r="J348" s="42"/>
      <c r="K348" s="42"/>
      <c r="L348" s="42"/>
      <c r="M348" s="42"/>
      <c r="N348" s="42"/>
      <c r="O348" s="31" t="str">
        <f>IFERROR(__xludf.DUMMYFUNCTION("""COMPUTED_VALUE"""),"DOC")</f>
        <v>DOC</v>
      </c>
      <c r="P348" s="9" t="str">
        <f>IFERROR(__xludf.DUMMYFUNCTION("""COMPUTED_VALUE"""),"Journal of Cognitive Neuroscience")</f>
        <v>Journal of Cognitive Neuroscience</v>
      </c>
      <c r="Q348" s="9"/>
      <c r="R348" s="179" t="str">
        <f>IFERROR(__xludf.DUMMYFUNCTION("""COMPUTED_VALUE"""),"TRN_matrix (00/00) [Baker, 2018][Bonjean, 2012][Lemieux, 2014][Rodriguez, 2004][Shepherd, 2013];
")</f>
        <v>TRN_matrix (00/00) [Baker, 2018][Bonjean, 2012][Lemieux, 2014][Rodriguez, 2004][Shepherd, 2013];
</v>
      </c>
      <c r="S348" s="179" t="str">
        <f>IFERROR(__xludf.DUMMYFUNCTION("""COMPUTED_VALUE"""),"Cx.L5PTTRN_matrix")</f>
        <v>Cx.L5PTTRN_matrix</v>
      </c>
      <c r="T348" s="179" t="str">
        <f>IFERROR(__xludf.DUMMYFUNCTION("""COMPUTED_VALUE"""),"[Rodriguez, 2004]")</f>
        <v>[Rodriguez, 2004]</v>
      </c>
      <c r="U348" s="179">
        <f>IFERROR(__xludf.DUMMYFUNCTION("""COMPUTED_VALUE"""),0.0)</f>
        <v>0</v>
      </c>
      <c r="V348" s="180">
        <f>IFERROR(__xludf.DUMMYFUNCTION("""COMPUTED_VALUE"""),0.0)</f>
        <v>0</v>
      </c>
      <c r="W348" s="180">
        <f>IFERROR(__xludf.DUMMYFUNCTION("""COMPUTED_VALUE"""),0.95)</f>
        <v>0.95</v>
      </c>
      <c r="X348" s="42">
        <f>IFERROR(__xludf.DUMMYFUNCTION("""COMPUTED_VALUE"""),0.0)</f>
        <v>0</v>
      </c>
      <c r="Y348" s="42">
        <f>IFERROR(__xludf.DUMMYFUNCTION("""COMPUTED_VALUE"""),0.0)</f>
        <v>0</v>
      </c>
      <c r="Z348" s="9">
        <f>IFERROR(__xludf.DUMMYFUNCTION("""COMPUTED_VALUE"""),0.0)</f>
        <v>0</v>
      </c>
      <c r="AA348" s="181">
        <f>IFERROR(__xludf.DUMMYFUNCTION("""COMPUTED_VALUE"""),0.0)</f>
        <v>0</v>
      </c>
      <c r="AB348" s="181">
        <f>IFERROR(__xludf.DUMMYFUNCTION("""COMPUTED_VALUE"""),0.0)</f>
        <v>0</v>
      </c>
      <c r="AC348" s="179">
        <f>IFERROR(__xludf.DUMMYFUNCTION("""COMPUTED_VALUE"""),0.0)</f>
        <v>0</v>
      </c>
      <c r="AD348" s="165">
        <f>IFERROR(__xludf.DUMMYFUNCTION("""COMPUTED_VALUE"""),0.0)</f>
        <v>0</v>
      </c>
      <c r="AE348" s="39" t="str">
        <f>IFERROR(__xludf.DUMMYFUNCTION("""COMPUTED_VALUE"""),"Hiroshi Yamakawa")</f>
        <v>Hiroshi Yamakawa</v>
      </c>
      <c r="AF348" s="39" t="str">
        <f>IFERROR(__xludf.DUMMYFUNCTION("""COMPUTED_VALUE"""),"HY18NeocorticalInterareaSignals")</f>
        <v>HY18NeocorticalInterareaSignals</v>
      </c>
      <c r="AG348" s="39"/>
      <c r="AH348" s="39"/>
      <c r="AI348" s="165"/>
      <c r="AJ348" s="165"/>
      <c r="AK348" s="111"/>
      <c r="AL348" s="111"/>
      <c r="AM348" s="111"/>
      <c r="AN348" s="111"/>
      <c r="AO348" s="111"/>
      <c r="AP348" s="111"/>
      <c r="AQ348" s="116"/>
      <c r="AR348" s="116"/>
      <c r="AS348" s="116"/>
    </row>
    <row r="349">
      <c r="A349" s="42" t="str">
        <f>IFERROR(__xludf.DUMMYFUNCTION("""COMPUTED_VALUE"""),"Cx.L5PT")</f>
        <v>Cx.L5PT</v>
      </c>
      <c r="B349" s="42"/>
      <c r="C349" s="42"/>
      <c r="D349" s="42" t="str">
        <f>IFERROR(__xludf.DUMMYFUNCTION("""COMPUTED_VALUE"""),"brainstem")</f>
        <v>brainstem</v>
      </c>
      <c r="E349" s="42"/>
      <c r="F349" s="42"/>
      <c r="G349" s="42"/>
      <c r="H349" s="42" t="str">
        <f>IFERROR(__xludf.DUMMYFUNCTION("""COMPUTED_VALUE"""),"")</f>
        <v/>
      </c>
      <c r="I349" s="42" t="str">
        <f>IFERROR(__xludf.DUMMYFUNCTION("""COMPUTED_VALUE"""),"Shepherd, 2013")</f>
        <v>Shepherd, 2013</v>
      </c>
      <c r="J349" s="42"/>
      <c r="K349" s="42"/>
      <c r="L349" s="42"/>
      <c r="M349" s="42"/>
      <c r="N349" s="42"/>
      <c r="O349" s="31" t="str">
        <f>IFERROR(__xludf.DUMMYFUNCTION("""COMPUTED_VALUE"""),"DOC")</f>
        <v>DOC</v>
      </c>
      <c r="P349" s="9" t="str">
        <f>IFERROR(__xludf.DUMMYFUNCTION("""COMPUTED_VALUE"""),"Nature Reviews Neuroscience")</f>
        <v>Nature Reviews Neuroscience</v>
      </c>
      <c r="Q349" s="9"/>
      <c r="R349" s="179" t="str">
        <f>IFERROR(__xludf.DUMMYFUNCTION("""COMPUTED_VALUE"""),"brainstem (00/00) [Shepherd, 2013];
")</f>
        <v>brainstem (00/00) [Shepherd, 2013];
</v>
      </c>
      <c r="S349" s="179" t="str">
        <f>IFERROR(__xludf.DUMMYFUNCTION("""COMPUTED_VALUE"""),"Cx.L5PTbrainstem")</f>
        <v>Cx.L5PTbrainstem</v>
      </c>
      <c r="T349" s="179" t="str">
        <f>IFERROR(__xludf.DUMMYFUNCTION("""COMPUTED_VALUE"""),"[Shepherd, 2013]")</f>
        <v>[Shepherd, 2013]</v>
      </c>
      <c r="U349" s="179">
        <f>IFERROR(__xludf.DUMMYFUNCTION("""COMPUTED_VALUE"""),0.0)</f>
        <v>0</v>
      </c>
      <c r="V349" s="180">
        <f>IFERROR(__xludf.DUMMYFUNCTION("""COMPUTED_VALUE"""),0.0)</f>
        <v>0</v>
      </c>
      <c r="W349" s="180">
        <f>IFERROR(__xludf.DUMMYFUNCTION("""COMPUTED_VALUE"""),0.95)</f>
        <v>0.95</v>
      </c>
      <c r="X349" s="42">
        <f>IFERROR(__xludf.DUMMYFUNCTION("""COMPUTED_VALUE"""),0.0)</f>
        <v>0</v>
      </c>
      <c r="Y349" s="42">
        <f>IFERROR(__xludf.DUMMYFUNCTION("""COMPUTED_VALUE"""),0.0)</f>
        <v>0</v>
      </c>
      <c r="Z349" s="9">
        <f>IFERROR(__xludf.DUMMYFUNCTION("""COMPUTED_VALUE"""),0.0)</f>
        <v>0</v>
      </c>
      <c r="AA349" s="181">
        <f>IFERROR(__xludf.DUMMYFUNCTION("""COMPUTED_VALUE"""),0.0)</f>
        <v>0</v>
      </c>
      <c r="AB349" s="181">
        <f>IFERROR(__xludf.DUMMYFUNCTION("""COMPUTED_VALUE"""),0.0)</f>
        <v>0</v>
      </c>
      <c r="AC349" s="179">
        <f>IFERROR(__xludf.DUMMYFUNCTION("""COMPUTED_VALUE"""),0.0)</f>
        <v>0</v>
      </c>
      <c r="AD349" s="165">
        <f>IFERROR(__xludf.DUMMYFUNCTION("""COMPUTED_VALUE"""),0.0)</f>
        <v>0</v>
      </c>
      <c r="AE349" s="39" t="str">
        <f>IFERROR(__xludf.DUMMYFUNCTION("""COMPUTED_VALUE"""),"Hiroshi Yamakawa")</f>
        <v>Hiroshi Yamakawa</v>
      </c>
      <c r="AF349" s="39" t="str">
        <f>IFERROR(__xludf.DUMMYFUNCTION("""COMPUTED_VALUE"""),"HY18NeocorticalInterareaSignals")</f>
        <v>HY18NeocorticalInterareaSignals</v>
      </c>
      <c r="AG349" s="39"/>
      <c r="AH349" s="39"/>
      <c r="AI349" s="165"/>
      <c r="AJ349" s="165"/>
      <c r="AK349" s="111"/>
      <c r="AL349" s="111"/>
      <c r="AM349" s="111"/>
      <c r="AN349" s="111"/>
      <c r="AO349" s="111"/>
      <c r="AP349" s="111"/>
      <c r="AQ349" s="116"/>
      <c r="AR349" s="116"/>
      <c r="AS349" s="116"/>
    </row>
    <row r="350">
      <c r="A350" s="42" t="str">
        <f>IFERROR(__xludf.DUMMYFUNCTION("""COMPUTED_VALUE"""),"Cx.L5PT")</f>
        <v>Cx.L5PT</v>
      </c>
      <c r="B350" s="42"/>
      <c r="C350" s="42"/>
      <c r="D350" s="42" t="str">
        <f>IFERROR(__xludf.DUMMYFUNCTION("""COMPUTED_VALUE"""),"csp-h")</f>
        <v>csp-h</v>
      </c>
      <c r="E350" s="42"/>
      <c r="F350" s="42"/>
      <c r="G350" s="42"/>
      <c r="H350" s="42" t="str">
        <f>IFERROR(__xludf.DUMMYFUNCTION("""COMPUTED_VALUE"""),"")</f>
        <v/>
      </c>
      <c r="I350" s="42" t="str">
        <f>IFERROR(__xludf.DUMMYFUNCTION("""COMPUTED_VALUE"""),"Shepherd, 2013")</f>
        <v>Shepherd, 2013</v>
      </c>
      <c r="J350" s="42"/>
      <c r="K350" s="42"/>
      <c r="L350" s="42"/>
      <c r="M350" s="42"/>
      <c r="N350" s="42"/>
      <c r="O350" s="31" t="str">
        <f>IFERROR(__xludf.DUMMYFUNCTION("""COMPUTED_VALUE"""),"DOC")</f>
        <v>DOC</v>
      </c>
      <c r="P350" s="9" t="str">
        <f>IFERROR(__xludf.DUMMYFUNCTION("""COMPUTED_VALUE"""),"Nature Reviews Neuroscience")</f>
        <v>Nature Reviews Neuroscience</v>
      </c>
      <c r="Q350" s="9"/>
      <c r="R350" s="179" t="str">
        <f>IFERROR(__xludf.DUMMYFUNCTION("""COMPUTED_VALUE"""),"csp-h (00/00) [Baker, 2018][Kaneko, 2013][Shepherd, 2013];
")</f>
        <v>csp-h (00/00) [Baker, 2018][Kaneko, 2013][Shepherd, 2013];
</v>
      </c>
      <c r="S350" s="179" t="str">
        <f>IFERROR(__xludf.DUMMYFUNCTION("""COMPUTED_VALUE"""),"Cx.L5PTcsp-h")</f>
        <v>Cx.L5PTcsp-h</v>
      </c>
      <c r="T350" s="179" t="str">
        <f>IFERROR(__xludf.DUMMYFUNCTION("""COMPUTED_VALUE"""),"[Shepherd, 2013]")</f>
        <v>[Shepherd, 2013]</v>
      </c>
      <c r="U350" s="179">
        <f>IFERROR(__xludf.DUMMYFUNCTION("""COMPUTED_VALUE"""),0.0)</f>
        <v>0</v>
      </c>
      <c r="V350" s="180">
        <f>IFERROR(__xludf.DUMMYFUNCTION("""COMPUTED_VALUE"""),0.0)</f>
        <v>0</v>
      </c>
      <c r="W350" s="180">
        <f>IFERROR(__xludf.DUMMYFUNCTION("""COMPUTED_VALUE"""),0.95)</f>
        <v>0.95</v>
      </c>
      <c r="X350" s="42">
        <f>IFERROR(__xludf.DUMMYFUNCTION("""COMPUTED_VALUE"""),0.0)</f>
        <v>0</v>
      </c>
      <c r="Y350" s="42">
        <f>IFERROR(__xludf.DUMMYFUNCTION("""COMPUTED_VALUE"""),0.0)</f>
        <v>0</v>
      </c>
      <c r="Z350" s="9">
        <f>IFERROR(__xludf.DUMMYFUNCTION("""COMPUTED_VALUE"""),0.0)</f>
        <v>0</v>
      </c>
      <c r="AA350" s="181">
        <f>IFERROR(__xludf.DUMMYFUNCTION("""COMPUTED_VALUE"""),0.0)</f>
        <v>0</v>
      </c>
      <c r="AB350" s="181">
        <f>IFERROR(__xludf.DUMMYFUNCTION("""COMPUTED_VALUE"""),0.0)</f>
        <v>0</v>
      </c>
      <c r="AC350" s="179">
        <f>IFERROR(__xludf.DUMMYFUNCTION("""COMPUTED_VALUE"""),0.0)</f>
        <v>0</v>
      </c>
      <c r="AD350" s="165">
        <f>IFERROR(__xludf.DUMMYFUNCTION("""COMPUTED_VALUE"""),0.0)</f>
        <v>0</v>
      </c>
      <c r="AE350" s="39" t="str">
        <f>IFERROR(__xludf.DUMMYFUNCTION("""COMPUTED_VALUE"""),"Hiroshi Yamakawa")</f>
        <v>Hiroshi Yamakawa</v>
      </c>
      <c r="AF350" s="39" t="str">
        <f>IFERROR(__xludf.DUMMYFUNCTION("""COMPUTED_VALUE"""),"HY18NeocorticalInterareaSignals")</f>
        <v>HY18NeocorticalInterareaSignals</v>
      </c>
      <c r="AG350" s="39"/>
      <c r="AH350" s="39"/>
      <c r="AI350" s="165"/>
      <c r="AJ350" s="165"/>
      <c r="AK350" s="111"/>
      <c r="AL350" s="111"/>
      <c r="AM350" s="111"/>
      <c r="AN350" s="111"/>
      <c r="AO350" s="111"/>
      <c r="AP350" s="111"/>
      <c r="AQ350" s="116"/>
      <c r="AR350" s="116"/>
      <c r="AS350" s="116"/>
    </row>
    <row r="351">
      <c r="A351" s="42" t="str">
        <f>IFERROR(__xludf.DUMMYFUNCTION("""COMPUTED_VALUE"""),"Cx.L5PT")</f>
        <v>Cx.L5PT</v>
      </c>
      <c r="B351" s="42"/>
      <c r="C351" s="42"/>
      <c r="D351" s="42" t="str">
        <f>IFERROR(__xludf.DUMMYFUNCTION("""COMPUTED_VALUE"""),"STH")</f>
        <v>STH</v>
      </c>
      <c r="E351" s="42"/>
      <c r="F351" s="42"/>
      <c r="G351" s="42"/>
      <c r="H351" s="42" t="str">
        <f>IFERROR(__xludf.DUMMYFUNCTION("""COMPUTED_VALUE"""),"")</f>
        <v/>
      </c>
      <c r="I351" s="42" t="str">
        <f>IFERROR(__xludf.DUMMYFUNCTION("""COMPUTED_VALUE"""),"Shepherd, 2013")</f>
        <v>Shepherd, 2013</v>
      </c>
      <c r="J351" s="42"/>
      <c r="K351" s="42"/>
      <c r="L351" s="42"/>
      <c r="M351" s="42"/>
      <c r="N351" s="42"/>
      <c r="O351" s="31" t="str">
        <f>IFERROR(__xludf.DUMMYFUNCTION("""COMPUTED_VALUE"""),"DOC")</f>
        <v>DOC</v>
      </c>
      <c r="P351" s="9" t="str">
        <f>IFERROR(__xludf.DUMMYFUNCTION("""COMPUTED_VALUE"""),"Nature Reviews Neuroscience")</f>
        <v>Nature Reviews Neuroscience</v>
      </c>
      <c r="Q351" s="9"/>
      <c r="R351" s="179" t="str">
        <f>IFERROR(__xludf.DUMMYFUNCTION("""COMPUTED_VALUE"""),"STH (00/00) [Shepherd, 2013];
")</f>
        <v>STH (00/00) [Shepherd, 2013];
</v>
      </c>
      <c r="S351" s="179" t="str">
        <f>IFERROR(__xludf.DUMMYFUNCTION("""COMPUTED_VALUE"""),"Cx.L5PTSTH")</f>
        <v>Cx.L5PTSTH</v>
      </c>
      <c r="T351" s="179" t="str">
        <f>IFERROR(__xludf.DUMMYFUNCTION("""COMPUTED_VALUE"""),"[Shepherd, 2013]")</f>
        <v>[Shepherd, 2013]</v>
      </c>
      <c r="U351" s="179">
        <f>IFERROR(__xludf.DUMMYFUNCTION("""COMPUTED_VALUE"""),0.0)</f>
        <v>0</v>
      </c>
      <c r="V351" s="180">
        <f>IFERROR(__xludf.DUMMYFUNCTION("""COMPUTED_VALUE"""),0.0)</f>
        <v>0</v>
      </c>
      <c r="W351" s="180">
        <f>IFERROR(__xludf.DUMMYFUNCTION("""COMPUTED_VALUE"""),0.95)</f>
        <v>0.95</v>
      </c>
      <c r="X351" s="42">
        <f>IFERROR(__xludf.DUMMYFUNCTION("""COMPUTED_VALUE"""),0.0)</f>
        <v>0</v>
      </c>
      <c r="Y351" s="42">
        <f>IFERROR(__xludf.DUMMYFUNCTION("""COMPUTED_VALUE"""),0.0)</f>
        <v>0</v>
      </c>
      <c r="Z351" s="9">
        <f>IFERROR(__xludf.DUMMYFUNCTION("""COMPUTED_VALUE"""),0.0)</f>
        <v>0</v>
      </c>
      <c r="AA351" s="181">
        <f>IFERROR(__xludf.DUMMYFUNCTION("""COMPUTED_VALUE"""),0.0)</f>
        <v>0</v>
      </c>
      <c r="AB351" s="181">
        <f>IFERROR(__xludf.DUMMYFUNCTION("""COMPUTED_VALUE"""),0.0)</f>
        <v>0</v>
      </c>
      <c r="AC351" s="179">
        <f>IFERROR(__xludf.DUMMYFUNCTION("""COMPUTED_VALUE"""),0.0)</f>
        <v>0</v>
      </c>
      <c r="AD351" s="165">
        <f>IFERROR(__xludf.DUMMYFUNCTION("""COMPUTED_VALUE"""),0.0)</f>
        <v>0</v>
      </c>
      <c r="AE351" s="39" t="str">
        <f>IFERROR(__xludf.DUMMYFUNCTION("""COMPUTED_VALUE"""),"Hiroshi Yamakawa")</f>
        <v>Hiroshi Yamakawa</v>
      </c>
      <c r="AF351" s="39" t="str">
        <f>IFERROR(__xludf.DUMMYFUNCTION("""COMPUTED_VALUE"""),"HY18NeocorticalInterareaSignals")</f>
        <v>HY18NeocorticalInterareaSignals</v>
      </c>
      <c r="AG351" s="39"/>
      <c r="AH351" s="39"/>
      <c r="AI351" s="165"/>
      <c r="AJ351" s="165"/>
      <c r="AK351" s="111"/>
      <c r="AL351" s="111"/>
      <c r="AM351" s="111"/>
      <c r="AN351" s="111"/>
      <c r="AO351" s="111"/>
      <c r="AP351" s="111"/>
      <c r="AQ351" s="116"/>
      <c r="AR351" s="116"/>
      <c r="AS351" s="116"/>
    </row>
    <row r="352">
      <c r="A352" s="42" t="str">
        <f>IFERROR(__xludf.DUMMYFUNCTION("""COMPUTED_VALUE"""),"Cx.L5PT")</f>
        <v>Cx.L5PT</v>
      </c>
      <c r="B352" s="42"/>
      <c r="C352" s="42"/>
      <c r="D352" s="42" t="str">
        <f>IFERROR(__xludf.DUMMYFUNCTION("""COMPUTED_VALUE"""),"STR_patch")</f>
        <v>STR_patch</v>
      </c>
      <c r="E352" s="42"/>
      <c r="F352" s="42"/>
      <c r="G352" s="42"/>
      <c r="H352" s="42" t="str">
        <f>IFERROR(__xludf.DUMMYFUNCTION("""COMPUTED_VALUE"""),"")</f>
        <v/>
      </c>
      <c r="I352" s="42" t="str">
        <f>IFERROR(__xludf.DUMMYFUNCTION("""COMPUTED_VALUE"""),"Shepherd, 2013")</f>
        <v>Shepherd, 2013</v>
      </c>
      <c r="J352" s="42"/>
      <c r="K352" s="42"/>
      <c r="L352" s="42"/>
      <c r="M352" s="42"/>
      <c r="N352" s="42"/>
      <c r="O352" s="31" t="str">
        <f>IFERROR(__xludf.DUMMYFUNCTION("""COMPUTED_VALUE"""),"DOC")</f>
        <v>DOC</v>
      </c>
      <c r="P352" s="9" t="str">
        <f>IFERROR(__xludf.DUMMYFUNCTION("""COMPUTED_VALUE"""),"Nature Reviews Neuroscience")</f>
        <v>Nature Reviews Neuroscience</v>
      </c>
      <c r="Q352" s="9"/>
      <c r="R352" s="179" t="str">
        <f>IFERROR(__xludf.DUMMYFUNCTION("""COMPUTED_VALUE"""),"STR_patch (00/00) [Baker, 2018][Shepherd, 2013];
")</f>
        <v>STR_patch (00/00) [Baker, 2018][Shepherd, 2013];
</v>
      </c>
      <c r="S352" s="179" t="str">
        <f>IFERROR(__xludf.DUMMYFUNCTION("""COMPUTED_VALUE"""),"Cx.L5PTSTR_patch")</f>
        <v>Cx.L5PTSTR_patch</v>
      </c>
      <c r="T352" s="179" t="str">
        <f>IFERROR(__xludf.DUMMYFUNCTION("""COMPUTED_VALUE"""),"[Shepherd, 2013]")</f>
        <v>[Shepherd, 2013]</v>
      </c>
      <c r="U352" s="179">
        <f>IFERROR(__xludf.DUMMYFUNCTION("""COMPUTED_VALUE"""),0.0)</f>
        <v>0</v>
      </c>
      <c r="V352" s="180">
        <f>IFERROR(__xludf.DUMMYFUNCTION("""COMPUTED_VALUE"""),0.0)</f>
        <v>0</v>
      </c>
      <c r="W352" s="180">
        <f>IFERROR(__xludf.DUMMYFUNCTION("""COMPUTED_VALUE"""),0.95)</f>
        <v>0.95</v>
      </c>
      <c r="X352" s="42">
        <f>IFERROR(__xludf.DUMMYFUNCTION("""COMPUTED_VALUE"""),0.0)</f>
        <v>0</v>
      </c>
      <c r="Y352" s="42">
        <f>IFERROR(__xludf.DUMMYFUNCTION("""COMPUTED_VALUE"""),0.0)</f>
        <v>0</v>
      </c>
      <c r="Z352" s="9">
        <f>IFERROR(__xludf.DUMMYFUNCTION("""COMPUTED_VALUE"""),0.0)</f>
        <v>0</v>
      </c>
      <c r="AA352" s="181">
        <f>IFERROR(__xludf.DUMMYFUNCTION("""COMPUTED_VALUE"""),0.0)</f>
        <v>0</v>
      </c>
      <c r="AB352" s="181">
        <f>IFERROR(__xludf.DUMMYFUNCTION("""COMPUTED_VALUE"""),0.0)</f>
        <v>0</v>
      </c>
      <c r="AC352" s="179">
        <f>IFERROR(__xludf.DUMMYFUNCTION("""COMPUTED_VALUE"""),0.0)</f>
        <v>0</v>
      </c>
      <c r="AD352" s="165">
        <f>IFERROR(__xludf.DUMMYFUNCTION("""COMPUTED_VALUE"""),0.0)</f>
        <v>0</v>
      </c>
      <c r="AE352" s="39" t="str">
        <f>IFERROR(__xludf.DUMMYFUNCTION("""COMPUTED_VALUE"""),"Hiroshi Yamakawa")</f>
        <v>Hiroshi Yamakawa</v>
      </c>
      <c r="AF352" s="39" t="str">
        <f>IFERROR(__xludf.DUMMYFUNCTION("""COMPUTED_VALUE"""),"HY18NeocorticalInterareaSignals")</f>
        <v>HY18NeocorticalInterareaSignals</v>
      </c>
      <c r="AG352" s="39"/>
      <c r="AH352" s="39"/>
      <c r="AI352" s="165"/>
      <c r="AJ352" s="165"/>
      <c r="AK352" s="111"/>
      <c r="AL352" s="111"/>
      <c r="AM352" s="111"/>
      <c r="AN352" s="111"/>
      <c r="AO352" s="111"/>
      <c r="AP352" s="111"/>
      <c r="AQ352" s="116"/>
      <c r="AR352" s="116"/>
      <c r="AS352" s="116"/>
    </row>
    <row r="353">
      <c r="A353" s="42" t="str">
        <f>IFERROR(__xludf.DUMMYFUNCTION("""COMPUTED_VALUE"""),"Cx.L5PT")</f>
        <v>Cx.L5PT</v>
      </c>
      <c r="B353" s="42"/>
      <c r="C353" s="42"/>
      <c r="D353" s="42" t="str">
        <f>IFERROR(__xludf.DUMMYFUNCTION("""COMPUTED_VALUE"""),"TRN_matrix")</f>
        <v>TRN_matrix</v>
      </c>
      <c r="E353" s="42"/>
      <c r="F353" s="42"/>
      <c r="G353" s="42"/>
      <c r="H353" s="42" t="str">
        <f>IFERROR(__xludf.DUMMYFUNCTION("""COMPUTED_VALUE"""),"")</f>
        <v/>
      </c>
      <c r="I353" s="42" t="str">
        <f>IFERROR(__xludf.DUMMYFUNCTION("""COMPUTED_VALUE"""),"Shepherd, 2013")</f>
        <v>Shepherd, 2013</v>
      </c>
      <c r="J353" s="42"/>
      <c r="K353" s="42"/>
      <c r="L353" s="42"/>
      <c r="M353" s="42"/>
      <c r="N353" s="42"/>
      <c r="O353" s="31" t="str">
        <f>IFERROR(__xludf.DUMMYFUNCTION("""COMPUTED_VALUE"""),"DOC")</f>
        <v>DOC</v>
      </c>
      <c r="P353" s="9" t="str">
        <f>IFERROR(__xludf.DUMMYFUNCTION("""COMPUTED_VALUE"""),"Nature Reviews Neuroscience")</f>
        <v>Nature Reviews Neuroscience</v>
      </c>
      <c r="Q353" s="9"/>
      <c r="R353" s="179" t="str">
        <f>IFERROR(__xludf.DUMMYFUNCTION("""COMPUTED_VALUE"""),"TRN_matrix (00/00) [Baker, 2018][Bonjean, 2012][Lemieux, 2014][Rodriguez, 2004][Shepherd, 2013];
")</f>
        <v>TRN_matrix (00/00) [Baker, 2018][Bonjean, 2012][Lemieux, 2014][Rodriguez, 2004][Shepherd, 2013];
</v>
      </c>
      <c r="S353" s="179" t="str">
        <f>IFERROR(__xludf.DUMMYFUNCTION("""COMPUTED_VALUE"""),"Cx.L5PTTRN_matrix")</f>
        <v>Cx.L5PTTRN_matrix</v>
      </c>
      <c r="T353" s="179" t="str">
        <f>IFERROR(__xludf.DUMMYFUNCTION("""COMPUTED_VALUE"""),"[Shepherd, 2013]")</f>
        <v>[Shepherd, 2013]</v>
      </c>
      <c r="U353" s="179">
        <f>IFERROR(__xludf.DUMMYFUNCTION("""COMPUTED_VALUE"""),0.0)</f>
        <v>0</v>
      </c>
      <c r="V353" s="180">
        <f>IFERROR(__xludf.DUMMYFUNCTION("""COMPUTED_VALUE"""),0.0)</f>
        <v>0</v>
      </c>
      <c r="W353" s="180">
        <f>IFERROR(__xludf.DUMMYFUNCTION("""COMPUTED_VALUE"""),0.95)</f>
        <v>0.95</v>
      </c>
      <c r="X353" s="42">
        <f>IFERROR(__xludf.DUMMYFUNCTION("""COMPUTED_VALUE"""),0.0)</f>
        <v>0</v>
      </c>
      <c r="Y353" s="42">
        <f>IFERROR(__xludf.DUMMYFUNCTION("""COMPUTED_VALUE"""),0.0)</f>
        <v>0</v>
      </c>
      <c r="Z353" s="9">
        <f>IFERROR(__xludf.DUMMYFUNCTION("""COMPUTED_VALUE"""),0.0)</f>
        <v>0</v>
      </c>
      <c r="AA353" s="181">
        <f>IFERROR(__xludf.DUMMYFUNCTION("""COMPUTED_VALUE"""),0.0)</f>
        <v>0</v>
      </c>
      <c r="AB353" s="181">
        <f>IFERROR(__xludf.DUMMYFUNCTION("""COMPUTED_VALUE"""),0.0)</f>
        <v>0</v>
      </c>
      <c r="AC353" s="179">
        <f>IFERROR(__xludf.DUMMYFUNCTION("""COMPUTED_VALUE"""),0.0)</f>
        <v>0</v>
      </c>
      <c r="AD353" s="165">
        <f>IFERROR(__xludf.DUMMYFUNCTION("""COMPUTED_VALUE"""),0.0)</f>
        <v>0</v>
      </c>
      <c r="AE353" s="39" t="str">
        <f>IFERROR(__xludf.DUMMYFUNCTION("""COMPUTED_VALUE"""),"Hiroshi Yamakawa")</f>
        <v>Hiroshi Yamakawa</v>
      </c>
      <c r="AF353" s="39" t="str">
        <f>IFERROR(__xludf.DUMMYFUNCTION("""COMPUTED_VALUE"""),"HY18NeocorticalInterareaSignals")</f>
        <v>HY18NeocorticalInterareaSignals</v>
      </c>
      <c r="AG353" s="39"/>
      <c r="AH353" s="39"/>
      <c r="AI353" s="165"/>
      <c r="AJ353" s="165"/>
      <c r="AK353" s="111"/>
      <c r="AL353" s="111"/>
      <c r="AM353" s="111"/>
      <c r="AN353" s="111"/>
      <c r="AO353" s="111"/>
      <c r="AP353" s="111"/>
      <c r="AQ353" s="116"/>
      <c r="AR353" s="116"/>
      <c r="AS353" s="116"/>
    </row>
    <row r="354">
      <c r="A354" s="42" t="str">
        <f>IFERROR(__xludf.DUMMYFUNCTION("""COMPUTED_VALUE"""),"Cx.L6CT")</f>
        <v>Cx.L6CT</v>
      </c>
      <c r="B354" s="42"/>
      <c r="C354" s="42"/>
      <c r="D354" s="42" t="str">
        <f>IFERROR(__xludf.DUMMYFUNCTION("""COMPUTED_VALUE"""),"TRN_core")</f>
        <v>TRN_core</v>
      </c>
      <c r="E354" s="42"/>
      <c r="F354" s="42"/>
      <c r="G354" s="42"/>
      <c r="H354" s="42" t="str">
        <f>IFERROR(__xludf.DUMMYFUNCTION("""COMPUTED_VALUE"""),"")</f>
        <v/>
      </c>
      <c r="I354" s="42" t="str">
        <f>IFERROR(__xludf.DUMMYFUNCTION("""COMPUTED_VALUE"""),"Baker, 2018")</f>
        <v>Baker, 2018</v>
      </c>
      <c r="J354" s="42"/>
      <c r="K354" s="42"/>
      <c r="L354" s="42"/>
      <c r="M354" s="42"/>
      <c r="N354" s="42"/>
      <c r="O354" s="31" t="str">
        <f>IFERROR(__xludf.DUMMYFUNCTION("""COMPUTED_VALUE"""),"DOC")</f>
        <v>DOC</v>
      </c>
      <c r="P354" s="9" t="str">
        <f>IFERROR(__xludf.DUMMYFUNCTION("""COMPUTED_VALUE"""),"The Journal of Neuroscience")</f>
        <v>The Journal of Neuroscience</v>
      </c>
      <c r="Q354" s="9"/>
      <c r="R354" s="179" t="str">
        <f>IFERROR(__xludf.DUMMYFUNCTION("""COMPUTED_VALUE"""),"TRN_core (00/00) [Baker, 2018][Bonjean, 2012][Lemieux, 2014][Rodriguez, 2004][Shepherd, 2013];
")</f>
        <v>TRN_core (00/00) [Baker, 2018][Bonjean, 2012][Lemieux, 2014][Rodriguez, 2004][Shepherd, 2013];
</v>
      </c>
      <c r="S354" s="179" t="str">
        <f>IFERROR(__xludf.DUMMYFUNCTION("""COMPUTED_VALUE"""),"Cx.L6CTTRN_core")</f>
        <v>Cx.L6CTTRN_core</v>
      </c>
      <c r="T354" s="179" t="str">
        <f>IFERROR(__xludf.DUMMYFUNCTION("""COMPUTED_VALUE"""),"[Baker, 2018]")</f>
        <v>[Baker, 2018]</v>
      </c>
      <c r="U354" s="179">
        <f>IFERROR(__xludf.DUMMYFUNCTION("""COMPUTED_VALUE"""),0.0)</f>
        <v>0</v>
      </c>
      <c r="V354" s="180">
        <f>IFERROR(__xludf.DUMMYFUNCTION("""COMPUTED_VALUE"""),0.0)</f>
        <v>0</v>
      </c>
      <c r="W354" s="180">
        <f>IFERROR(__xludf.DUMMYFUNCTION("""COMPUTED_VALUE"""),0.95)</f>
        <v>0.95</v>
      </c>
      <c r="X354" s="42">
        <f>IFERROR(__xludf.DUMMYFUNCTION("""COMPUTED_VALUE"""),0.0)</f>
        <v>0</v>
      </c>
      <c r="Y354" s="42">
        <f>IFERROR(__xludf.DUMMYFUNCTION("""COMPUTED_VALUE"""),0.0)</f>
        <v>0</v>
      </c>
      <c r="Z354" s="9">
        <f>IFERROR(__xludf.DUMMYFUNCTION("""COMPUTED_VALUE"""),0.0)</f>
        <v>0</v>
      </c>
      <c r="AA354" s="181">
        <f>IFERROR(__xludf.DUMMYFUNCTION("""COMPUTED_VALUE"""),0.0)</f>
        <v>0</v>
      </c>
      <c r="AB354" s="181">
        <f>IFERROR(__xludf.DUMMYFUNCTION("""COMPUTED_VALUE"""),0.0)</f>
        <v>0</v>
      </c>
      <c r="AC354" s="179">
        <f>IFERROR(__xludf.DUMMYFUNCTION("""COMPUTED_VALUE"""),0.0)</f>
        <v>0</v>
      </c>
      <c r="AD354" s="165">
        <f>IFERROR(__xludf.DUMMYFUNCTION("""COMPUTED_VALUE"""),0.0)</f>
        <v>0</v>
      </c>
      <c r="AE354" s="39" t="str">
        <f>IFERROR(__xludf.DUMMYFUNCTION("""COMPUTED_VALUE"""),"Hiroshi Yamakawa")</f>
        <v>Hiroshi Yamakawa</v>
      </c>
      <c r="AF354" s="39" t="str">
        <f>IFERROR(__xludf.DUMMYFUNCTION("""COMPUTED_VALUE"""),"HY18NeocorticalInterareaSignals")</f>
        <v>HY18NeocorticalInterareaSignals</v>
      </c>
      <c r="AG354" s="39"/>
      <c r="AH354" s="39"/>
      <c r="AI354" s="165"/>
      <c r="AJ354" s="165"/>
      <c r="AK354" s="111"/>
      <c r="AL354" s="111"/>
      <c r="AM354" s="111"/>
      <c r="AN354" s="111"/>
      <c r="AO354" s="111"/>
      <c r="AP354" s="111"/>
      <c r="AQ354" s="116"/>
      <c r="AR354" s="116"/>
      <c r="AS354" s="116"/>
    </row>
    <row r="355">
      <c r="A355" s="42" t="str">
        <f>IFERROR(__xludf.DUMMYFUNCTION("""COMPUTED_VALUE"""),"Cx.L6CT")</f>
        <v>Cx.L6CT</v>
      </c>
      <c r="B355" s="42"/>
      <c r="C355" s="42"/>
      <c r="D355" s="42" t="str">
        <f>IFERROR(__xludf.DUMMYFUNCTION("""COMPUTED_VALUE"""),"R")</f>
        <v>R</v>
      </c>
      <c r="E355" s="42"/>
      <c r="F355" s="42"/>
      <c r="G355" s="42"/>
      <c r="H355" s="42" t="str">
        <f>IFERROR(__xludf.DUMMYFUNCTION("""COMPUTED_VALUE"""),"")</f>
        <v/>
      </c>
      <c r="I355" s="42" t="str">
        <f>IFERROR(__xludf.DUMMYFUNCTION("""COMPUTED_VALUE"""),"Bonjean, 2012")</f>
        <v>Bonjean, 2012</v>
      </c>
      <c r="J355" s="42"/>
      <c r="K355" s="42"/>
      <c r="L355" s="42"/>
      <c r="M355" s="42"/>
      <c r="N355" s="42"/>
      <c r="O355" s="31" t="str">
        <f>IFERROR(__xludf.DUMMYFUNCTION("""COMPUTED_VALUE"""),"DOC")</f>
        <v>DOC</v>
      </c>
      <c r="P355" s="9" t="str">
        <f>IFERROR(__xludf.DUMMYFUNCTION("""COMPUTED_VALUE"""),"Journal of Neuroscience")</f>
        <v>Journal of Neuroscience</v>
      </c>
      <c r="Q355" s="9"/>
      <c r="R355" s="179" t="str">
        <f>IFERROR(__xludf.DUMMYFUNCTION("""COMPUTED_VALUE"""),"R (00/00) [Bonjean, 2012][Lemieux, 2014][Rodriguez, 2004][Shepherd, 2013];
")</f>
        <v>R (00/00) [Bonjean, 2012][Lemieux, 2014][Rodriguez, 2004][Shepherd, 2013];
</v>
      </c>
      <c r="S355" s="179" t="str">
        <f>IFERROR(__xludf.DUMMYFUNCTION("""COMPUTED_VALUE"""),"Cx.L6CTR")</f>
        <v>Cx.L6CTR</v>
      </c>
      <c r="T355" s="179" t="str">
        <f>IFERROR(__xludf.DUMMYFUNCTION("""COMPUTED_VALUE"""),"[Bonjean, 2012]")</f>
        <v>[Bonjean, 2012]</v>
      </c>
      <c r="U355" s="179">
        <f>IFERROR(__xludf.DUMMYFUNCTION("""COMPUTED_VALUE"""),0.0)</f>
        <v>0</v>
      </c>
      <c r="V355" s="180">
        <f>IFERROR(__xludf.DUMMYFUNCTION("""COMPUTED_VALUE"""),0.0)</f>
        <v>0</v>
      </c>
      <c r="W355" s="180">
        <f>IFERROR(__xludf.DUMMYFUNCTION("""COMPUTED_VALUE"""),0.95)</f>
        <v>0.95</v>
      </c>
      <c r="X355" s="42">
        <f>IFERROR(__xludf.DUMMYFUNCTION("""COMPUTED_VALUE"""),0.0)</f>
        <v>0</v>
      </c>
      <c r="Y355" s="42">
        <f>IFERROR(__xludf.DUMMYFUNCTION("""COMPUTED_VALUE"""),0.0)</f>
        <v>0</v>
      </c>
      <c r="Z355" s="9">
        <f>IFERROR(__xludf.DUMMYFUNCTION("""COMPUTED_VALUE"""),0.0)</f>
        <v>0</v>
      </c>
      <c r="AA355" s="181">
        <f>IFERROR(__xludf.DUMMYFUNCTION("""COMPUTED_VALUE"""),0.0)</f>
        <v>0</v>
      </c>
      <c r="AB355" s="181">
        <f>IFERROR(__xludf.DUMMYFUNCTION("""COMPUTED_VALUE"""),0.0)</f>
        <v>0</v>
      </c>
      <c r="AC355" s="179">
        <f>IFERROR(__xludf.DUMMYFUNCTION("""COMPUTED_VALUE"""),0.0)</f>
        <v>0</v>
      </c>
      <c r="AD355" s="165">
        <f>IFERROR(__xludf.DUMMYFUNCTION("""COMPUTED_VALUE"""),0.0)</f>
        <v>0</v>
      </c>
      <c r="AE355" s="39" t="str">
        <f>IFERROR(__xludf.DUMMYFUNCTION("""COMPUTED_VALUE"""),"Hiroshi Yamakawa")</f>
        <v>Hiroshi Yamakawa</v>
      </c>
      <c r="AF355" s="39" t="str">
        <f>IFERROR(__xludf.DUMMYFUNCTION("""COMPUTED_VALUE"""),"HY18NeocorticalInterareaSignals")</f>
        <v>HY18NeocorticalInterareaSignals</v>
      </c>
      <c r="AG355" s="39"/>
      <c r="AH355" s="39"/>
      <c r="AI355" s="165"/>
      <c r="AJ355" s="165"/>
      <c r="AK355" s="111"/>
      <c r="AL355" s="111"/>
      <c r="AM355" s="111"/>
      <c r="AN355" s="111"/>
      <c r="AO355" s="111"/>
      <c r="AP355" s="111"/>
      <c r="AQ355" s="116"/>
      <c r="AR355" s="116"/>
      <c r="AS355" s="116"/>
    </row>
    <row r="356">
      <c r="A356" s="42" t="str">
        <f>IFERROR(__xludf.DUMMYFUNCTION("""COMPUTED_VALUE"""),"Cx.L6CT")</f>
        <v>Cx.L6CT</v>
      </c>
      <c r="B356" s="42"/>
      <c r="C356" s="42"/>
      <c r="D356" s="42" t="str">
        <f>IFERROR(__xludf.DUMMYFUNCTION("""COMPUTED_VALUE"""),"TRN_core")</f>
        <v>TRN_core</v>
      </c>
      <c r="E356" s="42"/>
      <c r="F356" s="42"/>
      <c r="G356" s="42"/>
      <c r="H356" s="42" t="str">
        <f>IFERROR(__xludf.DUMMYFUNCTION("""COMPUTED_VALUE"""),"")</f>
        <v/>
      </c>
      <c r="I356" s="42" t="str">
        <f>IFERROR(__xludf.DUMMYFUNCTION("""COMPUTED_VALUE"""),"Bonjean, 2012")</f>
        <v>Bonjean, 2012</v>
      </c>
      <c r="J356" s="42"/>
      <c r="K356" s="42"/>
      <c r="L356" s="42"/>
      <c r="M356" s="42"/>
      <c r="N356" s="42"/>
      <c r="O356" s="31" t="str">
        <f>IFERROR(__xludf.DUMMYFUNCTION("""COMPUTED_VALUE"""),"DOC")</f>
        <v>DOC</v>
      </c>
      <c r="P356" s="9" t="str">
        <f>IFERROR(__xludf.DUMMYFUNCTION("""COMPUTED_VALUE"""),"Journal of Neuroscience")</f>
        <v>Journal of Neuroscience</v>
      </c>
      <c r="Q356" s="9"/>
      <c r="R356" s="179" t="str">
        <f>IFERROR(__xludf.DUMMYFUNCTION("""COMPUTED_VALUE"""),"TRN_core (00/00) [Baker, 2018][Bonjean, 2012][Lemieux, 2014][Rodriguez, 2004][Shepherd, 2013];
")</f>
        <v>TRN_core (00/00) [Baker, 2018][Bonjean, 2012][Lemieux, 2014][Rodriguez, 2004][Shepherd, 2013];
</v>
      </c>
      <c r="S356" s="179" t="str">
        <f>IFERROR(__xludf.DUMMYFUNCTION("""COMPUTED_VALUE"""),"Cx.L6CTTRN_core")</f>
        <v>Cx.L6CTTRN_core</v>
      </c>
      <c r="T356" s="179" t="str">
        <f>IFERROR(__xludf.DUMMYFUNCTION("""COMPUTED_VALUE"""),"[Bonjean, 2012]")</f>
        <v>[Bonjean, 2012]</v>
      </c>
      <c r="U356" s="179">
        <f>IFERROR(__xludf.DUMMYFUNCTION("""COMPUTED_VALUE"""),0.0)</f>
        <v>0</v>
      </c>
      <c r="V356" s="180">
        <f>IFERROR(__xludf.DUMMYFUNCTION("""COMPUTED_VALUE"""),0.0)</f>
        <v>0</v>
      </c>
      <c r="W356" s="180">
        <f>IFERROR(__xludf.DUMMYFUNCTION("""COMPUTED_VALUE"""),0.95)</f>
        <v>0.95</v>
      </c>
      <c r="X356" s="42">
        <f>IFERROR(__xludf.DUMMYFUNCTION("""COMPUTED_VALUE"""),0.0)</f>
        <v>0</v>
      </c>
      <c r="Y356" s="42">
        <f>IFERROR(__xludf.DUMMYFUNCTION("""COMPUTED_VALUE"""),0.0)</f>
        <v>0</v>
      </c>
      <c r="Z356" s="9">
        <f>IFERROR(__xludf.DUMMYFUNCTION("""COMPUTED_VALUE"""),0.0)</f>
        <v>0</v>
      </c>
      <c r="AA356" s="181">
        <f>IFERROR(__xludf.DUMMYFUNCTION("""COMPUTED_VALUE"""),0.0)</f>
        <v>0</v>
      </c>
      <c r="AB356" s="181">
        <f>IFERROR(__xludf.DUMMYFUNCTION("""COMPUTED_VALUE"""),0.0)</f>
        <v>0</v>
      </c>
      <c r="AC356" s="179">
        <f>IFERROR(__xludf.DUMMYFUNCTION("""COMPUTED_VALUE"""),0.0)</f>
        <v>0</v>
      </c>
      <c r="AD356" s="165">
        <f>IFERROR(__xludf.DUMMYFUNCTION("""COMPUTED_VALUE"""),0.0)</f>
        <v>0</v>
      </c>
      <c r="AE356" s="39" t="str">
        <f>IFERROR(__xludf.DUMMYFUNCTION("""COMPUTED_VALUE"""),"Hiroshi Yamakawa")</f>
        <v>Hiroshi Yamakawa</v>
      </c>
      <c r="AF356" s="39" t="str">
        <f>IFERROR(__xludf.DUMMYFUNCTION("""COMPUTED_VALUE"""),"HY18NeocorticalInterareaSignals")</f>
        <v>HY18NeocorticalInterareaSignals</v>
      </c>
      <c r="AG356" s="39"/>
      <c r="AH356" s="39"/>
      <c r="AI356" s="165"/>
      <c r="AJ356" s="165"/>
      <c r="AK356" s="111"/>
      <c r="AL356" s="111"/>
      <c r="AM356" s="111"/>
      <c r="AN356" s="111"/>
      <c r="AO356" s="111"/>
      <c r="AP356" s="111"/>
      <c r="AQ356" s="116"/>
      <c r="AR356" s="116"/>
      <c r="AS356" s="116"/>
    </row>
    <row r="357">
      <c r="A357" s="42" t="str">
        <f>IFERROR(__xludf.DUMMYFUNCTION("""COMPUTED_VALUE"""),"Cx.L6CT")</f>
        <v>Cx.L6CT</v>
      </c>
      <c r="B357" s="42"/>
      <c r="C357" s="42"/>
      <c r="D357" s="42" t="str">
        <f>IFERROR(__xludf.DUMMYFUNCTION("""COMPUTED_VALUE"""),"TRN_IL")</f>
        <v>TRN_IL</v>
      </c>
      <c r="E357" s="42"/>
      <c r="F357" s="42"/>
      <c r="G357" s="42"/>
      <c r="H357" s="42" t="str">
        <f>IFERROR(__xludf.DUMMYFUNCTION("""COMPUTED_VALUE"""),"?")</f>
        <v>?</v>
      </c>
      <c r="I357" s="42" t="str">
        <f>IFERROR(__xludf.DUMMYFUNCTION("""COMPUTED_VALUE"""),"Clascá, 2012")</f>
        <v>Clascá, 2012</v>
      </c>
      <c r="J357" s="42"/>
      <c r="K357" s="42"/>
      <c r="L357" s="42"/>
      <c r="M357" s="42"/>
      <c r="N357" s="42"/>
      <c r="O357" s="31" t="str">
        <f>IFERROR(__xludf.DUMMYFUNCTION("""COMPUTED_VALUE"""),"DOC")</f>
        <v>DOC</v>
      </c>
      <c r="P357" s="9" t="str">
        <f>IFERROR(__xludf.DUMMYFUNCTION("""COMPUTED_VALUE"""),"European Journal of Neuroscience")</f>
        <v>European Journal of Neuroscience</v>
      </c>
      <c r="Q357" s="9"/>
      <c r="R357" s="179" t="str">
        <f>IFERROR(__xludf.DUMMYFUNCTION("""COMPUTED_VALUE"""),"TRN_IL (00/00) [Clascá, 2012]?;
")</f>
        <v>TRN_IL (00/00) [Clascá, 2012]?;
</v>
      </c>
      <c r="S357" s="179" t="str">
        <f>IFERROR(__xludf.DUMMYFUNCTION("""COMPUTED_VALUE"""),"Cx.L6CTTRN_IL")</f>
        <v>Cx.L6CTTRN_IL</v>
      </c>
      <c r="T357" s="179" t="str">
        <f>IFERROR(__xludf.DUMMYFUNCTION("""COMPUTED_VALUE"""),"[Clascá, 2012]")</f>
        <v>[Clascá, 2012]</v>
      </c>
      <c r="U357" s="179">
        <f>IFERROR(__xludf.DUMMYFUNCTION("""COMPUTED_VALUE"""),0.0)</f>
        <v>0</v>
      </c>
      <c r="V357" s="180">
        <f>IFERROR(__xludf.DUMMYFUNCTION("""COMPUTED_VALUE"""),0.0)</f>
        <v>0</v>
      </c>
      <c r="W357" s="180">
        <f>IFERROR(__xludf.DUMMYFUNCTION("""COMPUTED_VALUE"""),0.95)</f>
        <v>0.95</v>
      </c>
      <c r="X357" s="42">
        <f>IFERROR(__xludf.DUMMYFUNCTION("""COMPUTED_VALUE"""),0.0)</f>
        <v>0</v>
      </c>
      <c r="Y357" s="42">
        <f>IFERROR(__xludf.DUMMYFUNCTION("""COMPUTED_VALUE"""),0.0)</f>
        <v>0</v>
      </c>
      <c r="Z357" s="9">
        <f>IFERROR(__xludf.DUMMYFUNCTION("""COMPUTED_VALUE"""),0.0)</f>
        <v>0</v>
      </c>
      <c r="AA357" s="181">
        <f>IFERROR(__xludf.DUMMYFUNCTION("""COMPUTED_VALUE"""),0.0)</f>
        <v>0</v>
      </c>
      <c r="AB357" s="181">
        <f>IFERROR(__xludf.DUMMYFUNCTION("""COMPUTED_VALUE"""),0.0)</f>
        <v>0</v>
      </c>
      <c r="AC357" s="179">
        <f>IFERROR(__xludf.DUMMYFUNCTION("""COMPUTED_VALUE"""),0.0)</f>
        <v>0</v>
      </c>
      <c r="AD357" s="165">
        <f>IFERROR(__xludf.DUMMYFUNCTION("""COMPUTED_VALUE"""),0.0)</f>
        <v>0</v>
      </c>
      <c r="AE357" s="39" t="str">
        <f>IFERROR(__xludf.DUMMYFUNCTION("""COMPUTED_VALUE"""),"Hiroshi Yamakawa")</f>
        <v>Hiroshi Yamakawa</v>
      </c>
      <c r="AF357" s="39" t="str">
        <f>IFERROR(__xludf.DUMMYFUNCTION("""COMPUTED_VALUE"""),"HY18NeocorticalInterareaSignals")</f>
        <v>HY18NeocorticalInterareaSignals</v>
      </c>
      <c r="AG357" s="39"/>
      <c r="AH357" s="39"/>
      <c r="AI357" s="165"/>
      <c r="AJ357" s="165"/>
      <c r="AK357" s="111"/>
      <c r="AL357" s="111"/>
      <c r="AM357" s="111"/>
      <c r="AN357" s="111"/>
      <c r="AO357" s="111"/>
      <c r="AP357" s="111"/>
      <c r="AQ357" s="116"/>
      <c r="AR357" s="116"/>
      <c r="AS357" s="116"/>
    </row>
    <row r="358">
      <c r="A358" s="42" t="str">
        <f>IFERROR(__xludf.DUMMYFUNCTION("""COMPUTED_VALUE"""),"Cx.L6CT")</f>
        <v>Cx.L6CT</v>
      </c>
      <c r="B358" s="42"/>
      <c r="C358" s="42"/>
      <c r="D358" s="42" t="str">
        <f>IFERROR(__xludf.DUMMYFUNCTION("""COMPUTED_VALUE"""),"R")</f>
        <v>R</v>
      </c>
      <c r="E358" s="42"/>
      <c r="F358" s="42"/>
      <c r="G358" s="42"/>
      <c r="H358" s="42" t="str">
        <f>IFERROR(__xludf.DUMMYFUNCTION("""COMPUTED_VALUE"""),"")</f>
        <v/>
      </c>
      <c r="I358" s="42" t="str">
        <f>IFERROR(__xludf.DUMMYFUNCTION("""COMPUTED_VALUE"""),"Lemieux, 2014")</f>
        <v>Lemieux, 2014</v>
      </c>
      <c r="J358" s="42"/>
      <c r="K358" s="42"/>
      <c r="L358" s="42"/>
      <c r="M358" s="42"/>
      <c r="N358" s="42"/>
      <c r="O358" s="31" t="str">
        <f>IFERROR(__xludf.DUMMYFUNCTION("""COMPUTED_VALUE"""),"DOC")</f>
        <v>DOC</v>
      </c>
      <c r="P358" s="9" t="str">
        <f>IFERROR(__xludf.DUMMYFUNCTION("""COMPUTED_VALUE"""),"Journal of Neuroscience")</f>
        <v>Journal of Neuroscience</v>
      </c>
      <c r="Q358" s="9"/>
      <c r="R358" s="179" t="str">
        <f>IFERROR(__xludf.DUMMYFUNCTION("""COMPUTED_VALUE"""),"R (00/00) [Bonjean, 2012][Lemieux, 2014][Rodriguez, 2004][Shepherd, 2013];
")</f>
        <v>R (00/00) [Bonjean, 2012][Lemieux, 2014][Rodriguez, 2004][Shepherd, 2013];
</v>
      </c>
      <c r="S358" s="179" t="str">
        <f>IFERROR(__xludf.DUMMYFUNCTION("""COMPUTED_VALUE"""),"Cx.L6CTR")</f>
        <v>Cx.L6CTR</v>
      </c>
      <c r="T358" s="179" t="str">
        <f>IFERROR(__xludf.DUMMYFUNCTION("""COMPUTED_VALUE"""),"[Lemieux, 2014]")</f>
        <v>[Lemieux, 2014]</v>
      </c>
      <c r="U358" s="179">
        <f>IFERROR(__xludf.DUMMYFUNCTION("""COMPUTED_VALUE"""),0.0)</f>
        <v>0</v>
      </c>
      <c r="V358" s="180">
        <f>IFERROR(__xludf.DUMMYFUNCTION("""COMPUTED_VALUE"""),0.0)</f>
        <v>0</v>
      </c>
      <c r="W358" s="180">
        <f>IFERROR(__xludf.DUMMYFUNCTION("""COMPUTED_VALUE"""),0.95)</f>
        <v>0.95</v>
      </c>
      <c r="X358" s="42">
        <f>IFERROR(__xludf.DUMMYFUNCTION("""COMPUTED_VALUE"""),0.0)</f>
        <v>0</v>
      </c>
      <c r="Y358" s="42">
        <f>IFERROR(__xludf.DUMMYFUNCTION("""COMPUTED_VALUE"""),0.0)</f>
        <v>0</v>
      </c>
      <c r="Z358" s="9">
        <f>IFERROR(__xludf.DUMMYFUNCTION("""COMPUTED_VALUE"""),0.0)</f>
        <v>0</v>
      </c>
      <c r="AA358" s="181">
        <f>IFERROR(__xludf.DUMMYFUNCTION("""COMPUTED_VALUE"""),0.0)</f>
        <v>0</v>
      </c>
      <c r="AB358" s="181">
        <f>IFERROR(__xludf.DUMMYFUNCTION("""COMPUTED_VALUE"""),0.0)</f>
        <v>0</v>
      </c>
      <c r="AC358" s="179">
        <f>IFERROR(__xludf.DUMMYFUNCTION("""COMPUTED_VALUE"""),0.0)</f>
        <v>0</v>
      </c>
      <c r="AD358" s="165">
        <f>IFERROR(__xludf.DUMMYFUNCTION("""COMPUTED_VALUE"""),0.0)</f>
        <v>0</v>
      </c>
      <c r="AE358" s="39" t="str">
        <f>IFERROR(__xludf.DUMMYFUNCTION("""COMPUTED_VALUE"""),"Hiroshi Yamakawa")</f>
        <v>Hiroshi Yamakawa</v>
      </c>
      <c r="AF358" s="39" t="str">
        <f>IFERROR(__xludf.DUMMYFUNCTION("""COMPUTED_VALUE"""),"HY18NeocorticalInterareaSignals")</f>
        <v>HY18NeocorticalInterareaSignals</v>
      </c>
      <c r="AG358" s="39"/>
      <c r="AH358" s="39"/>
      <c r="AI358" s="165"/>
      <c r="AJ358" s="165"/>
      <c r="AK358" s="111"/>
      <c r="AL358" s="111"/>
      <c r="AM358" s="111"/>
      <c r="AN358" s="111"/>
      <c r="AO358" s="111"/>
      <c r="AP358" s="111"/>
      <c r="AQ358" s="116"/>
      <c r="AR358" s="116"/>
      <c r="AS358" s="116"/>
    </row>
    <row r="359">
      <c r="A359" s="42" t="str">
        <f>IFERROR(__xludf.DUMMYFUNCTION("""COMPUTED_VALUE"""),"Cx.L6CT")</f>
        <v>Cx.L6CT</v>
      </c>
      <c r="B359" s="42"/>
      <c r="C359" s="42"/>
      <c r="D359" s="42" t="str">
        <f>IFERROR(__xludf.DUMMYFUNCTION("""COMPUTED_VALUE"""),"TRN_core")</f>
        <v>TRN_core</v>
      </c>
      <c r="E359" s="42"/>
      <c r="F359" s="42"/>
      <c r="G359" s="42"/>
      <c r="H359" s="42" t="str">
        <f>IFERROR(__xludf.DUMMYFUNCTION("""COMPUTED_VALUE"""),"")</f>
        <v/>
      </c>
      <c r="I359" s="42" t="str">
        <f>IFERROR(__xludf.DUMMYFUNCTION("""COMPUTED_VALUE"""),"Lemieux, 2014")</f>
        <v>Lemieux, 2014</v>
      </c>
      <c r="J359" s="42"/>
      <c r="K359" s="42"/>
      <c r="L359" s="42"/>
      <c r="M359" s="42"/>
      <c r="N359" s="42"/>
      <c r="O359" s="31" t="str">
        <f>IFERROR(__xludf.DUMMYFUNCTION("""COMPUTED_VALUE"""),"DOC")</f>
        <v>DOC</v>
      </c>
      <c r="P359" s="9" t="str">
        <f>IFERROR(__xludf.DUMMYFUNCTION("""COMPUTED_VALUE"""),"Journal of Neuroscience")</f>
        <v>Journal of Neuroscience</v>
      </c>
      <c r="Q359" s="9"/>
      <c r="R359" s="179" t="str">
        <f>IFERROR(__xludf.DUMMYFUNCTION("""COMPUTED_VALUE"""),"TRN_core (00/00) [Baker, 2018][Bonjean, 2012][Lemieux, 2014][Rodriguez, 2004][Shepherd, 2013];
")</f>
        <v>TRN_core (00/00) [Baker, 2018][Bonjean, 2012][Lemieux, 2014][Rodriguez, 2004][Shepherd, 2013];
</v>
      </c>
      <c r="S359" s="179" t="str">
        <f>IFERROR(__xludf.DUMMYFUNCTION("""COMPUTED_VALUE"""),"Cx.L6CTTRN_core")</f>
        <v>Cx.L6CTTRN_core</v>
      </c>
      <c r="T359" s="179" t="str">
        <f>IFERROR(__xludf.DUMMYFUNCTION("""COMPUTED_VALUE"""),"[Lemieux, 2014]")</f>
        <v>[Lemieux, 2014]</v>
      </c>
      <c r="U359" s="179">
        <f>IFERROR(__xludf.DUMMYFUNCTION("""COMPUTED_VALUE"""),0.0)</f>
        <v>0</v>
      </c>
      <c r="V359" s="180">
        <f>IFERROR(__xludf.DUMMYFUNCTION("""COMPUTED_VALUE"""),0.0)</f>
        <v>0</v>
      </c>
      <c r="W359" s="180">
        <f>IFERROR(__xludf.DUMMYFUNCTION("""COMPUTED_VALUE"""),0.95)</f>
        <v>0.95</v>
      </c>
      <c r="X359" s="42">
        <f>IFERROR(__xludf.DUMMYFUNCTION("""COMPUTED_VALUE"""),0.0)</f>
        <v>0</v>
      </c>
      <c r="Y359" s="42">
        <f>IFERROR(__xludf.DUMMYFUNCTION("""COMPUTED_VALUE"""),0.0)</f>
        <v>0</v>
      </c>
      <c r="Z359" s="9">
        <f>IFERROR(__xludf.DUMMYFUNCTION("""COMPUTED_VALUE"""),0.0)</f>
        <v>0</v>
      </c>
      <c r="AA359" s="181">
        <f>IFERROR(__xludf.DUMMYFUNCTION("""COMPUTED_VALUE"""),0.0)</f>
        <v>0</v>
      </c>
      <c r="AB359" s="181">
        <f>IFERROR(__xludf.DUMMYFUNCTION("""COMPUTED_VALUE"""),0.0)</f>
        <v>0</v>
      </c>
      <c r="AC359" s="179">
        <f>IFERROR(__xludf.DUMMYFUNCTION("""COMPUTED_VALUE"""),0.0)</f>
        <v>0</v>
      </c>
      <c r="AD359" s="165">
        <f>IFERROR(__xludf.DUMMYFUNCTION("""COMPUTED_VALUE"""),0.0)</f>
        <v>0</v>
      </c>
      <c r="AE359" s="39" t="str">
        <f>IFERROR(__xludf.DUMMYFUNCTION("""COMPUTED_VALUE"""),"Hiroshi Yamakawa")</f>
        <v>Hiroshi Yamakawa</v>
      </c>
      <c r="AF359" s="39" t="str">
        <f>IFERROR(__xludf.DUMMYFUNCTION("""COMPUTED_VALUE"""),"HY18NeocorticalInterareaSignals")</f>
        <v>HY18NeocorticalInterareaSignals</v>
      </c>
      <c r="AG359" s="39"/>
      <c r="AH359" s="39"/>
      <c r="AI359" s="165"/>
      <c r="AJ359" s="165"/>
      <c r="AK359" s="111"/>
      <c r="AL359" s="111"/>
      <c r="AM359" s="111"/>
      <c r="AN359" s="111"/>
      <c r="AO359" s="111"/>
      <c r="AP359" s="111"/>
      <c r="AQ359" s="116"/>
      <c r="AR359" s="116"/>
      <c r="AS359" s="116"/>
    </row>
    <row r="360">
      <c r="A360" s="42" t="str">
        <f>IFERROR(__xludf.DUMMYFUNCTION("""COMPUTED_VALUE"""),"Cx.L6CT")</f>
        <v>Cx.L6CT</v>
      </c>
      <c r="B360" s="42"/>
      <c r="C360" s="42"/>
      <c r="D360" s="42" t="str">
        <f>IFERROR(__xludf.DUMMYFUNCTION("""COMPUTED_VALUE"""),"R")</f>
        <v>R</v>
      </c>
      <c r="E360" s="42"/>
      <c r="F360" s="42"/>
      <c r="G360" s="42"/>
      <c r="H360" s="42" t="str">
        <f>IFERROR(__xludf.DUMMYFUNCTION("""COMPUTED_VALUE"""),"")</f>
        <v/>
      </c>
      <c r="I360" s="42" t="str">
        <f>IFERROR(__xludf.DUMMYFUNCTION("""COMPUTED_VALUE"""),"Rodriguez, 2004")</f>
        <v>Rodriguez, 2004</v>
      </c>
      <c r="J360" s="42"/>
      <c r="K360" s="42"/>
      <c r="L360" s="42"/>
      <c r="M360" s="42"/>
      <c r="N360" s="42"/>
      <c r="O360" s="31" t="str">
        <f>IFERROR(__xludf.DUMMYFUNCTION("""COMPUTED_VALUE"""),"DOC")</f>
        <v>DOC</v>
      </c>
      <c r="P360" s="9" t="str">
        <f>IFERROR(__xludf.DUMMYFUNCTION("""COMPUTED_VALUE"""),"Journal of Cognitive Neuroscience")</f>
        <v>Journal of Cognitive Neuroscience</v>
      </c>
      <c r="Q360" s="9"/>
      <c r="R360" s="179" t="str">
        <f>IFERROR(__xludf.DUMMYFUNCTION("""COMPUTED_VALUE"""),"R (00/00) [Bonjean, 2012][Lemieux, 2014][Rodriguez, 2004][Shepherd, 2013];
")</f>
        <v>R (00/00) [Bonjean, 2012][Lemieux, 2014][Rodriguez, 2004][Shepherd, 2013];
</v>
      </c>
      <c r="S360" s="179" t="str">
        <f>IFERROR(__xludf.DUMMYFUNCTION("""COMPUTED_VALUE"""),"Cx.L6CTR")</f>
        <v>Cx.L6CTR</v>
      </c>
      <c r="T360" s="179" t="str">
        <f>IFERROR(__xludf.DUMMYFUNCTION("""COMPUTED_VALUE"""),"[Rodriguez, 2004]")</f>
        <v>[Rodriguez, 2004]</v>
      </c>
      <c r="U360" s="179">
        <f>IFERROR(__xludf.DUMMYFUNCTION("""COMPUTED_VALUE"""),0.0)</f>
        <v>0</v>
      </c>
      <c r="V360" s="180">
        <f>IFERROR(__xludf.DUMMYFUNCTION("""COMPUTED_VALUE"""),0.0)</f>
        <v>0</v>
      </c>
      <c r="W360" s="180">
        <f>IFERROR(__xludf.DUMMYFUNCTION("""COMPUTED_VALUE"""),0.95)</f>
        <v>0.95</v>
      </c>
      <c r="X360" s="42">
        <f>IFERROR(__xludf.DUMMYFUNCTION("""COMPUTED_VALUE"""),0.0)</f>
        <v>0</v>
      </c>
      <c r="Y360" s="42">
        <f>IFERROR(__xludf.DUMMYFUNCTION("""COMPUTED_VALUE"""),0.0)</f>
        <v>0</v>
      </c>
      <c r="Z360" s="9">
        <f>IFERROR(__xludf.DUMMYFUNCTION("""COMPUTED_VALUE"""),0.0)</f>
        <v>0</v>
      </c>
      <c r="AA360" s="181">
        <f>IFERROR(__xludf.DUMMYFUNCTION("""COMPUTED_VALUE"""),0.0)</f>
        <v>0</v>
      </c>
      <c r="AB360" s="181">
        <f>IFERROR(__xludf.DUMMYFUNCTION("""COMPUTED_VALUE"""),0.0)</f>
        <v>0</v>
      </c>
      <c r="AC360" s="179">
        <f>IFERROR(__xludf.DUMMYFUNCTION("""COMPUTED_VALUE"""),0.0)</f>
        <v>0</v>
      </c>
      <c r="AD360" s="165">
        <f>IFERROR(__xludf.DUMMYFUNCTION("""COMPUTED_VALUE"""),0.0)</f>
        <v>0</v>
      </c>
      <c r="AE360" s="39" t="str">
        <f>IFERROR(__xludf.DUMMYFUNCTION("""COMPUTED_VALUE"""),"Hiroshi Yamakawa")</f>
        <v>Hiroshi Yamakawa</v>
      </c>
      <c r="AF360" s="39" t="str">
        <f>IFERROR(__xludf.DUMMYFUNCTION("""COMPUTED_VALUE"""),"HY18NeocorticalInterareaSignals")</f>
        <v>HY18NeocorticalInterareaSignals</v>
      </c>
      <c r="AG360" s="39"/>
      <c r="AH360" s="39"/>
      <c r="AI360" s="165"/>
      <c r="AJ360" s="165"/>
      <c r="AK360" s="111"/>
      <c r="AL360" s="111"/>
      <c r="AM360" s="111"/>
      <c r="AN360" s="111"/>
      <c r="AO360" s="111"/>
      <c r="AP360" s="111"/>
      <c r="AQ360" s="116"/>
      <c r="AR360" s="116"/>
      <c r="AS360" s="116"/>
    </row>
    <row r="361">
      <c r="A361" s="42" t="str">
        <f>IFERROR(__xludf.DUMMYFUNCTION("""COMPUTED_VALUE"""),"Cx.L6CT")</f>
        <v>Cx.L6CT</v>
      </c>
      <c r="B361" s="42"/>
      <c r="C361" s="42"/>
      <c r="D361" s="42" t="str">
        <f>IFERROR(__xludf.DUMMYFUNCTION("""COMPUTED_VALUE"""),"TRN_core")</f>
        <v>TRN_core</v>
      </c>
      <c r="E361" s="42"/>
      <c r="F361" s="42"/>
      <c r="G361" s="42"/>
      <c r="H361" s="42" t="str">
        <f>IFERROR(__xludf.DUMMYFUNCTION("""COMPUTED_VALUE"""),"")</f>
        <v/>
      </c>
      <c r="I361" s="42" t="str">
        <f>IFERROR(__xludf.DUMMYFUNCTION("""COMPUTED_VALUE"""),"Rodriguez, 2004")</f>
        <v>Rodriguez, 2004</v>
      </c>
      <c r="J361" s="42"/>
      <c r="K361" s="42"/>
      <c r="L361" s="42"/>
      <c r="M361" s="42"/>
      <c r="N361" s="42"/>
      <c r="O361" s="31" t="str">
        <f>IFERROR(__xludf.DUMMYFUNCTION("""COMPUTED_VALUE"""),"DOC")</f>
        <v>DOC</v>
      </c>
      <c r="P361" s="9" t="str">
        <f>IFERROR(__xludf.DUMMYFUNCTION("""COMPUTED_VALUE"""),"Journal of Cognitive Neuroscience")</f>
        <v>Journal of Cognitive Neuroscience</v>
      </c>
      <c r="Q361" s="9"/>
      <c r="R361" s="179" t="str">
        <f>IFERROR(__xludf.DUMMYFUNCTION("""COMPUTED_VALUE"""),"TRN_core (00/00) [Baker, 2018][Bonjean, 2012][Lemieux, 2014][Rodriguez, 2004][Shepherd, 2013];
")</f>
        <v>TRN_core (00/00) [Baker, 2018][Bonjean, 2012][Lemieux, 2014][Rodriguez, 2004][Shepherd, 2013];
</v>
      </c>
      <c r="S361" s="179" t="str">
        <f>IFERROR(__xludf.DUMMYFUNCTION("""COMPUTED_VALUE"""),"Cx.L6CTTRN_core")</f>
        <v>Cx.L6CTTRN_core</v>
      </c>
      <c r="T361" s="179" t="str">
        <f>IFERROR(__xludf.DUMMYFUNCTION("""COMPUTED_VALUE"""),"[Rodriguez, 2004]")</f>
        <v>[Rodriguez, 2004]</v>
      </c>
      <c r="U361" s="179">
        <f>IFERROR(__xludf.DUMMYFUNCTION("""COMPUTED_VALUE"""),0.0)</f>
        <v>0</v>
      </c>
      <c r="V361" s="180">
        <f>IFERROR(__xludf.DUMMYFUNCTION("""COMPUTED_VALUE"""),0.0)</f>
        <v>0</v>
      </c>
      <c r="W361" s="180">
        <f>IFERROR(__xludf.DUMMYFUNCTION("""COMPUTED_VALUE"""),0.95)</f>
        <v>0.95</v>
      </c>
      <c r="X361" s="42">
        <f>IFERROR(__xludf.DUMMYFUNCTION("""COMPUTED_VALUE"""),0.0)</f>
        <v>0</v>
      </c>
      <c r="Y361" s="42">
        <f>IFERROR(__xludf.DUMMYFUNCTION("""COMPUTED_VALUE"""),0.0)</f>
        <v>0</v>
      </c>
      <c r="Z361" s="9">
        <f>IFERROR(__xludf.DUMMYFUNCTION("""COMPUTED_VALUE"""),0.0)</f>
        <v>0</v>
      </c>
      <c r="AA361" s="181">
        <f>IFERROR(__xludf.DUMMYFUNCTION("""COMPUTED_VALUE"""),0.0)</f>
        <v>0</v>
      </c>
      <c r="AB361" s="181">
        <f>IFERROR(__xludf.DUMMYFUNCTION("""COMPUTED_VALUE"""),0.0)</f>
        <v>0</v>
      </c>
      <c r="AC361" s="179">
        <f>IFERROR(__xludf.DUMMYFUNCTION("""COMPUTED_VALUE"""),0.0)</f>
        <v>0</v>
      </c>
      <c r="AD361" s="165">
        <f>IFERROR(__xludf.DUMMYFUNCTION("""COMPUTED_VALUE"""),0.0)</f>
        <v>0</v>
      </c>
      <c r="AE361" s="39" t="str">
        <f>IFERROR(__xludf.DUMMYFUNCTION("""COMPUTED_VALUE"""),"Hiroshi Yamakawa")</f>
        <v>Hiroshi Yamakawa</v>
      </c>
      <c r="AF361" s="39" t="str">
        <f>IFERROR(__xludf.DUMMYFUNCTION("""COMPUTED_VALUE"""),"HY18NeocorticalInterareaSignals")</f>
        <v>HY18NeocorticalInterareaSignals</v>
      </c>
      <c r="AG361" s="39"/>
      <c r="AH361" s="39"/>
      <c r="AI361" s="165"/>
      <c r="AJ361" s="165"/>
      <c r="AK361" s="111"/>
      <c r="AL361" s="111"/>
      <c r="AM361" s="111"/>
      <c r="AN361" s="111"/>
      <c r="AO361" s="111"/>
      <c r="AP361" s="111"/>
      <c r="AQ361" s="116"/>
      <c r="AR361" s="116"/>
      <c r="AS361" s="116"/>
    </row>
    <row r="362">
      <c r="A362" s="42" t="str">
        <f>IFERROR(__xludf.DUMMYFUNCTION("""COMPUTED_VALUE"""),"Cx.L6CT")</f>
        <v>Cx.L6CT</v>
      </c>
      <c r="B362" s="42"/>
      <c r="C362" s="42"/>
      <c r="D362" s="42" t="str">
        <f>IFERROR(__xludf.DUMMYFUNCTION("""COMPUTED_VALUE"""),"R")</f>
        <v>R</v>
      </c>
      <c r="E362" s="42"/>
      <c r="F362" s="42"/>
      <c r="G362" s="42"/>
      <c r="H362" s="42" t="str">
        <f>IFERROR(__xludf.DUMMYFUNCTION("""COMPUTED_VALUE"""),"")</f>
        <v/>
      </c>
      <c r="I362" s="42" t="str">
        <f>IFERROR(__xludf.DUMMYFUNCTION("""COMPUTED_VALUE"""),"Shepherd, 2013")</f>
        <v>Shepherd, 2013</v>
      </c>
      <c r="J362" s="42"/>
      <c r="K362" s="42"/>
      <c r="L362" s="42"/>
      <c r="M362" s="42"/>
      <c r="N362" s="42"/>
      <c r="O362" s="31" t="str">
        <f>IFERROR(__xludf.DUMMYFUNCTION("""COMPUTED_VALUE"""),"DOC")</f>
        <v>DOC</v>
      </c>
      <c r="P362" s="9" t="str">
        <f>IFERROR(__xludf.DUMMYFUNCTION("""COMPUTED_VALUE"""),"Nature Reviews Neuroscience")</f>
        <v>Nature Reviews Neuroscience</v>
      </c>
      <c r="Q362" s="9"/>
      <c r="R362" s="179" t="str">
        <f>IFERROR(__xludf.DUMMYFUNCTION("""COMPUTED_VALUE"""),"R (00/00) [Bonjean, 2012][Lemieux, 2014][Rodriguez, 2004][Shepherd, 2013];
")</f>
        <v>R (00/00) [Bonjean, 2012][Lemieux, 2014][Rodriguez, 2004][Shepherd, 2013];
</v>
      </c>
      <c r="S362" s="179" t="str">
        <f>IFERROR(__xludf.DUMMYFUNCTION("""COMPUTED_VALUE"""),"Cx.L6CTR")</f>
        <v>Cx.L6CTR</v>
      </c>
      <c r="T362" s="179" t="str">
        <f>IFERROR(__xludf.DUMMYFUNCTION("""COMPUTED_VALUE"""),"[Shepherd, 2013]")</f>
        <v>[Shepherd, 2013]</v>
      </c>
      <c r="U362" s="179">
        <f>IFERROR(__xludf.DUMMYFUNCTION("""COMPUTED_VALUE"""),0.0)</f>
        <v>0</v>
      </c>
      <c r="V362" s="180">
        <f>IFERROR(__xludf.DUMMYFUNCTION("""COMPUTED_VALUE"""),0.0)</f>
        <v>0</v>
      </c>
      <c r="W362" s="180">
        <f>IFERROR(__xludf.DUMMYFUNCTION("""COMPUTED_VALUE"""),0.95)</f>
        <v>0.95</v>
      </c>
      <c r="X362" s="42">
        <f>IFERROR(__xludf.DUMMYFUNCTION("""COMPUTED_VALUE"""),0.0)</f>
        <v>0</v>
      </c>
      <c r="Y362" s="42">
        <f>IFERROR(__xludf.DUMMYFUNCTION("""COMPUTED_VALUE"""),0.0)</f>
        <v>0</v>
      </c>
      <c r="Z362" s="9">
        <f>IFERROR(__xludf.DUMMYFUNCTION("""COMPUTED_VALUE"""),0.0)</f>
        <v>0</v>
      </c>
      <c r="AA362" s="181">
        <f>IFERROR(__xludf.DUMMYFUNCTION("""COMPUTED_VALUE"""),0.0)</f>
        <v>0</v>
      </c>
      <c r="AB362" s="181">
        <f>IFERROR(__xludf.DUMMYFUNCTION("""COMPUTED_VALUE"""),0.0)</f>
        <v>0</v>
      </c>
      <c r="AC362" s="179">
        <f>IFERROR(__xludf.DUMMYFUNCTION("""COMPUTED_VALUE"""),0.0)</f>
        <v>0</v>
      </c>
      <c r="AD362" s="165">
        <f>IFERROR(__xludf.DUMMYFUNCTION("""COMPUTED_VALUE"""),0.0)</f>
        <v>0</v>
      </c>
      <c r="AE362" s="39" t="str">
        <f>IFERROR(__xludf.DUMMYFUNCTION("""COMPUTED_VALUE"""),"Hiroshi Yamakawa")</f>
        <v>Hiroshi Yamakawa</v>
      </c>
      <c r="AF362" s="39" t="str">
        <f>IFERROR(__xludf.DUMMYFUNCTION("""COMPUTED_VALUE"""),"HY18NeocorticalInterareaSignals")</f>
        <v>HY18NeocorticalInterareaSignals</v>
      </c>
      <c r="AG362" s="39"/>
      <c r="AH362" s="39"/>
      <c r="AI362" s="165"/>
      <c r="AJ362" s="165"/>
      <c r="AK362" s="111"/>
      <c r="AL362" s="111"/>
      <c r="AM362" s="111"/>
      <c r="AN362" s="111"/>
      <c r="AO362" s="111"/>
      <c r="AP362" s="111"/>
      <c r="AQ362" s="116"/>
      <c r="AR362" s="116"/>
      <c r="AS362" s="116"/>
    </row>
    <row r="363">
      <c r="A363" s="42" t="str">
        <f>IFERROR(__xludf.DUMMYFUNCTION("""COMPUTED_VALUE"""),"Cx.L6CT")</f>
        <v>Cx.L6CT</v>
      </c>
      <c r="B363" s="42"/>
      <c r="C363" s="42"/>
      <c r="D363" s="42" t="str">
        <f>IFERROR(__xludf.DUMMYFUNCTION("""COMPUTED_VALUE"""),"TRN_core")</f>
        <v>TRN_core</v>
      </c>
      <c r="E363" s="42"/>
      <c r="F363" s="42"/>
      <c r="G363" s="42"/>
      <c r="H363" s="42" t="str">
        <f>IFERROR(__xludf.DUMMYFUNCTION("""COMPUTED_VALUE"""),"")</f>
        <v/>
      </c>
      <c r="I363" s="42" t="str">
        <f>IFERROR(__xludf.DUMMYFUNCTION("""COMPUTED_VALUE"""),"Shepherd, 2013")</f>
        <v>Shepherd, 2013</v>
      </c>
      <c r="J363" s="42"/>
      <c r="K363" s="42"/>
      <c r="L363" s="42"/>
      <c r="M363" s="42"/>
      <c r="N363" s="42"/>
      <c r="O363" s="31" t="str">
        <f>IFERROR(__xludf.DUMMYFUNCTION("""COMPUTED_VALUE"""),"DOC")</f>
        <v>DOC</v>
      </c>
      <c r="P363" s="9" t="str">
        <f>IFERROR(__xludf.DUMMYFUNCTION("""COMPUTED_VALUE"""),"Nature Reviews Neuroscience")</f>
        <v>Nature Reviews Neuroscience</v>
      </c>
      <c r="Q363" s="9"/>
      <c r="R363" s="179" t="str">
        <f>IFERROR(__xludf.DUMMYFUNCTION("""COMPUTED_VALUE"""),"TRN_core (00/00) [Baker, 2018][Bonjean, 2012][Lemieux, 2014][Rodriguez, 2004][Shepherd, 2013];
")</f>
        <v>TRN_core (00/00) [Baker, 2018][Bonjean, 2012][Lemieux, 2014][Rodriguez, 2004][Shepherd, 2013];
</v>
      </c>
      <c r="S363" s="179" t="str">
        <f>IFERROR(__xludf.DUMMYFUNCTION("""COMPUTED_VALUE"""),"Cx.L6CTTRN_core")</f>
        <v>Cx.L6CTTRN_core</v>
      </c>
      <c r="T363" s="179" t="str">
        <f>IFERROR(__xludf.DUMMYFUNCTION("""COMPUTED_VALUE"""),"[Shepherd, 2013]")</f>
        <v>[Shepherd, 2013]</v>
      </c>
      <c r="U363" s="179">
        <f>IFERROR(__xludf.DUMMYFUNCTION("""COMPUTED_VALUE"""),0.0)</f>
        <v>0</v>
      </c>
      <c r="V363" s="180">
        <f>IFERROR(__xludf.DUMMYFUNCTION("""COMPUTED_VALUE"""),0.0)</f>
        <v>0</v>
      </c>
      <c r="W363" s="180">
        <f>IFERROR(__xludf.DUMMYFUNCTION("""COMPUTED_VALUE"""),0.95)</f>
        <v>0.95</v>
      </c>
      <c r="X363" s="42">
        <f>IFERROR(__xludf.DUMMYFUNCTION("""COMPUTED_VALUE"""),0.0)</f>
        <v>0</v>
      </c>
      <c r="Y363" s="42">
        <f>IFERROR(__xludf.DUMMYFUNCTION("""COMPUTED_VALUE"""),0.0)</f>
        <v>0</v>
      </c>
      <c r="Z363" s="9">
        <f>IFERROR(__xludf.DUMMYFUNCTION("""COMPUTED_VALUE"""),0.0)</f>
        <v>0</v>
      </c>
      <c r="AA363" s="181">
        <f>IFERROR(__xludf.DUMMYFUNCTION("""COMPUTED_VALUE"""),0.0)</f>
        <v>0</v>
      </c>
      <c r="AB363" s="181">
        <f>IFERROR(__xludf.DUMMYFUNCTION("""COMPUTED_VALUE"""),0.0)</f>
        <v>0</v>
      </c>
      <c r="AC363" s="179">
        <f>IFERROR(__xludf.DUMMYFUNCTION("""COMPUTED_VALUE"""),0.0)</f>
        <v>0</v>
      </c>
      <c r="AD363" s="165">
        <f>IFERROR(__xludf.DUMMYFUNCTION("""COMPUTED_VALUE"""),0.0)</f>
        <v>0</v>
      </c>
      <c r="AE363" s="39" t="str">
        <f>IFERROR(__xludf.DUMMYFUNCTION("""COMPUTED_VALUE"""),"Hiroshi Yamakawa")</f>
        <v>Hiroshi Yamakawa</v>
      </c>
      <c r="AF363" s="39" t="str">
        <f>IFERROR(__xludf.DUMMYFUNCTION("""COMPUTED_VALUE"""),"HY18NeocorticalInterareaSignals")</f>
        <v>HY18NeocorticalInterareaSignals</v>
      </c>
      <c r="AG363" s="39"/>
      <c r="AH363" s="39"/>
      <c r="AI363" s="165"/>
      <c r="AJ363" s="165"/>
      <c r="AK363" s="111"/>
      <c r="AL363" s="111"/>
      <c r="AM363" s="111"/>
      <c r="AN363" s="111"/>
      <c r="AO363" s="111"/>
      <c r="AP363" s="111"/>
      <c r="AQ363" s="116"/>
      <c r="AR363" s="116"/>
      <c r="AS363" s="116"/>
    </row>
    <row r="364">
      <c r="A364" s="42"/>
      <c r="B364" s="42"/>
      <c r="C364" s="42"/>
      <c r="D364" s="42"/>
      <c r="E364" s="42"/>
      <c r="F364" s="42"/>
      <c r="G364" s="42"/>
      <c r="H364" s="42"/>
      <c r="I364" s="42"/>
      <c r="J364" s="42"/>
      <c r="K364" s="42"/>
      <c r="L364" s="42"/>
      <c r="M364" s="42"/>
      <c r="N364" s="42"/>
      <c r="O364" s="31"/>
      <c r="P364" s="9"/>
      <c r="Q364" s="9"/>
      <c r="R364" s="179"/>
      <c r="S364" s="179"/>
      <c r="T364" s="179"/>
      <c r="U364" s="179"/>
      <c r="V364" s="180"/>
      <c r="W364" s="180"/>
      <c r="X364" s="42"/>
      <c r="Y364" s="42"/>
      <c r="Z364" s="9"/>
      <c r="AA364" s="9"/>
      <c r="AB364" s="9"/>
      <c r="AC364" s="158"/>
      <c r="AD364" s="39"/>
      <c r="AE364" s="39"/>
      <c r="AF364" s="39"/>
      <c r="AG364" s="39"/>
      <c r="AH364" s="39"/>
      <c r="AI364" s="165"/>
      <c r="AJ364" s="165"/>
      <c r="AK364" s="111"/>
      <c r="AL364" s="111"/>
      <c r="AM364" s="111"/>
      <c r="AN364" s="111"/>
      <c r="AO364" s="111"/>
      <c r="AP364" s="111"/>
      <c r="AQ364" s="116"/>
      <c r="AR364" s="116"/>
      <c r="AS364" s="116"/>
    </row>
    <row r="365">
      <c r="A365" s="42" t="str">
        <f>IFERROR(__xludf.DUMMYFUNCTION("""COMPUTED_VALUE"""),"Cx.L6IT")</f>
        <v>Cx.L6IT</v>
      </c>
      <c r="B365" s="42"/>
      <c r="C365" s="42"/>
      <c r="D365" s="42" t="str">
        <f>IFERROR(__xludf.DUMMYFUNCTION("""COMPUTED_VALUE"""),"Cla")</f>
        <v>Cla</v>
      </c>
      <c r="E365" s="42"/>
      <c r="F365" s="42"/>
      <c r="G365" s="42"/>
      <c r="H365" s="42" t="str">
        <f>IFERROR(__xludf.DUMMYFUNCTION("""COMPUTED_VALUE"""),"")</f>
        <v/>
      </c>
      <c r="I365" s="42" t="str">
        <f>IFERROR(__xludf.DUMMYFUNCTION("""COMPUTED_VALUE"""),"Baker, 2018")</f>
        <v>Baker, 2018</v>
      </c>
      <c r="J365" s="42"/>
      <c r="K365" s="42"/>
      <c r="L365" s="42"/>
      <c r="M365" s="42"/>
      <c r="N365" s="42"/>
      <c r="O365" s="31" t="str">
        <f>IFERROR(__xludf.DUMMYFUNCTION("""COMPUTED_VALUE"""),"DOC")</f>
        <v>DOC</v>
      </c>
      <c r="P365" s="9" t="str">
        <f>IFERROR(__xludf.DUMMYFUNCTION("""COMPUTED_VALUE"""),"The Journal of Neuroscience")</f>
        <v>The Journal of Neuroscience</v>
      </c>
      <c r="Q365" s="9"/>
      <c r="R365" s="179" t="str">
        <f>IFERROR(__xludf.DUMMYFUNCTION("""COMPUTED_VALUE"""),"Cla (00/00) [Baker, 2018];
")</f>
        <v>Cla (00/00) [Baker, 2018];
</v>
      </c>
      <c r="S365" s="179" t="str">
        <f>IFERROR(__xludf.DUMMYFUNCTION("""COMPUTED_VALUE"""),"Cx.L6ITCla")</f>
        <v>Cx.L6ITCla</v>
      </c>
      <c r="T365" s="179" t="str">
        <f>IFERROR(__xludf.DUMMYFUNCTION("""COMPUTED_VALUE"""),"[Baker, 2018]")</f>
        <v>[Baker, 2018]</v>
      </c>
      <c r="U365" s="179">
        <f>IFERROR(__xludf.DUMMYFUNCTION("""COMPUTED_VALUE"""),0.0)</f>
        <v>0</v>
      </c>
      <c r="V365" s="180">
        <f>IFERROR(__xludf.DUMMYFUNCTION("""COMPUTED_VALUE"""),0.0)</f>
        <v>0</v>
      </c>
      <c r="W365" s="180">
        <f>IFERROR(__xludf.DUMMYFUNCTION("""COMPUTED_VALUE"""),0.95)</f>
        <v>0.95</v>
      </c>
      <c r="X365" s="42">
        <f>IFERROR(__xludf.DUMMYFUNCTION("""COMPUTED_VALUE"""),0.0)</f>
        <v>0</v>
      </c>
      <c r="Y365" s="42">
        <f>IFERROR(__xludf.DUMMYFUNCTION("""COMPUTED_VALUE"""),0.0)</f>
        <v>0</v>
      </c>
      <c r="Z365" s="9">
        <f>IFERROR(__xludf.DUMMYFUNCTION("""COMPUTED_VALUE"""),0.0)</f>
        <v>0</v>
      </c>
      <c r="AA365" s="181">
        <f>IFERROR(__xludf.DUMMYFUNCTION("""COMPUTED_VALUE"""),0.0)</f>
        <v>0</v>
      </c>
      <c r="AB365" s="181">
        <f>IFERROR(__xludf.DUMMYFUNCTION("""COMPUTED_VALUE"""),0.0)</f>
        <v>0</v>
      </c>
      <c r="AC365" s="179">
        <f>IFERROR(__xludf.DUMMYFUNCTION("""COMPUTED_VALUE"""),0.0)</f>
        <v>0</v>
      </c>
      <c r="AD365" s="165">
        <f>IFERROR(__xludf.DUMMYFUNCTION("""COMPUTED_VALUE"""),0.0)</f>
        <v>0</v>
      </c>
      <c r="AE365" s="39" t="str">
        <f>IFERROR(__xludf.DUMMYFUNCTION("""COMPUTED_VALUE"""),"Hiroshi Yamakawa")</f>
        <v>Hiroshi Yamakawa</v>
      </c>
      <c r="AF365" s="39" t="str">
        <f>IFERROR(__xludf.DUMMYFUNCTION("""COMPUTED_VALUE"""),"HY18NeocorticalInterareaSignals")</f>
        <v>HY18NeocorticalInterareaSignals</v>
      </c>
      <c r="AG365" s="39"/>
      <c r="AH365" s="39"/>
      <c r="AI365" s="165"/>
      <c r="AJ365" s="165"/>
      <c r="AK365" s="111"/>
      <c r="AL365" s="111"/>
      <c r="AM365" s="111"/>
      <c r="AN365" s="111"/>
      <c r="AO365" s="111"/>
      <c r="AP365" s="111"/>
      <c r="AQ365" s="116"/>
      <c r="AR365" s="116"/>
      <c r="AS365" s="116"/>
    </row>
    <row r="366">
      <c r="A366" s="42" t="str">
        <f>IFERROR(__xludf.DUMMYFUNCTION("""COMPUTED_VALUE"""),"Cx.L6IT")</f>
        <v>Cx.L6IT</v>
      </c>
      <c r="B366" s="42"/>
      <c r="C366" s="42"/>
      <c r="D366" s="42" t="str">
        <f>IFERROR(__xludf.DUMMYFUNCTION("""COMPUTED_VALUE"""),"STR")</f>
        <v>STR</v>
      </c>
      <c r="E366" s="42"/>
      <c r="F366" s="42"/>
      <c r="G366" s="42"/>
      <c r="H366" s="42" t="str">
        <f>IFERROR(__xludf.DUMMYFUNCTION("""COMPUTED_VALUE"""),"")</f>
        <v/>
      </c>
      <c r="I366" s="42" t="str">
        <f>IFERROR(__xludf.DUMMYFUNCTION("""COMPUTED_VALUE"""),"Baker, 2018")</f>
        <v>Baker, 2018</v>
      </c>
      <c r="J366" s="42"/>
      <c r="K366" s="42"/>
      <c r="L366" s="42"/>
      <c r="M366" s="42"/>
      <c r="N366" s="42"/>
      <c r="O366" s="31" t="str">
        <f>IFERROR(__xludf.DUMMYFUNCTION("""COMPUTED_VALUE"""),"DOC")</f>
        <v>DOC</v>
      </c>
      <c r="P366" s="9" t="str">
        <f>IFERROR(__xludf.DUMMYFUNCTION("""COMPUTED_VALUE"""),"The Journal of Neuroscience")</f>
        <v>The Journal of Neuroscience</v>
      </c>
      <c r="Q366" s="9"/>
      <c r="R366" s="179" t="str">
        <f>IFERROR(__xludf.DUMMYFUNCTION("""COMPUTED_VALUE"""),"STR (00/00) [Baker, 2018];
")</f>
        <v>STR (00/00) [Baker, 2018];
</v>
      </c>
      <c r="S366" s="179" t="str">
        <f>IFERROR(__xludf.DUMMYFUNCTION("""COMPUTED_VALUE"""),"Cx.L6ITSTR")</f>
        <v>Cx.L6ITSTR</v>
      </c>
      <c r="T366" s="179" t="str">
        <f>IFERROR(__xludf.DUMMYFUNCTION("""COMPUTED_VALUE"""),"[Baker, 2018]")</f>
        <v>[Baker, 2018]</v>
      </c>
      <c r="U366" s="179">
        <f>IFERROR(__xludf.DUMMYFUNCTION("""COMPUTED_VALUE"""),0.0)</f>
        <v>0</v>
      </c>
      <c r="V366" s="180">
        <f>IFERROR(__xludf.DUMMYFUNCTION("""COMPUTED_VALUE"""),0.0)</f>
        <v>0</v>
      </c>
      <c r="W366" s="180">
        <f>IFERROR(__xludf.DUMMYFUNCTION("""COMPUTED_VALUE"""),0.95)</f>
        <v>0.95</v>
      </c>
      <c r="X366" s="42">
        <f>IFERROR(__xludf.DUMMYFUNCTION("""COMPUTED_VALUE"""),0.0)</f>
        <v>0</v>
      </c>
      <c r="Y366" s="42">
        <f>IFERROR(__xludf.DUMMYFUNCTION("""COMPUTED_VALUE"""),0.0)</f>
        <v>0</v>
      </c>
      <c r="Z366" s="9">
        <f>IFERROR(__xludf.DUMMYFUNCTION("""COMPUTED_VALUE"""),0.0)</f>
        <v>0</v>
      </c>
      <c r="AA366" s="181">
        <f>IFERROR(__xludf.DUMMYFUNCTION("""COMPUTED_VALUE"""),0.0)</f>
        <v>0</v>
      </c>
      <c r="AB366" s="181">
        <f>IFERROR(__xludf.DUMMYFUNCTION("""COMPUTED_VALUE"""),0.0)</f>
        <v>0</v>
      </c>
      <c r="AC366" s="179">
        <f>IFERROR(__xludf.DUMMYFUNCTION("""COMPUTED_VALUE"""),0.0)</f>
        <v>0</v>
      </c>
      <c r="AD366" s="165">
        <f>IFERROR(__xludf.DUMMYFUNCTION("""COMPUTED_VALUE"""),0.0)</f>
        <v>0</v>
      </c>
      <c r="AE366" s="39" t="str">
        <f>IFERROR(__xludf.DUMMYFUNCTION("""COMPUTED_VALUE"""),"Hiroshi Yamakawa")</f>
        <v>Hiroshi Yamakawa</v>
      </c>
      <c r="AF366" s="39" t="str">
        <f>IFERROR(__xludf.DUMMYFUNCTION("""COMPUTED_VALUE"""),"HY18NeocorticalInterareaSignals")</f>
        <v>HY18NeocorticalInterareaSignals</v>
      </c>
      <c r="AG366" s="39"/>
      <c r="AH366" s="39"/>
      <c r="AI366" s="165"/>
      <c r="AJ366" s="165"/>
      <c r="AK366" s="111"/>
      <c r="AL366" s="111"/>
      <c r="AM366" s="111"/>
      <c r="AN366" s="111"/>
      <c r="AO366" s="111"/>
      <c r="AP366" s="111"/>
      <c r="AQ366" s="116"/>
      <c r="AR366" s="116"/>
      <c r="AS366" s="116"/>
    </row>
    <row r="367">
      <c r="A367" s="42"/>
      <c r="B367" s="42"/>
      <c r="C367" s="42"/>
      <c r="D367" s="42"/>
      <c r="E367" s="42"/>
      <c r="F367" s="42"/>
      <c r="G367" s="42"/>
      <c r="H367" s="42"/>
      <c r="I367" s="42"/>
      <c r="J367" s="42"/>
      <c r="K367" s="42"/>
      <c r="L367" s="42"/>
      <c r="M367" s="42"/>
      <c r="N367" s="42"/>
      <c r="O367" s="31"/>
      <c r="P367" s="9"/>
      <c r="Q367" s="9"/>
      <c r="R367" s="179"/>
      <c r="S367" s="179"/>
      <c r="T367" s="179"/>
      <c r="U367" s="179"/>
      <c r="V367" s="180"/>
      <c r="W367" s="180"/>
      <c r="X367" s="42"/>
      <c r="Y367" s="42"/>
      <c r="Z367" s="9"/>
      <c r="AA367" s="9"/>
      <c r="AB367" s="9"/>
      <c r="AC367" s="158"/>
      <c r="AD367" s="39"/>
      <c r="AE367" s="39"/>
      <c r="AF367" s="39"/>
      <c r="AG367" s="39"/>
      <c r="AH367" s="39"/>
      <c r="AI367" s="165"/>
      <c r="AJ367" s="165"/>
      <c r="AK367" s="111"/>
      <c r="AL367" s="111"/>
      <c r="AM367" s="111"/>
      <c r="AN367" s="111"/>
      <c r="AO367" s="111"/>
      <c r="AP367" s="111"/>
      <c r="AQ367" s="116"/>
      <c r="AR367" s="116"/>
      <c r="AS367" s="116"/>
    </row>
    <row r="368">
      <c r="A368" s="42"/>
      <c r="B368" s="42"/>
      <c r="C368" s="42"/>
      <c r="D368" s="42"/>
      <c r="E368" s="42"/>
      <c r="F368" s="42"/>
      <c r="G368" s="42"/>
      <c r="H368" s="42"/>
      <c r="I368" s="42"/>
      <c r="J368" s="42"/>
      <c r="K368" s="42"/>
      <c r="L368" s="42"/>
      <c r="M368" s="42"/>
      <c r="N368" s="42"/>
      <c r="O368" s="31"/>
      <c r="P368" s="9"/>
      <c r="Q368" s="9"/>
      <c r="R368" s="179"/>
      <c r="S368" s="179"/>
      <c r="T368" s="179"/>
      <c r="U368" s="179"/>
      <c r="V368" s="180"/>
      <c r="W368" s="180"/>
      <c r="X368" s="42"/>
      <c r="Y368" s="42"/>
      <c r="Z368" s="9"/>
      <c r="AA368" s="9"/>
      <c r="AB368" s="9"/>
      <c r="AC368" s="158"/>
      <c r="AD368" s="39"/>
      <c r="AE368" s="39"/>
      <c r="AF368" s="39"/>
      <c r="AG368" s="39"/>
      <c r="AH368" s="39"/>
      <c r="AI368" s="165"/>
      <c r="AJ368" s="165"/>
      <c r="AK368" s="111"/>
      <c r="AL368" s="111"/>
      <c r="AM368" s="111"/>
      <c r="AN368" s="111"/>
      <c r="AO368" s="111"/>
      <c r="AP368" s="111"/>
      <c r="AQ368" s="116"/>
      <c r="AR368" s="116"/>
      <c r="AS368" s="116"/>
    </row>
    <row r="369">
      <c r="A369" s="42" t="str">
        <f>IFERROR(__xludf.DUMMYFUNCTION("""COMPUTED_VALUE"""),"DFC")</f>
        <v>DFC</v>
      </c>
      <c r="B369" s="42"/>
      <c r="C369" s="42"/>
      <c r="D369" s="42" t="str">
        <f>IFERROR(__xludf.DUMMYFUNCTION("""COMPUTED_VALUE"""),"Ca")</f>
        <v>Ca</v>
      </c>
      <c r="E369" s="42"/>
      <c r="F369" s="42"/>
      <c r="G369" s="42"/>
      <c r="H369" s="42" t="str">
        <f>IFERROR(__xludf.DUMMYFUNCTION("""COMPUTED_VALUE"""),"(Associative loop)")</f>
        <v>(Associative loop)</v>
      </c>
      <c r="I369" s="42" t="str">
        <f>IFERROR(__xludf.DUMMYFUNCTION("""COMPUTED_VALUE"""),"Galvan, 2015")</f>
        <v>Galvan, 2015</v>
      </c>
      <c r="J369" s="42"/>
      <c r="K369" s="42"/>
      <c r="L369" s="42"/>
      <c r="M369" s="42"/>
      <c r="N369" s="42"/>
      <c r="O369" s="31" t="str">
        <f>IFERROR(__xludf.DUMMYFUNCTION("""COMPUTED_VALUE"""),"DOC")</f>
        <v>DOC</v>
      </c>
      <c r="P369" s="9" t="str">
        <f>IFERROR(__xludf.DUMMYFUNCTION("""COMPUTED_VALUE"""),"Frontiers in Neuroanatomy")</f>
        <v>Frontiers in Neuroanatomy</v>
      </c>
      <c r="Q369" s="9"/>
      <c r="R369" s="179" t="str">
        <f>IFERROR(__xludf.DUMMYFUNCTION("""COMPUTED_VALUE"""),"Ca (00/00) [Galvan, 2015](Associative loop);
")</f>
        <v>Ca (00/00) [Galvan, 2015](Associative loop);
</v>
      </c>
      <c r="S369" s="179" t="str">
        <f>IFERROR(__xludf.DUMMYFUNCTION("""COMPUTED_VALUE"""),"DFCCa")</f>
        <v>DFCCa</v>
      </c>
      <c r="T369" s="179" t="str">
        <f>IFERROR(__xludf.DUMMYFUNCTION("""COMPUTED_VALUE"""),"[Galvan, 2015]")</f>
        <v>[Galvan, 2015]</v>
      </c>
      <c r="U369" s="179">
        <f>IFERROR(__xludf.DUMMYFUNCTION("""COMPUTED_VALUE"""),0.0)</f>
        <v>0</v>
      </c>
      <c r="V369" s="180">
        <f>IFERROR(__xludf.DUMMYFUNCTION("""COMPUTED_VALUE"""),0.0)</f>
        <v>0</v>
      </c>
      <c r="W369" s="180">
        <f>IFERROR(__xludf.DUMMYFUNCTION("""COMPUTED_VALUE"""),0.95)</f>
        <v>0.95</v>
      </c>
      <c r="X369" s="42">
        <f>IFERROR(__xludf.DUMMYFUNCTION("""COMPUTED_VALUE"""),0.0)</f>
        <v>0</v>
      </c>
      <c r="Y369" s="42">
        <f>IFERROR(__xludf.DUMMYFUNCTION("""COMPUTED_VALUE"""),0.0)</f>
        <v>0</v>
      </c>
      <c r="Z369" s="9">
        <f>IFERROR(__xludf.DUMMYFUNCTION("""COMPUTED_VALUE"""),0.0)</f>
        <v>0</v>
      </c>
      <c r="AA369" s="181">
        <f>IFERROR(__xludf.DUMMYFUNCTION("""COMPUTED_VALUE"""),0.0)</f>
        <v>0</v>
      </c>
      <c r="AB369" s="181">
        <f>IFERROR(__xludf.DUMMYFUNCTION("""COMPUTED_VALUE"""),0.0)</f>
        <v>0</v>
      </c>
      <c r="AC369" s="179">
        <f>IFERROR(__xludf.DUMMYFUNCTION("""COMPUTED_VALUE"""),0.0)</f>
        <v>0</v>
      </c>
      <c r="AD369" s="165">
        <f>IFERROR(__xludf.DUMMYFUNCTION("""COMPUTED_VALUE"""),0.0)</f>
        <v>0</v>
      </c>
      <c r="AE369" s="39" t="str">
        <f>IFERROR(__xludf.DUMMYFUNCTION("""COMPUTED_VALUE"""),"Yuske Shibata")</f>
        <v>Yuske Shibata</v>
      </c>
      <c r="AF369" s="39" t="str">
        <f>IFERROR(__xludf.DUMMYFUNCTION("""COMPUTED_VALUE"""),"YS21BgLoop")</f>
        <v>YS21BgLoop</v>
      </c>
      <c r="AG369" s="39"/>
      <c r="AH369" s="39"/>
      <c r="AI369" s="165"/>
      <c r="AJ369" s="165"/>
      <c r="AK369" s="111"/>
      <c r="AL369" s="111"/>
      <c r="AM369" s="111"/>
      <c r="AN369" s="111"/>
      <c r="AO369" s="111"/>
      <c r="AP369" s="111"/>
      <c r="AQ369" s="116"/>
      <c r="AR369" s="116"/>
      <c r="AS369" s="116"/>
    </row>
    <row r="370">
      <c r="A370" s="42" t="str">
        <f>IFERROR(__xludf.DUMMYFUNCTION("""COMPUTED_VALUE"""),"DFC")</f>
        <v>DFC</v>
      </c>
      <c r="B370" s="42"/>
      <c r="C370" s="42"/>
      <c r="D370" s="42" t="str">
        <f>IFERROR(__xludf.DUMMYFUNCTION("""COMPUTED_VALUE"""),"Pu")</f>
        <v>Pu</v>
      </c>
      <c r="E370" s="42"/>
      <c r="F370" s="42"/>
      <c r="G370" s="42"/>
      <c r="H370" s="42" t="str">
        <f>IFERROR(__xludf.DUMMYFUNCTION("""COMPUTED_VALUE"""),"(Associative loop)")</f>
        <v>(Associative loop)</v>
      </c>
      <c r="I370" s="42" t="str">
        <f>IFERROR(__xludf.DUMMYFUNCTION("""COMPUTED_VALUE"""),"Galvan, 2015")</f>
        <v>Galvan, 2015</v>
      </c>
      <c r="J370" s="42"/>
      <c r="K370" s="42"/>
      <c r="L370" s="42"/>
      <c r="M370" s="42"/>
      <c r="N370" s="42"/>
      <c r="O370" s="31" t="str">
        <f>IFERROR(__xludf.DUMMYFUNCTION("""COMPUTED_VALUE"""),"DOC")</f>
        <v>DOC</v>
      </c>
      <c r="P370" s="9" t="str">
        <f>IFERROR(__xludf.DUMMYFUNCTION("""COMPUTED_VALUE"""),"Frontiers in Neuroanatomy")</f>
        <v>Frontiers in Neuroanatomy</v>
      </c>
      <c r="Q370" s="9"/>
      <c r="R370" s="179" t="str">
        <f>IFERROR(__xludf.DUMMYFUNCTION("""COMPUTED_VALUE"""),"Pu (00/00) [Galvan, 2015](Associative loop);
")</f>
        <v>Pu (00/00) [Galvan, 2015](Associative loop);
</v>
      </c>
      <c r="S370" s="179" t="str">
        <f>IFERROR(__xludf.DUMMYFUNCTION("""COMPUTED_VALUE"""),"DFCPu")</f>
        <v>DFCPu</v>
      </c>
      <c r="T370" s="179" t="str">
        <f>IFERROR(__xludf.DUMMYFUNCTION("""COMPUTED_VALUE"""),"[Galvan, 2015]")</f>
        <v>[Galvan, 2015]</v>
      </c>
      <c r="U370" s="179">
        <f>IFERROR(__xludf.DUMMYFUNCTION("""COMPUTED_VALUE"""),0.0)</f>
        <v>0</v>
      </c>
      <c r="V370" s="180">
        <f>IFERROR(__xludf.DUMMYFUNCTION("""COMPUTED_VALUE"""),0.0)</f>
        <v>0</v>
      </c>
      <c r="W370" s="180">
        <f>IFERROR(__xludf.DUMMYFUNCTION("""COMPUTED_VALUE"""),0.95)</f>
        <v>0.95</v>
      </c>
      <c r="X370" s="42">
        <f>IFERROR(__xludf.DUMMYFUNCTION("""COMPUTED_VALUE"""),0.0)</f>
        <v>0</v>
      </c>
      <c r="Y370" s="42">
        <f>IFERROR(__xludf.DUMMYFUNCTION("""COMPUTED_VALUE"""),0.0)</f>
        <v>0</v>
      </c>
      <c r="Z370" s="9">
        <f>IFERROR(__xludf.DUMMYFUNCTION("""COMPUTED_VALUE"""),0.0)</f>
        <v>0</v>
      </c>
      <c r="AA370" s="181">
        <f>IFERROR(__xludf.DUMMYFUNCTION("""COMPUTED_VALUE"""),0.0)</f>
        <v>0</v>
      </c>
      <c r="AB370" s="181">
        <f>IFERROR(__xludf.DUMMYFUNCTION("""COMPUTED_VALUE"""),0.0)</f>
        <v>0</v>
      </c>
      <c r="AC370" s="179">
        <f>IFERROR(__xludf.DUMMYFUNCTION("""COMPUTED_VALUE"""),0.0)</f>
        <v>0</v>
      </c>
      <c r="AD370" s="165">
        <f>IFERROR(__xludf.DUMMYFUNCTION("""COMPUTED_VALUE"""),0.0)</f>
        <v>0</v>
      </c>
      <c r="AE370" s="39" t="str">
        <f>IFERROR(__xludf.DUMMYFUNCTION("""COMPUTED_VALUE"""),"Yuske Shibata")</f>
        <v>Yuske Shibata</v>
      </c>
      <c r="AF370" s="39" t="str">
        <f>IFERROR(__xludf.DUMMYFUNCTION("""COMPUTED_VALUE"""),"YS21BgLoop")</f>
        <v>YS21BgLoop</v>
      </c>
      <c r="AG370" s="39"/>
      <c r="AH370" s="39"/>
      <c r="AI370" s="165"/>
      <c r="AJ370" s="165"/>
      <c r="AK370" s="111"/>
      <c r="AL370" s="111"/>
      <c r="AM370" s="111"/>
      <c r="AN370" s="111"/>
      <c r="AO370" s="111"/>
      <c r="AP370" s="111"/>
      <c r="AQ370" s="116"/>
      <c r="AR370" s="116"/>
      <c r="AS370" s="116"/>
    </row>
    <row r="371">
      <c r="A371" s="42" t="str">
        <f>IFERROR(__xludf.DUMMYFUNCTION("""COMPUTED_VALUE"""),"DFC")</f>
        <v>DFC</v>
      </c>
      <c r="B371" s="42"/>
      <c r="C371" s="42"/>
      <c r="D371" s="42" t="str">
        <f>IFERROR(__xludf.DUMMYFUNCTION("""COMPUTED_VALUE"""),"NAC")</f>
        <v>NAC</v>
      </c>
      <c r="E371" s="42"/>
      <c r="F371" s="42"/>
      <c r="G371" s="42"/>
      <c r="H371" s="42" t="str">
        <f>IFERROR(__xludf.DUMMYFUNCTION("""COMPUTED_VALUE"""),"(Limbic loop)")</f>
        <v>(Limbic loop)</v>
      </c>
      <c r="I371" s="42" t="str">
        <f>IFERROR(__xludf.DUMMYFUNCTION("""COMPUTED_VALUE"""),"Galvan, 2015")</f>
        <v>Galvan, 2015</v>
      </c>
      <c r="J371" s="42"/>
      <c r="K371" s="42"/>
      <c r="L371" s="42"/>
      <c r="M371" s="42"/>
      <c r="N371" s="42"/>
      <c r="O371" s="31" t="str">
        <f>IFERROR(__xludf.DUMMYFUNCTION("""COMPUTED_VALUE"""),"DOC")</f>
        <v>DOC</v>
      </c>
      <c r="P371" s="9" t="str">
        <f>IFERROR(__xludf.DUMMYFUNCTION("""COMPUTED_VALUE"""),"Frontiers in Neuroanatomy")</f>
        <v>Frontiers in Neuroanatomy</v>
      </c>
      <c r="Q371" s="9"/>
      <c r="R371" s="179" t="str">
        <f>IFERROR(__xludf.DUMMYFUNCTION("""COMPUTED_VALUE"""),"NAC (00/00) [Galvan, 2015](Limbic loop);
")</f>
        <v>NAC (00/00) [Galvan, 2015](Limbic loop);
</v>
      </c>
      <c r="S371" s="179" t="str">
        <f>IFERROR(__xludf.DUMMYFUNCTION("""COMPUTED_VALUE"""),"DFCNAC")</f>
        <v>DFCNAC</v>
      </c>
      <c r="T371" s="179" t="str">
        <f>IFERROR(__xludf.DUMMYFUNCTION("""COMPUTED_VALUE"""),"[Galvan, 2015]")</f>
        <v>[Galvan, 2015]</v>
      </c>
      <c r="U371" s="179">
        <f>IFERROR(__xludf.DUMMYFUNCTION("""COMPUTED_VALUE"""),0.0)</f>
        <v>0</v>
      </c>
      <c r="V371" s="180">
        <f>IFERROR(__xludf.DUMMYFUNCTION("""COMPUTED_VALUE"""),0.0)</f>
        <v>0</v>
      </c>
      <c r="W371" s="180">
        <f>IFERROR(__xludf.DUMMYFUNCTION("""COMPUTED_VALUE"""),0.95)</f>
        <v>0.95</v>
      </c>
      <c r="X371" s="42">
        <f>IFERROR(__xludf.DUMMYFUNCTION("""COMPUTED_VALUE"""),0.0)</f>
        <v>0</v>
      </c>
      <c r="Y371" s="42">
        <f>IFERROR(__xludf.DUMMYFUNCTION("""COMPUTED_VALUE"""),0.0)</f>
        <v>0</v>
      </c>
      <c r="Z371" s="9">
        <f>IFERROR(__xludf.DUMMYFUNCTION("""COMPUTED_VALUE"""),0.0)</f>
        <v>0</v>
      </c>
      <c r="AA371" s="181">
        <f>IFERROR(__xludf.DUMMYFUNCTION("""COMPUTED_VALUE"""),0.0)</f>
        <v>0</v>
      </c>
      <c r="AB371" s="181">
        <f>IFERROR(__xludf.DUMMYFUNCTION("""COMPUTED_VALUE"""),0.0)</f>
        <v>0</v>
      </c>
      <c r="AC371" s="179">
        <f>IFERROR(__xludf.DUMMYFUNCTION("""COMPUTED_VALUE"""),0.0)</f>
        <v>0</v>
      </c>
      <c r="AD371" s="165">
        <f>IFERROR(__xludf.DUMMYFUNCTION("""COMPUTED_VALUE"""),0.0)</f>
        <v>0</v>
      </c>
      <c r="AE371" s="39" t="str">
        <f>IFERROR(__xludf.DUMMYFUNCTION("""COMPUTED_VALUE"""),"Yuske Shibata")</f>
        <v>Yuske Shibata</v>
      </c>
      <c r="AF371" s="39" t="str">
        <f>IFERROR(__xludf.DUMMYFUNCTION("""COMPUTED_VALUE"""),"YS21BgLoop")</f>
        <v>YS21BgLoop</v>
      </c>
      <c r="AG371" s="39"/>
      <c r="AH371" s="39"/>
      <c r="AI371" s="165"/>
      <c r="AJ371" s="165"/>
      <c r="AK371" s="111"/>
      <c r="AL371" s="111"/>
      <c r="AM371" s="111"/>
      <c r="AN371" s="111"/>
      <c r="AO371" s="111"/>
      <c r="AP371" s="111"/>
      <c r="AQ371" s="116"/>
      <c r="AR371" s="116"/>
      <c r="AS371" s="116"/>
    </row>
    <row r="372">
      <c r="A372" s="42" t="str">
        <f>IFERROR(__xludf.DUMMYFUNCTION("""COMPUTED_VALUE"""),"DG")</f>
        <v>DG</v>
      </c>
      <c r="B372" s="42" t="str">
        <f>IFERROR(__xludf.DUMMYFUNCTION("""COMPUTED_VALUE"""),"=")</f>
        <v>=</v>
      </c>
      <c r="C372" s="42" t="str">
        <f>IFERROR(__xludf.DUMMYFUNCTION("""COMPUTED_VALUE"""),"DG")</f>
        <v>DG</v>
      </c>
      <c r="D372" s="42" t="str">
        <f>IFERROR(__xludf.DUMMYFUNCTION("""COMPUTED_VALUE"""),"CA2")</f>
        <v>CA2</v>
      </c>
      <c r="E372" s="42" t="str">
        <f>IFERROR(__xludf.DUMMYFUNCTION("""COMPUTED_VALUE"""),"=")</f>
        <v>=</v>
      </c>
      <c r="F372" s="42" t="str">
        <f>IFERROR(__xludf.DUMMYFUNCTION("""COMPUTED_VALUE"""),"CA2")</f>
        <v>CA2</v>
      </c>
      <c r="G372" s="42"/>
      <c r="H372" s="42"/>
      <c r="I372" s="42" t="str">
        <f>IFERROR(__xludf.DUMMYFUNCTION("""COMPUTED_VALUE"""),"Kohara, 2013")</f>
        <v>Kohara, 2013</v>
      </c>
      <c r="J372" s="42" t="str">
        <f>IFERROR(__xludf.DUMMYFUNCTION("""COMPUTED_VALUE"""),"Mouse")</f>
        <v>Mouse</v>
      </c>
      <c r="K372" s="42" t="str">
        <f>IFERROR(__xludf.DUMMYFUNCTION("""COMPUTED_VALUE"""),"optogenetic")</f>
        <v>optogenetic</v>
      </c>
      <c r="L372" s="42" t="str">
        <f>IFERROR(__xludf.DUMMYFUNCTION("""COMPUTED_VALUE"""),"we found that dentate gyrus cells, long believed to not project to CA2, send functional monosynaptic inputs to CA2 pyramidal cells through abundant longitudinal projections.")</f>
        <v>we found that dentate gyrus cells, long believed to not project to CA2, send functional monosynaptic inputs to CA2 pyramidal cells through abundant longitudinal projections.</v>
      </c>
      <c r="M372" s="42"/>
      <c r="N372" s="42"/>
      <c r="O372" s="31" t="str">
        <f>IFERROR(__xludf.DUMMYFUNCTION("""COMPUTED_VALUE"""),"DOC")</f>
        <v>DOC</v>
      </c>
      <c r="P372" s="9" t="str">
        <f>IFERROR(__xludf.DUMMYFUNCTION("""COMPUTED_VALUE"""),"Nature Neuroscience")</f>
        <v>Nature Neuroscience</v>
      </c>
      <c r="Q372" s="9" t="str">
        <f>IFERROR(__xludf.DUMMYFUNCTION("""COMPUTED_VALUE"""),"Experimental results")</f>
        <v>Experimental results</v>
      </c>
      <c r="R372" s="179" t="str">
        <f>IFERROR(__xludf.DUMMYFUNCTION("""COMPUTED_VALUE"""),"CA2 (00/14) [Kohara, 2013][Llorens-Martín, 2014];
")</f>
        <v>CA2 (00/14) [Kohara, 2013][Llorens-Martín, 2014];
</v>
      </c>
      <c r="S372" s="179" t="str">
        <f>IFERROR(__xludf.DUMMYFUNCTION("""COMPUTED_VALUE"""),"DGCA2")</f>
        <v>DGCA2</v>
      </c>
      <c r="T372" s="179" t="str">
        <f>IFERROR(__xludf.DUMMYFUNCTION("""COMPUTED_VALUE"""),"[Kohara, 2013]")</f>
        <v>[Kohara, 2013]</v>
      </c>
      <c r="U372" s="179">
        <f>IFERROR(__xludf.DUMMYFUNCTION("""COMPUTED_VALUE"""),1.0)</f>
        <v>1</v>
      </c>
      <c r="V372" s="180">
        <f>IFERROR(__xludf.DUMMYFUNCTION("""COMPUTED_VALUE"""),1.0)</f>
        <v>1</v>
      </c>
      <c r="W372" s="180">
        <f>IFERROR(__xludf.DUMMYFUNCTION("""COMPUTED_VALUE"""),0.95)</f>
        <v>0.95</v>
      </c>
      <c r="X372" s="42">
        <f>IFERROR(__xludf.DUMMYFUNCTION("""COMPUTED_VALUE"""),1.0)</f>
        <v>1</v>
      </c>
      <c r="Y372" s="42">
        <f>IFERROR(__xludf.DUMMYFUNCTION("""COMPUTED_VALUE"""),0.5)</f>
        <v>0.5</v>
      </c>
      <c r="Z372" s="9">
        <f>IFERROR(__xludf.DUMMYFUNCTION("""COMPUTED_VALUE"""),0.3)</f>
        <v>0.3</v>
      </c>
      <c r="AA372" s="181">
        <f>IFERROR(__xludf.DUMMYFUNCTION("""COMPUTED_VALUE"""),0.1425)</f>
        <v>0.1425</v>
      </c>
      <c r="AB372" s="181">
        <f>IFERROR(__xludf.DUMMYFUNCTION("""COMPUTED_VALUE"""),0.1425)</f>
        <v>0.1425</v>
      </c>
      <c r="AC372" s="179">
        <f>IFERROR(__xludf.DUMMYFUNCTION("""COMPUTED_VALUE"""),0.0)</f>
        <v>0</v>
      </c>
      <c r="AD372" s="165">
        <f>IFERROR(__xludf.DUMMYFUNCTION("""COMPUTED_VALUE"""),0.0)</f>
        <v>0</v>
      </c>
      <c r="AE372" s="39" t="str">
        <f>IFERROR(__xludf.DUMMYFUNCTION("""COMPUTED_VALUE"""),"Yuske Shibata")</f>
        <v>Yuske Shibata</v>
      </c>
      <c r="AF372" s="39" t="str">
        <f>IFERROR(__xludf.DUMMYFUNCTION("""COMPUTED_VALUE"""),"Credibility check")</f>
        <v>Credibility check</v>
      </c>
      <c r="AG372" s="39"/>
      <c r="AH372" s="39"/>
      <c r="AI372" s="165"/>
      <c r="AJ372" s="165"/>
      <c r="AK372" s="111" t="b">
        <f>IFERROR(__xludf.DUMMYFUNCTION("""COMPUTED_VALUE"""),TRUE)</f>
        <v>1</v>
      </c>
      <c r="AL372" s="111"/>
      <c r="AM372" s="111"/>
      <c r="AN372" s="111" t="str">
        <f>IFERROR(__xludf.DUMMYFUNCTION("""COMPUTED_VALUE"""),"◯左記の記述を確認
した。")</f>
        <v>◯左記の記述を確認
した。</v>
      </c>
      <c r="AO372" s="111" t="str">
        <f>IFERROR(__xludf.DUMMYFUNCTION("""COMPUTED_VALUE"""),"Hiroshi Yamakawa")</f>
        <v>Hiroshi Yamakawa</v>
      </c>
      <c r="AP372" s="111"/>
      <c r="AQ372" s="116"/>
      <c r="AR372" s="116"/>
      <c r="AS372" s="116"/>
    </row>
    <row r="373">
      <c r="A373" s="42" t="str">
        <f>IFERROR(__xludf.DUMMYFUNCTION("""COMPUTED_VALUE"""),"DG")</f>
        <v>DG</v>
      </c>
      <c r="B373" s="42" t="str">
        <f>IFERROR(__xludf.DUMMYFUNCTION("""COMPUTED_VALUE"""),"=")</f>
        <v>=</v>
      </c>
      <c r="C373" s="42" t="str">
        <f>IFERROR(__xludf.DUMMYFUNCTION("""COMPUTED_VALUE"""),"DG")</f>
        <v>DG</v>
      </c>
      <c r="D373" s="42" t="str">
        <f>IFERROR(__xludf.DUMMYFUNCTION("""COMPUTED_VALUE"""),"CA2")</f>
        <v>CA2</v>
      </c>
      <c r="E373" s="42" t="str">
        <f>IFERROR(__xludf.DUMMYFUNCTION("""COMPUTED_VALUE"""),"=")</f>
        <v>=</v>
      </c>
      <c r="F373" s="42" t="str">
        <f>IFERROR(__xludf.DUMMYFUNCTION("""COMPUTED_VALUE"""),"CA2")</f>
        <v>CA2</v>
      </c>
      <c r="G373" s="42"/>
      <c r="H373" s="42"/>
      <c r="I373" s="42" t="str">
        <f>IFERROR(__xludf.DUMMYFUNCTION("""COMPUTED_VALUE"""),"Llorens-Martín, 2014")</f>
        <v>Llorens-Martín, 2014</v>
      </c>
      <c r="J373" s="42"/>
      <c r="K373" s="42"/>
      <c r="L373" s="180" t="str">
        <f>IFERROR(__xludf.DUMMYFUNCTION("""COMPUTED_VALUE"""),"Furthermore, CA3 and CA2 are mutually connected and these connections are dominated by inhibition.")</f>
        <v>Furthermore, CA3 and CA2 are mutually connected and these connections are dominated by inhibition.</v>
      </c>
      <c r="M373" s="42"/>
      <c r="N373" s="42" t="str">
        <f>IFERROR(__xludf.DUMMYFUNCTION("""COMPUTED_VALUE"""),"Kohara et al., 2014")</f>
        <v>Kohara et al., 2014</v>
      </c>
      <c r="O373" s="31" t="str">
        <f>IFERROR(__xludf.DUMMYFUNCTION("""COMPUTED_VALUE"""),"DOC")</f>
        <v>DOC</v>
      </c>
      <c r="P373" s="9" t="str">
        <f>IFERROR(__xludf.DUMMYFUNCTION("""COMPUTED_VALUE"""),"Frontiers in Neuroanatomy")</f>
        <v>Frontiers in Neuroanatomy</v>
      </c>
      <c r="Q373" s="9" t="str">
        <f>IFERROR(__xludf.DUMMYFUNCTION("""COMPUTED_VALUE"""),"Hypothesis")</f>
        <v>Hypothesis</v>
      </c>
      <c r="R373" s="179" t="str">
        <f>IFERROR(__xludf.DUMMYFUNCTION("""COMPUTED_VALUE"""),"CA2 (00/14) [Kohara, 2013][Llorens-Martín, 2014];
")</f>
        <v>CA2 (00/14) [Kohara, 2013][Llorens-Martín, 2014];
</v>
      </c>
      <c r="S373" s="179" t="str">
        <f>IFERROR(__xludf.DUMMYFUNCTION("""COMPUTED_VALUE"""),"DGCA2")</f>
        <v>DGCA2</v>
      </c>
      <c r="T373" s="179" t="str">
        <f>IFERROR(__xludf.DUMMYFUNCTION("""COMPUTED_VALUE"""),"[Llorens-Martín, 2014]")</f>
        <v>[Llorens-Martín, 2014]</v>
      </c>
      <c r="U373" s="179">
        <f>IFERROR(__xludf.DUMMYFUNCTION("""COMPUTED_VALUE"""),1.0)</f>
        <v>1</v>
      </c>
      <c r="V373" s="180">
        <f>IFERROR(__xludf.DUMMYFUNCTION("""COMPUTED_VALUE"""),1.0)</f>
        <v>1</v>
      </c>
      <c r="W373" s="180">
        <f>IFERROR(__xludf.DUMMYFUNCTION("""COMPUTED_VALUE"""),0.95)</f>
        <v>0.95</v>
      </c>
      <c r="X373" s="42">
        <f>IFERROR(__xludf.DUMMYFUNCTION("""COMPUTED_VALUE"""),0.5)</f>
        <v>0.5</v>
      </c>
      <c r="Y373" s="42">
        <f>IFERROR(__xludf.DUMMYFUNCTION("""COMPUTED_VALUE"""),0.0)</f>
        <v>0</v>
      </c>
      <c r="Z373" s="9">
        <f>IFERROR(__xludf.DUMMYFUNCTION("""COMPUTED_VALUE"""),0.0)</f>
        <v>0</v>
      </c>
      <c r="AA373" s="181">
        <f>IFERROR(__xludf.DUMMYFUNCTION("""COMPUTED_VALUE"""),0.0)</f>
        <v>0</v>
      </c>
      <c r="AB373" s="181">
        <f>IFERROR(__xludf.DUMMYFUNCTION("""COMPUTED_VALUE"""),0.1425)</f>
        <v>0.1425</v>
      </c>
      <c r="AC373" s="179">
        <f>IFERROR(__xludf.DUMMYFUNCTION("""COMPUTED_VALUE"""),0.0)</f>
        <v>0</v>
      </c>
      <c r="AD373" s="165">
        <f>IFERROR(__xludf.DUMMYFUNCTION("""COMPUTED_VALUE"""),0.0)</f>
        <v>0</v>
      </c>
      <c r="AE373" s="39" t="str">
        <f>IFERROR(__xludf.DUMMYFUNCTION("""COMPUTED_VALUE"""),"Ayako Fukawa")</f>
        <v>Ayako Fukawa</v>
      </c>
      <c r="AF373" s="39" t="str">
        <f>IFERROR(__xludf.DUMMYFUNCTION("""COMPUTED_VALUE"""),"AT20HippocampalFormation")</f>
        <v>AT20HippocampalFormation</v>
      </c>
      <c r="AG373" s="39"/>
      <c r="AH373" s="39"/>
      <c r="AI373" s="165"/>
      <c r="AJ373" s="165"/>
      <c r="AK373" s="111" t="b">
        <f>IFERROR(__xludf.DUMMYFUNCTION("""COMPUTED_VALUE"""),TRUE)</f>
        <v>1</v>
      </c>
      <c r="AL373" s="111"/>
      <c r="AM373" s="111"/>
      <c r="AN373" s="111" t="str">
        <f>IFERROR(__xludf.DUMMYFUNCTION("""COMPUTED_VALUE"""),"文末のピリオドのため検索エラー。”
◯左記記述を確認できた。")</f>
        <v>文末のピリオドのため検索エラー。”
◯左記記述を確認できた。</v>
      </c>
      <c r="AO373" s="111" t="str">
        <f>IFERROR(__xludf.DUMMYFUNCTION("""COMPUTED_VALUE"""),"Hiroshi Yamakawa")</f>
        <v>Hiroshi Yamakawa</v>
      </c>
      <c r="AP373" s="111"/>
      <c r="AQ373" s="116"/>
      <c r="AR373" s="116"/>
      <c r="AS373" s="116"/>
    </row>
    <row r="374">
      <c r="A374" s="42" t="str">
        <f>IFERROR(__xludf.DUMMYFUNCTION("""COMPUTED_VALUE"""),"DG")</f>
        <v>DG</v>
      </c>
      <c r="B374" s="42"/>
      <c r="C374" s="42"/>
      <c r="D374" s="42" t="str">
        <f>IFERROR(__xludf.DUMMYFUNCTION("""COMPUTED_VALUE"""),"DG")</f>
        <v>DG</v>
      </c>
      <c r="E374" s="42"/>
      <c r="F374" s="42"/>
      <c r="G374" s="42"/>
      <c r="H374" s="42" t="str">
        <f>IFERROR(__xludf.DUMMYFUNCTION("""COMPUTED_VALUE"""),"")</f>
        <v/>
      </c>
      <c r="I374" s="42" t="str">
        <f>IFERROR(__xludf.DUMMYFUNCTION("""COMPUTED_VALUE"""),"Knierim, 2015")</f>
        <v>Knierim, 2015</v>
      </c>
      <c r="J374" s="42"/>
      <c r="K374" s="42"/>
      <c r="L374" s="42"/>
      <c r="M374" s="42"/>
      <c r="N374" s="42"/>
      <c r="O374" s="31" t="str">
        <f>IFERROR(__xludf.DUMMYFUNCTION("""COMPUTED_VALUE"""),"DOC")</f>
        <v>DOC</v>
      </c>
      <c r="P374" s="9" t="str">
        <f>IFERROR(__xludf.DUMMYFUNCTION("""COMPUTED_VALUE"""),"Current Biology")</f>
        <v>Current Biology</v>
      </c>
      <c r="Q374" s="9"/>
      <c r="R374" s="179" t="str">
        <f>IFERROR(__xludf.DUMMYFUNCTION("""COMPUTED_VALUE"""),"DG (00/00) [Knierim, 2015];
")</f>
        <v>DG (00/00) [Knierim, 2015];
</v>
      </c>
      <c r="S374" s="179" t="str">
        <f>IFERROR(__xludf.DUMMYFUNCTION("""COMPUTED_VALUE"""),"DGDG")</f>
        <v>DGDG</v>
      </c>
      <c r="T374" s="179" t="str">
        <f>IFERROR(__xludf.DUMMYFUNCTION("""COMPUTED_VALUE"""),"[Knierim, 2015]")</f>
        <v>[Knierim, 2015]</v>
      </c>
      <c r="U374" s="179">
        <f>IFERROR(__xludf.DUMMYFUNCTION("""COMPUTED_VALUE"""),0.0)</f>
        <v>0</v>
      </c>
      <c r="V374" s="180">
        <f>IFERROR(__xludf.DUMMYFUNCTION("""COMPUTED_VALUE"""),0.0)</f>
        <v>0</v>
      </c>
      <c r="W374" s="180">
        <f>IFERROR(__xludf.DUMMYFUNCTION("""COMPUTED_VALUE"""),0.95)</f>
        <v>0.95</v>
      </c>
      <c r="X374" s="42">
        <f>IFERROR(__xludf.DUMMYFUNCTION("""COMPUTED_VALUE"""),0.0)</f>
        <v>0</v>
      </c>
      <c r="Y374" s="42">
        <f>IFERROR(__xludf.DUMMYFUNCTION("""COMPUTED_VALUE"""),0.0)</f>
        <v>0</v>
      </c>
      <c r="Z374" s="9">
        <f>IFERROR(__xludf.DUMMYFUNCTION("""COMPUTED_VALUE"""),0.0)</f>
        <v>0</v>
      </c>
      <c r="AA374" s="181">
        <f>IFERROR(__xludf.DUMMYFUNCTION("""COMPUTED_VALUE"""),0.0)</f>
        <v>0</v>
      </c>
      <c r="AB374" s="181">
        <f>IFERROR(__xludf.DUMMYFUNCTION("""COMPUTED_VALUE"""),0.0)</f>
        <v>0</v>
      </c>
      <c r="AC374" s="179">
        <f>IFERROR(__xludf.DUMMYFUNCTION("""COMPUTED_VALUE"""),0.0)</f>
        <v>0</v>
      </c>
      <c r="AD374" s="165">
        <f>IFERROR(__xludf.DUMMYFUNCTION("""COMPUTED_VALUE"""),0.0)</f>
        <v>0</v>
      </c>
      <c r="AE374" s="39" t="str">
        <f>IFERROR(__xludf.DUMMYFUNCTION("""COMPUTED_VALUE"""),"Ayako Fukawa")</f>
        <v>Ayako Fukawa</v>
      </c>
      <c r="AF374" s="39" t="str">
        <f>IFERROR(__xludf.DUMMYFUNCTION("""COMPUTED_VALUE"""),"AT20HippocampalFormation")</f>
        <v>AT20HippocampalFormation</v>
      </c>
      <c r="AG374" s="39"/>
      <c r="AH374" s="39"/>
      <c r="AI374" s="165"/>
      <c r="AJ374" s="165"/>
      <c r="AK374" s="111"/>
      <c r="AL374" s="111"/>
      <c r="AM374" s="111"/>
      <c r="AN374" s="111"/>
      <c r="AO374" s="111"/>
      <c r="AP374" s="111"/>
      <c r="AQ374" s="116"/>
      <c r="AR374" s="116"/>
      <c r="AS374" s="116"/>
    </row>
    <row r="375">
      <c r="A375" s="42" t="str">
        <f>IFERROR(__xludf.DUMMYFUNCTION("""COMPUTED_VALUE"""),"DG")</f>
        <v>DG</v>
      </c>
      <c r="B375" s="42" t="str">
        <f>IFERROR(__xludf.DUMMYFUNCTION("""COMPUTED_VALUE"""),"=")</f>
        <v>=</v>
      </c>
      <c r="C375" s="42"/>
      <c r="D375" s="42" t="str">
        <f>IFERROR(__xludf.DUMMYFUNCTION("""COMPUTED_VALUE"""),"CA3")</f>
        <v>CA3</v>
      </c>
      <c r="E375" s="42" t="str">
        <f>IFERROR(__xludf.DUMMYFUNCTION("""COMPUTED_VALUE"""),"=")</f>
        <v>=</v>
      </c>
      <c r="F375" s="42"/>
      <c r="G375" s="42"/>
      <c r="H375" s="42" t="str">
        <f>IFERROR(__xludf.DUMMYFUNCTION("""COMPUTED_VALUE"""),"")</f>
        <v/>
      </c>
      <c r="I375" s="42" t="str">
        <f>IFERROR(__xludf.DUMMYFUNCTION("""COMPUTED_VALUE"""),"Llorens-Martín, 2014")</f>
        <v>Llorens-Martín, 2014</v>
      </c>
      <c r="J375" s="42"/>
      <c r="K375" s="42"/>
      <c r="L375" s="42"/>
      <c r="M375" s="42" t="str">
        <f>IFERROR(__xludf.DUMMYFUNCTION("""COMPUTED_VALUE"""),"Fig.1")</f>
        <v>Fig.1</v>
      </c>
      <c r="N375" s="38"/>
      <c r="O375" s="31" t="str">
        <f>IFERROR(__xludf.DUMMYFUNCTION("""COMPUTED_VALUE"""),"DOC")</f>
        <v>DOC</v>
      </c>
      <c r="P375" s="9" t="str">
        <f>IFERROR(__xludf.DUMMYFUNCTION("""COMPUTED_VALUE"""),"Frontiers in Neuroanatomy")</f>
        <v>Frontiers in Neuroanatomy</v>
      </c>
      <c r="Q375" s="9" t="str">
        <f>IFERROR(__xludf.DUMMYFUNCTION("""COMPUTED_VALUE"""),"Hypothesis")</f>
        <v>Hypothesis</v>
      </c>
      <c r="R375" s="179" t="str">
        <f>IFERROR(__xludf.DUMMYFUNCTION("""COMPUTED_VALUE"""),"CA3 (00/00) [Llorens-Martín, 2014][Witter, 2000];
")</f>
        <v>CA3 (00/00) [Llorens-Martín, 2014][Witter, 2000];
</v>
      </c>
      <c r="S375" s="179" t="str">
        <f>IFERROR(__xludf.DUMMYFUNCTION("""COMPUTED_VALUE"""),"DGCA3")</f>
        <v>DGCA3</v>
      </c>
      <c r="T375" s="179" t="str">
        <f>IFERROR(__xludf.DUMMYFUNCTION("""COMPUTED_VALUE"""),"[Llorens-Martín, 2014]")</f>
        <v>[Llorens-Martín, 2014]</v>
      </c>
      <c r="U375" s="179">
        <f>IFERROR(__xludf.DUMMYFUNCTION("""COMPUTED_VALUE"""),1.0)</f>
        <v>1</v>
      </c>
      <c r="V375" s="180">
        <f>IFERROR(__xludf.DUMMYFUNCTION("""COMPUTED_VALUE"""),1.0)</f>
        <v>1</v>
      </c>
      <c r="W375" s="180">
        <f>IFERROR(__xludf.DUMMYFUNCTION("""COMPUTED_VALUE"""),0.95)</f>
        <v>0.95</v>
      </c>
      <c r="X375" s="42">
        <f>IFERROR(__xludf.DUMMYFUNCTION("""COMPUTED_VALUE"""),0.5)</f>
        <v>0.5</v>
      </c>
      <c r="Y375" s="42">
        <f>IFERROR(__xludf.DUMMYFUNCTION("""COMPUTED_VALUE"""),0.0)</f>
        <v>0</v>
      </c>
      <c r="Z375" s="9">
        <f>IFERROR(__xludf.DUMMYFUNCTION("""COMPUTED_VALUE"""),0.0)</f>
        <v>0</v>
      </c>
      <c r="AA375" s="181">
        <f>IFERROR(__xludf.DUMMYFUNCTION("""COMPUTED_VALUE"""),0.0)</f>
        <v>0</v>
      </c>
      <c r="AB375" s="181">
        <f>IFERROR(__xludf.DUMMYFUNCTION("""COMPUTED_VALUE"""),0.0)</f>
        <v>0</v>
      </c>
      <c r="AC375" s="179">
        <f>IFERROR(__xludf.DUMMYFUNCTION("""COMPUTED_VALUE"""),0.0)</f>
        <v>0</v>
      </c>
      <c r="AD375" s="165">
        <f>IFERROR(__xludf.DUMMYFUNCTION("""COMPUTED_VALUE"""),0.0)</f>
        <v>0</v>
      </c>
      <c r="AE375" s="39" t="str">
        <f>IFERROR(__xludf.DUMMYFUNCTION("""COMPUTED_VALUE"""),"Ayako Fukawa")</f>
        <v>Ayako Fukawa</v>
      </c>
      <c r="AF375" s="39" t="str">
        <f>IFERROR(__xludf.DUMMYFUNCTION("""COMPUTED_VALUE"""),"AT20HippocampalFormation")</f>
        <v>AT20HippocampalFormation</v>
      </c>
      <c r="AG375" s="39"/>
      <c r="AH375" s="39"/>
      <c r="AI375" s="165"/>
      <c r="AJ375" s="165"/>
      <c r="AK375" s="111"/>
      <c r="AL375" s="111"/>
      <c r="AM375" s="111"/>
      <c r="AN375" s="111"/>
      <c r="AO375" s="111"/>
      <c r="AP375" s="111"/>
      <c r="AQ375" s="116"/>
      <c r="AR375" s="116"/>
      <c r="AS375" s="116"/>
    </row>
    <row r="376">
      <c r="A376" s="42" t="str">
        <f>IFERROR(__xludf.DUMMYFUNCTION("""COMPUTED_VALUE"""),"DG")</f>
        <v>DG</v>
      </c>
      <c r="B376" s="42"/>
      <c r="C376" s="42"/>
      <c r="D376" s="42" t="str">
        <f>IFERROR(__xludf.DUMMYFUNCTION("""COMPUTED_VALUE"""),"CA3")</f>
        <v>CA3</v>
      </c>
      <c r="E376" s="42"/>
      <c r="F376" s="42"/>
      <c r="G376" s="42"/>
      <c r="H376" s="42" t="str">
        <f>IFERROR(__xludf.DUMMYFUNCTION("""COMPUTED_VALUE"""),"")</f>
        <v/>
      </c>
      <c r="I376" s="42" t="str">
        <f>IFERROR(__xludf.DUMMYFUNCTION("""COMPUTED_VALUE"""),"Witter, 2000")</f>
        <v>Witter, 2000</v>
      </c>
      <c r="J376" s="42"/>
      <c r="K376" s="42"/>
      <c r="L376" s="42"/>
      <c r="M376" s="42" t="str">
        <f>IFERROR(__xludf.DUMMYFUNCTION("""COMPUTED_VALUE"""),"Fig.4")</f>
        <v>Fig.4</v>
      </c>
      <c r="N376" s="38"/>
      <c r="O376" s="31" t="str">
        <f>IFERROR(__xludf.DUMMYFUNCTION("""COMPUTED_VALUE"""),"DOC")</f>
        <v>DOC</v>
      </c>
      <c r="P376" s="9" t="str">
        <f>IFERROR(__xludf.DUMMYFUNCTION("""COMPUTED_VALUE"""),"Hippocampus")</f>
        <v>Hippocampus</v>
      </c>
      <c r="Q376" s="9" t="str">
        <f>IFERROR(__xludf.DUMMYFUNCTION("""COMPUTED_VALUE"""),"Review")</f>
        <v>Review</v>
      </c>
      <c r="R376" s="179" t="str">
        <f>IFERROR(__xludf.DUMMYFUNCTION("""COMPUTED_VALUE"""),"CA3 (00/00) [Llorens-Martín, 2014][Witter, 2000];
")</f>
        <v>CA3 (00/00) [Llorens-Martín, 2014][Witter, 2000];
</v>
      </c>
      <c r="S376" s="179" t="str">
        <f>IFERROR(__xludf.DUMMYFUNCTION("""COMPUTED_VALUE"""),"DGCA3")</f>
        <v>DGCA3</v>
      </c>
      <c r="T376" s="179" t="str">
        <f>IFERROR(__xludf.DUMMYFUNCTION("""COMPUTED_VALUE"""),"[Witter, 2000]")</f>
        <v>[Witter, 2000]</v>
      </c>
      <c r="U376" s="179">
        <f>IFERROR(__xludf.DUMMYFUNCTION("""COMPUTED_VALUE"""),0.0)</f>
        <v>0</v>
      </c>
      <c r="V376" s="180">
        <f>IFERROR(__xludf.DUMMYFUNCTION("""COMPUTED_VALUE"""),0.0)</f>
        <v>0</v>
      </c>
      <c r="W376" s="180">
        <f>IFERROR(__xludf.DUMMYFUNCTION("""COMPUTED_VALUE"""),0.95)</f>
        <v>0.95</v>
      </c>
      <c r="X376" s="42">
        <f>IFERROR(__xludf.DUMMYFUNCTION("""COMPUTED_VALUE"""),0.8)</f>
        <v>0.8</v>
      </c>
      <c r="Y376" s="42">
        <f>IFERROR(__xludf.DUMMYFUNCTION("""COMPUTED_VALUE"""),0.0)</f>
        <v>0</v>
      </c>
      <c r="Z376" s="9">
        <f>IFERROR(__xludf.DUMMYFUNCTION("""COMPUTED_VALUE"""),0.0)</f>
        <v>0</v>
      </c>
      <c r="AA376" s="181">
        <f>IFERROR(__xludf.DUMMYFUNCTION("""COMPUTED_VALUE"""),0.0)</f>
        <v>0</v>
      </c>
      <c r="AB376" s="181">
        <f>IFERROR(__xludf.DUMMYFUNCTION("""COMPUTED_VALUE"""),0.0)</f>
        <v>0</v>
      </c>
      <c r="AC376" s="179">
        <f>IFERROR(__xludf.DUMMYFUNCTION("""COMPUTED_VALUE"""),0.0)</f>
        <v>0</v>
      </c>
      <c r="AD376" s="165">
        <f>IFERROR(__xludf.DUMMYFUNCTION("""COMPUTED_VALUE"""),0.0)</f>
        <v>0</v>
      </c>
      <c r="AE376" s="39" t="str">
        <f>IFERROR(__xludf.DUMMYFUNCTION("""COMPUTED_VALUE"""),"Ayako Fukawa")</f>
        <v>Ayako Fukawa</v>
      </c>
      <c r="AF376" s="39" t="str">
        <f>IFERROR(__xludf.DUMMYFUNCTION("""COMPUTED_VALUE"""),"AT20HippocampalFormation")</f>
        <v>AT20HippocampalFormation</v>
      </c>
      <c r="AG376" s="39"/>
      <c r="AH376" s="39"/>
      <c r="AI376" s="165"/>
      <c r="AJ376" s="165"/>
      <c r="AK376" s="111"/>
      <c r="AL376" s="111"/>
      <c r="AM376" s="111"/>
      <c r="AN376" s="111"/>
      <c r="AO376" s="111"/>
      <c r="AP376" s="111"/>
      <c r="AQ376" s="116"/>
      <c r="AR376" s="116"/>
      <c r="AS376" s="116"/>
    </row>
    <row r="377">
      <c r="A377" s="42" t="str">
        <f>IFERROR(__xludf.DUMMYFUNCTION("""COMPUTED_VALUE"""),"DP")</f>
        <v>DP</v>
      </c>
      <c r="B377" s="42"/>
      <c r="C377" s="42"/>
      <c r="D377" s="42" t="str">
        <f>IFERROR(__xludf.DUMMYFUNCTION("""COMPUTED_VALUE"""),"PAC")</f>
        <v>PAC</v>
      </c>
      <c r="E377" s="42"/>
      <c r="F377" s="42"/>
      <c r="G377" s="42"/>
      <c r="H377" s="42" t="str">
        <f>IFERROR(__xludf.DUMMYFUNCTION("""COMPUTED_VALUE"""),"")</f>
        <v/>
      </c>
      <c r="I377" s="42" t="str">
        <f>IFERROR(__xludf.DUMMYFUNCTION("""COMPUTED_VALUE"""),"Pitkänen, 2000")</f>
        <v>Pitkänen, 2000</v>
      </c>
      <c r="J377" s="42" t="str">
        <f>IFERROR(__xludf.DUMMYFUNCTION("""COMPUTED_VALUE"""),"Rat")</f>
        <v>Rat</v>
      </c>
      <c r="K377" s="42" t="str">
        <f>IFERROR(__xludf.DUMMYFUNCTION("""COMPUTED_VALUE"""),"Various tracing")</f>
        <v>Various tracing</v>
      </c>
      <c r="L377" s="42"/>
      <c r="M377" s="42" t="str">
        <f>IFERROR(__xludf.DUMMYFUNCTION("""COMPUTED_VALUE"""),"fig.3-fig.12 (to be specified)")</f>
        <v>fig.3-fig.12 (to be specified)</v>
      </c>
      <c r="N377" s="38"/>
      <c r="O377" s="31" t="str">
        <f>IFERROR(__xludf.DUMMYFUNCTION("""COMPUTED_VALUE"""),"DOC(alt)")</f>
        <v>DOC(alt)</v>
      </c>
      <c r="P377" s="9" t="str">
        <f>IFERROR(__xludf.DUMMYFUNCTION("""COMPUTED_VALUE"""),"Folia morphologica")</f>
        <v>Folia morphologica</v>
      </c>
      <c r="Q377" s="9" t="str">
        <f>IFERROR(__xludf.DUMMYFUNCTION("""COMPUTED_VALUE"""),"Review")</f>
        <v>Review</v>
      </c>
      <c r="R377" s="179" t="str">
        <f>IFERROR(__xludf.DUMMYFUNCTION("""COMPUTED_VALUE"""),"PAC (00/00) [Pitkänen, 2000];
")</f>
        <v>PAC (00/00) [Pitkänen, 2000];
</v>
      </c>
      <c r="S377" s="179" t="str">
        <f>IFERROR(__xludf.DUMMYFUNCTION("""COMPUTED_VALUE"""),"DPPAC")</f>
        <v>DPPAC</v>
      </c>
      <c r="T377" s="179" t="str">
        <f>IFERROR(__xludf.DUMMYFUNCTION("""COMPUTED_VALUE"""),"[Pitkänen, 2000]")</f>
        <v>[Pitkänen, 2000]</v>
      </c>
      <c r="U377" s="179">
        <f>IFERROR(__xludf.DUMMYFUNCTION("""COMPUTED_VALUE"""),0.0)</f>
        <v>0</v>
      </c>
      <c r="V377" s="180">
        <f>IFERROR(__xludf.DUMMYFUNCTION("""COMPUTED_VALUE"""),0.0)</f>
        <v>0</v>
      </c>
      <c r="W377" s="180">
        <f>IFERROR(__xludf.DUMMYFUNCTION("""COMPUTED_VALUE"""),0.95)</f>
        <v>0.95</v>
      </c>
      <c r="X377" s="42">
        <f>IFERROR(__xludf.DUMMYFUNCTION("""COMPUTED_VALUE"""),0.8)</f>
        <v>0.8</v>
      </c>
      <c r="Y377" s="42">
        <f>IFERROR(__xludf.DUMMYFUNCTION("""COMPUTED_VALUE"""),0.6)</f>
        <v>0.6</v>
      </c>
      <c r="Z377" s="9">
        <f>IFERROR(__xludf.DUMMYFUNCTION("""COMPUTED_VALUE"""),0.9)</f>
        <v>0.9</v>
      </c>
      <c r="AA377" s="181">
        <f>IFERROR(__xludf.DUMMYFUNCTION("""COMPUTED_VALUE"""),0.0)</f>
        <v>0</v>
      </c>
      <c r="AB377" s="181">
        <f>IFERROR(__xludf.DUMMYFUNCTION("""COMPUTED_VALUE"""),0.0)</f>
        <v>0</v>
      </c>
      <c r="AC377" s="179">
        <f>IFERROR(__xludf.DUMMYFUNCTION("""COMPUTED_VALUE"""),0.0)</f>
        <v>0</v>
      </c>
      <c r="AD377" s="165">
        <f>IFERROR(__xludf.DUMMYFUNCTION("""COMPUTED_VALUE"""),0.0)</f>
        <v>0</v>
      </c>
      <c r="AE377" s="39" t="str">
        <f>IFERROR(__xludf.DUMMYFUNCTION("""COMPUTED_VALUE"""),"Tatsuya Miyamoto")</f>
        <v>Tatsuya Miyamoto</v>
      </c>
      <c r="AF377" s="39" t="str">
        <f>IFERROR(__xludf.DUMMYFUNCTION("""COMPUTED_VALUE"""),"TM21Amygdala")</f>
        <v>TM21Amygdala</v>
      </c>
      <c r="AG377" s="39"/>
      <c r="AH377" s="39"/>
      <c r="AI377" s="165"/>
      <c r="AJ377" s="165"/>
      <c r="AK377" s="111"/>
      <c r="AL377" s="111"/>
      <c r="AM377" s="111"/>
      <c r="AN377" s="111"/>
      <c r="AO377" s="111"/>
      <c r="AP377" s="111"/>
      <c r="AQ377" s="116"/>
      <c r="AR377" s="116"/>
      <c r="AS377" s="116"/>
    </row>
    <row r="378">
      <c r="A378" s="42" t="str">
        <f>IFERROR(__xludf.DUMMYFUNCTION("""COMPUTED_VALUE"""),"DR")</f>
        <v>DR</v>
      </c>
      <c r="B378" s="42"/>
      <c r="C378" s="42"/>
      <c r="D378" s="42" t="str">
        <f>IFERROR(__xludf.DUMMYFUNCTION("""COMPUTED_VALUE"""),"STR")</f>
        <v>STR</v>
      </c>
      <c r="E378" s="42"/>
      <c r="F378" s="42"/>
      <c r="G378" s="42"/>
      <c r="H378" s="42" t="str">
        <f>IFERROR(__xludf.DUMMYFUNCTION("""COMPUTED_VALUE"""),"(microcircuit, Fig 11-3)")</f>
        <v>(microcircuit, Fig 11-3)</v>
      </c>
      <c r="I378" s="42" t="str">
        <f>IFERROR(__xludf.DUMMYFUNCTION("""COMPUTED_VALUE"""),"Doig, 2017")</f>
        <v>Doig, 2017</v>
      </c>
      <c r="J378" s="42"/>
      <c r="K378" s="42"/>
      <c r="L378" s="42"/>
      <c r="M378" s="42"/>
      <c r="N378" s="38"/>
      <c r="O378" s="31" t="str">
        <f>IFERROR(__xludf.DUMMYFUNCTION("""COMPUTED_VALUE"""),"DOC")</f>
        <v>DOC</v>
      </c>
      <c r="P378" s="9" t="str">
        <f>IFERROR(__xludf.DUMMYFUNCTION("""COMPUTED_VALUE"""),"Handbook of Brain Microcircuits")</f>
        <v>Handbook of Brain Microcircuits</v>
      </c>
      <c r="Q378" s="9" t="str">
        <f>IFERROR(__xludf.DUMMYFUNCTION("""COMPUTED_VALUE"""),"Textbook")</f>
        <v>Textbook</v>
      </c>
      <c r="R378" s="179" t="str">
        <f>IFERROR(__xludf.DUMMYFUNCTION("""COMPUTED_VALUE"""),"STR (00/00) [Doig, 2017](microcircuit, Fig 11-3);
")</f>
        <v>STR (00/00) [Doig, 2017](microcircuit, Fig 11-3);
</v>
      </c>
      <c r="S378" s="179" t="str">
        <f>IFERROR(__xludf.DUMMYFUNCTION("""COMPUTED_VALUE"""),"DRSTR")</f>
        <v>DRSTR</v>
      </c>
      <c r="T378" s="179" t="str">
        <f>IFERROR(__xludf.DUMMYFUNCTION("""COMPUTED_VALUE"""),"[Doig, 2017]")</f>
        <v>[Doig, 2017]</v>
      </c>
      <c r="U378" s="179">
        <f>IFERROR(__xludf.DUMMYFUNCTION("""COMPUTED_VALUE"""),0.0)</f>
        <v>0</v>
      </c>
      <c r="V378" s="180">
        <f>IFERROR(__xludf.DUMMYFUNCTION("""COMPUTED_VALUE"""),0.0)</f>
        <v>0</v>
      </c>
      <c r="W378" s="180">
        <f>IFERROR(__xludf.DUMMYFUNCTION("""COMPUTED_VALUE"""),0.95)</f>
        <v>0.95</v>
      </c>
      <c r="X378" s="42">
        <f>IFERROR(__xludf.DUMMYFUNCTION("""COMPUTED_VALUE"""),0.9)</f>
        <v>0.9</v>
      </c>
      <c r="Y378" s="42">
        <f>IFERROR(__xludf.DUMMYFUNCTION("""COMPUTED_VALUE"""),0.0)</f>
        <v>0</v>
      </c>
      <c r="Z378" s="9">
        <f>IFERROR(__xludf.DUMMYFUNCTION("""COMPUTED_VALUE"""),0.0)</f>
        <v>0</v>
      </c>
      <c r="AA378" s="181">
        <f>IFERROR(__xludf.DUMMYFUNCTION("""COMPUTED_VALUE"""),0.0)</f>
        <v>0</v>
      </c>
      <c r="AB378" s="181">
        <f>IFERROR(__xludf.DUMMYFUNCTION("""COMPUTED_VALUE"""),0.0)</f>
        <v>0</v>
      </c>
      <c r="AC378" s="179">
        <f>IFERROR(__xludf.DUMMYFUNCTION("""COMPUTED_VALUE"""),0.0)</f>
        <v>0</v>
      </c>
      <c r="AD378" s="165">
        <f>IFERROR(__xludf.DUMMYFUNCTION("""COMPUTED_VALUE"""),0.0)</f>
        <v>0</v>
      </c>
      <c r="AE378" s="39" t="str">
        <f>IFERROR(__xludf.DUMMYFUNCTION("""COMPUTED_VALUE"""),"Yuske Shibata")</f>
        <v>Yuske Shibata</v>
      </c>
      <c r="AF378" s="39" t="str">
        <f>IFERROR(__xludf.DUMMYFUNCTION("""COMPUTED_VALUE"""),"YS21BgLoop")</f>
        <v>YS21BgLoop</v>
      </c>
      <c r="AG378" s="39"/>
      <c r="AH378" s="39"/>
      <c r="AI378" s="165"/>
      <c r="AJ378" s="165"/>
      <c r="AK378" s="111"/>
      <c r="AL378" s="111"/>
      <c r="AM378" s="111"/>
      <c r="AN378" s="111"/>
      <c r="AO378" s="111"/>
      <c r="AP378" s="111"/>
      <c r="AQ378" s="116"/>
      <c r="AR378" s="116"/>
      <c r="AS378" s="116"/>
    </row>
    <row r="379">
      <c r="A379" s="42" t="str">
        <f>IFERROR(__xludf.DUMMYFUNCTION("""COMPUTED_VALUE"""),"DT")</f>
        <v>DT</v>
      </c>
      <c r="B379" s="42"/>
      <c r="C379" s="42"/>
      <c r="D379" s="42" t="str">
        <f>IFERROR(__xludf.DUMMYFUNCTION("""COMPUTED_VALUE"""),"RNpc")</f>
        <v>RNpc</v>
      </c>
      <c r="E379" s="42"/>
      <c r="F379" s="42"/>
      <c r="G379" s="42"/>
      <c r="H379" s="42" t="str">
        <f>IFERROR(__xludf.DUMMYFUNCTION("""COMPUTED_VALUE"""),"")</f>
        <v/>
      </c>
      <c r="I379" s="42" t="str">
        <f>IFERROR(__xludf.DUMMYFUNCTION("""COMPUTED_VALUE"""),"Basile, 2021")</f>
        <v>Basile, 2021</v>
      </c>
      <c r="J379" s="42"/>
      <c r="K379" s="42"/>
      <c r="L379" s="42"/>
      <c r="M379" s="42"/>
      <c r="N379" s="38"/>
      <c r="O379" s="31" t="str">
        <f>IFERROR(__xludf.DUMMYFUNCTION("""COMPUTED_VALUE"""),"DOC")</f>
        <v>DOC</v>
      </c>
      <c r="P379" s="9" t="str">
        <f>IFERROR(__xludf.DUMMYFUNCTION("""COMPUTED_VALUE"""),"Brain Structure and Function")</f>
        <v>Brain Structure and Function</v>
      </c>
      <c r="Q379" s="9"/>
      <c r="R379" s="179" t="str">
        <f>IFERROR(__xludf.DUMMYFUNCTION("""COMPUTED_VALUE"""),"RNpc (00/00) [Basile, 2021][Zhang, 2019];
")</f>
        <v>RNpc (00/00) [Basile, 2021][Zhang, 2019];
</v>
      </c>
      <c r="S379" s="179" t="str">
        <f>IFERROR(__xludf.DUMMYFUNCTION("""COMPUTED_VALUE"""),"DTRNpc")</f>
        <v>DTRNpc</v>
      </c>
      <c r="T379" s="179" t="str">
        <f>IFERROR(__xludf.DUMMYFUNCTION("""COMPUTED_VALUE"""),"[Basile, 2021]")</f>
        <v>[Basile, 2021]</v>
      </c>
      <c r="U379" s="179">
        <f>IFERROR(__xludf.DUMMYFUNCTION("""COMPUTED_VALUE"""),0.0)</f>
        <v>0</v>
      </c>
      <c r="V379" s="180">
        <f>IFERROR(__xludf.DUMMYFUNCTION("""COMPUTED_VALUE"""),0.0)</f>
        <v>0</v>
      </c>
      <c r="W379" s="180">
        <f>IFERROR(__xludf.DUMMYFUNCTION("""COMPUTED_VALUE"""),0.95)</f>
        <v>0.95</v>
      </c>
      <c r="X379" s="42">
        <f>IFERROR(__xludf.DUMMYFUNCTION("""COMPUTED_VALUE"""),0.0)</f>
        <v>0</v>
      </c>
      <c r="Y379" s="42">
        <f>IFERROR(__xludf.DUMMYFUNCTION("""COMPUTED_VALUE"""),0.0)</f>
        <v>0</v>
      </c>
      <c r="Z379" s="9">
        <f>IFERROR(__xludf.DUMMYFUNCTION("""COMPUTED_VALUE"""),0.0)</f>
        <v>0</v>
      </c>
      <c r="AA379" s="181">
        <f>IFERROR(__xludf.DUMMYFUNCTION("""COMPUTED_VALUE"""),0.0)</f>
        <v>0</v>
      </c>
      <c r="AB379" s="181">
        <f>IFERROR(__xludf.DUMMYFUNCTION("""COMPUTED_VALUE"""),0.0)</f>
        <v>0</v>
      </c>
      <c r="AC379" s="179">
        <f>IFERROR(__xludf.DUMMYFUNCTION("""COMPUTED_VALUE"""),0.0)</f>
        <v>0</v>
      </c>
      <c r="AD379" s="165">
        <f>IFERROR(__xludf.DUMMYFUNCTION("""COMPUTED_VALUE"""),0.0)</f>
        <v>0</v>
      </c>
      <c r="AE379" s="39" t="str">
        <f>IFERROR(__xludf.DUMMYFUNCTION("""COMPUTED_VALUE"""),"Hiroshi Yamakawa")</f>
        <v>Hiroshi Yamakawa</v>
      </c>
      <c r="AF379" s="39" t="str">
        <f>IFERROR(__xludf.DUMMYFUNCTION("""COMPUTED_VALUE"""),"HY20Cerebellum")</f>
        <v>HY20Cerebellum</v>
      </c>
      <c r="AG379" s="39"/>
      <c r="AH379" s="39"/>
      <c r="AI379" s="165"/>
      <c r="AJ379" s="165"/>
      <c r="AK379" s="111"/>
      <c r="AL379" s="111"/>
      <c r="AM379" s="111"/>
      <c r="AN379" s="111"/>
      <c r="AO379" s="111"/>
      <c r="AP379" s="111"/>
      <c r="AQ379" s="116"/>
      <c r="AR379" s="116"/>
      <c r="AS379" s="116"/>
    </row>
    <row r="380">
      <c r="A380" s="42" t="str">
        <f>IFERROR(__xludf.DUMMYFUNCTION("""COMPUTED_VALUE"""),"DT")</f>
        <v>DT</v>
      </c>
      <c r="B380" s="42"/>
      <c r="C380" s="42"/>
      <c r="D380" s="42" t="str">
        <f>IFERROR(__xludf.DUMMYFUNCTION("""COMPUTED_VALUE"""),"VA")</f>
        <v>VA</v>
      </c>
      <c r="E380" s="42"/>
      <c r="F380" s="42"/>
      <c r="G380" s="42"/>
      <c r="H380" s="42" t="str">
        <f>IFERROR(__xludf.DUMMYFUNCTION("""COMPUTED_VALUE"""),"")</f>
        <v/>
      </c>
      <c r="I380" s="42" t="str">
        <f>IFERROR(__xludf.DUMMYFUNCTION("""COMPUTED_VALUE"""),"Basile, 2021")</f>
        <v>Basile, 2021</v>
      </c>
      <c r="J380" s="42"/>
      <c r="K380" s="42"/>
      <c r="L380" s="42"/>
      <c r="M380" s="42"/>
      <c r="N380" s="38"/>
      <c r="O380" s="31" t="str">
        <f>IFERROR(__xludf.DUMMYFUNCTION("""COMPUTED_VALUE"""),"DOC")</f>
        <v>DOC</v>
      </c>
      <c r="P380" s="9" t="str">
        <f>IFERROR(__xludf.DUMMYFUNCTION("""COMPUTED_VALUE"""),"Brain Structure and Function")</f>
        <v>Brain Structure and Function</v>
      </c>
      <c r="Q380" s="9"/>
      <c r="R380" s="179" t="str">
        <f>IFERROR(__xludf.DUMMYFUNCTION("""COMPUTED_VALUE"""),"VA (00/00) [Basile, 2021];
")</f>
        <v>VA (00/00) [Basile, 2021];
</v>
      </c>
      <c r="S380" s="179" t="str">
        <f>IFERROR(__xludf.DUMMYFUNCTION("""COMPUTED_VALUE"""),"DTVA")</f>
        <v>DTVA</v>
      </c>
      <c r="T380" s="179" t="str">
        <f>IFERROR(__xludf.DUMMYFUNCTION("""COMPUTED_VALUE"""),"[Basile, 2021]")</f>
        <v>[Basile, 2021]</v>
      </c>
      <c r="U380" s="179">
        <f>IFERROR(__xludf.DUMMYFUNCTION("""COMPUTED_VALUE"""),0.0)</f>
        <v>0</v>
      </c>
      <c r="V380" s="180">
        <f>IFERROR(__xludf.DUMMYFUNCTION("""COMPUTED_VALUE"""),0.0)</f>
        <v>0</v>
      </c>
      <c r="W380" s="180">
        <f>IFERROR(__xludf.DUMMYFUNCTION("""COMPUTED_VALUE"""),0.95)</f>
        <v>0.95</v>
      </c>
      <c r="X380" s="42">
        <f>IFERROR(__xludf.DUMMYFUNCTION("""COMPUTED_VALUE"""),0.0)</f>
        <v>0</v>
      </c>
      <c r="Y380" s="42">
        <f>IFERROR(__xludf.DUMMYFUNCTION("""COMPUTED_VALUE"""),0.0)</f>
        <v>0</v>
      </c>
      <c r="Z380" s="9">
        <f>IFERROR(__xludf.DUMMYFUNCTION("""COMPUTED_VALUE"""),0.0)</f>
        <v>0</v>
      </c>
      <c r="AA380" s="181">
        <f>IFERROR(__xludf.DUMMYFUNCTION("""COMPUTED_VALUE"""),0.0)</f>
        <v>0</v>
      </c>
      <c r="AB380" s="181">
        <f>IFERROR(__xludf.DUMMYFUNCTION("""COMPUTED_VALUE"""),0.0)</f>
        <v>0</v>
      </c>
      <c r="AC380" s="179">
        <f>IFERROR(__xludf.DUMMYFUNCTION("""COMPUTED_VALUE"""),0.0)</f>
        <v>0</v>
      </c>
      <c r="AD380" s="165">
        <f>IFERROR(__xludf.DUMMYFUNCTION("""COMPUTED_VALUE"""),0.0)</f>
        <v>0</v>
      </c>
      <c r="AE380" s="39" t="str">
        <f>IFERROR(__xludf.DUMMYFUNCTION("""COMPUTED_VALUE"""),"Hiroshi Yamakawa")</f>
        <v>Hiroshi Yamakawa</v>
      </c>
      <c r="AF380" s="39" t="str">
        <f>IFERROR(__xludf.DUMMYFUNCTION("""COMPUTED_VALUE"""),"HY20Cerebellum")</f>
        <v>HY20Cerebellum</v>
      </c>
      <c r="AG380" s="39"/>
      <c r="AH380" s="39"/>
      <c r="AI380" s="165"/>
      <c r="AJ380" s="165"/>
      <c r="AK380" s="111"/>
      <c r="AL380" s="111"/>
      <c r="AM380" s="111"/>
      <c r="AN380" s="111"/>
      <c r="AO380" s="111"/>
      <c r="AP380" s="111"/>
      <c r="AQ380" s="116"/>
      <c r="AR380" s="116"/>
      <c r="AS380" s="116"/>
    </row>
    <row r="381">
      <c r="A381" s="42" t="str">
        <f>IFERROR(__xludf.DUMMYFUNCTION("""COMPUTED_VALUE"""),"DT")</f>
        <v>DT</v>
      </c>
      <c r="B381" s="42"/>
      <c r="C381" s="42"/>
      <c r="D381" s="42" t="str">
        <f>IFERROR(__xludf.DUMMYFUNCTION("""COMPUTED_VALUE"""),"VL")</f>
        <v>VL</v>
      </c>
      <c r="E381" s="42"/>
      <c r="F381" s="42"/>
      <c r="G381" s="42"/>
      <c r="H381" s="42" t="str">
        <f>IFERROR(__xludf.DUMMYFUNCTION("""COMPUTED_VALUE"""),"")</f>
        <v/>
      </c>
      <c r="I381" s="42" t="str">
        <f>IFERROR(__xludf.DUMMYFUNCTION("""COMPUTED_VALUE"""),"Basile, 2021")</f>
        <v>Basile, 2021</v>
      </c>
      <c r="J381" s="42"/>
      <c r="K381" s="42"/>
      <c r="L381" s="42"/>
      <c r="M381" s="42"/>
      <c r="N381" s="38"/>
      <c r="O381" s="31" t="str">
        <f>IFERROR(__xludf.DUMMYFUNCTION("""COMPUTED_VALUE"""),"DOC")</f>
        <v>DOC</v>
      </c>
      <c r="P381" s="9" t="str">
        <f>IFERROR(__xludf.DUMMYFUNCTION("""COMPUTED_VALUE"""),"Brain Structure and Function")</f>
        <v>Brain Structure and Function</v>
      </c>
      <c r="Q381" s="9"/>
      <c r="R381" s="179" t="str">
        <f>IFERROR(__xludf.DUMMYFUNCTION("""COMPUTED_VALUE"""),"VL (00/00) [Basile, 2021][Bohne, 2019][Rogers, 2013];
")</f>
        <v>VL (00/00) [Basile, 2021][Bohne, 2019][Rogers, 2013];
</v>
      </c>
      <c r="S381" s="179" t="str">
        <f>IFERROR(__xludf.DUMMYFUNCTION("""COMPUTED_VALUE"""),"DTVL")</f>
        <v>DTVL</v>
      </c>
      <c r="T381" s="179" t="str">
        <f>IFERROR(__xludf.DUMMYFUNCTION("""COMPUTED_VALUE"""),"[Basile, 2021]")</f>
        <v>[Basile, 2021]</v>
      </c>
      <c r="U381" s="179">
        <f>IFERROR(__xludf.DUMMYFUNCTION("""COMPUTED_VALUE"""),0.0)</f>
        <v>0</v>
      </c>
      <c r="V381" s="180">
        <f>IFERROR(__xludf.DUMMYFUNCTION("""COMPUTED_VALUE"""),0.0)</f>
        <v>0</v>
      </c>
      <c r="W381" s="180">
        <f>IFERROR(__xludf.DUMMYFUNCTION("""COMPUTED_VALUE"""),0.95)</f>
        <v>0.95</v>
      </c>
      <c r="X381" s="42">
        <f>IFERROR(__xludf.DUMMYFUNCTION("""COMPUTED_VALUE"""),0.0)</f>
        <v>0</v>
      </c>
      <c r="Y381" s="42">
        <f>IFERROR(__xludf.DUMMYFUNCTION("""COMPUTED_VALUE"""),0.0)</f>
        <v>0</v>
      </c>
      <c r="Z381" s="9">
        <f>IFERROR(__xludf.DUMMYFUNCTION("""COMPUTED_VALUE"""),0.0)</f>
        <v>0</v>
      </c>
      <c r="AA381" s="181">
        <f>IFERROR(__xludf.DUMMYFUNCTION("""COMPUTED_VALUE"""),0.0)</f>
        <v>0</v>
      </c>
      <c r="AB381" s="181">
        <f>IFERROR(__xludf.DUMMYFUNCTION("""COMPUTED_VALUE"""),0.0)</f>
        <v>0</v>
      </c>
      <c r="AC381" s="179">
        <f>IFERROR(__xludf.DUMMYFUNCTION("""COMPUTED_VALUE"""),0.0)</f>
        <v>0</v>
      </c>
      <c r="AD381" s="165">
        <f>IFERROR(__xludf.DUMMYFUNCTION("""COMPUTED_VALUE"""),0.0)</f>
        <v>0</v>
      </c>
      <c r="AE381" s="39" t="str">
        <f>IFERROR(__xludf.DUMMYFUNCTION("""COMPUTED_VALUE"""),"Hiroshi Yamakawa")</f>
        <v>Hiroshi Yamakawa</v>
      </c>
      <c r="AF381" s="39" t="str">
        <f>IFERROR(__xludf.DUMMYFUNCTION("""COMPUTED_VALUE"""),"HY20Cerebellum")</f>
        <v>HY20Cerebellum</v>
      </c>
      <c r="AG381" s="39"/>
      <c r="AH381" s="39"/>
      <c r="AI381" s="165"/>
      <c r="AJ381" s="165"/>
      <c r="AK381" s="111"/>
      <c r="AL381" s="111"/>
      <c r="AM381" s="111"/>
      <c r="AN381" s="111"/>
      <c r="AO381" s="111"/>
      <c r="AP381" s="111"/>
      <c r="AQ381" s="116"/>
      <c r="AR381" s="116"/>
      <c r="AS381" s="116"/>
    </row>
    <row r="382">
      <c r="A382" s="42" t="str">
        <f>IFERROR(__xludf.DUMMYFUNCTION("""COMPUTED_VALUE"""),"DT")</f>
        <v>DT</v>
      </c>
      <c r="B382" s="42"/>
      <c r="C382" s="42"/>
      <c r="D382" s="42" t="str">
        <f>IFERROR(__xludf.DUMMYFUNCTION("""COMPUTED_VALUE"""),"LD")</f>
        <v>LD</v>
      </c>
      <c r="E382" s="42"/>
      <c r="F382" s="42"/>
      <c r="G382" s="42"/>
      <c r="H382" s="42" t="str">
        <f>IFERROR(__xludf.DUMMYFUNCTION("""COMPUTED_VALUE"""),"")</f>
        <v/>
      </c>
      <c r="I382" s="42" t="str">
        <f>IFERROR(__xludf.DUMMYFUNCTION("""COMPUTED_VALUE"""),"Bohne, 2019")</f>
        <v>Bohne, 2019</v>
      </c>
      <c r="J382" s="42"/>
      <c r="K382" s="42"/>
      <c r="L382" s="42"/>
      <c r="M382" s="42"/>
      <c r="N382" s="38"/>
      <c r="O382" s="31" t="str">
        <f>IFERROR(__xludf.DUMMYFUNCTION("""COMPUTED_VALUE"""),"DOC")</f>
        <v>DOC</v>
      </c>
      <c r="P382" s="9" t="str">
        <f>IFERROR(__xludf.DUMMYFUNCTION("""COMPUTED_VALUE"""),"Frontiers in Neural Circuits")</f>
        <v>Frontiers in Neural Circuits</v>
      </c>
      <c r="Q382" s="9"/>
      <c r="R382" s="179" t="str">
        <f>IFERROR(__xludf.DUMMYFUNCTION("""COMPUTED_VALUE"""),"LD (00/00) [Bohne, 2019];
")</f>
        <v>LD (00/00) [Bohne, 2019];
</v>
      </c>
      <c r="S382" s="179" t="str">
        <f>IFERROR(__xludf.DUMMYFUNCTION("""COMPUTED_VALUE"""),"DTLD")</f>
        <v>DTLD</v>
      </c>
      <c r="T382" s="179" t="str">
        <f>IFERROR(__xludf.DUMMYFUNCTION("""COMPUTED_VALUE"""),"[Bohne, 2019]")</f>
        <v>[Bohne, 2019]</v>
      </c>
      <c r="U382" s="179">
        <f>IFERROR(__xludf.DUMMYFUNCTION("""COMPUTED_VALUE"""),0.0)</f>
        <v>0</v>
      </c>
      <c r="V382" s="180">
        <f>IFERROR(__xludf.DUMMYFUNCTION("""COMPUTED_VALUE"""),0.0)</f>
        <v>0</v>
      </c>
      <c r="W382" s="180">
        <f>IFERROR(__xludf.DUMMYFUNCTION("""COMPUTED_VALUE"""),0.95)</f>
        <v>0.95</v>
      </c>
      <c r="X382" s="42">
        <f>IFERROR(__xludf.DUMMYFUNCTION("""COMPUTED_VALUE"""),0.0)</f>
        <v>0</v>
      </c>
      <c r="Y382" s="42">
        <f>IFERROR(__xludf.DUMMYFUNCTION("""COMPUTED_VALUE"""),0.0)</f>
        <v>0</v>
      </c>
      <c r="Z382" s="9">
        <f>IFERROR(__xludf.DUMMYFUNCTION("""COMPUTED_VALUE"""),0.0)</f>
        <v>0</v>
      </c>
      <c r="AA382" s="181">
        <f>IFERROR(__xludf.DUMMYFUNCTION("""COMPUTED_VALUE"""),0.0)</f>
        <v>0</v>
      </c>
      <c r="AB382" s="181">
        <f>IFERROR(__xludf.DUMMYFUNCTION("""COMPUTED_VALUE"""),0.0)</f>
        <v>0</v>
      </c>
      <c r="AC382" s="179">
        <f>IFERROR(__xludf.DUMMYFUNCTION("""COMPUTED_VALUE"""),0.0)</f>
        <v>0</v>
      </c>
      <c r="AD382" s="165">
        <f>IFERROR(__xludf.DUMMYFUNCTION("""COMPUTED_VALUE"""),0.0)</f>
        <v>0</v>
      </c>
      <c r="AE382" s="39" t="str">
        <f>IFERROR(__xludf.DUMMYFUNCTION("""COMPUTED_VALUE"""),"Hiroshi Yamakawa")</f>
        <v>Hiroshi Yamakawa</v>
      </c>
      <c r="AF382" s="39" t="str">
        <f>IFERROR(__xludf.DUMMYFUNCTION("""COMPUTED_VALUE"""),"HY20Cerebellum")</f>
        <v>HY20Cerebellum</v>
      </c>
      <c r="AG382" s="39"/>
      <c r="AH382" s="39"/>
      <c r="AI382" s="165"/>
      <c r="AJ382" s="165"/>
      <c r="AK382" s="111"/>
      <c r="AL382" s="111"/>
      <c r="AM382" s="111"/>
      <c r="AN382" s="111"/>
      <c r="AO382" s="111"/>
      <c r="AP382" s="111"/>
      <c r="AQ382" s="116"/>
      <c r="AR382" s="116"/>
      <c r="AS382" s="116"/>
    </row>
    <row r="383">
      <c r="A383" s="42" t="str">
        <f>IFERROR(__xludf.DUMMYFUNCTION("""COMPUTED_VALUE"""),"DT")</f>
        <v>DT</v>
      </c>
      <c r="B383" s="42"/>
      <c r="C383" s="42"/>
      <c r="D383" s="42" t="str">
        <f>IFERROR(__xludf.DUMMYFUNCTION("""COMPUTED_VALUE"""),"VL")</f>
        <v>VL</v>
      </c>
      <c r="E383" s="42"/>
      <c r="F383" s="42"/>
      <c r="G383" s="42"/>
      <c r="H383" s="42" t="str">
        <f>IFERROR(__xludf.DUMMYFUNCTION("""COMPUTED_VALUE"""),"")</f>
        <v/>
      </c>
      <c r="I383" s="42" t="str">
        <f>IFERROR(__xludf.DUMMYFUNCTION("""COMPUTED_VALUE"""),"Bohne, 2019")</f>
        <v>Bohne, 2019</v>
      </c>
      <c r="J383" s="42"/>
      <c r="K383" s="42"/>
      <c r="L383" s="42"/>
      <c r="M383" s="42"/>
      <c r="N383" s="38"/>
      <c r="O383" s="31" t="str">
        <f>IFERROR(__xludf.DUMMYFUNCTION("""COMPUTED_VALUE"""),"DOC")</f>
        <v>DOC</v>
      </c>
      <c r="P383" s="9" t="str">
        <f>IFERROR(__xludf.DUMMYFUNCTION("""COMPUTED_VALUE"""),"Frontiers in Neural Circuits")</f>
        <v>Frontiers in Neural Circuits</v>
      </c>
      <c r="Q383" s="9"/>
      <c r="R383" s="179" t="str">
        <f>IFERROR(__xludf.DUMMYFUNCTION("""COMPUTED_VALUE"""),"VL (00/00) [Basile, 2021][Bohne, 2019][Rogers, 2013];
")</f>
        <v>VL (00/00) [Basile, 2021][Bohne, 2019][Rogers, 2013];
</v>
      </c>
      <c r="S383" s="179" t="str">
        <f>IFERROR(__xludf.DUMMYFUNCTION("""COMPUTED_VALUE"""),"DTVL")</f>
        <v>DTVL</v>
      </c>
      <c r="T383" s="179" t="str">
        <f>IFERROR(__xludf.DUMMYFUNCTION("""COMPUTED_VALUE"""),"[Bohne, 2019]")</f>
        <v>[Bohne, 2019]</v>
      </c>
      <c r="U383" s="179">
        <f>IFERROR(__xludf.DUMMYFUNCTION("""COMPUTED_VALUE"""),0.0)</f>
        <v>0</v>
      </c>
      <c r="V383" s="180">
        <f>IFERROR(__xludf.DUMMYFUNCTION("""COMPUTED_VALUE"""),0.0)</f>
        <v>0</v>
      </c>
      <c r="W383" s="180">
        <f>IFERROR(__xludf.DUMMYFUNCTION("""COMPUTED_VALUE"""),0.95)</f>
        <v>0.95</v>
      </c>
      <c r="X383" s="42">
        <f>IFERROR(__xludf.DUMMYFUNCTION("""COMPUTED_VALUE"""),0.0)</f>
        <v>0</v>
      </c>
      <c r="Y383" s="42">
        <f>IFERROR(__xludf.DUMMYFUNCTION("""COMPUTED_VALUE"""),0.0)</f>
        <v>0</v>
      </c>
      <c r="Z383" s="9">
        <f>IFERROR(__xludf.DUMMYFUNCTION("""COMPUTED_VALUE"""),0.0)</f>
        <v>0</v>
      </c>
      <c r="AA383" s="181">
        <f>IFERROR(__xludf.DUMMYFUNCTION("""COMPUTED_VALUE"""),0.0)</f>
        <v>0</v>
      </c>
      <c r="AB383" s="181">
        <f>IFERROR(__xludf.DUMMYFUNCTION("""COMPUTED_VALUE"""),0.0)</f>
        <v>0</v>
      </c>
      <c r="AC383" s="179">
        <f>IFERROR(__xludf.DUMMYFUNCTION("""COMPUTED_VALUE"""),0.0)</f>
        <v>0</v>
      </c>
      <c r="AD383" s="165">
        <f>IFERROR(__xludf.DUMMYFUNCTION("""COMPUTED_VALUE"""),0.0)</f>
        <v>0</v>
      </c>
      <c r="AE383" s="39" t="str">
        <f>IFERROR(__xludf.DUMMYFUNCTION("""COMPUTED_VALUE"""),"Hiroshi Yamakawa")</f>
        <v>Hiroshi Yamakawa</v>
      </c>
      <c r="AF383" s="39" t="str">
        <f>IFERROR(__xludf.DUMMYFUNCTION("""COMPUTED_VALUE"""),"HY20Cerebellum")</f>
        <v>HY20Cerebellum</v>
      </c>
      <c r="AG383" s="39"/>
      <c r="AH383" s="39"/>
      <c r="AI383" s="165"/>
      <c r="AJ383" s="165"/>
      <c r="AK383" s="111"/>
      <c r="AL383" s="111"/>
      <c r="AM383" s="111"/>
      <c r="AN383" s="111"/>
      <c r="AO383" s="111"/>
      <c r="AP383" s="111"/>
      <c r="AQ383" s="116"/>
      <c r="AR383" s="116"/>
      <c r="AS383" s="116"/>
    </row>
    <row r="384">
      <c r="A384" s="42" t="str">
        <f>IFERROR(__xludf.DUMMYFUNCTION("""COMPUTED_VALUE"""),"DT")</f>
        <v>DT</v>
      </c>
      <c r="B384" s="42"/>
      <c r="C384" s="42"/>
      <c r="D384" s="42" t="str">
        <f>IFERROR(__xludf.DUMMYFUNCTION("""COMPUTED_VALUE"""),"MD")</f>
        <v>MD</v>
      </c>
      <c r="E384" s="42"/>
      <c r="F384" s="42"/>
      <c r="G384" s="42"/>
      <c r="H384" s="42" t="str">
        <f>IFERROR(__xludf.DUMMYFUNCTION("""COMPUTED_VALUE"""),"")</f>
        <v/>
      </c>
      <c r="I384" s="42" t="str">
        <f>IFERROR(__xludf.DUMMYFUNCTION("""COMPUTED_VALUE"""),"Rogers, 2013")</f>
        <v>Rogers, 2013</v>
      </c>
      <c r="J384" s="42"/>
      <c r="K384" s="42"/>
      <c r="L384" s="42"/>
      <c r="M384" s="42"/>
      <c r="N384" s="38"/>
      <c r="O384" s="31" t="str">
        <f>IFERROR(__xludf.DUMMYFUNCTION("""COMPUTED_VALUE"""),"DOC")</f>
        <v>DOC</v>
      </c>
      <c r="P384" s="9" t="str">
        <f>IFERROR(__xludf.DUMMYFUNCTION("""COMPUTED_VALUE"""),"Frontiers in Systems Neuroscience")</f>
        <v>Frontiers in Systems Neuroscience</v>
      </c>
      <c r="Q384" s="9"/>
      <c r="R384" s="179" t="str">
        <f>IFERROR(__xludf.DUMMYFUNCTION("""COMPUTED_VALUE"""),"MD (00/00) [Rogers, 2013];
")</f>
        <v>MD (00/00) [Rogers, 2013];
</v>
      </c>
      <c r="S384" s="179" t="str">
        <f>IFERROR(__xludf.DUMMYFUNCTION("""COMPUTED_VALUE"""),"DTMD")</f>
        <v>DTMD</v>
      </c>
      <c r="T384" s="179" t="str">
        <f>IFERROR(__xludf.DUMMYFUNCTION("""COMPUTED_VALUE"""),"[Rogers, 2013]")</f>
        <v>[Rogers, 2013]</v>
      </c>
      <c r="U384" s="179">
        <f>IFERROR(__xludf.DUMMYFUNCTION("""COMPUTED_VALUE"""),0.0)</f>
        <v>0</v>
      </c>
      <c r="V384" s="180">
        <f>IFERROR(__xludf.DUMMYFUNCTION("""COMPUTED_VALUE"""),0.0)</f>
        <v>0</v>
      </c>
      <c r="W384" s="180">
        <f>IFERROR(__xludf.DUMMYFUNCTION("""COMPUTED_VALUE"""),0.95)</f>
        <v>0.95</v>
      </c>
      <c r="X384" s="42">
        <f>IFERROR(__xludf.DUMMYFUNCTION("""COMPUTED_VALUE"""),0.0)</f>
        <v>0</v>
      </c>
      <c r="Y384" s="42">
        <f>IFERROR(__xludf.DUMMYFUNCTION("""COMPUTED_VALUE"""),0.0)</f>
        <v>0</v>
      </c>
      <c r="Z384" s="9">
        <f>IFERROR(__xludf.DUMMYFUNCTION("""COMPUTED_VALUE"""),0.0)</f>
        <v>0</v>
      </c>
      <c r="AA384" s="181">
        <f>IFERROR(__xludf.DUMMYFUNCTION("""COMPUTED_VALUE"""),0.0)</f>
        <v>0</v>
      </c>
      <c r="AB384" s="181">
        <f>IFERROR(__xludf.DUMMYFUNCTION("""COMPUTED_VALUE"""),0.0)</f>
        <v>0</v>
      </c>
      <c r="AC384" s="179">
        <f>IFERROR(__xludf.DUMMYFUNCTION("""COMPUTED_VALUE"""),0.0)</f>
        <v>0</v>
      </c>
      <c r="AD384" s="165">
        <f>IFERROR(__xludf.DUMMYFUNCTION("""COMPUTED_VALUE"""),0.0)</f>
        <v>0</v>
      </c>
      <c r="AE384" s="39" t="str">
        <f>IFERROR(__xludf.DUMMYFUNCTION("""COMPUTED_VALUE"""),"Hiroshi Yamakawa")</f>
        <v>Hiroshi Yamakawa</v>
      </c>
      <c r="AF384" s="39" t="str">
        <f>IFERROR(__xludf.DUMMYFUNCTION("""COMPUTED_VALUE"""),"HY20Cerebellum")</f>
        <v>HY20Cerebellum</v>
      </c>
      <c r="AG384" s="39"/>
      <c r="AH384" s="39"/>
      <c r="AI384" s="165"/>
      <c r="AJ384" s="165"/>
      <c r="AK384" s="111"/>
      <c r="AL384" s="111"/>
      <c r="AM384" s="111"/>
      <c r="AN384" s="111"/>
      <c r="AO384" s="111"/>
      <c r="AP384" s="111"/>
      <c r="AQ384" s="116"/>
      <c r="AR384" s="116"/>
      <c r="AS384" s="116"/>
    </row>
    <row r="385">
      <c r="A385" s="42" t="str">
        <f>IFERROR(__xludf.DUMMYFUNCTION("""COMPUTED_VALUE"""),"DT")</f>
        <v>DT</v>
      </c>
      <c r="B385" s="42"/>
      <c r="C385" s="42"/>
      <c r="D385" s="42" t="str">
        <f>IFERROR(__xludf.DUMMYFUNCTION("""COMPUTED_VALUE"""),"VL")</f>
        <v>VL</v>
      </c>
      <c r="E385" s="42"/>
      <c r="F385" s="42"/>
      <c r="G385" s="42"/>
      <c r="H385" s="42" t="str">
        <f>IFERROR(__xludf.DUMMYFUNCTION("""COMPUTED_VALUE"""),"")</f>
        <v/>
      </c>
      <c r="I385" s="42" t="str">
        <f>IFERROR(__xludf.DUMMYFUNCTION("""COMPUTED_VALUE"""),"Rogers, 2013")</f>
        <v>Rogers, 2013</v>
      </c>
      <c r="J385" s="42"/>
      <c r="K385" s="42"/>
      <c r="L385" s="42"/>
      <c r="M385" s="42"/>
      <c r="N385" s="38"/>
      <c r="O385" s="31" t="str">
        <f>IFERROR(__xludf.DUMMYFUNCTION("""COMPUTED_VALUE"""),"DOC")</f>
        <v>DOC</v>
      </c>
      <c r="P385" s="9" t="str">
        <f>IFERROR(__xludf.DUMMYFUNCTION("""COMPUTED_VALUE"""),"Frontiers in Systems Neuroscience")</f>
        <v>Frontiers in Systems Neuroscience</v>
      </c>
      <c r="Q385" s="9"/>
      <c r="R385" s="179" t="str">
        <f>IFERROR(__xludf.DUMMYFUNCTION("""COMPUTED_VALUE"""),"VL (00/00) [Basile, 2021][Bohne, 2019][Rogers, 2013];
")</f>
        <v>VL (00/00) [Basile, 2021][Bohne, 2019][Rogers, 2013];
</v>
      </c>
      <c r="S385" s="179" t="str">
        <f>IFERROR(__xludf.DUMMYFUNCTION("""COMPUTED_VALUE"""),"DTVL")</f>
        <v>DTVL</v>
      </c>
      <c r="T385" s="179" t="str">
        <f>IFERROR(__xludf.DUMMYFUNCTION("""COMPUTED_VALUE"""),"[Rogers, 2013]")</f>
        <v>[Rogers, 2013]</v>
      </c>
      <c r="U385" s="179">
        <f>IFERROR(__xludf.DUMMYFUNCTION("""COMPUTED_VALUE"""),0.0)</f>
        <v>0</v>
      </c>
      <c r="V385" s="180">
        <f>IFERROR(__xludf.DUMMYFUNCTION("""COMPUTED_VALUE"""),0.0)</f>
        <v>0</v>
      </c>
      <c r="W385" s="180">
        <f>IFERROR(__xludf.DUMMYFUNCTION("""COMPUTED_VALUE"""),0.95)</f>
        <v>0.95</v>
      </c>
      <c r="X385" s="42">
        <f>IFERROR(__xludf.DUMMYFUNCTION("""COMPUTED_VALUE"""),0.0)</f>
        <v>0</v>
      </c>
      <c r="Y385" s="42">
        <f>IFERROR(__xludf.DUMMYFUNCTION("""COMPUTED_VALUE"""),0.0)</f>
        <v>0</v>
      </c>
      <c r="Z385" s="9">
        <f>IFERROR(__xludf.DUMMYFUNCTION("""COMPUTED_VALUE"""),0.0)</f>
        <v>0</v>
      </c>
      <c r="AA385" s="181">
        <f>IFERROR(__xludf.DUMMYFUNCTION("""COMPUTED_VALUE"""),0.0)</f>
        <v>0</v>
      </c>
      <c r="AB385" s="181">
        <f>IFERROR(__xludf.DUMMYFUNCTION("""COMPUTED_VALUE"""),0.0)</f>
        <v>0</v>
      </c>
      <c r="AC385" s="179">
        <f>IFERROR(__xludf.DUMMYFUNCTION("""COMPUTED_VALUE"""),0.0)</f>
        <v>0</v>
      </c>
      <c r="AD385" s="165">
        <f>IFERROR(__xludf.DUMMYFUNCTION("""COMPUTED_VALUE"""),0.0)</f>
        <v>0</v>
      </c>
      <c r="AE385" s="39" t="str">
        <f>IFERROR(__xludf.DUMMYFUNCTION("""COMPUTED_VALUE"""),"Hiroshi Yamakawa")</f>
        <v>Hiroshi Yamakawa</v>
      </c>
      <c r="AF385" s="39" t="str">
        <f>IFERROR(__xludf.DUMMYFUNCTION("""COMPUTED_VALUE"""),"HY20Cerebellum")</f>
        <v>HY20Cerebellum</v>
      </c>
      <c r="AG385" s="39"/>
      <c r="AH385" s="39"/>
      <c r="AI385" s="165"/>
      <c r="AJ385" s="165"/>
      <c r="AK385" s="111"/>
      <c r="AL385" s="111"/>
      <c r="AM385" s="111"/>
      <c r="AN385" s="111"/>
      <c r="AO385" s="111"/>
      <c r="AP385" s="111"/>
      <c r="AQ385" s="116"/>
      <c r="AR385" s="116"/>
      <c r="AS385" s="116"/>
    </row>
    <row r="386">
      <c r="A386" s="42" t="str">
        <f>IFERROR(__xludf.DUMMYFUNCTION("""COMPUTED_VALUE"""),"DT")</f>
        <v>DT</v>
      </c>
      <c r="B386" s="42"/>
      <c r="C386" s="42"/>
      <c r="D386" s="42" t="str">
        <f>IFERROR(__xludf.DUMMYFUNCTION("""COMPUTED_VALUE"""),"VTA")</f>
        <v>VTA</v>
      </c>
      <c r="E386" s="42"/>
      <c r="F386" s="42"/>
      <c r="G386" s="42"/>
      <c r="H386" s="42" t="str">
        <f>IFERROR(__xludf.DUMMYFUNCTION("""COMPUTED_VALUE"""),"")</f>
        <v/>
      </c>
      <c r="I386" s="42" t="str">
        <f>IFERROR(__xludf.DUMMYFUNCTION("""COMPUTED_VALUE"""),"Wagner, 2020")</f>
        <v>Wagner, 2020</v>
      </c>
      <c r="J386" s="42"/>
      <c r="K386" s="42"/>
      <c r="L386" s="42"/>
      <c r="M386" s="42"/>
      <c r="N386" s="38"/>
      <c r="O386" s="31" t="str">
        <f>IFERROR(__xludf.DUMMYFUNCTION("""COMPUTED_VALUE"""),"DOC")</f>
        <v>DOC</v>
      </c>
      <c r="P386" s="9" t="str">
        <f>IFERROR(__xludf.DUMMYFUNCTION("""COMPUTED_VALUE"""),"Trends in Neurosciences")</f>
        <v>Trends in Neurosciences</v>
      </c>
      <c r="Q386" s="9"/>
      <c r="R386" s="179" t="str">
        <f>IFERROR(__xludf.DUMMYFUNCTION("""COMPUTED_VALUE"""),"VTA (00/00) [Wagner, 2020];
")</f>
        <v>VTA (00/00) [Wagner, 2020];
</v>
      </c>
      <c r="S386" s="179" t="str">
        <f>IFERROR(__xludf.DUMMYFUNCTION("""COMPUTED_VALUE"""),"DTVTA")</f>
        <v>DTVTA</v>
      </c>
      <c r="T386" s="179" t="str">
        <f>IFERROR(__xludf.DUMMYFUNCTION("""COMPUTED_VALUE"""),"[Wagner, 2020]")</f>
        <v>[Wagner, 2020]</v>
      </c>
      <c r="U386" s="179">
        <f>IFERROR(__xludf.DUMMYFUNCTION("""COMPUTED_VALUE"""),0.0)</f>
        <v>0</v>
      </c>
      <c r="V386" s="180">
        <f>IFERROR(__xludf.DUMMYFUNCTION("""COMPUTED_VALUE"""),0.0)</f>
        <v>0</v>
      </c>
      <c r="W386" s="180">
        <f>IFERROR(__xludf.DUMMYFUNCTION("""COMPUTED_VALUE"""),0.95)</f>
        <v>0.95</v>
      </c>
      <c r="X386" s="42">
        <f>IFERROR(__xludf.DUMMYFUNCTION("""COMPUTED_VALUE"""),0.0)</f>
        <v>0</v>
      </c>
      <c r="Y386" s="42">
        <f>IFERROR(__xludf.DUMMYFUNCTION("""COMPUTED_VALUE"""),0.0)</f>
        <v>0</v>
      </c>
      <c r="Z386" s="9">
        <f>IFERROR(__xludf.DUMMYFUNCTION("""COMPUTED_VALUE"""),0.0)</f>
        <v>0</v>
      </c>
      <c r="AA386" s="181">
        <f>IFERROR(__xludf.DUMMYFUNCTION("""COMPUTED_VALUE"""),0.0)</f>
        <v>0</v>
      </c>
      <c r="AB386" s="181">
        <f>IFERROR(__xludf.DUMMYFUNCTION("""COMPUTED_VALUE"""),0.0)</f>
        <v>0</v>
      </c>
      <c r="AC386" s="179">
        <f>IFERROR(__xludf.DUMMYFUNCTION("""COMPUTED_VALUE"""),0.0)</f>
        <v>0</v>
      </c>
      <c r="AD386" s="165">
        <f>IFERROR(__xludf.DUMMYFUNCTION("""COMPUTED_VALUE"""),0.0)</f>
        <v>0</v>
      </c>
      <c r="AE386" s="39" t="str">
        <f>IFERROR(__xludf.DUMMYFUNCTION("""COMPUTED_VALUE"""),"Hiroshi Yamakawa")</f>
        <v>Hiroshi Yamakawa</v>
      </c>
      <c r="AF386" s="39" t="str">
        <f>IFERROR(__xludf.DUMMYFUNCTION("""COMPUTED_VALUE"""),"HY20Cerebellum")</f>
        <v>HY20Cerebellum</v>
      </c>
      <c r="AG386" s="39"/>
      <c r="AH386" s="39"/>
      <c r="AI386" s="165"/>
      <c r="AJ386" s="165"/>
      <c r="AK386" s="111"/>
      <c r="AL386" s="111"/>
      <c r="AM386" s="111"/>
      <c r="AN386" s="111"/>
      <c r="AO386" s="111"/>
      <c r="AP386" s="111"/>
      <c r="AQ386" s="116"/>
      <c r="AR386" s="116"/>
      <c r="AS386" s="116"/>
    </row>
    <row r="387">
      <c r="A387" s="42" t="str">
        <f>IFERROR(__xludf.DUMMYFUNCTION("""COMPUTED_VALUE"""),"DT")</f>
        <v>DT</v>
      </c>
      <c r="B387" s="42"/>
      <c r="C387" s="42"/>
      <c r="D387" s="42" t="str">
        <f>IFERROR(__xludf.DUMMYFUNCTION("""COMPUTED_VALUE"""),"RNpc")</f>
        <v>RNpc</v>
      </c>
      <c r="E387" s="42"/>
      <c r="F387" s="42"/>
      <c r="G387" s="42"/>
      <c r="H387" s="42" t="str">
        <f>IFERROR(__xludf.DUMMYFUNCTION("""COMPUTED_VALUE"""),"")</f>
        <v/>
      </c>
      <c r="I387" s="42" t="str">
        <f>IFERROR(__xludf.DUMMYFUNCTION("""COMPUTED_VALUE"""),"Zhang, 2019")</f>
        <v>Zhang, 2019</v>
      </c>
      <c r="J387" s="42"/>
      <c r="K387" s="42"/>
      <c r="L387" s="42"/>
      <c r="M387" s="42"/>
      <c r="N387" s="38"/>
      <c r="O387" s="31" t="str">
        <f>IFERROR(__xludf.DUMMYFUNCTION("""COMPUTED_VALUE"""),"DOC")</f>
        <v>DOC</v>
      </c>
      <c r="P387" s="9" t="str">
        <f>IFERROR(__xludf.DUMMYFUNCTION("""COMPUTED_VALUE"""),"Proceedings of the National Academy of Sciences")</f>
        <v>Proceedings of the National Academy of Sciences</v>
      </c>
      <c r="Q387" s="9"/>
      <c r="R387" s="179" t="str">
        <f>IFERROR(__xludf.DUMMYFUNCTION("""COMPUTED_VALUE"""),"RNpc (00/00) [Basile, 2021][Zhang, 2019];
")</f>
        <v>RNpc (00/00) [Basile, 2021][Zhang, 2019];
</v>
      </c>
      <c r="S387" s="179" t="str">
        <f>IFERROR(__xludf.DUMMYFUNCTION("""COMPUTED_VALUE"""),"DTRNpc")</f>
        <v>DTRNpc</v>
      </c>
      <c r="T387" s="179" t="str">
        <f>IFERROR(__xludf.DUMMYFUNCTION("""COMPUTED_VALUE"""),"[Zhang, 2019]")</f>
        <v>[Zhang, 2019]</v>
      </c>
      <c r="U387" s="179">
        <f>IFERROR(__xludf.DUMMYFUNCTION("""COMPUTED_VALUE"""),0.0)</f>
        <v>0</v>
      </c>
      <c r="V387" s="180">
        <f>IFERROR(__xludf.DUMMYFUNCTION("""COMPUTED_VALUE"""),0.0)</f>
        <v>0</v>
      </c>
      <c r="W387" s="180">
        <f>IFERROR(__xludf.DUMMYFUNCTION("""COMPUTED_VALUE"""),0.95)</f>
        <v>0.95</v>
      </c>
      <c r="X387" s="42">
        <f>IFERROR(__xludf.DUMMYFUNCTION("""COMPUTED_VALUE"""),0.0)</f>
        <v>0</v>
      </c>
      <c r="Y387" s="42">
        <f>IFERROR(__xludf.DUMMYFUNCTION("""COMPUTED_VALUE"""),0.0)</f>
        <v>0</v>
      </c>
      <c r="Z387" s="9">
        <f>IFERROR(__xludf.DUMMYFUNCTION("""COMPUTED_VALUE"""),0.0)</f>
        <v>0</v>
      </c>
      <c r="AA387" s="181">
        <f>IFERROR(__xludf.DUMMYFUNCTION("""COMPUTED_VALUE"""),0.0)</f>
        <v>0</v>
      </c>
      <c r="AB387" s="181">
        <f>IFERROR(__xludf.DUMMYFUNCTION("""COMPUTED_VALUE"""),0.0)</f>
        <v>0</v>
      </c>
      <c r="AC387" s="179">
        <f>IFERROR(__xludf.DUMMYFUNCTION("""COMPUTED_VALUE"""),0.0)</f>
        <v>0</v>
      </c>
      <c r="AD387" s="165">
        <f>IFERROR(__xludf.DUMMYFUNCTION("""COMPUTED_VALUE"""),0.0)</f>
        <v>0</v>
      </c>
      <c r="AE387" s="39" t="str">
        <f>IFERROR(__xludf.DUMMYFUNCTION("""COMPUTED_VALUE"""),"Hiroshi Yamakawa")</f>
        <v>Hiroshi Yamakawa</v>
      </c>
      <c r="AF387" s="39" t="str">
        <f>IFERROR(__xludf.DUMMYFUNCTION("""COMPUTED_VALUE"""),"HY20Cerebellum")</f>
        <v>HY20Cerebellum</v>
      </c>
      <c r="AG387" s="39"/>
      <c r="AH387" s="39"/>
      <c r="AI387" s="165"/>
      <c r="AJ387" s="165"/>
      <c r="AK387" s="111"/>
      <c r="AL387" s="111"/>
      <c r="AM387" s="111"/>
      <c r="AN387" s="111"/>
      <c r="AO387" s="111"/>
      <c r="AP387" s="111"/>
      <c r="AQ387" s="116"/>
      <c r="AR387" s="116"/>
      <c r="AS387" s="116"/>
    </row>
    <row r="388">
      <c r="A388" s="42" t="str">
        <f>IFERROR(__xludf.DUMMYFUNCTION("""COMPUTED_VALUE"""),"DTNO")</f>
        <v>DTNO</v>
      </c>
      <c r="B388" s="42"/>
      <c r="C388" s="42"/>
      <c r="D388" s="42" t="str">
        <f>IFERROR(__xludf.DUMMYFUNCTION("""COMPUTED_VALUE"""),"IODT")</f>
        <v>IODT</v>
      </c>
      <c r="E388" s="42"/>
      <c r="F388" s="42"/>
      <c r="G388" s="42"/>
      <c r="H388" s="42" t="str">
        <f>IFERROR(__xludf.DUMMYFUNCTION("""COMPUTED_VALUE"""),"")</f>
        <v/>
      </c>
      <c r="I388" s="42" t="str">
        <f>IFERROR(__xludf.DUMMYFUNCTION("""COMPUTED_VALUE"""),"Apps, 2018")</f>
        <v>Apps, 2018</v>
      </c>
      <c r="J388" s="42"/>
      <c r="K388" s="42"/>
      <c r="L388" s="42"/>
      <c r="M388" s="42"/>
      <c r="N388" s="42"/>
      <c r="O388" s="31" t="str">
        <f>IFERROR(__xludf.DUMMYFUNCTION("""COMPUTED_VALUE"""),"DOC")</f>
        <v>DOC</v>
      </c>
      <c r="P388" s="9" t="str">
        <f>IFERROR(__xludf.DUMMYFUNCTION("""COMPUTED_VALUE"""),"The Cerebellum")</f>
        <v>The Cerebellum</v>
      </c>
      <c r="Q388" s="9"/>
      <c r="R388" s="179" t="str">
        <f>IFERROR(__xludf.DUMMYFUNCTION("""COMPUTED_VALUE"""),"IODT (00/00) [Apps, 2018][Zhang, 2019];
")</f>
        <v>IODT (00/00) [Apps, 2018][Zhang, 2019];
</v>
      </c>
      <c r="S388" s="179" t="str">
        <f>IFERROR(__xludf.DUMMYFUNCTION("""COMPUTED_VALUE"""),"DTNOIODT")</f>
        <v>DTNOIODT</v>
      </c>
      <c r="T388" s="179" t="str">
        <f>IFERROR(__xludf.DUMMYFUNCTION("""COMPUTED_VALUE"""),"[Apps, 2018]")</f>
        <v>[Apps, 2018]</v>
      </c>
      <c r="U388" s="179">
        <f>IFERROR(__xludf.DUMMYFUNCTION("""COMPUTED_VALUE"""),0.0)</f>
        <v>0</v>
      </c>
      <c r="V388" s="180">
        <f>IFERROR(__xludf.DUMMYFUNCTION("""COMPUTED_VALUE"""),0.0)</f>
        <v>0</v>
      </c>
      <c r="W388" s="180">
        <f>IFERROR(__xludf.DUMMYFUNCTION("""COMPUTED_VALUE"""),0.95)</f>
        <v>0.95</v>
      </c>
      <c r="X388" s="42">
        <f>IFERROR(__xludf.DUMMYFUNCTION("""COMPUTED_VALUE"""),0.0)</f>
        <v>0</v>
      </c>
      <c r="Y388" s="42">
        <f>IFERROR(__xludf.DUMMYFUNCTION("""COMPUTED_VALUE"""),0.0)</f>
        <v>0</v>
      </c>
      <c r="Z388" s="9">
        <f>IFERROR(__xludf.DUMMYFUNCTION("""COMPUTED_VALUE"""),0.0)</f>
        <v>0</v>
      </c>
      <c r="AA388" s="181">
        <f>IFERROR(__xludf.DUMMYFUNCTION("""COMPUTED_VALUE"""),0.0)</f>
        <v>0</v>
      </c>
      <c r="AB388" s="181">
        <f>IFERROR(__xludf.DUMMYFUNCTION("""COMPUTED_VALUE"""),0.0)</f>
        <v>0</v>
      </c>
      <c r="AC388" s="179">
        <f>IFERROR(__xludf.DUMMYFUNCTION("""COMPUTED_VALUE"""),0.0)</f>
        <v>0</v>
      </c>
      <c r="AD388" s="165">
        <f>IFERROR(__xludf.DUMMYFUNCTION("""COMPUTED_VALUE"""),0.0)</f>
        <v>0</v>
      </c>
      <c r="AE388" s="39" t="str">
        <f>IFERROR(__xludf.DUMMYFUNCTION("""COMPUTED_VALUE"""),"Hiroshi Yamakawa")</f>
        <v>Hiroshi Yamakawa</v>
      </c>
      <c r="AF388" s="39" t="str">
        <f>IFERROR(__xludf.DUMMYFUNCTION("""COMPUTED_VALUE"""),"HY20Cerebellum")</f>
        <v>HY20Cerebellum</v>
      </c>
      <c r="AG388" s="39"/>
      <c r="AH388" s="39"/>
      <c r="AI388" s="165"/>
      <c r="AJ388" s="165"/>
      <c r="AK388" s="111"/>
      <c r="AL388" s="111"/>
      <c r="AM388" s="111"/>
      <c r="AN388" s="111"/>
      <c r="AO388" s="111"/>
      <c r="AP388" s="111"/>
      <c r="AQ388" s="116"/>
      <c r="AR388" s="116"/>
      <c r="AS388" s="116"/>
    </row>
    <row r="389">
      <c r="A389" s="42" t="str">
        <f>IFERROR(__xludf.DUMMYFUNCTION("""COMPUTED_VALUE"""),"DTNO")</f>
        <v>DTNO</v>
      </c>
      <c r="B389" s="42"/>
      <c r="C389" s="42"/>
      <c r="D389" s="42" t="str">
        <f>IFERROR(__xludf.DUMMYFUNCTION("""COMPUTED_VALUE"""),"IODT")</f>
        <v>IODT</v>
      </c>
      <c r="E389" s="42"/>
      <c r="F389" s="42"/>
      <c r="G389" s="42"/>
      <c r="H389" s="42" t="str">
        <f>IFERROR(__xludf.DUMMYFUNCTION("""COMPUTED_VALUE"""),"")</f>
        <v/>
      </c>
      <c r="I389" s="42" t="str">
        <f>IFERROR(__xludf.DUMMYFUNCTION("""COMPUTED_VALUE"""),"Zhang, 2019")</f>
        <v>Zhang, 2019</v>
      </c>
      <c r="J389" s="42"/>
      <c r="K389" s="42"/>
      <c r="L389" s="42"/>
      <c r="M389" s="42"/>
      <c r="N389" s="42"/>
      <c r="O389" s="31" t="str">
        <f>IFERROR(__xludf.DUMMYFUNCTION("""COMPUTED_VALUE"""),"DOC")</f>
        <v>DOC</v>
      </c>
      <c r="P389" s="9" t="str">
        <f>IFERROR(__xludf.DUMMYFUNCTION("""COMPUTED_VALUE"""),"Proceedings of the National Academy of Sciences")</f>
        <v>Proceedings of the National Academy of Sciences</v>
      </c>
      <c r="Q389" s="9"/>
      <c r="R389" s="179" t="str">
        <f>IFERROR(__xludf.DUMMYFUNCTION("""COMPUTED_VALUE"""),"IODT (00/00) [Apps, 2018][Zhang, 2019];
")</f>
        <v>IODT (00/00) [Apps, 2018][Zhang, 2019];
</v>
      </c>
      <c r="S389" s="179" t="str">
        <f>IFERROR(__xludf.DUMMYFUNCTION("""COMPUTED_VALUE"""),"DTNOIODT")</f>
        <v>DTNOIODT</v>
      </c>
      <c r="T389" s="179" t="str">
        <f>IFERROR(__xludf.DUMMYFUNCTION("""COMPUTED_VALUE"""),"[Zhang, 2019]")</f>
        <v>[Zhang, 2019]</v>
      </c>
      <c r="U389" s="179">
        <f>IFERROR(__xludf.DUMMYFUNCTION("""COMPUTED_VALUE"""),0.0)</f>
        <v>0</v>
      </c>
      <c r="V389" s="180">
        <f>IFERROR(__xludf.DUMMYFUNCTION("""COMPUTED_VALUE"""),0.0)</f>
        <v>0</v>
      </c>
      <c r="W389" s="180">
        <f>IFERROR(__xludf.DUMMYFUNCTION("""COMPUTED_VALUE"""),0.95)</f>
        <v>0.95</v>
      </c>
      <c r="X389" s="42">
        <f>IFERROR(__xludf.DUMMYFUNCTION("""COMPUTED_VALUE"""),0.0)</f>
        <v>0</v>
      </c>
      <c r="Y389" s="42">
        <f>IFERROR(__xludf.DUMMYFUNCTION("""COMPUTED_VALUE"""),0.0)</f>
        <v>0</v>
      </c>
      <c r="Z389" s="9">
        <f>IFERROR(__xludf.DUMMYFUNCTION("""COMPUTED_VALUE"""),0.0)</f>
        <v>0</v>
      </c>
      <c r="AA389" s="181">
        <f>IFERROR(__xludf.DUMMYFUNCTION("""COMPUTED_VALUE"""),0.0)</f>
        <v>0</v>
      </c>
      <c r="AB389" s="181">
        <f>IFERROR(__xludf.DUMMYFUNCTION("""COMPUTED_VALUE"""),0.0)</f>
        <v>0</v>
      </c>
      <c r="AC389" s="179">
        <f>IFERROR(__xludf.DUMMYFUNCTION("""COMPUTED_VALUE"""),0.0)</f>
        <v>0</v>
      </c>
      <c r="AD389" s="165">
        <f>IFERROR(__xludf.DUMMYFUNCTION("""COMPUTED_VALUE"""),0.0)</f>
        <v>0</v>
      </c>
      <c r="AE389" s="39" t="str">
        <f>IFERROR(__xludf.DUMMYFUNCTION("""COMPUTED_VALUE"""),"Hiroshi Yamakawa")</f>
        <v>Hiroshi Yamakawa</v>
      </c>
      <c r="AF389" s="39" t="str">
        <f>IFERROR(__xludf.DUMMYFUNCTION("""COMPUTED_VALUE"""),"HY20Cerebellum")</f>
        <v>HY20Cerebellum</v>
      </c>
      <c r="AG389" s="39"/>
      <c r="AH389" s="39"/>
      <c r="AI389" s="165"/>
      <c r="AJ389" s="165"/>
      <c r="AK389" s="111"/>
      <c r="AL389" s="111"/>
      <c r="AM389" s="111"/>
      <c r="AN389" s="111"/>
      <c r="AO389" s="111"/>
      <c r="AP389" s="111"/>
      <c r="AQ389" s="116"/>
      <c r="AR389" s="116"/>
      <c r="AS389" s="116"/>
    </row>
    <row r="390">
      <c r="A390" s="42" t="str">
        <f>IFERROR(__xludf.DUMMYFUNCTION("""COMPUTED_VALUE"""),"EC")</f>
        <v>EC</v>
      </c>
      <c r="B390" s="42"/>
      <c r="C390" s="42"/>
      <c r="D390" s="42" t="str">
        <f>IFERROR(__xludf.DUMMYFUNCTION("""COMPUTED_VALUE"""),"BL")</f>
        <v>BL</v>
      </c>
      <c r="E390" s="42"/>
      <c r="F390" s="42"/>
      <c r="G390" s="42"/>
      <c r="H390" s="42" t="str">
        <f>IFERROR(__xludf.DUMMYFUNCTION("""COMPUTED_VALUE"""),"")</f>
        <v/>
      </c>
      <c r="I390" s="42" t="str">
        <f>IFERROR(__xludf.DUMMYFUNCTION("""COMPUTED_VALUE"""),"Pitkänen, 2000")</f>
        <v>Pitkänen, 2000</v>
      </c>
      <c r="J390" s="42" t="str">
        <f>IFERROR(__xludf.DUMMYFUNCTION("""COMPUTED_VALUE"""),"Rat")</f>
        <v>Rat</v>
      </c>
      <c r="K390" s="42" t="str">
        <f>IFERROR(__xludf.DUMMYFUNCTION("""COMPUTED_VALUE"""),"Various tracing")</f>
        <v>Various tracing</v>
      </c>
      <c r="L390" s="42"/>
      <c r="M390" s="42" t="str">
        <f>IFERROR(__xludf.DUMMYFUNCTION("""COMPUTED_VALUE"""),"fig.3-fig.12 (to be specified)")</f>
        <v>fig.3-fig.12 (to be specified)</v>
      </c>
      <c r="N390" s="42"/>
      <c r="O390" s="31" t="str">
        <f>IFERROR(__xludf.DUMMYFUNCTION("""COMPUTED_VALUE"""),"DOC(alt)")</f>
        <v>DOC(alt)</v>
      </c>
      <c r="P390" s="9" t="str">
        <f>IFERROR(__xludf.DUMMYFUNCTION("""COMPUTED_VALUE"""),"Folia morphologica")</f>
        <v>Folia morphologica</v>
      </c>
      <c r="Q390" s="9" t="str">
        <f>IFERROR(__xludf.DUMMYFUNCTION("""COMPUTED_VALUE"""),"Review")</f>
        <v>Review</v>
      </c>
      <c r="R390" s="179" t="str">
        <f>IFERROR(__xludf.DUMMYFUNCTION("""COMPUTED_VALUE"""),"BL (00/00) [Pitkänen, 2000];
")</f>
        <v>BL (00/00) [Pitkänen, 2000];
</v>
      </c>
      <c r="S390" s="179" t="str">
        <f>IFERROR(__xludf.DUMMYFUNCTION("""COMPUTED_VALUE"""),"ECBL")</f>
        <v>ECBL</v>
      </c>
      <c r="T390" s="179" t="str">
        <f>IFERROR(__xludf.DUMMYFUNCTION("""COMPUTED_VALUE"""),"[Pitkänen, 2000]")</f>
        <v>[Pitkänen, 2000]</v>
      </c>
      <c r="U390" s="179">
        <f>IFERROR(__xludf.DUMMYFUNCTION("""COMPUTED_VALUE"""),0.0)</f>
        <v>0</v>
      </c>
      <c r="V390" s="180">
        <f>IFERROR(__xludf.DUMMYFUNCTION("""COMPUTED_VALUE"""),0.0)</f>
        <v>0</v>
      </c>
      <c r="W390" s="180">
        <f>IFERROR(__xludf.DUMMYFUNCTION("""COMPUTED_VALUE"""),0.95)</f>
        <v>0.95</v>
      </c>
      <c r="X390" s="42">
        <f>IFERROR(__xludf.DUMMYFUNCTION("""COMPUTED_VALUE"""),0.8)</f>
        <v>0.8</v>
      </c>
      <c r="Y390" s="42">
        <f>IFERROR(__xludf.DUMMYFUNCTION("""COMPUTED_VALUE"""),0.6)</f>
        <v>0.6</v>
      </c>
      <c r="Z390" s="9">
        <f>IFERROR(__xludf.DUMMYFUNCTION("""COMPUTED_VALUE"""),0.9)</f>
        <v>0.9</v>
      </c>
      <c r="AA390" s="181">
        <f>IFERROR(__xludf.DUMMYFUNCTION("""COMPUTED_VALUE"""),0.0)</f>
        <v>0</v>
      </c>
      <c r="AB390" s="181">
        <f>IFERROR(__xludf.DUMMYFUNCTION("""COMPUTED_VALUE"""),0.0)</f>
        <v>0</v>
      </c>
      <c r="AC390" s="179">
        <f>IFERROR(__xludf.DUMMYFUNCTION("""COMPUTED_VALUE"""),0.0)</f>
        <v>0</v>
      </c>
      <c r="AD390" s="165">
        <f>IFERROR(__xludf.DUMMYFUNCTION("""COMPUTED_VALUE"""),0.0)</f>
        <v>0</v>
      </c>
      <c r="AE390" s="39" t="str">
        <f>IFERROR(__xludf.DUMMYFUNCTION("""COMPUTED_VALUE"""),"Tatsuya Miyamoto")</f>
        <v>Tatsuya Miyamoto</v>
      </c>
      <c r="AF390" s="39" t="str">
        <f>IFERROR(__xludf.DUMMYFUNCTION("""COMPUTED_VALUE"""),"TM21Amygdala")</f>
        <v>TM21Amygdala</v>
      </c>
      <c r="AG390" s="39"/>
      <c r="AH390" s="39"/>
      <c r="AI390" s="165"/>
      <c r="AJ390" s="165"/>
      <c r="AK390" s="111"/>
      <c r="AL390" s="111"/>
      <c r="AM390" s="111"/>
      <c r="AN390" s="111"/>
      <c r="AO390" s="111"/>
      <c r="AP390" s="111"/>
      <c r="AQ390" s="116"/>
      <c r="AR390" s="116"/>
      <c r="AS390" s="116"/>
    </row>
    <row r="391">
      <c r="A391" s="42" t="str">
        <f>IFERROR(__xludf.DUMMYFUNCTION("""COMPUTED_VALUE"""),"EC")</f>
        <v>EC</v>
      </c>
      <c r="B391" s="42"/>
      <c r="C391" s="42"/>
      <c r="D391" s="42" t="str">
        <f>IFERROR(__xludf.DUMMYFUNCTION("""COMPUTED_VALUE"""),"BM")</f>
        <v>BM</v>
      </c>
      <c r="E391" s="42"/>
      <c r="F391" s="42"/>
      <c r="G391" s="42"/>
      <c r="H391" s="42" t="str">
        <f>IFERROR(__xludf.DUMMYFUNCTION("""COMPUTED_VALUE"""),"")</f>
        <v/>
      </c>
      <c r="I391" s="42" t="str">
        <f>IFERROR(__xludf.DUMMYFUNCTION("""COMPUTED_VALUE"""),"Pitkänen, 2000")</f>
        <v>Pitkänen, 2000</v>
      </c>
      <c r="J391" s="42" t="str">
        <f>IFERROR(__xludf.DUMMYFUNCTION("""COMPUTED_VALUE"""),"Rat")</f>
        <v>Rat</v>
      </c>
      <c r="K391" s="42" t="str">
        <f>IFERROR(__xludf.DUMMYFUNCTION("""COMPUTED_VALUE"""),"Various tracing")</f>
        <v>Various tracing</v>
      </c>
      <c r="L391" s="42"/>
      <c r="M391" s="42" t="str">
        <f>IFERROR(__xludf.DUMMYFUNCTION("""COMPUTED_VALUE"""),"fig.3-fig.12 (to be specified)")</f>
        <v>fig.3-fig.12 (to be specified)</v>
      </c>
      <c r="N391" s="42"/>
      <c r="O391" s="31" t="str">
        <f>IFERROR(__xludf.DUMMYFUNCTION("""COMPUTED_VALUE"""),"DOC(alt)")</f>
        <v>DOC(alt)</v>
      </c>
      <c r="P391" s="9" t="str">
        <f>IFERROR(__xludf.DUMMYFUNCTION("""COMPUTED_VALUE"""),"Folia morphologica")</f>
        <v>Folia morphologica</v>
      </c>
      <c r="Q391" s="9" t="str">
        <f>IFERROR(__xludf.DUMMYFUNCTION("""COMPUTED_VALUE"""),"Review")</f>
        <v>Review</v>
      </c>
      <c r="R391" s="179" t="str">
        <f>IFERROR(__xludf.DUMMYFUNCTION("""COMPUTED_VALUE"""),"BM (00/00) [Pitkänen, 2000];
")</f>
        <v>BM (00/00) [Pitkänen, 2000];
</v>
      </c>
      <c r="S391" s="179" t="str">
        <f>IFERROR(__xludf.DUMMYFUNCTION("""COMPUTED_VALUE"""),"ECBM")</f>
        <v>ECBM</v>
      </c>
      <c r="T391" s="179" t="str">
        <f>IFERROR(__xludf.DUMMYFUNCTION("""COMPUTED_VALUE"""),"[Pitkänen, 2000]")</f>
        <v>[Pitkänen, 2000]</v>
      </c>
      <c r="U391" s="179">
        <f>IFERROR(__xludf.DUMMYFUNCTION("""COMPUTED_VALUE"""),0.0)</f>
        <v>0</v>
      </c>
      <c r="V391" s="180">
        <f>IFERROR(__xludf.DUMMYFUNCTION("""COMPUTED_VALUE"""),0.0)</f>
        <v>0</v>
      </c>
      <c r="W391" s="180">
        <f>IFERROR(__xludf.DUMMYFUNCTION("""COMPUTED_VALUE"""),0.95)</f>
        <v>0.95</v>
      </c>
      <c r="X391" s="42">
        <f>IFERROR(__xludf.DUMMYFUNCTION("""COMPUTED_VALUE"""),0.8)</f>
        <v>0.8</v>
      </c>
      <c r="Y391" s="42">
        <f>IFERROR(__xludf.DUMMYFUNCTION("""COMPUTED_VALUE"""),0.6)</f>
        <v>0.6</v>
      </c>
      <c r="Z391" s="9">
        <f>IFERROR(__xludf.DUMMYFUNCTION("""COMPUTED_VALUE"""),0.9)</f>
        <v>0.9</v>
      </c>
      <c r="AA391" s="181">
        <f>IFERROR(__xludf.DUMMYFUNCTION("""COMPUTED_VALUE"""),0.0)</f>
        <v>0</v>
      </c>
      <c r="AB391" s="181">
        <f>IFERROR(__xludf.DUMMYFUNCTION("""COMPUTED_VALUE"""),0.0)</f>
        <v>0</v>
      </c>
      <c r="AC391" s="179">
        <f>IFERROR(__xludf.DUMMYFUNCTION("""COMPUTED_VALUE"""),0.0)</f>
        <v>0</v>
      </c>
      <c r="AD391" s="165">
        <f>IFERROR(__xludf.DUMMYFUNCTION("""COMPUTED_VALUE"""),0.0)</f>
        <v>0</v>
      </c>
      <c r="AE391" s="39" t="str">
        <f>IFERROR(__xludf.DUMMYFUNCTION("""COMPUTED_VALUE"""),"Tatsuya Miyamoto")</f>
        <v>Tatsuya Miyamoto</v>
      </c>
      <c r="AF391" s="39" t="str">
        <f>IFERROR(__xludf.DUMMYFUNCTION("""COMPUTED_VALUE"""),"TM21Amygdala")</f>
        <v>TM21Amygdala</v>
      </c>
      <c r="AG391" s="39"/>
      <c r="AH391" s="39"/>
      <c r="AI391" s="165"/>
      <c r="AJ391" s="165"/>
      <c r="AK391" s="111"/>
      <c r="AL391" s="111"/>
      <c r="AM391" s="111"/>
      <c r="AN391" s="111"/>
      <c r="AO391" s="111"/>
      <c r="AP391" s="111"/>
      <c r="AQ391" s="116"/>
      <c r="AR391" s="116"/>
      <c r="AS391" s="116"/>
    </row>
    <row r="392">
      <c r="A392" s="42" t="str">
        <f>IFERROR(__xludf.DUMMYFUNCTION("""COMPUTED_VALUE"""),"EC")</f>
        <v>EC</v>
      </c>
      <c r="B392" s="42"/>
      <c r="C392" s="42"/>
      <c r="D392" s="42" t="str">
        <f>IFERROR(__xludf.DUMMYFUNCTION("""COMPUTED_VALUE"""),"CoP")</f>
        <v>CoP</v>
      </c>
      <c r="E392" s="42"/>
      <c r="F392" s="42"/>
      <c r="G392" s="42"/>
      <c r="H392" s="42" t="str">
        <f>IFERROR(__xludf.DUMMYFUNCTION("""COMPUTED_VALUE"""),"")</f>
        <v/>
      </c>
      <c r="I392" s="42" t="str">
        <f>IFERROR(__xludf.DUMMYFUNCTION("""COMPUTED_VALUE"""),"Pitkänen, 2000")</f>
        <v>Pitkänen, 2000</v>
      </c>
      <c r="J392" s="42" t="str">
        <f>IFERROR(__xludf.DUMMYFUNCTION("""COMPUTED_VALUE"""),"Rat")</f>
        <v>Rat</v>
      </c>
      <c r="K392" s="42" t="str">
        <f>IFERROR(__xludf.DUMMYFUNCTION("""COMPUTED_VALUE"""),"Various tracing")</f>
        <v>Various tracing</v>
      </c>
      <c r="L392" s="42"/>
      <c r="M392" s="42" t="str">
        <f>IFERROR(__xludf.DUMMYFUNCTION("""COMPUTED_VALUE"""),"fig.3-fig.12 (to be specified)")</f>
        <v>fig.3-fig.12 (to be specified)</v>
      </c>
      <c r="N392" s="42"/>
      <c r="O392" s="31" t="str">
        <f>IFERROR(__xludf.DUMMYFUNCTION("""COMPUTED_VALUE"""),"DOC(alt)")</f>
        <v>DOC(alt)</v>
      </c>
      <c r="P392" s="9" t="str">
        <f>IFERROR(__xludf.DUMMYFUNCTION("""COMPUTED_VALUE"""),"Folia morphologica")</f>
        <v>Folia morphologica</v>
      </c>
      <c r="Q392" s="9" t="str">
        <f>IFERROR(__xludf.DUMMYFUNCTION("""COMPUTED_VALUE"""),"Review")</f>
        <v>Review</v>
      </c>
      <c r="R392" s="179" t="str">
        <f>IFERROR(__xludf.DUMMYFUNCTION("""COMPUTED_VALUE"""),"CoP (00/00) [Pitkänen, 2000];
")</f>
        <v>CoP (00/00) [Pitkänen, 2000];
</v>
      </c>
      <c r="S392" s="179" t="str">
        <f>IFERROR(__xludf.DUMMYFUNCTION("""COMPUTED_VALUE"""),"ECCoP")</f>
        <v>ECCoP</v>
      </c>
      <c r="T392" s="179" t="str">
        <f>IFERROR(__xludf.DUMMYFUNCTION("""COMPUTED_VALUE"""),"[Pitkänen, 2000]")</f>
        <v>[Pitkänen, 2000]</v>
      </c>
      <c r="U392" s="179">
        <f>IFERROR(__xludf.DUMMYFUNCTION("""COMPUTED_VALUE"""),0.0)</f>
        <v>0</v>
      </c>
      <c r="V392" s="180">
        <f>IFERROR(__xludf.DUMMYFUNCTION("""COMPUTED_VALUE"""),0.0)</f>
        <v>0</v>
      </c>
      <c r="W392" s="180">
        <f>IFERROR(__xludf.DUMMYFUNCTION("""COMPUTED_VALUE"""),0.95)</f>
        <v>0.95</v>
      </c>
      <c r="X392" s="42">
        <f>IFERROR(__xludf.DUMMYFUNCTION("""COMPUTED_VALUE"""),0.8)</f>
        <v>0.8</v>
      </c>
      <c r="Y392" s="42">
        <f>IFERROR(__xludf.DUMMYFUNCTION("""COMPUTED_VALUE"""),0.6)</f>
        <v>0.6</v>
      </c>
      <c r="Z392" s="9">
        <f>IFERROR(__xludf.DUMMYFUNCTION("""COMPUTED_VALUE"""),0.9)</f>
        <v>0.9</v>
      </c>
      <c r="AA392" s="181">
        <f>IFERROR(__xludf.DUMMYFUNCTION("""COMPUTED_VALUE"""),0.0)</f>
        <v>0</v>
      </c>
      <c r="AB392" s="181">
        <f>IFERROR(__xludf.DUMMYFUNCTION("""COMPUTED_VALUE"""),0.0)</f>
        <v>0</v>
      </c>
      <c r="AC392" s="179">
        <f>IFERROR(__xludf.DUMMYFUNCTION("""COMPUTED_VALUE"""),0.0)</f>
        <v>0</v>
      </c>
      <c r="AD392" s="165">
        <f>IFERROR(__xludf.DUMMYFUNCTION("""COMPUTED_VALUE"""),0.0)</f>
        <v>0</v>
      </c>
      <c r="AE392" s="39" t="str">
        <f>IFERROR(__xludf.DUMMYFUNCTION("""COMPUTED_VALUE"""),"Tatsuya Miyamoto")</f>
        <v>Tatsuya Miyamoto</v>
      </c>
      <c r="AF392" s="39" t="str">
        <f>IFERROR(__xludf.DUMMYFUNCTION("""COMPUTED_VALUE"""),"TM21Amygdala")</f>
        <v>TM21Amygdala</v>
      </c>
      <c r="AG392" s="39"/>
      <c r="AH392" s="39"/>
      <c r="AI392" s="165"/>
      <c r="AJ392" s="165"/>
      <c r="AK392" s="111"/>
      <c r="AL392" s="111"/>
      <c r="AM392" s="111"/>
      <c r="AN392" s="111"/>
      <c r="AO392" s="111"/>
      <c r="AP392" s="111"/>
      <c r="AQ392" s="116"/>
      <c r="AR392" s="116"/>
      <c r="AS392" s="116"/>
    </row>
    <row r="393">
      <c r="A393" s="42" t="str">
        <f>IFERROR(__xludf.DUMMYFUNCTION("""COMPUTED_VALUE"""),"EC")</f>
        <v>EC</v>
      </c>
      <c r="B393" s="42"/>
      <c r="C393" s="42"/>
      <c r="D393" s="42" t="str">
        <f>IFERROR(__xludf.DUMMYFUNCTION("""COMPUTED_VALUE"""),"La")</f>
        <v>La</v>
      </c>
      <c r="E393" s="42"/>
      <c r="F393" s="42"/>
      <c r="G393" s="42"/>
      <c r="H393" s="42" t="str">
        <f>IFERROR(__xludf.DUMMYFUNCTION("""COMPUTED_VALUE"""),"")</f>
        <v/>
      </c>
      <c r="I393" s="42" t="str">
        <f>IFERROR(__xludf.DUMMYFUNCTION("""COMPUTED_VALUE"""),"Pitkänen, 2000")</f>
        <v>Pitkänen, 2000</v>
      </c>
      <c r="J393" s="42" t="str">
        <f>IFERROR(__xludf.DUMMYFUNCTION("""COMPUTED_VALUE"""),"Rat")</f>
        <v>Rat</v>
      </c>
      <c r="K393" s="42" t="str">
        <f>IFERROR(__xludf.DUMMYFUNCTION("""COMPUTED_VALUE"""),"Various tracing")</f>
        <v>Various tracing</v>
      </c>
      <c r="L393" s="42"/>
      <c r="M393" s="42" t="str">
        <f>IFERROR(__xludf.DUMMYFUNCTION("""COMPUTED_VALUE"""),"fig.3-fig.12 (to be specified)")</f>
        <v>fig.3-fig.12 (to be specified)</v>
      </c>
      <c r="N393" s="42"/>
      <c r="O393" s="31" t="str">
        <f>IFERROR(__xludf.DUMMYFUNCTION("""COMPUTED_VALUE"""),"DOC(alt)")</f>
        <v>DOC(alt)</v>
      </c>
      <c r="P393" s="9" t="str">
        <f>IFERROR(__xludf.DUMMYFUNCTION("""COMPUTED_VALUE"""),"Folia morphologica")</f>
        <v>Folia morphologica</v>
      </c>
      <c r="Q393" s="9" t="str">
        <f>IFERROR(__xludf.DUMMYFUNCTION("""COMPUTED_VALUE"""),"Review")</f>
        <v>Review</v>
      </c>
      <c r="R393" s="179" t="str">
        <f>IFERROR(__xludf.DUMMYFUNCTION("""COMPUTED_VALUE"""),"La (00/00) [Pitkänen, 2000];
")</f>
        <v>La (00/00) [Pitkänen, 2000];
</v>
      </c>
      <c r="S393" s="179" t="str">
        <f>IFERROR(__xludf.DUMMYFUNCTION("""COMPUTED_VALUE"""),"ECLa")</f>
        <v>ECLa</v>
      </c>
      <c r="T393" s="179" t="str">
        <f>IFERROR(__xludf.DUMMYFUNCTION("""COMPUTED_VALUE"""),"[Pitkänen, 2000]")</f>
        <v>[Pitkänen, 2000]</v>
      </c>
      <c r="U393" s="179">
        <f>IFERROR(__xludf.DUMMYFUNCTION("""COMPUTED_VALUE"""),0.0)</f>
        <v>0</v>
      </c>
      <c r="V393" s="180">
        <f>IFERROR(__xludf.DUMMYFUNCTION("""COMPUTED_VALUE"""),0.0)</f>
        <v>0</v>
      </c>
      <c r="W393" s="180">
        <f>IFERROR(__xludf.DUMMYFUNCTION("""COMPUTED_VALUE"""),0.95)</f>
        <v>0.95</v>
      </c>
      <c r="X393" s="42">
        <f>IFERROR(__xludf.DUMMYFUNCTION("""COMPUTED_VALUE"""),0.8)</f>
        <v>0.8</v>
      </c>
      <c r="Y393" s="42">
        <f>IFERROR(__xludf.DUMMYFUNCTION("""COMPUTED_VALUE"""),0.6)</f>
        <v>0.6</v>
      </c>
      <c r="Z393" s="9">
        <f>IFERROR(__xludf.DUMMYFUNCTION("""COMPUTED_VALUE"""),0.9)</f>
        <v>0.9</v>
      </c>
      <c r="AA393" s="181">
        <f>IFERROR(__xludf.DUMMYFUNCTION("""COMPUTED_VALUE"""),0.0)</f>
        <v>0</v>
      </c>
      <c r="AB393" s="181">
        <f>IFERROR(__xludf.DUMMYFUNCTION("""COMPUTED_VALUE"""),0.0)</f>
        <v>0</v>
      </c>
      <c r="AC393" s="179">
        <f>IFERROR(__xludf.DUMMYFUNCTION("""COMPUTED_VALUE"""),0.0)</f>
        <v>0</v>
      </c>
      <c r="AD393" s="165">
        <f>IFERROR(__xludf.DUMMYFUNCTION("""COMPUTED_VALUE"""),0.0)</f>
        <v>0</v>
      </c>
      <c r="AE393" s="39" t="str">
        <f>IFERROR(__xludf.DUMMYFUNCTION("""COMPUTED_VALUE"""),"Tatsuya Miyamoto")</f>
        <v>Tatsuya Miyamoto</v>
      </c>
      <c r="AF393" s="39" t="str">
        <f>IFERROR(__xludf.DUMMYFUNCTION("""COMPUTED_VALUE"""),"TM21Amygdala")</f>
        <v>TM21Amygdala</v>
      </c>
      <c r="AG393" s="39"/>
      <c r="AH393" s="39"/>
      <c r="AI393" s="165"/>
      <c r="AJ393" s="165"/>
      <c r="AK393" s="111"/>
      <c r="AL393" s="111"/>
      <c r="AM393" s="111"/>
      <c r="AN393" s="111"/>
      <c r="AO393" s="111"/>
      <c r="AP393" s="111"/>
      <c r="AQ393" s="116"/>
      <c r="AR393" s="116"/>
      <c r="AS393" s="116"/>
    </row>
    <row r="394">
      <c r="A394" s="42" t="str">
        <f>IFERROR(__xludf.DUMMYFUNCTION("""COMPUTED_VALUE"""),"EC")</f>
        <v>EC</v>
      </c>
      <c r="B394" s="42"/>
      <c r="C394" s="42"/>
      <c r="D394" s="42" t="str">
        <f>IFERROR(__xludf.DUMMYFUNCTION("""COMPUTED_VALUE"""),"Me")</f>
        <v>Me</v>
      </c>
      <c r="E394" s="42"/>
      <c r="F394" s="42"/>
      <c r="G394" s="42"/>
      <c r="H394" s="42" t="str">
        <f>IFERROR(__xludf.DUMMYFUNCTION("""COMPUTED_VALUE"""),"")</f>
        <v/>
      </c>
      <c r="I394" s="42" t="str">
        <f>IFERROR(__xludf.DUMMYFUNCTION("""COMPUTED_VALUE"""),"Pitkänen, 2000")</f>
        <v>Pitkänen, 2000</v>
      </c>
      <c r="J394" s="42" t="str">
        <f>IFERROR(__xludf.DUMMYFUNCTION("""COMPUTED_VALUE"""),"Rat")</f>
        <v>Rat</v>
      </c>
      <c r="K394" s="42" t="str">
        <f>IFERROR(__xludf.DUMMYFUNCTION("""COMPUTED_VALUE"""),"Various tracing")</f>
        <v>Various tracing</v>
      </c>
      <c r="L394" s="42"/>
      <c r="M394" s="42" t="str">
        <f>IFERROR(__xludf.DUMMYFUNCTION("""COMPUTED_VALUE"""),"fig.3-fig.12 (to be specified)")</f>
        <v>fig.3-fig.12 (to be specified)</v>
      </c>
      <c r="N394" s="42"/>
      <c r="O394" s="31" t="str">
        <f>IFERROR(__xludf.DUMMYFUNCTION("""COMPUTED_VALUE"""),"DOC(alt)")</f>
        <v>DOC(alt)</v>
      </c>
      <c r="P394" s="9" t="str">
        <f>IFERROR(__xludf.DUMMYFUNCTION("""COMPUTED_VALUE"""),"Folia morphologica")</f>
        <v>Folia morphologica</v>
      </c>
      <c r="Q394" s="9" t="str">
        <f>IFERROR(__xludf.DUMMYFUNCTION("""COMPUTED_VALUE"""),"Review")</f>
        <v>Review</v>
      </c>
      <c r="R394" s="179" t="str">
        <f>IFERROR(__xludf.DUMMYFUNCTION("""COMPUTED_VALUE"""),"Me (00/00) [Pitkänen, 2000];
")</f>
        <v>Me (00/00) [Pitkänen, 2000];
</v>
      </c>
      <c r="S394" s="179" t="str">
        <f>IFERROR(__xludf.DUMMYFUNCTION("""COMPUTED_VALUE"""),"ECMe")</f>
        <v>ECMe</v>
      </c>
      <c r="T394" s="179" t="str">
        <f>IFERROR(__xludf.DUMMYFUNCTION("""COMPUTED_VALUE"""),"[Pitkänen, 2000]")</f>
        <v>[Pitkänen, 2000]</v>
      </c>
      <c r="U394" s="179">
        <f>IFERROR(__xludf.DUMMYFUNCTION("""COMPUTED_VALUE"""),0.0)</f>
        <v>0</v>
      </c>
      <c r="V394" s="180">
        <f>IFERROR(__xludf.DUMMYFUNCTION("""COMPUTED_VALUE"""),0.0)</f>
        <v>0</v>
      </c>
      <c r="W394" s="180">
        <f>IFERROR(__xludf.DUMMYFUNCTION("""COMPUTED_VALUE"""),0.95)</f>
        <v>0.95</v>
      </c>
      <c r="X394" s="42">
        <f>IFERROR(__xludf.DUMMYFUNCTION("""COMPUTED_VALUE"""),0.8)</f>
        <v>0.8</v>
      </c>
      <c r="Y394" s="42">
        <f>IFERROR(__xludf.DUMMYFUNCTION("""COMPUTED_VALUE"""),0.6)</f>
        <v>0.6</v>
      </c>
      <c r="Z394" s="9">
        <f>IFERROR(__xludf.DUMMYFUNCTION("""COMPUTED_VALUE"""),0.9)</f>
        <v>0.9</v>
      </c>
      <c r="AA394" s="181">
        <f>IFERROR(__xludf.DUMMYFUNCTION("""COMPUTED_VALUE"""),0.0)</f>
        <v>0</v>
      </c>
      <c r="AB394" s="181">
        <f>IFERROR(__xludf.DUMMYFUNCTION("""COMPUTED_VALUE"""),0.0)</f>
        <v>0</v>
      </c>
      <c r="AC394" s="179">
        <f>IFERROR(__xludf.DUMMYFUNCTION("""COMPUTED_VALUE"""),0.0)</f>
        <v>0</v>
      </c>
      <c r="AD394" s="165">
        <f>IFERROR(__xludf.DUMMYFUNCTION("""COMPUTED_VALUE"""),0.0)</f>
        <v>0</v>
      </c>
      <c r="AE394" s="39" t="str">
        <f>IFERROR(__xludf.DUMMYFUNCTION("""COMPUTED_VALUE"""),"Tatsuya Miyamoto")</f>
        <v>Tatsuya Miyamoto</v>
      </c>
      <c r="AF394" s="39" t="str">
        <f>IFERROR(__xludf.DUMMYFUNCTION("""COMPUTED_VALUE"""),"TM21Amygdala")</f>
        <v>TM21Amygdala</v>
      </c>
      <c r="AG394" s="39"/>
      <c r="AH394" s="39"/>
      <c r="AI394" s="165"/>
      <c r="AJ394" s="165"/>
      <c r="AK394" s="111"/>
      <c r="AL394" s="111"/>
      <c r="AM394" s="111"/>
      <c r="AN394" s="111"/>
      <c r="AO394" s="111"/>
      <c r="AP394" s="111"/>
      <c r="AQ394" s="116"/>
      <c r="AR394" s="116"/>
      <c r="AS394" s="116"/>
    </row>
    <row r="395">
      <c r="A395" s="42" t="str">
        <f>IFERROR(__xludf.DUMMYFUNCTION("""COMPUTED_VALUE"""),"EC")</f>
        <v>EC</v>
      </c>
      <c r="B395" s="42"/>
      <c r="C395" s="42"/>
      <c r="D395" s="42" t="str">
        <f>IFERROR(__xludf.DUMMYFUNCTION("""COMPUTED_VALUE"""),"PAC")</f>
        <v>PAC</v>
      </c>
      <c r="E395" s="42"/>
      <c r="F395" s="42"/>
      <c r="G395" s="42"/>
      <c r="H395" s="42" t="str">
        <f>IFERROR(__xludf.DUMMYFUNCTION("""COMPUTED_VALUE"""),"")</f>
        <v/>
      </c>
      <c r="I395" s="42" t="str">
        <f>IFERROR(__xludf.DUMMYFUNCTION("""COMPUTED_VALUE"""),"Pitkänen, 2000")</f>
        <v>Pitkänen, 2000</v>
      </c>
      <c r="J395" s="42" t="str">
        <f>IFERROR(__xludf.DUMMYFUNCTION("""COMPUTED_VALUE"""),"Rat")</f>
        <v>Rat</v>
      </c>
      <c r="K395" s="42" t="str">
        <f>IFERROR(__xludf.DUMMYFUNCTION("""COMPUTED_VALUE"""),"Various tracing")</f>
        <v>Various tracing</v>
      </c>
      <c r="L395" s="42"/>
      <c r="M395" s="42" t="str">
        <f>IFERROR(__xludf.DUMMYFUNCTION("""COMPUTED_VALUE"""),"fig.3-fig.12 (to be specified)")</f>
        <v>fig.3-fig.12 (to be specified)</v>
      </c>
      <c r="N395" s="42"/>
      <c r="O395" s="31" t="str">
        <f>IFERROR(__xludf.DUMMYFUNCTION("""COMPUTED_VALUE"""),"DOC(alt)")</f>
        <v>DOC(alt)</v>
      </c>
      <c r="P395" s="9" t="str">
        <f>IFERROR(__xludf.DUMMYFUNCTION("""COMPUTED_VALUE"""),"Folia morphologica")</f>
        <v>Folia morphologica</v>
      </c>
      <c r="Q395" s="9" t="str">
        <f>IFERROR(__xludf.DUMMYFUNCTION("""COMPUTED_VALUE"""),"Review")</f>
        <v>Review</v>
      </c>
      <c r="R395" s="179" t="str">
        <f>IFERROR(__xludf.DUMMYFUNCTION("""COMPUTED_VALUE"""),"PAC (00/00) [Pitkänen, 2000];
")</f>
        <v>PAC (00/00) [Pitkänen, 2000];
</v>
      </c>
      <c r="S395" s="179" t="str">
        <f>IFERROR(__xludf.DUMMYFUNCTION("""COMPUTED_VALUE"""),"ECPAC")</f>
        <v>ECPAC</v>
      </c>
      <c r="T395" s="179" t="str">
        <f>IFERROR(__xludf.DUMMYFUNCTION("""COMPUTED_VALUE"""),"[Pitkänen, 2000]")</f>
        <v>[Pitkänen, 2000]</v>
      </c>
      <c r="U395" s="179">
        <f>IFERROR(__xludf.DUMMYFUNCTION("""COMPUTED_VALUE"""),0.0)</f>
        <v>0</v>
      </c>
      <c r="V395" s="180">
        <f>IFERROR(__xludf.DUMMYFUNCTION("""COMPUTED_VALUE"""),0.0)</f>
        <v>0</v>
      </c>
      <c r="W395" s="180">
        <f>IFERROR(__xludf.DUMMYFUNCTION("""COMPUTED_VALUE"""),0.95)</f>
        <v>0.95</v>
      </c>
      <c r="X395" s="42">
        <f>IFERROR(__xludf.DUMMYFUNCTION("""COMPUTED_VALUE"""),0.8)</f>
        <v>0.8</v>
      </c>
      <c r="Y395" s="42">
        <f>IFERROR(__xludf.DUMMYFUNCTION("""COMPUTED_VALUE"""),0.6)</f>
        <v>0.6</v>
      </c>
      <c r="Z395" s="9">
        <f>IFERROR(__xludf.DUMMYFUNCTION("""COMPUTED_VALUE"""),0.9)</f>
        <v>0.9</v>
      </c>
      <c r="AA395" s="181">
        <f>IFERROR(__xludf.DUMMYFUNCTION("""COMPUTED_VALUE"""),0.0)</f>
        <v>0</v>
      </c>
      <c r="AB395" s="181">
        <f>IFERROR(__xludf.DUMMYFUNCTION("""COMPUTED_VALUE"""),0.0)</f>
        <v>0</v>
      </c>
      <c r="AC395" s="179">
        <f>IFERROR(__xludf.DUMMYFUNCTION("""COMPUTED_VALUE"""),0.0)</f>
        <v>0</v>
      </c>
      <c r="AD395" s="165">
        <f>IFERROR(__xludf.DUMMYFUNCTION("""COMPUTED_VALUE"""),0.0)</f>
        <v>0</v>
      </c>
      <c r="AE395" s="39" t="str">
        <f>IFERROR(__xludf.DUMMYFUNCTION("""COMPUTED_VALUE"""),"Tatsuya Miyamoto")</f>
        <v>Tatsuya Miyamoto</v>
      </c>
      <c r="AF395" s="39" t="str">
        <f>IFERROR(__xludf.DUMMYFUNCTION("""COMPUTED_VALUE"""),"TM21Amygdala")</f>
        <v>TM21Amygdala</v>
      </c>
      <c r="AG395" s="39"/>
      <c r="AH395" s="39"/>
      <c r="AI395" s="165"/>
      <c r="AJ395" s="165"/>
      <c r="AK395" s="111"/>
      <c r="AL395" s="111"/>
      <c r="AM395" s="111"/>
      <c r="AN395" s="111"/>
      <c r="AO395" s="111"/>
      <c r="AP395" s="111"/>
      <c r="AQ395" s="116"/>
      <c r="AR395" s="116"/>
      <c r="AS395" s="116"/>
    </row>
    <row r="396">
      <c r="A396" s="42" t="str">
        <f>IFERROR(__xludf.DUMMYFUNCTION("""COMPUTED_VALUE"""),"EC_II")</f>
        <v>EC_II</v>
      </c>
      <c r="B396" s="42" t="str">
        <f>IFERROR(__xludf.DUMMYFUNCTION("""COMPUTED_VALUE"""),"=")</f>
        <v>=</v>
      </c>
      <c r="C396" s="42" t="str">
        <f>IFERROR(__xludf.DUMMYFUNCTION("""COMPUTED_VALUE"""),"EC_II")</f>
        <v>EC_II</v>
      </c>
      <c r="D396" s="42" t="str">
        <f>IFERROR(__xludf.DUMMYFUNCTION("""COMPUTED_VALUE"""),"CA3")</f>
        <v>CA3</v>
      </c>
      <c r="E396" s="42" t="str">
        <f>IFERROR(__xludf.DUMMYFUNCTION("""COMPUTED_VALUE"""),"=")</f>
        <v>=</v>
      </c>
      <c r="F396" s="42" t="str">
        <f>IFERROR(__xludf.DUMMYFUNCTION("""COMPUTED_VALUE"""),"CA3")</f>
        <v>CA3</v>
      </c>
      <c r="G396" s="42"/>
      <c r="H396" s="42"/>
      <c r="I396" s="42" t="str">
        <f>IFERROR(__xludf.DUMMYFUNCTION("""COMPUTED_VALUE"""),"Tamamaki, 1993")</f>
        <v>Tamamaki, 1993</v>
      </c>
      <c r="J396" s="42" t="str">
        <f>IFERROR(__xludf.DUMMYFUNCTION("""COMPUTED_VALUE"""),"Rat")</f>
        <v>Rat</v>
      </c>
      <c r="K396" s="42" t="str">
        <f>IFERROR(__xludf.DUMMYFUNCTION("""COMPUTED_VALUE"""),"Immunohistochemistry(neurobiotin)")</f>
        <v>Immunohistochemistry(neurobiotin)</v>
      </c>
      <c r="L396" s="42" t="str">
        <f>IFERROR(__xludf.DUMMYFUNCTION("""COMPUTED_VALUE"""),"A reconstructed layer II spiny stellate neuron was observed from medial to lateral direction. The axon of this single spiny neuron covered the hippocampus with a sheet-like formation up to 2 mm long in the septotemporal direction, innervating the entire t"&amp;"ransverse extent (suprapyramidal blade, crest, and infrapyramidal blade) of the dentate gyrus and the strata lacunosum-moleculare of the CA2-3 fields by branching")</f>
        <v>A reconstructed layer II spiny stellate neuron was observed from medial to lateral direction. The axon of this single spiny neuron covered the hippocampus with a sheet-like formation up to 2 mm long in the septotemporal direction, innervating the entire transverse extent (suprapyramidal blade, crest, and infrapyramidal blade) of the dentate gyrus and the strata lacunosum-moleculare of the CA2-3 fields by branching</v>
      </c>
      <c r="M396" s="42" t="str">
        <f>IFERROR(__xludf.DUMMYFUNCTION("""COMPUTED_VALUE"""),"Fig. 4")</f>
        <v>Fig. 4</v>
      </c>
      <c r="N396" s="42"/>
      <c r="O396" s="31" t="str">
        <f>IFERROR(__xludf.DUMMYFUNCTION("""COMPUTED_VALUE"""),"DOC")</f>
        <v>DOC</v>
      </c>
      <c r="P396" s="9" t="str">
        <f>IFERROR(__xludf.DUMMYFUNCTION("""COMPUTED_VALUE"""),"Hippocampus")</f>
        <v>Hippocampus</v>
      </c>
      <c r="Q396" s="9" t="str">
        <f>IFERROR(__xludf.DUMMYFUNCTION("""COMPUTED_VALUE"""),"Experimental results")</f>
        <v>Experimental results</v>
      </c>
      <c r="R396" s="179" t="str">
        <f>IFERROR(__xludf.DUMMYFUNCTION("""COMPUTED_VALUE"""),"CA3 (00/46) [Tamamaki, 1993];
")</f>
        <v>CA3 (00/46) [Tamamaki, 1993];
</v>
      </c>
      <c r="S396" s="179" t="str">
        <f>IFERROR(__xludf.DUMMYFUNCTION("""COMPUTED_VALUE"""),"EC_IICA3")</f>
        <v>EC_IICA3</v>
      </c>
      <c r="T396" s="179" t="str">
        <f>IFERROR(__xludf.DUMMYFUNCTION("""COMPUTED_VALUE"""),"[Tamamaki, 1993]")</f>
        <v>[Tamamaki, 1993]</v>
      </c>
      <c r="U396" s="179">
        <f>IFERROR(__xludf.DUMMYFUNCTION("""COMPUTED_VALUE"""),1.0)</f>
        <v>1</v>
      </c>
      <c r="V396" s="180">
        <f>IFERROR(__xludf.DUMMYFUNCTION("""COMPUTED_VALUE"""),1.0)</f>
        <v>1</v>
      </c>
      <c r="W396" s="180">
        <f>IFERROR(__xludf.DUMMYFUNCTION("""COMPUTED_VALUE"""),0.95)</f>
        <v>0.95</v>
      </c>
      <c r="X396" s="42">
        <f>IFERROR(__xludf.DUMMYFUNCTION("""COMPUTED_VALUE"""),1.0)</f>
        <v>1</v>
      </c>
      <c r="Y396" s="42">
        <f>IFERROR(__xludf.DUMMYFUNCTION("""COMPUTED_VALUE"""),0.6)</f>
        <v>0.6</v>
      </c>
      <c r="Z396" s="9">
        <f>IFERROR(__xludf.DUMMYFUNCTION("""COMPUTED_VALUE"""),0.8)</f>
        <v>0.8</v>
      </c>
      <c r="AA396" s="181">
        <f>IFERROR(__xludf.DUMMYFUNCTION("""COMPUTED_VALUE"""),0.45599999999999996)</f>
        <v>0.456</v>
      </c>
      <c r="AB396" s="181">
        <f>IFERROR(__xludf.DUMMYFUNCTION("""COMPUTED_VALUE"""),0.45599999999999996)</f>
        <v>0.456</v>
      </c>
      <c r="AC396" s="179">
        <f>IFERROR(__xludf.DUMMYFUNCTION("""COMPUTED_VALUE"""),0.0)</f>
        <v>0</v>
      </c>
      <c r="AD396" s="165">
        <f>IFERROR(__xludf.DUMMYFUNCTION("""COMPUTED_VALUE"""),0.0)</f>
        <v>0</v>
      </c>
      <c r="AE396" s="39" t="str">
        <f>IFERROR(__xludf.DUMMYFUNCTION("""COMPUTED_VALUE"""),"Yuske Shibata")</f>
        <v>Yuske Shibata</v>
      </c>
      <c r="AF396" s="39" t="str">
        <f>IFERROR(__xludf.DUMMYFUNCTION("""COMPUTED_VALUE"""),"Credibility check")</f>
        <v>Credibility check</v>
      </c>
      <c r="AG396" s="39"/>
      <c r="AH396" s="39"/>
      <c r="AI396" s="165"/>
      <c r="AJ396" s="165"/>
      <c r="AK396" s="111"/>
      <c r="AL396" s="111"/>
      <c r="AM396" s="111"/>
      <c r="AN396" s="111"/>
      <c r="AO396" s="111"/>
      <c r="AP396" s="111"/>
      <c r="AQ396" s="116"/>
      <c r="AR396" s="116"/>
      <c r="AS396" s="116"/>
    </row>
    <row r="397">
      <c r="A397" s="42" t="str">
        <f>IFERROR(__xludf.DUMMYFUNCTION("""COMPUTED_VALUE"""),"EC_II")</f>
        <v>EC_II</v>
      </c>
      <c r="B397" s="42" t="str">
        <f>IFERROR(__xludf.DUMMYFUNCTION("""COMPUTED_VALUE"""),"=")</f>
        <v>=</v>
      </c>
      <c r="C397" s="42"/>
      <c r="D397" s="42" t="str">
        <f>IFERROR(__xludf.DUMMYFUNCTION("""COMPUTED_VALUE"""),"DG")</f>
        <v>DG</v>
      </c>
      <c r="E397" s="42" t="str">
        <f>IFERROR(__xludf.DUMMYFUNCTION("""COMPUTED_VALUE"""),"=")</f>
        <v>=</v>
      </c>
      <c r="F397" s="42"/>
      <c r="G397" s="42"/>
      <c r="H397" s="42"/>
      <c r="I397" s="42" t="str">
        <f>IFERROR(__xludf.DUMMYFUNCTION("""COMPUTED_VALUE"""),"Tamamaki, 1993")</f>
        <v>Tamamaki, 1993</v>
      </c>
      <c r="J397" s="42" t="str">
        <f>IFERROR(__xludf.DUMMYFUNCTION("""COMPUTED_VALUE"""),"Rat")</f>
        <v>Rat</v>
      </c>
      <c r="K397" s="42" t="str">
        <f>IFERROR(__xludf.DUMMYFUNCTION("""COMPUTED_VALUE"""),"Immunohistochemistry(neurobiotin)")</f>
        <v>Immunohistochemistry(neurobiotin)</v>
      </c>
      <c r="L397" s="42" t="str">
        <f>IFERROR(__xludf.DUMMYFUNCTION("""COMPUTED_VALUE"""),"A reconstructed layer II spiny stellate neuron was observed from medial to lateral direction. The axon of this single spiny neuron covered the hippocampus with a sheet-like formation up to 2 mm long in the septotemporal direction, innervating the entire t"&amp;"ransverse extent (suprapyramidal blade, crest, and infrapyramidal blade) of the dentate gyrus and the strata lacunosum-moleculare of the CA2-3 fields by branching")</f>
        <v>A reconstructed layer II spiny stellate neuron was observed from medial to lateral direction. The axon of this single spiny neuron covered the hippocampus with a sheet-like formation up to 2 mm long in the septotemporal direction, innervating the entire transverse extent (suprapyramidal blade, crest, and infrapyramidal blade) of the dentate gyrus and the strata lacunosum-moleculare of the CA2-3 fields by branching</v>
      </c>
      <c r="M397" s="42" t="str">
        <f>IFERROR(__xludf.DUMMYFUNCTION("""COMPUTED_VALUE"""),"Fig. 4")</f>
        <v>Fig. 4</v>
      </c>
      <c r="N397" s="42"/>
      <c r="O397" s="31" t="str">
        <f>IFERROR(__xludf.DUMMYFUNCTION("""COMPUTED_VALUE"""),"DOC")</f>
        <v>DOC</v>
      </c>
      <c r="P397" s="9" t="str">
        <f>IFERROR(__xludf.DUMMYFUNCTION("""COMPUTED_VALUE"""),"Hippocampus")</f>
        <v>Hippocampus</v>
      </c>
      <c r="Q397" s="9" t="str">
        <f>IFERROR(__xludf.DUMMYFUNCTION("""COMPUTED_VALUE"""),"Experimental results")</f>
        <v>Experimental results</v>
      </c>
      <c r="R397" s="179" t="str">
        <f>IFERROR(__xludf.DUMMYFUNCTION("""COMPUTED_VALUE"""),"DG (00/46) [Tamamaki, 1993];
")</f>
        <v>DG (00/46) [Tamamaki, 1993];
</v>
      </c>
      <c r="S397" s="179" t="str">
        <f>IFERROR(__xludf.DUMMYFUNCTION("""COMPUTED_VALUE"""),"EC_IIDG")</f>
        <v>EC_IIDG</v>
      </c>
      <c r="T397" s="179" t="str">
        <f>IFERROR(__xludf.DUMMYFUNCTION("""COMPUTED_VALUE"""),"[Tamamaki, 1993]")</f>
        <v>[Tamamaki, 1993]</v>
      </c>
      <c r="U397" s="179">
        <f>IFERROR(__xludf.DUMMYFUNCTION("""COMPUTED_VALUE"""),1.0)</f>
        <v>1</v>
      </c>
      <c r="V397" s="180">
        <f>IFERROR(__xludf.DUMMYFUNCTION("""COMPUTED_VALUE"""),1.0)</f>
        <v>1</v>
      </c>
      <c r="W397" s="204">
        <f>IFERROR(__xludf.DUMMYFUNCTION("""COMPUTED_VALUE"""),0.95)</f>
        <v>0.95</v>
      </c>
      <c r="X397" s="42">
        <f>IFERROR(__xludf.DUMMYFUNCTION("""COMPUTED_VALUE"""),1.0)</f>
        <v>1</v>
      </c>
      <c r="Y397" s="42">
        <f>IFERROR(__xludf.DUMMYFUNCTION("""COMPUTED_VALUE"""),0.6)</f>
        <v>0.6</v>
      </c>
      <c r="Z397" s="9">
        <f>IFERROR(__xludf.DUMMYFUNCTION("""COMPUTED_VALUE"""),0.8)</f>
        <v>0.8</v>
      </c>
      <c r="AA397" s="181">
        <f>IFERROR(__xludf.DUMMYFUNCTION("""COMPUTED_VALUE"""),0.45599999999999996)</f>
        <v>0.456</v>
      </c>
      <c r="AB397" s="181">
        <f>IFERROR(__xludf.DUMMYFUNCTION("""COMPUTED_VALUE"""),0.45599999999999996)</f>
        <v>0.456</v>
      </c>
      <c r="AC397" s="179">
        <f>IFERROR(__xludf.DUMMYFUNCTION("""COMPUTED_VALUE"""),0.0)</f>
        <v>0</v>
      </c>
      <c r="AD397" s="165">
        <f>IFERROR(__xludf.DUMMYFUNCTION("""COMPUTED_VALUE"""),0.0)</f>
        <v>0</v>
      </c>
      <c r="AE397" s="39" t="str">
        <f>IFERROR(__xludf.DUMMYFUNCTION("""COMPUTED_VALUE"""),"Yuske Shibata")</f>
        <v>Yuske Shibata</v>
      </c>
      <c r="AF397" s="39" t="str">
        <f>IFERROR(__xludf.DUMMYFUNCTION("""COMPUTED_VALUE"""),"Credibility check")</f>
        <v>Credibility check</v>
      </c>
      <c r="AG397" s="39"/>
      <c r="AH397" s="39"/>
      <c r="AI397" s="165"/>
      <c r="AJ397" s="165"/>
      <c r="AK397" s="111"/>
      <c r="AL397" s="111"/>
      <c r="AM397" s="111"/>
      <c r="AN397" s="111"/>
      <c r="AO397" s="111"/>
      <c r="AP397" s="111"/>
      <c r="AQ397" s="116"/>
      <c r="AR397" s="116"/>
      <c r="AS397" s="116"/>
    </row>
    <row r="398">
      <c r="A398" s="42" t="str">
        <f>IFERROR(__xludf.DUMMYFUNCTION("""COMPUTED_VALUE"""),"ECu")</f>
        <v>ECu</v>
      </c>
      <c r="B398" s="42"/>
      <c r="C398" s="42"/>
      <c r="D398" s="42" t="str">
        <f>IFERROR(__xludf.DUMMYFUNCTION("""COMPUTED_VALUE"""),"CbDN")</f>
        <v>CbDN</v>
      </c>
      <c r="E398" s="42"/>
      <c r="F398" s="42"/>
      <c r="G398" s="42"/>
      <c r="H398" s="42" t="str">
        <f>IFERROR(__xludf.DUMMYFUNCTION("""COMPUTED_VALUE"""),"")</f>
        <v/>
      </c>
      <c r="I398" s="42" t="str">
        <f>IFERROR(__xludf.DUMMYFUNCTION("""COMPUTED_VALUE"""),"Guo, 2020")</f>
        <v>Guo, 2020</v>
      </c>
      <c r="J398" s="42"/>
      <c r="K398" s="180"/>
      <c r="L398" s="42"/>
      <c r="M398" s="42"/>
      <c r="N398" s="42"/>
      <c r="O398" s="31" t="str">
        <f>IFERROR(__xludf.DUMMYFUNCTION("""COMPUTED_VALUE"""),"DOC")</f>
        <v>DOC</v>
      </c>
      <c r="P398" s="9" t="str">
        <f>IFERROR(__xludf.DUMMYFUNCTION("""COMPUTED_VALUE"""),"-")</f>
        <v>-</v>
      </c>
      <c r="Q398" s="9"/>
      <c r="R398" s="179" t="str">
        <f>IFERROR(__xludf.DUMMYFUNCTION("""COMPUTED_VALUE"""),"CbDN (00/00) [Guo, 2020];
")</f>
        <v>CbDN (00/00) [Guo, 2020];
</v>
      </c>
      <c r="S398" s="179" t="str">
        <f>IFERROR(__xludf.DUMMYFUNCTION("""COMPUTED_VALUE"""),"ECuCbDN")</f>
        <v>ECuCbDN</v>
      </c>
      <c r="T398" s="179" t="str">
        <f>IFERROR(__xludf.DUMMYFUNCTION("""COMPUTED_VALUE"""),"[Guo, 2020]")</f>
        <v>[Guo, 2020]</v>
      </c>
      <c r="U398" s="179">
        <f>IFERROR(__xludf.DUMMYFUNCTION("""COMPUTED_VALUE"""),0.0)</f>
        <v>0</v>
      </c>
      <c r="V398" s="180">
        <f>IFERROR(__xludf.DUMMYFUNCTION("""COMPUTED_VALUE"""),0.0)</f>
        <v>0</v>
      </c>
      <c r="W398" s="204">
        <f>IFERROR(__xludf.DUMMYFUNCTION("""COMPUTED_VALUE"""),1.0)</f>
        <v>1</v>
      </c>
      <c r="X398" s="42">
        <f>IFERROR(__xludf.DUMMYFUNCTION("""COMPUTED_VALUE"""),0.0)</f>
        <v>0</v>
      </c>
      <c r="Y398" s="42">
        <f>IFERROR(__xludf.DUMMYFUNCTION("""COMPUTED_VALUE"""),0.0)</f>
        <v>0</v>
      </c>
      <c r="Z398" s="9">
        <f>IFERROR(__xludf.DUMMYFUNCTION("""COMPUTED_VALUE"""),0.0)</f>
        <v>0</v>
      </c>
      <c r="AA398" s="181">
        <f>IFERROR(__xludf.DUMMYFUNCTION("""COMPUTED_VALUE"""),0.0)</f>
        <v>0</v>
      </c>
      <c r="AB398" s="181">
        <f>IFERROR(__xludf.DUMMYFUNCTION("""COMPUTED_VALUE"""),0.0)</f>
        <v>0</v>
      </c>
      <c r="AC398" s="179">
        <f>IFERROR(__xludf.DUMMYFUNCTION("""COMPUTED_VALUE"""),0.0)</f>
        <v>0</v>
      </c>
      <c r="AD398" s="165">
        <f>IFERROR(__xludf.DUMMYFUNCTION("""COMPUTED_VALUE"""),0.0)</f>
        <v>0</v>
      </c>
      <c r="AE398" s="39" t="str">
        <f>IFERROR(__xludf.DUMMYFUNCTION("""COMPUTED_VALUE"""),"Hiroshi Yamakawa")</f>
        <v>Hiroshi Yamakawa</v>
      </c>
      <c r="AF398" s="39" t="str">
        <f>IFERROR(__xludf.DUMMYFUNCTION("""COMPUTED_VALUE"""),"HY20Cerebellum")</f>
        <v>HY20Cerebellum</v>
      </c>
      <c r="AG398" s="39"/>
      <c r="AH398" s="39"/>
      <c r="AI398" s="165"/>
      <c r="AJ398" s="165"/>
      <c r="AK398" s="111"/>
      <c r="AL398" s="111"/>
      <c r="AM398" s="111"/>
      <c r="AN398" s="111"/>
      <c r="AO398" s="111"/>
      <c r="AP398" s="111"/>
      <c r="AQ398" s="116"/>
      <c r="AR398" s="116"/>
      <c r="AS398" s="116"/>
    </row>
    <row r="399">
      <c r="A399" s="42" t="str">
        <f>IFERROR(__xludf.DUMMYFUNCTION("""COMPUTED_VALUE"""),"ECu")</f>
        <v>ECu</v>
      </c>
      <c r="B399" s="42"/>
      <c r="C399" s="42"/>
      <c r="D399" s="42" t="str">
        <f>IFERROR(__xludf.DUMMYFUNCTION("""COMPUTED_VALUE"""),"NCx")</f>
        <v>NCx</v>
      </c>
      <c r="E399" s="42"/>
      <c r="F399" s="42"/>
      <c r="G399" s="42"/>
      <c r="H399" s="42" t="str">
        <f>IFERROR(__xludf.DUMMYFUNCTION("""COMPUTED_VALUE"""),"")</f>
        <v/>
      </c>
      <c r="I399" s="42" t="str">
        <f>IFERROR(__xludf.DUMMYFUNCTION("""COMPUTED_VALUE"""),"Guo, 2020")</f>
        <v>Guo, 2020</v>
      </c>
      <c r="J399" s="42"/>
      <c r="K399" s="42"/>
      <c r="L399" s="42"/>
      <c r="M399" s="42"/>
      <c r="N399" s="42"/>
      <c r="O399" s="31" t="str">
        <f>IFERROR(__xludf.DUMMYFUNCTION("""COMPUTED_VALUE"""),"DOC")</f>
        <v>DOC</v>
      </c>
      <c r="P399" s="9" t="str">
        <f>IFERROR(__xludf.DUMMYFUNCTION("""COMPUTED_VALUE"""),"-")</f>
        <v>-</v>
      </c>
      <c r="Q399" s="9"/>
      <c r="R399" s="179" t="str">
        <f>IFERROR(__xludf.DUMMYFUNCTION("""COMPUTED_VALUE"""),"NCx (00/00) [Guo, 2020];
")</f>
        <v>NCx (00/00) [Guo, 2020];
</v>
      </c>
      <c r="S399" s="179" t="str">
        <f>IFERROR(__xludf.DUMMYFUNCTION("""COMPUTED_VALUE"""),"ECuNCx")</f>
        <v>ECuNCx</v>
      </c>
      <c r="T399" s="179" t="str">
        <f>IFERROR(__xludf.DUMMYFUNCTION("""COMPUTED_VALUE"""),"[Guo, 2020]")</f>
        <v>[Guo, 2020]</v>
      </c>
      <c r="U399" s="179">
        <f>IFERROR(__xludf.DUMMYFUNCTION("""COMPUTED_VALUE"""),0.0)</f>
        <v>0</v>
      </c>
      <c r="V399" s="180">
        <f>IFERROR(__xludf.DUMMYFUNCTION("""COMPUTED_VALUE"""),0.0)</f>
        <v>0</v>
      </c>
      <c r="W399" s="180">
        <f>IFERROR(__xludf.DUMMYFUNCTION("""COMPUTED_VALUE"""),1.0)</f>
        <v>1</v>
      </c>
      <c r="X399" s="42">
        <f>IFERROR(__xludf.DUMMYFUNCTION("""COMPUTED_VALUE"""),0.0)</f>
        <v>0</v>
      </c>
      <c r="Y399" s="42">
        <f>IFERROR(__xludf.DUMMYFUNCTION("""COMPUTED_VALUE"""),0.0)</f>
        <v>0</v>
      </c>
      <c r="Z399" s="9">
        <f>IFERROR(__xludf.DUMMYFUNCTION("""COMPUTED_VALUE"""),0.0)</f>
        <v>0</v>
      </c>
      <c r="AA399" s="181">
        <f>IFERROR(__xludf.DUMMYFUNCTION("""COMPUTED_VALUE"""),0.0)</f>
        <v>0</v>
      </c>
      <c r="AB399" s="181">
        <f>IFERROR(__xludf.DUMMYFUNCTION("""COMPUTED_VALUE"""),0.0)</f>
        <v>0</v>
      </c>
      <c r="AC399" s="179">
        <f>IFERROR(__xludf.DUMMYFUNCTION("""COMPUTED_VALUE"""),0.0)</f>
        <v>0</v>
      </c>
      <c r="AD399" s="165">
        <f>IFERROR(__xludf.DUMMYFUNCTION("""COMPUTED_VALUE"""),0.0)</f>
        <v>0</v>
      </c>
      <c r="AE399" s="39" t="str">
        <f>IFERROR(__xludf.DUMMYFUNCTION("""COMPUTED_VALUE"""),"Hiroshi Yamakawa")</f>
        <v>Hiroshi Yamakawa</v>
      </c>
      <c r="AF399" s="39" t="str">
        <f>IFERROR(__xludf.DUMMYFUNCTION("""COMPUTED_VALUE"""),"HY20Cerebellum")</f>
        <v>HY20Cerebellum</v>
      </c>
      <c r="AG399" s="39"/>
      <c r="AH399" s="39"/>
      <c r="AI399" s="165"/>
      <c r="AJ399" s="165"/>
      <c r="AK399" s="111"/>
      <c r="AL399" s="111"/>
      <c r="AM399" s="111"/>
      <c r="AN399" s="111"/>
      <c r="AO399" s="111"/>
      <c r="AP399" s="111"/>
      <c r="AQ399" s="116"/>
      <c r="AR399" s="116"/>
      <c r="AS399" s="116"/>
    </row>
    <row r="400">
      <c r="A400" s="42" t="str">
        <f>IFERROR(__xludf.DUMMYFUNCTION("""COMPUTED_VALUE"""),"En")</f>
        <v>En</v>
      </c>
      <c r="B400" s="42"/>
      <c r="C400" s="42"/>
      <c r="D400" s="42" t="str">
        <f>IFERROR(__xludf.DUMMYFUNCTION("""COMPUTED_VALUE"""),"CoP")</f>
        <v>CoP</v>
      </c>
      <c r="E400" s="42"/>
      <c r="F400" s="42"/>
      <c r="G400" s="42"/>
      <c r="H400" s="42" t="str">
        <f>IFERROR(__xludf.DUMMYFUNCTION("""COMPUTED_VALUE"""),"")</f>
        <v/>
      </c>
      <c r="I400" s="42" t="str">
        <f>IFERROR(__xludf.DUMMYFUNCTION("""COMPUTED_VALUE"""),"Pitkänen, 2000")</f>
        <v>Pitkänen, 2000</v>
      </c>
      <c r="J400" s="42" t="str">
        <f>IFERROR(__xludf.DUMMYFUNCTION("""COMPUTED_VALUE"""),"Rat")</f>
        <v>Rat</v>
      </c>
      <c r="K400" s="42" t="str">
        <f>IFERROR(__xludf.DUMMYFUNCTION("""COMPUTED_VALUE"""),"Various tracing")</f>
        <v>Various tracing</v>
      </c>
      <c r="L400" s="42"/>
      <c r="M400" s="42" t="str">
        <f>IFERROR(__xludf.DUMMYFUNCTION("""COMPUTED_VALUE"""),"fig.3-fig.12 (to be specified)")</f>
        <v>fig.3-fig.12 (to be specified)</v>
      </c>
      <c r="N400" s="38"/>
      <c r="O400" s="31" t="str">
        <f>IFERROR(__xludf.DUMMYFUNCTION("""COMPUTED_VALUE"""),"DOC(alt)")</f>
        <v>DOC(alt)</v>
      </c>
      <c r="P400" s="9" t="str">
        <f>IFERROR(__xludf.DUMMYFUNCTION("""COMPUTED_VALUE"""),"Folia morphologica")</f>
        <v>Folia morphologica</v>
      </c>
      <c r="Q400" s="9" t="str">
        <f>IFERROR(__xludf.DUMMYFUNCTION("""COMPUTED_VALUE"""),"Review")</f>
        <v>Review</v>
      </c>
      <c r="R400" s="179" t="str">
        <f>IFERROR(__xludf.DUMMYFUNCTION("""COMPUTED_VALUE"""),"CoP (00/00) [Pitkänen, 2000];
")</f>
        <v>CoP (00/00) [Pitkänen, 2000];
</v>
      </c>
      <c r="S400" s="179" t="str">
        <f>IFERROR(__xludf.DUMMYFUNCTION("""COMPUTED_VALUE"""),"EnCoP")</f>
        <v>EnCoP</v>
      </c>
      <c r="T400" s="179" t="str">
        <f>IFERROR(__xludf.DUMMYFUNCTION("""COMPUTED_VALUE"""),"[Pitkänen, 2000]")</f>
        <v>[Pitkänen, 2000]</v>
      </c>
      <c r="U400" s="179">
        <f>IFERROR(__xludf.DUMMYFUNCTION("""COMPUTED_VALUE"""),0.0)</f>
        <v>0</v>
      </c>
      <c r="V400" s="180">
        <f>IFERROR(__xludf.DUMMYFUNCTION("""COMPUTED_VALUE"""),0.0)</f>
        <v>0</v>
      </c>
      <c r="W400" s="180">
        <f>IFERROR(__xludf.DUMMYFUNCTION("""COMPUTED_VALUE"""),0.95)</f>
        <v>0.95</v>
      </c>
      <c r="X400" s="42">
        <f>IFERROR(__xludf.DUMMYFUNCTION("""COMPUTED_VALUE"""),0.8)</f>
        <v>0.8</v>
      </c>
      <c r="Y400" s="42">
        <f>IFERROR(__xludf.DUMMYFUNCTION("""COMPUTED_VALUE"""),0.6)</f>
        <v>0.6</v>
      </c>
      <c r="Z400" s="9">
        <f>IFERROR(__xludf.DUMMYFUNCTION("""COMPUTED_VALUE"""),0.9)</f>
        <v>0.9</v>
      </c>
      <c r="AA400" s="181">
        <f>IFERROR(__xludf.DUMMYFUNCTION("""COMPUTED_VALUE"""),0.0)</f>
        <v>0</v>
      </c>
      <c r="AB400" s="181">
        <f>IFERROR(__xludf.DUMMYFUNCTION("""COMPUTED_VALUE"""),0.0)</f>
        <v>0</v>
      </c>
      <c r="AC400" s="179">
        <f>IFERROR(__xludf.DUMMYFUNCTION("""COMPUTED_VALUE"""),0.0)</f>
        <v>0</v>
      </c>
      <c r="AD400" s="165">
        <f>IFERROR(__xludf.DUMMYFUNCTION("""COMPUTED_VALUE"""),0.0)</f>
        <v>0</v>
      </c>
      <c r="AE400" s="39" t="str">
        <f>IFERROR(__xludf.DUMMYFUNCTION("""COMPUTED_VALUE"""),"Tatsuya Miyamoto")</f>
        <v>Tatsuya Miyamoto</v>
      </c>
      <c r="AF400" s="39" t="str">
        <f>IFERROR(__xludf.DUMMYFUNCTION("""COMPUTED_VALUE"""),"TM21Amygdala")</f>
        <v>TM21Amygdala</v>
      </c>
      <c r="AG400" s="39"/>
      <c r="AH400" s="39"/>
      <c r="AI400" s="165"/>
      <c r="AJ400" s="165"/>
      <c r="AK400" s="111"/>
      <c r="AL400" s="111"/>
      <c r="AM400" s="111"/>
      <c r="AN400" s="111"/>
      <c r="AO400" s="111"/>
      <c r="AP400" s="111"/>
      <c r="AQ400" s="116"/>
      <c r="AR400" s="116"/>
      <c r="AS400" s="116"/>
    </row>
    <row r="401">
      <c r="A401" s="42" t="str">
        <f>IFERROR(__xludf.DUMMYFUNCTION("""COMPUTED_VALUE"""),"En")</f>
        <v>En</v>
      </c>
      <c r="B401" s="42"/>
      <c r="C401" s="42"/>
      <c r="D401" s="42" t="str">
        <f>IFERROR(__xludf.DUMMYFUNCTION("""COMPUTED_VALUE"""),"Me")</f>
        <v>Me</v>
      </c>
      <c r="E401" s="42"/>
      <c r="F401" s="42"/>
      <c r="G401" s="42"/>
      <c r="H401" s="42" t="str">
        <f>IFERROR(__xludf.DUMMYFUNCTION("""COMPUTED_VALUE"""),"")</f>
        <v/>
      </c>
      <c r="I401" s="42" t="str">
        <f>IFERROR(__xludf.DUMMYFUNCTION("""COMPUTED_VALUE"""),"Pitkänen, 2000")</f>
        <v>Pitkänen, 2000</v>
      </c>
      <c r="J401" s="42" t="str">
        <f>IFERROR(__xludf.DUMMYFUNCTION("""COMPUTED_VALUE"""),"Rat")</f>
        <v>Rat</v>
      </c>
      <c r="K401" s="42" t="str">
        <f>IFERROR(__xludf.DUMMYFUNCTION("""COMPUTED_VALUE"""),"Various tracing")</f>
        <v>Various tracing</v>
      </c>
      <c r="L401" s="42"/>
      <c r="M401" s="42" t="str">
        <f>IFERROR(__xludf.DUMMYFUNCTION("""COMPUTED_VALUE"""),"fig.3-fig.12 (to be specified)")</f>
        <v>fig.3-fig.12 (to be specified)</v>
      </c>
      <c r="N401" s="42"/>
      <c r="O401" s="31" t="str">
        <f>IFERROR(__xludf.DUMMYFUNCTION("""COMPUTED_VALUE"""),"DOC(alt)")</f>
        <v>DOC(alt)</v>
      </c>
      <c r="P401" s="9" t="str">
        <f>IFERROR(__xludf.DUMMYFUNCTION("""COMPUTED_VALUE"""),"Folia morphologica")</f>
        <v>Folia morphologica</v>
      </c>
      <c r="Q401" s="9" t="str">
        <f>IFERROR(__xludf.DUMMYFUNCTION("""COMPUTED_VALUE"""),"Review")</f>
        <v>Review</v>
      </c>
      <c r="R401" s="179" t="str">
        <f>IFERROR(__xludf.DUMMYFUNCTION("""COMPUTED_VALUE"""),"Me (00/00) [Pitkänen, 2000];
")</f>
        <v>Me (00/00) [Pitkänen, 2000];
</v>
      </c>
      <c r="S401" s="179" t="str">
        <f>IFERROR(__xludf.DUMMYFUNCTION("""COMPUTED_VALUE"""),"EnMe")</f>
        <v>EnMe</v>
      </c>
      <c r="T401" s="179" t="str">
        <f>IFERROR(__xludf.DUMMYFUNCTION("""COMPUTED_VALUE"""),"[Pitkänen, 2000]")</f>
        <v>[Pitkänen, 2000]</v>
      </c>
      <c r="U401" s="179">
        <f>IFERROR(__xludf.DUMMYFUNCTION("""COMPUTED_VALUE"""),0.0)</f>
        <v>0</v>
      </c>
      <c r="V401" s="180">
        <f>IFERROR(__xludf.DUMMYFUNCTION("""COMPUTED_VALUE"""),0.0)</f>
        <v>0</v>
      </c>
      <c r="W401" s="180">
        <f>IFERROR(__xludf.DUMMYFUNCTION("""COMPUTED_VALUE"""),0.95)</f>
        <v>0.95</v>
      </c>
      <c r="X401" s="42">
        <f>IFERROR(__xludf.DUMMYFUNCTION("""COMPUTED_VALUE"""),0.8)</f>
        <v>0.8</v>
      </c>
      <c r="Y401" s="42">
        <f>IFERROR(__xludf.DUMMYFUNCTION("""COMPUTED_VALUE"""),0.6)</f>
        <v>0.6</v>
      </c>
      <c r="Z401" s="9">
        <f>IFERROR(__xludf.DUMMYFUNCTION("""COMPUTED_VALUE"""),0.9)</f>
        <v>0.9</v>
      </c>
      <c r="AA401" s="181">
        <f>IFERROR(__xludf.DUMMYFUNCTION("""COMPUTED_VALUE"""),0.0)</f>
        <v>0</v>
      </c>
      <c r="AB401" s="181">
        <f>IFERROR(__xludf.DUMMYFUNCTION("""COMPUTED_VALUE"""),0.0)</f>
        <v>0</v>
      </c>
      <c r="AC401" s="179">
        <f>IFERROR(__xludf.DUMMYFUNCTION("""COMPUTED_VALUE"""),0.0)</f>
        <v>0</v>
      </c>
      <c r="AD401" s="165">
        <f>IFERROR(__xludf.DUMMYFUNCTION("""COMPUTED_VALUE"""),0.0)</f>
        <v>0</v>
      </c>
      <c r="AE401" s="39" t="str">
        <f>IFERROR(__xludf.DUMMYFUNCTION("""COMPUTED_VALUE"""),"Tatsuya Miyamoto")</f>
        <v>Tatsuya Miyamoto</v>
      </c>
      <c r="AF401" s="39" t="str">
        <f>IFERROR(__xludf.DUMMYFUNCTION("""COMPUTED_VALUE"""),"TM21Amygdala")</f>
        <v>TM21Amygdala</v>
      </c>
      <c r="AG401" s="39"/>
      <c r="AH401" s="39"/>
      <c r="AI401" s="165"/>
      <c r="AJ401" s="165"/>
      <c r="AK401" s="111"/>
      <c r="AL401" s="111"/>
      <c r="AM401" s="111"/>
      <c r="AN401" s="111"/>
      <c r="AO401" s="111"/>
      <c r="AP401" s="111"/>
      <c r="AQ401" s="116"/>
      <c r="AR401" s="116"/>
      <c r="AS401" s="116"/>
    </row>
    <row r="402">
      <c r="A402" s="42" t="str">
        <f>IFERROR(__xludf.DUMMYFUNCTION("""COMPUTED_VALUE"""),"En")</f>
        <v>En</v>
      </c>
      <c r="B402" s="42"/>
      <c r="C402" s="42"/>
      <c r="D402" s="42" t="str">
        <f>IFERROR(__xludf.DUMMYFUNCTION("""COMPUTED_VALUE"""),"NLOT")</f>
        <v>NLOT</v>
      </c>
      <c r="E402" s="42"/>
      <c r="F402" s="42"/>
      <c r="G402" s="42"/>
      <c r="H402" s="42" t="str">
        <f>IFERROR(__xludf.DUMMYFUNCTION("""COMPUTED_VALUE"""),"")</f>
        <v/>
      </c>
      <c r="I402" s="42" t="str">
        <f>IFERROR(__xludf.DUMMYFUNCTION("""COMPUTED_VALUE"""),"Pitkänen, 2000")</f>
        <v>Pitkänen, 2000</v>
      </c>
      <c r="J402" s="42" t="str">
        <f>IFERROR(__xludf.DUMMYFUNCTION("""COMPUTED_VALUE"""),"Rat")</f>
        <v>Rat</v>
      </c>
      <c r="K402" s="42" t="str">
        <f>IFERROR(__xludf.DUMMYFUNCTION("""COMPUTED_VALUE"""),"Various tracing")</f>
        <v>Various tracing</v>
      </c>
      <c r="L402" s="42"/>
      <c r="M402" s="42" t="str">
        <f>IFERROR(__xludf.DUMMYFUNCTION("""COMPUTED_VALUE"""),"fig.3-fig.12 (to be specified)")</f>
        <v>fig.3-fig.12 (to be specified)</v>
      </c>
      <c r="N402" s="42"/>
      <c r="O402" s="31" t="str">
        <f>IFERROR(__xludf.DUMMYFUNCTION("""COMPUTED_VALUE"""),"DOC(alt)")</f>
        <v>DOC(alt)</v>
      </c>
      <c r="P402" s="9" t="str">
        <f>IFERROR(__xludf.DUMMYFUNCTION("""COMPUTED_VALUE"""),"Folia morphologica")</f>
        <v>Folia morphologica</v>
      </c>
      <c r="Q402" s="9" t="str">
        <f>IFERROR(__xludf.DUMMYFUNCTION("""COMPUTED_VALUE"""),"Review")</f>
        <v>Review</v>
      </c>
      <c r="R402" s="179" t="str">
        <f>IFERROR(__xludf.DUMMYFUNCTION("""COMPUTED_VALUE"""),"NLOT (00/00) [Pitkänen, 2000];
")</f>
        <v>NLOT (00/00) [Pitkänen, 2000];
</v>
      </c>
      <c r="S402" s="179" t="str">
        <f>IFERROR(__xludf.DUMMYFUNCTION("""COMPUTED_VALUE"""),"EnNLOT")</f>
        <v>EnNLOT</v>
      </c>
      <c r="T402" s="179" t="str">
        <f>IFERROR(__xludf.DUMMYFUNCTION("""COMPUTED_VALUE"""),"[Pitkänen, 2000]")</f>
        <v>[Pitkänen, 2000]</v>
      </c>
      <c r="U402" s="179">
        <f>IFERROR(__xludf.DUMMYFUNCTION("""COMPUTED_VALUE"""),0.0)</f>
        <v>0</v>
      </c>
      <c r="V402" s="180">
        <f>IFERROR(__xludf.DUMMYFUNCTION("""COMPUTED_VALUE"""),0.0)</f>
        <v>0</v>
      </c>
      <c r="W402" s="180">
        <f>IFERROR(__xludf.DUMMYFUNCTION("""COMPUTED_VALUE"""),0.95)</f>
        <v>0.95</v>
      </c>
      <c r="X402" s="42">
        <f>IFERROR(__xludf.DUMMYFUNCTION("""COMPUTED_VALUE"""),0.8)</f>
        <v>0.8</v>
      </c>
      <c r="Y402" s="42">
        <f>IFERROR(__xludf.DUMMYFUNCTION("""COMPUTED_VALUE"""),0.6)</f>
        <v>0.6</v>
      </c>
      <c r="Z402" s="9">
        <f>IFERROR(__xludf.DUMMYFUNCTION("""COMPUTED_VALUE"""),0.9)</f>
        <v>0.9</v>
      </c>
      <c r="AA402" s="181">
        <f>IFERROR(__xludf.DUMMYFUNCTION("""COMPUTED_VALUE"""),0.0)</f>
        <v>0</v>
      </c>
      <c r="AB402" s="181">
        <f>IFERROR(__xludf.DUMMYFUNCTION("""COMPUTED_VALUE"""),0.0)</f>
        <v>0</v>
      </c>
      <c r="AC402" s="179">
        <f>IFERROR(__xludf.DUMMYFUNCTION("""COMPUTED_VALUE"""),0.0)</f>
        <v>0</v>
      </c>
      <c r="AD402" s="165">
        <f>IFERROR(__xludf.DUMMYFUNCTION("""COMPUTED_VALUE"""),0.0)</f>
        <v>0</v>
      </c>
      <c r="AE402" s="39" t="str">
        <f>IFERROR(__xludf.DUMMYFUNCTION("""COMPUTED_VALUE"""),"Tatsuya Miyamoto")</f>
        <v>Tatsuya Miyamoto</v>
      </c>
      <c r="AF402" s="39" t="str">
        <f>IFERROR(__xludf.DUMMYFUNCTION("""COMPUTED_VALUE"""),"TM21Amygdala")</f>
        <v>TM21Amygdala</v>
      </c>
      <c r="AG402" s="39"/>
      <c r="AH402" s="39"/>
      <c r="AI402" s="165"/>
      <c r="AJ402" s="165"/>
      <c r="AK402" s="111"/>
      <c r="AL402" s="111"/>
      <c r="AM402" s="111"/>
      <c r="AN402" s="111"/>
      <c r="AO402" s="111"/>
      <c r="AP402" s="111"/>
      <c r="AQ402" s="116"/>
      <c r="AR402" s="116"/>
      <c r="AS402" s="116"/>
    </row>
    <row r="403">
      <c r="A403" s="42" t="str">
        <f>IFERROR(__xludf.DUMMYFUNCTION("""COMPUTED_VALUE"""),"En")</f>
        <v>En</v>
      </c>
      <c r="B403" s="42"/>
      <c r="C403" s="42"/>
      <c r="D403" s="42" t="str">
        <f>IFERROR(__xludf.DUMMYFUNCTION("""COMPUTED_VALUE"""),"PAC")</f>
        <v>PAC</v>
      </c>
      <c r="E403" s="42"/>
      <c r="F403" s="42"/>
      <c r="G403" s="42"/>
      <c r="H403" s="42" t="str">
        <f>IFERROR(__xludf.DUMMYFUNCTION("""COMPUTED_VALUE"""),"")</f>
        <v/>
      </c>
      <c r="I403" s="42" t="str">
        <f>IFERROR(__xludf.DUMMYFUNCTION("""COMPUTED_VALUE"""),"Pitkänen, 2000")</f>
        <v>Pitkänen, 2000</v>
      </c>
      <c r="J403" s="42" t="str">
        <f>IFERROR(__xludf.DUMMYFUNCTION("""COMPUTED_VALUE"""),"Rat")</f>
        <v>Rat</v>
      </c>
      <c r="K403" s="42" t="str">
        <f>IFERROR(__xludf.DUMMYFUNCTION("""COMPUTED_VALUE"""),"Various tracing")</f>
        <v>Various tracing</v>
      </c>
      <c r="L403" s="42"/>
      <c r="M403" s="42" t="str">
        <f>IFERROR(__xludf.DUMMYFUNCTION("""COMPUTED_VALUE"""),"fig.3-fig.12 (to be specified)")</f>
        <v>fig.3-fig.12 (to be specified)</v>
      </c>
      <c r="N403" s="42"/>
      <c r="O403" s="31" t="str">
        <f>IFERROR(__xludf.DUMMYFUNCTION("""COMPUTED_VALUE"""),"DOC(alt)")</f>
        <v>DOC(alt)</v>
      </c>
      <c r="P403" s="9" t="str">
        <f>IFERROR(__xludf.DUMMYFUNCTION("""COMPUTED_VALUE"""),"Folia morphologica")</f>
        <v>Folia morphologica</v>
      </c>
      <c r="Q403" s="9" t="str">
        <f>IFERROR(__xludf.DUMMYFUNCTION("""COMPUTED_VALUE"""),"Review")</f>
        <v>Review</v>
      </c>
      <c r="R403" s="179" t="str">
        <f>IFERROR(__xludf.DUMMYFUNCTION("""COMPUTED_VALUE"""),"PAC (00/00) [Pitkänen, 2000];
")</f>
        <v>PAC (00/00) [Pitkänen, 2000];
</v>
      </c>
      <c r="S403" s="179" t="str">
        <f>IFERROR(__xludf.DUMMYFUNCTION("""COMPUTED_VALUE"""),"EnPAC")</f>
        <v>EnPAC</v>
      </c>
      <c r="T403" s="179" t="str">
        <f>IFERROR(__xludf.DUMMYFUNCTION("""COMPUTED_VALUE"""),"[Pitkänen, 2000]")</f>
        <v>[Pitkänen, 2000]</v>
      </c>
      <c r="U403" s="179">
        <f>IFERROR(__xludf.DUMMYFUNCTION("""COMPUTED_VALUE"""),0.0)</f>
        <v>0</v>
      </c>
      <c r="V403" s="180">
        <f>IFERROR(__xludf.DUMMYFUNCTION("""COMPUTED_VALUE"""),0.0)</f>
        <v>0</v>
      </c>
      <c r="W403" s="180">
        <f>IFERROR(__xludf.DUMMYFUNCTION("""COMPUTED_VALUE"""),0.95)</f>
        <v>0.95</v>
      </c>
      <c r="X403" s="42">
        <f>IFERROR(__xludf.DUMMYFUNCTION("""COMPUTED_VALUE"""),0.8)</f>
        <v>0.8</v>
      </c>
      <c r="Y403" s="42">
        <f>IFERROR(__xludf.DUMMYFUNCTION("""COMPUTED_VALUE"""),0.6)</f>
        <v>0.6</v>
      </c>
      <c r="Z403" s="9">
        <f>IFERROR(__xludf.DUMMYFUNCTION("""COMPUTED_VALUE"""),0.9)</f>
        <v>0.9</v>
      </c>
      <c r="AA403" s="181">
        <f>IFERROR(__xludf.DUMMYFUNCTION("""COMPUTED_VALUE"""),0.0)</f>
        <v>0</v>
      </c>
      <c r="AB403" s="181">
        <f>IFERROR(__xludf.DUMMYFUNCTION("""COMPUTED_VALUE"""),0.0)</f>
        <v>0</v>
      </c>
      <c r="AC403" s="179">
        <f>IFERROR(__xludf.DUMMYFUNCTION("""COMPUTED_VALUE"""),0.0)</f>
        <v>0</v>
      </c>
      <c r="AD403" s="165">
        <f>IFERROR(__xludf.DUMMYFUNCTION("""COMPUTED_VALUE"""),0.0)</f>
        <v>0</v>
      </c>
      <c r="AE403" s="39" t="str">
        <f>IFERROR(__xludf.DUMMYFUNCTION("""COMPUTED_VALUE"""),"Tatsuya Miyamoto")</f>
        <v>Tatsuya Miyamoto</v>
      </c>
      <c r="AF403" s="39" t="str">
        <f>IFERROR(__xludf.DUMMYFUNCTION("""COMPUTED_VALUE"""),"TM21Amygdala")</f>
        <v>TM21Amygdala</v>
      </c>
      <c r="AG403" s="39"/>
      <c r="AH403" s="39"/>
      <c r="AI403" s="165"/>
      <c r="AJ403" s="165"/>
      <c r="AK403" s="111"/>
      <c r="AL403" s="111"/>
      <c r="AM403" s="111"/>
      <c r="AN403" s="111"/>
      <c r="AO403" s="111"/>
      <c r="AP403" s="111"/>
      <c r="AQ403" s="116"/>
      <c r="AR403" s="116"/>
      <c r="AS403" s="116"/>
    </row>
    <row r="404">
      <c r="A404" s="42" t="str">
        <f>IFERROR(__xludf.DUMMYFUNCTION("""COMPUTED_VALUE"""),"eRF")</f>
        <v>eRF</v>
      </c>
      <c r="B404" s="42"/>
      <c r="C404" s="42"/>
      <c r="D404" s="42" t="str">
        <f>IFERROR(__xludf.DUMMYFUNCTION("""COMPUTED_VALUE"""),"eSpC")</f>
        <v>eSpC</v>
      </c>
      <c r="E404" s="42"/>
      <c r="F404" s="42"/>
      <c r="G404" s="42"/>
      <c r="H404" s="42" t="str">
        <f>IFERROR(__xludf.DUMMYFUNCTION("""COMPUTED_VALUE"""),"")</f>
        <v/>
      </c>
      <c r="I404" s="42" t="str">
        <f>IFERROR(__xludf.DUMMYFUNCTION("""COMPUTED_VALUE"""),"Guo, 2020")</f>
        <v>Guo, 2020</v>
      </c>
      <c r="J404" s="42"/>
      <c r="K404" s="42"/>
      <c r="L404" s="42"/>
      <c r="M404" s="42"/>
      <c r="N404" s="42"/>
      <c r="O404" s="31" t="str">
        <f>IFERROR(__xludf.DUMMYFUNCTION("""COMPUTED_VALUE"""),"DOC")</f>
        <v>DOC</v>
      </c>
      <c r="P404" s="9" t="str">
        <f>IFERROR(__xludf.DUMMYFUNCTION("""COMPUTED_VALUE"""),"-")</f>
        <v>-</v>
      </c>
      <c r="Q404" s="9"/>
      <c r="R404" s="179" t="str">
        <f>IFERROR(__xludf.DUMMYFUNCTION("""COMPUTED_VALUE"""),"eSpC (00/00) [Guo, 2020][Knierim, 2021];
")</f>
        <v>eSpC (00/00) [Guo, 2020][Knierim, 2021];
</v>
      </c>
      <c r="S404" s="179" t="str">
        <f>IFERROR(__xludf.DUMMYFUNCTION("""COMPUTED_VALUE"""),"eRFeSpC")</f>
        <v>eRFeSpC</v>
      </c>
      <c r="T404" s="179" t="str">
        <f>IFERROR(__xludf.DUMMYFUNCTION("""COMPUTED_VALUE"""),"[Guo, 2020]")</f>
        <v>[Guo, 2020]</v>
      </c>
      <c r="U404" s="179">
        <f>IFERROR(__xludf.DUMMYFUNCTION("""COMPUTED_VALUE"""),0.0)</f>
        <v>0</v>
      </c>
      <c r="V404" s="180">
        <f>IFERROR(__xludf.DUMMYFUNCTION("""COMPUTED_VALUE"""),0.0)</f>
        <v>0</v>
      </c>
      <c r="W404" s="180">
        <f>IFERROR(__xludf.DUMMYFUNCTION("""COMPUTED_VALUE"""),1.0)</f>
        <v>1</v>
      </c>
      <c r="X404" s="42">
        <f>IFERROR(__xludf.DUMMYFUNCTION("""COMPUTED_VALUE"""),0.0)</f>
        <v>0</v>
      </c>
      <c r="Y404" s="42">
        <f>IFERROR(__xludf.DUMMYFUNCTION("""COMPUTED_VALUE"""),0.0)</f>
        <v>0</v>
      </c>
      <c r="Z404" s="9">
        <f>IFERROR(__xludf.DUMMYFUNCTION("""COMPUTED_VALUE"""),0.0)</f>
        <v>0</v>
      </c>
      <c r="AA404" s="181">
        <f>IFERROR(__xludf.DUMMYFUNCTION("""COMPUTED_VALUE"""),0.0)</f>
        <v>0</v>
      </c>
      <c r="AB404" s="181">
        <f>IFERROR(__xludf.DUMMYFUNCTION("""COMPUTED_VALUE"""),0.0)</f>
        <v>0</v>
      </c>
      <c r="AC404" s="179">
        <f>IFERROR(__xludf.DUMMYFUNCTION("""COMPUTED_VALUE"""),0.0)</f>
        <v>0</v>
      </c>
      <c r="AD404" s="165">
        <f>IFERROR(__xludf.DUMMYFUNCTION("""COMPUTED_VALUE"""),0.0)</f>
        <v>0</v>
      </c>
      <c r="AE404" s="39" t="str">
        <f>IFERROR(__xludf.DUMMYFUNCTION("""COMPUTED_VALUE"""),"Hiroshi Yamakawa")</f>
        <v>Hiroshi Yamakawa</v>
      </c>
      <c r="AF404" s="39" t="str">
        <f>IFERROR(__xludf.DUMMYFUNCTION("""COMPUTED_VALUE"""),"HY20Cerebellum")</f>
        <v>HY20Cerebellum</v>
      </c>
      <c r="AG404" s="39"/>
      <c r="AH404" s="39"/>
      <c r="AI404" s="165"/>
      <c r="AJ404" s="165"/>
      <c r="AK404" s="111"/>
      <c r="AL404" s="111"/>
      <c r="AM404" s="111"/>
      <c r="AN404" s="111"/>
      <c r="AO404" s="111"/>
      <c r="AP404" s="111"/>
      <c r="AQ404" s="116"/>
      <c r="AR404" s="116"/>
      <c r="AS404" s="116"/>
    </row>
    <row r="405">
      <c r="A405" s="42" t="str">
        <f>IFERROR(__xludf.DUMMYFUNCTION("""COMPUTED_VALUE"""),"eRF")</f>
        <v>eRF</v>
      </c>
      <c r="B405" s="42"/>
      <c r="C405" s="42"/>
      <c r="D405" s="42" t="str">
        <f>IFERROR(__xludf.DUMMYFUNCTION("""COMPUTED_VALUE"""),"eSpC")</f>
        <v>eSpC</v>
      </c>
      <c r="E405" s="42"/>
      <c r="F405" s="42"/>
      <c r="G405" s="42"/>
      <c r="H405" s="42" t="str">
        <f>IFERROR(__xludf.DUMMYFUNCTION("""COMPUTED_VALUE"""),"")</f>
        <v/>
      </c>
      <c r="I405" s="42" t="str">
        <f>IFERROR(__xludf.DUMMYFUNCTION("""COMPUTED_VALUE"""),"Knierim, 2021")</f>
        <v>Knierim, 2021</v>
      </c>
      <c r="J405" s="42"/>
      <c r="K405" s="42"/>
      <c r="L405" s="42"/>
      <c r="M405" s="42"/>
      <c r="N405" s="42"/>
      <c r="O405" s="31" t="str">
        <f>IFERROR(__xludf.DUMMYFUNCTION("""COMPUTED_VALUE"""),"DOC(alt)")</f>
        <v>DOC(alt)</v>
      </c>
      <c r="P405" s="9" t="str">
        <f>IFERROR(__xludf.DUMMYFUNCTION("""COMPUTED_VALUE"""),"Neuroscience Online, an {Open-Access} Neuroscience Electronic Textbook")</f>
        <v>Neuroscience Online, an {Open-Access} Neuroscience Electronic Textbook</v>
      </c>
      <c r="Q405" s="9" t="str">
        <f>IFERROR(__xludf.DUMMYFUNCTION("""COMPUTED_VALUE"""),"Textbook")</f>
        <v>Textbook</v>
      </c>
      <c r="R405" s="179" t="str">
        <f>IFERROR(__xludf.DUMMYFUNCTION("""COMPUTED_VALUE"""),"eSpC (00/00) [Guo, 2020][Knierim, 2021];
")</f>
        <v>eSpC (00/00) [Guo, 2020][Knierim, 2021];
</v>
      </c>
      <c r="S405" s="179" t="str">
        <f>IFERROR(__xludf.DUMMYFUNCTION("""COMPUTED_VALUE"""),"eRFeSpC")</f>
        <v>eRFeSpC</v>
      </c>
      <c r="T405" s="179" t="str">
        <f>IFERROR(__xludf.DUMMYFUNCTION("""COMPUTED_VALUE"""),"[Knierim, 2021]")</f>
        <v>[Knierim, 2021]</v>
      </c>
      <c r="U405" s="179">
        <f>IFERROR(__xludf.DUMMYFUNCTION("""COMPUTED_VALUE"""),0.0)</f>
        <v>0</v>
      </c>
      <c r="V405" s="180">
        <f>IFERROR(__xludf.DUMMYFUNCTION("""COMPUTED_VALUE"""),0.0)</f>
        <v>0</v>
      </c>
      <c r="W405" s="180">
        <f>IFERROR(__xludf.DUMMYFUNCTION("""COMPUTED_VALUE"""),0.0)</f>
        <v>0</v>
      </c>
      <c r="X405" s="42">
        <f>IFERROR(__xludf.DUMMYFUNCTION("""COMPUTED_VALUE"""),0.9)</f>
        <v>0.9</v>
      </c>
      <c r="Y405" s="42">
        <f>IFERROR(__xludf.DUMMYFUNCTION("""COMPUTED_VALUE"""),0.0)</f>
        <v>0</v>
      </c>
      <c r="Z405" s="9">
        <f>IFERROR(__xludf.DUMMYFUNCTION("""COMPUTED_VALUE"""),0.0)</f>
        <v>0</v>
      </c>
      <c r="AA405" s="181">
        <f>IFERROR(__xludf.DUMMYFUNCTION("""COMPUTED_VALUE"""),0.0)</f>
        <v>0</v>
      </c>
      <c r="AB405" s="181">
        <f>IFERROR(__xludf.DUMMYFUNCTION("""COMPUTED_VALUE"""),0.0)</f>
        <v>0</v>
      </c>
      <c r="AC405" s="179">
        <f>IFERROR(__xludf.DUMMYFUNCTION("""COMPUTED_VALUE"""),0.0)</f>
        <v>0</v>
      </c>
      <c r="AD405" s="165">
        <f>IFERROR(__xludf.DUMMYFUNCTION("""COMPUTED_VALUE"""),0.0)</f>
        <v>0</v>
      </c>
      <c r="AE405" s="39" t="str">
        <f>IFERROR(__xludf.DUMMYFUNCTION("""COMPUTED_VALUE"""),"Hiroshi Yamakawa")</f>
        <v>Hiroshi Yamakawa</v>
      </c>
      <c r="AF405" s="39" t="str">
        <f>IFERROR(__xludf.DUMMYFUNCTION("""COMPUTED_VALUE"""),"HY20Cerebellum")</f>
        <v>HY20Cerebellum</v>
      </c>
      <c r="AG405" s="39"/>
      <c r="AH405" s="39"/>
      <c r="AI405" s="165"/>
      <c r="AJ405" s="165"/>
      <c r="AK405" s="111"/>
      <c r="AL405" s="111"/>
      <c r="AM405" s="111"/>
      <c r="AN405" s="111"/>
      <c r="AO405" s="111"/>
      <c r="AP405" s="111"/>
      <c r="AQ405" s="116"/>
      <c r="AR405" s="116"/>
      <c r="AS405" s="116"/>
    </row>
    <row r="406">
      <c r="A406" s="42" t="str">
        <f>IFERROR(__xludf.DUMMYFUNCTION("""COMPUTED_VALUE"""),"F2")</f>
        <v>F2</v>
      </c>
      <c r="B406" s="42"/>
      <c r="C406" s="42"/>
      <c r="D406" s="42" t="str">
        <f>IFERROR(__xludf.DUMMYFUNCTION("""COMPUTED_VALUE"""),"InC")</f>
        <v>InC</v>
      </c>
      <c r="E406" s="42"/>
      <c r="F406" s="42"/>
      <c r="G406" s="42"/>
      <c r="H406" s="42" t="str">
        <f>IFERROR(__xludf.DUMMYFUNCTION("""COMPUTED_VALUE"""),"")</f>
        <v/>
      </c>
      <c r="I406" s="42" t="str">
        <f>IFERROR(__xludf.DUMMYFUNCTION("""COMPUTED_VALUE"""),"Fujita, 2020")</f>
        <v>Fujita, 2020</v>
      </c>
      <c r="J406" s="42"/>
      <c r="K406" s="42"/>
      <c r="L406" s="42"/>
      <c r="M406" s="42"/>
      <c r="N406" s="42"/>
      <c r="O406" s="31" t="str">
        <f>IFERROR(__xludf.DUMMYFUNCTION("""COMPUTED_VALUE"""),"DOC")</f>
        <v>DOC</v>
      </c>
      <c r="P406" s="9" t="str">
        <f>IFERROR(__xludf.DUMMYFUNCTION("""COMPUTED_VALUE"""),"{eLife}")</f>
        <v>{eLife}</v>
      </c>
      <c r="Q406" s="9"/>
      <c r="R406" s="179" t="str">
        <f>IFERROR(__xludf.DUMMYFUNCTION("""COMPUTED_VALUE"""),"InC (00/00) [Fujita, 2020];
")</f>
        <v>InC (00/00) [Fujita, 2020];
</v>
      </c>
      <c r="S406" s="179" t="str">
        <f>IFERROR(__xludf.DUMMYFUNCTION("""COMPUTED_VALUE"""),"F2InC")</f>
        <v>F2InC</v>
      </c>
      <c r="T406" s="179" t="str">
        <f>IFERROR(__xludf.DUMMYFUNCTION("""COMPUTED_VALUE"""),"[Fujita, 2020]")</f>
        <v>[Fujita, 2020]</v>
      </c>
      <c r="U406" s="179">
        <f>IFERROR(__xludf.DUMMYFUNCTION("""COMPUTED_VALUE"""),0.0)</f>
        <v>0</v>
      </c>
      <c r="V406" s="180">
        <f>IFERROR(__xludf.DUMMYFUNCTION("""COMPUTED_VALUE"""),0.0)</f>
        <v>0</v>
      </c>
      <c r="W406" s="180">
        <f>IFERROR(__xludf.DUMMYFUNCTION("""COMPUTED_VALUE"""),0.95)</f>
        <v>0.95</v>
      </c>
      <c r="X406" s="42">
        <f>IFERROR(__xludf.DUMMYFUNCTION("""COMPUTED_VALUE"""),0.0)</f>
        <v>0</v>
      </c>
      <c r="Y406" s="42">
        <f>IFERROR(__xludf.DUMMYFUNCTION("""COMPUTED_VALUE"""),0.0)</f>
        <v>0</v>
      </c>
      <c r="Z406" s="9">
        <f>IFERROR(__xludf.DUMMYFUNCTION("""COMPUTED_VALUE"""),0.0)</f>
        <v>0</v>
      </c>
      <c r="AA406" s="181">
        <f>IFERROR(__xludf.DUMMYFUNCTION("""COMPUTED_VALUE"""),0.0)</f>
        <v>0</v>
      </c>
      <c r="AB406" s="181">
        <f>IFERROR(__xludf.DUMMYFUNCTION("""COMPUTED_VALUE"""),0.0)</f>
        <v>0</v>
      </c>
      <c r="AC406" s="179">
        <f>IFERROR(__xludf.DUMMYFUNCTION("""COMPUTED_VALUE"""),0.0)</f>
        <v>0</v>
      </c>
      <c r="AD406" s="165">
        <f>IFERROR(__xludf.DUMMYFUNCTION("""COMPUTED_VALUE"""),0.0)</f>
        <v>0</v>
      </c>
      <c r="AE406" s="39" t="str">
        <f>IFERROR(__xludf.DUMMYFUNCTION("""COMPUTED_VALUE"""),"Yoshimasa Tawatsuji")</f>
        <v>Yoshimasa Tawatsuji</v>
      </c>
      <c r="AF406" s="39" t="str">
        <f>IFERROR(__xludf.DUMMYFUNCTION("""COMPUTED_VALUE"""),"Oculomotor")</f>
        <v>Oculomotor</v>
      </c>
      <c r="AG406" s="39"/>
      <c r="AH406" s="39"/>
      <c r="AI406" s="165"/>
      <c r="AJ406" s="165"/>
      <c r="AK406" s="111"/>
      <c r="AL406" s="111"/>
      <c r="AM406" s="111"/>
      <c r="AN406" s="111"/>
      <c r="AO406" s="111"/>
      <c r="AP406" s="111"/>
      <c r="AQ406" s="116"/>
      <c r="AR406" s="116"/>
      <c r="AS406" s="116"/>
    </row>
    <row r="407">
      <c r="A407" s="42" t="str">
        <f>IFERROR(__xludf.DUMMYFUNCTION("""COMPUTED_VALUE"""),"F2")</f>
        <v>F2</v>
      </c>
      <c r="B407" s="42"/>
      <c r="C407" s="42"/>
      <c r="D407" s="42" t="str">
        <f>IFERROR(__xludf.DUMMYFUNCTION("""COMPUTED_VALUE"""),"PPRF")</f>
        <v>PPRF</v>
      </c>
      <c r="E407" s="42"/>
      <c r="F407" s="42"/>
      <c r="G407" s="42"/>
      <c r="H407" s="42" t="str">
        <f>IFERROR(__xludf.DUMMYFUNCTION("""COMPUTED_VALUE"""),"")</f>
        <v/>
      </c>
      <c r="I407" s="42" t="str">
        <f>IFERROR(__xludf.DUMMYFUNCTION("""COMPUTED_VALUE"""),"Fujita, 2020")</f>
        <v>Fujita, 2020</v>
      </c>
      <c r="J407" s="42"/>
      <c r="K407" s="42"/>
      <c r="L407" s="42"/>
      <c r="M407" s="42"/>
      <c r="N407" s="42"/>
      <c r="O407" s="31" t="str">
        <f>IFERROR(__xludf.DUMMYFUNCTION("""COMPUTED_VALUE"""),"DOC")</f>
        <v>DOC</v>
      </c>
      <c r="P407" s="9" t="str">
        <f>IFERROR(__xludf.DUMMYFUNCTION("""COMPUTED_VALUE"""),"{eLife}")</f>
        <v>{eLife}</v>
      </c>
      <c r="Q407" s="9"/>
      <c r="R407" s="179" t="str">
        <f>IFERROR(__xludf.DUMMYFUNCTION("""COMPUTED_VALUE"""),"PPRF (00/00) [Fujita, 2020];
")</f>
        <v>PPRF (00/00) [Fujita, 2020];
</v>
      </c>
      <c r="S407" s="179" t="str">
        <f>IFERROR(__xludf.DUMMYFUNCTION("""COMPUTED_VALUE"""),"F2PPRF")</f>
        <v>F2PPRF</v>
      </c>
      <c r="T407" s="179" t="str">
        <f>IFERROR(__xludf.DUMMYFUNCTION("""COMPUTED_VALUE"""),"[Fujita, 2020]")</f>
        <v>[Fujita, 2020]</v>
      </c>
      <c r="U407" s="179">
        <f>IFERROR(__xludf.DUMMYFUNCTION("""COMPUTED_VALUE"""),0.0)</f>
        <v>0</v>
      </c>
      <c r="V407" s="180">
        <f>IFERROR(__xludf.DUMMYFUNCTION("""COMPUTED_VALUE"""),0.0)</f>
        <v>0</v>
      </c>
      <c r="W407" s="180">
        <f>IFERROR(__xludf.DUMMYFUNCTION("""COMPUTED_VALUE"""),0.95)</f>
        <v>0.95</v>
      </c>
      <c r="X407" s="42">
        <f>IFERROR(__xludf.DUMMYFUNCTION("""COMPUTED_VALUE"""),0.0)</f>
        <v>0</v>
      </c>
      <c r="Y407" s="42">
        <f>IFERROR(__xludf.DUMMYFUNCTION("""COMPUTED_VALUE"""),0.0)</f>
        <v>0</v>
      </c>
      <c r="Z407" s="9">
        <f>IFERROR(__xludf.DUMMYFUNCTION("""COMPUTED_VALUE"""),0.0)</f>
        <v>0</v>
      </c>
      <c r="AA407" s="181">
        <f>IFERROR(__xludf.DUMMYFUNCTION("""COMPUTED_VALUE"""),0.0)</f>
        <v>0</v>
      </c>
      <c r="AB407" s="181">
        <f>IFERROR(__xludf.DUMMYFUNCTION("""COMPUTED_VALUE"""),0.0)</f>
        <v>0</v>
      </c>
      <c r="AC407" s="179">
        <f>IFERROR(__xludf.DUMMYFUNCTION("""COMPUTED_VALUE"""),0.0)</f>
        <v>0</v>
      </c>
      <c r="AD407" s="165">
        <f>IFERROR(__xludf.DUMMYFUNCTION("""COMPUTED_VALUE"""),0.0)</f>
        <v>0</v>
      </c>
      <c r="AE407" s="39" t="str">
        <f>IFERROR(__xludf.DUMMYFUNCTION("""COMPUTED_VALUE"""),"Yoshimasa Tawatsuji")</f>
        <v>Yoshimasa Tawatsuji</v>
      </c>
      <c r="AF407" s="39" t="str">
        <f>IFERROR(__xludf.DUMMYFUNCTION("""COMPUTED_VALUE"""),"Oculomotor")</f>
        <v>Oculomotor</v>
      </c>
      <c r="AG407" s="39"/>
      <c r="AH407" s="39"/>
      <c r="AI407" s="165"/>
      <c r="AJ407" s="165"/>
      <c r="AK407" s="111"/>
      <c r="AL407" s="111"/>
      <c r="AM407" s="111"/>
      <c r="AN407" s="111"/>
      <c r="AO407" s="111"/>
      <c r="AP407" s="111"/>
      <c r="AQ407" s="116"/>
      <c r="AR407" s="116"/>
      <c r="AS407" s="116"/>
    </row>
    <row r="408">
      <c r="A408" s="42" t="str">
        <f>IFERROR(__xludf.DUMMYFUNCTION("""COMPUTED_VALUE"""),"F2")</f>
        <v>F2</v>
      </c>
      <c r="B408" s="42"/>
      <c r="C408" s="42"/>
      <c r="D408" s="42" t="str">
        <f>IFERROR(__xludf.DUMMYFUNCTION("""COMPUTED_VALUE"""),"FF")</f>
        <v>FF</v>
      </c>
      <c r="E408" s="42"/>
      <c r="F408" s="42"/>
      <c r="G408" s="42"/>
      <c r="H408" s="42" t="str">
        <f>IFERROR(__xludf.DUMMYFUNCTION("""COMPUTED_VALUE"""),"")</f>
        <v/>
      </c>
      <c r="I408" s="42" t="str">
        <f>IFERROR(__xludf.DUMMYFUNCTION("""COMPUTED_VALUE"""),"Zhang, 2016")</f>
        <v>Zhang, 2016</v>
      </c>
      <c r="J408" s="42"/>
      <c r="K408" s="42"/>
      <c r="L408" s="42"/>
      <c r="M408" s="42"/>
      <c r="N408" s="42"/>
      <c r="O408" s="31" t="str">
        <f>IFERROR(__xludf.DUMMYFUNCTION("""COMPUTED_VALUE"""),"DOC")</f>
        <v>DOC</v>
      </c>
      <c r="P408" s="9" t="str">
        <f>IFERROR(__xludf.DUMMYFUNCTION("""COMPUTED_VALUE"""),"Cerebellum &amp; Ataxias")</f>
        <v>Cerebellum &amp; Ataxias</v>
      </c>
      <c r="Q408" s="9"/>
      <c r="R408" s="179" t="str">
        <f>IFERROR(__xludf.DUMMYFUNCTION("""COMPUTED_VALUE"""),"FF (00/00) [Zhang, 2016];
")</f>
        <v>FF (00/00) [Zhang, 2016];
</v>
      </c>
      <c r="S408" s="179" t="str">
        <f>IFERROR(__xludf.DUMMYFUNCTION("""COMPUTED_VALUE"""),"F2FF")</f>
        <v>F2FF</v>
      </c>
      <c r="T408" s="179" t="str">
        <f>IFERROR(__xludf.DUMMYFUNCTION("""COMPUTED_VALUE"""),"[Zhang, 2016]")</f>
        <v>[Zhang, 2016]</v>
      </c>
      <c r="U408" s="179">
        <f>IFERROR(__xludf.DUMMYFUNCTION("""COMPUTED_VALUE"""),0.0)</f>
        <v>0</v>
      </c>
      <c r="V408" s="180">
        <f>IFERROR(__xludf.DUMMYFUNCTION("""COMPUTED_VALUE"""),0.0)</f>
        <v>0</v>
      </c>
      <c r="W408" s="180">
        <f>IFERROR(__xludf.DUMMYFUNCTION("""COMPUTED_VALUE"""),0.0)</f>
        <v>0</v>
      </c>
      <c r="X408" s="42">
        <f>IFERROR(__xludf.DUMMYFUNCTION("""COMPUTED_VALUE"""),0.0)</f>
        <v>0</v>
      </c>
      <c r="Y408" s="42">
        <f>IFERROR(__xludf.DUMMYFUNCTION("""COMPUTED_VALUE"""),0.0)</f>
        <v>0</v>
      </c>
      <c r="Z408" s="9">
        <f>IFERROR(__xludf.DUMMYFUNCTION("""COMPUTED_VALUE"""),0.0)</f>
        <v>0</v>
      </c>
      <c r="AA408" s="181">
        <f>IFERROR(__xludf.DUMMYFUNCTION("""COMPUTED_VALUE"""),0.0)</f>
        <v>0</v>
      </c>
      <c r="AB408" s="181">
        <f>IFERROR(__xludf.DUMMYFUNCTION("""COMPUTED_VALUE"""),0.0)</f>
        <v>0</v>
      </c>
      <c r="AC408" s="179">
        <f>IFERROR(__xludf.DUMMYFUNCTION("""COMPUTED_VALUE"""),0.0)</f>
        <v>0</v>
      </c>
      <c r="AD408" s="165">
        <f>IFERROR(__xludf.DUMMYFUNCTION("""COMPUTED_VALUE"""),0.0)</f>
        <v>0</v>
      </c>
      <c r="AE408" s="39" t="str">
        <f>IFERROR(__xludf.DUMMYFUNCTION("""COMPUTED_VALUE"""),"Yoshimasa Tawatsuji")</f>
        <v>Yoshimasa Tawatsuji</v>
      </c>
      <c r="AF408" s="39" t="str">
        <f>IFERROR(__xludf.DUMMYFUNCTION("""COMPUTED_VALUE"""),"Oculomotor")</f>
        <v>Oculomotor</v>
      </c>
      <c r="AG408" s="39"/>
      <c r="AH408" s="39"/>
      <c r="AI408" s="165"/>
      <c r="AJ408" s="165"/>
      <c r="AK408" s="111"/>
      <c r="AL408" s="111"/>
      <c r="AM408" s="111"/>
      <c r="AN408" s="111"/>
      <c r="AO408" s="111"/>
      <c r="AP408" s="111"/>
      <c r="AQ408" s="116"/>
      <c r="AR408" s="116"/>
      <c r="AS408" s="116"/>
    </row>
    <row r="409">
      <c r="A409" s="42" t="str">
        <f>IFERROR(__xludf.DUMMYFUNCTION("""COMPUTED_VALUE"""),"Fas")</f>
        <v>Fas</v>
      </c>
      <c r="B409" s="42"/>
      <c r="C409" s="42"/>
      <c r="D409" s="42" t="str">
        <f>IFERROR(__xludf.DUMMYFUNCTION("""COMPUTED_VALUE"""),"LD")</f>
        <v>LD</v>
      </c>
      <c r="E409" s="42"/>
      <c r="F409" s="42"/>
      <c r="G409" s="42"/>
      <c r="H409" s="42" t="str">
        <f>IFERROR(__xludf.DUMMYFUNCTION("""COMPUTED_VALUE"""),"")</f>
        <v/>
      </c>
      <c r="I409" s="42" t="str">
        <f>IFERROR(__xludf.DUMMYFUNCTION("""COMPUTED_VALUE"""),"Bohne, 2019")</f>
        <v>Bohne, 2019</v>
      </c>
      <c r="J409" s="42"/>
      <c r="K409" s="42"/>
      <c r="L409" s="42"/>
      <c r="M409" s="42"/>
      <c r="N409" s="42"/>
      <c r="O409" s="31" t="str">
        <f>IFERROR(__xludf.DUMMYFUNCTION("""COMPUTED_VALUE"""),"DOC")</f>
        <v>DOC</v>
      </c>
      <c r="P409" s="9" t="str">
        <f>IFERROR(__xludf.DUMMYFUNCTION("""COMPUTED_VALUE"""),"Frontiers in Neural Circuits")</f>
        <v>Frontiers in Neural Circuits</v>
      </c>
      <c r="Q409" s="9"/>
      <c r="R409" s="179" t="str">
        <f>IFERROR(__xludf.DUMMYFUNCTION("""COMPUTED_VALUE"""),"LD (00/00) [Bohne, 2019];
")</f>
        <v>LD (00/00) [Bohne, 2019];
</v>
      </c>
      <c r="S409" s="179" t="str">
        <f>IFERROR(__xludf.DUMMYFUNCTION("""COMPUTED_VALUE"""),"FasLD")</f>
        <v>FasLD</v>
      </c>
      <c r="T409" s="179" t="str">
        <f>IFERROR(__xludf.DUMMYFUNCTION("""COMPUTED_VALUE"""),"[Bohne, 2019]")</f>
        <v>[Bohne, 2019]</v>
      </c>
      <c r="U409" s="179">
        <f>IFERROR(__xludf.DUMMYFUNCTION("""COMPUTED_VALUE"""),0.0)</f>
        <v>0</v>
      </c>
      <c r="V409" s="180">
        <f>IFERROR(__xludf.DUMMYFUNCTION("""COMPUTED_VALUE"""),0.0)</f>
        <v>0</v>
      </c>
      <c r="W409" s="180">
        <f>IFERROR(__xludf.DUMMYFUNCTION("""COMPUTED_VALUE"""),0.95)</f>
        <v>0.95</v>
      </c>
      <c r="X409" s="42">
        <f>IFERROR(__xludf.DUMMYFUNCTION("""COMPUTED_VALUE"""),0.0)</f>
        <v>0</v>
      </c>
      <c r="Y409" s="42">
        <f>IFERROR(__xludf.DUMMYFUNCTION("""COMPUTED_VALUE"""),0.0)</f>
        <v>0</v>
      </c>
      <c r="Z409" s="9">
        <f>IFERROR(__xludf.DUMMYFUNCTION("""COMPUTED_VALUE"""),0.0)</f>
        <v>0</v>
      </c>
      <c r="AA409" s="181">
        <f>IFERROR(__xludf.DUMMYFUNCTION("""COMPUTED_VALUE"""),0.0)</f>
        <v>0</v>
      </c>
      <c r="AB409" s="181">
        <f>IFERROR(__xludf.DUMMYFUNCTION("""COMPUTED_VALUE"""),0.0)</f>
        <v>0</v>
      </c>
      <c r="AC409" s="179">
        <f>IFERROR(__xludf.DUMMYFUNCTION("""COMPUTED_VALUE"""),0.0)</f>
        <v>0</v>
      </c>
      <c r="AD409" s="165">
        <f>IFERROR(__xludf.DUMMYFUNCTION("""COMPUTED_VALUE"""),0.0)</f>
        <v>0</v>
      </c>
      <c r="AE409" s="39" t="str">
        <f>IFERROR(__xludf.DUMMYFUNCTION("""COMPUTED_VALUE"""),"Hiroshi Yamakawa")</f>
        <v>Hiroshi Yamakawa</v>
      </c>
      <c r="AF409" s="39" t="str">
        <f>IFERROR(__xludf.DUMMYFUNCTION("""COMPUTED_VALUE"""),"HY20Cerebellum")</f>
        <v>HY20Cerebellum</v>
      </c>
      <c r="AG409" s="39"/>
      <c r="AH409" s="39"/>
      <c r="AI409" s="165"/>
      <c r="AJ409" s="165"/>
      <c r="AK409" s="111"/>
      <c r="AL409" s="111"/>
      <c r="AM409" s="111"/>
      <c r="AN409" s="111"/>
      <c r="AO409" s="111"/>
      <c r="AP409" s="111"/>
      <c r="AQ409" s="116"/>
      <c r="AR409" s="116"/>
      <c r="AS409" s="116"/>
    </row>
    <row r="410">
      <c r="A410" s="42" t="str">
        <f>IFERROR(__xludf.DUMMYFUNCTION("""COMPUTED_VALUE"""),"Fas")</f>
        <v>Fas</v>
      </c>
      <c r="B410" s="42"/>
      <c r="C410" s="42"/>
      <c r="D410" s="42" t="str">
        <f>IFERROR(__xludf.DUMMYFUNCTION("""COMPUTED_VALUE"""),"LP")</f>
        <v>LP</v>
      </c>
      <c r="E410" s="42"/>
      <c r="F410" s="42"/>
      <c r="G410" s="42"/>
      <c r="H410" s="42" t="str">
        <f>IFERROR(__xludf.DUMMYFUNCTION("""COMPUTED_VALUE"""),"")</f>
        <v/>
      </c>
      <c r="I410" s="42" t="str">
        <f>IFERROR(__xludf.DUMMYFUNCTION("""COMPUTED_VALUE"""),"Bohne, 2019")</f>
        <v>Bohne, 2019</v>
      </c>
      <c r="J410" s="42"/>
      <c r="K410" s="42"/>
      <c r="L410" s="42"/>
      <c r="M410" s="42"/>
      <c r="N410" s="42"/>
      <c r="O410" s="31" t="str">
        <f>IFERROR(__xludf.DUMMYFUNCTION("""COMPUTED_VALUE"""),"DOC")</f>
        <v>DOC</v>
      </c>
      <c r="P410" s="9" t="str">
        <f>IFERROR(__xludf.DUMMYFUNCTION("""COMPUTED_VALUE"""),"Frontiers in Neural Circuits")</f>
        <v>Frontiers in Neural Circuits</v>
      </c>
      <c r="Q410" s="9"/>
      <c r="R410" s="179" t="str">
        <f>IFERROR(__xludf.DUMMYFUNCTION("""COMPUTED_VALUE"""),"LP (00/00) [Bohne, 2019];
")</f>
        <v>LP (00/00) [Bohne, 2019];
</v>
      </c>
      <c r="S410" s="179" t="str">
        <f>IFERROR(__xludf.DUMMYFUNCTION("""COMPUTED_VALUE"""),"FasLP")</f>
        <v>FasLP</v>
      </c>
      <c r="T410" s="179" t="str">
        <f>IFERROR(__xludf.DUMMYFUNCTION("""COMPUTED_VALUE"""),"[Bohne, 2019]")</f>
        <v>[Bohne, 2019]</v>
      </c>
      <c r="U410" s="179">
        <f>IFERROR(__xludf.DUMMYFUNCTION("""COMPUTED_VALUE"""),0.0)</f>
        <v>0</v>
      </c>
      <c r="V410" s="180">
        <f>IFERROR(__xludf.DUMMYFUNCTION("""COMPUTED_VALUE"""),0.0)</f>
        <v>0</v>
      </c>
      <c r="W410" s="180">
        <f>IFERROR(__xludf.DUMMYFUNCTION("""COMPUTED_VALUE"""),0.95)</f>
        <v>0.95</v>
      </c>
      <c r="X410" s="42">
        <f>IFERROR(__xludf.DUMMYFUNCTION("""COMPUTED_VALUE"""),0.0)</f>
        <v>0</v>
      </c>
      <c r="Y410" s="42">
        <f>IFERROR(__xludf.DUMMYFUNCTION("""COMPUTED_VALUE"""),0.0)</f>
        <v>0</v>
      </c>
      <c r="Z410" s="9">
        <f>IFERROR(__xludf.DUMMYFUNCTION("""COMPUTED_VALUE"""),0.0)</f>
        <v>0</v>
      </c>
      <c r="AA410" s="181">
        <f>IFERROR(__xludf.DUMMYFUNCTION("""COMPUTED_VALUE"""),0.0)</f>
        <v>0</v>
      </c>
      <c r="AB410" s="181">
        <f>IFERROR(__xludf.DUMMYFUNCTION("""COMPUTED_VALUE"""),0.0)</f>
        <v>0</v>
      </c>
      <c r="AC410" s="179">
        <f>IFERROR(__xludf.DUMMYFUNCTION("""COMPUTED_VALUE"""),0.0)</f>
        <v>0</v>
      </c>
      <c r="AD410" s="165">
        <f>IFERROR(__xludf.DUMMYFUNCTION("""COMPUTED_VALUE"""),0.0)</f>
        <v>0</v>
      </c>
      <c r="AE410" s="39" t="str">
        <f>IFERROR(__xludf.DUMMYFUNCTION("""COMPUTED_VALUE"""),"Hiroshi Yamakawa")</f>
        <v>Hiroshi Yamakawa</v>
      </c>
      <c r="AF410" s="39" t="str">
        <f>IFERROR(__xludf.DUMMYFUNCTION("""COMPUTED_VALUE"""),"HY20Cerebellum")</f>
        <v>HY20Cerebellum</v>
      </c>
      <c r="AG410" s="39"/>
      <c r="AH410" s="39"/>
      <c r="AI410" s="165"/>
      <c r="AJ410" s="165"/>
      <c r="AK410" s="111"/>
      <c r="AL410" s="111"/>
      <c r="AM410" s="111"/>
      <c r="AN410" s="111"/>
      <c r="AO410" s="111"/>
      <c r="AP410" s="111"/>
      <c r="AQ410" s="116"/>
      <c r="AR410" s="116"/>
      <c r="AS410" s="116"/>
    </row>
    <row r="411">
      <c r="A411" s="42" t="str">
        <f>IFERROR(__xludf.DUMMYFUNCTION("""COMPUTED_VALUE"""),"Fas")</f>
        <v>Fas</v>
      </c>
      <c r="B411" s="42"/>
      <c r="C411" s="42"/>
      <c r="D411" s="42" t="str">
        <f>IFERROR(__xludf.DUMMYFUNCTION("""COMPUTED_VALUE"""),"MG")</f>
        <v>MG</v>
      </c>
      <c r="E411" s="42"/>
      <c r="F411" s="42"/>
      <c r="G411" s="42"/>
      <c r="H411" s="42" t="str">
        <f>IFERROR(__xludf.DUMMYFUNCTION("""COMPUTED_VALUE"""),"")</f>
        <v/>
      </c>
      <c r="I411" s="42" t="str">
        <f>IFERROR(__xludf.DUMMYFUNCTION("""COMPUTED_VALUE"""),"Bohne, 2019")</f>
        <v>Bohne, 2019</v>
      </c>
      <c r="J411" s="42"/>
      <c r="K411" s="42"/>
      <c r="L411" s="42"/>
      <c r="M411" s="42"/>
      <c r="N411" s="42"/>
      <c r="O411" s="31" t="str">
        <f>IFERROR(__xludf.DUMMYFUNCTION("""COMPUTED_VALUE"""),"DOC")</f>
        <v>DOC</v>
      </c>
      <c r="P411" s="9" t="str">
        <f>IFERROR(__xludf.DUMMYFUNCTION("""COMPUTED_VALUE"""),"Frontiers in Neural Circuits")</f>
        <v>Frontiers in Neural Circuits</v>
      </c>
      <c r="Q411" s="9"/>
      <c r="R411" s="179" t="str">
        <f>IFERROR(__xludf.DUMMYFUNCTION("""COMPUTED_VALUE"""),"MG (00/00) [Bohne, 2019];
")</f>
        <v>MG (00/00) [Bohne, 2019];
</v>
      </c>
      <c r="S411" s="179" t="str">
        <f>IFERROR(__xludf.DUMMYFUNCTION("""COMPUTED_VALUE"""),"FasMG")</f>
        <v>FasMG</v>
      </c>
      <c r="T411" s="179" t="str">
        <f>IFERROR(__xludf.DUMMYFUNCTION("""COMPUTED_VALUE"""),"[Bohne, 2019]")</f>
        <v>[Bohne, 2019]</v>
      </c>
      <c r="U411" s="179">
        <f>IFERROR(__xludf.DUMMYFUNCTION("""COMPUTED_VALUE"""),0.0)</f>
        <v>0</v>
      </c>
      <c r="V411" s="180">
        <f>IFERROR(__xludf.DUMMYFUNCTION("""COMPUTED_VALUE"""),0.0)</f>
        <v>0</v>
      </c>
      <c r="W411" s="180">
        <f>IFERROR(__xludf.DUMMYFUNCTION("""COMPUTED_VALUE"""),0.95)</f>
        <v>0.95</v>
      </c>
      <c r="X411" s="42">
        <f>IFERROR(__xludf.DUMMYFUNCTION("""COMPUTED_VALUE"""),0.0)</f>
        <v>0</v>
      </c>
      <c r="Y411" s="42">
        <f>IFERROR(__xludf.DUMMYFUNCTION("""COMPUTED_VALUE"""),0.0)</f>
        <v>0</v>
      </c>
      <c r="Z411" s="9">
        <f>IFERROR(__xludf.DUMMYFUNCTION("""COMPUTED_VALUE"""),0.0)</f>
        <v>0</v>
      </c>
      <c r="AA411" s="181">
        <f>IFERROR(__xludf.DUMMYFUNCTION("""COMPUTED_VALUE"""),0.0)</f>
        <v>0</v>
      </c>
      <c r="AB411" s="181">
        <f>IFERROR(__xludf.DUMMYFUNCTION("""COMPUTED_VALUE"""),0.0)</f>
        <v>0</v>
      </c>
      <c r="AC411" s="179">
        <f>IFERROR(__xludf.DUMMYFUNCTION("""COMPUTED_VALUE"""),0.0)</f>
        <v>0</v>
      </c>
      <c r="AD411" s="165">
        <f>IFERROR(__xludf.DUMMYFUNCTION("""COMPUTED_VALUE"""),0.0)</f>
        <v>0</v>
      </c>
      <c r="AE411" s="39" t="str">
        <f>IFERROR(__xludf.DUMMYFUNCTION("""COMPUTED_VALUE"""),"Hiroshi Yamakawa")</f>
        <v>Hiroshi Yamakawa</v>
      </c>
      <c r="AF411" s="39" t="str">
        <f>IFERROR(__xludf.DUMMYFUNCTION("""COMPUTED_VALUE"""),"HY20Cerebellum")</f>
        <v>HY20Cerebellum</v>
      </c>
      <c r="AG411" s="39"/>
      <c r="AH411" s="39"/>
      <c r="AI411" s="165"/>
      <c r="AJ411" s="165"/>
      <c r="AK411" s="111"/>
      <c r="AL411" s="111"/>
      <c r="AM411" s="111"/>
      <c r="AN411" s="111"/>
      <c r="AO411" s="111"/>
      <c r="AP411" s="111"/>
      <c r="AQ411" s="116"/>
      <c r="AR411" s="116"/>
      <c r="AS411" s="116"/>
    </row>
    <row r="412">
      <c r="A412" s="42" t="str">
        <f>IFERROR(__xludf.DUMMYFUNCTION("""COMPUTED_VALUE"""),"Fas")</f>
        <v>Fas</v>
      </c>
      <c r="B412" s="42"/>
      <c r="C412" s="42"/>
      <c r="D412" s="42" t="str">
        <f>IFERROR(__xludf.DUMMYFUNCTION("""COMPUTED_VALUE"""),"VL")</f>
        <v>VL</v>
      </c>
      <c r="E412" s="42"/>
      <c r="F412" s="42"/>
      <c r="G412" s="42"/>
      <c r="H412" s="42" t="str">
        <f>IFERROR(__xludf.DUMMYFUNCTION("""COMPUTED_VALUE"""),"")</f>
        <v/>
      </c>
      <c r="I412" s="42" t="str">
        <f>IFERROR(__xludf.DUMMYFUNCTION("""COMPUTED_VALUE"""),"Bohne, 2019")</f>
        <v>Bohne, 2019</v>
      </c>
      <c r="J412" s="42"/>
      <c r="K412" s="42"/>
      <c r="L412" s="42"/>
      <c r="M412" s="42"/>
      <c r="N412" s="42"/>
      <c r="O412" s="31" t="str">
        <f>IFERROR(__xludf.DUMMYFUNCTION("""COMPUTED_VALUE"""),"DOC")</f>
        <v>DOC</v>
      </c>
      <c r="P412" s="9" t="str">
        <f>IFERROR(__xludf.DUMMYFUNCTION("""COMPUTED_VALUE"""),"Frontiers in Neural Circuits")</f>
        <v>Frontiers in Neural Circuits</v>
      </c>
      <c r="Q412" s="9"/>
      <c r="R412" s="179" t="str">
        <f>IFERROR(__xludf.DUMMYFUNCTION("""COMPUTED_VALUE"""),"VL (00/00) [Bohne, 2019];
")</f>
        <v>VL (00/00) [Bohne, 2019];
</v>
      </c>
      <c r="S412" s="179" t="str">
        <f>IFERROR(__xludf.DUMMYFUNCTION("""COMPUTED_VALUE"""),"FasVL")</f>
        <v>FasVL</v>
      </c>
      <c r="T412" s="179" t="str">
        <f>IFERROR(__xludf.DUMMYFUNCTION("""COMPUTED_VALUE"""),"[Bohne, 2019]")</f>
        <v>[Bohne, 2019]</v>
      </c>
      <c r="U412" s="179">
        <f>IFERROR(__xludf.DUMMYFUNCTION("""COMPUTED_VALUE"""),0.0)</f>
        <v>0</v>
      </c>
      <c r="V412" s="180">
        <f>IFERROR(__xludf.DUMMYFUNCTION("""COMPUTED_VALUE"""),0.0)</f>
        <v>0</v>
      </c>
      <c r="W412" s="180">
        <f>IFERROR(__xludf.DUMMYFUNCTION("""COMPUTED_VALUE"""),0.95)</f>
        <v>0.95</v>
      </c>
      <c r="X412" s="42">
        <f>IFERROR(__xludf.DUMMYFUNCTION("""COMPUTED_VALUE"""),0.0)</f>
        <v>0</v>
      </c>
      <c r="Y412" s="42">
        <f>IFERROR(__xludf.DUMMYFUNCTION("""COMPUTED_VALUE"""),0.0)</f>
        <v>0</v>
      </c>
      <c r="Z412" s="9">
        <f>IFERROR(__xludf.DUMMYFUNCTION("""COMPUTED_VALUE"""),0.0)</f>
        <v>0</v>
      </c>
      <c r="AA412" s="181">
        <f>IFERROR(__xludf.DUMMYFUNCTION("""COMPUTED_VALUE"""),0.0)</f>
        <v>0</v>
      </c>
      <c r="AB412" s="181">
        <f>IFERROR(__xludf.DUMMYFUNCTION("""COMPUTED_VALUE"""),0.0)</f>
        <v>0</v>
      </c>
      <c r="AC412" s="179">
        <f>IFERROR(__xludf.DUMMYFUNCTION("""COMPUTED_VALUE"""),0.0)</f>
        <v>0</v>
      </c>
      <c r="AD412" s="165">
        <f>IFERROR(__xludf.DUMMYFUNCTION("""COMPUTED_VALUE"""),0.0)</f>
        <v>0</v>
      </c>
      <c r="AE412" s="39" t="str">
        <f>IFERROR(__xludf.DUMMYFUNCTION("""COMPUTED_VALUE"""),"Hiroshi Yamakawa")</f>
        <v>Hiroshi Yamakawa</v>
      </c>
      <c r="AF412" s="39" t="str">
        <f>IFERROR(__xludf.DUMMYFUNCTION("""COMPUTED_VALUE"""),"HY20Cerebellum")</f>
        <v>HY20Cerebellum</v>
      </c>
      <c r="AG412" s="39"/>
      <c r="AH412" s="39"/>
      <c r="AI412" s="165"/>
      <c r="AJ412" s="165"/>
      <c r="AK412" s="111"/>
      <c r="AL412" s="111"/>
      <c r="AM412" s="111"/>
      <c r="AN412" s="111"/>
      <c r="AO412" s="111"/>
      <c r="AP412" s="111"/>
      <c r="AQ412" s="116"/>
      <c r="AR412" s="116"/>
      <c r="AS412" s="116"/>
    </row>
    <row r="413">
      <c r="A413" s="42" t="str">
        <f>IFERROR(__xludf.DUMMYFUNCTION("""COMPUTED_VALUE"""),"Fas")</f>
        <v>Fas</v>
      </c>
      <c r="B413" s="42"/>
      <c r="C413" s="42"/>
      <c r="D413" s="42" t="str">
        <f>IFERROR(__xludf.DUMMYFUNCTION("""COMPUTED_VALUE"""),"PTg")</f>
        <v>PTg</v>
      </c>
      <c r="E413" s="42"/>
      <c r="F413" s="42"/>
      <c r="G413" s="42"/>
      <c r="H413" s="42" t="str">
        <f>IFERROR(__xludf.DUMMYFUNCTION("""COMPUTED_VALUE"""),"")</f>
        <v/>
      </c>
      <c r="I413" s="42" t="str">
        <f>IFERROR(__xludf.DUMMYFUNCTION("""COMPUTED_VALUE"""),"Fujita, 2020")</f>
        <v>Fujita, 2020</v>
      </c>
      <c r="J413" s="42"/>
      <c r="K413" s="42"/>
      <c r="L413" s="42"/>
      <c r="M413" s="42"/>
      <c r="N413" s="38"/>
      <c r="O413" s="31" t="str">
        <f>IFERROR(__xludf.DUMMYFUNCTION("""COMPUTED_VALUE"""),"DOC")</f>
        <v>DOC</v>
      </c>
      <c r="P413" s="9" t="str">
        <f>IFERROR(__xludf.DUMMYFUNCTION("""COMPUTED_VALUE"""),"{eLife}")</f>
        <v>{eLife}</v>
      </c>
      <c r="Q413" s="9"/>
      <c r="R413" s="179" t="str">
        <f>IFERROR(__xludf.DUMMYFUNCTION("""COMPUTED_VALUE"""),"PTg (00/00) [Fujita, 2020];
")</f>
        <v>PTg (00/00) [Fujita, 2020];
</v>
      </c>
      <c r="S413" s="179" t="str">
        <f>IFERROR(__xludf.DUMMYFUNCTION("""COMPUTED_VALUE"""),"FasPTg")</f>
        <v>FasPTg</v>
      </c>
      <c r="T413" s="179" t="str">
        <f>IFERROR(__xludf.DUMMYFUNCTION("""COMPUTED_VALUE"""),"[Fujita, 2020]")</f>
        <v>[Fujita, 2020]</v>
      </c>
      <c r="U413" s="179">
        <f>IFERROR(__xludf.DUMMYFUNCTION("""COMPUTED_VALUE"""),0.0)</f>
        <v>0</v>
      </c>
      <c r="V413" s="180">
        <f>IFERROR(__xludf.DUMMYFUNCTION("""COMPUTED_VALUE"""),0.0)</f>
        <v>0</v>
      </c>
      <c r="W413" s="180">
        <f>IFERROR(__xludf.DUMMYFUNCTION("""COMPUTED_VALUE"""),0.95)</f>
        <v>0.95</v>
      </c>
      <c r="X413" s="42">
        <f>IFERROR(__xludf.DUMMYFUNCTION("""COMPUTED_VALUE"""),0.0)</f>
        <v>0</v>
      </c>
      <c r="Y413" s="42">
        <f>IFERROR(__xludf.DUMMYFUNCTION("""COMPUTED_VALUE"""),0.0)</f>
        <v>0</v>
      </c>
      <c r="Z413" s="9">
        <f>IFERROR(__xludf.DUMMYFUNCTION("""COMPUTED_VALUE"""),0.0)</f>
        <v>0</v>
      </c>
      <c r="AA413" s="181">
        <f>IFERROR(__xludf.DUMMYFUNCTION("""COMPUTED_VALUE"""),0.0)</f>
        <v>0</v>
      </c>
      <c r="AB413" s="181">
        <f>IFERROR(__xludf.DUMMYFUNCTION("""COMPUTED_VALUE"""),0.0)</f>
        <v>0</v>
      </c>
      <c r="AC413" s="179">
        <f>IFERROR(__xludf.DUMMYFUNCTION("""COMPUTED_VALUE"""),0.0)</f>
        <v>0</v>
      </c>
      <c r="AD413" s="165">
        <f>IFERROR(__xludf.DUMMYFUNCTION("""COMPUTED_VALUE"""),0.0)</f>
        <v>0</v>
      </c>
      <c r="AE413" s="39" t="str">
        <f>IFERROR(__xludf.DUMMYFUNCTION("""COMPUTED_VALUE"""),"Hiroshi Yamakawa")</f>
        <v>Hiroshi Yamakawa</v>
      </c>
      <c r="AF413" s="39" t="str">
        <f>IFERROR(__xludf.DUMMYFUNCTION("""COMPUTED_VALUE"""),"HY20Cerebellum")</f>
        <v>HY20Cerebellum</v>
      </c>
      <c r="AG413" s="39"/>
      <c r="AH413" s="39"/>
      <c r="AI413" s="165"/>
      <c r="AJ413" s="165"/>
      <c r="AK413" s="111"/>
      <c r="AL413" s="111"/>
      <c r="AM413" s="111"/>
      <c r="AN413" s="111"/>
      <c r="AO413" s="111"/>
      <c r="AP413" s="111"/>
      <c r="AQ413" s="116"/>
      <c r="AR413" s="116"/>
      <c r="AS413" s="116"/>
    </row>
    <row r="414">
      <c r="A414" s="42" t="str">
        <f>IFERROR(__xludf.DUMMYFUNCTION("""COMPUTED_VALUE"""),"Fas")</f>
        <v>Fas</v>
      </c>
      <c r="B414" s="42"/>
      <c r="C414" s="42"/>
      <c r="D414" s="42" t="str">
        <f>IFERROR(__xludf.DUMMYFUNCTION("""COMPUTED_VALUE"""),"SC")</f>
        <v>SC</v>
      </c>
      <c r="E414" s="42"/>
      <c r="F414" s="42"/>
      <c r="G414" s="42"/>
      <c r="H414" s="42" t="str">
        <f>IFERROR(__xludf.DUMMYFUNCTION("""COMPUTED_VALUE"""),"")</f>
        <v/>
      </c>
      <c r="I414" s="42" t="str">
        <f>IFERROR(__xludf.DUMMYFUNCTION("""COMPUTED_VALUE"""),"Fujita, 2020")</f>
        <v>Fujita, 2020</v>
      </c>
      <c r="J414" s="42"/>
      <c r="K414" s="42"/>
      <c r="L414" s="42"/>
      <c r="M414" s="42"/>
      <c r="N414" s="38"/>
      <c r="O414" s="31" t="str">
        <f>IFERROR(__xludf.DUMMYFUNCTION("""COMPUTED_VALUE"""),"DOC")</f>
        <v>DOC</v>
      </c>
      <c r="P414" s="9" t="str">
        <f>IFERROR(__xludf.DUMMYFUNCTION("""COMPUTED_VALUE"""),"{eLife}")</f>
        <v>{eLife}</v>
      </c>
      <c r="Q414" s="9"/>
      <c r="R414" s="179" t="str">
        <f>IFERROR(__xludf.DUMMYFUNCTION("""COMPUTED_VALUE"""),"SC (00/00) [Fujita, 2020];
")</f>
        <v>SC (00/00) [Fujita, 2020];
</v>
      </c>
      <c r="S414" s="179" t="str">
        <f>IFERROR(__xludf.DUMMYFUNCTION("""COMPUTED_VALUE"""),"FasSC")</f>
        <v>FasSC</v>
      </c>
      <c r="T414" s="179" t="str">
        <f>IFERROR(__xludf.DUMMYFUNCTION("""COMPUTED_VALUE"""),"[Fujita, 2020]")</f>
        <v>[Fujita, 2020]</v>
      </c>
      <c r="U414" s="179">
        <f>IFERROR(__xludf.DUMMYFUNCTION("""COMPUTED_VALUE"""),0.0)</f>
        <v>0</v>
      </c>
      <c r="V414" s="180">
        <f>IFERROR(__xludf.DUMMYFUNCTION("""COMPUTED_VALUE"""),0.0)</f>
        <v>0</v>
      </c>
      <c r="W414" s="180">
        <f>IFERROR(__xludf.DUMMYFUNCTION("""COMPUTED_VALUE"""),0.95)</f>
        <v>0.95</v>
      </c>
      <c r="X414" s="42">
        <f>IFERROR(__xludf.DUMMYFUNCTION("""COMPUTED_VALUE"""),0.0)</f>
        <v>0</v>
      </c>
      <c r="Y414" s="42">
        <f>IFERROR(__xludf.DUMMYFUNCTION("""COMPUTED_VALUE"""),0.0)</f>
        <v>0</v>
      </c>
      <c r="Z414" s="9">
        <f>IFERROR(__xludf.DUMMYFUNCTION("""COMPUTED_VALUE"""),0.0)</f>
        <v>0</v>
      </c>
      <c r="AA414" s="181">
        <f>IFERROR(__xludf.DUMMYFUNCTION("""COMPUTED_VALUE"""),0.0)</f>
        <v>0</v>
      </c>
      <c r="AB414" s="181">
        <f>IFERROR(__xludf.DUMMYFUNCTION("""COMPUTED_VALUE"""),0.0)</f>
        <v>0</v>
      </c>
      <c r="AC414" s="179">
        <f>IFERROR(__xludf.DUMMYFUNCTION("""COMPUTED_VALUE"""),0.0)</f>
        <v>0</v>
      </c>
      <c r="AD414" s="165">
        <f>IFERROR(__xludf.DUMMYFUNCTION("""COMPUTED_VALUE"""),0.0)</f>
        <v>0</v>
      </c>
      <c r="AE414" s="39" t="str">
        <f>IFERROR(__xludf.DUMMYFUNCTION("""COMPUTED_VALUE"""),"Hiroshi Yamakawa")</f>
        <v>Hiroshi Yamakawa</v>
      </c>
      <c r="AF414" s="39" t="str">
        <f>IFERROR(__xludf.DUMMYFUNCTION("""COMPUTED_VALUE"""),"HY20Cerebellum")</f>
        <v>HY20Cerebellum</v>
      </c>
      <c r="AG414" s="39"/>
      <c r="AH414" s="39"/>
      <c r="AI414" s="165"/>
      <c r="AJ414" s="165"/>
      <c r="AK414" s="111"/>
      <c r="AL414" s="111"/>
      <c r="AM414" s="111"/>
      <c r="AN414" s="111"/>
      <c r="AO414" s="111"/>
      <c r="AP414" s="111"/>
      <c r="AQ414" s="116"/>
      <c r="AR414" s="116"/>
      <c r="AS414" s="116"/>
    </row>
    <row r="415">
      <c r="A415" s="42" t="str">
        <f>IFERROR(__xludf.DUMMYFUNCTION("""COMPUTED_VALUE"""),"Fas")</f>
        <v>Fas</v>
      </c>
      <c r="B415" s="42"/>
      <c r="C415" s="42"/>
      <c r="D415" s="42" t="str">
        <f>IFERROR(__xludf.DUMMYFUNCTION("""COMPUTED_VALUE"""),"THM")</f>
        <v>THM</v>
      </c>
      <c r="E415" s="42"/>
      <c r="F415" s="42"/>
      <c r="G415" s="42"/>
      <c r="H415" s="42" t="str">
        <f>IFERROR(__xludf.DUMMYFUNCTION("""COMPUTED_VALUE"""),"")</f>
        <v/>
      </c>
      <c r="I415" s="42" t="str">
        <f>IFERROR(__xludf.DUMMYFUNCTION("""COMPUTED_VALUE"""),"Fujita, 2020")</f>
        <v>Fujita, 2020</v>
      </c>
      <c r="J415" s="42"/>
      <c r="K415" s="42"/>
      <c r="L415" s="42"/>
      <c r="M415" s="42"/>
      <c r="N415" s="38"/>
      <c r="O415" s="31" t="str">
        <f>IFERROR(__xludf.DUMMYFUNCTION("""COMPUTED_VALUE"""),"DOC")</f>
        <v>DOC</v>
      </c>
      <c r="P415" s="9" t="str">
        <f>IFERROR(__xludf.DUMMYFUNCTION("""COMPUTED_VALUE"""),"{eLife}")</f>
        <v>{eLife}</v>
      </c>
      <c r="Q415" s="9"/>
      <c r="R415" s="179" t="str">
        <f>IFERROR(__xludf.DUMMYFUNCTION("""COMPUTED_VALUE"""),"THM (00/00) [Fujita, 2020];
")</f>
        <v>THM (00/00) [Fujita, 2020];
</v>
      </c>
      <c r="S415" s="179" t="str">
        <f>IFERROR(__xludf.DUMMYFUNCTION("""COMPUTED_VALUE"""),"FasTHM")</f>
        <v>FasTHM</v>
      </c>
      <c r="T415" s="179" t="str">
        <f>IFERROR(__xludf.DUMMYFUNCTION("""COMPUTED_VALUE"""),"[Fujita, 2020]")</f>
        <v>[Fujita, 2020]</v>
      </c>
      <c r="U415" s="179">
        <f>IFERROR(__xludf.DUMMYFUNCTION("""COMPUTED_VALUE"""),0.0)</f>
        <v>0</v>
      </c>
      <c r="V415" s="180">
        <f>IFERROR(__xludf.DUMMYFUNCTION("""COMPUTED_VALUE"""),0.0)</f>
        <v>0</v>
      </c>
      <c r="W415" s="180">
        <f>IFERROR(__xludf.DUMMYFUNCTION("""COMPUTED_VALUE"""),0.95)</f>
        <v>0.95</v>
      </c>
      <c r="X415" s="42">
        <f>IFERROR(__xludf.DUMMYFUNCTION("""COMPUTED_VALUE"""),0.0)</f>
        <v>0</v>
      </c>
      <c r="Y415" s="42">
        <f>IFERROR(__xludf.DUMMYFUNCTION("""COMPUTED_VALUE"""),0.0)</f>
        <v>0</v>
      </c>
      <c r="Z415" s="9">
        <f>IFERROR(__xludf.DUMMYFUNCTION("""COMPUTED_VALUE"""),0.0)</f>
        <v>0</v>
      </c>
      <c r="AA415" s="181">
        <f>IFERROR(__xludf.DUMMYFUNCTION("""COMPUTED_VALUE"""),0.0)</f>
        <v>0</v>
      </c>
      <c r="AB415" s="181">
        <f>IFERROR(__xludf.DUMMYFUNCTION("""COMPUTED_VALUE"""),0.0)</f>
        <v>0</v>
      </c>
      <c r="AC415" s="179">
        <f>IFERROR(__xludf.DUMMYFUNCTION("""COMPUTED_VALUE"""),0.0)</f>
        <v>0</v>
      </c>
      <c r="AD415" s="165">
        <f>IFERROR(__xludf.DUMMYFUNCTION("""COMPUTED_VALUE"""),0.0)</f>
        <v>0</v>
      </c>
      <c r="AE415" s="39" t="str">
        <f>IFERROR(__xludf.DUMMYFUNCTION("""COMPUTED_VALUE"""),"Hiroshi Yamakawa")</f>
        <v>Hiroshi Yamakawa</v>
      </c>
      <c r="AF415" s="39" t="str">
        <f>IFERROR(__xludf.DUMMYFUNCTION("""COMPUTED_VALUE"""),"HY20Cerebellum")</f>
        <v>HY20Cerebellum</v>
      </c>
      <c r="AG415" s="39"/>
      <c r="AH415" s="39"/>
      <c r="AI415" s="165"/>
      <c r="AJ415" s="165"/>
      <c r="AK415" s="111"/>
      <c r="AL415" s="111"/>
      <c r="AM415" s="111"/>
      <c r="AN415" s="111"/>
      <c r="AO415" s="111"/>
      <c r="AP415" s="111"/>
      <c r="AQ415" s="116"/>
      <c r="AR415" s="116"/>
      <c r="AS415" s="116"/>
    </row>
    <row r="416">
      <c r="A416" s="42" t="str">
        <f>IFERROR(__xludf.DUMMYFUNCTION("""COMPUTED_VALUE"""),"Fas")</f>
        <v>Fas</v>
      </c>
      <c r="B416" s="42"/>
      <c r="C416" s="42"/>
      <c r="D416" s="42" t="str">
        <f>IFERROR(__xludf.DUMMYFUNCTION("""COMPUTED_VALUE"""),"VeN")</f>
        <v>VeN</v>
      </c>
      <c r="E416" s="42"/>
      <c r="F416" s="42"/>
      <c r="G416" s="42"/>
      <c r="H416" s="42" t="str">
        <f>IFERROR(__xludf.DUMMYFUNCTION("""COMPUTED_VALUE"""),"")</f>
        <v/>
      </c>
      <c r="I416" s="42" t="str">
        <f>IFERROR(__xludf.DUMMYFUNCTION("""COMPUTED_VALUE"""),"Fujita, 2020")</f>
        <v>Fujita, 2020</v>
      </c>
      <c r="J416" s="42"/>
      <c r="K416" s="42"/>
      <c r="L416" s="42"/>
      <c r="M416" s="42"/>
      <c r="N416" s="38"/>
      <c r="O416" s="31" t="str">
        <f>IFERROR(__xludf.DUMMYFUNCTION("""COMPUTED_VALUE"""),"DOC")</f>
        <v>DOC</v>
      </c>
      <c r="P416" s="9" t="str">
        <f>IFERROR(__xludf.DUMMYFUNCTION("""COMPUTED_VALUE"""),"{eLife}")</f>
        <v>{eLife}</v>
      </c>
      <c r="Q416" s="9"/>
      <c r="R416" s="179" t="str">
        <f>IFERROR(__xludf.DUMMYFUNCTION("""COMPUTED_VALUE"""),"VeN (00/00) [Fujita, 2020];
")</f>
        <v>VeN (00/00) [Fujita, 2020];
</v>
      </c>
      <c r="S416" s="179" t="str">
        <f>IFERROR(__xludf.DUMMYFUNCTION("""COMPUTED_VALUE"""),"FasVeN")</f>
        <v>FasVeN</v>
      </c>
      <c r="T416" s="179" t="str">
        <f>IFERROR(__xludf.DUMMYFUNCTION("""COMPUTED_VALUE"""),"[Fujita, 2020]")</f>
        <v>[Fujita, 2020]</v>
      </c>
      <c r="U416" s="179">
        <f>IFERROR(__xludf.DUMMYFUNCTION("""COMPUTED_VALUE"""),0.0)</f>
        <v>0</v>
      </c>
      <c r="V416" s="180">
        <f>IFERROR(__xludf.DUMMYFUNCTION("""COMPUTED_VALUE"""),0.0)</f>
        <v>0</v>
      </c>
      <c r="W416" s="180">
        <f>IFERROR(__xludf.DUMMYFUNCTION("""COMPUTED_VALUE"""),0.95)</f>
        <v>0.95</v>
      </c>
      <c r="X416" s="42">
        <f>IFERROR(__xludf.DUMMYFUNCTION("""COMPUTED_VALUE"""),0.0)</f>
        <v>0</v>
      </c>
      <c r="Y416" s="42">
        <f>IFERROR(__xludf.DUMMYFUNCTION("""COMPUTED_VALUE"""),0.0)</f>
        <v>0</v>
      </c>
      <c r="Z416" s="9">
        <f>IFERROR(__xludf.DUMMYFUNCTION("""COMPUTED_VALUE"""),0.0)</f>
        <v>0</v>
      </c>
      <c r="AA416" s="181">
        <f>IFERROR(__xludf.DUMMYFUNCTION("""COMPUTED_VALUE"""),0.0)</f>
        <v>0</v>
      </c>
      <c r="AB416" s="181">
        <f>IFERROR(__xludf.DUMMYFUNCTION("""COMPUTED_VALUE"""),0.0)</f>
        <v>0</v>
      </c>
      <c r="AC416" s="179">
        <f>IFERROR(__xludf.DUMMYFUNCTION("""COMPUTED_VALUE"""),0.0)</f>
        <v>0</v>
      </c>
      <c r="AD416" s="165">
        <f>IFERROR(__xludf.DUMMYFUNCTION("""COMPUTED_VALUE"""),0.0)</f>
        <v>0</v>
      </c>
      <c r="AE416" s="39" t="str">
        <f>IFERROR(__xludf.DUMMYFUNCTION("""COMPUTED_VALUE"""),"Hiroshi Yamakawa")</f>
        <v>Hiroshi Yamakawa</v>
      </c>
      <c r="AF416" s="39" t="str">
        <f>IFERROR(__xludf.DUMMYFUNCTION("""COMPUTED_VALUE"""),"HY20Cerebellum")</f>
        <v>HY20Cerebellum</v>
      </c>
      <c r="AG416" s="39"/>
      <c r="AH416" s="39"/>
      <c r="AI416" s="165"/>
      <c r="AJ416" s="165"/>
      <c r="AK416" s="111"/>
      <c r="AL416" s="111"/>
      <c r="AM416" s="111"/>
      <c r="AN416" s="111"/>
      <c r="AO416" s="111"/>
      <c r="AP416" s="111"/>
      <c r="AQ416" s="116"/>
      <c r="AR416" s="116"/>
      <c r="AS416" s="116"/>
    </row>
    <row r="417">
      <c r="A417" s="42" t="str">
        <f>IFERROR(__xludf.DUMMYFUNCTION("""COMPUTED_VALUE"""),"Fas")</f>
        <v>Fas</v>
      </c>
      <c r="B417" s="42"/>
      <c r="C417" s="42"/>
      <c r="D417" s="42" t="str">
        <f>IFERROR(__xludf.DUMMYFUNCTION("""COMPUTED_VALUE"""),"eRF")</f>
        <v>eRF</v>
      </c>
      <c r="E417" s="42"/>
      <c r="F417" s="42"/>
      <c r="G417" s="42"/>
      <c r="H417" s="42" t="str">
        <f>IFERROR(__xludf.DUMMYFUNCTION("""COMPUTED_VALUE"""),"")</f>
        <v/>
      </c>
      <c r="I417" s="42" t="str">
        <f>IFERROR(__xludf.DUMMYFUNCTION("""COMPUTED_VALUE"""),"Knierim, 2021")</f>
        <v>Knierim, 2021</v>
      </c>
      <c r="J417" s="42"/>
      <c r="K417" s="42"/>
      <c r="L417" s="42"/>
      <c r="M417" s="42"/>
      <c r="N417" s="38"/>
      <c r="O417" s="31" t="str">
        <f>IFERROR(__xludf.DUMMYFUNCTION("""COMPUTED_VALUE"""),"DOC(alt)")</f>
        <v>DOC(alt)</v>
      </c>
      <c r="P417" s="9" t="str">
        <f>IFERROR(__xludf.DUMMYFUNCTION("""COMPUTED_VALUE"""),"Neuroscience Online, an {Open-Access} Neuroscience Electronic Textbook")</f>
        <v>Neuroscience Online, an {Open-Access} Neuroscience Electronic Textbook</v>
      </c>
      <c r="Q417" s="9" t="str">
        <f>IFERROR(__xludf.DUMMYFUNCTION("""COMPUTED_VALUE"""),"Textbook")</f>
        <v>Textbook</v>
      </c>
      <c r="R417" s="179" t="str">
        <f>IFERROR(__xludf.DUMMYFUNCTION("""COMPUTED_VALUE"""),"eRF (00/00) [Knierim, 2021];
")</f>
        <v>eRF (00/00) [Knierim, 2021];
</v>
      </c>
      <c r="S417" s="179" t="str">
        <f>IFERROR(__xludf.DUMMYFUNCTION("""COMPUTED_VALUE"""),"FaseRF")</f>
        <v>FaseRF</v>
      </c>
      <c r="T417" s="179" t="str">
        <f>IFERROR(__xludf.DUMMYFUNCTION("""COMPUTED_VALUE"""),"[Knierim, 2021]")</f>
        <v>[Knierim, 2021]</v>
      </c>
      <c r="U417" s="179">
        <f>IFERROR(__xludf.DUMMYFUNCTION("""COMPUTED_VALUE"""),0.0)</f>
        <v>0</v>
      </c>
      <c r="V417" s="180">
        <f>IFERROR(__xludf.DUMMYFUNCTION("""COMPUTED_VALUE"""),0.0)</f>
        <v>0</v>
      </c>
      <c r="W417" s="180">
        <f>IFERROR(__xludf.DUMMYFUNCTION("""COMPUTED_VALUE"""),0.0)</f>
        <v>0</v>
      </c>
      <c r="X417" s="42">
        <f>IFERROR(__xludf.DUMMYFUNCTION("""COMPUTED_VALUE"""),0.9)</f>
        <v>0.9</v>
      </c>
      <c r="Y417" s="42">
        <f>IFERROR(__xludf.DUMMYFUNCTION("""COMPUTED_VALUE"""),0.0)</f>
        <v>0</v>
      </c>
      <c r="Z417" s="9">
        <f>IFERROR(__xludf.DUMMYFUNCTION("""COMPUTED_VALUE"""),0.0)</f>
        <v>0</v>
      </c>
      <c r="AA417" s="181">
        <f>IFERROR(__xludf.DUMMYFUNCTION("""COMPUTED_VALUE"""),0.0)</f>
        <v>0</v>
      </c>
      <c r="AB417" s="181">
        <f>IFERROR(__xludf.DUMMYFUNCTION("""COMPUTED_VALUE"""),0.0)</f>
        <v>0</v>
      </c>
      <c r="AC417" s="179">
        <f>IFERROR(__xludf.DUMMYFUNCTION("""COMPUTED_VALUE"""),0.0)</f>
        <v>0</v>
      </c>
      <c r="AD417" s="165">
        <f>IFERROR(__xludf.DUMMYFUNCTION("""COMPUTED_VALUE"""),0.0)</f>
        <v>0</v>
      </c>
      <c r="AE417" s="39" t="str">
        <f>IFERROR(__xludf.DUMMYFUNCTION("""COMPUTED_VALUE"""),"Hiroshi Yamakawa")</f>
        <v>Hiroshi Yamakawa</v>
      </c>
      <c r="AF417" s="39" t="str">
        <f>IFERROR(__xludf.DUMMYFUNCTION("""COMPUTED_VALUE"""),"HY20Cerebellum")</f>
        <v>HY20Cerebellum</v>
      </c>
      <c r="AG417" s="39"/>
      <c r="AH417" s="39"/>
      <c r="AI417" s="165"/>
      <c r="AJ417" s="165"/>
      <c r="AK417" s="111"/>
      <c r="AL417" s="111"/>
      <c r="AM417" s="111"/>
      <c r="AN417" s="111"/>
      <c r="AO417" s="111"/>
      <c r="AP417" s="111"/>
      <c r="AQ417" s="116"/>
      <c r="AR417" s="116"/>
      <c r="AS417" s="116"/>
    </row>
    <row r="418">
      <c r="A418" s="42" t="str">
        <f>IFERROR(__xludf.DUMMYFUNCTION("""COMPUTED_VALUE"""),"Fas")</f>
        <v>Fas</v>
      </c>
      <c r="B418" s="42"/>
      <c r="C418" s="42"/>
      <c r="D418" s="42" t="str">
        <f>IFERROR(__xludf.DUMMYFUNCTION("""COMPUTED_VALUE"""),"PPMRF")</f>
        <v>PPMRF</v>
      </c>
      <c r="E418" s="42"/>
      <c r="F418" s="42"/>
      <c r="G418" s="42"/>
      <c r="H418" s="42" t="str">
        <f>IFERROR(__xludf.DUMMYFUNCTION("""COMPUTED_VALUE"""),"")</f>
        <v/>
      </c>
      <c r="I418" s="42" t="str">
        <f>IFERROR(__xludf.DUMMYFUNCTION("""COMPUTED_VALUE"""),"Kheradmand, 2011")</f>
        <v>Kheradmand, 2011</v>
      </c>
      <c r="J418" s="42"/>
      <c r="K418" s="42"/>
      <c r="L418" s="42"/>
      <c r="M418" s="42"/>
      <c r="N418" s="38"/>
      <c r="O418" s="31" t="str">
        <f>IFERROR(__xludf.DUMMYFUNCTION("""COMPUTED_VALUE"""),"DOC")</f>
        <v>DOC</v>
      </c>
      <c r="P418" s="9" t="str">
        <f>IFERROR(__xludf.DUMMYFUNCTION("""COMPUTED_VALUE"""),"Frontiers in Neurology")</f>
        <v>Frontiers in Neurology</v>
      </c>
      <c r="Q418" s="9"/>
      <c r="R418" s="179" t="str">
        <f>IFERROR(__xludf.DUMMYFUNCTION("""COMPUTED_VALUE"""),"PPMRF (00/00) [Kheradmand, 2011];
")</f>
        <v>PPMRF (00/00) [Kheradmand, 2011];
</v>
      </c>
      <c r="S418" s="179" t="str">
        <f>IFERROR(__xludf.DUMMYFUNCTION("""COMPUTED_VALUE"""),"FasPPMRF")</f>
        <v>FasPPMRF</v>
      </c>
      <c r="T418" s="179" t="str">
        <f>IFERROR(__xludf.DUMMYFUNCTION("""COMPUTED_VALUE"""),"[Kheradmand, 2011]")</f>
        <v>[Kheradmand, 2011]</v>
      </c>
      <c r="U418" s="179">
        <f>IFERROR(__xludf.DUMMYFUNCTION("""COMPUTED_VALUE"""),0.0)</f>
        <v>0</v>
      </c>
      <c r="V418" s="180">
        <f>IFERROR(__xludf.DUMMYFUNCTION("""COMPUTED_VALUE"""),0.0)</f>
        <v>0</v>
      </c>
      <c r="W418" s="180">
        <f>IFERROR(__xludf.DUMMYFUNCTION("""COMPUTED_VALUE"""),0.95)</f>
        <v>0.95</v>
      </c>
      <c r="X418" s="42">
        <f>IFERROR(__xludf.DUMMYFUNCTION("""COMPUTED_VALUE"""),0.0)</f>
        <v>0</v>
      </c>
      <c r="Y418" s="42">
        <f>IFERROR(__xludf.DUMMYFUNCTION("""COMPUTED_VALUE"""),0.0)</f>
        <v>0</v>
      </c>
      <c r="Z418" s="9">
        <f>IFERROR(__xludf.DUMMYFUNCTION("""COMPUTED_VALUE"""),0.0)</f>
        <v>0</v>
      </c>
      <c r="AA418" s="181">
        <f>IFERROR(__xludf.DUMMYFUNCTION("""COMPUTED_VALUE"""),0.0)</f>
        <v>0</v>
      </c>
      <c r="AB418" s="181">
        <f>IFERROR(__xludf.DUMMYFUNCTION("""COMPUTED_VALUE"""),0.0)</f>
        <v>0</v>
      </c>
      <c r="AC418" s="179">
        <f>IFERROR(__xludf.DUMMYFUNCTION("""COMPUTED_VALUE"""),0.0)</f>
        <v>0</v>
      </c>
      <c r="AD418" s="165">
        <f>IFERROR(__xludf.DUMMYFUNCTION("""COMPUTED_VALUE"""),0.0)</f>
        <v>0</v>
      </c>
      <c r="AE418" s="39" t="str">
        <f>IFERROR(__xludf.DUMMYFUNCTION("""COMPUTED_VALUE"""),"Yoshimasa Tawatsuji")</f>
        <v>Yoshimasa Tawatsuji</v>
      </c>
      <c r="AF418" s="39" t="str">
        <f>IFERROR(__xludf.DUMMYFUNCTION("""COMPUTED_VALUE"""),"Oculomotor")</f>
        <v>Oculomotor</v>
      </c>
      <c r="AG418" s="39"/>
      <c r="AH418" s="39"/>
      <c r="AI418" s="165"/>
      <c r="AJ418" s="165"/>
      <c r="AK418" s="111"/>
      <c r="AL418" s="111"/>
      <c r="AM418" s="111"/>
      <c r="AN418" s="111"/>
      <c r="AO418" s="111"/>
      <c r="AP418" s="111"/>
      <c r="AQ418" s="116"/>
      <c r="AR418" s="116"/>
      <c r="AS418" s="116"/>
    </row>
    <row r="419">
      <c r="A419" s="42" t="str">
        <f>IFERROR(__xludf.DUMMYFUNCTION("""COMPUTED_VALUE"""),"Fas")</f>
        <v>Fas</v>
      </c>
      <c r="B419" s="42"/>
      <c r="C419" s="42"/>
      <c r="D419" s="42" t="str">
        <f>IFERROR(__xludf.DUMMYFUNCTION("""COMPUTED_VALUE"""),"PPRF")</f>
        <v>PPRF</v>
      </c>
      <c r="E419" s="42"/>
      <c r="F419" s="42"/>
      <c r="G419" s="42"/>
      <c r="H419" s="42" t="str">
        <f>IFERROR(__xludf.DUMMYFUNCTION("""COMPUTED_VALUE"""),"")</f>
        <v/>
      </c>
      <c r="I419" s="42" t="str">
        <f>IFERROR(__xludf.DUMMYFUNCTION("""COMPUTED_VALUE"""),"Kheradmand, 2011")</f>
        <v>Kheradmand, 2011</v>
      </c>
      <c r="J419" s="42"/>
      <c r="K419" s="42"/>
      <c r="L419" s="42"/>
      <c r="M419" s="42"/>
      <c r="N419" s="42"/>
      <c r="O419" s="31" t="str">
        <f>IFERROR(__xludf.DUMMYFUNCTION("""COMPUTED_VALUE"""),"DOC")</f>
        <v>DOC</v>
      </c>
      <c r="P419" s="9" t="str">
        <f>IFERROR(__xludf.DUMMYFUNCTION("""COMPUTED_VALUE"""),"Frontiers in Neurology")</f>
        <v>Frontiers in Neurology</v>
      </c>
      <c r="Q419" s="9"/>
      <c r="R419" s="179" t="str">
        <f>IFERROR(__xludf.DUMMYFUNCTION("""COMPUTED_VALUE"""),"PPRF (00/00) [Kheradmand, 2011];
")</f>
        <v>PPRF (00/00) [Kheradmand, 2011];
</v>
      </c>
      <c r="S419" s="179" t="str">
        <f>IFERROR(__xludf.DUMMYFUNCTION("""COMPUTED_VALUE"""),"FasPPRF")</f>
        <v>FasPPRF</v>
      </c>
      <c r="T419" s="179" t="str">
        <f>IFERROR(__xludf.DUMMYFUNCTION("""COMPUTED_VALUE"""),"[Kheradmand, 2011]")</f>
        <v>[Kheradmand, 2011]</v>
      </c>
      <c r="U419" s="179">
        <f>IFERROR(__xludf.DUMMYFUNCTION("""COMPUTED_VALUE"""),0.0)</f>
        <v>0</v>
      </c>
      <c r="V419" s="180">
        <f>IFERROR(__xludf.DUMMYFUNCTION("""COMPUTED_VALUE"""),0.0)</f>
        <v>0</v>
      </c>
      <c r="W419" s="180">
        <f>IFERROR(__xludf.DUMMYFUNCTION("""COMPUTED_VALUE"""),0.95)</f>
        <v>0.95</v>
      </c>
      <c r="X419" s="42">
        <f>IFERROR(__xludf.DUMMYFUNCTION("""COMPUTED_VALUE"""),0.0)</f>
        <v>0</v>
      </c>
      <c r="Y419" s="42">
        <f>IFERROR(__xludf.DUMMYFUNCTION("""COMPUTED_VALUE"""),0.0)</f>
        <v>0</v>
      </c>
      <c r="Z419" s="9">
        <f>IFERROR(__xludf.DUMMYFUNCTION("""COMPUTED_VALUE"""),0.0)</f>
        <v>0</v>
      </c>
      <c r="AA419" s="181">
        <f>IFERROR(__xludf.DUMMYFUNCTION("""COMPUTED_VALUE"""),0.0)</f>
        <v>0</v>
      </c>
      <c r="AB419" s="181">
        <f>IFERROR(__xludf.DUMMYFUNCTION("""COMPUTED_VALUE"""),0.0)</f>
        <v>0</v>
      </c>
      <c r="AC419" s="179">
        <f>IFERROR(__xludf.DUMMYFUNCTION("""COMPUTED_VALUE"""),0.0)</f>
        <v>0</v>
      </c>
      <c r="AD419" s="165">
        <f>IFERROR(__xludf.DUMMYFUNCTION("""COMPUTED_VALUE"""),0.0)</f>
        <v>0</v>
      </c>
      <c r="AE419" s="39" t="str">
        <f>IFERROR(__xludf.DUMMYFUNCTION("""COMPUTED_VALUE"""),"Yoshimasa Tawatsuji")</f>
        <v>Yoshimasa Tawatsuji</v>
      </c>
      <c r="AF419" s="39" t="str">
        <f>IFERROR(__xludf.DUMMYFUNCTION("""COMPUTED_VALUE"""),"Oculomotor")</f>
        <v>Oculomotor</v>
      </c>
      <c r="AG419" s="39"/>
      <c r="AH419" s="39"/>
      <c r="AI419" s="165"/>
      <c r="AJ419" s="165"/>
      <c r="AK419" s="111"/>
      <c r="AL419" s="111"/>
      <c r="AM419" s="111"/>
      <c r="AN419" s="111"/>
      <c r="AO419" s="111"/>
      <c r="AP419" s="111"/>
      <c r="AQ419" s="116"/>
      <c r="AR419" s="116"/>
      <c r="AS419" s="116"/>
    </row>
    <row r="420">
      <c r="A420" s="42" t="str">
        <f>IFERROR(__xludf.DUMMYFUNCTION("""COMPUTED_VALUE"""),"Fas")</f>
        <v>Fas</v>
      </c>
      <c r="B420" s="42"/>
      <c r="C420" s="42"/>
      <c r="D420" s="42" t="str">
        <f>IFERROR(__xludf.DUMMYFUNCTION("""COMPUTED_VALUE"""),"FF")</f>
        <v>FF</v>
      </c>
      <c r="E420" s="42"/>
      <c r="F420" s="42"/>
      <c r="G420" s="42"/>
      <c r="H420" s="42" t="str">
        <f>IFERROR(__xludf.DUMMYFUNCTION("""COMPUTED_VALUE"""),"")</f>
        <v/>
      </c>
      <c r="I420" s="42" t="str">
        <f>IFERROR(__xludf.DUMMYFUNCTION("""COMPUTED_VALUE"""),"Noda, 1990")</f>
        <v>Noda, 1990</v>
      </c>
      <c r="J420" s="42"/>
      <c r="K420" s="42"/>
      <c r="L420" s="42"/>
      <c r="M420" s="42"/>
      <c r="N420" s="42"/>
      <c r="O420" s="31" t="str">
        <f>IFERROR(__xludf.DUMMYFUNCTION("""COMPUTED_VALUE"""),"DOC")</f>
        <v>DOC</v>
      </c>
      <c r="P420" s="9" t="str">
        <f>IFERROR(__xludf.DUMMYFUNCTION("""COMPUTED_VALUE"""),"The Journal of Comparative Neurology")</f>
        <v>The Journal of Comparative Neurology</v>
      </c>
      <c r="Q420" s="9"/>
      <c r="R420" s="179" t="str">
        <f>IFERROR(__xludf.DUMMYFUNCTION("""COMPUTED_VALUE"""),"FF (00/00) [Noda, 1990];
")</f>
        <v>FF (00/00) [Noda, 1990];
</v>
      </c>
      <c r="S420" s="179" t="str">
        <f>IFERROR(__xludf.DUMMYFUNCTION("""COMPUTED_VALUE"""),"FasFF")</f>
        <v>FasFF</v>
      </c>
      <c r="T420" s="179" t="str">
        <f>IFERROR(__xludf.DUMMYFUNCTION("""COMPUTED_VALUE"""),"[Noda, 1990]")</f>
        <v>[Noda, 1990]</v>
      </c>
      <c r="U420" s="179">
        <f>IFERROR(__xludf.DUMMYFUNCTION("""COMPUTED_VALUE"""),0.0)</f>
        <v>0</v>
      </c>
      <c r="V420" s="180">
        <f>IFERROR(__xludf.DUMMYFUNCTION("""COMPUTED_VALUE"""),0.0)</f>
        <v>0</v>
      </c>
      <c r="W420" s="180">
        <f>IFERROR(__xludf.DUMMYFUNCTION("""COMPUTED_VALUE"""),0.95)</f>
        <v>0.95</v>
      </c>
      <c r="X420" s="42">
        <f>IFERROR(__xludf.DUMMYFUNCTION("""COMPUTED_VALUE"""),0.0)</f>
        <v>0</v>
      </c>
      <c r="Y420" s="42">
        <f>IFERROR(__xludf.DUMMYFUNCTION("""COMPUTED_VALUE"""),0.0)</f>
        <v>0</v>
      </c>
      <c r="Z420" s="9">
        <f>IFERROR(__xludf.DUMMYFUNCTION("""COMPUTED_VALUE"""),0.0)</f>
        <v>0</v>
      </c>
      <c r="AA420" s="181">
        <f>IFERROR(__xludf.DUMMYFUNCTION("""COMPUTED_VALUE"""),0.0)</f>
        <v>0</v>
      </c>
      <c r="AB420" s="181">
        <f>IFERROR(__xludf.DUMMYFUNCTION("""COMPUTED_VALUE"""),0.0)</f>
        <v>0</v>
      </c>
      <c r="AC420" s="179">
        <f>IFERROR(__xludf.DUMMYFUNCTION("""COMPUTED_VALUE"""),0.0)</f>
        <v>0</v>
      </c>
      <c r="AD420" s="165">
        <f>IFERROR(__xludf.DUMMYFUNCTION("""COMPUTED_VALUE"""),0.0)</f>
        <v>0</v>
      </c>
      <c r="AE420" s="39" t="str">
        <f>IFERROR(__xludf.DUMMYFUNCTION("""COMPUTED_VALUE"""),"Yoshimasa Tawatsuji")</f>
        <v>Yoshimasa Tawatsuji</v>
      </c>
      <c r="AF420" s="39" t="str">
        <f>IFERROR(__xludf.DUMMYFUNCTION("""COMPUTED_VALUE"""),"Oculomotor")</f>
        <v>Oculomotor</v>
      </c>
      <c r="AG420" s="39"/>
      <c r="AH420" s="39"/>
      <c r="AI420" s="165"/>
      <c r="AJ420" s="165"/>
      <c r="AK420" s="111"/>
      <c r="AL420" s="111"/>
      <c r="AM420" s="111"/>
      <c r="AN420" s="111"/>
      <c r="AO420" s="111"/>
      <c r="AP420" s="111"/>
      <c r="AQ420" s="116"/>
      <c r="AR420" s="116"/>
      <c r="AS420" s="116"/>
    </row>
    <row r="421">
      <c r="A421" s="42" t="str">
        <f>IFERROR(__xludf.DUMMYFUNCTION("""COMPUTED_VALUE"""),"FasNO")</f>
        <v>FasNO</v>
      </c>
      <c r="B421" s="42"/>
      <c r="C421" s="42"/>
      <c r="D421" s="42" t="str">
        <f>IFERROR(__xludf.DUMMYFUNCTION("""COMPUTED_VALUE"""),"IOFas")</f>
        <v>IOFas</v>
      </c>
      <c r="E421" s="42"/>
      <c r="F421" s="42"/>
      <c r="G421" s="42"/>
      <c r="H421" s="42" t="str">
        <f>IFERROR(__xludf.DUMMYFUNCTION("""COMPUTED_VALUE"""),"")</f>
        <v/>
      </c>
      <c r="I421" s="42" t="str">
        <f>IFERROR(__xludf.DUMMYFUNCTION("""COMPUTED_VALUE"""),"Apps, 2018")</f>
        <v>Apps, 2018</v>
      </c>
      <c r="J421" s="42"/>
      <c r="K421" s="42"/>
      <c r="L421" s="42"/>
      <c r="M421" s="42"/>
      <c r="N421" s="42"/>
      <c r="O421" s="31" t="str">
        <f>IFERROR(__xludf.DUMMYFUNCTION("""COMPUTED_VALUE"""),"DOC")</f>
        <v>DOC</v>
      </c>
      <c r="P421" s="9" t="str">
        <f>IFERROR(__xludf.DUMMYFUNCTION("""COMPUTED_VALUE"""),"The Cerebellum")</f>
        <v>The Cerebellum</v>
      </c>
      <c r="Q421" s="9"/>
      <c r="R421" s="179" t="str">
        <f>IFERROR(__xludf.DUMMYFUNCTION("""COMPUTED_VALUE"""),"IOFas (00/00) [Apps, 2018];
")</f>
        <v>IOFas (00/00) [Apps, 2018];
</v>
      </c>
      <c r="S421" s="179" t="str">
        <f>IFERROR(__xludf.DUMMYFUNCTION("""COMPUTED_VALUE"""),"FasNOIOFas")</f>
        <v>FasNOIOFas</v>
      </c>
      <c r="T421" s="179" t="str">
        <f>IFERROR(__xludf.DUMMYFUNCTION("""COMPUTED_VALUE"""),"[Apps, 2018]")</f>
        <v>[Apps, 2018]</v>
      </c>
      <c r="U421" s="179">
        <f>IFERROR(__xludf.DUMMYFUNCTION("""COMPUTED_VALUE"""),0.0)</f>
        <v>0</v>
      </c>
      <c r="V421" s="180">
        <f>IFERROR(__xludf.DUMMYFUNCTION("""COMPUTED_VALUE"""),0.0)</f>
        <v>0</v>
      </c>
      <c r="W421" s="180">
        <f>IFERROR(__xludf.DUMMYFUNCTION("""COMPUTED_VALUE"""),0.95)</f>
        <v>0.95</v>
      </c>
      <c r="X421" s="42">
        <f>IFERROR(__xludf.DUMMYFUNCTION("""COMPUTED_VALUE"""),0.0)</f>
        <v>0</v>
      </c>
      <c r="Y421" s="42">
        <f>IFERROR(__xludf.DUMMYFUNCTION("""COMPUTED_VALUE"""),0.0)</f>
        <v>0</v>
      </c>
      <c r="Z421" s="9">
        <f>IFERROR(__xludf.DUMMYFUNCTION("""COMPUTED_VALUE"""),0.0)</f>
        <v>0</v>
      </c>
      <c r="AA421" s="181">
        <f>IFERROR(__xludf.DUMMYFUNCTION("""COMPUTED_VALUE"""),0.0)</f>
        <v>0</v>
      </c>
      <c r="AB421" s="181">
        <f>IFERROR(__xludf.DUMMYFUNCTION("""COMPUTED_VALUE"""),0.0)</f>
        <v>0</v>
      </c>
      <c r="AC421" s="179">
        <f>IFERROR(__xludf.DUMMYFUNCTION("""COMPUTED_VALUE"""),0.0)</f>
        <v>0</v>
      </c>
      <c r="AD421" s="165">
        <f>IFERROR(__xludf.DUMMYFUNCTION("""COMPUTED_VALUE"""),0.0)</f>
        <v>0</v>
      </c>
      <c r="AE421" s="39" t="str">
        <f>IFERROR(__xludf.DUMMYFUNCTION("""COMPUTED_VALUE"""),"Hiroshi Yamakawa")</f>
        <v>Hiroshi Yamakawa</v>
      </c>
      <c r="AF421" s="39" t="str">
        <f>IFERROR(__xludf.DUMMYFUNCTION("""COMPUTED_VALUE"""),"HY20Cerebellum")</f>
        <v>HY20Cerebellum</v>
      </c>
      <c r="AG421" s="39"/>
      <c r="AH421" s="39"/>
      <c r="AI421" s="165"/>
      <c r="AJ421" s="165"/>
      <c r="AK421" s="111"/>
      <c r="AL421" s="111"/>
      <c r="AM421" s="111"/>
      <c r="AN421" s="111"/>
      <c r="AO421" s="111"/>
      <c r="AP421" s="111"/>
      <c r="AQ421" s="116"/>
      <c r="AR421" s="116"/>
      <c r="AS421" s="116"/>
    </row>
    <row r="422">
      <c r="A422" s="42" t="str">
        <f>IFERROR(__xludf.DUMMYFUNCTION("""COMPUTED_VALUE"""),"FNCbg")</f>
        <v>FNCbg</v>
      </c>
      <c r="B422" s="42"/>
      <c r="C422" s="42"/>
      <c r="D422" s="42" t="str">
        <f>IFERROR(__xludf.DUMMYFUNCTION("""COMPUTED_VALUE"""),"FNCbp")</f>
        <v>FNCbp</v>
      </c>
      <c r="E422" s="42"/>
      <c r="F422" s="42"/>
      <c r="G422" s="42"/>
      <c r="H422" s="42" t="str">
        <f>IFERROR(__xludf.DUMMYFUNCTION("""COMPUTED_VALUE"""),"")</f>
        <v/>
      </c>
      <c r="I422" s="42" t="str">
        <f>IFERROR(__xludf.DUMMYFUNCTION("""COMPUTED_VALUE"""),"Apps, 2018")</f>
        <v>Apps, 2018</v>
      </c>
      <c r="J422" s="42"/>
      <c r="K422" s="42"/>
      <c r="L422" s="42"/>
      <c r="M422" s="42"/>
      <c r="N422" s="42"/>
      <c r="O422" s="31" t="str">
        <f>IFERROR(__xludf.DUMMYFUNCTION("""COMPUTED_VALUE"""),"DOC")</f>
        <v>DOC</v>
      </c>
      <c r="P422" s="9" t="str">
        <f>IFERROR(__xludf.DUMMYFUNCTION("""COMPUTED_VALUE"""),"The Cerebellum")</f>
        <v>The Cerebellum</v>
      </c>
      <c r="Q422" s="9"/>
      <c r="R422" s="179" t="str">
        <f>IFERROR(__xludf.DUMMYFUNCTION("""COMPUTED_VALUE"""),"FNCbp (00/00) [Apps, 2018];
")</f>
        <v>FNCbp (00/00) [Apps, 2018];
</v>
      </c>
      <c r="S422" s="179" t="str">
        <f>IFERROR(__xludf.DUMMYFUNCTION("""COMPUTED_VALUE"""),"FNCbgFNCbp")</f>
        <v>FNCbgFNCbp</v>
      </c>
      <c r="T422" s="179" t="str">
        <f>IFERROR(__xludf.DUMMYFUNCTION("""COMPUTED_VALUE"""),"[Apps, 2018]")</f>
        <v>[Apps, 2018]</v>
      </c>
      <c r="U422" s="179">
        <f>IFERROR(__xludf.DUMMYFUNCTION("""COMPUTED_VALUE"""),0.0)</f>
        <v>0</v>
      </c>
      <c r="V422" s="180">
        <f>IFERROR(__xludf.DUMMYFUNCTION("""COMPUTED_VALUE"""),0.0)</f>
        <v>0</v>
      </c>
      <c r="W422" s="180">
        <f>IFERROR(__xludf.DUMMYFUNCTION("""COMPUTED_VALUE"""),0.95)</f>
        <v>0.95</v>
      </c>
      <c r="X422" s="42">
        <f>IFERROR(__xludf.DUMMYFUNCTION("""COMPUTED_VALUE"""),0.0)</f>
        <v>0</v>
      </c>
      <c r="Y422" s="42">
        <f>IFERROR(__xludf.DUMMYFUNCTION("""COMPUTED_VALUE"""),0.0)</f>
        <v>0</v>
      </c>
      <c r="Z422" s="9">
        <f>IFERROR(__xludf.DUMMYFUNCTION("""COMPUTED_VALUE"""),0.0)</f>
        <v>0</v>
      </c>
      <c r="AA422" s="181">
        <f>IFERROR(__xludf.DUMMYFUNCTION("""COMPUTED_VALUE"""),0.0)</f>
        <v>0</v>
      </c>
      <c r="AB422" s="181">
        <f>IFERROR(__xludf.DUMMYFUNCTION("""COMPUTED_VALUE"""),0.0)</f>
        <v>0</v>
      </c>
      <c r="AC422" s="179">
        <f>IFERROR(__xludf.DUMMYFUNCTION("""COMPUTED_VALUE"""),0.0)</f>
        <v>0</v>
      </c>
      <c r="AD422" s="165">
        <f>IFERROR(__xludf.DUMMYFUNCTION("""COMPUTED_VALUE"""),0.0)</f>
        <v>0</v>
      </c>
      <c r="AE422" s="39" t="str">
        <f>IFERROR(__xludf.DUMMYFUNCTION("""COMPUTED_VALUE"""),"Hiroshi Yamakawa")</f>
        <v>Hiroshi Yamakawa</v>
      </c>
      <c r="AF422" s="39" t="str">
        <f>IFERROR(__xludf.DUMMYFUNCTION("""COMPUTED_VALUE"""),"HY20Cerebellum")</f>
        <v>HY20Cerebellum</v>
      </c>
      <c r="AG422" s="39"/>
      <c r="AH422" s="39"/>
      <c r="AI422" s="165"/>
      <c r="AJ422" s="165"/>
      <c r="AK422" s="111"/>
      <c r="AL422" s="111"/>
      <c r="AM422" s="111"/>
      <c r="AN422" s="111"/>
      <c r="AO422" s="111"/>
      <c r="AP422" s="111"/>
      <c r="AQ422" s="116"/>
      <c r="AR422" s="116"/>
      <c r="AS422" s="116"/>
    </row>
    <row r="423">
      <c r="A423" s="42" t="str">
        <f>IFERROR(__xludf.DUMMYFUNCTION("""COMPUTED_VALUE"""),"FNCbp")</f>
        <v>FNCbp</v>
      </c>
      <c r="B423" s="42"/>
      <c r="C423" s="42"/>
      <c r="D423" s="42" t="str">
        <f>IFERROR(__xludf.DUMMYFUNCTION("""COMPUTED_VALUE"""),"VeN")</f>
        <v>VeN</v>
      </c>
      <c r="E423" s="42"/>
      <c r="F423" s="42"/>
      <c r="G423" s="42"/>
      <c r="H423" s="42" t="str">
        <f>IFERROR(__xludf.DUMMYFUNCTION("""COMPUTED_VALUE"""),"")</f>
        <v/>
      </c>
      <c r="I423" s="42" t="str">
        <f>IFERROR(__xludf.DUMMYFUNCTION("""COMPUTED_VALUE"""),"Carcaud, 2017")</f>
        <v>Carcaud, 2017</v>
      </c>
      <c r="J423" s="42"/>
      <c r="K423" s="42"/>
      <c r="L423" s="42"/>
      <c r="M423" s="42"/>
      <c r="N423" s="38"/>
      <c r="O423" s="31" t="str">
        <f>IFERROR(__xludf.DUMMYFUNCTION("""COMPUTED_VALUE"""),"DOC")</f>
        <v>DOC</v>
      </c>
      <c r="P423" s="9" t="str">
        <f>IFERROR(__xludf.DUMMYFUNCTION("""COMPUTED_VALUE"""),"eneuro")</f>
        <v>eneuro</v>
      </c>
      <c r="Q423" s="9"/>
      <c r="R423" s="179" t="str">
        <f>IFERROR(__xludf.DUMMYFUNCTION("""COMPUTED_VALUE"""),"VeN (00/00) [Carcaud, 2017][Matsuno, 2016][Shin, 2011];
")</f>
        <v>VeN (00/00) [Carcaud, 2017][Matsuno, 2016][Shin, 2011];
</v>
      </c>
      <c r="S423" s="179" t="str">
        <f>IFERROR(__xludf.DUMMYFUNCTION("""COMPUTED_VALUE"""),"FNCbpVeN")</f>
        <v>FNCbpVeN</v>
      </c>
      <c r="T423" s="179" t="str">
        <f>IFERROR(__xludf.DUMMYFUNCTION("""COMPUTED_VALUE"""),"[Carcaud, 2017]")</f>
        <v>[Carcaud, 2017]</v>
      </c>
      <c r="U423" s="179">
        <f>IFERROR(__xludf.DUMMYFUNCTION("""COMPUTED_VALUE"""),0.0)</f>
        <v>0</v>
      </c>
      <c r="V423" s="180">
        <f>IFERROR(__xludf.DUMMYFUNCTION("""COMPUTED_VALUE"""),0.0)</f>
        <v>0</v>
      </c>
      <c r="W423" s="180">
        <f>IFERROR(__xludf.DUMMYFUNCTION("""COMPUTED_VALUE"""),0.95)</f>
        <v>0.95</v>
      </c>
      <c r="X423" s="42">
        <f>IFERROR(__xludf.DUMMYFUNCTION("""COMPUTED_VALUE"""),0.0)</f>
        <v>0</v>
      </c>
      <c r="Y423" s="42">
        <f>IFERROR(__xludf.DUMMYFUNCTION("""COMPUTED_VALUE"""),0.0)</f>
        <v>0</v>
      </c>
      <c r="Z423" s="9">
        <f>IFERROR(__xludf.DUMMYFUNCTION("""COMPUTED_VALUE"""),0.0)</f>
        <v>0</v>
      </c>
      <c r="AA423" s="181">
        <f>IFERROR(__xludf.DUMMYFUNCTION("""COMPUTED_VALUE"""),0.0)</f>
        <v>0</v>
      </c>
      <c r="AB423" s="181">
        <f>IFERROR(__xludf.DUMMYFUNCTION("""COMPUTED_VALUE"""),0.0)</f>
        <v>0</v>
      </c>
      <c r="AC423" s="179">
        <f>IFERROR(__xludf.DUMMYFUNCTION("""COMPUTED_VALUE"""),0.0)</f>
        <v>0</v>
      </c>
      <c r="AD423" s="165">
        <f>IFERROR(__xludf.DUMMYFUNCTION("""COMPUTED_VALUE"""),0.0)</f>
        <v>0</v>
      </c>
      <c r="AE423" s="39" t="str">
        <f>IFERROR(__xludf.DUMMYFUNCTION("""COMPUTED_VALUE"""),"Hiroshi Yamakawa")</f>
        <v>Hiroshi Yamakawa</v>
      </c>
      <c r="AF423" s="39" t="str">
        <f>IFERROR(__xludf.DUMMYFUNCTION("""COMPUTED_VALUE"""),"HY20Cerebellum")</f>
        <v>HY20Cerebellum</v>
      </c>
      <c r="AG423" s="39"/>
      <c r="AH423" s="39"/>
      <c r="AI423" s="165"/>
      <c r="AJ423" s="165"/>
      <c r="AK423" s="111"/>
      <c r="AL423" s="111"/>
      <c r="AM423" s="111"/>
      <c r="AN423" s="111"/>
      <c r="AO423" s="111"/>
      <c r="AP423" s="111"/>
      <c r="AQ423" s="116"/>
      <c r="AR423" s="116"/>
      <c r="AS423" s="116"/>
    </row>
    <row r="424">
      <c r="A424" s="42" t="str">
        <f>IFERROR(__xludf.DUMMYFUNCTION("""COMPUTED_VALUE"""),"FNCbp")</f>
        <v>FNCbp</v>
      </c>
      <c r="B424" s="42"/>
      <c r="C424" s="42"/>
      <c r="D424" s="42" t="str">
        <f>IFERROR(__xludf.DUMMYFUNCTION("""COMPUTED_VALUE"""),"VeN")</f>
        <v>VeN</v>
      </c>
      <c r="E424" s="42"/>
      <c r="F424" s="42"/>
      <c r="G424" s="42"/>
      <c r="H424" s="42" t="str">
        <f>IFERROR(__xludf.DUMMYFUNCTION("""COMPUTED_VALUE"""),"")</f>
        <v/>
      </c>
      <c r="I424" s="42" t="str">
        <f>IFERROR(__xludf.DUMMYFUNCTION("""COMPUTED_VALUE"""),"Matsuno, 2016")</f>
        <v>Matsuno, 2016</v>
      </c>
      <c r="J424" s="42"/>
      <c r="K424" s="42"/>
      <c r="L424" s="42"/>
      <c r="M424" s="42"/>
      <c r="N424" s="38"/>
      <c r="O424" s="31" t="str">
        <f>IFERROR(__xludf.DUMMYFUNCTION("""COMPUTED_VALUE"""),"DOC")</f>
        <v>DOC</v>
      </c>
      <c r="P424" s="9" t="str">
        <f>IFERROR(__xludf.DUMMYFUNCTION("""COMPUTED_VALUE"""),"{PLoS} {ONE}")</f>
        <v>{PLoS} {ONE}</v>
      </c>
      <c r="Q424" s="9"/>
      <c r="R424" s="179" t="str">
        <f>IFERROR(__xludf.DUMMYFUNCTION("""COMPUTED_VALUE"""),"VeN (00/00) [Carcaud, 2017][Matsuno, 2016][Shin, 2011];
")</f>
        <v>VeN (00/00) [Carcaud, 2017][Matsuno, 2016][Shin, 2011];
</v>
      </c>
      <c r="S424" s="179" t="str">
        <f>IFERROR(__xludf.DUMMYFUNCTION("""COMPUTED_VALUE"""),"FNCbpVeN")</f>
        <v>FNCbpVeN</v>
      </c>
      <c r="T424" s="179" t="str">
        <f>IFERROR(__xludf.DUMMYFUNCTION("""COMPUTED_VALUE"""),"[Matsuno, 2016]")</f>
        <v>[Matsuno, 2016]</v>
      </c>
      <c r="U424" s="179">
        <f>IFERROR(__xludf.DUMMYFUNCTION("""COMPUTED_VALUE"""),0.0)</f>
        <v>0</v>
      </c>
      <c r="V424" s="180">
        <f>IFERROR(__xludf.DUMMYFUNCTION("""COMPUTED_VALUE"""),0.0)</f>
        <v>0</v>
      </c>
      <c r="W424" s="180">
        <f>IFERROR(__xludf.DUMMYFUNCTION("""COMPUTED_VALUE"""),0.95)</f>
        <v>0.95</v>
      </c>
      <c r="X424" s="42">
        <f>IFERROR(__xludf.DUMMYFUNCTION("""COMPUTED_VALUE"""),0.0)</f>
        <v>0</v>
      </c>
      <c r="Y424" s="42">
        <f>IFERROR(__xludf.DUMMYFUNCTION("""COMPUTED_VALUE"""),0.0)</f>
        <v>0</v>
      </c>
      <c r="Z424" s="9">
        <f>IFERROR(__xludf.DUMMYFUNCTION("""COMPUTED_VALUE"""),0.0)</f>
        <v>0</v>
      </c>
      <c r="AA424" s="181">
        <f>IFERROR(__xludf.DUMMYFUNCTION("""COMPUTED_VALUE"""),0.0)</f>
        <v>0</v>
      </c>
      <c r="AB424" s="181">
        <f>IFERROR(__xludf.DUMMYFUNCTION("""COMPUTED_VALUE"""),0.0)</f>
        <v>0</v>
      </c>
      <c r="AC424" s="179">
        <f>IFERROR(__xludf.DUMMYFUNCTION("""COMPUTED_VALUE"""),0.0)</f>
        <v>0</v>
      </c>
      <c r="AD424" s="165">
        <f>IFERROR(__xludf.DUMMYFUNCTION("""COMPUTED_VALUE"""),0.0)</f>
        <v>0</v>
      </c>
      <c r="AE424" s="39" t="str">
        <f>IFERROR(__xludf.DUMMYFUNCTION("""COMPUTED_VALUE"""),"Hiroshi Yamakawa")</f>
        <v>Hiroshi Yamakawa</v>
      </c>
      <c r="AF424" s="39" t="str">
        <f>IFERROR(__xludf.DUMMYFUNCTION("""COMPUTED_VALUE"""),"HY20Cerebellum")</f>
        <v>HY20Cerebellum</v>
      </c>
      <c r="AG424" s="39"/>
      <c r="AH424" s="39"/>
      <c r="AI424" s="165"/>
      <c r="AJ424" s="165"/>
      <c r="AK424" s="111"/>
      <c r="AL424" s="111"/>
      <c r="AM424" s="111"/>
      <c r="AN424" s="111"/>
      <c r="AO424" s="111"/>
      <c r="AP424" s="111"/>
      <c r="AQ424" s="116"/>
      <c r="AR424" s="116"/>
      <c r="AS424" s="116"/>
    </row>
    <row r="425">
      <c r="A425" s="42" t="str">
        <f>IFERROR(__xludf.DUMMYFUNCTION("""COMPUTED_VALUE"""),"FNCbp")</f>
        <v>FNCbp</v>
      </c>
      <c r="B425" s="42"/>
      <c r="C425" s="42"/>
      <c r="D425" s="42" t="str">
        <f>IFERROR(__xludf.DUMMYFUNCTION("""COMPUTED_VALUE"""),"VeN")</f>
        <v>VeN</v>
      </c>
      <c r="E425" s="42"/>
      <c r="F425" s="42"/>
      <c r="G425" s="42"/>
      <c r="H425" s="42" t="str">
        <f>IFERROR(__xludf.DUMMYFUNCTION("""COMPUTED_VALUE"""),"")</f>
        <v/>
      </c>
      <c r="I425" s="42" t="str">
        <f>IFERROR(__xludf.DUMMYFUNCTION("""COMPUTED_VALUE"""),"Shin, 2011")</f>
        <v>Shin, 2011</v>
      </c>
      <c r="J425" s="42"/>
      <c r="K425" s="42"/>
      <c r="L425" s="42"/>
      <c r="M425" s="42"/>
      <c r="N425" s="38"/>
      <c r="O425" s="31" t="str">
        <f>IFERROR(__xludf.DUMMYFUNCTION("""COMPUTED_VALUE"""),"DOC")</f>
        <v>DOC</v>
      </c>
      <c r="P425" s="9" t="str">
        <f>IFERROR(__xludf.DUMMYFUNCTION("""COMPUTED_VALUE"""),"Journal of Neuroscience")</f>
        <v>Journal of Neuroscience</v>
      </c>
      <c r="Q425" s="9"/>
      <c r="R425" s="179" t="str">
        <f>IFERROR(__xludf.DUMMYFUNCTION("""COMPUTED_VALUE"""),"VeN (00/00) [Carcaud, 2017][Matsuno, 2016][Shin, 2011];
")</f>
        <v>VeN (00/00) [Carcaud, 2017][Matsuno, 2016][Shin, 2011];
</v>
      </c>
      <c r="S425" s="179" t="str">
        <f>IFERROR(__xludf.DUMMYFUNCTION("""COMPUTED_VALUE"""),"FNCbpVeN")</f>
        <v>FNCbpVeN</v>
      </c>
      <c r="T425" s="179" t="str">
        <f>IFERROR(__xludf.DUMMYFUNCTION("""COMPUTED_VALUE"""),"[Shin, 2011]")</f>
        <v>[Shin, 2011]</v>
      </c>
      <c r="U425" s="179">
        <f>IFERROR(__xludf.DUMMYFUNCTION("""COMPUTED_VALUE"""),0.0)</f>
        <v>0</v>
      </c>
      <c r="V425" s="180">
        <f>IFERROR(__xludf.DUMMYFUNCTION("""COMPUTED_VALUE"""),0.0)</f>
        <v>0</v>
      </c>
      <c r="W425" s="180">
        <f>IFERROR(__xludf.DUMMYFUNCTION("""COMPUTED_VALUE"""),0.95)</f>
        <v>0.95</v>
      </c>
      <c r="X425" s="42">
        <f>IFERROR(__xludf.DUMMYFUNCTION("""COMPUTED_VALUE"""),0.0)</f>
        <v>0</v>
      </c>
      <c r="Y425" s="42">
        <f>IFERROR(__xludf.DUMMYFUNCTION("""COMPUTED_VALUE"""),0.0)</f>
        <v>0</v>
      </c>
      <c r="Z425" s="9">
        <f>IFERROR(__xludf.DUMMYFUNCTION("""COMPUTED_VALUE"""),0.0)</f>
        <v>0</v>
      </c>
      <c r="AA425" s="181">
        <f>IFERROR(__xludf.DUMMYFUNCTION("""COMPUTED_VALUE"""),0.0)</f>
        <v>0</v>
      </c>
      <c r="AB425" s="181">
        <f>IFERROR(__xludf.DUMMYFUNCTION("""COMPUTED_VALUE"""),0.0)</f>
        <v>0</v>
      </c>
      <c r="AC425" s="179">
        <f>IFERROR(__xludf.DUMMYFUNCTION("""COMPUTED_VALUE"""),0.0)</f>
        <v>0</v>
      </c>
      <c r="AD425" s="165">
        <f>IFERROR(__xludf.DUMMYFUNCTION("""COMPUTED_VALUE"""),0.0)</f>
        <v>0</v>
      </c>
      <c r="AE425" s="39" t="str">
        <f>IFERROR(__xludf.DUMMYFUNCTION("""COMPUTED_VALUE"""),"Hiroshi Yamakawa")</f>
        <v>Hiroshi Yamakawa</v>
      </c>
      <c r="AF425" s="39" t="str">
        <f>IFERROR(__xludf.DUMMYFUNCTION("""COMPUTED_VALUE"""),"HY20Cerebellum")</f>
        <v>HY20Cerebellum</v>
      </c>
      <c r="AG425" s="39"/>
      <c r="AH425" s="39"/>
      <c r="AI425" s="165"/>
      <c r="AJ425" s="165"/>
      <c r="AK425" s="111"/>
      <c r="AL425" s="111"/>
      <c r="AM425" s="111"/>
      <c r="AN425" s="111"/>
      <c r="AO425" s="111"/>
      <c r="AP425" s="111"/>
      <c r="AQ425" s="116"/>
      <c r="AR425" s="116"/>
      <c r="AS425" s="116"/>
    </row>
    <row r="426">
      <c r="A426" s="42" t="str">
        <f>IFERROR(__xludf.DUMMYFUNCTION("""COMPUTED_VALUE"""),"g")</f>
        <v>g</v>
      </c>
      <c r="B426" s="42"/>
      <c r="C426" s="42"/>
      <c r="D426" s="42" t="str">
        <f>IFERROR(__xludf.DUMMYFUNCTION("""COMPUTED_VALUE"""),"p")</f>
        <v>p</v>
      </c>
      <c r="E426" s="42"/>
      <c r="F426" s="42"/>
      <c r="G426" s="42"/>
      <c r="H426" s="42" t="str">
        <f>IFERROR(__xludf.DUMMYFUNCTION("""COMPUTED_VALUE"""),"(parallel fibers)")</f>
        <v>(parallel fibers)</v>
      </c>
      <c r="I426" s="42" t="str">
        <f>IFERROR(__xludf.DUMMYFUNCTION("""COMPUTED_VALUE"""),"Wagner, 2020")</f>
        <v>Wagner, 2020</v>
      </c>
      <c r="J426" s="42"/>
      <c r="K426" s="42"/>
      <c r="L426" s="42"/>
      <c r="M426" s="42"/>
      <c r="N426" s="38"/>
      <c r="O426" s="31" t="str">
        <f>IFERROR(__xludf.DUMMYFUNCTION("""COMPUTED_VALUE"""),"DOC")</f>
        <v>DOC</v>
      </c>
      <c r="P426" s="9" t="str">
        <f>IFERROR(__xludf.DUMMYFUNCTION("""COMPUTED_VALUE"""),"Trends in Neurosciences")</f>
        <v>Trends in Neurosciences</v>
      </c>
      <c r="Q426" s="9"/>
      <c r="R426" s="179" t="str">
        <f>IFERROR(__xludf.DUMMYFUNCTION("""COMPUTED_VALUE"""),"p (00/00) [Wagner, 2020](parallel fibers);
")</f>
        <v>p (00/00) [Wagner, 2020](parallel fibers);
</v>
      </c>
      <c r="S426" s="179" t="str">
        <f>IFERROR(__xludf.DUMMYFUNCTION("""COMPUTED_VALUE"""),"gp")</f>
        <v>gp</v>
      </c>
      <c r="T426" s="179" t="str">
        <f>IFERROR(__xludf.DUMMYFUNCTION("""COMPUTED_VALUE"""),"[Wagner, 2020]")</f>
        <v>[Wagner, 2020]</v>
      </c>
      <c r="U426" s="179">
        <f>IFERROR(__xludf.DUMMYFUNCTION("""COMPUTED_VALUE"""),0.0)</f>
        <v>0</v>
      </c>
      <c r="V426" s="180">
        <f>IFERROR(__xludf.DUMMYFUNCTION("""COMPUTED_VALUE"""),0.0)</f>
        <v>0</v>
      </c>
      <c r="W426" s="180">
        <f>IFERROR(__xludf.DUMMYFUNCTION("""COMPUTED_VALUE"""),0.95)</f>
        <v>0.95</v>
      </c>
      <c r="X426" s="42">
        <f>IFERROR(__xludf.DUMMYFUNCTION("""COMPUTED_VALUE"""),0.0)</f>
        <v>0</v>
      </c>
      <c r="Y426" s="42">
        <f>IFERROR(__xludf.DUMMYFUNCTION("""COMPUTED_VALUE"""),0.0)</f>
        <v>0</v>
      </c>
      <c r="Z426" s="9">
        <f>IFERROR(__xludf.DUMMYFUNCTION("""COMPUTED_VALUE"""),0.0)</f>
        <v>0</v>
      </c>
      <c r="AA426" s="181">
        <f>IFERROR(__xludf.DUMMYFUNCTION("""COMPUTED_VALUE"""),0.0)</f>
        <v>0</v>
      </c>
      <c r="AB426" s="181">
        <f>IFERROR(__xludf.DUMMYFUNCTION("""COMPUTED_VALUE"""),0.0)</f>
        <v>0</v>
      </c>
      <c r="AC426" s="179">
        <f>IFERROR(__xludf.DUMMYFUNCTION("""COMPUTED_VALUE"""),0.0)</f>
        <v>0</v>
      </c>
      <c r="AD426" s="165">
        <f>IFERROR(__xludf.DUMMYFUNCTION("""COMPUTED_VALUE"""),0.0)</f>
        <v>0</v>
      </c>
      <c r="AE426" s="39" t="str">
        <f>IFERROR(__xludf.DUMMYFUNCTION("""COMPUTED_VALUE"""),"Hiroshi Yamakawa")</f>
        <v>Hiroshi Yamakawa</v>
      </c>
      <c r="AF426" s="39" t="str">
        <f>IFERROR(__xludf.DUMMYFUNCTION("""COMPUTED_VALUE"""),"HY20Cerebellum")</f>
        <v>HY20Cerebellum</v>
      </c>
      <c r="AG426" s="39"/>
      <c r="AH426" s="39"/>
      <c r="AI426" s="165"/>
      <c r="AJ426" s="165"/>
      <c r="AK426" s="111"/>
      <c r="AL426" s="111"/>
      <c r="AM426" s="111"/>
      <c r="AN426" s="111"/>
      <c r="AO426" s="111"/>
      <c r="AP426" s="111"/>
      <c r="AQ426" s="116"/>
      <c r="AR426" s="116"/>
      <c r="AS426" s="116"/>
    </row>
    <row r="427">
      <c r="A427" s="42" t="str">
        <f>IFERROR(__xludf.DUMMYFUNCTION("""COMPUTED_VALUE"""),"GPe")</f>
        <v>GPe</v>
      </c>
      <c r="B427" s="42"/>
      <c r="C427" s="42"/>
      <c r="D427" s="42" t="str">
        <f>IFERROR(__xludf.DUMMYFUNCTION("""COMPUTED_VALUE"""),"STH")</f>
        <v>STH</v>
      </c>
      <c r="E427" s="42"/>
      <c r="F427" s="42"/>
      <c r="G427" s="42"/>
      <c r="H427" s="42" t="str">
        <f>IFERROR(__xludf.DUMMYFUNCTION("""COMPUTED_VALUE"""),"(Limbic loop)(Sensorimotor)")</f>
        <v>(Limbic loop)(Sensorimotor)</v>
      </c>
      <c r="I427" s="42" t="str">
        <f>IFERROR(__xludf.DUMMYFUNCTION("""COMPUTED_VALUE"""),"Fiore, 2015")</f>
        <v>Fiore, 2015</v>
      </c>
      <c r="J427" s="42"/>
      <c r="K427" s="42"/>
      <c r="L427" s="42"/>
      <c r="M427" s="42"/>
      <c r="N427" s="42"/>
      <c r="O427" s="31" t="str">
        <f>IFERROR(__xludf.DUMMYFUNCTION("""COMPUTED_VALUE"""),"DOC")</f>
        <v>DOC</v>
      </c>
      <c r="P427" s="9" t="str">
        <f>IFERROR(__xludf.DUMMYFUNCTION("""COMPUTED_VALUE"""),"Philosophical Transactions of the Royal Society B: Biological Sciences")</f>
        <v>Philosophical Transactions of the Royal Society B: Biological Sciences</v>
      </c>
      <c r="Q427" s="9"/>
      <c r="R427" s="179" t="str">
        <f>IFERROR(__xludf.DUMMYFUNCTION("""COMPUTED_VALUE"""),"STH (00/00) [Fiore, 2015](Limbic loop)(Sensorimotor);
")</f>
        <v>STH (00/00) [Fiore, 2015](Limbic loop)(Sensorimotor);
</v>
      </c>
      <c r="S427" s="179" t="str">
        <f>IFERROR(__xludf.DUMMYFUNCTION("""COMPUTED_VALUE"""),"GPeSTH")</f>
        <v>GPeSTH</v>
      </c>
      <c r="T427" s="179" t="str">
        <f>IFERROR(__xludf.DUMMYFUNCTION("""COMPUTED_VALUE"""),"[Fiore, 2015]")</f>
        <v>[Fiore, 2015]</v>
      </c>
      <c r="U427" s="179">
        <f>IFERROR(__xludf.DUMMYFUNCTION("""COMPUTED_VALUE"""),0.0)</f>
        <v>0</v>
      </c>
      <c r="V427" s="180">
        <f>IFERROR(__xludf.DUMMYFUNCTION("""COMPUTED_VALUE"""),0.0)</f>
        <v>0</v>
      </c>
      <c r="W427" s="180">
        <f>IFERROR(__xludf.DUMMYFUNCTION("""COMPUTED_VALUE"""),0.95)</f>
        <v>0.95</v>
      </c>
      <c r="X427" s="42">
        <f>IFERROR(__xludf.DUMMYFUNCTION("""COMPUTED_VALUE"""),0.0)</f>
        <v>0</v>
      </c>
      <c r="Y427" s="42">
        <f>IFERROR(__xludf.DUMMYFUNCTION("""COMPUTED_VALUE"""),0.0)</f>
        <v>0</v>
      </c>
      <c r="Z427" s="9">
        <f>IFERROR(__xludf.DUMMYFUNCTION("""COMPUTED_VALUE"""),0.0)</f>
        <v>0</v>
      </c>
      <c r="AA427" s="181">
        <f>IFERROR(__xludf.DUMMYFUNCTION("""COMPUTED_VALUE"""),0.0)</f>
        <v>0</v>
      </c>
      <c r="AB427" s="181">
        <f>IFERROR(__xludf.DUMMYFUNCTION("""COMPUTED_VALUE"""),0.0)</f>
        <v>0</v>
      </c>
      <c r="AC427" s="179">
        <f>IFERROR(__xludf.DUMMYFUNCTION("""COMPUTED_VALUE"""),0.0)</f>
        <v>0</v>
      </c>
      <c r="AD427" s="165">
        <f>IFERROR(__xludf.DUMMYFUNCTION("""COMPUTED_VALUE"""),0.0)</f>
        <v>0</v>
      </c>
      <c r="AE427" s="39" t="str">
        <f>IFERROR(__xludf.DUMMYFUNCTION("""COMPUTED_VALUE"""),"Yuske Shibata")</f>
        <v>Yuske Shibata</v>
      </c>
      <c r="AF427" s="39" t="str">
        <f>IFERROR(__xludf.DUMMYFUNCTION("""COMPUTED_VALUE"""),"YS21BgLoop")</f>
        <v>YS21BgLoop</v>
      </c>
      <c r="AG427" s="39"/>
      <c r="AH427" s="39"/>
      <c r="AI427" s="165"/>
      <c r="AJ427" s="165"/>
      <c r="AK427" s="111"/>
      <c r="AL427" s="111"/>
      <c r="AM427" s="111"/>
      <c r="AN427" s="111"/>
      <c r="AO427" s="111"/>
      <c r="AP427" s="111"/>
      <c r="AQ427" s="116"/>
      <c r="AR427" s="116"/>
      <c r="AS427" s="116"/>
    </row>
    <row r="428">
      <c r="A428" s="42" t="str">
        <f>IFERROR(__xludf.DUMMYFUNCTION("""COMPUTED_VALUE"""),"GPe")</f>
        <v>GPe</v>
      </c>
      <c r="B428" s="42"/>
      <c r="C428" s="42"/>
      <c r="D428" s="42" t="str">
        <f>IFERROR(__xludf.DUMMYFUNCTION("""COMPUTED_VALUE"""),"GPi")</f>
        <v>GPi</v>
      </c>
      <c r="E428" s="42"/>
      <c r="F428" s="42"/>
      <c r="G428" s="42"/>
      <c r="H428" s="42" t="str">
        <f>IFERROR(__xludf.DUMMYFUNCTION("""COMPUTED_VALUE"""),"")</f>
        <v/>
      </c>
      <c r="I428" s="42" t="str">
        <f>IFERROR(__xludf.DUMMYFUNCTION("""COMPUTED_VALUE"""),"Galvan, 2015")</f>
        <v>Galvan, 2015</v>
      </c>
      <c r="J428" s="42"/>
      <c r="K428" s="42"/>
      <c r="L428" s="42"/>
      <c r="M428" s="42"/>
      <c r="N428" s="42"/>
      <c r="O428" s="31" t="str">
        <f>IFERROR(__xludf.DUMMYFUNCTION("""COMPUTED_VALUE"""),"DOC")</f>
        <v>DOC</v>
      </c>
      <c r="P428" s="9" t="str">
        <f>IFERROR(__xludf.DUMMYFUNCTION("""COMPUTED_VALUE"""),"Frontiers in Neuroanatomy")</f>
        <v>Frontiers in Neuroanatomy</v>
      </c>
      <c r="Q428" s="9"/>
      <c r="R428" s="179" t="str">
        <f>IFERROR(__xludf.DUMMYFUNCTION("""COMPUTED_VALUE"""),"GPi (00/00) [Galvan, 2015];
")</f>
        <v>GPi (00/00) [Galvan, 2015];
</v>
      </c>
      <c r="S428" s="179" t="str">
        <f>IFERROR(__xludf.DUMMYFUNCTION("""COMPUTED_VALUE"""),"GPeGPi")</f>
        <v>GPeGPi</v>
      </c>
      <c r="T428" s="179" t="str">
        <f>IFERROR(__xludf.DUMMYFUNCTION("""COMPUTED_VALUE"""),"[Galvan, 2015]")</f>
        <v>[Galvan, 2015]</v>
      </c>
      <c r="U428" s="179">
        <f>IFERROR(__xludf.DUMMYFUNCTION("""COMPUTED_VALUE"""),0.0)</f>
        <v>0</v>
      </c>
      <c r="V428" s="180">
        <f>IFERROR(__xludf.DUMMYFUNCTION("""COMPUTED_VALUE"""),0.0)</f>
        <v>0</v>
      </c>
      <c r="W428" s="180">
        <f>IFERROR(__xludf.DUMMYFUNCTION("""COMPUTED_VALUE"""),0.95)</f>
        <v>0.95</v>
      </c>
      <c r="X428" s="42">
        <f>IFERROR(__xludf.DUMMYFUNCTION("""COMPUTED_VALUE"""),0.0)</f>
        <v>0</v>
      </c>
      <c r="Y428" s="42">
        <f>IFERROR(__xludf.DUMMYFUNCTION("""COMPUTED_VALUE"""),0.0)</f>
        <v>0</v>
      </c>
      <c r="Z428" s="9">
        <f>IFERROR(__xludf.DUMMYFUNCTION("""COMPUTED_VALUE"""),0.0)</f>
        <v>0</v>
      </c>
      <c r="AA428" s="181">
        <f>IFERROR(__xludf.DUMMYFUNCTION("""COMPUTED_VALUE"""),0.0)</f>
        <v>0</v>
      </c>
      <c r="AB428" s="181">
        <f>IFERROR(__xludf.DUMMYFUNCTION("""COMPUTED_VALUE"""),0.0)</f>
        <v>0</v>
      </c>
      <c r="AC428" s="179">
        <f>IFERROR(__xludf.DUMMYFUNCTION("""COMPUTED_VALUE"""),0.0)</f>
        <v>0</v>
      </c>
      <c r="AD428" s="165">
        <f>IFERROR(__xludf.DUMMYFUNCTION("""COMPUTED_VALUE"""),0.0)</f>
        <v>0</v>
      </c>
      <c r="AE428" s="39" t="str">
        <f>IFERROR(__xludf.DUMMYFUNCTION("""COMPUTED_VALUE"""),"Yuske Shibata")</f>
        <v>Yuske Shibata</v>
      </c>
      <c r="AF428" s="39" t="str">
        <f>IFERROR(__xludf.DUMMYFUNCTION("""COMPUTED_VALUE"""),"YS21BgLoop")</f>
        <v>YS21BgLoop</v>
      </c>
      <c r="AG428" s="39"/>
      <c r="AH428" s="39"/>
      <c r="AI428" s="165"/>
      <c r="AJ428" s="165"/>
      <c r="AK428" s="111"/>
      <c r="AL428" s="111"/>
      <c r="AM428" s="111"/>
      <c r="AN428" s="111"/>
      <c r="AO428" s="111"/>
      <c r="AP428" s="111"/>
      <c r="AQ428" s="116"/>
      <c r="AR428" s="116"/>
      <c r="AS428" s="116"/>
    </row>
    <row r="429">
      <c r="A429" s="42" t="str">
        <f>IFERROR(__xludf.DUMMYFUNCTION("""COMPUTED_VALUE"""),"GPe")</f>
        <v>GPe</v>
      </c>
      <c r="B429" s="42"/>
      <c r="C429" s="42"/>
      <c r="D429" s="42" t="str">
        <f>IFERROR(__xludf.DUMMYFUNCTION("""COMPUTED_VALUE"""),"SNR")</f>
        <v>SNR</v>
      </c>
      <c r="E429" s="42"/>
      <c r="F429" s="42"/>
      <c r="G429" s="42"/>
      <c r="H429" s="42" t="str">
        <f>IFERROR(__xludf.DUMMYFUNCTION("""COMPUTED_VALUE"""),"")</f>
        <v/>
      </c>
      <c r="I429" s="42" t="str">
        <f>IFERROR(__xludf.DUMMYFUNCTION("""COMPUTED_VALUE"""),"Galvan, 2015")</f>
        <v>Galvan, 2015</v>
      </c>
      <c r="J429" s="42"/>
      <c r="K429" s="42"/>
      <c r="L429" s="42"/>
      <c r="M429" s="42"/>
      <c r="N429" s="42"/>
      <c r="O429" s="31" t="str">
        <f>IFERROR(__xludf.DUMMYFUNCTION("""COMPUTED_VALUE"""),"DOC")</f>
        <v>DOC</v>
      </c>
      <c r="P429" s="9" t="str">
        <f>IFERROR(__xludf.DUMMYFUNCTION("""COMPUTED_VALUE"""),"Frontiers in Neuroanatomy")</f>
        <v>Frontiers in Neuroanatomy</v>
      </c>
      <c r="Q429" s="9"/>
      <c r="R429" s="179" t="str">
        <f>IFERROR(__xludf.DUMMYFUNCTION("""COMPUTED_VALUE"""),"SNR (00/00) [Galvan, 2015];
")</f>
        <v>SNR (00/00) [Galvan, 2015];
</v>
      </c>
      <c r="S429" s="179" t="str">
        <f>IFERROR(__xludf.DUMMYFUNCTION("""COMPUTED_VALUE"""),"GPeSNR")</f>
        <v>GPeSNR</v>
      </c>
      <c r="T429" s="179" t="str">
        <f>IFERROR(__xludf.DUMMYFUNCTION("""COMPUTED_VALUE"""),"[Galvan, 2015]")</f>
        <v>[Galvan, 2015]</v>
      </c>
      <c r="U429" s="179">
        <f>IFERROR(__xludf.DUMMYFUNCTION("""COMPUTED_VALUE"""),0.0)</f>
        <v>0</v>
      </c>
      <c r="V429" s="180">
        <f>IFERROR(__xludf.DUMMYFUNCTION("""COMPUTED_VALUE"""),0.0)</f>
        <v>0</v>
      </c>
      <c r="W429" s="180">
        <f>IFERROR(__xludf.DUMMYFUNCTION("""COMPUTED_VALUE"""),0.95)</f>
        <v>0.95</v>
      </c>
      <c r="X429" s="42">
        <f>IFERROR(__xludf.DUMMYFUNCTION("""COMPUTED_VALUE"""),0.0)</f>
        <v>0</v>
      </c>
      <c r="Y429" s="42">
        <f>IFERROR(__xludf.DUMMYFUNCTION("""COMPUTED_VALUE"""),0.0)</f>
        <v>0</v>
      </c>
      <c r="Z429" s="9">
        <f>IFERROR(__xludf.DUMMYFUNCTION("""COMPUTED_VALUE"""),0.0)</f>
        <v>0</v>
      </c>
      <c r="AA429" s="181">
        <f>IFERROR(__xludf.DUMMYFUNCTION("""COMPUTED_VALUE"""),0.0)</f>
        <v>0</v>
      </c>
      <c r="AB429" s="181">
        <f>IFERROR(__xludf.DUMMYFUNCTION("""COMPUTED_VALUE"""),0.0)</f>
        <v>0</v>
      </c>
      <c r="AC429" s="179">
        <f>IFERROR(__xludf.DUMMYFUNCTION("""COMPUTED_VALUE"""),0.0)</f>
        <v>0</v>
      </c>
      <c r="AD429" s="165">
        <f>IFERROR(__xludf.DUMMYFUNCTION("""COMPUTED_VALUE"""),0.0)</f>
        <v>0</v>
      </c>
      <c r="AE429" s="39" t="str">
        <f>IFERROR(__xludf.DUMMYFUNCTION("""COMPUTED_VALUE"""),"Yuske Shibata")</f>
        <v>Yuske Shibata</v>
      </c>
      <c r="AF429" s="39" t="str">
        <f>IFERROR(__xludf.DUMMYFUNCTION("""COMPUTED_VALUE"""),"YS21BgLoop")</f>
        <v>YS21BgLoop</v>
      </c>
      <c r="AG429" s="39"/>
      <c r="AH429" s="39"/>
      <c r="AI429" s="165"/>
      <c r="AJ429" s="165"/>
      <c r="AK429" s="111"/>
      <c r="AL429" s="111"/>
      <c r="AM429" s="111"/>
      <c r="AN429" s="111"/>
      <c r="AO429" s="111"/>
      <c r="AP429" s="111"/>
      <c r="AQ429" s="116"/>
      <c r="AR429" s="116"/>
      <c r="AS429" s="116"/>
    </row>
    <row r="430">
      <c r="A430" s="42" t="str">
        <f>IFERROR(__xludf.DUMMYFUNCTION("""COMPUTED_VALUE"""),"GPe")</f>
        <v>GPe</v>
      </c>
      <c r="B430" s="42"/>
      <c r="C430" s="42"/>
      <c r="D430" s="42" t="str">
        <f>IFERROR(__xludf.DUMMYFUNCTION("""COMPUTED_VALUE"""),"STR_matrix")</f>
        <v>STR_matrix</v>
      </c>
      <c r="E430" s="42"/>
      <c r="F430" s="42"/>
      <c r="G430" s="42"/>
      <c r="H430" s="42" t="str">
        <f>IFERROR(__xludf.DUMMYFUNCTION("""COMPUTED_VALUE"""),"")</f>
        <v/>
      </c>
      <c r="I430" s="42" t="str">
        <f>IFERROR(__xludf.DUMMYFUNCTION("""COMPUTED_VALUE"""),"Galvan, 2015")</f>
        <v>Galvan, 2015</v>
      </c>
      <c r="J430" s="42"/>
      <c r="K430" s="42"/>
      <c r="L430" s="42"/>
      <c r="M430" s="42"/>
      <c r="N430" s="42"/>
      <c r="O430" s="31" t="str">
        <f>IFERROR(__xludf.DUMMYFUNCTION("""COMPUTED_VALUE"""),"DOC")</f>
        <v>DOC</v>
      </c>
      <c r="P430" s="9" t="str">
        <f>IFERROR(__xludf.DUMMYFUNCTION("""COMPUTED_VALUE"""),"Frontiers in Neuroanatomy")</f>
        <v>Frontiers in Neuroanatomy</v>
      </c>
      <c r="Q430" s="9"/>
      <c r="R430" s="179" t="str">
        <f>IFERROR(__xludf.DUMMYFUNCTION("""COMPUTED_VALUE"""),"STR_matrix (00/00) [Galvan, 2015];
")</f>
        <v>STR_matrix (00/00) [Galvan, 2015];
</v>
      </c>
      <c r="S430" s="179" t="str">
        <f>IFERROR(__xludf.DUMMYFUNCTION("""COMPUTED_VALUE"""),"GPeSTR_matrix")</f>
        <v>GPeSTR_matrix</v>
      </c>
      <c r="T430" s="179" t="str">
        <f>IFERROR(__xludf.DUMMYFUNCTION("""COMPUTED_VALUE"""),"[Galvan, 2015]")</f>
        <v>[Galvan, 2015]</v>
      </c>
      <c r="U430" s="179">
        <f>IFERROR(__xludf.DUMMYFUNCTION("""COMPUTED_VALUE"""),0.0)</f>
        <v>0</v>
      </c>
      <c r="V430" s="180">
        <f>IFERROR(__xludf.DUMMYFUNCTION("""COMPUTED_VALUE"""),0.0)</f>
        <v>0</v>
      </c>
      <c r="W430" s="180">
        <f>IFERROR(__xludf.DUMMYFUNCTION("""COMPUTED_VALUE"""),0.95)</f>
        <v>0.95</v>
      </c>
      <c r="X430" s="42">
        <f>IFERROR(__xludf.DUMMYFUNCTION("""COMPUTED_VALUE"""),0.0)</f>
        <v>0</v>
      </c>
      <c r="Y430" s="42">
        <f>IFERROR(__xludf.DUMMYFUNCTION("""COMPUTED_VALUE"""),0.0)</f>
        <v>0</v>
      </c>
      <c r="Z430" s="9">
        <f>IFERROR(__xludf.DUMMYFUNCTION("""COMPUTED_VALUE"""),0.0)</f>
        <v>0</v>
      </c>
      <c r="AA430" s="181">
        <f>IFERROR(__xludf.DUMMYFUNCTION("""COMPUTED_VALUE"""),0.0)</f>
        <v>0</v>
      </c>
      <c r="AB430" s="181">
        <f>IFERROR(__xludf.DUMMYFUNCTION("""COMPUTED_VALUE"""),0.0)</f>
        <v>0</v>
      </c>
      <c r="AC430" s="179">
        <f>IFERROR(__xludf.DUMMYFUNCTION("""COMPUTED_VALUE"""),0.0)</f>
        <v>0</v>
      </c>
      <c r="AD430" s="165">
        <f>IFERROR(__xludf.DUMMYFUNCTION("""COMPUTED_VALUE"""),0.0)</f>
        <v>0</v>
      </c>
      <c r="AE430" s="39" t="str">
        <f>IFERROR(__xludf.DUMMYFUNCTION("""COMPUTED_VALUE"""),"Yuske Shibata")</f>
        <v>Yuske Shibata</v>
      </c>
      <c r="AF430" s="39" t="str">
        <f>IFERROR(__xludf.DUMMYFUNCTION("""COMPUTED_VALUE"""),"YS21BgLoop")</f>
        <v>YS21BgLoop</v>
      </c>
      <c r="AG430" s="39"/>
      <c r="AH430" s="39"/>
      <c r="AI430" s="165"/>
      <c r="AJ430" s="165"/>
      <c r="AK430" s="111"/>
      <c r="AL430" s="111"/>
      <c r="AM430" s="111"/>
      <c r="AN430" s="111"/>
      <c r="AO430" s="111"/>
      <c r="AP430" s="111"/>
      <c r="AQ430" s="116"/>
      <c r="AR430" s="116"/>
      <c r="AS430" s="116"/>
    </row>
    <row r="431">
      <c r="A431" s="42" t="str">
        <f>IFERROR(__xludf.DUMMYFUNCTION("""COMPUTED_VALUE"""),"GPe")</f>
        <v>GPe</v>
      </c>
      <c r="B431" s="42"/>
      <c r="C431" s="42"/>
      <c r="D431" s="42" t="str">
        <f>IFERROR(__xludf.DUMMYFUNCTION("""COMPUTED_VALUE"""),"STR_patch")</f>
        <v>STR_patch</v>
      </c>
      <c r="E431" s="42"/>
      <c r="F431" s="42"/>
      <c r="G431" s="42"/>
      <c r="H431" s="42" t="str">
        <f>IFERROR(__xludf.DUMMYFUNCTION("""COMPUTED_VALUE"""),"")</f>
        <v/>
      </c>
      <c r="I431" s="42" t="str">
        <f>IFERROR(__xludf.DUMMYFUNCTION("""COMPUTED_VALUE"""),"Galvan, 2015")</f>
        <v>Galvan, 2015</v>
      </c>
      <c r="J431" s="42"/>
      <c r="K431" s="42"/>
      <c r="L431" s="42"/>
      <c r="M431" s="42"/>
      <c r="N431" s="42"/>
      <c r="O431" s="31" t="str">
        <f>IFERROR(__xludf.DUMMYFUNCTION("""COMPUTED_VALUE"""),"DOC")</f>
        <v>DOC</v>
      </c>
      <c r="P431" s="9" t="str">
        <f>IFERROR(__xludf.DUMMYFUNCTION("""COMPUTED_VALUE"""),"Frontiers in Neuroanatomy")</f>
        <v>Frontiers in Neuroanatomy</v>
      </c>
      <c r="Q431" s="9"/>
      <c r="R431" s="179" t="str">
        <f>IFERROR(__xludf.DUMMYFUNCTION("""COMPUTED_VALUE"""),"STR_patch (00/00) [Galvan, 2015];
")</f>
        <v>STR_patch (00/00) [Galvan, 2015];
</v>
      </c>
      <c r="S431" s="179" t="str">
        <f>IFERROR(__xludf.DUMMYFUNCTION("""COMPUTED_VALUE"""),"GPeSTR_patch")</f>
        <v>GPeSTR_patch</v>
      </c>
      <c r="T431" s="179" t="str">
        <f>IFERROR(__xludf.DUMMYFUNCTION("""COMPUTED_VALUE"""),"[Galvan, 2015]")</f>
        <v>[Galvan, 2015]</v>
      </c>
      <c r="U431" s="179">
        <f>IFERROR(__xludf.DUMMYFUNCTION("""COMPUTED_VALUE"""),0.0)</f>
        <v>0</v>
      </c>
      <c r="V431" s="180">
        <f>IFERROR(__xludf.DUMMYFUNCTION("""COMPUTED_VALUE"""),0.0)</f>
        <v>0</v>
      </c>
      <c r="W431" s="180">
        <f>IFERROR(__xludf.DUMMYFUNCTION("""COMPUTED_VALUE"""),0.95)</f>
        <v>0.95</v>
      </c>
      <c r="X431" s="42">
        <f>IFERROR(__xludf.DUMMYFUNCTION("""COMPUTED_VALUE"""),0.0)</f>
        <v>0</v>
      </c>
      <c r="Y431" s="42">
        <f>IFERROR(__xludf.DUMMYFUNCTION("""COMPUTED_VALUE"""),0.0)</f>
        <v>0</v>
      </c>
      <c r="Z431" s="9">
        <f>IFERROR(__xludf.DUMMYFUNCTION("""COMPUTED_VALUE"""),0.0)</f>
        <v>0</v>
      </c>
      <c r="AA431" s="181">
        <f>IFERROR(__xludf.DUMMYFUNCTION("""COMPUTED_VALUE"""),0.0)</f>
        <v>0</v>
      </c>
      <c r="AB431" s="181">
        <f>IFERROR(__xludf.DUMMYFUNCTION("""COMPUTED_VALUE"""),0.0)</f>
        <v>0</v>
      </c>
      <c r="AC431" s="179">
        <f>IFERROR(__xludf.DUMMYFUNCTION("""COMPUTED_VALUE"""),0.0)</f>
        <v>0</v>
      </c>
      <c r="AD431" s="165">
        <f>IFERROR(__xludf.DUMMYFUNCTION("""COMPUTED_VALUE"""),0.0)</f>
        <v>0</v>
      </c>
      <c r="AE431" s="39" t="str">
        <f>IFERROR(__xludf.DUMMYFUNCTION("""COMPUTED_VALUE"""),"Yuske Shibata")</f>
        <v>Yuske Shibata</v>
      </c>
      <c r="AF431" s="39" t="str">
        <f>IFERROR(__xludf.DUMMYFUNCTION("""COMPUTED_VALUE"""),"YS21BgLoop")</f>
        <v>YS21BgLoop</v>
      </c>
      <c r="AG431" s="39"/>
      <c r="AH431" s="39"/>
      <c r="AI431" s="165"/>
      <c r="AJ431" s="165"/>
      <c r="AK431" s="111"/>
      <c r="AL431" s="111"/>
      <c r="AM431" s="111"/>
      <c r="AN431" s="111"/>
      <c r="AO431" s="111"/>
      <c r="AP431" s="111"/>
      <c r="AQ431" s="116"/>
      <c r="AR431" s="116"/>
      <c r="AS431" s="116"/>
    </row>
    <row r="432">
      <c r="A432" s="42" t="str">
        <f>IFERROR(__xludf.DUMMYFUNCTION("""COMPUTED_VALUE"""),"GPi")</f>
        <v>GPi</v>
      </c>
      <c r="B432" s="42"/>
      <c r="C432" s="42"/>
      <c r="D432" s="42" t="str">
        <f>IFERROR(__xludf.DUMMYFUNCTION("""COMPUTED_VALUE"""),"Pf")</f>
        <v>Pf</v>
      </c>
      <c r="E432" s="42"/>
      <c r="F432" s="42"/>
      <c r="G432" s="42"/>
      <c r="H432" s="42" t="str">
        <f>IFERROR(__xludf.DUMMYFUNCTION("""COMPUTED_VALUE"""),"(Limbic loop)")</f>
        <v>(Limbic loop)</v>
      </c>
      <c r="I432" s="42" t="str">
        <f>IFERROR(__xludf.DUMMYFUNCTION("""COMPUTED_VALUE"""),"Galvan, 2015")</f>
        <v>Galvan, 2015</v>
      </c>
      <c r="J432" s="42"/>
      <c r="K432" s="42"/>
      <c r="L432" s="42"/>
      <c r="M432" s="42"/>
      <c r="N432" s="42"/>
      <c r="O432" s="31" t="str">
        <f>IFERROR(__xludf.DUMMYFUNCTION("""COMPUTED_VALUE"""),"DOC")</f>
        <v>DOC</v>
      </c>
      <c r="P432" s="9" t="str">
        <f>IFERROR(__xludf.DUMMYFUNCTION("""COMPUTED_VALUE"""),"Frontiers in Neuroanatomy")</f>
        <v>Frontiers in Neuroanatomy</v>
      </c>
      <c r="Q432" s="9"/>
      <c r="R432" s="179" t="str">
        <f>IFERROR(__xludf.DUMMYFUNCTION("""COMPUTED_VALUE"""),"Pf (00/00) [Galvan, 2015](Limbic loop);
")</f>
        <v>Pf (00/00) [Galvan, 2015](Limbic loop);
</v>
      </c>
      <c r="S432" s="179" t="str">
        <f>IFERROR(__xludf.DUMMYFUNCTION("""COMPUTED_VALUE"""),"GPiPf")</f>
        <v>GPiPf</v>
      </c>
      <c r="T432" s="179" t="str">
        <f>IFERROR(__xludf.DUMMYFUNCTION("""COMPUTED_VALUE"""),"[Galvan, 2015]")</f>
        <v>[Galvan, 2015]</v>
      </c>
      <c r="U432" s="179">
        <f>IFERROR(__xludf.DUMMYFUNCTION("""COMPUTED_VALUE"""),0.0)</f>
        <v>0</v>
      </c>
      <c r="V432" s="180">
        <f>IFERROR(__xludf.DUMMYFUNCTION("""COMPUTED_VALUE"""),0.0)</f>
        <v>0</v>
      </c>
      <c r="W432" s="180">
        <f>IFERROR(__xludf.DUMMYFUNCTION("""COMPUTED_VALUE"""),0.95)</f>
        <v>0.95</v>
      </c>
      <c r="X432" s="42">
        <f>IFERROR(__xludf.DUMMYFUNCTION("""COMPUTED_VALUE"""),0.0)</f>
        <v>0</v>
      </c>
      <c r="Y432" s="42">
        <f>IFERROR(__xludf.DUMMYFUNCTION("""COMPUTED_VALUE"""),0.0)</f>
        <v>0</v>
      </c>
      <c r="Z432" s="9">
        <f>IFERROR(__xludf.DUMMYFUNCTION("""COMPUTED_VALUE"""),0.0)</f>
        <v>0</v>
      </c>
      <c r="AA432" s="181">
        <f>IFERROR(__xludf.DUMMYFUNCTION("""COMPUTED_VALUE"""),0.0)</f>
        <v>0</v>
      </c>
      <c r="AB432" s="181">
        <f>IFERROR(__xludf.DUMMYFUNCTION("""COMPUTED_VALUE"""),0.0)</f>
        <v>0</v>
      </c>
      <c r="AC432" s="179">
        <f>IFERROR(__xludf.DUMMYFUNCTION("""COMPUTED_VALUE"""),0.0)</f>
        <v>0</v>
      </c>
      <c r="AD432" s="165">
        <f>IFERROR(__xludf.DUMMYFUNCTION("""COMPUTED_VALUE"""),0.0)</f>
        <v>0</v>
      </c>
      <c r="AE432" s="39" t="str">
        <f>IFERROR(__xludf.DUMMYFUNCTION("""COMPUTED_VALUE"""),"Yuske Shibata")</f>
        <v>Yuske Shibata</v>
      </c>
      <c r="AF432" s="39" t="str">
        <f>IFERROR(__xludf.DUMMYFUNCTION("""COMPUTED_VALUE"""),"YS21BgLoop")</f>
        <v>YS21BgLoop</v>
      </c>
      <c r="AG432" s="39"/>
      <c r="AH432" s="39"/>
      <c r="AI432" s="165"/>
      <c r="AJ432" s="165"/>
      <c r="AK432" s="111"/>
      <c r="AL432" s="111"/>
      <c r="AM432" s="111"/>
      <c r="AN432" s="111"/>
      <c r="AO432" s="111"/>
      <c r="AP432" s="111"/>
      <c r="AQ432" s="116"/>
      <c r="AR432" s="116"/>
      <c r="AS432" s="116"/>
    </row>
    <row r="433">
      <c r="A433" s="42" t="str">
        <f>IFERROR(__xludf.DUMMYFUNCTION("""COMPUTED_VALUE"""),"GPi")</f>
        <v>GPi</v>
      </c>
      <c r="B433" s="42"/>
      <c r="C433" s="42"/>
      <c r="D433" s="42" t="str">
        <f>IFERROR(__xludf.DUMMYFUNCTION("""COMPUTED_VALUE"""),"MD")</f>
        <v>MD</v>
      </c>
      <c r="E433" s="42"/>
      <c r="F433" s="42"/>
      <c r="G433" s="42"/>
      <c r="H433" s="42" t="str">
        <f>IFERROR(__xludf.DUMMYFUNCTION("""COMPUTED_VALUE"""),"(Limbic loop) (Associative loop)")</f>
        <v>(Limbic loop) (Associative loop)</v>
      </c>
      <c r="I433" s="42" t="str">
        <f>IFERROR(__xludf.DUMMYFUNCTION("""COMPUTED_VALUE"""),"Galvan, 2015")</f>
        <v>Galvan, 2015</v>
      </c>
      <c r="J433" s="42"/>
      <c r="K433" s="42"/>
      <c r="L433" s="42"/>
      <c r="M433" s="42"/>
      <c r="N433" s="42"/>
      <c r="O433" s="31" t="str">
        <f>IFERROR(__xludf.DUMMYFUNCTION("""COMPUTED_VALUE"""),"DOC")</f>
        <v>DOC</v>
      </c>
      <c r="P433" s="9" t="str">
        <f>IFERROR(__xludf.DUMMYFUNCTION("""COMPUTED_VALUE"""),"Frontiers in Neuroanatomy")</f>
        <v>Frontiers in Neuroanatomy</v>
      </c>
      <c r="Q433" s="9"/>
      <c r="R433" s="179" t="str">
        <f>IFERROR(__xludf.DUMMYFUNCTION("""COMPUTED_VALUE"""),"MD (00/00) [Galvan, 2015](Limbic loop) (Associative loop);
")</f>
        <v>MD (00/00) [Galvan, 2015](Limbic loop) (Associative loop);
</v>
      </c>
      <c r="S433" s="179" t="str">
        <f>IFERROR(__xludf.DUMMYFUNCTION("""COMPUTED_VALUE"""),"GPiMD")</f>
        <v>GPiMD</v>
      </c>
      <c r="T433" s="179" t="str">
        <f>IFERROR(__xludf.DUMMYFUNCTION("""COMPUTED_VALUE"""),"[Galvan, 2015]")</f>
        <v>[Galvan, 2015]</v>
      </c>
      <c r="U433" s="179">
        <f>IFERROR(__xludf.DUMMYFUNCTION("""COMPUTED_VALUE"""),0.0)</f>
        <v>0</v>
      </c>
      <c r="V433" s="180">
        <f>IFERROR(__xludf.DUMMYFUNCTION("""COMPUTED_VALUE"""),0.0)</f>
        <v>0</v>
      </c>
      <c r="W433" s="180">
        <f>IFERROR(__xludf.DUMMYFUNCTION("""COMPUTED_VALUE"""),0.95)</f>
        <v>0.95</v>
      </c>
      <c r="X433" s="42">
        <f>IFERROR(__xludf.DUMMYFUNCTION("""COMPUTED_VALUE"""),0.0)</f>
        <v>0</v>
      </c>
      <c r="Y433" s="42">
        <f>IFERROR(__xludf.DUMMYFUNCTION("""COMPUTED_VALUE"""),0.0)</f>
        <v>0</v>
      </c>
      <c r="Z433" s="9">
        <f>IFERROR(__xludf.DUMMYFUNCTION("""COMPUTED_VALUE"""),0.0)</f>
        <v>0</v>
      </c>
      <c r="AA433" s="181">
        <f>IFERROR(__xludf.DUMMYFUNCTION("""COMPUTED_VALUE"""),0.0)</f>
        <v>0</v>
      </c>
      <c r="AB433" s="181">
        <f>IFERROR(__xludf.DUMMYFUNCTION("""COMPUTED_VALUE"""),0.0)</f>
        <v>0</v>
      </c>
      <c r="AC433" s="179">
        <f>IFERROR(__xludf.DUMMYFUNCTION("""COMPUTED_VALUE"""),0.0)</f>
        <v>0</v>
      </c>
      <c r="AD433" s="165">
        <f>IFERROR(__xludf.DUMMYFUNCTION("""COMPUTED_VALUE"""),0.0)</f>
        <v>0</v>
      </c>
      <c r="AE433" s="39" t="str">
        <f>IFERROR(__xludf.DUMMYFUNCTION("""COMPUTED_VALUE"""),"Yuske Shibata")</f>
        <v>Yuske Shibata</v>
      </c>
      <c r="AF433" s="39" t="str">
        <f>IFERROR(__xludf.DUMMYFUNCTION("""COMPUTED_VALUE"""),"YS21BgLoop")</f>
        <v>YS21BgLoop</v>
      </c>
      <c r="AG433" s="39"/>
      <c r="AH433" s="39"/>
      <c r="AI433" s="165"/>
      <c r="AJ433" s="165"/>
      <c r="AK433" s="111"/>
      <c r="AL433" s="111"/>
      <c r="AM433" s="111"/>
      <c r="AN433" s="111"/>
      <c r="AO433" s="111"/>
      <c r="AP433" s="111"/>
      <c r="AQ433" s="116"/>
      <c r="AR433" s="116"/>
      <c r="AS433" s="116"/>
    </row>
    <row r="434">
      <c r="A434" s="42" t="str">
        <f>IFERROR(__xludf.DUMMYFUNCTION("""COMPUTED_VALUE"""),"GPi")</f>
        <v>GPi</v>
      </c>
      <c r="B434" s="42"/>
      <c r="C434" s="42"/>
      <c r="D434" s="42" t="str">
        <f>IFERROR(__xludf.DUMMYFUNCTION("""COMPUTED_VALUE"""),"VA")</f>
        <v>VA</v>
      </c>
      <c r="E434" s="42"/>
      <c r="F434" s="42"/>
      <c r="G434" s="42"/>
      <c r="H434" s="42" t="str">
        <f>IFERROR(__xludf.DUMMYFUNCTION("""COMPUTED_VALUE"""),"(Limbic loop) (Associative loop)(Sensorymotor)")</f>
        <v>(Limbic loop) (Associative loop)(Sensorymotor)</v>
      </c>
      <c r="I434" s="42" t="str">
        <f>IFERROR(__xludf.DUMMYFUNCTION("""COMPUTED_VALUE"""),"Galvan, 2015")</f>
        <v>Galvan, 2015</v>
      </c>
      <c r="J434" s="42"/>
      <c r="K434" s="42"/>
      <c r="L434" s="42"/>
      <c r="M434" s="42"/>
      <c r="N434" s="42"/>
      <c r="O434" s="31" t="str">
        <f>IFERROR(__xludf.DUMMYFUNCTION("""COMPUTED_VALUE"""),"DOC")</f>
        <v>DOC</v>
      </c>
      <c r="P434" s="9" t="str">
        <f>IFERROR(__xludf.DUMMYFUNCTION("""COMPUTED_VALUE"""),"Frontiers in Neuroanatomy")</f>
        <v>Frontiers in Neuroanatomy</v>
      </c>
      <c r="Q434" s="9"/>
      <c r="R434" s="179" t="str">
        <f>IFERROR(__xludf.DUMMYFUNCTION("""COMPUTED_VALUE"""),"VA (00/00) [Galvan, 2015](Limbic loop) (Associative loop)(Sensorymotor);
")</f>
        <v>VA (00/00) [Galvan, 2015](Limbic loop) (Associative loop)(Sensorymotor);
</v>
      </c>
      <c r="S434" s="179" t="str">
        <f>IFERROR(__xludf.DUMMYFUNCTION("""COMPUTED_VALUE"""),"GPiVA")</f>
        <v>GPiVA</v>
      </c>
      <c r="T434" s="179" t="str">
        <f>IFERROR(__xludf.DUMMYFUNCTION("""COMPUTED_VALUE"""),"[Galvan, 2015]")</f>
        <v>[Galvan, 2015]</v>
      </c>
      <c r="U434" s="179">
        <f>IFERROR(__xludf.DUMMYFUNCTION("""COMPUTED_VALUE"""),0.0)</f>
        <v>0</v>
      </c>
      <c r="V434" s="180">
        <f>IFERROR(__xludf.DUMMYFUNCTION("""COMPUTED_VALUE"""),0.0)</f>
        <v>0</v>
      </c>
      <c r="W434" s="180">
        <f>IFERROR(__xludf.DUMMYFUNCTION("""COMPUTED_VALUE"""),0.95)</f>
        <v>0.95</v>
      </c>
      <c r="X434" s="42">
        <f>IFERROR(__xludf.DUMMYFUNCTION("""COMPUTED_VALUE"""),0.0)</f>
        <v>0</v>
      </c>
      <c r="Y434" s="42">
        <f>IFERROR(__xludf.DUMMYFUNCTION("""COMPUTED_VALUE"""),0.0)</f>
        <v>0</v>
      </c>
      <c r="Z434" s="9">
        <f>IFERROR(__xludf.DUMMYFUNCTION("""COMPUTED_VALUE"""),0.0)</f>
        <v>0</v>
      </c>
      <c r="AA434" s="181">
        <f>IFERROR(__xludf.DUMMYFUNCTION("""COMPUTED_VALUE"""),0.0)</f>
        <v>0</v>
      </c>
      <c r="AB434" s="181">
        <f>IFERROR(__xludf.DUMMYFUNCTION("""COMPUTED_VALUE"""),0.0)</f>
        <v>0</v>
      </c>
      <c r="AC434" s="179">
        <f>IFERROR(__xludf.DUMMYFUNCTION("""COMPUTED_VALUE"""),0.0)</f>
        <v>0</v>
      </c>
      <c r="AD434" s="165">
        <f>IFERROR(__xludf.DUMMYFUNCTION("""COMPUTED_VALUE"""),0.0)</f>
        <v>0</v>
      </c>
      <c r="AE434" s="39" t="str">
        <f>IFERROR(__xludf.DUMMYFUNCTION("""COMPUTED_VALUE"""),"Yuske Shibata")</f>
        <v>Yuske Shibata</v>
      </c>
      <c r="AF434" s="39" t="str">
        <f>IFERROR(__xludf.DUMMYFUNCTION("""COMPUTED_VALUE"""),"YS21BgLoop")</f>
        <v>YS21BgLoop</v>
      </c>
      <c r="AG434" s="39"/>
      <c r="AH434" s="39"/>
      <c r="AI434" s="165"/>
      <c r="AJ434" s="165"/>
      <c r="AK434" s="111"/>
      <c r="AL434" s="111"/>
      <c r="AM434" s="111"/>
      <c r="AN434" s="111"/>
      <c r="AO434" s="111"/>
      <c r="AP434" s="111"/>
      <c r="AQ434" s="116"/>
      <c r="AR434" s="116"/>
      <c r="AS434" s="116"/>
    </row>
    <row r="435">
      <c r="A435" s="42" t="str">
        <f>IFERROR(__xludf.DUMMYFUNCTION("""COMPUTED_VALUE"""),"GPi")</f>
        <v>GPi</v>
      </c>
      <c r="B435" s="42"/>
      <c r="C435" s="42"/>
      <c r="D435" s="42" t="str">
        <f>IFERROR(__xludf.DUMMYFUNCTION("""COMPUTED_VALUE"""),"VL")</f>
        <v>VL</v>
      </c>
      <c r="E435" s="42"/>
      <c r="F435" s="42"/>
      <c r="G435" s="42"/>
      <c r="H435" s="42" t="str">
        <f>IFERROR(__xludf.DUMMYFUNCTION("""COMPUTED_VALUE"""),"(Limbic loop) (Associative loop)(Sensorymotor)")</f>
        <v>(Limbic loop) (Associative loop)(Sensorymotor)</v>
      </c>
      <c r="I435" s="42" t="str">
        <f>IFERROR(__xludf.DUMMYFUNCTION("""COMPUTED_VALUE"""),"Galvan, 2015")</f>
        <v>Galvan, 2015</v>
      </c>
      <c r="J435" s="42"/>
      <c r="K435" s="42"/>
      <c r="L435" s="42"/>
      <c r="M435" s="42"/>
      <c r="N435" s="42"/>
      <c r="O435" s="31" t="str">
        <f>IFERROR(__xludf.DUMMYFUNCTION("""COMPUTED_VALUE"""),"DOC")</f>
        <v>DOC</v>
      </c>
      <c r="P435" s="9" t="str">
        <f>IFERROR(__xludf.DUMMYFUNCTION("""COMPUTED_VALUE"""),"Frontiers in Neuroanatomy")</f>
        <v>Frontiers in Neuroanatomy</v>
      </c>
      <c r="Q435" s="9"/>
      <c r="R435" s="179" t="str">
        <f>IFERROR(__xludf.DUMMYFUNCTION("""COMPUTED_VALUE"""),"VL (00/00) [Galvan, 2015](Limbic loop) (Associative loop)(Sensorymotor);
")</f>
        <v>VL (00/00) [Galvan, 2015](Limbic loop) (Associative loop)(Sensorymotor);
</v>
      </c>
      <c r="S435" s="179" t="str">
        <f>IFERROR(__xludf.DUMMYFUNCTION("""COMPUTED_VALUE"""),"GPiVL")</f>
        <v>GPiVL</v>
      </c>
      <c r="T435" s="179" t="str">
        <f>IFERROR(__xludf.DUMMYFUNCTION("""COMPUTED_VALUE"""),"[Galvan, 2015]")</f>
        <v>[Galvan, 2015]</v>
      </c>
      <c r="U435" s="179">
        <f>IFERROR(__xludf.DUMMYFUNCTION("""COMPUTED_VALUE"""),0.0)</f>
        <v>0</v>
      </c>
      <c r="V435" s="180">
        <f>IFERROR(__xludf.DUMMYFUNCTION("""COMPUTED_VALUE"""),0.0)</f>
        <v>0</v>
      </c>
      <c r="W435" s="180">
        <f>IFERROR(__xludf.DUMMYFUNCTION("""COMPUTED_VALUE"""),0.95)</f>
        <v>0.95</v>
      </c>
      <c r="X435" s="42">
        <f>IFERROR(__xludf.DUMMYFUNCTION("""COMPUTED_VALUE"""),0.0)</f>
        <v>0</v>
      </c>
      <c r="Y435" s="42">
        <f>IFERROR(__xludf.DUMMYFUNCTION("""COMPUTED_VALUE"""),0.0)</f>
        <v>0</v>
      </c>
      <c r="Z435" s="9">
        <f>IFERROR(__xludf.DUMMYFUNCTION("""COMPUTED_VALUE"""),0.0)</f>
        <v>0</v>
      </c>
      <c r="AA435" s="181">
        <f>IFERROR(__xludf.DUMMYFUNCTION("""COMPUTED_VALUE"""),0.0)</f>
        <v>0</v>
      </c>
      <c r="AB435" s="181">
        <f>IFERROR(__xludf.DUMMYFUNCTION("""COMPUTED_VALUE"""),0.0)</f>
        <v>0</v>
      </c>
      <c r="AC435" s="179">
        <f>IFERROR(__xludf.DUMMYFUNCTION("""COMPUTED_VALUE"""),0.0)</f>
        <v>0</v>
      </c>
      <c r="AD435" s="165">
        <f>IFERROR(__xludf.DUMMYFUNCTION("""COMPUTED_VALUE"""),0.0)</f>
        <v>0</v>
      </c>
      <c r="AE435" s="39" t="str">
        <f>IFERROR(__xludf.DUMMYFUNCTION("""COMPUTED_VALUE"""),"Yuske Shibata")</f>
        <v>Yuske Shibata</v>
      </c>
      <c r="AF435" s="39" t="str">
        <f>IFERROR(__xludf.DUMMYFUNCTION("""COMPUTED_VALUE"""),"YS21BgLoop")</f>
        <v>YS21BgLoop</v>
      </c>
      <c r="AG435" s="39"/>
      <c r="AH435" s="39"/>
      <c r="AI435" s="165"/>
      <c r="AJ435" s="165"/>
      <c r="AK435" s="111"/>
      <c r="AL435" s="111"/>
      <c r="AM435" s="111"/>
      <c r="AN435" s="111"/>
      <c r="AO435" s="111"/>
      <c r="AP435" s="111"/>
      <c r="AQ435" s="116"/>
      <c r="AR435" s="116"/>
      <c r="AS435" s="116"/>
    </row>
    <row r="436">
      <c r="A436" s="42" t="str">
        <f>IFERROR(__xludf.DUMMYFUNCTION("""COMPUTED_VALUE"""),"GPi")</f>
        <v>GPi</v>
      </c>
      <c r="B436" s="42"/>
      <c r="C436" s="42"/>
      <c r="D436" s="42" t="str">
        <f>IFERROR(__xludf.DUMMYFUNCTION("""COMPUTED_VALUE"""),"THM")</f>
        <v>THM</v>
      </c>
      <c r="E436" s="42"/>
      <c r="F436" s="42"/>
      <c r="G436" s="42"/>
      <c r="H436" s="42" t="str">
        <f>IFERROR(__xludf.DUMMYFUNCTION("""COMPUTED_VALUE"""),"")</f>
        <v/>
      </c>
      <c r="I436" s="42" t="str">
        <f>IFERROR(__xludf.DUMMYFUNCTION("""COMPUTED_VALUE"""),"Hikosaka, 2007")</f>
        <v>Hikosaka, 2007</v>
      </c>
      <c r="J436" s="42"/>
      <c r="K436" s="42"/>
      <c r="L436" s="42"/>
      <c r="M436" s="42"/>
      <c r="N436" s="42"/>
      <c r="O436" s="31" t="str">
        <f>IFERROR(__xludf.DUMMYFUNCTION("""COMPUTED_VALUE"""),"DOC")</f>
        <v>DOC</v>
      </c>
      <c r="P436" s="9" t="str">
        <f>IFERROR(__xludf.DUMMYFUNCTION("""COMPUTED_VALUE"""),"Progress in Brain Research")</f>
        <v>Progress in Brain Research</v>
      </c>
      <c r="Q436" s="9"/>
      <c r="R436" s="179" t="str">
        <f>IFERROR(__xludf.DUMMYFUNCTION("""COMPUTED_VALUE"""),"THM (00/00) [Hikosaka, 2007];
")</f>
        <v>THM (00/00) [Hikosaka, 2007];
</v>
      </c>
      <c r="S436" s="179" t="str">
        <f>IFERROR(__xludf.DUMMYFUNCTION("""COMPUTED_VALUE"""),"GPiTHM")</f>
        <v>GPiTHM</v>
      </c>
      <c r="T436" s="179" t="str">
        <f>IFERROR(__xludf.DUMMYFUNCTION("""COMPUTED_VALUE"""),"[Hikosaka, 2007]")</f>
        <v>[Hikosaka, 2007]</v>
      </c>
      <c r="U436" s="179">
        <f>IFERROR(__xludf.DUMMYFUNCTION("""COMPUTED_VALUE"""),0.0)</f>
        <v>0</v>
      </c>
      <c r="V436" s="180">
        <f>IFERROR(__xludf.DUMMYFUNCTION("""COMPUTED_VALUE"""),0.0)</f>
        <v>0</v>
      </c>
      <c r="W436" s="180">
        <f>IFERROR(__xludf.DUMMYFUNCTION("""COMPUTED_VALUE"""),0.95)</f>
        <v>0.95</v>
      </c>
      <c r="X436" s="42">
        <f>IFERROR(__xludf.DUMMYFUNCTION("""COMPUTED_VALUE"""),0.0)</f>
        <v>0</v>
      </c>
      <c r="Y436" s="42">
        <f>IFERROR(__xludf.DUMMYFUNCTION("""COMPUTED_VALUE"""),0.0)</f>
        <v>0</v>
      </c>
      <c r="Z436" s="9">
        <f>IFERROR(__xludf.DUMMYFUNCTION("""COMPUTED_VALUE"""),0.0)</f>
        <v>0</v>
      </c>
      <c r="AA436" s="181">
        <f>IFERROR(__xludf.DUMMYFUNCTION("""COMPUTED_VALUE"""),0.0)</f>
        <v>0</v>
      </c>
      <c r="AB436" s="181">
        <f>IFERROR(__xludf.DUMMYFUNCTION("""COMPUTED_VALUE"""),0.0)</f>
        <v>0</v>
      </c>
      <c r="AC436" s="179">
        <f>IFERROR(__xludf.DUMMYFUNCTION("""COMPUTED_VALUE"""),0.0)</f>
        <v>0</v>
      </c>
      <c r="AD436" s="165">
        <f>IFERROR(__xludf.DUMMYFUNCTION("""COMPUTED_VALUE"""),0.0)</f>
        <v>0</v>
      </c>
      <c r="AE436" s="39" t="str">
        <f>IFERROR(__xludf.DUMMYFUNCTION("""COMPUTED_VALUE"""),"Hiroshi Yamakawa")</f>
        <v>Hiroshi Yamakawa</v>
      </c>
      <c r="AF436" s="39" t="str">
        <f>IFERROR(__xludf.DUMMYFUNCTION("""COMPUTED_VALUE"""),"HY20Cerebellum")</f>
        <v>HY20Cerebellum</v>
      </c>
      <c r="AG436" s="39"/>
      <c r="AH436" s="39"/>
      <c r="AI436" s="165"/>
      <c r="AJ436" s="165"/>
      <c r="AK436" s="111"/>
      <c r="AL436" s="111"/>
      <c r="AM436" s="111"/>
      <c r="AN436" s="111"/>
      <c r="AO436" s="111"/>
      <c r="AP436" s="111"/>
      <c r="AQ436" s="116"/>
      <c r="AR436" s="116"/>
      <c r="AS436" s="116"/>
    </row>
    <row r="437">
      <c r="A437" s="42" t="str">
        <f>IFERROR(__xludf.DUMMYFUNCTION("""COMPUTED_VALUE"""),"GPi")</f>
        <v>GPi</v>
      </c>
      <c r="B437" s="42"/>
      <c r="C437" s="42"/>
      <c r="D437" s="42" t="str">
        <f>IFERROR(__xludf.DUMMYFUNCTION("""COMPUTED_VALUE"""),"TRN_matrix")</f>
        <v>TRN_matrix</v>
      </c>
      <c r="E437" s="42"/>
      <c r="F437" s="42"/>
      <c r="G437" s="42"/>
      <c r="H437" s="42" t="str">
        <f>IFERROR(__xludf.DUMMYFUNCTION("""COMPUTED_VALUE"""),"")</f>
        <v/>
      </c>
      <c r="I437" s="42" t="str">
        <f>IFERROR(__xludf.DUMMYFUNCTION("""COMPUTED_VALUE"""),"Benarroch, 2008")</f>
        <v>Benarroch, 2008</v>
      </c>
      <c r="J437" s="42"/>
      <c r="K437" s="42"/>
      <c r="L437" s="42"/>
      <c r="M437" s="42"/>
      <c r="N437" s="42"/>
      <c r="O437" s="31" t="str">
        <f>IFERROR(__xludf.DUMMYFUNCTION("""COMPUTED_VALUE"""),"DOC")</f>
        <v>DOC</v>
      </c>
      <c r="P437" s="9" t="str">
        <f>IFERROR(__xludf.DUMMYFUNCTION("""COMPUTED_VALUE"""),"Neurology")</f>
        <v>Neurology</v>
      </c>
      <c r="Q437" s="9"/>
      <c r="R437" s="179" t="str">
        <f>IFERROR(__xludf.DUMMYFUNCTION("""COMPUTED_VALUE"""),"TRN_matrix (00/00) [Benarroch, 2008];
")</f>
        <v>TRN_matrix (00/00) [Benarroch, 2008];
</v>
      </c>
      <c r="S437" s="179" t="str">
        <f>IFERROR(__xludf.DUMMYFUNCTION("""COMPUTED_VALUE"""),"GPiTRN_matrix")</f>
        <v>GPiTRN_matrix</v>
      </c>
      <c r="T437" s="179" t="str">
        <f>IFERROR(__xludf.DUMMYFUNCTION("""COMPUTED_VALUE"""),"[Benarroch, 2008]")</f>
        <v>[Benarroch, 2008]</v>
      </c>
      <c r="U437" s="179">
        <f>IFERROR(__xludf.DUMMYFUNCTION("""COMPUTED_VALUE"""),0.0)</f>
        <v>0</v>
      </c>
      <c r="V437" s="180">
        <f>IFERROR(__xludf.DUMMYFUNCTION("""COMPUTED_VALUE"""),0.0)</f>
        <v>0</v>
      </c>
      <c r="W437" s="180">
        <f>IFERROR(__xludf.DUMMYFUNCTION("""COMPUTED_VALUE"""),0.95)</f>
        <v>0.95</v>
      </c>
      <c r="X437" s="42">
        <f>IFERROR(__xludf.DUMMYFUNCTION("""COMPUTED_VALUE"""),0.0)</f>
        <v>0</v>
      </c>
      <c r="Y437" s="42">
        <f>IFERROR(__xludf.DUMMYFUNCTION("""COMPUTED_VALUE"""),0.0)</f>
        <v>0</v>
      </c>
      <c r="Z437" s="9">
        <f>IFERROR(__xludf.DUMMYFUNCTION("""COMPUTED_VALUE"""),0.0)</f>
        <v>0</v>
      </c>
      <c r="AA437" s="181">
        <f>IFERROR(__xludf.DUMMYFUNCTION("""COMPUTED_VALUE"""),0.0)</f>
        <v>0</v>
      </c>
      <c r="AB437" s="181">
        <f>IFERROR(__xludf.DUMMYFUNCTION("""COMPUTED_VALUE"""),0.0)</f>
        <v>0</v>
      </c>
      <c r="AC437" s="179">
        <f>IFERROR(__xludf.DUMMYFUNCTION("""COMPUTED_VALUE"""),0.0)</f>
        <v>0</v>
      </c>
      <c r="AD437" s="165">
        <f>IFERROR(__xludf.DUMMYFUNCTION("""COMPUTED_VALUE"""),0.0)</f>
        <v>0</v>
      </c>
      <c r="AE437" s="39" t="str">
        <f>IFERROR(__xludf.DUMMYFUNCTION("""COMPUTED_VALUE"""),"Hiroshi Yamakawa")</f>
        <v>Hiroshi Yamakawa</v>
      </c>
      <c r="AF437" s="39" t="str">
        <f>IFERROR(__xludf.DUMMYFUNCTION("""COMPUTED_VALUE"""),"HY18NeocorticalInterareaSignals")</f>
        <v>HY18NeocorticalInterareaSignals</v>
      </c>
      <c r="AG437" s="39"/>
      <c r="AH437" s="39"/>
      <c r="AI437" s="165"/>
      <c r="AJ437" s="165"/>
      <c r="AK437" s="111"/>
      <c r="AL437" s="111"/>
      <c r="AM437" s="111"/>
      <c r="AN437" s="111"/>
      <c r="AO437" s="111"/>
      <c r="AP437" s="111"/>
      <c r="AQ437" s="116"/>
      <c r="AR437" s="116"/>
      <c r="AS437" s="116"/>
    </row>
    <row r="438">
      <c r="A438" s="42" t="str">
        <f>IFERROR(__xludf.DUMMYFUNCTION("""COMPUTED_VALUE"""),"HN")</f>
        <v>HN</v>
      </c>
      <c r="B438" s="42"/>
      <c r="C438" s="42"/>
      <c r="D438" s="42" t="str">
        <f>IFERROR(__xludf.DUMMYFUNCTION("""COMPUTED_VALUE"""),"SNC")</f>
        <v>SNC</v>
      </c>
      <c r="E438" s="42"/>
      <c r="F438" s="42"/>
      <c r="G438" s="42"/>
      <c r="H438" s="42" t="str">
        <f>IFERROR(__xludf.DUMMYFUNCTION("""COMPUTED_VALUE"""),"(Limbic loop)")</f>
        <v>(Limbic loop)</v>
      </c>
      <c r="I438" s="42" t="str">
        <f>IFERROR(__xludf.DUMMYFUNCTION("""COMPUTED_VALUE"""),"Rajakumar, 1993")</f>
        <v>Rajakumar, 1993</v>
      </c>
      <c r="J438" s="42"/>
      <c r="K438" s="42"/>
      <c r="L438" s="42"/>
      <c r="M438" s="42"/>
      <c r="N438" s="42"/>
      <c r="O438" s="31" t="str">
        <f>IFERROR(__xludf.DUMMYFUNCTION("""COMPUTED_VALUE"""),"DOC")</f>
        <v>DOC</v>
      </c>
      <c r="P438" s="9" t="str">
        <f>IFERROR(__xludf.DUMMYFUNCTION("""COMPUTED_VALUE"""),"The Journal of Comparative Neurology")</f>
        <v>The Journal of Comparative Neurology</v>
      </c>
      <c r="Q438" s="9"/>
      <c r="R438" s="179" t="str">
        <f>IFERROR(__xludf.DUMMYFUNCTION("""COMPUTED_VALUE"""),"SNC (00/00) [Rajakumar, 1993](Limbic loop);
")</f>
        <v>SNC (00/00) [Rajakumar, 1993](Limbic loop);
</v>
      </c>
      <c r="S438" s="179" t="str">
        <f>IFERROR(__xludf.DUMMYFUNCTION("""COMPUTED_VALUE"""),"HNSNC")</f>
        <v>HNSNC</v>
      </c>
      <c r="T438" s="179" t="str">
        <f>IFERROR(__xludf.DUMMYFUNCTION("""COMPUTED_VALUE"""),"[Rajakumar, 1993]")</f>
        <v>[Rajakumar, 1993]</v>
      </c>
      <c r="U438" s="179">
        <f>IFERROR(__xludf.DUMMYFUNCTION("""COMPUTED_VALUE"""),0.0)</f>
        <v>0</v>
      </c>
      <c r="V438" s="180">
        <f>IFERROR(__xludf.DUMMYFUNCTION("""COMPUTED_VALUE"""),0.0)</f>
        <v>0</v>
      </c>
      <c r="W438" s="180">
        <f>IFERROR(__xludf.DUMMYFUNCTION("""COMPUTED_VALUE"""),0.95)</f>
        <v>0.95</v>
      </c>
      <c r="X438" s="42">
        <f>IFERROR(__xludf.DUMMYFUNCTION("""COMPUTED_VALUE"""),0.0)</f>
        <v>0</v>
      </c>
      <c r="Y438" s="42">
        <f>IFERROR(__xludf.DUMMYFUNCTION("""COMPUTED_VALUE"""),0.0)</f>
        <v>0</v>
      </c>
      <c r="Z438" s="9">
        <f>IFERROR(__xludf.DUMMYFUNCTION("""COMPUTED_VALUE"""),0.0)</f>
        <v>0</v>
      </c>
      <c r="AA438" s="181">
        <f>IFERROR(__xludf.DUMMYFUNCTION("""COMPUTED_VALUE"""),0.0)</f>
        <v>0</v>
      </c>
      <c r="AB438" s="181">
        <f>IFERROR(__xludf.DUMMYFUNCTION("""COMPUTED_VALUE"""),0.0)</f>
        <v>0</v>
      </c>
      <c r="AC438" s="179">
        <f>IFERROR(__xludf.DUMMYFUNCTION("""COMPUTED_VALUE"""),0.0)</f>
        <v>0</v>
      </c>
      <c r="AD438" s="165">
        <f>IFERROR(__xludf.DUMMYFUNCTION("""COMPUTED_VALUE"""),0.0)</f>
        <v>0</v>
      </c>
      <c r="AE438" s="39" t="str">
        <f>IFERROR(__xludf.DUMMYFUNCTION("""COMPUTED_VALUE"""),"Yuske Shibata")</f>
        <v>Yuske Shibata</v>
      </c>
      <c r="AF438" s="39" t="str">
        <f>IFERROR(__xludf.DUMMYFUNCTION("""COMPUTED_VALUE"""),"YS21BgLoop")</f>
        <v>YS21BgLoop</v>
      </c>
      <c r="AG438" s="39"/>
      <c r="AH438" s="39"/>
      <c r="AI438" s="165"/>
      <c r="AJ438" s="165"/>
      <c r="AK438" s="111"/>
      <c r="AL438" s="111"/>
      <c r="AM438" s="111"/>
      <c r="AN438" s="111"/>
      <c r="AO438" s="111"/>
      <c r="AP438" s="111"/>
      <c r="AQ438" s="116"/>
      <c r="AR438" s="116"/>
      <c r="AS438" s="116"/>
    </row>
    <row r="439">
      <c r="A439" s="42" t="str">
        <f>IFERROR(__xludf.DUMMYFUNCTION("""COMPUTED_VALUE"""),"HN")</f>
        <v>HN</v>
      </c>
      <c r="B439" s="42"/>
      <c r="C439" s="42"/>
      <c r="D439" s="42" t="str">
        <f>IFERROR(__xludf.DUMMYFUNCTION("""COMPUTED_VALUE"""),"STR_patch")</f>
        <v>STR_patch</v>
      </c>
      <c r="E439" s="42"/>
      <c r="F439" s="42"/>
      <c r="G439" s="42"/>
      <c r="H439" s="42" t="str">
        <f>IFERROR(__xludf.DUMMYFUNCTION("""COMPUTED_VALUE"""),"(Limbic loop)")</f>
        <v>(Limbic loop)</v>
      </c>
      <c r="I439" s="42" t="str">
        <f>IFERROR(__xludf.DUMMYFUNCTION("""COMPUTED_VALUE"""),"Rajakumar, 1993")</f>
        <v>Rajakumar, 1993</v>
      </c>
      <c r="J439" s="42"/>
      <c r="K439" s="42"/>
      <c r="L439" s="42"/>
      <c r="M439" s="42"/>
      <c r="N439" s="42"/>
      <c r="O439" s="31" t="str">
        <f>IFERROR(__xludf.DUMMYFUNCTION("""COMPUTED_VALUE"""),"DOC")</f>
        <v>DOC</v>
      </c>
      <c r="P439" s="9" t="str">
        <f>IFERROR(__xludf.DUMMYFUNCTION("""COMPUTED_VALUE"""),"The Journal of Comparative Neurology")</f>
        <v>The Journal of Comparative Neurology</v>
      </c>
      <c r="Q439" s="9"/>
      <c r="R439" s="179" t="str">
        <f>IFERROR(__xludf.DUMMYFUNCTION("""COMPUTED_VALUE"""),"STR_patch (00/00) [Rajakumar, 1993](Limbic loop);
")</f>
        <v>STR_patch (00/00) [Rajakumar, 1993](Limbic loop);
</v>
      </c>
      <c r="S439" s="179" t="str">
        <f>IFERROR(__xludf.DUMMYFUNCTION("""COMPUTED_VALUE"""),"HNSTR_patch")</f>
        <v>HNSTR_patch</v>
      </c>
      <c r="T439" s="179" t="str">
        <f>IFERROR(__xludf.DUMMYFUNCTION("""COMPUTED_VALUE"""),"[Rajakumar, 1993]")</f>
        <v>[Rajakumar, 1993]</v>
      </c>
      <c r="U439" s="179">
        <f>IFERROR(__xludf.DUMMYFUNCTION("""COMPUTED_VALUE"""),0.0)</f>
        <v>0</v>
      </c>
      <c r="V439" s="180">
        <f>IFERROR(__xludf.DUMMYFUNCTION("""COMPUTED_VALUE"""),0.0)</f>
        <v>0</v>
      </c>
      <c r="W439" s="180">
        <f>IFERROR(__xludf.DUMMYFUNCTION("""COMPUTED_VALUE"""),0.95)</f>
        <v>0.95</v>
      </c>
      <c r="X439" s="42">
        <f>IFERROR(__xludf.DUMMYFUNCTION("""COMPUTED_VALUE"""),0.0)</f>
        <v>0</v>
      </c>
      <c r="Y439" s="42">
        <f>IFERROR(__xludf.DUMMYFUNCTION("""COMPUTED_VALUE"""),0.0)</f>
        <v>0</v>
      </c>
      <c r="Z439" s="9">
        <f>IFERROR(__xludf.DUMMYFUNCTION("""COMPUTED_VALUE"""),0.0)</f>
        <v>0</v>
      </c>
      <c r="AA439" s="181">
        <f>IFERROR(__xludf.DUMMYFUNCTION("""COMPUTED_VALUE"""),0.0)</f>
        <v>0</v>
      </c>
      <c r="AB439" s="181">
        <f>IFERROR(__xludf.DUMMYFUNCTION("""COMPUTED_VALUE"""),0.0)</f>
        <v>0</v>
      </c>
      <c r="AC439" s="179">
        <f>IFERROR(__xludf.DUMMYFUNCTION("""COMPUTED_VALUE"""),0.0)</f>
        <v>0</v>
      </c>
      <c r="AD439" s="165">
        <f>IFERROR(__xludf.DUMMYFUNCTION("""COMPUTED_VALUE"""),0.0)</f>
        <v>0</v>
      </c>
      <c r="AE439" s="39" t="str">
        <f>IFERROR(__xludf.DUMMYFUNCTION("""COMPUTED_VALUE"""),"Yuske Shibata")</f>
        <v>Yuske Shibata</v>
      </c>
      <c r="AF439" s="39" t="str">
        <f>IFERROR(__xludf.DUMMYFUNCTION("""COMPUTED_VALUE"""),"YS21BgLoop")</f>
        <v>YS21BgLoop</v>
      </c>
      <c r="AG439" s="39"/>
      <c r="AH439" s="39"/>
      <c r="AI439" s="165"/>
      <c r="AJ439" s="165"/>
      <c r="AK439" s="111"/>
      <c r="AL439" s="111"/>
      <c r="AM439" s="111"/>
      <c r="AN439" s="111"/>
      <c r="AO439" s="111"/>
      <c r="AP439" s="111"/>
      <c r="AQ439" s="116"/>
      <c r="AR439" s="116"/>
      <c r="AS439" s="116"/>
    </row>
    <row r="440">
      <c r="A440" s="42" t="str">
        <f>IFERROR(__xludf.DUMMYFUNCTION("""COMPUTED_VALUE"""),"HTH")</f>
        <v>HTH</v>
      </c>
      <c r="B440" s="42"/>
      <c r="C440" s="42"/>
      <c r="D440" s="42" t="str">
        <f>IFERROR(__xludf.DUMMYFUNCTION("""COMPUTED_VALUE"""),"PTg")</f>
        <v>PTg</v>
      </c>
      <c r="E440" s="42"/>
      <c r="F440" s="42"/>
      <c r="G440" s="42"/>
      <c r="H440" s="42" t="str">
        <f>IFERROR(__xludf.DUMMYFUNCTION("""COMPUTED_VALUE"""),"")</f>
        <v/>
      </c>
      <c r="I440" s="42" t="str">
        <f>IFERROR(__xludf.DUMMYFUNCTION("""COMPUTED_VALUE"""),"author, year")</f>
        <v>author, year</v>
      </c>
      <c r="J440" s="42"/>
      <c r="K440" s="42"/>
      <c r="L440" s="42"/>
      <c r="M440" s="42"/>
      <c r="N440" s="42"/>
      <c r="O440" s="31" t="str">
        <f>IFERROR(__xludf.DUMMYFUNCTION("""COMPUTED_VALUE"""),"#Error: Reference ID")</f>
        <v>#Error: Reference ID</v>
      </c>
      <c r="P440" s="9" t="str">
        <f>IFERROR(__xludf.DUMMYFUNCTION("""COMPUTED_VALUE"""),"#Error: Reference ID")</f>
        <v>#Error: Reference ID</v>
      </c>
      <c r="Q440" s="9" t="str">
        <f>IFERROR(__xludf.DUMMYFUNCTION("""COMPUTED_VALUE"""),"#Error: Reference ID")</f>
        <v>#Error: Reference ID</v>
      </c>
      <c r="R440" s="179" t="str">
        <f>IFERROR(__xludf.DUMMYFUNCTION("""COMPUTED_VALUE"""),"PTg (00/00) [author, year];
")</f>
        <v>PTg (00/00) [author, year];
</v>
      </c>
      <c r="S440" s="179" t="str">
        <f>IFERROR(__xludf.DUMMYFUNCTION("""COMPUTED_VALUE"""),"HTHPTg")</f>
        <v>HTHPTg</v>
      </c>
      <c r="T440" s="179" t="str">
        <f>IFERROR(__xludf.DUMMYFUNCTION("""COMPUTED_VALUE"""),"[author, year]")</f>
        <v>[author, year]</v>
      </c>
      <c r="U440" s="179">
        <f>IFERROR(__xludf.DUMMYFUNCTION("""COMPUTED_VALUE"""),0.0)</f>
        <v>0</v>
      </c>
      <c r="V440" s="180">
        <f>IFERROR(__xludf.DUMMYFUNCTION("""COMPUTED_VALUE"""),0.0)</f>
        <v>0</v>
      </c>
      <c r="W440" s="180">
        <f>IFERROR(__xludf.DUMMYFUNCTION("""COMPUTED_VALUE"""),0.0)</f>
        <v>0</v>
      </c>
      <c r="X440" s="42">
        <f>IFERROR(__xludf.DUMMYFUNCTION("""COMPUTED_VALUE"""),0.0)</f>
        <v>0</v>
      </c>
      <c r="Y440" s="42">
        <f>IFERROR(__xludf.DUMMYFUNCTION("""COMPUTED_VALUE"""),0.0)</f>
        <v>0</v>
      </c>
      <c r="Z440" s="9">
        <f>IFERROR(__xludf.DUMMYFUNCTION("""COMPUTED_VALUE"""),0.0)</f>
        <v>0</v>
      </c>
      <c r="AA440" s="181">
        <f>IFERROR(__xludf.DUMMYFUNCTION("""COMPUTED_VALUE"""),0.0)</f>
        <v>0</v>
      </c>
      <c r="AB440" s="181">
        <f>IFERROR(__xludf.DUMMYFUNCTION("""COMPUTED_VALUE"""),0.0)</f>
        <v>0</v>
      </c>
      <c r="AC440" s="179">
        <f>IFERROR(__xludf.DUMMYFUNCTION("""COMPUTED_VALUE"""),0.0)</f>
        <v>0</v>
      </c>
      <c r="AD440" s="165">
        <f>IFERROR(__xludf.DUMMYFUNCTION("""COMPUTED_VALUE"""),0.0)</f>
        <v>0</v>
      </c>
      <c r="AE440" s="39" t="str">
        <f>IFERROR(__xludf.DUMMYFUNCTION("""COMPUTED_VALUE"""),"Yuske Shibata")</f>
        <v>Yuske Shibata</v>
      </c>
      <c r="AF440" s="39" t="str">
        <f>IFERROR(__xludf.DUMMYFUNCTION("""COMPUTED_VALUE"""),"YS21BgLoop")</f>
        <v>YS21BgLoop</v>
      </c>
      <c r="AG440" s="39"/>
      <c r="AH440" s="39"/>
      <c r="AI440" s="165"/>
      <c r="AJ440" s="165"/>
      <c r="AK440" s="111"/>
      <c r="AL440" s="111"/>
      <c r="AM440" s="111"/>
      <c r="AN440" s="111"/>
      <c r="AO440" s="111"/>
      <c r="AP440" s="111"/>
      <c r="AQ440" s="116"/>
      <c r="AR440" s="116"/>
      <c r="AS440" s="116"/>
    </row>
    <row r="441">
      <c r="A441" s="42" t="str">
        <f>IFERROR(__xludf.DUMMYFUNCTION("""COMPUTED_VALUE"""),"HTHpo")</f>
        <v>HTHpo</v>
      </c>
      <c r="B441" s="42"/>
      <c r="C441" s="42"/>
      <c r="D441" s="42" t="str">
        <f>IFERROR(__xludf.DUMMYFUNCTION("""COMPUTED_VALUE"""),"AHA")</f>
        <v>AHA</v>
      </c>
      <c r="E441" s="42"/>
      <c r="F441" s="42"/>
      <c r="G441" s="42"/>
      <c r="H441" s="42" t="str">
        <f>IFERROR(__xludf.DUMMYFUNCTION("""COMPUTED_VALUE"""),"")</f>
        <v/>
      </c>
      <c r="I441" s="42" t="str">
        <f>IFERROR(__xludf.DUMMYFUNCTION("""COMPUTED_VALUE"""),"Pitkänen, 2000")</f>
        <v>Pitkänen, 2000</v>
      </c>
      <c r="J441" s="42" t="str">
        <f>IFERROR(__xludf.DUMMYFUNCTION("""COMPUTED_VALUE"""),"Rat")</f>
        <v>Rat</v>
      </c>
      <c r="K441" s="42" t="str">
        <f>IFERROR(__xludf.DUMMYFUNCTION("""COMPUTED_VALUE"""),"Various tracing")</f>
        <v>Various tracing</v>
      </c>
      <c r="L441" s="42"/>
      <c r="M441" s="42" t="str">
        <f>IFERROR(__xludf.DUMMYFUNCTION("""COMPUTED_VALUE"""),"fig.3-fig.12 (to be specified)")</f>
        <v>fig.3-fig.12 (to be specified)</v>
      </c>
      <c r="N441" s="42"/>
      <c r="O441" s="31" t="str">
        <f>IFERROR(__xludf.DUMMYFUNCTION("""COMPUTED_VALUE"""),"DOC(alt)")</f>
        <v>DOC(alt)</v>
      </c>
      <c r="P441" s="9" t="str">
        <f>IFERROR(__xludf.DUMMYFUNCTION("""COMPUTED_VALUE"""),"Folia morphologica")</f>
        <v>Folia morphologica</v>
      </c>
      <c r="Q441" s="9" t="str">
        <f>IFERROR(__xludf.DUMMYFUNCTION("""COMPUTED_VALUE"""),"Review")</f>
        <v>Review</v>
      </c>
      <c r="R441" s="179" t="str">
        <f>IFERROR(__xludf.DUMMYFUNCTION("""COMPUTED_VALUE"""),"AHA (00/00) [Pitkänen, 2000];
")</f>
        <v>AHA (00/00) [Pitkänen, 2000];
</v>
      </c>
      <c r="S441" s="179" t="str">
        <f>IFERROR(__xludf.DUMMYFUNCTION("""COMPUTED_VALUE"""),"HTHpoAHA")</f>
        <v>HTHpoAHA</v>
      </c>
      <c r="T441" s="179" t="str">
        <f>IFERROR(__xludf.DUMMYFUNCTION("""COMPUTED_VALUE"""),"[Pitkänen, 2000]")</f>
        <v>[Pitkänen, 2000]</v>
      </c>
      <c r="U441" s="179">
        <f>IFERROR(__xludf.DUMMYFUNCTION("""COMPUTED_VALUE"""),0.0)</f>
        <v>0</v>
      </c>
      <c r="V441" s="180">
        <f>IFERROR(__xludf.DUMMYFUNCTION("""COMPUTED_VALUE"""),0.0)</f>
        <v>0</v>
      </c>
      <c r="W441" s="180">
        <f>IFERROR(__xludf.DUMMYFUNCTION("""COMPUTED_VALUE"""),0.95)</f>
        <v>0.95</v>
      </c>
      <c r="X441" s="42">
        <f>IFERROR(__xludf.DUMMYFUNCTION("""COMPUTED_VALUE"""),0.8)</f>
        <v>0.8</v>
      </c>
      <c r="Y441" s="42">
        <f>IFERROR(__xludf.DUMMYFUNCTION("""COMPUTED_VALUE"""),0.6)</f>
        <v>0.6</v>
      </c>
      <c r="Z441" s="9">
        <f>IFERROR(__xludf.DUMMYFUNCTION("""COMPUTED_VALUE"""),0.9)</f>
        <v>0.9</v>
      </c>
      <c r="AA441" s="181">
        <f>IFERROR(__xludf.DUMMYFUNCTION("""COMPUTED_VALUE"""),0.0)</f>
        <v>0</v>
      </c>
      <c r="AB441" s="181">
        <f>IFERROR(__xludf.DUMMYFUNCTION("""COMPUTED_VALUE"""),0.0)</f>
        <v>0</v>
      </c>
      <c r="AC441" s="179">
        <f>IFERROR(__xludf.DUMMYFUNCTION("""COMPUTED_VALUE"""),0.0)</f>
        <v>0</v>
      </c>
      <c r="AD441" s="165">
        <f>IFERROR(__xludf.DUMMYFUNCTION("""COMPUTED_VALUE"""),0.0)</f>
        <v>0</v>
      </c>
      <c r="AE441" s="39" t="str">
        <f>IFERROR(__xludf.DUMMYFUNCTION("""COMPUTED_VALUE"""),"Tatsuya Miyamoto")</f>
        <v>Tatsuya Miyamoto</v>
      </c>
      <c r="AF441" s="39" t="str">
        <f>IFERROR(__xludf.DUMMYFUNCTION("""COMPUTED_VALUE"""),"TM21Amygdala")</f>
        <v>TM21Amygdala</v>
      </c>
      <c r="AG441" s="39"/>
      <c r="AH441" s="39"/>
      <c r="AI441" s="165"/>
      <c r="AJ441" s="165"/>
      <c r="AK441" s="111"/>
      <c r="AL441" s="111"/>
      <c r="AM441" s="111"/>
      <c r="AN441" s="111"/>
      <c r="AO441" s="111"/>
      <c r="AP441" s="111"/>
      <c r="AQ441" s="116"/>
      <c r="AR441" s="116"/>
      <c r="AS441" s="116"/>
    </row>
    <row r="442">
      <c r="A442" s="42" t="str">
        <f>IFERROR(__xludf.DUMMYFUNCTION("""COMPUTED_VALUE"""),"HTHpo")</f>
        <v>HTHpo</v>
      </c>
      <c r="B442" s="42"/>
      <c r="C442" s="42"/>
      <c r="D442" s="42" t="str">
        <f>IFERROR(__xludf.DUMMYFUNCTION("""COMPUTED_VALUE"""),"CEN")</f>
        <v>CEN</v>
      </c>
      <c r="E442" s="42"/>
      <c r="F442" s="42"/>
      <c r="G442" s="42"/>
      <c r="H442" s="42" t="str">
        <f>IFERROR(__xludf.DUMMYFUNCTION("""COMPUTED_VALUE"""),"")</f>
        <v/>
      </c>
      <c r="I442" s="42" t="str">
        <f>IFERROR(__xludf.DUMMYFUNCTION("""COMPUTED_VALUE"""),"Pitkänen, 2000")</f>
        <v>Pitkänen, 2000</v>
      </c>
      <c r="J442" s="42" t="str">
        <f>IFERROR(__xludf.DUMMYFUNCTION("""COMPUTED_VALUE"""),"Rat")</f>
        <v>Rat</v>
      </c>
      <c r="K442" s="42" t="str">
        <f>IFERROR(__xludf.DUMMYFUNCTION("""COMPUTED_VALUE"""),"Various tracing")</f>
        <v>Various tracing</v>
      </c>
      <c r="L442" s="42"/>
      <c r="M442" s="42" t="str">
        <f>IFERROR(__xludf.DUMMYFUNCTION("""COMPUTED_VALUE"""),"fig.3-fig.12 (to be specified)")</f>
        <v>fig.3-fig.12 (to be specified)</v>
      </c>
      <c r="N442" s="42"/>
      <c r="O442" s="31" t="str">
        <f>IFERROR(__xludf.DUMMYFUNCTION("""COMPUTED_VALUE"""),"DOC(alt)")</f>
        <v>DOC(alt)</v>
      </c>
      <c r="P442" s="9" t="str">
        <f>IFERROR(__xludf.DUMMYFUNCTION("""COMPUTED_VALUE"""),"Folia morphologica")</f>
        <v>Folia morphologica</v>
      </c>
      <c r="Q442" s="9" t="str">
        <f>IFERROR(__xludf.DUMMYFUNCTION("""COMPUTED_VALUE"""),"Review")</f>
        <v>Review</v>
      </c>
      <c r="R442" s="179" t="str">
        <f>IFERROR(__xludf.DUMMYFUNCTION("""COMPUTED_VALUE"""),"CEN (00/00) [Pitkänen, 2000];
")</f>
        <v>CEN (00/00) [Pitkänen, 2000];
</v>
      </c>
      <c r="S442" s="179" t="str">
        <f>IFERROR(__xludf.DUMMYFUNCTION("""COMPUTED_VALUE"""),"HTHpoCEN")</f>
        <v>HTHpoCEN</v>
      </c>
      <c r="T442" s="179" t="str">
        <f>IFERROR(__xludf.DUMMYFUNCTION("""COMPUTED_VALUE"""),"[Pitkänen, 2000]")</f>
        <v>[Pitkänen, 2000]</v>
      </c>
      <c r="U442" s="179">
        <f>IFERROR(__xludf.DUMMYFUNCTION("""COMPUTED_VALUE"""),0.0)</f>
        <v>0</v>
      </c>
      <c r="V442" s="180">
        <f>IFERROR(__xludf.DUMMYFUNCTION("""COMPUTED_VALUE"""),0.0)</f>
        <v>0</v>
      </c>
      <c r="W442" s="180">
        <f>IFERROR(__xludf.DUMMYFUNCTION("""COMPUTED_VALUE"""),0.95)</f>
        <v>0.95</v>
      </c>
      <c r="X442" s="42">
        <f>IFERROR(__xludf.DUMMYFUNCTION("""COMPUTED_VALUE"""),0.8)</f>
        <v>0.8</v>
      </c>
      <c r="Y442" s="42">
        <f>IFERROR(__xludf.DUMMYFUNCTION("""COMPUTED_VALUE"""),0.6)</f>
        <v>0.6</v>
      </c>
      <c r="Z442" s="9">
        <f>IFERROR(__xludf.DUMMYFUNCTION("""COMPUTED_VALUE"""),0.9)</f>
        <v>0.9</v>
      </c>
      <c r="AA442" s="181">
        <f>IFERROR(__xludf.DUMMYFUNCTION("""COMPUTED_VALUE"""),0.0)</f>
        <v>0</v>
      </c>
      <c r="AB442" s="181">
        <f>IFERROR(__xludf.DUMMYFUNCTION("""COMPUTED_VALUE"""),0.0)</f>
        <v>0</v>
      </c>
      <c r="AC442" s="179">
        <f>IFERROR(__xludf.DUMMYFUNCTION("""COMPUTED_VALUE"""),0.0)</f>
        <v>0</v>
      </c>
      <c r="AD442" s="165">
        <f>IFERROR(__xludf.DUMMYFUNCTION("""COMPUTED_VALUE"""),0.0)</f>
        <v>0</v>
      </c>
      <c r="AE442" s="39" t="str">
        <f>IFERROR(__xludf.DUMMYFUNCTION("""COMPUTED_VALUE"""),"Tatsuya Miyamoto")</f>
        <v>Tatsuya Miyamoto</v>
      </c>
      <c r="AF442" s="39" t="str">
        <f>IFERROR(__xludf.DUMMYFUNCTION("""COMPUTED_VALUE"""),"TM21Amygdala")</f>
        <v>TM21Amygdala</v>
      </c>
      <c r="AG442" s="39"/>
      <c r="AH442" s="39"/>
      <c r="AI442" s="165"/>
      <c r="AJ442" s="165"/>
      <c r="AK442" s="111"/>
      <c r="AL442" s="111"/>
      <c r="AM442" s="111"/>
      <c r="AN442" s="111"/>
      <c r="AO442" s="111"/>
      <c r="AP442" s="111"/>
      <c r="AQ442" s="116"/>
      <c r="AR442" s="116"/>
      <c r="AS442" s="116"/>
    </row>
    <row r="443">
      <c r="A443" s="42" t="str">
        <f>IFERROR(__xludf.DUMMYFUNCTION("""COMPUTED_VALUE"""),"HTHpo")</f>
        <v>HTHpo</v>
      </c>
      <c r="B443" s="42"/>
      <c r="C443" s="42"/>
      <c r="D443" s="42" t="str">
        <f>IFERROR(__xludf.DUMMYFUNCTION("""COMPUTED_VALUE"""),"Me")</f>
        <v>Me</v>
      </c>
      <c r="E443" s="42"/>
      <c r="F443" s="42"/>
      <c r="G443" s="42"/>
      <c r="H443" s="42" t="str">
        <f>IFERROR(__xludf.DUMMYFUNCTION("""COMPUTED_VALUE"""),"")</f>
        <v/>
      </c>
      <c r="I443" s="42" t="str">
        <f>IFERROR(__xludf.DUMMYFUNCTION("""COMPUTED_VALUE"""),"Pitkänen, 2000")</f>
        <v>Pitkänen, 2000</v>
      </c>
      <c r="J443" s="42" t="str">
        <f>IFERROR(__xludf.DUMMYFUNCTION("""COMPUTED_VALUE"""),"Rat")</f>
        <v>Rat</v>
      </c>
      <c r="K443" s="42" t="str">
        <f>IFERROR(__xludf.DUMMYFUNCTION("""COMPUTED_VALUE"""),"Various tracing")</f>
        <v>Various tracing</v>
      </c>
      <c r="L443" s="42"/>
      <c r="M443" s="42" t="str">
        <f>IFERROR(__xludf.DUMMYFUNCTION("""COMPUTED_VALUE"""),"fig.3-fig.12 (to be specified)")</f>
        <v>fig.3-fig.12 (to be specified)</v>
      </c>
      <c r="N443" s="42"/>
      <c r="O443" s="31" t="str">
        <f>IFERROR(__xludf.DUMMYFUNCTION("""COMPUTED_VALUE"""),"DOC(alt)")</f>
        <v>DOC(alt)</v>
      </c>
      <c r="P443" s="9" t="str">
        <f>IFERROR(__xludf.DUMMYFUNCTION("""COMPUTED_VALUE"""),"Folia morphologica")</f>
        <v>Folia morphologica</v>
      </c>
      <c r="Q443" s="9" t="str">
        <f>IFERROR(__xludf.DUMMYFUNCTION("""COMPUTED_VALUE"""),"Review")</f>
        <v>Review</v>
      </c>
      <c r="R443" s="179" t="str">
        <f>IFERROR(__xludf.DUMMYFUNCTION("""COMPUTED_VALUE"""),"Me (00/00) [Pitkänen, 2000];
")</f>
        <v>Me (00/00) [Pitkänen, 2000];
</v>
      </c>
      <c r="S443" s="179" t="str">
        <f>IFERROR(__xludf.DUMMYFUNCTION("""COMPUTED_VALUE"""),"HTHpoMe")</f>
        <v>HTHpoMe</v>
      </c>
      <c r="T443" s="179" t="str">
        <f>IFERROR(__xludf.DUMMYFUNCTION("""COMPUTED_VALUE"""),"[Pitkänen, 2000]")</f>
        <v>[Pitkänen, 2000]</v>
      </c>
      <c r="U443" s="179">
        <f>IFERROR(__xludf.DUMMYFUNCTION("""COMPUTED_VALUE"""),0.0)</f>
        <v>0</v>
      </c>
      <c r="V443" s="180">
        <f>IFERROR(__xludf.DUMMYFUNCTION("""COMPUTED_VALUE"""),0.0)</f>
        <v>0</v>
      </c>
      <c r="W443" s="180">
        <f>IFERROR(__xludf.DUMMYFUNCTION("""COMPUTED_VALUE"""),0.95)</f>
        <v>0.95</v>
      </c>
      <c r="X443" s="42">
        <f>IFERROR(__xludf.DUMMYFUNCTION("""COMPUTED_VALUE"""),0.8)</f>
        <v>0.8</v>
      </c>
      <c r="Y443" s="42">
        <f>IFERROR(__xludf.DUMMYFUNCTION("""COMPUTED_VALUE"""),0.6)</f>
        <v>0.6</v>
      </c>
      <c r="Z443" s="9">
        <f>IFERROR(__xludf.DUMMYFUNCTION("""COMPUTED_VALUE"""),0.9)</f>
        <v>0.9</v>
      </c>
      <c r="AA443" s="181">
        <f>IFERROR(__xludf.DUMMYFUNCTION("""COMPUTED_VALUE"""),0.0)</f>
        <v>0</v>
      </c>
      <c r="AB443" s="181">
        <f>IFERROR(__xludf.DUMMYFUNCTION("""COMPUTED_VALUE"""),0.0)</f>
        <v>0</v>
      </c>
      <c r="AC443" s="179">
        <f>IFERROR(__xludf.DUMMYFUNCTION("""COMPUTED_VALUE"""),0.0)</f>
        <v>0</v>
      </c>
      <c r="AD443" s="165">
        <f>IFERROR(__xludf.DUMMYFUNCTION("""COMPUTED_VALUE"""),0.0)</f>
        <v>0</v>
      </c>
      <c r="AE443" s="39" t="str">
        <f>IFERROR(__xludf.DUMMYFUNCTION("""COMPUTED_VALUE"""),"Tatsuya Miyamoto")</f>
        <v>Tatsuya Miyamoto</v>
      </c>
      <c r="AF443" s="39" t="str">
        <f>IFERROR(__xludf.DUMMYFUNCTION("""COMPUTED_VALUE"""),"TM21Amygdala")</f>
        <v>TM21Amygdala</v>
      </c>
      <c r="AG443" s="39"/>
      <c r="AH443" s="39"/>
      <c r="AI443" s="165"/>
      <c r="AJ443" s="165"/>
      <c r="AK443" s="111"/>
      <c r="AL443" s="111"/>
      <c r="AM443" s="111"/>
      <c r="AN443" s="111"/>
      <c r="AO443" s="111"/>
      <c r="AP443" s="111"/>
      <c r="AQ443" s="116"/>
      <c r="AR443" s="116"/>
      <c r="AS443" s="116"/>
    </row>
    <row r="444">
      <c r="A444" s="42" t="str">
        <f>IFERROR(__xludf.DUMMYFUNCTION("""COMPUTED_VALUE"""),"HTHso")</f>
        <v>HTHso</v>
      </c>
      <c r="B444" s="42"/>
      <c r="C444" s="42"/>
      <c r="D444" s="42" t="str">
        <f>IFERROR(__xludf.DUMMYFUNCTION("""COMPUTED_VALUE"""),"Me")</f>
        <v>Me</v>
      </c>
      <c r="E444" s="42"/>
      <c r="F444" s="42"/>
      <c r="G444" s="42"/>
      <c r="H444" s="42" t="str">
        <f>IFERROR(__xludf.DUMMYFUNCTION("""COMPUTED_VALUE"""),"")</f>
        <v/>
      </c>
      <c r="I444" s="42" t="str">
        <f>IFERROR(__xludf.DUMMYFUNCTION("""COMPUTED_VALUE"""),"Pitkänen, 2000")</f>
        <v>Pitkänen, 2000</v>
      </c>
      <c r="J444" s="42" t="str">
        <f>IFERROR(__xludf.DUMMYFUNCTION("""COMPUTED_VALUE"""),"Rat")</f>
        <v>Rat</v>
      </c>
      <c r="K444" s="42" t="str">
        <f>IFERROR(__xludf.DUMMYFUNCTION("""COMPUTED_VALUE"""),"Various tracing")</f>
        <v>Various tracing</v>
      </c>
      <c r="L444" s="42"/>
      <c r="M444" s="42" t="str">
        <f>IFERROR(__xludf.DUMMYFUNCTION("""COMPUTED_VALUE"""),"fig.3-fig.12 (to be specified)")</f>
        <v>fig.3-fig.12 (to be specified)</v>
      </c>
      <c r="N444" s="42"/>
      <c r="O444" s="31" t="str">
        <f>IFERROR(__xludf.DUMMYFUNCTION("""COMPUTED_VALUE"""),"DOC(alt)")</f>
        <v>DOC(alt)</v>
      </c>
      <c r="P444" s="9" t="str">
        <f>IFERROR(__xludf.DUMMYFUNCTION("""COMPUTED_VALUE"""),"Folia morphologica")</f>
        <v>Folia morphologica</v>
      </c>
      <c r="Q444" s="9" t="str">
        <f>IFERROR(__xludf.DUMMYFUNCTION("""COMPUTED_VALUE"""),"Review")</f>
        <v>Review</v>
      </c>
      <c r="R444" s="179" t="str">
        <f>IFERROR(__xludf.DUMMYFUNCTION("""COMPUTED_VALUE"""),"Me (00/00) [Pitkänen, 2000];
")</f>
        <v>Me (00/00) [Pitkänen, 2000];
</v>
      </c>
      <c r="S444" s="179" t="str">
        <f>IFERROR(__xludf.DUMMYFUNCTION("""COMPUTED_VALUE"""),"HTHsoMe")</f>
        <v>HTHsoMe</v>
      </c>
      <c r="T444" s="179" t="str">
        <f>IFERROR(__xludf.DUMMYFUNCTION("""COMPUTED_VALUE"""),"[Pitkänen, 2000]")</f>
        <v>[Pitkänen, 2000]</v>
      </c>
      <c r="U444" s="179">
        <f>IFERROR(__xludf.DUMMYFUNCTION("""COMPUTED_VALUE"""),0.0)</f>
        <v>0</v>
      </c>
      <c r="V444" s="180">
        <f>IFERROR(__xludf.DUMMYFUNCTION("""COMPUTED_VALUE"""),0.0)</f>
        <v>0</v>
      </c>
      <c r="W444" s="180">
        <f>IFERROR(__xludf.DUMMYFUNCTION("""COMPUTED_VALUE"""),0.95)</f>
        <v>0.95</v>
      </c>
      <c r="X444" s="42">
        <f>IFERROR(__xludf.DUMMYFUNCTION("""COMPUTED_VALUE"""),0.8)</f>
        <v>0.8</v>
      </c>
      <c r="Y444" s="42">
        <f>IFERROR(__xludf.DUMMYFUNCTION("""COMPUTED_VALUE"""),0.6)</f>
        <v>0.6</v>
      </c>
      <c r="Z444" s="9">
        <f>IFERROR(__xludf.DUMMYFUNCTION("""COMPUTED_VALUE"""),0.9)</f>
        <v>0.9</v>
      </c>
      <c r="AA444" s="181">
        <f>IFERROR(__xludf.DUMMYFUNCTION("""COMPUTED_VALUE"""),0.0)</f>
        <v>0</v>
      </c>
      <c r="AB444" s="181">
        <f>IFERROR(__xludf.DUMMYFUNCTION("""COMPUTED_VALUE"""),0.0)</f>
        <v>0</v>
      </c>
      <c r="AC444" s="179">
        <f>IFERROR(__xludf.DUMMYFUNCTION("""COMPUTED_VALUE"""),0.0)</f>
        <v>0</v>
      </c>
      <c r="AD444" s="165">
        <f>IFERROR(__xludf.DUMMYFUNCTION("""COMPUTED_VALUE"""),0.0)</f>
        <v>0</v>
      </c>
      <c r="AE444" s="39" t="str">
        <f>IFERROR(__xludf.DUMMYFUNCTION("""COMPUTED_VALUE"""),"Tatsuya Miyamoto")</f>
        <v>Tatsuya Miyamoto</v>
      </c>
      <c r="AF444" s="39" t="str">
        <f>IFERROR(__xludf.DUMMYFUNCTION("""COMPUTED_VALUE"""),"TM21Amygdala")</f>
        <v>TM21Amygdala</v>
      </c>
      <c r="AG444" s="39"/>
      <c r="AH444" s="39"/>
      <c r="AI444" s="165"/>
      <c r="AJ444" s="165"/>
      <c r="AK444" s="111"/>
      <c r="AL444" s="111"/>
      <c r="AM444" s="111"/>
      <c r="AN444" s="111"/>
      <c r="AO444" s="111"/>
      <c r="AP444" s="111"/>
      <c r="AQ444" s="116"/>
      <c r="AR444" s="116"/>
      <c r="AS444" s="116"/>
    </row>
    <row r="445">
      <c r="A445" s="42" t="str">
        <f>IFERROR(__xludf.DUMMYFUNCTION("""COMPUTED_VALUE"""),"IL")</f>
        <v>IL</v>
      </c>
      <c r="B445" s="42"/>
      <c r="C445" s="42"/>
      <c r="D445" s="42" t="str">
        <f>IFERROR(__xludf.DUMMYFUNCTION("""COMPUTED_VALUE"""),"BL")</f>
        <v>BL</v>
      </c>
      <c r="E445" s="42"/>
      <c r="F445" s="42"/>
      <c r="G445" s="42"/>
      <c r="H445" s="42" t="str">
        <f>IFERROR(__xludf.DUMMYFUNCTION("""COMPUTED_VALUE"""),"")</f>
        <v/>
      </c>
      <c r="I445" s="42" t="str">
        <f>IFERROR(__xludf.DUMMYFUNCTION("""COMPUTED_VALUE"""),"Pitkänen, 2000")</f>
        <v>Pitkänen, 2000</v>
      </c>
      <c r="J445" s="42" t="str">
        <f>IFERROR(__xludf.DUMMYFUNCTION("""COMPUTED_VALUE"""),"Rat")</f>
        <v>Rat</v>
      </c>
      <c r="K445" s="42" t="str">
        <f>IFERROR(__xludf.DUMMYFUNCTION("""COMPUTED_VALUE"""),"Various tracing")</f>
        <v>Various tracing</v>
      </c>
      <c r="L445" s="42"/>
      <c r="M445" s="42" t="str">
        <f>IFERROR(__xludf.DUMMYFUNCTION("""COMPUTED_VALUE"""),"fig.3-fig.12 (to be specified)")</f>
        <v>fig.3-fig.12 (to be specified)</v>
      </c>
      <c r="N445" s="42"/>
      <c r="O445" s="31" t="str">
        <f>IFERROR(__xludf.DUMMYFUNCTION("""COMPUTED_VALUE"""),"DOC(alt)")</f>
        <v>DOC(alt)</v>
      </c>
      <c r="P445" s="9" t="str">
        <f>IFERROR(__xludf.DUMMYFUNCTION("""COMPUTED_VALUE"""),"Folia morphologica")</f>
        <v>Folia morphologica</v>
      </c>
      <c r="Q445" s="9" t="str">
        <f>IFERROR(__xludf.DUMMYFUNCTION("""COMPUTED_VALUE"""),"Review")</f>
        <v>Review</v>
      </c>
      <c r="R445" s="179" t="str">
        <f>IFERROR(__xludf.DUMMYFUNCTION("""COMPUTED_VALUE"""),"BL (00/00) [Pitkänen, 2000];
")</f>
        <v>BL (00/00) [Pitkänen, 2000];
</v>
      </c>
      <c r="S445" s="179" t="str">
        <f>IFERROR(__xludf.DUMMYFUNCTION("""COMPUTED_VALUE"""),"ILBL")</f>
        <v>ILBL</v>
      </c>
      <c r="T445" s="179" t="str">
        <f>IFERROR(__xludf.DUMMYFUNCTION("""COMPUTED_VALUE"""),"[Pitkänen, 2000]")</f>
        <v>[Pitkänen, 2000]</v>
      </c>
      <c r="U445" s="179">
        <f>IFERROR(__xludf.DUMMYFUNCTION("""COMPUTED_VALUE"""),0.0)</f>
        <v>0</v>
      </c>
      <c r="V445" s="180">
        <f>IFERROR(__xludf.DUMMYFUNCTION("""COMPUTED_VALUE"""),0.0)</f>
        <v>0</v>
      </c>
      <c r="W445" s="180">
        <f>IFERROR(__xludf.DUMMYFUNCTION("""COMPUTED_VALUE"""),0.95)</f>
        <v>0.95</v>
      </c>
      <c r="X445" s="42">
        <f>IFERROR(__xludf.DUMMYFUNCTION("""COMPUTED_VALUE"""),0.8)</f>
        <v>0.8</v>
      </c>
      <c r="Y445" s="42">
        <f>IFERROR(__xludf.DUMMYFUNCTION("""COMPUTED_VALUE"""),0.6)</f>
        <v>0.6</v>
      </c>
      <c r="Z445" s="9">
        <f>IFERROR(__xludf.DUMMYFUNCTION("""COMPUTED_VALUE"""),0.9)</f>
        <v>0.9</v>
      </c>
      <c r="AA445" s="181">
        <f>IFERROR(__xludf.DUMMYFUNCTION("""COMPUTED_VALUE"""),0.0)</f>
        <v>0</v>
      </c>
      <c r="AB445" s="181">
        <f>IFERROR(__xludf.DUMMYFUNCTION("""COMPUTED_VALUE"""),0.0)</f>
        <v>0</v>
      </c>
      <c r="AC445" s="179">
        <f>IFERROR(__xludf.DUMMYFUNCTION("""COMPUTED_VALUE"""),0.0)</f>
        <v>0</v>
      </c>
      <c r="AD445" s="165">
        <f>IFERROR(__xludf.DUMMYFUNCTION("""COMPUTED_VALUE"""),0.0)</f>
        <v>0</v>
      </c>
      <c r="AE445" s="39" t="str">
        <f>IFERROR(__xludf.DUMMYFUNCTION("""COMPUTED_VALUE"""),"Tatsuya Miyamoto")</f>
        <v>Tatsuya Miyamoto</v>
      </c>
      <c r="AF445" s="39" t="str">
        <f>IFERROR(__xludf.DUMMYFUNCTION("""COMPUTED_VALUE"""),"TM21Amygdala")</f>
        <v>TM21Amygdala</v>
      </c>
      <c r="AG445" s="39"/>
      <c r="AH445" s="39"/>
      <c r="AI445" s="165"/>
      <c r="AJ445" s="165"/>
      <c r="AK445" s="111"/>
      <c r="AL445" s="111"/>
      <c r="AM445" s="111"/>
      <c r="AN445" s="111"/>
      <c r="AO445" s="111"/>
      <c r="AP445" s="111"/>
      <c r="AQ445" s="116"/>
      <c r="AR445" s="116"/>
      <c r="AS445" s="116"/>
    </row>
    <row r="446">
      <c r="A446" s="42" t="str">
        <f>IFERROR(__xludf.DUMMYFUNCTION("""COMPUTED_VALUE"""),"IL")</f>
        <v>IL</v>
      </c>
      <c r="B446" s="42"/>
      <c r="C446" s="42"/>
      <c r="D446" s="42" t="str">
        <f>IFERROR(__xludf.DUMMYFUNCTION("""COMPUTED_VALUE"""),"BM")</f>
        <v>BM</v>
      </c>
      <c r="E446" s="42"/>
      <c r="F446" s="42"/>
      <c r="G446" s="42"/>
      <c r="H446" s="42" t="str">
        <f>IFERROR(__xludf.DUMMYFUNCTION("""COMPUTED_VALUE"""),"")</f>
        <v/>
      </c>
      <c r="I446" s="42" t="str">
        <f>IFERROR(__xludf.DUMMYFUNCTION("""COMPUTED_VALUE"""),"Pitkänen, 2000")</f>
        <v>Pitkänen, 2000</v>
      </c>
      <c r="J446" s="42" t="str">
        <f>IFERROR(__xludf.DUMMYFUNCTION("""COMPUTED_VALUE"""),"Rat")</f>
        <v>Rat</v>
      </c>
      <c r="K446" s="42" t="str">
        <f>IFERROR(__xludf.DUMMYFUNCTION("""COMPUTED_VALUE"""),"Various tracing")</f>
        <v>Various tracing</v>
      </c>
      <c r="L446" s="42"/>
      <c r="M446" s="42" t="str">
        <f>IFERROR(__xludf.DUMMYFUNCTION("""COMPUTED_VALUE"""),"fig.3-fig.12 (to be specified)")</f>
        <v>fig.3-fig.12 (to be specified)</v>
      </c>
      <c r="N446" s="42"/>
      <c r="O446" s="31" t="str">
        <f>IFERROR(__xludf.DUMMYFUNCTION("""COMPUTED_VALUE"""),"DOC(alt)")</f>
        <v>DOC(alt)</v>
      </c>
      <c r="P446" s="9" t="str">
        <f>IFERROR(__xludf.DUMMYFUNCTION("""COMPUTED_VALUE"""),"Folia morphologica")</f>
        <v>Folia morphologica</v>
      </c>
      <c r="Q446" s="9" t="str">
        <f>IFERROR(__xludf.DUMMYFUNCTION("""COMPUTED_VALUE"""),"Review")</f>
        <v>Review</v>
      </c>
      <c r="R446" s="179" t="str">
        <f>IFERROR(__xludf.DUMMYFUNCTION("""COMPUTED_VALUE"""),"BM (00/00) [Pitkänen, 2000];
")</f>
        <v>BM (00/00) [Pitkänen, 2000];
</v>
      </c>
      <c r="S446" s="179" t="str">
        <f>IFERROR(__xludf.DUMMYFUNCTION("""COMPUTED_VALUE"""),"ILBM")</f>
        <v>ILBM</v>
      </c>
      <c r="T446" s="179" t="str">
        <f>IFERROR(__xludf.DUMMYFUNCTION("""COMPUTED_VALUE"""),"[Pitkänen, 2000]")</f>
        <v>[Pitkänen, 2000]</v>
      </c>
      <c r="U446" s="179">
        <f>IFERROR(__xludf.DUMMYFUNCTION("""COMPUTED_VALUE"""),0.0)</f>
        <v>0</v>
      </c>
      <c r="V446" s="180">
        <f>IFERROR(__xludf.DUMMYFUNCTION("""COMPUTED_VALUE"""),0.0)</f>
        <v>0</v>
      </c>
      <c r="W446" s="180">
        <f>IFERROR(__xludf.DUMMYFUNCTION("""COMPUTED_VALUE"""),0.95)</f>
        <v>0.95</v>
      </c>
      <c r="X446" s="42">
        <f>IFERROR(__xludf.DUMMYFUNCTION("""COMPUTED_VALUE"""),0.8)</f>
        <v>0.8</v>
      </c>
      <c r="Y446" s="42">
        <f>IFERROR(__xludf.DUMMYFUNCTION("""COMPUTED_VALUE"""),0.6)</f>
        <v>0.6</v>
      </c>
      <c r="Z446" s="9">
        <f>IFERROR(__xludf.DUMMYFUNCTION("""COMPUTED_VALUE"""),0.9)</f>
        <v>0.9</v>
      </c>
      <c r="AA446" s="181">
        <f>IFERROR(__xludf.DUMMYFUNCTION("""COMPUTED_VALUE"""),0.0)</f>
        <v>0</v>
      </c>
      <c r="AB446" s="181">
        <f>IFERROR(__xludf.DUMMYFUNCTION("""COMPUTED_VALUE"""),0.0)</f>
        <v>0</v>
      </c>
      <c r="AC446" s="179">
        <f>IFERROR(__xludf.DUMMYFUNCTION("""COMPUTED_VALUE"""),0.0)</f>
        <v>0</v>
      </c>
      <c r="AD446" s="165">
        <f>IFERROR(__xludf.DUMMYFUNCTION("""COMPUTED_VALUE"""),0.0)</f>
        <v>0</v>
      </c>
      <c r="AE446" s="39" t="str">
        <f>IFERROR(__xludf.DUMMYFUNCTION("""COMPUTED_VALUE"""),"Tatsuya Miyamoto")</f>
        <v>Tatsuya Miyamoto</v>
      </c>
      <c r="AF446" s="39" t="str">
        <f>IFERROR(__xludf.DUMMYFUNCTION("""COMPUTED_VALUE"""),"TM21Amygdala")</f>
        <v>TM21Amygdala</v>
      </c>
      <c r="AG446" s="39"/>
      <c r="AH446" s="39"/>
      <c r="AI446" s="165"/>
      <c r="AJ446" s="165"/>
      <c r="AK446" s="111"/>
      <c r="AL446" s="111"/>
      <c r="AM446" s="111"/>
      <c r="AN446" s="111"/>
      <c r="AO446" s="111"/>
      <c r="AP446" s="111"/>
      <c r="AQ446" s="116"/>
      <c r="AR446" s="116"/>
      <c r="AS446" s="116"/>
    </row>
    <row r="447">
      <c r="A447" s="42" t="str">
        <f>IFERROR(__xludf.DUMMYFUNCTION("""COMPUTED_VALUE"""),"IL")</f>
        <v>IL</v>
      </c>
      <c r="B447" s="42"/>
      <c r="C447" s="42"/>
      <c r="D447" s="42" t="str">
        <f>IFERROR(__xludf.DUMMYFUNCTION("""COMPUTED_VALUE"""),"CoP")</f>
        <v>CoP</v>
      </c>
      <c r="E447" s="42"/>
      <c r="F447" s="42"/>
      <c r="G447" s="42"/>
      <c r="H447" s="42" t="str">
        <f>IFERROR(__xludf.DUMMYFUNCTION("""COMPUTED_VALUE"""),"")</f>
        <v/>
      </c>
      <c r="I447" s="42" t="str">
        <f>IFERROR(__xludf.DUMMYFUNCTION("""COMPUTED_VALUE"""),"Pitkänen, 2000")</f>
        <v>Pitkänen, 2000</v>
      </c>
      <c r="J447" s="42" t="str">
        <f>IFERROR(__xludf.DUMMYFUNCTION("""COMPUTED_VALUE"""),"Rat")</f>
        <v>Rat</v>
      </c>
      <c r="K447" s="42" t="str">
        <f>IFERROR(__xludf.DUMMYFUNCTION("""COMPUTED_VALUE"""),"Various tracing")</f>
        <v>Various tracing</v>
      </c>
      <c r="L447" s="42"/>
      <c r="M447" s="42" t="str">
        <f>IFERROR(__xludf.DUMMYFUNCTION("""COMPUTED_VALUE"""),"fig.3-fig.12 (to be specified)")</f>
        <v>fig.3-fig.12 (to be specified)</v>
      </c>
      <c r="N447" s="42"/>
      <c r="O447" s="31" t="str">
        <f>IFERROR(__xludf.DUMMYFUNCTION("""COMPUTED_VALUE"""),"DOC(alt)")</f>
        <v>DOC(alt)</v>
      </c>
      <c r="P447" s="9" t="str">
        <f>IFERROR(__xludf.DUMMYFUNCTION("""COMPUTED_VALUE"""),"Folia morphologica")</f>
        <v>Folia morphologica</v>
      </c>
      <c r="Q447" s="9" t="str">
        <f>IFERROR(__xludf.DUMMYFUNCTION("""COMPUTED_VALUE"""),"Review")</f>
        <v>Review</v>
      </c>
      <c r="R447" s="179" t="str">
        <f>IFERROR(__xludf.DUMMYFUNCTION("""COMPUTED_VALUE"""),"CoP (00/00) [Pitkänen, 2000];
")</f>
        <v>CoP (00/00) [Pitkänen, 2000];
</v>
      </c>
      <c r="S447" s="179" t="str">
        <f>IFERROR(__xludf.DUMMYFUNCTION("""COMPUTED_VALUE"""),"ILCoP")</f>
        <v>ILCoP</v>
      </c>
      <c r="T447" s="179" t="str">
        <f>IFERROR(__xludf.DUMMYFUNCTION("""COMPUTED_VALUE"""),"[Pitkänen, 2000]")</f>
        <v>[Pitkänen, 2000]</v>
      </c>
      <c r="U447" s="179">
        <f>IFERROR(__xludf.DUMMYFUNCTION("""COMPUTED_VALUE"""),0.0)</f>
        <v>0</v>
      </c>
      <c r="V447" s="180">
        <f>IFERROR(__xludf.DUMMYFUNCTION("""COMPUTED_VALUE"""),0.0)</f>
        <v>0</v>
      </c>
      <c r="W447" s="180">
        <f>IFERROR(__xludf.DUMMYFUNCTION("""COMPUTED_VALUE"""),0.95)</f>
        <v>0.95</v>
      </c>
      <c r="X447" s="42">
        <f>IFERROR(__xludf.DUMMYFUNCTION("""COMPUTED_VALUE"""),0.8)</f>
        <v>0.8</v>
      </c>
      <c r="Y447" s="42">
        <f>IFERROR(__xludf.DUMMYFUNCTION("""COMPUTED_VALUE"""),0.6)</f>
        <v>0.6</v>
      </c>
      <c r="Z447" s="9">
        <f>IFERROR(__xludf.DUMMYFUNCTION("""COMPUTED_VALUE"""),0.9)</f>
        <v>0.9</v>
      </c>
      <c r="AA447" s="181">
        <f>IFERROR(__xludf.DUMMYFUNCTION("""COMPUTED_VALUE"""),0.0)</f>
        <v>0</v>
      </c>
      <c r="AB447" s="181">
        <f>IFERROR(__xludf.DUMMYFUNCTION("""COMPUTED_VALUE"""),0.0)</f>
        <v>0</v>
      </c>
      <c r="AC447" s="179">
        <f>IFERROR(__xludf.DUMMYFUNCTION("""COMPUTED_VALUE"""),0.0)</f>
        <v>0</v>
      </c>
      <c r="AD447" s="165">
        <f>IFERROR(__xludf.DUMMYFUNCTION("""COMPUTED_VALUE"""),0.0)</f>
        <v>0</v>
      </c>
      <c r="AE447" s="39" t="str">
        <f>IFERROR(__xludf.DUMMYFUNCTION("""COMPUTED_VALUE"""),"Tatsuya Miyamoto")</f>
        <v>Tatsuya Miyamoto</v>
      </c>
      <c r="AF447" s="39" t="str">
        <f>IFERROR(__xludf.DUMMYFUNCTION("""COMPUTED_VALUE"""),"TM21Amygdala")</f>
        <v>TM21Amygdala</v>
      </c>
      <c r="AG447" s="39"/>
      <c r="AH447" s="39"/>
      <c r="AI447" s="165"/>
      <c r="AJ447" s="165"/>
      <c r="AK447" s="111"/>
      <c r="AL447" s="111"/>
      <c r="AM447" s="111"/>
      <c r="AN447" s="111"/>
      <c r="AO447" s="111"/>
      <c r="AP447" s="111"/>
      <c r="AQ447" s="116"/>
      <c r="AR447" s="116"/>
      <c r="AS447" s="116"/>
    </row>
    <row r="448">
      <c r="A448" s="42" t="str">
        <f>IFERROR(__xludf.DUMMYFUNCTION("""COMPUTED_VALUE"""),"IL")</f>
        <v>IL</v>
      </c>
      <c r="B448" s="42"/>
      <c r="C448" s="42"/>
      <c r="D448" s="42" t="str">
        <f>IFERROR(__xludf.DUMMYFUNCTION("""COMPUTED_VALUE"""),"La")</f>
        <v>La</v>
      </c>
      <c r="E448" s="42"/>
      <c r="F448" s="42"/>
      <c r="G448" s="42"/>
      <c r="H448" s="42" t="str">
        <f>IFERROR(__xludf.DUMMYFUNCTION("""COMPUTED_VALUE"""),"")</f>
        <v/>
      </c>
      <c r="I448" s="42" t="str">
        <f>IFERROR(__xludf.DUMMYFUNCTION("""COMPUTED_VALUE"""),"Pitkänen, 2000")</f>
        <v>Pitkänen, 2000</v>
      </c>
      <c r="J448" s="42" t="str">
        <f>IFERROR(__xludf.DUMMYFUNCTION("""COMPUTED_VALUE"""),"Rat")</f>
        <v>Rat</v>
      </c>
      <c r="K448" s="42" t="str">
        <f>IFERROR(__xludf.DUMMYFUNCTION("""COMPUTED_VALUE"""),"Various tracing")</f>
        <v>Various tracing</v>
      </c>
      <c r="L448" s="42"/>
      <c r="M448" s="42" t="str">
        <f>IFERROR(__xludf.DUMMYFUNCTION("""COMPUTED_VALUE"""),"fig.3-fig.12 (to be specified)")</f>
        <v>fig.3-fig.12 (to be specified)</v>
      </c>
      <c r="N448" s="42"/>
      <c r="O448" s="31" t="str">
        <f>IFERROR(__xludf.DUMMYFUNCTION("""COMPUTED_VALUE"""),"DOC(alt)")</f>
        <v>DOC(alt)</v>
      </c>
      <c r="P448" s="9" t="str">
        <f>IFERROR(__xludf.DUMMYFUNCTION("""COMPUTED_VALUE"""),"Folia morphologica")</f>
        <v>Folia morphologica</v>
      </c>
      <c r="Q448" s="9" t="str">
        <f>IFERROR(__xludf.DUMMYFUNCTION("""COMPUTED_VALUE"""),"Review")</f>
        <v>Review</v>
      </c>
      <c r="R448" s="179" t="str">
        <f>IFERROR(__xludf.DUMMYFUNCTION("""COMPUTED_VALUE"""),"La (00/00) [Pitkänen, 2000];
")</f>
        <v>La (00/00) [Pitkänen, 2000];
</v>
      </c>
      <c r="S448" s="179" t="str">
        <f>IFERROR(__xludf.DUMMYFUNCTION("""COMPUTED_VALUE"""),"ILLa")</f>
        <v>ILLa</v>
      </c>
      <c r="T448" s="179" t="str">
        <f>IFERROR(__xludf.DUMMYFUNCTION("""COMPUTED_VALUE"""),"[Pitkänen, 2000]")</f>
        <v>[Pitkänen, 2000]</v>
      </c>
      <c r="U448" s="179">
        <f>IFERROR(__xludf.DUMMYFUNCTION("""COMPUTED_VALUE"""),0.0)</f>
        <v>0</v>
      </c>
      <c r="V448" s="180">
        <f>IFERROR(__xludf.DUMMYFUNCTION("""COMPUTED_VALUE"""),0.0)</f>
        <v>0</v>
      </c>
      <c r="W448" s="180">
        <f>IFERROR(__xludf.DUMMYFUNCTION("""COMPUTED_VALUE"""),0.95)</f>
        <v>0.95</v>
      </c>
      <c r="X448" s="42">
        <f>IFERROR(__xludf.DUMMYFUNCTION("""COMPUTED_VALUE"""),0.8)</f>
        <v>0.8</v>
      </c>
      <c r="Y448" s="42">
        <f>IFERROR(__xludf.DUMMYFUNCTION("""COMPUTED_VALUE"""),0.6)</f>
        <v>0.6</v>
      </c>
      <c r="Z448" s="9">
        <f>IFERROR(__xludf.DUMMYFUNCTION("""COMPUTED_VALUE"""),0.9)</f>
        <v>0.9</v>
      </c>
      <c r="AA448" s="181">
        <f>IFERROR(__xludf.DUMMYFUNCTION("""COMPUTED_VALUE"""),0.0)</f>
        <v>0</v>
      </c>
      <c r="AB448" s="181">
        <f>IFERROR(__xludf.DUMMYFUNCTION("""COMPUTED_VALUE"""),0.0)</f>
        <v>0</v>
      </c>
      <c r="AC448" s="179">
        <f>IFERROR(__xludf.DUMMYFUNCTION("""COMPUTED_VALUE"""),0.0)</f>
        <v>0</v>
      </c>
      <c r="AD448" s="165">
        <f>IFERROR(__xludf.DUMMYFUNCTION("""COMPUTED_VALUE"""),0.0)</f>
        <v>0</v>
      </c>
      <c r="AE448" s="39" t="str">
        <f>IFERROR(__xludf.DUMMYFUNCTION("""COMPUTED_VALUE"""),"Tatsuya Miyamoto")</f>
        <v>Tatsuya Miyamoto</v>
      </c>
      <c r="AF448" s="39" t="str">
        <f>IFERROR(__xludf.DUMMYFUNCTION("""COMPUTED_VALUE"""),"TM21Amygdala")</f>
        <v>TM21Amygdala</v>
      </c>
      <c r="AG448" s="39"/>
      <c r="AH448" s="39"/>
      <c r="AI448" s="165"/>
      <c r="AJ448" s="165"/>
      <c r="AK448" s="111"/>
      <c r="AL448" s="111"/>
      <c r="AM448" s="111"/>
      <c r="AN448" s="111"/>
      <c r="AO448" s="111"/>
      <c r="AP448" s="111"/>
      <c r="AQ448" s="116"/>
      <c r="AR448" s="116"/>
      <c r="AS448" s="116"/>
    </row>
    <row r="449">
      <c r="A449" s="42" t="str">
        <f>IFERROR(__xludf.DUMMYFUNCTION("""COMPUTED_VALUE"""),"IL")</f>
        <v>IL</v>
      </c>
      <c r="B449" s="42"/>
      <c r="C449" s="42"/>
      <c r="D449" s="42" t="str">
        <f>IFERROR(__xludf.DUMMYFUNCTION("""COMPUTED_VALUE"""),"PAC")</f>
        <v>PAC</v>
      </c>
      <c r="E449" s="42"/>
      <c r="F449" s="42"/>
      <c r="G449" s="42"/>
      <c r="H449" s="42" t="str">
        <f>IFERROR(__xludf.DUMMYFUNCTION("""COMPUTED_VALUE"""),"")</f>
        <v/>
      </c>
      <c r="I449" s="42" t="str">
        <f>IFERROR(__xludf.DUMMYFUNCTION("""COMPUTED_VALUE"""),"Pitkänen, 2000")</f>
        <v>Pitkänen, 2000</v>
      </c>
      <c r="J449" s="42" t="str">
        <f>IFERROR(__xludf.DUMMYFUNCTION("""COMPUTED_VALUE"""),"Rat")</f>
        <v>Rat</v>
      </c>
      <c r="K449" s="42" t="str">
        <f>IFERROR(__xludf.DUMMYFUNCTION("""COMPUTED_VALUE"""),"Various tracing")</f>
        <v>Various tracing</v>
      </c>
      <c r="L449" s="42"/>
      <c r="M449" s="42" t="str">
        <f>IFERROR(__xludf.DUMMYFUNCTION("""COMPUTED_VALUE"""),"fig.3-fig.12 (to be specified)")</f>
        <v>fig.3-fig.12 (to be specified)</v>
      </c>
      <c r="N449" s="42"/>
      <c r="O449" s="31" t="str">
        <f>IFERROR(__xludf.DUMMYFUNCTION("""COMPUTED_VALUE"""),"DOC(alt)")</f>
        <v>DOC(alt)</v>
      </c>
      <c r="P449" s="9" t="str">
        <f>IFERROR(__xludf.DUMMYFUNCTION("""COMPUTED_VALUE"""),"Folia morphologica")</f>
        <v>Folia morphologica</v>
      </c>
      <c r="Q449" s="9" t="str">
        <f>IFERROR(__xludf.DUMMYFUNCTION("""COMPUTED_VALUE"""),"Review")</f>
        <v>Review</v>
      </c>
      <c r="R449" s="179" t="str">
        <f>IFERROR(__xludf.DUMMYFUNCTION("""COMPUTED_VALUE"""),"PAC (00/00) [Pitkänen, 2000];
")</f>
        <v>PAC (00/00) [Pitkänen, 2000];
</v>
      </c>
      <c r="S449" s="179" t="str">
        <f>IFERROR(__xludf.DUMMYFUNCTION("""COMPUTED_VALUE"""),"ILPAC")</f>
        <v>ILPAC</v>
      </c>
      <c r="T449" s="179" t="str">
        <f>IFERROR(__xludf.DUMMYFUNCTION("""COMPUTED_VALUE"""),"[Pitkänen, 2000]")</f>
        <v>[Pitkänen, 2000]</v>
      </c>
      <c r="U449" s="179">
        <f>IFERROR(__xludf.DUMMYFUNCTION("""COMPUTED_VALUE"""),0.0)</f>
        <v>0</v>
      </c>
      <c r="V449" s="180">
        <f>IFERROR(__xludf.DUMMYFUNCTION("""COMPUTED_VALUE"""),0.0)</f>
        <v>0</v>
      </c>
      <c r="W449" s="180">
        <f>IFERROR(__xludf.DUMMYFUNCTION("""COMPUTED_VALUE"""),0.95)</f>
        <v>0.95</v>
      </c>
      <c r="X449" s="42">
        <f>IFERROR(__xludf.DUMMYFUNCTION("""COMPUTED_VALUE"""),0.8)</f>
        <v>0.8</v>
      </c>
      <c r="Y449" s="42">
        <f>IFERROR(__xludf.DUMMYFUNCTION("""COMPUTED_VALUE"""),0.6)</f>
        <v>0.6</v>
      </c>
      <c r="Z449" s="9">
        <f>IFERROR(__xludf.DUMMYFUNCTION("""COMPUTED_VALUE"""),0.9)</f>
        <v>0.9</v>
      </c>
      <c r="AA449" s="181">
        <f>IFERROR(__xludf.DUMMYFUNCTION("""COMPUTED_VALUE"""),0.0)</f>
        <v>0</v>
      </c>
      <c r="AB449" s="181">
        <f>IFERROR(__xludf.DUMMYFUNCTION("""COMPUTED_VALUE"""),0.0)</f>
        <v>0</v>
      </c>
      <c r="AC449" s="179">
        <f>IFERROR(__xludf.DUMMYFUNCTION("""COMPUTED_VALUE"""),0.0)</f>
        <v>0</v>
      </c>
      <c r="AD449" s="165">
        <f>IFERROR(__xludf.DUMMYFUNCTION("""COMPUTED_VALUE"""),0.0)</f>
        <v>0</v>
      </c>
      <c r="AE449" s="39" t="str">
        <f>IFERROR(__xludf.DUMMYFUNCTION("""COMPUTED_VALUE"""),"Tatsuya Miyamoto")</f>
        <v>Tatsuya Miyamoto</v>
      </c>
      <c r="AF449" s="39" t="str">
        <f>IFERROR(__xludf.DUMMYFUNCTION("""COMPUTED_VALUE"""),"TM21Amygdala")</f>
        <v>TM21Amygdala</v>
      </c>
      <c r="AG449" s="39"/>
      <c r="AH449" s="39"/>
      <c r="AI449" s="165"/>
      <c r="AJ449" s="165"/>
      <c r="AK449" s="111"/>
      <c r="AL449" s="111"/>
      <c r="AM449" s="111"/>
      <c r="AN449" s="111"/>
      <c r="AO449" s="111"/>
      <c r="AP449" s="111"/>
      <c r="AQ449" s="116"/>
      <c r="AR449" s="116"/>
      <c r="AS449" s="116"/>
    </row>
    <row r="450">
      <c r="A450" s="42" t="str">
        <f>IFERROR(__xludf.DUMMYFUNCTION("""COMPUTED_VALUE"""),"InP")</f>
        <v>InP</v>
      </c>
      <c r="B450" s="42"/>
      <c r="C450" s="42"/>
      <c r="D450" s="42" t="str">
        <f>IFERROR(__xludf.DUMMYFUNCTION("""COMPUTED_VALUE"""),"RNmc")</f>
        <v>RNmc</v>
      </c>
      <c r="E450" s="42"/>
      <c r="F450" s="42"/>
      <c r="G450" s="42"/>
      <c r="H450" s="42" t="str">
        <f>IFERROR(__xludf.DUMMYFUNCTION("""COMPUTED_VALUE"""),"")</f>
        <v/>
      </c>
      <c r="I450" s="42" t="str">
        <f>IFERROR(__xludf.DUMMYFUNCTION("""COMPUTED_VALUE"""),"Basile, 2021")</f>
        <v>Basile, 2021</v>
      </c>
      <c r="J450" s="42"/>
      <c r="K450" s="42"/>
      <c r="L450" s="42"/>
      <c r="M450" s="42"/>
      <c r="N450" s="42"/>
      <c r="O450" s="31" t="str">
        <f>IFERROR(__xludf.DUMMYFUNCTION("""COMPUTED_VALUE"""),"DOC")</f>
        <v>DOC</v>
      </c>
      <c r="P450" s="9" t="str">
        <f>IFERROR(__xludf.DUMMYFUNCTION("""COMPUTED_VALUE"""),"Brain Structure and Function")</f>
        <v>Brain Structure and Function</v>
      </c>
      <c r="Q450" s="9"/>
      <c r="R450" s="179" t="str">
        <f>IFERROR(__xludf.DUMMYFUNCTION("""COMPUTED_VALUE"""),"RNmc (00/00) [Basile, 2021];
")</f>
        <v>RNmc (00/00) [Basile, 2021];
</v>
      </c>
      <c r="S450" s="179" t="str">
        <f>IFERROR(__xludf.DUMMYFUNCTION("""COMPUTED_VALUE"""),"InPRNmc")</f>
        <v>InPRNmc</v>
      </c>
      <c r="T450" s="179" t="str">
        <f>IFERROR(__xludf.DUMMYFUNCTION("""COMPUTED_VALUE"""),"[Basile, 2021]")</f>
        <v>[Basile, 2021]</v>
      </c>
      <c r="U450" s="179">
        <f>IFERROR(__xludf.DUMMYFUNCTION("""COMPUTED_VALUE"""),0.0)</f>
        <v>0</v>
      </c>
      <c r="V450" s="180">
        <f>IFERROR(__xludf.DUMMYFUNCTION("""COMPUTED_VALUE"""),0.0)</f>
        <v>0</v>
      </c>
      <c r="W450" s="180">
        <f>IFERROR(__xludf.DUMMYFUNCTION("""COMPUTED_VALUE"""),0.95)</f>
        <v>0.95</v>
      </c>
      <c r="X450" s="42">
        <f>IFERROR(__xludf.DUMMYFUNCTION("""COMPUTED_VALUE"""),0.0)</f>
        <v>0</v>
      </c>
      <c r="Y450" s="42">
        <f>IFERROR(__xludf.DUMMYFUNCTION("""COMPUTED_VALUE"""),0.0)</f>
        <v>0</v>
      </c>
      <c r="Z450" s="9">
        <f>IFERROR(__xludf.DUMMYFUNCTION("""COMPUTED_VALUE"""),0.0)</f>
        <v>0</v>
      </c>
      <c r="AA450" s="181">
        <f>IFERROR(__xludf.DUMMYFUNCTION("""COMPUTED_VALUE"""),0.0)</f>
        <v>0</v>
      </c>
      <c r="AB450" s="181">
        <f>IFERROR(__xludf.DUMMYFUNCTION("""COMPUTED_VALUE"""),0.0)</f>
        <v>0</v>
      </c>
      <c r="AC450" s="179">
        <f>IFERROR(__xludf.DUMMYFUNCTION("""COMPUTED_VALUE"""),0.0)</f>
        <v>0</v>
      </c>
      <c r="AD450" s="165">
        <f>IFERROR(__xludf.DUMMYFUNCTION("""COMPUTED_VALUE"""),0.0)</f>
        <v>0</v>
      </c>
      <c r="AE450" s="39" t="str">
        <f>IFERROR(__xludf.DUMMYFUNCTION("""COMPUTED_VALUE"""),"Hiroshi Yamakawa")</f>
        <v>Hiroshi Yamakawa</v>
      </c>
      <c r="AF450" s="39" t="str">
        <f>IFERROR(__xludf.DUMMYFUNCTION("""COMPUTED_VALUE"""),"HY20Cerebellum")</f>
        <v>HY20Cerebellum</v>
      </c>
      <c r="AG450" s="39"/>
      <c r="AH450" s="39"/>
      <c r="AI450" s="165"/>
      <c r="AJ450" s="165"/>
      <c r="AK450" s="111"/>
      <c r="AL450" s="111"/>
      <c r="AM450" s="111"/>
      <c r="AN450" s="111"/>
      <c r="AO450" s="111"/>
      <c r="AP450" s="111"/>
      <c r="AQ450" s="116"/>
      <c r="AR450" s="116"/>
      <c r="AS450" s="116"/>
    </row>
    <row r="451">
      <c r="A451" s="42" t="str">
        <f>IFERROR(__xludf.DUMMYFUNCTION("""COMPUTED_VALUE"""),"InP")</f>
        <v>InP</v>
      </c>
      <c r="B451" s="42"/>
      <c r="C451" s="42"/>
      <c r="D451" s="42" t="str">
        <f>IFERROR(__xludf.DUMMYFUNCTION("""COMPUTED_VALUE"""),"LD")</f>
        <v>LD</v>
      </c>
      <c r="E451" s="42"/>
      <c r="F451" s="42"/>
      <c r="G451" s="42"/>
      <c r="H451" s="42" t="str">
        <f>IFERROR(__xludf.DUMMYFUNCTION("""COMPUTED_VALUE"""),"")</f>
        <v/>
      </c>
      <c r="I451" s="42" t="str">
        <f>IFERROR(__xludf.DUMMYFUNCTION("""COMPUTED_VALUE"""),"Bohne, 2019")</f>
        <v>Bohne, 2019</v>
      </c>
      <c r="J451" s="42"/>
      <c r="K451" s="42"/>
      <c r="L451" s="42"/>
      <c r="M451" s="42"/>
      <c r="N451" s="42"/>
      <c r="O451" s="31" t="str">
        <f>IFERROR(__xludf.DUMMYFUNCTION("""COMPUTED_VALUE"""),"DOC")</f>
        <v>DOC</v>
      </c>
      <c r="P451" s="9" t="str">
        <f>IFERROR(__xludf.DUMMYFUNCTION("""COMPUTED_VALUE"""),"Frontiers in Neural Circuits")</f>
        <v>Frontiers in Neural Circuits</v>
      </c>
      <c r="Q451" s="9"/>
      <c r="R451" s="179" t="str">
        <f>IFERROR(__xludf.DUMMYFUNCTION("""COMPUTED_VALUE"""),"LD (00/00) [Bohne, 2019];
")</f>
        <v>LD (00/00) [Bohne, 2019];
</v>
      </c>
      <c r="S451" s="179" t="str">
        <f>IFERROR(__xludf.DUMMYFUNCTION("""COMPUTED_VALUE"""),"InPLD")</f>
        <v>InPLD</v>
      </c>
      <c r="T451" s="179" t="str">
        <f>IFERROR(__xludf.DUMMYFUNCTION("""COMPUTED_VALUE"""),"[Bohne, 2019]")</f>
        <v>[Bohne, 2019]</v>
      </c>
      <c r="U451" s="179">
        <f>IFERROR(__xludf.DUMMYFUNCTION("""COMPUTED_VALUE"""),0.0)</f>
        <v>0</v>
      </c>
      <c r="V451" s="180">
        <f>IFERROR(__xludf.DUMMYFUNCTION("""COMPUTED_VALUE"""),0.0)</f>
        <v>0</v>
      </c>
      <c r="W451" s="180">
        <f>IFERROR(__xludf.DUMMYFUNCTION("""COMPUTED_VALUE"""),0.95)</f>
        <v>0.95</v>
      </c>
      <c r="X451" s="42">
        <f>IFERROR(__xludf.DUMMYFUNCTION("""COMPUTED_VALUE"""),0.0)</f>
        <v>0</v>
      </c>
      <c r="Y451" s="42">
        <f>IFERROR(__xludf.DUMMYFUNCTION("""COMPUTED_VALUE"""),0.0)</f>
        <v>0</v>
      </c>
      <c r="Z451" s="9">
        <f>IFERROR(__xludf.DUMMYFUNCTION("""COMPUTED_VALUE"""),0.0)</f>
        <v>0</v>
      </c>
      <c r="AA451" s="181">
        <f>IFERROR(__xludf.DUMMYFUNCTION("""COMPUTED_VALUE"""),0.0)</f>
        <v>0</v>
      </c>
      <c r="AB451" s="181">
        <f>IFERROR(__xludf.DUMMYFUNCTION("""COMPUTED_VALUE"""),0.0)</f>
        <v>0</v>
      </c>
      <c r="AC451" s="179">
        <f>IFERROR(__xludf.DUMMYFUNCTION("""COMPUTED_VALUE"""),0.0)</f>
        <v>0</v>
      </c>
      <c r="AD451" s="165">
        <f>IFERROR(__xludf.DUMMYFUNCTION("""COMPUTED_VALUE"""),0.0)</f>
        <v>0</v>
      </c>
      <c r="AE451" s="39" t="str">
        <f>IFERROR(__xludf.DUMMYFUNCTION("""COMPUTED_VALUE"""),"Hiroshi Yamakawa")</f>
        <v>Hiroshi Yamakawa</v>
      </c>
      <c r="AF451" s="39" t="str">
        <f>IFERROR(__xludf.DUMMYFUNCTION("""COMPUTED_VALUE"""),"HY20Cerebellum")</f>
        <v>HY20Cerebellum</v>
      </c>
      <c r="AG451" s="39"/>
      <c r="AH451" s="39"/>
      <c r="AI451" s="165"/>
      <c r="AJ451" s="165"/>
      <c r="AK451" s="111"/>
      <c r="AL451" s="111"/>
      <c r="AM451" s="111"/>
      <c r="AN451" s="111"/>
      <c r="AO451" s="111"/>
      <c r="AP451" s="111"/>
      <c r="AQ451" s="116"/>
      <c r="AR451" s="116"/>
      <c r="AS451" s="116"/>
    </row>
    <row r="452">
      <c r="A452" s="42" t="str">
        <f>IFERROR(__xludf.DUMMYFUNCTION("""COMPUTED_VALUE"""),"InP")</f>
        <v>InP</v>
      </c>
      <c r="B452" s="42"/>
      <c r="C452" s="42"/>
      <c r="D452" s="42" t="str">
        <f>IFERROR(__xludf.DUMMYFUNCTION("""COMPUTED_VALUE"""),"VL")</f>
        <v>VL</v>
      </c>
      <c r="E452" s="42"/>
      <c r="F452" s="42"/>
      <c r="G452" s="42"/>
      <c r="H452" s="42" t="str">
        <f>IFERROR(__xludf.DUMMYFUNCTION("""COMPUTED_VALUE"""),"")</f>
        <v/>
      </c>
      <c r="I452" s="42" t="str">
        <f>IFERROR(__xludf.DUMMYFUNCTION("""COMPUTED_VALUE"""),"Bohne, 2019")</f>
        <v>Bohne, 2019</v>
      </c>
      <c r="J452" s="42"/>
      <c r="K452" s="42"/>
      <c r="L452" s="42"/>
      <c r="M452" s="42"/>
      <c r="N452" s="42"/>
      <c r="O452" s="31" t="str">
        <f>IFERROR(__xludf.DUMMYFUNCTION("""COMPUTED_VALUE"""),"DOC")</f>
        <v>DOC</v>
      </c>
      <c r="P452" s="9" t="str">
        <f>IFERROR(__xludf.DUMMYFUNCTION("""COMPUTED_VALUE"""),"Frontiers in Neural Circuits")</f>
        <v>Frontiers in Neural Circuits</v>
      </c>
      <c r="Q452" s="9"/>
      <c r="R452" s="179" t="str">
        <f>IFERROR(__xludf.DUMMYFUNCTION("""COMPUTED_VALUE"""),"VL (00/00) [Bohne, 2019];
")</f>
        <v>VL (00/00) [Bohne, 2019];
</v>
      </c>
      <c r="S452" s="179" t="str">
        <f>IFERROR(__xludf.DUMMYFUNCTION("""COMPUTED_VALUE"""),"InPVL")</f>
        <v>InPVL</v>
      </c>
      <c r="T452" s="179" t="str">
        <f>IFERROR(__xludf.DUMMYFUNCTION("""COMPUTED_VALUE"""),"[Bohne, 2019]")</f>
        <v>[Bohne, 2019]</v>
      </c>
      <c r="U452" s="179">
        <f>IFERROR(__xludf.DUMMYFUNCTION("""COMPUTED_VALUE"""),0.0)</f>
        <v>0</v>
      </c>
      <c r="V452" s="180">
        <f>IFERROR(__xludf.DUMMYFUNCTION("""COMPUTED_VALUE"""),0.0)</f>
        <v>0</v>
      </c>
      <c r="W452" s="180">
        <f>IFERROR(__xludf.DUMMYFUNCTION("""COMPUTED_VALUE"""),0.95)</f>
        <v>0.95</v>
      </c>
      <c r="X452" s="42">
        <f>IFERROR(__xludf.DUMMYFUNCTION("""COMPUTED_VALUE"""),0.0)</f>
        <v>0</v>
      </c>
      <c r="Y452" s="42">
        <f>IFERROR(__xludf.DUMMYFUNCTION("""COMPUTED_VALUE"""),0.0)</f>
        <v>0</v>
      </c>
      <c r="Z452" s="9">
        <f>IFERROR(__xludf.DUMMYFUNCTION("""COMPUTED_VALUE"""),0.0)</f>
        <v>0</v>
      </c>
      <c r="AA452" s="181">
        <f>IFERROR(__xludf.DUMMYFUNCTION("""COMPUTED_VALUE"""),0.0)</f>
        <v>0</v>
      </c>
      <c r="AB452" s="181">
        <f>IFERROR(__xludf.DUMMYFUNCTION("""COMPUTED_VALUE"""),0.0)</f>
        <v>0</v>
      </c>
      <c r="AC452" s="179">
        <f>IFERROR(__xludf.DUMMYFUNCTION("""COMPUTED_VALUE"""),0.0)</f>
        <v>0</v>
      </c>
      <c r="AD452" s="165">
        <f>IFERROR(__xludf.DUMMYFUNCTION("""COMPUTED_VALUE"""),0.0)</f>
        <v>0</v>
      </c>
      <c r="AE452" s="39" t="str">
        <f>IFERROR(__xludf.DUMMYFUNCTION("""COMPUTED_VALUE"""),"Hiroshi Yamakawa")</f>
        <v>Hiroshi Yamakawa</v>
      </c>
      <c r="AF452" s="39" t="str">
        <f>IFERROR(__xludf.DUMMYFUNCTION("""COMPUTED_VALUE"""),"HY20Cerebellum")</f>
        <v>HY20Cerebellum</v>
      </c>
      <c r="AG452" s="39"/>
      <c r="AH452" s="39"/>
      <c r="AI452" s="165"/>
      <c r="AJ452" s="165"/>
      <c r="AK452" s="111"/>
      <c r="AL452" s="111"/>
      <c r="AM452" s="111"/>
      <c r="AN452" s="111"/>
      <c r="AO452" s="111"/>
      <c r="AP452" s="111"/>
      <c r="AQ452" s="116"/>
      <c r="AR452" s="116"/>
      <c r="AS452" s="116"/>
    </row>
    <row r="453">
      <c r="A453" s="42" t="str">
        <f>IFERROR(__xludf.DUMMYFUNCTION("""COMPUTED_VALUE"""),"InP")</f>
        <v>InP</v>
      </c>
      <c r="B453" s="42"/>
      <c r="C453" s="42"/>
      <c r="D453" s="42" t="str">
        <f>IFERROR(__xludf.DUMMYFUNCTION("""COMPUTED_VALUE"""),"THM")</f>
        <v>THM</v>
      </c>
      <c r="E453" s="42"/>
      <c r="F453" s="42"/>
      <c r="G453" s="42"/>
      <c r="H453" s="42" t="str">
        <f>IFERROR(__xludf.DUMMYFUNCTION("""COMPUTED_VALUE"""),"")</f>
        <v/>
      </c>
      <c r="I453" s="42" t="str">
        <f>IFERROR(__xludf.DUMMYFUNCTION("""COMPUTED_VALUE"""),"Lu, 2012")</f>
        <v>Lu, 2012</v>
      </c>
      <c r="J453" s="42"/>
      <c r="K453" s="42"/>
      <c r="L453" s="42"/>
      <c r="M453" s="42"/>
      <c r="N453" s="42"/>
      <c r="O453" s="31" t="str">
        <f>IFERROR(__xludf.DUMMYFUNCTION("""COMPUTED_VALUE"""),"DOC")</f>
        <v>DOC</v>
      </c>
      <c r="P453" s="9" t="str">
        <f>IFERROR(__xludf.DUMMYFUNCTION("""COMPUTED_VALUE"""),"Proceedings of the National Academy of Sciences")</f>
        <v>Proceedings of the National Academy of Sciences</v>
      </c>
      <c r="Q453" s="9"/>
      <c r="R453" s="179" t="str">
        <f>IFERROR(__xludf.DUMMYFUNCTION("""COMPUTED_VALUE"""),"THM (00/00) [Lu, 2012];
")</f>
        <v>THM (00/00) [Lu, 2012];
</v>
      </c>
      <c r="S453" s="179" t="str">
        <f>IFERROR(__xludf.DUMMYFUNCTION("""COMPUTED_VALUE"""),"InPTHM")</f>
        <v>InPTHM</v>
      </c>
      <c r="T453" s="179" t="str">
        <f>IFERROR(__xludf.DUMMYFUNCTION("""COMPUTED_VALUE"""),"[Lu, 2012]")</f>
        <v>[Lu, 2012]</v>
      </c>
      <c r="U453" s="179">
        <f>IFERROR(__xludf.DUMMYFUNCTION("""COMPUTED_VALUE"""),0.0)</f>
        <v>0</v>
      </c>
      <c r="V453" s="180">
        <f>IFERROR(__xludf.DUMMYFUNCTION("""COMPUTED_VALUE"""),0.0)</f>
        <v>0</v>
      </c>
      <c r="W453" s="180">
        <f>IFERROR(__xludf.DUMMYFUNCTION("""COMPUTED_VALUE"""),0.95)</f>
        <v>0.95</v>
      </c>
      <c r="X453" s="42">
        <f>IFERROR(__xludf.DUMMYFUNCTION("""COMPUTED_VALUE"""),0.0)</f>
        <v>0</v>
      </c>
      <c r="Y453" s="42">
        <f>IFERROR(__xludf.DUMMYFUNCTION("""COMPUTED_VALUE"""),0.0)</f>
        <v>0</v>
      </c>
      <c r="Z453" s="9">
        <f>IFERROR(__xludf.DUMMYFUNCTION("""COMPUTED_VALUE"""),0.0)</f>
        <v>0</v>
      </c>
      <c r="AA453" s="181">
        <f>IFERROR(__xludf.DUMMYFUNCTION("""COMPUTED_VALUE"""),0.0)</f>
        <v>0</v>
      </c>
      <c r="AB453" s="181">
        <f>IFERROR(__xludf.DUMMYFUNCTION("""COMPUTED_VALUE"""),0.0)</f>
        <v>0</v>
      </c>
      <c r="AC453" s="179">
        <f>IFERROR(__xludf.DUMMYFUNCTION("""COMPUTED_VALUE"""),0.0)</f>
        <v>0</v>
      </c>
      <c r="AD453" s="165">
        <f>IFERROR(__xludf.DUMMYFUNCTION("""COMPUTED_VALUE"""),0.0)</f>
        <v>0</v>
      </c>
      <c r="AE453" s="39" t="str">
        <f>IFERROR(__xludf.DUMMYFUNCTION("""COMPUTED_VALUE"""),"Hiroshi Yamakawa")</f>
        <v>Hiroshi Yamakawa</v>
      </c>
      <c r="AF453" s="39" t="str">
        <f>IFERROR(__xludf.DUMMYFUNCTION("""COMPUTED_VALUE"""),"HY20Cerebellum")</f>
        <v>HY20Cerebellum</v>
      </c>
      <c r="AG453" s="39"/>
      <c r="AH453" s="39"/>
      <c r="AI453" s="165"/>
      <c r="AJ453" s="165"/>
      <c r="AK453" s="111"/>
      <c r="AL453" s="111"/>
      <c r="AM453" s="111"/>
      <c r="AN453" s="111"/>
      <c r="AO453" s="111"/>
      <c r="AP453" s="111"/>
      <c r="AQ453" s="116"/>
      <c r="AR453" s="116"/>
      <c r="AS453" s="116"/>
    </row>
    <row r="454">
      <c r="A454" s="42" t="str">
        <f>IFERROR(__xludf.DUMMYFUNCTION("""COMPUTED_VALUE"""),"InPNO")</f>
        <v>InPNO</v>
      </c>
      <c r="B454" s="42"/>
      <c r="C454" s="42"/>
      <c r="D454" s="42" t="str">
        <f>IFERROR(__xludf.DUMMYFUNCTION("""COMPUTED_VALUE"""),"IOInP")</f>
        <v>IOInP</v>
      </c>
      <c r="E454" s="42"/>
      <c r="F454" s="42"/>
      <c r="G454" s="42"/>
      <c r="H454" s="42" t="str">
        <f>IFERROR(__xludf.DUMMYFUNCTION("""COMPUTED_VALUE"""),"")</f>
        <v/>
      </c>
      <c r="I454" s="42" t="str">
        <f>IFERROR(__xludf.DUMMYFUNCTION("""COMPUTED_VALUE"""),"Apps, 2018")</f>
        <v>Apps, 2018</v>
      </c>
      <c r="J454" s="42"/>
      <c r="K454" s="42"/>
      <c r="L454" s="42"/>
      <c r="M454" s="42"/>
      <c r="N454" s="42"/>
      <c r="O454" s="31" t="str">
        <f>IFERROR(__xludf.DUMMYFUNCTION("""COMPUTED_VALUE"""),"DOC")</f>
        <v>DOC</v>
      </c>
      <c r="P454" s="9" t="str">
        <f>IFERROR(__xludf.DUMMYFUNCTION("""COMPUTED_VALUE"""),"The Cerebellum")</f>
        <v>The Cerebellum</v>
      </c>
      <c r="Q454" s="9"/>
      <c r="R454" s="179" t="str">
        <f>IFERROR(__xludf.DUMMYFUNCTION("""COMPUTED_VALUE"""),"IOInP (00/00) [Apps, 2018];
")</f>
        <v>IOInP (00/00) [Apps, 2018];
</v>
      </c>
      <c r="S454" s="179" t="str">
        <f>IFERROR(__xludf.DUMMYFUNCTION("""COMPUTED_VALUE"""),"InPNOIOInP")</f>
        <v>InPNOIOInP</v>
      </c>
      <c r="T454" s="179" t="str">
        <f>IFERROR(__xludf.DUMMYFUNCTION("""COMPUTED_VALUE"""),"[Apps, 2018]")</f>
        <v>[Apps, 2018]</v>
      </c>
      <c r="U454" s="179">
        <f>IFERROR(__xludf.DUMMYFUNCTION("""COMPUTED_VALUE"""),0.0)</f>
        <v>0</v>
      </c>
      <c r="V454" s="180">
        <f>IFERROR(__xludf.DUMMYFUNCTION("""COMPUTED_VALUE"""),0.0)</f>
        <v>0</v>
      </c>
      <c r="W454" s="180">
        <f>IFERROR(__xludf.DUMMYFUNCTION("""COMPUTED_VALUE"""),0.95)</f>
        <v>0.95</v>
      </c>
      <c r="X454" s="42">
        <f>IFERROR(__xludf.DUMMYFUNCTION("""COMPUTED_VALUE"""),0.0)</f>
        <v>0</v>
      </c>
      <c r="Y454" s="42">
        <f>IFERROR(__xludf.DUMMYFUNCTION("""COMPUTED_VALUE"""),0.0)</f>
        <v>0</v>
      </c>
      <c r="Z454" s="9">
        <f>IFERROR(__xludf.DUMMYFUNCTION("""COMPUTED_VALUE"""),0.0)</f>
        <v>0</v>
      </c>
      <c r="AA454" s="181">
        <f>IFERROR(__xludf.DUMMYFUNCTION("""COMPUTED_VALUE"""),0.0)</f>
        <v>0</v>
      </c>
      <c r="AB454" s="181">
        <f>IFERROR(__xludf.DUMMYFUNCTION("""COMPUTED_VALUE"""),0.0)</f>
        <v>0</v>
      </c>
      <c r="AC454" s="179">
        <f>IFERROR(__xludf.DUMMYFUNCTION("""COMPUTED_VALUE"""),0.0)</f>
        <v>0</v>
      </c>
      <c r="AD454" s="165">
        <f>IFERROR(__xludf.DUMMYFUNCTION("""COMPUTED_VALUE"""),0.0)</f>
        <v>0</v>
      </c>
      <c r="AE454" s="39" t="str">
        <f>IFERROR(__xludf.DUMMYFUNCTION("""COMPUTED_VALUE"""),"Hiroshi Yamakawa")</f>
        <v>Hiroshi Yamakawa</v>
      </c>
      <c r="AF454" s="39" t="str">
        <f>IFERROR(__xludf.DUMMYFUNCTION("""COMPUTED_VALUE"""),"HY20Cerebellum")</f>
        <v>HY20Cerebellum</v>
      </c>
      <c r="AG454" s="39"/>
      <c r="AH454" s="39"/>
      <c r="AI454" s="165"/>
      <c r="AJ454" s="165"/>
      <c r="AK454" s="111"/>
      <c r="AL454" s="111"/>
      <c r="AM454" s="111"/>
      <c r="AN454" s="111"/>
      <c r="AO454" s="111"/>
      <c r="AP454" s="111"/>
      <c r="AQ454" s="116"/>
      <c r="AR454" s="116"/>
      <c r="AS454" s="116"/>
    </row>
    <row r="455">
      <c r="A455" s="42" t="str">
        <f>IFERROR(__xludf.DUMMYFUNCTION("""COMPUTED_VALUE"""),"IO")</f>
        <v>IO</v>
      </c>
      <c r="B455" s="42"/>
      <c r="C455" s="42"/>
      <c r="D455" s="42" t="str">
        <f>IFERROR(__xludf.DUMMYFUNCTION("""COMPUTED_VALUE"""),"CBLp")</f>
        <v>CBLp</v>
      </c>
      <c r="E455" s="42"/>
      <c r="F455" s="42"/>
      <c r="G455" s="42"/>
      <c r="H455" s="42" t="str">
        <f>IFERROR(__xludf.DUMMYFUNCTION("""COMPUTED_VALUE"""),"")</f>
        <v/>
      </c>
      <c r="I455" s="42" t="str">
        <f>IFERROR(__xludf.DUMMYFUNCTION("""COMPUTED_VALUE"""),"Basile, 2021")</f>
        <v>Basile, 2021</v>
      </c>
      <c r="J455" s="42"/>
      <c r="K455" s="42"/>
      <c r="L455" s="42"/>
      <c r="M455" s="42"/>
      <c r="N455" s="42"/>
      <c r="O455" s="31" t="str">
        <f>IFERROR(__xludf.DUMMYFUNCTION("""COMPUTED_VALUE"""),"DOC")</f>
        <v>DOC</v>
      </c>
      <c r="P455" s="9" t="str">
        <f>IFERROR(__xludf.DUMMYFUNCTION("""COMPUTED_VALUE"""),"Brain Structure and Function")</f>
        <v>Brain Structure and Function</v>
      </c>
      <c r="Q455" s="9"/>
      <c r="R455" s="179" t="str">
        <f>IFERROR(__xludf.DUMMYFUNCTION("""COMPUTED_VALUE"""),"CBLp (00/00) [Basile, 2021];
")</f>
        <v>CBLp (00/00) [Basile, 2021];
</v>
      </c>
      <c r="S455" s="179" t="str">
        <f>IFERROR(__xludf.DUMMYFUNCTION("""COMPUTED_VALUE"""),"IOCBLp")</f>
        <v>IOCBLp</v>
      </c>
      <c r="T455" s="179" t="str">
        <f>IFERROR(__xludf.DUMMYFUNCTION("""COMPUTED_VALUE"""),"[Basile, 2021]")</f>
        <v>[Basile, 2021]</v>
      </c>
      <c r="U455" s="179">
        <f>IFERROR(__xludf.DUMMYFUNCTION("""COMPUTED_VALUE"""),0.0)</f>
        <v>0</v>
      </c>
      <c r="V455" s="180">
        <f>IFERROR(__xludf.DUMMYFUNCTION("""COMPUTED_VALUE"""),0.0)</f>
        <v>0</v>
      </c>
      <c r="W455" s="180">
        <f>IFERROR(__xludf.DUMMYFUNCTION("""COMPUTED_VALUE"""),0.95)</f>
        <v>0.95</v>
      </c>
      <c r="X455" s="42">
        <f>IFERROR(__xludf.DUMMYFUNCTION("""COMPUTED_VALUE"""),0.0)</f>
        <v>0</v>
      </c>
      <c r="Y455" s="42">
        <f>IFERROR(__xludf.DUMMYFUNCTION("""COMPUTED_VALUE"""),0.0)</f>
        <v>0</v>
      </c>
      <c r="Z455" s="9">
        <f>IFERROR(__xludf.DUMMYFUNCTION("""COMPUTED_VALUE"""),0.0)</f>
        <v>0</v>
      </c>
      <c r="AA455" s="181">
        <f>IFERROR(__xludf.DUMMYFUNCTION("""COMPUTED_VALUE"""),0.0)</f>
        <v>0</v>
      </c>
      <c r="AB455" s="181">
        <f>IFERROR(__xludf.DUMMYFUNCTION("""COMPUTED_VALUE"""),0.0)</f>
        <v>0</v>
      </c>
      <c r="AC455" s="179">
        <f>IFERROR(__xludf.DUMMYFUNCTION("""COMPUTED_VALUE"""),0.0)</f>
        <v>0</v>
      </c>
      <c r="AD455" s="165">
        <f>IFERROR(__xludf.DUMMYFUNCTION("""COMPUTED_VALUE"""),0.0)</f>
        <v>0</v>
      </c>
      <c r="AE455" s="39" t="str">
        <f>IFERROR(__xludf.DUMMYFUNCTION("""COMPUTED_VALUE"""),"Hiroshi Yamakawa")</f>
        <v>Hiroshi Yamakawa</v>
      </c>
      <c r="AF455" s="39" t="str">
        <f>IFERROR(__xludf.DUMMYFUNCTION("""COMPUTED_VALUE"""),"HY20Cerebellum")</f>
        <v>HY20Cerebellum</v>
      </c>
      <c r="AG455" s="39"/>
      <c r="AH455" s="39"/>
      <c r="AI455" s="165"/>
      <c r="AJ455" s="165"/>
      <c r="AK455" s="111"/>
      <c r="AL455" s="111"/>
      <c r="AM455" s="111"/>
      <c r="AN455" s="111"/>
      <c r="AO455" s="111"/>
      <c r="AP455" s="111"/>
      <c r="AQ455" s="116"/>
      <c r="AR455" s="116"/>
      <c r="AS455" s="116"/>
    </row>
    <row r="456">
      <c r="A456" s="42" t="str">
        <f>IFERROR(__xludf.DUMMYFUNCTION("""COMPUTED_VALUE"""),"IO")</f>
        <v>IO</v>
      </c>
      <c r="B456" s="42"/>
      <c r="C456" s="42"/>
      <c r="D456" s="42" t="str">
        <f>IFERROR(__xludf.DUMMYFUNCTION("""COMPUTED_VALUE"""),"DT")</f>
        <v>DT</v>
      </c>
      <c r="E456" s="42"/>
      <c r="F456" s="42"/>
      <c r="G456" s="42"/>
      <c r="H456" s="42" t="str">
        <f>IFERROR(__xludf.DUMMYFUNCTION("""COMPUTED_VALUE"""),"")</f>
        <v/>
      </c>
      <c r="I456" s="42" t="str">
        <f>IFERROR(__xludf.DUMMYFUNCTION("""COMPUTED_VALUE"""),"Basile, 2021")</f>
        <v>Basile, 2021</v>
      </c>
      <c r="J456" s="42"/>
      <c r="K456" s="42"/>
      <c r="L456" s="42"/>
      <c r="M456" s="42"/>
      <c r="N456" s="42"/>
      <c r="O456" s="31" t="str">
        <f>IFERROR(__xludf.DUMMYFUNCTION("""COMPUTED_VALUE"""),"DOC")</f>
        <v>DOC</v>
      </c>
      <c r="P456" s="9" t="str">
        <f>IFERROR(__xludf.DUMMYFUNCTION("""COMPUTED_VALUE"""),"Brain Structure and Function")</f>
        <v>Brain Structure and Function</v>
      </c>
      <c r="Q456" s="9"/>
      <c r="R456" s="179" t="str">
        <f>IFERROR(__xludf.DUMMYFUNCTION("""COMPUTED_VALUE"""),"DT (00/00) [Basile, 2021];
")</f>
        <v>DT (00/00) [Basile, 2021];
</v>
      </c>
      <c r="S456" s="179" t="str">
        <f>IFERROR(__xludf.DUMMYFUNCTION("""COMPUTED_VALUE"""),"IODT")</f>
        <v>IODT</v>
      </c>
      <c r="T456" s="179" t="str">
        <f>IFERROR(__xludf.DUMMYFUNCTION("""COMPUTED_VALUE"""),"[Basile, 2021]")</f>
        <v>[Basile, 2021]</v>
      </c>
      <c r="U456" s="179">
        <f>IFERROR(__xludf.DUMMYFUNCTION("""COMPUTED_VALUE"""),0.0)</f>
        <v>0</v>
      </c>
      <c r="V456" s="180">
        <f>IFERROR(__xludf.DUMMYFUNCTION("""COMPUTED_VALUE"""),0.0)</f>
        <v>0</v>
      </c>
      <c r="W456" s="180">
        <f>IFERROR(__xludf.DUMMYFUNCTION("""COMPUTED_VALUE"""),0.95)</f>
        <v>0.95</v>
      </c>
      <c r="X456" s="42">
        <f>IFERROR(__xludf.DUMMYFUNCTION("""COMPUTED_VALUE"""),0.0)</f>
        <v>0</v>
      </c>
      <c r="Y456" s="42">
        <f>IFERROR(__xludf.DUMMYFUNCTION("""COMPUTED_VALUE"""),0.0)</f>
        <v>0</v>
      </c>
      <c r="Z456" s="9">
        <f>IFERROR(__xludf.DUMMYFUNCTION("""COMPUTED_VALUE"""),0.0)</f>
        <v>0</v>
      </c>
      <c r="AA456" s="181">
        <f>IFERROR(__xludf.DUMMYFUNCTION("""COMPUTED_VALUE"""),0.0)</f>
        <v>0</v>
      </c>
      <c r="AB456" s="181">
        <f>IFERROR(__xludf.DUMMYFUNCTION("""COMPUTED_VALUE"""),0.0)</f>
        <v>0</v>
      </c>
      <c r="AC456" s="179">
        <f>IFERROR(__xludf.DUMMYFUNCTION("""COMPUTED_VALUE"""),0.0)</f>
        <v>0</v>
      </c>
      <c r="AD456" s="165">
        <f>IFERROR(__xludf.DUMMYFUNCTION("""COMPUTED_VALUE"""),0.0)</f>
        <v>0</v>
      </c>
      <c r="AE456" s="39" t="str">
        <f>IFERROR(__xludf.DUMMYFUNCTION("""COMPUTED_VALUE"""),"Hiroshi Yamakawa")</f>
        <v>Hiroshi Yamakawa</v>
      </c>
      <c r="AF456" s="39" t="str">
        <f>IFERROR(__xludf.DUMMYFUNCTION("""COMPUTED_VALUE"""),"HY20Cerebellum")</f>
        <v>HY20Cerebellum</v>
      </c>
      <c r="AG456" s="39"/>
      <c r="AH456" s="39"/>
      <c r="AI456" s="165"/>
      <c r="AJ456" s="165"/>
      <c r="AK456" s="111"/>
      <c r="AL456" s="111"/>
      <c r="AM456" s="111"/>
      <c r="AN456" s="111"/>
      <c r="AO456" s="111"/>
      <c r="AP456" s="111"/>
      <c r="AQ456" s="116"/>
      <c r="AR456" s="116"/>
      <c r="AS456" s="116"/>
    </row>
    <row r="457">
      <c r="A457" s="42" t="str">
        <f>IFERROR(__xludf.DUMMYFUNCTION("""COMPUTED_VALUE"""),"IO")</f>
        <v>IO</v>
      </c>
      <c r="B457" s="42"/>
      <c r="C457" s="42"/>
      <c r="D457" s="42" t="str">
        <f>IFERROR(__xludf.DUMMYFUNCTION("""COMPUTED_VALUE"""),"p")</f>
        <v>p</v>
      </c>
      <c r="E457" s="42"/>
      <c r="F457" s="42"/>
      <c r="G457" s="42"/>
      <c r="H457" s="42" t="str">
        <f>IFERROR(__xludf.DUMMYFUNCTION("""COMPUTED_VALUE"""),"(climbing fibers)")</f>
        <v>(climbing fibers)</v>
      </c>
      <c r="I457" s="42" t="str">
        <f>IFERROR(__xludf.DUMMYFUNCTION("""COMPUTED_VALUE"""),"Wagner, 2020")</f>
        <v>Wagner, 2020</v>
      </c>
      <c r="J457" s="42"/>
      <c r="K457" s="42"/>
      <c r="L457" s="42"/>
      <c r="M457" s="42"/>
      <c r="N457" s="42"/>
      <c r="O457" s="31" t="str">
        <f>IFERROR(__xludf.DUMMYFUNCTION("""COMPUTED_VALUE"""),"DOC")</f>
        <v>DOC</v>
      </c>
      <c r="P457" s="9" t="str">
        <f>IFERROR(__xludf.DUMMYFUNCTION("""COMPUTED_VALUE"""),"Trends in Neurosciences")</f>
        <v>Trends in Neurosciences</v>
      </c>
      <c r="Q457" s="9"/>
      <c r="R457" s="179" t="str">
        <f>IFERROR(__xludf.DUMMYFUNCTION("""COMPUTED_VALUE"""),"p (00/00) [Wagner, 2020](climbing fibers);
")</f>
        <v>p (00/00) [Wagner, 2020](climbing fibers);
</v>
      </c>
      <c r="S457" s="179" t="str">
        <f>IFERROR(__xludf.DUMMYFUNCTION("""COMPUTED_VALUE"""),"IOp")</f>
        <v>IOp</v>
      </c>
      <c r="T457" s="179" t="str">
        <f>IFERROR(__xludf.DUMMYFUNCTION("""COMPUTED_VALUE"""),"[Wagner, 2020]")</f>
        <v>[Wagner, 2020]</v>
      </c>
      <c r="U457" s="179">
        <f>IFERROR(__xludf.DUMMYFUNCTION("""COMPUTED_VALUE"""),0.0)</f>
        <v>0</v>
      </c>
      <c r="V457" s="180">
        <f>IFERROR(__xludf.DUMMYFUNCTION("""COMPUTED_VALUE"""),0.0)</f>
        <v>0</v>
      </c>
      <c r="W457" s="180">
        <f>IFERROR(__xludf.DUMMYFUNCTION("""COMPUTED_VALUE"""),0.95)</f>
        <v>0.95</v>
      </c>
      <c r="X457" s="42">
        <f>IFERROR(__xludf.DUMMYFUNCTION("""COMPUTED_VALUE"""),0.0)</f>
        <v>0</v>
      </c>
      <c r="Y457" s="42">
        <f>IFERROR(__xludf.DUMMYFUNCTION("""COMPUTED_VALUE"""),0.0)</f>
        <v>0</v>
      </c>
      <c r="Z457" s="9">
        <f>IFERROR(__xludf.DUMMYFUNCTION("""COMPUTED_VALUE"""),0.0)</f>
        <v>0</v>
      </c>
      <c r="AA457" s="181">
        <f>IFERROR(__xludf.DUMMYFUNCTION("""COMPUTED_VALUE"""),0.0)</f>
        <v>0</v>
      </c>
      <c r="AB457" s="181">
        <f>IFERROR(__xludf.DUMMYFUNCTION("""COMPUTED_VALUE"""),0.0)</f>
        <v>0</v>
      </c>
      <c r="AC457" s="179">
        <f>IFERROR(__xludf.DUMMYFUNCTION("""COMPUTED_VALUE"""),0.0)</f>
        <v>0</v>
      </c>
      <c r="AD457" s="165">
        <f>IFERROR(__xludf.DUMMYFUNCTION("""COMPUTED_VALUE"""),0.0)</f>
        <v>0</v>
      </c>
      <c r="AE457" s="39" t="str">
        <f>IFERROR(__xludf.DUMMYFUNCTION("""COMPUTED_VALUE"""),"Hiroshi Yamakawa")</f>
        <v>Hiroshi Yamakawa</v>
      </c>
      <c r="AF457" s="39" t="str">
        <f>IFERROR(__xludf.DUMMYFUNCTION("""COMPUTED_VALUE"""),"HY20Cerebellum")</f>
        <v>HY20Cerebellum</v>
      </c>
      <c r="AG457" s="39"/>
      <c r="AH457" s="39"/>
      <c r="AI457" s="165"/>
      <c r="AJ457" s="165"/>
      <c r="AK457" s="111"/>
      <c r="AL457" s="111"/>
      <c r="AM457" s="111"/>
      <c r="AN457" s="111"/>
      <c r="AO457" s="111"/>
      <c r="AP457" s="111"/>
      <c r="AQ457" s="116"/>
      <c r="AR457" s="116"/>
      <c r="AS457" s="116"/>
    </row>
    <row r="458">
      <c r="A458" s="42" t="str">
        <f>IFERROR(__xludf.DUMMYFUNCTION("""COMPUTED_VALUE"""),"IODT")</f>
        <v>IODT</v>
      </c>
      <c r="B458" s="42"/>
      <c r="C458" s="42"/>
      <c r="D458" s="42" t="str">
        <f>IFERROR(__xludf.DUMMYFUNCTION("""COMPUTED_VALUE"""),"CBLp")</f>
        <v>CBLp</v>
      </c>
      <c r="E458" s="42"/>
      <c r="F458" s="42"/>
      <c r="G458" s="42"/>
      <c r="H458" s="42" t="str">
        <f>IFERROR(__xludf.DUMMYFUNCTION("""COMPUTED_VALUE"""),"")</f>
        <v/>
      </c>
      <c r="I458" s="42" t="str">
        <f>IFERROR(__xludf.DUMMYFUNCTION("""COMPUTED_VALUE"""),"Knierim, 2021")</f>
        <v>Knierim, 2021</v>
      </c>
      <c r="J458" s="42"/>
      <c r="K458" s="42"/>
      <c r="L458" s="42"/>
      <c r="M458" s="42"/>
      <c r="N458" s="42"/>
      <c r="O458" s="31" t="str">
        <f>IFERROR(__xludf.DUMMYFUNCTION("""COMPUTED_VALUE"""),"DOC(alt)")</f>
        <v>DOC(alt)</v>
      </c>
      <c r="P458" s="9" t="str">
        <f>IFERROR(__xludf.DUMMYFUNCTION("""COMPUTED_VALUE"""),"Neuroscience Online, an {Open-Access} Neuroscience Electronic Textbook")</f>
        <v>Neuroscience Online, an {Open-Access} Neuroscience Electronic Textbook</v>
      </c>
      <c r="Q458" s="9" t="str">
        <f>IFERROR(__xludf.DUMMYFUNCTION("""COMPUTED_VALUE"""),"Textbook")</f>
        <v>Textbook</v>
      </c>
      <c r="R458" s="179" t="str">
        <f>IFERROR(__xludf.DUMMYFUNCTION("""COMPUTED_VALUE"""),"CBLp (00/00) [Knierim, 2021];
")</f>
        <v>CBLp (00/00) [Knierim, 2021];
</v>
      </c>
      <c r="S458" s="179" t="str">
        <f>IFERROR(__xludf.DUMMYFUNCTION("""COMPUTED_VALUE"""),"IODTCBLp")</f>
        <v>IODTCBLp</v>
      </c>
      <c r="T458" s="179" t="str">
        <f>IFERROR(__xludf.DUMMYFUNCTION("""COMPUTED_VALUE"""),"[Knierim, 2021]")</f>
        <v>[Knierim, 2021]</v>
      </c>
      <c r="U458" s="179">
        <f>IFERROR(__xludf.DUMMYFUNCTION("""COMPUTED_VALUE"""),0.0)</f>
        <v>0</v>
      </c>
      <c r="V458" s="180">
        <f>IFERROR(__xludf.DUMMYFUNCTION("""COMPUTED_VALUE"""),0.0)</f>
        <v>0</v>
      </c>
      <c r="W458" s="180">
        <f>IFERROR(__xludf.DUMMYFUNCTION("""COMPUTED_VALUE"""),0.0)</f>
        <v>0</v>
      </c>
      <c r="X458" s="42">
        <f>IFERROR(__xludf.DUMMYFUNCTION("""COMPUTED_VALUE"""),0.9)</f>
        <v>0.9</v>
      </c>
      <c r="Y458" s="42">
        <f>IFERROR(__xludf.DUMMYFUNCTION("""COMPUTED_VALUE"""),0.0)</f>
        <v>0</v>
      </c>
      <c r="Z458" s="9">
        <f>IFERROR(__xludf.DUMMYFUNCTION("""COMPUTED_VALUE"""),0.0)</f>
        <v>0</v>
      </c>
      <c r="AA458" s="181">
        <f>IFERROR(__xludf.DUMMYFUNCTION("""COMPUTED_VALUE"""),0.0)</f>
        <v>0</v>
      </c>
      <c r="AB458" s="181">
        <f>IFERROR(__xludf.DUMMYFUNCTION("""COMPUTED_VALUE"""),0.0)</f>
        <v>0</v>
      </c>
      <c r="AC458" s="179">
        <f>IFERROR(__xludf.DUMMYFUNCTION("""COMPUTED_VALUE"""),0.0)</f>
        <v>0</v>
      </c>
      <c r="AD458" s="165">
        <f>IFERROR(__xludf.DUMMYFUNCTION("""COMPUTED_VALUE"""),0.0)</f>
        <v>0</v>
      </c>
      <c r="AE458" s="39" t="str">
        <f>IFERROR(__xludf.DUMMYFUNCTION("""COMPUTED_VALUE"""),"Hiroshi Yamakawa")</f>
        <v>Hiroshi Yamakawa</v>
      </c>
      <c r="AF458" s="39" t="str">
        <f>IFERROR(__xludf.DUMMYFUNCTION("""COMPUTED_VALUE"""),"HY20Cerebellum")</f>
        <v>HY20Cerebellum</v>
      </c>
      <c r="AG458" s="39"/>
      <c r="AH458" s="39"/>
      <c r="AI458" s="165"/>
      <c r="AJ458" s="165"/>
      <c r="AK458" s="111"/>
      <c r="AL458" s="111"/>
      <c r="AM458" s="111"/>
      <c r="AN458" s="111"/>
      <c r="AO458" s="111"/>
      <c r="AP458" s="111"/>
      <c r="AQ458" s="116"/>
      <c r="AR458" s="116"/>
      <c r="AS458" s="116"/>
    </row>
    <row r="459">
      <c r="A459" s="42" t="str">
        <f>IFERROR(__xludf.DUMMYFUNCTION("""COMPUTED_VALUE"""),"IODT")</f>
        <v>IODT</v>
      </c>
      <c r="B459" s="42"/>
      <c r="C459" s="42"/>
      <c r="D459" s="42" t="str">
        <f>IFERROR(__xludf.DUMMYFUNCTION("""COMPUTED_VALUE"""),"DT")</f>
        <v>DT</v>
      </c>
      <c r="E459" s="42"/>
      <c r="F459" s="42"/>
      <c r="G459" s="42"/>
      <c r="H459" s="42" t="str">
        <f>IFERROR(__xludf.DUMMYFUNCTION("""COMPUTED_VALUE"""),"")</f>
        <v/>
      </c>
      <c r="I459" s="42" t="str">
        <f>IFERROR(__xludf.DUMMYFUNCTION("""COMPUTED_VALUE"""),"Knierim, 2021")</f>
        <v>Knierim, 2021</v>
      </c>
      <c r="J459" s="42"/>
      <c r="K459" s="42"/>
      <c r="L459" s="42"/>
      <c r="M459" s="42"/>
      <c r="N459" s="42"/>
      <c r="O459" s="31" t="str">
        <f>IFERROR(__xludf.DUMMYFUNCTION("""COMPUTED_VALUE"""),"DOC(alt)")</f>
        <v>DOC(alt)</v>
      </c>
      <c r="P459" s="9" t="str">
        <f>IFERROR(__xludf.DUMMYFUNCTION("""COMPUTED_VALUE"""),"Neuroscience Online, an {Open-Access} Neuroscience Electronic Textbook")</f>
        <v>Neuroscience Online, an {Open-Access} Neuroscience Electronic Textbook</v>
      </c>
      <c r="Q459" s="9" t="str">
        <f>IFERROR(__xludf.DUMMYFUNCTION("""COMPUTED_VALUE"""),"Textbook")</f>
        <v>Textbook</v>
      </c>
      <c r="R459" s="179" t="str">
        <f>IFERROR(__xludf.DUMMYFUNCTION("""COMPUTED_VALUE"""),"DT (00/00) [Knierim, 2021];
")</f>
        <v>DT (00/00) [Knierim, 2021];
</v>
      </c>
      <c r="S459" s="179" t="str">
        <f>IFERROR(__xludf.DUMMYFUNCTION("""COMPUTED_VALUE"""),"IODTDT")</f>
        <v>IODTDT</v>
      </c>
      <c r="T459" s="179" t="str">
        <f>IFERROR(__xludf.DUMMYFUNCTION("""COMPUTED_VALUE"""),"[Knierim, 2021]")</f>
        <v>[Knierim, 2021]</v>
      </c>
      <c r="U459" s="179">
        <f>IFERROR(__xludf.DUMMYFUNCTION("""COMPUTED_VALUE"""),0.0)</f>
        <v>0</v>
      </c>
      <c r="V459" s="180">
        <f>IFERROR(__xludf.DUMMYFUNCTION("""COMPUTED_VALUE"""),0.0)</f>
        <v>0</v>
      </c>
      <c r="W459" s="180">
        <f>IFERROR(__xludf.DUMMYFUNCTION("""COMPUTED_VALUE"""),0.0)</f>
        <v>0</v>
      </c>
      <c r="X459" s="42">
        <f>IFERROR(__xludf.DUMMYFUNCTION("""COMPUTED_VALUE"""),0.9)</f>
        <v>0.9</v>
      </c>
      <c r="Y459" s="42">
        <f>IFERROR(__xludf.DUMMYFUNCTION("""COMPUTED_VALUE"""),0.0)</f>
        <v>0</v>
      </c>
      <c r="Z459" s="9">
        <f>IFERROR(__xludf.DUMMYFUNCTION("""COMPUTED_VALUE"""),0.0)</f>
        <v>0</v>
      </c>
      <c r="AA459" s="181">
        <f>IFERROR(__xludf.DUMMYFUNCTION("""COMPUTED_VALUE"""),0.0)</f>
        <v>0</v>
      </c>
      <c r="AB459" s="181">
        <f>IFERROR(__xludf.DUMMYFUNCTION("""COMPUTED_VALUE"""),0.0)</f>
        <v>0</v>
      </c>
      <c r="AC459" s="179">
        <f>IFERROR(__xludf.DUMMYFUNCTION("""COMPUTED_VALUE"""),0.0)</f>
        <v>0</v>
      </c>
      <c r="AD459" s="165">
        <f>IFERROR(__xludf.DUMMYFUNCTION("""COMPUTED_VALUE"""),0.0)</f>
        <v>0</v>
      </c>
      <c r="AE459" s="39" t="str">
        <f>IFERROR(__xludf.DUMMYFUNCTION("""COMPUTED_VALUE"""),"Hiroshi Yamakawa")</f>
        <v>Hiroshi Yamakawa</v>
      </c>
      <c r="AF459" s="39" t="str">
        <f>IFERROR(__xludf.DUMMYFUNCTION("""COMPUTED_VALUE"""),"HY20Cerebellum")</f>
        <v>HY20Cerebellum</v>
      </c>
      <c r="AG459" s="39"/>
      <c r="AH459" s="39"/>
      <c r="AI459" s="165"/>
      <c r="AJ459" s="165"/>
      <c r="AK459" s="111"/>
      <c r="AL459" s="111"/>
      <c r="AM459" s="111"/>
      <c r="AN459" s="111"/>
      <c r="AO459" s="111"/>
      <c r="AP459" s="111"/>
      <c r="AQ459" s="116"/>
      <c r="AR459" s="116"/>
      <c r="AS459" s="116"/>
    </row>
    <row r="460">
      <c r="A460" s="42" t="str">
        <f>IFERROR(__xludf.DUMMYFUNCTION("""COMPUTED_VALUE"""),"IOFas")</f>
        <v>IOFas</v>
      </c>
      <c r="B460" s="42"/>
      <c r="C460" s="42"/>
      <c r="D460" s="42" t="str">
        <f>IFERROR(__xludf.DUMMYFUNCTION("""COMPUTED_VALUE"""),"CBVp")</f>
        <v>CBVp</v>
      </c>
      <c r="E460" s="42"/>
      <c r="F460" s="42"/>
      <c r="G460" s="42"/>
      <c r="H460" s="42" t="str">
        <f>IFERROR(__xludf.DUMMYFUNCTION("""COMPUTED_VALUE"""),"")</f>
        <v/>
      </c>
      <c r="I460" s="42" t="str">
        <f>IFERROR(__xludf.DUMMYFUNCTION("""COMPUTED_VALUE"""),"Fujita, 2020")</f>
        <v>Fujita, 2020</v>
      </c>
      <c r="J460" s="42"/>
      <c r="K460" s="42"/>
      <c r="L460" s="42"/>
      <c r="M460" s="42"/>
      <c r="N460" s="42"/>
      <c r="O460" s="31" t="str">
        <f>IFERROR(__xludf.DUMMYFUNCTION("""COMPUTED_VALUE"""),"DOC")</f>
        <v>DOC</v>
      </c>
      <c r="P460" s="9" t="str">
        <f>IFERROR(__xludf.DUMMYFUNCTION("""COMPUTED_VALUE"""),"{eLife}")</f>
        <v>{eLife}</v>
      </c>
      <c r="Q460" s="9"/>
      <c r="R460" s="179" t="str">
        <f>IFERROR(__xludf.DUMMYFUNCTION("""COMPUTED_VALUE"""),"CBVp (00/00) [Fujita, 2020];
")</f>
        <v>CBVp (00/00) [Fujita, 2020];
</v>
      </c>
      <c r="S460" s="179" t="str">
        <f>IFERROR(__xludf.DUMMYFUNCTION("""COMPUTED_VALUE"""),"IOFasCBVp")</f>
        <v>IOFasCBVp</v>
      </c>
      <c r="T460" s="179" t="str">
        <f>IFERROR(__xludf.DUMMYFUNCTION("""COMPUTED_VALUE"""),"[Fujita, 2020]")</f>
        <v>[Fujita, 2020]</v>
      </c>
      <c r="U460" s="179">
        <f>IFERROR(__xludf.DUMMYFUNCTION("""COMPUTED_VALUE"""),0.0)</f>
        <v>0</v>
      </c>
      <c r="V460" s="180">
        <f>IFERROR(__xludf.DUMMYFUNCTION("""COMPUTED_VALUE"""),0.0)</f>
        <v>0</v>
      </c>
      <c r="W460" s="180">
        <f>IFERROR(__xludf.DUMMYFUNCTION("""COMPUTED_VALUE"""),0.95)</f>
        <v>0.95</v>
      </c>
      <c r="X460" s="42">
        <f>IFERROR(__xludf.DUMMYFUNCTION("""COMPUTED_VALUE"""),0.0)</f>
        <v>0</v>
      </c>
      <c r="Y460" s="42">
        <f>IFERROR(__xludf.DUMMYFUNCTION("""COMPUTED_VALUE"""),0.0)</f>
        <v>0</v>
      </c>
      <c r="Z460" s="9">
        <f>IFERROR(__xludf.DUMMYFUNCTION("""COMPUTED_VALUE"""),0.0)</f>
        <v>0</v>
      </c>
      <c r="AA460" s="181">
        <f>IFERROR(__xludf.DUMMYFUNCTION("""COMPUTED_VALUE"""),0.0)</f>
        <v>0</v>
      </c>
      <c r="AB460" s="181">
        <f>IFERROR(__xludf.DUMMYFUNCTION("""COMPUTED_VALUE"""),0.0)</f>
        <v>0</v>
      </c>
      <c r="AC460" s="179">
        <f>IFERROR(__xludf.DUMMYFUNCTION("""COMPUTED_VALUE"""),0.0)</f>
        <v>0</v>
      </c>
      <c r="AD460" s="165">
        <f>IFERROR(__xludf.DUMMYFUNCTION("""COMPUTED_VALUE"""),0.0)</f>
        <v>0</v>
      </c>
      <c r="AE460" s="39" t="str">
        <f>IFERROR(__xludf.DUMMYFUNCTION("""COMPUTED_VALUE"""),"Hiroshi Yamakawa")</f>
        <v>Hiroshi Yamakawa</v>
      </c>
      <c r="AF460" s="39" t="str">
        <f>IFERROR(__xludf.DUMMYFUNCTION("""COMPUTED_VALUE"""),"HY20Cerebellum")</f>
        <v>HY20Cerebellum</v>
      </c>
      <c r="AG460" s="39"/>
      <c r="AH460" s="39"/>
      <c r="AI460" s="165"/>
      <c r="AJ460" s="165"/>
      <c r="AK460" s="111"/>
      <c r="AL460" s="111"/>
      <c r="AM460" s="111"/>
      <c r="AN460" s="111"/>
      <c r="AO460" s="111"/>
      <c r="AP460" s="111"/>
      <c r="AQ460" s="116"/>
      <c r="AR460" s="116"/>
      <c r="AS460" s="116"/>
    </row>
    <row r="461">
      <c r="A461" s="42" t="str">
        <f>IFERROR(__xludf.DUMMYFUNCTION("""COMPUTED_VALUE"""),"IOFas")</f>
        <v>IOFas</v>
      </c>
      <c r="B461" s="42"/>
      <c r="C461" s="42"/>
      <c r="D461" s="42" t="str">
        <f>IFERROR(__xludf.DUMMYFUNCTION("""COMPUTED_VALUE"""),"Fas")</f>
        <v>Fas</v>
      </c>
      <c r="E461" s="42"/>
      <c r="F461" s="42"/>
      <c r="G461" s="42"/>
      <c r="H461" s="42" t="str">
        <f>IFERROR(__xludf.DUMMYFUNCTION("""COMPUTED_VALUE"""),"")</f>
        <v/>
      </c>
      <c r="I461" s="42" t="str">
        <f>IFERROR(__xludf.DUMMYFUNCTION("""COMPUTED_VALUE"""),"Fujita, 2020")</f>
        <v>Fujita, 2020</v>
      </c>
      <c r="J461" s="42"/>
      <c r="K461" s="42"/>
      <c r="L461" s="42"/>
      <c r="M461" s="42"/>
      <c r="N461" s="42"/>
      <c r="O461" s="31" t="str">
        <f>IFERROR(__xludf.DUMMYFUNCTION("""COMPUTED_VALUE"""),"DOC")</f>
        <v>DOC</v>
      </c>
      <c r="P461" s="9" t="str">
        <f>IFERROR(__xludf.DUMMYFUNCTION("""COMPUTED_VALUE"""),"{eLife}")</f>
        <v>{eLife}</v>
      </c>
      <c r="Q461" s="9"/>
      <c r="R461" s="179" t="str">
        <f>IFERROR(__xludf.DUMMYFUNCTION("""COMPUTED_VALUE"""),"Fas (00/00) [Fujita, 2020];
")</f>
        <v>Fas (00/00) [Fujita, 2020];
</v>
      </c>
      <c r="S461" s="179" t="str">
        <f>IFERROR(__xludf.DUMMYFUNCTION("""COMPUTED_VALUE"""),"IOFasFas")</f>
        <v>IOFasFas</v>
      </c>
      <c r="T461" s="179" t="str">
        <f>IFERROR(__xludf.DUMMYFUNCTION("""COMPUTED_VALUE"""),"[Fujita, 2020]")</f>
        <v>[Fujita, 2020]</v>
      </c>
      <c r="U461" s="179">
        <f>IFERROR(__xludf.DUMMYFUNCTION("""COMPUTED_VALUE"""),0.0)</f>
        <v>0</v>
      </c>
      <c r="V461" s="180">
        <f>IFERROR(__xludf.DUMMYFUNCTION("""COMPUTED_VALUE"""),0.0)</f>
        <v>0</v>
      </c>
      <c r="W461" s="180">
        <f>IFERROR(__xludf.DUMMYFUNCTION("""COMPUTED_VALUE"""),0.95)</f>
        <v>0.95</v>
      </c>
      <c r="X461" s="42">
        <f>IFERROR(__xludf.DUMMYFUNCTION("""COMPUTED_VALUE"""),0.0)</f>
        <v>0</v>
      </c>
      <c r="Y461" s="42">
        <f>IFERROR(__xludf.DUMMYFUNCTION("""COMPUTED_VALUE"""),0.0)</f>
        <v>0</v>
      </c>
      <c r="Z461" s="9">
        <f>IFERROR(__xludf.DUMMYFUNCTION("""COMPUTED_VALUE"""),0.0)</f>
        <v>0</v>
      </c>
      <c r="AA461" s="181">
        <f>IFERROR(__xludf.DUMMYFUNCTION("""COMPUTED_VALUE"""),0.0)</f>
        <v>0</v>
      </c>
      <c r="AB461" s="181">
        <f>IFERROR(__xludf.DUMMYFUNCTION("""COMPUTED_VALUE"""),0.0)</f>
        <v>0</v>
      </c>
      <c r="AC461" s="179">
        <f>IFERROR(__xludf.DUMMYFUNCTION("""COMPUTED_VALUE"""),0.0)</f>
        <v>0</v>
      </c>
      <c r="AD461" s="165">
        <f>IFERROR(__xludf.DUMMYFUNCTION("""COMPUTED_VALUE"""),0.0)</f>
        <v>0</v>
      </c>
      <c r="AE461" s="39" t="str">
        <f>IFERROR(__xludf.DUMMYFUNCTION("""COMPUTED_VALUE"""),"Hiroshi Yamakawa")</f>
        <v>Hiroshi Yamakawa</v>
      </c>
      <c r="AF461" s="39" t="str">
        <f>IFERROR(__xludf.DUMMYFUNCTION("""COMPUTED_VALUE"""),"HY20Cerebellum")</f>
        <v>HY20Cerebellum</v>
      </c>
      <c r="AG461" s="39"/>
      <c r="AH461" s="39"/>
      <c r="AI461" s="165"/>
      <c r="AJ461" s="165"/>
      <c r="AK461" s="111"/>
      <c r="AL461" s="111"/>
      <c r="AM461" s="111"/>
      <c r="AN461" s="111"/>
      <c r="AO461" s="111"/>
      <c r="AP461" s="111"/>
      <c r="AQ461" s="116"/>
      <c r="AR461" s="116"/>
      <c r="AS461" s="116"/>
    </row>
    <row r="462">
      <c r="A462" s="42" t="str">
        <f>IFERROR(__xludf.DUMMYFUNCTION("""COMPUTED_VALUE"""),"IOInP")</f>
        <v>IOInP</v>
      </c>
      <c r="B462" s="42"/>
      <c r="C462" s="42"/>
      <c r="D462" s="42" t="str">
        <f>IFERROR(__xludf.DUMMYFUNCTION("""COMPUTED_VALUE"""),"CBPVp")</f>
        <v>CBPVp</v>
      </c>
      <c r="E462" s="42"/>
      <c r="F462" s="42"/>
      <c r="G462" s="42"/>
      <c r="H462" s="42" t="str">
        <f>IFERROR(__xludf.DUMMYFUNCTION("""COMPUTED_VALUE"""),"")</f>
        <v/>
      </c>
      <c r="I462" s="42" t="str">
        <f>IFERROR(__xludf.DUMMYFUNCTION("""COMPUTED_VALUE"""),"Knierim, 2021")</f>
        <v>Knierim, 2021</v>
      </c>
      <c r="J462" s="42"/>
      <c r="K462" s="42"/>
      <c r="L462" s="42"/>
      <c r="M462" s="42"/>
      <c r="N462" s="42"/>
      <c r="O462" s="31" t="str">
        <f>IFERROR(__xludf.DUMMYFUNCTION("""COMPUTED_VALUE"""),"DOC(alt)")</f>
        <v>DOC(alt)</v>
      </c>
      <c r="P462" s="9" t="str">
        <f>IFERROR(__xludf.DUMMYFUNCTION("""COMPUTED_VALUE"""),"Neuroscience Online, an {Open-Access} Neuroscience Electronic Textbook")</f>
        <v>Neuroscience Online, an {Open-Access} Neuroscience Electronic Textbook</v>
      </c>
      <c r="Q462" s="9" t="str">
        <f>IFERROR(__xludf.DUMMYFUNCTION("""COMPUTED_VALUE"""),"Textbook")</f>
        <v>Textbook</v>
      </c>
      <c r="R462" s="179" t="str">
        <f>IFERROR(__xludf.DUMMYFUNCTION("""COMPUTED_VALUE"""),"CBPVp (00/00) [Knierim, 2021];
")</f>
        <v>CBPVp (00/00) [Knierim, 2021];
</v>
      </c>
      <c r="S462" s="179" t="str">
        <f>IFERROR(__xludf.DUMMYFUNCTION("""COMPUTED_VALUE"""),"IOInPCBPVp")</f>
        <v>IOInPCBPVp</v>
      </c>
      <c r="T462" s="179" t="str">
        <f>IFERROR(__xludf.DUMMYFUNCTION("""COMPUTED_VALUE"""),"[Knierim, 2021]")</f>
        <v>[Knierim, 2021]</v>
      </c>
      <c r="U462" s="179">
        <f>IFERROR(__xludf.DUMMYFUNCTION("""COMPUTED_VALUE"""),0.0)</f>
        <v>0</v>
      </c>
      <c r="V462" s="180">
        <f>IFERROR(__xludf.DUMMYFUNCTION("""COMPUTED_VALUE"""),0.0)</f>
        <v>0</v>
      </c>
      <c r="W462" s="180">
        <f>IFERROR(__xludf.DUMMYFUNCTION("""COMPUTED_VALUE"""),0.0)</f>
        <v>0</v>
      </c>
      <c r="X462" s="42">
        <f>IFERROR(__xludf.DUMMYFUNCTION("""COMPUTED_VALUE"""),0.9)</f>
        <v>0.9</v>
      </c>
      <c r="Y462" s="42">
        <f>IFERROR(__xludf.DUMMYFUNCTION("""COMPUTED_VALUE"""),0.0)</f>
        <v>0</v>
      </c>
      <c r="Z462" s="9">
        <f>IFERROR(__xludf.DUMMYFUNCTION("""COMPUTED_VALUE"""),0.0)</f>
        <v>0</v>
      </c>
      <c r="AA462" s="181">
        <f>IFERROR(__xludf.DUMMYFUNCTION("""COMPUTED_VALUE"""),0.0)</f>
        <v>0</v>
      </c>
      <c r="AB462" s="181">
        <f>IFERROR(__xludf.DUMMYFUNCTION("""COMPUTED_VALUE"""),0.0)</f>
        <v>0</v>
      </c>
      <c r="AC462" s="179">
        <f>IFERROR(__xludf.DUMMYFUNCTION("""COMPUTED_VALUE"""),0.0)</f>
        <v>0</v>
      </c>
      <c r="AD462" s="165">
        <f>IFERROR(__xludf.DUMMYFUNCTION("""COMPUTED_VALUE"""),0.0)</f>
        <v>0</v>
      </c>
      <c r="AE462" s="39" t="str">
        <f>IFERROR(__xludf.DUMMYFUNCTION("""COMPUTED_VALUE"""),"Hiroshi Yamakawa")</f>
        <v>Hiroshi Yamakawa</v>
      </c>
      <c r="AF462" s="39" t="str">
        <f>IFERROR(__xludf.DUMMYFUNCTION("""COMPUTED_VALUE"""),"HY20Cerebellum")</f>
        <v>HY20Cerebellum</v>
      </c>
      <c r="AG462" s="39"/>
      <c r="AH462" s="39"/>
      <c r="AI462" s="165"/>
      <c r="AJ462" s="165"/>
      <c r="AK462" s="111"/>
      <c r="AL462" s="111"/>
      <c r="AM462" s="111"/>
      <c r="AN462" s="111"/>
      <c r="AO462" s="111"/>
      <c r="AP462" s="111"/>
      <c r="AQ462" s="116"/>
      <c r="AR462" s="116"/>
      <c r="AS462" s="116"/>
    </row>
    <row r="463">
      <c r="A463" s="42" t="str">
        <f>IFERROR(__xludf.DUMMYFUNCTION("""COMPUTED_VALUE"""),"IOInP")</f>
        <v>IOInP</v>
      </c>
      <c r="B463" s="42"/>
      <c r="C463" s="42"/>
      <c r="D463" s="42" t="str">
        <f>IFERROR(__xludf.DUMMYFUNCTION("""COMPUTED_VALUE"""),"InP")</f>
        <v>InP</v>
      </c>
      <c r="E463" s="42"/>
      <c r="F463" s="42"/>
      <c r="G463" s="42"/>
      <c r="H463" s="42" t="str">
        <f>IFERROR(__xludf.DUMMYFUNCTION("""COMPUTED_VALUE"""),"")</f>
        <v/>
      </c>
      <c r="I463" s="42" t="str">
        <f>IFERROR(__xludf.DUMMYFUNCTION("""COMPUTED_VALUE"""),"Knierim, 2021")</f>
        <v>Knierim, 2021</v>
      </c>
      <c r="J463" s="42"/>
      <c r="K463" s="42"/>
      <c r="L463" s="42"/>
      <c r="M463" s="42"/>
      <c r="N463" s="42"/>
      <c r="O463" s="31" t="str">
        <f>IFERROR(__xludf.DUMMYFUNCTION("""COMPUTED_VALUE"""),"DOC(alt)")</f>
        <v>DOC(alt)</v>
      </c>
      <c r="P463" s="9" t="str">
        <f>IFERROR(__xludf.DUMMYFUNCTION("""COMPUTED_VALUE"""),"Neuroscience Online, an {Open-Access} Neuroscience Electronic Textbook")</f>
        <v>Neuroscience Online, an {Open-Access} Neuroscience Electronic Textbook</v>
      </c>
      <c r="Q463" s="9" t="str">
        <f>IFERROR(__xludf.DUMMYFUNCTION("""COMPUTED_VALUE"""),"Textbook")</f>
        <v>Textbook</v>
      </c>
      <c r="R463" s="179" t="str">
        <f>IFERROR(__xludf.DUMMYFUNCTION("""COMPUTED_VALUE"""),"InP (00/00) [Knierim, 2021];
")</f>
        <v>InP (00/00) [Knierim, 2021];
</v>
      </c>
      <c r="S463" s="179" t="str">
        <f>IFERROR(__xludf.DUMMYFUNCTION("""COMPUTED_VALUE"""),"IOInPInP")</f>
        <v>IOInPInP</v>
      </c>
      <c r="T463" s="179" t="str">
        <f>IFERROR(__xludf.DUMMYFUNCTION("""COMPUTED_VALUE"""),"[Knierim, 2021]")</f>
        <v>[Knierim, 2021]</v>
      </c>
      <c r="U463" s="179">
        <f>IFERROR(__xludf.DUMMYFUNCTION("""COMPUTED_VALUE"""),0.0)</f>
        <v>0</v>
      </c>
      <c r="V463" s="180">
        <f>IFERROR(__xludf.DUMMYFUNCTION("""COMPUTED_VALUE"""),0.0)</f>
        <v>0</v>
      </c>
      <c r="W463" s="180">
        <f>IFERROR(__xludf.DUMMYFUNCTION("""COMPUTED_VALUE"""),0.0)</f>
        <v>0</v>
      </c>
      <c r="X463" s="42">
        <f>IFERROR(__xludf.DUMMYFUNCTION("""COMPUTED_VALUE"""),0.9)</f>
        <v>0.9</v>
      </c>
      <c r="Y463" s="42">
        <f>IFERROR(__xludf.DUMMYFUNCTION("""COMPUTED_VALUE"""),0.0)</f>
        <v>0</v>
      </c>
      <c r="Z463" s="9">
        <f>IFERROR(__xludf.DUMMYFUNCTION("""COMPUTED_VALUE"""),0.0)</f>
        <v>0</v>
      </c>
      <c r="AA463" s="181">
        <f>IFERROR(__xludf.DUMMYFUNCTION("""COMPUTED_VALUE"""),0.0)</f>
        <v>0</v>
      </c>
      <c r="AB463" s="181">
        <f>IFERROR(__xludf.DUMMYFUNCTION("""COMPUTED_VALUE"""),0.0)</f>
        <v>0</v>
      </c>
      <c r="AC463" s="179">
        <f>IFERROR(__xludf.DUMMYFUNCTION("""COMPUTED_VALUE"""),0.0)</f>
        <v>0</v>
      </c>
      <c r="AD463" s="165">
        <f>IFERROR(__xludf.DUMMYFUNCTION("""COMPUTED_VALUE"""),0.0)</f>
        <v>0</v>
      </c>
      <c r="AE463" s="39" t="str">
        <f>IFERROR(__xludf.DUMMYFUNCTION("""COMPUTED_VALUE"""),"Hiroshi Yamakawa")</f>
        <v>Hiroshi Yamakawa</v>
      </c>
      <c r="AF463" s="39" t="str">
        <f>IFERROR(__xludf.DUMMYFUNCTION("""COMPUTED_VALUE"""),"HY20Cerebellum")</f>
        <v>HY20Cerebellum</v>
      </c>
      <c r="AG463" s="39"/>
      <c r="AH463" s="39"/>
      <c r="AI463" s="165"/>
      <c r="AJ463" s="165"/>
      <c r="AK463" s="111"/>
      <c r="AL463" s="111"/>
      <c r="AM463" s="111"/>
      <c r="AN463" s="111"/>
      <c r="AO463" s="111"/>
      <c r="AP463" s="111"/>
      <c r="AQ463" s="116"/>
      <c r="AR463" s="116"/>
      <c r="AS463" s="116"/>
    </row>
    <row r="464">
      <c r="A464" s="42" t="str">
        <f>IFERROR(__xludf.DUMMYFUNCTION("""COMPUTED_VALUE"""),"IOVeN")</f>
        <v>IOVeN</v>
      </c>
      <c r="B464" s="42"/>
      <c r="C464" s="42"/>
      <c r="D464" s="42" t="str">
        <f>IFERROR(__xludf.DUMMYFUNCTION("""COMPUTED_VALUE"""),"FNCbp")</f>
        <v>FNCbp</v>
      </c>
      <c r="E464" s="42"/>
      <c r="F464" s="42"/>
      <c r="G464" s="42"/>
      <c r="H464" s="42" t="str">
        <f>IFERROR(__xludf.DUMMYFUNCTION("""COMPUTED_VALUE"""),"")</f>
        <v/>
      </c>
      <c r="I464" s="42" t="str">
        <f>IFERROR(__xludf.DUMMYFUNCTION("""COMPUTED_VALUE"""),"Rondi-Reig, 2014")</f>
        <v>Rondi-Reig, 2014</v>
      </c>
      <c r="J464" s="42"/>
      <c r="K464" s="42"/>
      <c r="L464" s="42"/>
      <c r="M464" s="42"/>
      <c r="N464" s="38"/>
      <c r="O464" s="131" t="str">
        <f>IFERROR(__xludf.DUMMYFUNCTION("""COMPUTED_VALUE"""),"DOC")</f>
        <v>DOC</v>
      </c>
      <c r="P464" s="9" t="str">
        <f>IFERROR(__xludf.DUMMYFUNCTION("""COMPUTED_VALUE"""),"Frontiers in Systems Neuroscience")</f>
        <v>Frontiers in Systems Neuroscience</v>
      </c>
      <c r="Q464" s="9"/>
      <c r="R464" s="179" t="str">
        <f>IFERROR(__xludf.DUMMYFUNCTION("""COMPUTED_VALUE"""),"FNCbp (00/00) [Rondi-Reig, 2014];
")</f>
        <v>FNCbp (00/00) [Rondi-Reig, 2014];
</v>
      </c>
      <c r="S464" s="179" t="str">
        <f>IFERROR(__xludf.DUMMYFUNCTION("""COMPUTED_VALUE"""),"IOVeNFNCbp")</f>
        <v>IOVeNFNCbp</v>
      </c>
      <c r="T464" s="179" t="str">
        <f>IFERROR(__xludf.DUMMYFUNCTION("""COMPUTED_VALUE"""),"[Rondi-Reig, 2014]")</f>
        <v>[Rondi-Reig, 2014]</v>
      </c>
      <c r="U464" s="179">
        <f>IFERROR(__xludf.DUMMYFUNCTION("""COMPUTED_VALUE"""),0.0)</f>
        <v>0</v>
      </c>
      <c r="V464" s="180">
        <f>IFERROR(__xludf.DUMMYFUNCTION("""COMPUTED_VALUE"""),0.0)</f>
        <v>0</v>
      </c>
      <c r="W464" s="180">
        <f>IFERROR(__xludf.DUMMYFUNCTION("""COMPUTED_VALUE"""),0.95)</f>
        <v>0.95</v>
      </c>
      <c r="X464" s="42">
        <f>IFERROR(__xludf.DUMMYFUNCTION("""COMPUTED_VALUE"""),0.0)</f>
        <v>0</v>
      </c>
      <c r="Y464" s="42">
        <f>IFERROR(__xludf.DUMMYFUNCTION("""COMPUTED_VALUE"""),0.0)</f>
        <v>0</v>
      </c>
      <c r="Z464" s="9">
        <f>IFERROR(__xludf.DUMMYFUNCTION("""COMPUTED_VALUE"""),0.0)</f>
        <v>0</v>
      </c>
      <c r="AA464" s="181">
        <f>IFERROR(__xludf.DUMMYFUNCTION("""COMPUTED_VALUE"""),0.0)</f>
        <v>0</v>
      </c>
      <c r="AB464" s="181">
        <f>IFERROR(__xludf.DUMMYFUNCTION("""COMPUTED_VALUE"""),0.0)</f>
        <v>0</v>
      </c>
      <c r="AC464" s="179">
        <f>IFERROR(__xludf.DUMMYFUNCTION("""COMPUTED_VALUE"""),0.0)</f>
        <v>0</v>
      </c>
      <c r="AD464" s="165">
        <f>IFERROR(__xludf.DUMMYFUNCTION("""COMPUTED_VALUE"""),0.0)</f>
        <v>0</v>
      </c>
      <c r="AE464" s="39" t="str">
        <f>IFERROR(__xludf.DUMMYFUNCTION("""COMPUTED_VALUE"""),"Hiroshi Yamakawa")</f>
        <v>Hiroshi Yamakawa</v>
      </c>
      <c r="AF464" s="39" t="str">
        <f>IFERROR(__xludf.DUMMYFUNCTION("""COMPUTED_VALUE"""),"HY20Cerebellum")</f>
        <v>HY20Cerebellum</v>
      </c>
      <c r="AG464" s="39"/>
      <c r="AH464" s="39"/>
      <c r="AI464" s="165"/>
      <c r="AJ464" s="165"/>
      <c r="AK464" s="111"/>
      <c r="AL464" s="111"/>
      <c r="AM464" s="111"/>
      <c r="AN464" s="111"/>
      <c r="AO464" s="111"/>
      <c r="AP464" s="111"/>
      <c r="AQ464" s="116"/>
      <c r="AR464" s="116"/>
      <c r="AS464" s="116"/>
    </row>
    <row r="465">
      <c r="A465" s="42" t="str">
        <f>IFERROR(__xludf.DUMMYFUNCTION("""COMPUTED_VALUE"""),"IsCj")</f>
        <v>IsCj</v>
      </c>
      <c r="B465" s="42"/>
      <c r="C465" s="42"/>
      <c r="D465" s="42" t="str">
        <f>IFERROR(__xludf.DUMMYFUNCTION("""COMPUTED_VALUE"""),"NLOT")</f>
        <v>NLOT</v>
      </c>
      <c r="E465" s="42"/>
      <c r="F465" s="42"/>
      <c r="G465" s="42"/>
      <c r="H465" s="42" t="str">
        <f>IFERROR(__xludf.DUMMYFUNCTION("""COMPUTED_VALUE"""),"")</f>
        <v/>
      </c>
      <c r="I465" s="42" t="str">
        <f>IFERROR(__xludf.DUMMYFUNCTION("""COMPUTED_VALUE"""),"Pitkänen, 2000")</f>
        <v>Pitkänen, 2000</v>
      </c>
      <c r="J465" s="42" t="str">
        <f>IFERROR(__xludf.DUMMYFUNCTION("""COMPUTED_VALUE"""),"Rat")</f>
        <v>Rat</v>
      </c>
      <c r="K465" s="42" t="str">
        <f>IFERROR(__xludf.DUMMYFUNCTION("""COMPUTED_VALUE"""),"Various tracing")</f>
        <v>Various tracing</v>
      </c>
      <c r="L465" s="42"/>
      <c r="M465" s="42" t="str">
        <f>IFERROR(__xludf.DUMMYFUNCTION("""COMPUTED_VALUE"""),"fig.3-fig.12 (to be specified)")</f>
        <v>fig.3-fig.12 (to be specified)</v>
      </c>
      <c r="N465" s="38"/>
      <c r="O465" s="31" t="str">
        <f>IFERROR(__xludf.DUMMYFUNCTION("""COMPUTED_VALUE"""),"DOC(alt)")</f>
        <v>DOC(alt)</v>
      </c>
      <c r="P465" s="9" t="str">
        <f>IFERROR(__xludf.DUMMYFUNCTION("""COMPUTED_VALUE"""),"Folia morphologica")</f>
        <v>Folia morphologica</v>
      </c>
      <c r="Q465" s="9" t="str">
        <f>IFERROR(__xludf.DUMMYFUNCTION("""COMPUTED_VALUE"""),"Review")</f>
        <v>Review</v>
      </c>
      <c r="R465" s="179" t="str">
        <f>IFERROR(__xludf.DUMMYFUNCTION("""COMPUTED_VALUE"""),"NLOT (00/00) [Pitkänen, 2000];
")</f>
        <v>NLOT (00/00) [Pitkänen, 2000];
</v>
      </c>
      <c r="S465" s="179" t="str">
        <f>IFERROR(__xludf.DUMMYFUNCTION("""COMPUTED_VALUE"""),"IsCjNLOT")</f>
        <v>IsCjNLOT</v>
      </c>
      <c r="T465" s="179" t="str">
        <f>IFERROR(__xludf.DUMMYFUNCTION("""COMPUTED_VALUE"""),"[Pitkänen, 2000]")</f>
        <v>[Pitkänen, 2000]</v>
      </c>
      <c r="U465" s="179">
        <f>IFERROR(__xludf.DUMMYFUNCTION("""COMPUTED_VALUE"""),0.0)</f>
        <v>0</v>
      </c>
      <c r="V465" s="180">
        <f>IFERROR(__xludf.DUMMYFUNCTION("""COMPUTED_VALUE"""),0.0)</f>
        <v>0</v>
      </c>
      <c r="W465" s="180">
        <f>IFERROR(__xludf.DUMMYFUNCTION("""COMPUTED_VALUE"""),0.95)</f>
        <v>0.95</v>
      </c>
      <c r="X465" s="42">
        <f>IFERROR(__xludf.DUMMYFUNCTION("""COMPUTED_VALUE"""),0.8)</f>
        <v>0.8</v>
      </c>
      <c r="Y465" s="42">
        <f>IFERROR(__xludf.DUMMYFUNCTION("""COMPUTED_VALUE"""),0.6)</f>
        <v>0.6</v>
      </c>
      <c r="Z465" s="9">
        <f>IFERROR(__xludf.DUMMYFUNCTION("""COMPUTED_VALUE"""),0.9)</f>
        <v>0.9</v>
      </c>
      <c r="AA465" s="181">
        <f>IFERROR(__xludf.DUMMYFUNCTION("""COMPUTED_VALUE"""),0.0)</f>
        <v>0</v>
      </c>
      <c r="AB465" s="181">
        <f>IFERROR(__xludf.DUMMYFUNCTION("""COMPUTED_VALUE"""),0.0)</f>
        <v>0</v>
      </c>
      <c r="AC465" s="179">
        <f>IFERROR(__xludf.DUMMYFUNCTION("""COMPUTED_VALUE"""),0.0)</f>
        <v>0</v>
      </c>
      <c r="AD465" s="165">
        <f>IFERROR(__xludf.DUMMYFUNCTION("""COMPUTED_VALUE"""),0.0)</f>
        <v>0</v>
      </c>
      <c r="AE465" s="39" t="str">
        <f>IFERROR(__xludf.DUMMYFUNCTION("""COMPUTED_VALUE"""),"Tatsuya Miyamoto")</f>
        <v>Tatsuya Miyamoto</v>
      </c>
      <c r="AF465" s="39" t="str">
        <f>IFERROR(__xludf.DUMMYFUNCTION("""COMPUTED_VALUE"""),"TM21Amygdala")</f>
        <v>TM21Amygdala</v>
      </c>
      <c r="AG465" s="39"/>
      <c r="AH465" s="39"/>
      <c r="AI465" s="165"/>
      <c r="AJ465" s="165"/>
      <c r="AK465" s="111"/>
      <c r="AL465" s="111"/>
      <c r="AM465" s="111"/>
      <c r="AN465" s="111"/>
      <c r="AO465" s="111"/>
      <c r="AP465" s="111"/>
      <c r="AQ465" s="116"/>
      <c r="AR465" s="116"/>
      <c r="AS465" s="116"/>
    </row>
    <row r="466">
      <c r="A466" s="42" t="str">
        <f>IFERROR(__xludf.DUMMYFUNCTION("""COMPUTED_VALUE"""),"ISTC")</f>
        <v>ISTC</v>
      </c>
      <c r="B466" s="42"/>
      <c r="C466" s="42"/>
      <c r="D466" s="42" t="str">
        <f>IFERROR(__xludf.DUMMYFUNCTION("""COMPUTED_VALUE"""),"A38")</f>
        <v>A38</v>
      </c>
      <c r="E466" s="42"/>
      <c r="F466" s="42"/>
      <c r="G466" s="42"/>
      <c r="H466" s="42" t="str">
        <f>IFERROR(__xludf.DUMMYFUNCTION("""COMPUTED_VALUE"""),"")</f>
        <v/>
      </c>
      <c r="I466" s="42" t="str">
        <f>IFERROR(__xludf.DUMMYFUNCTION("""COMPUTED_VALUE"""),"Fan, 2016")</f>
        <v>Fan, 2016</v>
      </c>
      <c r="J466" s="42"/>
      <c r="K466" s="42"/>
      <c r="L466" s="42"/>
      <c r="M466" s="42"/>
      <c r="N466" s="38"/>
      <c r="O466" s="31" t="str">
        <f>IFERROR(__xludf.DUMMYFUNCTION("""COMPUTED_VALUE"""),"DOC")</f>
        <v>DOC</v>
      </c>
      <c r="P466" s="9" t="str">
        <f>IFERROR(__xludf.DUMMYFUNCTION("""COMPUTED_VALUE"""),"Cerebral Cortex")</f>
        <v>Cerebral Cortex</v>
      </c>
      <c r="Q466" s="9" t="str">
        <f>IFERROR(__xludf.DUMMYFUNCTION("""COMPUTED_VALUE"""),"Data description")</f>
        <v>Data description</v>
      </c>
      <c r="R466" s="179" t="str">
        <f>IFERROR(__xludf.DUMMYFUNCTION("""COMPUTED_VALUE"""),"A38 (00/00) [Fan, 2016][Markov, 2013];
")</f>
        <v>A38 (00/00) [Fan, 2016][Markov, 2013];
</v>
      </c>
      <c r="S466" s="179" t="str">
        <f>IFERROR(__xludf.DUMMYFUNCTION("""COMPUTED_VALUE"""),"ISTCA38")</f>
        <v>ISTCA38</v>
      </c>
      <c r="T466" s="179" t="str">
        <f>IFERROR(__xludf.DUMMYFUNCTION("""COMPUTED_VALUE"""),"[Fan, 2016]")</f>
        <v>[Fan, 2016]</v>
      </c>
      <c r="U466" s="179">
        <f>IFERROR(__xludf.DUMMYFUNCTION("""COMPUTED_VALUE"""),0.0)</f>
        <v>0</v>
      </c>
      <c r="V466" s="180">
        <f>IFERROR(__xludf.DUMMYFUNCTION("""COMPUTED_VALUE"""),0.0)</f>
        <v>0</v>
      </c>
      <c r="W466" s="180">
        <f>IFERROR(__xludf.DUMMYFUNCTION("""COMPUTED_VALUE"""),0.95)</f>
        <v>0.95</v>
      </c>
      <c r="X466" s="42">
        <f>IFERROR(__xludf.DUMMYFUNCTION("""COMPUTED_VALUE"""),1.0)</f>
        <v>1</v>
      </c>
      <c r="Y466" s="42">
        <f>IFERROR(__xludf.DUMMYFUNCTION("""COMPUTED_VALUE"""),0.0)</f>
        <v>0</v>
      </c>
      <c r="Z466" s="9">
        <f>IFERROR(__xludf.DUMMYFUNCTION("""COMPUTED_VALUE"""),0.0)</f>
        <v>0</v>
      </c>
      <c r="AA466" s="181">
        <f>IFERROR(__xludf.DUMMYFUNCTION("""COMPUTED_VALUE"""),0.0)</f>
        <v>0</v>
      </c>
      <c r="AB466" s="181">
        <f>IFERROR(__xludf.DUMMYFUNCTION("""COMPUTED_VALUE"""),0.0)</f>
        <v>0</v>
      </c>
      <c r="AC466" s="179">
        <f>IFERROR(__xludf.DUMMYFUNCTION("""COMPUTED_VALUE"""),0.0)</f>
        <v>0</v>
      </c>
      <c r="AD466" s="165">
        <f>IFERROR(__xludf.DUMMYFUNCTION("""COMPUTED_VALUE"""),0.0)</f>
        <v>0</v>
      </c>
      <c r="AE466" s="39" t="str">
        <f>IFERROR(__xludf.DUMMYFUNCTION("""COMPUTED_VALUE"""),"Hiroshi Yamakawa")</f>
        <v>Hiroshi Yamakawa</v>
      </c>
      <c r="AF466" s="39" t="str">
        <f>IFERROR(__xludf.DUMMYFUNCTION("""COMPUTED_VALUE"""),"HY22DAA")</f>
        <v>HY22DAA</v>
      </c>
      <c r="AG466" s="39"/>
      <c r="AH466" s="39"/>
      <c r="AI466" s="165"/>
      <c r="AJ466" s="165"/>
      <c r="AK466" s="111"/>
      <c r="AL466" s="111"/>
      <c r="AM466" s="111"/>
      <c r="AN466" s="111"/>
      <c r="AO466" s="111"/>
      <c r="AP466" s="111"/>
      <c r="AQ466" s="116"/>
      <c r="AR466" s="116"/>
      <c r="AS466" s="116"/>
    </row>
    <row r="467">
      <c r="A467" s="42" t="str">
        <f>IFERROR(__xludf.DUMMYFUNCTION("""COMPUTED_VALUE"""),"ISTC")</f>
        <v>ISTC</v>
      </c>
      <c r="B467" s="42"/>
      <c r="C467" s="42"/>
      <c r="D467" s="42" t="str">
        <f>IFERROR(__xludf.DUMMYFUNCTION("""COMPUTED_VALUE"""),"STC")</f>
        <v>STC</v>
      </c>
      <c r="E467" s="42"/>
      <c r="F467" s="42"/>
      <c r="G467" s="42"/>
      <c r="H467" s="42" t="str">
        <f>IFERROR(__xludf.DUMMYFUNCTION("""COMPUTED_VALUE"""),"")</f>
        <v/>
      </c>
      <c r="I467" s="42" t="str">
        <f>IFERROR(__xludf.DUMMYFUNCTION("""COMPUTED_VALUE"""),"Fan, 2016")</f>
        <v>Fan, 2016</v>
      </c>
      <c r="J467" s="42"/>
      <c r="K467" s="42"/>
      <c r="L467" s="42"/>
      <c r="M467" s="42"/>
      <c r="N467" s="38"/>
      <c r="O467" s="31" t="str">
        <f>IFERROR(__xludf.DUMMYFUNCTION("""COMPUTED_VALUE"""),"DOC")</f>
        <v>DOC</v>
      </c>
      <c r="P467" s="9" t="str">
        <f>IFERROR(__xludf.DUMMYFUNCTION("""COMPUTED_VALUE"""),"Cerebral Cortex")</f>
        <v>Cerebral Cortex</v>
      </c>
      <c r="Q467" s="9" t="str">
        <f>IFERROR(__xludf.DUMMYFUNCTION("""COMPUTED_VALUE"""),"Data description")</f>
        <v>Data description</v>
      </c>
      <c r="R467" s="179" t="str">
        <f>IFERROR(__xludf.DUMMYFUNCTION("""COMPUTED_VALUE"""),"STC (00/00) [Fan, 2016];
")</f>
        <v>STC (00/00) [Fan, 2016];
</v>
      </c>
      <c r="S467" s="179" t="str">
        <f>IFERROR(__xludf.DUMMYFUNCTION("""COMPUTED_VALUE"""),"ISTCSTC")</f>
        <v>ISTCSTC</v>
      </c>
      <c r="T467" s="179" t="str">
        <f>IFERROR(__xludf.DUMMYFUNCTION("""COMPUTED_VALUE"""),"[Fan, 2016]")</f>
        <v>[Fan, 2016]</v>
      </c>
      <c r="U467" s="179">
        <f>IFERROR(__xludf.DUMMYFUNCTION("""COMPUTED_VALUE"""),0.0)</f>
        <v>0</v>
      </c>
      <c r="V467" s="180">
        <f>IFERROR(__xludf.DUMMYFUNCTION("""COMPUTED_VALUE"""),0.0)</f>
        <v>0</v>
      </c>
      <c r="W467" s="180">
        <f>IFERROR(__xludf.DUMMYFUNCTION("""COMPUTED_VALUE"""),0.95)</f>
        <v>0.95</v>
      </c>
      <c r="X467" s="42">
        <f>IFERROR(__xludf.DUMMYFUNCTION("""COMPUTED_VALUE"""),1.0)</f>
        <v>1</v>
      </c>
      <c r="Y467" s="42">
        <f>IFERROR(__xludf.DUMMYFUNCTION("""COMPUTED_VALUE"""),0.0)</f>
        <v>0</v>
      </c>
      <c r="Z467" s="9">
        <f>IFERROR(__xludf.DUMMYFUNCTION("""COMPUTED_VALUE"""),0.0)</f>
        <v>0</v>
      </c>
      <c r="AA467" s="181">
        <f>IFERROR(__xludf.DUMMYFUNCTION("""COMPUTED_VALUE"""),0.0)</f>
        <v>0</v>
      </c>
      <c r="AB467" s="181">
        <f>IFERROR(__xludf.DUMMYFUNCTION("""COMPUTED_VALUE"""),0.0)</f>
        <v>0</v>
      </c>
      <c r="AC467" s="179">
        <f>IFERROR(__xludf.DUMMYFUNCTION("""COMPUTED_VALUE"""),0.0)</f>
        <v>0</v>
      </c>
      <c r="AD467" s="165">
        <f>IFERROR(__xludf.DUMMYFUNCTION("""COMPUTED_VALUE"""),0.0)</f>
        <v>0</v>
      </c>
      <c r="AE467" s="39" t="str">
        <f>IFERROR(__xludf.DUMMYFUNCTION("""COMPUTED_VALUE"""),"Hiroshi Yamakawa")</f>
        <v>Hiroshi Yamakawa</v>
      </c>
      <c r="AF467" s="39" t="str">
        <f>IFERROR(__xludf.DUMMYFUNCTION("""COMPUTED_VALUE"""),"HY22DAA")</f>
        <v>HY22DAA</v>
      </c>
      <c r="AG467" s="39"/>
      <c r="AH467" s="39"/>
      <c r="AI467" s="165"/>
      <c r="AJ467" s="165"/>
      <c r="AK467" s="111"/>
      <c r="AL467" s="111"/>
      <c r="AM467" s="111"/>
      <c r="AN467" s="111"/>
      <c r="AO467" s="111"/>
      <c r="AP467" s="111"/>
      <c r="AQ467" s="116"/>
      <c r="AR467" s="116"/>
      <c r="AS467" s="116"/>
    </row>
    <row r="468">
      <c r="A468" s="42" t="str">
        <f>IFERROR(__xludf.DUMMYFUNCTION("""COMPUTED_VALUE"""),"ISTC")</f>
        <v>ISTC</v>
      </c>
      <c r="B468" s="42"/>
      <c r="C468" s="42"/>
      <c r="D468" s="42" t="str">
        <f>IFERROR(__xludf.DUMMYFUNCTION("""COMPUTED_VALUE"""),"ASTC")</f>
        <v>ASTC</v>
      </c>
      <c r="E468" s="42"/>
      <c r="F468" s="42"/>
      <c r="G468" s="42"/>
      <c r="H468" s="42" t="str">
        <f>IFERROR(__xludf.DUMMYFUNCTION("""COMPUTED_VALUE"""),"")</f>
        <v/>
      </c>
      <c r="I468" s="42" t="str">
        <f>IFERROR(__xludf.DUMMYFUNCTION("""COMPUTED_VALUE"""),"Jasmin, 2019")</f>
        <v>Jasmin, 2019</v>
      </c>
      <c r="J468" s="42"/>
      <c r="K468" s="42"/>
      <c r="L468" s="42"/>
      <c r="M468" s="42"/>
      <c r="N468" s="38"/>
      <c r="O468" s="31" t="str">
        <f>IFERROR(__xludf.DUMMYFUNCTION("""COMPUTED_VALUE"""),"DOC")</f>
        <v>DOC</v>
      </c>
      <c r="P468" s="9" t="str">
        <f>IFERROR(__xludf.DUMMYFUNCTION("""COMPUTED_VALUE"""),"Nature Reviews Neuroscience")</f>
        <v>Nature Reviews Neuroscience</v>
      </c>
      <c r="Q468" s="9" t="str">
        <f>IFERROR(__xludf.DUMMYFUNCTION("""COMPUTED_VALUE"""),"Review")</f>
        <v>Review</v>
      </c>
      <c r="R468" s="179" t="str">
        <f>IFERROR(__xludf.DUMMYFUNCTION("""COMPUTED_VALUE"""),"ASTC (00/00) [Jasmin, 2019];
")</f>
        <v>ASTC (00/00) [Jasmin, 2019];
</v>
      </c>
      <c r="S468" s="179" t="str">
        <f>IFERROR(__xludf.DUMMYFUNCTION("""COMPUTED_VALUE"""),"ISTCASTC")</f>
        <v>ISTCASTC</v>
      </c>
      <c r="T468" s="179" t="str">
        <f>IFERROR(__xludf.DUMMYFUNCTION("""COMPUTED_VALUE"""),"[Jasmin, 2019]")</f>
        <v>[Jasmin, 2019]</v>
      </c>
      <c r="U468" s="179">
        <f>IFERROR(__xludf.DUMMYFUNCTION("""COMPUTED_VALUE"""),0.0)</f>
        <v>0</v>
      </c>
      <c r="V468" s="180">
        <f>IFERROR(__xludf.DUMMYFUNCTION("""COMPUTED_VALUE"""),0.0)</f>
        <v>0</v>
      </c>
      <c r="W468" s="180">
        <f>IFERROR(__xludf.DUMMYFUNCTION("""COMPUTED_VALUE"""),0.95)</f>
        <v>0.95</v>
      </c>
      <c r="X468" s="42">
        <f>IFERROR(__xludf.DUMMYFUNCTION("""COMPUTED_VALUE"""),0.8)</f>
        <v>0.8</v>
      </c>
      <c r="Y468" s="42">
        <f>IFERROR(__xludf.DUMMYFUNCTION("""COMPUTED_VALUE"""),0.0)</f>
        <v>0</v>
      </c>
      <c r="Z468" s="9">
        <f>IFERROR(__xludf.DUMMYFUNCTION("""COMPUTED_VALUE"""),0.0)</f>
        <v>0</v>
      </c>
      <c r="AA468" s="181">
        <f>IFERROR(__xludf.DUMMYFUNCTION("""COMPUTED_VALUE"""),0.0)</f>
        <v>0</v>
      </c>
      <c r="AB468" s="181">
        <f>IFERROR(__xludf.DUMMYFUNCTION("""COMPUTED_VALUE"""),0.0)</f>
        <v>0</v>
      </c>
      <c r="AC468" s="179">
        <f>IFERROR(__xludf.DUMMYFUNCTION("""COMPUTED_VALUE"""),0.0)</f>
        <v>0</v>
      </c>
      <c r="AD468" s="165">
        <f>IFERROR(__xludf.DUMMYFUNCTION("""COMPUTED_VALUE"""),0.0)</f>
        <v>0</v>
      </c>
      <c r="AE468" s="39" t="str">
        <f>IFERROR(__xludf.DUMMYFUNCTION("""COMPUTED_VALUE"""),"Hiroshi Yamakawa")</f>
        <v>Hiroshi Yamakawa</v>
      </c>
      <c r="AF468" s="39" t="str">
        <f>IFERROR(__xludf.DUMMYFUNCTION("""COMPUTED_VALUE"""),"HY22DAA")</f>
        <v>HY22DAA</v>
      </c>
      <c r="AG468" s="39"/>
      <c r="AH468" s="39"/>
      <c r="AI468" s="165"/>
      <c r="AJ468" s="165"/>
      <c r="AK468" s="111"/>
      <c r="AL468" s="111"/>
      <c r="AM468" s="111"/>
      <c r="AN468" s="111"/>
      <c r="AO468" s="111"/>
      <c r="AP468" s="111"/>
      <c r="AQ468" s="116"/>
      <c r="AR468" s="116"/>
      <c r="AS468" s="116"/>
    </row>
    <row r="469">
      <c r="A469" s="42" t="str">
        <f>IFERROR(__xludf.DUMMYFUNCTION("""COMPUTED_VALUE"""),"ISTC")</f>
        <v>ISTC</v>
      </c>
      <c r="B469" s="42"/>
      <c r="C469" s="42"/>
      <c r="D469" s="42" t="str">
        <f>IFERROR(__xludf.DUMMYFUNCTION("""COMPUTED_VALUE"""),"AuR")</f>
        <v>AuR</v>
      </c>
      <c r="E469" s="42"/>
      <c r="F469" s="42"/>
      <c r="G469" s="42"/>
      <c r="H469" s="42" t="str">
        <f>IFERROR(__xludf.DUMMYFUNCTION("""COMPUTED_VALUE"""),"")</f>
        <v/>
      </c>
      <c r="I469" s="42" t="str">
        <f>IFERROR(__xludf.DUMMYFUNCTION("""COMPUTED_VALUE"""),"Jasmin, 2019")</f>
        <v>Jasmin, 2019</v>
      </c>
      <c r="J469" s="42"/>
      <c r="K469" s="42"/>
      <c r="L469" s="42"/>
      <c r="M469" s="42"/>
      <c r="N469" s="38"/>
      <c r="O469" s="31" t="str">
        <f>IFERROR(__xludf.DUMMYFUNCTION("""COMPUTED_VALUE"""),"DOC")</f>
        <v>DOC</v>
      </c>
      <c r="P469" s="9" t="str">
        <f>IFERROR(__xludf.DUMMYFUNCTION("""COMPUTED_VALUE"""),"Nature Reviews Neuroscience")</f>
        <v>Nature Reviews Neuroscience</v>
      </c>
      <c r="Q469" s="9" t="str">
        <f>IFERROR(__xludf.DUMMYFUNCTION("""COMPUTED_VALUE"""),"Review")</f>
        <v>Review</v>
      </c>
      <c r="R469" s="179" t="str">
        <f>IFERROR(__xludf.DUMMYFUNCTION("""COMPUTED_VALUE"""),"AuR (00/00) [Jasmin, 2019];
")</f>
        <v>AuR (00/00) [Jasmin, 2019];
</v>
      </c>
      <c r="S469" s="179" t="str">
        <f>IFERROR(__xludf.DUMMYFUNCTION("""COMPUTED_VALUE"""),"ISTCAuR")</f>
        <v>ISTCAuR</v>
      </c>
      <c r="T469" s="179" t="str">
        <f>IFERROR(__xludf.DUMMYFUNCTION("""COMPUTED_VALUE"""),"[Jasmin, 2019]")</f>
        <v>[Jasmin, 2019]</v>
      </c>
      <c r="U469" s="179">
        <f>IFERROR(__xludf.DUMMYFUNCTION("""COMPUTED_VALUE"""),0.0)</f>
        <v>0</v>
      </c>
      <c r="V469" s="180">
        <f>IFERROR(__xludf.DUMMYFUNCTION("""COMPUTED_VALUE"""),0.0)</f>
        <v>0</v>
      </c>
      <c r="W469" s="180">
        <f>IFERROR(__xludf.DUMMYFUNCTION("""COMPUTED_VALUE"""),0.95)</f>
        <v>0.95</v>
      </c>
      <c r="X469" s="42">
        <f>IFERROR(__xludf.DUMMYFUNCTION("""COMPUTED_VALUE"""),0.8)</f>
        <v>0.8</v>
      </c>
      <c r="Y469" s="42">
        <f>IFERROR(__xludf.DUMMYFUNCTION("""COMPUTED_VALUE"""),0.0)</f>
        <v>0</v>
      </c>
      <c r="Z469" s="9">
        <f>IFERROR(__xludf.DUMMYFUNCTION("""COMPUTED_VALUE"""),0.0)</f>
        <v>0</v>
      </c>
      <c r="AA469" s="181">
        <f>IFERROR(__xludf.DUMMYFUNCTION("""COMPUTED_VALUE"""),0.0)</f>
        <v>0</v>
      </c>
      <c r="AB469" s="181">
        <f>IFERROR(__xludf.DUMMYFUNCTION("""COMPUTED_VALUE"""),0.0)</f>
        <v>0</v>
      </c>
      <c r="AC469" s="179">
        <f>IFERROR(__xludf.DUMMYFUNCTION("""COMPUTED_VALUE"""),0.0)</f>
        <v>0</v>
      </c>
      <c r="AD469" s="165">
        <f>IFERROR(__xludf.DUMMYFUNCTION("""COMPUTED_VALUE"""),0.0)</f>
        <v>0</v>
      </c>
      <c r="AE469" s="39" t="str">
        <f>IFERROR(__xludf.DUMMYFUNCTION("""COMPUTED_VALUE"""),"Hiroshi Yamakawa")</f>
        <v>Hiroshi Yamakawa</v>
      </c>
      <c r="AF469" s="39" t="str">
        <f>IFERROR(__xludf.DUMMYFUNCTION("""COMPUTED_VALUE"""),"HY22DAA")</f>
        <v>HY22DAA</v>
      </c>
      <c r="AG469" s="39"/>
      <c r="AH469" s="39"/>
      <c r="AI469" s="165"/>
      <c r="AJ469" s="165"/>
      <c r="AK469" s="111"/>
      <c r="AL469" s="111"/>
      <c r="AM469" s="111"/>
      <c r="AN469" s="111"/>
      <c r="AO469" s="111"/>
      <c r="AP469" s="111"/>
      <c r="AQ469" s="116"/>
      <c r="AR469" s="116"/>
      <c r="AS469" s="116"/>
    </row>
    <row r="470">
      <c r="A470" s="42" t="str">
        <f>IFERROR(__xludf.DUMMYFUNCTION("""COMPUTED_VALUE"""),"ISTC")</f>
        <v>ISTC</v>
      </c>
      <c r="B470" s="42"/>
      <c r="C470" s="42"/>
      <c r="D470" s="42" t="str">
        <f>IFERROR(__xludf.DUMMYFUNCTION("""COMPUTED_VALUE"""),"A38")</f>
        <v>A38</v>
      </c>
      <c r="E470" s="42"/>
      <c r="F470" s="42"/>
      <c r="G470" s="42"/>
      <c r="H470" s="42" t="str">
        <f>IFERROR(__xludf.DUMMYFUNCTION("""COMPUTED_VALUE"""),"")</f>
        <v/>
      </c>
      <c r="I470" s="42" t="str">
        <f>IFERROR(__xludf.DUMMYFUNCTION("""COMPUTED_VALUE"""),"Markov, 2013")</f>
        <v>Markov, 2013</v>
      </c>
      <c r="J470" s="42"/>
      <c r="K470" s="42"/>
      <c r="L470" s="42"/>
      <c r="M470" s="42"/>
      <c r="N470" s="38"/>
      <c r="O470" s="31" t="str">
        <f>IFERROR(__xludf.DUMMYFUNCTION("""COMPUTED_VALUE"""),"DOC")</f>
        <v>DOC</v>
      </c>
      <c r="P470" s="9" t="str">
        <f>IFERROR(__xludf.DUMMYFUNCTION("""COMPUTED_VALUE"""),"Journal of Comparative Neurology")</f>
        <v>Journal of Comparative Neurology</v>
      </c>
      <c r="Q470" s="9" t="str">
        <f>IFERROR(__xludf.DUMMYFUNCTION("""COMPUTED_VALUE"""),"Review")</f>
        <v>Review</v>
      </c>
      <c r="R470" s="179" t="str">
        <f>IFERROR(__xludf.DUMMYFUNCTION("""COMPUTED_VALUE"""),"A38 (00/00) [Fan, 2016][Markov, 2013];
")</f>
        <v>A38 (00/00) [Fan, 2016][Markov, 2013];
</v>
      </c>
      <c r="S470" s="179" t="str">
        <f>IFERROR(__xludf.DUMMYFUNCTION("""COMPUTED_VALUE"""),"ISTCA38")</f>
        <v>ISTCA38</v>
      </c>
      <c r="T470" s="179" t="str">
        <f>IFERROR(__xludf.DUMMYFUNCTION("""COMPUTED_VALUE"""),"[Markov, 2013]")</f>
        <v>[Markov, 2013]</v>
      </c>
      <c r="U470" s="179">
        <f>IFERROR(__xludf.DUMMYFUNCTION("""COMPUTED_VALUE"""),0.0)</f>
        <v>0</v>
      </c>
      <c r="V470" s="180">
        <f>IFERROR(__xludf.DUMMYFUNCTION("""COMPUTED_VALUE"""),0.0)</f>
        <v>0</v>
      </c>
      <c r="W470" s="180">
        <f>IFERROR(__xludf.DUMMYFUNCTION("""COMPUTED_VALUE"""),0.95)</f>
        <v>0.95</v>
      </c>
      <c r="X470" s="42">
        <f>IFERROR(__xludf.DUMMYFUNCTION("""COMPUTED_VALUE"""),0.8)</f>
        <v>0.8</v>
      </c>
      <c r="Y470" s="42">
        <f>IFERROR(__xludf.DUMMYFUNCTION("""COMPUTED_VALUE"""),0.0)</f>
        <v>0</v>
      </c>
      <c r="Z470" s="9">
        <f>IFERROR(__xludf.DUMMYFUNCTION("""COMPUTED_VALUE"""),0.0)</f>
        <v>0</v>
      </c>
      <c r="AA470" s="181">
        <f>IFERROR(__xludf.DUMMYFUNCTION("""COMPUTED_VALUE"""),0.0)</f>
        <v>0</v>
      </c>
      <c r="AB470" s="181">
        <f>IFERROR(__xludf.DUMMYFUNCTION("""COMPUTED_VALUE"""),0.0)</f>
        <v>0</v>
      </c>
      <c r="AC470" s="179">
        <f>IFERROR(__xludf.DUMMYFUNCTION("""COMPUTED_VALUE"""),0.0)</f>
        <v>0</v>
      </c>
      <c r="AD470" s="165">
        <f>IFERROR(__xludf.DUMMYFUNCTION("""COMPUTED_VALUE"""),0.0)</f>
        <v>0</v>
      </c>
      <c r="AE470" s="39" t="str">
        <f>IFERROR(__xludf.DUMMYFUNCTION("""COMPUTED_VALUE"""),"Hiroshi Yamakawa")</f>
        <v>Hiroshi Yamakawa</v>
      </c>
      <c r="AF470" s="39" t="str">
        <f>IFERROR(__xludf.DUMMYFUNCTION("""COMPUTED_VALUE"""),"HY22DAA")</f>
        <v>HY22DAA</v>
      </c>
      <c r="AG470" s="39"/>
      <c r="AH470" s="39"/>
      <c r="AI470" s="165"/>
      <c r="AJ470" s="165"/>
      <c r="AK470" s="111"/>
      <c r="AL470" s="111"/>
      <c r="AM470" s="111"/>
      <c r="AN470" s="111"/>
      <c r="AO470" s="111"/>
      <c r="AP470" s="111"/>
      <c r="AQ470" s="116"/>
      <c r="AR470" s="116"/>
      <c r="AS470" s="116"/>
    </row>
    <row r="471">
      <c r="A471" s="42" t="str">
        <f>IFERROR(__xludf.DUMMYFUNCTION("""COMPUTED_VALUE"""),"ISTC")</f>
        <v>ISTC</v>
      </c>
      <c r="B471" s="42"/>
      <c r="C471" s="42"/>
      <c r="D471" s="42" t="str">
        <f>IFERROR(__xludf.DUMMYFUNCTION("""COMPUTED_VALUE"""),"AuAL")</f>
        <v>AuAL</v>
      </c>
      <c r="E471" s="42"/>
      <c r="F471" s="42"/>
      <c r="G471" s="42"/>
      <c r="H471" s="42" t="str">
        <f>IFERROR(__xludf.DUMMYFUNCTION("""COMPUTED_VALUE"""),"")</f>
        <v/>
      </c>
      <c r="I471" s="42" t="str">
        <f>IFERROR(__xludf.DUMMYFUNCTION("""COMPUTED_VALUE"""),"Romanski, 2009")</f>
        <v>Romanski, 2009</v>
      </c>
      <c r="J471" s="42"/>
      <c r="K471" s="42"/>
      <c r="L471" s="42"/>
      <c r="M471" s="42"/>
      <c r="N471" s="38"/>
      <c r="O471" s="31" t="str">
        <f>IFERROR(__xludf.DUMMYFUNCTION("""COMPUTED_VALUE"""),"DOC")</f>
        <v>DOC</v>
      </c>
      <c r="P471" s="9" t="str">
        <f>IFERROR(__xludf.DUMMYFUNCTION("""COMPUTED_VALUE"""),"Annual Review of Neuroscience")</f>
        <v>Annual Review of Neuroscience</v>
      </c>
      <c r="Q471" s="9"/>
      <c r="R471" s="179" t="str">
        <f>IFERROR(__xludf.DUMMYFUNCTION("""COMPUTED_VALUE"""),"AuAL (00/00) [Romanski, 2009];
")</f>
        <v>AuAL (00/00) [Romanski, 2009];
</v>
      </c>
      <c r="S471" s="179" t="str">
        <f>IFERROR(__xludf.DUMMYFUNCTION("""COMPUTED_VALUE"""),"ISTCAuAL")</f>
        <v>ISTCAuAL</v>
      </c>
      <c r="T471" s="179" t="str">
        <f>IFERROR(__xludf.DUMMYFUNCTION("""COMPUTED_VALUE"""),"[Romanski, 2009]")</f>
        <v>[Romanski, 2009]</v>
      </c>
      <c r="U471" s="179">
        <f>IFERROR(__xludf.DUMMYFUNCTION("""COMPUTED_VALUE"""),0.0)</f>
        <v>0</v>
      </c>
      <c r="V471" s="180">
        <f>IFERROR(__xludf.DUMMYFUNCTION("""COMPUTED_VALUE"""),0.0)</f>
        <v>0</v>
      </c>
      <c r="W471" s="180">
        <f>IFERROR(__xludf.DUMMYFUNCTION("""COMPUTED_VALUE"""),0.95)</f>
        <v>0.95</v>
      </c>
      <c r="X471" s="42">
        <f>IFERROR(__xludf.DUMMYFUNCTION("""COMPUTED_VALUE"""),0.0)</f>
        <v>0</v>
      </c>
      <c r="Y471" s="42">
        <f>IFERROR(__xludf.DUMMYFUNCTION("""COMPUTED_VALUE"""),0.0)</f>
        <v>0</v>
      </c>
      <c r="Z471" s="9">
        <f>IFERROR(__xludf.DUMMYFUNCTION("""COMPUTED_VALUE"""),0.0)</f>
        <v>0</v>
      </c>
      <c r="AA471" s="181">
        <f>IFERROR(__xludf.DUMMYFUNCTION("""COMPUTED_VALUE"""),0.0)</f>
        <v>0</v>
      </c>
      <c r="AB471" s="181">
        <f>IFERROR(__xludf.DUMMYFUNCTION("""COMPUTED_VALUE"""),0.0)</f>
        <v>0</v>
      </c>
      <c r="AC471" s="179">
        <f>IFERROR(__xludf.DUMMYFUNCTION("""COMPUTED_VALUE"""),0.0)</f>
        <v>0</v>
      </c>
      <c r="AD471" s="165">
        <f>IFERROR(__xludf.DUMMYFUNCTION("""COMPUTED_VALUE"""),0.0)</f>
        <v>0</v>
      </c>
      <c r="AE471" s="39" t="str">
        <f>IFERROR(__xludf.DUMMYFUNCTION("""COMPUTED_VALUE"""),"Hiroshi Yamakawa")</f>
        <v>Hiroshi Yamakawa</v>
      </c>
      <c r="AF471" s="39" t="str">
        <f>IFERROR(__xludf.DUMMYFUNCTION("""COMPUTED_VALUE"""),"HY22DAA")</f>
        <v>HY22DAA</v>
      </c>
      <c r="AG471" s="39"/>
      <c r="AH471" s="39"/>
      <c r="AI471" s="165"/>
      <c r="AJ471" s="165"/>
      <c r="AK471" s="111"/>
      <c r="AL471" s="111"/>
      <c r="AM471" s="111"/>
      <c r="AN471" s="111"/>
      <c r="AO471" s="111"/>
      <c r="AP471" s="111"/>
      <c r="AQ471" s="116"/>
      <c r="AR471" s="116"/>
      <c r="AS471" s="116"/>
    </row>
    <row r="472">
      <c r="A472" s="42" t="str">
        <f>IFERROR(__xludf.DUMMYFUNCTION("""COMPUTED_VALUE"""),"ISTC")</f>
        <v>ISTC</v>
      </c>
      <c r="B472" s="42"/>
      <c r="C472" s="42"/>
      <c r="D472" s="42" t="str">
        <f>IFERROR(__xludf.DUMMYFUNCTION("""COMPUTED_VALUE"""),"AuRM")</f>
        <v>AuRM</v>
      </c>
      <c r="E472" s="42"/>
      <c r="F472" s="42"/>
      <c r="G472" s="42"/>
      <c r="H472" s="42" t="str">
        <f>IFERROR(__xludf.DUMMYFUNCTION("""COMPUTED_VALUE"""),"")</f>
        <v/>
      </c>
      <c r="I472" s="42" t="str">
        <f>IFERROR(__xludf.DUMMYFUNCTION("""COMPUTED_VALUE"""),"Romanski, 2009")</f>
        <v>Romanski, 2009</v>
      </c>
      <c r="J472" s="42"/>
      <c r="K472" s="42"/>
      <c r="L472" s="42"/>
      <c r="M472" s="42"/>
      <c r="N472" s="38"/>
      <c r="O472" s="31" t="str">
        <f>IFERROR(__xludf.DUMMYFUNCTION("""COMPUTED_VALUE"""),"DOC")</f>
        <v>DOC</v>
      </c>
      <c r="P472" s="9" t="str">
        <f>IFERROR(__xludf.DUMMYFUNCTION("""COMPUTED_VALUE"""),"Annual Review of Neuroscience")</f>
        <v>Annual Review of Neuroscience</v>
      </c>
      <c r="Q472" s="9"/>
      <c r="R472" s="179" t="str">
        <f>IFERROR(__xludf.DUMMYFUNCTION("""COMPUTED_VALUE"""),"AuRM (00/00) [Romanski, 2009];
")</f>
        <v>AuRM (00/00) [Romanski, 2009];
</v>
      </c>
      <c r="S472" s="179" t="str">
        <f>IFERROR(__xludf.DUMMYFUNCTION("""COMPUTED_VALUE"""),"ISTCAuRM")</f>
        <v>ISTCAuRM</v>
      </c>
      <c r="T472" s="179" t="str">
        <f>IFERROR(__xludf.DUMMYFUNCTION("""COMPUTED_VALUE"""),"[Romanski, 2009]")</f>
        <v>[Romanski, 2009]</v>
      </c>
      <c r="U472" s="179">
        <f>IFERROR(__xludf.DUMMYFUNCTION("""COMPUTED_VALUE"""),0.0)</f>
        <v>0</v>
      </c>
      <c r="V472" s="180">
        <f>IFERROR(__xludf.DUMMYFUNCTION("""COMPUTED_VALUE"""),0.0)</f>
        <v>0</v>
      </c>
      <c r="W472" s="180">
        <f>IFERROR(__xludf.DUMMYFUNCTION("""COMPUTED_VALUE"""),0.95)</f>
        <v>0.95</v>
      </c>
      <c r="X472" s="42">
        <f>IFERROR(__xludf.DUMMYFUNCTION("""COMPUTED_VALUE"""),0.0)</f>
        <v>0</v>
      </c>
      <c r="Y472" s="42">
        <f>IFERROR(__xludf.DUMMYFUNCTION("""COMPUTED_VALUE"""),0.0)</f>
        <v>0</v>
      </c>
      <c r="Z472" s="9">
        <f>IFERROR(__xludf.DUMMYFUNCTION("""COMPUTED_VALUE"""),0.0)</f>
        <v>0</v>
      </c>
      <c r="AA472" s="181">
        <f>IFERROR(__xludf.DUMMYFUNCTION("""COMPUTED_VALUE"""),0.0)</f>
        <v>0</v>
      </c>
      <c r="AB472" s="181">
        <f>IFERROR(__xludf.DUMMYFUNCTION("""COMPUTED_VALUE"""),0.0)</f>
        <v>0</v>
      </c>
      <c r="AC472" s="179">
        <f>IFERROR(__xludf.DUMMYFUNCTION("""COMPUTED_VALUE"""),0.0)</f>
        <v>0</v>
      </c>
      <c r="AD472" s="165">
        <f>IFERROR(__xludf.DUMMYFUNCTION("""COMPUTED_VALUE"""),0.0)</f>
        <v>0</v>
      </c>
      <c r="AE472" s="39" t="str">
        <f>IFERROR(__xludf.DUMMYFUNCTION("""COMPUTED_VALUE"""),"Hiroshi Yamakawa")</f>
        <v>Hiroshi Yamakawa</v>
      </c>
      <c r="AF472" s="39" t="str">
        <f>IFERROR(__xludf.DUMMYFUNCTION("""COMPUTED_VALUE"""),"HY22DAA")</f>
        <v>HY22DAA</v>
      </c>
      <c r="AG472" s="39"/>
      <c r="AH472" s="39"/>
      <c r="AI472" s="165"/>
      <c r="AJ472" s="165"/>
      <c r="AK472" s="111"/>
      <c r="AL472" s="111"/>
      <c r="AM472" s="111"/>
      <c r="AN472" s="111"/>
      <c r="AO472" s="111"/>
      <c r="AP472" s="111"/>
      <c r="AQ472" s="116"/>
      <c r="AR472" s="116"/>
      <c r="AS472" s="116"/>
    </row>
    <row r="473">
      <c r="A473" s="42" t="str">
        <f>IFERROR(__xludf.DUMMYFUNCTION("""COMPUTED_VALUE"""),"ISTC")</f>
        <v>ISTC</v>
      </c>
      <c r="B473" s="42"/>
      <c r="C473" s="42"/>
      <c r="D473" s="42" t="str">
        <f>IFERROR(__xludf.DUMMYFUNCTION("""COMPUTED_VALUE"""),"AuRTL")</f>
        <v>AuRTL</v>
      </c>
      <c r="E473" s="42"/>
      <c r="F473" s="42"/>
      <c r="G473" s="42"/>
      <c r="H473" s="42" t="str">
        <f>IFERROR(__xludf.DUMMYFUNCTION("""COMPUTED_VALUE"""),"")</f>
        <v/>
      </c>
      <c r="I473" s="42" t="str">
        <f>IFERROR(__xludf.DUMMYFUNCTION("""COMPUTED_VALUE"""),"Romanski, 2009")</f>
        <v>Romanski, 2009</v>
      </c>
      <c r="J473" s="42"/>
      <c r="K473" s="42"/>
      <c r="L473" s="42"/>
      <c r="M473" s="42"/>
      <c r="N473" s="42"/>
      <c r="O473" s="31" t="str">
        <f>IFERROR(__xludf.DUMMYFUNCTION("""COMPUTED_VALUE"""),"DOC")</f>
        <v>DOC</v>
      </c>
      <c r="P473" s="9" t="str">
        <f>IFERROR(__xludf.DUMMYFUNCTION("""COMPUTED_VALUE"""),"Annual Review of Neuroscience")</f>
        <v>Annual Review of Neuroscience</v>
      </c>
      <c r="Q473" s="9"/>
      <c r="R473" s="179" t="str">
        <f>IFERROR(__xludf.DUMMYFUNCTION("""COMPUTED_VALUE"""),"AuRTL (00/00) [Romanski, 2009];
")</f>
        <v>AuRTL (00/00) [Romanski, 2009];
</v>
      </c>
      <c r="S473" s="179" t="str">
        <f>IFERROR(__xludf.DUMMYFUNCTION("""COMPUTED_VALUE"""),"ISTCAuRTL")</f>
        <v>ISTCAuRTL</v>
      </c>
      <c r="T473" s="179" t="str">
        <f>IFERROR(__xludf.DUMMYFUNCTION("""COMPUTED_VALUE"""),"[Romanski, 2009]")</f>
        <v>[Romanski, 2009]</v>
      </c>
      <c r="U473" s="179">
        <f>IFERROR(__xludf.DUMMYFUNCTION("""COMPUTED_VALUE"""),0.0)</f>
        <v>0</v>
      </c>
      <c r="V473" s="180">
        <f>IFERROR(__xludf.DUMMYFUNCTION("""COMPUTED_VALUE"""),0.0)</f>
        <v>0</v>
      </c>
      <c r="W473" s="180">
        <f>IFERROR(__xludf.DUMMYFUNCTION("""COMPUTED_VALUE"""),0.95)</f>
        <v>0.95</v>
      </c>
      <c r="X473" s="42">
        <f>IFERROR(__xludf.DUMMYFUNCTION("""COMPUTED_VALUE"""),0.0)</f>
        <v>0</v>
      </c>
      <c r="Y473" s="42">
        <f>IFERROR(__xludf.DUMMYFUNCTION("""COMPUTED_VALUE"""),0.0)</f>
        <v>0</v>
      </c>
      <c r="Z473" s="9">
        <f>IFERROR(__xludf.DUMMYFUNCTION("""COMPUTED_VALUE"""),0.0)</f>
        <v>0</v>
      </c>
      <c r="AA473" s="181">
        <f>IFERROR(__xludf.DUMMYFUNCTION("""COMPUTED_VALUE"""),0.0)</f>
        <v>0</v>
      </c>
      <c r="AB473" s="181">
        <f>IFERROR(__xludf.DUMMYFUNCTION("""COMPUTED_VALUE"""),0.0)</f>
        <v>0</v>
      </c>
      <c r="AC473" s="179">
        <f>IFERROR(__xludf.DUMMYFUNCTION("""COMPUTED_VALUE"""),0.0)</f>
        <v>0</v>
      </c>
      <c r="AD473" s="165">
        <f>IFERROR(__xludf.DUMMYFUNCTION("""COMPUTED_VALUE"""),0.0)</f>
        <v>0</v>
      </c>
      <c r="AE473" s="39" t="str">
        <f>IFERROR(__xludf.DUMMYFUNCTION("""COMPUTED_VALUE"""),"Hiroshi Yamakawa")</f>
        <v>Hiroshi Yamakawa</v>
      </c>
      <c r="AF473" s="39" t="str">
        <f>IFERROR(__xludf.DUMMYFUNCTION("""COMPUTED_VALUE"""),"HY22DAA")</f>
        <v>HY22DAA</v>
      </c>
      <c r="AG473" s="39"/>
      <c r="AH473" s="39"/>
      <c r="AI473" s="165"/>
      <c r="AJ473" s="165"/>
      <c r="AK473" s="111"/>
      <c r="AL473" s="111"/>
      <c r="AM473" s="111"/>
      <c r="AN473" s="111"/>
      <c r="AO473" s="111"/>
      <c r="AP473" s="111"/>
      <c r="AQ473" s="116"/>
      <c r="AR473" s="116"/>
      <c r="AS473" s="116"/>
    </row>
    <row r="474">
      <c r="A474" s="42" t="str">
        <f>IFERROR(__xludf.DUMMYFUNCTION("""COMPUTED_VALUE"""),"ISTC")</f>
        <v>ISTC</v>
      </c>
      <c r="B474" s="42"/>
      <c r="C474" s="42"/>
      <c r="D474" s="42" t="str">
        <f>IFERROR(__xludf.DUMMYFUNCTION("""COMPUTED_VALUE"""),"AuRTM")</f>
        <v>AuRTM</v>
      </c>
      <c r="E474" s="42"/>
      <c r="F474" s="42"/>
      <c r="G474" s="42"/>
      <c r="H474" s="42" t="str">
        <f>IFERROR(__xludf.DUMMYFUNCTION("""COMPUTED_VALUE"""),"")</f>
        <v/>
      </c>
      <c r="I474" s="42" t="str">
        <f>IFERROR(__xludf.DUMMYFUNCTION("""COMPUTED_VALUE"""),"Romanski, 2009")</f>
        <v>Romanski, 2009</v>
      </c>
      <c r="J474" s="42"/>
      <c r="K474" s="42"/>
      <c r="L474" s="42"/>
      <c r="M474" s="42"/>
      <c r="N474" s="42"/>
      <c r="O474" s="31" t="str">
        <f>IFERROR(__xludf.DUMMYFUNCTION("""COMPUTED_VALUE"""),"DOC")</f>
        <v>DOC</v>
      </c>
      <c r="P474" s="9" t="str">
        <f>IFERROR(__xludf.DUMMYFUNCTION("""COMPUTED_VALUE"""),"Annual Review of Neuroscience")</f>
        <v>Annual Review of Neuroscience</v>
      </c>
      <c r="Q474" s="9"/>
      <c r="R474" s="179" t="str">
        <f>IFERROR(__xludf.DUMMYFUNCTION("""COMPUTED_VALUE"""),"AuRTM (00/00) [Romanski, 2009];
")</f>
        <v>AuRTM (00/00) [Romanski, 2009];
</v>
      </c>
      <c r="S474" s="179" t="str">
        <f>IFERROR(__xludf.DUMMYFUNCTION("""COMPUTED_VALUE"""),"ISTCAuRTM")</f>
        <v>ISTCAuRTM</v>
      </c>
      <c r="T474" s="179" t="str">
        <f>IFERROR(__xludf.DUMMYFUNCTION("""COMPUTED_VALUE"""),"[Romanski, 2009]")</f>
        <v>[Romanski, 2009]</v>
      </c>
      <c r="U474" s="179">
        <f>IFERROR(__xludf.DUMMYFUNCTION("""COMPUTED_VALUE"""),0.0)</f>
        <v>0</v>
      </c>
      <c r="V474" s="180">
        <f>IFERROR(__xludf.DUMMYFUNCTION("""COMPUTED_VALUE"""),0.0)</f>
        <v>0</v>
      </c>
      <c r="W474" s="180">
        <f>IFERROR(__xludf.DUMMYFUNCTION("""COMPUTED_VALUE"""),0.95)</f>
        <v>0.95</v>
      </c>
      <c r="X474" s="42">
        <f>IFERROR(__xludf.DUMMYFUNCTION("""COMPUTED_VALUE"""),0.0)</f>
        <v>0</v>
      </c>
      <c r="Y474" s="42">
        <f>IFERROR(__xludf.DUMMYFUNCTION("""COMPUTED_VALUE"""),0.0)</f>
        <v>0</v>
      </c>
      <c r="Z474" s="9">
        <f>IFERROR(__xludf.DUMMYFUNCTION("""COMPUTED_VALUE"""),0.0)</f>
        <v>0</v>
      </c>
      <c r="AA474" s="181">
        <f>IFERROR(__xludf.DUMMYFUNCTION("""COMPUTED_VALUE"""),0.0)</f>
        <v>0</v>
      </c>
      <c r="AB474" s="181">
        <f>IFERROR(__xludf.DUMMYFUNCTION("""COMPUTED_VALUE"""),0.0)</f>
        <v>0</v>
      </c>
      <c r="AC474" s="179">
        <f>IFERROR(__xludf.DUMMYFUNCTION("""COMPUTED_VALUE"""),0.0)</f>
        <v>0</v>
      </c>
      <c r="AD474" s="165">
        <f>IFERROR(__xludf.DUMMYFUNCTION("""COMPUTED_VALUE"""),0.0)</f>
        <v>0</v>
      </c>
      <c r="AE474" s="39" t="str">
        <f>IFERROR(__xludf.DUMMYFUNCTION("""COMPUTED_VALUE"""),"Hiroshi Yamakawa")</f>
        <v>Hiroshi Yamakawa</v>
      </c>
      <c r="AF474" s="39" t="str">
        <f>IFERROR(__xludf.DUMMYFUNCTION("""COMPUTED_VALUE"""),"HY22DAA")</f>
        <v>HY22DAA</v>
      </c>
      <c r="AG474" s="39"/>
      <c r="AH474" s="39"/>
      <c r="AI474" s="165"/>
      <c r="AJ474" s="165"/>
      <c r="AK474" s="111"/>
      <c r="AL474" s="111"/>
      <c r="AM474" s="111"/>
      <c r="AN474" s="111"/>
      <c r="AO474" s="111"/>
      <c r="AP474" s="111"/>
      <c r="AQ474" s="116"/>
      <c r="AR474" s="116"/>
      <c r="AS474" s="116"/>
    </row>
    <row r="475">
      <c r="A475" s="42" t="str">
        <f>IFERROR(__xludf.DUMMYFUNCTION("""COMPUTED_VALUE"""),"ISTC")</f>
        <v>ISTC</v>
      </c>
      <c r="B475" s="42"/>
      <c r="C475" s="42"/>
      <c r="D475" s="42" t="str">
        <f>IFERROR(__xludf.DUMMYFUNCTION("""COMPUTED_VALUE"""),"PSTC")</f>
        <v>PSTC</v>
      </c>
      <c r="E475" s="42"/>
      <c r="F475" s="42"/>
      <c r="G475" s="42"/>
      <c r="H475" s="42" t="str">
        <f>IFERROR(__xludf.DUMMYFUNCTION("""COMPUTED_VALUE"""),"")</f>
        <v/>
      </c>
      <c r="I475" s="42" t="str">
        <f>IFERROR(__xludf.DUMMYFUNCTION("""COMPUTED_VALUE"""),"Romanski, 2009")</f>
        <v>Romanski, 2009</v>
      </c>
      <c r="J475" s="42"/>
      <c r="K475" s="42"/>
      <c r="L475" s="42"/>
      <c r="M475" s="42"/>
      <c r="N475" s="42"/>
      <c r="O475" s="31" t="str">
        <f>IFERROR(__xludf.DUMMYFUNCTION("""COMPUTED_VALUE"""),"DOC")</f>
        <v>DOC</v>
      </c>
      <c r="P475" s="9" t="str">
        <f>IFERROR(__xludf.DUMMYFUNCTION("""COMPUTED_VALUE"""),"Annual Review of Neuroscience")</f>
        <v>Annual Review of Neuroscience</v>
      </c>
      <c r="Q475" s="9"/>
      <c r="R475" s="179" t="str">
        <f>IFERROR(__xludf.DUMMYFUNCTION("""COMPUTED_VALUE"""),"PSTC (00/00) [Romanski, 2009];
")</f>
        <v>PSTC (00/00) [Romanski, 2009];
</v>
      </c>
      <c r="S475" s="179" t="str">
        <f>IFERROR(__xludf.DUMMYFUNCTION("""COMPUTED_VALUE"""),"ISTCPSTC")</f>
        <v>ISTCPSTC</v>
      </c>
      <c r="T475" s="179" t="str">
        <f>IFERROR(__xludf.DUMMYFUNCTION("""COMPUTED_VALUE"""),"[Romanski, 2009]")</f>
        <v>[Romanski, 2009]</v>
      </c>
      <c r="U475" s="179">
        <f>IFERROR(__xludf.DUMMYFUNCTION("""COMPUTED_VALUE"""),0.0)</f>
        <v>0</v>
      </c>
      <c r="V475" s="180">
        <f>IFERROR(__xludf.DUMMYFUNCTION("""COMPUTED_VALUE"""),0.0)</f>
        <v>0</v>
      </c>
      <c r="W475" s="180">
        <f>IFERROR(__xludf.DUMMYFUNCTION("""COMPUTED_VALUE"""),0.95)</f>
        <v>0.95</v>
      </c>
      <c r="X475" s="42">
        <f>IFERROR(__xludf.DUMMYFUNCTION("""COMPUTED_VALUE"""),0.0)</f>
        <v>0</v>
      </c>
      <c r="Y475" s="42">
        <f>IFERROR(__xludf.DUMMYFUNCTION("""COMPUTED_VALUE"""),0.0)</f>
        <v>0</v>
      </c>
      <c r="Z475" s="9">
        <f>IFERROR(__xludf.DUMMYFUNCTION("""COMPUTED_VALUE"""),0.0)</f>
        <v>0</v>
      </c>
      <c r="AA475" s="181">
        <f>IFERROR(__xludf.DUMMYFUNCTION("""COMPUTED_VALUE"""),0.0)</f>
        <v>0</v>
      </c>
      <c r="AB475" s="181">
        <f>IFERROR(__xludf.DUMMYFUNCTION("""COMPUTED_VALUE"""),0.0)</f>
        <v>0</v>
      </c>
      <c r="AC475" s="179">
        <f>IFERROR(__xludf.DUMMYFUNCTION("""COMPUTED_VALUE"""),0.0)</f>
        <v>0</v>
      </c>
      <c r="AD475" s="165">
        <f>IFERROR(__xludf.DUMMYFUNCTION("""COMPUTED_VALUE"""),0.0)</f>
        <v>0</v>
      </c>
      <c r="AE475" s="39" t="str">
        <f>IFERROR(__xludf.DUMMYFUNCTION("""COMPUTED_VALUE"""),"Hiroshi Yamakawa")</f>
        <v>Hiroshi Yamakawa</v>
      </c>
      <c r="AF475" s="39" t="str">
        <f>IFERROR(__xludf.DUMMYFUNCTION("""COMPUTED_VALUE"""),"HY22DAA")</f>
        <v>HY22DAA</v>
      </c>
      <c r="AG475" s="39"/>
      <c r="AH475" s="39"/>
      <c r="AI475" s="165"/>
      <c r="AJ475" s="165"/>
      <c r="AK475" s="111"/>
      <c r="AL475" s="111"/>
      <c r="AM475" s="111"/>
      <c r="AN475" s="111"/>
      <c r="AO475" s="111"/>
      <c r="AP475" s="111"/>
      <c r="AQ475" s="116"/>
      <c r="AR475" s="116"/>
      <c r="AS475" s="116"/>
    </row>
    <row r="476">
      <c r="A476" s="42" t="str">
        <f>IFERROR(__xludf.DUMMYFUNCTION("""COMPUTED_VALUE"""),"ITC")</f>
        <v>ITC</v>
      </c>
      <c r="B476" s="42"/>
      <c r="C476" s="42"/>
      <c r="D476" s="42" t="str">
        <f>IFERROR(__xludf.DUMMYFUNCTION("""COMPUTED_VALUE"""),"A38")</f>
        <v>A38</v>
      </c>
      <c r="E476" s="42"/>
      <c r="F476" s="42"/>
      <c r="G476" s="42"/>
      <c r="H476" s="42" t="str">
        <f>IFERROR(__xludf.DUMMYFUNCTION("""COMPUTED_VALUE"""),"")</f>
        <v/>
      </c>
      <c r="I476" s="42" t="str">
        <f>IFERROR(__xludf.DUMMYFUNCTION("""COMPUTED_VALUE"""),"Pascual, 2013")</f>
        <v>Pascual, 2013</v>
      </c>
      <c r="J476" s="42"/>
      <c r="K476" s="42"/>
      <c r="L476" s="42"/>
      <c r="M476" s="42"/>
      <c r="N476" s="42"/>
      <c r="O476" s="31" t="str">
        <f>IFERROR(__xludf.DUMMYFUNCTION("""COMPUTED_VALUE"""),"DOC")</f>
        <v>DOC</v>
      </c>
      <c r="P476" s="9" t="str">
        <f>IFERROR(__xludf.DUMMYFUNCTION("""COMPUTED_VALUE"""),"Cerebral Cortex")</f>
        <v>Cerebral Cortex</v>
      </c>
      <c r="Q476" s="9"/>
      <c r="R476" s="179" t="str">
        <f>IFERROR(__xludf.DUMMYFUNCTION("""COMPUTED_VALUE"""),"A38 (00/00) [Pascual, 2013];
")</f>
        <v>A38 (00/00) [Pascual, 2013];
</v>
      </c>
      <c r="S476" s="179" t="str">
        <f>IFERROR(__xludf.DUMMYFUNCTION("""COMPUTED_VALUE"""),"ITCA38")</f>
        <v>ITCA38</v>
      </c>
      <c r="T476" s="179" t="str">
        <f>IFERROR(__xludf.DUMMYFUNCTION("""COMPUTED_VALUE"""),"[Pascual, 2013]")</f>
        <v>[Pascual, 2013]</v>
      </c>
      <c r="U476" s="179">
        <f>IFERROR(__xludf.DUMMYFUNCTION("""COMPUTED_VALUE"""),0.0)</f>
        <v>0</v>
      </c>
      <c r="V476" s="180">
        <f>IFERROR(__xludf.DUMMYFUNCTION("""COMPUTED_VALUE"""),0.0)</f>
        <v>0</v>
      </c>
      <c r="W476" s="180">
        <f>IFERROR(__xludf.DUMMYFUNCTION("""COMPUTED_VALUE"""),0.95)</f>
        <v>0.95</v>
      </c>
      <c r="X476" s="42">
        <f>IFERROR(__xludf.DUMMYFUNCTION("""COMPUTED_VALUE"""),0.0)</f>
        <v>0</v>
      </c>
      <c r="Y476" s="42">
        <f>IFERROR(__xludf.DUMMYFUNCTION("""COMPUTED_VALUE"""),0.0)</f>
        <v>0</v>
      </c>
      <c r="Z476" s="9">
        <f>IFERROR(__xludf.DUMMYFUNCTION("""COMPUTED_VALUE"""),0.0)</f>
        <v>0</v>
      </c>
      <c r="AA476" s="181">
        <f>IFERROR(__xludf.DUMMYFUNCTION("""COMPUTED_VALUE"""),0.0)</f>
        <v>0</v>
      </c>
      <c r="AB476" s="181">
        <f>IFERROR(__xludf.DUMMYFUNCTION("""COMPUTED_VALUE"""),0.0)</f>
        <v>0</v>
      </c>
      <c r="AC476" s="179">
        <f>IFERROR(__xludf.DUMMYFUNCTION("""COMPUTED_VALUE"""),0.0)</f>
        <v>0</v>
      </c>
      <c r="AD476" s="165">
        <f>IFERROR(__xludf.DUMMYFUNCTION("""COMPUTED_VALUE"""),0.0)</f>
        <v>0</v>
      </c>
      <c r="AE476" s="39" t="str">
        <f>IFERROR(__xludf.DUMMYFUNCTION("""COMPUTED_VALUE"""),"Hiroshi Yamakawa")</f>
        <v>Hiroshi Yamakawa</v>
      </c>
      <c r="AF476" s="39" t="str">
        <f>IFERROR(__xludf.DUMMYFUNCTION("""COMPUTED_VALUE"""),"HY22DAA")</f>
        <v>HY22DAA</v>
      </c>
      <c r="AG476" s="39"/>
      <c r="AH476" s="39"/>
      <c r="AI476" s="165"/>
      <c r="AJ476" s="165"/>
      <c r="AK476" s="111"/>
      <c r="AL476" s="111"/>
      <c r="AM476" s="111"/>
      <c r="AN476" s="111"/>
      <c r="AO476" s="111"/>
      <c r="AP476" s="111"/>
      <c r="AQ476" s="116"/>
      <c r="AR476" s="116"/>
      <c r="AS476" s="116"/>
    </row>
    <row r="477">
      <c r="A477" s="42" t="str">
        <f>IFERROR(__xludf.DUMMYFUNCTION("""COMPUTED_VALUE"""),"La")</f>
        <v>La</v>
      </c>
      <c r="B477" s="42"/>
      <c r="C477" s="42"/>
      <c r="D477" s="42" t="str">
        <f>IFERROR(__xludf.DUMMYFUNCTION("""COMPUTED_VALUE"""),"AId")</f>
        <v>AId</v>
      </c>
      <c r="E477" s="42"/>
      <c r="F477" s="42"/>
      <c r="G477" s="42"/>
      <c r="H477" s="42" t="str">
        <f>IFERROR(__xludf.DUMMYFUNCTION("""COMPUTED_VALUE"""),"")</f>
        <v/>
      </c>
      <c r="I477" s="42" t="str">
        <f>IFERROR(__xludf.DUMMYFUNCTION("""COMPUTED_VALUE"""),"Pitkänen, 2000")</f>
        <v>Pitkänen, 2000</v>
      </c>
      <c r="J477" s="42" t="str">
        <f>IFERROR(__xludf.DUMMYFUNCTION("""COMPUTED_VALUE"""),"Rat")</f>
        <v>Rat</v>
      </c>
      <c r="K477" s="42" t="str">
        <f>IFERROR(__xludf.DUMMYFUNCTION("""COMPUTED_VALUE"""),"Various tracing")</f>
        <v>Various tracing</v>
      </c>
      <c r="L477" s="42"/>
      <c r="M477" s="42" t="str">
        <f>IFERROR(__xludf.DUMMYFUNCTION("""COMPUTED_VALUE"""),"fig.3-fig.12 (to be specified)")</f>
        <v>fig.3-fig.12 (to be specified)</v>
      </c>
      <c r="N477" s="42"/>
      <c r="O477" s="31" t="str">
        <f>IFERROR(__xludf.DUMMYFUNCTION("""COMPUTED_VALUE"""),"DOC(alt)")</f>
        <v>DOC(alt)</v>
      </c>
      <c r="P477" s="9" t="str">
        <f>IFERROR(__xludf.DUMMYFUNCTION("""COMPUTED_VALUE"""),"Folia morphologica")</f>
        <v>Folia morphologica</v>
      </c>
      <c r="Q477" s="9" t="str">
        <f>IFERROR(__xludf.DUMMYFUNCTION("""COMPUTED_VALUE"""),"Review")</f>
        <v>Review</v>
      </c>
      <c r="R477" s="179" t="str">
        <f>IFERROR(__xludf.DUMMYFUNCTION("""COMPUTED_VALUE"""),"AId (00/00) [Pitkänen, 2000];
")</f>
        <v>AId (00/00) [Pitkänen, 2000];
</v>
      </c>
      <c r="S477" s="179" t="str">
        <f>IFERROR(__xludf.DUMMYFUNCTION("""COMPUTED_VALUE"""),"LaAId")</f>
        <v>LaAId</v>
      </c>
      <c r="T477" s="179" t="str">
        <f>IFERROR(__xludf.DUMMYFUNCTION("""COMPUTED_VALUE"""),"[Pitkänen, 2000]")</f>
        <v>[Pitkänen, 2000]</v>
      </c>
      <c r="U477" s="179">
        <f>IFERROR(__xludf.DUMMYFUNCTION("""COMPUTED_VALUE"""),0.0)</f>
        <v>0</v>
      </c>
      <c r="V477" s="180">
        <f>IFERROR(__xludf.DUMMYFUNCTION("""COMPUTED_VALUE"""),0.0)</f>
        <v>0</v>
      </c>
      <c r="W477" s="180">
        <f>IFERROR(__xludf.DUMMYFUNCTION("""COMPUTED_VALUE"""),0.95)</f>
        <v>0.95</v>
      </c>
      <c r="X477" s="42">
        <f>IFERROR(__xludf.DUMMYFUNCTION("""COMPUTED_VALUE"""),0.8)</f>
        <v>0.8</v>
      </c>
      <c r="Y477" s="42">
        <f>IFERROR(__xludf.DUMMYFUNCTION("""COMPUTED_VALUE"""),0.6)</f>
        <v>0.6</v>
      </c>
      <c r="Z477" s="9">
        <f>IFERROR(__xludf.DUMMYFUNCTION("""COMPUTED_VALUE"""),0.9)</f>
        <v>0.9</v>
      </c>
      <c r="AA477" s="181">
        <f>IFERROR(__xludf.DUMMYFUNCTION("""COMPUTED_VALUE"""),0.0)</f>
        <v>0</v>
      </c>
      <c r="AB477" s="181">
        <f>IFERROR(__xludf.DUMMYFUNCTION("""COMPUTED_VALUE"""),0.0)</f>
        <v>0</v>
      </c>
      <c r="AC477" s="179">
        <f>IFERROR(__xludf.DUMMYFUNCTION("""COMPUTED_VALUE"""),0.0)</f>
        <v>0</v>
      </c>
      <c r="AD477" s="165">
        <f>IFERROR(__xludf.DUMMYFUNCTION("""COMPUTED_VALUE"""),0.0)</f>
        <v>0</v>
      </c>
      <c r="AE477" s="39" t="str">
        <f>IFERROR(__xludf.DUMMYFUNCTION("""COMPUTED_VALUE"""),"Tatsuya Miyamoto")</f>
        <v>Tatsuya Miyamoto</v>
      </c>
      <c r="AF477" s="39" t="str">
        <f>IFERROR(__xludf.DUMMYFUNCTION("""COMPUTED_VALUE"""),"TM21Amygdala")</f>
        <v>TM21Amygdala</v>
      </c>
      <c r="AG477" s="39"/>
      <c r="AH477" s="39"/>
      <c r="AI477" s="165"/>
      <c r="AJ477" s="165"/>
      <c r="AK477" s="111"/>
      <c r="AL477" s="111"/>
      <c r="AM477" s="111"/>
      <c r="AN477" s="111"/>
      <c r="AO477" s="111"/>
      <c r="AP477" s="111"/>
      <c r="AQ477" s="116"/>
      <c r="AR477" s="116"/>
      <c r="AS477" s="116"/>
    </row>
    <row r="478">
      <c r="A478" s="42" t="str">
        <f>IFERROR(__xludf.DUMMYFUNCTION("""COMPUTED_VALUE"""),"La")</f>
        <v>La</v>
      </c>
      <c r="B478" s="42"/>
      <c r="C478" s="42"/>
      <c r="D478" s="42" t="str">
        <f>IFERROR(__xludf.DUMMYFUNCTION("""COMPUTED_VALUE"""),"AIp")</f>
        <v>AIp</v>
      </c>
      <c r="E478" s="42"/>
      <c r="F478" s="42"/>
      <c r="G478" s="42"/>
      <c r="H478" s="42" t="str">
        <f>IFERROR(__xludf.DUMMYFUNCTION("""COMPUTED_VALUE"""),"")</f>
        <v/>
      </c>
      <c r="I478" s="42" t="str">
        <f>IFERROR(__xludf.DUMMYFUNCTION("""COMPUTED_VALUE"""),"Pitkänen, 2000")</f>
        <v>Pitkänen, 2000</v>
      </c>
      <c r="J478" s="42" t="str">
        <f>IFERROR(__xludf.DUMMYFUNCTION("""COMPUTED_VALUE"""),"Rat")</f>
        <v>Rat</v>
      </c>
      <c r="K478" s="42" t="str">
        <f>IFERROR(__xludf.DUMMYFUNCTION("""COMPUTED_VALUE"""),"Various tracing")</f>
        <v>Various tracing</v>
      </c>
      <c r="L478" s="42"/>
      <c r="M478" s="42" t="str">
        <f>IFERROR(__xludf.DUMMYFUNCTION("""COMPUTED_VALUE"""),"fig.3-fig.12 (to be specified)")</f>
        <v>fig.3-fig.12 (to be specified)</v>
      </c>
      <c r="N478" s="42"/>
      <c r="O478" s="31" t="str">
        <f>IFERROR(__xludf.DUMMYFUNCTION("""COMPUTED_VALUE"""),"DOC(alt)")</f>
        <v>DOC(alt)</v>
      </c>
      <c r="P478" s="9" t="str">
        <f>IFERROR(__xludf.DUMMYFUNCTION("""COMPUTED_VALUE"""),"Folia morphologica")</f>
        <v>Folia morphologica</v>
      </c>
      <c r="Q478" s="9" t="str">
        <f>IFERROR(__xludf.DUMMYFUNCTION("""COMPUTED_VALUE"""),"Review")</f>
        <v>Review</v>
      </c>
      <c r="R478" s="179" t="str">
        <f>IFERROR(__xludf.DUMMYFUNCTION("""COMPUTED_VALUE"""),"AIp (00/00) [Pitkänen, 2000];
")</f>
        <v>AIp (00/00) [Pitkänen, 2000];
</v>
      </c>
      <c r="S478" s="179" t="str">
        <f>IFERROR(__xludf.DUMMYFUNCTION("""COMPUTED_VALUE"""),"LaAIp")</f>
        <v>LaAIp</v>
      </c>
      <c r="T478" s="179" t="str">
        <f>IFERROR(__xludf.DUMMYFUNCTION("""COMPUTED_VALUE"""),"[Pitkänen, 2000]")</f>
        <v>[Pitkänen, 2000]</v>
      </c>
      <c r="U478" s="179">
        <f>IFERROR(__xludf.DUMMYFUNCTION("""COMPUTED_VALUE"""),0.0)</f>
        <v>0</v>
      </c>
      <c r="V478" s="180">
        <f>IFERROR(__xludf.DUMMYFUNCTION("""COMPUTED_VALUE"""),0.0)</f>
        <v>0</v>
      </c>
      <c r="W478" s="180">
        <f>IFERROR(__xludf.DUMMYFUNCTION("""COMPUTED_VALUE"""),0.95)</f>
        <v>0.95</v>
      </c>
      <c r="X478" s="42">
        <f>IFERROR(__xludf.DUMMYFUNCTION("""COMPUTED_VALUE"""),0.8)</f>
        <v>0.8</v>
      </c>
      <c r="Y478" s="42">
        <f>IFERROR(__xludf.DUMMYFUNCTION("""COMPUTED_VALUE"""),0.6)</f>
        <v>0.6</v>
      </c>
      <c r="Z478" s="9">
        <f>IFERROR(__xludf.DUMMYFUNCTION("""COMPUTED_VALUE"""),0.9)</f>
        <v>0.9</v>
      </c>
      <c r="AA478" s="181">
        <f>IFERROR(__xludf.DUMMYFUNCTION("""COMPUTED_VALUE"""),0.0)</f>
        <v>0</v>
      </c>
      <c r="AB478" s="181">
        <f>IFERROR(__xludf.DUMMYFUNCTION("""COMPUTED_VALUE"""),0.0)</f>
        <v>0</v>
      </c>
      <c r="AC478" s="179">
        <f>IFERROR(__xludf.DUMMYFUNCTION("""COMPUTED_VALUE"""),0.0)</f>
        <v>0</v>
      </c>
      <c r="AD478" s="165">
        <f>IFERROR(__xludf.DUMMYFUNCTION("""COMPUTED_VALUE"""),0.0)</f>
        <v>0</v>
      </c>
      <c r="AE478" s="39" t="str">
        <f>IFERROR(__xludf.DUMMYFUNCTION("""COMPUTED_VALUE"""),"Tatsuya Miyamoto")</f>
        <v>Tatsuya Miyamoto</v>
      </c>
      <c r="AF478" s="39" t="str">
        <f>IFERROR(__xludf.DUMMYFUNCTION("""COMPUTED_VALUE"""),"TM21Amygdala")</f>
        <v>TM21Amygdala</v>
      </c>
      <c r="AG478" s="39"/>
      <c r="AH478" s="39"/>
      <c r="AI478" s="165"/>
      <c r="AJ478" s="165"/>
      <c r="AK478" s="111"/>
      <c r="AL478" s="111"/>
      <c r="AM478" s="111"/>
      <c r="AN478" s="111"/>
      <c r="AO478" s="111"/>
      <c r="AP478" s="111"/>
      <c r="AQ478" s="116"/>
      <c r="AR478" s="116"/>
      <c r="AS478" s="116"/>
    </row>
    <row r="479">
      <c r="A479" s="42" t="str">
        <f>IFERROR(__xludf.DUMMYFUNCTION("""COMPUTED_VALUE"""),"La")</f>
        <v>La</v>
      </c>
      <c r="B479" s="42"/>
      <c r="C479" s="42"/>
      <c r="D479" s="42" t="str">
        <f>IFERROR(__xludf.DUMMYFUNCTION("""COMPUTED_VALUE"""),"BL")</f>
        <v>BL</v>
      </c>
      <c r="E479" s="42"/>
      <c r="F479" s="42"/>
      <c r="G479" s="42"/>
      <c r="H479" s="42" t="str">
        <f>IFERROR(__xludf.DUMMYFUNCTION("""COMPUTED_VALUE"""),"")</f>
        <v/>
      </c>
      <c r="I479" s="42" t="str">
        <f>IFERROR(__xludf.DUMMYFUNCTION("""COMPUTED_VALUE"""),"Pitkänen, 2000")</f>
        <v>Pitkänen, 2000</v>
      </c>
      <c r="J479" s="42" t="str">
        <f>IFERROR(__xludf.DUMMYFUNCTION("""COMPUTED_VALUE"""),"Rat")</f>
        <v>Rat</v>
      </c>
      <c r="K479" s="42" t="str">
        <f>IFERROR(__xludf.DUMMYFUNCTION("""COMPUTED_VALUE"""),"Various tracing")</f>
        <v>Various tracing</v>
      </c>
      <c r="L479" s="42"/>
      <c r="M479" s="42" t="str">
        <f>IFERROR(__xludf.DUMMYFUNCTION("""COMPUTED_VALUE"""),"fig.3-fig.12 (to be specified)")</f>
        <v>fig.3-fig.12 (to be specified)</v>
      </c>
      <c r="N479" s="42"/>
      <c r="O479" s="31" t="str">
        <f>IFERROR(__xludf.DUMMYFUNCTION("""COMPUTED_VALUE"""),"DOC(alt)")</f>
        <v>DOC(alt)</v>
      </c>
      <c r="P479" s="9" t="str">
        <f>IFERROR(__xludf.DUMMYFUNCTION("""COMPUTED_VALUE"""),"Folia morphologica")</f>
        <v>Folia morphologica</v>
      </c>
      <c r="Q479" s="9" t="str">
        <f>IFERROR(__xludf.DUMMYFUNCTION("""COMPUTED_VALUE"""),"Review")</f>
        <v>Review</v>
      </c>
      <c r="R479" s="179" t="str">
        <f>IFERROR(__xludf.DUMMYFUNCTION("""COMPUTED_VALUE"""),"BL (00/00) [Pitkänen, 2000];
")</f>
        <v>BL (00/00) [Pitkänen, 2000];
</v>
      </c>
      <c r="S479" s="179" t="str">
        <f>IFERROR(__xludf.DUMMYFUNCTION("""COMPUTED_VALUE"""),"LaBL")</f>
        <v>LaBL</v>
      </c>
      <c r="T479" s="179" t="str">
        <f>IFERROR(__xludf.DUMMYFUNCTION("""COMPUTED_VALUE"""),"[Pitkänen, 2000]")</f>
        <v>[Pitkänen, 2000]</v>
      </c>
      <c r="U479" s="179">
        <f>IFERROR(__xludf.DUMMYFUNCTION("""COMPUTED_VALUE"""),0.0)</f>
        <v>0</v>
      </c>
      <c r="V479" s="180">
        <f>IFERROR(__xludf.DUMMYFUNCTION("""COMPUTED_VALUE"""),0.0)</f>
        <v>0</v>
      </c>
      <c r="W479" s="180">
        <f>IFERROR(__xludf.DUMMYFUNCTION("""COMPUTED_VALUE"""),0.95)</f>
        <v>0.95</v>
      </c>
      <c r="X479" s="42">
        <f>IFERROR(__xludf.DUMMYFUNCTION("""COMPUTED_VALUE"""),0.8)</f>
        <v>0.8</v>
      </c>
      <c r="Y479" s="42">
        <f>IFERROR(__xludf.DUMMYFUNCTION("""COMPUTED_VALUE"""),0.6)</f>
        <v>0.6</v>
      </c>
      <c r="Z479" s="9">
        <f>IFERROR(__xludf.DUMMYFUNCTION("""COMPUTED_VALUE"""),0.9)</f>
        <v>0.9</v>
      </c>
      <c r="AA479" s="181">
        <f>IFERROR(__xludf.DUMMYFUNCTION("""COMPUTED_VALUE"""),0.0)</f>
        <v>0</v>
      </c>
      <c r="AB479" s="181">
        <f>IFERROR(__xludf.DUMMYFUNCTION("""COMPUTED_VALUE"""),0.0)</f>
        <v>0</v>
      </c>
      <c r="AC479" s="179">
        <f>IFERROR(__xludf.DUMMYFUNCTION("""COMPUTED_VALUE"""),0.0)</f>
        <v>0</v>
      </c>
      <c r="AD479" s="165">
        <f>IFERROR(__xludf.DUMMYFUNCTION("""COMPUTED_VALUE"""),0.0)</f>
        <v>0</v>
      </c>
      <c r="AE479" s="39" t="str">
        <f>IFERROR(__xludf.DUMMYFUNCTION("""COMPUTED_VALUE"""),"Tatsuya Miyamoto")</f>
        <v>Tatsuya Miyamoto</v>
      </c>
      <c r="AF479" s="39" t="str">
        <f>IFERROR(__xludf.DUMMYFUNCTION("""COMPUTED_VALUE"""),"TM21Amygdala")</f>
        <v>TM21Amygdala</v>
      </c>
      <c r="AG479" s="39"/>
      <c r="AH479" s="39"/>
      <c r="AI479" s="165"/>
      <c r="AJ479" s="165"/>
      <c r="AK479" s="111"/>
      <c r="AL479" s="111"/>
      <c r="AM479" s="111"/>
      <c r="AN479" s="111"/>
      <c r="AO479" s="111"/>
      <c r="AP479" s="111"/>
      <c r="AQ479" s="116"/>
      <c r="AR479" s="116"/>
      <c r="AS479" s="116"/>
    </row>
    <row r="480">
      <c r="A480" s="42" t="str">
        <f>IFERROR(__xludf.DUMMYFUNCTION("""COMPUTED_VALUE"""),"La")</f>
        <v>La</v>
      </c>
      <c r="B480" s="42"/>
      <c r="C480" s="42"/>
      <c r="D480" s="42" t="str">
        <f>IFERROR(__xludf.DUMMYFUNCTION("""COMPUTED_VALUE"""),"DIv")</f>
        <v>DIv</v>
      </c>
      <c r="E480" s="42"/>
      <c r="F480" s="42"/>
      <c r="G480" s="42"/>
      <c r="H480" s="42" t="str">
        <f>IFERROR(__xludf.DUMMYFUNCTION("""COMPUTED_VALUE"""),"")</f>
        <v/>
      </c>
      <c r="I480" s="42" t="str">
        <f>IFERROR(__xludf.DUMMYFUNCTION("""COMPUTED_VALUE"""),"Pitkänen, 2000")</f>
        <v>Pitkänen, 2000</v>
      </c>
      <c r="J480" s="42" t="str">
        <f>IFERROR(__xludf.DUMMYFUNCTION("""COMPUTED_VALUE"""),"Rat")</f>
        <v>Rat</v>
      </c>
      <c r="K480" s="42" t="str">
        <f>IFERROR(__xludf.DUMMYFUNCTION("""COMPUTED_VALUE"""),"Various tracing")</f>
        <v>Various tracing</v>
      </c>
      <c r="L480" s="42"/>
      <c r="M480" s="42" t="str">
        <f>IFERROR(__xludf.DUMMYFUNCTION("""COMPUTED_VALUE"""),"fig.3-fig.12 (to be specified)")</f>
        <v>fig.3-fig.12 (to be specified)</v>
      </c>
      <c r="N480" s="42"/>
      <c r="O480" s="31" t="str">
        <f>IFERROR(__xludf.DUMMYFUNCTION("""COMPUTED_VALUE"""),"DOC(alt)")</f>
        <v>DOC(alt)</v>
      </c>
      <c r="P480" s="9" t="str">
        <f>IFERROR(__xludf.DUMMYFUNCTION("""COMPUTED_VALUE"""),"Folia morphologica")</f>
        <v>Folia morphologica</v>
      </c>
      <c r="Q480" s="9" t="str">
        <f>IFERROR(__xludf.DUMMYFUNCTION("""COMPUTED_VALUE"""),"Review")</f>
        <v>Review</v>
      </c>
      <c r="R480" s="179" t="str">
        <f>IFERROR(__xludf.DUMMYFUNCTION("""COMPUTED_VALUE"""),"DIv (00/00) [Pitkänen, 2000];
")</f>
        <v>DIv (00/00) [Pitkänen, 2000];
</v>
      </c>
      <c r="S480" s="179" t="str">
        <f>IFERROR(__xludf.DUMMYFUNCTION("""COMPUTED_VALUE"""),"LaDIv")</f>
        <v>LaDIv</v>
      </c>
      <c r="T480" s="179" t="str">
        <f>IFERROR(__xludf.DUMMYFUNCTION("""COMPUTED_VALUE"""),"[Pitkänen, 2000]")</f>
        <v>[Pitkänen, 2000]</v>
      </c>
      <c r="U480" s="179">
        <f>IFERROR(__xludf.DUMMYFUNCTION("""COMPUTED_VALUE"""),0.0)</f>
        <v>0</v>
      </c>
      <c r="V480" s="180">
        <f>IFERROR(__xludf.DUMMYFUNCTION("""COMPUTED_VALUE"""),0.0)</f>
        <v>0</v>
      </c>
      <c r="W480" s="180">
        <f>IFERROR(__xludf.DUMMYFUNCTION("""COMPUTED_VALUE"""),0.95)</f>
        <v>0.95</v>
      </c>
      <c r="X480" s="42">
        <f>IFERROR(__xludf.DUMMYFUNCTION("""COMPUTED_VALUE"""),0.8)</f>
        <v>0.8</v>
      </c>
      <c r="Y480" s="42">
        <f>IFERROR(__xludf.DUMMYFUNCTION("""COMPUTED_VALUE"""),0.6)</f>
        <v>0.6</v>
      </c>
      <c r="Z480" s="9">
        <f>IFERROR(__xludf.DUMMYFUNCTION("""COMPUTED_VALUE"""),0.9)</f>
        <v>0.9</v>
      </c>
      <c r="AA480" s="181">
        <f>IFERROR(__xludf.DUMMYFUNCTION("""COMPUTED_VALUE"""),0.0)</f>
        <v>0</v>
      </c>
      <c r="AB480" s="181">
        <f>IFERROR(__xludf.DUMMYFUNCTION("""COMPUTED_VALUE"""),0.0)</f>
        <v>0</v>
      </c>
      <c r="AC480" s="179">
        <f>IFERROR(__xludf.DUMMYFUNCTION("""COMPUTED_VALUE"""),0.0)</f>
        <v>0</v>
      </c>
      <c r="AD480" s="165">
        <f>IFERROR(__xludf.DUMMYFUNCTION("""COMPUTED_VALUE"""),0.0)</f>
        <v>0</v>
      </c>
      <c r="AE480" s="39" t="str">
        <f>IFERROR(__xludf.DUMMYFUNCTION("""COMPUTED_VALUE"""),"Tatsuya Miyamoto")</f>
        <v>Tatsuya Miyamoto</v>
      </c>
      <c r="AF480" s="39" t="str">
        <f>IFERROR(__xludf.DUMMYFUNCTION("""COMPUTED_VALUE"""),"TM21Amygdala")</f>
        <v>TM21Amygdala</v>
      </c>
      <c r="AG480" s="39"/>
      <c r="AH480" s="39"/>
      <c r="AI480" s="165"/>
      <c r="AJ480" s="165"/>
      <c r="AK480" s="111"/>
      <c r="AL480" s="111"/>
      <c r="AM480" s="111"/>
      <c r="AN480" s="111"/>
      <c r="AO480" s="111"/>
      <c r="AP480" s="111"/>
      <c r="AQ480" s="116"/>
      <c r="AR480" s="116"/>
      <c r="AS480" s="116"/>
    </row>
    <row r="481">
      <c r="A481" s="42" t="str">
        <f>IFERROR(__xludf.DUMMYFUNCTION("""COMPUTED_VALUE"""),"La")</f>
        <v>La</v>
      </c>
      <c r="B481" s="42"/>
      <c r="C481" s="42"/>
      <c r="D481" s="42" t="str">
        <f>IFERROR(__xludf.DUMMYFUNCTION("""COMPUTED_VALUE"""),"DR")</f>
        <v>DR</v>
      </c>
      <c r="E481" s="42"/>
      <c r="F481" s="42"/>
      <c r="G481" s="42"/>
      <c r="H481" s="42" t="str">
        <f>IFERROR(__xludf.DUMMYFUNCTION("""COMPUTED_VALUE"""),"")</f>
        <v/>
      </c>
      <c r="I481" s="42" t="str">
        <f>IFERROR(__xludf.DUMMYFUNCTION("""COMPUTED_VALUE"""),"Pitkänen, 2000")</f>
        <v>Pitkänen, 2000</v>
      </c>
      <c r="J481" s="42" t="str">
        <f>IFERROR(__xludf.DUMMYFUNCTION("""COMPUTED_VALUE"""),"Rat")</f>
        <v>Rat</v>
      </c>
      <c r="K481" s="42" t="str">
        <f>IFERROR(__xludf.DUMMYFUNCTION("""COMPUTED_VALUE"""),"Various tracing")</f>
        <v>Various tracing</v>
      </c>
      <c r="L481" s="42"/>
      <c r="M481" s="42" t="str">
        <f>IFERROR(__xludf.DUMMYFUNCTION("""COMPUTED_VALUE"""),"fig.3-fig.12 (to be specified)")</f>
        <v>fig.3-fig.12 (to be specified)</v>
      </c>
      <c r="N481" s="42"/>
      <c r="O481" s="31" t="str">
        <f>IFERROR(__xludf.DUMMYFUNCTION("""COMPUTED_VALUE"""),"DOC(alt)")</f>
        <v>DOC(alt)</v>
      </c>
      <c r="P481" s="9" t="str">
        <f>IFERROR(__xludf.DUMMYFUNCTION("""COMPUTED_VALUE"""),"Folia morphologica")</f>
        <v>Folia morphologica</v>
      </c>
      <c r="Q481" s="9" t="str">
        <f>IFERROR(__xludf.DUMMYFUNCTION("""COMPUTED_VALUE"""),"Review")</f>
        <v>Review</v>
      </c>
      <c r="R481" s="179" t="str">
        <f>IFERROR(__xludf.DUMMYFUNCTION("""COMPUTED_VALUE"""),"DR (00/00) [Pitkänen, 2000];
")</f>
        <v>DR (00/00) [Pitkänen, 2000];
</v>
      </c>
      <c r="S481" s="179" t="str">
        <f>IFERROR(__xludf.DUMMYFUNCTION("""COMPUTED_VALUE"""),"LaDR")</f>
        <v>LaDR</v>
      </c>
      <c r="T481" s="179" t="str">
        <f>IFERROR(__xludf.DUMMYFUNCTION("""COMPUTED_VALUE"""),"[Pitkänen, 2000]")</f>
        <v>[Pitkänen, 2000]</v>
      </c>
      <c r="U481" s="179">
        <f>IFERROR(__xludf.DUMMYFUNCTION("""COMPUTED_VALUE"""),0.0)</f>
        <v>0</v>
      </c>
      <c r="V481" s="180">
        <f>IFERROR(__xludf.DUMMYFUNCTION("""COMPUTED_VALUE"""),0.0)</f>
        <v>0</v>
      </c>
      <c r="W481" s="180">
        <f>IFERROR(__xludf.DUMMYFUNCTION("""COMPUTED_VALUE"""),0.95)</f>
        <v>0.95</v>
      </c>
      <c r="X481" s="42">
        <f>IFERROR(__xludf.DUMMYFUNCTION("""COMPUTED_VALUE"""),0.8)</f>
        <v>0.8</v>
      </c>
      <c r="Y481" s="42">
        <f>IFERROR(__xludf.DUMMYFUNCTION("""COMPUTED_VALUE"""),0.6)</f>
        <v>0.6</v>
      </c>
      <c r="Z481" s="9">
        <f>IFERROR(__xludf.DUMMYFUNCTION("""COMPUTED_VALUE"""),0.9)</f>
        <v>0.9</v>
      </c>
      <c r="AA481" s="181">
        <f>IFERROR(__xludf.DUMMYFUNCTION("""COMPUTED_VALUE"""),0.0)</f>
        <v>0</v>
      </c>
      <c r="AB481" s="181">
        <f>IFERROR(__xludf.DUMMYFUNCTION("""COMPUTED_VALUE"""),0.0)</f>
        <v>0</v>
      </c>
      <c r="AC481" s="179">
        <f>IFERROR(__xludf.DUMMYFUNCTION("""COMPUTED_VALUE"""),0.0)</f>
        <v>0</v>
      </c>
      <c r="AD481" s="165">
        <f>IFERROR(__xludf.DUMMYFUNCTION("""COMPUTED_VALUE"""),0.0)</f>
        <v>0</v>
      </c>
      <c r="AE481" s="39" t="str">
        <f>IFERROR(__xludf.DUMMYFUNCTION("""COMPUTED_VALUE"""),"Tatsuya Miyamoto")</f>
        <v>Tatsuya Miyamoto</v>
      </c>
      <c r="AF481" s="39" t="str">
        <f>IFERROR(__xludf.DUMMYFUNCTION("""COMPUTED_VALUE"""),"TM21Amygdala")</f>
        <v>TM21Amygdala</v>
      </c>
      <c r="AG481" s="39"/>
      <c r="AH481" s="39"/>
      <c r="AI481" s="165"/>
      <c r="AJ481" s="165"/>
      <c r="AK481" s="111"/>
      <c r="AL481" s="111"/>
      <c r="AM481" s="111"/>
      <c r="AN481" s="111"/>
      <c r="AO481" s="111"/>
      <c r="AP481" s="111"/>
      <c r="AQ481" s="116"/>
      <c r="AR481" s="116"/>
      <c r="AS481" s="116"/>
    </row>
    <row r="482">
      <c r="A482" s="42" t="str">
        <f>IFERROR(__xludf.DUMMYFUNCTION("""COMPUTED_VALUE"""),"La")</f>
        <v>La</v>
      </c>
      <c r="B482" s="42"/>
      <c r="C482" s="42"/>
      <c r="D482" s="42" t="str">
        <f>IFERROR(__xludf.DUMMYFUNCTION("""COMPUTED_VALUE"""),"EC")</f>
        <v>EC</v>
      </c>
      <c r="E482" s="42"/>
      <c r="F482" s="42"/>
      <c r="G482" s="42"/>
      <c r="H482" s="42" t="str">
        <f>IFERROR(__xludf.DUMMYFUNCTION("""COMPUTED_VALUE"""),"")</f>
        <v/>
      </c>
      <c r="I482" s="42" t="str">
        <f>IFERROR(__xludf.DUMMYFUNCTION("""COMPUTED_VALUE"""),"Pitkänen, 2000")</f>
        <v>Pitkänen, 2000</v>
      </c>
      <c r="J482" s="42" t="str">
        <f>IFERROR(__xludf.DUMMYFUNCTION("""COMPUTED_VALUE"""),"Rat")</f>
        <v>Rat</v>
      </c>
      <c r="K482" s="42" t="str">
        <f>IFERROR(__xludf.DUMMYFUNCTION("""COMPUTED_VALUE"""),"Various tracing")</f>
        <v>Various tracing</v>
      </c>
      <c r="L482" s="42"/>
      <c r="M482" s="42" t="str">
        <f>IFERROR(__xludf.DUMMYFUNCTION("""COMPUTED_VALUE"""),"fig.3-fig.12 (to be specified)")</f>
        <v>fig.3-fig.12 (to be specified)</v>
      </c>
      <c r="N482" s="42"/>
      <c r="O482" s="31" t="str">
        <f>IFERROR(__xludf.DUMMYFUNCTION("""COMPUTED_VALUE"""),"DOC(alt)")</f>
        <v>DOC(alt)</v>
      </c>
      <c r="P482" s="9" t="str">
        <f>IFERROR(__xludf.DUMMYFUNCTION("""COMPUTED_VALUE"""),"Folia morphologica")</f>
        <v>Folia morphologica</v>
      </c>
      <c r="Q482" s="9" t="str">
        <f>IFERROR(__xludf.DUMMYFUNCTION("""COMPUTED_VALUE"""),"Review")</f>
        <v>Review</v>
      </c>
      <c r="R482" s="179" t="str">
        <f>IFERROR(__xludf.DUMMYFUNCTION("""COMPUTED_VALUE"""),"EC (00/00) [Pitkänen, 2000];
")</f>
        <v>EC (00/00) [Pitkänen, 2000];
</v>
      </c>
      <c r="S482" s="179" t="str">
        <f>IFERROR(__xludf.DUMMYFUNCTION("""COMPUTED_VALUE"""),"LaEC")</f>
        <v>LaEC</v>
      </c>
      <c r="T482" s="179" t="str">
        <f>IFERROR(__xludf.DUMMYFUNCTION("""COMPUTED_VALUE"""),"[Pitkänen, 2000]")</f>
        <v>[Pitkänen, 2000]</v>
      </c>
      <c r="U482" s="179">
        <f>IFERROR(__xludf.DUMMYFUNCTION("""COMPUTED_VALUE"""),0.0)</f>
        <v>0</v>
      </c>
      <c r="V482" s="180">
        <f>IFERROR(__xludf.DUMMYFUNCTION("""COMPUTED_VALUE"""),0.0)</f>
        <v>0</v>
      </c>
      <c r="W482" s="180">
        <f>IFERROR(__xludf.DUMMYFUNCTION("""COMPUTED_VALUE"""),0.95)</f>
        <v>0.95</v>
      </c>
      <c r="X482" s="42">
        <f>IFERROR(__xludf.DUMMYFUNCTION("""COMPUTED_VALUE"""),0.8)</f>
        <v>0.8</v>
      </c>
      <c r="Y482" s="42">
        <f>IFERROR(__xludf.DUMMYFUNCTION("""COMPUTED_VALUE"""),0.6)</f>
        <v>0.6</v>
      </c>
      <c r="Z482" s="9">
        <f>IFERROR(__xludf.DUMMYFUNCTION("""COMPUTED_VALUE"""),0.9)</f>
        <v>0.9</v>
      </c>
      <c r="AA482" s="181">
        <f>IFERROR(__xludf.DUMMYFUNCTION("""COMPUTED_VALUE"""),0.0)</f>
        <v>0</v>
      </c>
      <c r="AB482" s="181">
        <f>IFERROR(__xludf.DUMMYFUNCTION("""COMPUTED_VALUE"""),0.0)</f>
        <v>0</v>
      </c>
      <c r="AC482" s="179">
        <f>IFERROR(__xludf.DUMMYFUNCTION("""COMPUTED_VALUE"""),0.0)</f>
        <v>0</v>
      </c>
      <c r="AD482" s="165">
        <f>IFERROR(__xludf.DUMMYFUNCTION("""COMPUTED_VALUE"""),0.0)</f>
        <v>0</v>
      </c>
      <c r="AE482" s="39" t="str">
        <f>IFERROR(__xludf.DUMMYFUNCTION("""COMPUTED_VALUE"""),"Tatsuya Miyamoto")</f>
        <v>Tatsuya Miyamoto</v>
      </c>
      <c r="AF482" s="39" t="str">
        <f>IFERROR(__xludf.DUMMYFUNCTION("""COMPUTED_VALUE"""),"TM21Amygdala")</f>
        <v>TM21Amygdala</v>
      </c>
      <c r="AG482" s="39"/>
      <c r="AH482" s="39"/>
      <c r="AI482" s="165"/>
      <c r="AJ482" s="165"/>
      <c r="AK482" s="111"/>
      <c r="AL482" s="111"/>
      <c r="AM482" s="111"/>
      <c r="AN482" s="111"/>
      <c r="AO482" s="111"/>
      <c r="AP482" s="111"/>
      <c r="AQ482" s="116"/>
      <c r="AR482" s="116"/>
      <c r="AS482" s="116"/>
    </row>
    <row r="483">
      <c r="A483" s="42" t="str">
        <f>IFERROR(__xludf.DUMMYFUNCTION("""COMPUTED_VALUE"""),"La")</f>
        <v>La</v>
      </c>
      <c r="B483" s="42"/>
      <c r="C483" s="42"/>
      <c r="D483" s="42" t="str">
        <f>IFERROR(__xludf.DUMMYFUNCTION("""COMPUTED_VALUE"""),"IL")</f>
        <v>IL</v>
      </c>
      <c r="E483" s="42"/>
      <c r="F483" s="42"/>
      <c r="G483" s="42"/>
      <c r="H483" s="42" t="str">
        <f>IFERROR(__xludf.DUMMYFUNCTION("""COMPUTED_VALUE"""),"")</f>
        <v/>
      </c>
      <c r="I483" s="42" t="str">
        <f>IFERROR(__xludf.DUMMYFUNCTION("""COMPUTED_VALUE"""),"Pitkänen, 2000")</f>
        <v>Pitkänen, 2000</v>
      </c>
      <c r="J483" s="42" t="str">
        <f>IFERROR(__xludf.DUMMYFUNCTION("""COMPUTED_VALUE"""),"Rat")</f>
        <v>Rat</v>
      </c>
      <c r="K483" s="42" t="str">
        <f>IFERROR(__xludf.DUMMYFUNCTION("""COMPUTED_VALUE"""),"Various tracing")</f>
        <v>Various tracing</v>
      </c>
      <c r="L483" s="42"/>
      <c r="M483" s="42" t="str">
        <f>IFERROR(__xludf.DUMMYFUNCTION("""COMPUTED_VALUE"""),"fig.3-fig.12 (to be specified)")</f>
        <v>fig.3-fig.12 (to be specified)</v>
      </c>
      <c r="N483" s="42"/>
      <c r="O483" s="31" t="str">
        <f>IFERROR(__xludf.DUMMYFUNCTION("""COMPUTED_VALUE"""),"DOC(alt)")</f>
        <v>DOC(alt)</v>
      </c>
      <c r="P483" s="9" t="str">
        <f>IFERROR(__xludf.DUMMYFUNCTION("""COMPUTED_VALUE"""),"Folia morphologica")</f>
        <v>Folia morphologica</v>
      </c>
      <c r="Q483" s="9" t="str">
        <f>IFERROR(__xludf.DUMMYFUNCTION("""COMPUTED_VALUE"""),"Review")</f>
        <v>Review</v>
      </c>
      <c r="R483" s="179" t="str">
        <f>IFERROR(__xludf.DUMMYFUNCTION("""COMPUTED_VALUE"""),"IL (00/00) [Pitkänen, 2000];
")</f>
        <v>IL (00/00) [Pitkänen, 2000];
</v>
      </c>
      <c r="S483" s="179" t="str">
        <f>IFERROR(__xludf.DUMMYFUNCTION("""COMPUTED_VALUE"""),"LaIL")</f>
        <v>LaIL</v>
      </c>
      <c r="T483" s="179" t="str">
        <f>IFERROR(__xludf.DUMMYFUNCTION("""COMPUTED_VALUE"""),"[Pitkänen, 2000]")</f>
        <v>[Pitkänen, 2000]</v>
      </c>
      <c r="U483" s="179">
        <f>IFERROR(__xludf.DUMMYFUNCTION("""COMPUTED_VALUE"""),0.0)</f>
        <v>0</v>
      </c>
      <c r="V483" s="180">
        <f>IFERROR(__xludf.DUMMYFUNCTION("""COMPUTED_VALUE"""),0.0)</f>
        <v>0</v>
      </c>
      <c r="W483" s="180">
        <f>IFERROR(__xludf.DUMMYFUNCTION("""COMPUTED_VALUE"""),0.95)</f>
        <v>0.95</v>
      </c>
      <c r="X483" s="42">
        <f>IFERROR(__xludf.DUMMYFUNCTION("""COMPUTED_VALUE"""),0.8)</f>
        <v>0.8</v>
      </c>
      <c r="Y483" s="42">
        <f>IFERROR(__xludf.DUMMYFUNCTION("""COMPUTED_VALUE"""),0.6)</f>
        <v>0.6</v>
      </c>
      <c r="Z483" s="9">
        <f>IFERROR(__xludf.DUMMYFUNCTION("""COMPUTED_VALUE"""),0.9)</f>
        <v>0.9</v>
      </c>
      <c r="AA483" s="181">
        <f>IFERROR(__xludf.DUMMYFUNCTION("""COMPUTED_VALUE"""),0.0)</f>
        <v>0</v>
      </c>
      <c r="AB483" s="181">
        <f>IFERROR(__xludf.DUMMYFUNCTION("""COMPUTED_VALUE"""),0.0)</f>
        <v>0</v>
      </c>
      <c r="AC483" s="179">
        <f>IFERROR(__xludf.DUMMYFUNCTION("""COMPUTED_VALUE"""),0.0)</f>
        <v>0</v>
      </c>
      <c r="AD483" s="165">
        <f>IFERROR(__xludf.DUMMYFUNCTION("""COMPUTED_VALUE"""),0.0)</f>
        <v>0</v>
      </c>
      <c r="AE483" s="39" t="str">
        <f>IFERROR(__xludf.DUMMYFUNCTION("""COMPUTED_VALUE"""),"Tatsuya Miyamoto")</f>
        <v>Tatsuya Miyamoto</v>
      </c>
      <c r="AF483" s="39" t="str">
        <f>IFERROR(__xludf.DUMMYFUNCTION("""COMPUTED_VALUE"""),"TM21Amygdala")</f>
        <v>TM21Amygdala</v>
      </c>
      <c r="AG483" s="39"/>
      <c r="AH483" s="39"/>
      <c r="AI483" s="165"/>
      <c r="AJ483" s="165"/>
      <c r="AK483" s="111"/>
      <c r="AL483" s="111"/>
      <c r="AM483" s="111"/>
      <c r="AN483" s="111"/>
      <c r="AO483" s="111"/>
      <c r="AP483" s="111"/>
      <c r="AQ483" s="116"/>
      <c r="AR483" s="116"/>
      <c r="AS483" s="116"/>
    </row>
    <row r="484">
      <c r="A484" s="42" t="str">
        <f>IFERROR(__xludf.DUMMYFUNCTION("""COMPUTED_VALUE"""),"La")</f>
        <v>La</v>
      </c>
      <c r="B484" s="42"/>
      <c r="C484" s="42"/>
      <c r="D484" s="42" t="str">
        <f>IFERROR(__xludf.DUMMYFUNCTION("""COMPUTED_VALUE"""),"PaRh")</f>
        <v>PaRh</v>
      </c>
      <c r="E484" s="42"/>
      <c r="F484" s="42"/>
      <c r="G484" s="42"/>
      <c r="H484" s="42" t="str">
        <f>IFERROR(__xludf.DUMMYFUNCTION("""COMPUTED_VALUE"""),"")</f>
        <v/>
      </c>
      <c r="I484" s="42" t="str">
        <f>IFERROR(__xludf.DUMMYFUNCTION("""COMPUTED_VALUE"""),"Pitkänen, 2000")</f>
        <v>Pitkänen, 2000</v>
      </c>
      <c r="J484" s="42" t="str">
        <f>IFERROR(__xludf.DUMMYFUNCTION("""COMPUTED_VALUE"""),"Rat")</f>
        <v>Rat</v>
      </c>
      <c r="K484" s="42" t="str">
        <f>IFERROR(__xludf.DUMMYFUNCTION("""COMPUTED_VALUE"""),"Various tracing")</f>
        <v>Various tracing</v>
      </c>
      <c r="L484" s="42"/>
      <c r="M484" s="42" t="str">
        <f>IFERROR(__xludf.DUMMYFUNCTION("""COMPUTED_VALUE"""),"fig.3-fig.12 (to be specified)")</f>
        <v>fig.3-fig.12 (to be specified)</v>
      </c>
      <c r="N484" s="42"/>
      <c r="O484" s="31" t="str">
        <f>IFERROR(__xludf.DUMMYFUNCTION("""COMPUTED_VALUE"""),"DOC(alt)")</f>
        <v>DOC(alt)</v>
      </c>
      <c r="P484" s="9" t="str">
        <f>IFERROR(__xludf.DUMMYFUNCTION("""COMPUTED_VALUE"""),"Folia morphologica")</f>
        <v>Folia morphologica</v>
      </c>
      <c r="Q484" s="9" t="str">
        <f>IFERROR(__xludf.DUMMYFUNCTION("""COMPUTED_VALUE"""),"Review")</f>
        <v>Review</v>
      </c>
      <c r="R484" s="179" t="str">
        <f>IFERROR(__xludf.DUMMYFUNCTION("""COMPUTED_VALUE"""),"PaRh (00/00) [Pitkänen, 2000];
")</f>
        <v>PaRh (00/00) [Pitkänen, 2000];
</v>
      </c>
      <c r="S484" s="179" t="str">
        <f>IFERROR(__xludf.DUMMYFUNCTION("""COMPUTED_VALUE"""),"LaPaRh")</f>
        <v>LaPaRh</v>
      </c>
      <c r="T484" s="179" t="str">
        <f>IFERROR(__xludf.DUMMYFUNCTION("""COMPUTED_VALUE"""),"[Pitkänen, 2000]")</f>
        <v>[Pitkänen, 2000]</v>
      </c>
      <c r="U484" s="179">
        <f>IFERROR(__xludf.DUMMYFUNCTION("""COMPUTED_VALUE"""),0.0)</f>
        <v>0</v>
      </c>
      <c r="V484" s="180">
        <f>IFERROR(__xludf.DUMMYFUNCTION("""COMPUTED_VALUE"""),0.0)</f>
        <v>0</v>
      </c>
      <c r="W484" s="180">
        <f>IFERROR(__xludf.DUMMYFUNCTION("""COMPUTED_VALUE"""),0.95)</f>
        <v>0.95</v>
      </c>
      <c r="X484" s="42">
        <f>IFERROR(__xludf.DUMMYFUNCTION("""COMPUTED_VALUE"""),0.8)</f>
        <v>0.8</v>
      </c>
      <c r="Y484" s="42">
        <f>IFERROR(__xludf.DUMMYFUNCTION("""COMPUTED_VALUE"""),0.6)</f>
        <v>0.6</v>
      </c>
      <c r="Z484" s="9">
        <f>IFERROR(__xludf.DUMMYFUNCTION("""COMPUTED_VALUE"""),0.9)</f>
        <v>0.9</v>
      </c>
      <c r="AA484" s="181">
        <f>IFERROR(__xludf.DUMMYFUNCTION("""COMPUTED_VALUE"""),0.0)</f>
        <v>0</v>
      </c>
      <c r="AB484" s="181">
        <f>IFERROR(__xludf.DUMMYFUNCTION("""COMPUTED_VALUE"""),0.0)</f>
        <v>0</v>
      </c>
      <c r="AC484" s="179">
        <f>IFERROR(__xludf.DUMMYFUNCTION("""COMPUTED_VALUE"""),0.0)</f>
        <v>0</v>
      </c>
      <c r="AD484" s="165">
        <f>IFERROR(__xludf.DUMMYFUNCTION("""COMPUTED_VALUE"""),0.0)</f>
        <v>0</v>
      </c>
      <c r="AE484" s="39" t="str">
        <f>IFERROR(__xludf.DUMMYFUNCTION("""COMPUTED_VALUE"""),"Tatsuya Miyamoto")</f>
        <v>Tatsuya Miyamoto</v>
      </c>
      <c r="AF484" s="39" t="str">
        <f>IFERROR(__xludf.DUMMYFUNCTION("""COMPUTED_VALUE"""),"TM21Amygdala")</f>
        <v>TM21Amygdala</v>
      </c>
      <c r="AG484" s="39"/>
      <c r="AH484" s="39"/>
      <c r="AI484" s="165"/>
      <c r="AJ484" s="165"/>
      <c r="AK484" s="111"/>
      <c r="AL484" s="111"/>
      <c r="AM484" s="111"/>
      <c r="AN484" s="111"/>
      <c r="AO484" s="111"/>
      <c r="AP484" s="111"/>
      <c r="AQ484" s="116"/>
      <c r="AR484" s="116"/>
      <c r="AS484" s="116"/>
    </row>
    <row r="485">
      <c r="A485" s="42" t="str">
        <f>IFERROR(__xludf.DUMMYFUNCTION("""COMPUTED_VALUE"""),"La")</f>
        <v>La</v>
      </c>
      <c r="B485" s="42"/>
      <c r="C485" s="42"/>
      <c r="D485" s="42" t="str">
        <f>IFERROR(__xludf.DUMMYFUNCTION("""COMPUTED_VALUE"""),"PaV")</f>
        <v>PaV</v>
      </c>
      <c r="E485" s="42"/>
      <c r="F485" s="42"/>
      <c r="G485" s="42"/>
      <c r="H485" s="42" t="str">
        <f>IFERROR(__xludf.DUMMYFUNCTION("""COMPUTED_VALUE"""),"")</f>
        <v/>
      </c>
      <c r="I485" s="42" t="str">
        <f>IFERROR(__xludf.DUMMYFUNCTION("""COMPUTED_VALUE"""),"Pitkänen, 2000")</f>
        <v>Pitkänen, 2000</v>
      </c>
      <c r="J485" s="42" t="str">
        <f>IFERROR(__xludf.DUMMYFUNCTION("""COMPUTED_VALUE"""),"Rat")</f>
        <v>Rat</v>
      </c>
      <c r="K485" s="42" t="str">
        <f>IFERROR(__xludf.DUMMYFUNCTION("""COMPUTED_VALUE"""),"Various tracing")</f>
        <v>Various tracing</v>
      </c>
      <c r="L485" s="42"/>
      <c r="M485" s="42" t="str">
        <f>IFERROR(__xludf.DUMMYFUNCTION("""COMPUTED_VALUE"""),"fig.3-fig.12 (to be specified)")</f>
        <v>fig.3-fig.12 (to be specified)</v>
      </c>
      <c r="N485" s="42"/>
      <c r="O485" s="31" t="str">
        <f>IFERROR(__xludf.DUMMYFUNCTION("""COMPUTED_VALUE"""),"DOC(alt)")</f>
        <v>DOC(alt)</v>
      </c>
      <c r="P485" s="9" t="str">
        <f>IFERROR(__xludf.DUMMYFUNCTION("""COMPUTED_VALUE"""),"Folia morphologica")</f>
        <v>Folia morphologica</v>
      </c>
      <c r="Q485" s="9" t="str">
        <f>IFERROR(__xludf.DUMMYFUNCTION("""COMPUTED_VALUE"""),"Review")</f>
        <v>Review</v>
      </c>
      <c r="R485" s="179" t="str">
        <f>IFERROR(__xludf.DUMMYFUNCTION("""COMPUTED_VALUE"""),"PaV (00/00) [Pitkänen, 2000];
")</f>
        <v>PaV (00/00) [Pitkänen, 2000];
</v>
      </c>
      <c r="S485" s="179" t="str">
        <f>IFERROR(__xludf.DUMMYFUNCTION("""COMPUTED_VALUE"""),"LaPaV")</f>
        <v>LaPaV</v>
      </c>
      <c r="T485" s="179" t="str">
        <f>IFERROR(__xludf.DUMMYFUNCTION("""COMPUTED_VALUE"""),"[Pitkänen, 2000]")</f>
        <v>[Pitkänen, 2000]</v>
      </c>
      <c r="U485" s="179">
        <f>IFERROR(__xludf.DUMMYFUNCTION("""COMPUTED_VALUE"""),0.0)</f>
        <v>0</v>
      </c>
      <c r="V485" s="180">
        <f>IFERROR(__xludf.DUMMYFUNCTION("""COMPUTED_VALUE"""),0.0)</f>
        <v>0</v>
      </c>
      <c r="W485" s="180">
        <f>IFERROR(__xludf.DUMMYFUNCTION("""COMPUTED_VALUE"""),0.95)</f>
        <v>0.95</v>
      </c>
      <c r="X485" s="42">
        <f>IFERROR(__xludf.DUMMYFUNCTION("""COMPUTED_VALUE"""),0.8)</f>
        <v>0.8</v>
      </c>
      <c r="Y485" s="42">
        <f>IFERROR(__xludf.DUMMYFUNCTION("""COMPUTED_VALUE"""),0.6)</f>
        <v>0.6</v>
      </c>
      <c r="Z485" s="9">
        <f>IFERROR(__xludf.DUMMYFUNCTION("""COMPUTED_VALUE"""),0.9)</f>
        <v>0.9</v>
      </c>
      <c r="AA485" s="181">
        <f>IFERROR(__xludf.DUMMYFUNCTION("""COMPUTED_VALUE"""),0.0)</f>
        <v>0</v>
      </c>
      <c r="AB485" s="181">
        <f>IFERROR(__xludf.DUMMYFUNCTION("""COMPUTED_VALUE"""),0.0)</f>
        <v>0</v>
      </c>
      <c r="AC485" s="179">
        <f>IFERROR(__xludf.DUMMYFUNCTION("""COMPUTED_VALUE"""),0.0)</f>
        <v>0</v>
      </c>
      <c r="AD485" s="165">
        <f>IFERROR(__xludf.DUMMYFUNCTION("""COMPUTED_VALUE"""),0.0)</f>
        <v>0</v>
      </c>
      <c r="AE485" s="39" t="str">
        <f>IFERROR(__xludf.DUMMYFUNCTION("""COMPUTED_VALUE"""),"Tatsuya Miyamoto")</f>
        <v>Tatsuya Miyamoto</v>
      </c>
      <c r="AF485" s="39" t="str">
        <f>IFERROR(__xludf.DUMMYFUNCTION("""COMPUTED_VALUE"""),"TM21Amygdala")</f>
        <v>TM21Amygdala</v>
      </c>
      <c r="AG485" s="39"/>
      <c r="AH485" s="39"/>
      <c r="AI485" s="165"/>
      <c r="AJ485" s="165"/>
      <c r="AK485" s="111"/>
      <c r="AL485" s="111"/>
      <c r="AM485" s="111"/>
      <c r="AN485" s="111"/>
      <c r="AO485" s="111"/>
      <c r="AP485" s="111"/>
      <c r="AQ485" s="116"/>
      <c r="AR485" s="116"/>
      <c r="AS485" s="116"/>
    </row>
    <row r="486">
      <c r="A486" s="42" t="str">
        <f>IFERROR(__xludf.DUMMYFUNCTION("""COMPUTED_VALUE"""),"La")</f>
        <v>La</v>
      </c>
      <c r="B486" s="42"/>
      <c r="C486" s="42"/>
      <c r="D486" s="42" t="str">
        <f>IFERROR(__xludf.DUMMYFUNCTION("""COMPUTED_VALUE"""),"PeF")</f>
        <v>PeF</v>
      </c>
      <c r="E486" s="42"/>
      <c r="F486" s="42"/>
      <c r="G486" s="42"/>
      <c r="H486" s="42" t="str">
        <f>IFERROR(__xludf.DUMMYFUNCTION("""COMPUTED_VALUE"""),"")</f>
        <v/>
      </c>
      <c r="I486" s="42" t="str">
        <f>IFERROR(__xludf.DUMMYFUNCTION("""COMPUTED_VALUE"""),"Pitkänen, 2000")</f>
        <v>Pitkänen, 2000</v>
      </c>
      <c r="J486" s="42" t="str">
        <f>IFERROR(__xludf.DUMMYFUNCTION("""COMPUTED_VALUE"""),"Rat")</f>
        <v>Rat</v>
      </c>
      <c r="K486" s="42" t="str">
        <f>IFERROR(__xludf.DUMMYFUNCTION("""COMPUTED_VALUE"""),"Various tracing")</f>
        <v>Various tracing</v>
      </c>
      <c r="L486" s="42"/>
      <c r="M486" s="42" t="str">
        <f>IFERROR(__xludf.DUMMYFUNCTION("""COMPUTED_VALUE"""),"fig.3-fig.12 (to be specified)")</f>
        <v>fig.3-fig.12 (to be specified)</v>
      </c>
      <c r="N486" s="42"/>
      <c r="O486" s="31" t="str">
        <f>IFERROR(__xludf.DUMMYFUNCTION("""COMPUTED_VALUE"""),"DOC(alt)")</f>
        <v>DOC(alt)</v>
      </c>
      <c r="P486" s="9" t="str">
        <f>IFERROR(__xludf.DUMMYFUNCTION("""COMPUTED_VALUE"""),"Folia morphologica")</f>
        <v>Folia morphologica</v>
      </c>
      <c r="Q486" s="9" t="str">
        <f>IFERROR(__xludf.DUMMYFUNCTION("""COMPUTED_VALUE"""),"Review")</f>
        <v>Review</v>
      </c>
      <c r="R486" s="179" t="str">
        <f>IFERROR(__xludf.DUMMYFUNCTION("""COMPUTED_VALUE"""),"PeF (00/00) [Pitkänen, 2000];
")</f>
        <v>PeF (00/00) [Pitkänen, 2000];
</v>
      </c>
      <c r="S486" s="179" t="str">
        <f>IFERROR(__xludf.DUMMYFUNCTION("""COMPUTED_VALUE"""),"LaPeF")</f>
        <v>LaPeF</v>
      </c>
      <c r="T486" s="179" t="str">
        <f>IFERROR(__xludf.DUMMYFUNCTION("""COMPUTED_VALUE"""),"[Pitkänen, 2000]")</f>
        <v>[Pitkänen, 2000]</v>
      </c>
      <c r="U486" s="179">
        <f>IFERROR(__xludf.DUMMYFUNCTION("""COMPUTED_VALUE"""),0.0)</f>
        <v>0</v>
      </c>
      <c r="V486" s="180">
        <f>IFERROR(__xludf.DUMMYFUNCTION("""COMPUTED_VALUE"""),0.0)</f>
        <v>0</v>
      </c>
      <c r="W486" s="180">
        <f>IFERROR(__xludf.DUMMYFUNCTION("""COMPUTED_VALUE"""),0.95)</f>
        <v>0.95</v>
      </c>
      <c r="X486" s="42">
        <f>IFERROR(__xludf.DUMMYFUNCTION("""COMPUTED_VALUE"""),0.8)</f>
        <v>0.8</v>
      </c>
      <c r="Y486" s="42">
        <f>IFERROR(__xludf.DUMMYFUNCTION("""COMPUTED_VALUE"""),0.6)</f>
        <v>0.6</v>
      </c>
      <c r="Z486" s="9">
        <f>IFERROR(__xludf.DUMMYFUNCTION("""COMPUTED_VALUE"""),0.9)</f>
        <v>0.9</v>
      </c>
      <c r="AA486" s="181">
        <f>IFERROR(__xludf.DUMMYFUNCTION("""COMPUTED_VALUE"""),0.0)</f>
        <v>0</v>
      </c>
      <c r="AB486" s="181">
        <f>IFERROR(__xludf.DUMMYFUNCTION("""COMPUTED_VALUE"""),0.0)</f>
        <v>0</v>
      </c>
      <c r="AC486" s="179">
        <f>IFERROR(__xludf.DUMMYFUNCTION("""COMPUTED_VALUE"""),0.0)</f>
        <v>0</v>
      </c>
      <c r="AD486" s="165">
        <f>IFERROR(__xludf.DUMMYFUNCTION("""COMPUTED_VALUE"""),0.0)</f>
        <v>0</v>
      </c>
      <c r="AE486" s="39" t="str">
        <f>IFERROR(__xludf.DUMMYFUNCTION("""COMPUTED_VALUE"""),"Tatsuya Miyamoto")</f>
        <v>Tatsuya Miyamoto</v>
      </c>
      <c r="AF486" s="39" t="str">
        <f>IFERROR(__xludf.DUMMYFUNCTION("""COMPUTED_VALUE"""),"TM21Amygdala")</f>
        <v>TM21Amygdala</v>
      </c>
      <c r="AG486" s="39"/>
      <c r="AH486" s="39"/>
      <c r="AI486" s="165"/>
      <c r="AJ486" s="165"/>
      <c r="AK486" s="111"/>
      <c r="AL486" s="111"/>
      <c r="AM486" s="111"/>
      <c r="AN486" s="111"/>
      <c r="AO486" s="111"/>
      <c r="AP486" s="111"/>
      <c r="AQ486" s="116"/>
      <c r="AR486" s="116"/>
      <c r="AS486" s="116"/>
    </row>
    <row r="487">
      <c r="A487" s="42" t="str">
        <f>IFERROR(__xludf.DUMMYFUNCTION("""COMPUTED_VALUE"""),"La")</f>
        <v>La</v>
      </c>
      <c r="B487" s="42"/>
      <c r="C487" s="42"/>
      <c r="D487" s="42" t="str">
        <f>IFERROR(__xludf.DUMMYFUNCTION("""COMPUTED_VALUE"""),"PHN")</f>
        <v>PHN</v>
      </c>
      <c r="E487" s="42"/>
      <c r="F487" s="42"/>
      <c r="G487" s="42"/>
      <c r="H487" s="42" t="str">
        <f>IFERROR(__xludf.DUMMYFUNCTION("""COMPUTED_VALUE"""),"")</f>
        <v/>
      </c>
      <c r="I487" s="42" t="str">
        <f>IFERROR(__xludf.DUMMYFUNCTION("""COMPUTED_VALUE"""),"Pitkänen, 2000")</f>
        <v>Pitkänen, 2000</v>
      </c>
      <c r="J487" s="42" t="str">
        <f>IFERROR(__xludf.DUMMYFUNCTION("""COMPUTED_VALUE"""),"Rat")</f>
        <v>Rat</v>
      </c>
      <c r="K487" s="42" t="str">
        <f>IFERROR(__xludf.DUMMYFUNCTION("""COMPUTED_VALUE"""),"Various tracing")</f>
        <v>Various tracing</v>
      </c>
      <c r="L487" s="42"/>
      <c r="M487" s="42" t="str">
        <f>IFERROR(__xludf.DUMMYFUNCTION("""COMPUTED_VALUE"""),"fig.3-fig.12 (to be specified)")</f>
        <v>fig.3-fig.12 (to be specified)</v>
      </c>
      <c r="N487" s="42"/>
      <c r="O487" s="31" t="str">
        <f>IFERROR(__xludf.DUMMYFUNCTION("""COMPUTED_VALUE"""),"DOC(alt)")</f>
        <v>DOC(alt)</v>
      </c>
      <c r="P487" s="9" t="str">
        <f>IFERROR(__xludf.DUMMYFUNCTION("""COMPUTED_VALUE"""),"Folia morphologica")</f>
        <v>Folia morphologica</v>
      </c>
      <c r="Q487" s="9" t="str">
        <f>IFERROR(__xludf.DUMMYFUNCTION("""COMPUTED_VALUE"""),"Review")</f>
        <v>Review</v>
      </c>
      <c r="R487" s="179" t="str">
        <f>IFERROR(__xludf.DUMMYFUNCTION("""COMPUTED_VALUE"""),"PHN (00/00) [Pitkänen, 2000];
")</f>
        <v>PHN (00/00) [Pitkänen, 2000];
</v>
      </c>
      <c r="S487" s="179" t="str">
        <f>IFERROR(__xludf.DUMMYFUNCTION("""COMPUTED_VALUE"""),"LaPHN")</f>
        <v>LaPHN</v>
      </c>
      <c r="T487" s="179" t="str">
        <f>IFERROR(__xludf.DUMMYFUNCTION("""COMPUTED_VALUE"""),"[Pitkänen, 2000]")</f>
        <v>[Pitkänen, 2000]</v>
      </c>
      <c r="U487" s="179">
        <f>IFERROR(__xludf.DUMMYFUNCTION("""COMPUTED_VALUE"""),0.0)</f>
        <v>0</v>
      </c>
      <c r="V487" s="180">
        <f>IFERROR(__xludf.DUMMYFUNCTION("""COMPUTED_VALUE"""),0.0)</f>
        <v>0</v>
      </c>
      <c r="W487" s="180">
        <f>IFERROR(__xludf.DUMMYFUNCTION("""COMPUTED_VALUE"""),0.95)</f>
        <v>0.95</v>
      </c>
      <c r="X487" s="42">
        <f>IFERROR(__xludf.DUMMYFUNCTION("""COMPUTED_VALUE"""),0.8)</f>
        <v>0.8</v>
      </c>
      <c r="Y487" s="42">
        <f>IFERROR(__xludf.DUMMYFUNCTION("""COMPUTED_VALUE"""),0.6)</f>
        <v>0.6</v>
      </c>
      <c r="Z487" s="9">
        <f>IFERROR(__xludf.DUMMYFUNCTION("""COMPUTED_VALUE"""),0.9)</f>
        <v>0.9</v>
      </c>
      <c r="AA487" s="181">
        <f>IFERROR(__xludf.DUMMYFUNCTION("""COMPUTED_VALUE"""),0.0)</f>
        <v>0</v>
      </c>
      <c r="AB487" s="181">
        <f>IFERROR(__xludf.DUMMYFUNCTION("""COMPUTED_VALUE"""),0.0)</f>
        <v>0</v>
      </c>
      <c r="AC487" s="179">
        <f>IFERROR(__xludf.DUMMYFUNCTION("""COMPUTED_VALUE"""),0.0)</f>
        <v>0</v>
      </c>
      <c r="AD487" s="165">
        <f>IFERROR(__xludf.DUMMYFUNCTION("""COMPUTED_VALUE"""),0.0)</f>
        <v>0</v>
      </c>
      <c r="AE487" s="39" t="str">
        <f>IFERROR(__xludf.DUMMYFUNCTION("""COMPUTED_VALUE"""),"Tatsuya Miyamoto")</f>
        <v>Tatsuya Miyamoto</v>
      </c>
      <c r="AF487" s="39" t="str">
        <f>IFERROR(__xludf.DUMMYFUNCTION("""COMPUTED_VALUE"""),"TM21Amygdala")</f>
        <v>TM21Amygdala</v>
      </c>
      <c r="AG487" s="39"/>
      <c r="AH487" s="39"/>
      <c r="AI487" s="165"/>
      <c r="AJ487" s="165"/>
      <c r="AK487" s="111"/>
      <c r="AL487" s="111"/>
      <c r="AM487" s="111"/>
      <c r="AN487" s="111"/>
      <c r="AO487" s="111"/>
      <c r="AP487" s="111"/>
      <c r="AQ487" s="116"/>
      <c r="AR487" s="116"/>
      <c r="AS487" s="116"/>
    </row>
    <row r="488">
      <c r="A488" s="42" t="str">
        <f>IFERROR(__xludf.DUMMYFUNCTION("""COMPUTED_VALUE"""),"La")</f>
        <v>La</v>
      </c>
      <c r="B488" s="42"/>
      <c r="C488" s="42"/>
      <c r="D488" s="42" t="str">
        <f>IFERROR(__xludf.DUMMYFUNCTION("""COMPUTED_VALUE"""),"PILN")</f>
        <v>PILN</v>
      </c>
      <c r="E488" s="42"/>
      <c r="F488" s="42"/>
      <c r="G488" s="42"/>
      <c r="H488" s="42" t="str">
        <f>IFERROR(__xludf.DUMMYFUNCTION("""COMPUTED_VALUE"""),"")</f>
        <v/>
      </c>
      <c r="I488" s="42" t="str">
        <f>IFERROR(__xludf.DUMMYFUNCTION("""COMPUTED_VALUE"""),"Pitkänen, 2000")</f>
        <v>Pitkänen, 2000</v>
      </c>
      <c r="J488" s="42" t="str">
        <f>IFERROR(__xludf.DUMMYFUNCTION("""COMPUTED_VALUE"""),"Rat")</f>
        <v>Rat</v>
      </c>
      <c r="K488" s="42" t="str">
        <f>IFERROR(__xludf.DUMMYFUNCTION("""COMPUTED_VALUE"""),"Various tracing")</f>
        <v>Various tracing</v>
      </c>
      <c r="L488" s="42"/>
      <c r="M488" s="42" t="str">
        <f>IFERROR(__xludf.DUMMYFUNCTION("""COMPUTED_VALUE"""),"fig.3-fig.12 (to be specified)")</f>
        <v>fig.3-fig.12 (to be specified)</v>
      </c>
      <c r="N488" s="38"/>
      <c r="O488" s="31" t="str">
        <f>IFERROR(__xludf.DUMMYFUNCTION("""COMPUTED_VALUE"""),"DOC(alt)")</f>
        <v>DOC(alt)</v>
      </c>
      <c r="P488" s="9" t="str">
        <f>IFERROR(__xludf.DUMMYFUNCTION("""COMPUTED_VALUE"""),"Folia morphologica")</f>
        <v>Folia morphologica</v>
      </c>
      <c r="Q488" s="9" t="str">
        <f>IFERROR(__xludf.DUMMYFUNCTION("""COMPUTED_VALUE"""),"Review")</f>
        <v>Review</v>
      </c>
      <c r="R488" s="179" t="str">
        <f>IFERROR(__xludf.DUMMYFUNCTION("""COMPUTED_VALUE"""),"PILN (00/00) [Pitkänen, 2000];
")</f>
        <v>PILN (00/00) [Pitkänen, 2000];
</v>
      </c>
      <c r="S488" s="179" t="str">
        <f>IFERROR(__xludf.DUMMYFUNCTION("""COMPUTED_VALUE"""),"LaPILN")</f>
        <v>LaPILN</v>
      </c>
      <c r="T488" s="179" t="str">
        <f>IFERROR(__xludf.DUMMYFUNCTION("""COMPUTED_VALUE"""),"[Pitkänen, 2000]")</f>
        <v>[Pitkänen, 2000]</v>
      </c>
      <c r="U488" s="179">
        <f>IFERROR(__xludf.DUMMYFUNCTION("""COMPUTED_VALUE"""),0.0)</f>
        <v>0</v>
      </c>
      <c r="V488" s="180">
        <f>IFERROR(__xludf.DUMMYFUNCTION("""COMPUTED_VALUE"""),0.0)</f>
        <v>0</v>
      </c>
      <c r="W488" s="180">
        <f>IFERROR(__xludf.DUMMYFUNCTION("""COMPUTED_VALUE"""),0.95)</f>
        <v>0.95</v>
      </c>
      <c r="X488" s="42">
        <f>IFERROR(__xludf.DUMMYFUNCTION("""COMPUTED_VALUE"""),0.8)</f>
        <v>0.8</v>
      </c>
      <c r="Y488" s="42">
        <f>IFERROR(__xludf.DUMMYFUNCTION("""COMPUTED_VALUE"""),0.6)</f>
        <v>0.6</v>
      </c>
      <c r="Z488" s="9">
        <f>IFERROR(__xludf.DUMMYFUNCTION("""COMPUTED_VALUE"""),0.9)</f>
        <v>0.9</v>
      </c>
      <c r="AA488" s="181">
        <f>IFERROR(__xludf.DUMMYFUNCTION("""COMPUTED_VALUE"""),0.0)</f>
        <v>0</v>
      </c>
      <c r="AB488" s="181">
        <f>IFERROR(__xludf.DUMMYFUNCTION("""COMPUTED_VALUE"""),0.0)</f>
        <v>0</v>
      </c>
      <c r="AC488" s="179">
        <f>IFERROR(__xludf.DUMMYFUNCTION("""COMPUTED_VALUE"""),0.0)</f>
        <v>0</v>
      </c>
      <c r="AD488" s="165">
        <f>IFERROR(__xludf.DUMMYFUNCTION("""COMPUTED_VALUE"""),0.0)</f>
        <v>0</v>
      </c>
      <c r="AE488" s="39" t="str">
        <f>IFERROR(__xludf.DUMMYFUNCTION("""COMPUTED_VALUE"""),"Tatsuya Miyamoto")</f>
        <v>Tatsuya Miyamoto</v>
      </c>
      <c r="AF488" s="39" t="str">
        <f>IFERROR(__xludf.DUMMYFUNCTION("""COMPUTED_VALUE"""),"TM21Amygdala")</f>
        <v>TM21Amygdala</v>
      </c>
      <c r="AG488" s="39"/>
      <c r="AH488" s="39"/>
      <c r="AI488" s="165"/>
      <c r="AJ488" s="165"/>
      <c r="AK488" s="111"/>
      <c r="AL488" s="111"/>
      <c r="AM488" s="111"/>
      <c r="AN488" s="111"/>
      <c r="AO488" s="111"/>
      <c r="AP488" s="111"/>
      <c r="AQ488" s="116"/>
      <c r="AR488" s="116"/>
      <c r="AS488" s="116"/>
    </row>
    <row r="489">
      <c r="A489" s="42" t="str">
        <f>IFERROR(__xludf.DUMMYFUNCTION("""COMPUTED_VALUE"""),"La")</f>
        <v>La</v>
      </c>
      <c r="B489" s="42"/>
      <c r="C489" s="42"/>
      <c r="D489" s="42" t="str">
        <f>IFERROR(__xludf.DUMMYFUNCTION("""COMPUTED_VALUE"""),"PP")</f>
        <v>PP</v>
      </c>
      <c r="E489" s="42"/>
      <c r="F489" s="42"/>
      <c r="G489" s="42"/>
      <c r="H489" s="42" t="str">
        <f>IFERROR(__xludf.DUMMYFUNCTION("""COMPUTED_VALUE"""),"")</f>
        <v/>
      </c>
      <c r="I489" s="42" t="str">
        <f>IFERROR(__xludf.DUMMYFUNCTION("""COMPUTED_VALUE"""),"Pitkänen, 2000")</f>
        <v>Pitkänen, 2000</v>
      </c>
      <c r="J489" s="42" t="str">
        <f>IFERROR(__xludf.DUMMYFUNCTION("""COMPUTED_VALUE"""),"Rat")</f>
        <v>Rat</v>
      </c>
      <c r="K489" s="42" t="str">
        <f>IFERROR(__xludf.DUMMYFUNCTION("""COMPUTED_VALUE"""),"Various tracing")</f>
        <v>Various tracing</v>
      </c>
      <c r="L489" s="42"/>
      <c r="M489" s="42" t="str">
        <f>IFERROR(__xludf.DUMMYFUNCTION("""COMPUTED_VALUE"""),"fig.3-fig.12 (to be specified)")</f>
        <v>fig.3-fig.12 (to be specified)</v>
      </c>
      <c r="N489" s="42"/>
      <c r="O489" s="31" t="str">
        <f>IFERROR(__xludf.DUMMYFUNCTION("""COMPUTED_VALUE"""),"DOC(alt)")</f>
        <v>DOC(alt)</v>
      </c>
      <c r="P489" s="9" t="str">
        <f>IFERROR(__xludf.DUMMYFUNCTION("""COMPUTED_VALUE"""),"Folia morphologica")</f>
        <v>Folia morphologica</v>
      </c>
      <c r="Q489" s="9" t="str">
        <f>IFERROR(__xludf.DUMMYFUNCTION("""COMPUTED_VALUE"""),"Review")</f>
        <v>Review</v>
      </c>
      <c r="R489" s="179" t="str">
        <f>IFERROR(__xludf.DUMMYFUNCTION("""COMPUTED_VALUE"""),"PP (00/00) [Pitkänen, 2000];
")</f>
        <v>PP (00/00) [Pitkänen, 2000];
</v>
      </c>
      <c r="S489" s="179" t="str">
        <f>IFERROR(__xludf.DUMMYFUNCTION("""COMPUTED_VALUE"""),"LaPP")</f>
        <v>LaPP</v>
      </c>
      <c r="T489" s="179" t="str">
        <f>IFERROR(__xludf.DUMMYFUNCTION("""COMPUTED_VALUE"""),"[Pitkänen, 2000]")</f>
        <v>[Pitkänen, 2000]</v>
      </c>
      <c r="U489" s="179">
        <f>IFERROR(__xludf.DUMMYFUNCTION("""COMPUTED_VALUE"""),0.0)</f>
        <v>0</v>
      </c>
      <c r="V489" s="180">
        <f>IFERROR(__xludf.DUMMYFUNCTION("""COMPUTED_VALUE"""),0.0)</f>
        <v>0</v>
      </c>
      <c r="W489" s="180">
        <f>IFERROR(__xludf.DUMMYFUNCTION("""COMPUTED_VALUE"""),0.95)</f>
        <v>0.95</v>
      </c>
      <c r="X489" s="42">
        <f>IFERROR(__xludf.DUMMYFUNCTION("""COMPUTED_VALUE"""),0.8)</f>
        <v>0.8</v>
      </c>
      <c r="Y489" s="42">
        <f>IFERROR(__xludf.DUMMYFUNCTION("""COMPUTED_VALUE"""),0.6)</f>
        <v>0.6</v>
      </c>
      <c r="Z489" s="9">
        <f>IFERROR(__xludf.DUMMYFUNCTION("""COMPUTED_VALUE"""),0.9)</f>
        <v>0.9</v>
      </c>
      <c r="AA489" s="181">
        <f>IFERROR(__xludf.DUMMYFUNCTION("""COMPUTED_VALUE"""),0.0)</f>
        <v>0</v>
      </c>
      <c r="AB489" s="181">
        <f>IFERROR(__xludf.DUMMYFUNCTION("""COMPUTED_VALUE"""),0.0)</f>
        <v>0</v>
      </c>
      <c r="AC489" s="179">
        <f>IFERROR(__xludf.DUMMYFUNCTION("""COMPUTED_VALUE"""),0.0)</f>
        <v>0</v>
      </c>
      <c r="AD489" s="165">
        <f>IFERROR(__xludf.DUMMYFUNCTION("""COMPUTED_VALUE"""),0.0)</f>
        <v>0</v>
      </c>
      <c r="AE489" s="39" t="str">
        <f>IFERROR(__xludf.DUMMYFUNCTION("""COMPUTED_VALUE"""),"Tatsuya Miyamoto")</f>
        <v>Tatsuya Miyamoto</v>
      </c>
      <c r="AF489" s="39" t="str">
        <f>IFERROR(__xludf.DUMMYFUNCTION("""COMPUTED_VALUE"""),"TM21Amygdala")</f>
        <v>TM21Amygdala</v>
      </c>
      <c r="AG489" s="39"/>
      <c r="AH489" s="39"/>
      <c r="AI489" s="165"/>
      <c r="AJ489" s="165"/>
      <c r="AK489" s="111"/>
      <c r="AL489" s="111"/>
      <c r="AM489" s="111"/>
      <c r="AN489" s="111"/>
      <c r="AO489" s="111"/>
      <c r="AP489" s="111"/>
      <c r="AQ489" s="116"/>
      <c r="AR489" s="116"/>
      <c r="AS489" s="116"/>
    </row>
    <row r="490">
      <c r="A490" s="42" t="str">
        <f>IFERROR(__xludf.DUMMYFUNCTION("""COMPUTED_VALUE"""),"La")</f>
        <v>La</v>
      </c>
      <c r="B490" s="42"/>
      <c r="C490" s="42"/>
      <c r="D490" s="42" t="str">
        <f>IFERROR(__xludf.DUMMYFUNCTION("""COMPUTED_VALUE"""),"PRCd")</f>
        <v>PRCd</v>
      </c>
      <c r="E490" s="42"/>
      <c r="F490" s="42"/>
      <c r="G490" s="42"/>
      <c r="H490" s="42" t="str">
        <f>IFERROR(__xludf.DUMMYFUNCTION("""COMPUTED_VALUE"""),"")</f>
        <v/>
      </c>
      <c r="I490" s="42" t="str">
        <f>IFERROR(__xludf.DUMMYFUNCTION("""COMPUTED_VALUE"""),"Pitkänen, 2000")</f>
        <v>Pitkänen, 2000</v>
      </c>
      <c r="J490" s="42" t="str">
        <f>IFERROR(__xludf.DUMMYFUNCTION("""COMPUTED_VALUE"""),"Rat")</f>
        <v>Rat</v>
      </c>
      <c r="K490" s="42" t="str">
        <f>IFERROR(__xludf.DUMMYFUNCTION("""COMPUTED_VALUE"""),"Various tracing")</f>
        <v>Various tracing</v>
      </c>
      <c r="L490" s="42"/>
      <c r="M490" s="42" t="str">
        <f>IFERROR(__xludf.DUMMYFUNCTION("""COMPUTED_VALUE"""),"fig.3-fig.12 (to be specified)")</f>
        <v>fig.3-fig.12 (to be specified)</v>
      </c>
      <c r="N490" s="42"/>
      <c r="O490" s="31" t="str">
        <f>IFERROR(__xludf.DUMMYFUNCTION("""COMPUTED_VALUE"""),"DOC(alt)")</f>
        <v>DOC(alt)</v>
      </c>
      <c r="P490" s="9" t="str">
        <f>IFERROR(__xludf.DUMMYFUNCTION("""COMPUTED_VALUE"""),"Folia morphologica")</f>
        <v>Folia morphologica</v>
      </c>
      <c r="Q490" s="9" t="str">
        <f>IFERROR(__xludf.DUMMYFUNCTION("""COMPUTED_VALUE"""),"Review")</f>
        <v>Review</v>
      </c>
      <c r="R490" s="179" t="str">
        <f>IFERROR(__xludf.DUMMYFUNCTION("""COMPUTED_VALUE"""),"PRCd (00/00) [Pitkänen, 2000];
")</f>
        <v>PRCd (00/00) [Pitkänen, 2000];
</v>
      </c>
      <c r="S490" s="179" t="str">
        <f>IFERROR(__xludf.DUMMYFUNCTION("""COMPUTED_VALUE"""),"LaPRCd")</f>
        <v>LaPRCd</v>
      </c>
      <c r="T490" s="179" t="str">
        <f>IFERROR(__xludf.DUMMYFUNCTION("""COMPUTED_VALUE"""),"[Pitkänen, 2000]")</f>
        <v>[Pitkänen, 2000]</v>
      </c>
      <c r="U490" s="179">
        <f>IFERROR(__xludf.DUMMYFUNCTION("""COMPUTED_VALUE"""),0.0)</f>
        <v>0</v>
      </c>
      <c r="V490" s="180">
        <f>IFERROR(__xludf.DUMMYFUNCTION("""COMPUTED_VALUE"""),0.0)</f>
        <v>0</v>
      </c>
      <c r="W490" s="180">
        <f>IFERROR(__xludf.DUMMYFUNCTION("""COMPUTED_VALUE"""),0.95)</f>
        <v>0.95</v>
      </c>
      <c r="X490" s="42">
        <f>IFERROR(__xludf.DUMMYFUNCTION("""COMPUTED_VALUE"""),0.8)</f>
        <v>0.8</v>
      </c>
      <c r="Y490" s="42">
        <f>IFERROR(__xludf.DUMMYFUNCTION("""COMPUTED_VALUE"""),0.6)</f>
        <v>0.6</v>
      </c>
      <c r="Z490" s="9">
        <f>IFERROR(__xludf.DUMMYFUNCTION("""COMPUTED_VALUE"""),0.9)</f>
        <v>0.9</v>
      </c>
      <c r="AA490" s="181">
        <f>IFERROR(__xludf.DUMMYFUNCTION("""COMPUTED_VALUE"""),0.0)</f>
        <v>0</v>
      </c>
      <c r="AB490" s="181">
        <f>IFERROR(__xludf.DUMMYFUNCTION("""COMPUTED_VALUE"""),0.0)</f>
        <v>0</v>
      </c>
      <c r="AC490" s="179">
        <f>IFERROR(__xludf.DUMMYFUNCTION("""COMPUTED_VALUE"""),0.0)</f>
        <v>0</v>
      </c>
      <c r="AD490" s="165">
        <f>IFERROR(__xludf.DUMMYFUNCTION("""COMPUTED_VALUE"""),0.0)</f>
        <v>0</v>
      </c>
      <c r="AE490" s="39" t="str">
        <f>IFERROR(__xludf.DUMMYFUNCTION("""COMPUTED_VALUE"""),"Tatsuya Miyamoto")</f>
        <v>Tatsuya Miyamoto</v>
      </c>
      <c r="AF490" s="39" t="str">
        <f>IFERROR(__xludf.DUMMYFUNCTION("""COMPUTED_VALUE"""),"TM21Amygdala")</f>
        <v>TM21Amygdala</v>
      </c>
      <c r="AG490" s="39"/>
      <c r="AH490" s="39"/>
      <c r="AI490" s="165"/>
      <c r="AJ490" s="165"/>
      <c r="AK490" s="111"/>
      <c r="AL490" s="111"/>
      <c r="AM490" s="111"/>
      <c r="AN490" s="111"/>
      <c r="AO490" s="111"/>
      <c r="AP490" s="111"/>
      <c r="AQ490" s="116"/>
      <c r="AR490" s="116"/>
      <c r="AS490" s="116"/>
    </row>
    <row r="491">
      <c r="A491" s="42" t="str">
        <f>IFERROR(__xludf.DUMMYFUNCTION("""COMPUTED_VALUE"""),"La")</f>
        <v>La</v>
      </c>
      <c r="B491" s="42"/>
      <c r="C491" s="42"/>
      <c r="D491" s="42" t="str">
        <f>IFERROR(__xludf.DUMMYFUNCTION("""COMPUTED_VALUE"""),"PRCv")</f>
        <v>PRCv</v>
      </c>
      <c r="E491" s="42"/>
      <c r="F491" s="42"/>
      <c r="G491" s="42"/>
      <c r="H491" s="42" t="str">
        <f>IFERROR(__xludf.DUMMYFUNCTION("""COMPUTED_VALUE"""),"")</f>
        <v/>
      </c>
      <c r="I491" s="42" t="str">
        <f>IFERROR(__xludf.DUMMYFUNCTION("""COMPUTED_VALUE"""),"Pitkänen, 2000")</f>
        <v>Pitkänen, 2000</v>
      </c>
      <c r="J491" s="42" t="str">
        <f>IFERROR(__xludf.DUMMYFUNCTION("""COMPUTED_VALUE"""),"Rat")</f>
        <v>Rat</v>
      </c>
      <c r="K491" s="42" t="str">
        <f>IFERROR(__xludf.DUMMYFUNCTION("""COMPUTED_VALUE"""),"Various tracing")</f>
        <v>Various tracing</v>
      </c>
      <c r="L491" s="42"/>
      <c r="M491" s="42" t="str">
        <f>IFERROR(__xludf.DUMMYFUNCTION("""COMPUTED_VALUE"""),"fig.3-fig.12 (to be specified)")</f>
        <v>fig.3-fig.12 (to be specified)</v>
      </c>
      <c r="N491" s="42"/>
      <c r="O491" s="31" t="str">
        <f>IFERROR(__xludf.DUMMYFUNCTION("""COMPUTED_VALUE"""),"DOC(alt)")</f>
        <v>DOC(alt)</v>
      </c>
      <c r="P491" s="9" t="str">
        <f>IFERROR(__xludf.DUMMYFUNCTION("""COMPUTED_VALUE"""),"Folia morphologica")</f>
        <v>Folia morphologica</v>
      </c>
      <c r="Q491" s="9" t="str">
        <f>IFERROR(__xludf.DUMMYFUNCTION("""COMPUTED_VALUE"""),"Review")</f>
        <v>Review</v>
      </c>
      <c r="R491" s="179" t="str">
        <f>IFERROR(__xludf.DUMMYFUNCTION("""COMPUTED_VALUE"""),"PRCv (00/00) [Pitkänen, 2000];
")</f>
        <v>PRCv (00/00) [Pitkänen, 2000];
</v>
      </c>
      <c r="S491" s="179" t="str">
        <f>IFERROR(__xludf.DUMMYFUNCTION("""COMPUTED_VALUE"""),"LaPRCv")</f>
        <v>LaPRCv</v>
      </c>
      <c r="T491" s="179" t="str">
        <f>IFERROR(__xludf.DUMMYFUNCTION("""COMPUTED_VALUE"""),"[Pitkänen, 2000]")</f>
        <v>[Pitkänen, 2000]</v>
      </c>
      <c r="U491" s="179">
        <f>IFERROR(__xludf.DUMMYFUNCTION("""COMPUTED_VALUE"""),0.0)</f>
        <v>0</v>
      </c>
      <c r="V491" s="180">
        <f>IFERROR(__xludf.DUMMYFUNCTION("""COMPUTED_VALUE"""),0.0)</f>
        <v>0</v>
      </c>
      <c r="W491" s="180">
        <f>IFERROR(__xludf.DUMMYFUNCTION("""COMPUTED_VALUE"""),0.95)</f>
        <v>0.95</v>
      </c>
      <c r="X491" s="42">
        <f>IFERROR(__xludf.DUMMYFUNCTION("""COMPUTED_VALUE"""),0.8)</f>
        <v>0.8</v>
      </c>
      <c r="Y491" s="42">
        <f>IFERROR(__xludf.DUMMYFUNCTION("""COMPUTED_VALUE"""),0.6)</f>
        <v>0.6</v>
      </c>
      <c r="Z491" s="9">
        <f>IFERROR(__xludf.DUMMYFUNCTION("""COMPUTED_VALUE"""),0.9)</f>
        <v>0.9</v>
      </c>
      <c r="AA491" s="181">
        <f>IFERROR(__xludf.DUMMYFUNCTION("""COMPUTED_VALUE"""),0.0)</f>
        <v>0</v>
      </c>
      <c r="AB491" s="181">
        <f>IFERROR(__xludf.DUMMYFUNCTION("""COMPUTED_VALUE"""),0.0)</f>
        <v>0</v>
      </c>
      <c r="AC491" s="179">
        <f>IFERROR(__xludf.DUMMYFUNCTION("""COMPUTED_VALUE"""),0.0)</f>
        <v>0</v>
      </c>
      <c r="AD491" s="165">
        <f>IFERROR(__xludf.DUMMYFUNCTION("""COMPUTED_VALUE"""),0.0)</f>
        <v>0</v>
      </c>
      <c r="AE491" s="39" t="str">
        <f>IFERROR(__xludf.DUMMYFUNCTION("""COMPUTED_VALUE"""),"Tatsuya Miyamoto")</f>
        <v>Tatsuya Miyamoto</v>
      </c>
      <c r="AF491" s="39" t="str">
        <f>IFERROR(__xludf.DUMMYFUNCTION("""COMPUTED_VALUE"""),"TM21Amygdala")</f>
        <v>TM21Amygdala</v>
      </c>
      <c r="AG491" s="39"/>
      <c r="AH491" s="39"/>
      <c r="AI491" s="165"/>
      <c r="AJ491" s="165"/>
      <c r="AK491" s="111"/>
      <c r="AL491" s="111"/>
      <c r="AM491" s="111"/>
      <c r="AN491" s="111"/>
      <c r="AO491" s="111"/>
      <c r="AP491" s="111"/>
      <c r="AQ491" s="116"/>
      <c r="AR491" s="116"/>
      <c r="AS491" s="116"/>
    </row>
    <row r="492">
      <c r="A492" s="42" t="str">
        <f>IFERROR(__xludf.DUMMYFUNCTION("""COMPUTED_VALUE"""),"La")</f>
        <v>La</v>
      </c>
      <c r="B492" s="42"/>
      <c r="C492" s="42"/>
      <c r="D492" s="42" t="str">
        <f>IFERROR(__xludf.DUMMYFUNCTION("""COMPUTED_VALUE"""),"S")</f>
        <v>S</v>
      </c>
      <c r="E492" s="42"/>
      <c r="F492" s="42"/>
      <c r="G492" s="42"/>
      <c r="H492" s="42" t="str">
        <f>IFERROR(__xludf.DUMMYFUNCTION("""COMPUTED_VALUE"""),"")</f>
        <v/>
      </c>
      <c r="I492" s="42" t="str">
        <f>IFERROR(__xludf.DUMMYFUNCTION("""COMPUTED_VALUE"""),"Pitkänen, 2000")</f>
        <v>Pitkänen, 2000</v>
      </c>
      <c r="J492" s="42" t="str">
        <f>IFERROR(__xludf.DUMMYFUNCTION("""COMPUTED_VALUE"""),"Rat")</f>
        <v>Rat</v>
      </c>
      <c r="K492" s="42" t="str">
        <f>IFERROR(__xludf.DUMMYFUNCTION("""COMPUTED_VALUE"""),"Various tracing")</f>
        <v>Various tracing</v>
      </c>
      <c r="L492" s="42"/>
      <c r="M492" s="42" t="str">
        <f>IFERROR(__xludf.DUMMYFUNCTION("""COMPUTED_VALUE"""),"fig.3-fig.12 (to be specified)")</f>
        <v>fig.3-fig.12 (to be specified)</v>
      </c>
      <c r="N492" s="42"/>
      <c r="O492" s="31" t="str">
        <f>IFERROR(__xludf.DUMMYFUNCTION("""COMPUTED_VALUE"""),"DOC(alt)")</f>
        <v>DOC(alt)</v>
      </c>
      <c r="P492" s="9" t="str">
        <f>IFERROR(__xludf.DUMMYFUNCTION("""COMPUTED_VALUE"""),"Folia morphologica")</f>
        <v>Folia morphologica</v>
      </c>
      <c r="Q492" s="9" t="str">
        <f>IFERROR(__xludf.DUMMYFUNCTION("""COMPUTED_VALUE"""),"Review")</f>
        <v>Review</v>
      </c>
      <c r="R492" s="179" t="str">
        <f>IFERROR(__xludf.DUMMYFUNCTION("""COMPUTED_VALUE"""),"S (00/00) [Pitkänen, 2000];
")</f>
        <v>S (00/00) [Pitkänen, 2000];
</v>
      </c>
      <c r="S492" s="179" t="str">
        <f>IFERROR(__xludf.DUMMYFUNCTION("""COMPUTED_VALUE"""),"LaS")</f>
        <v>LaS</v>
      </c>
      <c r="T492" s="179" t="str">
        <f>IFERROR(__xludf.DUMMYFUNCTION("""COMPUTED_VALUE"""),"[Pitkänen, 2000]")</f>
        <v>[Pitkänen, 2000]</v>
      </c>
      <c r="U492" s="179">
        <f>IFERROR(__xludf.DUMMYFUNCTION("""COMPUTED_VALUE"""),0.0)</f>
        <v>0</v>
      </c>
      <c r="V492" s="180">
        <f>IFERROR(__xludf.DUMMYFUNCTION("""COMPUTED_VALUE"""),0.0)</f>
        <v>0</v>
      </c>
      <c r="W492" s="180">
        <f>IFERROR(__xludf.DUMMYFUNCTION("""COMPUTED_VALUE"""),0.95)</f>
        <v>0.95</v>
      </c>
      <c r="X492" s="42">
        <f>IFERROR(__xludf.DUMMYFUNCTION("""COMPUTED_VALUE"""),0.8)</f>
        <v>0.8</v>
      </c>
      <c r="Y492" s="42">
        <f>IFERROR(__xludf.DUMMYFUNCTION("""COMPUTED_VALUE"""),0.6)</f>
        <v>0.6</v>
      </c>
      <c r="Z492" s="9">
        <f>IFERROR(__xludf.DUMMYFUNCTION("""COMPUTED_VALUE"""),0.9)</f>
        <v>0.9</v>
      </c>
      <c r="AA492" s="181">
        <f>IFERROR(__xludf.DUMMYFUNCTION("""COMPUTED_VALUE"""),0.0)</f>
        <v>0</v>
      </c>
      <c r="AB492" s="181">
        <f>IFERROR(__xludf.DUMMYFUNCTION("""COMPUTED_VALUE"""),0.0)</f>
        <v>0</v>
      </c>
      <c r="AC492" s="179">
        <f>IFERROR(__xludf.DUMMYFUNCTION("""COMPUTED_VALUE"""),0.0)</f>
        <v>0</v>
      </c>
      <c r="AD492" s="165">
        <f>IFERROR(__xludf.DUMMYFUNCTION("""COMPUTED_VALUE"""),0.0)</f>
        <v>0</v>
      </c>
      <c r="AE492" s="39" t="str">
        <f>IFERROR(__xludf.DUMMYFUNCTION("""COMPUTED_VALUE"""),"Tatsuya Miyamoto")</f>
        <v>Tatsuya Miyamoto</v>
      </c>
      <c r="AF492" s="39" t="str">
        <f>IFERROR(__xludf.DUMMYFUNCTION("""COMPUTED_VALUE"""),"TM21Amygdala")</f>
        <v>TM21Amygdala</v>
      </c>
      <c r="AG492" s="39"/>
      <c r="AH492" s="39"/>
      <c r="AI492" s="165"/>
      <c r="AJ492" s="165"/>
      <c r="AK492" s="111"/>
      <c r="AL492" s="111"/>
      <c r="AM492" s="111"/>
      <c r="AN492" s="111"/>
      <c r="AO492" s="111"/>
      <c r="AP492" s="111"/>
      <c r="AQ492" s="116"/>
      <c r="AR492" s="116"/>
      <c r="AS492" s="116"/>
    </row>
    <row r="493">
      <c r="A493" s="42" t="str">
        <f>IFERROR(__xludf.DUMMYFUNCTION("""COMPUTED_VALUE"""),"La")</f>
        <v>La</v>
      </c>
      <c r="B493" s="42"/>
      <c r="C493" s="42"/>
      <c r="D493" s="42" t="str">
        <f>IFERROR(__xludf.DUMMYFUNCTION("""COMPUTED_VALUE"""),"Te2")</f>
        <v>Te2</v>
      </c>
      <c r="E493" s="42"/>
      <c r="F493" s="42"/>
      <c r="G493" s="42"/>
      <c r="H493" s="42" t="str">
        <f>IFERROR(__xludf.DUMMYFUNCTION("""COMPUTED_VALUE"""),"")</f>
        <v/>
      </c>
      <c r="I493" s="42" t="str">
        <f>IFERROR(__xludf.DUMMYFUNCTION("""COMPUTED_VALUE"""),"Pitkänen, 2000")</f>
        <v>Pitkänen, 2000</v>
      </c>
      <c r="J493" s="42" t="str">
        <f>IFERROR(__xludf.DUMMYFUNCTION("""COMPUTED_VALUE"""),"Rat")</f>
        <v>Rat</v>
      </c>
      <c r="K493" s="42" t="str">
        <f>IFERROR(__xludf.DUMMYFUNCTION("""COMPUTED_VALUE"""),"Various tracing")</f>
        <v>Various tracing</v>
      </c>
      <c r="L493" s="42"/>
      <c r="M493" s="42" t="str">
        <f>IFERROR(__xludf.DUMMYFUNCTION("""COMPUTED_VALUE"""),"fig.3-fig.12 (to be specified)")</f>
        <v>fig.3-fig.12 (to be specified)</v>
      </c>
      <c r="N493" s="42"/>
      <c r="O493" s="31" t="str">
        <f>IFERROR(__xludf.DUMMYFUNCTION("""COMPUTED_VALUE"""),"DOC(alt)")</f>
        <v>DOC(alt)</v>
      </c>
      <c r="P493" s="9" t="str">
        <f>IFERROR(__xludf.DUMMYFUNCTION("""COMPUTED_VALUE"""),"Folia morphologica")</f>
        <v>Folia morphologica</v>
      </c>
      <c r="Q493" s="9" t="str">
        <f>IFERROR(__xludf.DUMMYFUNCTION("""COMPUTED_VALUE"""),"Review")</f>
        <v>Review</v>
      </c>
      <c r="R493" s="179" t="str">
        <f>IFERROR(__xludf.DUMMYFUNCTION("""COMPUTED_VALUE"""),"Te2 (00/00) [Pitkänen, 2000];
")</f>
        <v>Te2 (00/00) [Pitkänen, 2000];
</v>
      </c>
      <c r="S493" s="179" t="str">
        <f>IFERROR(__xludf.DUMMYFUNCTION("""COMPUTED_VALUE"""),"LaTe2")</f>
        <v>LaTe2</v>
      </c>
      <c r="T493" s="179" t="str">
        <f>IFERROR(__xludf.DUMMYFUNCTION("""COMPUTED_VALUE"""),"[Pitkänen, 2000]")</f>
        <v>[Pitkänen, 2000]</v>
      </c>
      <c r="U493" s="179">
        <f>IFERROR(__xludf.DUMMYFUNCTION("""COMPUTED_VALUE"""),0.0)</f>
        <v>0</v>
      </c>
      <c r="V493" s="180">
        <f>IFERROR(__xludf.DUMMYFUNCTION("""COMPUTED_VALUE"""),0.0)</f>
        <v>0</v>
      </c>
      <c r="W493" s="180">
        <f>IFERROR(__xludf.DUMMYFUNCTION("""COMPUTED_VALUE"""),0.95)</f>
        <v>0.95</v>
      </c>
      <c r="X493" s="42">
        <f>IFERROR(__xludf.DUMMYFUNCTION("""COMPUTED_VALUE"""),0.8)</f>
        <v>0.8</v>
      </c>
      <c r="Y493" s="42">
        <f>IFERROR(__xludf.DUMMYFUNCTION("""COMPUTED_VALUE"""),0.6)</f>
        <v>0.6</v>
      </c>
      <c r="Z493" s="9">
        <f>IFERROR(__xludf.DUMMYFUNCTION("""COMPUTED_VALUE"""),0.9)</f>
        <v>0.9</v>
      </c>
      <c r="AA493" s="181">
        <f>IFERROR(__xludf.DUMMYFUNCTION("""COMPUTED_VALUE"""),0.0)</f>
        <v>0</v>
      </c>
      <c r="AB493" s="181">
        <f>IFERROR(__xludf.DUMMYFUNCTION("""COMPUTED_VALUE"""),0.0)</f>
        <v>0</v>
      </c>
      <c r="AC493" s="179">
        <f>IFERROR(__xludf.DUMMYFUNCTION("""COMPUTED_VALUE"""),0.0)</f>
        <v>0</v>
      </c>
      <c r="AD493" s="165">
        <f>IFERROR(__xludf.DUMMYFUNCTION("""COMPUTED_VALUE"""),0.0)</f>
        <v>0</v>
      </c>
      <c r="AE493" s="39" t="str">
        <f>IFERROR(__xludf.DUMMYFUNCTION("""COMPUTED_VALUE"""),"Tatsuya Miyamoto")</f>
        <v>Tatsuya Miyamoto</v>
      </c>
      <c r="AF493" s="39" t="str">
        <f>IFERROR(__xludf.DUMMYFUNCTION("""COMPUTED_VALUE"""),"TM21Amygdala")</f>
        <v>TM21Amygdala</v>
      </c>
      <c r="AG493" s="39"/>
      <c r="AH493" s="39"/>
      <c r="AI493" s="165"/>
      <c r="AJ493" s="165"/>
      <c r="AK493" s="111"/>
      <c r="AL493" s="111"/>
      <c r="AM493" s="111"/>
      <c r="AN493" s="111"/>
      <c r="AO493" s="111"/>
      <c r="AP493" s="111"/>
      <c r="AQ493" s="116"/>
      <c r="AR493" s="116"/>
      <c r="AS493" s="116"/>
    </row>
    <row r="494">
      <c r="A494" s="42" t="str">
        <f>IFERROR(__xludf.DUMMYFUNCTION("""COMPUTED_VALUE"""),"La")</f>
        <v>La</v>
      </c>
      <c r="B494" s="42"/>
      <c r="C494" s="42"/>
      <c r="D494" s="42" t="str">
        <f>IFERROR(__xludf.DUMMYFUNCTION("""COMPUTED_VALUE"""),"Te2D")</f>
        <v>Te2D</v>
      </c>
      <c r="E494" s="42"/>
      <c r="F494" s="42"/>
      <c r="G494" s="42"/>
      <c r="H494" s="42" t="str">
        <f>IFERROR(__xludf.DUMMYFUNCTION("""COMPUTED_VALUE"""),"")</f>
        <v/>
      </c>
      <c r="I494" s="42" t="str">
        <f>IFERROR(__xludf.DUMMYFUNCTION("""COMPUTED_VALUE"""),"Pitkänen, 2000")</f>
        <v>Pitkänen, 2000</v>
      </c>
      <c r="J494" s="42" t="str">
        <f>IFERROR(__xludf.DUMMYFUNCTION("""COMPUTED_VALUE"""),"Rat")</f>
        <v>Rat</v>
      </c>
      <c r="K494" s="42" t="str">
        <f>IFERROR(__xludf.DUMMYFUNCTION("""COMPUTED_VALUE"""),"Various tracing")</f>
        <v>Various tracing</v>
      </c>
      <c r="L494" s="42"/>
      <c r="M494" s="42" t="str">
        <f>IFERROR(__xludf.DUMMYFUNCTION("""COMPUTED_VALUE"""),"fig.3-fig.12 (to be specified)")</f>
        <v>fig.3-fig.12 (to be specified)</v>
      </c>
      <c r="N494" s="42"/>
      <c r="O494" s="31" t="str">
        <f>IFERROR(__xludf.DUMMYFUNCTION("""COMPUTED_VALUE"""),"DOC(alt)")</f>
        <v>DOC(alt)</v>
      </c>
      <c r="P494" s="9" t="str">
        <f>IFERROR(__xludf.DUMMYFUNCTION("""COMPUTED_VALUE"""),"Folia morphologica")</f>
        <v>Folia morphologica</v>
      </c>
      <c r="Q494" s="9" t="str">
        <f>IFERROR(__xludf.DUMMYFUNCTION("""COMPUTED_VALUE"""),"Review")</f>
        <v>Review</v>
      </c>
      <c r="R494" s="179" t="str">
        <f>IFERROR(__xludf.DUMMYFUNCTION("""COMPUTED_VALUE"""),"Te2D (00/00) [Pitkänen, 2000];
")</f>
        <v>Te2D (00/00) [Pitkänen, 2000];
</v>
      </c>
      <c r="S494" s="179" t="str">
        <f>IFERROR(__xludf.DUMMYFUNCTION("""COMPUTED_VALUE"""),"LaTe2D")</f>
        <v>LaTe2D</v>
      </c>
      <c r="T494" s="179" t="str">
        <f>IFERROR(__xludf.DUMMYFUNCTION("""COMPUTED_VALUE"""),"[Pitkänen, 2000]")</f>
        <v>[Pitkänen, 2000]</v>
      </c>
      <c r="U494" s="179">
        <f>IFERROR(__xludf.DUMMYFUNCTION("""COMPUTED_VALUE"""),0.0)</f>
        <v>0</v>
      </c>
      <c r="V494" s="180">
        <f>IFERROR(__xludf.DUMMYFUNCTION("""COMPUTED_VALUE"""),0.0)</f>
        <v>0</v>
      </c>
      <c r="W494" s="180">
        <f>IFERROR(__xludf.DUMMYFUNCTION("""COMPUTED_VALUE"""),0.95)</f>
        <v>0.95</v>
      </c>
      <c r="X494" s="42">
        <f>IFERROR(__xludf.DUMMYFUNCTION("""COMPUTED_VALUE"""),0.8)</f>
        <v>0.8</v>
      </c>
      <c r="Y494" s="42">
        <f>IFERROR(__xludf.DUMMYFUNCTION("""COMPUTED_VALUE"""),0.6)</f>
        <v>0.6</v>
      </c>
      <c r="Z494" s="9">
        <f>IFERROR(__xludf.DUMMYFUNCTION("""COMPUTED_VALUE"""),0.9)</f>
        <v>0.9</v>
      </c>
      <c r="AA494" s="181">
        <f>IFERROR(__xludf.DUMMYFUNCTION("""COMPUTED_VALUE"""),0.0)</f>
        <v>0</v>
      </c>
      <c r="AB494" s="181">
        <f>IFERROR(__xludf.DUMMYFUNCTION("""COMPUTED_VALUE"""),0.0)</f>
        <v>0</v>
      </c>
      <c r="AC494" s="179">
        <f>IFERROR(__xludf.DUMMYFUNCTION("""COMPUTED_VALUE"""),0.0)</f>
        <v>0</v>
      </c>
      <c r="AD494" s="165">
        <f>IFERROR(__xludf.DUMMYFUNCTION("""COMPUTED_VALUE"""),0.0)</f>
        <v>0</v>
      </c>
      <c r="AE494" s="39" t="str">
        <f>IFERROR(__xludf.DUMMYFUNCTION("""COMPUTED_VALUE"""),"Tatsuya Miyamoto")</f>
        <v>Tatsuya Miyamoto</v>
      </c>
      <c r="AF494" s="39" t="str">
        <f>IFERROR(__xludf.DUMMYFUNCTION("""COMPUTED_VALUE"""),"TM21Amygdala")</f>
        <v>TM21Amygdala</v>
      </c>
      <c r="AG494" s="39"/>
      <c r="AH494" s="39"/>
      <c r="AI494" s="165"/>
      <c r="AJ494" s="165"/>
      <c r="AK494" s="111"/>
      <c r="AL494" s="111"/>
      <c r="AM494" s="111"/>
      <c r="AN494" s="111"/>
      <c r="AO494" s="111"/>
      <c r="AP494" s="111"/>
      <c r="AQ494" s="116"/>
      <c r="AR494" s="116"/>
      <c r="AS494" s="116"/>
    </row>
    <row r="495">
      <c r="A495" s="42" t="str">
        <f>IFERROR(__xludf.DUMMYFUNCTION("""COMPUTED_VALUE"""),"La")</f>
        <v>La</v>
      </c>
      <c r="B495" s="42"/>
      <c r="C495" s="42"/>
      <c r="D495" s="42" t="str">
        <f>IFERROR(__xludf.DUMMYFUNCTION("""COMPUTED_VALUE"""),"Te3")</f>
        <v>Te3</v>
      </c>
      <c r="E495" s="42"/>
      <c r="F495" s="42"/>
      <c r="G495" s="42"/>
      <c r="H495" s="42" t="str">
        <f>IFERROR(__xludf.DUMMYFUNCTION("""COMPUTED_VALUE"""),"")</f>
        <v/>
      </c>
      <c r="I495" s="42" t="str">
        <f>IFERROR(__xludf.DUMMYFUNCTION("""COMPUTED_VALUE"""),"Pitkänen, 2000")</f>
        <v>Pitkänen, 2000</v>
      </c>
      <c r="J495" s="42" t="str">
        <f>IFERROR(__xludf.DUMMYFUNCTION("""COMPUTED_VALUE"""),"Rat")</f>
        <v>Rat</v>
      </c>
      <c r="K495" s="42" t="str">
        <f>IFERROR(__xludf.DUMMYFUNCTION("""COMPUTED_VALUE"""),"Various tracing")</f>
        <v>Various tracing</v>
      </c>
      <c r="L495" s="42"/>
      <c r="M495" s="42" t="str">
        <f>IFERROR(__xludf.DUMMYFUNCTION("""COMPUTED_VALUE"""),"fig.3-fig.12 (to be specified)")</f>
        <v>fig.3-fig.12 (to be specified)</v>
      </c>
      <c r="N495" s="42"/>
      <c r="O495" s="31" t="str">
        <f>IFERROR(__xludf.DUMMYFUNCTION("""COMPUTED_VALUE"""),"DOC(alt)")</f>
        <v>DOC(alt)</v>
      </c>
      <c r="P495" s="9" t="str">
        <f>IFERROR(__xludf.DUMMYFUNCTION("""COMPUTED_VALUE"""),"Folia morphologica")</f>
        <v>Folia morphologica</v>
      </c>
      <c r="Q495" s="9" t="str">
        <f>IFERROR(__xludf.DUMMYFUNCTION("""COMPUTED_VALUE"""),"Review")</f>
        <v>Review</v>
      </c>
      <c r="R495" s="179" t="str">
        <f>IFERROR(__xludf.DUMMYFUNCTION("""COMPUTED_VALUE"""),"Te3 (00/00) [Pitkänen, 2000];
")</f>
        <v>Te3 (00/00) [Pitkänen, 2000];
</v>
      </c>
      <c r="S495" s="179" t="str">
        <f>IFERROR(__xludf.DUMMYFUNCTION("""COMPUTED_VALUE"""),"LaTe3")</f>
        <v>LaTe3</v>
      </c>
      <c r="T495" s="179" t="str">
        <f>IFERROR(__xludf.DUMMYFUNCTION("""COMPUTED_VALUE"""),"[Pitkänen, 2000]")</f>
        <v>[Pitkänen, 2000]</v>
      </c>
      <c r="U495" s="179">
        <f>IFERROR(__xludf.DUMMYFUNCTION("""COMPUTED_VALUE"""),0.0)</f>
        <v>0</v>
      </c>
      <c r="V495" s="180">
        <f>IFERROR(__xludf.DUMMYFUNCTION("""COMPUTED_VALUE"""),0.0)</f>
        <v>0</v>
      </c>
      <c r="W495" s="180">
        <f>IFERROR(__xludf.DUMMYFUNCTION("""COMPUTED_VALUE"""),0.95)</f>
        <v>0.95</v>
      </c>
      <c r="X495" s="42">
        <f>IFERROR(__xludf.DUMMYFUNCTION("""COMPUTED_VALUE"""),0.8)</f>
        <v>0.8</v>
      </c>
      <c r="Y495" s="42">
        <f>IFERROR(__xludf.DUMMYFUNCTION("""COMPUTED_VALUE"""),0.6)</f>
        <v>0.6</v>
      </c>
      <c r="Z495" s="9">
        <f>IFERROR(__xludf.DUMMYFUNCTION("""COMPUTED_VALUE"""),0.9)</f>
        <v>0.9</v>
      </c>
      <c r="AA495" s="181">
        <f>IFERROR(__xludf.DUMMYFUNCTION("""COMPUTED_VALUE"""),0.0)</f>
        <v>0</v>
      </c>
      <c r="AB495" s="181">
        <f>IFERROR(__xludf.DUMMYFUNCTION("""COMPUTED_VALUE"""),0.0)</f>
        <v>0</v>
      </c>
      <c r="AC495" s="179">
        <f>IFERROR(__xludf.DUMMYFUNCTION("""COMPUTED_VALUE"""),0.0)</f>
        <v>0</v>
      </c>
      <c r="AD495" s="165">
        <f>IFERROR(__xludf.DUMMYFUNCTION("""COMPUTED_VALUE"""),0.0)</f>
        <v>0</v>
      </c>
      <c r="AE495" s="39" t="str">
        <f>IFERROR(__xludf.DUMMYFUNCTION("""COMPUTED_VALUE"""),"Tatsuya Miyamoto")</f>
        <v>Tatsuya Miyamoto</v>
      </c>
      <c r="AF495" s="39" t="str">
        <f>IFERROR(__xludf.DUMMYFUNCTION("""COMPUTED_VALUE"""),"TM21Amygdala")</f>
        <v>TM21Amygdala</v>
      </c>
      <c r="AG495" s="39"/>
      <c r="AH495" s="39"/>
      <c r="AI495" s="165"/>
      <c r="AJ495" s="165"/>
      <c r="AK495" s="111"/>
      <c r="AL495" s="111"/>
      <c r="AM495" s="111"/>
      <c r="AN495" s="111"/>
      <c r="AO495" s="111"/>
      <c r="AP495" s="111"/>
      <c r="AQ495" s="116"/>
      <c r="AR495" s="116"/>
      <c r="AS495" s="116"/>
    </row>
    <row r="496">
      <c r="A496" s="42" t="str">
        <f>IFERROR(__xludf.DUMMYFUNCTION("""COMPUTED_VALUE"""),"La")</f>
        <v>La</v>
      </c>
      <c r="B496" s="42"/>
      <c r="C496" s="42"/>
      <c r="D496" s="42" t="str">
        <f>IFERROR(__xludf.DUMMYFUNCTION("""COMPUTED_VALUE"""),"VMH")</f>
        <v>VMH</v>
      </c>
      <c r="E496" s="42"/>
      <c r="F496" s="42"/>
      <c r="G496" s="42"/>
      <c r="H496" s="42" t="str">
        <f>IFERROR(__xludf.DUMMYFUNCTION("""COMPUTED_VALUE"""),"")</f>
        <v/>
      </c>
      <c r="I496" s="42" t="str">
        <f>IFERROR(__xludf.DUMMYFUNCTION("""COMPUTED_VALUE"""),"Pitkänen, 2000")</f>
        <v>Pitkänen, 2000</v>
      </c>
      <c r="J496" s="42" t="str">
        <f>IFERROR(__xludf.DUMMYFUNCTION("""COMPUTED_VALUE"""),"Rat")</f>
        <v>Rat</v>
      </c>
      <c r="K496" s="42" t="str">
        <f>IFERROR(__xludf.DUMMYFUNCTION("""COMPUTED_VALUE"""),"Various tracing")</f>
        <v>Various tracing</v>
      </c>
      <c r="L496" s="42"/>
      <c r="M496" s="42" t="str">
        <f>IFERROR(__xludf.DUMMYFUNCTION("""COMPUTED_VALUE"""),"fig.3-fig.12 (to be specified)")</f>
        <v>fig.3-fig.12 (to be specified)</v>
      </c>
      <c r="N496" s="42"/>
      <c r="O496" s="31" t="str">
        <f>IFERROR(__xludf.DUMMYFUNCTION("""COMPUTED_VALUE"""),"DOC(alt)")</f>
        <v>DOC(alt)</v>
      </c>
      <c r="P496" s="9" t="str">
        <f>IFERROR(__xludf.DUMMYFUNCTION("""COMPUTED_VALUE"""),"Folia morphologica")</f>
        <v>Folia morphologica</v>
      </c>
      <c r="Q496" s="9" t="str">
        <f>IFERROR(__xludf.DUMMYFUNCTION("""COMPUTED_VALUE"""),"Review")</f>
        <v>Review</v>
      </c>
      <c r="R496" s="179" t="str">
        <f>IFERROR(__xludf.DUMMYFUNCTION("""COMPUTED_VALUE"""),"VMH (00/00) [Pitkänen, 2000];
")</f>
        <v>VMH (00/00) [Pitkänen, 2000];
</v>
      </c>
      <c r="S496" s="179" t="str">
        <f>IFERROR(__xludf.DUMMYFUNCTION("""COMPUTED_VALUE"""),"LaVMH")</f>
        <v>LaVMH</v>
      </c>
      <c r="T496" s="179" t="str">
        <f>IFERROR(__xludf.DUMMYFUNCTION("""COMPUTED_VALUE"""),"[Pitkänen, 2000]")</f>
        <v>[Pitkänen, 2000]</v>
      </c>
      <c r="U496" s="179">
        <f>IFERROR(__xludf.DUMMYFUNCTION("""COMPUTED_VALUE"""),0.0)</f>
        <v>0</v>
      </c>
      <c r="V496" s="180">
        <f>IFERROR(__xludf.DUMMYFUNCTION("""COMPUTED_VALUE"""),0.0)</f>
        <v>0</v>
      </c>
      <c r="W496" s="180">
        <f>IFERROR(__xludf.DUMMYFUNCTION("""COMPUTED_VALUE"""),0.95)</f>
        <v>0.95</v>
      </c>
      <c r="X496" s="42">
        <f>IFERROR(__xludf.DUMMYFUNCTION("""COMPUTED_VALUE"""),0.8)</f>
        <v>0.8</v>
      </c>
      <c r="Y496" s="42">
        <f>IFERROR(__xludf.DUMMYFUNCTION("""COMPUTED_VALUE"""),0.6)</f>
        <v>0.6</v>
      </c>
      <c r="Z496" s="9">
        <f>IFERROR(__xludf.DUMMYFUNCTION("""COMPUTED_VALUE"""),0.9)</f>
        <v>0.9</v>
      </c>
      <c r="AA496" s="181">
        <f>IFERROR(__xludf.DUMMYFUNCTION("""COMPUTED_VALUE"""),0.0)</f>
        <v>0</v>
      </c>
      <c r="AB496" s="181">
        <f>IFERROR(__xludf.DUMMYFUNCTION("""COMPUTED_VALUE"""),0.0)</f>
        <v>0</v>
      </c>
      <c r="AC496" s="179">
        <f>IFERROR(__xludf.DUMMYFUNCTION("""COMPUTED_VALUE"""),0.0)</f>
        <v>0</v>
      </c>
      <c r="AD496" s="165">
        <f>IFERROR(__xludf.DUMMYFUNCTION("""COMPUTED_VALUE"""),0.0)</f>
        <v>0</v>
      </c>
      <c r="AE496" s="39" t="str">
        <f>IFERROR(__xludf.DUMMYFUNCTION("""COMPUTED_VALUE"""),"Tatsuya Miyamoto")</f>
        <v>Tatsuya Miyamoto</v>
      </c>
      <c r="AF496" s="39" t="str">
        <f>IFERROR(__xludf.DUMMYFUNCTION("""COMPUTED_VALUE"""),"TM21Amygdala")</f>
        <v>TM21Amygdala</v>
      </c>
      <c r="AG496" s="39"/>
      <c r="AH496" s="39"/>
      <c r="AI496" s="165"/>
      <c r="AJ496" s="165"/>
      <c r="AK496" s="111"/>
      <c r="AL496" s="111"/>
      <c r="AM496" s="111"/>
      <c r="AN496" s="111"/>
      <c r="AO496" s="111"/>
      <c r="AP496" s="111"/>
      <c r="AQ496" s="116"/>
      <c r="AR496" s="116"/>
      <c r="AS496" s="116"/>
    </row>
    <row r="497">
      <c r="A497" s="42" t="str">
        <f>IFERROR(__xludf.DUMMYFUNCTION("""COMPUTED_VALUE"""),"LC")</f>
        <v>LC</v>
      </c>
      <c r="B497" s="42"/>
      <c r="C497" s="42"/>
      <c r="D497" s="42" t="str">
        <f>IFERROR(__xludf.DUMMYFUNCTION("""COMPUTED_VALUE"""),"CEN")</f>
        <v>CEN</v>
      </c>
      <c r="E497" s="42"/>
      <c r="F497" s="42"/>
      <c r="G497" s="42"/>
      <c r="H497" s="42" t="str">
        <f>IFERROR(__xludf.DUMMYFUNCTION("""COMPUTED_VALUE"""),"")</f>
        <v/>
      </c>
      <c r="I497" s="42" t="str">
        <f>IFERROR(__xludf.DUMMYFUNCTION("""COMPUTED_VALUE"""),"Pitkänen, 2000")</f>
        <v>Pitkänen, 2000</v>
      </c>
      <c r="J497" s="42" t="str">
        <f>IFERROR(__xludf.DUMMYFUNCTION("""COMPUTED_VALUE"""),"Rat")</f>
        <v>Rat</v>
      </c>
      <c r="K497" s="42" t="str">
        <f>IFERROR(__xludf.DUMMYFUNCTION("""COMPUTED_VALUE"""),"Various tracing")</f>
        <v>Various tracing</v>
      </c>
      <c r="L497" s="42"/>
      <c r="M497" s="42" t="str">
        <f>IFERROR(__xludf.DUMMYFUNCTION("""COMPUTED_VALUE"""),"fig.3-fig.12 (to be specified)")</f>
        <v>fig.3-fig.12 (to be specified)</v>
      </c>
      <c r="N497" s="42"/>
      <c r="O497" s="31" t="str">
        <f>IFERROR(__xludf.DUMMYFUNCTION("""COMPUTED_VALUE"""),"DOC(alt)")</f>
        <v>DOC(alt)</v>
      </c>
      <c r="P497" s="9" t="str">
        <f>IFERROR(__xludf.DUMMYFUNCTION("""COMPUTED_VALUE"""),"Folia morphologica")</f>
        <v>Folia morphologica</v>
      </c>
      <c r="Q497" s="9" t="str">
        <f>IFERROR(__xludf.DUMMYFUNCTION("""COMPUTED_VALUE"""),"Review")</f>
        <v>Review</v>
      </c>
      <c r="R497" s="179" t="str">
        <f>IFERROR(__xludf.DUMMYFUNCTION("""COMPUTED_VALUE"""),"CEN (00/00) [Pitkänen, 2000];
")</f>
        <v>CEN (00/00) [Pitkänen, 2000];
</v>
      </c>
      <c r="S497" s="179" t="str">
        <f>IFERROR(__xludf.DUMMYFUNCTION("""COMPUTED_VALUE"""),"LCCEN")</f>
        <v>LCCEN</v>
      </c>
      <c r="T497" s="179" t="str">
        <f>IFERROR(__xludf.DUMMYFUNCTION("""COMPUTED_VALUE"""),"[Pitkänen, 2000]")</f>
        <v>[Pitkänen, 2000]</v>
      </c>
      <c r="U497" s="179">
        <f>IFERROR(__xludf.DUMMYFUNCTION("""COMPUTED_VALUE"""),0.0)</f>
        <v>0</v>
      </c>
      <c r="V497" s="180">
        <f>IFERROR(__xludf.DUMMYFUNCTION("""COMPUTED_VALUE"""),0.0)</f>
        <v>0</v>
      </c>
      <c r="W497" s="180">
        <f>IFERROR(__xludf.DUMMYFUNCTION("""COMPUTED_VALUE"""),0.95)</f>
        <v>0.95</v>
      </c>
      <c r="X497" s="42">
        <f>IFERROR(__xludf.DUMMYFUNCTION("""COMPUTED_VALUE"""),0.8)</f>
        <v>0.8</v>
      </c>
      <c r="Y497" s="42">
        <f>IFERROR(__xludf.DUMMYFUNCTION("""COMPUTED_VALUE"""),0.6)</f>
        <v>0.6</v>
      </c>
      <c r="Z497" s="9">
        <f>IFERROR(__xludf.DUMMYFUNCTION("""COMPUTED_VALUE"""),0.9)</f>
        <v>0.9</v>
      </c>
      <c r="AA497" s="181">
        <f>IFERROR(__xludf.DUMMYFUNCTION("""COMPUTED_VALUE"""),0.0)</f>
        <v>0</v>
      </c>
      <c r="AB497" s="181">
        <f>IFERROR(__xludf.DUMMYFUNCTION("""COMPUTED_VALUE"""),0.0)</f>
        <v>0</v>
      </c>
      <c r="AC497" s="179">
        <f>IFERROR(__xludf.DUMMYFUNCTION("""COMPUTED_VALUE"""),0.0)</f>
        <v>0</v>
      </c>
      <c r="AD497" s="165">
        <f>IFERROR(__xludf.DUMMYFUNCTION("""COMPUTED_VALUE"""),0.0)</f>
        <v>0</v>
      </c>
      <c r="AE497" s="39" t="str">
        <f>IFERROR(__xludf.DUMMYFUNCTION("""COMPUTED_VALUE"""),"Tatsuya Miyamoto")</f>
        <v>Tatsuya Miyamoto</v>
      </c>
      <c r="AF497" s="39" t="str">
        <f>IFERROR(__xludf.DUMMYFUNCTION("""COMPUTED_VALUE"""),"TM21Amygdala")</f>
        <v>TM21Amygdala</v>
      </c>
      <c r="AG497" s="39"/>
      <c r="AH497" s="39"/>
      <c r="AI497" s="165"/>
      <c r="AJ497" s="165"/>
      <c r="AK497" s="111"/>
      <c r="AL497" s="111"/>
      <c r="AM497" s="111"/>
      <c r="AN497" s="111"/>
      <c r="AO497" s="111"/>
      <c r="AP497" s="111"/>
      <c r="AQ497" s="116"/>
      <c r="AR497" s="116"/>
      <c r="AS497" s="116"/>
    </row>
    <row r="498">
      <c r="A498" s="42" t="str">
        <f>IFERROR(__xludf.DUMMYFUNCTION("""COMPUTED_VALUE"""),"LEC_deep_uc1")</f>
        <v>LEC_deep_uc1</v>
      </c>
      <c r="B498" s="42"/>
      <c r="C498" s="42"/>
      <c r="D498" s="42" t="str">
        <f>IFERROR(__xludf.DUMMYFUNCTION("""COMPUTED_VALUE"""),"A35")</f>
        <v>A35</v>
      </c>
      <c r="E498" s="42"/>
      <c r="F498" s="42"/>
      <c r="G498" s="42"/>
      <c r="H498" s="42" t="str">
        <f>IFERROR(__xludf.DUMMYFUNCTION("""COMPUTED_VALUE"""),"")</f>
        <v/>
      </c>
      <c r="I498" s="42" t="str">
        <f>IFERROR(__xludf.DUMMYFUNCTION("""COMPUTED_VALUE"""),"Knierim, 2014")</f>
        <v>Knierim, 2014</v>
      </c>
      <c r="J498" s="42"/>
      <c r="K498" s="42"/>
      <c r="L498" s="42"/>
      <c r="M498" s="42"/>
      <c r="N498" s="42"/>
      <c r="O498" s="31" t="str">
        <f>IFERROR(__xludf.DUMMYFUNCTION("""COMPUTED_VALUE"""),"DOC")</f>
        <v>DOC</v>
      </c>
      <c r="P498" s="9" t="str">
        <f>IFERROR(__xludf.DUMMYFUNCTION("""COMPUTED_VALUE"""),"Philosophical Transactions of the Royal Society B: Biological Sciences")</f>
        <v>Philosophical Transactions of the Royal Society B: Biological Sciences</v>
      </c>
      <c r="Q498" s="9"/>
      <c r="R498" s="179" t="str">
        <f>IFERROR(__xludf.DUMMYFUNCTION("""COMPUTED_VALUE"""),"A35 (00/00) [Knierim, 2014];
")</f>
        <v>A35 (00/00) [Knierim, 2014];
</v>
      </c>
      <c r="S498" s="179" t="str">
        <f>IFERROR(__xludf.DUMMYFUNCTION("""COMPUTED_VALUE"""),"LEC_deep_uc1A35")</f>
        <v>LEC_deep_uc1A35</v>
      </c>
      <c r="T498" s="179" t="str">
        <f>IFERROR(__xludf.DUMMYFUNCTION("""COMPUTED_VALUE"""),"[Knierim, 2014]")</f>
        <v>[Knierim, 2014]</v>
      </c>
      <c r="U498" s="179">
        <f>IFERROR(__xludf.DUMMYFUNCTION("""COMPUTED_VALUE"""),0.0)</f>
        <v>0</v>
      </c>
      <c r="V498" s="180">
        <f>IFERROR(__xludf.DUMMYFUNCTION("""COMPUTED_VALUE"""),0.0)</f>
        <v>0</v>
      </c>
      <c r="W498" s="180">
        <f>IFERROR(__xludf.DUMMYFUNCTION("""COMPUTED_VALUE"""),0.95)</f>
        <v>0.95</v>
      </c>
      <c r="X498" s="42">
        <f>IFERROR(__xludf.DUMMYFUNCTION("""COMPUTED_VALUE"""),0.0)</f>
        <v>0</v>
      </c>
      <c r="Y498" s="42">
        <f>IFERROR(__xludf.DUMMYFUNCTION("""COMPUTED_VALUE"""),0.0)</f>
        <v>0</v>
      </c>
      <c r="Z498" s="9">
        <f>IFERROR(__xludf.DUMMYFUNCTION("""COMPUTED_VALUE"""),0.0)</f>
        <v>0</v>
      </c>
      <c r="AA498" s="181">
        <f>IFERROR(__xludf.DUMMYFUNCTION("""COMPUTED_VALUE"""),0.0)</f>
        <v>0</v>
      </c>
      <c r="AB498" s="181">
        <f>IFERROR(__xludf.DUMMYFUNCTION("""COMPUTED_VALUE"""),0.0)</f>
        <v>0</v>
      </c>
      <c r="AC498" s="179">
        <f>IFERROR(__xludf.DUMMYFUNCTION("""COMPUTED_VALUE"""),0.0)</f>
        <v>0</v>
      </c>
      <c r="AD498" s="165">
        <f>IFERROR(__xludf.DUMMYFUNCTION("""COMPUTED_VALUE"""),0.0)</f>
        <v>0</v>
      </c>
      <c r="AE498" s="39" t="str">
        <f>IFERROR(__xludf.DUMMYFUNCTION("""COMPUTED_VALUE"""),"Ayako Fukawa")</f>
        <v>Ayako Fukawa</v>
      </c>
      <c r="AF498" s="39" t="str">
        <f>IFERROR(__xludf.DUMMYFUNCTION("""COMPUTED_VALUE"""),"AT20HippocampalFormation")</f>
        <v>AT20HippocampalFormation</v>
      </c>
      <c r="AG498" s="39"/>
      <c r="AH498" s="39"/>
      <c r="AI498" s="165"/>
      <c r="AJ498" s="165"/>
      <c r="AK498" s="111"/>
      <c r="AL498" s="111"/>
      <c r="AM498" s="111"/>
      <c r="AN498" s="111"/>
      <c r="AO498" s="111"/>
      <c r="AP498" s="111"/>
      <c r="AQ498" s="116"/>
      <c r="AR498" s="116"/>
      <c r="AS498" s="116"/>
    </row>
    <row r="499">
      <c r="A499" s="42" t="str">
        <f>IFERROR(__xludf.DUMMYFUNCTION("""COMPUTED_VALUE"""),"LEC_II")</f>
        <v>LEC_II</v>
      </c>
      <c r="B499" s="42" t="str">
        <f>IFERROR(__xludf.DUMMYFUNCTION("""COMPUTED_VALUE"""),"=")</f>
        <v>=</v>
      </c>
      <c r="C499" s="42"/>
      <c r="D499" s="42" t="str">
        <f>IFERROR(__xludf.DUMMYFUNCTION("""COMPUTED_VALUE"""),"DG")</f>
        <v>DG</v>
      </c>
      <c r="E499" s="42" t="str">
        <f>IFERROR(__xludf.DUMMYFUNCTION("""COMPUTED_VALUE"""),"=")</f>
        <v>=</v>
      </c>
      <c r="F499" s="42"/>
      <c r="G499" s="42"/>
      <c r="H499" s="42"/>
      <c r="I499" s="42" t="str">
        <f>IFERROR(__xludf.DUMMYFUNCTION("""COMPUTED_VALUE"""),"McNaughton, 1977")</f>
        <v>McNaughton, 1977</v>
      </c>
      <c r="J499" s="42" t="str">
        <f>IFERROR(__xludf.DUMMYFUNCTION("""COMPUTED_VALUE"""),"Rat")</f>
        <v>Rat</v>
      </c>
      <c r="K499" s="42" t="str">
        <f>IFERROR(__xludf.DUMMYFUNCTION("""COMPUTED_VALUE"""),"Electro physiology")</f>
        <v>Electro physiology</v>
      </c>
      <c r="L499" s="180" t="str">
        <f>IFERROR(__xludf.DUMMYFUNCTION("""COMPUTED_VALUE"""),"Stimulation of the dorsomedial or ventrolateral perforant pathways resulted in quantitatively different extracellularly recorded EPSPs in the fascia dentata of the rat.")</f>
        <v>Stimulation of the dorsomedial or ventrolateral perforant pathways resulted in quantitatively different extracellularly recorded EPSPs in the fascia dentata of the rat.</v>
      </c>
      <c r="M499" s="42"/>
      <c r="N499" s="42"/>
      <c r="O499" s="31" t="str">
        <f>IFERROR(__xludf.DUMMYFUNCTION("""COMPUTED_VALUE"""),"DOC")</f>
        <v>DOC</v>
      </c>
      <c r="P499" s="9" t="str">
        <f>IFERROR(__xludf.DUMMYFUNCTION("""COMPUTED_VALUE"""),"The Journal of Comparative Neurology")</f>
        <v>The Journal of Comparative Neurology</v>
      </c>
      <c r="Q499" s="9" t="str">
        <f>IFERROR(__xludf.DUMMYFUNCTION("""COMPUTED_VALUE"""),"Experimental results")</f>
        <v>Experimental results</v>
      </c>
      <c r="R499" s="179" t="str">
        <f>IFERROR(__xludf.DUMMYFUNCTION("""COMPUTED_VALUE"""),"DG (00/23) [McNaughton, 1977][Moser, 2010][Witter, 2000];
")</f>
        <v>DG (00/23) [McNaughton, 1977][Moser, 2010][Witter, 2000];
</v>
      </c>
      <c r="S499" s="179" t="str">
        <f>IFERROR(__xludf.DUMMYFUNCTION("""COMPUTED_VALUE"""),"LEC_IIDG")</f>
        <v>LEC_IIDG</v>
      </c>
      <c r="T499" s="179" t="str">
        <f>IFERROR(__xludf.DUMMYFUNCTION("""COMPUTED_VALUE"""),"[McNaughton, 1977]")</f>
        <v>[McNaughton, 1977]</v>
      </c>
      <c r="U499" s="179">
        <f>IFERROR(__xludf.DUMMYFUNCTION("""COMPUTED_VALUE"""),1.0)</f>
        <v>1</v>
      </c>
      <c r="V499" s="180">
        <f>IFERROR(__xludf.DUMMYFUNCTION("""COMPUTED_VALUE"""),1.0)</f>
        <v>1</v>
      </c>
      <c r="W499" s="180">
        <f>IFERROR(__xludf.DUMMYFUNCTION("""COMPUTED_VALUE"""),0.95)</f>
        <v>0.95</v>
      </c>
      <c r="X499" s="42">
        <f>IFERROR(__xludf.DUMMYFUNCTION("""COMPUTED_VALUE"""),1.0)</f>
        <v>1</v>
      </c>
      <c r="Y499" s="42">
        <f>IFERROR(__xludf.DUMMYFUNCTION("""COMPUTED_VALUE"""),0.6)</f>
        <v>0.6</v>
      </c>
      <c r="Z499" s="9">
        <f>IFERROR(__xludf.DUMMYFUNCTION("""COMPUTED_VALUE"""),0.4)</f>
        <v>0.4</v>
      </c>
      <c r="AA499" s="181">
        <f>IFERROR(__xludf.DUMMYFUNCTION("""COMPUTED_VALUE"""),0.22799999999999998)</f>
        <v>0.228</v>
      </c>
      <c r="AB499" s="181">
        <f>IFERROR(__xludf.DUMMYFUNCTION("""COMPUTED_VALUE"""),0.22799999999999998)</f>
        <v>0.228</v>
      </c>
      <c r="AC499" s="179">
        <f>IFERROR(__xludf.DUMMYFUNCTION("""COMPUTED_VALUE"""),0.0)</f>
        <v>0</v>
      </c>
      <c r="AD499" s="165">
        <f>IFERROR(__xludf.DUMMYFUNCTION("""COMPUTED_VALUE"""),0.0)</f>
        <v>0</v>
      </c>
      <c r="AE499" s="39" t="str">
        <f>IFERROR(__xludf.DUMMYFUNCTION("""COMPUTED_VALUE"""),"Yuske Shibata")</f>
        <v>Yuske Shibata</v>
      </c>
      <c r="AF499" s="39" t="str">
        <f>IFERROR(__xludf.DUMMYFUNCTION("""COMPUTED_VALUE"""),"Credibility check")</f>
        <v>Credibility check</v>
      </c>
      <c r="AG499" s="39"/>
      <c r="AH499" s="39"/>
      <c r="AI499" s="165"/>
      <c r="AJ499" s="165"/>
      <c r="AK499" s="111"/>
      <c r="AL499" s="111"/>
      <c r="AM499" s="111"/>
      <c r="AN499" s="111"/>
      <c r="AO499" s="111"/>
      <c r="AP499" s="111"/>
      <c r="AQ499" s="116"/>
      <c r="AR499" s="116"/>
      <c r="AS499" s="116"/>
    </row>
    <row r="500">
      <c r="A500" s="42" t="str">
        <f>IFERROR(__xludf.DUMMYFUNCTION("""COMPUTED_VALUE"""),"LEC_II")</f>
        <v>LEC_II</v>
      </c>
      <c r="B500" s="42" t="str">
        <f>IFERROR(__xludf.DUMMYFUNCTION("""COMPUTED_VALUE"""),"=")</f>
        <v>=</v>
      </c>
      <c r="C500" s="42" t="str">
        <f>IFERROR(__xludf.DUMMYFUNCTION("""COMPUTED_VALUE"""),"LEC_II")</f>
        <v>LEC_II</v>
      </c>
      <c r="D500" s="42" t="str">
        <f>IFERROR(__xludf.DUMMYFUNCTION("""COMPUTED_VALUE"""),"DG")</f>
        <v>DG</v>
      </c>
      <c r="E500" s="42" t="str">
        <f>IFERROR(__xludf.DUMMYFUNCTION("""COMPUTED_VALUE"""),"=")</f>
        <v>=</v>
      </c>
      <c r="F500" s="42" t="str">
        <f>IFERROR(__xludf.DUMMYFUNCTION("""COMPUTED_VALUE"""),"DG")</f>
        <v>DG</v>
      </c>
      <c r="G500" s="42"/>
      <c r="H500" s="42"/>
      <c r="I500" s="42" t="str">
        <f>IFERROR(__xludf.DUMMYFUNCTION("""COMPUTED_VALUE"""),"Moser, 2010")</f>
        <v>Moser, 2010</v>
      </c>
      <c r="J500" s="42"/>
      <c r="K500" s="42"/>
      <c r="L500" s="42" t="str">
        <f>IFERROR(__xludf.DUMMYFUNCTION("""COMPUTED_VALUE"""),"All layer II principal cells issue an axon coursing straight toward the angular bundle, where the axon continues to its main targets in the DG and CA3/ CA2 (Fig. 17.1). ")</f>
        <v>All layer II principal cells issue an axon coursing straight toward the angular bundle, where the axon continues to its main targets in the DG and CA3/ CA2 (Fig. 17.1). </v>
      </c>
      <c r="M500" s="42" t="str">
        <f>IFERROR(__xludf.DUMMYFUNCTION("""COMPUTED_VALUE"""),"Fig.17-1")</f>
        <v>Fig.17-1</v>
      </c>
      <c r="N500" s="42" t="str">
        <f>IFERROR(__xludf.DUMMYFUNCTION("""COMPUTED_VALUE"""),"Tamamaki, 1993")</f>
        <v>Tamamaki, 1993</v>
      </c>
      <c r="O500" s="31" t="str">
        <f>IFERROR(__xludf.DUMMYFUNCTION("""COMPUTED_VALUE"""),"DOC")</f>
        <v>DOC</v>
      </c>
      <c r="P500" s="9" t="str">
        <f>IFERROR(__xludf.DUMMYFUNCTION("""COMPUTED_VALUE"""),"Handbook of Brain Microcircuits")</f>
        <v>Handbook of Brain Microcircuits</v>
      </c>
      <c r="Q500" s="9" t="str">
        <f>IFERROR(__xludf.DUMMYFUNCTION("""COMPUTED_VALUE"""),"Textbook")</f>
        <v>Textbook</v>
      </c>
      <c r="R500" s="179" t="str">
        <f>IFERROR(__xludf.DUMMYFUNCTION("""COMPUTED_VALUE"""),"DG (00/23) [McNaughton, 1977][Moser, 2010][Witter, 2000];
")</f>
        <v>DG (00/23) [McNaughton, 1977][Moser, 2010][Witter, 2000];
</v>
      </c>
      <c r="S500" s="179" t="str">
        <f>IFERROR(__xludf.DUMMYFUNCTION("""COMPUTED_VALUE"""),"LEC_IIDG")</f>
        <v>LEC_IIDG</v>
      </c>
      <c r="T500" s="179" t="str">
        <f>IFERROR(__xludf.DUMMYFUNCTION("""COMPUTED_VALUE"""),"[Moser, 2010]")</f>
        <v>[Moser, 2010]</v>
      </c>
      <c r="U500" s="179">
        <f>IFERROR(__xludf.DUMMYFUNCTION("""COMPUTED_VALUE"""),1.0)</f>
        <v>1</v>
      </c>
      <c r="V500" s="180">
        <f>IFERROR(__xludf.DUMMYFUNCTION("""COMPUTED_VALUE"""),1.0)</f>
        <v>1</v>
      </c>
      <c r="W500" s="180">
        <f>IFERROR(__xludf.DUMMYFUNCTION("""COMPUTED_VALUE"""),0.95)</f>
        <v>0.95</v>
      </c>
      <c r="X500" s="42">
        <f>IFERROR(__xludf.DUMMYFUNCTION("""COMPUTED_VALUE"""),0.9)</f>
        <v>0.9</v>
      </c>
      <c r="Y500" s="42">
        <f>IFERROR(__xludf.DUMMYFUNCTION("""COMPUTED_VALUE"""),0.0)</f>
        <v>0</v>
      </c>
      <c r="Z500" s="9">
        <f>IFERROR(__xludf.DUMMYFUNCTION("""COMPUTED_VALUE"""),0.0)</f>
        <v>0</v>
      </c>
      <c r="AA500" s="181">
        <f>IFERROR(__xludf.DUMMYFUNCTION("""COMPUTED_VALUE"""),0.0)</f>
        <v>0</v>
      </c>
      <c r="AB500" s="181">
        <f>IFERROR(__xludf.DUMMYFUNCTION("""COMPUTED_VALUE"""),0.22799999999999998)</f>
        <v>0.228</v>
      </c>
      <c r="AC500" s="179">
        <f>IFERROR(__xludf.DUMMYFUNCTION("""COMPUTED_VALUE"""),0.0)</f>
        <v>0</v>
      </c>
      <c r="AD500" s="165">
        <f>IFERROR(__xludf.DUMMYFUNCTION("""COMPUTED_VALUE"""),0.0)</f>
        <v>0</v>
      </c>
      <c r="AE500" s="39" t="str">
        <f>IFERROR(__xludf.DUMMYFUNCTION("""COMPUTED_VALUE"""),"Ayako Fukawa")</f>
        <v>Ayako Fukawa</v>
      </c>
      <c r="AF500" s="39" t="str">
        <f>IFERROR(__xludf.DUMMYFUNCTION("""COMPUTED_VALUE"""),"AT20HippocampalFormation")</f>
        <v>AT20HippocampalFormation</v>
      </c>
      <c r="AG500" s="39"/>
      <c r="AH500" s="39"/>
      <c r="AI500" s="165"/>
      <c r="AJ500" s="165"/>
      <c r="AK500" s="111"/>
      <c r="AL500" s="111"/>
      <c r="AM500" s="111"/>
      <c r="AN500" s="111"/>
      <c r="AO500" s="111"/>
      <c r="AP500" s="111"/>
      <c r="AQ500" s="116"/>
      <c r="AR500" s="116"/>
      <c r="AS500" s="116"/>
    </row>
    <row r="501">
      <c r="A501" s="42" t="str">
        <f>IFERROR(__xludf.DUMMYFUNCTION("""COMPUTED_VALUE"""),"LEC_II")</f>
        <v>LEC_II</v>
      </c>
      <c r="B501" s="42" t="str">
        <f>IFERROR(__xludf.DUMMYFUNCTION("""COMPUTED_VALUE"""),"=")</f>
        <v>=</v>
      </c>
      <c r="C501" s="42"/>
      <c r="D501" s="42" t="str">
        <f>IFERROR(__xludf.DUMMYFUNCTION("""COMPUTED_VALUE"""),"DG")</f>
        <v>DG</v>
      </c>
      <c r="E501" s="42" t="str">
        <f>IFERROR(__xludf.DUMMYFUNCTION("""COMPUTED_VALUE"""),"=")</f>
        <v>=</v>
      </c>
      <c r="F501" s="42"/>
      <c r="G501" s="42"/>
      <c r="H501" s="42"/>
      <c r="I501" s="42" t="str">
        <f>IFERROR(__xludf.DUMMYFUNCTION("""COMPUTED_VALUE"""),"Witter, 2000")</f>
        <v>Witter, 2000</v>
      </c>
      <c r="J501" s="42"/>
      <c r="K501" s="42"/>
      <c r="L501" s="42" t="str">
        <f>IFERROR(__xludf.DUMMYFUNCTION("""COMPUTED_VALUE"""),"McNaughton and Barnes, 1977")</f>
        <v>McNaughton and Barnes, 1977</v>
      </c>
      <c r="M501" s="42" t="str">
        <f>IFERROR(__xludf.DUMMYFUNCTION("""COMPUTED_VALUE"""),"Fig. 3")</f>
        <v>Fig. 3</v>
      </c>
      <c r="N501" s="42"/>
      <c r="O501" s="131" t="str">
        <f>IFERROR(__xludf.DUMMYFUNCTION("""COMPUTED_VALUE"""),"DOC")</f>
        <v>DOC</v>
      </c>
      <c r="P501" s="9" t="str">
        <f>IFERROR(__xludf.DUMMYFUNCTION("""COMPUTED_VALUE"""),"Hippocampus")</f>
        <v>Hippocampus</v>
      </c>
      <c r="Q501" s="9" t="str">
        <f>IFERROR(__xludf.DUMMYFUNCTION("""COMPUTED_VALUE"""),"Review")</f>
        <v>Review</v>
      </c>
      <c r="R501" s="179" t="str">
        <f>IFERROR(__xludf.DUMMYFUNCTION("""COMPUTED_VALUE"""),"DG (00/23) [McNaughton, 1977][Moser, 2010][Witter, 2000];
")</f>
        <v>DG (00/23) [McNaughton, 1977][Moser, 2010][Witter, 2000];
</v>
      </c>
      <c r="S501" s="179" t="str">
        <f>IFERROR(__xludf.DUMMYFUNCTION("""COMPUTED_VALUE"""),"LEC_IIDG")</f>
        <v>LEC_IIDG</v>
      </c>
      <c r="T501" s="179" t="str">
        <f>IFERROR(__xludf.DUMMYFUNCTION("""COMPUTED_VALUE"""),"[Witter, 2000]")</f>
        <v>[Witter, 2000]</v>
      </c>
      <c r="U501" s="179">
        <f>IFERROR(__xludf.DUMMYFUNCTION("""COMPUTED_VALUE"""),1.0)</f>
        <v>1</v>
      </c>
      <c r="V501" s="180">
        <f>IFERROR(__xludf.DUMMYFUNCTION("""COMPUTED_VALUE"""),1.0)</f>
        <v>1</v>
      </c>
      <c r="W501" s="180">
        <f>IFERROR(__xludf.DUMMYFUNCTION("""COMPUTED_VALUE"""),0.95)</f>
        <v>0.95</v>
      </c>
      <c r="X501" s="42">
        <f>IFERROR(__xludf.DUMMYFUNCTION("""COMPUTED_VALUE"""),0.8)</f>
        <v>0.8</v>
      </c>
      <c r="Y501" s="42">
        <f>IFERROR(__xludf.DUMMYFUNCTION("""COMPUTED_VALUE"""),0.0)</f>
        <v>0</v>
      </c>
      <c r="Z501" s="9">
        <f>IFERROR(__xludf.DUMMYFUNCTION("""COMPUTED_VALUE"""),0.0)</f>
        <v>0</v>
      </c>
      <c r="AA501" s="181">
        <f>IFERROR(__xludf.DUMMYFUNCTION("""COMPUTED_VALUE"""),0.0)</f>
        <v>0</v>
      </c>
      <c r="AB501" s="181">
        <f>IFERROR(__xludf.DUMMYFUNCTION("""COMPUTED_VALUE"""),0.22799999999999998)</f>
        <v>0.228</v>
      </c>
      <c r="AC501" s="179">
        <f>IFERROR(__xludf.DUMMYFUNCTION("""COMPUTED_VALUE"""),0.0)</f>
        <v>0</v>
      </c>
      <c r="AD501" s="165">
        <f>IFERROR(__xludf.DUMMYFUNCTION("""COMPUTED_VALUE"""),0.0)</f>
        <v>0</v>
      </c>
      <c r="AE501" s="39" t="str">
        <f>IFERROR(__xludf.DUMMYFUNCTION("""COMPUTED_VALUE"""),"Ayako Fukawa")</f>
        <v>Ayako Fukawa</v>
      </c>
      <c r="AF501" s="39" t="str">
        <f>IFERROR(__xludf.DUMMYFUNCTION("""COMPUTED_VALUE"""),"AT20HippocampalFormation")</f>
        <v>AT20HippocampalFormation</v>
      </c>
      <c r="AG501" s="39"/>
      <c r="AH501" s="39"/>
      <c r="AI501" s="165"/>
      <c r="AJ501" s="165"/>
      <c r="AK501" s="111"/>
      <c r="AL501" s="111"/>
      <c r="AM501" s="111"/>
      <c r="AN501" s="111"/>
      <c r="AO501" s="111"/>
      <c r="AP501" s="111"/>
      <c r="AQ501" s="116"/>
      <c r="AR501" s="116"/>
      <c r="AS501" s="116"/>
    </row>
    <row r="502">
      <c r="A502" s="42" t="str">
        <f>IFERROR(__xludf.DUMMYFUNCTION("""COMPUTED_VALUE"""),"LEC_II")</f>
        <v>LEC_II</v>
      </c>
      <c r="B502" s="42" t="str">
        <f>IFERROR(__xludf.DUMMYFUNCTION("""COMPUTED_VALUE"""),"=")</f>
        <v>=</v>
      </c>
      <c r="C502" s="42" t="str">
        <f>IFERROR(__xludf.DUMMYFUNCTION("""COMPUTED_VALUE"""),"LEC_II")</f>
        <v>LEC_II</v>
      </c>
      <c r="D502" s="42" t="str">
        <f>IFERROR(__xludf.DUMMYFUNCTION("""COMPUTED_VALUE"""),"CA3")</f>
        <v>CA3</v>
      </c>
      <c r="E502" s="42" t="str">
        <f>IFERROR(__xludf.DUMMYFUNCTION("""COMPUTED_VALUE"""),"=")</f>
        <v>=</v>
      </c>
      <c r="F502" s="42" t="str">
        <f>IFERROR(__xludf.DUMMYFUNCTION("""COMPUTED_VALUE"""),"CA3")</f>
        <v>CA3</v>
      </c>
      <c r="G502" s="42"/>
      <c r="H502" s="42"/>
      <c r="I502" s="42" t="str">
        <f>IFERROR(__xludf.DUMMYFUNCTION("""COMPUTED_VALUE"""),"Moser, 2010")</f>
        <v>Moser, 2010</v>
      </c>
      <c r="J502" s="42"/>
      <c r="K502" s="42"/>
      <c r="L502" s="42" t="str">
        <f>IFERROR(__xludf.DUMMYFUNCTION("""COMPUTED_VALUE"""),"All layer II principal cells issue an axon coursing straight toward the angular bundle, where the axon continues to its main targets in the DG and CA3/ CA2 (Fig. 17.1). ")</f>
        <v>All layer II principal cells issue an axon coursing straight toward the angular bundle, where the axon continues to its main targets in the DG and CA3/ CA2 (Fig. 17.1). </v>
      </c>
      <c r="M502" s="42" t="str">
        <f>IFERROR(__xludf.DUMMYFUNCTION("""COMPUTED_VALUE"""),"Fig.17-1")</f>
        <v>Fig.17-1</v>
      </c>
      <c r="N502" s="42" t="str">
        <f>IFERROR(__xludf.DUMMYFUNCTION("""COMPUTED_VALUE"""),"Tamamaki, 1993")</f>
        <v>Tamamaki, 1993</v>
      </c>
      <c r="O502" s="31" t="str">
        <f>IFERROR(__xludf.DUMMYFUNCTION("""COMPUTED_VALUE"""),"DOC")</f>
        <v>DOC</v>
      </c>
      <c r="P502" s="9" t="str">
        <f>IFERROR(__xludf.DUMMYFUNCTION("""COMPUTED_VALUE"""),"Handbook of Brain Microcircuits")</f>
        <v>Handbook of Brain Microcircuits</v>
      </c>
      <c r="Q502" s="9" t="str">
        <f>IFERROR(__xludf.DUMMYFUNCTION("""COMPUTED_VALUE"""),"Textbook")</f>
        <v>Textbook</v>
      </c>
      <c r="R502" s="179" t="str">
        <f>IFERROR(__xludf.DUMMYFUNCTION("""COMPUTED_VALUE"""),"CA3 (00/00) [Moser, 2010][Witter, 2000];
")</f>
        <v>CA3 (00/00) [Moser, 2010][Witter, 2000];
</v>
      </c>
      <c r="S502" s="179" t="str">
        <f>IFERROR(__xludf.DUMMYFUNCTION("""COMPUTED_VALUE"""),"LEC_IICA3")</f>
        <v>LEC_IICA3</v>
      </c>
      <c r="T502" s="179" t="str">
        <f>IFERROR(__xludf.DUMMYFUNCTION("""COMPUTED_VALUE"""),"[Moser, 2010]")</f>
        <v>[Moser, 2010]</v>
      </c>
      <c r="U502" s="179">
        <f>IFERROR(__xludf.DUMMYFUNCTION("""COMPUTED_VALUE"""),1.0)</f>
        <v>1</v>
      </c>
      <c r="V502" s="180">
        <f>IFERROR(__xludf.DUMMYFUNCTION("""COMPUTED_VALUE"""),1.0)</f>
        <v>1</v>
      </c>
      <c r="W502" s="180">
        <f>IFERROR(__xludf.DUMMYFUNCTION("""COMPUTED_VALUE"""),0.95)</f>
        <v>0.95</v>
      </c>
      <c r="X502" s="42">
        <f>IFERROR(__xludf.DUMMYFUNCTION("""COMPUTED_VALUE"""),0.9)</f>
        <v>0.9</v>
      </c>
      <c r="Y502" s="42">
        <f>IFERROR(__xludf.DUMMYFUNCTION("""COMPUTED_VALUE"""),0.0)</f>
        <v>0</v>
      </c>
      <c r="Z502" s="9">
        <f>IFERROR(__xludf.DUMMYFUNCTION("""COMPUTED_VALUE"""),0.0)</f>
        <v>0</v>
      </c>
      <c r="AA502" s="181">
        <f>IFERROR(__xludf.DUMMYFUNCTION("""COMPUTED_VALUE"""),0.0)</f>
        <v>0</v>
      </c>
      <c r="AB502" s="181">
        <f>IFERROR(__xludf.DUMMYFUNCTION("""COMPUTED_VALUE"""),0.0)</f>
        <v>0</v>
      </c>
      <c r="AC502" s="179">
        <f>IFERROR(__xludf.DUMMYFUNCTION("""COMPUTED_VALUE"""),0.0)</f>
        <v>0</v>
      </c>
      <c r="AD502" s="165">
        <f>IFERROR(__xludf.DUMMYFUNCTION("""COMPUTED_VALUE"""),0.0)</f>
        <v>0</v>
      </c>
      <c r="AE502" s="39" t="str">
        <f>IFERROR(__xludf.DUMMYFUNCTION("""COMPUTED_VALUE"""),"Ayako Fukawa")</f>
        <v>Ayako Fukawa</v>
      </c>
      <c r="AF502" s="39" t="str">
        <f>IFERROR(__xludf.DUMMYFUNCTION("""COMPUTED_VALUE"""),"AT20HippocampalFormation")</f>
        <v>AT20HippocampalFormation</v>
      </c>
      <c r="AG502" s="39"/>
      <c r="AH502" s="39"/>
      <c r="AI502" s="165"/>
      <c r="AJ502" s="165"/>
      <c r="AK502" s="111"/>
      <c r="AL502" s="111"/>
      <c r="AM502" s="111"/>
      <c r="AN502" s="111"/>
      <c r="AO502" s="111"/>
      <c r="AP502" s="111"/>
      <c r="AQ502" s="116"/>
      <c r="AR502" s="116"/>
      <c r="AS502" s="116"/>
    </row>
    <row r="503">
      <c r="A503" s="42" t="str">
        <f>IFERROR(__xludf.DUMMYFUNCTION("""COMPUTED_VALUE"""),"LEC_II")</f>
        <v>LEC_II</v>
      </c>
      <c r="B503" s="42"/>
      <c r="C503" s="42"/>
      <c r="D503" s="42" t="str">
        <f>IFERROR(__xludf.DUMMYFUNCTION("""COMPUTED_VALUE"""),"CA3")</f>
        <v>CA3</v>
      </c>
      <c r="E503" s="42"/>
      <c r="F503" s="42"/>
      <c r="G503" s="42"/>
      <c r="H503" s="42" t="str">
        <f>IFERROR(__xludf.DUMMYFUNCTION("""COMPUTED_VALUE"""),"")</f>
        <v/>
      </c>
      <c r="I503" s="42" t="str">
        <f>IFERROR(__xludf.DUMMYFUNCTION("""COMPUTED_VALUE"""),"Witter, 2000")</f>
        <v>Witter, 2000</v>
      </c>
      <c r="J503" s="42"/>
      <c r="K503" s="42"/>
      <c r="L503" s="42"/>
      <c r="M503" s="42"/>
      <c r="N503" s="42"/>
      <c r="O503" s="131" t="str">
        <f>IFERROR(__xludf.DUMMYFUNCTION("""COMPUTED_VALUE"""),"DOC")</f>
        <v>DOC</v>
      </c>
      <c r="P503" s="9" t="str">
        <f>IFERROR(__xludf.DUMMYFUNCTION("""COMPUTED_VALUE"""),"Hippocampus")</f>
        <v>Hippocampus</v>
      </c>
      <c r="Q503" s="9" t="str">
        <f>IFERROR(__xludf.DUMMYFUNCTION("""COMPUTED_VALUE"""),"Review")</f>
        <v>Review</v>
      </c>
      <c r="R503" s="179" t="str">
        <f>IFERROR(__xludf.DUMMYFUNCTION("""COMPUTED_VALUE"""),"CA3 (00/00) [Moser, 2010][Witter, 2000];
")</f>
        <v>CA3 (00/00) [Moser, 2010][Witter, 2000];
</v>
      </c>
      <c r="S503" s="179" t="str">
        <f>IFERROR(__xludf.DUMMYFUNCTION("""COMPUTED_VALUE"""),"LEC_IICA3")</f>
        <v>LEC_IICA3</v>
      </c>
      <c r="T503" s="179" t="str">
        <f>IFERROR(__xludf.DUMMYFUNCTION("""COMPUTED_VALUE"""),"[Witter, 2000]")</f>
        <v>[Witter, 2000]</v>
      </c>
      <c r="U503" s="179">
        <f>IFERROR(__xludf.DUMMYFUNCTION("""COMPUTED_VALUE"""),0.0)</f>
        <v>0</v>
      </c>
      <c r="V503" s="180">
        <f>IFERROR(__xludf.DUMMYFUNCTION("""COMPUTED_VALUE"""),0.0)</f>
        <v>0</v>
      </c>
      <c r="W503" s="180">
        <f>IFERROR(__xludf.DUMMYFUNCTION("""COMPUTED_VALUE"""),0.95)</f>
        <v>0.95</v>
      </c>
      <c r="X503" s="42">
        <f>IFERROR(__xludf.DUMMYFUNCTION("""COMPUTED_VALUE"""),0.8)</f>
        <v>0.8</v>
      </c>
      <c r="Y503" s="42">
        <f>IFERROR(__xludf.DUMMYFUNCTION("""COMPUTED_VALUE"""),0.0)</f>
        <v>0</v>
      </c>
      <c r="Z503" s="9">
        <f>IFERROR(__xludf.DUMMYFUNCTION("""COMPUTED_VALUE"""),0.0)</f>
        <v>0</v>
      </c>
      <c r="AA503" s="181">
        <f>IFERROR(__xludf.DUMMYFUNCTION("""COMPUTED_VALUE"""),0.0)</f>
        <v>0</v>
      </c>
      <c r="AB503" s="181">
        <f>IFERROR(__xludf.DUMMYFUNCTION("""COMPUTED_VALUE"""),0.0)</f>
        <v>0</v>
      </c>
      <c r="AC503" s="179">
        <f>IFERROR(__xludf.DUMMYFUNCTION("""COMPUTED_VALUE"""),0.0)</f>
        <v>0</v>
      </c>
      <c r="AD503" s="165">
        <f>IFERROR(__xludf.DUMMYFUNCTION("""COMPUTED_VALUE"""),0.0)</f>
        <v>0</v>
      </c>
      <c r="AE503" s="39" t="str">
        <f>IFERROR(__xludf.DUMMYFUNCTION("""COMPUTED_VALUE"""),"Ayako Fukawa")</f>
        <v>Ayako Fukawa</v>
      </c>
      <c r="AF503" s="39" t="str">
        <f>IFERROR(__xludf.DUMMYFUNCTION("""COMPUTED_VALUE"""),"AT20HippocampalFormation")</f>
        <v>AT20HippocampalFormation</v>
      </c>
      <c r="AG503" s="39"/>
      <c r="AH503" s="39"/>
      <c r="AI503" s="165"/>
      <c r="AJ503" s="165"/>
      <c r="AK503" s="111"/>
      <c r="AL503" s="111"/>
      <c r="AM503" s="111"/>
      <c r="AN503" s="111"/>
      <c r="AO503" s="111"/>
      <c r="AP503" s="111"/>
      <c r="AQ503" s="116"/>
      <c r="AR503" s="116"/>
      <c r="AS503" s="116"/>
    </row>
    <row r="504">
      <c r="A504" s="42" t="str">
        <f>IFERROR(__xludf.DUMMYFUNCTION("""COMPUTED_VALUE"""),"LEC_III")</f>
        <v>LEC_III</v>
      </c>
      <c r="B504" s="42" t="str">
        <f>IFERROR(__xludf.DUMMYFUNCTION("""COMPUTED_VALUE"""),"=")</f>
        <v>=</v>
      </c>
      <c r="C504" s="42"/>
      <c r="D504" s="42" t="str">
        <f>IFERROR(__xludf.DUMMYFUNCTION("""COMPUTED_VALUE"""),"CA1_distal")</f>
        <v>CA1_distal</v>
      </c>
      <c r="E504" s="42" t="str">
        <f>IFERROR(__xludf.DUMMYFUNCTION("""COMPUTED_VALUE"""),"=")</f>
        <v>=</v>
      </c>
      <c r="F504" s="42"/>
      <c r="G504" s="42"/>
      <c r="H504" s="42"/>
      <c r="I504" s="42" t="str">
        <f>IFERROR(__xludf.DUMMYFUNCTION("""COMPUTED_VALUE"""),"Moser, 2010")</f>
        <v>Moser, 2010</v>
      </c>
      <c r="J504" s="42"/>
      <c r="K504" s="42"/>
      <c r="L504" s="180" t="str">
        <f>IFERROR(__xludf.DUMMYFUNCTION("""COMPUTED_VALUE"""),"The main axon of pyramidal cells in layer III projects via the angular bundle to the subiculum and CA1")</f>
        <v>The main axon of pyramidal cells in layer III projects via the angular bundle to the subiculum and CA1</v>
      </c>
      <c r="M504" s="42" t="str">
        <f>IFERROR(__xludf.DUMMYFUNCTION("""COMPUTED_VALUE"""),"Fig.17-1")</f>
        <v>Fig.17-1</v>
      </c>
      <c r="N504" s="42" t="str">
        <f>IFERROR(__xludf.DUMMYFUNCTION("""COMPUTED_VALUE"""),"Canto et al, 2008")</f>
        <v>Canto et al, 2008</v>
      </c>
      <c r="O504" s="31" t="str">
        <f>IFERROR(__xludf.DUMMYFUNCTION("""COMPUTED_VALUE"""),"DOC")</f>
        <v>DOC</v>
      </c>
      <c r="P504" s="9" t="str">
        <f>IFERROR(__xludf.DUMMYFUNCTION("""COMPUTED_VALUE"""),"Handbook of Brain Microcircuits")</f>
        <v>Handbook of Brain Microcircuits</v>
      </c>
      <c r="Q504" s="9" t="str">
        <f>IFERROR(__xludf.DUMMYFUNCTION("""COMPUTED_VALUE"""),"Textbook")</f>
        <v>Textbook</v>
      </c>
      <c r="R504" s="179" t="str">
        <f>IFERROR(__xludf.DUMMYFUNCTION("""COMPUTED_VALUE"""),"CA1_distal (00/00) [Moser, 2010][Witter, 2000];
")</f>
        <v>CA1_distal (00/00) [Moser, 2010][Witter, 2000];
</v>
      </c>
      <c r="S504" s="179" t="str">
        <f>IFERROR(__xludf.DUMMYFUNCTION("""COMPUTED_VALUE"""),"LEC_IIICA1_distal")</f>
        <v>LEC_IIICA1_distal</v>
      </c>
      <c r="T504" s="179" t="str">
        <f>IFERROR(__xludf.DUMMYFUNCTION("""COMPUTED_VALUE"""),"[Moser, 2010]")</f>
        <v>[Moser, 2010]</v>
      </c>
      <c r="U504" s="179">
        <f>IFERROR(__xludf.DUMMYFUNCTION("""COMPUTED_VALUE"""),1.0)</f>
        <v>1</v>
      </c>
      <c r="V504" s="180">
        <f>IFERROR(__xludf.DUMMYFUNCTION("""COMPUTED_VALUE"""),1.0)</f>
        <v>1</v>
      </c>
      <c r="W504" s="180">
        <f>IFERROR(__xludf.DUMMYFUNCTION("""COMPUTED_VALUE"""),0.95)</f>
        <v>0.95</v>
      </c>
      <c r="X504" s="42">
        <f>IFERROR(__xludf.DUMMYFUNCTION("""COMPUTED_VALUE"""),0.9)</f>
        <v>0.9</v>
      </c>
      <c r="Y504" s="42">
        <f>IFERROR(__xludf.DUMMYFUNCTION("""COMPUTED_VALUE"""),0.0)</f>
        <v>0</v>
      </c>
      <c r="Z504" s="9">
        <f>IFERROR(__xludf.DUMMYFUNCTION("""COMPUTED_VALUE"""),0.0)</f>
        <v>0</v>
      </c>
      <c r="AA504" s="181">
        <f>IFERROR(__xludf.DUMMYFUNCTION("""COMPUTED_VALUE"""),0.0)</f>
        <v>0</v>
      </c>
      <c r="AB504" s="181">
        <f>IFERROR(__xludf.DUMMYFUNCTION("""COMPUTED_VALUE"""),0.0)</f>
        <v>0</v>
      </c>
      <c r="AC504" s="179">
        <f>IFERROR(__xludf.DUMMYFUNCTION("""COMPUTED_VALUE"""),0.0)</f>
        <v>0</v>
      </c>
      <c r="AD504" s="165">
        <f>IFERROR(__xludf.DUMMYFUNCTION("""COMPUTED_VALUE"""),0.0)</f>
        <v>0</v>
      </c>
      <c r="AE504" s="39" t="str">
        <f>IFERROR(__xludf.DUMMYFUNCTION("""COMPUTED_VALUE"""),"Ayako Fukawa")</f>
        <v>Ayako Fukawa</v>
      </c>
      <c r="AF504" s="39" t="str">
        <f>IFERROR(__xludf.DUMMYFUNCTION("""COMPUTED_VALUE"""),"AT20HippocampalFormation")</f>
        <v>AT20HippocampalFormation</v>
      </c>
      <c r="AG504" s="39"/>
      <c r="AH504" s="39"/>
      <c r="AI504" s="165"/>
      <c r="AJ504" s="165"/>
      <c r="AK504" s="111"/>
      <c r="AL504" s="111"/>
      <c r="AM504" s="111"/>
      <c r="AN504" s="111"/>
      <c r="AO504" s="111"/>
      <c r="AP504" s="111"/>
      <c r="AQ504" s="116"/>
      <c r="AR504" s="116"/>
      <c r="AS504" s="116"/>
    </row>
    <row r="505">
      <c r="A505" s="42" t="str">
        <f>IFERROR(__xludf.DUMMYFUNCTION("""COMPUTED_VALUE"""),"LEC_III")</f>
        <v>LEC_III</v>
      </c>
      <c r="B505" s="42" t="str">
        <f>IFERROR(__xludf.DUMMYFUNCTION("""COMPUTED_VALUE"""),"=")</f>
        <v>=</v>
      </c>
      <c r="C505" s="42"/>
      <c r="D505" s="42" t="str">
        <f>IFERROR(__xludf.DUMMYFUNCTION("""COMPUTED_VALUE"""),"S_proximal")</f>
        <v>S_proximal</v>
      </c>
      <c r="E505" s="42" t="str">
        <f>IFERROR(__xludf.DUMMYFUNCTION("""COMPUTED_VALUE"""),"=")</f>
        <v>=</v>
      </c>
      <c r="F505" s="42"/>
      <c r="G505" s="42"/>
      <c r="H505" s="42"/>
      <c r="I505" s="42" t="str">
        <f>IFERROR(__xludf.DUMMYFUNCTION("""COMPUTED_VALUE"""),"Moser, 2010")</f>
        <v>Moser, 2010</v>
      </c>
      <c r="J505" s="42"/>
      <c r="K505" s="42"/>
      <c r="L505" s="180" t="str">
        <f>IFERROR(__xludf.DUMMYFUNCTION("""COMPUTED_VALUE"""),"The main axon of pyramidal cells in layer III projects via the angular bundle to the subiculum and CA1")</f>
        <v>The main axon of pyramidal cells in layer III projects via the angular bundle to the subiculum and CA1</v>
      </c>
      <c r="M505" s="42" t="str">
        <f>IFERROR(__xludf.DUMMYFUNCTION("""COMPUTED_VALUE"""),"Fig.17-1")</f>
        <v>Fig.17-1</v>
      </c>
      <c r="N505" s="42" t="str">
        <f>IFERROR(__xludf.DUMMYFUNCTION("""COMPUTED_VALUE"""),"Canto et al, 2008")</f>
        <v>Canto et al, 2008</v>
      </c>
      <c r="O505" s="31" t="str">
        <f>IFERROR(__xludf.DUMMYFUNCTION("""COMPUTED_VALUE"""),"DOC")</f>
        <v>DOC</v>
      </c>
      <c r="P505" s="9" t="str">
        <f>IFERROR(__xludf.DUMMYFUNCTION("""COMPUTED_VALUE"""),"Handbook of Brain Microcircuits")</f>
        <v>Handbook of Brain Microcircuits</v>
      </c>
      <c r="Q505" s="9" t="str">
        <f>IFERROR(__xludf.DUMMYFUNCTION("""COMPUTED_VALUE"""),"Textbook")</f>
        <v>Textbook</v>
      </c>
      <c r="R505" s="179" t="str">
        <f>IFERROR(__xludf.DUMMYFUNCTION("""COMPUTED_VALUE"""),"S_proximal (00/00) [Moser, 2010][Witter, 2000];
")</f>
        <v>S_proximal (00/00) [Moser, 2010][Witter, 2000];
</v>
      </c>
      <c r="S505" s="179" t="str">
        <f>IFERROR(__xludf.DUMMYFUNCTION("""COMPUTED_VALUE"""),"LEC_IIIS_proximal")</f>
        <v>LEC_IIIS_proximal</v>
      </c>
      <c r="T505" s="179" t="str">
        <f>IFERROR(__xludf.DUMMYFUNCTION("""COMPUTED_VALUE"""),"[Moser, 2010]")</f>
        <v>[Moser, 2010]</v>
      </c>
      <c r="U505" s="179">
        <f>IFERROR(__xludf.DUMMYFUNCTION("""COMPUTED_VALUE"""),1.0)</f>
        <v>1</v>
      </c>
      <c r="V505" s="180">
        <f>IFERROR(__xludf.DUMMYFUNCTION("""COMPUTED_VALUE"""),1.0)</f>
        <v>1</v>
      </c>
      <c r="W505" s="180">
        <f>IFERROR(__xludf.DUMMYFUNCTION("""COMPUTED_VALUE"""),0.95)</f>
        <v>0.95</v>
      </c>
      <c r="X505" s="42">
        <f>IFERROR(__xludf.DUMMYFUNCTION("""COMPUTED_VALUE"""),0.9)</f>
        <v>0.9</v>
      </c>
      <c r="Y505" s="42">
        <f>IFERROR(__xludf.DUMMYFUNCTION("""COMPUTED_VALUE"""),0.0)</f>
        <v>0</v>
      </c>
      <c r="Z505" s="9">
        <f>IFERROR(__xludf.DUMMYFUNCTION("""COMPUTED_VALUE"""),0.0)</f>
        <v>0</v>
      </c>
      <c r="AA505" s="181">
        <f>IFERROR(__xludf.DUMMYFUNCTION("""COMPUTED_VALUE"""),0.0)</f>
        <v>0</v>
      </c>
      <c r="AB505" s="181">
        <f>IFERROR(__xludf.DUMMYFUNCTION("""COMPUTED_VALUE"""),0.0)</f>
        <v>0</v>
      </c>
      <c r="AC505" s="179">
        <f>IFERROR(__xludf.DUMMYFUNCTION("""COMPUTED_VALUE"""),0.0)</f>
        <v>0</v>
      </c>
      <c r="AD505" s="165">
        <f>IFERROR(__xludf.DUMMYFUNCTION("""COMPUTED_VALUE"""),0.0)</f>
        <v>0</v>
      </c>
      <c r="AE505" s="39" t="str">
        <f>IFERROR(__xludf.DUMMYFUNCTION("""COMPUTED_VALUE"""),"Ayako Fukawa")</f>
        <v>Ayako Fukawa</v>
      </c>
      <c r="AF505" s="39" t="str">
        <f>IFERROR(__xludf.DUMMYFUNCTION("""COMPUTED_VALUE"""),"AT20HippocampalFormation")</f>
        <v>AT20HippocampalFormation</v>
      </c>
      <c r="AG505" s="39"/>
      <c r="AH505" s="39"/>
      <c r="AI505" s="165"/>
      <c r="AJ505" s="165"/>
      <c r="AK505" s="111"/>
      <c r="AL505" s="111"/>
      <c r="AM505" s="111"/>
      <c r="AN505" s="111"/>
      <c r="AO505" s="111"/>
      <c r="AP505" s="111"/>
      <c r="AQ505" s="116"/>
      <c r="AR505" s="116"/>
      <c r="AS505" s="116"/>
    </row>
    <row r="506">
      <c r="A506" s="120" t="str">
        <f>IFERROR(__xludf.DUMMYFUNCTION("""COMPUTED_VALUE"""),"LEC_III")</f>
        <v>LEC_III</v>
      </c>
      <c r="B506" s="120"/>
      <c r="C506" s="120"/>
      <c r="D506" s="120" t="str">
        <f>IFERROR(__xludf.DUMMYFUNCTION("""COMPUTED_VALUE"""),"CA1_distal")</f>
        <v>CA1_distal</v>
      </c>
      <c r="E506" s="120"/>
      <c r="F506" s="120"/>
      <c r="G506" s="120"/>
      <c r="H506" s="120" t="str">
        <f>IFERROR(__xludf.DUMMYFUNCTION("""COMPUTED_VALUE"""),"")</f>
        <v/>
      </c>
      <c r="I506" s="120" t="str">
        <f>IFERROR(__xludf.DUMMYFUNCTION("""COMPUTED_VALUE"""),"Witter, 2000")</f>
        <v>Witter, 2000</v>
      </c>
      <c r="J506" s="120"/>
      <c r="K506" s="120"/>
      <c r="L506" s="120"/>
      <c r="M506" s="120"/>
      <c r="N506" s="120"/>
      <c r="O506" s="122" t="str">
        <f>IFERROR(__xludf.DUMMYFUNCTION("""COMPUTED_VALUE"""),"DOC")</f>
        <v>DOC</v>
      </c>
      <c r="P506" s="120" t="str">
        <f>IFERROR(__xludf.DUMMYFUNCTION("""COMPUTED_VALUE"""),"Hippocampus")</f>
        <v>Hippocampus</v>
      </c>
      <c r="Q506" s="120" t="str">
        <f>IFERROR(__xludf.DUMMYFUNCTION("""COMPUTED_VALUE"""),"Review")</f>
        <v>Review</v>
      </c>
      <c r="R506" s="170" t="str">
        <f>IFERROR(__xludf.DUMMYFUNCTION("""COMPUTED_VALUE"""),"CA1_distal (00/00) [Moser, 2010][Witter, 2000];
")</f>
        <v>CA1_distal (00/00) [Moser, 2010][Witter, 2000];
</v>
      </c>
      <c r="S506" s="170" t="str">
        <f>IFERROR(__xludf.DUMMYFUNCTION("""COMPUTED_VALUE"""),"LEC_IIICA1_distal")</f>
        <v>LEC_IIICA1_distal</v>
      </c>
      <c r="T506" s="170" t="str">
        <f>IFERROR(__xludf.DUMMYFUNCTION("""COMPUTED_VALUE"""),"[Witter, 2000]")</f>
        <v>[Witter, 2000]</v>
      </c>
      <c r="U506" s="170">
        <f>IFERROR(__xludf.DUMMYFUNCTION("""COMPUTED_VALUE"""),0.0)</f>
        <v>0</v>
      </c>
      <c r="V506" s="169">
        <f>IFERROR(__xludf.DUMMYFUNCTION("""COMPUTED_VALUE"""),0.0)</f>
        <v>0</v>
      </c>
      <c r="W506" s="169">
        <f>IFERROR(__xludf.DUMMYFUNCTION("""COMPUTED_VALUE"""),0.95)</f>
        <v>0.95</v>
      </c>
      <c r="X506" s="120">
        <f>IFERROR(__xludf.DUMMYFUNCTION("""COMPUTED_VALUE"""),0.8)</f>
        <v>0.8</v>
      </c>
      <c r="Y506" s="120">
        <f>IFERROR(__xludf.DUMMYFUNCTION("""COMPUTED_VALUE"""),0.0)</f>
        <v>0</v>
      </c>
      <c r="Z506" s="9">
        <f>IFERROR(__xludf.DUMMYFUNCTION("""COMPUTED_VALUE"""),0.0)</f>
        <v>0</v>
      </c>
      <c r="AA506" s="181">
        <f>IFERROR(__xludf.DUMMYFUNCTION("""COMPUTED_VALUE"""),0.0)</f>
        <v>0</v>
      </c>
      <c r="AB506" s="181">
        <f>IFERROR(__xludf.DUMMYFUNCTION("""COMPUTED_VALUE"""),0.0)</f>
        <v>0</v>
      </c>
      <c r="AC506" s="179">
        <f>IFERROR(__xludf.DUMMYFUNCTION("""COMPUTED_VALUE"""),0.0)</f>
        <v>0</v>
      </c>
      <c r="AD506" s="165">
        <f>IFERROR(__xludf.DUMMYFUNCTION("""COMPUTED_VALUE"""),0.0)</f>
        <v>0</v>
      </c>
      <c r="AE506" s="147" t="str">
        <f>IFERROR(__xludf.DUMMYFUNCTION("""COMPUTED_VALUE"""),"Ayako Fukawa")</f>
        <v>Ayako Fukawa</v>
      </c>
      <c r="AF506" s="147" t="str">
        <f>IFERROR(__xludf.DUMMYFUNCTION("""COMPUTED_VALUE"""),"AT20HippocampalFormation")</f>
        <v>AT20HippocampalFormation</v>
      </c>
      <c r="AG506" s="147"/>
      <c r="AH506" s="147"/>
      <c r="AI506" s="165"/>
      <c r="AJ506" s="165"/>
      <c r="AK506" s="111"/>
      <c r="AL506" s="111"/>
      <c r="AM506" s="111"/>
      <c r="AN506" s="111"/>
      <c r="AO506" s="111"/>
      <c r="AP506" s="111"/>
      <c r="AQ506" s="116"/>
      <c r="AR506" s="116"/>
      <c r="AS506" s="116"/>
    </row>
    <row r="507">
      <c r="A507" s="42" t="str">
        <f>IFERROR(__xludf.DUMMYFUNCTION("""COMPUTED_VALUE"""),"LEC_III")</f>
        <v>LEC_III</v>
      </c>
      <c r="B507" s="42"/>
      <c r="C507" s="42"/>
      <c r="D507" s="42" t="str">
        <f>IFERROR(__xludf.DUMMYFUNCTION("""COMPUTED_VALUE"""),"LEC_V")</f>
        <v>LEC_V</v>
      </c>
      <c r="E507" s="42"/>
      <c r="F507" s="42"/>
      <c r="G507" s="42"/>
      <c r="H507" s="42" t="str">
        <f>IFERROR(__xludf.DUMMYFUNCTION("""COMPUTED_VALUE"""),"")</f>
        <v/>
      </c>
      <c r="I507" s="42" t="str">
        <f>IFERROR(__xludf.DUMMYFUNCTION("""COMPUTED_VALUE"""),"Witter, 2000")</f>
        <v>Witter, 2000</v>
      </c>
      <c r="J507" s="42"/>
      <c r="K507" s="42"/>
      <c r="L507" s="42"/>
      <c r="M507" s="42"/>
      <c r="N507" s="42"/>
      <c r="O507" s="31" t="str">
        <f>IFERROR(__xludf.DUMMYFUNCTION("""COMPUTED_VALUE"""),"DOC")</f>
        <v>DOC</v>
      </c>
      <c r="P507" s="9" t="str">
        <f>IFERROR(__xludf.DUMMYFUNCTION("""COMPUTED_VALUE"""),"Hippocampus")</f>
        <v>Hippocampus</v>
      </c>
      <c r="Q507" s="9" t="str">
        <f>IFERROR(__xludf.DUMMYFUNCTION("""COMPUTED_VALUE"""),"Review")</f>
        <v>Review</v>
      </c>
      <c r="R507" s="179" t="str">
        <f>IFERROR(__xludf.DUMMYFUNCTION("""COMPUTED_VALUE"""),"LEC_V (00/00) [Witter, 2000];
")</f>
        <v>LEC_V (00/00) [Witter, 2000];
</v>
      </c>
      <c r="S507" s="179" t="str">
        <f>IFERROR(__xludf.DUMMYFUNCTION("""COMPUTED_VALUE"""),"LEC_IIILEC_V")</f>
        <v>LEC_IIILEC_V</v>
      </c>
      <c r="T507" s="179" t="str">
        <f>IFERROR(__xludf.DUMMYFUNCTION("""COMPUTED_VALUE"""),"[Witter, 2000]")</f>
        <v>[Witter, 2000]</v>
      </c>
      <c r="U507" s="179">
        <f>IFERROR(__xludf.DUMMYFUNCTION("""COMPUTED_VALUE"""),0.0)</f>
        <v>0</v>
      </c>
      <c r="V507" s="180">
        <f>IFERROR(__xludf.DUMMYFUNCTION("""COMPUTED_VALUE"""),0.0)</f>
        <v>0</v>
      </c>
      <c r="W507" s="180">
        <f>IFERROR(__xludf.DUMMYFUNCTION("""COMPUTED_VALUE"""),0.95)</f>
        <v>0.95</v>
      </c>
      <c r="X507" s="42">
        <f>IFERROR(__xludf.DUMMYFUNCTION("""COMPUTED_VALUE"""),0.8)</f>
        <v>0.8</v>
      </c>
      <c r="Y507" s="42">
        <f>IFERROR(__xludf.DUMMYFUNCTION("""COMPUTED_VALUE"""),0.0)</f>
        <v>0</v>
      </c>
      <c r="Z507" s="9">
        <f>IFERROR(__xludf.DUMMYFUNCTION("""COMPUTED_VALUE"""),0.0)</f>
        <v>0</v>
      </c>
      <c r="AA507" s="181">
        <f>IFERROR(__xludf.DUMMYFUNCTION("""COMPUTED_VALUE"""),0.0)</f>
        <v>0</v>
      </c>
      <c r="AB507" s="181">
        <f>IFERROR(__xludf.DUMMYFUNCTION("""COMPUTED_VALUE"""),0.0)</f>
        <v>0</v>
      </c>
      <c r="AC507" s="179">
        <f>IFERROR(__xludf.DUMMYFUNCTION("""COMPUTED_VALUE"""),0.0)</f>
        <v>0</v>
      </c>
      <c r="AD507" s="165">
        <f>IFERROR(__xludf.DUMMYFUNCTION("""COMPUTED_VALUE"""),0.0)</f>
        <v>0</v>
      </c>
      <c r="AE507" s="39" t="str">
        <f>IFERROR(__xludf.DUMMYFUNCTION("""COMPUTED_VALUE"""),"Ayako Fukawa")</f>
        <v>Ayako Fukawa</v>
      </c>
      <c r="AF507" s="39" t="str">
        <f>IFERROR(__xludf.DUMMYFUNCTION("""COMPUTED_VALUE"""),"AT20HippocampalFormation")</f>
        <v>AT20HippocampalFormation</v>
      </c>
      <c r="AG507" s="39"/>
      <c r="AH507" s="39"/>
      <c r="AI507" s="165"/>
      <c r="AJ507" s="165"/>
      <c r="AK507" s="111"/>
      <c r="AL507" s="111"/>
      <c r="AM507" s="111"/>
      <c r="AN507" s="111"/>
      <c r="AO507" s="111"/>
      <c r="AP507" s="111"/>
      <c r="AQ507" s="116"/>
      <c r="AR507" s="116"/>
      <c r="AS507" s="116"/>
    </row>
    <row r="508">
      <c r="A508" s="120" t="str">
        <f>IFERROR(__xludf.DUMMYFUNCTION("""COMPUTED_VALUE"""),"LEC_III")</f>
        <v>LEC_III</v>
      </c>
      <c r="B508" s="120"/>
      <c r="C508" s="120"/>
      <c r="D508" s="120" t="str">
        <f>IFERROR(__xludf.DUMMYFUNCTION("""COMPUTED_VALUE"""),"S_proximal")</f>
        <v>S_proximal</v>
      </c>
      <c r="E508" s="120"/>
      <c r="F508" s="120"/>
      <c r="G508" s="120"/>
      <c r="H508" s="120" t="str">
        <f>IFERROR(__xludf.DUMMYFUNCTION("""COMPUTED_VALUE"""),"")</f>
        <v/>
      </c>
      <c r="I508" s="120" t="str">
        <f>IFERROR(__xludf.DUMMYFUNCTION("""COMPUTED_VALUE"""),"Witter, 2000")</f>
        <v>Witter, 2000</v>
      </c>
      <c r="J508" s="120"/>
      <c r="K508" s="120"/>
      <c r="L508" s="120"/>
      <c r="M508" s="120"/>
      <c r="N508" s="120"/>
      <c r="O508" s="122" t="str">
        <f>IFERROR(__xludf.DUMMYFUNCTION("""COMPUTED_VALUE"""),"DOC")</f>
        <v>DOC</v>
      </c>
      <c r="P508" s="120" t="str">
        <f>IFERROR(__xludf.DUMMYFUNCTION("""COMPUTED_VALUE"""),"Hippocampus")</f>
        <v>Hippocampus</v>
      </c>
      <c r="Q508" s="120" t="str">
        <f>IFERROR(__xludf.DUMMYFUNCTION("""COMPUTED_VALUE"""),"Review")</f>
        <v>Review</v>
      </c>
      <c r="R508" s="170" t="str">
        <f>IFERROR(__xludf.DUMMYFUNCTION("""COMPUTED_VALUE"""),"S_proximal (00/00) [Moser, 2010][Witter, 2000];
")</f>
        <v>S_proximal (00/00) [Moser, 2010][Witter, 2000];
</v>
      </c>
      <c r="S508" s="170" t="str">
        <f>IFERROR(__xludf.DUMMYFUNCTION("""COMPUTED_VALUE"""),"LEC_IIIS_proximal")</f>
        <v>LEC_IIIS_proximal</v>
      </c>
      <c r="T508" s="170" t="str">
        <f>IFERROR(__xludf.DUMMYFUNCTION("""COMPUTED_VALUE"""),"[Witter, 2000]")</f>
        <v>[Witter, 2000]</v>
      </c>
      <c r="U508" s="170">
        <f>IFERROR(__xludf.DUMMYFUNCTION("""COMPUTED_VALUE"""),0.0)</f>
        <v>0</v>
      </c>
      <c r="V508" s="169">
        <f>IFERROR(__xludf.DUMMYFUNCTION("""COMPUTED_VALUE"""),0.0)</f>
        <v>0</v>
      </c>
      <c r="W508" s="169">
        <f>IFERROR(__xludf.DUMMYFUNCTION("""COMPUTED_VALUE"""),0.95)</f>
        <v>0.95</v>
      </c>
      <c r="X508" s="120">
        <f>IFERROR(__xludf.DUMMYFUNCTION("""COMPUTED_VALUE"""),0.8)</f>
        <v>0.8</v>
      </c>
      <c r="Y508" s="120">
        <f>IFERROR(__xludf.DUMMYFUNCTION("""COMPUTED_VALUE"""),0.0)</f>
        <v>0</v>
      </c>
      <c r="Z508" s="9">
        <f>IFERROR(__xludf.DUMMYFUNCTION("""COMPUTED_VALUE"""),0.0)</f>
        <v>0</v>
      </c>
      <c r="AA508" s="181">
        <f>IFERROR(__xludf.DUMMYFUNCTION("""COMPUTED_VALUE"""),0.0)</f>
        <v>0</v>
      </c>
      <c r="AB508" s="181">
        <f>IFERROR(__xludf.DUMMYFUNCTION("""COMPUTED_VALUE"""),0.0)</f>
        <v>0</v>
      </c>
      <c r="AC508" s="179">
        <f>IFERROR(__xludf.DUMMYFUNCTION("""COMPUTED_VALUE"""),0.0)</f>
        <v>0</v>
      </c>
      <c r="AD508" s="165">
        <f>IFERROR(__xludf.DUMMYFUNCTION("""COMPUTED_VALUE"""),0.0)</f>
        <v>0</v>
      </c>
      <c r="AE508" s="147" t="str">
        <f>IFERROR(__xludf.DUMMYFUNCTION("""COMPUTED_VALUE"""),"Ayako Fukawa")</f>
        <v>Ayako Fukawa</v>
      </c>
      <c r="AF508" s="147" t="str">
        <f>IFERROR(__xludf.DUMMYFUNCTION("""COMPUTED_VALUE"""),"AT20HippocampalFormation")</f>
        <v>AT20HippocampalFormation</v>
      </c>
      <c r="AG508" s="147"/>
      <c r="AH508" s="147"/>
      <c r="AI508" s="165"/>
      <c r="AJ508" s="165"/>
      <c r="AK508" s="111"/>
      <c r="AL508" s="111"/>
      <c r="AM508" s="111"/>
      <c r="AN508" s="111"/>
      <c r="AO508" s="111"/>
      <c r="AP508" s="111"/>
      <c r="AQ508" s="116"/>
      <c r="AR508" s="116"/>
      <c r="AS508" s="116"/>
    </row>
    <row r="509">
      <c r="A509" s="120" t="str">
        <f>IFERROR(__xludf.DUMMYFUNCTION("""COMPUTED_VALUE"""),"LEC_V")</f>
        <v>LEC_V</v>
      </c>
      <c r="B509" s="120"/>
      <c r="C509" s="120"/>
      <c r="D509" s="120" t="str">
        <f>IFERROR(__xludf.DUMMYFUNCTION("""COMPUTED_VALUE"""),"A35")</f>
        <v>A35</v>
      </c>
      <c r="E509" s="120"/>
      <c r="F509" s="120"/>
      <c r="G509" s="120"/>
      <c r="H509" s="120" t="str">
        <f>IFERROR(__xludf.DUMMYFUNCTION("""COMPUTED_VALUE"""),"")</f>
        <v/>
      </c>
      <c r="I509" s="120" t="str">
        <f>IFERROR(__xludf.DUMMYFUNCTION("""COMPUTED_VALUE"""),"Knierim, 2014")</f>
        <v>Knierim, 2014</v>
      </c>
      <c r="J509" s="120"/>
      <c r="K509" s="120"/>
      <c r="L509" s="120"/>
      <c r="M509" s="120"/>
      <c r="N509" s="120"/>
      <c r="O509" s="122" t="str">
        <f>IFERROR(__xludf.DUMMYFUNCTION("""COMPUTED_VALUE"""),"DOC")</f>
        <v>DOC</v>
      </c>
      <c r="P509" s="120" t="str">
        <f>IFERROR(__xludf.DUMMYFUNCTION("""COMPUTED_VALUE"""),"Philosophical Transactions of the Royal Society B: Biological Sciences")</f>
        <v>Philosophical Transactions of the Royal Society B: Biological Sciences</v>
      </c>
      <c r="Q509" s="120"/>
      <c r="R509" s="170" t="str">
        <f>IFERROR(__xludf.DUMMYFUNCTION("""COMPUTED_VALUE"""),"A35 (00/00) [Knierim, 2014][Witter, 2000];
")</f>
        <v>A35 (00/00) [Knierim, 2014][Witter, 2000];
</v>
      </c>
      <c r="S509" s="170" t="str">
        <f>IFERROR(__xludf.DUMMYFUNCTION("""COMPUTED_VALUE"""),"LEC_VA35")</f>
        <v>LEC_VA35</v>
      </c>
      <c r="T509" s="170" t="str">
        <f>IFERROR(__xludf.DUMMYFUNCTION("""COMPUTED_VALUE"""),"[Knierim, 2014]")</f>
        <v>[Knierim, 2014]</v>
      </c>
      <c r="U509" s="170">
        <f>IFERROR(__xludf.DUMMYFUNCTION("""COMPUTED_VALUE"""),0.0)</f>
        <v>0</v>
      </c>
      <c r="V509" s="169">
        <f>IFERROR(__xludf.DUMMYFUNCTION("""COMPUTED_VALUE"""),0.0)</f>
        <v>0</v>
      </c>
      <c r="W509" s="169">
        <f>IFERROR(__xludf.DUMMYFUNCTION("""COMPUTED_VALUE"""),0.95)</f>
        <v>0.95</v>
      </c>
      <c r="X509" s="120">
        <f>IFERROR(__xludf.DUMMYFUNCTION("""COMPUTED_VALUE"""),0.0)</f>
        <v>0</v>
      </c>
      <c r="Y509" s="120">
        <f>IFERROR(__xludf.DUMMYFUNCTION("""COMPUTED_VALUE"""),0.0)</f>
        <v>0</v>
      </c>
      <c r="Z509" s="9">
        <f>IFERROR(__xludf.DUMMYFUNCTION("""COMPUTED_VALUE"""),0.0)</f>
        <v>0</v>
      </c>
      <c r="AA509" s="181">
        <f>IFERROR(__xludf.DUMMYFUNCTION("""COMPUTED_VALUE"""),0.0)</f>
        <v>0</v>
      </c>
      <c r="AB509" s="181">
        <f>IFERROR(__xludf.DUMMYFUNCTION("""COMPUTED_VALUE"""),0.0)</f>
        <v>0</v>
      </c>
      <c r="AC509" s="179">
        <f>IFERROR(__xludf.DUMMYFUNCTION("""COMPUTED_VALUE"""),0.0)</f>
        <v>0</v>
      </c>
      <c r="AD509" s="165">
        <f>IFERROR(__xludf.DUMMYFUNCTION("""COMPUTED_VALUE"""),0.0)</f>
        <v>0</v>
      </c>
      <c r="AE509" s="147" t="str">
        <f>IFERROR(__xludf.DUMMYFUNCTION("""COMPUTED_VALUE"""),"Ayako Fukawa")</f>
        <v>Ayako Fukawa</v>
      </c>
      <c r="AF509" s="147" t="str">
        <f>IFERROR(__xludf.DUMMYFUNCTION("""COMPUTED_VALUE"""),"AT20HippocampalFormation")</f>
        <v>AT20HippocampalFormation</v>
      </c>
      <c r="AG509" s="147"/>
      <c r="AH509" s="147"/>
      <c r="AI509" s="165"/>
      <c r="AJ509" s="165"/>
      <c r="AK509" s="111"/>
      <c r="AL509" s="111"/>
      <c r="AM509" s="111"/>
      <c r="AN509" s="111"/>
      <c r="AO509" s="111"/>
      <c r="AP509" s="111"/>
      <c r="AQ509" s="116"/>
      <c r="AR509" s="116"/>
      <c r="AS509" s="116"/>
    </row>
    <row r="510">
      <c r="A510" s="120" t="str">
        <f>IFERROR(__xludf.DUMMYFUNCTION("""COMPUTED_VALUE"""),"LEC_V")</f>
        <v>LEC_V</v>
      </c>
      <c r="B510" s="120"/>
      <c r="C510" s="120"/>
      <c r="D510" s="120" t="str">
        <f>IFERROR(__xludf.DUMMYFUNCTION("""COMPUTED_VALUE"""),"A35")</f>
        <v>A35</v>
      </c>
      <c r="E510" s="120"/>
      <c r="F510" s="120"/>
      <c r="G510" s="120"/>
      <c r="H510" s="120" t="str">
        <f>IFERROR(__xludf.DUMMYFUNCTION("""COMPUTED_VALUE"""),"")</f>
        <v/>
      </c>
      <c r="I510" s="120" t="str">
        <f>IFERROR(__xludf.DUMMYFUNCTION("""COMPUTED_VALUE"""),"Witter, 2000")</f>
        <v>Witter, 2000</v>
      </c>
      <c r="J510" s="120"/>
      <c r="K510" s="120"/>
      <c r="L510" s="120"/>
      <c r="M510" s="120"/>
      <c r="N510" s="120"/>
      <c r="O510" s="122" t="str">
        <f>IFERROR(__xludf.DUMMYFUNCTION("""COMPUTED_VALUE"""),"DOC")</f>
        <v>DOC</v>
      </c>
      <c r="P510" s="120" t="str">
        <f>IFERROR(__xludf.DUMMYFUNCTION("""COMPUTED_VALUE"""),"Hippocampus")</f>
        <v>Hippocampus</v>
      </c>
      <c r="Q510" s="120" t="str">
        <f>IFERROR(__xludf.DUMMYFUNCTION("""COMPUTED_VALUE"""),"Review")</f>
        <v>Review</v>
      </c>
      <c r="R510" s="170" t="str">
        <f>IFERROR(__xludf.DUMMYFUNCTION("""COMPUTED_VALUE"""),"A35 (00/00) [Knierim, 2014][Witter, 2000];
")</f>
        <v>A35 (00/00) [Knierim, 2014][Witter, 2000];
</v>
      </c>
      <c r="S510" s="170" t="str">
        <f>IFERROR(__xludf.DUMMYFUNCTION("""COMPUTED_VALUE"""),"LEC_VA35")</f>
        <v>LEC_VA35</v>
      </c>
      <c r="T510" s="170" t="str">
        <f>IFERROR(__xludf.DUMMYFUNCTION("""COMPUTED_VALUE"""),"[Witter, 2000]")</f>
        <v>[Witter, 2000]</v>
      </c>
      <c r="U510" s="170">
        <f>IFERROR(__xludf.DUMMYFUNCTION("""COMPUTED_VALUE"""),0.0)</f>
        <v>0</v>
      </c>
      <c r="V510" s="169">
        <f>IFERROR(__xludf.DUMMYFUNCTION("""COMPUTED_VALUE"""),0.0)</f>
        <v>0</v>
      </c>
      <c r="W510" s="169">
        <f>IFERROR(__xludf.DUMMYFUNCTION("""COMPUTED_VALUE"""),0.95)</f>
        <v>0.95</v>
      </c>
      <c r="X510" s="120">
        <f>IFERROR(__xludf.DUMMYFUNCTION("""COMPUTED_VALUE"""),0.8)</f>
        <v>0.8</v>
      </c>
      <c r="Y510" s="120">
        <f>IFERROR(__xludf.DUMMYFUNCTION("""COMPUTED_VALUE"""),0.0)</f>
        <v>0</v>
      </c>
      <c r="Z510" s="9">
        <f>IFERROR(__xludf.DUMMYFUNCTION("""COMPUTED_VALUE"""),0.0)</f>
        <v>0</v>
      </c>
      <c r="AA510" s="181">
        <f>IFERROR(__xludf.DUMMYFUNCTION("""COMPUTED_VALUE"""),0.0)</f>
        <v>0</v>
      </c>
      <c r="AB510" s="181">
        <f>IFERROR(__xludf.DUMMYFUNCTION("""COMPUTED_VALUE"""),0.0)</f>
        <v>0</v>
      </c>
      <c r="AC510" s="179">
        <f>IFERROR(__xludf.DUMMYFUNCTION("""COMPUTED_VALUE"""),0.0)</f>
        <v>0</v>
      </c>
      <c r="AD510" s="165">
        <f>IFERROR(__xludf.DUMMYFUNCTION("""COMPUTED_VALUE"""),0.0)</f>
        <v>0</v>
      </c>
      <c r="AE510" s="147" t="str">
        <f>IFERROR(__xludf.DUMMYFUNCTION("""COMPUTED_VALUE"""),"Ayako Fukawa")</f>
        <v>Ayako Fukawa</v>
      </c>
      <c r="AF510" s="147" t="str">
        <f>IFERROR(__xludf.DUMMYFUNCTION("""COMPUTED_VALUE"""),"AT20HippocampalFormation")</f>
        <v>AT20HippocampalFormation</v>
      </c>
      <c r="AG510" s="147"/>
      <c r="AH510" s="147"/>
      <c r="AI510" s="165"/>
      <c r="AJ510" s="165"/>
      <c r="AK510" s="111"/>
      <c r="AL510" s="111"/>
      <c r="AM510" s="111"/>
      <c r="AN510" s="111"/>
      <c r="AO510" s="111"/>
      <c r="AP510" s="111"/>
      <c r="AQ510" s="116"/>
      <c r="AR510" s="116"/>
      <c r="AS510" s="116"/>
    </row>
    <row r="511">
      <c r="A511" s="42" t="str">
        <f>IFERROR(__xludf.DUMMYFUNCTION("""COMPUTED_VALUE"""),"LG")</f>
        <v>LG</v>
      </c>
      <c r="B511" s="42"/>
      <c r="C511" s="42"/>
      <c r="D511" s="42" t="str">
        <f>IFERROR(__xludf.DUMMYFUNCTION("""COMPUTED_VALUE"""),"Cx.L4")</f>
        <v>Cx.L4</v>
      </c>
      <c r="E511" s="42"/>
      <c r="F511" s="42"/>
      <c r="G511" s="42"/>
      <c r="H511" s="42" t="str">
        <f>IFERROR(__xludf.DUMMYFUNCTION("""COMPUTED_VALUE"""),"")</f>
        <v/>
      </c>
      <c r="I511" s="42" t="str">
        <f>IFERROR(__xludf.DUMMYFUNCTION("""COMPUTED_VALUE"""),"author, year")</f>
        <v>author, year</v>
      </c>
      <c r="J511" s="42"/>
      <c r="K511" s="42"/>
      <c r="L511" s="42"/>
      <c r="M511" s="42"/>
      <c r="N511" s="42"/>
      <c r="O511" s="31" t="str">
        <f>IFERROR(__xludf.DUMMYFUNCTION("""COMPUTED_VALUE"""),"#Error: Reference ID")</f>
        <v>#Error: Reference ID</v>
      </c>
      <c r="P511" s="9" t="str">
        <f>IFERROR(__xludf.DUMMYFUNCTION("""COMPUTED_VALUE"""),"#Error: Reference ID")</f>
        <v>#Error: Reference ID</v>
      </c>
      <c r="Q511" s="9" t="str">
        <f>IFERROR(__xludf.DUMMYFUNCTION("""COMPUTED_VALUE"""),"#Error: Reference ID")</f>
        <v>#Error: Reference ID</v>
      </c>
      <c r="R511" s="179" t="str">
        <f>IFERROR(__xludf.DUMMYFUNCTION("""COMPUTED_VALUE"""),"Cx.L4 (00/00) [author, year];
")</f>
        <v>Cx.L4 (00/00) [author, year];
</v>
      </c>
      <c r="S511" s="179" t="str">
        <f>IFERROR(__xludf.DUMMYFUNCTION("""COMPUTED_VALUE"""),"LGCx.L4")</f>
        <v>LGCx.L4</v>
      </c>
      <c r="T511" s="179" t="str">
        <f>IFERROR(__xludf.DUMMYFUNCTION("""COMPUTED_VALUE"""),"[author, year]")</f>
        <v>[author, year]</v>
      </c>
      <c r="U511" s="179">
        <f>IFERROR(__xludf.DUMMYFUNCTION("""COMPUTED_VALUE"""),0.0)</f>
        <v>0</v>
      </c>
      <c r="V511" s="180">
        <f>IFERROR(__xludf.DUMMYFUNCTION("""COMPUTED_VALUE"""),0.0)</f>
        <v>0</v>
      </c>
      <c r="W511" s="180">
        <f>IFERROR(__xludf.DUMMYFUNCTION("""COMPUTED_VALUE"""),0.0)</f>
        <v>0</v>
      </c>
      <c r="X511" s="42">
        <f>IFERROR(__xludf.DUMMYFUNCTION("""COMPUTED_VALUE"""),0.0)</f>
        <v>0</v>
      </c>
      <c r="Y511" s="42">
        <f>IFERROR(__xludf.DUMMYFUNCTION("""COMPUTED_VALUE"""),0.0)</f>
        <v>0</v>
      </c>
      <c r="Z511" s="9">
        <f>IFERROR(__xludf.DUMMYFUNCTION("""COMPUTED_VALUE"""),0.0)</f>
        <v>0</v>
      </c>
      <c r="AA511" s="181">
        <f>IFERROR(__xludf.DUMMYFUNCTION("""COMPUTED_VALUE"""),0.0)</f>
        <v>0</v>
      </c>
      <c r="AB511" s="181">
        <f>IFERROR(__xludf.DUMMYFUNCTION("""COMPUTED_VALUE"""),0.0)</f>
        <v>0</v>
      </c>
      <c r="AC511" s="179">
        <f>IFERROR(__xludf.DUMMYFUNCTION("""COMPUTED_VALUE"""),0.0)</f>
        <v>0</v>
      </c>
      <c r="AD511" s="165">
        <f>IFERROR(__xludf.DUMMYFUNCTION("""COMPUTED_VALUE"""),0.0)</f>
        <v>0</v>
      </c>
      <c r="AE511" s="39" t="str">
        <f>IFERROR(__xludf.DUMMYFUNCTION("""COMPUTED_VALUE"""),"Hiroshi Yamakawa")</f>
        <v>Hiroshi Yamakawa</v>
      </c>
      <c r="AF511" s="39" t="str">
        <f>IFERROR(__xludf.DUMMYFUNCTION("""COMPUTED_VALUE"""),"HY18NeocorticalInterareaSignals")</f>
        <v>HY18NeocorticalInterareaSignals</v>
      </c>
      <c r="AG511" s="39"/>
      <c r="AH511" s="39"/>
      <c r="AI511" s="165"/>
      <c r="AJ511" s="165"/>
      <c r="AK511" s="111"/>
      <c r="AL511" s="111"/>
      <c r="AM511" s="111"/>
      <c r="AN511" s="111"/>
      <c r="AO511" s="111"/>
      <c r="AP511" s="111"/>
      <c r="AQ511" s="116"/>
      <c r="AR511" s="116"/>
      <c r="AS511" s="116"/>
    </row>
    <row r="512">
      <c r="A512" s="42" t="str">
        <f>IFERROR(__xludf.DUMMYFUNCTION("""COMPUTED_VALUE"""),"LG")</f>
        <v>LG</v>
      </c>
      <c r="B512" s="42"/>
      <c r="C512" s="42"/>
      <c r="D512" s="42" t="str">
        <f>IFERROR(__xludf.DUMMYFUNCTION("""COMPUTED_VALUE"""),"R")</f>
        <v>R</v>
      </c>
      <c r="E512" s="42"/>
      <c r="F512" s="42"/>
      <c r="G512" s="42"/>
      <c r="H512" s="42" t="str">
        <f>IFERROR(__xludf.DUMMYFUNCTION("""COMPUTED_VALUE"""),"")</f>
        <v/>
      </c>
      <c r="I512" s="42" t="str">
        <f>IFERROR(__xludf.DUMMYFUNCTION("""COMPUTED_VALUE"""),"author, year")</f>
        <v>author, year</v>
      </c>
      <c r="J512" s="42"/>
      <c r="K512" s="42"/>
      <c r="L512" s="42"/>
      <c r="M512" s="42"/>
      <c r="N512" s="42"/>
      <c r="O512" s="31" t="str">
        <f>IFERROR(__xludf.DUMMYFUNCTION("""COMPUTED_VALUE"""),"#Error: Reference ID")</f>
        <v>#Error: Reference ID</v>
      </c>
      <c r="P512" s="9" t="str">
        <f>IFERROR(__xludf.DUMMYFUNCTION("""COMPUTED_VALUE"""),"#Error: Reference ID")</f>
        <v>#Error: Reference ID</v>
      </c>
      <c r="Q512" s="9" t="str">
        <f>IFERROR(__xludf.DUMMYFUNCTION("""COMPUTED_VALUE"""),"#Error: Reference ID")</f>
        <v>#Error: Reference ID</v>
      </c>
      <c r="R512" s="179" t="str">
        <f>IFERROR(__xludf.DUMMYFUNCTION("""COMPUTED_VALUE"""),"R (00/00) [author, year];
")</f>
        <v>R (00/00) [author, year];
</v>
      </c>
      <c r="S512" s="179" t="str">
        <f>IFERROR(__xludf.DUMMYFUNCTION("""COMPUTED_VALUE"""),"LGR")</f>
        <v>LGR</v>
      </c>
      <c r="T512" s="179" t="str">
        <f>IFERROR(__xludf.DUMMYFUNCTION("""COMPUTED_VALUE"""),"[author, year]")</f>
        <v>[author, year]</v>
      </c>
      <c r="U512" s="179">
        <f>IFERROR(__xludf.DUMMYFUNCTION("""COMPUTED_VALUE"""),0.0)</f>
        <v>0</v>
      </c>
      <c r="V512" s="180">
        <f>IFERROR(__xludf.DUMMYFUNCTION("""COMPUTED_VALUE"""),0.0)</f>
        <v>0</v>
      </c>
      <c r="W512" s="180">
        <f>IFERROR(__xludf.DUMMYFUNCTION("""COMPUTED_VALUE"""),0.0)</f>
        <v>0</v>
      </c>
      <c r="X512" s="42">
        <f>IFERROR(__xludf.DUMMYFUNCTION("""COMPUTED_VALUE"""),0.0)</f>
        <v>0</v>
      </c>
      <c r="Y512" s="42">
        <f>IFERROR(__xludf.DUMMYFUNCTION("""COMPUTED_VALUE"""),0.0)</f>
        <v>0</v>
      </c>
      <c r="Z512" s="9">
        <f>IFERROR(__xludf.DUMMYFUNCTION("""COMPUTED_VALUE"""),0.0)</f>
        <v>0</v>
      </c>
      <c r="AA512" s="181">
        <f>IFERROR(__xludf.DUMMYFUNCTION("""COMPUTED_VALUE"""),0.0)</f>
        <v>0</v>
      </c>
      <c r="AB512" s="181">
        <f>IFERROR(__xludf.DUMMYFUNCTION("""COMPUTED_VALUE"""),0.0)</f>
        <v>0</v>
      </c>
      <c r="AC512" s="179">
        <f>IFERROR(__xludf.DUMMYFUNCTION("""COMPUTED_VALUE"""),0.0)</f>
        <v>0</v>
      </c>
      <c r="AD512" s="165">
        <f>IFERROR(__xludf.DUMMYFUNCTION("""COMPUTED_VALUE"""),0.0)</f>
        <v>0</v>
      </c>
      <c r="AE512" s="39" t="str">
        <f>IFERROR(__xludf.DUMMYFUNCTION("""COMPUTED_VALUE"""),"Hiroshi Yamakawa")</f>
        <v>Hiroshi Yamakawa</v>
      </c>
      <c r="AF512" s="39" t="str">
        <f>IFERROR(__xludf.DUMMYFUNCTION("""COMPUTED_VALUE"""),"HY18NeocorticalInterareaSignals")</f>
        <v>HY18NeocorticalInterareaSignals</v>
      </c>
      <c r="AG512" s="39"/>
      <c r="AH512" s="39"/>
      <c r="AI512" s="165"/>
      <c r="AJ512" s="165"/>
      <c r="AK512" s="111"/>
      <c r="AL512" s="111"/>
      <c r="AM512" s="111"/>
      <c r="AN512" s="111"/>
      <c r="AO512" s="111"/>
      <c r="AP512" s="111"/>
      <c r="AQ512" s="116"/>
      <c r="AR512" s="116"/>
      <c r="AS512" s="116"/>
    </row>
    <row r="513">
      <c r="A513" s="42" t="str">
        <f>IFERROR(__xludf.DUMMYFUNCTION("""COMPUTED_VALUE"""),"LH")</f>
        <v>LH</v>
      </c>
      <c r="B513" s="42"/>
      <c r="C513" s="42"/>
      <c r="D513" s="42" t="str">
        <f>IFERROR(__xludf.DUMMYFUNCTION("""COMPUTED_VALUE"""),"CEN")</f>
        <v>CEN</v>
      </c>
      <c r="E513" s="42"/>
      <c r="F513" s="42"/>
      <c r="G513" s="42"/>
      <c r="H513" s="42" t="str">
        <f>IFERROR(__xludf.DUMMYFUNCTION("""COMPUTED_VALUE"""),"")</f>
        <v/>
      </c>
      <c r="I513" s="42" t="str">
        <f>IFERROR(__xludf.DUMMYFUNCTION("""COMPUTED_VALUE"""),"Pitkänen, 2000")</f>
        <v>Pitkänen, 2000</v>
      </c>
      <c r="J513" s="42" t="str">
        <f>IFERROR(__xludf.DUMMYFUNCTION("""COMPUTED_VALUE"""),"Rat")</f>
        <v>Rat</v>
      </c>
      <c r="K513" s="42" t="str">
        <f>IFERROR(__xludf.DUMMYFUNCTION("""COMPUTED_VALUE"""),"Various tracing")</f>
        <v>Various tracing</v>
      </c>
      <c r="L513" s="42"/>
      <c r="M513" s="42" t="str">
        <f>IFERROR(__xludf.DUMMYFUNCTION("""COMPUTED_VALUE"""),"fig.3-fig.12 (to be specified)")</f>
        <v>fig.3-fig.12 (to be specified)</v>
      </c>
      <c r="N513" s="42"/>
      <c r="O513" s="31" t="str">
        <f>IFERROR(__xludf.DUMMYFUNCTION("""COMPUTED_VALUE"""),"DOC(alt)")</f>
        <v>DOC(alt)</v>
      </c>
      <c r="P513" s="9" t="str">
        <f>IFERROR(__xludf.DUMMYFUNCTION("""COMPUTED_VALUE"""),"Folia morphologica")</f>
        <v>Folia morphologica</v>
      </c>
      <c r="Q513" s="9" t="str">
        <f>IFERROR(__xludf.DUMMYFUNCTION("""COMPUTED_VALUE"""),"Review")</f>
        <v>Review</v>
      </c>
      <c r="R513" s="179" t="str">
        <f>IFERROR(__xludf.DUMMYFUNCTION("""COMPUTED_VALUE"""),"CEN (00/00) [Pitkänen, 2000];
")</f>
        <v>CEN (00/00) [Pitkänen, 2000];
</v>
      </c>
      <c r="S513" s="179" t="str">
        <f>IFERROR(__xludf.DUMMYFUNCTION("""COMPUTED_VALUE"""),"LHCEN")</f>
        <v>LHCEN</v>
      </c>
      <c r="T513" s="179" t="str">
        <f>IFERROR(__xludf.DUMMYFUNCTION("""COMPUTED_VALUE"""),"[Pitkänen, 2000]")</f>
        <v>[Pitkänen, 2000]</v>
      </c>
      <c r="U513" s="179">
        <f>IFERROR(__xludf.DUMMYFUNCTION("""COMPUTED_VALUE"""),0.0)</f>
        <v>0</v>
      </c>
      <c r="V513" s="180">
        <f>IFERROR(__xludf.DUMMYFUNCTION("""COMPUTED_VALUE"""),0.0)</f>
        <v>0</v>
      </c>
      <c r="W513" s="180">
        <f>IFERROR(__xludf.DUMMYFUNCTION("""COMPUTED_VALUE"""),0.95)</f>
        <v>0.95</v>
      </c>
      <c r="X513" s="42">
        <f>IFERROR(__xludf.DUMMYFUNCTION("""COMPUTED_VALUE"""),0.8)</f>
        <v>0.8</v>
      </c>
      <c r="Y513" s="42">
        <f>IFERROR(__xludf.DUMMYFUNCTION("""COMPUTED_VALUE"""),0.6)</f>
        <v>0.6</v>
      </c>
      <c r="Z513" s="9">
        <f>IFERROR(__xludf.DUMMYFUNCTION("""COMPUTED_VALUE"""),0.9)</f>
        <v>0.9</v>
      </c>
      <c r="AA513" s="181">
        <f>IFERROR(__xludf.DUMMYFUNCTION("""COMPUTED_VALUE"""),0.0)</f>
        <v>0</v>
      </c>
      <c r="AB513" s="181">
        <f>IFERROR(__xludf.DUMMYFUNCTION("""COMPUTED_VALUE"""),0.0)</f>
        <v>0</v>
      </c>
      <c r="AC513" s="179">
        <f>IFERROR(__xludf.DUMMYFUNCTION("""COMPUTED_VALUE"""),0.0)</f>
        <v>0</v>
      </c>
      <c r="AD513" s="165">
        <f>IFERROR(__xludf.DUMMYFUNCTION("""COMPUTED_VALUE"""),0.0)</f>
        <v>0</v>
      </c>
      <c r="AE513" s="39" t="str">
        <f>IFERROR(__xludf.DUMMYFUNCTION("""COMPUTED_VALUE"""),"Tatsuya Miyamoto")</f>
        <v>Tatsuya Miyamoto</v>
      </c>
      <c r="AF513" s="39" t="str">
        <f>IFERROR(__xludf.DUMMYFUNCTION("""COMPUTED_VALUE"""),"TM21Amygdala")</f>
        <v>TM21Amygdala</v>
      </c>
      <c r="AG513" s="39"/>
      <c r="AH513" s="39"/>
      <c r="AI513" s="165"/>
      <c r="AJ513" s="165"/>
      <c r="AK513" s="111"/>
      <c r="AL513" s="111"/>
      <c r="AM513" s="111"/>
      <c r="AN513" s="111"/>
      <c r="AO513" s="111"/>
      <c r="AP513" s="111"/>
      <c r="AQ513" s="116"/>
      <c r="AR513" s="116"/>
      <c r="AS513" s="116"/>
    </row>
    <row r="514">
      <c r="A514" s="42" t="str">
        <f>IFERROR(__xludf.DUMMYFUNCTION("""COMPUTED_VALUE"""),"LH")</f>
        <v>LH</v>
      </c>
      <c r="B514" s="42"/>
      <c r="C514" s="42"/>
      <c r="D514" s="42" t="str">
        <f>IFERROR(__xludf.DUMMYFUNCTION("""COMPUTED_VALUE"""),"CoA")</f>
        <v>CoA</v>
      </c>
      <c r="E514" s="42"/>
      <c r="F514" s="42"/>
      <c r="G514" s="42"/>
      <c r="H514" s="42" t="str">
        <f>IFERROR(__xludf.DUMMYFUNCTION("""COMPUTED_VALUE"""),"")</f>
        <v/>
      </c>
      <c r="I514" s="42" t="str">
        <f>IFERROR(__xludf.DUMMYFUNCTION("""COMPUTED_VALUE"""),"Pitkänen, 2000")</f>
        <v>Pitkänen, 2000</v>
      </c>
      <c r="J514" s="42" t="str">
        <f>IFERROR(__xludf.DUMMYFUNCTION("""COMPUTED_VALUE"""),"Rat")</f>
        <v>Rat</v>
      </c>
      <c r="K514" s="42" t="str">
        <f>IFERROR(__xludf.DUMMYFUNCTION("""COMPUTED_VALUE"""),"Various tracing")</f>
        <v>Various tracing</v>
      </c>
      <c r="L514" s="42"/>
      <c r="M514" s="42" t="str">
        <f>IFERROR(__xludf.DUMMYFUNCTION("""COMPUTED_VALUE"""),"fig.3-fig.12 (to be specified)")</f>
        <v>fig.3-fig.12 (to be specified)</v>
      </c>
      <c r="N514" s="42"/>
      <c r="O514" s="31" t="str">
        <f>IFERROR(__xludf.DUMMYFUNCTION("""COMPUTED_VALUE"""),"DOC(alt)")</f>
        <v>DOC(alt)</v>
      </c>
      <c r="P514" s="9" t="str">
        <f>IFERROR(__xludf.DUMMYFUNCTION("""COMPUTED_VALUE"""),"Folia morphologica")</f>
        <v>Folia morphologica</v>
      </c>
      <c r="Q514" s="9" t="str">
        <f>IFERROR(__xludf.DUMMYFUNCTION("""COMPUTED_VALUE"""),"Review")</f>
        <v>Review</v>
      </c>
      <c r="R514" s="179" t="str">
        <f>IFERROR(__xludf.DUMMYFUNCTION("""COMPUTED_VALUE"""),"CoA (00/00) [Pitkänen, 2000];
")</f>
        <v>CoA (00/00) [Pitkänen, 2000];
</v>
      </c>
      <c r="S514" s="179" t="str">
        <f>IFERROR(__xludf.DUMMYFUNCTION("""COMPUTED_VALUE"""),"LHCoA")</f>
        <v>LHCoA</v>
      </c>
      <c r="T514" s="179" t="str">
        <f>IFERROR(__xludf.DUMMYFUNCTION("""COMPUTED_VALUE"""),"[Pitkänen, 2000]")</f>
        <v>[Pitkänen, 2000]</v>
      </c>
      <c r="U514" s="179">
        <f>IFERROR(__xludf.DUMMYFUNCTION("""COMPUTED_VALUE"""),0.0)</f>
        <v>0</v>
      </c>
      <c r="V514" s="180">
        <f>IFERROR(__xludf.DUMMYFUNCTION("""COMPUTED_VALUE"""),0.0)</f>
        <v>0</v>
      </c>
      <c r="W514" s="180">
        <f>IFERROR(__xludf.DUMMYFUNCTION("""COMPUTED_VALUE"""),0.95)</f>
        <v>0.95</v>
      </c>
      <c r="X514" s="42">
        <f>IFERROR(__xludf.DUMMYFUNCTION("""COMPUTED_VALUE"""),0.8)</f>
        <v>0.8</v>
      </c>
      <c r="Y514" s="42">
        <f>IFERROR(__xludf.DUMMYFUNCTION("""COMPUTED_VALUE"""),0.6)</f>
        <v>0.6</v>
      </c>
      <c r="Z514" s="9">
        <f>IFERROR(__xludf.DUMMYFUNCTION("""COMPUTED_VALUE"""),0.9)</f>
        <v>0.9</v>
      </c>
      <c r="AA514" s="181">
        <f>IFERROR(__xludf.DUMMYFUNCTION("""COMPUTED_VALUE"""),0.0)</f>
        <v>0</v>
      </c>
      <c r="AB514" s="181">
        <f>IFERROR(__xludf.DUMMYFUNCTION("""COMPUTED_VALUE"""),0.0)</f>
        <v>0</v>
      </c>
      <c r="AC514" s="179">
        <f>IFERROR(__xludf.DUMMYFUNCTION("""COMPUTED_VALUE"""),0.0)</f>
        <v>0</v>
      </c>
      <c r="AD514" s="165">
        <f>IFERROR(__xludf.DUMMYFUNCTION("""COMPUTED_VALUE"""),0.0)</f>
        <v>0</v>
      </c>
      <c r="AE514" s="39" t="str">
        <f>IFERROR(__xludf.DUMMYFUNCTION("""COMPUTED_VALUE"""),"Tatsuya Miyamoto")</f>
        <v>Tatsuya Miyamoto</v>
      </c>
      <c r="AF514" s="39" t="str">
        <f>IFERROR(__xludf.DUMMYFUNCTION("""COMPUTED_VALUE"""),"TM21Amygdala")</f>
        <v>TM21Amygdala</v>
      </c>
      <c r="AG514" s="39"/>
      <c r="AH514" s="39"/>
      <c r="AI514" s="165"/>
      <c r="AJ514" s="165"/>
      <c r="AK514" s="111"/>
      <c r="AL514" s="111"/>
      <c r="AM514" s="111"/>
      <c r="AN514" s="111"/>
      <c r="AO514" s="111"/>
      <c r="AP514" s="111"/>
      <c r="AQ514" s="116"/>
      <c r="AR514" s="116"/>
      <c r="AS514" s="116"/>
    </row>
    <row r="515">
      <c r="A515" s="42" t="str">
        <f>IFERROR(__xludf.DUMMYFUNCTION("""COMPUTED_VALUE"""),"LH")</f>
        <v>LH</v>
      </c>
      <c r="B515" s="42"/>
      <c r="C515" s="42"/>
      <c r="D515" s="42" t="str">
        <f>IFERROR(__xludf.DUMMYFUNCTION("""COMPUTED_VALUE"""),"Me")</f>
        <v>Me</v>
      </c>
      <c r="E515" s="42"/>
      <c r="F515" s="42"/>
      <c r="G515" s="42"/>
      <c r="H515" s="42" t="str">
        <f>IFERROR(__xludf.DUMMYFUNCTION("""COMPUTED_VALUE"""),"")</f>
        <v/>
      </c>
      <c r="I515" s="42" t="str">
        <f>IFERROR(__xludf.DUMMYFUNCTION("""COMPUTED_VALUE"""),"Pitkänen, 2000")</f>
        <v>Pitkänen, 2000</v>
      </c>
      <c r="J515" s="42" t="str">
        <f>IFERROR(__xludf.DUMMYFUNCTION("""COMPUTED_VALUE"""),"Rat")</f>
        <v>Rat</v>
      </c>
      <c r="K515" s="42" t="str">
        <f>IFERROR(__xludf.DUMMYFUNCTION("""COMPUTED_VALUE"""),"Various tracing")</f>
        <v>Various tracing</v>
      </c>
      <c r="L515" s="42"/>
      <c r="M515" s="42" t="str">
        <f>IFERROR(__xludf.DUMMYFUNCTION("""COMPUTED_VALUE"""),"fig.3-fig.12 (to be specified)")</f>
        <v>fig.3-fig.12 (to be specified)</v>
      </c>
      <c r="N515" s="42"/>
      <c r="O515" s="31" t="str">
        <f>IFERROR(__xludf.DUMMYFUNCTION("""COMPUTED_VALUE"""),"DOC(alt)")</f>
        <v>DOC(alt)</v>
      </c>
      <c r="P515" s="9" t="str">
        <f>IFERROR(__xludf.DUMMYFUNCTION("""COMPUTED_VALUE"""),"Folia morphologica")</f>
        <v>Folia morphologica</v>
      </c>
      <c r="Q515" s="9" t="str">
        <f>IFERROR(__xludf.DUMMYFUNCTION("""COMPUTED_VALUE"""),"Review")</f>
        <v>Review</v>
      </c>
      <c r="R515" s="179" t="str">
        <f>IFERROR(__xludf.DUMMYFUNCTION("""COMPUTED_VALUE"""),"Me (00/00) [Pitkänen, 2000];
")</f>
        <v>Me (00/00) [Pitkänen, 2000];
</v>
      </c>
      <c r="S515" s="179" t="str">
        <f>IFERROR(__xludf.DUMMYFUNCTION("""COMPUTED_VALUE"""),"LHMe")</f>
        <v>LHMe</v>
      </c>
      <c r="T515" s="179" t="str">
        <f>IFERROR(__xludf.DUMMYFUNCTION("""COMPUTED_VALUE"""),"[Pitkänen, 2000]")</f>
        <v>[Pitkänen, 2000]</v>
      </c>
      <c r="U515" s="179">
        <f>IFERROR(__xludf.DUMMYFUNCTION("""COMPUTED_VALUE"""),0.0)</f>
        <v>0</v>
      </c>
      <c r="V515" s="180">
        <f>IFERROR(__xludf.DUMMYFUNCTION("""COMPUTED_VALUE"""),0.0)</f>
        <v>0</v>
      </c>
      <c r="W515" s="180">
        <f>IFERROR(__xludf.DUMMYFUNCTION("""COMPUTED_VALUE"""),0.95)</f>
        <v>0.95</v>
      </c>
      <c r="X515" s="42">
        <f>IFERROR(__xludf.DUMMYFUNCTION("""COMPUTED_VALUE"""),0.8)</f>
        <v>0.8</v>
      </c>
      <c r="Y515" s="42">
        <f>IFERROR(__xludf.DUMMYFUNCTION("""COMPUTED_VALUE"""),0.6)</f>
        <v>0.6</v>
      </c>
      <c r="Z515" s="9">
        <f>IFERROR(__xludf.DUMMYFUNCTION("""COMPUTED_VALUE"""),0.9)</f>
        <v>0.9</v>
      </c>
      <c r="AA515" s="181">
        <f>IFERROR(__xludf.DUMMYFUNCTION("""COMPUTED_VALUE"""),0.0)</f>
        <v>0</v>
      </c>
      <c r="AB515" s="181">
        <f>IFERROR(__xludf.DUMMYFUNCTION("""COMPUTED_VALUE"""),0.0)</f>
        <v>0</v>
      </c>
      <c r="AC515" s="179">
        <f>IFERROR(__xludf.DUMMYFUNCTION("""COMPUTED_VALUE"""),0.0)</f>
        <v>0</v>
      </c>
      <c r="AD515" s="165">
        <f>IFERROR(__xludf.DUMMYFUNCTION("""COMPUTED_VALUE"""),0.0)</f>
        <v>0</v>
      </c>
      <c r="AE515" s="39" t="str">
        <f>IFERROR(__xludf.DUMMYFUNCTION("""COMPUTED_VALUE"""),"Tatsuya Miyamoto")</f>
        <v>Tatsuya Miyamoto</v>
      </c>
      <c r="AF515" s="39" t="str">
        <f>IFERROR(__xludf.DUMMYFUNCTION("""COMPUTED_VALUE"""),"TM21Amygdala")</f>
        <v>TM21Amygdala</v>
      </c>
      <c r="AG515" s="39"/>
      <c r="AH515" s="39"/>
      <c r="AI515" s="165"/>
      <c r="AJ515" s="165"/>
      <c r="AK515" s="111"/>
      <c r="AL515" s="111"/>
      <c r="AM515" s="111"/>
      <c r="AN515" s="111"/>
      <c r="AO515" s="111"/>
      <c r="AP515" s="111"/>
      <c r="AQ515" s="116"/>
      <c r="AR515" s="116"/>
      <c r="AS515" s="116"/>
    </row>
    <row r="516">
      <c r="A516" s="42" t="str">
        <f>IFERROR(__xludf.DUMMYFUNCTION("""COMPUTED_VALUE"""),"LS")</f>
        <v>LS</v>
      </c>
      <c r="B516" s="42"/>
      <c r="C516" s="42"/>
      <c r="D516" s="42" t="str">
        <f>IFERROR(__xludf.DUMMYFUNCTION("""COMPUTED_VALUE"""),"AHA")</f>
        <v>AHA</v>
      </c>
      <c r="E516" s="42"/>
      <c r="F516" s="42"/>
      <c r="G516" s="42"/>
      <c r="H516" s="42" t="str">
        <f>IFERROR(__xludf.DUMMYFUNCTION("""COMPUTED_VALUE"""),"")</f>
        <v/>
      </c>
      <c r="I516" s="42" t="str">
        <f>IFERROR(__xludf.DUMMYFUNCTION("""COMPUTED_VALUE"""),"Pitkänen, 2000")</f>
        <v>Pitkänen, 2000</v>
      </c>
      <c r="J516" s="42" t="str">
        <f>IFERROR(__xludf.DUMMYFUNCTION("""COMPUTED_VALUE"""),"Rat")</f>
        <v>Rat</v>
      </c>
      <c r="K516" s="42" t="str">
        <f>IFERROR(__xludf.DUMMYFUNCTION("""COMPUTED_VALUE"""),"Various tracing")</f>
        <v>Various tracing</v>
      </c>
      <c r="L516" s="42"/>
      <c r="M516" s="42" t="str">
        <f>IFERROR(__xludf.DUMMYFUNCTION("""COMPUTED_VALUE"""),"fig.3-fig.12 (to be specified)")</f>
        <v>fig.3-fig.12 (to be specified)</v>
      </c>
      <c r="N516" s="42"/>
      <c r="O516" s="31" t="str">
        <f>IFERROR(__xludf.DUMMYFUNCTION("""COMPUTED_VALUE"""),"DOC(alt)")</f>
        <v>DOC(alt)</v>
      </c>
      <c r="P516" s="9" t="str">
        <f>IFERROR(__xludf.DUMMYFUNCTION("""COMPUTED_VALUE"""),"Folia morphologica")</f>
        <v>Folia morphologica</v>
      </c>
      <c r="Q516" s="9" t="str">
        <f>IFERROR(__xludf.DUMMYFUNCTION("""COMPUTED_VALUE"""),"Review")</f>
        <v>Review</v>
      </c>
      <c r="R516" s="179" t="str">
        <f>IFERROR(__xludf.DUMMYFUNCTION("""COMPUTED_VALUE"""),"AHA (00/00) [Pitkänen, 2000];
")</f>
        <v>AHA (00/00) [Pitkänen, 2000];
</v>
      </c>
      <c r="S516" s="179" t="str">
        <f>IFERROR(__xludf.DUMMYFUNCTION("""COMPUTED_VALUE"""),"LSAHA")</f>
        <v>LSAHA</v>
      </c>
      <c r="T516" s="179" t="str">
        <f>IFERROR(__xludf.DUMMYFUNCTION("""COMPUTED_VALUE"""),"[Pitkänen, 2000]")</f>
        <v>[Pitkänen, 2000]</v>
      </c>
      <c r="U516" s="179">
        <f>IFERROR(__xludf.DUMMYFUNCTION("""COMPUTED_VALUE"""),0.0)</f>
        <v>0</v>
      </c>
      <c r="V516" s="180">
        <f>IFERROR(__xludf.DUMMYFUNCTION("""COMPUTED_VALUE"""),0.0)</f>
        <v>0</v>
      </c>
      <c r="W516" s="180">
        <f>IFERROR(__xludf.DUMMYFUNCTION("""COMPUTED_VALUE"""),0.95)</f>
        <v>0.95</v>
      </c>
      <c r="X516" s="42">
        <f>IFERROR(__xludf.DUMMYFUNCTION("""COMPUTED_VALUE"""),0.8)</f>
        <v>0.8</v>
      </c>
      <c r="Y516" s="42">
        <f>IFERROR(__xludf.DUMMYFUNCTION("""COMPUTED_VALUE"""),0.6)</f>
        <v>0.6</v>
      </c>
      <c r="Z516" s="9">
        <f>IFERROR(__xludf.DUMMYFUNCTION("""COMPUTED_VALUE"""),0.9)</f>
        <v>0.9</v>
      </c>
      <c r="AA516" s="181">
        <f>IFERROR(__xludf.DUMMYFUNCTION("""COMPUTED_VALUE"""),0.0)</f>
        <v>0</v>
      </c>
      <c r="AB516" s="181">
        <f>IFERROR(__xludf.DUMMYFUNCTION("""COMPUTED_VALUE"""),0.0)</f>
        <v>0</v>
      </c>
      <c r="AC516" s="179">
        <f>IFERROR(__xludf.DUMMYFUNCTION("""COMPUTED_VALUE"""),0.0)</f>
        <v>0</v>
      </c>
      <c r="AD516" s="165">
        <f>IFERROR(__xludf.DUMMYFUNCTION("""COMPUTED_VALUE"""),0.0)</f>
        <v>0</v>
      </c>
      <c r="AE516" s="39" t="str">
        <f>IFERROR(__xludf.DUMMYFUNCTION("""COMPUTED_VALUE"""),"Tatsuya Miyamoto")</f>
        <v>Tatsuya Miyamoto</v>
      </c>
      <c r="AF516" s="39" t="str">
        <f>IFERROR(__xludf.DUMMYFUNCTION("""COMPUTED_VALUE"""),"TM21Amygdala")</f>
        <v>TM21Amygdala</v>
      </c>
      <c r="AG516" s="39"/>
      <c r="AH516" s="39"/>
      <c r="AI516" s="165"/>
      <c r="AJ516" s="165"/>
      <c r="AK516" s="111"/>
      <c r="AL516" s="111"/>
      <c r="AM516" s="111"/>
      <c r="AN516" s="111"/>
      <c r="AO516" s="111"/>
      <c r="AP516" s="111"/>
      <c r="AQ516" s="116"/>
      <c r="AR516" s="116"/>
      <c r="AS516" s="116"/>
    </row>
    <row r="517">
      <c r="A517" s="42" t="str">
        <f>IFERROR(__xludf.DUMMYFUNCTION("""COMPUTED_VALUE"""),"LS")</f>
        <v>LS</v>
      </c>
      <c r="B517" s="42"/>
      <c r="C517" s="42"/>
      <c r="D517" s="42" t="str">
        <f>IFERROR(__xludf.DUMMYFUNCTION("""COMPUTED_VALUE"""),"Me")</f>
        <v>Me</v>
      </c>
      <c r="E517" s="42"/>
      <c r="F517" s="42"/>
      <c r="G517" s="42"/>
      <c r="H517" s="42" t="str">
        <f>IFERROR(__xludf.DUMMYFUNCTION("""COMPUTED_VALUE"""),"")</f>
        <v/>
      </c>
      <c r="I517" s="42" t="str">
        <f>IFERROR(__xludf.DUMMYFUNCTION("""COMPUTED_VALUE"""),"Pitkänen, 2000")</f>
        <v>Pitkänen, 2000</v>
      </c>
      <c r="J517" s="42" t="str">
        <f>IFERROR(__xludf.DUMMYFUNCTION("""COMPUTED_VALUE"""),"Rat")</f>
        <v>Rat</v>
      </c>
      <c r="K517" s="42" t="str">
        <f>IFERROR(__xludf.DUMMYFUNCTION("""COMPUTED_VALUE"""),"Various tracing")</f>
        <v>Various tracing</v>
      </c>
      <c r="L517" s="42"/>
      <c r="M517" s="42" t="str">
        <f>IFERROR(__xludf.DUMMYFUNCTION("""COMPUTED_VALUE"""),"fig.3-fig.12 (to be specified)")</f>
        <v>fig.3-fig.12 (to be specified)</v>
      </c>
      <c r="N517" s="42"/>
      <c r="O517" s="31" t="str">
        <f>IFERROR(__xludf.DUMMYFUNCTION("""COMPUTED_VALUE"""),"DOC(alt)")</f>
        <v>DOC(alt)</v>
      </c>
      <c r="P517" s="9" t="str">
        <f>IFERROR(__xludf.DUMMYFUNCTION("""COMPUTED_VALUE"""),"Folia morphologica")</f>
        <v>Folia morphologica</v>
      </c>
      <c r="Q517" s="9" t="str">
        <f>IFERROR(__xludf.DUMMYFUNCTION("""COMPUTED_VALUE"""),"Review")</f>
        <v>Review</v>
      </c>
      <c r="R517" s="179" t="str">
        <f>IFERROR(__xludf.DUMMYFUNCTION("""COMPUTED_VALUE"""),"Me (00/00) [Pitkänen, 2000];
")</f>
        <v>Me (00/00) [Pitkänen, 2000];
</v>
      </c>
      <c r="S517" s="179" t="str">
        <f>IFERROR(__xludf.DUMMYFUNCTION("""COMPUTED_VALUE"""),"LSMe")</f>
        <v>LSMe</v>
      </c>
      <c r="T517" s="179" t="str">
        <f>IFERROR(__xludf.DUMMYFUNCTION("""COMPUTED_VALUE"""),"[Pitkänen, 2000]")</f>
        <v>[Pitkänen, 2000]</v>
      </c>
      <c r="U517" s="179">
        <f>IFERROR(__xludf.DUMMYFUNCTION("""COMPUTED_VALUE"""),0.0)</f>
        <v>0</v>
      </c>
      <c r="V517" s="180">
        <f>IFERROR(__xludf.DUMMYFUNCTION("""COMPUTED_VALUE"""),0.0)</f>
        <v>0</v>
      </c>
      <c r="W517" s="180">
        <f>IFERROR(__xludf.DUMMYFUNCTION("""COMPUTED_VALUE"""),0.95)</f>
        <v>0.95</v>
      </c>
      <c r="X517" s="42">
        <f>IFERROR(__xludf.DUMMYFUNCTION("""COMPUTED_VALUE"""),0.8)</f>
        <v>0.8</v>
      </c>
      <c r="Y517" s="42">
        <f>IFERROR(__xludf.DUMMYFUNCTION("""COMPUTED_VALUE"""),0.6)</f>
        <v>0.6</v>
      </c>
      <c r="Z517" s="9">
        <f>IFERROR(__xludf.DUMMYFUNCTION("""COMPUTED_VALUE"""),0.9)</f>
        <v>0.9</v>
      </c>
      <c r="AA517" s="181">
        <f>IFERROR(__xludf.DUMMYFUNCTION("""COMPUTED_VALUE"""),0.0)</f>
        <v>0</v>
      </c>
      <c r="AB517" s="181">
        <f>IFERROR(__xludf.DUMMYFUNCTION("""COMPUTED_VALUE"""),0.0)</f>
        <v>0</v>
      </c>
      <c r="AC517" s="179">
        <f>IFERROR(__xludf.DUMMYFUNCTION("""COMPUTED_VALUE"""),0.0)</f>
        <v>0</v>
      </c>
      <c r="AD517" s="165">
        <f>IFERROR(__xludf.DUMMYFUNCTION("""COMPUTED_VALUE"""),0.0)</f>
        <v>0</v>
      </c>
      <c r="AE517" s="39" t="str">
        <f>IFERROR(__xludf.DUMMYFUNCTION("""COMPUTED_VALUE"""),"Tatsuya Miyamoto")</f>
        <v>Tatsuya Miyamoto</v>
      </c>
      <c r="AF517" s="39" t="str">
        <f>IFERROR(__xludf.DUMMYFUNCTION("""COMPUTED_VALUE"""),"TM21Amygdala")</f>
        <v>TM21Amygdala</v>
      </c>
      <c r="AG517" s="39"/>
      <c r="AH517" s="39"/>
      <c r="AI517" s="165"/>
      <c r="AJ517" s="165"/>
      <c r="AK517" s="111"/>
      <c r="AL517" s="111"/>
      <c r="AM517" s="111"/>
      <c r="AN517" s="111"/>
      <c r="AO517" s="111"/>
      <c r="AP517" s="111"/>
      <c r="AQ517" s="116"/>
      <c r="AR517" s="116"/>
      <c r="AS517" s="116"/>
    </row>
    <row r="518">
      <c r="A518" s="42" t="str">
        <f>IFERROR(__xludf.DUMMYFUNCTION("""COMPUTED_VALUE"""),"M1C.Cx.L5PT")</f>
        <v>M1C.Cx.L5PT</v>
      </c>
      <c r="B518" s="42"/>
      <c r="C518" s="42"/>
      <c r="D518" s="42" t="str">
        <f>IFERROR(__xludf.DUMMYFUNCTION("""COMPUTED_VALUE"""),"STHld")</f>
        <v>STHld</v>
      </c>
      <c r="E518" s="42"/>
      <c r="F518" s="42"/>
      <c r="G518" s="42"/>
      <c r="H518" s="42" t="str">
        <f>IFERROR(__xludf.DUMMYFUNCTION("""COMPUTED_VALUE"""),"")</f>
        <v/>
      </c>
      <c r="I518" s="42" t="str">
        <f>IFERROR(__xludf.DUMMYFUNCTION("""COMPUTED_VALUE"""),"Coudé, 2018")</f>
        <v>Coudé, 2018</v>
      </c>
      <c r="J518" s="42" t="str">
        <f>IFERROR(__xludf.DUMMYFUNCTION("""COMPUTED_VALUE"""),"Macaque")</f>
        <v>Macaque</v>
      </c>
      <c r="K518" s="42" t="str">
        <f>IFERROR(__xludf.DUMMYFUNCTION("""COMPUTED_VALUE"""),"microiontophoretic injections")</f>
        <v>microiontophoretic injections</v>
      </c>
      <c r="L518" s="42"/>
      <c r="M518" s="42"/>
      <c r="N518" s="42"/>
      <c r="O518" s="31" t="str">
        <f>IFERROR(__xludf.DUMMYFUNCTION("""COMPUTED_VALUE"""),"DOC")</f>
        <v>DOC</v>
      </c>
      <c r="P518" s="9" t="str">
        <f>IFERROR(__xludf.DUMMYFUNCTION("""COMPUTED_VALUE"""),"Brain Structure and Function")</f>
        <v>Brain Structure and Function</v>
      </c>
      <c r="Q518" s="9" t="str">
        <f>IFERROR(__xludf.DUMMYFUNCTION("""COMPUTED_VALUE"""),"Experimental results")</f>
        <v>Experimental results</v>
      </c>
      <c r="R518" s="179" t="str">
        <f>IFERROR(__xludf.DUMMYFUNCTION("""COMPUTED_VALUE"""),"STHld (00/00) [Coudé, 2018];
")</f>
        <v>STHld (00/00) [Coudé, 2018];
</v>
      </c>
      <c r="S518" s="179" t="str">
        <f>IFERROR(__xludf.DUMMYFUNCTION("""COMPUTED_VALUE"""),"M1C.Cx.L5PTSTHld")</f>
        <v>M1C.Cx.L5PTSTHld</v>
      </c>
      <c r="T518" s="179" t="str">
        <f>IFERROR(__xludf.DUMMYFUNCTION("""COMPUTED_VALUE"""),"[Coudé, 2018]")</f>
        <v>[Coudé, 2018]</v>
      </c>
      <c r="U518" s="179">
        <f>IFERROR(__xludf.DUMMYFUNCTION("""COMPUTED_VALUE"""),0.0)</f>
        <v>0</v>
      </c>
      <c r="V518" s="180">
        <f>IFERROR(__xludf.DUMMYFUNCTION("""COMPUTED_VALUE"""),0.0)</f>
        <v>0</v>
      </c>
      <c r="W518" s="180">
        <f>IFERROR(__xludf.DUMMYFUNCTION("""COMPUTED_VALUE"""),0.95)</f>
        <v>0.95</v>
      </c>
      <c r="X518" s="42">
        <f>IFERROR(__xludf.DUMMYFUNCTION("""COMPUTED_VALUE"""),1.0)</f>
        <v>1</v>
      </c>
      <c r="Y518" s="42">
        <f>IFERROR(__xludf.DUMMYFUNCTION("""COMPUTED_VALUE"""),0.9)</f>
        <v>0.9</v>
      </c>
      <c r="Z518" s="9">
        <f>IFERROR(__xludf.DUMMYFUNCTION("""COMPUTED_VALUE"""),0.0)</f>
        <v>0</v>
      </c>
      <c r="AA518" s="181">
        <f>IFERROR(__xludf.DUMMYFUNCTION("""COMPUTED_VALUE"""),0.0)</f>
        <v>0</v>
      </c>
      <c r="AB518" s="181">
        <f>IFERROR(__xludf.DUMMYFUNCTION("""COMPUTED_VALUE"""),0.0)</f>
        <v>0</v>
      </c>
      <c r="AC518" s="179">
        <f>IFERROR(__xludf.DUMMYFUNCTION("""COMPUTED_VALUE"""),0.0)</f>
        <v>0</v>
      </c>
      <c r="AD518" s="165">
        <f>IFERROR(__xludf.DUMMYFUNCTION("""COMPUTED_VALUE"""),0.0)</f>
        <v>0</v>
      </c>
      <c r="AE518" s="39" t="str">
        <f>IFERROR(__xludf.DUMMYFUNCTION("""COMPUTED_VALUE"""),"Yuske Shibata")</f>
        <v>Yuske Shibata</v>
      </c>
      <c r="AF518" s="39" t="str">
        <f>IFERROR(__xludf.DUMMYFUNCTION("""COMPUTED_VALUE"""),"YS21BgLoop")</f>
        <v>YS21BgLoop</v>
      </c>
      <c r="AG518" s="39"/>
      <c r="AH518" s="39"/>
      <c r="AI518" s="165"/>
      <c r="AJ518" s="165"/>
      <c r="AK518" s="111"/>
      <c r="AL518" s="111"/>
      <c r="AM518" s="111"/>
      <c r="AN518" s="111"/>
      <c r="AO518" s="111"/>
      <c r="AP518" s="111"/>
      <c r="AQ518" s="116"/>
      <c r="AR518" s="116"/>
      <c r="AS518" s="116"/>
    </row>
    <row r="519">
      <c r="A519" s="42" t="str">
        <f>IFERROR(__xludf.DUMMYFUNCTION("""COMPUTED_VALUE"""),"M1C.L5PT")</f>
        <v>M1C.L5PT</v>
      </c>
      <c r="B519" s="42"/>
      <c r="C519" s="42"/>
      <c r="D519" s="42" t="str">
        <f>IFERROR(__xludf.DUMMYFUNCTION("""COMPUTED_VALUE"""),"STHld")</f>
        <v>STHld</v>
      </c>
      <c r="E519" s="42"/>
      <c r="F519" s="42"/>
      <c r="G519" s="42"/>
      <c r="H519" s="42" t="str">
        <f>IFERROR(__xludf.DUMMYFUNCTION("""COMPUTED_VALUE"""),"")</f>
        <v/>
      </c>
      <c r="I519" s="42" t="str">
        <f>IFERROR(__xludf.DUMMYFUNCTION("""COMPUTED_VALUE"""),"Haynes, 2013")</f>
        <v>Haynes, 2013</v>
      </c>
      <c r="J519" s="42"/>
      <c r="K519" s="42"/>
      <c r="L519" s="42"/>
      <c r="M519" s="42"/>
      <c r="N519" s="42"/>
      <c r="O519" s="31" t="str">
        <f>IFERROR(__xludf.DUMMYFUNCTION("""COMPUTED_VALUE"""),"DOC")</f>
        <v>DOC</v>
      </c>
      <c r="P519" s="9" t="str">
        <f>IFERROR(__xludf.DUMMYFUNCTION("""COMPUTED_VALUE"""),"Journal of Neuroscience")</f>
        <v>Journal of Neuroscience</v>
      </c>
      <c r="Q519" s="9"/>
      <c r="R519" s="179" t="str">
        <f>IFERROR(__xludf.DUMMYFUNCTION("""COMPUTED_VALUE"""),"STHld (00/00) [Haynes, 2013][Von Monakow, 1978];
")</f>
        <v>STHld (00/00) [Haynes, 2013][Von Monakow, 1978];
</v>
      </c>
      <c r="S519" s="179" t="str">
        <f>IFERROR(__xludf.DUMMYFUNCTION("""COMPUTED_VALUE"""),"M1C.L5PTSTHld")</f>
        <v>M1C.L5PTSTHld</v>
      </c>
      <c r="T519" s="179" t="str">
        <f>IFERROR(__xludf.DUMMYFUNCTION("""COMPUTED_VALUE"""),"[Haynes, 2013]")</f>
        <v>[Haynes, 2013]</v>
      </c>
      <c r="U519" s="179">
        <f>IFERROR(__xludf.DUMMYFUNCTION("""COMPUTED_VALUE"""),0.0)</f>
        <v>0</v>
      </c>
      <c r="V519" s="180">
        <f>IFERROR(__xludf.DUMMYFUNCTION("""COMPUTED_VALUE"""),0.0)</f>
        <v>0</v>
      </c>
      <c r="W519" s="180">
        <f>IFERROR(__xludf.DUMMYFUNCTION("""COMPUTED_VALUE"""),0.95)</f>
        <v>0.95</v>
      </c>
      <c r="X519" s="42">
        <f>IFERROR(__xludf.DUMMYFUNCTION("""COMPUTED_VALUE"""),0.0)</f>
        <v>0</v>
      </c>
      <c r="Y519" s="42">
        <f>IFERROR(__xludf.DUMMYFUNCTION("""COMPUTED_VALUE"""),0.0)</f>
        <v>0</v>
      </c>
      <c r="Z519" s="9">
        <f>IFERROR(__xludf.DUMMYFUNCTION("""COMPUTED_VALUE"""),0.0)</f>
        <v>0</v>
      </c>
      <c r="AA519" s="181">
        <f>IFERROR(__xludf.DUMMYFUNCTION("""COMPUTED_VALUE"""),0.0)</f>
        <v>0</v>
      </c>
      <c r="AB519" s="181">
        <f>IFERROR(__xludf.DUMMYFUNCTION("""COMPUTED_VALUE"""),0.0)</f>
        <v>0</v>
      </c>
      <c r="AC519" s="179">
        <f>IFERROR(__xludf.DUMMYFUNCTION("""COMPUTED_VALUE"""),0.0)</f>
        <v>0</v>
      </c>
      <c r="AD519" s="165">
        <f>IFERROR(__xludf.DUMMYFUNCTION("""COMPUTED_VALUE"""),0.0)</f>
        <v>0</v>
      </c>
      <c r="AE519" s="39" t="str">
        <f>IFERROR(__xludf.DUMMYFUNCTION("""COMPUTED_VALUE"""),"Yuske Shibata")</f>
        <v>Yuske Shibata</v>
      </c>
      <c r="AF519" s="39" t="str">
        <f>IFERROR(__xludf.DUMMYFUNCTION("""COMPUTED_VALUE"""),"YS21BgLoop")</f>
        <v>YS21BgLoop</v>
      </c>
      <c r="AG519" s="39"/>
      <c r="AH519" s="39"/>
      <c r="AI519" s="165"/>
      <c r="AJ519" s="165"/>
      <c r="AK519" s="111"/>
      <c r="AL519" s="111"/>
      <c r="AM519" s="111"/>
      <c r="AN519" s="111"/>
      <c r="AO519" s="111"/>
      <c r="AP519" s="111"/>
      <c r="AQ519" s="116"/>
      <c r="AR519" s="116"/>
      <c r="AS519" s="116"/>
    </row>
    <row r="520">
      <c r="A520" s="42" t="str">
        <f>IFERROR(__xludf.DUMMYFUNCTION("""COMPUTED_VALUE"""),"M1C.L5PT")</f>
        <v>M1C.L5PT</v>
      </c>
      <c r="B520" s="42"/>
      <c r="C520" s="42"/>
      <c r="D520" s="42" t="str">
        <f>IFERROR(__xludf.DUMMYFUNCTION("""COMPUTED_VALUE"""),"STHld")</f>
        <v>STHld</v>
      </c>
      <c r="E520" s="42"/>
      <c r="F520" s="42"/>
      <c r="G520" s="42"/>
      <c r="H520" s="42" t="str">
        <f>IFERROR(__xludf.DUMMYFUNCTION("""COMPUTED_VALUE"""),"")</f>
        <v/>
      </c>
      <c r="I520" s="42" t="str">
        <f>IFERROR(__xludf.DUMMYFUNCTION("""COMPUTED_VALUE"""),"Von Monakow, 1978")</f>
        <v>Von Monakow, 1978</v>
      </c>
      <c r="J520" s="42"/>
      <c r="K520" s="42"/>
      <c r="L520" s="42"/>
      <c r="M520" s="42"/>
      <c r="N520" s="42"/>
      <c r="O520" s="31" t="str">
        <f>IFERROR(__xludf.DUMMYFUNCTION("""COMPUTED_VALUE"""),"#Error: Reference ID")</f>
        <v>#Error: Reference ID</v>
      </c>
      <c r="P520" s="9" t="str">
        <f>IFERROR(__xludf.DUMMYFUNCTION("""COMPUTED_VALUE"""),"#Error: Reference ID")</f>
        <v>#Error: Reference ID</v>
      </c>
      <c r="Q520" s="9" t="str">
        <f>IFERROR(__xludf.DUMMYFUNCTION("""COMPUTED_VALUE"""),"#Error: Reference ID")</f>
        <v>#Error: Reference ID</v>
      </c>
      <c r="R520" s="179" t="str">
        <f>IFERROR(__xludf.DUMMYFUNCTION("""COMPUTED_VALUE"""),"STHld (00/00) [Haynes, 2013][Von Monakow, 1978];
")</f>
        <v>STHld (00/00) [Haynes, 2013][Von Monakow, 1978];
</v>
      </c>
      <c r="S520" s="179" t="str">
        <f>IFERROR(__xludf.DUMMYFUNCTION("""COMPUTED_VALUE"""),"M1C.L5PTSTHld")</f>
        <v>M1C.L5PTSTHld</v>
      </c>
      <c r="T520" s="179" t="str">
        <f>IFERROR(__xludf.DUMMYFUNCTION("""COMPUTED_VALUE"""),"[Von Monakow, 1978]")</f>
        <v>[Von Monakow, 1978]</v>
      </c>
      <c r="U520" s="179">
        <f>IFERROR(__xludf.DUMMYFUNCTION("""COMPUTED_VALUE"""),0.0)</f>
        <v>0</v>
      </c>
      <c r="V520" s="180">
        <f>IFERROR(__xludf.DUMMYFUNCTION("""COMPUTED_VALUE"""),0.0)</f>
        <v>0</v>
      </c>
      <c r="W520" s="180">
        <f>IFERROR(__xludf.DUMMYFUNCTION("""COMPUTED_VALUE"""),0.0)</f>
        <v>0</v>
      </c>
      <c r="X520" s="42">
        <f>IFERROR(__xludf.DUMMYFUNCTION("""COMPUTED_VALUE"""),0.0)</f>
        <v>0</v>
      </c>
      <c r="Y520" s="42">
        <f>IFERROR(__xludf.DUMMYFUNCTION("""COMPUTED_VALUE"""),0.0)</f>
        <v>0</v>
      </c>
      <c r="Z520" s="9">
        <f>IFERROR(__xludf.DUMMYFUNCTION("""COMPUTED_VALUE"""),0.0)</f>
        <v>0</v>
      </c>
      <c r="AA520" s="181">
        <f>IFERROR(__xludf.DUMMYFUNCTION("""COMPUTED_VALUE"""),0.0)</f>
        <v>0</v>
      </c>
      <c r="AB520" s="181">
        <f>IFERROR(__xludf.DUMMYFUNCTION("""COMPUTED_VALUE"""),0.0)</f>
        <v>0</v>
      </c>
      <c r="AC520" s="179">
        <f>IFERROR(__xludf.DUMMYFUNCTION("""COMPUTED_VALUE"""),0.0)</f>
        <v>0</v>
      </c>
      <c r="AD520" s="165">
        <f>IFERROR(__xludf.DUMMYFUNCTION("""COMPUTED_VALUE"""),0.0)</f>
        <v>0</v>
      </c>
      <c r="AE520" s="39" t="str">
        <f>IFERROR(__xludf.DUMMYFUNCTION("""COMPUTED_VALUE"""),"Yuske Shibata")</f>
        <v>Yuske Shibata</v>
      </c>
      <c r="AF520" s="39" t="str">
        <f>IFERROR(__xludf.DUMMYFUNCTION("""COMPUTED_VALUE"""),"YS21BgLoop")</f>
        <v>YS21BgLoop</v>
      </c>
      <c r="AG520" s="39"/>
      <c r="AH520" s="39"/>
      <c r="AI520" s="165"/>
      <c r="AJ520" s="165"/>
      <c r="AK520" s="111"/>
      <c r="AL520" s="111"/>
      <c r="AM520" s="111"/>
      <c r="AN520" s="111"/>
      <c r="AO520" s="111"/>
      <c r="AP520" s="111"/>
      <c r="AQ520" s="116"/>
      <c r="AR520" s="116"/>
      <c r="AS520" s="116"/>
    </row>
    <row r="521">
      <c r="A521" s="42" t="str">
        <f>IFERROR(__xludf.DUMMYFUNCTION("""COMPUTED_VALUE"""),"M1hf.L5PT")</f>
        <v>M1hf.L5PT</v>
      </c>
      <c r="B521" s="42"/>
      <c r="C521" s="42"/>
      <c r="D521" s="42" t="str">
        <f>IFERROR(__xludf.DUMMYFUNCTION("""COMPUTED_VALUE"""),"STHlv")</f>
        <v>STHlv</v>
      </c>
      <c r="E521" s="42"/>
      <c r="F521" s="42"/>
      <c r="G521" s="42"/>
      <c r="H521" s="42" t="str">
        <f>IFERROR(__xludf.DUMMYFUNCTION("""COMPUTED_VALUE"""),"")</f>
        <v/>
      </c>
      <c r="I521" s="42" t="str">
        <f>IFERROR(__xludf.DUMMYFUNCTION("""COMPUTED_VALUE"""),"Miyachi, 2006")</f>
        <v>Miyachi, 2006</v>
      </c>
      <c r="J521" s="42"/>
      <c r="K521" s="42"/>
      <c r="L521" s="42"/>
      <c r="M521" s="42"/>
      <c r="N521" s="42"/>
      <c r="O521" s="31" t="str">
        <f>IFERROR(__xludf.DUMMYFUNCTION("""COMPUTED_VALUE"""),"DOC")</f>
        <v>DOC</v>
      </c>
      <c r="P521" s="9" t="str">
        <f>IFERROR(__xludf.DUMMYFUNCTION("""COMPUTED_VALUE"""),"Neuroscience Research")</f>
        <v>Neuroscience Research</v>
      </c>
      <c r="Q521" s="9"/>
      <c r="R521" s="179" t="str">
        <f>IFERROR(__xludf.DUMMYFUNCTION("""COMPUTED_VALUE"""),"STHlv (00/00) [Miyachi, 2006];
")</f>
        <v>STHlv (00/00) [Miyachi, 2006];
</v>
      </c>
      <c r="S521" s="179" t="str">
        <f>IFERROR(__xludf.DUMMYFUNCTION("""COMPUTED_VALUE"""),"M1hf.L5PTSTHlv")</f>
        <v>M1hf.L5PTSTHlv</v>
      </c>
      <c r="T521" s="179" t="str">
        <f>IFERROR(__xludf.DUMMYFUNCTION("""COMPUTED_VALUE"""),"[Miyachi, 2006]")</f>
        <v>[Miyachi, 2006]</v>
      </c>
      <c r="U521" s="179">
        <f>IFERROR(__xludf.DUMMYFUNCTION("""COMPUTED_VALUE"""),0.0)</f>
        <v>0</v>
      </c>
      <c r="V521" s="180">
        <f>IFERROR(__xludf.DUMMYFUNCTION("""COMPUTED_VALUE"""),0.0)</f>
        <v>0</v>
      </c>
      <c r="W521" s="180">
        <f>IFERROR(__xludf.DUMMYFUNCTION("""COMPUTED_VALUE"""),0.95)</f>
        <v>0.95</v>
      </c>
      <c r="X521" s="42">
        <f>IFERROR(__xludf.DUMMYFUNCTION("""COMPUTED_VALUE"""),0.0)</f>
        <v>0</v>
      </c>
      <c r="Y521" s="42">
        <f>IFERROR(__xludf.DUMMYFUNCTION("""COMPUTED_VALUE"""),0.0)</f>
        <v>0</v>
      </c>
      <c r="Z521" s="9">
        <f>IFERROR(__xludf.DUMMYFUNCTION("""COMPUTED_VALUE"""),0.0)</f>
        <v>0</v>
      </c>
      <c r="AA521" s="181">
        <f>IFERROR(__xludf.DUMMYFUNCTION("""COMPUTED_VALUE"""),0.0)</f>
        <v>0</v>
      </c>
      <c r="AB521" s="181">
        <f>IFERROR(__xludf.DUMMYFUNCTION("""COMPUTED_VALUE"""),0.0)</f>
        <v>0</v>
      </c>
      <c r="AC521" s="179">
        <f>IFERROR(__xludf.DUMMYFUNCTION("""COMPUTED_VALUE"""),0.0)</f>
        <v>0</v>
      </c>
      <c r="AD521" s="165">
        <f>IFERROR(__xludf.DUMMYFUNCTION("""COMPUTED_VALUE"""),0.0)</f>
        <v>0</v>
      </c>
      <c r="AE521" s="39" t="str">
        <f>IFERROR(__xludf.DUMMYFUNCTION("""COMPUTED_VALUE"""),"Yuske Shibata")</f>
        <v>Yuske Shibata</v>
      </c>
      <c r="AF521" s="39" t="str">
        <f>IFERROR(__xludf.DUMMYFUNCTION("""COMPUTED_VALUE"""),"YS21BgLoop")</f>
        <v>YS21BgLoop</v>
      </c>
      <c r="AG521" s="39"/>
      <c r="AH521" s="39"/>
      <c r="AI521" s="165"/>
      <c r="AJ521" s="165"/>
      <c r="AK521" s="111"/>
      <c r="AL521" s="111"/>
      <c r="AM521" s="111"/>
      <c r="AN521" s="111"/>
      <c r="AO521" s="111"/>
      <c r="AP521" s="111"/>
      <c r="AQ521" s="116"/>
      <c r="AR521" s="116"/>
      <c r="AS521" s="116"/>
    </row>
    <row r="522">
      <c r="A522" s="42" t="str">
        <f>IFERROR(__xludf.DUMMYFUNCTION("""COMPUTED_VALUE"""),"M1lm.L5PT")</f>
        <v>M1lm.L5PT</v>
      </c>
      <c r="B522" s="42"/>
      <c r="C522" s="42"/>
      <c r="D522" s="42" t="str">
        <f>IFERROR(__xludf.DUMMYFUNCTION("""COMPUTED_VALUE"""),"STHm")</f>
        <v>STHm</v>
      </c>
      <c r="E522" s="42"/>
      <c r="F522" s="42"/>
      <c r="G522" s="42"/>
      <c r="H522" s="42" t="str">
        <f>IFERROR(__xludf.DUMMYFUNCTION("""COMPUTED_VALUE"""),"")</f>
        <v/>
      </c>
      <c r="I522" s="42" t="str">
        <f>IFERROR(__xludf.DUMMYFUNCTION("""COMPUTED_VALUE"""),"Miyachi, 2006")</f>
        <v>Miyachi, 2006</v>
      </c>
      <c r="J522" s="42"/>
      <c r="K522" s="42"/>
      <c r="L522" s="42"/>
      <c r="M522" s="42"/>
      <c r="N522" s="42"/>
      <c r="O522" s="31" t="str">
        <f>IFERROR(__xludf.DUMMYFUNCTION("""COMPUTED_VALUE"""),"DOC")</f>
        <v>DOC</v>
      </c>
      <c r="P522" s="9" t="str">
        <f>IFERROR(__xludf.DUMMYFUNCTION("""COMPUTED_VALUE"""),"Neuroscience Research")</f>
        <v>Neuroscience Research</v>
      </c>
      <c r="Q522" s="9"/>
      <c r="R522" s="179" t="str">
        <f>IFERROR(__xludf.DUMMYFUNCTION("""COMPUTED_VALUE"""),"STHm (00/00) [Miyachi, 2006];
")</f>
        <v>STHm (00/00) [Miyachi, 2006];
</v>
      </c>
      <c r="S522" s="179" t="str">
        <f>IFERROR(__xludf.DUMMYFUNCTION("""COMPUTED_VALUE"""),"M1lm.L5PTSTHm")</f>
        <v>M1lm.L5PTSTHm</v>
      </c>
      <c r="T522" s="179" t="str">
        <f>IFERROR(__xludf.DUMMYFUNCTION("""COMPUTED_VALUE"""),"[Miyachi, 2006]")</f>
        <v>[Miyachi, 2006]</v>
      </c>
      <c r="U522" s="179">
        <f>IFERROR(__xludf.DUMMYFUNCTION("""COMPUTED_VALUE"""),0.0)</f>
        <v>0</v>
      </c>
      <c r="V522" s="180">
        <f>IFERROR(__xludf.DUMMYFUNCTION("""COMPUTED_VALUE"""),0.0)</f>
        <v>0</v>
      </c>
      <c r="W522" s="180">
        <f>IFERROR(__xludf.DUMMYFUNCTION("""COMPUTED_VALUE"""),0.95)</f>
        <v>0.95</v>
      </c>
      <c r="X522" s="42">
        <f>IFERROR(__xludf.DUMMYFUNCTION("""COMPUTED_VALUE"""),0.0)</f>
        <v>0</v>
      </c>
      <c r="Y522" s="42">
        <f>IFERROR(__xludf.DUMMYFUNCTION("""COMPUTED_VALUE"""),0.0)</f>
        <v>0</v>
      </c>
      <c r="Z522" s="9">
        <f>IFERROR(__xludf.DUMMYFUNCTION("""COMPUTED_VALUE"""),0.0)</f>
        <v>0</v>
      </c>
      <c r="AA522" s="181">
        <f>IFERROR(__xludf.DUMMYFUNCTION("""COMPUTED_VALUE"""),0.0)</f>
        <v>0</v>
      </c>
      <c r="AB522" s="181">
        <f>IFERROR(__xludf.DUMMYFUNCTION("""COMPUTED_VALUE"""),0.0)</f>
        <v>0</v>
      </c>
      <c r="AC522" s="179">
        <f>IFERROR(__xludf.DUMMYFUNCTION("""COMPUTED_VALUE"""),0.0)</f>
        <v>0</v>
      </c>
      <c r="AD522" s="165">
        <f>IFERROR(__xludf.DUMMYFUNCTION("""COMPUTED_VALUE"""),0.0)</f>
        <v>0</v>
      </c>
      <c r="AE522" s="39" t="str">
        <f>IFERROR(__xludf.DUMMYFUNCTION("""COMPUTED_VALUE"""),"Yuske Shibata")</f>
        <v>Yuske Shibata</v>
      </c>
      <c r="AF522" s="39" t="str">
        <f>IFERROR(__xludf.DUMMYFUNCTION("""COMPUTED_VALUE"""),"YS21BgLoop")</f>
        <v>YS21BgLoop</v>
      </c>
      <c r="AG522" s="39"/>
      <c r="AH522" s="39"/>
      <c r="AI522" s="165"/>
      <c r="AJ522" s="165"/>
      <c r="AK522" s="111"/>
      <c r="AL522" s="111"/>
      <c r="AM522" s="111"/>
      <c r="AN522" s="111"/>
      <c r="AO522" s="111"/>
      <c r="AP522" s="111"/>
      <c r="AQ522" s="116"/>
      <c r="AR522" s="116"/>
      <c r="AS522" s="116"/>
    </row>
    <row r="523">
      <c r="A523" s="42" t="str">
        <f>IFERROR(__xludf.DUMMYFUNCTION("""COMPUTED_VALUE"""),"M1ul.L5PT")</f>
        <v>M1ul.L5PT</v>
      </c>
      <c r="B523" s="42"/>
      <c r="C523" s="42"/>
      <c r="D523" s="42" t="str">
        <f>IFERROR(__xludf.DUMMYFUNCTION("""COMPUTED_VALUE"""),"STHlv")</f>
        <v>STHlv</v>
      </c>
      <c r="E523" s="42"/>
      <c r="F523" s="42"/>
      <c r="G523" s="42"/>
      <c r="H523" s="42" t="str">
        <f>IFERROR(__xludf.DUMMYFUNCTION("""COMPUTED_VALUE"""),"")</f>
        <v/>
      </c>
      <c r="I523" s="42" t="str">
        <f>IFERROR(__xludf.DUMMYFUNCTION("""COMPUTED_VALUE"""),"Miyachi, 2006")</f>
        <v>Miyachi, 2006</v>
      </c>
      <c r="J523" s="42"/>
      <c r="K523" s="42"/>
      <c r="L523" s="42"/>
      <c r="M523" s="42"/>
      <c r="N523" s="42"/>
      <c r="O523" s="31" t="str">
        <f>IFERROR(__xludf.DUMMYFUNCTION("""COMPUTED_VALUE"""),"DOC")</f>
        <v>DOC</v>
      </c>
      <c r="P523" s="9" t="str">
        <f>IFERROR(__xludf.DUMMYFUNCTION("""COMPUTED_VALUE"""),"Neuroscience Research")</f>
        <v>Neuroscience Research</v>
      </c>
      <c r="Q523" s="9"/>
      <c r="R523" s="179" t="str">
        <f>IFERROR(__xludf.DUMMYFUNCTION("""COMPUTED_VALUE"""),"STHlv (00/00) [Miyachi, 2006];
")</f>
        <v>STHlv (00/00) [Miyachi, 2006];
</v>
      </c>
      <c r="S523" s="179" t="str">
        <f>IFERROR(__xludf.DUMMYFUNCTION("""COMPUTED_VALUE"""),"M1ul.L5PTSTHlv")</f>
        <v>M1ul.L5PTSTHlv</v>
      </c>
      <c r="T523" s="179" t="str">
        <f>IFERROR(__xludf.DUMMYFUNCTION("""COMPUTED_VALUE"""),"[Miyachi, 2006]")</f>
        <v>[Miyachi, 2006]</v>
      </c>
      <c r="U523" s="179">
        <f>IFERROR(__xludf.DUMMYFUNCTION("""COMPUTED_VALUE"""),0.0)</f>
        <v>0</v>
      </c>
      <c r="V523" s="180">
        <f>IFERROR(__xludf.DUMMYFUNCTION("""COMPUTED_VALUE"""),0.0)</f>
        <v>0</v>
      </c>
      <c r="W523" s="180">
        <f>IFERROR(__xludf.DUMMYFUNCTION("""COMPUTED_VALUE"""),0.95)</f>
        <v>0.95</v>
      </c>
      <c r="X523" s="42">
        <f>IFERROR(__xludf.DUMMYFUNCTION("""COMPUTED_VALUE"""),0.0)</f>
        <v>0</v>
      </c>
      <c r="Y523" s="42">
        <f>IFERROR(__xludf.DUMMYFUNCTION("""COMPUTED_VALUE"""),0.0)</f>
        <v>0</v>
      </c>
      <c r="Z523" s="9">
        <f>IFERROR(__xludf.DUMMYFUNCTION("""COMPUTED_VALUE"""),0.0)</f>
        <v>0</v>
      </c>
      <c r="AA523" s="181">
        <f>IFERROR(__xludf.DUMMYFUNCTION("""COMPUTED_VALUE"""),0.0)</f>
        <v>0</v>
      </c>
      <c r="AB523" s="181">
        <f>IFERROR(__xludf.DUMMYFUNCTION("""COMPUTED_VALUE"""),0.0)</f>
        <v>0</v>
      </c>
      <c r="AC523" s="179">
        <f>IFERROR(__xludf.DUMMYFUNCTION("""COMPUTED_VALUE"""),0.0)</f>
        <v>0</v>
      </c>
      <c r="AD523" s="165">
        <f>IFERROR(__xludf.DUMMYFUNCTION("""COMPUTED_VALUE"""),0.0)</f>
        <v>0</v>
      </c>
      <c r="AE523" s="39" t="str">
        <f>IFERROR(__xludf.DUMMYFUNCTION("""COMPUTED_VALUE"""),"Yuske Shibata")</f>
        <v>Yuske Shibata</v>
      </c>
      <c r="AF523" s="39" t="str">
        <f>IFERROR(__xludf.DUMMYFUNCTION("""COMPUTED_VALUE"""),"YS21BgLoop")</f>
        <v>YS21BgLoop</v>
      </c>
      <c r="AG523" s="39"/>
      <c r="AH523" s="39"/>
      <c r="AI523" s="165"/>
      <c r="AJ523" s="165"/>
      <c r="AK523" s="111"/>
      <c r="AL523" s="111"/>
      <c r="AM523" s="111"/>
      <c r="AN523" s="111"/>
      <c r="AO523" s="111"/>
      <c r="AP523" s="111"/>
      <c r="AQ523" s="116"/>
      <c r="AR523" s="116"/>
      <c r="AS523" s="116"/>
    </row>
    <row r="524">
      <c r="A524" s="42" t="str">
        <f>IFERROR(__xludf.DUMMYFUNCTION("""COMPUTED_VALUE"""),"M1ul.L5PT")</f>
        <v>M1ul.L5PT</v>
      </c>
      <c r="B524" s="42"/>
      <c r="C524" s="42"/>
      <c r="D524" s="42" t="str">
        <f>IFERROR(__xludf.DUMMYFUNCTION("""COMPUTED_VALUE"""),"STHm")</f>
        <v>STHm</v>
      </c>
      <c r="E524" s="42"/>
      <c r="F524" s="42"/>
      <c r="G524" s="42"/>
      <c r="H524" s="42" t="str">
        <f>IFERROR(__xludf.DUMMYFUNCTION("""COMPUTED_VALUE"""),"")</f>
        <v/>
      </c>
      <c r="I524" s="42" t="str">
        <f>IFERROR(__xludf.DUMMYFUNCTION("""COMPUTED_VALUE"""),"Miyachi, 2006")</f>
        <v>Miyachi, 2006</v>
      </c>
      <c r="J524" s="42"/>
      <c r="K524" s="42"/>
      <c r="L524" s="42"/>
      <c r="M524" s="42"/>
      <c r="N524" s="42"/>
      <c r="O524" s="31" t="str">
        <f>IFERROR(__xludf.DUMMYFUNCTION("""COMPUTED_VALUE"""),"DOC")</f>
        <v>DOC</v>
      </c>
      <c r="P524" s="9" t="str">
        <f>IFERROR(__xludf.DUMMYFUNCTION("""COMPUTED_VALUE"""),"Neuroscience Research")</f>
        <v>Neuroscience Research</v>
      </c>
      <c r="Q524" s="9"/>
      <c r="R524" s="179" t="str">
        <f>IFERROR(__xludf.DUMMYFUNCTION("""COMPUTED_VALUE"""),"STHm (00/00) [Miyachi, 2006];
")</f>
        <v>STHm (00/00) [Miyachi, 2006];
</v>
      </c>
      <c r="S524" s="179" t="str">
        <f>IFERROR(__xludf.DUMMYFUNCTION("""COMPUTED_VALUE"""),"M1ul.L5PTSTHm")</f>
        <v>M1ul.L5PTSTHm</v>
      </c>
      <c r="T524" s="179" t="str">
        <f>IFERROR(__xludf.DUMMYFUNCTION("""COMPUTED_VALUE"""),"[Miyachi, 2006]")</f>
        <v>[Miyachi, 2006]</v>
      </c>
      <c r="U524" s="179">
        <f>IFERROR(__xludf.DUMMYFUNCTION("""COMPUTED_VALUE"""),0.0)</f>
        <v>0</v>
      </c>
      <c r="V524" s="180">
        <f>IFERROR(__xludf.DUMMYFUNCTION("""COMPUTED_VALUE"""),0.0)</f>
        <v>0</v>
      </c>
      <c r="W524" s="180">
        <f>IFERROR(__xludf.DUMMYFUNCTION("""COMPUTED_VALUE"""),0.95)</f>
        <v>0.95</v>
      </c>
      <c r="X524" s="42">
        <f>IFERROR(__xludf.DUMMYFUNCTION("""COMPUTED_VALUE"""),0.0)</f>
        <v>0</v>
      </c>
      <c r="Y524" s="42">
        <f>IFERROR(__xludf.DUMMYFUNCTION("""COMPUTED_VALUE"""),0.0)</f>
        <v>0</v>
      </c>
      <c r="Z524" s="9">
        <f>IFERROR(__xludf.DUMMYFUNCTION("""COMPUTED_VALUE"""),0.0)</f>
        <v>0</v>
      </c>
      <c r="AA524" s="181">
        <f>IFERROR(__xludf.DUMMYFUNCTION("""COMPUTED_VALUE"""),0.0)</f>
        <v>0</v>
      </c>
      <c r="AB524" s="181">
        <f>IFERROR(__xludf.DUMMYFUNCTION("""COMPUTED_VALUE"""),0.0)</f>
        <v>0</v>
      </c>
      <c r="AC524" s="179">
        <f>IFERROR(__xludf.DUMMYFUNCTION("""COMPUTED_VALUE"""),0.0)</f>
        <v>0</v>
      </c>
      <c r="AD524" s="165">
        <f>IFERROR(__xludf.DUMMYFUNCTION("""COMPUTED_VALUE"""),0.0)</f>
        <v>0</v>
      </c>
      <c r="AE524" s="39" t="str">
        <f>IFERROR(__xludf.DUMMYFUNCTION("""COMPUTED_VALUE"""),"Yuske Shibata")</f>
        <v>Yuske Shibata</v>
      </c>
      <c r="AF524" s="39" t="str">
        <f>IFERROR(__xludf.DUMMYFUNCTION("""COMPUTED_VALUE"""),"YS21BgLoop")</f>
        <v>YS21BgLoop</v>
      </c>
      <c r="AG524" s="39"/>
      <c r="AH524" s="39"/>
      <c r="AI524" s="165"/>
      <c r="AJ524" s="165"/>
      <c r="AK524" s="111"/>
      <c r="AL524" s="111"/>
      <c r="AM524" s="111"/>
      <c r="AN524" s="111"/>
      <c r="AO524" s="111"/>
      <c r="AP524" s="111"/>
      <c r="AQ524" s="116"/>
      <c r="AR524" s="116"/>
      <c r="AS524" s="116"/>
    </row>
    <row r="525">
      <c r="A525" s="42" t="str">
        <f>IFERROR(__xludf.DUMMYFUNCTION("""COMPUTED_VALUE"""),"MD")</f>
        <v>MD</v>
      </c>
      <c r="B525" s="42"/>
      <c r="C525" s="42"/>
      <c r="D525" s="42" t="str">
        <f>IFERROR(__xludf.DUMMYFUNCTION("""COMPUTED_VALUE"""),"Me")</f>
        <v>Me</v>
      </c>
      <c r="E525" s="42"/>
      <c r="F525" s="42"/>
      <c r="G525" s="42"/>
      <c r="H525" s="42" t="str">
        <f>IFERROR(__xludf.DUMMYFUNCTION("""COMPUTED_VALUE"""),"")</f>
        <v/>
      </c>
      <c r="I525" s="42" t="str">
        <f>IFERROR(__xludf.DUMMYFUNCTION("""COMPUTED_VALUE"""),"Pitkänen, 2000")</f>
        <v>Pitkänen, 2000</v>
      </c>
      <c r="J525" s="42" t="str">
        <f>IFERROR(__xludf.DUMMYFUNCTION("""COMPUTED_VALUE"""),"Rat")</f>
        <v>Rat</v>
      </c>
      <c r="K525" s="42" t="str">
        <f>IFERROR(__xludf.DUMMYFUNCTION("""COMPUTED_VALUE"""),"Various tracing")</f>
        <v>Various tracing</v>
      </c>
      <c r="L525" s="42"/>
      <c r="M525" s="42" t="str">
        <f>IFERROR(__xludf.DUMMYFUNCTION("""COMPUTED_VALUE"""),"fig.3-fig.12 (to be specified)")</f>
        <v>fig.3-fig.12 (to be specified)</v>
      </c>
      <c r="N525" s="42"/>
      <c r="O525" s="31" t="str">
        <f>IFERROR(__xludf.DUMMYFUNCTION("""COMPUTED_VALUE"""),"DOC(alt)")</f>
        <v>DOC(alt)</v>
      </c>
      <c r="P525" s="9" t="str">
        <f>IFERROR(__xludf.DUMMYFUNCTION("""COMPUTED_VALUE"""),"Folia morphologica")</f>
        <v>Folia morphologica</v>
      </c>
      <c r="Q525" s="9" t="str">
        <f>IFERROR(__xludf.DUMMYFUNCTION("""COMPUTED_VALUE"""),"Review")</f>
        <v>Review</v>
      </c>
      <c r="R525" s="179" t="str">
        <f>IFERROR(__xludf.DUMMYFUNCTION("""COMPUTED_VALUE"""),"Me (00/00) [Pitkänen, 2000];
")</f>
        <v>Me (00/00) [Pitkänen, 2000];
</v>
      </c>
      <c r="S525" s="179" t="str">
        <f>IFERROR(__xludf.DUMMYFUNCTION("""COMPUTED_VALUE"""),"MDMe")</f>
        <v>MDMe</v>
      </c>
      <c r="T525" s="179" t="str">
        <f>IFERROR(__xludf.DUMMYFUNCTION("""COMPUTED_VALUE"""),"[Pitkänen, 2000]")</f>
        <v>[Pitkänen, 2000]</v>
      </c>
      <c r="U525" s="179">
        <f>IFERROR(__xludf.DUMMYFUNCTION("""COMPUTED_VALUE"""),0.0)</f>
        <v>0</v>
      </c>
      <c r="V525" s="180">
        <f>IFERROR(__xludf.DUMMYFUNCTION("""COMPUTED_VALUE"""),0.0)</f>
        <v>0</v>
      </c>
      <c r="W525" s="180">
        <f>IFERROR(__xludf.DUMMYFUNCTION("""COMPUTED_VALUE"""),0.95)</f>
        <v>0.95</v>
      </c>
      <c r="X525" s="42">
        <f>IFERROR(__xludf.DUMMYFUNCTION("""COMPUTED_VALUE"""),0.8)</f>
        <v>0.8</v>
      </c>
      <c r="Y525" s="42">
        <f>IFERROR(__xludf.DUMMYFUNCTION("""COMPUTED_VALUE"""),0.6)</f>
        <v>0.6</v>
      </c>
      <c r="Z525" s="9">
        <f>IFERROR(__xludf.DUMMYFUNCTION("""COMPUTED_VALUE"""),0.9)</f>
        <v>0.9</v>
      </c>
      <c r="AA525" s="181">
        <f>IFERROR(__xludf.DUMMYFUNCTION("""COMPUTED_VALUE"""),0.0)</f>
        <v>0</v>
      </c>
      <c r="AB525" s="181">
        <f>IFERROR(__xludf.DUMMYFUNCTION("""COMPUTED_VALUE"""),0.0)</f>
        <v>0</v>
      </c>
      <c r="AC525" s="179">
        <f>IFERROR(__xludf.DUMMYFUNCTION("""COMPUTED_VALUE"""),0.0)</f>
        <v>0</v>
      </c>
      <c r="AD525" s="165">
        <f>IFERROR(__xludf.DUMMYFUNCTION("""COMPUTED_VALUE"""),0.0)</f>
        <v>0</v>
      </c>
      <c r="AE525" s="39" t="str">
        <f>IFERROR(__xludf.DUMMYFUNCTION("""COMPUTED_VALUE"""),"Tatsuya Miyamoto")</f>
        <v>Tatsuya Miyamoto</v>
      </c>
      <c r="AF525" s="39" t="str">
        <f>IFERROR(__xludf.DUMMYFUNCTION("""COMPUTED_VALUE"""),"TM21Amygdala")</f>
        <v>TM21Amygdala</v>
      </c>
      <c r="AG525" s="39"/>
      <c r="AH525" s="39"/>
      <c r="AI525" s="165"/>
      <c r="AJ525" s="165"/>
      <c r="AK525" s="111"/>
      <c r="AL525" s="111"/>
      <c r="AM525" s="111"/>
      <c r="AN525" s="111"/>
      <c r="AO525" s="111"/>
      <c r="AP525" s="111"/>
      <c r="AQ525" s="116"/>
      <c r="AR525" s="116"/>
      <c r="AS525" s="116"/>
    </row>
    <row r="526">
      <c r="A526" s="42" t="str">
        <f>IFERROR(__xludf.DUMMYFUNCTION("""COMPUTED_VALUE"""),"MD")</f>
        <v>MD</v>
      </c>
      <c r="B526" s="42"/>
      <c r="C526" s="42"/>
      <c r="D526" s="42" t="str">
        <f>IFERROR(__xludf.DUMMYFUNCTION("""COMPUTED_VALUE"""),"NCx")</f>
        <v>NCx</v>
      </c>
      <c r="E526" s="42"/>
      <c r="F526" s="42"/>
      <c r="G526" s="42"/>
      <c r="H526" s="42" t="str">
        <f>IFERROR(__xludf.DUMMYFUNCTION("""COMPUTED_VALUE"""),"(Limbic loop)")</f>
        <v>(Limbic loop)</v>
      </c>
      <c r="I526" s="42" t="str">
        <f>IFERROR(__xludf.DUMMYFUNCTION("""COMPUTED_VALUE"""),"Galvan, 2015")</f>
        <v>Galvan, 2015</v>
      </c>
      <c r="J526" s="42"/>
      <c r="K526" s="42"/>
      <c r="L526" s="42"/>
      <c r="M526" s="42"/>
      <c r="N526" s="42"/>
      <c r="O526" s="31" t="str">
        <f>IFERROR(__xludf.DUMMYFUNCTION("""COMPUTED_VALUE"""),"DOC")</f>
        <v>DOC</v>
      </c>
      <c r="P526" s="9" t="str">
        <f>IFERROR(__xludf.DUMMYFUNCTION("""COMPUTED_VALUE"""),"Frontiers in Neuroanatomy")</f>
        <v>Frontiers in Neuroanatomy</v>
      </c>
      <c r="Q526" s="9"/>
      <c r="R526" s="179" t="str">
        <f>IFERROR(__xludf.DUMMYFUNCTION("""COMPUTED_VALUE"""),"NCx (00/00) [Galvan, 2015](Limbic loop);
")</f>
        <v>NCx (00/00) [Galvan, 2015](Limbic loop);
</v>
      </c>
      <c r="S526" s="179" t="str">
        <f>IFERROR(__xludf.DUMMYFUNCTION("""COMPUTED_VALUE"""),"MDNCx")</f>
        <v>MDNCx</v>
      </c>
      <c r="T526" s="179" t="str">
        <f>IFERROR(__xludf.DUMMYFUNCTION("""COMPUTED_VALUE"""),"[Galvan, 2015]")</f>
        <v>[Galvan, 2015]</v>
      </c>
      <c r="U526" s="179">
        <f>IFERROR(__xludf.DUMMYFUNCTION("""COMPUTED_VALUE"""),0.0)</f>
        <v>0</v>
      </c>
      <c r="V526" s="180">
        <f>IFERROR(__xludf.DUMMYFUNCTION("""COMPUTED_VALUE"""),0.0)</f>
        <v>0</v>
      </c>
      <c r="W526" s="180">
        <f>IFERROR(__xludf.DUMMYFUNCTION("""COMPUTED_VALUE"""),0.95)</f>
        <v>0.95</v>
      </c>
      <c r="X526" s="42">
        <f>IFERROR(__xludf.DUMMYFUNCTION("""COMPUTED_VALUE"""),0.0)</f>
        <v>0</v>
      </c>
      <c r="Y526" s="42">
        <f>IFERROR(__xludf.DUMMYFUNCTION("""COMPUTED_VALUE"""),0.0)</f>
        <v>0</v>
      </c>
      <c r="Z526" s="9">
        <f>IFERROR(__xludf.DUMMYFUNCTION("""COMPUTED_VALUE"""),0.0)</f>
        <v>0</v>
      </c>
      <c r="AA526" s="181">
        <f>IFERROR(__xludf.DUMMYFUNCTION("""COMPUTED_VALUE"""),0.0)</f>
        <v>0</v>
      </c>
      <c r="AB526" s="181">
        <f>IFERROR(__xludf.DUMMYFUNCTION("""COMPUTED_VALUE"""),0.0)</f>
        <v>0</v>
      </c>
      <c r="AC526" s="179">
        <f>IFERROR(__xludf.DUMMYFUNCTION("""COMPUTED_VALUE"""),0.0)</f>
        <v>0</v>
      </c>
      <c r="AD526" s="165">
        <f>IFERROR(__xludf.DUMMYFUNCTION("""COMPUTED_VALUE"""),0.0)</f>
        <v>0</v>
      </c>
      <c r="AE526" s="39" t="str">
        <f>IFERROR(__xludf.DUMMYFUNCTION("""COMPUTED_VALUE"""),"Yuske Shibata")</f>
        <v>Yuske Shibata</v>
      </c>
      <c r="AF526" s="39" t="str">
        <f>IFERROR(__xludf.DUMMYFUNCTION("""COMPUTED_VALUE"""),"YS21BgLoop")</f>
        <v>YS21BgLoop</v>
      </c>
      <c r="AG526" s="39"/>
      <c r="AH526" s="39"/>
      <c r="AI526" s="165"/>
      <c r="AJ526" s="165"/>
      <c r="AK526" s="111"/>
      <c r="AL526" s="111"/>
      <c r="AM526" s="111"/>
      <c r="AN526" s="111"/>
      <c r="AO526" s="111"/>
      <c r="AP526" s="111"/>
      <c r="AQ526" s="116"/>
      <c r="AR526" s="116"/>
      <c r="AS526" s="116"/>
    </row>
    <row r="527">
      <c r="A527" s="42" t="str">
        <f>IFERROR(__xludf.DUMMYFUNCTION("""COMPUTED_VALUE"""),"MDJ")</f>
        <v>MDJ</v>
      </c>
      <c r="B527" s="42"/>
      <c r="C527" s="42"/>
      <c r="D527" s="42" t="str">
        <f>IFERROR(__xludf.DUMMYFUNCTION("""COMPUTED_VALUE"""),"IODC")</f>
        <v>IODC</v>
      </c>
      <c r="E527" s="42"/>
      <c r="F527" s="42"/>
      <c r="G527" s="42"/>
      <c r="H527" s="42" t="str">
        <f>IFERROR(__xludf.DUMMYFUNCTION("""COMPUTED_VALUE"""),"")</f>
        <v/>
      </c>
      <c r="I527" s="42" t="str">
        <f>IFERROR(__xludf.DUMMYFUNCTION("""COMPUTED_VALUE"""),"De Zeeuw, 2021")</f>
        <v>De Zeeuw, 2021</v>
      </c>
      <c r="J527" s="42"/>
      <c r="K527" s="42"/>
      <c r="L527" s="42"/>
      <c r="M527" s="42"/>
      <c r="N527" s="42"/>
      <c r="O527" s="31" t="str">
        <f>IFERROR(__xludf.DUMMYFUNCTION("""COMPUTED_VALUE"""),"DOC")</f>
        <v>DOC</v>
      </c>
      <c r="P527" s="9" t="str">
        <f>IFERROR(__xludf.DUMMYFUNCTION("""COMPUTED_VALUE"""),"Nature Neuroscience")</f>
        <v>Nature Neuroscience</v>
      </c>
      <c r="Q527" s="9"/>
      <c r="R527" s="179" t="str">
        <f>IFERROR(__xludf.DUMMYFUNCTION("""COMPUTED_VALUE"""),"IODC (00/00) [De Zeeuw, 2021];
")</f>
        <v>IODC (00/00) [De Zeeuw, 2021];
</v>
      </c>
      <c r="S527" s="179" t="str">
        <f>IFERROR(__xludf.DUMMYFUNCTION("""COMPUTED_VALUE"""),"MDJIODC")</f>
        <v>MDJIODC</v>
      </c>
      <c r="T527" s="179" t="str">
        <f>IFERROR(__xludf.DUMMYFUNCTION("""COMPUTED_VALUE"""),"[De Zeeuw, 2021]")</f>
        <v>[De Zeeuw, 2021]</v>
      </c>
      <c r="U527" s="179">
        <f>IFERROR(__xludf.DUMMYFUNCTION("""COMPUTED_VALUE"""),0.0)</f>
        <v>0</v>
      </c>
      <c r="V527" s="180">
        <f>IFERROR(__xludf.DUMMYFUNCTION("""COMPUTED_VALUE"""),0.0)</f>
        <v>0</v>
      </c>
      <c r="W527" s="180">
        <f>IFERROR(__xludf.DUMMYFUNCTION("""COMPUTED_VALUE"""),0.95)</f>
        <v>0.95</v>
      </c>
      <c r="X527" s="42">
        <f>IFERROR(__xludf.DUMMYFUNCTION("""COMPUTED_VALUE"""),0.0)</f>
        <v>0</v>
      </c>
      <c r="Y527" s="42">
        <f>IFERROR(__xludf.DUMMYFUNCTION("""COMPUTED_VALUE"""),0.0)</f>
        <v>0</v>
      </c>
      <c r="Z527" s="9">
        <f>IFERROR(__xludf.DUMMYFUNCTION("""COMPUTED_VALUE"""),0.0)</f>
        <v>0</v>
      </c>
      <c r="AA527" s="181">
        <f>IFERROR(__xludf.DUMMYFUNCTION("""COMPUTED_VALUE"""),0.0)</f>
        <v>0</v>
      </c>
      <c r="AB527" s="181">
        <f>IFERROR(__xludf.DUMMYFUNCTION("""COMPUTED_VALUE"""),0.0)</f>
        <v>0</v>
      </c>
      <c r="AC527" s="179">
        <f>IFERROR(__xludf.DUMMYFUNCTION("""COMPUTED_VALUE"""),0.0)</f>
        <v>0</v>
      </c>
      <c r="AD527" s="165">
        <f>IFERROR(__xludf.DUMMYFUNCTION("""COMPUTED_VALUE"""),0.0)</f>
        <v>0</v>
      </c>
      <c r="AE527" s="39" t="str">
        <f>IFERROR(__xludf.DUMMYFUNCTION("""COMPUTED_VALUE"""),"Hiroshi Yamakawa")</f>
        <v>Hiroshi Yamakawa</v>
      </c>
      <c r="AF527" s="39" t="str">
        <f>IFERROR(__xludf.DUMMYFUNCTION("""COMPUTED_VALUE"""),"HY20Cerebellum")</f>
        <v>HY20Cerebellum</v>
      </c>
      <c r="AG527" s="39"/>
      <c r="AH527" s="39"/>
      <c r="AI527" s="165"/>
      <c r="AJ527" s="165"/>
      <c r="AK527" s="111"/>
      <c r="AL527" s="111"/>
      <c r="AM527" s="111"/>
      <c r="AN527" s="111"/>
      <c r="AO527" s="111"/>
      <c r="AP527" s="111"/>
      <c r="AQ527" s="116"/>
      <c r="AR527" s="116"/>
      <c r="AS527" s="116"/>
    </row>
    <row r="528">
      <c r="A528" s="42" t="str">
        <f>IFERROR(__xludf.DUMMYFUNCTION("""COMPUTED_VALUE"""),"Me")</f>
        <v>Me</v>
      </c>
      <c r="B528" s="42"/>
      <c r="C528" s="42"/>
      <c r="D528" s="42" t="str">
        <f>IFERROR(__xludf.DUMMYFUNCTION("""COMPUTED_VALUE"""),"AIp")</f>
        <v>AIp</v>
      </c>
      <c r="E528" s="42"/>
      <c r="F528" s="42"/>
      <c r="G528" s="42"/>
      <c r="H528" s="42" t="str">
        <f>IFERROR(__xludf.DUMMYFUNCTION("""COMPUTED_VALUE"""),"")</f>
        <v/>
      </c>
      <c r="I528" s="42" t="str">
        <f>IFERROR(__xludf.DUMMYFUNCTION("""COMPUTED_VALUE"""),"Pitkänen, 2000")</f>
        <v>Pitkänen, 2000</v>
      </c>
      <c r="J528" s="42" t="str">
        <f>IFERROR(__xludf.DUMMYFUNCTION("""COMPUTED_VALUE"""),"Rat")</f>
        <v>Rat</v>
      </c>
      <c r="K528" s="42" t="str">
        <f>IFERROR(__xludf.DUMMYFUNCTION("""COMPUTED_VALUE"""),"Various tracing")</f>
        <v>Various tracing</v>
      </c>
      <c r="L528" s="42"/>
      <c r="M528" s="42" t="str">
        <f>IFERROR(__xludf.DUMMYFUNCTION("""COMPUTED_VALUE"""),"fig.3-fig.12 (to be specified)")</f>
        <v>fig.3-fig.12 (to be specified)</v>
      </c>
      <c r="N528" s="42"/>
      <c r="O528" s="31" t="str">
        <f>IFERROR(__xludf.DUMMYFUNCTION("""COMPUTED_VALUE"""),"DOC(alt)")</f>
        <v>DOC(alt)</v>
      </c>
      <c r="P528" s="9" t="str">
        <f>IFERROR(__xludf.DUMMYFUNCTION("""COMPUTED_VALUE"""),"Folia morphologica")</f>
        <v>Folia morphologica</v>
      </c>
      <c r="Q528" s="9" t="str">
        <f>IFERROR(__xludf.DUMMYFUNCTION("""COMPUTED_VALUE"""),"Review")</f>
        <v>Review</v>
      </c>
      <c r="R528" s="179" t="str">
        <f>IFERROR(__xludf.DUMMYFUNCTION("""COMPUTED_VALUE"""),"AIp (00/00) [Pitkänen, 2000];
")</f>
        <v>AIp (00/00) [Pitkänen, 2000];
</v>
      </c>
      <c r="S528" s="179" t="str">
        <f>IFERROR(__xludf.DUMMYFUNCTION("""COMPUTED_VALUE"""),"MeAIp")</f>
        <v>MeAIp</v>
      </c>
      <c r="T528" s="179" t="str">
        <f>IFERROR(__xludf.DUMMYFUNCTION("""COMPUTED_VALUE"""),"[Pitkänen, 2000]")</f>
        <v>[Pitkänen, 2000]</v>
      </c>
      <c r="U528" s="179">
        <f>IFERROR(__xludf.DUMMYFUNCTION("""COMPUTED_VALUE"""),0.0)</f>
        <v>0</v>
      </c>
      <c r="V528" s="180">
        <f>IFERROR(__xludf.DUMMYFUNCTION("""COMPUTED_VALUE"""),0.0)</f>
        <v>0</v>
      </c>
      <c r="W528" s="180">
        <f>IFERROR(__xludf.DUMMYFUNCTION("""COMPUTED_VALUE"""),0.95)</f>
        <v>0.95</v>
      </c>
      <c r="X528" s="42">
        <f>IFERROR(__xludf.DUMMYFUNCTION("""COMPUTED_VALUE"""),0.8)</f>
        <v>0.8</v>
      </c>
      <c r="Y528" s="42">
        <f>IFERROR(__xludf.DUMMYFUNCTION("""COMPUTED_VALUE"""),0.6)</f>
        <v>0.6</v>
      </c>
      <c r="Z528" s="9">
        <f>IFERROR(__xludf.DUMMYFUNCTION("""COMPUTED_VALUE"""),0.9)</f>
        <v>0.9</v>
      </c>
      <c r="AA528" s="181">
        <f>IFERROR(__xludf.DUMMYFUNCTION("""COMPUTED_VALUE"""),0.0)</f>
        <v>0</v>
      </c>
      <c r="AB528" s="181">
        <f>IFERROR(__xludf.DUMMYFUNCTION("""COMPUTED_VALUE"""),0.0)</f>
        <v>0</v>
      </c>
      <c r="AC528" s="179">
        <f>IFERROR(__xludf.DUMMYFUNCTION("""COMPUTED_VALUE"""),0.0)</f>
        <v>0</v>
      </c>
      <c r="AD528" s="165">
        <f>IFERROR(__xludf.DUMMYFUNCTION("""COMPUTED_VALUE"""),0.0)</f>
        <v>0</v>
      </c>
      <c r="AE528" s="39" t="str">
        <f>IFERROR(__xludf.DUMMYFUNCTION("""COMPUTED_VALUE"""),"Tatsuya Miyamoto")</f>
        <v>Tatsuya Miyamoto</v>
      </c>
      <c r="AF528" s="39" t="str">
        <f>IFERROR(__xludf.DUMMYFUNCTION("""COMPUTED_VALUE"""),"TM21Amygdala")</f>
        <v>TM21Amygdala</v>
      </c>
      <c r="AG528" s="39"/>
      <c r="AH528" s="39"/>
      <c r="AI528" s="165"/>
      <c r="AJ528" s="165"/>
      <c r="AK528" s="111"/>
      <c r="AL528" s="111"/>
      <c r="AM528" s="111"/>
      <c r="AN528" s="111"/>
      <c r="AO528" s="111"/>
      <c r="AP528" s="111"/>
      <c r="AQ528" s="116"/>
      <c r="AR528" s="116"/>
      <c r="AS528" s="116"/>
    </row>
    <row r="529">
      <c r="A529" s="42" t="str">
        <f>IFERROR(__xludf.DUMMYFUNCTION("""COMPUTED_VALUE"""),"Me")</f>
        <v>Me</v>
      </c>
      <c r="B529" s="42"/>
      <c r="C529" s="42"/>
      <c r="D529" s="42" t="str">
        <f>IFERROR(__xludf.DUMMYFUNCTION("""COMPUTED_VALUE"""),"AIv")</f>
        <v>AIv</v>
      </c>
      <c r="E529" s="42"/>
      <c r="F529" s="42"/>
      <c r="G529" s="42"/>
      <c r="H529" s="42" t="str">
        <f>IFERROR(__xludf.DUMMYFUNCTION("""COMPUTED_VALUE"""),"")</f>
        <v/>
      </c>
      <c r="I529" s="42" t="str">
        <f>IFERROR(__xludf.DUMMYFUNCTION("""COMPUTED_VALUE"""),"Pitkänen, 2000")</f>
        <v>Pitkänen, 2000</v>
      </c>
      <c r="J529" s="42" t="str">
        <f>IFERROR(__xludf.DUMMYFUNCTION("""COMPUTED_VALUE"""),"Rat")</f>
        <v>Rat</v>
      </c>
      <c r="K529" s="42" t="str">
        <f>IFERROR(__xludf.DUMMYFUNCTION("""COMPUTED_VALUE"""),"Various tracing")</f>
        <v>Various tracing</v>
      </c>
      <c r="L529" s="42"/>
      <c r="M529" s="42" t="str">
        <f>IFERROR(__xludf.DUMMYFUNCTION("""COMPUTED_VALUE"""),"fig.3-fig.12 (to be specified)")</f>
        <v>fig.3-fig.12 (to be specified)</v>
      </c>
      <c r="N529" s="42"/>
      <c r="O529" s="31" t="str">
        <f>IFERROR(__xludf.DUMMYFUNCTION("""COMPUTED_VALUE"""),"DOC(alt)")</f>
        <v>DOC(alt)</v>
      </c>
      <c r="P529" s="9" t="str">
        <f>IFERROR(__xludf.DUMMYFUNCTION("""COMPUTED_VALUE"""),"Folia morphologica")</f>
        <v>Folia morphologica</v>
      </c>
      <c r="Q529" s="9" t="str">
        <f>IFERROR(__xludf.DUMMYFUNCTION("""COMPUTED_VALUE"""),"Review")</f>
        <v>Review</v>
      </c>
      <c r="R529" s="179" t="str">
        <f>IFERROR(__xludf.DUMMYFUNCTION("""COMPUTED_VALUE"""),"AIv (00/00) [Pitkänen, 2000];
")</f>
        <v>AIv (00/00) [Pitkänen, 2000];
</v>
      </c>
      <c r="S529" s="179" t="str">
        <f>IFERROR(__xludf.DUMMYFUNCTION("""COMPUTED_VALUE"""),"MeAIv")</f>
        <v>MeAIv</v>
      </c>
      <c r="T529" s="179" t="str">
        <f>IFERROR(__xludf.DUMMYFUNCTION("""COMPUTED_VALUE"""),"[Pitkänen, 2000]")</f>
        <v>[Pitkänen, 2000]</v>
      </c>
      <c r="U529" s="179">
        <f>IFERROR(__xludf.DUMMYFUNCTION("""COMPUTED_VALUE"""),0.0)</f>
        <v>0</v>
      </c>
      <c r="V529" s="180">
        <f>IFERROR(__xludf.DUMMYFUNCTION("""COMPUTED_VALUE"""),0.0)</f>
        <v>0</v>
      </c>
      <c r="W529" s="180">
        <f>IFERROR(__xludf.DUMMYFUNCTION("""COMPUTED_VALUE"""),0.95)</f>
        <v>0.95</v>
      </c>
      <c r="X529" s="42">
        <f>IFERROR(__xludf.DUMMYFUNCTION("""COMPUTED_VALUE"""),0.8)</f>
        <v>0.8</v>
      </c>
      <c r="Y529" s="42">
        <f>IFERROR(__xludf.DUMMYFUNCTION("""COMPUTED_VALUE"""),0.6)</f>
        <v>0.6</v>
      </c>
      <c r="Z529" s="9">
        <f>IFERROR(__xludf.DUMMYFUNCTION("""COMPUTED_VALUE"""),0.9)</f>
        <v>0.9</v>
      </c>
      <c r="AA529" s="181">
        <f>IFERROR(__xludf.DUMMYFUNCTION("""COMPUTED_VALUE"""),0.0)</f>
        <v>0</v>
      </c>
      <c r="AB529" s="181">
        <f>IFERROR(__xludf.DUMMYFUNCTION("""COMPUTED_VALUE"""),0.0)</f>
        <v>0</v>
      </c>
      <c r="AC529" s="179">
        <f>IFERROR(__xludf.DUMMYFUNCTION("""COMPUTED_VALUE"""),0.0)</f>
        <v>0</v>
      </c>
      <c r="AD529" s="165">
        <f>IFERROR(__xludf.DUMMYFUNCTION("""COMPUTED_VALUE"""),0.0)</f>
        <v>0</v>
      </c>
      <c r="AE529" s="39" t="str">
        <f>IFERROR(__xludf.DUMMYFUNCTION("""COMPUTED_VALUE"""),"Tatsuya Miyamoto")</f>
        <v>Tatsuya Miyamoto</v>
      </c>
      <c r="AF529" s="39" t="str">
        <f>IFERROR(__xludf.DUMMYFUNCTION("""COMPUTED_VALUE"""),"TM21Amygdala")</f>
        <v>TM21Amygdala</v>
      </c>
      <c r="AG529" s="39"/>
      <c r="AH529" s="39"/>
      <c r="AI529" s="165"/>
      <c r="AJ529" s="165"/>
      <c r="AK529" s="111"/>
      <c r="AL529" s="111"/>
      <c r="AM529" s="111"/>
      <c r="AN529" s="111"/>
      <c r="AO529" s="111"/>
      <c r="AP529" s="111"/>
      <c r="AQ529" s="116"/>
      <c r="AR529" s="116"/>
      <c r="AS529" s="116"/>
    </row>
    <row r="530">
      <c r="A530" s="42" t="str">
        <f>IFERROR(__xludf.DUMMYFUNCTION("""COMPUTED_VALUE"""),"Me")</f>
        <v>Me</v>
      </c>
      <c r="B530" s="42"/>
      <c r="C530" s="42"/>
      <c r="D530" s="42" t="str">
        <f>IFERROR(__xludf.DUMMYFUNCTION("""COMPUTED_VALUE"""),"BNST")</f>
        <v>BNST</v>
      </c>
      <c r="E530" s="42"/>
      <c r="F530" s="42"/>
      <c r="G530" s="42"/>
      <c r="H530" s="42" t="str">
        <f>IFERROR(__xludf.DUMMYFUNCTION("""COMPUTED_VALUE"""),"")</f>
        <v/>
      </c>
      <c r="I530" s="42" t="str">
        <f>IFERROR(__xludf.DUMMYFUNCTION("""COMPUTED_VALUE"""),"Pitkänen, 2000")</f>
        <v>Pitkänen, 2000</v>
      </c>
      <c r="J530" s="42" t="str">
        <f>IFERROR(__xludf.DUMMYFUNCTION("""COMPUTED_VALUE"""),"Rat")</f>
        <v>Rat</v>
      </c>
      <c r="K530" s="42" t="str">
        <f>IFERROR(__xludf.DUMMYFUNCTION("""COMPUTED_VALUE"""),"Various tracing")</f>
        <v>Various tracing</v>
      </c>
      <c r="L530" s="42"/>
      <c r="M530" s="42" t="str">
        <f>IFERROR(__xludf.DUMMYFUNCTION("""COMPUTED_VALUE"""),"fig.3-fig.12 (to be specified)")</f>
        <v>fig.3-fig.12 (to be specified)</v>
      </c>
      <c r="N530" s="42"/>
      <c r="O530" s="31" t="str">
        <f>IFERROR(__xludf.DUMMYFUNCTION("""COMPUTED_VALUE"""),"DOC(alt)")</f>
        <v>DOC(alt)</v>
      </c>
      <c r="P530" s="9" t="str">
        <f>IFERROR(__xludf.DUMMYFUNCTION("""COMPUTED_VALUE"""),"Folia morphologica")</f>
        <v>Folia morphologica</v>
      </c>
      <c r="Q530" s="9" t="str">
        <f>IFERROR(__xludf.DUMMYFUNCTION("""COMPUTED_VALUE"""),"Review")</f>
        <v>Review</v>
      </c>
      <c r="R530" s="179" t="str">
        <f>IFERROR(__xludf.DUMMYFUNCTION("""COMPUTED_VALUE"""),"BNST (00/00) [Pitkänen, 2000];
")</f>
        <v>BNST (00/00) [Pitkänen, 2000];
</v>
      </c>
      <c r="S530" s="179" t="str">
        <f>IFERROR(__xludf.DUMMYFUNCTION("""COMPUTED_VALUE"""),"MeBNST")</f>
        <v>MeBNST</v>
      </c>
      <c r="T530" s="179" t="str">
        <f>IFERROR(__xludf.DUMMYFUNCTION("""COMPUTED_VALUE"""),"[Pitkänen, 2000]")</f>
        <v>[Pitkänen, 2000]</v>
      </c>
      <c r="U530" s="179">
        <f>IFERROR(__xludf.DUMMYFUNCTION("""COMPUTED_VALUE"""),0.0)</f>
        <v>0</v>
      </c>
      <c r="V530" s="180">
        <f>IFERROR(__xludf.DUMMYFUNCTION("""COMPUTED_VALUE"""),0.0)</f>
        <v>0</v>
      </c>
      <c r="W530" s="180">
        <f>IFERROR(__xludf.DUMMYFUNCTION("""COMPUTED_VALUE"""),0.95)</f>
        <v>0.95</v>
      </c>
      <c r="X530" s="42">
        <f>IFERROR(__xludf.DUMMYFUNCTION("""COMPUTED_VALUE"""),0.8)</f>
        <v>0.8</v>
      </c>
      <c r="Y530" s="42">
        <f>IFERROR(__xludf.DUMMYFUNCTION("""COMPUTED_VALUE"""),0.6)</f>
        <v>0.6</v>
      </c>
      <c r="Z530" s="9">
        <f>IFERROR(__xludf.DUMMYFUNCTION("""COMPUTED_VALUE"""),0.9)</f>
        <v>0.9</v>
      </c>
      <c r="AA530" s="181">
        <f>IFERROR(__xludf.DUMMYFUNCTION("""COMPUTED_VALUE"""),0.0)</f>
        <v>0</v>
      </c>
      <c r="AB530" s="181">
        <f>IFERROR(__xludf.DUMMYFUNCTION("""COMPUTED_VALUE"""),0.0)</f>
        <v>0</v>
      </c>
      <c r="AC530" s="179">
        <f>IFERROR(__xludf.DUMMYFUNCTION("""COMPUTED_VALUE"""),0.0)</f>
        <v>0</v>
      </c>
      <c r="AD530" s="165">
        <f>IFERROR(__xludf.DUMMYFUNCTION("""COMPUTED_VALUE"""),0.0)</f>
        <v>0</v>
      </c>
      <c r="AE530" s="39" t="str">
        <f>IFERROR(__xludf.DUMMYFUNCTION("""COMPUTED_VALUE"""),"Tatsuya Miyamoto")</f>
        <v>Tatsuya Miyamoto</v>
      </c>
      <c r="AF530" s="39" t="str">
        <f>IFERROR(__xludf.DUMMYFUNCTION("""COMPUTED_VALUE"""),"TM21Amygdala")</f>
        <v>TM21Amygdala</v>
      </c>
      <c r="AG530" s="39"/>
      <c r="AH530" s="39"/>
      <c r="AI530" s="165"/>
      <c r="AJ530" s="165"/>
      <c r="AK530" s="111"/>
      <c r="AL530" s="111"/>
      <c r="AM530" s="111"/>
      <c r="AN530" s="111"/>
      <c r="AO530" s="111"/>
      <c r="AP530" s="111"/>
      <c r="AQ530" s="116"/>
      <c r="AR530" s="116"/>
      <c r="AS530" s="116"/>
    </row>
    <row r="531">
      <c r="A531" s="42" t="str">
        <f>IFERROR(__xludf.DUMMYFUNCTION("""COMPUTED_VALUE"""),"Me")</f>
        <v>Me</v>
      </c>
      <c r="B531" s="42"/>
      <c r="C531" s="42"/>
      <c r="D531" s="42" t="str">
        <f>IFERROR(__xludf.DUMMYFUNCTION("""COMPUTED_VALUE"""),"En")</f>
        <v>En</v>
      </c>
      <c r="E531" s="42"/>
      <c r="F531" s="42"/>
      <c r="G531" s="42"/>
      <c r="H531" s="42" t="str">
        <f>IFERROR(__xludf.DUMMYFUNCTION("""COMPUTED_VALUE"""),"")</f>
        <v/>
      </c>
      <c r="I531" s="42" t="str">
        <f>IFERROR(__xludf.DUMMYFUNCTION("""COMPUTED_VALUE"""),"Pitkänen, 2000")</f>
        <v>Pitkänen, 2000</v>
      </c>
      <c r="J531" s="42" t="str">
        <f>IFERROR(__xludf.DUMMYFUNCTION("""COMPUTED_VALUE"""),"Rat")</f>
        <v>Rat</v>
      </c>
      <c r="K531" s="42" t="str">
        <f>IFERROR(__xludf.DUMMYFUNCTION("""COMPUTED_VALUE"""),"Various tracing")</f>
        <v>Various tracing</v>
      </c>
      <c r="L531" s="42"/>
      <c r="M531" s="42" t="str">
        <f>IFERROR(__xludf.DUMMYFUNCTION("""COMPUTED_VALUE"""),"fig.3-fig.12 (to be specified)")</f>
        <v>fig.3-fig.12 (to be specified)</v>
      </c>
      <c r="N531" s="42"/>
      <c r="O531" s="31" t="str">
        <f>IFERROR(__xludf.DUMMYFUNCTION("""COMPUTED_VALUE"""),"DOC(alt)")</f>
        <v>DOC(alt)</v>
      </c>
      <c r="P531" s="9" t="str">
        <f>IFERROR(__xludf.DUMMYFUNCTION("""COMPUTED_VALUE"""),"Folia morphologica")</f>
        <v>Folia morphologica</v>
      </c>
      <c r="Q531" s="9" t="str">
        <f>IFERROR(__xludf.DUMMYFUNCTION("""COMPUTED_VALUE"""),"Review")</f>
        <v>Review</v>
      </c>
      <c r="R531" s="179" t="str">
        <f>IFERROR(__xludf.DUMMYFUNCTION("""COMPUTED_VALUE"""),"En (00/00) [Pitkänen, 2000];
")</f>
        <v>En (00/00) [Pitkänen, 2000];
</v>
      </c>
      <c r="S531" s="179" t="str">
        <f>IFERROR(__xludf.DUMMYFUNCTION("""COMPUTED_VALUE"""),"MeEn")</f>
        <v>MeEn</v>
      </c>
      <c r="T531" s="179" t="str">
        <f>IFERROR(__xludf.DUMMYFUNCTION("""COMPUTED_VALUE"""),"[Pitkänen, 2000]")</f>
        <v>[Pitkänen, 2000]</v>
      </c>
      <c r="U531" s="179">
        <f>IFERROR(__xludf.DUMMYFUNCTION("""COMPUTED_VALUE"""),0.0)</f>
        <v>0</v>
      </c>
      <c r="V531" s="180">
        <f>IFERROR(__xludf.DUMMYFUNCTION("""COMPUTED_VALUE"""),0.0)</f>
        <v>0</v>
      </c>
      <c r="W531" s="180">
        <f>IFERROR(__xludf.DUMMYFUNCTION("""COMPUTED_VALUE"""),0.95)</f>
        <v>0.95</v>
      </c>
      <c r="X531" s="42">
        <f>IFERROR(__xludf.DUMMYFUNCTION("""COMPUTED_VALUE"""),0.8)</f>
        <v>0.8</v>
      </c>
      <c r="Y531" s="42">
        <f>IFERROR(__xludf.DUMMYFUNCTION("""COMPUTED_VALUE"""),0.6)</f>
        <v>0.6</v>
      </c>
      <c r="Z531" s="9">
        <f>IFERROR(__xludf.DUMMYFUNCTION("""COMPUTED_VALUE"""),0.9)</f>
        <v>0.9</v>
      </c>
      <c r="AA531" s="181">
        <f>IFERROR(__xludf.DUMMYFUNCTION("""COMPUTED_VALUE"""),0.0)</f>
        <v>0</v>
      </c>
      <c r="AB531" s="181">
        <f>IFERROR(__xludf.DUMMYFUNCTION("""COMPUTED_VALUE"""),0.0)</f>
        <v>0</v>
      </c>
      <c r="AC531" s="179">
        <f>IFERROR(__xludf.DUMMYFUNCTION("""COMPUTED_VALUE"""),0.0)</f>
        <v>0</v>
      </c>
      <c r="AD531" s="165">
        <f>IFERROR(__xludf.DUMMYFUNCTION("""COMPUTED_VALUE"""),0.0)</f>
        <v>0</v>
      </c>
      <c r="AE531" s="39" t="str">
        <f>IFERROR(__xludf.DUMMYFUNCTION("""COMPUTED_VALUE"""),"Tatsuya Miyamoto")</f>
        <v>Tatsuya Miyamoto</v>
      </c>
      <c r="AF531" s="39" t="str">
        <f>IFERROR(__xludf.DUMMYFUNCTION("""COMPUTED_VALUE"""),"TM21Amygdala")</f>
        <v>TM21Amygdala</v>
      </c>
      <c r="AG531" s="39"/>
      <c r="AH531" s="39"/>
      <c r="AI531" s="165"/>
      <c r="AJ531" s="165"/>
      <c r="AK531" s="111"/>
      <c r="AL531" s="111"/>
      <c r="AM531" s="111"/>
      <c r="AN531" s="111"/>
      <c r="AO531" s="111"/>
      <c r="AP531" s="111"/>
      <c r="AQ531" s="116"/>
      <c r="AR531" s="116"/>
      <c r="AS531" s="116"/>
    </row>
    <row r="532">
      <c r="A532" s="42" t="str">
        <f>IFERROR(__xludf.DUMMYFUNCTION("""COMPUTED_VALUE"""),"Me")</f>
        <v>Me</v>
      </c>
      <c r="B532" s="42"/>
      <c r="C532" s="42"/>
      <c r="D532" s="42" t="str">
        <f>IFERROR(__xludf.DUMMYFUNCTION("""COMPUTED_VALUE"""),"HTH")</f>
        <v>HTH</v>
      </c>
      <c r="E532" s="42"/>
      <c r="F532" s="42"/>
      <c r="G532" s="42"/>
      <c r="H532" s="42" t="str">
        <f>IFERROR(__xludf.DUMMYFUNCTION("""COMPUTED_VALUE"""),"")</f>
        <v/>
      </c>
      <c r="I532" s="42" t="str">
        <f>IFERROR(__xludf.DUMMYFUNCTION("""COMPUTED_VALUE"""),"Pitkänen, 2000")</f>
        <v>Pitkänen, 2000</v>
      </c>
      <c r="J532" s="42" t="str">
        <f>IFERROR(__xludf.DUMMYFUNCTION("""COMPUTED_VALUE"""),"Rat")</f>
        <v>Rat</v>
      </c>
      <c r="K532" s="42" t="str">
        <f>IFERROR(__xludf.DUMMYFUNCTION("""COMPUTED_VALUE"""),"Various tracing")</f>
        <v>Various tracing</v>
      </c>
      <c r="L532" s="42"/>
      <c r="M532" s="42" t="str">
        <f>IFERROR(__xludf.DUMMYFUNCTION("""COMPUTED_VALUE"""),"fig.3-fig.12 (to be specified)")</f>
        <v>fig.3-fig.12 (to be specified)</v>
      </c>
      <c r="N532" s="42"/>
      <c r="O532" s="31" t="str">
        <f>IFERROR(__xludf.DUMMYFUNCTION("""COMPUTED_VALUE"""),"DOC(alt)")</f>
        <v>DOC(alt)</v>
      </c>
      <c r="P532" s="9" t="str">
        <f>IFERROR(__xludf.DUMMYFUNCTION("""COMPUTED_VALUE"""),"Folia morphologica")</f>
        <v>Folia morphologica</v>
      </c>
      <c r="Q532" s="9" t="str">
        <f>IFERROR(__xludf.DUMMYFUNCTION("""COMPUTED_VALUE"""),"Review")</f>
        <v>Review</v>
      </c>
      <c r="R532" s="179" t="str">
        <f>IFERROR(__xludf.DUMMYFUNCTION("""COMPUTED_VALUE"""),"HTH (00/00) [Pitkänen, 2000];
")</f>
        <v>HTH (00/00) [Pitkänen, 2000];
</v>
      </c>
      <c r="S532" s="179" t="str">
        <f>IFERROR(__xludf.DUMMYFUNCTION("""COMPUTED_VALUE"""),"MeHTH")</f>
        <v>MeHTH</v>
      </c>
      <c r="T532" s="179" t="str">
        <f>IFERROR(__xludf.DUMMYFUNCTION("""COMPUTED_VALUE"""),"[Pitkänen, 2000]")</f>
        <v>[Pitkänen, 2000]</v>
      </c>
      <c r="U532" s="179">
        <f>IFERROR(__xludf.DUMMYFUNCTION("""COMPUTED_VALUE"""),0.0)</f>
        <v>0</v>
      </c>
      <c r="V532" s="180">
        <f>IFERROR(__xludf.DUMMYFUNCTION("""COMPUTED_VALUE"""),0.0)</f>
        <v>0</v>
      </c>
      <c r="W532" s="180">
        <f>IFERROR(__xludf.DUMMYFUNCTION("""COMPUTED_VALUE"""),0.95)</f>
        <v>0.95</v>
      </c>
      <c r="X532" s="42">
        <f>IFERROR(__xludf.DUMMYFUNCTION("""COMPUTED_VALUE"""),0.8)</f>
        <v>0.8</v>
      </c>
      <c r="Y532" s="42">
        <f>IFERROR(__xludf.DUMMYFUNCTION("""COMPUTED_VALUE"""),0.6)</f>
        <v>0.6</v>
      </c>
      <c r="Z532" s="9">
        <f>IFERROR(__xludf.DUMMYFUNCTION("""COMPUTED_VALUE"""),0.9)</f>
        <v>0.9</v>
      </c>
      <c r="AA532" s="181">
        <f>IFERROR(__xludf.DUMMYFUNCTION("""COMPUTED_VALUE"""),0.0)</f>
        <v>0</v>
      </c>
      <c r="AB532" s="181">
        <f>IFERROR(__xludf.DUMMYFUNCTION("""COMPUTED_VALUE"""),0.0)</f>
        <v>0</v>
      </c>
      <c r="AC532" s="179">
        <f>IFERROR(__xludf.DUMMYFUNCTION("""COMPUTED_VALUE"""),0.0)</f>
        <v>0</v>
      </c>
      <c r="AD532" s="165">
        <f>IFERROR(__xludf.DUMMYFUNCTION("""COMPUTED_VALUE"""),0.0)</f>
        <v>0</v>
      </c>
      <c r="AE532" s="39" t="str">
        <f>IFERROR(__xludf.DUMMYFUNCTION("""COMPUTED_VALUE"""),"Tatsuya Miyamoto")</f>
        <v>Tatsuya Miyamoto</v>
      </c>
      <c r="AF532" s="39" t="str">
        <f>IFERROR(__xludf.DUMMYFUNCTION("""COMPUTED_VALUE"""),"TM21Amygdala")</f>
        <v>TM21Amygdala</v>
      </c>
      <c r="AG532" s="39"/>
      <c r="AH532" s="39"/>
      <c r="AI532" s="165"/>
      <c r="AJ532" s="165"/>
      <c r="AK532" s="111"/>
      <c r="AL532" s="111"/>
      <c r="AM532" s="111"/>
      <c r="AN532" s="111"/>
      <c r="AO532" s="111"/>
      <c r="AP532" s="111"/>
      <c r="AQ532" s="116"/>
      <c r="AR532" s="116"/>
      <c r="AS532" s="116"/>
    </row>
    <row r="533">
      <c r="A533" s="42" t="str">
        <f>IFERROR(__xludf.DUMMYFUNCTION("""COMPUTED_VALUE"""),"Me")</f>
        <v>Me</v>
      </c>
      <c r="B533" s="42"/>
      <c r="C533" s="42"/>
      <c r="D533" s="42" t="str">
        <f>IFERROR(__xludf.DUMMYFUNCTION("""COMPUTED_VALUE"""),"IL")</f>
        <v>IL</v>
      </c>
      <c r="E533" s="42"/>
      <c r="F533" s="42"/>
      <c r="G533" s="42"/>
      <c r="H533" s="42" t="str">
        <f>IFERROR(__xludf.DUMMYFUNCTION("""COMPUTED_VALUE"""),"")</f>
        <v/>
      </c>
      <c r="I533" s="42" t="str">
        <f>IFERROR(__xludf.DUMMYFUNCTION("""COMPUTED_VALUE"""),"Pitkänen, 2000")</f>
        <v>Pitkänen, 2000</v>
      </c>
      <c r="J533" s="42" t="str">
        <f>IFERROR(__xludf.DUMMYFUNCTION("""COMPUTED_VALUE"""),"Rat")</f>
        <v>Rat</v>
      </c>
      <c r="K533" s="42" t="str">
        <f>IFERROR(__xludf.DUMMYFUNCTION("""COMPUTED_VALUE"""),"Various tracing")</f>
        <v>Various tracing</v>
      </c>
      <c r="L533" s="42"/>
      <c r="M533" s="42" t="str">
        <f>IFERROR(__xludf.DUMMYFUNCTION("""COMPUTED_VALUE"""),"fig.3-fig.12 (to be specified)")</f>
        <v>fig.3-fig.12 (to be specified)</v>
      </c>
      <c r="N533" s="42"/>
      <c r="O533" s="31" t="str">
        <f>IFERROR(__xludf.DUMMYFUNCTION("""COMPUTED_VALUE"""),"DOC(alt)")</f>
        <v>DOC(alt)</v>
      </c>
      <c r="P533" s="9" t="str">
        <f>IFERROR(__xludf.DUMMYFUNCTION("""COMPUTED_VALUE"""),"Folia morphologica")</f>
        <v>Folia morphologica</v>
      </c>
      <c r="Q533" s="9" t="str">
        <f>IFERROR(__xludf.DUMMYFUNCTION("""COMPUTED_VALUE"""),"Review")</f>
        <v>Review</v>
      </c>
      <c r="R533" s="179" t="str">
        <f>IFERROR(__xludf.DUMMYFUNCTION("""COMPUTED_VALUE"""),"IL (00/00) [Pitkänen, 2000];
")</f>
        <v>IL (00/00) [Pitkänen, 2000];
</v>
      </c>
      <c r="S533" s="179" t="str">
        <f>IFERROR(__xludf.DUMMYFUNCTION("""COMPUTED_VALUE"""),"MeIL")</f>
        <v>MeIL</v>
      </c>
      <c r="T533" s="179" t="str">
        <f>IFERROR(__xludf.DUMMYFUNCTION("""COMPUTED_VALUE"""),"[Pitkänen, 2000]")</f>
        <v>[Pitkänen, 2000]</v>
      </c>
      <c r="U533" s="179">
        <f>IFERROR(__xludf.DUMMYFUNCTION("""COMPUTED_VALUE"""),0.0)</f>
        <v>0</v>
      </c>
      <c r="V533" s="180">
        <f>IFERROR(__xludf.DUMMYFUNCTION("""COMPUTED_VALUE"""),0.0)</f>
        <v>0</v>
      </c>
      <c r="W533" s="180">
        <f>IFERROR(__xludf.DUMMYFUNCTION("""COMPUTED_VALUE"""),0.95)</f>
        <v>0.95</v>
      </c>
      <c r="X533" s="42">
        <f>IFERROR(__xludf.DUMMYFUNCTION("""COMPUTED_VALUE"""),0.8)</f>
        <v>0.8</v>
      </c>
      <c r="Y533" s="42">
        <f>IFERROR(__xludf.DUMMYFUNCTION("""COMPUTED_VALUE"""),0.6)</f>
        <v>0.6</v>
      </c>
      <c r="Z533" s="9">
        <f>IFERROR(__xludf.DUMMYFUNCTION("""COMPUTED_VALUE"""),0.9)</f>
        <v>0.9</v>
      </c>
      <c r="AA533" s="181">
        <f>IFERROR(__xludf.DUMMYFUNCTION("""COMPUTED_VALUE"""),0.0)</f>
        <v>0</v>
      </c>
      <c r="AB533" s="181">
        <f>IFERROR(__xludf.DUMMYFUNCTION("""COMPUTED_VALUE"""),0.0)</f>
        <v>0</v>
      </c>
      <c r="AC533" s="179">
        <f>IFERROR(__xludf.DUMMYFUNCTION("""COMPUTED_VALUE"""),0.0)</f>
        <v>0</v>
      </c>
      <c r="AD533" s="165">
        <f>IFERROR(__xludf.DUMMYFUNCTION("""COMPUTED_VALUE"""),0.0)</f>
        <v>0</v>
      </c>
      <c r="AE533" s="39" t="str">
        <f>IFERROR(__xludf.DUMMYFUNCTION("""COMPUTED_VALUE"""),"Tatsuya Miyamoto")</f>
        <v>Tatsuya Miyamoto</v>
      </c>
      <c r="AF533" s="39" t="str">
        <f>IFERROR(__xludf.DUMMYFUNCTION("""COMPUTED_VALUE"""),"TM21Amygdala")</f>
        <v>TM21Amygdala</v>
      </c>
      <c r="AG533" s="39"/>
      <c r="AH533" s="39"/>
      <c r="AI533" s="165"/>
      <c r="AJ533" s="165"/>
      <c r="AK533" s="111"/>
      <c r="AL533" s="111"/>
      <c r="AM533" s="111"/>
      <c r="AN533" s="111"/>
      <c r="AO533" s="111"/>
      <c r="AP533" s="111"/>
      <c r="AQ533" s="116"/>
      <c r="AR533" s="116"/>
      <c r="AS533" s="116"/>
    </row>
    <row r="534">
      <c r="A534" s="42" t="str">
        <f>IFERROR(__xludf.DUMMYFUNCTION("""COMPUTED_VALUE"""),"Me")</f>
        <v>Me</v>
      </c>
      <c r="B534" s="42"/>
      <c r="C534" s="42"/>
      <c r="D534" s="42" t="str">
        <f>IFERROR(__xludf.DUMMYFUNCTION("""COMPUTED_VALUE"""),"PMN")</f>
        <v>PMN</v>
      </c>
      <c r="E534" s="42"/>
      <c r="F534" s="42"/>
      <c r="G534" s="42"/>
      <c r="H534" s="42" t="str">
        <f>IFERROR(__xludf.DUMMYFUNCTION("""COMPUTED_VALUE"""),"")</f>
        <v/>
      </c>
      <c r="I534" s="42" t="str">
        <f>IFERROR(__xludf.DUMMYFUNCTION("""COMPUTED_VALUE"""),"Pitkänen, 2000")</f>
        <v>Pitkänen, 2000</v>
      </c>
      <c r="J534" s="42" t="str">
        <f>IFERROR(__xludf.DUMMYFUNCTION("""COMPUTED_VALUE"""),"Rat")</f>
        <v>Rat</v>
      </c>
      <c r="K534" s="42" t="str">
        <f>IFERROR(__xludf.DUMMYFUNCTION("""COMPUTED_VALUE"""),"Various tracing")</f>
        <v>Various tracing</v>
      </c>
      <c r="L534" s="42"/>
      <c r="M534" s="42" t="str">
        <f>IFERROR(__xludf.DUMMYFUNCTION("""COMPUTED_VALUE"""),"fig.3-fig.12 (to be specified)")</f>
        <v>fig.3-fig.12 (to be specified)</v>
      </c>
      <c r="N534" s="42"/>
      <c r="O534" s="31" t="str">
        <f>IFERROR(__xludf.DUMMYFUNCTION("""COMPUTED_VALUE"""),"DOC(alt)")</f>
        <v>DOC(alt)</v>
      </c>
      <c r="P534" s="9" t="str">
        <f>IFERROR(__xludf.DUMMYFUNCTION("""COMPUTED_VALUE"""),"Folia morphologica")</f>
        <v>Folia morphologica</v>
      </c>
      <c r="Q534" s="9" t="str">
        <f>IFERROR(__xludf.DUMMYFUNCTION("""COMPUTED_VALUE"""),"Review")</f>
        <v>Review</v>
      </c>
      <c r="R534" s="179" t="str">
        <f>IFERROR(__xludf.DUMMYFUNCTION("""COMPUTED_VALUE"""),"PMN (00/00) [Pitkänen, 2000];
")</f>
        <v>PMN (00/00) [Pitkänen, 2000];
</v>
      </c>
      <c r="S534" s="179" t="str">
        <f>IFERROR(__xludf.DUMMYFUNCTION("""COMPUTED_VALUE"""),"MePMN")</f>
        <v>MePMN</v>
      </c>
      <c r="T534" s="179" t="str">
        <f>IFERROR(__xludf.DUMMYFUNCTION("""COMPUTED_VALUE"""),"[Pitkänen, 2000]")</f>
        <v>[Pitkänen, 2000]</v>
      </c>
      <c r="U534" s="179">
        <f>IFERROR(__xludf.DUMMYFUNCTION("""COMPUTED_VALUE"""),0.0)</f>
        <v>0</v>
      </c>
      <c r="V534" s="180">
        <f>IFERROR(__xludf.DUMMYFUNCTION("""COMPUTED_VALUE"""),0.0)</f>
        <v>0</v>
      </c>
      <c r="W534" s="180">
        <f>IFERROR(__xludf.DUMMYFUNCTION("""COMPUTED_VALUE"""),0.95)</f>
        <v>0.95</v>
      </c>
      <c r="X534" s="42">
        <f>IFERROR(__xludf.DUMMYFUNCTION("""COMPUTED_VALUE"""),0.8)</f>
        <v>0.8</v>
      </c>
      <c r="Y534" s="42">
        <f>IFERROR(__xludf.DUMMYFUNCTION("""COMPUTED_VALUE"""),0.6)</f>
        <v>0.6</v>
      </c>
      <c r="Z534" s="9">
        <f>IFERROR(__xludf.DUMMYFUNCTION("""COMPUTED_VALUE"""),0.9)</f>
        <v>0.9</v>
      </c>
      <c r="AA534" s="181">
        <f>IFERROR(__xludf.DUMMYFUNCTION("""COMPUTED_VALUE"""),0.0)</f>
        <v>0</v>
      </c>
      <c r="AB534" s="181">
        <f>IFERROR(__xludf.DUMMYFUNCTION("""COMPUTED_VALUE"""),0.0)</f>
        <v>0</v>
      </c>
      <c r="AC534" s="179">
        <f>IFERROR(__xludf.DUMMYFUNCTION("""COMPUTED_VALUE"""),0.0)</f>
        <v>0</v>
      </c>
      <c r="AD534" s="165">
        <f>IFERROR(__xludf.DUMMYFUNCTION("""COMPUTED_VALUE"""),0.0)</f>
        <v>0</v>
      </c>
      <c r="AE534" s="39" t="str">
        <f>IFERROR(__xludf.DUMMYFUNCTION("""COMPUTED_VALUE"""),"Tatsuya Miyamoto")</f>
        <v>Tatsuya Miyamoto</v>
      </c>
      <c r="AF534" s="39" t="str">
        <f>IFERROR(__xludf.DUMMYFUNCTION("""COMPUTED_VALUE"""),"TM21Amygdala")</f>
        <v>TM21Amygdala</v>
      </c>
      <c r="AG534" s="39"/>
      <c r="AH534" s="39"/>
      <c r="AI534" s="165"/>
      <c r="AJ534" s="165"/>
      <c r="AK534" s="111"/>
      <c r="AL534" s="111"/>
      <c r="AM534" s="111"/>
      <c r="AN534" s="111"/>
      <c r="AO534" s="111"/>
      <c r="AP534" s="111"/>
      <c r="AQ534" s="116"/>
      <c r="AR534" s="116"/>
      <c r="AS534" s="116"/>
    </row>
    <row r="535">
      <c r="A535" s="42" t="str">
        <f>IFERROR(__xludf.DUMMYFUNCTION("""COMPUTED_VALUE"""),"Me")</f>
        <v>Me</v>
      </c>
      <c r="B535" s="42"/>
      <c r="C535" s="42"/>
      <c r="D535" s="42" t="str">
        <f>IFERROR(__xludf.DUMMYFUNCTION("""COMPUTED_VALUE"""),"S")</f>
        <v>S</v>
      </c>
      <c r="E535" s="42"/>
      <c r="F535" s="42"/>
      <c r="G535" s="42"/>
      <c r="H535" s="42" t="str">
        <f>IFERROR(__xludf.DUMMYFUNCTION("""COMPUTED_VALUE"""),"")</f>
        <v/>
      </c>
      <c r="I535" s="42" t="str">
        <f>IFERROR(__xludf.DUMMYFUNCTION("""COMPUTED_VALUE"""),"Pitkänen, 2000")</f>
        <v>Pitkänen, 2000</v>
      </c>
      <c r="J535" s="42" t="str">
        <f>IFERROR(__xludf.DUMMYFUNCTION("""COMPUTED_VALUE"""),"Rat")</f>
        <v>Rat</v>
      </c>
      <c r="K535" s="42" t="str">
        <f>IFERROR(__xludf.DUMMYFUNCTION("""COMPUTED_VALUE"""),"Various tracing")</f>
        <v>Various tracing</v>
      </c>
      <c r="L535" s="42"/>
      <c r="M535" s="42" t="str">
        <f>IFERROR(__xludf.DUMMYFUNCTION("""COMPUTED_VALUE"""),"fig.3-fig.12 (to be specified)")</f>
        <v>fig.3-fig.12 (to be specified)</v>
      </c>
      <c r="N535" s="42"/>
      <c r="O535" s="31" t="str">
        <f>IFERROR(__xludf.DUMMYFUNCTION("""COMPUTED_VALUE"""),"DOC(alt)")</f>
        <v>DOC(alt)</v>
      </c>
      <c r="P535" s="9" t="str">
        <f>IFERROR(__xludf.DUMMYFUNCTION("""COMPUTED_VALUE"""),"Folia morphologica")</f>
        <v>Folia morphologica</v>
      </c>
      <c r="Q535" s="9" t="str">
        <f>IFERROR(__xludf.DUMMYFUNCTION("""COMPUTED_VALUE"""),"Review")</f>
        <v>Review</v>
      </c>
      <c r="R535" s="179" t="str">
        <f>IFERROR(__xludf.DUMMYFUNCTION("""COMPUTED_VALUE"""),"S (00/00) [Pitkänen, 2000];
")</f>
        <v>S (00/00) [Pitkänen, 2000];
</v>
      </c>
      <c r="S535" s="179" t="str">
        <f>IFERROR(__xludf.DUMMYFUNCTION("""COMPUTED_VALUE"""),"MeS")</f>
        <v>MeS</v>
      </c>
      <c r="T535" s="179" t="str">
        <f>IFERROR(__xludf.DUMMYFUNCTION("""COMPUTED_VALUE"""),"[Pitkänen, 2000]")</f>
        <v>[Pitkänen, 2000]</v>
      </c>
      <c r="U535" s="179">
        <f>IFERROR(__xludf.DUMMYFUNCTION("""COMPUTED_VALUE"""),0.0)</f>
        <v>0</v>
      </c>
      <c r="V535" s="180">
        <f>IFERROR(__xludf.DUMMYFUNCTION("""COMPUTED_VALUE"""),0.0)</f>
        <v>0</v>
      </c>
      <c r="W535" s="180">
        <f>IFERROR(__xludf.DUMMYFUNCTION("""COMPUTED_VALUE"""),0.95)</f>
        <v>0.95</v>
      </c>
      <c r="X535" s="42">
        <f>IFERROR(__xludf.DUMMYFUNCTION("""COMPUTED_VALUE"""),0.8)</f>
        <v>0.8</v>
      </c>
      <c r="Y535" s="42">
        <f>IFERROR(__xludf.DUMMYFUNCTION("""COMPUTED_VALUE"""),0.6)</f>
        <v>0.6</v>
      </c>
      <c r="Z535" s="9">
        <f>IFERROR(__xludf.DUMMYFUNCTION("""COMPUTED_VALUE"""),0.9)</f>
        <v>0.9</v>
      </c>
      <c r="AA535" s="181">
        <f>IFERROR(__xludf.DUMMYFUNCTION("""COMPUTED_VALUE"""),0.0)</f>
        <v>0</v>
      </c>
      <c r="AB535" s="181">
        <f>IFERROR(__xludf.DUMMYFUNCTION("""COMPUTED_VALUE"""),0.0)</f>
        <v>0</v>
      </c>
      <c r="AC535" s="179">
        <f>IFERROR(__xludf.DUMMYFUNCTION("""COMPUTED_VALUE"""),0.0)</f>
        <v>0</v>
      </c>
      <c r="AD535" s="165">
        <f>IFERROR(__xludf.DUMMYFUNCTION("""COMPUTED_VALUE"""),0.0)</f>
        <v>0</v>
      </c>
      <c r="AE535" s="39" t="str">
        <f>IFERROR(__xludf.DUMMYFUNCTION("""COMPUTED_VALUE"""),"Tatsuya Miyamoto")</f>
        <v>Tatsuya Miyamoto</v>
      </c>
      <c r="AF535" s="39" t="str">
        <f>IFERROR(__xludf.DUMMYFUNCTION("""COMPUTED_VALUE"""),"TM21Amygdala")</f>
        <v>TM21Amygdala</v>
      </c>
      <c r="AG535" s="39"/>
      <c r="AH535" s="39"/>
      <c r="AI535" s="165"/>
      <c r="AJ535" s="165"/>
      <c r="AK535" s="111"/>
      <c r="AL535" s="111"/>
      <c r="AM535" s="111"/>
      <c r="AN535" s="111"/>
      <c r="AO535" s="111"/>
      <c r="AP535" s="111"/>
      <c r="AQ535" s="116"/>
      <c r="AR535" s="116"/>
      <c r="AS535" s="116"/>
    </row>
    <row r="536">
      <c r="A536" s="42" t="str">
        <f>IFERROR(__xludf.DUMMYFUNCTION("""COMPUTED_VALUE"""),"Me")</f>
        <v>Me</v>
      </c>
      <c r="B536" s="42"/>
      <c r="C536" s="42"/>
      <c r="D536" s="42" t="str">
        <f>IFERROR(__xludf.DUMMYFUNCTION("""COMPUTED_VALUE"""),"VMH")</f>
        <v>VMH</v>
      </c>
      <c r="E536" s="42"/>
      <c r="F536" s="42"/>
      <c r="G536" s="42"/>
      <c r="H536" s="42" t="str">
        <f>IFERROR(__xludf.DUMMYFUNCTION("""COMPUTED_VALUE"""),"")</f>
        <v/>
      </c>
      <c r="I536" s="42" t="str">
        <f>IFERROR(__xludf.DUMMYFUNCTION("""COMPUTED_VALUE"""),"Pitkänen, 2000")</f>
        <v>Pitkänen, 2000</v>
      </c>
      <c r="J536" s="42" t="str">
        <f>IFERROR(__xludf.DUMMYFUNCTION("""COMPUTED_VALUE"""),"Rat")</f>
        <v>Rat</v>
      </c>
      <c r="K536" s="42" t="str">
        <f>IFERROR(__xludf.DUMMYFUNCTION("""COMPUTED_VALUE"""),"Various tracing")</f>
        <v>Various tracing</v>
      </c>
      <c r="L536" s="42"/>
      <c r="M536" s="42" t="str">
        <f>IFERROR(__xludf.DUMMYFUNCTION("""COMPUTED_VALUE"""),"fig.3-fig.12 (to be specified)")</f>
        <v>fig.3-fig.12 (to be specified)</v>
      </c>
      <c r="N536" s="42"/>
      <c r="O536" s="31" t="str">
        <f>IFERROR(__xludf.DUMMYFUNCTION("""COMPUTED_VALUE"""),"DOC(alt)")</f>
        <v>DOC(alt)</v>
      </c>
      <c r="P536" s="9" t="str">
        <f>IFERROR(__xludf.DUMMYFUNCTION("""COMPUTED_VALUE"""),"Folia morphologica")</f>
        <v>Folia morphologica</v>
      </c>
      <c r="Q536" s="9" t="str">
        <f>IFERROR(__xludf.DUMMYFUNCTION("""COMPUTED_VALUE"""),"Review")</f>
        <v>Review</v>
      </c>
      <c r="R536" s="179" t="str">
        <f>IFERROR(__xludf.DUMMYFUNCTION("""COMPUTED_VALUE"""),"VMH (00/00) [Pitkänen, 2000];
")</f>
        <v>VMH (00/00) [Pitkänen, 2000];
</v>
      </c>
      <c r="S536" s="179" t="str">
        <f>IFERROR(__xludf.DUMMYFUNCTION("""COMPUTED_VALUE"""),"MeVMH")</f>
        <v>MeVMH</v>
      </c>
      <c r="T536" s="179" t="str">
        <f>IFERROR(__xludf.DUMMYFUNCTION("""COMPUTED_VALUE"""),"[Pitkänen, 2000]")</f>
        <v>[Pitkänen, 2000]</v>
      </c>
      <c r="U536" s="179">
        <f>IFERROR(__xludf.DUMMYFUNCTION("""COMPUTED_VALUE"""),0.0)</f>
        <v>0</v>
      </c>
      <c r="V536" s="180">
        <f>IFERROR(__xludf.DUMMYFUNCTION("""COMPUTED_VALUE"""),0.0)</f>
        <v>0</v>
      </c>
      <c r="W536" s="180">
        <f>IFERROR(__xludf.DUMMYFUNCTION("""COMPUTED_VALUE"""),0.95)</f>
        <v>0.95</v>
      </c>
      <c r="X536" s="42">
        <f>IFERROR(__xludf.DUMMYFUNCTION("""COMPUTED_VALUE"""),0.8)</f>
        <v>0.8</v>
      </c>
      <c r="Y536" s="42">
        <f>IFERROR(__xludf.DUMMYFUNCTION("""COMPUTED_VALUE"""),0.6)</f>
        <v>0.6</v>
      </c>
      <c r="Z536" s="9">
        <f>IFERROR(__xludf.DUMMYFUNCTION("""COMPUTED_VALUE"""),0.9)</f>
        <v>0.9</v>
      </c>
      <c r="AA536" s="181">
        <f>IFERROR(__xludf.DUMMYFUNCTION("""COMPUTED_VALUE"""),0.0)</f>
        <v>0</v>
      </c>
      <c r="AB536" s="181">
        <f>IFERROR(__xludf.DUMMYFUNCTION("""COMPUTED_VALUE"""),0.0)</f>
        <v>0</v>
      </c>
      <c r="AC536" s="179">
        <f>IFERROR(__xludf.DUMMYFUNCTION("""COMPUTED_VALUE"""),0.0)</f>
        <v>0</v>
      </c>
      <c r="AD536" s="165">
        <f>IFERROR(__xludf.DUMMYFUNCTION("""COMPUTED_VALUE"""),0.0)</f>
        <v>0</v>
      </c>
      <c r="AE536" s="39" t="str">
        <f>IFERROR(__xludf.DUMMYFUNCTION("""COMPUTED_VALUE"""),"Tatsuya Miyamoto")</f>
        <v>Tatsuya Miyamoto</v>
      </c>
      <c r="AF536" s="39" t="str">
        <f>IFERROR(__xludf.DUMMYFUNCTION("""COMPUTED_VALUE"""),"TM21Amygdala")</f>
        <v>TM21Amygdala</v>
      </c>
      <c r="AG536" s="39"/>
      <c r="AH536" s="39"/>
      <c r="AI536" s="165"/>
      <c r="AJ536" s="165"/>
      <c r="AK536" s="111"/>
      <c r="AL536" s="111"/>
      <c r="AM536" s="111"/>
      <c r="AN536" s="111"/>
      <c r="AO536" s="111"/>
      <c r="AP536" s="111"/>
      <c r="AQ536" s="116"/>
      <c r="AR536" s="116"/>
      <c r="AS536" s="116"/>
    </row>
    <row r="537">
      <c r="A537" s="42" t="str">
        <f>IFERROR(__xludf.DUMMYFUNCTION("""COMPUTED_VALUE"""),"Me5-p")</f>
        <v>Me5-p</v>
      </c>
      <c r="B537" s="42"/>
      <c r="C537" s="42"/>
      <c r="D537" s="42" t="str">
        <f>IFERROR(__xludf.DUMMYFUNCTION("""COMPUTED_VALUE"""),"CEN")</f>
        <v>CEN</v>
      </c>
      <c r="E537" s="42"/>
      <c r="F537" s="42"/>
      <c r="G537" s="42"/>
      <c r="H537" s="42" t="str">
        <f>IFERROR(__xludf.DUMMYFUNCTION("""COMPUTED_VALUE"""),"")</f>
        <v/>
      </c>
      <c r="I537" s="42" t="str">
        <f>IFERROR(__xludf.DUMMYFUNCTION("""COMPUTED_VALUE"""),"Pitkänen, 2000")</f>
        <v>Pitkänen, 2000</v>
      </c>
      <c r="J537" s="42" t="str">
        <f>IFERROR(__xludf.DUMMYFUNCTION("""COMPUTED_VALUE"""),"Rat")</f>
        <v>Rat</v>
      </c>
      <c r="K537" s="42" t="str">
        <f>IFERROR(__xludf.DUMMYFUNCTION("""COMPUTED_VALUE"""),"Various tracing")</f>
        <v>Various tracing</v>
      </c>
      <c r="L537" s="42"/>
      <c r="M537" s="42" t="str">
        <f>IFERROR(__xludf.DUMMYFUNCTION("""COMPUTED_VALUE"""),"fig.3-fig.12 (to be specified)")</f>
        <v>fig.3-fig.12 (to be specified)</v>
      </c>
      <c r="N537" s="42"/>
      <c r="O537" s="31" t="str">
        <f>IFERROR(__xludf.DUMMYFUNCTION("""COMPUTED_VALUE"""),"DOC(alt)")</f>
        <v>DOC(alt)</v>
      </c>
      <c r="P537" s="9" t="str">
        <f>IFERROR(__xludf.DUMMYFUNCTION("""COMPUTED_VALUE"""),"Folia morphologica")</f>
        <v>Folia morphologica</v>
      </c>
      <c r="Q537" s="9" t="str">
        <f>IFERROR(__xludf.DUMMYFUNCTION("""COMPUTED_VALUE"""),"Review")</f>
        <v>Review</v>
      </c>
      <c r="R537" s="179" t="str">
        <f>IFERROR(__xludf.DUMMYFUNCTION("""COMPUTED_VALUE"""),"CEN (00/00) [Pitkänen, 2000];
")</f>
        <v>CEN (00/00) [Pitkänen, 2000];
</v>
      </c>
      <c r="S537" s="179" t="str">
        <f>IFERROR(__xludf.DUMMYFUNCTION("""COMPUTED_VALUE"""),"Me5-pCEN")</f>
        <v>Me5-pCEN</v>
      </c>
      <c r="T537" s="179" t="str">
        <f>IFERROR(__xludf.DUMMYFUNCTION("""COMPUTED_VALUE"""),"[Pitkänen, 2000]")</f>
        <v>[Pitkänen, 2000]</v>
      </c>
      <c r="U537" s="179">
        <f>IFERROR(__xludf.DUMMYFUNCTION("""COMPUTED_VALUE"""),0.0)</f>
        <v>0</v>
      </c>
      <c r="V537" s="180">
        <f>IFERROR(__xludf.DUMMYFUNCTION("""COMPUTED_VALUE"""),0.0)</f>
        <v>0</v>
      </c>
      <c r="W537" s="180">
        <f>IFERROR(__xludf.DUMMYFUNCTION("""COMPUTED_VALUE"""),0.95)</f>
        <v>0.95</v>
      </c>
      <c r="X537" s="42">
        <f>IFERROR(__xludf.DUMMYFUNCTION("""COMPUTED_VALUE"""),0.8)</f>
        <v>0.8</v>
      </c>
      <c r="Y537" s="42">
        <f>IFERROR(__xludf.DUMMYFUNCTION("""COMPUTED_VALUE"""),0.6)</f>
        <v>0.6</v>
      </c>
      <c r="Z537" s="9">
        <f>IFERROR(__xludf.DUMMYFUNCTION("""COMPUTED_VALUE"""),0.9)</f>
        <v>0.9</v>
      </c>
      <c r="AA537" s="181">
        <f>IFERROR(__xludf.DUMMYFUNCTION("""COMPUTED_VALUE"""),0.0)</f>
        <v>0</v>
      </c>
      <c r="AB537" s="181">
        <f>IFERROR(__xludf.DUMMYFUNCTION("""COMPUTED_VALUE"""),0.0)</f>
        <v>0</v>
      </c>
      <c r="AC537" s="179">
        <f>IFERROR(__xludf.DUMMYFUNCTION("""COMPUTED_VALUE"""),0.0)</f>
        <v>0</v>
      </c>
      <c r="AD537" s="165">
        <f>IFERROR(__xludf.DUMMYFUNCTION("""COMPUTED_VALUE"""),0.0)</f>
        <v>0</v>
      </c>
      <c r="AE537" s="39" t="str">
        <f>IFERROR(__xludf.DUMMYFUNCTION("""COMPUTED_VALUE"""),"Tatsuya Miyamoto")</f>
        <v>Tatsuya Miyamoto</v>
      </c>
      <c r="AF537" s="39" t="str">
        <f>IFERROR(__xludf.DUMMYFUNCTION("""COMPUTED_VALUE"""),"TM21Amygdala")</f>
        <v>TM21Amygdala</v>
      </c>
      <c r="AG537" s="39"/>
      <c r="AH537" s="39"/>
      <c r="AI537" s="165"/>
      <c r="AJ537" s="165"/>
      <c r="AK537" s="111"/>
      <c r="AL537" s="111"/>
      <c r="AM537" s="111"/>
      <c r="AN537" s="111"/>
      <c r="AO537" s="111"/>
      <c r="AP537" s="111"/>
      <c r="AQ537" s="116"/>
      <c r="AR537" s="116"/>
      <c r="AS537" s="116"/>
    </row>
    <row r="538">
      <c r="A538" s="42" t="str">
        <f>IFERROR(__xludf.DUMMYFUNCTION("""COMPUTED_VALUE"""),"MEC_I")</f>
        <v>MEC_I</v>
      </c>
      <c r="B538" s="42"/>
      <c r="C538" s="42"/>
      <c r="D538" s="42" t="str">
        <f>IFERROR(__xludf.DUMMYFUNCTION("""COMPUTED_VALUE"""),"MEC_II")</f>
        <v>MEC_II</v>
      </c>
      <c r="E538" s="42"/>
      <c r="F538" s="42"/>
      <c r="G538" s="42"/>
      <c r="H538" s="42" t="str">
        <f>IFERROR(__xludf.DUMMYFUNCTION("""COMPUTED_VALUE"""),"")</f>
        <v/>
      </c>
      <c r="I538" s="42" t="str">
        <f>IFERROR(__xludf.DUMMYFUNCTION("""COMPUTED_VALUE"""),"Winterer, 2017")</f>
        <v>Winterer, 2017</v>
      </c>
      <c r="J538" s="42"/>
      <c r="K538" s="42"/>
      <c r="L538" s="42"/>
      <c r="M538" s="42"/>
      <c r="N538" s="42"/>
      <c r="O538" s="31" t="str">
        <f>IFERROR(__xludf.DUMMYFUNCTION("""COMPUTED_VALUE"""),"#Error: Reference ID")</f>
        <v>#Error: Reference ID</v>
      </c>
      <c r="P538" s="9" t="str">
        <f>IFERROR(__xludf.DUMMYFUNCTION("""COMPUTED_VALUE"""),"#Error: Reference ID")</f>
        <v>#Error: Reference ID</v>
      </c>
      <c r="Q538" s="9" t="str">
        <f>IFERROR(__xludf.DUMMYFUNCTION("""COMPUTED_VALUE"""),"#Error: Reference ID")</f>
        <v>#Error: Reference ID</v>
      </c>
      <c r="R538" s="179" t="str">
        <f>IFERROR(__xludf.DUMMYFUNCTION("""COMPUTED_VALUE"""),"MEC_II (00/00) [Winterer, 2017][Witter, 2017];
")</f>
        <v>MEC_II (00/00) [Winterer, 2017][Witter, 2017];
</v>
      </c>
      <c r="S538" s="179" t="str">
        <f>IFERROR(__xludf.DUMMYFUNCTION("""COMPUTED_VALUE"""),"MEC_IMEC_II")</f>
        <v>MEC_IMEC_II</v>
      </c>
      <c r="T538" s="179" t="str">
        <f>IFERROR(__xludf.DUMMYFUNCTION("""COMPUTED_VALUE"""),"[Winterer, 2017]")</f>
        <v>[Winterer, 2017]</v>
      </c>
      <c r="U538" s="179">
        <f>IFERROR(__xludf.DUMMYFUNCTION("""COMPUTED_VALUE"""),0.0)</f>
        <v>0</v>
      </c>
      <c r="V538" s="180">
        <f>IFERROR(__xludf.DUMMYFUNCTION("""COMPUTED_VALUE"""),0.0)</f>
        <v>0</v>
      </c>
      <c r="W538" s="180">
        <f>IFERROR(__xludf.DUMMYFUNCTION("""COMPUTED_VALUE"""),0.0)</f>
        <v>0</v>
      </c>
      <c r="X538" s="42">
        <f>IFERROR(__xludf.DUMMYFUNCTION("""COMPUTED_VALUE"""),0.0)</f>
        <v>0</v>
      </c>
      <c r="Y538" s="42">
        <f>IFERROR(__xludf.DUMMYFUNCTION("""COMPUTED_VALUE"""),0.0)</f>
        <v>0</v>
      </c>
      <c r="Z538" s="9">
        <f>IFERROR(__xludf.DUMMYFUNCTION("""COMPUTED_VALUE"""),0.0)</f>
        <v>0</v>
      </c>
      <c r="AA538" s="181">
        <f>IFERROR(__xludf.DUMMYFUNCTION("""COMPUTED_VALUE"""),0.0)</f>
        <v>0</v>
      </c>
      <c r="AB538" s="181">
        <f>IFERROR(__xludf.DUMMYFUNCTION("""COMPUTED_VALUE"""),0.0)</f>
        <v>0</v>
      </c>
      <c r="AC538" s="179">
        <f>IFERROR(__xludf.DUMMYFUNCTION("""COMPUTED_VALUE"""),0.0)</f>
        <v>0</v>
      </c>
      <c r="AD538" s="165">
        <f>IFERROR(__xludf.DUMMYFUNCTION("""COMPUTED_VALUE"""),0.0)</f>
        <v>0</v>
      </c>
      <c r="AE538" s="39" t="str">
        <f>IFERROR(__xludf.DUMMYFUNCTION("""COMPUTED_VALUE"""),"Ayako Fukawa")</f>
        <v>Ayako Fukawa</v>
      </c>
      <c r="AF538" s="39" t="str">
        <f>IFERROR(__xludf.DUMMYFUNCTION("""COMPUTED_VALUE"""),"AT20HippocampalFormation")</f>
        <v>AT20HippocampalFormation</v>
      </c>
      <c r="AG538" s="39"/>
      <c r="AH538" s="39"/>
      <c r="AI538" s="165"/>
      <c r="AJ538" s="165"/>
      <c r="AK538" s="111"/>
      <c r="AL538" s="111"/>
      <c r="AM538" s="111"/>
      <c r="AN538" s="111"/>
      <c r="AO538" s="111"/>
      <c r="AP538" s="111"/>
      <c r="AQ538" s="116"/>
      <c r="AR538" s="116"/>
      <c r="AS538" s="116"/>
    </row>
    <row r="539">
      <c r="A539" s="42" t="str">
        <f>IFERROR(__xludf.DUMMYFUNCTION("""COMPUTED_VALUE"""),"MEC_I")</f>
        <v>MEC_I</v>
      </c>
      <c r="B539" s="42"/>
      <c r="C539" s="42"/>
      <c r="D539" s="42" t="str">
        <f>IFERROR(__xludf.DUMMYFUNCTION("""COMPUTED_VALUE"""),"MEC_II")</f>
        <v>MEC_II</v>
      </c>
      <c r="E539" s="42"/>
      <c r="F539" s="42"/>
      <c r="G539" s="42"/>
      <c r="H539" s="42" t="str">
        <f>IFERROR(__xludf.DUMMYFUNCTION("""COMPUTED_VALUE"""),"")</f>
        <v/>
      </c>
      <c r="I539" s="42" t="str">
        <f>IFERROR(__xludf.DUMMYFUNCTION("""COMPUTED_VALUE"""),"Witter, 2017")</f>
        <v>Witter, 2017</v>
      </c>
      <c r="J539" s="42"/>
      <c r="K539" s="42"/>
      <c r="L539" s="42"/>
      <c r="M539" s="42"/>
      <c r="N539" s="42"/>
      <c r="O539" s="31" t="str">
        <f>IFERROR(__xludf.DUMMYFUNCTION("""COMPUTED_VALUE"""),"#Error: Reference ID")</f>
        <v>#Error: Reference ID</v>
      </c>
      <c r="P539" s="9" t="str">
        <f>IFERROR(__xludf.DUMMYFUNCTION("""COMPUTED_VALUE"""),"#Error: Reference ID")</f>
        <v>#Error: Reference ID</v>
      </c>
      <c r="Q539" s="9" t="str">
        <f>IFERROR(__xludf.DUMMYFUNCTION("""COMPUTED_VALUE"""),"#Error: Reference ID")</f>
        <v>#Error: Reference ID</v>
      </c>
      <c r="R539" s="179" t="str">
        <f>IFERROR(__xludf.DUMMYFUNCTION("""COMPUTED_VALUE"""),"MEC_II (00/00) [Winterer, 2017][Witter, 2017];
")</f>
        <v>MEC_II (00/00) [Winterer, 2017][Witter, 2017];
</v>
      </c>
      <c r="S539" s="179" t="str">
        <f>IFERROR(__xludf.DUMMYFUNCTION("""COMPUTED_VALUE"""),"MEC_IMEC_II")</f>
        <v>MEC_IMEC_II</v>
      </c>
      <c r="T539" s="179" t="str">
        <f>IFERROR(__xludf.DUMMYFUNCTION("""COMPUTED_VALUE"""),"[Witter, 2017]")</f>
        <v>[Witter, 2017]</v>
      </c>
      <c r="U539" s="179">
        <f>IFERROR(__xludf.DUMMYFUNCTION("""COMPUTED_VALUE"""),0.0)</f>
        <v>0</v>
      </c>
      <c r="V539" s="180">
        <f>IFERROR(__xludf.DUMMYFUNCTION("""COMPUTED_VALUE"""),0.0)</f>
        <v>0</v>
      </c>
      <c r="W539" s="180">
        <f>IFERROR(__xludf.DUMMYFUNCTION("""COMPUTED_VALUE"""),0.0)</f>
        <v>0</v>
      </c>
      <c r="X539" s="42">
        <f>IFERROR(__xludf.DUMMYFUNCTION("""COMPUTED_VALUE"""),0.0)</f>
        <v>0</v>
      </c>
      <c r="Y539" s="42">
        <f>IFERROR(__xludf.DUMMYFUNCTION("""COMPUTED_VALUE"""),0.0)</f>
        <v>0</v>
      </c>
      <c r="Z539" s="9">
        <f>IFERROR(__xludf.DUMMYFUNCTION("""COMPUTED_VALUE"""),0.0)</f>
        <v>0</v>
      </c>
      <c r="AA539" s="181">
        <f>IFERROR(__xludf.DUMMYFUNCTION("""COMPUTED_VALUE"""),0.0)</f>
        <v>0</v>
      </c>
      <c r="AB539" s="181">
        <f>IFERROR(__xludf.DUMMYFUNCTION("""COMPUTED_VALUE"""),0.0)</f>
        <v>0</v>
      </c>
      <c r="AC539" s="179">
        <f>IFERROR(__xludf.DUMMYFUNCTION("""COMPUTED_VALUE"""),0.0)</f>
        <v>0</v>
      </c>
      <c r="AD539" s="165">
        <f>IFERROR(__xludf.DUMMYFUNCTION("""COMPUTED_VALUE"""),0.0)</f>
        <v>0</v>
      </c>
      <c r="AE539" s="39" t="str">
        <f>IFERROR(__xludf.DUMMYFUNCTION("""COMPUTED_VALUE"""),"Ayako Fukawa")</f>
        <v>Ayako Fukawa</v>
      </c>
      <c r="AF539" s="39" t="str">
        <f>IFERROR(__xludf.DUMMYFUNCTION("""COMPUTED_VALUE"""),"AT20HippocampalFormation")</f>
        <v>AT20HippocampalFormation</v>
      </c>
      <c r="AG539" s="39"/>
      <c r="AH539" s="39"/>
      <c r="AI539" s="165"/>
      <c r="AJ539" s="165"/>
      <c r="AK539" s="111"/>
      <c r="AL539" s="111"/>
      <c r="AM539" s="111"/>
      <c r="AN539" s="111"/>
      <c r="AO539" s="111"/>
      <c r="AP539" s="111"/>
      <c r="AQ539" s="116"/>
      <c r="AR539" s="116"/>
      <c r="AS539" s="116"/>
    </row>
    <row r="540">
      <c r="A540" s="42" t="str">
        <f>IFERROR(__xludf.DUMMYFUNCTION("""COMPUTED_VALUE"""),"MEC_II")</f>
        <v>MEC_II</v>
      </c>
      <c r="B540" s="42" t="str">
        <f>IFERROR(__xludf.DUMMYFUNCTION("""COMPUTED_VALUE"""),"=")</f>
        <v>=</v>
      </c>
      <c r="C540" s="42"/>
      <c r="D540" s="42" t="str">
        <f>IFERROR(__xludf.DUMMYFUNCTION("""COMPUTED_VALUE"""),"DG")</f>
        <v>DG</v>
      </c>
      <c r="E540" s="42" t="str">
        <f>IFERROR(__xludf.DUMMYFUNCTION("""COMPUTED_VALUE"""),"=")</f>
        <v>=</v>
      </c>
      <c r="F540" s="42"/>
      <c r="G540" s="42"/>
      <c r="H540" s="42"/>
      <c r="I540" s="42" t="str">
        <f>IFERROR(__xludf.DUMMYFUNCTION("""COMPUTED_VALUE"""),"Klink, 1997")</f>
        <v>Klink, 1997</v>
      </c>
      <c r="J540" s="42" t="str">
        <f>IFERROR(__xludf.DUMMYFUNCTION("""COMPUTED_VALUE"""),"Rat")</f>
        <v>Rat</v>
      </c>
      <c r="K540" s="42" t="str">
        <f>IFERROR(__xludf.DUMMYFUNCTION("""COMPUTED_VALUE"""),"Immunohistochemistry(biocytin)")</f>
        <v>Immunohistochemistry(biocytin)</v>
      </c>
      <c r="L540" s="42" t="str">
        <f>IFERROR(__xludf.DUMMYFUNCTION("""COMPUTED_VALUE"""),"Neurons in layer II of the entorhinal cortex originate one component of the perforant path which conveys this information to the dentate gyrus and hippocampus.")</f>
        <v>Neurons in layer II of the entorhinal cortex originate one component of the perforant path which conveys this information to the dentate gyrus and hippocampus.</v>
      </c>
      <c r="M540" s="42" t="str">
        <f>IFERROR(__xludf.DUMMYFUNCTION("""COMPUTED_VALUE""")," ")</f>
        <v> </v>
      </c>
      <c r="N540" s="42"/>
      <c r="O540" s="31" t="str">
        <f>IFERROR(__xludf.DUMMYFUNCTION("""COMPUTED_VALUE"""),"DOC")</f>
        <v>DOC</v>
      </c>
      <c r="P540" s="9" t="str">
        <f>IFERROR(__xludf.DUMMYFUNCTION("""COMPUTED_VALUE"""),"Hippocampus")</f>
        <v>Hippocampus</v>
      </c>
      <c r="Q540" s="9" t="str">
        <f>IFERROR(__xludf.DUMMYFUNCTION("""COMPUTED_VALUE"""),"Experimental results")</f>
        <v>Experimental results</v>
      </c>
      <c r="R540" s="179" t="str">
        <f>IFERROR(__xludf.DUMMYFUNCTION("""COMPUTED_VALUE"""),"DG (00/23) [Klink, 1997][McNaughton, 1977][Moser, 2010][Witter, 2000];
")</f>
        <v>DG (00/23) [Klink, 1997][McNaughton, 1977][Moser, 2010][Witter, 2000];
</v>
      </c>
      <c r="S540" s="179" t="str">
        <f>IFERROR(__xludf.DUMMYFUNCTION("""COMPUTED_VALUE"""),"MEC_IIDG")</f>
        <v>MEC_IIDG</v>
      </c>
      <c r="T540" s="179" t="str">
        <f>IFERROR(__xludf.DUMMYFUNCTION("""COMPUTED_VALUE"""),"[Klink, 1997]")</f>
        <v>[Klink, 1997]</v>
      </c>
      <c r="U540" s="179">
        <f>IFERROR(__xludf.DUMMYFUNCTION("""COMPUTED_VALUE"""),1.0)</f>
        <v>1</v>
      </c>
      <c r="V540" s="180">
        <f>IFERROR(__xludf.DUMMYFUNCTION("""COMPUTED_VALUE"""),1.0)</f>
        <v>1</v>
      </c>
      <c r="W540" s="180">
        <f>IFERROR(__xludf.DUMMYFUNCTION("""COMPUTED_VALUE"""),0.95)</f>
        <v>0.95</v>
      </c>
      <c r="X540" s="42">
        <f>IFERROR(__xludf.DUMMYFUNCTION("""COMPUTED_VALUE"""),1.0)</f>
        <v>1</v>
      </c>
      <c r="Y540" s="42">
        <f>IFERROR(__xludf.DUMMYFUNCTION("""COMPUTED_VALUE"""),0.6)</f>
        <v>0.6</v>
      </c>
      <c r="Z540" s="9">
        <f>IFERROR(__xludf.DUMMYFUNCTION("""COMPUTED_VALUE"""),0.0)</f>
        <v>0</v>
      </c>
      <c r="AA540" s="181">
        <f>IFERROR(__xludf.DUMMYFUNCTION("""COMPUTED_VALUE"""),0.0)</f>
        <v>0</v>
      </c>
      <c r="AB540" s="181">
        <f>IFERROR(__xludf.DUMMYFUNCTION("""COMPUTED_VALUE"""),0.22799999999999998)</f>
        <v>0.228</v>
      </c>
      <c r="AC540" s="179">
        <f>IFERROR(__xludf.DUMMYFUNCTION("""COMPUTED_VALUE"""),0.0)</f>
        <v>0</v>
      </c>
      <c r="AD540" s="165">
        <f>IFERROR(__xludf.DUMMYFUNCTION("""COMPUTED_VALUE"""),0.0)</f>
        <v>0</v>
      </c>
      <c r="AE540" s="39" t="str">
        <f>IFERROR(__xludf.DUMMYFUNCTION("""COMPUTED_VALUE"""),"Yuske Shibata")</f>
        <v>Yuske Shibata</v>
      </c>
      <c r="AF540" s="39" t="str">
        <f>IFERROR(__xludf.DUMMYFUNCTION("""COMPUTED_VALUE"""),"Credibility check")</f>
        <v>Credibility check</v>
      </c>
      <c r="AG540" s="39"/>
      <c r="AH540" s="39"/>
      <c r="AI540" s="165"/>
      <c r="AJ540" s="165"/>
      <c r="AK540" s="111"/>
      <c r="AL540" s="111"/>
      <c r="AM540" s="111"/>
      <c r="AN540" s="111"/>
      <c r="AO540" s="111"/>
      <c r="AP540" s="111"/>
      <c r="AQ540" s="116"/>
      <c r="AR540" s="116"/>
      <c r="AS540" s="116"/>
    </row>
    <row r="541">
      <c r="A541" s="42" t="str">
        <f>IFERROR(__xludf.DUMMYFUNCTION("""COMPUTED_VALUE"""),"MEC_II")</f>
        <v>MEC_II</v>
      </c>
      <c r="B541" s="42" t="str">
        <f>IFERROR(__xludf.DUMMYFUNCTION("""COMPUTED_VALUE"""),"=")</f>
        <v>=</v>
      </c>
      <c r="C541" s="42"/>
      <c r="D541" s="42" t="str">
        <f>IFERROR(__xludf.DUMMYFUNCTION("""COMPUTED_VALUE"""),"DG")</f>
        <v>DG</v>
      </c>
      <c r="E541" s="42" t="str">
        <f>IFERROR(__xludf.DUMMYFUNCTION("""COMPUTED_VALUE"""),"=")</f>
        <v>=</v>
      </c>
      <c r="F541" s="42"/>
      <c r="G541" s="42"/>
      <c r="H541" s="42"/>
      <c r="I541" s="42" t="str">
        <f>IFERROR(__xludf.DUMMYFUNCTION("""COMPUTED_VALUE"""),"McNaughton, 1977")</f>
        <v>McNaughton, 1977</v>
      </c>
      <c r="J541" s="42" t="str">
        <f>IFERROR(__xludf.DUMMYFUNCTION("""COMPUTED_VALUE"""),"Rat")</f>
        <v>Rat</v>
      </c>
      <c r="K541" s="42" t="str">
        <f>IFERROR(__xludf.DUMMYFUNCTION("""COMPUTED_VALUE"""),"Electro physiology")</f>
        <v>Electro physiology</v>
      </c>
      <c r="L541" s="180" t="str">
        <f>IFERROR(__xludf.DUMMYFUNCTION("""COMPUTED_VALUE"""),"Stimulation of the dorsomedial or ventrolateral perforant pathways resulted in quantitatively different extracellularly recorded EPSPs in the fascia dentata of the rat.")</f>
        <v>Stimulation of the dorsomedial or ventrolateral perforant pathways resulted in quantitatively different extracellularly recorded EPSPs in the fascia dentata of the rat.</v>
      </c>
      <c r="M541" s="42"/>
      <c r="N541" s="42"/>
      <c r="O541" s="31" t="str">
        <f>IFERROR(__xludf.DUMMYFUNCTION("""COMPUTED_VALUE"""),"DOC")</f>
        <v>DOC</v>
      </c>
      <c r="P541" s="9" t="str">
        <f>IFERROR(__xludf.DUMMYFUNCTION("""COMPUTED_VALUE"""),"The Journal of Comparative Neurology")</f>
        <v>The Journal of Comparative Neurology</v>
      </c>
      <c r="Q541" s="9" t="str">
        <f>IFERROR(__xludf.DUMMYFUNCTION("""COMPUTED_VALUE"""),"Experimental results")</f>
        <v>Experimental results</v>
      </c>
      <c r="R541" s="179" t="str">
        <f>IFERROR(__xludf.DUMMYFUNCTION("""COMPUTED_VALUE"""),"DG (00/23) [Klink, 1997][McNaughton, 1977][Moser, 2010][Witter, 2000];
")</f>
        <v>DG (00/23) [Klink, 1997][McNaughton, 1977][Moser, 2010][Witter, 2000];
</v>
      </c>
      <c r="S541" s="179" t="str">
        <f>IFERROR(__xludf.DUMMYFUNCTION("""COMPUTED_VALUE"""),"MEC_IIDG")</f>
        <v>MEC_IIDG</v>
      </c>
      <c r="T541" s="179" t="str">
        <f>IFERROR(__xludf.DUMMYFUNCTION("""COMPUTED_VALUE"""),"[McNaughton, 1977]")</f>
        <v>[McNaughton, 1977]</v>
      </c>
      <c r="U541" s="179">
        <f>IFERROR(__xludf.DUMMYFUNCTION("""COMPUTED_VALUE"""),1.0)</f>
        <v>1</v>
      </c>
      <c r="V541" s="180">
        <f>IFERROR(__xludf.DUMMYFUNCTION("""COMPUTED_VALUE"""),1.0)</f>
        <v>1</v>
      </c>
      <c r="W541" s="180">
        <f>IFERROR(__xludf.DUMMYFUNCTION("""COMPUTED_VALUE"""),0.95)</f>
        <v>0.95</v>
      </c>
      <c r="X541" s="42">
        <f>IFERROR(__xludf.DUMMYFUNCTION("""COMPUTED_VALUE"""),1.0)</f>
        <v>1</v>
      </c>
      <c r="Y541" s="42">
        <f>IFERROR(__xludf.DUMMYFUNCTION("""COMPUTED_VALUE"""),0.6)</f>
        <v>0.6</v>
      </c>
      <c r="Z541" s="9">
        <f>IFERROR(__xludf.DUMMYFUNCTION("""COMPUTED_VALUE"""),0.4)</f>
        <v>0.4</v>
      </c>
      <c r="AA541" s="181">
        <f>IFERROR(__xludf.DUMMYFUNCTION("""COMPUTED_VALUE"""),0.22799999999999998)</f>
        <v>0.228</v>
      </c>
      <c r="AB541" s="181">
        <f>IFERROR(__xludf.DUMMYFUNCTION("""COMPUTED_VALUE"""),0.22799999999999998)</f>
        <v>0.228</v>
      </c>
      <c r="AC541" s="179">
        <f>IFERROR(__xludf.DUMMYFUNCTION("""COMPUTED_VALUE"""),0.0)</f>
        <v>0</v>
      </c>
      <c r="AD541" s="165">
        <f>IFERROR(__xludf.DUMMYFUNCTION("""COMPUTED_VALUE"""),0.0)</f>
        <v>0</v>
      </c>
      <c r="AE541" s="39" t="str">
        <f>IFERROR(__xludf.DUMMYFUNCTION("""COMPUTED_VALUE"""),"Yuske Shibata")</f>
        <v>Yuske Shibata</v>
      </c>
      <c r="AF541" s="39" t="str">
        <f>IFERROR(__xludf.DUMMYFUNCTION("""COMPUTED_VALUE"""),"Credibility check")</f>
        <v>Credibility check</v>
      </c>
      <c r="AG541" s="39"/>
      <c r="AH541" s="39"/>
      <c r="AI541" s="165"/>
      <c r="AJ541" s="165"/>
      <c r="AK541" s="111"/>
      <c r="AL541" s="111"/>
      <c r="AM541" s="111"/>
      <c r="AN541" s="111"/>
      <c r="AO541" s="111"/>
      <c r="AP541" s="111"/>
      <c r="AQ541" s="116"/>
      <c r="AR541" s="116"/>
      <c r="AS541" s="116"/>
    </row>
    <row r="542">
      <c r="A542" s="42" t="str">
        <f>IFERROR(__xludf.DUMMYFUNCTION("""COMPUTED_VALUE"""),"MEC_II")</f>
        <v>MEC_II</v>
      </c>
      <c r="B542" s="42" t="str">
        <f>IFERROR(__xludf.DUMMYFUNCTION("""COMPUTED_VALUE"""),"=")</f>
        <v>=</v>
      </c>
      <c r="C542" s="42"/>
      <c r="D542" s="42" t="str">
        <f>IFERROR(__xludf.DUMMYFUNCTION("""COMPUTED_VALUE"""),"CA")</f>
        <v>CA</v>
      </c>
      <c r="E542" s="42" t="str">
        <f>IFERROR(__xludf.DUMMYFUNCTION("""COMPUTED_VALUE"""),"=")</f>
        <v>=</v>
      </c>
      <c r="F542" s="42"/>
      <c r="G542" s="42"/>
      <c r="H542" s="42"/>
      <c r="I542" s="42" t="str">
        <f>IFERROR(__xludf.DUMMYFUNCTION("""COMPUTED_VALUE"""),"Klink, 1997")</f>
        <v>Klink, 1997</v>
      </c>
      <c r="J542" s="42" t="str">
        <f>IFERROR(__xludf.DUMMYFUNCTION("""COMPUTED_VALUE"""),"Rat")</f>
        <v>Rat</v>
      </c>
      <c r="K542" s="42" t="str">
        <f>IFERROR(__xludf.DUMMYFUNCTION("""COMPUTED_VALUE"""),"Immunohistochemistry(biocytin)")</f>
        <v>Immunohistochemistry(biocytin)</v>
      </c>
      <c r="L542" s="42" t="str">
        <f>IFERROR(__xludf.DUMMYFUNCTION("""COMPUTED_VALUE"""),"Neurons in layer II of the entorhinal cortex originate one component of the perforant path which conveys this information to the dentate gyrus and hippocampus.")</f>
        <v>Neurons in layer II of the entorhinal cortex originate one component of the perforant path which conveys this information to the dentate gyrus and hippocampus.</v>
      </c>
      <c r="M542" s="42"/>
      <c r="N542" s="42"/>
      <c r="O542" s="31" t="str">
        <f>IFERROR(__xludf.DUMMYFUNCTION("""COMPUTED_VALUE"""),"DOC")</f>
        <v>DOC</v>
      </c>
      <c r="P542" s="9" t="str">
        <f>IFERROR(__xludf.DUMMYFUNCTION("""COMPUTED_VALUE"""),"Hippocampus")</f>
        <v>Hippocampus</v>
      </c>
      <c r="Q542" s="9" t="str">
        <f>IFERROR(__xludf.DUMMYFUNCTION("""COMPUTED_VALUE"""),"Experimental results")</f>
        <v>Experimental results</v>
      </c>
      <c r="R542" s="179" t="str">
        <f>IFERROR(__xludf.DUMMYFUNCTION("""COMPUTED_VALUE"""),"CA (00/00) [Klink, 1997];
")</f>
        <v>CA (00/00) [Klink, 1997];
</v>
      </c>
      <c r="S542" s="179" t="str">
        <f>IFERROR(__xludf.DUMMYFUNCTION("""COMPUTED_VALUE"""),"MEC_IICA")</f>
        <v>MEC_IICA</v>
      </c>
      <c r="T542" s="179" t="str">
        <f>IFERROR(__xludf.DUMMYFUNCTION("""COMPUTED_VALUE"""),"[Klink, 1997]")</f>
        <v>[Klink, 1997]</v>
      </c>
      <c r="U542" s="179">
        <f>IFERROR(__xludf.DUMMYFUNCTION("""COMPUTED_VALUE"""),1.0)</f>
        <v>1</v>
      </c>
      <c r="V542" s="180">
        <f>IFERROR(__xludf.DUMMYFUNCTION("""COMPUTED_VALUE"""),1.0)</f>
        <v>1</v>
      </c>
      <c r="W542" s="180">
        <f>IFERROR(__xludf.DUMMYFUNCTION("""COMPUTED_VALUE"""),0.95)</f>
        <v>0.95</v>
      </c>
      <c r="X542" s="42">
        <f>IFERROR(__xludf.DUMMYFUNCTION("""COMPUTED_VALUE"""),1.0)</f>
        <v>1</v>
      </c>
      <c r="Y542" s="42">
        <f>IFERROR(__xludf.DUMMYFUNCTION("""COMPUTED_VALUE"""),0.6)</f>
        <v>0.6</v>
      </c>
      <c r="Z542" s="9">
        <f>IFERROR(__xludf.DUMMYFUNCTION("""COMPUTED_VALUE"""),0.0)</f>
        <v>0</v>
      </c>
      <c r="AA542" s="181">
        <f>IFERROR(__xludf.DUMMYFUNCTION("""COMPUTED_VALUE"""),0.0)</f>
        <v>0</v>
      </c>
      <c r="AB542" s="181">
        <f>IFERROR(__xludf.DUMMYFUNCTION("""COMPUTED_VALUE"""),0.0)</f>
        <v>0</v>
      </c>
      <c r="AC542" s="179">
        <f>IFERROR(__xludf.DUMMYFUNCTION("""COMPUTED_VALUE"""),0.0)</f>
        <v>0</v>
      </c>
      <c r="AD542" s="165">
        <f>IFERROR(__xludf.DUMMYFUNCTION("""COMPUTED_VALUE"""),0.0)</f>
        <v>0</v>
      </c>
      <c r="AE542" s="39" t="str">
        <f>IFERROR(__xludf.DUMMYFUNCTION("""COMPUTED_VALUE"""),"Yuske Shibata")</f>
        <v>Yuske Shibata</v>
      </c>
      <c r="AF542" s="39" t="str">
        <f>IFERROR(__xludf.DUMMYFUNCTION("""COMPUTED_VALUE"""),"Credibility check")</f>
        <v>Credibility check</v>
      </c>
      <c r="AG542" s="39"/>
      <c r="AH542" s="39"/>
      <c r="AI542" s="165"/>
      <c r="AJ542" s="165"/>
      <c r="AK542" s="111"/>
      <c r="AL542" s="111"/>
      <c r="AM542" s="111"/>
      <c r="AN542" s="111"/>
      <c r="AO542" s="111"/>
      <c r="AP542" s="111"/>
      <c r="AQ542" s="116"/>
      <c r="AR542" s="116"/>
      <c r="AS542" s="116"/>
    </row>
    <row r="543">
      <c r="A543" s="42" t="str">
        <f>IFERROR(__xludf.DUMMYFUNCTION("""COMPUTED_VALUE"""),"MEC_II")</f>
        <v>MEC_II</v>
      </c>
      <c r="B543" s="42" t="str">
        <f>IFERROR(__xludf.DUMMYFUNCTION("""COMPUTED_VALUE"""),"=")</f>
        <v>=</v>
      </c>
      <c r="C543" s="42"/>
      <c r="D543" s="42" t="str">
        <f>IFERROR(__xludf.DUMMYFUNCTION("""COMPUTED_VALUE"""),"DG")</f>
        <v>DG</v>
      </c>
      <c r="E543" s="42" t="str">
        <f>IFERROR(__xludf.DUMMYFUNCTION("""COMPUTED_VALUE"""),"=")</f>
        <v>=</v>
      </c>
      <c r="F543" s="42"/>
      <c r="G543" s="42"/>
      <c r="H543" s="42"/>
      <c r="I543" s="42" t="str">
        <f>IFERROR(__xludf.DUMMYFUNCTION("""COMPUTED_VALUE"""),"Moser, 2010")</f>
        <v>Moser, 2010</v>
      </c>
      <c r="J543" s="42" t="str">
        <f>IFERROR(__xludf.DUMMYFUNCTION("""COMPUTED_VALUE"""),"(Mixed)")</f>
        <v>(Mixed)</v>
      </c>
      <c r="K543" s="42"/>
      <c r="L543" s="42" t="str">
        <f>IFERROR(__xludf.DUMMYFUNCTION("""COMPUTED_VALUE"""),"All layer II principal cells issue an axon coursing straight toward the angular bundle, where the axon continues to its main targets in the DG and CA3/ CA2 (Fig. 17.1). ")</f>
        <v>All layer II principal cells issue an axon coursing straight toward the angular bundle, where the axon continues to its main targets in the DG and CA3/ CA2 (Fig. 17.1). </v>
      </c>
      <c r="M543" s="42" t="str">
        <f>IFERROR(__xludf.DUMMYFUNCTION("""COMPUTED_VALUE"""),"Fig.17-1")</f>
        <v>Fig.17-1</v>
      </c>
      <c r="N543" s="38" t="str">
        <f>IFERROR(__xludf.DUMMYFUNCTION("""COMPUTED_VALUE"""),"Klink, 1997")</f>
        <v>Klink, 1997</v>
      </c>
      <c r="O543" s="31" t="str">
        <f>IFERROR(__xludf.DUMMYFUNCTION("""COMPUTED_VALUE"""),"DOC")</f>
        <v>DOC</v>
      </c>
      <c r="P543" s="9" t="str">
        <f>IFERROR(__xludf.DUMMYFUNCTION("""COMPUTED_VALUE"""),"Handbook of Brain Microcircuits")</f>
        <v>Handbook of Brain Microcircuits</v>
      </c>
      <c r="Q543" s="9" t="str">
        <f>IFERROR(__xludf.DUMMYFUNCTION("""COMPUTED_VALUE"""),"Textbook")</f>
        <v>Textbook</v>
      </c>
      <c r="R543" s="179" t="str">
        <f>IFERROR(__xludf.DUMMYFUNCTION("""COMPUTED_VALUE"""),"DG (00/23) [Klink, 1997][McNaughton, 1977][Moser, 2010][Witter, 2000];
")</f>
        <v>DG (00/23) [Klink, 1997][McNaughton, 1977][Moser, 2010][Witter, 2000];
</v>
      </c>
      <c r="S543" s="179" t="str">
        <f>IFERROR(__xludf.DUMMYFUNCTION("""COMPUTED_VALUE"""),"MEC_IIDG")</f>
        <v>MEC_IIDG</v>
      </c>
      <c r="T543" s="179" t="str">
        <f>IFERROR(__xludf.DUMMYFUNCTION("""COMPUTED_VALUE"""),"[Moser, 2010]")</f>
        <v>[Moser, 2010]</v>
      </c>
      <c r="U543" s="179">
        <f>IFERROR(__xludf.DUMMYFUNCTION("""COMPUTED_VALUE"""),1.0)</f>
        <v>1</v>
      </c>
      <c r="V543" s="180">
        <f>IFERROR(__xludf.DUMMYFUNCTION("""COMPUTED_VALUE"""),1.0)</f>
        <v>1</v>
      </c>
      <c r="W543" s="180">
        <f>IFERROR(__xludf.DUMMYFUNCTION("""COMPUTED_VALUE"""),0.95)</f>
        <v>0.95</v>
      </c>
      <c r="X543" s="42">
        <f>IFERROR(__xludf.DUMMYFUNCTION("""COMPUTED_VALUE"""),0.9)</f>
        <v>0.9</v>
      </c>
      <c r="Y543" s="42">
        <f>IFERROR(__xludf.DUMMYFUNCTION("""COMPUTED_VALUE"""),0.0)</f>
        <v>0</v>
      </c>
      <c r="Z543" s="9">
        <f>IFERROR(__xludf.DUMMYFUNCTION("""COMPUTED_VALUE"""),0.0)</f>
        <v>0</v>
      </c>
      <c r="AA543" s="181">
        <f>IFERROR(__xludf.DUMMYFUNCTION("""COMPUTED_VALUE"""),0.0)</f>
        <v>0</v>
      </c>
      <c r="AB543" s="181">
        <f>IFERROR(__xludf.DUMMYFUNCTION("""COMPUTED_VALUE"""),0.22799999999999998)</f>
        <v>0.228</v>
      </c>
      <c r="AC543" s="179">
        <f>IFERROR(__xludf.DUMMYFUNCTION("""COMPUTED_VALUE"""),0.0)</f>
        <v>0</v>
      </c>
      <c r="AD543" s="165">
        <f>IFERROR(__xludf.DUMMYFUNCTION("""COMPUTED_VALUE"""),0.0)</f>
        <v>0</v>
      </c>
      <c r="AE543" s="39" t="str">
        <f>IFERROR(__xludf.DUMMYFUNCTION("""COMPUTED_VALUE"""),"Ayako Fukawa")</f>
        <v>Ayako Fukawa</v>
      </c>
      <c r="AF543" s="39" t="str">
        <f>IFERROR(__xludf.DUMMYFUNCTION("""COMPUTED_VALUE"""),"AT20HippocampalFormation")</f>
        <v>AT20HippocampalFormation</v>
      </c>
      <c r="AG543" s="39"/>
      <c r="AH543" s="39"/>
      <c r="AI543" s="165"/>
      <c r="AJ543" s="165"/>
      <c r="AK543" s="111"/>
      <c r="AL543" s="111"/>
      <c r="AM543" s="111"/>
      <c r="AN543" s="111"/>
      <c r="AO543" s="111"/>
      <c r="AP543" s="111"/>
      <c r="AQ543" s="116"/>
      <c r="AR543" s="116"/>
      <c r="AS543" s="116"/>
    </row>
    <row r="544">
      <c r="A544" s="42" t="str">
        <f>IFERROR(__xludf.DUMMYFUNCTION("""COMPUTED_VALUE"""),"MEC_II")</f>
        <v>MEC_II</v>
      </c>
      <c r="B544" s="42" t="str">
        <f>IFERROR(__xludf.DUMMYFUNCTION("""COMPUTED_VALUE"""),"=")</f>
        <v>=</v>
      </c>
      <c r="C544" s="42"/>
      <c r="D544" s="42" t="str">
        <f>IFERROR(__xludf.DUMMYFUNCTION("""COMPUTED_VALUE"""),"DG")</f>
        <v>DG</v>
      </c>
      <c r="E544" s="42" t="str">
        <f>IFERROR(__xludf.DUMMYFUNCTION("""COMPUTED_VALUE"""),"=")</f>
        <v>=</v>
      </c>
      <c r="F544" s="42"/>
      <c r="G544" s="42"/>
      <c r="H544" s="42"/>
      <c r="I544" s="42" t="str">
        <f>IFERROR(__xludf.DUMMYFUNCTION("""COMPUTED_VALUE"""),"Witter, 2000")</f>
        <v>Witter, 2000</v>
      </c>
      <c r="J544" s="42"/>
      <c r="K544" s="42"/>
      <c r="L544" s="180" t="str">
        <f>IFERROR(__xludf.DUMMYFUNCTION("""COMPUTED_VALUE"""),"Cells in layer II of the LEC project to the outer one third of the molecular layer/stratum lacunosum-moleculare of the DG and CA3. In contrast, the projection originating in layer II of the MEC terminates in the middle one third of these layers")</f>
        <v>Cells in layer II of the LEC project to the outer one third of the molecular layer/stratum lacunosum-moleculare of the DG and CA3. In contrast, the projection originating in layer II of the MEC terminates in the middle one third of these layers</v>
      </c>
      <c r="M544" s="42" t="str">
        <f>IFERROR(__xludf.DUMMYFUNCTION("""COMPUTED_VALUE"""),"Fig. 3")</f>
        <v>Fig. 3</v>
      </c>
      <c r="N544" s="38" t="str">
        <f>IFERROR(__xludf.DUMMYFUNCTION("""COMPUTED_VALUE"""),"McNaughton and Barnes, 1977")</f>
        <v>McNaughton and Barnes, 1977</v>
      </c>
      <c r="O544" s="31" t="str">
        <f>IFERROR(__xludf.DUMMYFUNCTION("""COMPUTED_VALUE"""),"DOC")</f>
        <v>DOC</v>
      </c>
      <c r="P544" s="9" t="str">
        <f>IFERROR(__xludf.DUMMYFUNCTION("""COMPUTED_VALUE"""),"Hippocampus")</f>
        <v>Hippocampus</v>
      </c>
      <c r="Q544" s="9" t="str">
        <f>IFERROR(__xludf.DUMMYFUNCTION("""COMPUTED_VALUE"""),"Review")</f>
        <v>Review</v>
      </c>
      <c r="R544" s="179" t="str">
        <f>IFERROR(__xludf.DUMMYFUNCTION("""COMPUTED_VALUE"""),"DG (00/23) [Klink, 1997][McNaughton, 1977][Moser, 2010][Witter, 2000];
")</f>
        <v>DG (00/23) [Klink, 1997][McNaughton, 1977][Moser, 2010][Witter, 2000];
</v>
      </c>
      <c r="S544" s="179" t="str">
        <f>IFERROR(__xludf.DUMMYFUNCTION("""COMPUTED_VALUE"""),"MEC_IIDG")</f>
        <v>MEC_IIDG</v>
      </c>
      <c r="T544" s="179" t="str">
        <f>IFERROR(__xludf.DUMMYFUNCTION("""COMPUTED_VALUE"""),"[Witter, 2000]")</f>
        <v>[Witter, 2000]</v>
      </c>
      <c r="U544" s="179">
        <f>IFERROR(__xludf.DUMMYFUNCTION("""COMPUTED_VALUE"""),1.0)</f>
        <v>1</v>
      </c>
      <c r="V544" s="180">
        <f>IFERROR(__xludf.DUMMYFUNCTION("""COMPUTED_VALUE"""),1.0)</f>
        <v>1</v>
      </c>
      <c r="W544" s="180">
        <f>IFERROR(__xludf.DUMMYFUNCTION("""COMPUTED_VALUE"""),0.95)</f>
        <v>0.95</v>
      </c>
      <c r="X544" s="42">
        <f>IFERROR(__xludf.DUMMYFUNCTION("""COMPUTED_VALUE"""),0.8)</f>
        <v>0.8</v>
      </c>
      <c r="Y544" s="42">
        <f>IFERROR(__xludf.DUMMYFUNCTION("""COMPUTED_VALUE"""),0.0)</f>
        <v>0</v>
      </c>
      <c r="Z544" s="9">
        <f>IFERROR(__xludf.DUMMYFUNCTION("""COMPUTED_VALUE"""),0.0)</f>
        <v>0</v>
      </c>
      <c r="AA544" s="181">
        <f>IFERROR(__xludf.DUMMYFUNCTION("""COMPUTED_VALUE"""),0.0)</f>
        <v>0</v>
      </c>
      <c r="AB544" s="181">
        <f>IFERROR(__xludf.DUMMYFUNCTION("""COMPUTED_VALUE"""),0.22799999999999998)</f>
        <v>0.228</v>
      </c>
      <c r="AC544" s="179">
        <f>IFERROR(__xludf.DUMMYFUNCTION("""COMPUTED_VALUE"""),0.0)</f>
        <v>0</v>
      </c>
      <c r="AD544" s="165">
        <f>IFERROR(__xludf.DUMMYFUNCTION("""COMPUTED_VALUE"""),0.0)</f>
        <v>0</v>
      </c>
      <c r="AE544" s="39" t="str">
        <f>IFERROR(__xludf.DUMMYFUNCTION("""COMPUTED_VALUE"""),"Ayako Fukawa")</f>
        <v>Ayako Fukawa</v>
      </c>
      <c r="AF544" s="39" t="str">
        <f>IFERROR(__xludf.DUMMYFUNCTION("""COMPUTED_VALUE"""),"AT20HippocampalFormation")</f>
        <v>AT20HippocampalFormation</v>
      </c>
      <c r="AG544" s="39"/>
      <c r="AH544" s="39"/>
      <c r="AI544" s="165"/>
      <c r="AJ544" s="165"/>
      <c r="AK544" s="111"/>
      <c r="AL544" s="111"/>
      <c r="AM544" s="111"/>
      <c r="AN544" s="111"/>
      <c r="AO544" s="111"/>
      <c r="AP544" s="111"/>
      <c r="AQ544" s="116"/>
      <c r="AR544" s="116"/>
      <c r="AS544" s="116"/>
    </row>
    <row r="545">
      <c r="A545" s="42" t="str">
        <f>IFERROR(__xludf.DUMMYFUNCTION("""COMPUTED_VALUE"""),"MEC_II")</f>
        <v>MEC_II</v>
      </c>
      <c r="B545" s="42"/>
      <c r="C545" s="42"/>
      <c r="D545" s="42" t="str">
        <f>IFERROR(__xludf.DUMMYFUNCTION("""COMPUTED_VALUE"""),"CA2")</f>
        <v>CA2</v>
      </c>
      <c r="E545" s="42"/>
      <c r="F545" s="42"/>
      <c r="G545" s="42"/>
      <c r="H545" s="42" t="str">
        <f>IFERROR(__xludf.DUMMYFUNCTION("""COMPUTED_VALUE"""),"")</f>
        <v/>
      </c>
      <c r="I545" s="42" t="str">
        <f>IFERROR(__xludf.DUMMYFUNCTION("""COMPUTED_VALUE"""),"Llorens-Martín, 2014")</f>
        <v>Llorens-Martín, 2014</v>
      </c>
      <c r="J545" s="42"/>
      <c r="K545" s="42"/>
      <c r="L545" s="42"/>
      <c r="M545" s="42" t="str">
        <f>IFERROR(__xludf.DUMMYFUNCTION("""COMPUTED_VALUE"""),"Fig.1")</f>
        <v>Fig.1</v>
      </c>
      <c r="N545" s="38"/>
      <c r="O545" s="31" t="str">
        <f>IFERROR(__xludf.DUMMYFUNCTION("""COMPUTED_VALUE"""),"DOC")</f>
        <v>DOC</v>
      </c>
      <c r="P545" s="9" t="str">
        <f>IFERROR(__xludf.DUMMYFUNCTION("""COMPUTED_VALUE"""),"Frontiers in Neuroanatomy")</f>
        <v>Frontiers in Neuroanatomy</v>
      </c>
      <c r="Q545" s="9" t="str">
        <f>IFERROR(__xludf.DUMMYFUNCTION("""COMPUTED_VALUE"""),"Hypothesis")</f>
        <v>Hypothesis</v>
      </c>
      <c r="R545" s="179" t="str">
        <f>IFERROR(__xludf.DUMMYFUNCTION("""COMPUTED_VALUE"""),"CA2 (00/00) [Llorens-Martín, 2014];
")</f>
        <v>CA2 (00/00) [Llorens-Martín, 2014];
</v>
      </c>
      <c r="S545" s="179" t="str">
        <f>IFERROR(__xludf.DUMMYFUNCTION("""COMPUTED_VALUE"""),"MEC_IICA2")</f>
        <v>MEC_IICA2</v>
      </c>
      <c r="T545" s="179" t="str">
        <f>IFERROR(__xludf.DUMMYFUNCTION("""COMPUTED_VALUE"""),"[Llorens-Martín, 2014]")</f>
        <v>[Llorens-Martín, 2014]</v>
      </c>
      <c r="U545" s="179">
        <f>IFERROR(__xludf.DUMMYFUNCTION("""COMPUTED_VALUE"""),0.0)</f>
        <v>0</v>
      </c>
      <c r="V545" s="180">
        <f>IFERROR(__xludf.DUMMYFUNCTION("""COMPUTED_VALUE"""),0.0)</f>
        <v>0</v>
      </c>
      <c r="W545" s="180">
        <f>IFERROR(__xludf.DUMMYFUNCTION("""COMPUTED_VALUE"""),0.95)</f>
        <v>0.95</v>
      </c>
      <c r="X545" s="42">
        <f>IFERROR(__xludf.DUMMYFUNCTION("""COMPUTED_VALUE"""),0.5)</f>
        <v>0.5</v>
      </c>
      <c r="Y545" s="42">
        <f>IFERROR(__xludf.DUMMYFUNCTION("""COMPUTED_VALUE"""),0.0)</f>
        <v>0</v>
      </c>
      <c r="Z545" s="9">
        <f>IFERROR(__xludf.DUMMYFUNCTION("""COMPUTED_VALUE"""),0.0)</f>
        <v>0</v>
      </c>
      <c r="AA545" s="181">
        <f>IFERROR(__xludf.DUMMYFUNCTION("""COMPUTED_VALUE"""),0.0)</f>
        <v>0</v>
      </c>
      <c r="AB545" s="181">
        <f>IFERROR(__xludf.DUMMYFUNCTION("""COMPUTED_VALUE"""),0.0)</f>
        <v>0</v>
      </c>
      <c r="AC545" s="179">
        <f>IFERROR(__xludf.DUMMYFUNCTION("""COMPUTED_VALUE"""),0.0)</f>
        <v>0</v>
      </c>
      <c r="AD545" s="165">
        <f>IFERROR(__xludf.DUMMYFUNCTION("""COMPUTED_VALUE"""),0.0)</f>
        <v>0</v>
      </c>
      <c r="AE545" s="39" t="str">
        <f>IFERROR(__xludf.DUMMYFUNCTION("""COMPUTED_VALUE"""),"Ayako Fukawa")</f>
        <v>Ayako Fukawa</v>
      </c>
      <c r="AF545" s="39" t="str">
        <f>IFERROR(__xludf.DUMMYFUNCTION("""COMPUTED_VALUE"""),"AT20HippocampalFormation")</f>
        <v>AT20HippocampalFormation</v>
      </c>
      <c r="AG545" s="39"/>
      <c r="AH545" s="39"/>
      <c r="AI545" s="165"/>
      <c r="AJ545" s="165"/>
      <c r="AK545" s="111"/>
      <c r="AL545" s="111"/>
      <c r="AM545" s="111"/>
      <c r="AN545" s="111"/>
      <c r="AO545" s="111"/>
      <c r="AP545" s="111"/>
      <c r="AQ545" s="116"/>
      <c r="AR545" s="116"/>
      <c r="AS545" s="116"/>
    </row>
    <row r="546">
      <c r="A546" s="42" t="str">
        <f>IFERROR(__xludf.DUMMYFUNCTION("""COMPUTED_VALUE"""),"MEC_II")</f>
        <v>MEC_II</v>
      </c>
      <c r="B546" s="42" t="str">
        <f>IFERROR(__xludf.DUMMYFUNCTION("""COMPUTED_VALUE"""),"=")</f>
        <v>=</v>
      </c>
      <c r="C546" s="42"/>
      <c r="D546" s="42" t="str">
        <f>IFERROR(__xludf.DUMMYFUNCTION("""COMPUTED_VALUE"""),"CA3")</f>
        <v>CA3</v>
      </c>
      <c r="E546" s="42" t="str">
        <f>IFERROR(__xludf.DUMMYFUNCTION("""COMPUTED_VALUE"""),"=")</f>
        <v>=</v>
      </c>
      <c r="F546" s="42"/>
      <c r="G546" s="42"/>
      <c r="H546" s="42"/>
      <c r="I546" s="42" t="str">
        <f>IFERROR(__xludf.DUMMYFUNCTION("""COMPUTED_VALUE"""),"Moser, 2010")</f>
        <v>Moser, 2010</v>
      </c>
      <c r="J546" s="42"/>
      <c r="K546" s="42"/>
      <c r="L546" s="42" t="str">
        <f>IFERROR(__xludf.DUMMYFUNCTION("""COMPUTED_VALUE"""),"All layer II principal cells issue an axon coursing straight toward the angular bundle, where the axon continues to its main targets in the DG and CA3/ CA2 (Fig. 17.1). ")</f>
        <v>All layer II principal cells issue an axon coursing straight toward the angular bundle, where the axon continues to its main targets in the DG and CA3/ CA2 (Fig. 17.1). </v>
      </c>
      <c r="M546" s="42" t="str">
        <f>IFERROR(__xludf.DUMMYFUNCTION("""COMPUTED_VALUE"""),"Fig.17-1")</f>
        <v>Fig.17-1</v>
      </c>
      <c r="N546" s="38" t="str">
        <f>IFERROR(__xludf.DUMMYFUNCTION("""COMPUTED_VALUE"""),"Klink, 1997")</f>
        <v>Klink, 1997</v>
      </c>
      <c r="O546" s="31" t="str">
        <f>IFERROR(__xludf.DUMMYFUNCTION("""COMPUTED_VALUE"""),"DOC")</f>
        <v>DOC</v>
      </c>
      <c r="P546" s="9" t="str">
        <f>IFERROR(__xludf.DUMMYFUNCTION("""COMPUTED_VALUE"""),"Handbook of Brain Microcircuits")</f>
        <v>Handbook of Brain Microcircuits</v>
      </c>
      <c r="Q546" s="9" t="str">
        <f>IFERROR(__xludf.DUMMYFUNCTION("""COMPUTED_VALUE"""),"Textbook")</f>
        <v>Textbook</v>
      </c>
      <c r="R546" s="179" t="str">
        <f>IFERROR(__xludf.DUMMYFUNCTION("""COMPUTED_VALUE"""),"CA3 (00/00) [Moser, 2010][Witter, 2000];
")</f>
        <v>CA3 (00/00) [Moser, 2010][Witter, 2000];
</v>
      </c>
      <c r="S546" s="179" t="str">
        <f>IFERROR(__xludf.DUMMYFUNCTION("""COMPUTED_VALUE"""),"MEC_IICA3")</f>
        <v>MEC_IICA3</v>
      </c>
      <c r="T546" s="179" t="str">
        <f>IFERROR(__xludf.DUMMYFUNCTION("""COMPUTED_VALUE"""),"[Moser, 2010]")</f>
        <v>[Moser, 2010]</v>
      </c>
      <c r="U546" s="179">
        <f>IFERROR(__xludf.DUMMYFUNCTION("""COMPUTED_VALUE"""),1.0)</f>
        <v>1</v>
      </c>
      <c r="V546" s="180">
        <f>IFERROR(__xludf.DUMMYFUNCTION("""COMPUTED_VALUE"""),1.0)</f>
        <v>1</v>
      </c>
      <c r="W546" s="180">
        <f>IFERROR(__xludf.DUMMYFUNCTION("""COMPUTED_VALUE"""),0.95)</f>
        <v>0.95</v>
      </c>
      <c r="X546" s="42">
        <f>IFERROR(__xludf.DUMMYFUNCTION("""COMPUTED_VALUE"""),0.9)</f>
        <v>0.9</v>
      </c>
      <c r="Y546" s="42">
        <f>IFERROR(__xludf.DUMMYFUNCTION("""COMPUTED_VALUE"""),0.0)</f>
        <v>0</v>
      </c>
      <c r="Z546" s="9">
        <f>IFERROR(__xludf.DUMMYFUNCTION("""COMPUTED_VALUE"""),0.0)</f>
        <v>0</v>
      </c>
      <c r="AA546" s="181">
        <f>IFERROR(__xludf.DUMMYFUNCTION("""COMPUTED_VALUE"""),0.0)</f>
        <v>0</v>
      </c>
      <c r="AB546" s="181">
        <f>IFERROR(__xludf.DUMMYFUNCTION("""COMPUTED_VALUE"""),0.0)</f>
        <v>0</v>
      </c>
      <c r="AC546" s="179">
        <f>IFERROR(__xludf.DUMMYFUNCTION("""COMPUTED_VALUE"""),0.0)</f>
        <v>0</v>
      </c>
      <c r="AD546" s="165">
        <f>IFERROR(__xludf.DUMMYFUNCTION("""COMPUTED_VALUE"""),0.0)</f>
        <v>0</v>
      </c>
      <c r="AE546" s="39" t="str">
        <f>IFERROR(__xludf.DUMMYFUNCTION("""COMPUTED_VALUE"""),"Ayako Fukawa")</f>
        <v>Ayako Fukawa</v>
      </c>
      <c r="AF546" s="39" t="str">
        <f>IFERROR(__xludf.DUMMYFUNCTION("""COMPUTED_VALUE"""),"AT20HippocampalFormation")</f>
        <v>AT20HippocampalFormation</v>
      </c>
      <c r="AG546" s="39"/>
      <c r="AH546" s="39"/>
      <c r="AI546" s="165"/>
      <c r="AJ546" s="165"/>
      <c r="AK546" s="111"/>
      <c r="AL546" s="111"/>
      <c r="AM546" s="111"/>
      <c r="AN546" s="111"/>
      <c r="AO546" s="111"/>
      <c r="AP546" s="111"/>
      <c r="AQ546" s="116"/>
      <c r="AR546" s="116"/>
      <c r="AS546" s="116"/>
    </row>
    <row r="547">
      <c r="A547" s="42" t="str">
        <f>IFERROR(__xludf.DUMMYFUNCTION("""COMPUTED_VALUE"""),"MEC_II")</f>
        <v>MEC_II</v>
      </c>
      <c r="B547" s="42"/>
      <c r="C547" s="42"/>
      <c r="D547" s="42" t="str">
        <f>IFERROR(__xludf.DUMMYFUNCTION("""COMPUTED_VALUE"""),"MEC_I")</f>
        <v>MEC_I</v>
      </c>
      <c r="E547" s="42"/>
      <c r="F547" s="42"/>
      <c r="G547" s="42"/>
      <c r="H547" s="42" t="str">
        <f>IFERROR(__xludf.DUMMYFUNCTION("""COMPUTED_VALUE"""),"")</f>
        <v/>
      </c>
      <c r="I547" s="42" t="str">
        <f>IFERROR(__xludf.DUMMYFUNCTION("""COMPUTED_VALUE"""),"Winterer, 2017")</f>
        <v>Winterer, 2017</v>
      </c>
      <c r="J547" s="42"/>
      <c r="K547" s="42"/>
      <c r="L547" s="42"/>
      <c r="M547" s="42"/>
      <c r="N547" s="38"/>
      <c r="O547" s="31" t="str">
        <f>IFERROR(__xludf.DUMMYFUNCTION("""COMPUTED_VALUE"""),"#Error: Reference ID")</f>
        <v>#Error: Reference ID</v>
      </c>
      <c r="P547" s="9" t="str">
        <f>IFERROR(__xludf.DUMMYFUNCTION("""COMPUTED_VALUE"""),"#Error: Reference ID")</f>
        <v>#Error: Reference ID</v>
      </c>
      <c r="Q547" s="9" t="str">
        <f>IFERROR(__xludf.DUMMYFUNCTION("""COMPUTED_VALUE"""),"#Error: Reference ID")</f>
        <v>#Error: Reference ID</v>
      </c>
      <c r="R547" s="179" t="str">
        <f>IFERROR(__xludf.DUMMYFUNCTION("""COMPUTED_VALUE"""),"MEC_I (00/00) [Winterer, 2017][Witter, 2017];
")</f>
        <v>MEC_I (00/00) [Winterer, 2017][Witter, 2017];
</v>
      </c>
      <c r="S547" s="179" t="str">
        <f>IFERROR(__xludf.DUMMYFUNCTION("""COMPUTED_VALUE"""),"MEC_IIMEC_I")</f>
        <v>MEC_IIMEC_I</v>
      </c>
      <c r="T547" s="179" t="str">
        <f>IFERROR(__xludf.DUMMYFUNCTION("""COMPUTED_VALUE"""),"[Winterer, 2017]")</f>
        <v>[Winterer, 2017]</v>
      </c>
      <c r="U547" s="179">
        <f>IFERROR(__xludf.DUMMYFUNCTION("""COMPUTED_VALUE"""),0.0)</f>
        <v>0</v>
      </c>
      <c r="V547" s="180">
        <f>IFERROR(__xludf.DUMMYFUNCTION("""COMPUTED_VALUE"""),0.0)</f>
        <v>0</v>
      </c>
      <c r="W547" s="180">
        <f>IFERROR(__xludf.DUMMYFUNCTION("""COMPUTED_VALUE"""),0.0)</f>
        <v>0</v>
      </c>
      <c r="X547" s="42">
        <f>IFERROR(__xludf.DUMMYFUNCTION("""COMPUTED_VALUE"""),0.0)</f>
        <v>0</v>
      </c>
      <c r="Y547" s="42">
        <f>IFERROR(__xludf.DUMMYFUNCTION("""COMPUTED_VALUE"""),0.0)</f>
        <v>0</v>
      </c>
      <c r="Z547" s="9">
        <f>IFERROR(__xludf.DUMMYFUNCTION("""COMPUTED_VALUE"""),0.0)</f>
        <v>0</v>
      </c>
      <c r="AA547" s="181">
        <f>IFERROR(__xludf.DUMMYFUNCTION("""COMPUTED_VALUE"""),0.0)</f>
        <v>0</v>
      </c>
      <c r="AB547" s="181">
        <f>IFERROR(__xludf.DUMMYFUNCTION("""COMPUTED_VALUE"""),0.0)</f>
        <v>0</v>
      </c>
      <c r="AC547" s="179">
        <f>IFERROR(__xludf.DUMMYFUNCTION("""COMPUTED_VALUE"""),0.0)</f>
        <v>0</v>
      </c>
      <c r="AD547" s="165">
        <f>IFERROR(__xludf.DUMMYFUNCTION("""COMPUTED_VALUE"""),0.0)</f>
        <v>0</v>
      </c>
      <c r="AE547" s="39" t="str">
        <f>IFERROR(__xludf.DUMMYFUNCTION("""COMPUTED_VALUE"""),"Ayako Fukawa")</f>
        <v>Ayako Fukawa</v>
      </c>
      <c r="AF547" s="39" t="str">
        <f>IFERROR(__xludf.DUMMYFUNCTION("""COMPUTED_VALUE"""),"AT20HippocampalFormation")</f>
        <v>AT20HippocampalFormation</v>
      </c>
      <c r="AG547" s="39"/>
      <c r="AH547" s="39"/>
      <c r="AI547" s="165"/>
      <c r="AJ547" s="165"/>
      <c r="AK547" s="111"/>
      <c r="AL547" s="111"/>
      <c r="AM547" s="111"/>
      <c r="AN547" s="111"/>
      <c r="AO547" s="111"/>
      <c r="AP547" s="111"/>
      <c r="AQ547" s="116"/>
      <c r="AR547" s="116"/>
      <c r="AS547" s="116"/>
    </row>
    <row r="548">
      <c r="A548" s="42" t="str">
        <f>IFERROR(__xludf.DUMMYFUNCTION("""COMPUTED_VALUE"""),"MEC_II")</f>
        <v>MEC_II</v>
      </c>
      <c r="B548" s="42"/>
      <c r="C548" s="42"/>
      <c r="D548" s="42" t="str">
        <f>IFERROR(__xludf.DUMMYFUNCTION("""COMPUTED_VALUE"""),"MEC_II")</f>
        <v>MEC_II</v>
      </c>
      <c r="E548" s="42"/>
      <c r="F548" s="42"/>
      <c r="G548" s="42"/>
      <c r="H548" s="42" t="str">
        <f>IFERROR(__xludf.DUMMYFUNCTION("""COMPUTED_VALUE"""),"")</f>
        <v/>
      </c>
      <c r="I548" s="42" t="str">
        <f>IFERROR(__xludf.DUMMYFUNCTION("""COMPUTED_VALUE"""),"Winterer, 2017")</f>
        <v>Winterer, 2017</v>
      </c>
      <c r="J548" s="42"/>
      <c r="K548" s="42"/>
      <c r="L548" s="42"/>
      <c r="M548" s="42"/>
      <c r="N548" s="38"/>
      <c r="O548" s="31" t="str">
        <f>IFERROR(__xludf.DUMMYFUNCTION("""COMPUTED_VALUE"""),"#Error: Reference ID")</f>
        <v>#Error: Reference ID</v>
      </c>
      <c r="P548" s="9" t="str">
        <f>IFERROR(__xludf.DUMMYFUNCTION("""COMPUTED_VALUE"""),"#Error: Reference ID")</f>
        <v>#Error: Reference ID</v>
      </c>
      <c r="Q548" s="9" t="str">
        <f>IFERROR(__xludf.DUMMYFUNCTION("""COMPUTED_VALUE"""),"#Error: Reference ID")</f>
        <v>#Error: Reference ID</v>
      </c>
      <c r="R548" s="179" t="str">
        <f>IFERROR(__xludf.DUMMYFUNCTION("""COMPUTED_VALUE"""),"MEC_II (00/00) [Winterer, 2017][Witter, 2017];
")</f>
        <v>MEC_II (00/00) [Winterer, 2017][Witter, 2017];
</v>
      </c>
      <c r="S548" s="179" t="str">
        <f>IFERROR(__xludf.DUMMYFUNCTION("""COMPUTED_VALUE"""),"MEC_IIMEC_II")</f>
        <v>MEC_IIMEC_II</v>
      </c>
      <c r="T548" s="179" t="str">
        <f>IFERROR(__xludf.DUMMYFUNCTION("""COMPUTED_VALUE"""),"[Winterer, 2017]")</f>
        <v>[Winterer, 2017]</v>
      </c>
      <c r="U548" s="179">
        <f>IFERROR(__xludf.DUMMYFUNCTION("""COMPUTED_VALUE"""),0.0)</f>
        <v>0</v>
      </c>
      <c r="V548" s="180">
        <f>IFERROR(__xludf.DUMMYFUNCTION("""COMPUTED_VALUE"""),0.0)</f>
        <v>0</v>
      </c>
      <c r="W548" s="180">
        <f>IFERROR(__xludf.DUMMYFUNCTION("""COMPUTED_VALUE"""),0.0)</f>
        <v>0</v>
      </c>
      <c r="X548" s="42">
        <f>IFERROR(__xludf.DUMMYFUNCTION("""COMPUTED_VALUE"""),0.0)</f>
        <v>0</v>
      </c>
      <c r="Y548" s="42">
        <f>IFERROR(__xludf.DUMMYFUNCTION("""COMPUTED_VALUE"""),0.0)</f>
        <v>0</v>
      </c>
      <c r="Z548" s="9">
        <f>IFERROR(__xludf.DUMMYFUNCTION("""COMPUTED_VALUE"""),0.0)</f>
        <v>0</v>
      </c>
      <c r="AA548" s="181">
        <f>IFERROR(__xludf.DUMMYFUNCTION("""COMPUTED_VALUE"""),0.0)</f>
        <v>0</v>
      </c>
      <c r="AB548" s="181">
        <f>IFERROR(__xludf.DUMMYFUNCTION("""COMPUTED_VALUE"""),0.0)</f>
        <v>0</v>
      </c>
      <c r="AC548" s="179">
        <f>IFERROR(__xludf.DUMMYFUNCTION("""COMPUTED_VALUE"""),0.0)</f>
        <v>0</v>
      </c>
      <c r="AD548" s="165">
        <f>IFERROR(__xludf.DUMMYFUNCTION("""COMPUTED_VALUE"""),0.0)</f>
        <v>0</v>
      </c>
      <c r="AE548" s="39" t="str">
        <f>IFERROR(__xludf.DUMMYFUNCTION("""COMPUTED_VALUE"""),"Ayako Fukawa")</f>
        <v>Ayako Fukawa</v>
      </c>
      <c r="AF548" s="39" t="str">
        <f>IFERROR(__xludf.DUMMYFUNCTION("""COMPUTED_VALUE"""),"AT20HippocampalFormation")</f>
        <v>AT20HippocampalFormation</v>
      </c>
      <c r="AG548" s="39"/>
      <c r="AH548" s="39"/>
      <c r="AI548" s="165"/>
      <c r="AJ548" s="165"/>
      <c r="AK548" s="111"/>
      <c r="AL548" s="111"/>
      <c r="AM548" s="111"/>
      <c r="AN548" s="111"/>
      <c r="AO548" s="111"/>
      <c r="AP548" s="111"/>
      <c r="AQ548" s="116"/>
      <c r="AR548" s="116"/>
      <c r="AS548" s="116"/>
    </row>
    <row r="549">
      <c r="A549" s="42" t="str">
        <f>IFERROR(__xludf.DUMMYFUNCTION("""COMPUTED_VALUE"""),"MEC_II")</f>
        <v>MEC_II</v>
      </c>
      <c r="B549" s="42"/>
      <c r="C549" s="42"/>
      <c r="D549" s="42" t="str">
        <f>IFERROR(__xludf.DUMMYFUNCTION("""COMPUTED_VALUE"""),"MEC_V")</f>
        <v>MEC_V</v>
      </c>
      <c r="E549" s="42"/>
      <c r="F549" s="42"/>
      <c r="G549" s="42"/>
      <c r="H549" s="42" t="str">
        <f>IFERROR(__xludf.DUMMYFUNCTION("""COMPUTED_VALUE"""),"")</f>
        <v/>
      </c>
      <c r="I549" s="42" t="str">
        <f>IFERROR(__xludf.DUMMYFUNCTION("""COMPUTED_VALUE"""),"Winterer, 2017")</f>
        <v>Winterer, 2017</v>
      </c>
      <c r="J549" s="42"/>
      <c r="K549" s="42"/>
      <c r="L549" s="42"/>
      <c r="M549" s="42"/>
      <c r="N549" s="38"/>
      <c r="O549" s="31" t="str">
        <f>IFERROR(__xludf.DUMMYFUNCTION("""COMPUTED_VALUE"""),"#Error: Reference ID")</f>
        <v>#Error: Reference ID</v>
      </c>
      <c r="P549" s="9" t="str">
        <f>IFERROR(__xludf.DUMMYFUNCTION("""COMPUTED_VALUE"""),"#Error: Reference ID")</f>
        <v>#Error: Reference ID</v>
      </c>
      <c r="Q549" s="9" t="str">
        <f>IFERROR(__xludf.DUMMYFUNCTION("""COMPUTED_VALUE"""),"#Error: Reference ID")</f>
        <v>#Error: Reference ID</v>
      </c>
      <c r="R549" s="179" t="str">
        <f>IFERROR(__xludf.DUMMYFUNCTION("""COMPUTED_VALUE"""),"MEC_V (00/00) [Winterer, 2017][Witter, 2017];
")</f>
        <v>MEC_V (00/00) [Winterer, 2017][Witter, 2017];
</v>
      </c>
      <c r="S549" s="179" t="str">
        <f>IFERROR(__xludf.DUMMYFUNCTION("""COMPUTED_VALUE"""),"MEC_IIMEC_V")</f>
        <v>MEC_IIMEC_V</v>
      </c>
      <c r="T549" s="179" t="str">
        <f>IFERROR(__xludf.DUMMYFUNCTION("""COMPUTED_VALUE"""),"[Winterer, 2017]")</f>
        <v>[Winterer, 2017]</v>
      </c>
      <c r="U549" s="179">
        <f>IFERROR(__xludf.DUMMYFUNCTION("""COMPUTED_VALUE"""),0.0)</f>
        <v>0</v>
      </c>
      <c r="V549" s="180">
        <f>IFERROR(__xludf.DUMMYFUNCTION("""COMPUTED_VALUE"""),0.0)</f>
        <v>0</v>
      </c>
      <c r="W549" s="180">
        <f>IFERROR(__xludf.DUMMYFUNCTION("""COMPUTED_VALUE"""),0.0)</f>
        <v>0</v>
      </c>
      <c r="X549" s="42">
        <f>IFERROR(__xludf.DUMMYFUNCTION("""COMPUTED_VALUE"""),0.0)</f>
        <v>0</v>
      </c>
      <c r="Y549" s="42">
        <f>IFERROR(__xludf.DUMMYFUNCTION("""COMPUTED_VALUE"""),0.0)</f>
        <v>0</v>
      </c>
      <c r="Z549" s="9">
        <f>IFERROR(__xludf.DUMMYFUNCTION("""COMPUTED_VALUE"""),0.0)</f>
        <v>0</v>
      </c>
      <c r="AA549" s="181">
        <f>IFERROR(__xludf.DUMMYFUNCTION("""COMPUTED_VALUE"""),0.0)</f>
        <v>0</v>
      </c>
      <c r="AB549" s="181">
        <f>IFERROR(__xludf.DUMMYFUNCTION("""COMPUTED_VALUE"""),0.0)</f>
        <v>0</v>
      </c>
      <c r="AC549" s="179">
        <f>IFERROR(__xludf.DUMMYFUNCTION("""COMPUTED_VALUE"""),0.0)</f>
        <v>0</v>
      </c>
      <c r="AD549" s="165">
        <f>IFERROR(__xludf.DUMMYFUNCTION("""COMPUTED_VALUE"""),0.0)</f>
        <v>0</v>
      </c>
      <c r="AE549" s="39" t="str">
        <f>IFERROR(__xludf.DUMMYFUNCTION("""COMPUTED_VALUE"""),"Ayako Fukawa")</f>
        <v>Ayako Fukawa</v>
      </c>
      <c r="AF549" s="39" t="str">
        <f>IFERROR(__xludf.DUMMYFUNCTION("""COMPUTED_VALUE"""),"AT20HippocampalFormation")</f>
        <v>AT20HippocampalFormation</v>
      </c>
      <c r="AG549" s="39"/>
      <c r="AH549" s="39"/>
      <c r="AI549" s="165"/>
      <c r="AJ549" s="165"/>
      <c r="AK549" s="111"/>
      <c r="AL549" s="111"/>
      <c r="AM549" s="111"/>
      <c r="AN549" s="111"/>
      <c r="AO549" s="111"/>
      <c r="AP549" s="111"/>
      <c r="AQ549" s="116"/>
      <c r="AR549" s="116"/>
      <c r="AS549" s="116"/>
    </row>
    <row r="550">
      <c r="A550" s="42" t="str">
        <f>IFERROR(__xludf.DUMMYFUNCTION("""COMPUTED_VALUE"""),"MEC_II")</f>
        <v>MEC_II</v>
      </c>
      <c r="B550" s="42"/>
      <c r="C550" s="42"/>
      <c r="D550" s="42" t="str">
        <f>IFERROR(__xludf.DUMMYFUNCTION("""COMPUTED_VALUE"""),"CA3")</f>
        <v>CA3</v>
      </c>
      <c r="E550" s="42"/>
      <c r="F550" s="42"/>
      <c r="G550" s="42"/>
      <c r="H550" s="42" t="str">
        <f>IFERROR(__xludf.DUMMYFUNCTION("""COMPUTED_VALUE"""),"")</f>
        <v/>
      </c>
      <c r="I550" s="42" t="str">
        <f>IFERROR(__xludf.DUMMYFUNCTION("""COMPUTED_VALUE"""),"Witter, 2000")</f>
        <v>Witter, 2000</v>
      </c>
      <c r="J550" s="42"/>
      <c r="K550" s="42"/>
      <c r="L550" s="42"/>
      <c r="M550" s="42"/>
      <c r="N550" s="38"/>
      <c r="O550" s="31" t="str">
        <f>IFERROR(__xludf.DUMMYFUNCTION("""COMPUTED_VALUE"""),"DOC")</f>
        <v>DOC</v>
      </c>
      <c r="P550" s="9" t="str">
        <f>IFERROR(__xludf.DUMMYFUNCTION("""COMPUTED_VALUE"""),"Hippocampus")</f>
        <v>Hippocampus</v>
      </c>
      <c r="Q550" s="9" t="str">
        <f>IFERROR(__xludf.DUMMYFUNCTION("""COMPUTED_VALUE"""),"Review")</f>
        <v>Review</v>
      </c>
      <c r="R550" s="179" t="str">
        <f>IFERROR(__xludf.DUMMYFUNCTION("""COMPUTED_VALUE"""),"CA3 (00/00) [Moser, 2010][Witter, 2000];
")</f>
        <v>CA3 (00/00) [Moser, 2010][Witter, 2000];
</v>
      </c>
      <c r="S550" s="179" t="str">
        <f>IFERROR(__xludf.DUMMYFUNCTION("""COMPUTED_VALUE"""),"MEC_IICA3")</f>
        <v>MEC_IICA3</v>
      </c>
      <c r="T550" s="179" t="str">
        <f>IFERROR(__xludf.DUMMYFUNCTION("""COMPUTED_VALUE"""),"[Witter, 2000]")</f>
        <v>[Witter, 2000]</v>
      </c>
      <c r="U550" s="179">
        <f>IFERROR(__xludf.DUMMYFUNCTION("""COMPUTED_VALUE"""),0.0)</f>
        <v>0</v>
      </c>
      <c r="V550" s="180">
        <f>IFERROR(__xludf.DUMMYFUNCTION("""COMPUTED_VALUE"""),0.0)</f>
        <v>0</v>
      </c>
      <c r="W550" s="180">
        <f>IFERROR(__xludf.DUMMYFUNCTION("""COMPUTED_VALUE"""),0.95)</f>
        <v>0.95</v>
      </c>
      <c r="X550" s="42">
        <f>IFERROR(__xludf.DUMMYFUNCTION("""COMPUTED_VALUE"""),0.8)</f>
        <v>0.8</v>
      </c>
      <c r="Y550" s="42">
        <f>IFERROR(__xludf.DUMMYFUNCTION("""COMPUTED_VALUE"""),0.0)</f>
        <v>0</v>
      </c>
      <c r="Z550" s="9">
        <f>IFERROR(__xludf.DUMMYFUNCTION("""COMPUTED_VALUE"""),0.0)</f>
        <v>0</v>
      </c>
      <c r="AA550" s="181">
        <f>IFERROR(__xludf.DUMMYFUNCTION("""COMPUTED_VALUE"""),0.0)</f>
        <v>0</v>
      </c>
      <c r="AB550" s="181">
        <f>IFERROR(__xludf.DUMMYFUNCTION("""COMPUTED_VALUE"""),0.0)</f>
        <v>0</v>
      </c>
      <c r="AC550" s="179">
        <f>IFERROR(__xludf.DUMMYFUNCTION("""COMPUTED_VALUE"""),0.0)</f>
        <v>0</v>
      </c>
      <c r="AD550" s="165">
        <f>IFERROR(__xludf.DUMMYFUNCTION("""COMPUTED_VALUE"""),0.0)</f>
        <v>0</v>
      </c>
      <c r="AE550" s="39" t="str">
        <f>IFERROR(__xludf.DUMMYFUNCTION("""COMPUTED_VALUE"""),"Ayako Fukawa")</f>
        <v>Ayako Fukawa</v>
      </c>
      <c r="AF550" s="39" t="str">
        <f>IFERROR(__xludf.DUMMYFUNCTION("""COMPUTED_VALUE"""),"AT20HippocampalFormation")</f>
        <v>AT20HippocampalFormation</v>
      </c>
      <c r="AG550" s="39"/>
      <c r="AH550" s="39"/>
      <c r="AI550" s="165"/>
      <c r="AJ550" s="165"/>
      <c r="AK550" s="111"/>
      <c r="AL550" s="111"/>
      <c r="AM550" s="111"/>
      <c r="AN550" s="111"/>
      <c r="AO550" s="111"/>
      <c r="AP550" s="111"/>
      <c r="AQ550" s="116"/>
      <c r="AR550" s="116"/>
      <c r="AS550" s="116"/>
    </row>
    <row r="551">
      <c r="A551" s="42" t="str">
        <f>IFERROR(__xludf.DUMMYFUNCTION("""COMPUTED_VALUE"""),"MEC_II")</f>
        <v>MEC_II</v>
      </c>
      <c r="B551" s="42"/>
      <c r="C551" s="42"/>
      <c r="D551" s="42" t="str">
        <f>IFERROR(__xludf.DUMMYFUNCTION("""COMPUTED_VALUE"""),"MEC_I")</f>
        <v>MEC_I</v>
      </c>
      <c r="E551" s="42"/>
      <c r="F551" s="42"/>
      <c r="G551" s="42"/>
      <c r="H551" s="42" t="str">
        <f>IFERROR(__xludf.DUMMYFUNCTION("""COMPUTED_VALUE"""),"")</f>
        <v/>
      </c>
      <c r="I551" s="42" t="str">
        <f>IFERROR(__xludf.DUMMYFUNCTION("""COMPUTED_VALUE"""),"Witter, 2017")</f>
        <v>Witter, 2017</v>
      </c>
      <c r="J551" s="42"/>
      <c r="K551" s="42"/>
      <c r="L551" s="42"/>
      <c r="M551" s="42"/>
      <c r="N551" s="38"/>
      <c r="O551" s="31" t="str">
        <f>IFERROR(__xludf.DUMMYFUNCTION("""COMPUTED_VALUE"""),"#Error: Reference ID")</f>
        <v>#Error: Reference ID</v>
      </c>
      <c r="P551" s="9" t="str">
        <f>IFERROR(__xludf.DUMMYFUNCTION("""COMPUTED_VALUE"""),"#Error: Reference ID")</f>
        <v>#Error: Reference ID</v>
      </c>
      <c r="Q551" s="9" t="str">
        <f>IFERROR(__xludf.DUMMYFUNCTION("""COMPUTED_VALUE"""),"#Error: Reference ID")</f>
        <v>#Error: Reference ID</v>
      </c>
      <c r="R551" s="179" t="str">
        <f>IFERROR(__xludf.DUMMYFUNCTION("""COMPUTED_VALUE"""),"MEC_I (00/00) [Winterer, 2017][Witter, 2017];
")</f>
        <v>MEC_I (00/00) [Winterer, 2017][Witter, 2017];
</v>
      </c>
      <c r="S551" s="179" t="str">
        <f>IFERROR(__xludf.DUMMYFUNCTION("""COMPUTED_VALUE"""),"MEC_IIMEC_I")</f>
        <v>MEC_IIMEC_I</v>
      </c>
      <c r="T551" s="179" t="str">
        <f>IFERROR(__xludf.DUMMYFUNCTION("""COMPUTED_VALUE"""),"[Witter, 2017]")</f>
        <v>[Witter, 2017]</v>
      </c>
      <c r="U551" s="179">
        <f>IFERROR(__xludf.DUMMYFUNCTION("""COMPUTED_VALUE"""),0.0)</f>
        <v>0</v>
      </c>
      <c r="V551" s="180">
        <f>IFERROR(__xludf.DUMMYFUNCTION("""COMPUTED_VALUE"""),0.0)</f>
        <v>0</v>
      </c>
      <c r="W551" s="180">
        <f>IFERROR(__xludf.DUMMYFUNCTION("""COMPUTED_VALUE"""),0.0)</f>
        <v>0</v>
      </c>
      <c r="X551" s="42">
        <f>IFERROR(__xludf.DUMMYFUNCTION("""COMPUTED_VALUE"""),0.0)</f>
        <v>0</v>
      </c>
      <c r="Y551" s="42">
        <f>IFERROR(__xludf.DUMMYFUNCTION("""COMPUTED_VALUE"""),0.0)</f>
        <v>0</v>
      </c>
      <c r="Z551" s="9">
        <f>IFERROR(__xludf.DUMMYFUNCTION("""COMPUTED_VALUE"""),0.0)</f>
        <v>0</v>
      </c>
      <c r="AA551" s="181">
        <f>IFERROR(__xludf.DUMMYFUNCTION("""COMPUTED_VALUE"""),0.0)</f>
        <v>0</v>
      </c>
      <c r="AB551" s="181">
        <f>IFERROR(__xludf.DUMMYFUNCTION("""COMPUTED_VALUE"""),0.0)</f>
        <v>0</v>
      </c>
      <c r="AC551" s="179">
        <f>IFERROR(__xludf.DUMMYFUNCTION("""COMPUTED_VALUE"""),0.0)</f>
        <v>0</v>
      </c>
      <c r="AD551" s="165">
        <f>IFERROR(__xludf.DUMMYFUNCTION("""COMPUTED_VALUE"""),0.0)</f>
        <v>0</v>
      </c>
      <c r="AE551" s="39" t="str">
        <f>IFERROR(__xludf.DUMMYFUNCTION("""COMPUTED_VALUE"""),"Ayako Fukawa")</f>
        <v>Ayako Fukawa</v>
      </c>
      <c r="AF551" s="39" t="str">
        <f>IFERROR(__xludf.DUMMYFUNCTION("""COMPUTED_VALUE"""),"AT20HippocampalFormation")</f>
        <v>AT20HippocampalFormation</v>
      </c>
      <c r="AG551" s="39"/>
      <c r="AH551" s="39"/>
      <c r="AI551" s="165"/>
      <c r="AJ551" s="165"/>
      <c r="AK551" s="111"/>
      <c r="AL551" s="111"/>
      <c r="AM551" s="111"/>
      <c r="AN551" s="111"/>
      <c r="AO551" s="111"/>
      <c r="AP551" s="111"/>
      <c r="AQ551" s="116"/>
      <c r="AR551" s="116"/>
      <c r="AS551" s="116"/>
    </row>
    <row r="552">
      <c r="A552" s="42" t="str">
        <f>IFERROR(__xludf.DUMMYFUNCTION("""COMPUTED_VALUE"""),"MEC_II")</f>
        <v>MEC_II</v>
      </c>
      <c r="B552" s="42"/>
      <c r="C552" s="42"/>
      <c r="D552" s="42" t="str">
        <f>IFERROR(__xludf.DUMMYFUNCTION("""COMPUTED_VALUE"""),"MEC_II")</f>
        <v>MEC_II</v>
      </c>
      <c r="E552" s="42"/>
      <c r="F552" s="42"/>
      <c r="G552" s="42"/>
      <c r="H552" s="42" t="str">
        <f>IFERROR(__xludf.DUMMYFUNCTION("""COMPUTED_VALUE"""),"")</f>
        <v/>
      </c>
      <c r="I552" s="42" t="str">
        <f>IFERROR(__xludf.DUMMYFUNCTION("""COMPUTED_VALUE"""),"Witter, 2017")</f>
        <v>Witter, 2017</v>
      </c>
      <c r="J552" s="42"/>
      <c r="K552" s="42"/>
      <c r="L552" s="42"/>
      <c r="M552" s="42"/>
      <c r="N552" s="38"/>
      <c r="O552" s="31" t="str">
        <f>IFERROR(__xludf.DUMMYFUNCTION("""COMPUTED_VALUE"""),"#Error: Reference ID")</f>
        <v>#Error: Reference ID</v>
      </c>
      <c r="P552" s="9" t="str">
        <f>IFERROR(__xludf.DUMMYFUNCTION("""COMPUTED_VALUE"""),"#Error: Reference ID")</f>
        <v>#Error: Reference ID</v>
      </c>
      <c r="Q552" s="9" t="str">
        <f>IFERROR(__xludf.DUMMYFUNCTION("""COMPUTED_VALUE"""),"#Error: Reference ID")</f>
        <v>#Error: Reference ID</v>
      </c>
      <c r="R552" s="179" t="str">
        <f>IFERROR(__xludf.DUMMYFUNCTION("""COMPUTED_VALUE"""),"MEC_II (00/00) [Winterer, 2017][Witter, 2017];
")</f>
        <v>MEC_II (00/00) [Winterer, 2017][Witter, 2017];
</v>
      </c>
      <c r="S552" s="179" t="str">
        <f>IFERROR(__xludf.DUMMYFUNCTION("""COMPUTED_VALUE"""),"MEC_IIMEC_II")</f>
        <v>MEC_IIMEC_II</v>
      </c>
      <c r="T552" s="179" t="str">
        <f>IFERROR(__xludf.DUMMYFUNCTION("""COMPUTED_VALUE"""),"[Witter, 2017]")</f>
        <v>[Witter, 2017]</v>
      </c>
      <c r="U552" s="179">
        <f>IFERROR(__xludf.DUMMYFUNCTION("""COMPUTED_VALUE"""),0.0)</f>
        <v>0</v>
      </c>
      <c r="V552" s="180">
        <f>IFERROR(__xludf.DUMMYFUNCTION("""COMPUTED_VALUE"""),0.0)</f>
        <v>0</v>
      </c>
      <c r="W552" s="180">
        <f>IFERROR(__xludf.DUMMYFUNCTION("""COMPUTED_VALUE"""),0.0)</f>
        <v>0</v>
      </c>
      <c r="X552" s="42">
        <f>IFERROR(__xludf.DUMMYFUNCTION("""COMPUTED_VALUE"""),0.0)</f>
        <v>0</v>
      </c>
      <c r="Y552" s="42">
        <f>IFERROR(__xludf.DUMMYFUNCTION("""COMPUTED_VALUE"""),0.0)</f>
        <v>0</v>
      </c>
      <c r="Z552" s="9">
        <f>IFERROR(__xludf.DUMMYFUNCTION("""COMPUTED_VALUE"""),0.0)</f>
        <v>0</v>
      </c>
      <c r="AA552" s="181">
        <f>IFERROR(__xludf.DUMMYFUNCTION("""COMPUTED_VALUE"""),0.0)</f>
        <v>0</v>
      </c>
      <c r="AB552" s="181">
        <f>IFERROR(__xludf.DUMMYFUNCTION("""COMPUTED_VALUE"""),0.0)</f>
        <v>0</v>
      </c>
      <c r="AC552" s="179">
        <f>IFERROR(__xludf.DUMMYFUNCTION("""COMPUTED_VALUE"""),0.0)</f>
        <v>0</v>
      </c>
      <c r="AD552" s="165">
        <f>IFERROR(__xludf.DUMMYFUNCTION("""COMPUTED_VALUE"""),0.0)</f>
        <v>0</v>
      </c>
      <c r="AE552" s="39" t="str">
        <f>IFERROR(__xludf.DUMMYFUNCTION("""COMPUTED_VALUE"""),"Ayako Fukawa")</f>
        <v>Ayako Fukawa</v>
      </c>
      <c r="AF552" s="39" t="str">
        <f>IFERROR(__xludf.DUMMYFUNCTION("""COMPUTED_VALUE"""),"AT20HippocampalFormation")</f>
        <v>AT20HippocampalFormation</v>
      </c>
      <c r="AG552" s="39"/>
      <c r="AH552" s="39"/>
      <c r="AI552" s="165"/>
      <c r="AJ552" s="165"/>
      <c r="AK552" s="111"/>
      <c r="AL552" s="111"/>
      <c r="AM552" s="111"/>
      <c r="AN552" s="111"/>
      <c r="AO552" s="111"/>
      <c r="AP552" s="111"/>
      <c r="AQ552" s="116"/>
      <c r="AR552" s="116"/>
      <c r="AS552" s="116"/>
    </row>
    <row r="553">
      <c r="A553" s="42" t="str">
        <f>IFERROR(__xludf.DUMMYFUNCTION("""COMPUTED_VALUE"""),"MEC_II")</f>
        <v>MEC_II</v>
      </c>
      <c r="B553" s="42"/>
      <c r="C553" s="42"/>
      <c r="D553" s="42" t="str">
        <f>IFERROR(__xludf.DUMMYFUNCTION("""COMPUTED_VALUE"""),"MEC_V")</f>
        <v>MEC_V</v>
      </c>
      <c r="E553" s="42"/>
      <c r="F553" s="42"/>
      <c r="G553" s="42"/>
      <c r="H553" s="42" t="str">
        <f>IFERROR(__xludf.DUMMYFUNCTION("""COMPUTED_VALUE"""),"")</f>
        <v/>
      </c>
      <c r="I553" s="42" t="str">
        <f>IFERROR(__xludf.DUMMYFUNCTION("""COMPUTED_VALUE"""),"Witter, 2017")</f>
        <v>Witter, 2017</v>
      </c>
      <c r="J553" s="42"/>
      <c r="K553" s="42"/>
      <c r="L553" s="42"/>
      <c r="M553" s="42"/>
      <c r="N553" s="38"/>
      <c r="O553" s="31" t="str">
        <f>IFERROR(__xludf.DUMMYFUNCTION("""COMPUTED_VALUE"""),"#Error: Reference ID")</f>
        <v>#Error: Reference ID</v>
      </c>
      <c r="P553" s="9" t="str">
        <f>IFERROR(__xludf.DUMMYFUNCTION("""COMPUTED_VALUE"""),"#Error: Reference ID")</f>
        <v>#Error: Reference ID</v>
      </c>
      <c r="Q553" s="9" t="str">
        <f>IFERROR(__xludf.DUMMYFUNCTION("""COMPUTED_VALUE"""),"#Error: Reference ID")</f>
        <v>#Error: Reference ID</v>
      </c>
      <c r="R553" s="179" t="str">
        <f>IFERROR(__xludf.DUMMYFUNCTION("""COMPUTED_VALUE"""),"MEC_V (00/00) [Winterer, 2017][Witter, 2017];
")</f>
        <v>MEC_V (00/00) [Winterer, 2017][Witter, 2017];
</v>
      </c>
      <c r="S553" s="179" t="str">
        <f>IFERROR(__xludf.DUMMYFUNCTION("""COMPUTED_VALUE"""),"MEC_IIMEC_V")</f>
        <v>MEC_IIMEC_V</v>
      </c>
      <c r="T553" s="179" t="str">
        <f>IFERROR(__xludf.DUMMYFUNCTION("""COMPUTED_VALUE"""),"[Witter, 2017]")</f>
        <v>[Witter, 2017]</v>
      </c>
      <c r="U553" s="179">
        <f>IFERROR(__xludf.DUMMYFUNCTION("""COMPUTED_VALUE"""),0.0)</f>
        <v>0</v>
      </c>
      <c r="V553" s="180">
        <f>IFERROR(__xludf.DUMMYFUNCTION("""COMPUTED_VALUE"""),0.0)</f>
        <v>0</v>
      </c>
      <c r="W553" s="180">
        <f>IFERROR(__xludf.DUMMYFUNCTION("""COMPUTED_VALUE"""),0.0)</f>
        <v>0</v>
      </c>
      <c r="X553" s="42">
        <f>IFERROR(__xludf.DUMMYFUNCTION("""COMPUTED_VALUE"""),0.0)</f>
        <v>0</v>
      </c>
      <c r="Y553" s="42">
        <f>IFERROR(__xludf.DUMMYFUNCTION("""COMPUTED_VALUE"""),0.0)</f>
        <v>0</v>
      </c>
      <c r="Z553" s="9">
        <f>IFERROR(__xludf.DUMMYFUNCTION("""COMPUTED_VALUE"""),0.0)</f>
        <v>0</v>
      </c>
      <c r="AA553" s="181">
        <f>IFERROR(__xludf.DUMMYFUNCTION("""COMPUTED_VALUE"""),0.0)</f>
        <v>0</v>
      </c>
      <c r="AB553" s="181">
        <f>IFERROR(__xludf.DUMMYFUNCTION("""COMPUTED_VALUE"""),0.0)</f>
        <v>0</v>
      </c>
      <c r="AC553" s="179">
        <f>IFERROR(__xludf.DUMMYFUNCTION("""COMPUTED_VALUE"""),0.0)</f>
        <v>0</v>
      </c>
      <c r="AD553" s="165">
        <f>IFERROR(__xludf.DUMMYFUNCTION("""COMPUTED_VALUE"""),0.0)</f>
        <v>0</v>
      </c>
      <c r="AE553" s="39" t="str">
        <f>IFERROR(__xludf.DUMMYFUNCTION("""COMPUTED_VALUE"""),"Ayako Fukawa")</f>
        <v>Ayako Fukawa</v>
      </c>
      <c r="AF553" s="39" t="str">
        <f>IFERROR(__xludf.DUMMYFUNCTION("""COMPUTED_VALUE"""),"AT20HippocampalFormation")</f>
        <v>AT20HippocampalFormation</v>
      </c>
      <c r="AG553" s="39"/>
      <c r="AH553" s="39"/>
      <c r="AI553" s="165"/>
      <c r="AJ553" s="165"/>
      <c r="AK553" s="111"/>
      <c r="AL553" s="111"/>
      <c r="AM553" s="111"/>
      <c r="AN553" s="111"/>
      <c r="AO553" s="111"/>
      <c r="AP553" s="111"/>
      <c r="AQ553" s="116"/>
      <c r="AR553" s="116"/>
      <c r="AS553" s="116"/>
    </row>
    <row r="554">
      <c r="A554" s="42" t="str">
        <f>IFERROR(__xludf.DUMMYFUNCTION("""COMPUTED_VALUE"""),"MEC_III")</f>
        <v>MEC_III</v>
      </c>
      <c r="B554" s="42" t="str">
        <f>IFERROR(__xludf.DUMMYFUNCTION("""COMPUTED_VALUE"""),"=")</f>
        <v>=</v>
      </c>
      <c r="C554" s="42"/>
      <c r="D554" s="42" t="str">
        <f>IFERROR(__xludf.DUMMYFUNCTION("""COMPUTED_VALUE"""),"CA1_proximal")</f>
        <v>CA1_proximal</v>
      </c>
      <c r="E554" s="42" t="str">
        <f>IFERROR(__xludf.DUMMYFUNCTION("""COMPUTED_VALUE"""),"=")</f>
        <v>=</v>
      </c>
      <c r="F554" s="42"/>
      <c r="G554" s="42"/>
      <c r="H554" s="42"/>
      <c r="I554" s="42" t="str">
        <f>IFERROR(__xludf.DUMMYFUNCTION("""COMPUTED_VALUE"""),"Moser, 2010")</f>
        <v>Moser, 2010</v>
      </c>
      <c r="J554" s="42" t="str">
        <f>IFERROR(__xludf.DUMMYFUNCTION("""COMPUTED_VALUE"""),"(Mixed)")</f>
        <v>(Mixed)</v>
      </c>
      <c r="K554" s="42"/>
      <c r="L554" s="180" t="str">
        <f>IFERROR(__xludf.DUMMYFUNCTION("""COMPUTED_VALUE"""),"The main axon of pyramidal cells in layer III projects via the angular bundle to the subiculum and CA1")</f>
        <v>The main axon of pyramidal cells in layer III projects via the angular bundle to the subiculum and CA1</v>
      </c>
      <c r="M554" s="42" t="str">
        <f>IFERROR(__xludf.DUMMYFUNCTION("""COMPUTED_VALUE"""),"Fig.17-1")</f>
        <v>Fig.17-1</v>
      </c>
      <c r="N554" s="38" t="str">
        <f>IFERROR(__xludf.DUMMYFUNCTION("""COMPUTED_VALUE"""),"Canto et al., 2008")</f>
        <v>Canto et al., 2008</v>
      </c>
      <c r="O554" s="31" t="str">
        <f>IFERROR(__xludf.DUMMYFUNCTION("""COMPUTED_VALUE"""),"DOC")</f>
        <v>DOC</v>
      </c>
      <c r="P554" s="9" t="str">
        <f>IFERROR(__xludf.DUMMYFUNCTION("""COMPUTED_VALUE"""),"Handbook of Brain Microcircuits")</f>
        <v>Handbook of Brain Microcircuits</v>
      </c>
      <c r="Q554" s="9" t="str">
        <f>IFERROR(__xludf.DUMMYFUNCTION("""COMPUTED_VALUE"""),"Textbook")</f>
        <v>Textbook</v>
      </c>
      <c r="R554" s="179" t="str">
        <f>IFERROR(__xludf.DUMMYFUNCTION("""COMPUTED_VALUE"""),"CA1_proximal (00/00) [Moser, 2010][Witter, 2000];
")</f>
        <v>CA1_proximal (00/00) [Moser, 2010][Witter, 2000];
</v>
      </c>
      <c r="S554" s="179" t="str">
        <f>IFERROR(__xludf.DUMMYFUNCTION("""COMPUTED_VALUE"""),"MEC_IIICA1_proximal")</f>
        <v>MEC_IIICA1_proximal</v>
      </c>
      <c r="T554" s="179" t="str">
        <f>IFERROR(__xludf.DUMMYFUNCTION("""COMPUTED_VALUE"""),"[Moser, 2010]")</f>
        <v>[Moser, 2010]</v>
      </c>
      <c r="U554" s="179">
        <f>IFERROR(__xludf.DUMMYFUNCTION("""COMPUTED_VALUE"""),1.0)</f>
        <v>1</v>
      </c>
      <c r="V554" s="180">
        <f>IFERROR(__xludf.DUMMYFUNCTION("""COMPUTED_VALUE"""),1.0)</f>
        <v>1</v>
      </c>
      <c r="W554" s="180">
        <f>IFERROR(__xludf.DUMMYFUNCTION("""COMPUTED_VALUE"""),0.95)</f>
        <v>0.95</v>
      </c>
      <c r="X554" s="42">
        <f>IFERROR(__xludf.DUMMYFUNCTION("""COMPUTED_VALUE"""),0.9)</f>
        <v>0.9</v>
      </c>
      <c r="Y554" s="42">
        <f>IFERROR(__xludf.DUMMYFUNCTION("""COMPUTED_VALUE"""),0.0)</f>
        <v>0</v>
      </c>
      <c r="Z554" s="9">
        <f>IFERROR(__xludf.DUMMYFUNCTION("""COMPUTED_VALUE"""),0.0)</f>
        <v>0</v>
      </c>
      <c r="AA554" s="181">
        <f>IFERROR(__xludf.DUMMYFUNCTION("""COMPUTED_VALUE"""),0.0)</f>
        <v>0</v>
      </c>
      <c r="AB554" s="181">
        <f>IFERROR(__xludf.DUMMYFUNCTION("""COMPUTED_VALUE"""),0.0)</f>
        <v>0</v>
      </c>
      <c r="AC554" s="179">
        <f>IFERROR(__xludf.DUMMYFUNCTION("""COMPUTED_VALUE"""),0.0)</f>
        <v>0</v>
      </c>
      <c r="AD554" s="165">
        <f>IFERROR(__xludf.DUMMYFUNCTION("""COMPUTED_VALUE"""),0.0)</f>
        <v>0</v>
      </c>
      <c r="AE554" s="39" t="str">
        <f>IFERROR(__xludf.DUMMYFUNCTION("""COMPUTED_VALUE"""),"Ayako Fukawa")</f>
        <v>Ayako Fukawa</v>
      </c>
      <c r="AF554" s="39" t="str">
        <f>IFERROR(__xludf.DUMMYFUNCTION("""COMPUTED_VALUE"""),"AT20HippocampalFormation")</f>
        <v>AT20HippocampalFormation</v>
      </c>
      <c r="AG554" s="39"/>
      <c r="AH554" s="39"/>
      <c r="AI554" s="165"/>
      <c r="AJ554" s="165"/>
      <c r="AK554" s="111"/>
      <c r="AL554" s="111"/>
      <c r="AM554" s="111"/>
      <c r="AN554" s="111"/>
      <c r="AO554" s="111"/>
      <c r="AP554" s="111"/>
      <c r="AQ554" s="116"/>
      <c r="AR554" s="116"/>
      <c r="AS554" s="116"/>
    </row>
    <row r="555">
      <c r="A555" s="42" t="str">
        <f>IFERROR(__xludf.DUMMYFUNCTION("""COMPUTED_VALUE"""),"MEC_III")</f>
        <v>MEC_III</v>
      </c>
      <c r="B555" s="42" t="str">
        <f>IFERROR(__xludf.DUMMYFUNCTION("""COMPUTED_VALUE"""),"=")</f>
        <v>=</v>
      </c>
      <c r="C555" s="42"/>
      <c r="D555" s="42" t="str">
        <f>IFERROR(__xludf.DUMMYFUNCTION("""COMPUTED_VALUE"""),"S_distal")</f>
        <v>S_distal</v>
      </c>
      <c r="E555" s="42" t="str">
        <f>IFERROR(__xludf.DUMMYFUNCTION("""COMPUTED_VALUE"""),"=")</f>
        <v>=</v>
      </c>
      <c r="F555" s="42"/>
      <c r="G555" s="42"/>
      <c r="H555" s="42"/>
      <c r="I555" s="42" t="str">
        <f>IFERROR(__xludf.DUMMYFUNCTION("""COMPUTED_VALUE"""),"Moser, 2010")</f>
        <v>Moser, 2010</v>
      </c>
      <c r="J555" s="42" t="str">
        <f>IFERROR(__xludf.DUMMYFUNCTION("""COMPUTED_VALUE"""),"(Mixed)")</f>
        <v>(Mixed)</v>
      </c>
      <c r="K555" s="42"/>
      <c r="L555" s="180" t="str">
        <f>IFERROR(__xludf.DUMMYFUNCTION("""COMPUTED_VALUE"""),"The main axon of pyramidal cells in layer III projects via the angular bundle to the subiculum and CA1")</f>
        <v>The main axon of pyramidal cells in layer III projects via the angular bundle to the subiculum and CA1</v>
      </c>
      <c r="M555" s="42" t="str">
        <f>IFERROR(__xludf.DUMMYFUNCTION("""COMPUTED_VALUE"""),"Fig.17-1")</f>
        <v>Fig.17-1</v>
      </c>
      <c r="N555" s="38" t="str">
        <f>IFERROR(__xludf.DUMMYFUNCTION("""COMPUTED_VALUE"""),"Canto et al., 2008")</f>
        <v>Canto et al., 2008</v>
      </c>
      <c r="O555" s="31" t="str">
        <f>IFERROR(__xludf.DUMMYFUNCTION("""COMPUTED_VALUE"""),"DOC")</f>
        <v>DOC</v>
      </c>
      <c r="P555" s="9" t="str">
        <f>IFERROR(__xludf.DUMMYFUNCTION("""COMPUTED_VALUE"""),"Handbook of Brain Microcircuits")</f>
        <v>Handbook of Brain Microcircuits</v>
      </c>
      <c r="Q555" s="9" t="str">
        <f>IFERROR(__xludf.DUMMYFUNCTION("""COMPUTED_VALUE"""),"Textbook")</f>
        <v>Textbook</v>
      </c>
      <c r="R555" s="179" t="str">
        <f>IFERROR(__xludf.DUMMYFUNCTION("""COMPUTED_VALUE"""),"S_distal (00/00) [Moser, 2010][Witter, 2000];
")</f>
        <v>S_distal (00/00) [Moser, 2010][Witter, 2000];
</v>
      </c>
      <c r="S555" s="179" t="str">
        <f>IFERROR(__xludf.DUMMYFUNCTION("""COMPUTED_VALUE"""),"MEC_IIIS_distal")</f>
        <v>MEC_IIIS_distal</v>
      </c>
      <c r="T555" s="179" t="str">
        <f>IFERROR(__xludf.DUMMYFUNCTION("""COMPUTED_VALUE"""),"[Moser, 2010]")</f>
        <v>[Moser, 2010]</v>
      </c>
      <c r="U555" s="179">
        <f>IFERROR(__xludf.DUMMYFUNCTION("""COMPUTED_VALUE"""),1.0)</f>
        <v>1</v>
      </c>
      <c r="V555" s="180">
        <f>IFERROR(__xludf.DUMMYFUNCTION("""COMPUTED_VALUE"""),1.0)</f>
        <v>1</v>
      </c>
      <c r="W555" s="180">
        <f>IFERROR(__xludf.DUMMYFUNCTION("""COMPUTED_VALUE"""),0.95)</f>
        <v>0.95</v>
      </c>
      <c r="X555" s="42">
        <f>IFERROR(__xludf.DUMMYFUNCTION("""COMPUTED_VALUE"""),0.9)</f>
        <v>0.9</v>
      </c>
      <c r="Y555" s="42">
        <f>IFERROR(__xludf.DUMMYFUNCTION("""COMPUTED_VALUE"""),0.0)</f>
        <v>0</v>
      </c>
      <c r="Z555" s="9">
        <f>IFERROR(__xludf.DUMMYFUNCTION("""COMPUTED_VALUE"""),0.0)</f>
        <v>0</v>
      </c>
      <c r="AA555" s="181">
        <f>IFERROR(__xludf.DUMMYFUNCTION("""COMPUTED_VALUE"""),0.0)</f>
        <v>0</v>
      </c>
      <c r="AB555" s="181">
        <f>IFERROR(__xludf.DUMMYFUNCTION("""COMPUTED_VALUE"""),0.0)</f>
        <v>0</v>
      </c>
      <c r="AC555" s="179">
        <f>IFERROR(__xludf.DUMMYFUNCTION("""COMPUTED_VALUE"""),0.0)</f>
        <v>0</v>
      </c>
      <c r="AD555" s="165">
        <f>IFERROR(__xludf.DUMMYFUNCTION("""COMPUTED_VALUE"""),0.0)</f>
        <v>0</v>
      </c>
      <c r="AE555" s="39" t="str">
        <f>IFERROR(__xludf.DUMMYFUNCTION("""COMPUTED_VALUE"""),"Ayako Fukawa")</f>
        <v>Ayako Fukawa</v>
      </c>
      <c r="AF555" s="39" t="str">
        <f>IFERROR(__xludf.DUMMYFUNCTION("""COMPUTED_VALUE"""),"AT20HippocampalFormation")</f>
        <v>AT20HippocampalFormation</v>
      </c>
      <c r="AG555" s="39"/>
      <c r="AH555" s="39"/>
      <c r="AI555" s="165"/>
      <c r="AJ555" s="165"/>
      <c r="AK555" s="111"/>
      <c r="AL555" s="111"/>
      <c r="AM555" s="111"/>
      <c r="AN555" s="111"/>
      <c r="AO555" s="111"/>
      <c r="AP555" s="111"/>
      <c r="AQ555" s="116"/>
      <c r="AR555" s="116"/>
      <c r="AS555" s="116"/>
    </row>
    <row r="556">
      <c r="A556" s="42" t="str">
        <f>IFERROR(__xludf.DUMMYFUNCTION("""COMPUTED_VALUE"""),"MEC_III")</f>
        <v>MEC_III</v>
      </c>
      <c r="B556" s="42"/>
      <c r="C556" s="42"/>
      <c r="D556" s="42" t="str">
        <f>IFERROR(__xludf.DUMMYFUNCTION("""COMPUTED_VALUE"""),"MEC_II")</f>
        <v>MEC_II</v>
      </c>
      <c r="E556" s="42"/>
      <c r="F556" s="42"/>
      <c r="G556" s="42"/>
      <c r="H556" s="42" t="str">
        <f>IFERROR(__xludf.DUMMYFUNCTION("""COMPUTED_VALUE"""),"")</f>
        <v/>
      </c>
      <c r="I556" s="42" t="str">
        <f>IFERROR(__xludf.DUMMYFUNCTION("""COMPUTED_VALUE"""),"Winterer, 2017")</f>
        <v>Winterer, 2017</v>
      </c>
      <c r="J556" s="42"/>
      <c r="K556" s="42"/>
      <c r="L556" s="42"/>
      <c r="M556" s="42"/>
      <c r="N556" s="38"/>
      <c r="O556" s="31" t="str">
        <f>IFERROR(__xludf.DUMMYFUNCTION("""COMPUTED_VALUE"""),"#Error: Reference ID")</f>
        <v>#Error: Reference ID</v>
      </c>
      <c r="P556" s="9" t="str">
        <f>IFERROR(__xludf.DUMMYFUNCTION("""COMPUTED_VALUE"""),"#Error: Reference ID")</f>
        <v>#Error: Reference ID</v>
      </c>
      <c r="Q556" s="9" t="str">
        <f>IFERROR(__xludf.DUMMYFUNCTION("""COMPUTED_VALUE"""),"#Error: Reference ID")</f>
        <v>#Error: Reference ID</v>
      </c>
      <c r="R556" s="179" t="str">
        <f>IFERROR(__xludf.DUMMYFUNCTION("""COMPUTED_VALUE"""),"MEC_II (00/00) [Winterer, 2017][Witter, 2017];
")</f>
        <v>MEC_II (00/00) [Winterer, 2017][Witter, 2017];
</v>
      </c>
      <c r="S556" s="179" t="str">
        <f>IFERROR(__xludf.DUMMYFUNCTION("""COMPUTED_VALUE"""),"MEC_IIIMEC_II")</f>
        <v>MEC_IIIMEC_II</v>
      </c>
      <c r="T556" s="179" t="str">
        <f>IFERROR(__xludf.DUMMYFUNCTION("""COMPUTED_VALUE"""),"[Winterer, 2017]")</f>
        <v>[Winterer, 2017]</v>
      </c>
      <c r="U556" s="179">
        <f>IFERROR(__xludf.DUMMYFUNCTION("""COMPUTED_VALUE"""),0.0)</f>
        <v>0</v>
      </c>
      <c r="V556" s="180">
        <f>IFERROR(__xludf.DUMMYFUNCTION("""COMPUTED_VALUE"""),0.0)</f>
        <v>0</v>
      </c>
      <c r="W556" s="180">
        <f>IFERROR(__xludf.DUMMYFUNCTION("""COMPUTED_VALUE"""),0.0)</f>
        <v>0</v>
      </c>
      <c r="X556" s="42">
        <f>IFERROR(__xludf.DUMMYFUNCTION("""COMPUTED_VALUE"""),0.0)</f>
        <v>0</v>
      </c>
      <c r="Y556" s="42">
        <f>IFERROR(__xludf.DUMMYFUNCTION("""COMPUTED_VALUE"""),0.0)</f>
        <v>0</v>
      </c>
      <c r="Z556" s="9">
        <f>IFERROR(__xludf.DUMMYFUNCTION("""COMPUTED_VALUE"""),0.0)</f>
        <v>0</v>
      </c>
      <c r="AA556" s="181">
        <f>IFERROR(__xludf.DUMMYFUNCTION("""COMPUTED_VALUE"""),0.0)</f>
        <v>0</v>
      </c>
      <c r="AB556" s="181">
        <f>IFERROR(__xludf.DUMMYFUNCTION("""COMPUTED_VALUE"""),0.0)</f>
        <v>0</v>
      </c>
      <c r="AC556" s="179">
        <f>IFERROR(__xludf.DUMMYFUNCTION("""COMPUTED_VALUE"""),0.0)</f>
        <v>0</v>
      </c>
      <c r="AD556" s="165">
        <f>IFERROR(__xludf.DUMMYFUNCTION("""COMPUTED_VALUE"""),0.0)</f>
        <v>0</v>
      </c>
      <c r="AE556" s="39" t="str">
        <f>IFERROR(__xludf.DUMMYFUNCTION("""COMPUTED_VALUE"""),"Ayako Fukawa")</f>
        <v>Ayako Fukawa</v>
      </c>
      <c r="AF556" s="39" t="str">
        <f>IFERROR(__xludf.DUMMYFUNCTION("""COMPUTED_VALUE"""),"AT20HippocampalFormation")</f>
        <v>AT20HippocampalFormation</v>
      </c>
      <c r="AG556" s="39"/>
      <c r="AH556" s="39"/>
      <c r="AI556" s="165"/>
      <c r="AJ556" s="165"/>
      <c r="AK556" s="111"/>
      <c r="AL556" s="111"/>
      <c r="AM556" s="111"/>
      <c r="AN556" s="111"/>
      <c r="AO556" s="111"/>
      <c r="AP556" s="111"/>
      <c r="AQ556" s="116"/>
      <c r="AR556" s="116"/>
      <c r="AS556" s="116"/>
    </row>
    <row r="557">
      <c r="A557" s="42" t="str">
        <f>IFERROR(__xludf.DUMMYFUNCTION("""COMPUTED_VALUE"""),"MEC_III")</f>
        <v>MEC_III</v>
      </c>
      <c r="B557" s="42"/>
      <c r="C557" s="42"/>
      <c r="D557" s="42" t="str">
        <f>IFERROR(__xludf.DUMMYFUNCTION("""COMPUTED_VALUE"""),"MEC_III")</f>
        <v>MEC_III</v>
      </c>
      <c r="E557" s="42"/>
      <c r="F557" s="42"/>
      <c r="G557" s="42"/>
      <c r="H557" s="42" t="str">
        <f>IFERROR(__xludf.DUMMYFUNCTION("""COMPUTED_VALUE"""),"??")</f>
        <v>??</v>
      </c>
      <c r="I557" s="42" t="str">
        <f>IFERROR(__xludf.DUMMYFUNCTION("""COMPUTED_VALUE"""),"Winterer, 2017")</f>
        <v>Winterer, 2017</v>
      </c>
      <c r="J557" s="42"/>
      <c r="K557" s="42"/>
      <c r="L557" s="42"/>
      <c r="M557" s="42"/>
      <c r="N557" s="38"/>
      <c r="O557" s="31" t="str">
        <f>IFERROR(__xludf.DUMMYFUNCTION("""COMPUTED_VALUE"""),"#Error: Reference ID")</f>
        <v>#Error: Reference ID</v>
      </c>
      <c r="P557" s="9" t="str">
        <f>IFERROR(__xludf.DUMMYFUNCTION("""COMPUTED_VALUE"""),"#Error: Reference ID")</f>
        <v>#Error: Reference ID</v>
      </c>
      <c r="Q557" s="9" t="str">
        <f>IFERROR(__xludf.DUMMYFUNCTION("""COMPUTED_VALUE"""),"#Error: Reference ID")</f>
        <v>#Error: Reference ID</v>
      </c>
      <c r="R557" s="179" t="str">
        <f>IFERROR(__xludf.DUMMYFUNCTION("""COMPUTED_VALUE"""),"MEC_III (00/00) [Winterer, 2017][Witter, 2017]??;
")</f>
        <v>MEC_III (00/00) [Winterer, 2017][Witter, 2017]??;
</v>
      </c>
      <c r="S557" s="179" t="str">
        <f>IFERROR(__xludf.DUMMYFUNCTION("""COMPUTED_VALUE"""),"MEC_IIIMEC_III")</f>
        <v>MEC_IIIMEC_III</v>
      </c>
      <c r="T557" s="179" t="str">
        <f>IFERROR(__xludf.DUMMYFUNCTION("""COMPUTED_VALUE"""),"[Winterer, 2017]")</f>
        <v>[Winterer, 2017]</v>
      </c>
      <c r="U557" s="179">
        <f>IFERROR(__xludf.DUMMYFUNCTION("""COMPUTED_VALUE"""),0.0)</f>
        <v>0</v>
      </c>
      <c r="V557" s="180">
        <f>IFERROR(__xludf.DUMMYFUNCTION("""COMPUTED_VALUE"""),0.0)</f>
        <v>0</v>
      </c>
      <c r="W557" s="180">
        <f>IFERROR(__xludf.DUMMYFUNCTION("""COMPUTED_VALUE"""),0.0)</f>
        <v>0</v>
      </c>
      <c r="X557" s="42">
        <f>IFERROR(__xludf.DUMMYFUNCTION("""COMPUTED_VALUE"""),0.0)</f>
        <v>0</v>
      </c>
      <c r="Y557" s="42">
        <f>IFERROR(__xludf.DUMMYFUNCTION("""COMPUTED_VALUE"""),0.0)</f>
        <v>0</v>
      </c>
      <c r="Z557" s="9">
        <f>IFERROR(__xludf.DUMMYFUNCTION("""COMPUTED_VALUE"""),0.0)</f>
        <v>0</v>
      </c>
      <c r="AA557" s="181">
        <f>IFERROR(__xludf.DUMMYFUNCTION("""COMPUTED_VALUE"""),0.0)</f>
        <v>0</v>
      </c>
      <c r="AB557" s="181">
        <f>IFERROR(__xludf.DUMMYFUNCTION("""COMPUTED_VALUE"""),0.0)</f>
        <v>0</v>
      </c>
      <c r="AC557" s="179">
        <f>IFERROR(__xludf.DUMMYFUNCTION("""COMPUTED_VALUE"""),0.0)</f>
        <v>0</v>
      </c>
      <c r="AD557" s="165">
        <f>IFERROR(__xludf.DUMMYFUNCTION("""COMPUTED_VALUE"""),0.0)</f>
        <v>0</v>
      </c>
      <c r="AE557" s="39" t="str">
        <f>IFERROR(__xludf.DUMMYFUNCTION("""COMPUTED_VALUE"""),"Ayako Fukawa")</f>
        <v>Ayako Fukawa</v>
      </c>
      <c r="AF557" s="39" t="str">
        <f>IFERROR(__xludf.DUMMYFUNCTION("""COMPUTED_VALUE"""),"AT20HippocampalFormation")</f>
        <v>AT20HippocampalFormation</v>
      </c>
      <c r="AG557" s="39"/>
      <c r="AH557" s="39"/>
      <c r="AI557" s="165"/>
      <c r="AJ557" s="165"/>
      <c r="AK557" s="111"/>
      <c r="AL557" s="111"/>
      <c r="AM557" s="111"/>
      <c r="AN557" s="111"/>
      <c r="AO557" s="111"/>
      <c r="AP557" s="111"/>
      <c r="AQ557" s="116"/>
      <c r="AR557" s="116"/>
      <c r="AS557" s="116"/>
    </row>
    <row r="558">
      <c r="A558" s="42" t="str">
        <f>IFERROR(__xludf.DUMMYFUNCTION("""COMPUTED_VALUE"""),"MEC_III")</f>
        <v>MEC_III</v>
      </c>
      <c r="B558" s="42"/>
      <c r="C558" s="42"/>
      <c r="D558" s="42" t="str">
        <f>IFERROR(__xludf.DUMMYFUNCTION("""COMPUTED_VALUE"""),"CA1_proximal")</f>
        <v>CA1_proximal</v>
      </c>
      <c r="E558" s="42"/>
      <c r="F558" s="42"/>
      <c r="G558" s="42"/>
      <c r="H558" s="42" t="str">
        <f>IFERROR(__xludf.DUMMYFUNCTION("""COMPUTED_VALUE"""),"")</f>
        <v/>
      </c>
      <c r="I558" s="42" t="str">
        <f>IFERROR(__xludf.DUMMYFUNCTION("""COMPUTED_VALUE"""),"Witter, 2000")</f>
        <v>Witter, 2000</v>
      </c>
      <c r="J558" s="42"/>
      <c r="K558" s="42"/>
      <c r="L558" s="42"/>
      <c r="M558" s="42"/>
      <c r="N558" s="38"/>
      <c r="O558" s="31" t="str">
        <f>IFERROR(__xludf.DUMMYFUNCTION("""COMPUTED_VALUE"""),"DOC")</f>
        <v>DOC</v>
      </c>
      <c r="P558" s="9" t="str">
        <f>IFERROR(__xludf.DUMMYFUNCTION("""COMPUTED_VALUE"""),"Hippocampus")</f>
        <v>Hippocampus</v>
      </c>
      <c r="Q558" s="9" t="str">
        <f>IFERROR(__xludf.DUMMYFUNCTION("""COMPUTED_VALUE"""),"Review")</f>
        <v>Review</v>
      </c>
      <c r="R558" s="179" t="str">
        <f>IFERROR(__xludf.DUMMYFUNCTION("""COMPUTED_VALUE"""),"CA1_proximal (00/00) [Moser, 2010][Witter, 2000];
")</f>
        <v>CA1_proximal (00/00) [Moser, 2010][Witter, 2000];
</v>
      </c>
      <c r="S558" s="179" t="str">
        <f>IFERROR(__xludf.DUMMYFUNCTION("""COMPUTED_VALUE"""),"MEC_IIICA1_proximal")</f>
        <v>MEC_IIICA1_proximal</v>
      </c>
      <c r="T558" s="179" t="str">
        <f>IFERROR(__xludf.DUMMYFUNCTION("""COMPUTED_VALUE"""),"[Witter, 2000]")</f>
        <v>[Witter, 2000]</v>
      </c>
      <c r="U558" s="179">
        <f>IFERROR(__xludf.DUMMYFUNCTION("""COMPUTED_VALUE"""),0.0)</f>
        <v>0</v>
      </c>
      <c r="V558" s="180">
        <f>IFERROR(__xludf.DUMMYFUNCTION("""COMPUTED_VALUE"""),0.0)</f>
        <v>0</v>
      </c>
      <c r="W558" s="180">
        <f>IFERROR(__xludf.DUMMYFUNCTION("""COMPUTED_VALUE"""),0.95)</f>
        <v>0.95</v>
      </c>
      <c r="X558" s="42">
        <f>IFERROR(__xludf.DUMMYFUNCTION("""COMPUTED_VALUE"""),0.8)</f>
        <v>0.8</v>
      </c>
      <c r="Y558" s="42">
        <f>IFERROR(__xludf.DUMMYFUNCTION("""COMPUTED_VALUE"""),0.0)</f>
        <v>0</v>
      </c>
      <c r="Z558" s="9">
        <f>IFERROR(__xludf.DUMMYFUNCTION("""COMPUTED_VALUE"""),0.0)</f>
        <v>0</v>
      </c>
      <c r="AA558" s="181">
        <f>IFERROR(__xludf.DUMMYFUNCTION("""COMPUTED_VALUE"""),0.0)</f>
        <v>0</v>
      </c>
      <c r="AB558" s="181">
        <f>IFERROR(__xludf.DUMMYFUNCTION("""COMPUTED_VALUE"""),0.0)</f>
        <v>0</v>
      </c>
      <c r="AC558" s="179">
        <f>IFERROR(__xludf.DUMMYFUNCTION("""COMPUTED_VALUE"""),0.0)</f>
        <v>0</v>
      </c>
      <c r="AD558" s="165">
        <f>IFERROR(__xludf.DUMMYFUNCTION("""COMPUTED_VALUE"""),0.0)</f>
        <v>0</v>
      </c>
      <c r="AE558" s="39" t="str">
        <f>IFERROR(__xludf.DUMMYFUNCTION("""COMPUTED_VALUE"""),"Ayako Fukawa")</f>
        <v>Ayako Fukawa</v>
      </c>
      <c r="AF558" s="39" t="str">
        <f>IFERROR(__xludf.DUMMYFUNCTION("""COMPUTED_VALUE"""),"AT20HippocampalFormation")</f>
        <v>AT20HippocampalFormation</v>
      </c>
      <c r="AG558" s="39"/>
      <c r="AH558" s="39"/>
      <c r="AI558" s="165"/>
      <c r="AJ558" s="165"/>
      <c r="AK558" s="111"/>
      <c r="AL558" s="111"/>
      <c r="AM558" s="111"/>
      <c r="AN558" s="111"/>
      <c r="AO558" s="111"/>
      <c r="AP558" s="111"/>
      <c r="AQ558" s="116"/>
      <c r="AR558" s="116"/>
      <c r="AS558" s="116"/>
    </row>
    <row r="559">
      <c r="A559" s="42" t="str">
        <f>IFERROR(__xludf.DUMMYFUNCTION("""COMPUTED_VALUE"""),"MEC_III")</f>
        <v>MEC_III</v>
      </c>
      <c r="B559" s="42"/>
      <c r="C559" s="42"/>
      <c r="D559" s="42" t="str">
        <f>IFERROR(__xludf.DUMMYFUNCTION("""COMPUTED_VALUE"""),"MEC_V")</f>
        <v>MEC_V</v>
      </c>
      <c r="E559" s="42"/>
      <c r="F559" s="42"/>
      <c r="G559" s="42"/>
      <c r="H559" s="42" t="str">
        <f>IFERROR(__xludf.DUMMYFUNCTION("""COMPUTED_VALUE"""),"")</f>
        <v/>
      </c>
      <c r="I559" s="42" t="str">
        <f>IFERROR(__xludf.DUMMYFUNCTION("""COMPUTED_VALUE"""),"Witter, 2000")</f>
        <v>Witter, 2000</v>
      </c>
      <c r="J559" s="42"/>
      <c r="K559" s="42"/>
      <c r="L559" s="42"/>
      <c r="M559" s="42"/>
      <c r="N559" s="38"/>
      <c r="O559" s="31" t="str">
        <f>IFERROR(__xludf.DUMMYFUNCTION("""COMPUTED_VALUE"""),"DOC")</f>
        <v>DOC</v>
      </c>
      <c r="P559" s="9" t="str">
        <f>IFERROR(__xludf.DUMMYFUNCTION("""COMPUTED_VALUE"""),"Hippocampus")</f>
        <v>Hippocampus</v>
      </c>
      <c r="Q559" s="9" t="str">
        <f>IFERROR(__xludf.DUMMYFUNCTION("""COMPUTED_VALUE"""),"Review")</f>
        <v>Review</v>
      </c>
      <c r="R559" s="179" t="str">
        <f>IFERROR(__xludf.DUMMYFUNCTION("""COMPUTED_VALUE"""),"MEC_V (00/00) [Witter, 2000];
")</f>
        <v>MEC_V (00/00) [Witter, 2000];
</v>
      </c>
      <c r="S559" s="179" t="str">
        <f>IFERROR(__xludf.DUMMYFUNCTION("""COMPUTED_VALUE"""),"MEC_IIIMEC_V")</f>
        <v>MEC_IIIMEC_V</v>
      </c>
      <c r="T559" s="179" t="str">
        <f>IFERROR(__xludf.DUMMYFUNCTION("""COMPUTED_VALUE"""),"[Witter, 2000]")</f>
        <v>[Witter, 2000]</v>
      </c>
      <c r="U559" s="179">
        <f>IFERROR(__xludf.DUMMYFUNCTION("""COMPUTED_VALUE"""),0.0)</f>
        <v>0</v>
      </c>
      <c r="V559" s="180">
        <f>IFERROR(__xludf.DUMMYFUNCTION("""COMPUTED_VALUE"""),0.0)</f>
        <v>0</v>
      </c>
      <c r="W559" s="180">
        <f>IFERROR(__xludf.DUMMYFUNCTION("""COMPUTED_VALUE"""),0.95)</f>
        <v>0.95</v>
      </c>
      <c r="X559" s="42">
        <f>IFERROR(__xludf.DUMMYFUNCTION("""COMPUTED_VALUE"""),0.8)</f>
        <v>0.8</v>
      </c>
      <c r="Y559" s="42">
        <f>IFERROR(__xludf.DUMMYFUNCTION("""COMPUTED_VALUE"""),0.0)</f>
        <v>0</v>
      </c>
      <c r="Z559" s="9">
        <f>IFERROR(__xludf.DUMMYFUNCTION("""COMPUTED_VALUE"""),0.0)</f>
        <v>0</v>
      </c>
      <c r="AA559" s="181">
        <f>IFERROR(__xludf.DUMMYFUNCTION("""COMPUTED_VALUE"""),0.0)</f>
        <v>0</v>
      </c>
      <c r="AB559" s="181">
        <f>IFERROR(__xludf.DUMMYFUNCTION("""COMPUTED_VALUE"""),0.0)</f>
        <v>0</v>
      </c>
      <c r="AC559" s="179">
        <f>IFERROR(__xludf.DUMMYFUNCTION("""COMPUTED_VALUE"""),0.0)</f>
        <v>0</v>
      </c>
      <c r="AD559" s="165">
        <f>IFERROR(__xludf.DUMMYFUNCTION("""COMPUTED_VALUE"""),0.0)</f>
        <v>0</v>
      </c>
      <c r="AE559" s="39" t="str">
        <f>IFERROR(__xludf.DUMMYFUNCTION("""COMPUTED_VALUE"""),"Ayako Fukawa")</f>
        <v>Ayako Fukawa</v>
      </c>
      <c r="AF559" s="39" t="str">
        <f>IFERROR(__xludf.DUMMYFUNCTION("""COMPUTED_VALUE"""),"AT20HippocampalFormation")</f>
        <v>AT20HippocampalFormation</v>
      </c>
      <c r="AG559" s="39"/>
      <c r="AH559" s="39"/>
      <c r="AI559" s="165"/>
      <c r="AJ559" s="165"/>
      <c r="AK559" s="111"/>
      <c r="AL559" s="111"/>
      <c r="AM559" s="111"/>
      <c r="AN559" s="111"/>
      <c r="AO559" s="111"/>
      <c r="AP559" s="111"/>
      <c r="AQ559" s="116"/>
      <c r="AR559" s="116"/>
      <c r="AS559" s="116"/>
    </row>
    <row r="560">
      <c r="A560" s="42" t="str">
        <f>IFERROR(__xludf.DUMMYFUNCTION("""COMPUTED_VALUE"""),"MEC_III")</f>
        <v>MEC_III</v>
      </c>
      <c r="B560" s="42"/>
      <c r="C560" s="42"/>
      <c r="D560" s="42" t="str">
        <f>IFERROR(__xludf.DUMMYFUNCTION("""COMPUTED_VALUE"""),"S_distal")</f>
        <v>S_distal</v>
      </c>
      <c r="E560" s="42"/>
      <c r="F560" s="42"/>
      <c r="G560" s="42"/>
      <c r="H560" s="42" t="str">
        <f>IFERROR(__xludf.DUMMYFUNCTION("""COMPUTED_VALUE"""),"")</f>
        <v/>
      </c>
      <c r="I560" s="42" t="str">
        <f>IFERROR(__xludf.DUMMYFUNCTION("""COMPUTED_VALUE"""),"Witter, 2000")</f>
        <v>Witter, 2000</v>
      </c>
      <c r="J560" s="42"/>
      <c r="K560" s="42"/>
      <c r="L560" s="42"/>
      <c r="M560" s="42"/>
      <c r="N560" s="38"/>
      <c r="O560" s="31" t="str">
        <f>IFERROR(__xludf.DUMMYFUNCTION("""COMPUTED_VALUE"""),"DOC")</f>
        <v>DOC</v>
      </c>
      <c r="P560" s="9" t="str">
        <f>IFERROR(__xludf.DUMMYFUNCTION("""COMPUTED_VALUE"""),"Hippocampus")</f>
        <v>Hippocampus</v>
      </c>
      <c r="Q560" s="9" t="str">
        <f>IFERROR(__xludf.DUMMYFUNCTION("""COMPUTED_VALUE"""),"Review")</f>
        <v>Review</v>
      </c>
      <c r="R560" s="179" t="str">
        <f>IFERROR(__xludf.DUMMYFUNCTION("""COMPUTED_VALUE"""),"S_distal (00/00) [Moser, 2010][Witter, 2000];
")</f>
        <v>S_distal (00/00) [Moser, 2010][Witter, 2000];
</v>
      </c>
      <c r="S560" s="179" t="str">
        <f>IFERROR(__xludf.DUMMYFUNCTION("""COMPUTED_VALUE"""),"MEC_IIIS_distal")</f>
        <v>MEC_IIIS_distal</v>
      </c>
      <c r="T560" s="179" t="str">
        <f>IFERROR(__xludf.DUMMYFUNCTION("""COMPUTED_VALUE"""),"[Witter, 2000]")</f>
        <v>[Witter, 2000]</v>
      </c>
      <c r="U560" s="179">
        <f>IFERROR(__xludf.DUMMYFUNCTION("""COMPUTED_VALUE"""),0.0)</f>
        <v>0</v>
      </c>
      <c r="V560" s="180">
        <f>IFERROR(__xludf.DUMMYFUNCTION("""COMPUTED_VALUE"""),0.0)</f>
        <v>0</v>
      </c>
      <c r="W560" s="180">
        <f>IFERROR(__xludf.DUMMYFUNCTION("""COMPUTED_VALUE"""),0.95)</f>
        <v>0.95</v>
      </c>
      <c r="X560" s="42">
        <f>IFERROR(__xludf.DUMMYFUNCTION("""COMPUTED_VALUE"""),0.8)</f>
        <v>0.8</v>
      </c>
      <c r="Y560" s="42">
        <f>IFERROR(__xludf.DUMMYFUNCTION("""COMPUTED_VALUE"""),0.0)</f>
        <v>0</v>
      </c>
      <c r="Z560" s="9">
        <f>IFERROR(__xludf.DUMMYFUNCTION("""COMPUTED_VALUE"""),0.0)</f>
        <v>0</v>
      </c>
      <c r="AA560" s="181">
        <f>IFERROR(__xludf.DUMMYFUNCTION("""COMPUTED_VALUE"""),0.0)</f>
        <v>0</v>
      </c>
      <c r="AB560" s="181">
        <f>IFERROR(__xludf.DUMMYFUNCTION("""COMPUTED_VALUE"""),0.0)</f>
        <v>0</v>
      </c>
      <c r="AC560" s="179">
        <f>IFERROR(__xludf.DUMMYFUNCTION("""COMPUTED_VALUE"""),0.0)</f>
        <v>0</v>
      </c>
      <c r="AD560" s="165">
        <f>IFERROR(__xludf.DUMMYFUNCTION("""COMPUTED_VALUE"""),0.0)</f>
        <v>0</v>
      </c>
      <c r="AE560" s="39" t="str">
        <f>IFERROR(__xludf.DUMMYFUNCTION("""COMPUTED_VALUE"""),"Ayako Fukawa")</f>
        <v>Ayako Fukawa</v>
      </c>
      <c r="AF560" s="39" t="str">
        <f>IFERROR(__xludf.DUMMYFUNCTION("""COMPUTED_VALUE"""),"AT20HippocampalFormation")</f>
        <v>AT20HippocampalFormation</v>
      </c>
      <c r="AG560" s="39"/>
      <c r="AH560" s="39"/>
      <c r="AI560" s="165"/>
      <c r="AJ560" s="165"/>
      <c r="AK560" s="111"/>
      <c r="AL560" s="111"/>
      <c r="AM560" s="111"/>
      <c r="AN560" s="111"/>
      <c r="AO560" s="111"/>
      <c r="AP560" s="111"/>
      <c r="AQ560" s="116"/>
      <c r="AR560" s="116"/>
      <c r="AS560" s="116"/>
    </row>
    <row r="561">
      <c r="A561" s="42" t="str">
        <f>IFERROR(__xludf.DUMMYFUNCTION("""COMPUTED_VALUE"""),"MEC_III")</f>
        <v>MEC_III</v>
      </c>
      <c r="B561" s="42"/>
      <c r="C561" s="42"/>
      <c r="D561" s="42" t="str">
        <f>IFERROR(__xludf.DUMMYFUNCTION("""COMPUTED_VALUE"""),"MEC_II")</f>
        <v>MEC_II</v>
      </c>
      <c r="E561" s="42"/>
      <c r="F561" s="42"/>
      <c r="G561" s="42"/>
      <c r="H561" s="42" t="str">
        <f>IFERROR(__xludf.DUMMYFUNCTION("""COMPUTED_VALUE"""),"")</f>
        <v/>
      </c>
      <c r="I561" s="42" t="str">
        <f>IFERROR(__xludf.DUMMYFUNCTION("""COMPUTED_VALUE"""),"Witter, 2017")</f>
        <v>Witter, 2017</v>
      </c>
      <c r="J561" s="42"/>
      <c r="K561" s="42"/>
      <c r="L561" s="42"/>
      <c r="M561" s="42"/>
      <c r="N561" s="38"/>
      <c r="O561" s="31" t="str">
        <f>IFERROR(__xludf.DUMMYFUNCTION("""COMPUTED_VALUE"""),"#Error: Reference ID")</f>
        <v>#Error: Reference ID</v>
      </c>
      <c r="P561" s="9" t="str">
        <f>IFERROR(__xludf.DUMMYFUNCTION("""COMPUTED_VALUE"""),"#Error: Reference ID")</f>
        <v>#Error: Reference ID</v>
      </c>
      <c r="Q561" s="9" t="str">
        <f>IFERROR(__xludf.DUMMYFUNCTION("""COMPUTED_VALUE"""),"#Error: Reference ID")</f>
        <v>#Error: Reference ID</v>
      </c>
      <c r="R561" s="179" t="str">
        <f>IFERROR(__xludf.DUMMYFUNCTION("""COMPUTED_VALUE"""),"MEC_II (00/00) [Winterer, 2017][Witter, 2017];
")</f>
        <v>MEC_II (00/00) [Winterer, 2017][Witter, 2017];
</v>
      </c>
      <c r="S561" s="179" t="str">
        <f>IFERROR(__xludf.DUMMYFUNCTION("""COMPUTED_VALUE"""),"MEC_IIIMEC_II")</f>
        <v>MEC_IIIMEC_II</v>
      </c>
      <c r="T561" s="179" t="str">
        <f>IFERROR(__xludf.DUMMYFUNCTION("""COMPUTED_VALUE"""),"[Witter, 2017]")</f>
        <v>[Witter, 2017]</v>
      </c>
      <c r="U561" s="179">
        <f>IFERROR(__xludf.DUMMYFUNCTION("""COMPUTED_VALUE"""),0.0)</f>
        <v>0</v>
      </c>
      <c r="V561" s="180">
        <f>IFERROR(__xludf.DUMMYFUNCTION("""COMPUTED_VALUE"""),0.0)</f>
        <v>0</v>
      </c>
      <c r="W561" s="180">
        <f>IFERROR(__xludf.DUMMYFUNCTION("""COMPUTED_VALUE"""),0.0)</f>
        <v>0</v>
      </c>
      <c r="X561" s="42">
        <f>IFERROR(__xludf.DUMMYFUNCTION("""COMPUTED_VALUE"""),0.0)</f>
        <v>0</v>
      </c>
      <c r="Y561" s="42">
        <f>IFERROR(__xludf.DUMMYFUNCTION("""COMPUTED_VALUE"""),0.0)</f>
        <v>0</v>
      </c>
      <c r="Z561" s="9">
        <f>IFERROR(__xludf.DUMMYFUNCTION("""COMPUTED_VALUE"""),0.0)</f>
        <v>0</v>
      </c>
      <c r="AA561" s="181">
        <f>IFERROR(__xludf.DUMMYFUNCTION("""COMPUTED_VALUE"""),0.0)</f>
        <v>0</v>
      </c>
      <c r="AB561" s="181">
        <f>IFERROR(__xludf.DUMMYFUNCTION("""COMPUTED_VALUE"""),0.0)</f>
        <v>0</v>
      </c>
      <c r="AC561" s="179">
        <f>IFERROR(__xludf.DUMMYFUNCTION("""COMPUTED_VALUE"""),0.0)</f>
        <v>0</v>
      </c>
      <c r="AD561" s="165">
        <f>IFERROR(__xludf.DUMMYFUNCTION("""COMPUTED_VALUE"""),0.0)</f>
        <v>0</v>
      </c>
      <c r="AE561" s="39" t="str">
        <f>IFERROR(__xludf.DUMMYFUNCTION("""COMPUTED_VALUE"""),"Ayako Fukawa")</f>
        <v>Ayako Fukawa</v>
      </c>
      <c r="AF561" s="39" t="str">
        <f>IFERROR(__xludf.DUMMYFUNCTION("""COMPUTED_VALUE"""),"AT20HippocampalFormation")</f>
        <v>AT20HippocampalFormation</v>
      </c>
      <c r="AG561" s="39"/>
      <c r="AH561" s="39"/>
      <c r="AI561" s="165"/>
      <c r="AJ561" s="165"/>
      <c r="AK561" s="111"/>
      <c r="AL561" s="111"/>
      <c r="AM561" s="111"/>
      <c r="AN561" s="111"/>
      <c r="AO561" s="111"/>
      <c r="AP561" s="111"/>
      <c r="AQ561" s="116"/>
      <c r="AR561" s="116"/>
      <c r="AS561" s="116"/>
    </row>
    <row r="562">
      <c r="A562" s="42" t="str">
        <f>IFERROR(__xludf.DUMMYFUNCTION("""COMPUTED_VALUE"""),"MEC_III")</f>
        <v>MEC_III</v>
      </c>
      <c r="B562" s="42"/>
      <c r="C562" s="42"/>
      <c r="D562" s="42" t="str">
        <f>IFERROR(__xludf.DUMMYFUNCTION("""COMPUTED_VALUE"""),"MEC_III")</f>
        <v>MEC_III</v>
      </c>
      <c r="E562" s="42"/>
      <c r="F562" s="42"/>
      <c r="G562" s="42"/>
      <c r="H562" s="42" t="str">
        <f>IFERROR(__xludf.DUMMYFUNCTION("""COMPUTED_VALUE"""),"")</f>
        <v/>
      </c>
      <c r="I562" s="42" t="str">
        <f>IFERROR(__xludf.DUMMYFUNCTION("""COMPUTED_VALUE"""),"Witter, 2017")</f>
        <v>Witter, 2017</v>
      </c>
      <c r="J562" s="42"/>
      <c r="K562" s="42"/>
      <c r="L562" s="42"/>
      <c r="M562" s="42"/>
      <c r="N562" s="38"/>
      <c r="O562" s="31" t="str">
        <f>IFERROR(__xludf.DUMMYFUNCTION("""COMPUTED_VALUE"""),"#Error: Reference ID")</f>
        <v>#Error: Reference ID</v>
      </c>
      <c r="P562" s="9" t="str">
        <f>IFERROR(__xludf.DUMMYFUNCTION("""COMPUTED_VALUE"""),"#Error: Reference ID")</f>
        <v>#Error: Reference ID</v>
      </c>
      <c r="Q562" s="9" t="str">
        <f>IFERROR(__xludf.DUMMYFUNCTION("""COMPUTED_VALUE"""),"#Error: Reference ID")</f>
        <v>#Error: Reference ID</v>
      </c>
      <c r="R562" s="179" t="str">
        <f>IFERROR(__xludf.DUMMYFUNCTION("""COMPUTED_VALUE"""),"MEC_III (00/00) [Winterer, 2017][Witter, 2017];
")</f>
        <v>MEC_III (00/00) [Winterer, 2017][Witter, 2017];
</v>
      </c>
      <c r="S562" s="179" t="str">
        <f>IFERROR(__xludf.DUMMYFUNCTION("""COMPUTED_VALUE"""),"MEC_IIIMEC_III")</f>
        <v>MEC_IIIMEC_III</v>
      </c>
      <c r="T562" s="179" t="str">
        <f>IFERROR(__xludf.DUMMYFUNCTION("""COMPUTED_VALUE"""),"[Witter, 2017]")</f>
        <v>[Witter, 2017]</v>
      </c>
      <c r="U562" s="179">
        <f>IFERROR(__xludf.DUMMYFUNCTION("""COMPUTED_VALUE"""),0.0)</f>
        <v>0</v>
      </c>
      <c r="V562" s="180">
        <f>IFERROR(__xludf.DUMMYFUNCTION("""COMPUTED_VALUE"""),0.0)</f>
        <v>0</v>
      </c>
      <c r="W562" s="180">
        <f>IFERROR(__xludf.DUMMYFUNCTION("""COMPUTED_VALUE"""),0.0)</f>
        <v>0</v>
      </c>
      <c r="X562" s="42">
        <f>IFERROR(__xludf.DUMMYFUNCTION("""COMPUTED_VALUE"""),0.0)</f>
        <v>0</v>
      </c>
      <c r="Y562" s="42">
        <f>IFERROR(__xludf.DUMMYFUNCTION("""COMPUTED_VALUE"""),0.0)</f>
        <v>0</v>
      </c>
      <c r="Z562" s="9">
        <f>IFERROR(__xludf.DUMMYFUNCTION("""COMPUTED_VALUE"""),0.0)</f>
        <v>0</v>
      </c>
      <c r="AA562" s="181">
        <f>IFERROR(__xludf.DUMMYFUNCTION("""COMPUTED_VALUE"""),0.0)</f>
        <v>0</v>
      </c>
      <c r="AB562" s="181">
        <f>IFERROR(__xludf.DUMMYFUNCTION("""COMPUTED_VALUE"""),0.0)</f>
        <v>0</v>
      </c>
      <c r="AC562" s="179">
        <f>IFERROR(__xludf.DUMMYFUNCTION("""COMPUTED_VALUE"""),0.0)</f>
        <v>0</v>
      </c>
      <c r="AD562" s="165">
        <f>IFERROR(__xludf.DUMMYFUNCTION("""COMPUTED_VALUE"""),0.0)</f>
        <v>0</v>
      </c>
      <c r="AE562" s="39" t="str">
        <f>IFERROR(__xludf.DUMMYFUNCTION("""COMPUTED_VALUE"""),"Ayako Fukawa")</f>
        <v>Ayako Fukawa</v>
      </c>
      <c r="AF562" s="39" t="str">
        <f>IFERROR(__xludf.DUMMYFUNCTION("""COMPUTED_VALUE"""),"AT20HippocampalFormation")</f>
        <v>AT20HippocampalFormation</v>
      </c>
      <c r="AG562" s="39"/>
      <c r="AH562" s="39"/>
      <c r="AI562" s="165"/>
      <c r="AJ562" s="165"/>
      <c r="AK562" s="111"/>
      <c r="AL562" s="111"/>
      <c r="AM562" s="111"/>
      <c r="AN562" s="111"/>
      <c r="AO562" s="111"/>
      <c r="AP562" s="111"/>
      <c r="AQ562" s="116"/>
      <c r="AR562" s="116"/>
      <c r="AS562" s="116"/>
    </row>
    <row r="563">
      <c r="A563" s="42" t="str">
        <f>IFERROR(__xludf.DUMMYFUNCTION("""COMPUTED_VALUE"""),"MEC_V")</f>
        <v>MEC_V</v>
      </c>
      <c r="B563" s="42"/>
      <c r="C563" s="42"/>
      <c r="D563" s="42" t="str">
        <f>IFERROR(__xludf.DUMMYFUNCTION("""COMPUTED_VALUE"""),"VISpor")</f>
        <v>VISpor</v>
      </c>
      <c r="E563" s="42"/>
      <c r="F563" s="42"/>
      <c r="G563" s="42"/>
      <c r="H563" s="42" t="str">
        <f>IFERROR(__xludf.DUMMYFUNCTION("""COMPUTED_VALUE"""),"")</f>
        <v/>
      </c>
      <c r="I563" s="42" t="str">
        <f>IFERROR(__xludf.DUMMYFUNCTION("""COMPUTED_VALUE"""),"Moser, 2010")</f>
        <v>Moser, 2010</v>
      </c>
      <c r="J563" s="42"/>
      <c r="K563" s="42"/>
      <c r="L563" s="42"/>
      <c r="M563" s="42"/>
      <c r="N563" s="38"/>
      <c r="O563" s="31" t="str">
        <f>IFERROR(__xludf.DUMMYFUNCTION("""COMPUTED_VALUE"""),"DOC")</f>
        <v>DOC</v>
      </c>
      <c r="P563" s="9" t="str">
        <f>IFERROR(__xludf.DUMMYFUNCTION("""COMPUTED_VALUE"""),"Handbook of Brain Microcircuits")</f>
        <v>Handbook of Brain Microcircuits</v>
      </c>
      <c r="Q563" s="9" t="str">
        <f>IFERROR(__xludf.DUMMYFUNCTION("""COMPUTED_VALUE"""),"Textbook")</f>
        <v>Textbook</v>
      </c>
      <c r="R563" s="179" t="str">
        <f>IFERROR(__xludf.DUMMYFUNCTION("""COMPUTED_VALUE"""),"VISpor (00/00) [Moser, 2010][Witter, 2000];
")</f>
        <v>VISpor (00/00) [Moser, 2010][Witter, 2000];
</v>
      </c>
      <c r="S563" s="179" t="str">
        <f>IFERROR(__xludf.DUMMYFUNCTION("""COMPUTED_VALUE"""),"MEC_VVISpor")</f>
        <v>MEC_VVISpor</v>
      </c>
      <c r="T563" s="179" t="str">
        <f>IFERROR(__xludf.DUMMYFUNCTION("""COMPUTED_VALUE"""),"[Moser, 2010]")</f>
        <v>[Moser, 2010]</v>
      </c>
      <c r="U563" s="179">
        <f>IFERROR(__xludf.DUMMYFUNCTION("""COMPUTED_VALUE"""),0.0)</f>
        <v>0</v>
      </c>
      <c r="V563" s="180">
        <f>IFERROR(__xludf.DUMMYFUNCTION("""COMPUTED_VALUE"""),0.0)</f>
        <v>0</v>
      </c>
      <c r="W563" s="180">
        <f>IFERROR(__xludf.DUMMYFUNCTION("""COMPUTED_VALUE"""),0.95)</f>
        <v>0.95</v>
      </c>
      <c r="X563" s="42">
        <f>IFERROR(__xludf.DUMMYFUNCTION("""COMPUTED_VALUE"""),0.9)</f>
        <v>0.9</v>
      </c>
      <c r="Y563" s="42">
        <f>IFERROR(__xludf.DUMMYFUNCTION("""COMPUTED_VALUE"""),0.0)</f>
        <v>0</v>
      </c>
      <c r="Z563" s="9">
        <f>IFERROR(__xludf.DUMMYFUNCTION("""COMPUTED_VALUE"""),0.0)</f>
        <v>0</v>
      </c>
      <c r="AA563" s="181">
        <f>IFERROR(__xludf.DUMMYFUNCTION("""COMPUTED_VALUE"""),0.0)</f>
        <v>0</v>
      </c>
      <c r="AB563" s="181">
        <f>IFERROR(__xludf.DUMMYFUNCTION("""COMPUTED_VALUE"""),0.0)</f>
        <v>0</v>
      </c>
      <c r="AC563" s="179">
        <f>IFERROR(__xludf.DUMMYFUNCTION("""COMPUTED_VALUE"""),0.0)</f>
        <v>0</v>
      </c>
      <c r="AD563" s="165">
        <f>IFERROR(__xludf.DUMMYFUNCTION("""COMPUTED_VALUE"""),0.0)</f>
        <v>0</v>
      </c>
      <c r="AE563" s="39" t="str">
        <f>IFERROR(__xludf.DUMMYFUNCTION("""COMPUTED_VALUE"""),"Ayako Fukawa")</f>
        <v>Ayako Fukawa</v>
      </c>
      <c r="AF563" s="39" t="str">
        <f>IFERROR(__xludf.DUMMYFUNCTION("""COMPUTED_VALUE"""),"AT20HippocampalFormation")</f>
        <v>AT20HippocampalFormation</v>
      </c>
      <c r="AG563" s="39"/>
      <c r="AH563" s="39"/>
      <c r="AI563" s="165"/>
      <c r="AJ563" s="165"/>
      <c r="AK563" s="111"/>
      <c r="AL563" s="111"/>
      <c r="AM563" s="111"/>
      <c r="AN563" s="111"/>
      <c r="AO563" s="111"/>
      <c r="AP563" s="111"/>
      <c r="AQ563" s="116"/>
      <c r="AR563" s="116"/>
      <c r="AS563" s="116"/>
    </row>
    <row r="564">
      <c r="A564" s="42" t="str">
        <f>IFERROR(__xludf.DUMMYFUNCTION("""COMPUTED_VALUE"""),"MEC_V")</f>
        <v>MEC_V</v>
      </c>
      <c r="B564" s="42"/>
      <c r="C564" s="42"/>
      <c r="D564" s="42" t="str">
        <f>IFERROR(__xludf.DUMMYFUNCTION("""COMPUTED_VALUE"""),"MEC_II")</f>
        <v>MEC_II</v>
      </c>
      <c r="E564" s="42"/>
      <c r="F564" s="42"/>
      <c r="G564" s="42"/>
      <c r="H564" s="42" t="str">
        <f>IFERROR(__xludf.DUMMYFUNCTION("""COMPUTED_VALUE"""),"")</f>
        <v/>
      </c>
      <c r="I564" s="42" t="str">
        <f>IFERROR(__xludf.DUMMYFUNCTION("""COMPUTED_VALUE"""),"Winterer, 2017")</f>
        <v>Winterer, 2017</v>
      </c>
      <c r="J564" s="42"/>
      <c r="K564" s="42"/>
      <c r="L564" s="42"/>
      <c r="M564" s="42"/>
      <c r="N564" s="42"/>
      <c r="O564" s="31" t="str">
        <f>IFERROR(__xludf.DUMMYFUNCTION("""COMPUTED_VALUE"""),"#Error: Reference ID")</f>
        <v>#Error: Reference ID</v>
      </c>
      <c r="P564" s="9" t="str">
        <f>IFERROR(__xludf.DUMMYFUNCTION("""COMPUTED_VALUE"""),"#Error: Reference ID")</f>
        <v>#Error: Reference ID</v>
      </c>
      <c r="Q564" s="9" t="str">
        <f>IFERROR(__xludf.DUMMYFUNCTION("""COMPUTED_VALUE"""),"#Error: Reference ID")</f>
        <v>#Error: Reference ID</v>
      </c>
      <c r="R564" s="179" t="str">
        <f>IFERROR(__xludf.DUMMYFUNCTION("""COMPUTED_VALUE"""),"MEC_II (00/00) [Winterer, 2017][Witter, 2017];
")</f>
        <v>MEC_II (00/00) [Winterer, 2017][Witter, 2017];
</v>
      </c>
      <c r="S564" s="179" t="str">
        <f>IFERROR(__xludf.DUMMYFUNCTION("""COMPUTED_VALUE"""),"MEC_VMEC_II")</f>
        <v>MEC_VMEC_II</v>
      </c>
      <c r="T564" s="179" t="str">
        <f>IFERROR(__xludf.DUMMYFUNCTION("""COMPUTED_VALUE"""),"[Winterer, 2017]")</f>
        <v>[Winterer, 2017]</v>
      </c>
      <c r="U564" s="179">
        <f>IFERROR(__xludf.DUMMYFUNCTION("""COMPUTED_VALUE"""),0.0)</f>
        <v>0</v>
      </c>
      <c r="V564" s="180">
        <f>IFERROR(__xludf.DUMMYFUNCTION("""COMPUTED_VALUE"""),0.0)</f>
        <v>0</v>
      </c>
      <c r="W564" s="180">
        <f>IFERROR(__xludf.DUMMYFUNCTION("""COMPUTED_VALUE"""),0.0)</f>
        <v>0</v>
      </c>
      <c r="X564" s="42">
        <f>IFERROR(__xludf.DUMMYFUNCTION("""COMPUTED_VALUE"""),0.0)</f>
        <v>0</v>
      </c>
      <c r="Y564" s="42">
        <f>IFERROR(__xludf.DUMMYFUNCTION("""COMPUTED_VALUE"""),0.0)</f>
        <v>0</v>
      </c>
      <c r="Z564" s="9">
        <f>IFERROR(__xludf.DUMMYFUNCTION("""COMPUTED_VALUE"""),0.0)</f>
        <v>0</v>
      </c>
      <c r="AA564" s="181">
        <f>IFERROR(__xludf.DUMMYFUNCTION("""COMPUTED_VALUE"""),0.0)</f>
        <v>0</v>
      </c>
      <c r="AB564" s="181">
        <f>IFERROR(__xludf.DUMMYFUNCTION("""COMPUTED_VALUE"""),0.0)</f>
        <v>0</v>
      </c>
      <c r="AC564" s="179">
        <f>IFERROR(__xludf.DUMMYFUNCTION("""COMPUTED_VALUE"""),0.0)</f>
        <v>0</v>
      </c>
      <c r="AD564" s="165">
        <f>IFERROR(__xludf.DUMMYFUNCTION("""COMPUTED_VALUE"""),0.0)</f>
        <v>0</v>
      </c>
      <c r="AE564" s="39" t="str">
        <f>IFERROR(__xludf.DUMMYFUNCTION("""COMPUTED_VALUE"""),"Ayako Fukawa")</f>
        <v>Ayako Fukawa</v>
      </c>
      <c r="AF564" s="39" t="str">
        <f>IFERROR(__xludf.DUMMYFUNCTION("""COMPUTED_VALUE"""),"AT20HippocampalFormation")</f>
        <v>AT20HippocampalFormation</v>
      </c>
      <c r="AG564" s="39"/>
      <c r="AH564" s="39"/>
      <c r="AI564" s="165"/>
      <c r="AJ564" s="165"/>
      <c r="AK564" s="111"/>
      <c r="AL564" s="111"/>
      <c r="AM564" s="111"/>
      <c r="AN564" s="111"/>
      <c r="AO564" s="111"/>
      <c r="AP564" s="111"/>
      <c r="AQ564" s="116"/>
      <c r="AR564" s="116"/>
      <c r="AS564" s="116"/>
    </row>
    <row r="565">
      <c r="A565" s="42" t="str">
        <f>IFERROR(__xludf.DUMMYFUNCTION("""COMPUTED_VALUE"""),"MEC_V")</f>
        <v>MEC_V</v>
      </c>
      <c r="B565" s="42"/>
      <c r="C565" s="42"/>
      <c r="D565" s="42" t="str">
        <f>IFERROR(__xludf.DUMMYFUNCTION("""COMPUTED_VALUE"""),"MEC_III")</f>
        <v>MEC_III</v>
      </c>
      <c r="E565" s="42"/>
      <c r="F565" s="42"/>
      <c r="G565" s="42"/>
      <c r="H565" s="42" t="str">
        <f>IFERROR(__xludf.DUMMYFUNCTION("""COMPUTED_VALUE"""),"")</f>
        <v/>
      </c>
      <c r="I565" s="42" t="str">
        <f>IFERROR(__xludf.DUMMYFUNCTION("""COMPUTED_VALUE"""),"Winterer, 2017")</f>
        <v>Winterer, 2017</v>
      </c>
      <c r="J565" s="42"/>
      <c r="K565" s="42"/>
      <c r="L565" s="42"/>
      <c r="M565" s="42"/>
      <c r="N565" s="42"/>
      <c r="O565" s="31" t="str">
        <f>IFERROR(__xludf.DUMMYFUNCTION("""COMPUTED_VALUE"""),"#Error: Reference ID")</f>
        <v>#Error: Reference ID</v>
      </c>
      <c r="P565" s="9" t="str">
        <f>IFERROR(__xludf.DUMMYFUNCTION("""COMPUTED_VALUE"""),"#Error: Reference ID")</f>
        <v>#Error: Reference ID</v>
      </c>
      <c r="Q565" s="9" t="str">
        <f>IFERROR(__xludf.DUMMYFUNCTION("""COMPUTED_VALUE"""),"#Error: Reference ID")</f>
        <v>#Error: Reference ID</v>
      </c>
      <c r="R565" s="179" t="str">
        <f>IFERROR(__xludf.DUMMYFUNCTION("""COMPUTED_VALUE"""),"MEC_III (00/00) [Winterer, 2017][Witter, 2017];
")</f>
        <v>MEC_III (00/00) [Winterer, 2017][Witter, 2017];
</v>
      </c>
      <c r="S565" s="179" t="str">
        <f>IFERROR(__xludf.DUMMYFUNCTION("""COMPUTED_VALUE"""),"MEC_VMEC_III")</f>
        <v>MEC_VMEC_III</v>
      </c>
      <c r="T565" s="179" t="str">
        <f>IFERROR(__xludf.DUMMYFUNCTION("""COMPUTED_VALUE"""),"[Winterer, 2017]")</f>
        <v>[Winterer, 2017]</v>
      </c>
      <c r="U565" s="179">
        <f>IFERROR(__xludf.DUMMYFUNCTION("""COMPUTED_VALUE"""),0.0)</f>
        <v>0</v>
      </c>
      <c r="V565" s="180">
        <f>IFERROR(__xludf.DUMMYFUNCTION("""COMPUTED_VALUE"""),0.0)</f>
        <v>0</v>
      </c>
      <c r="W565" s="180">
        <f>IFERROR(__xludf.DUMMYFUNCTION("""COMPUTED_VALUE"""),0.0)</f>
        <v>0</v>
      </c>
      <c r="X565" s="42">
        <f>IFERROR(__xludf.DUMMYFUNCTION("""COMPUTED_VALUE"""),0.0)</f>
        <v>0</v>
      </c>
      <c r="Y565" s="42">
        <f>IFERROR(__xludf.DUMMYFUNCTION("""COMPUTED_VALUE"""),0.0)</f>
        <v>0</v>
      </c>
      <c r="Z565" s="9">
        <f>IFERROR(__xludf.DUMMYFUNCTION("""COMPUTED_VALUE"""),0.0)</f>
        <v>0</v>
      </c>
      <c r="AA565" s="181">
        <f>IFERROR(__xludf.DUMMYFUNCTION("""COMPUTED_VALUE"""),0.0)</f>
        <v>0</v>
      </c>
      <c r="AB565" s="181">
        <f>IFERROR(__xludf.DUMMYFUNCTION("""COMPUTED_VALUE"""),0.0)</f>
        <v>0</v>
      </c>
      <c r="AC565" s="179">
        <f>IFERROR(__xludf.DUMMYFUNCTION("""COMPUTED_VALUE"""),0.0)</f>
        <v>0</v>
      </c>
      <c r="AD565" s="165">
        <f>IFERROR(__xludf.DUMMYFUNCTION("""COMPUTED_VALUE"""),0.0)</f>
        <v>0</v>
      </c>
      <c r="AE565" s="39" t="str">
        <f>IFERROR(__xludf.DUMMYFUNCTION("""COMPUTED_VALUE"""),"Ayako Fukawa")</f>
        <v>Ayako Fukawa</v>
      </c>
      <c r="AF565" s="39" t="str">
        <f>IFERROR(__xludf.DUMMYFUNCTION("""COMPUTED_VALUE"""),"AT20HippocampalFormation")</f>
        <v>AT20HippocampalFormation</v>
      </c>
      <c r="AG565" s="39"/>
      <c r="AH565" s="39"/>
      <c r="AI565" s="165"/>
      <c r="AJ565" s="165"/>
      <c r="AK565" s="111"/>
      <c r="AL565" s="111"/>
      <c r="AM565" s="111"/>
      <c r="AN565" s="111"/>
      <c r="AO565" s="111"/>
      <c r="AP565" s="111"/>
      <c r="AQ565" s="116"/>
      <c r="AR565" s="116"/>
      <c r="AS565" s="116"/>
    </row>
    <row r="566">
      <c r="A566" s="42" t="str">
        <f>IFERROR(__xludf.DUMMYFUNCTION("""COMPUTED_VALUE"""),"MEC_V")</f>
        <v>MEC_V</v>
      </c>
      <c r="B566" s="42"/>
      <c r="C566" s="42"/>
      <c r="D566" s="42" t="str">
        <f>IFERROR(__xludf.DUMMYFUNCTION("""COMPUTED_VALUE"""),"MEC_V")</f>
        <v>MEC_V</v>
      </c>
      <c r="E566" s="42"/>
      <c r="F566" s="42"/>
      <c r="G566" s="42"/>
      <c r="H566" s="42" t="str">
        <f>IFERROR(__xludf.DUMMYFUNCTION("""COMPUTED_VALUE"""),"")</f>
        <v/>
      </c>
      <c r="I566" s="42" t="str">
        <f>IFERROR(__xludf.DUMMYFUNCTION("""COMPUTED_VALUE"""),"Winterer, 2017")</f>
        <v>Winterer, 2017</v>
      </c>
      <c r="J566" s="42"/>
      <c r="K566" s="180"/>
      <c r="L566" s="42"/>
      <c r="M566" s="42"/>
      <c r="N566" s="42"/>
      <c r="O566" s="31" t="str">
        <f>IFERROR(__xludf.DUMMYFUNCTION("""COMPUTED_VALUE"""),"#Error: Reference ID")</f>
        <v>#Error: Reference ID</v>
      </c>
      <c r="P566" s="9" t="str">
        <f>IFERROR(__xludf.DUMMYFUNCTION("""COMPUTED_VALUE"""),"#Error: Reference ID")</f>
        <v>#Error: Reference ID</v>
      </c>
      <c r="Q566" s="9" t="str">
        <f>IFERROR(__xludf.DUMMYFUNCTION("""COMPUTED_VALUE"""),"#Error: Reference ID")</f>
        <v>#Error: Reference ID</v>
      </c>
      <c r="R566" s="179" t="str">
        <f>IFERROR(__xludf.DUMMYFUNCTION("""COMPUTED_VALUE"""),"MEC_V (00/00) [Winterer, 2017][Witter, 2017];
")</f>
        <v>MEC_V (00/00) [Winterer, 2017][Witter, 2017];
</v>
      </c>
      <c r="S566" s="179" t="str">
        <f>IFERROR(__xludf.DUMMYFUNCTION("""COMPUTED_VALUE"""),"MEC_VMEC_V")</f>
        <v>MEC_VMEC_V</v>
      </c>
      <c r="T566" s="179" t="str">
        <f>IFERROR(__xludf.DUMMYFUNCTION("""COMPUTED_VALUE"""),"[Winterer, 2017]")</f>
        <v>[Winterer, 2017]</v>
      </c>
      <c r="U566" s="179">
        <f>IFERROR(__xludf.DUMMYFUNCTION("""COMPUTED_VALUE"""),0.0)</f>
        <v>0</v>
      </c>
      <c r="V566" s="180">
        <f>IFERROR(__xludf.DUMMYFUNCTION("""COMPUTED_VALUE"""),0.0)</f>
        <v>0</v>
      </c>
      <c r="W566" s="180">
        <f>IFERROR(__xludf.DUMMYFUNCTION("""COMPUTED_VALUE"""),0.0)</f>
        <v>0</v>
      </c>
      <c r="X566" s="42">
        <f>IFERROR(__xludf.DUMMYFUNCTION("""COMPUTED_VALUE"""),0.0)</f>
        <v>0</v>
      </c>
      <c r="Y566" s="42">
        <f>IFERROR(__xludf.DUMMYFUNCTION("""COMPUTED_VALUE"""),0.0)</f>
        <v>0</v>
      </c>
      <c r="Z566" s="9">
        <f>IFERROR(__xludf.DUMMYFUNCTION("""COMPUTED_VALUE"""),0.0)</f>
        <v>0</v>
      </c>
      <c r="AA566" s="181">
        <f>IFERROR(__xludf.DUMMYFUNCTION("""COMPUTED_VALUE"""),0.0)</f>
        <v>0</v>
      </c>
      <c r="AB566" s="181">
        <f>IFERROR(__xludf.DUMMYFUNCTION("""COMPUTED_VALUE"""),0.0)</f>
        <v>0</v>
      </c>
      <c r="AC566" s="179">
        <f>IFERROR(__xludf.DUMMYFUNCTION("""COMPUTED_VALUE"""),0.0)</f>
        <v>0</v>
      </c>
      <c r="AD566" s="165">
        <f>IFERROR(__xludf.DUMMYFUNCTION("""COMPUTED_VALUE"""),0.0)</f>
        <v>0</v>
      </c>
      <c r="AE566" s="39" t="str">
        <f>IFERROR(__xludf.DUMMYFUNCTION("""COMPUTED_VALUE"""),"Ayako Fukawa")</f>
        <v>Ayako Fukawa</v>
      </c>
      <c r="AF566" s="39" t="str">
        <f>IFERROR(__xludf.DUMMYFUNCTION("""COMPUTED_VALUE"""),"AT20HippocampalFormation")</f>
        <v>AT20HippocampalFormation</v>
      </c>
      <c r="AG566" s="39"/>
      <c r="AH566" s="39"/>
      <c r="AI566" s="165"/>
      <c r="AJ566" s="165"/>
      <c r="AK566" s="111"/>
      <c r="AL566" s="111"/>
      <c r="AM566" s="111"/>
      <c r="AN566" s="111"/>
      <c r="AO566" s="111"/>
      <c r="AP566" s="111"/>
      <c r="AQ566" s="116"/>
      <c r="AR566" s="116"/>
      <c r="AS566" s="116"/>
    </row>
    <row r="567">
      <c r="A567" s="42" t="str">
        <f>IFERROR(__xludf.DUMMYFUNCTION("""COMPUTED_VALUE"""),"MEC_V")</f>
        <v>MEC_V</v>
      </c>
      <c r="B567" s="42"/>
      <c r="C567" s="42"/>
      <c r="D567" s="42" t="str">
        <f>IFERROR(__xludf.DUMMYFUNCTION("""COMPUTED_VALUE"""),"VISpor")</f>
        <v>VISpor</v>
      </c>
      <c r="E567" s="42"/>
      <c r="F567" s="42"/>
      <c r="G567" s="42"/>
      <c r="H567" s="42" t="str">
        <f>IFERROR(__xludf.DUMMYFUNCTION("""COMPUTED_VALUE"""),"")</f>
        <v/>
      </c>
      <c r="I567" s="42" t="str">
        <f>IFERROR(__xludf.DUMMYFUNCTION("""COMPUTED_VALUE"""),"Witter, 2000")</f>
        <v>Witter, 2000</v>
      </c>
      <c r="J567" s="42"/>
      <c r="K567" s="42"/>
      <c r="L567" s="42"/>
      <c r="M567" s="42"/>
      <c r="N567" s="42"/>
      <c r="O567" s="31" t="str">
        <f>IFERROR(__xludf.DUMMYFUNCTION("""COMPUTED_VALUE"""),"DOC")</f>
        <v>DOC</v>
      </c>
      <c r="P567" s="9" t="str">
        <f>IFERROR(__xludf.DUMMYFUNCTION("""COMPUTED_VALUE"""),"Hippocampus")</f>
        <v>Hippocampus</v>
      </c>
      <c r="Q567" s="9" t="str">
        <f>IFERROR(__xludf.DUMMYFUNCTION("""COMPUTED_VALUE"""),"Review")</f>
        <v>Review</v>
      </c>
      <c r="R567" s="179" t="str">
        <f>IFERROR(__xludf.DUMMYFUNCTION("""COMPUTED_VALUE"""),"VISpor (00/00) [Moser, 2010][Witter, 2000];
")</f>
        <v>VISpor (00/00) [Moser, 2010][Witter, 2000];
</v>
      </c>
      <c r="S567" s="179" t="str">
        <f>IFERROR(__xludf.DUMMYFUNCTION("""COMPUTED_VALUE"""),"MEC_VVISpor")</f>
        <v>MEC_VVISpor</v>
      </c>
      <c r="T567" s="179" t="str">
        <f>IFERROR(__xludf.DUMMYFUNCTION("""COMPUTED_VALUE"""),"[Witter, 2000]")</f>
        <v>[Witter, 2000]</v>
      </c>
      <c r="U567" s="179">
        <f>IFERROR(__xludf.DUMMYFUNCTION("""COMPUTED_VALUE"""),0.0)</f>
        <v>0</v>
      </c>
      <c r="V567" s="180">
        <f>IFERROR(__xludf.DUMMYFUNCTION("""COMPUTED_VALUE"""),0.0)</f>
        <v>0</v>
      </c>
      <c r="W567" s="180">
        <f>IFERROR(__xludf.DUMMYFUNCTION("""COMPUTED_VALUE"""),0.95)</f>
        <v>0.95</v>
      </c>
      <c r="X567" s="42">
        <f>IFERROR(__xludf.DUMMYFUNCTION("""COMPUTED_VALUE"""),0.8)</f>
        <v>0.8</v>
      </c>
      <c r="Y567" s="42">
        <f>IFERROR(__xludf.DUMMYFUNCTION("""COMPUTED_VALUE"""),0.0)</f>
        <v>0</v>
      </c>
      <c r="Z567" s="9">
        <f>IFERROR(__xludf.DUMMYFUNCTION("""COMPUTED_VALUE"""),0.0)</f>
        <v>0</v>
      </c>
      <c r="AA567" s="181">
        <f>IFERROR(__xludf.DUMMYFUNCTION("""COMPUTED_VALUE"""),0.0)</f>
        <v>0</v>
      </c>
      <c r="AB567" s="181">
        <f>IFERROR(__xludf.DUMMYFUNCTION("""COMPUTED_VALUE"""),0.0)</f>
        <v>0</v>
      </c>
      <c r="AC567" s="179">
        <f>IFERROR(__xludf.DUMMYFUNCTION("""COMPUTED_VALUE"""),0.0)</f>
        <v>0</v>
      </c>
      <c r="AD567" s="165">
        <f>IFERROR(__xludf.DUMMYFUNCTION("""COMPUTED_VALUE"""),0.0)</f>
        <v>0</v>
      </c>
      <c r="AE567" s="39" t="str">
        <f>IFERROR(__xludf.DUMMYFUNCTION("""COMPUTED_VALUE"""),"Ayako Fukawa")</f>
        <v>Ayako Fukawa</v>
      </c>
      <c r="AF567" s="39" t="str">
        <f>IFERROR(__xludf.DUMMYFUNCTION("""COMPUTED_VALUE"""),"AT20HippocampalFormation")</f>
        <v>AT20HippocampalFormation</v>
      </c>
      <c r="AG567" s="39"/>
      <c r="AH567" s="39"/>
      <c r="AI567" s="165"/>
      <c r="AJ567" s="165"/>
      <c r="AK567" s="111"/>
      <c r="AL567" s="111"/>
      <c r="AM567" s="111"/>
      <c r="AN567" s="111"/>
      <c r="AO567" s="111"/>
      <c r="AP567" s="111"/>
      <c r="AQ567" s="116"/>
      <c r="AR567" s="116"/>
      <c r="AS567" s="116"/>
    </row>
    <row r="568">
      <c r="A568" s="42" t="str">
        <f>IFERROR(__xludf.DUMMYFUNCTION("""COMPUTED_VALUE"""),"MEC_V")</f>
        <v>MEC_V</v>
      </c>
      <c r="B568" s="42"/>
      <c r="C568" s="42"/>
      <c r="D568" s="42" t="str">
        <f>IFERROR(__xludf.DUMMYFUNCTION("""COMPUTED_VALUE"""),"MEC_II")</f>
        <v>MEC_II</v>
      </c>
      <c r="E568" s="42"/>
      <c r="F568" s="42"/>
      <c r="G568" s="42"/>
      <c r="H568" s="42" t="str">
        <f>IFERROR(__xludf.DUMMYFUNCTION("""COMPUTED_VALUE"""),"")</f>
        <v/>
      </c>
      <c r="I568" s="42" t="str">
        <f>IFERROR(__xludf.DUMMYFUNCTION("""COMPUTED_VALUE"""),"Witter, 2017")</f>
        <v>Witter, 2017</v>
      </c>
      <c r="J568" s="42"/>
      <c r="K568" s="42"/>
      <c r="L568" s="42"/>
      <c r="M568" s="42"/>
      <c r="N568" s="42"/>
      <c r="O568" s="31" t="str">
        <f>IFERROR(__xludf.DUMMYFUNCTION("""COMPUTED_VALUE"""),"#Error: Reference ID")</f>
        <v>#Error: Reference ID</v>
      </c>
      <c r="P568" s="9" t="str">
        <f>IFERROR(__xludf.DUMMYFUNCTION("""COMPUTED_VALUE"""),"#Error: Reference ID")</f>
        <v>#Error: Reference ID</v>
      </c>
      <c r="Q568" s="9" t="str">
        <f>IFERROR(__xludf.DUMMYFUNCTION("""COMPUTED_VALUE"""),"#Error: Reference ID")</f>
        <v>#Error: Reference ID</v>
      </c>
      <c r="R568" s="179" t="str">
        <f>IFERROR(__xludf.DUMMYFUNCTION("""COMPUTED_VALUE"""),"MEC_II (00/00) [Winterer, 2017][Witter, 2017];
")</f>
        <v>MEC_II (00/00) [Winterer, 2017][Witter, 2017];
</v>
      </c>
      <c r="S568" s="179" t="str">
        <f>IFERROR(__xludf.DUMMYFUNCTION("""COMPUTED_VALUE"""),"MEC_VMEC_II")</f>
        <v>MEC_VMEC_II</v>
      </c>
      <c r="T568" s="179" t="str">
        <f>IFERROR(__xludf.DUMMYFUNCTION("""COMPUTED_VALUE"""),"[Witter, 2017]")</f>
        <v>[Witter, 2017]</v>
      </c>
      <c r="U568" s="179">
        <f>IFERROR(__xludf.DUMMYFUNCTION("""COMPUTED_VALUE"""),0.0)</f>
        <v>0</v>
      </c>
      <c r="V568" s="180">
        <f>IFERROR(__xludf.DUMMYFUNCTION("""COMPUTED_VALUE"""),0.0)</f>
        <v>0</v>
      </c>
      <c r="W568" s="180">
        <f>IFERROR(__xludf.DUMMYFUNCTION("""COMPUTED_VALUE"""),0.0)</f>
        <v>0</v>
      </c>
      <c r="X568" s="42">
        <f>IFERROR(__xludf.DUMMYFUNCTION("""COMPUTED_VALUE"""),0.0)</f>
        <v>0</v>
      </c>
      <c r="Y568" s="42">
        <f>IFERROR(__xludf.DUMMYFUNCTION("""COMPUTED_VALUE"""),0.0)</f>
        <v>0</v>
      </c>
      <c r="Z568" s="9">
        <f>IFERROR(__xludf.DUMMYFUNCTION("""COMPUTED_VALUE"""),0.0)</f>
        <v>0</v>
      </c>
      <c r="AA568" s="181">
        <f>IFERROR(__xludf.DUMMYFUNCTION("""COMPUTED_VALUE"""),0.0)</f>
        <v>0</v>
      </c>
      <c r="AB568" s="181">
        <f>IFERROR(__xludf.DUMMYFUNCTION("""COMPUTED_VALUE"""),0.0)</f>
        <v>0</v>
      </c>
      <c r="AC568" s="179">
        <f>IFERROR(__xludf.DUMMYFUNCTION("""COMPUTED_VALUE"""),0.0)</f>
        <v>0</v>
      </c>
      <c r="AD568" s="165">
        <f>IFERROR(__xludf.DUMMYFUNCTION("""COMPUTED_VALUE"""),0.0)</f>
        <v>0</v>
      </c>
      <c r="AE568" s="39" t="str">
        <f>IFERROR(__xludf.DUMMYFUNCTION("""COMPUTED_VALUE"""),"Ayako Fukawa")</f>
        <v>Ayako Fukawa</v>
      </c>
      <c r="AF568" s="39" t="str">
        <f>IFERROR(__xludf.DUMMYFUNCTION("""COMPUTED_VALUE"""),"AT20HippocampalFormation")</f>
        <v>AT20HippocampalFormation</v>
      </c>
      <c r="AG568" s="39"/>
      <c r="AH568" s="39"/>
      <c r="AI568" s="165"/>
      <c r="AJ568" s="165"/>
      <c r="AK568" s="111"/>
      <c r="AL568" s="111"/>
      <c r="AM568" s="111"/>
      <c r="AN568" s="111"/>
      <c r="AO568" s="111"/>
      <c r="AP568" s="111"/>
      <c r="AQ568" s="116"/>
      <c r="AR568" s="116"/>
      <c r="AS568" s="116"/>
    </row>
    <row r="569">
      <c r="A569" s="42" t="str">
        <f>IFERROR(__xludf.DUMMYFUNCTION("""COMPUTED_VALUE"""),"MEC_V")</f>
        <v>MEC_V</v>
      </c>
      <c r="B569" s="42"/>
      <c r="C569" s="42"/>
      <c r="D569" s="42" t="str">
        <f>IFERROR(__xludf.DUMMYFUNCTION("""COMPUTED_VALUE"""),"MEC_III")</f>
        <v>MEC_III</v>
      </c>
      <c r="E569" s="42"/>
      <c r="F569" s="42"/>
      <c r="G569" s="42"/>
      <c r="H569" s="42" t="str">
        <f>IFERROR(__xludf.DUMMYFUNCTION("""COMPUTED_VALUE"""),"")</f>
        <v/>
      </c>
      <c r="I569" s="42" t="str">
        <f>IFERROR(__xludf.DUMMYFUNCTION("""COMPUTED_VALUE"""),"Witter, 2017")</f>
        <v>Witter, 2017</v>
      </c>
      <c r="J569" s="42"/>
      <c r="K569" s="42"/>
      <c r="L569" s="42"/>
      <c r="M569" s="42"/>
      <c r="N569" s="42"/>
      <c r="O569" s="31" t="str">
        <f>IFERROR(__xludf.DUMMYFUNCTION("""COMPUTED_VALUE"""),"#Error: Reference ID")</f>
        <v>#Error: Reference ID</v>
      </c>
      <c r="P569" s="9" t="str">
        <f>IFERROR(__xludf.DUMMYFUNCTION("""COMPUTED_VALUE"""),"#Error: Reference ID")</f>
        <v>#Error: Reference ID</v>
      </c>
      <c r="Q569" s="9" t="str">
        <f>IFERROR(__xludf.DUMMYFUNCTION("""COMPUTED_VALUE"""),"#Error: Reference ID")</f>
        <v>#Error: Reference ID</v>
      </c>
      <c r="R569" s="179" t="str">
        <f>IFERROR(__xludf.DUMMYFUNCTION("""COMPUTED_VALUE"""),"MEC_III (00/00) [Winterer, 2017][Witter, 2017];
")</f>
        <v>MEC_III (00/00) [Winterer, 2017][Witter, 2017];
</v>
      </c>
      <c r="S569" s="179" t="str">
        <f>IFERROR(__xludf.DUMMYFUNCTION("""COMPUTED_VALUE"""),"MEC_VMEC_III")</f>
        <v>MEC_VMEC_III</v>
      </c>
      <c r="T569" s="179" t="str">
        <f>IFERROR(__xludf.DUMMYFUNCTION("""COMPUTED_VALUE"""),"[Witter, 2017]")</f>
        <v>[Witter, 2017]</v>
      </c>
      <c r="U569" s="179">
        <f>IFERROR(__xludf.DUMMYFUNCTION("""COMPUTED_VALUE"""),0.0)</f>
        <v>0</v>
      </c>
      <c r="V569" s="180">
        <f>IFERROR(__xludf.DUMMYFUNCTION("""COMPUTED_VALUE"""),0.0)</f>
        <v>0</v>
      </c>
      <c r="W569" s="180">
        <f>IFERROR(__xludf.DUMMYFUNCTION("""COMPUTED_VALUE"""),0.0)</f>
        <v>0</v>
      </c>
      <c r="X569" s="42">
        <f>IFERROR(__xludf.DUMMYFUNCTION("""COMPUTED_VALUE"""),0.0)</f>
        <v>0</v>
      </c>
      <c r="Y569" s="42">
        <f>IFERROR(__xludf.DUMMYFUNCTION("""COMPUTED_VALUE"""),0.0)</f>
        <v>0</v>
      </c>
      <c r="Z569" s="9">
        <f>IFERROR(__xludf.DUMMYFUNCTION("""COMPUTED_VALUE"""),0.0)</f>
        <v>0</v>
      </c>
      <c r="AA569" s="181">
        <f>IFERROR(__xludf.DUMMYFUNCTION("""COMPUTED_VALUE"""),0.0)</f>
        <v>0</v>
      </c>
      <c r="AB569" s="181">
        <f>IFERROR(__xludf.DUMMYFUNCTION("""COMPUTED_VALUE"""),0.0)</f>
        <v>0</v>
      </c>
      <c r="AC569" s="179">
        <f>IFERROR(__xludf.DUMMYFUNCTION("""COMPUTED_VALUE"""),0.0)</f>
        <v>0</v>
      </c>
      <c r="AD569" s="165">
        <f>IFERROR(__xludf.DUMMYFUNCTION("""COMPUTED_VALUE"""),0.0)</f>
        <v>0</v>
      </c>
      <c r="AE569" s="39" t="str">
        <f>IFERROR(__xludf.DUMMYFUNCTION("""COMPUTED_VALUE"""),"Ayako Fukawa")</f>
        <v>Ayako Fukawa</v>
      </c>
      <c r="AF569" s="39" t="str">
        <f>IFERROR(__xludf.DUMMYFUNCTION("""COMPUTED_VALUE"""),"AT20HippocampalFormation")</f>
        <v>AT20HippocampalFormation</v>
      </c>
      <c r="AG569" s="39"/>
      <c r="AH569" s="39"/>
      <c r="AI569" s="165"/>
      <c r="AJ569" s="165"/>
      <c r="AK569" s="111"/>
      <c r="AL569" s="111"/>
      <c r="AM569" s="111"/>
      <c r="AN569" s="111"/>
      <c r="AO569" s="111"/>
      <c r="AP569" s="111"/>
      <c r="AQ569" s="116"/>
      <c r="AR569" s="116"/>
      <c r="AS569" s="116"/>
    </row>
    <row r="570">
      <c r="A570" s="42" t="str">
        <f>IFERROR(__xludf.DUMMYFUNCTION("""COMPUTED_VALUE"""),"MEC_V")</f>
        <v>MEC_V</v>
      </c>
      <c r="B570" s="42"/>
      <c r="C570" s="42"/>
      <c r="D570" s="42" t="str">
        <f>IFERROR(__xludf.DUMMYFUNCTION("""COMPUTED_VALUE"""),"MEC_V")</f>
        <v>MEC_V</v>
      </c>
      <c r="E570" s="42"/>
      <c r="F570" s="42"/>
      <c r="G570" s="42"/>
      <c r="H570" s="42" t="str">
        <f>IFERROR(__xludf.DUMMYFUNCTION("""COMPUTED_VALUE"""),"")</f>
        <v/>
      </c>
      <c r="I570" s="42" t="str">
        <f>IFERROR(__xludf.DUMMYFUNCTION("""COMPUTED_VALUE"""),"Witter, 2017")</f>
        <v>Witter, 2017</v>
      </c>
      <c r="J570" s="42"/>
      <c r="K570" s="42"/>
      <c r="L570" s="42"/>
      <c r="M570" s="42"/>
      <c r="N570" s="42"/>
      <c r="O570" s="31" t="str">
        <f>IFERROR(__xludf.DUMMYFUNCTION("""COMPUTED_VALUE"""),"#Error: Reference ID")</f>
        <v>#Error: Reference ID</v>
      </c>
      <c r="P570" s="9" t="str">
        <f>IFERROR(__xludf.DUMMYFUNCTION("""COMPUTED_VALUE"""),"#Error: Reference ID")</f>
        <v>#Error: Reference ID</v>
      </c>
      <c r="Q570" s="9" t="str">
        <f>IFERROR(__xludf.DUMMYFUNCTION("""COMPUTED_VALUE"""),"#Error: Reference ID")</f>
        <v>#Error: Reference ID</v>
      </c>
      <c r="R570" s="179" t="str">
        <f>IFERROR(__xludf.DUMMYFUNCTION("""COMPUTED_VALUE"""),"MEC_V (00/00) [Winterer, 2017][Witter, 2017];
")</f>
        <v>MEC_V (00/00) [Winterer, 2017][Witter, 2017];
</v>
      </c>
      <c r="S570" s="179" t="str">
        <f>IFERROR(__xludf.DUMMYFUNCTION("""COMPUTED_VALUE"""),"MEC_VMEC_V")</f>
        <v>MEC_VMEC_V</v>
      </c>
      <c r="T570" s="179" t="str">
        <f>IFERROR(__xludf.DUMMYFUNCTION("""COMPUTED_VALUE"""),"[Witter, 2017]")</f>
        <v>[Witter, 2017]</v>
      </c>
      <c r="U570" s="179">
        <f>IFERROR(__xludf.DUMMYFUNCTION("""COMPUTED_VALUE"""),0.0)</f>
        <v>0</v>
      </c>
      <c r="V570" s="180">
        <f>IFERROR(__xludf.DUMMYFUNCTION("""COMPUTED_VALUE"""),0.0)</f>
        <v>0</v>
      </c>
      <c r="W570" s="180">
        <f>IFERROR(__xludf.DUMMYFUNCTION("""COMPUTED_VALUE"""),0.0)</f>
        <v>0</v>
      </c>
      <c r="X570" s="42">
        <f>IFERROR(__xludf.DUMMYFUNCTION("""COMPUTED_VALUE"""),0.0)</f>
        <v>0</v>
      </c>
      <c r="Y570" s="42">
        <f>IFERROR(__xludf.DUMMYFUNCTION("""COMPUTED_VALUE"""),0.0)</f>
        <v>0</v>
      </c>
      <c r="Z570" s="9">
        <f>IFERROR(__xludf.DUMMYFUNCTION("""COMPUTED_VALUE"""),0.0)</f>
        <v>0</v>
      </c>
      <c r="AA570" s="181">
        <f>IFERROR(__xludf.DUMMYFUNCTION("""COMPUTED_VALUE"""),0.0)</f>
        <v>0</v>
      </c>
      <c r="AB570" s="181">
        <f>IFERROR(__xludf.DUMMYFUNCTION("""COMPUTED_VALUE"""),0.0)</f>
        <v>0</v>
      </c>
      <c r="AC570" s="179">
        <f>IFERROR(__xludf.DUMMYFUNCTION("""COMPUTED_VALUE"""),0.0)</f>
        <v>0</v>
      </c>
      <c r="AD570" s="165">
        <f>IFERROR(__xludf.DUMMYFUNCTION("""COMPUTED_VALUE"""),0.0)</f>
        <v>0</v>
      </c>
      <c r="AE570" s="39" t="str">
        <f>IFERROR(__xludf.DUMMYFUNCTION("""COMPUTED_VALUE"""),"Ayako Fukawa")</f>
        <v>Ayako Fukawa</v>
      </c>
      <c r="AF570" s="39" t="str">
        <f>IFERROR(__xludf.DUMMYFUNCTION("""COMPUTED_VALUE"""),"AT20HippocampalFormation")</f>
        <v>AT20HippocampalFormation</v>
      </c>
      <c r="AG570" s="39"/>
      <c r="AH570" s="39"/>
      <c r="AI570" s="165"/>
      <c r="AJ570" s="165"/>
      <c r="AK570" s="111"/>
      <c r="AL570" s="111"/>
      <c r="AM570" s="111"/>
      <c r="AN570" s="111"/>
      <c r="AO570" s="111"/>
      <c r="AP570" s="111"/>
      <c r="AQ570" s="116"/>
      <c r="AR570" s="116"/>
      <c r="AS570" s="116"/>
    </row>
    <row r="571">
      <c r="A571" s="42" t="str">
        <f>IFERROR(__xludf.DUMMYFUNCTION("""COMPUTED_VALUE"""),"MFC")</f>
        <v>MFC</v>
      </c>
      <c r="B571" s="42"/>
      <c r="C571" s="42"/>
      <c r="D571" s="42" t="str">
        <f>IFERROR(__xludf.DUMMYFUNCTION("""COMPUTED_VALUE"""),"NAC")</f>
        <v>NAC</v>
      </c>
      <c r="E571" s="42"/>
      <c r="F571" s="42"/>
      <c r="G571" s="42"/>
      <c r="H571" s="42" t="str">
        <f>IFERROR(__xludf.DUMMYFUNCTION("""COMPUTED_VALUE"""),"(Limbic loop)")</f>
        <v>(Limbic loop)</v>
      </c>
      <c r="I571" s="42" t="str">
        <f>IFERROR(__xludf.DUMMYFUNCTION("""COMPUTED_VALUE"""),"Galvan, 2015")</f>
        <v>Galvan, 2015</v>
      </c>
      <c r="J571" s="42"/>
      <c r="K571" s="180"/>
      <c r="L571" s="42"/>
      <c r="M571" s="42"/>
      <c r="N571" s="42"/>
      <c r="O571" s="31" t="str">
        <f>IFERROR(__xludf.DUMMYFUNCTION("""COMPUTED_VALUE"""),"DOC")</f>
        <v>DOC</v>
      </c>
      <c r="P571" s="9" t="str">
        <f>IFERROR(__xludf.DUMMYFUNCTION("""COMPUTED_VALUE"""),"Frontiers in Neuroanatomy")</f>
        <v>Frontiers in Neuroanatomy</v>
      </c>
      <c r="Q571" s="9"/>
      <c r="R571" s="179" t="str">
        <f>IFERROR(__xludf.DUMMYFUNCTION("""COMPUTED_VALUE"""),"NAC (00/00) [Galvan, 2015](Limbic loop);
")</f>
        <v>NAC (00/00) [Galvan, 2015](Limbic loop);
</v>
      </c>
      <c r="S571" s="179" t="str">
        <f>IFERROR(__xludf.DUMMYFUNCTION("""COMPUTED_VALUE"""),"MFCNAC")</f>
        <v>MFCNAC</v>
      </c>
      <c r="T571" s="179" t="str">
        <f>IFERROR(__xludf.DUMMYFUNCTION("""COMPUTED_VALUE"""),"[Galvan, 2015]")</f>
        <v>[Galvan, 2015]</v>
      </c>
      <c r="U571" s="179">
        <f>IFERROR(__xludf.DUMMYFUNCTION("""COMPUTED_VALUE"""),0.0)</f>
        <v>0</v>
      </c>
      <c r="V571" s="180">
        <f>IFERROR(__xludf.DUMMYFUNCTION("""COMPUTED_VALUE"""),0.0)</f>
        <v>0</v>
      </c>
      <c r="W571" s="180">
        <f>IFERROR(__xludf.DUMMYFUNCTION("""COMPUTED_VALUE"""),0.95)</f>
        <v>0.95</v>
      </c>
      <c r="X571" s="42">
        <f>IFERROR(__xludf.DUMMYFUNCTION("""COMPUTED_VALUE"""),0.0)</f>
        <v>0</v>
      </c>
      <c r="Y571" s="42">
        <f>IFERROR(__xludf.DUMMYFUNCTION("""COMPUTED_VALUE"""),0.0)</f>
        <v>0</v>
      </c>
      <c r="Z571" s="9">
        <f>IFERROR(__xludf.DUMMYFUNCTION("""COMPUTED_VALUE"""),0.0)</f>
        <v>0</v>
      </c>
      <c r="AA571" s="181">
        <f>IFERROR(__xludf.DUMMYFUNCTION("""COMPUTED_VALUE"""),0.0)</f>
        <v>0</v>
      </c>
      <c r="AB571" s="181">
        <f>IFERROR(__xludf.DUMMYFUNCTION("""COMPUTED_VALUE"""),0.0)</f>
        <v>0</v>
      </c>
      <c r="AC571" s="179">
        <f>IFERROR(__xludf.DUMMYFUNCTION("""COMPUTED_VALUE"""),0.0)</f>
        <v>0</v>
      </c>
      <c r="AD571" s="165">
        <f>IFERROR(__xludf.DUMMYFUNCTION("""COMPUTED_VALUE"""),0.0)</f>
        <v>0</v>
      </c>
      <c r="AE571" s="39" t="str">
        <f>IFERROR(__xludf.DUMMYFUNCTION("""COMPUTED_VALUE"""),"Yuske Shibata")</f>
        <v>Yuske Shibata</v>
      </c>
      <c r="AF571" s="39" t="str">
        <f>IFERROR(__xludf.DUMMYFUNCTION("""COMPUTED_VALUE"""),"YS21BgLoop")</f>
        <v>YS21BgLoop</v>
      </c>
      <c r="AG571" s="39"/>
      <c r="AH571" s="39"/>
      <c r="AI571" s="165"/>
      <c r="AJ571" s="165"/>
      <c r="AK571" s="111"/>
      <c r="AL571" s="111"/>
      <c r="AM571" s="111"/>
      <c r="AN571" s="111"/>
      <c r="AO571" s="111"/>
      <c r="AP571" s="111"/>
      <c r="AQ571" s="116"/>
      <c r="AR571" s="116"/>
      <c r="AS571" s="116"/>
    </row>
    <row r="572">
      <c r="A572" s="42" t="str">
        <f>IFERROR(__xludf.DUMMYFUNCTION("""COMPUTED_VALUE"""),"MoRF")</f>
        <v>MoRF</v>
      </c>
      <c r="B572" s="42"/>
      <c r="C572" s="42"/>
      <c r="D572" s="42" t="str">
        <f>IFERROR(__xludf.DUMMYFUNCTION("""COMPUTED_VALUE"""),"resp")</f>
        <v>resp</v>
      </c>
      <c r="E572" s="42"/>
      <c r="F572" s="42"/>
      <c r="G572" s="42"/>
      <c r="H572" s="42"/>
      <c r="I572" s="42" t="str">
        <f>IFERROR(__xludf.DUMMYFUNCTION("""COMPUTED_VALUE"""),"")</f>
        <v/>
      </c>
      <c r="J572" s="42"/>
      <c r="K572" s="180"/>
      <c r="L572" s="42"/>
      <c r="M572" s="42"/>
      <c r="N572" s="42"/>
      <c r="O572" s="31"/>
      <c r="P572" s="9"/>
      <c r="Q572" s="9"/>
      <c r="R572" s="179" t="str">
        <f>IFERROR(__xludf.DUMMYFUNCTION("""COMPUTED_VALUE"""),"#REF!")</f>
        <v>#REF!</v>
      </c>
      <c r="S572" s="179" t="str">
        <f>IFERROR(__xludf.DUMMYFUNCTION("""COMPUTED_VALUE"""),"MoRFresp")</f>
        <v>MoRFresp</v>
      </c>
      <c r="T572" s="179" t="str">
        <f>IFERROR(__xludf.DUMMYFUNCTION("""COMPUTED_VALUE"""),"[]")</f>
        <v>[]</v>
      </c>
      <c r="U572" s="179">
        <f>IFERROR(__xludf.DUMMYFUNCTION("""COMPUTED_VALUE"""),0.0)</f>
        <v>0</v>
      </c>
      <c r="V572" s="180">
        <f>IFERROR(__xludf.DUMMYFUNCTION("""COMPUTED_VALUE"""),0.0)</f>
        <v>0</v>
      </c>
      <c r="W572" s="180" t="str">
        <f>IFERROR(__xludf.DUMMYFUNCTION("""COMPUTED_VALUE"""),"#REF!")</f>
        <v>#REF!</v>
      </c>
      <c r="X572" s="42">
        <f>IFERROR(__xludf.DUMMYFUNCTION("""COMPUTED_VALUE"""),0.0)</f>
        <v>0</v>
      </c>
      <c r="Y572" s="42">
        <f>IFERROR(__xludf.DUMMYFUNCTION("""COMPUTED_VALUE"""),0.0)</f>
        <v>0</v>
      </c>
      <c r="Z572" s="9">
        <f>IFERROR(__xludf.DUMMYFUNCTION("""COMPUTED_VALUE"""),0.0)</f>
        <v>0</v>
      </c>
      <c r="AA572" s="181" t="str">
        <f>IFERROR(__xludf.DUMMYFUNCTION("""COMPUTED_VALUE"""),"#REF!")</f>
        <v>#REF!</v>
      </c>
      <c r="AB572" s="181" t="str">
        <f>IFERROR(__xludf.DUMMYFUNCTION("""COMPUTED_VALUE"""),"#REF!")</f>
        <v>#REF!</v>
      </c>
      <c r="AC572" s="179" t="str">
        <f>IFERROR(__xludf.DUMMYFUNCTION("""COMPUTED_VALUE"""),"#REF!")</f>
        <v>#REF!</v>
      </c>
      <c r="AD572" s="165" t="str">
        <f>IFERROR(__xludf.DUMMYFUNCTION("""COMPUTED_VALUE"""),"#REF!")</f>
        <v>#REF!</v>
      </c>
      <c r="AE572" s="39" t="str">
        <f>IFERROR(__xludf.DUMMYFUNCTION("""COMPUTED_VALUE"""),"Hiroshi Yamakawa")</f>
        <v>Hiroshi Yamakawa</v>
      </c>
      <c r="AF572" s="39" t="str">
        <f>IFERROR(__xludf.DUMMYFUNCTION("""COMPUTED_VALUE"""),"HY20Cerebellum")</f>
        <v>HY20Cerebellum</v>
      </c>
      <c r="AG572" s="39"/>
      <c r="AH572" s="39"/>
      <c r="AI572" s="165"/>
      <c r="AJ572" s="165"/>
      <c r="AK572" s="111"/>
      <c r="AL572" s="111"/>
      <c r="AM572" s="111"/>
      <c r="AN572" s="111"/>
      <c r="AO572" s="111"/>
      <c r="AP572" s="111"/>
      <c r="AQ572" s="116"/>
      <c r="AR572" s="116"/>
      <c r="AS572" s="116"/>
    </row>
    <row r="573">
      <c r="A573" s="42" t="str">
        <f>IFERROR(__xludf.DUMMYFUNCTION("""COMPUTED_VALUE"""),"MSN")</f>
        <v>MSN</v>
      </c>
      <c r="B573" s="42"/>
      <c r="C573" s="42"/>
      <c r="D573" s="42" t="str">
        <f>IFERROR(__xludf.DUMMYFUNCTION("""COMPUTED_VALUE"""),"MEC_II")</f>
        <v>MEC_II</v>
      </c>
      <c r="E573" s="42"/>
      <c r="F573" s="42"/>
      <c r="G573" s="42"/>
      <c r="H573" s="42" t="str">
        <f>IFERROR(__xludf.DUMMYFUNCTION("""COMPUTED_VALUE"""),"")</f>
        <v/>
      </c>
      <c r="I573" s="42" t="str">
        <f>IFERROR(__xludf.DUMMYFUNCTION("""COMPUTED_VALUE"""),"Ohara, 2018")</f>
        <v>Ohara, 2018</v>
      </c>
      <c r="J573" s="42"/>
      <c r="K573" s="42"/>
      <c r="L573" s="42"/>
      <c r="M573" s="42"/>
      <c r="N573" s="42"/>
      <c r="O573" s="31" t="str">
        <f>IFERROR(__xludf.DUMMYFUNCTION("""COMPUTED_VALUE"""),"DOC")</f>
        <v>DOC</v>
      </c>
      <c r="P573" s="9" t="str">
        <f>IFERROR(__xludf.DUMMYFUNCTION("""COMPUTED_VALUE"""),"Cell Reports")</f>
        <v>Cell Reports</v>
      </c>
      <c r="Q573" s="9"/>
      <c r="R573" s="179" t="str">
        <f>IFERROR(__xludf.DUMMYFUNCTION("""COMPUTED_VALUE"""),"MEC_II (00/00) [Ohara, 2018];
")</f>
        <v>MEC_II (00/00) [Ohara, 2018];
</v>
      </c>
      <c r="S573" s="179" t="str">
        <f>IFERROR(__xludf.DUMMYFUNCTION("""COMPUTED_VALUE"""),"MSNMEC_II")</f>
        <v>MSNMEC_II</v>
      </c>
      <c r="T573" s="179" t="str">
        <f>IFERROR(__xludf.DUMMYFUNCTION("""COMPUTED_VALUE"""),"[Ohara, 2018]")</f>
        <v>[Ohara, 2018]</v>
      </c>
      <c r="U573" s="179">
        <f>IFERROR(__xludf.DUMMYFUNCTION("""COMPUTED_VALUE"""),0.0)</f>
        <v>0</v>
      </c>
      <c r="V573" s="180">
        <f>IFERROR(__xludf.DUMMYFUNCTION("""COMPUTED_VALUE"""),0.0)</f>
        <v>0</v>
      </c>
      <c r="W573" s="180">
        <f>IFERROR(__xludf.DUMMYFUNCTION("""COMPUTED_VALUE"""),0.95)</f>
        <v>0.95</v>
      </c>
      <c r="X573" s="42">
        <f>IFERROR(__xludf.DUMMYFUNCTION("""COMPUTED_VALUE"""),0.0)</f>
        <v>0</v>
      </c>
      <c r="Y573" s="42">
        <f>IFERROR(__xludf.DUMMYFUNCTION("""COMPUTED_VALUE"""),0.0)</f>
        <v>0</v>
      </c>
      <c r="Z573" s="9">
        <f>IFERROR(__xludf.DUMMYFUNCTION("""COMPUTED_VALUE"""),0.0)</f>
        <v>0</v>
      </c>
      <c r="AA573" s="181">
        <f>IFERROR(__xludf.DUMMYFUNCTION("""COMPUTED_VALUE"""),0.0)</f>
        <v>0</v>
      </c>
      <c r="AB573" s="181">
        <f>IFERROR(__xludf.DUMMYFUNCTION("""COMPUTED_VALUE"""),0.0)</f>
        <v>0</v>
      </c>
      <c r="AC573" s="179">
        <f>IFERROR(__xludf.DUMMYFUNCTION("""COMPUTED_VALUE"""),0.0)</f>
        <v>0</v>
      </c>
      <c r="AD573" s="165">
        <f>IFERROR(__xludf.DUMMYFUNCTION("""COMPUTED_VALUE"""),0.0)</f>
        <v>0</v>
      </c>
      <c r="AE573" s="39" t="str">
        <f>IFERROR(__xludf.DUMMYFUNCTION("""COMPUTED_VALUE"""),"Ayako Fukawa")</f>
        <v>Ayako Fukawa</v>
      </c>
      <c r="AF573" s="39" t="str">
        <f>IFERROR(__xludf.DUMMYFUNCTION("""COMPUTED_VALUE"""),"AT20HippocampalFormation")</f>
        <v>AT20HippocampalFormation</v>
      </c>
      <c r="AG573" s="39"/>
      <c r="AH573" s="39"/>
      <c r="AI573" s="165"/>
      <c r="AJ573" s="165"/>
      <c r="AK573" s="111"/>
      <c r="AL573" s="111"/>
      <c r="AM573" s="111"/>
      <c r="AN573" s="111"/>
      <c r="AO573" s="111"/>
      <c r="AP573" s="111"/>
      <c r="AQ573" s="116"/>
      <c r="AR573" s="116"/>
      <c r="AS573" s="116"/>
    </row>
    <row r="574">
      <c r="A574" s="42" t="str">
        <f>IFERROR(__xludf.DUMMYFUNCTION("""COMPUTED_VALUE"""),"MTc")</f>
        <v>MTc</v>
      </c>
      <c r="B574" s="42"/>
      <c r="C574" s="42"/>
      <c r="D574" s="42" t="str">
        <f>IFERROR(__xludf.DUMMYFUNCTION("""COMPUTED_VALUE"""),"CBVg")</f>
        <v>CBVg</v>
      </c>
      <c r="E574" s="42"/>
      <c r="F574" s="42"/>
      <c r="G574" s="42"/>
      <c r="H574" s="42" t="str">
        <f>IFERROR(__xludf.DUMMYFUNCTION("""COMPUTED_VALUE"""),"")</f>
        <v/>
      </c>
      <c r="I574" s="42" t="str">
        <f>IFERROR(__xludf.DUMMYFUNCTION("""COMPUTED_VALUE"""),"Knierim, 2021")</f>
        <v>Knierim, 2021</v>
      </c>
      <c r="J574" s="42"/>
      <c r="K574" s="42"/>
      <c r="L574" s="42"/>
      <c r="M574" s="42"/>
      <c r="N574" s="42"/>
      <c r="O574" s="31" t="str">
        <f>IFERROR(__xludf.DUMMYFUNCTION("""COMPUTED_VALUE"""),"DOC(alt)")</f>
        <v>DOC(alt)</v>
      </c>
      <c r="P574" s="9" t="str">
        <f>IFERROR(__xludf.DUMMYFUNCTION("""COMPUTED_VALUE"""),"Neuroscience Online, an {Open-Access} Neuroscience Electronic Textbook")</f>
        <v>Neuroscience Online, an {Open-Access} Neuroscience Electronic Textbook</v>
      </c>
      <c r="Q574" s="9" t="str">
        <f>IFERROR(__xludf.DUMMYFUNCTION("""COMPUTED_VALUE"""),"Textbook")</f>
        <v>Textbook</v>
      </c>
      <c r="R574" s="179" t="str">
        <f>IFERROR(__xludf.DUMMYFUNCTION("""COMPUTED_VALUE"""),"CBVg (00/00) [Knierim, 2021];
")</f>
        <v>CBVg (00/00) [Knierim, 2021];
</v>
      </c>
      <c r="S574" s="179" t="str">
        <f>IFERROR(__xludf.DUMMYFUNCTION("""COMPUTED_VALUE"""),"MTcCBVg")</f>
        <v>MTcCBVg</v>
      </c>
      <c r="T574" s="179" t="str">
        <f>IFERROR(__xludf.DUMMYFUNCTION("""COMPUTED_VALUE"""),"[Knierim, 2021]")</f>
        <v>[Knierim, 2021]</v>
      </c>
      <c r="U574" s="179">
        <f>IFERROR(__xludf.DUMMYFUNCTION("""COMPUTED_VALUE"""),0.0)</f>
        <v>0</v>
      </c>
      <c r="V574" s="180">
        <f>IFERROR(__xludf.DUMMYFUNCTION("""COMPUTED_VALUE"""),0.0)</f>
        <v>0</v>
      </c>
      <c r="W574" s="180">
        <f>IFERROR(__xludf.DUMMYFUNCTION("""COMPUTED_VALUE"""),0.0)</f>
        <v>0</v>
      </c>
      <c r="X574" s="42">
        <f>IFERROR(__xludf.DUMMYFUNCTION("""COMPUTED_VALUE"""),0.9)</f>
        <v>0.9</v>
      </c>
      <c r="Y574" s="42">
        <f>IFERROR(__xludf.DUMMYFUNCTION("""COMPUTED_VALUE"""),0.0)</f>
        <v>0</v>
      </c>
      <c r="Z574" s="9">
        <f>IFERROR(__xludf.DUMMYFUNCTION("""COMPUTED_VALUE"""),0.0)</f>
        <v>0</v>
      </c>
      <c r="AA574" s="181">
        <f>IFERROR(__xludf.DUMMYFUNCTION("""COMPUTED_VALUE"""),0.0)</f>
        <v>0</v>
      </c>
      <c r="AB574" s="181">
        <f>IFERROR(__xludf.DUMMYFUNCTION("""COMPUTED_VALUE"""),0.0)</f>
        <v>0</v>
      </c>
      <c r="AC574" s="179">
        <f>IFERROR(__xludf.DUMMYFUNCTION("""COMPUTED_VALUE"""),0.0)</f>
        <v>0</v>
      </c>
      <c r="AD574" s="165">
        <f>IFERROR(__xludf.DUMMYFUNCTION("""COMPUTED_VALUE"""),0.0)</f>
        <v>0</v>
      </c>
      <c r="AE574" s="39" t="str">
        <f>IFERROR(__xludf.DUMMYFUNCTION("""COMPUTED_VALUE"""),"Hiroshi Yamakawa")</f>
        <v>Hiroshi Yamakawa</v>
      </c>
      <c r="AF574" s="39" t="str">
        <f>IFERROR(__xludf.DUMMYFUNCTION("""COMPUTED_VALUE"""),"HY20Cerebellum")</f>
        <v>HY20Cerebellum</v>
      </c>
      <c r="AG574" s="39"/>
      <c r="AH574" s="39"/>
      <c r="AI574" s="165"/>
      <c r="AJ574" s="165"/>
      <c r="AK574" s="111"/>
      <c r="AL574" s="111"/>
      <c r="AM574" s="111"/>
      <c r="AN574" s="111"/>
      <c r="AO574" s="111"/>
      <c r="AP574" s="111"/>
      <c r="AQ574" s="116"/>
      <c r="AR574" s="116"/>
      <c r="AS574" s="116"/>
    </row>
    <row r="575">
      <c r="A575" s="42" t="str">
        <f>IFERROR(__xludf.DUMMYFUNCTION("""COMPUTED_VALUE"""),"MTc")</f>
        <v>MTc</v>
      </c>
      <c r="B575" s="42"/>
      <c r="C575" s="42"/>
      <c r="D575" s="42" t="str">
        <f>IFERROR(__xludf.DUMMYFUNCTION("""COMPUTED_VALUE"""),"Fas")</f>
        <v>Fas</v>
      </c>
      <c r="E575" s="42"/>
      <c r="F575" s="42"/>
      <c r="G575" s="42"/>
      <c r="H575" s="42" t="str">
        <f>IFERROR(__xludf.DUMMYFUNCTION("""COMPUTED_VALUE"""),"")</f>
        <v/>
      </c>
      <c r="I575" s="42" t="str">
        <f>IFERROR(__xludf.DUMMYFUNCTION("""COMPUTED_VALUE"""),"Knierim, 2021")</f>
        <v>Knierim, 2021</v>
      </c>
      <c r="J575" s="42"/>
      <c r="K575" s="42"/>
      <c r="L575" s="42"/>
      <c r="M575" s="42"/>
      <c r="N575" s="42"/>
      <c r="O575" s="31" t="str">
        <f>IFERROR(__xludf.DUMMYFUNCTION("""COMPUTED_VALUE"""),"DOC(alt)")</f>
        <v>DOC(alt)</v>
      </c>
      <c r="P575" s="9" t="str">
        <f>IFERROR(__xludf.DUMMYFUNCTION("""COMPUTED_VALUE"""),"Neuroscience Online, an {Open-Access} Neuroscience Electronic Textbook")</f>
        <v>Neuroscience Online, an {Open-Access} Neuroscience Electronic Textbook</v>
      </c>
      <c r="Q575" s="9" t="str">
        <f>IFERROR(__xludf.DUMMYFUNCTION("""COMPUTED_VALUE"""),"Textbook")</f>
        <v>Textbook</v>
      </c>
      <c r="R575" s="179" t="str">
        <f>IFERROR(__xludf.DUMMYFUNCTION("""COMPUTED_VALUE"""),"Fas (00/00) [Knierim, 2021];
")</f>
        <v>Fas (00/00) [Knierim, 2021];
</v>
      </c>
      <c r="S575" s="179" t="str">
        <f>IFERROR(__xludf.DUMMYFUNCTION("""COMPUTED_VALUE"""),"MTcFas")</f>
        <v>MTcFas</v>
      </c>
      <c r="T575" s="179" t="str">
        <f>IFERROR(__xludf.DUMMYFUNCTION("""COMPUTED_VALUE"""),"[Knierim, 2021]")</f>
        <v>[Knierim, 2021]</v>
      </c>
      <c r="U575" s="179">
        <f>IFERROR(__xludf.DUMMYFUNCTION("""COMPUTED_VALUE"""),0.0)</f>
        <v>0</v>
      </c>
      <c r="V575" s="180">
        <f>IFERROR(__xludf.DUMMYFUNCTION("""COMPUTED_VALUE"""),0.0)</f>
        <v>0</v>
      </c>
      <c r="W575" s="180">
        <f>IFERROR(__xludf.DUMMYFUNCTION("""COMPUTED_VALUE"""),0.0)</f>
        <v>0</v>
      </c>
      <c r="X575" s="42">
        <f>IFERROR(__xludf.DUMMYFUNCTION("""COMPUTED_VALUE"""),0.9)</f>
        <v>0.9</v>
      </c>
      <c r="Y575" s="42">
        <f>IFERROR(__xludf.DUMMYFUNCTION("""COMPUTED_VALUE"""),0.0)</f>
        <v>0</v>
      </c>
      <c r="Z575" s="9">
        <f>IFERROR(__xludf.DUMMYFUNCTION("""COMPUTED_VALUE"""),0.0)</f>
        <v>0</v>
      </c>
      <c r="AA575" s="181">
        <f>IFERROR(__xludf.DUMMYFUNCTION("""COMPUTED_VALUE"""),0.0)</f>
        <v>0</v>
      </c>
      <c r="AB575" s="181">
        <f>IFERROR(__xludf.DUMMYFUNCTION("""COMPUTED_VALUE"""),0.0)</f>
        <v>0</v>
      </c>
      <c r="AC575" s="179">
        <f>IFERROR(__xludf.DUMMYFUNCTION("""COMPUTED_VALUE"""),0.0)</f>
        <v>0</v>
      </c>
      <c r="AD575" s="165">
        <f>IFERROR(__xludf.DUMMYFUNCTION("""COMPUTED_VALUE"""),0.0)</f>
        <v>0</v>
      </c>
      <c r="AE575" s="39" t="str">
        <f>IFERROR(__xludf.DUMMYFUNCTION("""COMPUTED_VALUE"""),"Hiroshi Yamakawa")</f>
        <v>Hiroshi Yamakawa</v>
      </c>
      <c r="AF575" s="39" t="str">
        <f>IFERROR(__xludf.DUMMYFUNCTION("""COMPUTED_VALUE"""),"HY20Cerebellum")</f>
        <v>HY20Cerebellum</v>
      </c>
      <c r="AG575" s="39"/>
      <c r="AH575" s="39"/>
      <c r="AI575" s="165"/>
      <c r="AJ575" s="165"/>
      <c r="AK575" s="111"/>
      <c r="AL575" s="111"/>
      <c r="AM575" s="111"/>
      <c r="AN575" s="111"/>
      <c r="AO575" s="111"/>
      <c r="AP575" s="111"/>
      <c r="AQ575" s="116"/>
      <c r="AR575" s="116"/>
      <c r="AS575" s="116"/>
    </row>
    <row r="576">
      <c r="A576" s="42" t="str">
        <f>IFERROR(__xludf.DUMMYFUNCTION("""COMPUTED_VALUE"""),"MVeMC")</f>
        <v>MVeMC</v>
      </c>
      <c r="B576" s="42"/>
      <c r="C576" s="42"/>
      <c r="D576" s="42" t="str">
        <f>IFERROR(__xludf.DUMMYFUNCTION("""COMPUTED_VALUE"""),"6N")</f>
        <v>6N</v>
      </c>
      <c r="E576" s="42"/>
      <c r="F576" s="42"/>
      <c r="G576" s="42"/>
      <c r="H576" s="42" t="str">
        <f>IFERROR(__xludf.DUMMYFUNCTION("""COMPUTED_VALUE"""),"")</f>
        <v/>
      </c>
      <c r="I576" s="42" t="str">
        <f>IFERROR(__xludf.DUMMYFUNCTION("""COMPUTED_VALUE"""),"Carcaud, 2017")</f>
        <v>Carcaud, 2017</v>
      </c>
      <c r="J576" s="42"/>
      <c r="K576" s="42"/>
      <c r="L576" s="42"/>
      <c r="M576" s="42"/>
      <c r="N576" s="42"/>
      <c r="O576" s="31" t="str">
        <f>IFERROR(__xludf.DUMMYFUNCTION("""COMPUTED_VALUE"""),"DOC")</f>
        <v>DOC</v>
      </c>
      <c r="P576" s="9" t="str">
        <f>IFERROR(__xludf.DUMMYFUNCTION("""COMPUTED_VALUE"""),"eneuro")</f>
        <v>eneuro</v>
      </c>
      <c r="Q576" s="9"/>
      <c r="R576" s="179" t="str">
        <f>IFERROR(__xludf.DUMMYFUNCTION("""COMPUTED_VALUE"""),"6N (00/00) [Carcaud, 2017][Matsuno, 2016][Shin, 2011];
")</f>
        <v>6N (00/00) [Carcaud, 2017][Matsuno, 2016][Shin, 2011];
</v>
      </c>
      <c r="S576" s="179" t="str">
        <f>IFERROR(__xludf.DUMMYFUNCTION("""COMPUTED_VALUE"""),"MVeMC6N")</f>
        <v>MVeMC6N</v>
      </c>
      <c r="T576" s="179" t="str">
        <f>IFERROR(__xludf.DUMMYFUNCTION("""COMPUTED_VALUE"""),"[Carcaud, 2017]")</f>
        <v>[Carcaud, 2017]</v>
      </c>
      <c r="U576" s="179">
        <f>IFERROR(__xludf.DUMMYFUNCTION("""COMPUTED_VALUE"""),0.0)</f>
        <v>0</v>
      </c>
      <c r="V576" s="180">
        <f>IFERROR(__xludf.DUMMYFUNCTION("""COMPUTED_VALUE"""),0.0)</f>
        <v>0</v>
      </c>
      <c r="W576" s="180">
        <f>IFERROR(__xludf.DUMMYFUNCTION("""COMPUTED_VALUE"""),0.95)</f>
        <v>0.95</v>
      </c>
      <c r="X576" s="42">
        <f>IFERROR(__xludf.DUMMYFUNCTION("""COMPUTED_VALUE"""),0.0)</f>
        <v>0</v>
      </c>
      <c r="Y576" s="42">
        <f>IFERROR(__xludf.DUMMYFUNCTION("""COMPUTED_VALUE"""),0.0)</f>
        <v>0</v>
      </c>
      <c r="Z576" s="9">
        <f>IFERROR(__xludf.DUMMYFUNCTION("""COMPUTED_VALUE"""),0.0)</f>
        <v>0</v>
      </c>
      <c r="AA576" s="181">
        <f>IFERROR(__xludf.DUMMYFUNCTION("""COMPUTED_VALUE"""),0.0)</f>
        <v>0</v>
      </c>
      <c r="AB576" s="181">
        <f>IFERROR(__xludf.DUMMYFUNCTION("""COMPUTED_VALUE"""),0.0)</f>
        <v>0</v>
      </c>
      <c r="AC576" s="179">
        <f>IFERROR(__xludf.DUMMYFUNCTION("""COMPUTED_VALUE"""),0.0)</f>
        <v>0</v>
      </c>
      <c r="AD576" s="165">
        <f>IFERROR(__xludf.DUMMYFUNCTION("""COMPUTED_VALUE"""),0.0)</f>
        <v>0</v>
      </c>
      <c r="AE576" s="39" t="str">
        <f>IFERROR(__xludf.DUMMYFUNCTION("""COMPUTED_VALUE"""),"Hiroshi Yamakawa")</f>
        <v>Hiroshi Yamakawa</v>
      </c>
      <c r="AF576" s="39" t="str">
        <f>IFERROR(__xludf.DUMMYFUNCTION("""COMPUTED_VALUE"""),"HY20Cerebellum")</f>
        <v>HY20Cerebellum</v>
      </c>
      <c r="AG576" s="39"/>
      <c r="AH576" s="39"/>
      <c r="AI576" s="165"/>
      <c r="AJ576" s="165"/>
      <c r="AK576" s="111"/>
      <c r="AL576" s="111"/>
      <c r="AM576" s="111"/>
      <c r="AN576" s="111"/>
      <c r="AO576" s="111"/>
      <c r="AP576" s="111"/>
      <c r="AQ576" s="116"/>
      <c r="AR576" s="116"/>
      <c r="AS576" s="116"/>
    </row>
    <row r="577">
      <c r="A577" s="42" t="str">
        <f>IFERROR(__xludf.DUMMYFUNCTION("""COMPUTED_VALUE"""),"MVeMC")</f>
        <v>MVeMC</v>
      </c>
      <c r="B577" s="42"/>
      <c r="C577" s="42"/>
      <c r="D577" s="42" t="str">
        <f>IFERROR(__xludf.DUMMYFUNCTION("""COMPUTED_VALUE"""),"6N")</f>
        <v>6N</v>
      </c>
      <c r="E577" s="42"/>
      <c r="F577" s="42"/>
      <c r="G577" s="42"/>
      <c r="H577" s="42" t="str">
        <f>IFERROR(__xludf.DUMMYFUNCTION("""COMPUTED_VALUE"""),"")</f>
        <v/>
      </c>
      <c r="I577" s="42" t="str">
        <f>IFERROR(__xludf.DUMMYFUNCTION("""COMPUTED_VALUE"""),"Matsuno, 2016")</f>
        <v>Matsuno, 2016</v>
      </c>
      <c r="J577" s="42"/>
      <c r="K577" s="42"/>
      <c r="L577" s="42"/>
      <c r="M577" s="42"/>
      <c r="N577" s="42"/>
      <c r="O577" s="31" t="str">
        <f>IFERROR(__xludf.DUMMYFUNCTION("""COMPUTED_VALUE"""),"DOC")</f>
        <v>DOC</v>
      </c>
      <c r="P577" s="9" t="str">
        <f>IFERROR(__xludf.DUMMYFUNCTION("""COMPUTED_VALUE"""),"{PLoS} {ONE}")</f>
        <v>{PLoS} {ONE}</v>
      </c>
      <c r="Q577" s="9"/>
      <c r="R577" s="179" t="str">
        <f>IFERROR(__xludf.DUMMYFUNCTION("""COMPUTED_VALUE"""),"6N (00/00) [Carcaud, 2017][Matsuno, 2016][Shin, 2011];
")</f>
        <v>6N (00/00) [Carcaud, 2017][Matsuno, 2016][Shin, 2011];
</v>
      </c>
      <c r="S577" s="179" t="str">
        <f>IFERROR(__xludf.DUMMYFUNCTION("""COMPUTED_VALUE"""),"MVeMC6N")</f>
        <v>MVeMC6N</v>
      </c>
      <c r="T577" s="179" t="str">
        <f>IFERROR(__xludf.DUMMYFUNCTION("""COMPUTED_VALUE"""),"[Matsuno, 2016]")</f>
        <v>[Matsuno, 2016]</v>
      </c>
      <c r="U577" s="179">
        <f>IFERROR(__xludf.DUMMYFUNCTION("""COMPUTED_VALUE"""),0.0)</f>
        <v>0</v>
      </c>
      <c r="V577" s="180">
        <f>IFERROR(__xludf.DUMMYFUNCTION("""COMPUTED_VALUE"""),0.0)</f>
        <v>0</v>
      </c>
      <c r="W577" s="180">
        <f>IFERROR(__xludf.DUMMYFUNCTION("""COMPUTED_VALUE"""),0.95)</f>
        <v>0.95</v>
      </c>
      <c r="X577" s="42">
        <f>IFERROR(__xludf.DUMMYFUNCTION("""COMPUTED_VALUE"""),0.0)</f>
        <v>0</v>
      </c>
      <c r="Y577" s="42">
        <f>IFERROR(__xludf.DUMMYFUNCTION("""COMPUTED_VALUE"""),0.0)</f>
        <v>0</v>
      </c>
      <c r="Z577" s="9">
        <f>IFERROR(__xludf.DUMMYFUNCTION("""COMPUTED_VALUE"""),0.0)</f>
        <v>0</v>
      </c>
      <c r="AA577" s="181">
        <f>IFERROR(__xludf.DUMMYFUNCTION("""COMPUTED_VALUE"""),0.0)</f>
        <v>0</v>
      </c>
      <c r="AB577" s="181">
        <f>IFERROR(__xludf.DUMMYFUNCTION("""COMPUTED_VALUE"""),0.0)</f>
        <v>0</v>
      </c>
      <c r="AC577" s="179">
        <f>IFERROR(__xludf.DUMMYFUNCTION("""COMPUTED_VALUE"""),0.0)</f>
        <v>0</v>
      </c>
      <c r="AD577" s="165">
        <f>IFERROR(__xludf.DUMMYFUNCTION("""COMPUTED_VALUE"""),0.0)</f>
        <v>0</v>
      </c>
      <c r="AE577" s="39" t="str">
        <f>IFERROR(__xludf.DUMMYFUNCTION("""COMPUTED_VALUE"""),"Hiroshi Yamakawa")</f>
        <v>Hiroshi Yamakawa</v>
      </c>
      <c r="AF577" s="39" t="str">
        <f>IFERROR(__xludf.DUMMYFUNCTION("""COMPUTED_VALUE"""),"HY20Cerebellum")</f>
        <v>HY20Cerebellum</v>
      </c>
      <c r="AG577" s="39"/>
      <c r="AH577" s="39"/>
      <c r="AI577" s="165"/>
      <c r="AJ577" s="165"/>
      <c r="AK577" s="111"/>
      <c r="AL577" s="111"/>
      <c r="AM577" s="111"/>
      <c r="AN577" s="111"/>
      <c r="AO577" s="111"/>
      <c r="AP577" s="111"/>
      <c r="AQ577" s="116"/>
      <c r="AR577" s="116"/>
      <c r="AS577" s="116"/>
    </row>
    <row r="578">
      <c r="A578" s="42" t="str">
        <f>IFERROR(__xludf.DUMMYFUNCTION("""COMPUTED_VALUE"""),"MVeMC")</f>
        <v>MVeMC</v>
      </c>
      <c r="B578" s="42"/>
      <c r="C578" s="42"/>
      <c r="D578" s="42" t="str">
        <f>IFERROR(__xludf.DUMMYFUNCTION("""COMPUTED_VALUE"""),"6N")</f>
        <v>6N</v>
      </c>
      <c r="E578" s="42"/>
      <c r="F578" s="42"/>
      <c r="G578" s="42"/>
      <c r="H578" s="42" t="str">
        <f>IFERROR(__xludf.DUMMYFUNCTION("""COMPUTED_VALUE"""),"")</f>
        <v/>
      </c>
      <c r="I578" s="42" t="str">
        <f>IFERROR(__xludf.DUMMYFUNCTION("""COMPUTED_VALUE"""),"Shin, 2011")</f>
        <v>Shin, 2011</v>
      </c>
      <c r="J578" s="42"/>
      <c r="K578" s="42"/>
      <c r="L578" s="42"/>
      <c r="M578" s="42"/>
      <c r="N578" s="42"/>
      <c r="O578" s="131" t="str">
        <f>IFERROR(__xludf.DUMMYFUNCTION("""COMPUTED_VALUE"""),"DOC")</f>
        <v>DOC</v>
      </c>
      <c r="P578" s="9" t="str">
        <f>IFERROR(__xludf.DUMMYFUNCTION("""COMPUTED_VALUE"""),"Journal of Neuroscience")</f>
        <v>Journal of Neuroscience</v>
      </c>
      <c r="Q578" s="9"/>
      <c r="R578" s="179" t="str">
        <f>IFERROR(__xludf.DUMMYFUNCTION("""COMPUTED_VALUE"""),"6N (00/00) [Carcaud, 2017][Matsuno, 2016][Shin, 2011];
")</f>
        <v>6N (00/00) [Carcaud, 2017][Matsuno, 2016][Shin, 2011];
</v>
      </c>
      <c r="S578" s="179" t="str">
        <f>IFERROR(__xludf.DUMMYFUNCTION("""COMPUTED_VALUE"""),"MVeMC6N")</f>
        <v>MVeMC6N</v>
      </c>
      <c r="T578" s="179" t="str">
        <f>IFERROR(__xludf.DUMMYFUNCTION("""COMPUTED_VALUE"""),"[Shin, 2011]")</f>
        <v>[Shin, 2011]</v>
      </c>
      <c r="U578" s="179">
        <f>IFERROR(__xludf.DUMMYFUNCTION("""COMPUTED_VALUE"""),0.0)</f>
        <v>0</v>
      </c>
      <c r="V578" s="180">
        <f>IFERROR(__xludf.DUMMYFUNCTION("""COMPUTED_VALUE"""),0.0)</f>
        <v>0</v>
      </c>
      <c r="W578" s="180">
        <f>IFERROR(__xludf.DUMMYFUNCTION("""COMPUTED_VALUE"""),0.95)</f>
        <v>0.95</v>
      </c>
      <c r="X578" s="42">
        <f>IFERROR(__xludf.DUMMYFUNCTION("""COMPUTED_VALUE"""),0.0)</f>
        <v>0</v>
      </c>
      <c r="Y578" s="42">
        <f>IFERROR(__xludf.DUMMYFUNCTION("""COMPUTED_VALUE"""),0.0)</f>
        <v>0</v>
      </c>
      <c r="Z578" s="9">
        <f>IFERROR(__xludf.DUMMYFUNCTION("""COMPUTED_VALUE"""),0.0)</f>
        <v>0</v>
      </c>
      <c r="AA578" s="181">
        <f>IFERROR(__xludf.DUMMYFUNCTION("""COMPUTED_VALUE"""),0.0)</f>
        <v>0</v>
      </c>
      <c r="AB578" s="181">
        <f>IFERROR(__xludf.DUMMYFUNCTION("""COMPUTED_VALUE"""),0.0)</f>
        <v>0</v>
      </c>
      <c r="AC578" s="179">
        <f>IFERROR(__xludf.DUMMYFUNCTION("""COMPUTED_VALUE"""),0.0)</f>
        <v>0</v>
      </c>
      <c r="AD578" s="165">
        <f>IFERROR(__xludf.DUMMYFUNCTION("""COMPUTED_VALUE"""),0.0)</f>
        <v>0</v>
      </c>
      <c r="AE578" s="39" t="str">
        <f>IFERROR(__xludf.DUMMYFUNCTION("""COMPUTED_VALUE"""),"Hiroshi Yamakawa")</f>
        <v>Hiroshi Yamakawa</v>
      </c>
      <c r="AF578" s="39" t="str">
        <f>IFERROR(__xludf.DUMMYFUNCTION("""COMPUTED_VALUE"""),"HY20Cerebellum")</f>
        <v>HY20Cerebellum</v>
      </c>
      <c r="AG578" s="39"/>
      <c r="AH578" s="39"/>
      <c r="AI578" s="165"/>
      <c r="AJ578" s="165"/>
      <c r="AK578" s="111"/>
      <c r="AL578" s="111"/>
      <c r="AM578" s="111"/>
      <c r="AN578" s="111"/>
      <c r="AO578" s="111"/>
      <c r="AP578" s="111"/>
      <c r="AQ578" s="116"/>
      <c r="AR578" s="116"/>
      <c r="AS578" s="116"/>
    </row>
    <row r="579">
      <c r="A579" s="42" t="str">
        <f>IFERROR(__xludf.DUMMYFUNCTION("""COMPUTED_VALUE"""),"MVEPC")</f>
        <v>MVEPC</v>
      </c>
      <c r="B579" s="42"/>
      <c r="C579" s="42"/>
      <c r="D579" s="42" t="str">
        <f>IFERROR(__xludf.DUMMYFUNCTION("""COMPUTED_VALUE"""),"3N")</f>
        <v>3N</v>
      </c>
      <c r="E579" s="42"/>
      <c r="F579" s="42"/>
      <c r="G579" s="42"/>
      <c r="H579" s="42" t="str">
        <f>IFERROR(__xludf.DUMMYFUNCTION("""COMPUTED_VALUE"""),"")</f>
        <v/>
      </c>
      <c r="I579" s="42" t="str">
        <f>IFERROR(__xludf.DUMMYFUNCTION("""COMPUTED_VALUE"""),"Carcaud, 2017")</f>
        <v>Carcaud, 2017</v>
      </c>
      <c r="J579" s="42"/>
      <c r="K579" s="42"/>
      <c r="L579" s="42"/>
      <c r="M579" s="42"/>
      <c r="N579" s="38"/>
      <c r="O579" s="131" t="str">
        <f>IFERROR(__xludf.DUMMYFUNCTION("""COMPUTED_VALUE"""),"DOC")</f>
        <v>DOC</v>
      </c>
      <c r="P579" s="9" t="str">
        <f>IFERROR(__xludf.DUMMYFUNCTION("""COMPUTED_VALUE"""),"eneuro")</f>
        <v>eneuro</v>
      </c>
      <c r="Q579" s="9"/>
      <c r="R579" s="179" t="str">
        <f>IFERROR(__xludf.DUMMYFUNCTION("""COMPUTED_VALUE"""),"3N (00/00) [Carcaud, 2017][Ito, 1977][Matsuno, 2016][Shin, 2011];
")</f>
        <v>3N (00/00) [Carcaud, 2017][Ito, 1977][Matsuno, 2016][Shin, 2011];
</v>
      </c>
      <c r="S579" s="179" t="str">
        <f>IFERROR(__xludf.DUMMYFUNCTION("""COMPUTED_VALUE"""),"MVEPC3N")</f>
        <v>MVEPC3N</v>
      </c>
      <c r="T579" s="179" t="str">
        <f>IFERROR(__xludf.DUMMYFUNCTION("""COMPUTED_VALUE"""),"[Carcaud, 2017]")</f>
        <v>[Carcaud, 2017]</v>
      </c>
      <c r="U579" s="179">
        <f>IFERROR(__xludf.DUMMYFUNCTION("""COMPUTED_VALUE"""),0.0)</f>
        <v>0</v>
      </c>
      <c r="V579" s="180">
        <f>IFERROR(__xludf.DUMMYFUNCTION("""COMPUTED_VALUE"""),0.0)</f>
        <v>0</v>
      </c>
      <c r="W579" s="180">
        <f>IFERROR(__xludf.DUMMYFUNCTION("""COMPUTED_VALUE"""),0.95)</f>
        <v>0.95</v>
      </c>
      <c r="X579" s="42">
        <f>IFERROR(__xludf.DUMMYFUNCTION("""COMPUTED_VALUE"""),0.0)</f>
        <v>0</v>
      </c>
      <c r="Y579" s="42">
        <f>IFERROR(__xludf.DUMMYFUNCTION("""COMPUTED_VALUE"""),0.0)</f>
        <v>0</v>
      </c>
      <c r="Z579" s="9">
        <f>IFERROR(__xludf.DUMMYFUNCTION("""COMPUTED_VALUE"""),0.0)</f>
        <v>0</v>
      </c>
      <c r="AA579" s="181">
        <f>IFERROR(__xludf.DUMMYFUNCTION("""COMPUTED_VALUE"""),0.0)</f>
        <v>0</v>
      </c>
      <c r="AB579" s="181">
        <f>IFERROR(__xludf.DUMMYFUNCTION("""COMPUTED_VALUE"""),0.0)</f>
        <v>0</v>
      </c>
      <c r="AC579" s="179">
        <f>IFERROR(__xludf.DUMMYFUNCTION("""COMPUTED_VALUE"""),0.0)</f>
        <v>0</v>
      </c>
      <c r="AD579" s="165">
        <f>IFERROR(__xludf.DUMMYFUNCTION("""COMPUTED_VALUE"""),0.0)</f>
        <v>0</v>
      </c>
      <c r="AE579" s="39" t="str">
        <f>IFERROR(__xludf.DUMMYFUNCTION("""COMPUTED_VALUE"""),"Hiroshi Yamakawa")</f>
        <v>Hiroshi Yamakawa</v>
      </c>
      <c r="AF579" s="39" t="str">
        <f>IFERROR(__xludf.DUMMYFUNCTION("""COMPUTED_VALUE"""),"HY20Cerebellum")</f>
        <v>HY20Cerebellum</v>
      </c>
      <c r="AG579" s="39"/>
      <c r="AH579" s="39"/>
      <c r="AI579" s="165"/>
      <c r="AJ579" s="165"/>
      <c r="AK579" s="111"/>
      <c r="AL579" s="111"/>
      <c r="AM579" s="111"/>
      <c r="AN579" s="111"/>
      <c r="AO579" s="111"/>
      <c r="AP579" s="111"/>
      <c r="AQ579" s="116"/>
      <c r="AR579" s="116"/>
      <c r="AS579" s="116"/>
    </row>
    <row r="580">
      <c r="A580" s="42" t="str">
        <f>IFERROR(__xludf.DUMMYFUNCTION("""COMPUTED_VALUE"""),"MVEPC")</f>
        <v>MVEPC</v>
      </c>
      <c r="B580" s="42"/>
      <c r="C580" s="42"/>
      <c r="D580" s="42" t="str">
        <f>IFERROR(__xludf.DUMMYFUNCTION("""COMPUTED_VALUE"""),"3N")</f>
        <v>3N</v>
      </c>
      <c r="E580" s="42"/>
      <c r="F580" s="42"/>
      <c r="G580" s="42"/>
      <c r="H580" s="42" t="str">
        <f>IFERROR(__xludf.DUMMYFUNCTION("""COMPUTED_VALUE"""),"")</f>
        <v/>
      </c>
      <c r="I580" s="42" t="str">
        <f>IFERROR(__xludf.DUMMYFUNCTION("""COMPUTED_VALUE"""),"Ito, 1977")</f>
        <v>Ito, 1977</v>
      </c>
      <c r="J580" s="42"/>
      <c r="K580" s="42"/>
      <c r="L580" s="42"/>
      <c r="M580" s="42"/>
      <c r="N580" s="38"/>
      <c r="O580" s="31" t="str">
        <f>IFERROR(__xludf.DUMMYFUNCTION("""COMPUTED_VALUE"""),"DOC")</f>
        <v>DOC</v>
      </c>
      <c r="P580" s="9" t="str">
        <f>IFERROR(__xludf.DUMMYFUNCTION("""COMPUTED_VALUE"""),"The Journal of Physiology")</f>
        <v>The Journal of Physiology</v>
      </c>
      <c r="Q580" s="9"/>
      <c r="R580" s="179" t="str">
        <f>IFERROR(__xludf.DUMMYFUNCTION("""COMPUTED_VALUE"""),"3N (00/00) [Carcaud, 2017][Ito, 1977][Matsuno, 2016][Shin, 2011];
")</f>
        <v>3N (00/00) [Carcaud, 2017][Ito, 1977][Matsuno, 2016][Shin, 2011];
</v>
      </c>
      <c r="S580" s="179" t="str">
        <f>IFERROR(__xludf.DUMMYFUNCTION("""COMPUTED_VALUE"""),"MVEPC3N")</f>
        <v>MVEPC3N</v>
      </c>
      <c r="T580" s="179" t="str">
        <f>IFERROR(__xludf.DUMMYFUNCTION("""COMPUTED_VALUE"""),"[Ito, 1977]")</f>
        <v>[Ito, 1977]</v>
      </c>
      <c r="U580" s="179">
        <f>IFERROR(__xludf.DUMMYFUNCTION("""COMPUTED_VALUE"""),0.0)</f>
        <v>0</v>
      </c>
      <c r="V580" s="180">
        <f>IFERROR(__xludf.DUMMYFUNCTION("""COMPUTED_VALUE"""),0.0)</f>
        <v>0</v>
      </c>
      <c r="W580" s="180">
        <f>IFERROR(__xludf.DUMMYFUNCTION("""COMPUTED_VALUE"""),0.95)</f>
        <v>0.95</v>
      </c>
      <c r="X580" s="42">
        <f>IFERROR(__xludf.DUMMYFUNCTION("""COMPUTED_VALUE"""),0.0)</f>
        <v>0</v>
      </c>
      <c r="Y580" s="42">
        <f>IFERROR(__xludf.DUMMYFUNCTION("""COMPUTED_VALUE"""),0.0)</f>
        <v>0</v>
      </c>
      <c r="Z580" s="9">
        <f>IFERROR(__xludf.DUMMYFUNCTION("""COMPUTED_VALUE"""),0.0)</f>
        <v>0</v>
      </c>
      <c r="AA580" s="181">
        <f>IFERROR(__xludf.DUMMYFUNCTION("""COMPUTED_VALUE"""),0.0)</f>
        <v>0</v>
      </c>
      <c r="AB580" s="181">
        <f>IFERROR(__xludf.DUMMYFUNCTION("""COMPUTED_VALUE"""),0.0)</f>
        <v>0</v>
      </c>
      <c r="AC580" s="179">
        <f>IFERROR(__xludf.DUMMYFUNCTION("""COMPUTED_VALUE"""),0.0)</f>
        <v>0</v>
      </c>
      <c r="AD580" s="165">
        <f>IFERROR(__xludf.DUMMYFUNCTION("""COMPUTED_VALUE"""),0.0)</f>
        <v>0</v>
      </c>
      <c r="AE580" s="39" t="str">
        <f>IFERROR(__xludf.DUMMYFUNCTION("""COMPUTED_VALUE"""),"Hiroshi Yamakawa")</f>
        <v>Hiroshi Yamakawa</v>
      </c>
      <c r="AF580" s="39" t="str">
        <f>IFERROR(__xludf.DUMMYFUNCTION("""COMPUTED_VALUE"""),"HY20Cerebellum")</f>
        <v>HY20Cerebellum</v>
      </c>
      <c r="AG580" s="39"/>
      <c r="AH580" s="39"/>
      <c r="AI580" s="165"/>
      <c r="AJ580" s="165"/>
      <c r="AK580" s="111"/>
      <c r="AL580" s="111"/>
      <c r="AM580" s="111"/>
      <c r="AN580" s="111"/>
      <c r="AO580" s="111"/>
      <c r="AP580" s="111"/>
      <c r="AQ580" s="116"/>
      <c r="AR580" s="116"/>
      <c r="AS580" s="116"/>
    </row>
    <row r="581">
      <c r="A581" s="42" t="str">
        <f>IFERROR(__xludf.DUMMYFUNCTION("""COMPUTED_VALUE"""),"MVEPC")</f>
        <v>MVEPC</v>
      </c>
      <c r="B581" s="42"/>
      <c r="C581" s="42"/>
      <c r="D581" s="42" t="str">
        <f>IFERROR(__xludf.DUMMYFUNCTION("""COMPUTED_VALUE"""),"3N")</f>
        <v>3N</v>
      </c>
      <c r="E581" s="42"/>
      <c r="F581" s="42"/>
      <c r="G581" s="42"/>
      <c r="H581" s="42" t="str">
        <f>IFERROR(__xludf.DUMMYFUNCTION("""COMPUTED_VALUE"""),"")</f>
        <v/>
      </c>
      <c r="I581" s="42" t="str">
        <f>IFERROR(__xludf.DUMMYFUNCTION("""COMPUTED_VALUE"""),"Matsuno, 2016")</f>
        <v>Matsuno, 2016</v>
      </c>
      <c r="J581" s="42"/>
      <c r="K581" s="42"/>
      <c r="L581" s="42"/>
      <c r="M581" s="42"/>
      <c r="N581" s="38"/>
      <c r="O581" s="31" t="str">
        <f>IFERROR(__xludf.DUMMYFUNCTION("""COMPUTED_VALUE"""),"DOC")</f>
        <v>DOC</v>
      </c>
      <c r="P581" s="9" t="str">
        <f>IFERROR(__xludf.DUMMYFUNCTION("""COMPUTED_VALUE"""),"{PLoS} {ONE}")</f>
        <v>{PLoS} {ONE}</v>
      </c>
      <c r="Q581" s="9"/>
      <c r="R581" s="179" t="str">
        <f>IFERROR(__xludf.DUMMYFUNCTION("""COMPUTED_VALUE"""),"3N (00/00) [Carcaud, 2017][Ito, 1977][Matsuno, 2016][Shin, 2011];
")</f>
        <v>3N (00/00) [Carcaud, 2017][Ito, 1977][Matsuno, 2016][Shin, 2011];
</v>
      </c>
      <c r="S581" s="179" t="str">
        <f>IFERROR(__xludf.DUMMYFUNCTION("""COMPUTED_VALUE"""),"MVEPC3N")</f>
        <v>MVEPC3N</v>
      </c>
      <c r="T581" s="179" t="str">
        <f>IFERROR(__xludf.DUMMYFUNCTION("""COMPUTED_VALUE"""),"[Matsuno, 2016]")</f>
        <v>[Matsuno, 2016]</v>
      </c>
      <c r="U581" s="179">
        <f>IFERROR(__xludf.DUMMYFUNCTION("""COMPUTED_VALUE"""),0.0)</f>
        <v>0</v>
      </c>
      <c r="V581" s="180">
        <f>IFERROR(__xludf.DUMMYFUNCTION("""COMPUTED_VALUE"""),0.0)</f>
        <v>0</v>
      </c>
      <c r="W581" s="180">
        <f>IFERROR(__xludf.DUMMYFUNCTION("""COMPUTED_VALUE"""),0.95)</f>
        <v>0.95</v>
      </c>
      <c r="X581" s="42">
        <f>IFERROR(__xludf.DUMMYFUNCTION("""COMPUTED_VALUE"""),0.0)</f>
        <v>0</v>
      </c>
      <c r="Y581" s="42">
        <f>IFERROR(__xludf.DUMMYFUNCTION("""COMPUTED_VALUE"""),0.0)</f>
        <v>0</v>
      </c>
      <c r="Z581" s="9">
        <f>IFERROR(__xludf.DUMMYFUNCTION("""COMPUTED_VALUE"""),0.0)</f>
        <v>0</v>
      </c>
      <c r="AA581" s="181">
        <f>IFERROR(__xludf.DUMMYFUNCTION("""COMPUTED_VALUE"""),0.0)</f>
        <v>0</v>
      </c>
      <c r="AB581" s="181">
        <f>IFERROR(__xludf.DUMMYFUNCTION("""COMPUTED_VALUE"""),0.0)</f>
        <v>0</v>
      </c>
      <c r="AC581" s="179">
        <f>IFERROR(__xludf.DUMMYFUNCTION("""COMPUTED_VALUE"""),0.0)</f>
        <v>0</v>
      </c>
      <c r="AD581" s="165">
        <f>IFERROR(__xludf.DUMMYFUNCTION("""COMPUTED_VALUE"""),0.0)</f>
        <v>0</v>
      </c>
      <c r="AE581" s="39" t="str">
        <f>IFERROR(__xludf.DUMMYFUNCTION("""COMPUTED_VALUE"""),"Hiroshi Yamakawa")</f>
        <v>Hiroshi Yamakawa</v>
      </c>
      <c r="AF581" s="39" t="str">
        <f>IFERROR(__xludf.DUMMYFUNCTION("""COMPUTED_VALUE"""),"HY20Cerebellum")</f>
        <v>HY20Cerebellum</v>
      </c>
      <c r="AG581" s="39"/>
      <c r="AH581" s="39"/>
      <c r="AI581" s="165"/>
      <c r="AJ581" s="165"/>
      <c r="AK581" s="111"/>
      <c r="AL581" s="111"/>
      <c r="AM581" s="111"/>
      <c r="AN581" s="111"/>
      <c r="AO581" s="111"/>
      <c r="AP581" s="111"/>
      <c r="AQ581" s="116"/>
      <c r="AR581" s="116"/>
      <c r="AS581" s="116"/>
    </row>
    <row r="582">
      <c r="A582" s="42" t="str">
        <f>IFERROR(__xludf.DUMMYFUNCTION("""COMPUTED_VALUE"""),"MVEPC")</f>
        <v>MVEPC</v>
      </c>
      <c r="B582" s="42"/>
      <c r="C582" s="42"/>
      <c r="D582" s="42" t="str">
        <f>IFERROR(__xludf.DUMMYFUNCTION("""COMPUTED_VALUE"""),"3N")</f>
        <v>3N</v>
      </c>
      <c r="E582" s="42"/>
      <c r="F582" s="42"/>
      <c r="G582" s="42"/>
      <c r="H582" s="42" t="str">
        <f>IFERROR(__xludf.DUMMYFUNCTION("""COMPUTED_VALUE"""),"")</f>
        <v/>
      </c>
      <c r="I582" s="42" t="str">
        <f>IFERROR(__xludf.DUMMYFUNCTION("""COMPUTED_VALUE"""),"Shin, 2011")</f>
        <v>Shin, 2011</v>
      </c>
      <c r="J582" s="42"/>
      <c r="K582" s="42"/>
      <c r="L582" s="42"/>
      <c r="M582" s="42"/>
      <c r="N582" s="38"/>
      <c r="O582" s="31" t="str">
        <f>IFERROR(__xludf.DUMMYFUNCTION("""COMPUTED_VALUE"""),"DOC")</f>
        <v>DOC</v>
      </c>
      <c r="P582" s="9" t="str">
        <f>IFERROR(__xludf.DUMMYFUNCTION("""COMPUTED_VALUE"""),"Journal of Neuroscience")</f>
        <v>Journal of Neuroscience</v>
      </c>
      <c r="Q582" s="9"/>
      <c r="R582" s="179" t="str">
        <f>IFERROR(__xludf.DUMMYFUNCTION("""COMPUTED_VALUE"""),"3N (00/00) [Carcaud, 2017][Ito, 1977][Matsuno, 2016][Shin, 2011];
")</f>
        <v>3N (00/00) [Carcaud, 2017][Ito, 1977][Matsuno, 2016][Shin, 2011];
</v>
      </c>
      <c r="S582" s="179" t="str">
        <f>IFERROR(__xludf.DUMMYFUNCTION("""COMPUTED_VALUE"""),"MVEPC3N")</f>
        <v>MVEPC3N</v>
      </c>
      <c r="T582" s="179" t="str">
        <f>IFERROR(__xludf.DUMMYFUNCTION("""COMPUTED_VALUE"""),"[Shin, 2011]")</f>
        <v>[Shin, 2011]</v>
      </c>
      <c r="U582" s="179">
        <f>IFERROR(__xludf.DUMMYFUNCTION("""COMPUTED_VALUE"""),0.0)</f>
        <v>0</v>
      </c>
      <c r="V582" s="180">
        <f>IFERROR(__xludf.DUMMYFUNCTION("""COMPUTED_VALUE"""),0.0)</f>
        <v>0</v>
      </c>
      <c r="W582" s="180">
        <f>IFERROR(__xludf.DUMMYFUNCTION("""COMPUTED_VALUE"""),0.95)</f>
        <v>0.95</v>
      </c>
      <c r="X582" s="42">
        <f>IFERROR(__xludf.DUMMYFUNCTION("""COMPUTED_VALUE"""),0.0)</f>
        <v>0</v>
      </c>
      <c r="Y582" s="42">
        <f>IFERROR(__xludf.DUMMYFUNCTION("""COMPUTED_VALUE"""),0.0)</f>
        <v>0</v>
      </c>
      <c r="Z582" s="9">
        <f>IFERROR(__xludf.DUMMYFUNCTION("""COMPUTED_VALUE"""),0.0)</f>
        <v>0</v>
      </c>
      <c r="AA582" s="181">
        <f>IFERROR(__xludf.DUMMYFUNCTION("""COMPUTED_VALUE"""),0.0)</f>
        <v>0</v>
      </c>
      <c r="AB582" s="181">
        <f>IFERROR(__xludf.DUMMYFUNCTION("""COMPUTED_VALUE"""),0.0)</f>
        <v>0</v>
      </c>
      <c r="AC582" s="179">
        <f>IFERROR(__xludf.DUMMYFUNCTION("""COMPUTED_VALUE"""),0.0)</f>
        <v>0</v>
      </c>
      <c r="AD582" s="165">
        <f>IFERROR(__xludf.DUMMYFUNCTION("""COMPUTED_VALUE"""),0.0)</f>
        <v>0</v>
      </c>
      <c r="AE582" s="39" t="str">
        <f>IFERROR(__xludf.DUMMYFUNCTION("""COMPUTED_VALUE"""),"Hiroshi Yamakawa")</f>
        <v>Hiroshi Yamakawa</v>
      </c>
      <c r="AF582" s="39" t="str">
        <f>IFERROR(__xludf.DUMMYFUNCTION("""COMPUTED_VALUE"""),"HY20Cerebellum")</f>
        <v>HY20Cerebellum</v>
      </c>
      <c r="AG582" s="39"/>
      <c r="AH582" s="39"/>
      <c r="AI582" s="165"/>
      <c r="AJ582" s="165"/>
      <c r="AK582" s="111"/>
      <c r="AL582" s="111"/>
      <c r="AM582" s="111"/>
      <c r="AN582" s="111"/>
      <c r="AO582" s="111"/>
      <c r="AP582" s="111"/>
      <c r="AQ582" s="116"/>
      <c r="AR582" s="116"/>
      <c r="AS582" s="116"/>
    </row>
    <row r="583">
      <c r="A583" s="42" t="str">
        <f>IFERROR(__xludf.DUMMYFUNCTION("""COMPUTED_VALUE"""),"MVEPC")</f>
        <v>MVEPC</v>
      </c>
      <c r="B583" s="42"/>
      <c r="C583" s="42"/>
      <c r="D583" s="42" t="str">
        <f>IFERROR(__xludf.DUMMYFUNCTION("""COMPUTED_VALUE"""),"6N")</f>
        <v>6N</v>
      </c>
      <c r="E583" s="42"/>
      <c r="F583" s="42"/>
      <c r="G583" s="42"/>
      <c r="H583" s="42" t="str">
        <f>IFERROR(__xludf.DUMMYFUNCTION("""COMPUTED_VALUE"""),"")</f>
        <v/>
      </c>
      <c r="I583" s="42" t="str">
        <f>IFERROR(__xludf.DUMMYFUNCTION("""COMPUTED_VALUE"""),"Shin, 2011")</f>
        <v>Shin, 2011</v>
      </c>
      <c r="J583" s="42"/>
      <c r="K583" s="42"/>
      <c r="L583" s="42"/>
      <c r="M583" s="42"/>
      <c r="N583" s="38"/>
      <c r="O583" s="31" t="str">
        <f>IFERROR(__xludf.DUMMYFUNCTION("""COMPUTED_VALUE"""),"DOC")</f>
        <v>DOC</v>
      </c>
      <c r="P583" s="9" t="str">
        <f>IFERROR(__xludf.DUMMYFUNCTION("""COMPUTED_VALUE"""),"Journal of Neuroscience")</f>
        <v>Journal of Neuroscience</v>
      </c>
      <c r="Q583" s="9"/>
      <c r="R583" s="179" t="str">
        <f>IFERROR(__xludf.DUMMYFUNCTION("""COMPUTED_VALUE"""),"6N (00/00) [Shin, 2011];
")</f>
        <v>6N (00/00) [Shin, 2011];
</v>
      </c>
      <c r="S583" s="179" t="str">
        <f>IFERROR(__xludf.DUMMYFUNCTION("""COMPUTED_VALUE"""),"MVEPC6N")</f>
        <v>MVEPC6N</v>
      </c>
      <c r="T583" s="179" t="str">
        <f>IFERROR(__xludf.DUMMYFUNCTION("""COMPUTED_VALUE"""),"[Shin, 2011]")</f>
        <v>[Shin, 2011]</v>
      </c>
      <c r="U583" s="179">
        <f>IFERROR(__xludf.DUMMYFUNCTION("""COMPUTED_VALUE"""),0.0)</f>
        <v>0</v>
      </c>
      <c r="V583" s="180">
        <f>IFERROR(__xludf.DUMMYFUNCTION("""COMPUTED_VALUE"""),0.0)</f>
        <v>0</v>
      </c>
      <c r="W583" s="180">
        <f>IFERROR(__xludf.DUMMYFUNCTION("""COMPUTED_VALUE"""),0.95)</f>
        <v>0.95</v>
      </c>
      <c r="X583" s="42">
        <f>IFERROR(__xludf.DUMMYFUNCTION("""COMPUTED_VALUE"""),0.0)</f>
        <v>0</v>
      </c>
      <c r="Y583" s="42">
        <f>IFERROR(__xludf.DUMMYFUNCTION("""COMPUTED_VALUE"""),0.0)</f>
        <v>0</v>
      </c>
      <c r="Z583" s="9">
        <f>IFERROR(__xludf.DUMMYFUNCTION("""COMPUTED_VALUE"""),0.0)</f>
        <v>0</v>
      </c>
      <c r="AA583" s="181">
        <f>IFERROR(__xludf.DUMMYFUNCTION("""COMPUTED_VALUE"""),0.0)</f>
        <v>0</v>
      </c>
      <c r="AB583" s="181">
        <f>IFERROR(__xludf.DUMMYFUNCTION("""COMPUTED_VALUE"""),0.0)</f>
        <v>0</v>
      </c>
      <c r="AC583" s="179">
        <f>IFERROR(__xludf.DUMMYFUNCTION("""COMPUTED_VALUE"""),0.0)</f>
        <v>0</v>
      </c>
      <c r="AD583" s="165">
        <f>IFERROR(__xludf.DUMMYFUNCTION("""COMPUTED_VALUE"""),0.0)</f>
        <v>0</v>
      </c>
      <c r="AE583" s="39" t="str">
        <f>IFERROR(__xludf.DUMMYFUNCTION("""COMPUTED_VALUE"""),"Hiroshi Yamakawa")</f>
        <v>Hiroshi Yamakawa</v>
      </c>
      <c r="AF583" s="39" t="str">
        <f>IFERROR(__xludf.DUMMYFUNCTION("""COMPUTED_VALUE"""),"HY20Cerebellum")</f>
        <v>HY20Cerebellum</v>
      </c>
      <c r="AG583" s="39"/>
      <c r="AH583" s="39"/>
      <c r="AI583" s="165"/>
      <c r="AJ583" s="165"/>
      <c r="AK583" s="111"/>
      <c r="AL583" s="111"/>
      <c r="AM583" s="111"/>
      <c r="AN583" s="111"/>
      <c r="AO583" s="111"/>
      <c r="AP583" s="111"/>
      <c r="AQ583" s="116"/>
      <c r="AR583" s="116"/>
      <c r="AS583" s="116"/>
    </row>
    <row r="584">
      <c r="A584" s="42" t="str">
        <f>IFERROR(__xludf.DUMMYFUNCTION("""COMPUTED_VALUE"""),"NAC")</f>
        <v>NAC</v>
      </c>
      <c r="B584" s="42"/>
      <c r="C584" s="42"/>
      <c r="D584" s="42" t="str">
        <f>IFERROR(__xludf.DUMMYFUNCTION("""COMPUTED_VALUE"""),"BL")</f>
        <v>BL</v>
      </c>
      <c r="E584" s="42"/>
      <c r="F584" s="42"/>
      <c r="G584" s="42"/>
      <c r="H584" s="42" t="str">
        <f>IFERROR(__xludf.DUMMYFUNCTION("""COMPUTED_VALUE"""),"")</f>
        <v/>
      </c>
      <c r="I584" s="42" t="str">
        <f>IFERROR(__xludf.DUMMYFUNCTION("""COMPUTED_VALUE"""),"Pitkänen, 2000")</f>
        <v>Pitkänen, 2000</v>
      </c>
      <c r="J584" s="42" t="str">
        <f>IFERROR(__xludf.DUMMYFUNCTION("""COMPUTED_VALUE"""),"Rat")</f>
        <v>Rat</v>
      </c>
      <c r="K584" s="42" t="str">
        <f>IFERROR(__xludf.DUMMYFUNCTION("""COMPUTED_VALUE"""),"Various tracing")</f>
        <v>Various tracing</v>
      </c>
      <c r="L584" s="42"/>
      <c r="M584" s="42" t="str">
        <f>IFERROR(__xludf.DUMMYFUNCTION("""COMPUTED_VALUE"""),"fig.3-fig.12 (to be specified)")</f>
        <v>fig.3-fig.12 (to be specified)</v>
      </c>
      <c r="N584" s="42"/>
      <c r="O584" s="31" t="str">
        <f>IFERROR(__xludf.DUMMYFUNCTION("""COMPUTED_VALUE"""),"DOC(alt)")</f>
        <v>DOC(alt)</v>
      </c>
      <c r="P584" s="9" t="str">
        <f>IFERROR(__xludf.DUMMYFUNCTION("""COMPUTED_VALUE"""),"Folia morphologica")</f>
        <v>Folia morphologica</v>
      </c>
      <c r="Q584" s="9" t="str">
        <f>IFERROR(__xludf.DUMMYFUNCTION("""COMPUTED_VALUE"""),"Review")</f>
        <v>Review</v>
      </c>
      <c r="R584" s="179" t="str">
        <f>IFERROR(__xludf.DUMMYFUNCTION("""COMPUTED_VALUE"""),"BL (00/00) [Pitkänen, 2000];
")</f>
        <v>BL (00/00) [Pitkänen, 2000];
</v>
      </c>
      <c r="S584" s="179" t="str">
        <f>IFERROR(__xludf.DUMMYFUNCTION("""COMPUTED_VALUE"""),"NACBL")</f>
        <v>NACBL</v>
      </c>
      <c r="T584" s="179" t="str">
        <f>IFERROR(__xludf.DUMMYFUNCTION("""COMPUTED_VALUE"""),"[Pitkänen, 2000]")</f>
        <v>[Pitkänen, 2000]</v>
      </c>
      <c r="U584" s="179">
        <f>IFERROR(__xludf.DUMMYFUNCTION("""COMPUTED_VALUE"""),0.0)</f>
        <v>0</v>
      </c>
      <c r="V584" s="180">
        <f>IFERROR(__xludf.DUMMYFUNCTION("""COMPUTED_VALUE"""),0.0)</f>
        <v>0</v>
      </c>
      <c r="W584" s="180">
        <f>IFERROR(__xludf.DUMMYFUNCTION("""COMPUTED_VALUE"""),0.95)</f>
        <v>0.95</v>
      </c>
      <c r="X584" s="42">
        <f>IFERROR(__xludf.DUMMYFUNCTION("""COMPUTED_VALUE"""),0.8)</f>
        <v>0.8</v>
      </c>
      <c r="Y584" s="42">
        <f>IFERROR(__xludf.DUMMYFUNCTION("""COMPUTED_VALUE"""),0.6)</f>
        <v>0.6</v>
      </c>
      <c r="Z584" s="9">
        <f>IFERROR(__xludf.DUMMYFUNCTION("""COMPUTED_VALUE"""),0.9)</f>
        <v>0.9</v>
      </c>
      <c r="AA584" s="181">
        <f>IFERROR(__xludf.DUMMYFUNCTION("""COMPUTED_VALUE"""),0.0)</f>
        <v>0</v>
      </c>
      <c r="AB584" s="181">
        <f>IFERROR(__xludf.DUMMYFUNCTION("""COMPUTED_VALUE"""),0.0)</f>
        <v>0</v>
      </c>
      <c r="AC584" s="179">
        <f>IFERROR(__xludf.DUMMYFUNCTION("""COMPUTED_VALUE"""),0.0)</f>
        <v>0</v>
      </c>
      <c r="AD584" s="165">
        <f>IFERROR(__xludf.DUMMYFUNCTION("""COMPUTED_VALUE"""),0.0)</f>
        <v>0</v>
      </c>
      <c r="AE584" s="39" t="str">
        <f>IFERROR(__xludf.DUMMYFUNCTION("""COMPUTED_VALUE"""),"Tatsuya Miyamoto")</f>
        <v>Tatsuya Miyamoto</v>
      </c>
      <c r="AF584" s="39" t="str">
        <f>IFERROR(__xludf.DUMMYFUNCTION("""COMPUTED_VALUE"""),"TM21Amygdala")</f>
        <v>TM21Amygdala</v>
      </c>
      <c r="AG584" s="39"/>
      <c r="AH584" s="39"/>
      <c r="AI584" s="165"/>
      <c r="AJ584" s="165"/>
      <c r="AK584" s="111"/>
      <c r="AL584" s="111"/>
      <c r="AM584" s="111"/>
      <c r="AN584" s="111"/>
      <c r="AO584" s="111"/>
      <c r="AP584" s="111"/>
      <c r="AQ584" s="116"/>
      <c r="AR584" s="116"/>
      <c r="AS584" s="116"/>
    </row>
    <row r="585">
      <c r="A585" s="42" t="str">
        <f>IFERROR(__xludf.DUMMYFUNCTION("""COMPUTED_VALUE"""),"NAC")</f>
        <v>NAC</v>
      </c>
      <c r="B585" s="42"/>
      <c r="C585" s="42"/>
      <c r="D585" s="42" t="str">
        <f>IFERROR(__xludf.DUMMYFUNCTION("""COMPUTED_VALUE"""),"BM")</f>
        <v>BM</v>
      </c>
      <c r="E585" s="42"/>
      <c r="F585" s="42"/>
      <c r="G585" s="42"/>
      <c r="H585" s="42" t="str">
        <f>IFERROR(__xludf.DUMMYFUNCTION("""COMPUTED_VALUE"""),"")</f>
        <v/>
      </c>
      <c r="I585" s="42" t="str">
        <f>IFERROR(__xludf.DUMMYFUNCTION("""COMPUTED_VALUE"""),"Pitkänen, 2000")</f>
        <v>Pitkänen, 2000</v>
      </c>
      <c r="J585" s="42" t="str">
        <f>IFERROR(__xludf.DUMMYFUNCTION("""COMPUTED_VALUE"""),"Rat")</f>
        <v>Rat</v>
      </c>
      <c r="K585" s="42" t="str">
        <f>IFERROR(__xludf.DUMMYFUNCTION("""COMPUTED_VALUE"""),"Various tracing")</f>
        <v>Various tracing</v>
      </c>
      <c r="L585" s="42"/>
      <c r="M585" s="42" t="str">
        <f>IFERROR(__xludf.DUMMYFUNCTION("""COMPUTED_VALUE"""),"fig.3-fig.12 (to be specified)")</f>
        <v>fig.3-fig.12 (to be specified)</v>
      </c>
      <c r="N585" s="42"/>
      <c r="O585" s="31" t="str">
        <f>IFERROR(__xludf.DUMMYFUNCTION("""COMPUTED_VALUE"""),"DOC(alt)")</f>
        <v>DOC(alt)</v>
      </c>
      <c r="P585" s="9" t="str">
        <f>IFERROR(__xludf.DUMMYFUNCTION("""COMPUTED_VALUE"""),"Folia morphologica")</f>
        <v>Folia morphologica</v>
      </c>
      <c r="Q585" s="9" t="str">
        <f>IFERROR(__xludf.DUMMYFUNCTION("""COMPUTED_VALUE"""),"Review")</f>
        <v>Review</v>
      </c>
      <c r="R585" s="179" t="str">
        <f>IFERROR(__xludf.DUMMYFUNCTION("""COMPUTED_VALUE"""),"BM (00/00) [Pitkänen, 2000];
")</f>
        <v>BM (00/00) [Pitkänen, 2000];
</v>
      </c>
      <c r="S585" s="179" t="str">
        <f>IFERROR(__xludf.DUMMYFUNCTION("""COMPUTED_VALUE"""),"NACBM")</f>
        <v>NACBM</v>
      </c>
      <c r="T585" s="179" t="str">
        <f>IFERROR(__xludf.DUMMYFUNCTION("""COMPUTED_VALUE"""),"[Pitkänen, 2000]")</f>
        <v>[Pitkänen, 2000]</v>
      </c>
      <c r="U585" s="179">
        <f>IFERROR(__xludf.DUMMYFUNCTION("""COMPUTED_VALUE"""),0.0)</f>
        <v>0</v>
      </c>
      <c r="V585" s="180">
        <f>IFERROR(__xludf.DUMMYFUNCTION("""COMPUTED_VALUE"""),0.0)</f>
        <v>0</v>
      </c>
      <c r="W585" s="180">
        <f>IFERROR(__xludf.DUMMYFUNCTION("""COMPUTED_VALUE"""),0.95)</f>
        <v>0.95</v>
      </c>
      <c r="X585" s="42">
        <f>IFERROR(__xludf.DUMMYFUNCTION("""COMPUTED_VALUE"""),0.8)</f>
        <v>0.8</v>
      </c>
      <c r="Y585" s="42">
        <f>IFERROR(__xludf.DUMMYFUNCTION("""COMPUTED_VALUE"""),0.6)</f>
        <v>0.6</v>
      </c>
      <c r="Z585" s="9">
        <f>IFERROR(__xludf.DUMMYFUNCTION("""COMPUTED_VALUE"""),0.9)</f>
        <v>0.9</v>
      </c>
      <c r="AA585" s="181">
        <f>IFERROR(__xludf.DUMMYFUNCTION("""COMPUTED_VALUE"""),0.0)</f>
        <v>0</v>
      </c>
      <c r="AB585" s="181">
        <f>IFERROR(__xludf.DUMMYFUNCTION("""COMPUTED_VALUE"""),0.0)</f>
        <v>0</v>
      </c>
      <c r="AC585" s="179">
        <f>IFERROR(__xludf.DUMMYFUNCTION("""COMPUTED_VALUE"""),0.0)</f>
        <v>0</v>
      </c>
      <c r="AD585" s="165">
        <f>IFERROR(__xludf.DUMMYFUNCTION("""COMPUTED_VALUE"""),0.0)</f>
        <v>0</v>
      </c>
      <c r="AE585" s="39" t="str">
        <f>IFERROR(__xludf.DUMMYFUNCTION("""COMPUTED_VALUE"""),"Tatsuya Miyamoto")</f>
        <v>Tatsuya Miyamoto</v>
      </c>
      <c r="AF585" s="39" t="str">
        <f>IFERROR(__xludf.DUMMYFUNCTION("""COMPUTED_VALUE"""),"TM21Amygdala")</f>
        <v>TM21Amygdala</v>
      </c>
      <c r="AG585" s="39"/>
      <c r="AH585" s="39"/>
      <c r="AI585" s="165"/>
      <c r="AJ585" s="165"/>
      <c r="AK585" s="111"/>
      <c r="AL585" s="111"/>
      <c r="AM585" s="111"/>
      <c r="AN585" s="111"/>
      <c r="AO585" s="111"/>
      <c r="AP585" s="111"/>
      <c r="AQ585" s="116"/>
      <c r="AR585" s="116"/>
      <c r="AS585" s="116"/>
    </row>
    <row r="586">
      <c r="A586" s="42" t="str">
        <f>IFERROR(__xludf.DUMMYFUNCTION("""COMPUTED_VALUE"""),"NAC")</f>
        <v>NAC</v>
      </c>
      <c r="B586" s="42"/>
      <c r="C586" s="42"/>
      <c r="D586" s="42" t="str">
        <f>IFERROR(__xludf.DUMMYFUNCTION("""COMPUTED_VALUE"""),"La")</f>
        <v>La</v>
      </c>
      <c r="E586" s="42"/>
      <c r="F586" s="42"/>
      <c r="G586" s="42"/>
      <c r="H586" s="42" t="str">
        <f>IFERROR(__xludf.DUMMYFUNCTION("""COMPUTED_VALUE"""),"")</f>
        <v/>
      </c>
      <c r="I586" s="42" t="str">
        <f>IFERROR(__xludf.DUMMYFUNCTION("""COMPUTED_VALUE"""),"Pitkänen, 2000")</f>
        <v>Pitkänen, 2000</v>
      </c>
      <c r="J586" s="42" t="str">
        <f>IFERROR(__xludf.DUMMYFUNCTION("""COMPUTED_VALUE"""),"Rat")</f>
        <v>Rat</v>
      </c>
      <c r="K586" s="42" t="str">
        <f>IFERROR(__xludf.DUMMYFUNCTION("""COMPUTED_VALUE"""),"Various tracing")</f>
        <v>Various tracing</v>
      </c>
      <c r="L586" s="42"/>
      <c r="M586" s="42" t="str">
        <f>IFERROR(__xludf.DUMMYFUNCTION("""COMPUTED_VALUE"""),"fig.3-fig.12 (to be specified)")</f>
        <v>fig.3-fig.12 (to be specified)</v>
      </c>
      <c r="N586" s="42"/>
      <c r="O586" s="31" t="str">
        <f>IFERROR(__xludf.DUMMYFUNCTION("""COMPUTED_VALUE"""),"DOC(alt)")</f>
        <v>DOC(alt)</v>
      </c>
      <c r="P586" s="9" t="str">
        <f>IFERROR(__xludf.DUMMYFUNCTION("""COMPUTED_VALUE"""),"Folia morphologica")</f>
        <v>Folia morphologica</v>
      </c>
      <c r="Q586" s="9" t="str">
        <f>IFERROR(__xludf.DUMMYFUNCTION("""COMPUTED_VALUE"""),"Review")</f>
        <v>Review</v>
      </c>
      <c r="R586" s="179" t="str">
        <f>IFERROR(__xludf.DUMMYFUNCTION("""COMPUTED_VALUE"""),"La (00/00) [Pitkänen, 2000];
")</f>
        <v>La (00/00) [Pitkänen, 2000];
</v>
      </c>
      <c r="S586" s="179" t="str">
        <f>IFERROR(__xludf.DUMMYFUNCTION("""COMPUTED_VALUE"""),"NACLa")</f>
        <v>NACLa</v>
      </c>
      <c r="T586" s="179" t="str">
        <f>IFERROR(__xludf.DUMMYFUNCTION("""COMPUTED_VALUE"""),"[Pitkänen, 2000]")</f>
        <v>[Pitkänen, 2000]</v>
      </c>
      <c r="U586" s="179">
        <f>IFERROR(__xludf.DUMMYFUNCTION("""COMPUTED_VALUE"""),0.0)</f>
        <v>0</v>
      </c>
      <c r="V586" s="180">
        <f>IFERROR(__xludf.DUMMYFUNCTION("""COMPUTED_VALUE"""),0.0)</f>
        <v>0</v>
      </c>
      <c r="W586" s="180">
        <f>IFERROR(__xludf.DUMMYFUNCTION("""COMPUTED_VALUE"""),0.95)</f>
        <v>0.95</v>
      </c>
      <c r="X586" s="42">
        <f>IFERROR(__xludf.DUMMYFUNCTION("""COMPUTED_VALUE"""),0.8)</f>
        <v>0.8</v>
      </c>
      <c r="Y586" s="42">
        <f>IFERROR(__xludf.DUMMYFUNCTION("""COMPUTED_VALUE"""),0.6)</f>
        <v>0.6</v>
      </c>
      <c r="Z586" s="9">
        <f>IFERROR(__xludf.DUMMYFUNCTION("""COMPUTED_VALUE"""),0.9)</f>
        <v>0.9</v>
      </c>
      <c r="AA586" s="181">
        <f>IFERROR(__xludf.DUMMYFUNCTION("""COMPUTED_VALUE"""),0.0)</f>
        <v>0</v>
      </c>
      <c r="AB586" s="181">
        <f>IFERROR(__xludf.DUMMYFUNCTION("""COMPUTED_VALUE"""),0.0)</f>
        <v>0</v>
      </c>
      <c r="AC586" s="179">
        <f>IFERROR(__xludf.DUMMYFUNCTION("""COMPUTED_VALUE"""),0.0)</f>
        <v>0</v>
      </c>
      <c r="AD586" s="165">
        <f>IFERROR(__xludf.DUMMYFUNCTION("""COMPUTED_VALUE"""),0.0)</f>
        <v>0</v>
      </c>
      <c r="AE586" s="39" t="str">
        <f>IFERROR(__xludf.DUMMYFUNCTION("""COMPUTED_VALUE"""),"Tatsuya Miyamoto")</f>
        <v>Tatsuya Miyamoto</v>
      </c>
      <c r="AF586" s="39" t="str">
        <f>IFERROR(__xludf.DUMMYFUNCTION("""COMPUTED_VALUE"""),"TM21Amygdala")</f>
        <v>TM21Amygdala</v>
      </c>
      <c r="AG586" s="39"/>
      <c r="AH586" s="39"/>
      <c r="AI586" s="165"/>
      <c r="AJ586" s="165"/>
      <c r="AK586" s="111"/>
      <c r="AL586" s="111"/>
      <c r="AM586" s="111"/>
      <c r="AN586" s="111"/>
      <c r="AO586" s="111"/>
      <c r="AP586" s="111"/>
      <c r="AQ586" s="116"/>
      <c r="AR586" s="116"/>
      <c r="AS586" s="116"/>
    </row>
    <row r="587">
      <c r="A587" s="42" t="str">
        <f>IFERROR(__xludf.DUMMYFUNCTION("""COMPUTED_VALUE"""),"NAC")</f>
        <v>NAC</v>
      </c>
      <c r="B587" s="42"/>
      <c r="C587" s="42"/>
      <c r="D587" s="42" t="str">
        <f>IFERROR(__xludf.DUMMYFUNCTION("""COMPUTED_VALUE"""),"GPi")</f>
        <v>GPi</v>
      </c>
      <c r="E587" s="42"/>
      <c r="F587" s="42"/>
      <c r="G587" s="42"/>
      <c r="H587" s="42" t="str">
        <f>IFERROR(__xludf.DUMMYFUNCTION("""COMPUTED_VALUE"""),"(Limbic loop)")</f>
        <v>(Limbic loop)</v>
      </c>
      <c r="I587" s="42" t="str">
        <f>IFERROR(__xludf.DUMMYFUNCTION("""COMPUTED_VALUE"""),"Galvan, 2015")</f>
        <v>Galvan, 2015</v>
      </c>
      <c r="J587" s="42"/>
      <c r="K587" s="42"/>
      <c r="L587" s="42"/>
      <c r="M587" s="42"/>
      <c r="N587" s="42"/>
      <c r="O587" s="131" t="str">
        <f>IFERROR(__xludf.DUMMYFUNCTION("""COMPUTED_VALUE"""),"DOC")</f>
        <v>DOC</v>
      </c>
      <c r="P587" s="9" t="str">
        <f>IFERROR(__xludf.DUMMYFUNCTION("""COMPUTED_VALUE"""),"Frontiers in Neuroanatomy")</f>
        <v>Frontiers in Neuroanatomy</v>
      </c>
      <c r="Q587" s="9"/>
      <c r="R587" s="179" t="str">
        <f>IFERROR(__xludf.DUMMYFUNCTION("""COMPUTED_VALUE"""),"GPi (00/00) [Galvan, 2015](Limbic loop);
")</f>
        <v>GPi (00/00) [Galvan, 2015](Limbic loop);
</v>
      </c>
      <c r="S587" s="179" t="str">
        <f>IFERROR(__xludf.DUMMYFUNCTION("""COMPUTED_VALUE"""),"NACGPi")</f>
        <v>NACGPi</v>
      </c>
      <c r="T587" s="179" t="str">
        <f>IFERROR(__xludf.DUMMYFUNCTION("""COMPUTED_VALUE"""),"[Galvan, 2015]")</f>
        <v>[Galvan, 2015]</v>
      </c>
      <c r="U587" s="179">
        <f>IFERROR(__xludf.DUMMYFUNCTION("""COMPUTED_VALUE"""),0.0)</f>
        <v>0</v>
      </c>
      <c r="V587" s="180">
        <f>IFERROR(__xludf.DUMMYFUNCTION("""COMPUTED_VALUE"""),0.0)</f>
        <v>0</v>
      </c>
      <c r="W587" s="180">
        <f>IFERROR(__xludf.DUMMYFUNCTION("""COMPUTED_VALUE"""),0.95)</f>
        <v>0.95</v>
      </c>
      <c r="X587" s="42">
        <f>IFERROR(__xludf.DUMMYFUNCTION("""COMPUTED_VALUE"""),0.0)</f>
        <v>0</v>
      </c>
      <c r="Y587" s="42">
        <f>IFERROR(__xludf.DUMMYFUNCTION("""COMPUTED_VALUE"""),0.0)</f>
        <v>0</v>
      </c>
      <c r="Z587" s="9">
        <f>IFERROR(__xludf.DUMMYFUNCTION("""COMPUTED_VALUE"""),0.0)</f>
        <v>0</v>
      </c>
      <c r="AA587" s="181">
        <f>IFERROR(__xludf.DUMMYFUNCTION("""COMPUTED_VALUE"""),0.0)</f>
        <v>0</v>
      </c>
      <c r="AB587" s="181">
        <f>IFERROR(__xludf.DUMMYFUNCTION("""COMPUTED_VALUE"""),0.0)</f>
        <v>0</v>
      </c>
      <c r="AC587" s="179">
        <f>IFERROR(__xludf.DUMMYFUNCTION("""COMPUTED_VALUE"""),0.0)</f>
        <v>0</v>
      </c>
      <c r="AD587" s="165">
        <f>IFERROR(__xludf.DUMMYFUNCTION("""COMPUTED_VALUE"""),0.0)</f>
        <v>0</v>
      </c>
      <c r="AE587" s="39" t="str">
        <f>IFERROR(__xludf.DUMMYFUNCTION("""COMPUTED_VALUE"""),"Yuske Shibata")</f>
        <v>Yuske Shibata</v>
      </c>
      <c r="AF587" s="39" t="str">
        <f>IFERROR(__xludf.DUMMYFUNCTION("""COMPUTED_VALUE"""),"YS21BgLoop")</f>
        <v>YS21BgLoop</v>
      </c>
      <c r="AG587" s="39"/>
      <c r="AH587" s="39"/>
      <c r="AI587" s="165"/>
      <c r="AJ587" s="165"/>
      <c r="AK587" s="111"/>
      <c r="AL587" s="111"/>
      <c r="AM587" s="111"/>
      <c r="AN587" s="111"/>
      <c r="AO587" s="111"/>
      <c r="AP587" s="111"/>
      <c r="AQ587" s="116"/>
      <c r="AR587" s="116"/>
      <c r="AS587" s="116"/>
    </row>
    <row r="588">
      <c r="A588" s="42" t="str">
        <f>IFERROR(__xludf.DUMMYFUNCTION("""COMPUTED_VALUE"""),"NAC")</f>
        <v>NAC</v>
      </c>
      <c r="B588" s="42"/>
      <c r="C588" s="42"/>
      <c r="D588" s="42" t="str">
        <f>IFERROR(__xludf.DUMMYFUNCTION("""COMPUTED_VALUE"""),"VeP")</f>
        <v>VeP</v>
      </c>
      <c r="E588" s="42"/>
      <c r="F588" s="42"/>
      <c r="G588" s="42"/>
      <c r="H588" s="42" t="str">
        <f>IFERROR(__xludf.DUMMYFUNCTION("""COMPUTED_VALUE"""),"(Limbic loop)")</f>
        <v>(Limbic loop)</v>
      </c>
      <c r="I588" s="42" t="str">
        <f>IFERROR(__xludf.DUMMYFUNCTION("""COMPUTED_VALUE"""),"Galvan, 2015")</f>
        <v>Galvan, 2015</v>
      </c>
      <c r="J588" s="42"/>
      <c r="K588" s="42"/>
      <c r="L588" s="42"/>
      <c r="M588" s="42"/>
      <c r="N588" s="42"/>
      <c r="O588" s="31" t="str">
        <f>IFERROR(__xludf.DUMMYFUNCTION("""COMPUTED_VALUE"""),"DOC")</f>
        <v>DOC</v>
      </c>
      <c r="P588" s="9" t="str">
        <f>IFERROR(__xludf.DUMMYFUNCTION("""COMPUTED_VALUE"""),"Frontiers in Neuroanatomy")</f>
        <v>Frontiers in Neuroanatomy</v>
      </c>
      <c r="Q588" s="9"/>
      <c r="R588" s="179" t="str">
        <f>IFERROR(__xludf.DUMMYFUNCTION("""COMPUTED_VALUE"""),"VeP (00/00) [Galvan, 2015](Limbic loop);
")</f>
        <v>VeP (00/00) [Galvan, 2015](Limbic loop);
</v>
      </c>
      <c r="S588" s="179" t="str">
        <f>IFERROR(__xludf.DUMMYFUNCTION("""COMPUTED_VALUE"""),"NACVeP")</f>
        <v>NACVeP</v>
      </c>
      <c r="T588" s="179" t="str">
        <f>IFERROR(__xludf.DUMMYFUNCTION("""COMPUTED_VALUE"""),"[Galvan, 2015]")</f>
        <v>[Galvan, 2015]</v>
      </c>
      <c r="U588" s="179">
        <f>IFERROR(__xludf.DUMMYFUNCTION("""COMPUTED_VALUE"""),0.0)</f>
        <v>0</v>
      </c>
      <c r="V588" s="180">
        <f>IFERROR(__xludf.DUMMYFUNCTION("""COMPUTED_VALUE"""),0.0)</f>
        <v>0</v>
      </c>
      <c r="W588" s="180">
        <f>IFERROR(__xludf.DUMMYFUNCTION("""COMPUTED_VALUE"""),0.95)</f>
        <v>0.95</v>
      </c>
      <c r="X588" s="42">
        <f>IFERROR(__xludf.DUMMYFUNCTION("""COMPUTED_VALUE"""),0.0)</f>
        <v>0</v>
      </c>
      <c r="Y588" s="42">
        <f>IFERROR(__xludf.DUMMYFUNCTION("""COMPUTED_VALUE"""),0.0)</f>
        <v>0</v>
      </c>
      <c r="Z588" s="9">
        <f>IFERROR(__xludf.DUMMYFUNCTION("""COMPUTED_VALUE"""),0.0)</f>
        <v>0</v>
      </c>
      <c r="AA588" s="181">
        <f>IFERROR(__xludf.DUMMYFUNCTION("""COMPUTED_VALUE"""),0.0)</f>
        <v>0</v>
      </c>
      <c r="AB588" s="181">
        <f>IFERROR(__xludf.DUMMYFUNCTION("""COMPUTED_VALUE"""),0.0)</f>
        <v>0</v>
      </c>
      <c r="AC588" s="179">
        <f>IFERROR(__xludf.DUMMYFUNCTION("""COMPUTED_VALUE"""),0.0)</f>
        <v>0</v>
      </c>
      <c r="AD588" s="165">
        <f>IFERROR(__xludf.DUMMYFUNCTION("""COMPUTED_VALUE"""),0.0)</f>
        <v>0</v>
      </c>
      <c r="AE588" s="39" t="str">
        <f>IFERROR(__xludf.DUMMYFUNCTION("""COMPUTED_VALUE"""),"Yuske Shibata")</f>
        <v>Yuske Shibata</v>
      </c>
      <c r="AF588" s="39" t="str">
        <f>IFERROR(__xludf.DUMMYFUNCTION("""COMPUTED_VALUE"""),"YS21BgLoop")</f>
        <v>YS21BgLoop</v>
      </c>
      <c r="AG588" s="39"/>
      <c r="AH588" s="39"/>
      <c r="AI588" s="165"/>
      <c r="AJ588" s="165"/>
      <c r="AK588" s="111"/>
      <c r="AL588" s="111"/>
      <c r="AM588" s="111"/>
      <c r="AN588" s="111"/>
      <c r="AO588" s="111"/>
      <c r="AP588" s="111"/>
      <c r="AQ588" s="116"/>
      <c r="AR588" s="116"/>
      <c r="AS588" s="116"/>
    </row>
    <row r="589">
      <c r="A589" s="42" t="str">
        <f>IFERROR(__xludf.DUMMYFUNCTION("""COMPUTED_VALUE"""),"NCx")</f>
        <v>NCx</v>
      </c>
      <c r="B589" s="42"/>
      <c r="C589" s="42"/>
      <c r="D589" s="42" t="str">
        <f>IFERROR(__xludf.DUMMYFUNCTION("""COMPUTED_VALUE"""),"RNpc")</f>
        <v>RNpc</v>
      </c>
      <c r="E589" s="42"/>
      <c r="F589" s="42"/>
      <c r="G589" s="42"/>
      <c r="H589" s="42" t="str">
        <f>IFERROR(__xludf.DUMMYFUNCTION("""COMPUTED_VALUE"""),"")</f>
        <v/>
      </c>
      <c r="I589" s="42" t="str">
        <f>IFERROR(__xludf.DUMMYFUNCTION("""COMPUTED_VALUE"""),"Basile, 2021")</f>
        <v>Basile, 2021</v>
      </c>
      <c r="J589" s="42"/>
      <c r="K589" s="42"/>
      <c r="L589" s="42"/>
      <c r="M589" s="42"/>
      <c r="N589" s="42"/>
      <c r="O589" s="31" t="str">
        <f>IFERROR(__xludf.DUMMYFUNCTION("""COMPUTED_VALUE"""),"DOC")</f>
        <v>DOC</v>
      </c>
      <c r="P589" s="9" t="str">
        <f>IFERROR(__xludf.DUMMYFUNCTION("""COMPUTED_VALUE"""),"Brain Structure and Function")</f>
        <v>Brain Structure and Function</v>
      </c>
      <c r="Q589" s="9"/>
      <c r="R589" s="179" t="str">
        <f>IFERROR(__xludf.DUMMYFUNCTION("""COMPUTED_VALUE"""),"RNpc (00/00) [Basile, 2021];
")</f>
        <v>RNpc (00/00) [Basile, 2021];
</v>
      </c>
      <c r="S589" s="179" t="str">
        <f>IFERROR(__xludf.DUMMYFUNCTION("""COMPUTED_VALUE"""),"NCxRNpc")</f>
        <v>NCxRNpc</v>
      </c>
      <c r="T589" s="179" t="str">
        <f>IFERROR(__xludf.DUMMYFUNCTION("""COMPUTED_VALUE"""),"[Basile, 2021]")</f>
        <v>[Basile, 2021]</v>
      </c>
      <c r="U589" s="179">
        <f>IFERROR(__xludf.DUMMYFUNCTION("""COMPUTED_VALUE"""),0.0)</f>
        <v>0</v>
      </c>
      <c r="V589" s="180">
        <f>IFERROR(__xludf.DUMMYFUNCTION("""COMPUTED_VALUE"""),0.0)</f>
        <v>0</v>
      </c>
      <c r="W589" s="180">
        <f>IFERROR(__xludf.DUMMYFUNCTION("""COMPUTED_VALUE"""),0.95)</f>
        <v>0.95</v>
      </c>
      <c r="X589" s="42">
        <f>IFERROR(__xludf.DUMMYFUNCTION("""COMPUTED_VALUE"""),0.0)</f>
        <v>0</v>
      </c>
      <c r="Y589" s="42">
        <f>IFERROR(__xludf.DUMMYFUNCTION("""COMPUTED_VALUE"""),0.0)</f>
        <v>0</v>
      </c>
      <c r="Z589" s="9">
        <f>IFERROR(__xludf.DUMMYFUNCTION("""COMPUTED_VALUE"""),0.0)</f>
        <v>0</v>
      </c>
      <c r="AA589" s="181">
        <f>IFERROR(__xludf.DUMMYFUNCTION("""COMPUTED_VALUE"""),0.0)</f>
        <v>0</v>
      </c>
      <c r="AB589" s="181">
        <f>IFERROR(__xludf.DUMMYFUNCTION("""COMPUTED_VALUE"""),0.0)</f>
        <v>0</v>
      </c>
      <c r="AC589" s="179">
        <f>IFERROR(__xludf.DUMMYFUNCTION("""COMPUTED_VALUE"""),0.0)</f>
        <v>0</v>
      </c>
      <c r="AD589" s="165">
        <f>IFERROR(__xludf.DUMMYFUNCTION("""COMPUTED_VALUE"""),0.0)</f>
        <v>0</v>
      </c>
      <c r="AE589" s="39" t="str">
        <f>IFERROR(__xludf.DUMMYFUNCTION("""COMPUTED_VALUE"""),"Hiroshi Yamakawa")</f>
        <v>Hiroshi Yamakawa</v>
      </c>
      <c r="AF589" s="39" t="str">
        <f>IFERROR(__xludf.DUMMYFUNCTION("""COMPUTED_VALUE"""),"HY20Cerebellum")</f>
        <v>HY20Cerebellum</v>
      </c>
      <c r="AG589" s="39"/>
      <c r="AH589" s="39"/>
      <c r="AI589" s="165"/>
      <c r="AJ589" s="165"/>
      <c r="AK589" s="111"/>
      <c r="AL589" s="111"/>
      <c r="AM589" s="111"/>
      <c r="AN589" s="111"/>
      <c r="AO589" s="111"/>
      <c r="AP589" s="111"/>
      <c r="AQ589" s="116"/>
      <c r="AR589" s="116"/>
      <c r="AS589" s="116"/>
    </row>
    <row r="590">
      <c r="A590" s="42" t="str">
        <f>IFERROR(__xludf.DUMMYFUNCTION("""COMPUTED_VALUE"""),"NCx")</f>
        <v>NCx</v>
      </c>
      <c r="B590" s="42"/>
      <c r="C590" s="42"/>
      <c r="D590" s="42" t="str">
        <f>IFERROR(__xludf.DUMMYFUNCTION("""COMPUTED_VALUE"""),"MDJ")</f>
        <v>MDJ</v>
      </c>
      <c r="E590" s="42"/>
      <c r="F590" s="42"/>
      <c r="G590" s="42"/>
      <c r="H590" s="42" t="str">
        <f>IFERROR(__xludf.DUMMYFUNCTION("""COMPUTED_VALUE"""),"")</f>
        <v/>
      </c>
      <c r="I590" s="42" t="str">
        <f>IFERROR(__xludf.DUMMYFUNCTION("""COMPUTED_VALUE"""),"Wang, 2021")</f>
        <v>Wang, 2021</v>
      </c>
      <c r="J590" s="42"/>
      <c r="K590" s="42"/>
      <c r="L590" s="42"/>
      <c r="M590" s="42"/>
      <c r="N590" s="42"/>
      <c r="O590" s="31" t="str">
        <f>IFERROR(__xludf.DUMMYFUNCTION("""COMPUTED_VALUE"""),"DOC")</f>
        <v>DOC</v>
      </c>
      <c r="P590" s="9" t="str">
        <f>IFERROR(__xludf.DUMMYFUNCTION("""COMPUTED_VALUE"""),"Journal of Neuroscience Research")</f>
        <v>Journal of Neuroscience Research</v>
      </c>
      <c r="Q590" s="9"/>
      <c r="R590" s="179" t="str">
        <f>IFERROR(__xludf.DUMMYFUNCTION("""COMPUTED_VALUE"""),"MDJ (00/00) [Wang, 2021];
")</f>
        <v>MDJ (00/00) [Wang, 2021];
</v>
      </c>
      <c r="S590" s="179" t="str">
        <f>IFERROR(__xludf.DUMMYFUNCTION("""COMPUTED_VALUE"""),"NCxMDJ")</f>
        <v>NCxMDJ</v>
      </c>
      <c r="T590" s="179" t="str">
        <f>IFERROR(__xludf.DUMMYFUNCTION("""COMPUTED_VALUE"""),"[Wang, 2021]")</f>
        <v>[Wang, 2021]</v>
      </c>
      <c r="U590" s="179">
        <f>IFERROR(__xludf.DUMMYFUNCTION("""COMPUTED_VALUE"""),0.0)</f>
        <v>0</v>
      </c>
      <c r="V590" s="180">
        <f>IFERROR(__xludf.DUMMYFUNCTION("""COMPUTED_VALUE"""),0.0)</f>
        <v>0</v>
      </c>
      <c r="W590" s="180">
        <f>IFERROR(__xludf.DUMMYFUNCTION("""COMPUTED_VALUE"""),0.95)</f>
        <v>0.95</v>
      </c>
      <c r="X590" s="42">
        <f>IFERROR(__xludf.DUMMYFUNCTION("""COMPUTED_VALUE"""),0.0)</f>
        <v>0</v>
      </c>
      <c r="Y590" s="42">
        <f>IFERROR(__xludf.DUMMYFUNCTION("""COMPUTED_VALUE"""),0.0)</f>
        <v>0</v>
      </c>
      <c r="Z590" s="9">
        <f>IFERROR(__xludf.DUMMYFUNCTION("""COMPUTED_VALUE"""),0.0)</f>
        <v>0</v>
      </c>
      <c r="AA590" s="181">
        <f>IFERROR(__xludf.DUMMYFUNCTION("""COMPUTED_VALUE"""),0.0)</f>
        <v>0</v>
      </c>
      <c r="AB590" s="181">
        <f>IFERROR(__xludf.DUMMYFUNCTION("""COMPUTED_VALUE"""),0.0)</f>
        <v>0</v>
      </c>
      <c r="AC590" s="179">
        <f>IFERROR(__xludf.DUMMYFUNCTION("""COMPUTED_VALUE"""),0.0)</f>
        <v>0</v>
      </c>
      <c r="AD590" s="165">
        <f>IFERROR(__xludf.DUMMYFUNCTION("""COMPUTED_VALUE"""),0.0)</f>
        <v>0</v>
      </c>
      <c r="AE590" s="39" t="str">
        <f>IFERROR(__xludf.DUMMYFUNCTION("""COMPUTED_VALUE"""),"Hiroshi Yamakawa")</f>
        <v>Hiroshi Yamakawa</v>
      </c>
      <c r="AF590" s="39" t="str">
        <f>IFERROR(__xludf.DUMMYFUNCTION("""COMPUTED_VALUE"""),"HY20Cerebellum")</f>
        <v>HY20Cerebellum</v>
      </c>
      <c r="AG590" s="39"/>
      <c r="AH590" s="39"/>
      <c r="AI590" s="165"/>
      <c r="AJ590" s="165"/>
      <c r="AK590" s="111"/>
      <c r="AL590" s="111"/>
      <c r="AM590" s="111"/>
      <c r="AN590" s="111"/>
      <c r="AO590" s="111"/>
      <c r="AP590" s="111"/>
      <c r="AQ590" s="116"/>
      <c r="AR590" s="116"/>
      <c r="AS590" s="116"/>
    </row>
    <row r="591">
      <c r="A591" s="42" t="str">
        <f>IFERROR(__xludf.DUMMYFUNCTION("""COMPUTED_VALUE"""),"NCx")</f>
        <v>NCx</v>
      </c>
      <c r="B591" s="42"/>
      <c r="C591" s="42"/>
      <c r="D591" s="42" t="str">
        <f>IFERROR(__xludf.DUMMYFUNCTION("""COMPUTED_VALUE"""),"DLPN")</f>
        <v>DLPN</v>
      </c>
      <c r="E591" s="42"/>
      <c r="F591" s="42"/>
      <c r="G591" s="42"/>
      <c r="H591" s="42" t="str">
        <f>IFERROR(__xludf.DUMMYFUNCTION("""COMPUTED_VALUE"""),"")</f>
        <v/>
      </c>
      <c r="I591" s="42" t="str">
        <f>IFERROR(__xludf.DUMMYFUNCTION("""COMPUTED_VALUE"""),"Kheradmand, 2011")</f>
        <v>Kheradmand, 2011</v>
      </c>
      <c r="J591" s="42"/>
      <c r="K591" s="42"/>
      <c r="L591" s="42"/>
      <c r="M591" s="42"/>
      <c r="N591" s="42"/>
      <c r="O591" s="31" t="str">
        <f>IFERROR(__xludf.DUMMYFUNCTION("""COMPUTED_VALUE"""),"DOC")</f>
        <v>DOC</v>
      </c>
      <c r="P591" s="9" t="str">
        <f>IFERROR(__xludf.DUMMYFUNCTION("""COMPUTED_VALUE"""),"Frontiers in Neurology")</f>
        <v>Frontiers in Neurology</v>
      </c>
      <c r="Q591" s="9"/>
      <c r="R591" s="179" t="str">
        <f>IFERROR(__xludf.DUMMYFUNCTION("""COMPUTED_VALUE"""),"DLPN (00/00) [Kheradmand, 2011];
")</f>
        <v>DLPN (00/00) [Kheradmand, 2011];
</v>
      </c>
      <c r="S591" s="179" t="str">
        <f>IFERROR(__xludf.DUMMYFUNCTION("""COMPUTED_VALUE"""),"NCxDLPN")</f>
        <v>NCxDLPN</v>
      </c>
      <c r="T591" s="179" t="str">
        <f>IFERROR(__xludf.DUMMYFUNCTION("""COMPUTED_VALUE"""),"[Kheradmand, 2011]")</f>
        <v>[Kheradmand, 2011]</v>
      </c>
      <c r="U591" s="179">
        <f>IFERROR(__xludf.DUMMYFUNCTION("""COMPUTED_VALUE"""),0.0)</f>
        <v>0</v>
      </c>
      <c r="V591" s="180">
        <f>IFERROR(__xludf.DUMMYFUNCTION("""COMPUTED_VALUE"""),0.0)</f>
        <v>0</v>
      </c>
      <c r="W591" s="180">
        <f>IFERROR(__xludf.DUMMYFUNCTION("""COMPUTED_VALUE"""),0.95)</f>
        <v>0.95</v>
      </c>
      <c r="X591" s="42">
        <f>IFERROR(__xludf.DUMMYFUNCTION("""COMPUTED_VALUE"""),0.0)</f>
        <v>0</v>
      </c>
      <c r="Y591" s="42">
        <f>IFERROR(__xludf.DUMMYFUNCTION("""COMPUTED_VALUE"""),0.0)</f>
        <v>0</v>
      </c>
      <c r="Z591" s="9">
        <f>IFERROR(__xludf.DUMMYFUNCTION("""COMPUTED_VALUE"""),0.0)</f>
        <v>0</v>
      </c>
      <c r="AA591" s="181">
        <f>IFERROR(__xludf.DUMMYFUNCTION("""COMPUTED_VALUE"""),0.0)</f>
        <v>0</v>
      </c>
      <c r="AB591" s="181">
        <f>IFERROR(__xludf.DUMMYFUNCTION("""COMPUTED_VALUE"""),0.0)</f>
        <v>0</v>
      </c>
      <c r="AC591" s="179">
        <f>IFERROR(__xludf.DUMMYFUNCTION("""COMPUTED_VALUE"""),0.0)</f>
        <v>0</v>
      </c>
      <c r="AD591" s="165">
        <f>IFERROR(__xludf.DUMMYFUNCTION("""COMPUTED_VALUE"""),0.0)</f>
        <v>0</v>
      </c>
      <c r="AE591" s="39" t="str">
        <f>IFERROR(__xludf.DUMMYFUNCTION("""COMPUTED_VALUE"""),"Yoshimasa Tawatsuji")</f>
        <v>Yoshimasa Tawatsuji</v>
      </c>
      <c r="AF591" s="39" t="str">
        <f>IFERROR(__xludf.DUMMYFUNCTION("""COMPUTED_VALUE"""),"Oculomotor")</f>
        <v>Oculomotor</v>
      </c>
      <c r="AG591" s="39"/>
      <c r="AH591" s="39"/>
      <c r="AI591" s="165"/>
      <c r="AJ591" s="165"/>
      <c r="AK591" s="111"/>
      <c r="AL591" s="111"/>
      <c r="AM591" s="111"/>
      <c r="AN591" s="111"/>
      <c r="AO591" s="111"/>
      <c r="AP591" s="111"/>
      <c r="AQ591" s="116"/>
      <c r="AR591" s="116"/>
      <c r="AS591" s="116"/>
    </row>
    <row r="592">
      <c r="A592" s="42" t="str">
        <f>IFERROR(__xludf.DUMMYFUNCTION("""COMPUTED_VALUE"""),"NCx")</f>
        <v>NCx</v>
      </c>
      <c r="B592" s="42"/>
      <c r="C592" s="42"/>
      <c r="D592" s="42" t="str">
        <f>IFERROR(__xludf.DUMMYFUNCTION("""COMPUTED_VALUE"""),"PTg")</f>
        <v>PTg</v>
      </c>
      <c r="E592" s="42"/>
      <c r="F592" s="42"/>
      <c r="G592" s="42"/>
      <c r="H592" s="42" t="str">
        <f>IFERROR(__xludf.DUMMYFUNCTION("""COMPUTED_VALUE"""),"")</f>
        <v/>
      </c>
      <c r="I592" s="42" t="str">
        <f>IFERROR(__xludf.DUMMYFUNCTION("""COMPUTED_VALUE"""),"Kheradmand, 2011")</f>
        <v>Kheradmand, 2011</v>
      </c>
      <c r="J592" s="42"/>
      <c r="K592" s="42"/>
      <c r="L592" s="42"/>
      <c r="M592" s="42"/>
      <c r="N592" s="38"/>
      <c r="O592" s="31" t="str">
        <f>IFERROR(__xludf.DUMMYFUNCTION("""COMPUTED_VALUE"""),"DOC")</f>
        <v>DOC</v>
      </c>
      <c r="P592" s="9" t="str">
        <f>IFERROR(__xludf.DUMMYFUNCTION("""COMPUTED_VALUE"""),"Frontiers in Neurology")</f>
        <v>Frontiers in Neurology</v>
      </c>
      <c r="Q592" s="9"/>
      <c r="R592" s="179" t="str">
        <f>IFERROR(__xludf.DUMMYFUNCTION("""COMPUTED_VALUE"""),"PTg (00/00) [Kheradmand, 2011];
")</f>
        <v>PTg (00/00) [Kheradmand, 2011];
</v>
      </c>
      <c r="S592" s="179" t="str">
        <f>IFERROR(__xludf.DUMMYFUNCTION("""COMPUTED_VALUE"""),"NCxPTg")</f>
        <v>NCxPTg</v>
      </c>
      <c r="T592" s="179" t="str">
        <f>IFERROR(__xludf.DUMMYFUNCTION("""COMPUTED_VALUE"""),"[Kheradmand, 2011]")</f>
        <v>[Kheradmand, 2011]</v>
      </c>
      <c r="U592" s="179">
        <f>IFERROR(__xludf.DUMMYFUNCTION("""COMPUTED_VALUE"""),0.0)</f>
        <v>0</v>
      </c>
      <c r="V592" s="180">
        <f>IFERROR(__xludf.DUMMYFUNCTION("""COMPUTED_VALUE"""),0.0)</f>
        <v>0</v>
      </c>
      <c r="W592" s="180">
        <f>IFERROR(__xludf.DUMMYFUNCTION("""COMPUTED_VALUE"""),0.95)</f>
        <v>0.95</v>
      </c>
      <c r="X592" s="42">
        <f>IFERROR(__xludf.DUMMYFUNCTION("""COMPUTED_VALUE"""),0.0)</f>
        <v>0</v>
      </c>
      <c r="Y592" s="42">
        <f>IFERROR(__xludf.DUMMYFUNCTION("""COMPUTED_VALUE"""),0.0)</f>
        <v>0</v>
      </c>
      <c r="Z592" s="9">
        <f>IFERROR(__xludf.DUMMYFUNCTION("""COMPUTED_VALUE"""),0.0)</f>
        <v>0</v>
      </c>
      <c r="AA592" s="181">
        <f>IFERROR(__xludf.DUMMYFUNCTION("""COMPUTED_VALUE"""),0.0)</f>
        <v>0</v>
      </c>
      <c r="AB592" s="181">
        <f>IFERROR(__xludf.DUMMYFUNCTION("""COMPUTED_VALUE"""),0.0)</f>
        <v>0</v>
      </c>
      <c r="AC592" s="179">
        <f>IFERROR(__xludf.DUMMYFUNCTION("""COMPUTED_VALUE"""),0.0)</f>
        <v>0</v>
      </c>
      <c r="AD592" s="165">
        <f>IFERROR(__xludf.DUMMYFUNCTION("""COMPUTED_VALUE"""),0.0)</f>
        <v>0</v>
      </c>
      <c r="AE592" s="39" t="str">
        <f>IFERROR(__xludf.DUMMYFUNCTION("""COMPUTED_VALUE"""),"Yoshimasa Tawatsuji")</f>
        <v>Yoshimasa Tawatsuji</v>
      </c>
      <c r="AF592" s="39" t="str">
        <f>IFERROR(__xludf.DUMMYFUNCTION("""COMPUTED_VALUE"""),"Oculomotor")</f>
        <v>Oculomotor</v>
      </c>
      <c r="AG592" s="39"/>
      <c r="AH592" s="39"/>
      <c r="AI592" s="165"/>
      <c r="AJ592" s="165"/>
      <c r="AK592" s="111"/>
      <c r="AL592" s="111"/>
      <c r="AM592" s="111"/>
      <c r="AN592" s="111"/>
      <c r="AO592" s="111"/>
      <c r="AP592" s="111"/>
      <c r="AQ592" s="116"/>
      <c r="AR592" s="116"/>
      <c r="AS592" s="116"/>
    </row>
    <row r="593">
      <c r="A593" s="42" t="str">
        <f>IFERROR(__xludf.DUMMYFUNCTION("""COMPUTED_VALUE"""),"NCx")</f>
        <v>NCx</v>
      </c>
      <c r="B593" s="42"/>
      <c r="C593" s="42"/>
      <c r="D593" s="42" t="str">
        <f>IFERROR(__xludf.DUMMYFUNCTION("""COMPUTED_VALUE"""),"SC")</f>
        <v>SC</v>
      </c>
      <c r="E593" s="42"/>
      <c r="F593" s="42"/>
      <c r="G593" s="42"/>
      <c r="H593" s="42" t="str">
        <f>IFERROR(__xludf.DUMMYFUNCTION("""COMPUTED_VALUE"""),"")</f>
        <v/>
      </c>
      <c r="I593" s="42" t="str">
        <f>IFERROR(__xludf.DUMMYFUNCTION("""COMPUTED_VALUE"""),"Kheradmand, 2011")</f>
        <v>Kheradmand, 2011</v>
      </c>
      <c r="J593" s="42"/>
      <c r="K593" s="42"/>
      <c r="L593" s="42"/>
      <c r="M593" s="42"/>
      <c r="N593" s="42"/>
      <c r="O593" s="31" t="str">
        <f>IFERROR(__xludf.DUMMYFUNCTION("""COMPUTED_VALUE"""),"DOC")</f>
        <v>DOC</v>
      </c>
      <c r="P593" s="9" t="str">
        <f>IFERROR(__xludf.DUMMYFUNCTION("""COMPUTED_VALUE"""),"Frontiers in Neurology")</f>
        <v>Frontiers in Neurology</v>
      </c>
      <c r="Q593" s="9"/>
      <c r="R593" s="179" t="str">
        <f>IFERROR(__xludf.DUMMYFUNCTION("""COMPUTED_VALUE"""),"SC (00/00) [Kheradmand, 2011];
")</f>
        <v>SC (00/00) [Kheradmand, 2011];
</v>
      </c>
      <c r="S593" s="179" t="str">
        <f>IFERROR(__xludf.DUMMYFUNCTION("""COMPUTED_VALUE"""),"NCxSC")</f>
        <v>NCxSC</v>
      </c>
      <c r="T593" s="179" t="str">
        <f>IFERROR(__xludf.DUMMYFUNCTION("""COMPUTED_VALUE"""),"[Kheradmand, 2011]")</f>
        <v>[Kheradmand, 2011]</v>
      </c>
      <c r="U593" s="179">
        <f>IFERROR(__xludf.DUMMYFUNCTION("""COMPUTED_VALUE"""),0.0)</f>
        <v>0</v>
      </c>
      <c r="V593" s="180">
        <f>IFERROR(__xludf.DUMMYFUNCTION("""COMPUTED_VALUE"""),0.0)</f>
        <v>0</v>
      </c>
      <c r="W593" s="180">
        <f>IFERROR(__xludf.DUMMYFUNCTION("""COMPUTED_VALUE"""),0.95)</f>
        <v>0.95</v>
      </c>
      <c r="X593" s="42">
        <f>IFERROR(__xludf.DUMMYFUNCTION("""COMPUTED_VALUE"""),0.0)</f>
        <v>0</v>
      </c>
      <c r="Y593" s="42">
        <f>IFERROR(__xludf.DUMMYFUNCTION("""COMPUTED_VALUE"""),0.0)</f>
        <v>0</v>
      </c>
      <c r="Z593" s="9">
        <f>IFERROR(__xludf.DUMMYFUNCTION("""COMPUTED_VALUE"""),0.0)</f>
        <v>0</v>
      </c>
      <c r="AA593" s="181">
        <f>IFERROR(__xludf.DUMMYFUNCTION("""COMPUTED_VALUE"""),0.0)</f>
        <v>0</v>
      </c>
      <c r="AB593" s="181">
        <f>IFERROR(__xludf.DUMMYFUNCTION("""COMPUTED_VALUE"""),0.0)</f>
        <v>0</v>
      </c>
      <c r="AC593" s="179">
        <f>IFERROR(__xludf.DUMMYFUNCTION("""COMPUTED_VALUE"""),0.0)</f>
        <v>0</v>
      </c>
      <c r="AD593" s="165">
        <f>IFERROR(__xludf.DUMMYFUNCTION("""COMPUTED_VALUE"""),0.0)</f>
        <v>0</v>
      </c>
      <c r="AE593" s="39" t="str">
        <f>IFERROR(__xludf.DUMMYFUNCTION("""COMPUTED_VALUE"""),"Yoshimasa Tawatsuji")</f>
        <v>Yoshimasa Tawatsuji</v>
      </c>
      <c r="AF593" s="39" t="str">
        <f>IFERROR(__xludf.DUMMYFUNCTION("""COMPUTED_VALUE"""),"Oculomotor")</f>
        <v>Oculomotor</v>
      </c>
      <c r="AG593" s="39"/>
      <c r="AH593" s="39"/>
      <c r="AI593" s="165"/>
      <c r="AJ593" s="165"/>
      <c r="AK593" s="111"/>
      <c r="AL593" s="111"/>
      <c r="AM593" s="111"/>
      <c r="AN593" s="111"/>
      <c r="AO593" s="111"/>
      <c r="AP593" s="111"/>
      <c r="AQ593" s="116"/>
      <c r="AR593" s="116"/>
      <c r="AS593" s="116"/>
    </row>
    <row r="594">
      <c r="A594" s="42" t="str">
        <f>IFERROR(__xludf.DUMMYFUNCTION("""COMPUTED_VALUE"""),"NLOT")</f>
        <v>NLOT</v>
      </c>
      <c r="B594" s="42"/>
      <c r="C594" s="42"/>
      <c r="D594" s="42" t="str">
        <f>IFERROR(__xludf.DUMMYFUNCTION("""COMPUTED_VALUE"""),"AIp")</f>
        <v>AIp</v>
      </c>
      <c r="E594" s="42"/>
      <c r="F594" s="42"/>
      <c r="G594" s="42"/>
      <c r="H594" s="42" t="str">
        <f>IFERROR(__xludf.DUMMYFUNCTION("""COMPUTED_VALUE"""),"")</f>
        <v/>
      </c>
      <c r="I594" s="42" t="str">
        <f>IFERROR(__xludf.DUMMYFUNCTION("""COMPUTED_VALUE"""),"Pitkänen, 2000")</f>
        <v>Pitkänen, 2000</v>
      </c>
      <c r="J594" s="42" t="str">
        <f>IFERROR(__xludf.DUMMYFUNCTION("""COMPUTED_VALUE"""),"Rat")</f>
        <v>Rat</v>
      </c>
      <c r="K594" s="42" t="str">
        <f>IFERROR(__xludf.DUMMYFUNCTION("""COMPUTED_VALUE"""),"Various tracing")</f>
        <v>Various tracing</v>
      </c>
      <c r="L594" s="42"/>
      <c r="M594" s="42" t="str">
        <f>IFERROR(__xludf.DUMMYFUNCTION("""COMPUTED_VALUE"""),"fig.3-fig.12 (to be specified)")</f>
        <v>fig.3-fig.12 (to be specified)</v>
      </c>
      <c r="N594" s="38"/>
      <c r="O594" s="31" t="str">
        <f>IFERROR(__xludf.DUMMYFUNCTION("""COMPUTED_VALUE"""),"DOC(alt)")</f>
        <v>DOC(alt)</v>
      </c>
      <c r="P594" s="9" t="str">
        <f>IFERROR(__xludf.DUMMYFUNCTION("""COMPUTED_VALUE"""),"Folia morphologica")</f>
        <v>Folia morphologica</v>
      </c>
      <c r="Q594" s="9" t="str">
        <f>IFERROR(__xludf.DUMMYFUNCTION("""COMPUTED_VALUE"""),"Review")</f>
        <v>Review</v>
      </c>
      <c r="R594" s="179" t="str">
        <f>IFERROR(__xludf.DUMMYFUNCTION("""COMPUTED_VALUE"""),"AIp (00/00) [Pitkänen, 2000];
")</f>
        <v>AIp (00/00) [Pitkänen, 2000];
</v>
      </c>
      <c r="S594" s="179" t="str">
        <f>IFERROR(__xludf.DUMMYFUNCTION("""COMPUTED_VALUE"""),"NLOTAIp")</f>
        <v>NLOTAIp</v>
      </c>
      <c r="T594" s="179" t="str">
        <f>IFERROR(__xludf.DUMMYFUNCTION("""COMPUTED_VALUE"""),"[Pitkänen, 2000]")</f>
        <v>[Pitkänen, 2000]</v>
      </c>
      <c r="U594" s="179">
        <f>IFERROR(__xludf.DUMMYFUNCTION("""COMPUTED_VALUE"""),0.0)</f>
        <v>0</v>
      </c>
      <c r="V594" s="180">
        <f>IFERROR(__xludf.DUMMYFUNCTION("""COMPUTED_VALUE"""),0.0)</f>
        <v>0</v>
      </c>
      <c r="W594" s="180">
        <f>IFERROR(__xludf.DUMMYFUNCTION("""COMPUTED_VALUE"""),0.95)</f>
        <v>0.95</v>
      </c>
      <c r="X594" s="42">
        <f>IFERROR(__xludf.DUMMYFUNCTION("""COMPUTED_VALUE"""),0.8)</f>
        <v>0.8</v>
      </c>
      <c r="Y594" s="42">
        <f>IFERROR(__xludf.DUMMYFUNCTION("""COMPUTED_VALUE"""),0.6)</f>
        <v>0.6</v>
      </c>
      <c r="Z594" s="9">
        <f>IFERROR(__xludf.DUMMYFUNCTION("""COMPUTED_VALUE"""),0.9)</f>
        <v>0.9</v>
      </c>
      <c r="AA594" s="181">
        <f>IFERROR(__xludf.DUMMYFUNCTION("""COMPUTED_VALUE"""),0.0)</f>
        <v>0</v>
      </c>
      <c r="AB594" s="181">
        <f>IFERROR(__xludf.DUMMYFUNCTION("""COMPUTED_VALUE"""),0.0)</f>
        <v>0</v>
      </c>
      <c r="AC594" s="179">
        <f>IFERROR(__xludf.DUMMYFUNCTION("""COMPUTED_VALUE"""),0.0)</f>
        <v>0</v>
      </c>
      <c r="AD594" s="165">
        <f>IFERROR(__xludf.DUMMYFUNCTION("""COMPUTED_VALUE"""),0.0)</f>
        <v>0</v>
      </c>
      <c r="AE594" s="39" t="str">
        <f>IFERROR(__xludf.DUMMYFUNCTION("""COMPUTED_VALUE"""),"Tatsuya Miyamoto")</f>
        <v>Tatsuya Miyamoto</v>
      </c>
      <c r="AF594" s="39" t="str">
        <f>IFERROR(__xludf.DUMMYFUNCTION("""COMPUTED_VALUE"""),"TM21Amygdala")</f>
        <v>TM21Amygdala</v>
      </c>
      <c r="AG594" s="39"/>
      <c r="AH594" s="39"/>
      <c r="AI594" s="165"/>
      <c r="AJ594" s="165"/>
      <c r="AK594" s="111"/>
      <c r="AL594" s="111"/>
      <c r="AM594" s="111"/>
      <c r="AN594" s="111"/>
      <c r="AO594" s="111"/>
      <c r="AP594" s="111"/>
      <c r="AQ594" s="116"/>
      <c r="AR594" s="116"/>
      <c r="AS594" s="116"/>
    </row>
    <row r="595">
      <c r="A595" s="42" t="str">
        <f>IFERROR(__xludf.DUMMYFUNCTION("""COMPUTED_VALUE"""),"NLOT")</f>
        <v>NLOT</v>
      </c>
      <c r="B595" s="42"/>
      <c r="C595" s="42"/>
      <c r="D595" s="42" t="str">
        <f>IFERROR(__xludf.DUMMYFUNCTION("""COMPUTED_VALUE"""),"En")</f>
        <v>En</v>
      </c>
      <c r="E595" s="42"/>
      <c r="F595" s="42"/>
      <c r="G595" s="42"/>
      <c r="H595" s="42" t="str">
        <f>IFERROR(__xludf.DUMMYFUNCTION("""COMPUTED_VALUE"""),"")</f>
        <v/>
      </c>
      <c r="I595" s="42" t="str">
        <f>IFERROR(__xludf.DUMMYFUNCTION("""COMPUTED_VALUE"""),"Pitkänen, 2000")</f>
        <v>Pitkänen, 2000</v>
      </c>
      <c r="J595" s="42" t="str">
        <f>IFERROR(__xludf.DUMMYFUNCTION("""COMPUTED_VALUE"""),"Rat")</f>
        <v>Rat</v>
      </c>
      <c r="K595" s="42" t="str">
        <f>IFERROR(__xludf.DUMMYFUNCTION("""COMPUTED_VALUE"""),"Various tracing")</f>
        <v>Various tracing</v>
      </c>
      <c r="L595" s="42"/>
      <c r="M595" s="42" t="str">
        <f>IFERROR(__xludf.DUMMYFUNCTION("""COMPUTED_VALUE"""),"fig.3-fig.12 (to be specified)")</f>
        <v>fig.3-fig.12 (to be specified)</v>
      </c>
      <c r="N595" s="38"/>
      <c r="O595" s="31" t="str">
        <f>IFERROR(__xludf.DUMMYFUNCTION("""COMPUTED_VALUE"""),"DOC(alt)")</f>
        <v>DOC(alt)</v>
      </c>
      <c r="P595" s="9" t="str">
        <f>IFERROR(__xludf.DUMMYFUNCTION("""COMPUTED_VALUE"""),"Folia morphologica")</f>
        <v>Folia morphologica</v>
      </c>
      <c r="Q595" s="9" t="str">
        <f>IFERROR(__xludf.DUMMYFUNCTION("""COMPUTED_VALUE"""),"Review")</f>
        <v>Review</v>
      </c>
      <c r="R595" s="179" t="str">
        <f>IFERROR(__xludf.DUMMYFUNCTION("""COMPUTED_VALUE"""),"En (00/00) [Pitkänen, 2000];
")</f>
        <v>En (00/00) [Pitkänen, 2000];
</v>
      </c>
      <c r="S595" s="179" t="str">
        <f>IFERROR(__xludf.DUMMYFUNCTION("""COMPUTED_VALUE"""),"NLOTEn")</f>
        <v>NLOTEn</v>
      </c>
      <c r="T595" s="179" t="str">
        <f>IFERROR(__xludf.DUMMYFUNCTION("""COMPUTED_VALUE"""),"[Pitkänen, 2000]")</f>
        <v>[Pitkänen, 2000]</v>
      </c>
      <c r="U595" s="179">
        <f>IFERROR(__xludf.DUMMYFUNCTION("""COMPUTED_VALUE"""),0.0)</f>
        <v>0</v>
      </c>
      <c r="V595" s="180">
        <f>IFERROR(__xludf.DUMMYFUNCTION("""COMPUTED_VALUE"""),0.0)</f>
        <v>0</v>
      </c>
      <c r="W595" s="180">
        <f>IFERROR(__xludf.DUMMYFUNCTION("""COMPUTED_VALUE"""),0.95)</f>
        <v>0.95</v>
      </c>
      <c r="X595" s="42">
        <f>IFERROR(__xludf.DUMMYFUNCTION("""COMPUTED_VALUE"""),0.8)</f>
        <v>0.8</v>
      </c>
      <c r="Y595" s="42">
        <f>IFERROR(__xludf.DUMMYFUNCTION("""COMPUTED_VALUE"""),0.6)</f>
        <v>0.6</v>
      </c>
      <c r="Z595" s="9">
        <f>IFERROR(__xludf.DUMMYFUNCTION("""COMPUTED_VALUE"""),0.9)</f>
        <v>0.9</v>
      </c>
      <c r="AA595" s="181">
        <f>IFERROR(__xludf.DUMMYFUNCTION("""COMPUTED_VALUE"""),0.0)</f>
        <v>0</v>
      </c>
      <c r="AB595" s="181">
        <f>IFERROR(__xludf.DUMMYFUNCTION("""COMPUTED_VALUE"""),0.0)</f>
        <v>0</v>
      </c>
      <c r="AC595" s="179">
        <f>IFERROR(__xludf.DUMMYFUNCTION("""COMPUTED_VALUE"""),0.0)</f>
        <v>0</v>
      </c>
      <c r="AD595" s="165">
        <f>IFERROR(__xludf.DUMMYFUNCTION("""COMPUTED_VALUE"""),0.0)</f>
        <v>0</v>
      </c>
      <c r="AE595" s="39" t="str">
        <f>IFERROR(__xludf.DUMMYFUNCTION("""COMPUTED_VALUE"""),"Tatsuya Miyamoto")</f>
        <v>Tatsuya Miyamoto</v>
      </c>
      <c r="AF595" s="39" t="str">
        <f>IFERROR(__xludf.DUMMYFUNCTION("""COMPUTED_VALUE"""),"TM21Amygdala")</f>
        <v>TM21Amygdala</v>
      </c>
      <c r="AG595" s="39"/>
      <c r="AH595" s="39"/>
      <c r="AI595" s="165"/>
      <c r="AJ595" s="165"/>
      <c r="AK595" s="111"/>
      <c r="AL595" s="111"/>
      <c r="AM595" s="111"/>
      <c r="AN595" s="111"/>
      <c r="AO595" s="111"/>
      <c r="AP595" s="111"/>
      <c r="AQ595" s="116"/>
      <c r="AR595" s="116"/>
      <c r="AS595" s="116"/>
    </row>
    <row r="596">
      <c r="A596" s="42" t="str">
        <f>IFERROR(__xludf.DUMMYFUNCTION("""COMPUTED_VALUE"""),"NLOT")</f>
        <v>NLOT</v>
      </c>
      <c r="B596" s="42"/>
      <c r="C596" s="42"/>
      <c r="D596" s="42" t="str">
        <f>IFERROR(__xludf.DUMMYFUNCTION("""COMPUTED_VALUE"""),"NDB")</f>
        <v>NDB</v>
      </c>
      <c r="E596" s="42"/>
      <c r="F596" s="42"/>
      <c r="G596" s="42"/>
      <c r="H596" s="42" t="str">
        <f>IFERROR(__xludf.DUMMYFUNCTION("""COMPUTED_VALUE"""),"")</f>
        <v/>
      </c>
      <c r="I596" s="42" t="str">
        <f>IFERROR(__xludf.DUMMYFUNCTION("""COMPUTED_VALUE"""),"Pitkänen, 2000")</f>
        <v>Pitkänen, 2000</v>
      </c>
      <c r="J596" s="42" t="str">
        <f>IFERROR(__xludf.DUMMYFUNCTION("""COMPUTED_VALUE"""),"Rat")</f>
        <v>Rat</v>
      </c>
      <c r="K596" s="42" t="str">
        <f>IFERROR(__xludf.DUMMYFUNCTION("""COMPUTED_VALUE"""),"Various tracing")</f>
        <v>Various tracing</v>
      </c>
      <c r="L596" s="42"/>
      <c r="M596" s="42" t="str">
        <f>IFERROR(__xludf.DUMMYFUNCTION("""COMPUTED_VALUE"""),"fig.3-fig.12 (to be specified)")</f>
        <v>fig.3-fig.12 (to be specified)</v>
      </c>
      <c r="N596" s="38"/>
      <c r="O596" s="31" t="str">
        <f>IFERROR(__xludf.DUMMYFUNCTION("""COMPUTED_VALUE"""),"DOC(alt)")</f>
        <v>DOC(alt)</v>
      </c>
      <c r="P596" s="9" t="str">
        <f>IFERROR(__xludf.DUMMYFUNCTION("""COMPUTED_VALUE"""),"Folia morphologica")</f>
        <v>Folia morphologica</v>
      </c>
      <c r="Q596" s="9" t="str">
        <f>IFERROR(__xludf.DUMMYFUNCTION("""COMPUTED_VALUE"""),"Review")</f>
        <v>Review</v>
      </c>
      <c r="R596" s="179" t="str">
        <f>IFERROR(__xludf.DUMMYFUNCTION("""COMPUTED_VALUE"""),"NDB (00/00) [Pitkänen, 2000];
")</f>
        <v>NDB (00/00) [Pitkänen, 2000];
</v>
      </c>
      <c r="S596" s="179" t="str">
        <f>IFERROR(__xludf.DUMMYFUNCTION("""COMPUTED_VALUE"""),"NLOTNDB")</f>
        <v>NLOTNDB</v>
      </c>
      <c r="T596" s="179" t="str">
        <f>IFERROR(__xludf.DUMMYFUNCTION("""COMPUTED_VALUE"""),"[Pitkänen, 2000]")</f>
        <v>[Pitkänen, 2000]</v>
      </c>
      <c r="U596" s="179">
        <f>IFERROR(__xludf.DUMMYFUNCTION("""COMPUTED_VALUE"""),0.0)</f>
        <v>0</v>
      </c>
      <c r="V596" s="180">
        <f>IFERROR(__xludf.DUMMYFUNCTION("""COMPUTED_VALUE"""),0.0)</f>
        <v>0</v>
      </c>
      <c r="W596" s="180">
        <f>IFERROR(__xludf.DUMMYFUNCTION("""COMPUTED_VALUE"""),0.95)</f>
        <v>0.95</v>
      </c>
      <c r="X596" s="42">
        <f>IFERROR(__xludf.DUMMYFUNCTION("""COMPUTED_VALUE"""),0.8)</f>
        <v>0.8</v>
      </c>
      <c r="Y596" s="42">
        <f>IFERROR(__xludf.DUMMYFUNCTION("""COMPUTED_VALUE"""),0.6)</f>
        <v>0.6</v>
      </c>
      <c r="Z596" s="9">
        <f>IFERROR(__xludf.DUMMYFUNCTION("""COMPUTED_VALUE"""),0.9)</f>
        <v>0.9</v>
      </c>
      <c r="AA596" s="181">
        <f>IFERROR(__xludf.DUMMYFUNCTION("""COMPUTED_VALUE"""),0.0)</f>
        <v>0</v>
      </c>
      <c r="AB596" s="181">
        <f>IFERROR(__xludf.DUMMYFUNCTION("""COMPUTED_VALUE"""),0.0)</f>
        <v>0</v>
      </c>
      <c r="AC596" s="179">
        <f>IFERROR(__xludf.DUMMYFUNCTION("""COMPUTED_VALUE"""),0.0)</f>
        <v>0</v>
      </c>
      <c r="AD596" s="165">
        <f>IFERROR(__xludf.DUMMYFUNCTION("""COMPUTED_VALUE"""),0.0)</f>
        <v>0</v>
      </c>
      <c r="AE596" s="39" t="str">
        <f>IFERROR(__xludf.DUMMYFUNCTION("""COMPUTED_VALUE"""),"Tatsuya Miyamoto")</f>
        <v>Tatsuya Miyamoto</v>
      </c>
      <c r="AF596" s="39" t="str">
        <f>IFERROR(__xludf.DUMMYFUNCTION("""COMPUTED_VALUE"""),"TM21Amygdala")</f>
        <v>TM21Amygdala</v>
      </c>
      <c r="AG596" s="39"/>
      <c r="AH596" s="39"/>
      <c r="AI596" s="165"/>
      <c r="AJ596" s="165"/>
      <c r="AK596" s="111"/>
      <c r="AL596" s="111"/>
      <c r="AM596" s="111"/>
      <c r="AN596" s="111"/>
      <c r="AO596" s="111"/>
      <c r="AP596" s="111"/>
      <c r="AQ596" s="116"/>
      <c r="AR596" s="116"/>
      <c r="AS596" s="116"/>
    </row>
    <row r="597">
      <c r="A597" s="42" t="str">
        <f>IFERROR(__xludf.DUMMYFUNCTION("""COMPUTED_VALUE"""),"NLOT")</f>
        <v>NLOT</v>
      </c>
      <c r="B597" s="42"/>
      <c r="C597" s="42"/>
      <c r="D597" s="42" t="str">
        <f>IFERROR(__xludf.DUMMYFUNCTION("""COMPUTED_VALUE"""),"OT")</f>
        <v>OT</v>
      </c>
      <c r="E597" s="42"/>
      <c r="F597" s="42"/>
      <c r="G597" s="42"/>
      <c r="H597" s="42" t="str">
        <f>IFERROR(__xludf.DUMMYFUNCTION("""COMPUTED_VALUE"""),"")</f>
        <v/>
      </c>
      <c r="I597" s="42" t="str">
        <f>IFERROR(__xludf.DUMMYFUNCTION("""COMPUTED_VALUE"""),"Pitkänen, 2000")</f>
        <v>Pitkänen, 2000</v>
      </c>
      <c r="J597" s="42" t="str">
        <f>IFERROR(__xludf.DUMMYFUNCTION("""COMPUTED_VALUE"""),"Rat")</f>
        <v>Rat</v>
      </c>
      <c r="K597" s="42" t="str">
        <f>IFERROR(__xludf.DUMMYFUNCTION("""COMPUTED_VALUE"""),"Various tracing")</f>
        <v>Various tracing</v>
      </c>
      <c r="L597" s="42"/>
      <c r="M597" s="42" t="str">
        <f>IFERROR(__xludf.DUMMYFUNCTION("""COMPUTED_VALUE"""),"fig.3-fig.12 (to be specified)")</f>
        <v>fig.3-fig.12 (to be specified)</v>
      </c>
      <c r="N597" s="42"/>
      <c r="O597" s="31" t="str">
        <f>IFERROR(__xludf.DUMMYFUNCTION("""COMPUTED_VALUE"""),"DOC(alt)")</f>
        <v>DOC(alt)</v>
      </c>
      <c r="P597" s="9" t="str">
        <f>IFERROR(__xludf.DUMMYFUNCTION("""COMPUTED_VALUE"""),"Folia morphologica")</f>
        <v>Folia morphologica</v>
      </c>
      <c r="Q597" s="9" t="str">
        <f>IFERROR(__xludf.DUMMYFUNCTION("""COMPUTED_VALUE"""),"Review")</f>
        <v>Review</v>
      </c>
      <c r="R597" s="179" t="str">
        <f>IFERROR(__xludf.DUMMYFUNCTION("""COMPUTED_VALUE"""),"OT (00/00) [Pitkänen, 2000];
")</f>
        <v>OT (00/00) [Pitkänen, 2000];
</v>
      </c>
      <c r="S597" s="179" t="str">
        <f>IFERROR(__xludf.DUMMYFUNCTION("""COMPUTED_VALUE"""),"NLOTOT")</f>
        <v>NLOTOT</v>
      </c>
      <c r="T597" s="179" t="str">
        <f>IFERROR(__xludf.DUMMYFUNCTION("""COMPUTED_VALUE"""),"[Pitkänen, 2000]")</f>
        <v>[Pitkänen, 2000]</v>
      </c>
      <c r="U597" s="179">
        <f>IFERROR(__xludf.DUMMYFUNCTION("""COMPUTED_VALUE"""),0.0)</f>
        <v>0</v>
      </c>
      <c r="V597" s="180">
        <f>IFERROR(__xludf.DUMMYFUNCTION("""COMPUTED_VALUE"""),0.0)</f>
        <v>0</v>
      </c>
      <c r="W597" s="180">
        <f>IFERROR(__xludf.DUMMYFUNCTION("""COMPUTED_VALUE"""),0.95)</f>
        <v>0.95</v>
      </c>
      <c r="X597" s="42">
        <f>IFERROR(__xludf.DUMMYFUNCTION("""COMPUTED_VALUE"""),0.8)</f>
        <v>0.8</v>
      </c>
      <c r="Y597" s="42">
        <f>IFERROR(__xludf.DUMMYFUNCTION("""COMPUTED_VALUE"""),0.6)</f>
        <v>0.6</v>
      </c>
      <c r="Z597" s="9">
        <f>IFERROR(__xludf.DUMMYFUNCTION("""COMPUTED_VALUE"""),0.9)</f>
        <v>0.9</v>
      </c>
      <c r="AA597" s="181">
        <f>IFERROR(__xludf.DUMMYFUNCTION("""COMPUTED_VALUE"""),0.0)</f>
        <v>0</v>
      </c>
      <c r="AB597" s="181">
        <f>IFERROR(__xludf.DUMMYFUNCTION("""COMPUTED_VALUE"""),0.0)</f>
        <v>0</v>
      </c>
      <c r="AC597" s="179">
        <f>IFERROR(__xludf.DUMMYFUNCTION("""COMPUTED_VALUE"""),0.0)</f>
        <v>0</v>
      </c>
      <c r="AD597" s="165">
        <f>IFERROR(__xludf.DUMMYFUNCTION("""COMPUTED_VALUE"""),0.0)</f>
        <v>0</v>
      </c>
      <c r="AE597" s="39" t="str">
        <f>IFERROR(__xludf.DUMMYFUNCTION("""COMPUTED_VALUE"""),"Tatsuya Miyamoto")</f>
        <v>Tatsuya Miyamoto</v>
      </c>
      <c r="AF597" s="39" t="str">
        <f>IFERROR(__xludf.DUMMYFUNCTION("""COMPUTED_VALUE"""),"TM21Amygdala")</f>
        <v>TM21Amygdala</v>
      </c>
      <c r="AG597" s="39"/>
      <c r="AH597" s="39"/>
      <c r="AI597" s="165"/>
      <c r="AJ597" s="165"/>
      <c r="AK597" s="111"/>
      <c r="AL597" s="111"/>
      <c r="AM597" s="111"/>
      <c r="AN597" s="111"/>
      <c r="AO597" s="111"/>
      <c r="AP597" s="111"/>
      <c r="AQ597" s="116"/>
      <c r="AR597" s="116"/>
      <c r="AS597" s="116"/>
    </row>
    <row r="598">
      <c r="A598" s="42" t="str">
        <f>IFERROR(__xludf.DUMMYFUNCTION("""COMPUTED_VALUE"""),"NLOT")</f>
        <v>NLOT</v>
      </c>
      <c r="B598" s="42"/>
      <c r="C598" s="42"/>
      <c r="D598" s="42" t="str">
        <f>IFERROR(__xludf.DUMMYFUNCTION("""COMPUTED_VALUE"""),"S")</f>
        <v>S</v>
      </c>
      <c r="E598" s="42"/>
      <c r="F598" s="42"/>
      <c r="G598" s="42"/>
      <c r="H598" s="42" t="str">
        <f>IFERROR(__xludf.DUMMYFUNCTION("""COMPUTED_VALUE"""),"")</f>
        <v/>
      </c>
      <c r="I598" s="42" t="str">
        <f>IFERROR(__xludf.DUMMYFUNCTION("""COMPUTED_VALUE"""),"Pitkänen, 2000")</f>
        <v>Pitkänen, 2000</v>
      </c>
      <c r="J598" s="42" t="str">
        <f>IFERROR(__xludf.DUMMYFUNCTION("""COMPUTED_VALUE"""),"Rat")</f>
        <v>Rat</v>
      </c>
      <c r="K598" s="42" t="str">
        <f>IFERROR(__xludf.DUMMYFUNCTION("""COMPUTED_VALUE"""),"Various tracing")</f>
        <v>Various tracing</v>
      </c>
      <c r="L598" s="42"/>
      <c r="M598" s="42" t="str">
        <f>IFERROR(__xludf.DUMMYFUNCTION("""COMPUTED_VALUE"""),"fig.3-fig.12 (to be specified)")</f>
        <v>fig.3-fig.12 (to be specified)</v>
      </c>
      <c r="N598" s="42"/>
      <c r="O598" s="31" t="str">
        <f>IFERROR(__xludf.DUMMYFUNCTION("""COMPUTED_VALUE"""),"DOC(alt)")</f>
        <v>DOC(alt)</v>
      </c>
      <c r="P598" s="9" t="str">
        <f>IFERROR(__xludf.DUMMYFUNCTION("""COMPUTED_VALUE"""),"Folia morphologica")</f>
        <v>Folia morphologica</v>
      </c>
      <c r="Q598" s="9" t="str">
        <f>IFERROR(__xludf.DUMMYFUNCTION("""COMPUTED_VALUE"""),"Review")</f>
        <v>Review</v>
      </c>
      <c r="R598" s="179" t="str">
        <f>IFERROR(__xludf.DUMMYFUNCTION("""COMPUTED_VALUE"""),"S (00/00) [Pitkänen, 2000];
")</f>
        <v>S (00/00) [Pitkänen, 2000];
</v>
      </c>
      <c r="S598" s="179" t="str">
        <f>IFERROR(__xludf.DUMMYFUNCTION("""COMPUTED_VALUE"""),"NLOTS")</f>
        <v>NLOTS</v>
      </c>
      <c r="T598" s="179" t="str">
        <f>IFERROR(__xludf.DUMMYFUNCTION("""COMPUTED_VALUE"""),"[Pitkänen, 2000]")</f>
        <v>[Pitkänen, 2000]</v>
      </c>
      <c r="U598" s="179">
        <f>IFERROR(__xludf.DUMMYFUNCTION("""COMPUTED_VALUE"""),0.0)</f>
        <v>0</v>
      </c>
      <c r="V598" s="180">
        <f>IFERROR(__xludf.DUMMYFUNCTION("""COMPUTED_VALUE"""),0.0)</f>
        <v>0</v>
      </c>
      <c r="W598" s="180">
        <f>IFERROR(__xludf.DUMMYFUNCTION("""COMPUTED_VALUE"""),0.95)</f>
        <v>0.95</v>
      </c>
      <c r="X598" s="42">
        <f>IFERROR(__xludf.DUMMYFUNCTION("""COMPUTED_VALUE"""),0.8)</f>
        <v>0.8</v>
      </c>
      <c r="Y598" s="42">
        <f>IFERROR(__xludf.DUMMYFUNCTION("""COMPUTED_VALUE"""),0.6)</f>
        <v>0.6</v>
      </c>
      <c r="Z598" s="9">
        <f>IFERROR(__xludf.DUMMYFUNCTION("""COMPUTED_VALUE"""),0.9)</f>
        <v>0.9</v>
      </c>
      <c r="AA598" s="181">
        <f>IFERROR(__xludf.DUMMYFUNCTION("""COMPUTED_VALUE"""),0.0)</f>
        <v>0</v>
      </c>
      <c r="AB598" s="181">
        <f>IFERROR(__xludf.DUMMYFUNCTION("""COMPUTED_VALUE"""),0.0)</f>
        <v>0</v>
      </c>
      <c r="AC598" s="179">
        <f>IFERROR(__xludf.DUMMYFUNCTION("""COMPUTED_VALUE"""),0.0)</f>
        <v>0</v>
      </c>
      <c r="AD598" s="165">
        <f>IFERROR(__xludf.DUMMYFUNCTION("""COMPUTED_VALUE"""),0.0)</f>
        <v>0</v>
      </c>
      <c r="AE598" s="39" t="str">
        <f>IFERROR(__xludf.DUMMYFUNCTION("""COMPUTED_VALUE"""),"Tatsuya Miyamoto")</f>
        <v>Tatsuya Miyamoto</v>
      </c>
      <c r="AF598" s="39" t="str">
        <f>IFERROR(__xludf.DUMMYFUNCTION("""COMPUTED_VALUE"""),"TM21Amygdala")</f>
        <v>TM21Amygdala</v>
      </c>
      <c r="AG598" s="39"/>
      <c r="AH598" s="39"/>
      <c r="AI598" s="165"/>
      <c r="AJ598" s="165"/>
      <c r="AK598" s="111"/>
      <c r="AL598" s="111"/>
      <c r="AM598" s="111"/>
      <c r="AN598" s="111"/>
      <c r="AO598" s="111"/>
      <c r="AP598" s="111"/>
      <c r="AQ598" s="116"/>
      <c r="AR598" s="116"/>
      <c r="AS598" s="116"/>
    </row>
    <row r="599">
      <c r="A599" s="42" t="str">
        <f>IFERROR(__xludf.DUMMYFUNCTION("""COMPUTED_VALUE"""),"OT")</f>
        <v>OT</v>
      </c>
      <c r="B599" s="42"/>
      <c r="C599" s="42"/>
      <c r="D599" s="42" t="str">
        <f>IFERROR(__xludf.DUMMYFUNCTION("""COMPUTED_VALUE"""),"BL")</f>
        <v>BL</v>
      </c>
      <c r="E599" s="42"/>
      <c r="F599" s="42"/>
      <c r="G599" s="42"/>
      <c r="H599" s="42" t="str">
        <f>IFERROR(__xludf.DUMMYFUNCTION("""COMPUTED_VALUE"""),"")</f>
        <v/>
      </c>
      <c r="I599" s="42" t="str">
        <f>IFERROR(__xludf.DUMMYFUNCTION("""COMPUTED_VALUE"""),"Pitkänen, 2000")</f>
        <v>Pitkänen, 2000</v>
      </c>
      <c r="J599" s="42" t="str">
        <f>IFERROR(__xludf.DUMMYFUNCTION("""COMPUTED_VALUE"""),"Rat")</f>
        <v>Rat</v>
      </c>
      <c r="K599" s="42" t="str">
        <f>IFERROR(__xludf.DUMMYFUNCTION("""COMPUTED_VALUE"""),"Various tracing")</f>
        <v>Various tracing</v>
      </c>
      <c r="L599" s="42"/>
      <c r="M599" s="42" t="str">
        <f>IFERROR(__xludf.DUMMYFUNCTION("""COMPUTED_VALUE"""),"fig.3-fig.12 (to be specified)")</f>
        <v>fig.3-fig.12 (to be specified)</v>
      </c>
      <c r="N599" s="42"/>
      <c r="O599" s="31" t="str">
        <f>IFERROR(__xludf.DUMMYFUNCTION("""COMPUTED_VALUE"""),"DOC(alt)")</f>
        <v>DOC(alt)</v>
      </c>
      <c r="P599" s="9" t="str">
        <f>IFERROR(__xludf.DUMMYFUNCTION("""COMPUTED_VALUE"""),"Folia morphologica")</f>
        <v>Folia morphologica</v>
      </c>
      <c r="Q599" s="9" t="str">
        <f>IFERROR(__xludf.DUMMYFUNCTION("""COMPUTED_VALUE"""),"Review")</f>
        <v>Review</v>
      </c>
      <c r="R599" s="179" t="str">
        <f>IFERROR(__xludf.DUMMYFUNCTION("""COMPUTED_VALUE"""),"BL (00/00) [Pitkänen, 2000];
")</f>
        <v>BL (00/00) [Pitkänen, 2000];
</v>
      </c>
      <c r="S599" s="179" t="str">
        <f>IFERROR(__xludf.DUMMYFUNCTION("""COMPUTED_VALUE"""),"OTBL")</f>
        <v>OTBL</v>
      </c>
      <c r="T599" s="179" t="str">
        <f>IFERROR(__xludf.DUMMYFUNCTION("""COMPUTED_VALUE"""),"[Pitkänen, 2000]")</f>
        <v>[Pitkänen, 2000]</v>
      </c>
      <c r="U599" s="179">
        <f>IFERROR(__xludf.DUMMYFUNCTION("""COMPUTED_VALUE"""),0.0)</f>
        <v>0</v>
      </c>
      <c r="V599" s="180">
        <f>IFERROR(__xludf.DUMMYFUNCTION("""COMPUTED_VALUE"""),0.0)</f>
        <v>0</v>
      </c>
      <c r="W599" s="180">
        <f>IFERROR(__xludf.DUMMYFUNCTION("""COMPUTED_VALUE"""),0.95)</f>
        <v>0.95</v>
      </c>
      <c r="X599" s="42">
        <f>IFERROR(__xludf.DUMMYFUNCTION("""COMPUTED_VALUE"""),0.8)</f>
        <v>0.8</v>
      </c>
      <c r="Y599" s="42">
        <f>IFERROR(__xludf.DUMMYFUNCTION("""COMPUTED_VALUE"""),0.6)</f>
        <v>0.6</v>
      </c>
      <c r="Z599" s="9">
        <f>IFERROR(__xludf.DUMMYFUNCTION("""COMPUTED_VALUE"""),0.9)</f>
        <v>0.9</v>
      </c>
      <c r="AA599" s="181">
        <f>IFERROR(__xludf.DUMMYFUNCTION("""COMPUTED_VALUE"""),0.0)</f>
        <v>0</v>
      </c>
      <c r="AB599" s="181">
        <f>IFERROR(__xludf.DUMMYFUNCTION("""COMPUTED_VALUE"""),0.0)</f>
        <v>0</v>
      </c>
      <c r="AC599" s="179">
        <f>IFERROR(__xludf.DUMMYFUNCTION("""COMPUTED_VALUE"""),0.0)</f>
        <v>0</v>
      </c>
      <c r="AD599" s="165">
        <f>IFERROR(__xludf.DUMMYFUNCTION("""COMPUTED_VALUE"""),0.0)</f>
        <v>0</v>
      </c>
      <c r="AE599" s="39" t="str">
        <f>IFERROR(__xludf.DUMMYFUNCTION("""COMPUTED_VALUE"""),"Tatsuya Miyamoto")</f>
        <v>Tatsuya Miyamoto</v>
      </c>
      <c r="AF599" s="39" t="str">
        <f>IFERROR(__xludf.DUMMYFUNCTION("""COMPUTED_VALUE"""),"TM21Amygdala")</f>
        <v>TM21Amygdala</v>
      </c>
      <c r="AG599" s="39"/>
      <c r="AH599" s="39"/>
      <c r="AI599" s="165"/>
      <c r="AJ599" s="165"/>
      <c r="AK599" s="111"/>
      <c r="AL599" s="111"/>
      <c r="AM599" s="111"/>
      <c r="AN599" s="111"/>
      <c r="AO599" s="111"/>
      <c r="AP599" s="111"/>
      <c r="AQ599" s="116"/>
      <c r="AR599" s="116"/>
      <c r="AS599" s="116"/>
    </row>
    <row r="600">
      <c r="A600" s="42" t="str">
        <f>IFERROR(__xludf.DUMMYFUNCTION("""COMPUTED_VALUE"""),"OT")</f>
        <v>OT</v>
      </c>
      <c r="B600" s="42"/>
      <c r="C600" s="42"/>
      <c r="D600" s="42" t="str">
        <f>IFERROR(__xludf.DUMMYFUNCTION("""COMPUTED_VALUE"""),"CoP")</f>
        <v>CoP</v>
      </c>
      <c r="E600" s="42"/>
      <c r="F600" s="42"/>
      <c r="G600" s="42"/>
      <c r="H600" s="42" t="str">
        <f>IFERROR(__xludf.DUMMYFUNCTION("""COMPUTED_VALUE"""),"")</f>
        <v/>
      </c>
      <c r="I600" s="42" t="str">
        <f>IFERROR(__xludf.DUMMYFUNCTION("""COMPUTED_VALUE"""),"Pitkänen, 2000")</f>
        <v>Pitkänen, 2000</v>
      </c>
      <c r="J600" s="42" t="str">
        <f>IFERROR(__xludf.DUMMYFUNCTION("""COMPUTED_VALUE"""),"Rat")</f>
        <v>Rat</v>
      </c>
      <c r="K600" s="42" t="str">
        <f>IFERROR(__xludf.DUMMYFUNCTION("""COMPUTED_VALUE"""),"Various tracing")</f>
        <v>Various tracing</v>
      </c>
      <c r="L600" s="42"/>
      <c r="M600" s="42" t="str">
        <f>IFERROR(__xludf.DUMMYFUNCTION("""COMPUTED_VALUE"""),"fig.3-fig.12 (to be specified)")</f>
        <v>fig.3-fig.12 (to be specified)</v>
      </c>
      <c r="N600" s="42"/>
      <c r="O600" s="31" t="str">
        <f>IFERROR(__xludf.DUMMYFUNCTION("""COMPUTED_VALUE"""),"DOC(alt)")</f>
        <v>DOC(alt)</v>
      </c>
      <c r="P600" s="9" t="str">
        <f>IFERROR(__xludf.DUMMYFUNCTION("""COMPUTED_VALUE"""),"Folia morphologica")</f>
        <v>Folia morphologica</v>
      </c>
      <c r="Q600" s="9" t="str">
        <f>IFERROR(__xludf.DUMMYFUNCTION("""COMPUTED_VALUE"""),"Review")</f>
        <v>Review</v>
      </c>
      <c r="R600" s="179" t="str">
        <f>IFERROR(__xludf.DUMMYFUNCTION("""COMPUTED_VALUE"""),"CoP (00/00) [Pitkänen, 2000];
")</f>
        <v>CoP (00/00) [Pitkänen, 2000];
</v>
      </c>
      <c r="S600" s="179" t="str">
        <f>IFERROR(__xludf.DUMMYFUNCTION("""COMPUTED_VALUE"""),"OTCoP")</f>
        <v>OTCoP</v>
      </c>
      <c r="T600" s="179" t="str">
        <f>IFERROR(__xludf.DUMMYFUNCTION("""COMPUTED_VALUE"""),"[Pitkänen, 2000]")</f>
        <v>[Pitkänen, 2000]</v>
      </c>
      <c r="U600" s="179">
        <f>IFERROR(__xludf.DUMMYFUNCTION("""COMPUTED_VALUE"""),0.0)</f>
        <v>0</v>
      </c>
      <c r="V600" s="180">
        <f>IFERROR(__xludf.DUMMYFUNCTION("""COMPUTED_VALUE"""),0.0)</f>
        <v>0</v>
      </c>
      <c r="W600" s="180">
        <f>IFERROR(__xludf.DUMMYFUNCTION("""COMPUTED_VALUE"""),0.95)</f>
        <v>0.95</v>
      </c>
      <c r="X600" s="42">
        <f>IFERROR(__xludf.DUMMYFUNCTION("""COMPUTED_VALUE"""),0.8)</f>
        <v>0.8</v>
      </c>
      <c r="Y600" s="42">
        <f>IFERROR(__xludf.DUMMYFUNCTION("""COMPUTED_VALUE"""),0.6)</f>
        <v>0.6</v>
      </c>
      <c r="Z600" s="9">
        <f>IFERROR(__xludf.DUMMYFUNCTION("""COMPUTED_VALUE"""),0.9)</f>
        <v>0.9</v>
      </c>
      <c r="AA600" s="181">
        <f>IFERROR(__xludf.DUMMYFUNCTION("""COMPUTED_VALUE"""),0.0)</f>
        <v>0</v>
      </c>
      <c r="AB600" s="181">
        <f>IFERROR(__xludf.DUMMYFUNCTION("""COMPUTED_VALUE"""),0.0)</f>
        <v>0</v>
      </c>
      <c r="AC600" s="179">
        <f>IFERROR(__xludf.DUMMYFUNCTION("""COMPUTED_VALUE"""),0.0)</f>
        <v>0</v>
      </c>
      <c r="AD600" s="165">
        <f>IFERROR(__xludf.DUMMYFUNCTION("""COMPUTED_VALUE"""),0.0)</f>
        <v>0</v>
      </c>
      <c r="AE600" s="39" t="str">
        <f>IFERROR(__xludf.DUMMYFUNCTION("""COMPUTED_VALUE"""),"Tatsuya Miyamoto")</f>
        <v>Tatsuya Miyamoto</v>
      </c>
      <c r="AF600" s="39" t="str">
        <f>IFERROR(__xludf.DUMMYFUNCTION("""COMPUTED_VALUE"""),"TM21Amygdala")</f>
        <v>TM21Amygdala</v>
      </c>
      <c r="AG600" s="39"/>
      <c r="AH600" s="39"/>
      <c r="AI600" s="165"/>
      <c r="AJ600" s="165"/>
      <c r="AK600" s="111"/>
      <c r="AL600" s="111"/>
      <c r="AM600" s="111"/>
      <c r="AN600" s="111"/>
      <c r="AO600" s="111"/>
      <c r="AP600" s="111"/>
      <c r="AQ600" s="116"/>
      <c r="AR600" s="116"/>
      <c r="AS600" s="116"/>
    </row>
    <row r="601">
      <c r="A601" s="42" t="str">
        <f>IFERROR(__xludf.DUMMYFUNCTION("""COMPUTED_VALUE"""),"OT")</f>
        <v>OT</v>
      </c>
      <c r="B601" s="42"/>
      <c r="C601" s="42"/>
      <c r="D601" s="42" t="str">
        <f>IFERROR(__xludf.DUMMYFUNCTION("""COMPUTED_VALUE"""),"NLOT")</f>
        <v>NLOT</v>
      </c>
      <c r="E601" s="42"/>
      <c r="F601" s="42"/>
      <c r="G601" s="42"/>
      <c r="H601" s="42" t="str">
        <f>IFERROR(__xludf.DUMMYFUNCTION("""COMPUTED_VALUE"""),"")</f>
        <v/>
      </c>
      <c r="I601" s="42" t="str">
        <f>IFERROR(__xludf.DUMMYFUNCTION("""COMPUTED_VALUE"""),"Pitkänen, 2000")</f>
        <v>Pitkänen, 2000</v>
      </c>
      <c r="J601" s="42" t="str">
        <f>IFERROR(__xludf.DUMMYFUNCTION("""COMPUTED_VALUE"""),"Rat")</f>
        <v>Rat</v>
      </c>
      <c r="K601" s="42" t="str">
        <f>IFERROR(__xludf.DUMMYFUNCTION("""COMPUTED_VALUE"""),"Various tracing")</f>
        <v>Various tracing</v>
      </c>
      <c r="L601" s="42"/>
      <c r="M601" s="42" t="str">
        <f>IFERROR(__xludf.DUMMYFUNCTION("""COMPUTED_VALUE"""),"fig.3-fig.12 (to be specified)")</f>
        <v>fig.3-fig.12 (to be specified)</v>
      </c>
      <c r="N601" s="42"/>
      <c r="O601" s="31" t="str">
        <f>IFERROR(__xludf.DUMMYFUNCTION("""COMPUTED_VALUE"""),"DOC(alt)")</f>
        <v>DOC(alt)</v>
      </c>
      <c r="P601" s="9" t="str">
        <f>IFERROR(__xludf.DUMMYFUNCTION("""COMPUTED_VALUE"""),"Folia morphologica")</f>
        <v>Folia morphologica</v>
      </c>
      <c r="Q601" s="9" t="str">
        <f>IFERROR(__xludf.DUMMYFUNCTION("""COMPUTED_VALUE"""),"Review")</f>
        <v>Review</v>
      </c>
      <c r="R601" s="179" t="str">
        <f>IFERROR(__xludf.DUMMYFUNCTION("""COMPUTED_VALUE"""),"NLOT (00/00) [Pitkänen, 2000];
")</f>
        <v>NLOT (00/00) [Pitkänen, 2000];
</v>
      </c>
      <c r="S601" s="179" t="str">
        <f>IFERROR(__xludf.DUMMYFUNCTION("""COMPUTED_VALUE"""),"OTNLOT")</f>
        <v>OTNLOT</v>
      </c>
      <c r="T601" s="179" t="str">
        <f>IFERROR(__xludf.DUMMYFUNCTION("""COMPUTED_VALUE"""),"[Pitkänen, 2000]")</f>
        <v>[Pitkänen, 2000]</v>
      </c>
      <c r="U601" s="179">
        <f>IFERROR(__xludf.DUMMYFUNCTION("""COMPUTED_VALUE"""),0.0)</f>
        <v>0</v>
      </c>
      <c r="V601" s="180">
        <f>IFERROR(__xludf.DUMMYFUNCTION("""COMPUTED_VALUE"""),0.0)</f>
        <v>0</v>
      </c>
      <c r="W601" s="180">
        <f>IFERROR(__xludf.DUMMYFUNCTION("""COMPUTED_VALUE"""),0.95)</f>
        <v>0.95</v>
      </c>
      <c r="X601" s="42">
        <f>IFERROR(__xludf.DUMMYFUNCTION("""COMPUTED_VALUE"""),0.8)</f>
        <v>0.8</v>
      </c>
      <c r="Y601" s="42">
        <f>IFERROR(__xludf.DUMMYFUNCTION("""COMPUTED_VALUE"""),0.6)</f>
        <v>0.6</v>
      </c>
      <c r="Z601" s="9">
        <f>IFERROR(__xludf.DUMMYFUNCTION("""COMPUTED_VALUE"""),0.9)</f>
        <v>0.9</v>
      </c>
      <c r="AA601" s="181">
        <f>IFERROR(__xludf.DUMMYFUNCTION("""COMPUTED_VALUE"""),0.0)</f>
        <v>0</v>
      </c>
      <c r="AB601" s="181">
        <f>IFERROR(__xludf.DUMMYFUNCTION("""COMPUTED_VALUE"""),0.0)</f>
        <v>0</v>
      </c>
      <c r="AC601" s="179">
        <f>IFERROR(__xludf.DUMMYFUNCTION("""COMPUTED_VALUE"""),0.0)</f>
        <v>0</v>
      </c>
      <c r="AD601" s="165">
        <f>IFERROR(__xludf.DUMMYFUNCTION("""COMPUTED_VALUE"""),0.0)</f>
        <v>0</v>
      </c>
      <c r="AE601" s="39" t="str">
        <f>IFERROR(__xludf.DUMMYFUNCTION("""COMPUTED_VALUE"""),"Tatsuya Miyamoto")</f>
        <v>Tatsuya Miyamoto</v>
      </c>
      <c r="AF601" s="39" t="str">
        <f>IFERROR(__xludf.DUMMYFUNCTION("""COMPUTED_VALUE"""),"TM21Amygdala")</f>
        <v>TM21Amygdala</v>
      </c>
      <c r="AG601" s="39"/>
      <c r="AH601" s="39"/>
      <c r="AI601" s="165"/>
      <c r="AJ601" s="165"/>
      <c r="AK601" s="111"/>
      <c r="AL601" s="111"/>
      <c r="AM601" s="111"/>
      <c r="AN601" s="111"/>
      <c r="AO601" s="111"/>
      <c r="AP601" s="111"/>
      <c r="AQ601" s="116"/>
      <c r="AR601" s="116"/>
      <c r="AS601" s="116"/>
    </row>
    <row r="602">
      <c r="A602" s="42" t="str">
        <f>IFERROR(__xludf.DUMMYFUNCTION("""COMPUTED_VALUE"""),"OT")</f>
        <v>OT</v>
      </c>
      <c r="B602" s="42"/>
      <c r="C602" s="42"/>
      <c r="D602" s="42" t="str">
        <f>IFERROR(__xludf.DUMMYFUNCTION("""COMPUTED_VALUE"""),"PAC")</f>
        <v>PAC</v>
      </c>
      <c r="E602" s="42"/>
      <c r="F602" s="42"/>
      <c r="G602" s="42"/>
      <c r="H602" s="42" t="str">
        <f>IFERROR(__xludf.DUMMYFUNCTION("""COMPUTED_VALUE"""),"")</f>
        <v/>
      </c>
      <c r="I602" s="42" t="str">
        <f>IFERROR(__xludf.DUMMYFUNCTION("""COMPUTED_VALUE"""),"Pitkänen, 2000")</f>
        <v>Pitkänen, 2000</v>
      </c>
      <c r="J602" s="42" t="str">
        <f>IFERROR(__xludf.DUMMYFUNCTION("""COMPUTED_VALUE"""),"Rat")</f>
        <v>Rat</v>
      </c>
      <c r="K602" s="42" t="str">
        <f>IFERROR(__xludf.DUMMYFUNCTION("""COMPUTED_VALUE"""),"Various tracing")</f>
        <v>Various tracing</v>
      </c>
      <c r="L602" s="42"/>
      <c r="M602" s="42" t="str">
        <f>IFERROR(__xludf.DUMMYFUNCTION("""COMPUTED_VALUE"""),"fig.3-fig.12 (to be specified)")</f>
        <v>fig.3-fig.12 (to be specified)</v>
      </c>
      <c r="N602" s="42"/>
      <c r="O602" s="31" t="str">
        <f>IFERROR(__xludf.DUMMYFUNCTION("""COMPUTED_VALUE"""),"DOC(alt)")</f>
        <v>DOC(alt)</v>
      </c>
      <c r="P602" s="9" t="str">
        <f>IFERROR(__xludf.DUMMYFUNCTION("""COMPUTED_VALUE"""),"Folia morphologica")</f>
        <v>Folia morphologica</v>
      </c>
      <c r="Q602" s="9" t="str">
        <f>IFERROR(__xludf.DUMMYFUNCTION("""COMPUTED_VALUE"""),"Review")</f>
        <v>Review</v>
      </c>
      <c r="R602" s="179" t="str">
        <f>IFERROR(__xludf.DUMMYFUNCTION("""COMPUTED_VALUE"""),"PAC (00/00) [Pitkänen, 2000];
")</f>
        <v>PAC (00/00) [Pitkänen, 2000];
</v>
      </c>
      <c r="S602" s="179" t="str">
        <f>IFERROR(__xludf.DUMMYFUNCTION("""COMPUTED_VALUE"""),"OTPAC")</f>
        <v>OTPAC</v>
      </c>
      <c r="T602" s="179" t="str">
        <f>IFERROR(__xludf.DUMMYFUNCTION("""COMPUTED_VALUE"""),"[Pitkänen, 2000]")</f>
        <v>[Pitkänen, 2000]</v>
      </c>
      <c r="U602" s="179">
        <f>IFERROR(__xludf.DUMMYFUNCTION("""COMPUTED_VALUE"""),0.0)</f>
        <v>0</v>
      </c>
      <c r="V602" s="180">
        <f>IFERROR(__xludf.DUMMYFUNCTION("""COMPUTED_VALUE"""),0.0)</f>
        <v>0</v>
      </c>
      <c r="W602" s="180">
        <f>IFERROR(__xludf.DUMMYFUNCTION("""COMPUTED_VALUE"""),0.95)</f>
        <v>0.95</v>
      </c>
      <c r="X602" s="42">
        <f>IFERROR(__xludf.DUMMYFUNCTION("""COMPUTED_VALUE"""),0.8)</f>
        <v>0.8</v>
      </c>
      <c r="Y602" s="42">
        <f>IFERROR(__xludf.DUMMYFUNCTION("""COMPUTED_VALUE"""),0.6)</f>
        <v>0.6</v>
      </c>
      <c r="Z602" s="9">
        <f>IFERROR(__xludf.DUMMYFUNCTION("""COMPUTED_VALUE"""),0.9)</f>
        <v>0.9</v>
      </c>
      <c r="AA602" s="181">
        <f>IFERROR(__xludf.DUMMYFUNCTION("""COMPUTED_VALUE"""),0.0)</f>
        <v>0</v>
      </c>
      <c r="AB602" s="181">
        <f>IFERROR(__xludf.DUMMYFUNCTION("""COMPUTED_VALUE"""),0.0)</f>
        <v>0</v>
      </c>
      <c r="AC602" s="179">
        <f>IFERROR(__xludf.DUMMYFUNCTION("""COMPUTED_VALUE"""),0.0)</f>
        <v>0</v>
      </c>
      <c r="AD602" s="165">
        <f>IFERROR(__xludf.DUMMYFUNCTION("""COMPUTED_VALUE"""),0.0)</f>
        <v>0</v>
      </c>
      <c r="AE602" s="39" t="str">
        <f>IFERROR(__xludf.DUMMYFUNCTION("""COMPUTED_VALUE"""),"Tatsuya Miyamoto")</f>
        <v>Tatsuya Miyamoto</v>
      </c>
      <c r="AF602" s="39" t="str">
        <f>IFERROR(__xludf.DUMMYFUNCTION("""COMPUTED_VALUE"""),"TM21Amygdala")</f>
        <v>TM21Amygdala</v>
      </c>
      <c r="AG602" s="39"/>
      <c r="AH602" s="39"/>
      <c r="AI602" s="165"/>
      <c r="AJ602" s="165"/>
      <c r="AK602" s="111"/>
      <c r="AL602" s="111"/>
      <c r="AM602" s="111"/>
      <c r="AN602" s="111"/>
      <c r="AO602" s="111"/>
      <c r="AP602" s="111"/>
      <c r="AQ602" s="116"/>
      <c r="AR602" s="116"/>
      <c r="AS602" s="116"/>
    </row>
    <row r="603">
      <c r="A603" s="42" t="str">
        <f>IFERROR(__xludf.DUMMYFUNCTION("""COMPUTED_VALUE"""),"p")</f>
        <v>p</v>
      </c>
      <c r="B603" s="42"/>
      <c r="C603" s="42"/>
      <c r="D603" s="42" t="str">
        <f>IFERROR(__xludf.DUMMYFUNCTION("""COMPUTED_VALUE"""),"CbDN")</f>
        <v>CbDN</v>
      </c>
      <c r="E603" s="42"/>
      <c r="F603" s="42"/>
      <c r="G603" s="42"/>
      <c r="H603" s="42" t="str">
        <f>IFERROR(__xludf.DUMMYFUNCTION("""COMPUTED_VALUE"""),"")</f>
        <v/>
      </c>
      <c r="I603" s="42" t="str">
        <f>IFERROR(__xludf.DUMMYFUNCTION("""COMPUTED_VALUE"""),"Wagner, 2020")</f>
        <v>Wagner, 2020</v>
      </c>
      <c r="J603" s="42"/>
      <c r="K603" s="42"/>
      <c r="L603" s="42"/>
      <c r="M603" s="42"/>
      <c r="N603" s="42"/>
      <c r="O603" s="31" t="str">
        <f>IFERROR(__xludf.DUMMYFUNCTION("""COMPUTED_VALUE"""),"DOC")</f>
        <v>DOC</v>
      </c>
      <c r="P603" s="9" t="str">
        <f>IFERROR(__xludf.DUMMYFUNCTION("""COMPUTED_VALUE"""),"Trends in Neurosciences")</f>
        <v>Trends in Neurosciences</v>
      </c>
      <c r="Q603" s="9"/>
      <c r="R603" s="179" t="str">
        <f>IFERROR(__xludf.DUMMYFUNCTION("""COMPUTED_VALUE"""),"CbDN (00/00) [Wagner, 2020];
")</f>
        <v>CbDN (00/00) [Wagner, 2020];
</v>
      </c>
      <c r="S603" s="179" t="str">
        <f>IFERROR(__xludf.DUMMYFUNCTION("""COMPUTED_VALUE"""),"pCbDN")</f>
        <v>pCbDN</v>
      </c>
      <c r="T603" s="179" t="str">
        <f>IFERROR(__xludf.DUMMYFUNCTION("""COMPUTED_VALUE"""),"[Wagner, 2020]")</f>
        <v>[Wagner, 2020]</v>
      </c>
      <c r="U603" s="179">
        <f>IFERROR(__xludf.DUMMYFUNCTION("""COMPUTED_VALUE"""),0.0)</f>
        <v>0</v>
      </c>
      <c r="V603" s="180">
        <f>IFERROR(__xludf.DUMMYFUNCTION("""COMPUTED_VALUE"""),0.0)</f>
        <v>0</v>
      </c>
      <c r="W603" s="180">
        <f>IFERROR(__xludf.DUMMYFUNCTION("""COMPUTED_VALUE"""),0.95)</f>
        <v>0.95</v>
      </c>
      <c r="X603" s="42">
        <f>IFERROR(__xludf.DUMMYFUNCTION("""COMPUTED_VALUE"""),0.0)</f>
        <v>0</v>
      </c>
      <c r="Y603" s="42">
        <f>IFERROR(__xludf.DUMMYFUNCTION("""COMPUTED_VALUE"""),0.0)</f>
        <v>0</v>
      </c>
      <c r="Z603" s="9">
        <f>IFERROR(__xludf.DUMMYFUNCTION("""COMPUTED_VALUE"""),0.0)</f>
        <v>0</v>
      </c>
      <c r="AA603" s="181">
        <f>IFERROR(__xludf.DUMMYFUNCTION("""COMPUTED_VALUE"""),0.0)</f>
        <v>0</v>
      </c>
      <c r="AB603" s="181">
        <f>IFERROR(__xludf.DUMMYFUNCTION("""COMPUTED_VALUE"""),0.0)</f>
        <v>0</v>
      </c>
      <c r="AC603" s="179">
        <f>IFERROR(__xludf.DUMMYFUNCTION("""COMPUTED_VALUE"""),0.0)</f>
        <v>0</v>
      </c>
      <c r="AD603" s="165">
        <f>IFERROR(__xludf.DUMMYFUNCTION("""COMPUTED_VALUE"""),0.0)</f>
        <v>0</v>
      </c>
      <c r="AE603" s="39" t="str">
        <f>IFERROR(__xludf.DUMMYFUNCTION("""COMPUTED_VALUE"""),"Hiroshi Yamakawa")</f>
        <v>Hiroshi Yamakawa</v>
      </c>
      <c r="AF603" s="39" t="str">
        <f>IFERROR(__xludf.DUMMYFUNCTION("""COMPUTED_VALUE"""),"HY20Cerebellum")</f>
        <v>HY20Cerebellum</v>
      </c>
      <c r="AG603" s="39"/>
      <c r="AH603" s="39"/>
      <c r="AI603" s="165"/>
      <c r="AJ603" s="165"/>
      <c r="AK603" s="111"/>
      <c r="AL603" s="111"/>
      <c r="AM603" s="111"/>
      <c r="AN603" s="111"/>
      <c r="AO603" s="111"/>
      <c r="AP603" s="111"/>
      <c r="AQ603" s="116"/>
      <c r="AR603" s="116"/>
      <c r="AS603" s="116"/>
    </row>
    <row r="604">
      <c r="A604" s="42" t="str">
        <f>IFERROR(__xludf.DUMMYFUNCTION("""COMPUTED_VALUE"""),"PAC")</f>
        <v>PAC</v>
      </c>
      <c r="B604" s="42"/>
      <c r="C604" s="42"/>
      <c r="D604" s="42" t="str">
        <f>IFERROR(__xludf.DUMMYFUNCTION("""COMPUTED_VALUE"""),"AIp")</f>
        <v>AIp</v>
      </c>
      <c r="E604" s="42"/>
      <c r="F604" s="42"/>
      <c r="G604" s="42"/>
      <c r="H604" s="42" t="str">
        <f>IFERROR(__xludf.DUMMYFUNCTION("""COMPUTED_VALUE"""),"")</f>
        <v/>
      </c>
      <c r="I604" s="42" t="str">
        <f>IFERROR(__xludf.DUMMYFUNCTION("""COMPUTED_VALUE"""),"Pitkänen, 2000")</f>
        <v>Pitkänen, 2000</v>
      </c>
      <c r="J604" s="42" t="str">
        <f>IFERROR(__xludf.DUMMYFUNCTION("""COMPUTED_VALUE"""),"Rat")</f>
        <v>Rat</v>
      </c>
      <c r="K604" s="42" t="str">
        <f>IFERROR(__xludf.DUMMYFUNCTION("""COMPUTED_VALUE"""),"Various tracing")</f>
        <v>Various tracing</v>
      </c>
      <c r="L604" s="42"/>
      <c r="M604" s="42" t="str">
        <f>IFERROR(__xludf.DUMMYFUNCTION("""COMPUTED_VALUE"""),"fig.3-fig.12 (to be specified)")</f>
        <v>fig.3-fig.12 (to be specified)</v>
      </c>
      <c r="N604" s="42"/>
      <c r="O604" s="31" t="str">
        <f>IFERROR(__xludf.DUMMYFUNCTION("""COMPUTED_VALUE"""),"DOC(alt)")</f>
        <v>DOC(alt)</v>
      </c>
      <c r="P604" s="9" t="str">
        <f>IFERROR(__xludf.DUMMYFUNCTION("""COMPUTED_VALUE"""),"Folia morphologica")</f>
        <v>Folia morphologica</v>
      </c>
      <c r="Q604" s="9" t="str">
        <f>IFERROR(__xludf.DUMMYFUNCTION("""COMPUTED_VALUE"""),"Review")</f>
        <v>Review</v>
      </c>
      <c r="R604" s="179" t="str">
        <f>IFERROR(__xludf.DUMMYFUNCTION("""COMPUTED_VALUE"""),"AIp (00/00) [Pitkänen, 2000];
")</f>
        <v>AIp (00/00) [Pitkänen, 2000];
</v>
      </c>
      <c r="S604" s="179" t="str">
        <f>IFERROR(__xludf.DUMMYFUNCTION("""COMPUTED_VALUE"""),"PACAIp")</f>
        <v>PACAIp</v>
      </c>
      <c r="T604" s="179" t="str">
        <f>IFERROR(__xludf.DUMMYFUNCTION("""COMPUTED_VALUE"""),"[Pitkänen, 2000]")</f>
        <v>[Pitkänen, 2000]</v>
      </c>
      <c r="U604" s="179">
        <f>IFERROR(__xludf.DUMMYFUNCTION("""COMPUTED_VALUE"""),0.0)</f>
        <v>0</v>
      </c>
      <c r="V604" s="180">
        <f>IFERROR(__xludf.DUMMYFUNCTION("""COMPUTED_VALUE"""),0.0)</f>
        <v>0</v>
      </c>
      <c r="W604" s="180">
        <f>IFERROR(__xludf.DUMMYFUNCTION("""COMPUTED_VALUE"""),0.95)</f>
        <v>0.95</v>
      </c>
      <c r="X604" s="42">
        <f>IFERROR(__xludf.DUMMYFUNCTION("""COMPUTED_VALUE"""),0.8)</f>
        <v>0.8</v>
      </c>
      <c r="Y604" s="42">
        <f>IFERROR(__xludf.DUMMYFUNCTION("""COMPUTED_VALUE"""),0.6)</f>
        <v>0.6</v>
      </c>
      <c r="Z604" s="9">
        <f>IFERROR(__xludf.DUMMYFUNCTION("""COMPUTED_VALUE"""),0.9)</f>
        <v>0.9</v>
      </c>
      <c r="AA604" s="181">
        <f>IFERROR(__xludf.DUMMYFUNCTION("""COMPUTED_VALUE"""),0.0)</f>
        <v>0</v>
      </c>
      <c r="AB604" s="181">
        <f>IFERROR(__xludf.DUMMYFUNCTION("""COMPUTED_VALUE"""),0.0)</f>
        <v>0</v>
      </c>
      <c r="AC604" s="179">
        <f>IFERROR(__xludf.DUMMYFUNCTION("""COMPUTED_VALUE"""),0.0)</f>
        <v>0</v>
      </c>
      <c r="AD604" s="165">
        <f>IFERROR(__xludf.DUMMYFUNCTION("""COMPUTED_VALUE"""),0.0)</f>
        <v>0</v>
      </c>
      <c r="AE604" s="39" t="str">
        <f>IFERROR(__xludf.DUMMYFUNCTION("""COMPUTED_VALUE"""),"Tatsuya Miyamoto")</f>
        <v>Tatsuya Miyamoto</v>
      </c>
      <c r="AF604" s="39" t="str">
        <f>IFERROR(__xludf.DUMMYFUNCTION("""COMPUTED_VALUE"""),"TM21Amygdala")</f>
        <v>TM21Amygdala</v>
      </c>
      <c r="AG604" s="39"/>
      <c r="AH604" s="39"/>
      <c r="AI604" s="165"/>
      <c r="AJ604" s="165"/>
      <c r="AK604" s="111"/>
      <c r="AL604" s="111"/>
      <c r="AM604" s="111"/>
      <c r="AN604" s="111"/>
      <c r="AO604" s="111"/>
      <c r="AP604" s="111"/>
      <c r="AQ604" s="116"/>
      <c r="AR604" s="116"/>
      <c r="AS604" s="116"/>
    </row>
    <row r="605">
      <c r="A605" s="42" t="str">
        <f>IFERROR(__xludf.DUMMYFUNCTION("""COMPUTED_VALUE"""),"PAC")</f>
        <v>PAC</v>
      </c>
      <c r="B605" s="42"/>
      <c r="C605" s="42"/>
      <c r="D605" s="42" t="str">
        <f>IFERROR(__xludf.DUMMYFUNCTION("""COMPUTED_VALUE"""),"En")</f>
        <v>En</v>
      </c>
      <c r="E605" s="42"/>
      <c r="F605" s="42"/>
      <c r="G605" s="42"/>
      <c r="H605" s="42" t="str">
        <f>IFERROR(__xludf.DUMMYFUNCTION("""COMPUTED_VALUE"""),"")</f>
        <v/>
      </c>
      <c r="I605" s="42" t="str">
        <f>IFERROR(__xludf.DUMMYFUNCTION("""COMPUTED_VALUE"""),"Pitkänen, 2000")</f>
        <v>Pitkänen, 2000</v>
      </c>
      <c r="J605" s="42" t="str">
        <f>IFERROR(__xludf.DUMMYFUNCTION("""COMPUTED_VALUE"""),"Rat")</f>
        <v>Rat</v>
      </c>
      <c r="K605" s="42" t="str">
        <f>IFERROR(__xludf.DUMMYFUNCTION("""COMPUTED_VALUE"""),"Various tracing")</f>
        <v>Various tracing</v>
      </c>
      <c r="L605" s="42"/>
      <c r="M605" s="42" t="str">
        <f>IFERROR(__xludf.DUMMYFUNCTION("""COMPUTED_VALUE"""),"fig.3-fig.12 (to be specified)")</f>
        <v>fig.3-fig.12 (to be specified)</v>
      </c>
      <c r="N605" s="42"/>
      <c r="O605" s="31" t="str">
        <f>IFERROR(__xludf.DUMMYFUNCTION("""COMPUTED_VALUE"""),"DOC(alt)")</f>
        <v>DOC(alt)</v>
      </c>
      <c r="P605" s="9" t="str">
        <f>IFERROR(__xludf.DUMMYFUNCTION("""COMPUTED_VALUE"""),"Folia morphologica")</f>
        <v>Folia morphologica</v>
      </c>
      <c r="Q605" s="9" t="str">
        <f>IFERROR(__xludf.DUMMYFUNCTION("""COMPUTED_VALUE"""),"Review")</f>
        <v>Review</v>
      </c>
      <c r="R605" s="179" t="str">
        <f>IFERROR(__xludf.DUMMYFUNCTION("""COMPUTED_VALUE"""),"En (00/00) [Pitkänen, 2000];
")</f>
        <v>En (00/00) [Pitkänen, 2000];
</v>
      </c>
      <c r="S605" s="179" t="str">
        <f>IFERROR(__xludf.DUMMYFUNCTION("""COMPUTED_VALUE"""),"PACEn")</f>
        <v>PACEn</v>
      </c>
      <c r="T605" s="179" t="str">
        <f>IFERROR(__xludf.DUMMYFUNCTION("""COMPUTED_VALUE"""),"[Pitkänen, 2000]")</f>
        <v>[Pitkänen, 2000]</v>
      </c>
      <c r="U605" s="179">
        <f>IFERROR(__xludf.DUMMYFUNCTION("""COMPUTED_VALUE"""),0.0)</f>
        <v>0</v>
      </c>
      <c r="V605" s="180">
        <f>IFERROR(__xludf.DUMMYFUNCTION("""COMPUTED_VALUE"""),0.0)</f>
        <v>0</v>
      </c>
      <c r="W605" s="180">
        <f>IFERROR(__xludf.DUMMYFUNCTION("""COMPUTED_VALUE"""),0.95)</f>
        <v>0.95</v>
      </c>
      <c r="X605" s="42">
        <f>IFERROR(__xludf.DUMMYFUNCTION("""COMPUTED_VALUE"""),0.8)</f>
        <v>0.8</v>
      </c>
      <c r="Y605" s="42">
        <f>IFERROR(__xludf.DUMMYFUNCTION("""COMPUTED_VALUE"""),0.6)</f>
        <v>0.6</v>
      </c>
      <c r="Z605" s="9">
        <f>IFERROR(__xludf.DUMMYFUNCTION("""COMPUTED_VALUE"""),0.9)</f>
        <v>0.9</v>
      </c>
      <c r="AA605" s="181">
        <f>IFERROR(__xludf.DUMMYFUNCTION("""COMPUTED_VALUE"""),0.0)</f>
        <v>0</v>
      </c>
      <c r="AB605" s="181">
        <f>IFERROR(__xludf.DUMMYFUNCTION("""COMPUTED_VALUE"""),0.0)</f>
        <v>0</v>
      </c>
      <c r="AC605" s="179">
        <f>IFERROR(__xludf.DUMMYFUNCTION("""COMPUTED_VALUE"""),0.0)</f>
        <v>0</v>
      </c>
      <c r="AD605" s="165">
        <f>IFERROR(__xludf.DUMMYFUNCTION("""COMPUTED_VALUE"""),0.0)</f>
        <v>0</v>
      </c>
      <c r="AE605" s="39" t="str">
        <f>IFERROR(__xludf.DUMMYFUNCTION("""COMPUTED_VALUE"""),"Tatsuya Miyamoto")</f>
        <v>Tatsuya Miyamoto</v>
      </c>
      <c r="AF605" s="39" t="str">
        <f>IFERROR(__xludf.DUMMYFUNCTION("""COMPUTED_VALUE"""),"TM21Amygdala")</f>
        <v>TM21Amygdala</v>
      </c>
      <c r="AG605" s="39"/>
      <c r="AH605" s="39"/>
      <c r="AI605" s="165"/>
      <c r="AJ605" s="165"/>
      <c r="AK605" s="111"/>
      <c r="AL605" s="111"/>
      <c r="AM605" s="111"/>
      <c r="AN605" s="111"/>
      <c r="AO605" s="111"/>
      <c r="AP605" s="111"/>
      <c r="AQ605" s="116"/>
      <c r="AR605" s="116"/>
      <c r="AS605" s="116"/>
    </row>
    <row r="606">
      <c r="A606" s="42" t="str">
        <f>IFERROR(__xludf.DUMMYFUNCTION("""COMPUTED_VALUE"""),"PAC")</f>
        <v>PAC</v>
      </c>
      <c r="B606" s="42"/>
      <c r="C606" s="42"/>
      <c r="D606" s="42" t="str">
        <f>IFERROR(__xludf.DUMMYFUNCTION("""COMPUTED_VALUE"""),"IL")</f>
        <v>IL</v>
      </c>
      <c r="E606" s="42"/>
      <c r="F606" s="42"/>
      <c r="G606" s="42"/>
      <c r="H606" s="42" t="str">
        <f>IFERROR(__xludf.DUMMYFUNCTION("""COMPUTED_VALUE"""),"")</f>
        <v/>
      </c>
      <c r="I606" s="42" t="str">
        <f>IFERROR(__xludf.DUMMYFUNCTION("""COMPUTED_VALUE"""),"Pitkänen, 2000")</f>
        <v>Pitkänen, 2000</v>
      </c>
      <c r="J606" s="42" t="str">
        <f>IFERROR(__xludf.DUMMYFUNCTION("""COMPUTED_VALUE"""),"Rat")</f>
        <v>Rat</v>
      </c>
      <c r="K606" s="42" t="str">
        <f>IFERROR(__xludf.DUMMYFUNCTION("""COMPUTED_VALUE"""),"Various tracing")</f>
        <v>Various tracing</v>
      </c>
      <c r="L606" s="42"/>
      <c r="M606" s="42" t="str">
        <f>IFERROR(__xludf.DUMMYFUNCTION("""COMPUTED_VALUE"""),"fig.3-fig.12 (to be specified)")</f>
        <v>fig.3-fig.12 (to be specified)</v>
      </c>
      <c r="N606" s="42"/>
      <c r="O606" s="31" t="str">
        <f>IFERROR(__xludf.DUMMYFUNCTION("""COMPUTED_VALUE"""),"DOC(alt)")</f>
        <v>DOC(alt)</v>
      </c>
      <c r="P606" s="9" t="str">
        <f>IFERROR(__xludf.DUMMYFUNCTION("""COMPUTED_VALUE"""),"Folia morphologica")</f>
        <v>Folia morphologica</v>
      </c>
      <c r="Q606" s="9" t="str">
        <f>IFERROR(__xludf.DUMMYFUNCTION("""COMPUTED_VALUE"""),"Review")</f>
        <v>Review</v>
      </c>
      <c r="R606" s="179" t="str">
        <f>IFERROR(__xludf.DUMMYFUNCTION("""COMPUTED_VALUE"""),"IL (00/00) [Pitkänen, 2000];
")</f>
        <v>IL (00/00) [Pitkänen, 2000];
</v>
      </c>
      <c r="S606" s="179" t="str">
        <f>IFERROR(__xludf.DUMMYFUNCTION("""COMPUTED_VALUE"""),"PACIL")</f>
        <v>PACIL</v>
      </c>
      <c r="T606" s="179" t="str">
        <f>IFERROR(__xludf.DUMMYFUNCTION("""COMPUTED_VALUE"""),"[Pitkänen, 2000]")</f>
        <v>[Pitkänen, 2000]</v>
      </c>
      <c r="U606" s="179">
        <f>IFERROR(__xludf.DUMMYFUNCTION("""COMPUTED_VALUE"""),0.0)</f>
        <v>0</v>
      </c>
      <c r="V606" s="180">
        <f>IFERROR(__xludf.DUMMYFUNCTION("""COMPUTED_VALUE"""),0.0)</f>
        <v>0</v>
      </c>
      <c r="W606" s="180">
        <f>IFERROR(__xludf.DUMMYFUNCTION("""COMPUTED_VALUE"""),0.95)</f>
        <v>0.95</v>
      </c>
      <c r="X606" s="42">
        <f>IFERROR(__xludf.DUMMYFUNCTION("""COMPUTED_VALUE"""),0.8)</f>
        <v>0.8</v>
      </c>
      <c r="Y606" s="42">
        <f>IFERROR(__xludf.DUMMYFUNCTION("""COMPUTED_VALUE"""),0.6)</f>
        <v>0.6</v>
      </c>
      <c r="Z606" s="9">
        <f>IFERROR(__xludf.DUMMYFUNCTION("""COMPUTED_VALUE"""),0.9)</f>
        <v>0.9</v>
      </c>
      <c r="AA606" s="181">
        <f>IFERROR(__xludf.DUMMYFUNCTION("""COMPUTED_VALUE"""),0.0)</f>
        <v>0</v>
      </c>
      <c r="AB606" s="181">
        <f>IFERROR(__xludf.DUMMYFUNCTION("""COMPUTED_VALUE"""),0.0)</f>
        <v>0</v>
      </c>
      <c r="AC606" s="179">
        <f>IFERROR(__xludf.DUMMYFUNCTION("""COMPUTED_VALUE"""),0.0)</f>
        <v>0</v>
      </c>
      <c r="AD606" s="165">
        <f>IFERROR(__xludf.DUMMYFUNCTION("""COMPUTED_VALUE"""),0.0)</f>
        <v>0</v>
      </c>
      <c r="AE606" s="39" t="str">
        <f>IFERROR(__xludf.DUMMYFUNCTION("""COMPUTED_VALUE"""),"Tatsuya Miyamoto")</f>
        <v>Tatsuya Miyamoto</v>
      </c>
      <c r="AF606" s="39" t="str">
        <f>IFERROR(__xludf.DUMMYFUNCTION("""COMPUTED_VALUE"""),"TM21Amygdala")</f>
        <v>TM21Amygdala</v>
      </c>
      <c r="AG606" s="39"/>
      <c r="AH606" s="39"/>
      <c r="AI606" s="165"/>
      <c r="AJ606" s="165"/>
      <c r="AK606" s="111"/>
      <c r="AL606" s="111"/>
      <c r="AM606" s="111"/>
      <c r="AN606" s="111"/>
      <c r="AO606" s="111"/>
      <c r="AP606" s="111"/>
      <c r="AQ606" s="116"/>
      <c r="AR606" s="116"/>
      <c r="AS606" s="116"/>
    </row>
    <row r="607">
      <c r="A607" s="42" t="str">
        <f>IFERROR(__xludf.DUMMYFUNCTION("""COMPUTED_VALUE"""),"PAC")</f>
        <v>PAC</v>
      </c>
      <c r="B607" s="42"/>
      <c r="C607" s="42"/>
      <c r="D607" s="42" t="str">
        <f>IFERROR(__xludf.DUMMYFUNCTION("""COMPUTED_VALUE"""),"NDB")</f>
        <v>NDB</v>
      </c>
      <c r="E607" s="42"/>
      <c r="F607" s="42"/>
      <c r="G607" s="42"/>
      <c r="H607" s="42" t="str">
        <f>IFERROR(__xludf.DUMMYFUNCTION("""COMPUTED_VALUE"""),"")</f>
        <v/>
      </c>
      <c r="I607" s="42" t="str">
        <f>IFERROR(__xludf.DUMMYFUNCTION("""COMPUTED_VALUE"""),"Pitkänen, 2000")</f>
        <v>Pitkänen, 2000</v>
      </c>
      <c r="J607" s="42" t="str">
        <f>IFERROR(__xludf.DUMMYFUNCTION("""COMPUTED_VALUE"""),"Rat")</f>
        <v>Rat</v>
      </c>
      <c r="K607" s="42" t="str">
        <f>IFERROR(__xludf.DUMMYFUNCTION("""COMPUTED_VALUE"""),"Various tracing")</f>
        <v>Various tracing</v>
      </c>
      <c r="L607" s="42"/>
      <c r="M607" s="42" t="str">
        <f>IFERROR(__xludf.DUMMYFUNCTION("""COMPUTED_VALUE"""),"fig.3-fig.12 (to be specified)")</f>
        <v>fig.3-fig.12 (to be specified)</v>
      </c>
      <c r="N607" s="42"/>
      <c r="O607" s="31" t="str">
        <f>IFERROR(__xludf.DUMMYFUNCTION("""COMPUTED_VALUE"""),"DOC(alt)")</f>
        <v>DOC(alt)</v>
      </c>
      <c r="P607" s="9" t="str">
        <f>IFERROR(__xludf.DUMMYFUNCTION("""COMPUTED_VALUE"""),"Folia morphologica")</f>
        <v>Folia morphologica</v>
      </c>
      <c r="Q607" s="9" t="str">
        <f>IFERROR(__xludf.DUMMYFUNCTION("""COMPUTED_VALUE"""),"Review")</f>
        <v>Review</v>
      </c>
      <c r="R607" s="179" t="str">
        <f>IFERROR(__xludf.DUMMYFUNCTION("""COMPUTED_VALUE"""),"NDB (00/00) [Pitkänen, 2000];
")</f>
        <v>NDB (00/00) [Pitkänen, 2000];
</v>
      </c>
      <c r="S607" s="179" t="str">
        <f>IFERROR(__xludf.DUMMYFUNCTION("""COMPUTED_VALUE"""),"PACNDB")</f>
        <v>PACNDB</v>
      </c>
      <c r="T607" s="179" t="str">
        <f>IFERROR(__xludf.DUMMYFUNCTION("""COMPUTED_VALUE"""),"[Pitkänen, 2000]")</f>
        <v>[Pitkänen, 2000]</v>
      </c>
      <c r="U607" s="179">
        <f>IFERROR(__xludf.DUMMYFUNCTION("""COMPUTED_VALUE"""),0.0)</f>
        <v>0</v>
      </c>
      <c r="V607" s="180">
        <f>IFERROR(__xludf.DUMMYFUNCTION("""COMPUTED_VALUE"""),0.0)</f>
        <v>0</v>
      </c>
      <c r="W607" s="180">
        <f>IFERROR(__xludf.DUMMYFUNCTION("""COMPUTED_VALUE"""),0.95)</f>
        <v>0.95</v>
      </c>
      <c r="X607" s="42">
        <f>IFERROR(__xludf.DUMMYFUNCTION("""COMPUTED_VALUE"""),0.8)</f>
        <v>0.8</v>
      </c>
      <c r="Y607" s="42">
        <f>IFERROR(__xludf.DUMMYFUNCTION("""COMPUTED_VALUE"""),0.6)</f>
        <v>0.6</v>
      </c>
      <c r="Z607" s="9">
        <f>IFERROR(__xludf.DUMMYFUNCTION("""COMPUTED_VALUE"""),0.9)</f>
        <v>0.9</v>
      </c>
      <c r="AA607" s="181">
        <f>IFERROR(__xludf.DUMMYFUNCTION("""COMPUTED_VALUE"""),0.0)</f>
        <v>0</v>
      </c>
      <c r="AB607" s="181">
        <f>IFERROR(__xludf.DUMMYFUNCTION("""COMPUTED_VALUE"""),0.0)</f>
        <v>0</v>
      </c>
      <c r="AC607" s="179">
        <f>IFERROR(__xludf.DUMMYFUNCTION("""COMPUTED_VALUE"""),0.0)</f>
        <v>0</v>
      </c>
      <c r="AD607" s="165">
        <f>IFERROR(__xludf.DUMMYFUNCTION("""COMPUTED_VALUE"""),0.0)</f>
        <v>0</v>
      </c>
      <c r="AE607" s="39" t="str">
        <f>IFERROR(__xludf.DUMMYFUNCTION("""COMPUTED_VALUE"""),"Tatsuya Miyamoto")</f>
        <v>Tatsuya Miyamoto</v>
      </c>
      <c r="AF607" s="39" t="str">
        <f>IFERROR(__xludf.DUMMYFUNCTION("""COMPUTED_VALUE"""),"TM21Amygdala")</f>
        <v>TM21Amygdala</v>
      </c>
      <c r="AG607" s="39"/>
      <c r="AH607" s="39"/>
      <c r="AI607" s="165"/>
      <c r="AJ607" s="165"/>
      <c r="AK607" s="111"/>
      <c r="AL607" s="111"/>
      <c r="AM607" s="111"/>
      <c r="AN607" s="111"/>
      <c r="AO607" s="111"/>
      <c r="AP607" s="111"/>
      <c r="AQ607" s="116"/>
      <c r="AR607" s="116"/>
      <c r="AS607" s="116"/>
    </row>
    <row r="608">
      <c r="A608" s="42" t="str">
        <f>IFERROR(__xludf.DUMMYFUNCTION("""COMPUTED_VALUE"""),"PAC")</f>
        <v>PAC</v>
      </c>
      <c r="B608" s="42"/>
      <c r="C608" s="42"/>
      <c r="D608" s="42" t="str">
        <f>IFERROR(__xludf.DUMMYFUNCTION("""COMPUTED_VALUE"""),"Pir")</f>
        <v>Pir</v>
      </c>
      <c r="E608" s="42"/>
      <c r="F608" s="42"/>
      <c r="G608" s="42"/>
      <c r="H608" s="42" t="str">
        <f>IFERROR(__xludf.DUMMYFUNCTION("""COMPUTED_VALUE"""),"")</f>
        <v/>
      </c>
      <c r="I608" s="42" t="str">
        <f>IFERROR(__xludf.DUMMYFUNCTION("""COMPUTED_VALUE"""),"Pitkänen, 2000")</f>
        <v>Pitkänen, 2000</v>
      </c>
      <c r="J608" s="42" t="str">
        <f>IFERROR(__xludf.DUMMYFUNCTION("""COMPUTED_VALUE"""),"Rat")</f>
        <v>Rat</v>
      </c>
      <c r="K608" s="42" t="str">
        <f>IFERROR(__xludf.DUMMYFUNCTION("""COMPUTED_VALUE"""),"Various tracing")</f>
        <v>Various tracing</v>
      </c>
      <c r="L608" s="42"/>
      <c r="M608" s="42" t="str">
        <f>IFERROR(__xludf.DUMMYFUNCTION("""COMPUTED_VALUE"""),"fig.3-fig.12 (to be specified)")</f>
        <v>fig.3-fig.12 (to be specified)</v>
      </c>
      <c r="N608" s="42"/>
      <c r="O608" s="31" t="str">
        <f>IFERROR(__xludf.DUMMYFUNCTION("""COMPUTED_VALUE"""),"DOC(alt)")</f>
        <v>DOC(alt)</v>
      </c>
      <c r="P608" s="9" t="str">
        <f>IFERROR(__xludf.DUMMYFUNCTION("""COMPUTED_VALUE"""),"Folia morphologica")</f>
        <v>Folia morphologica</v>
      </c>
      <c r="Q608" s="9" t="str">
        <f>IFERROR(__xludf.DUMMYFUNCTION("""COMPUTED_VALUE"""),"Review")</f>
        <v>Review</v>
      </c>
      <c r="R608" s="179" t="str">
        <f>IFERROR(__xludf.DUMMYFUNCTION("""COMPUTED_VALUE"""),"Pir (00/00) [Pitkänen, 2000];
")</f>
        <v>Pir (00/00) [Pitkänen, 2000];
</v>
      </c>
      <c r="S608" s="179" t="str">
        <f>IFERROR(__xludf.DUMMYFUNCTION("""COMPUTED_VALUE"""),"PACPir")</f>
        <v>PACPir</v>
      </c>
      <c r="T608" s="179" t="str">
        <f>IFERROR(__xludf.DUMMYFUNCTION("""COMPUTED_VALUE"""),"[Pitkänen, 2000]")</f>
        <v>[Pitkänen, 2000]</v>
      </c>
      <c r="U608" s="179">
        <f>IFERROR(__xludf.DUMMYFUNCTION("""COMPUTED_VALUE"""),0.0)</f>
        <v>0</v>
      </c>
      <c r="V608" s="180">
        <f>IFERROR(__xludf.DUMMYFUNCTION("""COMPUTED_VALUE"""),0.0)</f>
        <v>0</v>
      </c>
      <c r="W608" s="180">
        <f>IFERROR(__xludf.DUMMYFUNCTION("""COMPUTED_VALUE"""),0.95)</f>
        <v>0.95</v>
      </c>
      <c r="X608" s="42">
        <f>IFERROR(__xludf.DUMMYFUNCTION("""COMPUTED_VALUE"""),0.8)</f>
        <v>0.8</v>
      </c>
      <c r="Y608" s="42">
        <f>IFERROR(__xludf.DUMMYFUNCTION("""COMPUTED_VALUE"""),0.6)</f>
        <v>0.6</v>
      </c>
      <c r="Z608" s="9">
        <f>IFERROR(__xludf.DUMMYFUNCTION("""COMPUTED_VALUE"""),0.9)</f>
        <v>0.9</v>
      </c>
      <c r="AA608" s="181">
        <f>IFERROR(__xludf.DUMMYFUNCTION("""COMPUTED_VALUE"""),0.0)</f>
        <v>0</v>
      </c>
      <c r="AB608" s="181">
        <f>IFERROR(__xludf.DUMMYFUNCTION("""COMPUTED_VALUE"""),0.0)</f>
        <v>0</v>
      </c>
      <c r="AC608" s="179">
        <f>IFERROR(__xludf.DUMMYFUNCTION("""COMPUTED_VALUE"""),0.0)</f>
        <v>0</v>
      </c>
      <c r="AD608" s="165">
        <f>IFERROR(__xludf.DUMMYFUNCTION("""COMPUTED_VALUE"""),0.0)</f>
        <v>0</v>
      </c>
      <c r="AE608" s="39" t="str">
        <f>IFERROR(__xludf.DUMMYFUNCTION("""COMPUTED_VALUE"""),"Tatsuya Miyamoto")</f>
        <v>Tatsuya Miyamoto</v>
      </c>
      <c r="AF608" s="39" t="str">
        <f>IFERROR(__xludf.DUMMYFUNCTION("""COMPUTED_VALUE"""),"TM21Amygdala")</f>
        <v>TM21Amygdala</v>
      </c>
      <c r="AG608" s="39"/>
      <c r="AH608" s="39"/>
      <c r="AI608" s="165"/>
      <c r="AJ608" s="165"/>
      <c r="AK608" s="111"/>
      <c r="AL608" s="111"/>
      <c r="AM608" s="111"/>
      <c r="AN608" s="111"/>
      <c r="AO608" s="111"/>
      <c r="AP608" s="111"/>
      <c r="AQ608" s="116"/>
      <c r="AR608" s="116"/>
      <c r="AS608" s="116"/>
    </row>
    <row r="609">
      <c r="A609" s="42" t="str">
        <f>IFERROR(__xludf.DUMMYFUNCTION("""COMPUTED_VALUE"""),"PAC")</f>
        <v>PAC</v>
      </c>
      <c r="B609" s="42"/>
      <c r="C609" s="42"/>
      <c r="D609" s="42" t="str">
        <f>IFERROR(__xludf.DUMMYFUNCTION("""COMPUTED_VALUE"""),"PRCd")</f>
        <v>PRCd</v>
      </c>
      <c r="E609" s="42"/>
      <c r="F609" s="42"/>
      <c r="G609" s="42"/>
      <c r="H609" s="42" t="str">
        <f>IFERROR(__xludf.DUMMYFUNCTION("""COMPUTED_VALUE"""),"")</f>
        <v/>
      </c>
      <c r="I609" s="42" t="str">
        <f>IFERROR(__xludf.DUMMYFUNCTION("""COMPUTED_VALUE"""),"Pitkänen, 2000")</f>
        <v>Pitkänen, 2000</v>
      </c>
      <c r="J609" s="42" t="str">
        <f>IFERROR(__xludf.DUMMYFUNCTION("""COMPUTED_VALUE"""),"Rat")</f>
        <v>Rat</v>
      </c>
      <c r="K609" s="42" t="str">
        <f>IFERROR(__xludf.DUMMYFUNCTION("""COMPUTED_VALUE"""),"Various tracing")</f>
        <v>Various tracing</v>
      </c>
      <c r="L609" s="42"/>
      <c r="M609" s="42" t="str">
        <f>IFERROR(__xludf.DUMMYFUNCTION("""COMPUTED_VALUE"""),"fig.3-fig.12 (to be specified)")</f>
        <v>fig.3-fig.12 (to be specified)</v>
      </c>
      <c r="N609" s="42"/>
      <c r="O609" s="31" t="str">
        <f>IFERROR(__xludf.DUMMYFUNCTION("""COMPUTED_VALUE"""),"DOC(alt)")</f>
        <v>DOC(alt)</v>
      </c>
      <c r="P609" s="9" t="str">
        <f>IFERROR(__xludf.DUMMYFUNCTION("""COMPUTED_VALUE"""),"Folia morphologica")</f>
        <v>Folia morphologica</v>
      </c>
      <c r="Q609" s="9" t="str">
        <f>IFERROR(__xludf.DUMMYFUNCTION("""COMPUTED_VALUE"""),"Review")</f>
        <v>Review</v>
      </c>
      <c r="R609" s="179" t="str">
        <f>IFERROR(__xludf.DUMMYFUNCTION("""COMPUTED_VALUE"""),"PRCd (00/00) [Pitkänen, 2000];
")</f>
        <v>PRCd (00/00) [Pitkänen, 2000];
</v>
      </c>
      <c r="S609" s="179" t="str">
        <f>IFERROR(__xludf.DUMMYFUNCTION("""COMPUTED_VALUE"""),"PACPRCd")</f>
        <v>PACPRCd</v>
      </c>
      <c r="T609" s="179" t="str">
        <f>IFERROR(__xludf.DUMMYFUNCTION("""COMPUTED_VALUE"""),"[Pitkänen, 2000]")</f>
        <v>[Pitkänen, 2000]</v>
      </c>
      <c r="U609" s="179">
        <f>IFERROR(__xludf.DUMMYFUNCTION("""COMPUTED_VALUE"""),0.0)</f>
        <v>0</v>
      </c>
      <c r="V609" s="180">
        <f>IFERROR(__xludf.DUMMYFUNCTION("""COMPUTED_VALUE"""),0.0)</f>
        <v>0</v>
      </c>
      <c r="W609" s="180">
        <f>IFERROR(__xludf.DUMMYFUNCTION("""COMPUTED_VALUE"""),0.95)</f>
        <v>0.95</v>
      </c>
      <c r="X609" s="42">
        <f>IFERROR(__xludf.DUMMYFUNCTION("""COMPUTED_VALUE"""),0.8)</f>
        <v>0.8</v>
      </c>
      <c r="Y609" s="42">
        <f>IFERROR(__xludf.DUMMYFUNCTION("""COMPUTED_VALUE"""),0.6)</f>
        <v>0.6</v>
      </c>
      <c r="Z609" s="9">
        <f>IFERROR(__xludf.DUMMYFUNCTION("""COMPUTED_VALUE"""),0.9)</f>
        <v>0.9</v>
      </c>
      <c r="AA609" s="181">
        <f>IFERROR(__xludf.DUMMYFUNCTION("""COMPUTED_VALUE"""),0.0)</f>
        <v>0</v>
      </c>
      <c r="AB609" s="181">
        <f>IFERROR(__xludf.DUMMYFUNCTION("""COMPUTED_VALUE"""),0.0)</f>
        <v>0</v>
      </c>
      <c r="AC609" s="179">
        <f>IFERROR(__xludf.DUMMYFUNCTION("""COMPUTED_VALUE"""),0.0)</f>
        <v>0</v>
      </c>
      <c r="AD609" s="165">
        <f>IFERROR(__xludf.DUMMYFUNCTION("""COMPUTED_VALUE"""),0.0)</f>
        <v>0</v>
      </c>
      <c r="AE609" s="39" t="str">
        <f>IFERROR(__xludf.DUMMYFUNCTION("""COMPUTED_VALUE"""),"Tatsuya Miyamoto")</f>
        <v>Tatsuya Miyamoto</v>
      </c>
      <c r="AF609" s="39" t="str">
        <f>IFERROR(__xludf.DUMMYFUNCTION("""COMPUTED_VALUE"""),"TM21Amygdala")</f>
        <v>TM21Amygdala</v>
      </c>
      <c r="AG609" s="39"/>
      <c r="AH609" s="39"/>
      <c r="AI609" s="165"/>
      <c r="AJ609" s="165"/>
      <c r="AK609" s="111"/>
      <c r="AL609" s="111"/>
      <c r="AM609" s="111"/>
      <c r="AN609" s="111"/>
      <c r="AO609" s="111"/>
      <c r="AP609" s="111"/>
      <c r="AQ609" s="116"/>
      <c r="AR609" s="116"/>
      <c r="AS609" s="116"/>
    </row>
    <row r="610">
      <c r="A610" s="42" t="str">
        <f>IFERROR(__xludf.DUMMYFUNCTION("""COMPUTED_VALUE"""),"PAC")</f>
        <v>PAC</v>
      </c>
      <c r="B610" s="42"/>
      <c r="C610" s="42"/>
      <c r="D610" s="42" t="str">
        <f>IFERROR(__xludf.DUMMYFUNCTION("""COMPUTED_VALUE"""),"PRCv")</f>
        <v>PRCv</v>
      </c>
      <c r="E610" s="42"/>
      <c r="F610" s="42"/>
      <c r="G610" s="42"/>
      <c r="H610" s="42" t="str">
        <f>IFERROR(__xludf.DUMMYFUNCTION("""COMPUTED_VALUE"""),"")</f>
        <v/>
      </c>
      <c r="I610" s="42" t="str">
        <f>IFERROR(__xludf.DUMMYFUNCTION("""COMPUTED_VALUE"""),"Pitkänen, 2000")</f>
        <v>Pitkänen, 2000</v>
      </c>
      <c r="J610" s="42" t="str">
        <f>IFERROR(__xludf.DUMMYFUNCTION("""COMPUTED_VALUE"""),"Rat")</f>
        <v>Rat</v>
      </c>
      <c r="K610" s="180" t="str">
        <f>IFERROR(__xludf.DUMMYFUNCTION("""COMPUTED_VALUE"""),"Various tracing")</f>
        <v>Various tracing</v>
      </c>
      <c r="L610" s="42"/>
      <c r="M610" s="42" t="str">
        <f>IFERROR(__xludf.DUMMYFUNCTION("""COMPUTED_VALUE"""),"fig.3-fig.12 (to be specified)")</f>
        <v>fig.3-fig.12 (to be specified)</v>
      </c>
      <c r="N610" s="42"/>
      <c r="O610" s="31" t="str">
        <f>IFERROR(__xludf.DUMMYFUNCTION("""COMPUTED_VALUE"""),"DOC(alt)")</f>
        <v>DOC(alt)</v>
      </c>
      <c r="P610" s="9" t="str">
        <f>IFERROR(__xludf.DUMMYFUNCTION("""COMPUTED_VALUE"""),"Folia morphologica")</f>
        <v>Folia morphologica</v>
      </c>
      <c r="Q610" s="9" t="str">
        <f>IFERROR(__xludf.DUMMYFUNCTION("""COMPUTED_VALUE"""),"Review")</f>
        <v>Review</v>
      </c>
      <c r="R610" s="179" t="str">
        <f>IFERROR(__xludf.DUMMYFUNCTION("""COMPUTED_VALUE"""),"PRCv (00/00) [Pitkänen, 2000];
")</f>
        <v>PRCv (00/00) [Pitkänen, 2000];
</v>
      </c>
      <c r="S610" s="179" t="str">
        <f>IFERROR(__xludf.DUMMYFUNCTION("""COMPUTED_VALUE"""),"PACPRCv")</f>
        <v>PACPRCv</v>
      </c>
      <c r="T610" s="179" t="str">
        <f>IFERROR(__xludf.DUMMYFUNCTION("""COMPUTED_VALUE"""),"[Pitkänen, 2000]")</f>
        <v>[Pitkänen, 2000]</v>
      </c>
      <c r="U610" s="179">
        <f>IFERROR(__xludf.DUMMYFUNCTION("""COMPUTED_VALUE"""),0.0)</f>
        <v>0</v>
      </c>
      <c r="V610" s="180">
        <f>IFERROR(__xludf.DUMMYFUNCTION("""COMPUTED_VALUE"""),0.0)</f>
        <v>0</v>
      </c>
      <c r="W610" s="180">
        <f>IFERROR(__xludf.DUMMYFUNCTION("""COMPUTED_VALUE"""),0.95)</f>
        <v>0.95</v>
      </c>
      <c r="X610" s="42">
        <f>IFERROR(__xludf.DUMMYFUNCTION("""COMPUTED_VALUE"""),0.8)</f>
        <v>0.8</v>
      </c>
      <c r="Y610" s="42">
        <f>IFERROR(__xludf.DUMMYFUNCTION("""COMPUTED_VALUE"""),0.6)</f>
        <v>0.6</v>
      </c>
      <c r="Z610" s="9">
        <f>IFERROR(__xludf.DUMMYFUNCTION("""COMPUTED_VALUE"""),0.9)</f>
        <v>0.9</v>
      </c>
      <c r="AA610" s="181">
        <f>IFERROR(__xludf.DUMMYFUNCTION("""COMPUTED_VALUE"""),0.0)</f>
        <v>0</v>
      </c>
      <c r="AB610" s="181">
        <f>IFERROR(__xludf.DUMMYFUNCTION("""COMPUTED_VALUE"""),0.0)</f>
        <v>0</v>
      </c>
      <c r="AC610" s="179">
        <f>IFERROR(__xludf.DUMMYFUNCTION("""COMPUTED_VALUE"""),0.0)</f>
        <v>0</v>
      </c>
      <c r="AD610" s="165">
        <f>IFERROR(__xludf.DUMMYFUNCTION("""COMPUTED_VALUE"""),0.0)</f>
        <v>0</v>
      </c>
      <c r="AE610" s="39" t="str">
        <f>IFERROR(__xludf.DUMMYFUNCTION("""COMPUTED_VALUE"""),"Tatsuya Miyamoto")</f>
        <v>Tatsuya Miyamoto</v>
      </c>
      <c r="AF610" s="39" t="str">
        <f>IFERROR(__xludf.DUMMYFUNCTION("""COMPUTED_VALUE"""),"TM21Amygdala")</f>
        <v>TM21Amygdala</v>
      </c>
      <c r="AG610" s="39"/>
      <c r="AH610" s="39"/>
      <c r="AI610" s="165"/>
      <c r="AJ610" s="165"/>
      <c r="AK610" s="111"/>
      <c r="AL610" s="111"/>
      <c r="AM610" s="111"/>
      <c r="AN610" s="111"/>
      <c r="AO610" s="111"/>
      <c r="AP610" s="111"/>
      <c r="AQ610" s="116"/>
      <c r="AR610" s="116"/>
      <c r="AS610" s="116"/>
    </row>
    <row r="611">
      <c r="A611" s="42" t="str">
        <f>IFERROR(__xludf.DUMMYFUNCTION("""COMPUTED_VALUE"""),"PaS")</f>
        <v>PaS</v>
      </c>
      <c r="B611" s="42"/>
      <c r="C611" s="42"/>
      <c r="D611" s="42" t="str">
        <f>IFERROR(__xludf.DUMMYFUNCTION("""COMPUTED_VALUE"""),"BL")</f>
        <v>BL</v>
      </c>
      <c r="E611" s="42"/>
      <c r="F611" s="42"/>
      <c r="G611" s="42"/>
      <c r="H611" s="42" t="str">
        <f>IFERROR(__xludf.DUMMYFUNCTION("""COMPUTED_VALUE"""),"")</f>
        <v/>
      </c>
      <c r="I611" s="42" t="str">
        <f>IFERROR(__xludf.DUMMYFUNCTION("""COMPUTED_VALUE"""),"Pitkänen, 2000")</f>
        <v>Pitkänen, 2000</v>
      </c>
      <c r="J611" s="42" t="str">
        <f>IFERROR(__xludf.DUMMYFUNCTION("""COMPUTED_VALUE"""),"Rat")</f>
        <v>Rat</v>
      </c>
      <c r="K611" s="42" t="str">
        <f>IFERROR(__xludf.DUMMYFUNCTION("""COMPUTED_VALUE"""),"Various tracing")</f>
        <v>Various tracing</v>
      </c>
      <c r="L611" s="42"/>
      <c r="M611" s="42" t="str">
        <f>IFERROR(__xludf.DUMMYFUNCTION("""COMPUTED_VALUE"""),"fig.3-fig.12 (to be specified)")</f>
        <v>fig.3-fig.12 (to be specified)</v>
      </c>
      <c r="N611" s="42"/>
      <c r="O611" s="31" t="str">
        <f>IFERROR(__xludf.DUMMYFUNCTION("""COMPUTED_VALUE"""),"DOC(alt)")</f>
        <v>DOC(alt)</v>
      </c>
      <c r="P611" s="9" t="str">
        <f>IFERROR(__xludf.DUMMYFUNCTION("""COMPUTED_VALUE"""),"Folia morphologica")</f>
        <v>Folia morphologica</v>
      </c>
      <c r="Q611" s="9" t="str">
        <f>IFERROR(__xludf.DUMMYFUNCTION("""COMPUTED_VALUE"""),"Review")</f>
        <v>Review</v>
      </c>
      <c r="R611" s="179" t="str">
        <f>IFERROR(__xludf.DUMMYFUNCTION("""COMPUTED_VALUE"""),"BL (00/00) [Pitkänen, 2000];
")</f>
        <v>BL (00/00) [Pitkänen, 2000];
</v>
      </c>
      <c r="S611" s="179" t="str">
        <f>IFERROR(__xludf.DUMMYFUNCTION("""COMPUTED_VALUE"""),"PaSBL")</f>
        <v>PaSBL</v>
      </c>
      <c r="T611" s="179" t="str">
        <f>IFERROR(__xludf.DUMMYFUNCTION("""COMPUTED_VALUE"""),"[Pitkänen, 2000]")</f>
        <v>[Pitkänen, 2000]</v>
      </c>
      <c r="U611" s="179">
        <f>IFERROR(__xludf.DUMMYFUNCTION("""COMPUTED_VALUE"""),0.0)</f>
        <v>0</v>
      </c>
      <c r="V611" s="180">
        <f>IFERROR(__xludf.DUMMYFUNCTION("""COMPUTED_VALUE"""),0.0)</f>
        <v>0</v>
      </c>
      <c r="W611" s="180">
        <f>IFERROR(__xludf.DUMMYFUNCTION("""COMPUTED_VALUE"""),0.95)</f>
        <v>0.95</v>
      </c>
      <c r="X611" s="42">
        <f>IFERROR(__xludf.DUMMYFUNCTION("""COMPUTED_VALUE"""),0.8)</f>
        <v>0.8</v>
      </c>
      <c r="Y611" s="42">
        <f>IFERROR(__xludf.DUMMYFUNCTION("""COMPUTED_VALUE"""),0.6)</f>
        <v>0.6</v>
      </c>
      <c r="Z611" s="9">
        <f>IFERROR(__xludf.DUMMYFUNCTION("""COMPUTED_VALUE"""),0.9)</f>
        <v>0.9</v>
      </c>
      <c r="AA611" s="181">
        <f>IFERROR(__xludf.DUMMYFUNCTION("""COMPUTED_VALUE"""),0.0)</f>
        <v>0</v>
      </c>
      <c r="AB611" s="181">
        <f>IFERROR(__xludf.DUMMYFUNCTION("""COMPUTED_VALUE"""),0.0)</f>
        <v>0</v>
      </c>
      <c r="AC611" s="179">
        <f>IFERROR(__xludf.DUMMYFUNCTION("""COMPUTED_VALUE"""),0.0)</f>
        <v>0</v>
      </c>
      <c r="AD611" s="165">
        <f>IFERROR(__xludf.DUMMYFUNCTION("""COMPUTED_VALUE"""),0.0)</f>
        <v>0</v>
      </c>
      <c r="AE611" s="39" t="str">
        <f>IFERROR(__xludf.DUMMYFUNCTION("""COMPUTED_VALUE"""),"Tatsuya Miyamoto")</f>
        <v>Tatsuya Miyamoto</v>
      </c>
      <c r="AF611" s="39" t="str">
        <f>IFERROR(__xludf.DUMMYFUNCTION("""COMPUTED_VALUE"""),"TM21Amygdala")</f>
        <v>TM21Amygdala</v>
      </c>
      <c r="AG611" s="39"/>
      <c r="AH611" s="39"/>
      <c r="AI611" s="165"/>
      <c r="AJ611" s="165"/>
      <c r="AK611" s="111"/>
      <c r="AL611" s="111"/>
      <c r="AM611" s="111"/>
      <c r="AN611" s="111"/>
      <c r="AO611" s="111"/>
      <c r="AP611" s="111"/>
      <c r="AQ611" s="116"/>
      <c r="AR611" s="116"/>
      <c r="AS611" s="116"/>
    </row>
    <row r="612">
      <c r="A612" s="42" t="str">
        <f>IFERROR(__xludf.DUMMYFUNCTION("""COMPUTED_VALUE"""),"PaS")</f>
        <v>PaS</v>
      </c>
      <c r="B612" s="42"/>
      <c r="C612" s="42"/>
      <c r="D612" s="42" t="str">
        <f>IFERROR(__xludf.DUMMYFUNCTION("""COMPUTED_VALUE"""),"BM")</f>
        <v>BM</v>
      </c>
      <c r="E612" s="42"/>
      <c r="F612" s="42"/>
      <c r="G612" s="42"/>
      <c r="H612" s="42" t="str">
        <f>IFERROR(__xludf.DUMMYFUNCTION("""COMPUTED_VALUE"""),"")</f>
        <v/>
      </c>
      <c r="I612" s="42" t="str">
        <f>IFERROR(__xludf.DUMMYFUNCTION("""COMPUTED_VALUE"""),"Pitkänen, 2000")</f>
        <v>Pitkänen, 2000</v>
      </c>
      <c r="J612" s="42" t="str">
        <f>IFERROR(__xludf.DUMMYFUNCTION("""COMPUTED_VALUE"""),"Rat")</f>
        <v>Rat</v>
      </c>
      <c r="K612" s="42" t="str">
        <f>IFERROR(__xludf.DUMMYFUNCTION("""COMPUTED_VALUE"""),"Various tracing")</f>
        <v>Various tracing</v>
      </c>
      <c r="L612" s="42"/>
      <c r="M612" s="42" t="str">
        <f>IFERROR(__xludf.DUMMYFUNCTION("""COMPUTED_VALUE"""),"fig.3-fig.12 (to be specified)")</f>
        <v>fig.3-fig.12 (to be specified)</v>
      </c>
      <c r="N612" s="42"/>
      <c r="O612" s="31" t="str">
        <f>IFERROR(__xludf.DUMMYFUNCTION("""COMPUTED_VALUE"""),"DOC(alt)")</f>
        <v>DOC(alt)</v>
      </c>
      <c r="P612" s="9" t="str">
        <f>IFERROR(__xludf.DUMMYFUNCTION("""COMPUTED_VALUE"""),"Folia morphologica")</f>
        <v>Folia morphologica</v>
      </c>
      <c r="Q612" s="9" t="str">
        <f>IFERROR(__xludf.DUMMYFUNCTION("""COMPUTED_VALUE"""),"Review")</f>
        <v>Review</v>
      </c>
      <c r="R612" s="179" t="str">
        <f>IFERROR(__xludf.DUMMYFUNCTION("""COMPUTED_VALUE"""),"BM (00/00) [Pitkänen, 2000];
")</f>
        <v>BM (00/00) [Pitkänen, 2000];
</v>
      </c>
      <c r="S612" s="179" t="str">
        <f>IFERROR(__xludf.DUMMYFUNCTION("""COMPUTED_VALUE"""),"PaSBM")</f>
        <v>PaSBM</v>
      </c>
      <c r="T612" s="179" t="str">
        <f>IFERROR(__xludf.DUMMYFUNCTION("""COMPUTED_VALUE"""),"[Pitkänen, 2000]")</f>
        <v>[Pitkänen, 2000]</v>
      </c>
      <c r="U612" s="179">
        <f>IFERROR(__xludf.DUMMYFUNCTION("""COMPUTED_VALUE"""),0.0)</f>
        <v>0</v>
      </c>
      <c r="V612" s="180">
        <f>IFERROR(__xludf.DUMMYFUNCTION("""COMPUTED_VALUE"""),0.0)</f>
        <v>0</v>
      </c>
      <c r="W612" s="180">
        <f>IFERROR(__xludf.DUMMYFUNCTION("""COMPUTED_VALUE"""),0.95)</f>
        <v>0.95</v>
      </c>
      <c r="X612" s="42">
        <f>IFERROR(__xludf.DUMMYFUNCTION("""COMPUTED_VALUE"""),0.8)</f>
        <v>0.8</v>
      </c>
      <c r="Y612" s="42">
        <f>IFERROR(__xludf.DUMMYFUNCTION("""COMPUTED_VALUE"""),0.6)</f>
        <v>0.6</v>
      </c>
      <c r="Z612" s="9">
        <f>IFERROR(__xludf.DUMMYFUNCTION("""COMPUTED_VALUE"""),0.9)</f>
        <v>0.9</v>
      </c>
      <c r="AA612" s="181">
        <f>IFERROR(__xludf.DUMMYFUNCTION("""COMPUTED_VALUE"""),0.0)</f>
        <v>0</v>
      </c>
      <c r="AB612" s="181">
        <f>IFERROR(__xludf.DUMMYFUNCTION("""COMPUTED_VALUE"""),0.0)</f>
        <v>0</v>
      </c>
      <c r="AC612" s="179">
        <f>IFERROR(__xludf.DUMMYFUNCTION("""COMPUTED_VALUE"""),0.0)</f>
        <v>0</v>
      </c>
      <c r="AD612" s="165">
        <f>IFERROR(__xludf.DUMMYFUNCTION("""COMPUTED_VALUE"""),0.0)</f>
        <v>0</v>
      </c>
      <c r="AE612" s="39" t="str">
        <f>IFERROR(__xludf.DUMMYFUNCTION("""COMPUTED_VALUE"""),"Tatsuya Miyamoto")</f>
        <v>Tatsuya Miyamoto</v>
      </c>
      <c r="AF612" s="39" t="str">
        <f>IFERROR(__xludf.DUMMYFUNCTION("""COMPUTED_VALUE"""),"TM21Amygdala")</f>
        <v>TM21Amygdala</v>
      </c>
      <c r="AG612" s="39"/>
      <c r="AH612" s="39"/>
      <c r="AI612" s="165"/>
      <c r="AJ612" s="165"/>
      <c r="AK612" s="111"/>
      <c r="AL612" s="111"/>
      <c r="AM612" s="111"/>
      <c r="AN612" s="111"/>
      <c r="AO612" s="111"/>
      <c r="AP612" s="111"/>
      <c r="AQ612" s="116"/>
      <c r="AR612" s="116"/>
      <c r="AS612" s="116"/>
    </row>
    <row r="613">
      <c r="A613" s="42" t="str">
        <f>IFERROR(__xludf.DUMMYFUNCTION("""COMPUTED_VALUE"""),"PaS")</f>
        <v>PaS</v>
      </c>
      <c r="B613" s="42"/>
      <c r="C613" s="42"/>
      <c r="D613" s="42" t="str">
        <f>IFERROR(__xludf.DUMMYFUNCTION("""COMPUTED_VALUE"""),"La")</f>
        <v>La</v>
      </c>
      <c r="E613" s="42"/>
      <c r="F613" s="42"/>
      <c r="G613" s="42"/>
      <c r="H613" s="42" t="str">
        <f>IFERROR(__xludf.DUMMYFUNCTION("""COMPUTED_VALUE"""),"")</f>
        <v/>
      </c>
      <c r="I613" s="42" t="str">
        <f>IFERROR(__xludf.DUMMYFUNCTION("""COMPUTED_VALUE"""),"Pitkänen, 2000")</f>
        <v>Pitkänen, 2000</v>
      </c>
      <c r="J613" s="42" t="str">
        <f>IFERROR(__xludf.DUMMYFUNCTION("""COMPUTED_VALUE"""),"Rat")</f>
        <v>Rat</v>
      </c>
      <c r="K613" s="42" t="str">
        <f>IFERROR(__xludf.DUMMYFUNCTION("""COMPUTED_VALUE"""),"Various tracing")</f>
        <v>Various tracing</v>
      </c>
      <c r="L613" s="42"/>
      <c r="M613" s="42" t="str">
        <f>IFERROR(__xludf.DUMMYFUNCTION("""COMPUTED_VALUE"""),"fig.3-fig.12 (to be specified)")</f>
        <v>fig.3-fig.12 (to be specified)</v>
      </c>
      <c r="N613" s="42"/>
      <c r="O613" s="31" t="str">
        <f>IFERROR(__xludf.DUMMYFUNCTION("""COMPUTED_VALUE"""),"DOC(alt)")</f>
        <v>DOC(alt)</v>
      </c>
      <c r="P613" s="9" t="str">
        <f>IFERROR(__xludf.DUMMYFUNCTION("""COMPUTED_VALUE"""),"Folia morphologica")</f>
        <v>Folia morphologica</v>
      </c>
      <c r="Q613" s="9" t="str">
        <f>IFERROR(__xludf.DUMMYFUNCTION("""COMPUTED_VALUE"""),"Review")</f>
        <v>Review</v>
      </c>
      <c r="R613" s="179" t="str">
        <f>IFERROR(__xludf.DUMMYFUNCTION("""COMPUTED_VALUE"""),"La (00/00) [Pitkänen, 2000];
")</f>
        <v>La (00/00) [Pitkänen, 2000];
</v>
      </c>
      <c r="S613" s="179" t="str">
        <f>IFERROR(__xludf.DUMMYFUNCTION("""COMPUTED_VALUE"""),"PaSLa")</f>
        <v>PaSLa</v>
      </c>
      <c r="T613" s="179" t="str">
        <f>IFERROR(__xludf.DUMMYFUNCTION("""COMPUTED_VALUE"""),"[Pitkänen, 2000]")</f>
        <v>[Pitkänen, 2000]</v>
      </c>
      <c r="U613" s="179">
        <f>IFERROR(__xludf.DUMMYFUNCTION("""COMPUTED_VALUE"""),0.0)</f>
        <v>0</v>
      </c>
      <c r="V613" s="180">
        <f>IFERROR(__xludf.DUMMYFUNCTION("""COMPUTED_VALUE"""),0.0)</f>
        <v>0</v>
      </c>
      <c r="W613" s="180">
        <f>IFERROR(__xludf.DUMMYFUNCTION("""COMPUTED_VALUE"""),0.95)</f>
        <v>0.95</v>
      </c>
      <c r="X613" s="42">
        <f>IFERROR(__xludf.DUMMYFUNCTION("""COMPUTED_VALUE"""),0.8)</f>
        <v>0.8</v>
      </c>
      <c r="Y613" s="42">
        <f>IFERROR(__xludf.DUMMYFUNCTION("""COMPUTED_VALUE"""),0.6)</f>
        <v>0.6</v>
      </c>
      <c r="Z613" s="9">
        <f>IFERROR(__xludf.DUMMYFUNCTION("""COMPUTED_VALUE"""),0.9)</f>
        <v>0.9</v>
      </c>
      <c r="AA613" s="181">
        <f>IFERROR(__xludf.DUMMYFUNCTION("""COMPUTED_VALUE"""),0.0)</f>
        <v>0</v>
      </c>
      <c r="AB613" s="181">
        <f>IFERROR(__xludf.DUMMYFUNCTION("""COMPUTED_VALUE"""),0.0)</f>
        <v>0</v>
      </c>
      <c r="AC613" s="179">
        <f>IFERROR(__xludf.DUMMYFUNCTION("""COMPUTED_VALUE"""),0.0)</f>
        <v>0</v>
      </c>
      <c r="AD613" s="165">
        <f>IFERROR(__xludf.DUMMYFUNCTION("""COMPUTED_VALUE"""),0.0)</f>
        <v>0</v>
      </c>
      <c r="AE613" s="39" t="str">
        <f>IFERROR(__xludf.DUMMYFUNCTION("""COMPUTED_VALUE"""),"Tatsuya Miyamoto")</f>
        <v>Tatsuya Miyamoto</v>
      </c>
      <c r="AF613" s="39" t="str">
        <f>IFERROR(__xludf.DUMMYFUNCTION("""COMPUTED_VALUE"""),"TM21Amygdala")</f>
        <v>TM21Amygdala</v>
      </c>
      <c r="AG613" s="39"/>
      <c r="AH613" s="39"/>
      <c r="AI613" s="165"/>
      <c r="AJ613" s="165"/>
      <c r="AK613" s="111"/>
      <c r="AL613" s="111"/>
      <c r="AM613" s="111"/>
      <c r="AN613" s="111"/>
      <c r="AO613" s="111"/>
      <c r="AP613" s="111"/>
      <c r="AQ613" s="116"/>
      <c r="AR613" s="116"/>
      <c r="AS613" s="116"/>
    </row>
    <row r="614">
      <c r="A614" s="42" t="str">
        <f>IFERROR(__xludf.DUMMYFUNCTION("""COMPUTED_VALUE"""),"PaS")</f>
        <v>PaS</v>
      </c>
      <c r="B614" s="42"/>
      <c r="C614" s="42"/>
      <c r="D614" s="42" t="str">
        <f>IFERROR(__xludf.DUMMYFUNCTION("""COMPUTED_VALUE"""),"MN")</f>
        <v>MN</v>
      </c>
      <c r="E614" s="42"/>
      <c r="F614" s="42"/>
      <c r="G614" s="42"/>
      <c r="H614" s="42" t="str">
        <f>IFERROR(__xludf.DUMMYFUNCTION("""COMPUTED_VALUE"""),"")</f>
        <v/>
      </c>
      <c r="I614" s="42" t="str">
        <f>IFERROR(__xludf.DUMMYFUNCTION("""COMPUTED_VALUE"""),"Bubb, 2017")</f>
        <v>Bubb, 2017</v>
      </c>
      <c r="J614" s="42"/>
      <c r="K614" s="42"/>
      <c r="L614" s="42"/>
      <c r="M614" s="42"/>
      <c r="N614" s="42"/>
      <c r="O614" s="31" t="str">
        <f>IFERROR(__xludf.DUMMYFUNCTION("""COMPUTED_VALUE"""),"DOC")</f>
        <v>DOC</v>
      </c>
      <c r="P614" s="9" t="str">
        <f>IFERROR(__xludf.DUMMYFUNCTION("""COMPUTED_VALUE"""),"Brain and Neuroscience Advances")</f>
        <v>Brain and Neuroscience Advances</v>
      </c>
      <c r="Q614" s="9"/>
      <c r="R614" s="179" t="str">
        <f>IFERROR(__xludf.DUMMYFUNCTION("""COMPUTED_VALUE"""),"MN (00/00) [Bubb, 2017];
")</f>
        <v>MN (00/00) [Bubb, 2017];
</v>
      </c>
      <c r="S614" s="179" t="str">
        <f>IFERROR(__xludf.DUMMYFUNCTION("""COMPUTED_VALUE"""),"PaSMN")</f>
        <v>PaSMN</v>
      </c>
      <c r="T614" s="179" t="str">
        <f>IFERROR(__xludf.DUMMYFUNCTION("""COMPUTED_VALUE"""),"[Bubb, 2017]")</f>
        <v>[Bubb, 2017]</v>
      </c>
      <c r="U614" s="179">
        <f>IFERROR(__xludf.DUMMYFUNCTION("""COMPUTED_VALUE"""),0.0)</f>
        <v>0</v>
      </c>
      <c r="V614" s="180">
        <f>IFERROR(__xludf.DUMMYFUNCTION("""COMPUTED_VALUE"""),0.0)</f>
        <v>0</v>
      </c>
      <c r="W614" s="180">
        <f>IFERROR(__xludf.DUMMYFUNCTION("""COMPUTED_VALUE"""),0.95)</f>
        <v>0.95</v>
      </c>
      <c r="X614" s="42">
        <f>IFERROR(__xludf.DUMMYFUNCTION("""COMPUTED_VALUE"""),0.0)</f>
        <v>0</v>
      </c>
      <c r="Y614" s="42">
        <f>IFERROR(__xludf.DUMMYFUNCTION("""COMPUTED_VALUE"""),0.0)</f>
        <v>0</v>
      </c>
      <c r="Z614" s="9">
        <f>IFERROR(__xludf.DUMMYFUNCTION("""COMPUTED_VALUE"""),0.0)</f>
        <v>0</v>
      </c>
      <c r="AA614" s="181">
        <f>IFERROR(__xludf.DUMMYFUNCTION("""COMPUTED_VALUE"""),0.0)</f>
        <v>0</v>
      </c>
      <c r="AB614" s="181">
        <f>IFERROR(__xludf.DUMMYFUNCTION("""COMPUTED_VALUE"""),0.0)</f>
        <v>0</v>
      </c>
      <c r="AC614" s="179">
        <f>IFERROR(__xludf.DUMMYFUNCTION("""COMPUTED_VALUE"""),0.0)</f>
        <v>0</v>
      </c>
      <c r="AD614" s="165">
        <f>IFERROR(__xludf.DUMMYFUNCTION("""COMPUTED_VALUE"""),0.0)</f>
        <v>0</v>
      </c>
      <c r="AE614" s="39" t="str">
        <f>IFERROR(__xludf.DUMMYFUNCTION("""COMPUTED_VALUE"""),"Ayako Fukawa")</f>
        <v>Ayako Fukawa</v>
      </c>
      <c r="AF614" s="39" t="str">
        <f>IFERROR(__xludf.DUMMYFUNCTION("""COMPUTED_VALUE"""),"AT20HippocampalFormation")</f>
        <v>AT20HippocampalFormation</v>
      </c>
      <c r="AG614" s="39"/>
      <c r="AH614" s="39"/>
      <c r="AI614" s="165"/>
      <c r="AJ614" s="165"/>
      <c r="AK614" s="111"/>
      <c r="AL614" s="111"/>
      <c r="AM614" s="111"/>
      <c r="AN614" s="111"/>
      <c r="AO614" s="111"/>
      <c r="AP614" s="111"/>
      <c r="AQ614" s="116"/>
      <c r="AR614" s="116"/>
      <c r="AS614" s="116"/>
    </row>
    <row r="615">
      <c r="A615" s="42" t="str">
        <f>IFERROR(__xludf.DUMMYFUNCTION("""COMPUTED_VALUE"""),"PaS")</f>
        <v>PaS</v>
      </c>
      <c r="B615" s="42"/>
      <c r="C615" s="42"/>
      <c r="D615" s="42" t="str">
        <f>IFERROR(__xludf.DUMMYFUNCTION("""COMPUTED_VALUE"""),"MEC_II")</f>
        <v>MEC_II</v>
      </c>
      <c r="E615" s="42"/>
      <c r="F615" s="42"/>
      <c r="G615" s="42"/>
      <c r="H615" s="42" t="str">
        <f>IFERROR(__xludf.DUMMYFUNCTION("""COMPUTED_VALUE"""),"")</f>
        <v/>
      </c>
      <c r="I615" s="42" t="str">
        <f>IFERROR(__xludf.DUMMYFUNCTION("""COMPUTED_VALUE"""),"Moser, 2010")</f>
        <v>Moser, 2010</v>
      </c>
      <c r="J615" s="42"/>
      <c r="K615" s="42"/>
      <c r="L615" s="42"/>
      <c r="M615" s="42"/>
      <c r="N615" s="42"/>
      <c r="O615" s="31" t="str">
        <f>IFERROR(__xludf.DUMMYFUNCTION("""COMPUTED_VALUE"""),"DOC")</f>
        <v>DOC</v>
      </c>
      <c r="P615" s="9" t="str">
        <f>IFERROR(__xludf.DUMMYFUNCTION("""COMPUTED_VALUE"""),"Handbook of Brain Microcircuits")</f>
        <v>Handbook of Brain Microcircuits</v>
      </c>
      <c r="Q615" s="9" t="str">
        <f>IFERROR(__xludf.DUMMYFUNCTION("""COMPUTED_VALUE"""),"Textbook")</f>
        <v>Textbook</v>
      </c>
      <c r="R615" s="179" t="str">
        <f>IFERROR(__xludf.DUMMYFUNCTION("""COMPUTED_VALUE"""),"MEC_II (00/00) [Moser, 2010];
")</f>
        <v>MEC_II (00/00) [Moser, 2010];
</v>
      </c>
      <c r="S615" s="179" t="str">
        <f>IFERROR(__xludf.DUMMYFUNCTION("""COMPUTED_VALUE"""),"PaSMEC_II")</f>
        <v>PaSMEC_II</v>
      </c>
      <c r="T615" s="179" t="str">
        <f>IFERROR(__xludf.DUMMYFUNCTION("""COMPUTED_VALUE"""),"[Moser, 2010]")</f>
        <v>[Moser, 2010]</v>
      </c>
      <c r="U615" s="179">
        <f>IFERROR(__xludf.DUMMYFUNCTION("""COMPUTED_VALUE"""),0.0)</f>
        <v>0</v>
      </c>
      <c r="V615" s="180">
        <f>IFERROR(__xludf.DUMMYFUNCTION("""COMPUTED_VALUE"""),0.0)</f>
        <v>0</v>
      </c>
      <c r="W615" s="180">
        <f>IFERROR(__xludf.DUMMYFUNCTION("""COMPUTED_VALUE"""),0.95)</f>
        <v>0.95</v>
      </c>
      <c r="X615" s="42">
        <f>IFERROR(__xludf.DUMMYFUNCTION("""COMPUTED_VALUE"""),0.9)</f>
        <v>0.9</v>
      </c>
      <c r="Y615" s="42">
        <f>IFERROR(__xludf.DUMMYFUNCTION("""COMPUTED_VALUE"""),0.0)</f>
        <v>0</v>
      </c>
      <c r="Z615" s="9">
        <f>IFERROR(__xludf.DUMMYFUNCTION("""COMPUTED_VALUE"""),0.0)</f>
        <v>0</v>
      </c>
      <c r="AA615" s="181">
        <f>IFERROR(__xludf.DUMMYFUNCTION("""COMPUTED_VALUE"""),0.0)</f>
        <v>0</v>
      </c>
      <c r="AB615" s="181">
        <f>IFERROR(__xludf.DUMMYFUNCTION("""COMPUTED_VALUE"""),0.0)</f>
        <v>0</v>
      </c>
      <c r="AC615" s="179">
        <f>IFERROR(__xludf.DUMMYFUNCTION("""COMPUTED_VALUE"""),0.0)</f>
        <v>0</v>
      </c>
      <c r="AD615" s="165">
        <f>IFERROR(__xludf.DUMMYFUNCTION("""COMPUTED_VALUE"""),0.0)</f>
        <v>0</v>
      </c>
      <c r="AE615" s="39" t="str">
        <f>IFERROR(__xludf.DUMMYFUNCTION("""COMPUTED_VALUE"""),"Ayako Fukawa")</f>
        <v>Ayako Fukawa</v>
      </c>
      <c r="AF615" s="39" t="str">
        <f>IFERROR(__xludf.DUMMYFUNCTION("""COMPUTED_VALUE"""),"AT20HippocampalFormation")</f>
        <v>AT20HippocampalFormation</v>
      </c>
      <c r="AG615" s="39"/>
      <c r="AH615" s="39"/>
      <c r="AI615" s="165"/>
      <c r="AJ615" s="165"/>
      <c r="AK615" s="111"/>
      <c r="AL615" s="111"/>
      <c r="AM615" s="111"/>
      <c r="AN615" s="111"/>
      <c r="AO615" s="111"/>
      <c r="AP615" s="111"/>
      <c r="AQ615" s="116"/>
      <c r="AR615" s="116"/>
      <c r="AS615" s="116"/>
    </row>
    <row r="616">
      <c r="A616" s="42" t="str">
        <f>IFERROR(__xludf.DUMMYFUNCTION("""COMPUTED_VALUE"""),"PaS_uc1")</f>
        <v>PaS_uc1</v>
      </c>
      <c r="B616" s="42"/>
      <c r="C616" s="42"/>
      <c r="D616" s="42" t="str">
        <f>IFERROR(__xludf.DUMMYFUNCTION("""COMPUTED_VALUE"""),"MEC_II")</f>
        <v>MEC_II</v>
      </c>
      <c r="E616" s="42"/>
      <c r="F616" s="42"/>
      <c r="G616" s="42"/>
      <c r="H616" s="42" t="str">
        <f>IFERROR(__xludf.DUMMYFUNCTION("""COMPUTED_VALUE"""),"")</f>
        <v/>
      </c>
      <c r="I616" s="42" t="str">
        <f>IFERROR(__xludf.DUMMYFUNCTION("""COMPUTED_VALUE"""),"Moser, 2010")</f>
        <v>Moser, 2010</v>
      </c>
      <c r="J616" s="42"/>
      <c r="K616" s="42"/>
      <c r="L616" s="42"/>
      <c r="M616" s="42"/>
      <c r="N616" s="42"/>
      <c r="O616" s="31" t="str">
        <f>IFERROR(__xludf.DUMMYFUNCTION("""COMPUTED_VALUE"""),"DOC")</f>
        <v>DOC</v>
      </c>
      <c r="P616" s="9" t="str">
        <f>IFERROR(__xludf.DUMMYFUNCTION("""COMPUTED_VALUE"""),"Handbook of Brain Microcircuits")</f>
        <v>Handbook of Brain Microcircuits</v>
      </c>
      <c r="Q616" s="9" t="str">
        <f>IFERROR(__xludf.DUMMYFUNCTION("""COMPUTED_VALUE"""),"Textbook")</f>
        <v>Textbook</v>
      </c>
      <c r="R616" s="179" t="str">
        <f>IFERROR(__xludf.DUMMYFUNCTION("""COMPUTED_VALUE"""),"MEC_II (00/00) [Moser, 2010];
")</f>
        <v>MEC_II (00/00) [Moser, 2010];
</v>
      </c>
      <c r="S616" s="179" t="str">
        <f>IFERROR(__xludf.DUMMYFUNCTION("""COMPUTED_VALUE"""),"PaS_uc1MEC_II")</f>
        <v>PaS_uc1MEC_II</v>
      </c>
      <c r="T616" s="179" t="str">
        <f>IFERROR(__xludf.DUMMYFUNCTION("""COMPUTED_VALUE"""),"[Moser, 2010]")</f>
        <v>[Moser, 2010]</v>
      </c>
      <c r="U616" s="179">
        <f>IFERROR(__xludf.DUMMYFUNCTION("""COMPUTED_VALUE"""),0.0)</f>
        <v>0</v>
      </c>
      <c r="V616" s="180">
        <f>IFERROR(__xludf.DUMMYFUNCTION("""COMPUTED_VALUE"""),0.0)</f>
        <v>0</v>
      </c>
      <c r="W616" s="180">
        <f>IFERROR(__xludf.DUMMYFUNCTION("""COMPUTED_VALUE"""),0.95)</f>
        <v>0.95</v>
      </c>
      <c r="X616" s="42">
        <f>IFERROR(__xludf.DUMMYFUNCTION("""COMPUTED_VALUE"""),0.9)</f>
        <v>0.9</v>
      </c>
      <c r="Y616" s="42">
        <f>IFERROR(__xludf.DUMMYFUNCTION("""COMPUTED_VALUE"""),0.0)</f>
        <v>0</v>
      </c>
      <c r="Z616" s="9">
        <f>IFERROR(__xludf.DUMMYFUNCTION("""COMPUTED_VALUE"""),0.0)</f>
        <v>0</v>
      </c>
      <c r="AA616" s="181">
        <f>IFERROR(__xludf.DUMMYFUNCTION("""COMPUTED_VALUE"""),0.0)</f>
        <v>0</v>
      </c>
      <c r="AB616" s="181">
        <f>IFERROR(__xludf.DUMMYFUNCTION("""COMPUTED_VALUE"""),0.0)</f>
        <v>0</v>
      </c>
      <c r="AC616" s="179">
        <f>IFERROR(__xludf.DUMMYFUNCTION("""COMPUTED_VALUE"""),0.0)</f>
        <v>0</v>
      </c>
      <c r="AD616" s="165">
        <f>IFERROR(__xludf.DUMMYFUNCTION("""COMPUTED_VALUE"""),0.0)</f>
        <v>0</v>
      </c>
      <c r="AE616" s="39" t="str">
        <f>IFERROR(__xludf.DUMMYFUNCTION("""COMPUTED_VALUE"""),"Ayako Fukawa")</f>
        <v>Ayako Fukawa</v>
      </c>
      <c r="AF616" s="39" t="str">
        <f>IFERROR(__xludf.DUMMYFUNCTION("""COMPUTED_VALUE"""),"AT20HippocampalFormation")</f>
        <v>AT20HippocampalFormation</v>
      </c>
      <c r="AG616" s="39"/>
      <c r="AH616" s="39"/>
      <c r="AI616" s="165"/>
      <c r="AJ616" s="165"/>
      <c r="AK616" s="111"/>
      <c r="AL616" s="111"/>
      <c r="AM616" s="111"/>
      <c r="AN616" s="111"/>
      <c r="AO616" s="111"/>
      <c r="AP616" s="111"/>
      <c r="AQ616" s="116"/>
      <c r="AR616" s="116"/>
      <c r="AS616" s="116"/>
    </row>
    <row r="617">
      <c r="A617" s="42" t="str">
        <f>IFERROR(__xludf.DUMMYFUNCTION("""COMPUTED_VALUE"""),"PaV")</f>
        <v>PaV</v>
      </c>
      <c r="B617" s="42"/>
      <c r="C617" s="42"/>
      <c r="D617" s="42" t="str">
        <f>IFERROR(__xludf.DUMMYFUNCTION("""COMPUTED_VALUE"""),"BM")</f>
        <v>BM</v>
      </c>
      <c r="E617" s="42"/>
      <c r="F617" s="42"/>
      <c r="G617" s="42"/>
      <c r="H617" s="42" t="str">
        <f>IFERROR(__xludf.DUMMYFUNCTION("""COMPUTED_VALUE"""),"")</f>
        <v/>
      </c>
      <c r="I617" s="42" t="str">
        <f>IFERROR(__xludf.DUMMYFUNCTION("""COMPUTED_VALUE"""),"Pitkänen, 2000")</f>
        <v>Pitkänen, 2000</v>
      </c>
      <c r="J617" s="42" t="str">
        <f>IFERROR(__xludf.DUMMYFUNCTION("""COMPUTED_VALUE"""),"Rat")</f>
        <v>Rat</v>
      </c>
      <c r="K617" s="180" t="str">
        <f>IFERROR(__xludf.DUMMYFUNCTION("""COMPUTED_VALUE"""),"Various tracing")</f>
        <v>Various tracing</v>
      </c>
      <c r="L617" s="42"/>
      <c r="M617" s="42" t="str">
        <f>IFERROR(__xludf.DUMMYFUNCTION("""COMPUTED_VALUE"""),"fig.3-fig.12 (to be specified)")</f>
        <v>fig.3-fig.12 (to be specified)</v>
      </c>
      <c r="N617" s="42"/>
      <c r="O617" s="31" t="str">
        <f>IFERROR(__xludf.DUMMYFUNCTION("""COMPUTED_VALUE"""),"DOC(alt)")</f>
        <v>DOC(alt)</v>
      </c>
      <c r="P617" s="9" t="str">
        <f>IFERROR(__xludf.DUMMYFUNCTION("""COMPUTED_VALUE"""),"Folia morphologica")</f>
        <v>Folia morphologica</v>
      </c>
      <c r="Q617" s="9" t="str">
        <f>IFERROR(__xludf.DUMMYFUNCTION("""COMPUTED_VALUE"""),"Review")</f>
        <v>Review</v>
      </c>
      <c r="R617" s="179" t="str">
        <f>IFERROR(__xludf.DUMMYFUNCTION("""COMPUTED_VALUE"""),"BM (00/00) [Pitkänen, 2000];
")</f>
        <v>BM (00/00) [Pitkänen, 2000];
</v>
      </c>
      <c r="S617" s="179" t="str">
        <f>IFERROR(__xludf.DUMMYFUNCTION("""COMPUTED_VALUE"""),"PaVBM")</f>
        <v>PaVBM</v>
      </c>
      <c r="T617" s="179" t="str">
        <f>IFERROR(__xludf.DUMMYFUNCTION("""COMPUTED_VALUE"""),"[Pitkänen, 2000]")</f>
        <v>[Pitkänen, 2000]</v>
      </c>
      <c r="U617" s="179">
        <f>IFERROR(__xludf.DUMMYFUNCTION("""COMPUTED_VALUE"""),0.0)</f>
        <v>0</v>
      </c>
      <c r="V617" s="180">
        <f>IFERROR(__xludf.DUMMYFUNCTION("""COMPUTED_VALUE"""),0.0)</f>
        <v>0</v>
      </c>
      <c r="W617" s="180">
        <f>IFERROR(__xludf.DUMMYFUNCTION("""COMPUTED_VALUE"""),0.95)</f>
        <v>0.95</v>
      </c>
      <c r="X617" s="42">
        <f>IFERROR(__xludf.DUMMYFUNCTION("""COMPUTED_VALUE"""),0.8)</f>
        <v>0.8</v>
      </c>
      <c r="Y617" s="42">
        <f>IFERROR(__xludf.DUMMYFUNCTION("""COMPUTED_VALUE"""),0.6)</f>
        <v>0.6</v>
      </c>
      <c r="Z617" s="9">
        <f>IFERROR(__xludf.DUMMYFUNCTION("""COMPUTED_VALUE"""),0.9)</f>
        <v>0.9</v>
      </c>
      <c r="AA617" s="181">
        <f>IFERROR(__xludf.DUMMYFUNCTION("""COMPUTED_VALUE"""),0.0)</f>
        <v>0</v>
      </c>
      <c r="AB617" s="181">
        <f>IFERROR(__xludf.DUMMYFUNCTION("""COMPUTED_VALUE"""),0.0)</f>
        <v>0</v>
      </c>
      <c r="AC617" s="179">
        <f>IFERROR(__xludf.DUMMYFUNCTION("""COMPUTED_VALUE"""),0.0)</f>
        <v>0</v>
      </c>
      <c r="AD617" s="165">
        <f>IFERROR(__xludf.DUMMYFUNCTION("""COMPUTED_VALUE"""),0.0)</f>
        <v>0</v>
      </c>
      <c r="AE617" s="39" t="str">
        <f>IFERROR(__xludf.DUMMYFUNCTION("""COMPUTED_VALUE"""),"Tatsuya Miyamoto")</f>
        <v>Tatsuya Miyamoto</v>
      </c>
      <c r="AF617" s="39" t="str">
        <f>IFERROR(__xludf.DUMMYFUNCTION("""COMPUTED_VALUE"""),"TM21Amygdala")</f>
        <v>TM21Amygdala</v>
      </c>
      <c r="AG617" s="39"/>
      <c r="AH617" s="39"/>
      <c r="AI617" s="165"/>
      <c r="AJ617" s="165"/>
      <c r="AK617" s="111"/>
      <c r="AL617" s="111"/>
      <c r="AM617" s="111"/>
      <c r="AN617" s="111"/>
      <c r="AO617" s="111"/>
      <c r="AP617" s="111"/>
      <c r="AQ617" s="116"/>
      <c r="AR617" s="116"/>
      <c r="AS617" s="116"/>
    </row>
    <row r="618">
      <c r="A618" s="42" t="str">
        <f>IFERROR(__xludf.DUMMYFUNCTION("""COMPUTED_VALUE"""),"PaV")</f>
        <v>PaV</v>
      </c>
      <c r="B618" s="42"/>
      <c r="C618" s="42"/>
      <c r="D618" s="42" t="str">
        <f>IFERROR(__xludf.DUMMYFUNCTION("""COMPUTED_VALUE"""),"CEN")</f>
        <v>CEN</v>
      </c>
      <c r="E618" s="42"/>
      <c r="F618" s="42"/>
      <c r="G618" s="42"/>
      <c r="H618" s="42" t="str">
        <f>IFERROR(__xludf.DUMMYFUNCTION("""COMPUTED_VALUE"""),"")</f>
        <v/>
      </c>
      <c r="I618" s="42" t="str">
        <f>IFERROR(__xludf.DUMMYFUNCTION("""COMPUTED_VALUE"""),"Pitkänen, 2000")</f>
        <v>Pitkänen, 2000</v>
      </c>
      <c r="J618" s="42" t="str">
        <f>IFERROR(__xludf.DUMMYFUNCTION("""COMPUTED_VALUE"""),"Rat")</f>
        <v>Rat</v>
      </c>
      <c r="K618" s="42" t="str">
        <f>IFERROR(__xludf.DUMMYFUNCTION("""COMPUTED_VALUE"""),"Various tracing")</f>
        <v>Various tracing</v>
      </c>
      <c r="L618" s="42"/>
      <c r="M618" s="42" t="str">
        <f>IFERROR(__xludf.DUMMYFUNCTION("""COMPUTED_VALUE"""),"fig.3-fig.12 (to be specified)")</f>
        <v>fig.3-fig.12 (to be specified)</v>
      </c>
      <c r="N618" s="42"/>
      <c r="O618" s="31" t="str">
        <f>IFERROR(__xludf.DUMMYFUNCTION("""COMPUTED_VALUE"""),"DOC(alt)")</f>
        <v>DOC(alt)</v>
      </c>
      <c r="P618" s="9" t="str">
        <f>IFERROR(__xludf.DUMMYFUNCTION("""COMPUTED_VALUE"""),"Folia morphologica")</f>
        <v>Folia morphologica</v>
      </c>
      <c r="Q618" s="9" t="str">
        <f>IFERROR(__xludf.DUMMYFUNCTION("""COMPUTED_VALUE"""),"Review")</f>
        <v>Review</v>
      </c>
      <c r="R618" s="179" t="str">
        <f>IFERROR(__xludf.DUMMYFUNCTION("""COMPUTED_VALUE"""),"CEN (00/00) [Pitkänen, 2000];
")</f>
        <v>CEN (00/00) [Pitkänen, 2000];
</v>
      </c>
      <c r="S618" s="179" t="str">
        <f>IFERROR(__xludf.DUMMYFUNCTION("""COMPUTED_VALUE"""),"PaVCEN")</f>
        <v>PaVCEN</v>
      </c>
      <c r="T618" s="179" t="str">
        <f>IFERROR(__xludf.DUMMYFUNCTION("""COMPUTED_VALUE"""),"[Pitkänen, 2000]")</f>
        <v>[Pitkänen, 2000]</v>
      </c>
      <c r="U618" s="179">
        <f>IFERROR(__xludf.DUMMYFUNCTION("""COMPUTED_VALUE"""),0.0)</f>
        <v>0</v>
      </c>
      <c r="V618" s="180">
        <f>IFERROR(__xludf.DUMMYFUNCTION("""COMPUTED_VALUE"""),0.0)</f>
        <v>0</v>
      </c>
      <c r="W618" s="180">
        <f>IFERROR(__xludf.DUMMYFUNCTION("""COMPUTED_VALUE"""),0.95)</f>
        <v>0.95</v>
      </c>
      <c r="X618" s="42">
        <f>IFERROR(__xludf.DUMMYFUNCTION("""COMPUTED_VALUE"""),0.8)</f>
        <v>0.8</v>
      </c>
      <c r="Y618" s="42">
        <f>IFERROR(__xludf.DUMMYFUNCTION("""COMPUTED_VALUE"""),0.6)</f>
        <v>0.6</v>
      </c>
      <c r="Z618" s="9">
        <f>IFERROR(__xludf.DUMMYFUNCTION("""COMPUTED_VALUE"""),0.9)</f>
        <v>0.9</v>
      </c>
      <c r="AA618" s="181">
        <f>IFERROR(__xludf.DUMMYFUNCTION("""COMPUTED_VALUE"""),0.0)</f>
        <v>0</v>
      </c>
      <c r="AB618" s="181">
        <f>IFERROR(__xludf.DUMMYFUNCTION("""COMPUTED_VALUE"""),0.0)</f>
        <v>0</v>
      </c>
      <c r="AC618" s="179">
        <f>IFERROR(__xludf.DUMMYFUNCTION("""COMPUTED_VALUE"""),0.0)</f>
        <v>0</v>
      </c>
      <c r="AD618" s="165">
        <f>IFERROR(__xludf.DUMMYFUNCTION("""COMPUTED_VALUE"""),0.0)</f>
        <v>0</v>
      </c>
      <c r="AE618" s="39" t="str">
        <f>IFERROR(__xludf.DUMMYFUNCTION("""COMPUTED_VALUE"""),"Tatsuya Miyamoto")</f>
        <v>Tatsuya Miyamoto</v>
      </c>
      <c r="AF618" s="39" t="str">
        <f>IFERROR(__xludf.DUMMYFUNCTION("""COMPUTED_VALUE"""),"TM21Amygdala")</f>
        <v>TM21Amygdala</v>
      </c>
      <c r="AG618" s="39"/>
      <c r="AH618" s="39"/>
      <c r="AI618" s="165"/>
      <c r="AJ618" s="165"/>
      <c r="AK618" s="111"/>
      <c r="AL618" s="111"/>
      <c r="AM618" s="111"/>
      <c r="AN618" s="111"/>
      <c r="AO618" s="111"/>
      <c r="AP618" s="111"/>
      <c r="AQ618" s="116"/>
      <c r="AR618" s="116"/>
      <c r="AS618" s="116"/>
    </row>
    <row r="619">
      <c r="A619" s="42" t="str">
        <f>IFERROR(__xludf.DUMMYFUNCTION("""COMPUTED_VALUE"""),"PaV")</f>
        <v>PaV</v>
      </c>
      <c r="B619" s="42"/>
      <c r="C619" s="42"/>
      <c r="D619" s="42" t="str">
        <f>IFERROR(__xludf.DUMMYFUNCTION("""COMPUTED_VALUE"""),"Me")</f>
        <v>Me</v>
      </c>
      <c r="E619" s="42"/>
      <c r="F619" s="42"/>
      <c r="G619" s="42"/>
      <c r="H619" s="42" t="str">
        <f>IFERROR(__xludf.DUMMYFUNCTION("""COMPUTED_VALUE"""),"")</f>
        <v/>
      </c>
      <c r="I619" s="42" t="str">
        <f>IFERROR(__xludf.DUMMYFUNCTION("""COMPUTED_VALUE"""),"Pitkänen, 2000")</f>
        <v>Pitkänen, 2000</v>
      </c>
      <c r="J619" s="42" t="str">
        <f>IFERROR(__xludf.DUMMYFUNCTION("""COMPUTED_VALUE"""),"Rat")</f>
        <v>Rat</v>
      </c>
      <c r="K619" s="42" t="str">
        <f>IFERROR(__xludf.DUMMYFUNCTION("""COMPUTED_VALUE"""),"Various tracing")</f>
        <v>Various tracing</v>
      </c>
      <c r="L619" s="42"/>
      <c r="M619" s="42" t="str">
        <f>IFERROR(__xludf.DUMMYFUNCTION("""COMPUTED_VALUE"""),"fig.3-fig.12 (to be specified)")</f>
        <v>fig.3-fig.12 (to be specified)</v>
      </c>
      <c r="N619" s="42"/>
      <c r="O619" s="31" t="str">
        <f>IFERROR(__xludf.DUMMYFUNCTION("""COMPUTED_VALUE"""),"DOC(alt)")</f>
        <v>DOC(alt)</v>
      </c>
      <c r="P619" s="9" t="str">
        <f>IFERROR(__xludf.DUMMYFUNCTION("""COMPUTED_VALUE"""),"Folia morphologica")</f>
        <v>Folia morphologica</v>
      </c>
      <c r="Q619" s="9" t="str">
        <f>IFERROR(__xludf.DUMMYFUNCTION("""COMPUTED_VALUE"""),"Review")</f>
        <v>Review</v>
      </c>
      <c r="R619" s="179" t="str">
        <f>IFERROR(__xludf.DUMMYFUNCTION("""COMPUTED_VALUE"""),"Me (00/00) [Pitkänen, 2000];
")</f>
        <v>Me (00/00) [Pitkänen, 2000];
</v>
      </c>
      <c r="S619" s="179" t="str">
        <f>IFERROR(__xludf.DUMMYFUNCTION("""COMPUTED_VALUE"""),"PaVMe")</f>
        <v>PaVMe</v>
      </c>
      <c r="T619" s="179" t="str">
        <f>IFERROR(__xludf.DUMMYFUNCTION("""COMPUTED_VALUE"""),"[Pitkänen, 2000]")</f>
        <v>[Pitkänen, 2000]</v>
      </c>
      <c r="U619" s="179">
        <f>IFERROR(__xludf.DUMMYFUNCTION("""COMPUTED_VALUE"""),0.0)</f>
        <v>0</v>
      </c>
      <c r="V619" s="180">
        <f>IFERROR(__xludf.DUMMYFUNCTION("""COMPUTED_VALUE"""),0.0)</f>
        <v>0</v>
      </c>
      <c r="W619" s="180">
        <f>IFERROR(__xludf.DUMMYFUNCTION("""COMPUTED_VALUE"""),0.95)</f>
        <v>0.95</v>
      </c>
      <c r="X619" s="42">
        <f>IFERROR(__xludf.DUMMYFUNCTION("""COMPUTED_VALUE"""),0.8)</f>
        <v>0.8</v>
      </c>
      <c r="Y619" s="42">
        <f>IFERROR(__xludf.DUMMYFUNCTION("""COMPUTED_VALUE"""),0.6)</f>
        <v>0.6</v>
      </c>
      <c r="Z619" s="9">
        <f>IFERROR(__xludf.DUMMYFUNCTION("""COMPUTED_VALUE"""),0.9)</f>
        <v>0.9</v>
      </c>
      <c r="AA619" s="181">
        <f>IFERROR(__xludf.DUMMYFUNCTION("""COMPUTED_VALUE"""),0.0)</f>
        <v>0</v>
      </c>
      <c r="AB619" s="181">
        <f>IFERROR(__xludf.DUMMYFUNCTION("""COMPUTED_VALUE"""),0.0)</f>
        <v>0</v>
      </c>
      <c r="AC619" s="179">
        <f>IFERROR(__xludf.DUMMYFUNCTION("""COMPUTED_VALUE"""),0.0)</f>
        <v>0</v>
      </c>
      <c r="AD619" s="165">
        <f>IFERROR(__xludf.DUMMYFUNCTION("""COMPUTED_VALUE"""),0.0)</f>
        <v>0</v>
      </c>
      <c r="AE619" s="39" t="str">
        <f>IFERROR(__xludf.DUMMYFUNCTION("""COMPUTED_VALUE"""),"Tatsuya Miyamoto")</f>
        <v>Tatsuya Miyamoto</v>
      </c>
      <c r="AF619" s="39" t="str">
        <f>IFERROR(__xludf.DUMMYFUNCTION("""COMPUTED_VALUE"""),"TM21Amygdala")</f>
        <v>TM21Amygdala</v>
      </c>
      <c r="AG619" s="39"/>
      <c r="AH619" s="39"/>
      <c r="AI619" s="165"/>
      <c r="AJ619" s="165"/>
      <c r="AK619" s="111"/>
      <c r="AL619" s="111"/>
      <c r="AM619" s="111"/>
      <c r="AN619" s="111"/>
      <c r="AO619" s="111"/>
      <c r="AP619" s="111"/>
      <c r="AQ619" s="116"/>
      <c r="AR619" s="116"/>
      <c r="AS619" s="116"/>
    </row>
    <row r="620">
      <c r="A620" s="42" t="str">
        <f>IFERROR(__xludf.DUMMYFUNCTION("""COMPUTED_VALUE"""),"PB")</f>
        <v>PB</v>
      </c>
      <c r="B620" s="42"/>
      <c r="C620" s="42"/>
      <c r="D620" s="42" t="str">
        <f>IFERROR(__xludf.DUMMYFUNCTION("""COMPUTED_VALUE"""),"CEN")</f>
        <v>CEN</v>
      </c>
      <c r="E620" s="42"/>
      <c r="F620" s="42"/>
      <c r="G620" s="42"/>
      <c r="H620" s="42" t="str">
        <f>IFERROR(__xludf.DUMMYFUNCTION("""COMPUTED_VALUE"""),"")</f>
        <v/>
      </c>
      <c r="I620" s="42" t="str">
        <f>IFERROR(__xludf.DUMMYFUNCTION("""COMPUTED_VALUE"""),"Pitkänen, 2000")</f>
        <v>Pitkänen, 2000</v>
      </c>
      <c r="J620" s="42" t="str">
        <f>IFERROR(__xludf.DUMMYFUNCTION("""COMPUTED_VALUE"""),"Rat")</f>
        <v>Rat</v>
      </c>
      <c r="K620" s="42" t="str">
        <f>IFERROR(__xludf.DUMMYFUNCTION("""COMPUTED_VALUE"""),"Various tracing")</f>
        <v>Various tracing</v>
      </c>
      <c r="L620" s="42"/>
      <c r="M620" s="42" t="str">
        <f>IFERROR(__xludf.DUMMYFUNCTION("""COMPUTED_VALUE"""),"fig.3-fig.12 (to be specified)")</f>
        <v>fig.3-fig.12 (to be specified)</v>
      </c>
      <c r="N620" s="42"/>
      <c r="O620" s="31" t="str">
        <f>IFERROR(__xludf.DUMMYFUNCTION("""COMPUTED_VALUE"""),"DOC(alt)")</f>
        <v>DOC(alt)</v>
      </c>
      <c r="P620" s="9" t="str">
        <f>IFERROR(__xludf.DUMMYFUNCTION("""COMPUTED_VALUE"""),"Folia morphologica")</f>
        <v>Folia morphologica</v>
      </c>
      <c r="Q620" s="9" t="str">
        <f>IFERROR(__xludf.DUMMYFUNCTION("""COMPUTED_VALUE"""),"Review")</f>
        <v>Review</v>
      </c>
      <c r="R620" s="179" t="str">
        <f>IFERROR(__xludf.DUMMYFUNCTION("""COMPUTED_VALUE"""),"CEN (00/00) [Pitkänen, 2000];
")</f>
        <v>CEN (00/00) [Pitkänen, 2000];
</v>
      </c>
      <c r="S620" s="179" t="str">
        <f>IFERROR(__xludf.DUMMYFUNCTION("""COMPUTED_VALUE"""),"PBCEN")</f>
        <v>PBCEN</v>
      </c>
      <c r="T620" s="179" t="str">
        <f>IFERROR(__xludf.DUMMYFUNCTION("""COMPUTED_VALUE"""),"[Pitkänen, 2000]")</f>
        <v>[Pitkänen, 2000]</v>
      </c>
      <c r="U620" s="179">
        <f>IFERROR(__xludf.DUMMYFUNCTION("""COMPUTED_VALUE"""),0.0)</f>
        <v>0</v>
      </c>
      <c r="V620" s="180">
        <f>IFERROR(__xludf.DUMMYFUNCTION("""COMPUTED_VALUE"""),0.0)</f>
        <v>0</v>
      </c>
      <c r="W620" s="180">
        <f>IFERROR(__xludf.DUMMYFUNCTION("""COMPUTED_VALUE"""),0.95)</f>
        <v>0.95</v>
      </c>
      <c r="X620" s="42">
        <f>IFERROR(__xludf.DUMMYFUNCTION("""COMPUTED_VALUE"""),0.8)</f>
        <v>0.8</v>
      </c>
      <c r="Y620" s="42">
        <f>IFERROR(__xludf.DUMMYFUNCTION("""COMPUTED_VALUE"""),0.6)</f>
        <v>0.6</v>
      </c>
      <c r="Z620" s="9">
        <f>IFERROR(__xludf.DUMMYFUNCTION("""COMPUTED_VALUE"""),0.9)</f>
        <v>0.9</v>
      </c>
      <c r="AA620" s="181">
        <f>IFERROR(__xludf.DUMMYFUNCTION("""COMPUTED_VALUE"""),0.0)</f>
        <v>0</v>
      </c>
      <c r="AB620" s="181">
        <f>IFERROR(__xludf.DUMMYFUNCTION("""COMPUTED_VALUE"""),0.0)</f>
        <v>0</v>
      </c>
      <c r="AC620" s="179">
        <f>IFERROR(__xludf.DUMMYFUNCTION("""COMPUTED_VALUE"""),0.0)</f>
        <v>0</v>
      </c>
      <c r="AD620" s="165">
        <f>IFERROR(__xludf.DUMMYFUNCTION("""COMPUTED_VALUE"""),0.0)</f>
        <v>0</v>
      </c>
      <c r="AE620" s="39" t="str">
        <f>IFERROR(__xludf.DUMMYFUNCTION("""COMPUTED_VALUE"""),"Tatsuya Miyamoto")</f>
        <v>Tatsuya Miyamoto</v>
      </c>
      <c r="AF620" s="39" t="str">
        <f>IFERROR(__xludf.DUMMYFUNCTION("""COMPUTED_VALUE"""),"TM21Amygdala")</f>
        <v>TM21Amygdala</v>
      </c>
      <c r="AG620" s="39"/>
      <c r="AH620" s="39"/>
      <c r="AI620" s="165"/>
      <c r="AJ620" s="165"/>
      <c r="AK620" s="111"/>
      <c r="AL620" s="111"/>
      <c r="AM620" s="111"/>
      <c r="AN620" s="111"/>
      <c r="AO620" s="111"/>
      <c r="AP620" s="111"/>
      <c r="AQ620" s="116"/>
      <c r="AR620" s="116"/>
      <c r="AS620" s="116"/>
    </row>
    <row r="621">
      <c r="A621" s="42" t="str">
        <f>IFERROR(__xludf.DUMMYFUNCTION("""COMPUTED_VALUE"""),"PeF")</f>
        <v>PeF</v>
      </c>
      <c r="B621" s="42"/>
      <c r="C621" s="42"/>
      <c r="D621" s="42" t="str">
        <f>IFERROR(__xludf.DUMMYFUNCTION("""COMPUTED_VALUE"""),"CEN")</f>
        <v>CEN</v>
      </c>
      <c r="E621" s="42"/>
      <c r="F621" s="42"/>
      <c r="G621" s="42"/>
      <c r="H621" s="42" t="str">
        <f>IFERROR(__xludf.DUMMYFUNCTION("""COMPUTED_VALUE"""),"")</f>
        <v/>
      </c>
      <c r="I621" s="42" t="str">
        <f>IFERROR(__xludf.DUMMYFUNCTION("""COMPUTED_VALUE"""),"Pitkänen, 2000")</f>
        <v>Pitkänen, 2000</v>
      </c>
      <c r="J621" s="42" t="str">
        <f>IFERROR(__xludf.DUMMYFUNCTION("""COMPUTED_VALUE"""),"Rat")</f>
        <v>Rat</v>
      </c>
      <c r="K621" s="180" t="str">
        <f>IFERROR(__xludf.DUMMYFUNCTION("""COMPUTED_VALUE"""),"Various tracing")</f>
        <v>Various tracing</v>
      </c>
      <c r="L621" s="42"/>
      <c r="M621" s="42" t="str">
        <f>IFERROR(__xludf.DUMMYFUNCTION("""COMPUTED_VALUE"""),"fig.3-fig.12 (to be specified)")</f>
        <v>fig.3-fig.12 (to be specified)</v>
      </c>
      <c r="N621" s="42"/>
      <c r="O621" s="31" t="str">
        <f>IFERROR(__xludf.DUMMYFUNCTION("""COMPUTED_VALUE"""),"DOC(alt)")</f>
        <v>DOC(alt)</v>
      </c>
      <c r="P621" s="9" t="str">
        <f>IFERROR(__xludf.DUMMYFUNCTION("""COMPUTED_VALUE"""),"Folia morphologica")</f>
        <v>Folia morphologica</v>
      </c>
      <c r="Q621" s="9" t="str">
        <f>IFERROR(__xludf.DUMMYFUNCTION("""COMPUTED_VALUE"""),"Review")</f>
        <v>Review</v>
      </c>
      <c r="R621" s="179" t="str">
        <f>IFERROR(__xludf.DUMMYFUNCTION("""COMPUTED_VALUE"""),"CEN (00/00) [Pitkänen, 2000];
")</f>
        <v>CEN (00/00) [Pitkänen, 2000];
</v>
      </c>
      <c r="S621" s="179" t="str">
        <f>IFERROR(__xludf.DUMMYFUNCTION("""COMPUTED_VALUE"""),"PeFCEN")</f>
        <v>PeFCEN</v>
      </c>
      <c r="T621" s="179" t="str">
        <f>IFERROR(__xludf.DUMMYFUNCTION("""COMPUTED_VALUE"""),"[Pitkänen, 2000]")</f>
        <v>[Pitkänen, 2000]</v>
      </c>
      <c r="U621" s="179">
        <f>IFERROR(__xludf.DUMMYFUNCTION("""COMPUTED_VALUE"""),0.0)</f>
        <v>0</v>
      </c>
      <c r="V621" s="180">
        <f>IFERROR(__xludf.DUMMYFUNCTION("""COMPUTED_VALUE"""),0.0)</f>
        <v>0</v>
      </c>
      <c r="W621" s="180">
        <f>IFERROR(__xludf.DUMMYFUNCTION("""COMPUTED_VALUE"""),0.95)</f>
        <v>0.95</v>
      </c>
      <c r="X621" s="42">
        <f>IFERROR(__xludf.DUMMYFUNCTION("""COMPUTED_VALUE"""),0.8)</f>
        <v>0.8</v>
      </c>
      <c r="Y621" s="42">
        <f>IFERROR(__xludf.DUMMYFUNCTION("""COMPUTED_VALUE"""),0.6)</f>
        <v>0.6</v>
      </c>
      <c r="Z621" s="9">
        <f>IFERROR(__xludf.DUMMYFUNCTION("""COMPUTED_VALUE"""),0.9)</f>
        <v>0.9</v>
      </c>
      <c r="AA621" s="181">
        <f>IFERROR(__xludf.DUMMYFUNCTION("""COMPUTED_VALUE"""),0.0)</f>
        <v>0</v>
      </c>
      <c r="AB621" s="181">
        <f>IFERROR(__xludf.DUMMYFUNCTION("""COMPUTED_VALUE"""),0.0)</f>
        <v>0</v>
      </c>
      <c r="AC621" s="179">
        <f>IFERROR(__xludf.DUMMYFUNCTION("""COMPUTED_VALUE"""),0.0)</f>
        <v>0</v>
      </c>
      <c r="AD621" s="165">
        <f>IFERROR(__xludf.DUMMYFUNCTION("""COMPUTED_VALUE"""),0.0)</f>
        <v>0</v>
      </c>
      <c r="AE621" s="39" t="str">
        <f>IFERROR(__xludf.DUMMYFUNCTION("""COMPUTED_VALUE"""),"Tatsuya Miyamoto")</f>
        <v>Tatsuya Miyamoto</v>
      </c>
      <c r="AF621" s="39" t="str">
        <f>IFERROR(__xludf.DUMMYFUNCTION("""COMPUTED_VALUE"""),"TM21Amygdala")</f>
        <v>TM21Amygdala</v>
      </c>
      <c r="AG621" s="39"/>
      <c r="AH621" s="39"/>
      <c r="AI621" s="165"/>
      <c r="AJ621" s="165"/>
      <c r="AK621" s="111"/>
      <c r="AL621" s="111"/>
      <c r="AM621" s="111"/>
      <c r="AN621" s="111"/>
      <c r="AO621" s="111"/>
      <c r="AP621" s="111"/>
      <c r="AQ621" s="116"/>
      <c r="AR621" s="116"/>
      <c r="AS621" s="116"/>
    </row>
    <row r="622">
      <c r="A622" s="42" t="str">
        <f>IFERROR(__xludf.DUMMYFUNCTION("""COMPUTED_VALUE"""),"PeVA")</f>
        <v>PeVA</v>
      </c>
      <c r="B622" s="42"/>
      <c r="C622" s="42"/>
      <c r="D622" s="42" t="str">
        <f>IFERROR(__xludf.DUMMYFUNCTION("""COMPUTED_VALUE"""),"AHA")</f>
        <v>AHA</v>
      </c>
      <c r="E622" s="42"/>
      <c r="F622" s="42"/>
      <c r="G622" s="42"/>
      <c r="H622" s="42" t="str">
        <f>IFERROR(__xludf.DUMMYFUNCTION("""COMPUTED_VALUE"""),"")</f>
        <v/>
      </c>
      <c r="I622" s="42" t="str">
        <f>IFERROR(__xludf.DUMMYFUNCTION("""COMPUTED_VALUE"""),"Pitkänen, 2000")</f>
        <v>Pitkänen, 2000</v>
      </c>
      <c r="J622" s="42" t="str">
        <f>IFERROR(__xludf.DUMMYFUNCTION("""COMPUTED_VALUE"""),"Rat")</f>
        <v>Rat</v>
      </c>
      <c r="K622" s="180" t="str">
        <f>IFERROR(__xludf.DUMMYFUNCTION("""COMPUTED_VALUE"""),"Various tracing")</f>
        <v>Various tracing</v>
      </c>
      <c r="L622" s="42"/>
      <c r="M622" s="42" t="str">
        <f>IFERROR(__xludf.DUMMYFUNCTION("""COMPUTED_VALUE"""),"fig.3-fig.12 (to be specified)")</f>
        <v>fig.3-fig.12 (to be specified)</v>
      </c>
      <c r="N622" s="42"/>
      <c r="O622" s="31" t="str">
        <f>IFERROR(__xludf.DUMMYFUNCTION("""COMPUTED_VALUE"""),"DOC(alt)")</f>
        <v>DOC(alt)</v>
      </c>
      <c r="P622" s="9" t="str">
        <f>IFERROR(__xludf.DUMMYFUNCTION("""COMPUTED_VALUE"""),"Folia morphologica")</f>
        <v>Folia morphologica</v>
      </c>
      <c r="Q622" s="9" t="str">
        <f>IFERROR(__xludf.DUMMYFUNCTION("""COMPUTED_VALUE"""),"Review")</f>
        <v>Review</v>
      </c>
      <c r="R622" s="179" t="str">
        <f>IFERROR(__xludf.DUMMYFUNCTION("""COMPUTED_VALUE"""),"AHA (00/00) [Pitkänen, 2000];
")</f>
        <v>AHA (00/00) [Pitkänen, 2000];
</v>
      </c>
      <c r="S622" s="179" t="str">
        <f>IFERROR(__xludf.DUMMYFUNCTION("""COMPUTED_VALUE"""),"PeVAAHA")</f>
        <v>PeVAAHA</v>
      </c>
      <c r="T622" s="179" t="str">
        <f>IFERROR(__xludf.DUMMYFUNCTION("""COMPUTED_VALUE"""),"[Pitkänen, 2000]")</f>
        <v>[Pitkänen, 2000]</v>
      </c>
      <c r="U622" s="179">
        <f>IFERROR(__xludf.DUMMYFUNCTION("""COMPUTED_VALUE"""),0.0)</f>
        <v>0</v>
      </c>
      <c r="V622" s="180">
        <f>IFERROR(__xludf.DUMMYFUNCTION("""COMPUTED_VALUE"""),0.0)</f>
        <v>0</v>
      </c>
      <c r="W622" s="180">
        <f>IFERROR(__xludf.DUMMYFUNCTION("""COMPUTED_VALUE"""),0.95)</f>
        <v>0.95</v>
      </c>
      <c r="X622" s="42">
        <f>IFERROR(__xludf.DUMMYFUNCTION("""COMPUTED_VALUE"""),0.8)</f>
        <v>0.8</v>
      </c>
      <c r="Y622" s="42">
        <f>IFERROR(__xludf.DUMMYFUNCTION("""COMPUTED_VALUE"""),0.6)</f>
        <v>0.6</v>
      </c>
      <c r="Z622" s="9">
        <f>IFERROR(__xludf.DUMMYFUNCTION("""COMPUTED_VALUE"""),0.9)</f>
        <v>0.9</v>
      </c>
      <c r="AA622" s="181">
        <f>IFERROR(__xludf.DUMMYFUNCTION("""COMPUTED_VALUE"""),0.0)</f>
        <v>0</v>
      </c>
      <c r="AB622" s="181">
        <f>IFERROR(__xludf.DUMMYFUNCTION("""COMPUTED_VALUE"""),0.0)</f>
        <v>0</v>
      </c>
      <c r="AC622" s="179">
        <f>IFERROR(__xludf.DUMMYFUNCTION("""COMPUTED_VALUE"""),0.0)</f>
        <v>0</v>
      </c>
      <c r="AD622" s="165">
        <f>IFERROR(__xludf.DUMMYFUNCTION("""COMPUTED_VALUE"""),0.0)</f>
        <v>0</v>
      </c>
      <c r="AE622" s="39" t="str">
        <f>IFERROR(__xludf.DUMMYFUNCTION("""COMPUTED_VALUE"""),"Tatsuya Miyamoto")</f>
        <v>Tatsuya Miyamoto</v>
      </c>
      <c r="AF622" s="39" t="str">
        <f>IFERROR(__xludf.DUMMYFUNCTION("""COMPUTED_VALUE"""),"TM21Amygdala")</f>
        <v>TM21Amygdala</v>
      </c>
      <c r="AG622" s="39"/>
      <c r="AH622" s="39"/>
      <c r="AI622" s="165"/>
      <c r="AJ622" s="165"/>
      <c r="AK622" s="111"/>
      <c r="AL622" s="111"/>
      <c r="AM622" s="111"/>
      <c r="AN622" s="111"/>
      <c r="AO622" s="111"/>
      <c r="AP622" s="111"/>
      <c r="AQ622" s="116"/>
      <c r="AR622" s="116"/>
      <c r="AS622" s="116"/>
    </row>
    <row r="623">
      <c r="A623" s="42" t="str">
        <f>IFERROR(__xludf.DUMMYFUNCTION("""COMPUTED_VALUE"""),"Pf")</f>
        <v>Pf</v>
      </c>
      <c r="B623" s="42"/>
      <c r="C623" s="42"/>
      <c r="D623" s="42" t="str">
        <f>IFERROR(__xludf.DUMMYFUNCTION("""COMPUTED_VALUE"""),"NCx")</f>
        <v>NCx</v>
      </c>
      <c r="E623" s="42"/>
      <c r="F623" s="42"/>
      <c r="G623" s="42"/>
      <c r="H623" s="42" t="str">
        <f>IFERROR(__xludf.DUMMYFUNCTION("""COMPUTED_VALUE"""),"(Limbic loop)")</f>
        <v>(Limbic loop)</v>
      </c>
      <c r="I623" s="42" t="str">
        <f>IFERROR(__xludf.DUMMYFUNCTION("""COMPUTED_VALUE"""),"Galvan, 2015")</f>
        <v>Galvan, 2015</v>
      </c>
      <c r="J623" s="42"/>
      <c r="K623" s="42"/>
      <c r="L623" s="42"/>
      <c r="M623" s="42"/>
      <c r="N623" s="42"/>
      <c r="O623" s="31" t="str">
        <f>IFERROR(__xludf.DUMMYFUNCTION("""COMPUTED_VALUE"""),"DOC")</f>
        <v>DOC</v>
      </c>
      <c r="P623" s="9" t="str">
        <f>IFERROR(__xludf.DUMMYFUNCTION("""COMPUTED_VALUE"""),"Frontiers in Neuroanatomy")</f>
        <v>Frontiers in Neuroanatomy</v>
      </c>
      <c r="Q623" s="9"/>
      <c r="R623" s="179" t="str">
        <f>IFERROR(__xludf.DUMMYFUNCTION("""COMPUTED_VALUE"""),"NCx (00/00) [Galvan, 2015](Limbic loop);
")</f>
        <v>NCx (00/00) [Galvan, 2015](Limbic loop);
</v>
      </c>
      <c r="S623" s="179" t="str">
        <f>IFERROR(__xludf.DUMMYFUNCTION("""COMPUTED_VALUE"""),"PfNCx")</f>
        <v>PfNCx</v>
      </c>
      <c r="T623" s="179" t="str">
        <f>IFERROR(__xludf.DUMMYFUNCTION("""COMPUTED_VALUE"""),"[Galvan, 2015]")</f>
        <v>[Galvan, 2015]</v>
      </c>
      <c r="U623" s="179">
        <f>IFERROR(__xludf.DUMMYFUNCTION("""COMPUTED_VALUE"""),0.0)</f>
        <v>0</v>
      </c>
      <c r="V623" s="180">
        <f>IFERROR(__xludf.DUMMYFUNCTION("""COMPUTED_VALUE"""),0.0)</f>
        <v>0</v>
      </c>
      <c r="W623" s="180">
        <f>IFERROR(__xludf.DUMMYFUNCTION("""COMPUTED_VALUE"""),0.95)</f>
        <v>0.95</v>
      </c>
      <c r="X623" s="42">
        <f>IFERROR(__xludf.DUMMYFUNCTION("""COMPUTED_VALUE"""),0.0)</f>
        <v>0</v>
      </c>
      <c r="Y623" s="42">
        <f>IFERROR(__xludf.DUMMYFUNCTION("""COMPUTED_VALUE"""),0.0)</f>
        <v>0</v>
      </c>
      <c r="Z623" s="9">
        <f>IFERROR(__xludf.DUMMYFUNCTION("""COMPUTED_VALUE"""),0.0)</f>
        <v>0</v>
      </c>
      <c r="AA623" s="181">
        <f>IFERROR(__xludf.DUMMYFUNCTION("""COMPUTED_VALUE"""),0.0)</f>
        <v>0</v>
      </c>
      <c r="AB623" s="181">
        <f>IFERROR(__xludf.DUMMYFUNCTION("""COMPUTED_VALUE"""),0.0)</f>
        <v>0</v>
      </c>
      <c r="AC623" s="179">
        <f>IFERROR(__xludf.DUMMYFUNCTION("""COMPUTED_VALUE"""),0.0)</f>
        <v>0</v>
      </c>
      <c r="AD623" s="165">
        <f>IFERROR(__xludf.DUMMYFUNCTION("""COMPUTED_VALUE"""),0.0)</f>
        <v>0</v>
      </c>
      <c r="AE623" s="39" t="str">
        <f>IFERROR(__xludf.DUMMYFUNCTION("""COMPUTED_VALUE"""),"Yuske Shibata")</f>
        <v>Yuske Shibata</v>
      </c>
      <c r="AF623" s="39" t="str">
        <f>IFERROR(__xludf.DUMMYFUNCTION("""COMPUTED_VALUE"""),"YS21BgLoop")</f>
        <v>YS21BgLoop</v>
      </c>
      <c r="AG623" s="39"/>
      <c r="AH623" s="39"/>
      <c r="AI623" s="165"/>
      <c r="AJ623" s="165"/>
      <c r="AK623" s="111"/>
      <c r="AL623" s="111"/>
      <c r="AM623" s="111"/>
      <c r="AN623" s="111"/>
      <c r="AO623" s="111"/>
      <c r="AP623" s="111"/>
      <c r="AQ623" s="116"/>
      <c r="AR623" s="116"/>
      <c r="AS623" s="116"/>
    </row>
    <row r="624">
      <c r="A624" s="42" t="str">
        <f>IFERROR(__xludf.DUMMYFUNCTION("""COMPUTED_VALUE"""),"PHN")</f>
        <v>PHN</v>
      </c>
      <c r="B624" s="42"/>
      <c r="C624" s="42"/>
      <c r="D624" s="42" t="str">
        <f>IFERROR(__xludf.DUMMYFUNCTION("""COMPUTED_VALUE"""),"Me")</f>
        <v>Me</v>
      </c>
      <c r="E624" s="42"/>
      <c r="F624" s="42"/>
      <c r="G624" s="42"/>
      <c r="H624" s="42" t="str">
        <f>IFERROR(__xludf.DUMMYFUNCTION("""COMPUTED_VALUE"""),"")</f>
        <v/>
      </c>
      <c r="I624" s="42" t="str">
        <f>IFERROR(__xludf.DUMMYFUNCTION("""COMPUTED_VALUE"""),"Pitkänen, 2000")</f>
        <v>Pitkänen, 2000</v>
      </c>
      <c r="J624" s="42" t="str">
        <f>IFERROR(__xludf.DUMMYFUNCTION("""COMPUTED_VALUE"""),"Rat")</f>
        <v>Rat</v>
      </c>
      <c r="K624" s="42" t="str">
        <f>IFERROR(__xludf.DUMMYFUNCTION("""COMPUTED_VALUE"""),"Various tracing")</f>
        <v>Various tracing</v>
      </c>
      <c r="L624" s="42"/>
      <c r="M624" s="42" t="str">
        <f>IFERROR(__xludf.DUMMYFUNCTION("""COMPUTED_VALUE"""),"fig.3-fig.12 (to be specified)")</f>
        <v>fig.3-fig.12 (to be specified)</v>
      </c>
      <c r="N624" s="42"/>
      <c r="O624" s="31" t="str">
        <f>IFERROR(__xludf.DUMMYFUNCTION("""COMPUTED_VALUE"""),"DOC(alt)")</f>
        <v>DOC(alt)</v>
      </c>
      <c r="P624" s="9" t="str">
        <f>IFERROR(__xludf.DUMMYFUNCTION("""COMPUTED_VALUE"""),"Folia morphologica")</f>
        <v>Folia morphologica</v>
      </c>
      <c r="Q624" s="9" t="str">
        <f>IFERROR(__xludf.DUMMYFUNCTION("""COMPUTED_VALUE"""),"Review")</f>
        <v>Review</v>
      </c>
      <c r="R624" s="179" t="str">
        <f>IFERROR(__xludf.DUMMYFUNCTION("""COMPUTED_VALUE"""),"Me (00/00) [Pitkänen, 2000];
")</f>
        <v>Me (00/00) [Pitkänen, 2000];
</v>
      </c>
      <c r="S624" s="179" t="str">
        <f>IFERROR(__xludf.DUMMYFUNCTION("""COMPUTED_VALUE"""),"PHNMe")</f>
        <v>PHNMe</v>
      </c>
      <c r="T624" s="179" t="str">
        <f>IFERROR(__xludf.DUMMYFUNCTION("""COMPUTED_VALUE"""),"[Pitkänen, 2000]")</f>
        <v>[Pitkänen, 2000]</v>
      </c>
      <c r="U624" s="179">
        <f>IFERROR(__xludf.DUMMYFUNCTION("""COMPUTED_VALUE"""),0.0)</f>
        <v>0</v>
      </c>
      <c r="V624" s="180">
        <f>IFERROR(__xludf.DUMMYFUNCTION("""COMPUTED_VALUE"""),0.0)</f>
        <v>0</v>
      </c>
      <c r="W624" s="180">
        <f>IFERROR(__xludf.DUMMYFUNCTION("""COMPUTED_VALUE"""),0.95)</f>
        <v>0.95</v>
      </c>
      <c r="X624" s="42">
        <f>IFERROR(__xludf.DUMMYFUNCTION("""COMPUTED_VALUE"""),0.8)</f>
        <v>0.8</v>
      </c>
      <c r="Y624" s="42">
        <f>IFERROR(__xludf.DUMMYFUNCTION("""COMPUTED_VALUE"""),0.6)</f>
        <v>0.6</v>
      </c>
      <c r="Z624" s="9">
        <f>IFERROR(__xludf.DUMMYFUNCTION("""COMPUTED_VALUE"""),0.9)</f>
        <v>0.9</v>
      </c>
      <c r="AA624" s="181">
        <f>IFERROR(__xludf.DUMMYFUNCTION("""COMPUTED_VALUE"""),0.0)</f>
        <v>0</v>
      </c>
      <c r="AB624" s="181">
        <f>IFERROR(__xludf.DUMMYFUNCTION("""COMPUTED_VALUE"""),0.0)</f>
        <v>0</v>
      </c>
      <c r="AC624" s="179">
        <f>IFERROR(__xludf.DUMMYFUNCTION("""COMPUTED_VALUE"""),0.0)</f>
        <v>0</v>
      </c>
      <c r="AD624" s="165">
        <f>IFERROR(__xludf.DUMMYFUNCTION("""COMPUTED_VALUE"""),0.0)</f>
        <v>0</v>
      </c>
      <c r="AE624" s="39" t="str">
        <f>IFERROR(__xludf.DUMMYFUNCTION("""COMPUTED_VALUE"""),"Tatsuya Miyamoto")</f>
        <v>Tatsuya Miyamoto</v>
      </c>
      <c r="AF624" s="39" t="str">
        <f>IFERROR(__xludf.DUMMYFUNCTION("""COMPUTED_VALUE"""),"TM21Amygdala")</f>
        <v>TM21Amygdala</v>
      </c>
      <c r="AG624" s="39"/>
      <c r="AH624" s="39"/>
      <c r="AI624" s="165"/>
      <c r="AJ624" s="165"/>
      <c r="AK624" s="111"/>
      <c r="AL624" s="111"/>
      <c r="AM624" s="111"/>
      <c r="AN624" s="111"/>
      <c r="AO624" s="111"/>
      <c r="AP624" s="111"/>
      <c r="AQ624" s="116"/>
      <c r="AR624" s="116"/>
      <c r="AS624" s="116"/>
    </row>
    <row r="625">
      <c r="A625" s="42" t="str">
        <f>IFERROR(__xludf.DUMMYFUNCTION("""COMPUTED_VALUE"""),"Pir")</f>
        <v>Pir</v>
      </c>
      <c r="B625" s="42"/>
      <c r="C625" s="42"/>
      <c r="D625" s="42" t="str">
        <f>IFERROR(__xludf.DUMMYFUNCTION("""COMPUTED_VALUE"""),"CoA")</f>
        <v>CoA</v>
      </c>
      <c r="E625" s="42"/>
      <c r="F625" s="42"/>
      <c r="G625" s="42"/>
      <c r="H625" s="42" t="str">
        <f>IFERROR(__xludf.DUMMYFUNCTION("""COMPUTED_VALUE"""),"")</f>
        <v/>
      </c>
      <c r="I625" s="42" t="str">
        <f>IFERROR(__xludf.DUMMYFUNCTION("""COMPUTED_VALUE"""),"Pitkänen, 2000")</f>
        <v>Pitkänen, 2000</v>
      </c>
      <c r="J625" s="42" t="str">
        <f>IFERROR(__xludf.DUMMYFUNCTION("""COMPUTED_VALUE"""),"Rat")</f>
        <v>Rat</v>
      </c>
      <c r="K625" s="42" t="str">
        <f>IFERROR(__xludf.DUMMYFUNCTION("""COMPUTED_VALUE"""),"Various tracing")</f>
        <v>Various tracing</v>
      </c>
      <c r="L625" s="42"/>
      <c r="M625" s="42" t="str">
        <f>IFERROR(__xludf.DUMMYFUNCTION("""COMPUTED_VALUE"""),"fig.3-fig.12 (to be specified)")</f>
        <v>fig.3-fig.12 (to be specified)</v>
      </c>
      <c r="N625" s="42"/>
      <c r="O625" s="31" t="str">
        <f>IFERROR(__xludf.DUMMYFUNCTION("""COMPUTED_VALUE"""),"DOC(alt)")</f>
        <v>DOC(alt)</v>
      </c>
      <c r="P625" s="9" t="str">
        <f>IFERROR(__xludf.DUMMYFUNCTION("""COMPUTED_VALUE"""),"Folia morphologica")</f>
        <v>Folia morphologica</v>
      </c>
      <c r="Q625" s="9" t="str">
        <f>IFERROR(__xludf.DUMMYFUNCTION("""COMPUTED_VALUE"""),"Review")</f>
        <v>Review</v>
      </c>
      <c r="R625" s="179" t="str">
        <f>IFERROR(__xludf.DUMMYFUNCTION("""COMPUTED_VALUE"""),"CoA (00/00) [Pitkänen, 2000];
")</f>
        <v>CoA (00/00) [Pitkänen, 2000];
</v>
      </c>
      <c r="S625" s="179" t="str">
        <f>IFERROR(__xludf.DUMMYFUNCTION("""COMPUTED_VALUE"""),"PirCoA")</f>
        <v>PirCoA</v>
      </c>
      <c r="T625" s="179" t="str">
        <f>IFERROR(__xludf.DUMMYFUNCTION("""COMPUTED_VALUE"""),"[Pitkänen, 2000]")</f>
        <v>[Pitkänen, 2000]</v>
      </c>
      <c r="U625" s="179">
        <f>IFERROR(__xludf.DUMMYFUNCTION("""COMPUTED_VALUE"""),0.0)</f>
        <v>0</v>
      </c>
      <c r="V625" s="180">
        <f>IFERROR(__xludf.DUMMYFUNCTION("""COMPUTED_VALUE"""),0.0)</f>
        <v>0</v>
      </c>
      <c r="W625" s="180">
        <f>IFERROR(__xludf.DUMMYFUNCTION("""COMPUTED_VALUE"""),0.95)</f>
        <v>0.95</v>
      </c>
      <c r="X625" s="42">
        <f>IFERROR(__xludf.DUMMYFUNCTION("""COMPUTED_VALUE"""),0.8)</f>
        <v>0.8</v>
      </c>
      <c r="Y625" s="42">
        <f>IFERROR(__xludf.DUMMYFUNCTION("""COMPUTED_VALUE"""),0.6)</f>
        <v>0.6</v>
      </c>
      <c r="Z625" s="9">
        <f>IFERROR(__xludf.DUMMYFUNCTION("""COMPUTED_VALUE"""),0.9)</f>
        <v>0.9</v>
      </c>
      <c r="AA625" s="181">
        <f>IFERROR(__xludf.DUMMYFUNCTION("""COMPUTED_VALUE"""),0.0)</f>
        <v>0</v>
      </c>
      <c r="AB625" s="181">
        <f>IFERROR(__xludf.DUMMYFUNCTION("""COMPUTED_VALUE"""),0.0)</f>
        <v>0</v>
      </c>
      <c r="AC625" s="179">
        <f>IFERROR(__xludf.DUMMYFUNCTION("""COMPUTED_VALUE"""),0.0)</f>
        <v>0</v>
      </c>
      <c r="AD625" s="165">
        <f>IFERROR(__xludf.DUMMYFUNCTION("""COMPUTED_VALUE"""),0.0)</f>
        <v>0</v>
      </c>
      <c r="AE625" s="39" t="str">
        <f>IFERROR(__xludf.DUMMYFUNCTION("""COMPUTED_VALUE"""),"Tatsuya Miyamoto")</f>
        <v>Tatsuya Miyamoto</v>
      </c>
      <c r="AF625" s="39" t="str">
        <f>IFERROR(__xludf.DUMMYFUNCTION("""COMPUTED_VALUE"""),"TM21Amygdala")</f>
        <v>TM21Amygdala</v>
      </c>
      <c r="AG625" s="39"/>
      <c r="AH625" s="39"/>
      <c r="AI625" s="165"/>
      <c r="AJ625" s="165"/>
      <c r="AK625" s="111"/>
      <c r="AL625" s="111"/>
      <c r="AM625" s="111"/>
      <c r="AN625" s="111"/>
      <c r="AO625" s="111"/>
      <c r="AP625" s="111"/>
      <c r="AQ625" s="116"/>
      <c r="AR625" s="116"/>
      <c r="AS625" s="116"/>
    </row>
    <row r="626">
      <c r="A626" s="42" t="str">
        <f>IFERROR(__xludf.DUMMYFUNCTION("""COMPUTED_VALUE"""),"Pir")</f>
        <v>Pir</v>
      </c>
      <c r="B626" s="42"/>
      <c r="C626" s="42"/>
      <c r="D626" s="42" t="str">
        <f>IFERROR(__xludf.DUMMYFUNCTION("""COMPUTED_VALUE"""),"CoP")</f>
        <v>CoP</v>
      </c>
      <c r="E626" s="42"/>
      <c r="F626" s="42"/>
      <c r="G626" s="42"/>
      <c r="H626" s="42" t="str">
        <f>IFERROR(__xludf.DUMMYFUNCTION("""COMPUTED_VALUE"""),"")</f>
        <v/>
      </c>
      <c r="I626" s="42" t="str">
        <f>IFERROR(__xludf.DUMMYFUNCTION("""COMPUTED_VALUE"""),"Pitkänen, 2000")</f>
        <v>Pitkänen, 2000</v>
      </c>
      <c r="J626" s="42" t="str">
        <f>IFERROR(__xludf.DUMMYFUNCTION("""COMPUTED_VALUE"""),"Rat")</f>
        <v>Rat</v>
      </c>
      <c r="K626" s="42" t="str">
        <f>IFERROR(__xludf.DUMMYFUNCTION("""COMPUTED_VALUE"""),"Various tracing")</f>
        <v>Various tracing</v>
      </c>
      <c r="L626" s="42"/>
      <c r="M626" s="42" t="str">
        <f>IFERROR(__xludf.DUMMYFUNCTION("""COMPUTED_VALUE"""),"fig.3-fig.12 (to be specified)")</f>
        <v>fig.3-fig.12 (to be specified)</v>
      </c>
      <c r="N626" s="42"/>
      <c r="O626" s="31" t="str">
        <f>IFERROR(__xludf.DUMMYFUNCTION("""COMPUTED_VALUE"""),"DOC(alt)")</f>
        <v>DOC(alt)</v>
      </c>
      <c r="P626" s="9" t="str">
        <f>IFERROR(__xludf.DUMMYFUNCTION("""COMPUTED_VALUE"""),"Folia morphologica")</f>
        <v>Folia morphologica</v>
      </c>
      <c r="Q626" s="9" t="str">
        <f>IFERROR(__xludf.DUMMYFUNCTION("""COMPUTED_VALUE"""),"Review")</f>
        <v>Review</v>
      </c>
      <c r="R626" s="179" t="str">
        <f>IFERROR(__xludf.DUMMYFUNCTION("""COMPUTED_VALUE"""),"CoP (00/00) [Pitkänen, 2000];
")</f>
        <v>CoP (00/00) [Pitkänen, 2000];
</v>
      </c>
      <c r="S626" s="179" t="str">
        <f>IFERROR(__xludf.DUMMYFUNCTION("""COMPUTED_VALUE"""),"PirCoP")</f>
        <v>PirCoP</v>
      </c>
      <c r="T626" s="179" t="str">
        <f>IFERROR(__xludf.DUMMYFUNCTION("""COMPUTED_VALUE"""),"[Pitkänen, 2000]")</f>
        <v>[Pitkänen, 2000]</v>
      </c>
      <c r="U626" s="179">
        <f>IFERROR(__xludf.DUMMYFUNCTION("""COMPUTED_VALUE"""),0.0)</f>
        <v>0</v>
      </c>
      <c r="V626" s="180">
        <f>IFERROR(__xludf.DUMMYFUNCTION("""COMPUTED_VALUE"""),0.0)</f>
        <v>0</v>
      </c>
      <c r="W626" s="180">
        <f>IFERROR(__xludf.DUMMYFUNCTION("""COMPUTED_VALUE"""),0.95)</f>
        <v>0.95</v>
      </c>
      <c r="X626" s="42">
        <f>IFERROR(__xludf.DUMMYFUNCTION("""COMPUTED_VALUE"""),0.8)</f>
        <v>0.8</v>
      </c>
      <c r="Y626" s="42">
        <f>IFERROR(__xludf.DUMMYFUNCTION("""COMPUTED_VALUE"""),0.6)</f>
        <v>0.6</v>
      </c>
      <c r="Z626" s="9">
        <f>IFERROR(__xludf.DUMMYFUNCTION("""COMPUTED_VALUE"""),0.9)</f>
        <v>0.9</v>
      </c>
      <c r="AA626" s="181">
        <f>IFERROR(__xludf.DUMMYFUNCTION("""COMPUTED_VALUE"""),0.0)</f>
        <v>0</v>
      </c>
      <c r="AB626" s="181">
        <f>IFERROR(__xludf.DUMMYFUNCTION("""COMPUTED_VALUE"""),0.0)</f>
        <v>0</v>
      </c>
      <c r="AC626" s="179">
        <f>IFERROR(__xludf.DUMMYFUNCTION("""COMPUTED_VALUE"""),0.0)</f>
        <v>0</v>
      </c>
      <c r="AD626" s="165">
        <f>IFERROR(__xludf.DUMMYFUNCTION("""COMPUTED_VALUE"""),0.0)</f>
        <v>0</v>
      </c>
      <c r="AE626" s="39" t="str">
        <f>IFERROR(__xludf.DUMMYFUNCTION("""COMPUTED_VALUE"""),"Tatsuya Miyamoto")</f>
        <v>Tatsuya Miyamoto</v>
      </c>
      <c r="AF626" s="39" t="str">
        <f>IFERROR(__xludf.DUMMYFUNCTION("""COMPUTED_VALUE"""),"TM21Amygdala")</f>
        <v>TM21Amygdala</v>
      </c>
      <c r="AG626" s="39"/>
      <c r="AH626" s="39"/>
      <c r="AI626" s="165"/>
      <c r="AJ626" s="165"/>
      <c r="AK626" s="111"/>
      <c r="AL626" s="111"/>
      <c r="AM626" s="111"/>
      <c r="AN626" s="111"/>
      <c r="AO626" s="111"/>
      <c r="AP626" s="111"/>
      <c r="AQ626" s="116"/>
      <c r="AR626" s="116"/>
      <c r="AS626" s="116"/>
    </row>
    <row r="627">
      <c r="A627" s="42" t="str">
        <f>IFERROR(__xludf.DUMMYFUNCTION("""COMPUTED_VALUE"""),"Pir")</f>
        <v>Pir</v>
      </c>
      <c r="B627" s="42"/>
      <c r="C627" s="42"/>
      <c r="D627" s="42" t="str">
        <f>IFERROR(__xludf.DUMMYFUNCTION("""COMPUTED_VALUE"""),"Me")</f>
        <v>Me</v>
      </c>
      <c r="E627" s="42"/>
      <c r="F627" s="42"/>
      <c r="G627" s="42"/>
      <c r="H627" s="42" t="str">
        <f>IFERROR(__xludf.DUMMYFUNCTION("""COMPUTED_VALUE"""),"")</f>
        <v/>
      </c>
      <c r="I627" s="42" t="str">
        <f>IFERROR(__xludf.DUMMYFUNCTION("""COMPUTED_VALUE"""),"Pitkänen, 2000")</f>
        <v>Pitkänen, 2000</v>
      </c>
      <c r="J627" s="42" t="str">
        <f>IFERROR(__xludf.DUMMYFUNCTION("""COMPUTED_VALUE"""),"Rat")</f>
        <v>Rat</v>
      </c>
      <c r="K627" s="42" t="str">
        <f>IFERROR(__xludf.DUMMYFUNCTION("""COMPUTED_VALUE"""),"Various tracing")</f>
        <v>Various tracing</v>
      </c>
      <c r="L627" s="42"/>
      <c r="M627" s="42" t="str">
        <f>IFERROR(__xludf.DUMMYFUNCTION("""COMPUTED_VALUE"""),"fig.3-fig.12 (to be specified)")</f>
        <v>fig.3-fig.12 (to be specified)</v>
      </c>
      <c r="N627" s="42"/>
      <c r="O627" s="31" t="str">
        <f>IFERROR(__xludf.DUMMYFUNCTION("""COMPUTED_VALUE"""),"DOC(alt)")</f>
        <v>DOC(alt)</v>
      </c>
      <c r="P627" s="9" t="str">
        <f>IFERROR(__xludf.DUMMYFUNCTION("""COMPUTED_VALUE"""),"Folia morphologica")</f>
        <v>Folia morphologica</v>
      </c>
      <c r="Q627" s="9" t="str">
        <f>IFERROR(__xludf.DUMMYFUNCTION("""COMPUTED_VALUE"""),"Review")</f>
        <v>Review</v>
      </c>
      <c r="R627" s="179" t="str">
        <f>IFERROR(__xludf.DUMMYFUNCTION("""COMPUTED_VALUE"""),"Me (00/00) [Pitkänen, 2000];
")</f>
        <v>Me (00/00) [Pitkänen, 2000];
</v>
      </c>
      <c r="S627" s="179" t="str">
        <f>IFERROR(__xludf.DUMMYFUNCTION("""COMPUTED_VALUE"""),"PirMe")</f>
        <v>PirMe</v>
      </c>
      <c r="T627" s="179" t="str">
        <f>IFERROR(__xludf.DUMMYFUNCTION("""COMPUTED_VALUE"""),"[Pitkänen, 2000]")</f>
        <v>[Pitkänen, 2000]</v>
      </c>
      <c r="U627" s="179">
        <f>IFERROR(__xludf.DUMMYFUNCTION("""COMPUTED_VALUE"""),0.0)</f>
        <v>0</v>
      </c>
      <c r="V627" s="180">
        <f>IFERROR(__xludf.DUMMYFUNCTION("""COMPUTED_VALUE"""),0.0)</f>
        <v>0</v>
      </c>
      <c r="W627" s="180">
        <f>IFERROR(__xludf.DUMMYFUNCTION("""COMPUTED_VALUE"""),0.95)</f>
        <v>0.95</v>
      </c>
      <c r="X627" s="42">
        <f>IFERROR(__xludf.DUMMYFUNCTION("""COMPUTED_VALUE"""),0.8)</f>
        <v>0.8</v>
      </c>
      <c r="Y627" s="42">
        <f>IFERROR(__xludf.DUMMYFUNCTION("""COMPUTED_VALUE"""),0.6)</f>
        <v>0.6</v>
      </c>
      <c r="Z627" s="9">
        <f>IFERROR(__xludf.DUMMYFUNCTION("""COMPUTED_VALUE"""),0.9)</f>
        <v>0.9</v>
      </c>
      <c r="AA627" s="181">
        <f>IFERROR(__xludf.DUMMYFUNCTION("""COMPUTED_VALUE"""),0.0)</f>
        <v>0</v>
      </c>
      <c r="AB627" s="181">
        <f>IFERROR(__xludf.DUMMYFUNCTION("""COMPUTED_VALUE"""),0.0)</f>
        <v>0</v>
      </c>
      <c r="AC627" s="179">
        <f>IFERROR(__xludf.DUMMYFUNCTION("""COMPUTED_VALUE"""),0.0)</f>
        <v>0</v>
      </c>
      <c r="AD627" s="165">
        <f>IFERROR(__xludf.DUMMYFUNCTION("""COMPUTED_VALUE"""),0.0)</f>
        <v>0</v>
      </c>
      <c r="AE627" s="39" t="str">
        <f>IFERROR(__xludf.DUMMYFUNCTION("""COMPUTED_VALUE"""),"Tatsuya Miyamoto")</f>
        <v>Tatsuya Miyamoto</v>
      </c>
      <c r="AF627" s="39" t="str">
        <f>IFERROR(__xludf.DUMMYFUNCTION("""COMPUTED_VALUE"""),"TM21Amygdala")</f>
        <v>TM21Amygdala</v>
      </c>
      <c r="AG627" s="39"/>
      <c r="AH627" s="39"/>
      <c r="AI627" s="165"/>
      <c r="AJ627" s="165"/>
      <c r="AK627" s="111"/>
      <c r="AL627" s="111"/>
      <c r="AM627" s="111"/>
      <c r="AN627" s="111"/>
      <c r="AO627" s="111"/>
      <c r="AP627" s="111"/>
      <c r="AQ627" s="116"/>
      <c r="AR627" s="116"/>
      <c r="AS627" s="116"/>
    </row>
    <row r="628">
      <c r="A628" s="42" t="str">
        <f>IFERROR(__xludf.DUMMYFUNCTION("""COMPUTED_VALUE"""),"Pir")</f>
        <v>Pir</v>
      </c>
      <c r="B628" s="42"/>
      <c r="C628" s="42"/>
      <c r="D628" s="42" t="str">
        <f>IFERROR(__xludf.DUMMYFUNCTION("""COMPUTED_VALUE"""),"PAC")</f>
        <v>PAC</v>
      </c>
      <c r="E628" s="42"/>
      <c r="F628" s="42"/>
      <c r="G628" s="42"/>
      <c r="H628" s="42" t="str">
        <f>IFERROR(__xludf.DUMMYFUNCTION("""COMPUTED_VALUE"""),"")</f>
        <v/>
      </c>
      <c r="I628" s="42" t="str">
        <f>IFERROR(__xludf.DUMMYFUNCTION("""COMPUTED_VALUE"""),"Pitkänen, 2000")</f>
        <v>Pitkänen, 2000</v>
      </c>
      <c r="J628" s="42" t="str">
        <f>IFERROR(__xludf.DUMMYFUNCTION("""COMPUTED_VALUE"""),"Rat")</f>
        <v>Rat</v>
      </c>
      <c r="K628" s="42" t="str">
        <f>IFERROR(__xludf.DUMMYFUNCTION("""COMPUTED_VALUE"""),"Various tracing")</f>
        <v>Various tracing</v>
      </c>
      <c r="L628" s="42"/>
      <c r="M628" s="42" t="str">
        <f>IFERROR(__xludf.DUMMYFUNCTION("""COMPUTED_VALUE"""),"fig.3-fig.12 (to be specified)")</f>
        <v>fig.3-fig.12 (to be specified)</v>
      </c>
      <c r="N628" s="42"/>
      <c r="O628" s="31" t="str">
        <f>IFERROR(__xludf.DUMMYFUNCTION("""COMPUTED_VALUE"""),"DOC(alt)")</f>
        <v>DOC(alt)</v>
      </c>
      <c r="P628" s="9" t="str">
        <f>IFERROR(__xludf.DUMMYFUNCTION("""COMPUTED_VALUE"""),"Folia morphologica")</f>
        <v>Folia morphologica</v>
      </c>
      <c r="Q628" s="9" t="str">
        <f>IFERROR(__xludf.DUMMYFUNCTION("""COMPUTED_VALUE"""),"Review")</f>
        <v>Review</v>
      </c>
      <c r="R628" s="179" t="str">
        <f>IFERROR(__xludf.DUMMYFUNCTION("""COMPUTED_VALUE"""),"PAC (00/00) [Pitkänen, 2000];
")</f>
        <v>PAC (00/00) [Pitkänen, 2000];
</v>
      </c>
      <c r="S628" s="179" t="str">
        <f>IFERROR(__xludf.DUMMYFUNCTION("""COMPUTED_VALUE"""),"PirPAC")</f>
        <v>PirPAC</v>
      </c>
      <c r="T628" s="179" t="str">
        <f>IFERROR(__xludf.DUMMYFUNCTION("""COMPUTED_VALUE"""),"[Pitkänen, 2000]")</f>
        <v>[Pitkänen, 2000]</v>
      </c>
      <c r="U628" s="179">
        <f>IFERROR(__xludf.DUMMYFUNCTION("""COMPUTED_VALUE"""),0.0)</f>
        <v>0</v>
      </c>
      <c r="V628" s="180">
        <f>IFERROR(__xludf.DUMMYFUNCTION("""COMPUTED_VALUE"""),0.0)</f>
        <v>0</v>
      </c>
      <c r="W628" s="180">
        <f>IFERROR(__xludf.DUMMYFUNCTION("""COMPUTED_VALUE"""),0.95)</f>
        <v>0.95</v>
      </c>
      <c r="X628" s="42">
        <f>IFERROR(__xludf.DUMMYFUNCTION("""COMPUTED_VALUE"""),0.8)</f>
        <v>0.8</v>
      </c>
      <c r="Y628" s="42">
        <f>IFERROR(__xludf.DUMMYFUNCTION("""COMPUTED_VALUE"""),0.6)</f>
        <v>0.6</v>
      </c>
      <c r="Z628" s="9">
        <f>IFERROR(__xludf.DUMMYFUNCTION("""COMPUTED_VALUE"""),0.9)</f>
        <v>0.9</v>
      </c>
      <c r="AA628" s="181">
        <f>IFERROR(__xludf.DUMMYFUNCTION("""COMPUTED_VALUE"""),0.0)</f>
        <v>0</v>
      </c>
      <c r="AB628" s="181">
        <f>IFERROR(__xludf.DUMMYFUNCTION("""COMPUTED_VALUE"""),0.0)</f>
        <v>0</v>
      </c>
      <c r="AC628" s="179">
        <f>IFERROR(__xludf.DUMMYFUNCTION("""COMPUTED_VALUE"""),0.0)</f>
        <v>0</v>
      </c>
      <c r="AD628" s="165">
        <f>IFERROR(__xludf.DUMMYFUNCTION("""COMPUTED_VALUE"""),0.0)</f>
        <v>0</v>
      </c>
      <c r="AE628" s="39" t="str">
        <f>IFERROR(__xludf.DUMMYFUNCTION("""COMPUTED_VALUE"""),"Tatsuya Miyamoto")</f>
        <v>Tatsuya Miyamoto</v>
      </c>
      <c r="AF628" s="39" t="str">
        <f>IFERROR(__xludf.DUMMYFUNCTION("""COMPUTED_VALUE"""),"TM21Amygdala")</f>
        <v>TM21Amygdala</v>
      </c>
      <c r="AG628" s="39"/>
      <c r="AH628" s="39"/>
      <c r="AI628" s="165"/>
      <c r="AJ628" s="165"/>
      <c r="AK628" s="111"/>
      <c r="AL628" s="111"/>
      <c r="AM628" s="111"/>
      <c r="AN628" s="111"/>
      <c r="AO628" s="111"/>
      <c r="AP628" s="111"/>
      <c r="AQ628" s="116"/>
      <c r="AR628" s="116"/>
      <c r="AS628" s="116"/>
    </row>
    <row r="629">
      <c r="A629" s="42" t="str">
        <f>IFERROR(__xludf.DUMMYFUNCTION("""COMPUTED_VALUE"""),"PMN")</f>
        <v>PMN</v>
      </c>
      <c r="B629" s="42"/>
      <c r="C629" s="42"/>
      <c r="D629" s="42" t="str">
        <f>IFERROR(__xludf.DUMMYFUNCTION("""COMPUTED_VALUE"""),"AHA")</f>
        <v>AHA</v>
      </c>
      <c r="E629" s="42"/>
      <c r="F629" s="42"/>
      <c r="G629" s="42"/>
      <c r="H629" s="42" t="str">
        <f>IFERROR(__xludf.DUMMYFUNCTION("""COMPUTED_VALUE"""),"")</f>
        <v/>
      </c>
      <c r="I629" s="42" t="str">
        <f>IFERROR(__xludf.DUMMYFUNCTION("""COMPUTED_VALUE"""),"Pitkänen, 2000")</f>
        <v>Pitkänen, 2000</v>
      </c>
      <c r="J629" s="42" t="str">
        <f>IFERROR(__xludf.DUMMYFUNCTION("""COMPUTED_VALUE"""),"Rat")</f>
        <v>Rat</v>
      </c>
      <c r="K629" s="42" t="str">
        <f>IFERROR(__xludf.DUMMYFUNCTION("""COMPUTED_VALUE"""),"Various tracing")</f>
        <v>Various tracing</v>
      </c>
      <c r="L629" s="42"/>
      <c r="M629" s="42" t="str">
        <f>IFERROR(__xludf.DUMMYFUNCTION("""COMPUTED_VALUE"""),"fig.3-fig.12 (to be specified)")</f>
        <v>fig.3-fig.12 (to be specified)</v>
      </c>
      <c r="N629" s="42"/>
      <c r="O629" s="31" t="str">
        <f>IFERROR(__xludf.DUMMYFUNCTION("""COMPUTED_VALUE"""),"DOC(alt)")</f>
        <v>DOC(alt)</v>
      </c>
      <c r="P629" s="9" t="str">
        <f>IFERROR(__xludf.DUMMYFUNCTION("""COMPUTED_VALUE"""),"Folia morphologica")</f>
        <v>Folia morphologica</v>
      </c>
      <c r="Q629" s="9" t="str">
        <f>IFERROR(__xludf.DUMMYFUNCTION("""COMPUTED_VALUE"""),"Review")</f>
        <v>Review</v>
      </c>
      <c r="R629" s="179" t="str">
        <f>IFERROR(__xludf.DUMMYFUNCTION("""COMPUTED_VALUE"""),"AHA (00/00) [Pitkänen, 2000];
")</f>
        <v>AHA (00/00) [Pitkänen, 2000];
</v>
      </c>
      <c r="S629" s="179" t="str">
        <f>IFERROR(__xludf.DUMMYFUNCTION("""COMPUTED_VALUE"""),"PMNAHA")</f>
        <v>PMNAHA</v>
      </c>
      <c r="T629" s="179" t="str">
        <f>IFERROR(__xludf.DUMMYFUNCTION("""COMPUTED_VALUE"""),"[Pitkänen, 2000]")</f>
        <v>[Pitkänen, 2000]</v>
      </c>
      <c r="U629" s="179">
        <f>IFERROR(__xludf.DUMMYFUNCTION("""COMPUTED_VALUE"""),0.0)</f>
        <v>0</v>
      </c>
      <c r="V629" s="180">
        <f>IFERROR(__xludf.DUMMYFUNCTION("""COMPUTED_VALUE"""),0.0)</f>
        <v>0</v>
      </c>
      <c r="W629" s="180">
        <f>IFERROR(__xludf.DUMMYFUNCTION("""COMPUTED_VALUE"""),0.95)</f>
        <v>0.95</v>
      </c>
      <c r="X629" s="42">
        <f>IFERROR(__xludf.DUMMYFUNCTION("""COMPUTED_VALUE"""),0.8)</f>
        <v>0.8</v>
      </c>
      <c r="Y629" s="42">
        <f>IFERROR(__xludf.DUMMYFUNCTION("""COMPUTED_VALUE"""),0.6)</f>
        <v>0.6</v>
      </c>
      <c r="Z629" s="9">
        <f>IFERROR(__xludf.DUMMYFUNCTION("""COMPUTED_VALUE"""),0.9)</f>
        <v>0.9</v>
      </c>
      <c r="AA629" s="181">
        <f>IFERROR(__xludf.DUMMYFUNCTION("""COMPUTED_VALUE"""),0.0)</f>
        <v>0</v>
      </c>
      <c r="AB629" s="181">
        <f>IFERROR(__xludf.DUMMYFUNCTION("""COMPUTED_VALUE"""),0.0)</f>
        <v>0</v>
      </c>
      <c r="AC629" s="179">
        <f>IFERROR(__xludf.DUMMYFUNCTION("""COMPUTED_VALUE"""),0.0)</f>
        <v>0</v>
      </c>
      <c r="AD629" s="165">
        <f>IFERROR(__xludf.DUMMYFUNCTION("""COMPUTED_VALUE"""),0.0)</f>
        <v>0</v>
      </c>
      <c r="AE629" s="39" t="str">
        <f>IFERROR(__xludf.DUMMYFUNCTION("""COMPUTED_VALUE"""),"Tatsuya Miyamoto")</f>
        <v>Tatsuya Miyamoto</v>
      </c>
      <c r="AF629" s="39" t="str">
        <f>IFERROR(__xludf.DUMMYFUNCTION("""COMPUTED_VALUE"""),"TM21Amygdala")</f>
        <v>TM21Amygdala</v>
      </c>
      <c r="AG629" s="39"/>
      <c r="AH629" s="39"/>
      <c r="AI629" s="165"/>
      <c r="AJ629" s="165"/>
      <c r="AK629" s="111"/>
      <c r="AL629" s="111"/>
      <c r="AM629" s="111"/>
      <c r="AN629" s="111"/>
      <c r="AO629" s="111"/>
      <c r="AP629" s="111"/>
      <c r="AQ629" s="116"/>
      <c r="AR629" s="116"/>
      <c r="AS629" s="116"/>
    </row>
    <row r="630">
      <c r="A630" s="42" t="str">
        <f>IFERROR(__xludf.DUMMYFUNCTION("""COMPUTED_VALUE"""),"PN")</f>
        <v>PN</v>
      </c>
      <c r="B630" s="42"/>
      <c r="C630" s="42"/>
      <c r="D630" s="42" t="str">
        <f>IFERROR(__xludf.DUMMYFUNCTION("""COMPUTED_VALUE"""),"DT")</f>
        <v>DT</v>
      </c>
      <c r="E630" s="42"/>
      <c r="F630" s="42"/>
      <c r="G630" s="42"/>
      <c r="H630" s="42" t="str">
        <f>IFERROR(__xludf.DUMMYFUNCTION("""COMPUTED_VALUE"""),"")</f>
        <v/>
      </c>
      <c r="I630" s="42" t="str">
        <f>IFERROR(__xludf.DUMMYFUNCTION("""COMPUTED_VALUE"""),"D’Angelo, 2013")</f>
        <v>D’Angelo, 2013</v>
      </c>
      <c r="J630" s="42"/>
      <c r="K630" s="42"/>
      <c r="L630" s="42"/>
      <c r="M630" s="42"/>
      <c r="N630" s="42"/>
      <c r="O630" s="31" t="str">
        <f>IFERROR(__xludf.DUMMYFUNCTION("""COMPUTED_VALUE"""),"DOC")</f>
        <v>DOC</v>
      </c>
      <c r="P630" s="9" t="str">
        <f>IFERROR(__xludf.DUMMYFUNCTION("""COMPUTED_VALUE"""),"Frontiers in Neural Circuits")</f>
        <v>Frontiers in Neural Circuits</v>
      </c>
      <c r="Q630" s="9" t="str">
        <f>IFERROR(__xludf.DUMMYFUNCTION("""COMPUTED_VALUE"""),"Review")</f>
        <v>Review</v>
      </c>
      <c r="R630" s="179" t="str">
        <f>IFERROR(__xludf.DUMMYFUNCTION("""COMPUTED_VALUE"""),"DT (00/00) [D’Angelo, 2013][Knierim, 2021];
")</f>
        <v>DT (00/00) [D’Angelo, 2013][Knierim, 2021];
</v>
      </c>
      <c r="S630" s="179" t="str">
        <f>IFERROR(__xludf.DUMMYFUNCTION("""COMPUTED_VALUE"""),"PNDT")</f>
        <v>PNDT</v>
      </c>
      <c r="T630" s="179" t="str">
        <f>IFERROR(__xludf.DUMMYFUNCTION("""COMPUTED_VALUE"""),"[D’Angelo, 2013]")</f>
        <v>[D’Angelo, 2013]</v>
      </c>
      <c r="U630" s="179">
        <f>IFERROR(__xludf.DUMMYFUNCTION("""COMPUTED_VALUE"""),0.0)</f>
        <v>0</v>
      </c>
      <c r="V630" s="180">
        <f>IFERROR(__xludf.DUMMYFUNCTION("""COMPUTED_VALUE"""),0.0)</f>
        <v>0</v>
      </c>
      <c r="W630" s="180">
        <f>IFERROR(__xludf.DUMMYFUNCTION("""COMPUTED_VALUE"""),0.95)</f>
        <v>0.95</v>
      </c>
      <c r="X630" s="42">
        <f>IFERROR(__xludf.DUMMYFUNCTION("""COMPUTED_VALUE"""),0.8)</f>
        <v>0.8</v>
      </c>
      <c r="Y630" s="42">
        <f>IFERROR(__xludf.DUMMYFUNCTION("""COMPUTED_VALUE"""),0.0)</f>
        <v>0</v>
      </c>
      <c r="Z630" s="9">
        <f>IFERROR(__xludf.DUMMYFUNCTION("""COMPUTED_VALUE"""),0.0)</f>
        <v>0</v>
      </c>
      <c r="AA630" s="181">
        <f>IFERROR(__xludf.DUMMYFUNCTION("""COMPUTED_VALUE"""),0.0)</f>
        <v>0</v>
      </c>
      <c r="AB630" s="181">
        <f>IFERROR(__xludf.DUMMYFUNCTION("""COMPUTED_VALUE"""),0.0)</f>
        <v>0</v>
      </c>
      <c r="AC630" s="179">
        <f>IFERROR(__xludf.DUMMYFUNCTION("""COMPUTED_VALUE"""),0.0)</f>
        <v>0</v>
      </c>
      <c r="AD630" s="165">
        <f>IFERROR(__xludf.DUMMYFUNCTION("""COMPUTED_VALUE"""),0.0)</f>
        <v>0</v>
      </c>
      <c r="AE630" s="39" t="str">
        <f>IFERROR(__xludf.DUMMYFUNCTION("""COMPUTED_VALUE"""),"Hiroshi Yamakawa")</f>
        <v>Hiroshi Yamakawa</v>
      </c>
      <c r="AF630" s="39" t="str">
        <f>IFERROR(__xludf.DUMMYFUNCTION("""COMPUTED_VALUE"""),"HY20Cerebellum")</f>
        <v>HY20Cerebellum</v>
      </c>
      <c r="AG630" s="39"/>
      <c r="AH630" s="39"/>
      <c r="AI630" s="165"/>
      <c r="AJ630" s="165"/>
      <c r="AK630" s="111"/>
      <c r="AL630" s="111"/>
      <c r="AM630" s="111"/>
      <c r="AN630" s="111"/>
      <c r="AO630" s="111"/>
      <c r="AP630" s="111"/>
      <c r="AQ630" s="116"/>
      <c r="AR630" s="116"/>
      <c r="AS630" s="116"/>
    </row>
    <row r="631">
      <c r="A631" s="42" t="str">
        <f>IFERROR(__xludf.DUMMYFUNCTION("""COMPUTED_VALUE"""),"PN")</f>
        <v>PN</v>
      </c>
      <c r="B631" s="42"/>
      <c r="C631" s="42"/>
      <c r="D631" s="42" t="str">
        <f>IFERROR(__xludf.DUMMYFUNCTION("""COMPUTED_VALUE"""),"DT")</f>
        <v>DT</v>
      </c>
      <c r="E631" s="42"/>
      <c r="F631" s="42"/>
      <c r="G631" s="42"/>
      <c r="H631" s="42" t="str">
        <f>IFERROR(__xludf.DUMMYFUNCTION("""COMPUTED_VALUE"""),"")</f>
        <v/>
      </c>
      <c r="I631" s="42" t="str">
        <f>IFERROR(__xludf.DUMMYFUNCTION("""COMPUTED_VALUE"""),"Knierim, 2021")</f>
        <v>Knierim, 2021</v>
      </c>
      <c r="J631" s="42"/>
      <c r="K631" s="42"/>
      <c r="L631" s="42"/>
      <c r="M631" s="42"/>
      <c r="N631" s="42"/>
      <c r="O631" s="31" t="str">
        <f>IFERROR(__xludf.DUMMYFUNCTION("""COMPUTED_VALUE"""),"DOC(alt)")</f>
        <v>DOC(alt)</v>
      </c>
      <c r="P631" s="9" t="str">
        <f>IFERROR(__xludf.DUMMYFUNCTION("""COMPUTED_VALUE"""),"Neuroscience Online, an {Open-Access} Neuroscience Electronic Textbook")</f>
        <v>Neuroscience Online, an {Open-Access} Neuroscience Electronic Textbook</v>
      </c>
      <c r="Q631" s="9" t="str">
        <f>IFERROR(__xludf.DUMMYFUNCTION("""COMPUTED_VALUE"""),"Textbook")</f>
        <v>Textbook</v>
      </c>
      <c r="R631" s="179" t="str">
        <f>IFERROR(__xludf.DUMMYFUNCTION("""COMPUTED_VALUE"""),"DT (00/00) [D’Angelo, 2013][Knierim, 2021];
")</f>
        <v>DT (00/00) [D’Angelo, 2013][Knierim, 2021];
</v>
      </c>
      <c r="S631" s="179" t="str">
        <f>IFERROR(__xludf.DUMMYFUNCTION("""COMPUTED_VALUE"""),"PNDT")</f>
        <v>PNDT</v>
      </c>
      <c r="T631" s="179" t="str">
        <f>IFERROR(__xludf.DUMMYFUNCTION("""COMPUTED_VALUE"""),"[Knierim, 2021]")</f>
        <v>[Knierim, 2021]</v>
      </c>
      <c r="U631" s="179">
        <f>IFERROR(__xludf.DUMMYFUNCTION("""COMPUTED_VALUE"""),0.0)</f>
        <v>0</v>
      </c>
      <c r="V631" s="180">
        <f>IFERROR(__xludf.DUMMYFUNCTION("""COMPUTED_VALUE"""),0.0)</f>
        <v>0</v>
      </c>
      <c r="W631" s="180">
        <f>IFERROR(__xludf.DUMMYFUNCTION("""COMPUTED_VALUE"""),0.0)</f>
        <v>0</v>
      </c>
      <c r="X631" s="42">
        <f>IFERROR(__xludf.DUMMYFUNCTION("""COMPUTED_VALUE"""),0.9)</f>
        <v>0.9</v>
      </c>
      <c r="Y631" s="42">
        <f>IFERROR(__xludf.DUMMYFUNCTION("""COMPUTED_VALUE"""),0.0)</f>
        <v>0</v>
      </c>
      <c r="Z631" s="9">
        <f>IFERROR(__xludf.DUMMYFUNCTION("""COMPUTED_VALUE"""),0.0)</f>
        <v>0</v>
      </c>
      <c r="AA631" s="181">
        <f>IFERROR(__xludf.DUMMYFUNCTION("""COMPUTED_VALUE"""),0.0)</f>
        <v>0</v>
      </c>
      <c r="AB631" s="181">
        <f>IFERROR(__xludf.DUMMYFUNCTION("""COMPUTED_VALUE"""),0.0)</f>
        <v>0</v>
      </c>
      <c r="AC631" s="179">
        <f>IFERROR(__xludf.DUMMYFUNCTION("""COMPUTED_VALUE"""),0.0)</f>
        <v>0</v>
      </c>
      <c r="AD631" s="165">
        <f>IFERROR(__xludf.DUMMYFUNCTION("""COMPUTED_VALUE"""),0.0)</f>
        <v>0</v>
      </c>
      <c r="AE631" s="39" t="str">
        <f>IFERROR(__xludf.DUMMYFUNCTION("""COMPUTED_VALUE"""),"Hiroshi Yamakawa")</f>
        <v>Hiroshi Yamakawa</v>
      </c>
      <c r="AF631" s="39" t="str">
        <f>IFERROR(__xludf.DUMMYFUNCTION("""COMPUTED_VALUE"""),"HY20Cerebellum")</f>
        <v>HY20Cerebellum</v>
      </c>
      <c r="AG631" s="39"/>
      <c r="AH631" s="39"/>
      <c r="AI631" s="165"/>
      <c r="AJ631" s="165"/>
      <c r="AK631" s="111"/>
      <c r="AL631" s="111"/>
      <c r="AM631" s="111"/>
      <c r="AN631" s="111"/>
      <c r="AO631" s="111"/>
      <c r="AP631" s="111"/>
      <c r="AQ631" s="116"/>
      <c r="AR631" s="116"/>
      <c r="AS631" s="116"/>
    </row>
    <row r="632">
      <c r="A632" s="42" t="str">
        <f>IFERROR(__xludf.DUMMYFUNCTION("""COMPUTED_VALUE"""),"PN")</f>
        <v>PN</v>
      </c>
      <c r="B632" s="42"/>
      <c r="C632" s="42"/>
      <c r="D632" s="42" t="str">
        <f>IFERROR(__xludf.DUMMYFUNCTION("""COMPUTED_VALUE"""),"CBLg")</f>
        <v>CBLg</v>
      </c>
      <c r="E632" s="42"/>
      <c r="F632" s="42"/>
      <c r="G632" s="42"/>
      <c r="H632" s="42" t="str">
        <f>IFERROR(__xludf.DUMMYFUNCTION("""COMPUTED_VALUE""")," (mossy fiber)")</f>
        <v> (mossy fiber)</v>
      </c>
      <c r="I632" s="42" t="str">
        <f>IFERROR(__xludf.DUMMYFUNCTION("""COMPUTED_VALUE"""),"Knierim, 2021")</f>
        <v>Knierim, 2021</v>
      </c>
      <c r="J632" s="42"/>
      <c r="K632" s="42"/>
      <c r="L632" s="42"/>
      <c r="M632" s="42"/>
      <c r="N632" s="42"/>
      <c r="O632" s="31" t="str">
        <f>IFERROR(__xludf.DUMMYFUNCTION("""COMPUTED_VALUE"""),"DOC(alt)")</f>
        <v>DOC(alt)</v>
      </c>
      <c r="P632" s="9" t="str">
        <f>IFERROR(__xludf.DUMMYFUNCTION("""COMPUTED_VALUE"""),"Neuroscience Online, an {Open-Access} Neuroscience Electronic Textbook")</f>
        <v>Neuroscience Online, an {Open-Access} Neuroscience Electronic Textbook</v>
      </c>
      <c r="Q632" s="9" t="str">
        <f>IFERROR(__xludf.DUMMYFUNCTION("""COMPUTED_VALUE"""),"Textbook")</f>
        <v>Textbook</v>
      </c>
      <c r="R632" s="179" t="str">
        <f>IFERROR(__xludf.DUMMYFUNCTION("""COMPUTED_VALUE"""),"CBLg (00/00) [Knierim, 2021][Wagner, 2020] (mossy fiber);
")</f>
        <v>CBLg (00/00) [Knierim, 2021][Wagner, 2020] (mossy fiber);
</v>
      </c>
      <c r="S632" s="179" t="str">
        <f>IFERROR(__xludf.DUMMYFUNCTION("""COMPUTED_VALUE"""),"PNCBLg")</f>
        <v>PNCBLg</v>
      </c>
      <c r="T632" s="179" t="str">
        <f>IFERROR(__xludf.DUMMYFUNCTION("""COMPUTED_VALUE"""),"[Knierim, 2021]")</f>
        <v>[Knierim, 2021]</v>
      </c>
      <c r="U632" s="179">
        <f>IFERROR(__xludf.DUMMYFUNCTION("""COMPUTED_VALUE"""),0.0)</f>
        <v>0</v>
      </c>
      <c r="V632" s="180">
        <f>IFERROR(__xludf.DUMMYFUNCTION("""COMPUTED_VALUE"""),0.0)</f>
        <v>0</v>
      </c>
      <c r="W632" s="180">
        <f>IFERROR(__xludf.DUMMYFUNCTION("""COMPUTED_VALUE"""),0.0)</f>
        <v>0</v>
      </c>
      <c r="X632" s="42">
        <f>IFERROR(__xludf.DUMMYFUNCTION("""COMPUTED_VALUE"""),0.9)</f>
        <v>0.9</v>
      </c>
      <c r="Y632" s="42">
        <f>IFERROR(__xludf.DUMMYFUNCTION("""COMPUTED_VALUE"""),0.0)</f>
        <v>0</v>
      </c>
      <c r="Z632" s="9">
        <f>IFERROR(__xludf.DUMMYFUNCTION("""COMPUTED_VALUE"""),0.0)</f>
        <v>0</v>
      </c>
      <c r="AA632" s="181">
        <f>IFERROR(__xludf.DUMMYFUNCTION("""COMPUTED_VALUE"""),0.0)</f>
        <v>0</v>
      </c>
      <c r="AB632" s="181">
        <f>IFERROR(__xludf.DUMMYFUNCTION("""COMPUTED_VALUE"""),0.0)</f>
        <v>0</v>
      </c>
      <c r="AC632" s="179">
        <f>IFERROR(__xludf.DUMMYFUNCTION("""COMPUTED_VALUE"""),0.0)</f>
        <v>0</v>
      </c>
      <c r="AD632" s="165">
        <f>IFERROR(__xludf.DUMMYFUNCTION("""COMPUTED_VALUE"""),0.0)</f>
        <v>0</v>
      </c>
      <c r="AE632" s="39" t="str">
        <f>IFERROR(__xludf.DUMMYFUNCTION("""COMPUTED_VALUE"""),"Hiroshi Yamakawa")</f>
        <v>Hiroshi Yamakawa</v>
      </c>
      <c r="AF632" s="39" t="str">
        <f>IFERROR(__xludf.DUMMYFUNCTION("""COMPUTED_VALUE"""),"HY20Cerebellum")</f>
        <v>HY20Cerebellum</v>
      </c>
      <c r="AG632" s="39"/>
      <c r="AH632" s="39"/>
      <c r="AI632" s="165"/>
      <c r="AJ632" s="165"/>
      <c r="AK632" s="111"/>
      <c r="AL632" s="111"/>
      <c r="AM632" s="111"/>
      <c r="AN632" s="111"/>
      <c r="AO632" s="111"/>
      <c r="AP632" s="111"/>
      <c r="AQ632" s="116"/>
      <c r="AR632" s="116"/>
      <c r="AS632" s="116"/>
    </row>
    <row r="633">
      <c r="A633" s="42" t="str">
        <f>IFERROR(__xludf.DUMMYFUNCTION("""COMPUTED_VALUE"""),"PN")</f>
        <v>PN</v>
      </c>
      <c r="B633" s="42"/>
      <c r="C633" s="42"/>
      <c r="D633" s="42" t="str">
        <f>IFERROR(__xludf.DUMMYFUNCTION("""COMPUTED_VALUE"""),"CBLg")</f>
        <v>CBLg</v>
      </c>
      <c r="E633" s="42"/>
      <c r="F633" s="42"/>
      <c r="G633" s="42"/>
      <c r="H633" s="42" t="str">
        <f>IFERROR(__xludf.DUMMYFUNCTION("""COMPUTED_VALUE""")," (mossy fiber)")</f>
        <v> (mossy fiber)</v>
      </c>
      <c r="I633" s="42" t="str">
        <f>IFERROR(__xludf.DUMMYFUNCTION("""COMPUTED_VALUE"""),"Wagner, 2020")</f>
        <v>Wagner, 2020</v>
      </c>
      <c r="J633" s="42"/>
      <c r="K633" s="42"/>
      <c r="L633" s="42"/>
      <c r="M633" s="42"/>
      <c r="N633" s="42"/>
      <c r="O633" s="31" t="str">
        <f>IFERROR(__xludf.DUMMYFUNCTION("""COMPUTED_VALUE"""),"DOC")</f>
        <v>DOC</v>
      </c>
      <c r="P633" s="9" t="str">
        <f>IFERROR(__xludf.DUMMYFUNCTION("""COMPUTED_VALUE"""),"Trends in Neurosciences")</f>
        <v>Trends in Neurosciences</v>
      </c>
      <c r="Q633" s="9"/>
      <c r="R633" s="179" t="str">
        <f>IFERROR(__xludf.DUMMYFUNCTION("""COMPUTED_VALUE"""),"CBLg (00/00) [Knierim, 2021][Wagner, 2020] (mossy fiber);
")</f>
        <v>CBLg (00/00) [Knierim, 2021][Wagner, 2020] (mossy fiber);
</v>
      </c>
      <c r="S633" s="179" t="str">
        <f>IFERROR(__xludf.DUMMYFUNCTION("""COMPUTED_VALUE"""),"PNCBLg")</f>
        <v>PNCBLg</v>
      </c>
      <c r="T633" s="179" t="str">
        <f>IFERROR(__xludf.DUMMYFUNCTION("""COMPUTED_VALUE"""),"[Wagner, 2020]")</f>
        <v>[Wagner, 2020]</v>
      </c>
      <c r="U633" s="179">
        <f>IFERROR(__xludf.DUMMYFUNCTION("""COMPUTED_VALUE"""),0.0)</f>
        <v>0</v>
      </c>
      <c r="V633" s="180">
        <f>IFERROR(__xludf.DUMMYFUNCTION("""COMPUTED_VALUE"""),0.0)</f>
        <v>0</v>
      </c>
      <c r="W633" s="180">
        <f>IFERROR(__xludf.DUMMYFUNCTION("""COMPUTED_VALUE"""),0.95)</f>
        <v>0.95</v>
      </c>
      <c r="X633" s="42">
        <f>IFERROR(__xludf.DUMMYFUNCTION("""COMPUTED_VALUE"""),0.0)</f>
        <v>0</v>
      </c>
      <c r="Y633" s="42">
        <f>IFERROR(__xludf.DUMMYFUNCTION("""COMPUTED_VALUE"""),0.0)</f>
        <v>0</v>
      </c>
      <c r="Z633" s="9">
        <f>IFERROR(__xludf.DUMMYFUNCTION("""COMPUTED_VALUE"""),0.0)</f>
        <v>0</v>
      </c>
      <c r="AA633" s="181">
        <f>IFERROR(__xludf.DUMMYFUNCTION("""COMPUTED_VALUE"""),0.0)</f>
        <v>0</v>
      </c>
      <c r="AB633" s="181">
        <f>IFERROR(__xludf.DUMMYFUNCTION("""COMPUTED_VALUE"""),0.0)</f>
        <v>0</v>
      </c>
      <c r="AC633" s="179">
        <f>IFERROR(__xludf.DUMMYFUNCTION("""COMPUTED_VALUE"""),0.0)</f>
        <v>0</v>
      </c>
      <c r="AD633" s="165">
        <f>IFERROR(__xludf.DUMMYFUNCTION("""COMPUTED_VALUE"""),0.0)</f>
        <v>0</v>
      </c>
      <c r="AE633" s="39" t="str">
        <f>IFERROR(__xludf.DUMMYFUNCTION("""COMPUTED_VALUE"""),"Hiroshi Yamakawa")</f>
        <v>Hiroshi Yamakawa</v>
      </c>
      <c r="AF633" s="39" t="str">
        <f>IFERROR(__xludf.DUMMYFUNCTION("""COMPUTED_VALUE"""),"HY20Cerebellum")</f>
        <v>HY20Cerebellum</v>
      </c>
      <c r="AG633" s="39"/>
      <c r="AH633" s="39"/>
      <c r="AI633" s="165"/>
      <c r="AJ633" s="165"/>
      <c r="AK633" s="111"/>
      <c r="AL633" s="111"/>
      <c r="AM633" s="111"/>
      <c r="AN633" s="111"/>
      <c r="AO633" s="111"/>
      <c r="AP633" s="111"/>
      <c r="AQ633" s="116"/>
      <c r="AR633" s="116"/>
      <c r="AS633" s="116"/>
    </row>
    <row r="634">
      <c r="A634" s="42" t="str">
        <f>IFERROR(__xludf.DUMMYFUNCTION("""COMPUTED_VALUE"""),"PnC")</f>
        <v>PnC</v>
      </c>
      <c r="B634" s="42"/>
      <c r="C634" s="42"/>
      <c r="D634" s="42" t="str">
        <f>IFERROR(__xludf.DUMMYFUNCTION("""COMPUTED_VALUE"""),"CEN")</f>
        <v>CEN</v>
      </c>
      <c r="E634" s="42"/>
      <c r="F634" s="42"/>
      <c r="G634" s="42"/>
      <c r="H634" s="42" t="str">
        <f>IFERROR(__xludf.DUMMYFUNCTION("""COMPUTED_VALUE"""),"")</f>
        <v/>
      </c>
      <c r="I634" s="42" t="str">
        <f>IFERROR(__xludf.DUMMYFUNCTION("""COMPUTED_VALUE"""),"Pitkänen, 2000")</f>
        <v>Pitkänen, 2000</v>
      </c>
      <c r="J634" s="42" t="str">
        <f>IFERROR(__xludf.DUMMYFUNCTION("""COMPUTED_VALUE"""),"Rat")</f>
        <v>Rat</v>
      </c>
      <c r="K634" s="42" t="str">
        <f>IFERROR(__xludf.DUMMYFUNCTION("""COMPUTED_VALUE"""),"Various tracing")</f>
        <v>Various tracing</v>
      </c>
      <c r="L634" s="42"/>
      <c r="M634" s="42" t="str">
        <f>IFERROR(__xludf.DUMMYFUNCTION("""COMPUTED_VALUE"""),"fig.3-fig.12 (to be specified)")</f>
        <v>fig.3-fig.12 (to be specified)</v>
      </c>
      <c r="N634" s="42"/>
      <c r="O634" s="31" t="str">
        <f>IFERROR(__xludf.DUMMYFUNCTION("""COMPUTED_VALUE"""),"DOC(alt)")</f>
        <v>DOC(alt)</v>
      </c>
      <c r="P634" s="9" t="str">
        <f>IFERROR(__xludf.DUMMYFUNCTION("""COMPUTED_VALUE"""),"Folia morphologica")</f>
        <v>Folia morphologica</v>
      </c>
      <c r="Q634" s="9" t="str">
        <f>IFERROR(__xludf.DUMMYFUNCTION("""COMPUTED_VALUE"""),"Review")</f>
        <v>Review</v>
      </c>
      <c r="R634" s="179" t="str">
        <f>IFERROR(__xludf.DUMMYFUNCTION("""COMPUTED_VALUE"""),"CEN (00/00) [Pitkänen, 2000];
")</f>
        <v>CEN (00/00) [Pitkänen, 2000];
</v>
      </c>
      <c r="S634" s="179" t="str">
        <f>IFERROR(__xludf.DUMMYFUNCTION("""COMPUTED_VALUE"""),"PnCCEN")</f>
        <v>PnCCEN</v>
      </c>
      <c r="T634" s="179" t="str">
        <f>IFERROR(__xludf.DUMMYFUNCTION("""COMPUTED_VALUE"""),"[Pitkänen, 2000]")</f>
        <v>[Pitkänen, 2000]</v>
      </c>
      <c r="U634" s="179">
        <f>IFERROR(__xludf.DUMMYFUNCTION("""COMPUTED_VALUE"""),0.0)</f>
        <v>0</v>
      </c>
      <c r="V634" s="180">
        <f>IFERROR(__xludf.DUMMYFUNCTION("""COMPUTED_VALUE"""),0.0)</f>
        <v>0</v>
      </c>
      <c r="W634" s="180">
        <f>IFERROR(__xludf.DUMMYFUNCTION("""COMPUTED_VALUE"""),0.95)</f>
        <v>0.95</v>
      </c>
      <c r="X634" s="42">
        <f>IFERROR(__xludf.DUMMYFUNCTION("""COMPUTED_VALUE"""),0.8)</f>
        <v>0.8</v>
      </c>
      <c r="Y634" s="42">
        <f>IFERROR(__xludf.DUMMYFUNCTION("""COMPUTED_VALUE"""),0.6)</f>
        <v>0.6</v>
      </c>
      <c r="Z634" s="9">
        <f>IFERROR(__xludf.DUMMYFUNCTION("""COMPUTED_VALUE"""),0.9)</f>
        <v>0.9</v>
      </c>
      <c r="AA634" s="181">
        <f>IFERROR(__xludf.DUMMYFUNCTION("""COMPUTED_VALUE"""),0.0)</f>
        <v>0</v>
      </c>
      <c r="AB634" s="181">
        <f>IFERROR(__xludf.DUMMYFUNCTION("""COMPUTED_VALUE"""),0.0)</f>
        <v>0</v>
      </c>
      <c r="AC634" s="179">
        <f>IFERROR(__xludf.DUMMYFUNCTION("""COMPUTED_VALUE"""),0.0)</f>
        <v>0</v>
      </c>
      <c r="AD634" s="165">
        <f>IFERROR(__xludf.DUMMYFUNCTION("""COMPUTED_VALUE"""),0.0)</f>
        <v>0</v>
      </c>
      <c r="AE634" s="39" t="str">
        <f>IFERROR(__xludf.DUMMYFUNCTION("""COMPUTED_VALUE"""),"Tatsuya Miyamoto")</f>
        <v>Tatsuya Miyamoto</v>
      </c>
      <c r="AF634" s="39" t="str">
        <f>IFERROR(__xludf.DUMMYFUNCTION("""COMPUTED_VALUE"""),"TM21Amygdala")</f>
        <v>TM21Amygdala</v>
      </c>
      <c r="AG634" s="39"/>
      <c r="AH634" s="39"/>
      <c r="AI634" s="165"/>
      <c r="AJ634" s="165"/>
      <c r="AK634" s="111"/>
      <c r="AL634" s="111"/>
      <c r="AM634" s="111"/>
      <c r="AN634" s="111"/>
      <c r="AO634" s="111"/>
      <c r="AP634" s="111"/>
      <c r="AQ634" s="116"/>
      <c r="AR634" s="116"/>
      <c r="AS634" s="116"/>
    </row>
    <row r="635">
      <c r="A635" s="42" t="str">
        <f>IFERROR(__xludf.DUMMYFUNCTION("""COMPUTED_VALUE"""),"PnRF")</f>
        <v>PnRF</v>
      </c>
      <c r="B635" s="42"/>
      <c r="C635" s="42"/>
      <c r="D635" s="42" t="str">
        <f>IFERROR(__xludf.DUMMYFUNCTION("""COMPUTED_VALUE"""),"resp")</f>
        <v>resp</v>
      </c>
      <c r="E635" s="42"/>
      <c r="F635" s="42"/>
      <c r="G635" s="42"/>
      <c r="H635" s="42"/>
      <c r="I635" s="42" t="str">
        <f>IFERROR(__xludf.DUMMYFUNCTION("""COMPUTED_VALUE"""),"")</f>
        <v/>
      </c>
      <c r="J635" s="42"/>
      <c r="K635" s="42"/>
      <c r="L635" s="42"/>
      <c r="M635" s="42"/>
      <c r="N635" s="42"/>
      <c r="O635" s="31"/>
      <c r="P635" s="9"/>
      <c r="Q635" s="9"/>
      <c r="R635" s="179" t="str">
        <f>IFERROR(__xludf.DUMMYFUNCTION("""COMPUTED_VALUE"""),"#REF!")</f>
        <v>#REF!</v>
      </c>
      <c r="S635" s="179" t="str">
        <f>IFERROR(__xludf.DUMMYFUNCTION("""COMPUTED_VALUE"""),"PnRFresp")</f>
        <v>PnRFresp</v>
      </c>
      <c r="T635" s="179" t="str">
        <f>IFERROR(__xludf.DUMMYFUNCTION("""COMPUTED_VALUE"""),"[]")</f>
        <v>[]</v>
      </c>
      <c r="U635" s="179">
        <f>IFERROR(__xludf.DUMMYFUNCTION("""COMPUTED_VALUE"""),0.0)</f>
        <v>0</v>
      </c>
      <c r="V635" s="180">
        <f>IFERROR(__xludf.DUMMYFUNCTION("""COMPUTED_VALUE"""),0.0)</f>
        <v>0</v>
      </c>
      <c r="W635" s="180" t="str">
        <f>IFERROR(__xludf.DUMMYFUNCTION("""COMPUTED_VALUE"""),"#REF!")</f>
        <v>#REF!</v>
      </c>
      <c r="X635" s="42">
        <f>IFERROR(__xludf.DUMMYFUNCTION("""COMPUTED_VALUE"""),0.0)</f>
        <v>0</v>
      </c>
      <c r="Y635" s="42">
        <f>IFERROR(__xludf.DUMMYFUNCTION("""COMPUTED_VALUE"""),0.0)</f>
        <v>0</v>
      </c>
      <c r="Z635" s="9">
        <f>IFERROR(__xludf.DUMMYFUNCTION("""COMPUTED_VALUE"""),0.0)</f>
        <v>0</v>
      </c>
      <c r="AA635" s="181" t="str">
        <f>IFERROR(__xludf.DUMMYFUNCTION("""COMPUTED_VALUE"""),"#REF!")</f>
        <v>#REF!</v>
      </c>
      <c r="AB635" s="181" t="str">
        <f>IFERROR(__xludf.DUMMYFUNCTION("""COMPUTED_VALUE"""),"#REF!")</f>
        <v>#REF!</v>
      </c>
      <c r="AC635" s="179" t="str">
        <f>IFERROR(__xludf.DUMMYFUNCTION("""COMPUTED_VALUE"""),"#REF!")</f>
        <v>#REF!</v>
      </c>
      <c r="AD635" s="165" t="str">
        <f>IFERROR(__xludf.DUMMYFUNCTION("""COMPUTED_VALUE"""),"#REF!")</f>
        <v>#REF!</v>
      </c>
      <c r="AE635" s="39" t="str">
        <f>IFERROR(__xludf.DUMMYFUNCTION("""COMPUTED_VALUE"""),"Hiroshi Yamakawa")</f>
        <v>Hiroshi Yamakawa</v>
      </c>
      <c r="AF635" s="39" t="str">
        <f>IFERROR(__xludf.DUMMYFUNCTION("""COMPUTED_VALUE"""),"HY20Cerebellum")</f>
        <v>HY20Cerebellum</v>
      </c>
      <c r="AG635" s="39"/>
      <c r="AH635" s="39"/>
      <c r="AI635" s="165"/>
      <c r="AJ635" s="165"/>
      <c r="AK635" s="111"/>
      <c r="AL635" s="111"/>
      <c r="AM635" s="111"/>
      <c r="AN635" s="111"/>
      <c r="AO635" s="111"/>
      <c r="AP635" s="111"/>
      <c r="AQ635" s="116"/>
      <c r="AR635" s="116"/>
      <c r="AS635" s="116"/>
    </row>
    <row r="636">
      <c r="A636" s="42" t="str">
        <f>IFERROR(__xludf.DUMMYFUNCTION("""COMPUTED_VALUE"""),"PoFC")</f>
        <v>PoFC</v>
      </c>
      <c r="B636" s="42"/>
      <c r="C636" s="42"/>
      <c r="D636" s="42" t="str">
        <f>IFERROR(__xludf.DUMMYFUNCTION("""COMPUTED_VALUE"""),"Pu")</f>
        <v>Pu</v>
      </c>
      <c r="E636" s="42"/>
      <c r="F636" s="42"/>
      <c r="G636" s="42"/>
      <c r="H636" s="42" t="str">
        <f>IFERROR(__xludf.DUMMYFUNCTION("""COMPUTED_VALUE"""),"(Sensorimotor)")</f>
        <v>(Sensorimotor)</v>
      </c>
      <c r="I636" s="42" t="str">
        <f>IFERROR(__xludf.DUMMYFUNCTION("""COMPUTED_VALUE"""),"Galvan, 2015")</f>
        <v>Galvan, 2015</v>
      </c>
      <c r="J636" s="42"/>
      <c r="K636" s="42"/>
      <c r="L636" s="42"/>
      <c r="M636" s="42"/>
      <c r="N636" s="42"/>
      <c r="O636" s="31" t="str">
        <f>IFERROR(__xludf.DUMMYFUNCTION("""COMPUTED_VALUE"""),"DOC")</f>
        <v>DOC</v>
      </c>
      <c r="P636" s="9" t="str">
        <f>IFERROR(__xludf.DUMMYFUNCTION("""COMPUTED_VALUE"""),"Frontiers in Neuroanatomy")</f>
        <v>Frontiers in Neuroanatomy</v>
      </c>
      <c r="Q636" s="9"/>
      <c r="R636" s="179" t="str">
        <f>IFERROR(__xludf.DUMMYFUNCTION("""COMPUTED_VALUE"""),"Pu (00/00) [Galvan, 2015](Sensorimotor);
")</f>
        <v>Pu (00/00) [Galvan, 2015](Sensorimotor);
</v>
      </c>
      <c r="S636" s="179" t="str">
        <f>IFERROR(__xludf.DUMMYFUNCTION("""COMPUTED_VALUE"""),"PoFCPu")</f>
        <v>PoFCPu</v>
      </c>
      <c r="T636" s="179" t="str">
        <f>IFERROR(__xludf.DUMMYFUNCTION("""COMPUTED_VALUE"""),"[Galvan, 2015]")</f>
        <v>[Galvan, 2015]</v>
      </c>
      <c r="U636" s="179">
        <f>IFERROR(__xludf.DUMMYFUNCTION("""COMPUTED_VALUE"""),0.0)</f>
        <v>0</v>
      </c>
      <c r="V636" s="180">
        <f>IFERROR(__xludf.DUMMYFUNCTION("""COMPUTED_VALUE"""),0.0)</f>
        <v>0</v>
      </c>
      <c r="W636" s="180">
        <f>IFERROR(__xludf.DUMMYFUNCTION("""COMPUTED_VALUE"""),0.95)</f>
        <v>0.95</v>
      </c>
      <c r="X636" s="42">
        <f>IFERROR(__xludf.DUMMYFUNCTION("""COMPUTED_VALUE"""),0.0)</f>
        <v>0</v>
      </c>
      <c r="Y636" s="42">
        <f>IFERROR(__xludf.DUMMYFUNCTION("""COMPUTED_VALUE"""),0.0)</f>
        <v>0</v>
      </c>
      <c r="Z636" s="9">
        <f>IFERROR(__xludf.DUMMYFUNCTION("""COMPUTED_VALUE"""),0.0)</f>
        <v>0</v>
      </c>
      <c r="AA636" s="181">
        <f>IFERROR(__xludf.DUMMYFUNCTION("""COMPUTED_VALUE"""),0.0)</f>
        <v>0</v>
      </c>
      <c r="AB636" s="181">
        <f>IFERROR(__xludf.DUMMYFUNCTION("""COMPUTED_VALUE"""),0.0)</f>
        <v>0</v>
      </c>
      <c r="AC636" s="179">
        <f>IFERROR(__xludf.DUMMYFUNCTION("""COMPUTED_VALUE"""),0.0)</f>
        <v>0</v>
      </c>
      <c r="AD636" s="165">
        <f>IFERROR(__xludf.DUMMYFUNCTION("""COMPUTED_VALUE"""),0.0)</f>
        <v>0</v>
      </c>
      <c r="AE636" s="39" t="str">
        <f>IFERROR(__xludf.DUMMYFUNCTION("""COMPUTED_VALUE"""),"Yuske Shibata")</f>
        <v>Yuske Shibata</v>
      </c>
      <c r="AF636" s="39" t="str">
        <f>IFERROR(__xludf.DUMMYFUNCTION("""COMPUTED_VALUE"""),"YS21BgLoop")</f>
        <v>YS21BgLoop</v>
      </c>
      <c r="AG636" s="39"/>
      <c r="AH636" s="39"/>
      <c r="AI636" s="165"/>
      <c r="AJ636" s="165"/>
      <c r="AK636" s="111"/>
      <c r="AL636" s="111"/>
      <c r="AM636" s="111"/>
      <c r="AN636" s="111"/>
      <c r="AO636" s="111"/>
      <c r="AP636" s="111"/>
      <c r="AQ636" s="116"/>
      <c r="AR636" s="116"/>
      <c r="AS636" s="116"/>
    </row>
    <row r="637">
      <c r="A637" s="42" t="str">
        <f>IFERROR(__xludf.DUMMYFUNCTION("""COMPUTED_VALUE"""),"PoFC.L5")</f>
        <v>PoFC.L5</v>
      </c>
      <c r="B637" s="42"/>
      <c r="C637" s="42"/>
      <c r="D637" s="42" t="str">
        <f>IFERROR(__xludf.DUMMYFUNCTION("""COMPUTED_VALUE"""),"csp-h")</f>
        <v>csp-h</v>
      </c>
      <c r="E637" s="42"/>
      <c r="F637" s="42"/>
      <c r="G637" s="42"/>
      <c r="H637" s="42" t="str">
        <f>IFERROR(__xludf.DUMMYFUNCTION("""COMPUTED_VALUE"""),"")</f>
        <v/>
      </c>
      <c r="I637" s="42" t="str">
        <f>IFERROR(__xludf.DUMMYFUNCTION("""COMPUTED_VALUE"""),"Basile, 2021")</f>
        <v>Basile, 2021</v>
      </c>
      <c r="J637" s="42"/>
      <c r="K637" s="42"/>
      <c r="L637" s="42"/>
      <c r="M637" s="42"/>
      <c r="N637" s="42"/>
      <c r="O637" s="31" t="str">
        <f>IFERROR(__xludf.DUMMYFUNCTION("""COMPUTED_VALUE"""),"DOC")</f>
        <v>DOC</v>
      </c>
      <c r="P637" s="9" t="str">
        <f>IFERROR(__xludf.DUMMYFUNCTION("""COMPUTED_VALUE"""),"Brain Structure and Function")</f>
        <v>Brain Structure and Function</v>
      </c>
      <c r="Q637" s="9"/>
      <c r="R637" s="179" t="str">
        <f>IFERROR(__xludf.DUMMYFUNCTION("""COMPUTED_VALUE"""),"csp-h (00/00) [Basile, 2021];
")</f>
        <v>csp-h (00/00) [Basile, 2021];
</v>
      </c>
      <c r="S637" s="179" t="str">
        <f>IFERROR(__xludf.DUMMYFUNCTION("""COMPUTED_VALUE"""),"PoFC.L5csp-h")</f>
        <v>PoFC.L5csp-h</v>
      </c>
      <c r="T637" s="179" t="str">
        <f>IFERROR(__xludf.DUMMYFUNCTION("""COMPUTED_VALUE"""),"[Basile, 2021]")</f>
        <v>[Basile, 2021]</v>
      </c>
      <c r="U637" s="179">
        <f>IFERROR(__xludf.DUMMYFUNCTION("""COMPUTED_VALUE"""),0.0)</f>
        <v>0</v>
      </c>
      <c r="V637" s="180">
        <f>IFERROR(__xludf.DUMMYFUNCTION("""COMPUTED_VALUE"""),0.0)</f>
        <v>0</v>
      </c>
      <c r="W637" s="180">
        <f>IFERROR(__xludf.DUMMYFUNCTION("""COMPUTED_VALUE"""),0.95)</f>
        <v>0.95</v>
      </c>
      <c r="X637" s="42">
        <f>IFERROR(__xludf.DUMMYFUNCTION("""COMPUTED_VALUE"""),0.0)</f>
        <v>0</v>
      </c>
      <c r="Y637" s="42">
        <f>IFERROR(__xludf.DUMMYFUNCTION("""COMPUTED_VALUE"""),0.0)</f>
        <v>0</v>
      </c>
      <c r="Z637" s="9">
        <f>IFERROR(__xludf.DUMMYFUNCTION("""COMPUTED_VALUE"""),0.0)</f>
        <v>0</v>
      </c>
      <c r="AA637" s="181">
        <f>IFERROR(__xludf.DUMMYFUNCTION("""COMPUTED_VALUE"""),0.0)</f>
        <v>0</v>
      </c>
      <c r="AB637" s="181">
        <f>IFERROR(__xludf.DUMMYFUNCTION("""COMPUTED_VALUE"""),0.0)</f>
        <v>0</v>
      </c>
      <c r="AC637" s="179">
        <f>IFERROR(__xludf.DUMMYFUNCTION("""COMPUTED_VALUE"""),0.0)</f>
        <v>0</v>
      </c>
      <c r="AD637" s="165">
        <f>IFERROR(__xludf.DUMMYFUNCTION("""COMPUTED_VALUE"""),0.0)</f>
        <v>0</v>
      </c>
      <c r="AE637" s="39" t="str">
        <f>IFERROR(__xludf.DUMMYFUNCTION("""COMPUTED_VALUE"""),"Hiroshi Yamakawa")</f>
        <v>Hiroshi Yamakawa</v>
      </c>
      <c r="AF637" s="39" t="str">
        <f>IFERROR(__xludf.DUMMYFUNCTION("""COMPUTED_VALUE"""),"HY20Cerebellum")</f>
        <v>HY20Cerebellum</v>
      </c>
      <c r="AG637" s="39"/>
      <c r="AH637" s="39"/>
      <c r="AI637" s="165"/>
      <c r="AJ637" s="165"/>
      <c r="AK637" s="111"/>
      <c r="AL637" s="111"/>
      <c r="AM637" s="111"/>
      <c r="AN637" s="111"/>
      <c r="AO637" s="111"/>
      <c r="AP637" s="111"/>
      <c r="AQ637" s="116"/>
      <c r="AR637" s="116"/>
      <c r="AS637" s="116"/>
    </row>
    <row r="638">
      <c r="A638" s="42" t="str">
        <f>IFERROR(__xludf.DUMMYFUNCTION("""COMPUTED_VALUE"""),"PoFC.L5")</f>
        <v>PoFC.L5</v>
      </c>
      <c r="B638" s="42"/>
      <c r="C638" s="42"/>
      <c r="D638" s="42" t="str">
        <f>IFERROR(__xludf.DUMMYFUNCTION("""COMPUTED_VALUE"""),"RNmc")</f>
        <v>RNmc</v>
      </c>
      <c r="E638" s="42"/>
      <c r="F638" s="42"/>
      <c r="G638" s="42"/>
      <c r="H638" s="42" t="str">
        <f>IFERROR(__xludf.DUMMYFUNCTION("""COMPUTED_VALUE"""),"")</f>
        <v/>
      </c>
      <c r="I638" s="42" t="str">
        <f>IFERROR(__xludf.DUMMYFUNCTION("""COMPUTED_VALUE"""),"Basile, 2021")</f>
        <v>Basile, 2021</v>
      </c>
      <c r="J638" s="42"/>
      <c r="K638" s="42"/>
      <c r="L638" s="42"/>
      <c r="M638" s="42"/>
      <c r="N638" s="42"/>
      <c r="O638" s="31" t="str">
        <f>IFERROR(__xludf.DUMMYFUNCTION("""COMPUTED_VALUE"""),"DOC")</f>
        <v>DOC</v>
      </c>
      <c r="P638" s="9" t="str">
        <f>IFERROR(__xludf.DUMMYFUNCTION("""COMPUTED_VALUE"""),"Brain Structure and Function")</f>
        <v>Brain Structure and Function</v>
      </c>
      <c r="Q638" s="9"/>
      <c r="R638" s="179" t="str">
        <f>IFERROR(__xludf.DUMMYFUNCTION("""COMPUTED_VALUE"""),"RNmc (00/00) [Basile, 2021];
")</f>
        <v>RNmc (00/00) [Basile, 2021];
</v>
      </c>
      <c r="S638" s="179" t="str">
        <f>IFERROR(__xludf.DUMMYFUNCTION("""COMPUTED_VALUE"""),"PoFC.L5RNmc")</f>
        <v>PoFC.L5RNmc</v>
      </c>
      <c r="T638" s="179" t="str">
        <f>IFERROR(__xludf.DUMMYFUNCTION("""COMPUTED_VALUE"""),"[Basile, 2021]")</f>
        <v>[Basile, 2021]</v>
      </c>
      <c r="U638" s="179">
        <f>IFERROR(__xludf.DUMMYFUNCTION("""COMPUTED_VALUE"""),0.0)</f>
        <v>0</v>
      </c>
      <c r="V638" s="180">
        <f>IFERROR(__xludf.DUMMYFUNCTION("""COMPUTED_VALUE"""),0.0)</f>
        <v>0</v>
      </c>
      <c r="W638" s="180">
        <f>IFERROR(__xludf.DUMMYFUNCTION("""COMPUTED_VALUE"""),0.95)</f>
        <v>0.95</v>
      </c>
      <c r="X638" s="42">
        <f>IFERROR(__xludf.DUMMYFUNCTION("""COMPUTED_VALUE"""),0.0)</f>
        <v>0</v>
      </c>
      <c r="Y638" s="42">
        <f>IFERROR(__xludf.DUMMYFUNCTION("""COMPUTED_VALUE"""),0.0)</f>
        <v>0</v>
      </c>
      <c r="Z638" s="9">
        <f>IFERROR(__xludf.DUMMYFUNCTION("""COMPUTED_VALUE"""),0.0)</f>
        <v>0</v>
      </c>
      <c r="AA638" s="181">
        <f>IFERROR(__xludf.DUMMYFUNCTION("""COMPUTED_VALUE"""),0.0)</f>
        <v>0</v>
      </c>
      <c r="AB638" s="181">
        <f>IFERROR(__xludf.DUMMYFUNCTION("""COMPUTED_VALUE"""),0.0)</f>
        <v>0</v>
      </c>
      <c r="AC638" s="179">
        <f>IFERROR(__xludf.DUMMYFUNCTION("""COMPUTED_VALUE"""),0.0)</f>
        <v>0</v>
      </c>
      <c r="AD638" s="165">
        <f>IFERROR(__xludf.DUMMYFUNCTION("""COMPUTED_VALUE"""),0.0)</f>
        <v>0</v>
      </c>
      <c r="AE638" s="39" t="str">
        <f>IFERROR(__xludf.DUMMYFUNCTION("""COMPUTED_VALUE"""),"Hiroshi Yamakawa")</f>
        <v>Hiroshi Yamakawa</v>
      </c>
      <c r="AF638" s="39" t="str">
        <f>IFERROR(__xludf.DUMMYFUNCTION("""COMPUTED_VALUE"""),"HY20Cerebellum")</f>
        <v>HY20Cerebellum</v>
      </c>
      <c r="AG638" s="39"/>
      <c r="AH638" s="39"/>
      <c r="AI638" s="165"/>
      <c r="AJ638" s="165"/>
      <c r="AK638" s="111"/>
      <c r="AL638" s="111"/>
      <c r="AM638" s="111"/>
      <c r="AN638" s="111"/>
      <c r="AO638" s="111"/>
      <c r="AP638" s="111"/>
      <c r="AQ638" s="116"/>
      <c r="AR638" s="116"/>
      <c r="AS638" s="116"/>
    </row>
    <row r="639">
      <c r="A639" s="42" t="str">
        <f>IFERROR(__xludf.DUMMYFUNCTION("""COMPUTED_VALUE"""),"PPMRF_l")</f>
        <v>PPMRF_l</v>
      </c>
      <c r="B639" s="42"/>
      <c r="C639" s="42"/>
      <c r="D639" s="42" t="str">
        <f>IFERROR(__xludf.DUMMYFUNCTION("""COMPUTED_VALUE"""),"6N")</f>
        <v>6N</v>
      </c>
      <c r="E639" s="42"/>
      <c r="F639" s="42"/>
      <c r="G639" s="42"/>
      <c r="H639" s="42" t="str">
        <f>IFERROR(__xludf.DUMMYFUNCTION("""COMPUTED_VALUE"""),"")</f>
        <v/>
      </c>
      <c r="I639" s="42" t="str">
        <f>IFERROR(__xludf.DUMMYFUNCTION("""COMPUTED_VALUE"""),"Takahashi, 2018")</f>
        <v>Takahashi, 2018</v>
      </c>
      <c r="J639" s="42"/>
      <c r="K639" s="42"/>
      <c r="L639" s="42"/>
      <c r="M639" s="42"/>
      <c r="N639" s="42"/>
      <c r="O639" s="31" t="str">
        <f>IFERROR(__xludf.DUMMYFUNCTION("""COMPUTED_VALUE"""),"DOC")</f>
        <v>DOC</v>
      </c>
      <c r="P639" s="9" t="str">
        <f>IFERROR(__xludf.DUMMYFUNCTION("""COMPUTED_VALUE"""),"Neuroscience")</f>
        <v>Neuroscience</v>
      </c>
      <c r="Q639" s="9"/>
      <c r="R639" s="179" t="str">
        <f>IFERROR(__xludf.DUMMYFUNCTION("""COMPUTED_VALUE"""),"6N (00/00) [Takahashi, 2018];
")</f>
        <v>6N (00/00) [Takahashi, 2018];
</v>
      </c>
      <c r="S639" s="179" t="str">
        <f>IFERROR(__xludf.DUMMYFUNCTION("""COMPUTED_VALUE"""),"PPMRF_l6N")</f>
        <v>PPMRF_l6N</v>
      </c>
      <c r="T639" s="179" t="str">
        <f>IFERROR(__xludf.DUMMYFUNCTION("""COMPUTED_VALUE"""),"[Takahashi, 2018]")</f>
        <v>[Takahashi, 2018]</v>
      </c>
      <c r="U639" s="179">
        <f>IFERROR(__xludf.DUMMYFUNCTION("""COMPUTED_VALUE"""),0.0)</f>
        <v>0</v>
      </c>
      <c r="V639" s="180">
        <f>IFERROR(__xludf.DUMMYFUNCTION("""COMPUTED_VALUE"""),0.0)</f>
        <v>0</v>
      </c>
      <c r="W639" s="180">
        <f>IFERROR(__xludf.DUMMYFUNCTION("""COMPUTED_VALUE"""),0.95)</f>
        <v>0.95</v>
      </c>
      <c r="X639" s="42">
        <f>IFERROR(__xludf.DUMMYFUNCTION("""COMPUTED_VALUE"""),0.0)</f>
        <v>0</v>
      </c>
      <c r="Y639" s="42">
        <f>IFERROR(__xludf.DUMMYFUNCTION("""COMPUTED_VALUE"""),0.0)</f>
        <v>0</v>
      </c>
      <c r="Z639" s="9">
        <f>IFERROR(__xludf.DUMMYFUNCTION("""COMPUTED_VALUE"""),0.0)</f>
        <v>0</v>
      </c>
      <c r="AA639" s="181">
        <f>IFERROR(__xludf.DUMMYFUNCTION("""COMPUTED_VALUE"""),0.0)</f>
        <v>0</v>
      </c>
      <c r="AB639" s="181">
        <f>IFERROR(__xludf.DUMMYFUNCTION("""COMPUTED_VALUE"""),0.0)</f>
        <v>0</v>
      </c>
      <c r="AC639" s="179">
        <f>IFERROR(__xludf.DUMMYFUNCTION("""COMPUTED_VALUE"""),0.0)</f>
        <v>0</v>
      </c>
      <c r="AD639" s="165">
        <f>IFERROR(__xludf.DUMMYFUNCTION("""COMPUTED_VALUE"""),0.0)</f>
        <v>0</v>
      </c>
      <c r="AE639" s="39" t="str">
        <f>IFERROR(__xludf.DUMMYFUNCTION("""COMPUTED_VALUE"""),"Yoshimasa Tawatsuji")</f>
        <v>Yoshimasa Tawatsuji</v>
      </c>
      <c r="AF639" s="39" t="str">
        <f>IFERROR(__xludf.DUMMYFUNCTION("""COMPUTED_VALUE"""),"Oculomotor")</f>
        <v>Oculomotor</v>
      </c>
      <c r="AG639" s="39"/>
      <c r="AH639" s="39"/>
      <c r="AI639" s="165"/>
      <c r="AJ639" s="165"/>
      <c r="AK639" s="111"/>
      <c r="AL639" s="111"/>
      <c r="AM639" s="111"/>
      <c r="AN639" s="111"/>
      <c r="AO639" s="111"/>
      <c r="AP639" s="111"/>
      <c r="AQ639" s="116"/>
      <c r="AR639" s="116"/>
      <c r="AS639" s="116"/>
    </row>
    <row r="640">
      <c r="A640" s="42" t="str">
        <f>IFERROR(__xludf.DUMMYFUNCTION("""COMPUTED_VALUE"""),"PPMRF_l")</f>
        <v>PPMRF_l</v>
      </c>
      <c r="B640" s="42"/>
      <c r="C640" s="42"/>
      <c r="D640" s="42" t="str">
        <f>IFERROR(__xludf.DUMMYFUNCTION("""COMPUTED_VALUE"""),"PPMRF_r")</f>
        <v>PPMRF_r</v>
      </c>
      <c r="E640" s="42"/>
      <c r="F640" s="42"/>
      <c r="G640" s="42"/>
      <c r="H640" s="42" t="str">
        <f>IFERROR(__xludf.DUMMYFUNCTION("""COMPUTED_VALUE"""),"")</f>
        <v/>
      </c>
      <c r="I640" s="42" t="str">
        <f>IFERROR(__xludf.DUMMYFUNCTION("""COMPUTED_VALUE"""),"Takahashi, 2018")</f>
        <v>Takahashi, 2018</v>
      </c>
      <c r="J640" s="42"/>
      <c r="K640" s="42"/>
      <c r="L640" s="42"/>
      <c r="M640" s="42"/>
      <c r="N640" s="42"/>
      <c r="O640" s="31" t="str">
        <f>IFERROR(__xludf.DUMMYFUNCTION("""COMPUTED_VALUE"""),"DOC")</f>
        <v>DOC</v>
      </c>
      <c r="P640" s="9" t="str">
        <f>IFERROR(__xludf.DUMMYFUNCTION("""COMPUTED_VALUE"""),"Neuroscience")</f>
        <v>Neuroscience</v>
      </c>
      <c r="Q640" s="9"/>
      <c r="R640" s="179" t="str">
        <f>IFERROR(__xludf.DUMMYFUNCTION("""COMPUTED_VALUE"""),"PPMRF_r (00/00) [Takahashi, 2018];
")</f>
        <v>PPMRF_r (00/00) [Takahashi, 2018];
</v>
      </c>
      <c r="S640" s="179" t="str">
        <f>IFERROR(__xludf.DUMMYFUNCTION("""COMPUTED_VALUE"""),"PPMRF_lPPMRF_r")</f>
        <v>PPMRF_lPPMRF_r</v>
      </c>
      <c r="T640" s="179" t="str">
        <f>IFERROR(__xludf.DUMMYFUNCTION("""COMPUTED_VALUE"""),"[Takahashi, 2018]")</f>
        <v>[Takahashi, 2018]</v>
      </c>
      <c r="U640" s="179">
        <f>IFERROR(__xludf.DUMMYFUNCTION("""COMPUTED_VALUE"""),0.0)</f>
        <v>0</v>
      </c>
      <c r="V640" s="180">
        <f>IFERROR(__xludf.DUMMYFUNCTION("""COMPUTED_VALUE"""),0.0)</f>
        <v>0</v>
      </c>
      <c r="W640" s="180">
        <f>IFERROR(__xludf.DUMMYFUNCTION("""COMPUTED_VALUE"""),0.95)</f>
        <v>0.95</v>
      </c>
      <c r="X640" s="42">
        <f>IFERROR(__xludf.DUMMYFUNCTION("""COMPUTED_VALUE"""),0.0)</f>
        <v>0</v>
      </c>
      <c r="Y640" s="42">
        <f>IFERROR(__xludf.DUMMYFUNCTION("""COMPUTED_VALUE"""),0.0)</f>
        <v>0</v>
      </c>
      <c r="Z640" s="9">
        <f>IFERROR(__xludf.DUMMYFUNCTION("""COMPUTED_VALUE"""),0.0)</f>
        <v>0</v>
      </c>
      <c r="AA640" s="181">
        <f>IFERROR(__xludf.DUMMYFUNCTION("""COMPUTED_VALUE"""),0.0)</f>
        <v>0</v>
      </c>
      <c r="AB640" s="181">
        <f>IFERROR(__xludf.DUMMYFUNCTION("""COMPUTED_VALUE"""),0.0)</f>
        <v>0</v>
      </c>
      <c r="AC640" s="179">
        <f>IFERROR(__xludf.DUMMYFUNCTION("""COMPUTED_VALUE"""),0.0)</f>
        <v>0</v>
      </c>
      <c r="AD640" s="165">
        <f>IFERROR(__xludf.DUMMYFUNCTION("""COMPUTED_VALUE"""),0.0)</f>
        <v>0</v>
      </c>
      <c r="AE640" s="39" t="str">
        <f>IFERROR(__xludf.DUMMYFUNCTION("""COMPUTED_VALUE"""),"Yoshimasa Tawatsuji")</f>
        <v>Yoshimasa Tawatsuji</v>
      </c>
      <c r="AF640" s="39" t="str">
        <f>IFERROR(__xludf.DUMMYFUNCTION("""COMPUTED_VALUE"""),"Oculomotor")</f>
        <v>Oculomotor</v>
      </c>
      <c r="AG640" s="39"/>
      <c r="AH640" s="39"/>
      <c r="AI640" s="165"/>
      <c r="AJ640" s="165"/>
      <c r="AK640" s="111"/>
      <c r="AL640" s="111"/>
      <c r="AM640" s="111"/>
      <c r="AN640" s="111"/>
      <c r="AO640" s="111"/>
      <c r="AP640" s="111"/>
      <c r="AQ640" s="116"/>
      <c r="AR640" s="116"/>
      <c r="AS640" s="116"/>
    </row>
    <row r="641">
      <c r="A641" s="42" t="str">
        <f>IFERROR(__xludf.DUMMYFUNCTION("""COMPUTED_VALUE"""),"PPMRF_l")</f>
        <v>PPMRF_l</v>
      </c>
      <c r="B641" s="42"/>
      <c r="C641" s="42"/>
      <c r="D641" s="42" t="str">
        <f>IFERROR(__xludf.DUMMYFUNCTION("""COMPUTED_VALUE"""),"PPRF_r")</f>
        <v>PPRF_r</v>
      </c>
      <c r="E641" s="42"/>
      <c r="F641" s="42"/>
      <c r="G641" s="42"/>
      <c r="H641" s="42" t="str">
        <f>IFERROR(__xludf.DUMMYFUNCTION("""COMPUTED_VALUE"""),"")</f>
        <v/>
      </c>
      <c r="I641" s="42" t="str">
        <f>IFERROR(__xludf.DUMMYFUNCTION("""COMPUTED_VALUE"""),"Takahashi, 2018")</f>
        <v>Takahashi, 2018</v>
      </c>
      <c r="J641" s="42"/>
      <c r="K641" s="42"/>
      <c r="L641" s="42"/>
      <c r="M641" s="42"/>
      <c r="N641" s="42"/>
      <c r="O641" s="31" t="str">
        <f>IFERROR(__xludf.DUMMYFUNCTION("""COMPUTED_VALUE"""),"DOC")</f>
        <v>DOC</v>
      </c>
      <c r="P641" s="9" t="str">
        <f>IFERROR(__xludf.DUMMYFUNCTION("""COMPUTED_VALUE"""),"Neuroscience")</f>
        <v>Neuroscience</v>
      </c>
      <c r="Q641" s="9"/>
      <c r="R641" s="179" t="str">
        <f>IFERROR(__xludf.DUMMYFUNCTION("""COMPUTED_VALUE"""),"PPRF_r (00/00) [Takahashi, 2018];
")</f>
        <v>PPRF_r (00/00) [Takahashi, 2018];
</v>
      </c>
      <c r="S641" s="179" t="str">
        <f>IFERROR(__xludf.DUMMYFUNCTION("""COMPUTED_VALUE"""),"PPMRF_lPPRF_r")</f>
        <v>PPMRF_lPPRF_r</v>
      </c>
      <c r="T641" s="179" t="str">
        <f>IFERROR(__xludf.DUMMYFUNCTION("""COMPUTED_VALUE"""),"[Takahashi, 2018]")</f>
        <v>[Takahashi, 2018]</v>
      </c>
      <c r="U641" s="179">
        <f>IFERROR(__xludf.DUMMYFUNCTION("""COMPUTED_VALUE"""),0.0)</f>
        <v>0</v>
      </c>
      <c r="V641" s="180">
        <f>IFERROR(__xludf.DUMMYFUNCTION("""COMPUTED_VALUE"""),0.0)</f>
        <v>0</v>
      </c>
      <c r="W641" s="180">
        <f>IFERROR(__xludf.DUMMYFUNCTION("""COMPUTED_VALUE"""),0.95)</f>
        <v>0.95</v>
      </c>
      <c r="X641" s="42">
        <f>IFERROR(__xludf.DUMMYFUNCTION("""COMPUTED_VALUE"""),0.0)</f>
        <v>0</v>
      </c>
      <c r="Y641" s="42">
        <f>IFERROR(__xludf.DUMMYFUNCTION("""COMPUTED_VALUE"""),0.0)</f>
        <v>0</v>
      </c>
      <c r="Z641" s="9">
        <f>IFERROR(__xludf.DUMMYFUNCTION("""COMPUTED_VALUE"""),0.0)</f>
        <v>0</v>
      </c>
      <c r="AA641" s="181">
        <f>IFERROR(__xludf.DUMMYFUNCTION("""COMPUTED_VALUE"""),0.0)</f>
        <v>0</v>
      </c>
      <c r="AB641" s="181">
        <f>IFERROR(__xludf.DUMMYFUNCTION("""COMPUTED_VALUE"""),0.0)</f>
        <v>0</v>
      </c>
      <c r="AC641" s="179">
        <f>IFERROR(__xludf.DUMMYFUNCTION("""COMPUTED_VALUE"""),0.0)</f>
        <v>0</v>
      </c>
      <c r="AD641" s="165">
        <f>IFERROR(__xludf.DUMMYFUNCTION("""COMPUTED_VALUE"""),0.0)</f>
        <v>0</v>
      </c>
      <c r="AE641" s="39" t="str">
        <f>IFERROR(__xludf.DUMMYFUNCTION("""COMPUTED_VALUE"""),"Yoshimasa Tawatsuji")</f>
        <v>Yoshimasa Tawatsuji</v>
      </c>
      <c r="AF641" s="39" t="str">
        <f>IFERROR(__xludf.DUMMYFUNCTION("""COMPUTED_VALUE"""),"Oculomotor")</f>
        <v>Oculomotor</v>
      </c>
      <c r="AG641" s="39"/>
      <c r="AH641" s="39"/>
      <c r="AI641" s="165"/>
      <c r="AJ641" s="165"/>
      <c r="AK641" s="111"/>
      <c r="AL641" s="111"/>
      <c r="AM641" s="111"/>
      <c r="AN641" s="111"/>
      <c r="AO641" s="111"/>
      <c r="AP641" s="111"/>
      <c r="AQ641" s="116"/>
      <c r="AR641" s="116"/>
      <c r="AS641" s="116"/>
    </row>
    <row r="642">
      <c r="A642" s="42" t="str">
        <f>IFERROR(__xludf.DUMMYFUNCTION("""COMPUTED_VALUE"""),"PPMRF_r")</f>
        <v>PPMRF_r</v>
      </c>
      <c r="B642" s="42"/>
      <c r="C642" s="42"/>
      <c r="D642" s="42" t="str">
        <f>IFERROR(__xludf.DUMMYFUNCTION("""COMPUTED_VALUE"""),"6N")</f>
        <v>6N</v>
      </c>
      <c r="E642" s="42"/>
      <c r="F642" s="42"/>
      <c r="G642" s="42"/>
      <c r="H642" s="42" t="str">
        <f>IFERROR(__xludf.DUMMYFUNCTION("""COMPUTED_VALUE"""),"")</f>
        <v/>
      </c>
      <c r="I642" s="42" t="str">
        <f>IFERROR(__xludf.DUMMYFUNCTION("""COMPUTED_VALUE"""),"Takahashi, 2018")</f>
        <v>Takahashi, 2018</v>
      </c>
      <c r="J642" s="42"/>
      <c r="K642" s="42"/>
      <c r="L642" s="42"/>
      <c r="M642" s="42"/>
      <c r="N642" s="42"/>
      <c r="O642" s="31" t="str">
        <f>IFERROR(__xludf.DUMMYFUNCTION("""COMPUTED_VALUE"""),"DOC")</f>
        <v>DOC</v>
      </c>
      <c r="P642" s="9" t="str">
        <f>IFERROR(__xludf.DUMMYFUNCTION("""COMPUTED_VALUE"""),"Neuroscience")</f>
        <v>Neuroscience</v>
      </c>
      <c r="Q642" s="9"/>
      <c r="R642" s="179" t="str">
        <f>IFERROR(__xludf.DUMMYFUNCTION("""COMPUTED_VALUE"""),"6N (00/00) [Takahashi, 2018];
")</f>
        <v>6N (00/00) [Takahashi, 2018];
</v>
      </c>
      <c r="S642" s="179" t="str">
        <f>IFERROR(__xludf.DUMMYFUNCTION("""COMPUTED_VALUE"""),"PPMRF_r6N")</f>
        <v>PPMRF_r6N</v>
      </c>
      <c r="T642" s="179" t="str">
        <f>IFERROR(__xludf.DUMMYFUNCTION("""COMPUTED_VALUE"""),"[Takahashi, 2018]")</f>
        <v>[Takahashi, 2018]</v>
      </c>
      <c r="U642" s="179">
        <f>IFERROR(__xludf.DUMMYFUNCTION("""COMPUTED_VALUE"""),0.0)</f>
        <v>0</v>
      </c>
      <c r="V642" s="180">
        <f>IFERROR(__xludf.DUMMYFUNCTION("""COMPUTED_VALUE"""),0.0)</f>
        <v>0</v>
      </c>
      <c r="W642" s="180">
        <f>IFERROR(__xludf.DUMMYFUNCTION("""COMPUTED_VALUE"""),0.95)</f>
        <v>0.95</v>
      </c>
      <c r="X642" s="42">
        <f>IFERROR(__xludf.DUMMYFUNCTION("""COMPUTED_VALUE"""),0.0)</f>
        <v>0</v>
      </c>
      <c r="Y642" s="42">
        <f>IFERROR(__xludf.DUMMYFUNCTION("""COMPUTED_VALUE"""),0.0)</f>
        <v>0</v>
      </c>
      <c r="Z642" s="9">
        <f>IFERROR(__xludf.DUMMYFUNCTION("""COMPUTED_VALUE"""),0.0)</f>
        <v>0</v>
      </c>
      <c r="AA642" s="181">
        <f>IFERROR(__xludf.DUMMYFUNCTION("""COMPUTED_VALUE"""),0.0)</f>
        <v>0</v>
      </c>
      <c r="AB642" s="181">
        <f>IFERROR(__xludf.DUMMYFUNCTION("""COMPUTED_VALUE"""),0.0)</f>
        <v>0</v>
      </c>
      <c r="AC642" s="179">
        <f>IFERROR(__xludf.DUMMYFUNCTION("""COMPUTED_VALUE"""),0.0)</f>
        <v>0</v>
      </c>
      <c r="AD642" s="165">
        <f>IFERROR(__xludf.DUMMYFUNCTION("""COMPUTED_VALUE"""),0.0)</f>
        <v>0</v>
      </c>
      <c r="AE642" s="39" t="str">
        <f>IFERROR(__xludf.DUMMYFUNCTION("""COMPUTED_VALUE"""),"Yoshimasa Tawatsuji")</f>
        <v>Yoshimasa Tawatsuji</v>
      </c>
      <c r="AF642" s="39" t="str">
        <f>IFERROR(__xludf.DUMMYFUNCTION("""COMPUTED_VALUE"""),"Oculomotor")</f>
        <v>Oculomotor</v>
      </c>
      <c r="AG642" s="39"/>
      <c r="AH642" s="39"/>
      <c r="AI642" s="165"/>
      <c r="AJ642" s="165"/>
      <c r="AK642" s="111"/>
      <c r="AL642" s="111"/>
      <c r="AM642" s="111"/>
      <c r="AN642" s="111"/>
      <c r="AO642" s="111"/>
      <c r="AP642" s="111"/>
      <c r="AQ642" s="116"/>
      <c r="AR642" s="116"/>
      <c r="AS642" s="116"/>
    </row>
    <row r="643">
      <c r="A643" s="42" t="str">
        <f>IFERROR(__xludf.DUMMYFUNCTION("""COMPUTED_VALUE"""),"PPMRF_r")</f>
        <v>PPMRF_r</v>
      </c>
      <c r="B643" s="42"/>
      <c r="C643" s="42"/>
      <c r="D643" s="42" t="str">
        <f>IFERROR(__xludf.DUMMYFUNCTION("""COMPUTED_VALUE"""),"PPMRF_l")</f>
        <v>PPMRF_l</v>
      </c>
      <c r="E643" s="42"/>
      <c r="F643" s="42"/>
      <c r="G643" s="42"/>
      <c r="H643" s="42" t="str">
        <f>IFERROR(__xludf.DUMMYFUNCTION("""COMPUTED_VALUE"""),"")</f>
        <v/>
      </c>
      <c r="I643" s="42" t="str">
        <f>IFERROR(__xludf.DUMMYFUNCTION("""COMPUTED_VALUE"""),"Takahashi, 2018")</f>
        <v>Takahashi, 2018</v>
      </c>
      <c r="J643" s="42"/>
      <c r="K643" s="42"/>
      <c r="L643" s="42"/>
      <c r="M643" s="42"/>
      <c r="N643" s="42"/>
      <c r="O643" s="31" t="str">
        <f>IFERROR(__xludf.DUMMYFUNCTION("""COMPUTED_VALUE"""),"DOC")</f>
        <v>DOC</v>
      </c>
      <c r="P643" s="9" t="str">
        <f>IFERROR(__xludf.DUMMYFUNCTION("""COMPUTED_VALUE"""),"Neuroscience")</f>
        <v>Neuroscience</v>
      </c>
      <c r="Q643" s="9"/>
      <c r="R643" s="179" t="str">
        <f>IFERROR(__xludf.DUMMYFUNCTION("""COMPUTED_VALUE"""),"PPMRF_l (00/00) [Takahashi, 2018];
")</f>
        <v>PPMRF_l (00/00) [Takahashi, 2018];
</v>
      </c>
      <c r="S643" s="179" t="str">
        <f>IFERROR(__xludf.DUMMYFUNCTION("""COMPUTED_VALUE"""),"PPMRF_rPPMRF_l")</f>
        <v>PPMRF_rPPMRF_l</v>
      </c>
      <c r="T643" s="179" t="str">
        <f>IFERROR(__xludf.DUMMYFUNCTION("""COMPUTED_VALUE"""),"[Takahashi, 2018]")</f>
        <v>[Takahashi, 2018]</v>
      </c>
      <c r="U643" s="179">
        <f>IFERROR(__xludf.DUMMYFUNCTION("""COMPUTED_VALUE"""),0.0)</f>
        <v>0</v>
      </c>
      <c r="V643" s="180">
        <f>IFERROR(__xludf.DUMMYFUNCTION("""COMPUTED_VALUE"""),0.0)</f>
        <v>0</v>
      </c>
      <c r="W643" s="180">
        <f>IFERROR(__xludf.DUMMYFUNCTION("""COMPUTED_VALUE"""),0.95)</f>
        <v>0.95</v>
      </c>
      <c r="X643" s="42">
        <f>IFERROR(__xludf.DUMMYFUNCTION("""COMPUTED_VALUE"""),0.0)</f>
        <v>0</v>
      </c>
      <c r="Y643" s="42">
        <f>IFERROR(__xludf.DUMMYFUNCTION("""COMPUTED_VALUE"""),0.0)</f>
        <v>0</v>
      </c>
      <c r="Z643" s="9">
        <f>IFERROR(__xludf.DUMMYFUNCTION("""COMPUTED_VALUE"""),0.0)</f>
        <v>0</v>
      </c>
      <c r="AA643" s="181">
        <f>IFERROR(__xludf.DUMMYFUNCTION("""COMPUTED_VALUE"""),0.0)</f>
        <v>0</v>
      </c>
      <c r="AB643" s="181">
        <f>IFERROR(__xludf.DUMMYFUNCTION("""COMPUTED_VALUE"""),0.0)</f>
        <v>0</v>
      </c>
      <c r="AC643" s="179">
        <f>IFERROR(__xludf.DUMMYFUNCTION("""COMPUTED_VALUE"""),0.0)</f>
        <v>0</v>
      </c>
      <c r="AD643" s="165">
        <f>IFERROR(__xludf.DUMMYFUNCTION("""COMPUTED_VALUE"""),0.0)</f>
        <v>0</v>
      </c>
      <c r="AE643" s="39" t="str">
        <f>IFERROR(__xludf.DUMMYFUNCTION("""COMPUTED_VALUE"""),"Yoshimasa Tawatsuji")</f>
        <v>Yoshimasa Tawatsuji</v>
      </c>
      <c r="AF643" s="39" t="str">
        <f>IFERROR(__xludf.DUMMYFUNCTION("""COMPUTED_VALUE"""),"Oculomotor")</f>
        <v>Oculomotor</v>
      </c>
      <c r="AG643" s="39"/>
      <c r="AH643" s="39"/>
      <c r="AI643" s="165"/>
      <c r="AJ643" s="165"/>
      <c r="AK643" s="111"/>
      <c r="AL643" s="111"/>
      <c r="AM643" s="111"/>
      <c r="AN643" s="111"/>
      <c r="AO643" s="111"/>
      <c r="AP643" s="111"/>
      <c r="AQ643" s="116"/>
      <c r="AR643" s="116"/>
      <c r="AS643" s="116"/>
    </row>
    <row r="644">
      <c r="A644" s="42" t="str">
        <f>IFERROR(__xludf.DUMMYFUNCTION("""COMPUTED_VALUE"""),"PPMRF_r")</f>
        <v>PPMRF_r</v>
      </c>
      <c r="B644" s="42"/>
      <c r="C644" s="42"/>
      <c r="D644" s="42" t="str">
        <f>IFERROR(__xludf.DUMMYFUNCTION("""COMPUTED_VALUE"""),"PPRF_l")</f>
        <v>PPRF_l</v>
      </c>
      <c r="E644" s="42"/>
      <c r="F644" s="42"/>
      <c r="G644" s="42"/>
      <c r="H644" s="42" t="str">
        <f>IFERROR(__xludf.DUMMYFUNCTION("""COMPUTED_VALUE"""),"")</f>
        <v/>
      </c>
      <c r="I644" s="42" t="str">
        <f>IFERROR(__xludf.DUMMYFUNCTION("""COMPUTED_VALUE"""),"Takahashi, 2018")</f>
        <v>Takahashi, 2018</v>
      </c>
      <c r="J644" s="42"/>
      <c r="K644" s="42"/>
      <c r="L644" s="42"/>
      <c r="M644" s="42"/>
      <c r="N644" s="42"/>
      <c r="O644" s="31" t="str">
        <f>IFERROR(__xludf.DUMMYFUNCTION("""COMPUTED_VALUE"""),"DOC")</f>
        <v>DOC</v>
      </c>
      <c r="P644" s="9" t="str">
        <f>IFERROR(__xludf.DUMMYFUNCTION("""COMPUTED_VALUE"""),"Neuroscience")</f>
        <v>Neuroscience</v>
      </c>
      <c r="Q644" s="9"/>
      <c r="R644" s="179" t="str">
        <f>IFERROR(__xludf.DUMMYFUNCTION("""COMPUTED_VALUE"""),"PPRF_l (00/00) [Takahashi, 2018];
")</f>
        <v>PPRF_l (00/00) [Takahashi, 2018];
</v>
      </c>
      <c r="S644" s="179" t="str">
        <f>IFERROR(__xludf.DUMMYFUNCTION("""COMPUTED_VALUE"""),"PPMRF_rPPRF_l")</f>
        <v>PPMRF_rPPRF_l</v>
      </c>
      <c r="T644" s="179" t="str">
        <f>IFERROR(__xludf.DUMMYFUNCTION("""COMPUTED_VALUE"""),"[Takahashi, 2018]")</f>
        <v>[Takahashi, 2018]</v>
      </c>
      <c r="U644" s="179">
        <f>IFERROR(__xludf.DUMMYFUNCTION("""COMPUTED_VALUE"""),0.0)</f>
        <v>0</v>
      </c>
      <c r="V644" s="180">
        <f>IFERROR(__xludf.DUMMYFUNCTION("""COMPUTED_VALUE"""),0.0)</f>
        <v>0</v>
      </c>
      <c r="W644" s="180">
        <f>IFERROR(__xludf.DUMMYFUNCTION("""COMPUTED_VALUE"""),0.95)</f>
        <v>0.95</v>
      </c>
      <c r="X644" s="42">
        <f>IFERROR(__xludf.DUMMYFUNCTION("""COMPUTED_VALUE"""),0.0)</f>
        <v>0</v>
      </c>
      <c r="Y644" s="42">
        <f>IFERROR(__xludf.DUMMYFUNCTION("""COMPUTED_VALUE"""),0.0)</f>
        <v>0</v>
      </c>
      <c r="Z644" s="9">
        <f>IFERROR(__xludf.DUMMYFUNCTION("""COMPUTED_VALUE"""),0.0)</f>
        <v>0</v>
      </c>
      <c r="AA644" s="181">
        <f>IFERROR(__xludf.DUMMYFUNCTION("""COMPUTED_VALUE"""),0.0)</f>
        <v>0</v>
      </c>
      <c r="AB644" s="181">
        <f>IFERROR(__xludf.DUMMYFUNCTION("""COMPUTED_VALUE"""),0.0)</f>
        <v>0</v>
      </c>
      <c r="AC644" s="179">
        <f>IFERROR(__xludf.DUMMYFUNCTION("""COMPUTED_VALUE"""),0.0)</f>
        <v>0</v>
      </c>
      <c r="AD644" s="165">
        <f>IFERROR(__xludf.DUMMYFUNCTION("""COMPUTED_VALUE"""),0.0)</f>
        <v>0</v>
      </c>
      <c r="AE644" s="39" t="str">
        <f>IFERROR(__xludf.DUMMYFUNCTION("""COMPUTED_VALUE"""),"Yoshimasa Tawatsuji")</f>
        <v>Yoshimasa Tawatsuji</v>
      </c>
      <c r="AF644" s="39" t="str">
        <f>IFERROR(__xludf.DUMMYFUNCTION("""COMPUTED_VALUE"""),"Oculomotor")</f>
        <v>Oculomotor</v>
      </c>
      <c r="AG644" s="39"/>
      <c r="AH644" s="39"/>
      <c r="AI644" s="165"/>
      <c r="AJ644" s="165"/>
      <c r="AK644" s="111"/>
      <c r="AL644" s="111"/>
      <c r="AM644" s="111"/>
      <c r="AN644" s="111"/>
      <c r="AO644" s="111"/>
      <c r="AP644" s="111"/>
      <c r="AQ644" s="116"/>
      <c r="AR644" s="116"/>
      <c r="AS644" s="116"/>
    </row>
    <row r="645">
      <c r="A645" s="42" t="str">
        <f>IFERROR(__xludf.DUMMYFUNCTION("""COMPUTED_VALUE"""),"PPRF_l")</f>
        <v>PPRF_l</v>
      </c>
      <c r="B645" s="42"/>
      <c r="C645" s="42"/>
      <c r="D645" s="42" t="str">
        <f>IFERROR(__xludf.DUMMYFUNCTION("""COMPUTED_VALUE"""),"6N")</f>
        <v>6N</v>
      </c>
      <c r="E645" s="42"/>
      <c r="F645" s="42"/>
      <c r="G645" s="42"/>
      <c r="H645" s="42" t="str">
        <f>IFERROR(__xludf.DUMMYFUNCTION("""COMPUTED_VALUE"""),"")</f>
        <v/>
      </c>
      <c r="I645" s="42" t="str">
        <f>IFERROR(__xludf.DUMMYFUNCTION("""COMPUTED_VALUE"""),"Takahashi, 2018")</f>
        <v>Takahashi, 2018</v>
      </c>
      <c r="J645" s="42"/>
      <c r="K645" s="42"/>
      <c r="L645" s="42"/>
      <c r="M645" s="42"/>
      <c r="N645" s="42"/>
      <c r="O645" s="31" t="str">
        <f>IFERROR(__xludf.DUMMYFUNCTION("""COMPUTED_VALUE"""),"DOC")</f>
        <v>DOC</v>
      </c>
      <c r="P645" s="9" t="str">
        <f>IFERROR(__xludf.DUMMYFUNCTION("""COMPUTED_VALUE"""),"Neuroscience")</f>
        <v>Neuroscience</v>
      </c>
      <c r="Q645" s="9"/>
      <c r="R645" s="179" t="str">
        <f>IFERROR(__xludf.DUMMYFUNCTION("""COMPUTED_VALUE"""),"6N (00/00) [Takahashi, 2018];
")</f>
        <v>6N (00/00) [Takahashi, 2018];
</v>
      </c>
      <c r="S645" s="179" t="str">
        <f>IFERROR(__xludf.DUMMYFUNCTION("""COMPUTED_VALUE"""),"PPRF_l6N")</f>
        <v>PPRF_l6N</v>
      </c>
      <c r="T645" s="179" t="str">
        <f>IFERROR(__xludf.DUMMYFUNCTION("""COMPUTED_VALUE"""),"[Takahashi, 2018]")</f>
        <v>[Takahashi, 2018]</v>
      </c>
      <c r="U645" s="179">
        <f>IFERROR(__xludf.DUMMYFUNCTION("""COMPUTED_VALUE"""),0.0)</f>
        <v>0</v>
      </c>
      <c r="V645" s="180">
        <f>IFERROR(__xludf.DUMMYFUNCTION("""COMPUTED_VALUE"""),0.0)</f>
        <v>0</v>
      </c>
      <c r="W645" s="180">
        <f>IFERROR(__xludf.DUMMYFUNCTION("""COMPUTED_VALUE"""),0.95)</f>
        <v>0.95</v>
      </c>
      <c r="X645" s="42">
        <f>IFERROR(__xludf.DUMMYFUNCTION("""COMPUTED_VALUE"""),0.0)</f>
        <v>0</v>
      </c>
      <c r="Y645" s="42">
        <f>IFERROR(__xludf.DUMMYFUNCTION("""COMPUTED_VALUE"""),0.0)</f>
        <v>0</v>
      </c>
      <c r="Z645" s="9">
        <f>IFERROR(__xludf.DUMMYFUNCTION("""COMPUTED_VALUE"""),0.0)</f>
        <v>0</v>
      </c>
      <c r="AA645" s="181">
        <f>IFERROR(__xludf.DUMMYFUNCTION("""COMPUTED_VALUE"""),0.0)</f>
        <v>0</v>
      </c>
      <c r="AB645" s="181">
        <f>IFERROR(__xludf.DUMMYFUNCTION("""COMPUTED_VALUE"""),0.0)</f>
        <v>0</v>
      </c>
      <c r="AC645" s="179">
        <f>IFERROR(__xludf.DUMMYFUNCTION("""COMPUTED_VALUE"""),0.0)</f>
        <v>0</v>
      </c>
      <c r="AD645" s="165">
        <f>IFERROR(__xludf.DUMMYFUNCTION("""COMPUTED_VALUE"""),0.0)</f>
        <v>0</v>
      </c>
      <c r="AE645" s="39" t="str">
        <f>IFERROR(__xludf.DUMMYFUNCTION("""COMPUTED_VALUE"""),"Yoshimasa Tawatsuji")</f>
        <v>Yoshimasa Tawatsuji</v>
      </c>
      <c r="AF645" s="39" t="str">
        <f>IFERROR(__xludf.DUMMYFUNCTION("""COMPUTED_VALUE"""),"Oculomotor")</f>
        <v>Oculomotor</v>
      </c>
      <c r="AG645" s="39"/>
      <c r="AH645" s="39"/>
      <c r="AI645" s="165"/>
      <c r="AJ645" s="165"/>
      <c r="AK645" s="111"/>
      <c r="AL645" s="111"/>
      <c r="AM645" s="111"/>
      <c r="AN645" s="111"/>
      <c r="AO645" s="111"/>
      <c r="AP645" s="111"/>
      <c r="AQ645" s="116"/>
      <c r="AR645" s="116"/>
      <c r="AS645" s="116"/>
    </row>
    <row r="646">
      <c r="A646" s="42" t="str">
        <f>IFERROR(__xludf.DUMMYFUNCTION("""COMPUTED_VALUE"""),"PPRF_r")</f>
        <v>PPRF_r</v>
      </c>
      <c r="B646" s="42"/>
      <c r="C646" s="42"/>
      <c r="D646" s="42" t="str">
        <f>IFERROR(__xludf.DUMMYFUNCTION("""COMPUTED_VALUE"""),"6N")</f>
        <v>6N</v>
      </c>
      <c r="E646" s="42"/>
      <c r="F646" s="42"/>
      <c r="G646" s="42"/>
      <c r="H646" s="42" t="str">
        <f>IFERROR(__xludf.DUMMYFUNCTION("""COMPUTED_VALUE"""),"")</f>
        <v/>
      </c>
      <c r="I646" s="42" t="str">
        <f>IFERROR(__xludf.DUMMYFUNCTION("""COMPUTED_VALUE"""),"Takahashi, 2018")</f>
        <v>Takahashi, 2018</v>
      </c>
      <c r="J646" s="42"/>
      <c r="K646" s="42"/>
      <c r="L646" s="42"/>
      <c r="M646" s="42"/>
      <c r="N646" s="42"/>
      <c r="O646" s="131" t="str">
        <f>IFERROR(__xludf.DUMMYFUNCTION("""COMPUTED_VALUE"""),"DOC")</f>
        <v>DOC</v>
      </c>
      <c r="P646" s="9" t="str">
        <f>IFERROR(__xludf.DUMMYFUNCTION("""COMPUTED_VALUE"""),"Neuroscience")</f>
        <v>Neuroscience</v>
      </c>
      <c r="Q646" s="9"/>
      <c r="R646" s="179" t="str">
        <f>IFERROR(__xludf.DUMMYFUNCTION("""COMPUTED_VALUE"""),"6N (00/00) [Takahashi, 2018];
")</f>
        <v>6N (00/00) [Takahashi, 2018];
</v>
      </c>
      <c r="S646" s="179" t="str">
        <f>IFERROR(__xludf.DUMMYFUNCTION("""COMPUTED_VALUE"""),"PPRF_r6N")</f>
        <v>PPRF_r6N</v>
      </c>
      <c r="T646" s="179" t="str">
        <f>IFERROR(__xludf.DUMMYFUNCTION("""COMPUTED_VALUE"""),"[Takahashi, 2018]")</f>
        <v>[Takahashi, 2018]</v>
      </c>
      <c r="U646" s="179">
        <f>IFERROR(__xludf.DUMMYFUNCTION("""COMPUTED_VALUE"""),0.0)</f>
        <v>0</v>
      </c>
      <c r="V646" s="180">
        <f>IFERROR(__xludf.DUMMYFUNCTION("""COMPUTED_VALUE"""),0.0)</f>
        <v>0</v>
      </c>
      <c r="W646" s="180">
        <f>IFERROR(__xludf.DUMMYFUNCTION("""COMPUTED_VALUE"""),0.95)</f>
        <v>0.95</v>
      </c>
      <c r="X646" s="42">
        <f>IFERROR(__xludf.DUMMYFUNCTION("""COMPUTED_VALUE"""),0.0)</f>
        <v>0</v>
      </c>
      <c r="Y646" s="42">
        <f>IFERROR(__xludf.DUMMYFUNCTION("""COMPUTED_VALUE"""),0.0)</f>
        <v>0</v>
      </c>
      <c r="Z646" s="9">
        <f>IFERROR(__xludf.DUMMYFUNCTION("""COMPUTED_VALUE"""),0.0)</f>
        <v>0</v>
      </c>
      <c r="AA646" s="181">
        <f>IFERROR(__xludf.DUMMYFUNCTION("""COMPUTED_VALUE"""),0.0)</f>
        <v>0</v>
      </c>
      <c r="AB646" s="181">
        <f>IFERROR(__xludf.DUMMYFUNCTION("""COMPUTED_VALUE"""),0.0)</f>
        <v>0</v>
      </c>
      <c r="AC646" s="179">
        <f>IFERROR(__xludf.DUMMYFUNCTION("""COMPUTED_VALUE"""),0.0)</f>
        <v>0</v>
      </c>
      <c r="AD646" s="165">
        <f>IFERROR(__xludf.DUMMYFUNCTION("""COMPUTED_VALUE"""),0.0)</f>
        <v>0</v>
      </c>
      <c r="AE646" s="39" t="str">
        <f>IFERROR(__xludf.DUMMYFUNCTION("""COMPUTED_VALUE"""),"Yoshimasa Tawatsuji")</f>
        <v>Yoshimasa Tawatsuji</v>
      </c>
      <c r="AF646" s="39" t="str">
        <f>IFERROR(__xludf.DUMMYFUNCTION("""COMPUTED_VALUE"""),"Oculomotor")</f>
        <v>Oculomotor</v>
      </c>
      <c r="AG646" s="39"/>
      <c r="AH646" s="39"/>
      <c r="AI646" s="165"/>
      <c r="AJ646" s="165"/>
      <c r="AK646" s="111"/>
      <c r="AL646" s="111"/>
      <c r="AM646" s="111"/>
      <c r="AN646" s="111"/>
      <c r="AO646" s="111"/>
      <c r="AP646" s="111"/>
      <c r="AQ646" s="116"/>
      <c r="AR646" s="116"/>
      <c r="AS646" s="116"/>
    </row>
    <row r="647">
      <c r="A647" s="42" t="str">
        <f>IFERROR(__xludf.DUMMYFUNCTION("""COMPUTED_VALUE"""),"PRCd")</f>
        <v>PRCd</v>
      </c>
      <c r="B647" s="42"/>
      <c r="C647" s="42"/>
      <c r="D647" s="42" t="str">
        <f>IFERROR(__xludf.DUMMYFUNCTION("""COMPUTED_VALUE"""),"BM")</f>
        <v>BM</v>
      </c>
      <c r="E647" s="42"/>
      <c r="F647" s="42"/>
      <c r="G647" s="42"/>
      <c r="H647" s="42" t="str">
        <f>IFERROR(__xludf.DUMMYFUNCTION("""COMPUTED_VALUE"""),"")</f>
        <v/>
      </c>
      <c r="I647" s="42" t="str">
        <f>IFERROR(__xludf.DUMMYFUNCTION("""COMPUTED_VALUE"""),"Pitkänen, 2000")</f>
        <v>Pitkänen, 2000</v>
      </c>
      <c r="J647" s="42" t="str">
        <f>IFERROR(__xludf.DUMMYFUNCTION("""COMPUTED_VALUE"""),"Rat")</f>
        <v>Rat</v>
      </c>
      <c r="K647" s="42" t="str">
        <f>IFERROR(__xludf.DUMMYFUNCTION("""COMPUTED_VALUE"""),"Various tracing")</f>
        <v>Various tracing</v>
      </c>
      <c r="L647" s="42"/>
      <c r="M647" s="42" t="str">
        <f>IFERROR(__xludf.DUMMYFUNCTION("""COMPUTED_VALUE"""),"fig.3-fig.12 (to be specified)")</f>
        <v>fig.3-fig.12 (to be specified)</v>
      </c>
      <c r="N647" s="42"/>
      <c r="O647" s="31" t="str">
        <f>IFERROR(__xludf.DUMMYFUNCTION("""COMPUTED_VALUE"""),"DOC(alt)")</f>
        <v>DOC(alt)</v>
      </c>
      <c r="P647" s="9" t="str">
        <f>IFERROR(__xludf.DUMMYFUNCTION("""COMPUTED_VALUE"""),"Folia morphologica")</f>
        <v>Folia morphologica</v>
      </c>
      <c r="Q647" s="9" t="str">
        <f>IFERROR(__xludf.DUMMYFUNCTION("""COMPUTED_VALUE"""),"Review")</f>
        <v>Review</v>
      </c>
      <c r="R647" s="179" t="str">
        <f>IFERROR(__xludf.DUMMYFUNCTION("""COMPUTED_VALUE"""),"BM (00/00) [Pitkänen, 2000];
")</f>
        <v>BM (00/00) [Pitkänen, 2000];
</v>
      </c>
      <c r="S647" s="179" t="str">
        <f>IFERROR(__xludf.DUMMYFUNCTION("""COMPUTED_VALUE"""),"PRCdBM")</f>
        <v>PRCdBM</v>
      </c>
      <c r="T647" s="179" t="str">
        <f>IFERROR(__xludf.DUMMYFUNCTION("""COMPUTED_VALUE"""),"[Pitkänen, 2000]")</f>
        <v>[Pitkänen, 2000]</v>
      </c>
      <c r="U647" s="179">
        <f>IFERROR(__xludf.DUMMYFUNCTION("""COMPUTED_VALUE"""),0.0)</f>
        <v>0</v>
      </c>
      <c r="V647" s="180">
        <f>IFERROR(__xludf.DUMMYFUNCTION("""COMPUTED_VALUE"""),0.0)</f>
        <v>0</v>
      </c>
      <c r="W647" s="180">
        <f>IFERROR(__xludf.DUMMYFUNCTION("""COMPUTED_VALUE"""),0.95)</f>
        <v>0.95</v>
      </c>
      <c r="X647" s="42">
        <f>IFERROR(__xludf.DUMMYFUNCTION("""COMPUTED_VALUE"""),0.8)</f>
        <v>0.8</v>
      </c>
      <c r="Y647" s="42">
        <f>IFERROR(__xludf.DUMMYFUNCTION("""COMPUTED_VALUE"""),0.6)</f>
        <v>0.6</v>
      </c>
      <c r="Z647" s="9">
        <f>IFERROR(__xludf.DUMMYFUNCTION("""COMPUTED_VALUE"""),0.9)</f>
        <v>0.9</v>
      </c>
      <c r="AA647" s="181">
        <f>IFERROR(__xludf.DUMMYFUNCTION("""COMPUTED_VALUE"""),0.0)</f>
        <v>0</v>
      </c>
      <c r="AB647" s="181">
        <f>IFERROR(__xludf.DUMMYFUNCTION("""COMPUTED_VALUE"""),0.0)</f>
        <v>0</v>
      </c>
      <c r="AC647" s="179">
        <f>IFERROR(__xludf.DUMMYFUNCTION("""COMPUTED_VALUE"""),0.0)</f>
        <v>0</v>
      </c>
      <c r="AD647" s="165">
        <f>IFERROR(__xludf.DUMMYFUNCTION("""COMPUTED_VALUE"""),0.0)</f>
        <v>0</v>
      </c>
      <c r="AE647" s="39" t="str">
        <f>IFERROR(__xludf.DUMMYFUNCTION("""COMPUTED_VALUE"""),"Tatsuya Miyamoto")</f>
        <v>Tatsuya Miyamoto</v>
      </c>
      <c r="AF647" s="39" t="str">
        <f>IFERROR(__xludf.DUMMYFUNCTION("""COMPUTED_VALUE"""),"TM21Amygdala")</f>
        <v>TM21Amygdala</v>
      </c>
      <c r="AG647" s="39"/>
      <c r="AH647" s="39"/>
      <c r="AI647" s="165"/>
      <c r="AJ647" s="165"/>
      <c r="AK647" s="111"/>
      <c r="AL647" s="111"/>
      <c r="AM647" s="111"/>
      <c r="AN647" s="111"/>
      <c r="AO647" s="111"/>
      <c r="AP647" s="111"/>
      <c r="AQ647" s="116"/>
      <c r="AR647" s="116"/>
      <c r="AS647" s="116"/>
    </row>
    <row r="648">
      <c r="A648" s="42" t="str">
        <f>IFERROR(__xludf.DUMMYFUNCTION("""COMPUTED_VALUE"""),"PRCv")</f>
        <v>PRCv</v>
      </c>
      <c r="B648" s="42"/>
      <c r="C648" s="42"/>
      <c r="D648" s="42" t="str">
        <f>IFERROR(__xludf.DUMMYFUNCTION("""COMPUTED_VALUE"""),"BM")</f>
        <v>BM</v>
      </c>
      <c r="E648" s="42"/>
      <c r="F648" s="42"/>
      <c r="G648" s="42"/>
      <c r="H648" s="42" t="str">
        <f>IFERROR(__xludf.DUMMYFUNCTION("""COMPUTED_VALUE"""),"")</f>
        <v/>
      </c>
      <c r="I648" s="42" t="str">
        <f>IFERROR(__xludf.DUMMYFUNCTION("""COMPUTED_VALUE"""),"Pitkänen, 2000")</f>
        <v>Pitkänen, 2000</v>
      </c>
      <c r="J648" s="42" t="str">
        <f>IFERROR(__xludf.DUMMYFUNCTION("""COMPUTED_VALUE"""),"Rat")</f>
        <v>Rat</v>
      </c>
      <c r="K648" s="42" t="str">
        <f>IFERROR(__xludf.DUMMYFUNCTION("""COMPUTED_VALUE"""),"Various tracing")</f>
        <v>Various tracing</v>
      </c>
      <c r="L648" s="42"/>
      <c r="M648" s="42" t="str">
        <f>IFERROR(__xludf.DUMMYFUNCTION("""COMPUTED_VALUE"""),"fig.3-fig.12 (to be specified)")</f>
        <v>fig.3-fig.12 (to be specified)</v>
      </c>
      <c r="N648" s="42"/>
      <c r="O648" s="31" t="str">
        <f>IFERROR(__xludf.DUMMYFUNCTION("""COMPUTED_VALUE"""),"DOC(alt)")</f>
        <v>DOC(alt)</v>
      </c>
      <c r="P648" s="9" t="str">
        <f>IFERROR(__xludf.DUMMYFUNCTION("""COMPUTED_VALUE"""),"Folia morphologica")</f>
        <v>Folia morphologica</v>
      </c>
      <c r="Q648" s="9" t="str">
        <f>IFERROR(__xludf.DUMMYFUNCTION("""COMPUTED_VALUE"""),"Review")</f>
        <v>Review</v>
      </c>
      <c r="R648" s="179" t="str">
        <f>IFERROR(__xludf.DUMMYFUNCTION("""COMPUTED_VALUE"""),"BM (00/00) [Pitkänen, 2000];
")</f>
        <v>BM (00/00) [Pitkänen, 2000];
</v>
      </c>
      <c r="S648" s="179" t="str">
        <f>IFERROR(__xludf.DUMMYFUNCTION("""COMPUTED_VALUE"""),"PRCvBM")</f>
        <v>PRCvBM</v>
      </c>
      <c r="T648" s="179" t="str">
        <f>IFERROR(__xludf.DUMMYFUNCTION("""COMPUTED_VALUE"""),"[Pitkänen, 2000]")</f>
        <v>[Pitkänen, 2000]</v>
      </c>
      <c r="U648" s="179">
        <f>IFERROR(__xludf.DUMMYFUNCTION("""COMPUTED_VALUE"""),0.0)</f>
        <v>0</v>
      </c>
      <c r="V648" s="180">
        <f>IFERROR(__xludf.DUMMYFUNCTION("""COMPUTED_VALUE"""),0.0)</f>
        <v>0</v>
      </c>
      <c r="W648" s="180">
        <f>IFERROR(__xludf.DUMMYFUNCTION("""COMPUTED_VALUE"""),0.95)</f>
        <v>0.95</v>
      </c>
      <c r="X648" s="42">
        <f>IFERROR(__xludf.DUMMYFUNCTION("""COMPUTED_VALUE"""),0.8)</f>
        <v>0.8</v>
      </c>
      <c r="Y648" s="42">
        <f>IFERROR(__xludf.DUMMYFUNCTION("""COMPUTED_VALUE"""),0.6)</f>
        <v>0.6</v>
      </c>
      <c r="Z648" s="9">
        <f>IFERROR(__xludf.DUMMYFUNCTION("""COMPUTED_VALUE"""),0.9)</f>
        <v>0.9</v>
      </c>
      <c r="AA648" s="181">
        <f>IFERROR(__xludf.DUMMYFUNCTION("""COMPUTED_VALUE"""),0.0)</f>
        <v>0</v>
      </c>
      <c r="AB648" s="181">
        <f>IFERROR(__xludf.DUMMYFUNCTION("""COMPUTED_VALUE"""),0.0)</f>
        <v>0</v>
      </c>
      <c r="AC648" s="179">
        <f>IFERROR(__xludf.DUMMYFUNCTION("""COMPUTED_VALUE"""),0.0)</f>
        <v>0</v>
      </c>
      <c r="AD648" s="165">
        <f>IFERROR(__xludf.DUMMYFUNCTION("""COMPUTED_VALUE"""),0.0)</f>
        <v>0</v>
      </c>
      <c r="AE648" s="39" t="str">
        <f>IFERROR(__xludf.DUMMYFUNCTION("""COMPUTED_VALUE"""),"Tatsuya Miyamoto")</f>
        <v>Tatsuya Miyamoto</v>
      </c>
      <c r="AF648" s="39" t="str">
        <f>IFERROR(__xludf.DUMMYFUNCTION("""COMPUTED_VALUE"""),"TM21Amygdala")</f>
        <v>TM21Amygdala</v>
      </c>
      <c r="AG648" s="39"/>
      <c r="AH648" s="39"/>
      <c r="AI648" s="165"/>
      <c r="AJ648" s="165"/>
      <c r="AK648" s="111"/>
      <c r="AL648" s="111"/>
      <c r="AM648" s="111"/>
      <c r="AN648" s="111"/>
      <c r="AO648" s="111"/>
      <c r="AP648" s="111"/>
      <c r="AQ648" s="116"/>
      <c r="AR648" s="116"/>
      <c r="AS648" s="116"/>
    </row>
    <row r="649">
      <c r="A649" s="42" t="str">
        <f>IFERROR(__xludf.DUMMYFUNCTION("""COMPUTED_VALUE"""),"PrH")</f>
        <v>PrH</v>
      </c>
      <c r="B649" s="42"/>
      <c r="C649" s="42"/>
      <c r="D649" s="42" t="str">
        <f>IFERROR(__xludf.DUMMYFUNCTION("""COMPUTED_VALUE"""),"IOK")</f>
        <v>IOK</v>
      </c>
      <c r="E649" s="42"/>
      <c r="F649" s="42"/>
      <c r="G649" s="42"/>
      <c r="H649" s="42" t="str">
        <f>IFERROR(__xludf.DUMMYFUNCTION("""COMPUTED_VALUE"""),"")</f>
        <v/>
      </c>
      <c r="I649" s="42" t="str">
        <f>IFERROR(__xludf.DUMMYFUNCTION("""COMPUTED_VALUE"""),"Barmack, 2000")</f>
        <v>Barmack, 2000</v>
      </c>
      <c r="J649" s="42"/>
      <c r="K649" s="42"/>
      <c r="L649" s="42"/>
      <c r="M649" s="42"/>
      <c r="N649" s="42"/>
      <c r="O649" s="31" t="str">
        <f>IFERROR(__xludf.DUMMYFUNCTION("""COMPUTED_VALUE"""),"DOC")</f>
        <v>DOC</v>
      </c>
      <c r="P649" s="9" t="str">
        <f>IFERROR(__xludf.DUMMYFUNCTION("""COMPUTED_VALUE"""),"Journal of Neurophysiology")</f>
        <v>Journal of Neurophysiology</v>
      </c>
      <c r="Q649" s="9"/>
      <c r="R649" s="179" t="str">
        <f>IFERROR(__xludf.DUMMYFUNCTION("""COMPUTED_VALUE"""),"IOK (00/00) [Barmack, 2000];
")</f>
        <v>IOK (00/00) [Barmack, 2000];
</v>
      </c>
      <c r="S649" s="179" t="str">
        <f>IFERROR(__xludf.DUMMYFUNCTION("""COMPUTED_VALUE"""),"PrHIOK")</f>
        <v>PrHIOK</v>
      </c>
      <c r="T649" s="179" t="str">
        <f>IFERROR(__xludf.DUMMYFUNCTION("""COMPUTED_VALUE"""),"[Barmack, 2000]")</f>
        <v>[Barmack, 2000]</v>
      </c>
      <c r="U649" s="179">
        <f>IFERROR(__xludf.DUMMYFUNCTION("""COMPUTED_VALUE"""),0.0)</f>
        <v>0</v>
      </c>
      <c r="V649" s="180">
        <f>IFERROR(__xludf.DUMMYFUNCTION("""COMPUTED_VALUE"""),0.0)</f>
        <v>0</v>
      </c>
      <c r="W649" s="180">
        <f>IFERROR(__xludf.DUMMYFUNCTION("""COMPUTED_VALUE"""),0.95)</f>
        <v>0.95</v>
      </c>
      <c r="X649" s="42">
        <f>IFERROR(__xludf.DUMMYFUNCTION("""COMPUTED_VALUE"""),0.0)</f>
        <v>0</v>
      </c>
      <c r="Y649" s="42">
        <f>IFERROR(__xludf.DUMMYFUNCTION("""COMPUTED_VALUE"""),0.0)</f>
        <v>0</v>
      </c>
      <c r="Z649" s="9">
        <f>IFERROR(__xludf.DUMMYFUNCTION("""COMPUTED_VALUE"""),0.0)</f>
        <v>0</v>
      </c>
      <c r="AA649" s="181">
        <f>IFERROR(__xludf.DUMMYFUNCTION("""COMPUTED_VALUE"""),0.0)</f>
        <v>0</v>
      </c>
      <c r="AB649" s="181">
        <f>IFERROR(__xludf.DUMMYFUNCTION("""COMPUTED_VALUE"""),0.0)</f>
        <v>0</v>
      </c>
      <c r="AC649" s="179">
        <f>IFERROR(__xludf.DUMMYFUNCTION("""COMPUTED_VALUE"""),0.0)</f>
        <v>0</v>
      </c>
      <c r="AD649" s="165">
        <f>IFERROR(__xludf.DUMMYFUNCTION("""COMPUTED_VALUE"""),0.0)</f>
        <v>0</v>
      </c>
      <c r="AE649" s="39" t="str">
        <f>IFERROR(__xludf.DUMMYFUNCTION("""COMPUTED_VALUE"""),"Hiroshi Yamakawa")</f>
        <v>Hiroshi Yamakawa</v>
      </c>
      <c r="AF649" s="39" t="str">
        <f>IFERROR(__xludf.DUMMYFUNCTION("""COMPUTED_VALUE"""),"HY20Cerebellum")</f>
        <v>HY20Cerebellum</v>
      </c>
      <c r="AG649" s="39"/>
      <c r="AH649" s="39"/>
      <c r="AI649" s="165"/>
      <c r="AJ649" s="165"/>
      <c r="AK649" s="111"/>
      <c r="AL649" s="111"/>
      <c r="AM649" s="111"/>
      <c r="AN649" s="111"/>
      <c r="AO649" s="111"/>
      <c r="AP649" s="111"/>
      <c r="AQ649" s="116"/>
      <c r="AR649" s="116"/>
      <c r="AS649" s="116"/>
    </row>
    <row r="650">
      <c r="A650" s="42" t="str">
        <f>IFERROR(__xludf.DUMMYFUNCTION("""COMPUTED_VALUE"""),"PrH")</f>
        <v>PrH</v>
      </c>
      <c r="B650" s="42"/>
      <c r="C650" s="42"/>
      <c r="D650" s="42" t="str">
        <f>IFERROR(__xludf.DUMMYFUNCTION("""COMPUTED_VALUE"""),"3N")</f>
        <v>3N</v>
      </c>
      <c r="E650" s="42"/>
      <c r="F650" s="42"/>
      <c r="G650" s="42"/>
      <c r="H650" s="42" t="str">
        <f>IFERROR(__xludf.DUMMYFUNCTION("""COMPUTED_VALUE"""),"")</f>
        <v/>
      </c>
      <c r="I650" s="42" t="str">
        <f>IFERROR(__xludf.DUMMYFUNCTION("""COMPUTED_VALUE"""),"Ito, 1977")</f>
        <v>Ito, 1977</v>
      </c>
      <c r="J650" s="42"/>
      <c r="K650" s="42"/>
      <c r="L650" s="42"/>
      <c r="M650" s="42"/>
      <c r="N650" s="42"/>
      <c r="O650" s="31" t="str">
        <f>IFERROR(__xludf.DUMMYFUNCTION("""COMPUTED_VALUE"""),"DOC")</f>
        <v>DOC</v>
      </c>
      <c r="P650" s="9" t="str">
        <f>IFERROR(__xludf.DUMMYFUNCTION("""COMPUTED_VALUE"""),"The Journal of Physiology")</f>
        <v>The Journal of Physiology</v>
      </c>
      <c r="Q650" s="9"/>
      <c r="R650" s="179" t="str">
        <f>IFERROR(__xludf.DUMMYFUNCTION("""COMPUTED_VALUE"""),"3N (00/00) [Ito, 1977][Matsuno, 2016];
")</f>
        <v>3N (00/00) [Ito, 1977][Matsuno, 2016];
</v>
      </c>
      <c r="S650" s="179" t="str">
        <f>IFERROR(__xludf.DUMMYFUNCTION("""COMPUTED_VALUE"""),"PrH3N")</f>
        <v>PrH3N</v>
      </c>
      <c r="T650" s="179" t="str">
        <f>IFERROR(__xludf.DUMMYFUNCTION("""COMPUTED_VALUE"""),"[Ito, 1977]")</f>
        <v>[Ito, 1977]</v>
      </c>
      <c r="U650" s="179">
        <f>IFERROR(__xludf.DUMMYFUNCTION("""COMPUTED_VALUE"""),0.0)</f>
        <v>0</v>
      </c>
      <c r="V650" s="180">
        <f>IFERROR(__xludf.DUMMYFUNCTION("""COMPUTED_VALUE"""),0.0)</f>
        <v>0</v>
      </c>
      <c r="W650" s="180">
        <f>IFERROR(__xludf.DUMMYFUNCTION("""COMPUTED_VALUE"""),0.95)</f>
        <v>0.95</v>
      </c>
      <c r="X650" s="42">
        <f>IFERROR(__xludf.DUMMYFUNCTION("""COMPUTED_VALUE"""),0.0)</f>
        <v>0</v>
      </c>
      <c r="Y650" s="42">
        <f>IFERROR(__xludf.DUMMYFUNCTION("""COMPUTED_VALUE"""),0.0)</f>
        <v>0</v>
      </c>
      <c r="Z650" s="9">
        <f>IFERROR(__xludf.DUMMYFUNCTION("""COMPUTED_VALUE"""),0.0)</f>
        <v>0</v>
      </c>
      <c r="AA650" s="181">
        <f>IFERROR(__xludf.DUMMYFUNCTION("""COMPUTED_VALUE"""),0.0)</f>
        <v>0</v>
      </c>
      <c r="AB650" s="181">
        <f>IFERROR(__xludf.DUMMYFUNCTION("""COMPUTED_VALUE"""),0.0)</f>
        <v>0</v>
      </c>
      <c r="AC650" s="179">
        <f>IFERROR(__xludf.DUMMYFUNCTION("""COMPUTED_VALUE"""),0.0)</f>
        <v>0</v>
      </c>
      <c r="AD650" s="165">
        <f>IFERROR(__xludf.DUMMYFUNCTION("""COMPUTED_VALUE"""),0.0)</f>
        <v>0</v>
      </c>
      <c r="AE650" s="39" t="str">
        <f>IFERROR(__xludf.DUMMYFUNCTION("""COMPUTED_VALUE"""),"Hiroshi Yamakawa")</f>
        <v>Hiroshi Yamakawa</v>
      </c>
      <c r="AF650" s="39" t="str">
        <f>IFERROR(__xludf.DUMMYFUNCTION("""COMPUTED_VALUE"""),"HY20Cerebellum")</f>
        <v>HY20Cerebellum</v>
      </c>
      <c r="AG650" s="39"/>
      <c r="AH650" s="39"/>
      <c r="AI650" s="165"/>
      <c r="AJ650" s="165"/>
      <c r="AK650" s="111"/>
      <c r="AL650" s="111"/>
      <c r="AM650" s="111"/>
      <c r="AN650" s="111"/>
      <c r="AO650" s="111"/>
      <c r="AP650" s="111"/>
      <c r="AQ650" s="116"/>
      <c r="AR650" s="116"/>
      <c r="AS650" s="116"/>
    </row>
    <row r="651">
      <c r="A651" s="42" t="str">
        <f>IFERROR(__xludf.DUMMYFUNCTION("""COMPUTED_VALUE"""),"PrH")</f>
        <v>PrH</v>
      </c>
      <c r="B651" s="42"/>
      <c r="C651" s="42"/>
      <c r="D651" s="42" t="str">
        <f>IFERROR(__xludf.DUMMYFUNCTION("""COMPUTED_VALUE"""),"3N")</f>
        <v>3N</v>
      </c>
      <c r="E651" s="42"/>
      <c r="F651" s="42"/>
      <c r="G651" s="42"/>
      <c r="H651" s="42" t="str">
        <f>IFERROR(__xludf.DUMMYFUNCTION("""COMPUTED_VALUE"""),"")</f>
        <v/>
      </c>
      <c r="I651" s="42" t="str">
        <f>IFERROR(__xludf.DUMMYFUNCTION("""COMPUTED_VALUE"""),"Matsuno, 2016")</f>
        <v>Matsuno, 2016</v>
      </c>
      <c r="J651" s="42"/>
      <c r="K651" s="42"/>
      <c r="L651" s="42"/>
      <c r="M651" s="42"/>
      <c r="N651" s="42"/>
      <c r="O651" s="31" t="str">
        <f>IFERROR(__xludf.DUMMYFUNCTION("""COMPUTED_VALUE"""),"DOC")</f>
        <v>DOC</v>
      </c>
      <c r="P651" s="9" t="str">
        <f>IFERROR(__xludf.DUMMYFUNCTION("""COMPUTED_VALUE"""),"{PLoS} {ONE}")</f>
        <v>{PLoS} {ONE}</v>
      </c>
      <c r="Q651" s="9"/>
      <c r="R651" s="179" t="str">
        <f>IFERROR(__xludf.DUMMYFUNCTION("""COMPUTED_VALUE"""),"3N (00/00) [Ito, 1977][Matsuno, 2016];
")</f>
        <v>3N (00/00) [Ito, 1977][Matsuno, 2016];
</v>
      </c>
      <c r="S651" s="179" t="str">
        <f>IFERROR(__xludf.DUMMYFUNCTION("""COMPUTED_VALUE"""),"PrH3N")</f>
        <v>PrH3N</v>
      </c>
      <c r="T651" s="179" t="str">
        <f>IFERROR(__xludf.DUMMYFUNCTION("""COMPUTED_VALUE"""),"[Matsuno, 2016]")</f>
        <v>[Matsuno, 2016]</v>
      </c>
      <c r="U651" s="179">
        <f>IFERROR(__xludf.DUMMYFUNCTION("""COMPUTED_VALUE"""),0.0)</f>
        <v>0</v>
      </c>
      <c r="V651" s="180">
        <f>IFERROR(__xludf.DUMMYFUNCTION("""COMPUTED_VALUE"""),0.0)</f>
        <v>0</v>
      </c>
      <c r="W651" s="180">
        <f>IFERROR(__xludf.DUMMYFUNCTION("""COMPUTED_VALUE"""),0.95)</f>
        <v>0.95</v>
      </c>
      <c r="X651" s="42">
        <f>IFERROR(__xludf.DUMMYFUNCTION("""COMPUTED_VALUE"""),0.0)</f>
        <v>0</v>
      </c>
      <c r="Y651" s="42">
        <f>IFERROR(__xludf.DUMMYFUNCTION("""COMPUTED_VALUE"""),0.0)</f>
        <v>0</v>
      </c>
      <c r="Z651" s="9">
        <f>IFERROR(__xludf.DUMMYFUNCTION("""COMPUTED_VALUE"""),0.0)</f>
        <v>0</v>
      </c>
      <c r="AA651" s="181">
        <f>IFERROR(__xludf.DUMMYFUNCTION("""COMPUTED_VALUE"""),0.0)</f>
        <v>0</v>
      </c>
      <c r="AB651" s="181">
        <f>IFERROR(__xludf.DUMMYFUNCTION("""COMPUTED_VALUE"""),0.0)</f>
        <v>0</v>
      </c>
      <c r="AC651" s="179">
        <f>IFERROR(__xludf.DUMMYFUNCTION("""COMPUTED_VALUE"""),0.0)</f>
        <v>0</v>
      </c>
      <c r="AD651" s="165">
        <f>IFERROR(__xludf.DUMMYFUNCTION("""COMPUTED_VALUE"""),0.0)</f>
        <v>0</v>
      </c>
      <c r="AE651" s="39" t="str">
        <f>IFERROR(__xludf.DUMMYFUNCTION("""COMPUTED_VALUE"""),"Hiroshi Yamakawa")</f>
        <v>Hiroshi Yamakawa</v>
      </c>
      <c r="AF651" s="39" t="str">
        <f>IFERROR(__xludf.DUMMYFUNCTION("""COMPUTED_VALUE"""),"HY20Cerebellum")</f>
        <v>HY20Cerebellum</v>
      </c>
      <c r="AG651" s="39"/>
      <c r="AH651" s="39"/>
      <c r="AI651" s="165"/>
      <c r="AJ651" s="165"/>
      <c r="AK651" s="111"/>
      <c r="AL651" s="111"/>
      <c r="AM651" s="111"/>
      <c r="AN651" s="111"/>
      <c r="AO651" s="111"/>
      <c r="AP651" s="111"/>
      <c r="AQ651" s="116"/>
      <c r="AR651" s="116"/>
      <c r="AS651" s="116"/>
    </row>
    <row r="652">
      <c r="A652" s="42" t="str">
        <f>IFERROR(__xludf.DUMMYFUNCTION("""COMPUTED_VALUE"""),"PrH")</f>
        <v>PrH</v>
      </c>
      <c r="B652" s="42"/>
      <c r="C652" s="42"/>
      <c r="D652" s="42" t="str">
        <f>IFERROR(__xludf.DUMMYFUNCTION("""COMPUTED_VALUE"""),"SC")</f>
        <v>SC</v>
      </c>
      <c r="E652" s="42"/>
      <c r="F652" s="42"/>
      <c r="G652" s="42"/>
      <c r="H652" s="42" t="str">
        <f>IFERROR(__xludf.DUMMYFUNCTION("""COMPUTED_VALUE"""),"")</f>
        <v/>
      </c>
      <c r="I652" s="42" t="str">
        <f>IFERROR(__xludf.DUMMYFUNCTION("""COMPUTED_VALUE"""),"Rondi-Reig, 2014")</f>
        <v>Rondi-Reig, 2014</v>
      </c>
      <c r="J652" s="42"/>
      <c r="K652" s="42"/>
      <c r="L652" s="42"/>
      <c r="M652" s="42"/>
      <c r="N652" s="42"/>
      <c r="O652" s="31" t="str">
        <f>IFERROR(__xludf.DUMMYFUNCTION("""COMPUTED_VALUE"""),"DOC")</f>
        <v>DOC</v>
      </c>
      <c r="P652" s="9" t="str">
        <f>IFERROR(__xludf.DUMMYFUNCTION("""COMPUTED_VALUE"""),"Frontiers in Systems Neuroscience")</f>
        <v>Frontiers in Systems Neuroscience</v>
      </c>
      <c r="Q652" s="9"/>
      <c r="R652" s="179" t="str">
        <f>IFERROR(__xludf.DUMMYFUNCTION("""COMPUTED_VALUE"""),"SC (00/00) [Rondi-Reig, 2014];
")</f>
        <v>SC (00/00) [Rondi-Reig, 2014];
</v>
      </c>
      <c r="S652" s="179" t="str">
        <f>IFERROR(__xludf.DUMMYFUNCTION("""COMPUTED_VALUE"""),"PrHSC")</f>
        <v>PrHSC</v>
      </c>
      <c r="T652" s="179" t="str">
        <f>IFERROR(__xludf.DUMMYFUNCTION("""COMPUTED_VALUE"""),"[Rondi-Reig, 2014]")</f>
        <v>[Rondi-Reig, 2014]</v>
      </c>
      <c r="U652" s="179">
        <f>IFERROR(__xludf.DUMMYFUNCTION("""COMPUTED_VALUE"""),0.0)</f>
        <v>0</v>
      </c>
      <c r="V652" s="180">
        <f>IFERROR(__xludf.DUMMYFUNCTION("""COMPUTED_VALUE"""),0.0)</f>
        <v>0</v>
      </c>
      <c r="W652" s="180">
        <f>IFERROR(__xludf.DUMMYFUNCTION("""COMPUTED_VALUE"""),0.95)</f>
        <v>0.95</v>
      </c>
      <c r="X652" s="42">
        <f>IFERROR(__xludf.DUMMYFUNCTION("""COMPUTED_VALUE"""),0.0)</f>
        <v>0</v>
      </c>
      <c r="Y652" s="42">
        <f>IFERROR(__xludf.DUMMYFUNCTION("""COMPUTED_VALUE"""),0.0)</f>
        <v>0</v>
      </c>
      <c r="Z652" s="9">
        <f>IFERROR(__xludf.DUMMYFUNCTION("""COMPUTED_VALUE"""),0.0)</f>
        <v>0</v>
      </c>
      <c r="AA652" s="181">
        <f>IFERROR(__xludf.DUMMYFUNCTION("""COMPUTED_VALUE"""),0.0)</f>
        <v>0</v>
      </c>
      <c r="AB652" s="181">
        <f>IFERROR(__xludf.DUMMYFUNCTION("""COMPUTED_VALUE"""),0.0)</f>
        <v>0</v>
      </c>
      <c r="AC652" s="179">
        <f>IFERROR(__xludf.DUMMYFUNCTION("""COMPUTED_VALUE"""),0.0)</f>
        <v>0</v>
      </c>
      <c r="AD652" s="165">
        <f>IFERROR(__xludf.DUMMYFUNCTION("""COMPUTED_VALUE"""),0.0)</f>
        <v>0</v>
      </c>
      <c r="AE652" s="39" t="str">
        <f>IFERROR(__xludf.DUMMYFUNCTION("""COMPUTED_VALUE"""),"Hiroshi Yamakawa")</f>
        <v>Hiroshi Yamakawa</v>
      </c>
      <c r="AF652" s="39" t="str">
        <f>IFERROR(__xludf.DUMMYFUNCTION("""COMPUTED_VALUE"""),"HY20Cerebellum")</f>
        <v>HY20Cerebellum</v>
      </c>
      <c r="AG652" s="39"/>
      <c r="AH652" s="39"/>
      <c r="AI652" s="165"/>
      <c r="AJ652" s="165"/>
      <c r="AK652" s="111"/>
      <c r="AL652" s="111"/>
      <c r="AM652" s="111"/>
      <c r="AN652" s="111"/>
      <c r="AO652" s="111"/>
      <c r="AP652" s="111"/>
      <c r="AQ652" s="116"/>
      <c r="AR652" s="116"/>
      <c r="AS652" s="116"/>
    </row>
    <row r="653">
      <c r="A653" s="42" t="str">
        <f>IFERROR(__xludf.DUMMYFUNCTION("""COMPUTED_VALUE"""),"PrS_uc1")</f>
        <v>PrS_uc1</v>
      </c>
      <c r="B653" s="42"/>
      <c r="C653" s="42"/>
      <c r="D653" s="42" t="str">
        <f>IFERROR(__xludf.DUMMYFUNCTION("""COMPUTED_VALUE"""),"MEC_III")</f>
        <v>MEC_III</v>
      </c>
      <c r="E653" s="42"/>
      <c r="F653" s="42"/>
      <c r="G653" s="42"/>
      <c r="H653" s="42" t="str">
        <f>IFERROR(__xludf.DUMMYFUNCTION("""COMPUTED_VALUE"""),"")</f>
        <v/>
      </c>
      <c r="I653" s="42" t="str">
        <f>IFERROR(__xludf.DUMMYFUNCTION("""COMPUTED_VALUE"""),"Moser, 2010")</f>
        <v>Moser, 2010</v>
      </c>
      <c r="J653" s="42"/>
      <c r="K653" s="42"/>
      <c r="L653" s="42"/>
      <c r="M653" s="42"/>
      <c r="N653" s="42"/>
      <c r="O653" s="31" t="str">
        <f>IFERROR(__xludf.DUMMYFUNCTION("""COMPUTED_VALUE"""),"DOC")</f>
        <v>DOC</v>
      </c>
      <c r="P653" s="9" t="str">
        <f>IFERROR(__xludf.DUMMYFUNCTION("""COMPUTED_VALUE"""),"Handbook of Brain Microcircuits")</f>
        <v>Handbook of Brain Microcircuits</v>
      </c>
      <c r="Q653" s="9" t="str">
        <f>IFERROR(__xludf.DUMMYFUNCTION("""COMPUTED_VALUE"""),"Textbook")</f>
        <v>Textbook</v>
      </c>
      <c r="R653" s="179" t="str">
        <f>IFERROR(__xludf.DUMMYFUNCTION("""COMPUTED_VALUE"""),"MEC_III (00/00) [Moser, 2010];
")</f>
        <v>MEC_III (00/00) [Moser, 2010];
</v>
      </c>
      <c r="S653" s="179" t="str">
        <f>IFERROR(__xludf.DUMMYFUNCTION("""COMPUTED_VALUE"""),"PrS_uc1MEC_III")</f>
        <v>PrS_uc1MEC_III</v>
      </c>
      <c r="T653" s="179" t="str">
        <f>IFERROR(__xludf.DUMMYFUNCTION("""COMPUTED_VALUE"""),"[Moser, 2010]")</f>
        <v>[Moser, 2010]</v>
      </c>
      <c r="U653" s="179">
        <f>IFERROR(__xludf.DUMMYFUNCTION("""COMPUTED_VALUE"""),0.0)</f>
        <v>0</v>
      </c>
      <c r="V653" s="180">
        <f>IFERROR(__xludf.DUMMYFUNCTION("""COMPUTED_VALUE"""),0.0)</f>
        <v>0</v>
      </c>
      <c r="W653" s="180">
        <f>IFERROR(__xludf.DUMMYFUNCTION("""COMPUTED_VALUE"""),0.95)</f>
        <v>0.95</v>
      </c>
      <c r="X653" s="42">
        <f>IFERROR(__xludf.DUMMYFUNCTION("""COMPUTED_VALUE"""),0.9)</f>
        <v>0.9</v>
      </c>
      <c r="Y653" s="42">
        <f>IFERROR(__xludf.DUMMYFUNCTION("""COMPUTED_VALUE"""),0.0)</f>
        <v>0</v>
      </c>
      <c r="Z653" s="9">
        <f>IFERROR(__xludf.DUMMYFUNCTION("""COMPUTED_VALUE"""),0.0)</f>
        <v>0</v>
      </c>
      <c r="AA653" s="181">
        <f>IFERROR(__xludf.DUMMYFUNCTION("""COMPUTED_VALUE"""),0.0)</f>
        <v>0</v>
      </c>
      <c r="AB653" s="181">
        <f>IFERROR(__xludf.DUMMYFUNCTION("""COMPUTED_VALUE"""),0.0)</f>
        <v>0</v>
      </c>
      <c r="AC653" s="179">
        <f>IFERROR(__xludf.DUMMYFUNCTION("""COMPUTED_VALUE"""),0.0)</f>
        <v>0</v>
      </c>
      <c r="AD653" s="165">
        <f>IFERROR(__xludf.DUMMYFUNCTION("""COMPUTED_VALUE"""),0.0)</f>
        <v>0</v>
      </c>
      <c r="AE653" s="39" t="str">
        <f>IFERROR(__xludf.DUMMYFUNCTION("""COMPUTED_VALUE"""),"Ayako Fukawa")</f>
        <v>Ayako Fukawa</v>
      </c>
      <c r="AF653" s="39" t="str">
        <f>IFERROR(__xludf.DUMMYFUNCTION("""COMPUTED_VALUE"""),"AT20HippocampalFormation")</f>
        <v>AT20HippocampalFormation</v>
      </c>
      <c r="AG653" s="39"/>
      <c r="AH653" s="39"/>
      <c r="AI653" s="165"/>
      <c r="AJ653" s="165"/>
      <c r="AK653" s="111"/>
      <c r="AL653" s="111"/>
      <c r="AM653" s="111"/>
      <c r="AN653" s="111"/>
      <c r="AO653" s="111"/>
      <c r="AP653" s="111"/>
      <c r="AQ653" s="116"/>
      <c r="AR653" s="116"/>
      <c r="AS653" s="116"/>
    </row>
    <row r="654">
      <c r="A654" s="42" t="str">
        <f>IFERROR(__xludf.DUMMYFUNCTION("""COMPUTED_VALUE"""),"PSTC")</f>
        <v>PSTC</v>
      </c>
      <c r="B654" s="42"/>
      <c r="C654" s="42"/>
      <c r="D654" s="42" t="str">
        <f>IFERROR(__xludf.DUMMYFUNCTION("""COMPUTED_VALUE"""),"ISTC")</f>
        <v>ISTC</v>
      </c>
      <c r="E654" s="42"/>
      <c r="F654" s="42"/>
      <c r="G654" s="42"/>
      <c r="H654" s="42" t="str">
        <f>IFERROR(__xludf.DUMMYFUNCTION("""COMPUTED_VALUE"""),"")</f>
        <v/>
      </c>
      <c r="I654" s="42" t="str">
        <f>IFERROR(__xludf.DUMMYFUNCTION("""COMPUTED_VALUE"""),"Romanski, 2009")</f>
        <v>Romanski, 2009</v>
      </c>
      <c r="J654" s="42"/>
      <c r="K654" s="42"/>
      <c r="L654" s="42"/>
      <c r="M654" s="42"/>
      <c r="N654" s="42"/>
      <c r="O654" s="31" t="str">
        <f>IFERROR(__xludf.DUMMYFUNCTION("""COMPUTED_VALUE"""),"DOC")</f>
        <v>DOC</v>
      </c>
      <c r="P654" s="9" t="str">
        <f>IFERROR(__xludf.DUMMYFUNCTION("""COMPUTED_VALUE"""),"Annual Review of Neuroscience")</f>
        <v>Annual Review of Neuroscience</v>
      </c>
      <c r="Q654" s="9"/>
      <c r="R654" s="179" t="str">
        <f>IFERROR(__xludf.DUMMYFUNCTION("""COMPUTED_VALUE"""),"ISTC (00/00) [Romanski, 2009];
")</f>
        <v>ISTC (00/00) [Romanski, 2009];
</v>
      </c>
      <c r="S654" s="179" t="str">
        <f>IFERROR(__xludf.DUMMYFUNCTION("""COMPUTED_VALUE"""),"PSTCISTC")</f>
        <v>PSTCISTC</v>
      </c>
      <c r="T654" s="179" t="str">
        <f>IFERROR(__xludf.DUMMYFUNCTION("""COMPUTED_VALUE"""),"[Romanski, 2009]")</f>
        <v>[Romanski, 2009]</v>
      </c>
      <c r="U654" s="179">
        <f>IFERROR(__xludf.DUMMYFUNCTION("""COMPUTED_VALUE"""),0.0)</f>
        <v>0</v>
      </c>
      <c r="V654" s="180">
        <f>IFERROR(__xludf.DUMMYFUNCTION("""COMPUTED_VALUE"""),0.0)</f>
        <v>0</v>
      </c>
      <c r="W654" s="180">
        <f>IFERROR(__xludf.DUMMYFUNCTION("""COMPUTED_VALUE"""),0.95)</f>
        <v>0.95</v>
      </c>
      <c r="X654" s="42">
        <f>IFERROR(__xludf.DUMMYFUNCTION("""COMPUTED_VALUE"""),0.0)</f>
        <v>0</v>
      </c>
      <c r="Y654" s="42">
        <f>IFERROR(__xludf.DUMMYFUNCTION("""COMPUTED_VALUE"""),0.0)</f>
        <v>0</v>
      </c>
      <c r="Z654" s="9">
        <f>IFERROR(__xludf.DUMMYFUNCTION("""COMPUTED_VALUE"""),0.0)</f>
        <v>0</v>
      </c>
      <c r="AA654" s="181">
        <f>IFERROR(__xludf.DUMMYFUNCTION("""COMPUTED_VALUE"""),0.0)</f>
        <v>0</v>
      </c>
      <c r="AB654" s="181">
        <f>IFERROR(__xludf.DUMMYFUNCTION("""COMPUTED_VALUE"""),0.0)</f>
        <v>0</v>
      </c>
      <c r="AC654" s="179">
        <f>IFERROR(__xludf.DUMMYFUNCTION("""COMPUTED_VALUE"""),0.0)</f>
        <v>0</v>
      </c>
      <c r="AD654" s="165">
        <f>IFERROR(__xludf.DUMMYFUNCTION("""COMPUTED_VALUE"""),0.0)</f>
        <v>0</v>
      </c>
      <c r="AE654" s="39" t="str">
        <f>IFERROR(__xludf.DUMMYFUNCTION("""COMPUTED_VALUE"""),"Hiroshi Yamakawa")</f>
        <v>Hiroshi Yamakawa</v>
      </c>
      <c r="AF654" s="39" t="str">
        <f>IFERROR(__xludf.DUMMYFUNCTION("""COMPUTED_VALUE"""),"HY22DAA")</f>
        <v>HY22DAA</v>
      </c>
      <c r="AG654" s="39"/>
      <c r="AH654" s="39"/>
      <c r="AI654" s="165"/>
      <c r="AJ654" s="165"/>
      <c r="AK654" s="111"/>
      <c r="AL654" s="111"/>
      <c r="AM654" s="111"/>
      <c r="AN654" s="111"/>
      <c r="AO654" s="111"/>
      <c r="AP654" s="111"/>
      <c r="AQ654" s="116"/>
      <c r="AR654" s="116"/>
      <c r="AS654" s="116"/>
    </row>
    <row r="655">
      <c r="A655" s="42" t="str">
        <f>IFERROR(__xludf.DUMMYFUNCTION("""COMPUTED_VALUE"""),"PSTC")</f>
        <v>PSTC</v>
      </c>
      <c r="B655" s="42"/>
      <c r="C655" s="42"/>
      <c r="D655" s="42" t="str">
        <f>IFERROR(__xludf.DUMMYFUNCTION("""COMPUTED_VALUE"""),"STC")</f>
        <v>STC</v>
      </c>
      <c r="E655" s="42"/>
      <c r="F655" s="42"/>
      <c r="G655" s="42"/>
      <c r="H655" s="42" t="str">
        <f>IFERROR(__xludf.DUMMYFUNCTION("""COMPUTED_VALUE"""),"")</f>
        <v/>
      </c>
      <c r="I655" s="42" t="str">
        <f>IFERROR(__xludf.DUMMYFUNCTION("""COMPUTED_VALUE"""),"Romanski, 2009")</f>
        <v>Romanski, 2009</v>
      </c>
      <c r="J655" s="42"/>
      <c r="K655" s="42"/>
      <c r="L655" s="42"/>
      <c r="M655" s="42"/>
      <c r="N655" s="42"/>
      <c r="O655" s="31" t="str">
        <f>IFERROR(__xludf.DUMMYFUNCTION("""COMPUTED_VALUE"""),"DOC")</f>
        <v>DOC</v>
      </c>
      <c r="P655" s="9" t="str">
        <f>IFERROR(__xludf.DUMMYFUNCTION("""COMPUTED_VALUE"""),"Annual Review of Neuroscience")</f>
        <v>Annual Review of Neuroscience</v>
      </c>
      <c r="Q655" s="9"/>
      <c r="R655" s="179" t="str">
        <f>IFERROR(__xludf.DUMMYFUNCTION("""COMPUTED_VALUE"""),"STC (00/00) [Romanski, 2009];
")</f>
        <v>STC (00/00) [Romanski, 2009];
</v>
      </c>
      <c r="S655" s="179" t="str">
        <f>IFERROR(__xludf.DUMMYFUNCTION("""COMPUTED_VALUE"""),"PSTCSTC")</f>
        <v>PSTCSTC</v>
      </c>
      <c r="T655" s="179" t="str">
        <f>IFERROR(__xludf.DUMMYFUNCTION("""COMPUTED_VALUE"""),"[Romanski, 2009]")</f>
        <v>[Romanski, 2009]</v>
      </c>
      <c r="U655" s="179">
        <f>IFERROR(__xludf.DUMMYFUNCTION("""COMPUTED_VALUE"""),0.0)</f>
        <v>0</v>
      </c>
      <c r="V655" s="180">
        <f>IFERROR(__xludf.DUMMYFUNCTION("""COMPUTED_VALUE"""),0.0)</f>
        <v>0</v>
      </c>
      <c r="W655" s="180">
        <f>IFERROR(__xludf.DUMMYFUNCTION("""COMPUTED_VALUE"""),0.95)</f>
        <v>0.95</v>
      </c>
      <c r="X655" s="42">
        <f>IFERROR(__xludf.DUMMYFUNCTION("""COMPUTED_VALUE"""),0.0)</f>
        <v>0</v>
      </c>
      <c r="Y655" s="42">
        <f>IFERROR(__xludf.DUMMYFUNCTION("""COMPUTED_VALUE"""),0.0)</f>
        <v>0</v>
      </c>
      <c r="Z655" s="9">
        <f>IFERROR(__xludf.DUMMYFUNCTION("""COMPUTED_VALUE"""),0.0)</f>
        <v>0</v>
      </c>
      <c r="AA655" s="181">
        <f>IFERROR(__xludf.DUMMYFUNCTION("""COMPUTED_VALUE"""),0.0)</f>
        <v>0</v>
      </c>
      <c r="AB655" s="181">
        <f>IFERROR(__xludf.DUMMYFUNCTION("""COMPUTED_VALUE"""),0.0)</f>
        <v>0</v>
      </c>
      <c r="AC655" s="179">
        <f>IFERROR(__xludf.DUMMYFUNCTION("""COMPUTED_VALUE"""),0.0)</f>
        <v>0</v>
      </c>
      <c r="AD655" s="165">
        <f>IFERROR(__xludf.DUMMYFUNCTION("""COMPUTED_VALUE"""),0.0)</f>
        <v>0</v>
      </c>
      <c r="AE655" s="39" t="str">
        <f>IFERROR(__xludf.DUMMYFUNCTION("""COMPUTED_VALUE"""),"Hiroshi Yamakawa")</f>
        <v>Hiroshi Yamakawa</v>
      </c>
      <c r="AF655" s="39" t="str">
        <f>IFERROR(__xludf.DUMMYFUNCTION("""COMPUTED_VALUE"""),"HY22DAA")</f>
        <v>HY22DAA</v>
      </c>
      <c r="AG655" s="39"/>
      <c r="AH655" s="39"/>
      <c r="AI655" s="165"/>
      <c r="AJ655" s="165"/>
      <c r="AK655" s="111"/>
      <c r="AL655" s="111"/>
      <c r="AM655" s="111"/>
      <c r="AN655" s="111"/>
      <c r="AO655" s="111"/>
      <c r="AP655" s="111"/>
      <c r="AQ655" s="116"/>
      <c r="AR655" s="116"/>
      <c r="AS655" s="116"/>
    </row>
    <row r="656">
      <c r="A656" s="42" t="str">
        <f>IFERROR(__xludf.DUMMYFUNCTION("""COMPUTED_VALUE"""),"PTg")</f>
        <v>PTg</v>
      </c>
      <c r="B656" s="42"/>
      <c r="C656" s="42"/>
      <c r="D656" s="42" t="str">
        <f>IFERROR(__xludf.DUMMYFUNCTION("""COMPUTED_VALUE"""),"GPe")</f>
        <v>GPe</v>
      </c>
      <c r="E656" s="42"/>
      <c r="F656" s="42"/>
      <c r="G656" s="42"/>
      <c r="H656" s="42" t="str">
        <f>IFERROR(__xludf.DUMMYFUNCTION("""COMPUTED_VALUE"""),"")</f>
        <v/>
      </c>
      <c r="I656" s="42" t="str">
        <f>IFERROR(__xludf.DUMMYFUNCTION("""COMPUTED_VALUE"""),"author, year")</f>
        <v>author, year</v>
      </c>
      <c r="J656" s="42"/>
      <c r="K656" s="42"/>
      <c r="L656" s="42"/>
      <c r="M656" s="42"/>
      <c r="N656" s="42"/>
      <c r="O656" s="31" t="str">
        <f>IFERROR(__xludf.DUMMYFUNCTION("""COMPUTED_VALUE"""),"#Error: Reference ID")</f>
        <v>#Error: Reference ID</v>
      </c>
      <c r="P656" s="9" t="str">
        <f>IFERROR(__xludf.DUMMYFUNCTION("""COMPUTED_VALUE"""),"#Error: Reference ID")</f>
        <v>#Error: Reference ID</v>
      </c>
      <c r="Q656" s="9" t="str">
        <f>IFERROR(__xludf.DUMMYFUNCTION("""COMPUTED_VALUE"""),"#Error: Reference ID")</f>
        <v>#Error: Reference ID</v>
      </c>
      <c r="R656" s="179" t="str">
        <f>IFERROR(__xludf.DUMMYFUNCTION("""COMPUTED_VALUE"""),"GPe (00/00) [author, year];
")</f>
        <v>GPe (00/00) [author, year];
</v>
      </c>
      <c r="S656" s="179" t="str">
        <f>IFERROR(__xludf.DUMMYFUNCTION("""COMPUTED_VALUE"""),"PTgGPe")</f>
        <v>PTgGPe</v>
      </c>
      <c r="T656" s="179" t="str">
        <f>IFERROR(__xludf.DUMMYFUNCTION("""COMPUTED_VALUE"""),"[author, year]")</f>
        <v>[author, year]</v>
      </c>
      <c r="U656" s="179">
        <f>IFERROR(__xludf.DUMMYFUNCTION("""COMPUTED_VALUE"""),0.0)</f>
        <v>0</v>
      </c>
      <c r="V656" s="180">
        <f>IFERROR(__xludf.DUMMYFUNCTION("""COMPUTED_VALUE"""),0.0)</f>
        <v>0</v>
      </c>
      <c r="W656" s="180">
        <f>IFERROR(__xludf.DUMMYFUNCTION("""COMPUTED_VALUE"""),0.0)</f>
        <v>0</v>
      </c>
      <c r="X656" s="42">
        <f>IFERROR(__xludf.DUMMYFUNCTION("""COMPUTED_VALUE"""),0.0)</f>
        <v>0</v>
      </c>
      <c r="Y656" s="42">
        <f>IFERROR(__xludf.DUMMYFUNCTION("""COMPUTED_VALUE"""),0.0)</f>
        <v>0</v>
      </c>
      <c r="Z656" s="9">
        <f>IFERROR(__xludf.DUMMYFUNCTION("""COMPUTED_VALUE"""),0.0)</f>
        <v>0</v>
      </c>
      <c r="AA656" s="181">
        <f>IFERROR(__xludf.DUMMYFUNCTION("""COMPUTED_VALUE"""),0.0)</f>
        <v>0</v>
      </c>
      <c r="AB656" s="181">
        <f>IFERROR(__xludf.DUMMYFUNCTION("""COMPUTED_VALUE"""),0.0)</f>
        <v>0</v>
      </c>
      <c r="AC656" s="179">
        <f>IFERROR(__xludf.DUMMYFUNCTION("""COMPUTED_VALUE"""),0.0)</f>
        <v>0</v>
      </c>
      <c r="AD656" s="165">
        <f>IFERROR(__xludf.DUMMYFUNCTION("""COMPUTED_VALUE"""),0.0)</f>
        <v>0</v>
      </c>
      <c r="AE656" s="39" t="str">
        <f>IFERROR(__xludf.DUMMYFUNCTION("""COMPUTED_VALUE"""),"Yuske Shibata")</f>
        <v>Yuske Shibata</v>
      </c>
      <c r="AF656" s="39" t="str">
        <f>IFERROR(__xludf.DUMMYFUNCTION("""COMPUTED_VALUE"""),"YS21BgLoop")</f>
        <v>YS21BgLoop</v>
      </c>
      <c r="AG656" s="39"/>
      <c r="AH656" s="39"/>
      <c r="AI656" s="165"/>
      <c r="AJ656" s="165"/>
      <c r="AK656" s="111"/>
      <c r="AL656" s="111"/>
      <c r="AM656" s="111"/>
      <c r="AN656" s="111"/>
      <c r="AO656" s="111"/>
      <c r="AP656" s="111"/>
      <c r="AQ656" s="116"/>
      <c r="AR656" s="116"/>
      <c r="AS656" s="116"/>
    </row>
    <row r="657">
      <c r="A657" s="42" t="str">
        <f>IFERROR(__xludf.DUMMYFUNCTION("""COMPUTED_VALUE"""),"PTg")</f>
        <v>PTg</v>
      </c>
      <c r="B657" s="42"/>
      <c r="C657" s="42"/>
      <c r="D657" s="42" t="str">
        <f>IFERROR(__xludf.DUMMYFUNCTION("""COMPUTED_VALUE"""),"GPi")</f>
        <v>GPi</v>
      </c>
      <c r="E657" s="42"/>
      <c r="F657" s="42"/>
      <c r="G657" s="42"/>
      <c r="H657" s="42" t="str">
        <f>IFERROR(__xludf.DUMMYFUNCTION("""COMPUTED_VALUE"""),"")</f>
        <v/>
      </c>
      <c r="I657" s="42" t="str">
        <f>IFERROR(__xludf.DUMMYFUNCTION("""COMPUTED_VALUE"""),"author, year")</f>
        <v>author, year</v>
      </c>
      <c r="J657" s="42"/>
      <c r="K657" s="42"/>
      <c r="L657" s="42"/>
      <c r="M657" s="42"/>
      <c r="N657" s="42"/>
      <c r="O657" s="31" t="str">
        <f>IFERROR(__xludf.DUMMYFUNCTION("""COMPUTED_VALUE"""),"#Error: Reference ID")</f>
        <v>#Error: Reference ID</v>
      </c>
      <c r="P657" s="9" t="str">
        <f>IFERROR(__xludf.DUMMYFUNCTION("""COMPUTED_VALUE"""),"#Error: Reference ID")</f>
        <v>#Error: Reference ID</v>
      </c>
      <c r="Q657" s="9" t="str">
        <f>IFERROR(__xludf.DUMMYFUNCTION("""COMPUTED_VALUE"""),"#Error: Reference ID")</f>
        <v>#Error: Reference ID</v>
      </c>
      <c r="R657" s="179" t="str">
        <f>IFERROR(__xludf.DUMMYFUNCTION("""COMPUTED_VALUE"""),"GPi (00/00) [author, year];
")</f>
        <v>GPi (00/00) [author, year];
</v>
      </c>
      <c r="S657" s="179" t="str">
        <f>IFERROR(__xludf.DUMMYFUNCTION("""COMPUTED_VALUE"""),"PTgGPi")</f>
        <v>PTgGPi</v>
      </c>
      <c r="T657" s="179" t="str">
        <f>IFERROR(__xludf.DUMMYFUNCTION("""COMPUTED_VALUE"""),"[author, year]")</f>
        <v>[author, year]</v>
      </c>
      <c r="U657" s="179">
        <f>IFERROR(__xludf.DUMMYFUNCTION("""COMPUTED_VALUE"""),0.0)</f>
        <v>0</v>
      </c>
      <c r="V657" s="180">
        <f>IFERROR(__xludf.DUMMYFUNCTION("""COMPUTED_VALUE"""),0.0)</f>
        <v>0</v>
      </c>
      <c r="W657" s="180">
        <f>IFERROR(__xludf.DUMMYFUNCTION("""COMPUTED_VALUE"""),0.0)</f>
        <v>0</v>
      </c>
      <c r="X657" s="42">
        <f>IFERROR(__xludf.DUMMYFUNCTION("""COMPUTED_VALUE"""),0.0)</f>
        <v>0</v>
      </c>
      <c r="Y657" s="42">
        <f>IFERROR(__xludf.DUMMYFUNCTION("""COMPUTED_VALUE"""),0.0)</f>
        <v>0</v>
      </c>
      <c r="Z657" s="9">
        <f>IFERROR(__xludf.DUMMYFUNCTION("""COMPUTED_VALUE"""),0.0)</f>
        <v>0</v>
      </c>
      <c r="AA657" s="181">
        <f>IFERROR(__xludf.DUMMYFUNCTION("""COMPUTED_VALUE"""),0.0)</f>
        <v>0</v>
      </c>
      <c r="AB657" s="181">
        <f>IFERROR(__xludf.DUMMYFUNCTION("""COMPUTED_VALUE"""),0.0)</f>
        <v>0</v>
      </c>
      <c r="AC657" s="179">
        <f>IFERROR(__xludf.DUMMYFUNCTION("""COMPUTED_VALUE"""),0.0)</f>
        <v>0</v>
      </c>
      <c r="AD657" s="165">
        <f>IFERROR(__xludf.DUMMYFUNCTION("""COMPUTED_VALUE"""),0.0)</f>
        <v>0</v>
      </c>
      <c r="AE657" s="39" t="str">
        <f>IFERROR(__xludf.DUMMYFUNCTION("""COMPUTED_VALUE"""),"Yuske Shibata")</f>
        <v>Yuske Shibata</v>
      </c>
      <c r="AF657" s="39" t="str">
        <f>IFERROR(__xludf.DUMMYFUNCTION("""COMPUTED_VALUE"""),"YS21BgLoop")</f>
        <v>YS21BgLoop</v>
      </c>
      <c r="AG657" s="39"/>
      <c r="AH657" s="39"/>
      <c r="AI657" s="165"/>
      <c r="AJ657" s="165"/>
      <c r="AK657" s="111"/>
      <c r="AL657" s="111"/>
      <c r="AM657" s="111"/>
      <c r="AN657" s="111"/>
      <c r="AO657" s="111"/>
      <c r="AP657" s="111"/>
      <c r="AQ657" s="116"/>
      <c r="AR657" s="116"/>
      <c r="AS657" s="116"/>
    </row>
    <row r="658">
      <c r="A658" s="42" t="str">
        <f>IFERROR(__xludf.DUMMYFUNCTION("""COMPUTED_VALUE"""),"PTg")</f>
        <v>PTg</v>
      </c>
      <c r="B658" s="42"/>
      <c r="C658" s="42"/>
      <c r="D658" s="42" t="str">
        <f>IFERROR(__xludf.DUMMYFUNCTION("""COMPUTED_VALUE"""),"HTH")</f>
        <v>HTH</v>
      </c>
      <c r="E658" s="42"/>
      <c r="F658" s="42"/>
      <c r="G658" s="42"/>
      <c r="H658" s="42" t="str">
        <f>IFERROR(__xludf.DUMMYFUNCTION("""COMPUTED_VALUE"""),"")</f>
        <v/>
      </c>
      <c r="I658" s="42" t="str">
        <f>IFERROR(__xludf.DUMMYFUNCTION("""COMPUTED_VALUE"""),"author, year")</f>
        <v>author, year</v>
      </c>
      <c r="J658" s="42"/>
      <c r="K658" s="42"/>
      <c r="L658" s="42"/>
      <c r="M658" s="42"/>
      <c r="N658" s="42"/>
      <c r="O658" s="31" t="str">
        <f>IFERROR(__xludf.DUMMYFUNCTION("""COMPUTED_VALUE"""),"#Error: Reference ID")</f>
        <v>#Error: Reference ID</v>
      </c>
      <c r="P658" s="9" t="str">
        <f>IFERROR(__xludf.DUMMYFUNCTION("""COMPUTED_VALUE"""),"#Error: Reference ID")</f>
        <v>#Error: Reference ID</v>
      </c>
      <c r="Q658" s="9" t="str">
        <f>IFERROR(__xludf.DUMMYFUNCTION("""COMPUTED_VALUE"""),"#Error: Reference ID")</f>
        <v>#Error: Reference ID</v>
      </c>
      <c r="R658" s="179" t="str">
        <f>IFERROR(__xludf.DUMMYFUNCTION("""COMPUTED_VALUE"""),"HTH (00/00) [author, year];
")</f>
        <v>HTH (00/00) [author, year];
</v>
      </c>
      <c r="S658" s="179" t="str">
        <f>IFERROR(__xludf.DUMMYFUNCTION("""COMPUTED_VALUE"""),"PTgHTH")</f>
        <v>PTgHTH</v>
      </c>
      <c r="T658" s="179" t="str">
        <f>IFERROR(__xludf.DUMMYFUNCTION("""COMPUTED_VALUE"""),"[author, year]")</f>
        <v>[author, year]</v>
      </c>
      <c r="U658" s="179">
        <f>IFERROR(__xludf.DUMMYFUNCTION("""COMPUTED_VALUE"""),0.0)</f>
        <v>0</v>
      </c>
      <c r="V658" s="180">
        <f>IFERROR(__xludf.DUMMYFUNCTION("""COMPUTED_VALUE"""),0.0)</f>
        <v>0</v>
      </c>
      <c r="W658" s="180">
        <f>IFERROR(__xludf.DUMMYFUNCTION("""COMPUTED_VALUE"""),0.0)</f>
        <v>0</v>
      </c>
      <c r="X658" s="42">
        <f>IFERROR(__xludf.DUMMYFUNCTION("""COMPUTED_VALUE"""),0.0)</f>
        <v>0</v>
      </c>
      <c r="Y658" s="42">
        <f>IFERROR(__xludf.DUMMYFUNCTION("""COMPUTED_VALUE"""),0.0)</f>
        <v>0</v>
      </c>
      <c r="Z658" s="9">
        <f>IFERROR(__xludf.DUMMYFUNCTION("""COMPUTED_VALUE"""),0.0)</f>
        <v>0</v>
      </c>
      <c r="AA658" s="181">
        <f>IFERROR(__xludf.DUMMYFUNCTION("""COMPUTED_VALUE"""),0.0)</f>
        <v>0</v>
      </c>
      <c r="AB658" s="181">
        <f>IFERROR(__xludf.DUMMYFUNCTION("""COMPUTED_VALUE"""),0.0)</f>
        <v>0</v>
      </c>
      <c r="AC658" s="179">
        <f>IFERROR(__xludf.DUMMYFUNCTION("""COMPUTED_VALUE"""),0.0)</f>
        <v>0</v>
      </c>
      <c r="AD658" s="165">
        <f>IFERROR(__xludf.DUMMYFUNCTION("""COMPUTED_VALUE"""),0.0)</f>
        <v>0</v>
      </c>
      <c r="AE658" s="39" t="str">
        <f>IFERROR(__xludf.DUMMYFUNCTION("""COMPUTED_VALUE"""),"Yuske Shibata")</f>
        <v>Yuske Shibata</v>
      </c>
      <c r="AF658" s="39" t="str">
        <f>IFERROR(__xludf.DUMMYFUNCTION("""COMPUTED_VALUE"""),"YS21BgLoop")</f>
        <v>YS21BgLoop</v>
      </c>
      <c r="AG658" s="39"/>
      <c r="AH658" s="39"/>
      <c r="AI658" s="165"/>
      <c r="AJ658" s="165"/>
      <c r="AK658" s="111"/>
      <c r="AL658" s="111"/>
      <c r="AM658" s="111"/>
      <c r="AN658" s="111"/>
      <c r="AO658" s="111"/>
      <c r="AP658" s="111"/>
      <c r="AQ658" s="116"/>
      <c r="AR658" s="116"/>
      <c r="AS658" s="116"/>
    </row>
    <row r="659">
      <c r="A659" s="42" t="str">
        <f>IFERROR(__xludf.DUMMYFUNCTION("""COMPUTED_VALUE"""),"PTg")</f>
        <v>PTg</v>
      </c>
      <c r="B659" s="42"/>
      <c r="C659" s="42"/>
      <c r="D659" s="42" t="str">
        <f>IFERROR(__xludf.DUMMYFUNCTION("""COMPUTED_VALUE"""),"SNC")</f>
        <v>SNC</v>
      </c>
      <c r="E659" s="42"/>
      <c r="F659" s="42"/>
      <c r="G659" s="42"/>
      <c r="H659" s="42" t="str">
        <f>IFERROR(__xludf.DUMMYFUNCTION("""COMPUTED_VALUE"""),"")</f>
        <v/>
      </c>
      <c r="I659" s="42" t="str">
        <f>IFERROR(__xludf.DUMMYFUNCTION("""COMPUTED_VALUE"""),"author, year")</f>
        <v>author, year</v>
      </c>
      <c r="J659" s="42"/>
      <c r="K659" s="42"/>
      <c r="L659" s="42"/>
      <c r="M659" s="42"/>
      <c r="N659" s="42"/>
      <c r="O659" s="31" t="str">
        <f>IFERROR(__xludf.DUMMYFUNCTION("""COMPUTED_VALUE"""),"#Error: Reference ID")</f>
        <v>#Error: Reference ID</v>
      </c>
      <c r="P659" s="9" t="str">
        <f>IFERROR(__xludf.DUMMYFUNCTION("""COMPUTED_VALUE"""),"#Error: Reference ID")</f>
        <v>#Error: Reference ID</v>
      </c>
      <c r="Q659" s="9" t="str">
        <f>IFERROR(__xludf.DUMMYFUNCTION("""COMPUTED_VALUE"""),"#Error: Reference ID")</f>
        <v>#Error: Reference ID</v>
      </c>
      <c r="R659" s="179" t="str">
        <f>IFERROR(__xludf.DUMMYFUNCTION("""COMPUTED_VALUE"""),"SNC (00/00) [author, year];
")</f>
        <v>SNC (00/00) [author, year];
</v>
      </c>
      <c r="S659" s="179" t="str">
        <f>IFERROR(__xludf.DUMMYFUNCTION("""COMPUTED_VALUE"""),"PTgSNC")</f>
        <v>PTgSNC</v>
      </c>
      <c r="T659" s="179" t="str">
        <f>IFERROR(__xludf.DUMMYFUNCTION("""COMPUTED_VALUE"""),"[author, year]")</f>
        <v>[author, year]</v>
      </c>
      <c r="U659" s="179">
        <f>IFERROR(__xludf.DUMMYFUNCTION("""COMPUTED_VALUE"""),0.0)</f>
        <v>0</v>
      </c>
      <c r="V659" s="180">
        <f>IFERROR(__xludf.DUMMYFUNCTION("""COMPUTED_VALUE"""),0.0)</f>
        <v>0</v>
      </c>
      <c r="W659" s="180">
        <f>IFERROR(__xludf.DUMMYFUNCTION("""COMPUTED_VALUE"""),0.0)</f>
        <v>0</v>
      </c>
      <c r="X659" s="42">
        <f>IFERROR(__xludf.DUMMYFUNCTION("""COMPUTED_VALUE"""),0.0)</f>
        <v>0</v>
      </c>
      <c r="Y659" s="42">
        <f>IFERROR(__xludf.DUMMYFUNCTION("""COMPUTED_VALUE"""),0.0)</f>
        <v>0</v>
      </c>
      <c r="Z659" s="9">
        <f>IFERROR(__xludf.DUMMYFUNCTION("""COMPUTED_VALUE"""),0.0)</f>
        <v>0</v>
      </c>
      <c r="AA659" s="181">
        <f>IFERROR(__xludf.DUMMYFUNCTION("""COMPUTED_VALUE"""),0.0)</f>
        <v>0</v>
      </c>
      <c r="AB659" s="181">
        <f>IFERROR(__xludf.DUMMYFUNCTION("""COMPUTED_VALUE"""),0.0)</f>
        <v>0</v>
      </c>
      <c r="AC659" s="179">
        <f>IFERROR(__xludf.DUMMYFUNCTION("""COMPUTED_VALUE"""),0.0)</f>
        <v>0</v>
      </c>
      <c r="AD659" s="165">
        <f>IFERROR(__xludf.DUMMYFUNCTION("""COMPUTED_VALUE"""),0.0)</f>
        <v>0</v>
      </c>
      <c r="AE659" s="39" t="str">
        <f>IFERROR(__xludf.DUMMYFUNCTION("""COMPUTED_VALUE"""),"Yuske Shibata")</f>
        <v>Yuske Shibata</v>
      </c>
      <c r="AF659" s="39" t="str">
        <f>IFERROR(__xludf.DUMMYFUNCTION("""COMPUTED_VALUE"""),"YS21BgLoop")</f>
        <v>YS21BgLoop</v>
      </c>
      <c r="AG659" s="39"/>
      <c r="AH659" s="39"/>
      <c r="AI659" s="165"/>
      <c r="AJ659" s="165"/>
      <c r="AK659" s="111"/>
      <c r="AL659" s="111"/>
      <c r="AM659" s="111"/>
      <c r="AN659" s="111"/>
      <c r="AO659" s="111"/>
      <c r="AP659" s="111"/>
      <c r="AQ659" s="116"/>
      <c r="AR659" s="116"/>
      <c r="AS659" s="116"/>
    </row>
    <row r="660">
      <c r="A660" s="42" t="str">
        <f>IFERROR(__xludf.DUMMYFUNCTION("""COMPUTED_VALUE"""),"PTg")</f>
        <v>PTg</v>
      </c>
      <c r="B660" s="42"/>
      <c r="C660" s="42"/>
      <c r="D660" s="42" t="str">
        <f>IFERROR(__xludf.DUMMYFUNCTION("""COMPUTED_VALUE"""),"STH")</f>
        <v>STH</v>
      </c>
      <c r="E660" s="42"/>
      <c r="F660" s="42"/>
      <c r="G660" s="42"/>
      <c r="H660" s="42" t="str">
        <f>IFERROR(__xludf.DUMMYFUNCTION("""COMPUTED_VALUE"""),"")</f>
        <v/>
      </c>
      <c r="I660" s="42" t="str">
        <f>IFERROR(__xludf.DUMMYFUNCTION("""COMPUTED_VALUE"""),"author, year")</f>
        <v>author, year</v>
      </c>
      <c r="J660" s="42"/>
      <c r="K660" s="42"/>
      <c r="L660" s="42"/>
      <c r="M660" s="42"/>
      <c r="N660" s="42"/>
      <c r="O660" s="31" t="str">
        <f>IFERROR(__xludf.DUMMYFUNCTION("""COMPUTED_VALUE"""),"#Error: Reference ID")</f>
        <v>#Error: Reference ID</v>
      </c>
      <c r="P660" s="9" t="str">
        <f>IFERROR(__xludf.DUMMYFUNCTION("""COMPUTED_VALUE"""),"#Error: Reference ID")</f>
        <v>#Error: Reference ID</v>
      </c>
      <c r="Q660" s="9" t="str">
        <f>IFERROR(__xludf.DUMMYFUNCTION("""COMPUTED_VALUE"""),"#Error: Reference ID")</f>
        <v>#Error: Reference ID</v>
      </c>
      <c r="R660" s="179" t="str">
        <f>IFERROR(__xludf.DUMMYFUNCTION("""COMPUTED_VALUE"""),"STH (00/00) [author, year];
")</f>
        <v>STH (00/00) [author, year];
</v>
      </c>
      <c r="S660" s="179" t="str">
        <f>IFERROR(__xludf.DUMMYFUNCTION("""COMPUTED_VALUE"""),"PTgSTH")</f>
        <v>PTgSTH</v>
      </c>
      <c r="T660" s="179" t="str">
        <f>IFERROR(__xludf.DUMMYFUNCTION("""COMPUTED_VALUE"""),"[author, year]")</f>
        <v>[author, year]</v>
      </c>
      <c r="U660" s="179">
        <f>IFERROR(__xludf.DUMMYFUNCTION("""COMPUTED_VALUE"""),0.0)</f>
        <v>0</v>
      </c>
      <c r="V660" s="180">
        <f>IFERROR(__xludf.DUMMYFUNCTION("""COMPUTED_VALUE"""),0.0)</f>
        <v>0</v>
      </c>
      <c r="W660" s="180">
        <f>IFERROR(__xludf.DUMMYFUNCTION("""COMPUTED_VALUE"""),0.0)</f>
        <v>0</v>
      </c>
      <c r="X660" s="42">
        <f>IFERROR(__xludf.DUMMYFUNCTION("""COMPUTED_VALUE"""),0.0)</f>
        <v>0</v>
      </c>
      <c r="Y660" s="42">
        <f>IFERROR(__xludf.DUMMYFUNCTION("""COMPUTED_VALUE"""),0.0)</f>
        <v>0</v>
      </c>
      <c r="Z660" s="9">
        <f>IFERROR(__xludf.DUMMYFUNCTION("""COMPUTED_VALUE"""),0.0)</f>
        <v>0</v>
      </c>
      <c r="AA660" s="181">
        <f>IFERROR(__xludf.DUMMYFUNCTION("""COMPUTED_VALUE"""),0.0)</f>
        <v>0</v>
      </c>
      <c r="AB660" s="181">
        <f>IFERROR(__xludf.DUMMYFUNCTION("""COMPUTED_VALUE"""),0.0)</f>
        <v>0</v>
      </c>
      <c r="AC660" s="179">
        <f>IFERROR(__xludf.DUMMYFUNCTION("""COMPUTED_VALUE"""),0.0)</f>
        <v>0</v>
      </c>
      <c r="AD660" s="165">
        <f>IFERROR(__xludf.DUMMYFUNCTION("""COMPUTED_VALUE"""),0.0)</f>
        <v>0</v>
      </c>
      <c r="AE660" s="39" t="str">
        <f>IFERROR(__xludf.DUMMYFUNCTION("""COMPUTED_VALUE"""),"Yuske Shibata")</f>
        <v>Yuske Shibata</v>
      </c>
      <c r="AF660" s="39" t="str">
        <f>IFERROR(__xludf.DUMMYFUNCTION("""COMPUTED_VALUE"""),"YS21BgLoop")</f>
        <v>YS21BgLoop</v>
      </c>
      <c r="AG660" s="39"/>
      <c r="AH660" s="39"/>
      <c r="AI660" s="165"/>
      <c r="AJ660" s="165"/>
      <c r="AK660" s="111"/>
      <c r="AL660" s="111"/>
      <c r="AM660" s="111"/>
      <c r="AN660" s="111"/>
      <c r="AO660" s="111"/>
      <c r="AP660" s="111"/>
      <c r="AQ660" s="116"/>
      <c r="AR660" s="116"/>
      <c r="AS660" s="116"/>
    </row>
    <row r="661">
      <c r="A661" s="42" t="str">
        <f>IFERROR(__xludf.DUMMYFUNCTION("""COMPUTED_VALUE"""),"PTg")</f>
        <v>PTg</v>
      </c>
      <c r="B661" s="42"/>
      <c r="C661" s="42"/>
      <c r="D661" s="42" t="str">
        <f>IFERROR(__xludf.DUMMYFUNCTION("""COMPUTED_VALUE"""),"STR_patch")</f>
        <v>STR_patch</v>
      </c>
      <c r="E661" s="42"/>
      <c r="F661" s="42"/>
      <c r="G661" s="42"/>
      <c r="H661" s="42" t="str">
        <f>IFERROR(__xludf.DUMMYFUNCTION("""COMPUTED_VALUE"""),"")</f>
        <v/>
      </c>
      <c r="I661" s="42" t="str">
        <f>IFERROR(__xludf.DUMMYFUNCTION("""COMPUTED_VALUE"""),"author, year")</f>
        <v>author, year</v>
      </c>
      <c r="J661" s="42"/>
      <c r="K661" s="42"/>
      <c r="L661" s="42"/>
      <c r="M661" s="42"/>
      <c r="N661" s="42"/>
      <c r="O661" s="31" t="str">
        <f>IFERROR(__xludf.DUMMYFUNCTION("""COMPUTED_VALUE"""),"#Error: Reference ID")</f>
        <v>#Error: Reference ID</v>
      </c>
      <c r="P661" s="9" t="str">
        <f>IFERROR(__xludf.DUMMYFUNCTION("""COMPUTED_VALUE"""),"#Error: Reference ID")</f>
        <v>#Error: Reference ID</v>
      </c>
      <c r="Q661" s="9" t="str">
        <f>IFERROR(__xludf.DUMMYFUNCTION("""COMPUTED_VALUE"""),"#Error: Reference ID")</f>
        <v>#Error: Reference ID</v>
      </c>
      <c r="R661" s="179" t="str">
        <f>IFERROR(__xludf.DUMMYFUNCTION("""COMPUTED_VALUE"""),"STR_patch (00/00) [author, year];
")</f>
        <v>STR_patch (00/00) [author, year];
</v>
      </c>
      <c r="S661" s="179" t="str">
        <f>IFERROR(__xludf.DUMMYFUNCTION("""COMPUTED_VALUE"""),"PTgSTR_patch")</f>
        <v>PTgSTR_patch</v>
      </c>
      <c r="T661" s="179" t="str">
        <f>IFERROR(__xludf.DUMMYFUNCTION("""COMPUTED_VALUE"""),"[author, year]")</f>
        <v>[author, year]</v>
      </c>
      <c r="U661" s="179">
        <f>IFERROR(__xludf.DUMMYFUNCTION("""COMPUTED_VALUE"""),0.0)</f>
        <v>0</v>
      </c>
      <c r="V661" s="180">
        <f>IFERROR(__xludf.DUMMYFUNCTION("""COMPUTED_VALUE"""),0.0)</f>
        <v>0</v>
      </c>
      <c r="W661" s="180">
        <f>IFERROR(__xludf.DUMMYFUNCTION("""COMPUTED_VALUE"""),0.0)</f>
        <v>0</v>
      </c>
      <c r="X661" s="42">
        <f>IFERROR(__xludf.DUMMYFUNCTION("""COMPUTED_VALUE"""),0.0)</f>
        <v>0</v>
      </c>
      <c r="Y661" s="42">
        <f>IFERROR(__xludf.DUMMYFUNCTION("""COMPUTED_VALUE"""),0.0)</f>
        <v>0</v>
      </c>
      <c r="Z661" s="9">
        <f>IFERROR(__xludf.DUMMYFUNCTION("""COMPUTED_VALUE"""),0.0)</f>
        <v>0</v>
      </c>
      <c r="AA661" s="181">
        <f>IFERROR(__xludf.DUMMYFUNCTION("""COMPUTED_VALUE"""),0.0)</f>
        <v>0</v>
      </c>
      <c r="AB661" s="181">
        <f>IFERROR(__xludf.DUMMYFUNCTION("""COMPUTED_VALUE"""),0.0)</f>
        <v>0</v>
      </c>
      <c r="AC661" s="179">
        <f>IFERROR(__xludf.DUMMYFUNCTION("""COMPUTED_VALUE"""),0.0)</f>
        <v>0</v>
      </c>
      <c r="AD661" s="165">
        <f>IFERROR(__xludf.DUMMYFUNCTION("""COMPUTED_VALUE"""),0.0)</f>
        <v>0</v>
      </c>
      <c r="AE661" s="39" t="str">
        <f>IFERROR(__xludf.DUMMYFUNCTION("""COMPUTED_VALUE"""),"Yuske Shibata")</f>
        <v>Yuske Shibata</v>
      </c>
      <c r="AF661" s="39" t="str">
        <f>IFERROR(__xludf.DUMMYFUNCTION("""COMPUTED_VALUE"""),"YS21BgLoop")</f>
        <v>YS21BgLoop</v>
      </c>
      <c r="AG661" s="39"/>
      <c r="AH661" s="39"/>
      <c r="AI661" s="165"/>
      <c r="AJ661" s="165"/>
      <c r="AK661" s="111"/>
      <c r="AL661" s="111"/>
      <c r="AM661" s="111"/>
      <c r="AN661" s="111"/>
      <c r="AO661" s="111"/>
      <c r="AP661" s="111"/>
      <c r="AQ661" s="116"/>
      <c r="AR661" s="116"/>
      <c r="AS661" s="116"/>
    </row>
    <row r="662">
      <c r="A662" s="42" t="str">
        <f>IFERROR(__xludf.DUMMYFUNCTION("""COMPUTED_VALUE"""),"PTg")</f>
        <v>PTg</v>
      </c>
      <c r="B662" s="42"/>
      <c r="C662" s="42"/>
      <c r="D662" s="42" t="str">
        <f>IFERROR(__xludf.DUMMYFUNCTION("""COMPUTED_VALUE"""),"TH")</f>
        <v>TH</v>
      </c>
      <c r="E662" s="42"/>
      <c r="F662" s="42"/>
      <c r="G662" s="42"/>
      <c r="H662" s="42" t="str">
        <f>IFERROR(__xludf.DUMMYFUNCTION("""COMPUTED_VALUE"""),"")</f>
        <v/>
      </c>
      <c r="I662" s="42" t="str">
        <f>IFERROR(__xludf.DUMMYFUNCTION("""COMPUTED_VALUE"""),"author, year")</f>
        <v>author, year</v>
      </c>
      <c r="J662" s="42"/>
      <c r="K662" s="42"/>
      <c r="L662" s="42"/>
      <c r="M662" s="42"/>
      <c r="N662" s="42"/>
      <c r="O662" s="31" t="str">
        <f>IFERROR(__xludf.DUMMYFUNCTION("""COMPUTED_VALUE"""),"#Error: Reference ID")</f>
        <v>#Error: Reference ID</v>
      </c>
      <c r="P662" s="9" t="str">
        <f>IFERROR(__xludf.DUMMYFUNCTION("""COMPUTED_VALUE"""),"#Error: Reference ID")</f>
        <v>#Error: Reference ID</v>
      </c>
      <c r="Q662" s="9" t="str">
        <f>IFERROR(__xludf.DUMMYFUNCTION("""COMPUTED_VALUE"""),"#Error: Reference ID")</f>
        <v>#Error: Reference ID</v>
      </c>
      <c r="R662" s="179" t="str">
        <f>IFERROR(__xludf.DUMMYFUNCTION("""COMPUTED_VALUE"""),"TH (00/00) [author, year];
")</f>
        <v>TH (00/00) [author, year];
</v>
      </c>
      <c r="S662" s="179" t="str">
        <f>IFERROR(__xludf.DUMMYFUNCTION("""COMPUTED_VALUE"""),"PTgTH")</f>
        <v>PTgTH</v>
      </c>
      <c r="T662" s="179" t="str">
        <f>IFERROR(__xludf.DUMMYFUNCTION("""COMPUTED_VALUE"""),"[author, year]")</f>
        <v>[author, year]</v>
      </c>
      <c r="U662" s="179">
        <f>IFERROR(__xludf.DUMMYFUNCTION("""COMPUTED_VALUE"""),0.0)</f>
        <v>0</v>
      </c>
      <c r="V662" s="180">
        <f>IFERROR(__xludf.DUMMYFUNCTION("""COMPUTED_VALUE"""),0.0)</f>
        <v>0</v>
      </c>
      <c r="W662" s="180">
        <f>IFERROR(__xludf.DUMMYFUNCTION("""COMPUTED_VALUE"""),0.0)</f>
        <v>0</v>
      </c>
      <c r="X662" s="42">
        <f>IFERROR(__xludf.DUMMYFUNCTION("""COMPUTED_VALUE"""),0.0)</f>
        <v>0</v>
      </c>
      <c r="Y662" s="42">
        <f>IFERROR(__xludf.DUMMYFUNCTION("""COMPUTED_VALUE"""),0.0)</f>
        <v>0</v>
      </c>
      <c r="Z662" s="9">
        <f>IFERROR(__xludf.DUMMYFUNCTION("""COMPUTED_VALUE"""),0.0)</f>
        <v>0</v>
      </c>
      <c r="AA662" s="181">
        <f>IFERROR(__xludf.DUMMYFUNCTION("""COMPUTED_VALUE"""),0.0)</f>
        <v>0</v>
      </c>
      <c r="AB662" s="181">
        <f>IFERROR(__xludf.DUMMYFUNCTION("""COMPUTED_VALUE"""),0.0)</f>
        <v>0</v>
      </c>
      <c r="AC662" s="179">
        <f>IFERROR(__xludf.DUMMYFUNCTION("""COMPUTED_VALUE"""),0.0)</f>
        <v>0</v>
      </c>
      <c r="AD662" s="165">
        <f>IFERROR(__xludf.DUMMYFUNCTION("""COMPUTED_VALUE"""),0.0)</f>
        <v>0</v>
      </c>
      <c r="AE662" s="39" t="str">
        <f>IFERROR(__xludf.DUMMYFUNCTION("""COMPUTED_VALUE"""),"Yuske Shibata")</f>
        <v>Yuske Shibata</v>
      </c>
      <c r="AF662" s="39" t="str">
        <f>IFERROR(__xludf.DUMMYFUNCTION("""COMPUTED_VALUE"""),"YS21BgLoop")</f>
        <v>YS21BgLoop</v>
      </c>
      <c r="AG662" s="39"/>
      <c r="AH662" s="39"/>
      <c r="AI662" s="165"/>
      <c r="AJ662" s="165"/>
      <c r="AK662" s="111"/>
      <c r="AL662" s="111"/>
      <c r="AM662" s="111"/>
      <c r="AN662" s="111"/>
      <c r="AO662" s="111"/>
      <c r="AP662" s="111"/>
      <c r="AQ662" s="116"/>
      <c r="AR662" s="116"/>
      <c r="AS662" s="116"/>
    </row>
    <row r="663">
      <c r="A663" s="42" t="str">
        <f>IFERROR(__xludf.DUMMYFUNCTION("""COMPUTED_VALUE"""),"Pu")</f>
        <v>Pu</v>
      </c>
      <c r="B663" s="42"/>
      <c r="C663" s="42"/>
      <c r="D663" s="42" t="str">
        <f>IFERROR(__xludf.DUMMYFUNCTION("""COMPUTED_VALUE"""),"SNR")</f>
        <v>SNR</v>
      </c>
      <c r="E663" s="42"/>
      <c r="F663" s="42"/>
      <c r="G663" s="42"/>
      <c r="H663" s="42" t="str">
        <f>IFERROR(__xludf.DUMMYFUNCTION("""COMPUTED_VALUE"""),"(Associative loop)")</f>
        <v>(Associative loop)</v>
      </c>
      <c r="I663" s="42" t="str">
        <f>IFERROR(__xludf.DUMMYFUNCTION("""COMPUTED_VALUE"""),"Galvan, 2015")</f>
        <v>Galvan, 2015</v>
      </c>
      <c r="J663" s="42"/>
      <c r="K663" s="42"/>
      <c r="L663" s="42"/>
      <c r="M663" s="42"/>
      <c r="N663" s="42"/>
      <c r="O663" s="31" t="str">
        <f>IFERROR(__xludf.DUMMYFUNCTION("""COMPUTED_VALUE"""),"DOC")</f>
        <v>DOC</v>
      </c>
      <c r="P663" s="9" t="str">
        <f>IFERROR(__xludf.DUMMYFUNCTION("""COMPUTED_VALUE"""),"Frontiers in Neuroanatomy")</f>
        <v>Frontiers in Neuroanatomy</v>
      </c>
      <c r="Q663" s="9"/>
      <c r="R663" s="179" t="str">
        <f>IFERROR(__xludf.DUMMYFUNCTION("""COMPUTED_VALUE"""),"SNR (00/00) [Galvan, 2015](Associative loop);
")</f>
        <v>SNR (00/00) [Galvan, 2015](Associative loop);
</v>
      </c>
      <c r="S663" s="179" t="str">
        <f>IFERROR(__xludf.DUMMYFUNCTION("""COMPUTED_VALUE"""),"PuSNR")</f>
        <v>PuSNR</v>
      </c>
      <c r="T663" s="179" t="str">
        <f>IFERROR(__xludf.DUMMYFUNCTION("""COMPUTED_VALUE"""),"[Galvan, 2015]")</f>
        <v>[Galvan, 2015]</v>
      </c>
      <c r="U663" s="179">
        <f>IFERROR(__xludf.DUMMYFUNCTION("""COMPUTED_VALUE"""),0.0)</f>
        <v>0</v>
      </c>
      <c r="V663" s="180">
        <f>IFERROR(__xludf.DUMMYFUNCTION("""COMPUTED_VALUE"""),0.0)</f>
        <v>0</v>
      </c>
      <c r="W663" s="180">
        <f>IFERROR(__xludf.DUMMYFUNCTION("""COMPUTED_VALUE"""),0.95)</f>
        <v>0.95</v>
      </c>
      <c r="X663" s="42">
        <f>IFERROR(__xludf.DUMMYFUNCTION("""COMPUTED_VALUE"""),0.0)</f>
        <v>0</v>
      </c>
      <c r="Y663" s="42">
        <f>IFERROR(__xludf.DUMMYFUNCTION("""COMPUTED_VALUE"""),0.0)</f>
        <v>0</v>
      </c>
      <c r="Z663" s="9">
        <f>IFERROR(__xludf.DUMMYFUNCTION("""COMPUTED_VALUE"""),0.0)</f>
        <v>0</v>
      </c>
      <c r="AA663" s="181">
        <f>IFERROR(__xludf.DUMMYFUNCTION("""COMPUTED_VALUE"""),0.0)</f>
        <v>0</v>
      </c>
      <c r="AB663" s="181">
        <f>IFERROR(__xludf.DUMMYFUNCTION("""COMPUTED_VALUE"""),0.0)</f>
        <v>0</v>
      </c>
      <c r="AC663" s="179">
        <f>IFERROR(__xludf.DUMMYFUNCTION("""COMPUTED_VALUE"""),0.0)</f>
        <v>0</v>
      </c>
      <c r="AD663" s="165">
        <f>IFERROR(__xludf.DUMMYFUNCTION("""COMPUTED_VALUE"""),0.0)</f>
        <v>0</v>
      </c>
      <c r="AE663" s="39" t="str">
        <f>IFERROR(__xludf.DUMMYFUNCTION("""COMPUTED_VALUE"""),"Yuske Shibata")</f>
        <v>Yuske Shibata</v>
      </c>
      <c r="AF663" s="39" t="str">
        <f>IFERROR(__xludf.DUMMYFUNCTION("""COMPUTED_VALUE"""),"YS21BgLoop")</f>
        <v>YS21BgLoop</v>
      </c>
      <c r="AG663" s="39"/>
      <c r="AH663" s="39"/>
      <c r="AI663" s="165"/>
      <c r="AJ663" s="165"/>
      <c r="AK663" s="111"/>
      <c r="AL663" s="111"/>
      <c r="AM663" s="111"/>
      <c r="AN663" s="111"/>
      <c r="AO663" s="111"/>
      <c r="AP663" s="111"/>
      <c r="AQ663" s="116"/>
      <c r="AR663" s="116"/>
      <c r="AS663" s="116"/>
    </row>
    <row r="664">
      <c r="A664" s="42" t="str">
        <f>IFERROR(__xludf.DUMMYFUNCTION("""COMPUTED_VALUE"""),"Pu")</f>
        <v>Pu</v>
      </c>
      <c r="B664" s="42"/>
      <c r="C664" s="42"/>
      <c r="D664" s="42" t="str">
        <f>IFERROR(__xludf.DUMMYFUNCTION("""COMPUTED_VALUE"""),"GPe")</f>
        <v>GPe</v>
      </c>
      <c r="E664" s="42"/>
      <c r="F664" s="42"/>
      <c r="G664" s="42"/>
      <c r="H664" s="42" t="str">
        <f>IFERROR(__xludf.DUMMYFUNCTION("""COMPUTED_VALUE"""),"(Sensorimotor)")</f>
        <v>(Sensorimotor)</v>
      </c>
      <c r="I664" s="42" t="str">
        <f>IFERROR(__xludf.DUMMYFUNCTION("""COMPUTED_VALUE"""),"Galvan, 2015")</f>
        <v>Galvan, 2015</v>
      </c>
      <c r="J664" s="42"/>
      <c r="K664" s="42"/>
      <c r="L664" s="42"/>
      <c r="M664" s="42"/>
      <c r="N664" s="42"/>
      <c r="O664" s="31" t="str">
        <f>IFERROR(__xludf.DUMMYFUNCTION("""COMPUTED_VALUE"""),"DOC")</f>
        <v>DOC</v>
      </c>
      <c r="P664" s="9" t="str">
        <f>IFERROR(__xludf.DUMMYFUNCTION("""COMPUTED_VALUE"""),"Frontiers in Neuroanatomy")</f>
        <v>Frontiers in Neuroanatomy</v>
      </c>
      <c r="Q664" s="9"/>
      <c r="R664" s="179" t="str">
        <f>IFERROR(__xludf.DUMMYFUNCTION("""COMPUTED_VALUE"""),"GPe (00/00) [Galvan, 2015](Sensorimotor);
")</f>
        <v>GPe (00/00) [Galvan, 2015](Sensorimotor);
</v>
      </c>
      <c r="S664" s="179" t="str">
        <f>IFERROR(__xludf.DUMMYFUNCTION("""COMPUTED_VALUE"""),"PuGPe")</f>
        <v>PuGPe</v>
      </c>
      <c r="T664" s="179" t="str">
        <f>IFERROR(__xludf.DUMMYFUNCTION("""COMPUTED_VALUE"""),"[Galvan, 2015]")</f>
        <v>[Galvan, 2015]</v>
      </c>
      <c r="U664" s="179">
        <f>IFERROR(__xludf.DUMMYFUNCTION("""COMPUTED_VALUE"""),0.0)</f>
        <v>0</v>
      </c>
      <c r="V664" s="180">
        <f>IFERROR(__xludf.DUMMYFUNCTION("""COMPUTED_VALUE"""),0.0)</f>
        <v>0</v>
      </c>
      <c r="W664" s="180">
        <f>IFERROR(__xludf.DUMMYFUNCTION("""COMPUTED_VALUE"""),0.95)</f>
        <v>0.95</v>
      </c>
      <c r="X664" s="42">
        <f>IFERROR(__xludf.DUMMYFUNCTION("""COMPUTED_VALUE"""),0.0)</f>
        <v>0</v>
      </c>
      <c r="Y664" s="42">
        <f>IFERROR(__xludf.DUMMYFUNCTION("""COMPUTED_VALUE"""),0.0)</f>
        <v>0</v>
      </c>
      <c r="Z664" s="9">
        <f>IFERROR(__xludf.DUMMYFUNCTION("""COMPUTED_VALUE"""),0.0)</f>
        <v>0</v>
      </c>
      <c r="AA664" s="181">
        <f>IFERROR(__xludf.DUMMYFUNCTION("""COMPUTED_VALUE"""),0.0)</f>
        <v>0</v>
      </c>
      <c r="AB664" s="181">
        <f>IFERROR(__xludf.DUMMYFUNCTION("""COMPUTED_VALUE"""),0.0)</f>
        <v>0</v>
      </c>
      <c r="AC664" s="179">
        <f>IFERROR(__xludf.DUMMYFUNCTION("""COMPUTED_VALUE"""),0.0)</f>
        <v>0</v>
      </c>
      <c r="AD664" s="165">
        <f>IFERROR(__xludf.DUMMYFUNCTION("""COMPUTED_VALUE"""),0.0)</f>
        <v>0</v>
      </c>
      <c r="AE664" s="39" t="str">
        <f>IFERROR(__xludf.DUMMYFUNCTION("""COMPUTED_VALUE"""),"Yuske Shibata")</f>
        <v>Yuske Shibata</v>
      </c>
      <c r="AF664" s="39" t="str">
        <f>IFERROR(__xludf.DUMMYFUNCTION("""COMPUTED_VALUE"""),"YS21BgLoop")</f>
        <v>YS21BgLoop</v>
      </c>
      <c r="AG664" s="39"/>
      <c r="AH664" s="39"/>
      <c r="AI664" s="165"/>
      <c r="AJ664" s="165"/>
      <c r="AK664" s="111"/>
      <c r="AL664" s="111"/>
      <c r="AM664" s="111"/>
      <c r="AN664" s="111"/>
      <c r="AO664" s="111"/>
      <c r="AP664" s="111"/>
      <c r="AQ664" s="116"/>
      <c r="AR664" s="116"/>
      <c r="AS664" s="116"/>
    </row>
    <row r="665">
      <c r="A665" s="42" t="str">
        <f>IFERROR(__xludf.DUMMYFUNCTION("""COMPUTED_VALUE"""),"Pu")</f>
        <v>Pu</v>
      </c>
      <c r="B665" s="42"/>
      <c r="C665" s="42"/>
      <c r="D665" s="42" t="str">
        <f>IFERROR(__xludf.DUMMYFUNCTION("""COMPUTED_VALUE"""),"GPi")</f>
        <v>GPi</v>
      </c>
      <c r="E665" s="42"/>
      <c r="F665" s="42"/>
      <c r="G665" s="42"/>
      <c r="H665" s="42" t="str">
        <f>IFERROR(__xludf.DUMMYFUNCTION("""COMPUTED_VALUE"""),"(Sensorimotor)(Associative loop)")</f>
        <v>(Sensorimotor)(Associative loop)</v>
      </c>
      <c r="I665" s="42" t="str">
        <f>IFERROR(__xludf.DUMMYFUNCTION("""COMPUTED_VALUE"""),"Galvan, 2015")</f>
        <v>Galvan, 2015</v>
      </c>
      <c r="J665" s="42"/>
      <c r="K665" s="42"/>
      <c r="L665" s="42"/>
      <c r="M665" s="42"/>
      <c r="N665" s="42"/>
      <c r="O665" s="31" t="str">
        <f>IFERROR(__xludf.DUMMYFUNCTION("""COMPUTED_VALUE"""),"DOC")</f>
        <v>DOC</v>
      </c>
      <c r="P665" s="9" t="str">
        <f>IFERROR(__xludf.DUMMYFUNCTION("""COMPUTED_VALUE"""),"Frontiers in Neuroanatomy")</f>
        <v>Frontiers in Neuroanatomy</v>
      </c>
      <c r="Q665" s="9"/>
      <c r="R665" s="179" t="str">
        <f>IFERROR(__xludf.DUMMYFUNCTION("""COMPUTED_VALUE"""),"GPi (00/00) [Galvan, 2015](Sensorimotor)(Associative loop);
")</f>
        <v>GPi (00/00) [Galvan, 2015](Sensorimotor)(Associative loop);
</v>
      </c>
      <c r="S665" s="179" t="str">
        <f>IFERROR(__xludf.DUMMYFUNCTION("""COMPUTED_VALUE"""),"PuGPi")</f>
        <v>PuGPi</v>
      </c>
      <c r="T665" s="179" t="str">
        <f>IFERROR(__xludf.DUMMYFUNCTION("""COMPUTED_VALUE"""),"[Galvan, 2015]")</f>
        <v>[Galvan, 2015]</v>
      </c>
      <c r="U665" s="179">
        <f>IFERROR(__xludf.DUMMYFUNCTION("""COMPUTED_VALUE"""),0.0)</f>
        <v>0</v>
      </c>
      <c r="V665" s="180">
        <f>IFERROR(__xludf.DUMMYFUNCTION("""COMPUTED_VALUE"""),0.0)</f>
        <v>0</v>
      </c>
      <c r="W665" s="180">
        <f>IFERROR(__xludf.DUMMYFUNCTION("""COMPUTED_VALUE"""),0.95)</f>
        <v>0.95</v>
      </c>
      <c r="X665" s="42">
        <f>IFERROR(__xludf.DUMMYFUNCTION("""COMPUTED_VALUE"""),0.0)</f>
        <v>0</v>
      </c>
      <c r="Y665" s="42">
        <f>IFERROR(__xludf.DUMMYFUNCTION("""COMPUTED_VALUE"""),0.0)</f>
        <v>0</v>
      </c>
      <c r="Z665" s="9">
        <f>IFERROR(__xludf.DUMMYFUNCTION("""COMPUTED_VALUE"""),0.0)</f>
        <v>0</v>
      </c>
      <c r="AA665" s="181">
        <f>IFERROR(__xludf.DUMMYFUNCTION("""COMPUTED_VALUE"""),0.0)</f>
        <v>0</v>
      </c>
      <c r="AB665" s="181">
        <f>IFERROR(__xludf.DUMMYFUNCTION("""COMPUTED_VALUE"""),0.0)</f>
        <v>0</v>
      </c>
      <c r="AC665" s="179">
        <f>IFERROR(__xludf.DUMMYFUNCTION("""COMPUTED_VALUE"""),0.0)</f>
        <v>0</v>
      </c>
      <c r="AD665" s="165">
        <f>IFERROR(__xludf.DUMMYFUNCTION("""COMPUTED_VALUE"""),0.0)</f>
        <v>0</v>
      </c>
      <c r="AE665" s="39" t="str">
        <f>IFERROR(__xludf.DUMMYFUNCTION("""COMPUTED_VALUE"""),"Yuske Shibata")</f>
        <v>Yuske Shibata</v>
      </c>
      <c r="AF665" s="39" t="str">
        <f>IFERROR(__xludf.DUMMYFUNCTION("""COMPUTED_VALUE"""),"YS21BgLoop")</f>
        <v>YS21BgLoop</v>
      </c>
      <c r="AG665" s="39"/>
      <c r="AH665" s="39"/>
      <c r="AI665" s="165"/>
      <c r="AJ665" s="165"/>
      <c r="AK665" s="111"/>
      <c r="AL665" s="111"/>
      <c r="AM665" s="111"/>
      <c r="AN665" s="111"/>
      <c r="AO665" s="111"/>
      <c r="AP665" s="111"/>
      <c r="AQ665" s="116"/>
      <c r="AR665" s="116"/>
      <c r="AS665" s="116"/>
    </row>
    <row r="666">
      <c r="A666" s="42" t="str">
        <f>IFERROR(__xludf.DUMMYFUNCTION("""COMPUTED_VALUE"""),"R")</f>
        <v>R</v>
      </c>
      <c r="B666" s="42"/>
      <c r="C666" s="42"/>
      <c r="D666" s="42" t="str">
        <f>IFERROR(__xludf.DUMMYFUNCTION("""COMPUTED_VALUE"""),"R")</f>
        <v>R</v>
      </c>
      <c r="E666" s="42"/>
      <c r="F666" s="42"/>
      <c r="G666" s="42"/>
      <c r="H666" s="42" t="str">
        <f>IFERROR(__xludf.DUMMYFUNCTION("""COMPUTED_VALUE"""),"")</f>
        <v/>
      </c>
      <c r="I666" s="42" t="str">
        <f>IFERROR(__xludf.DUMMYFUNCTION("""COMPUTED_VALUE"""),"Bonjean, 2012")</f>
        <v>Bonjean, 2012</v>
      </c>
      <c r="J666" s="42"/>
      <c r="K666" s="42"/>
      <c r="L666" s="42"/>
      <c r="M666" s="42"/>
      <c r="N666" s="42"/>
      <c r="O666" s="31" t="str">
        <f>IFERROR(__xludf.DUMMYFUNCTION("""COMPUTED_VALUE"""),"DOC")</f>
        <v>DOC</v>
      </c>
      <c r="P666" s="9" t="str">
        <f>IFERROR(__xludf.DUMMYFUNCTION("""COMPUTED_VALUE"""),"Journal of Neuroscience")</f>
        <v>Journal of Neuroscience</v>
      </c>
      <c r="Q666" s="9"/>
      <c r="R666" s="179" t="str">
        <f>IFERROR(__xludf.DUMMYFUNCTION("""COMPUTED_VALUE"""),"R (00/00) [Bonjean, 2012];
")</f>
        <v>R (00/00) [Bonjean, 2012];
</v>
      </c>
      <c r="S666" s="179" t="str">
        <f>IFERROR(__xludf.DUMMYFUNCTION("""COMPUTED_VALUE"""),"RR")</f>
        <v>RR</v>
      </c>
      <c r="T666" s="179" t="str">
        <f>IFERROR(__xludf.DUMMYFUNCTION("""COMPUTED_VALUE"""),"[Bonjean, 2012]")</f>
        <v>[Bonjean, 2012]</v>
      </c>
      <c r="U666" s="179">
        <f>IFERROR(__xludf.DUMMYFUNCTION("""COMPUTED_VALUE"""),0.0)</f>
        <v>0</v>
      </c>
      <c r="V666" s="180">
        <f>IFERROR(__xludf.DUMMYFUNCTION("""COMPUTED_VALUE"""),0.0)</f>
        <v>0</v>
      </c>
      <c r="W666" s="180">
        <f>IFERROR(__xludf.DUMMYFUNCTION("""COMPUTED_VALUE"""),0.95)</f>
        <v>0.95</v>
      </c>
      <c r="X666" s="42">
        <f>IFERROR(__xludf.DUMMYFUNCTION("""COMPUTED_VALUE"""),0.0)</f>
        <v>0</v>
      </c>
      <c r="Y666" s="42">
        <f>IFERROR(__xludf.DUMMYFUNCTION("""COMPUTED_VALUE"""),0.0)</f>
        <v>0</v>
      </c>
      <c r="Z666" s="9">
        <f>IFERROR(__xludf.DUMMYFUNCTION("""COMPUTED_VALUE"""),0.0)</f>
        <v>0</v>
      </c>
      <c r="AA666" s="181">
        <f>IFERROR(__xludf.DUMMYFUNCTION("""COMPUTED_VALUE"""),0.0)</f>
        <v>0</v>
      </c>
      <c r="AB666" s="181">
        <f>IFERROR(__xludf.DUMMYFUNCTION("""COMPUTED_VALUE"""),0.0)</f>
        <v>0</v>
      </c>
      <c r="AC666" s="179">
        <f>IFERROR(__xludf.DUMMYFUNCTION("""COMPUTED_VALUE"""),0.0)</f>
        <v>0</v>
      </c>
      <c r="AD666" s="165">
        <f>IFERROR(__xludf.DUMMYFUNCTION("""COMPUTED_VALUE"""),0.0)</f>
        <v>0</v>
      </c>
      <c r="AE666" s="39" t="str">
        <f>IFERROR(__xludf.DUMMYFUNCTION("""COMPUTED_VALUE"""),"Hiroshi Yamakawa")</f>
        <v>Hiroshi Yamakawa</v>
      </c>
      <c r="AF666" s="39" t="str">
        <f>IFERROR(__xludf.DUMMYFUNCTION("""COMPUTED_VALUE"""),"HY18NeocorticalInterareaSignals")</f>
        <v>HY18NeocorticalInterareaSignals</v>
      </c>
      <c r="AG666" s="39"/>
      <c r="AH666" s="39"/>
      <c r="AI666" s="165"/>
      <c r="AJ666" s="165"/>
      <c r="AK666" s="111"/>
      <c r="AL666" s="111"/>
      <c r="AM666" s="111"/>
      <c r="AN666" s="111"/>
      <c r="AO666" s="111"/>
      <c r="AP666" s="111"/>
      <c r="AQ666" s="116"/>
      <c r="AR666" s="116"/>
      <c r="AS666" s="116"/>
    </row>
    <row r="667">
      <c r="A667" s="42" t="str">
        <f>IFERROR(__xludf.DUMMYFUNCTION("""COMPUTED_VALUE"""),"R")</f>
        <v>R</v>
      </c>
      <c r="B667" s="42"/>
      <c r="C667" s="42"/>
      <c r="D667" s="42" t="str">
        <f>IFERROR(__xludf.DUMMYFUNCTION("""COMPUTED_VALUE"""),"TRN_core")</f>
        <v>TRN_core</v>
      </c>
      <c r="E667" s="42"/>
      <c r="F667" s="42"/>
      <c r="G667" s="42"/>
      <c r="H667" s="42" t="str">
        <f>IFERROR(__xludf.DUMMYFUNCTION("""COMPUTED_VALUE"""),"")</f>
        <v/>
      </c>
      <c r="I667" s="42" t="str">
        <f>IFERROR(__xludf.DUMMYFUNCTION("""COMPUTED_VALUE"""),"Bonjean, 2012")</f>
        <v>Bonjean, 2012</v>
      </c>
      <c r="J667" s="42"/>
      <c r="K667" s="42"/>
      <c r="L667" s="42"/>
      <c r="M667" s="42"/>
      <c r="N667" s="42"/>
      <c r="O667" s="31" t="str">
        <f>IFERROR(__xludf.DUMMYFUNCTION("""COMPUTED_VALUE"""),"DOC")</f>
        <v>DOC</v>
      </c>
      <c r="P667" s="9" t="str">
        <f>IFERROR(__xludf.DUMMYFUNCTION("""COMPUTED_VALUE"""),"Journal of Neuroscience")</f>
        <v>Journal of Neuroscience</v>
      </c>
      <c r="Q667" s="9"/>
      <c r="R667" s="179" t="str">
        <f>IFERROR(__xludf.DUMMYFUNCTION("""COMPUTED_VALUE"""),"TRN_core (00/00) [Bonjean, 2012][Rodriguez, 2004][Wei, 2016];
")</f>
        <v>TRN_core (00/00) [Bonjean, 2012][Rodriguez, 2004][Wei, 2016];
</v>
      </c>
      <c r="S667" s="179" t="str">
        <f>IFERROR(__xludf.DUMMYFUNCTION("""COMPUTED_VALUE"""),"RTRN_core")</f>
        <v>RTRN_core</v>
      </c>
      <c r="T667" s="179" t="str">
        <f>IFERROR(__xludf.DUMMYFUNCTION("""COMPUTED_VALUE"""),"[Bonjean, 2012]")</f>
        <v>[Bonjean, 2012]</v>
      </c>
      <c r="U667" s="179">
        <f>IFERROR(__xludf.DUMMYFUNCTION("""COMPUTED_VALUE"""),0.0)</f>
        <v>0</v>
      </c>
      <c r="V667" s="180">
        <f>IFERROR(__xludf.DUMMYFUNCTION("""COMPUTED_VALUE"""),0.0)</f>
        <v>0</v>
      </c>
      <c r="W667" s="180">
        <f>IFERROR(__xludf.DUMMYFUNCTION("""COMPUTED_VALUE"""),0.95)</f>
        <v>0.95</v>
      </c>
      <c r="X667" s="42">
        <f>IFERROR(__xludf.DUMMYFUNCTION("""COMPUTED_VALUE"""),0.0)</f>
        <v>0</v>
      </c>
      <c r="Y667" s="42">
        <f>IFERROR(__xludf.DUMMYFUNCTION("""COMPUTED_VALUE"""),0.0)</f>
        <v>0</v>
      </c>
      <c r="Z667" s="9">
        <f>IFERROR(__xludf.DUMMYFUNCTION("""COMPUTED_VALUE"""),0.0)</f>
        <v>0</v>
      </c>
      <c r="AA667" s="181">
        <f>IFERROR(__xludf.DUMMYFUNCTION("""COMPUTED_VALUE"""),0.0)</f>
        <v>0</v>
      </c>
      <c r="AB667" s="181">
        <f>IFERROR(__xludf.DUMMYFUNCTION("""COMPUTED_VALUE"""),0.0)</f>
        <v>0</v>
      </c>
      <c r="AC667" s="179">
        <f>IFERROR(__xludf.DUMMYFUNCTION("""COMPUTED_VALUE"""),0.0)</f>
        <v>0</v>
      </c>
      <c r="AD667" s="165">
        <f>IFERROR(__xludf.DUMMYFUNCTION("""COMPUTED_VALUE"""),0.0)</f>
        <v>0</v>
      </c>
      <c r="AE667" s="39" t="str">
        <f>IFERROR(__xludf.DUMMYFUNCTION("""COMPUTED_VALUE"""),"Hiroshi Yamakawa")</f>
        <v>Hiroshi Yamakawa</v>
      </c>
      <c r="AF667" s="39" t="str">
        <f>IFERROR(__xludf.DUMMYFUNCTION("""COMPUTED_VALUE"""),"HY18NeocorticalInterareaSignals")</f>
        <v>HY18NeocorticalInterareaSignals</v>
      </c>
      <c r="AG667" s="39"/>
      <c r="AH667" s="39"/>
      <c r="AI667" s="165"/>
      <c r="AJ667" s="165"/>
      <c r="AK667" s="111"/>
      <c r="AL667" s="111"/>
      <c r="AM667" s="111"/>
      <c r="AN667" s="111"/>
      <c r="AO667" s="111"/>
      <c r="AP667" s="111"/>
      <c r="AQ667" s="116"/>
      <c r="AR667" s="116"/>
      <c r="AS667" s="116"/>
    </row>
    <row r="668">
      <c r="A668" s="42" t="str">
        <f>IFERROR(__xludf.DUMMYFUNCTION("""COMPUTED_VALUE"""),"R")</f>
        <v>R</v>
      </c>
      <c r="B668" s="42"/>
      <c r="C668" s="42"/>
      <c r="D668" s="42" t="str">
        <f>IFERROR(__xludf.DUMMYFUNCTION("""COMPUTED_VALUE"""),"TRN_matrix")</f>
        <v>TRN_matrix</v>
      </c>
      <c r="E668" s="42"/>
      <c r="F668" s="42"/>
      <c r="G668" s="42"/>
      <c r="H668" s="42" t="str">
        <f>IFERROR(__xludf.DUMMYFUNCTION("""COMPUTED_VALUE"""),"")</f>
        <v/>
      </c>
      <c r="I668" s="42" t="str">
        <f>IFERROR(__xludf.DUMMYFUNCTION("""COMPUTED_VALUE"""),"Bonjean, 2012")</f>
        <v>Bonjean, 2012</v>
      </c>
      <c r="J668" s="42"/>
      <c r="K668" s="42"/>
      <c r="L668" s="42"/>
      <c r="M668" s="42"/>
      <c r="N668" s="42"/>
      <c r="O668" s="131" t="str">
        <f>IFERROR(__xludf.DUMMYFUNCTION("""COMPUTED_VALUE"""),"DOC")</f>
        <v>DOC</v>
      </c>
      <c r="P668" s="9" t="str">
        <f>IFERROR(__xludf.DUMMYFUNCTION("""COMPUTED_VALUE"""),"Journal of Neuroscience")</f>
        <v>Journal of Neuroscience</v>
      </c>
      <c r="Q668" s="9"/>
      <c r="R668" s="179" t="str">
        <f>IFERROR(__xludf.DUMMYFUNCTION("""COMPUTED_VALUE"""),"TRN_matrix (00/00) [Bonjean, 2012][Wei, 2016];
")</f>
        <v>TRN_matrix (00/00) [Bonjean, 2012][Wei, 2016];
</v>
      </c>
      <c r="S668" s="179" t="str">
        <f>IFERROR(__xludf.DUMMYFUNCTION("""COMPUTED_VALUE"""),"RTRN_matrix")</f>
        <v>RTRN_matrix</v>
      </c>
      <c r="T668" s="179" t="str">
        <f>IFERROR(__xludf.DUMMYFUNCTION("""COMPUTED_VALUE"""),"[Bonjean, 2012]")</f>
        <v>[Bonjean, 2012]</v>
      </c>
      <c r="U668" s="179">
        <f>IFERROR(__xludf.DUMMYFUNCTION("""COMPUTED_VALUE"""),0.0)</f>
        <v>0</v>
      </c>
      <c r="V668" s="180">
        <f>IFERROR(__xludf.DUMMYFUNCTION("""COMPUTED_VALUE"""),0.0)</f>
        <v>0</v>
      </c>
      <c r="W668" s="180">
        <f>IFERROR(__xludf.DUMMYFUNCTION("""COMPUTED_VALUE"""),0.95)</f>
        <v>0.95</v>
      </c>
      <c r="X668" s="42">
        <f>IFERROR(__xludf.DUMMYFUNCTION("""COMPUTED_VALUE"""),0.0)</f>
        <v>0</v>
      </c>
      <c r="Y668" s="42">
        <f>IFERROR(__xludf.DUMMYFUNCTION("""COMPUTED_VALUE"""),0.0)</f>
        <v>0</v>
      </c>
      <c r="Z668" s="9">
        <f>IFERROR(__xludf.DUMMYFUNCTION("""COMPUTED_VALUE"""),0.0)</f>
        <v>0</v>
      </c>
      <c r="AA668" s="181">
        <f>IFERROR(__xludf.DUMMYFUNCTION("""COMPUTED_VALUE"""),0.0)</f>
        <v>0</v>
      </c>
      <c r="AB668" s="181">
        <f>IFERROR(__xludf.DUMMYFUNCTION("""COMPUTED_VALUE"""),0.0)</f>
        <v>0</v>
      </c>
      <c r="AC668" s="179">
        <f>IFERROR(__xludf.DUMMYFUNCTION("""COMPUTED_VALUE"""),0.0)</f>
        <v>0</v>
      </c>
      <c r="AD668" s="165">
        <f>IFERROR(__xludf.DUMMYFUNCTION("""COMPUTED_VALUE"""),0.0)</f>
        <v>0</v>
      </c>
      <c r="AE668" s="39" t="str">
        <f>IFERROR(__xludf.DUMMYFUNCTION("""COMPUTED_VALUE"""),"Hiroshi Yamakawa")</f>
        <v>Hiroshi Yamakawa</v>
      </c>
      <c r="AF668" s="39" t="str">
        <f>IFERROR(__xludf.DUMMYFUNCTION("""COMPUTED_VALUE"""),"HY18NeocorticalInterareaSignals")</f>
        <v>HY18NeocorticalInterareaSignals</v>
      </c>
      <c r="AG668" s="39"/>
      <c r="AH668" s="39"/>
      <c r="AI668" s="165"/>
      <c r="AJ668" s="165"/>
      <c r="AK668" s="111"/>
      <c r="AL668" s="111"/>
      <c r="AM668" s="111"/>
      <c r="AN668" s="111"/>
      <c r="AO668" s="111"/>
      <c r="AP668" s="111"/>
      <c r="AQ668" s="116"/>
      <c r="AR668" s="116"/>
      <c r="AS668" s="116"/>
    </row>
    <row r="669">
      <c r="A669" s="42" t="str">
        <f>IFERROR(__xludf.DUMMYFUNCTION("""COMPUTED_VALUE"""),"R")</f>
        <v>R</v>
      </c>
      <c r="B669" s="42"/>
      <c r="C669" s="42"/>
      <c r="D669" s="42" t="str">
        <f>IFERROR(__xludf.DUMMYFUNCTION("""COMPUTED_VALUE"""),"TRN_core")</f>
        <v>TRN_core</v>
      </c>
      <c r="E669" s="42"/>
      <c r="F669" s="42"/>
      <c r="G669" s="42"/>
      <c r="H669" s="42" t="str">
        <f>IFERROR(__xludf.DUMMYFUNCTION("""COMPUTED_VALUE"""),"")</f>
        <v/>
      </c>
      <c r="I669" s="42" t="str">
        <f>IFERROR(__xludf.DUMMYFUNCTION("""COMPUTED_VALUE"""),"Rodriguez, 2004")</f>
        <v>Rodriguez, 2004</v>
      </c>
      <c r="J669" s="42"/>
      <c r="K669" s="42"/>
      <c r="L669" s="42"/>
      <c r="M669" s="42"/>
      <c r="N669" s="42"/>
      <c r="O669" s="31" t="str">
        <f>IFERROR(__xludf.DUMMYFUNCTION("""COMPUTED_VALUE"""),"DOC")</f>
        <v>DOC</v>
      </c>
      <c r="P669" s="9" t="str">
        <f>IFERROR(__xludf.DUMMYFUNCTION("""COMPUTED_VALUE"""),"Journal of Cognitive Neuroscience")</f>
        <v>Journal of Cognitive Neuroscience</v>
      </c>
      <c r="Q669" s="9"/>
      <c r="R669" s="179" t="str">
        <f>IFERROR(__xludf.DUMMYFUNCTION("""COMPUTED_VALUE"""),"TRN_core (00/00) [Bonjean, 2012][Rodriguez, 2004][Wei, 2016];
")</f>
        <v>TRN_core (00/00) [Bonjean, 2012][Rodriguez, 2004][Wei, 2016];
</v>
      </c>
      <c r="S669" s="179" t="str">
        <f>IFERROR(__xludf.DUMMYFUNCTION("""COMPUTED_VALUE"""),"RTRN_core")</f>
        <v>RTRN_core</v>
      </c>
      <c r="T669" s="179" t="str">
        <f>IFERROR(__xludf.DUMMYFUNCTION("""COMPUTED_VALUE"""),"[Rodriguez, 2004]")</f>
        <v>[Rodriguez, 2004]</v>
      </c>
      <c r="U669" s="179">
        <f>IFERROR(__xludf.DUMMYFUNCTION("""COMPUTED_VALUE"""),0.0)</f>
        <v>0</v>
      </c>
      <c r="V669" s="180">
        <f>IFERROR(__xludf.DUMMYFUNCTION("""COMPUTED_VALUE"""),0.0)</f>
        <v>0</v>
      </c>
      <c r="W669" s="180">
        <f>IFERROR(__xludf.DUMMYFUNCTION("""COMPUTED_VALUE"""),0.95)</f>
        <v>0.95</v>
      </c>
      <c r="X669" s="42">
        <f>IFERROR(__xludf.DUMMYFUNCTION("""COMPUTED_VALUE"""),0.0)</f>
        <v>0</v>
      </c>
      <c r="Y669" s="42">
        <f>IFERROR(__xludf.DUMMYFUNCTION("""COMPUTED_VALUE"""),0.0)</f>
        <v>0</v>
      </c>
      <c r="Z669" s="9">
        <f>IFERROR(__xludf.DUMMYFUNCTION("""COMPUTED_VALUE"""),0.0)</f>
        <v>0</v>
      </c>
      <c r="AA669" s="181">
        <f>IFERROR(__xludf.DUMMYFUNCTION("""COMPUTED_VALUE"""),0.0)</f>
        <v>0</v>
      </c>
      <c r="AB669" s="181">
        <f>IFERROR(__xludf.DUMMYFUNCTION("""COMPUTED_VALUE"""),0.0)</f>
        <v>0</v>
      </c>
      <c r="AC669" s="179">
        <f>IFERROR(__xludf.DUMMYFUNCTION("""COMPUTED_VALUE"""),0.0)</f>
        <v>0</v>
      </c>
      <c r="AD669" s="165">
        <f>IFERROR(__xludf.DUMMYFUNCTION("""COMPUTED_VALUE"""),0.0)</f>
        <v>0</v>
      </c>
      <c r="AE669" s="39" t="str">
        <f>IFERROR(__xludf.DUMMYFUNCTION("""COMPUTED_VALUE"""),"Hiroshi Yamakawa")</f>
        <v>Hiroshi Yamakawa</v>
      </c>
      <c r="AF669" s="39" t="str">
        <f>IFERROR(__xludf.DUMMYFUNCTION("""COMPUTED_VALUE"""),"HY18NeocorticalInterareaSignals")</f>
        <v>HY18NeocorticalInterareaSignals</v>
      </c>
      <c r="AG669" s="39"/>
      <c r="AH669" s="39"/>
      <c r="AI669" s="165"/>
      <c r="AJ669" s="165"/>
      <c r="AK669" s="111"/>
      <c r="AL669" s="111"/>
      <c r="AM669" s="111"/>
      <c r="AN669" s="111"/>
      <c r="AO669" s="111"/>
      <c r="AP669" s="111"/>
      <c r="AQ669" s="116"/>
      <c r="AR669" s="116"/>
      <c r="AS669" s="116"/>
    </row>
    <row r="670">
      <c r="A670" s="42" t="str">
        <f>IFERROR(__xludf.DUMMYFUNCTION("""COMPUTED_VALUE"""),"R")</f>
        <v>R</v>
      </c>
      <c r="B670" s="42"/>
      <c r="C670" s="42"/>
      <c r="D670" s="42" t="str">
        <f>IFERROR(__xludf.DUMMYFUNCTION("""COMPUTED_VALUE"""),"TRN_core")</f>
        <v>TRN_core</v>
      </c>
      <c r="E670" s="42"/>
      <c r="F670" s="42"/>
      <c r="G670" s="42"/>
      <c r="H670" s="42" t="str">
        <f>IFERROR(__xludf.DUMMYFUNCTION("""COMPUTED_VALUE"""),"")</f>
        <v/>
      </c>
      <c r="I670" s="42" t="str">
        <f>IFERROR(__xludf.DUMMYFUNCTION("""COMPUTED_VALUE"""),"Wei, 2016")</f>
        <v>Wei, 2016</v>
      </c>
      <c r="J670" s="42"/>
      <c r="K670" s="42"/>
      <c r="L670" s="42"/>
      <c r="M670" s="42"/>
      <c r="N670" s="42"/>
      <c r="O670" s="131" t="str">
        <f>IFERROR(__xludf.DUMMYFUNCTION("""COMPUTED_VALUE"""),"DOC")</f>
        <v>DOC</v>
      </c>
      <c r="P670" s="9" t="str">
        <f>IFERROR(__xludf.DUMMYFUNCTION("""COMPUTED_VALUE"""),"The Journal of Neuroscience")</f>
        <v>The Journal of Neuroscience</v>
      </c>
      <c r="Q670" s="9"/>
      <c r="R670" s="179" t="str">
        <f>IFERROR(__xludf.DUMMYFUNCTION("""COMPUTED_VALUE"""),"TRN_core (00/00) [Bonjean, 2012][Rodriguez, 2004][Wei, 2016];
")</f>
        <v>TRN_core (00/00) [Bonjean, 2012][Rodriguez, 2004][Wei, 2016];
</v>
      </c>
      <c r="S670" s="179" t="str">
        <f>IFERROR(__xludf.DUMMYFUNCTION("""COMPUTED_VALUE"""),"RTRN_core")</f>
        <v>RTRN_core</v>
      </c>
      <c r="T670" s="179" t="str">
        <f>IFERROR(__xludf.DUMMYFUNCTION("""COMPUTED_VALUE"""),"[Wei, 2016]")</f>
        <v>[Wei, 2016]</v>
      </c>
      <c r="U670" s="179">
        <f>IFERROR(__xludf.DUMMYFUNCTION("""COMPUTED_VALUE"""),0.0)</f>
        <v>0</v>
      </c>
      <c r="V670" s="180">
        <f>IFERROR(__xludf.DUMMYFUNCTION("""COMPUTED_VALUE"""),0.0)</f>
        <v>0</v>
      </c>
      <c r="W670" s="180">
        <f>IFERROR(__xludf.DUMMYFUNCTION("""COMPUTED_VALUE"""),0.95)</f>
        <v>0.95</v>
      </c>
      <c r="X670" s="42">
        <f>IFERROR(__xludf.DUMMYFUNCTION("""COMPUTED_VALUE"""),0.0)</f>
        <v>0</v>
      </c>
      <c r="Y670" s="42">
        <f>IFERROR(__xludf.DUMMYFUNCTION("""COMPUTED_VALUE"""),0.0)</f>
        <v>0</v>
      </c>
      <c r="Z670" s="9">
        <f>IFERROR(__xludf.DUMMYFUNCTION("""COMPUTED_VALUE"""),0.0)</f>
        <v>0</v>
      </c>
      <c r="AA670" s="181">
        <f>IFERROR(__xludf.DUMMYFUNCTION("""COMPUTED_VALUE"""),0.0)</f>
        <v>0</v>
      </c>
      <c r="AB670" s="181">
        <f>IFERROR(__xludf.DUMMYFUNCTION("""COMPUTED_VALUE"""),0.0)</f>
        <v>0</v>
      </c>
      <c r="AC670" s="179">
        <f>IFERROR(__xludf.DUMMYFUNCTION("""COMPUTED_VALUE"""),0.0)</f>
        <v>0</v>
      </c>
      <c r="AD670" s="165">
        <f>IFERROR(__xludf.DUMMYFUNCTION("""COMPUTED_VALUE"""),0.0)</f>
        <v>0</v>
      </c>
      <c r="AE670" s="39" t="str">
        <f>IFERROR(__xludf.DUMMYFUNCTION("""COMPUTED_VALUE"""),"Hiroshi Yamakawa")</f>
        <v>Hiroshi Yamakawa</v>
      </c>
      <c r="AF670" s="39" t="str">
        <f>IFERROR(__xludf.DUMMYFUNCTION("""COMPUTED_VALUE"""),"HY18NeocorticalInterareaSignals")</f>
        <v>HY18NeocorticalInterareaSignals</v>
      </c>
      <c r="AG670" s="39"/>
      <c r="AH670" s="39"/>
      <c r="AI670" s="165"/>
      <c r="AJ670" s="165"/>
      <c r="AK670" s="111"/>
      <c r="AL670" s="111"/>
      <c r="AM670" s="111"/>
      <c r="AN670" s="111"/>
      <c r="AO670" s="111"/>
      <c r="AP670" s="111"/>
      <c r="AQ670" s="116"/>
      <c r="AR670" s="116"/>
      <c r="AS670" s="116"/>
    </row>
    <row r="671">
      <c r="A671" s="42" t="str">
        <f>IFERROR(__xludf.DUMMYFUNCTION("""COMPUTED_VALUE"""),"R")</f>
        <v>R</v>
      </c>
      <c r="B671" s="42"/>
      <c r="C671" s="42"/>
      <c r="D671" s="42" t="str">
        <f>IFERROR(__xludf.DUMMYFUNCTION("""COMPUTED_VALUE"""),"TRN_matrix")</f>
        <v>TRN_matrix</v>
      </c>
      <c r="E671" s="42"/>
      <c r="F671" s="42"/>
      <c r="G671" s="42"/>
      <c r="H671" s="42" t="str">
        <f>IFERROR(__xludf.DUMMYFUNCTION("""COMPUTED_VALUE"""),"")</f>
        <v/>
      </c>
      <c r="I671" s="42" t="str">
        <f>IFERROR(__xludf.DUMMYFUNCTION("""COMPUTED_VALUE"""),"Wei, 2016")</f>
        <v>Wei, 2016</v>
      </c>
      <c r="J671" s="42"/>
      <c r="K671" s="42"/>
      <c r="L671" s="42"/>
      <c r="M671" s="42"/>
      <c r="N671" s="42"/>
      <c r="O671" s="31" t="str">
        <f>IFERROR(__xludf.DUMMYFUNCTION("""COMPUTED_VALUE"""),"DOC")</f>
        <v>DOC</v>
      </c>
      <c r="P671" s="9" t="str">
        <f>IFERROR(__xludf.DUMMYFUNCTION("""COMPUTED_VALUE"""),"The Journal of Neuroscience")</f>
        <v>The Journal of Neuroscience</v>
      </c>
      <c r="Q671" s="9"/>
      <c r="R671" s="179" t="str">
        <f>IFERROR(__xludf.DUMMYFUNCTION("""COMPUTED_VALUE"""),"TRN_matrix (00/00) [Bonjean, 2012][Wei, 2016];
")</f>
        <v>TRN_matrix (00/00) [Bonjean, 2012][Wei, 2016];
</v>
      </c>
      <c r="S671" s="179" t="str">
        <f>IFERROR(__xludf.DUMMYFUNCTION("""COMPUTED_VALUE"""),"RTRN_matrix")</f>
        <v>RTRN_matrix</v>
      </c>
      <c r="T671" s="179" t="str">
        <f>IFERROR(__xludf.DUMMYFUNCTION("""COMPUTED_VALUE"""),"[Wei, 2016]")</f>
        <v>[Wei, 2016]</v>
      </c>
      <c r="U671" s="179">
        <f>IFERROR(__xludf.DUMMYFUNCTION("""COMPUTED_VALUE"""),0.0)</f>
        <v>0</v>
      </c>
      <c r="V671" s="180">
        <f>IFERROR(__xludf.DUMMYFUNCTION("""COMPUTED_VALUE"""),0.0)</f>
        <v>0</v>
      </c>
      <c r="W671" s="180">
        <f>IFERROR(__xludf.DUMMYFUNCTION("""COMPUTED_VALUE"""),0.95)</f>
        <v>0.95</v>
      </c>
      <c r="X671" s="42">
        <f>IFERROR(__xludf.DUMMYFUNCTION("""COMPUTED_VALUE"""),0.0)</f>
        <v>0</v>
      </c>
      <c r="Y671" s="42">
        <f>IFERROR(__xludf.DUMMYFUNCTION("""COMPUTED_VALUE"""),0.0)</f>
        <v>0</v>
      </c>
      <c r="Z671" s="9">
        <f>IFERROR(__xludf.DUMMYFUNCTION("""COMPUTED_VALUE"""),0.0)</f>
        <v>0</v>
      </c>
      <c r="AA671" s="181">
        <f>IFERROR(__xludf.DUMMYFUNCTION("""COMPUTED_VALUE"""),0.0)</f>
        <v>0</v>
      </c>
      <c r="AB671" s="181">
        <f>IFERROR(__xludf.DUMMYFUNCTION("""COMPUTED_VALUE"""),0.0)</f>
        <v>0</v>
      </c>
      <c r="AC671" s="179">
        <f>IFERROR(__xludf.DUMMYFUNCTION("""COMPUTED_VALUE"""),0.0)</f>
        <v>0</v>
      </c>
      <c r="AD671" s="165">
        <f>IFERROR(__xludf.DUMMYFUNCTION("""COMPUTED_VALUE"""),0.0)</f>
        <v>0</v>
      </c>
      <c r="AE671" s="39" t="str">
        <f>IFERROR(__xludf.DUMMYFUNCTION("""COMPUTED_VALUE"""),"Hiroshi Yamakawa")</f>
        <v>Hiroshi Yamakawa</v>
      </c>
      <c r="AF671" s="39" t="str">
        <f>IFERROR(__xludf.DUMMYFUNCTION("""COMPUTED_VALUE"""),"HY18NeocorticalInterareaSignals")</f>
        <v>HY18NeocorticalInterareaSignals</v>
      </c>
      <c r="AG671" s="39"/>
      <c r="AH671" s="39"/>
      <c r="AI671" s="165"/>
      <c r="AJ671" s="165"/>
      <c r="AK671" s="111"/>
      <c r="AL671" s="111"/>
      <c r="AM671" s="111"/>
      <c r="AN671" s="111"/>
      <c r="AO671" s="111"/>
      <c r="AP671" s="111"/>
      <c r="AQ671" s="116"/>
      <c r="AR671" s="116"/>
      <c r="AS671" s="116"/>
    </row>
    <row r="672">
      <c r="A672" s="42" t="str">
        <f>IFERROR(__xludf.DUMMYFUNCTION("""COMPUTED_VALUE"""),"RCN")</f>
        <v>RCN</v>
      </c>
      <c r="B672" s="42"/>
      <c r="C672" s="42"/>
      <c r="D672" s="42" t="str">
        <f>IFERROR(__xludf.DUMMYFUNCTION("""COMPUTED_VALUE"""),"")</f>
        <v/>
      </c>
      <c r="E672" s="42"/>
      <c r="F672" s="42"/>
      <c r="G672" s="42"/>
      <c r="H672" s="42" t="str">
        <f>IFERROR(__xludf.DUMMYFUNCTION("""COMPUTED_VALUE"""),"")</f>
        <v/>
      </c>
      <c r="I672" s="42" t="str">
        <f>IFERROR(__xludf.DUMMYFUNCTION("""COMPUTED_VALUE"""),"Pitkänen, 2000")</f>
        <v>Pitkänen, 2000</v>
      </c>
      <c r="J672" s="42" t="str">
        <f>IFERROR(__xludf.DUMMYFUNCTION("""COMPUTED_VALUE"""),"Rat")</f>
        <v>Rat</v>
      </c>
      <c r="K672" s="42" t="str">
        <f>IFERROR(__xludf.DUMMYFUNCTION("""COMPUTED_VALUE"""),"Various tracing")</f>
        <v>Various tracing</v>
      </c>
      <c r="L672" s="42"/>
      <c r="M672" s="42" t="str">
        <f>IFERROR(__xludf.DUMMYFUNCTION("""COMPUTED_VALUE"""),"fig.3-fig.12 (to be specified)")</f>
        <v>fig.3-fig.12 (to be specified)</v>
      </c>
      <c r="N672" s="42"/>
      <c r="O672" s="31" t="str">
        <f>IFERROR(__xludf.DUMMYFUNCTION("""COMPUTED_VALUE"""),"DOC(alt)")</f>
        <v>DOC(alt)</v>
      </c>
      <c r="P672" s="9" t="str">
        <f>IFERROR(__xludf.DUMMYFUNCTION("""COMPUTED_VALUE"""),"Folia morphologica")</f>
        <v>Folia morphologica</v>
      </c>
      <c r="Q672" s="9" t="str">
        <f>IFERROR(__xludf.DUMMYFUNCTION("""COMPUTED_VALUE"""),"Review")</f>
        <v>Review</v>
      </c>
      <c r="R672" s="179" t="str">
        <f>IFERROR(__xludf.DUMMYFUNCTION("""COMPUTED_VALUE""")," (00/00) [Pitkänen, 2000];
")</f>
        <v> (00/00) [Pitkänen, 2000];
</v>
      </c>
      <c r="S672" s="179" t="str">
        <f>IFERROR(__xludf.DUMMYFUNCTION("""COMPUTED_VALUE"""),"RCN")</f>
        <v>RCN</v>
      </c>
      <c r="T672" s="179" t="str">
        <f>IFERROR(__xludf.DUMMYFUNCTION("""COMPUTED_VALUE"""),"[Pitkänen, 2000]")</f>
        <v>[Pitkänen, 2000]</v>
      </c>
      <c r="U672" s="179">
        <f>IFERROR(__xludf.DUMMYFUNCTION("""COMPUTED_VALUE"""),0.0)</f>
        <v>0</v>
      </c>
      <c r="V672" s="180">
        <f>IFERROR(__xludf.DUMMYFUNCTION("""COMPUTED_VALUE"""),0.0)</f>
        <v>0</v>
      </c>
      <c r="W672" s="180">
        <f>IFERROR(__xludf.DUMMYFUNCTION("""COMPUTED_VALUE"""),0.95)</f>
        <v>0.95</v>
      </c>
      <c r="X672" s="42">
        <f>IFERROR(__xludf.DUMMYFUNCTION("""COMPUTED_VALUE"""),0.8)</f>
        <v>0.8</v>
      </c>
      <c r="Y672" s="42">
        <f>IFERROR(__xludf.DUMMYFUNCTION("""COMPUTED_VALUE"""),0.6)</f>
        <v>0.6</v>
      </c>
      <c r="Z672" s="9">
        <f>IFERROR(__xludf.DUMMYFUNCTION("""COMPUTED_VALUE"""),0.9)</f>
        <v>0.9</v>
      </c>
      <c r="AA672" s="181">
        <f>IFERROR(__xludf.DUMMYFUNCTION("""COMPUTED_VALUE"""),0.0)</f>
        <v>0</v>
      </c>
      <c r="AB672" s="181">
        <f>IFERROR(__xludf.DUMMYFUNCTION("""COMPUTED_VALUE"""),0.0)</f>
        <v>0</v>
      </c>
      <c r="AC672" s="179">
        <f>IFERROR(__xludf.DUMMYFUNCTION("""COMPUTED_VALUE"""),0.0)</f>
        <v>0</v>
      </c>
      <c r="AD672" s="165">
        <f>IFERROR(__xludf.DUMMYFUNCTION("""COMPUTED_VALUE"""),0.0)</f>
        <v>0</v>
      </c>
      <c r="AE672" s="39" t="str">
        <f>IFERROR(__xludf.DUMMYFUNCTION("""COMPUTED_VALUE"""),"Tatsuya Miyamoto")</f>
        <v>Tatsuya Miyamoto</v>
      </c>
      <c r="AF672" s="39" t="str">
        <f>IFERROR(__xludf.DUMMYFUNCTION("""COMPUTED_VALUE"""),"TM21Amygdala")</f>
        <v>TM21Amygdala</v>
      </c>
      <c r="AG672" s="39"/>
      <c r="AH672" s="39"/>
      <c r="AI672" s="165"/>
      <c r="AJ672" s="165"/>
      <c r="AK672" s="111"/>
      <c r="AL672" s="111"/>
      <c r="AM672" s="111"/>
      <c r="AN672" s="111"/>
      <c r="AO672" s="111"/>
      <c r="AP672" s="111"/>
      <c r="AQ672" s="116"/>
      <c r="AR672" s="116"/>
      <c r="AS672" s="116"/>
    </row>
    <row r="673">
      <c r="A673" s="42" t="str">
        <f>IFERROR(__xludf.DUMMYFUNCTION("""COMPUTED_VALUE"""),"Re")</f>
        <v>Re</v>
      </c>
      <c r="B673" s="42"/>
      <c r="C673" s="42"/>
      <c r="D673" s="42" t="str">
        <f>IFERROR(__xludf.DUMMYFUNCTION("""COMPUTED_VALUE"""),"Me")</f>
        <v>Me</v>
      </c>
      <c r="E673" s="42"/>
      <c r="F673" s="42"/>
      <c r="G673" s="42"/>
      <c r="H673" s="42" t="str">
        <f>IFERROR(__xludf.DUMMYFUNCTION("""COMPUTED_VALUE"""),"")</f>
        <v/>
      </c>
      <c r="I673" s="42" t="str">
        <f>IFERROR(__xludf.DUMMYFUNCTION("""COMPUTED_VALUE"""),"Pitkänen, 2000")</f>
        <v>Pitkänen, 2000</v>
      </c>
      <c r="J673" s="42" t="str">
        <f>IFERROR(__xludf.DUMMYFUNCTION("""COMPUTED_VALUE"""),"Rat")</f>
        <v>Rat</v>
      </c>
      <c r="K673" s="42" t="str">
        <f>IFERROR(__xludf.DUMMYFUNCTION("""COMPUTED_VALUE"""),"Various tracing")</f>
        <v>Various tracing</v>
      </c>
      <c r="L673" s="42"/>
      <c r="M673" s="42" t="str">
        <f>IFERROR(__xludf.DUMMYFUNCTION("""COMPUTED_VALUE"""),"fig.3-fig.12 (to be specified)")</f>
        <v>fig.3-fig.12 (to be specified)</v>
      </c>
      <c r="N673" s="42"/>
      <c r="O673" s="31" t="str">
        <f>IFERROR(__xludf.DUMMYFUNCTION("""COMPUTED_VALUE"""),"DOC(alt)")</f>
        <v>DOC(alt)</v>
      </c>
      <c r="P673" s="9" t="str">
        <f>IFERROR(__xludf.DUMMYFUNCTION("""COMPUTED_VALUE"""),"Folia morphologica")</f>
        <v>Folia morphologica</v>
      </c>
      <c r="Q673" s="9" t="str">
        <f>IFERROR(__xludf.DUMMYFUNCTION("""COMPUTED_VALUE"""),"Review")</f>
        <v>Review</v>
      </c>
      <c r="R673" s="179" t="str">
        <f>IFERROR(__xludf.DUMMYFUNCTION("""COMPUTED_VALUE"""),"Me (00/00) [Pitkänen, 2000];
")</f>
        <v>Me (00/00) [Pitkänen, 2000];
</v>
      </c>
      <c r="S673" s="179" t="str">
        <f>IFERROR(__xludf.DUMMYFUNCTION("""COMPUTED_VALUE"""),"ReMe")</f>
        <v>ReMe</v>
      </c>
      <c r="T673" s="179" t="str">
        <f>IFERROR(__xludf.DUMMYFUNCTION("""COMPUTED_VALUE"""),"[Pitkänen, 2000]")</f>
        <v>[Pitkänen, 2000]</v>
      </c>
      <c r="U673" s="179">
        <f>IFERROR(__xludf.DUMMYFUNCTION("""COMPUTED_VALUE"""),0.0)</f>
        <v>0</v>
      </c>
      <c r="V673" s="180">
        <f>IFERROR(__xludf.DUMMYFUNCTION("""COMPUTED_VALUE"""),0.0)</f>
        <v>0</v>
      </c>
      <c r="W673" s="180">
        <f>IFERROR(__xludf.DUMMYFUNCTION("""COMPUTED_VALUE"""),0.95)</f>
        <v>0.95</v>
      </c>
      <c r="X673" s="42">
        <f>IFERROR(__xludf.DUMMYFUNCTION("""COMPUTED_VALUE"""),0.8)</f>
        <v>0.8</v>
      </c>
      <c r="Y673" s="42">
        <f>IFERROR(__xludf.DUMMYFUNCTION("""COMPUTED_VALUE"""),0.6)</f>
        <v>0.6</v>
      </c>
      <c r="Z673" s="9">
        <f>IFERROR(__xludf.DUMMYFUNCTION("""COMPUTED_VALUE"""),0.9)</f>
        <v>0.9</v>
      </c>
      <c r="AA673" s="181">
        <f>IFERROR(__xludf.DUMMYFUNCTION("""COMPUTED_VALUE"""),0.0)</f>
        <v>0</v>
      </c>
      <c r="AB673" s="181">
        <f>IFERROR(__xludf.DUMMYFUNCTION("""COMPUTED_VALUE"""),0.0)</f>
        <v>0</v>
      </c>
      <c r="AC673" s="179">
        <f>IFERROR(__xludf.DUMMYFUNCTION("""COMPUTED_VALUE"""),0.0)</f>
        <v>0</v>
      </c>
      <c r="AD673" s="165">
        <f>IFERROR(__xludf.DUMMYFUNCTION("""COMPUTED_VALUE"""),0.0)</f>
        <v>0</v>
      </c>
      <c r="AE673" s="39" t="str">
        <f>IFERROR(__xludf.DUMMYFUNCTION("""COMPUTED_VALUE"""),"Tatsuya Miyamoto")</f>
        <v>Tatsuya Miyamoto</v>
      </c>
      <c r="AF673" s="39" t="str">
        <f>IFERROR(__xludf.DUMMYFUNCTION("""COMPUTED_VALUE"""),"TM21Amygdala")</f>
        <v>TM21Amygdala</v>
      </c>
      <c r="AG673" s="39"/>
      <c r="AH673" s="39"/>
      <c r="AI673" s="165"/>
      <c r="AJ673" s="165"/>
      <c r="AK673" s="111"/>
      <c r="AL673" s="111"/>
      <c r="AM673" s="111"/>
      <c r="AN673" s="111"/>
      <c r="AO673" s="111"/>
      <c r="AP673" s="111"/>
      <c r="AQ673" s="116"/>
      <c r="AR673" s="116"/>
      <c r="AS673" s="116"/>
    </row>
    <row r="674">
      <c r="A674" s="42" t="str">
        <f>IFERROR(__xludf.DUMMYFUNCTION("""COMPUTED_VALUE"""),"Ret")</f>
        <v>Ret</v>
      </c>
      <c r="B674" s="42"/>
      <c r="C674" s="42"/>
      <c r="D674" s="42" t="str">
        <f>IFERROR(__xludf.DUMMYFUNCTION("""COMPUTED_VALUE"""),"LG")</f>
        <v>LG</v>
      </c>
      <c r="E674" s="42"/>
      <c r="F674" s="42"/>
      <c r="G674" s="42"/>
      <c r="H674" s="42" t="str">
        <f>IFERROR(__xludf.DUMMYFUNCTION("""COMPUTED_VALUE"""),"")</f>
        <v/>
      </c>
      <c r="I674" s="42" t="str">
        <f>IFERROR(__xludf.DUMMYFUNCTION("""COMPUTED_VALUE"""),"author, year")</f>
        <v>author, year</v>
      </c>
      <c r="J674" s="42"/>
      <c r="K674" s="42"/>
      <c r="L674" s="42"/>
      <c r="M674" s="42"/>
      <c r="N674" s="42"/>
      <c r="O674" s="31" t="str">
        <f>IFERROR(__xludf.DUMMYFUNCTION("""COMPUTED_VALUE"""),"#Error: Reference ID")</f>
        <v>#Error: Reference ID</v>
      </c>
      <c r="P674" s="9" t="str">
        <f>IFERROR(__xludf.DUMMYFUNCTION("""COMPUTED_VALUE"""),"#Error: Reference ID")</f>
        <v>#Error: Reference ID</v>
      </c>
      <c r="Q674" s="9" t="str">
        <f>IFERROR(__xludf.DUMMYFUNCTION("""COMPUTED_VALUE"""),"#Error: Reference ID")</f>
        <v>#Error: Reference ID</v>
      </c>
      <c r="R674" s="179" t="str">
        <f>IFERROR(__xludf.DUMMYFUNCTION("""COMPUTED_VALUE"""),"LG (00/00) [author, year];
")</f>
        <v>LG (00/00) [author, year];
</v>
      </c>
      <c r="S674" s="179" t="str">
        <f>IFERROR(__xludf.DUMMYFUNCTION("""COMPUTED_VALUE"""),"RetLG")</f>
        <v>RetLG</v>
      </c>
      <c r="T674" s="179" t="str">
        <f>IFERROR(__xludf.DUMMYFUNCTION("""COMPUTED_VALUE"""),"[author, year]")</f>
        <v>[author, year]</v>
      </c>
      <c r="U674" s="179">
        <f>IFERROR(__xludf.DUMMYFUNCTION("""COMPUTED_VALUE"""),0.0)</f>
        <v>0</v>
      </c>
      <c r="V674" s="180">
        <f>IFERROR(__xludf.DUMMYFUNCTION("""COMPUTED_VALUE"""),0.0)</f>
        <v>0</v>
      </c>
      <c r="W674" s="180">
        <f>IFERROR(__xludf.DUMMYFUNCTION("""COMPUTED_VALUE"""),0.0)</f>
        <v>0</v>
      </c>
      <c r="X674" s="42">
        <f>IFERROR(__xludf.DUMMYFUNCTION("""COMPUTED_VALUE"""),0.0)</f>
        <v>0</v>
      </c>
      <c r="Y674" s="42">
        <f>IFERROR(__xludf.DUMMYFUNCTION("""COMPUTED_VALUE"""),0.0)</f>
        <v>0</v>
      </c>
      <c r="Z674" s="9">
        <f>IFERROR(__xludf.DUMMYFUNCTION("""COMPUTED_VALUE"""),0.0)</f>
        <v>0</v>
      </c>
      <c r="AA674" s="181">
        <f>IFERROR(__xludf.DUMMYFUNCTION("""COMPUTED_VALUE"""),0.0)</f>
        <v>0</v>
      </c>
      <c r="AB674" s="181">
        <f>IFERROR(__xludf.DUMMYFUNCTION("""COMPUTED_VALUE"""),0.0)</f>
        <v>0</v>
      </c>
      <c r="AC674" s="179">
        <f>IFERROR(__xludf.DUMMYFUNCTION("""COMPUTED_VALUE"""),0.0)</f>
        <v>0</v>
      </c>
      <c r="AD674" s="165">
        <f>IFERROR(__xludf.DUMMYFUNCTION("""COMPUTED_VALUE"""),0.0)</f>
        <v>0</v>
      </c>
      <c r="AE674" s="39" t="str">
        <f>IFERROR(__xludf.DUMMYFUNCTION("""COMPUTED_VALUE"""),"Hiroshi Yamakawa")</f>
        <v>Hiroshi Yamakawa</v>
      </c>
      <c r="AF674" s="39" t="str">
        <f>IFERROR(__xludf.DUMMYFUNCTION("""COMPUTED_VALUE"""),"HY18NeocorticalInterareaSignals")</f>
        <v>HY18NeocorticalInterareaSignals</v>
      </c>
      <c r="AG674" s="39"/>
      <c r="AH674" s="39"/>
      <c r="AI674" s="165"/>
      <c r="AJ674" s="165"/>
      <c r="AK674" s="111"/>
      <c r="AL674" s="111"/>
      <c r="AM674" s="111"/>
      <c r="AN674" s="111"/>
      <c r="AO674" s="111"/>
      <c r="AP674" s="111"/>
      <c r="AQ674" s="116"/>
      <c r="AR674" s="116"/>
      <c r="AS674" s="116"/>
    </row>
    <row r="675">
      <c r="A675" s="42" t="str">
        <f>IFERROR(__xludf.DUMMYFUNCTION("""COMPUTED_VALUE"""),"RN")</f>
        <v>RN</v>
      </c>
      <c r="B675" s="42"/>
      <c r="C675" s="42"/>
      <c r="D675" s="42" t="str">
        <f>IFERROR(__xludf.DUMMYFUNCTION("""COMPUTED_VALUE"""),"eSpC")</f>
        <v>eSpC</v>
      </c>
      <c r="E675" s="42"/>
      <c r="F675" s="42"/>
      <c r="G675" s="42"/>
      <c r="H675" s="42" t="str">
        <f>IFERROR(__xludf.DUMMYFUNCTION("""COMPUTED_VALUE"""),"")</f>
        <v/>
      </c>
      <c r="I675" s="42" t="str">
        <f>IFERROR(__xludf.DUMMYFUNCTION("""COMPUTED_VALUE"""),"Guo, 2020")</f>
        <v>Guo, 2020</v>
      </c>
      <c r="J675" s="42"/>
      <c r="K675" s="42"/>
      <c r="L675" s="42"/>
      <c r="M675" s="42"/>
      <c r="N675" s="42"/>
      <c r="O675" s="31" t="str">
        <f>IFERROR(__xludf.DUMMYFUNCTION("""COMPUTED_VALUE"""),"DOC")</f>
        <v>DOC</v>
      </c>
      <c r="P675" s="9" t="str">
        <f>IFERROR(__xludf.DUMMYFUNCTION("""COMPUTED_VALUE"""),"-")</f>
        <v>-</v>
      </c>
      <c r="Q675" s="9"/>
      <c r="R675" s="179" t="str">
        <f>IFERROR(__xludf.DUMMYFUNCTION("""COMPUTED_VALUE"""),"eSpC (00/00) [Guo, 2020];
")</f>
        <v>eSpC (00/00) [Guo, 2020];
</v>
      </c>
      <c r="S675" s="179" t="str">
        <f>IFERROR(__xludf.DUMMYFUNCTION("""COMPUTED_VALUE"""),"RNeSpC")</f>
        <v>RNeSpC</v>
      </c>
      <c r="T675" s="179" t="str">
        <f>IFERROR(__xludf.DUMMYFUNCTION("""COMPUTED_VALUE"""),"[Guo, 2020]")</f>
        <v>[Guo, 2020]</v>
      </c>
      <c r="U675" s="179">
        <f>IFERROR(__xludf.DUMMYFUNCTION("""COMPUTED_VALUE"""),0.0)</f>
        <v>0</v>
      </c>
      <c r="V675" s="180">
        <f>IFERROR(__xludf.DUMMYFUNCTION("""COMPUTED_VALUE"""),0.0)</f>
        <v>0</v>
      </c>
      <c r="W675" s="180">
        <f>IFERROR(__xludf.DUMMYFUNCTION("""COMPUTED_VALUE"""),1.0)</f>
        <v>1</v>
      </c>
      <c r="X675" s="42">
        <f>IFERROR(__xludf.DUMMYFUNCTION("""COMPUTED_VALUE"""),0.0)</f>
        <v>0</v>
      </c>
      <c r="Y675" s="42">
        <f>IFERROR(__xludf.DUMMYFUNCTION("""COMPUTED_VALUE"""),0.0)</f>
        <v>0</v>
      </c>
      <c r="Z675" s="9">
        <f>IFERROR(__xludf.DUMMYFUNCTION("""COMPUTED_VALUE"""),0.0)</f>
        <v>0</v>
      </c>
      <c r="AA675" s="181">
        <f>IFERROR(__xludf.DUMMYFUNCTION("""COMPUTED_VALUE"""),0.0)</f>
        <v>0</v>
      </c>
      <c r="AB675" s="181">
        <f>IFERROR(__xludf.DUMMYFUNCTION("""COMPUTED_VALUE"""),0.0)</f>
        <v>0</v>
      </c>
      <c r="AC675" s="179">
        <f>IFERROR(__xludf.DUMMYFUNCTION("""COMPUTED_VALUE"""),0.0)</f>
        <v>0</v>
      </c>
      <c r="AD675" s="165">
        <f>IFERROR(__xludf.DUMMYFUNCTION("""COMPUTED_VALUE"""),0.0)</f>
        <v>0</v>
      </c>
      <c r="AE675" s="39" t="str">
        <f>IFERROR(__xludf.DUMMYFUNCTION("""COMPUTED_VALUE"""),"Hiroshi Yamakawa")</f>
        <v>Hiroshi Yamakawa</v>
      </c>
      <c r="AF675" s="39" t="str">
        <f>IFERROR(__xludf.DUMMYFUNCTION("""COMPUTED_VALUE"""),"HY20Cerebellum")</f>
        <v>HY20Cerebellum</v>
      </c>
      <c r="AG675" s="39"/>
      <c r="AH675" s="39"/>
      <c r="AI675" s="165"/>
      <c r="AJ675" s="165"/>
      <c r="AK675" s="111"/>
      <c r="AL675" s="111"/>
      <c r="AM675" s="111"/>
      <c r="AN675" s="111"/>
      <c r="AO675" s="111"/>
      <c r="AP675" s="111"/>
      <c r="AQ675" s="116"/>
      <c r="AR675" s="116"/>
      <c r="AS675" s="116"/>
    </row>
    <row r="676">
      <c r="A676" s="42" t="str">
        <f>IFERROR(__xludf.DUMMYFUNCTION("""COMPUTED_VALUE"""),"RNmc")</f>
        <v>RNmc</v>
      </c>
      <c r="B676" s="42"/>
      <c r="C676" s="42"/>
      <c r="D676" s="42" t="str">
        <f>IFERROR(__xludf.DUMMYFUNCTION("""COMPUTED_VALUE"""),"eSpC")</f>
        <v>eSpC</v>
      </c>
      <c r="E676" s="42"/>
      <c r="F676" s="42"/>
      <c r="G676" s="42"/>
      <c r="H676" s="42" t="str">
        <f>IFERROR(__xludf.DUMMYFUNCTION("""COMPUTED_VALUE"""),"")</f>
        <v/>
      </c>
      <c r="I676" s="42" t="str">
        <f>IFERROR(__xludf.DUMMYFUNCTION("""COMPUTED_VALUE"""),"Basile, 2021")</f>
        <v>Basile, 2021</v>
      </c>
      <c r="J676" s="42"/>
      <c r="K676" s="42"/>
      <c r="L676" s="42"/>
      <c r="M676" s="42"/>
      <c r="N676" s="42"/>
      <c r="O676" s="31" t="str">
        <f>IFERROR(__xludf.DUMMYFUNCTION("""COMPUTED_VALUE"""),"DOC")</f>
        <v>DOC</v>
      </c>
      <c r="P676" s="9" t="str">
        <f>IFERROR(__xludf.DUMMYFUNCTION("""COMPUTED_VALUE"""),"Brain Structure and Function")</f>
        <v>Brain Structure and Function</v>
      </c>
      <c r="Q676" s="9"/>
      <c r="R676" s="179" t="str">
        <f>IFERROR(__xludf.DUMMYFUNCTION("""COMPUTED_VALUE"""),"eSpC (00/00) [Basile, 2021];
")</f>
        <v>eSpC (00/00) [Basile, 2021];
</v>
      </c>
      <c r="S676" s="179" t="str">
        <f>IFERROR(__xludf.DUMMYFUNCTION("""COMPUTED_VALUE"""),"RNmceSpC")</f>
        <v>RNmceSpC</v>
      </c>
      <c r="T676" s="179" t="str">
        <f>IFERROR(__xludf.DUMMYFUNCTION("""COMPUTED_VALUE"""),"[Basile, 2021]")</f>
        <v>[Basile, 2021]</v>
      </c>
      <c r="U676" s="179">
        <f>IFERROR(__xludf.DUMMYFUNCTION("""COMPUTED_VALUE"""),0.0)</f>
        <v>0</v>
      </c>
      <c r="V676" s="180">
        <f>IFERROR(__xludf.DUMMYFUNCTION("""COMPUTED_VALUE"""),0.0)</f>
        <v>0</v>
      </c>
      <c r="W676" s="180">
        <f>IFERROR(__xludf.DUMMYFUNCTION("""COMPUTED_VALUE"""),0.95)</f>
        <v>0.95</v>
      </c>
      <c r="X676" s="42">
        <f>IFERROR(__xludf.DUMMYFUNCTION("""COMPUTED_VALUE"""),0.0)</f>
        <v>0</v>
      </c>
      <c r="Y676" s="42">
        <f>IFERROR(__xludf.DUMMYFUNCTION("""COMPUTED_VALUE"""),0.0)</f>
        <v>0</v>
      </c>
      <c r="Z676" s="9">
        <f>IFERROR(__xludf.DUMMYFUNCTION("""COMPUTED_VALUE"""),0.0)</f>
        <v>0</v>
      </c>
      <c r="AA676" s="181">
        <f>IFERROR(__xludf.DUMMYFUNCTION("""COMPUTED_VALUE"""),0.0)</f>
        <v>0</v>
      </c>
      <c r="AB676" s="181">
        <f>IFERROR(__xludf.DUMMYFUNCTION("""COMPUTED_VALUE"""),0.0)</f>
        <v>0</v>
      </c>
      <c r="AC676" s="179">
        <f>IFERROR(__xludf.DUMMYFUNCTION("""COMPUTED_VALUE"""),0.0)</f>
        <v>0</v>
      </c>
      <c r="AD676" s="165">
        <f>IFERROR(__xludf.DUMMYFUNCTION("""COMPUTED_VALUE"""),0.0)</f>
        <v>0</v>
      </c>
      <c r="AE676" s="39" t="str">
        <f>IFERROR(__xludf.DUMMYFUNCTION("""COMPUTED_VALUE"""),"Hiroshi Yamakawa")</f>
        <v>Hiroshi Yamakawa</v>
      </c>
      <c r="AF676" s="39" t="str">
        <f>IFERROR(__xludf.DUMMYFUNCTION("""COMPUTED_VALUE"""),"HY20Cerebellum")</f>
        <v>HY20Cerebellum</v>
      </c>
      <c r="AG676" s="39"/>
      <c r="AH676" s="39"/>
      <c r="AI676" s="165"/>
      <c r="AJ676" s="165"/>
      <c r="AK676" s="111"/>
      <c r="AL676" s="111"/>
      <c r="AM676" s="111"/>
      <c r="AN676" s="111"/>
      <c r="AO676" s="111"/>
      <c r="AP676" s="111"/>
      <c r="AQ676" s="116"/>
      <c r="AR676" s="116"/>
      <c r="AS676" s="116"/>
    </row>
    <row r="677">
      <c r="A677" s="42" t="str">
        <f>IFERROR(__xludf.DUMMYFUNCTION("""COMPUTED_VALUE"""),"RNpc")</f>
        <v>RNpc</v>
      </c>
      <c r="B677" s="42"/>
      <c r="C677" s="42"/>
      <c r="D677" s="42" t="str">
        <f>IFERROR(__xludf.DUMMYFUNCTION("""COMPUTED_VALUE"""),"IODT")</f>
        <v>IODT</v>
      </c>
      <c r="E677" s="42"/>
      <c r="F677" s="42"/>
      <c r="G677" s="42"/>
      <c r="H677" s="42" t="str">
        <f>IFERROR(__xludf.DUMMYFUNCTION("""COMPUTED_VALUE"""),"")</f>
        <v/>
      </c>
      <c r="I677" s="42" t="str">
        <f>IFERROR(__xludf.DUMMYFUNCTION("""COMPUTED_VALUE"""),"Basile, 2021")</f>
        <v>Basile, 2021</v>
      </c>
      <c r="J677" s="42"/>
      <c r="K677" s="42"/>
      <c r="L677" s="42"/>
      <c r="M677" s="42"/>
      <c r="N677" s="42"/>
      <c r="O677" s="31" t="str">
        <f>IFERROR(__xludf.DUMMYFUNCTION("""COMPUTED_VALUE"""),"DOC")</f>
        <v>DOC</v>
      </c>
      <c r="P677" s="9" t="str">
        <f>IFERROR(__xludf.DUMMYFUNCTION("""COMPUTED_VALUE"""),"Brain Structure and Function")</f>
        <v>Brain Structure and Function</v>
      </c>
      <c r="Q677" s="9"/>
      <c r="R677" s="179" t="str">
        <f>IFERROR(__xludf.DUMMYFUNCTION("""COMPUTED_VALUE"""),"IODT (00/00) [Basile, 2021];
")</f>
        <v>IODT (00/00) [Basile, 2021];
</v>
      </c>
      <c r="S677" s="179" t="str">
        <f>IFERROR(__xludf.DUMMYFUNCTION("""COMPUTED_VALUE"""),"RNpcIODT")</f>
        <v>RNpcIODT</v>
      </c>
      <c r="T677" s="179" t="str">
        <f>IFERROR(__xludf.DUMMYFUNCTION("""COMPUTED_VALUE"""),"[Basile, 2021]")</f>
        <v>[Basile, 2021]</v>
      </c>
      <c r="U677" s="179">
        <f>IFERROR(__xludf.DUMMYFUNCTION("""COMPUTED_VALUE"""),0.0)</f>
        <v>0</v>
      </c>
      <c r="V677" s="180">
        <f>IFERROR(__xludf.DUMMYFUNCTION("""COMPUTED_VALUE"""),0.0)</f>
        <v>0</v>
      </c>
      <c r="W677" s="180">
        <f>IFERROR(__xludf.DUMMYFUNCTION("""COMPUTED_VALUE"""),0.95)</f>
        <v>0.95</v>
      </c>
      <c r="X677" s="42">
        <f>IFERROR(__xludf.DUMMYFUNCTION("""COMPUTED_VALUE"""),0.0)</f>
        <v>0</v>
      </c>
      <c r="Y677" s="42">
        <f>IFERROR(__xludf.DUMMYFUNCTION("""COMPUTED_VALUE"""),0.0)</f>
        <v>0</v>
      </c>
      <c r="Z677" s="9">
        <f>IFERROR(__xludf.DUMMYFUNCTION("""COMPUTED_VALUE"""),0.0)</f>
        <v>0</v>
      </c>
      <c r="AA677" s="181">
        <f>IFERROR(__xludf.DUMMYFUNCTION("""COMPUTED_VALUE"""),0.0)</f>
        <v>0</v>
      </c>
      <c r="AB677" s="181">
        <f>IFERROR(__xludf.DUMMYFUNCTION("""COMPUTED_VALUE"""),0.0)</f>
        <v>0</v>
      </c>
      <c r="AC677" s="179">
        <f>IFERROR(__xludf.DUMMYFUNCTION("""COMPUTED_VALUE"""),0.0)</f>
        <v>0</v>
      </c>
      <c r="AD677" s="165">
        <f>IFERROR(__xludf.DUMMYFUNCTION("""COMPUTED_VALUE"""),0.0)</f>
        <v>0</v>
      </c>
      <c r="AE677" s="39" t="str">
        <f>IFERROR(__xludf.DUMMYFUNCTION("""COMPUTED_VALUE"""),"Hiroshi Yamakawa")</f>
        <v>Hiroshi Yamakawa</v>
      </c>
      <c r="AF677" s="39" t="str">
        <f>IFERROR(__xludf.DUMMYFUNCTION("""COMPUTED_VALUE"""),"HY20Cerebellum")</f>
        <v>HY20Cerebellum</v>
      </c>
      <c r="AG677" s="39"/>
      <c r="AH677" s="39"/>
      <c r="AI677" s="165"/>
      <c r="AJ677" s="165"/>
      <c r="AK677" s="111"/>
      <c r="AL677" s="111"/>
      <c r="AM677" s="111"/>
      <c r="AN677" s="111"/>
      <c r="AO677" s="111"/>
      <c r="AP677" s="111"/>
      <c r="AQ677" s="116"/>
      <c r="AR677" s="116"/>
      <c r="AS677" s="116"/>
    </row>
    <row r="678">
      <c r="A678" s="42" t="str">
        <f>IFERROR(__xludf.DUMMYFUNCTION("""COMPUTED_VALUE"""),"RSC_uc1")</f>
        <v>RSC_uc1</v>
      </c>
      <c r="B678" s="42"/>
      <c r="C678" s="42"/>
      <c r="D678" s="42" t="str">
        <f>IFERROR(__xludf.DUMMYFUNCTION("""COMPUTED_VALUE"""),"PrS")</f>
        <v>PrS</v>
      </c>
      <c r="E678" s="42"/>
      <c r="F678" s="42"/>
      <c r="G678" s="42"/>
      <c r="H678" s="42" t="str">
        <f>IFERROR(__xludf.DUMMYFUNCTION("""COMPUTED_VALUE"""),"")</f>
        <v/>
      </c>
      <c r="I678" s="42" t="str">
        <f>IFERROR(__xludf.DUMMYFUNCTION("""COMPUTED_VALUE"""),"Andersen, 2006")</f>
        <v>Andersen, 2006</v>
      </c>
      <c r="J678" s="42"/>
      <c r="K678" s="42"/>
      <c r="L678" s="42"/>
      <c r="M678" s="42"/>
      <c r="N678" s="42"/>
      <c r="O678" s="31" t="str">
        <f>IFERROR(__xludf.DUMMYFUNCTION("""COMPUTED_VALUE"""),"DOC")</f>
        <v>DOC</v>
      </c>
      <c r="P678" s="9" t="str">
        <f>IFERROR(__xludf.DUMMYFUNCTION("""COMPUTED_VALUE"""),"-")</f>
        <v>-</v>
      </c>
      <c r="Q678" s="9"/>
      <c r="R678" s="179" t="str">
        <f>IFERROR(__xludf.DUMMYFUNCTION("""COMPUTED_VALUE"""),"PrS (00/00) [Andersen, 2006];
")</f>
        <v>PrS (00/00) [Andersen, 2006];
</v>
      </c>
      <c r="S678" s="179" t="str">
        <f>IFERROR(__xludf.DUMMYFUNCTION("""COMPUTED_VALUE"""),"RSC_uc1PrS")</f>
        <v>RSC_uc1PrS</v>
      </c>
      <c r="T678" s="179" t="str">
        <f>IFERROR(__xludf.DUMMYFUNCTION("""COMPUTED_VALUE"""),"[Andersen, 2006]")</f>
        <v>[Andersen, 2006]</v>
      </c>
      <c r="U678" s="179">
        <f>IFERROR(__xludf.DUMMYFUNCTION("""COMPUTED_VALUE"""),0.0)</f>
        <v>0</v>
      </c>
      <c r="V678" s="180">
        <f>IFERROR(__xludf.DUMMYFUNCTION("""COMPUTED_VALUE"""),0.0)</f>
        <v>0</v>
      </c>
      <c r="W678" s="180">
        <f>IFERROR(__xludf.DUMMYFUNCTION("""COMPUTED_VALUE"""),1.0)</f>
        <v>1</v>
      </c>
      <c r="X678" s="42">
        <f>IFERROR(__xludf.DUMMYFUNCTION("""COMPUTED_VALUE"""),0.0)</f>
        <v>0</v>
      </c>
      <c r="Y678" s="42">
        <f>IFERROR(__xludf.DUMMYFUNCTION("""COMPUTED_VALUE"""),0.0)</f>
        <v>0</v>
      </c>
      <c r="Z678" s="9">
        <f>IFERROR(__xludf.DUMMYFUNCTION("""COMPUTED_VALUE"""),0.0)</f>
        <v>0</v>
      </c>
      <c r="AA678" s="181">
        <f>IFERROR(__xludf.DUMMYFUNCTION("""COMPUTED_VALUE"""),0.0)</f>
        <v>0</v>
      </c>
      <c r="AB678" s="181">
        <f>IFERROR(__xludf.DUMMYFUNCTION("""COMPUTED_VALUE"""),0.0)</f>
        <v>0</v>
      </c>
      <c r="AC678" s="179">
        <f>IFERROR(__xludf.DUMMYFUNCTION("""COMPUTED_VALUE"""),0.0)</f>
        <v>0</v>
      </c>
      <c r="AD678" s="165">
        <f>IFERROR(__xludf.DUMMYFUNCTION("""COMPUTED_VALUE"""),0.0)</f>
        <v>0</v>
      </c>
      <c r="AE678" s="39" t="str">
        <f>IFERROR(__xludf.DUMMYFUNCTION("""COMPUTED_VALUE"""),"Ayako Fukawa")</f>
        <v>Ayako Fukawa</v>
      </c>
      <c r="AF678" s="39" t="str">
        <f>IFERROR(__xludf.DUMMYFUNCTION("""COMPUTED_VALUE"""),"AT20HippocampalFormation")</f>
        <v>AT20HippocampalFormation</v>
      </c>
      <c r="AG678" s="39"/>
      <c r="AH678" s="39"/>
      <c r="AI678" s="165"/>
      <c r="AJ678" s="165"/>
      <c r="AK678" s="111"/>
      <c r="AL678" s="111"/>
      <c r="AM678" s="111"/>
      <c r="AN678" s="111"/>
      <c r="AO678" s="111"/>
      <c r="AP678" s="111"/>
      <c r="AQ678" s="116"/>
      <c r="AR678" s="116"/>
      <c r="AS678" s="116"/>
    </row>
    <row r="679">
      <c r="A679" s="42" t="str">
        <f>IFERROR(__xludf.DUMMYFUNCTION("""COMPUTED_VALUE"""),"RSC_uc1")</f>
        <v>RSC_uc1</v>
      </c>
      <c r="B679" s="42"/>
      <c r="C679" s="42"/>
      <c r="D679" s="42" t="str">
        <f>IFERROR(__xludf.DUMMYFUNCTION("""COMPUTED_VALUE"""),"MEC_V")</f>
        <v>MEC_V</v>
      </c>
      <c r="E679" s="42"/>
      <c r="F679" s="42"/>
      <c r="G679" s="42"/>
      <c r="H679" s="42" t="str">
        <f>IFERROR(__xludf.DUMMYFUNCTION("""COMPUTED_VALUE"""),"")</f>
        <v/>
      </c>
      <c r="I679" s="42" t="str">
        <f>IFERROR(__xludf.DUMMYFUNCTION("""COMPUTED_VALUE"""),"Witter, 2017")</f>
        <v>Witter, 2017</v>
      </c>
      <c r="J679" s="42"/>
      <c r="K679" s="42"/>
      <c r="L679" s="42"/>
      <c r="M679" s="42"/>
      <c r="N679" s="42"/>
      <c r="O679" s="31" t="str">
        <f>IFERROR(__xludf.DUMMYFUNCTION("""COMPUTED_VALUE"""),"#Error: Reference ID")</f>
        <v>#Error: Reference ID</v>
      </c>
      <c r="P679" s="9" t="str">
        <f>IFERROR(__xludf.DUMMYFUNCTION("""COMPUTED_VALUE"""),"#Error: Reference ID")</f>
        <v>#Error: Reference ID</v>
      </c>
      <c r="Q679" s="9" t="str">
        <f>IFERROR(__xludf.DUMMYFUNCTION("""COMPUTED_VALUE"""),"#Error: Reference ID")</f>
        <v>#Error: Reference ID</v>
      </c>
      <c r="R679" s="179" t="str">
        <f>IFERROR(__xludf.DUMMYFUNCTION("""COMPUTED_VALUE"""),"MEC_V (00/00) [Witter, 2017];
")</f>
        <v>MEC_V (00/00) [Witter, 2017];
</v>
      </c>
      <c r="S679" s="179" t="str">
        <f>IFERROR(__xludf.DUMMYFUNCTION("""COMPUTED_VALUE"""),"RSC_uc1MEC_V")</f>
        <v>RSC_uc1MEC_V</v>
      </c>
      <c r="T679" s="179" t="str">
        <f>IFERROR(__xludf.DUMMYFUNCTION("""COMPUTED_VALUE"""),"[Witter, 2017]")</f>
        <v>[Witter, 2017]</v>
      </c>
      <c r="U679" s="179">
        <f>IFERROR(__xludf.DUMMYFUNCTION("""COMPUTED_VALUE"""),0.0)</f>
        <v>0</v>
      </c>
      <c r="V679" s="180">
        <f>IFERROR(__xludf.DUMMYFUNCTION("""COMPUTED_VALUE"""),0.0)</f>
        <v>0</v>
      </c>
      <c r="W679" s="180">
        <f>IFERROR(__xludf.DUMMYFUNCTION("""COMPUTED_VALUE"""),0.0)</f>
        <v>0</v>
      </c>
      <c r="X679" s="42">
        <f>IFERROR(__xludf.DUMMYFUNCTION("""COMPUTED_VALUE"""),0.0)</f>
        <v>0</v>
      </c>
      <c r="Y679" s="42">
        <f>IFERROR(__xludf.DUMMYFUNCTION("""COMPUTED_VALUE"""),0.0)</f>
        <v>0</v>
      </c>
      <c r="Z679" s="9">
        <f>IFERROR(__xludf.DUMMYFUNCTION("""COMPUTED_VALUE"""),0.0)</f>
        <v>0</v>
      </c>
      <c r="AA679" s="181">
        <f>IFERROR(__xludf.DUMMYFUNCTION("""COMPUTED_VALUE"""),0.0)</f>
        <v>0</v>
      </c>
      <c r="AB679" s="181">
        <f>IFERROR(__xludf.DUMMYFUNCTION("""COMPUTED_VALUE"""),0.0)</f>
        <v>0</v>
      </c>
      <c r="AC679" s="179">
        <f>IFERROR(__xludf.DUMMYFUNCTION("""COMPUTED_VALUE"""),0.0)</f>
        <v>0</v>
      </c>
      <c r="AD679" s="165">
        <f>IFERROR(__xludf.DUMMYFUNCTION("""COMPUTED_VALUE"""),0.0)</f>
        <v>0</v>
      </c>
      <c r="AE679" s="39" t="str">
        <f>IFERROR(__xludf.DUMMYFUNCTION("""COMPUTED_VALUE"""),"Ayako Fukawa")</f>
        <v>Ayako Fukawa</v>
      </c>
      <c r="AF679" s="39" t="str">
        <f>IFERROR(__xludf.DUMMYFUNCTION("""COMPUTED_VALUE"""),"AT20HippocampalFormation")</f>
        <v>AT20HippocampalFormation</v>
      </c>
      <c r="AG679" s="39"/>
      <c r="AH679" s="39"/>
      <c r="AI679" s="165"/>
      <c r="AJ679" s="165"/>
      <c r="AK679" s="111"/>
      <c r="AL679" s="111"/>
      <c r="AM679" s="111"/>
      <c r="AN679" s="111"/>
      <c r="AO679" s="111"/>
      <c r="AP679" s="111"/>
      <c r="AQ679" s="116"/>
      <c r="AR679" s="116"/>
      <c r="AS679" s="116"/>
    </row>
    <row r="680">
      <c r="A680" s="42" t="str">
        <f>IFERROR(__xludf.DUMMYFUNCTION("""COMPUTED_VALUE"""),"rSCI")</f>
        <v>rSCI</v>
      </c>
      <c r="B680" s="42"/>
      <c r="C680" s="42"/>
      <c r="D680" s="42" t="str">
        <f>IFERROR(__xludf.DUMMYFUNCTION("""COMPUTED_VALUE"""),"dcMRF")</f>
        <v>dcMRF</v>
      </c>
      <c r="E680" s="42"/>
      <c r="F680" s="42"/>
      <c r="G680" s="42"/>
      <c r="H680" s="42" t="str">
        <f>IFERROR(__xludf.DUMMYFUNCTION("""COMPUTED_VALUE"""),"")</f>
        <v/>
      </c>
      <c r="I680" s="42" t="str">
        <f>IFERROR(__xludf.DUMMYFUNCTION("""COMPUTED_VALUE"""),"Cohen, 1984")</f>
        <v>Cohen, 1984</v>
      </c>
      <c r="J680" s="42"/>
      <c r="K680" s="42"/>
      <c r="L680" s="42"/>
      <c r="M680" s="42"/>
      <c r="N680" s="42"/>
      <c r="O680" s="31" t="str">
        <f>IFERROR(__xludf.DUMMYFUNCTION("""COMPUTED_VALUE"""),"DOC")</f>
        <v>DOC</v>
      </c>
      <c r="P680" s="9" t="str">
        <f>IFERROR(__xludf.DUMMYFUNCTION("""COMPUTED_VALUE"""),"Experimental Brain Research")</f>
        <v>Experimental Brain Research</v>
      </c>
      <c r="Q680" s="9"/>
      <c r="R680" s="179" t="str">
        <f>IFERROR(__xludf.DUMMYFUNCTION("""COMPUTED_VALUE"""),"dcMRF (00/00) [Cohen, 1984];
")</f>
        <v>dcMRF (00/00) [Cohen, 1984];
</v>
      </c>
      <c r="S680" s="179" t="str">
        <f>IFERROR(__xludf.DUMMYFUNCTION("""COMPUTED_VALUE"""),"rSCIdcMRF")</f>
        <v>rSCIdcMRF</v>
      </c>
      <c r="T680" s="179" t="str">
        <f>IFERROR(__xludf.DUMMYFUNCTION("""COMPUTED_VALUE"""),"[Cohen, 1984]")</f>
        <v>[Cohen, 1984]</v>
      </c>
      <c r="U680" s="179">
        <f>IFERROR(__xludf.DUMMYFUNCTION("""COMPUTED_VALUE"""),0.0)</f>
        <v>0</v>
      </c>
      <c r="V680" s="180">
        <f>IFERROR(__xludf.DUMMYFUNCTION("""COMPUTED_VALUE"""),0.0)</f>
        <v>0</v>
      </c>
      <c r="W680" s="180">
        <f>IFERROR(__xludf.DUMMYFUNCTION("""COMPUTED_VALUE"""),0.95)</f>
        <v>0.95</v>
      </c>
      <c r="X680" s="42">
        <f>IFERROR(__xludf.DUMMYFUNCTION("""COMPUTED_VALUE"""),0.0)</f>
        <v>0</v>
      </c>
      <c r="Y680" s="42">
        <f>IFERROR(__xludf.DUMMYFUNCTION("""COMPUTED_VALUE"""),0.0)</f>
        <v>0</v>
      </c>
      <c r="Z680" s="9">
        <f>IFERROR(__xludf.DUMMYFUNCTION("""COMPUTED_VALUE"""),0.0)</f>
        <v>0</v>
      </c>
      <c r="AA680" s="181">
        <f>IFERROR(__xludf.DUMMYFUNCTION("""COMPUTED_VALUE"""),0.0)</f>
        <v>0</v>
      </c>
      <c r="AB680" s="181">
        <f>IFERROR(__xludf.DUMMYFUNCTION("""COMPUTED_VALUE"""),0.0)</f>
        <v>0</v>
      </c>
      <c r="AC680" s="179">
        <f>IFERROR(__xludf.DUMMYFUNCTION("""COMPUTED_VALUE"""),0.0)</f>
        <v>0</v>
      </c>
      <c r="AD680" s="165">
        <f>IFERROR(__xludf.DUMMYFUNCTION("""COMPUTED_VALUE"""),0.0)</f>
        <v>0</v>
      </c>
      <c r="AE680" s="39" t="str">
        <f>IFERROR(__xludf.DUMMYFUNCTION("""COMPUTED_VALUE"""),"Yoshimasa Tawatsuji")</f>
        <v>Yoshimasa Tawatsuji</v>
      </c>
      <c r="AF680" s="39" t="str">
        <f>IFERROR(__xludf.DUMMYFUNCTION("""COMPUTED_VALUE"""),"Oculomotor")</f>
        <v>Oculomotor</v>
      </c>
      <c r="AG680" s="39"/>
      <c r="AH680" s="39"/>
      <c r="AI680" s="165"/>
      <c r="AJ680" s="165"/>
      <c r="AK680" s="111"/>
      <c r="AL680" s="111"/>
      <c r="AM680" s="111"/>
      <c r="AN680" s="111"/>
      <c r="AO680" s="111"/>
      <c r="AP680" s="111"/>
      <c r="AQ680" s="116"/>
      <c r="AR680" s="116"/>
      <c r="AS680" s="116"/>
    </row>
    <row r="681">
      <c r="A681" s="42" t="str">
        <f>IFERROR(__xludf.DUMMYFUNCTION("""COMPUTED_VALUE"""),"rSCI")</f>
        <v>rSCI</v>
      </c>
      <c r="B681" s="42"/>
      <c r="C681" s="42"/>
      <c r="D681" s="42" t="str">
        <f>IFERROR(__xludf.DUMMYFUNCTION("""COMPUTED_VALUE"""),"RIP")</f>
        <v>RIP</v>
      </c>
      <c r="E681" s="42"/>
      <c r="F681" s="42"/>
      <c r="G681" s="42"/>
      <c r="H681" s="42" t="str">
        <f>IFERROR(__xludf.DUMMYFUNCTION("""COMPUTED_VALUE"""),"")</f>
        <v/>
      </c>
      <c r="I681" s="42" t="str">
        <f>IFERROR(__xludf.DUMMYFUNCTION("""COMPUTED_VALUE"""),"Munoz, 1993")</f>
        <v>Munoz, 1993</v>
      </c>
      <c r="J681" s="42"/>
      <c r="K681" s="42"/>
      <c r="L681" s="42"/>
      <c r="M681" s="42"/>
      <c r="N681" s="42"/>
      <c r="O681" s="31" t="str">
        <f>IFERROR(__xludf.DUMMYFUNCTION("""COMPUTED_VALUE"""),"DOC")</f>
        <v>DOC</v>
      </c>
      <c r="P681" s="9" t="str">
        <f>IFERROR(__xludf.DUMMYFUNCTION("""COMPUTED_VALUE"""),"Journal of Neurophysiology")</f>
        <v>Journal of Neurophysiology</v>
      </c>
      <c r="Q681" s="9"/>
      <c r="R681" s="179" t="str">
        <f>IFERROR(__xludf.DUMMYFUNCTION("""COMPUTED_VALUE"""),"RIP (00/00) [Munoz, 1993];
")</f>
        <v>RIP (00/00) [Munoz, 1993];
</v>
      </c>
      <c r="S681" s="179" t="str">
        <f>IFERROR(__xludf.DUMMYFUNCTION("""COMPUTED_VALUE"""),"rSCIRIP")</f>
        <v>rSCIRIP</v>
      </c>
      <c r="T681" s="179" t="str">
        <f>IFERROR(__xludf.DUMMYFUNCTION("""COMPUTED_VALUE"""),"[Munoz, 1993]")</f>
        <v>[Munoz, 1993]</v>
      </c>
      <c r="U681" s="179">
        <f>IFERROR(__xludf.DUMMYFUNCTION("""COMPUTED_VALUE"""),0.0)</f>
        <v>0</v>
      </c>
      <c r="V681" s="180">
        <f>IFERROR(__xludf.DUMMYFUNCTION("""COMPUTED_VALUE"""),0.0)</f>
        <v>0</v>
      </c>
      <c r="W681" s="180">
        <f>IFERROR(__xludf.DUMMYFUNCTION("""COMPUTED_VALUE"""),0.95)</f>
        <v>0.95</v>
      </c>
      <c r="X681" s="42">
        <f>IFERROR(__xludf.DUMMYFUNCTION("""COMPUTED_VALUE"""),0.0)</f>
        <v>0</v>
      </c>
      <c r="Y681" s="42">
        <f>IFERROR(__xludf.DUMMYFUNCTION("""COMPUTED_VALUE"""),0.0)</f>
        <v>0</v>
      </c>
      <c r="Z681" s="9">
        <f>IFERROR(__xludf.DUMMYFUNCTION("""COMPUTED_VALUE"""),0.0)</f>
        <v>0</v>
      </c>
      <c r="AA681" s="181">
        <f>IFERROR(__xludf.DUMMYFUNCTION("""COMPUTED_VALUE"""),0.0)</f>
        <v>0</v>
      </c>
      <c r="AB681" s="181">
        <f>IFERROR(__xludf.DUMMYFUNCTION("""COMPUTED_VALUE"""),0.0)</f>
        <v>0</v>
      </c>
      <c r="AC681" s="179">
        <f>IFERROR(__xludf.DUMMYFUNCTION("""COMPUTED_VALUE"""),0.0)</f>
        <v>0</v>
      </c>
      <c r="AD681" s="165">
        <f>IFERROR(__xludf.DUMMYFUNCTION("""COMPUTED_VALUE"""),0.0)</f>
        <v>0</v>
      </c>
      <c r="AE681" s="39" t="str">
        <f>IFERROR(__xludf.DUMMYFUNCTION("""COMPUTED_VALUE"""),"Yoshimasa Tawatsuji")</f>
        <v>Yoshimasa Tawatsuji</v>
      </c>
      <c r="AF681" s="39" t="str">
        <f>IFERROR(__xludf.DUMMYFUNCTION("""COMPUTED_VALUE"""),"Oculomotor")</f>
        <v>Oculomotor</v>
      </c>
      <c r="AG681" s="39"/>
      <c r="AH681" s="39"/>
      <c r="AI681" s="165"/>
      <c r="AJ681" s="165"/>
      <c r="AK681" s="111"/>
      <c r="AL681" s="111"/>
      <c r="AM681" s="111"/>
      <c r="AN681" s="111"/>
      <c r="AO681" s="111"/>
      <c r="AP681" s="111"/>
      <c r="AQ681" s="116"/>
      <c r="AR681" s="116"/>
      <c r="AS681" s="116"/>
    </row>
    <row r="682">
      <c r="A682" s="42" t="str">
        <f>IFERROR(__xludf.DUMMYFUNCTION("""COMPUTED_VALUE"""),"RTg")</f>
        <v>RTg</v>
      </c>
      <c r="B682" s="42"/>
      <c r="C682" s="42"/>
      <c r="D682" s="42" t="str">
        <f>IFERROR(__xludf.DUMMYFUNCTION("""COMPUTED_VALUE"""),"CBVg")</f>
        <v>CBVg</v>
      </c>
      <c r="E682" s="42"/>
      <c r="F682" s="42"/>
      <c r="G682" s="42"/>
      <c r="H682" s="42" t="str">
        <f>IFERROR(__xludf.DUMMYFUNCTION("""COMPUTED_VALUE"""),"")</f>
        <v/>
      </c>
      <c r="I682" s="42" t="str">
        <f>IFERROR(__xludf.DUMMYFUNCTION("""COMPUTED_VALUE"""),"Kheradmand, 2011")</f>
        <v>Kheradmand, 2011</v>
      </c>
      <c r="J682" s="42"/>
      <c r="K682" s="42"/>
      <c r="L682" s="42"/>
      <c r="M682" s="42"/>
      <c r="N682" s="42"/>
      <c r="O682" s="31" t="str">
        <f>IFERROR(__xludf.DUMMYFUNCTION("""COMPUTED_VALUE"""),"DOC")</f>
        <v>DOC</v>
      </c>
      <c r="P682" s="9" t="str">
        <f>IFERROR(__xludf.DUMMYFUNCTION("""COMPUTED_VALUE"""),"Frontiers in Neurology")</f>
        <v>Frontiers in Neurology</v>
      </c>
      <c r="Q682" s="9"/>
      <c r="R682" s="179" t="str">
        <f>IFERROR(__xludf.DUMMYFUNCTION("""COMPUTED_VALUE"""),"CBVg (00/00) [Kheradmand, 2011];
")</f>
        <v>CBVg (00/00) [Kheradmand, 2011];
</v>
      </c>
      <c r="S682" s="179" t="str">
        <f>IFERROR(__xludf.DUMMYFUNCTION("""COMPUTED_VALUE"""),"RTgCBVg")</f>
        <v>RTgCBVg</v>
      </c>
      <c r="T682" s="179" t="str">
        <f>IFERROR(__xludf.DUMMYFUNCTION("""COMPUTED_VALUE"""),"[Kheradmand, 2011]")</f>
        <v>[Kheradmand, 2011]</v>
      </c>
      <c r="U682" s="179">
        <f>IFERROR(__xludf.DUMMYFUNCTION("""COMPUTED_VALUE"""),0.0)</f>
        <v>0</v>
      </c>
      <c r="V682" s="180">
        <f>IFERROR(__xludf.DUMMYFUNCTION("""COMPUTED_VALUE"""),0.0)</f>
        <v>0</v>
      </c>
      <c r="W682" s="180">
        <f>IFERROR(__xludf.DUMMYFUNCTION("""COMPUTED_VALUE"""),0.95)</f>
        <v>0.95</v>
      </c>
      <c r="X682" s="42">
        <f>IFERROR(__xludf.DUMMYFUNCTION("""COMPUTED_VALUE"""),0.0)</f>
        <v>0</v>
      </c>
      <c r="Y682" s="42">
        <f>IFERROR(__xludf.DUMMYFUNCTION("""COMPUTED_VALUE"""),0.0)</f>
        <v>0</v>
      </c>
      <c r="Z682" s="9">
        <f>IFERROR(__xludf.DUMMYFUNCTION("""COMPUTED_VALUE"""),0.0)</f>
        <v>0</v>
      </c>
      <c r="AA682" s="181">
        <f>IFERROR(__xludf.DUMMYFUNCTION("""COMPUTED_VALUE"""),0.0)</f>
        <v>0</v>
      </c>
      <c r="AB682" s="181">
        <f>IFERROR(__xludf.DUMMYFUNCTION("""COMPUTED_VALUE"""),0.0)</f>
        <v>0</v>
      </c>
      <c r="AC682" s="179">
        <f>IFERROR(__xludf.DUMMYFUNCTION("""COMPUTED_VALUE"""),0.0)</f>
        <v>0</v>
      </c>
      <c r="AD682" s="165">
        <f>IFERROR(__xludf.DUMMYFUNCTION("""COMPUTED_VALUE"""),0.0)</f>
        <v>0</v>
      </c>
      <c r="AE682" s="39" t="str">
        <f>IFERROR(__xludf.DUMMYFUNCTION("""COMPUTED_VALUE"""),"Hiroshi Yamakawa")</f>
        <v>Hiroshi Yamakawa</v>
      </c>
      <c r="AF682" s="39" t="str">
        <f>IFERROR(__xludf.DUMMYFUNCTION("""COMPUTED_VALUE"""),"HY20Cerebellum")</f>
        <v>HY20Cerebellum</v>
      </c>
      <c r="AG682" s="39"/>
      <c r="AH682" s="39"/>
      <c r="AI682" s="165"/>
      <c r="AJ682" s="165"/>
      <c r="AK682" s="111"/>
      <c r="AL682" s="111"/>
      <c r="AM682" s="111"/>
      <c r="AN682" s="111"/>
      <c r="AO682" s="111"/>
      <c r="AP682" s="111"/>
      <c r="AQ682" s="116"/>
      <c r="AR682" s="116"/>
      <c r="AS682" s="116"/>
    </row>
    <row r="683">
      <c r="A683" s="42" t="str">
        <f>IFERROR(__xludf.DUMMYFUNCTION("""COMPUTED_VALUE"""),"RTg")</f>
        <v>RTg</v>
      </c>
      <c r="B683" s="42"/>
      <c r="C683" s="42"/>
      <c r="D683" s="42" t="str">
        <f>IFERROR(__xludf.DUMMYFUNCTION("""COMPUTED_VALUE"""),"Fas")</f>
        <v>Fas</v>
      </c>
      <c r="E683" s="42"/>
      <c r="F683" s="42"/>
      <c r="G683" s="42"/>
      <c r="H683" s="42" t="str">
        <f>IFERROR(__xludf.DUMMYFUNCTION("""COMPUTED_VALUE"""),"")</f>
        <v/>
      </c>
      <c r="I683" s="42" t="str">
        <f>IFERROR(__xludf.DUMMYFUNCTION("""COMPUTED_VALUE"""),"Kheradmand, 2011")</f>
        <v>Kheradmand, 2011</v>
      </c>
      <c r="J683" s="42"/>
      <c r="K683" s="42"/>
      <c r="L683" s="42"/>
      <c r="M683" s="42"/>
      <c r="N683" s="42"/>
      <c r="O683" s="31" t="str">
        <f>IFERROR(__xludf.DUMMYFUNCTION("""COMPUTED_VALUE"""),"DOC")</f>
        <v>DOC</v>
      </c>
      <c r="P683" s="9" t="str">
        <f>IFERROR(__xludf.DUMMYFUNCTION("""COMPUTED_VALUE"""),"Frontiers in Neurology")</f>
        <v>Frontiers in Neurology</v>
      </c>
      <c r="Q683" s="9"/>
      <c r="R683" s="179" t="str">
        <f>IFERROR(__xludf.DUMMYFUNCTION("""COMPUTED_VALUE"""),"Fas (00/00) [Kheradmand, 2011][Zhang, 2016];
")</f>
        <v>Fas (00/00) [Kheradmand, 2011][Zhang, 2016];
</v>
      </c>
      <c r="S683" s="179" t="str">
        <f>IFERROR(__xludf.DUMMYFUNCTION("""COMPUTED_VALUE"""),"RTgFas")</f>
        <v>RTgFas</v>
      </c>
      <c r="T683" s="179" t="str">
        <f>IFERROR(__xludf.DUMMYFUNCTION("""COMPUTED_VALUE"""),"[Kheradmand, 2011]")</f>
        <v>[Kheradmand, 2011]</v>
      </c>
      <c r="U683" s="179">
        <f>IFERROR(__xludf.DUMMYFUNCTION("""COMPUTED_VALUE"""),0.0)</f>
        <v>0</v>
      </c>
      <c r="V683" s="180">
        <f>IFERROR(__xludf.DUMMYFUNCTION("""COMPUTED_VALUE"""),0.0)</f>
        <v>0</v>
      </c>
      <c r="W683" s="180">
        <f>IFERROR(__xludf.DUMMYFUNCTION("""COMPUTED_VALUE"""),0.95)</f>
        <v>0.95</v>
      </c>
      <c r="X683" s="42">
        <f>IFERROR(__xludf.DUMMYFUNCTION("""COMPUTED_VALUE"""),0.0)</f>
        <v>0</v>
      </c>
      <c r="Y683" s="42">
        <f>IFERROR(__xludf.DUMMYFUNCTION("""COMPUTED_VALUE"""),0.0)</f>
        <v>0</v>
      </c>
      <c r="Z683" s="9">
        <f>IFERROR(__xludf.DUMMYFUNCTION("""COMPUTED_VALUE"""),0.0)</f>
        <v>0</v>
      </c>
      <c r="AA683" s="181">
        <f>IFERROR(__xludf.DUMMYFUNCTION("""COMPUTED_VALUE"""),0.0)</f>
        <v>0</v>
      </c>
      <c r="AB683" s="181">
        <f>IFERROR(__xludf.DUMMYFUNCTION("""COMPUTED_VALUE"""),0.0)</f>
        <v>0</v>
      </c>
      <c r="AC683" s="179">
        <f>IFERROR(__xludf.DUMMYFUNCTION("""COMPUTED_VALUE"""),0.0)</f>
        <v>0</v>
      </c>
      <c r="AD683" s="165">
        <f>IFERROR(__xludf.DUMMYFUNCTION("""COMPUTED_VALUE"""),0.0)</f>
        <v>0</v>
      </c>
      <c r="AE683" s="39" t="str">
        <f>IFERROR(__xludf.DUMMYFUNCTION("""COMPUTED_VALUE"""),"Hiroshi Yamakawa")</f>
        <v>Hiroshi Yamakawa</v>
      </c>
      <c r="AF683" s="39" t="str">
        <f>IFERROR(__xludf.DUMMYFUNCTION("""COMPUTED_VALUE"""),"HY20Cerebellum")</f>
        <v>HY20Cerebellum</v>
      </c>
      <c r="AG683" s="39"/>
      <c r="AH683" s="39"/>
      <c r="AI683" s="165"/>
      <c r="AJ683" s="165"/>
      <c r="AK683" s="111"/>
      <c r="AL683" s="111"/>
      <c r="AM683" s="111"/>
      <c r="AN683" s="111"/>
      <c r="AO683" s="111"/>
      <c r="AP683" s="111"/>
      <c r="AQ683" s="116"/>
      <c r="AR683" s="116"/>
      <c r="AS683" s="116"/>
    </row>
    <row r="684">
      <c r="A684" s="42" t="str">
        <f>IFERROR(__xludf.DUMMYFUNCTION("""COMPUTED_VALUE"""),"RTg")</f>
        <v>RTg</v>
      </c>
      <c r="B684" s="42"/>
      <c r="C684" s="42"/>
      <c r="D684" s="42" t="str">
        <f>IFERROR(__xludf.DUMMYFUNCTION("""COMPUTED_VALUE"""),"FNCbg")</f>
        <v>FNCbg</v>
      </c>
      <c r="E684" s="42"/>
      <c r="F684" s="42"/>
      <c r="G684" s="42"/>
      <c r="H684" s="42" t="str">
        <f>IFERROR(__xludf.DUMMYFUNCTION("""COMPUTED_VALUE"""),"")</f>
        <v/>
      </c>
      <c r="I684" s="42" t="str">
        <f>IFERROR(__xludf.DUMMYFUNCTION("""COMPUTED_VALUE"""),"Rondi-Reig, 2014")</f>
        <v>Rondi-Reig, 2014</v>
      </c>
      <c r="J684" s="42"/>
      <c r="K684" s="42"/>
      <c r="L684" s="42"/>
      <c r="M684" s="42"/>
      <c r="N684" s="42"/>
      <c r="O684" s="31" t="str">
        <f>IFERROR(__xludf.DUMMYFUNCTION("""COMPUTED_VALUE"""),"DOC")</f>
        <v>DOC</v>
      </c>
      <c r="P684" s="9" t="str">
        <f>IFERROR(__xludf.DUMMYFUNCTION("""COMPUTED_VALUE"""),"Frontiers in Systems Neuroscience")</f>
        <v>Frontiers in Systems Neuroscience</v>
      </c>
      <c r="Q684" s="9"/>
      <c r="R684" s="179" t="str">
        <f>IFERROR(__xludf.DUMMYFUNCTION("""COMPUTED_VALUE"""),"FNCbg (00/00) [Rondi-Reig, 2014];
")</f>
        <v>FNCbg (00/00) [Rondi-Reig, 2014];
</v>
      </c>
      <c r="S684" s="179" t="str">
        <f>IFERROR(__xludf.DUMMYFUNCTION("""COMPUTED_VALUE"""),"RTgFNCbg")</f>
        <v>RTgFNCbg</v>
      </c>
      <c r="T684" s="179" t="str">
        <f>IFERROR(__xludf.DUMMYFUNCTION("""COMPUTED_VALUE"""),"[Rondi-Reig, 2014]")</f>
        <v>[Rondi-Reig, 2014]</v>
      </c>
      <c r="U684" s="179">
        <f>IFERROR(__xludf.DUMMYFUNCTION("""COMPUTED_VALUE"""),0.0)</f>
        <v>0</v>
      </c>
      <c r="V684" s="180">
        <f>IFERROR(__xludf.DUMMYFUNCTION("""COMPUTED_VALUE"""),0.0)</f>
        <v>0</v>
      </c>
      <c r="W684" s="180">
        <f>IFERROR(__xludf.DUMMYFUNCTION("""COMPUTED_VALUE"""),0.95)</f>
        <v>0.95</v>
      </c>
      <c r="X684" s="42">
        <f>IFERROR(__xludf.DUMMYFUNCTION("""COMPUTED_VALUE"""),0.0)</f>
        <v>0</v>
      </c>
      <c r="Y684" s="42">
        <f>IFERROR(__xludf.DUMMYFUNCTION("""COMPUTED_VALUE"""),0.0)</f>
        <v>0</v>
      </c>
      <c r="Z684" s="9">
        <f>IFERROR(__xludf.DUMMYFUNCTION("""COMPUTED_VALUE"""),0.0)</f>
        <v>0</v>
      </c>
      <c r="AA684" s="181">
        <f>IFERROR(__xludf.DUMMYFUNCTION("""COMPUTED_VALUE"""),0.0)</f>
        <v>0</v>
      </c>
      <c r="AB684" s="181">
        <f>IFERROR(__xludf.DUMMYFUNCTION("""COMPUTED_VALUE"""),0.0)</f>
        <v>0</v>
      </c>
      <c r="AC684" s="179">
        <f>IFERROR(__xludf.DUMMYFUNCTION("""COMPUTED_VALUE"""),0.0)</f>
        <v>0</v>
      </c>
      <c r="AD684" s="165">
        <f>IFERROR(__xludf.DUMMYFUNCTION("""COMPUTED_VALUE"""),0.0)</f>
        <v>0</v>
      </c>
      <c r="AE684" s="39" t="str">
        <f>IFERROR(__xludf.DUMMYFUNCTION("""COMPUTED_VALUE"""),"Hiroshi Yamakawa")</f>
        <v>Hiroshi Yamakawa</v>
      </c>
      <c r="AF684" s="39" t="str">
        <f>IFERROR(__xludf.DUMMYFUNCTION("""COMPUTED_VALUE"""),"HY20Cerebellum")</f>
        <v>HY20Cerebellum</v>
      </c>
      <c r="AG684" s="39"/>
      <c r="AH684" s="39"/>
      <c r="AI684" s="165"/>
      <c r="AJ684" s="165"/>
      <c r="AK684" s="111"/>
      <c r="AL684" s="111"/>
      <c r="AM684" s="111"/>
      <c r="AN684" s="111"/>
      <c r="AO684" s="111"/>
      <c r="AP684" s="111"/>
      <c r="AQ684" s="116"/>
      <c r="AR684" s="116"/>
      <c r="AS684" s="116"/>
    </row>
    <row r="685">
      <c r="A685" s="42" t="str">
        <f>IFERROR(__xludf.DUMMYFUNCTION("""COMPUTED_VALUE"""),"RTg")</f>
        <v>RTg</v>
      </c>
      <c r="B685" s="42"/>
      <c r="C685" s="42"/>
      <c r="D685" s="42" t="str">
        <f>IFERROR(__xludf.DUMMYFUNCTION("""COMPUTED_VALUE"""),"CBV")</f>
        <v>CBV</v>
      </c>
      <c r="E685" s="42"/>
      <c r="F685" s="42"/>
      <c r="G685" s="42"/>
      <c r="H685" s="42" t="str">
        <f>IFERROR(__xludf.DUMMYFUNCTION("""COMPUTED_VALUE"""),"")</f>
        <v/>
      </c>
      <c r="I685" s="42" t="str">
        <f>IFERROR(__xludf.DUMMYFUNCTION("""COMPUTED_VALUE"""),"Kheradmand, 2011")</f>
        <v>Kheradmand, 2011</v>
      </c>
      <c r="J685" s="42"/>
      <c r="K685" s="42"/>
      <c r="L685" s="42"/>
      <c r="M685" s="42"/>
      <c r="N685" s="42"/>
      <c r="O685" s="31" t="str">
        <f>IFERROR(__xludf.DUMMYFUNCTION("""COMPUTED_VALUE"""),"DOC")</f>
        <v>DOC</v>
      </c>
      <c r="P685" s="9" t="str">
        <f>IFERROR(__xludf.DUMMYFUNCTION("""COMPUTED_VALUE"""),"Frontiers in Neurology")</f>
        <v>Frontiers in Neurology</v>
      </c>
      <c r="Q685" s="9"/>
      <c r="R685" s="179" t="str">
        <f>IFERROR(__xludf.DUMMYFUNCTION("""COMPUTED_VALUE"""),"CBV (00/00) [Kheradmand, 2011];
")</f>
        <v>CBV (00/00) [Kheradmand, 2011];
</v>
      </c>
      <c r="S685" s="179" t="str">
        <f>IFERROR(__xludf.DUMMYFUNCTION("""COMPUTED_VALUE"""),"RTgCBV")</f>
        <v>RTgCBV</v>
      </c>
      <c r="T685" s="179" t="str">
        <f>IFERROR(__xludf.DUMMYFUNCTION("""COMPUTED_VALUE"""),"[Kheradmand, 2011]")</f>
        <v>[Kheradmand, 2011]</v>
      </c>
      <c r="U685" s="179">
        <f>IFERROR(__xludf.DUMMYFUNCTION("""COMPUTED_VALUE"""),0.0)</f>
        <v>0</v>
      </c>
      <c r="V685" s="180">
        <f>IFERROR(__xludf.DUMMYFUNCTION("""COMPUTED_VALUE"""),0.0)</f>
        <v>0</v>
      </c>
      <c r="W685" s="180">
        <f>IFERROR(__xludf.DUMMYFUNCTION("""COMPUTED_VALUE"""),0.95)</f>
        <v>0.95</v>
      </c>
      <c r="X685" s="42">
        <f>IFERROR(__xludf.DUMMYFUNCTION("""COMPUTED_VALUE"""),0.0)</f>
        <v>0</v>
      </c>
      <c r="Y685" s="42">
        <f>IFERROR(__xludf.DUMMYFUNCTION("""COMPUTED_VALUE"""),0.0)</f>
        <v>0</v>
      </c>
      <c r="Z685" s="9">
        <f>IFERROR(__xludf.DUMMYFUNCTION("""COMPUTED_VALUE"""),0.0)</f>
        <v>0</v>
      </c>
      <c r="AA685" s="181">
        <f>IFERROR(__xludf.DUMMYFUNCTION("""COMPUTED_VALUE"""),0.0)</f>
        <v>0</v>
      </c>
      <c r="AB685" s="181">
        <f>IFERROR(__xludf.DUMMYFUNCTION("""COMPUTED_VALUE"""),0.0)</f>
        <v>0</v>
      </c>
      <c r="AC685" s="179">
        <f>IFERROR(__xludf.DUMMYFUNCTION("""COMPUTED_VALUE"""),0.0)</f>
        <v>0</v>
      </c>
      <c r="AD685" s="165">
        <f>IFERROR(__xludf.DUMMYFUNCTION("""COMPUTED_VALUE"""),0.0)</f>
        <v>0</v>
      </c>
      <c r="AE685" s="39" t="str">
        <f>IFERROR(__xludf.DUMMYFUNCTION("""COMPUTED_VALUE"""),"Yoshimasa Tawatsuji")</f>
        <v>Yoshimasa Tawatsuji</v>
      </c>
      <c r="AF685" s="39" t="str">
        <f>IFERROR(__xludf.DUMMYFUNCTION("""COMPUTED_VALUE"""),"Oculomotor")</f>
        <v>Oculomotor</v>
      </c>
      <c r="AG685" s="39"/>
      <c r="AH685" s="39"/>
      <c r="AI685" s="165"/>
      <c r="AJ685" s="165"/>
      <c r="AK685" s="111"/>
      <c r="AL685" s="111"/>
      <c r="AM685" s="111"/>
      <c r="AN685" s="111"/>
      <c r="AO685" s="111"/>
      <c r="AP685" s="111"/>
      <c r="AQ685" s="116"/>
      <c r="AR685" s="116"/>
      <c r="AS685" s="116"/>
    </row>
    <row r="686">
      <c r="A686" s="42" t="str">
        <f>IFERROR(__xludf.DUMMYFUNCTION("""COMPUTED_VALUE"""),"RTg")</f>
        <v>RTg</v>
      </c>
      <c r="B686" s="42"/>
      <c r="C686" s="42"/>
      <c r="D686" s="42" t="str">
        <f>IFERROR(__xludf.DUMMYFUNCTION("""COMPUTED_VALUE"""),"Fas")</f>
        <v>Fas</v>
      </c>
      <c r="E686" s="42"/>
      <c r="F686" s="42"/>
      <c r="G686" s="42"/>
      <c r="H686" s="42" t="str">
        <f>IFERROR(__xludf.DUMMYFUNCTION("""COMPUTED_VALUE"""),"")</f>
        <v/>
      </c>
      <c r="I686" s="42" t="str">
        <f>IFERROR(__xludf.DUMMYFUNCTION("""COMPUTED_VALUE"""),"Zhang, 2016")</f>
        <v>Zhang, 2016</v>
      </c>
      <c r="J686" s="42"/>
      <c r="K686" s="42"/>
      <c r="L686" s="42"/>
      <c r="M686" s="42"/>
      <c r="N686" s="42"/>
      <c r="O686" s="31" t="str">
        <f>IFERROR(__xludf.DUMMYFUNCTION("""COMPUTED_VALUE"""),"DOC")</f>
        <v>DOC</v>
      </c>
      <c r="P686" s="9" t="str">
        <f>IFERROR(__xludf.DUMMYFUNCTION("""COMPUTED_VALUE"""),"Cerebellum &amp; Ataxias")</f>
        <v>Cerebellum &amp; Ataxias</v>
      </c>
      <c r="Q686" s="9"/>
      <c r="R686" s="179" t="str">
        <f>IFERROR(__xludf.DUMMYFUNCTION("""COMPUTED_VALUE"""),"Fas (00/00) [Kheradmand, 2011][Zhang, 2016];
")</f>
        <v>Fas (00/00) [Kheradmand, 2011][Zhang, 2016];
</v>
      </c>
      <c r="S686" s="179" t="str">
        <f>IFERROR(__xludf.DUMMYFUNCTION("""COMPUTED_VALUE"""),"RTgFas")</f>
        <v>RTgFas</v>
      </c>
      <c r="T686" s="179" t="str">
        <f>IFERROR(__xludf.DUMMYFUNCTION("""COMPUTED_VALUE"""),"[Zhang, 2016]")</f>
        <v>[Zhang, 2016]</v>
      </c>
      <c r="U686" s="179">
        <f>IFERROR(__xludf.DUMMYFUNCTION("""COMPUTED_VALUE"""),0.0)</f>
        <v>0</v>
      </c>
      <c r="V686" s="180">
        <f>IFERROR(__xludf.DUMMYFUNCTION("""COMPUTED_VALUE"""),0.0)</f>
        <v>0</v>
      </c>
      <c r="W686" s="180">
        <f>IFERROR(__xludf.DUMMYFUNCTION("""COMPUTED_VALUE"""),0.0)</f>
        <v>0</v>
      </c>
      <c r="X686" s="42">
        <f>IFERROR(__xludf.DUMMYFUNCTION("""COMPUTED_VALUE"""),0.0)</f>
        <v>0</v>
      </c>
      <c r="Y686" s="42">
        <f>IFERROR(__xludf.DUMMYFUNCTION("""COMPUTED_VALUE"""),0.0)</f>
        <v>0</v>
      </c>
      <c r="Z686" s="9">
        <f>IFERROR(__xludf.DUMMYFUNCTION("""COMPUTED_VALUE"""),0.0)</f>
        <v>0</v>
      </c>
      <c r="AA686" s="181">
        <f>IFERROR(__xludf.DUMMYFUNCTION("""COMPUTED_VALUE"""),0.0)</f>
        <v>0</v>
      </c>
      <c r="AB686" s="181">
        <f>IFERROR(__xludf.DUMMYFUNCTION("""COMPUTED_VALUE"""),0.0)</f>
        <v>0</v>
      </c>
      <c r="AC686" s="179">
        <f>IFERROR(__xludf.DUMMYFUNCTION("""COMPUTED_VALUE"""),0.0)</f>
        <v>0</v>
      </c>
      <c r="AD686" s="165">
        <f>IFERROR(__xludf.DUMMYFUNCTION("""COMPUTED_VALUE"""),0.0)</f>
        <v>0</v>
      </c>
      <c r="AE686" s="39" t="str">
        <f>IFERROR(__xludf.DUMMYFUNCTION("""COMPUTED_VALUE"""),"Yoshimasa Tawatsuji")</f>
        <v>Yoshimasa Tawatsuji</v>
      </c>
      <c r="AF686" s="39" t="str">
        <f>IFERROR(__xludf.DUMMYFUNCTION("""COMPUTED_VALUE"""),"Oculomotor")</f>
        <v>Oculomotor</v>
      </c>
      <c r="AG686" s="39"/>
      <c r="AH686" s="39"/>
      <c r="AI686" s="165"/>
      <c r="AJ686" s="165"/>
      <c r="AK686" s="111"/>
      <c r="AL686" s="111"/>
      <c r="AM686" s="111"/>
      <c r="AN686" s="111"/>
      <c r="AO686" s="111"/>
      <c r="AP686" s="111"/>
      <c r="AQ686" s="116"/>
      <c r="AR686" s="116"/>
      <c r="AS686" s="116"/>
    </row>
    <row r="687">
      <c r="A687" s="42" t="str">
        <f>IFERROR(__xludf.DUMMYFUNCTION("""COMPUTED_VALUE"""),"S")</f>
        <v>S</v>
      </c>
      <c r="B687" s="42"/>
      <c r="C687" s="42"/>
      <c r="D687" s="42" t="str">
        <f>IFERROR(__xludf.DUMMYFUNCTION("""COMPUTED_VALUE"""),"BL")</f>
        <v>BL</v>
      </c>
      <c r="E687" s="42"/>
      <c r="F687" s="42"/>
      <c r="G687" s="42"/>
      <c r="H687" s="42" t="str">
        <f>IFERROR(__xludf.DUMMYFUNCTION("""COMPUTED_VALUE"""),"")</f>
        <v/>
      </c>
      <c r="I687" s="42" t="str">
        <f>IFERROR(__xludf.DUMMYFUNCTION("""COMPUTED_VALUE"""),"Pitkänen, 2000")</f>
        <v>Pitkänen, 2000</v>
      </c>
      <c r="J687" s="42" t="str">
        <f>IFERROR(__xludf.DUMMYFUNCTION("""COMPUTED_VALUE"""),"Rat")</f>
        <v>Rat</v>
      </c>
      <c r="K687" s="42" t="str">
        <f>IFERROR(__xludf.DUMMYFUNCTION("""COMPUTED_VALUE"""),"Various tracing")</f>
        <v>Various tracing</v>
      </c>
      <c r="L687" s="42"/>
      <c r="M687" s="42" t="str">
        <f>IFERROR(__xludf.DUMMYFUNCTION("""COMPUTED_VALUE"""),"fig.3-fig.12 (to be specified)")</f>
        <v>fig.3-fig.12 (to be specified)</v>
      </c>
      <c r="N687" s="42"/>
      <c r="O687" s="31" t="str">
        <f>IFERROR(__xludf.DUMMYFUNCTION("""COMPUTED_VALUE"""),"DOC(alt)")</f>
        <v>DOC(alt)</v>
      </c>
      <c r="P687" s="9" t="str">
        <f>IFERROR(__xludf.DUMMYFUNCTION("""COMPUTED_VALUE"""),"Folia morphologica")</f>
        <v>Folia morphologica</v>
      </c>
      <c r="Q687" s="9" t="str">
        <f>IFERROR(__xludf.DUMMYFUNCTION("""COMPUTED_VALUE"""),"Review")</f>
        <v>Review</v>
      </c>
      <c r="R687" s="179" t="str">
        <f>IFERROR(__xludf.DUMMYFUNCTION("""COMPUTED_VALUE"""),"BL (00/00) [Pitkänen, 2000];
")</f>
        <v>BL (00/00) [Pitkänen, 2000];
</v>
      </c>
      <c r="S687" s="179" t="str">
        <f>IFERROR(__xludf.DUMMYFUNCTION("""COMPUTED_VALUE"""),"SBL")</f>
        <v>SBL</v>
      </c>
      <c r="T687" s="179" t="str">
        <f>IFERROR(__xludf.DUMMYFUNCTION("""COMPUTED_VALUE"""),"[Pitkänen, 2000]")</f>
        <v>[Pitkänen, 2000]</v>
      </c>
      <c r="U687" s="179">
        <f>IFERROR(__xludf.DUMMYFUNCTION("""COMPUTED_VALUE"""),0.0)</f>
        <v>0</v>
      </c>
      <c r="V687" s="180">
        <f>IFERROR(__xludf.DUMMYFUNCTION("""COMPUTED_VALUE"""),0.0)</f>
        <v>0</v>
      </c>
      <c r="W687" s="180">
        <f>IFERROR(__xludf.DUMMYFUNCTION("""COMPUTED_VALUE"""),0.95)</f>
        <v>0.95</v>
      </c>
      <c r="X687" s="42">
        <f>IFERROR(__xludf.DUMMYFUNCTION("""COMPUTED_VALUE"""),0.8)</f>
        <v>0.8</v>
      </c>
      <c r="Y687" s="42">
        <f>IFERROR(__xludf.DUMMYFUNCTION("""COMPUTED_VALUE"""),0.6)</f>
        <v>0.6</v>
      </c>
      <c r="Z687" s="9">
        <f>IFERROR(__xludf.DUMMYFUNCTION("""COMPUTED_VALUE"""),0.9)</f>
        <v>0.9</v>
      </c>
      <c r="AA687" s="181">
        <f>IFERROR(__xludf.DUMMYFUNCTION("""COMPUTED_VALUE"""),0.0)</f>
        <v>0</v>
      </c>
      <c r="AB687" s="181">
        <f>IFERROR(__xludf.DUMMYFUNCTION("""COMPUTED_VALUE"""),0.0)</f>
        <v>0</v>
      </c>
      <c r="AC687" s="179">
        <f>IFERROR(__xludf.DUMMYFUNCTION("""COMPUTED_VALUE"""),0.0)</f>
        <v>0</v>
      </c>
      <c r="AD687" s="165">
        <f>IFERROR(__xludf.DUMMYFUNCTION("""COMPUTED_VALUE"""),0.0)</f>
        <v>0</v>
      </c>
      <c r="AE687" s="39" t="str">
        <f>IFERROR(__xludf.DUMMYFUNCTION("""COMPUTED_VALUE"""),"Tatsuya Miyamoto")</f>
        <v>Tatsuya Miyamoto</v>
      </c>
      <c r="AF687" s="39" t="str">
        <f>IFERROR(__xludf.DUMMYFUNCTION("""COMPUTED_VALUE"""),"TM21Amygdala")</f>
        <v>TM21Amygdala</v>
      </c>
      <c r="AG687" s="39"/>
      <c r="AH687" s="39"/>
      <c r="AI687" s="165"/>
      <c r="AJ687" s="165"/>
      <c r="AK687" s="111"/>
      <c r="AL687" s="111"/>
      <c r="AM687" s="111"/>
      <c r="AN687" s="111"/>
      <c r="AO687" s="111"/>
      <c r="AP687" s="111"/>
      <c r="AQ687" s="116"/>
      <c r="AR687" s="116"/>
      <c r="AS687" s="116"/>
    </row>
    <row r="688">
      <c r="A688" s="42" t="str">
        <f>IFERROR(__xludf.DUMMYFUNCTION("""COMPUTED_VALUE"""),"S")</f>
        <v>S</v>
      </c>
      <c r="B688" s="42"/>
      <c r="C688" s="42"/>
      <c r="D688" s="42" t="str">
        <f>IFERROR(__xludf.DUMMYFUNCTION("""COMPUTED_VALUE"""),"BM")</f>
        <v>BM</v>
      </c>
      <c r="E688" s="42"/>
      <c r="F688" s="42"/>
      <c r="G688" s="42"/>
      <c r="H688" s="42" t="str">
        <f>IFERROR(__xludf.DUMMYFUNCTION("""COMPUTED_VALUE"""),"")</f>
        <v/>
      </c>
      <c r="I688" s="42" t="str">
        <f>IFERROR(__xludf.DUMMYFUNCTION("""COMPUTED_VALUE"""),"Pitkänen, 2000")</f>
        <v>Pitkänen, 2000</v>
      </c>
      <c r="J688" s="42" t="str">
        <f>IFERROR(__xludf.DUMMYFUNCTION("""COMPUTED_VALUE"""),"Rat")</f>
        <v>Rat</v>
      </c>
      <c r="K688" s="42" t="str">
        <f>IFERROR(__xludf.DUMMYFUNCTION("""COMPUTED_VALUE"""),"Various tracing")</f>
        <v>Various tracing</v>
      </c>
      <c r="L688" s="42"/>
      <c r="M688" s="42" t="str">
        <f>IFERROR(__xludf.DUMMYFUNCTION("""COMPUTED_VALUE"""),"fig.3-fig.12 (to be specified)")</f>
        <v>fig.3-fig.12 (to be specified)</v>
      </c>
      <c r="N688" s="42"/>
      <c r="O688" s="31" t="str">
        <f>IFERROR(__xludf.DUMMYFUNCTION("""COMPUTED_VALUE"""),"DOC(alt)")</f>
        <v>DOC(alt)</v>
      </c>
      <c r="P688" s="9" t="str">
        <f>IFERROR(__xludf.DUMMYFUNCTION("""COMPUTED_VALUE"""),"Folia morphologica")</f>
        <v>Folia morphologica</v>
      </c>
      <c r="Q688" s="9" t="str">
        <f>IFERROR(__xludf.DUMMYFUNCTION("""COMPUTED_VALUE"""),"Review")</f>
        <v>Review</v>
      </c>
      <c r="R688" s="179" t="str">
        <f>IFERROR(__xludf.DUMMYFUNCTION("""COMPUTED_VALUE"""),"BM (00/00) [Pitkänen, 2000];
")</f>
        <v>BM (00/00) [Pitkänen, 2000];
</v>
      </c>
      <c r="S688" s="179" t="str">
        <f>IFERROR(__xludf.DUMMYFUNCTION("""COMPUTED_VALUE"""),"SBM")</f>
        <v>SBM</v>
      </c>
      <c r="T688" s="179" t="str">
        <f>IFERROR(__xludf.DUMMYFUNCTION("""COMPUTED_VALUE"""),"[Pitkänen, 2000]")</f>
        <v>[Pitkänen, 2000]</v>
      </c>
      <c r="U688" s="179">
        <f>IFERROR(__xludf.DUMMYFUNCTION("""COMPUTED_VALUE"""),0.0)</f>
        <v>0</v>
      </c>
      <c r="V688" s="180">
        <f>IFERROR(__xludf.DUMMYFUNCTION("""COMPUTED_VALUE"""),0.0)</f>
        <v>0</v>
      </c>
      <c r="W688" s="180">
        <f>IFERROR(__xludf.DUMMYFUNCTION("""COMPUTED_VALUE"""),0.95)</f>
        <v>0.95</v>
      </c>
      <c r="X688" s="42">
        <f>IFERROR(__xludf.DUMMYFUNCTION("""COMPUTED_VALUE"""),0.8)</f>
        <v>0.8</v>
      </c>
      <c r="Y688" s="42">
        <f>IFERROR(__xludf.DUMMYFUNCTION("""COMPUTED_VALUE"""),0.6)</f>
        <v>0.6</v>
      </c>
      <c r="Z688" s="9">
        <f>IFERROR(__xludf.DUMMYFUNCTION("""COMPUTED_VALUE"""),0.9)</f>
        <v>0.9</v>
      </c>
      <c r="AA688" s="181">
        <f>IFERROR(__xludf.DUMMYFUNCTION("""COMPUTED_VALUE"""),0.0)</f>
        <v>0</v>
      </c>
      <c r="AB688" s="181">
        <f>IFERROR(__xludf.DUMMYFUNCTION("""COMPUTED_VALUE"""),0.0)</f>
        <v>0</v>
      </c>
      <c r="AC688" s="179">
        <f>IFERROR(__xludf.DUMMYFUNCTION("""COMPUTED_VALUE"""),0.0)</f>
        <v>0</v>
      </c>
      <c r="AD688" s="165">
        <f>IFERROR(__xludf.DUMMYFUNCTION("""COMPUTED_VALUE"""),0.0)</f>
        <v>0</v>
      </c>
      <c r="AE688" s="39" t="str">
        <f>IFERROR(__xludf.DUMMYFUNCTION("""COMPUTED_VALUE"""),"Tatsuya Miyamoto")</f>
        <v>Tatsuya Miyamoto</v>
      </c>
      <c r="AF688" s="39" t="str">
        <f>IFERROR(__xludf.DUMMYFUNCTION("""COMPUTED_VALUE"""),"TM21Amygdala")</f>
        <v>TM21Amygdala</v>
      </c>
      <c r="AG688" s="39"/>
      <c r="AH688" s="39"/>
      <c r="AI688" s="165"/>
      <c r="AJ688" s="165"/>
      <c r="AK688" s="111"/>
      <c r="AL688" s="111"/>
      <c r="AM688" s="111"/>
      <c r="AN688" s="111"/>
      <c r="AO688" s="111"/>
      <c r="AP688" s="111"/>
      <c r="AQ688" s="116"/>
      <c r="AR688" s="116"/>
      <c r="AS688" s="116"/>
    </row>
    <row r="689">
      <c r="A689" s="42" t="str">
        <f>IFERROR(__xludf.DUMMYFUNCTION("""COMPUTED_VALUE"""),"S")</f>
        <v>S</v>
      </c>
      <c r="B689" s="42"/>
      <c r="C689" s="42"/>
      <c r="D689" s="42" t="str">
        <f>IFERROR(__xludf.DUMMYFUNCTION("""COMPUTED_VALUE"""),"PaS")</f>
        <v>PaS</v>
      </c>
      <c r="E689" s="42"/>
      <c r="F689" s="42"/>
      <c r="G689" s="42"/>
      <c r="H689" s="42" t="str">
        <f>IFERROR(__xludf.DUMMYFUNCTION("""COMPUTED_VALUE"""),"")</f>
        <v/>
      </c>
      <c r="I689" s="42" t="str">
        <f>IFERROR(__xludf.DUMMYFUNCTION("""COMPUTED_VALUE"""),"author, year")</f>
        <v>author, year</v>
      </c>
      <c r="J689" s="42"/>
      <c r="K689" s="42"/>
      <c r="L689" s="42"/>
      <c r="M689" s="42"/>
      <c r="N689" s="42"/>
      <c r="O689" s="31" t="str">
        <f>IFERROR(__xludf.DUMMYFUNCTION("""COMPUTED_VALUE"""),"#Error: Reference ID")</f>
        <v>#Error: Reference ID</v>
      </c>
      <c r="P689" s="9" t="str">
        <f>IFERROR(__xludf.DUMMYFUNCTION("""COMPUTED_VALUE"""),"#Error: Reference ID")</f>
        <v>#Error: Reference ID</v>
      </c>
      <c r="Q689" s="9" t="str">
        <f>IFERROR(__xludf.DUMMYFUNCTION("""COMPUTED_VALUE"""),"#Error: Reference ID")</f>
        <v>#Error: Reference ID</v>
      </c>
      <c r="R689" s="179" t="str">
        <f>IFERROR(__xludf.DUMMYFUNCTION("""COMPUTED_VALUE"""),"PaS (00/00) [author, year];
")</f>
        <v>PaS (00/00) [author, year];
</v>
      </c>
      <c r="S689" s="179" t="str">
        <f>IFERROR(__xludf.DUMMYFUNCTION("""COMPUTED_VALUE"""),"SPaS")</f>
        <v>SPaS</v>
      </c>
      <c r="T689" s="179" t="str">
        <f>IFERROR(__xludf.DUMMYFUNCTION("""COMPUTED_VALUE"""),"[author, year]")</f>
        <v>[author, year]</v>
      </c>
      <c r="U689" s="179">
        <f>IFERROR(__xludf.DUMMYFUNCTION("""COMPUTED_VALUE"""),0.0)</f>
        <v>0</v>
      </c>
      <c r="V689" s="180">
        <f>IFERROR(__xludf.DUMMYFUNCTION("""COMPUTED_VALUE"""),0.0)</f>
        <v>0</v>
      </c>
      <c r="W689" s="180">
        <f>IFERROR(__xludf.DUMMYFUNCTION("""COMPUTED_VALUE"""),0.0)</f>
        <v>0</v>
      </c>
      <c r="X689" s="42">
        <f>IFERROR(__xludf.DUMMYFUNCTION("""COMPUTED_VALUE"""),0.0)</f>
        <v>0</v>
      </c>
      <c r="Y689" s="42">
        <f>IFERROR(__xludf.DUMMYFUNCTION("""COMPUTED_VALUE"""),0.0)</f>
        <v>0</v>
      </c>
      <c r="Z689" s="9">
        <f>IFERROR(__xludf.DUMMYFUNCTION("""COMPUTED_VALUE"""),0.0)</f>
        <v>0</v>
      </c>
      <c r="AA689" s="181">
        <f>IFERROR(__xludf.DUMMYFUNCTION("""COMPUTED_VALUE"""),0.0)</f>
        <v>0</v>
      </c>
      <c r="AB689" s="181">
        <f>IFERROR(__xludf.DUMMYFUNCTION("""COMPUTED_VALUE"""),0.0)</f>
        <v>0</v>
      </c>
      <c r="AC689" s="179">
        <f>IFERROR(__xludf.DUMMYFUNCTION("""COMPUTED_VALUE"""),0.0)</f>
        <v>0</v>
      </c>
      <c r="AD689" s="165">
        <f>IFERROR(__xludf.DUMMYFUNCTION("""COMPUTED_VALUE"""),0.0)</f>
        <v>0</v>
      </c>
      <c r="AE689" s="39" t="str">
        <f>IFERROR(__xludf.DUMMYFUNCTION("""COMPUTED_VALUE"""),"Ayako Fukawa")</f>
        <v>Ayako Fukawa</v>
      </c>
      <c r="AF689" s="39" t="str">
        <f>IFERROR(__xludf.DUMMYFUNCTION("""COMPUTED_VALUE"""),"AT20HippocampalFormation")</f>
        <v>AT20HippocampalFormation</v>
      </c>
      <c r="AG689" s="39"/>
      <c r="AH689" s="39"/>
      <c r="AI689" s="165"/>
      <c r="AJ689" s="165"/>
      <c r="AK689" s="111"/>
      <c r="AL689" s="111"/>
      <c r="AM689" s="111"/>
      <c r="AN689" s="111"/>
      <c r="AO689" s="111"/>
      <c r="AP689" s="111"/>
      <c r="AQ689" s="116"/>
      <c r="AR689" s="116"/>
      <c r="AS689" s="116"/>
    </row>
    <row r="690">
      <c r="A690" s="42" t="str">
        <f>IFERROR(__xludf.DUMMYFUNCTION("""COMPUTED_VALUE"""),"S")</f>
        <v>S</v>
      </c>
      <c r="B690" s="42"/>
      <c r="C690" s="42"/>
      <c r="D690" s="42" t="str">
        <f>IFERROR(__xludf.DUMMYFUNCTION("""COMPUTED_VALUE"""),"ANC")</f>
        <v>ANC</v>
      </c>
      <c r="E690" s="42"/>
      <c r="F690" s="42"/>
      <c r="G690" s="42"/>
      <c r="H690" s="42" t="str">
        <f>IFERROR(__xludf.DUMMYFUNCTION("""COMPUTED_VALUE"""),"")</f>
        <v/>
      </c>
      <c r="I690" s="42" t="str">
        <f>IFERROR(__xludf.DUMMYFUNCTION("""COMPUTED_VALUE"""),"Bubb, 2017")</f>
        <v>Bubb, 2017</v>
      </c>
      <c r="J690" s="42"/>
      <c r="K690" s="42"/>
      <c r="L690" s="42"/>
      <c r="M690" s="42"/>
      <c r="N690" s="42"/>
      <c r="O690" s="31" t="str">
        <f>IFERROR(__xludf.DUMMYFUNCTION("""COMPUTED_VALUE"""),"DOC")</f>
        <v>DOC</v>
      </c>
      <c r="P690" s="9" t="str">
        <f>IFERROR(__xludf.DUMMYFUNCTION("""COMPUTED_VALUE"""),"Brain and Neuroscience Advances")</f>
        <v>Brain and Neuroscience Advances</v>
      </c>
      <c r="Q690" s="9"/>
      <c r="R690" s="179" t="str">
        <f>IFERROR(__xludf.DUMMYFUNCTION("""COMPUTED_VALUE"""),"ANC (00/00) [Bubb, 2017];
")</f>
        <v>ANC (00/00) [Bubb, 2017];
</v>
      </c>
      <c r="S690" s="179" t="str">
        <f>IFERROR(__xludf.DUMMYFUNCTION("""COMPUTED_VALUE"""),"SANC")</f>
        <v>SANC</v>
      </c>
      <c r="T690" s="179" t="str">
        <f>IFERROR(__xludf.DUMMYFUNCTION("""COMPUTED_VALUE"""),"[Bubb, 2017]")</f>
        <v>[Bubb, 2017]</v>
      </c>
      <c r="U690" s="179">
        <f>IFERROR(__xludf.DUMMYFUNCTION("""COMPUTED_VALUE"""),0.0)</f>
        <v>0</v>
      </c>
      <c r="V690" s="180">
        <f>IFERROR(__xludf.DUMMYFUNCTION("""COMPUTED_VALUE"""),0.0)</f>
        <v>0</v>
      </c>
      <c r="W690" s="180">
        <f>IFERROR(__xludf.DUMMYFUNCTION("""COMPUTED_VALUE"""),0.95)</f>
        <v>0.95</v>
      </c>
      <c r="X690" s="42">
        <f>IFERROR(__xludf.DUMMYFUNCTION("""COMPUTED_VALUE"""),0.0)</f>
        <v>0</v>
      </c>
      <c r="Y690" s="42">
        <f>IFERROR(__xludf.DUMMYFUNCTION("""COMPUTED_VALUE"""),0.0)</f>
        <v>0</v>
      </c>
      <c r="Z690" s="9">
        <f>IFERROR(__xludf.DUMMYFUNCTION("""COMPUTED_VALUE"""),0.0)</f>
        <v>0</v>
      </c>
      <c r="AA690" s="181">
        <f>IFERROR(__xludf.DUMMYFUNCTION("""COMPUTED_VALUE"""),0.0)</f>
        <v>0</v>
      </c>
      <c r="AB690" s="181">
        <f>IFERROR(__xludf.DUMMYFUNCTION("""COMPUTED_VALUE"""),0.0)</f>
        <v>0</v>
      </c>
      <c r="AC690" s="179">
        <f>IFERROR(__xludf.DUMMYFUNCTION("""COMPUTED_VALUE"""),0.0)</f>
        <v>0</v>
      </c>
      <c r="AD690" s="165">
        <f>IFERROR(__xludf.DUMMYFUNCTION("""COMPUTED_VALUE"""),0.0)</f>
        <v>0</v>
      </c>
      <c r="AE690" s="39" t="str">
        <f>IFERROR(__xludf.DUMMYFUNCTION("""COMPUTED_VALUE"""),"Ayako Fukawa")</f>
        <v>Ayako Fukawa</v>
      </c>
      <c r="AF690" s="39" t="str">
        <f>IFERROR(__xludf.DUMMYFUNCTION("""COMPUTED_VALUE"""),"AT20HippocampalFormation")</f>
        <v>AT20HippocampalFormation</v>
      </c>
      <c r="AG690" s="39"/>
      <c r="AH690" s="39"/>
      <c r="AI690" s="165"/>
      <c r="AJ690" s="165"/>
      <c r="AK690" s="111"/>
      <c r="AL690" s="111"/>
      <c r="AM690" s="111"/>
      <c r="AN690" s="111"/>
      <c r="AO690" s="111"/>
      <c r="AP690" s="111"/>
      <c r="AQ690" s="116"/>
      <c r="AR690" s="116"/>
      <c r="AS690" s="116"/>
    </row>
    <row r="691">
      <c r="A691" s="42" t="str">
        <f>IFERROR(__xludf.DUMMYFUNCTION("""COMPUTED_VALUE"""),"S")</f>
        <v>S</v>
      </c>
      <c r="B691" s="42"/>
      <c r="C691" s="42"/>
      <c r="D691" s="42" t="str">
        <f>IFERROR(__xludf.DUMMYFUNCTION("""COMPUTED_VALUE"""),"MN")</f>
        <v>MN</v>
      </c>
      <c r="E691" s="42"/>
      <c r="F691" s="42"/>
      <c r="G691" s="42"/>
      <c r="H691" s="42" t="str">
        <f>IFERROR(__xludf.DUMMYFUNCTION("""COMPUTED_VALUE"""),"")</f>
        <v/>
      </c>
      <c r="I691" s="42" t="str">
        <f>IFERROR(__xludf.DUMMYFUNCTION("""COMPUTED_VALUE"""),"Bubb, 2017")</f>
        <v>Bubb, 2017</v>
      </c>
      <c r="J691" s="42"/>
      <c r="K691" s="42"/>
      <c r="L691" s="42"/>
      <c r="M691" s="42"/>
      <c r="N691" s="42"/>
      <c r="O691" s="31" t="str">
        <f>IFERROR(__xludf.DUMMYFUNCTION("""COMPUTED_VALUE"""),"DOC")</f>
        <v>DOC</v>
      </c>
      <c r="P691" s="9" t="str">
        <f>IFERROR(__xludf.DUMMYFUNCTION("""COMPUTED_VALUE"""),"Brain and Neuroscience Advances")</f>
        <v>Brain and Neuroscience Advances</v>
      </c>
      <c r="Q691" s="9"/>
      <c r="R691" s="179" t="str">
        <f>IFERROR(__xludf.DUMMYFUNCTION("""COMPUTED_VALUE"""),"MN (00/00) [Bubb, 2017];
")</f>
        <v>MN (00/00) [Bubb, 2017];
</v>
      </c>
      <c r="S691" s="179" t="str">
        <f>IFERROR(__xludf.DUMMYFUNCTION("""COMPUTED_VALUE"""),"SMN")</f>
        <v>SMN</v>
      </c>
      <c r="T691" s="179" t="str">
        <f>IFERROR(__xludf.DUMMYFUNCTION("""COMPUTED_VALUE"""),"[Bubb, 2017]")</f>
        <v>[Bubb, 2017]</v>
      </c>
      <c r="U691" s="179">
        <f>IFERROR(__xludf.DUMMYFUNCTION("""COMPUTED_VALUE"""),0.0)</f>
        <v>0</v>
      </c>
      <c r="V691" s="180">
        <f>IFERROR(__xludf.DUMMYFUNCTION("""COMPUTED_VALUE"""),0.0)</f>
        <v>0</v>
      </c>
      <c r="W691" s="180">
        <f>IFERROR(__xludf.DUMMYFUNCTION("""COMPUTED_VALUE"""),0.95)</f>
        <v>0.95</v>
      </c>
      <c r="X691" s="42">
        <f>IFERROR(__xludf.DUMMYFUNCTION("""COMPUTED_VALUE"""),0.0)</f>
        <v>0</v>
      </c>
      <c r="Y691" s="42">
        <f>IFERROR(__xludf.DUMMYFUNCTION("""COMPUTED_VALUE"""),0.0)</f>
        <v>0</v>
      </c>
      <c r="Z691" s="9">
        <f>IFERROR(__xludf.DUMMYFUNCTION("""COMPUTED_VALUE"""),0.0)</f>
        <v>0</v>
      </c>
      <c r="AA691" s="181">
        <f>IFERROR(__xludf.DUMMYFUNCTION("""COMPUTED_VALUE"""),0.0)</f>
        <v>0</v>
      </c>
      <c r="AB691" s="181">
        <f>IFERROR(__xludf.DUMMYFUNCTION("""COMPUTED_VALUE"""),0.0)</f>
        <v>0</v>
      </c>
      <c r="AC691" s="179">
        <f>IFERROR(__xludf.DUMMYFUNCTION("""COMPUTED_VALUE"""),0.0)</f>
        <v>0</v>
      </c>
      <c r="AD691" s="165">
        <f>IFERROR(__xludf.DUMMYFUNCTION("""COMPUTED_VALUE"""),0.0)</f>
        <v>0</v>
      </c>
      <c r="AE691" s="39" t="str">
        <f>IFERROR(__xludf.DUMMYFUNCTION("""COMPUTED_VALUE"""),"Ayako Fukawa")</f>
        <v>Ayako Fukawa</v>
      </c>
      <c r="AF691" s="39" t="str">
        <f>IFERROR(__xludf.DUMMYFUNCTION("""COMPUTED_VALUE"""),"AT20HippocampalFormation")</f>
        <v>AT20HippocampalFormation</v>
      </c>
      <c r="AG691" s="39"/>
      <c r="AH691" s="39"/>
      <c r="AI691" s="165"/>
      <c r="AJ691" s="165"/>
      <c r="AK691" s="111"/>
      <c r="AL691" s="111"/>
      <c r="AM691" s="111"/>
      <c r="AN691" s="111"/>
      <c r="AO691" s="111"/>
      <c r="AP691" s="111"/>
      <c r="AQ691" s="116"/>
      <c r="AR691" s="116"/>
      <c r="AS691" s="116"/>
    </row>
    <row r="692">
      <c r="A692" s="42" t="str">
        <f>IFERROR(__xludf.DUMMYFUNCTION("""COMPUTED_VALUE"""),"S")</f>
        <v>S</v>
      </c>
      <c r="B692" s="42"/>
      <c r="C692" s="42"/>
      <c r="D692" s="42" t="str">
        <f>IFERROR(__xludf.DUMMYFUNCTION("""COMPUTED_VALUE"""),"MEC_V")</f>
        <v>MEC_V</v>
      </c>
      <c r="E692" s="42"/>
      <c r="F692" s="42"/>
      <c r="G692" s="42"/>
      <c r="H692" s="42" t="str">
        <f>IFERROR(__xludf.DUMMYFUNCTION("""COMPUTED_VALUE"""),"")</f>
        <v/>
      </c>
      <c r="I692" s="42" t="str">
        <f>IFERROR(__xludf.DUMMYFUNCTION("""COMPUTED_VALUE"""),"Witter, 2017")</f>
        <v>Witter, 2017</v>
      </c>
      <c r="J692" s="42"/>
      <c r="K692" s="42"/>
      <c r="L692" s="42"/>
      <c r="M692" s="42"/>
      <c r="N692" s="42"/>
      <c r="O692" s="31" t="str">
        <f>IFERROR(__xludf.DUMMYFUNCTION("""COMPUTED_VALUE"""),"#Error: Reference ID")</f>
        <v>#Error: Reference ID</v>
      </c>
      <c r="P692" s="9" t="str">
        <f>IFERROR(__xludf.DUMMYFUNCTION("""COMPUTED_VALUE"""),"#Error: Reference ID")</f>
        <v>#Error: Reference ID</v>
      </c>
      <c r="Q692" s="9" t="str">
        <f>IFERROR(__xludf.DUMMYFUNCTION("""COMPUTED_VALUE"""),"#Error: Reference ID")</f>
        <v>#Error: Reference ID</v>
      </c>
      <c r="R692" s="179" t="str">
        <f>IFERROR(__xludf.DUMMYFUNCTION("""COMPUTED_VALUE"""),"MEC_V (00/00) [Witter, 2017];
")</f>
        <v>MEC_V (00/00) [Witter, 2017];
</v>
      </c>
      <c r="S692" s="179" t="str">
        <f>IFERROR(__xludf.DUMMYFUNCTION("""COMPUTED_VALUE"""),"SMEC_V")</f>
        <v>SMEC_V</v>
      </c>
      <c r="T692" s="179" t="str">
        <f>IFERROR(__xludf.DUMMYFUNCTION("""COMPUTED_VALUE"""),"[Witter, 2017]")</f>
        <v>[Witter, 2017]</v>
      </c>
      <c r="U692" s="179">
        <f>IFERROR(__xludf.DUMMYFUNCTION("""COMPUTED_VALUE"""),0.0)</f>
        <v>0</v>
      </c>
      <c r="V692" s="180">
        <f>IFERROR(__xludf.DUMMYFUNCTION("""COMPUTED_VALUE"""),0.0)</f>
        <v>0</v>
      </c>
      <c r="W692" s="180">
        <f>IFERROR(__xludf.DUMMYFUNCTION("""COMPUTED_VALUE"""),0.0)</f>
        <v>0</v>
      </c>
      <c r="X692" s="42">
        <f>IFERROR(__xludf.DUMMYFUNCTION("""COMPUTED_VALUE"""),0.0)</f>
        <v>0</v>
      </c>
      <c r="Y692" s="42">
        <f>IFERROR(__xludf.DUMMYFUNCTION("""COMPUTED_VALUE"""),0.0)</f>
        <v>0</v>
      </c>
      <c r="Z692" s="9">
        <f>IFERROR(__xludf.DUMMYFUNCTION("""COMPUTED_VALUE"""),0.0)</f>
        <v>0</v>
      </c>
      <c r="AA692" s="181">
        <f>IFERROR(__xludf.DUMMYFUNCTION("""COMPUTED_VALUE"""),0.0)</f>
        <v>0</v>
      </c>
      <c r="AB692" s="181">
        <f>IFERROR(__xludf.DUMMYFUNCTION("""COMPUTED_VALUE"""),0.0)</f>
        <v>0</v>
      </c>
      <c r="AC692" s="179">
        <f>IFERROR(__xludf.DUMMYFUNCTION("""COMPUTED_VALUE"""),0.0)</f>
        <v>0</v>
      </c>
      <c r="AD692" s="165">
        <f>IFERROR(__xludf.DUMMYFUNCTION("""COMPUTED_VALUE"""),0.0)</f>
        <v>0</v>
      </c>
      <c r="AE692" s="39" t="str">
        <f>IFERROR(__xludf.DUMMYFUNCTION("""COMPUTED_VALUE"""),"Ayako Fukawa")</f>
        <v>Ayako Fukawa</v>
      </c>
      <c r="AF692" s="39" t="str">
        <f>IFERROR(__xludf.DUMMYFUNCTION("""COMPUTED_VALUE"""),"AT20HippocampalFormation")</f>
        <v>AT20HippocampalFormation</v>
      </c>
      <c r="AG692" s="39"/>
      <c r="AH692" s="39"/>
      <c r="AI692" s="165"/>
      <c r="AJ692" s="165"/>
      <c r="AK692" s="111"/>
      <c r="AL692" s="111"/>
      <c r="AM692" s="111"/>
      <c r="AN692" s="111"/>
      <c r="AO692" s="111"/>
      <c r="AP692" s="111"/>
      <c r="AQ692" s="116"/>
      <c r="AR692" s="116"/>
      <c r="AS692" s="116"/>
    </row>
    <row r="693">
      <c r="A693" s="42" t="str">
        <f>IFERROR(__xludf.DUMMYFUNCTION("""COMPUTED_VALUE"""),"S_distal")</f>
        <v>S_distal</v>
      </c>
      <c r="B693" s="42"/>
      <c r="C693" s="42"/>
      <c r="D693" s="42" t="str">
        <f>IFERROR(__xludf.DUMMYFUNCTION("""COMPUTED_VALUE"""),"MEC_deep")</f>
        <v>MEC_deep</v>
      </c>
      <c r="E693" s="42"/>
      <c r="F693" s="42"/>
      <c r="G693" s="42"/>
      <c r="H693" s="42" t="str">
        <f>IFERROR(__xludf.DUMMYFUNCTION("""COMPUTED_VALUE"""),"")</f>
        <v/>
      </c>
      <c r="I693" s="42" t="str">
        <f>IFERROR(__xludf.DUMMYFUNCTION("""COMPUTED_VALUE"""),"Moser, 2010")</f>
        <v>Moser, 2010</v>
      </c>
      <c r="J693" s="42"/>
      <c r="K693" s="42"/>
      <c r="L693" s="42"/>
      <c r="M693" s="42"/>
      <c r="N693" s="42"/>
      <c r="O693" s="31" t="str">
        <f>IFERROR(__xludf.DUMMYFUNCTION("""COMPUTED_VALUE"""),"DOC")</f>
        <v>DOC</v>
      </c>
      <c r="P693" s="9" t="str">
        <f>IFERROR(__xludf.DUMMYFUNCTION("""COMPUTED_VALUE"""),"Handbook of Brain Microcircuits")</f>
        <v>Handbook of Brain Microcircuits</v>
      </c>
      <c r="Q693" s="9" t="str">
        <f>IFERROR(__xludf.DUMMYFUNCTION("""COMPUTED_VALUE"""),"Textbook")</f>
        <v>Textbook</v>
      </c>
      <c r="R693" s="179" t="str">
        <f>IFERROR(__xludf.DUMMYFUNCTION("""COMPUTED_VALUE"""),"MEC_deep (00/00) [Moser, 2010];
")</f>
        <v>MEC_deep (00/00) [Moser, 2010];
</v>
      </c>
      <c r="S693" s="179" t="str">
        <f>IFERROR(__xludf.DUMMYFUNCTION("""COMPUTED_VALUE"""),"S_distalMEC_deep")</f>
        <v>S_distalMEC_deep</v>
      </c>
      <c r="T693" s="179" t="str">
        <f>IFERROR(__xludf.DUMMYFUNCTION("""COMPUTED_VALUE"""),"[Moser, 2010]")</f>
        <v>[Moser, 2010]</v>
      </c>
      <c r="U693" s="179">
        <f>IFERROR(__xludf.DUMMYFUNCTION("""COMPUTED_VALUE"""),0.0)</f>
        <v>0</v>
      </c>
      <c r="V693" s="180">
        <f>IFERROR(__xludf.DUMMYFUNCTION("""COMPUTED_VALUE"""),0.0)</f>
        <v>0</v>
      </c>
      <c r="W693" s="180">
        <f>IFERROR(__xludf.DUMMYFUNCTION("""COMPUTED_VALUE"""),0.95)</f>
        <v>0.95</v>
      </c>
      <c r="X693" s="42">
        <f>IFERROR(__xludf.DUMMYFUNCTION("""COMPUTED_VALUE"""),0.9)</f>
        <v>0.9</v>
      </c>
      <c r="Y693" s="42">
        <f>IFERROR(__xludf.DUMMYFUNCTION("""COMPUTED_VALUE"""),0.0)</f>
        <v>0</v>
      </c>
      <c r="Z693" s="9">
        <f>IFERROR(__xludf.DUMMYFUNCTION("""COMPUTED_VALUE"""),0.0)</f>
        <v>0</v>
      </c>
      <c r="AA693" s="181">
        <f>IFERROR(__xludf.DUMMYFUNCTION("""COMPUTED_VALUE"""),0.0)</f>
        <v>0</v>
      </c>
      <c r="AB693" s="181">
        <f>IFERROR(__xludf.DUMMYFUNCTION("""COMPUTED_VALUE"""),0.0)</f>
        <v>0</v>
      </c>
      <c r="AC693" s="179">
        <f>IFERROR(__xludf.DUMMYFUNCTION("""COMPUTED_VALUE"""),0.0)</f>
        <v>0</v>
      </c>
      <c r="AD693" s="165">
        <f>IFERROR(__xludf.DUMMYFUNCTION("""COMPUTED_VALUE"""),0.0)</f>
        <v>0</v>
      </c>
      <c r="AE693" s="39" t="str">
        <f>IFERROR(__xludf.DUMMYFUNCTION("""COMPUTED_VALUE"""),"Ayako Fukawa")</f>
        <v>Ayako Fukawa</v>
      </c>
      <c r="AF693" s="39" t="str">
        <f>IFERROR(__xludf.DUMMYFUNCTION("""COMPUTED_VALUE"""),"AT20HippocampalFormation")</f>
        <v>AT20HippocampalFormation</v>
      </c>
      <c r="AG693" s="39"/>
      <c r="AH693" s="39"/>
      <c r="AI693" s="165"/>
      <c r="AJ693" s="165"/>
      <c r="AK693" s="111"/>
      <c r="AL693" s="111"/>
      <c r="AM693" s="111"/>
      <c r="AN693" s="111"/>
      <c r="AO693" s="111"/>
      <c r="AP693" s="111"/>
      <c r="AQ693" s="116"/>
      <c r="AR693" s="116"/>
      <c r="AS693" s="116"/>
    </row>
    <row r="694">
      <c r="A694" s="42" t="str">
        <f>IFERROR(__xludf.DUMMYFUNCTION("""COMPUTED_VALUE"""),"S_distal")</f>
        <v>S_distal</v>
      </c>
      <c r="B694" s="42"/>
      <c r="C694" s="42"/>
      <c r="D694" s="42" t="str">
        <f>IFERROR(__xludf.DUMMYFUNCTION("""COMPUTED_VALUE"""),"PaS")</f>
        <v>PaS</v>
      </c>
      <c r="E694" s="42"/>
      <c r="F694" s="42"/>
      <c r="G694" s="42"/>
      <c r="H694" s="42" t="str">
        <f>IFERROR(__xludf.DUMMYFUNCTION("""COMPUTED_VALUE"""),"")</f>
        <v/>
      </c>
      <c r="I694" s="42" t="str">
        <f>IFERROR(__xludf.DUMMYFUNCTION("""COMPUTED_VALUE"""),"Moser, 2010")</f>
        <v>Moser, 2010</v>
      </c>
      <c r="J694" s="42"/>
      <c r="K694" s="42"/>
      <c r="L694" s="42"/>
      <c r="M694" s="42"/>
      <c r="N694" s="42"/>
      <c r="O694" s="31" t="str">
        <f>IFERROR(__xludf.DUMMYFUNCTION("""COMPUTED_VALUE"""),"DOC")</f>
        <v>DOC</v>
      </c>
      <c r="P694" s="9" t="str">
        <f>IFERROR(__xludf.DUMMYFUNCTION("""COMPUTED_VALUE"""),"Handbook of Brain Microcircuits")</f>
        <v>Handbook of Brain Microcircuits</v>
      </c>
      <c r="Q694" s="9" t="str">
        <f>IFERROR(__xludf.DUMMYFUNCTION("""COMPUTED_VALUE"""),"Textbook")</f>
        <v>Textbook</v>
      </c>
      <c r="R694" s="179" t="str">
        <f>IFERROR(__xludf.DUMMYFUNCTION("""COMPUTED_VALUE"""),"PaS (00/00) [Moser, 2010];
")</f>
        <v>PaS (00/00) [Moser, 2010];
</v>
      </c>
      <c r="S694" s="179" t="str">
        <f>IFERROR(__xludf.DUMMYFUNCTION("""COMPUTED_VALUE"""),"S_distalPaS")</f>
        <v>S_distalPaS</v>
      </c>
      <c r="T694" s="179" t="str">
        <f>IFERROR(__xludf.DUMMYFUNCTION("""COMPUTED_VALUE"""),"[Moser, 2010]")</f>
        <v>[Moser, 2010]</v>
      </c>
      <c r="U694" s="179">
        <f>IFERROR(__xludf.DUMMYFUNCTION("""COMPUTED_VALUE"""),0.0)</f>
        <v>0</v>
      </c>
      <c r="V694" s="180">
        <f>IFERROR(__xludf.DUMMYFUNCTION("""COMPUTED_VALUE"""),0.0)</f>
        <v>0</v>
      </c>
      <c r="W694" s="180">
        <f>IFERROR(__xludf.DUMMYFUNCTION("""COMPUTED_VALUE"""),0.95)</f>
        <v>0.95</v>
      </c>
      <c r="X694" s="42">
        <f>IFERROR(__xludf.DUMMYFUNCTION("""COMPUTED_VALUE"""),0.9)</f>
        <v>0.9</v>
      </c>
      <c r="Y694" s="42">
        <f>IFERROR(__xludf.DUMMYFUNCTION("""COMPUTED_VALUE"""),0.0)</f>
        <v>0</v>
      </c>
      <c r="Z694" s="9">
        <f>IFERROR(__xludf.DUMMYFUNCTION("""COMPUTED_VALUE"""),0.0)</f>
        <v>0</v>
      </c>
      <c r="AA694" s="181">
        <f>IFERROR(__xludf.DUMMYFUNCTION("""COMPUTED_VALUE"""),0.0)</f>
        <v>0</v>
      </c>
      <c r="AB694" s="181">
        <f>IFERROR(__xludf.DUMMYFUNCTION("""COMPUTED_VALUE"""),0.0)</f>
        <v>0</v>
      </c>
      <c r="AC694" s="179">
        <f>IFERROR(__xludf.DUMMYFUNCTION("""COMPUTED_VALUE"""),0.0)</f>
        <v>0</v>
      </c>
      <c r="AD694" s="165">
        <f>IFERROR(__xludf.DUMMYFUNCTION("""COMPUTED_VALUE"""),0.0)</f>
        <v>0</v>
      </c>
      <c r="AE694" s="39" t="str">
        <f>IFERROR(__xludf.DUMMYFUNCTION("""COMPUTED_VALUE"""),"Ayako Fukawa")</f>
        <v>Ayako Fukawa</v>
      </c>
      <c r="AF694" s="39" t="str">
        <f>IFERROR(__xludf.DUMMYFUNCTION("""COMPUTED_VALUE"""),"AT20HippocampalFormation")</f>
        <v>AT20HippocampalFormation</v>
      </c>
      <c r="AG694" s="39"/>
      <c r="AH694" s="39"/>
      <c r="AI694" s="165"/>
      <c r="AJ694" s="165"/>
      <c r="AK694" s="111"/>
      <c r="AL694" s="111"/>
      <c r="AM694" s="111"/>
      <c r="AN694" s="111"/>
      <c r="AO694" s="111"/>
      <c r="AP694" s="111"/>
      <c r="AQ694" s="116"/>
      <c r="AR694" s="116"/>
      <c r="AS694" s="116"/>
    </row>
    <row r="695">
      <c r="A695" s="42" t="str">
        <f>IFERROR(__xludf.DUMMYFUNCTION("""COMPUTED_VALUE"""),"S_proximal")</f>
        <v>S_proximal</v>
      </c>
      <c r="B695" s="42"/>
      <c r="C695" s="42"/>
      <c r="D695" s="42" t="str">
        <f>IFERROR(__xludf.DUMMYFUNCTION("""COMPUTED_VALUE"""),"LEC_deep")</f>
        <v>LEC_deep</v>
      </c>
      <c r="E695" s="42"/>
      <c r="F695" s="42"/>
      <c r="G695" s="42"/>
      <c r="H695" s="42" t="str">
        <f>IFERROR(__xludf.DUMMYFUNCTION("""COMPUTED_VALUE"""),"")</f>
        <v/>
      </c>
      <c r="I695" s="42" t="str">
        <f>IFERROR(__xludf.DUMMYFUNCTION("""COMPUTED_VALUE"""),"Moser, 2010")</f>
        <v>Moser, 2010</v>
      </c>
      <c r="J695" s="42"/>
      <c r="K695" s="42"/>
      <c r="L695" s="42"/>
      <c r="M695" s="42"/>
      <c r="N695" s="42"/>
      <c r="O695" s="31" t="str">
        <f>IFERROR(__xludf.DUMMYFUNCTION("""COMPUTED_VALUE"""),"DOC")</f>
        <v>DOC</v>
      </c>
      <c r="P695" s="9" t="str">
        <f>IFERROR(__xludf.DUMMYFUNCTION("""COMPUTED_VALUE"""),"Handbook of Brain Microcircuits")</f>
        <v>Handbook of Brain Microcircuits</v>
      </c>
      <c r="Q695" s="9" t="str">
        <f>IFERROR(__xludf.DUMMYFUNCTION("""COMPUTED_VALUE"""),"Textbook")</f>
        <v>Textbook</v>
      </c>
      <c r="R695" s="179" t="str">
        <f>IFERROR(__xludf.DUMMYFUNCTION("""COMPUTED_VALUE"""),"LEC_deep (00/00) [Moser, 2010];
")</f>
        <v>LEC_deep (00/00) [Moser, 2010];
</v>
      </c>
      <c r="S695" s="179" t="str">
        <f>IFERROR(__xludf.DUMMYFUNCTION("""COMPUTED_VALUE"""),"S_proximalLEC_deep")</f>
        <v>S_proximalLEC_deep</v>
      </c>
      <c r="T695" s="179" t="str">
        <f>IFERROR(__xludf.DUMMYFUNCTION("""COMPUTED_VALUE"""),"[Moser, 2010]")</f>
        <v>[Moser, 2010]</v>
      </c>
      <c r="U695" s="179">
        <f>IFERROR(__xludf.DUMMYFUNCTION("""COMPUTED_VALUE"""),0.0)</f>
        <v>0</v>
      </c>
      <c r="V695" s="180">
        <f>IFERROR(__xludf.DUMMYFUNCTION("""COMPUTED_VALUE"""),0.0)</f>
        <v>0</v>
      </c>
      <c r="W695" s="180">
        <f>IFERROR(__xludf.DUMMYFUNCTION("""COMPUTED_VALUE"""),0.95)</f>
        <v>0.95</v>
      </c>
      <c r="X695" s="42">
        <f>IFERROR(__xludf.DUMMYFUNCTION("""COMPUTED_VALUE"""),0.9)</f>
        <v>0.9</v>
      </c>
      <c r="Y695" s="42">
        <f>IFERROR(__xludf.DUMMYFUNCTION("""COMPUTED_VALUE"""),0.0)</f>
        <v>0</v>
      </c>
      <c r="Z695" s="9">
        <f>IFERROR(__xludf.DUMMYFUNCTION("""COMPUTED_VALUE"""),0.0)</f>
        <v>0</v>
      </c>
      <c r="AA695" s="181">
        <f>IFERROR(__xludf.DUMMYFUNCTION("""COMPUTED_VALUE"""),0.0)</f>
        <v>0</v>
      </c>
      <c r="AB695" s="181">
        <f>IFERROR(__xludf.DUMMYFUNCTION("""COMPUTED_VALUE"""),0.0)</f>
        <v>0</v>
      </c>
      <c r="AC695" s="179">
        <f>IFERROR(__xludf.DUMMYFUNCTION("""COMPUTED_VALUE"""),0.0)</f>
        <v>0</v>
      </c>
      <c r="AD695" s="165">
        <f>IFERROR(__xludf.DUMMYFUNCTION("""COMPUTED_VALUE"""),0.0)</f>
        <v>0</v>
      </c>
      <c r="AE695" s="39" t="str">
        <f>IFERROR(__xludf.DUMMYFUNCTION("""COMPUTED_VALUE"""),"Ayako Fukawa")</f>
        <v>Ayako Fukawa</v>
      </c>
      <c r="AF695" s="39" t="str">
        <f>IFERROR(__xludf.DUMMYFUNCTION("""COMPUTED_VALUE"""),"AT20HippocampalFormation")</f>
        <v>AT20HippocampalFormation</v>
      </c>
      <c r="AG695" s="39"/>
      <c r="AH695" s="39"/>
      <c r="AI695" s="165"/>
      <c r="AJ695" s="165"/>
      <c r="AK695" s="111"/>
      <c r="AL695" s="111"/>
      <c r="AM695" s="111"/>
      <c r="AN695" s="111"/>
      <c r="AO695" s="111"/>
      <c r="AP695" s="111"/>
      <c r="AQ695" s="116"/>
      <c r="AR695" s="116"/>
      <c r="AS695" s="116"/>
    </row>
    <row r="696">
      <c r="A696" s="42" t="str">
        <f>IFERROR(__xludf.DUMMYFUNCTION("""COMPUTED_VALUE"""),"S1C")</f>
        <v>S1C</v>
      </c>
      <c r="B696" s="42"/>
      <c r="C696" s="42"/>
      <c r="D696" s="42" t="str">
        <f>IFERROR(__xludf.DUMMYFUNCTION("""COMPUTED_VALUE"""),"BL")</f>
        <v>BL</v>
      </c>
      <c r="E696" s="42"/>
      <c r="F696" s="42"/>
      <c r="G696" s="42"/>
      <c r="H696" s="42" t="str">
        <f>IFERROR(__xludf.DUMMYFUNCTION("""COMPUTED_VALUE"""),"")</f>
        <v/>
      </c>
      <c r="I696" s="42" t="str">
        <f>IFERROR(__xludf.DUMMYFUNCTION("""COMPUTED_VALUE"""),"Pitkänen, 2000")</f>
        <v>Pitkänen, 2000</v>
      </c>
      <c r="J696" s="42" t="str">
        <f>IFERROR(__xludf.DUMMYFUNCTION("""COMPUTED_VALUE"""),"Rat")</f>
        <v>Rat</v>
      </c>
      <c r="K696" s="42" t="str">
        <f>IFERROR(__xludf.DUMMYFUNCTION("""COMPUTED_VALUE"""),"Various tracing")</f>
        <v>Various tracing</v>
      </c>
      <c r="L696" s="42"/>
      <c r="M696" s="42" t="str">
        <f>IFERROR(__xludf.DUMMYFUNCTION("""COMPUTED_VALUE"""),"fig.3-fig.12 (to be specified)")</f>
        <v>fig.3-fig.12 (to be specified)</v>
      </c>
      <c r="N696" s="42"/>
      <c r="O696" s="31" t="str">
        <f>IFERROR(__xludf.DUMMYFUNCTION("""COMPUTED_VALUE"""),"DOC(alt)")</f>
        <v>DOC(alt)</v>
      </c>
      <c r="P696" s="9" t="str">
        <f>IFERROR(__xludf.DUMMYFUNCTION("""COMPUTED_VALUE"""),"Folia morphologica")</f>
        <v>Folia morphologica</v>
      </c>
      <c r="Q696" s="9" t="str">
        <f>IFERROR(__xludf.DUMMYFUNCTION("""COMPUTED_VALUE"""),"Review")</f>
        <v>Review</v>
      </c>
      <c r="R696" s="179" t="str">
        <f>IFERROR(__xludf.DUMMYFUNCTION("""COMPUTED_VALUE"""),"BL (00/00) [Pitkänen, 2000];
")</f>
        <v>BL (00/00) [Pitkänen, 2000];
</v>
      </c>
      <c r="S696" s="179" t="str">
        <f>IFERROR(__xludf.DUMMYFUNCTION("""COMPUTED_VALUE"""),"S1CBL")</f>
        <v>S1CBL</v>
      </c>
      <c r="T696" s="179" t="str">
        <f>IFERROR(__xludf.DUMMYFUNCTION("""COMPUTED_VALUE"""),"[Pitkänen, 2000]")</f>
        <v>[Pitkänen, 2000]</v>
      </c>
      <c r="U696" s="179">
        <f>IFERROR(__xludf.DUMMYFUNCTION("""COMPUTED_VALUE"""),0.0)</f>
        <v>0</v>
      </c>
      <c r="V696" s="180">
        <f>IFERROR(__xludf.DUMMYFUNCTION("""COMPUTED_VALUE"""),0.0)</f>
        <v>0</v>
      </c>
      <c r="W696" s="180">
        <f>IFERROR(__xludf.DUMMYFUNCTION("""COMPUTED_VALUE"""),0.95)</f>
        <v>0.95</v>
      </c>
      <c r="X696" s="42">
        <f>IFERROR(__xludf.DUMMYFUNCTION("""COMPUTED_VALUE"""),0.8)</f>
        <v>0.8</v>
      </c>
      <c r="Y696" s="42">
        <f>IFERROR(__xludf.DUMMYFUNCTION("""COMPUTED_VALUE"""),0.6)</f>
        <v>0.6</v>
      </c>
      <c r="Z696" s="9">
        <f>IFERROR(__xludf.DUMMYFUNCTION("""COMPUTED_VALUE"""),0.9)</f>
        <v>0.9</v>
      </c>
      <c r="AA696" s="181">
        <f>IFERROR(__xludf.DUMMYFUNCTION("""COMPUTED_VALUE"""),0.0)</f>
        <v>0</v>
      </c>
      <c r="AB696" s="181">
        <f>IFERROR(__xludf.DUMMYFUNCTION("""COMPUTED_VALUE"""),0.0)</f>
        <v>0</v>
      </c>
      <c r="AC696" s="179">
        <f>IFERROR(__xludf.DUMMYFUNCTION("""COMPUTED_VALUE"""),0.0)</f>
        <v>0</v>
      </c>
      <c r="AD696" s="165">
        <f>IFERROR(__xludf.DUMMYFUNCTION("""COMPUTED_VALUE"""),0.0)</f>
        <v>0</v>
      </c>
      <c r="AE696" s="39" t="str">
        <f>IFERROR(__xludf.DUMMYFUNCTION("""COMPUTED_VALUE"""),"Tatsuya Miyamoto")</f>
        <v>Tatsuya Miyamoto</v>
      </c>
      <c r="AF696" s="39" t="str">
        <f>IFERROR(__xludf.DUMMYFUNCTION("""COMPUTED_VALUE"""),"TM21Amygdala")</f>
        <v>TM21Amygdala</v>
      </c>
      <c r="AG696" s="39"/>
      <c r="AH696" s="39"/>
      <c r="AI696" s="165"/>
      <c r="AJ696" s="165"/>
      <c r="AK696" s="111"/>
      <c r="AL696" s="111"/>
      <c r="AM696" s="111"/>
      <c r="AN696" s="111"/>
      <c r="AO696" s="111"/>
      <c r="AP696" s="111"/>
      <c r="AQ696" s="116"/>
      <c r="AR696" s="116"/>
      <c r="AS696" s="116"/>
    </row>
    <row r="697">
      <c r="A697" s="42" t="str">
        <f>IFERROR(__xludf.DUMMYFUNCTION("""COMPUTED_VALUE"""),"S1C")</f>
        <v>S1C</v>
      </c>
      <c r="B697" s="42"/>
      <c r="C697" s="42"/>
      <c r="D697" s="42" t="str">
        <f>IFERROR(__xludf.DUMMYFUNCTION("""COMPUTED_VALUE"""),"CEN")</f>
        <v>CEN</v>
      </c>
      <c r="E697" s="42"/>
      <c r="F697" s="42"/>
      <c r="G697" s="42"/>
      <c r="H697" s="42" t="str">
        <f>IFERROR(__xludf.DUMMYFUNCTION("""COMPUTED_VALUE"""),"")</f>
        <v/>
      </c>
      <c r="I697" s="42" t="str">
        <f>IFERROR(__xludf.DUMMYFUNCTION("""COMPUTED_VALUE"""),"Pitkänen, 2000")</f>
        <v>Pitkänen, 2000</v>
      </c>
      <c r="J697" s="42" t="str">
        <f>IFERROR(__xludf.DUMMYFUNCTION("""COMPUTED_VALUE"""),"Rat")</f>
        <v>Rat</v>
      </c>
      <c r="K697" s="42" t="str">
        <f>IFERROR(__xludf.DUMMYFUNCTION("""COMPUTED_VALUE"""),"Various tracing")</f>
        <v>Various tracing</v>
      </c>
      <c r="L697" s="42"/>
      <c r="M697" s="42" t="str">
        <f>IFERROR(__xludf.DUMMYFUNCTION("""COMPUTED_VALUE"""),"fig.3-fig.12 (to be specified)")</f>
        <v>fig.3-fig.12 (to be specified)</v>
      </c>
      <c r="N697" s="42"/>
      <c r="O697" s="31" t="str">
        <f>IFERROR(__xludf.DUMMYFUNCTION("""COMPUTED_VALUE"""),"DOC(alt)")</f>
        <v>DOC(alt)</v>
      </c>
      <c r="P697" s="9" t="str">
        <f>IFERROR(__xludf.DUMMYFUNCTION("""COMPUTED_VALUE"""),"Folia morphologica")</f>
        <v>Folia morphologica</v>
      </c>
      <c r="Q697" s="9" t="str">
        <f>IFERROR(__xludf.DUMMYFUNCTION("""COMPUTED_VALUE"""),"Review")</f>
        <v>Review</v>
      </c>
      <c r="R697" s="179" t="str">
        <f>IFERROR(__xludf.DUMMYFUNCTION("""COMPUTED_VALUE"""),"CEN (00/00) [Pitkänen, 2000];
")</f>
        <v>CEN (00/00) [Pitkänen, 2000];
</v>
      </c>
      <c r="S697" s="179" t="str">
        <f>IFERROR(__xludf.DUMMYFUNCTION("""COMPUTED_VALUE"""),"S1CCEN")</f>
        <v>S1CCEN</v>
      </c>
      <c r="T697" s="179" t="str">
        <f>IFERROR(__xludf.DUMMYFUNCTION("""COMPUTED_VALUE"""),"[Pitkänen, 2000]")</f>
        <v>[Pitkänen, 2000]</v>
      </c>
      <c r="U697" s="179">
        <f>IFERROR(__xludf.DUMMYFUNCTION("""COMPUTED_VALUE"""),0.0)</f>
        <v>0</v>
      </c>
      <c r="V697" s="180">
        <f>IFERROR(__xludf.DUMMYFUNCTION("""COMPUTED_VALUE"""),0.0)</f>
        <v>0</v>
      </c>
      <c r="W697" s="180">
        <f>IFERROR(__xludf.DUMMYFUNCTION("""COMPUTED_VALUE"""),0.95)</f>
        <v>0.95</v>
      </c>
      <c r="X697" s="42">
        <f>IFERROR(__xludf.DUMMYFUNCTION("""COMPUTED_VALUE"""),0.8)</f>
        <v>0.8</v>
      </c>
      <c r="Y697" s="42">
        <f>IFERROR(__xludf.DUMMYFUNCTION("""COMPUTED_VALUE"""),0.6)</f>
        <v>0.6</v>
      </c>
      <c r="Z697" s="9">
        <f>IFERROR(__xludf.DUMMYFUNCTION("""COMPUTED_VALUE"""),0.9)</f>
        <v>0.9</v>
      </c>
      <c r="AA697" s="181">
        <f>IFERROR(__xludf.DUMMYFUNCTION("""COMPUTED_VALUE"""),0.0)</f>
        <v>0</v>
      </c>
      <c r="AB697" s="181">
        <f>IFERROR(__xludf.DUMMYFUNCTION("""COMPUTED_VALUE"""),0.0)</f>
        <v>0</v>
      </c>
      <c r="AC697" s="179">
        <f>IFERROR(__xludf.DUMMYFUNCTION("""COMPUTED_VALUE"""),0.0)</f>
        <v>0</v>
      </c>
      <c r="AD697" s="165">
        <f>IFERROR(__xludf.DUMMYFUNCTION("""COMPUTED_VALUE"""),0.0)</f>
        <v>0</v>
      </c>
      <c r="AE697" s="39" t="str">
        <f>IFERROR(__xludf.DUMMYFUNCTION("""COMPUTED_VALUE"""),"Tatsuya Miyamoto")</f>
        <v>Tatsuya Miyamoto</v>
      </c>
      <c r="AF697" s="39" t="str">
        <f>IFERROR(__xludf.DUMMYFUNCTION("""COMPUTED_VALUE"""),"TM21Amygdala")</f>
        <v>TM21Amygdala</v>
      </c>
      <c r="AG697" s="39"/>
      <c r="AH697" s="39"/>
      <c r="AI697" s="165"/>
      <c r="AJ697" s="165"/>
      <c r="AK697" s="111"/>
      <c r="AL697" s="111"/>
      <c r="AM697" s="111"/>
      <c r="AN697" s="111"/>
      <c r="AO697" s="111"/>
      <c r="AP697" s="111"/>
      <c r="AQ697" s="116"/>
      <c r="AR697" s="116"/>
      <c r="AS697" s="116"/>
    </row>
    <row r="698">
      <c r="A698" s="42" t="str">
        <f>IFERROR(__xludf.DUMMYFUNCTION("""COMPUTED_VALUE"""),"S1C")</f>
        <v>S1C</v>
      </c>
      <c r="B698" s="42"/>
      <c r="C698" s="42"/>
      <c r="D698" s="42" t="str">
        <f>IFERROR(__xludf.DUMMYFUNCTION("""COMPUTED_VALUE"""),"CoA")</f>
        <v>CoA</v>
      </c>
      <c r="E698" s="42"/>
      <c r="F698" s="42"/>
      <c r="G698" s="42"/>
      <c r="H698" s="42" t="str">
        <f>IFERROR(__xludf.DUMMYFUNCTION("""COMPUTED_VALUE"""),"")</f>
        <v/>
      </c>
      <c r="I698" s="42" t="str">
        <f>IFERROR(__xludf.DUMMYFUNCTION("""COMPUTED_VALUE"""),"Pitkänen, 2000")</f>
        <v>Pitkänen, 2000</v>
      </c>
      <c r="J698" s="42" t="str">
        <f>IFERROR(__xludf.DUMMYFUNCTION("""COMPUTED_VALUE"""),"Rat")</f>
        <v>Rat</v>
      </c>
      <c r="K698" s="42" t="str">
        <f>IFERROR(__xludf.DUMMYFUNCTION("""COMPUTED_VALUE"""),"Various tracing")</f>
        <v>Various tracing</v>
      </c>
      <c r="L698" s="42"/>
      <c r="M698" s="42" t="str">
        <f>IFERROR(__xludf.DUMMYFUNCTION("""COMPUTED_VALUE"""),"fig.3-fig.12 (to be specified)")</f>
        <v>fig.3-fig.12 (to be specified)</v>
      </c>
      <c r="N698" s="42"/>
      <c r="O698" s="31" t="str">
        <f>IFERROR(__xludf.DUMMYFUNCTION("""COMPUTED_VALUE"""),"DOC(alt)")</f>
        <v>DOC(alt)</v>
      </c>
      <c r="P698" s="9" t="str">
        <f>IFERROR(__xludf.DUMMYFUNCTION("""COMPUTED_VALUE"""),"Folia morphologica")</f>
        <v>Folia morphologica</v>
      </c>
      <c r="Q698" s="9" t="str">
        <f>IFERROR(__xludf.DUMMYFUNCTION("""COMPUTED_VALUE"""),"Review")</f>
        <v>Review</v>
      </c>
      <c r="R698" s="179" t="str">
        <f>IFERROR(__xludf.DUMMYFUNCTION("""COMPUTED_VALUE"""),"CoA (00/00) [Pitkänen, 2000];
")</f>
        <v>CoA (00/00) [Pitkänen, 2000];
</v>
      </c>
      <c r="S698" s="179" t="str">
        <f>IFERROR(__xludf.DUMMYFUNCTION("""COMPUTED_VALUE"""),"S1CCoA")</f>
        <v>S1CCoA</v>
      </c>
      <c r="T698" s="179" t="str">
        <f>IFERROR(__xludf.DUMMYFUNCTION("""COMPUTED_VALUE"""),"[Pitkänen, 2000]")</f>
        <v>[Pitkänen, 2000]</v>
      </c>
      <c r="U698" s="179">
        <f>IFERROR(__xludf.DUMMYFUNCTION("""COMPUTED_VALUE"""),0.0)</f>
        <v>0</v>
      </c>
      <c r="V698" s="180">
        <f>IFERROR(__xludf.DUMMYFUNCTION("""COMPUTED_VALUE"""),0.0)</f>
        <v>0</v>
      </c>
      <c r="W698" s="180">
        <f>IFERROR(__xludf.DUMMYFUNCTION("""COMPUTED_VALUE"""),0.95)</f>
        <v>0.95</v>
      </c>
      <c r="X698" s="42">
        <f>IFERROR(__xludf.DUMMYFUNCTION("""COMPUTED_VALUE"""),0.8)</f>
        <v>0.8</v>
      </c>
      <c r="Y698" s="42">
        <f>IFERROR(__xludf.DUMMYFUNCTION("""COMPUTED_VALUE"""),0.6)</f>
        <v>0.6</v>
      </c>
      <c r="Z698" s="9">
        <f>IFERROR(__xludf.DUMMYFUNCTION("""COMPUTED_VALUE"""),0.9)</f>
        <v>0.9</v>
      </c>
      <c r="AA698" s="181">
        <f>IFERROR(__xludf.DUMMYFUNCTION("""COMPUTED_VALUE"""),0.0)</f>
        <v>0</v>
      </c>
      <c r="AB698" s="181">
        <f>IFERROR(__xludf.DUMMYFUNCTION("""COMPUTED_VALUE"""),0.0)</f>
        <v>0</v>
      </c>
      <c r="AC698" s="179">
        <f>IFERROR(__xludf.DUMMYFUNCTION("""COMPUTED_VALUE"""),0.0)</f>
        <v>0</v>
      </c>
      <c r="AD698" s="165">
        <f>IFERROR(__xludf.DUMMYFUNCTION("""COMPUTED_VALUE"""),0.0)</f>
        <v>0</v>
      </c>
      <c r="AE698" s="39" t="str">
        <f>IFERROR(__xludf.DUMMYFUNCTION("""COMPUTED_VALUE"""),"Tatsuya Miyamoto")</f>
        <v>Tatsuya Miyamoto</v>
      </c>
      <c r="AF698" s="39" t="str">
        <f>IFERROR(__xludf.DUMMYFUNCTION("""COMPUTED_VALUE"""),"TM21Amygdala")</f>
        <v>TM21Amygdala</v>
      </c>
      <c r="AG698" s="39"/>
      <c r="AH698" s="39"/>
      <c r="AI698" s="165"/>
      <c r="AJ698" s="165"/>
      <c r="AK698" s="111"/>
      <c r="AL698" s="111"/>
      <c r="AM698" s="111"/>
      <c r="AN698" s="111"/>
      <c r="AO698" s="111"/>
      <c r="AP698" s="111"/>
      <c r="AQ698" s="116"/>
      <c r="AR698" s="116"/>
      <c r="AS698" s="116"/>
    </row>
    <row r="699">
      <c r="A699" s="42" t="str">
        <f>IFERROR(__xludf.DUMMYFUNCTION("""COMPUTED_VALUE"""),"SC")</f>
        <v>SC</v>
      </c>
      <c r="B699" s="42"/>
      <c r="C699" s="42"/>
      <c r="D699" s="42" t="str">
        <f>IFERROR(__xludf.DUMMYFUNCTION("""COMPUTED_VALUE"""),"RTg")</f>
        <v>RTg</v>
      </c>
      <c r="E699" s="42"/>
      <c r="F699" s="42"/>
      <c r="G699" s="42"/>
      <c r="H699" s="42" t="str">
        <f>IFERROR(__xludf.DUMMYFUNCTION("""COMPUTED_VALUE"""),"")</f>
        <v/>
      </c>
      <c r="I699" s="42" t="str">
        <f>IFERROR(__xludf.DUMMYFUNCTION("""COMPUTED_VALUE"""),"Kheradmand, 2011")</f>
        <v>Kheradmand, 2011</v>
      </c>
      <c r="J699" s="42"/>
      <c r="K699" s="42"/>
      <c r="L699" s="42"/>
      <c r="M699" s="42"/>
      <c r="N699" s="42"/>
      <c r="O699" s="31" t="str">
        <f>IFERROR(__xludf.DUMMYFUNCTION("""COMPUTED_VALUE"""),"DOC")</f>
        <v>DOC</v>
      </c>
      <c r="P699" s="9" t="str">
        <f>IFERROR(__xludf.DUMMYFUNCTION("""COMPUTED_VALUE"""),"Frontiers in Neurology")</f>
        <v>Frontiers in Neurology</v>
      </c>
      <c r="Q699" s="9"/>
      <c r="R699" s="179" t="str">
        <f>IFERROR(__xludf.DUMMYFUNCTION("""COMPUTED_VALUE"""),"RTg (00/00) [Kheradmand, 2011][Rondi-Reig, 2014][Burne, 1981];
")</f>
        <v>RTg (00/00) [Kheradmand, 2011][Rondi-Reig, 2014][Burne, 1981];
</v>
      </c>
      <c r="S699" s="179" t="str">
        <f>IFERROR(__xludf.DUMMYFUNCTION("""COMPUTED_VALUE"""),"SCRTg")</f>
        <v>SCRTg</v>
      </c>
      <c r="T699" s="179" t="str">
        <f>IFERROR(__xludf.DUMMYFUNCTION("""COMPUTED_VALUE"""),"[Kheradmand, 2011]")</f>
        <v>[Kheradmand, 2011]</v>
      </c>
      <c r="U699" s="179">
        <f>IFERROR(__xludf.DUMMYFUNCTION("""COMPUTED_VALUE"""),0.0)</f>
        <v>0</v>
      </c>
      <c r="V699" s="180">
        <f>IFERROR(__xludf.DUMMYFUNCTION("""COMPUTED_VALUE"""),0.0)</f>
        <v>0</v>
      </c>
      <c r="W699" s="180">
        <f>IFERROR(__xludf.DUMMYFUNCTION("""COMPUTED_VALUE"""),0.95)</f>
        <v>0.95</v>
      </c>
      <c r="X699" s="42">
        <f>IFERROR(__xludf.DUMMYFUNCTION("""COMPUTED_VALUE"""),0.0)</f>
        <v>0</v>
      </c>
      <c r="Y699" s="42">
        <f>IFERROR(__xludf.DUMMYFUNCTION("""COMPUTED_VALUE"""),0.0)</f>
        <v>0</v>
      </c>
      <c r="Z699" s="9">
        <f>IFERROR(__xludf.DUMMYFUNCTION("""COMPUTED_VALUE"""),0.0)</f>
        <v>0</v>
      </c>
      <c r="AA699" s="181">
        <f>IFERROR(__xludf.DUMMYFUNCTION("""COMPUTED_VALUE"""),0.0)</f>
        <v>0</v>
      </c>
      <c r="AB699" s="181">
        <f>IFERROR(__xludf.DUMMYFUNCTION("""COMPUTED_VALUE"""),0.0)</f>
        <v>0</v>
      </c>
      <c r="AC699" s="179">
        <f>IFERROR(__xludf.DUMMYFUNCTION("""COMPUTED_VALUE"""),0.0)</f>
        <v>0</v>
      </c>
      <c r="AD699" s="165">
        <f>IFERROR(__xludf.DUMMYFUNCTION("""COMPUTED_VALUE"""),0.0)</f>
        <v>0</v>
      </c>
      <c r="AE699" s="39" t="str">
        <f>IFERROR(__xludf.DUMMYFUNCTION("""COMPUTED_VALUE"""),"Hiroshi Yamakawa")</f>
        <v>Hiroshi Yamakawa</v>
      </c>
      <c r="AF699" s="39" t="str">
        <f>IFERROR(__xludf.DUMMYFUNCTION("""COMPUTED_VALUE"""),"HY20Cerebellum")</f>
        <v>HY20Cerebellum</v>
      </c>
      <c r="AG699" s="39"/>
      <c r="AH699" s="39"/>
      <c r="AI699" s="165"/>
      <c r="AJ699" s="165"/>
      <c r="AK699" s="111"/>
      <c r="AL699" s="111"/>
      <c r="AM699" s="111"/>
      <c r="AN699" s="111"/>
      <c r="AO699" s="111"/>
      <c r="AP699" s="111"/>
      <c r="AQ699" s="116"/>
      <c r="AR699" s="116"/>
      <c r="AS699" s="116"/>
    </row>
    <row r="700">
      <c r="A700" s="42" t="str">
        <f>IFERROR(__xludf.DUMMYFUNCTION("""COMPUTED_VALUE"""),"SC")</f>
        <v>SC</v>
      </c>
      <c r="B700" s="42"/>
      <c r="C700" s="42"/>
      <c r="D700" s="42" t="str">
        <f>IFERROR(__xludf.DUMMYFUNCTION("""COMPUTED_VALUE"""),"RTg")</f>
        <v>RTg</v>
      </c>
      <c r="E700" s="42"/>
      <c r="F700" s="42"/>
      <c r="G700" s="42"/>
      <c r="H700" s="42" t="str">
        <f>IFERROR(__xludf.DUMMYFUNCTION("""COMPUTED_VALUE"""),"")</f>
        <v/>
      </c>
      <c r="I700" s="42" t="str">
        <f>IFERROR(__xludf.DUMMYFUNCTION("""COMPUTED_VALUE"""),"Rondi-Reig, 2014")</f>
        <v>Rondi-Reig, 2014</v>
      </c>
      <c r="J700" s="42"/>
      <c r="K700" s="42"/>
      <c r="L700" s="42"/>
      <c r="M700" s="42"/>
      <c r="N700" s="42"/>
      <c r="O700" s="31" t="str">
        <f>IFERROR(__xludf.DUMMYFUNCTION("""COMPUTED_VALUE"""),"DOC")</f>
        <v>DOC</v>
      </c>
      <c r="P700" s="9" t="str">
        <f>IFERROR(__xludf.DUMMYFUNCTION("""COMPUTED_VALUE"""),"Frontiers in Systems Neuroscience")</f>
        <v>Frontiers in Systems Neuroscience</v>
      </c>
      <c r="Q700" s="9"/>
      <c r="R700" s="179" t="str">
        <f>IFERROR(__xludf.DUMMYFUNCTION("""COMPUTED_VALUE"""),"RTg (00/00) [Kheradmand, 2011][Rondi-Reig, 2014][Burne, 1981];
")</f>
        <v>RTg (00/00) [Kheradmand, 2011][Rondi-Reig, 2014][Burne, 1981];
</v>
      </c>
      <c r="S700" s="179" t="str">
        <f>IFERROR(__xludf.DUMMYFUNCTION("""COMPUTED_VALUE"""),"SCRTg")</f>
        <v>SCRTg</v>
      </c>
      <c r="T700" s="179" t="str">
        <f>IFERROR(__xludf.DUMMYFUNCTION("""COMPUTED_VALUE"""),"[Rondi-Reig, 2014]")</f>
        <v>[Rondi-Reig, 2014]</v>
      </c>
      <c r="U700" s="179">
        <f>IFERROR(__xludf.DUMMYFUNCTION("""COMPUTED_VALUE"""),0.0)</f>
        <v>0</v>
      </c>
      <c r="V700" s="180">
        <f>IFERROR(__xludf.DUMMYFUNCTION("""COMPUTED_VALUE"""),0.0)</f>
        <v>0</v>
      </c>
      <c r="W700" s="180">
        <f>IFERROR(__xludf.DUMMYFUNCTION("""COMPUTED_VALUE"""),0.95)</f>
        <v>0.95</v>
      </c>
      <c r="X700" s="42">
        <f>IFERROR(__xludf.DUMMYFUNCTION("""COMPUTED_VALUE"""),0.0)</f>
        <v>0</v>
      </c>
      <c r="Y700" s="42">
        <f>IFERROR(__xludf.DUMMYFUNCTION("""COMPUTED_VALUE"""),0.0)</f>
        <v>0</v>
      </c>
      <c r="Z700" s="9">
        <f>IFERROR(__xludf.DUMMYFUNCTION("""COMPUTED_VALUE"""),0.0)</f>
        <v>0</v>
      </c>
      <c r="AA700" s="181">
        <f>IFERROR(__xludf.DUMMYFUNCTION("""COMPUTED_VALUE"""),0.0)</f>
        <v>0</v>
      </c>
      <c r="AB700" s="181">
        <f>IFERROR(__xludf.DUMMYFUNCTION("""COMPUTED_VALUE"""),0.0)</f>
        <v>0</v>
      </c>
      <c r="AC700" s="179">
        <f>IFERROR(__xludf.DUMMYFUNCTION("""COMPUTED_VALUE"""),0.0)</f>
        <v>0</v>
      </c>
      <c r="AD700" s="165">
        <f>IFERROR(__xludf.DUMMYFUNCTION("""COMPUTED_VALUE"""),0.0)</f>
        <v>0</v>
      </c>
      <c r="AE700" s="39" t="str">
        <f>IFERROR(__xludf.DUMMYFUNCTION("""COMPUTED_VALUE"""),"Hiroshi Yamakawa")</f>
        <v>Hiroshi Yamakawa</v>
      </c>
      <c r="AF700" s="39" t="str">
        <f>IFERROR(__xludf.DUMMYFUNCTION("""COMPUTED_VALUE"""),"HY20Cerebellum")</f>
        <v>HY20Cerebellum</v>
      </c>
      <c r="AG700" s="39"/>
      <c r="AH700" s="39"/>
      <c r="AI700" s="165"/>
      <c r="AJ700" s="165"/>
      <c r="AK700" s="111"/>
      <c r="AL700" s="111"/>
      <c r="AM700" s="111"/>
      <c r="AN700" s="111"/>
      <c r="AO700" s="111"/>
      <c r="AP700" s="111"/>
      <c r="AQ700" s="116"/>
      <c r="AR700" s="116"/>
      <c r="AS700" s="116"/>
    </row>
    <row r="701">
      <c r="A701" s="42" t="str">
        <f>IFERROR(__xludf.DUMMYFUNCTION("""COMPUTED_VALUE"""),"SC")</f>
        <v>SC</v>
      </c>
      <c r="B701" s="42"/>
      <c r="C701" s="42"/>
      <c r="D701" s="42" t="str">
        <f>IFERROR(__xludf.DUMMYFUNCTION("""COMPUTED_VALUE"""),"RTg")</f>
        <v>RTg</v>
      </c>
      <c r="E701" s="42"/>
      <c r="F701" s="42"/>
      <c r="G701" s="42"/>
      <c r="H701" s="42" t="str">
        <f>IFERROR(__xludf.DUMMYFUNCTION("""COMPUTED_VALUE"""),"")</f>
        <v/>
      </c>
      <c r="I701" s="42" t="str">
        <f>IFERROR(__xludf.DUMMYFUNCTION("""COMPUTED_VALUE"""),"Burne, 1981")</f>
        <v>Burne, 1981</v>
      </c>
      <c r="J701" s="42"/>
      <c r="K701" s="42"/>
      <c r="L701" s="42"/>
      <c r="M701" s="42"/>
      <c r="N701" s="42"/>
      <c r="O701" s="31" t="str">
        <f>IFERROR(__xludf.DUMMYFUNCTION("""COMPUTED_VALUE"""),"DOC")</f>
        <v>DOC</v>
      </c>
      <c r="P701" s="9" t="str">
        <f>IFERROR(__xludf.DUMMYFUNCTION("""COMPUTED_VALUE"""),"The Journal of Comparative Neurology")</f>
        <v>The Journal of Comparative Neurology</v>
      </c>
      <c r="Q701" s="9"/>
      <c r="R701" s="179" t="str">
        <f>IFERROR(__xludf.DUMMYFUNCTION("""COMPUTED_VALUE"""),"RTg (00/00) [Kheradmand, 2011][Rondi-Reig, 2014][Burne, 1981];
")</f>
        <v>RTg (00/00) [Kheradmand, 2011][Rondi-Reig, 2014][Burne, 1981];
</v>
      </c>
      <c r="S701" s="179" t="str">
        <f>IFERROR(__xludf.DUMMYFUNCTION("""COMPUTED_VALUE"""),"SCRTg")</f>
        <v>SCRTg</v>
      </c>
      <c r="T701" s="179" t="str">
        <f>IFERROR(__xludf.DUMMYFUNCTION("""COMPUTED_VALUE"""),"[Burne, 1981]")</f>
        <v>[Burne, 1981]</v>
      </c>
      <c r="U701" s="179">
        <f>IFERROR(__xludf.DUMMYFUNCTION("""COMPUTED_VALUE"""),0.0)</f>
        <v>0</v>
      </c>
      <c r="V701" s="180">
        <f>IFERROR(__xludf.DUMMYFUNCTION("""COMPUTED_VALUE"""),0.0)</f>
        <v>0</v>
      </c>
      <c r="W701" s="180">
        <f>IFERROR(__xludf.DUMMYFUNCTION("""COMPUTED_VALUE"""),0.95)</f>
        <v>0.95</v>
      </c>
      <c r="X701" s="42">
        <f>IFERROR(__xludf.DUMMYFUNCTION("""COMPUTED_VALUE"""),0.0)</f>
        <v>0</v>
      </c>
      <c r="Y701" s="42">
        <f>IFERROR(__xludf.DUMMYFUNCTION("""COMPUTED_VALUE"""),0.0)</f>
        <v>0</v>
      </c>
      <c r="Z701" s="9">
        <f>IFERROR(__xludf.DUMMYFUNCTION("""COMPUTED_VALUE"""),0.0)</f>
        <v>0</v>
      </c>
      <c r="AA701" s="181">
        <f>IFERROR(__xludf.DUMMYFUNCTION("""COMPUTED_VALUE"""),0.0)</f>
        <v>0</v>
      </c>
      <c r="AB701" s="181">
        <f>IFERROR(__xludf.DUMMYFUNCTION("""COMPUTED_VALUE"""),0.0)</f>
        <v>0</v>
      </c>
      <c r="AC701" s="179">
        <f>IFERROR(__xludf.DUMMYFUNCTION("""COMPUTED_VALUE"""),0.0)</f>
        <v>0</v>
      </c>
      <c r="AD701" s="165">
        <f>IFERROR(__xludf.DUMMYFUNCTION("""COMPUTED_VALUE"""),0.0)</f>
        <v>0</v>
      </c>
      <c r="AE701" s="39" t="str">
        <f>IFERROR(__xludf.DUMMYFUNCTION("""COMPUTED_VALUE"""),"Yoshimasa Tawatsuji")</f>
        <v>Yoshimasa Tawatsuji</v>
      </c>
      <c r="AF701" s="39" t="str">
        <f>IFERROR(__xludf.DUMMYFUNCTION("""COMPUTED_VALUE"""),"Oculomotor")</f>
        <v>Oculomotor</v>
      </c>
      <c r="AG701" s="39"/>
      <c r="AH701" s="39"/>
      <c r="AI701" s="165"/>
      <c r="AJ701" s="165"/>
      <c r="AK701" s="111"/>
      <c r="AL701" s="111"/>
      <c r="AM701" s="111"/>
      <c r="AN701" s="111"/>
      <c r="AO701" s="111"/>
      <c r="AP701" s="111"/>
      <c r="AQ701" s="116"/>
      <c r="AR701" s="116"/>
      <c r="AS701" s="116"/>
    </row>
    <row r="702">
      <c r="A702" s="42" t="str">
        <f>IFERROR(__xludf.DUMMYFUNCTION("""COMPUTED_VALUE"""),"SCI")</f>
        <v>SCI</v>
      </c>
      <c r="B702" s="42"/>
      <c r="C702" s="42"/>
      <c r="D702" s="42" t="str">
        <f>IFERROR(__xludf.DUMMYFUNCTION("""COMPUTED_VALUE"""),"THM")</f>
        <v>THM</v>
      </c>
      <c r="E702" s="42"/>
      <c r="F702" s="42"/>
      <c r="G702" s="42"/>
      <c r="H702" s="42" t="str">
        <f>IFERROR(__xludf.DUMMYFUNCTION("""COMPUTED_VALUE"""),"")</f>
        <v/>
      </c>
      <c r="I702" s="42" t="str">
        <f>IFERROR(__xludf.DUMMYFUNCTION("""COMPUTED_VALUE"""),"author, year")</f>
        <v>author, year</v>
      </c>
      <c r="J702" s="42"/>
      <c r="K702" s="42"/>
      <c r="L702" s="42"/>
      <c r="M702" s="42"/>
      <c r="N702" s="42"/>
      <c r="O702" s="31" t="str">
        <f>IFERROR(__xludf.DUMMYFUNCTION("""COMPUTED_VALUE"""),"#Error: Reference ID")</f>
        <v>#Error: Reference ID</v>
      </c>
      <c r="P702" s="9" t="str">
        <f>IFERROR(__xludf.DUMMYFUNCTION("""COMPUTED_VALUE"""),"#Error: Reference ID")</f>
        <v>#Error: Reference ID</v>
      </c>
      <c r="Q702" s="9" t="str">
        <f>IFERROR(__xludf.DUMMYFUNCTION("""COMPUTED_VALUE"""),"#Error: Reference ID")</f>
        <v>#Error: Reference ID</v>
      </c>
      <c r="R702" s="179" t="str">
        <f>IFERROR(__xludf.DUMMYFUNCTION("""COMPUTED_VALUE"""),"THM (00/00) [author, year];
")</f>
        <v>THM (00/00) [author, year];
</v>
      </c>
      <c r="S702" s="179" t="str">
        <f>IFERROR(__xludf.DUMMYFUNCTION("""COMPUTED_VALUE"""),"SCITHM")</f>
        <v>SCITHM</v>
      </c>
      <c r="T702" s="179" t="str">
        <f>IFERROR(__xludf.DUMMYFUNCTION("""COMPUTED_VALUE"""),"[author, year]")</f>
        <v>[author, year]</v>
      </c>
      <c r="U702" s="179">
        <f>IFERROR(__xludf.DUMMYFUNCTION("""COMPUTED_VALUE"""),0.0)</f>
        <v>0</v>
      </c>
      <c r="V702" s="180">
        <f>IFERROR(__xludf.DUMMYFUNCTION("""COMPUTED_VALUE"""),0.0)</f>
        <v>0</v>
      </c>
      <c r="W702" s="180">
        <f>IFERROR(__xludf.DUMMYFUNCTION("""COMPUTED_VALUE"""),0.0)</f>
        <v>0</v>
      </c>
      <c r="X702" s="42">
        <f>IFERROR(__xludf.DUMMYFUNCTION("""COMPUTED_VALUE"""),0.0)</f>
        <v>0</v>
      </c>
      <c r="Y702" s="42">
        <f>IFERROR(__xludf.DUMMYFUNCTION("""COMPUTED_VALUE"""),0.0)</f>
        <v>0</v>
      </c>
      <c r="Z702" s="9">
        <f>IFERROR(__xludf.DUMMYFUNCTION("""COMPUTED_VALUE"""),0.0)</f>
        <v>0</v>
      </c>
      <c r="AA702" s="181">
        <f>IFERROR(__xludf.DUMMYFUNCTION("""COMPUTED_VALUE"""),0.0)</f>
        <v>0</v>
      </c>
      <c r="AB702" s="181">
        <f>IFERROR(__xludf.DUMMYFUNCTION("""COMPUTED_VALUE"""),0.0)</f>
        <v>0</v>
      </c>
      <c r="AC702" s="179">
        <f>IFERROR(__xludf.DUMMYFUNCTION("""COMPUTED_VALUE"""),0.0)</f>
        <v>0</v>
      </c>
      <c r="AD702" s="165">
        <f>IFERROR(__xludf.DUMMYFUNCTION("""COMPUTED_VALUE"""),0.0)</f>
        <v>0</v>
      </c>
      <c r="AE702" s="39" t="str">
        <f>IFERROR(__xludf.DUMMYFUNCTION("""COMPUTED_VALUE"""),"Yuske Shibata")</f>
        <v>Yuske Shibata</v>
      </c>
      <c r="AF702" s="39" t="str">
        <f>IFERROR(__xludf.DUMMYFUNCTION("""COMPUTED_VALUE"""),"YS21BgLoop")</f>
        <v>YS21BgLoop</v>
      </c>
      <c r="AG702" s="39"/>
      <c r="AH702" s="39"/>
      <c r="AI702" s="165"/>
      <c r="AJ702" s="165"/>
      <c r="AK702" s="111"/>
      <c r="AL702" s="111"/>
      <c r="AM702" s="111"/>
      <c r="AN702" s="111"/>
      <c r="AO702" s="111"/>
      <c r="AP702" s="111"/>
      <c r="AQ702" s="116"/>
      <c r="AR702" s="116"/>
      <c r="AS702" s="116"/>
    </row>
    <row r="703">
      <c r="A703" s="42" t="str">
        <f>IFERROR(__xludf.DUMMYFUNCTION("""COMPUTED_VALUE"""),"SCS")</f>
        <v>SCS</v>
      </c>
      <c r="B703" s="42"/>
      <c r="C703" s="42"/>
      <c r="D703" s="42" t="str">
        <f>IFERROR(__xludf.DUMMYFUNCTION("""COMPUTED_VALUE"""),"SCI")</f>
        <v>SCI</v>
      </c>
      <c r="E703" s="42"/>
      <c r="F703" s="42"/>
      <c r="G703" s="42"/>
      <c r="H703" s="42" t="str">
        <f>IFERROR(__xludf.DUMMYFUNCTION("""COMPUTED_VALUE"""),"")</f>
        <v/>
      </c>
      <c r="I703" s="42" t="str">
        <f>IFERROR(__xludf.DUMMYFUNCTION("""COMPUTED_VALUE"""),"author, year")</f>
        <v>author, year</v>
      </c>
      <c r="J703" s="42"/>
      <c r="K703" s="42"/>
      <c r="L703" s="42"/>
      <c r="M703" s="42"/>
      <c r="N703" s="42"/>
      <c r="O703" s="31" t="str">
        <f>IFERROR(__xludf.DUMMYFUNCTION("""COMPUTED_VALUE"""),"#Error: Reference ID")</f>
        <v>#Error: Reference ID</v>
      </c>
      <c r="P703" s="9" t="str">
        <f>IFERROR(__xludf.DUMMYFUNCTION("""COMPUTED_VALUE"""),"#Error: Reference ID")</f>
        <v>#Error: Reference ID</v>
      </c>
      <c r="Q703" s="9" t="str">
        <f>IFERROR(__xludf.DUMMYFUNCTION("""COMPUTED_VALUE"""),"#Error: Reference ID")</f>
        <v>#Error: Reference ID</v>
      </c>
      <c r="R703" s="179" t="str">
        <f>IFERROR(__xludf.DUMMYFUNCTION("""COMPUTED_VALUE"""),"SCI (00/00) [author, year];
")</f>
        <v>SCI (00/00) [author, year];
</v>
      </c>
      <c r="S703" s="179" t="str">
        <f>IFERROR(__xludf.DUMMYFUNCTION("""COMPUTED_VALUE"""),"SCSSCI")</f>
        <v>SCSSCI</v>
      </c>
      <c r="T703" s="179" t="str">
        <f>IFERROR(__xludf.DUMMYFUNCTION("""COMPUTED_VALUE"""),"[author, year]")</f>
        <v>[author, year]</v>
      </c>
      <c r="U703" s="179">
        <f>IFERROR(__xludf.DUMMYFUNCTION("""COMPUTED_VALUE"""),0.0)</f>
        <v>0</v>
      </c>
      <c r="V703" s="180">
        <f>IFERROR(__xludf.DUMMYFUNCTION("""COMPUTED_VALUE"""),0.0)</f>
        <v>0</v>
      </c>
      <c r="W703" s="180">
        <f>IFERROR(__xludf.DUMMYFUNCTION("""COMPUTED_VALUE"""),0.0)</f>
        <v>0</v>
      </c>
      <c r="X703" s="42">
        <f>IFERROR(__xludf.DUMMYFUNCTION("""COMPUTED_VALUE"""),0.0)</f>
        <v>0</v>
      </c>
      <c r="Y703" s="42">
        <f>IFERROR(__xludf.DUMMYFUNCTION("""COMPUTED_VALUE"""),0.0)</f>
        <v>0</v>
      </c>
      <c r="Z703" s="9">
        <f>IFERROR(__xludf.DUMMYFUNCTION("""COMPUTED_VALUE"""),0.0)</f>
        <v>0</v>
      </c>
      <c r="AA703" s="181">
        <f>IFERROR(__xludf.DUMMYFUNCTION("""COMPUTED_VALUE"""),0.0)</f>
        <v>0</v>
      </c>
      <c r="AB703" s="181">
        <f>IFERROR(__xludf.DUMMYFUNCTION("""COMPUTED_VALUE"""),0.0)</f>
        <v>0</v>
      </c>
      <c r="AC703" s="179">
        <f>IFERROR(__xludf.DUMMYFUNCTION("""COMPUTED_VALUE"""),0.0)</f>
        <v>0</v>
      </c>
      <c r="AD703" s="165">
        <f>IFERROR(__xludf.DUMMYFUNCTION("""COMPUTED_VALUE"""),0.0)</f>
        <v>0</v>
      </c>
      <c r="AE703" s="39" t="str">
        <f>IFERROR(__xludf.DUMMYFUNCTION("""COMPUTED_VALUE"""),"Yuske Shibata")</f>
        <v>Yuske Shibata</v>
      </c>
      <c r="AF703" s="39" t="str">
        <f>IFERROR(__xludf.DUMMYFUNCTION("""COMPUTED_VALUE"""),"YS21BgLoop")</f>
        <v>YS21BgLoop</v>
      </c>
      <c r="AG703" s="39"/>
      <c r="AH703" s="39"/>
      <c r="AI703" s="165"/>
      <c r="AJ703" s="165"/>
      <c r="AK703" s="111"/>
      <c r="AL703" s="111"/>
      <c r="AM703" s="111"/>
      <c r="AN703" s="111"/>
      <c r="AO703" s="111"/>
      <c r="AP703" s="111"/>
      <c r="AQ703" s="116"/>
      <c r="AR703" s="116"/>
      <c r="AS703" s="116"/>
    </row>
    <row r="704">
      <c r="A704" s="42" t="str">
        <f>IFERROR(__xludf.DUMMYFUNCTION("""COMPUTED_VALUE"""),"SCS")</f>
        <v>SCS</v>
      </c>
      <c r="B704" s="42"/>
      <c r="C704" s="42"/>
      <c r="D704" s="42" t="str">
        <f>IFERROR(__xludf.DUMMYFUNCTION("""COMPUTED_VALUE"""),"THM")</f>
        <v>THM</v>
      </c>
      <c r="E704" s="42"/>
      <c r="F704" s="42"/>
      <c r="G704" s="42"/>
      <c r="H704" s="42" t="str">
        <f>IFERROR(__xludf.DUMMYFUNCTION("""COMPUTED_VALUE"""),"")</f>
        <v/>
      </c>
      <c r="I704" s="42" t="str">
        <f>IFERROR(__xludf.DUMMYFUNCTION("""COMPUTED_VALUE"""),"author, year")</f>
        <v>author, year</v>
      </c>
      <c r="J704" s="42"/>
      <c r="K704" s="42"/>
      <c r="L704" s="42"/>
      <c r="M704" s="42"/>
      <c r="N704" s="42"/>
      <c r="O704" s="31" t="str">
        <f>IFERROR(__xludf.DUMMYFUNCTION("""COMPUTED_VALUE"""),"#Error: Reference ID")</f>
        <v>#Error: Reference ID</v>
      </c>
      <c r="P704" s="9" t="str">
        <f>IFERROR(__xludf.DUMMYFUNCTION("""COMPUTED_VALUE"""),"#Error: Reference ID")</f>
        <v>#Error: Reference ID</v>
      </c>
      <c r="Q704" s="9" t="str">
        <f>IFERROR(__xludf.DUMMYFUNCTION("""COMPUTED_VALUE"""),"#Error: Reference ID")</f>
        <v>#Error: Reference ID</v>
      </c>
      <c r="R704" s="179" t="str">
        <f>IFERROR(__xludf.DUMMYFUNCTION("""COMPUTED_VALUE"""),"THM (00/00) [author, year];
")</f>
        <v>THM (00/00) [author, year];
</v>
      </c>
      <c r="S704" s="179" t="str">
        <f>IFERROR(__xludf.DUMMYFUNCTION("""COMPUTED_VALUE"""),"SCSTHM")</f>
        <v>SCSTHM</v>
      </c>
      <c r="T704" s="179" t="str">
        <f>IFERROR(__xludf.DUMMYFUNCTION("""COMPUTED_VALUE"""),"[author, year]")</f>
        <v>[author, year]</v>
      </c>
      <c r="U704" s="179">
        <f>IFERROR(__xludf.DUMMYFUNCTION("""COMPUTED_VALUE"""),0.0)</f>
        <v>0</v>
      </c>
      <c r="V704" s="180">
        <f>IFERROR(__xludf.DUMMYFUNCTION("""COMPUTED_VALUE"""),0.0)</f>
        <v>0</v>
      </c>
      <c r="W704" s="180">
        <f>IFERROR(__xludf.DUMMYFUNCTION("""COMPUTED_VALUE"""),0.0)</f>
        <v>0</v>
      </c>
      <c r="X704" s="42">
        <f>IFERROR(__xludf.DUMMYFUNCTION("""COMPUTED_VALUE"""),0.0)</f>
        <v>0</v>
      </c>
      <c r="Y704" s="42">
        <f>IFERROR(__xludf.DUMMYFUNCTION("""COMPUTED_VALUE"""),0.0)</f>
        <v>0</v>
      </c>
      <c r="Z704" s="9">
        <f>IFERROR(__xludf.DUMMYFUNCTION("""COMPUTED_VALUE"""),0.0)</f>
        <v>0</v>
      </c>
      <c r="AA704" s="181">
        <f>IFERROR(__xludf.DUMMYFUNCTION("""COMPUTED_VALUE"""),0.0)</f>
        <v>0</v>
      </c>
      <c r="AB704" s="181">
        <f>IFERROR(__xludf.DUMMYFUNCTION("""COMPUTED_VALUE"""),0.0)</f>
        <v>0</v>
      </c>
      <c r="AC704" s="179">
        <f>IFERROR(__xludf.DUMMYFUNCTION("""COMPUTED_VALUE"""),0.0)</f>
        <v>0</v>
      </c>
      <c r="AD704" s="165">
        <f>IFERROR(__xludf.DUMMYFUNCTION("""COMPUTED_VALUE"""),0.0)</f>
        <v>0</v>
      </c>
      <c r="AE704" s="39" t="str">
        <f>IFERROR(__xludf.DUMMYFUNCTION("""COMPUTED_VALUE"""),"Yuske Shibata")</f>
        <v>Yuske Shibata</v>
      </c>
      <c r="AF704" s="39" t="str">
        <f>IFERROR(__xludf.DUMMYFUNCTION("""COMPUTED_VALUE"""),"YS21BgLoop")</f>
        <v>YS21BgLoop</v>
      </c>
      <c r="AG704" s="39"/>
      <c r="AH704" s="39"/>
      <c r="AI704" s="165"/>
      <c r="AJ704" s="165"/>
      <c r="AK704" s="111"/>
      <c r="AL704" s="111"/>
      <c r="AM704" s="111"/>
      <c r="AN704" s="111"/>
      <c r="AO704" s="111"/>
      <c r="AP704" s="111"/>
      <c r="AQ704" s="116"/>
      <c r="AR704" s="116"/>
      <c r="AS704" s="116"/>
    </row>
    <row r="705">
      <c r="A705" s="42" t="str">
        <f>IFERROR(__xludf.DUMMYFUNCTION("""COMPUTED_VALUE"""),"SEF")</f>
        <v>SEF</v>
      </c>
      <c r="B705" s="42"/>
      <c r="C705" s="42"/>
      <c r="D705" s="42" t="str">
        <f>IFERROR(__xludf.DUMMYFUNCTION("""COMPUTED_VALUE"""),"cMRF")</f>
        <v>cMRF</v>
      </c>
      <c r="E705" s="42"/>
      <c r="F705" s="42"/>
      <c r="G705" s="42"/>
      <c r="H705" s="42" t="str">
        <f>IFERROR(__xludf.DUMMYFUNCTION("""COMPUTED_VALUE"""),"")</f>
        <v/>
      </c>
      <c r="I705" s="42" t="str">
        <f>IFERROR(__xludf.DUMMYFUNCTION("""COMPUTED_VALUE"""),"Shook, 1990")</f>
        <v>Shook, 1990</v>
      </c>
      <c r="J705" s="42"/>
      <c r="K705" s="42"/>
      <c r="L705" s="42"/>
      <c r="M705" s="42"/>
      <c r="N705" s="42"/>
      <c r="O705" s="31" t="str">
        <f>IFERROR(__xludf.DUMMYFUNCTION("""COMPUTED_VALUE"""),"DOC")</f>
        <v>DOC</v>
      </c>
      <c r="P705" s="9" t="str">
        <f>IFERROR(__xludf.DUMMYFUNCTION("""COMPUTED_VALUE"""),"The Journal of Comparative Neurology")</f>
        <v>The Journal of Comparative Neurology</v>
      </c>
      <c r="Q705" s="9"/>
      <c r="R705" s="179" t="str">
        <f>IFERROR(__xludf.DUMMYFUNCTION("""COMPUTED_VALUE"""),"cMRF (00/00) [Shook, 1990];
")</f>
        <v>cMRF (00/00) [Shook, 1990];
</v>
      </c>
      <c r="S705" s="179" t="str">
        <f>IFERROR(__xludf.DUMMYFUNCTION("""COMPUTED_VALUE"""),"SEFcMRF")</f>
        <v>SEFcMRF</v>
      </c>
      <c r="T705" s="179" t="str">
        <f>IFERROR(__xludf.DUMMYFUNCTION("""COMPUTED_VALUE"""),"[Shook, 1990]")</f>
        <v>[Shook, 1990]</v>
      </c>
      <c r="U705" s="179">
        <f>IFERROR(__xludf.DUMMYFUNCTION("""COMPUTED_VALUE"""),0.0)</f>
        <v>0</v>
      </c>
      <c r="V705" s="180">
        <f>IFERROR(__xludf.DUMMYFUNCTION("""COMPUTED_VALUE"""),0.0)</f>
        <v>0</v>
      </c>
      <c r="W705" s="180">
        <f>IFERROR(__xludf.DUMMYFUNCTION("""COMPUTED_VALUE"""),0.95)</f>
        <v>0.95</v>
      </c>
      <c r="X705" s="42">
        <f>IFERROR(__xludf.DUMMYFUNCTION("""COMPUTED_VALUE"""),0.0)</f>
        <v>0</v>
      </c>
      <c r="Y705" s="42">
        <f>IFERROR(__xludf.DUMMYFUNCTION("""COMPUTED_VALUE"""),0.0)</f>
        <v>0</v>
      </c>
      <c r="Z705" s="9">
        <f>IFERROR(__xludf.DUMMYFUNCTION("""COMPUTED_VALUE"""),0.0)</f>
        <v>0</v>
      </c>
      <c r="AA705" s="181">
        <f>IFERROR(__xludf.DUMMYFUNCTION("""COMPUTED_VALUE"""),0.0)</f>
        <v>0</v>
      </c>
      <c r="AB705" s="181">
        <f>IFERROR(__xludf.DUMMYFUNCTION("""COMPUTED_VALUE"""),0.0)</f>
        <v>0</v>
      </c>
      <c r="AC705" s="179">
        <f>IFERROR(__xludf.DUMMYFUNCTION("""COMPUTED_VALUE"""),0.0)</f>
        <v>0</v>
      </c>
      <c r="AD705" s="165">
        <f>IFERROR(__xludf.DUMMYFUNCTION("""COMPUTED_VALUE"""),0.0)</f>
        <v>0</v>
      </c>
      <c r="AE705" s="39" t="str">
        <f>IFERROR(__xludf.DUMMYFUNCTION("""COMPUTED_VALUE"""),"Yoshimasa Tawatsuji")</f>
        <v>Yoshimasa Tawatsuji</v>
      </c>
      <c r="AF705" s="39" t="str">
        <f>IFERROR(__xludf.DUMMYFUNCTION("""COMPUTED_VALUE"""),"Oculomotor")</f>
        <v>Oculomotor</v>
      </c>
      <c r="AG705" s="39"/>
      <c r="AH705" s="39"/>
      <c r="AI705" s="165"/>
      <c r="AJ705" s="165"/>
      <c r="AK705" s="111"/>
      <c r="AL705" s="111"/>
      <c r="AM705" s="111"/>
      <c r="AN705" s="111"/>
      <c r="AO705" s="111"/>
      <c r="AP705" s="111"/>
      <c r="AQ705" s="116"/>
      <c r="AR705" s="116"/>
      <c r="AS705" s="116"/>
    </row>
    <row r="706">
      <c r="A706" s="42" t="str">
        <f>IFERROR(__xludf.DUMMYFUNCTION("""COMPUTED_VALUE"""),"SN")</f>
        <v>SN</v>
      </c>
      <c r="B706" s="42"/>
      <c r="C706" s="42"/>
      <c r="D706" s="42" t="str">
        <f>IFERROR(__xludf.DUMMYFUNCTION("""COMPUTED_VALUE"""),"CEN")</f>
        <v>CEN</v>
      </c>
      <c r="E706" s="42"/>
      <c r="F706" s="42"/>
      <c r="G706" s="42"/>
      <c r="H706" s="42" t="str">
        <f>IFERROR(__xludf.DUMMYFUNCTION("""COMPUTED_VALUE"""),"")</f>
        <v/>
      </c>
      <c r="I706" s="42" t="str">
        <f>IFERROR(__xludf.DUMMYFUNCTION("""COMPUTED_VALUE"""),"Pitkänen, 2000")</f>
        <v>Pitkänen, 2000</v>
      </c>
      <c r="J706" s="42" t="str">
        <f>IFERROR(__xludf.DUMMYFUNCTION("""COMPUTED_VALUE"""),"Rat")</f>
        <v>Rat</v>
      </c>
      <c r="K706" s="42" t="str">
        <f>IFERROR(__xludf.DUMMYFUNCTION("""COMPUTED_VALUE"""),"Various tracing")</f>
        <v>Various tracing</v>
      </c>
      <c r="L706" s="42"/>
      <c r="M706" s="42" t="str">
        <f>IFERROR(__xludf.DUMMYFUNCTION("""COMPUTED_VALUE"""),"fig.3-fig.12 (to be specified)")</f>
        <v>fig.3-fig.12 (to be specified)</v>
      </c>
      <c r="N706" s="42"/>
      <c r="O706" s="31" t="str">
        <f>IFERROR(__xludf.DUMMYFUNCTION("""COMPUTED_VALUE"""),"DOC(alt)")</f>
        <v>DOC(alt)</v>
      </c>
      <c r="P706" s="9" t="str">
        <f>IFERROR(__xludf.DUMMYFUNCTION("""COMPUTED_VALUE"""),"Folia morphologica")</f>
        <v>Folia morphologica</v>
      </c>
      <c r="Q706" s="9" t="str">
        <f>IFERROR(__xludf.DUMMYFUNCTION("""COMPUTED_VALUE"""),"Review")</f>
        <v>Review</v>
      </c>
      <c r="R706" s="179" t="str">
        <f>IFERROR(__xludf.DUMMYFUNCTION("""COMPUTED_VALUE"""),"CEN (00/00) [Pitkänen, 2000];
")</f>
        <v>CEN (00/00) [Pitkänen, 2000];
</v>
      </c>
      <c r="S706" s="179" t="str">
        <f>IFERROR(__xludf.DUMMYFUNCTION("""COMPUTED_VALUE"""),"SNCEN")</f>
        <v>SNCEN</v>
      </c>
      <c r="T706" s="179" t="str">
        <f>IFERROR(__xludf.DUMMYFUNCTION("""COMPUTED_VALUE"""),"[Pitkänen, 2000]")</f>
        <v>[Pitkänen, 2000]</v>
      </c>
      <c r="U706" s="179">
        <f>IFERROR(__xludf.DUMMYFUNCTION("""COMPUTED_VALUE"""),0.0)</f>
        <v>0</v>
      </c>
      <c r="V706" s="180">
        <f>IFERROR(__xludf.DUMMYFUNCTION("""COMPUTED_VALUE"""),0.0)</f>
        <v>0</v>
      </c>
      <c r="W706" s="180">
        <f>IFERROR(__xludf.DUMMYFUNCTION("""COMPUTED_VALUE"""),0.95)</f>
        <v>0.95</v>
      </c>
      <c r="X706" s="42">
        <f>IFERROR(__xludf.DUMMYFUNCTION("""COMPUTED_VALUE"""),0.8)</f>
        <v>0.8</v>
      </c>
      <c r="Y706" s="42">
        <f>IFERROR(__xludf.DUMMYFUNCTION("""COMPUTED_VALUE"""),0.6)</f>
        <v>0.6</v>
      </c>
      <c r="Z706" s="9">
        <f>IFERROR(__xludf.DUMMYFUNCTION("""COMPUTED_VALUE"""),0.9)</f>
        <v>0.9</v>
      </c>
      <c r="AA706" s="181">
        <f>IFERROR(__xludf.DUMMYFUNCTION("""COMPUTED_VALUE"""),0.0)</f>
        <v>0</v>
      </c>
      <c r="AB706" s="181">
        <f>IFERROR(__xludf.DUMMYFUNCTION("""COMPUTED_VALUE"""),0.0)</f>
        <v>0</v>
      </c>
      <c r="AC706" s="179">
        <f>IFERROR(__xludf.DUMMYFUNCTION("""COMPUTED_VALUE"""),0.0)</f>
        <v>0</v>
      </c>
      <c r="AD706" s="165">
        <f>IFERROR(__xludf.DUMMYFUNCTION("""COMPUTED_VALUE"""),0.0)</f>
        <v>0</v>
      </c>
      <c r="AE706" s="39" t="str">
        <f>IFERROR(__xludf.DUMMYFUNCTION("""COMPUTED_VALUE"""),"Tatsuya Miyamoto")</f>
        <v>Tatsuya Miyamoto</v>
      </c>
      <c r="AF706" s="39" t="str">
        <f>IFERROR(__xludf.DUMMYFUNCTION("""COMPUTED_VALUE"""),"TM21Amygdala")</f>
        <v>TM21Amygdala</v>
      </c>
      <c r="AG706" s="39"/>
      <c r="AH706" s="39"/>
      <c r="AI706" s="165"/>
      <c r="AJ706" s="165"/>
      <c r="AK706" s="111"/>
      <c r="AL706" s="111"/>
      <c r="AM706" s="111"/>
      <c r="AN706" s="111"/>
      <c r="AO706" s="111"/>
      <c r="AP706" s="111"/>
      <c r="AQ706" s="116"/>
      <c r="AR706" s="116"/>
      <c r="AS706" s="116"/>
    </row>
    <row r="707">
      <c r="A707" s="42" t="str">
        <f>IFERROR(__xludf.DUMMYFUNCTION("""COMPUTED_VALUE"""),"SNC")</f>
        <v>SNC</v>
      </c>
      <c r="B707" s="42"/>
      <c r="C707" s="42"/>
      <c r="D707" s="42" t="str">
        <f>IFERROR(__xludf.DUMMYFUNCTION("""COMPUTED_VALUE"""),"STR_matrix")</f>
        <v>STR_matrix</v>
      </c>
      <c r="E707" s="42"/>
      <c r="F707" s="42"/>
      <c r="G707" s="42"/>
      <c r="H707" s="42" t="str">
        <f>IFERROR(__xludf.DUMMYFUNCTION("""COMPUTED_VALUE"""),"")</f>
        <v/>
      </c>
      <c r="I707" s="42" t="str">
        <f>IFERROR(__xludf.DUMMYFUNCTION("""COMPUTED_VALUE"""),"Smith, 2011")</f>
        <v>Smith, 2011</v>
      </c>
      <c r="J707" s="42"/>
      <c r="K707" s="42"/>
      <c r="L707" s="42"/>
      <c r="M707" s="42"/>
      <c r="N707" s="42"/>
      <c r="O707" s="31" t="str">
        <f>IFERROR(__xludf.DUMMYFUNCTION("""COMPUTED_VALUE"""),"DOC")</f>
        <v>DOC</v>
      </c>
      <c r="P707" s="9" t="str">
        <f>IFERROR(__xludf.DUMMYFUNCTION("""COMPUTED_VALUE"""),"Youmans Neurological Surgery")</f>
        <v>Youmans Neurological Surgery</v>
      </c>
      <c r="Q707" s="9"/>
      <c r="R707" s="179" t="str">
        <f>IFERROR(__xludf.DUMMYFUNCTION("""COMPUTED_VALUE"""),"STR_matrix (00/00) [Smith, 2011][author, year];
")</f>
        <v>STR_matrix (00/00) [Smith, 2011][author, year];
</v>
      </c>
      <c r="S707" s="179" t="str">
        <f>IFERROR(__xludf.DUMMYFUNCTION("""COMPUTED_VALUE"""),"SNCSTR_matrix")</f>
        <v>SNCSTR_matrix</v>
      </c>
      <c r="T707" s="179" t="str">
        <f>IFERROR(__xludf.DUMMYFUNCTION("""COMPUTED_VALUE"""),"[Smith, 2011]")</f>
        <v>[Smith, 2011]</v>
      </c>
      <c r="U707" s="179">
        <f>IFERROR(__xludf.DUMMYFUNCTION("""COMPUTED_VALUE"""),0.0)</f>
        <v>0</v>
      </c>
      <c r="V707" s="180">
        <f>IFERROR(__xludf.DUMMYFUNCTION("""COMPUTED_VALUE"""),0.0)</f>
        <v>0</v>
      </c>
      <c r="W707" s="180">
        <f>IFERROR(__xludf.DUMMYFUNCTION("""COMPUTED_VALUE"""),0.95)</f>
        <v>0.95</v>
      </c>
      <c r="X707" s="42">
        <f>IFERROR(__xludf.DUMMYFUNCTION("""COMPUTED_VALUE"""),0.0)</f>
        <v>0</v>
      </c>
      <c r="Y707" s="42">
        <f>IFERROR(__xludf.DUMMYFUNCTION("""COMPUTED_VALUE"""),0.0)</f>
        <v>0</v>
      </c>
      <c r="Z707" s="9">
        <f>IFERROR(__xludf.DUMMYFUNCTION("""COMPUTED_VALUE"""),0.0)</f>
        <v>0</v>
      </c>
      <c r="AA707" s="181">
        <f>IFERROR(__xludf.DUMMYFUNCTION("""COMPUTED_VALUE"""),0.0)</f>
        <v>0</v>
      </c>
      <c r="AB707" s="181">
        <f>IFERROR(__xludf.DUMMYFUNCTION("""COMPUTED_VALUE"""),0.0)</f>
        <v>0</v>
      </c>
      <c r="AC707" s="179">
        <f>IFERROR(__xludf.DUMMYFUNCTION("""COMPUTED_VALUE"""),0.0)</f>
        <v>0</v>
      </c>
      <c r="AD707" s="165">
        <f>IFERROR(__xludf.DUMMYFUNCTION("""COMPUTED_VALUE"""),0.0)</f>
        <v>0</v>
      </c>
      <c r="AE707" s="39" t="str">
        <f>IFERROR(__xludf.DUMMYFUNCTION("""COMPUTED_VALUE"""),"Yuske Shibata")</f>
        <v>Yuske Shibata</v>
      </c>
      <c r="AF707" s="39" t="str">
        <f>IFERROR(__xludf.DUMMYFUNCTION("""COMPUTED_VALUE"""),"YS21BgLoop")</f>
        <v>YS21BgLoop</v>
      </c>
      <c r="AG707" s="39"/>
      <c r="AH707" s="39"/>
      <c r="AI707" s="165"/>
      <c r="AJ707" s="165"/>
      <c r="AK707" s="111"/>
      <c r="AL707" s="111"/>
      <c r="AM707" s="111"/>
      <c r="AN707" s="111"/>
      <c r="AO707" s="111"/>
      <c r="AP707" s="111"/>
      <c r="AQ707" s="116"/>
      <c r="AR707" s="116"/>
      <c r="AS707" s="116"/>
    </row>
    <row r="708">
      <c r="A708" s="42" t="str">
        <f>IFERROR(__xludf.DUMMYFUNCTION("""COMPUTED_VALUE"""),"SNC")</f>
        <v>SNC</v>
      </c>
      <c r="B708" s="42"/>
      <c r="C708" s="42"/>
      <c r="D708" s="42" t="str">
        <f>IFERROR(__xludf.DUMMYFUNCTION("""COMPUTED_VALUE"""),"STR_patch")</f>
        <v>STR_patch</v>
      </c>
      <c r="E708" s="42"/>
      <c r="F708" s="42"/>
      <c r="G708" s="42"/>
      <c r="H708" s="42" t="str">
        <f>IFERROR(__xludf.DUMMYFUNCTION("""COMPUTED_VALUE"""),"")</f>
        <v/>
      </c>
      <c r="I708" s="42" t="str">
        <f>IFERROR(__xludf.DUMMYFUNCTION("""COMPUTED_VALUE"""),"Smith, 2011")</f>
        <v>Smith, 2011</v>
      </c>
      <c r="J708" s="42"/>
      <c r="K708" s="42"/>
      <c r="L708" s="42"/>
      <c r="M708" s="42"/>
      <c r="N708" s="42"/>
      <c r="O708" s="31" t="str">
        <f>IFERROR(__xludf.DUMMYFUNCTION("""COMPUTED_VALUE"""),"DOC")</f>
        <v>DOC</v>
      </c>
      <c r="P708" s="9" t="str">
        <f>IFERROR(__xludf.DUMMYFUNCTION("""COMPUTED_VALUE"""),"Youmans Neurological Surgery")</f>
        <v>Youmans Neurological Surgery</v>
      </c>
      <c r="Q708" s="9"/>
      <c r="R708" s="179" t="str">
        <f>IFERROR(__xludf.DUMMYFUNCTION("""COMPUTED_VALUE"""),"STR_patch (00/00) [Smith, 2011][author, year];
")</f>
        <v>STR_patch (00/00) [Smith, 2011][author, year];
</v>
      </c>
      <c r="S708" s="179" t="str">
        <f>IFERROR(__xludf.DUMMYFUNCTION("""COMPUTED_VALUE"""),"SNCSTR_patch")</f>
        <v>SNCSTR_patch</v>
      </c>
      <c r="T708" s="179" t="str">
        <f>IFERROR(__xludf.DUMMYFUNCTION("""COMPUTED_VALUE"""),"[Smith, 2011]")</f>
        <v>[Smith, 2011]</v>
      </c>
      <c r="U708" s="179">
        <f>IFERROR(__xludf.DUMMYFUNCTION("""COMPUTED_VALUE"""),0.0)</f>
        <v>0</v>
      </c>
      <c r="V708" s="180">
        <f>IFERROR(__xludf.DUMMYFUNCTION("""COMPUTED_VALUE"""),0.0)</f>
        <v>0</v>
      </c>
      <c r="W708" s="180">
        <f>IFERROR(__xludf.DUMMYFUNCTION("""COMPUTED_VALUE"""),0.95)</f>
        <v>0.95</v>
      </c>
      <c r="X708" s="42">
        <f>IFERROR(__xludf.DUMMYFUNCTION("""COMPUTED_VALUE"""),0.0)</f>
        <v>0</v>
      </c>
      <c r="Y708" s="42">
        <f>IFERROR(__xludf.DUMMYFUNCTION("""COMPUTED_VALUE"""),0.0)</f>
        <v>0</v>
      </c>
      <c r="Z708" s="9">
        <f>IFERROR(__xludf.DUMMYFUNCTION("""COMPUTED_VALUE"""),0.0)</f>
        <v>0</v>
      </c>
      <c r="AA708" s="181">
        <f>IFERROR(__xludf.DUMMYFUNCTION("""COMPUTED_VALUE"""),0.0)</f>
        <v>0</v>
      </c>
      <c r="AB708" s="181">
        <f>IFERROR(__xludf.DUMMYFUNCTION("""COMPUTED_VALUE"""),0.0)</f>
        <v>0</v>
      </c>
      <c r="AC708" s="179">
        <f>IFERROR(__xludf.DUMMYFUNCTION("""COMPUTED_VALUE"""),0.0)</f>
        <v>0</v>
      </c>
      <c r="AD708" s="165">
        <f>IFERROR(__xludf.DUMMYFUNCTION("""COMPUTED_VALUE"""),0.0)</f>
        <v>0</v>
      </c>
      <c r="AE708" s="39" t="str">
        <f>IFERROR(__xludf.DUMMYFUNCTION("""COMPUTED_VALUE"""),"Yuske Shibata")</f>
        <v>Yuske Shibata</v>
      </c>
      <c r="AF708" s="39" t="str">
        <f>IFERROR(__xludf.DUMMYFUNCTION("""COMPUTED_VALUE"""),"YS21BgLoop")</f>
        <v>YS21BgLoop</v>
      </c>
      <c r="AG708" s="39"/>
      <c r="AH708" s="39"/>
      <c r="AI708" s="165"/>
      <c r="AJ708" s="165"/>
      <c r="AK708" s="111"/>
      <c r="AL708" s="111"/>
      <c r="AM708" s="111"/>
      <c r="AN708" s="111"/>
      <c r="AO708" s="111"/>
      <c r="AP708" s="111"/>
      <c r="AQ708" s="116"/>
      <c r="AR708" s="116"/>
      <c r="AS708" s="116"/>
    </row>
    <row r="709">
      <c r="A709" s="42" t="str">
        <f>IFERROR(__xludf.DUMMYFUNCTION("""COMPUTED_VALUE"""),"SNC")</f>
        <v>SNC</v>
      </c>
      <c r="B709" s="42"/>
      <c r="C709" s="42"/>
      <c r="D709" s="42" t="str">
        <f>IFERROR(__xludf.DUMMYFUNCTION("""COMPUTED_VALUE"""),"STR_matrix")</f>
        <v>STR_matrix</v>
      </c>
      <c r="E709" s="42"/>
      <c r="F709" s="42"/>
      <c r="G709" s="42"/>
      <c r="H709" s="42" t="str">
        <f>IFERROR(__xludf.DUMMYFUNCTION("""COMPUTED_VALUE"""),"")</f>
        <v/>
      </c>
      <c r="I709" s="42" t="str">
        <f>IFERROR(__xludf.DUMMYFUNCTION("""COMPUTED_VALUE"""),"author, year")</f>
        <v>author, year</v>
      </c>
      <c r="J709" s="42"/>
      <c r="K709" s="42"/>
      <c r="L709" s="42"/>
      <c r="M709" s="42"/>
      <c r="N709" s="42"/>
      <c r="O709" s="31" t="str">
        <f>IFERROR(__xludf.DUMMYFUNCTION("""COMPUTED_VALUE"""),"#Error: Reference ID")</f>
        <v>#Error: Reference ID</v>
      </c>
      <c r="P709" s="9" t="str">
        <f>IFERROR(__xludf.DUMMYFUNCTION("""COMPUTED_VALUE"""),"#Error: Reference ID")</f>
        <v>#Error: Reference ID</v>
      </c>
      <c r="Q709" s="9" t="str">
        <f>IFERROR(__xludf.DUMMYFUNCTION("""COMPUTED_VALUE"""),"#Error: Reference ID")</f>
        <v>#Error: Reference ID</v>
      </c>
      <c r="R709" s="179" t="str">
        <f>IFERROR(__xludf.DUMMYFUNCTION("""COMPUTED_VALUE"""),"STR_matrix (00/00) [Smith, 2011][author, year];
")</f>
        <v>STR_matrix (00/00) [Smith, 2011][author, year];
</v>
      </c>
      <c r="S709" s="179" t="str">
        <f>IFERROR(__xludf.DUMMYFUNCTION("""COMPUTED_VALUE"""),"SNCSTR_matrix")</f>
        <v>SNCSTR_matrix</v>
      </c>
      <c r="T709" s="179" t="str">
        <f>IFERROR(__xludf.DUMMYFUNCTION("""COMPUTED_VALUE"""),"[author, year]")</f>
        <v>[author, year]</v>
      </c>
      <c r="U709" s="179">
        <f>IFERROR(__xludf.DUMMYFUNCTION("""COMPUTED_VALUE"""),0.0)</f>
        <v>0</v>
      </c>
      <c r="V709" s="180">
        <f>IFERROR(__xludf.DUMMYFUNCTION("""COMPUTED_VALUE"""),0.0)</f>
        <v>0</v>
      </c>
      <c r="W709" s="180">
        <f>IFERROR(__xludf.DUMMYFUNCTION("""COMPUTED_VALUE"""),0.0)</f>
        <v>0</v>
      </c>
      <c r="X709" s="42">
        <f>IFERROR(__xludf.DUMMYFUNCTION("""COMPUTED_VALUE"""),0.0)</f>
        <v>0</v>
      </c>
      <c r="Y709" s="42">
        <f>IFERROR(__xludf.DUMMYFUNCTION("""COMPUTED_VALUE"""),0.0)</f>
        <v>0</v>
      </c>
      <c r="Z709" s="9">
        <f>IFERROR(__xludf.DUMMYFUNCTION("""COMPUTED_VALUE"""),0.0)</f>
        <v>0</v>
      </c>
      <c r="AA709" s="181">
        <f>IFERROR(__xludf.DUMMYFUNCTION("""COMPUTED_VALUE"""),0.0)</f>
        <v>0</v>
      </c>
      <c r="AB709" s="181">
        <f>IFERROR(__xludf.DUMMYFUNCTION("""COMPUTED_VALUE"""),0.0)</f>
        <v>0</v>
      </c>
      <c r="AC709" s="179">
        <f>IFERROR(__xludf.DUMMYFUNCTION("""COMPUTED_VALUE"""),0.0)</f>
        <v>0</v>
      </c>
      <c r="AD709" s="165">
        <f>IFERROR(__xludf.DUMMYFUNCTION("""COMPUTED_VALUE"""),0.0)</f>
        <v>0</v>
      </c>
      <c r="AE709" s="39" t="str">
        <f>IFERROR(__xludf.DUMMYFUNCTION("""COMPUTED_VALUE"""),"Hiroshi Yamakawa")</f>
        <v>Hiroshi Yamakawa</v>
      </c>
      <c r="AF709" s="39" t="str">
        <f>IFERROR(__xludf.DUMMYFUNCTION("""COMPUTED_VALUE"""),"HY18NeocorticalInterareaSignals")</f>
        <v>HY18NeocorticalInterareaSignals</v>
      </c>
      <c r="AG709" s="39"/>
      <c r="AH709" s="39"/>
      <c r="AI709" s="165"/>
      <c r="AJ709" s="165"/>
      <c r="AK709" s="111"/>
      <c r="AL709" s="111"/>
      <c r="AM709" s="111"/>
      <c r="AN709" s="111"/>
      <c r="AO709" s="111"/>
      <c r="AP709" s="111"/>
      <c r="AQ709" s="116"/>
      <c r="AR709" s="116"/>
      <c r="AS709" s="116"/>
    </row>
    <row r="710">
      <c r="A710" s="42" t="str">
        <f>IFERROR(__xludf.DUMMYFUNCTION("""COMPUTED_VALUE"""),"SNC")</f>
        <v>SNC</v>
      </c>
      <c r="B710" s="42"/>
      <c r="C710" s="42"/>
      <c r="D710" s="42" t="str">
        <f>IFERROR(__xludf.DUMMYFUNCTION("""COMPUTED_VALUE"""),"STR_patch")</f>
        <v>STR_patch</v>
      </c>
      <c r="E710" s="42"/>
      <c r="F710" s="42"/>
      <c r="G710" s="42"/>
      <c r="H710" s="42" t="str">
        <f>IFERROR(__xludf.DUMMYFUNCTION("""COMPUTED_VALUE"""),"")</f>
        <v/>
      </c>
      <c r="I710" s="42" t="str">
        <f>IFERROR(__xludf.DUMMYFUNCTION("""COMPUTED_VALUE"""),"author, year")</f>
        <v>author, year</v>
      </c>
      <c r="J710" s="42"/>
      <c r="K710" s="42"/>
      <c r="L710" s="42"/>
      <c r="M710" s="42"/>
      <c r="N710" s="42"/>
      <c r="O710" s="31" t="str">
        <f>IFERROR(__xludf.DUMMYFUNCTION("""COMPUTED_VALUE"""),"#Error: Reference ID")</f>
        <v>#Error: Reference ID</v>
      </c>
      <c r="P710" s="9" t="str">
        <f>IFERROR(__xludf.DUMMYFUNCTION("""COMPUTED_VALUE"""),"#Error: Reference ID")</f>
        <v>#Error: Reference ID</v>
      </c>
      <c r="Q710" s="9" t="str">
        <f>IFERROR(__xludf.DUMMYFUNCTION("""COMPUTED_VALUE"""),"#Error: Reference ID")</f>
        <v>#Error: Reference ID</v>
      </c>
      <c r="R710" s="179" t="str">
        <f>IFERROR(__xludf.DUMMYFUNCTION("""COMPUTED_VALUE"""),"STR_patch (00/00) [Smith, 2011][author, year];
")</f>
        <v>STR_patch (00/00) [Smith, 2011][author, year];
</v>
      </c>
      <c r="S710" s="179" t="str">
        <f>IFERROR(__xludf.DUMMYFUNCTION("""COMPUTED_VALUE"""),"SNCSTR_patch")</f>
        <v>SNCSTR_patch</v>
      </c>
      <c r="T710" s="179" t="str">
        <f>IFERROR(__xludf.DUMMYFUNCTION("""COMPUTED_VALUE"""),"[author, year]")</f>
        <v>[author, year]</v>
      </c>
      <c r="U710" s="179">
        <f>IFERROR(__xludf.DUMMYFUNCTION("""COMPUTED_VALUE"""),0.0)</f>
        <v>0</v>
      </c>
      <c r="V710" s="180">
        <f>IFERROR(__xludf.DUMMYFUNCTION("""COMPUTED_VALUE"""),0.0)</f>
        <v>0</v>
      </c>
      <c r="W710" s="180">
        <f>IFERROR(__xludf.DUMMYFUNCTION("""COMPUTED_VALUE"""),0.0)</f>
        <v>0</v>
      </c>
      <c r="X710" s="42">
        <f>IFERROR(__xludf.DUMMYFUNCTION("""COMPUTED_VALUE"""),0.0)</f>
        <v>0</v>
      </c>
      <c r="Y710" s="42">
        <f>IFERROR(__xludf.DUMMYFUNCTION("""COMPUTED_VALUE"""),0.0)</f>
        <v>0</v>
      </c>
      <c r="Z710" s="9">
        <f>IFERROR(__xludf.DUMMYFUNCTION("""COMPUTED_VALUE"""),0.0)</f>
        <v>0</v>
      </c>
      <c r="AA710" s="181">
        <f>IFERROR(__xludf.DUMMYFUNCTION("""COMPUTED_VALUE"""),0.0)</f>
        <v>0</v>
      </c>
      <c r="AB710" s="181">
        <f>IFERROR(__xludf.DUMMYFUNCTION("""COMPUTED_VALUE"""),0.0)</f>
        <v>0</v>
      </c>
      <c r="AC710" s="179">
        <f>IFERROR(__xludf.DUMMYFUNCTION("""COMPUTED_VALUE"""),0.0)</f>
        <v>0</v>
      </c>
      <c r="AD710" s="165">
        <f>IFERROR(__xludf.DUMMYFUNCTION("""COMPUTED_VALUE"""),0.0)</f>
        <v>0</v>
      </c>
      <c r="AE710" s="39" t="str">
        <f>IFERROR(__xludf.DUMMYFUNCTION("""COMPUTED_VALUE"""),"Hiroshi Yamakawa")</f>
        <v>Hiroshi Yamakawa</v>
      </c>
      <c r="AF710" s="39" t="str">
        <f>IFERROR(__xludf.DUMMYFUNCTION("""COMPUTED_VALUE"""),"HY18NeocorticalInterareaSignals")</f>
        <v>HY18NeocorticalInterareaSignals</v>
      </c>
      <c r="AG710" s="39"/>
      <c r="AH710" s="39"/>
      <c r="AI710" s="165"/>
      <c r="AJ710" s="165"/>
      <c r="AK710" s="111"/>
      <c r="AL710" s="111"/>
      <c r="AM710" s="111"/>
      <c r="AN710" s="111"/>
      <c r="AO710" s="111"/>
      <c r="AP710" s="111"/>
      <c r="AQ710" s="116"/>
      <c r="AR710" s="116"/>
      <c r="AS710" s="116"/>
    </row>
    <row r="711">
      <c r="A711" s="42" t="str">
        <f>IFERROR(__xludf.DUMMYFUNCTION("""COMPUTED_VALUE"""),"Sol")</f>
        <v>Sol</v>
      </c>
      <c r="B711" s="42"/>
      <c r="C711" s="42"/>
      <c r="D711" s="42" t="str">
        <f>IFERROR(__xludf.DUMMYFUNCTION("""COMPUTED_VALUE"""),"CEN")</f>
        <v>CEN</v>
      </c>
      <c r="E711" s="42"/>
      <c r="F711" s="42"/>
      <c r="G711" s="42"/>
      <c r="H711" s="42" t="str">
        <f>IFERROR(__xludf.DUMMYFUNCTION("""COMPUTED_VALUE"""),"")</f>
        <v/>
      </c>
      <c r="I711" s="42" t="str">
        <f>IFERROR(__xludf.DUMMYFUNCTION("""COMPUTED_VALUE"""),"Pitkänen, 2000")</f>
        <v>Pitkänen, 2000</v>
      </c>
      <c r="J711" s="42" t="str">
        <f>IFERROR(__xludf.DUMMYFUNCTION("""COMPUTED_VALUE"""),"Rat")</f>
        <v>Rat</v>
      </c>
      <c r="K711" s="42" t="str">
        <f>IFERROR(__xludf.DUMMYFUNCTION("""COMPUTED_VALUE"""),"Various tracing")</f>
        <v>Various tracing</v>
      </c>
      <c r="L711" s="42"/>
      <c r="M711" s="42" t="str">
        <f>IFERROR(__xludf.DUMMYFUNCTION("""COMPUTED_VALUE"""),"fig.3-fig.12 (to be specified)")</f>
        <v>fig.3-fig.12 (to be specified)</v>
      </c>
      <c r="N711" s="42"/>
      <c r="O711" s="31" t="str">
        <f>IFERROR(__xludf.DUMMYFUNCTION("""COMPUTED_VALUE"""),"DOC(alt)")</f>
        <v>DOC(alt)</v>
      </c>
      <c r="P711" s="9" t="str">
        <f>IFERROR(__xludf.DUMMYFUNCTION("""COMPUTED_VALUE"""),"Folia morphologica")</f>
        <v>Folia morphologica</v>
      </c>
      <c r="Q711" s="9" t="str">
        <f>IFERROR(__xludf.DUMMYFUNCTION("""COMPUTED_VALUE"""),"Review")</f>
        <v>Review</v>
      </c>
      <c r="R711" s="179" t="str">
        <f>IFERROR(__xludf.DUMMYFUNCTION("""COMPUTED_VALUE"""),"CEN (00/00) [Pitkänen, 2000];
")</f>
        <v>CEN (00/00) [Pitkänen, 2000];
</v>
      </c>
      <c r="S711" s="179" t="str">
        <f>IFERROR(__xludf.DUMMYFUNCTION("""COMPUTED_VALUE"""),"SolCEN")</f>
        <v>SolCEN</v>
      </c>
      <c r="T711" s="179" t="str">
        <f>IFERROR(__xludf.DUMMYFUNCTION("""COMPUTED_VALUE"""),"[Pitkänen, 2000]")</f>
        <v>[Pitkänen, 2000]</v>
      </c>
      <c r="U711" s="179">
        <f>IFERROR(__xludf.DUMMYFUNCTION("""COMPUTED_VALUE"""),0.0)</f>
        <v>0</v>
      </c>
      <c r="V711" s="180">
        <f>IFERROR(__xludf.DUMMYFUNCTION("""COMPUTED_VALUE"""),0.0)</f>
        <v>0</v>
      </c>
      <c r="W711" s="180">
        <f>IFERROR(__xludf.DUMMYFUNCTION("""COMPUTED_VALUE"""),0.95)</f>
        <v>0.95</v>
      </c>
      <c r="X711" s="42">
        <f>IFERROR(__xludf.DUMMYFUNCTION("""COMPUTED_VALUE"""),0.8)</f>
        <v>0.8</v>
      </c>
      <c r="Y711" s="42">
        <f>IFERROR(__xludf.DUMMYFUNCTION("""COMPUTED_VALUE"""),0.6)</f>
        <v>0.6</v>
      </c>
      <c r="Z711" s="9">
        <f>IFERROR(__xludf.DUMMYFUNCTION("""COMPUTED_VALUE"""),0.9)</f>
        <v>0.9</v>
      </c>
      <c r="AA711" s="181">
        <f>IFERROR(__xludf.DUMMYFUNCTION("""COMPUTED_VALUE"""),0.0)</f>
        <v>0</v>
      </c>
      <c r="AB711" s="181">
        <f>IFERROR(__xludf.DUMMYFUNCTION("""COMPUTED_VALUE"""),0.0)</f>
        <v>0</v>
      </c>
      <c r="AC711" s="179">
        <f>IFERROR(__xludf.DUMMYFUNCTION("""COMPUTED_VALUE"""),0.0)</f>
        <v>0</v>
      </c>
      <c r="AD711" s="165">
        <f>IFERROR(__xludf.DUMMYFUNCTION("""COMPUTED_VALUE"""),0.0)</f>
        <v>0</v>
      </c>
      <c r="AE711" s="39" t="str">
        <f>IFERROR(__xludf.DUMMYFUNCTION("""COMPUTED_VALUE"""),"Tatsuya Miyamoto")</f>
        <v>Tatsuya Miyamoto</v>
      </c>
      <c r="AF711" s="39" t="str">
        <f>IFERROR(__xludf.DUMMYFUNCTION("""COMPUTED_VALUE"""),"TM21Amygdala")</f>
        <v>TM21Amygdala</v>
      </c>
      <c r="AG711" s="39"/>
      <c r="AH711" s="39"/>
      <c r="AI711" s="165"/>
      <c r="AJ711" s="165"/>
      <c r="AK711" s="111"/>
      <c r="AL711" s="111"/>
      <c r="AM711" s="111"/>
      <c r="AN711" s="111"/>
      <c r="AO711" s="111"/>
      <c r="AP711" s="111"/>
      <c r="AQ711" s="116"/>
      <c r="AR711" s="116"/>
      <c r="AS711" s="116"/>
    </row>
    <row r="712">
      <c r="A712" s="42" t="str">
        <f>IFERROR(__xludf.DUMMYFUNCTION("""COMPUTED_VALUE"""),"SpC")</f>
        <v>SpC</v>
      </c>
      <c r="B712" s="42"/>
      <c r="C712" s="42"/>
      <c r="D712" s="42" t="str">
        <f>IFERROR(__xludf.DUMMYFUNCTION("""COMPUTED_VALUE"""),"ECu")</f>
        <v>ECu</v>
      </c>
      <c r="E712" s="42"/>
      <c r="F712" s="42"/>
      <c r="G712" s="42"/>
      <c r="H712" s="42" t="str">
        <f>IFERROR(__xludf.DUMMYFUNCTION("""COMPUTED_VALUE"""),"")</f>
        <v/>
      </c>
      <c r="I712" s="42" t="str">
        <f>IFERROR(__xludf.DUMMYFUNCTION("""COMPUTED_VALUE"""),"D’Angelo, 2013")</f>
        <v>D’Angelo, 2013</v>
      </c>
      <c r="J712" s="42"/>
      <c r="K712" s="42"/>
      <c r="L712" s="42"/>
      <c r="M712" s="42"/>
      <c r="N712" s="42"/>
      <c r="O712" s="31" t="str">
        <f>IFERROR(__xludf.DUMMYFUNCTION("""COMPUTED_VALUE"""),"DOC")</f>
        <v>DOC</v>
      </c>
      <c r="P712" s="9" t="str">
        <f>IFERROR(__xludf.DUMMYFUNCTION("""COMPUTED_VALUE"""),"Frontiers in Neural Circuits")</f>
        <v>Frontiers in Neural Circuits</v>
      </c>
      <c r="Q712" s="9" t="str">
        <f>IFERROR(__xludf.DUMMYFUNCTION("""COMPUTED_VALUE"""),"Review")</f>
        <v>Review</v>
      </c>
      <c r="R712" s="179" t="str">
        <f>IFERROR(__xludf.DUMMYFUNCTION("""COMPUTED_VALUE"""),"ECu (00/00) [D’Angelo, 2013];
")</f>
        <v>ECu (00/00) [D’Angelo, 2013];
</v>
      </c>
      <c r="S712" s="179" t="str">
        <f>IFERROR(__xludf.DUMMYFUNCTION("""COMPUTED_VALUE"""),"SpCECu")</f>
        <v>SpCECu</v>
      </c>
      <c r="T712" s="179" t="str">
        <f>IFERROR(__xludf.DUMMYFUNCTION("""COMPUTED_VALUE"""),"[D’Angelo, 2013]")</f>
        <v>[D’Angelo, 2013]</v>
      </c>
      <c r="U712" s="179">
        <f>IFERROR(__xludf.DUMMYFUNCTION("""COMPUTED_VALUE"""),0.0)</f>
        <v>0</v>
      </c>
      <c r="V712" s="180">
        <f>IFERROR(__xludf.DUMMYFUNCTION("""COMPUTED_VALUE"""),0.0)</f>
        <v>0</v>
      </c>
      <c r="W712" s="180">
        <f>IFERROR(__xludf.DUMMYFUNCTION("""COMPUTED_VALUE"""),0.95)</f>
        <v>0.95</v>
      </c>
      <c r="X712" s="42">
        <f>IFERROR(__xludf.DUMMYFUNCTION("""COMPUTED_VALUE"""),0.8)</f>
        <v>0.8</v>
      </c>
      <c r="Y712" s="42">
        <f>IFERROR(__xludf.DUMMYFUNCTION("""COMPUTED_VALUE"""),0.0)</f>
        <v>0</v>
      </c>
      <c r="Z712" s="9">
        <f>IFERROR(__xludf.DUMMYFUNCTION("""COMPUTED_VALUE"""),0.0)</f>
        <v>0</v>
      </c>
      <c r="AA712" s="181">
        <f>IFERROR(__xludf.DUMMYFUNCTION("""COMPUTED_VALUE"""),0.0)</f>
        <v>0</v>
      </c>
      <c r="AB712" s="181">
        <f>IFERROR(__xludf.DUMMYFUNCTION("""COMPUTED_VALUE"""),0.0)</f>
        <v>0</v>
      </c>
      <c r="AC712" s="179">
        <f>IFERROR(__xludf.DUMMYFUNCTION("""COMPUTED_VALUE"""),0.0)</f>
        <v>0</v>
      </c>
      <c r="AD712" s="165">
        <f>IFERROR(__xludf.DUMMYFUNCTION("""COMPUTED_VALUE"""),0.0)</f>
        <v>0</v>
      </c>
      <c r="AE712" s="39" t="str">
        <f>IFERROR(__xludf.DUMMYFUNCTION("""COMPUTED_VALUE"""),"Hiroshi Yamakawa")</f>
        <v>Hiroshi Yamakawa</v>
      </c>
      <c r="AF712" s="39" t="str">
        <f>IFERROR(__xludf.DUMMYFUNCTION("""COMPUTED_VALUE"""),"HY20Cerebellum")</f>
        <v>HY20Cerebellum</v>
      </c>
      <c r="AG712" s="39"/>
      <c r="AH712" s="39"/>
      <c r="AI712" s="165"/>
      <c r="AJ712" s="165"/>
      <c r="AK712" s="111"/>
      <c r="AL712" s="111"/>
      <c r="AM712" s="111"/>
      <c r="AN712" s="111"/>
      <c r="AO712" s="111"/>
      <c r="AP712" s="111"/>
      <c r="AQ712" s="116"/>
      <c r="AR712" s="116"/>
      <c r="AS712" s="116"/>
    </row>
    <row r="713">
      <c r="A713" s="42" t="str">
        <f>IFERROR(__xludf.DUMMYFUNCTION("""COMPUTED_VALUE"""),"SpC")</f>
        <v>SpC</v>
      </c>
      <c r="B713" s="42"/>
      <c r="C713" s="42"/>
      <c r="D713" s="42" t="str">
        <f>IFERROR(__xludf.DUMMYFUNCTION("""COMPUTED_VALUE"""),"CBPVg")</f>
        <v>CBPVg</v>
      </c>
      <c r="E713" s="42"/>
      <c r="F713" s="42"/>
      <c r="G713" s="42"/>
      <c r="H713" s="42" t="str">
        <f>IFERROR(__xludf.DUMMYFUNCTION("""COMPUTED_VALUE"""),"")</f>
        <v/>
      </c>
      <c r="I713" s="42" t="str">
        <f>IFERROR(__xludf.DUMMYFUNCTION("""COMPUTED_VALUE"""),"Knierim, 2021")</f>
        <v>Knierim, 2021</v>
      </c>
      <c r="J713" s="42"/>
      <c r="K713" s="42"/>
      <c r="L713" s="42"/>
      <c r="M713" s="42"/>
      <c r="N713" s="42"/>
      <c r="O713" s="31" t="str">
        <f>IFERROR(__xludf.DUMMYFUNCTION("""COMPUTED_VALUE"""),"DOC(alt)")</f>
        <v>DOC(alt)</v>
      </c>
      <c r="P713" s="9" t="str">
        <f>IFERROR(__xludf.DUMMYFUNCTION("""COMPUTED_VALUE"""),"Neuroscience Online, an {Open-Access} Neuroscience Electronic Textbook")</f>
        <v>Neuroscience Online, an {Open-Access} Neuroscience Electronic Textbook</v>
      </c>
      <c r="Q713" s="9" t="str">
        <f>IFERROR(__xludf.DUMMYFUNCTION("""COMPUTED_VALUE"""),"Textbook")</f>
        <v>Textbook</v>
      </c>
      <c r="R713" s="179" t="str">
        <f>IFERROR(__xludf.DUMMYFUNCTION("""COMPUTED_VALUE"""),"CBPVg (00/00) [Knierim, 2021];
")</f>
        <v>CBPVg (00/00) [Knierim, 2021];
</v>
      </c>
      <c r="S713" s="179" t="str">
        <f>IFERROR(__xludf.DUMMYFUNCTION("""COMPUTED_VALUE"""),"SpCCBPVg")</f>
        <v>SpCCBPVg</v>
      </c>
      <c r="T713" s="179" t="str">
        <f>IFERROR(__xludf.DUMMYFUNCTION("""COMPUTED_VALUE"""),"[Knierim, 2021]")</f>
        <v>[Knierim, 2021]</v>
      </c>
      <c r="U713" s="179">
        <f>IFERROR(__xludf.DUMMYFUNCTION("""COMPUTED_VALUE"""),0.0)</f>
        <v>0</v>
      </c>
      <c r="V713" s="180">
        <f>IFERROR(__xludf.DUMMYFUNCTION("""COMPUTED_VALUE"""),0.0)</f>
        <v>0</v>
      </c>
      <c r="W713" s="180">
        <f>IFERROR(__xludf.DUMMYFUNCTION("""COMPUTED_VALUE"""),0.0)</f>
        <v>0</v>
      </c>
      <c r="X713" s="42">
        <f>IFERROR(__xludf.DUMMYFUNCTION("""COMPUTED_VALUE"""),0.9)</f>
        <v>0.9</v>
      </c>
      <c r="Y713" s="42">
        <f>IFERROR(__xludf.DUMMYFUNCTION("""COMPUTED_VALUE"""),0.0)</f>
        <v>0</v>
      </c>
      <c r="Z713" s="9">
        <f>IFERROR(__xludf.DUMMYFUNCTION("""COMPUTED_VALUE"""),0.0)</f>
        <v>0</v>
      </c>
      <c r="AA713" s="181">
        <f>IFERROR(__xludf.DUMMYFUNCTION("""COMPUTED_VALUE"""),0.0)</f>
        <v>0</v>
      </c>
      <c r="AB713" s="181">
        <f>IFERROR(__xludf.DUMMYFUNCTION("""COMPUTED_VALUE"""),0.0)</f>
        <v>0</v>
      </c>
      <c r="AC713" s="179">
        <f>IFERROR(__xludf.DUMMYFUNCTION("""COMPUTED_VALUE"""),0.0)</f>
        <v>0</v>
      </c>
      <c r="AD713" s="165">
        <f>IFERROR(__xludf.DUMMYFUNCTION("""COMPUTED_VALUE"""),0.0)</f>
        <v>0</v>
      </c>
      <c r="AE713" s="39" t="str">
        <f>IFERROR(__xludf.DUMMYFUNCTION("""COMPUTED_VALUE"""),"Hiroshi Yamakawa")</f>
        <v>Hiroshi Yamakawa</v>
      </c>
      <c r="AF713" s="39" t="str">
        <f>IFERROR(__xludf.DUMMYFUNCTION("""COMPUTED_VALUE"""),"HY20Cerebellum")</f>
        <v>HY20Cerebellum</v>
      </c>
      <c r="AG713" s="39"/>
      <c r="AH713" s="39"/>
      <c r="AI713" s="165"/>
      <c r="AJ713" s="165"/>
      <c r="AK713" s="111"/>
      <c r="AL713" s="111"/>
      <c r="AM713" s="111"/>
      <c r="AN713" s="111"/>
      <c r="AO713" s="111"/>
      <c r="AP713" s="111"/>
      <c r="AQ713" s="116"/>
      <c r="AR713" s="116"/>
      <c r="AS713" s="116"/>
    </row>
    <row r="714">
      <c r="A714" s="42" t="str">
        <f>IFERROR(__xludf.DUMMYFUNCTION("""COMPUTED_VALUE"""),"SpC")</f>
        <v>SpC</v>
      </c>
      <c r="B714" s="42"/>
      <c r="C714" s="42"/>
      <c r="D714" s="42" t="str">
        <f>IFERROR(__xludf.DUMMYFUNCTION("""COMPUTED_VALUE"""),"CBVg")</f>
        <v>CBVg</v>
      </c>
      <c r="E714" s="42"/>
      <c r="F714" s="42"/>
      <c r="G714" s="42"/>
      <c r="H714" s="42" t="str">
        <f>IFERROR(__xludf.DUMMYFUNCTION("""COMPUTED_VALUE"""),"")</f>
        <v/>
      </c>
      <c r="I714" s="42" t="str">
        <f>IFERROR(__xludf.DUMMYFUNCTION("""COMPUTED_VALUE"""),"Knierim, 2021")</f>
        <v>Knierim, 2021</v>
      </c>
      <c r="J714" s="42"/>
      <c r="K714" s="42"/>
      <c r="L714" s="42"/>
      <c r="M714" s="42"/>
      <c r="N714" s="42"/>
      <c r="O714" s="31" t="str">
        <f>IFERROR(__xludf.DUMMYFUNCTION("""COMPUTED_VALUE"""),"DOC(alt)")</f>
        <v>DOC(alt)</v>
      </c>
      <c r="P714" s="9" t="str">
        <f>IFERROR(__xludf.DUMMYFUNCTION("""COMPUTED_VALUE"""),"Neuroscience Online, an {Open-Access} Neuroscience Electronic Textbook")</f>
        <v>Neuroscience Online, an {Open-Access} Neuroscience Electronic Textbook</v>
      </c>
      <c r="Q714" s="9" t="str">
        <f>IFERROR(__xludf.DUMMYFUNCTION("""COMPUTED_VALUE"""),"Textbook")</f>
        <v>Textbook</v>
      </c>
      <c r="R714" s="179" t="str">
        <f>IFERROR(__xludf.DUMMYFUNCTION("""COMPUTED_VALUE"""),"CBVg (00/00) [Knierim, 2021];
")</f>
        <v>CBVg (00/00) [Knierim, 2021];
</v>
      </c>
      <c r="S714" s="179" t="str">
        <f>IFERROR(__xludf.DUMMYFUNCTION("""COMPUTED_VALUE"""),"SpCCBVg")</f>
        <v>SpCCBVg</v>
      </c>
      <c r="T714" s="179" t="str">
        <f>IFERROR(__xludf.DUMMYFUNCTION("""COMPUTED_VALUE"""),"[Knierim, 2021]")</f>
        <v>[Knierim, 2021]</v>
      </c>
      <c r="U714" s="179">
        <f>IFERROR(__xludf.DUMMYFUNCTION("""COMPUTED_VALUE"""),0.0)</f>
        <v>0</v>
      </c>
      <c r="V714" s="180">
        <f>IFERROR(__xludf.DUMMYFUNCTION("""COMPUTED_VALUE"""),0.0)</f>
        <v>0</v>
      </c>
      <c r="W714" s="180">
        <f>IFERROR(__xludf.DUMMYFUNCTION("""COMPUTED_VALUE"""),0.0)</f>
        <v>0</v>
      </c>
      <c r="X714" s="42">
        <f>IFERROR(__xludf.DUMMYFUNCTION("""COMPUTED_VALUE"""),0.9)</f>
        <v>0.9</v>
      </c>
      <c r="Y714" s="42">
        <f>IFERROR(__xludf.DUMMYFUNCTION("""COMPUTED_VALUE"""),0.0)</f>
        <v>0</v>
      </c>
      <c r="Z714" s="9">
        <f>IFERROR(__xludf.DUMMYFUNCTION("""COMPUTED_VALUE"""),0.0)</f>
        <v>0</v>
      </c>
      <c r="AA714" s="181">
        <f>IFERROR(__xludf.DUMMYFUNCTION("""COMPUTED_VALUE"""),0.0)</f>
        <v>0</v>
      </c>
      <c r="AB714" s="181">
        <f>IFERROR(__xludf.DUMMYFUNCTION("""COMPUTED_VALUE"""),0.0)</f>
        <v>0</v>
      </c>
      <c r="AC714" s="179">
        <f>IFERROR(__xludf.DUMMYFUNCTION("""COMPUTED_VALUE"""),0.0)</f>
        <v>0</v>
      </c>
      <c r="AD714" s="165">
        <f>IFERROR(__xludf.DUMMYFUNCTION("""COMPUTED_VALUE"""),0.0)</f>
        <v>0</v>
      </c>
      <c r="AE714" s="39" t="str">
        <f>IFERROR(__xludf.DUMMYFUNCTION("""COMPUTED_VALUE"""),"Hiroshi Yamakawa")</f>
        <v>Hiroshi Yamakawa</v>
      </c>
      <c r="AF714" s="39" t="str">
        <f>IFERROR(__xludf.DUMMYFUNCTION("""COMPUTED_VALUE"""),"HY20Cerebellum")</f>
        <v>HY20Cerebellum</v>
      </c>
      <c r="AG714" s="39"/>
      <c r="AH714" s="39"/>
      <c r="AI714" s="165"/>
      <c r="AJ714" s="165"/>
      <c r="AK714" s="111"/>
      <c r="AL714" s="111"/>
      <c r="AM714" s="111"/>
      <c r="AN714" s="111"/>
      <c r="AO714" s="111"/>
      <c r="AP714" s="111"/>
      <c r="AQ714" s="116"/>
      <c r="AR714" s="116"/>
      <c r="AS714" s="116"/>
    </row>
    <row r="715">
      <c r="A715" s="42" t="str">
        <f>IFERROR(__xludf.DUMMYFUNCTION("""COMPUTED_VALUE"""),"SpC")</f>
        <v>SpC</v>
      </c>
      <c r="B715" s="42"/>
      <c r="C715" s="42"/>
      <c r="D715" s="42" t="str">
        <f>IFERROR(__xludf.DUMMYFUNCTION("""COMPUTED_VALUE"""),"Fas")</f>
        <v>Fas</v>
      </c>
      <c r="E715" s="42"/>
      <c r="F715" s="42"/>
      <c r="G715" s="42"/>
      <c r="H715" s="42" t="str">
        <f>IFERROR(__xludf.DUMMYFUNCTION("""COMPUTED_VALUE"""),"")</f>
        <v/>
      </c>
      <c r="I715" s="42" t="str">
        <f>IFERROR(__xludf.DUMMYFUNCTION("""COMPUTED_VALUE"""),"Knierim, 2021")</f>
        <v>Knierim, 2021</v>
      </c>
      <c r="J715" s="42"/>
      <c r="K715" s="42"/>
      <c r="L715" s="42"/>
      <c r="M715" s="42"/>
      <c r="N715" s="42"/>
      <c r="O715" s="31" t="str">
        <f>IFERROR(__xludf.DUMMYFUNCTION("""COMPUTED_VALUE"""),"DOC(alt)")</f>
        <v>DOC(alt)</v>
      </c>
      <c r="P715" s="9" t="str">
        <f>IFERROR(__xludf.DUMMYFUNCTION("""COMPUTED_VALUE"""),"Neuroscience Online, an {Open-Access} Neuroscience Electronic Textbook")</f>
        <v>Neuroscience Online, an {Open-Access} Neuroscience Electronic Textbook</v>
      </c>
      <c r="Q715" s="9" t="str">
        <f>IFERROR(__xludf.DUMMYFUNCTION("""COMPUTED_VALUE"""),"Textbook")</f>
        <v>Textbook</v>
      </c>
      <c r="R715" s="179" t="str">
        <f>IFERROR(__xludf.DUMMYFUNCTION("""COMPUTED_VALUE"""),"Fas (00/00) [Knierim, 2021];
")</f>
        <v>Fas (00/00) [Knierim, 2021];
</v>
      </c>
      <c r="S715" s="179" t="str">
        <f>IFERROR(__xludf.DUMMYFUNCTION("""COMPUTED_VALUE"""),"SpCFas")</f>
        <v>SpCFas</v>
      </c>
      <c r="T715" s="179" t="str">
        <f>IFERROR(__xludf.DUMMYFUNCTION("""COMPUTED_VALUE"""),"[Knierim, 2021]")</f>
        <v>[Knierim, 2021]</v>
      </c>
      <c r="U715" s="179">
        <f>IFERROR(__xludf.DUMMYFUNCTION("""COMPUTED_VALUE"""),0.0)</f>
        <v>0</v>
      </c>
      <c r="V715" s="180">
        <f>IFERROR(__xludf.DUMMYFUNCTION("""COMPUTED_VALUE"""),0.0)</f>
        <v>0</v>
      </c>
      <c r="W715" s="180">
        <f>IFERROR(__xludf.DUMMYFUNCTION("""COMPUTED_VALUE"""),0.0)</f>
        <v>0</v>
      </c>
      <c r="X715" s="42">
        <f>IFERROR(__xludf.DUMMYFUNCTION("""COMPUTED_VALUE"""),0.9)</f>
        <v>0.9</v>
      </c>
      <c r="Y715" s="42">
        <f>IFERROR(__xludf.DUMMYFUNCTION("""COMPUTED_VALUE"""),0.0)</f>
        <v>0</v>
      </c>
      <c r="Z715" s="9">
        <f>IFERROR(__xludf.DUMMYFUNCTION("""COMPUTED_VALUE"""),0.0)</f>
        <v>0</v>
      </c>
      <c r="AA715" s="181">
        <f>IFERROR(__xludf.DUMMYFUNCTION("""COMPUTED_VALUE"""),0.0)</f>
        <v>0</v>
      </c>
      <c r="AB715" s="181">
        <f>IFERROR(__xludf.DUMMYFUNCTION("""COMPUTED_VALUE"""),0.0)</f>
        <v>0</v>
      </c>
      <c r="AC715" s="179">
        <f>IFERROR(__xludf.DUMMYFUNCTION("""COMPUTED_VALUE"""),0.0)</f>
        <v>0</v>
      </c>
      <c r="AD715" s="165">
        <f>IFERROR(__xludf.DUMMYFUNCTION("""COMPUTED_VALUE"""),0.0)</f>
        <v>0</v>
      </c>
      <c r="AE715" s="39" t="str">
        <f>IFERROR(__xludf.DUMMYFUNCTION("""COMPUTED_VALUE"""),"Hiroshi Yamakawa")</f>
        <v>Hiroshi Yamakawa</v>
      </c>
      <c r="AF715" s="39" t="str">
        <f>IFERROR(__xludf.DUMMYFUNCTION("""COMPUTED_VALUE"""),"HY20Cerebellum")</f>
        <v>HY20Cerebellum</v>
      </c>
      <c r="AG715" s="39"/>
      <c r="AH715" s="39"/>
      <c r="AI715" s="165"/>
      <c r="AJ715" s="165"/>
      <c r="AK715" s="111"/>
      <c r="AL715" s="111"/>
      <c r="AM715" s="111"/>
      <c r="AN715" s="111"/>
      <c r="AO715" s="111"/>
      <c r="AP715" s="111"/>
      <c r="AQ715" s="116"/>
      <c r="AR715" s="116"/>
      <c r="AS715" s="116"/>
    </row>
    <row r="716">
      <c r="A716" s="42" t="str">
        <f>IFERROR(__xludf.DUMMYFUNCTION("""COMPUTED_VALUE"""),"SpC")</f>
        <v>SpC</v>
      </c>
      <c r="B716" s="42"/>
      <c r="C716" s="42"/>
      <c r="D716" s="42" t="str">
        <f>IFERROR(__xludf.DUMMYFUNCTION("""COMPUTED_VALUE"""),"InP")</f>
        <v>InP</v>
      </c>
      <c r="E716" s="42"/>
      <c r="F716" s="42"/>
      <c r="G716" s="42"/>
      <c r="H716" s="42" t="str">
        <f>IFERROR(__xludf.DUMMYFUNCTION("""COMPUTED_VALUE"""),"")</f>
        <v/>
      </c>
      <c r="I716" s="42" t="str">
        <f>IFERROR(__xludf.DUMMYFUNCTION("""COMPUTED_VALUE"""),"Knierim, 2021")</f>
        <v>Knierim, 2021</v>
      </c>
      <c r="J716" s="42"/>
      <c r="K716" s="42"/>
      <c r="L716" s="42"/>
      <c r="M716" s="42"/>
      <c r="N716" s="42"/>
      <c r="O716" s="131" t="str">
        <f>IFERROR(__xludf.DUMMYFUNCTION("""COMPUTED_VALUE"""),"DOC(alt)")</f>
        <v>DOC(alt)</v>
      </c>
      <c r="P716" s="9" t="str">
        <f>IFERROR(__xludf.DUMMYFUNCTION("""COMPUTED_VALUE"""),"Neuroscience Online, an {Open-Access} Neuroscience Electronic Textbook")</f>
        <v>Neuroscience Online, an {Open-Access} Neuroscience Electronic Textbook</v>
      </c>
      <c r="Q716" s="9" t="str">
        <f>IFERROR(__xludf.DUMMYFUNCTION("""COMPUTED_VALUE"""),"Textbook")</f>
        <v>Textbook</v>
      </c>
      <c r="R716" s="179" t="str">
        <f>IFERROR(__xludf.DUMMYFUNCTION("""COMPUTED_VALUE"""),"InP (00/00) [Knierim, 2021];
")</f>
        <v>InP (00/00) [Knierim, 2021];
</v>
      </c>
      <c r="S716" s="179" t="str">
        <f>IFERROR(__xludf.DUMMYFUNCTION("""COMPUTED_VALUE"""),"SpCInP")</f>
        <v>SpCInP</v>
      </c>
      <c r="T716" s="179" t="str">
        <f>IFERROR(__xludf.DUMMYFUNCTION("""COMPUTED_VALUE"""),"[Knierim, 2021]")</f>
        <v>[Knierim, 2021]</v>
      </c>
      <c r="U716" s="179">
        <f>IFERROR(__xludf.DUMMYFUNCTION("""COMPUTED_VALUE"""),0.0)</f>
        <v>0</v>
      </c>
      <c r="V716" s="180">
        <f>IFERROR(__xludf.DUMMYFUNCTION("""COMPUTED_VALUE"""),0.0)</f>
        <v>0</v>
      </c>
      <c r="W716" s="180">
        <f>IFERROR(__xludf.DUMMYFUNCTION("""COMPUTED_VALUE"""),0.0)</f>
        <v>0</v>
      </c>
      <c r="X716" s="42">
        <f>IFERROR(__xludf.DUMMYFUNCTION("""COMPUTED_VALUE"""),0.9)</f>
        <v>0.9</v>
      </c>
      <c r="Y716" s="42">
        <f>IFERROR(__xludf.DUMMYFUNCTION("""COMPUTED_VALUE"""),0.0)</f>
        <v>0</v>
      </c>
      <c r="Z716" s="9">
        <f>IFERROR(__xludf.DUMMYFUNCTION("""COMPUTED_VALUE"""),0.0)</f>
        <v>0</v>
      </c>
      <c r="AA716" s="181">
        <f>IFERROR(__xludf.DUMMYFUNCTION("""COMPUTED_VALUE"""),0.0)</f>
        <v>0</v>
      </c>
      <c r="AB716" s="181">
        <f>IFERROR(__xludf.DUMMYFUNCTION("""COMPUTED_VALUE"""),0.0)</f>
        <v>0</v>
      </c>
      <c r="AC716" s="179">
        <f>IFERROR(__xludf.DUMMYFUNCTION("""COMPUTED_VALUE"""),0.0)</f>
        <v>0</v>
      </c>
      <c r="AD716" s="165">
        <f>IFERROR(__xludf.DUMMYFUNCTION("""COMPUTED_VALUE"""),0.0)</f>
        <v>0</v>
      </c>
      <c r="AE716" s="39" t="str">
        <f>IFERROR(__xludf.DUMMYFUNCTION("""COMPUTED_VALUE"""),"Hiroshi Yamakawa")</f>
        <v>Hiroshi Yamakawa</v>
      </c>
      <c r="AF716" s="39" t="str">
        <f>IFERROR(__xludf.DUMMYFUNCTION("""COMPUTED_VALUE"""),"HY20Cerebellum")</f>
        <v>HY20Cerebellum</v>
      </c>
      <c r="AG716" s="39"/>
      <c r="AH716" s="39"/>
      <c r="AI716" s="165"/>
      <c r="AJ716" s="165"/>
      <c r="AK716" s="111"/>
      <c r="AL716" s="111"/>
      <c r="AM716" s="111"/>
      <c r="AN716" s="111"/>
      <c r="AO716" s="111"/>
      <c r="AP716" s="111"/>
      <c r="AQ716" s="116"/>
      <c r="AR716" s="116"/>
      <c r="AS716" s="116"/>
    </row>
    <row r="717">
      <c r="A717" s="42" t="str">
        <f>IFERROR(__xludf.DUMMYFUNCTION("""COMPUTED_VALUE"""),"STC")</f>
        <v>STC</v>
      </c>
      <c r="B717" s="42"/>
      <c r="C717" s="42"/>
      <c r="D717" s="42" t="str">
        <f>IFERROR(__xludf.DUMMYFUNCTION("""COMPUTED_VALUE"""),"AuR")</f>
        <v>AuR</v>
      </c>
      <c r="E717" s="42"/>
      <c r="F717" s="42"/>
      <c r="G717" s="42"/>
      <c r="H717" s="42" t="str">
        <f>IFERROR(__xludf.DUMMYFUNCTION("""COMPUTED_VALUE"""),"")</f>
        <v/>
      </c>
      <c r="I717" s="42" t="str">
        <f>IFERROR(__xludf.DUMMYFUNCTION("""COMPUTED_VALUE"""),"Jasmin, 2019")</f>
        <v>Jasmin, 2019</v>
      </c>
      <c r="J717" s="42"/>
      <c r="K717" s="42"/>
      <c r="L717" s="42"/>
      <c r="M717" s="42"/>
      <c r="N717" s="42"/>
      <c r="O717" s="31" t="str">
        <f>IFERROR(__xludf.DUMMYFUNCTION("""COMPUTED_VALUE"""),"DOC")</f>
        <v>DOC</v>
      </c>
      <c r="P717" s="9" t="str">
        <f>IFERROR(__xludf.DUMMYFUNCTION("""COMPUTED_VALUE"""),"Nature Reviews Neuroscience")</f>
        <v>Nature Reviews Neuroscience</v>
      </c>
      <c r="Q717" s="9" t="str">
        <f>IFERROR(__xludf.DUMMYFUNCTION("""COMPUTED_VALUE"""),"Review")</f>
        <v>Review</v>
      </c>
      <c r="R717" s="179" t="str">
        <f>IFERROR(__xludf.DUMMYFUNCTION("""COMPUTED_VALUE"""),"AuR (00/00) [Jasmin, 2019];
")</f>
        <v>AuR (00/00) [Jasmin, 2019];
</v>
      </c>
      <c r="S717" s="179" t="str">
        <f>IFERROR(__xludf.DUMMYFUNCTION("""COMPUTED_VALUE"""),"STCAuR")</f>
        <v>STCAuR</v>
      </c>
      <c r="T717" s="179" t="str">
        <f>IFERROR(__xludf.DUMMYFUNCTION("""COMPUTED_VALUE"""),"[Jasmin, 2019]")</f>
        <v>[Jasmin, 2019]</v>
      </c>
      <c r="U717" s="179">
        <f>IFERROR(__xludf.DUMMYFUNCTION("""COMPUTED_VALUE"""),0.0)</f>
        <v>0</v>
      </c>
      <c r="V717" s="180">
        <f>IFERROR(__xludf.DUMMYFUNCTION("""COMPUTED_VALUE"""),0.0)</f>
        <v>0</v>
      </c>
      <c r="W717" s="180">
        <f>IFERROR(__xludf.DUMMYFUNCTION("""COMPUTED_VALUE"""),0.95)</f>
        <v>0.95</v>
      </c>
      <c r="X717" s="42">
        <f>IFERROR(__xludf.DUMMYFUNCTION("""COMPUTED_VALUE"""),0.8)</f>
        <v>0.8</v>
      </c>
      <c r="Y717" s="42">
        <f>IFERROR(__xludf.DUMMYFUNCTION("""COMPUTED_VALUE"""),0.0)</f>
        <v>0</v>
      </c>
      <c r="Z717" s="9">
        <f>IFERROR(__xludf.DUMMYFUNCTION("""COMPUTED_VALUE"""),0.0)</f>
        <v>0</v>
      </c>
      <c r="AA717" s="181">
        <f>IFERROR(__xludf.DUMMYFUNCTION("""COMPUTED_VALUE"""),0.0)</f>
        <v>0</v>
      </c>
      <c r="AB717" s="181">
        <f>IFERROR(__xludf.DUMMYFUNCTION("""COMPUTED_VALUE"""),0.0)</f>
        <v>0</v>
      </c>
      <c r="AC717" s="179">
        <f>IFERROR(__xludf.DUMMYFUNCTION("""COMPUTED_VALUE"""),0.0)</f>
        <v>0</v>
      </c>
      <c r="AD717" s="165">
        <f>IFERROR(__xludf.DUMMYFUNCTION("""COMPUTED_VALUE"""),0.0)</f>
        <v>0</v>
      </c>
      <c r="AE717" s="39" t="str">
        <f>IFERROR(__xludf.DUMMYFUNCTION("""COMPUTED_VALUE"""),"Hiroshi Yamakawa")</f>
        <v>Hiroshi Yamakawa</v>
      </c>
      <c r="AF717" s="39" t="str">
        <f>IFERROR(__xludf.DUMMYFUNCTION("""COMPUTED_VALUE"""),"HY22DAA")</f>
        <v>HY22DAA</v>
      </c>
      <c r="AG717" s="39"/>
      <c r="AH717" s="39"/>
      <c r="AI717" s="165"/>
      <c r="AJ717" s="165"/>
      <c r="AK717" s="111"/>
      <c r="AL717" s="111"/>
      <c r="AM717" s="111"/>
      <c r="AN717" s="111"/>
      <c r="AO717" s="111"/>
      <c r="AP717" s="111"/>
      <c r="AQ717" s="116"/>
      <c r="AR717" s="116"/>
      <c r="AS717" s="116"/>
    </row>
    <row r="718">
      <c r="A718" s="42" t="str">
        <f>IFERROR(__xludf.DUMMYFUNCTION("""COMPUTED_VALUE"""),"STH")</f>
        <v>STH</v>
      </c>
      <c r="B718" s="42"/>
      <c r="C718" s="42"/>
      <c r="D718" s="42" t="str">
        <f>IFERROR(__xludf.DUMMYFUNCTION("""COMPUTED_VALUE"""),"PTg")</f>
        <v>PTg</v>
      </c>
      <c r="E718" s="42"/>
      <c r="F718" s="42"/>
      <c r="G718" s="42"/>
      <c r="H718" s="42" t="str">
        <f>IFERROR(__xludf.DUMMYFUNCTION("""COMPUTED_VALUE"""),"")</f>
        <v/>
      </c>
      <c r="I718" s="42" t="str">
        <f>IFERROR(__xludf.DUMMYFUNCTION("""COMPUTED_VALUE"""),"author, year")</f>
        <v>author, year</v>
      </c>
      <c r="J718" s="42"/>
      <c r="K718" s="42"/>
      <c r="L718" s="42"/>
      <c r="M718" s="42"/>
      <c r="N718" s="42"/>
      <c r="O718" s="31" t="str">
        <f>IFERROR(__xludf.DUMMYFUNCTION("""COMPUTED_VALUE"""),"#Error: Reference ID")</f>
        <v>#Error: Reference ID</v>
      </c>
      <c r="P718" s="9" t="str">
        <f>IFERROR(__xludf.DUMMYFUNCTION("""COMPUTED_VALUE"""),"#Error: Reference ID")</f>
        <v>#Error: Reference ID</v>
      </c>
      <c r="Q718" s="9" t="str">
        <f>IFERROR(__xludf.DUMMYFUNCTION("""COMPUTED_VALUE"""),"#Error: Reference ID")</f>
        <v>#Error: Reference ID</v>
      </c>
      <c r="R718" s="179" t="str">
        <f>IFERROR(__xludf.DUMMYFUNCTION("""COMPUTED_VALUE"""),"PTg (00/00) [author, year];
")</f>
        <v>PTg (00/00) [author, year];
</v>
      </c>
      <c r="S718" s="179" t="str">
        <f>IFERROR(__xludf.DUMMYFUNCTION("""COMPUTED_VALUE"""),"STHPTg")</f>
        <v>STHPTg</v>
      </c>
      <c r="T718" s="179" t="str">
        <f>IFERROR(__xludf.DUMMYFUNCTION("""COMPUTED_VALUE"""),"[author, year]")</f>
        <v>[author, year]</v>
      </c>
      <c r="U718" s="179">
        <f>IFERROR(__xludf.DUMMYFUNCTION("""COMPUTED_VALUE"""),0.0)</f>
        <v>0</v>
      </c>
      <c r="V718" s="180">
        <f>IFERROR(__xludf.DUMMYFUNCTION("""COMPUTED_VALUE"""),0.0)</f>
        <v>0</v>
      </c>
      <c r="W718" s="180">
        <f>IFERROR(__xludf.DUMMYFUNCTION("""COMPUTED_VALUE"""),0.0)</f>
        <v>0</v>
      </c>
      <c r="X718" s="42">
        <f>IFERROR(__xludf.DUMMYFUNCTION("""COMPUTED_VALUE"""),0.0)</f>
        <v>0</v>
      </c>
      <c r="Y718" s="42">
        <f>IFERROR(__xludf.DUMMYFUNCTION("""COMPUTED_VALUE"""),0.0)</f>
        <v>0</v>
      </c>
      <c r="Z718" s="9">
        <f>IFERROR(__xludf.DUMMYFUNCTION("""COMPUTED_VALUE"""),0.0)</f>
        <v>0</v>
      </c>
      <c r="AA718" s="181">
        <f>IFERROR(__xludf.DUMMYFUNCTION("""COMPUTED_VALUE"""),0.0)</f>
        <v>0</v>
      </c>
      <c r="AB718" s="181">
        <f>IFERROR(__xludf.DUMMYFUNCTION("""COMPUTED_VALUE"""),0.0)</f>
        <v>0</v>
      </c>
      <c r="AC718" s="179">
        <f>IFERROR(__xludf.DUMMYFUNCTION("""COMPUTED_VALUE"""),0.0)</f>
        <v>0</v>
      </c>
      <c r="AD718" s="165">
        <f>IFERROR(__xludf.DUMMYFUNCTION("""COMPUTED_VALUE"""),0.0)</f>
        <v>0</v>
      </c>
      <c r="AE718" s="39" t="str">
        <f>IFERROR(__xludf.DUMMYFUNCTION("""COMPUTED_VALUE"""),"Yuske Shibata")</f>
        <v>Yuske Shibata</v>
      </c>
      <c r="AF718" s="39" t="str">
        <f>IFERROR(__xludf.DUMMYFUNCTION("""COMPUTED_VALUE"""),"YS21BgLoop")</f>
        <v>YS21BgLoop</v>
      </c>
      <c r="AG718" s="39"/>
      <c r="AH718" s="39"/>
      <c r="AI718" s="165"/>
      <c r="AJ718" s="165"/>
      <c r="AK718" s="111"/>
      <c r="AL718" s="111"/>
      <c r="AM718" s="111"/>
      <c r="AN718" s="111"/>
      <c r="AO718" s="111"/>
      <c r="AP718" s="111"/>
      <c r="AQ718" s="116"/>
      <c r="AR718" s="116"/>
      <c r="AS718" s="116"/>
    </row>
    <row r="719">
      <c r="A719" s="42" t="str">
        <f>IFERROR(__xludf.DUMMYFUNCTION("""COMPUTED_VALUE"""),"STH")</f>
        <v>STH</v>
      </c>
      <c r="B719" s="42"/>
      <c r="C719" s="42"/>
      <c r="D719" s="42" t="str">
        <f>IFERROR(__xludf.DUMMYFUNCTION("""COMPUTED_VALUE"""),"SNC")</f>
        <v>SNC</v>
      </c>
      <c r="E719" s="42"/>
      <c r="F719" s="42"/>
      <c r="G719" s="42"/>
      <c r="H719" s="42" t="str">
        <f>IFERROR(__xludf.DUMMYFUNCTION("""COMPUTED_VALUE"""),"")</f>
        <v/>
      </c>
      <c r="I719" s="42" t="str">
        <f>IFERROR(__xludf.DUMMYFUNCTION("""COMPUTED_VALUE"""),"author, year")</f>
        <v>author, year</v>
      </c>
      <c r="J719" s="42"/>
      <c r="K719" s="42"/>
      <c r="L719" s="42"/>
      <c r="M719" s="42"/>
      <c r="N719" s="42"/>
      <c r="O719" s="31" t="str">
        <f>IFERROR(__xludf.DUMMYFUNCTION("""COMPUTED_VALUE"""),"#Error: Reference ID")</f>
        <v>#Error: Reference ID</v>
      </c>
      <c r="P719" s="9" t="str">
        <f>IFERROR(__xludf.DUMMYFUNCTION("""COMPUTED_VALUE"""),"#Error: Reference ID")</f>
        <v>#Error: Reference ID</v>
      </c>
      <c r="Q719" s="9" t="str">
        <f>IFERROR(__xludf.DUMMYFUNCTION("""COMPUTED_VALUE"""),"#Error: Reference ID")</f>
        <v>#Error: Reference ID</v>
      </c>
      <c r="R719" s="179" t="str">
        <f>IFERROR(__xludf.DUMMYFUNCTION("""COMPUTED_VALUE"""),"SNC (00/00) [author, year];
")</f>
        <v>SNC (00/00) [author, year];
</v>
      </c>
      <c r="S719" s="179" t="str">
        <f>IFERROR(__xludf.DUMMYFUNCTION("""COMPUTED_VALUE"""),"STHSNC")</f>
        <v>STHSNC</v>
      </c>
      <c r="T719" s="179" t="str">
        <f>IFERROR(__xludf.DUMMYFUNCTION("""COMPUTED_VALUE"""),"[author, year]")</f>
        <v>[author, year]</v>
      </c>
      <c r="U719" s="179">
        <f>IFERROR(__xludf.DUMMYFUNCTION("""COMPUTED_VALUE"""),0.0)</f>
        <v>0</v>
      </c>
      <c r="V719" s="180">
        <f>IFERROR(__xludf.DUMMYFUNCTION("""COMPUTED_VALUE"""),0.0)</f>
        <v>0</v>
      </c>
      <c r="W719" s="180">
        <f>IFERROR(__xludf.DUMMYFUNCTION("""COMPUTED_VALUE"""),0.0)</f>
        <v>0</v>
      </c>
      <c r="X719" s="42">
        <f>IFERROR(__xludf.DUMMYFUNCTION("""COMPUTED_VALUE"""),0.0)</f>
        <v>0</v>
      </c>
      <c r="Y719" s="42">
        <f>IFERROR(__xludf.DUMMYFUNCTION("""COMPUTED_VALUE"""),0.0)</f>
        <v>0</v>
      </c>
      <c r="Z719" s="9">
        <f>IFERROR(__xludf.DUMMYFUNCTION("""COMPUTED_VALUE"""),0.0)</f>
        <v>0</v>
      </c>
      <c r="AA719" s="181">
        <f>IFERROR(__xludf.DUMMYFUNCTION("""COMPUTED_VALUE"""),0.0)</f>
        <v>0</v>
      </c>
      <c r="AB719" s="181">
        <f>IFERROR(__xludf.DUMMYFUNCTION("""COMPUTED_VALUE"""),0.0)</f>
        <v>0</v>
      </c>
      <c r="AC719" s="179">
        <f>IFERROR(__xludf.DUMMYFUNCTION("""COMPUTED_VALUE"""),0.0)</f>
        <v>0</v>
      </c>
      <c r="AD719" s="165">
        <f>IFERROR(__xludf.DUMMYFUNCTION("""COMPUTED_VALUE"""),0.0)</f>
        <v>0</v>
      </c>
      <c r="AE719" s="39" t="str">
        <f>IFERROR(__xludf.DUMMYFUNCTION("""COMPUTED_VALUE"""),"Yuske Shibata")</f>
        <v>Yuske Shibata</v>
      </c>
      <c r="AF719" s="39" t="str">
        <f>IFERROR(__xludf.DUMMYFUNCTION("""COMPUTED_VALUE"""),"YS21BgLoop")</f>
        <v>YS21BgLoop</v>
      </c>
      <c r="AG719" s="39"/>
      <c r="AH719" s="39"/>
      <c r="AI719" s="165"/>
      <c r="AJ719" s="165"/>
      <c r="AK719" s="111"/>
      <c r="AL719" s="111"/>
      <c r="AM719" s="111"/>
      <c r="AN719" s="111"/>
      <c r="AO719" s="111"/>
      <c r="AP719" s="111"/>
      <c r="AQ719" s="116"/>
      <c r="AR719" s="116"/>
      <c r="AS719" s="116"/>
    </row>
    <row r="720">
      <c r="A720" s="42" t="str">
        <f>IFERROR(__xludf.DUMMYFUNCTION("""COMPUTED_VALUE"""),"STH")</f>
        <v>STH</v>
      </c>
      <c r="B720" s="42"/>
      <c r="C720" s="42"/>
      <c r="D720" s="42" t="str">
        <f>IFERROR(__xludf.DUMMYFUNCTION("""COMPUTED_VALUE"""),"SNR")</f>
        <v>SNR</v>
      </c>
      <c r="E720" s="42"/>
      <c r="F720" s="42"/>
      <c r="G720" s="42"/>
      <c r="H720" s="42" t="str">
        <f>IFERROR(__xludf.DUMMYFUNCTION("""COMPUTED_VALUE"""),"")</f>
        <v/>
      </c>
      <c r="I720" s="42" t="str">
        <f>IFERROR(__xludf.DUMMYFUNCTION("""COMPUTED_VALUE"""),"author, year")</f>
        <v>author, year</v>
      </c>
      <c r="J720" s="42"/>
      <c r="K720" s="42"/>
      <c r="L720" s="42"/>
      <c r="M720" s="42"/>
      <c r="N720" s="42"/>
      <c r="O720" s="31" t="str">
        <f>IFERROR(__xludf.DUMMYFUNCTION("""COMPUTED_VALUE"""),"#Error: Reference ID")</f>
        <v>#Error: Reference ID</v>
      </c>
      <c r="P720" s="9" t="str">
        <f>IFERROR(__xludf.DUMMYFUNCTION("""COMPUTED_VALUE"""),"#Error: Reference ID")</f>
        <v>#Error: Reference ID</v>
      </c>
      <c r="Q720" s="9" t="str">
        <f>IFERROR(__xludf.DUMMYFUNCTION("""COMPUTED_VALUE"""),"#Error: Reference ID")</f>
        <v>#Error: Reference ID</v>
      </c>
      <c r="R720" s="179" t="str">
        <f>IFERROR(__xludf.DUMMYFUNCTION("""COMPUTED_VALUE"""),"SNR (00/00) [author, year][Fiore, 2015][Krack, 2010];
")</f>
        <v>SNR (00/00) [author, year][Fiore, 2015][Krack, 2010];
</v>
      </c>
      <c r="S720" s="179" t="str">
        <f>IFERROR(__xludf.DUMMYFUNCTION("""COMPUTED_VALUE"""),"STHSNR")</f>
        <v>STHSNR</v>
      </c>
      <c r="T720" s="179" t="str">
        <f>IFERROR(__xludf.DUMMYFUNCTION("""COMPUTED_VALUE"""),"[author, year]")</f>
        <v>[author, year]</v>
      </c>
      <c r="U720" s="179">
        <f>IFERROR(__xludf.DUMMYFUNCTION("""COMPUTED_VALUE"""),0.0)</f>
        <v>0</v>
      </c>
      <c r="V720" s="180">
        <f>IFERROR(__xludf.DUMMYFUNCTION("""COMPUTED_VALUE"""),0.0)</f>
        <v>0</v>
      </c>
      <c r="W720" s="180">
        <f>IFERROR(__xludf.DUMMYFUNCTION("""COMPUTED_VALUE"""),0.0)</f>
        <v>0</v>
      </c>
      <c r="X720" s="42">
        <f>IFERROR(__xludf.DUMMYFUNCTION("""COMPUTED_VALUE"""),0.0)</f>
        <v>0</v>
      </c>
      <c r="Y720" s="42">
        <f>IFERROR(__xludf.DUMMYFUNCTION("""COMPUTED_VALUE"""),0.0)</f>
        <v>0</v>
      </c>
      <c r="Z720" s="9">
        <f>IFERROR(__xludf.DUMMYFUNCTION("""COMPUTED_VALUE"""),0.0)</f>
        <v>0</v>
      </c>
      <c r="AA720" s="181">
        <f>IFERROR(__xludf.DUMMYFUNCTION("""COMPUTED_VALUE"""),0.0)</f>
        <v>0</v>
      </c>
      <c r="AB720" s="181">
        <f>IFERROR(__xludf.DUMMYFUNCTION("""COMPUTED_VALUE"""),0.0)</f>
        <v>0</v>
      </c>
      <c r="AC720" s="179">
        <f>IFERROR(__xludf.DUMMYFUNCTION("""COMPUTED_VALUE"""),0.0)</f>
        <v>0</v>
      </c>
      <c r="AD720" s="165">
        <f>IFERROR(__xludf.DUMMYFUNCTION("""COMPUTED_VALUE"""),0.0)</f>
        <v>0</v>
      </c>
      <c r="AE720" s="39" t="str">
        <f>IFERROR(__xludf.DUMMYFUNCTION("""COMPUTED_VALUE"""),"Yuske Shibata")</f>
        <v>Yuske Shibata</v>
      </c>
      <c r="AF720" s="39" t="str">
        <f>IFERROR(__xludf.DUMMYFUNCTION("""COMPUTED_VALUE"""),"YS21BgLoop")</f>
        <v>YS21BgLoop</v>
      </c>
      <c r="AG720" s="39"/>
      <c r="AH720" s="39"/>
      <c r="AI720" s="165"/>
      <c r="AJ720" s="165"/>
      <c r="AK720" s="111"/>
      <c r="AL720" s="111"/>
      <c r="AM720" s="111"/>
      <c r="AN720" s="111"/>
      <c r="AO720" s="111"/>
      <c r="AP720" s="111"/>
      <c r="AQ720" s="116"/>
      <c r="AR720" s="116"/>
      <c r="AS720" s="116"/>
    </row>
    <row r="721">
      <c r="A721" s="42" t="str">
        <f>IFERROR(__xludf.DUMMYFUNCTION("""COMPUTED_VALUE"""),"STH")</f>
        <v>STH</v>
      </c>
      <c r="B721" s="42"/>
      <c r="C721" s="42"/>
      <c r="D721" s="42" t="str">
        <f>IFERROR(__xludf.DUMMYFUNCTION("""COMPUTED_VALUE"""),"VeP")</f>
        <v>VeP</v>
      </c>
      <c r="E721" s="42"/>
      <c r="F721" s="42"/>
      <c r="G721" s="42"/>
      <c r="H721" s="42" t="str">
        <f>IFERROR(__xludf.DUMMYFUNCTION("""COMPUTED_VALUE"""),"")</f>
        <v/>
      </c>
      <c r="I721" s="42" t="str">
        <f>IFERROR(__xludf.DUMMYFUNCTION("""COMPUTED_VALUE"""),"author, year")</f>
        <v>author, year</v>
      </c>
      <c r="J721" s="42"/>
      <c r="K721" s="42"/>
      <c r="L721" s="42"/>
      <c r="M721" s="42"/>
      <c r="N721" s="42"/>
      <c r="O721" s="31" t="str">
        <f>IFERROR(__xludf.DUMMYFUNCTION("""COMPUTED_VALUE"""),"#Error: Reference ID")</f>
        <v>#Error: Reference ID</v>
      </c>
      <c r="P721" s="9" t="str">
        <f>IFERROR(__xludf.DUMMYFUNCTION("""COMPUTED_VALUE"""),"#Error: Reference ID")</f>
        <v>#Error: Reference ID</v>
      </c>
      <c r="Q721" s="9" t="str">
        <f>IFERROR(__xludf.DUMMYFUNCTION("""COMPUTED_VALUE"""),"#Error: Reference ID")</f>
        <v>#Error: Reference ID</v>
      </c>
      <c r="R721" s="179" t="str">
        <f>IFERROR(__xludf.DUMMYFUNCTION("""COMPUTED_VALUE"""),"VeP (00/00) [author, year];
")</f>
        <v>VeP (00/00) [author, year];
</v>
      </c>
      <c r="S721" s="179" t="str">
        <f>IFERROR(__xludf.DUMMYFUNCTION("""COMPUTED_VALUE"""),"STHVeP")</f>
        <v>STHVeP</v>
      </c>
      <c r="T721" s="179" t="str">
        <f>IFERROR(__xludf.DUMMYFUNCTION("""COMPUTED_VALUE"""),"[author, year]")</f>
        <v>[author, year]</v>
      </c>
      <c r="U721" s="179">
        <f>IFERROR(__xludf.DUMMYFUNCTION("""COMPUTED_VALUE"""),0.0)</f>
        <v>0</v>
      </c>
      <c r="V721" s="180">
        <f>IFERROR(__xludf.DUMMYFUNCTION("""COMPUTED_VALUE"""),0.0)</f>
        <v>0</v>
      </c>
      <c r="W721" s="180">
        <f>IFERROR(__xludf.DUMMYFUNCTION("""COMPUTED_VALUE"""),0.0)</f>
        <v>0</v>
      </c>
      <c r="X721" s="42">
        <f>IFERROR(__xludf.DUMMYFUNCTION("""COMPUTED_VALUE"""),0.0)</f>
        <v>0</v>
      </c>
      <c r="Y721" s="42">
        <f>IFERROR(__xludf.DUMMYFUNCTION("""COMPUTED_VALUE"""),0.0)</f>
        <v>0</v>
      </c>
      <c r="Z721" s="9">
        <f>IFERROR(__xludf.DUMMYFUNCTION("""COMPUTED_VALUE"""),0.0)</f>
        <v>0</v>
      </c>
      <c r="AA721" s="181">
        <f>IFERROR(__xludf.DUMMYFUNCTION("""COMPUTED_VALUE"""),0.0)</f>
        <v>0</v>
      </c>
      <c r="AB721" s="181">
        <f>IFERROR(__xludf.DUMMYFUNCTION("""COMPUTED_VALUE"""),0.0)</f>
        <v>0</v>
      </c>
      <c r="AC721" s="179">
        <f>IFERROR(__xludf.DUMMYFUNCTION("""COMPUTED_VALUE"""),0.0)</f>
        <v>0</v>
      </c>
      <c r="AD721" s="165">
        <f>IFERROR(__xludf.DUMMYFUNCTION("""COMPUTED_VALUE"""),0.0)</f>
        <v>0</v>
      </c>
      <c r="AE721" s="39" t="str">
        <f>IFERROR(__xludf.DUMMYFUNCTION("""COMPUTED_VALUE"""),"Yuske Shibata")</f>
        <v>Yuske Shibata</v>
      </c>
      <c r="AF721" s="39" t="str">
        <f>IFERROR(__xludf.DUMMYFUNCTION("""COMPUTED_VALUE"""),"YS21BgLoop")</f>
        <v>YS21BgLoop</v>
      </c>
      <c r="AG721" s="39"/>
      <c r="AH721" s="39"/>
      <c r="AI721" s="165"/>
      <c r="AJ721" s="165"/>
      <c r="AK721" s="111"/>
      <c r="AL721" s="111"/>
      <c r="AM721" s="111"/>
      <c r="AN721" s="111"/>
      <c r="AO721" s="111"/>
      <c r="AP721" s="111"/>
      <c r="AQ721" s="116"/>
      <c r="AR721" s="116"/>
      <c r="AS721" s="116"/>
    </row>
    <row r="722">
      <c r="A722" s="42" t="str">
        <f>IFERROR(__xludf.DUMMYFUNCTION("""COMPUTED_VALUE"""),"STH")</f>
        <v>STH</v>
      </c>
      <c r="B722" s="42"/>
      <c r="C722" s="42"/>
      <c r="D722" s="42" t="str">
        <f>IFERROR(__xludf.DUMMYFUNCTION("""COMPUTED_VALUE"""),"GPe")</f>
        <v>GPe</v>
      </c>
      <c r="E722" s="42"/>
      <c r="F722" s="42"/>
      <c r="G722" s="42"/>
      <c r="H722" s="42" t="str">
        <f>IFERROR(__xludf.DUMMYFUNCTION("""COMPUTED_VALUE"""),"")</f>
        <v/>
      </c>
      <c r="I722" s="42" t="str">
        <f>IFERROR(__xludf.DUMMYFUNCTION("""COMPUTED_VALUE"""),"Fiore, 2015")</f>
        <v>Fiore, 2015</v>
      </c>
      <c r="J722" s="42"/>
      <c r="K722" s="42"/>
      <c r="L722" s="42"/>
      <c r="M722" s="42"/>
      <c r="N722" s="42"/>
      <c r="O722" s="31" t="str">
        <f>IFERROR(__xludf.DUMMYFUNCTION("""COMPUTED_VALUE"""),"DOC")</f>
        <v>DOC</v>
      </c>
      <c r="P722" s="9" t="str">
        <f>IFERROR(__xludf.DUMMYFUNCTION("""COMPUTED_VALUE"""),"Philosophical Transactions of the Royal Society B: Biological Sciences")</f>
        <v>Philosophical Transactions of the Royal Society B: Biological Sciences</v>
      </c>
      <c r="Q722" s="9"/>
      <c r="R722" s="179" t="str">
        <f>IFERROR(__xludf.DUMMYFUNCTION("""COMPUTED_VALUE"""),"GPe (00/00) [Fiore, 2015][Kahan, 2012][Krack, 2010];
")</f>
        <v>GPe (00/00) [Fiore, 2015][Kahan, 2012][Krack, 2010];
</v>
      </c>
      <c r="S722" s="179" t="str">
        <f>IFERROR(__xludf.DUMMYFUNCTION("""COMPUTED_VALUE"""),"STHGPe")</f>
        <v>STHGPe</v>
      </c>
      <c r="T722" s="179" t="str">
        <f>IFERROR(__xludf.DUMMYFUNCTION("""COMPUTED_VALUE"""),"[Fiore, 2015]")</f>
        <v>[Fiore, 2015]</v>
      </c>
      <c r="U722" s="179">
        <f>IFERROR(__xludf.DUMMYFUNCTION("""COMPUTED_VALUE"""),0.0)</f>
        <v>0</v>
      </c>
      <c r="V722" s="180">
        <f>IFERROR(__xludf.DUMMYFUNCTION("""COMPUTED_VALUE"""),0.0)</f>
        <v>0</v>
      </c>
      <c r="W722" s="180">
        <f>IFERROR(__xludf.DUMMYFUNCTION("""COMPUTED_VALUE"""),0.95)</f>
        <v>0.95</v>
      </c>
      <c r="X722" s="42">
        <f>IFERROR(__xludf.DUMMYFUNCTION("""COMPUTED_VALUE"""),0.0)</f>
        <v>0</v>
      </c>
      <c r="Y722" s="42">
        <f>IFERROR(__xludf.DUMMYFUNCTION("""COMPUTED_VALUE"""),0.0)</f>
        <v>0</v>
      </c>
      <c r="Z722" s="9">
        <f>IFERROR(__xludf.DUMMYFUNCTION("""COMPUTED_VALUE"""),0.0)</f>
        <v>0</v>
      </c>
      <c r="AA722" s="181">
        <f>IFERROR(__xludf.DUMMYFUNCTION("""COMPUTED_VALUE"""),0.0)</f>
        <v>0</v>
      </c>
      <c r="AB722" s="181">
        <f>IFERROR(__xludf.DUMMYFUNCTION("""COMPUTED_VALUE"""),0.0)</f>
        <v>0</v>
      </c>
      <c r="AC722" s="179">
        <f>IFERROR(__xludf.DUMMYFUNCTION("""COMPUTED_VALUE"""),0.0)</f>
        <v>0</v>
      </c>
      <c r="AD722" s="165">
        <f>IFERROR(__xludf.DUMMYFUNCTION("""COMPUTED_VALUE"""),0.0)</f>
        <v>0</v>
      </c>
      <c r="AE722" s="39" t="str">
        <f>IFERROR(__xludf.DUMMYFUNCTION("""COMPUTED_VALUE"""),"Yuske Shibata")</f>
        <v>Yuske Shibata</v>
      </c>
      <c r="AF722" s="39" t="str">
        <f>IFERROR(__xludf.DUMMYFUNCTION("""COMPUTED_VALUE"""),"YS21BgLoop")</f>
        <v>YS21BgLoop</v>
      </c>
      <c r="AG722" s="39"/>
      <c r="AH722" s="39"/>
      <c r="AI722" s="165"/>
      <c r="AJ722" s="165"/>
      <c r="AK722" s="111"/>
      <c r="AL722" s="111"/>
      <c r="AM722" s="111"/>
      <c r="AN722" s="111"/>
      <c r="AO722" s="111"/>
      <c r="AP722" s="111"/>
      <c r="AQ722" s="116"/>
      <c r="AR722" s="116"/>
      <c r="AS722" s="116"/>
    </row>
    <row r="723">
      <c r="A723" s="42" t="str">
        <f>IFERROR(__xludf.DUMMYFUNCTION("""COMPUTED_VALUE"""),"STH")</f>
        <v>STH</v>
      </c>
      <c r="B723" s="42"/>
      <c r="C723" s="42"/>
      <c r="D723" s="42" t="str">
        <f>IFERROR(__xludf.DUMMYFUNCTION("""COMPUTED_VALUE"""),"GPi")</f>
        <v>GPi</v>
      </c>
      <c r="E723" s="42"/>
      <c r="F723" s="42"/>
      <c r="G723" s="42"/>
      <c r="H723" s="42" t="str">
        <f>IFERROR(__xludf.DUMMYFUNCTION("""COMPUTED_VALUE"""),"")</f>
        <v/>
      </c>
      <c r="I723" s="42" t="str">
        <f>IFERROR(__xludf.DUMMYFUNCTION("""COMPUTED_VALUE"""),"Fiore, 2015")</f>
        <v>Fiore, 2015</v>
      </c>
      <c r="J723" s="42"/>
      <c r="K723" s="42"/>
      <c r="L723" s="42"/>
      <c r="M723" s="42"/>
      <c r="N723" s="42"/>
      <c r="O723" s="31" t="str">
        <f>IFERROR(__xludf.DUMMYFUNCTION("""COMPUTED_VALUE"""),"DOC")</f>
        <v>DOC</v>
      </c>
      <c r="P723" s="9" t="str">
        <f>IFERROR(__xludf.DUMMYFUNCTION("""COMPUTED_VALUE"""),"Philosophical Transactions of the Royal Society B: Biological Sciences")</f>
        <v>Philosophical Transactions of the Royal Society B: Biological Sciences</v>
      </c>
      <c r="Q723" s="9"/>
      <c r="R723" s="179" t="str">
        <f>IFERROR(__xludf.DUMMYFUNCTION("""COMPUTED_VALUE"""),"GPi (00/00) [Fiore, 2015][Krack, 2010][author, year];
")</f>
        <v>GPi (00/00) [Fiore, 2015][Krack, 2010][author, year];
</v>
      </c>
      <c r="S723" s="179" t="str">
        <f>IFERROR(__xludf.DUMMYFUNCTION("""COMPUTED_VALUE"""),"STHGPi")</f>
        <v>STHGPi</v>
      </c>
      <c r="T723" s="179" t="str">
        <f>IFERROR(__xludf.DUMMYFUNCTION("""COMPUTED_VALUE"""),"[Fiore, 2015]")</f>
        <v>[Fiore, 2015]</v>
      </c>
      <c r="U723" s="179">
        <f>IFERROR(__xludf.DUMMYFUNCTION("""COMPUTED_VALUE"""),0.0)</f>
        <v>0</v>
      </c>
      <c r="V723" s="180">
        <f>IFERROR(__xludf.DUMMYFUNCTION("""COMPUTED_VALUE"""),0.0)</f>
        <v>0</v>
      </c>
      <c r="W723" s="180">
        <f>IFERROR(__xludf.DUMMYFUNCTION("""COMPUTED_VALUE"""),0.95)</f>
        <v>0.95</v>
      </c>
      <c r="X723" s="42">
        <f>IFERROR(__xludf.DUMMYFUNCTION("""COMPUTED_VALUE"""),0.0)</f>
        <v>0</v>
      </c>
      <c r="Y723" s="42">
        <f>IFERROR(__xludf.DUMMYFUNCTION("""COMPUTED_VALUE"""),0.0)</f>
        <v>0</v>
      </c>
      <c r="Z723" s="9">
        <f>IFERROR(__xludf.DUMMYFUNCTION("""COMPUTED_VALUE"""),0.0)</f>
        <v>0</v>
      </c>
      <c r="AA723" s="181">
        <f>IFERROR(__xludf.DUMMYFUNCTION("""COMPUTED_VALUE"""),0.0)</f>
        <v>0</v>
      </c>
      <c r="AB723" s="181">
        <f>IFERROR(__xludf.DUMMYFUNCTION("""COMPUTED_VALUE"""),0.0)</f>
        <v>0</v>
      </c>
      <c r="AC723" s="179">
        <f>IFERROR(__xludf.DUMMYFUNCTION("""COMPUTED_VALUE"""),0.0)</f>
        <v>0</v>
      </c>
      <c r="AD723" s="165">
        <f>IFERROR(__xludf.DUMMYFUNCTION("""COMPUTED_VALUE"""),0.0)</f>
        <v>0</v>
      </c>
      <c r="AE723" s="39" t="str">
        <f>IFERROR(__xludf.DUMMYFUNCTION("""COMPUTED_VALUE"""),"Yuske Shibata")</f>
        <v>Yuske Shibata</v>
      </c>
      <c r="AF723" s="39" t="str">
        <f>IFERROR(__xludf.DUMMYFUNCTION("""COMPUTED_VALUE"""),"YS21BgLoop")</f>
        <v>YS21BgLoop</v>
      </c>
      <c r="AG723" s="39"/>
      <c r="AH723" s="39"/>
      <c r="AI723" s="165"/>
      <c r="AJ723" s="165"/>
      <c r="AK723" s="111"/>
      <c r="AL723" s="111"/>
      <c r="AM723" s="111"/>
      <c r="AN723" s="111"/>
      <c r="AO723" s="111"/>
      <c r="AP723" s="111"/>
      <c r="AQ723" s="116"/>
      <c r="AR723" s="116"/>
      <c r="AS723" s="116"/>
    </row>
    <row r="724">
      <c r="A724" s="42" t="str">
        <f>IFERROR(__xludf.DUMMYFUNCTION("""COMPUTED_VALUE"""),"STH")</f>
        <v>STH</v>
      </c>
      <c r="B724" s="42"/>
      <c r="C724" s="42"/>
      <c r="D724" s="42" t="str">
        <f>IFERROR(__xludf.DUMMYFUNCTION("""COMPUTED_VALUE"""),"SNR")</f>
        <v>SNR</v>
      </c>
      <c r="E724" s="42"/>
      <c r="F724" s="42"/>
      <c r="G724" s="42"/>
      <c r="H724" s="42" t="str">
        <f>IFERROR(__xludf.DUMMYFUNCTION("""COMPUTED_VALUE"""),"")</f>
        <v/>
      </c>
      <c r="I724" s="42" t="str">
        <f>IFERROR(__xludf.DUMMYFUNCTION("""COMPUTED_VALUE"""),"Fiore, 2015")</f>
        <v>Fiore, 2015</v>
      </c>
      <c r="J724" s="42"/>
      <c r="K724" s="42"/>
      <c r="L724" s="42"/>
      <c r="M724" s="42"/>
      <c r="N724" s="42"/>
      <c r="O724" s="31" t="str">
        <f>IFERROR(__xludf.DUMMYFUNCTION("""COMPUTED_VALUE"""),"DOC")</f>
        <v>DOC</v>
      </c>
      <c r="P724" s="9" t="str">
        <f>IFERROR(__xludf.DUMMYFUNCTION("""COMPUTED_VALUE"""),"Philosophical Transactions of the Royal Society B: Biological Sciences")</f>
        <v>Philosophical Transactions of the Royal Society B: Biological Sciences</v>
      </c>
      <c r="Q724" s="9"/>
      <c r="R724" s="179" t="str">
        <f>IFERROR(__xludf.DUMMYFUNCTION("""COMPUTED_VALUE"""),"SNR (00/00) [author, year][Fiore, 2015][Krack, 2010];
")</f>
        <v>SNR (00/00) [author, year][Fiore, 2015][Krack, 2010];
</v>
      </c>
      <c r="S724" s="179" t="str">
        <f>IFERROR(__xludf.DUMMYFUNCTION("""COMPUTED_VALUE"""),"STHSNR")</f>
        <v>STHSNR</v>
      </c>
      <c r="T724" s="179" t="str">
        <f>IFERROR(__xludf.DUMMYFUNCTION("""COMPUTED_VALUE"""),"[Fiore, 2015]")</f>
        <v>[Fiore, 2015]</v>
      </c>
      <c r="U724" s="179">
        <f>IFERROR(__xludf.DUMMYFUNCTION("""COMPUTED_VALUE"""),0.0)</f>
        <v>0</v>
      </c>
      <c r="V724" s="180">
        <f>IFERROR(__xludf.DUMMYFUNCTION("""COMPUTED_VALUE"""),0.0)</f>
        <v>0</v>
      </c>
      <c r="W724" s="180">
        <f>IFERROR(__xludf.DUMMYFUNCTION("""COMPUTED_VALUE"""),0.95)</f>
        <v>0.95</v>
      </c>
      <c r="X724" s="42">
        <f>IFERROR(__xludf.DUMMYFUNCTION("""COMPUTED_VALUE"""),0.0)</f>
        <v>0</v>
      </c>
      <c r="Y724" s="42">
        <f>IFERROR(__xludf.DUMMYFUNCTION("""COMPUTED_VALUE"""),0.0)</f>
        <v>0</v>
      </c>
      <c r="Z724" s="9">
        <f>IFERROR(__xludf.DUMMYFUNCTION("""COMPUTED_VALUE"""),0.0)</f>
        <v>0</v>
      </c>
      <c r="AA724" s="181">
        <f>IFERROR(__xludf.DUMMYFUNCTION("""COMPUTED_VALUE"""),0.0)</f>
        <v>0</v>
      </c>
      <c r="AB724" s="181">
        <f>IFERROR(__xludf.DUMMYFUNCTION("""COMPUTED_VALUE"""),0.0)</f>
        <v>0</v>
      </c>
      <c r="AC724" s="179">
        <f>IFERROR(__xludf.DUMMYFUNCTION("""COMPUTED_VALUE"""),0.0)</f>
        <v>0</v>
      </c>
      <c r="AD724" s="165">
        <f>IFERROR(__xludf.DUMMYFUNCTION("""COMPUTED_VALUE"""),0.0)</f>
        <v>0</v>
      </c>
      <c r="AE724" s="39" t="str">
        <f>IFERROR(__xludf.DUMMYFUNCTION("""COMPUTED_VALUE"""),"Yuske Shibata")</f>
        <v>Yuske Shibata</v>
      </c>
      <c r="AF724" s="39" t="str">
        <f>IFERROR(__xludf.DUMMYFUNCTION("""COMPUTED_VALUE"""),"YS21BgLoop")</f>
        <v>YS21BgLoop</v>
      </c>
      <c r="AG724" s="39"/>
      <c r="AH724" s="39"/>
      <c r="AI724" s="165"/>
      <c r="AJ724" s="165"/>
      <c r="AK724" s="111"/>
      <c r="AL724" s="111"/>
      <c r="AM724" s="111"/>
      <c r="AN724" s="111"/>
      <c r="AO724" s="111"/>
      <c r="AP724" s="111"/>
      <c r="AQ724" s="116"/>
      <c r="AR724" s="116"/>
      <c r="AS724" s="116"/>
    </row>
    <row r="725">
      <c r="A725" s="42" t="str">
        <f>IFERROR(__xludf.DUMMYFUNCTION("""COMPUTED_VALUE"""),"STH")</f>
        <v>STH</v>
      </c>
      <c r="B725" s="42"/>
      <c r="C725" s="42"/>
      <c r="D725" s="42" t="str">
        <f>IFERROR(__xludf.DUMMYFUNCTION("""COMPUTED_VALUE"""),"GPe")</f>
        <v>GPe</v>
      </c>
      <c r="E725" s="42"/>
      <c r="F725" s="42"/>
      <c r="G725" s="42"/>
      <c r="H725" s="42" t="str">
        <f>IFERROR(__xludf.DUMMYFUNCTION("""COMPUTED_VALUE"""),"")</f>
        <v/>
      </c>
      <c r="I725" s="42" t="str">
        <f>IFERROR(__xludf.DUMMYFUNCTION("""COMPUTED_VALUE"""),"Kahan, 2012")</f>
        <v>Kahan, 2012</v>
      </c>
      <c r="J725" s="42"/>
      <c r="K725" s="42"/>
      <c r="L725" s="42"/>
      <c r="M725" s="42"/>
      <c r="N725" s="42"/>
      <c r="O725" s="31" t="str">
        <f>IFERROR(__xludf.DUMMYFUNCTION("""COMPUTED_VALUE"""),"DOC")</f>
        <v>DOC</v>
      </c>
      <c r="P725" s="9" t="str">
        <f>IFERROR(__xludf.DUMMYFUNCTION("""COMPUTED_VALUE"""),"{PLoS} {ONE}")</f>
        <v>{PLoS} {ONE}</v>
      </c>
      <c r="Q725" s="9"/>
      <c r="R725" s="179" t="str">
        <f>IFERROR(__xludf.DUMMYFUNCTION("""COMPUTED_VALUE"""),"GPe (00/00) [Fiore, 2015][Kahan, 2012][Krack, 2010];
")</f>
        <v>GPe (00/00) [Fiore, 2015][Kahan, 2012][Krack, 2010];
</v>
      </c>
      <c r="S725" s="179" t="str">
        <f>IFERROR(__xludf.DUMMYFUNCTION("""COMPUTED_VALUE"""),"STHGPe")</f>
        <v>STHGPe</v>
      </c>
      <c r="T725" s="179" t="str">
        <f>IFERROR(__xludf.DUMMYFUNCTION("""COMPUTED_VALUE"""),"[Kahan, 2012]")</f>
        <v>[Kahan, 2012]</v>
      </c>
      <c r="U725" s="179">
        <f>IFERROR(__xludf.DUMMYFUNCTION("""COMPUTED_VALUE"""),0.0)</f>
        <v>0</v>
      </c>
      <c r="V725" s="180">
        <f>IFERROR(__xludf.DUMMYFUNCTION("""COMPUTED_VALUE"""),0.0)</f>
        <v>0</v>
      </c>
      <c r="W725" s="180">
        <f>IFERROR(__xludf.DUMMYFUNCTION("""COMPUTED_VALUE"""),0.95)</f>
        <v>0.95</v>
      </c>
      <c r="X725" s="42">
        <f>IFERROR(__xludf.DUMMYFUNCTION("""COMPUTED_VALUE"""),0.0)</f>
        <v>0</v>
      </c>
      <c r="Y725" s="42">
        <f>IFERROR(__xludf.DUMMYFUNCTION("""COMPUTED_VALUE"""),0.0)</f>
        <v>0</v>
      </c>
      <c r="Z725" s="9">
        <f>IFERROR(__xludf.DUMMYFUNCTION("""COMPUTED_VALUE"""),0.0)</f>
        <v>0</v>
      </c>
      <c r="AA725" s="181">
        <f>IFERROR(__xludf.DUMMYFUNCTION("""COMPUTED_VALUE"""),0.0)</f>
        <v>0</v>
      </c>
      <c r="AB725" s="181">
        <f>IFERROR(__xludf.DUMMYFUNCTION("""COMPUTED_VALUE"""),0.0)</f>
        <v>0</v>
      </c>
      <c r="AC725" s="179">
        <f>IFERROR(__xludf.DUMMYFUNCTION("""COMPUTED_VALUE"""),0.0)</f>
        <v>0</v>
      </c>
      <c r="AD725" s="165">
        <f>IFERROR(__xludf.DUMMYFUNCTION("""COMPUTED_VALUE"""),0.0)</f>
        <v>0</v>
      </c>
      <c r="AE725" s="39" t="str">
        <f>IFERROR(__xludf.DUMMYFUNCTION("""COMPUTED_VALUE"""),"Yuske Shibata")</f>
        <v>Yuske Shibata</v>
      </c>
      <c r="AF725" s="39" t="str">
        <f>IFERROR(__xludf.DUMMYFUNCTION("""COMPUTED_VALUE"""),"YS21BgLoop")</f>
        <v>YS21BgLoop</v>
      </c>
      <c r="AG725" s="39"/>
      <c r="AH725" s="39"/>
      <c r="AI725" s="165"/>
      <c r="AJ725" s="165"/>
      <c r="AK725" s="111"/>
      <c r="AL725" s="111"/>
      <c r="AM725" s="111"/>
      <c r="AN725" s="111"/>
      <c r="AO725" s="111"/>
      <c r="AP725" s="111"/>
      <c r="AQ725" s="116"/>
      <c r="AR725" s="116"/>
      <c r="AS725" s="116"/>
    </row>
    <row r="726">
      <c r="A726" s="42" t="str">
        <f>IFERROR(__xludf.DUMMYFUNCTION("""COMPUTED_VALUE"""),"STH")</f>
        <v>STH</v>
      </c>
      <c r="B726" s="42"/>
      <c r="C726" s="42"/>
      <c r="D726" s="42" t="str">
        <f>IFERROR(__xludf.DUMMYFUNCTION("""COMPUTED_VALUE"""),"SNR")</f>
        <v>SNR</v>
      </c>
      <c r="E726" s="42"/>
      <c r="F726" s="42"/>
      <c r="G726" s="42"/>
      <c r="H726" s="42" t="str">
        <f>IFERROR(__xludf.DUMMYFUNCTION("""COMPUTED_VALUE"""),"(Limbic loop)")</f>
        <v>(Limbic loop)</v>
      </c>
      <c r="I726" s="42" t="str">
        <f>IFERROR(__xludf.DUMMYFUNCTION("""COMPUTED_VALUE"""),"Krack, 2010")</f>
        <v>Krack, 2010</v>
      </c>
      <c r="J726" s="42"/>
      <c r="K726" s="42"/>
      <c r="L726" s="42"/>
      <c r="M726" s="42"/>
      <c r="N726" s="42"/>
      <c r="O726" s="31" t="str">
        <f>IFERROR(__xludf.DUMMYFUNCTION("""COMPUTED_VALUE"""),"DOC")</f>
        <v>DOC</v>
      </c>
      <c r="P726" s="9" t="str">
        <f>IFERROR(__xludf.DUMMYFUNCTION("""COMPUTED_VALUE"""),"Trends in Neurosciences")</f>
        <v>Trends in Neurosciences</v>
      </c>
      <c r="Q726" s="9"/>
      <c r="R726" s="179" t="str">
        <f>IFERROR(__xludf.DUMMYFUNCTION("""COMPUTED_VALUE"""),"SNR (00/00) [author, year][Fiore, 2015][Krack, 2010](Limbic loop);
")</f>
        <v>SNR (00/00) [author, year][Fiore, 2015][Krack, 2010](Limbic loop);
</v>
      </c>
      <c r="S726" s="179" t="str">
        <f>IFERROR(__xludf.DUMMYFUNCTION("""COMPUTED_VALUE"""),"STHSNR")</f>
        <v>STHSNR</v>
      </c>
      <c r="T726" s="179" t="str">
        <f>IFERROR(__xludf.DUMMYFUNCTION("""COMPUTED_VALUE"""),"[Krack, 2010]")</f>
        <v>[Krack, 2010]</v>
      </c>
      <c r="U726" s="179">
        <f>IFERROR(__xludf.DUMMYFUNCTION("""COMPUTED_VALUE"""),0.0)</f>
        <v>0</v>
      </c>
      <c r="V726" s="180">
        <f>IFERROR(__xludf.DUMMYFUNCTION("""COMPUTED_VALUE"""),0.0)</f>
        <v>0</v>
      </c>
      <c r="W726" s="180">
        <f>IFERROR(__xludf.DUMMYFUNCTION("""COMPUTED_VALUE"""),0.95)</f>
        <v>0.95</v>
      </c>
      <c r="X726" s="42">
        <f>IFERROR(__xludf.DUMMYFUNCTION("""COMPUTED_VALUE"""),0.0)</f>
        <v>0</v>
      </c>
      <c r="Y726" s="42">
        <f>IFERROR(__xludf.DUMMYFUNCTION("""COMPUTED_VALUE"""),0.0)</f>
        <v>0</v>
      </c>
      <c r="Z726" s="9">
        <f>IFERROR(__xludf.DUMMYFUNCTION("""COMPUTED_VALUE"""),0.0)</f>
        <v>0</v>
      </c>
      <c r="AA726" s="181">
        <f>IFERROR(__xludf.DUMMYFUNCTION("""COMPUTED_VALUE"""),0.0)</f>
        <v>0</v>
      </c>
      <c r="AB726" s="181">
        <f>IFERROR(__xludf.DUMMYFUNCTION("""COMPUTED_VALUE"""),0.0)</f>
        <v>0</v>
      </c>
      <c r="AC726" s="179">
        <f>IFERROR(__xludf.DUMMYFUNCTION("""COMPUTED_VALUE"""),0.0)</f>
        <v>0</v>
      </c>
      <c r="AD726" s="165">
        <f>IFERROR(__xludf.DUMMYFUNCTION("""COMPUTED_VALUE"""),0.0)</f>
        <v>0</v>
      </c>
      <c r="AE726" s="39" t="str">
        <f>IFERROR(__xludf.DUMMYFUNCTION("""COMPUTED_VALUE"""),"Yuske Shibata")</f>
        <v>Yuske Shibata</v>
      </c>
      <c r="AF726" s="39" t="str">
        <f>IFERROR(__xludf.DUMMYFUNCTION("""COMPUTED_VALUE"""),"YS21BgLoop")</f>
        <v>YS21BgLoop</v>
      </c>
      <c r="AG726" s="39"/>
      <c r="AH726" s="39"/>
      <c r="AI726" s="165"/>
      <c r="AJ726" s="165"/>
      <c r="AK726" s="111"/>
      <c r="AL726" s="111"/>
      <c r="AM726" s="111"/>
      <c r="AN726" s="111"/>
      <c r="AO726" s="111"/>
      <c r="AP726" s="111"/>
      <c r="AQ726" s="116"/>
      <c r="AR726" s="116"/>
      <c r="AS726" s="116"/>
    </row>
    <row r="727">
      <c r="A727" s="42" t="str">
        <f>IFERROR(__xludf.DUMMYFUNCTION("""COMPUTED_VALUE"""),"STH")</f>
        <v>STH</v>
      </c>
      <c r="B727" s="42"/>
      <c r="C727" s="42"/>
      <c r="D727" s="42" t="str">
        <f>IFERROR(__xludf.DUMMYFUNCTION("""COMPUTED_VALUE"""),"GPi")</f>
        <v>GPi</v>
      </c>
      <c r="E727" s="42"/>
      <c r="F727" s="42"/>
      <c r="G727" s="42"/>
      <c r="H727" s="42" t="str">
        <f>IFERROR(__xludf.DUMMYFUNCTION("""COMPUTED_VALUE"""),"(Sensorimotor)(Associative loop)")</f>
        <v>(Sensorimotor)(Associative loop)</v>
      </c>
      <c r="I727" s="42" t="str">
        <f>IFERROR(__xludf.DUMMYFUNCTION("""COMPUTED_VALUE"""),"Krack, 2010")</f>
        <v>Krack, 2010</v>
      </c>
      <c r="J727" s="42"/>
      <c r="K727" s="42"/>
      <c r="L727" s="42"/>
      <c r="M727" s="42"/>
      <c r="N727" s="42"/>
      <c r="O727" s="31" t="str">
        <f>IFERROR(__xludf.DUMMYFUNCTION("""COMPUTED_VALUE"""),"DOC")</f>
        <v>DOC</v>
      </c>
      <c r="P727" s="9" t="str">
        <f>IFERROR(__xludf.DUMMYFUNCTION("""COMPUTED_VALUE"""),"Trends in Neurosciences")</f>
        <v>Trends in Neurosciences</v>
      </c>
      <c r="Q727" s="9"/>
      <c r="R727" s="179" t="str">
        <f>IFERROR(__xludf.DUMMYFUNCTION("""COMPUTED_VALUE"""),"GPi (00/00) [Fiore, 2015][Krack, 2010][author, year](Sensorimotor)(Associative loop);
")</f>
        <v>GPi (00/00) [Fiore, 2015][Krack, 2010][author, year](Sensorimotor)(Associative loop);
</v>
      </c>
      <c r="S727" s="179" t="str">
        <f>IFERROR(__xludf.DUMMYFUNCTION("""COMPUTED_VALUE"""),"STHGPi")</f>
        <v>STHGPi</v>
      </c>
      <c r="T727" s="179" t="str">
        <f>IFERROR(__xludf.DUMMYFUNCTION("""COMPUTED_VALUE"""),"[Krack, 2010]")</f>
        <v>[Krack, 2010]</v>
      </c>
      <c r="U727" s="179">
        <f>IFERROR(__xludf.DUMMYFUNCTION("""COMPUTED_VALUE"""),0.0)</f>
        <v>0</v>
      </c>
      <c r="V727" s="180">
        <f>IFERROR(__xludf.DUMMYFUNCTION("""COMPUTED_VALUE"""),0.0)</f>
        <v>0</v>
      </c>
      <c r="W727" s="180">
        <f>IFERROR(__xludf.DUMMYFUNCTION("""COMPUTED_VALUE"""),0.95)</f>
        <v>0.95</v>
      </c>
      <c r="X727" s="42">
        <f>IFERROR(__xludf.DUMMYFUNCTION("""COMPUTED_VALUE"""),0.0)</f>
        <v>0</v>
      </c>
      <c r="Y727" s="42">
        <f>IFERROR(__xludf.DUMMYFUNCTION("""COMPUTED_VALUE"""),0.0)</f>
        <v>0</v>
      </c>
      <c r="Z727" s="9">
        <f>IFERROR(__xludf.DUMMYFUNCTION("""COMPUTED_VALUE"""),0.0)</f>
        <v>0</v>
      </c>
      <c r="AA727" s="181">
        <f>IFERROR(__xludf.DUMMYFUNCTION("""COMPUTED_VALUE"""),0.0)</f>
        <v>0</v>
      </c>
      <c r="AB727" s="181">
        <f>IFERROR(__xludf.DUMMYFUNCTION("""COMPUTED_VALUE"""),0.0)</f>
        <v>0</v>
      </c>
      <c r="AC727" s="179">
        <f>IFERROR(__xludf.DUMMYFUNCTION("""COMPUTED_VALUE"""),0.0)</f>
        <v>0</v>
      </c>
      <c r="AD727" s="165">
        <f>IFERROR(__xludf.DUMMYFUNCTION("""COMPUTED_VALUE"""),0.0)</f>
        <v>0</v>
      </c>
      <c r="AE727" s="39" t="str">
        <f>IFERROR(__xludf.DUMMYFUNCTION("""COMPUTED_VALUE"""),"Yuske Shibata")</f>
        <v>Yuske Shibata</v>
      </c>
      <c r="AF727" s="39" t="str">
        <f>IFERROR(__xludf.DUMMYFUNCTION("""COMPUTED_VALUE"""),"YS21BgLoop")</f>
        <v>YS21BgLoop</v>
      </c>
      <c r="AG727" s="39"/>
      <c r="AH727" s="39"/>
      <c r="AI727" s="165"/>
      <c r="AJ727" s="165"/>
      <c r="AK727" s="111"/>
      <c r="AL727" s="111"/>
      <c r="AM727" s="111"/>
      <c r="AN727" s="111"/>
      <c r="AO727" s="111"/>
      <c r="AP727" s="111"/>
      <c r="AQ727" s="116"/>
      <c r="AR727" s="116"/>
      <c r="AS727" s="116"/>
    </row>
    <row r="728">
      <c r="A728" s="42" t="str">
        <f>IFERROR(__xludf.DUMMYFUNCTION("""COMPUTED_VALUE"""),"STH")</f>
        <v>STH</v>
      </c>
      <c r="B728" s="42"/>
      <c r="C728" s="42"/>
      <c r="D728" s="42" t="str">
        <f>IFERROR(__xludf.DUMMYFUNCTION("""COMPUTED_VALUE"""),"GPe")</f>
        <v>GPe</v>
      </c>
      <c r="E728" s="42"/>
      <c r="F728" s="42"/>
      <c r="G728" s="42"/>
      <c r="H728" s="42" t="str">
        <f>IFERROR(__xludf.DUMMYFUNCTION("""COMPUTED_VALUE"""),"(Sensorimotor)(Limbic loop)(Associative loop)")</f>
        <v>(Sensorimotor)(Limbic loop)(Associative loop)</v>
      </c>
      <c r="I728" s="42" t="str">
        <f>IFERROR(__xludf.DUMMYFUNCTION("""COMPUTED_VALUE"""),"Krack, 2010")</f>
        <v>Krack, 2010</v>
      </c>
      <c r="J728" s="42"/>
      <c r="K728" s="42"/>
      <c r="L728" s="42"/>
      <c r="M728" s="42"/>
      <c r="N728" s="42"/>
      <c r="O728" s="31" t="str">
        <f>IFERROR(__xludf.DUMMYFUNCTION("""COMPUTED_VALUE"""),"DOC")</f>
        <v>DOC</v>
      </c>
      <c r="P728" s="9" t="str">
        <f>IFERROR(__xludf.DUMMYFUNCTION("""COMPUTED_VALUE"""),"Trends in Neurosciences")</f>
        <v>Trends in Neurosciences</v>
      </c>
      <c r="Q728" s="9"/>
      <c r="R728" s="179" t="str">
        <f>IFERROR(__xludf.DUMMYFUNCTION("""COMPUTED_VALUE"""),"GPe (00/00) [Fiore, 2015][Kahan, 2012][Krack, 2010](Sensorimotor)(Limbic loop)(Associative loop);
")</f>
        <v>GPe (00/00) [Fiore, 2015][Kahan, 2012][Krack, 2010](Sensorimotor)(Limbic loop)(Associative loop);
</v>
      </c>
      <c r="S728" s="179" t="str">
        <f>IFERROR(__xludf.DUMMYFUNCTION("""COMPUTED_VALUE"""),"STHGPe")</f>
        <v>STHGPe</v>
      </c>
      <c r="T728" s="179" t="str">
        <f>IFERROR(__xludf.DUMMYFUNCTION("""COMPUTED_VALUE"""),"[Krack, 2010]")</f>
        <v>[Krack, 2010]</v>
      </c>
      <c r="U728" s="179">
        <f>IFERROR(__xludf.DUMMYFUNCTION("""COMPUTED_VALUE"""),0.0)</f>
        <v>0</v>
      </c>
      <c r="V728" s="180">
        <f>IFERROR(__xludf.DUMMYFUNCTION("""COMPUTED_VALUE"""),0.0)</f>
        <v>0</v>
      </c>
      <c r="W728" s="180">
        <f>IFERROR(__xludf.DUMMYFUNCTION("""COMPUTED_VALUE"""),0.95)</f>
        <v>0.95</v>
      </c>
      <c r="X728" s="42">
        <f>IFERROR(__xludf.DUMMYFUNCTION("""COMPUTED_VALUE"""),0.0)</f>
        <v>0</v>
      </c>
      <c r="Y728" s="42">
        <f>IFERROR(__xludf.DUMMYFUNCTION("""COMPUTED_VALUE"""),0.0)</f>
        <v>0</v>
      </c>
      <c r="Z728" s="9">
        <f>IFERROR(__xludf.DUMMYFUNCTION("""COMPUTED_VALUE"""),0.0)</f>
        <v>0</v>
      </c>
      <c r="AA728" s="181">
        <f>IFERROR(__xludf.DUMMYFUNCTION("""COMPUTED_VALUE"""),0.0)</f>
        <v>0</v>
      </c>
      <c r="AB728" s="181">
        <f>IFERROR(__xludf.DUMMYFUNCTION("""COMPUTED_VALUE"""),0.0)</f>
        <v>0</v>
      </c>
      <c r="AC728" s="179">
        <f>IFERROR(__xludf.DUMMYFUNCTION("""COMPUTED_VALUE"""),0.0)</f>
        <v>0</v>
      </c>
      <c r="AD728" s="165">
        <f>IFERROR(__xludf.DUMMYFUNCTION("""COMPUTED_VALUE"""),0.0)</f>
        <v>0</v>
      </c>
      <c r="AE728" s="39" t="str">
        <f>IFERROR(__xludf.DUMMYFUNCTION("""COMPUTED_VALUE"""),"Yuske Shibata")</f>
        <v>Yuske Shibata</v>
      </c>
      <c r="AF728" s="39" t="str">
        <f>IFERROR(__xludf.DUMMYFUNCTION("""COMPUTED_VALUE"""),"YS21BgLoop")</f>
        <v>YS21BgLoop</v>
      </c>
      <c r="AG728" s="39"/>
      <c r="AH728" s="39"/>
      <c r="AI728" s="165"/>
      <c r="AJ728" s="165"/>
      <c r="AK728" s="111"/>
      <c r="AL728" s="111"/>
      <c r="AM728" s="111"/>
      <c r="AN728" s="111"/>
      <c r="AO728" s="111"/>
      <c r="AP728" s="111"/>
      <c r="AQ728" s="116"/>
      <c r="AR728" s="116"/>
      <c r="AS728" s="116"/>
    </row>
    <row r="729">
      <c r="A729" s="42" t="str">
        <f>IFERROR(__xludf.DUMMYFUNCTION("""COMPUTED_VALUE"""),"STH")</f>
        <v>STH</v>
      </c>
      <c r="B729" s="42"/>
      <c r="C729" s="42"/>
      <c r="D729" s="42" t="str">
        <f>IFERROR(__xludf.DUMMYFUNCTION("""COMPUTED_VALUE"""),"GPi")</f>
        <v>GPi</v>
      </c>
      <c r="E729" s="42"/>
      <c r="F729" s="42"/>
      <c r="G729" s="42"/>
      <c r="H729" s="42"/>
      <c r="I729" s="42" t="str">
        <f>IFERROR(__xludf.DUMMYFUNCTION("""COMPUTED_VALUE"""),"author, year")</f>
        <v>author, year</v>
      </c>
      <c r="J729" s="42"/>
      <c r="K729" s="42"/>
      <c r="L729" s="42"/>
      <c r="M729" s="42"/>
      <c r="N729" s="42"/>
      <c r="O729" s="31" t="str">
        <f>IFERROR(__xludf.DUMMYFUNCTION("""COMPUTED_VALUE"""),"#Error: Reference ID")</f>
        <v>#Error: Reference ID</v>
      </c>
      <c r="P729" s="9" t="str">
        <f>IFERROR(__xludf.DUMMYFUNCTION("""COMPUTED_VALUE"""),"#Error: Reference ID")</f>
        <v>#Error: Reference ID</v>
      </c>
      <c r="Q729" s="9" t="str">
        <f>IFERROR(__xludf.DUMMYFUNCTION("""COMPUTED_VALUE"""),"#Error: Reference ID")</f>
        <v>#Error: Reference ID</v>
      </c>
      <c r="R729" s="179" t="str">
        <f>IFERROR(__xludf.DUMMYFUNCTION("""COMPUTED_VALUE"""),"GPi (00/00) [Fiore, 2015][Krack, 2010][author, year];
")</f>
        <v>GPi (00/00) [Fiore, 2015][Krack, 2010][author, year];
</v>
      </c>
      <c r="S729" s="179" t="str">
        <f>IFERROR(__xludf.DUMMYFUNCTION("""COMPUTED_VALUE"""),"STHGPi")</f>
        <v>STHGPi</v>
      </c>
      <c r="T729" s="179" t="str">
        <f>IFERROR(__xludf.DUMMYFUNCTION("""COMPUTED_VALUE"""),"[author, year]")</f>
        <v>[author, year]</v>
      </c>
      <c r="U729" s="179">
        <f>IFERROR(__xludf.DUMMYFUNCTION("""COMPUTED_VALUE"""),0.0)</f>
        <v>0</v>
      </c>
      <c r="V729" s="180">
        <f>IFERROR(__xludf.DUMMYFUNCTION("""COMPUTED_VALUE"""),0.0)</f>
        <v>0</v>
      </c>
      <c r="W729" s="180">
        <f>IFERROR(__xludf.DUMMYFUNCTION("""COMPUTED_VALUE"""),0.0)</f>
        <v>0</v>
      </c>
      <c r="X729" s="42">
        <f>IFERROR(__xludf.DUMMYFUNCTION("""COMPUTED_VALUE"""),0.0)</f>
        <v>0</v>
      </c>
      <c r="Y729" s="42">
        <f>IFERROR(__xludf.DUMMYFUNCTION("""COMPUTED_VALUE"""),0.0)</f>
        <v>0</v>
      </c>
      <c r="Z729" s="9">
        <f>IFERROR(__xludf.DUMMYFUNCTION("""COMPUTED_VALUE"""),0.0)</f>
        <v>0</v>
      </c>
      <c r="AA729" s="181">
        <f>IFERROR(__xludf.DUMMYFUNCTION("""COMPUTED_VALUE"""),0.0)</f>
        <v>0</v>
      </c>
      <c r="AB729" s="181">
        <f>IFERROR(__xludf.DUMMYFUNCTION("""COMPUTED_VALUE"""),0.0)</f>
        <v>0</v>
      </c>
      <c r="AC729" s="179">
        <f>IFERROR(__xludf.DUMMYFUNCTION("""COMPUTED_VALUE"""),0.0)</f>
        <v>0</v>
      </c>
      <c r="AD729" s="165">
        <f>IFERROR(__xludf.DUMMYFUNCTION("""COMPUTED_VALUE"""),0.0)</f>
        <v>0</v>
      </c>
      <c r="AE729" s="39" t="str">
        <f>IFERROR(__xludf.DUMMYFUNCTION("""COMPUTED_VALUE"""),"Hiroshi Yamakawa")</f>
        <v>Hiroshi Yamakawa</v>
      </c>
      <c r="AF729" s="39" t="str">
        <f>IFERROR(__xludf.DUMMYFUNCTION("""COMPUTED_VALUE"""),"HY20Cerebellum")</f>
        <v>HY20Cerebellum</v>
      </c>
      <c r="AG729" s="39"/>
      <c r="AH729" s="39"/>
      <c r="AI729" s="165"/>
      <c r="AJ729" s="165"/>
      <c r="AK729" s="111"/>
      <c r="AL729" s="111"/>
      <c r="AM729" s="111"/>
      <c r="AN729" s="111"/>
      <c r="AO729" s="111"/>
      <c r="AP729" s="111"/>
      <c r="AQ729" s="116"/>
      <c r="AR729" s="116"/>
      <c r="AS729" s="116"/>
    </row>
    <row r="730">
      <c r="A730" s="42" t="str">
        <f>IFERROR(__xludf.DUMMYFUNCTION("""COMPUTED_VALUE"""),"STH")</f>
        <v>STH</v>
      </c>
      <c r="B730" s="42"/>
      <c r="C730" s="42"/>
      <c r="D730" s="42" t="str">
        <f>IFERROR(__xludf.DUMMYFUNCTION("""COMPUTED_VALUE"""),"PN")</f>
        <v>PN</v>
      </c>
      <c r="E730" s="42"/>
      <c r="F730" s="42"/>
      <c r="G730" s="42"/>
      <c r="H730" s="42" t="str">
        <f>IFERROR(__xludf.DUMMYFUNCTION("""COMPUTED_VALUE"""),"")</f>
        <v/>
      </c>
      <c r="I730" s="42" t="str">
        <f>IFERROR(__xludf.DUMMYFUNCTION("""COMPUTED_VALUE"""),"D’Angelo, 2013")</f>
        <v>D’Angelo, 2013</v>
      </c>
      <c r="J730" s="42"/>
      <c r="K730" s="42"/>
      <c r="L730" s="42"/>
      <c r="M730" s="42"/>
      <c r="N730" s="42"/>
      <c r="O730" s="31" t="str">
        <f>IFERROR(__xludf.DUMMYFUNCTION("""COMPUTED_VALUE"""),"DOC")</f>
        <v>DOC</v>
      </c>
      <c r="P730" s="9" t="str">
        <f>IFERROR(__xludf.DUMMYFUNCTION("""COMPUTED_VALUE"""),"Frontiers in Neural Circuits")</f>
        <v>Frontiers in Neural Circuits</v>
      </c>
      <c r="Q730" s="9" t="str">
        <f>IFERROR(__xludf.DUMMYFUNCTION("""COMPUTED_VALUE"""),"Review")</f>
        <v>Review</v>
      </c>
      <c r="R730" s="179" t="str">
        <f>IFERROR(__xludf.DUMMYFUNCTION("""COMPUTED_VALUE"""),"PN (00/00) [D’Angelo, 2013];
")</f>
        <v>PN (00/00) [D’Angelo, 2013];
</v>
      </c>
      <c r="S730" s="179" t="str">
        <f>IFERROR(__xludf.DUMMYFUNCTION("""COMPUTED_VALUE"""),"STHPN")</f>
        <v>STHPN</v>
      </c>
      <c r="T730" s="179" t="str">
        <f>IFERROR(__xludf.DUMMYFUNCTION("""COMPUTED_VALUE"""),"[D’Angelo, 2013]")</f>
        <v>[D’Angelo, 2013]</v>
      </c>
      <c r="U730" s="179">
        <f>IFERROR(__xludf.DUMMYFUNCTION("""COMPUTED_VALUE"""),0.0)</f>
        <v>0</v>
      </c>
      <c r="V730" s="180">
        <f>IFERROR(__xludf.DUMMYFUNCTION("""COMPUTED_VALUE"""),0.0)</f>
        <v>0</v>
      </c>
      <c r="W730" s="180">
        <f>IFERROR(__xludf.DUMMYFUNCTION("""COMPUTED_VALUE"""),0.95)</f>
        <v>0.95</v>
      </c>
      <c r="X730" s="42">
        <f>IFERROR(__xludf.DUMMYFUNCTION("""COMPUTED_VALUE"""),0.8)</f>
        <v>0.8</v>
      </c>
      <c r="Y730" s="42">
        <f>IFERROR(__xludf.DUMMYFUNCTION("""COMPUTED_VALUE"""),0.0)</f>
        <v>0</v>
      </c>
      <c r="Z730" s="9">
        <f>IFERROR(__xludf.DUMMYFUNCTION("""COMPUTED_VALUE"""),0.0)</f>
        <v>0</v>
      </c>
      <c r="AA730" s="181">
        <f>IFERROR(__xludf.DUMMYFUNCTION("""COMPUTED_VALUE"""),0.0)</f>
        <v>0</v>
      </c>
      <c r="AB730" s="181">
        <f>IFERROR(__xludf.DUMMYFUNCTION("""COMPUTED_VALUE"""),0.0)</f>
        <v>0</v>
      </c>
      <c r="AC730" s="179">
        <f>IFERROR(__xludf.DUMMYFUNCTION("""COMPUTED_VALUE"""),0.0)</f>
        <v>0</v>
      </c>
      <c r="AD730" s="165">
        <f>IFERROR(__xludf.DUMMYFUNCTION("""COMPUTED_VALUE"""),0.0)</f>
        <v>0</v>
      </c>
      <c r="AE730" s="39" t="str">
        <f>IFERROR(__xludf.DUMMYFUNCTION("""COMPUTED_VALUE"""),"Hiroshi Yamakawa")</f>
        <v>Hiroshi Yamakawa</v>
      </c>
      <c r="AF730" s="39" t="str">
        <f>IFERROR(__xludf.DUMMYFUNCTION("""COMPUTED_VALUE"""),"HY20Cerebellum")</f>
        <v>HY20Cerebellum</v>
      </c>
      <c r="AG730" s="39"/>
      <c r="AH730" s="39"/>
      <c r="AI730" s="165"/>
      <c r="AJ730" s="165"/>
      <c r="AK730" s="111"/>
      <c r="AL730" s="111"/>
      <c r="AM730" s="111"/>
      <c r="AN730" s="111"/>
      <c r="AO730" s="111"/>
      <c r="AP730" s="111"/>
      <c r="AQ730" s="116"/>
      <c r="AR730" s="116"/>
      <c r="AS730" s="116"/>
    </row>
    <row r="731">
      <c r="A731" s="42" t="str">
        <f>IFERROR(__xludf.DUMMYFUNCTION("""COMPUTED_VALUE"""),"STH")</f>
        <v>STH</v>
      </c>
      <c r="B731" s="42"/>
      <c r="C731" s="42"/>
      <c r="D731" s="42" t="str">
        <f>IFERROR(__xludf.DUMMYFUNCTION("""COMPUTED_VALUE"""),"GPi")</f>
        <v>GPi</v>
      </c>
      <c r="E731" s="42"/>
      <c r="F731" s="42"/>
      <c r="G731" s="42"/>
      <c r="H731" s="42" t="str">
        <f>IFERROR(__xludf.DUMMYFUNCTION("""COMPUTED_VALUE"""),"")</f>
        <v/>
      </c>
      <c r="I731" s="42" t="str">
        <f>IFERROR(__xludf.DUMMYFUNCTION("""COMPUTED_VALUE"""),"author, year")</f>
        <v>author, year</v>
      </c>
      <c r="J731" s="42"/>
      <c r="K731" s="42"/>
      <c r="L731" s="42"/>
      <c r="M731" s="42"/>
      <c r="N731" s="42"/>
      <c r="O731" s="31" t="str">
        <f>IFERROR(__xludf.DUMMYFUNCTION("""COMPUTED_VALUE"""),"#Error: Reference ID")</f>
        <v>#Error: Reference ID</v>
      </c>
      <c r="P731" s="9" t="str">
        <f>IFERROR(__xludf.DUMMYFUNCTION("""COMPUTED_VALUE"""),"#Error: Reference ID")</f>
        <v>#Error: Reference ID</v>
      </c>
      <c r="Q731" s="9" t="str">
        <f>IFERROR(__xludf.DUMMYFUNCTION("""COMPUTED_VALUE"""),"#Error: Reference ID")</f>
        <v>#Error: Reference ID</v>
      </c>
      <c r="R731" s="179" t="str">
        <f>IFERROR(__xludf.DUMMYFUNCTION("""COMPUTED_VALUE"""),"GPi (00/00) [Fiore, 2015][Krack, 2010][author, year];
")</f>
        <v>GPi (00/00) [Fiore, 2015][Krack, 2010][author, year];
</v>
      </c>
      <c r="S731" s="179" t="str">
        <f>IFERROR(__xludf.DUMMYFUNCTION("""COMPUTED_VALUE"""),"STHGPi")</f>
        <v>STHGPi</v>
      </c>
      <c r="T731" s="179" t="str">
        <f>IFERROR(__xludf.DUMMYFUNCTION("""COMPUTED_VALUE"""),"[author, year]")</f>
        <v>[author, year]</v>
      </c>
      <c r="U731" s="179">
        <f>IFERROR(__xludf.DUMMYFUNCTION("""COMPUTED_VALUE"""),0.0)</f>
        <v>0</v>
      </c>
      <c r="V731" s="180">
        <f>IFERROR(__xludf.DUMMYFUNCTION("""COMPUTED_VALUE"""),0.0)</f>
        <v>0</v>
      </c>
      <c r="W731" s="180">
        <f>IFERROR(__xludf.DUMMYFUNCTION("""COMPUTED_VALUE"""),0.0)</f>
        <v>0</v>
      </c>
      <c r="X731" s="42">
        <f>IFERROR(__xludf.DUMMYFUNCTION("""COMPUTED_VALUE"""),0.0)</f>
        <v>0</v>
      </c>
      <c r="Y731" s="42">
        <f>IFERROR(__xludf.DUMMYFUNCTION("""COMPUTED_VALUE"""),0.0)</f>
        <v>0</v>
      </c>
      <c r="Z731" s="9">
        <f>IFERROR(__xludf.DUMMYFUNCTION("""COMPUTED_VALUE"""),0.0)</f>
        <v>0</v>
      </c>
      <c r="AA731" s="181">
        <f>IFERROR(__xludf.DUMMYFUNCTION("""COMPUTED_VALUE"""),0.0)</f>
        <v>0</v>
      </c>
      <c r="AB731" s="181">
        <f>IFERROR(__xludf.DUMMYFUNCTION("""COMPUTED_VALUE"""),0.0)</f>
        <v>0</v>
      </c>
      <c r="AC731" s="179">
        <f>IFERROR(__xludf.DUMMYFUNCTION("""COMPUTED_VALUE"""),0.0)</f>
        <v>0</v>
      </c>
      <c r="AD731" s="165">
        <f>IFERROR(__xludf.DUMMYFUNCTION("""COMPUTED_VALUE"""),0.0)</f>
        <v>0</v>
      </c>
      <c r="AE731" s="39" t="str">
        <f>IFERROR(__xludf.DUMMYFUNCTION("""COMPUTED_VALUE"""),"Hiroshi Yamakawa")</f>
        <v>Hiroshi Yamakawa</v>
      </c>
      <c r="AF731" s="39" t="str">
        <f>IFERROR(__xludf.DUMMYFUNCTION("""COMPUTED_VALUE"""),"HY18NeocorticalInterareaSignals")</f>
        <v>HY18NeocorticalInterareaSignals</v>
      </c>
      <c r="AG731" s="39"/>
      <c r="AH731" s="39"/>
      <c r="AI731" s="165"/>
      <c r="AJ731" s="165"/>
      <c r="AK731" s="111"/>
      <c r="AL731" s="111"/>
      <c r="AM731" s="111"/>
      <c r="AN731" s="111"/>
      <c r="AO731" s="111"/>
      <c r="AP731" s="111"/>
      <c r="AQ731" s="116"/>
      <c r="AR731" s="116"/>
      <c r="AS731" s="116"/>
    </row>
    <row r="732">
      <c r="A732" s="42" t="str">
        <f>IFERROR(__xludf.DUMMYFUNCTION("""COMPUTED_VALUE"""),"STR")</f>
        <v>STR</v>
      </c>
      <c r="B732" s="42"/>
      <c r="C732" s="42"/>
      <c r="D732" s="42" t="str">
        <f>IFERROR(__xludf.DUMMYFUNCTION("""COMPUTED_VALUE"""),"AB")</f>
        <v>AB</v>
      </c>
      <c r="E732" s="42"/>
      <c r="F732" s="42"/>
      <c r="G732" s="42"/>
      <c r="H732" s="42" t="str">
        <f>IFERROR(__xludf.DUMMYFUNCTION("""COMPUTED_VALUE"""),"")</f>
        <v/>
      </c>
      <c r="I732" s="42" t="str">
        <f>IFERROR(__xludf.DUMMYFUNCTION("""COMPUTED_VALUE"""),"Pitkänen, 2000")</f>
        <v>Pitkänen, 2000</v>
      </c>
      <c r="J732" s="42" t="str">
        <f>IFERROR(__xludf.DUMMYFUNCTION("""COMPUTED_VALUE"""),"Rat")</f>
        <v>Rat</v>
      </c>
      <c r="K732" s="42" t="str">
        <f>IFERROR(__xludf.DUMMYFUNCTION("""COMPUTED_VALUE"""),"Various tracing")</f>
        <v>Various tracing</v>
      </c>
      <c r="L732" s="42"/>
      <c r="M732" s="42" t="str">
        <f>IFERROR(__xludf.DUMMYFUNCTION("""COMPUTED_VALUE"""),"fig.3-fig.12 (to be specified)")</f>
        <v>fig.3-fig.12 (to be specified)</v>
      </c>
      <c r="N732" s="42"/>
      <c r="O732" s="31" t="str">
        <f>IFERROR(__xludf.DUMMYFUNCTION("""COMPUTED_VALUE"""),"DOC(alt)")</f>
        <v>DOC(alt)</v>
      </c>
      <c r="P732" s="9" t="str">
        <f>IFERROR(__xludf.DUMMYFUNCTION("""COMPUTED_VALUE"""),"Folia morphologica")</f>
        <v>Folia morphologica</v>
      </c>
      <c r="Q732" s="9" t="str">
        <f>IFERROR(__xludf.DUMMYFUNCTION("""COMPUTED_VALUE"""),"Review")</f>
        <v>Review</v>
      </c>
      <c r="R732" s="179" t="str">
        <f>IFERROR(__xludf.DUMMYFUNCTION("""COMPUTED_VALUE"""),"AB (00/00) [Pitkänen, 2000];
")</f>
        <v>AB (00/00) [Pitkänen, 2000];
</v>
      </c>
      <c r="S732" s="179" t="str">
        <f>IFERROR(__xludf.DUMMYFUNCTION("""COMPUTED_VALUE"""),"STRAB")</f>
        <v>STRAB</v>
      </c>
      <c r="T732" s="179" t="str">
        <f>IFERROR(__xludf.DUMMYFUNCTION("""COMPUTED_VALUE"""),"[Pitkänen, 2000]")</f>
        <v>[Pitkänen, 2000]</v>
      </c>
      <c r="U732" s="179">
        <f>IFERROR(__xludf.DUMMYFUNCTION("""COMPUTED_VALUE"""),0.0)</f>
        <v>0</v>
      </c>
      <c r="V732" s="180">
        <f>IFERROR(__xludf.DUMMYFUNCTION("""COMPUTED_VALUE"""),0.0)</f>
        <v>0</v>
      </c>
      <c r="W732" s="180">
        <f>IFERROR(__xludf.DUMMYFUNCTION("""COMPUTED_VALUE"""),0.95)</f>
        <v>0.95</v>
      </c>
      <c r="X732" s="42">
        <f>IFERROR(__xludf.DUMMYFUNCTION("""COMPUTED_VALUE"""),0.8)</f>
        <v>0.8</v>
      </c>
      <c r="Y732" s="42">
        <f>IFERROR(__xludf.DUMMYFUNCTION("""COMPUTED_VALUE"""),0.6)</f>
        <v>0.6</v>
      </c>
      <c r="Z732" s="9">
        <f>IFERROR(__xludf.DUMMYFUNCTION("""COMPUTED_VALUE"""),0.9)</f>
        <v>0.9</v>
      </c>
      <c r="AA732" s="181">
        <f>IFERROR(__xludf.DUMMYFUNCTION("""COMPUTED_VALUE"""),0.0)</f>
        <v>0</v>
      </c>
      <c r="AB732" s="181">
        <f>IFERROR(__xludf.DUMMYFUNCTION("""COMPUTED_VALUE"""),0.0)</f>
        <v>0</v>
      </c>
      <c r="AC732" s="179">
        <f>IFERROR(__xludf.DUMMYFUNCTION("""COMPUTED_VALUE"""),0.0)</f>
        <v>0</v>
      </c>
      <c r="AD732" s="165">
        <f>IFERROR(__xludf.DUMMYFUNCTION("""COMPUTED_VALUE"""),0.0)</f>
        <v>0</v>
      </c>
      <c r="AE732" s="39" t="str">
        <f>IFERROR(__xludf.DUMMYFUNCTION("""COMPUTED_VALUE"""),"Tatsuya Miyamoto")</f>
        <v>Tatsuya Miyamoto</v>
      </c>
      <c r="AF732" s="39" t="str">
        <f>IFERROR(__xludf.DUMMYFUNCTION("""COMPUTED_VALUE"""),"TM21Amygdala")</f>
        <v>TM21Amygdala</v>
      </c>
      <c r="AG732" s="39"/>
      <c r="AH732" s="39"/>
      <c r="AI732" s="165"/>
      <c r="AJ732" s="165"/>
      <c r="AK732" s="111"/>
      <c r="AL732" s="111"/>
      <c r="AM732" s="111"/>
      <c r="AN732" s="111"/>
      <c r="AO732" s="111"/>
      <c r="AP732" s="111"/>
      <c r="AQ732" s="116"/>
      <c r="AR732" s="116"/>
      <c r="AS732" s="116"/>
    </row>
    <row r="733">
      <c r="A733" s="42" t="str">
        <f>IFERROR(__xludf.DUMMYFUNCTION("""COMPUTED_VALUE"""),"STR")</f>
        <v>STR</v>
      </c>
      <c r="B733" s="42"/>
      <c r="C733" s="42"/>
      <c r="D733" s="42" t="str">
        <f>IFERROR(__xludf.DUMMYFUNCTION("""COMPUTED_VALUE"""),"BL")</f>
        <v>BL</v>
      </c>
      <c r="E733" s="42"/>
      <c r="F733" s="42"/>
      <c r="G733" s="42"/>
      <c r="H733" s="42" t="str">
        <f>IFERROR(__xludf.DUMMYFUNCTION("""COMPUTED_VALUE"""),"")</f>
        <v/>
      </c>
      <c r="I733" s="42" t="str">
        <f>IFERROR(__xludf.DUMMYFUNCTION("""COMPUTED_VALUE"""),"Pitkänen, 2000")</f>
        <v>Pitkänen, 2000</v>
      </c>
      <c r="J733" s="42" t="str">
        <f>IFERROR(__xludf.DUMMYFUNCTION("""COMPUTED_VALUE"""),"Rat")</f>
        <v>Rat</v>
      </c>
      <c r="K733" s="42" t="str">
        <f>IFERROR(__xludf.DUMMYFUNCTION("""COMPUTED_VALUE"""),"Various tracing")</f>
        <v>Various tracing</v>
      </c>
      <c r="L733" s="42"/>
      <c r="M733" s="42" t="str">
        <f>IFERROR(__xludf.DUMMYFUNCTION("""COMPUTED_VALUE"""),"fig.3-fig.12 (to be specified)")</f>
        <v>fig.3-fig.12 (to be specified)</v>
      </c>
      <c r="N733" s="42"/>
      <c r="O733" s="31" t="str">
        <f>IFERROR(__xludf.DUMMYFUNCTION("""COMPUTED_VALUE"""),"DOC(alt)")</f>
        <v>DOC(alt)</v>
      </c>
      <c r="P733" s="9" t="str">
        <f>IFERROR(__xludf.DUMMYFUNCTION("""COMPUTED_VALUE"""),"Folia morphologica")</f>
        <v>Folia morphologica</v>
      </c>
      <c r="Q733" s="9" t="str">
        <f>IFERROR(__xludf.DUMMYFUNCTION("""COMPUTED_VALUE"""),"Review")</f>
        <v>Review</v>
      </c>
      <c r="R733" s="179" t="str">
        <f>IFERROR(__xludf.DUMMYFUNCTION("""COMPUTED_VALUE"""),"BL (00/00) [Pitkänen, 2000];
")</f>
        <v>BL (00/00) [Pitkänen, 2000];
</v>
      </c>
      <c r="S733" s="179" t="str">
        <f>IFERROR(__xludf.DUMMYFUNCTION("""COMPUTED_VALUE"""),"STRBL")</f>
        <v>STRBL</v>
      </c>
      <c r="T733" s="179" t="str">
        <f>IFERROR(__xludf.DUMMYFUNCTION("""COMPUTED_VALUE"""),"[Pitkänen, 2000]")</f>
        <v>[Pitkänen, 2000]</v>
      </c>
      <c r="U733" s="179">
        <f>IFERROR(__xludf.DUMMYFUNCTION("""COMPUTED_VALUE"""),0.0)</f>
        <v>0</v>
      </c>
      <c r="V733" s="180">
        <f>IFERROR(__xludf.DUMMYFUNCTION("""COMPUTED_VALUE"""),0.0)</f>
        <v>0</v>
      </c>
      <c r="W733" s="180">
        <f>IFERROR(__xludf.DUMMYFUNCTION("""COMPUTED_VALUE"""),0.95)</f>
        <v>0.95</v>
      </c>
      <c r="X733" s="42">
        <f>IFERROR(__xludf.DUMMYFUNCTION("""COMPUTED_VALUE"""),0.8)</f>
        <v>0.8</v>
      </c>
      <c r="Y733" s="42">
        <f>IFERROR(__xludf.DUMMYFUNCTION("""COMPUTED_VALUE"""),0.6)</f>
        <v>0.6</v>
      </c>
      <c r="Z733" s="9">
        <f>IFERROR(__xludf.DUMMYFUNCTION("""COMPUTED_VALUE"""),0.9)</f>
        <v>0.9</v>
      </c>
      <c r="AA733" s="181">
        <f>IFERROR(__xludf.DUMMYFUNCTION("""COMPUTED_VALUE"""),0.0)</f>
        <v>0</v>
      </c>
      <c r="AB733" s="181">
        <f>IFERROR(__xludf.DUMMYFUNCTION("""COMPUTED_VALUE"""),0.0)</f>
        <v>0</v>
      </c>
      <c r="AC733" s="179">
        <f>IFERROR(__xludf.DUMMYFUNCTION("""COMPUTED_VALUE"""),0.0)</f>
        <v>0</v>
      </c>
      <c r="AD733" s="165">
        <f>IFERROR(__xludf.DUMMYFUNCTION("""COMPUTED_VALUE"""),0.0)</f>
        <v>0</v>
      </c>
      <c r="AE733" s="39" t="str">
        <f>IFERROR(__xludf.DUMMYFUNCTION("""COMPUTED_VALUE"""),"Tatsuya Miyamoto")</f>
        <v>Tatsuya Miyamoto</v>
      </c>
      <c r="AF733" s="39" t="str">
        <f>IFERROR(__xludf.DUMMYFUNCTION("""COMPUTED_VALUE"""),"TM21Amygdala")</f>
        <v>TM21Amygdala</v>
      </c>
      <c r="AG733" s="39"/>
      <c r="AH733" s="39"/>
      <c r="AI733" s="165"/>
      <c r="AJ733" s="165"/>
      <c r="AK733" s="111"/>
      <c r="AL733" s="111"/>
      <c r="AM733" s="111"/>
      <c r="AN733" s="111"/>
      <c r="AO733" s="111"/>
      <c r="AP733" s="111"/>
      <c r="AQ733" s="116"/>
      <c r="AR733" s="116"/>
      <c r="AS733" s="116"/>
    </row>
    <row r="734">
      <c r="A734" s="42" t="str">
        <f>IFERROR(__xludf.DUMMYFUNCTION("""COMPUTED_VALUE"""),"STR")</f>
        <v>STR</v>
      </c>
      <c r="B734" s="42"/>
      <c r="C734" s="42"/>
      <c r="D734" s="42" t="str">
        <f>IFERROR(__xludf.DUMMYFUNCTION("""COMPUTED_VALUE"""),"STH")</f>
        <v>STH</v>
      </c>
      <c r="E734" s="42"/>
      <c r="F734" s="42"/>
      <c r="G734" s="42"/>
      <c r="H734" s="42" t="str">
        <f>IFERROR(__xludf.DUMMYFUNCTION("""COMPUTED_VALUE"""),"")</f>
        <v/>
      </c>
      <c r="I734" s="42" t="str">
        <f>IFERROR(__xludf.DUMMYFUNCTION("""COMPUTED_VALUE"""),"Habas, 2019")</f>
        <v>Habas, 2019</v>
      </c>
      <c r="J734" s="42"/>
      <c r="K734" s="42"/>
      <c r="L734" s="42"/>
      <c r="M734" s="42"/>
      <c r="N734" s="42"/>
      <c r="O734" s="31" t="str">
        <f>IFERROR(__xludf.DUMMYFUNCTION("""COMPUTED_VALUE"""),"DOC")</f>
        <v>DOC</v>
      </c>
      <c r="P734" s="9" t="str">
        <f>IFERROR(__xludf.DUMMYFUNCTION("""COMPUTED_VALUE"""),"The Cerebellum")</f>
        <v>The Cerebellum</v>
      </c>
      <c r="Q734" s="9"/>
      <c r="R734" s="179" t="str">
        <f>IFERROR(__xludf.DUMMYFUNCTION("""COMPUTED_VALUE"""),"STH (00/00) [Habas, 2019];
")</f>
        <v>STH (00/00) [Habas, 2019];
</v>
      </c>
      <c r="S734" s="179" t="str">
        <f>IFERROR(__xludf.DUMMYFUNCTION("""COMPUTED_VALUE"""),"STRSTH")</f>
        <v>STRSTH</v>
      </c>
      <c r="T734" s="179" t="str">
        <f>IFERROR(__xludf.DUMMYFUNCTION("""COMPUTED_VALUE"""),"[Habas, 2019]")</f>
        <v>[Habas, 2019]</v>
      </c>
      <c r="U734" s="179">
        <f>IFERROR(__xludf.DUMMYFUNCTION("""COMPUTED_VALUE"""),0.0)</f>
        <v>0</v>
      </c>
      <c r="V734" s="180">
        <f>IFERROR(__xludf.DUMMYFUNCTION("""COMPUTED_VALUE"""),0.0)</f>
        <v>0</v>
      </c>
      <c r="W734" s="180">
        <f>IFERROR(__xludf.DUMMYFUNCTION("""COMPUTED_VALUE"""),0.95)</f>
        <v>0.95</v>
      </c>
      <c r="X734" s="42">
        <f>IFERROR(__xludf.DUMMYFUNCTION("""COMPUTED_VALUE"""),0.0)</f>
        <v>0</v>
      </c>
      <c r="Y734" s="42">
        <f>IFERROR(__xludf.DUMMYFUNCTION("""COMPUTED_VALUE"""),0.0)</f>
        <v>0</v>
      </c>
      <c r="Z734" s="9">
        <f>IFERROR(__xludf.DUMMYFUNCTION("""COMPUTED_VALUE"""),0.0)</f>
        <v>0</v>
      </c>
      <c r="AA734" s="181">
        <f>IFERROR(__xludf.DUMMYFUNCTION("""COMPUTED_VALUE"""),0.0)</f>
        <v>0</v>
      </c>
      <c r="AB734" s="181">
        <f>IFERROR(__xludf.DUMMYFUNCTION("""COMPUTED_VALUE"""),0.0)</f>
        <v>0</v>
      </c>
      <c r="AC734" s="179">
        <f>IFERROR(__xludf.DUMMYFUNCTION("""COMPUTED_VALUE"""),0.0)</f>
        <v>0</v>
      </c>
      <c r="AD734" s="165">
        <f>IFERROR(__xludf.DUMMYFUNCTION("""COMPUTED_VALUE"""),0.0)</f>
        <v>0</v>
      </c>
      <c r="AE734" s="39" t="str">
        <f>IFERROR(__xludf.DUMMYFUNCTION("""COMPUTED_VALUE"""),"Hiroshi Yamakawa")</f>
        <v>Hiroshi Yamakawa</v>
      </c>
      <c r="AF734" s="39" t="str">
        <f>IFERROR(__xludf.DUMMYFUNCTION("""COMPUTED_VALUE"""),"HY20Cerebellum")</f>
        <v>HY20Cerebellum</v>
      </c>
      <c r="AG734" s="39"/>
      <c r="AH734" s="39"/>
      <c r="AI734" s="165"/>
      <c r="AJ734" s="165"/>
      <c r="AK734" s="111"/>
      <c r="AL734" s="111"/>
      <c r="AM734" s="111"/>
      <c r="AN734" s="111"/>
      <c r="AO734" s="111"/>
      <c r="AP734" s="111"/>
      <c r="AQ734" s="116"/>
      <c r="AR734" s="116"/>
      <c r="AS734" s="116"/>
    </row>
    <row r="735">
      <c r="A735" s="42" t="str">
        <f>IFERROR(__xludf.DUMMYFUNCTION("""COMPUTED_VALUE"""),"STR_matrix")</f>
        <v>STR_matrix</v>
      </c>
      <c r="B735" s="42"/>
      <c r="C735" s="42"/>
      <c r="D735" s="42" t="str">
        <f>IFERROR(__xludf.DUMMYFUNCTION("""COMPUTED_VALUE"""),"GPi")</f>
        <v>GPi</v>
      </c>
      <c r="E735" s="42"/>
      <c r="F735" s="42"/>
      <c r="G735" s="42"/>
      <c r="H735" s="42" t="str">
        <f>IFERROR(__xludf.DUMMYFUNCTION("""COMPUTED_VALUE"""),"")</f>
        <v/>
      </c>
      <c r="I735" s="42" t="str">
        <f>IFERROR(__xludf.DUMMYFUNCTION("""COMPUTED_VALUE"""),"Crittenden, 2011")</f>
        <v>Crittenden, 2011</v>
      </c>
      <c r="J735" s="42"/>
      <c r="K735" s="42"/>
      <c r="L735" s="42"/>
      <c r="M735" s="42"/>
      <c r="N735" s="42"/>
      <c r="O735" s="31" t="str">
        <f>IFERROR(__xludf.DUMMYFUNCTION("""COMPUTED_VALUE"""),"DOC")</f>
        <v>DOC</v>
      </c>
      <c r="P735" s="9" t="str">
        <f>IFERROR(__xludf.DUMMYFUNCTION("""COMPUTED_VALUE"""),"Frontiers in Neuroanatomy")</f>
        <v>Frontiers in Neuroanatomy</v>
      </c>
      <c r="Q735" s="9"/>
      <c r="R735" s="179" t="str">
        <f>IFERROR(__xludf.DUMMYFUNCTION("""COMPUTED_VALUE"""),"GPi (00/00) [Crittenden, 2011][author, year];
")</f>
        <v>GPi (00/00) [Crittenden, 2011][author, year];
</v>
      </c>
      <c r="S735" s="179" t="str">
        <f>IFERROR(__xludf.DUMMYFUNCTION("""COMPUTED_VALUE"""),"STR_matrixGPi")</f>
        <v>STR_matrixGPi</v>
      </c>
      <c r="T735" s="179" t="str">
        <f>IFERROR(__xludf.DUMMYFUNCTION("""COMPUTED_VALUE"""),"[Crittenden, 2011]")</f>
        <v>[Crittenden, 2011]</v>
      </c>
      <c r="U735" s="179">
        <f>IFERROR(__xludf.DUMMYFUNCTION("""COMPUTED_VALUE"""),0.0)</f>
        <v>0</v>
      </c>
      <c r="V735" s="180">
        <f>IFERROR(__xludf.DUMMYFUNCTION("""COMPUTED_VALUE"""),0.0)</f>
        <v>0</v>
      </c>
      <c r="W735" s="180">
        <f>IFERROR(__xludf.DUMMYFUNCTION("""COMPUTED_VALUE"""),0.95)</f>
        <v>0.95</v>
      </c>
      <c r="X735" s="42">
        <f>IFERROR(__xludf.DUMMYFUNCTION("""COMPUTED_VALUE"""),0.0)</f>
        <v>0</v>
      </c>
      <c r="Y735" s="42">
        <f>IFERROR(__xludf.DUMMYFUNCTION("""COMPUTED_VALUE"""),0.0)</f>
        <v>0</v>
      </c>
      <c r="Z735" s="9">
        <f>IFERROR(__xludf.DUMMYFUNCTION("""COMPUTED_VALUE"""),0.0)</f>
        <v>0</v>
      </c>
      <c r="AA735" s="181">
        <f>IFERROR(__xludf.DUMMYFUNCTION("""COMPUTED_VALUE"""),0.0)</f>
        <v>0</v>
      </c>
      <c r="AB735" s="181">
        <f>IFERROR(__xludf.DUMMYFUNCTION("""COMPUTED_VALUE"""),0.0)</f>
        <v>0</v>
      </c>
      <c r="AC735" s="179">
        <f>IFERROR(__xludf.DUMMYFUNCTION("""COMPUTED_VALUE"""),0.0)</f>
        <v>0</v>
      </c>
      <c r="AD735" s="165">
        <f>IFERROR(__xludf.DUMMYFUNCTION("""COMPUTED_VALUE"""),0.0)</f>
        <v>0</v>
      </c>
      <c r="AE735" s="39" t="str">
        <f>IFERROR(__xludf.DUMMYFUNCTION("""COMPUTED_VALUE"""),"Yuske Shibata")</f>
        <v>Yuske Shibata</v>
      </c>
      <c r="AF735" s="39" t="str">
        <f>IFERROR(__xludf.DUMMYFUNCTION("""COMPUTED_VALUE"""),"YS21BgLoop")</f>
        <v>YS21BgLoop</v>
      </c>
      <c r="AG735" s="39"/>
      <c r="AH735" s="39"/>
      <c r="AI735" s="165"/>
      <c r="AJ735" s="165"/>
      <c r="AK735" s="111"/>
      <c r="AL735" s="111"/>
      <c r="AM735" s="111"/>
      <c r="AN735" s="111"/>
      <c r="AO735" s="111"/>
      <c r="AP735" s="111"/>
      <c r="AQ735" s="116"/>
      <c r="AR735" s="116"/>
      <c r="AS735" s="116"/>
    </row>
    <row r="736">
      <c r="A736" s="42" t="str">
        <f>IFERROR(__xludf.DUMMYFUNCTION("""COMPUTED_VALUE"""),"STR_matrix")</f>
        <v>STR_matrix</v>
      </c>
      <c r="B736" s="42"/>
      <c r="C736" s="42"/>
      <c r="D736" s="42" t="str">
        <f>IFERROR(__xludf.DUMMYFUNCTION("""COMPUTED_VALUE"""),"GPi")</f>
        <v>GPi</v>
      </c>
      <c r="E736" s="42"/>
      <c r="F736" s="42"/>
      <c r="G736" s="42"/>
      <c r="H736" s="42" t="str">
        <f>IFERROR(__xludf.DUMMYFUNCTION("""COMPUTED_VALUE"""),"")</f>
        <v/>
      </c>
      <c r="I736" s="42" t="str">
        <f>IFERROR(__xludf.DUMMYFUNCTION("""COMPUTED_VALUE"""),"author, year")</f>
        <v>author, year</v>
      </c>
      <c r="J736" s="42"/>
      <c r="K736" s="42"/>
      <c r="L736" s="42"/>
      <c r="M736" s="42"/>
      <c r="N736" s="42"/>
      <c r="O736" s="31" t="str">
        <f>IFERROR(__xludf.DUMMYFUNCTION("""COMPUTED_VALUE"""),"#Error: Reference ID")</f>
        <v>#Error: Reference ID</v>
      </c>
      <c r="P736" s="9" t="str">
        <f>IFERROR(__xludf.DUMMYFUNCTION("""COMPUTED_VALUE"""),"#Error: Reference ID")</f>
        <v>#Error: Reference ID</v>
      </c>
      <c r="Q736" s="9" t="str">
        <f>IFERROR(__xludf.DUMMYFUNCTION("""COMPUTED_VALUE"""),"#Error: Reference ID")</f>
        <v>#Error: Reference ID</v>
      </c>
      <c r="R736" s="179" t="str">
        <f>IFERROR(__xludf.DUMMYFUNCTION("""COMPUTED_VALUE"""),"GPi (00/00) [Crittenden, 2011][author, year];
")</f>
        <v>GPi (00/00) [Crittenden, 2011][author, year];
</v>
      </c>
      <c r="S736" s="179" t="str">
        <f>IFERROR(__xludf.DUMMYFUNCTION("""COMPUTED_VALUE"""),"STR_matrixGPi")</f>
        <v>STR_matrixGPi</v>
      </c>
      <c r="T736" s="179" t="str">
        <f>IFERROR(__xludf.DUMMYFUNCTION("""COMPUTED_VALUE"""),"[author, year]")</f>
        <v>[author, year]</v>
      </c>
      <c r="U736" s="179">
        <f>IFERROR(__xludf.DUMMYFUNCTION("""COMPUTED_VALUE"""),0.0)</f>
        <v>0</v>
      </c>
      <c r="V736" s="180">
        <f>IFERROR(__xludf.DUMMYFUNCTION("""COMPUTED_VALUE"""),0.0)</f>
        <v>0</v>
      </c>
      <c r="W736" s="180">
        <f>IFERROR(__xludf.DUMMYFUNCTION("""COMPUTED_VALUE"""),0.0)</f>
        <v>0</v>
      </c>
      <c r="X736" s="42">
        <f>IFERROR(__xludf.DUMMYFUNCTION("""COMPUTED_VALUE"""),0.0)</f>
        <v>0</v>
      </c>
      <c r="Y736" s="42">
        <f>IFERROR(__xludf.DUMMYFUNCTION("""COMPUTED_VALUE"""),0.0)</f>
        <v>0</v>
      </c>
      <c r="Z736" s="9">
        <f>IFERROR(__xludf.DUMMYFUNCTION("""COMPUTED_VALUE"""),0.0)</f>
        <v>0</v>
      </c>
      <c r="AA736" s="181">
        <f>IFERROR(__xludf.DUMMYFUNCTION("""COMPUTED_VALUE"""),0.0)</f>
        <v>0</v>
      </c>
      <c r="AB736" s="181">
        <f>IFERROR(__xludf.DUMMYFUNCTION("""COMPUTED_VALUE"""),0.0)</f>
        <v>0</v>
      </c>
      <c r="AC736" s="179">
        <f>IFERROR(__xludf.DUMMYFUNCTION("""COMPUTED_VALUE"""),0.0)</f>
        <v>0</v>
      </c>
      <c r="AD736" s="165">
        <f>IFERROR(__xludf.DUMMYFUNCTION("""COMPUTED_VALUE"""),0.0)</f>
        <v>0</v>
      </c>
      <c r="AE736" s="39" t="str">
        <f>IFERROR(__xludf.DUMMYFUNCTION("""COMPUTED_VALUE"""),"Hiroshi Yamakawa")</f>
        <v>Hiroshi Yamakawa</v>
      </c>
      <c r="AF736" s="39" t="str">
        <f>IFERROR(__xludf.DUMMYFUNCTION("""COMPUTED_VALUE"""),"HY18NeocorticalInterareaSignals")</f>
        <v>HY18NeocorticalInterareaSignals</v>
      </c>
      <c r="AG736" s="39"/>
      <c r="AH736" s="39"/>
      <c r="AI736" s="165"/>
      <c r="AJ736" s="165"/>
      <c r="AK736" s="111"/>
      <c r="AL736" s="111"/>
      <c r="AM736" s="111"/>
      <c r="AN736" s="111"/>
      <c r="AO736" s="111"/>
      <c r="AP736" s="111"/>
      <c r="AQ736" s="116"/>
      <c r="AR736" s="116"/>
      <c r="AS736" s="116"/>
    </row>
    <row r="737">
      <c r="A737" s="42" t="str">
        <f>IFERROR(__xludf.DUMMYFUNCTION("""COMPUTED_VALUE"""),"STR_patch")</f>
        <v>STR_patch</v>
      </c>
      <c r="B737" s="42"/>
      <c r="C737" s="42"/>
      <c r="D737" s="42" t="str">
        <f>IFERROR(__xludf.DUMMYFUNCTION("""COMPUTED_VALUE"""),"HN")</f>
        <v>HN</v>
      </c>
      <c r="E737" s="42"/>
      <c r="F737" s="42"/>
      <c r="G737" s="42"/>
      <c r="H737" s="42" t="str">
        <f>IFERROR(__xludf.DUMMYFUNCTION("""COMPUTED_VALUE"""),"(Limbic loop)")</f>
        <v>(Limbic loop)</v>
      </c>
      <c r="I737" s="42" t="str">
        <f>IFERROR(__xludf.DUMMYFUNCTION("""COMPUTED_VALUE"""),"Miyamoto, 2021")</f>
        <v>Miyamoto, 2021</v>
      </c>
      <c r="J737" s="42"/>
      <c r="K737" s="42"/>
      <c r="L737" s="42"/>
      <c r="M737" s="42"/>
      <c r="N737" s="42"/>
      <c r="O737" s="31" t="str">
        <f>IFERROR(__xludf.DUMMYFUNCTION("""COMPUTED_VALUE"""),"DOC")</f>
        <v>DOC</v>
      </c>
      <c r="P737" s="9" t="str">
        <f>IFERROR(__xludf.DUMMYFUNCTION("""COMPUTED_VALUE"""),"Brain Structure and Function")</f>
        <v>Brain Structure and Function</v>
      </c>
      <c r="Q737" s="9"/>
      <c r="R737" s="179" t="str">
        <f>IFERROR(__xludf.DUMMYFUNCTION("""COMPUTED_VALUE"""),"HN (00/00) [Miyamoto, 2021][Rajakumar, 1993](Limbic loop);
")</f>
        <v>HN (00/00) [Miyamoto, 2021][Rajakumar, 1993](Limbic loop);
</v>
      </c>
      <c r="S737" s="179" t="str">
        <f>IFERROR(__xludf.DUMMYFUNCTION("""COMPUTED_VALUE"""),"STR_patchHN")</f>
        <v>STR_patchHN</v>
      </c>
      <c r="T737" s="179" t="str">
        <f>IFERROR(__xludf.DUMMYFUNCTION("""COMPUTED_VALUE"""),"[Miyamoto, 2021]")</f>
        <v>[Miyamoto, 2021]</v>
      </c>
      <c r="U737" s="179">
        <f>IFERROR(__xludf.DUMMYFUNCTION("""COMPUTED_VALUE"""),0.0)</f>
        <v>0</v>
      </c>
      <c r="V737" s="180">
        <f>IFERROR(__xludf.DUMMYFUNCTION("""COMPUTED_VALUE"""),0.0)</f>
        <v>0</v>
      </c>
      <c r="W737" s="180">
        <f>IFERROR(__xludf.DUMMYFUNCTION("""COMPUTED_VALUE"""),0.95)</f>
        <v>0.95</v>
      </c>
      <c r="X737" s="42">
        <f>IFERROR(__xludf.DUMMYFUNCTION("""COMPUTED_VALUE"""),0.0)</f>
        <v>0</v>
      </c>
      <c r="Y737" s="42">
        <f>IFERROR(__xludf.DUMMYFUNCTION("""COMPUTED_VALUE"""),0.0)</f>
        <v>0</v>
      </c>
      <c r="Z737" s="9">
        <f>IFERROR(__xludf.DUMMYFUNCTION("""COMPUTED_VALUE"""),0.0)</f>
        <v>0</v>
      </c>
      <c r="AA737" s="181">
        <f>IFERROR(__xludf.DUMMYFUNCTION("""COMPUTED_VALUE"""),0.0)</f>
        <v>0</v>
      </c>
      <c r="AB737" s="181">
        <f>IFERROR(__xludf.DUMMYFUNCTION("""COMPUTED_VALUE"""),0.0)</f>
        <v>0</v>
      </c>
      <c r="AC737" s="179">
        <f>IFERROR(__xludf.DUMMYFUNCTION("""COMPUTED_VALUE"""),0.0)</f>
        <v>0</v>
      </c>
      <c r="AD737" s="165">
        <f>IFERROR(__xludf.DUMMYFUNCTION("""COMPUTED_VALUE"""),0.0)</f>
        <v>0</v>
      </c>
      <c r="AE737" s="39" t="str">
        <f>IFERROR(__xludf.DUMMYFUNCTION("""COMPUTED_VALUE"""),"Yuske Shibata")</f>
        <v>Yuske Shibata</v>
      </c>
      <c r="AF737" s="39" t="str">
        <f>IFERROR(__xludf.DUMMYFUNCTION("""COMPUTED_VALUE"""),"YS21BgLoop")</f>
        <v>YS21BgLoop</v>
      </c>
      <c r="AG737" s="39"/>
      <c r="AH737" s="39"/>
      <c r="AI737" s="165"/>
      <c r="AJ737" s="165"/>
      <c r="AK737" s="111"/>
      <c r="AL737" s="111"/>
      <c r="AM737" s="111"/>
      <c r="AN737" s="111"/>
      <c r="AO737" s="111"/>
      <c r="AP737" s="111"/>
      <c r="AQ737" s="116"/>
      <c r="AR737" s="116"/>
      <c r="AS737" s="116"/>
    </row>
    <row r="738">
      <c r="A738" s="42" t="str">
        <f>IFERROR(__xludf.DUMMYFUNCTION("""COMPUTED_VALUE"""),"STR_patch")</f>
        <v>STR_patch</v>
      </c>
      <c r="B738" s="42"/>
      <c r="C738" s="42"/>
      <c r="D738" s="42" t="str">
        <f>IFERROR(__xludf.DUMMYFUNCTION("""COMPUTED_VALUE"""),"HN")</f>
        <v>HN</v>
      </c>
      <c r="E738" s="42"/>
      <c r="F738" s="42"/>
      <c r="G738" s="42"/>
      <c r="H738" s="42" t="str">
        <f>IFERROR(__xludf.DUMMYFUNCTION("""COMPUTED_VALUE"""),"")</f>
        <v/>
      </c>
      <c r="I738" s="42" t="str">
        <f>IFERROR(__xludf.DUMMYFUNCTION("""COMPUTED_VALUE"""),"Rajakumar, 1993")</f>
        <v>Rajakumar, 1993</v>
      </c>
      <c r="J738" s="42"/>
      <c r="K738" s="42"/>
      <c r="L738" s="42"/>
      <c r="M738" s="42"/>
      <c r="N738" s="42"/>
      <c r="O738" s="31" t="str">
        <f>IFERROR(__xludf.DUMMYFUNCTION("""COMPUTED_VALUE"""),"DOC")</f>
        <v>DOC</v>
      </c>
      <c r="P738" s="9" t="str">
        <f>IFERROR(__xludf.DUMMYFUNCTION("""COMPUTED_VALUE"""),"The Journal of Comparative Neurology")</f>
        <v>The Journal of Comparative Neurology</v>
      </c>
      <c r="Q738" s="9"/>
      <c r="R738" s="179" t="str">
        <f>IFERROR(__xludf.DUMMYFUNCTION("""COMPUTED_VALUE"""),"HN (00/00) [Miyamoto, 2021][Rajakumar, 1993];
")</f>
        <v>HN (00/00) [Miyamoto, 2021][Rajakumar, 1993];
</v>
      </c>
      <c r="S738" s="179" t="str">
        <f>IFERROR(__xludf.DUMMYFUNCTION("""COMPUTED_VALUE"""),"STR_patchHN")</f>
        <v>STR_patchHN</v>
      </c>
      <c r="T738" s="179" t="str">
        <f>IFERROR(__xludf.DUMMYFUNCTION("""COMPUTED_VALUE"""),"[Rajakumar, 1993]")</f>
        <v>[Rajakumar, 1993]</v>
      </c>
      <c r="U738" s="179">
        <f>IFERROR(__xludf.DUMMYFUNCTION("""COMPUTED_VALUE"""),0.0)</f>
        <v>0</v>
      </c>
      <c r="V738" s="180">
        <f>IFERROR(__xludf.DUMMYFUNCTION("""COMPUTED_VALUE"""),0.0)</f>
        <v>0</v>
      </c>
      <c r="W738" s="180">
        <f>IFERROR(__xludf.DUMMYFUNCTION("""COMPUTED_VALUE"""),0.95)</f>
        <v>0.95</v>
      </c>
      <c r="X738" s="42">
        <f>IFERROR(__xludf.DUMMYFUNCTION("""COMPUTED_VALUE"""),0.0)</f>
        <v>0</v>
      </c>
      <c r="Y738" s="42">
        <f>IFERROR(__xludf.DUMMYFUNCTION("""COMPUTED_VALUE"""),0.0)</f>
        <v>0</v>
      </c>
      <c r="Z738" s="9">
        <f>IFERROR(__xludf.DUMMYFUNCTION("""COMPUTED_VALUE"""),0.0)</f>
        <v>0</v>
      </c>
      <c r="AA738" s="181">
        <f>IFERROR(__xludf.DUMMYFUNCTION("""COMPUTED_VALUE"""),0.0)</f>
        <v>0</v>
      </c>
      <c r="AB738" s="181">
        <f>IFERROR(__xludf.DUMMYFUNCTION("""COMPUTED_VALUE"""),0.0)</f>
        <v>0</v>
      </c>
      <c r="AC738" s="179">
        <f>IFERROR(__xludf.DUMMYFUNCTION("""COMPUTED_VALUE"""),0.0)</f>
        <v>0</v>
      </c>
      <c r="AD738" s="165">
        <f>IFERROR(__xludf.DUMMYFUNCTION("""COMPUTED_VALUE"""),0.0)</f>
        <v>0</v>
      </c>
      <c r="AE738" s="39" t="str">
        <f>IFERROR(__xludf.DUMMYFUNCTION("""COMPUTED_VALUE"""),"Yuske Shibata")</f>
        <v>Yuske Shibata</v>
      </c>
      <c r="AF738" s="39" t="str">
        <f>IFERROR(__xludf.DUMMYFUNCTION("""COMPUTED_VALUE"""),"YS21BgLoop")</f>
        <v>YS21BgLoop</v>
      </c>
      <c r="AG738" s="39"/>
      <c r="AH738" s="39"/>
      <c r="AI738" s="165"/>
      <c r="AJ738" s="165"/>
      <c r="AK738" s="111"/>
      <c r="AL738" s="111"/>
      <c r="AM738" s="111"/>
      <c r="AN738" s="111"/>
      <c r="AO738" s="111"/>
      <c r="AP738" s="111"/>
      <c r="AQ738" s="116"/>
      <c r="AR738" s="116"/>
      <c r="AS738" s="116"/>
    </row>
    <row r="739">
      <c r="A739" s="42" t="str">
        <f>IFERROR(__xludf.DUMMYFUNCTION("""COMPUTED_VALUE"""),"STR_patch")</f>
        <v>STR_patch</v>
      </c>
      <c r="B739" s="42"/>
      <c r="C739" s="42"/>
      <c r="D739" s="42" t="str">
        <f>IFERROR(__xludf.DUMMYFUNCTION("""COMPUTED_VALUE"""),"SNC")</f>
        <v>SNC</v>
      </c>
      <c r="E739" s="42"/>
      <c r="F739" s="42"/>
      <c r="G739" s="42"/>
      <c r="H739" s="42" t="str">
        <f>IFERROR(__xludf.DUMMYFUNCTION("""COMPUTED_VALUE"""),"(Limbic loop)")</f>
        <v>(Limbic loop)</v>
      </c>
      <c r="I739" s="42" t="str">
        <f>IFERROR(__xludf.DUMMYFUNCTION("""COMPUTED_VALUE"""),"Shepherd, 2013")</f>
        <v>Shepherd, 2013</v>
      </c>
      <c r="J739" s="42"/>
      <c r="K739" s="42"/>
      <c r="L739" s="42"/>
      <c r="M739" s="42"/>
      <c r="N739" s="42"/>
      <c r="O739" s="31" t="str">
        <f>IFERROR(__xludf.DUMMYFUNCTION("""COMPUTED_VALUE"""),"DOC")</f>
        <v>DOC</v>
      </c>
      <c r="P739" s="9" t="str">
        <f>IFERROR(__xludf.DUMMYFUNCTION("""COMPUTED_VALUE"""),"Nature Reviews Neuroscience")</f>
        <v>Nature Reviews Neuroscience</v>
      </c>
      <c r="Q739" s="9"/>
      <c r="R739" s="179" t="str">
        <f>IFERROR(__xludf.DUMMYFUNCTION("""COMPUTED_VALUE"""),"SNC (00/00) [Shepherd, 2013](Limbic loop);
")</f>
        <v>SNC (00/00) [Shepherd, 2013](Limbic loop);
</v>
      </c>
      <c r="S739" s="179" t="str">
        <f>IFERROR(__xludf.DUMMYFUNCTION("""COMPUTED_VALUE"""),"STR_patchSNC")</f>
        <v>STR_patchSNC</v>
      </c>
      <c r="T739" s="179" t="str">
        <f>IFERROR(__xludf.DUMMYFUNCTION("""COMPUTED_VALUE"""),"[Shepherd, 2013]")</f>
        <v>[Shepherd, 2013]</v>
      </c>
      <c r="U739" s="179">
        <f>IFERROR(__xludf.DUMMYFUNCTION("""COMPUTED_VALUE"""),0.0)</f>
        <v>0</v>
      </c>
      <c r="V739" s="180">
        <f>IFERROR(__xludf.DUMMYFUNCTION("""COMPUTED_VALUE"""),0.0)</f>
        <v>0</v>
      </c>
      <c r="W739" s="180">
        <f>IFERROR(__xludf.DUMMYFUNCTION("""COMPUTED_VALUE"""),0.95)</f>
        <v>0.95</v>
      </c>
      <c r="X739" s="42">
        <f>IFERROR(__xludf.DUMMYFUNCTION("""COMPUTED_VALUE"""),0.0)</f>
        <v>0</v>
      </c>
      <c r="Y739" s="42">
        <f>IFERROR(__xludf.DUMMYFUNCTION("""COMPUTED_VALUE"""),0.0)</f>
        <v>0</v>
      </c>
      <c r="Z739" s="9">
        <f>IFERROR(__xludf.DUMMYFUNCTION("""COMPUTED_VALUE"""),0.0)</f>
        <v>0</v>
      </c>
      <c r="AA739" s="181">
        <f>IFERROR(__xludf.DUMMYFUNCTION("""COMPUTED_VALUE"""),0.0)</f>
        <v>0</v>
      </c>
      <c r="AB739" s="181">
        <f>IFERROR(__xludf.DUMMYFUNCTION("""COMPUTED_VALUE"""),0.0)</f>
        <v>0</v>
      </c>
      <c r="AC739" s="179">
        <f>IFERROR(__xludf.DUMMYFUNCTION("""COMPUTED_VALUE"""),0.0)</f>
        <v>0</v>
      </c>
      <c r="AD739" s="165">
        <f>IFERROR(__xludf.DUMMYFUNCTION("""COMPUTED_VALUE"""),0.0)</f>
        <v>0</v>
      </c>
      <c r="AE739" s="39" t="str">
        <f>IFERROR(__xludf.DUMMYFUNCTION("""COMPUTED_VALUE"""),"Yuske Shibata")</f>
        <v>Yuske Shibata</v>
      </c>
      <c r="AF739" s="39" t="str">
        <f>IFERROR(__xludf.DUMMYFUNCTION("""COMPUTED_VALUE"""),"YS21BgLoop")</f>
        <v>YS21BgLoop</v>
      </c>
      <c r="AG739" s="39"/>
      <c r="AH739" s="39"/>
      <c r="AI739" s="165"/>
      <c r="AJ739" s="165"/>
      <c r="AK739" s="111"/>
      <c r="AL739" s="111"/>
      <c r="AM739" s="111"/>
      <c r="AN739" s="111"/>
      <c r="AO739" s="111"/>
      <c r="AP739" s="111"/>
      <c r="AQ739" s="116"/>
      <c r="AR739" s="116"/>
      <c r="AS739" s="116"/>
    </row>
    <row r="740">
      <c r="A740" s="42" t="str">
        <f>IFERROR(__xludf.DUMMYFUNCTION("""COMPUTED_VALUE"""),"TC")</f>
        <v>TC</v>
      </c>
      <c r="B740" s="42"/>
      <c r="C740" s="42"/>
      <c r="D740" s="42" t="str">
        <f>IFERROR(__xludf.DUMMYFUNCTION("""COMPUTED_VALUE"""),"CEN")</f>
        <v>CEN</v>
      </c>
      <c r="E740" s="42"/>
      <c r="F740" s="42"/>
      <c r="G740" s="42"/>
      <c r="H740" s="42" t="str">
        <f>IFERROR(__xludf.DUMMYFUNCTION("""COMPUTED_VALUE"""),"")</f>
        <v/>
      </c>
      <c r="I740" s="42" t="str">
        <f>IFERROR(__xludf.DUMMYFUNCTION("""COMPUTED_VALUE"""),"Pitkänen, 2000")</f>
        <v>Pitkänen, 2000</v>
      </c>
      <c r="J740" s="42" t="str">
        <f>IFERROR(__xludf.DUMMYFUNCTION("""COMPUTED_VALUE"""),"Rat")</f>
        <v>Rat</v>
      </c>
      <c r="K740" s="42" t="str">
        <f>IFERROR(__xludf.DUMMYFUNCTION("""COMPUTED_VALUE"""),"Various tracing")</f>
        <v>Various tracing</v>
      </c>
      <c r="L740" s="42"/>
      <c r="M740" s="42" t="str">
        <f>IFERROR(__xludf.DUMMYFUNCTION("""COMPUTED_VALUE"""),"fig.3-fig.12 (to be specified)")</f>
        <v>fig.3-fig.12 (to be specified)</v>
      </c>
      <c r="N740" s="42"/>
      <c r="O740" s="31" t="str">
        <f>IFERROR(__xludf.DUMMYFUNCTION("""COMPUTED_VALUE"""),"DOC(alt)")</f>
        <v>DOC(alt)</v>
      </c>
      <c r="P740" s="9" t="str">
        <f>IFERROR(__xludf.DUMMYFUNCTION("""COMPUTED_VALUE"""),"Folia morphologica")</f>
        <v>Folia morphologica</v>
      </c>
      <c r="Q740" s="9" t="str">
        <f>IFERROR(__xludf.DUMMYFUNCTION("""COMPUTED_VALUE"""),"Review")</f>
        <v>Review</v>
      </c>
      <c r="R740" s="179" t="str">
        <f>IFERROR(__xludf.DUMMYFUNCTION("""COMPUTED_VALUE"""),"CEN (00/00) [Pitkänen, 2000];
")</f>
        <v>CEN (00/00) [Pitkänen, 2000];
</v>
      </c>
      <c r="S740" s="179" t="str">
        <f>IFERROR(__xludf.DUMMYFUNCTION("""COMPUTED_VALUE"""),"TCCEN")</f>
        <v>TCCEN</v>
      </c>
      <c r="T740" s="179" t="str">
        <f>IFERROR(__xludf.DUMMYFUNCTION("""COMPUTED_VALUE"""),"[Pitkänen, 2000]")</f>
        <v>[Pitkänen, 2000]</v>
      </c>
      <c r="U740" s="179">
        <f>IFERROR(__xludf.DUMMYFUNCTION("""COMPUTED_VALUE"""),0.0)</f>
        <v>0</v>
      </c>
      <c r="V740" s="180">
        <f>IFERROR(__xludf.DUMMYFUNCTION("""COMPUTED_VALUE"""),0.0)</f>
        <v>0</v>
      </c>
      <c r="W740" s="180">
        <f>IFERROR(__xludf.DUMMYFUNCTION("""COMPUTED_VALUE"""),0.95)</f>
        <v>0.95</v>
      </c>
      <c r="X740" s="42">
        <f>IFERROR(__xludf.DUMMYFUNCTION("""COMPUTED_VALUE"""),0.8)</f>
        <v>0.8</v>
      </c>
      <c r="Y740" s="42">
        <f>IFERROR(__xludf.DUMMYFUNCTION("""COMPUTED_VALUE"""),0.6)</f>
        <v>0.6</v>
      </c>
      <c r="Z740" s="9">
        <f>IFERROR(__xludf.DUMMYFUNCTION("""COMPUTED_VALUE"""),0.9)</f>
        <v>0.9</v>
      </c>
      <c r="AA740" s="181">
        <f>IFERROR(__xludf.DUMMYFUNCTION("""COMPUTED_VALUE"""),0.0)</f>
        <v>0</v>
      </c>
      <c r="AB740" s="181">
        <f>IFERROR(__xludf.DUMMYFUNCTION("""COMPUTED_VALUE"""),0.0)</f>
        <v>0</v>
      </c>
      <c r="AC740" s="179">
        <f>IFERROR(__xludf.DUMMYFUNCTION("""COMPUTED_VALUE"""),0.0)</f>
        <v>0</v>
      </c>
      <c r="AD740" s="165">
        <f>IFERROR(__xludf.DUMMYFUNCTION("""COMPUTED_VALUE"""),0.0)</f>
        <v>0</v>
      </c>
      <c r="AE740" s="39" t="str">
        <f>IFERROR(__xludf.DUMMYFUNCTION("""COMPUTED_VALUE"""),"Tatsuya Miyamoto")</f>
        <v>Tatsuya Miyamoto</v>
      </c>
      <c r="AF740" s="39" t="str">
        <f>IFERROR(__xludf.DUMMYFUNCTION("""COMPUTED_VALUE"""),"TM21Amygdala")</f>
        <v>TM21Amygdala</v>
      </c>
      <c r="AG740" s="39"/>
      <c r="AH740" s="39"/>
      <c r="AI740" s="165"/>
      <c r="AJ740" s="165"/>
      <c r="AK740" s="111"/>
      <c r="AL740" s="111"/>
      <c r="AM740" s="111"/>
      <c r="AN740" s="111"/>
      <c r="AO740" s="111"/>
      <c r="AP740" s="111"/>
      <c r="AQ740" s="116"/>
      <c r="AR740" s="116"/>
      <c r="AS740" s="116"/>
    </row>
    <row r="741">
      <c r="A741" s="42" t="str">
        <f>IFERROR(__xludf.DUMMYFUNCTION("""COMPUTED_VALUE"""),"TC")</f>
        <v>TC</v>
      </c>
      <c r="B741" s="42"/>
      <c r="C741" s="42"/>
      <c r="D741" s="42" t="str">
        <f>IFERROR(__xludf.DUMMYFUNCTION("""COMPUTED_VALUE"""),"Me")</f>
        <v>Me</v>
      </c>
      <c r="E741" s="42"/>
      <c r="F741" s="42"/>
      <c r="G741" s="42"/>
      <c r="H741" s="42" t="str">
        <f>IFERROR(__xludf.DUMMYFUNCTION("""COMPUTED_VALUE"""),"")</f>
        <v/>
      </c>
      <c r="I741" s="42" t="str">
        <f>IFERROR(__xludf.DUMMYFUNCTION("""COMPUTED_VALUE"""),"Pitkänen, 2000")</f>
        <v>Pitkänen, 2000</v>
      </c>
      <c r="J741" s="42" t="str">
        <f>IFERROR(__xludf.DUMMYFUNCTION("""COMPUTED_VALUE"""),"Rat")</f>
        <v>Rat</v>
      </c>
      <c r="K741" s="42" t="str">
        <f>IFERROR(__xludf.DUMMYFUNCTION("""COMPUTED_VALUE"""),"Various tracing")</f>
        <v>Various tracing</v>
      </c>
      <c r="L741" s="42"/>
      <c r="M741" s="42" t="str">
        <f>IFERROR(__xludf.DUMMYFUNCTION("""COMPUTED_VALUE"""),"fig.3-fig.12 (to be specified)")</f>
        <v>fig.3-fig.12 (to be specified)</v>
      </c>
      <c r="N741" s="42"/>
      <c r="O741" s="31" t="str">
        <f>IFERROR(__xludf.DUMMYFUNCTION("""COMPUTED_VALUE"""),"DOC(alt)")</f>
        <v>DOC(alt)</v>
      </c>
      <c r="P741" s="9" t="str">
        <f>IFERROR(__xludf.DUMMYFUNCTION("""COMPUTED_VALUE"""),"Folia morphologica")</f>
        <v>Folia morphologica</v>
      </c>
      <c r="Q741" s="9" t="str">
        <f>IFERROR(__xludf.DUMMYFUNCTION("""COMPUTED_VALUE"""),"Review")</f>
        <v>Review</v>
      </c>
      <c r="R741" s="179" t="str">
        <f>IFERROR(__xludf.DUMMYFUNCTION("""COMPUTED_VALUE"""),"Me (00/00) [Pitkänen, 2000];
")</f>
        <v>Me (00/00) [Pitkänen, 2000];
</v>
      </c>
      <c r="S741" s="179" t="str">
        <f>IFERROR(__xludf.DUMMYFUNCTION("""COMPUTED_VALUE"""),"TCMe")</f>
        <v>TCMe</v>
      </c>
      <c r="T741" s="179" t="str">
        <f>IFERROR(__xludf.DUMMYFUNCTION("""COMPUTED_VALUE"""),"[Pitkänen, 2000]")</f>
        <v>[Pitkänen, 2000]</v>
      </c>
      <c r="U741" s="179">
        <f>IFERROR(__xludf.DUMMYFUNCTION("""COMPUTED_VALUE"""),0.0)</f>
        <v>0</v>
      </c>
      <c r="V741" s="180">
        <f>IFERROR(__xludf.DUMMYFUNCTION("""COMPUTED_VALUE"""),0.0)</f>
        <v>0</v>
      </c>
      <c r="W741" s="180">
        <f>IFERROR(__xludf.DUMMYFUNCTION("""COMPUTED_VALUE"""),0.95)</f>
        <v>0.95</v>
      </c>
      <c r="X741" s="42">
        <f>IFERROR(__xludf.DUMMYFUNCTION("""COMPUTED_VALUE"""),0.8)</f>
        <v>0.8</v>
      </c>
      <c r="Y741" s="42">
        <f>IFERROR(__xludf.DUMMYFUNCTION("""COMPUTED_VALUE"""),0.6)</f>
        <v>0.6</v>
      </c>
      <c r="Z741" s="9">
        <f>IFERROR(__xludf.DUMMYFUNCTION("""COMPUTED_VALUE"""),0.9)</f>
        <v>0.9</v>
      </c>
      <c r="AA741" s="181">
        <f>IFERROR(__xludf.DUMMYFUNCTION("""COMPUTED_VALUE"""),0.0)</f>
        <v>0</v>
      </c>
      <c r="AB741" s="181">
        <f>IFERROR(__xludf.DUMMYFUNCTION("""COMPUTED_VALUE"""),0.0)</f>
        <v>0</v>
      </c>
      <c r="AC741" s="179">
        <f>IFERROR(__xludf.DUMMYFUNCTION("""COMPUTED_VALUE"""),0.0)</f>
        <v>0</v>
      </c>
      <c r="AD741" s="165">
        <f>IFERROR(__xludf.DUMMYFUNCTION("""COMPUTED_VALUE"""),0.0)</f>
        <v>0</v>
      </c>
      <c r="AE741" s="39" t="str">
        <f>IFERROR(__xludf.DUMMYFUNCTION("""COMPUTED_VALUE"""),"Tatsuya Miyamoto")</f>
        <v>Tatsuya Miyamoto</v>
      </c>
      <c r="AF741" s="39" t="str">
        <f>IFERROR(__xludf.DUMMYFUNCTION("""COMPUTED_VALUE"""),"TM21Amygdala")</f>
        <v>TM21Amygdala</v>
      </c>
      <c r="AG741" s="39"/>
      <c r="AH741" s="39"/>
      <c r="AI741" s="165"/>
      <c r="AJ741" s="165"/>
      <c r="AK741" s="111"/>
      <c r="AL741" s="111"/>
      <c r="AM741" s="111"/>
      <c r="AN741" s="111"/>
      <c r="AO741" s="111"/>
      <c r="AP741" s="111"/>
      <c r="AQ741" s="116"/>
      <c r="AR741" s="116"/>
      <c r="AS741" s="116"/>
    </row>
    <row r="742">
      <c r="A742" s="42" t="str">
        <f>IFERROR(__xludf.DUMMYFUNCTION("""COMPUTED_VALUE"""),"TRN_core")</f>
        <v>TRN_core</v>
      </c>
      <c r="B742" s="42"/>
      <c r="C742" s="42"/>
      <c r="D742" s="42" t="str">
        <f>IFERROR(__xludf.DUMMYFUNCTION("""COMPUTED_VALUE"""),"R")</f>
        <v>R</v>
      </c>
      <c r="E742" s="42"/>
      <c r="F742" s="42"/>
      <c r="G742" s="42"/>
      <c r="H742" s="42" t="str">
        <f>IFERROR(__xludf.DUMMYFUNCTION("""COMPUTED_VALUE"""),"")</f>
        <v/>
      </c>
      <c r="I742" s="42" t="str">
        <f>IFERROR(__xludf.DUMMYFUNCTION("""COMPUTED_VALUE"""),"Benarroch, 2008")</f>
        <v>Benarroch, 2008</v>
      </c>
      <c r="J742" s="42"/>
      <c r="K742" s="42"/>
      <c r="L742" s="42"/>
      <c r="M742" s="42"/>
      <c r="N742" s="42"/>
      <c r="O742" s="131" t="str">
        <f>IFERROR(__xludf.DUMMYFUNCTION("""COMPUTED_VALUE"""),"DOC")</f>
        <v>DOC</v>
      </c>
      <c r="P742" s="9" t="str">
        <f>IFERROR(__xludf.DUMMYFUNCTION("""COMPUTED_VALUE"""),"Neurology")</f>
        <v>Neurology</v>
      </c>
      <c r="Q742" s="9"/>
      <c r="R742" s="179" t="str">
        <f>IFERROR(__xludf.DUMMYFUNCTION("""COMPUTED_VALUE"""),"R (00/00) [Benarroch, 2008][Bonjean, 2012][Clascá, 2012][Kaneko, 2013][Lemieux, 2014];
")</f>
        <v>R (00/00) [Benarroch, 2008][Bonjean, 2012][Clascá, 2012][Kaneko, 2013][Lemieux, 2014];
</v>
      </c>
      <c r="S742" s="179" t="str">
        <f>IFERROR(__xludf.DUMMYFUNCTION("""COMPUTED_VALUE"""),"TRN_coreR")</f>
        <v>TRN_coreR</v>
      </c>
      <c r="T742" s="179" t="str">
        <f>IFERROR(__xludf.DUMMYFUNCTION("""COMPUTED_VALUE"""),"[Benarroch, 2008]")</f>
        <v>[Benarroch, 2008]</v>
      </c>
      <c r="U742" s="179">
        <f>IFERROR(__xludf.DUMMYFUNCTION("""COMPUTED_VALUE"""),0.0)</f>
        <v>0</v>
      </c>
      <c r="V742" s="180">
        <f>IFERROR(__xludf.DUMMYFUNCTION("""COMPUTED_VALUE"""),0.0)</f>
        <v>0</v>
      </c>
      <c r="W742" s="180">
        <f>IFERROR(__xludf.DUMMYFUNCTION("""COMPUTED_VALUE"""),0.95)</f>
        <v>0.95</v>
      </c>
      <c r="X742" s="42">
        <f>IFERROR(__xludf.DUMMYFUNCTION("""COMPUTED_VALUE"""),0.0)</f>
        <v>0</v>
      </c>
      <c r="Y742" s="42">
        <f>IFERROR(__xludf.DUMMYFUNCTION("""COMPUTED_VALUE"""),0.0)</f>
        <v>0</v>
      </c>
      <c r="Z742" s="9">
        <f>IFERROR(__xludf.DUMMYFUNCTION("""COMPUTED_VALUE"""),0.0)</f>
        <v>0</v>
      </c>
      <c r="AA742" s="181">
        <f>IFERROR(__xludf.DUMMYFUNCTION("""COMPUTED_VALUE"""),0.0)</f>
        <v>0</v>
      </c>
      <c r="AB742" s="181">
        <f>IFERROR(__xludf.DUMMYFUNCTION("""COMPUTED_VALUE"""),0.0)</f>
        <v>0</v>
      </c>
      <c r="AC742" s="179">
        <f>IFERROR(__xludf.DUMMYFUNCTION("""COMPUTED_VALUE"""),0.0)</f>
        <v>0</v>
      </c>
      <c r="AD742" s="165">
        <f>IFERROR(__xludf.DUMMYFUNCTION("""COMPUTED_VALUE"""),0.0)</f>
        <v>0</v>
      </c>
      <c r="AE742" s="39" t="str">
        <f>IFERROR(__xludf.DUMMYFUNCTION("""COMPUTED_VALUE"""),"Hiroshi Yamakawa")</f>
        <v>Hiroshi Yamakawa</v>
      </c>
      <c r="AF742" s="39" t="str">
        <f>IFERROR(__xludf.DUMMYFUNCTION("""COMPUTED_VALUE"""),"HY18NeocorticalInterareaSignals")</f>
        <v>HY18NeocorticalInterareaSignals</v>
      </c>
      <c r="AG742" s="39"/>
      <c r="AH742" s="39"/>
      <c r="AI742" s="165"/>
      <c r="AJ742" s="165"/>
      <c r="AK742" s="111"/>
      <c r="AL742" s="111"/>
      <c r="AM742" s="111"/>
      <c r="AN742" s="111"/>
      <c r="AO742" s="111"/>
      <c r="AP742" s="111"/>
      <c r="AQ742" s="116"/>
      <c r="AR742" s="116"/>
      <c r="AS742" s="116"/>
    </row>
    <row r="743">
      <c r="A743" s="42" t="str">
        <f>IFERROR(__xludf.DUMMYFUNCTION("""COMPUTED_VALUE"""),"TRN_core")</f>
        <v>TRN_core</v>
      </c>
      <c r="B743" s="42"/>
      <c r="C743" s="42"/>
      <c r="D743" s="42" t="str">
        <f>IFERROR(__xludf.DUMMYFUNCTION("""COMPUTED_VALUE"""),"Cx.L6IN")</f>
        <v>Cx.L6IN</v>
      </c>
      <c r="E743" s="42"/>
      <c r="F743" s="42"/>
      <c r="G743" s="42"/>
      <c r="H743" s="42" t="str">
        <f>IFERROR(__xludf.DUMMYFUNCTION("""COMPUTED_VALUE"""),"")</f>
        <v/>
      </c>
      <c r="I743" s="42" t="str">
        <f>IFERROR(__xludf.DUMMYFUNCTION("""COMPUTED_VALUE"""),"Bonjean, 2012")</f>
        <v>Bonjean, 2012</v>
      </c>
      <c r="J743" s="42"/>
      <c r="K743" s="42"/>
      <c r="L743" s="42"/>
      <c r="M743" s="42"/>
      <c r="N743" s="42"/>
      <c r="O743" s="131" t="str">
        <f>IFERROR(__xludf.DUMMYFUNCTION("""COMPUTED_VALUE"""),"DOC")</f>
        <v>DOC</v>
      </c>
      <c r="P743" s="9" t="str">
        <f>IFERROR(__xludf.DUMMYFUNCTION("""COMPUTED_VALUE"""),"Journal of Neuroscience")</f>
        <v>Journal of Neuroscience</v>
      </c>
      <c r="Q743" s="9"/>
      <c r="R743" s="179" t="str">
        <f>IFERROR(__xludf.DUMMYFUNCTION("""COMPUTED_VALUE"""),"Cx.L6IN (00/00) [Bonjean, 2012][Wei, 2016];
")</f>
        <v>Cx.L6IN (00/00) [Bonjean, 2012][Wei, 2016];
</v>
      </c>
      <c r="S743" s="179" t="str">
        <f>IFERROR(__xludf.DUMMYFUNCTION("""COMPUTED_VALUE"""),"TRN_coreCx.L6IN")</f>
        <v>TRN_coreCx.L6IN</v>
      </c>
      <c r="T743" s="179" t="str">
        <f>IFERROR(__xludf.DUMMYFUNCTION("""COMPUTED_VALUE"""),"[Bonjean, 2012]")</f>
        <v>[Bonjean, 2012]</v>
      </c>
      <c r="U743" s="179">
        <f>IFERROR(__xludf.DUMMYFUNCTION("""COMPUTED_VALUE"""),0.0)</f>
        <v>0</v>
      </c>
      <c r="V743" s="180">
        <f>IFERROR(__xludf.DUMMYFUNCTION("""COMPUTED_VALUE"""),0.0)</f>
        <v>0</v>
      </c>
      <c r="W743" s="180">
        <f>IFERROR(__xludf.DUMMYFUNCTION("""COMPUTED_VALUE"""),0.95)</f>
        <v>0.95</v>
      </c>
      <c r="X743" s="42">
        <f>IFERROR(__xludf.DUMMYFUNCTION("""COMPUTED_VALUE"""),0.0)</f>
        <v>0</v>
      </c>
      <c r="Y743" s="42">
        <f>IFERROR(__xludf.DUMMYFUNCTION("""COMPUTED_VALUE"""),0.0)</f>
        <v>0</v>
      </c>
      <c r="Z743" s="9">
        <f>IFERROR(__xludf.DUMMYFUNCTION("""COMPUTED_VALUE"""),0.0)</f>
        <v>0</v>
      </c>
      <c r="AA743" s="181">
        <f>IFERROR(__xludf.DUMMYFUNCTION("""COMPUTED_VALUE"""),0.0)</f>
        <v>0</v>
      </c>
      <c r="AB743" s="181">
        <f>IFERROR(__xludf.DUMMYFUNCTION("""COMPUTED_VALUE"""),0.0)</f>
        <v>0</v>
      </c>
      <c r="AC743" s="179">
        <f>IFERROR(__xludf.DUMMYFUNCTION("""COMPUTED_VALUE"""),0.0)</f>
        <v>0</v>
      </c>
      <c r="AD743" s="165">
        <f>IFERROR(__xludf.DUMMYFUNCTION("""COMPUTED_VALUE"""),0.0)</f>
        <v>0</v>
      </c>
      <c r="AE743" s="39" t="str">
        <f>IFERROR(__xludf.DUMMYFUNCTION("""COMPUTED_VALUE"""),"Hiroshi Yamakawa")</f>
        <v>Hiroshi Yamakawa</v>
      </c>
      <c r="AF743" s="39" t="str">
        <f>IFERROR(__xludf.DUMMYFUNCTION("""COMPUTED_VALUE"""),"HY18NeocorticalInterareaSignals")</f>
        <v>HY18NeocorticalInterareaSignals</v>
      </c>
      <c r="AG743" s="39"/>
      <c r="AH743" s="39"/>
      <c r="AI743" s="165"/>
      <c r="AJ743" s="165"/>
      <c r="AK743" s="111"/>
      <c r="AL743" s="111"/>
      <c r="AM743" s="111"/>
      <c r="AN743" s="111"/>
      <c r="AO743" s="111"/>
      <c r="AP743" s="111"/>
      <c r="AQ743" s="116"/>
      <c r="AR743" s="116"/>
      <c r="AS743" s="116"/>
    </row>
    <row r="744">
      <c r="A744" s="42" t="str">
        <f>IFERROR(__xludf.DUMMYFUNCTION("""COMPUTED_VALUE"""),"TRN_core")</f>
        <v>TRN_core</v>
      </c>
      <c r="B744" s="42"/>
      <c r="C744" s="42"/>
      <c r="D744" s="42" t="str">
        <f>IFERROR(__xludf.DUMMYFUNCTION("""COMPUTED_VALUE"""),"Cx.L2_3aIT")</f>
        <v>Cx.L2_3aIT</v>
      </c>
      <c r="E744" s="42"/>
      <c r="F744" s="42"/>
      <c r="G744" s="42"/>
      <c r="H744" s="42" t="str">
        <f>IFERROR(__xludf.DUMMYFUNCTION("""COMPUTED_VALUE"""),"")</f>
        <v/>
      </c>
      <c r="I744" s="42" t="str">
        <f>IFERROR(__xludf.DUMMYFUNCTION("""COMPUTED_VALUE"""),"Bonjean, 2012")</f>
        <v>Bonjean, 2012</v>
      </c>
      <c r="J744" s="42"/>
      <c r="K744" s="42"/>
      <c r="L744" s="42"/>
      <c r="M744" s="42"/>
      <c r="N744" s="42"/>
      <c r="O744" s="131" t="str">
        <f>IFERROR(__xludf.DUMMYFUNCTION("""COMPUTED_VALUE"""),"DOC")</f>
        <v>DOC</v>
      </c>
      <c r="P744" s="9" t="str">
        <f>IFERROR(__xludf.DUMMYFUNCTION("""COMPUTED_VALUE"""),"Journal of Neuroscience")</f>
        <v>Journal of Neuroscience</v>
      </c>
      <c r="Q744" s="9"/>
      <c r="R744" s="179" t="str">
        <f>IFERROR(__xludf.DUMMYFUNCTION("""COMPUTED_VALUE"""),"Cx.L2_3aIT (00/00) [Bonjean, 2012][Clascá, 2012][Harris, 2015][Kaneko, 2013][Lemieux, 2014][Wei, 2016];
")</f>
        <v>Cx.L2_3aIT (00/00) [Bonjean, 2012][Clascá, 2012][Harris, 2015][Kaneko, 2013][Lemieux, 2014][Wei, 2016];
</v>
      </c>
      <c r="S744" s="179" t="str">
        <f>IFERROR(__xludf.DUMMYFUNCTION("""COMPUTED_VALUE"""),"TRN_coreCx.L2_3aIT")</f>
        <v>TRN_coreCx.L2_3aIT</v>
      </c>
      <c r="T744" s="179" t="str">
        <f>IFERROR(__xludf.DUMMYFUNCTION("""COMPUTED_VALUE"""),"[Bonjean, 2012]")</f>
        <v>[Bonjean, 2012]</v>
      </c>
      <c r="U744" s="179">
        <f>IFERROR(__xludf.DUMMYFUNCTION("""COMPUTED_VALUE"""),0.0)</f>
        <v>0</v>
      </c>
      <c r="V744" s="180">
        <f>IFERROR(__xludf.DUMMYFUNCTION("""COMPUTED_VALUE"""),0.0)</f>
        <v>0</v>
      </c>
      <c r="W744" s="180">
        <f>IFERROR(__xludf.DUMMYFUNCTION("""COMPUTED_VALUE"""),0.95)</f>
        <v>0.95</v>
      </c>
      <c r="X744" s="42">
        <f>IFERROR(__xludf.DUMMYFUNCTION("""COMPUTED_VALUE"""),0.0)</f>
        <v>0</v>
      </c>
      <c r="Y744" s="42">
        <f>IFERROR(__xludf.DUMMYFUNCTION("""COMPUTED_VALUE"""),0.0)</f>
        <v>0</v>
      </c>
      <c r="Z744" s="9">
        <f>IFERROR(__xludf.DUMMYFUNCTION("""COMPUTED_VALUE"""),0.0)</f>
        <v>0</v>
      </c>
      <c r="AA744" s="181">
        <f>IFERROR(__xludf.DUMMYFUNCTION("""COMPUTED_VALUE"""),0.0)</f>
        <v>0</v>
      </c>
      <c r="AB744" s="181">
        <f>IFERROR(__xludf.DUMMYFUNCTION("""COMPUTED_VALUE"""),0.0)</f>
        <v>0</v>
      </c>
      <c r="AC744" s="179">
        <f>IFERROR(__xludf.DUMMYFUNCTION("""COMPUTED_VALUE"""),0.0)</f>
        <v>0</v>
      </c>
      <c r="AD744" s="165">
        <f>IFERROR(__xludf.DUMMYFUNCTION("""COMPUTED_VALUE"""),0.0)</f>
        <v>0</v>
      </c>
      <c r="AE744" s="39" t="str">
        <f>IFERROR(__xludf.DUMMYFUNCTION("""COMPUTED_VALUE"""),"Hiroshi Yamakawa")</f>
        <v>Hiroshi Yamakawa</v>
      </c>
      <c r="AF744" s="39" t="str">
        <f>IFERROR(__xludf.DUMMYFUNCTION("""COMPUTED_VALUE"""),"HY18NeocorticalInterareaSignals")</f>
        <v>HY18NeocorticalInterareaSignals</v>
      </c>
      <c r="AG744" s="39"/>
      <c r="AH744" s="39"/>
      <c r="AI744" s="165"/>
      <c r="AJ744" s="165"/>
      <c r="AK744" s="111"/>
      <c r="AL744" s="111"/>
      <c r="AM744" s="111"/>
      <c r="AN744" s="111"/>
      <c r="AO744" s="111"/>
      <c r="AP744" s="111"/>
      <c r="AQ744" s="116"/>
      <c r="AR744" s="116"/>
      <c r="AS744" s="116"/>
    </row>
    <row r="745">
      <c r="A745" s="42" t="str">
        <f>IFERROR(__xludf.DUMMYFUNCTION("""COMPUTED_VALUE"""),"TRN_core")</f>
        <v>TRN_core</v>
      </c>
      <c r="B745" s="42"/>
      <c r="C745" s="42"/>
      <c r="D745" s="42" t="str">
        <f>IFERROR(__xludf.DUMMYFUNCTION("""COMPUTED_VALUE"""),"Cx.L3bIT")</f>
        <v>Cx.L3bIT</v>
      </c>
      <c r="E745" s="42"/>
      <c r="F745" s="42"/>
      <c r="G745" s="42"/>
      <c r="H745" s="42" t="str">
        <f>IFERROR(__xludf.DUMMYFUNCTION("""COMPUTED_VALUE"""),"")</f>
        <v/>
      </c>
      <c r="I745" s="42" t="str">
        <f>IFERROR(__xludf.DUMMYFUNCTION("""COMPUTED_VALUE"""),"Bonjean, 2012")</f>
        <v>Bonjean, 2012</v>
      </c>
      <c r="J745" s="42"/>
      <c r="K745" s="42"/>
      <c r="L745" s="42"/>
      <c r="M745" s="42"/>
      <c r="N745" s="42"/>
      <c r="O745" s="131" t="str">
        <f>IFERROR(__xludf.DUMMYFUNCTION("""COMPUTED_VALUE"""),"DOC")</f>
        <v>DOC</v>
      </c>
      <c r="P745" s="9" t="str">
        <f>IFERROR(__xludf.DUMMYFUNCTION("""COMPUTED_VALUE"""),"Journal of Neuroscience")</f>
        <v>Journal of Neuroscience</v>
      </c>
      <c r="Q745" s="9"/>
      <c r="R745" s="179" t="str">
        <f>IFERROR(__xludf.DUMMYFUNCTION("""COMPUTED_VALUE"""),"Cx.L3bIT (00/00) [Bonjean, 2012][Clascá, 2012][Harris, 2015][Kaneko, 2013][Lemieux, 2014][Wei, 2016];
")</f>
        <v>Cx.L3bIT (00/00) [Bonjean, 2012][Clascá, 2012][Harris, 2015][Kaneko, 2013][Lemieux, 2014][Wei, 2016];
</v>
      </c>
      <c r="S745" s="179" t="str">
        <f>IFERROR(__xludf.DUMMYFUNCTION("""COMPUTED_VALUE"""),"TRN_coreCx.L3bIT")</f>
        <v>TRN_coreCx.L3bIT</v>
      </c>
      <c r="T745" s="179" t="str">
        <f>IFERROR(__xludf.DUMMYFUNCTION("""COMPUTED_VALUE"""),"[Bonjean, 2012]")</f>
        <v>[Bonjean, 2012]</v>
      </c>
      <c r="U745" s="179">
        <f>IFERROR(__xludf.DUMMYFUNCTION("""COMPUTED_VALUE"""),0.0)</f>
        <v>0</v>
      </c>
      <c r="V745" s="180">
        <f>IFERROR(__xludf.DUMMYFUNCTION("""COMPUTED_VALUE"""),0.0)</f>
        <v>0</v>
      </c>
      <c r="W745" s="180">
        <f>IFERROR(__xludf.DUMMYFUNCTION("""COMPUTED_VALUE"""),0.95)</f>
        <v>0.95</v>
      </c>
      <c r="X745" s="42">
        <f>IFERROR(__xludf.DUMMYFUNCTION("""COMPUTED_VALUE"""),0.0)</f>
        <v>0</v>
      </c>
      <c r="Y745" s="42">
        <f>IFERROR(__xludf.DUMMYFUNCTION("""COMPUTED_VALUE"""),0.0)</f>
        <v>0</v>
      </c>
      <c r="Z745" s="9">
        <f>IFERROR(__xludf.DUMMYFUNCTION("""COMPUTED_VALUE"""),0.0)</f>
        <v>0</v>
      </c>
      <c r="AA745" s="181">
        <f>IFERROR(__xludf.DUMMYFUNCTION("""COMPUTED_VALUE"""),0.0)</f>
        <v>0</v>
      </c>
      <c r="AB745" s="181">
        <f>IFERROR(__xludf.DUMMYFUNCTION("""COMPUTED_VALUE"""),0.0)</f>
        <v>0</v>
      </c>
      <c r="AC745" s="179">
        <f>IFERROR(__xludf.DUMMYFUNCTION("""COMPUTED_VALUE"""),0.0)</f>
        <v>0</v>
      </c>
      <c r="AD745" s="165">
        <f>IFERROR(__xludf.DUMMYFUNCTION("""COMPUTED_VALUE"""),0.0)</f>
        <v>0</v>
      </c>
      <c r="AE745" s="39" t="str">
        <f>IFERROR(__xludf.DUMMYFUNCTION("""COMPUTED_VALUE"""),"Hiroshi Yamakawa")</f>
        <v>Hiroshi Yamakawa</v>
      </c>
      <c r="AF745" s="39" t="str">
        <f>IFERROR(__xludf.DUMMYFUNCTION("""COMPUTED_VALUE"""),"HY18NeocorticalInterareaSignals")</f>
        <v>HY18NeocorticalInterareaSignals</v>
      </c>
      <c r="AG745" s="39"/>
      <c r="AH745" s="39"/>
      <c r="AI745" s="165"/>
      <c r="AJ745" s="165"/>
      <c r="AK745" s="111"/>
      <c r="AL745" s="111"/>
      <c r="AM745" s="111"/>
      <c r="AN745" s="111"/>
      <c r="AO745" s="111"/>
      <c r="AP745" s="111"/>
      <c r="AQ745" s="116"/>
      <c r="AR745" s="116"/>
      <c r="AS745" s="116"/>
    </row>
    <row r="746">
      <c r="A746" s="42" t="str">
        <f>IFERROR(__xludf.DUMMYFUNCTION("""COMPUTED_VALUE"""),"TRN_core")</f>
        <v>TRN_core</v>
      </c>
      <c r="B746" s="42"/>
      <c r="C746" s="42"/>
      <c r="D746" s="42" t="str">
        <f>IFERROR(__xludf.DUMMYFUNCTION("""COMPUTED_VALUE"""),"Cx.L4")</f>
        <v>Cx.L4</v>
      </c>
      <c r="E746" s="42"/>
      <c r="F746" s="42"/>
      <c r="G746" s="42"/>
      <c r="H746" s="42" t="str">
        <f>IFERROR(__xludf.DUMMYFUNCTION("""COMPUTED_VALUE"""),"")</f>
        <v/>
      </c>
      <c r="I746" s="42" t="str">
        <f>IFERROR(__xludf.DUMMYFUNCTION("""COMPUTED_VALUE"""),"Bonjean, 2012")</f>
        <v>Bonjean, 2012</v>
      </c>
      <c r="J746" s="42"/>
      <c r="K746" s="42"/>
      <c r="L746" s="42"/>
      <c r="M746" s="42"/>
      <c r="N746" s="42"/>
      <c r="O746" s="131" t="str">
        <f>IFERROR(__xludf.DUMMYFUNCTION("""COMPUTED_VALUE"""),"DOC")</f>
        <v>DOC</v>
      </c>
      <c r="P746" s="9" t="str">
        <f>IFERROR(__xludf.DUMMYFUNCTION("""COMPUTED_VALUE"""),"Journal of Neuroscience")</f>
        <v>Journal of Neuroscience</v>
      </c>
      <c r="Q746" s="9"/>
      <c r="R746" s="179" t="str">
        <f>IFERROR(__xludf.DUMMYFUNCTION("""COMPUTED_VALUE"""),"Cx.L4 (00/00) [Bonjean, 2012][Clascá, 2012][Harris, 2015][Kaneko, 2013][Lemieux, 2014][Rodriguez, 2004][Wei, 2016];
")</f>
        <v>Cx.L4 (00/00) [Bonjean, 2012][Clascá, 2012][Harris, 2015][Kaneko, 2013][Lemieux, 2014][Rodriguez, 2004][Wei, 2016];
</v>
      </c>
      <c r="S746" s="179" t="str">
        <f>IFERROR(__xludf.DUMMYFUNCTION("""COMPUTED_VALUE"""),"TRN_coreCx.L4")</f>
        <v>TRN_coreCx.L4</v>
      </c>
      <c r="T746" s="179" t="str">
        <f>IFERROR(__xludf.DUMMYFUNCTION("""COMPUTED_VALUE"""),"[Bonjean, 2012]")</f>
        <v>[Bonjean, 2012]</v>
      </c>
      <c r="U746" s="179">
        <f>IFERROR(__xludf.DUMMYFUNCTION("""COMPUTED_VALUE"""),0.0)</f>
        <v>0</v>
      </c>
      <c r="V746" s="180">
        <f>IFERROR(__xludf.DUMMYFUNCTION("""COMPUTED_VALUE"""),0.0)</f>
        <v>0</v>
      </c>
      <c r="W746" s="180">
        <f>IFERROR(__xludf.DUMMYFUNCTION("""COMPUTED_VALUE"""),0.95)</f>
        <v>0.95</v>
      </c>
      <c r="X746" s="42">
        <f>IFERROR(__xludf.DUMMYFUNCTION("""COMPUTED_VALUE"""),0.0)</f>
        <v>0</v>
      </c>
      <c r="Y746" s="42">
        <f>IFERROR(__xludf.DUMMYFUNCTION("""COMPUTED_VALUE"""),0.0)</f>
        <v>0</v>
      </c>
      <c r="Z746" s="9">
        <f>IFERROR(__xludf.DUMMYFUNCTION("""COMPUTED_VALUE"""),0.0)</f>
        <v>0</v>
      </c>
      <c r="AA746" s="181">
        <f>IFERROR(__xludf.DUMMYFUNCTION("""COMPUTED_VALUE"""),0.0)</f>
        <v>0</v>
      </c>
      <c r="AB746" s="181">
        <f>IFERROR(__xludf.DUMMYFUNCTION("""COMPUTED_VALUE"""),0.0)</f>
        <v>0</v>
      </c>
      <c r="AC746" s="179">
        <f>IFERROR(__xludf.DUMMYFUNCTION("""COMPUTED_VALUE"""),0.0)</f>
        <v>0</v>
      </c>
      <c r="AD746" s="165">
        <f>IFERROR(__xludf.DUMMYFUNCTION("""COMPUTED_VALUE"""),0.0)</f>
        <v>0</v>
      </c>
      <c r="AE746" s="39" t="str">
        <f>IFERROR(__xludf.DUMMYFUNCTION("""COMPUTED_VALUE"""),"Hiroshi Yamakawa")</f>
        <v>Hiroshi Yamakawa</v>
      </c>
      <c r="AF746" s="39" t="str">
        <f>IFERROR(__xludf.DUMMYFUNCTION("""COMPUTED_VALUE"""),"HY18NeocorticalInterareaSignals")</f>
        <v>HY18NeocorticalInterareaSignals</v>
      </c>
      <c r="AG746" s="39"/>
      <c r="AH746" s="39"/>
      <c r="AI746" s="165"/>
      <c r="AJ746" s="165"/>
      <c r="AK746" s="111"/>
      <c r="AL746" s="111"/>
      <c r="AM746" s="111"/>
      <c r="AN746" s="111"/>
      <c r="AO746" s="111"/>
      <c r="AP746" s="111"/>
      <c r="AQ746" s="116"/>
      <c r="AR746" s="116"/>
      <c r="AS746" s="116"/>
    </row>
    <row r="747">
      <c r="A747" s="42" t="str">
        <f>IFERROR(__xludf.DUMMYFUNCTION("""COMPUTED_VALUE"""),"TRN_core")</f>
        <v>TRN_core</v>
      </c>
      <c r="B747" s="42"/>
      <c r="C747" s="42"/>
      <c r="D747" s="42" t="str">
        <f>IFERROR(__xludf.DUMMYFUNCTION("""COMPUTED_VALUE"""),"R")</f>
        <v>R</v>
      </c>
      <c r="E747" s="42"/>
      <c r="F747" s="42"/>
      <c r="G747" s="42"/>
      <c r="H747" s="42" t="str">
        <f>IFERROR(__xludf.DUMMYFUNCTION("""COMPUTED_VALUE"""),"")</f>
        <v/>
      </c>
      <c r="I747" s="42" t="str">
        <f>IFERROR(__xludf.DUMMYFUNCTION("""COMPUTED_VALUE"""),"Bonjean, 2012")</f>
        <v>Bonjean, 2012</v>
      </c>
      <c r="J747" s="42"/>
      <c r="K747" s="42"/>
      <c r="L747" s="42"/>
      <c r="M747" s="42"/>
      <c r="N747" s="42"/>
      <c r="O747" s="131" t="str">
        <f>IFERROR(__xludf.DUMMYFUNCTION("""COMPUTED_VALUE"""),"DOC")</f>
        <v>DOC</v>
      </c>
      <c r="P747" s="9" t="str">
        <f>IFERROR(__xludf.DUMMYFUNCTION("""COMPUTED_VALUE"""),"Journal of Neuroscience")</f>
        <v>Journal of Neuroscience</v>
      </c>
      <c r="Q747" s="9"/>
      <c r="R747" s="179" t="str">
        <f>IFERROR(__xludf.DUMMYFUNCTION("""COMPUTED_VALUE"""),"R (00/00) [Benarroch, 2008][Bonjean, 2012][Clascá, 2012][Kaneko, 2013][Lemieux, 2014];
")</f>
        <v>R (00/00) [Benarroch, 2008][Bonjean, 2012][Clascá, 2012][Kaneko, 2013][Lemieux, 2014];
</v>
      </c>
      <c r="S747" s="179" t="str">
        <f>IFERROR(__xludf.DUMMYFUNCTION("""COMPUTED_VALUE"""),"TRN_coreR")</f>
        <v>TRN_coreR</v>
      </c>
      <c r="T747" s="179" t="str">
        <f>IFERROR(__xludf.DUMMYFUNCTION("""COMPUTED_VALUE"""),"[Bonjean, 2012]")</f>
        <v>[Bonjean, 2012]</v>
      </c>
      <c r="U747" s="179">
        <f>IFERROR(__xludf.DUMMYFUNCTION("""COMPUTED_VALUE"""),0.0)</f>
        <v>0</v>
      </c>
      <c r="V747" s="180">
        <f>IFERROR(__xludf.DUMMYFUNCTION("""COMPUTED_VALUE"""),0.0)</f>
        <v>0</v>
      </c>
      <c r="W747" s="180">
        <f>IFERROR(__xludf.DUMMYFUNCTION("""COMPUTED_VALUE"""),0.95)</f>
        <v>0.95</v>
      </c>
      <c r="X747" s="42">
        <f>IFERROR(__xludf.DUMMYFUNCTION("""COMPUTED_VALUE"""),0.0)</f>
        <v>0</v>
      </c>
      <c r="Y747" s="42">
        <f>IFERROR(__xludf.DUMMYFUNCTION("""COMPUTED_VALUE"""),0.0)</f>
        <v>0</v>
      </c>
      <c r="Z747" s="9">
        <f>IFERROR(__xludf.DUMMYFUNCTION("""COMPUTED_VALUE"""),0.0)</f>
        <v>0</v>
      </c>
      <c r="AA747" s="181">
        <f>IFERROR(__xludf.DUMMYFUNCTION("""COMPUTED_VALUE"""),0.0)</f>
        <v>0</v>
      </c>
      <c r="AB747" s="181">
        <f>IFERROR(__xludf.DUMMYFUNCTION("""COMPUTED_VALUE"""),0.0)</f>
        <v>0</v>
      </c>
      <c r="AC747" s="179">
        <f>IFERROR(__xludf.DUMMYFUNCTION("""COMPUTED_VALUE"""),0.0)</f>
        <v>0</v>
      </c>
      <c r="AD747" s="165">
        <f>IFERROR(__xludf.DUMMYFUNCTION("""COMPUTED_VALUE"""),0.0)</f>
        <v>0</v>
      </c>
      <c r="AE747" s="39" t="str">
        <f>IFERROR(__xludf.DUMMYFUNCTION("""COMPUTED_VALUE"""),"Hiroshi Yamakawa")</f>
        <v>Hiroshi Yamakawa</v>
      </c>
      <c r="AF747" s="39" t="str">
        <f>IFERROR(__xludf.DUMMYFUNCTION("""COMPUTED_VALUE"""),"HY18NeocorticalInterareaSignals")</f>
        <v>HY18NeocorticalInterareaSignals</v>
      </c>
      <c r="AG747" s="39"/>
      <c r="AH747" s="39"/>
      <c r="AI747" s="165"/>
      <c r="AJ747" s="165"/>
      <c r="AK747" s="111"/>
      <c r="AL747" s="111"/>
      <c r="AM747" s="111"/>
      <c r="AN747" s="111"/>
      <c r="AO747" s="111"/>
      <c r="AP747" s="111"/>
      <c r="AQ747" s="116"/>
      <c r="AR747" s="116"/>
      <c r="AS747" s="116"/>
    </row>
    <row r="748">
      <c r="A748" s="42" t="str">
        <f>IFERROR(__xludf.DUMMYFUNCTION("""COMPUTED_VALUE"""),"TRN_core")</f>
        <v>TRN_core</v>
      </c>
      <c r="B748" s="42"/>
      <c r="C748" s="42"/>
      <c r="D748" s="42" t="str">
        <f>IFERROR(__xludf.DUMMYFUNCTION("""COMPUTED_VALUE"""),"Cx.L2_3aIT")</f>
        <v>Cx.L2_3aIT</v>
      </c>
      <c r="E748" s="42"/>
      <c r="F748" s="42"/>
      <c r="G748" s="42"/>
      <c r="H748" s="42" t="str">
        <f>IFERROR(__xludf.DUMMYFUNCTION("""COMPUTED_VALUE"""),"")</f>
        <v/>
      </c>
      <c r="I748" s="42" t="str">
        <f>IFERROR(__xludf.DUMMYFUNCTION("""COMPUTED_VALUE"""),"Clascá, 2012")</f>
        <v>Clascá, 2012</v>
      </c>
      <c r="J748" s="42"/>
      <c r="K748" s="42"/>
      <c r="L748" s="42"/>
      <c r="M748" s="42"/>
      <c r="N748" s="42"/>
      <c r="O748" s="131" t="str">
        <f>IFERROR(__xludf.DUMMYFUNCTION("""COMPUTED_VALUE"""),"DOC")</f>
        <v>DOC</v>
      </c>
      <c r="P748" s="9" t="str">
        <f>IFERROR(__xludf.DUMMYFUNCTION("""COMPUTED_VALUE"""),"European Journal of Neuroscience")</f>
        <v>European Journal of Neuroscience</v>
      </c>
      <c r="Q748" s="9"/>
      <c r="R748" s="179" t="str">
        <f>IFERROR(__xludf.DUMMYFUNCTION("""COMPUTED_VALUE"""),"Cx.L2_3aIT (00/00) [Bonjean, 2012][Clascá, 2012][Harris, 2015][Kaneko, 2013][Lemieux, 2014][Wei, 2016];
")</f>
        <v>Cx.L2_3aIT (00/00) [Bonjean, 2012][Clascá, 2012][Harris, 2015][Kaneko, 2013][Lemieux, 2014][Wei, 2016];
</v>
      </c>
      <c r="S748" s="179" t="str">
        <f>IFERROR(__xludf.DUMMYFUNCTION("""COMPUTED_VALUE"""),"TRN_coreCx.L2_3aIT")</f>
        <v>TRN_coreCx.L2_3aIT</v>
      </c>
      <c r="T748" s="179" t="str">
        <f>IFERROR(__xludf.DUMMYFUNCTION("""COMPUTED_VALUE"""),"[Clascá, 2012]")</f>
        <v>[Clascá, 2012]</v>
      </c>
      <c r="U748" s="179">
        <f>IFERROR(__xludf.DUMMYFUNCTION("""COMPUTED_VALUE"""),0.0)</f>
        <v>0</v>
      </c>
      <c r="V748" s="180">
        <f>IFERROR(__xludf.DUMMYFUNCTION("""COMPUTED_VALUE"""),0.0)</f>
        <v>0</v>
      </c>
      <c r="W748" s="180">
        <f>IFERROR(__xludf.DUMMYFUNCTION("""COMPUTED_VALUE"""),0.95)</f>
        <v>0.95</v>
      </c>
      <c r="X748" s="42">
        <f>IFERROR(__xludf.DUMMYFUNCTION("""COMPUTED_VALUE"""),0.0)</f>
        <v>0</v>
      </c>
      <c r="Y748" s="42">
        <f>IFERROR(__xludf.DUMMYFUNCTION("""COMPUTED_VALUE"""),0.0)</f>
        <v>0</v>
      </c>
      <c r="Z748" s="9">
        <f>IFERROR(__xludf.DUMMYFUNCTION("""COMPUTED_VALUE"""),0.0)</f>
        <v>0</v>
      </c>
      <c r="AA748" s="181">
        <f>IFERROR(__xludf.DUMMYFUNCTION("""COMPUTED_VALUE"""),0.0)</f>
        <v>0</v>
      </c>
      <c r="AB748" s="181">
        <f>IFERROR(__xludf.DUMMYFUNCTION("""COMPUTED_VALUE"""),0.0)</f>
        <v>0</v>
      </c>
      <c r="AC748" s="179">
        <f>IFERROR(__xludf.DUMMYFUNCTION("""COMPUTED_VALUE"""),0.0)</f>
        <v>0</v>
      </c>
      <c r="AD748" s="165">
        <f>IFERROR(__xludf.DUMMYFUNCTION("""COMPUTED_VALUE"""),0.0)</f>
        <v>0</v>
      </c>
      <c r="AE748" s="39" t="str">
        <f>IFERROR(__xludf.DUMMYFUNCTION("""COMPUTED_VALUE"""),"Hiroshi Yamakawa")</f>
        <v>Hiroshi Yamakawa</v>
      </c>
      <c r="AF748" s="39" t="str">
        <f>IFERROR(__xludf.DUMMYFUNCTION("""COMPUTED_VALUE"""),"HY18NeocorticalInterareaSignals")</f>
        <v>HY18NeocorticalInterareaSignals</v>
      </c>
      <c r="AG748" s="39"/>
      <c r="AH748" s="39"/>
      <c r="AI748" s="165"/>
      <c r="AJ748" s="165"/>
      <c r="AK748" s="111"/>
      <c r="AL748" s="111"/>
      <c r="AM748" s="111"/>
      <c r="AN748" s="111"/>
      <c r="AO748" s="111"/>
      <c r="AP748" s="111"/>
      <c r="AQ748" s="116"/>
      <c r="AR748" s="116"/>
      <c r="AS748" s="116"/>
    </row>
    <row r="749">
      <c r="A749" s="42" t="str">
        <f>IFERROR(__xludf.DUMMYFUNCTION("""COMPUTED_VALUE"""),"TRN_core")</f>
        <v>TRN_core</v>
      </c>
      <c r="B749" s="42"/>
      <c r="C749" s="42"/>
      <c r="D749" s="42" t="str">
        <f>IFERROR(__xludf.DUMMYFUNCTION("""COMPUTED_VALUE"""),"Cx.L3bIT")</f>
        <v>Cx.L3bIT</v>
      </c>
      <c r="E749" s="42"/>
      <c r="F749" s="42"/>
      <c r="G749" s="42"/>
      <c r="H749" s="42" t="str">
        <f>IFERROR(__xludf.DUMMYFUNCTION("""COMPUTED_VALUE"""),"")</f>
        <v/>
      </c>
      <c r="I749" s="42" t="str">
        <f>IFERROR(__xludf.DUMMYFUNCTION("""COMPUTED_VALUE"""),"Clascá, 2012")</f>
        <v>Clascá, 2012</v>
      </c>
      <c r="J749" s="42"/>
      <c r="K749" s="42"/>
      <c r="L749" s="42"/>
      <c r="M749" s="42"/>
      <c r="N749" s="42"/>
      <c r="O749" s="31" t="str">
        <f>IFERROR(__xludf.DUMMYFUNCTION("""COMPUTED_VALUE"""),"DOC")</f>
        <v>DOC</v>
      </c>
      <c r="P749" s="9" t="str">
        <f>IFERROR(__xludf.DUMMYFUNCTION("""COMPUTED_VALUE"""),"European Journal of Neuroscience")</f>
        <v>European Journal of Neuroscience</v>
      </c>
      <c r="Q749" s="9"/>
      <c r="R749" s="179" t="str">
        <f>IFERROR(__xludf.DUMMYFUNCTION("""COMPUTED_VALUE"""),"Cx.L3bIT (00/00) [Bonjean, 2012][Clascá, 2012][Harris, 2015][Kaneko, 2013][Lemieux, 2014][Wei, 2016];
")</f>
        <v>Cx.L3bIT (00/00) [Bonjean, 2012][Clascá, 2012][Harris, 2015][Kaneko, 2013][Lemieux, 2014][Wei, 2016];
</v>
      </c>
      <c r="S749" s="179" t="str">
        <f>IFERROR(__xludf.DUMMYFUNCTION("""COMPUTED_VALUE"""),"TRN_coreCx.L3bIT")</f>
        <v>TRN_coreCx.L3bIT</v>
      </c>
      <c r="T749" s="179" t="str">
        <f>IFERROR(__xludf.DUMMYFUNCTION("""COMPUTED_VALUE"""),"[Clascá, 2012]")</f>
        <v>[Clascá, 2012]</v>
      </c>
      <c r="U749" s="179">
        <f>IFERROR(__xludf.DUMMYFUNCTION("""COMPUTED_VALUE"""),0.0)</f>
        <v>0</v>
      </c>
      <c r="V749" s="180">
        <f>IFERROR(__xludf.DUMMYFUNCTION("""COMPUTED_VALUE"""),0.0)</f>
        <v>0</v>
      </c>
      <c r="W749" s="180">
        <f>IFERROR(__xludf.DUMMYFUNCTION("""COMPUTED_VALUE"""),0.95)</f>
        <v>0.95</v>
      </c>
      <c r="X749" s="42">
        <f>IFERROR(__xludf.DUMMYFUNCTION("""COMPUTED_VALUE"""),0.0)</f>
        <v>0</v>
      </c>
      <c r="Y749" s="42">
        <f>IFERROR(__xludf.DUMMYFUNCTION("""COMPUTED_VALUE"""),0.0)</f>
        <v>0</v>
      </c>
      <c r="Z749" s="9">
        <f>IFERROR(__xludf.DUMMYFUNCTION("""COMPUTED_VALUE"""),0.0)</f>
        <v>0</v>
      </c>
      <c r="AA749" s="181">
        <f>IFERROR(__xludf.DUMMYFUNCTION("""COMPUTED_VALUE"""),0.0)</f>
        <v>0</v>
      </c>
      <c r="AB749" s="181">
        <f>IFERROR(__xludf.DUMMYFUNCTION("""COMPUTED_VALUE"""),0.0)</f>
        <v>0</v>
      </c>
      <c r="AC749" s="179">
        <f>IFERROR(__xludf.DUMMYFUNCTION("""COMPUTED_VALUE"""),0.0)</f>
        <v>0</v>
      </c>
      <c r="AD749" s="165">
        <f>IFERROR(__xludf.DUMMYFUNCTION("""COMPUTED_VALUE"""),0.0)</f>
        <v>0</v>
      </c>
      <c r="AE749" s="39" t="str">
        <f>IFERROR(__xludf.DUMMYFUNCTION("""COMPUTED_VALUE"""),"Hiroshi Yamakawa")</f>
        <v>Hiroshi Yamakawa</v>
      </c>
      <c r="AF749" s="39" t="str">
        <f>IFERROR(__xludf.DUMMYFUNCTION("""COMPUTED_VALUE"""),"HY18NeocorticalInterareaSignals")</f>
        <v>HY18NeocorticalInterareaSignals</v>
      </c>
      <c r="AG749" s="39"/>
      <c r="AH749" s="39"/>
      <c r="AI749" s="165"/>
      <c r="AJ749" s="165"/>
      <c r="AK749" s="111"/>
      <c r="AL749" s="111"/>
      <c r="AM749" s="111"/>
      <c r="AN749" s="111"/>
      <c r="AO749" s="111"/>
      <c r="AP749" s="111"/>
      <c r="AQ749" s="116"/>
      <c r="AR749" s="116"/>
      <c r="AS749" s="116"/>
    </row>
    <row r="750">
      <c r="A750" s="42" t="str">
        <f>IFERROR(__xludf.DUMMYFUNCTION("""COMPUTED_VALUE"""),"TRN_core")</f>
        <v>TRN_core</v>
      </c>
      <c r="B750" s="42"/>
      <c r="C750" s="42"/>
      <c r="D750" s="42" t="str">
        <f>IFERROR(__xludf.DUMMYFUNCTION("""COMPUTED_VALUE"""),"Cx.L4")</f>
        <v>Cx.L4</v>
      </c>
      <c r="E750" s="42"/>
      <c r="F750" s="42"/>
      <c r="G750" s="42"/>
      <c r="H750" s="42" t="str">
        <f>IFERROR(__xludf.DUMMYFUNCTION("""COMPUTED_VALUE"""),"")</f>
        <v/>
      </c>
      <c r="I750" s="42" t="str">
        <f>IFERROR(__xludf.DUMMYFUNCTION("""COMPUTED_VALUE"""),"Clascá, 2012")</f>
        <v>Clascá, 2012</v>
      </c>
      <c r="J750" s="42"/>
      <c r="K750" s="42"/>
      <c r="L750" s="42"/>
      <c r="M750" s="42"/>
      <c r="N750" s="42"/>
      <c r="O750" s="31" t="str">
        <f>IFERROR(__xludf.DUMMYFUNCTION("""COMPUTED_VALUE"""),"DOC")</f>
        <v>DOC</v>
      </c>
      <c r="P750" s="9" t="str">
        <f>IFERROR(__xludf.DUMMYFUNCTION("""COMPUTED_VALUE"""),"European Journal of Neuroscience")</f>
        <v>European Journal of Neuroscience</v>
      </c>
      <c r="Q750" s="9"/>
      <c r="R750" s="179" t="str">
        <f>IFERROR(__xludf.DUMMYFUNCTION("""COMPUTED_VALUE"""),"Cx.L4 (00/00) [Bonjean, 2012][Clascá, 2012][Harris, 2015][Kaneko, 2013][Lemieux, 2014][Rodriguez, 2004][Wei, 2016];
")</f>
        <v>Cx.L4 (00/00) [Bonjean, 2012][Clascá, 2012][Harris, 2015][Kaneko, 2013][Lemieux, 2014][Rodriguez, 2004][Wei, 2016];
</v>
      </c>
      <c r="S750" s="179" t="str">
        <f>IFERROR(__xludf.DUMMYFUNCTION("""COMPUTED_VALUE"""),"TRN_coreCx.L4")</f>
        <v>TRN_coreCx.L4</v>
      </c>
      <c r="T750" s="179" t="str">
        <f>IFERROR(__xludf.DUMMYFUNCTION("""COMPUTED_VALUE"""),"[Clascá, 2012]")</f>
        <v>[Clascá, 2012]</v>
      </c>
      <c r="U750" s="179">
        <f>IFERROR(__xludf.DUMMYFUNCTION("""COMPUTED_VALUE"""),0.0)</f>
        <v>0</v>
      </c>
      <c r="V750" s="180">
        <f>IFERROR(__xludf.DUMMYFUNCTION("""COMPUTED_VALUE"""),0.0)</f>
        <v>0</v>
      </c>
      <c r="W750" s="180">
        <f>IFERROR(__xludf.DUMMYFUNCTION("""COMPUTED_VALUE"""),0.95)</f>
        <v>0.95</v>
      </c>
      <c r="X750" s="42">
        <f>IFERROR(__xludf.DUMMYFUNCTION("""COMPUTED_VALUE"""),0.0)</f>
        <v>0</v>
      </c>
      <c r="Y750" s="42">
        <f>IFERROR(__xludf.DUMMYFUNCTION("""COMPUTED_VALUE"""),0.0)</f>
        <v>0</v>
      </c>
      <c r="Z750" s="9">
        <f>IFERROR(__xludf.DUMMYFUNCTION("""COMPUTED_VALUE"""),0.0)</f>
        <v>0</v>
      </c>
      <c r="AA750" s="181">
        <f>IFERROR(__xludf.DUMMYFUNCTION("""COMPUTED_VALUE"""),0.0)</f>
        <v>0</v>
      </c>
      <c r="AB750" s="181">
        <f>IFERROR(__xludf.DUMMYFUNCTION("""COMPUTED_VALUE"""),0.0)</f>
        <v>0</v>
      </c>
      <c r="AC750" s="179">
        <f>IFERROR(__xludf.DUMMYFUNCTION("""COMPUTED_VALUE"""),0.0)</f>
        <v>0</v>
      </c>
      <c r="AD750" s="165">
        <f>IFERROR(__xludf.DUMMYFUNCTION("""COMPUTED_VALUE"""),0.0)</f>
        <v>0</v>
      </c>
      <c r="AE750" s="39" t="str">
        <f>IFERROR(__xludf.DUMMYFUNCTION("""COMPUTED_VALUE"""),"Hiroshi Yamakawa")</f>
        <v>Hiroshi Yamakawa</v>
      </c>
      <c r="AF750" s="39" t="str">
        <f>IFERROR(__xludf.DUMMYFUNCTION("""COMPUTED_VALUE"""),"HY18NeocorticalInterareaSignals")</f>
        <v>HY18NeocorticalInterareaSignals</v>
      </c>
      <c r="AG750" s="39"/>
      <c r="AH750" s="39"/>
      <c r="AI750" s="165"/>
      <c r="AJ750" s="165"/>
      <c r="AK750" s="111"/>
      <c r="AL750" s="111"/>
      <c r="AM750" s="111"/>
      <c r="AN750" s="111"/>
      <c r="AO750" s="111"/>
      <c r="AP750" s="111"/>
      <c r="AQ750" s="116"/>
      <c r="AR750" s="116"/>
      <c r="AS750" s="116"/>
    </row>
    <row r="751">
      <c r="A751" s="42" t="str">
        <f>IFERROR(__xludf.DUMMYFUNCTION("""COMPUTED_VALUE"""),"TRN_core")</f>
        <v>TRN_core</v>
      </c>
      <c r="B751" s="42"/>
      <c r="C751" s="42"/>
      <c r="D751" s="42" t="str">
        <f>IFERROR(__xludf.DUMMYFUNCTION("""COMPUTED_VALUE"""),"Cx.L6")</f>
        <v>Cx.L6</v>
      </c>
      <c r="E751" s="42"/>
      <c r="F751" s="42"/>
      <c r="G751" s="42"/>
      <c r="H751" s="42" t="str">
        <f>IFERROR(__xludf.DUMMYFUNCTION("""COMPUTED_VALUE"""),"")</f>
        <v/>
      </c>
      <c r="I751" s="42" t="str">
        <f>IFERROR(__xludf.DUMMYFUNCTION("""COMPUTED_VALUE"""),"Clascá, 2012")</f>
        <v>Clascá, 2012</v>
      </c>
      <c r="J751" s="42"/>
      <c r="K751" s="42"/>
      <c r="L751" s="42"/>
      <c r="M751" s="42"/>
      <c r="N751" s="42"/>
      <c r="O751" s="31" t="str">
        <f>IFERROR(__xludf.DUMMYFUNCTION("""COMPUTED_VALUE"""),"DOC")</f>
        <v>DOC</v>
      </c>
      <c r="P751" s="9" t="str">
        <f>IFERROR(__xludf.DUMMYFUNCTION("""COMPUTED_VALUE"""),"European Journal of Neuroscience")</f>
        <v>European Journal of Neuroscience</v>
      </c>
      <c r="Q751" s="9"/>
      <c r="R751" s="179" t="str">
        <f>IFERROR(__xludf.DUMMYFUNCTION("""COMPUTED_VALUE"""),"Cx.L6 (00/00) [Clascá, 2012];
")</f>
        <v>Cx.L6 (00/00) [Clascá, 2012];
</v>
      </c>
      <c r="S751" s="179" t="str">
        <f>IFERROR(__xludf.DUMMYFUNCTION("""COMPUTED_VALUE"""),"TRN_coreCx.L6")</f>
        <v>TRN_coreCx.L6</v>
      </c>
      <c r="T751" s="179" t="str">
        <f>IFERROR(__xludf.DUMMYFUNCTION("""COMPUTED_VALUE"""),"[Clascá, 2012]")</f>
        <v>[Clascá, 2012]</v>
      </c>
      <c r="U751" s="179">
        <f>IFERROR(__xludf.DUMMYFUNCTION("""COMPUTED_VALUE"""),0.0)</f>
        <v>0</v>
      </c>
      <c r="V751" s="180">
        <f>IFERROR(__xludf.DUMMYFUNCTION("""COMPUTED_VALUE"""),0.0)</f>
        <v>0</v>
      </c>
      <c r="W751" s="180">
        <f>IFERROR(__xludf.DUMMYFUNCTION("""COMPUTED_VALUE"""),0.95)</f>
        <v>0.95</v>
      </c>
      <c r="X751" s="42">
        <f>IFERROR(__xludf.DUMMYFUNCTION("""COMPUTED_VALUE"""),0.0)</f>
        <v>0</v>
      </c>
      <c r="Y751" s="42">
        <f>IFERROR(__xludf.DUMMYFUNCTION("""COMPUTED_VALUE"""),0.0)</f>
        <v>0</v>
      </c>
      <c r="Z751" s="9">
        <f>IFERROR(__xludf.DUMMYFUNCTION("""COMPUTED_VALUE"""),0.0)</f>
        <v>0</v>
      </c>
      <c r="AA751" s="181">
        <f>IFERROR(__xludf.DUMMYFUNCTION("""COMPUTED_VALUE"""),0.0)</f>
        <v>0</v>
      </c>
      <c r="AB751" s="181">
        <f>IFERROR(__xludf.DUMMYFUNCTION("""COMPUTED_VALUE"""),0.0)</f>
        <v>0</v>
      </c>
      <c r="AC751" s="179">
        <f>IFERROR(__xludf.DUMMYFUNCTION("""COMPUTED_VALUE"""),0.0)</f>
        <v>0</v>
      </c>
      <c r="AD751" s="165">
        <f>IFERROR(__xludf.DUMMYFUNCTION("""COMPUTED_VALUE"""),0.0)</f>
        <v>0</v>
      </c>
      <c r="AE751" s="39" t="str">
        <f>IFERROR(__xludf.DUMMYFUNCTION("""COMPUTED_VALUE"""),"Hiroshi Yamakawa")</f>
        <v>Hiroshi Yamakawa</v>
      </c>
      <c r="AF751" s="39" t="str">
        <f>IFERROR(__xludf.DUMMYFUNCTION("""COMPUTED_VALUE"""),"HY18NeocorticalInterareaSignals")</f>
        <v>HY18NeocorticalInterareaSignals</v>
      </c>
      <c r="AG751" s="39"/>
      <c r="AH751" s="39"/>
      <c r="AI751" s="165"/>
      <c r="AJ751" s="165"/>
      <c r="AK751" s="111"/>
      <c r="AL751" s="111"/>
      <c r="AM751" s="111"/>
      <c r="AN751" s="111"/>
      <c r="AO751" s="111"/>
      <c r="AP751" s="111"/>
      <c r="AQ751" s="116"/>
      <c r="AR751" s="116"/>
      <c r="AS751" s="116"/>
    </row>
    <row r="752">
      <c r="A752" s="42" t="str">
        <f>IFERROR(__xludf.DUMMYFUNCTION("""COMPUTED_VALUE"""),"TRN_core")</f>
        <v>TRN_core</v>
      </c>
      <c r="B752" s="42"/>
      <c r="C752" s="42"/>
      <c r="D752" s="42" t="str">
        <f>IFERROR(__xludf.DUMMYFUNCTION("""COMPUTED_VALUE"""),"R")</f>
        <v>R</v>
      </c>
      <c r="E752" s="42"/>
      <c r="F752" s="42"/>
      <c r="G752" s="42"/>
      <c r="H752" s="42" t="str">
        <f>IFERROR(__xludf.DUMMYFUNCTION("""COMPUTED_VALUE"""),"")</f>
        <v/>
      </c>
      <c r="I752" s="42" t="str">
        <f>IFERROR(__xludf.DUMMYFUNCTION("""COMPUTED_VALUE"""),"Clascá, 2012")</f>
        <v>Clascá, 2012</v>
      </c>
      <c r="J752" s="42"/>
      <c r="K752" s="42"/>
      <c r="L752" s="42"/>
      <c r="M752" s="42"/>
      <c r="N752" s="42"/>
      <c r="O752" s="31" t="str">
        <f>IFERROR(__xludf.DUMMYFUNCTION("""COMPUTED_VALUE"""),"DOC")</f>
        <v>DOC</v>
      </c>
      <c r="P752" s="9" t="str">
        <f>IFERROR(__xludf.DUMMYFUNCTION("""COMPUTED_VALUE"""),"European Journal of Neuroscience")</f>
        <v>European Journal of Neuroscience</v>
      </c>
      <c r="Q752" s="9"/>
      <c r="R752" s="179" t="str">
        <f>IFERROR(__xludf.DUMMYFUNCTION("""COMPUTED_VALUE"""),"R (00/00) [Benarroch, 2008][Bonjean, 2012][Clascá, 2012][Kaneko, 2013][Lemieux, 2014];
")</f>
        <v>R (00/00) [Benarroch, 2008][Bonjean, 2012][Clascá, 2012][Kaneko, 2013][Lemieux, 2014];
</v>
      </c>
      <c r="S752" s="179" t="str">
        <f>IFERROR(__xludf.DUMMYFUNCTION("""COMPUTED_VALUE"""),"TRN_coreR")</f>
        <v>TRN_coreR</v>
      </c>
      <c r="T752" s="179" t="str">
        <f>IFERROR(__xludf.DUMMYFUNCTION("""COMPUTED_VALUE"""),"[Clascá, 2012]")</f>
        <v>[Clascá, 2012]</v>
      </c>
      <c r="U752" s="179">
        <f>IFERROR(__xludf.DUMMYFUNCTION("""COMPUTED_VALUE"""),0.0)</f>
        <v>0</v>
      </c>
      <c r="V752" s="180">
        <f>IFERROR(__xludf.DUMMYFUNCTION("""COMPUTED_VALUE"""),0.0)</f>
        <v>0</v>
      </c>
      <c r="W752" s="180">
        <f>IFERROR(__xludf.DUMMYFUNCTION("""COMPUTED_VALUE"""),0.95)</f>
        <v>0.95</v>
      </c>
      <c r="X752" s="42">
        <f>IFERROR(__xludf.DUMMYFUNCTION("""COMPUTED_VALUE"""),0.0)</f>
        <v>0</v>
      </c>
      <c r="Y752" s="42">
        <f>IFERROR(__xludf.DUMMYFUNCTION("""COMPUTED_VALUE"""),0.0)</f>
        <v>0</v>
      </c>
      <c r="Z752" s="9">
        <f>IFERROR(__xludf.DUMMYFUNCTION("""COMPUTED_VALUE"""),0.0)</f>
        <v>0</v>
      </c>
      <c r="AA752" s="181">
        <f>IFERROR(__xludf.DUMMYFUNCTION("""COMPUTED_VALUE"""),0.0)</f>
        <v>0</v>
      </c>
      <c r="AB752" s="181">
        <f>IFERROR(__xludf.DUMMYFUNCTION("""COMPUTED_VALUE"""),0.0)</f>
        <v>0</v>
      </c>
      <c r="AC752" s="179">
        <f>IFERROR(__xludf.DUMMYFUNCTION("""COMPUTED_VALUE"""),0.0)</f>
        <v>0</v>
      </c>
      <c r="AD752" s="165">
        <f>IFERROR(__xludf.DUMMYFUNCTION("""COMPUTED_VALUE"""),0.0)</f>
        <v>0</v>
      </c>
      <c r="AE752" s="39" t="str">
        <f>IFERROR(__xludf.DUMMYFUNCTION("""COMPUTED_VALUE"""),"Hiroshi Yamakawa")</f>
        <v>Hiroshi Yamakawa</v>
      </c>
      <c r="AF752" s="39" t="str">
        <f>IFERROR(__xludf.DUMMYFUNCTION("""COMPUTED_VALUE"""),"HY18NeocorticalInterareaSignals")</f>
        <v>HY18NeocorticalInterareaSignals</v>
      </c>
      <c r="AG752" s="39"/>
      <c r="AH752" s="39"/>
      <c r="AI752" s="165"/>
      <c r="AJ752" s="165"/>
      <c r="AK752" s="111"/>
      <c r="AL752" s="111"/>
      <c r="AM752" s="111"/>
      <c r="AN752" s="111"/>
      <c r="AO752" s="111"/>
      <c r="AP752" s="111"/>
      <c r="AQ752" s="116"/>
      <c r="AR752" s="116"/>
      <c r="AS752" s="116"/>
    </row>
    <row r="753">
      <c r="A753" s="42" t="str">
        <f>IFERROR(__xludf.DUMMYFUNCTION("""COMPUTED_VALUE"""),"TRN_core")</f>
        <v>TRN_core</v>
      </c>
      <c r="B753" s="42"/>
      <c r="C753" s="42"/>
      <c r="D753" s="42" t="str">
        <f>IFERROR(__xludf.DUMMYFUNCTION("""COMPUTED_VALUE"""),"Cx.L2_3aIT")</f>
        <v>Cx.L2_3aIT</v>
      </c>
      <c r="E753" s="42"/>
      <c r="F753" s="42"/>
      <c r="G753" s="42"/>
      <c r="H753" s="42" t="str">
        <f>IFERROR(__xludf.DUMMYFUNCTION("""COMPUTED_VALUE"""),"")</f>
        <v/>
      </c>
      <c r="I753" s="42" t="str">
        <f>IFERROR(__xludf.DUMMYFUNCTION("""COMPUTED_VALUE"""),"Harris, 2015")</f>
        <v>Harris, 2015</v>
      </c>
      <c r="J753" s="42"/>
      <c r="K753" s="42"/>
      <c r="L753" s="42"/>
      <c r="M753" s="42"/>
      <c r="N753" s="42"/>
      <c r="O753" s="31" t="str">
        <f>IFERROR(__xludf.DUMMYFUNCTION("""COMPUTED_VALUE"""),"DOC")</f>
        <v>DOC</v>
      </c>
      <c r="P753" s="9" t="str">
        <f>IFERROR(__xludf.DUMMYFUNCTION("""COMPUTED_VALUE"""),"Nature Neuroscience")</f>
        <v>Nature Neuroscience</v>
      </c>
      <c r="Q753" s="9"/>
      <c r="R753" s="179" t="str">
        <f>IFERROR(__xludf.DUMMYFUNCTION("""COMPUTED_VALUE"""),"Cx.L2_3aIT (00/00) [Bonjean, 2012][Clascá, 2012][Harris, 2015][Kaneko, 2013][Lemieux, 2014][Wei, 2016];
")</f>
        <v>Cx.L2_3aIT (00/00) [Bonjean, 2012][Clascá, 2012][Harris, 2015][Kaneko, 2013][Lemieux, 2014][Wei, 2016];
</v>
      </c>
      <c r="S753" s="179" t="str">
        <f>IFERROR(__xludf.DUMMYFUNCTION("""COMPUTED_VALUE"""),"TRN_coreCx.L2_3aIT")</f>
        <v>TRN_coreCx.L2_3aIT</v>
      </c>
      <c r="T753" s="179" t="str">
        <f>IFERROR(__xludf.DUMMYFUNCTION("""COMPUTED_VALUE"""),"[Harris, 2015]")</f>
        <v>[Harris, 2015]</v>
      </c>
      <c r="U753" s="179">
        <f>IFERROR(__xludf.DUMMYFUNCTION("""COMPUTED_VALUE"""),0.0)</f>
        <v>0</v>
      </c>
      <c r="V753" s="180">
        <f>IFERROR(__xludf.DUMMYFUNCTION("""COMPUTED_VALUE"""),0.0)</f>
        <v>0</v>
      </c>
      <c r="W753" s="180">
        <f>IFERROR(__xludf.DUMMYFUNCTION("""COMPUTED_VALUE"""),0.95)</f>
        <v>0.95</v>
      </c>
      <c r="X753" s="42">
        <f>IFERROR(__xludf.DUMMYFUNCTION("""COMPUTED_VALUE"""),0.0)</f>
        <v>0</v>
      </c>
      <c r="Y753" s="42">
        <f>IFERROR(__xludf.DUMMYFUNCTION("""COMPUTED_VALUE"""),0.0)</f>
        <v>0</v>
      </c>
      <c r="Z753" s="9">
        <f>IFERROR(__xludf.DUMMYFUNCTION("""COMPUTED_VALUE"""),0.0)</f>
        <v>0</v>
      </c>
      <c r="AA753" s="181">
        <f>IFERROR(__xludf.DUMMYFUNCTION("""COMPUTED_VALUE"""),0.0)</f>
        <v>0</v>
      </c>
      <c r="AB753" s="181">
        <f>IFERROR(__xludf.DUMMYFUNCTION("""COMPUTED_VALUE"""),0.0)</f>
        <v>0</v>
      </c>
      <c r="AC753" s="179">
        <f>IFERROR(__xludf.DUMMYFUNCTION("""COMPUTED_VALUE"""),0.0)</f>
        <v>0</v>
      </c>
      <c r="AD753" s="165">
        <f>IFERROR(__xludf.DUMMYFUNCTION("""COMPUTED_VALUE"""),0.0)</f>
        <v>0</v>
      </c>
      <c r="AE753" s="39" t="str">
        <f>IFERROR(__xludf.DUMMYFUNCTION("""COMPUTED_VALUE"""),"Hiroshi Yamakawa")</f>
        <v>Hiroshi Yamakawa</v>
      </c>
      <c r="AF753" s="39" t="str">
        <f>IFERROR(__xludf.DUMMYFUNCTION("""COMPUTED_VALUE"""),"HY18NeocorticalInterareaSignals")</f>
        <v>HY18NeocorticalInterareaSignals</v>
      </c>
      <c r="AG753" s="39"/>
      <c r="AH753" s="39"/>
      <c r="AI753" s="165"/>
      <c r="AJ753" s="165"/>
      <c r="AK753" s="111"/>
      <c r="AL753" s="111"/>
      <c r="AM753" s="111"/>
      <c r="AN753" s="111"/>
      <c r="AO753" s="111"/>
      <c r="AP753" s="111"/>
      <c r="AQ753" s="116"/>
      <c r="AR753" s="116"/>
      <c r="AS753" s="116"/>
    </row>
    <row r="754">
      <c r="A754" s="42" t="str">
        <f>IFERROR(__xludf.DUMMYFUNCTION("""COMPUTED_VALUE"""),"TRN_core")</f>
        <v>TRN_core</v>
      </c>
      <c r="B754" s="42"/>
      <c r="C754" s="42"/>
      <c r="D754" s="42" t="str">
        <f>IFERROR(__xludf.DUMMYFUNCTION("""COMPUTED_VALUE"""),"Cx.L3bIT")</f>
        <v>Cx.L3bIT</v>
      </c>
      <c r="E754" s="42"/>
      <c r="F754" s="42"/>
      <c r="G754" s="42"/>
      <c r="H754" s="42" t="str">
        <f>IFERROR(__xludf.DUMMYFUNCTION("""COMPUTED_VALUE"""),"")</f>
        <v/>
      </c>
      <c r="I754" s="42" t="str">
        <f>IFERROR(__xludf.DUMMYFUNCTION("""COMPUTED_VALUE"""),"Harris, 2015")</f>
        <v>Harris, 2015</v>
      </c>
      <c r="J754" s="42"/>
      <c r="K754" s="42"/>
      <c r="L754" s="42"/>
      <c r="M754" s="42"/>
      <c r="N754" s="42"/>
      <c r="O754" s="31" t="str">
        <f>IFERROR(__xludf.DUMMYFUNCTION("""COMPUTED_VALUE"""),"DOC")</f>
        <v>DOC</v>
      </c>
      <c r="P754" s="9" t="str">
        <f>IFERROR(__xludf.DUMMYFUNCTION("""COMPUTED_VALUE"""),"Nature Neuroscience")</f>
        <v>Nature Neuroscience</v>
      </c>
      <c r="Q754" s="9"/>
      <c r="R754" s="179" t="str">
        <f>IFERROR(__xludf.DUMMYFUNCTION("""COMPUTED_VALUE"""),"Cx.L3bIT (00/00) [Bonjean, 2012][Clascá, 2012][Harris, 2015][Kaneko, 2013][Lemieux, 2014][Wei, 2016];
")</f>
        <v>Cx.L3bIT (00/00) [Bonjean, 2012][Clascá, 2012][Harris, 2015][Kaneko, 2013][Lemieux, 2014][Wei, 2016];
</v>
      </c>
      <c r="S754" s="179" t="str">
        <f>IFERROR(__xludf.DUMMYFUNCTION("""COMPUTED_VALUE"""),"TRN_coreCx.L3bIT")</f>
        <v>TRN_coreCx.L3bIT</v>
      </c>
      <c r="T754" s="179" t="str">
        <f>IFERROR(__xludf.DUMMYFUNCTION("""COMPUTED_VALUE"""),"[Harris, 2015]")</f>
        <v>[Harris, 2015]</v>
      </c>
      <c r="U754" s="179">
        <f>IFERROR(__xludf.DUMMYFUNCTION("""COMPUTED_VALUE"""),0.0)</f>
        <v>0</v>
      </c>
      <c r="V754" s="180">
        <f>IFERROR(__xludf.DUMMYFUNCTION("""COMPUTED_VALUE"""),0.0)</f>
        <v>0</v>
      </c>
      <c r="W754" s="180">
        <f>IFERROR(__xludf.DUMMYFUNCTION("""COMPUTED_VALUE"""),0.95)</f>
        <v>0.95</v>
      </c>
      <c r="X754" s="42">
        <f>IFERROR(__xludf.DUMMYFUNCTION("""COMPUTED_VALUE"""),0.0)</f>
        <v>0</v>
      </c>
      <c r="Y754" s="42">
        <f>IFERROR(__xludf.DUMMYFUNCTION("""COMPUTED_VALUE"""),0.0)</f>
        <v>0</v>
      </c>
      <c r="Z754" s="9">
        <f>IFERROR(__xludf.DUMMYFUNCTION("""COMPUTED_VALUE"""),0.0)</f>
        <v>0</v>
      </c>
      <c r="AA754" s="181">
        <f>IFERROR(__xludf.DUMMYFUNCTION("""COMPUTED_VALUE"""),0.0)</f>
        <v>0</v>
      </c>
      <c r="AB754" s="181">
        <f>IFERROR(__xludf.DUMMYFUNCTION("""COMPUTED_VALUE"""),0.0)</f>
        <v>0</v>
      </c>
      <c r="AC754" s="179">
        <f>IFERROR(__xludf.DUMMYFUNCTION("""COMPUTED_VALUE"""),0.0)</f>
        <v>0</v>
      </c>
      <c r="AD754" s="165">
        <f>IFERROR(__xludf.DUMMYFUNCTION("""COMPUTED_VALUE"""),0.0)</f>
        <v>0</v>
      </c>
      <c r="AE754" s="39" t="str">
        <f>IFERROR(__xludf.DUMMYFUNCTION("""COMPUTED_VALUE"""),"Hiroshi Yamakawa")</f>
        <v>Hiroshi Yamakawa</v>
      </c>
      <c r="AF754" s="39" t="str">
        <f>IFERROR(__xludf.DUMMYFUNCTION("""COMPUTED_VALUE"""),"HY18NeocorticalInterareaSignals")</f>
        <v>HY18NeocorticalInterareaSignals</v>
      </c>
      <c r="AG754" s="39"/>
      <c r="AH754" s="39"/>
      <c r="AI754" s="165"/>
      <c r="AJ754" s="165"/>
      <c r="AK754" s="111"/>
      <c r="AL754" s="111"/>
      <c r="AM754" s="111"/>
      <c r="AN754" s="111"/>
      <c r="AO754" s="111"/>
      <c r="AP754" s="111"/>
      <c r="AQ754" s="116"/>
      <c r="AR754" s="116"/>
      <c r="AS754" s="116"/>
    </row>
    <row r="755">
      <c r="A755" s="42" t="str">
        <f>IFERROR(__xludf.DUMMYFUNCTION("""COMPUTED_VALUE"""),"TRN_core")</f>
        <v>TRN_core</v>
      </c>
      <c r="B755" s="42"/>
      <c r="C755" s="42"/>
      <c r="D755" s="42" t="str">
        <f>IFERROR(__xludf.DUMMYFUNCTION("""COMPUTED_VALUE"""),"Cx.L4")</f>
        <v>Cx.L4</v>
      </c>
      <c r="E755" s="42"/>
      <c r="F755" s="42"/>
      <c r="G755" s="42"/>
      <c r="H755" s="42" t="str">
        <f>IFERROR(__xludf.DUMMYFUNCTION("""COMPUTED_VALUE"""),"")</f>
        <v/>
      </c>
      <c r="I755" s="42" t="str">
        <f>IFERROR(__xludf.DUMMYFUNCTION("""COMPUTED_VALUE"""),"Harris, 2015")</f>
        <v>Harris, 2015</v>
      </c>
      <c r="J755" s="42"/>
      <c r="K755" s="42"/>
      <c r="L755" s="42"/>
      <c r="M755" s="42"/>
      <c r="N755" s="42"/>
      <c r="O755" s="31" t="str">
        <f>IFERROR(__xludf.DUMMYFUNCTION("""COMPUTED_VALUE"""),"DOC")</f>
        <v>DOC</v>
      </c>
      <c r="P755" s="9" t="str">
        <f>IFERROR(__xludf.DUMMYFUNCTION("""COMPUTED_VALUE"""),"Nature Neuroscience")</f>
        <v>Nature Neuroscience</v>
      </c>
      <c r="Q755" s="9"/>
      <c r="R755" s="179" t="str">
        <f>IFERROR(__xludf.DUMMYFUNCTION("""COMPUTED_VALUE"""),"Cx.L4 (00/00) [Bonjean, 2012][Clascá, 2012][Harris, 2015][Kaneko, 2013][Lemieux, 2014][Rodriguez, 2004][Wei, 2016];
")</f>
        <v>Cx.L4 (00/00) [Bonjean, 2012][Clascá, 2012][Harris, 2015][Kaneko, 2013][Lemieux, 2014][Rodriguez, 2004][Wei, 2016];
</v>
      </c>
      <c r="S755" s="179" t="str">
        <f>IFERROR(__xludf.DUMMYFUNCTION("""COMPUTED_VALUE"""),"TRN_coreCx.L4")</f>
        <v>TRN_coreCx.L4</v>
      </c>
      <c r="T755" s="179" t="str">
        <f>IFERROR(__xludf.DUMMYFUNCTION("""COMPUTED_VALUE"""),"[Harris, 2015]")</f>
        <v>[Harris, 2015]</v>
      </c>
      <c r="U755" s="179">
        <f>IFERROR(__xludf.DUMMYFUNCTION("""COMPUTED_VALUE"""),0.0)</f>
        <v>0</v>
      </c>
      <c r="V755" s="180">
        <f>IFERROR(__xludf.DUMMYFUNCTION("""COMPUTED_VALUE"""),0.0)</f>
        <v>0</v>
      </c>
      <c r="W755" s="180">
        <f>IFERROR(__xludf.DUMMYFUNCTION("""COMPUTED_VALUE"""),0.95)</f>
        <v>0.95</v>
      </c>
      <c r="X755" s="42">
        <f>IFERROR(__xludf.DUMMYFUNCTION("""COMPUTED_VALUE"""),0.0)</f>
        <v>0</v>
      </c>
      <c r="Y755" s="42">
        <f>IFERROR(__xludf.DUMMYFUNCTION("""COMPUTED_VALUE"""),0.0)</f>
        <v>0</v>
      </c>
      <c r="Z755" s="9">
        <f>IFERROR(__xludf.DUMMYFUNCTION("""COMPUTED_VALUE"""),0.0)</f>
        <v>0</v>
      </c>
      <c r="AA755" s="181">
        <f>IFERROR(__xludf.DUMMYFUNCTION("""COMPUTED_VALUE"""),0.0)</f>
        <v>0</v>
      </c>
      <c r="AB755" s="181">
        <f>IFERROR(__xludf.DUMMYFUNCTION("""COMPUTED_VALUE"""),0.0)</f>
        <v>0</v>
      </c>
      <c r="AC755" s="179">
        <f>IFERROR(__xludf.DUMMYFUNCTION("""COMPUTED_VALUE"""),0.0)</f>
        <v>0</v>
      </c>
      <c r="AD755" s="165">
        <f>IFERROR(__xludf.DUMMYFUNCTION("""COMPUTED_VALUE"""),0.0)</f>
        <v>0</v>
      </c>
      <c r="AE755" s="39" t="str">
        <f>IFERROR(__xludf.DUMMYFUNCTION("""COMPUTED_VALUE"""),"Hiroshi Yamakawa")</f>
        <v>Hiroshi Yamakawa</v>
      </c>
      <c r="AF755" s="39" t="str">
        <f>IFERROR(__xludf.DUMMYFUNCTION("""COMPUTED_VALUE"""),"HY18NeocorticalInterareaSignals")</f>
        <v>HY18NeocorticalInterareaSignals</v>
      </c>
      <c r="AG755" s="39"/>
      <c r="AH755" s="39"/>
      <c r="AI755" s="165"/>
      <c r="AJ755" s="165"/>
      <c r="AK755" s="111"/>
      <c r="AL755" s="111"/>
      <c r="AM755" s="111"/>
      <c r="AN755" s="111"/>
      <c r="AO755" s="111"/>
      <c r="AP755" s="111"/>
      <c r="AQ755" s="116"/>
      <c r="AR755" s="116"/>
      <c r="AS755" s="116"/>
    </row>
    <row r="756">
      <c r="A756" s="42" t="str">
        <f>IFERROR(__xludf.DUMMYFUNCTION("""COMPUTED_VALUE"""),"TRN_core")</f>
        <v>TRN_core</v>
      </c>
      <c r="B756" s="42"/>
      <c r="C756" s="42"/>
      <c r="D756" s="42" t="str">
        <f>IFERROR(__xludf.DUMMYFUNCTION("""COMPUTED_VALUE"""),"Cx.L2_3aIT")</f>
        <v>Cx.L2_3aIT</v>
      </c>
      <c r="E756" s="42"/>
      <c r="F756" s="42"/>
      <c r="G756" s="42"/>
      <c r="H756" s="42" t="str">
        <f>IFERROR(__xludf.DUMMYFUNCTION("""COMPUTED_VALUE"""),"")</f>
        <v/>
      </c>
      <c r="I756" s="42" t="str">
        <f>IFERROR(__xludf.DUMMYFUNCTION("""COMPUTED_VALUE"""),"Kaneko, 2013")</f>
        <v>Kaneko, 2013</v>
      </c>
      <c r="J756" s="42"/>
      <c r="K756" s="42"/>
      <c r="L756" s="42"/>
      <c r="M756" s="42"/>
      <c r="N756" s="42"/>
      <c r="O756" s="31" t="str">
        <f>IFERROR(__xludf.DUMMYFUNCTION("""COMPUTED_VALUE"""),"DOC")</f>
        <v>DOC</v>
      </c>
      <c r="P756" s="9" t="str">
        <f>IFERROR(__xludf.DUMMYFUNCTION("""COMPUTED_VALUE"""),"Frontiers in Neural Circuits")</f>
        <v>Frontiers in Neural Circuits</v>
      </c>
      <c r="Q756" s="9"/>
      <c r="R756" s="179" t="str">
        <f>IFERROR(__xludf.DUMMYFUNCTION("""COMPUTED_VALUE"""),"Cx.L2_3aIT (00/00) [Bonjean, 2012][Clascá, 2012][Harris, 2015][Kaneko, 2013][Lemieux, 2014][Wei, 2016];
")</f>
        <v>Cx.L2_3aIT (00/00) [Bonjean, 2012][Clascá, 2012][Harris, 2015][Kaneko, 2013][Lemieux, 2014][Wei, 2016];
</v>
      </c>
      <c r="S756" s="179" t="str">
        <f>IFERROR(__xludf.DUMMYFUNCTION("""COMPUTED_VALUE"""),"TRN_coreCx.L2_3aIT")</f>
        <v>TRN_coreCx.L2_3aIT</v>
      </c>
      <c r="T756" s="179" t="str">
        <f>IFERROR(__xludf.DUMMYFUNCTION("""COMPUTED_VALUE"""),"[Kaneko, 2013]")</f>
        <v>[Kaneko, 2013]</v>
      </c>
      <c r="U756" s="179">
        <f>IFERROR(__xludf.DUMMYFUNCTION("""COMPUTED_VALUE"""),0.0)</f>
        <v>0</v>
      </c>
      <c r="V756" s="180">
        <f>IFERROR(__xludf.DUMMYFUNCTION("""COMPUTED_VALUE"""),0.0)</f>
        <v>0</v>
      </c>
      <c r="W756" s="180">
        <f>IFERROR(__xludf.DUMMYFUNCTION("""COMPUTED_VALUE"""),0.95)</f>
        <v>0.95</v>
      </c>
      <c r="X756" s="42">
        <f>IFERROR(__xludf.DUMMYFUNCTION("""COMPUTED_VALUE"""),0.0)</f>
        <v>0</v>
      </c>
      <c r="Y756" s="42">
        <f>IFERROR(__xludf.DUMMYFUNCTION("""COMPUTED_VALUE"""),0.0)</f>
        <v>0</v>
      </c>
      <c r="Z756" s="9">
        <f>IFERROR(__xludf.DUMMYFUNCTION("""COMPUTED_VALUE"""),0.0)</f>
        <v>0</v>
      </c>
      <c r="AA756" s="181">
        <f>IFERROR(__xludf.DUMMYFUNCTION("""COMPUTED_VALUE"""),0.0)</f>
        <v>0</v>
      </c>
      <c r="AB756" s="181">
        <f>IFERROR(__xludf.DUMMYFUNCTION("""COMPUTED_VALUE"""),0.0)</f>
        <v>0</v>
      </c>
      <c r="AC756" s="179">
        <f>IFERROR(__xludf.DUMMYFUNCTION("""COMPUTED_VALUE"""),0.0)</f>
        <v>0</v>
      </c>
      <c r="AD756" s="165">
        <f>IFERROR(__xludf.DUMMYFUNCTION("""COMPUTED_VALUE"""),0.0)</f>
        <v>0</v>
      </c>
      <c r="AE756" s="39" t="str">
        <f>IFERROR(__xludf.DUMMYFUNCTION("""COMPUTED_VALUE"""),"Hiroshi Yamakawa")</f>
        <v>Hiroshi Yamakawa</v>
      </c>
      <c r="AF756" s="39" t="str">
        <f>IFERROR(__xludf.DUMMYFUNCTION("""COMPUTED_VALUE"""),"HY18NeocorticalInterareaSignals")</f>
        <v>HY18NeocorticalInterareaSignals</v>
      </c>
      <c r="AG756" s="39"/>
      <c r="AH756" s="39"/>
      <c r="AI756" s="165"/>
      <c r="AJ756" s="165"/>
      <c r="AK756" s="111"/>
      <c r="AL756" s="111"/>
      <c r="AM756" s="111"/>
      <c r="AN756" s="111"/>
      <c r="AO756" s="111"/>
      <c r="AP756" s="111"/>
      <c r="AQ756" s="116"/>
      <c r="AR756" s="116"/>
      <c r="AS756" s="116"/>
    </row>
    <row r="757">
      <c r="A757" s="42" t="str">
        <f>IFERROR(__xludf.DUMMYFUNCTION("""COMPUTED_VALUE"""),"TRN_core")</f>
        <v>TRN_core</v>
      </c>
      <c r="B757" s="42"/>
      <c r="C757" s="42"/>
      <c r="D757" s="42" t="str">
        <f>IFERROR(__xludf.DUMMYFUNCTION("""COMPUTED_VALUE"""),"Cx.L3bIT")</f>
        <v>Cx.L3bIT</v>
      </c>
      <c r="E757" s="42"/>
      <c r="F757" s="42"/>
      <c r="G757" s="42"/>
      <c r="H757" s="42" t="str">
        <f>IFERROR(__xludf.DUMMYFUNCTION("""COMPUTED_VALUE"""),"")</f>
        <v/>
      </c>
      <c r="I757" s="42" t="str">
        <f>IFERROR(__xludf.DUMMYFUNCTION("""COMPUTED_VALUE"""),"Kaneko, 2013")</f>
        <v>Kaneko, 2013</v>
      </c>
      <c r="J757" s="42"/>
      <c r="K757" s="42"/>
      <c r="L757" s="42"/>
      <c r="M757" s="42"/>
      <c r="N757" s="42"/>
      <c r="O757" s="31" t="str">
        <f>IFERROR(__xludf.DUMMYFUNCTION("""COMPUTED_VALUE"""),"DOC")</f>
        <v>DOC</v>
      </c>
      <c r="P757" s="9" t="str">
        <f>IFERROR(__xludf.DUMMYFUNCTION("""COMPUTED_VALUE"""),"Frontiers in Neural Circuits")</f>
        <v>Frontiers in Neural Circuits</v>
      </c>
      <c r="Q757" s="9"/>
      <c r="R757" s="179" t="str">
        <f>IFERROR(__xludf.DUMMYFUNCTION("""COMPUTED_VALUE"""),"Cx.L3bIT (00/00) [Bonjean, 2012][Clascá, 2012][Harris, 2015][Kaneko, 2013][Lemieux, 2014][Wei, 2016];
")</f>
        <v>Cx.L3bIT (00/00) [Bonjean, 2012][Clascá, 2012][Harris, 2015][Kaneko, 2013][Lemieux, 2014][Wei, 2016];
</v>
      </c>
      <c r="S757" s="179" t="str">
        <f>IFERROR(__xludf.DUMMYFUNCTION("""COMPUTED_VALUE"""),"TRN_coreCx.L3bIT")</f>
        <v>TRN_coreCx.L3bIT</v>
      </c>
      <c r="T757" s="179" t="str">
        <f>IFERROR(__xludf.DUMMYFUNCTION("""COMPUTED_VALUE"""),"[Kaneko, 2013]")</f>
        <v>[Kaneko, 2013]</v>
      </c>
      <c r="U757" s="179">
        <f>IFERROR(__xludf.DUMMYFUNCTION("""COMPUTED_VALUE"""),0.0)</f>
        <v>0</v>
      </c>
      <c r="V757" s="180">
        <f>IFERROR(__xludf.DUMMYFUNCTION("""COMPUTED_VALUE"""),0.0)</f>
        <v>0</v>
      </c>
      <c r="W757" s="180">
        <f>IFERROR(__xludf.DUMMYFUNCTION("""COMPUTED_VALUE"""),0.95)</f>
        <v>0.95</v>
      </c>
      <c r="X757" s="42">
        <f>IFERROR(__xludf.DUMMYFUNCTION("""COMPUTED_VALUE"""),0.0)</f>
        <v>0</v>
      </c>
      <c r="Y757" s="42">
        <f>IFERROR(__xludf.DUMMYFUNCTION("""COMPUTED_VALUE"""),0.0)</f>
        <v>0</v>
      </c>
      <c r="Z757" s="9">
        <f>IFERROR(__xludf.DUMMYFUNCTION("""COMPUTED_VALUE"""),0.0)</f>
        <v>0</v>
      </c>
      <c r="AA757" s="181">
        <f>IFERROR(__xludf.DUMMYFUNCTION("""COMPUTED_VALUE"""),0.0)</f>
        <v>0</v>
      </c>
      <c r="AB757" s="181">
        <f>IFERROR(__xludf.DUMMYFUNCTION("""COMPUTED_VALUE"""),0.0)</f>
        <v>0</v>
      </c>
      <c r="AC757" s="179">
        <f>IFERROR(__xludf.DUMMYFUNCTION("""COMPUTED_VALUE"""),0.0)</f>
        <v>0</v>
      </c>
      <c r="AD757" s="165">
        <f>IFERROR(__xludf.DUMMYFUNCTION("""COMPUTED_VALUE"""),0.0)</f>
        <v>0</v>
      </c>
      <c r="AE757" s="39" t="str">
        <f>IFERROR(__xludf.DUMMYFUNCTION("""COMPUTED_VALUE"""),"Hiroshi Yamakawa")</f>
        <v>Hiroshi Yamakawa</v>
      </c>
      <c r="AF757" s="39" t="str">
        <f>IFERROR(__xludf.DUMMYFUNCTION("""COMPUTED_VALUE"""),"HY18NeocorticalInterareaSignals")</f>
        <v>HY18NeocorticalInterareaSignals</v>
      </c>
      <c r="AG757" s="39"/>
      <c r="AH757" s="39"/>
      <c r="AI757" s="165"/>
      <c r="AJ757" s="165"/>
      <c r="AK757" s="111"/>
      <c r="AL757" s="111"/>
      <c r="AM757" s="111"/>
      <c r="AN757" s="111"/>
      <c r="AO757" s="111"/>
      <c r="AP757" s="111"/>
      <c r="AQ757" s="116"/>
      <c r="AR757" s="116"/>
      <c r="AS757" s="116"/>
    </row>
    <row r="758">
      <c r="A758" s="42" t="str">
        <f>IFERROR(__xludf.DUMMYFUNCTION("""COMPUTED_VALUE"""),"TRN_core")</f>
        <v>TRN_core</v>
      </c>
      <c r="B758" s="42"/>
      <c r="C758" s="42"/>
      <c r="D758" s="42" t="str">
        <f>IFERROR(__xludf.DUMMYFUNCTION("""COMPUTED_VALUE"""),"Cx.L4")</f>
        <v>Cx.L4</v>
      </c>
      <c r="E758" s="42"/>
      <c r="F758" s="42"/>
      <c r="G758" s="42"/>
      <c r="H758" s="42" t="str">
        <f>IFERROR(__xludf.DUMMYFUNCTION("""COMPUTED_VALUE"""),"")</f>
        <v/>
      </c>
      <c r="I758" s="42" t="str">
        <f>IFERROR(__xludf.DUMMYFUNCTION("""COMPUTED_VALUE"""),"Kaneko, 2013")</f>
        <v>Kaneko, 2013</v>
      </c>
      <c r="J758" s="42"/>
      <c r="K758" s="42"/>
      <c r="L758" s="42"/>
      <c r="M758" s="42"/>
      <c r="N758" s="42"/>
      <c r="O758" s="31" t="str">
        <f>IFERROR(__xludf.DUMMYFUNCTION("""COMPUTED_VALUE"""),"DOC")</f>
        <v>DOC</v>
      </c>
      <c r="P758" s="9" t="str">
        <f>IFERROR(__xludf.DUMMYFUNCTION("""COMPUTED_VALUE"""),"Frontiers in Neural Circuits")</f>
        <v>Frontiers in Neural Circuits</v>
      </c>
      <c r="Q758" s="9"/>
      <c r="R758" s="179" t="str">
        <f>IFERROR(__xludf.DUMMYFUNCTION("""COMPUTED_VALUE"""),"Cx.L4 (00/00) [Bonjean, 2012][Clascá, 2012][Harris, 2015][Kaneko, 2013][Lemieux, 2014][Rodriguez, 2004][Wei, 2016];
")</f>
        <v>Cx.L4 (00/00) [Bonjean, 2012][Clascá, 2012][Harris, 2015][Kaneko, 2013][Lemieux, 2014][Rodriguez, 2004][Wei, 2016];
</v>
      </c>
      <c r="S758" s="179" t="str">
        <f>IFERROR(__xludf.DUMMYFUNCTION("""COMPUTED_VALUE"""),"TRN_coreCx.L4")</f>
        <v>TRN_coreCx.L4</v>
      </c>
      <c r="T758" s="179" t="str">
        <f>IFERROR(__xludf.DUMMYFUNCTION("""COMPUTED_VALUE"""),"[Kaneko, 2013]")</f>
        <v>[Kaneko, 2013]</v>
      </c>
      <c r="U758" s="179">
        <f>IFERROR(__xludf.DUMMYFUNCTION("""COMPUTED_VALUE"""),0.0)</f>
        <v>0</v>
      </c>
      <c r="V758" s="180">
        <f>IFERROR(__xludf.DUMMYFUNCTION("""COMPUTED_VALUE"""),0.0)</f>
        <v>0</v>
      </c>
      <c r="W758" s="180">
        <f>IFERROR(__xludf.DUMMYFUNCTION("""COMPUTED_VALUE"""),0.95)</f>
        <v>0.95</v>
      </c>
      <c r="X758" s="42">
        <f>IFERROR(__xludf.DUMMYFUNCTION("""COMPUTED_VALUE"""),0.0)</f>
        <v>0</v>
      </c>
      <c r="Y758" s="42">
        <f>IFERROR(__xludf.DUMMYFUNCTION("""COMPUTED_VALUE"""),0.0)</f>
        <v>0</v>
      </c>
      <c r="Z758" s="9">
        <f>IFERROR(__xludf.DUMMYFUNCTION("""COMPUTED_VALUE"""),0.0)</f>
        <v>0</v>
      </c>
      <c r="AA758" s="181">
        <f>IFERROR(__xludf.DUMMYFUNCTION("""COMPUTED_VALUE"""),0.0)</f>
        <v>0</v>
      </c>
      <c r="AB758" s="181">
        <f>IFERROR(__xludf.DUMMYFUNCTION("""COMPUTED_VALUE"""),0.0)</f>
        <v>0</v>
      </c>
      <c r="AC758" s="179">
        <f>IFERROR(__xludf.DUMMYFUNCTION("""COMPUTED_VALUE"""),0.0)</f>
        <v>0</v>
      </c>
      <c r="AD758" s="165">
        <f>IFERROR(__xludf.DUMMYFUNCTION("""COMPUTED_VALUE"""),0.0)</f>
        <v>0</v>
      </c>
      <c r="AE758" s="39" t="str">
        <f>IFERROR(__xludf.DUMMYFUNCTION("""COMPUTED_VALUE"""),"Hiroshi Yamakawa")</f>
        <v>Hiroshi Yamakawa</v>
      </c>
      <c r="AF758" s="39" t="str">
        <f>IFERROR(__xludf.DUMMYFUNCTION("""COMPUTED_VALUE"""),"HY18NeocorticalInterareaSignals")</f>
        <v>HY18NeocorticalInterareaSignals</v>
      </c>
      <c r="AG758" s="39"/>
      <c r="AH758" s="39"/>
      <c r="AI758" s="165"/>
      <c r="AJ758" s="165"/>
      <c r="AK758" s="111"/>
      <c r="AL758" s="111"/>
      <c r="AM758" s="111"/>
      <c r="AN758" s="111"/>
      <c r="AO758" s="111"/>
      <c r="AP758" s="111"/>
      <c r="AQ758" s="116"/>
      <c r="AR758" s="116"/>
      <c r="AS758" s="116"/>
    </row>
    <row r="759">
      <c r="A759" s="42" t="str">
        <f>IFERROR(__xludf.DUMMYFUNCTION("""COMPUTED_VALUE"""),"TRN_core")</f>
        <v>TRN_core</v>
      </c>
      <c r="B759" s="42"/>
      <c r="C759" s="42"/>
      <c r="D759" s="42" t="str">
        <f>IFERROR(__xludf.DUMMYFUNCTION("""COMPUTED_VALUE"""),"R")</f>
        <v>R</v>
      </c>
      <c r="E759" s="42"/>
      <c r="F759" s="42"/>
      <c r="G759" s="42"/>
      <c r="H759" s="42" t="str">
        <f>IFERROR(__xludf.DUMMYFUNCTION("""COMPUTED_VALUE"""),"")</f>
        <v/>
      </c>
      <c r="I759" s="42" t="str">
        <f>IFERROR(__xludf.DUMMYFUNCTION("""COMPUTED_VALUE"""),"Kaneko, 2013")</f>
        <v>Kaneko, 2013</v>
      </c>
      <c r="J759" s="42"/>
      <c r="K759" s="42"/>
      <c r="L759" s="42"/>
      <c r="M759" s="42"/>
      <c r="N759" s="42"/>
      <c r="O759" s="31" t="str">
        <f>IFERROR(__xludf.DUMMYFUNCTION("""COMPUTED_VALUE"""),"DOC")</f>
        <v>DOC</v>
      </c>
      <c r="P759" s="9" t="str">
        <f>IFERROR(__xludf.DUMMYFUNCTION("""COMPUTED_VALUE"""),"Frontiers in Neural Circuits")</f>
        <v>Frontiers in Neural Circuits</v>
      </c>
      <c r="Q759" s="9"/>
      <c r="R759" s="179" t="str">
        <f>IFERROR(__xludf.DUMMYFUNCTION("""COMPUTED_VALUE"""),"R (00/00) [Benarroch, 2008][Bonjean, 2012][Clascá, 2012][Kaneko, 2013][Lemieux, 2014];
")</f>
        <v>R (00/00) [Benarroch, 2008][Bonjean, 2012][Clascá, 2012][Kaneko, 2013][Lemieux, 2014];
</v>
      </c>
      <c r="S759" s="179" t="str">
        <f>IFERROR(__xludf.DUMMYFUNCTION("""COMPUTED_VALUE"""),"TRN_coreR")</f>
        <v>TRN_coreR</v>
      </c>
      <c r="T759" s="179" t="str">
        <f>IFERROR(__xludf.DUMMYFUNCTION("""COMPUTED_VALUE"""),"[Kaneko, 2013]")</f>
        <v>[Kaneko, 2013]</v>
      </c>
      <c r="U759" s="179">
        <f>IFERROR(__xludf.DUMMYFUNCTION("""COMPUTED_VALUE"""),0.0)</f>
        <v>0</v>
      </c>
      <c r="V759" s="180">
        <f>IFERROR(__xludf.DUMMYFUNCTION("""COMPUTED_VALUE"""),0.0)</f>
        <v>0</v>
      </c>
      <c r="W759" s="180">
        <f>IFERROR(__xludf.DUMMYFUNCTION("""COMPUTED_VALUE"""),0.95)</f>
        <v>0.95</v>
      </c>
      <c r="X759" s="42">
        <f>IFERROR(__xludf.DUMMYFUNCTION("""COMPUTED_VALUE"""),0.0)</f>
        <v>0</v>
      </c>
      <c r="Y759" s="42">
        <f>IFERROR(__xludf.DUMMYFUNCTION("""COMPUTED_VALUE"""),0.0)</f>
        <v>0</v>
      </c>
      <c r="Z759" s="9">
        <f>IFERROR(__xludf.DUMMYFUNCTION("""COMPUTED_VALUE"""),0.0)</f>
        <v>0</v>
      </c>
      <c r="AA759" s="181">
        <f>IFERROR(__xludf.DUMMYFUNCTION("""COMPUTED_VALUE"""),0.0)</f>
        <v>0</v>
      </c>
      <c r="AB759" s="181">
        <f>IFERROR(__xludf.DUMMYFUNCTION("""COMPUTED_VALUE"""),0.0)</f>
        <v>0</v>
      </c>
      <c r="AC759" s="179">
        <f>IFERROR(__xludf.DUMMYFUNCTION("""COMPUTED_VALUE"""),0.0)</f>
        <v>0</v>
      </c>
      <c r="AD759" s="165">
        <f>IFERROR(__xludf.DUMMYFUNCTION("""COMPUTED_VALUE"""),0.0)</f>
        <v>0</v>
      </c>
      <c r="AE759" s="39" t="str">
        <f>IFERROR(__xludf.DUMMYFUNCTION("""COMPUTED_VALUE"""),"Hiroshi Yamakawa")</f>
        <v>Hiroshi Yamakawa</v>
      </c>
      <c r="AF759" s="39" t="str">
        <f>IFERROR(__xludf.DUMMYFUNCTION("""COMPUTED_VALUE"""),"HY18NeocorticalInterareaSignals")</f>
        <v>HY18NeocorticalInterareaSignals</v>
      </c>
      <c r="AG759" s="39"/>
      <c r="AH759" s="39"/>
      <c r="AI759" s="165"/>
      <c r="AJ759" s="165"/>
      <c r="AK759" s="111"/>
      <c r="AL759" s="111"/>
      <c r="AM759" s="111"/>
      <c r="AN759" s="111"/>
      <c r="AO759" s="111"/>
      <c r="AP759" s="111"/>
      <c r="AQ759" s="116"/>
      <c r="AR759" s="116"/>
      <c r="AS759" s="116"/>
    </row>
    <row r="760">
      <c r="A760" s="42" t="str">
        <f>IFERROR(__xludf.DUMMYFUNCTION("""COMPUTED_VALUE"""),"TRN_core")</f>
        <v>TRN_core</v>
      </c>
      <c r="B760" s="42"/>
      <c r="C760" s="42"/>
      <c r="D760" s="42" t="str">
        <f>IFERROR(__xludf.DUMMYFUNCTION("""COMPUTED_VALUE"""),"Cx.L2_3aIT")</f>
        <v>Cx.L2_3aIT</v>
      </c>
      <c r="E760" s="42"/>
      <c r="F760" s="42"/>
      <c r="G760" s="42"/>
      <c r="H760" s="42" t="str">
        <f>IFERROR(__xludf.DUMMYFUNCTION("""COMPUTED_VALUE"""),"")</f>
        <v/>
      </c>
      <c r="I760" s="42" t="str">
        <f>IFERROR(__xludf.DUMMYFUNCTION("""COMPUTED_VALUE"""),"Lemieux, 2014")</f>
        <v>Lemieux, 2014</v>
      </c>
      <c r="J760" s="42"/>
      <c r="K760" s="42"/>
      <c r="L760" s="42"/>
      <c r="M760" s="42"/>
      <c r="N760" s="42"/>
      <c r="O760" s="131" t="str">
        <f>IFERROR(__xludf.DUMMYFUNCTION("""COMPUTED_VALUE"""),"DOC")</f>
        <v>DOC</v>
      </c>
      <c r="P760" s="9" t="str">
        <f>IFERROR(__xludf.DUMMYFUNCTION("""COMPUTED_VALUE"""),"Journal of Neuroscience")</f>
        <v>Journal of Neuroscience</v>
      </c>
      <c r="Q760" s="9"/>
      <c r="R760" s="179" t="str">
        <f>IFERROR(__xludf.DUMMYFUNCTION("""COMPUTED_VALUE"""),"Cx.L2_3aIT (00/00) [Bonjean, 2012][Clascá, 2012][Harris, 2015][Kaneko, 2013][Lemieux, 2014][Wei, 2016];
")</f>
        <v>Cx.L2_3aIT (00/00) [Bonjean, 2012][Clascá, 2012][Harris, 2015][Kaneko, 2013][Lemieux, 2014][Wei, 2016];
</v>
      </c>
      <c r="S760" s="179" t="str">
        <f>IFERROR(__xludf.DUMMYFUNCTION("""COMPUTED_VALUE"""),"TRN_coreCx.L2_3aIT")</f>
        <v>TRN_coreCx.L2_3aIT</v>
      </c>
      <c r="T760" s="179" t="str">
        <f>IFERROR(__xludf.DUMMYFUNCTION("""COMPUTED_VALUE"""),"[Lemieux, 2014]")</f>
        <v>[Lemieux, 2014]</v>
      </c>
      <c r="U760" s="179">
        <f>IFERROR(__xludf.DUMMYFUNCTION("""COMPUTED_VALUE"""),0.0)</f>
        <v>0</v>
      </c>
      <c r="V760" s="180">
        <f>IFERROR(__xludf.DUMMYFUNCTION("""COMPUTED_VALUE"""),0.0)</f>
        <v>0</v>
      </c>
      <c r="W760" s="180">
        <f>IFERROR(__xludf.DUMMYFUNCTION("""COMPUTED_VALUE"""),0.95)</f>
        <v>0.95</v>
      </c>
      <c r="X760" s="42">
        <f>IFERROR(__xludf.DUMMYFUNCTION("""COMPUTED_VALUE"""),0.0)</f>
        <v>0</v>
      </c>
      <c r="Y760" s="42">
        <f>IFERROR(__xludf.DUMMYFUNCTION("""COMPUTED_VALUE"""),0.0)</f>
        <v>0</v>
      </c>
      <c r="Z760" s="9">
        <f>IFERROR(__xludf.DUMMYFUNCTION("""COMPUTED_VALUE"""),0.0)</f>
        <v>0</v>
      </c>
      <c r="AA760" s="181">
        <f>IFERROR(__xludf.DUMMYFUNCTION("""COMPUTED_VALUE"""),0.0)</f>
        <v>0</v>
      </c>
      <c r="AB760" s="181">
        <f>IFERROR(__xludf.DUMMYFUNCTION("""COMPUTED_VALUE"""),0.0)</f>
        <v>0</v>
      </c>
      <c r="AC760" s="179">
        <f>IFERROR(__xludf.DUMMYFUNCTION("""COMPUTED_VALUE"""),0.0)</f>
        <v>0</v>
      </c>
      <c r="AD760" s="165">
        <f>IFERROR(__xludf.DUMMYFUNCTION("""COMPUTED_VALUE"""),0.0)</f>
        <v>0</v>
      </c>
      <c r="AE760" s="39" t="str">
        <f>IFERROR(__xludf.DUMMYFUNCTION("""COMPUTED_VALUE"""),"Hiroshi Yamakawa")</f>
        <v>Hiroshi Yamakawa</v>
      </c>
      <c r="AF760" s="39" t="str">
        <f>IFERROR(__xludf.DUMMYFUNCTION("""COMPUTED_VALUE"""),"HY18NeocorticalInterareaSignals")</f>
        <v>HY18NeocorticalInterareaSignals</v>
      </c>
      <c r="AG760" s="39"/>
      <c r="AH760" s="39"/>
      <c r="AI760" s="165"/>
      <c r="AJ760" s="165"/>
      <c r="AK760" s="111"/>
      <c r="AL760" s="111"/>
      <c r="AM760" s="111"/>
      <c r="AN760" s="111"/>
      <c r="AO760" s="111"/>
      <c r="AP760" s="111"/>
      <c r="AQ760" s="116"/>
      <c r="AR760" s="116"/>
      <c r="AS760" s="116"/>
    </row>
    <row r="761">
      <c r="A761" s="42" t="str">
        <f>IFERROR(__xludf.DUMMYFUNCTION("""COMPUTED_VALUE"""),"TRN_core")</f>
        <v>TRN_core</v>
      </c>
      <c r="B761" s="42"/>
      <c r="C761" s="42"/>
      <c r="D761" s="42" t="str">
        <f>IFERROR(__xludf.DUMMYFUNCTION("""COMPUTED_VALUE"""),"Cx.L3bIT")</f>
        <v>Cx.L3bIT</v>
      </c>
      <c r="E761" s="42"/>
      <c r="F761" s="42"/>
      <c r="G761" s="42"/>
      <c r="H761" s="42" t="str">
        <f>IFERROR(__xludf.DUMMYFUNCTION("""COMPUTED_VALUE"""),"")</f>
        <v/>
      </c>
      <c r="I761" s="42" t="str">
        <f>IFERROR(__xludf.DUMMYFUNCTION("""COMPUTED_VALUE"""),"Lemieux, 2014")</f>
        <v>Lemieux, 2014</v>
      </c>
      <c r="J761" s="42"/>
      <c r="K761" s="42"/>
      <c r="L761" s="42"/>
      <c r="M761" s="42"/>
      <c r="N761" s="42"/>
      <c r="O761" s="31" t="str">
        <f>IFERROR(__xludf.DUMMYFUNCTION("""COMPUTED_VALUE"""),"DOC")</f>
        <v>DOC</v>
      </c>
      <c r="P761" s="9" t="str">
        <f>IFERROR(__xludf.DUMMYFUNCTION("""COMPUTED_VALUE"""),"Journal of Neuroscience")</f>
        <v>Journal of Neuroscience</v>
      </c>
      <c r="Q761" s="9"/>
      <c r="R761" s="179" t="str">
        <f>IFERROR(__xludf.DUMMYFUNCTION("""COMPUTED_VALUE"""),"Cx.L3bIT (00/00) [Bonjean, 2012][Clascá, 2012][Harris, 2015][Kaneko, 2013][Lemieux, 2014][Wei, 2016];
")</f>
        <v>Cx.L3bIT (00/00) [Bonjean, 2012][Clascá, 2012][Harris, 2015][Kaneko, 2013][Lemieux, 2014][Wei, 2016];
</v>
      </c>
      <c r="S761" s="179" t="str">
        <f>IFERROR(__xludf.DUMMYFUNCTION("""COMPUTED_VALUE"""),"TRN_coreCx.L3bIT")</f>
        <v>TRN_coreCx.L3bIT</v>
      </c>
      <c r="T761" s="179" t="str">
        <f>IFERROR(__xludf.DUMMYFUNCTION("""COMPUTED_VALUE"""),"[Lemieux, 2014]")</f>
        <v>[Lemieux, 2014]</v>
      </c>
      <c r="U761" s="179">
        <f>IFERROR(__xludf.DUMMYFUNCTION("""COMPUTED_VALUE"""),0.0)</f>
        <v>0</v>
      </c>
      <c r="V761" s="180">
        <f>IFERROR(__xludf.DUMMYFUNCTION("""COMPUTED_VALUE"""),0.0)</f>
        <v>0</v>
      </c>
      <c r="W761" s="180">
        <f>IFERROR(__xludf.DUMMYFUNCTION("""COMPUTED_VALUE"""),0.95)</f>
        <v>0.95</v>
      </c>
      <c r="X761" s="42">
        <f>IFERROR(__xludf.DUMMYFUNCTION("""COMPUTED_VALUE"""),0.0)</f>
        <v>0</v>
      </c>
      <c r="Y761" s="42">
        <f>IFERROR(__xludf.DUMMYFUNCTION("""COMPUTED_VALUE"""),0.0)</f>
        <v>0</v>
      </c>
      <c r="Z761" s="9">
        <f>IFERROR(__xludf.DUMMYFUNCTION("""COMPUTED_VALUE"""),0.0)</f>
        <v>0</v>
      </c>
      <c r="AA761" s="181">
        <f>IFERROR(__xludf.DUMMYFUNCTION("""COMPUTED_VALUE"""),0.0)</f>
        <v>0</v>
      </c>
      <c r="AB761" s="181">
        <f>IFERROR(__xludf.DUMMYFUNCTION("""COMPUTED_VALUE"""),0.0)</f>
        <v>0</v>
      </c>
      <c r="AC761" s="179">
        <f>IFERROR(__xludf.DUMMYFUNCTION("""COMPUTED_VALUE"""),0.0)</f>
        <v>0</v>
      </c>
      <c r="AD761" s="165">
        <f>IFERROR(__xludf.DUMMYFUNCTION("""COMPUTED_VALUE"""),0.0)</f>
        <v>0</v>
      </c>
      <c r="AE761" s="39" t="str">
        <f>IFERROR(__xludf.DUMMYFUNCTION("""COMPUTED_VALUE"""),"Hiroshi Yamakawa")</f>
        <v>Hiroshi Yamakawa</v>
      </c>
      <c r="AF761" s="39" t="str">
        <f>IFERROR(__xludf.DUMMYFUNCTION("""COMPUTED_VALUE"""),"HY18NeocorticalInterareaSignals")</f>
        <v>HY18NeocorticalInterareaSignals</v>
      </c>
      <c r="AG761" s="39"/>
      <c r="AH761" s="39"/>
      <c r="AI761" s="165"/>
      <c r="AJ761" s="165"/>
      <c r="AK761" s="111"/>
      <c r="AL761" s="111"/>
      <c r="AM761" s="111"/>
      <c r="AN761" s="111"/>
      <c r="AO761" s="111"/>
      <c r="AP761" s="111"/>
      <c r="AQ761" s="116"/>
      <c r="AR761" s="116"/>
      <c r="AS761" s="116"/>
    </row>
    <row r="762">
      <c r="A762" s="42" t="str">
        <f>IFERROR(__xludf.DUMMYFUNCTION("""COMPUTED_VALUE"""),"TRN_core")</f>
        <v>TRN_core</v>
      </c>
      <c r="B762" s="42"/>
      <c r="C762" s="42"/>
      <c r="D762" s="42" t="str">
        <f>IFERROR(__xludf.DUMMYFUNCTION("""COMPUTED_VALUE"""),"Cx.L4")</f>
        <v>Cx.L4</v>
      </c>
      <c r="E762" s="42"/>
      <c r="F762" s="42"/>
      <c r="G762" s="42"/>
      <c r="H762" s="42" t="str">
        <f>IFERROR(__xludf.DUMMYFUNCTION("""COMPUTED_VALUE"""),"")</f>
        <v/>
      </c>
      <c r="I762" s="42" t="str">
        <f>IFERROR(__xludf.DUMMYFUNCTION("""COMPUTED_VALUE"""),"Lemieux, 2014")</f>
        <v>Lemieux, 2014</v>
      </c>
      <c r="J762" s="42"/>
      <c r="K762" s="42"/>
      <c r="L762" s="42"/>
      <c r="M762" s="42"/>
      <c r="N762" s="42"/>
      <c r="O762" s="31" t="str">
        <f>IFERROR(__xludf.DUMMYFUNCTION("""COMPUTED_VALUE"""),"DOC")</f>
        <v>DOC</v>
      </c>
      <c r="P762" s="9" t="str">
        <f>IFERROR(__xludf.DUMMYFUNCTION("""COMPUTED_VALUE"""),"Journal of Neuroscience")</f>
        <v>Journal of Neuroscience</v>
      </c>
      <c r="Q762" s="9"/>
      <c r="R762" s="179" t="str">
        <f>IFERROR(__xludf.DUMMYFUNCTION("""COMPUTED_VALUE"""),"Cx.L4 (00/00) [Bonjean, 2012][Clascá, 2012][Harris, 2015][Kaneko, 2013][Lemieux, 2014][Rodriguez, 2004][Wei, 2016];
")</f>
        <v>Cx.L4 (00/00) [Bonjean, 2012][Clascá, 2012][Harris, 2015][Kaneko, 2013][Lemieux, 2014][Rodriguez, 2004][Wei, 2016];
</v>
      </c>
      <c r="S762" s="179" t="str">
        <f>IFERROR(__xludf.DUMMYFUNCTION("""COMPUTED_VALUE"""),"TRN_coreCx.L4")</f>
        <v>TRN_coreCx.L4</v>
      </c>
      <c r="T762" s="179" t="str">
        <f>IFERROR(__xludf.DUMMYFUNCTION("""COMPUTED_VALUE"""),"[Lemieux, 2014]")</f>
        <v>[Lemieux, 2014]</v>
      </c>
      <c r="U762" s="179">
        <f>IFERROR(__xludf.DUMMYFUNCTION("""COMPUTED_VALUE"""),0.0)</f>
        <v>0</v>
      </c>
      <c r="V762" s="180">
        <f>IFERROR(__xludf.DUMMYFUNCTION("""COMPUTED_VALUE"""),0.0)</f>
        <v>0</v>
      </c>
      <c r="W762" s="180">
        <f>IFERROR(__xludf.DUMMYFUNCTION("""COMPUTED_VALUE"""),0.95)</f>
        <v>0.95</v>
      </c>
      <c r="X762" s="42">
        <f>IFERROR(__xludf.DUMMYFUNCTION("""COMPUTED_VALUE"""),0.0)</f>
        <v>0</v>
      </c>
      <c r="Y762" s="42">
        <f>IFERROR(__xludf.DUMMYFUNCTION("""COMPUTED_VALUE"""),0.0)</f>
        <v>0</v>
      </c>
      <c r="Z762" s="9">
        <f>IFERROR(__xludf.DUMMYFUNCTION("""COMPUTED_VALUE"""),0.0)</f>
        <v>0</v>
      </c>
      <c r="AA762" s="181">
        <f>IFERROR(__xludf.DUMMYFUNCTION("""COMPUTED_VALUE"""),0.0)</f>
        <v>0</v>
      </c>
      <c r="AB762" s="181">
        <f>IFERROR(__xludf.DUMMYFUNCTION("""COMPUTED_VALUE"""),0.0)</f>
        <v>0</v>
      </c>
      <c r="AC762" s="179">
        <f>IFERROR(__xludf.DUMMYFUNCTION("""COMPUTED_VALUE"""),0.0)</f>
        <v>0</v>
      </c>
      <c r="AD762" s="165">
        <f>IFERROR(__xludf.DUMMYFUNCTION("""COMPUTED_VALUE"""),0.0)</f>
        <v>0</v>
      </c>
      <c r="AE762" s="39" t="str">
        <f>IFERROR(__xludf.DUMMYFUNCTION("""COMPUTED_VALUE"""),"Hiroshi Yamakawa")</f>
        <v>Hiroshi Yamakawa</v>
      </c>
      <c r="AF762" s="39" t="str">
        <f>IFERROR(__xludf.DUMMYFUNCTION("""COMPUTED_VALUE"""),"HY18NeocorticalInterareaSignals")</f>
        <v>HY18NeocorticalInterareaSignals</v>
      </c>
      <c r="AG762" s="39"/>
      <c r="AH762" s="39"/>
      <c r="AI762" s="165"/>
      <c r="AJ762" s="165"/>
      <c r="AK762" s="111"/>
      <c r="AL762" s="111"/>
      <c r="AM762" s="111"/>
      <c r="AN762" s="111"/>
      <c r="AO762" s="111"/>
      <c r="AP762" s="111"/>
      <c r="AQ762" s="116"/>
      <c r="AR762" s="116"/>
      <c r="AS762" s="116"/>
    </row>
    <row r="763">
      <c r="A763" s="42" t="str">
        <f>IFERROR(__xludf.DUMMYFUNCTION("""COMPUTED_VALUE"""),"TRN_core")</f>
        <v>TRN_core</v>
      </c>
      <c r="B763" s="42"/>
      <c r="C763" s="42"/>
      <c r="D763" s="42" t="str">
        <f>IFERROR(__xludf.DUMMYFUNCTION("""COMPUTED_VALUE"""),"R")</f>
        <v>R</v>
      </c>
      <c r="E763" s="42"/>
      <c r="F763" s="42"/>
      <c r="G763" s="42"/>
      <c r="H763" s="42" t="str">
        <f>IFERROR(__xludf.DUMMYFUNCTION("""COMPUTED_VALUE"""),"")</f>
        <v/>
      </c>
      <c r="I763" s="42" t="str">
        <f>IFERROR(__xludf.DUMMYFUNCTION("""COMPUTED_VALUE"""),"Lemieux, 2014")</f>
        <v>Lemieux, 2014</v>
      </c>
      <c r="J763" s="42"/>
      <c r="K763" s="42"/>
      <c r="L763" s="42"/>
      <c r="M763" s="42"/>
      <c r="N763" s="42"/>
      <c r="O763" s="31" t="str">
        <f>IFERROR(__xludf.DUMMYFUNCTION("""COMPUTED_VALUE"""),"DOC")</f>
        <v>DOC</v>
      </c>
      <c r="P763" s="9" t="str">
        <f>IFERROR(__xludf.DUMMYFUNCTION("""COMPUTED_VALUE"""),"Journal of Neuroscience")</f>
        <v>Journal of Neuroscience</v>
      </c>
      <c r="Q763" s="9"/>
      <c r="R763" s="179" t="str">
        <f>IFERROR(__xludf.DUMMYFUNCTION("""COMPUTED_VALUE"""),"R (00/00) [Benarroch, 2008][Bonjean, 2012][Clascá, 2012][Kaneko, 2013][Lemieux, 2014];
")</f>
        <v>R (00/00) [Benarroch, 2008][Bonjean, 2012][Clascá, 2012][Kaneko, 2013][Lemieux, 2014];
</v>
      </c>
      <c r="S763" s="179" t="str">
        <f>IFERROR(__xludf.DUMMYFUNCTION("""COMPUTED_VALUE"""),"TRN_coreR")</f>
        <v>TRN_coreR</v>
      </c>
      <c r="T763" s="179" t="str">
        <f>IFERROR(__xludf.DUMMYFUNCTION("""COMPUTED_VALUE"""),"[Lemieux, 2014]")</f>
        <v>[Lemieux, 2014]</v>
      </c>
      <c r="U763" s="179">
        <f>IFERROR(__xludf.DUMMYFUNCTION("""COMPUTED_VALUE"""),0.0)</f>
        <v>0</v>
      </c>
      <c r="V763" s="180">
        <f>IFERROR(__xludf.DUMMYFUNCTION("""COMPUTED_VALUE"""),0.0)</f>
        <v>0</v>
      </c>
      <c r="W763" s="180">
        <f>IFERROR(__xludf.DUMMYFUNCTION("""COMPUTED_VALUE"""),0.95)</f>
        <v>0.95</v>
      </c>
      <c r="X763" s="42">
        <f>IFERROR(__xludf.DUMMYFUNCTION("""COMPUTED_VALUE"""),0.0)</f>
        <v>0</v>
      </c>
      <c r="Y763" s="42">
        <f>IFERROR(__xludf.DUMMYFUNCTION("""COMPUTED_VALUE"""),0.0)</f>
        <v>0</v>
      </c>
      <c r="Z763" s="9">
        <f>IFERROR(__xludf.DUMMYFUNCTION("""COMPUTED_VALUE"""),0.0)</f>
        <v>0</v>
      </c>
      <c r="AA763" s="181">
        <f>IFERROR(__xludf.DUMMYFUNCTION("""COMPUTED_VALUE"""),0.0)</f>
        <v>0</v>
      </c>
      <c r="AB763" s="181">
        <f>IFERROR(__xludf.DUMMYFUNCTION("""COMPUTED_VALUE"""),0.0)</f>
        <v>0</v>
      </c>
      <c r="AC763" s="179">
        <f>IFERROR(__xludf.DUMMYFUNCTION("""COMPUTED_VALUE"""),0.0)</f>
        <v>0</v>
      </c>
      <c r="AD763" s="165">
        <f>IFERROR(__xludf.DUMMYFUNCTION("""COMPUTED_VALUE"""),0.0)</f>
        <v>0</v>
      </c>
      <c r="AE763" s="39" t="str">
        <f>IFERROR(__xludf.DUMMYFUNCTION("""COMPUTED_VALUE"""),"Hiroshi Yamakawa")</f>
        <v>Hiroshi Yamakawa</v>
      </c>
      <c r="AF763" s="39" t="str">
        <f>IFERROR(__xludf.DUMMYFUNCTION("""COMPUTED_VALUE"""),"HY18NeocorticalInterareaSignals")</f>
        <v>HY18NeocorticalInterareaSignals</v>
      </c>
      <c r="AG763" s="39"/>
      <c r="AH763" s="39"/>
      <c r="AI763" s="165"/>
      <c r="AJ763" s="165"/>
      <c r="AK763" s="111"/>
      <c r="AL763" s="111"/>
      <c r="AM763" s="111"/>
      <c r="AN763" s="111"/>
      <c r="AO763" s="111"/>
      <c r="AP763" s="111"/>
      <c r="AQ763" s="116"/>
      <c r="AR763" s="116"/>
      <c r="AS763" s="116"/>
    </row>
    <row r="764">
      <c r="A764" s="42" t="str">
        <f>IFERROR(__xludf.DUMMYFUNCTION("""COMPUTED_VALUE"""),"TRN_core")</f>
        <v>TRN_core</v>
      </c>
      <c r="B764" s="42"/>
      <c r="C764" s="42"/>
      <c r="D764" s="42" t="str">
        <f>IFERROR(__xludf.DUMMYFUNCTION("""COMPUTED_VALUE"""),"Cx.L6CT")</f>
        <v>Cx.L6CT</v>
      </c>
      <c r="E764" s="42"/>
      <c r="F764" s="42"/>
      <c r="G764" s="42"/>
      <c r="H764" s="42" t="str">
        <f>IFERROR(__xludf.DUMMYFUNCTION("""COMPUTED_VALUE"""),"")</f>
        <v/>
      </c>
      <c r="I764" s="42" t="str">
        <f>IFERROR(__xludf.DUMMYFUNCTION("""COMPUTED_VALUE"""),"Rodriguez, 2004")</f>
        <v>Rodriguez, 2004</v>
      </c>
      <c r="J764" s="42"/>
      <c r="K764" s="42"/>
      <c r="L764" s="42"/>
      <c r="M764" s="42"/>
      <c r="N764" s="42"/>
      <c r="O764" s="31" t="str">
        <f>IFERROR(__xludf.DUMMYFUNCTION("""COMPUTED_VALUE"""),"DOC")</f>
        <v>DOC</v>
      </c>
      <c r="P764" s="9" t="str">
        <f>IFERROR(__xludf.DUMMYFUNCTION("""COMPUTED_VALUE"""),"Journal of Cognitive Neuroscience")</f>
        <v>Journal of Cognitive Neuroscience</v>
      </c>
      <c r="Q764" s="9"/>
      <c r="R764" s="179" t="str">
        <f>IFERROR(__xludf.DUMMYFUNCTION("""COMPUTED_VALUE"""),"Cx.L6CT (00/00) [Rodriguez, 2004];
")</f>
        <v>Cx.L6CT (00/00) [Rodriguez, 2004];
</v>
      </c>
      <c r="S764" s="179" t="str">
        <f>IFERROR(__xludf.DUMMYFUNCTION("""COMPUTED_VALUE"""),"TRN_coreCx.L6CT")</f>
        <v>TRN_coreCx.L6CT</v>
      </c>
      <c r="T764" s="179" t="str">
        <f>IFERROR(__xludf.DUMMYFUNCTION("""COMPUTED_VALUE"""),"[Rodriguez, 2004]")</f>
        <v>[Rodriguez, 2004]</v>
      </c>
      <c r="U764" s="179">
        <f>IFERROR(__xludf.DUMMYFUNCTION("""COMPUTED_VALUE"""),0.0)</f>
        <v>0</v>
      </c>
      <c r="V764" s="180">
        <f>IFERROR(__xludf.DUMMYFUNCTION("""COMPUTED_VALUE"""),0.0)</f>
        <v>0</v>
      </c>
      <c r="W764" s="180">
        <f>IFERROR(__xludf.DUMMYFUNCTION("""COMPUTED_VALUE"""),0.95)</f>
        <v>0.95</v>
      </c>
      <c r="X764" s="42">
        <f>IFERROR(__xludf.DUMMYFUNCTION("""COMPUTED_VALUE"""),0.0)</f>
        <v>0</v>
      </c>
      <c r="Y764" s="42">
        <f>IFERROR(__xludf.DUMMYFUNCTION("""COMPUTED_VALUE"""),0.0)</f>
        <v>0</v>
      </c>
      <c r="Z764" s="9">
        <f>IFERROR(__xludf.DUMMYFUNCTION("""COMPUTED_VALUE"""),0.0)</f>
        <v>0</v>
      </c>
      <c r="AA764" s="181">
        <f>IFERROR(__xludf.DUMMYFUNCTION("""COMPUTED_VALUE"""),0.0)</f>
        <v>0</v>
      </c>
      <c r="AB764" s="181">
        <f>IFERROR(__xludf.DUMMYFUNCTION("""COMPUTED_VALUE"""),0.0)</f>
        <v>0</v>
      </c>
      <c r="AC764" s="179">
        <f>IFERROR(__xludf.DUMMYFUNCTION("""COMPUTED_VALUE"""),0.0)</f>
        <v>0</v>
      </c>
      <c r="AD764" s="165">
        <f>IFERROR(__xludf.DUMMYFUNCTION("""COMPUTED_VALUE"""),0.0)</f>
        <v>0</v>
      </c>
      <c r="AE764" s="39" t="str">
        <f>IFERROR(__xludf.DUMMYFUNCTION("""COMPUTED_VALUE"""),"Hiroshi Yamakawa")</f>
        <v>Hiroshi Yamakawa</v>
      </c>
      <c r="AF764" s="39" t="str">
        <f>IFERROR(__xludf.DUMMYFUNCTION("""COMPUTED_VALUE"""),"HY18NeocorticalInterareaSignals")</f>
        <v>HY18NeocorticalInterareaSignals</v>
      </c>
      <c r="AG764" s="39"/>
      <c r="AH764" s="39"/>
      <c r="AI764" s="165"/>
      <c r="AJ764" s="165"/>
      <c r="AK764" s="111"/>
      <c r="AL764" s="111"/>
      <c r="AM764" s="111"/>
      <c r="AN764" s="111"/>
      <c r="AO764" s="111"/>
      <c r="AP764" s="111"/>
      <c r="AQ764" s="116"/>
      <c r="AR764" s="116"/>
      <c r="AS764" s="116"/>
    </row>
    <row r="765">
      <c r="A765" s="42" t="str">
        <f>IFERROR(__xludf.DUMMYFUNCTION("""COMPUTED_VALUE"""),"TRN_core")</f>
        <v>TRN_core</v>
      </c>
      <c r="B765" s="42"/>
      <c r="C765" s="42"/>
      <c r="D765" s="42" t="str">
        <f>IFERROR(__xludf.DUMMYFUNCTION("""COMPUTED_VALUE"""),"Cx.L4")</f>
        <v>Cx.L4</v>
      </c>
      <c r="E765" s="42"/>
      <c r="F765" s="42"/>
      <c r="G765" s="42"/>
      <c r="H765" s="42" t="str">
        <f>IFERROR(__xludf.DUMMYFUNCTION("""COMPUTED_VALUE"""),"")</f>
        <v/>
      </c>
      <c r="I765" s="42" t="str">
        <f>IFERROR(__xludf.DUMMYFUNCTION("""COMPUTED_VALUE"""),"Rodriguez, 2004")</f>
        <v>Rodriguez, 2004</v>
      </c>
      <c r="J765" s="42"/>
      <c r="K765" s="42"/>
      <c r="L765" s="42"/>
      <c r="M765" s="42"/>
      <c r="N765" s="42"/>
      <c r="O765" s="31" t="str">
        <f>IFERROR(__xludf.DUMMYFUNCTION("""COMPUTED_VALUE"""),"DOC")</f>
        <v>DOC</v>
      </c>
      <c r="P765" s="9" t="str">
        <f>IFERROR(__xludf.DUMMYFUNCTION("""COMPUTED_VALUE"""),"Journal of Cognitive Neuroscience")</f>
        <v>Journal of Cognitive Neuroscience</v>
      </c>
      <c r="Q765" s="9"/>
      <c r="R765" s="179" t="str">
        <f>IFERROR(__xludf.DUMMYFUNCTION("""COMPUTED_VALUE"""),"Cx.L4 (00/00) [Bonjean, 2012][Clascá, 2012][Harris, 2015][Kaneko, 2013][Lemieux, 2014][Rodriguez, 2004][Wei, 2016];
")</f>
        <v>Cx.L4 (00/00) [Bonjean, 2012][Clascá, 2012][Harris, 2015][Kaneko, 2013][Lemieux, 2014][Rodriguez, 2004][Wei, 2016];
</v>
      </c>
      <c r="S765" s="179" t="str">
        <f>IFERROR(__xludf.DUMMYFUNCTION("""COMPUTED_VALUE"""),"TRN_coreCx.L4")</f>
        <v>TRN_coreCx.L4</v>
      </c>
      <c r="T765" s="179" t="str">
        <f>IFERROR(__xludf.DUMMYFUNCTION("""COMPUTED_VALUE"""),"[Rodriguez, 2004]")</f>
        <v>[Rodriguez, 2004]</v>
      </c>
      <c r="U765" s="179">
        <f>IFERROR(__xludf.DUMMYFUNCTION("""COMPUTED_VALUE"""),0.0)</f>
        <v>0</v>
      </c>
      <c r="V765" s="180">
        <f>IFERROR(__xludf.DUMMYFUNCTION("""COMPUTED_VALUE"""),0.0)</f>
        <v>0</v>
      </c>
      <c r="W765" s="180">
        <f>IFERROR(__xludf.DUMMYFUNCTION("""COMPUTED_VALUE"""),0.95)</f>
        <v>0.95</v>
      </c>
      <c r="X765" s="42">
        <f>IFERROR(__xludf.DUMMYFUNCTION("""COMPUTED_VALUE"""),0.0)</f>
        <v>0</v>
      </c>
      <c r="Y765" s="42">
        <f>IFERROR(__xludf.DUMMYFUNCTION("""COMPUTED_VALUE"""),0.0)</f>
        <v>0</v>
      </c>
      <c r="Z765" s="9">
        <f>IFERROR(__xludf.DUMMYFUNCTION("""COMPUTED_VALUE"""),0.0)</f>
        <v>0</v>
      </c>
      <c r="AA765" s="181">
        <f>IFERROR(__xludf.DUMMYFUNCTION("""COMPUTED_VALUE"""),0.0)</f>
        <v>0</v>
      </c>
      <c r="AB765" s="181">
        <f>IFERROR(__xludf.DUMMYFUNCTION("""COMPUTED_VALUE"""),0.0)</f>
        <v>0</v>
      </c>
      <c r="AC765" s="179">
        <f>IFERROR(__xludf.DUMMYFUNCTION("""COMPUTED_VALUE"""),0.0)</f>
        <v>0</v>
      </c>
      <c r="AD765" s="165">
        <f>IFERROR(__xludf.DUMMYFUNCTION("""COMPUTED_VALUE"""),0.0)</f>
        <v>0</v>
      </c>
      <c r="AE765" s="39" t="str">
        <f>IFERROR(__xludf.DUMMYFUNCTION("""COMPUTED_VALUE"""),"Hiroshi Yamakawa")</f>
        <v>Hiroshi Yamakawa</v>
      </c>
      <c r="AF765" s="39" t="str">
        <f>IFERROR(__xludf.DUMMYFUNCTION("""COMPUTED_VALUE"""),"HY18NeocorticalInterareaSignals")</f>
        <v>HY18NeocorticalInterareaSignals</v>
      </c>
      <c r="AG765" s="39"/>
      <c r="AH765" s="39"/>
      <c r="AI765" s="165"/>
      <c r="AJ765" s="165"/>
      <c r="AK765" s="111"/>
      <c r="AL765" s="111"/>
      <c r="AM765" s="111"/>
      <c r="AN765" s="111"/>
      <c r="AO765" s="111"/>
      <c r="AP765" s="111"/>
      <c r="AQ765" s="116"/>
      <c r="AR765" s="116"/>
      <c r="AS765" s="116"/>
    </row>
    <row r="766">
      <c r="A766" s="42" t="str">
        <f>IFERROR(__xludf.DUMMYFUNCTION("""COMPUTED_VALUE"""),"TRN_core")</f>
        <v>TRN_core</v>
      </c>
      <c r="B766" s="42"/>
      <c r="C766" s="42"/>
      <c r="D766" s="42" t="str">
        <f>IFERROR(__xludf.DUMMYFUNCTION("""COMPUTED_VALUE"""),"Cx.L6IN")</f>
        <v>Cx.L6IN</v>
      </c>
      <c r="E766" s="42"/>
      <c r="F766" s="42"/>
      <c r="G766" s="42"/>
      <c r="H766" s="42" t="str">
        <f>IFERROR(__xludf.DUMMYFUNCTION("""COMPUTED_VALUE"""),"")</f>
        <v/>
      </c>
      <c r="I766" s="42" t="str">
        <f>IFERROR(__xludf.DUMMYFUNCTION("""COMPUTED_VALUE"""),"Wei, 2016")</f>
        <v>Wei, 2016</v>
      </c>
      <c r="J766" s="42"/>
      <c r="K766" s="42"/>
      <c r="L766" s="42"/>
      <c r="M766" s="42"/>
      <c r="N766" s="42"/>
      <c r="O766" s="31" t="str">
        <f>IFERROR(__xludf.DUMMYFUNCTION("""COMPUTED_VALUE"""),"DOC")</f>
        <v>DOC</v>
      </c>
      <c r="P766" s="9" t="str">
        <f>IFERROR(__xludf.DUMMYFUNCTION("""COMPUTED_VALUE"""),"The Journal of Neuroscience")</f>
        <v>The Journal of Neuroscience</v>
      </c>
      <c r="Q766" s="9"/>
      <c r="R766" s="179" t="str">
        <f>IFERROR(__xludf.DUMMYFUNCTION("""COMPUTED_VALUE"""),"Cx.L6IN (00/00) [Bonjean, 2012][Wei, 2016];
")</f>
        <v>Cx.L6IN (00/00) [Bonjean, 2012][Wei, 2016];
</v>
      </c>
      <c r="S766" s="179" t="str">
        <f>IFERROR(__xludf.DUMMYFUNCTION("""COMPUTED_VALUE"""),"TRN_coreCx.L6IN")</f>
        <v>TRN_coreCx.L6IN</v>
      </c>
      <c r="T766" s="179" t="str">
        <f>IFERROR(__xludf.DUMMYFUNCTION("""COMPUTED_VALUE"""),"[Wei, 2016]")</f>
        <v>[Wei, 2016]</v>
      </c>
      <c r="U766" s="179">
        <f>IFERROR(__xludf.DUMMYFUNCTION("""COMPUTED_VALUE"""),0.0)</f>
        <v>0</v>
      </c>
      <c r="V766" s="180">
        <f>IFERROR(__xludf.DUMMYFUNCTION("""COMPUTED_VALUE"""),0.0)</f>
        <v>0</v>
      </c>
      <c r="W766" s="180">
        <f>IFERROR(__xludf.DUMMYFUNCTION("""COMPUTED_VALUE"""),0.95)</f>
        <v>0.95</v>
      </c>
      <c r="X766" s="42">
        <f>IFERROR(__xludf.DUMMYFUNCTION("""COMPUTED_VALUE"""),0.0)</f>
        <v>0</v>
      </c>
      <c r="Y766" s="42">
        <f>IFERROR(__xludf.DUMMYFUNCTION("""COMPUTED_VALUE"""),0.0)</f>
        <v>0</v>
      </c>
      <c r="Z766" s="9">
        <f>IFERROR(__xludf.DUMMYFUNCTION("""COMPUTED_VALUE"""),0.0)</f>
        <v>0</v>
      </c>
      <c r="AA766" s="181">
        <f>IFERROR(__xludf.DUMMYFUNCTION("""COMPUTED_VALUE"""),0.0)</f>
        <v>0</v>
      </c>
      <c r="AB766" s="181">
        <f>IFERROR(__xludf.DUMMYFUNCTION("""COMPUTED_VALUE"""),0.0)</f>
        <v>0</v>
      </c>
      <c r="AC766" s="179">
        <f>IFERROR(__xludf.DUMMYFUNCTION("""COMPUTED_VALUE"""),0.0)</f>
        <v>0</v>
      </c>
      <c r="AD766" s="165">
        <f>IFERROR(__xludf.DUMMYFUNCTION("""COMPUTED_VALUE"""),0.0)</f>
        <v>0</v>
      </c>
      <c r="AE766" s="39" t="str">
        <f>IFERROR(__xludf.DUMMYFUNCTION("""COMPUTED_VALUE"""),"Hiroshi Yamakawa")</f>
        <v>Hiroshi Yamakawa</v>
      </c>
      <c r="AF766" s="39" t="str">
        <f>IFERROR(__xludf.DUMMYFUNCTION("""COMPUTED_VALUE"""),"HY18NeocorticalInterareaSignals")</f>
        <v>HY18NeocorticalInterareaSignals</v>
      </c>
      <c r="AG766" s="39"/>
      <c r="AH766" s="39"/>
      <c r="AI766" s="165"/>
      <c r="AJ766" s="165"/>
      <c r="AK766" s="111"/>
      <c r="AL766" s="111"/>
      <c r="AM766" s="111"/>
      <c r="AN766" s="111"/>
      <c r="AO766" s="111"/>
      <c r="AP766" s="111"/>
      <c r="AQ766" s="116"/>
      <c r="AR766" s="116"/>
      <c r="AS766" s="116"/>
    </row>
    <row r="767">
      <c r="A767" s="42" t="str">
        <f>IFERROR(__xludf.DUMMYFUNCTION("""COMPUTED_VALUE"""),"TRN_core")</f>
        <v>TRN_core</v>
      </c>
      <c r="B767" s="42"/>
      <c r="C767" s="42"/>
      <c r="D767" s="42" t="str">
        <f>IFERROR(__xludf.DUMMYFUNCTION("""COMPUTED_VALUE"""),"Cx.L2_3aIT")</f>
        <v>Cx.L2_3aIT</v>
      </c>
      <c r="E767" s="42"/>
      <c r="F767" s="42"/>
      <c r="G767" s="42"/>
      <c r="H767" s="42" t="str">
        <f>IFERROR(__xludf.DUMMYFUNCTION("""COMPUTED_VALUE"""),"")</f>
        <v/>
      </c>
      <c r="I767" s="42" t="str">
        <f>IFERROR(__xludf.DUMMYFUNCTION("""COMPUTED_VALUE"""),"Wei, 2016")</f>
        <v>Wei, 2016</v>
      </c>
      <c r="J767" s="42"/>
      <c r="K767" s="42"/>
      <c r="L767" s="42"/>
      <c r="M767" s="42"/>
      <c r="N767" s="42"/>
      <c r="O767" s="31" t="str">
        <f>IFERROR(__xludf.DUMMYFUNCTION("""COMPUTED_VALUE"""),"DOC")</f>
        <v>DOC</v>
      </c>
      <c r="P767" s="9" t="str">
        <f>IFERROR(__xludf.DUMMYFUNCTION("""COMPUTED_VALUE"""),"The Journal of Neuroscience")</f>
        <v>The Journal of Neuroscience</v>
      </c>
      <c r="Q767" s="9"/>
      <c r="R767" s="179" t="str">
        <f>IFERROR(__xludf.DUMMYFUNCTION("""COMPUTED_VALUE"""),"Cx.L2_3aIT (00/00) [Bonjean, 2012][Clascá, 2012][Harris, 2015][Kaneko, 2013][Lemieux, 2014][Wei, 2016];
")</f>
        <v>Cx.L2_3aIT (00/00) [Bonjean, 2012][Clascá, 2012][Harris, 2015][Kaneko, 2013][Lemieux, 2014][Wei, 2016];
</v>
      </c>
      <c r="S767" s="179" t="str">
        <f>IFERROR(__xludf.DUMMYFUNCTION("""COMPUTED_VALUE"""),"TRN_coreCx.L2_3aIT")</f>
        <v>TRN_coreCx.L2_3aIT</v>
      </c>
      <c r="T767" s="179" t="str">
        <f>IFERROR(__xludf.DUMMYFUNCTION("""COMPUTED_VALUE"""),"[Wei, 2016]")</f>
        <v>[Wei, 2016]</v>
      </c>
      <c r="U767" s="179">
        <f>IFERROR(__xludf.DUMMYFUNCTION("""COMPUTED_VALUE"""),0.0)</f>
        <v>0</v>
      </c>
      <c r="V767" s="180">
        <f>IFERROR(__xludf.DUMMYFUNCTION("""COMPUTED_VALUE"""),0.0)</f>
        <v>0</v>
      </c>
      <c r="W767" s="180">
        <f>IFERROR(__xludf.DUMMYFUNCTION("""COMPUTED_VALUE"""),0.95)</f>
        <v>0.95</v>
      </c>
      <c r="X767" s="42">
        <f>IFERROR(__xludf.DUMMYFUNCTION("""COMPUTED_VALUE"""),0.0)</f>
        <v>0</v>
      </c>
      <c r="Y767" s="42">
        <f>IFERROR(__xludf.DUMMYFUNCTION("""COMPUTED_VALUE"""),0.0)</f>
        <v>0</v>
      </c>
      <c r="Z767" s="9">
        <f>IFERROR(__xludf.DUMMYFUNCTION("""COMPUTED_VALUE"""),0.0)</f>
        <v>0</v>
      </c>
      <c r="AA767" s="181">
        <f>IFERROR(__xludf.DUMMYFUNCTION("""COMPUTED_VALUE"""),0.0)</f>
        <v>0</v>
      </c>
      <c r="AB767" s="181">
        <f>IFERROR(__xludf.DUMMYFUNCTION("""COMPUTED_VALUE"""),0.0)</f>
        <v>0</v>
      </c>
      <c r="AC767" s="179">
        <f>IFERROR(__xludf.DUMMYFUNCTION("""COMPUTED_VALUE"""),0.0)</f>
        <v>0</v>
      </c>
      <c r="AD767" s="165">
        <f>IFERROR(__xludf.DUMMYFUNCTION("""COMPUTED_VALUE"""),0.0)</f>
        <v>0</v>
      </c>
      <c r="AE767" s="39" t="str">
        <f>IFERROR(__xludf.DUMMYFUNCTION("""COMPUTED_VALUE"""),"Hiroshi Yamakawa")</f>
        <v>Hiroshi Yamakawa</v>
      </c>
      <c r="AF767" s="39" t="str">
        <f>IFERROR(__xludf.DUMMYFUNCTION("""COMPUTED_VALUE"""),"HY18NeocorticalInterareaSignals")</f>
        <v>HY18NeocorticalInterareaSignals</v>
      </c>
      <c r="AG767" s="39"/>
      <c r="AH767" s="39"/>
      <c r="AI767" s="165"/>
      <c r="AJ767" s="165"/>
      <c r="AK767" s="111"/>
      <c r="AL767" s="111"/>
      <c r="AM767" s="111"/>
      <c r="AN767" s="111"/>
      <c r="AO767" s="111"/>
      <c r="AP767" s="111"/>
      <c r="AQ767" s="116"/>
      <c r="AR767" s="116"/>
      <c r="AS767" s="116"/>
    </row>
    <row r="768">
      <c r="A768" s="42" t="str">
        <f>IFERROR(__xludf.DUMMYFUNCTION("""COMPUTED_VALUE"""),"TRN_core")</f>
        <v>TRN_core</v>
      </c>
      <c r="B768" s="42"/>
      <c r="C768" s="42"/>
      <c r="D768" s="42" t="str">
        <f>IFERROR(__xludf.DUMMYFUNCTION("""COMPUTED_VALUE"""),"Cx.L3bIT")</f>
        <v>Cx.L3bIT</v>
      </c>
      <c r="E768" s="42"/>
      <c r="F768" s="42"/>
      <c r="G768" s="42"/>
      <c r="H768" s="42" t="str">
        <f>IFERROR(__xludf.DUMMYFUNCTION("""COMPUTED_VALUE"""),"")</f>
        <v/>
      </c>
      <c r="I768" s="42" t="str">
        <f>IFERROR(__xludf.DUMMYFUNCTION("""COMPUTED_VALUE"""),"Wei, 2016")</f>
        <v>Wei, 2016</v>
      </c>
      <c r="J768" s="42"/>
      <c r="K768" s="42"/>
      <c r="L768" s="42"/>
      <c r="M768" s="42"/>
      <c r="N768" s="42"/>
      <c r="O768" s="31" t="str">
        <f>IFERROR(__xludf.DUMMYFUNCTION("""COMPUTED_VALUE"""),"DOC")</f>
        <v>DOC</v>
      </c>
      <c r="P768" s="9" t="str">
        <f>IFERROR(__xludf.DUMMYFUNCTION("""COMPUTED_VALUE"""),"The Journal of Neuroscience")</f>
        <v>The Journal of Neuroscience</v>
      </c>
      <c r="Q768" s="9"/>
      <c r="R768" s="179" t="str">
        <f>IFERROR(__xludf.DUMMYFUNCTION("""COMPUTED_VALUE"""),"Cx.L3bIT (00/00) [Bonjean, 2012][Clascá, 2012][Harris, 2015][Kaneko, 2013][Lemieux, 2014][Wei, 2016];
")</f>
        <v>Cx.L3bIT (00/00) [Bonjean, 2012][Clascá, 2012][Harris, 2015][Kaneko, 2013][Lemieux, 2014][Wei, 2016];
</v>
      </c>
      <c r="S768" s="179" t="str">
        <f>IFERROR(__xludf.DUMMYFUNCTION("""COMPUTED_VALUE"""),"TRN_coreCx.L3bIT")</f>
        <v>TRN_coreCx.L3bIT</v>
      </c>
      <c r="T768" s="179" t="str">
        <f>IFERROR(__xludf.DUMMYFUNCTION("""COMPUTED_VALUE"""),"[Wei, 2016]")</f>
        <v>[Wei, 2016]</v>
      </c>
      <c r="U768" s="179">
        <f>IFERROR(__xludf.DUMMYFUNCTION("""COMPUTED_VALUE"""),0.0)</f>
        <v>0</v>
      </c>
      <c r="V768" s="180">
        <f>IFERROR(__xludf.DUMMYFUNCTION("""COMPUTED_VALUE"""),0.0)</f>
        <v>0</v>
      </c>
      <c r="W768" s="180">
        <f>IFERROR(__xludf.DUMMYFUNCTION("""COMPUTED_VALUE"""),0.95)</f>
        <v>0.95</v>
      </c>
      <c r="X768" s="42">
        <f>IFERROR(__xludf.DUMMYFUNCTION("""COMPUTED_VALUE"""),0.0)</f>
        <v>0</v>
      </c>
      <c r="Y768" s="42">
        <f>IFERROR(__xludf.DUMMYFUNCTION("""COMPUTED_VALUE"""),0.0)</f>
        <v>0</v>
      </c>
      <c r="Z768" s="9">
        <f>IFERROR(__xludf.DUMMYFUNCTION("""COMPUTED_VALUE"""),0.0)</f>
        <v>0</v>
      </c>
      <c r="AA768" s="181">
        <f>IFERROR(__xludf.DUMMYFUNCTION("""COMPUTED_VALUE"""),0.0)</f>
        <v>0</v>
      </c>
      <c r="AB768" s="181">
        <f>IFERROR(__xludf.DUMMYFUNCTION("""COMPUTED_VALUE"""),0.0)</f>
        <v>0</v>
      </c>
      <c r="AC768" s="179">
        <f>IFERROR(__xludf.DUMMYFUNCTION("""COMPUTED_VALUE"""),0.0)</f>
        <v>0</v>
      </c>
      <c r="AD768" s="165">
        <f>IFERROR(__xludf.DUMMYFUNCTION("""COMPUTED_VALUE"""),0.0)</f>
        <v>0</v>
      </c>
      <c r="AE768" s="39" t="str">
        <f>IFERROR(__xludf.DUMMYFUNCTION("""COMPUTED_VALUE"""),"Hiroshi Yamakawa")</f>
        <v>Hiroshi Yamakawa</v>
      </c>
      <c r="AF768" s="39" t="str">
        <f>IFERROR(__xludf.DUMMYFUNCTION("""COMPUTED_VALUE"""),"HY18NeocorticalInterareaSignals")</f>
        <v>HY18NeocorticalInterareaSignals</v>
      </c>
      <c r="AG768" s="39"/>
      <c r="AH768" s="39"/>
      <c r="AI768" s="165"/>
      <c r="AJ768" s="165"/>
      <c r="AK768" s="111"/>
      <c r="AL768" s="111"/>
      <c r="AM768" s="111"/>
      <c r="AN768" s="111"/>
      <c r="AO768" s="111"/>
      <c r="AP768" s="111"/>
      <c r="AQ768" s="116"/>
      <c r="AR768" s="116"/>
      <c r="AS768" s="116"/>
    </row>
    <row r="769">
      <c r="A769" s="42" t="str">
        <f>IFERROR(__xludf.DUMMYFUNCTION("""COMPUTED_VALUE"""),"TRN_core")</f>
        <v>TRN_core</v>
      </c>
      <c r="B769" s="42"/>
      <c r="C769" s="42"/>
      <c r="D769" s="42" t="str">
        <f>IFERROR(__xludf.DUMMYFUNCTION("""COMPUTED_VALUE"""),"Cx.L4")</f>
        <v>Cx.L4</v>
      </c>
      <c r="E769" s="42"/>
      <c r="F769" s="42"/>
      <c r="G769" s="42"/>
      <c r="H769" s="42" t="str">
        <f>IFERROR(__xludf.DUMMYFUNCTION("""COMPUTED_VALUE"""),"")</f>
        <v/>
      </c>
      <c r="I769" s="42" t="str">
        <f>IFERROR(__xludf.DUMMYFUNCTION("""COMPUTED_VALUE"""),"Wei, 2016")</f>
        <v>Wei, 2016</v>
      </c>
      <c r="J769" s="42"/>
      <c r="K769" s="42"/>
      <c r="L769" s="42"/>
      <c r="M769" s="42"/>
      <c r="N769" s="42"/>
      <c r="O769" s="31" t="str">
        <f>IFERROR(__xludf.DUMMYFUNCTION("""COMPUTED_VALUE"""),"DOC")</f>
        <v>DOC</v>
      </c>
      <c r="P769" s="9" t="str">
        <f>IFERROR(__xludf.DUMMYFUNCTION("""COMPUTED_VALUE"""),"The Journal of Neuroscience")</f>
        <v>The Journal of Neuroscience</v>
      </c>
      <c r="Q769" s="9"/>
      <c r="R769" s="179" t="str">
        <f>IFERROR(__xludf.DUMMYFUNCTION("""COMPUTED_VALUE"""),"Cx.L4 (00/00) [Bonjean, 2012][Clascá, 2012][Harris, 2015][Kaneko, 2013][Lemieux, 2014][Rodriguez, 2004][Wei, 2016];
")</f>
        <v>Cx.L4 (00/00) [Bonjean, 2012][Clascá, 2012][Harris, 2015][Kaneko, 2013][Lemieux, 2014][Rodriguez, 2004][Wei, 2016];
</v>
      </c>
      <c r="S769" s="179" t="str">
        <f>IFERROR(__xludf.DUMMYFUNCTION("""COMPUTED_VALUE"""),"TRN_coreCx.L4")</f>
        <v>TRN_coreCx.L4</v>
      </c>
      <c r="T769" s="179" t="str">
        <f>IFERROR(__xludf.DUMMYFUNCTION("""COMPUTED_VALUE"""),"[Wei, 2016]")</f>
        <v>[Wei, 2016]</v>
      </c>
      <c r="U769" s="179">
        <f>IFERROR(__xludf.DUMMYFUNCTION("""COMPUTED_VALUE"""),0.0)</f>
        <v>0</v>
      </c>
      <c r="V769" s="180">
        <f>IFERROR(__xludf.DUMMYFUNCTION("""COMPUTED_VALUE"""),0.0)</f>
        <v>0</v>
      </c>
      <c r="W769" s="180">
        <f>IFERROR(__xludf.DUMMYFUNCTION("""COMPUTED_VALUE"""),0.95)</f>
        <v>0.95</v>
      </c>
      <c r="X769" s="42">
        <f>IFERROR(__xludf.DUMMYFUNCTION("""COMPUTED_VALUE"""),0.0)</f>
        <v>0</v>
      </c>
      <c r="Y769" s="42">
        <f>IFERROR(__xludf.DUMMYFUNCTION("""COMPUTED_VALUE"""),0.0)</f>
        <v>0</v>
      </c>
      <c r="Z769" s="9">
        <f>IFERROR(__xludf.DUMMYFUNCTION("""COMPUTED_VALUE"""),0.0)</f>
        <v>0</v>
      </c>
      <c r="AA769" s="181">
        <f>IFERROR(__xludf.DUMMYFUNCTION("""COMPUTED_VALUE"""),0.0)</f>
        <v>0</v>
      </c>
      <c r="AB769" s="181">
        <f>IFERROR(__xludf.DUMMYFUNCTION("""COMPUTED_VALUE"""),0.0)</f>
        <v>0</v>
      </c>
      <c r="AC769" s="179">
        <f>IFERROR(__xludf.DUMMYFUNCTION("""COMPUTED_VALUE"""),0.0)</f>
        <v>0</v>
      </c>
      <c r="AD769" s="165">
        <f>IFERROR(__xludf.DUMMYFUNCTION("""COMPUTED_VALUE"""),0.0)</f>
        <v>0</v>
      </c>
      <c r="AE769" s="39" t="str">
        <f>IFERROR(__xludf.DUMMYFUNCTION("""COMPUTED_VALUE"""),"Hiroshi Yamakawa")</f>
        <v>Hiroshi Yamakawa</v>
      </c>
      <c r="AF769" s="39" t="str">
        <f>IFERROR(__xludf.DUMMYFUNCTION("""COMPUTED_VALUE"""),"HY18NeocorticalInterareaSignals")</f>
        <v>HY18NeocorticalInterareaSignals</v>
      </c>
      <c r="AG769" s="39"/>
      <c r="AH769" s="39"/>
      <c r="AI769" s="165"/>
      <c r="AJ769" s="165"/>
      <c r="AK769" s="111"/>
      <c r="AL769" s="111"/>
      <c r="AM769" s="111"/>
      <c r="AN769" s="111"/>
      <c r="AO769" s="111"/>
      <c r="AP769" s="111"/>
      <c r="AQ769" s="116"/>
      <c r="AR769" s="116"/>
      <c r="AS769" s="116"/>
    </row>
    <row r="770">
      <c r="A770" s="42" t="str">
        <f>IFERROR(__xludf.DUMMYFUNCTION("""COMPUTED_VALUE"""),"TRN_IL")</f>
        <v>TRN_IL</v>
      </c>
      <c r="B770" s="42"/>
      <c r="C770" s="42"/>
      <c r="D770" s="42" t="str">
        <f>IFERROR(__xludf.DUMMYFUNCTION("""COMPUTED_VALUE"""),"Cx.L5")</f>
        <v>Cx.L5</v>
      </c>
      <c r="E770" s="42"/>
      <c r="F770" s="42"/>
      <c r="G770" s="42"/>
      <c r="H770" s="42" t="str">
        <f>IFERROR(__xludf.DUMMYFUNCTION("""COMPUTED_VALUE"""),"")</f>
        <v/>
      </c>
      <c r="I770" s="42" t="str">
        <f>IFERROR(__xludf.DUMMYFUNCTION("""COMPUTED_VALUE"""),"Clascá, 2012")</f>
        <v>Clascá, 2012</v>
      </c>
      <c r="J770" s="42"/>
      <c r="K770" s="42"/>
      <c r="L770" s="42"/>
      <c r="M770" s="42"/>
      <c r="N770" s="42"/>
      <c r="O770" s="31" t="str">
        <f>IFERROR(__xludf.DUMMYFUNCTION("""COMPUTED_VALUE"""),"DOC")</f>
        <v>DOC</v>
      </c>
      <c r="P770" s="9" t="str">
        <f>IFERROR(__xludf.DUMMYFUNCTION("""COMPUTED_VALUE"""),"European Journal of Neuroscience")</f>
        <v>European Journal of Neuroscience</v>
      </c>
      <c r="Q770" s="9"/>
      <c r="R770" s="179" t="str">
        <f>IFERROR(__xludf.DUMMYFUNCTION("""COMPUTED_VALUE"""),"Cx.L5 (00/00) [Clascá, 2012][Harris, 2015];
")</f>
        <v>Cx.L5 (00/00) [Clascá, 2012][Harris, 2015];
</v>
      </c>
      <c r="S770" s="179" t="str">
        <f>IFERROR(__xludf.DUMMYFUNCTION("""COMPUTED_VALUE"""),"TRN_ILCx.L5")</f>
        <v>TRN_ILCx.L5</v>
      </c>
      <c r="T770" s="179" t="str">
        <f>IFERROR(__xludf.DUMMYFUNCTION("""COMPUTED_VALUE"""),"[Clascá, 2012]")</f>
        <v>[Clascá, 2012]</v>
      </c>
      <c r="U770" s="179">
        <f>IFERROR(__xludf.DUMMYFUNCTION("""COMPUTED_VALUE"""),0.0)</f>
        <v>0</v>
      </c>
      <c r="V770" s="180">
        <f>IFERROR(__xludf.DUMMYFUNCTION("""COMPUTED_VALUE"""),0.0)</f>
        <v>0</v>
      </c>
      <c r="W770" s="180">
        <f>IFERROR(__xludf.DUMMYFUNCTION("""COMPUTED_VALUE"""),0.95)</f>
        <v>0.95</v>
      </c>
      <c r="X770" s="42">
        <f>IFERROR(__xludf.DUMMYFUNCTION("""COMPUTED_VALUE"""),0.0)</f>
        <v>0</v>
      </c>
      <c r="Y770" s="42">
        <f>IFERROR(__xludf.DUMMYFUNCTION("""COMPUTED_VALUE"""),0.0)</f>
        <v>0</v>
      </c>
      <c r="Z770" s="9">
        <f>IFERROR(__xludf.DUMMYFUNCTION("""COMPUTED_VALUE"""),0.0)</f>
        <v>0</v>
      </c>
      <c r="AA770" s="181">
        <f>IFERROR(__xludf.DUMMYFUNCTION("""COMPUTED_VALUE"""),0.0)</f>
        <v>0</v>
      </c>
      <c r="AB770" s="181">
        <f>IFERROR(__xludf.DUMMYFUNCTION("""COMPUTED_VALUE"""),0.0)</f>
        <v>0</v>
      </c>
      <c r="AC770" s="179">
        <f>IFERROR(__xludf.DUMMYFUNCTION("""COMPUTED_VALUE"""),0.0)</f>
        <v>0</v>
      </c>
      <c r="AD770" s="165">
        <f>IFERROR(__xludf.DUMMYFUNCTION("""COMPUTED_VALUE"""),0.0)</f>
        <v>0</v>
      </c>
      <c r="AE770" s="39" t="str">
        <f>IFERROR(__xludf.DUMMYFUNCTION("""COMPUTED_VALUE"""),"Hiroshi Yamakawa")</f>
        <v>Hiroshi Yamakawa</v>
      </c>
      <c r="AF770" s="39" t="str">
        <f>IFERROR(__xludf.DUMMYFUNCTION("""COMPUTED_VALUE"""),"HY18NeocorticalInterareaSignals")</f>
        <v>HY18NeocorticalInterareaSignals</v>
      </c>
      <c r="AG770" s="39"/>
      <c r="AH770" s="39"/>
      <c r="AI770" s="165"/>
      <c r="AJ770" s="165"/>
      <c r="AK770" s="111"/>
      <c r="AL770" s="111"/>
      <c r="AM770" s="111"/>
      <c r="AN770" s="111"/>
      <c r="AO770" s="111"/>
      <c r="AP770" s="111"/>
      <c r="AQ770" s="116"/>
      <c r="AR770" s="116"/>
      <c r="AS770" s="116"/>
    </row>
    <row r="771">
      <c r="A771" s="42" t="str">
        <f>IFERROR(__xludf.DUMMYFUNCTION("""COMPUTED_VALUE"""),"TRN_IL")</f>
        <v>TRN_IL</v>
      </c>
      <c r="B771" s="42"/>
      <c r="C771" s="42"/>
      <c r="D771" s="42" t="str">
        <f>IFERROR(__xludf.DUMMYFUNCTION("""COMPUTED_VALUE"""),"Cx.L6")</f>
        <v>Cx.L6</v>
      </c>
      <c r="E771" s="42"/>
      <c r="F771" s="42"/>
      <c r="G771" s="42"/>
      <c r="H771" s="42" t="str">
        <f>IFERROR(__xludf.DUMMYFUNCTION("""COMPUTED_VALUE"""),"")</f>
        <v/>
      </c>
      <c r="I771" s="42" t="str">
        <f>IFERROR(__xludf.DUMMYFUNCTION("""COMPUTED_VALUE"""),"Clascá, 2012")</f>
        <v>Clascá, 2012</v>
      </c>
      <c r="J771" s="42"/>
      <c r="K771" s="42"/>
      <c r="L771" s="42"/>
      <c r="M771" s="42"/>
      <c r="N771" s="42"/>
      <c r="O771" s="31" t="str">
        <f>IFERROR(__xludf.DUMMYFUNCTION("""COMPUTED_VALUE"""),"DOC")</f>
        <v>DOC</v>
      </c>
      <c r="P771" s="9" t="str">
        <f>IFERROR(__xludf.DUMMYFUNCTION("""COMPUTED_VALUE"""),"European Journal of Neuroscience")</f>
        <v>European Journal of Neuroscience</v>
      </c>
      <c r="Q771" s="9"/>
      <c r="R771" s="179" t="str">
        <f>IFERROR(__xludf.DUMMYFUNCTION("""COMPUTED_VALUE"""),"Cx.L6 (00/00) [Clascá, 2012][Harris, 2015];
")</f>
        <v>Cx.L6 (00/00) [Clascá, 2012][Harris, 2015];
</v>
      </c>
      <c r="S771" s="179" t="str">
        <f>IFERROR(__xludf.DUMMYFUNCTION("""COMPUTED_VALUE"""),"TRN_ILCx.L6")</f>
        <v>TRN_ILCx.L6</v>
      </c>
      <c r="T771" s="179" t="str">
        <f>IFERROR(__xludf.DUMMYFUNCTION("""COMPUTED_VALUE"""),"[Clascá, 2012]")</f>
        <v>[Clascá, 2012]</v>
      </c>
      <c r="U771" s="179">
        <f>IFERROR(__xludf.DUMMYFUNCTION("""COMPUTED_VALUE"""),0.0)</f>
        <v>0</v>
      </c>
      <c r="V771" s="180">
        <f>IFERROR(__xludf.DUMMYFUNCTION("""COMPUTED_VALUE"""),0.0)</f>
        <v>0</v>
      </c>
      <c r="W771" s="180">
        <f>IFERROR(__xludf.DUMMYFUNCTION("""COMPUTED_VALUE"""),0.95)</f>
        <v>0.95</v>
      </c>
      <c r="X771" s="42">
        <f>IFERROR(__xludf.DUMMYFUNCTION("""COMPUTED_VALUE"""),0.0)</f>
        <v>0</v>
      </c>
      <c r="Y771" s="42">
        <f>IFERROR(__xludf.DUMMYFUNCTION("""COMPUTED_VALUE"""),0.0)</f>
        <v>0</v>
      </c>
      <c r="Z771" s="9">
        <f>IFERROR(__xludf.DUMMYFUNCTION("""COMPUTED_VALUE"""),0.0)</f>
        <v>0</v>
      </c>
      <c r="AA771" s="181">
        <f>IFERROR(__xludf.DUMMYFUNCTION("""COMPUTED_VALUE"""),0.0)</f>
        <v>0</v>
      </c>
      <c r="AB771" s="181">
        <f>IFERROR(__xludf.DUMMYFUNCTION("""COMPUTED_VALUE"""),0.0)</f>
        <v>0</v>
      </c>
      <c r="AC771" s="179">
        <f>IFERROR(__xludf.DUMMYFUNCTION("""COMPUTED_VALUE"""),0.0)</f>
        <v>0</v>
      </c>
      <c r="AD771" s="165">
        <f>IFERROR(__xludf.DUMMYFUNCTION("""COMPUTED_VALUE"""),0.0)</f>
        <v>0</v>
      </c>
      <c r="AE771" s="39" t="str">
        <f>IFERROR(__xludf.DUMMYFUNCTION("""COMPUTED_VALUE"""),"Hiroshi Yamakawa")</f>
        <v>Hiroshi Yamakawa</v>
      </c>
      <c r="AF771" s="39" t="str">
        <f>IFERROR(__xludf.DUMMYFUNCTION("""COMPUTED_VALUE"""),"HY18NeocorticalInterareaSignals")</f>
        <v>HY18NeocorticalInterareaSignals</v>
      </c>
      <c r="AG771" s="39"/>
      <c r="AH771" s="39"/>
      <c r="AI771" s="165"/>
      <c r="AJ771" s="165"/>
      <c r="AK771" s="111"/>
      <c r="AL771" s="111"/>
      <c r="AM771" s="111"/>
      <c r="AN771" s="111"/>
      <c r="AO771" s="111"/>
      <c r="AP771" s="111"/>
      <c r="AQ771" s="116"/>
      <c r="AR771" s="116"/>
      <c r="AS771" s="116"/>
    </row>
    <row r="772">
      <c r="A772" s="42" t="str">
        <f>IFERROR(__xludf.DUMMYFUNCTION("""COMPUTED_VALUE"""),"TRN_IL")</f>
        <v>TRN_IL</v>
      </c>
      <c r="B772" s="42"/>
      <c r="C772" s="42"/>
      <c r="D772" s="42" t="str">
        <f>IFERROR(__xludf.DUMMYFUNCTION("""COMPUTED_VALUE"""),"Cx.L5")</f>
        <v>Cx.L5</v>
      </c>
      <c r="E772" s="42"/>
      <c r="F772" s="42"/>
      <c r="G772" s="42"/>
      <c r="H772" s="42" t="str">
        <f>IFERROR(__xludf.DUMMYFUNCTION("""COMPUTED_VALUE"""),"")</f>
        <v/>
      </c>
      <c r="I772" s="42" t="str">
        <f>IFERROR(__xludf.DUMMYFUNCTION("""COMPUTED_VALUE"""),"Harris, 2015")</f>
        <v>Harris, 2015</v>
      </c>
      <c r="J772" s="42"/>
      <c r="K772" s="42"/>
      <c r="L772" s="42"/>
      <c r="M772" s="42"/>
      <c r="N772" s="42"/>
      <c r="O772" s="31" t="str">
        <f>IFERROR(__xludf.DUMMYFUNCTION("""COMPUTED_VALUE"""),"DOC")</f>
        <v>DOC</v>
      </c>
      <c r="P772" s="9" t="str">
        <f>IFERROR(__xludf.DUMMYFUNCTION("""COMPUTED_VALUE"""),"Nature Neuroscience")</f>
        <v>Nature Neuroscience</v>
      </c>
      <c r="Q772" s="9"/>
      <c r="R772" s="179" t="str">
        <f>IFERROR(__xludf.DUMMYFUNCTION("""COMPUTED_VALUE"""),"Cx.L5 (00/00) [Clascá, 2012][Harris, 2015];
")</f>
        <v>Cx.L5 (00/00) [Clascá, 2012][Harris, 2015];
</v>
      </c>
      <c r="S772" s="179" t="str">
        <f>IFERROR(__xludf.DUMMYFUNCTION("""COMPUTED_VALUE"""),"TRN_ILCx.L5")</f>
        <v>TRN_ILCx.L5</v>
      </c>
      <c r="T772" s="179" t="str">
        <f>IFERROR(__xludf.DUMMYFUNCTION("""COMPUTED_VALUE"""),"[Harris, 2015]")</f>
        <v>[Harris, 2015]</v>
      </c>
      <c r="U772" s="179">
        <f>IFERROR(__xludf.DUMMYFUNCTION("""COMPUTED_VALUE"""),0.0)</f>
        <v>0</v>
      </c>
      <c r="V772" s="180">
        <f>IFERROR(__xludf.DUMMYFUNCTION("""COMPUTED_VALUE"""),0.0)</f>
        <v>0</v>
      </c>
      <c r="W772" s="180">
        <f>IFERROR(__xludf.DUMMYFUNCTION("""COMPUTED_VALUE"""),0.95)</f>
        <v>0.95</v>
      </c>
      <c r="X772" s="42">
        <f>IFERROR(__xludf.DUMMYFUNCTION("""COMPUTED_VALUE"""),0.0)</f>
        <v>0</v>
      </c>
      <c r="Y772" s="42">
        <f>IFERROR(__xludf.DUMMYFUNCTION("""COMPUTED_VALUE"""),0.0)</f>
        <v>0</v>
      </c>
      <c r="Z772" s="9">
        <f>IFERROR(__xludf.DUMMYFUNCTION("""COMPUTED_VALUE"""),0.0)</f>
        <v>0</v>
      </c>
      <c r="AA772" s="181">
        <f>IFERROR(__xludf.DUMMYFUNCTION("""COMPUTED_VALUE"""),0.0)</f>
        <v>0</v>
      </c>
      <c r="AB772" s="181">
        <f>IFERROR(__xludf.DUMMYFUNCTION("""COMPUTED_VALUE"""),0.0)</f>
        <v>0</v>
      </c>
      <c r="AC772" s="179">
        <f>IFERROR(__xludf.DUMMYFUNCTION("""COMPUTED_VALUE"""),0.0)</f>
        <v>0</v>
      </c>
      <c r="AD772" s="165">
        <f>IFERROR(__xludf.DUMMYFUNCTION("""COMPUTED_VALUE"""),0.0)</f>
        <v>0</v>
      </c>
      <c r="AE772" s="39" t="str">
        <f>IFERROR(__xludf.DUMMYFUNCTION("""COMPUTED_VALUE"""),"Hiroshi Yamakawa")</f>
        <v>Hiroshi Yamakawa</v>
      </c>
      <c r="AF772" s="39" t="str">
        <f>IFERROR(__xludf.DUMMYFUNCTION("""COMPUTED_VALUE"""),"HY18NeocorticalInterareaSignals")</f>
        <v>HY18NeocorticalInterareaSignals</v>
      </c>
      <c r="AG772" s="39"/>
      <c r="AH772" s="39"/>
      <c r="AI772" s="165"/>
      <c r="AJ772" s="165"/>
      <c r="AK772" s="111"/>
      <c r="AL772" s="111"/>
      <c r="AM772" s="111"/>
      <c r="AN772" s="111"/>
      <c r="AO772" s="111"/>
      <c r="AP772" s="111"/>
      <c r="AQ772" s="116"/>
      <c r="AR772" s="116"/>
      <c r="AS772" s="116"/>
    </row>
    <row r="773">
      <c r="A773" s="42" t="str">
        <f>IFERROR(__xludf.DUMMYFUNCTION("""COMPUTED_VALUE"""),"TRN_IL")</f>
        <v>TRN_IL</v>
      </c>
      <c r="B773" s="42"/>
      <c r="C773" s="42"/>
      <c r="D773" s="42" t="str">
        <f>IFERROR(__xludf.DUMMYFUNCTION("""COMPUTED_VALUE"""),"Cx.L6")</f>
        <v>Cx.L6</v>
      </c>
      <c r="E773" s="42"/>
      <c r="F773" s="42"/>
      <c r="G773" s="42"/>
      <c r="H773" s="42" t="str">
        <f>IFERROR(__xludf.DUMMYFUNCTION("""COMPUTED_VALUE"""),"")</f>
        <v/>
      </c>
      <c r="I773" s="42" t="str">
        <f>IFERROR(__xludf.DUMMYFUNCTION("""COMPUTED_VALUE"""),"Harris, 2015")</f>
        <v>Harris, 2015</v>
      </c>
      <c r="J773" s="42"/>
      <c r="K773" s="42"/>
      <c r="L773" s="42"/>
      <c r="M773" s="42"/>
      <c r="N773" s="42"/>
      <c r="O773" s="131" t="str">
        <f>IFERROR(__xludf.DUMMYFUNCTION("""COMPUTED_VALUE"""),"DOC")</f>
        <v>DOC</v>
      </c>
      <c r="P773" s="9" t="str">
        <f>IFERROR(__xludf.DUMMYFUNCTION("""COMPUTED_VALUE"""),"Nature Neuroscience")</f>
        <v>Nature Neuroscience</v>
      </c>
      <c r="Q773" s="9"/>
      <c r="R773" s="179" t="str">
        <f>IFERROR(__xludf.DUMMYFUNCTION("""COMPUTED_VALUE"""),"Cx.L6 (00/00) [Clascá, 2012][Harris, 2015];
")</f>
        <v>Cx.L6 (00/00) [Clascá, 2012][Harris, 2015];
</v>
      </c>
      <c r="S773" s="179" t="str">
        <f>IFERROR(__xludf.DUMMYFUNCTION("""COMPUTED_VALUE"""),"TRN_ILCx.L6")</f>
        <v>TRN_ILCx.L6</v>
      </c>
      <c r="T773" s="179" t="str">
        <f>IFERROR(__xludf.DUMMYFUNCTION("""COMPUTED_VALUE"""),"[Harris, 2015]")</f>
        <v>[Harris, 2015]</v>
      </c>
      <c r="U773" s="179">
        <f>IFERROR(__xludf.DUMMYFUNCTION("""COMPUTED_VALUE"""),0.0)</f>
        <v>0</v>
      </c>
      <c r="V773" s="180">
        <f>IFERROR(__xludf.DUMMYFUNCTION("""COMPUTED_VALUE"""),0.0)</f>
        <v>0</v>
      </c>
      <c r="W773" s="180">
        <f>IFERROR(__xludf.DUMMYFUNCTION("""COMPUTED_VALUE"""),0.95)</f>
        <v>0.95</v>
      </c>
      <c r="X773" s="42">
        <f>IFERROR(__xludf.DUMMYFUNCTION("""COMPUTED_VALUE"""),0.0)</f>
        <v>0</v>
      </c>
      <c r="Y773" s="42">
        <f>IFERROR(__xludf.DUMMYFUNCTION("""COMPUTED_VALUE"""),0.0)</f>
        <v>0</v>
      </c>
      <c r="Z773" s="9">
        <f>IFERROR(__xludf.DUMMYFUNCTION("""COMPUTED_VALUE"""),0.0)</f>
        <v>0</v>
      </c>
      <c r="AA773" s="181">
        <f>IFERROR(__xludf.DUMMYFUNCTION("""COMPUTED_VALUE"""),0.0)</f>
        <v>0</v>
      </c>
      <c r="AB773" s="181">
        <f>IFERROR(__xludf.DUMMYFUNCTION("""COMPUTED_VALUE"""),0.0)</f>
        <v>0</v>
      </c>
      <c r="AC773" s="179">
        <f>IFERROR(__xludf.DUMMYFUNCTION("""COMPUTED_VALUE"""),0.0)</f>
        <v>0</v>
      </c>
      <c r="AD773" s="165">
        <f>IFERROR(__xludf.DUMMYFUNCTION("""COMPUTED_VALUE"""),0.0)</f>
        <v>0</v>
      </c>
      <c r="AE773" s="39" t="str">
        <f>IFERROR(__xludf.DUMMYFUNCTION("""COMPUTED_VALUE"""),"Hiroshi Yamakawa")</f>
        <v>Hiroshi Yamakawa</v>
      </c>
      <c r="AF773" s="39" t="str">
        <f>IFERROR(__xludf.DUMMYFUNCTION("""COMPUTED_VALUE"""),"HY18NeocorticalInterareaSignals")</f>
        <v>HY18NeocorticalInterareaSignals</v>
      </c>
      <c r="AG773" s="39"/>
      <c r="AH773" s="39"/>
      <c r="AI773" s="165"/>
      <c r="AJ773" s="165"/>
      <c r="AK773" s="111"/>
      <c r="AL773" s="111"/>
      <c r="AM773" s="111"/>
      <c r="AN773" s="111"/>
      <c r="AO773" s="111"/>
      <c r="AP773" s="111"/>
      <c r="AQ773" s="116"/>
      <c r="AR773" s="116"/>
      <c r="AS773" s="116"/>
    </row>
    <row r="774">
      <c r="A774" s="42" t="str">
        <f>IFERROR(__xludf.DUMMYFUNCTION("""COMPUTED_VALUE"""),"TRN_matrix")</f>
        <v>TRN_matrix</v>
      </c>
      <c r="B774" s="42"/>
      <c r="C774" s="42"/>
      <c r="D774" s="42" t="str">
        <f>IFERROR(__xludf.DUMMYFUNCTION("""COMPUTED_VALUE"""),"R")</f>
        <v>R</v>
      </c>
      <c r="E774" s="42"/>
      <c r="F774" s="42"/>
      <c r="G774" s="42"/>
      <c r="H774" s="42" t="str">
        <f>IFERROR(__xludf.DUMMYFUNCTION("""COMPUTED_VALUE"""),"")</f>
        <v/>
      </c>
      <c r="I774" s="42" t="str">
        <f>IFERROR(__xludf.DUMMYFUNCTION("""COMPUTED_VALUE"""),"Benarroch, 2008")</f>
        <v>Benarroch, 2008</v>
      </c>
      <c r="J774" s="42"/>
      <c r="K774" s="42"/>
      <c r="L774" s="42"/>
      <c r="M774" s="42"/>
      <c r="N774" s="42"/>
      <c r="O774" s="31" t="str">
        <f>IFERROR(__xludf.DUMMYFUNCTION("""COMPUTED_VALUE"""),"DOC")</f>
        <v>DOC</v>
      </c>
      <c r="P774" s="9" t="str">
        <f>IFERROR(__xludf.DUMMYFUNCTION("""COMPUTED_VALUE"""),"Neurology")</f>
        <v>Neurology</v>
      </c>
      <c r="Q774" s="9"/>
      <c r="R774" s="179" t="str">
        <f>IFERROR(__xludf.DUMMYFUNCTION("""COMPUTED_VALUE"""),"R (00/00) [Benarroch, 2008][Bonjean, 2012][Clascá, 2012][Kaneko, 2013][Lemieux, 2014];
")</f>
        <v>R (00/00) [Benarroch, 2008][Bonjean, 2012][Clascá, 2012][Kaneko, 2013][Lemieux, 2014];
</v>
      </c>
      <c r="S774" s="179" t="str">
        <f>IFERROR(__xludf.DUMMYFUNCTION("""COMPUTED_VALUE"""),"TRN_matrixR")</f>
        <v>TRN_matrixR</v>
      </c>
      <c r="T774" s="179" t="str">
        <f>IFERROR(__xludf.DUMMYFUNCTION("""COMPUTED_VALUE"""),"[Benarroch, 2008]")</f>
        <v>[Benarroch, 2008]</v>
      </c>
      <c r="U774" s="179">
        <f>IFERROR(__xludf.DUMMYFUNCTION("""COMPUTED_VALUE"""),0.0)</f>
        <v>0</v>
      </c>
      <c r="V774" s="180">
        <f>IFERROR(__xludf.DUMMYFUNCTION("""COMPUTED_VALUE"""),0.0)</f>
        <v>0</v>
      </c>
      <c r="W774" s="180">
        <f>IFERROR(__xludf.DUMMYFUNCTION("""COMPUTED_VALUE"""),0.95)</f>
        <v>0.95</v>
      </c>
      <c r="X774" s="42">
        <f>IFERROR(__xludf.DUMMYFUNCTION("""COMPUTED_VALUE"""),0.0)</f>
        <v>0</v>
      </c>
      <c r="Y774" s="42">
        <f>IFERROR(__xludf.DUMMYFUNCTION("""COMPUTED_VALUE"""),0.0)</f>
        <v>0</v>
      </c>
      <c r="Z774" s="9">
        <f>IFERROR(__xludf.DUMMYFUNCTION("""COMPUTED_VALUE"""),0.0)</f>
        <v>0</v>
      </c>
      <c r="AA774" s="181">
        <f>IFERROR(__xludf.DUMMYFUNCTION("""COMPUTED_VALUE"""),0.0)</f>
        <v>0</v>
      </c>
      <c r="AB774" s="181">
        <f>IFERROR(__xludf.DUMMYFUNCTION("""COMPUTED_VALUE"""),0.0)</f>
        <v>0</v>
      </c>
      <c r="AC774" s="179">
        <f>IFERROR(__xludf.DUMMYFUNCTION("""COMPUTED_VALUE"""),0.0)</f>
        <v>0</v>
      </c>
      <c r="AD774" s="165">
        <f>IFERROR(__xludf.DUMMYFUNCTION("""COMPUTED_VALUE"""),0.0)</f>
        <v>0</v>
      </c>
      <c r="AE774" s="39" t="str">
        <f>IFERROR(__xludf.DUMMYFUNCTION("""COMPUTED_VALUE"""),"Hiroshi Yamakawa")</f>
        <v>Hiroshi Yamakawa</v>
      </c>
      <c r="AF774" s="39" t="str">
        <f>IFERROR(__xludf.DUMMYFUNCTION("""COMPUTED_VALUE"""),"HY18NeocorticalInterareaSignals")</f>
        <v>HY18NeocorticalInterareaSignals</v>
      </c>
      <c r="AG774" s="39"/>
      <c r="AH774" s="39"/>
      <c r="AI774" s="165"/>
      <c r="AJ774" s="165"/>
      <c r="AK774" s="111"/>
      <c r="AL774" s="111"/>
      <c r="AM774" s="111"/>
      <c r="AN774" s="111"/>
      <c r="AO774" s="111"/>
      <c r="AP774" s="111"/>
      <c r="AQ774" s="116"/>
      <c r="AR774" s="116"/>
      <c r="AS774" s="116"/>
    </row>
    <row r="775">
      <c r="A775" s="42" t="str">
        <f>IFERROR(__xludf.DUMMYFUNCTION("""COMPUTED_VALUE"""),"TRN_matrix")</f>
        <v>TRN_matrix</v>
      </c>
      <c r="B775" s="42"/>
      <c r="C775" s="42"/>
      <c r="D775" s="42" t="str">
        <f>IFERROR(__xludf.DUMMYFUNCTION("""COMPUTED_VALUE"""),"Cx.L1")</f>
        <v>Cx.L1</v>
      </c>
      <c r="E775" s="42"/>
      <c r="F775" s="42"/>
      <c r="G775" s="42"/>
      <c r="H775" s="42" t="str">
        <f>IFERROR(__xludf.DUMMYFUNCTION("""COMPUTED_VALUE"""),"")</f>
        <v/>
      </c>
      <c r="I775" s="42" t="str">
        <f>IFERROR(__xludf.DUMMYFUNCTION("""COMPUTED_VALUE"""),"Bonjean, 2012")</f>
        <v>Bonjean, 2012</v>
      </c>
      <c r="J775" s="42"/>
      <c r="K775" s="42"/>
      <c r="L775" s="42"/>
      <c r="M775" s="42"/>
      <c r="N775" s="42"/>
      <c r="O775" s="31" t="str">
        <f>IFERROR(__xludf.DUMMYFUNCTION("""COMPUTED_VALUE"""),"DOC")</f>
        <v>DOC</v>
      </c>
      <c r="P775" s="9" t="str">
        <f>IFERROR(__xludf.DUMMYFUNCTION("""COMPUTED_VALUE"""),"Journal of Neuroscience")</f>
        <v>Journal of Neuroscience</v>
      </c>
      <c r="Q775" s="9"/>
      <c r="R775" s="179" t="str">
        <f>IFERROR(__xludf.DUMMYFUNCTION("""COMPUTED_VALUE"""),"Cx.L1 (00/00) [Bonjean, 2012][Harris, 2015][Jones, 1998][Kaneko, 2013][Rodriguez, 2004][Wei, 2016];
")</f>
        <v>Cx.L1 (00/00) [Bonjean, 2012][Harris, 2015][Jones, 1998][Kaneko, 2013][Rodriguez, 2004][Wei, 2016];
</v>
      </c>
      <c r="S775" s="179" t="str">
        <f>IFERROR(__xludf.DUMMYFUNCTION("""COMPUTED_VALUE"""),"TRN_matrixCx.L1")</f>
        <v>TRN_matrixCx.L1</v>
      </c>
      <c r="T775" s="179" t="str">
        <f>IFERROR(__xludf.DUMMYFUNCTION("""COMPUTED_VALUE"""),"[Bonjean, 2012]")</f>
        <v>[Bonjean, 2012]</v>
      </c>
      <c r="U775" s="179">
        <f>IFERROR(__xludf.DUMMYFUNCTION("""COMPUTED_VALUE"""),0.0)</f>
        <v>0</v>
      </c>
      <c r="V775" s="180">
        <f>IFERROR(__xludf.DUMMYFUNCTION("""COMPUTED_VALUE"""),0.0)</f>
        <v>0</v>
      </c>
      <c r="W775" s="180">
        <f>IFERROR(__xludf.DUMMYFUNCTION("""COMPUTED_VALUE"""),0.95)</f>
        <v>0.95</v>
      </c>
      <c r="X775" s="42">
        <f>IFERROR(__xludf.DUMMYFUNCTION("""COMPUTED_VALUE"""),0.0)</f>
        <v>0</v>
      </c>
      <c r="Y775" s="42">
        <f>IFERROR(__xludf.DUMMYFUNCTION("""COMPUTED_VALUE"""),0.0)</f>
        <v>0</v>
      </c>
      <c r="Z775" s="9">
        <f>IFERROR(__xludf.DUMMYFUNCTION("""COMPUTED_VALUE"""),0.0)</f>
        <v>0</v>
      </c>
      <c r="AA775" s="181">
        <f>IFERROR(__xludf.DUMMYFUNCTION("""COMPUTED_VALUE"""),0.0)</f>
        <v>0</v>
      </c>
      <c r="AB775" s="181">
        <f>IFERROR(__xludf.DUMMYFUNCTION("""COMPUTED_VALUE"""),0.0)</f>
        <v>0</v>
      </c>
      <c r="AC775" s="179">
        <f>IFERROR(__xludf.DUMMYFUNCTION("""COMPUTED_VALUE"""),0.0)</f>
        <v>0</v>
      </c>
      <c r="AD775" s="165">
        <f>IFERROR(__xludf.DUMMYFUNCTION("""COMPUTED_VALUE"""),0.0)</f>
        <v>0</v>
      </c>
      <c r="AE775" s="39" t="str">
        <f>IFERROR(__xludf.DUMMYFUNCTION("""COMPUTED_VALUE"""),"Hiroshi Yamakawa")</f>
        <v>Hiroshi Yamakawa</v>
      </c>
      <c r="AF775" s="39" t="str">
        <f>IFERROR(__xludf.DUMMYFUNCTION("""COMPUTED_VALUE"""),"HY18NeocorticalInterareaSignals")</f>
        <v>HY18NeocorticalInterareaSignals</v>
      </c>
      <c r="AG775" s="39"/>
      <c r="AH775" s="39"/>
      <c r="AI775" s="165"/>
      <c r="AJ775" s="165"/>
      <c r="AK775" s="111"/>
      <c r="AL775" s="111"/>
      <c r="AM775" s="111"/>
      <c r="AN775" s="111"/>
      <c r="AO775" s="111"/>
      <c r="AP775" s="111"/>
      <c r="AQ775" s="116"/>
      <c r="AR775" s="116"/>
      <c r="AS775" s="116"/>
    </row>
    <row r="776">
      <c r="A776" s="42" t="str">
        <f>IFERROR(__xludf.DUMMYFUNCTION("""COMPUTED_VALUE"""),"TRN_matrix")</f>
        <v>TRN_matrix</v>
      </c>
      <c r="B776" s="42"/>
      <c r="C776" s="42"/>
      <c r="D776" s="42" t="str">
        <f>IFERROR(__xludf.DUMMYFUNCTION("""COMPUTED_VALUE"""),"Cx.L5IN")</f>
        <v>Cx.L5IN</v>
      </c>
      <c r="E776" s="42"/>
      <c r="F776" s="42"/>
      <c r="G776" s="42"/>
      <c r="H776" s="42" t="str">
        <f>IFERROR(__xludf.DUMMYFUNCTION("""COMPUTED_VALUE"""),"")</f>
        <v/>
      </c>
      <c r="I776" s="42" t="str">
        <f>IFERROR(__xludf.DUMMYFUNCTION("""COMPUTED_VALUE"""),"Bonjean, 2012")</f>
        <v>Bonjean, 2012</v>
      </c>
      <c r="J776" s="42"/>
      <c r="K776" s="42"/>
      <c r="L776" s="42"/>
      <c r="M776" s="42"/>
      <c r="N776" s="42"/>
      <c r="O776" s="31" t="str">
        <f>IFERROR(__xludf.DUMMYFUNCTION("""COMPUTED_VALUE"""),"DOC")</f>
        <v>DOC</v>
      </c>
      <c r="P776" s="9" t="str">
        <f>IFERROR(__xludf.DUMMYFUNCTION("""COMPUTED_VALUE"""),"Journal of Neuroscience")</f>
        <v>Journal of Neuroscience</v>
      </c>
      <c r="Q776" s="9"/>
      <c r="R776" s="179" t="str">
        <f>IFERROR(__xludf.DUMMYFUNCTION("""COMPUTED_VALUE"""),"Cx.L5IN (00/00) [Bonjean, 2012][Clascá, 2012][Harris, 2015][Lemieux, 2014][Wei, 2016];
")</f>
        <v>Cx.L5IN (00/00) [Bonjean, 2012][Clascá, 2012][Harris, 2015][Lemieux, 2014][Wei, 2016];
</v>
      </c>
      <c r="S776" s="179" t="str">
        <f>IFERROR(__xludf.DUMMYFUNCTION("""COMPUTED_VALUE"""),"TRN_matrixCx.L5IN")</f>
        <v>TRN_matrixCx.L5IN</v>
      </c>
      <c r="T776" s="179" t="str">
        <f>IFERROR(__xludf.DUMMYFUNCTION("""COMPUTED_VALUE"""),"[Bonjean, 2012]")</f>
        <v>[Bonjean, 2012]</v>
      </c>
      <c r="U776" s="179">
        <f>IFERROR(__xludf.DUMMYFUNCTION("""COMPUTED_VALUE"""),0.0)</f>
        <v>0</v>
      </c>
      <c r="V776" s="180">
        <f>IFERROR(__xludf.DUMMYFUNCTION("""COMPUTED_VALUE"""),0.0)</f>
        <v>0</v>
      </c>
      <c r="W776" s="180">
        <f>IFERROR(__xludf.DUMMYFUNCTION("""COMPUTED_VALUE"""),0.95)</f>
        <v>0.95</v>
      </c>
      <c r="X776" s="42">
        <f>IFERROR(__xludf.DUMMYFUNCTION("""COMPUTED_VALUE"""),0.0)</f>
        <v>0</v>
      </c>
      <c r="Y776" s="42">
        <f>IFERROR(__xludf.DUMMYFUNCTION("""COMPUTED_VALUE"""),0.0)</f>
        <v>0</v>
      </c>
      <c r="Z776" s="9">
        <f>IFERROR(__xludf.DUMMYFUNCTION("""COMPUTED_VALUE"""),0.0)</f>
        <v>0</v>
      </c>
      <c r="AA776" s="181">
        <f>IFERROR(__xludf.DUMMYFUNCTION("""COMPUTED_VALUE"""),0.0)</f>
        <v>0</v>
      </c>
      <c r="AB776" s="181">
        <f>IFERROR(__xludf.DUMMYFUNCTION("""COMPUTED_VALUE"""),0.0)</f>
        <v>0</v>
      </c>
      <c r="AC776" s="179">
        <f>IFERROR(__xludf.DUMMYFUNCTION("""COMPUTED_VALUE"""),0.0)</f>
        <v>0</v>
      </c>
      <c r="AD776" s="165">
        <f>IFERROR(__xludf.DUMMYFUNCTION("""COMPUTED_VALUE"""),0.0)</f>
        <v>0</v>
      </c>
      <c r="AE776" s="39" t="str">
        <f>IFERROR(__xludf.DUMMYFUNCTION("""COMPUTED_VALUE"""),"Hiroshi Yamakawa")</f>
        <v>Hiroshi Yamakawa</v>
      </c>
      <c r="AF776" s="39" t="str">
        <f>IFERROR(__xludf.DUMMYFUNCTION("""COMPUTED_VALUE"""),"HY18NeocorticalInterareaSignals")</f>
        <v>HY18NeocorticalInterareaSignals</v>
      </c>
      <c r="AG776" s="39"/>
      <c r="AH776" s="39"/>
      <c r="AI776" s="165"/>
      <c r="AJ776" s="165"/>
      <c r="AK776" s="111"/>
      <c r="AL776" s="111"/>
      <c r="AM776" s="111"/>
      <c r="AN776" s="111"/>
      <c r="AO776" s="111"/>
      <c r="AP776" s="111"/>
      <c r="AQ776" s="116"/>
      <c r="AR776" s="116"/>
      <c r="AS776" s="116"/>
    </row>
    <row r="777">
      <c r="A777" s="42" t="str">
        <f>IFERROR(__xludf.DUMMYFUNCTION("""COMPUTED_VALUE"""),"TRN_matrix")</f>
        <v>TRN_matrix</v>
      </c>
      <c r="B777" s="42"/>
      <c r="C777" s="42"/>
      <c r="D777" s="42" t="str">
        <f>IFERROR(__xludf.DUMMYFUNCTION("""COMPUTED_VALUE"""),"R")</f>
        <v>R</v>
      </c>
      <c r="E777" s="42"/>
      <c r="F777" s="42"/>
      <c r="G777" s="42"/>
      <c r="H777" s="42" t="str">
        <f>IFERROR(__xludf.DUMMYFUNCTION("""COMPUTED_VALUE"""),"")</f>
        <v/>
      </c>
      <c r="I777" s="42" t="str">
        <f>IFERROR(__xludf.DUMMYFUNCTION("""COMPUTED_VALUE"""),"Bonjean, 2012")</f>
        <v>Bonjean, 2012</v>
      </c>
      <c r="J777" s="42"/>
      <c r="K777" s="42"/>
      <c r="L777" s="42"/>
      <c r="M777" s="42"/>
      <c r="N777" s="42"/>
      <c r="O777" s="31" t="str">
        <f>IFERROR(__xludf.DUMMYFUNCTION("""COMPUTED_VALUE"""),"DOC")</f>
        <v>DOC</v>
      </c>
      <c r="P777" s="9" t="str">
        <f>IFERROR(__xludf.DUMMYFUNCTION("""COMPUTED_VALUE"""),"Journal of Neuroscience")</f>
        <v>Journal of Neuroscience</v>
      </c>
      <c r="Q777" s="9"/>
      <c r="R777" s="179" t="str">
        <f>IFERROR(__xludf.DUMMYFUNCTION("""COMPUTED_VALUE"""),"R (00/00) [Benarroch, 2008][Bonjean, 2012][Clascá, 2012][Kaneko, 2013][Lemieux, 2014];
")</f>
        <v>R (00/00) [Benarroch, 2008][Bonjean, 2012][Clascá, 2012][Kaneko, 2013][Lemieux, 2014];
</v>
      </c>
      <c r="S777" s="179" t="str">
        <f>IFERROR(__xludf.DUMMYFUNCTION("""COMPUTED_VALUE"""),"TRN_matrixR")</f>
        <v>TRN_matrixR</v>
      </c>
      <c r="T777" s="179" t="str">
        <f>IFERROR(__xludf.DUMMYFUNCTION("""COMPUTED_VALUE"""),"[Bonjean, 2012]")</f>
        <v>[Bonjean, 2012]</v>
      </c>
      <c r="U777" s="179">
        <f>IFERROR(__xludf.DUMMYFUNCTION("""COMPUTED_VALUE"""),0.0)</f>
        <v>0</v>
      </c>
      <c r="V777" s="180">
        <f>IFERROR(__xludf.DUMMYFUNCTION("""COMPUTED_VALUE"""),0.0)</f>
        <v>0</v>
      </c>
      <c r="W777" s="180">
        <f>IFERROR(__xludf.DUMMYFUNCTION("""COMPUTED_VALUE"""),0.95)</f>
        <v>0.95</v>
      </c>
      <c r="X777" s="42">
        <f>IFERROR(__xludf.DUMMYFUNCTION("""COMPUTED_VALUE"""),0.0)</f>
        <v>0</v>
      </c>
      <c r="Y777" s="42">
        <f>IFERROR(__xludf.DUMMYFUNCTION("""COMPUTED_VALUE"""),0.0)</f>
        <v>0</v>
      </c>
      <c r="Z777" s="9">
        <f>IFERROR(__xludf.DUMMYFUNCTION("""COMPUTED_VALUE"""),0.0)</f>
        <v>0</v>
      </c>
      <c r="AA777" s="181">
        <f>IFERROR(__xludf.DUMMYFUNCTION("""COMPUTED_VALUE"""),0.0)</f>
        <v>0</v>
      </c>
      <c r="AB777" s="181">
        <f>IFERROR(__xludf.DUMMYFUNCTION("""COMPUTED_VALUE"""),0.0)</f>
        <v>0</v>
      </c>
      <c r="AC777" s="179">
        <f>IFERROR(__xludf.DUMMYFUNCTION("""COMPUTED_VALUE"""),0.0)</f>
        <v>0</v>
      </c>
      <c r="AD777" s="165">
        <f>IFERROR(__xludf.DUMMYFUNCTION("""COMPUTED_VALUE"""),0.0)</f>
        <v>0</v>
      </c>
      <c r="AE777" s="39" t="str">
        <f>IFERROR(__xludf.DUMMYFUNCTION("""COMPUTED_VALUE"""),"Hiroshi Yamakawa")</f>
        <v>Hiroshi Yamakawa</v>
      </c>
      <c r="AF777" s="39" t="str">
        <f>IFERROR(__xludf.DUMMYFUNCTION("""COMPUTED_VALUE"""),"HY18NeocorticalInterareaSignals")</f>
        <v>HY18NeocorticalInterareaSignals</v>
      </c>
      <c r="AG777" s="39"/>
      <c r="AH777" s="39"/>
      <c r="AI777" s="165"/>
      <c r="AJ777" s="165"/>
      <c r="AK777" s="111"/>
      <c r="AL777" s="111"/>
      <c r="AM777" s="111"/>
      <c r="AN777" s="111"/>
      <c r="AO777" s="111"/>
      <c r="AP777" s="111"/>
      <c r="AQ777" s="116"/>
      <c r="AR777" s="116"/>
      <c r="AS777" s="116"/>
    </row>
    <row r="778">
      <c r="A778" s="42" t="str">
        <f>IFERROR(__xludf.DUMMYFUNCTION("""COMPUTED_VALUE"""),"TRN_matrix")</f>
        <v>TRN_matrix</v>
      </c>
      <c r="B778" s="42"/>
      <c r="C778" s="42"/>
      <c r="D778" s="42" t="str">
        <f>IFERROR(__xludf.DUMMYFUNCTION("""COMPUTED_VALUE"""),"AMY")</f>
        <v>AMY</v>
      </c>
      <c r="E778" s="42"/>
      <c r="F778" s="42"/>
      <c r="G778" s="42"/>
      <c r="H778" s="42" t="str">
        <f>IFERROR(__xludf.DUMMYFUNCTION("""COMPUTED_VALUE"""),"")</f>
        <v/>
      </c>
      <c r="I778" s="42" t="str">
        <f>IFERROR(__xludf.DUMMYFUNCTION("""COMPUTED_VALUE"""),"Clascá, 2012")</f>
        <v>Clascá, 2012</v>
      </c>
      <c r="J778" s="42"/>
      <c r="K778" s="42"/>
      <c r="L778" s="42"/>
      <c r="M778" s="42"/>
      <c r="N778" s="42"/>
      <c r="O778" s="31" t="str">
        <f>IFERROR(__xludf.DUMMYFUNCTION("""COMPUTED_VALUE"""),"DOC")</f>
        <v>DOC</v>
      </c>
      <c r="P778" s="9" t="str">
        <f>IFERROR(__xludf.DUMMYFUNCTION("""COMPUTED_VALUE"""),"European Journal of Neuroscience")</f>
        <v>European Journal of Neuroscience</v>
      </c>
      <c r="Q778" s="9"/>
      <c r="R778" s="179" t="str">
        <f>IFERROR(__xludf.DUMMYFUNCTION("""COMPUTED_VALUE"""),"AMY (00/00) [Clascá, 2012];
")</f>
        <v>AMY (00/00) [Clascá, 2012];
</v>
      </c>
      <c r="S778" s="179" t="str">
        <f>IFERROR(__xludf.DUMMYFUNCTION("""COMPUTED_VALUE"""),"TRN_matrixAMY")</f>
        <v>TRN_matrixAMY</v>
      </c>
      <c r="T778" s="179" t="str">
        <f>IFERROR(__xludf.DUMMYFUNCTION("""COMPUTED_VALUE"""),"[Clascá, 2012]")</f>
        <v>[Clascá, 2012]</v>
      </c>
      <c r="U778" s="179">
        <f>IFERROR(__xludf.DUMMYFUNCTION("""COMPUTED_VALUE"""),0.0)</f>
        <v>0</v>
      </c>
      <c r="V778" s="180">
        <f>IFERROR(__xludf.DUMMYFUNCTION("""COMPUTED_VALUE"""),0.0)</f>
        <v>0</v>
      </c>
      <c r="W778" s="180">
        <f>IFERROR(__xludf.DUMMYFUNCTION("""COMPUTED_VALUE"""),0.95)</f>
        <v>0.95</v>
      </c>
      <c r="X778" s="42">
        <f>IFERROR(__xludf.DUMMYFUNCTION("""COMPUTED_VALUE"""),0.0)</f>
        <v>0</v>
      </c>
      <c r="Y778" s="42">
        <f>IFERROR(__xludf.DUMMYFUNCTION("""COMPUTED_VALUE"""),0.0)</f>
        <v>0</v>
      </c>
      <c r="Z778" s="9">
        <f>IFERROR(__xludf.DUMMYFUNCTION("""COMPUTED_VALUE"""),0.0)</f>
        <v>0</v>
      </c>
      <c r="AA778" s="181">
        <f>IFERROR(__xludf.DUMMYFUNCTION("""COMPUTED_VALUE"""),0.0)</f>
        <v>0</v>
      </c>
      <c r="AB778" s="181">
        <f>IFERROR(__xludf.DUMMYFUNCTION("""COMPUTED_VALUE"""),0.0)</f>
        <v>0</v>
      </c>
      <c r="AC778" s="179">
        <f>IFERROR(__xludf.DUMMYFUNCTION("""COMPUTED_VALUE"""),0.0)</f>
        <v>0</v>
      </c>
      <c r="AD778" s="165">
        <f>IFERROR(__xludf.DUMMYFUNCTION("""COMPUTED_VALUE"""),0.0)</f>
        <v>0</v>
      </c>
      <c r="AE778" s="39" t="str">
        <f>IFERROR(__xludf.DUMMYFUNCTION("""COMPUTED_VALUE"""),"Hiroshi Yamakawa")</f>
        <v>Hiroshi Yamakawa</v>
      </c>
      <c r="AF778" s="39" t="str">
        <f>IFERROR(__xludf.DUMMYFUNCTION("""COMPUTED_VALUE"""),"HY18NeocorticalInterareaSignals")</f>
        <v>HY18NeocorticalInterareaSignals</v>
      </c>
      <c r="AG778" s="39"/>
      <c r="AH778" s="39"/>
      <c r="AI778" s="165"/>
      <c r="AJ778" s="165"/>
      <c r="AK778" s="111"/>
      <c r="AL778" s="111"/>
      <c r="AM778" s="111"/>
      <c r="AN778" s="111"/>
      <c r="AO778" s="111"/>
      <c r="AP778" s="111"/>
      <c r="AQ778" s="116"/>
      <c r="AR778" s="116"/>
      <c r="AS778" s="116"/>
    </row>
    <row r="779">
      <c r="A779" s="42" t="str">
        <f>IFERROR(__xludf.DUMMYFUNCTION("""COMPUTED_VALUE"""),"TRN_matrix")</f>
        <v>TRN_matrix</v>
      </c>
      <c r="B779" s="42"/>
      <c r="C779" s="42"/>
      <c r="D779" s="42" t="str">
        <f>IFERROR(__xludf.DUMMYFUNCTION("""COMPUTED_VALUE"""),"Cx.L5IN")</f>
        <v>Cx.L5IN</v>
      </c>
      <c r="E779" s="42"/>
      <c r="F779" s="42"/>
      <c r="G779" s="42"/>
      <c r="H779" s="42" t="str">
        <f>IFERROR(__xludf.DUMMYFUNCTION("""COMPUTED_VALUE"""),"")</f>
        <v/>
      </c>
      <c r="I779" s="42" t="str">
        <f>IFERROR(__xludf.DUMMYFUNCTION("""COMPUTED_VALUE"""),"Clascá, 2012")</f>
        <v>Clascá, 2012</v>
      </c>
      <c r="J779" s="42"/>
      <c r="K779" s="42"/>
      <c r="L779" s="42"/>
      <c r="M779" s="42"/>
      <c r="N779" s="42"/>
      <c r="O779" s="31" t="str">
        <f>IFERROR(__xludf.DUMMYFUNCTION("""COMPUTED_VALUE"""),"DOC")</f>
        <v>DOC</v>
      </c>
      <c r="P779" s="9" t="str">
        <f>IFERROR(__xludf.DUMMYFUNCTION("""COMPUTED_VALUE"""),"European Journal of Neuroscience")</f>
        <v>European Journal of Neuroscience</v>
      </c>
      <c r="Q779" s="9"/>
      <c r="R779" s="179" t="str">
        <f>IFERROR(__xludf.DUMMYFUNCTION("""COMPUTED_VALUE"""),"Cx.L5IN (00/00) [Bonjean, 2012][Clascá, 2012][Harris, 2015][Lemieux, 2014][Wei, 2016];
")</f>
        <v>Cx.L5IN (00/00) [Bonjean, 2012][Clascá, 2012][Harris, 2015][Lemieux, 2014][Wei, 2016];
</v>
      </c>
      <c r="S779" s="179" t="str">
        <f>IFERROR(__xludf.DUMMYFUNCTION("""COMPUTED_VALUE"""),"TRN_matrixCx.L5IN")</f>
        <v>TRN_matrixCx.L5IN</v>
      </c>
      <c r="T779" s="179" t="str">
        <f>IFERROR(__xludf.DUMMYFUNCTION("""COMPUTED_VALUE"""),"[Clascá, 2012]")</f>
        <v>[Clascá, 2012]</v>
      </c>
      <c r="U779" s="179">
        <f>IFERROR(__xludf.DUMMYFUNCTION("""COMPUTED_VALUE"""),0.0)</f>
        <v>0</v>
      </c>
      <c r="V779" s="180">
        <f>IFERROR(__xludf.DUMMYFUNCTION("""COMPUTED_VALUE"""),0.0)</f>
        <v>0</v>
      </c>
      <c r="W779" s="180">
        <f>IFERROR(__xludf.DUMMYFUNCTION("""COMPUTED_VALUE"""),0.95)</f>
        <v>0.95</v>
      </c>
      <c r="X779" s="42">
        <f>IFERROR(__xludf.DUMMYFUNCTION("""COMPUTED_VALUE"""),0.0)</f>
        <v>0</v>
      </c>
      <c r="Y779" s="42">
        <f>IFERROR(__xludf.DUMMYFUNCTION("""COMPUTED_VALUE"""),0.0)</f>
        <v>0</v>
      </c>
      <c r="Z779" s="9">
        <f>IFERROR(__xludf.DUMMYFUNCTION("""COMPUTED_VALUE"""),0.0)</f>
        <v>0</v>
      </c>
      <c r="AA779" s="181">
        <f>IFERROR(__xludf.DUMMYFUNCTION("""COMPUTED_VALUE"""),0.0)</f>
        <v>0</v>
      </c>
      <c r="AB779" s="181">
        <f>IFERROR(__xludf.DUMMYFUNCTION("""COMPUTED_VALUE"""),0.0)</f>
        <v>0</v>
      </c>
      <c r="AC779" s="179">
        <f>IFERROR(__xludf.DUMMYFUNCTION("""COMPUTED_VALUE"""),0.0)</f>
        <v>0</v>
      </c>
      <c r="AD779" s="165">
        <f>IFERROR(__xludf.DUMMYFUNCTION("""COMPUTED_VALUE"""),0.0)</f>
        <v>0</v>
      </c>
      <c r="AE779" s="39" t="str">
        <f>IFERROR(__xludf.DUMMYFUNCTION("""COMPUTED_VALUE"""),"Hiroshi Yamakawa")</f>
        <v>Hiroshi Yamakawa</v>
      </c>
      <c r="AF779" s="39" t="str">
        <f>IFERROR(__xludf.DUMMYFUNCTION("""COMPUTED_VALUE"""),"HY18NeocorticalInterareaSignals")</f>
        <v>HY18NeocorticalInterareaSignals</v>
      </c>
      <c r="AG779" s="39"/>
      <c r="AH779" s="39"/>
      <c r="AI779" s="165"/>
      <c r="AJ779" s="165"/>
      <c r="AK779" s="111"/>
      <c r="AL779" s="111"/>
      <c r="AM779" s="111"/>
      <c r="AN779" s="111"/>
      <c r="AO779" s="111"/>
      <c r="AP779" s="111"/>
      <c r="AQ779" s="116"/>
      <c r="AR779" s="116"/>
      <c r="AS779" s="116"/>
    </row>
    <row r="780">
      <c r="A780" s="42" t="str">
        <f>IFERROR(__xludf.DUMMYFUNCTION("""COMPUTED_VALUE"""),"TRN_matrix")</f>
        <v>TRN_matrix</v>
      </c>
      <c r="B780" s="42"/>
      <c r="C780" s="42"/>
      <c r="D780" s="42" t="str">
        <f>IFERROR(__xludf.DUMMYFUNCTION("""COMPUTED_VALUE"""),"R")</f>
        <v>R</v>
      </c>
      <c r="E780" s="42"/>
      <c r="F780" s="42"/>
      <c r="G780" s="42"/>
      <c r="H780" s="42" t="str">
        <f>IFERROR(__xludf.DUMMYFUNCTION("""COMPUTED_VALUE"""),"")</f>
        <v/>
      </c>
      <c r="I780" s="42" t="str">
        <f>IFERROR(__xludf.DUMMYFUNCTION("""COMPUTED_VALUE"""),"Clascá, 2012")</f>
        <v>Clascá, 2012</v>
      </c>
      <c r="J780" s="42"/>
      <c r="K780" s="42"/>
      <c r="L780" s="42"/>
      <c r="M780" s="42"/>
      <c r="N780" s="42"/>
      <c r="O780" s="31" t="str">
        <f>IFERROR(__xludf.DUMMYFUNCTION("""COMPUTED_VALUE"""),"DOC")</f>
        <v>DOC</v>
      </c>
      <c r="P780" s="9" t="str">
        <f>IFERROR(__xludf.DUMMYFUNCTION("""COMPUTED_VALUE"""),"European Journal of Neuroscience")</f>
        <v>European Journal of Neuroscience</v>
      </c>
      <c r="Q780" s="9"/>
      <c r="R780" s="179" t="str">
        <f>IFERROR(__xludf.DUMMYFUNCTION("""COMPUTED_VALUE"""),"R (00/00) [Benarroch, 2008][Bonjean, 2012][Clascá, 2012][Kaneko, 2013][Lemieux, 2014];
")</f>
        <v>R (00/00) [Benarroch, 2008][Bonjean, 2012][Clascá, 2012][Kaneko, 2013][Lemieux, 2014];
</v>
      </c>
      <c r="S780" s="179" t="str">
        <f>IFERROR(__xludf.DUMMYFUNCTION("""COMPUTED_VALUE"""),"TRN_matrixR")</f>
        <v>TRN_matrixR</v>
      </c>
      <c r="T780" s="179" t="str">
        <f>IFERROR(__xludf.DUMMYFUNCTION("""COMPUTED_VALUE"""),"[Clascá, 2012]")</f>
        <v>[Clascá, 2012]</v>
      </c>
      <c r="U780" s="179">
        <f>IFERROR(__xludf.DUMMYFUNCTION("""COMPUTED_VALUE"""),0.0)</f>
        <v>0</v>
      </c>
      <c r="V780" s="180">
        <f>IFERROR(__xludf.DUMMYFUNCTION("""COMPUTED_VALUE"""),0.0)</f>
        <v>0</v>
      </c>
      <c r="W780" s="180">
        <f>IFERROR(__xludf.DUMMYFUNCTION("""COMPUTED_VALUE"""),0.95)</f>
        <v>0.95</v>
      </c>
      <c r="X780" s="42">
        <f>IFERROR(__xludf.DUMMYFUNCTION("""COMPUTED_VALUE"""),0.0)</f>
        <v>0</v>
      </c>
      <c r="Y780" s="42">
        <f>IFERROR(__xludf.DUMMYFUNCTION("""COMPUTED_VALUE"""),0.0)</f>
        <v>0</v>
      </c>
      <c r="Z780" s="9">
        <f>IFERROR(__xludf.DUMMYFUNCTION("""COMPUTED_VALUE"""),0.0)</f>
        <v>0</v>
      </c>
      <c r="AA780" s="181">
        <f>IFERROR(__xludf.DUMMYFUNCTION("""COMPUTED_VALUE"""),0.0)</f>
        <v>0</v>
      </c>
      <c r="AB780" s="181">
        <f>IFERROR(__xludf.DUMMYFUNCTION("""COMPUTED_VALUE"""),0.0)</f>
        <v>0</v>
      </c>
      <c r="AC780" s="179">
        <f>IFERROR(__xludf.DUMMYFUNCTION("""COMPUTED_VALUE"""),0.0)</f>
        <v>0</v>
      </c>
      <c r="AD780" s="165">
        <f>IFERROR(__xludf.DUMMYFUNCTION("""COMPUTED_VALUE"""),0.0)</f>
        <v>0</v>
      </c>
      <c r="AE780" s="39" t="str">
        <f>IFERROR(__xludf.DUMMYFUNCTION("""COMPUTED_VALUE"""),"Hiroshi Yamakawa")</f>
        <v>Hiroshi Yamakawa</v>
      </c>
      <c r="AF780" s="39" t="str">
        <f>IFERROR(__xludf.DUMMYFUNCTION("""COMPUTED_VALUE"""),"HY18NeocorticalInterareaSignals")</f>
        <v>HY18NeocorticalInterareaSignals</v>
      </c>
      <c r="AG780" s="39"/>
      <c r="AH780" s="39"/>
      <c r="AI780" s="165"/>
      <c r="AJ780" s="165"/>
      <c r="AK780" s="111"/>
      <c r="AL780" s="111"/>
      <c r="AM780" s="111"/>
      <c r="AN780" s="111"/>
      <c r="AO780" s="111"/>
      <c r="AP780" s="111"/>
      <c r="AQ780" s="116"/>
      <c r="AR780" s="116"/>
      <c r="AS780" s="116"/>
    </row>
    <row r="781">
      <c r="A781" s="42" t="str">
        <f>IFERROR(__xludf.DUMMYFUNCTION("""COMPUTED_VALUE"""),"TRN_matrix")</f>
        <v>TRN_matrix</v>
      </c>
      <c r="B781" s="42"/>
      <c r="C781" s="42"/>
      <c r="D781" s="42" t="str">
        <f>IFERROR(__xludf.DUMMYFUNCTION("""COMPUTED_VALUE"""),"STR")</f>
        <v>STR</v>
      </c>
      <c r="E781" s="42"/>
      <c r="F781" s="42"/>
      <c r="G781" s="42"/>
      <c r="H781" s="42" t="str">
        <f>IFERROR(__xludf.DUMMYFUNCTION("""COMPUTED_VALUE"""),"")</f>
        <v/>
      </c>
      <c r="I781" s="42" t="str">
        <f>IFERROR(__xludf.DUMMYFUNCTION("""COMPUTED_VALUE"""),"Clascá, 2012")</f>
        <v>Clascá, 2012</v>
      </c>
      <c r="J781" s="42"/>
      <c r="K781" s="42"/>
      <c r="L781" s="42"/>
      <c r="M781" s="42"/>
      <c r="N781" s="42"/>
      <c r="O781" s="31" t="str">
        <f>IFERROR(__xludf.DUMMYFUNCTION("""COMPUTED_VALUE"""),"DOC")</f>
        <v>DOC</v>
      </c>
      <c r="P781" s="9" t="str">
        <f>IFERROR(__xludf.DUMMYFUNCTION("""COMPUTED_VALUE"""),"European Journal of Neuroscience")</f>
        <v>European Journal of Neuroscience</v>
      </c>
      <c r="Q781" s="9"/>
      <c r="R781" s="179" t="str">
        <f>IFERROR(__xludf.DUMMYFUNCTION("""COMPUTED_VALUE"""),"STR (00/00) [Clascá, 2012];
")</f>
        <v>STR (00/00) [Clascá, 2012];
</v>
      </c>
      <c r="S781" s="179" t="str">
        <f>IFERROR(__xludf.DUMMYFUNCTION("""COMPUTED_VALUE"""),"TRN_matrixSTR")</f>
        <v>TRN_matrixSTR</v>
      </c>
      <c r="T781" s="179" t="str">
        <f>IFERROR(__xludf.DUMMYFUNCTION("""COMPUTED_VALUE"""),"[Clascá, 2012]")</f>
        <v>[Clascá, 2012]</v>
      </c>
      <c r="U781" s="179">
        <f>IFERROR(__xludf.DUMMYFUNCTION("""COMPUTED_VALUE"""),0.0)</f>
        <v>0</v>
      </c>
      <c r="V781" s="180">
        <f>IFERROR(__xludf.DUMMYFUNCTION("""COMPUTED_VALUE"""),0.0)</f>
        <v>0</v>
      </c>
      <c r="W781" s="180">
        <f>IFERROR(__xludf.DUMMYFUNCTION("""COMPUTED_VALUE"""),0.95)</f>
        <v>0.95</v>
      </c>
      <c r="X781" s="42">
        <f>IFERROR(__xludf.DUMMYFUNCTION("""COMPUTED_VALUE"""),0.0)</f>
        <v>0</v>
      </c>
      <c r="Y781" s="42">
        <f>IFERROR(__xludf.DUMMYFUNCTION("""COMPUTED_VALUE"""),0.0)</f>
        <v>0</v>
      </c>
      <c r="Z781" s="9">
        <f>IFERROR(__xludf.DUMMYFUNCTION("""COMPUTED_VALUE"""),0.0)</f>
        <v>0</v>
      </c>
      <c r="AA781" s="181">
        <f>IFERROR(__xludf.DUMMYFUNCTION("""COMPUTED_VALUE"""),0.0)</f>
        <v>0</v>
      </c>
      <c r="AB781" s="181">
        <f>IFERROR(__xludf.DUMMYFUNCTION("""COMPUTED_VALUE"""),0.0)</f>
        <v>0</v>
      </c>
      <c r="AC781" s="179">
        <f>IFERROR(__xludf.DUMMYFUNCTION("""COMPUTED_VALUE"""),0.0)</f>
        <v>0</v>
      </c>
      <c r="AD781" s="165">
        <f>IFERROR(__xludf.DUMMYFUNCTION("""COMPUTED_VALUE"""),0.0)</f>
        <v>0</v>
      </c>
      <c r="AE781" s="39" t="str">
        <f>IFERROR(__xludf.DUMMYFUNCTION("""COMPUTED_VALUE"""),"Hiroshi Yamakawa")</f>
        <v>Hiroshi Yamakawa</v>
      </c>
      <c r="AF781" s="39" t="str">
        <f>IFERROR(__xludf.DUMMYFUNCTION("""COMPUTED_VALUE"""),"HY18NeocorticalInterareaSignals")</f>
        <v>HY18NeocorticalInterareaSignals</v>
      </c>
      <c r="AG781" s="39"/>
      <c r="AH781" s="39"/>
      <c r="AI781" s="165"/>
      <c r="AJ781" s="165"/>
      <c r="AK781" s="111"/>
      <c r="AL781" s="111"/>
      <c r="AM781" s="111"/>
      <c r="AN781" s="111"/>
      <c r="AO781" s="111"/>
      <c r="AP781" s="111"/>
      <c r="AQ781" s="116"/>
      <c r="AR781" s="116"/>
      <c r="AS781" s="116"/>
    </row>
    <row r="782">
      <c r="A782" s="42" t="str">
        <f>IFERROR(__xludf.DUMMYFUNCTION("""COMPUTED_VALUE"""),"TRN_matrix")</f>
        <v>TRN_matrix</v>
      </c>
      <c r="B782" s="42"/>
      <c r="C782" s="42"/>
      <c r="D782" s="42" t="str">
        <f>IFERROR(__xludf.DUMMYFUNCTION("""COMPUTED_VALUE"""),"Cx.L1")</f>
        <v>Cx.L1</v>
      </c>
      <c r="E782" s="42"/>
      <c r="F782" s="42"/>
      <c r="G782" s="42"/>
      <c r="H782" s="42" t="str">
        <f>IFERROR(__xludf.DUMMYFUNCTION("""COMPUTED_VALUE"""),"")</f>
        <v/>
      </c>
      <c r="I782" s="42" t="str">
        <f>IFERROR(__xludf.DUMMYFUNCTION("""COMPUTED_VALUE"""),"Harris, 2015")</f>
        <v>Harris, 2015</v>
      </c>
      <c r="J782" s="42"/>
      <c r="K782" s="42"/>
      <c r="L782" s="42"/>
      <c r="M782" s="42"/>
      <c r="N782" s="42"/>
      <c r="O782" s="31" t="str">
        <f>IFERROR(__xludf.DUMMYFUNCTION("""COMPUTED_VALUE"""),"DOC")</f>
        <v>DOC</v>
      </c>
      <c r="P782" s="9" t="str">
        <f>IFERROR(__xludf.DUMMYFUNCTION("""COMPUTED_VALUE"""),"Nature Neuroscience")</f>
        <v>Nature Neuroscience</v>
      </c>
      <c r="Q782" s="9"/>
      <c r="R782" s="179" t="str">
        <f>IFERROR(__xludf.DUMMYFUNCTION("""COMPUTED_VALUE"""),"Cx.L1 (00/00) [Bonjean, 2012][Harris, 2015][Jones, 1998][Kaneko, 2013][Rodriguez, 2004][Wei, 2016];
")</f>
        <v>Cx.L1 (00/00) [Bonjean, 2012][Harris, 2015][Jones, 1998][Kaneko, 2013][Rodriguez, 2004][Wei, 2016];
</v>
      </c>
      <c r="S782" s="179" t="str">
        <f>IFERROR(__xludf.DUMMYFUNCTION("""COMPUTED_VALUE"""),"TRN_matrixCx.L1")</f>
        <v>TRN_matrixCx.L1</v>
      </c>
      <c r="T782" s="179" t="str">
        <f>IFERROR(__xludf.DUMMYFUNCTION("""COMPUTED_VALUE"""),"[Harris, 2015]")</f>
        <v>[Harris, 2015]</v>
      </c>
      <c r="U782" s="179">
        <f>IFERROR(__xludf.DUMMYFUNCTION("""COMPUTED_VALUE"""),0.0)</f>
        <v>0</v>
      </c>
      <c r="V782" s="180">
        <f>IFERROR(__xludf.DUMMYFUNCTION("""COMPUTED_VALUE"""),0.0)</f>
        <v>0</v>
      </c>
      <c r="W782" s="180">
        <f>IFERROR(__xludf.DUMMYFUNCTION("""COMPUTED_VALUE"""),0.95)</f>
        <v>0.95</v>
      </c>
      <c r="X782" s="42">
        <f>IFERROR(__xludf.DUMMYFUNCTION("""COMPUTED_VALUE"""),0.0)</f>
        <v>0</v>
      </c>
      <c r="Y782" s="42">
        <f>IFERROR(__xludf.DUMMYFUNCTION("""COMPUTED_VALUE"""),0.0)</f>
        <v>0</v>
      </c>
      <c r="Z782" s="9">
        <f>IFERROR(__xludf.DUMMYFUNCTION("""COMPUTED_VALUE"""),0.0)</f>
        <v>0</v>
      </c>
      <c r="AA782" s="181">
        <f>IFERROR(__xludf.DUMMYFUNCTION("""COMPUTED_VALUE"""),0.0)</f>
        <v>0</v>
      </c>
      <c r="AB782" s="181">
        <f>IFERROR(__xludf.DUMMYFUNCTION("""COMPUTED_VALUE"""),0.0)</f>
        <v>0</v>
      </c>
      <c r="AC782" s="179">
        <f>IFERROR(__xludf.DUMMYFUNCTION("""COMPUTED_VALUE"""),0.0)</f>
        <v>0</v>
      </c>
      <c r="AD782" s="165">
        <f>IFERROR(__xludf.DUMMYFUNCTION("""COMPUTED_VALUE"""),0.0)</f>
        <v>0</v>
      </c>
      <c r="AE782" s="39" t="str">
        <f>IFERROR(__xludf.DUMMYFUNCTION("""COMPUTED_VALUE"""),"Hiroshi Yamakawa")</f>
        <v>Hiroshi Yamakawa</v>
      </c>
      <c r="AF782" s="39" t="str">
        <f>IFERROR(__xludf.DUMMYFUNCTION("""COMPUTED_VALUE"""),"HY18NeocorticalInterareaSignals")</f>
        <v>HY18NeocorticalInterareaSignals</v>
      </c>
      <c r="AG782" s="39"/>
      <c r="AH782" s="39"/>
      <c r="AI782" s="165"/>
      <c r="AJ782" s="165"/>
      <c r="AK782" s="111"/>
      <c r="AL782" s="111"/>
      <c r="AM782" s="111"/>
      <c r="AN782" s="111"/>
      <c r="AO782" s="111"/>
      <c r="AP782" s="111"/>
      <c r="AQ782" s="116"/>
      <c r="AR782" s="116"/>
      <c r="AS782" s="116"/>
    </row>
    <row r="783">
      <c r="A783" s="42" t="str">
        <f>IFERROR(__xludf.DUMMYFUNCTION("""COMPUTED_VALUE"""),"TRN_matrix")</f>
        <v>TRN_matrix</v>
      </c>
      <c r="B783" s="42"/>
      <c r="C783" s="42"/>
      <c r="D783" s="42" t="str">
        <f>IFERROR(__xludf.DUMMYFUNCTION("""COMPUTED_VALUE"""),"Cx.L5IN")</f>
        <v>Cx.L5IN</v>
      </c>
      <c r="E783" s="42"/>
      <c r="F783" s="42"/>
      <c r="G783" s="42"/>
      <c r="H783" s="42" t="str">
        <f>IFERROR(__xludf.DUMMYFUNCTION("""COMPUTED_VALUE"""),"")</f>
        <v/>
      </c>
      <c r="I783" s="42" t="str">
        <f>IFERROR(__xludf.DUMMYFUNCTION("""COMPUTED_VALUE"""),"Harris, 2015")</f>
        <v>Harris, 2015</v>
      </c>
      <c r="J783" s="42"/>
      <c r="K783" s="42"/>
      <c r="L783" s="42"/>
      <c r="M783" s="42"/>
      <c r="N783" s="42"/>
      <c r="O783" s="31" t="str">
        <f>IFERROR(__xludf.DUMMYFUNCTION("""COMPUTED_VALUE"""),"DOC")</f>
        <v>DOC</v>
      </c>
      <c r="P783" s="9" t="str">
        <f>IFERROR(__xludf.DUMMYFUNCTION("""COMPUTED_VALUE"""),"Nature Neuroscience")</f>
        <v>Nature Neuroscience</v>
      </c>
      <c r="Q783" s="9"/>
      <c r="R783" s="179" t="str">
        <f>IFERROR(__xludf.DUMMYFUNCTION("""COMPUTED_VALUE"""),"Cx.L5IN (00/00) [Bonjean, 2012][Clascá, 2012][Harris, 2015][Lemieux, 2014][Wei, 2016];
")</f>
        <v>Cx.L5IN (00/00) [Bonjean, 2012][Clascá, 2012][Harris, 2015][Lemieux, 2014][Wei, 2016];
</v>
      </c>
      <c r="S783" s="179" t="str">
        <f>IFERROR(__xludf.DUMMYFUNCTION("""COMPUTED_VALUE"""),"TRN_matrixCx.L5IN")</f>
        <v>TRN_matrixCx.L5IN</v>
      </c>
      <c r="T783" s="179" t="str">
        <f>IFERROR(__xludf.DUMMYFUNCTION("""COMPUTED_VALUE"""),"[Harris, 2015]")</f>
        <v>[Harris, 2015]</v>
      </c>
      <c r="U783" s="179">
        <f>IFERROR(__xludf.DUMMYFUNCTION("""COMPUTED_VALUE"""),0.0)</f>
        <v>0</v>
      </c>
      <c r="V783" s="180">
        <f>IFERROR(__xludf.DUMMYFUNCTION("""COMPUTED_VALUE"""),0.0)</f>
        <v>0</v>
      </c>
      <c r="W783" s="180">
        <f>IFERROR(__xludf.DUMMYFUNCTION("""COMPUTED_VALUE"""),0.95)</f>
        <v>0.95</v>
      </c>
      <c r="X783" s="42">
        <f>IFERROR(__xludf.DUMMYFUNCTION("""COMPUTED_VALUE"""),0.0)</f>
        <v>0</v>
      </c>
      <c r="Y783" s="42">
        <f>IFERROR(__xludf.DUMMYFUNCTION("""COMPUTED_VALUE"""),0.0)</f>
        <v>0</v>
      </c>
      <c r="Z783" s="9">
        <f>IFERROR(__xludf.DUMMYFUNCTION("""COMPUTED_VALUE"""),0.0)</f>
        <v>0</v>
      </c>
      <c r="AA783" s="181">
        <f>IFERROR(__xludf.DUMMYFUNCTION("""COMPUTED_VALUE"""),0.0)</f>
        <v>0</v>
      </c>
      <c r="AB783" s="181">
        <f>IFERROR(__xludf.DUMMYFUNCTION("""COMPUTED_VALUE"""),0.0)</f>
        <v>0</v>
      </c>
      <c r="AC783" s="179">
        <f>IFERROR(__xludf.DUMMYFUNCTION("""COMPUTED_VALUE"""),0.0)</f>
        <v>0</v>
      </c>
      <c r="AD783" s="165">
        <f>IFERROR(__xludf.DUMMYFUNCTION("""COMPUTED_VALUE"""),0.0)</f>
        <v>0</v>
      </c>
      <c r="AE783" s="39" t="str">
        <f>IFERROR(__xludf.DUMMYFUNCTION("""COMPUTED_VALUE"""),"Hiroshi Yamakawa")</f>
        <v>Hiroshi Yamakawa</v>
      </c>
      <c r="AF783" s="39" t="str">
        <f>IFERROR(__xludf.DUMMYFUNCTION("""COMPUTED_VALUE"""),"HY18NeocorticalInterareaSignals")</f>
        <v>HY18NeocorticalInterareaSignals</v>
      </c>
      <c r="AG783" s="39"/>
      <c r="AH783" s="39"/>
      <c r="AI783" s="165"/>
      <c r="AJ783" s="165"/>
      <c r="AK783" s="111"/>
      <c r="AL783" s="111"/>
      <c r="AM783" s="111"/>
      <c r="AN783" s="111"/>
      <c r="AO783" s="111"/>
      <c r="AP783" s="111"/>
      <c r="AQ783" s="116"/>
      <c r="AR783" s="116"/>
      <c r="AS783" s="116"/>
    </row>
    <row r="784">
      <c r="A784" s="42" t="str">
        <f>IFERROR(__xludf.DUMMYFUNCTION("""COMPUTED_VALUE"""),"TRN_matrix")</f>
        <v>TRN_matrix</v>
      </c>
      <c r="B784" s="42"/>
      <c r="C784" s="42"/>
      <c r="D784" s="42" t="str">
        <f>IFERROR(__xludf.DUMMYFUNCTION("""COMPUTED_VALUE"""),"Cx.L1")</f>
        <v>Cx.L1</v>
      </c>
      <c r="E784" s="42"/>
      <c r="F784" s="42"/>
      <c r="G784" s="42"/>
      <c r="H784" s="42" t="str">
        <f>IFERROR(__xludf.DUMMYFUNCTION("""COMPUTED_VALUE"""),"")</f>
        <v/>
      </c>
      <c r="I784" s="42" t="str">
        <f>IFERROR(__xludf.DUMMYFUNCTION("""COMPUTED_VALUE"""),"Jones, 1998")</f>
        <v>Jones, 1998</v>
      </c>
      <c r="J784" s="42"/>
      <c r="K784" s="42"/>
      <c r="L784" s="42"/>
      <c r="M784" s="42"/>
      <c r="N784" s="42"/>
      <c r="O784" s="31" t="str">
        <f>IFERROR(__xludf.DUMMYFUNCTION("""COMPUTED_VALUE"""),"DOC")</f>
        <v>DOC</v>
      </c>
      <c r="P784" s="9" t="str">
        <f>IFERROR(__xludf.DUMMYFUNCTION("""COMPUTED_VALUE"""),"Neuroscience")</f>
        <v>Neuroscience</v>
      </c>
      <c r="Q784" s="9"/>
      <c r="R784" s="179" t="str">
        <f>IFERROR(__xludf.DUMMYFUNCTION("""COMPUTED_VALUE"""),"Cx.L1 (00/00) [Bonjean, 2012][Harris, 2015][Jones, 1998][Kaneko, 2013][Rodriguez, 2004][Wei, 2016];
")</f>
        <v>Cx.L1 (00/00) [Bonjean, 2012][Harris, 2015][Jones, 1998][Kaneko, 2013][Rodriguez, 2004][Wei, 2016];
</v>
      </c>
      <c r="S784" s="179" t="str">
        <f>IFERROR(__xludf.DUMMYFUNCTION("""COMPUTED_VALUE"""),"TRN_matrixCx.L1")</f>
        <v>TRN_matrixCx.L1</v>
      </c>
      <c r="T784" s="179" t="str">
        <f>IFERROR(__xludf.DUMMYFUNCTION("""COMPUTED_VALUE"""),"[Jones, 1998]")</f>
        <v>[Jones, 1998]</v>
      </c>
      <c r="U784" s="179">
        <f>IFERROR(__xludf.DUMMYFUNCTION("""COMPUTED_VALUE"""),0.0)</f>
        <v>0</v>
      </c>
      <c r="V784" s="180">
        <f>IFERROR(__xludf.DUMMYFUNCTION("""COMPUTED_VALUE"""),0.0)</f>
        <v>0</v>
      </c>
      <c r="W784" s="180">
        <f>IFERROR(__xludf.DUMMYFUNCTION("""COMPUTED_VALUE"""),0.95)</f>
        <v>0.95</v>
      </c>
      <c r="X784" s="42">
        <f>IFERROR(__xludf.DUMMYFUNCTION("""COMPUTED_VALUE"""),0.0)</f>
        <v>0</v>
      </c>
      <c r="Y784" s="42">
        <f>IFERROR(__xludf.DUMMYFUNCTION("""COMPUTED_VALUE"""),0.0)</f>
        <v>0</v>
      </c>
      <c r="Z784" s="9">
        <f>IFERROR(__xludf.DUMMYFUNCTION("""COMPUTED_VALUE"""),0.0)</f>
        <v>0</v>
      </c>
      <c r="AA784" s="181">
        <f>IFERROR(__xludf.DUMMYFUNCTION("""COMPUTED_VALUE"""),0.0)</f>
        <v>0</v>
      </c>
      <c r="AB784" s="181">
        <f>IFERROR(__xludf.DUMMYFUNCTION("""COMPUTED_VALUE"""),0.0)</f>
        <v>0</v>
      </c>
      <c r="AC784" s="179">
        <f>IFERROR(__xludf.DUMMYFUNCTION("""COMPUTED_VALUE"""),0.0)</f>
        <v>0</v>
      </c>
      <c r="AD784" s="165">
        <f>IFERROR(__xludf.DUMMYFUNCTION("""COMPUTED_VALUE"""),0.0)</f>
        <v>0</v>
      </c>
      <c r="AE784" s="39" t="str">
        <f>IFERROR(__xludf.DUMMYFUNCTION("""COMPUTED_VALUE"""),"Hiroshi Yamakawa")</f>
        <v>Hiroshi Yamakawa</v>
      </c>
      <c r="AF784" s="39" t="str">
        <f>IFERROR(__xludf.DUMMYFUNCTION("""COMPUTED_VALUE"""),"HY18NeocorticalInterareaSignals")</f>
        <v>HY18NeocorticalInterareaSignals</v>
      </c>
      <c r="AG784" s="39"/>
      <c r="AH784" s="39"/>
      <c r="AI784" s="165"/>
      <c r="AJ784" s="165"/>
      <c r="AK784" s="111"/>
      <c r="AL784" s="111"/>
      <c r="AM784" s="111"/>
      <c r="AN784" s="111"/>
      <c r="AO784" s="111"/>
      <c r="AP784" s="111"/>
      <c r="AQ784" s="116"/>
      <c r="AR784" s="116"/>
      <c r="AS784" s="116"/>
    </row>
    <row r="785">
      <c r="A785" s="42" t="str">
        <f>IFERROR(__xludf.DUMMYFUNCTION("""COMPUTED_VALUE"""),"TRN_matrix")</f>
        <v>TRN_matrix</v>
      </c>
      <c r="B785" s="42"/>
      <c r="C785" s="42"/>
      <c r="D785" s="42" t="str">
        <f>IFERROR(__xludf.DUMMYFUNCTION("""COMPUTED_VALUE"""),"Cx.L1")</f>
        <v>Cx.L1</v>
      </c>
      <c r="E785" s="42"/>
      <c r="F785" s="42"/>
      <c r="G785" s="42"/>
      <c r="H785" s="42" t="str">
        <f>IFERROR(__xludf.DUMMYFUNCTION("""COMPUTED_VALUE"""),"")</f>
        <v/>
      </c>
      <c r="I785" s="42" t="str">
        <f>IFERROR(__xludf.DUMMYFUNCTION("""COMPUTED_VALUE"""),"Kaneko, 2013")</f>
        <v>Kaneko, 2013</v>
      </c>
      <c r="J785" s="42"/>
      <c r="K785" s="42"/>
      <c r="L785" s="42"/>
      <c r="M785" s="42"/>
      <c r="N785" s="42"/>
      <c r="O785" s="31" t="str">
        <f>IFERROR(__xludf.DUMMYFUNCTION("""COMPUTED_VALUE"""),"DOC")</f>
        <v>DOC</v>
      </c>
      <c r="P785" s="9" t="str">
        <f>IFERROR(__xludf.DUMMYFUNCTION("""COMPUTED_VALUE"""),"Frontiers in Neural Circuits")</f>
        <v>Frontiers in Neural Circuits</v>
      </c>
      <c r="Q785" s="9"/>
      <c r="R785" s="179" t="str">
        <f>IFERROR(__xludf.DUMMYFUNCTION("""COMPUTED_VALUE"""),"Cx.L1 (00/00) [Bonjean, 2012][Harris, 2015][Jones, 1998][Kaneko, 2013][Rodriguez, 2004][Wei, 2016];
")</f>
        <v>Cx.L1 (00/00) [Bonjean, 2012][Harris, 2015][Jones, 1998][Kaneko, 2013][Rodriguez, 2004][Wei, 2016];
</v>
      </c>
      <c r="S785" s="179" t="str">
        <f>IFERROR(__xludf.DUMMYFUNCTION("""COMPUTED_VALUE"""),"TRN_matrixCx.L1")</f>
        <v>TRN_matrixCx.L1</v>
      </c>
      <c r="T785" s="179" t="str">
        <f>IFERROR(__xludf.DUMMYFUNCTION("""COMPUTED_VALUE"""),"[Kaneko, 2013]")</f>
        <v>[Kaneko, 2013]</v>
      </c>
      <c r="U785" s="179">
        <f>IFERROR(__xludf.DUMMYFUNCTION("""COMPUTED_VALUE"""),0.0)</f>
        <v>0</v>
      </c>
      <c r="V785" s="180">
        <f>IFERROR(__xludf.DUMMYFUNCTION("""COMPUTED_VALUE"""),0.0)</f>
        <v>0</v>
      </c>
      <c r="W785" s="180">
        <f>IFERROR(__xludf.DUMMYFUNCTION("""COMPUTED_VALUE"""),0.95)</f>
        <v>0.95</v>
      </c>
      <c r="X785" s="42">
        <f>IFERROR(__xludf.DUMMYFUNCTION("""COMPUTED_VALUE"""),0.0)</f>
        <v>0</v>
      </c>
      <c r="Y785" s="42">
        <f>IFERROR(__xludf.DUMMYFUNCTION("""COMPUTED_VALUE"""),0.0)</f>
        <v>0</v>
      </c>
      <c r="Z785" s="9">
        <f>IFERROR(__xludf.DUMMYFUNCTION("""COMPUTED_VALUE"""),0.0)</f>
        <v>0</v>
      </c>
      <c r="AA785" s="181">
        <f>IFERROR(__xludf.DUMMYFUNCTION("""COMPUTED_VALUE"""),0.0)</f>
        <v>0</v>
      </c>
      <c r="AB785" s="181">
        <f>IFERROR(__xludf.DUMMYFUNCTION("""COMPUTED_VALUE"""),0.0)</f>
        <v>0</v>
      </c>
      <c r="AC785" s="179">
        <f>IFERROR(__xludf.DUMMYFUNCTION("""COMPUTED_VALUE"""),0.0)</f>
        <v>0</v>
      </c>
      <c r="AD785" s="165">
        <f>IFERROR(__xludf.DUMMYFUNCTION("""COMPUTED_VALUE"""),0.0)</f>
        <v>0</v>
      </c>
      <c r="AE785" s="39" t="str">
        <f>IFERROR(__xludf.DUMMYFUNCTION("""COMPUTED_VALUE"""),"Hiroshi Yamakawa")</f>
        <v>Hiroshi Yamakawa</v>
      </c>
      <c r="AF785" s="39" t="str">
        <f>IFERROR(__xludf.DUMMYFUNCTION("""COMPUTED_VALUE"""),"HY18NeocorticalInterareaSignals")</f>
        <v>HY18NeocorticalInterareaSignals</v>
      </c>
      <c r="AG785" s="39"/>
      <c r="AH785" s="39"/>
      <c r="AI785" s="165"/>
      <c r="AJ785" s="165"/>
      <c r="AK785" s="111"/>
      <c r="AL785" s="111"/>
      <c r="AM785" s="111"/>
      <c r="AN785" s="111"/>
      <c r="AO785" s="111"/>
      <c r="AP785" s="111"/>
      <c r="AQ785" s="116"/>
      <c r="AR785" s="116"/>
      <c r="AS785" s="116"/>
    </row>
    <row r="786">
      <c r="A786" s="42" t="str">
        <f>IFERROR(__xludf.DUMMYFUNCTION("""COMPUTED_VALUE"""),"TRN_matrix")</f>
        <v>TRN_matrix</v>
      </c>
      <c r="B786" s="42"/>
      <c r="C786" s="42"/>
      <c r="D786" s="42" t="str">
        <f>IFERROR(__xludf.DUMMYFUNCTION("""COMPUTED_VALUE"""),"R")</f>
        <v>R</v>
      </c>
      <c r="E786" s="42"/>
      <c r="F786" s="42"/>
      <c r="G786" s="42"/>
      <c r="H786" s="42" t="str">
        <f>IFERROR(__xludf.DUMMYFUNCTION("""COMPUTED_VALUE"""),"")</f>
        <v/>
      </c>
      <c r="I786" s="42" t="str">
        <f>IFERROR(__xludf.DUMMYFUNCTION("""COMPUTED_VALUE"""),"Kaneko, 2013")</f>
        <v>Kaneko, 2013</v>
      </c>
      <c r="J786" s="42"/>
      <c r="K786" s="42"/>
      <c r="L786" s="42"/>
      <c r="M786" s="42"/>
      <c r="N786" s="42"/>
      <c r="O786" s="31" t="str">
        <f>IFERROR(__xludf.DUMMYFUNCTION("""COMPUTED_VALUE"""),"DOC")</f>
        <v>DOC</v>
      </c>
      <c r="P786" s="9" t="str">
        <f>IFERROR(__xludf.DUMMYFUNCTION("""COMPUTED_VALUE"""),"Frontiers in Neural Circuits")</f>
        <v>Frontiers in Neural Circuits</v>
      </c>
      <c r="Q786" s="9"/>
      <c r="R786" s="179" t="str">
        <f>IFERROR(__xludf.DUMMYFUNCTION("""COMPUTED_VALUE"""),"R (00/00) [Benarroch, 2008][Bonjean, 2012][Clascá, 2012][Kaneko, 2013][Lemieux, 2014];
")</f>
        <v>R (00/00) [Benarroch, 2008][Bonjean, 2012][Clascá, 2012][Kaneko, 2013][Lemieux, 2014];
</v>
      </c>
      <c r="S786" s="179" t="str">
        <f>IFERROR(__xludf.DUMMYFUNCTION("""COMPUTED_VALUE"""),"TRN_matrixR")</f>
        <v>TRN_matrixR</v>
      </c>
      <c r="T786" s="179" t="str">
        <f>IFERROR(__xludf.DUMMYFUNCTION("""COMPUTED_VALUE"""),"[Kaneko, 2013]")</f>
        <v>[Kaneko, 2013]</v>
      </c>
      <c r="U786" s="179">
        <f>IFERROR(__xludf.DUMMYFUNCTION("""COMPUTED_VALUE"""),0.0)</f>
        <v>0</v>
      </c>
      <c r="V786" s="180">
        <f>IFERROR(__xludf.DUMMYFUNCTION("""COMPUTED_VALUE"""),0.0)</f>
        <v>0</v>
      </c>
      <c r="W786" s="180">
        <f>IFERROR(__xludf.DUMMYFUNCTION("""COMPUTED_VALUE"""),0.95)</f>
        <v>0.95</v>
      </c>
      <c r="X786" s="42">
        <f>IFERROR(__xludf.DUMMYFUNCTION("""COMPUTED_VALUE"""),0.0)</f>
        <v>0</v>
      </c>
      <c r="Y786" s="42">
        <f>IFERROR(__xludf.DUMMYFUNCTION("""COMPUTED_VALUE"""),0.0)</f>
        <v>0</v>
      </c>
      <c r="Z786" s="9">
        <f>IFERROR(__xludf.DUMMYFUNCTION("""COMPUTED_VALUE"""),0.0)</f>
        <v>0</v>
      </c>
      <c r="AA786" s="181">
        <f>IFERROR(__xludf.DUMMYFUNCTION("""COMPUTED_VALUE"""),0.0)</f>
        <v>0</v>
      </c>
      <c r="AB786" s="181">
        <f>IFERROR(__xludf.DUMMYFUNCTION("""COMPUTED_VALUE"""),0.0)</f>
        <v>0</v>
      </c>
      <c r="AC786" s="179">
        <f>IFERROR(__xludf.DUMMYFUNCTION("""COMPUTED_VALUE"""),0.0)</f>
        <v>0</v>
      </c>
      <c r="AD786" s="165">
        <f>IFERROR(__xludf.DUMMYFUNCTION("""COMPUTED_VALUE"""),0.0)</f>
        <v>0</v>
      </c>
      <c r="AE786" s="39" t="str">
        <f>IFERROR(__xludf.DUMMYFUNCTION("""COMPUTED_VALUE"""),"Hiroshi Yamakawa")</f>
        <v>Hiroshi Yamakawa</v>
      </c>
      <c r="AF786" s="39" t="str">
        <f>IFERROR(__xludf.DUMMYFUNCTION("""COMPUTED_VALUE"""),"HY18NeocorticalInterareaSignals")</f>
        <v>HY18NeocorticalInterareaSignals</v>
      </c>
      <c r="AG786" s="39"/>
      <c r="AH786" s="39"/>
      <c r="AI786" s="165"/>
      <c r="AJ786" s="165"/>
      <c r="AK786" s="111"/>
      <c r="AL786" s="111"/>
      <c r="AM786" s="111"/>
      <c r="AN786" s="111"/>
      <c r="AO786" s="111"/>
      <c r="AP786" s="111"/>
      <c r="AQ786" s="116"/>
      <c r="AR786" s="116"/>
      <c r="AS786" s="116"/>
    </row>
    <row r="787">
      <c r="A787" s="42" t="str">
        <f>IFERROR(__xludf.DUMMYFUNCTION("""COMPUTED_VALUE"""),"TRN_matrix")</f>
        <v>TRN_matrix</v>
      </c>
      <c r="B787" s="42"/>
      <c r="C787" s="42"/>
      <c r="D787" s="42" t="str">
        <f>IFERROR(__xludf.DUMMYFUNCTION("""COMPUTED_VALUE"""),"Cx.L5PT")</f>
        <v>Cx.L5PT</v>
      </c>
      <c r="E787" s="42"/>
      <c r="F787" s="42"/>
      <c r="G787" s="42"/>
      <c r="H787" s="42" t="str">
        <f>IFERROR(__xludf.DUMMYFUNCTION("""COMPUTED_VALUE"""),"")</f>
        <v/>
      </c>
      <c r="I787" s="42" t="str">
        <f>IFERROR(__xludf.DUMMYFUNCTION("""COMPUTED_VALUE"""),"Lemieux, 2014")</f>
        <v>Lemieux, 2014</v>
      </c>
      <c r="J787" s="42"/>
      <c r="K787" s="42"/>
      <c r="L787" s="42"/>
      <c r="M787" s="42"/>
      <c r="N787" s="42"/>
      <c r="O787" s="31" t="str">
        <f>IFERROR(__xludf.DUMMYFUNCTION("""COMPUTED_VALUE"""),"DOC")</f>
        <v>DOC</v>
      </c>
      <c r="P787" s="9" t="str">
        <f>IFERROR(__xludf.DUMMYFUNCTION("""COMPUTED_VALUE"""),"Journal of Neuroscience")</f>
        <v>Journal of Neuroscience</v>
      </c>
      <c r="Q787" s="9"/>
      <c r="R787" s="179" t="str">
        <f>IFERROR(__xludf.DUMMYFUNCTION("""COMPUTED_VALUE"""),"Cx.L5PT (00/00) [Lemieux, 2014];
")</f>
        <v>Cx.L5PT (00/00) [Lemieux, 2014];
</v>
      </c>
      <c r="S787" s="179" t="str">
        <f>IFERROR(__xludf.DUMMYFUNCTION("""COMPUTED_VALUE"""),"TRN_matrixCx.L5PT")</f>
        <v>TRN_matrixCx.L5PT</v>
      </c>
      <c r="T787" s="179" t="str">
        <f>IFERROR(__xludf.DUMMYFUNCTION("""COMPUTED_VALUE"""),"[Lemieux, 2014]")</f>
        <v>[Lemieux, 2014]</v>
      </c>
      <c r="U787" s="179">
        <f>IFERROR(__xludf.DUMMYFUNCTION("""COMPUTED_VALUE"""),0.0)</f>
        <v>0</v>
      </c>
      <c r="V787" s="180">
        <f>IFERROR(__xludf.DUMMYFUNCTION("""COMPUTED_VALUE"""),0.0)</f>
        <v>0</v>
      </c>
      <c r="W787" s="180">
        <f>IFERROR(__xludf.DUMMYFUNCTION("""COMPUTED_VALUE"""),0.95)</f>
        <v>0.95</v>
      </c>
      <c r="X787" s="42">
        <f>IFERROR(__xludf.DUMMYFUNCTION("""COMPUTED_VALUE"""),0.0)</f>
        <v>0</v>
      </c>
      <c r="Y787" s="42">
        <f>IFERROR(__xludf.DUMMYFUNCTION("""COMPUTED_VALUE"""),0.0)</f>
        <v>0</v>
      </c>
      <c r="Z787" s="9">
        <f>IFERROR(__xludf.DUMMYFUNCTION("""COMPUTED_VALUE"""),0.0)</f>
        <v>0</v>
      </c>
      <c r="AA787" s="181">
        <f>IFERROR(__xludf.DUMMYFUNCTION("""COMPUTED_VALUE"""),0.0)</f>
        <v>0</v>
      </c>
      <c r="AB787" s="181">
        <f>IFERROR(__xludf.DUMMYFUNCTION("""COMPUTED_VALUE"""),0.0)</f>
        <v>0</v>
      </c>
      <c r="AC787" s="179">
        <f>IFERROR(__xludf.DUMMYFUNCTION("""COMPUTED_VALUE"""),0.0)</f>
        <v>0</v>
      </c>
      <c r="AD787" s="165">
        <f>IFERROR(__xludf.DUMMYFUNCTION("""COMPUTED_VALUE"""),0.0)</f>
        <v>0</v>
      </c>
      <c r="AE787" s="39" t="str">
        <f>IFERROR(__xludf.DUMMYFUNCTION("""COMPUTED_VALUE"""),"Hiroshi Yamakawa")</f>
        <v>Hiroshi Yamakawa</v>
      </c>
      <c r="AF787" s="39" t="str">
        <f>IFERROR(__xludf.DUMMYFUNCTION("""COMPUTED_VALUE"""),"HY18NeocorticalInterareaSignals")</f>
        <v>HY18NeocorticalInterareaSignals</v>
      </c>
      <c r="AG787" s="39"/>
      <c r="AH787" s="39"/>
      <c r="AI787" s="165"/>
      <c r="AJ787" s="165"/>
      <c r="AK787" s="111"/>
      <c r="AL787" s="111"/>
      <c r="AM787" s="111"/>
      <c r="AN787" s="111"/>
      <c r="AO787" s="111"/>
      <c r="AP787" s="111"/>
      <c r="AQ787" s="116"/>
      <c r="AR787" s="116"/>
      <c r="AS787" s="116"/>
    </row>
    <row r="788">
      <c r="A788" s="42" t="str">
        <f>IFERROR(__xludf.DUMMYFUNCTION("""COMPUTED_VALUE"""),"TRN_matrix")</f>
        <v>TRN_matrix</v>
      </c>
      <c r="B788" s="42"/>
      <c r="C788" s="42"/>
      <c r="D788" s="42" t="str">
        <f>IFERROR(__xludf.DUMMYFUNCTION("""COMPUTED_VALUE"""),"Cx.L5IN")</f>
        <v>Cx.L5IN</v>
      </c>
      <c r="E788" s="42"/>
      <c r="F788" s="42"/>
      <c r="G788" s="42"/>
      <c r="H788" s="42" t="str">
        <f>IFERROR(__xludf.DUMMYFUNCTION("""COMPUTED_VALUE"""),"")</f>
        <v/>
      </c>
      <c r="I788" s="42" t="str">
        <f>IFERROR(__xludf.DUMMYFUNCTION("""COMPUTED_VALUE"""),"Lemieux, 2014")</f>
        <v>Lemieux, 2014</v>
      </c>
      <c r="J788" s="42"/>
      <c r="K788" s="42"/>
      <c r="L788" s="42"/>
      <c r="M788" s="42"/>
      <c r="N788" s="42"/>
      <c r="O788" s="131" t="str">
        <f>IFERROR(__xludf.DUMMYFUNCTION("""COMPUTED_VALUE"""),"DOC")</f>
        <v>DOC</v>
      </c>
      <c r="P788" s="9" t="str">
        <f>IFERROR(__xludf.DUMMYFUNCTION("""COMPUTED_VALUE"""),"Journal of Neuroscience")</f>
        <v>Journal of Neuroscience</v>
      </c>
      <c r="Q788" s="9"/>
      <c r="R788" s="179" t="str">
        <f>IFERROR(__xludf.DUMMYFUNCTION("""COMPUTED_VALUE"""),"Cx.L5IN (00/00) [Bonjean, 2012][Clascá, 2012][Harris, 2015][Lemieux, 2014][Wei, 2016];
")</f>
        <v>Cx.L5IN (00/00) [Bonjean, 2012][Clascá, 2012][Harris, 2015][Lemieux, 2014][Wei, 2016];
</v>
      </c>
      <c r="S788" s="179" t="str">
        <f>IFERROR(__xludf.DUMMYFUNCTION("""COMPUTED_VALUE"""),"TRN_matrixCx.L5IN")</f>
        <v>TRN_matrixCx.L5IN</v>
      </c>
      <c r="T788" s="179" t="str">
        <f>IFERROR(__xludf.DUMMYFUNCTION("""COMPUTED_VALUE"""),"[Lemieux, 2014]")</f>
        <v>[Lemieux, 2014]</v>
      </c>
      <c r="U788" s="179">
        <f>IFERROR(__xludf.DUMMYFUNCTION("""COMPUTED_VALUE"""),0.0)</f>
        <v>0</v>
      </c>
      <c r="V788" s="180">
        <f>IFERROR(__xludf.DUMMYFUNCTION("""COMPUTED_VALUE"""),0.0)</f>
        <v>0</v>
      </c>
      <c r="W788" s="180">
        <f>IFERROR(__xludf.DUMMYFUNCTION("""COMPUTED_VALUE"""),0.95)</f>
        <v>0.95</v>
      </c>
      <c r="X788" s="42">
        <f>IFERROR(__xludf.DUMMYFUNCTION("""COMPUTED_VALUE"""),0.0)</f>
        <v>0</v>
      </c>
      <c r="Y788" s="42">
        <f>IFERROR(__xludf.DUMMYFUNCTION("""COMPUTED_VALUE"""),0.0)</f>
        <v>0</v>
      </c>
      <c r="Z788" s="9">
        <f>IFERROR(__xludf.DUMMYFUNCTION("""COMPUTED_VALUE"""),0.0)</f>
        <v>0</v>
      </c>
      <c r="AA788" s="181">
        <f>IFERROR(__xludf.DUMMYFUNCTION("""COMPUTED_VALUE"""),0.0)</f>
        <v>0</v>
      </c>
      <c r="AB788" s="181">
        <f>IFERROR(__xludf.DUMMYFUNCTION("""COMPUTED_VALUE"""),0.0)</f>
        <v>0</v>
      </c>
      <c r="AC788" s="179">
        <f>IFERROR(__xludf.DUMMYFUNCTION("""COMPUTED_VALUE"""),0.0)</f>
        <v>0</v>
      </c>
      <c r="AD788" s="165">
        <f>IFERROR(__xludf.DUMMYFUNCTION("""COMPUTED_VALUE"""),0.0)</f>
        <v>0</v>
      </c>
      <c r="AE788" s="39" t="str">
        <f>IFERROR(__xludf.DUMMYFUNCTION("""COMPUTED_VALUE"""),"Hiroshi Yamakawa")</f>
        <v>Hiroshi Yamakawa</v>
      </c>
      <c r="AF788" s="39" t="str">
        <f>IFERROR(__xludf.DUMMYFUNCTION("""COMPUTED_VALUE"""),"HY18NeocorticalInterareaSignals")</f>
        <v>HY18NeocorticalInterareaSignals</v>
      </c>
      <c r="AG788" s="39"/>
      <c r="AH788" s="39"/>
      <c r="AI788" s="165"/>
      <c r="AJ788" s="165"/>
      <c r="AK788" s="111"/>
      <c r="AL788" s="111"/>
      <c r="AM788" s="111"/>
      <c r="AN788" s="111"/>
      <c r="AO788" s="111"/>
      <c r="AP788" s="111"/>
      <c r="AQ788" s="116"/>
      <c r="AR788" s="116"/>
      <c r="AS788" s="116"/>
    </row>
    <row r="789">
      <c r="A789" s="42" t="str">
        <f>IFERROR(__xludf.DUMMYFUNCTION("""COMPUTED_VALUE"""),"TRN_matrix")</f>
        <v>TRN_matrix</v>
      </c>
      <c r="B789" s="42"/>
      <c r="C789" s="42"/>
      <c r="D789" s="42" t="str">
        <f>IFERROR(__xludf.DUMMYFUNCTION("""COMPUTED_VALUE"""),"R")</f>
        <v>R</v>
      </c>
      <c r="E789" s="42"/>
      <c r="F789" s="42"/>
      <c r="G789" s="42"/>
      <c r="H789" s="42" t="str">
        <f>IFERROR(__xludf.DUMMYFUNCTION("""COMPUTED_VALUE"""),"")</f>
        <v/>
      </c>
      <c r="I789" s="42" t="str">
        <f>IFERROR(__xludf.DUMMYFUNCTION("""COMPUTED_VALUE"""),"Lemieux, 2014")</f>
        <v>Lemieux, 2014</v>
      </c>
      <c r="J789" s="42"/>
      <c r="K789" s="42"/>
      <c r="L789" s="42"/>
      <c r="M789" s="42"/>
      <c r="N789" s="42"/>
      <c r="O789" s="131" t="str">
        <f>IFERROR(__xludf.DUMMYFUNCTION("""COMPUTED_VALUE"""),"DOC")</f>
        <v>DOC</v>
      </c>
      <c r="P789" s="9" t="str">
        <f>IFERROR(__xludf.DUMMYFUNCTION("""COMPUTED_VALUE"""),"Journal of Neuroscience")</f>
        <v>Journal of Neuroscience</v>
      </c>
      <c r="Q789" s="9"/>
      <c r="R789" s="179" t="str">
        <f>IFERROR(__xludf.DUMMYFUNCTION("""COMPUTED_VALUE"""),"R (00/00) [Benarroch, 2008][Bonjean, 2012][Clascá, 2012][Kaneko, 2013][Lemieux, 2014];
")</f>
        <v>R (00/00) [Benarroch, 2008][Bonjean, 2012][Clascá, 2012][Kaneko, 2013][Lemieux, 2014];
</v>
      </c>
      <c r="S789" s="179" t="str">
        <f>IFERROR(__xludf.DUMMYFUNCTION("""COMPUTED_VALUE"""),"TRN_matrixR")</f>
        <v>TRN_matrixR</v>
      </c>
      <c r="T789" s="179" t="str">
        <f>IFERROR(__xludf.DUMMYFUNCTION("""COMPUTED_VALUE"""),"[Lemieux, 2014]")</f>
        <v>[Lemieux, 2014]</v>
      </c>
      <c r="U789" s="179">
        <f>IFERROR(__xludf.DUMMYFUNCTION("""COMPUTED_VALUE"""),0.0)</f>
        <v>0</v>
      </c>
      <c r="V789" s="180">
        <f>IFERROR(__xludf.DUMMYFUNCTION("""COMPUTED_VALUE"""),0.0)</f>
        <v>0</v>
      </c>
      <c r="W789" s="180">
        <f>IFERROR(__xludf.DUMMYFUNCTION("""COMPUTED_VALUE"""),0.95)</f>
        <v>0.95</v>
      </c>
      <c r="X789" s="42">
        <f>IFERROR(__xludf.DUMMYFUNCTION("""COMPUTED_VALUE"""),0.0)</f>
        <v>0</v>
      </c>
      <c r="Y789" s="42">
        <f>IFERROR(__xludf.DUMMYFUNCTION("""COMPUTED_VALUE"""),0.0)</f>
        <v>0</v>
      </c>
      <c r="Z789" s="9">
        <f>IFERROR(__xludf.DUMMYFUNCTION("""COMPUTED_VALUE"""),0.0)</f>
        <v>0</v>
      </c>
      <c r="AA789" s="181">
        <f>IFERROR(__xludf.DUMMYFUNCTION("""COMPUTED_VALUE"""),0.0)</f>
        <v>0</v>
      </c>
      <c r="AB789" s="181">
        <f>IFERROR(__xludf.DUMMYFUNCTION("""COMPUTED_VALUE"""),0.0)</f>
        <v>0</v>
      </c>
      <c r="AC789" s="179">
        <f>IFERROR(__xludf.DUMMYFUNCTION("""COMPUTED_VALUE"""),0.0)</f>
        <v>0</v>
      </c>
      <c r="AD789" s="165">
        <f>IFERROR(__xludf.DUMMYFUNCTION("""COMPUTED_VALUE"""),0.0)</f>
        <v>0</v>
      </c>
      <c r="AE789" s="39" t="str">
        <f>IFERROR(__xludf.DUMMYFUNCTION("""COMPUTED_VALUE"""),"Hiroshi Yamakawa")</f>
        <v>Hiroshi Yamakawa</v>
      </c>
      <c r="AF789" s="39" t="str">
        <f>IFERROR(__xludf.DUMMYFUNCTION("""COMPUTED_VALUE"""),"HY18NeocorticalInterareaSignals")</f>
        <v>HY18NeocorticalInterareaSignals</v>
      </c>
      <c r="AG789" s="39"/>
      <c r="AH789" s="39"/>
      <c r="AI789" s="165"/>
      <c r="AJ789" s="165"/>
      <c r="AK789" s="111"/>
      <c r="AL789" s="111"/>
      <c r="AM789" s="111"/>
      <c r="AN789" s="111"/>
      <c r="AO789" s="111"/>
      <c r="AP789" s="111"/>
      <c r="AQ789" s="116"/>
      <c r="AR789" s="116"/>
      <c r="AS789" s="116"/>
    </row>
    <row r="790">
      <c r="A790" s="42" t="str">
        <f>IFERROR(__xludf.DUMMYFUNCTION("""COMPUTED_VALUE"""),"TRN_matrix")</f>
        <v>TRN_matrix</v>
      </c>
      <c r="B790" s="42"/>
      <c r="C790" s="42"/>
      <c r="D790" s="42" t="str">
        <f>IFERROR(__xludf.DUMMYFUNCTION("""COMPUTED_VALUE"""),"Cx.L1")</f>
        <v>Cx.L1</v>
      </c>
      <c r="E790" s="42"/>
      <c r="F790" s="42"/>
      <c r="G790" s="42"/>
      <c r="H790" s="42" t="str">
        <f>IFERROR(__xludf.DUMMYFUNCTION("""COMPUTED_VALUE"""),"")</f>
        <v/>
      </c>
      <c r="I790" s="42" t="str">
        <f>IFERROR(__xludf.DUMMYFUNCTION("""COMPUTED_VALUE"""),"Rodriguez, 2004")</f>
        <v>Rodriguez, 2004</v>
      </c>
      <c r="J790" s="42"/>
      <c r="K790" s="42"/>
      <c r="L790" s="42"/>
      <c r="M790" s="42"/>
      <c r="N790" s="42"/>
      <c r="O790" s="131" t="str">
        <f>IFERROR(__xludf.DUMMYFUNCTION("""COMPUTED_VALUE"""),"DOC")</f>
        <v>DOC</v>
      </c>
      <c r="P790" s="9" t="str">
        <f>IFERROR(__xludf.DUMMYFUNCTION("""COMPUTED_VALUE"""),"Journal of Cognitive Neuroscience")</f>
        <v>Journal of Cognitive Neuroscience</v>
      </c>
      <c r="Q790" s="9"/>
      <c r="R790" s="179" t="str">
        <f>IFERROR(__xludf.DUMMYFUNCTION("""COMPUTED_VALUE"""),"Cx.L1 (00/00) [Bonjean, 2012][Harris, 2015][Jones, 1998][Kaneko, 2013][Rodriguez, 2004][Wei, 2016];
")</f>
        <v>Cx.L1 (00/00) [Bonjean, 2012][Harris, 2015][Jones, 1998][Kaneko, 2013][Rodriguez, 2004][Wei, 2016];
</v>
      </c>
      <c r="S790" s="179" t="str">
        <f>IFERROR(__xludf.DUMMYFUNCTION("""COMPUTED_VALUE"""),"TRN_matrixCx.L1")</f>
        <v>TRN_matrixCx.L1</v>
      </c>
      <c r="T790" s="179" t="str">
        <f>IFERROR(__xludf.DUMMYFUNCTION("""COMPUTED_VALUE"""),"[Rodriguez, 2004]")</f>
        <v>[Rodriguez, 2004]</v>
      </c>
      <c r="U790" s="179">
        <f>IFERROR(__xludf.DUMMYFUNCTION("""COMPUTED_VALUE"""),0.0)</f>
        <v>0</v>
      </c>
      <c r="V790" s="180">
        <f>IFERROR(__xludf.DUMMYFUNCTION("""COMPUTED_VALUE"""),0.0)</f>
        <v>0</v>
      </c>
      <c r="W790" s="180">
        <f>IFERROR(__xludf.DUMMYFUNCTION("""COMPUTED_VALUE"""),0.95)</f>
        <v>0.95</v>
      </c>
      <c r="X790" s="42">
        <f>IFERROR(__xludf.DUMMYFUNCTION("""COMPUTED_VALUE"""),0.0)</f>
        <v>0</v>
      </c>
      <c r="Y790" s="42">
        <f>IFERROR(__xludf.DUMMYFUNCTION("""COMPUTED_VALUE"""),0.0)</f>
        <v>0</v>
      </c>
      <c r="Z790" s="9">
        <f>IFERROR(__xludf.DUMMYFUNCTION("""COMPUTED_VALUE"""),0.0)</f>
        <v>0</v>
      </c>
      <c r="AA790" s="181">
        <f>IFERROR(__xludf.DUMMYFUNCTION("""COMPUTED_VALUE"""),0.0)</f>
        <v>0</v>
      </c>
      <c r="AB790" s="181">
        <f>IFERROR(__xludf.DUMMYFUNCTION("""COMPUTED_VALUE"""),0.0)</f>
        <v>0</v>
      </c>
      <c r="AC790" s="179">
        <f>IFERROR(__xludf.DUMMYFUNCTION("""COMPUTED_VALUE"""),0.0)</f>
        <v>0</v>
      </c>
      <c r="AD790" s="165">
        <f>IFERROR(__xludf.DUMMYFUNCTION("""COMPUTED_VALUE"""),0.0)</f>
        <v>0</v>
      </c>
      <c r="AE790" s="39" t="str">
        <f>IFERROR(__xludf.DUMMYFUNCTION("""COMPUTED_VALUE"""),"Hiroshi Yamakawa")</f>
        <v>Hiroshi Yamakawa</v>
      </c>
      <c r="AF790" s="39" t="str">
        <f>IFERROR(__xludf.DUMMYFUNCTION("""COMPUTED_VALUE"""),"HY18NeocorticalInterareaSignals")</f>
        <v>HY18NeocorticalInterareaSignals</v>
      </c>
      <c r="AG790" s="39"/>
      <c r="AH790" s="39"/>
      <c r="AI790" s="165"/>
      <c r="AJ790" s="165"/>
      <c r="AK790" s="111"/>
      <c r="AL790" s="111"/>
      <c r="AM790" s="111"/>
      <c r="AN790" s="111"/>
      <c r="AO790" s="111"/>
      <c r="AP790" s="111"/>
      <c r="AQ790" s="116"/>
      <c r="AR790" s="116"/>
      <c r="AS790" s="116"/>
    </row>
    <row r="791">
      <c r="A791" s="42" t="str">
        <f>IFERROR(__xludf.DUMMYFUNCTION("""COMPUTED_VALUE"""),"TRN_matrix")</f>
        <v>TRN_matrix</v>
      </c>
      <c r="B791" s="42"/>
      <c r="C791" s="42"/>
      <c r="D791" s="42" t="str">
        <f>IFERROR(__xludf.DUMMYFUNCTION("""COMPUTED_VALUE"""),"Cx.L1")</f>
        <v>Cx.L1</v>
      </c>
      <c r="E791" s="42"/>
      <c r="F791" s="42"/>
      <c r="G791" s="42"/>
      <c r="H791" s="42" t="str">
        <f>IFERROR(__xludf.DUMMYFUNCTION("""COMPUTED_VALUE"""),"")</f>
        <v/>
      </c>
      <c r="I791" s="42" t="str">
        <f>IFERROR(__xludf.DUMMYFUNCTION("""COMPUTED_VALUE"""),"Wei, 2016")</f>
        <v>Wei, 2016</v>
      </c>
      <c r="J791" s="42"/>
      <c r="K791" s="42"/>
      <c r="L791" s="42"/>
      <c r="M791" s="42"/>
      <c r="N791" s="42"/>
      <c r="O791" s="31" t="str">
        <f>IFERROR(__xludf.DUMMYFUNCTION("""COMPUTED_VALUE"""),"DOC")</f>
        <v>DOC</v>
      </c>
      <c r="P791" s="9" t="str">
        <f>IFERROR(__xludf.DUMMYFUNCTION("""COMPUTED_VALUE"""),"The Journal of Neuroscience")</f>
        <v>The Journal of Neuroscience</v>
      </c>
      <c r="Q791" s="9"/>
      <c r="R791" s="179" t="str">
        <f>IFERROR(__xludf.DUMMYFUNCTION("""COMPUTED_VALUE"""),"Cx.L1 (00/00) [Bonjean, 2012][Harris, 2015][Jones, 1998][Kaneko, 2013][Rodriguez, 2004][Wei, 2016];
")</f>
        <v>Cx.L1 (00/00) [Bonjean, 2012][Harris, 2015][Jones, 1998][Kaneko, 2013][Rodriguez, 2004][Wei, 2016];
</v>
      </c>
      <c r="S791" s="179" t="str">
        <f>IFERROR(__xludf.DUMMYFUNCTION("""COMPUTED_VALUE"""),"TRN_matrixCx.L1")</f>
        <v>TRN_matrixCx.L1</v>
      </c>
      <c r="T791" s="179" t="str">
        <f>IFERROR(__xludf.DUMMYFUNCTION("""COMPUTED_VALUE"""),"[Wei, 2016]")</f>
        <v>[Wei, 2016]</v>
      </c>
      <c r="U791" s="179">
        <f>IFERROR(__xludf.DUMMYFUNCTION("""COMPUTED_VALUE"""),0.0)</f>
        <v>0</v>
      </c>
      <c r="V791" s="180">
        <f>IFERROR(__xludf.DUMMYFUNCTION("""COMPUTED_VALUE"""),0.0)</f>
        <v>0</v>
      </c>
      <c r="W791" s="180">
        <f>IFERROR(__xludf.DUMMYFUNCTION("""COMPUTED_VALUE"""),0.95)</f>
        <v>0.95</v>
      </c>
      <c r="X791" s="42">
        <f>IFERROR(__xludf.DUMMYFUNCTION("""COMPUTED_VALUE"""),0.0)</f>
        <v>0</v>
      </c>
      <c r="Y791" s="42">
        <f>IFERROR(__xludf.DUMMYFUNCTION("""COMPUTED_VALUE"""),0.0)</f>
        <v>0</v>
      </c>
      <c r="Z791" s="9">
        <f>IFERROR(__xludf.DUMMYFUNCTION("""COMPUTED_VALUE"""),0.0)</f>
        <v>0</v>
      </c>
      <c r="AA791" s="181">
        <f>IFERROR(__xludf.DUMMYFUNCTION("""COMPUTED_VALUE"""),0.0)</f>
        <v>0</v>
      </c>
      <c r="AB791" s="181">
        <f>IFERROR(__xludf.DUMMYFUNCTION("""COMPUTED_VALUE"""),0.0)</f>
        <v>0</v>
      </c>
      <c r="AC791" s="179">
        <f>IFERROR(__xludf.DUMMYFUNCTION("""COMPUTED_VALUE"""),0.0)</f>
        <v>0</v>
      </c>
      <c r="AD791" s="165">
        <f>IFERROR(__xludf.DUMMYFUNCTION("""COMPUTED_VALUE"""),0.0)</f>
        <v>0</v>
      </c>
      <c r="AE791" s="39" t="str">
        <f>IFERROR(__xludf.DUMMYFUNCTION("""COMPUTED_VALUE"""),"Hiroshi Yamakawa")</f>
        <v>Hiroshi Yamakawa</v>
      </c>
      <c r="AF791" s="39" t="str">
        <f>IFERROR(__xludf.DUMMYFUNCTION("""COMPUTED_VALUE"""),"HY18NeocorticalInterareaSignals")</f>
        <v>HY18NeocorticalInterareaSignals</v>
      </c>
      <c r="AG791" s="39"/>
      <c r="AH791" s="39"/>
      <c r="AI791" s="165"/>
      <c r="AJ791" s="165"/>
      <c r="AK791" s="111"/>
      <c r="AL791" s="111"/>
      <c r="AM791" s="111"/>
      <c r="AN791" s="111"/>
      <c r="AO791" s="111"/>
      <c r="AP791" s="111"/>
      <c r="AQ791" s="116"/>
      <c r="AR791" s="116"/>
      <c r="AS791" s="116"/>
    </row>
    <row r="792">
      <c r="A792" s="42" t="str">
        <f>IFERROR(__xludf.DUMMYFUNCTION("""COMPUTED_VALUE"""),"TRN_matrix")</f>
        <v>TRN_matrix</v>
      </c>
      <c r="B792" s="42"/>
      <c r="C792" s="42"/>
      <c r="D792" s="42" t="str">
        <f>IFERROR(__xludf.DUMMYFUNCTION("""COMPUTED_VALUE"""),"Cx.L5IN")</f>
        <v>Cx.L5IN</v>
      </c>
      <c r="E792" s="42"/>
      <c r="F792" s="42"/>
      <c r="G792" s="42"/>
      <c r="H792" s="42" t="str">
        <f>IFERROR(__xludf.DUMMYFUNCTION("""COMPUTED_VALUE"""),"")</f>
        <v/>
      </c>
      <c r="I792" s="42" t="str">
        <f>IFERROR(__xludf.DUMMYFUNCTION("""COMPUTED_VALUE"""),"Wei, 2016")</f>
        <v>Wei, 2016</v>
      </c>
      <c r="J792" s="42"/>
      <c r="K792" s="42"/>
      <c r="L792" s="42"/>
      <c r="M792" s="42"/>
      <c r="N792" s="42"/>
      <c r="O792" s="31" t="str">
        <f>IFERROR(__xludf.DUMMYFUNCTION("""COMPUTED_VALUE"""),"DOC")</f>
        <v>DOC</v>
      </c>
      <c r="P792" s="9" t="str">
        <f>IFERROR(__xludf.DUMMYFUNCTION("""COMPUTED_VALUE"""),"The Journal of Neuroscience")</f>
        <v>The Journal of Neuroscience</v>
      </c>
      <c r="Q792" s="9"/>
      <c r="R792" s="179" t="str">
        <f>IFERROR(__xludf.DUMMYFUNCTION("""COMPUTED_VALUE"""),"Cx.L5IN (00/00) [Bonjean, 2012][Clascá, 2012][Harris, 2015][Lemieux, 2014][Wei, 2016];
")</f>
        <v>Cx.L5IN (00/00) [Bonjean, 2012][Clascá, 2012][Harris, 2015][Lemieux, 2014][Wei, 2016];
</v>
      </c>
      <c r="S792" s="179" t="str">
        <f>IFERROR(__xludf.DUMMYFUNCTION("""COMPUTED_VALUE"""),"TRN_matrixCx.L5IN")</f>
        <v>TRN_matrixCx.L5IN</v>
      </c>
      <c r="T792" s="179" t="str">
        <f>IFERROR(__xludf.DUMMYFUNCTION("""COMPUTED_VALUE"""),"[Wei, 2016]")</f>
        <v>[Wei, 2016]</v>
      </c>
      <c r="U792" s="179">
        <f>IFERROR(__xludf.DUMMYFUNCTION("""COMPUTED_VALUE"""),0.0)</f>
        <v>0</v>
      </c>
      <c r="V792" s="180">
        <f>IFERROR(__xludf.DUMMYFUNCTION("""COMPUTED_VALUE"""),0.0)</f>
        <v>0</v>
      </c>
      <c r="W792" s="180">
        <f>IFERROR(__xludf.DUMMYFUNCTION("""COMPUTED_VALUE"""),0.95)</f>
        <v>0.95</v>
      </c>
      <c r="X792" s="42">
        <f>IFERROR(__xludf.DUMMYFUNCTION("""COMPUTED_VALUE"""),0.0)</f>
        <v>0</v>
      </c>
      <c r="Y792" s="42">
        <f>IFERROR(__xludf.DUMMYFUNCTION("""COMPUTED_VALUE"""),0.0)</f>
        <v>0</v>
      </c>
      <c r="Z792" s="9">
        <f>IFERROR(__xludf.DUMMYFUNCTION("""COMPUTED_VALUE"""),0.0)</f>
        <v>0</v>
      </c>
      <c r="AA792" s="181">
        <f>IFERROR(__xludf.DUMMYFUNCTION("""COMPUTED_VALUE"""),0.0)</f>
        <v>0</v>
      </c>
      <c r="AB792" s="181">
        <f>IFERROR(__xludf.DUMMYFUNCTION("""COMPUTED_VALUE"""),0.0)</f>
        <v>0</v>
      </c>
      <c r="AC792" s="179">
        <f>IFERROR(__xludf.DUMMYFUNCTION("""COMPUTED_VALUE"""),0.0)</f>
        <v>0</v>
      </c>
      <c r="AD792" s="165">
        <f>IFERROR(__xludf.DUMMYFUNCTION("""COMPUTED_VALUE"""),0.0)</f>
        <v>0</v>
      </c>
      <c r="AE792" s="39" t="str">
        <f>IFERROR(__xludf.DUMMYFUNCTION("""COMPUTED_VALUE"""),"Hiroshi Yamakawa")</f>
        <v>Hiroshi Yamakawa</v>
      </c>
      <c r="AF792" s="39" t="str">
        <f>IFERROR(__xludf.DUMMYFUNCTION("""COMPUTED_VALUE"""),"HY18NeocorticalInterareaSignals")</f>
        <v>HY18NeocorticalInterareaSignals</v>
      </c>
      <c r="AG792" s="39"/>
      <c r="AH792" s="39"/>
      <c r="AI792" s="165"/>
      <c r="AJ792" s="165"/>
      <c r="AK792" s="111"/>
      <c r="AL792" s="111"/>
      <c r="AM792" s="111"/>
      <c r="AN792" s="111"/>
      <c r="AO792" s="111"/>
      <c r="AP792" s="111"/>
      <c r="AQ792" s="116"/>
      <c r="AR792" s="116"/>
      <c r="AS792" s="116"/>
    </row>
    <row r="793">
      <c r="A793" s="42" t="str">
        <f>IFERROR(__xludf.DUMMYFUNCTION("""COMPUTED_VALUE"""),"TT")</f>
        <v>TT</v>
      </c>
      <c r="B793" s="42"/>
      <c r="C793" s="42"/>
      <c r="D793" s="42" t="str">
        <f>IFERROR(__xludf.DUMMYFUNCTION("""COMPUTED_VALUE"""),"PAC")</f>
        <v>PAC</v>
      </c>
      <c r="E793" s="42"/>
      <c r="F793" s="42"/>
      <c r="G793" s="42"/>
      <c r="H793" s="42" t="str">
        <f>IFERROR(__xludf.DUMMYFUNCTION("""COMPUTED_VALUE"""),"")</f>
        <v/>
      </c>
      <c r="I793" s="42" t="str">
        <f>IFERROR(__xludf.DUMMYFUNCTION("""COMPUTED_VALUE"""),"Pitkänen, 2000")</f>
        <v>Pitkänen, 2000</v>
      </c>
      <c r="J793" s="42" t="str">
        <f>IFERROR(__xludf.DUMMYFUNCTION("""COMPUTED_VALUE"""),"Rat")</f>
        <v>Rat</v>
      </c>
      <c r="K793" s="42" t="str">
        <f>IFERROR(__xludf.DUMMYFUNCTION("""COMPUTED_VALUE"""),"Various tracing")</f>
        <v>Various tracing</v>
      </c>
      <c r="L793" s="42"/>
      <c r="M793" s="42" t="str">
        <f>IFERROR(__xludf.DUMMYFUNCTION("""COMPUTED_VALUE"""),"fig.3-fig.12 (to be specified)")</f>
        <v>fig.3-fig.12 (to be specified)</v>
      </c>
      <c r="N793" s="42"/>
      <c r="O793" s="31" t="str">
        <f>IFERROR(__xludf.DUMMYFUNCTION("""COMPUTED_VALUE"""),"DOC(alt)")</f>
        <v>DOC(alt)</v>
      </c>
      <c r="P793" s="9" t="str">
        <f>IFERROR(__xludf.DUMMYFUNCTION("""COMPUTED_VALUE"""),"Folia morphologica")</f>
        <v>Folia morphologica</v>
      </c>
      <c r="Q793" s="9" t="str">
        <f>IFERROR(__xludf.DUMMYFUNCTION("""COMPUTED_VALUE"""),"Review")</f>
        <v>Review</v>
      </c>
      <c r="R793" s="179" t="str">
        <f>IFERROR(__xludf.DUMMYFUNCTION("""COMPUTED_VALUE"""),"PAC (00/00) [Pitkänen, 2000];
")</f>
        <v>PAC (00/00) [Pitkänen, 2000];
</v>
      </c>
      <c r="S793" s="179" t="str">
        <f>IFERROR(__xludf.DUMMYFUNCTION("""COMPUTED_VALUE"""),"TTPAC")</f>
        <v>TTPAC</v>
      </c>
      <c r="T793" s="179" t="str">
        <f>IFERROR(__xludf.DUMMYFUNCTION("""COMPUTED_VALUE"""),"[Pitkänen, 2000]")</f>
        <v>[Pitkänen, 2000]</v>
      </c>
      <c r="U793" s="179">
        <f>IFERROR(__xludf.DUMMYFUNCTION("""COMPUTED_VALUE"""),0.0)</f>
        <v>0</v>
      </c>
      <c r="V793" s="180">
        <f>IFERROR(__xludf.DUMMYFUNCTION("""COMPUTED_VALUE"""),0.0)</f>
        <v>0</v>
      </c>
      <c r="W793" s="180">
        <f>IFERROR(__xludf.DUMMYFUNCTION("""COMPUTED_VALUE"""),0.95)</f>
        <v>0.95</v>
      </c>
      <c r="X793" s="42">
        <f>IFERROR(__xludf.DUMMYFUNCTION("""COMPUTED_VALUE"""),0.8)</f>
        <v>0.8</v>
      </c>
      <c r="Y793" s="42">
        <f>IFERROR(__xludf.DUMMYFUNCTION("""COMPUTED_VALUE"""),0.6)</f>
        <v>0.6</v>
      </c>
      <c r="Z793" s="9">
        <f>IFERROR(__xludf.DUMMYFUNCTION("""COMPUTED_VALUE"""),0.9)</f>
        <v>0.9</v>
      </c>
      <c r="AA793" s="181">
        <f>IFERROR(__xludf.DUMMYFUNCTION("""COMPUTED_VALUE"""),0.0)</f>
        <v>0</v>
      </c>
      <c r="AB793" s="181">
        <f>IFERROR(__xludf.DUMMYFUNCTION("""COMPUTED_VALUE"""),0.0)</f>
        <v>0</v>
      </c>
      <c r="AC793" s="179">
        <f>IFERROR(__xludf.DUMMYFUNCTION("""COMPUTED_VALUE"""),0.0)</f>
        <v>0</v>
      </c>
      <c r="AD793" s="165">
        <f>IFERROR(__xludf.DUMMYFUNCTION("""COMPUTED_VALUE"""),0.0)</f>
        <v>0</v>
      </c>
      <c r="AE793" s="39" t="str">
        <f>IFERROR(__xludf.DUMMYFUNCTION("""COMPUTED_VALUE"""),"Tatsuya Miyamoto")</f>
        <v>Tatsuya Miyamoto</v>
      </c>
      <c r="AF793" s="39" t="str">
        <f>IFERROR(__xludf.DUMMYFUNCTION("""COMPUTED_VALUE"""),"TM21Amygdala")</f>
        <v>TM21Amygdala</v>
      </c>
      <c r="AG793" s="39"/>
      <c r="AH793" s="39"/>
      <c r="AI793" s="165"/>
      <c r="AJ793" s="165"/>
      <c r="AK793" s="111"/>
      <c r="AL793" s="111"/>
      <c r="AM793" s="111"/>
      <c r="AN793" s="111"/>
      <c r="AO793" s="111"/>
      <c r="AP793" s="111"/>
      <c r="AQ793" s="116"/>
      <c r="AR793" s="116"/>
      <c r="AS793" s="116"/>
    </row>
    <row r="794">
      <c r="A794" s="42" t="str">
        <f>IFERROR(__xludf.DUMMYFUNCTION("""COMPUTED_VALUE"""),"Tu")</f>
        <v>Tu</v>
      </c>
      <c r="B794" s="42"/>
      <c r="C794" s="42"/>
      <c r="D794" s="42" t="str">
        <f>IFERROR(__xludf.DUMMYFUNCTION("""COMPUTED_VALUE"""),"Me")</f>
        <v>Me</v>
      </c>
      <c r="E794" s="42"/>
      <c r="F794" s="42"/>
      <c r="G794" s="42"/>
      <c r="H794" s="42" t="str">
        <f>IFERROR(__xludf.DUMMYFUNCTION("""COMPUTED_VALUE"""),"")</f>
        <v/>
      </c>
      <c r="I794" s="42" t="str">
        <f>IFERROR(__xludf.DUMMYFUNCTION("""COMPUTED_VALUE"""),"Pitkänen, 2000")</f>
        <v>Pitkänen, 2000</v>
      </c>
      <c r="J794" s="42" t="str">
        <f>IFERROR(__xludf.DUMMYFUNCTION("""COMPUTED_VALUE"""),"Rat")</f>
        <v>Rat</v>
      </c>
      <c r="K794" s="42" t="str">
        <f>IFERROR(__xludf.DUMMYFUNCTION("""COMPUTED_VALUE"""),"Various tracing")</f>
        <v>Various tracing</v>
      </c>
      <c r="L794" s="42"/>
      <c r="M794" s="42" t="str">
        <f>IFERROR(__xludf.DUMMYFUNCTION("""COMPUTED_VALUE"""),"fig.3-fig.12 (to be specified)")</f>
        <v>fig.3-fig.12 (to be specified)</v>
      </c>
      <c r="N794" s="42"/>
      <c r="O794" s="31" t="str">
        <f>IFERROR(__xludf.DUMMYFUNCTION("""COMPUTED_VALUE"""),"DOC(alt)")</f>
        <v>DOC(alt)</v>
      </c>
      <c r="P794" s="9" t="str">
        <f>IFERROR(__xludf.DUMMYFUNCTION("""COMPUTED_VALUE"""),"Folia morphologica")</f>
        <v>Folia morphologica</v>
      </c>
      <c r="Q794" s="9" t="str">
        <f>IFERROR(__xludf.DUMMYFUNCTION("""COMPUTED_VALUE"""),"Review")</f>
        <v>Review</v>
      </c>
      <c r="R794" s="179" t="str">
        <f>IFERROR(__xludf.DUMMYFUNCTION("""COMPUTED_VALUE"""),"Me (00/00) [Pitkänen, 2000];
")</f>
        <v>Me (00/00) [Pitkänen, 2000];
</v>
      </c>
      <c r="S794" s="179" t="str">
        <f>IFERROR(__xludf.DUMMYFUNCTION("""COMPUTED_VALUE"""),"TuMe")</f>
        <v>TuMe</v>
      </c>
      <c r="T794" s="179" t="str">
        <f>IFERROR(__xludf.DUMMYFUNCTION("""COMPUTED_VALUE"""),"[Pitkänen, 2000]")</f>
        <v>[Pitkänen, 2000]</v>
      </c>
      <c r="U794" s="179">
        <f>IFERROR(__xludf.DUMMYFUNCTION("""COMPUTED_VALUE"""),0.0)</f>
        <v>0</v>
      </c>
      <c r="V794" s="180">
        <f>IFERROR(__xludf.DUMMYFUNCTION("""COMPUTED_VALUE"""),0.0)</f>
        <v>0</v>
      </c>
      <c r="W794" s="180">
        <f>IFERROR(__xludf.DUMMYFUNCTION("""COMPUTED_VALUE"""),0.95)</f>
        <v>0.95</v>
      </c>
      <c r="X794" s="42">
        <f>IFERROR(__xludf.DUMMYFUNCTION("""COMPUTED_VALUE"""),0.8)</f>
        <v>0.8</v>
      </c>
      <c r="Y794" s="42">
        <f>IFERROR(__xludf.DUMMYFUNCTION("""COMPUTED_VALUE"""),0.6)</f>
        <v>0.6</v>
      </c>
      <c r="Z794" s="9">
        <f>IFERROR(__xludf.DUMMYFUNCTION("""COMPUTED_VALUE"""),0.9)</f>
        <v>0.9</v>
      </c>
      <c r="AA794" s="181">
        <f>IFERROR(__xludf.DUMMYFUNCTION("""COMPUTED_VALUE"""),0.0)</f>
        <v>0</v>
      </c>
      <c r="AB794" s="181">
        <f>IFERROR(__xludf.DUMMYFUNCTION("""COMPUTED_VALUE"""),0.0)</f>
        <v>0</v>
      </c>
      <c r="AC794" s="179">
        <f>IFERROR(__xludf.DUMMYFUNCTION("""COMPUTED_VALUE"""),0.0)</f>
        <v>0</v>
      </c>
      <c r="AD794" s="165">
        <f>IFERROR(__xludf.DUMMYFUNCTION("""COMPUTED_VALUE"""),0.0)</f>
        <v>0</v>
      </c>
      <c r="AE794" s="39" t="str">
        <f>IFERROR(__xludf.DUMMYFUNCTION("""COMPUTED_VALUE"""),"Tatsuya Miyamoto")</f>
        <v>Tatsuya Miyamoto</v>
      </c>
      <c r="AF794" s="39" t="str">
        <f>IFERROR(__xludf.DUMMYFUNCTION("""COMPUTED_VALUE"""),"TM21Amygdala")</f>
        <v>TM21Amygdala</v>
      </c>
      <c r="AG794" s="39"/>
      <c r="AH794" s="39"/>
      <c r="AI794" s="165"/>
      <c r="AJ794" s="165"/>
      <c r="AK794" s="111"/>
      <c r="AL794" s="111"/>
      <c r="AM794" s="111"/>
      <c r="AN794" s="111"/>
      <c r="AO794" s="111"/>
      <c r="AP794" s="111"/>
      <c r="AQ794" s="116"/>
      <c r="AR794" s="116"/>
      <c r="AS794" s="116"/>
    </row>
    <row r="795">
      <c r="A795" s="42" t="str">
        <f>IFERROR(__xludf.DUMMYFUNCTION("""COMPUTED_VALUE"""),"VA")</f>
        <v>VA</v>
      </c>
      <c r="B795" s="42"/>
      <c r="C795" s="42"/>
      <c r="D795" s="42" t="str">
        <f>IFERROR(__xludf.DUMMYFUNCTION("""COMPUTED_VALUE"""),"NCx")</f>
        <v>NCx</v>
      </c>
      <c r="E795" s="42"/>
      <c r="F795" s="42"/>
      <c r="G795" s="42"/>
      <c r="H795" s="42" t="str">
        <f>IFERROR(__xludf.DUMMYFUNCTION("""COMPUTED_VALUE"""),"(Sensorimotor)")</f>
        <v>(Sensorimotor)</v>
      </c>
      <c r="I795" s="42" t="str">
        <f>IFERROR(__xludf.DUMMYFUNCTION("""COMPUTED_VALUE"""),"Galvan, 2015")</f>
        <v>Galvan, 2015</v>
      </c>
      <c r="J795" s="42"/>
      <c r="K795" s="42"/>
      <c r="L795" s="42"/>
      <c r="M795" s="42"/>
      <c r="N795" s="42"/>
      <c r="O795" s="31" t="str">
        <f>IFERROR(__xludf.DUMMYFUNCTION("""COMPUTED_VALUE"""),"DOC")</f>
        <v>DOC</v>
      </c>
      <c r="P795" s="9" t="str">
        <f>IFERROR(__xludf.DUMMYFUNCTION("""COMPUTED_VALUE"""),"Frontiers in Neuroanatomy")</f>
        <v>Frontiers in Neuroanatomy</v>
      </c>
      <c r="Q795" s="9"/>
      <c r="R795" s="179" t="str">
        <f>IFERROR(__xludf.DUMMYFUNCTION("""COMPUTED_VALUE"""),"NCx (00/00) [Galvan, 2015][Habas, 2019](Sensorimotor);
")</f>
        <v>NCx (00/00) [Galvan, 2015][Habas, 2019](Sensorimotor);
</v>
      </c>
      <c r="S795" s="179" t="str">
        <f>IFERROR(__xludf.DUMMYFUNCTION("""COMPUTED_VALUE"""),"VANCx")</f>
        <v>VANCx</v>
      </c>
      <c r="T795" s="179" t="str">
        <f>IFERROR(__xludf.DUMMYFUNCTION("""COMPUTED_VALUE"""),"[Galvan, 2015]")</f>
        <v>[Galvan, 2015]</v>
      </c>
      <c r="U795" s="179">
        <f>IFERROR(__xludf.DUMMYFUNCTION("""COMPUTED_VALUE"""),0.0)</f>
        <v>0</v>
      </c>
      <c r="V795" s="180">
        <f>IFERROR(__xludf.DUMMYFUNCTION("""COMPUTED_VALUE"""),0.0)</f>
        <v>0</v>
      </c>
      <c r="W795" s="180">
        <f>IFERROR(__xludf.DUMMYFUNCTION("""COMPUTED_VALUE"""),0.95)</f>
        <v>0.95</v>
      </c>
      <c r="X795" s="42">
        <f>IFERROR(__xludf.DUMMYFUNCTION("""COMPUTED_VALUE"""),0.0)</f>
        <v>0</v>
      </c>
      <c r="Y795" s="42">
        <f>IFERROR(__xludf.DUMMYFUNCTION("""COMPUTED_VALUE"""),0.0)</f>
        <v>0</v>
      </c>
      <c r="Z795" s="9">
        <f>IFERROR(__xludf.DUMMYFUNCTION("""COMPUTED_VALUE"""),0.0)</f>
        <v>0</v>
      </c>
      <c r="AA795" s="181">
        <f>IFERROR(__xludf.DUMMYFUNCTION("""COMPUTED_VALUE"""),0.0)</f>
        <v>0</v>
      </c>
      <c r="AB795" s="181">
        <f>IFERROR(__xludf.DUMMYFUNCTION("""COMPUTED_VALUE"""),0.0)</f>
        <v>0</v>
      </c>
      <c r="AC795" s="179">
        <f>IFERROR(__xludf.DUMMYFUNCTION("""COMPUTED_VALUE"""),0.0)</f>
        <v>0</v>
      </c>
      <c r="AD795" s="165">
        <f>IFERROR(__xludf.DUMMYFUNCTION("""COMPUTED_VALUE"""),0.0)</f>
        <v>0</v>
      </c>
      <c r="AE795" s="39" t="str">
        <f>IFERROR(__xludf.DUMMYFUNCTION("""COMPUTED_VALUE"""),"Yuske Shibata")</f>
        <v>Yuske Shibata</v>
      </c>
      <c r="AF795" s="39" t="str">
        <f>IFERROR(__xludf.DUMMYFUNCTION("""COMPUTED_VALUE"""),"YS21BgLoop")</f>
        <v>YS21BgLoop</v>
      </c>
      <c r="AG795" s="39"/>
      <c r="AH795" s="39"/>
      <c r="AI795" s="165"/>
      <c r="AJ795" s="165"/>
      <c r="AK795" s="111"/>
      <c r="AL795" s="111"/>
      <c r="AM795" s="111"/>
      <c r="AN795" s="111"/>
      <c r="AO795" s="111"/>
      <c r="AP795" s="111"/>
      <c r="AQ795" s="116"/>
      <c r="AR795" s="116"/>
      <c r="AS795" s="116"/>
    </row>
    <row r="796">
      <c r="A796" s="42" t="str">
        <f>IFERROR(__xludf.DUMMYFUNCTION("""COMPUTED_VALUE"""),"VA")</f>
        <v>VA</v>
      </c>
      <c r="B796" s="42"/>
      <c r="C796" s="42"/>
      <c r="D796" s="42" t="str">
        <f>IFERROR(__xludf.DUMMYFUNCTION("""COMPUTED_VALUE"""),"NCx")</f>
        <v>NCx</v>
      </c>
      <c r="E796" s="42"/>
      <c r="F796" s="42"/>
      <c r="G796" s="42"/>
      <c r="H796" s="42" t="str">
        <f>IFERROR(__xludf.DUMMYFUNCTION("""COMPUTED_VALUE"""),"")</f>
        <v/>
      </c>
      <c r="I796" s="42" t="str">
        <f>IFERROR(__xludf.DUMMYFUNCTION("""COMPUTED_VALUE"""),"Habas, 2019")</f>
        <v>Habas, 2019</v>
      </c>
      <c r="J796" s="42"/>
      <c r="K796" s="42"/>
      <c r="L796" s="42"/>
      <c r="M796" s="42"/>
      <c r="N796" s="42"/>
      <c r="O796" s="31" t="str">
        <f>IFERROR(__xludf.DUMMYFUNCTION("""COMPUTED_VALUE"""),"DOC")</f>
        <v>DOC</v>
      </c>
      <c r="P796" s="9" t="str">
        <f>IFERROR(__xludf.DUMMYFUNCTION("""COMPUTED_VALUE"""),"The Cerebellum")</f>
        <v>The Cerebellum</v>
      </c>
      <c r="Q796" s="9"/>
      <c r="R796" s="179" t="str">
        <f>IFERROR(__xludf.DUMMYFUNCTION("""COMPUTED_VALUE"""),"NCx (00/00) [Galvan, 2015][Habas, 2019];
")</f>
        <v>NCx (00/00) [Galvan, 2015][Habas, 2019];
</v>
      </c>
      <c r="S796" s="179" t="str">
        <f>IFERROR(__xludf.DUMMYFUNCTION("""COMPUTED_VALUE"""),"VANCx")</f>
        <v>VANCx</v>
      </c>
      <c r="T796" s="179" t="str">
        <f>IFERROR(__xludf.DUMMYFUNCTION("""COMPUTED_VALUE"""),"[Habas, 2019]")</f>
        <v>[Habas, 2019]</v>
      </c>
      <c r="U796" s="179">
        <f>IFERROR(__xludf.DUMMYFUNCTION("""COMPUTED_VALUE"""),0.0)</f>
        <v>0</v>
      </c>
      <c r="V796" s="180">
        <f>IFERROR(__xludf.DUMMYFUNCTION("""COMPUTED_VALUE"""),0.0)</f>
        <v>0</v>
      </c>
      <c r="W796" s="180">
        <f>IFERROR(__xludf.DUMMYFUNCTION("""COMPUTED_VALUE"""),0.95)</f>
        <v>0.95</v>
      </c>
      <c r="X796" s="42">
        <f>IFERROR(__xludf.DUMMYFUNCTION("""COMPUTED_VALUE"""),0.0)</f>
        <v>0</v>
      </c>
      <c r="Y796" s="42">
        <f>IFERROR(__xludf.DUMMYFUNCTION("""COMPUTED_VALUE"""),0.0)</f>
        <v>0</v>
      </c>
      <c r="Z796" s="9">
        <f>IFERROR(__xludf.DUMMYFUNCTION("""COMPUTED_VALUE"""),0.0)</f>
        <v>0</v>
      </c>
      <c r="AA796" s="181">
        <f>IFERROR(__xludf.DUMMYFUNCTION("""COMPUTED_VALUE"""),0.0)</f>
        <v>0</v>
      </c>
      <c r="AB796" s="181">
        <f>IFERROR(__xludf.DUMMYFUNCTION("""COMPUTED_VALUE"""),0.0)</f>
        <v>0</v>
      </c>
      <c r="AC796" s="179">
        <f>IFERROR(__xludf.DUMMYFUNCTION("""COMPUTED_VALUE"""),0.0)</f>
        <v>0</v>
      </c>
      <c r="AD796" s="165">
        <f>IFERROR(__xludf.DUMMYFUNCTION("""COMPUTED_VALUE"""),0.0)</f>
        <v>0</v>
      </c>
      <c r="AE796" s="39" t="str">
        <f>IFERROR(__xludf.DUMMYFUNCTION("""COMPUTED_VALUE"""),"Hiroshi Yamakawa")</f>
        <v>Hiroshi Yamakawa</v>
      </c>
      <c r="AF796" s="39" t="str">
        <f>IFERROR(__xludf.DUMMYFUNCTION("""COMPUTED_VALUE"""),"HY20Cerebellum")</f>
        <v>HY20Cerebellum</v>
      </c>
      <c r="AG796" s="39"/>
      <c r="AH796" s="39"/>
      <c r="AI796" s="165"/>
      <c r="AJ796" s="165"/>
      <c r="AK796" s="111"/>
      <c r="AL796" s="111"/>
      <c r="AM796" s="111"/>
      <c r="AN796" s="111"/>
      <c r="AO796" s="111"/>
      <c r="AP796" s="111"/>
      <c r="AQ796" s="116"/>
      <c r="AR796" s="116"/>
      <c r="AS796" s="116"/>
    </row>
    <row r="797">
      <c r="A797" s="42" t="str">
        <f>IFERROR(__xludf.DUMMYFUNCTION("""COMPUTED_VALUE"""),"VA_core")</f>
        <v>VA_core</v>
      </c>
      <c r="B797" s="42"/>
      <c r="C797" s="42"/>
      <c r="D797" s="42" t="str">
        <f>IFERROR(__xludf.DUMMYFUNCTION("""COMPUTED_VALUE"""),"PoFC.L3")</f>
        <v>PoFC.L3</v>
      </c>
      <c r="E797" s="42"/>
      <c r="F797" s="42"/>
      <c r="G797" s="42"/>
      <c r="H797" s="42" t="str">
        <f>IFERROR(__xludf.DUMMYFUNCTION("""COMPUTED_VALUE"""),"")</f>
        <v/>
      </c>
      <c r="I797" s="42" t="str">
        <f>IFERROR(__xludf.DUMMYFUNCTION("""COMPUTED_VALUE"""),"Kaneko, 2013")</f>
        <v>Kaneko, 2013</v>
      </c>
      <c r="J797" s="42"/>
      <c r="K797" s="42"/>
      <c r="L797" s="42"/>
      <c r="M797" s="42"/>
      <c r="N797" s="42"/>
      <c r="O797" s="31" t="str">
        <f>IFERROR(__xludf.DUMMYFUNCTION("""COMPUTED_VALUE"""),"DOC")</f>
        <v>DOC</v>
      </c>
      <c r="P797" s="9" t="str">
        <f>IFERROR(__xludf.DUMMYFUNCTION("""COMPUTED_VALUE"""),"Frontiers in Neural Circuits")</f>
        <v>Frontiers in Neural Circuits</v>
      </c>
      <c r="Q797" s="9"/>
      <c r="R797" s="179" t="str">
        <f>IFERROR(__xludf.DUMMYFUNCTION("""COMPUTED_VALUE"""),"PoFC.L3 (00/00) [Kaneko, 2013];
")</f>
        <v>PoFC.L3 (00/00) [Kaneko, 2013];
</v>
      </c>
      <c r="S797" s="179" t="str">
        <f>IFERROR(__xludf.DUMMYFUNCTION("""COMPUTED_VALUE"""),"VA_corePoFC.L3")</f>
        <v>VA_corePoFC.L3</v>
      </c>
      <c r="T797" s="179" t="str">
        <f>IFERROR(__xludf.DUMMYFUNCTION("""COMPUTED_VALUE"""),"[Kaneko, 2013]")</f>
        <v>[Kaneko, 2013]</v>
      </c>
      <c r="U797" s="179">
        <f>IFERROR(__xludf.DUMMYFUNCTION("""COMPUTED_VALUE"""),0.0)</f>
        <v>0</v>
      </c>
      <c r="V797" s="180">
        <f>IFERROR(__xludf.DUMMYFUNCTION("""COMPUTED_VALUE"""),0.0)</f>
        <v>0</v>
      </c>
      <c r="W797" s="180">
        <f>IFERROR(__xludf.DUMMYFUNCTION("""COMPUTED_VALUE"""),0.95)</f>
        <v>0.95</v>
      </c>
      <c r="X797" s="42">
        <f>IFERROR(__xludf.DUMMYFUNCTION("""COMPUTED_VALUE"""),0.0)</f>
        <v>0</v>
      </c>
      <c r="Y797" s="42">
        <f>IFERROR(__xludf.DUMMYFUNCTION("""COMPUTED_VALUE"""),0.0)</f>
        <v>0</v>
      </c>
      <c r="Z797" s="9">
        <f>IFERROR(__xludf.DUMMYFUNCTION("""COMPUTED_VALUE"""),0.0)</f>
        <v>0</v>
      </c>
      <c r="AA797" s="181">
        <f>IFERROR(__xludf.DUMMYFUNCTION("""COMPUTED_VALUE"""),0.0)</f>
        <v>0</v>
      </c>
      <c r="AB797" s="181">
        <f>IFERROR(__xludf.DUMMYFUNCTION("""COMPUTED_VALUE"""),0.0)</f>
        <v>0</v>
      </c>
      <c r="AC797" s="179">
        <f>IFERROR(__xludf.DUMMYFUNCTION("""COMPUTED_VALUE"""),0.0)</f>
        <v>0</v>
      </c>
      <c r="AD797" s="165">
        <f>IFERROR(__xludf.DUMMYFUNCTION("""COMPUTED_VALUE"""),0.0)</f>
        <v>0</v>
      </c>
      <c r="AE797" s="39" t="str">
        <f>IFERROR(__xludf.DUMMYFUNCTION("""COMPUTED_VALUE"""),"Hiroshi Yamakawa")</f>
        <v>Hiroshi Yamakawa</v>
      </c>
      <c r="AF797" s="39" t="str">
        <f>IFERROR(__xludf.DUMMYFUNCTION("""COMPUTED_VALUE"""),"HY20Cerebellum")</f>
        <v>HY20Cerebellum</v>
      </c>
      <c r="AG797" s="39"/>
      <c r="AH797" s="39"/>
      <c r="AI797" s="165"/>
      <c r="AJ797" s="165"/>
      <c r="AK797" s="111"/>
      <c r="AL797" s="111"/>
      <c r="AM797" s="111"/>
      <c r="AN797" s="111"/>
      <c r="AO797" s="111"/>
      <c r="AP797" s="111"/>
      <c r="AQ797" s="116"/>
      <c r="AR797" s="116"/>
      <c r="AS797" s="116"/>
    </row>
    <row r="798">
      <c r="A798" s="42" t="str">
        <f>IFERROR(__xludf.DUMMYFUNCTION("""COMPUTED_VALUE"""),"VA_core")</f>
        <v>VA_core</v>
      </c>
      <c r="B798" s="42"/>
      <c r="C798" s="42"/>
      <c r="D798" s="42" t="str">
        <f>IFERROR(__xludf.DUMMYFUNCTION("""COMPUTED_VALUE"""),"PoFC.L4")</f>
        <v>PoFC.L4</v>
      </c>
      <c r="E798" s="42"/>
      <c r="F798" s="42"/>
      <c r="G798" s="42"/>
      <c r="H798" s="42" t="str">
        <f>IFERROR(__xludf.DUMMYFUNCTION("""COMPUTED_VALUE"""),"")</f>
        <v/>
      </c>
      <c r="I798" s="42" t="str">
        <f>IFERROR(__xludf.DUMMYFUNCTION("""COMPUTED_VALUE"""),"Kaneko, 2013")</f>
        <v>Kaneko, 2013</v>
      </c>
      <c r="J798" s="42"/>
      <c r="K798" s="42"/>
      <c r="L798" s="42"/>
      <c r="M798" s="42"/>
      <c r="N798" s="42"/>
      <c r="O798" s="131" t="str">
        <f>IFERROR(__xludf.DUMMYFUNCTION("""COMPUTED_VALUE"""),"DOC")</f>
        <v>DOC</v>
      </c>
      <c r="P798" s="9" t="str">
        <f>IFERROR(__xludf.DUMMYFUNCTION("""COMPUTED_VALUE"""),"Frontiers in Neural Circuits")</f>
        <v>Frontiers in Neural Circuits</v>
      </c>
      <c r="Q798" s="9"/>
      <c r="R798" s="179" t="str">
        <f>IFERROR(__xludf.DUMMYFUNCTION("""COMPUTED_VALUE"""),"PoFC.L4 (00/00) [Kaneko, 2013];
")</f>
        <v>PoFC.L4 (00/00) [Kaneko, 2013];
</v>
      </c>
      <c r="S798" s="179" t="str">
        <f>IFERROR(__xludf.DUMMYFUNCTION("""COMPUTED_VALUE"""),"VA_corePoFC.L4")</f>
        <v>VA_corePoFC.L4</v>
      </c>
      <c r="T798" s="179" t="str">
        <f>IFERROR(__xludf.DUMMYFUNCTION("""COMPUTED_VALUE"""),"[Kaneko, 2013]")</f>
        <v>[Kaneko, 2013]</v>
      </c>
      <c r="U798" s="179">
        <f>IFERROR(__xludf.DUMMYFUNCTION("""COMPUTED_VALUE"""),0.0)</f>
        <v>0</v>
      </c>
      <c r="V798" s="180">
        <f>IFERROR(__xludf.DUMMYFUNCTION("""COMPUTED_VALUE"""),0.0)</f>
        <v>0</v>
      </c>
      <c r="W798" s="180">
        <f>IFERROR(__xludf.DUMMYFUNCTION("""COMPUTED_VALUE"""),0.95)</f>
        <v>0.95</v>
      </c>
      <c r="X798" s="42">
        <f>IFERROR(__xludf.DUMMYFUNCTION("""COMPUTED_VALUE"""),0.0)</f>
        <v>0</v>
      </c>
      <c r="Y798" s="42">
        <f>IFERROR(__xludf.DUMMYFUNCTION("""COMPUTED_VALUE"""),0.0)</f>
        <v>0</v>
      </c>
      <c r="Z798" s="9">
        <f>IFERROR(__xludf.DUMMYFUNCTION("""COMPUTED_VALUE"""),0.0)</f>
        <v>0</v>
      </c>
      <c r="AA798" s="181">
        <f>IFERROR(__xludf.DUMMYFUNCTION("""COMPUTED_VALUE"""),0.0)</f>
        <v>0</v>
      </c>
      <c r="AB798" s="181">
        <f>IFERROR(__xludf.DUMMYFUNCTION("""COMPUTED_VALUE"""),0.0)</f>
        <v>0</v>
      </c>
      <c r="AC798" s="179">
        <f>IFERROR(__xludf.DUMMYFUNCTION("""COMPUTED_VALUE"""),0.0)</f>
        <v>0</v>
      </c>
      <c r="AD798" s="165">
        <f>IFERROR(__xludf.DUMMYFUNCTION("""COMPUTED_VALUE"""),0.0)</f>
        <v>0</v>
      </c>
      <c r="AE798" s="39" t="str">
        <f>IFERROR(__xludf.DUMMYFUNCTION("""COMPUTED_VALUE"""),"Hiroshi Yamakawa")</f>
        <v>Hiroshi Yamakawa</v>
      </c>
      <c r="AF798" s="39" t="str">
        <f>IFERROR(__xludf.DUMMYFUNCTION("""COMPUTED_VALUE"""),"HY20Cerebellum")</f>
        <v>HY20Cerebellum</v>
      </c>
      <c r="AG798" s="39"/>
      <c r="AH798" s="39"/>
      <c r="AI798" s="165"/>
      <c r="AJ798" s="165"/>
      <c r="AK798" s="111"/>
      <c r="AL798" s="111"/>
      <c r="AM798" s="111"/>
      <c r="AN798" s="111"/>
      <c r="AO798" s="111"/>
      <c r="AP798" s="111"/>
      <c r="AQ798" s="116"/>
      <c r="AR798" s="116"/>
      <c r="AS798" s="116"/>
    </row>
    <row r="799">
      <c r="A799" s="42" t="str">
        <f>IFERROR(__xludf.DUMMYFUNCTION("""COMPUTED_VALUE"""),"VA_core")</f>
        <v>VA_core</v>
      </c>
      <c r="B799" s="42"/>
      <c r="C799" s="42"/>
      <c r="D799" s="42" t="str">
        <f>IFERROR(__xludf.DUMMYFUNCTION("""COMPUTED_VALUE"""),"PoFC.L5")</f>
        <v>PoFC.L5</v>
      </c>
      <c r="E799" s="42"/>
      <c r="F799" s="42"/>
      <c r="G799" s="42"/>
      <c r="H799" s="42" t="str">
        <f>IFERROR(__xludf.DUMMYFUNCTION("""COMPUTED_VALUE"""),"")</f>
        <v/>
      </c>
      <c r="I799" s="42" t="str">
        <f>IFERROR(__xludf.DUMMYFUNCTION("""COMPUTED_VALUE"""),"Kaneko, 2013")</f>
        <v>Kaneko, 2013</v>
      </c>
      <c r="J799" s="42"/>
      <c r="K799" s="42"/>
      <c r="L799" s="42"/>
      <c r="M799" s="42"/>
      <c r="N799" s="42"/>
      <c r="O799" s="131" t="str">
        <f>IFERROR(__xludf.DUMMYFUNCTION("""COMPUTED_VALUE"""),"DOC")</f>
        <v>DOC</v>
      </c>
      <c r="P799" s="9" t="str">
        <f>IFERROR(__xludf.DUMMYFUNCTION("""COMPUTED_VALUE"""),"Frontiers in Neural Circuits")</f>
        <v>Frontiers in Neural Circuits</v>
      </c>
      <c r="Q799" s="9"/>
      <c r="R799" s="179" t="str">
        <f>IFERROR(__xludf.DUMMYFUNCTION("""COMPUTED_VALUE"""),"PoFC.L5 (00/00) [Kaneko, 2013];
")</f>
        <v>PoFC.L5 (00/00) [Kaneko, 2013];
</v>
      </c>
      <c r="S799" s="179" t="str">
        <f>IFERROR(__xludf.DUMMYFUNCTION("""COMPUTED_VALUE"""),"VA_corePoFC.L5")</f>
        <v>VA_corePoFC.L5</v>
      </c>
      <c r="T799" s="179" t="str">
        <f>IFERROR(__xludf.DUMMYFUNCTION("""COMPUTED_VALUE"""),"[Kaneko, 2013]")</f>
        <v>[Kaneko, 2013]</v>
      </c>
      <c r="U799" s="179">
        <f>IFERROR(__xludf.DUMMYFUNCTION("""COMPUTED_VALUE"""),0.0)</f>
        <v>0</v>
      </c>
      <c r="V799" s="180">
        <f>IFERROR(__xludf.DUMMYFUNCTION("""COMPUTED_VALUE"""),0.0)</f>
        <v>0</v>
      </c>
      <c r="W799" s="180">
        <f>IFERROR(__xludf.DUMMYFUNCTION("""COMPUTED_VALUE"""),0.95)</f>
        <v>0.95</v>
      </c>
      <c r="X799" s="42">
        <f>IFERROR(__xludf.DUMMYFUNCTION("""COMPUTED_VALUE"""),0.0)</f>
        <v>0</v>
      </c>
      <c r="Y799" s="42">
        <f>IFERROR(__xludf.DUMMYFUNCTION("""COMPUTED_VALUE"""),0.0)</f>
        <v>0</v>
      </c>
      <c r="Z799" s="9">
        <f>IFERROR(__xludf.DUMMYFUNCTION("""COMPUTED_VALUE"""),0.0)</f>
        <v>0</v>
      </c>
      <c r="AA799" s="181">
        <f>IFERROR(__xludf.DUMMYFUNCTION("""COMPUTED_VALUE"""),0.0)</f>
        <v>0</v>
      </c>
      <c r="AB799" s="181">
        <f>IFERROR(__xludf.DUMMYFUNCTION("""COMPUTED_VALUE"""),0.0)</f>
        <v>0</v>
      </c>
      <c r="AC799" s="179">
        <f>IFERROR(__xludf.DUMMYFUNCTION("""COMPUTED_VALUE"""),0.0)</f>
        <v>0</v>
      </c>
      <c r="AD799" s="165">
        <f>IFERROR(__xludf.DUMMYFUNCTION("""COMPUTED_VALUE"""),0.0)</f>
        <v>0</v>
      </c>
      <c r="AE799" s="39" t="str">
        <f>IFERROR(__xludf.DUMMYFUNCTION("""COMPUTED_VALUE"""),"Hiroshi Yamakawa")</f>
        <v>Hiroshi Yamakawa</v>
      </c>
      <c r="AF799" s="39" t="str">
        <f>IFERROR(__xludf.DUMMYFUNCTION("""COMPUTED_VALUE"""),"HY20Cerebellum")</f>
        <v>HY20Cerebellum</v>
      </c>
      <c r="AG799" s="39"/>
      <c r="AH799" s="39"/>
      <c r="AI799" s="165"/>
      <c r="AJ799" s="165"/>
      <c r="AK799" s="111"/>
      <c r="AL799" s="111"/>
      <c r="AM799" s="111"/>
      <c r="AN799" s="111"/>
      <c r="AO799" s="111"/>
      <c r="AP799" s="111"/>
      <c r="AQ799" s="116"/>
      <c r="AR799" s="116"/>
      <c r="AS799" s="116"/>
    </row>
    <row r="800">
      <c r="A800" s="42" t="str">
        <f>IFERROR(__xludf.DUMMYFUNCTION("""COMPUTED_VALUE"""),"VA_matrix")</f>
        <v>VA_matrix</v>
      </c>
      <c r="B800" s="42"/>
      <c r="C800" s="42"/>
      <c r="D800" s="42" t="str">
        <f>IFERROR(__xludf.DUMMYFUNCTION("""COMPUTED_VALUE"""),"PoFC.L1")</f>
        <v>PoFC.L1</v>
      </c>
      <c r="E800" s="42"/>
      <c r="F800" s="42"/>
      <c r="G800" s="42"/>
      <c r="H800" s="42" t="str">
        <f>IFERROR(__xludf.DUMMYFUNCTION("""COMPUTED_VALUE"""),"")</f>
        <v/>
      </c>
      <c r="I800" s="42" t="str">
        <f>IFERROR(__xludf.DUMMYFUNCTION("""COMPUTED_VALUE"""),"Kaneko, 2013")</f>
        <v>Kaneko, 2013</v>
      </c>
      <c r="J800" s="42"/>
      <c r="K800" s="42"/>
      <c r="L800" s="42"/>
      <c r="M800" s="42"/>
      <c r="N800" s="42"/>
      <c r="O800" s="31" t="str">
        <f>IFERROR(__xludf.DUMMYFUNCTION("""COMPUTED_VALUE"""),"DOC")</f>
        <v>DOC</v>
      </c>
      <c r="P800" s="9" t="str">
        <f>IFERROR(__xludf.DUMMYFUNCTION("""COMPUTED_VALUE"""),"Frontiers in Neural Circuits")</f>
        <v>Frontiers in Neural Circuits</v>
      </c>
      <c r="Q800" s="9"/>
      <c r="R800" s="179" t="str">
        <f>IFERROR(__xludf.DUMMYFUNCTION("""COMPUTED_VALUE"""),"PoFC.L1 (00/00) [Kaneko, 2013];
")</f>
        <v>PoFC.L1 (00/00) [Kaneko, 2013];
</v>
      </c>
      <c r="S800" s="179" t="str">
        <f>IFERROR(__xludf.DUMMYFUNCTION("""COMPUTED_VALUE"""),"VA_matrixPoFC.L1")</f>
        <v>VA_matrixPoFC.L1</v>
      </c>
      <c r="T800" s="179" t="str">
        <f>IFERROR(__xludf.DUMMYFUNCTION("""COMPUTED_VALUE"""),"[Kaneko, 2013]")</f>
        <v>[Kaneko, 2013]</v>
      </c>
      <c r="U800" s="179">
        <f>IFERROR(__xludf.DUMMYFUNCTION("""COMPUTED_VALUE"""),0.0)</f>
        <v>0</v>
      </c>
      <c r="V800" s="180">
        <f>IFERROR(__xludf.DUMMYFUNCTION("""COMPUTED_VALUE"""),0.0)</f>
        <v>0</v>
      </c>
      <c r="W800" s="180">
        <f>IFERROR(__xludf.DUMMYFUNCTION("""COMPUTED_VALUE"""),0.95)</f>
        <v>0.95</v>
      </c>
      <c r="X800" s="42">
        <f>IFERROR(__xludf.DUMMYFUNCTION("""COMPUTED_VALUE"""),0.0)</f>
        <v>0</v>
      </c>
      <c r="Y800" s="42">
        <f>IFERROR(__xludf.DUMMYFUNCTION("""COMPUTED_VALUE"""),0.0)</f>
        <v>0</v>
      </c>
      <c r="Z800" s="9">
        <f>IFERROR(__xludf.DUMMYFUNCTION("""COMPUTED_VALUE"""),0.0)</f>
        <v>0</v>
      </c>
      <c r="AA800" s="181">
        <f>IFERROR(__xludf.DUMMYFUNCTION("""COMPUTED_VALUE"""),0.0)</f>
        <v>0</v>
      </c>
      <c r="AB800" s="181">
        <f>IFERROR(__xludf.DUMMYFUNCTION("""COMPUTED_VALUE"""),0.0)</f>
        <v>0</v>
      </c>
      <c r="AC800" s="179">
        <f>IFERROR(__xludf.DUMMYFUNCTION("""COMPUTED_VALUE"""),0.0)</f>
        <v>0</v>
      </c>
      <c r="AD800" s="165">
        <f>IFERROR(__xludf.DUMMYFUNCTION("""COMPUTED_VALUE"""),0.0)</f>
        <v>0</v>
      </c>
      <c r="AE800" s="39" t="str">
        <f>IFERROR(__xludf.DUMMYFUNCTION("""COMPUTED_VALUE"""),"Hiroshi Yamakawa")</f>
        <v>Hiroshi Yamakawa</v>
      </c>
      <c r="AF800" s="39" t="str">
        <f>IFERROR(__xludf.DUMMYFUNCTION("""COMPUTED_VALUE"""),"HY20Cerebellum")</f>
        <v>HY20Cerebellum</v>
      </c>
      <c r="AG800" s="39"/>
      <c r="AH800" s="39"/>
      <c r="AI800" s="165"/>
      <c r="AJ800" s="165"/>
      <c r="AK800" s="111"/>
      <c r="AL800" s="111"/>
      <c r="AM800" s="111"/>
      <c r="AN800" s="111"/>
      <c r="AO800" s="111"/>
      <c r="AP800" s="111"/>
      <c r="AQ800" s="116"/>
      <c r="AR800" s="116"/>
      <c r="AS800" s="116"/>
    </row>
    <row r="801">
      <c r="A801" s="42" t="str">
        <f>IFERROR(__xludf.DUMMYFUNCTION("""COMPUTED_VALUE"""),"VAmc")</f>
        <v>VAmc</v>
      </c>
      <c r="B801" s="42"/>
      <c r="C801" s="42"/>
      <c r="D801" s="42" t="str">
        <f>IFERROR(__xludf.DUMMYFUNCTION("""COMPUTED_VALUE"""),"NCx")</f>
        <v>NCx</v>
      </c>
      <c r="E801" s="42"/>
      <c r="F801" s="42"/>
      <c r="G801" s="42"/>
      <c r="H801" s="42" t="str">
        <f>IFERROR(__xludf.DUMMYFUNCTION("""COMPUTED_VALUE"""),"(Limbic loop)")</f>
        <v>(Limbic loop)</v>
      </c>
      <c r="I801" s="42" t="str">
        <f>IFERROR(__xludf.DUMMYFUNCTION("""COMPUTED_VALUE"""),"Galvan, 2015")</f>
        <v>Galvan, 2015</v>
      </c>
      <c r="J801" s="42"/>
      <c r="K801" s="42"/>
      <c r="L801" s="42"/>
      <c r="M801" s="42"/>
      <c r="N801" s="42"/>
      <c r="O801" s="31" t="str">
        <f>IFERROR(__xludf.DUMMYFUNCTION("""COMPUTED_VALUE"""),"DOC")</f>
        <v>DOC</v>
      </c>
      <c r="P801" s="9" t="str">
        <f>IFERROR(__xludf.DUMMYFUNCTION("""COMPUTED_VALUE"""),"Frontiers in Neuroanatomy")</f>
        <v>Frontiers in Neuroanatomy</v>
      </c>
      <c r="Q801" s="9"/>
      <c r="R801" s="179" t="str">
        <f>IFERROR(__xludf.DUMMYFUNCTION("""COMPUTED_VALUE"""),"NCx (00/00) [Galvan, 2015](Limbic loop);
")</f>
        <v>NCx (00/00) [Galvan, 2015](Limbic loop);
</v>
      </c>
      <c r="S801" s="179" t="str">
        <f>IFERROR(__xludf.DUMMYFUNCTION("""COMPUTED_VALUE"""),"VAmcNCx")</f>
        <v>VAmcNCx</v>
      </c>
      <c r="T801" s="179" t="str">
        <f>IFERROR(__xludf.DUMMYFUNCTION("""COMPUTED_VALUE"""),"[Galvan, 2015]")</f>
        <v>[Galvan, 2015]</v>
      </c>
      <c r="U801" s="179">
        <f>IFERROR(__xludf.DUMMYFUNCTION("""COMPUTED_VALUE"""),0.0)</f>
        <v>0</v>
      </c>
      <c r="V801" s="180">
        <f>IFERROR(__xludf.DUMMYFUNCTION("""COMPUTED_VALUE"""),0.0)</f>
        <v>0</v>
      </c>
      <c r="W801" s="180">
        <f>IFERROR(__xludf.DUMMYFUNCTION("""COMPUTED_VALUE"""),0.95)</f>
        <v>0.95</v>
      </c>
      <c r="X801" s="42">
        <f>IFERROR(__xludf.DUMMYFUNCTION("""COMPUTED_VALUE"""),0.0)</f>
        <v>0</v>
      </c>
      <c r="Y801" s="42">
        <f>IFERROR(__xludf.DUMMYFUNCTION("""COMPUTED_VALUE"""),0.0)</f>
        <v>0</v>
      </c>
      <c r="Z801" s="9">
        <f>IFERROR(__xludf.DUMMYFUNCTION("""COMPUTED_VALUE"""),0.0)</f>
        <v>0</v>
      </c>
      <c r="AA801" s="181">
        <f>IFERROR(__xludf.DUMMYFUNCTION("""COMPUTED_VALUE"""),0.0)</f>
        <v>0</v>
      </c>
      <c r="AB801" s="181">
        <f>IFERROR(__xludf.DUMMYFUNCTION("""COMPUTED_VALUE"""),0.0)</f>
        <v>0</v>
      </c>
      <c r="AC801" s="179">
        <f>IFERROR(__xludf.DUMMYFUNCTION("""COMPUTED_VALUE"""),0.0)</f>
        <v>0</v>
      </c>
      <c r="AD801" s="165">
        <f>IFERROR(__xludf.DUMMYFUNCTION("""COMPUTED_VALUE"""),0.0)</f>
        <v>0</v>
      </c>
      <c r="AE801" s="39" t="str">
        <f>IFERROR(__xludf.DUMMYFUNCTION("""COMPUTED_VALUE"""),"Yuske Shibata")</f>
        <v>Yuske Shibata</v>
      </c>
      <c r="AF801" s="39" t="str">
        <f>IFERROR(__xludf.DUMMYFUNCTION("""COMPUTED_VALUE"""),"YS21BgLoop")</f>
        <v>YS21BgLoop</v>
      </c>
      <c r="AG801" s="39"/>
      <c r="AH801" s="39"/>
      <c r="AI801" s="165"/>
      <c r="AJ801" s="165"/>
      <c r="AK801" s="111"/>
      <c r="AL801" s="111"/>
      <c r="AM801" s="111"/>
      <c r="AN801" s="111"/>
      <c r="AO801" s="111"/>
      <c r="AP801" s="111"/>
      <c r="AQ801" s="116"/>
      <c r="AR801" s="116"/>
      <c r="AS801" s="116"/>
    </row>
    <row r="802">
      <c r="A802" s="42" t="str">
        <f>IFERROR(__xludf.DUMMYFUNCTION("""COMPUTED_VALUE"""),"VeN")</f>
        <v>VeN</v>
      </c>
      <c r="B802" s="42"/>
      <c r="C802" s="42"/>
      <c r="D802" s="42" t="str">
        <f>IFERROR(__xludf.DUMMYFUNCTION("""COMPUTED_VALUE"""),"CBPVg")</f>
        <v>CBPVg</v>
      </c>
      <c r="E802" s="42"/>
      <c r="F802" s="42"/>
      <c r="G802" s="42"/>
      <c r="H802" s="42" t="str">
        <f>IFERROR(__xludf.DUMMYFUNCTION("""COMPUTED_VALUE"""),"")</f>
        <v/>
      </c>
      <c r="I802" s="42" t="str">
        <f>IFERROR(__xludf.DUMMYFUNCTION("""COMPUTED_VALUE"""),"Knierim, 2021")</f>
        <v>Knierim, 2021</v>
      </c>
      <c r="J802" s="42"/>
      <c r="K802" s="42"/>
      <c r="L802" s="42"/>
      <c r="M802" s="42"/>
      <c r="N802" s="42"/>
      <c r="O802" s="31" t="str">
        <f>IFERROR(__xludf.DUMMYFUNCTION("""COMPUTED_VALUE"""),"DOC(alt)")</f>
        <v>DOC(alt)</v>
      </c>
      <c r="P802" s="9" t="str">
        <f>IFERROR(__xludf.DUMMYFUNCTION("""COMPUTED_VALUE"""),"Neuroscience Online, an {Open-Access} Neuroscience Electronic Textbook")</f>
        <v>Neuroscience Online, an {Open-Access} Neuroscience Electronic Textbook</v>
      </c>
      <c r="Q802" s="9" t="str">
        <f>IFERROR(__xludf.DUMMYFUNCTION("""COMPUTED_VALUE"""),"Textbook")</f>
        <v>Textbook</v>
      </c>
      <c r="R802" s="179" t="str">
        <f>IFERROR(__xludf.DUMMYFUNCTION("""COMPUTED_VALUE"""),"CBPVg (00/00) [Knierim, 2021];
")</f>
        <v>CBPVg (00/00) [Knierim, 2021];
</v>
      </c>
      <c r="S802" s="179" t="str">
        <f>IFERROR(__xludf.DUMMYFUNCTION("""COMPUTED_VALUE"""),"VeNCBPVg")</f>
        <v>VeNCBPVg</v>
      </c>
      <c r="T802" s="179" t="str">
        <f>IFERROR(__xludf.DUMMYFUNCTION("""COMPUTED_VALUE"""),"[Knierim, 2021]")</f>
        <v>[Knierim, 2021]</v>
      </c>
      <c r="U802" s="179">
        <f>IFERROR(__xludf.DUMMYFUNCTION("""COMPUTED_VALUE"""),0.0)</f>
        <v>0</v>
      </c>
      <c r="V802" s="180">
        <f>IFERROR(__xludf.DUMMYFUNCTION("""COMPUTED_VALUE"""),0.0)</f>
        <v>0</v>
      </c>
      <c r="W802" s="180">
        <f>IFERROR(__xludf.DUMMYFUNCTION("""COMPUTED_VALUE"""),0.0)</f>
        <v>0</v>
      </c>
      <c r="X802" s="42">
        <f>IFERROR(__xludf.DUMMYFUNCTION("""COMPUTED_VALUE"""),0.9)</f>
        <v>0.9</v>
      </c>
      <c r="Y802" s="42">
        <f>IFERROR(__xludf.DUMMYFUNCTION("""COMPUTED_VALUE"""),0.0)</f>
        <v>0</v>
      </c>
      <c r="Z802" s="9">
        <f>IFERROR(__xludf.DUMMYFUNCTION("""COMPUTED_VALUE"""),0.0)</f>
        <v>0</v>
      </c>
      <c r="AA802" s="181">
        <f>IFERROR(__xludf.DUMMYFUNCTION("""COMPUTED_VALUE"""),0.0)</f>
        <v>0</v>
      </c>
      <c r="AB802" s="181">
        <f>IFERROR(__xludf.DUMMYFUNCTION("""COMPUTED_VALUE"""),0.0)</f>
        <v>0</v>
      </c>
      <c r="AC802" s="179">
        <f>IFERROR(__xludf.DUMMYFUNCTION("""COMPUTED_VALUE"""),0.0)</f>
        <v>0</v>
      </c>
      <c r="AD802" s="165">
        <f>IFERROR(__xludf.DUMMYFUNCTION("""COMPUTED_VALUE"""),0.0)</f>
        <v>0</v>
      </c>
      <c r="AE802" s="39" t="str">
        <f>IFERROR(__xludf.DUMMYFUNCTION("""COMPUTED_VALUE"""),"Hiroshi Yamakawa")</f>
        <v>Hiroshi Yamakawa</v>
      </c>
      <c r="AF802" s="39" t="str">
        <f>IFERROR(__xludf.DUMMYFUNCTION("""COMPUTED_VALUE"""),"HY20Cerebellum")</f>
        <v>HY20Cerebellum</v>
      </c>
      <c r="AG802" s="39"/>
      <c r="AH802" s="39"/>
      <c r="AI802" s="165"/>
      <c r="AJ802" s="165"/>
      <c r="AK802" s="111"/>
      <c r="AL802" s="111"/>
      <c r="AM802" s="111"/>
      <c r="AN802" s="111"/>
      <c r="AO802" s="111"/>
      <c r="AP802" s="111"/>
      <c r="AQ802" s="116"/>
      <c r="AR802" s="116"/>
      <c r="AS802" s="116"/>
    </row>
    <row r="803">
      <c r="A803" s="42" t="str">
        <f>IFERROR(__xludf.DUMMYFUNCTION("""COMPUTED_VALUE"""),"VeN")</f>
        <v>VeN</v>
      </c>
      <c r="B803" s="42"/>
      <c r="C803" s="42"/>
      <c r="D803" s="42" t="str">
        <f>IFERROR(__xludf.DUMMYFUNCTION("""COMPUTED_VALUE"""),"CBVg")</f>
        <v>CBVg</v>
      </c>
      <c r="E803" s="42"/>
      <c r="F803" s="42"/>
      <c r="G803" s="42"/>
      <c r="H803" s="42" t="str">
        <f>IFERROR(__xludf.DUMMYFUNCTION("""COMPUTED_VALUE"""),"")</f>
        <v/>
      </c>
      <c r="I803" s="42" t="str">
        <f>IFERROR(__xludf.DUMMYFUNCTION("""COMPUTED_VALUE"""),"Knierim, 2021")</f>
        <v>Knierim, 2021</v>
      </c>
      <c r="J803" s="42"/>
      <c r="K803" s="42"/>
      <c r="L803" s="42"/>
      <c r="M803" s="42"/>
      <c r="N803" s="42"/>
      <c r="O803" s="31" t="str">
        <f>IFERROR(__xludf.DUMMYFUNCTION("""COMPUTED_VALUE"""),"DOC(alt)")</f>
        <v>DOC(alt)</v>
      </c>
      <c r="P803" s="9" t="str">
        <f>IFERROR(__xludf.DUMMYFUNCTION("""COMPUTED_VALUE"""),"Neuroscience Online, an {Open-Access} Neuroscience Electronic Textbook")</f>
        <v>Neuroscience Online, an {Open-Access} Neuroscience Electronic Textbook</v>
      </c>
      <c r="Q803" s="9" t="str">
        <f>IFERROR(__xludf.DUMMYFUNCTION("""COMPUTED_VALUE"""),"Textbook")</f>
        <v>Textbook</v>
      </c>
      <c r="R803" s="179" t="str">
        <f>IFERROR(__xludf.DUMMYFUNCTION("""COMPUTED_VALUE"""),"CBVg (00/00) [Knierim, 2021];
")</f>
        <v>CBVg (00/00) [Knierim, 2021];
</v>
      </c>
      <c r="S803" s="179" t="str">
        <f>IFERROR(__xludf.DUMMYFUNCTION("""COMPUTED_VALUE"""),"VeNCBVg")</f>
        <v>VeNCBVg</v>
      </c>
      <c r="T803" s="179" t="str">
        <f>IFERROR(__xludf.DUMMYFUNCTION("""COMPUTED_VALUE"""),"[Knierim, 2021]")</f>
        <v>[Knierim, 2021]</v>
      </c>
      <c r="U803" s="179">
        <f>IFERROR(__xludf.DUMMYFUNCTION("""COMPUTED_VALUE"""),0.0)</f>
        <v>0</v>
      </c>
      <c r="V803" s="180">
        <f>IFERROR(__xludf.DUMMYFUNCTION("""COMPUTED_VALUE"""),0.0)</f>
        <v>0</v>
      </c>
      <c r="W803" s="180">
        <f>IFERROR(__xludf.DUMMYFUNCTION("""COMPUTED_VALUE"""),0.0)</f>
        <v>0</v>
      </c>
      <c r="X803" s="42">
        <f>IFERROR(__xludf.DUMMYFUNCTION("""COMPUTED_VALUE"""),0.9)</f>
        <v>0.9</v>
      </c>
      <c r="Y803" s="42">
        <f>IFERROR(__xludf.DUMMYFUNCTION("""COMPUTED_VALUE"""),0.0)</f>
        <v>0</v>
      </c>
      <c r="Z803" s="9">
        <f>IFERROR(__xludf.DUMMYFUNCTION("""COMPUTED_VALUE"""),0.0)</f>
        <v>0</v>
      </c>
      <c r="AA803" s="181">
        <f>IFERROR(__xludf.DUMMYFUNCTION("""COMPUTED_VALUE"""),0.0)</f>
        <v>0</v>
      </c>
      <c r="AB803" s="181">
        <f>IFERROR(__xludf.DUMMYFUNCTION("""COMPUTED_VALUE"""),0.0)</f>
        <v>0</v>
      </c>
      <c r="AC803" s="179">
        <f>IFERROR(__xludf.DUMMYFUNCTION("""COMPUTED_VALUE"""),0.0)</f>
        <v>0</v>
      </c>
      <c r="AD803" s="165">
        <f>IFERROR(__xludf.DUMMYFUNCTION("""COMPUTED_VALUE"""),0.0)</f>
        <v>0</v>
      </c>
      <c r="AE803" s="39" t="str">
        <f>IFERROR(__xludf.DUMMYFUNCTION("""COMPUTED_VALUE"""),"Hiroshi Yamakawa")</f>
        <v>Hiroshi Yamakawa</v>
      </c>
      <c r="AF803" s="39" t="str">
        <f>IFERROR(__xludf.DUMMYFUNCTION("""COMPUTED_VALUE"""),"HY20Cerebellum")</f>
        <v>HY20Cerebellum</v>
      </c>
      <c r="AG803" s="39"/>
      <c r="AH803" s="39"/>
      <c r="AI803" s="165"/>
      <c r="AJ803" s="165"/>
      <c r="AK803" s="111"/>
      <c r="AL803" s="111"/>
      <c r="AM803" s="111"/>
      <c r="AN803" s="111"/>
      <c r="AO803" s="111"/>
      <c r="AP803" s="111"/>
      <c r="AQ803" s="116"/>
      <c r="AR803" s="116"/>
      <c r="AS803" s="116"/>
    </row>
    <row r="804">
      <c r="A804" s="42" t="str">
        <f>IFERROR(__xludf.DUMMYFUNCTION("""COMPUTED_VALUE"""),"VeN")</f>
        <v>VeN</v>
      </c>
      <c r="B804" s="42"/>
      <c r="C804" s="42"/>
      <c r="D804" s="42" t="str">
        <f>IFERROR(__xludf.DUMMYFUNCTION("""COMPUTED_VALUE"""),"Fas")</f>
        <v>Fas</v>
      </c>
      <c r="E804" s="42"/>
      <c r="F804" s="42"/>
      <c r="G804" s="42"/>
      <c r="H804" s="42" t="str">
        <f>IFERROR(__xludf.DUMMYFUNCTION("""COMPUTED_VALUE"""),"")</f>
        <v/>
      </c>
      <c r="I804" s="42" t="str">
        <f>IFERROR(__xludf.DUMMYFUNCTION("""COMPUTED_VALUE"""),"Knierim, 2021")</f>
        <v>Knierim, 2021</v>
      </c>
      <c r="J804" s="42"/>
      <c r="K804" s="42"/>
      <c r="L804" s="42"/>
      <c r="M804" s="42"/>
      <c r="N804" s="42"/>
      <c r="O804" s="31" t="str">
        <f>IFERROR(__xludf.DUMMYFUNCTION("""COMPUTED_VALUE"""),"DOC(alt)")</f>
        <v>DOC(alt)</v>
      </c>
      <c r="P804" s="9" t="str">
        <f>IFERROR(__xludf.DUMMYFUNCTION("""COMPUTED_VALUE"""),"Neuroscience Online, an {Open-Access} Neuroscience Electronic Textbook")</f>
        <v>Neuroscience Online, an {Open-Access} Neuroscience Electronic Textbook</v>
      </c>
      <c r="Q804" s="9" t="str">
        <f>IFERROR(__xludf.DUMMYFUNCTION("""COMPUTED_VALUE"""),"Textbook")</f>
        <v>Textbook</v>
      </c>
      <c r="R804" s="179" t="str">
        <f>IFERROR(__xludf.DUMMYFUNCTION("""COMPUTED_VALUE"""),"Fas (00/00) [Knierim, 2021];
")</f>
        <v>Fas (00/00) [Knierim, 2021];
</v>
      </c>
      <c r="S804" s="179" t="str">
        <f>IFERROR(__xludf.DUMMYFUNCTION("""COMPUTED_VALUE"""),"VeNFas")</f>
        <v>VeNFas</v>
      </c>
      <c r="T804" s="179" t="str">
        <f>IFERROR(__xludf.DUMMYFUNCTION("""COMPUTED_VALUE"""),"[Knierim, 2021]")</f>
        <v>[Knierim, 2021]</v>
      </c>
      <c r="U804" s="179">
        <f>IFERROR(__xludf.DUMMYFUNCTION("""COMPUTED_VALUE"""),0.0)</f>
        <v>0</v>
      </c>
      <c r="V804" s="180">
        <f>IFERROR(__xludf.DUMMYFUNCTION("""COMPUTED_VALUE"""),0.0)</f>
        <v>0</v>
      </c>
      <c r="W804" s="180">
        <f>IFERROR(__xludf.DUMMYFUNCTION("""COMPUTED_VALUE"""),0.0)</f>
        <v>0</v>
      </c>
      <c r="X804" s="42">
        <f>IFERROR(__xludf.DUMMYFUNCTION("""COMPUTED_VALUE"""),0.9)</f>
        <v>0.9</v>
      </c>
      <c r="Y804" s="42">
        <f>IFERROR(__xludf.DUMMYFUNCTION("""COMPUTED_VALUE"""),0.0)</f>
        <v>0</v>
      </c>
      <c r="Z804" s="9">
        <f>IFERROR(__xludf.DUMMYFUNCTION("""COMPUTED_VALUE"""),0.0)</f>
        <v>0</v>
      </c>
      <c r="AA804" s="181">
        <f>IFERROR(__xludf.DUMMYFUNCTION("""COMPUTED_VALUE"""),0.0)</f>
        <v>0</v>
      </c>
      <c r="AB804" s="181">
        <f>IFERROR(__xludf.DUMMYFUNCTION("""COMPUTED_VALUE"""),0.0)</f>
        <v>0</v>
      </c>
      <c r="AC804" s="179">
        <f>IFERROR(__xludf.DUMMYFUNCTION("""COMPUTED_VALUE"""),0.0)</f>
        <v>0</v>
      </c>
      <c r="AD804" s="165">
        <f>IFERROR(__xludf.DUMMYFUNCTION("""COMPUTED_VALUE"""),0.0)</f>
        <v>0</v>
      </c>
      <c r="AE804" s="39" t="str">
        <f>IFERROR(__xludf.DUMMYFUNCTION("""COMPUTED_VALUE"""),"Hiroshi Yamakawa")</f>
        <v>Hiroshi Yamakawa</v>
      </c>
      <c r="AF804" s="39" t="str">
        <f>IFERROR(__xludf.DUMMYFUNCTION("""COMPUTED_VALUE"""),"HY20Cerebellum")</f>
        <v>HY20Cerebellum</v>
      </c>
      <c r="AG804" s="39"/>
      <c r="AH804" s="39"/>
      <c r="AI804" s="165"/>
      <c r="AJ804" s="165"/>
      <c r="AK804" s="111"/>
      <c r="AL804" s="111"/>
      <c r="AM804" s="111"/>
      <c r="AN804" s="111"/>
      <c r="AO804" s="111"/>
      <c r="AP804" s="111"/>
      <c r="AQ804" s="116"/>
      <c r="AR804" s="116"/>
      <c r="AS804" s="116"/>
    </row>
    <row r="805">
      <c r="A805" s="42" t="str">
        <f>IFERROR(__xludf.DUMMYFUNCTION("""COMPUTED_VALUE"""),"VeN")</f>
        <v>VeN</v>
      </c>
      <c r="B805" s="42"/>
      <c r="C805" s="42"/>
      <c r="D805" s="42" t="str">
        <f>IFERROR(__xludf.DUMMYFUNCTION("""COMPUTED_VALUE"""),"FNCb")</f>
        <v>FNCb</v>
      </c>
      <c r="E805" s="42"/>
      <c r="F805" s="42"/>
      <c r="G805" s="42"/>
      <c r="H805" s="42" t="str">
        <f>IFERROR(__xludf.DUMMYFUNCTION("""COMPUTED_VALUE"""),"")</f>
        <v/>
      </c>
      <c r="I805" s="42" t="str">
        <f>IFERROR(__xludf.DUMMYFUNCTION("""COMPUTED_VALUE"""),"Knierim, 2021")</f>
        <v>Knierim, 2021</v>
      </c>
      <c r="J805" s="42"/>
      <c r="K805" s="42"/>
      <c r="L805" s="42"/>
      <c r="M805" s="42"/>
      <c r="N805" s="42"/>
      <c r="O805" s="31" t="str">
        <f>IFERROR(__xludf.DUMMYFUNCTION("""COMPUTED_VALUE"""),"DOC(alt)")</f>
        <v>DOC(alt)</v>
      </c>
      <c r="P805" s="9" t="str">
        <f>IFERROR(__xludf.DUMMYFUNCTION("""COMPUTED_VALUE"""),"Neuroscience Online, an {Open-Access} Neuroscience Electronic Textbook")</f>
        <v>Neuroscience Online, an {Open-Access} Neuroscience Electronic Textbook</v>
      </c>
      <c r="Q805" s="9" t="str">
        <f>IFERROR(__xludf.DUMMYFUNCTION("""COMPUTED_VALUE"""),"Textbook")</f>
        <v>Textbook</v>
      </c>
      <c r="R805" s="179" t="str">
        <f>IFERROR(__xludf.DUMMYFUNCTION("""COMPUTED_VALUE"""),"FNCb (00/00) [Knierim, 2021];
")</f>
        <v>FNCb (00/00) [Knierim, 2021];
</v>
      </c>
      <c r="S805" s="179" t="str">
        <f>IFERROR(__xludf.DUMMYFUNCTION("""COMPUTED_VALUE"""),"VeNFNCb")</f>
        <v>VeNFNCb</v>
      </c>
      <c r="T805" s="179" t="str">
        <f>IFERROR(__xludf.DUMMYFUNCTION("""COMPUTED_VALUE"""),"[Knierim, 2021]")</f>
        <v>[Knierim, 2021]</v>
      </c>
      <c r="U805" s="179">
        <f>IFERROR(__xludf.DUMMYFUNCTION("""COMPUTED_VALUE"""),0.0)</f>
        <v>0</v>
      </c>
      <c r="V805" s="180">
        <f>IFERROR(__xludf.DUMMYFUNCTION("""COMPUTED_VALUE"""),0.0)</f>
        <v>0</v>
      </c>
      <c r="W805" s="180">
        <f>IFERROR(__xludf.DUMMYFUNCTION("""COMPUTED_VALUE"""),0.0)</f>
        <v>0</v>
      </c>
      <c r="X805" s="42">
        <f>IFERROR(__xludf.DUMMYFUNCTION("""COMPUTED_VALUE"""),0.9)</f>
        <v>0.9</v>
      </c>
      <c r="Y805" s="42">
        <f>IFERROR(__xludf.DUMMYFUNCTION("""COMPUTED_VALUE"""),0.0)</f>
        <v>0</v>
      </c>
      <c r="Z805" s="9">
        <f>IFERROR(__xludf.DUMMYFUNCTION("""COMPUTED_VALUE"""),0.0)</f>
        <v>0</v>
      </c>
      <c r="AA805" s="181">
        <f>IFERROR(__xludf.DUMMYFUNCTION("""COMPUTED_VALUE"""),0.0)</f>
        <v>0</v>
      </c>
      <c r="AB805" s="181">
        <f>IFERROR(__xludf.DUMMYFUNCTION("""COMPUTED_VALUE"""),0.0)</f>
        <v>0</v>
      </c>
      <c r="AC805" s="179">
        <f>IFERROR(__xludf.DUMMYFUNCTION("""COMPUTED_VALUE"""),0.0)</f>
        <v>0</v>
      </c>
      <c r="AD805" s="165">
        <f>IFERROR(__xludf.DUMMYFUNCTION("""COMPUTED_VALUE"""),0.0)</f>
        <v>0</v>
      </c>
      <c r="AE805" s="39" t="str">
        <f>IFERROR(__xludf.DUMMYFUNCTION("""COMPUTED_VALUE"""),"Hiroshi Yamakawa")</f>
        <v>Hiroshi Yamakawa</v>
      </c>
      <c r="AF805" s="39" t="str">
        <f>IFERROR(__xludf.DUMMYFUNCTION("""COMPUTED_VALUE"""),"HY20Cerebellum")</f>
        <v>HY20Cerebellum</v>
      </c>
      <c r="AG805" s="39"/>
      <c r="AH805" s="39"/>
      <c r="AI805" s="165"/>
      <c r="AJ805" s="165"/>
      <c r="AK805" s="111"/>
      <c r="AL805" s="111"/>
      <c r="AM805" s="111"/>
      <c r="AN805" s="111"/>
      <c r="AO805" s="111"/>
      <c r="AP805" s="111"/>
      <c r="AQ805" s="116"/>
      <c r="AR805" s="116"/>
      <c r="AS805" s="116"/>
    </row>
    <row r="806">
      <c r="A806" s="42" t="str">
        <f>IFERROR(__xludf.DUMMYFUNCTION("""COMPUTED_VALUE"""),"VeN")</f>
        <v>VeN</v>
      </c>
      <c r="B806" s="42"/>
      <c r="C806" s="42"/>
      <c r="D806" s="42" t="str">
        <f>IFERROR(__xludf.DUMMYFUNCTION("""COMPUTED_VALUE"""),"InP")</f>
        <v>InP</v>
      </c>
      <c r="E806" s="42"/>
      <c r="F806" s="42"/>
      <c r="G806" s="42"/>
      <c r="H806" s="42" t="str">
        <f>IFERROR(__xludf.DUMMYFUNCTION("""COMPUTED_VALUE"""),"")</f>
        <v/>
      </c>
      <c r="I806" s="42" t="str">
        <f>IFERROR(__xludf.DUMMYFUNCTION("""COMPUTED_VALUE"""),"Knierim, 2021")</f>
        <v>Knierim, 2021</v>
      </c>
      <c r="J806" s="42"/>
      <c r="K806" s="42"/>
      <c r="L806" s="42"/>
      <c r="M806" s="42"/>
      <c r="N806" s="42"/>
      <c r="O806" s="31" t="str">
        <f>IFERROR(__xludf.DUMMYFUNCTION("""COMPUTED_VALUE"""),"DOC(alt)")</f>
        <v>DOC(alt)</v>
      </c>
      <c r="P806" s="9" t="str">
        <f>IFERROR(__xludf.DUMMYFUNCTION("""COMPUTED_VALUE"""),"Neuroscience Online, an {Open-Access} Neuroscience Electronic Textbook")</f>
        <v>Neuroscience Online, an {Open-Access} Neuroscience Electronic Textbook</v>
      </c>
      <c r="Q806" s="9" t="str">
        <f>IFERROR(__xludf.DUMMYFUNCTION("""COMPUTED_VALUE"""),"Textbook")</f>
        <v>Textbook</v>
      </c>
      <c r="R806" s="179" t="str">
        <f>IFERROR(__xludf.DUMMYFUNCTION("""COMPUTED_VALUE"""),"InP (00/00) [Knierim, 2021];
")</f>
        <v>InP (00/00) [Knierim, 2021];
</v>
      </c>
      <c r="S806" s="179" t="str">
        <f>IFERROR(__xludf.DUMMYFUNCTION("""COMPUTED_VALUE"""),"VeNInP")</f>
        <v>VeNInP</v>
      </c>
      <c r="T806" s="179" t="str">
        <f>IFERROR(__xludf.DUMMYFUNCTION("""COMPUTED_VALUE"""),"[Knierim, 2021]")</f>
        <v>[Knierim, 2021]</v>
      </c>
      <c r="U806" s="179">
        <f>IFERROR(__xludf.DUMMYFUNCTION("""COMPUTED_VALUE"""),0.0)</f>
        <v>0</v>
      </c>
      <c r="V806" s="180">
        <f>IFERROR(__xludf.DUMMYFUNCTION("""COMPUTED_VALUE"""),0.0)</f>
        <v>0</v>
      </c>
      <c r="W806" s="180">
        <f>IFERROR(__xludf.DUMMYFUNCTION("""COMPUTED_VALUE"""),0.0)</f>
        <v>0</v>
      </c>
      <c r="X806" s="42">
        <f>IFERROR(__xludf.DUMMYFUNCTION("""COMPUTED_VALUE"""),0.9)</f>
        <v>0.9</v>
      </c>
      <c r="Y806" s="42">
        <f>IFERROR(__xludf.DUMMYFUNCTION("""COMPUTED_VALUE"""),0.0)</f>
        <v>0</v>
      </c>
      <c r="Z806" s="9">
        <f>IFERROR(__xludf.DUMMYFUNCTION("""COMPUTED_VALUE"""),0.0)</f>
        <v>0</v>
      </c>
      <c r="AA806" s="181">
        <f>IFERROR(__xludf.DUMMYFUNCTION("""COMPUTED_VALUE"""),0.0)</f>
        <v>0</v>
      </c>
      <c r="AB806" s="181">
        <f>IFERROR(__xludf.DUMMYFUNCTION("""COMPUTED_VALUE"""),0.0)</f>
        <v>0</v>
      </c>
      <c r="AC806" s="179">
        <f>IFERROR(__xludf.DUMMYFUNCTION("""COMPUTED_VALUE"""),0.0)</f>
        <v>0</v>
      </c>
      <c r="AD806" s="165">
        <f>IFERROR(__xludf.DUMMYFUNCTION("""COMPUTED_VALUE"""),0.0)</f>
        <v>0</v>
      </c>
      <c r="AE806" s="39" t="str">
        <f>IFERROR(__xludf.DUMMYFUNCTION("""COMPUTED_VALUE"""),"Hiroshi Yamakawa")</f>
        <v>Hiroshi Yamakawa</v>
      </c>
      <c r="AF806" s="39" t="str">
        <f>IFERROR(__xludf.DUMMYFUNCTION("""COMPUTED_VALUE"""),"HY20Cerebellum")</f>
        <v>HY20Cerebellum</v>
      </c>
      <c r="AG806" s="39"/>
      <c r="AH806" s="39"/>
      <c r="AI806" s="165"/>
      <c r="AJ806" s="165"/>
      <c r="AK806" s="111"/>
      <c r="AL806" s="111"/>
      <c r="AM806" s="111"/>
      <c r="AN806" s="111"/>
      <c r="AO806" s="111"/>
      <c r="AP806" s="111"/>
      <c r="AQ806" s="116"/>
      <c r="AR806" s="116"/>
      <c r="AS806" s="116"/>
    </row>
    <row r="807">
      <c r="A807" s="42" t="str">
        <f>IFERROR(__xludf.DUMMYFUNCTION("""COMPUTED_VALUE"""),"VeP")</f>
        <v>VeP</v>
      </c>
      <c r="B807" s="42"/>
      <c r="C807" s="42"/>
      <c r="D807" s="42" t="str">
        <f>IFERROR(__xludf.DUMMYFUNCTION("""COMPUTED_VALUE"""),"MD")</f>
        <v>MD</v>
      </c>
      <c r="E807" s="42"/>
      <c r="F807" s="42"/>
      <c r="G807" s="42"/>
      <c r="H807" s="42" t="str">
        <f>IFERROR(__xludf.DUMMYFUNCTION("""COMPUTED_VALUE"""),"(Limbic loop)")</f>
        <v>(Limbic loop)</v>
      </c>
      <c r="I807" s="42" t="str">
        <f>IFERROR(__xludf.DUMMYFUNCTION("""COMPUTED_VALUE"""),"Galvan, 2015")</f>
        <v>Galvan, 2015</v>
      </c>
      <c r="J807" s="42"/>
      <c r="K807" s="42"/>
      <c r="L807" s="42"/>
      <c r="M807" s="42"/>
      <c r="N807" s="42"/>
      <c r="O807" s="31" t="str">
        <f>IFERROR(__xludf.DUMMYFUNCTION("""COMPUTED_VALUE"""),"DOC")</f>
        <v>DOC</v>
      </c>
      <c r="P807" s="9" t="str">
        <f>IFERROR(__xludf.DUMMYFUNCTION("""COMPUTED_VALUE"""),"Frontiers in Neuroanatomy")</f>
        <v>Frontiers in Neuroanatomy</v>
      </c>
      <c r="Q807" s="9"/>
      <c r="R807" s="179" t="str">
        <f>IFERROR(__xludf.DUMMYFUNCTION("""COMPUTED_VALUE"""),"MD (00/00) [Galvan, 2015](Limbic loop);
")</f>
        <v>MD (00/00) [Galvan, 2015](Limbic loop);
</v>
      </c>
      <c r="S807" s="179" t="str">
        <f>IFERROR(__xludf.DUMMYFUNCTION("""COMPUTED_VALUE"""),"VePMD")</f>
        <v>VePMD</v>
      </c>
      <c r="T807" s="179" t="str">
        <f>IFERROR(__xludf.DUMMYFUNCTION("""COMPUTED_VALUE"""),"[Galvan, 2015]")</f>
        <v>[Galvan, 2015]</v>
      </c>
      <c r="U807" s="179">
        <f>IFERROR(__xludf.DUMMYFUNCTION("""COMPUTED_VALUE"""),0.0)</f>
        <v>0</v>
      </c>
      <c r="V807" s="180">
        <f>IFERROR(__xludf.DUMMYFUNCTION("""COMPUTED_VALUE"""),0.0)</f>
        <v>0</v>
      </c>
      <c r="W807" s="180">
        <f>IFERROR(__xludf.DUMMYFUNCTION("""COMPUTED_VALUE"""),0.95)</f>
        <v>0.95</v>
      </c>
      <c r="X807" s="42">
        <f>IFERROR(__xludf.DUMMYFUNCTION("""COMPUTED_VALUE"""),0.0)</f>
        <v>0</v>
      </c>
      <c r="Y807" s="42">
        <f>IFERROR(__xludf.DUMMYFUNCTION("""COMPUTED_VALUE"""),0.0)</f>
        <v>0</v>
      </c>
      <c r="Z807" s="9">
        <f>IFERROR(__xludf.DUMMYFUNCTION("""COMPUTED_VALUE"""),0.0)</f>
        <v>0</v>
      </c>
      <c r="AA807" s="181">
        <f>IFERROR(__xludf.DUMMYFUNCTION("""COMPUTED_VALUE"""),0.0)</f>
        <v>0</v>
      </c>
      <c r="AB807" s="181">
        <f>IFERROR(__xludf.DUMMYFUNCTION("""COMPUTED_VALUE"""),0.0)</f>
        <v>0</v>
      </c>
      <c r="AC807" s="179">
        <f>IFERROR(__xludf.DUMMYFUNCTION("""COMPUTED_VALUE"""),0.0)</f>
        <v>0</v>
      </c>
      <c r="AD807" s="165">
        <f>IFERROR(__xludf.DUMMYFUNCTION("""COMPUTED_VALUE"""),0.0)</f>
        <v>0</v>
      </c>
      <c r="AE807" s="39" t="str">
        <f>IFERROR(__xludf.DUMMYFUNCTION("""COMPUTED_VALUE"""),"Yuske Shibata")</f>
        <v>Yuske Shibata</v>
      </c>
      <c r="AF807" s="39" t="str">
        <f>IFERROR(__xludf.DUMMYFUNCTION("""COMPUTED_VALUE"""),"YS21BgLoop")</f>
        <v>YS21BgLoop</v>
      </c>
      <c r="AG807" s="39"/>
      <c r="AH807" s="39"/>
      <c r="AI807" s="165"/>
      <c r="AJ807" s="165"/>
      <c r="AK807" s="111"/>
      <c r="AL807" s="111"/>
      <c r="AM807" s="111"/>
      <c r="AN807" s="111"/>
      <c r="AO807" s="111"/>
      <c r="AP807" s="111"/>
      <c r="AQ807" s="116"/>
      <c r="AR807" s="116"/>
      <c r="AS807" s="116"/>
    </row>
    <row r="808">
      <c r="A808" s="42" t="str">
        <f>IFERROR(__xludf.DUMMYFUNCTION("""COMPUTED_VALUE"""),"VeP")</f>
        <v>VeP</v>
      </c>
      <c r="B808" s="42"/>
      <c r="C808" s="42"/>
      <c r="D808" s="42" t="str">
        <f>IFERROR(__xludf.DUMMYFUNCTION("""COMPUTED_VALUE"""),"VAmc")</f>
        <v>VAmc</v>
      </c>
      <c r="E808" s="42"/>
      <c r="F808" s="42"/>
      <c r="G808" s="42"/>
      <c r="H808" s="42" t="str">
        <f>IFERROR(__xludf.DUMMYFUNCTION("""COMPUTED_VALUE"""),"(Limbic loop)")</f>
        <v>(Limbic loop)</v>
      </c>
      <c r="I808" s="42" t="str">
        <f>IFERROR(__xludf.DUMMYFUNCTION("""COMPUTED_VALUE"""),"Galvan, 2015")</f>
        <v>Galvan, 2015</v>
      </c>
      <c r="J808" s="42"/>
      <c r="K808" s="42"/>
      <c r="L808" s="42"/>
      <c r="M808" s="42"/>
      <c r="N808" s="42"/>
      <c r="O808" s="31" t="str">
        <f>IFERROR(__xludf.DUMMYFUNCTION("""COMPUTED_VALUE"""),"DOC")</f>
        <v>DOC</v>
      </c>
      <c r="P808" s="9" t="str">
        <f>IFERROR(__xludf.DUMMYFUNCTION("""COMPUTED_VALUE"""),"Frontiers in Neuroanatomy")</f>
        <v>Frontiers in Neuroanatomy</v>
      </c>
      <c r="Q808" s="9"/>
      <c r="R808" s="179" t="str">
        <f>IFERROR(__xludf.DUMMYFUNCTION("""COMPUTED_VALUE"""),"VAmc (00/00) [Galvan, 2015](Limbic loop);
")</f>
        <v>VAmc (00/00) [Galvan, 2015](Limbic loop);
</v>
      </c>
      <c r="S808" s="179" t="str">
        <f>IFERROR(__xludf.DUMMYFUNCTION("""COMPUTED_VALUE"""),"VePVAmc")</f>
        <v>VePVAmc</v>
      </c>
      <c r="T808" s="179" t="str">
        <f>IFERROR(__xludf.DUMMYFUNCTION("""COMPUTED_VALUE"""),"[Galvan, 2015]")</f>
        <v>[Galvan, 2015]</v>
      </c>
      <c r="U808" s="179">
        <f>IFERROR(__xludf.DUMMYFUNCTION("""COMPUTED_VALUE"""),0.0)</f>
        <v>0</v>
      </c>
      <c r="V808" s="180">
        <f>IFERROR(__xludf.DUMMYFUNCTION("""COMPUTED_VALUE"""),0.0)</f>
        <v>0</v>
      </c>
      <c r="W808" s="180">
        <f>IFERROR(__xludf.DUMMYFUNCTION("""COMPUTED_VALUE"""),0.95)</f>
        <v>0.95</v>
      </c>
      <c r="X808" s="42">
        <f>IFERROR(__xludf.DUMMYFUNCTION("""COMPUTED_VALUE"""),0.0)</f>
        <v>0</v>
      </c>
      <c r="Y808" s="42">
        <f>IFERROR(__xludf.DUMMYFUNCTION("""COMPUTED_VALUE"""),0.0)</f>
        <v>0</v>
      </c>
      <c r="Z808" s="9">
        <f>IFERROR(__xludf.DUMMYFUNCTION("""COMPUTED_VALUE"""),0.0)</f>
        <v>0</v>
      </c>
      <c r="AA808" s="181">
        <f>IFERROR(__xludf.DUMMYFUNCTION("""COMPUTED_VALUE"""),0.0)</f>
        <v>0</v>
      </c>
      <c r="AB808" s="181">
        <f>IFERROR(__xludf.DUMMYFUNCTION("""COMPUTED_VALUE"""),0.0)</f>
        <v>0</v>
      </c>
      <c r="AC808" s="179">
        <f>IFERROR(__xludf.DUMMYFUNCTION("""COMPUTED_VALUE"""),0.0)</f>
        <v>0</v>
      </c>
      <c r="AD808" s="165">
        <f>IFERROR(__xludf.DUMMYFUNCTION("""COMPUTED_VALUE"""),0.0)</f>
        <v>0</v>
      </c>
      <c r="AE808" s="39" t="str">
        <f>IFERROR(__xludf.DUMMYFUNCTION("""COMPUTED_VALUE"""),"Yuske Shibata")</f>
        <v>Yuske Shibata</v>
      </c>
      <c r="AF808" s="39" t="str">
        <f>IFERROR(__xludf.DUMMYFUNCTION("""COMPUTED_VALUE"""),"YS21BgLoop")</f>
        <v>YS21BgLoop</v>
      </c>
      <c r="AG808" s="39"/>
      <c r="AH808" s="39"/>
      <c r="AI808" s="165"/>
      <c r="AJ808" s="165"/>
      <c r="AK808" s="111"/>
      <c r="AL808" s="111"/>
      <c r="AM808" s="111"/>
      <c r="AN808" s="111"/>
      <c r="AO808" s="111"/>
      <c r="AP808" s="111"/>
      <c r="AQ808" s="116"/>
      <c r="AR808" s="116"/>
      <c r="AS808" s="116"/>
    </row>
    <row r="809">
      <c r="A809" s="42" t="str">
        <f>IFERROR(__xludf.DUMMYFUNCTION("""COMPUTED_VALUE"""),"VeP")</f>
        <v>VeP</v>
      </c>
      <c r="B809" s="42"/>
      <c r="C809" s="42"/>
      <c r="D809" s="42" t="str">
        <f>IFERROR(__xludf.DUMMYFUNCTION("""COMPUTED_VALUE"""),"VL")</f>
        <v>VL</v>
      </c>
      <c r="E809" s="42"/>
      <c r="F809" s="42"/>
      <c r="G809" s="42"/>
      <c r="H809" s="42" t="str">
        <f>IFERROR(__xludf.DUMMYFUNCTION("""COMPUTED_VALUE"""),"(Limbic loop)")</f>
        <v>(Limbic loop)</v>
      </c>
      <c r="I809" s="42" t="str">
        <f>IFERROR(__xludf.DUMMYFUNCTION("""COMPUTED_VALUE"""),"Galvan, 2015")</f>
        <v>Galvan, 2015</v>
      </c>
      <c r="J809" s="42"/>
      <c r="K809" s="42"/>
      <c r="L809" s="42"/>
      <c r="M809" s="42"/>
      <c r="N809" s="42"/>
      <c r="O809" s="31" t="str">
        <f>IFERROR(__xludf.DUMMYFUNCTION("""COMPUTED_VALUE"""),"DOC")</f>
        <v>DOC</v>
      </c>
      <c r="P809" s="9" t="str">
        <f>IFERROR(__xludf.DUMMYFUNCTION("""COMPUTED_VALUE"""),"Frontiers in Neuroanatomy")</f>
        <v>Frontiers in Neuroanatomy</v>
      </c>
      <c r="Q809" s="9"/>
      <c r="R809" s="179" t="str">
        <f>IFERROR(__xludf.DUMMYFUNCTION("""COMPUTED_VALUE"""),"VL (00/00) [Galvan, 2015](Limbic loop);
")</f>
        <v>VL (00/00) [Galvan, 2015](Limbic loop);
</v>
      </c>
      <c r="S809" s="179" t="str">
        <f>IFERROR(__xludf.DUMMYFUNCTION("""COMPUTED_VALUE"""),"VePVL")</f>
        <v>VePVL</v>
      </c>
      <c r="T809" s="179" t="str">
        <f>IFERROR(__xludf.DUMMYFUNCTION("""COMPUTED_VALUE"""),"[Galvan, 2015]")</f>
        <v>[Galvan, 2015]</v>
      </c>
      <c r="U809" s="179">
        <f>IFERROR(__xludf.DUMMYFUNCTION("""COMPUTED_VALUE"""),0.0)</f>
        <v>0</v>
      </c>
      <c r="V809" s="180">
        <f>IFERROR(__xludf.DUMMYFUNCTION("""COMPUTED_VALUE"""),0.0)</f>
        <v>0</v>
      </c>
      <c r="W809" s="180">
        <f>IFERROR(__xludf.DUMMYFUNCTION("""COMPUTED_VALUE"""),0.95)</f>
        <v>0.95</v>
      </c>
      <c r="X809" s="42">
        <f>IFERROR(__xludf.DUMMYFUNCTION("""COMPUTED_VALUE"""),0.0)</f>
        <v>0</v>
      </c>
      <c r="Y809" s="42">
        <f>IFERROR(__xludf.DUMMYFUNCTION("""COMPUTED_VALUE"""),0.0)</f>
        <v>0</v>
      </c>
      <c r="Z809" s="9">
        <f>IFERROR(__xludf.DUMMYFUNCTION("""COMPUTED_VALUE"""),0.0)</f>
        <v>0</v>
      </c>
      <c r="AA809" s="181">
        <f>IFERROR(__xludf.DUMMYFUNCTION("""COMPUTED_VALUE"""),0.0)</f>
        <v>0</v>
      </c>
      <c r="AB809" s="181">
        <f>IFERROR(__xludf.DUMMYFUNCTION("""COMPUTED_VALUE"""),0.0)</f>
        <v>0</v>
      </c>
      <c r="AC809" s="179">
        <f>IFERROR(__xludf.DUMMYFUNCTION("""COMPUTED_VALUE"""),0.0)</f>
        <v>0</v>
      </c>
      <c r="AD809" s="165">
        <f>IFERROR(__xludf.DUMMYFUNCTION("""COMPUTED_VALUE"""),0.0)</f>
        <v>0</v>
      </c>
      <c r="AE809" s="39" t="str">
        <f>IFERROR(__xludf.DUMMYFUNCTION("""COMPUTED_VALUE"""),"Yuske Shibata")</f>
        <v>Yuske Shibata</v>
      </c>
      <c r="AF809" s="39" t="str">
        <f>IFERROR(__xludf.DUMMYFUNCTION("""COMPUTED_VALUE"""),"YS21BgLoop")</f>
        <v>YS21BgLoop</v>
      </c>
      <c r="AG809" s="39"/>
      <c r="AH809" s="39"/>
      <c r="AI809" s="165"/>
      <c r="AJ809" s="165"/>
      <c r="AK809" s="111"/>
      <c r="AL809" s="111"/>
      <c r="AM809" s="111"/>
      <c r="AN809" s="111"/>
      <c r="AO809" s="111"/>
      <c r="AP809" s="111"/>
      <c r="AQ809" s="116"/>
      <c r="AR809" s="116"/>
      <c r="AS809" s="116"/>
    </row>
    <row r="810">
      <c r="A810" s="42" t="str">
        <f>IFERROR(__xludf.DUMMYFUNCTION("""COMPUTED_VALUE"""),"VG")</f>
        <v>VG</v>
      </c>
      <c r="B810" s="42"/>
      <c r="C810" s="42"/>
      <c r="D810" s="42" t="str">
        <f>IFERROR(__xludf.DUMMYFUNCTION("""COMPUTED_VALUE"""),"MVN")</f>
        <v>MVN</v>
      </c>
      <c r="E810" s="42"/>
      <c r="F810" s="42"/>
      <c r="G810" s="42"/>
      <c r="H810" s="42" t="str">
        <f>IFERROR(__xludf.DUMMYFUNCTION("""COMPUTED_VALUE"""),"")</f>
        <v/>
      </c>
      <c r="I810" s="42" t="str">
        <f>IFERROR(__xludf.DUMMYFUNCTION("""COMPUTED_VALUE"""),"Ango, 2019")</f>
        <v>Ango, 2019</v>
      </c>
      <c r="J810" s="42"/>
      <c r="K810" s="42"/>
      <c r="L810" s="42"/>
      <c r="M810" s="42"/>
      <c r="N810" s="42"/>
      <c r="O810" s="31" t="str">
        <f>IFERROR(__xludf.DUMMYFUNCTION("""COMPUTED_VALUE"""),"DOC")</f>
        <v>DOC</v>
      </c>
      <c r="P810" s="9" t="str">
        <f>IFERROR(__xludf.DUMMYFUNCTION("""COMPUTED_VALUE"""),"{eLife}")</f>
        <v>{eLife}</v>
      </c>
      <c r="Q810" s="9" t="str">
        <f>IFERROR(__xludf.DUMMYFUNCTION("""COMPUTED_VALUE"""),"Insight")</f>
        <v>Insight</v>
      </c>
      <c r="R810" s="179" t="str">
        <f>IFERROR(__xludf.DUMMYFUNCTION("""COMPUTED_VALUE"""),"MVN (00/00) [Ango, 2019][Carcaud, 2017][Matsuno, 2016][Rondi-Reig, 2014];
")</f>
        <v>MVN (00/00) [Ango, 2019][Carcaud, 2017][Matsuno, 2016][Rondi-Reig, 2014];
</v>
      </c>
      <c r="S810" s="179" t="str">
        <f>IFERROR(__xludf.DUMMYFUNCTION("""COMPUTED_VALUE"""),"VGMVN")</f>
        <v>VGMVN</v>
      </c>
      <c r="T810" s="179" t="str">
        <f>IFERROR(__xludf.DUMMYFUNCTION("""COMPUTED_VALUE"""),"[Ango, 2019]")</f>
        <v>[Ango, 2019]</v>
      </c>
      <c r="U810" s="179">
        <f>IFERROR(__xludf.DUMMYFUNCTION("""COMPUTED_VALUE"""),0.0)</f>
        <v>0</v>
      </c>
      <c r="V810" s="180">
        <f>IFERROR(__xludf.DUMMYFUNCTION("""COMPUTED_VALUE"""),0.0)</f>
        <v>0</v>
      </c>
      <c r="W810" s="180">
        <f>IFERROR(__xludf.DUMMYFUNCTION("""COMPUTED_VALUE"""),0.95)</f>
        <v>0.95</v>
      </c>
      <c r="X810" s="42">
        <f>IFERROR(__xludf.DUMMYFUNCTION("""COMPUTED_VALUE"""),0.0)</f>
        <v>0</v>
      </c>
      <c r="Y810" s="42">
        <f>IFERROR(__xludf.DUMMYFUNCTION("""COMPUTED_VALUE"""),0.0)</f>
        <v>0</v>
      </c>
      <c r="Z810" s="9">
        <f>IFERROR(__xludf.DUMMYFUNCTION("""COMPUTED_VALUE"""),0.0)</f>
        <v>0</v>
      </c>
      <c r="AA810" s="181">
        <f>IFERROR(__xludf.DUMMYFUNCTION("""COMPUTED_VALUE"""),0.0)</f>
        <v>0</v>
      </c>
      <c r="AB810" s="181">
        <f>IFERROR(__xludf.DUMMYFUNCTION("""COMPUTED_VALUE"""),0.0)</f>
        <v>0</v>
      </c>
      <c r="AC810" s="179">
        <f>IFERROR(__xludf.DUMMYFUNCTION("""COMPUTED_VALUE"""),0.0)</f>
        <v>0</v>
      </c>
      <c r="AD810" s="165">
        <f>IFERROR(__xludf.DUMMYFUNCTION("""COMPUTED_VALUE"""),0.0)</f>
        <v>0</v>
      </c>
      <c r="AE810" s="39" t="str">
        <f>IFERROR(__xludf.DUMMYFUNCTION("""COMPUTED_VALUE"""),"Hiroshi Yamakawa")</f>
        <v>Hiroshi Yamakawa</v>
      </c>
      <c r="AF810" s="39" t="str">
        <f>IFERROR(__xludf.DUMMYFUNCTION("""COMPUTED_VALUE"""),"HY20Cerebellum")</f>
        <v>HY20Cerebellum</v>
      </c>
      <c r="AG810" s="39"/>
      <c r="AH810" s="39"/>
      <c r="AI810" s="165"/>
      <c r="AJ810" s="165"/>
      <c r="AK810" s="111"/>
      <c r="AL810" s="111"/>
      <c r="AM810" s="111"/>
      <c r="AN810" s="111"/>
      <c r="AO810" s="111"/>
      <c r="AP810" s="111"/>
      <c r="AQ810" s="116"/>
      <c r="AR810" s="116"/>
      <c r="AS810" s="116"/>
    </row>
    <row r="811">
      <c r="A811" s="42" t="str">
        <f>IFERROR(__xludf.DUMMYFUNCTION("""COMPUTED_VALUE"""),"VG")</f>
        <v>VG</v>
      </c>
      <c r="B811" s="42"/>
      <c r="C811" s="42"/>
      <c r="D811" s="42" t="str">
        <f>IFERROR(__xludf.DUMMYFUNCTION("""COMPUTED_VALUE"""),"MVN")</f>
        <v>MVN</v>
      </c>
      <c r="E811" s="42"/>
      <c r="F811" s="42"/>
      <c r="G811" s="42"/>
      <c r="H811" s="42" t="str">
        <f>IFERROR(__xludf.DUMMYFUNCTION("""COMPUTED_VALUE"""),"")</f>
        <v/>
      </c>
      <c r="I811" s="42" t="str">
        <f>IFERROR(__xludf.DUMMYFUNCTION("""COMPUTED_VALUE"""),"Carcaud, 2017")</f>
        <v>Carcaud, 2017</v>
      </c>
      <c r="J811" s="42"/>
      <c r="K811" s="42"/>
      <c r="L811" s="42"/>
      <c r="M811" s="42"/>
      <c r="N811" s="42"/>
      <c r="O811" s="31" t="str">
        <f>IFERROR(__xludf.DUMMYFUNCTION("""COMPUTED_VALUE"""),"DOC")</f>
        <v>DOC</v>
      </c>
      <c r="P811" s="9" t="str">
        <f>IFERROR(__xludf.DUMMYFUNCTION("""COMPUTED_VALUE"""),"eneuro")</f>
        <v>eneuro</v>
      </c>
      <c r="Q811" s="9"/>
      <c r="R811" s="179" t="str">
        <f>IFERROR(__xludf.DUMMYFUNCTION("""COMPUTED_VALUE"""),"MVN (00/00) [Ango, 2019][Carcaud, 2017][Matsuno, 2016][Rondi-Reig, 2014];
")</f>
        <v>MVN (00/00) [Ango, 2019][Carcaud, 2017][Matsuno, 2016][Rondi-Reig, 2014];
</v>
      </c>
      <c r="S811" s="179" t="str">
        <f>IFERROR(__xludf.DUMMYFUNCTION("""COMPUTED_VALUE"""),"VGMVN")</f>
        <v>VGMVN</v>
      </c>
      <c r="T811" s="179" t="str">
        <f>IFERROR(__xludf.DUMMYFUNCTION("""COMPUTED_VALUE"""),"[Carcaud, 2017]")</f>
        <v>[Carcaud, 2017]</v>
      </c>
      <c r="U811" s="179">
        <f>IFERROR(__xludf.DUMMYFUNCTION("""COMPUTED_VALUE"""),0.0)</f>
        <v>0</v>
      </c>
      <c r="V811" s="180">
        <f>IFERROR(__xludf.DUMMYFUNCTION("""COMPUTED_VALUE"""),0.0)</f>
        <v>0</v>
      </c>
      <c r="W811" s="180">
        <f>IFERROR(__xludf.DUMMYFUNCTION("""COMPUTED_VALUE"""),0.95)</f>
        <v>0.95</v>
      </c>
      <c r="X811" s="42">
        <f>IFERROR(__xludf.DUMMYFUNCTION("""COMPUTED_VALUE"""),0.0)</f>
        <v>0</v>
      </c>
      <c r="Y811" s="42">
        <f>IFERROR(__xludf.DUMMYFUNCTION("""COMPUTED_VALUE"""),0.0)</f>
        <v>0</v>
      </c>
      <c r="Z811" s="9">
        <f>IFERROR(__xludf.DUMMYFUNCTION("""COMPUTED_VALUE"""),0.0)</f>
        <v>0</v>
      </c>
      <c r="AA811" s="181">
        <f>IFERROR(__xludf.DUMMYFUNCTION("""COMPUTED_VALUE"""),0.0)</f>
        <v>0</v>
      </c>
      <c r="AB811" s="181">
        <f>IFERROR(__xludf.DUMMYFUNCTION("""COMPUTED_VALUE"""),0.0)</f>
        <v>0</v>
      </c>
      <c r="AC811" s="179">
        <f>IFERROR(__xludf.DUMMYFUNCTION("""COMPUTED_VALUE"""),0.0)</f>
        <v>0</v>
      </c>
      <c r="AD811" s="165">
        <f>IFERROR(__xludf.DUMMYFUNCTION("""COMPUTED_VALUE"""),0.0)</f>
        <v>0</v>
      </c>
      <c r="AE811" s="39" t="str">
        <f>IFERROR(__xludf.DUMMYFUNCTION("""COMPUTED_VALUE"""),"Hiroshi Yamakawa")</f>
        <v>Hiroshi Yamakawa</v>
      </c>
      <c r="AF811" s="39" t="str">
        <f>IFERROR(__xludf.DUMMYFUNCTION("""COMPUTED_VALUE"""),"HY20Cerebellum")</f>
        <v>HY20Cerebellum</v>
      </c>
      <c r="AG811" s="39"/>
      <c r="AH811" s="39"/>
      <c r="AI811" s="165"/>
      <c r="AJ811" s="165"/>
      <c r="AK811" s="111"/>
      <c r="AL811" s="111"/>
      <c r="AM811" s="111"/>
      <c r="AN811" s="111"/>
      <c r="AO811" s="111"/>
      <c r="AP811" s="111"/>
      <c r="AQ811" s="116"/>
      <c r="AR811" s="116"/>
      <c r="AS811" s="116"/>
    </row>
    <row r="812">
      <c r="A812" s="42" t="str">
        <f>IFERROR(__xludf.DUMMYFUNCTION("""COMPUTED_VALUE"""),"VG")</f>
        <v>VG</v>
      </c>
      <c r="B812" s="42"/>
      <c r="C812" s="42"/>
      <c r="D812" s="42" t="str">
        <f>IFERROR(__xludf.DUMMYFUNCTION("""COMPUTED_VALUE"""),"PrH")</f>
        <v>PrH</v>
      </c>
      <c r="E812" s="42"/>
      <c r="F812" s="42"/>
      <c r="G812" s="42"/>
      <c r="H812" s="42" t="str">
        <f>IFERROR(__xludf.DUMMYFUNCTION("""COMPUTED_VALUE"""),"")</f>
        <v/>
      </c>
      <c r="I812" s="42" t="str">
        <f>IFERROR(__xludf.DUMMYFUNCTION("""COMPUTED_VALUE"""),"Carcaud, 2017")</f>
        <v>Carcaud, 2017</v>
      </c>
      <c r="J812" s="42"/>
      <c r="K812" s="42"/>
      <c r="L812" s="42"/>
      <c r="M812" s="42"/>
      <c r="N812" s="42"/>
      <c r="O812" s="31" t="str">
        <f>IFERROR(__xludf.DUMMYFUNCTION("""COMPUTED_VALUE"""),"DOC")</f>
        <v>DOC</v>
      </c>
      <c r="P812" s="9" t="str">
        <f>IFERROR(__xludf.DUMMYFUNCTION("""COMPUTED_VALUE"""),"eneuro")</f>
        <v>eneuro</v>
      </c>
      <c r="Q812" s="9"/>
      <c r="R812" s="179" t="str">
        <f>IFERROR(__xludf.DUMMYFUNCTION("""COMPUTED_VALUE"""),"PrH (00/00) [Carcaud, 2017];
")</f>
        <v>PrH (00/00) [Carcaud, 2017];
</v>
      </c>
      <c r="S812" s="179" t="str">
        <f>IFERROR(__xludf.DUMMYFUNCTION("""COMPUTED_VALUE"""),"VGPrH")</f>
        <v>VGPrH</v>
      </c>
      <c r="T812" s="179" t="str">
        <f>IFERROR(__xludf.DUMMYFUNCTION("""COMPUTED_VALUE"""),"[Carcaud, 2017]")</f>
        <v>[Carcaud, 2017]</v>
      </c>
      <c r="U812" s="179">
        <f>IFERROR(__xludf.DUMMYFUNCTION("""COMPUTED_VALUE"""),0.0)</f>
        <v>0</v>
      </c>
      <c r="V812" s="180">
        <f>IFERROR(__xludf.DUMMYFUNCTION("""COMPUTED_VALUE"""),0.0)</f>
        <v>0</v>
      </c>
      <c r="W812" s="180">
        <f>IFERROR(__xludf.DUMMYFUNCTION("""COMPUTED_VALUE"""),0.95)</f>
        <v>0.95</v>
      </c>
      <c r="X812" s="42">
        <f>IFERROR(__xludf.DUMMYFUNCTION("""COMPUTED_VALUE"""),0.0)</f>
        <v>0</v>
      </c>
      <c r="Y812" s="42">
        <f>IFERROR(__xludf.DUMMYFUNCTION("""COMPUTED_VALUE"""),0.0)</f>
        <v>0</v>
      </c>
      <c r="Z812" s="9">
        <f>IFERROR(__xludf.DUMMYFUNCTION("""COMPUTED_VALUE"""),0.0)</f>
        <v>0</v>
      </c>
      <c r="AA812" s="181">
        <f>IFERROR(__xludf.DUMMYFUNCTION("""COMPUTED_VALUE"""),0.0)</f>
        <v>0</v>
      </c>
      <c r="AB812" s="181">
        <f>IFERROR(__xludf.DUMMYFUNCTION("""COMPUTED_VALUE"""),0.0)</f>
        <v>0</v>
      </c>
      <c r="AC812" s="179">
        <f>IFERROR(__xludf.DUMMYFUNCTION("""COMPUTED_VALUE"""),0.0)</f>
        <v>0</v>
      </c>
      <c r="AD812" s="165">
        <f>IFERROR(__xludf.DUMMYFUNCTION("""COMPUTED_VALUE"""),0.0)</f>
        <v>0</v>
      </c>
      <c r="AE812" s="39" t="str">
        <f>IFERROR(__xludf.DUMMYFUNCTION("""COMPUTED_VALUE"""),"Hiroshi Yamakawa")</f>
        <v>Hiroshi Yamakawa</v>
      </c>
      <c r="AF812" s="39" t="str">
        <f>IFERROR(__xludf.DUMMYFUNCTION("""COMPUTED_VALUE"""),"HY20Cerebellum")</f>
        <v>HY20Cerebellum</v>
      </c>
      <c r="AG812" s="39"/>
      <c r="AH812" s="39"/>
      <c r="AI812" s="165"/>
      <c r="AJ812" s="165"/>
      <c r="AK812" s="111"/>
      <c r="AL812" s="111"/>
      <c r="AM812" s="111"/>
      <c r="AN812" s="111"/>
      <c r="AO812" s="111"/>
      <c r="AP812" s="111"/>
      <c r="AQ812" s="116"/>
      <c r="AR812" s="116"/>
      <c r="AS812" s="116"/>
    </row>
    <row r="813">
      <c r="A813" s="42" t="str">
        <f>IFERROR(__xludf.DUMMYFUNCTION("""COMPUTED_VALUE"""),"VG")</f>
        <v>VG</v>
      </c>
      <c r="B813" s="42"/>
      <c r="C813" s="42"/>
      <c r="D813" s="42" t="str">
        <f>IFERROR(__xludf.DUMMYFUNCTION("""COMPUTED_VALUE"""),"MVN")</f>
        <v>MVN</v>
      </c>
      <c r="E813" s="42"/>
      <c r="F813" s="42"/>
      <c r="G813" s="42"/>
      <c r="H813" s="42" t="str">
        <f>IFERROR(__xludf.DUMMYFUNCTION("""COMPUTED_VALUE"""),"")</f>
        <v/>
      </c>
      <c r="I813" s="42" t="str">
        <f>IFERROR(__xludf.DUMMYFUNCTION("""COMPUTED_VALUE"""),"Matsuno, 2016")</f>
        <v>Matsuno, 2016</v>
      </c>
      <c r="J813" s="42"/>
      <c r="K813" s="42"/>
      <c r="L813" s="42"/>
      <c r="M813" s="42"/>
      <c r="N813" s="42"/>
      <c r="O813" s="31" t="str">
        <f>IFERROR(__xludf.DUMMYFUNCTION("""COMPUTED_VALUE"""),"DOC")</f>
        <v>DOC</v>
      </c>
      <c r="P813" s="9" t="str">
        <f>IFERROR(__xludf.DUMMYFUNCTION("""COMPUTED_VALUE"""),"{PLoS} {ONE}")</f>
        <v>{PLoS} {ONE}</v>
      </c>
      <c r="Q813" s="9"/>
      <c r="R813" s="179" t="str">
        <f>IFERROR(__xludf.DUMMYFUNCTION("""COMPUTED_VALUE"""),"MVN (00/00) [Ango, 2019][Carcaud, 2017][Matsuno, 2016][Rondi-Reig, 2014];
")</f>
        <v>MVN (00/00) [Ango, 2019][Carcaud, 2017][Matsuno, 2016][Rondi-Reig, 2014];
</v>
      </c>
      <c r="S813" s="179" t="str">
        <f>IFERROR(__xludf.DUMMYFUNCTION("""COMPUTED_VALUE"""),"VGMVN")</f>
        <v>VGMVN</v>
      </c>
      <c r="T813" s="179" t="str">
        <f>IFERROR(__xludf.DUMMYFUNCTION("""COMPUTED_VALUE"""),"[Matsuno, 2016]")</f>
        <v>[Matsuno, 2016]</v>
      </c>
      <c r="U813" s="179">
        <f>IFERROR(__xludf.DUMMYFUNCTION("""COMPUTED_VALUE"""),0.0)</f>
        <v>0</v>
      </c>
      <c r="V813" s="180">
        <f>IFERROR(__xludf.DUMMYFUNCTION("""COMPUTED_VALUE"""),0.0)</f>
        <v>0</v>
      </c>
      <c r="W813" s="180">
        <f>IFERROR(__xludf.DUMMYFUNCTION("""COMPUTED_VALUE"""),0.95)</f>
        <v>0.95</v>
      </c>
      <c r="X813" s="42">
        <f>IFERROR(__xludf.DUMMYFUNCTION("""COMPUTED_VALUE"""),0.0)</f>
        <v>0</v>
      </c>
      <c r="Y813" s="42">
        <f>IFERROR(__xludf.DUMMYFUNCTION("""COMPUTED_VALUE"""),0.0)</f>
        <v>0</v>
      </c>
      <c r="Z813" s="9">
        <f>IFERROR(__xludf.DUMMYFUNCTION("""COMPUTED_VALUE"""),0.0)</f>
        <v>0</v>
      </c>
      <c r="AA813" s="181">
        <f>IFERROR(__xludf.DUMMYFUNCTION("""COMPUTED_VALUE"""),0.0)</f>
        <v>0</v>
      </c>
      <c r="AB813" s="181">
        <f>IFERROR(__xludf.DUMMYFUNCTION("""COMPUTED_VALUE"""),0.0)</f>
        <v>0</v>
      </c>
      <c r="AC813" s="179">
        <f>IFERROR(__xludf.DUMMYFUNCTION("""COMPUTED_VALUE"""),0.0)</f>
        <v>0</v>
      </c>
      <c r="AD813" s="165">
        <f>IFERROR(__xludf.DUMMYFUNCTION("""COMPUTED_VALUE"""),0.0)</f>
        <v>0</v>
      </c>
      <c r="AE813" s="39" t="str">
        <f>IFERROR(__xludf.DUMMYFUNCTION("""COMPUTED_VALUE"""),"Hiroshi Yamakawa")</f>
        <v>Hiroshi Yamakawa</v>
      </c>
      <c r="AF813" s="39" t="str">
        <f>IFERROR(__xludf.DUMMYFUNCTION("""COMPUTED_VALUE"""),"HY20Cerebellum")</f>
        <v>HY20Cerebellum</v>
      </c>
      <c r="AG813" s="39"/>
      <c r="AH813" s="39"/>
      <c r="AI813" s="165"/>
      <c r="AJ813" s="165"/>
      <c r="AK813" s="111"/>
      <c r="AL813" s="111"/>
      <c r="AM813" s="111"/>
      <c r="AN813" s="111"/>
      <c r="AO813" s="111"/>
      <c r="AP813" s="111"/>
      <c r="AQ813" s="116"/>
      <c r="AR813" s="116"/>
      <c r="AS813" s="116"/>
    </row>
    <row r="814">
      <c r="A814" s="42" t="str">
        <f>IFERROR(__xludf.DUMMYFUNCTION("""COMPUTED_VALUE"""),"VG")</f>
        <v>VG</v>
      </c>
      <c r="B814" s="42"/>
      <c r="C814" s="42"/>
      <c r="D814" s="42" t="str">
        <f>IFERROR(__xludf.DUMMYFUNCTION("""COMPUTED_VALUE"""),"MVN")</f>
        <v>MVN</v>
      </c>
      <c r="E814" s="42"/>
      <c r="F814" s="42"/>
      <c r="G814" s="42"/>
      <c r="H814" s="42" t="str">
        <f>IFERROR(__xludf.DUMMYFUNCTION("""COMPUTED_VALUE"""),"")</f>
        <v/>
      </c>
      <c r="I814" s="42" t="str">
        <f>IFERROR(__xludf.DUMMYFUNCTION("""COMPUTED_VALUE"""),"Rondi-Reig, 2014")</f>
        <v>Rondi-Reig, 2014</v>
      </c>
      <c r="J814" s="42"/>
      <c r="K814" s="42"/>
      <c r="L814" s="42"/>
      <c r="M814" s="42"/>
      <c r="N814" s="42"/>
      <c r="O814" s="131" t="str">
        <f>IFERROR(__xludf.DUMMYFUNCTION("""COMPUTED_VALUE"""),"DOC")</f>
        <v>DOC</v>
      </c>
      <c r="P814" s="9" t="str">
        <f>IFERROR(__xludf.DUMMYFUNCTION("""COMPUTED_VALUE"""),"Frontiers in Systems Neuroscience")</f>
        <v>Frontiers in Systems Neuroscience</v>
      </c>
      <c r="Q814" s="9"/>
      <c r="R814" s="179" t="str">
        <f>IFERROR(__xludf.DUMMYFUNCTION("""COMPUTED_VALUE"""),"MVN (00/00) [Ango, 2019][Carcaud, 2017][Matsuno, 2016][Rondi-Reig, 2014];
")</f>
        <v>MVN (00/00) [Ango, 2019][Carcaud, 2017][Matsuno, 2016][Rondi-Reig, 2014];
</v>
      </c>
      <c r="S814" s="179" t="str">
        <f>IFERROR(__xludf.DUMMYFUNCTION("""COMPUTED_VALUE"""),"VGMVN")</f>
        <v>VGMVN</v>
      </c>
      <c r="T814" s="179" t="str">
        <f>IFERROR(__xludf.DUMMYFUNCTION("""COMPUTED_VALUE"""),"[Rondi-Reig, 2014]")</f>
        <v>[Rondi-Reig, 2014]</v>
      </c>
      <c r="U814" s="179">
        <f>IFERROR(__xludf.DUMMYFUNCTION("""COMPUTED_VALUE"""),0.0)</f>
        <v>0</v>
      </c>
      <c r="V814" s="180">
        <f>IFERROR(__xludf.DUMMYFUNCTION("""COMPUTED_VALUE"""),0.0)</f>
        <v>0</v>
      </c>
      <c r="W814" s="180">
        <f>IFERROR(__xludf.DUMMYFUNCTION("""COMPUTED_VALUE"""),0.95)</f>
        <v>0.95</v>
      </c>
      <c r="X814" s="42">
        <f>IFERROR(__xludf.DUMMYFUNCTION("""COMPUTED_VALUE"""),0.0)</f>
        <v>0</v>
      </c>
      <c r="Y814" s="42">
        <f>IFERROR(__xludf.DUMMYFUNCTION("""COMPUTED_VALUE"""),0.0)</f>
        <v>0</v>
      </c>
      <c r="Z814" s="9">
        <f>IFERROR(__xludf.DUMMYFUNCTION("""COMPUTED_VALUE"""),0.0)</f>
        <v>0</v>
      </c>
      <c r="AA814" s="181">
        <f>IFERROR(__xludf.DUMMYFUNCTION("""COMPUTED_VALUE"""),0.0)</f>
        <v>0</v>
      </c>
      <c r="AB814" s="181">
        <f>IFERROR(__xludf.DUMMYFUNCTION("""COMPUTED_VALUE"""),0.0)</f>
        <v>0</v>
      </c>
      <c r="AC814" s="179">
        <f>IFERROR(__xludf.DUMMYFUNCTION("""COMPUTED_VALUE"""),0.0)</f>
        <v>0</v>
      </c>
      <c r="AD814" s="165">
        <f>IFERROR(__xludf.DUMMYFUNCTION("""COMPUTED_VALUE"""),0.0)</f>
        <v>0</v>
      </c>
      <c r="AE814" s="39" t="str">
        <f>IFERROR(__xludf.DUMMYFUNCTION("""COMPUTED_VALUE"""),"Hiroshi Yamakawa")</f>
        <v>Hiroshi Yamakawa</v>
      </c>
      <c r="AF814" s="39" t="str">
        <f>IFERROR(__xludf.DUMMYFUNCTION("""COMPUTED_VALUE"""),"HY20Cerebellum")</f>
        <v>HY20Cerebellum</v>
      </c>
      <c r="AG814" s="39"/>
      <c r="AH814" s="39"/>
      <c r="AI814" s="165"/>
      <c r="AJ814" s="165"/>
      <c r="AK814" s="111"/>
      <c r="AL814" s="111"/>
      <c r="AM814" s="111"/>
      <c r="AN814" s="111"/>
      <c r="AO814" s="111"/>
      <c r="AP814" s="111"/>
      <c r="AQ814" s="116"/>
      <c r="AR814" s="116"/>
      <c r="AS814" s="116"/>
    </row>
    <row r="815">
      <c r="A815" s="42" t="str">
        <f>IFERROR(__xludf.DUMMYFUNCTION("""COMPUTED_VALUE"""),"VISpor_uc1")</f>
        <v>VISpor_uc1</v>
      </c>
      <c r="B815" s="42"/>
      <c r="C815" s="42"/>
      <c r="D815" s="42" t="str">
        <f>IFERROR(__xludf.DUMMYFUNCTION("""COMPUTED_VALUE"""),"MEC_II")</f>
        <v>MEC_II</v>
      </c>
      <c r="E815" s="42"/>
      <c r="F815" s="42"/>
      <c r="G815" s="42"/>
      <c r="H815" s="42" t="str">
        <f>IFERROR(__xludf.DUMMYFUNCTION("""COMPUTED_VALUE"""),"(via MEC_I)")</f>
        <v>(via MEC_I)</v>
      </c>
      <c r="I815" s="42" t="str">
        <f>IFERROR(__xludf.DUMMYFUNCTION("""COMPUTED_VALUE"""),"Moser, 2010")</f>
        <v>Moser, 2010</v>
      </c>
      <c r="J815" s="42"/>
      <c r="K815" s="42"/>
      <c r="L815" s="42"/>
      <c r="M815" s="42"/>
      <c r="N815" s="42"/>
      <c r="O815" s="131" t="str">
        <f>IFERROR(__xludf.DUMMYFUNCTION("""COMPUTED_VALUE"""),"DOC")</f>
        <v>DOC</v>
      </c>
      <c r="P815" s="9" t="str">
        <f>IFERROR(__xludf.DUMMYFUNCTION("""COMPUTED_VALUE"""),"Handbook of Brain Microcircuits")</f>
        <v>Handbook of Brain Microcircuits</v>
      </c>
      <c r="Q815" s="9" t="str">
        <f>IFERROR(__xludf.DUMMYFUNCTION("""COMPUTED_VALUE"""),"Textbook")</f>
        <v>Textbook</v>
      </c>
      <c r="R815" s="179" t="str">
        <f>IFERROR(__xludf.DUMMYFUNCTION("""COMPUTED_VALUE"""),"MEC_II (00/00) [Moser, 2010][Witter, 2000](via MEC_I);
")</f>
        <v>MEC_II (00/00) [Moser, 2010][Witter, 2000](via MEC_I);
</v>
      </c>
      <c r="S815" s="179" t="str">
        <f>IFERROR(__xludf.DUMMYFUNCTION("""COMPUTED_VALUE"""),"VISpor_uc1MEC_II")</f>
        <v>VISpor_uc1MEC_II</v>
      </c>
      <c r="T815" s="179" t="str">
        <f>IFERROR(__xludf.DUMMYFUNCTION("""COMPUTED_VALUE"""),"[Moser, 2010]")</f>
        <v>[Moser, 2010]</v>
      </c>
      <c r="U815" s="179">
        <f>IFERROR(__xludf.DUMMYFUNCTION("""COMPUTED_VALUE"""),0.0)</f>
        <v>0</v>
      </c>
      <c r="V815" s="180">
        <f>IFERROR(__xludf.DUMMYFUNCTION("""COMPUTED_VALUE"""),0.0)</f>
        <v>0</v>
      </c>
      <c r="W815" s="180">
        <f>IFERROR(__xludf.DUMMYFUNCTION("""COMPUTED_VALUE"""),0.95)</f>
        <v>0.95</v>
      </c>
      <c r="X815" s="42">
        <f>IFERROR(__xludf.DUMMYFUNCTION("""COMPUTED_VALUE"""),0.9)</f>
        <v>0.9</v>
      </c>
      <c r="Y815" s="42">
        <f>IFERROR(__xludf.DUMMYFUNCTION("""COMPUTED_VALUE"""),0.0)</f>
        <v>0</v>
      </c>
      <c r="Z815" s="9">
        <f>IFERROR(__xludf.DUMMYFUNCTION("""COMPUTED_VALUE"""),0.0)</f>
        <v>0</v>
      </c>
      <c r="AA815" s="181">
        <f>IFERROR(__xludf.DUMMYFUNCTION("""COMPUTED_VALUE"""),0.0)</f>
        <v>0</v>
      </c>
      <c r="AB815" s="181">
        <f>IFERROR(__xludf.DUMMYFUNCTION("""COMPUTED_VALUE"""),0.0)</f>
        <v>0</v>
      </c>
      <c r="AC815" s="179">
        <f>IFERROR(__xludf.DUMMYFUNCTION("""COMPUTED_VALUE"""),0.0)</f>
        <v>0</v>
      </c>
      <c r="AD815" s="165">
        <f>IFERROR(__xludf.DUMMYFUNCTION("""COMPUTED_VALUE"""),0.0)</f>
        <v>0</v>
      </c>
      <c r="AE815" s="39" t="str">
        <f>IFERROR(__xludf.DUMMYFUNCTION("""COMPUTED_VALUE"""),"Ayako Fukawa")</f>
        <v>Ayako Fukawa</v>
      </c>
      <c r="AF815" s="39" t="str">
        <f>IFERROR(__xludf.DUMMYFUNCTION("""COMPUTED_VALUE"""),"AT20HippocampalFormation")</f>
        <v>AT20HippocampalFormation</v>
      </c>
      <c r="AG815" s="39"/>
      <c r="AH815" s="39"/>
      <c r="AI815" s="165"/>
      <c r="AJ815" s="165"/>
      <c r="AK815" s="111"/>
      <c r="AL815" s="111"/>
      <c r="AM815" s="111"/>
      <c r="AN815" s="111"/>
      <c r="AO815" s="111"/>
      <c r="AP815" s="111"/>
      <c r="AQ815" s="116"/>
      <c r="AR815" s="116"/>
      <c r="AS815" s="116"/>
    </row>
    <row r="816">
      <c r="A816" s="42" t="str">
        <f>IFERROR(__xludf.DUMMYFUNCTION("""COMPUTED_VALUE"""),"VISpor_uc1")</f>
        <v>VISpor_uc1</v>
      </c>
      <c r="B816" s="42"/>
      <c r="C816" s="42"/>
      <c r="D816" s="42" t="str">
        <f>IFERROR(__xludf.DUMMYFUNCTION("""COMPUTED_VALUE"""),"MEC_II")</f>
        <v>MEC_II</v>
      </c>
      <c r="E816" s="42"/>
      <c r="F816" s="42"/>
      <c r="G816" s="42"/>
      <c r="H816" s="42" t="str">
        <f>IFERROR(__xludf.DUMMYFUNCTION("""COMPUTED_VALUE"""),"")</f>
        <v/>
      </c>
      <c r="I816" s="42" t="str">
        <f>IFERROR(__xludf.DUMMYFUNCTION("""COMPUTED_VALUE"""),"Witter, 2000")</f>
        <v>Witter, 2000</v>
      </c>
      <c r="J816" s="42"/>
      <c r="K816" s="42"/>
      <c r="L816" s="42"/>
      <c r="M816" s="42"/>
      <c r="N816" s="42"/>
      <c r="O816" s="131" t="str">
        <f>IFERROR(__xludf.DUMMYFUNCTION("""COMPUTED_VALUE"""),"DOC")</f>
        <v>DOC</v>
      </c>
      <c r="P816" s="9" t="str">
        <f>IFERROR(__xludf.DUMMYFUNCTION("""COMPUTED_VALUE"""),"Hippocampus")</f>
        <v>Hippocampus</v>
      </c>
      <c r="Q816" s="9" t="str">
        <f>IFERROR(__xludf.DUMMYFUNCTION("""COMPUTED_VALUE"""),"Review")</f>
        <v>Review</v>
      </c>
      <c r="R816" s="179" t="str">
        <f>IFERROR(__xludf.DUMMYFUNCTION("""COMPUTED_VALUE"""),"MEC_II (00/00) [Moser, 2010][Witter, 2000];
")</f>
        <v>MEC_II (00/00) [Moser, 2010][Witter, 2000];
</v>
      </c>
      <c r="S816" s="179" t="str">
        <f>IFERROR(__xludf.DUMMYFUNCTION("""COMPUTED_VALUE"""),"VISpor_uc1MEC_II")</f>
        <v>VISpor_uc1MEC_II</v>
      </c>
      <c r="T816" s="179" t="str">
        <f>IFERROR(__xludf.DUMMYFUNCTION("""COMPUTED_VALUE"""),"[Witter, 2000]")</f>
        <v>[Witter, 2000]</v>
      </c>
      <c r="U816" s="179">
        <f>IFERROR(__xludf.DUMMYFUNCTION("""COMPUTED_VALUE"""),0.0)</f>
        <v>0</v>
      </c>
      <c r="V816" s="180">
        <f>IFERROR(__xludf.DUMMYFUNCTION("""COMPUTED_VALUE"""),0.0)</f>
        <v>0</v>
      </c>
      <c r="W816" s="180">
        <f>IFERROR(__xludf.DUMMYFUNCTION("""COMPUTED_VALUE"""),0.95)</f>
        <v>0.95</v>
      </c>
      <c r="X816" s="42">
        <f>IFERROR(__xludf.DUMMYFUNCTION("""COMPUTED_VALUE"""),0.8)</f>
        <v>0.8</v>
      </c>
      <c r="Y816" s="42">
        <f>IFERROR(__xludf.DUMMYFUNCTION("""COMPUTED_VALUE"""),0.0)</f>
        <v>0</v>
      </c>
      <c r="Z816" s="9">
        <f>IFERROR(__xludf.DUMMYFUNCTION("""COMPUTED_VALUE"""),0.0)</f>
        <v>0</v>
      </c>
      <c r="AA816" s="181">
        <f>IFERROR(__xludf.DUMMYFUNCTION("""COMPUTED_VALUE"""),0.0)</f>
        <v>0</v>
      </c>
      <c r="AB816" s="181">
        <f>IFERROR(__xludf.DUMMYFUNCTION("""COMPUTED_VALUE"""),0.0)</f>
        <v>0</v>
      </c>
      <c r="AC816" s="179">
        <f>IFERROR(__xludf.DUMMYFUNCTION("""COMPUTED_VALUE"""),0.0)</f>
        <v>0</v>
      </c>
      <c r="AD816" s="165">
        <f>IFERROR(__xludf.DUMMYFUNCTION("""COMPUTED_VALUE"""),0.0)</f>
        <v>0</v>
      </c>
      <c r="AE816" s="39" t="str">
        <f>IFERROR(__xludf.DUMMYFUNCTION("""COMPUTED_VALUE"""),"Ayako Fukawa")</f>
        <v>Ayako Fukawa</v>
      </c>
      <c r="AF816" s="39" t="str">
        <f>IFERROR(__xludf.DUMMYFUNCTION("""COMPUTED_VALUE"""),"AT20HippocampalFormation")</f>
        <v>AT20HippocampalFormation</v>
      </c>
      <c r="AG816" s="39"/>
      <c r="AH816" s="39"/>
      <c r="AI816" s="165"/>
      <c r="AJ816" s="165"/>
      <c r="AK816" s="111"/>
      <c r="AL816" s="111"/>
      <c r="AM816" s="111"/>
      <c r="AN816" s="111"/>
      <c r="AO816" s="111"/>
      <c r="AP816" s="111"/>
      <c r="AQ816" s="116"/>
      <c r="AR816" s="116"/>
      <c r="AS816" s="116"/>
    </row>
    <row r="817">
      <c r="A817" s="42" t="str">
        <f>IFERROR(__xludf.DUMMYFUNCTION("""COMPUTED_VALUE"""),"VISpor_uc2")</f>
        <v>VISpor_uc2</v>
      </c>
      <c r="B817" s="42"/>
      <c r="C817" s="42"/>
      <c r="D817" s="42" t="str">
        <f>IFERROR(__xludf.DUMMYFUNCTION("""COMPUTED_VALUE"""),"MEC_III")</f>
        <v>MEC_III</v>
      </c>
      <c r="E817" s="42"/>
      <c r="F817" s="42"/>
      <c r="G817" s="42"/>
      <c r="H817" s="42" t="str">
        <f>IFERROR(__xludf.DUMMYFUNCTION("""COMPUTED_VALUE"""),"")</f>
        <v/>
      </c>
      <c r="I817" s="42" t="str">
        <f>IFERROR(__xludf.DUMMYFUNCTION("""COMPUTED_VALUE"""),"Moser, 2010")</f>
        <v>Moser, 2010</v>
      </c>
      <c r="J817" s="42"/>
      <c r="K817" s="42"/>
      <c r="L817" s="42"/>
      <c r="M817" s="42"/>
      <c r="N817" s="42"/>
      <c r="O817" s="131" t="str">
        <f>IFERROR(__xludf.DUMMYFUNCTION("""COMPUTED_VALUE"""),"DOC")</f>
        <v>DOC</v>
      </c>
      <c r="P817" s="9" t="str">
        <f>IFERROR(__xludf.DUMMYFUNCTION("""COMPUTED_VALUE"""),"Handbook of Brain Microcircuits")</f>
        <v>Handbook of Brain Microcircuits</v>
      </c>
      <c r="Q817" s="9" t="str">
        <f>IFERROR(__xludf.DUMMYFUNCTION("""COMPUTED_VALUE"""),"Textbook")</f>
        <v>Textbook</v>
      </c>
      <c r="R817" s="179" t="str">
        <f>IFERROR(__xludf.DUMMYFUNCTION("""COMPUTED_VALUE"""),"MEC_III (00/00) [Moser, 2010][Witter, 2000];
")</f>
        <v>MEC_III (00/00) [Moser, 2010][Witter, 2000];
</v>
      </c>
      <c r="S817" s="179" t="str">
        <f>IFERROR(__xludf.DUMMYFUNCTION("""COMPUTED_VALUE"""),"VISpor_uc2MEC_III")</f>
        <v>VISpor_uc2MEC_III</v>
      </c>
      <c r="T817" s="179" t="str">
        <f>IFERROR(__xludf.DUMMYFUNCTION("""COMPUTED_VALUE"""),"[Moser, 2010]")</f>
        <v>[Moser, 2010]</v>
      </c>
      <c r="U817" s="179">
        <f>IFERROR(__xludf.DUMMYFUNCTION("""COMPUTED_VALUE"""),0.0)</f>
        <v>0</v>
      </c>
      <c r="V817" s="180">
        <f>IFERROR(__xludf.DUMMYFUNCTION("""COMPUTED_VALUE"""),0.0)</f>
        <v>0</v>
      </c>
      <c r="W817" s="180">
        <f>IFERROR(__xludf.DUMMYFUNCTION("""COMPUTED_VALUE"""),0.95)</f>
        <v>0.95</v>
      </c>
      <c r="X817" s="42">
        <f>IFERROR(__xludf.DUMMYFUNCTION("""COMPUTED_VALUE"""),0.9)</f>
        <v>0.9</v>
      </c>
      <c r="Y817" s="42">
        <f>IFERROR(__xludf.DUMMYFUNCTION("""COMPUTED_VALUE"""),0.0)</f>
        <v>0</v>
      </c>
      <c r="Z817" s="9">
        <f>IFERROR(__xludf.DUMMYFUNCTION("""COMPUTED_VALUE"""),0.0)</f>
        <v>0</v>
      </c>
      <c r="AA817" s="181">
        <f>IFERROR(__xludf.DUMMYFUNCTION("""COMPUTED_VALUE"""),0.0)</f>
        <v>0</v>
      </c>
      <c r="AB817" s="181">
        <f>IFERROR(__xludf.DUMMYFUNCTION("""COMPUTED_VALUE"""),0.0)</f>
        <v>0</v>
      </c>
      <c r="AC817" s="179">
        <f>IFERROR(__xludf.DUMMYFUNCTION("""COMPUTED_VALUE"""),0.0)</f>
        <v>0</v>
      </c>
      <c r="AD817" s="165">
        <f>IFERROR(__xludf.DUMMYFUNCTION("""COMPUTED_VALUE"""),0.0)</f>
        <v>0</v>
      </c>
      <c r="AE817" s="39" t="str">
        <f>IFERROR(__xludf.DUMMYFUNCTION("""COMPUTED_VALUE"""),"Ayako Fukawa")</f>
        <v>Ayako Fukawa</v>
      </c>
      <c r="AF817" s="39" t="str">
        <f>IFERROR(__xludf.DUMMYFUNCTION("""COMPUTED_VALUE"""),"AT20HippocampalFormation")</f>
        <v>AT20HippocampalFormation</v>
      </c>
      <c r="AG817" s="39"/>
      <c r="AH817" s="39"/>
      <c r="AI817" s="165"/>
      <c r="AJ817" s="165"/>
      <c r="AK817" s="111"/>
      <c r="AL817" s="111"/>
      <c r="AM817" s="111"/>
      <c r="AN817" s="111"/>
      <c r="AO817" s="111"/>
      <c r="AP817" s="111"/>
      <c r="AQ817" s="116"/>
      <c r="AR817" s="116"/>
      <c r="AS817" s="116"/>
    </row>
    <row r="818">
      <c r="A818" s="42" t="str">
        <f>IFERROR(__xludf.DUMMYFUNCTION("""COMPUTED_VALUE"""),"VISpor_uc2")</f>
        <v>VISpor_uc2</v>
      </c>
      <c r="B818" s="42"/>
      <c r="C818" s="42"/>
      <c r="D818" s="42" t="str">
        <f>IFERROR(__xludf.DUMMYFUNCTION("""COMPUTED_VALUE"""),"MEC_III")</f>
        <v>MEC_III</v>
      </c>
      <c r="E818" s="42"/>
      <c r="F818" s="42"/>
      <c r="G818" s="42"/>
      <c r="H818" s="42" t="str">
        <f>IFERROR(__xludf.DUMMYFUNCTION("""COMPUTED_VALUE"""),"")</f>
        <v/>
      </c>
      <c r="I818" s="42" t="str">
        <f>IFERROR(__xludf.DUMMYFUNCTION("""COMPUTED_VALUE"""),"Witter, 2000")</f>
        <v>Witter, 2000</v>
      </c>
      <c r="J818" s="42"/>
      <c r="K818" s="42"/>
      <c r="L818" s="42"/>
      <c r="M818" s="42"/>
      <c r="N818" s="42"/>
      <c r="O818" s="131" t="str">
        <f>IFERROR(__xludf.DUMMYFUNCTION("""COMPUTED_VALUE"""),"DOC")</f>
        <v>DOC</v>
      </c>
      <c r="P818" s="9" t="str">
        <f>IFERROR(__xludf.DUMMYFUNCTION("""COMPUTED_VALUE"""),"Hippocampus")</f>
        <v>Hippocampus</v>
      </c>
      <c r="Q818" s="9" t="str">
        <f>IFERROR(__xludf.DUMMYFUNCTION("""COMPUTED_VALUE"""),"Review")</f>
        <v>Review</v>
      </c>
      <c r="R818" s="179" t="str">
        <f>IFERROR(__xludf.DUMMYFUNCTION("""COMPUTED_VALUE"""),"MEC_III (00/00) [Moser, 2010][Witter, 2000];
")</f>
        <v>MEC_III (00/00) [Moser, 2010][Witter, 2000];
</v>
      </c>
      <c r="S818" s="179" t="str">
        <f>IFERROR(__xludf.DUMMYFUNCTION("""COMPUTED_VALUE"""),"VISpor_uc2MEC_III")</f>
        <v>VISpor_uc2MEC_III</v>
      </c>
      <c r="T818" s="179" t="str">
        <f>IFERROR(__xludf.DUMMYFUNCTION("""COMPUTED_VALUE"""),"[Witter, 2000]")</f>
        <v>[Witter, 2000]</v>
      </c>
      <c r="U818" s="179">
        <f>IFERROR(__xludf.DUMMYFUNCTION("""COMPUTED_VALUE"""),0.0)</f>
        <v>0</v>
      </c>
      <c r="V818" s="180">
        <f>IFERROR(__xludf.DUMMYFUNCTION("""COMPUTED_VALUE"""),0.0)</f>
        <v>0</v>
      </c>
      <c r="W818" s="180">
        <f>IFERROR(__xludf.DUMMYFUNCTION("""COMPUTED_VALUE"""),0.95)</f>
        <v>0.95</v>
      </c>
      <c r="X818" s="42">
        <f>IFERROR(__xludf.DUMMYFUNCTION("""COMPUTED_VALUE"""),0.8)</f>
        <v>0.8</v>
      </c>
      <c r="Y818" s="42">
        <f>IFERROR(__xludf.DUMMYFUNCTION("""COMPUTED_VALUE"""),0.0)</f>
        <v>0</v>
      </c>
      <c r="Z818" s="9">
        <f>IFERROR(__xludf.DUMMYFUNCTION("""COMPUTED_VALUE"""),0.0)</f>
        <v>0</v>
      </c>
      <c r="AA818" s="181">
        <f>IFERROR(__xludf.DUMMYFUNCTION("""COMPUTED_VALUE"""),0.0)</f>
        <v>0</v>
      </c>
      <c r="AB818" s="181">
        <f>IFERROR(__xludf.DUMMYFUNCTION("""COMPUTED_VALUE"""),0.0)</f>
        <v>0</v>
      </c>
      <c r="AC818" s="179">
        <f>IFERROR(__xludf.DUMMYFUNCTION("""COMPUTED_VALUE"""),0.0)</f>
        <v>0</v>
      </c>
      <c r="AD818" s="165">
        <f>IFERROR(__xludf.DUMMYFUNCTION("""COMPUTED_VALUE"""),0.0)</f>
        <v>0</v>
      </c>
      <c r="AE818" s="39" t="str">
        <f>IFERROR(__xludf.DUMMYFUNCTION("""COMPUTED_VALUE"""),"Ayako Fukawa")</f>
        <v>Ayako Fukawa</v>
      </c>
      <c r="AF818" s="39" t="str">
        <f>IFERROR(__xludf.DUMMYFUNCTION("""COMPUTED_VALUE"""),"AT20HippocampalFormation")</f>
        <v>AT20HippocampalFormation</v>
      </c>
      <c r="AG818" s="39"/>
      <c r="AH818" s="39"/>
      <c r="AI818" s="165"/>
      <c r="AJ818" s="165"/>
      <c r="AK818" s="111"/>
      <c r="AL818" s="111"/>
      <c r="AM818" s="111"/>
      <c r="AN818" s="111"/>
      <c r="AO818" s="111"/>
      <c r="AP818" s="111"/>
      <c r="AQ818" s="116"/>
      <c r="AR818" s="116"/>
      <c r="AS818" s="116"/>
    </row>
    <row r="819">
      <c r="A819" s="42" t="str">
        <f>IFERROR(__xludf.DUMMYFUNCTION("""COMPUTED_VALUE"""),"VL")</f>
        <v>VL</v>
      </c>
      <c r="B819" s="42"/>
      <c r="C819" s="42"/>
      <c r="D819" s="42" t="str">
        <f>IFERROR(__xludf.DUMMYFUNCTION("""COMPUTED_VALUE"""),"NCx")</f>
        <v>NCx</v>
      </c>
      <c r="E819" s="42"/>
      <c r="F819" s="42"/>
      <c r="G819" s="42"/>
      <c r="H819" s="42" t="str">
        <f>IFERROR(__xludf.DUMMYFUNCTION("""COMPUTED_VALUE"""),"(Sensorimotor) (Limbic loop)")</f>
        <v>(Sensorimotor) (Limbic loop)</v>
      </c>
      <c r="I819" s="42" t="str">
        <f>IFERROR(__xludf.DUMMYFUNCTION("""COMPUTED_VALUE"""),"Galvan, 2015")</f>
        <v>Galvan, 2015</v>
      </c>
      <c r="J819" s="42"/>
      <c r="K819" s="42"/>
      <c r="L819" s="42"/>
      <c r="M819" s="42"/>
      <c r="N819" s="42"/>
      <c r="O819" s="131" t="str">
        <f>IFERROR(__xludf.DUMMYFUNCTION("""COMPUTED_VALUE"""),"DOC")</f>
        <v>DOC</v>
      </c>
      <c r="P819" s="9" t="str">
        <f>IFERROR(__xludf.DUMMYFUNCTION("""COMPUTED_VALUE"""),"Frontiers in Neuroanatomy")</f>
        <v>Frontiers in Neuroanatomy</v>
      </c>
      <c r="Q819" s="9"/>
      <c r="R819" s="179" t="str">
        <f>IFERROR(__xludf.DUMMYFUNCTION("""COMPUTED_VALUE"""),"NCx (00/00) [Galvan, 2015][Habas, 2019](Sensorimotor) (Limbic loop);
")</f>
        <v>NCx (00/00) [Galvan, 2015][Habas, 2019](Sensorimotor) (Limbic loop);
</v>
      </c>
      <c r="S819" s="179" t="str">
        <f>IFERROR(__xludf.DUMMYFUNCTION("""COMPUTED_VALUE"""),"VLNCx")</f>
        <v>VLNCx</v>
      </c>
      <c r="T819" s="179" t="str">
        <f>IFERROR(__xludf.DUMMYFUNCTION("""COMPUTED_VALUE"""),"[Galvan, 2015]")</f>
        <v>[Galvan, 2015]</v>
      </c>
      <c r="U819" s="179">
        <f>IFERROR(__xludf.DUMMYFUNCTION("""COMPUTED_VALUE"""),0.0)</f>
        <v>0</v>
      </c>
      <c r="V819" s="180">
        <f>IFERROR(__xludf.DUMMYFUNCTION("""COMPUTED_VALUE"""),0.0)</f>
        <v>0</v>
      </c>
      <c r="W819" s="180">
        <f>IFERROR(__xludf.DUMMYFUNCTION("""COMPUTED_VALUE"""),0.95)</f>
        <v>0.95</v>
      </c>
      <c r="X819" s="42">
        <f>IFERROR(__xludf.DUMMYFUNCTION("""COMPUTED_VALUE"""),0.0)</f>
        <v>0</v>
      </c>
      <c r="Y819" s="42">
        <f>IFERROR(__xludf.DUMMYFUNCTION("""COMPUTED_VALUE"""),0.0)</f>
        <v>0</v>
      </c>
      <c r="Z819" s="9">
        <f>IFERROR(__xludf.DUMMYFUNCTION("""COMPUTED_VALUE"""),0.0)</f>
        <v>0</v>
      </c>
      <c r="AA819" s="181">
        <f>IFERROR(__xludf.DUMMYFUNCTION("""COMPUTED_VALUE"""),0.0)</f>
        <v>0</v>
      </c>
      <c r="AB819" s="181">
        <f>IFERROR(__xludf.DUMMYFUNCTION("""COMPUTED_VALUE"""),0.0)</f>
        <v>0</v>
      </c>
      <c r="AC819" s="179">
        <f>IFERROR(__xludf.DUMMYFUNCTION("""COMPUTED_VALUE"""),0.0)</f>
        <v>0</v>
      </c>
      <c r="AD819" s="165">
        <f>IFERROR(__xludf.DUMMYFUNCTION("""COMPUTED_VALUE"""),0.0)</f>
        <v>0</v>
      </c>
      <c r="AE819" s="39" t="str">
        <f>IFERROR(__xludf.DUMMYFUNCTION("""COMPUTED_VALUE"""),"Yuske Shibata")</f>
        <v>Yuske Shibata</v>
      </c>
      <c r="AF819" s="39" t="str">
        <f>IFERROR(__xludf.DUMMYFUNCTION("""COMPUTED_VALUE"""),"YS21BgLoop")</f>
        <v>YS21BgLoop</v>
      </c>
      <c r="AG819" s="39"/>
      <c r="AH819" s="39"/>
      <c r="AI819" s="165"/>
      <c r="AJ819" s="165"/>
      <c r="AK819" s="111"/>
      <c r="AL819" s="111"/>
      <c r="AM819" s="111"/>
      <c r="AN819" s="111"/>
      <c r="AO819" s="111"/>
      <c r="AP819" s="111"/>
      <c r="AQ819" s="116"/>
      <c r="AR819" s="116"/>
      <c r="AS819" s="116"/>
    </row>
    <row r="820">
      <c r="A820" s="42" t="str">
        <f>IFERROR(__xludf.DUMMYFUNCTION("""COMPUTED_VALUE"""),"VL")</f>
        <v>VL</v>
      </c>
      <c r="B820" s="42"/>
      <c r="C820" s="42"/>
      <c r="D820" s="42" t="str">
        <f>IFERROR(__xludf.DUMMYFUNCTION("""COMPUTED_VALUE"""),"NCx")</f>
        <v>NCx</v>
      </c>
      <c r="E820" s="42"/>
      <c r="F820" s="42"/>
      <c r="G820" s="42"/>
      <c r="H820" s="42" t="str">
        <f>IFERROR(__xludf.DUMMYFUNCTION("""COMPUTED_VALUE"""),"")</f>
        <v/>
      </c>
      <c r="I820" s="42" t="str">
        <f>IFERROR(__xludf.DUMMYFUNCTION("""COMPUTED_VALUE"""),"Habas, 2019")</f>
        <v>Habas, 2019</v>
      </c>
      <c r="J820" s="42"/>
      <c r="K820" s="42"/>
      <c r="L820" s="42"/>
      <c r="M820" s="42"/>
      <c r="N820" s="42"/>
      <c r="O820" s="31" t="str">
        <f>IFERROR(__xludf.DUMMYFUNCTION("""COMPUTED_VALUE"""),"DOC")</f>
        <v>DOC</v>
      </c>
      <c r="P820" s="9" t="str">
        <f>IFERROR(__xludf.DUMMYFUNCTION("""COMPUTED_VALUE"""),"The Cerebellum")</f>
        <v>The Cerebellum</v>
      </c>
      <c r="Q820" s="9"/>
      <c r="R820" s="179" t="str">
        <f>IFERROR(__xludf.DUMMYFUNCTION("""COMPUTED_VALUE"""),"NCx (00/00) [Galvan, 2015][Habas, 2019];
")</f>
        <v>NCx (00/00) [Galvan, 2015][Habas, 2019];
</v>
      </c>
      <c r="S820" s="179" t="str">
        <f>IFERROR(__xludf.DUMMYFUNCTION("""COMPUTED_VALUE"""),"VLNCx")</f>
        <v>VLNCx</v>
      </c>
      <c r="T820" s="179" t="str">
        <f>IFERROR(__xludf.DUMMYFUNCTION("""COMPUTED_VALUE"""),"[Habas, 2019]")</f>
        <v>[Habas, 2019]</v>
      </c>
      <c r="U820" s="179">
        <f>IFERROR(__xludf.DUMMYFUNCTION("""COMPUTED_VALUE"""),0.0)</f>
        <v>0</v>
      </c>
      <c r="V820" s="180">
        <f>IFERROR(__xludf.DUMMYFUNCTION("""COMPUTED_VALUE"""),0.0)</f>
        <v>0</v>
      </c>
      <c r="W820" s="180">
        <f>IFERROR(__xludf.DUMMYFUNCTION("""COMPUTED_VALUE"""),0.95)</f>
        <v>0.95</v>
      </c>
      <c r="X820" s="42">
        <f>IFERROR(__xludf.DUMMYFUNCTION("""COMPUTED_VALUE"""),0.0)</f>
        <v>0</v>
      </c>
      <c r="Y820" s="42">
        <f>IFERROR(__xludf.DUMMYFUNCTION("""COMPUTED_VALUE"""),0.0)</f>
        <v>0</v>
      </c>
      <c r="Z820" s="9">
        <f>IFERROR(__xludf.DUMMYFUNCTION("""COMPUTED_VALUE"""),0.0)</f>
        <v>0</v>
      </c>
      <c r="AA820" s="181">
        <f>IFERROR(__xludf.DUMMYFUNCTION("""COMPUTED_VALUE"""),0.0)</f>
        <v>0</v>
      </c>
      <c r="AB820" s="181">
        <f>IFERROR(__xludf.DUMMYFUNCTION("""COMPUTED_VALUE"""),0.0)</f>
        <v>0</v>
      </c>
      <c r="AC820" s="179">
        <f>IFERROR(__xludf.DUMMYFUNCTION("""COMPUTED_VALUE"""),0.0)</f>
        <v>0</v>
      </c>
      <c r="AD820" s="165">
        <f>IFERROR(__xludf.DUMMYFUNCTION("""COMPUTED_VALUE"""),0.0)</f>
        <v>0</v>
      </c>
      <c r="AE820" s="39" t="str">
        <f>IFERROR(__xludf.DUMMYFUNCTION("""COMPUTED_VALUE"""),"Hiroshi Yamakawa")</f>
        <v>Hiroshi Yamakawa</v>
      </c>
      <c r="AF820" s="39" t="str">
        <f>IFERROR(__xludf.DUMMYFUNCTION("""COMPUTED_VALUE"""),"HY20Cerebellum")</f>
        <v>HY20Cerebellum</v>
      </c>
      <c r="AG820" s="39"/>
      <c r="AH820" s="39"/>
      <c r="AI820" s="165"/>
      <c r="AJ820" s="165"/>
      <c r="AK820" s="111"/>
      <c r="AL820" s="111"/>
      <c r="AM820" s="111"/>
      <c r="AN820" s="111"/>
      <c r="AO820" s="111"/>
      <c r="AP820" s="111"/>
      <c r="AQ820" s="116"/>
      <c r="AR820" s="116"/>
      <c r="AS820" s="116"/>
    </row>
    <row r="821">
      <c r="A821" s="42" t="str">
        <f>IFERROR(__xludf.DUMMYFUNCTION("""COMPUTED_VALUE"""),"VL_core")</f>
        <v>VL_core</v>
      </c>
      <c r="B821" s="42"/>
      <c r="C821" s="42"/>
      <c r="D821" s="42" t="str">
        <f>IFERROR(__xludf.DUMMYFUNCTION("""COMPUTED_VALUE"""),"PoFC.L3")</f>
        <v>PoFC.L3</v>
      </c>
      <c r="E821" s="42"/>
      <c r="F821" s="42"/>
      <c r="G821" s="42"/>
      <c r="H821" s="42" t="str">
        <f>IFERROR(__xludf.DUMMYFUNCTION("""COMPUTED_VALUE"""),"")</f>
        <v/>
      </c>
      <c r="I821" s="42" t="str">
        <f>IFERROR(__xludf.DUMMYFUNCTION("""COMPUTED_VALUE"""),"Kaneko, 2013")</f>
        <v>Kaneko, 2013</v>
      </c>
      <c r="J821" s="42"/>
      <c r="K821" s="42"/>
      <c r="L821" s="42"/>
      <c r="M821" s="42"/>
      <c r="N821" s="42"/>
      <c r="O821" s="31" t="str">
        <f>IFERROR(__xludf.DUMMYFUNCTION("""COMPUTED_VALUE"""),"DOC")</f>
        <v>DOC</v>
      </c>
      <c r="P821" s="9" t="str">
        <f>IFERROR(__xludf.DUMMYFUNCTION("""COMPUTED_VALUE"""),"Frontiers in Neural Circuits")</f>
        <v>Frontiers in Neural Circuits</v>
      </c>
      <c r="Q821" s="9"/>
      <c r="R821" s="179" t="str">
        <f>IFERROR(__xludf.DUMMYFUNCTION("""COMPUTED_VALUE"""),"PoFC.L3 (00/00) [Kaneko, 2013];
")</f>
        <v>PoFC.L3 (00/00) [Kaneko, 2013];
</v>
      </c>
      <c r="S821" s="179" t="str">
        <f>IFERROR(__xludf.DUMMYFUNCTION("""COMPUTED_VALUE"""),"VL_corePoFC.L3")</f>
        <v>VL_corePoFC.L3</v>
      </c>
      <c r="T821" s="179" t="str">
        <f>IFERROR(__xludf.DUMMYFUNCTION("""COMPUTED_VALUE"""),"[Kaneko, 2013]")</f>
        <v>[Kaneko, 2013]</v>
      </c>
      <c r="U821" s="179">
        <f>IFERROR(__xludf.DUMMYFUNCTION("""COMPUTED_VALUE"""),0.0)</f>
        <v>0</v>
      </c>
      <c r="V821" s="180">
        <f>IFERROR(__xludf.DUMMYFUNCTION("""COMPUTED_VALUE"""),0.0)</f>
        <v>0</v>
      </c>
      <c r="W821" s="180">
        <f>IFERROR(__xludf.DUMMYFUNCTION("""COMPUTED_VALUE"""),0.95)</f>
        <v>0.95</v>
      </c>
      <c r="X821" s="42">
        <f>IFERROR(__xludf.DUMMYFUNCTION("""COMPUTED_VALUE"""),0.0)</f>
        <v>0</v>
      </c>
      <c r="Y821" s="42">
        <f>IFERROR(__xludf.DUMMYFUNCTION("""COMPUTED_VALUE"""),0.0)</f>
        <v>0</v>
      </c>
      <c r="Z821" s="9">
        <f>IFERROR(__xludf.DUMMYFUNCTION("""COMPUTED_VALUE"""),0.0)</f>
        <v>0</v>
      </c>
      <c r="AA821" s="181">
        <f>IFERROR(__xludf.DUMMYFUNCTION("""COMPUTED_VALUE"""),0.0)</f>
        <v>0</v>
      </c>
      <c r="AB821" s="181">
        <f>IFERROR(__xludf.DUMMYFUNCTION("""COMPUTED_VALUE"""),0.0)</f>
        <v>0</v>
      </c>
      <c r="AC821" s="179">
        <f>IFERROR(__xludf.DUMMYFUNCTION("""COMPUTED_VALUE"""),0.0)</f>
        <v>0</v>
      </c>
      <c r="AD821" s="165">
        <f>IFERROR(__xludf.DUMMYFUNCTION("""COMPUTED_VALUE"""),0.0)</f>
        <v>0</v>
      </c>
      <c r="AE821" s="39" t="str">
        <f>IFERROR(__xludf.DUMMYFUNCTION("""COMPUTED_VALUE"""),"Hiroshi Yamakawa")</f>
        <v>Hiroshi Yamakawa</v>
      </c>
      <c r="AF821" s="39" t="str">
        <f>IFERROR(__xludf.DUMMYFUNCTION("""COMPUTED_VALUE"""),"HY20Cerebellum")</f>
        <v>HY20Cerebellum</v>
      </c>
      <c r="AG821" s="39"/>
      <c r="AH821" s="39"/>
      <c r="AI821" s="165"/>
      <c r="AJ821" s="165"/>
      <c r="AK821" s="111"/>
      <c r="AL821" s="111"/>
      <c r="AM821" s="111"/>
      <c r="AN821" s="111"/>
      <c r="AO821" s="111"/>
      <c r="AP821" s="111"/>
      <c r="AQ821" s="116"/>
      <c r="AR821" s="116"/>
      <c r="AS821" s="116"/>
    </row>
    <row r="822">
      <c r="A822" s="42" t="str">
        <f>IFERROR(__xludf.DUMMYFUNCTION("""COMPUTED_VALUE"""),"VL_core")</f>
        <v>VL_core</v>
      </c>
      <c r="B822" s="42"/>
      <c r="C822" s="42"/>
      <c r="D822" s="42" t="str">
        <f>IFERROR(__xludf.DUMMYFUNCTION("""COMPUTED_VALUE"""),"PoFC.L4")</f>
        <v>PoFC.L4</v>
      </c>
      <c r="E822" s="42"/>
      <c r="F822" s="42"/>
      <c r="G822" s="42"/>
      <c r="H822" s="42" t="str">
        <f>IFERROR(__xludf.DUMMYFUNCTION("""COMPUTED_VALUE"""),"")</f>
        <v/>
      </c>
      <c r="I822" s="42" t="str">
        <f>IFERROR(__xludf.DUMMYFUNCTION("""COMPUTED_VALUE"""),"Kaneko, 2013")</f>
        <v>Kaneko, 2013</v>
      </c>
      <c r="J822" s="42"/>
      <c r="K822" s="42"/>
      <c r="L822" s="42"/>
      <c r="M822" s="42"/>
      <c r="N822" s="42"/>
      <c r="O822" s="31" t="str">
        <f>IFERROR(__xludf.DUMMYFUNCTION("""COMPUTED_VALUE"""),"DOC")</f>
        <v>DOC</v>
      </c>
      <c r="P822" s="9" t="str">
        <f>IFERROR(__xludf.DUMMYFUNCTION("""COMPUTED_VALUE"""),"Frontiers in Neural Circuits")</f>
        <v>Frontiers in Neural Circuits</v>
      </c>
      <c r="Q822" s="9"/>
      <c r="R822" s="179" t="str">
        <f>IFERROR(__xludf.DUMMYFUNCTION("""COMPUTED_VALUE"""),"PoFC.L4 (00/00) [Kaneko, 2013];
")</f>
        <v>PoFC.L4 (00/00) [Kaneko, 2013];
</v>
      </c>
      <c r="S822" s="179" t="str">
        <f>IFERROR(__xludf.DUMMYFUNCTION("""COMPUTED_VALUE"""),"VL_corePoFC.L4")</f>
        <v>VL_corePoFC.L4</v>
      </c>
      <c r="T822" s="179" t="str">
        <f>IFERROR(__xludf.DUMMYFUNCTION("""COMPUTED_VALUE"""),"[Kaneko, 2013]")</f>
        <v>[Kaneko, 2013]</v>
      </c>
      <c r="U822" s="179">
        <f>IFERROR(__xludf.DUMMYFUNCTION("""COMPUTED_VALUE"""),0.0)</f>
        <v>0</v>
      </c>
      <c r="V822" s="180">
        <f>IFERROR(__xludf.DUMMYFUNCTION("""COMPUTED_VALUE"""),0.0)</f>
        <v>0</v>
      </c>
      <c r="W822" s="180">
        <f>IFERROR(__xludf.DUMMYFUNCTION("""COMPUTED_VALUE"""),0.95)</f>
        <v>0.95</v>
      </c>
      <c r="X822" s="42">
        <f>IFERROR(__xludf.DUMMYFUNCTION("""COMPUTED_VALUE"""),0.0)</f>
        <v>0</v>
      </c>
      <c r="Y822" s="42">
        <f>IFERROR(__xludf.DUMMYFUNCTION("""COMPUTED_VALUE"""),0.0)</f>
        <v>0</v>
      </c>
      <c r="Z822" s="9">
        <f>IFERROR(__xludf.DUMMYFUNCTION("""COMPUTED_VALUE"""),0.0)</f>
        <v>0</v>
      </c>
      <c r="AA822" s="181">
        <f>IFERROR(__xludf.DUMMYFUNCTION("""COMPUTED_VALUE"""),0.0)</f>
        <v>0</v>
      </c>
      <c r="AB822" s="181">
        <f>IFERROR(__xludf.DUMMYFUNCTION("""COMPUTED_VALUE"""),0.0)</f>
        <v>0</v>
      </c>
      <c r="AC822" s="179">
        <f>IFERROR(__xludf.DUMMYFUNCTION("""COMPUTED_VALUE"""),0.0)</f>
        <v>0</v>
      </c>
      <c r="AD822" s="165">
        <f>IFERROR(__xludf.DUMMYFUNCTION("""COMPUTED_VALUE"""),0.0)</f>
        <v>0</v>
      </c>
      <c r="AE822" s="39" t="str">
        <f>IFERROR(__xludf.DUMMYFUNCTION("""COMPUTED_VALUE"""),"Hiroshi Yamakawa")</f>
        <v>Hiroshi Yamakawa</v>
      </c>
      <c r="AF822" s="39" t="str">
        <f>IFERROR(__xludf.DUMMYFUNCTION("""COMPUTED_VALUE"""),"HY20Cerebellum")</f>
        <v>HY20Cerebellum</v>
      </c>
      <c r="AG822" s="39"/>
      <c r="AH822" s="39"/>
      <c r="AI822" s="165"/>
      <c r="AJ822" s="165"/>
      <c r="AK822" s="111"/>
      <c r="AL822" s="111"/>
      <c r="AM822" s="111"/>
      <c r="AN822" s="111"/>
      <c r="AO822" s="111"/>
      <c r="AP822" s="111"/>
      <c r="AQ822" s="116"/>
      <c r="AR822" s="116"/>
      <c r="AS822" s="116"/>
    </row>
    <row r="823">
      <c r="A823" s="42" t="str">
        <f>IFERROR(__xludf.DUMMYFUNCTION("""COMPUTED_VALUE"""),"VL_core")</f>
        <v>VL_core</v>
      </c>
      <c r="B823" s="42"/>
      <c r="C823" s="42"/>
      <c r="D823" s="42" t="str">
        <f>IFERROR(__xludf.DUMMYFUNCTION("""COMPUTED_VALUE"""),"PoFC.L5")</f>
        <v>PoFC.L5</v>
      </c>
      <c r="E823" s="42"/>
      <c r="F823" s="42"/>
      <c r="G823" s="42"/>
      <c r="H823" s="42" t="str">
        <f>IFERROR(__xludf.DUMMYFUNCTION("""COMPUTED_VALUE"""),"")</f>
        <v/>
      </c>
      <c r="I823" s="42" t="str">
        <f>IFERROR(__xludf.DUMMYFUNCTION("""COMPUTED_VALUE"""),"Kaneko, 2013")</f>
        <v>Kaneko, 2013</v>
      </c>
      <c r="J823" s="42"/>
      <c r="K823" s="42"/>
      <c r="L823" s="42"/>
      <c r="M823" s="42"/>
      <c r="N823" s="42"/>
      <c r="O823" s="31" t="str">
        <f>IFERROR(__xludf.DUMMYFUNCTION("""COMPUTED_VALUE"""),"DOC")</f>
        <v>DOC</v>
      </c>
      <c r="P823" s="9" t="str">
        <f>IFERROR(__xludf.DUMMYFUNCTION("""COMPUTED_VALUE"""),"Frontiers in Neural Circuits")</f>
        <v>Frontiers in Neural Circuits</v>
      </c>
      <c r="Q823" s="9"/>
      <c r="R823" s="179" t="str">
        <f>IFERROR(__xludf.DUMMYFUNCTION("""COMPUTED_VALUE"""),"PoFC.L5 (00/00) [Kaneko, 2013];
")</f>
        <v>PoFC.L5 (00/00) [Kaneko, 2013];
</v>
      </c>
      <c r="S823" s="179" t="str">
        <f>IFERROR(__xludf.DUMMYFUNCTION("""COMPUTED_VALUE"""),"VL_corePoFC.L5")</f>
        <v>VL_corePoFC.L5</v>
      </c>
      <c r="T823" s="179" t="str">
        <f>IFERROR(__xludf.DUMMYFUNCTION("""COMPUTED_VALUE"""),"[Kaneko, 2013]")</f>
        <v>[Kaneko, 2013]</v>
      </c>
      <c r="U823" s="179">
        <f>IFERROR(__xludf.DUMMYFUNCTION("""COMPUTED_VALUE"""),0.0)</f>
        <v>0</v>
      </c>
      <c r="V823" s="180">
        <f>IFERROR(__xludf.DUMMYFUNCTION("""COMPUTED_VALUE"""),0.0)</f>
        <v>0</v>
      </c>
      <c r="W823" s="180">
        <f>IFERROR(__xludf.DUMMYFUNCTION("""COMPUTED_VALUE"""),0.95)</f>
        <v>0.95</v>
      </c>
      <c r="X823" s="42">
        <f>IFERROR(__xludf.DUMMYFUNCTION("""COMPUTED_VALUE"""),0.0)</f>
        <v>0</v>
      </c>
      <c r="Y823" s="42">
        <f>IFERROR(__xludf.DUMMYFUNCTION("""COMPUTED_VALUE"""),0.0)</f>
        <v>0</v>
      </c>
      <c r="Z823" s="9">
        <f>IFERROR(__xludf.DUMMYFUNCTION("""COMPUTED_VALUE"""),0.0)</f>
        <v>0</v>
      </c>
      <c r="AA823" s="181">
        <f>IFERROR(__xludf.DUMMYFUNCTION("""COMPUTED_VALUE"""),0.0)</f>
        <v>0</v>
      </c>
      <c r="AB823" s="181">
        <f>IFERROR(__xludf.DUMMYFUNCTION("""COMPUTED_VALUE"""),0.0)</f>
        <v>0</v>
      </c>
      <c r="AC823" s="179">
        <f>IFERROR(__xludf.DUMMYFUNCTION("""COMPUTED_VALUE"""),0.0)</f>
        <v>0</v>
      </c>
      <c r="AD823" s="165">
        <f>IFERROR(__xludf.DUMMYFUNCTION("""COMPUTED_VALUE"""),0.0)</f>
        <v>0</v>
      </c>
      <c r="AE823" s="39" t="str">
        <f>IFERROR(__xludf.DUMMYFUNCTION("""COMPUTED_VALUE"""),"Hiroshi Yamakawa")</f>
        <v>Hiroshi Yamakawa</v>
      </c>
      <c r="AF823" s="39" t="str">
        <f>IFERROR(__xludf.DUMMYFUNCTION("""COMPUTED_VALUE"""),"HY20Cerebellum")</f>
        <v>HY20Cerebellum</v>
      </c>
      <c r="AG823" s="39"/>
      <c r="AH823" s="39"/>
      <c r="AI823" s="165"/>
      <c r="AJ823" s="165"/>
      <c r="AK823" s="111"/>
      <c r="AL823" s="111"/>
      <c r="AM823" s="111"/>
      <c r="AN823" s="111"/>
      <c r="AO823" s="111"/>
      <c r="AP823" s="111"/>
      <c r="AQ823" s="116"/>
      <c r="AR823" s="116"/>
      <c r="AS823" s="116"/>
    </row>
    <row r="824">
      <c r="A824" s="42" t="str">
        <f>IFERROR(__xludf.DUMMYFUNCTION("""COMPUTED_VALUE"""),"VL_matrix")</f>
        <v>VL_matrix</v>
      </c>
      <c r="B824" s="42"/>
      <c r="C824" s="42"/>
      <c r="D824" s="42" t="str">
        <f>IFERROR(__xludf.DUMMYFUNCTION("""COMPUTED_VALUE"""),"PoFC.L1")</f>
        <v>PoFC.L1</v>
      </c>
      <c r="E824" s="42"/>
      <c r="F824" s="42"/>
      <c r="G824" s="42"/>
      <c r="H824" s="42" t="str">
        <f>IFERROR(__xludf.DUMMYFUNCTION("""COMPUTED_VALUE"""),"")</f>
        <v/>
      </c>
      <c r="I824" s="42" t="str">
        <f>IFERROR(__xludf.DUMMYFUNCTION("""COMPUTED_VALUE"""),"Kaneko, 2013")</f>
        <v>Kaneko, 2013</v>
      </c>
      <c r="J824" s="42"/>
      <c r="K824" s="42"/>
      <c r="L824" s="42"/>
      <c r="M824" s="42"/>
      <c r="N824" s="42"/>
      <c r="O824" s="31" t="str">
        <f>IFERROR(__xludf.DUMMYFUNCTION("""COMPUTED_VALUE"""),"DOC")</f>
        <v>DOC</v>
      </c>
      <c r="P824" s="9" t="str">
        <f>IFERROR(__xludf.DUMMYFUNCTION("""COMPUTED_VALUE"""),"Frontiers in Neural Circuits")</f>
        <v>Frontiers in Neural Circuits</v>
      </c>
      <c r="Q824" s="9"/>
      <c r="R824" s="179" t="str">
        <f>IFERROR(__xludf.DUMMYFUNCTION("""COMPUTED_VALUE"""),"PoFC.L1 (00/00) [Kaneko, 2013];
")</f>
        <v>PoFC.L1 (00/00) [Kaneko, 2013];
</v>
      </c>
      <c r="S824" s="179" t="str">
        <f>IFERROR(__xludf.DUMMYFUNCTION("""COMPUTED_VALUE"""),"VL_matrixPoFC.L1")</f>
        <v>VL_matrixPoFC.L1</v>
      </c>
      <c r="T824" s="179" t="str">
        <f>IFERROR(__xludf.DUMMYFUNCTION("""COMPUTED_VALUE"""),"[Kaneko, 2013]")</f>
        <v>[Kaneko, 2013]</v>
      </c>
      <c r="U824" s="179">
        <f>IFERROR(__xludf.DUMMYFUNCTION("""COMPUTED_VALUE"""),0.0)</f>
        <v>0</v>
      </c>
      <c r="V824" s="180">
        <f>IFERROR(__xludf.DUMMYFUNCTION("""COMPUTED_VALUE"""),0.0)</f>
        <v>0</v>
      </c>
      <c r="W824" s="180">
        <f>IFERROR(__xludf.DUMMYFUNCTION("""COMPUTED_VALUE"""),0.95)</f>
        <v>0.95</v>
      </c>
      <c r="X824" s="42">
        <f>IFERROR(__xludf.DUMMYFUNCTION("""COMPUTED_VALUE"""),0.0)</f>
        <v>0</v>
      </c>
      <c r="Y824" s="42">
        <f>IFERROR(__xludf.DUMMYFUNCTION("""COMPUTED_VALUE"""),0.0)</f>
        <v>0</v>
      </c>
      <c r="Z824" s="9">
        <f>IFERROR(__xludf.DUMMYFUNCTION("""COMPUTED_VALUE"""),0.0)</f>
        <v>0</v>
      </c>
      <c r="AA824" s="181">
        <f>IFERROR(__xludf.DUMMYFUNCTION("""COMPUTED_VALUE"""),0.0)</f>
        <v>0</v>
      </c>
      <c r="AB824" s="181">
        <f>IFERROR(__xludf.DUMMYFUNCTION("""COMPUTED_VALUE"""),0.0)</f>
        <v>0</v>
      </c>
      <c r="AC824" s="179">
        <f>IFERROR(__xludf.DUMMYFUNCTION("""COMPUTED_VALUE"""),0.0)</f>
        <v>0</v>
      </c>
      <c r="AD824" s="165">
        <f>IFERROR(__xludf.DUMMYFUNCTION("""COMPUTED_VALUE"""),0.0)</f>
        <v>0</v>
      </c>
      <c r="AE824" s="39" t="str">
        <f>IFERROR(__xludf.DUMMYFUNCTION("""COMPUTED_VALUE"""),"Hiroshi Yamakawa")</f>
        <v>Hiroshi Yamakawa</v>
      </c>
      <c r="AF824" s="39" t="str">
        <f>IFERROR(__xludf.DUMMYFUNCTION("""COMPUTED_VALUE"""),"HY20Cerebellum")</f>
        <v>HY20Cerebellum</v>
      </c>
      <c r="AG824" s="39"/>
      <c r="AH824" s="39"/>
      <c r="AI824" s="165"/>
      <c r="AJ824" s="165"/>
      <c r="AK824" s="111"/>
      <c r="AL824" s="111"/>
      <c r="AM824" s="111"/>
      <c r="AN824" s="111"/>
      <c r="AO824" s="111"/>
      <c r="AP824" s="111"/>
      <c r="AQ824" s="116"/>
      <c r="AR824" s="116"/>
      <c r="AS824" s="116"/>
    </row>
    <row r="825">
      <c r="A825" s="42" t="str">
        <f>IFERROR(__xludf.DUMMYFUNCTION("""COMPUTED_VALUE"""),"VMH")</f>
        <v>VMH</v>
      </c>
      <c r="B825" s="42"/>
      <c r="C825" s="42"/>
      <c r="D825" s="42" t="str">
        <f>IFERROR(__xludf.DUMMYFUNCTION("""COMPUTED_VALUE"""),"AHA")</f>
        <v>AHA</v>
      </c>
      <c r="E825" s="42"/>
      <c r="F825" s="42"/>
      <c r="G825" s="42"/>
      <c r="H825" s="42" t="str">
        <f>IFERROR(__xludf.DUMMYFUNCTION("""COMPUTED_VALUE"""),"")</f>
        <v/>
      </c>
      <c r="I825" s="42" t="str">
        <f>IFERROR(__xludf.DUMMYFUNCTION("""COMPUTED_VALUE"""),"Pitkänen, 2000")</f>
        <v>Pitkänen, 2000</v>
      </c>
      <c r="J825" s="42" t="str">
        <f>IFERROR(__xludf.DUMMYFUNCTION("""COMPUTED_VALUE"""),"Rat")</f>
        <v>Rat</v>
      </c>
      <c r="K825" s="42" t="str">
        <f>IFERROR(__xludf.DUMMYFUNCTION("""COMPUTED_VALUE"""),"Various tracing")</f>
        <v>Various tracing</v>
      </c>
      <c r="L825" s="42"/>
      <c r="M825" s="42" t="str">
        <f>IFERROR(__xludf.DUMMYFUNCTION("""COMPUTED_VALUE"""),"fig.3-fig.12 (to be specified)")</f>
        <v>fig.3-fig.12 (to be specified)</v>
      </c>
      <c r="N825" s="42"/>
      <c r="O825" s="31" t="str">
        <f>IFERROR(__xludf.DUMMYFUNCTION("""COMPUTED_VALUE"""),"DOC(alt)")</f>
        <v>DOC(alt)</v>
      </c>
      <c r="P825" s="9" t="str">
        <f>IFERROR(__xludf.DUMMYFUNCTION("""COMPUTED_VALUE"""),"Folia morphologica")</f>
        <v>Folia morphologica</v>
      </c>
      <c r="Q825" s="9" t="str">
        <f>IFERROR(__xludf.DUMMYFUNCTION("""COMPUTED_VALUE"""),"Review")</f>
        <v>Review</v>
      </c>
      <c r="R825" s="179" t="str">
        <f>IFERROR(__xludf.DUMMYFUNCTION("""COMPUTED_VALUE"""),"AHA (00/00) [Pitkänen, 2000];
")</f>
        <v>AHA (00/00) [Pitkänen, 2000];
</v>
      </c>
      <c r="S825" s="179" t="str">
        <f>IFERROR(__xludf.DUMMYFUNCTION("""COMPUTED_VALUE"""),"VMHAHA")</f>
        <v>VMHAHA</v>
      </c>
      <c r="T825" s="179" t="str">
        <f>IFERROR(__xludf.DUMMYFUNCTION("""COMPUTED_VALUE"""),"[Pitkänen, 2000]")</f>
        <v>[Pitkänen, 2000]</v>
      </c>
      <c r="U825" s="179">
        <f>IFERROR(__xludf.DUMMYFUNCTION("""COMPUTED_VALUE"""),0.0)</f>
        <v>0</v>
      </c>
      <c r="V825" s="180">
        <f>IFERROR(__xludf.DUMMYFUNCTION("""COMPUTED_VALUE"""),0.0)</f>
        <v>0</v>
      </c>
      <c r="W825" s="180">
        <f>IFERROR(__xludf.DUMMYFUNCTION("""COMPUTED_VALUE"""),0.95)</f>
        <v>0.95</v>
      </c>
      <c r="X825" s="42">
        <f>IFERROR(__xludf.DUMMYFUNCTION("""COMPUTED_VALUE"""),0.8)</f>
        <v>0.8</v>
      </c>
      <c r="Y825" s="42">
        <f>IFERROR(__xludf.DUMMYFUNCTION("""COMPUTED_VALUE"""),0.6)</f>
        <v>0.6</v>
      </c>
      <c r="Z825" s="9">
        <f>IFERROR(__xludf.DUMMYFUNCTION("""COMPUTED_VALUE"""),0.9)</f>
        <v>0.9</v>
      </c>
      <c r="AA825" s="181">
        <f>IFERROR(__xludf.DUMMYFUNCTION("""COMPUTED_VALUE"""),0.0)</f>
        <v>0</v>
      </c>
      <c r="AB825" s="181">
        <f>IFERROR(__xludf.DUMMYFUNCTION("""COMPUTED_VALUE"""),0.0)</f>
        <v>0</v>
      </c>
      <c r="AC825" s="179">
        <f>IFERROR(__xludf.DUMMYFUNCTION("""COMPUTED_VALUE"""),0.0)</f>
        <v>0</v>
      </c>
      <c r="AD825" s="165">
        <f>IFERROR(__xludf.DUMMYFUNCTION("""COMPUTED_VALUE"""),0.0)</f>
        <v>0</v>
      </c>
      <c r="AE825" s="39" t="str">
        <f>IFERROR(__xludf.DUMMYFUNCTION("""COMPUTED_VALUE"""),"Tatsuya Miyamoto")</f>
        <v>Tatsuya Miyamoto</v>
      </c>
      <c r="AF825" s="39" t="str">
        <f>IFERROR(__xludf.DUMMYFUNCTION("""COMPUTED_VALUE"""),"TM21Amygdala")</f>
        <v>TM21Amygdala</v>
      </c>
      <c r="AG825" s="39"/>
      <c r="AH825" s="39"/>
      <c r="AI825" s="165"/>
      <c r="AJ825" s="165"/>
      <c r="AK825" s="111"/>
      <c r="AL825" s="111"/>
      <c r="AM825" s="111"/>
      <c r="AN825" s="111"/>
      <c r="AO825" s="111"/>
      <c r="AP825" s="111"/>
      <c r="AQ825" s="116"/>
      <c r="AR825" s="116"/>
      <c r="AS825" s="116"/>
    </row>
    <row r="826">
      <c r="A826" s="42" t="str">
        <f>IFERROR(__xludf.DUMMYFUNCTION("""COMPUTED_VALUE"""),"VMH")</f>
        <v>VMH</v>
      </c>
      <c r="B826" s="42"/>
      <c r="C826" s="42"/>
      <c r="D826" s="42" t="str">
        <f>IFERROR(__xludf.DUMMYFUNCTION("""COMPUTED_VALUE"""),"BM")</f>
        <v>BM</v>
      </c>
      <c r="E826" s="42"/>
      <c r="F826" s="42"/>
      <c r="G826" s="42"/>
      <c r="H826" s="42" t="str">
        <f>IFERROR(__xludf.DUMMYFUNCTION("""COMPUTED_VALUE"""),"")</f>
        <v/>
      </c>
      <c r="I826" s="42" t="str">
        <f>IFERROR(__xludf.DUMMYFUNCTION("""COMPUTED_VALUE"""),"Pitkänen, 2000")</f>
        <v>Pitkänen, 2000</v>
      </c>
      <c r="J826" s="42" t="str">
        <f>IFERROR(__xludf.DUMMYFUNCTION("""COMPUTED_VALUE"""),"Rat")</f>
        <v>Rat</v>
      </c>
      <c r="K826" s="42" t="str">
        <f>IFERROR(__xludf.DUMMYFUNCTION("""COMPUTED_VALUE"""),"Various tracing")</f>
        <v>Various tracing</v>
      </c>
      <c r="L826" s="42"/>
      <c r="M826" s="42" t="str">
        <f>IFERROR(__xludf.DUMMYFUNCTION("""COMPUTED_VALUE"""),"fig.3-fig.12 (to be specified)")</f>
        <v>fig.3-fig.12 (to be specified)</v>
      </c>
      <c r="N826" s="42"/>
      <c r="O826" s="31" t="str">
        <f>IFERROR(__xludf.DUMMYFUNCTION("""COMPUTED_VALUE"""),"DOC(alt)")</f>
        <v>DOC(alt)</v>
      </c>
      <c r="P826" s="9" t="str">
        <f>IFERROR(__xludf.DUMMYFUNCTION("""COMPUTED_VALUE"""),"Folia morphologica")</f>
        <v>Folia morphologica</v>
      </c>
      <c r="Q826" s="9" t="str">
        <f>IFERROR(__xludf.DUMMYFUNCTION("""COMPUTED_VALUE"""),"Review")</f>
        <v>Review</v>
      </c>
      <c r="R826" s="179" t="str">
        <f>IFERROR(__xludf.DUMMYFUNCTION("""COMPUTED_VALUE"""),"BM (00/00) [Pitkänen, 2000];
")</f>
        <v>BM (00/00) [Pitkänen, 2000];
</v>
      </c>
      <c r="S826" s="179" t="str">
        <f>IFERROR(__xludf.DUMMYFUNCTION("""COMPUTED_VALUE"""),"VMHBM")</f>
        <v>VMHBM</v>
      </c>
      <c r="T826" s="179" t="str">
        <f>IFERROR(__xludf.DUMMYFUNCTION("""COMPUTED_VALUE"""),"[Pitkänen, 2000]")</f>
        <v>[Pitkänen, 2000]</v>
      </c>
      <c r="U826" s="179">
        <f>IFERROR(__xludf.DUMMYFUNCTION("""COMPUTED_VALUE"""),0.0)</f>
        <v>0</v>
      </c>
      <c r="V826" s="180">
        <f>IFERROR(__xludf.DUMMYFUNCTION("""COMPUTED_VALUE"""),0.0)</f>
        <v>0</v>
      </c>
      <c r="W826" s="180">
        <f>IFERROR(__xludf.DUMMYFUNCTION("""COMPUTED_VALUE"""),0.95)</f>
        <v>0.95</v>
      </c>
      <c r="X826" s="42">
        <f>IFERROR(__xludf.DUMMYFUNCTION("""COMPUTED_VALUE"""),0.8)</f>
        <v>0.8</v>
      </c>
      <c r="Y826" s="42">
        <f>IFERROR(__xludf.DUMMYFUNCTION("""COMPUTED_VALUE"""),0.6)</f>
        <v>0.6</v>
      </c>
      <c r="Z826" s="9">
        <f>IFERROR(__xludf.DUMMYFUNCTION("""COMPUTED_VALUE"""),0.9)</f>
        <v>0.9</v>
      </c>
      <c r="AA826" s="181">
        <f>IFERROR(__xludf.DUMMYFUNCTION("""COMPUTED_VALUE"""),0.0)</f>
        <v>0</v>
      </c>
      <c r="AB826" s="181">
        <f>IFERROR(__xludf.DUMMYFUNCTION("""COMPUTED_VALUE"""),0.0)</f>
        <v>0</v>
      </c>
      <c r="AC826" s="179">
        <f>IFERROR(__xludf.DUMMYFUNCTION("""COMPUTED_VALUE"""),0.0)</f>
        <v>0</v>
      </c>
      <c r="AD826" s="165">
        <f>IFERROR(__xludf.DUMMYFUNCTION("""COMPUTED_VALUE"""),0.0)</f>
        <v>0</v>
      </c>
      <c r="AE826" s="39" t="str">
        <f>IFERROR(__xludf.DUMMYFUNCTION("""COMPUTED_VALUE"""),"Tatsuya Miyamoto")</f>
        <v>Tatsuya Miyamoto</v>
      </c>
      <c r="AF826" s="39" t="str">
        <f>IFERROR(__xludf.DUMMYFUNCTION("""COMPUTED_VALUE"""),"TM21Amygdala")</f>
        <v>TM21Amygdala</v>
      </c>
      <c r="AG826" s="39"/>
      <c r="AH826" s="39"/>
      <c r="AI826" s="165"/>
      <c r="AJ826" s="165"/>
      <c r="AK826" s="111"/>
      <c r="AL826" s="111"/>
      <c r="AM826" s="111"/>
      <c r="AN826" s="111"/>
      <c r="AO826" s="111"/>
      <c r="AP826" s="111"/>
      <c r="AQ826" s="116"/>
      <c r="AR826" s="116"/>
      <c r="AS826" s="116"/>
    </row>
    <row r="827">
      <c r="A827" s="42" t="str">
        <f>IFERROR(__xludf.DUMMYFUNCTION("""COMPUTED_VALUE"""),"VMH")</f>
        <v>VMH</v>
      </c>
      <c r="B827" s="42"/>
      <c r="C827" s="42"/>
      <c r="D827" s="42" t="str">
        <f>IFERROR(__xludf.DUMMYFUNCTION("""COMPUTED_VALUE"""),"Me")</f>
        <v>Me</v>
      </c>
      <c r="E827" s="42"/>
      <c r="F827" s="42"/>
      <c r="G827" s="42"/>
      <c r="H827" s="42" t="str">
        <f>IFERROR(__xludf.DUMMYFUNCTION("""COMPUTED_VALUE"""),"")</f>
        <v/>
      </c>
      <c r="I827" s="42" t="str">
        <f>IFERROR(__xludf.DUMMYFUNCTION("""COMPUTED_VALUE"""),"Pitkänen, 2000")</f>
        <v>Pitkänen, 2000</v>
      </c>
      <c r="J827" s="42" t="str">
        <f>IFERROR(__xludf.DUMMYFUNCTION("""COMPUTED_VALUE"""),"Rat")</f>
        <v>Rat</v>
      </c>
      <c r="K827" s="42" t="str">
        <f>IFERROR(__xludf.DUMMYFUNCTION("""COMPUTED_VALUE"""),"Various tracing")</f>
        <v>Various tracing</v>
      </c>
      <c r="L827" s="42"/>
      <c r="M827" s="42" t="str">
        <f>IFERROR(__xludf.DUMMYFUNCTION("""COMPUTED_VALUE"""),"fig.3-fig.12 (to be specified)")</f>
        <v>fig.3-fig.12 (to be specified)</v>
      </c>
      <c r="N827" s="42"/>
      <c r="O827" s="31" t="str">
        <f>IFERROR(__xludf.DUMMYFUNCTION("""COMPUTED_VALUE"""),"DOC(alt)")</f>
        <v>DOC(alt)</v>
      </c>
      <c r="P827" s="9" t="str">
        <f>IFERROR(__xludf.DUMMYFUNCTION("""COMPUTED_VALUE"""),"Folia morphologica")</f>
        <v>Folia morphologica</v>
      </c>
      <c r="Q827" s="9" t="str">
        <f>IFERROR(__xludf.DUMMYFUNCTION("""COMPUTED_VALUE"""),"Review")</f>
        <v>Review</v>
      </c>
      <c r="R827" s="179" t="str">
        <f>IFERROR(__xludf.DUMMYFUNCTION("""COMPUTED_VALUE"""),"Me (00/00) [Pitkänen, 2000];
")</f>
        <v>Me (00/00) [Pitkänen, 2000];
</v>
      </c>
      <c r="S827" s="179" t="str">
        <f>IFERROR(__xludf.DUMMYFUNCTION("""COMPUTED_VALUE"""),"VMHMe")</f>
        <v>VMHMe</v>
      </c>
      <c r="T827" s="179" t="str">
        <f>IFERROR(__xludf.DUMMYFUNCTION("""COMPUTED_VALUE"""),"[Pitkänen, 2000]")</f>
        <v>[Pitkänen, 2000]</v>
      </c>
      <c r="U827" s="179">
        <f>IFERROR(__xludf.DUMMYFUNCTION("""COMPUTED_VALUE"""),0.0)</f>
        <v>0</v>
      </c>
      <c r="V827" s="180">
        <f>IFERROR(__xludf.DUMMYFUNCTION("""COMPUTED_VALUE"""),0.0)</f>
        <v>0</v>
      </c>
      <c r="W827" s="180">
        <f>IFERROR(__xludf.DUMMYFUNCTION("""COMPUTED_VALUE"""),0.95)</f>
        <v>0.95</v>
      </c>
      <c r="X827" s="42">
        <f>IFERROR(__xludf.DUMMYFUNCTION("""COMPUTED_VALUE"""),0.8)</f>
        <v>0.8</v>
      </c>
      <c r="Y827" s="42">
        <f>IFERROR(__xludf.DUMMYFUNCTION("""COMPUTED_VALUE"""),0.6)</f>
        <v>0.6</v>
      </c>
      <c r="Z827" s="9">
        <f>IFERROR(__xludf.DUMMYFUNCTION("""COMPUTED_VALUE"""),0.9)</f>
        <v>0.9</v>
      </c>
      <c r="AA827" s="181">
        <f>IFERROR(__xludf.DUMMYFUNCTION("""COMPUTED_VALUE"""),0.0)</f>
        <v>0</v>
      </c>
      <c r="AB827" s="181">
        <f>IFERROR(__xludf.DUMMYFUNCTION("""COMPUTED_VALUE"""),0.0)</f>
        <v>0</v>
      </c>
      <c r="AC827" s="179">
        <f>IFERROR(__xludf.DUMMYFUNCTION("""COMPUTED_VALUE"""),0.0)</f>
        <v>0</v>
      </c>
      <c r="AD827" s="165">
        <f>IFERROR(__xludf.DUMMYFUNCTION("""COMPUTED_VALUE"""),0.0)</f>
        <v>0</v>
      </c>
      <c r="AE827" s="39" t="str">
        <f>IFERROR(__xludf.DUMMYFUNCTION("""COMPUTED_VALUE"""),"Tatsuya Miyamoto")</f>
        <v>Tatsuya Miyamoto</v>
      </c>
      <c r="AF827" s="39" t="str">
        <f>IFERROR(__xludf.DUMMYFUNCTION("""COMPUTED_VALUE"""),"TM21Amygdala")</f>
        <v>TM21Amygdala</v>
      </c>
      <c r="AG827" s="39"/>
      <c r="AH827" s="39"/>
      <c r="AI827" s="165"/>
      <c r="AJ827" s="165"/>
      <c r="AK827" s="111"/>
      <c r="AL827" s="111"/>
      <c r="AM827" s="111"/>
      <c r="AN827" s="111"/>
      <c r="AO827" s="111"/>
      <c r="AP827" s="111"/>
      <c r="AQ827" s="116"/>
      <c r="AR827" s="116"/>
      <c r="AS827" s="116"/>
    </row>
    <row r="828">
      <c r="A828" s="42"/>
      <c r="B828" s="42"/>
      <c r="C828" s="42"/>
      <c r="D828" s="42"/>
      <c r="E828" s="42"/>
      <c r="F828" s="42"/>
      <c r="G828" s="42"/>
      <c r="H828" s="42"/>
      <c r="I828" s="42"/>
      <c r="J828" s="42"/>
      <c r="K828" s="42"/>
      <c r="L828" s="42"/>
      <c r="M828" s="42"/>
      <c r="N828" s="42"/>
      <c r="O828" s="31"/>
      <c r="P828" s="9"/>
      <c r="Q828" s="9"/>
      <c r="R828" s="179" t="str">
        <f>IFERROR(__xludf.DUMMYFUNCTION("""COMPUTED_VALUE"""),"")</f>
        <v/>
      </c>
      <c r="S828" s="179" t="str">
        <f>IFERROR(__xludf.DUMMYFUNCTION("""COMPUTED_VALUE"""),"")</f>
        <v/>
      </c>
      <c r="T828" s="179" t="str">
        <f>IFERROR(__xludf.DUMMYFUNCTION("""COMPUTED_VALUE"""),"[]")</f>
        <v>[]</v>
      </c>
      <c r="U828" s="179">
        <f>IFERROR(__xludf.DUMMYFUNCTION("""COMPUTED_VALUE"""),0.0)</f>
        <v>0</v>
      </c>
      <c r="V828" s="180">
        <f>IFERROR(__xludf.DUMMYFUNCTION("""COMPUTED_VALUE"""),0.0)</f>
        <v>0</v>
      </c>
      <c r="W828" s="180" t="str">
        <f>IFERROR(__xludf.DUMMYFUNCTION("""COMPUTED_VALUE"""),"#REF!")</f>
        <v>#REF!</v>
      </c>
      <c r="X828" s="42">
        <f>IFERROR(__xludf.DUMMYFUNCTION("""COMPUTED_VALUE"""),0.0)</f>
        <v>0</v>
      </c>
      <c r="Y828" s="42">
        <f>IFERROR(__xludf.DUMMYFUNCTION("""COMPUTED_VALUE"""),0.0)</f>
        <v>0</v>
      </c>
      <c r="Z828" s="9">
        <f>IFERROR(__xludf.DUMMYFUNCTION("""COMPUTED_VALUE"""),0.0)</f>
        <v>0</v>
      </c>
      <c r="AA828" s="181" t="str">
        <f>IFERROR(__xludf.DUMMYFUNCTION("""COMPUTED_VALUE"""),"#REF!")</f>
        <v>#REF!</v>
      </c>
      <c r="AB828" s="181" t="str">
        <f>IFERROR(__xludf.DUMMYFUNCTION("""COMPUTED_VALUE"""),"#REF!")</f>
        <v>#REF!</v>
      </c>
      <c r="AC828" s="179" t="str">
        <f>IFERROR(__xludf.DUMMYFUNCTION("""COMPUTED_VALUE"""),"#REF!")</f>
        <v>#REF!</v>
      </c>
      <c r="AD828" s="165" t="str">
        <f>IFERROR(__xludf.DUMMYFUNCTION("""COMPUTED_VALUE"""),"#REF!")</f>
        <v>#REF!</v>
      </c>
      <c r="AE828" s="39"/>
      <c r="AF828" s="39"/>
      <c r="AG828" s="39"/>
      <c r="AH828" s="39"/>
      <c r="AI828" s="165"/>
      <c r="AJ828" s="165"/>
      <c r="AK828" s="111"/>
      <c r="AL828" s="111"/>
      <c r="AM828" s="111"/>
      <c r="AN828" s="111"/>
      <c r="AO828" s="111"/>
      <c r="AP828" s="111"/>
      <c r="AQ828" s="116"/>
      <c r="AR828" s="116"/>
      <c r="AS828" s="116"/>
    </row>
    <row r="829">
      <c r="A829" s="42"/>
      <c r="B829" s="42"/>
      <c r="C829" s="42"/>
      <c r="D829" s="42"/>
      <c r="E829" s="42"/>
      <c r="F829" s="42"/>
      <c r="G829" s="42"/>
      <c r="H829" s="42"/>
      <c r="I829" s="42"/>
      <c r="J829" s="42"/>
      <c r="K829" s="42"/>
      <c r="L829" s="42"/>
      <c r="M829" s="42"/>
      <c r="N829" s="42"/>
      <c r="O829" s="31"/>
      <c r="P829" s="9"/>
      <c r="Q829" s="9"/>
      <c r="R829" s="179" t="str">
        <f>IFERROR(__xludf.DUMMYFUNCTION("""COMPUTED_VALUE"""),"")</f>
        <v/>
      </c>
      <c r="S829" s="179" t="str">
        <f>IFERROR(__xludf.DUMMYFUNCTION("""COMPUTED_VALUE"""),"")</f>
        <v/>
      </c>
      <c r="T829" s="179" t="str">
        <f>IFERROR(__xludf.DUMMYFUNCTION("""COMPUTED_VALUE"""),"[]")</f>
        <v>[]</v>
      </c>
      <c r="U829" s="179">
        <f>IFERROR(__xludf.DUMMYFUNCTION("""COMPUTED_VALUE"""),0.0)</f>
        <v>0</v>
      </c>
      <c r="V829" s="180">
        <f>IFERROR(__xludf.DUMMYFUNCTION("""COMPUTED_VALUE"""),0.0)</f>
        <v>0</v>
      </c>
      <c r="W829" s="180" t="str">
        <f>IFERROR(__xludf.DUMMYFUNCTION("""COMPUTED_VALUE"""),"#REF!")</f>
        <v>#REF!</v>
      </c>
      <c r="X829" s="42">
        <f>IFERROR(__xludf.DUMMYFUNCTION("""COMPUTED_VALUE"""),0.0)</f>
        <v>0</v>
      </c>
      <c r="Y829" s="42">
        <f>IFERROR(__xludf.DUMMYFUNCTION("""COMPUTED_VALUE"""),0.0)</f>
        <v>0</v>
      </c>
      <c r="Z829" s="9">
        <f>IFERROR(__xludf.DUMMYFUNCTION("""COMPUTED_VALUE"""),0.0)</f>
        <v>0</v>
      </c>
      <c r="AA829" s="181" t="str">
        <f>IFERROR(__xludf.DUMMYFUNCTION("""COMPUTED_VALUE"""),"#REF!")</f>
        <v>#REF!</v>
      </c>
      <c r="AB829" s="181" t="str">
        <f>IFERROR(__xludf.DUMMYFUNCTION("""COMPUTED_VALUE"""),"#REF!")</f>
        <v>#REF!</v>
      </c>
      <c r="AC829" s="179" t="str">
        <f>IFERROR(__xludf.DUMMYFUNCTION("""COMPUTED_VALUE"""),"#REF!")</f>
        <v>#REF!</v>
      </c>
      <c r="AD829" s="165" t="str">
        <f>IFERROR(__xludf.DUMMYFUNCTION("""COMPUTED_VALUE"""),"#REF!")</f>
        <v>#REF!</v>
      </c>
      <c r="AE829" s="39"/>
      <c r="AF829" s="39"/>
      <c r="AG829" s="39"/>
      <c r="AH829" s="39"/>
      <c r="AI829" s="165"/>
      <c r="AJ829" s="165"/>
      <c r="AK829" s="111"/>
      <c r="AL829" s="111"/>
      <c r="AM829" s="111"/>
      <c r="AN829" s="111"/>
      <c r="AO829" s="111"/>
      <c r="AP829" s="111"/>
      <c r="AQ829" s="116"/>
      <c r="AR829" s="116"/>
      <c r="AS829" s="116"/>
    </row>
    <row r="830">
      <c r="A830" s="42"/>
      <c r="B830" s="42"/>
      <c r="C830" s="42"/>
      <c r="D830" s="42"/>
      <c r="E830" s="42"/>
      <c r="F830" s="42"/>
      <c r="G830" s="42"/>
      <c r="H830" s="42"/>
      <c r="I830" s="42"/>
      <c r="J830" s="42"/>
      <c r="K830" s="42"/>
      <c r="L830" s="42"/>
      <c r="M830" s="42"/>
      <c r="N830" s="42"/>
      <c r="O830" s="31"/>
      <c r="P830" s="9"/>
      <c r="Q830" s="9"/>
      <c r="R830" s="179" t="str">
        <f>IFERROR(__xludf.DUMMYFUNCTION("""COMPUTED_VALUE"""),"")</f>
        <v/>
      </c>
      <c r="S830" s="179" t="str">
        <f>IFERROR(__xludf.DUMMYFUNCTION("""COMPUTED_VALUE"""),"")</f>
        <v/>
      </c>
      <c r="T830" s="179" t="str">
        <f>IFERROR(__xludf.DUMMYFUNCTION("""COMPUTED_VALUE"""),"[]")</f>
        <v>[]</v>
      </c>
      <c r="U830" s="179">
        <f>IFERROR(__xludf.DUMMYFUNCTION("""COMPUTED_VALUE"""),0.0)</f>
        <v>0</v>
      </c>
      <c r="V830" s="180">
        <f>IFERROR(__xludf.DUMMYFUNCTION("""COMPUTED_VALUE"""),0.0)</f>
        <v>0</v>
      </c>
      <c r="W830" s="180" t="str">
        <f>IFERROR(__xludf.DUMMYFUNCTION("""COMPUTED_VALUE"""),"#REF!")</f>
        <v>#REF!</v>
      </c>
      <c r="X830" s="42">
        <f>IFERROR(__xludf.DUMMYFUNCTION("""COMPUTED_VALUE"""),0.0)</f>
        <v>0</v>
      </c>
      <c r="Y830" s="42">
        <f>IFERROR(__xludf.DUMMYFUNCTION("""COMPUTED_VALUE"""),0.0)</f>
        <v>0</v>
      </c>
      <c r="Z830" s="9">
        <f>IFERROR(__xludf.DUMMYFUNCTION("""COMPUTED_VALUE"""),0.0)</f>
        <v>0</v>
      </c>
      <c r="AA830" s="181" t="str">
        <f>IFERROR(__xludf.DUMMYFUNCTION("""COMPUTED_VALUE"""),"#REF!")</f>
        <v>#REF!</v>
      </c>
      <c r="AB830" s="181" t="str">
        <f>IFERROR(__xludf.DUMMYFUNCTION("""COMPUTED_VALUE"""),"#REF!")</f>
        <v>#REF!</v>
      </c>
      <c r="AC830" s="179" t="str">
        <f>IFERROR(__xludf.DUMMYFUNCTION("""COMPUTED_VALUE"""),"#REF!")</f>
        <v>#REF!</v>
      </c>
      <c r="AD830" s="165" t="str">
        <f>IFERROR(__xludf.DUMMYFUNCTION("""COMPUTED_VALUE"""),"#REF!")</f>
        <v>#REF!</v>
      </c>
      <c r="AE830" s="39"/>
      <c r="AF830" s="39"/>
      <c r="AG830" s="39"/>
      <c r="AH830" s="39"/>
      <c r="AI830" s="165"/>
      <c r="AJ830" s="165"/>
      <c r="AK830" s="111"/>
      <c r="AL830" s="111"/>
      <c r="AM830" s="111"/>
      <c r="AN830" s="111"/>
      <c r="AO830" s="111"/>
      <c r="AP830" s="111"/>
      <c r="AQ830" s="116"/>
      <c r="AR830" s="116"/>
      <c r="AS830" s="116"/>
    </row>
    <row r="831">
      <c r="A831" s="42"/>
      <c r="B831" s="42"/>
      <c r="C831" s="42"/>
      <c r="D831" s="42"/>
      <c r="E831" s="42"/>
      <c r="F831" s="42"/>
      <c r="G831" s="42"/>
      <c r="H831" s="42"/>
      <c r="I831" s="42"/>
      <c r="J831" s="42"/>
      <c r="K831" s="42"/>
      <c r="L831" s="42"/>
      <c r="M831" s="42"/>
      <c r="N831" s="42"/>
      <c r="O831" s="9"/>
      <c r="P831" s="9"/>
      <c r="Q831" s="9"/>
      <c r="R831" s="179" t="str">
        <f>IFERROR(__xludf.DUMMYFUNCTION("""COMPUTED_VALUE"""),"")</f>
        <v/>
      </c>
      <c r="S831" s="179" t="str">
        <f>IFERROR(__xludf.DUMMYFUNCTION("""COMPUTED_VALUE"""),"")</f>
        <v/>
      </c>
      <c r="T831" s="179" t="str">
        <f>IFERROR(__xludf.DUMMYFUNCTION("""COMPUTED_VALUE"""),"[]")</f>
        <v>[]</v>
      </c>
      <c r="U831" s="179">
        <f>IFERROR(__xludf.DUMMYFUNCTION("""COMPUTED_VALUE"""),0.0)</f>
        <v>0</v>
      </c>
      <c r="V831" s="180">
        <f>IFERROR(__xludf.DUMMYFUNCTION("""COMPUTED_VALUE"""),0.0)</f>
        <v>0</v>
      </c>
      <c r="W831" s="180" t="str">
        <f>IFERROR(__xludf.DUMMYFUNCTION("""COMPUTED_VALUE"""),"#REF!")</f>
        <v>#REF!</v>
      </c>
      <c r="X831" s="42">
        <f>IFERROR(__xludf.DUMMYFUNCTION("""COMPUTED_VALUE"""),0.0)</f>
        <v>0</v>
      </c>
      <c r="Y831" s="42">
        <f>IFERROR(__xludf.DUMMYFUNCTION("""COMPUTED_VALUE"""),0.0)</f>
        <v>0</v>
      </c>
      <c r="Z831" s="9">
        <f>IFERROR(__xludf.DUMMYFUNCTION("""COMPUTED_VALUE"""),0.0)</f>
        <v>0</v>
      </c>
      <c r="AA831" s="181" t="str">
        <f>IFERROR(__xludf.DUMMYFUNCTION("""COMPUTED_VALUE"""),"#REF!")</f>
        <v>#REF!</v>
      </c>
      <c r="AB831" s="181" t="str">
        <f>IFERROR(__xludf.DUMMYFUNCTION("""COMPUTED_VALUE"""),"#REF!")</f>
        <v>#REF!</v>
      </c>
      <c r="AC831" s="179" t="str">
        <f>IFERROR(__xludf.DUMMYFUNCTION("""COMPUTED_VALUE"""),"#REF!")</f>
        <v>#REF!</v>
      </c>
      <c r="AD831" s="165" t="str">
        <f>IFERROR(__xludf.DUMMYFUNCTION("""COMPUTED_VALUE"""),"#REF!")</f>
        <v>#REF!</v>
      </c>
      <c r="AE831" s="39"/>
      <c r="AF831" s="39"/>
      <c r="AG831" s="39"/>
      <c r="AH831" s="39"/>
      <c r="AI831" s="165"/>
      <c r="AJ831" s="165"/>
      <c r="AK831" s="111"/>
      <c r="AL831" s="111"/>
      <c r="AM831" s="111"/>
      <c r="AN831" s="111"/>
      <c r="AO831" s="111"/>
      <c r="AP831" s="111"/>
      <c r="AQ831" s="116"/>
      <c r="AR831" s="116"/>
      <c r="AS831" s="116"/>
    </row>
    <row r="832">
      <c r="A832" s="42"/>
      <c r="B832" s="42"/>
      <c r="C832" s="42"/>
      <c r="D832" s="42"/>
      <c r="E832" s="42"/>
      <c r="F832" s="42"/>
      <c r="G832" s="42"/>
      <c r="H832" s="42"/>
      <c r="I832" s="42"/>
      <c r="J832" s="42"/>
      <c r="K832" s="42"/>
      <c r="L832" s="42"/>
      <c r="M832" s="42"/>
      <c r="N832" s="42"/>
      <c r="O832" s="31"/>
      <c r="P832" s="9"/>
      <c r="Q832" s="9"/>
      <c r="R832" s="179" t="str">
        <f>IFERROR(__xludf.DUMMYFUNCTION("""COMPUTED_VALUE"""),"")</f>
        <v/>
      </c>
      <c r="S832" s="179" t="str">
        <f>IFERROR(__xludf.DUMMYFUNCTION("""COMPUTED_VALUE"""),"")</f>
        <v/>
      </c>
      <c r="T832" s="179" t="str">
        <f>IFERROR(__xludf.DUMMYFUNCTION("""COMPUTED_VALUE"""),"[]")</f>
        <v>[]</v>
      </c>
      <c r="U832" s="179">
        <f>IFERROR(__xludf.DUMMYFUNCTION("""COMPUTED_VALUE"""),0.0)</f>
        <v>0</v>
      </c>
      <c r="V832" s="180">
        <f>IFERROR(__xludf.DUMMYFUNCTION("""COMPUTED_VALUE"""),0.0)</f>
        <v>0</v>
      </c>
      <c r="W832" s="180" t="str">
        <f>IFERROR(__xludf.DUMMYFUNCTION("""COMPUTED_VALUE"""),"#REF!")</f>
        <v>#REF!</v>
      </c>
      <c r="X832" s="42">
        <f>IFERROR(__xludf.DUMMYFUNCTION("""COMPUTED_VALUE"""),0.0)</f>
        <v>0</v>
      </c>
      <c r="Y832" s="42">
        <f>IFERROR(__xludf.DUMMYFUNCTION("""COMPUTED_VALUE"""),0.0)</f>
        <v>0</v>
      </c>
      <c r="Z832" s="9">
        <f>IFERROR(__xludf.DUMMYFUNCTION("""COMPUTED_VALUE"""),0.0)</f>
        <v>0</v>
      </c>
      <c r="AA832" s="181" t="str">
        <f>IFERROR(__xludf.DUMMYFUNCTION("""COMPUTED_VALUE"""),"#REF!")</f>
        <v>#REF!</v>
      </c>
      <c r="AB832" s="181" t="str">
        <f>IFERROR(__xludf.DUMMYFUNCTION("""COMPUTED_VALUE"""),"#REF!")</f>
        <v>#REF!</v>
      </c>
      <c r="AC832" s="179" t="str">
        <f>IFERROR(__xludf.DUMMYFUNCTION("""COMPUTED_VALUE"""),"#REF!")</f>
        <v>#REF!</v>
      </c>
      <c r="AD832" s="165" t="str">
        <f>IFERROR(__xludf.DUMMYFUNCTION("""COMPUTED_VALUE"""),"#REF!")</f>
        <v>#REF!</v>
      </c>
      <c r="AE832" s="39"/>
      <c r="AF832" s="39"/>
      <c r="AG832" s="39"/>
      <c r="AH832" s="39"/>
      <c r="AI832" s="165"/>
      <c r="AJ832" s="165"/>
      <c r="AK832" s="111"/>
      <c r="AL832" s="111"/>
      <c r="AM832" s="111"/>
      <c r="AN832" s="111"/>
      <c r="AO832" s="111"/>
      <c r="AP832" s="111"/>
      <c r="AQ832" s="116"/>
      <c r="AR832" s="116"/>
      <c r="AS832" s="116"/>
    </row>
    <row r="833">
      <c r="A833" s="42"/>
      <c r="B833" s="42"/>
      <c r="C833" s="42"/>
      <c r="D833" s="42"/>
      <c r="E833" s="42"/>
      <c r="F833" s="42"/>
      <c r="G833" s="42"/>
      <c r="H833" s="42"/>
      <c r="I833" s="42"/>
      <c r="J833" s="42"/>
      <c r="K833" s="42"/>
      <c r="L833" s="42"/>
      <c r="M833" s="42"/>
      <c r="N833" s="42"/>
      <c r="O833" s="31"/>
      <c r="P833" s="9"/>
      <c r="Q833" s="9"/>
      <c r="R833" s="179" t="str">
        <f>IFERROR(__xludf.DUMMYFUNCTION("""COMPUTED_VALUE"""),"")</f>
        <v/>
      </c>
      <c r="S833" s="179" t="str">
        <f>IFERROR(__xludf.DUMMYFUNCTION("""COMPUTED_VALUE"""),"")</f>
        <v/>
      </c>
      <c r="T833" s="179" t="str">
        <f>IFERROR(__xludf.DUMMYFUNCTION("""COMPUTED_VALUE"""),"[]")</f>
        <v>[]</v>
      </c>
      <c r="U833" s="179">
        <f>IFERROR(__xludf.DUMMYFUNCTION("""COMPUTED_VALUE"""),0.0)</f>
        <v>0</v>
      </c>
      <c r="V833" s="180">
        <f>IFERROR(__xludf.DUMMYFUNCTION("""COMPUTED_VALUE"""),0.0)</f>
        <v>0</v>
      </c>
      <c r="W833" s="180" t="str">
        <f>IFERROR(__xludf.DUMMYFUNCTION("""COMPUTED_VALUE"""),"#REF!")</f>
        <v>#REF!</v>
      </c>
      <c r="X833" s="42">
        <f>IFERROR(__xludf.DUMMYFUNCTION("""COMPUTED_VALUE"""),0.0)</f>
        <v>0</v>
      </c>
      <c r="Y833" s="42">
        <f>IFERROR(__xludf.DUMMYFUNCTION("""COMPUTED_VALUE"""),0.0)</f>
        <v>0</v>
      </c>
      <c r="Z833" s="9">
        <f>IFERROR(__xludf.DUMMYFUNCTION("""COMPUTED_VALUE"""),0.0)</f>
        <v>0</v>
      </c>
      <c r="AA833" s="181" t="str">
        <f>IFERROR(__xludf.DUMMYFUNCTION("""COMPUTED_VALUE"""),"#REF!")</f>
        <v>#REF!</v>
      </c>
      <c r="AB833" s="181" t="str">
        <f>IFERROR(__xludf.DUMMYFUNCTION("""COMPUTED_VALUE"""),"#REF!")</f>
        <v>#REF!</v>
      </c>
      <c r="AC833" s="179" t="str">
        <f>IFERROR(__xludf.DUMMYFUNCTION("""COMPUTED_VALUE"""),"#REF!")</f>
        <v>#REF!</v>
      </c>
      <c r="AD833" s="165" t="str">
        <f>IFERROR(__xludf.DUMMYFUNCTION("""COMPUTED_VALUE"""),"#REF!")</f>
        <v>#REF!</v>
      </c>
      <c r="AE833" s="39"/>
      <c r="AF833" s="39"/>
      <c r="AG833" s="39"/>
      <c r="AH833" s="39"/>
      <c r="AI833" s="165"/>
      <c r="AJ833" s="165"/>
      <c r="AK833" s="111"/>
      <c r="AL833" s="111"/>
      <c r="AM833" s="111"/>
      <c r="AN833" s="111"/>
      <c r="AO833" s="111"/>
      <c r="AP833" s="111"/>
      <c r="AQ833" s="116"/>
      <c r="AR833" s="116"/>
      <c r="AS833" s="116"/>
    </row>
    <row r="834">
      <c r="A834" s="42"/>
      <c r="B834" s="42"/>
      <c r="C834" s="42"/>
      <c r="D834" s="42"/>
      <c r="E834" s="42"/>
      <c r="F834" s="42"/>
      <c r="G834" s="42"/>
      <c r="H834" s="42"/>
      <c r="I834" s="42"/>
      <c r="J834" s="42"/>
      <c r="K834" s="42"/>
      <c r="L834" s="42"/>
      <c r="M834" s="42"/>
      <c r="N834" s="42"/>
      <c r="O834" s="31"/>
      <c r="P834" s="9"/>
      <c r="Q834" s="9"/>
      <c r="R834" s="179" t="str">
        <f>IFERROR(__xludf.DUMMYFUNCTION("""COMPUTED_VALUE"""),"")</f>
        <v/>
      </c>
      <c r="S834" s="179" t="str">
        <f>IFERROR(__xludf.DUMMYFUNCTION("""COMPUTED_VALUE"""),"")</f>
        <v/>
      </c>
      <c r="T834" s="179" t="str">
        <f>IFERROR(__xludf.DUMMYFUNCTION("""COMPUTED_VALUE"""),"[]")</f>
        <v>[]</v>
      </c>
      <c r="U834" s="179">
        <f>IFERROR(__xludf.DUMMYFUNCTION("""COMPUTED_VALUE"""),0.0)</f>
        <v>0</v>
      </c>
      <c r="V834" s="180">
        <f>IFERROR(__xludf.DUMMYFUNCTION("""COMPUTED_VALUE"""),0.0)</f>
        <v>0</v>
      </c>
      <c r="W834" s="180" t="str">
        <f>IFERROR(__xludf.DUMMYFUNCTION("""COMPUTED_VALUE"""),"#REF!")</f>
        <v>#REF!</v>
      </c>
      <c r="X834" s="42">
        <f>IFERROR(__xludf.DUMMYFUNCTION("""COMPUTED_VALUE"""),0.0)</f>
        <v>0</v>
      </c>
      <c r="Y834" s="42">
        <f>IFERROR(__xludf.DUMMYFUNCTION("""COMPUTED_VALUE"""),0.0)</f>
        <v>0</v>
      </c>
      <c r="Z834" s="9">
        <f>IFERROR(__xludf.DUMMYFUNCTION("""COMPUTED_VALUE"""),0.0)</f>
        <v>0</v>
      </c>
      <c r="AA834" s="181" t="str">
        <f>IFERROR(__xludf.DUMMYFUNCTION("""COMPUTED_VALUE"""),"#REF!")</f>
        <v>#REF!</v>
      </c>
      <c r="AB834" s="181" t="str">
        <f>IFERROR(__xludf.DUMMYFUNCTION("""COMPUTED_VALUE"""),"#REF!")</f>
        <v>#REF!</v>
      </c>
      <c r="AC834" s="179" t="str">
        <f>IFERROR(__xludf.DUMMYFUNCTION("""COMPUTED_VALUE"""),"#REF!")</f>
        <v>#REF!</v>
      </c>
      <c r="AD834" s="165" t="str">
        <f>IFERROR(__xludf.DUMMYFUNCTION("""COMPUTED_VALUE"""),"#REF!")</f>
        <v>#REF!</v>
      </c>
      <c r="AE834" s="39"/>
      <c r="AF834" s="39"/>
      <c r="AG834" s="39"/>
      <c r="AH834" s="39"/>
      <c r="AI834" s="165"/>
      <c r="AJ834" s="165"/>
      <c r="AK834" s="111"/>
      <c r="AL834" s="111"/>
      <c r="AM834" s="111"/>
      <c r="AN834" s="111"/>
      <c r="AO834" s="111"/>
      <c r="AP834" s="111"/>
      <c r="AQ834" s="116"/>
      <c r="AR834" s="116"/>
      <c r="AS834" s="116"/>
    </row>
    <row r="835">
      <c r="A835" s="42"/>
      <c r="B835" s="42"/>
      <c r="C835" s="42"/>
      <c r="D835" s="42"/>
      <c r="E835" s="42"/>
      <c r="F835" s="42"/>
      <c r="G835" s="42"/>
      <c r="H835" s="42"/>
      <c r="I835" s="42"/>
      <c r="J835" s="42"/>
      <c r="K835" s="42"/>
      <c r="L835" s="42"/>
      <c r="M835" s="42"/>
      <c r="N835" s="42"/>
      <c r="O835" s="31"/>
      <c r="P835" s="9"/>
      <c r="Q835" s="9"/>
      <c r="R835" s="179" t="str">
        <f>IFERROR(__xludf.DUMMYFUNCTION("""COMPUTED_VALUE"""),"")</f>
        <v/>
      </c>
      <c r="S835" s="179" t="str">
        <f>IFERROR(__xludf.DUMMYFUNCTION("""COMPUTED_VALUE"""),"")</f>
        <v/>
      </c>
      <c r="T835" s="179" t="str">
        <f>IFERROR(__xludf.DUMMYFUNCTION("""COMPUTED_VALUE"""),"[]")</f>
        <v>[]</v>
      </c>
      <c r="U835" s="179">
        <f>IFERROR(__xludf.DUMMYFUNCTION("""COMPUTED_VALUE"""),0.0)</f>
        <v>0</v>
      </c>
      <c r="V835" s="180">
        <f>IFERROR(__xludf.DUMMYFUNCTION("""COMPUTED_VALUE"""),0.0)</f>
        <v>0</v>
      </c>
      <c r="W835" s="180" t="str">
        <f>IFERROR(__xludf.DUMMYFUNCTION("""COMPUTED_VALUE"""),"#REF!")</f>
        <v>#REF!</v>
      </c>
      <c r="X835" s="42">
        <f>IFERROR(__xludf.DUMMYFUNCTION("""COMPUTED_VALUE"""),0.0)</f>
        <v>0</v>
      </c>
      <c r="Y835" s="42">
        <f>IFERROR(__xludf.DUMMYFUNCTION("""COMPUTED_VALUE"""),0.0)</f>
        <v>0</v>
      </c>
      <c r="Z835" s="9">
        <f>IFERROR(__xludf.DUMMYFUNCTION("""COMPUTED_VALUE"""),0.0)</f>
        <v>0</v>
      </c>
      <c r="AA835" s="181" t="str">
        <f>IFERROR(__xludf.DUMMYFUNCTION("""COMPUTED_VALUE"""),"#REF!")</f>
        <v>#REF!</v>
      </c>
      <c r="AB835" s="181" t="str">
        <f>IFERROR(__xludf.DUMMYFUNCTION("""COMPUTED_VALUE"""),"#REF!")</f>
        <v>#REF!</v>
      </c>
      <c r="AC835" s="179" t="str">
        <f>IFERROR(__xludf.DUMMYFUNCTION("""COMPUTED_VALUE"""),"#REF!")</f>
        <v>#REF!</v>
      </c>
      <c r="AD835" s="165" t="str">
        <f>IFERROR(__xludf.DUMMYFUNCTION("""COMPUTED_VALUE"""),"#REF!")</f>
        <v>#REF!</v>
      </c>
      <c r="AE835" s="39"/>
      <c r="AF835" s="39"/>
      <c r="AG835" s="39"/>
      <c r="AH835" s="39"/>
      <c r="AI835" s="165"/>
      <c r="AJ835" s="165"/>
      <c r="AK835" s="111"/>
      <c r="AL835" s="111"/>
      <c r="AM835" s="111"/>
      <c r="AN835" s="111"/>
      <c r="AO835" s="111"/>
      <c r="AP835" s="111"/>
      <c r="AQ835" s="116"/>
      <c r="AR835" s="116"/>
      <c r="AS835" s="116"/>
    </row>
    <row r="836">
      <c r="A836" s="42"/>
      <c r="B836" s="42"/>
      <c r="C836" s="42"/>
      <c r="D836" s="42"/>
      <c r="E836" s="42"/>
      <c r="F836" s="42"/>
      <c r="G836" s="42"/>
      <c r="H836" s="42"/>
      <c r="I836" s="42"/>
      <c r="J836" s="42"/>
      <c r="K836" s="42"/>
      <c r="L836" s="42"/>
      <c r="M836" s="42"/>
      <c r="N836" s="42"/>
      <c r="O836" s="31"/>
      <c r="P836" s="9"/>
      <c r="Q836" s="9"/>
      <c r="R836" s="179" t="str">
        <f>IFERROR(__xludf.DUMMYFUNCTION("""COMPUTED_VALUE"""),"")</f>
        <v/>
      </c>
      <c r="S836" s="179" t="str">
        <f>IFERROR(__xludf.DUMMYFUNCTION("""COMPUTED_VALUE"""),"")</f>
        <v/>
      </c>
      <c r="T836" s="179" t="str">
        <f>IFERROR(__xludf.DUMMYFUNCTION("""COMPUTED_VALUE"""),"[]")</f>
        <v>[]</v>
      </c>
      <c r="U836" s="179">
        <f>IFERROR(__xludf.DUMMYFUNCTION("""COMPUTED_VALUE"""),0.0)</f>
        <v>0</v>
      </c>
      <c r="V836" s="180">
        <f>IFERROR(__xludf.DUMMYFUNCTION("""COMPUTED_VALUE"""),0.0)</f>
        <v>0</v>
      </c>
      <c r="W836" s="180" t="str">
        <f>IFERROR(__xludf.DUMMYFUNCTION("""COMPUTED_VALUE"""),"#REF!")</f>
        <v>#REF!</v>
      </c>
      <c r="X836" s="42">
        <f>IFERROR(__xludf.DUMMYFUNCTION("""COMPUTED_VALUE"""),0.0)</f>
        <v>0</v>
      </c>
      <c r="Y836" s="42">
        <f>IFERROR(__xludf.DUMMYFUNCTION("""COMPUTED_VALUE"""),0.0)</f>
        <v>0</v>
      </c>
      <c r="Z836" s="9">
        <f>IFERROR(__xludf.DUMMYFUNCTION("""COMPUTED_VALUE"""),0.0)</f>
        <v>0</v>
      </c>
      <c r="AA836" s="181" t="str">
        <f>IFERROR(__xludf.DUMMYFUNCTION("""COMPUTED_VALUE"""),"#REF!")</f>
        <v>#REF!</v>
      </c>
      <c r="AB836" s="181" t="str">
        <f>IFERROR(__xludf.DUMMYFUNCTION("""COMPUTED_VALUE"""),"#REF!")</f>
        <v>#REF!</v>
      </c>
      <c r="AC836" s="179" t="str">
        <f>IFERROR(__xludf.DUMMYFUNCTION("""COMPUTED_VALUE"""),"#REF!")</f>
        <v>#REF!</v>
      </c>
      <c r="AD836" s="165" t="str">
        <f>IFERROR(__xludf.DUMMYFUNCTION("""COMPUTED_VALUE"""),"#REF!")</f>
        <v>#REF!</v>
      </c>
      <c r="AE836" s="39"/>
      <c r="AF836" s="39"/>
      <c r="AG836" s="39"/>
      <c r="AH836" s="39"/>
      <c r="AI836" s="165"/>
      <c r="AJ836" s="165"/>
      <c r="AK836" s="111"/>
      <c r="AL836" s="111"/>
      <c r="AM836" s="111"/>
      <c r="AN836" s="111"/>
      <c r="AO836" s="111"/>
      <c r="AP836" s="111"/>
      <c r="AQ836" s="116"/>
      <c r="AR836" s="116"/>
      <c r="AS836" s="116"/>
    </row>
    <row r="837">
      <c r="A837" s="42"/>
      <c r="B837" s="42"/>
      <c r="C837" s="42"/>
      <c r="D837" s="42"/>
      <c r="E837" s="42"/>
      <c r="F837" s="42"/>
      <c r="G837" s="42"/>
      <c r="H837" s="42"/>
      <c r="I837" s="42"/>
      <c r="J837" s="42"/>
      <c r="K837" s="42"/>
      <c r="L837" s="42"/>
      <c r="M837" s="42"/>
      <c r="N837" s="42"/>
      <c r="O837" s="31"/>
      <c r="P837" s="9"/>
      <c r="Q837" s="9"/>
      <c r="R837" s="179" t="str">
        <f>IFERROR(__xludf.DUMMYFUNCTION("""COMPUTED_VALUE"""),"")</f>
        <v/>
      </c>
      <c r="S837" s="179" t="str">
        <f>IFERROR(__xludf.DUMMYFUNCTION("""COMPUTED_VALUE"""),"")</f>
        <v/>
      </c>
      <c r="T837" s="179" t="str">
        <f>IFERROR(__xludf.DUMMYFUNCTION("""COMPUTED_VALUE"""),"[]")</f>
        <v>[]</v>
      </c>
      <c r="U837" s="179">
        <f>IFERROR(__xludf.DUMMYFUNCTION("""COMPUTED_VALUE"""),0.0)</f>
        <v>0</v>
      </c>
      <c r="V837" s="180">
        <f>IFERROR(__xludf.DUMMYFUNCTION("""COMPUTED_VALUE"""),0.0)</f>
        <v>0</v>
      </c>
      <c r="W837" s="180" t="str">
        <f>IFERROR(__xludf.DUMMYFUNCTION("""COMPUTED_VALUE"""),"#REF!")</f>
        <v>#REF!</v>
      </c>
      <c r="X837" s="42">
        <f>IFERROR(__xludf.DUMMYFUNCTION("""COMPUTED_VALUE"""),0.0)</f>
        <v>0</v>
      </c>
      <c r="Y837" s="42">
        <f>IFERROR(__xludf.DUMMYFUNCTION("""COMPUTED_VALUE"""),0.0)</f>
        <v>0</v>
      </c>
      <c r="Z837" s="9">
        <f>IFERROR(__xludf.DUMMYFUNCTION("""COMPUTED_VALUE"""),0.0)</f>
        <v>0</v>
      </c>
      <c r="AA837" s="181" t="str">
        <f>IFERROR(__xludf.DUMMYFUNCTION("""COMPUTED_VALUE"""),"#REF!")</f>
        <v>#REF!</v>
      </c>
      <c r="AB837" s="181" t="str">
        <f>IFERROR(__xludf.DUMMYFUNCTION("""COMPUTED_VALUE"""),"#REF!")</f>
        <v>#REF!</v>
      </c>
      <c r="AC837" s="179" t="str">
        <f>IFERROR(__xludf.DUMMYFUNCTION("""COMPUTED_VALUE"""),"#REF!")</f>
        <v>#REF!</v>
      </c>
      <c r="AD837" s="165" t="str">
        <f>IFERROR(__xludf.DUMMYFUNCTION("""COMPUTED_VALUE"""),"#REF!")</f>
        <v>#REF!</v>
      </c>
      <c r="AE837" s="39"/>
      <c r="AF837" s="39"/>
      <c r="AG837" s="39"/>
      <c r="AH837" s="39"/>
      <c r="AI837" s="165"/>
      <c r="AJ837" s="165"/>
      <c r="AK837" s="111"/>
      <c r="AL837" s="111"/>
      <c r="AM837" s="111"/>
      <c r="AN837" s="111"/>
      <c r="AO837" s="111"/>
      <c r="AP837" s="111"/>
      <c r="AQ837" s="116"/>
      <c r="AR837" s="116"/>
      <c r="AS837" s="116"/>
    </row>
    <row r="838">
      <c r="A838" s="42"/>
      <c r="B838" s="42"/>
      <c r="C838" s="42"/>
      <c r="D838" s="42"/>
      <c r="E838" s="42"/>
      <c r="F838" s="42"/>
      <c r="G838" s="42"/>
      <c r="H838" s="42"/>
      <c r="I838" s="42"/>
      <c r="J838" s="42"/>
      <c r="K838" s="42"/>
      <c r="L838" s="42"/>
      <c r="M838" s="42"/>
      <c r="N838" s="42"/>
      <c r="O838" s="31"/>
      <c r="P838" s="9"/>
      <c r="Q838" s="9"/>
      <c r="R838" s="179" t="str">
        <f>IFERROR(__xludf.DUMMYFUNCTION("""COMPUTED_VALUE"""),"")</f>
        <v/>
      </c>
      <c r="S838" s="179" t="str">
        <f>IFERROR(__xludf.DUMMYFUNCTION("""COMPUTED_VALUE"""),"")</f>
        <v/>
      </c>
      <c r="T838" s="179" t="str">
        <f>IFERROR(__xludf.DUMMYFUNCTION("""COMPUTED_VALUE"""),"[]")</f>
        <v>[]</v>
      </c>
      <c r="U838" s="179">
        <f>IFERROR(__xludf.DUMMYFUNCTION("""COMPUTED_VALUE"""),0.0)</f>
        <v>0</v>
      </c>
      <c r="V838" s="180">
        <f>IFERROR(__xludf.DUMMYFUNCTION("""COMPUTED_VALUE"""),0.0)</f>
        <v>0</v>
      </c>
      <c r="W838" s="180" t="str">
        <f>IFERROR(__xludf.DUMMYFUNCTION("""COMPUTED_VALUE"""),"#REF!")</f>
        <v>#REF!</v>
      </c>
      <c r="X838" s="42">
        <f>IFERROR(__xludf.DUMMYFUNCTION("""COMPUTED_VALUE"""),0.0)</f>
        <v>0</v>
      </c>
      <c r="Y838" s="42">
        <f>IFERROR(__xludf.DUMMYFUNCTION("""COMPUTED_VALUE"""),0.0)</f>
        <v>0</v>
      </c>
      <c r="Z838" s="9">
        <f>IFERROR(__xludf.DUMMYFUNCTION("""COMPUTED_VALUE"""),0.0)</f>
        <v>0</v>
      </c>
      <c r="AA838" s="181" t="str">
        <f>IFERROR(__xludf.DUMMYFUNCTION("""COMPUTED_VALUE"""),"#REF!")</f>
        <v>#REF!</v>
      </c>
      <c r="AB838" s="181" t="str">
        <f>IFERROR(__xludf.DUMMYFUNCTION("""COMPUTED_VALUE"""),"#REF!")</f>
        <v>#REF!</v>
      </c>
      <c r="AC838" s="179" t="str">
        <f>IFERROR(__xludf.DUMMYFUNCTION("""COMPUTED_VALUE"""),"#REF!")</f>
        <v>#REF!</v>
      </c>
      <c r="AD838" s="165" t="str">
        <f>IFERROR(__xludf.DUMMYFUNCTION("""COMPUTED_VALUE"""),"#REF!")</f>
        <v>#REF!</v>
      </c>
      <c r="AE838" s="39"/>
      <c r="AF838" s="39"/>
      <c r="AG838" s="39"/>
      <c r="AH838" s="39"/>
      <c r="AI838" s="165"/>
      <c r="AJ838" s="165"/>
      <c r="AK838" s="111"/>
      <c r="AL838" s="111"/>
      <c r="AM838" s="111"/>
      <c r="AN838" s="111"/>
      <c r="AO838" s="111"/>
      <c r="AP838" s="111"/>
      <c r="AQ838" s="116"/>
      <c r="AR838" s="116"/>
      <c r="AS838" s="116"/>
    </row>
    <row r="839">
      <c r="A839" s="42"/>
      <c r="B839" s="42"/>
      <c r="C839" s="42"/>
      <c r="D839" s="42"/>
      <c r="E839" s="42"/>
      <c r="F839" s="42"/>
      <c r="G839" s="42"/>
      <c r="H839" s="42"/>
      <c r="I839" s="42"/>
      <c r="J839" s="42"/>
      <c r="K839" s="42"/>
      <c r="L839" s="42"/>
      <c r="M839" s="42"/>
      <c r="N839" s="42"/>
      <c r="O839" s="31"/>
      <c r="P839" s="9"/>
      <c r="Q839" s="9"/>
      <c r="R839" s="179" t="str">
        <f>IFERROR(__xludf.DUMMYFUNCTION("""COMPUTED_VALUE"""),"")</f>
        <v/>
      </c>
      <c r="S839" s="179" t="str">
        <f>IFERROR(__xludf.DUMMYFUNCTION("""COMPUTED_VALUE"""),"")</f>
        <v/>
      </c>
      <c r="T839" s="179" t="str">
        <f>IFERROR(__xludf.DUMMYFUNCTION("""COMPUTED_VALUE"""),"[]")</f>
        <v>[]</v>
      </c>
      <c r="U839" s="179">
        <f>IFERROR(__xludf.DUMMYFUNCTION("""COMPUTED_VALUE"""),0.0)</f>
        <v>0</v>
      </c>
      <c r="V839" s="180">
        <f>IFERROR(__xludf.DUMMYFUNCTION("""COMPUTED_VALUE"""),0.0)</f>
        <v>0</v>
      </c>
      <c r="W839" s="180" t="str">
        <f>IFERROR(__xludf.DUMMYFUNCTION("""COMPUTED_VALUE"""),"#REF!")</f>
        <v>#REF!</v>
      </c>
      <c r="X839" s="42">
        <f>IFERROR(__xludf.DUMMYFUNCTION("""COMPUTED_VALUE"""),0.0)</f>
        <v>0</v>
      </c>
      <c r="Y839" s="42">
        <f>IFERROR(__xludf.DUMMYFUNCTION("""COMPUTED_VALUE"""),0.0)</f>
        <v>0</v>
      </c>
      <c r="Z839" s="9">
        <f>IFERROR(__xludf.DUMMYFUNCTION("""COMPUTED_VALUE"""),0.0)</f>
        <v>0</v>
      </c>
      <c r="AA839" s="181" t="str">
        <f>IFERROR(__xludf.DUMMYFUNCTION("""COMPUTED_VALUE"""),"#REF!")</f>
        <v>#REF!</v>
      </c>
      <c r="AB839" s="181" t="str">
        <f>IFERROR(__xludf.DUMMYFUNCTION("""COMPUTED_VALUE"""),"#REF!")</f>
        <v>#REF!</v>
      </c>
      <c r="AC839" s="179" t="str">
        <f>IFERROR(__xludf.DUMMYFUNCTION("""COMPUTED_VALUE"""),"#REF!")</f>
        <v>#REF!</v>
      </c>
      <c r="AD839" s="165" t="str">
        <f>IFERROR(__xludf.DUMMYFUNCTION("""COMPUTED_VALUE"""),"#REF!")</f>
        <v>#REF!</v>
      </c>
      <c r="AE839" s="39"/>
      <c r="AF839" s="39"/>
      <c r="AG839" s="39"/>
      <c r="AH839" s="39"/>
      <c r="AI839" s="165"/>
      <c r="AJ839" s="165"/>
      <c r="AK839" s="111"/>
      <c r="AL839" s="111"/>
      <c r="AM839" s="111"/>
      <c r="AN839" s="111"/>
      <c r="AO839" s="111"/>
      <c r="AP839" s="111"/>
      <c r="AQ839" s="116"/>
      <c r="AR839" s="116"/>
      <c r="AS839" s="116"/>
    </row>
    <row r="840">
      <c r="A840" s="42"/>
      <c r="B840" s="42"/>
      <c r="C840" s="42"/>
      <c r="D840" s="42"/>
      <c r="E840" s="42"/>
      <c r="F840" s="42"/>
      <c r="G840" s="42"/>
      <c r="H840" s="42"/>
      <c r="I840" s="42"/>
      <c r="J840" s="42"/>
      <c r="K840" s="42"/>
      <c r="L840" s="42"/>
      <c r="M840" s="42"/>
      <c r="N840" s="42"/>
      <c r="O840" s="31"/>
      <c r="P840" s="9"/>
      <c r="Q840" s="9"/>
      <c r="R840" s="179" t="str">
        <f>IFERROR(__xludf.DUMMYFUNCTION("""COMPUTED_VALUE"""),"")</f>
        <v/>
      </c>
      <c r="S840" s="179" t="str">
        <f>IFERROR(__xludf.DUMMYFUNCTION("""COMPUTED_VALUE"""),"")</f>
        <v/>
      </c>
      <c r="T840" s="179" t="str">
        <f>IFERROR(__xludf.DUMMYFUNCTION("""COMPUTED_VALUE"""),"[]")</f>
        <v>[]</v>
      </c>
      <c r="U840" s="179">
        <f>IFERROR(__xludf.DUMMYFUNCTION("""COMPUTED_VALUE"""),0.0)</f>
        <v>0</v>
      </c>
      <c r="V840" s="180">
        <f>IFERROR(__xludf.DUMMYFUNCTION("""COMPUTED_VALUE"""),0.0)</f>
        <v>0</v>
      </c>
      <c r="W840" s="180" t="str">
        <f>IFERROR(__xludf.DUMMYFUNCTION("""COMPUTED_VALUE"""),"#REF!")</f>
        <v>#REF!</v>
      </c>
      <c r="X840" s="42">
        <f>IFERROR(__xludf.DUMMYFUNCTION("""COMPUTED_VALUE"""),0.0)</f>
        <v>0</v>
      </c>
      <c r="Y840" s="42">
        <f>IFERROR(__xludf.DUMMYFUNCTION("""COMPUTED_VALUE"""),0.0)</f>
        <v>0</v>
      </c>
      <c r="Z840" s="9">
        <f>IFERROR(__xludf.DUMMYFUNCTION("""COMPUTED_VALUE"""),0.0)</f>
        <v>0</v>
      </c>
      <c r="AA840" s="181" t="str">
        <f>IFERROR(__xludf.DUMMYFUNCTION("""COMPUTED_VALUE"""),"#REF!")</f>
        <v>#REF!</v>
      </c>
      <c r="AB840" s="181" t="str">
        <f>IFERROR(__xludf.DUMMYFUNCTION("""COMPUTED_VALUE"""),"#REF!")</f>
        <v>#REF!</v>
      </c>
      <c r="AC840" s="179" t="str">
        <f>IFERROR(__xludf.DUMMYFUNCTION("""COMPUTED_VALUE"""),"#REF!")</f>
        <v>#REF!</v>
      </c>
      <c r="AD840" s="165" t="str">
        <f>IFERROR(__xludf.DUMMYFUNCTION("""COMPUTED_VALUE"""),"#REF!")</f>
        <v>#REF!</v>
      </c>
      <c r="AE840" s="39"/>
      <c r="AF840" s="39"/>
      <c r="AG840" s="39"/>
      <c r="AH840" s="39"/>
      <c r="AI840" s="165"/>
      <c r="AJ840" s="165"/>
      <c r="AK840" s="111"/>
      <c r="AL840" s="111"/>
      <c r="AM840" s="111"/>
      <c r="AN840" s="111"/>
      <c r="AO840" s="111"/>
      <c r="AP840" s="111"/>
      <c r="AQ840" s="116"/>
      <c r="AR840" s="116"/>
      <c r="AS840" s="116"/>
    </row>
    <row r="841">
      <c r="A841" s="42"/>
      <c r="B841" s="42"/>
      <c r="C841" s="42"/>
      <c r="D841" s="42"/>
      <c r="E841" s="42"/>
      <c r="F841" s="42"/>
      <c r="G841" s="42"/>
      <c r="H841" s="42"/>
      <c r="I841" s="42"/>
      <c r="J841" s="42"/>
      <c r="K841" s="42"/>
      <c r="L841" s="42"/>
      <c r="M841" s="42"/>
      <c r="N841" s="42"/>
      <c r="O841" s="31"/>
      <c r="P841" s="9"/>
      <c r="Q841" s="9"/>
      <c r="R841" s="179" t="str">
        <f>IFERROR(__xludf.DUMMYFUNCTION("""COMPUTED_VALUE"""),"")</f>
        <v/>
      </c>
      <c r="S841" s="179" t="str">
        <f>IFERROR(__xludf.DUMMYFUNCTION("""COMPUTED_VALUE"""),"")</f>
        <v/>
      </c>
      <c r="T841" s="179" t="str">
        <f>IFERROR(__xludf.DUMMYFUNCTION("""COMPUTED_VALUE"""),"[]")</f>
        <v>[]</v>
      </c>
      <c r="U841" s="179">
        <f>IFERROR(__xludf.DUMMYFUNCTION("""COMPUTED_VALUE"""),0.0)</f>
        <v>0</v>
      </c>
      <c r="V841" s="180">
        <f>IFERROR(__xludf.DUMMYFUNCTION("""COMPUTED_VALUE"""),0.0)</f>
        <v>0</v>
      </c>
      <c r="W841" s="180" t="str">
        <f>IFERROR(__xludf.DUMMYFUNCTION("""COMPUTED_VALUE"""),"#REF!")</f>
        <v>#REF!</v>
      </c>
      <c r="X841" s="42">
        <f>IFERROR(__xludf.DUMMYFUNCTION("""COMPUTED_VALUE"""),0.0)</f>
        <v>0</v>
      </c>
      <c r="Y841" s="42">
        <f>IFERROR(__xludf.DUMMYFUNCTION("""COMPUTED_VALUE"""),0.0)</f>
        <v>0</v>
      </c>
      <c r="Z841" s="9">
        <f>IFERROR(__xludf.DUMMYFUNCTION("""COMPUTED_VALUE"""),0.0)</f>
        <v>0</v>
      </c>
      <c r="AA841" s="181" t="str">
        <f>IFERROR(__xludf.DUMMYFUNCTION("""COMPUTED_VALUE"""),"#REF!")</f>
        <v>#REF!</v>
      </c>
      <c r="AB841" s="181" t="str">
        <f>IFERROR(__xludf.DUMMYFUNCTION("""COMPUTED_VALUE"""),"#REF!")</f>
        <v>#REF!</v>
      </c>
      <c r="AC841" s="179" t="str">
        <f>IFERROR(__xludf.DUMMYFUNCTION("""COMPUTED_VALUE"""),"#REF!")</f>
        <v>#REF!</v>
      </c>
      <c r="AD841" s="165" t="str">
        <f>IFERROR(__xludf.DUMMYFUNCTION("""COMPUTED_VALUE"""),"#REF!")</f>
        <v>#REF!</v>
      </c>
      <c r="AE841" s="39"/>
      <c r="AF841" s="39"/>
      <c r="AG841" s="39"/>
      <c r="AH841" s="39"/>
      <c r="AI841" s="165"/>
      <c r="AJ841" s="165"/>
      <c r="AK841" s="111"/>
      <c r="AL841" s="111"/>
      <c r="AM841" s="111"/>
      <c r="AN841" s="111"/>
      <c r="AO841" s="111"/>
      <c r="AP841" s="111"/>
      <c r="AQ841" s="116"/>
      <c r="AR841" s="116"/>
      <c r="AS841" s="116"/>
    </row>
    <row r="842">
      <c r="A842" s="42"/>
      <c r="B842" s="42"/>
      <c r="C842" s="42"/>
      <c r="D842" s="42"/>
      <c r="E842" s="42"/>
      <c r="F842" s="42"/>
      <c r="G842" s="42"/>
      <c r="H842" s="42"/>
      <c r="I842" s="42"/>
      <c r="J842" s="42"/>
      <c r="K842" s="42"/>
      <c r="L842" s="42"/>
      <c r="M842" s="42"/>
      <c r="N842" s="42"/>
      <c r="O842" s="31"/>
      <c r="P842" s="9"/>
      <c r="Q842" s="9"/>
      <c r="R842" s="179" t="str">
        <f>IFERROR(__xludf.DUMMYFUNCTION("""COMPUTED_VALUE"""),"")</f>
        <v/>
      </c>
      <c r="S842" s="179" t="str">
        <f>IFERROR(__xludf.DUMMYFUNCTION("""COMPUTED_VALUE"""),"")</f>
        <v/>
      </c>
      <c r="T842" s="179" t="str">
        <f>IFERROR(__xludf.DUMMYFUNCTION("""COMPUTED_VALUE"""),"[]")</f>
        <v>[]</v>
      </c>
      <c r="U842" s="179">
        <f>IFERROR(__xludf.DUMMYFUNCTION("""COMPUTED_VALUE"""),0.0)</f>
        <v>0</v>
      </c>
      <c r="V842" s="180">
        <f>IFERROR(__xludf.DUMMYFUNCTION("""COMPUTED_VALUE"""),0.0)</f>
        <v>0</v>
      </c>
      <c r="W842" s="180" t="str">
        <f>IFERROR(__xludf.DUMMYFUNCTION("""COMPUTED_VALUE"""),"#REF!")</f>
        <v>#REF!</v>
      </c>
      <c r="X842" s="42">
        <f>IFERROR(__xludf.DUMMYFUNCTION("""COMPUTED_VALUE"""),0.0)</f>
        <v>0</v>
      </c>
      <c r="Y842" s="42">
        <f>IFERROR(__xludf.DUMMYFUNCTION("""COMPUTED_VALUE"""),0.0)</f>
        <v>0</v>
      </c>
      <c r="Z842" s="9">
        <f>IFERROR(__xludf.DUMMYFUNCTION("""COMPUTED_VALUE"""),0.0)</f>
        <v>0</v>
      </c>
      <c r="AA842" s="181" t="str">
        <f>IFERROR(__xludf.DUMMYFUNCTION("""COMPUTED_VALUE"""),"#REF!")</f>
        <v>#REF!</v>
      </c>
      <c r="AB842" s="181" t="str">
        <f>IFERROR(__xludf.DUMMYFUNCTION("""COMPUTED_VALUE"""),"#REF!")</f>
        <v>#REF!</v>
      </c>
      <c r="AC842" s="179" t="str">
        <f>IFERROR(__xludf.DUMMYFUNCTION("""COMPUTED_VALUE"""),"#REF!")</f>
        <v>#REF!</v>
      </c>
      <c r="AD842" s="165" t="str">
        <f>IFERROR(__xludf.DUMMYFUNCTION("""COMPUTED_VALUE"""),"#REF!")</f>
        <v>#REF!</v>
      </c>
      <c r="AE842" s="39"/>
      <c r="AF842" s="39"/>
      <c r="AG842" s="39"/>
      <c r="AH842" s="39"/>
      <c r="AI842" s="165"/>
      <c r="AJ842" s="165"/>
      <c r="AK842" s="111"/>
      <c r="AL842" s="111"/>
      <c r="AM842" s="111"/>
      <c r="AN842" s="111"/>
      <c r="AO842" s="111"/>
      <c r="AP842" s="111"/>
      <c r="AQ842" s="116"/>
      <c r="AR842" s="116"/>
      <c r="AS842" s="116"/>
    </row>
    <row r="843">
      <c r="A843" s="42"/>
      <c r="B843" s="42"/>
      <c r="C843" s="42"/>
      <c r="D843" s="42"/>
      <c r="E843" s="42"/>
      <c r="F843" s="42"/>
      <c r="G843" s="42"/>
      <c r="H843" s="42"/>
      <c r="I843" s="42"/>
      <c r="J843" s="42"/>
      <c r="K843" s="42"/>
      <c r="L843" s="42"/>
      <c r="M843" s="42"/>
      <c r="N843" s="42"/>
      <c r="O843" s="31"/>
      <c r="P843" s="9"/>
      <c r="Q843" s="9"/>
      <c r="R843" s="179" t="str">
        <f>IFERROR(__xludf.DUMMYFUNCTION("""COMPUTED_VALUE"""),"")</f>
        <v/>
      </c>
      <c r="S843" s="179" t="str">
        <f>IFERROR(__xludf.DUMMYFUNCTION("""COMPUTED_VALUE"""),"")</f>
        <v/>
      </c>
      <c r="T843" s="179" t="str">
        <f>IFERROR(__xludf.DUMMYFUNCTION("""COMPUTED_VALUE"""),"[]")</f>
        <v>[]</v>
      </c>
      <c r="U843" s="179">
        <f>IFERROR(__xludf.DUMMYFUNCTION("""COMPUTED_VALUE"""),0.0)</f>
        <v>0</v>
      </c>
      <c r="V843" s="180">
        <f>IFERROR(__xludf.DUMMYFUNCTION("""COMPUTED_VALUE"""),0.0)</f>
        <v>0</v>
      </c>
      <c r="W843" s="180"/>
      <c r="X843" s="42">
        <f>IFERROR(__xludf.DUMMYFUNCTION("""COMPUTED_VALUE"""),0.0)</f>
        <v>0</v>
      </c>
      <c r="Y843" s="42">
        <f>IFERROR(__xludf.DUMMYFUNCTION("""COMPUTED_VALUE"""),0.0)</f>
        <v>0</v>
      </c>
      <c r="Z843" s="9">
        <f>IFERROR(__xludf.DUMMYFUNCTION("""COMPUTED_VALUE"""),0.0)</f>
        <v>0</v>
      </c>
      <c r="AA843" s="181">
        <f>IFERROR(__xludf.DUMMYFUNCTION("""COMPUTED_VALUE"""),0.0)</f>
        <v>0</v>
      </c>
      <c r="AB843" s="181" t="str">
        <f>IFERROR(__xludf.DUMMYFUNCTION("""COMPUTED_VALUE"""),"#REF!")</f>
        <v>#REF!</v>
      </c>
      <c r="AC843" s="179">
        <f>IFERROR(__xludf.DUMMYFUNCTION("""COMPUTED_VALUE"""),0.0)</f>
        <v>0</v>
      </c>
      <c r="AD843" s="165" t="str">
        <f>IFERROR(__xludf.DUMMYFUNCTION("""COMPUTED_VALUE"""),"#REF!")</f>
        <v>#REF!</v>
      </c>
      <c r="AE843" s="39"/>
      <c r="AF843" s="39"/>
      <c r="AG843" s="39"/>
      <c r="AH843" s="39"/>
      <c r="AI843" s="165"/>
      <c r="AJ843" s="165"/>
      <c r="AK843" s="111"/>
      <c r="AL843" s="111"/>
      <c r="AM843" s="111"/>
      <c r="AN843" s="111"/>
      <c r="AO843" s="111"/>
      <c r="AP843" s="111"/>
      <c r="AQ843" s="116"/>
      <c r="AR843" s="116"/>
      <c r="AS843" s="116"/>
    </row>
    <row r="844">
      <c r="A844" s="42"/>
      <c r="B844" s="42"/>
      <c r="C844" s="42"/>
      <c r="D844" s="42"/>
      <c r="E844" s="42"/>
      <c r="F844" s="42"/>
      <c r="G844" s="42"/>
      <c r="H844" s="42"/>
      <c r="I844" s="42"/>
      <c r="J844" s="42"/>
      <c r="K844" s="42"/>
      <c r="L844" s="42"/>
      <c r="M844" s="42"/>
      <c r="N844" s="42"/>
      <c r="O844" s="31"/>
      <c r="P844" s="9"/>
      <c r="Q844" s="9"/>
      <c r="R844" s="179"/>
      <c r="S844" s="179"/>
      <c r="T844" s="179"/>
      <c r="U844" s="179"/>
      <c r="V844" s="180"/>
      <c r="W844" s="180"/>
      <c r="X844" s="42"/>
      <c r="Y844" s="42"/>
      <c r="Z844" s="9"/>
      <c r="AA844" s="9"/>
      <c r="AB844" s="9"/>
      <c r="AC844" s="158"/>
      <c r="AD844" s="39"/>
      <c r="AE844" s="39"/>
      <c r="AF844" s="39"/>
      <c r="AG844" s="39"/>
      <c r="AH844" s="39"/>
      <c r="AI844" s="165"/>
      <c r="AJ844" s="165"/>
      <c r="AK844" s="111"/>
      <c r="AL844" s="111"/>
      <c r="AM844" s="111"/>
      <c r="AN844" s="111"/>
      <c r="AO844" s="111"/>
      <c r="AP844" s="111"/>
      <c r="AQ844" s="116"/>
      <c r="AR844" s="116"/>
      <c r="AS844" s="116"/>
    </row>
    <row r="845">
      <c r="A845" s="42"/>
      <c r="B845" s="42"/>
      <c r="C845" s="42"/>
      <c r="D845" s="42"/>
      <c r="E845" s="42"/>
      <c r="F845" s="42"/>
      <c r="G845" s="42"/>
      <c r="H845" s="42"/>
      <c r="I845" s="42"/>
      <c r="J845" s="42"/>
      <c r="K845" s="42"/>
      <c r="L845" s="42"/>
      <c r="M845" s="42"/>
      <c r="N845" s="42"/>
      <c r="O845" s="31"/>
      <c r="P845" s="9"/>
      <c r="Q845" s="9"/>
      <c r="R845" s="179"/>
      <c r="S845" s="179"/>
      <c r="T845" s="179"/>
      <c r="U845" s="179"/>
      <c r="V845" s="180"/>
      <c r="W845" s="180"/>
      <c r="X845" s="42"/>
      <c r="Y845" s="42"/>
      <c r="Z845" s="9"/>
      <c r="AA845" s="9"/>
      <c r="AB845" s="9"/>
      <c r="AC845" s="158"/>
      <c r="AD845" s="39"/>
      <c r="AE845" s="39"/>
      <c r="AF845" s="39"/>
      <c r="AG845" s="39"/>
      <c r="AH845" s="39"/>
      <c r="AI845" s="165"/>
      <c r="AJ845" s="165"/>
      <c r="AK845" s="111"/>
      <c r="AL845" s="111"/>
      <c r="AM845" s="111"/>
      <c r="AN845" s="111"/>
      <c r="AO845" s="111"/>
      <c r="AP845" s="111"/>
      <c r="AQ845" s="116"/>
      <c r="AR845" s="116"/>
      <c r="AS845" s="116"/>
    </row>
    <row r="846">
      <c r="A846" s="42"/>
      <c r="B846" s="42"/>
      <c r="C846" s="42"/>
      <c r="D846" s="42"/>
      <c r="E846" s="42"/>
      <c r="F846" s="42"/>
      <c r="G846" s="42"/>
      <c r="H846" s="42"/>
      <c r="I846" s="42"/>
      <c r="J846" s="42"/>
      <c r="K846" s="42"/>
      <c r="L846" s="42"/>
      <c r="M846" s="42"/>
      <c r="N846" s="42"/>
      <c r="O846" s="31"/>
      <c r="P846" s="9"/>
      <c r="Q846" s="9"/>
      <c r="R846" s="179"/>
      <c r="S846" s="179"/>
      <c r="T846" s="179"/>
      <c r="U846" s="179"/>
      <c r="V846" s="180"/>
      <c r="W846" s="180"/>
      <c r="X846" s="42"/>
      <c r="Y846" s="42"/>
      <c r="Z846" s="9"/>
      <c r="AA846" s="9"/>
      <c r="AB846" s="9"/>
      <c r="AC846" s="158"/>
      <c r="AD846" s="39"/>
      <c r="AE846" s="39"/>
      <c r="AF846" s="39"/>
      <c r="AG846" s="39"/>
      <c r="AH846" s="39"/>
      <c r="AI846" s="165"/>
      <c r="AJ846" s="165"/>
      <c r="AK846" s="111"/>
      <c r="AL846" s="111"/>
      <c r="AM846" s="111"/>
      <c r="AN846" s="111"/>
      <c r="AO846" s="111"/>
      <c r="AP846" s="111"/>
      <c r="AQ846" s="116"/>
      <c r="AR846" s="116"/>
      <c r="AS846" s="116"/>
    </row>
    <row r="847">
      <c r="A847" s="42"/>
      <c r="B847" s="42"/>
      <c r="C847" s="42"/>
      <c r="D847" s="42"/>
      <c r="E847" s="42"/>
      <c r="F847" s="42"/>
      <c r="G847" s="42"/>
      <c r="H847" s="42"/>
      <c r="I847" s="42"/>
      <c r="J847" s="42"/>
      <c r="K847" s="42"/>
      <c r="L847" s="42"/>
      <c r="M847" s="42"/>
      <c r="N847" s="42"/>
      <c r="O847" s="31"/>
      <c r="P847" s="9"/>
      <c r="Q847" s="9"/>
      <c r="R847" s="179"/>
      <c r="S847" s="179"/>
      <c r="T847" s="179"/>
      <c r="U847" s="179"/>
      <c r="V847" s="180"/>
      <c r="W847" s="180"/>
      <c r="X847" s="42"/>
      <c r="Y847" s="42"/>
      <c r="Z847" s="9"/>
      <c r="AA847" s="9"/>
      <c r="AB847" s="9"/>
      <c r="AC847" s="158"/>
      <c r="AD847" s="39"/>
      <c r="AE847" s="39"/>
      <c r="AF847" s="39"/>
      <c r="AG847" s="39"/>
      <c r="AH847" s="39"/>
      <c r="AI847" s="165"/>
      <c r="AJ847" s="165"/>
      <c r="AK847" s="111"/>
      <c r="AL847" s="111"/>
      <c r="AM847" s="111"/>
      <c r="AN847" s="111"/>
      <c r="AO847" s="111"/>
      <c r="AP847" s="111"/>
      <c r="AQ847" s="116"/>
      <c r="AR847" s="116"/>
      <c r="AS847" s="116"/>
    </row>
    <row r="848">
      <c r="A848" s="42"/>
      <c r="B848" s="42"/>
      <c r="C848" s="42"/>
      <c r="D848" s="42"/>
      <c r="E848" s="42"/>
      <c r="F848" s="42"/>
      <c r="G848" s="42"/>
      <c r="H848" s="42"/>
      <c r="I848" s="42"/>
      <c r="J848" s="42"/>
      <c r="K848" s="42"/>
      <c r="L848" s="42"/>
      <c r="M848" s="42"/>
      <c r="N848" s="42"/>
      <c r="O848" s="31"/>
      <c r="P848" s="9"/>
      <c r="Q848" s="9"/>
      <c r="R848" s="179"/>
      <c r="S848" s="179"/>
      <c r="T848" s="179"/>
      <c r="U848" s="179"/>
      <c r="V848" s="180"/>
      <c r="W848" s="180"/>
      <c r="X848" s="42"/>
      <c r="Y848" s="42"/>
      <c r="Z848" s="9"/>
      <c r="AA848" s="9"/>
      <c r="AB848" s="9"/>
      <c r="AC848" s="158"/>
      <c r="AD848" s="39"/>
      <c r="AE848" s="39"/>
      <c r="AF848" s="39"/>
      <c r="AG848" s="39"/>
      <c r="AH848" s="39"/>
      <c r="AI848" s="165"/>
      <c r="AJ848" s="165"/>
      <c r="AK848" s="111"/>
      <c r="AL848" s="111"/>
      <c r="AM848" s="111"/>
      <c r="AN848" s="111"/>
      <c r="AO848" s="111"/>
      <c r="AP848" s="111"/>
      <c r="AQ848" s="116"/>
      <c r="AR848" s="116"/>
      <c r="AS848" s="116"/>
    </row>
    <row r="849">
      <c r="A849" s="42"/>
      <c r="B849" s="42"/>
      <c r="C849" s="42"/>
      <c r="D849" s="42"/>
      <c r="E849" s="42"/>
      <c r="F849" s="42"/>
      <c r="G849" s="42"/>
      <c r="H849" s="42"/>
      <c r="I849" s="42"/>
      <c r="J849" s="42"/>
      <c r="K849" s="42"/>
      <c r="L849" s="42"/>
      <c r="M849" s="42"/>
      <c r="N849" s="42"/>
      <c r="O849" s="31"/>
      <c r="P849" s="9"/>
      <c r="Q849" s="9"/>
      <c r="R849" s="179"/>
      <c r="S849" s="179"/>
      <c r="T849" s="179"/>
      <c r="U849" s="179"/>
      <c r="V849" s="180"/>
      <c r="W849" s="180"/>
      <c r="X849" s="42"/>
      <c r="Y849" s="42"/>
      <c r="Z849" s="9"/>
      <c r="AA849" s="9"/>
      <c r="AB849" s="9"/>
      <c r="AC849" s="158"/>
      <c r="AD849" s="39"/>
      <c r="AE849" s="39"/>
      <c r="AF849" s="39"/>
      <c r="AG849" s="39"/>
      <c r="AH849" s="39"/>
      <c r="AI849" s="165"/>
      <c r="AJ849" s="165"/>
      <c r="AK849" s="111"/>
      <c r="AL849" s="111"/>
      <c r="AM849" s="111"/>
      <c r="AN849" s="111"/>
      <c r="AO849" s="111"/>
      <c r="AP849" s="111"/>
      <c r="AQ849" s="116"/>
      <c r="AR849" s="116"/>
      <c r="AS849" s="116"/>
    </row>
    <row r="850">
      <c r="A850" s="42"/>
      <c r="B850" s="42"/>
      <c r="C850" s="42"/>
      <c r="D850" s="42"/>
      <c r="E850" s="42"/>
      <c r="F850" s="42"/>
      <c r="G850" s="42"/>
      <c r="H850" s="42"/>
      <c r="I850" s="42"/>
      <c r="J850" s="42"/>
      <c r="K850" s="42"/>
      <c r="L850" s="42"/>
      <c r="M850" s="42"/>
      <c r="N850" s="42"/>
      <c r="O850" s="31"/>
      <c r="P850" s="9"/>
      <c r="Q850" s="9"/>
      <c r="R850" s="179"/>
      <c r="S850" s="179"/>
      <c r="T850" s="179"/>
      <c r="U850" s="179"/>
      <c r="V850" s="180"/>
      <c r="W850" s="180"/>
      <c r="X850" s="42"/>
      <c r="Y850" s="42"/>
      <c r="Z850" s="9"/>
      <c r="AA850" s="9"/>
      <c r="AB850" s="9"/>
      <c r="AC850" s="158"/>
      <c r="AD850" s="39"/>
      <c r="AE850" s="39"/>
      <c r="AF850" s="39"/>
      <c r="AG850" s="39"/>
      <c r="AH850" s="39"/>
      <c r="AI850" s="165"/>
      <c r="AJ850" s="165"/>
      <c r="AK850" s="111"/>
      <c r="AL850" s="111"/>
      <c r="AM850" s="111"/>
      <c r="AN850" s="111"/>
      <c r="AO850" s="111"/>
      <c r="AP850" s="111"/>
      <c r="AQ850" s="116"/>
      <c r="AR850" s="116"/>
      <c r="AS850" s="116"/>
    </row>
    <row r="851">
      <c r="A851" s="42"/>
      <c r="B851" s="42"/>
      <c r="C851" s="42"/>
      <c r="D851" s="42"/>
      <c r="E851" s="42"/>
      <c r="F851" s="42"/>
      <c r="G851" s="42"/>
      <c r="H851" s="42"/>
      <c r="I851" s="42"/>
      <c r="J851" s="42"/>
      <c r="K851" s="42"/>
      <c r="L851" s="42"/>
      <c r="M851" s="42"/>
      <c r="N851" s="42"/>
      <c r="O851" s="31"/>
      <c r="P851" s="9"/>
      <c r="Q851" s="9"/>
      <c r="R851" s="179"/>
      <c r="S851" s="179"/>
      <c r="T851" s="179"/>
      <c r="U851" s="179"/>
      <c r="V851" s="180"/>
      <c r="W851" s="180"/>
      <c r="X851" s="42"/>
      <c r="Y851" s="42"/>
      <c r="Z851" s="9"/>
      <c r="AA851" s="9"/>
      <c r="AB851" s="9"/>
      <c r="AC851" s="158"/>
      <c r="AD851" s="39"/>
      <c r="AE851" s="39"/>
      <c r="AF851" s="39"/>
      <c r="AG851" s="39"/>
      <c r="AH851" s="39"/>
      <c r="AI851" s="165"/>
      <c r="AJ851" s="165"/>
      <c r="AK851" s="111"/>
      <c r="AL851" s="111"/>
      <c r="AM851" s="111"/>
      <c r="AN851" s="111"/>
      <c r="AO851" s="111"/>
      <c r="AP851" s="111"/>
      <c r="AQ851" s="116"/>
      <c r="AR851" s="116"/>
      <c r="AS851" s="116"/>
    </row>
    <row r="852">
      <c r="A852" s="42"/>
      <c r="B852" s="42"/>
      <c r="C852" s="42"/>
      <c r="D852" s="42"/>
      <c r="E852" s="42"/>
      <c r="F852" s="42"/>
      <c r="G852" s="42"/>
      <c r="H852" s="42"/>
      <c r="I852" s="42"/>
      <c r="J852" s="42"/>
      <c r="K852" s="42"/>
      <c r="L852" s="42"/>
      <c r="M852" s="42"/>
      <c r="N852" s="42"/>
      <c r="O852" s="31"/>
      <c r="P852" s="9"/>
      <c r="Q852" s="9"/>
      <c r="R852" s="179"/>
      <c r="S852" s="179"/>
      <c r="T852" s="179"/>
      <c r="U852" s="179"/>
      <c r="V852" s="180"/>
      <c r="W852" s="180"/>
      <c r="X852" s="42"/>
      <c r="Y852" s="42"/>
      <c r="Z852" s="9"/>
      <c r="AA852" s="9"/>
      <c r="AB852" s="9"/>
      <c r="AC852" s="158"/>
      <c r="AD852" s="39"/>
      <c r="AE852" s="39"/>
      <c r="AF852" s="39"/>
      <c r="AG852" s="39"/>
      <c r="AH852" s="39"/>
      <c r="AI852" s="165"/>
      <c r="AJ852" s="165"/>
      <c r="AK852" s="111"/>
      <c r="AL852" s="111"/>
      <c r="AM852" s="111"/>
      <c r="AN852" s="111"/>
      <c r="AO852" s="111"/>
      <c r="AP852" s="111"/>
      <c r="AQ852" s="116"/>
      <c r="AR852" s="116"/>
      <c r="AS852" s="116"/>
    </row>
    <row r="853">
      <c r="A853" s="42"/>
      <c r="B853" s="42"/>
      <c r="C853" s="42"/>
      <c r="D853" s="42"/>
      <c r="E853" s="42"/>
      <c r="F853" s="42"/>
      <c r="G853" s="42"/>
      <c r="H853" s="42"/>
      <c r="I853" s="42"/>
      <c r="J853" s="42"/>
      <c r="K853" s="42"/>
      <c r="L853" s="42"/>
      <c r="M853" s="42"/>
      <c r="N853" s="42"/>
      <c r="O853" s="31"/>
      <c r="P853" s="9"/>
      <c r="Q853" s="9"/>
      <c r="R853" s="179"/>
      <c r="S853" s="179"/>
      <c r="T853" s="179"/>
      <c r="U853" s="179"/>
      <c r="V853" s="180"/>
      <c r="W853" s="180"/>
      <c r="X853" s="42"/>
      <c r="Y853" s="42"/>
      <c r="Z853" s="9"/>
      <c r="AA853" s="9"/>
      <c r="AB853" s="9"/>
      <c r="AC853" s="158"/>
      <c r="AD853" s="39"/>
      <c r="AE853" s="39"/>
      <c r="AF853" s="39"/>
      <c r="AG853" s="39"/>
      <c r="AH853" s="39"/>
      <c r="AI853" s="165"/>
      <c r="AJ853" s="165"/>
      <c r="AK853" s="111"/>
      <c r="AL853" s="111"/>
      <c r="AM853" s="111"/>
      <c r="AN853" s="111"/>
      <c r="AO853" s="111"/>
      <c r="AP853" s="111"/>
      <c r="AQ853" s="116"/>
      <c r="AR853" s="116"/>
      <c r="AS853" s="116"/>
    </row>
    <row r="854">
      <c r="A854" s="42"/>
      <c r="B854" s="42"/>
      <c r="C854" s="42"/>
      <c r="D854" s="42"/>
      <c r="E854" s="42"/>
      <c r="F854" s="42"/>
      <c r="G854" s="42"/>
      <c r="H854" s="42"/>
      <c r="I854" s="42"/>
      <c r="J854" s="42"/>
      <c r="K854" s="42"/>
      <c r="L854" s="42"/>
      <c r="M854" s="42"/>
      <c r="N854" s="42"/>
      <c r="O854" s="31"/>
      <c r="P854" s="9"/>
      <c r="Q854" s="9"/>
      <c r="R854" s="179"/>
      <c r="S854" s="179"/>
      <c r="T854" s="179"/>
      <c r="U854" s="179"/>
      <c r="V854" s="180"/>
      <c r="W854" s="180"/>
      <c r="X854" s="42"/>
      <c r="Y854" s="42"/>
      <c r="Z854" s="9"/>
      <c r="AA854" s="9"/>
      <c r="AB854" s="9"/>
      <c r="AC854" s="158"/>
      <c r="AD854" s="39"/>
      <c r="AE854" s="39"/>
      <c r="AF854" s="39"/>
      <c r="AG854" s="39"/>
      <c r="AH854" s="39"/>
      <c r="AI854" s="165"/>
      <c r="AJ854" s="165"/>
      <c r="AK854" s="111"/>
      <c r="AL854" s="111"/>
      <c r="AM854" s="111"/>
      <c r="AN854" s="111"/>
      <c r="AO854" s="111"/>
      <c r="AP854" s="111"/>
      <c r="AQ854" s="116"/>
      <c r="AR854" s="116"/>
      <c r="AS854" s="116"/>
    </row>
    <row r="855">
      <c r="A855" s="42"/>
      <c r="B855" s="42"/>
      <c r="C855" s="42"/>
      <c r="D855" s="42"/>
      <c r="E855" s="42"/>
      <c r="F855" s="42"/>
      <c r="G855" s="42"/>
      <c r="H855" s="42"/>
      <c r="I855" s="42"/>
      <c r="J855" s="42"/>
      <c r="K855" s="42"/>
      <c r="L855" s="42"/>
      <c r="M855" s="42"/>
      <c r="N855" s="42"/>
      <c r="O855" s="31"/>
      <c r="P855" s="9"/>
      <c r="Q855" s="9"/>
      <c r="R855" s="179"/>
      <c r="S855" s="179"/>
      <c r="T855" s="179"/>
      <c r="U855" s="179"/>
      <c r="V855" s="180"/>
      <c r="W855" s="180"/>
      <c r="X855" s="42"/>
      <c r="Y855" s="42"/>
      <c r="Z855" s="9"/>
      <c r="AA855" s="9"/>
      <c r="AB855" s="9"/>
      <c r="AC855" s="158"/>
      <c r="AD855" s="39"/>
      <c r="AE855" s="39"/>
      <c r="AF855" s="39"/>
      <c r="AG855" s="39"/>
      <c r="AH855" s="39"/>
      <c r="AI855" s="165"/>
      <c r="AJ855" s="165"/>
      <c r="AK855" s="111"/>
      <c r="AL855" s="111"/>
      <c r="AM855" s="111"/>
      <c r="AN855" s="111"/>
      <c r="AO855" s="111"/>
      <c r="AP855" s="111"/>
      <c r="AQ855" s="116"/>
      <c r="AR855" s="116"/>
      <c r="AS855" s="116"/>
    </row>
    <row r="856">
      <c r="A856" s="42"/>
      <c r="B856" s="42"/>
      <c r="C856" s="42"/>
      <c r="D856" s="42"/>
      <c r="E856" s="42"/>
      <c r="F856" s="42"/>
      <c r="G856" s="42"/>
      <c r="H856" s="42"/>
      <c r="I856" s="42"/>
      <c r="J856" s="42"/>
      <c r="K856" s="42"/>
      <c r="L856" s="42"/>
      <c r="M856" s="42"/>
      <c r="N856" s="42"/>
      <c r="O856" s="31"/>
      <c r="P856" s="9"/>
      <c r="Q856" s="9"/>
      <c r="R856" s="179"/>
      <c r="S856" s="179"/>
      <c r="T856" s="179"/>
      <c r="U856" s="179"/>
      <c r="V856" s="180"/>
      <c r="W856" s="180"/>
      <c r="X856" s="42"/>
      <c r="Y856" s="42"/>
      <c r="Z856" s="9"/>
      <c r="AA856" s="9"/>
      <c r="AB856" s="9"/>
      <c r="AC856" s="158"/>
      <c r="AD856" s="39"/>
      <c r="AE856" s="39"/>
      <c r="AF856" s="39"/>
      <c r="AG856" s="39"/>
      <c r="AH856" s="39"/>
      <c r="AI856" s="165"/>
      <c r="AJ856" s="165"/>
      <c r="AK856" s="111"/>
      <c r="AL856" s="111"/>
      <c r="AM856" s="111"/>
      <c r="AN856" s="111"/>
      <c r="AO856" s="111"/>
      <c r="AP856" s="111"/>
      <c r="AQ856" s="116"/>
      <c r="AR856" s="116"/>
      <c r="AS856" s="116"/>
    </row>
    <row r="857">
      <c r="A857" s="42"/>
      <c r="B857" s="42"/>
      <c r="C857" s="42"/>
      <c r="D857" s="42"/>
      <c r="E857" s="42"/>
      <c r="F857" s="42"/>
      <c r="G857" s="42"/>
      <c r="H857" s="42"/>
      <c r="I857" s="42"/>
      <c r="J857" s="42"/>
      <c r="K857" s="42"/>
      <c r="L857" s="42"/>
      <c r="M857" s="42"/>
      <c r="N857" s="42"/>
      <c r="O857" s="31"/>
      <c r="P857" s="9"/>
      <c r="Q857" s="9"/>
      <c r="R857" s="179"/>
      <c r="S857" s="179"/>
      <c r="T857" s="179"/>
      <c r="U857" s="179"/>
      <c r="V857" s="180"/>
      <c r="W857" s="180"/>
      <c r="X857" s="42"/>
      <c r="Y857" s="42"/>
      <c r="Z857" s="9"/>
      <c r="AA857" s="9"/>
      <c r="AB857" s="9"/>
      <c r="AC857" s="158"/>
      <c r="AD857" s="39"/>
      <c r="AE857" s="39"/>
      <c r="AF857" s="39"/>
      <c r="AG857" s="39"/>
      <c r="AH857" s="39"/>
      <c r="AI857" s="165"/>
      <c r="AJ857" s="165"/>
      <c r="AK857" s="111"/>
      <c r="AL857" s="111"/>
      <c r="AM857" s="111"/>
      <c r="AN857" s="111"/>
      <c r="AO857" s="111"/>
      <c r="AP857" s="111"/>
      <c r="AQ857" s="116"/>
      <c r="AR857" s="116"/>
      <c r="AS857" s="116"/>
    </row>
    <row r="858">
      <c r="A858" s="42"/>
      <c r="B858" s="42"/>
      <c r="C858" s="42"/>
      <c r="D858" s="42"/>
      <c r="E858" s="42"/>
      <c r="F858" s="42"/>
      <c r="G858" s="42"/>
      <c r="H858" s="42"/>
      <c r="I858" s="42"/>
      <c r="J858" s="42"/>
      <c r="K858" s="42"/>
      <c r="L858" s="42"/>
      <c r="M858" s="42"/>
      <c r="N858" s="42"/>
      <c r="O858" s="31"/>
      <c r="P858" s="9"/>
      <c r="Q858" s="9"/>
      <c r="R858" s="179"/>
      <c r="S858" s="179"/>
      <c r="T858" s="179"/>
      <c r="U858" s="179"/>
      <c r="V858" s="180"/>
      <c r="W858" s="180"/>
      <c r="X858" s="42"/>
      <c r="Y858" s="42"/>
      <c r="Z858" s="9"/>
      <c r="AA858" s="9"/>
      <c r="AB858" s="9"/>
      <c r="AC858" s="158"/>
      <c r="AD858" s="39"/>
      <c r="AE858" s="39"/>
      <c r="AF858" s="39"/>
      <c r="AG858" s="39"/>
      <c r="AH858" s="39"/>
      <c r="AI858" s="165"/>
      <c r="AJ858" s="165"/>
      <c r="AK858" s="111"/>
      <c r="AL858" s="111"/>
      <c r="AM858" s="111"/>
      <c r="AN858" s="111"/>
      <c r="AO858" s="111"/>
      <c r="AP858" s="111"/>
      <c r="AQ858" s="116"/>
      <c r="AR858" s="116"/>
      <c r="AS858" s="116"/>
    </row>
    <row r="859">
      <c r="A859" s="42"/>
      <c r="B859" s="42"/>
      <c r="C859" s="42"/>
      <c r="D859" s="42"/>
      <c r="E859" s="42"/>
      <c r="F859" s="42"/>
      <c r="G859" s="42"/>
      <c r="H859" s="42"/>
      <c r="I859" s="42"/>
      <c r="J859" s="42"/>
      <c r="K859" s="42"/>
      <c r="L859" s="42"/>
      <c r="M859" s="42"/>
      <c r="N859" s="42"/>
      <c r="O859" s="31"/>
      <c r="P859" s="9"/>
      <c r="Q859" s="9"/>
      <c r="R859" s="179"/>
      <c r="S859" s="179"/>
      <c r="T859" s="179"/>
      <c r="U859" s="179"/>
      <c r="V859" s="180"/>
      <c r="W859" s="180"/>
      <c r="X859" s="42"/>
      <c r="Y859" s="42"/>
      <c r="Z859" s="9"/>
      <c r="AA859" s="9"/>
      <c r="AB859" s="9"/>
      <c r="AC859" s="158"/>
      <c r="AD859" s="39"/>
      <c r="AE859" s="39"/>
      <c r="AF859" s="39"/>
      <c r="AG859" s="39"/>
      <c r="AH859" s="39"/>
      <c r="AI859" s="165"/>
      <c r="AJ859" s="165"/>
      <c r="AK859" s="111"/>
      <c r="AL859" s="111"/>
      <c r="AM859" s="111"/>
      <c r="AN859" s="111"/>
      <c r="AO859" s="111"/>
      <c r="AP859" s="111"/>
      <c r="AQ859" s="116"/>
      <c r="AR859" s="116"/>
      <c r="AS859" s="116"/>
    </row>
    <row r="860">
      <c r="A860" s="42"/>
      <c r="B860" s="42"/>
      <c r="C860" s="42"/>
      <c r="D860" s="42"/>
      <c r="E860" s="42"/>
      <c r="F860" s="42"/>
      <c r="G860" s="42"/>
      <c r="H860" s="42"/>
      <c r="I860" s="42"/>
      <c r="J860" s="42"/>
      <c r="K860" s="42"/>
      <c r="L860" s="42"/>
      <c r="M860" s="42"/>
      <c r="N860" s="42"/>
      <c r="O860" s="31"/>
      <c r="P860" s="9"/>
      <c r="Q860" s="9"/>
      <c r="R860" s="179"/>
      <c r="S860" s="179"/>
      <c r="T860" s="179"/>
      <c r="U860" s="179"/>
      <c r="V860" s="180"/>
      <c r="W860" s="180"/>
      <c r="X860" s="42"/>
      <c r="Y860" s="42"/>
      <c r="Z860" s="9"/>
      <c r="AA860" s="9"/>
      <c r="AB860" s="9"/>
      <c r="AC860" s="158"/>
      <c r="AD860" s="39"/>
      <c r="AE860" s="39"/>
      <c r="AF860" s="39"/>
      <c r="AG860" s="39"/>
      <c r="AH860" s="39"/>
      <c r="AI860" s="165"/>
      <c r="AJ860" s="165"/>
      <c r="AK860" s="111"/>
      <c r="AL860" s="111"/>
      <c r="AM860" s="111"/>
      <c r="AN860" s="111"/>
      <c r="AO860" s="111"/>
      <c r="AP860" s="111"/>
      <c r="AQ860" s="116"/>
      <c r="AR860" s="116"/>
      <c r="AS860" s="116"/>
    </row>
    <row r="861">
      <c r="A861" s="42"/>
      <c r="B861" s="42"/>
      <c r="C861" s="42"/>
      <c r="D861" s="42"/>
      <c r="E861" s="42"/>
      <c r="F861" s="42"/>
      <c r="G861" s="42"/>
      <c r="H861" s="42"/>
      <c r="I861" s="42"/>
      <c r="J861" s="42"/>
      <c r="K861" s="42"/>
      <c r="L861" s="42"/>
      <c r="M861" s="42"/>
      <c r="N861" s="42"/>
      <c r="O861" s="31"/>
      <c r="P861" s="9"/>
      <c r="Q861" s="9"/>
      <c r="R861" s="179"/>
      <c r="S861" s="179"/>
      <c r="T861" s="179"/>
      <c r="U861" s="179"/>
      <c r="V861" s="180"/>
      <c r="W861" s="180"/>
      <c r="X861" s="42"/>
      <c r="Y861" s="42"/>
      <c r="Z861" s="9"/>
      <c r="AA861" s="9"/>
      <c r="AB861" s="9"/>
      <c r="AC861" s="158"/>
      <c r="AD861" s="39"/>
      <c r="AE861" s="39"/>
      <c r="AF861" s="39"/>
      <c r="AG861" s="39"/>
      <c r="AH861" s="39"/>
      <c r="AI861" s="165"/>
      <c r="AJ861" s="165"/>
      <c r="AK861" s="111"/>
      <c r="AL861" s="111"/>
      <c r="AM861" s="111"/>
      <c r="AN861" s="111"/>
      <c r="AO861" s="111"/>
      <c r="AP861" s="111"/>
      <c r="AQ861" s="116"/>
      <c r="AR861" s="116"/>
      <c r="AS861" s="116"/>
    </row>
    <row r="862">
      <c r="A862" s="42"/>
      <c r="B862" s="42"/>
      <c r="C862" s="42"/>
      <c r="D862" s="42"/>
      <c r="E862" s="42"/>
      <c r="F862" s="42"/>
      <c r="G862" s="42"/>
      <c r="H862" s="42"/>
      <c r="I862" s="42"/>
      <c r="J862" s="42"/>
      <c r="K862" s="42"/>
      <c r="L862" s="42"/>
      <c r="M862" s="42"/>
      <c r="N862" s="42"/>
      <c r="O862" s="31"/>
      <c r="P862" s="9"/>
      <c r="Q862" s="9"/>
      <c r="R862" s="179"/>
      <c r="S862" s="179"/>
      <c r="T862" s="179"/>
      <c r="U862" s="179"/>
      <c r="V862" s="180"/>
      <c r="W862" s="180"/>
      <c r="X862" s="42"/>
      <c r="Y862" s="42"/>
      <c r="Z862" s="9"/>
      <c r="AA862" s="9"/>
      <c r="AB862" s="9"/>
      <c r="AC862" s="158"/>
      <c r="AD862" s="39"/>
      <c r="AE862" s="39"/>
      <c r="AF862" s="39"/>
      <c r="AG862" s="39"/>
      <c r="AH862" s="39"/>
      <c r="AI862" s="165"/>
      <c r="AJ862" s="165"/>
      <c r="AK862" s="111"/>
      <c r="AL862" s="111"/>
      <c r="AM862" s="111"/>
      <c r="AN862" s="111"/>
      <c r="AO862" s="111"/>
      <c r="AP862" s="111"/>
      <c r="AQ862" s="116"/>
      <c r="AR862" s="116"/>
      <c r="AS862" s="116"/>
    </row>
    <row r="863">
      <c r="A863" s="42"/>
      <c r="B863" s="42"/>
      <c r="C863" s="42"/>
      <c r="D863" s="42"/>
      <c r="E863" s="42"/>
      <c r="F863" s="42"/>
      <c r="G863" s="42"/>
      <c r="H863" s="42"/>
      <c r="I863" s="42"/>
      <c r="J863" s="42"/>
      <c r="K863" s="42"/>
      <c r="L863" s="42"/>
      <c r="M863" s="42"/>
      <c r="N863" s="42"/>
      <c r="O863" s="31"/>
      <c r="P863" s="9"/>
      <c r="Q863" s="9"/>
      <c r="R863" s="179"/>
      <c r="S863" s="179"/>
      <c r="T863" s="179"/>
      <c r="U863" s="179"/>
      <c r="V863" s="180"/>
      <c r="W863" s="180"/>
      <c r="X863" s="42"/>
      <c r="Y863" s="42"/>
      <c r="Z863" s="9"/>
      <c r="AA863" s="9"/>
      <c r="AB863" s="9"/>
      <c r="AC863" s="158"/>
      <c r="AD863" s="39"/>
      <c r="AE863" s="39"/>
      <c r="AF863" s="39"/>
      <c r="AG863" s="39"/>
      <c r="AH863" s="39"/>
      <c r="AI863" s="165"/>
      <c r="AJ863" s="165"/>
      <c r="AK863" s="111"/>
      <c r="AL863" s="111"/>
      <c r="AM863" s="111"/>
      <c r="AN863" s="111"/>
      <c r="AO863" s="111"/>
      <c r="AP863" s="111"/>
      <c r="AQ863" s="116"/>
      <c r="AR863" s="116"/>
      <c r="AS863" s="116"/>
    </row>
    <row r="864">
      <c r="A864" s="42"/>
      <c r="B864" s="42"/>
      <c r="C864" s="42"/>
      <c r="D864" s="42"/>
      <c r="E864" s="42"/>
      <c r="F864" s="42"/>
      <c r="G864" s="42"/>
      <c r="H864" s="42"/>
      <c r="I864" s="42"/>
      <c r="J864" s="42"/>
      <c r="K864" s="42"/>
      <c r="L864" s="42"/>
      <c r="M864" s="42"/>
      <c r="N864" s="42"/>
      <c r="O864" s="31"/>
      <c r="P864" s="9"/>
      <c r="Q864" s="9"/>
      <c r="R864" s="179"/>
      <c r="S864" s="179"/>
      <c r="T864" s="179"/>
      <c r="U864" s="179"/>
      <c r="V864" s="180"/>
      <c r="W864" s="180"/>
      <c r="X864" s="42"/>
      <c r="Y864" s="42"/>
      <c r="Z864" s="9"/>
      <c r="AA864" s="9"/>
      <c r="AB864" s="9"/>
      <c r="AC864" s="158"/>
      <c r="AD864" s="39"/>
      <c r="AE864" s="39"/>
      <c r="AF864" s="39"/>
      <c r="AG864" s="39"/>
      <c r="AH864" s="39"/>
      <c r="AI864" s="165"/>
      <c r="AJ864" s="165"/>
      <c r="AK864" s="111"/>
      <c r="AL864" s="111"/>
      <c r="AM864" s="111"/>
      <c r="AN864" s="111"/>
      <c r="AO864" s="111"/>
      <c r="AP864" s="111"/>
      <c r="AQ864" s="116"/>
      <c r="AR864" s="116"/>
      <c r="AS864" s="116"/>
    </row>
    <row r="865">
      <c r="A865" s="42"/>
      <c r="B865" s="42"/>
      <c r="C865" s="42"/>
      <c r="D865" s="42"/>
      <c r="E865" s="42"/>
      <c r="F865" s="42"/>
      <c r="G865" s="42"/>
      <c r="H865" s="42"/>
      <c r="I865" s="42"/>
      <c r="J865" s="42"/>
      <c r="K865" s="42"/>
      <c r="L865" s="42"/>
      <c r="M865" s="42"/>
      <c r="N865" s="42"/>
      <c r="O865" s="31"/>
      <c r="P865" s="9"/>
      <c r="Q865" s="9"/>
      <c r="R865" s="179"/>
      <c r="S865" s="179"/>
      <c r="T865" s="179"/>
      <c r="U865" s="179"/>
      <c r="V865" s="180"/>
      <c r="W865" s="180"/>
      <c r="X865" s="42"/>
      <c r="Y865" s="42"/>
      <c r="Z865" s="9"/>
      <c r="AA865" s="9"/>
      <c r="AB865" s="9"/>
      <c r="AC865" s="158"/>
      <c r="AD865" s="39"/>
      <c r="AE865" s="39"/>
      <c r="AF865" s="39"/>
      <c r="AG865" s="39"/>
      <c r="AH865" s="39"/>
      <c r="AI865" s="165"/>
      <c r="AJ865" s="165"/>
      <c r="AK865" s="111"/>
      <c r="AL865" s="111"/>
      <c r="AM865" s="111"/>
      <c r="AN865" s="111"/>
      <c r="AO865" s="111"/>
      <c r="AP865" s="111"/>
      <c r="AQ865" s="116"/>
      <c r="AR865" s="116"/>
      <c r="AS865" s="116"/>
    </row>
    <row r="866">
      <c r="A866" s="42"/>
      <c r="B866" s="42"/>
      <c r="C866" s="42"/>
      <c r="D866" s="42"/>
      <c r="E866" s="42"/>
      <c r="F866" s="42"/>
      <c r="G866" s="42"/>
      <c r="H866" s="42"/>
      <c r="I866" s="42"/>
      <c r="J866" s="42"/>
      <c r="K866" s="42"/>
      <c r="L866" s="42"/>
      <c r="M866" s="42"/>
      <c r="N866" s="42"/>
      <c r="O866" s="31"/>
      <c r="P866" s="9"/>
      <c r="Q866" s="9"/>
      <c r="R866" s="179"/>
      <c r="S866" s="179"/>
      <c r="T866" s="179"/>
      <c r="U866" s="179"/>
      <c r="V866" s="180"/>
      <c r="W866" s="180"/>
      <c r="X866" s="42"/>
      <c r="Y866" s="42"/>
      <c r="Z866" s="9"/>
      <c r="AA866" s="9"/>
      <c r="AB866" s="9"/>
      <c r="AC866" s="158"/>
      <c r="AD866" s="39"/>
      <c r="AE866" s="39"/>
      <c r="AF866" s="39"/>
      <c r="AG866" s="39"/>
      <c r="AH866" s="39"/>
      <c r="AI866" s="165"/>
      <c r="AJ866" s="165"/>
      <c r="AK866" s="111"/>
      <c r="AL866" s="111"/>
      <c r="AM866" s="111"/>
      <c r="AN866" s="111"/>
      <c r="AO866" s="111"/>
      <c r="AP866" s="111"/>
      <c r="AQ866" s="116"/>
      <c r="AR866" s="116"/>
      <c r="AS866" s="116"/>
    </row>
    <row r="867">
      <c r="A867" s="42"/>
      <c r="B867" s="42"/>
      <c r="C867" s="42"/>
      <c r="D867" s="42"/>
      <c r="E867" s="42"/>
      <c r="F867" s="42"/>
      <c r="G867" s="42"/>
      <c r="H867" s="42"/>
      <c r="I867" s="42"/>
      <c r="J867" s="42"/>
      <c r="K867" s="42"/>
      <c r="L867" s="42"/>
      <c r="M867" s="42"/>
      <c r="N867" s="42"/>
      <c r="O867" s="31"/>
      <c r="P867" s="9"/>
      <c r="Q867" s="9"/>
      <c r="R867" s="179"/>
      <c r="S867" s="179"/>
      <c r="T867" s="179"/>
      <c r="U867" s="179"/>
      <c r="V867" s="180"/>
      <c r="W867" s="180"/>
      <c r="X867" s="42"/>
      <c r="Y867" s="42"/>
      <c r="Z867" s="9"/>
      <c r="AA867" s="9"/>
      <c r="AB867" s="9"/>
      <c r="AC867" s="158"/>
      <c r="AD867" s="39"/>
      <c r="AE867" s="39"/>
      <c r="AF867" s="39"/>
      <c r="AG867" s="39"/>
      <c r="AH867" s="39"/>
      <c r="AI867" s="165"/>
      <c r="AJ867" s="165"/>
      <c r="AK867" s="111"/>
      <c r="AL867" s="111"/>
      <c r="AM867" s="111"/>
      <c r="AN867" s="111"/>
      <c r="AO867" s="111"/>
      <c r="AP867" s="111"/>
      <c r="AQ867" s="116"/>
      <c r="AR867" s="116"/>
      <c r="AS867" s="116"/>
    </row>
    <row r="868">
      <c r="A868" s="42"/>
      <c r="B868" s="42"/>
      <c r="C868" s="42"/>
      <c r="D868" s="42"/>
      <c r="E868" s="42"/>
      <c r="F868" s="42"/>
      <c r="G868" s="42"/>
      <c r="H868" s="42"/>
      <c r="I868" s="42"/>
      <c r="J868" s="42"/>
      <c r="K868" s="42"/>
      <c r="L868" s="42"/>
      <c r="M868" s="42"/>
      <c r="N868" s="42"/>
      <c r="O868" s="31"/>
      <c r="P868" s="9"/>
      <c r="Q868" s="9"/>
      <c r="R868" s="179"/>
      <c r="S868" s="179"/>
      <c r="T868" s="179"/>
      <c r="U868" s="179"/>
      <c r="V868" s="180"/>
      <c r="W868" s="180"/>
      <c r="X868" s="42"/>
      <c r="Y868" s="42"/>
      <c r="Z868" s="9"/>
      <c r="AA868" s="9"/>
      <c r="AB868" s="9"/>
      <c r="AC868" s="158"/>
      <c r="AD868" s="39"/>
      <c r="AE868" s="39"/>
      <c r="AF868" s="39"/>
      <c r="AG868" s="39"/>
      <c r="AH868" s="39"/>
      <c r="AI868" s="165"/>
      <c r="AJ868" s="165"/>
      <c r="AK868" s="111"/>
      <c r="AL868" s="111"/>
      <c r="AM868" s="111"/>
      <c r="AN868" s="111"/>
      <c r="AO868" s="111"/>
      <c r="AP868" s="111"/>
      <c r="AQ868" s="116"/>
      <c r="AR868" s="116"/>
      <c r="AS868" s="116"/>
    </row>
    <row r="869">
      <c r="A869" s="42"/>
      <c r="B869" s="42"/>
      <c r="C869" s="42"/>
      <c r="D869" s="42"/>
      <c r="E869" s="42"/>
      <c r="F869" s="42"/>
      <c r="G869" s="42"/>
      <c r="H869" s="42"/>
      <c r="I869" s="42"/>
      <c r="J869" s="42"/>
      <c r="K869" s="42"/>
      <c r="L869" s="42"/>
      <c r="M869" s="42"/>
      <c r="N869" s="42"/>
      <c r="O869" s="31"/>
      <c r="P869" s="9"/>
      <c r="Q869" s="9"/>
      <c r="R869" s="179"/>
      <c r="S869" s="179"/>
      <c r="T869" s="179"/>
      <c r="U869" s="179"/>
      <c r="V869" s="180"/>
      <c r="W869" s="180"/>
      <c r="X869" s="42"/>
      <c r="Y869" s="42"/>
      <c r="Z869" s="9"/>
      <c r="AA869" s="9"/>
      <c r="AB869" s="9"/>
      <c r="AC869" s="158"/>
      <c r="AD869" s="39"/>
      <c r="AE869" s="39"/>
      <c r="AF869" s="39"/>
      <c r="AG869" s="39"/>
      <c r="AH869" s="39"/>
      <c r="AI869" s="165"/>
      <c r="AJ869" s="165"/>
      <c r="AK869" s="111"/>
      <c r="AL869" s="111"/>
      <c r="AM869" s="111"/>
      <c r="AN869" s="111"/>
      <c r="AO869" s="111"/>
      <c r="AP869" s="111"/>
      <c r="AQ869" s="116"/>
      <c r="AR869" s="116"/>
      <c r="AS869" s="116"/>
    </row>
    <row r="870">
      <c r="A870" s="42"/>
      <c r="B870" s="42"/>
      <c r="C870" s="42"/>
      <c r="D870" s="42"/>
      <c r="E870" s="42"/>
      <c r="F870" s="42"/>
      <c r="G870" s="42"/>
      <c r="H870" s="42"/>
      <c r="I870" s="42"/>
      <c r="J870" s="42"/>
      <c r="K870" s="42"/>
      <c r="L870" s="42"/>
      <c r="M870" s="42"/>
      <c r="N870" s="42"/>
      <c r="O870" s="31"/>
      <c r="P870" s="9"/>
      <c r="Q870" s="9"/>
      <c r="R870" s="179"/>
      <c r="S870" s="179"/>
      <c r="T870" s="179"/>
      <c r="U870" s="179"/>
      <c r="V870" s="180"/>
      <c r="W870" s="180"/>
      <c r="X870" s="42"/>
      <c r="Y870" s="42"/>
      <c r="Z870" s="9"/>
      <c r="AA870" s="9"/>
      <c r="AB870" s="9"/>
      <c r="AC870" s="158"/>
      <c r="AD870" s="39"/>
      <c r="AE870" s="39"/>
      <c r="AF870" s="39"/>
      <c r="AG870" s="39"/>
      <c r="AH870" s="39"/>
      <c r="AI870" s="165"/>
      <c r="AJ870" s="165"/>
      <c r="AK870" s="111"/>
      <c r="AL870" s="111"/>
      <c r="AM870" s="111"/>
      <c r="AN870" s="111"/>
      <c r="AO870" s="111"/>
      <c r="AP870" s="111"/>
      <c r="AQ870" s="116"/>
      <c r="AR870" s="116"/>
      <c r="AS870" s="116"/>
    </row>
    <row r="871">
      <c r="A871" s="42"/>
      <c r="B871" s="42"/>
      <c r="C871" s="42"/>
      <c r="D871" s="42"/>
      <c r="E871" s="42"/>
      <c r="F871" s="42"/>
      <c r="G871" s="42"/>
      <c r="H871" s="42"/>
      <c r="I871" s="42"/>
      <c r="J871" s="42"/>
      <c r="K871" s="42"/>
      <c r="L871" s="42"/>
      <c r="M871" s="42"/>
      <c r="N871" s="42"/>
      <c r="O871" s="31"/>
      <c r="P871" s="9"/>
      <c r="Q871" s="9"/>
      <c r="R871" s="179"/>
      <c r="S871" s="179"/>
      <c r="T871" s="179"/>
      <c r="U871" s="179"/>
      <c r="V871" s="180"/>
      <c r="W871" s="180"/>
      <c r="X871" s="42"/>
      <c r="Y871" s="42"/>
      <c r="Z871" s="9"/>
      <c r="AA871" s="9"/>
      <c r="AB871" s="9"/>
      <c r="AC871" s="158"/>
      <c r="AD871" s="39"/>
      <c r="AE871" s="39"/>
      <c r="AF871" s="39"/>
      <c r="AG871" s="39"/>
      <c r="AH871" s="39"/>
      <c r="AI871" s="165"/>
      <c r="AJ871" s="165"/>
      <c r="AK871" s="111"/>
      <c r="AL871" s="111"/>
      <c r="AM871" s="111"/>
      <c r="AN871" s="111"/>
      <c r="AO871" s="111"/>
      <c r="AP871" s="111"/>
      <c r="AQ871" s="116"/>
      <c r="AR871" s="116"/>
      <c r="AS871" s="116"/>
    </row>
    <row r="872">
      <c r="A872" s="42"/>
      <c r="B872" s="42"/>
      <c r="C872" s="42"/>
      <c r="D872" s="42"/>
      <c r="E872" s="42"/>
      <c r="F872" s="42"/>
      <c r="G872" s="42"/>
      <c r="H872" s="42"/>
      <c r="I872" s="42"/>
      <c r="J872" s="42"/>
      <c r="K872" s="42"/>
      <c r="L872" s="42"/>
      <c r="M872" s="42"/>
      <c r="N872" s="42"/>
      <c r="O872" s="31"/>
      <c r="P872" s="9"/>
      <c r="Q872" s="9"/>
      <c r="R872" s="179"/>
      <c r="S872" s="179"/>
      <c r="T872" s="179"/>
      <c r="U872" s="179"/>
      <c r="V872" s="180"/>
      <c r="W872" s="180"/>
      <c r="X872" s="42"/>
      <c r="Y872" s="42"/>
      <c r="Z872" s="9"/>
      <c r="AA872" s="9"/>
      <c r="AB872" s="9"/>
      <c r="AC872" s="158"/>
      <c r="AD872" s="39"/>
      <c r="AE872" s="39"/>
      <c r="AF872" s="39"/>
      <c r="AG872" s="39"/>
      <c r="AH872" s="39"/>
      <c r="AI872" s="165"/>
      <c r="AJ872" s="165"/>
      <c r="AK872" s="111"/>
      <c r="AL872" s="111"/>
      <c r="AM872" s="111"/>
      <c r="AN872" s="111"/>
      <c r="AO872" s="111"/>
      <c r="AP872" s="111"/>
      <c r="AQ872" s="116"/>
      <c r="AR872" s="116"/>
      <c r="AS872" s="116"/>
    </row>
    <row r="873">
      <c r="A873" s="42"/>
      <c r="B873" s="42"/>
      <c r="C873" s="42"/>
      <c r="D873" s="42"/>
      <c r="E873" s="42"/>
      <c r="F873" s="42"/>
      <c r="G873" s="42"/>
      <c r="H873" s="42"/>
      <c r="I873" s="42"/>
      <c r="J873" s="42"/>
      <c r="K873" s="42"/>
      <c r="L873" s="42"/>
      <c r="M873" s="42"/>
      <c r="N873" s="42"/>
      <c r="O873" s="31"/>
      <c r="P873" s="9"/>
      <c r="Q873" s="9"/>
      <c r="R873" s="179"/>
      <c r="S873" s="179"/>
      <c r="T873" s="179"/>
      <c r="U873" s="179"/>
      <c r="V873" s="180"/>
      <c r="W873" s="180"/>
      <c r="X873" s="42"/>
      <c r="Y873" s="42"/>
      <c r="Z873" s="9"/>
      <c r="AA873" s="9"/>
      <c r="AB873" s="9"/>
      <c r="AC873" s="158"/>
      <c r="AD873" s="39"/>
      <c r="AE873" s="39"/>
      <c r="AF873" s="39"/>
      <c r="AG873" s="39"/>
      <c r="AH873" s="39"/>
      <c r="AI873" s="165"/>
      <c r="AJ873" s="165"/>
      <c r="AK873" s="111"/>
      <c r="AL873" s="111"/>
      <c r="AM873" s="111"/>
      <c r="AN873" s="111"/>
      <c r="AO873" s="111"/>
      <c r="AP873" s="111"/>
      <c r="AQ873" s="116"/>
      <c r="AR873" s="116"/>
      <c r="AS873" s="116"/>
    </row>
    <row r="874">
      <c r="A874" s="42"/>
      <c r="B874" s="42"/>
      <c r="C874" s="42"/>
      <c r="D874" s="42"/>
      <c r="E874" s="42"/>
      <c r="F874" s="42"/>
      <c r="G874" s="42"/>
      <c r="H874" s="42"/>
      <c r="I874" s="42"/>
      <c r="J874" s="42"/>
      <c r="K874" s="42"/>
      <c r="L874" s="42"/>
      <c r="M874" s="42"/>
      <c r="N874" s="42"/>
      <c r="O874" s="31"/>
      <c r="P874" s="9"/>
      <c r="Q874" s="9"/>
      <c r="R874" s="179"/>
      <c r="S874" s="179"/>
      <c r="T874" s="179"/>
      <c r="U874" s="179"/>
      <c r="V874" s="180"/>
      <c r="W874" s="180"/>
      <c r="X874" s="42"/>
      <c r="Y874" s="42"/>
      <c r="Z874" s="9"/>
      <c r="AA874" s="9"/>
      <c r="AB874" s="9"/>
      <c r="AC874" s="158"/>
      <c r="AD874" s="39"/>
      <c r="AE874" s="39"/>
      <c r="AF874" s="39"/>
      <c r="AG874" s="39"/>
      <c r="AH874" s="39"/>
      <c r="AI874" s="165"/>
      <c r="AJ874" s="165"/>
      <c r="AK874" s="111"/>
      <c r="AL874" s="111"/>
      <c r="AM874" s="111"/>
      <c r="AN874" s="111"/>
      <c r="AO874" s="111"/>
      <c r="AP874" s="111"/>
      <c r="AQ874" s="116"/>
      <c r="AR874" s="116"/>
      <c r="AS874" s="116"/>
    </row>
    <row r="875">
      <c r="A875" s="42"/>
      <c r="B875" s="42"/>
      <c r="C875" s="42"/>
      <c r="D875" s="42"/>
      <c r="E875" s="42"/>
      <c r="F875" s="42"/>
      <c r="G875" s="42"/>
      <c r="H875" s="42"/>
      <c r="I875" s="42"/>
      <c r="J875" s="42"/>
      <c r="K875" s="42"/>
      <c r="L875" s="42"/>
      <c r="M875" s="42"/>
      <c r="N875" s="42"/>
      <c r="O875" s="31"/>
      <c r="P875" s="9"/>
      <c r="Q875" s="9"/>
      <c r="R875" s="179"/>
      <c r="S875" s="179"/>
      <c r="T875" s="179"/>
      <c r="U875" s="179"/>
      <c r="V875" s="180"/>
      <c r="W875" s="180"/>
      <c r="X875" s="42"/>
      <c r="Y875" s="42"/>
      <c r="Z875" s="9"/>
      <c r="AA875" s="9"/>
      <c r="AB875" s="9"/>
      <c r="AC875" s="158"/>
      <c r="AD875" s="39"/>
      <c r="AE875" s="39"/>
      <c r="AF875" s="39"/>
      <c r="AG875" s="39"/>
      <c r="AH875" s="39"/>
      <c r="AI875" s="165"/>
      <c r="AJ875" s="165"/>
      <c r="AK875" s="111"/>
      <c r="AL875" s="111"/>
      <c r="AM875" s="111"/>
      <c r="AN875" s="111"/>
      <c r="AO875" s="111"/>
      <c r="AP875" s="111"/>
      <c r="AQ875" s="116"/>
      <c r="AR875" s="116"/>
      <c r="AS875" s="116"/>
    </row>
    <row r="876">
      <c r="A876" s="42"/>
      <c r="B876" s="42"/>
      <c r="C876" s="42"/>
      <c r="D876" s="42"/>
      <c r="E876" s="42"/>
      <c r="F876" s="42"/>
      <c r="G876" s="42"/>
      <c r="H876" s="42"/>
      <c r="I876" s="42"/>
      <c r="J876" s="42"/>
      <c r="K876" s="42"/>
      <c r="L876" s="42"/>
      <c r="M876" s="42"/>
      <c r="N876" s="42"/>
      <c r="O876" s="31"/>
      <c r="P876" s="9"/>
      <c r="Q876" s="9"/>
      <c r="R876" s="179"/>
      <c r="S876" s="179"/>
      <c r="T876" s="179"/>
      <c r="U876" s="179"/>
      <c r="V876" s="180"/>
      <c r="W876" s="180"/>
      <c r="X876" s="42"/>
      <c r="Y876" s="42"/>
      <c r="Z876" s="9"/>
      <c r="AA876" s="9"/>
      <c r="AB876" s="9"/>
      <c r="AC876" s="158"/>
      <c r="AD876" s="39"/>
      <c r="AE876" s="39"/>
      <c r="AF876" s="39"/>
      <c r="AG876" s="39"/>
      <c r="AH876" s="39"/>
      <c r="AI876" s="165"/>
      <c r="AJ876" s="165"/>
      <c r="AK876" s="111"/>
      <c r="AL876" s="111"/>
      <c r="AM876" s="111"/>
      <c r="AN876" s="111"/>
      <c r="AO876" s="111"/>
      <c r="AP876" s="111"/>
      <c r="AQ876" s="116"/>
      <c r="AR876" s="116"/>
      <c r="AS876" s="116"/>
    </row>
    <row r="877">
      <c r="A877" s="42"/>
      <c r="B877" s="42"/>
      <c r="C877" s="42"/>
      <c r="D877" s="42"/>
      <c r="E877" s="42"/>
      <c r="F877" s="42"/>
      <c r="G877" s="42"/>
      <c r="H877" s="42"/>
      <c r="I877" s="42"/>
      <c r="J877" s="42"/>
      <c r="K877" s="42"/>
      <c r="L877" s="42"/>
      <c r="M877" s="42"/>
      <c r="N877" s="42"/>
      <c r="O877" s="31"/>
      <c r="P877" s="9"/>
      <c r="Q877" s="9"/>
      <c r="R877" s="179"/>
      <c r="S877" s="179"/>
      <c r="T877" s="179"/>
      <c r="U877" s="179"/>
      <c r="V877" s="180"/>
      <c r="W877" s="180"/>
      <c r="X877" s="42"/>
      <c r="Y877" s="42"/>
      <c r="Z877" s="9"/>
      <c r="AA877" s="9"/>
      <c r="AB877" s="9"/>
      <c r="AC877" s="158"/>
      <c r="AD877" s="39"/>
      <c r="AE877" s="39"/>
      <c r="AF877" s="39"/>
      <c r="AG877" s="39"/>
      <c r="AH877" s="39"/>
      <c r="AI877" s="165"/>
      <c r="AJ877" s="165"/>
      <c r="AK877" s="111"/>
      <c r="AL877" s="111"/>
      <c r="AM877" s="111"/>
      <c r="AN877" s="111"/>
      <c r="AO877" s="111"/>
      <c r="AP877" s="111"/>
      <c r="AQ877" s="116"/>
      <c r="AR877" s="116"/>
      <c r="AS877" s="116"/>
    </row>
    <row r="878">
      <c r="A878" s="42"/>
      <c r="B878" s="42"/>
      <c r="C878" s="42"/>
      <c r="D878" s="42"/>
      <c r="E878" s="42"/>
      <c r="F878" s="42"/>
      <c r="G878" s="42"/>
      <c r="H878" s="42"/>
      <c r="I878" s="42"/>
      <c r="J878" s="42"/>
      <c r="K878" s="42"/>
      <c r="L878" s="42"/>
      <c r="M878" s="42"/>
      <c r="N878" s="42"/>
      <c r="O878" s="31"/>
      <c r="P878" s="9"/>
      <c r="Q878" s="9"/>
      <c r="R878" s="179"/>
      <c r="S878" s="179"/>
      <c r="T878" s="179"/>
      <c r="U878" s="179"/>
      <c r="V878" s="180"/>
      <c r="W878" s="180"/>
      <c r="X878" s="42"/>
      <c r="Y878" s="42"/>
      <c r="Z878" s="9"/>
      <c r="AA878" s="9"/>
      <c r="AB878" s="9"/>
      <c r="AC878" s="158"/>
      <c r="AD878" s="39"/>
      <c r="AE878" s="39"/>
      <c r="AF878" s="39"/>
      <c r="AG878" s="39"/>
      <c r="AH878" s="39"/>
      <c r="AI878" s="165"/>
      <c r="AJ878" s="165"/>
      <c r="AK878" s="111"/>
      <c r="AL878" s="111"/>
      <c r="AM878" s="111"/>
      <c r="AN878" s="111"/>
      <c r="AO878" s="111"/>
      <c r="AP878" s="111"/>
      <c r="AQ878" s="116"/>
      <c r="AR878" s="116"/>
      <c r="AS878" s="116"/>
    </row>
    <row r="879">
      <c r="A879" s="42"/>
      <c r="B879" s="42"/>
      <c r="C879" s="42"/>
      <c r="D879" s="42"/>
      <c r="E879" s="42"/>
      <c r="F879" s="42"/>
      <c r="G879" s="42"/>
      <c r="H879" s="42"/>
      <c r="I879" s="42"/>
      <c r="J879" s="42"/>
      <c r="K879" s="42"/>
      <c r="L879" s="42"/>
      <c r="M879" s="42"/>
      <c r="N879" s="42"/>
      <c r="O879" s="31"/>
      <c r="P879" s="9"/>
      <c r="Q879" s="9"/>
      <c r="R879" s="179"/>
      <c r="S879" s="179"/>
      <c r="T879" s="179"/>
      <c r="U879" s="179"/>
      <c r="V879" s="180"/>
      <c r="W879" s="180"/>
      <c r="X879" s="42"/>
      <c r="Y879" s="42"/>
      <c r="Z879" s="9"/>
      <c r="AA879" s="9"/>
      <c r="AB879" s="9"/>
      <c r="AC879" s="158"/>
      <c r="AD879" s="39"/>
      <c r="AE879" s="39"/>
      <c r="AF879" s="39"/>
      <c r="AG879" s="39"/>
      <c r="AH879" s="39"/>
      <c r="AI879" s="165"/>
      <c r="AJ879" s="165"/>
      <c r="AK879" s="111"/>
      <c r="AL879" s="111"/>
      <c r="AM879" s="111"/>
      <c r="AN879" s="111"/>
      <c r="AO879" s="111"/>
      <c r="AP879" s="111"/>
      <c r="AQ879" s="116"/>
      <c r="AR879" s="116"/>
      <c r="AS879" s="116"/>
    </row>
    <row r="880">
      <c r="A880" s="42"/>
      <c r="B880" s="42"/>
      <c r="C880" s="42"/>
      <c r="D880" s="42"/>
      <c r="E880" s="42"/>
      <c r="F880" s="42"/>
      <c r="G880" s="42"/>
      <c r="H880" s="42"/>
      <c r="I880" s="42"/>
      <c r="J880" s="42"/>
      <c r="K880" s="42"/>
      <c r="L880" s="42"/>
      <c r="M880" s="42"/>
      <c r="N880" s="42"/>
      <c r="O880" s="31"/>
      <c r="P880" s="9"/>
      <c r="Q880" s="9"/>
      <c r="R880" s="179"/>
      <c r="S880" s="179"/>
      <c r="T880" s="179"/>
      <c r="U880" s="179"/>
      <c r="V880" s="180"/>
      <c r="W880" s="180"/>
      <c r="X880" s="42"/>
      <c r="Y880" s="42"/>
      <c r="Z880" s="9"/>
      <c r="AA880" s="9"/>
      <c r="AB880" s="9"/>
      <c r="AC880" s="158"/>
      <c r="AD880" s="39"/>
      <c r="AE880" s="39"/>
      <c r="AF880" s="39"/>
      <c r="AG880" s="39"/>
      <c r="AH880" s="39"/>
      <c r="AI880" s="165"/>
      <c r="AJ880" s="165"/>
      <c r="AK880" s="111"/>
      <c r="AL880" s="111"/>
      <c r="AM880" s="111"/>
      <c r="AN880" s="111"/>
      <c r="AO880" s="111"/>
      <c r="AP880" s="111"/>
      <c r="AQ880" s="116"/>
      <c r="AR880" s="116"/>
      <c r="AS880" s="116"/>
    </row>
    <row r="881">
      <c r="A881" s="42"/>
      <c r="B881" s="42"/>
      <c r="C881" s="42"/>
      <c r="D881" s="42"/>
      <c r="E881" s="42"/>
      <c r="F881" s="42"/>
      <c r="G881" s="42"/>
      <c r="H881" s="42"/>
      <c r="I881" s="42"/>
      <c r="J881" s="42"/>
      <c r="K881" s="42"/>
      <c r="L881" s="42"/>
      <c r="M881" s="42"/>
      <c r="N881" s="42"/>
      <c r="O881" s="31"/>
      <c r="P881" s="9"/>
      <c r="Q881" s="9"/>
      <c r="R881" s="179"/>
      <c r="S881" s="179"/>
      <c r="T881" s="179"/>
      <c r="U881" s="179"/>
      <c r="V881" s="180"/>
      <c r="W881" s="180"/>
      <c r="X881" s="42"/>
      <c r="Y881" s="42"/>
      <c r="Z881" s="9"/>
      <c r="AA881" s="9"/>
      <c r="AB881" s="9"/>
      <c r="AC881" s="158"/>
      <c r="AD881" s="39"/>
      <c r="AE881" s="39"/>
      <c r="AF881" s="39"/>
      <c r="AG881" s="39"/>
      <c r="AH881" s="39"/>
      <c r="AI881" s="165"/>
      <c r="AJ881" s="165"/>
      <c r="AK881" s="111"/>
      <c r="AL881" s="111"/>
      <c r="AM881" s="111"/>
      <c r="AN881" s="111"/>
      <c r="AO881" s="111"/>
      <c r="AP881" s="111"/>
      <c r="AQ881" s="116"/>
      <c r="AR881" s="116"/>
      <c r="AS881" s="116"/>
    </row>
    <row r="882">
      <c r="A882" s="42"/>
      <c r="B882" s="42"/>
      <c r="C882" s="42"/>
      <c r="D882" s="42"/>
      <c r="E882" s="42"/>
      <c r="F882" s="42"/>
      <c r="G882" s="42"/>
      <c r="H882" s="42"/>
      <c r="I882" s="42"/>
      <c r="J882" s="42"/>
      <c r="K882" s="42"/>
      <c r="L882" s="42"/>
      <c r="M882" s="42"/>
      <c r="N882" s="42"/>
      <c r="O882" s="31"/>
      <c r="P882" s="9"/>
      <c r="Q882" s="9"/>
      <c r="R882" s="179"/>
      <c r="S882" s="179"/>
      <c r="T882" s="179"/>
      <c r="U882" s="179"/>
      <c r="V882" s="180"/>
      <c r="W882" s="180"/>
      <c r="X882" s="42"/>
      <c r="Y882" s="42"/>
      <c r="Z882" s="9"/>
      <c r="AA882" s="9"/>
      <c r="AB882" s="9"/>
      <c r="AC882" s="158"/>
      <c r="AD882" s="39"/>
      <c r="AE882" s="39"/>
      <c r="AF882" s="39"/>
      <c r="AG882" s="39"/>
      <c r="AH882" s="39"/>
      <c r="AI882" s="165"/>
      <c r="AJ882" s="165"/>
      <c r="AK882" s="111"/>
      <c r="AL882" s="111"/>
      <c r="AM882" s="111"/>
      <c r="AN882" s="111"/>
      <c r="AO882" s="111"/>
      <c r="AP882" s="111"/>
      <c r="AQ882" s="116"/>
      <c r="AR882" s="116"/>
      <c r="AS882" s="116"/>
    </row>
    <row r="883">
      <c r="A883" s="42"/>
      <c r="B883" s="42"/>
      <c r="C883" s="42"/>
      <c r="D883" s="42"/>
      <c r="E883" s="42"/>
      <c r="F883" s="42"/>
      <c r="G883" s="42"/>
      <c r="H883" s="42"/>
      <c r="I883" s="42"/>
      <c r="J883" s="42"/>
      <c r="K883" s="42"/>
      <c r="L883" s="42"/>
      <c r="M883" s="42"/>
      <c r="N883" s="42"/>
      <c r="O883" s="31"/>
      <c r="P883" s="9"/>
      <c r="Q883" s="9"/>
      <c r="R883" s="179"/>
      <c r="S883" s="179"/>
      <c r="T883" s="179"/>
      <c r="U883" s="179"/>
      <c r="V883" s="180"/>
      <c r="W883" s="180"/>
      <c r="X883" s="42"/>
      <c r="Y883" s="42"/>
      <c r="Z883" s="9"/>
      <c r="AA883" s="9"/>
      <c r="AB883" s="9"/>
      <c r="AC883" s="158"/>
      <c r="AD883" s="39"/>
      <c r="AE883" s="39"/>
      <c r="AF883" s="39"/>
      <c r="AG883" s="39"/>
      <c r="AH883" s="39"/>
      <c r="AI883" s="165"/>
      <c r="AJ883" s="165"/>
      <c r="AK883" s="111"/>
      <c r="AL883" s="111"/>
      <c r="AM883" s="111"/>
      <c r="AN883" s="111"/>
      <c r="AO883" s="111"/>
      <c r="AP883" s="111"/>
      <c r="AQ883" s="116"/>
      <c r="AR883" s="116"/>
      <c r="AS883" s="116"/>
    </row>
    <row r="884">
      <c r="A884" s="42"/>
      <c r="B884" s="42"/>
      <c r="C884" s="42"/>
      <c r="D884" s="42"/>
      <c r="E884" s="42"/>
      <c r="F884" s="42"/>
      <c r="G884" s="42"/>
      <c r="H884" s="42"/>
      <c r="I884" s="42"/>
      <c r="J884" s="42"/>
      <c r="K884" s="42"/>
      <c r="L884" s="42"/>
      <c r="M884" s="42"/>
      <c r="N884" s="42"/>
      <c r="O884" s="31"/>
      <c r="P884" s="9"/>
      <c r="Q884" s="9"/>
      <c r="R884" s="179"/>
      <c r="S884" s="179"/>
      <c r="T884" s="179"/>
      <c r="U884" s="179"/>
      <c r="V884" s="180"/>
      <c r="W884" s="180"/>
      <c r="X884" s="42"/>
      <c r="Y884" s="42"/>
      <c r="Z884" s="9"/>
      <c r="AA884" s="9"/>
      <c r="AB884" s="9"/>
      <c r="AC884" s="158"/>
      <c r="AD884" s="39"/>
      <c r="AE884" s="39"/>
      <c r="AF884" s="39"/>
      <c r="AG884" s="39"/>
      <c r="AH884" s="39"/>
      <c r="AI884" s="165"/>
      <c r="AJ884" s="165"/>
      <c r="AK884" s="111"/>
      <c r="AL884" s="111"/>
      <c r="AM884" s="111"/>
      <c r="AN884" s="111"/>
      <c r="AO884" s="111"/>
      <c r="AP884" s="111"/>
      <c r="AQ884" s="116"/>
      <c r="AR884" s="116"/>
      <c r="AS884" s="116"/>
    </row>
    <row r="885">
      <c r="A885" s="42"/>
      <c r="B885" s="42"/>
      <c r="C885" s="42"/>
      <c r="D885" s="42"/>
      <c r="E885" s="42"/>
      <c r="F885" s="42"/>
      <c r="G885" s="42"/>
      <c r="H885" s="42"/>
      <c r="I885" s="42"/>
      <c r="J885" s="42"/>
      <c r="K885" s="42"/>
      <c r="L885" s="42"/>
      <c r="M885" s="42"/>
      <c r="N885" s="42"/>
      <c r="O885" s="31"/>
      <c r="P885" s="9"/>
      <c r="Q885" s="9"/>
      <c r="R885" s="179"/>
      <c r="S885" s="179"/>
      <c r="T885" s="179"/>
      <c r="U885" s="179"/>
      <c r="V885" s="180"/>
      <c r="W885" s="180"/>
      <c r="X885" s="42"/>
      <c r="Y885" s="42"/>
      <c r="Z885" s="9"/>
      <c r="AA885" s="9"/>
      <c r="AB885" s="9"/>
      <c r="AC885" s="158"/>
      <c r="AD885" s="39"/>
      <c r="AE885" s="39"/>
      <c r="AF885" s="39"/>
      <c r="AG885" s="39"/>
      <c r="AH885" s="39"/>
      <c r="AI885" s="165"/>
      <c r="AJ885" s="165"/>
      <c r="AK885" s="111"/>
      <c r="AL885" s="111"/>
      <c r="AM885" s="111"/>
      <c r="AN885" s="111"/>
      <c r="AO885" s="111"/>
      <c r="AP885" s="111"/>
      <c r="AQ885" s="116"/>
      <c r="AR885" s="116"/>
      <c r="AS885" s="116"/>
    </row>
    <row r="886">
      <c r="A886" s="42"/>
      <c r="B886" s="42"/>
      <c r="C886" s="42"/>
      <c r="D886" s="42"/>
      <c r="E886" s="42"/>
      <c r="F886" s="42"/>
      <c r="G886" s="42"/>
      <c r="H886" s="42"/>
      <c r="I886" s="42"/>
      <c r="J886" s="42"/>
      <c r="K886" s="42"/>
      <c r="L886" s="42"/>
      <c r="M886" s="42"/>
      <c r="N886" s="42"/>
      <c r="O886" s="31"/>
      <c r="P886" s="9"/>
      <c r="Q886" s="9"/>
      <c r="R886" s="179"/>
      <c r="S886" s="179"/>
      <c r="T886" s="179"/>
      <c r="U886" s="179"/>
      <c r="V886" s="180"/>
      <c r="W886" s="180"/>
      <c r="X886" s="42"/>
      <c r="Y886" s="42"/>
      <c r="Z886" s="9"/>
      <c r="AA886" s="9"/>
      <c r="AB886" s="9"/>
      <c r="AC886" s="158"/>
      <c r="AD886" s="39"/>
      <c r="AE886" s="39"/>
      <c r="AF886" s="39"/>
      <c r="AG886" s="39"/>
      <c r="AH886" s="39"/>
      <c r="AI886" s="165"/>
      <c r="AJ886" s="165"/>
      <c r="AK886" s="111"/>
      <c r="AL886" s="111"/>
      <c r="AM886" s="111"/>
      <c r="AN886" s="111"/>
      <c r="AO886" s="111"/>
      <c r="AP886" s="111"/>
      <c r="AQ886" s="116"/>
      <c r="AR886" s="116"/>
      <c r="AS886" s="116"/>
    </row>
    <row r="887">
      <c r="A887" s="42"/>
      <c r="B887" s="42"/>
      <c r="C887" s="42"/>
      <c r="D887" s="42"/>
      <c r="E887" s="42"/>
      <c r="F887" s="42"/>
      <c r="G887" s="42"/>
      <c r="H887" s="42"/>
      <c r="I887" s="42"/>
      <c r="J887" s="42"/>
      <c r="K887" s="42"/>
      <c r="L887" s="42"/>
      <c r="M887" s="42"/>
      <c r="N887" s="42"/>
      <c r="O887" s="31"/>
      <c r="P887" s="9"/>
      <c r="Q887" s="9"/>
      <c r="R887" s="179"/>
      <c r="S887" s="179"/>
      <c r="T887" s="179"/>
      <c r="U887" s="179"/>
      <c r="V887" s="180"/>
      <c r="W887" s="180"/>
      <c r="X887" s="42"/>
      <c r="Y887" s="42"/>
      <c r="Z887" s="9"/>
      <c r="AA887" s="9"/>
      <c r="AB887" s="9"/>
      <c r="AC887" s="158"/>
      <c r="AD887" s="39"/>
      <c r="AE887" s="39"/>
      <c r="AF887" s="39"/>
      <c r="AG887" s="39"/>
      <c r="AH887" s="39"/>
      <c r="AI887" s="165"/>
      <c r="AJ887" s="165"/>
      <c r="AK887" s="111"/>
      <c r="AL887" s="111"/>
      <c r="AM887" s="111"/>
      <c r="AN887" s="111"/>
      <c r="AO887" s="111"/>
      <c r="AP887" s="111"/>
      <c r="AQ887" s="116"/>
      <c r="AR887" s="116"/>
      <c r="AS887" s="116"/>
    </row>
    <row r="888">
      <c r="A888" s="42"/>
      <c r="B888" s="42"/>
      <c r="C888" s="42"/>
      <c r="D888" s="42"/>
      <c r="E888" s="42"/>
      <c r="F888" s="42"/>
      <c r="G888" s="42"/>
      <c r="H888" s="42"/>
      <c r="I888" s="42"/>
      <c r="J888" s="42"/>
      <c r="K888" s="42"/>
      <c r="L888" s="42"/>
      <c r="M888" s="42"/>
      <c r="N888" s="42"/>
      <c r="O888" s="31"/>
      <c r="P888" s="9"/>
      <c r="Q888" s="9"/>
      <c r="R888" s="179"/>
      <c r="S888" s="179"/>
      <c r="T888" s="179"/>
      <c r="U888" s="179"/>
      <c r="V888" s="180"/>
      <c r="W888" s="180"/>
      <c r="X888" s="42"/>
      <c r="Y888" s="42"/>
      <c r="Z888" s="9"/>
      <c r="AA888" s="9"/>
      <c r="AB888" s="9"/>
      <c r="AC888" s="158"/>
      <c r="AD888" s="39"/>
      <c r="AE888" s="39"/>
      <c r="AF888" s="39"/>
      <c r="AG888" s="39"/>
      <c r="AH888" s="39"/>
      <c r="AI888" s="165"/>
      <c r="AJ888" s="165"/>
      <c r="AK888" s="111"/>
      <c r="AL888" s="111"/>
      <c r="AM888" s="111"/>
      <c r="AN888" s="111"/>
      <c r="AO888" s="111"/>
      <c r="AP888" s="111"/>
      <c r="AQ888" s="116"/>
      <c r="AR888" s="116"/>
      <c r="AS888" s="116"/>
    </row>
    <row r="889">
      <c r="A889" s="42"/>
      <c r="B889" s="42"/>
      <c r="C889" s="42"/>
      <c r="D889" s="42"/>
      <c r="E889" s="42"/>
      <c r="F889" s="42"/>
      <c r="G889" s="42"/>
      <c r="H889" s="42"/>
      <c r="I889" s="42"/>
      <c r="J889" s="42"/>
      <c r="K889" s="42"/>
      <c r="L889" s="42"/>
      <c r="M889" s="42"/>
      <c r="N889" s="42"/>
      <c r="O889" s="31"/>
      <c r="P889" s="9"/>
      <c r="Q889" s="9"/>
      <c r="R889" s="179"/>
      <c r="S889" s="179"/>
      <c r="T889" s="179"/>
      <c r="U889" s="179"/>
      <c r="V889" s="180"/>
      <c r="W889" s="180"/>
      <c r="X889" s="42"/>
      <c r="Y889" s="42"/>
      <c r="Z889" s="9"/>
      <c r="AA889" s="9"/>
      <c r="AB889" s="9"/>
      <c r="AC889" s="158"/>
      <c r="AD889" s="39"/>
      <c r="AE889" s="39"/>
      <c r="AF889" s="39"/>
      <c r="AG889" s="39"/>
      <c r="AH889" s="39"/>
      <c r="AI889" s="165"/>
      <c r="AJ889" s="165"/>
      <c r="AK889" s="111"/>
      <c r="AL889" s="111"/>
      <c r="AM889" s="111"/>
      <c r="AN889" s="111"/>
      <c r="AO889" s="111"/>
      <c r="AP889" s="111"/>
      <c r="AQ889" s="116"/>
      <c r="AR889" s="116"/>
      <c r="AS889" s="116"/>
    </row>
    <row r="890">
      <c r="A890" s="42"/>
      <c r="B890" s="42"/>
      <c r="C890" s="42"/>
      <c r="D890" s="42"/>
      <c r="E890" s="42"/>
      <c r="F890" s="42"/>
      <c r="G890" s="42"/>
      <c r="H890" s="42"/>
      <c r="I890" s="42"/>
      <c r="J890" s="42"/>
      <c r="K890" s="42"/>
      <c r="L890" s="42"/>
      <c r="M890" s="42"/>
      <c r="N890" s="42"/>
      <c r="O890" s="31"/>
      <c r="P890" s="9"/>
      <c r="Q890" s="9"/>
      <c r="R890" s="179"/>
      <c r="S890" s="179"/>
      <c r="T890" s="179"/>
      <c r="U890" s="179"/>
      <c r="V890" s="180"/>
      <c r="W890" s="180"/>
      <c r="X890" s="42"/>
      <c r="Y890" s="42"/>
      <c r="Z890" s="9"/>
      <c r="AA890" s="9"/>
      <c r="AB890" s="9"/>
      <c r="AC890" s="158"/>
      <c r="AD890" s="39"/>
      <c r="AE890" s="39"/>
      <c r="AF890" s="39"/>
      <c r="AG890" s="39"/>
      <c r="AH890" s="39"/>
      <c r="AI890" s="165"/>
      <c r="AJ890" s="165"/>
      <c r="AK890" s="111"/>
      <c r="AL890" s="111"/>
      <c r="AM890" s="111"/>
      <c r="AN890" s="111"/>
      <c r="AO890" s="111"/>
      <c r="AP890" s="111"/>
      <c r="AQ890" s="116"/>
      <c r="AR890" s="116"/>
      <c r="AS890" s="116"/>
    </row>
    <row r="891">
      <c r="A891" s="42"/>
      <c r="B891" s="42"/>
      <c r="C891" s="42"/>
      <c r="D891" s="42"/>
      <c r="E891" s="42"/>
      <c r="F891" s="42"/>
      <c r="G891" s="42"/>
      <c r="H891" s="42"/>
      <c r="I891" s="42"/>
      <c r="J891" s="42"/>
      <c r="K891" s="42"/>
      <c r="L891" s="42"/>
      <c r="M891" s="42"/>
      <c r="N891" s="42"/>
      <c r="O891" s="31"/>
      <c r="P891" s="9"/>
      <c r="Q891" s="9"/>
      <c r="R891" s="179"/>
      <c r="S891" s="179"/>
      <c r="T891" s="179"/>
      <c r="U891" s="179"/>
      <c r="V891" s="180"/>
      <c r="W891" s="180"/>
      <c r="X891" s="42"/>
      <c r="Y891" s="42"/>
      <c r="Z891" s="9"/>
      <c r="AA891" s="9"/>
      <c r="AB891" s="9"/>
      <c r="AC891" s="158"/>
      <c r="AD891" s="39"/>
      <c r="AE891" s="39"/>
      <c r="AF891" s="39"/>
      <c r="AG891" s="39"/>
      <c r="AH891" s="39"/>
      <c r="AI891" s="165"/>
      <c r="AJ891" s="165"/>
      <c r="AK891" s="111"/>
      <c r="AL891" s="111"/>
      <c r="AM891" s="111"/>
      <c r="AN891" s="111"/>
      <c r="AO891" s="111"/>
      <c r="AP891" s="111"/>
      <c r="AQ891" s="116"/>
      <c r="AR891" s="116"/>
      <c r="AS891" s="116"/>
    </row>
    <row r="892">
      <c r="A892" s="42"/>
      <c r="B892" s="42"/>
      <c r="C892" s="42"/>
      <c r="D892" s="42"/>
      <c r="E892" s="42"/>
      <c r="F892" s="42"/>
      <c r="G892" s="42"/>
      <c r="H892" s="42"/>
      <c r="I892" s="42"/>
      <c r="J892" s="42"/>
      <c r="K892" s="42"/>
      <c r="L892" s="42"/>
      <c r="M892" s="42"/>
      <c r="N892" s="42"/>
      <c r="O892" s="31"/>
      <c r="P892" s="9"/>
      <c r="Q892" s="9"/>
      <c r="R892" s="179"/>
      <c r="S892" s="179"/>
      <c r="T892" s="179"/>
      <c r="U892" s="179"/>
      <c r="V892" s="180"/>
      <c r="W892" s="180"/>
      <c r="X892" s="42"/>
      <c r="Y892" s="42"/>
      <c r="Z892" s="9"/>
      <c r="AA892" s="9"/>
      <c r="AB892" s="9"/>
      <c r="AC892" s="158"/>
      <c r="AD892" s="39"/>
      <c r="AE892" s="39"/>
      <c r="AF892" s="39"/>
      <c r="AG892" s="39"/>
      <c r="AH892" s="39"/>
      <c r="AI892" s="165"/>
      <c r="AJ892" s="165"/>
      <c r="AK892" s="111"/>
      <c r="AL892" s="111"/>
      <c r="AM892" s="111"/>
      <c r="AN892" s="111"/>
      <c r="AO892" s="111"/>
      <c r="AP892" s="111"/>
      <c r="AQ892" s="116"/>
      <c r="AR892" s="116"/>
      <c r="AS892" s="116"/>
    </row>
    <row r="893">
      <c r="A893" s="42"/>
      <c r="B893" s="42"/>
      <c r="C893" s="42"/>
      <c r="D893" s="42"/>
      <c r="E893" s="42"/>
      <c r="F893" s="42"/>
      <c r="G893" s="42"/>
      <c r="H893" s="42"/>
      <c r="I893" s="42"/>
      <c r="J893" s="42"/>
      <c r="K893" s="42"/>
      <c r="L893" s="42"/>
      <c r="M893" s="42"/>
      <c r="N893" s="42"/>
      <c r="O893" s="31"/>
      <c r="P893" s="9"/>
      <c r="Q893" s="9"/>
      <c r="R893" s="179"/>
      <c r="S893" s="179"/>
      <c r="T893" s="179"/>
      <c r="U893" s="179"/>
      <c r="V893" s="180"/>
      <c r="W893" s="180"/>
      <c r="X893" s="42"/>
      <c r="Y893" s="42"/>
      <c r="Z893" s="9"/>
      <c r="AA893" s="9"/>
      <c r="AB893" s="9"/>
      <c r="AC893" s="158"/>
      <c r="AD893" s="39"/>
      <c r="AE893" s="39"/>
      <c r="AF893" s="39"/>
      <c r="AG893" s="39"/>
      <c r="AH893" s="39"/>
      <c r="AI893" s="165"/>
      <c r="AJ893" s="165"/>
      <c r="AK893" s="111"/>
      <c r="AL893" s="111"/>
      <c r="AM893" s="111"/>
      <c r="AN893" s="111"/>
      <c r="AO893" s="111"/>
      <c r="AP893" s="111"/>
      <c r="AQ893" s="116"/>
      <c r="AR893" s="116"/>
      <c r="AS893" s="116"/>
    </row>
    <row r="894">
      <c r="A894" s="42"/>
      <c r="B894" s="42"/>
      <c r="C894" s="42"/>
      <c r="D894" s="42"/>
      <c r="E894" s="42"/>
      <c r="F894" s="42"/>
      <c r="G894" s="42"/>
      <c r="H894" s="42"/>
      <c r="I894" s="42"/>
      <c r="J894" s="42"/>
      <c r="K894" s="42"/>
      <c r="L894" s="42"/>
      <c r="M894" s="42"/>
      <c r="N894" s="42"/>
      <c r="O894" s="31"/>
      <c r="P894" s="9"/>
      <c r="Q894" s="9"/>
      <c r="R894" s="179"/>
      <c r="S894" s="179"/>
      <c r="T894" s="179"/>
      <c r="U894" s="179"/>
      <c r="V894" s="180"/>
      <c r="W894" s="180"/>
      <c r="X894" s="42"/>
      <c r="Y894" s="42"/>
      <c r="Z894" s="9"/>
      <c r="AA894" s="9"/>
      <c r="AB894" s="9"/>
      <c r="AC894" s="158"/>
      <c r="AD894" s="39"/>
      <c r="AE894" s="39"/>
      <c r="AF894" s="39"/>
      <c r="AG894" s="39"/>
      <c r="AH894" s="39"/>
      <c r="AI894" s="165"/>
      <c r="AJ894" s="165"/>
      <c r="AK894" s="111"/>
      <c r="AL894" s="111"/>
      <c r="AM894" s="111"/>
      <c r="AN894" s="111"/>
      <c r="AO894" s="111"/>
      <c r="AP894" s="111"/>
      <c r="AQ894" s="116"/>
      <c r="AR894" s="116"/>
      <c r="AS894" s="116"/>
    </row>
    <row r="895">
      <c r="A895" s="42"/>
      <c r="B895" s="42"/>
      <c r="C895" s="42"/>
      <c r="D895" s="42"/>
      <c r="E895" s="42"/>
      <c r="F895" s="42"/>
      <c r="G895" s="42"/>
      <c r="H895" s="42"/>
      <c r="I895" s="42"/>
      <c r="J895" s="42"/>
      <c r="K895" s="42"/>
      <c r="L895" s="42"/>
      <c r="M895" s="42"/>
      <c r="N895" s="42"/>
      <c r="O895" s="31"/>
      <c r="P895" s="9"/>
      <c r="Q895" s="9"/>
      <c r="R895" s="179"/>
      <c r="S895" s="179"/>
      <c r="T895" s="179"/>
      <c r="U895" s="179"/>
      <c r="V895" s="180"/>
      <c r="W895" s="180"/>
      <c r="X895" s="42"/>
      <c r="Y895" s="42"/>
      <c r="Z895" s="9"/>
      <c r="AA895" s="9"/>
      <c r="AB895" s="9"/>
      <c r="AC895" s="158"/>
      <c r="AD895" s="39"/>
      <c r="AE895" s="39"/>
      <c r="AF895" s="39"/>
      <c r="AG895" s="39"/>
      <c r="AH895" s="39"/>
      <c r="AI895" s="165"/>
      <c r="AJ895" s="165"/>
      <c r="AK895" s="111"/>
      <c r="AL895" s="111"/>
      <c r="AM895" s="111"/>
      <c r="AN895" s="111"/>
      <c r="AO895" s="111"/>
      <c r="AP895" s="111"/>
      <c r="AQ895" s="116"/>
      <c r="AR895" s="116"/>
      <c r="AS895" s="116"/>
    </row>
    <row r="896">
      <c r="A896" s="42"/>
      <c r="B896" s="42"/>
      <c r="C896" s="42"/>
      <c r="D896" s="42"/>
      <c r="E896" s="42"/>
      <c r="F896" s="42"/>
      <c r="G896" s="42"/>
      <c r="H896" s="42"/>
      <c r="I896" s="42"/>
      <c r="J896" s="42"/>
      <c r="K896" s="42"/>
      <c r="L896" s="42"/>
      <c r="M896" s="42"/>
      <c r="N896" s="42"/>
      <c r="O896" s="31"/>
      <c r="P896" s="9"/>
      <c r="Q896" s="9"/>
      <c r="R896" s="179"/>
      <c r="S896" s="179"/>
      <c r="T896" s="179"/>
      <c r="U896" s="179"/>
      <c r="V896" s="180"/>
      <c r="W896" s="180"/>
      <c r="X896" s="42"/>
      <c r="Y896" s="42"/>
      <c r="Z896" s="9"/>
      <c r="AA896" s="9"/>
      <c r="AB896" s="9"/>
      <c r="AC896" s="158"/>
      <c r="AD896" s="39"/>
      <c r="AE896" s="39"/>
      <c r="AF896" s="39"/>
      <c r="AG896" s="39"/>
      <c r="AH896" s="39"/>
      <c r="AI896" s="165"/>
      <c r="AJ896" s="165"/>
      <c r="AK896" s="111"/>
      <c r="AL896" s="111"/>
      <c r="AM896" s="111"/>
      <c r="AN896" s="111"/>
      <c r="AO896" s="111"/>
      <c r="AP896" s="111"/>
      <c r="AQ896" s="116"/>
      <c r="AR896" s="116"/>
      <c r="AS896" s="116"/>
    </row>
    <row r="897">
      <c r="A897" s="42"/>
      <c r="B897" s="42"/>
      <c r="C897" s="42"/>
      <c r="D897" s="42"/>
      <c r="E897" s="42"/>
      <c r="F897" s="42"/>
      <c r="G897" s="42"/>
      <c r="H897" s="42"/>
      <c r="I897" s="42"/>
      <c r="J897" s="42"/>
      <c r="K897" s="42"/>
      <c r="L897" s="42"/>
      <c r="M897" s="42"/>
      <c r="N897" s="42"/>
      <c r="O897" s="31"/>
      <c r="P897" s="9"/>
      <c r="Q897" s="9"/>
      <c r="R897" s="179"/>
      <c r="S897" s="179"/>
      <c r="T897" s="179"/>
      <c r="U897" s="179"/>
      <c r="V897" s="180"/>
      <c r="W897" s="180"/>
      <c r="X897" s="42"/>
      <c r="Y897" s="42"/>
      <c r="Z897" s="9"/>
      <c r="AA897" s="9"/>
      <c r="AB897" s="9"/>
      <c r="AC897" s="158"/>
      <c r="AD897" s="39"/>
      <c r="AE897" s="39"/>
      <c r="AF897" s="39"/>
      <c r="AG897" s="39"/>
      <c r="AH897" s="39"/>
      <c r="AI897" s="165"/>
      <c r="AJ897" s="165"/>
      <c r="AK897" s="111"/>
      <c r="AL897" s="111"/>
      <c r="AM897" s="111"/>
      <c r="AN897" s="111"/>
      <c r="AO897" s="111"/>
      <c r="AP897" s="111"/>
      <c r="AQ897" s="116"/>
      <c r="AR897" s="116"/>
      <c r="AS897" s="116"/>
    </row>
    <row r="898">
      <c r="A898" s="42"/>
      <c r="B898" s="42"/>
      <c r="C898" s="42"/>
      <c r="D898" s="42"/>
      <c r="E898" s="42"/>
      <c r="F898" s="42"/>
      <c r="G898" s="42"/>
      <c r="H898" s="42"/>
      <c r="I898" s="42"/>
      <c r="J898" s="42"/>
      <c r="K898" s="42"/>
      <c r="L898" s="42"/>
      <c r="M898" s="42"/>
      <c r="N898" s="42"/>
      <c r="O898" s="31"/>
      <c r="P898" s="9"/>
      <c r="Q898" s="9"/>
      <c r="R898" s="179"/>
      <c r="S898" s="179"/>
      <c r="T898" s="179"/>
      <c r="U898" s="179"/>
      <c r="V898" s="180"/>
      <c r="W898" s="180"/>
      <c r="X898" s="42"/>
      <c r="Y898" s="42"/>
      <c r="Z898" s="9"/>
      <c r="AA898" s="9"/>
      <c r="AB898" s="9"/>
      <c r="AC898" s="158"/>
      <c r="AD898" s="39"/>
      <c r="AE898" s="39"/>
      <c r="AF898" s="39"/>
      <c r="AG898" s="39"/>
      <c r="AH898" s="39"/>
      <c r="AI898" s="165"/>
      <c r="AJ898" s="165"/>
      <c r="AK898" s="111"/>
      <c r="AL898" s="111"/>
      <c r="AM898" s="111"/>
      <c r="AN898" s="111"/>
      <c r="AO898" s="111"/>
      <c r="AP898" s="111"/>
      <c r="AQ898" s="116"/>
      <c r="AR898" s="116"/>
      <c r="AS898" s="116"/>
    </row>
    <row r="899">
      <c r="A899" s="42"/>
      <c r="B899" s="42"/>
      <c r="C899" s="42"/>
      <c r="D899" s="42"/>
      <c r="E899" s="42"/>
      <c r="F899" s="42"/>
      <c r="G899" s="42"/>
      <c r="H899" s="42"/>
      <c r="I899" s="42"/>
      <c r="J899" s="42"/>
      <c r="K899" s="42"/>
      <c r="L899" s="42"/>
      <c r="M899" s="42"/>
      <c r="N899" s="42"/>
      <c r="O899" s="31"/>
      <c r="P899" s="9"/>
      <c r="Q899" s="9"/>
      <c r="R899" s="179"/>
      <c r="S899" s="179"/>
      <c r="T899" s="179"/>
      <c r="U899" s="179"/>
      <c r="V899" s="180"/>
      <c r="W899" s="180"/>
      <c r="X899" s="42"/>
      <c r="Y899" s="42"/>
      <c r="Z899" s="9"/>
      <c r="AA899" s="9"/>
      <c r="AB899" s="9"/>
      <c r="AC899" s="158"/>
      <c r="AD899" s="39"/>
      <c r="AE899" s="39"/>
      <c r="AF899" s="39"/>
      <c r="AG899" s="39"/>
      <c r="AH899" s="39"/>
      <c r="AI899" s="165"/>
      <c r="AJ899" s="165"/>
      <c r="AK899" s="111"/>
      <c r="AL899" s="111"/>
      <c r="AM899" s="111"/>
      <c r="AN899" s="111"/>
      <c r="AO899" s="111"/>
      <c r="AP899" s="111"/>
      <c r="AQ899" s="116"/>
      <c r="AR899" s="116"/>
      <c r="AS899" s="116"/>
    </row>
    <row r="900">
      <c r="A900" s="42"/>
      <c r="B900" s="42"/>
      <c r="C900" s="42"/>
      <c r="D900" s="42"/>
      <c r="E900" s="42"/>
      <c r="F900" s="42"/>
      <c r="G900" s="42"/>
      <c r="H900" s="42"/>
      <c r="I900" s="42"/>
      <c r="J900" s="42"/>
      <c r="K900" s="42"/>
      <c r="L900" s="42"/>
      <c r="M900" s="42"/>
      <c r="N900" s="42"/>
      <c r="O900" s="31"/>
      <c r="P900" s="9"/>
      <c r="Q900" s="9"/>
      <c r="R900" s="179"/>
      <c r="S900" s="179"/>
      <c r="T900" s="179"/>
      <c r="U900" s="179"/>
      <c r="V900" s="180"/>
      <c r="W900" s="180"/>
      <c r="X900" s="42"/>
      <c r="Y900" s="42"/>
      <c r="Z900" s="9"/>
      <c r="AA900" s="9"/>
      <c r="AB900" s="9"/>
      <c r="AC900" s="158"/>
      <c r="AD900" s="39"/>
      <c r="AE900" s="39"/>
      <c r="AF900" s="39"/>
      <c r="AG900" s="39"/>
      <c r="AH900" s="39"/>
      <c r="AI900" s="165"/>
      <c r="AJ900" s="165"/>
      <c r="AK900" s="111"/>
      <c r="AL900" s="111"/>
      <c r="AM900" s="111"/>
      <c r="AN900" s="111"/>
      <c r="AO900" s="111"/>
      <c r="AP900" s="111"/>
      <c r="AQ900" s="116"/>
      <c r="AR900" s="116"/>
      <c r="AS900" s="116"/>
    </row>
    <row r="901">
      <c r="A901" s="42"/>
      <c r="B901" s="42"/>
      <c r="C901" s="42"/>
      <c r="D901" s="42"/>
      <c r="E901" s="42"/>
      <c r="F901" s="42"/>
      <c r="G901" s="42"/>
      <c r="H901" s="42"/>
      <c r="I901" s="42"/>
      <c r="J901" s="42"/>
      <c r="K901" s="42"/>
      <c r="L901" s="42"/>
      <c r="M901" s="42"/>
      <c r="N901" s="42"/>
      <c r="O901" s="31"/>
      <c r="P901" s="9"/>
      <c r="Q901" s="9"/>
      <c r="R901" s="179"/>
      <c r="S901" s="179"/>
      <c r="T901" s="179"/>
      <c r="U901" s="179"/>
      <c r="V901" s="180"/>
      <c r="W901" s="180"/>
      <c r="X901" s="42"/>
      <c r="Y901" s="42"/>
      <c r="Z901" s="9"/>
      <c r="AA901" s="9"/>
      <c r="AB901" s="9"/>
      <c r="AC901" s="158"/>
      <c r="AD901" s="39"/>
      <c r="AE901" s="39"/>
      <c r="AF901" s="39"/>
      <c r="AG901" s="39"/>
      <c r="AH901" s="39"/>
      <c r="AI901" s="165"/>
      <c r="AJ901" s="165"/>
      <c r="AK901" s="111"/>
      <c r="AL901" s="111"/>
      <c r="AM901" s="111"/>
      <c r="AN901" s="111"/>
      <c r="AO901" s="111"/>
      <c r="AP901" s="111"/>
      <c r="AQ901" s="116"/>
      <c r="AR901" s="116"/>
      <c r="AS901" s="116"/>
    </row>
    <row r="902">
      <c r="A902" s="42"/>
      <c r="B902" s="42"/>
      <c r="C902" s="42"/>
      <c r="D902" s="42"/>
      <c r="E902" s="42"/>
      <c r="F902" s="42"/>
      <c r="G902" s="42"/>
      <c r="H902" s="42"/>
      <c r="I902" s="42"/>
      <c r="J902" s="42"/>
      <c r="K902" s="42"/>
      <c r="L902" s="42"/>
      <c r="M902" s="42"/>
      <c r="N902" s="42"/>
      <c r="O902" s="31"/>
      <c r="P902" s="9"/>
      <c r="Q902" s="9"/>
      <c r="R902" s="179"/>
      <c r="S902" s="179"/>
      <c r="T902" s="179"/>
      <c r="U902" s="179"/>
      <c r="V902" s="180"/>
      <c r="W902" s="180"/>
      <c r="X902" s="42"/>
      <c r="Y902" s="42"/>
      <c r="Z902" s="9"/>
      <c r="AA902" s="9"/>
      <c r="AB902" s="9"/>
      <c r="AC902" s="158"/>
      <c r="AD902" s="39"/>
      <c r="AE902" s="39"/>
      <c r="AF902" s="39"/>
      <c r="AG902" s="39"/>
      <c r="AH902" s="39"/>
      <c r="AI902" s="165"/>
      <c r="AJ902" s="165"/>
      <c r="AK902" s="111"/>
      <c r="AL902" s="111"/>
      <c r="AM902" s="111"/>
      <c r="AN902" s="111"/>
      <c r="AO902" s="111"/>
      <c r="AP902" s="111"/>
      <c r="AQ902" s="116"/>
      <c r="AR902" s="116"/>
      <c r="AS902" s="116"/>
    </row>
    <row r="903">
      <c r="A903" s="42"/>
      <c r="B903" s="42"/>
      <c r="C903" s="42"/>
      <c r="D903" s="42"/>
      <c r="E903" s="42"/>
      <c r="F903" s="42"/>
      <c r="G903" s="42"/>
      <c r="H903" s="42"/>
      <c r="I903" s="42"/>
      <c r="J903" s="42"/>
      <c r="K903" s="42"/>
      <c r="L903" s="42"/>
      <c r="M903" s="42"/>
      <c r="N903" s="42"/>
      <c r="O903" s="31"/>
      <c r="P903" s="9"/>
      <c r="Q903" s="9"/>
      <c r="R903" s="179"/>
      <c r="S903" s="179"/>
      <c r="T903" s="179"/>
      <c r="U903" s="179"/>
      <c r="V903" s="180"/>
      <c r="W903" s="180"/>
      <c r="X903" s="42"/>
      <c r="Y903" s="42"/>
      <c r="Z903" s="9"/>
      <c r="AA903" s="9"/>
      <c r="AB903" s="9"/>
      <c r="AC903" s="158"/>
      <c r="AD903" s="39"/>
      <c r="AE903" s="39"/>
      <c r="AF903" s="39"/>
      <c r="AG903" s="39"/>
      <c r="AH903" s="39"/>
      <c r="AI903" s="165"/>
      <c r="AJ903" s="165"/>
      <c r="AK903" s="111"/>
      <c r="AL903" s="111"/>
      <c r="AM903" s="111"/>
      <c r="AN903" s="111"/>
      <c r="AO903" s="111"/>
      <c r="AP903" s="111"/>
      <c r="AQ903" s="116"/>
      <c r="AR903" s="116"/>
      <c r="AS903" s="116"/>
    </row>
    <row r="904">
      <c r="A904" s="42"/>
      <c r="B904" s="42"/>
      <c r="C904" s="42"/>
      <c r="D904" s="42"/>
      <c r="E904" s="42"/>
      <c r="F904" s="42"/>
      <c r="G904" s="42"/>
      <c r="H904" s="42"/>
      <c r="I904" s="42"/>
      <c r="J904" s="42"/>
      <c r="K904" s="42"/>
      <c r="L904" s="42"/>
      <c r="M904" s="42"/>
      <c r="N904" s="42"/>
      <c r="O904" s="31"/>
      <c r="P904" s="9"/>
      <c r="Q904" s="9"/>
      <c r="R904" s="179"/>
      <c r="S904" s="179"/>
      <c r="T904" s="179"/>
      <c r="U904" s="179"/>
      <c r="V904" s="180"/>
      <c r="W904" s="180"/>
      <c r="X904" s="42"/>
      <c r="Y904" s="42"/>
      <c r="Z904" s="9"/>
      <c r="AA904" s="9"/>
      <c r="AB904" s="9"/>
      <c r="AC904" s="158"/>
      <c r="AD904" s="39"/>
      <c r="AE904" s="39"/>
      <c r="AF904" s="39"/>
      <c r="AG904" s="39"/>
      <c r="AH904" s="39"/>
      <c r="AI904" s="165"/>
      <c r="AJ904" s="165"/>
      <c r="AK904" s="111"/>
      <c r="AL904" s="111"/>
      <c r="AM904" s="111"/>
      <c r="AN904" s="111"/>
      <c r="AO904" s="111"/>
      <c r="AP904" s="111"/>
      <c r="AQ904" s="116"/>
      <c r="AR904" s="116"/>
      <c r="AS904" s="116"/>
    </row>
    <row r="905">
      <c r="A905" s="42"/>
      <c r="B905" s="42"/>
      <c r="C905" s="42"/>
      <c r="D905" s="42"/>
      <c r="E905" s="42"/>
      <c r="F905" s="42"/>
      <c r="G905" s="42"/>
      <c r="H905" s="42"/>
      <c r="I905" s="42"/>
      <c r="J905" s="42"/>
      <c r="K905" s="42"/>
      <c r="L905" s="42"/>
      <c r="M905" s="42"/>
      <c r="N905" s="42"/>
      <c r="O905" s="31"/>
      <c r="P905" s="9"/>
      <c r="Q905" s="9"/>
      <c r="R905" s="179"/>
      <c r="S905" s="179"/>
      <c r="T905" s="179"/>
      <c r="U905" s="179"/>
      <c r="V905" s="180"/>
      <c r="W905" s="180"/>
      <c r="X905" s="42"/>
      <c r="Y905" s="42"/>
      <c r="Z905" s="9"/>
      <c r="AA905" s="9"/>
      <c r="AB905" s="9"/>
      <c r="AC905" s="158"/>
      <c r="AD905" s="39"/>
      <c r="AE905" s="39"/>
      <c r="AF905" s="39"/>
      <c r="AG905" s="39"/>
      <c r="AH905" s="39"/>
      <c r="AI905" s="165"/>
      <c r="AJ905" s="165"/>
      <c r="AK905" s="111"/>
      <c r="AL905" s="111"/>
      <c r="AM905" s="111"/>
      <c r="AN905" s="111"/>
      <c r="AO905" s="111"/>
      <c r="AP905" s="111"/>
      <c r="AQ905" s="116"/>
      <c r="AR905" s="116"/>
      <c r="AS905" s="116"/>
    </row>
    <row r="906">
      <c r="A906" s="42"/>
      <c r="B906" s="42"/>
      <c r="C906" s="42"/>
      <c r="D906" s="42"/>
      <c r="E906" s="42"/>
      <c r="F906" s="42"/>
      <c r="G906" s="42"/>
      <c r="H906" s="42"/>
      <c r="I906" s="42"/>
      <c r="J906" s="42"/>
      <c r="K906" s="42"/>
      <c r="L906" s="42"/>
      <c r="M906" s="42"/>
      <c r="N906" s="42"/>
      <c r="O906" s="31"/>
      <c r="P906" s="9"/>
      <c r="Q906" s="9"/>
      <c r="R906" s="179"/>
      <c r="S906" s="179"/>
      <c r="T906" s="179"/>
      <c r="U906" s="179"/>
      <c r="V906" s="180"/>
      <c r="W906" s="180"/>
      <c r="X906" s="42"/>
      <c r="Y906" s="42"/>
      <c r="Z906" s="9"/>
      <c r="AA906" s="9"/>
      <c r="AB906" s="9"/>
      <c r="AC906" s="158"/>
      <c r="AD906" s="39"/>
      <c r="AE906" s="39"/>
      <c r="AF906" s="39"/>
      <c r="AG906" s="39"/>
      <c r="AH906" s="39"/>
      <c r="AI906" s="165"/>
      <c r="AJ906" s="165"/>
      <c r="AK906" s="111"/>
      <c r="AL906" s="111"/>
      <c r="AM906" s="111"/>
      <c r="AN906" s="111"/>
      <c r="AO906" s="111"/>
      <c r="AP906" s="111"/>
      <c r="AQ906" s="116"/>
      <c r="AR906" s="116"/>
      <c r="AS906" s="116"/>
    </row>
    <row r="907">
      <c r="A907" s="42"/>
      <c r="B907" s="42"/>
      <c r="C907" s="42"/>
      <c r="D907" s="42"/>
      <c r="E907" s="42"/>
      <c r="F907" s="42"/>
      <c r="G907" s="42"/>
      <c r="H907" s="42"/>
      <c r="I907" s="42"/>
      <c r="J907" s="42"/>
      <c r="K907" s="42"/>
      <c r="L907" s="42"/>
      <c r="M907" s="42"/>
      <c r="N907" s="42"/>
      <c r="O907" s="31"/>
      <c r="P907" s="9"/>
      <c r="Q907" s="9"/>
      <c r="R907" s="179"/>
      <c r="S907" s="179"/>
      <c r="T907" s="179"/>
      <c r="U907" s="179"/>
      <c r="V907" s="180"/>
      <c r="W907" s="180"/>
      <c r="X907" s="42"/>
      <c r="Y907" s="42"/>
      <c r="Z907" s="9"/>
      <c r="AA907" s="9"/>
      <c r="AB907" s="9"/>
      <c r="AC907" s="158"/>
      <c r="AD907" s="39"/>
      <c r="AE907" s="39"/>
      <c r="AF907" s="39"/>
      <c r="AG907" s="39"/>
      <c r="AH907" s="39"/>
      <c r="AI907" s="165"/>
      <c r="AJ907" s="165"/>
      <c r="AK907" s="111"/>
      <c r="AL907" s="111"/>
      <c r="AM907" s="111"/>
      <c r="AN907" s="111"/>
      <c r="AO907" s="111"/>
      <c r="AP907" s="111"/>
      <c r="AQ907" s="116"/>
      <c r="AR907" s="116"/>
      <c r="AS907" s="116"/>
    </row>
    <row r="908">
      <c r="A908" s="42"/>
      <c r="B908" s="42"/>
      <c r="C908" s="42"/>
      <c r="D908" s="42"/>
      <c r="E908" s="42"/>
      <c r="F908" s="42"/>
      <c r="G908" s="42"/>
      <c r="H908" s="42"/>
      <c r="I908" s="42"/>
      <c r="J908" s="42"/>
      <c r="K908" s="42"/>
      <c r="L908" s="42"/>
      <c r="M908" s="42"/>
      <c r="N908" s="42"/>
      <c r="O908" s="31"/>
      <c r="P908" s="9"/>
      <c r="Q908" s="9"/>
      <c r="R908" s="179"/>
      <c r="S908" s="179"/>
      <c r="T908" s="179"/>
      <c r="U908" s="179"/>
      <c r="V908" s="180"/>
      <c r="W908" s="180"/>
      <c r="X908" s="42"/>
      <c r="Y908" s="42"/>
      <c r="Z908" s="9"/>
      <c r="AA908" s="9"/>
      <c r="AB908" s="9"/>
      <c r="AC908" s="158"/>
      <c r="AD908" s="39"/>
      <c r="AE908" s="39"/>
      <c r="AF908" s="39"/>
      <c r="AG908" s="39"/>
      <c r="AH908" s="39"/>
      <c r="AI908" s="165"/>
      <c r="AJ908" s="165"/>
      <c r="AK908" s="111"/>
      <c r="AL908" s="111"/>
      <c r="AM908" s="111"/>
      <c r="AN908" s="111"/>
      <c r="AO908" s="111"/>
      <c r="AP908" s="111"/>
      <c r="AQ908" s="116"/>
      <c r="AR908" s="116"/>
      <c r="AS908" s="116"/>
    </row>
    <row r="909">
      <c r="A909" s="42"/>
      <c r="B909" s="42"/>
      <c r="C909" s="42"/>
      <c r="D909" s="42"/>
      <c r="E909" s="42"/>
      <c r="F909" s="42"/>
      <c r="G909" s="42"/>
      <c r="H909" s="42"/>
      <c r="I909" s="42"/>
      <c r="J909" s="42"/>
      <c r="K909" s="42"/>
      <c r="L909" s="42"/>
      <c r="M909" s="42"/>
      <c r="N909" s="42"/>
      <c r="O909" s="31"/>
      <c r="P909" s="9"/>
      <c r="Q909" s="9"/>
      <c r="R909" s="179"/>
      <c r="S909" s="179"/>
      <c r="T909" s="179"/>
      <c r="U909" s="179"/>
      <c r="V909" s="180"/>
      <c r="W909" s="180"/>
      <c r="X909" s="42"/>
      <c r="Y909" s="42"/>
      <c r="Z909" s="9"/>
      <c r="AA909" s="9"/>
      <c r="AB909" s="9"/>
      <c r="AC909" s="158"/>
      <c r="AD909" s="39"/>
      <c r="AE909" s="39"/>
      <c r="AF909" s="39"/>
      <c r="AG909" s="39"/>
      <c r="AH909" s="39"/>
      <c r="AI909" s="165"/>
      <c r="AJ909" s="165"/>
      <c r="AK909" s="111"/>
      <c r="AL909" s="111"/>
      <c r="AM909" s="111"/>
      <c r="AN909" s="111"/>
      <c r="AO909" s="111"/>
      <c r="AP909" s="111"/>
      <c r="AQ909" s="116"/>
      <c r="AR909" s="116"/>
      <c r="AS909" s="116"/>
    </row>
    <row r="910">
      <c r="A910" s="42"/>
      <c r="B910" s="42"/>
      <c r="C910" s="42"/>
      <c r="D910" s="42"/>
      <c r="E910" s="42"/>
      <c r="F910" s="42"/>
      <c r="G910" s="42"/>
      <c r="H910" s="42"/>
      <c r="I910" s="42"/>
      <c r="J910" s="42"/>
      <c r="K910" s="42"/>
      <c r="L910" s="42"/>
      <c r="M910" s="42"/>
      <c r="N910" s="42"/>
      <c r="O910" s="31"/>
      <c r="P910" s="9"/>
      <c r="Q910" s="9"/>
      <c r="R910" s="179"/>
      <c r="S910" s="179"/>
      <c r="T910" s="179"/>
      <c r="U910" s="179"/>
      <c r="V910" s="180"/>
      <c r="W910" s="180"/>
      <c r="X910" s="42"/>
      <c r="Y910" s="42"/>
      <c r="Z910" s="9"/>
      <c r="AA910" s="9"/>
      <c r="AB910" s="9"/>
      <c r="AC910" s="158"/>
      <c r="AD910" s="39"/>
      <c r="AE910" s="39"/>
      <c r="AF910" s="39"/>
      <c r="AG910" s="39"/>
      <c r="AH910" s="39"/>
      <c r="AI910" s="165"/>
      <c r="AJ910" s="165"/>
      <c r="AK910" s="111"/>
      <c r="AL910" s="111"/>
      <c r="AM910" s="111"/>
      <c r="AN910" s="111"/>
      <c r="AO910" s="111"/>
      <c r="AP910" s="111"/>
      <c r="AQ910" s="116"/>
      <c r="AR910" s="116"/>
      <c r="AS910" s="116"/>
    </row>
    <row r="911">
      <c r="A911" s="42"/>
      <c r="B911" s="42"/>
      <c r="C911" s="42"/>
      <c r="D911" s="42"/>
      <c r="E911" s="42"/>
      <c r="F911" s="42"/>
      <c r="G911" s="42"/>
      <c r="H911" s="42"/>
      <c r="I911" s="42"/>
      <c r="J911" s="42"/>
      <c r="K911" s="42"/>
      <c r="L911" s="42"/>
      <c r="M911" s="42"/>
      <c r="N911" s="42"/>
      <c r="O911" s="31"/>
      <c r="P911" s="9"/>
      <c r="Q911" s="9"/>
      <c r="R911" s="179"/>
      <c r="S911" s="179"/>
      <c r="T911" s="179"/>
      <c r="U911" s="179"/>
      <c r="V911" s="180"/>
      <c r="W911" s="180"/>
      <c r="X911" s="42"/>
      <c r="Y911" s="42"/>
      <c r="Z911" s="9"/>
      <c r="AA911" s="9"/>
      <c r="AB911" s="9"/>
      <c r="AC911" s="158"/>
      <c r="AD911" s="39"/>
      <c r="AE911" s="39"/>
      <c r="AF911" s="39"/>
      <c r="AG911" s="39"/>
      <c r="AH911" s="39"/>
      <c r="AI911" s="165"/>
      <c r="AJ911" s="165"/>
      <c r="AK911" s="111"/>
      <c r="AL911" s="111"/>
      <c r="AM911" s="111"/>
      <c r="AN911" s="111"/>
      <c r="AO911" s="111"/>
      <c r="AP911" s="111"/>
      <c r="AQ911" s="116"/>
      <c r="AR911" s="116"/>
      <c r="AS911" s="116"/>
    </row>
    <row r="912">
      <c r="A912" s="42"/>
      <c r="B912" s="42"/>
      <c r="C912" s="42"/>
      <c r="D912" s="42"/>
      <c r="E912" s="42"/>
      <c r="F912" s="42"/>
      <c r="G912" s="42"/>
      <c r="H912" s="42"/>
      <c r="I912" s="42"/>
      <c r="J912" s="42"/>
      <c r="K912" s="42"/>
      <c r="L912" s="42"/>
      <c r="M912" s="42"/>
      <c r="N912" s="42"/>
      <c r="O912" s="31"/>
      <c r="P912" s="9"/>
      <c r="Q912" s="9"/>
      <c r="R912" s="179"/>
      <c r="S912" s="179"/>
      <c r="T912" s="179"/>
      <c r="U912" s="179"/>
      <c r="V912" s="180"/>
      <c r="W912" s="180"/>
      <c r="X912" s="42"/>
      <c r="Y912" s="42"/>
      <c r="Z912" s="9"/>
      <c r="AA912" s="9"/>
      <c r="AB912" s="9"/>
      <c r="AC912" s="158"/>
      <c r="AD912" s="39"/>
      <c r="AE912" s="39"/>
      <c r="AF912" s="39"/>
      <c r="AG912" s="39"/>
      <c r="AH912" s="39"/>
      <c r="AI912" s="165"/>
      <c r="AJ912" s="165"/>
      <c r="AK912" s="111"/>
      <c r="AL912" s="111"/>
      <c r="AM912" s="111"/>
      <c r="AN912" s="111"/>
      <c r="AO912" s="111"/>
      <c r="AP912" s="111"/>
      <c r="AQ912" s="116"/>
      <c r="AR912" s="116"/>
      <c r="AS912" s="116"/>
    </row>
    <row r="913">
      <c r="A913" s="42"/>
      <c r="B913" s="42"/>
      <c r="C913" s="42"/>
      <c r="D913" s="42"/>
      <c r="E913" s="42"/>
      <c r="F913" s="42"/>
      <c r="G913" s="42"/>
      <c r="H913" s="42"/>
      <c r="I913" s="42"/>
      <c r="J913" s="42"/>
      <c r="K913" s="42"/>
      <c r="L913" s="42"/>
      <c r="M913" s="42"/>
      <c r="N913" s="42"/>
      <c r="O913" s="31"/>
      <c r="P913" s="9"/>
      <c r="Q913" s="9"/>
      <c r="R913" s="179"/>
      <c r="S913" s="179"/>
      <c r="T913" s="179"/>
      <c r="U913" s="179"/>
      <c r="V913" s="180"/>
      <c r="W913" s="180"/>
      <c r="X913" s="42"/>
      <c r="Y913" s="42"/>
      <c r="Z913" s="9"/>
      <c r="AA913" s="9"/>
      <c r="AB913" s="9"/>
      <c r="AC913" s="158"/>
      <c r="AD913" s="39"/>
      <c r="AE913" s="39"/>
      <c r="AF913" s="39"/>
      <c r="AG913" s="39"/>
      <c r="AH913" s="39"/>
      <c r="AI913" s="165"/>
      <c r="AJ913" s="165"/>
      <c r="AK913" s="111"/>
      <c r="AL913" s="111"/>
      <c r="AM913" s="111"/>
      <c r="AN913" s="111"/>
      <c r="AO913" s="111"/>
      <c r="AP913" s="111"/>
      <c r="AQ913" s="116"/>
      <c r="AR913" s="116"/>
      <c r="AS913" s="116"/>
    </row>
    <row r="914">
      <c r="A914" s="42"/>
      <c r="B914" s="42"/>
      <c r="C914" s="42"/>
      <c r="D914" s="42"/>
      <c r="E914" s="42"/>
      <c r="F914" s="42"/>
      <c r="G914" s="42"/>
      <c r="H914" s="42"/>
      <c r="I914" s="42"/>
      <c r="J914" s="42"/>
      <c r="K914" s="42"/>
      <c r="L914" s="42"/>
      <c r="M914" s="42"/>
      <c r="N914" s="42"/>
      <c r="O914" s="31"/>
      <c r="P914" s="9"/>
      <c r="Q914" s="9"/>
      <c r="R914" s="179"/>
      <c r="S914" s="179"/>
      <c r="T914" s="179"/>
      <c r="U914" s="179"/>
      <c r="V914" s="180"/>
      <c r="W914" s="180"/>
      <c r="X914" s="42"/>
      <c r="Y914" s="42"/>
      <c r="Z914" s="9"/>
      <c r="AA914" s="9"/>
      <c r="AB914" s="9"/>
      <c r="AC914" s="158"/>
      <c r="AD914" s="39"/>
      <c r="AE914" s="39"/>
      <c r="AF914" s="39"/>
      <c r="AG914" s="39"/>
      <c r="AH914" s="39"/>
      <c r="AI914" s="165"/>
      <c r="AJ914" s="165"/>
      <c r="AK914" s="111"/>
      <c r="AL914" s="111"/>
      <c r="AM914" s="111"/>
      <c r="AN914" s="111"/>
      <c r="AO914" s="111"/>
      <c r="AP914" s="111"/>
      <c r="AQ914" s="116"/>
      <c r="AR914" s="116"/>
      <c r="AS914" s="116"/>
    </row>
    <row r="915">
      <c r="A915" s="42"/>
      <c r="B915" s="42"/>
      <c r="C915" s="42"/>
      <c r="D915" s="42"/>
      <c r="E915" s="42"/>
      <c r="F915" s="42"/>
      <c r="G915" s="42"/>
      <c r="H915" s="42"/>
      <c r="I915" s="42"/>
      <c r="J915" s="42"/>
      <c r="K915" s="42"/>
      <c r="L915" s="42"/>
      <c r="M915" s="42"/>
      <c r="N915" s="42"/>
      <c r="O915" s="31"/>
      <c r="P915" s="9"/>
      <c r="Q915" s="9"/>
      <c r="R915" s="179"/>
      <c r="S915" s="179"/>
      <c r="T915" s="179"/>
      <c r="U915" s="179"/>
      <c r="V915" s="180"/>
      <c r="W915" s="180"/>
      <c r="X915" s="42"/>
      <c r="Y915" s="42"/>
      <c r="Z915" s="9"/>
      <c r="AA915" s="9"/>
      <c r="AB915" s="9"/>
      <c r="AC915" s="158"/>
      <c r="AD915" s="39"/>
      <c r="AE915" s="39"/>
      <c r="AF915" s="39"/>
      <c r="AG915" s="39"/>
      <c r="AH915" s="39"/>
      <c r="AI915" s="165"/>
      <c r="AJ915" s="165"/>
      <c r="AK915" s="111"/>
      <c r="AL915" s="111"/>
      <c r="AM915" s="111"/>
      <c r="AN915" s="111"/>
      <c r="AO915" s="111"/>
      <c r="AP915" s="111"/>
      <c r="AQ915" s="116"/>
      <c r="AR915" s="116"/>
      <c r="AS915" s="116"/>
    </row>
    <row r="916">
      <c r="A916" s="42"/>
      <c r="B916" s="42"/>
      <c r="C916" s="42"/>
      <c r="D916" s="42"/>
      <c r="E916" s="42"/>
      <c r="F916" s="42"/>
      <c r="G916" s="42"/>
      <c r="H916" s="42"/>
      <c r="I916" s="42"/>
      <c r="J916" s="42"/>
      <c r="K916" s="42"/>
      <c r="L916" s="42"/>
      <c r="M916" s="42"/>
      <c r="N916" s="42"/>
      <c r="O916" s="31"/>
      <c r="P916" s="9"/>
      <c r="Q916" s="9"/>
      <c r="R916" s="179"/>
      <c r="S916" s="179"/>
      <c r="T916" s="179"/>
      <c r="U916" s="179"/>
      <c r="V916" s="180"/>
      <c r="W916" s="180"/>
      <c r="X916" s="42"/>
      <c r="Y916" s="42"/>
      <c r="Z916" s="9"/>
      <c r="AA916" s="9"/>
      <c r="AB916" s="9"/>
      <c r="AC916" s="158"/>
      <c r="AD916" s="39"/>
      <c r="AE916" s="39"/>
      <c r="AF916" s="39"/>
      <c r="AG916" s="39"/>
      <c r="AH916" s="39"/>
      <c r="AI916" s="165"/>
      <c r="AJ916" s="165"/>
      <c r="AK916" s="111"/>
      <c r="AL916" s="111"/>
      <c r="AM916" s="111"/>
      <c r="AN916" s="111"/>
      <c r="AO916" s="111"/>
      <c r="AP916" s="111"/>
      <c r="AQ916" s="116"/>
      <c r="AR916" s="116"/>
      <c r="AS916" s="116"/>
    </row>
    <row r="917">
      <c r="A917" s="42"/>
      <c r="B917" s="42"/>
      <c r="C917" s="42"/>
      <c r="D917" s="42"/>
      <c r="E917" s="42"/>
      <c r="F917" s="42"/>
      <c r="G917" s="42"/>
      <c r="H917" s="42"/>
      <c r="I917" s="42"/>
      <c r="J917" s="42"/>
      <c r="K917" s="42"/>
      <c r="L917" s="42"/>
      <c r="M917" s="42"/>
      <c r="N917" s="42"/>
      <c r="O917" s="31"/>
      <c r="P917" s="9"/>
      <c r="Q917" s="9"/>
      <c r="R917" s="179"/>
      <c r="S917" s="179"/>
      <c r="T917" s="179"/>
      <c r="U917" s="179"/>
      <c r="V917" s="180"/>
      <c r="W917" s="180"/>
      <c r="X917" s="42"/>
      <c r="Y917" s="42"/>
      <c r="Z917" s="9"/>
      <c r="AA917" s="9"/>
      <c r="AB917" s="9"/>
      <c r="AC917" s="158"/>
      <c r="AD917" s="39"/>
      <c r="AE917" s="39"/>
      <c r="AF917" s="39"/>
      <c r="AG917" s="39"/>
      <c r="AH917" s="39"/>
      <c r="AI917" s="165"/>
      <c r="AJ917" s="165"/>
      <c r="AK917" s="111"/>
      <c r="AL917" s="111"/>
      <c r="AM917" s="111"/>
      <c r="AN917" s="111"/>
      <c r="AO917" s="111"/>
      <c r="AP917" s="111"/>
      <c r="AQ917" s="116"/>
      <c r="AR917" s="116"/>
      <c r="AS917" s="116"/>
    </row>
    <row r="918">
      <c r="A918" s="42"/>
      <c r="B918" s="42"/>
      <c r="C918" s="42"/>
      <c r="D918" s="42"/>
      <c r="E918" s="42"/>
      <c r="F918" s="42"/>
      <c r="G918" s="42"/>
      <c r="H918" s="42"/>
      <c r="I918" s="42"/>
      <c r="J918" s="42"/>
      <c r="K918" s="42"/>
      <c r="L918" s="42"/>
      <c r="M918" s="42"/>
      <c r="N918" s="42"/>
      <c r="O918" s="31"/>
      <c r="P918" s="9"/>
      <c r="Q918" s="9"/>
      <c r="R918" s="179"/>
      <c r="S918" s="179"/>
      <c r="T918" s="179"/>
      <c r="U918" s="179"/>
      <c r="V918" s="180"/>
      <c r="W918" s="180"/>
      <c r="X918" s="42"/>
      <c r="Y918" s="42"/>
      <c r="Z918" s="9"/>
      <c r="AA918" s="9"/>
      <c r="AB918" s="9"/>
      <c r="AC918" s="158"/>
      <c r="AD918" s="39"/>
      <c r="AE918" s="39"/>
      <c r="AF918" s="39"/>
      <c r="AG918" s="39"/>
      <c r="AH918" s="39"/>
      <c r="AI918" s="165"/>
      <c r="AJ918" s="165"/>
      <c r="AK918" s="111"/>
      <c r="AL918" s="111"/>
      <c r="AM918" s="111"/>
      <c r="AN918" s="111"/>
      <c r="AO918" s="111"/>
      <c r="AP918" s="111"/>
      <c r="AQ918" s="116"/>
      <c r="AR918" s="116"/>
      <c r="AS918" s="116"/>
    </row>
    <row r="919">
      <c r="A919" s="42"/>
      <c r="B919" s="42"/>
      <c r="C919" s="42"/>
      <c r="D919" s="42"/>
      <c r="E919" s="42"/>
      <c r="F919" s="42"/>
      <c r="G919" s="42"/>
      <c r="H919" s="42"/>
      <c r="I919" s="42"/>
      <c r="J919" s="42"/>
      <c r="K919" s="42"/>
      <c r="L919" s="42"/>
      <c r="M919" s="42"/>
      <c r="N919" s="42"/>
      <c r="O919" s="31"/>
      <c r="P919" s="9"/>
      <c r="Q919" s="9"/>
      <c r="R919" s="179"/>
      <c r="S919" s="179"/>
      <c r="T919" s="179"/>
      <c r="U919" s="179"/>
      <c r="V919" s="180"/>
      <c r="W919" s="180"/>
      <c r="X919" s="42"/>
      <c r="Y919" s="42"/>
      <c r="Z919" s="9"/>
      <c r="AA919" s="9"/>
      <c r="AB919" s="9"/>
      <c r="AC919" s="158"/>
      <c r="AD919" s="39"/>
      <c r="AE919" s="39"/>
      <c r="AF919" s="39"/>
      <c r="AG919" s="39"/>
      <c r="AH919" s="39"/>
      <c r="AI919" s="165"/>
      <c r="AJ919" s="165"/>
      <c r="AK919" s="111"/>
      <c r="AL919" s="111"/>
      <c r="AM919" s="111"/>
      <c r="AN919" s="111"/>
      <c r="AO919" s="111"/>
      <c r="AP919" s="111"/>
      <c r="AQ919" s="116"/>
      <c r="AR919" s="116"/>
      <c r="AS919" s="116"/>
    </row>
    <row r="920">
      <c r="A920" s="42"/>
      <c r="B920" s="42"/>
      <c r="C920" s="42"/>
      <c r="D920" s="42"/>
      <c r="E920" s="42"/>
      <c r="F920" s="42"/>
      <c r="G920" s="42"/>
      <c r="H920" s="42"/>
      <c r="I920" s="42"/>
      <c r="J920" s="42"/>
      <c r="K920" s="42"/>
      <c r="L920" s="42"/>
      <c r="M920" s="42"/>
      <c r="N920" s="42"/>
      <c r="O920" s="31"/>
      <c r="P920" s="9"/>
      <c r="Q920" s="9"/>
      <c r="R920" s="179"/>
      <c r="S920" s="179"/>
      <c r="T920" s="179"/>
      <c r="U920" s="179"/>
      <c r="V920" s="180"/>
      <c r="W920" s="180"/>
      <c r="X920" s="42"/>
      <c r="Y920" s="42"/>
      <c r="Z920" s="9"/>
      <c r="AA920" s="9"/>
      <c r="AB920" s="9"/>
      <c r="AC920" s="158"/>
      <c r="AD920" s="39"/>
      <c r="AE920" s="39"/>
      <c r="AF920" s="39"/>
      <c r="AG920" s="39"/>
      <c r="AH920" s="39"/>
      <c r="AI920" s="165"/>
      <c r="AJ920" s="165"/>
      <c r="AK920" s="111"/>
      <c r="AL920" s="111"/>
      <c r="AM920" s="111"/>
      <c r="AN920" s="111"/>
      <c r="AO920" s="111"/>
      <c r="AP920" s="111"/>
      <c r="AQ920" s="116"/>
      <c r="AR920" s="116"/>
      <c r="AS920" s="116"/>
    </row>
    <row r="921">
      <c r="A921" s="42"/>
      <c r="B921" s="42"/>
      <c r="C921" s="42"/>
      <c r="D921" s="42"/>
      <c r="E921" s="42"/>
      <c r="F921" s="42"/>
      <c r="G921" s="42"/>
      <c r="H921" s="42"/>
      <c r="I921" s="42"/>
      <c r="J921" s="42"/>
      <c r="K921" s="42"/>
      <c r="L921" s="42"/>
      <c r="M921" s="42"/>
      <c r="N921" s="42"/>
      <c r="O921" s="31"/>
      <c r="P921" s="9"/>
      <c r="Q921" s="9"/>
      <c r="R921" s="179"/>
      <c r="S921" s="179"/>
      <c r="T921" s="179"/>
      <c r="U921" s="179"/>
      <c r="V921" s="180"/>
      <c r="W921" s="180"/>
      <c r="X921" s="42"/>
      <c r="Y921" s="42"/>
      <c r="Z921" s="9"/>
      <c r="AA921" s="9"/>
      <c r="AB921" s="9"/>
      <c r="AC921" s="158"/>
      <c r="AD921" s="39"/>
      <c r="AE921" s="39"/>
      <c r="AF921" s="39"/>
      <c r="AG921" s="39"/>
      <c r="AH921" s="39"/>
      <c r="AI921" s="165"/>
      <c r="AJ921" s="165"/>
      <c r="AK921" s="111"/>
      <c r="AL921" s="111"/>
      <c r="AM921" s="111"/>
      <c r="AN921" s="111"/>
      <c r="AO921" s="111"/>
      <c r="AP921" s="111"/>
      <c r="AQ921" s="116"/>
      <c r="AR921" s="116"/>
      <c r="AS921" s="116"/>
    </row>
    <row r="922">
      <c r="A922" s="42"/>
      <c r="B922" s="42"/>
      <c r="C922" s="42"/>
      <c r="D922" s="42"/>
      <c r="E922" s="42"/>
      <c r="F922" s="42"/>
      <c r="G922" s="42"/>
      <c r="H922" s="42"/>
      <c r="I922" s="42"/>
      <c r="J922" s="42"/>
      <c r="K922" s="42"/>
      <c r="L922" s="42"/>
      <c r="M922" s="42"/>
      <c r="N922" s="42"/>
      <c r="O922" s="31"/>
      <c r="P922" s="9"/>
      <c r="Q922" s="9"/>
      <c r="R922" s="179"/>
      <c r="S922" s="179"/>
      <c r="T922" s="179"/>
      <c r="U922" s="179"/>
      <c r="V922" s="180"/>
      <c r="W922" s="180"/>
      <c r="X922" s="42"/>
      <c r="Y922" s="42"/>
      <c r="Z922" s="9"/>
      <c r="AA922" s="9"/>
      <c r="AB922" s="9"/>
      <c r="AC922" s="158"/>
      <c r="AD922" s="39"/>
      <c r="AE922" s="39"/>
      <c r="AF922" s="39"/>
      <c r="AG922" s="39"/>
      <c r="AH922" s="39"/>
      <c r="AI922" s="165"/>
      <c r="AJ922" s="165"/>
      <c r="AK922" s="111"/>
      <c r="AL922" s="111"/>
      <c r="AM922" s="111"/>
      <c r="AN922" s="111"/>
      <c r="AO922" s="111"/>
      <c r="AP922" s="111"/>
      <c r="AQ922" s="116"/>
      <c r="AR922" s="116"/>
      <c r="AS922" s="116"/>
    </row>
    <row r="923">
      <c r="A923" s="42"/>
      <c r="B923" s="42"/>
      <c r="C923" s="42"/>
      <c r="D923" s="42"/>
      <c r="E923" s="42"/>
      <c r="F923" s="42"/>
      <c r="G923" s="42"/>
      <c r="H923" s="42"/>
      <c r="I923" s="42"/>
      <c r="J923" s="42"/>
      <c r="K923" s="42"/>
      <c r="L923" s="42"/>
      <c r="M923" s="42"/>
      <c r="N923" s="42"/>
      <c r="O923" s="31"/>
      <c r="P923" s="9"/>
      <c r="Q923" s="9"/>
      <c r="R923" s="179"/>
      <c r="S923" s="179"/>
      <c r="T923" s="179"/>
      <c r="U923" s="179"/>
      <c r="V923" s="180"/>
      <c r="W923" s="180"/>
      <c r="X923" s="42"/>
      <c r="Y923" s="42"/>
      <c r="Z923" s="9"/>
      <c r="AA923" s="9"/>
      <c r="AB923" s="9"/>
      <c r="AC923" s="158"/>
      <c r="AD923" s="39"/>
      <c r="AE923" s="39"/>
      <c r="AF923" s="39"/>
      <c r="AG923" s="39"/>
      <c r="AH923" s="39"/>
      <c r="AI923" s="165"/>
      <c r="AJ923" s="165"/>
      <c r="AK923" s="111"/>
      <c r="AL923" s="111"/>
      <c r="AM923" s="111"/>
      <c r="AN923" s="111"/>
      <c r="AO923" s="111"/>
      <c r="AP923" s="111"/>
      <c r="AQ923" s="116"/>
      <c r="AR923" s="116"/>
      <c r="AS923" s="116"/>
    </row>
    <row r="924">
      <c r="A924" s="42"/>
      <c r="B924" s="42"/>
      <c r="C924" s="42"/>
      <c r="D924" s="42"/>
      <c r="E924" s="42"/>
      <c r="F924" s="42"/>
      <c r="G924" s="42"/>
      <c r="H924" s="42"/>
      <c r="I924" s="42"/>
      <c r="J924" s="42"/>
      <c r="K924" s="42"/>
      <c r="L924" s="42"/>
      <c r="M924" s="42"/>
      <c r="N924" s="42"/>
      <c r="O924" s="31"/>
      <c r="P924" s="9"/>
      <c r="Q924" s="9"/>
      <c r="R924" s="179"/>
      <c r="S924" s="179"/>
      <c r="T924" s="179"/>
      <c r="U924" s="179"/>
      <c r="V924" s="180"/>
      <c r="W924" s="180"/>
      <c r="X924" s="42"/>
      <c r="Y924" s="42"/>
      <c r="Z924" s="9"/>
      <c r="AA924" s="9"/>
      <c r="AB924" s="9"/>
      <c r="AC924" s="158"/>
      <c r="AD924" s="39"/>
      <c r="AE924" s="39"/>
      <c r="AF924" s="39"/>
      <c r="AG924" s="39"/>
      <c r="AH924" s="39"/>
      <c r="AI924" s="165"/>
      <c r="AJ924" s="165"/>
      <c r="AK924" s="111"/>
      <c r="AL924" s="111"/>
      <c r="AM924" s="111"/>
      <c r="AN924" s="111"/>
      <c r="AO924" s="111"/>
      <c r="AP924" s="111"/>
      <c r="AQ924" s="116"/>
      <c r="AR924" s="116"/>
      <c r="AS924" s="116"/>
    </row>
    <row r="925">
      <c r="A925" s="42"/>
      <c r="B925" s="42"/>
      <c r="C925" s="42"/>
      <c r="D925" s="42"/>
      <c r="E925" s="42"/>
      <c r="F925" s="42"/>
      <c r="G925" s="42"/>
      <c r="H925" s="42"/>
      <c r="I925" s="42"/>
      <c r="J925" s="42"/>
      <c r="K925" s="42"/>
      <c r="L925" s="42"/>
      <c r="M925" s="42"/>
      <c r="N925" s="42"/>
      <c r="O925" s="31"/>
      <c r="P925" s="9"/>
      <c r="Q925" s="9"/>
      <c r="R925" s="179"/>
      <c r="S925" s="179"/>
      <c r="T925" s="179"/>
      <c r="U925" s="179"/>
      <c r="V925" s="180"/>
      <c r="W925" s="180"/>
      <c r="X925" s="42"/>
      <c r="Y925" s="42"/>
      <c r="Z925" s="9"/>
      <c r="AA925" s="9"/>
      <c r="AB925" s="9"/>
      <c r="AC925" s="158"/>
      <c r="AD925" s="39"/>
      <c r="AE925" s="39"/>
      <c r="AF925" s="39"/>
      <c r="AG925" s="39"/>
      <c r="AH925" s="39"/>
      <c r="AI925" s="165"/>
      <c r="AJ925" s="165"/>
      <c r="AK925" s="111"/>
      <c r="AL925" s="111"/>
      <c r="AM925" s="111"/>
      <c r="AN925" s="111"/>
      <c r="AO925" s="111"/>
      <c r="AP925" s="111"/>
      <c r="AQ925" s="116"/>
      <c r="AR925" s="116"/>
      <c r="AS925" s="116"/>
    </row>
    <row r="926">
      <c r="A926" s="42"/>
      <c r="B926" s="42"/>
      <c r="C926" s="42"/>
      <c r="D926" s="42"/>
      <c r="E926" s="42"/>
      <c r="F926" s="42"/>
      <c r="G926" s="42"/>
      <c r="H926" s="42"/>
      <c r="I926" s="42"/>
      <c r="J926" s="42"/>
      <c r="K926" s="42"/>
      <c r="L926" s="42"/>
      <c r="M926" s="42"/>
      <c r="N926" s="42"/>
      <c r="O926" s="31"/>
      <c r="P926" s="9"/>
      <c r="Q926" s="9"/>
      <c r="R926" s="179"/>
      <c r="S926" s="179"/>
      <c r="T926" s="179"/>
      <c r="U926" s="179"/>
      <c r="V926" s="180"/>
      <c r="W926" s="180"/>
      <c r="X926" s="42"/>
      <c r="Y926" s="42"/>
      <c r="Z926" s="9"/>
      <c r="AA926" s="9"/>
      <c r="AB926" s="9"/>
      <c r="AC926" s="158"/>
      <c r="AD926" s="39"/>
      <c r="AE926" s="39"/>
      <c r="AF926" s="39"/>
      <c r="AG926" s="39"/>
      <c r="AH926" s="39"/>
      <c r="AI926" s="165"/>
      <c r="AJ926" s="165"/>
      <c r="AK926" s="111"/>
      <c r="AL926" s="111"/>
      <c r="AM926" s="111"/>
      <c r="AN926" s="111"/>
      <c r="AO926" s="111"/>
      <c r="AP926" s="111"/>
      <c r="AQ926" s="116"/>
      <c r="AR926" s="116"/>
      <c r="AS926" s="116"/>
    </row>
    <row r="927">
      <c r="A927" s="42"/>
      <c r="B927" s="42"/>
      <c r="C927" s="42"/>
      <c r="D927" s="42"/>
      <c r="E927" s="42"/>
      <c r="F927" s="42"/>
      <c r="G927" s="42"/>
      <c r="H927" s="42"/>
      <c r="I927" s="42"/>
      <c r="J927" s="42"/>
      <c r="K927" s="42"/>
      <c r="L927" s="42"/>
      <c r="M927" s="42"/>
      <c r="N927" s="42"/>
      <c r="O927" s="31"/>
      <c r="P927" s="9"/>
      <c r="Q927" s="9"/>
      <c r="R927" s="179"/>
      <c r="S927" s="179"/>
      <c r="T927" s="179"/>
      <c r="U927" s="179"/>
      <c r="V927" s="180"/>
      <c r="W927" s="180"/>
      <c r="X927" s="42"/>
      <c r="Y927" s="42"/>
      <c r="Z927" s="9"/>
      <c r="AA927" s="9"/>
      <c r="AB927" s="9"/>
      <c r="AC927" s="158"/>
      <c r="AD927" s="39"/>
      <c r="AE927" s="39"/>
      <c r="AF927" s="39"/>
      <c r="AG927" s="39"/>
      <c r="AH927" s="39"/>
      <c r="AI927" s="165"/>
      <c r="AJ927" s="165"/>
      <c r="AK927" s="111"/>
      <c r="AL927" s="111"/>
      <c r="AM927" s="111"/>
      <c r="AN927" s="111"/>
      <c r="AO927" s="111"/>
      <c r="AP927" s="111"/>
      <c r="AQ927" s="116"/>
      <c r="AR927" s="116"/>
      <c r="AS927" s="116"/>
    </row>
    <row r="928">
      <c r="A928" s="42"/>
      <c r="B928" s="42"/>
      <c r="C928" s="42"/>
      <c r="D928" s="42"/>
      <c r="E928" s="42"/>
      <c r="F928" s="42"/>
      <c r="G928" s="42"/>
      <c r="H928" s="42"/>
      <c r="I928" s="42"/>
      <c r="J928" s="42"/>
      <c r="K928" s="42"/>
      <c r="L928" s="42"/>
      <c r="M928" s="42"/>
      <c r="N928" s="42"/>
      <c r="O928" s="31"/>
      <c r="P928" s="9"/>
      <c r="Q928" s="9"/>
      <c r="R928" s="179"/>
      <c r="S928" s="179"/>
      <c r="T928" s="179"/>
      <c r="U928" s="179"/>
      <c r="V928" s="180"/>
      <c r="W928" s="180"/>
      <c r="X928" s="42"/>
      <c r="Y928" s="42"/>
      <c r="Z928" s="9"/>
      <c r="AA928" s="9"/>
      <c r="AB928" s="9"/>
      <c r="AC928" s="158"/>
      <c r="AD928" s="39"/>
      <c r="AE928" s="39"/>
      <c r="AF928" s="39"/>
      <c r="AG928" s="39"/>
      <c r="AH928" s="39"/>
      <c r="AI928" s="165"/>
      <c r="AJ928" s="165"/>
      <c r="AK928" s="111"/>
      <c r="AL928" s="111"/>
      <c r="AM928" s="111"/>
      <c r="AN928" s="111"/>
      <c r="AO928" s="111"/>
      <c r="AP928" s="111"/>
      <c r="AQ928" s="116"/>
      <c r="AR928" s="116"/>
      <c r="AS928" s="116"/>
    </row>
    <row r="929">
      <c r="A929" s="42"/>
      <c r="B929" s="42"/>
      <c r="C929" s="42"/>
      <c r="D929" s="42"/>
      <c r="E929" s="42"/>
      <c r="F929" s="42"/>
      <c r="G929" s="42"/>
      <c r="H929" s="42"/>
      <c r="I929" s="42"/>
      <c r="J929" s="42"/>
      <c r="K929" s="42"/>
      <c r="L929" s="42"/>
      <c r="M929" s="42"/>
      <c r="N929" s="42"/>
      <c r="O929" s="9"/>
      <c r="P929" s="9"/>
      <c r="Q929" s="9"/>
      <c r="R929" s="179"/>
      <c r="S929" s="179"/>
      <c r="T929" s="179"/>
      <c r="U929" s="179"/>
      <c r="V929" s="180"/>
      <c r="W929" s="180"/>
      <c r="X929" s="42"/>
      <c r="Y929" s="42"/>
      <c r="Z929" s="9"/>
      <c r="AA929" s="9"/>
      <c r="AB929" s="9"/>
      <c r="AC929" s="158"/>
      <c r="AD929" s="39"/>
      <c r="AE929" s="39"/>
      <c r="AF929" s="39"/>
      <c r="AG929" s="39"/>
      <c r="AH929" s="39"/>
      <c r="AI929" s="165"/>
      <c r="AJ929" s="165"/>
      <c r="AK929" s="111"/>
      <c r="AL929" s="111"/>
      <c r="AM929" s="111"/>
      <c r="AN929" s="111"/>
      <c r="AO929" s="111"/>
      <c r="AP929" s="111"/>
      <c r="AQ929" s="116"/>
      <c r="AR929" s="116"/>
      <c r="AS929" s="116"/>
    </row>
    <row r="930">
      <c r="A930" s="42"/>
      <c r="B930" s="42"/>
      <c r="C930" s="42"/>
      <c r="D930" s="42"/>
      <c r="E930" s="42"/>
      <c r="F930" s="42"/>
      <c r="G930" s="42"/>
      <c r="H930" s="42"/>
      <c r="I930" s="42"/>
      <c r="J930" s="42"/>
      <c r="K930" s="42"/>
      <c r="L930" s="42"/>
      <c r="M930" s="42"/>
      <c r="N930" s="42"/>
      <c r="O930" s="9"/>
      <c r="P930" s="9"/>
      <c r="Q930" s="9"/>
      <c r="R930" s="179"/>
      <c r="S930" s="179"/>
      <c r="T930" s="179"/>
      <c r="U930" s="179"/>
      <c r="V930" s="180"/>
      <c r="W930" s="180"/>
      <c r="X930" s="42"/>
      <c r="Y930" s="42"/>
      <c r="Z930" s="9"/>
      <c r="AA930" s="9"/>
      <c r="AB930" s="9"/>
      <c r="AC930" s="158"/>
      <c r="AD930" s="39"/>
      <c r="AE930" s="39"/>
      <c r="AF930" s="39"/>
      <c r="AG930" s="39"/>
      <c r="AH930" s="39"/>
      <c r="AI930" s="165"/>
      <c r="AJ930" s="165"/>
      <c r="AK930" s="111"/>
      <c r="AL930" s="111"/>
      <c r="AM930" s="111"/>
      <c r="AN930" s="111"/>
      <c r="AO930" s="111"/>
      <c r="AP930" s="111"/>
      <c r="AQ930" s="116"/>
      <c r="AR930" s="116"/>
      <c r="AS930" s="116"/>
    </row>
    <row r="931">
      <c r="A931" s="42"/>
      <c r="B931" s="42"/>
      <c r="C931" s="42"/>
      <c r="D931" s="42"/>
      <c r="E931" s="42"/>
      <c r="F931" s="42"/>
      <c r="G931" s="42"/>
      <c r="H931" s="42"/>
      <c r="I931" s="42"/>
      <c r="J931" s="42"/>
      <c r="K931" s="42"/>
      <c r="L931" s="42"/>
      <c r="M931" s="42"/>
      <c r="N931" s="42"/>
      <c r="O931" s="9"/>
      <c r="P931" s="9"/>
      <c r="Q931" s="9"/>
      <c r="R931" s="179"/>
      <c r="S931" s="179"/>
      <c r="T931" s="179"/>
      <c r="U931" s="179"/>
      <c r="V931" s="180"/>
      <c r="W931" s="180"/>
      <c r="X931" s="42"/>
      <c r="Y931" s="42"/>
      <c r="Z931" s="9"/>
      <c r="AA931" s="9"/>
      <c r="AB931" s="9"/>
      <c r="AC931" s="158"/>
      <c r="AD931" s="39"/>
      <c r="AE931" s="39"/>
      <c r="AF931" s="39"/>
      <c r="AG931" s="39"/>
      <c r="AH931" s="39"/>
      <c r="AI931" s="165"/>
      <c r="AJ931" s="165"/>
      <c r="AK931" s="111"/>
      <c r="AL931" s="111"/>
      <c r="AM931" s="111"/>
      <c r="AN931" s="111"/>
      <c r="AO931" s="111"/>
      <c r="AP931" s="111"/>
      <c r="AQ931" s="116"/>
      <c r="AR931" s="116"/>
      <c r="AS931" s="116"/>
    </row>
    <row r="932">
      <c r="A932" s="42"/>
      <c r="B932" s="42"/>
      <c r="C932" s="42"/>
      <c r="D932" s="42"/>
      <c r="E932" s="42"/>
      <c r="F932" s="42"/>
      <c r="G932" s="42"/>
      <c r="H932" s="42"/>
      <c r="I932" s="42"/>
      <c r="J932" s="42"/>
      <c r="K932" s="42"/>
      <c r="L932" s="42"/>
      <c r="M932" s="42"/>
      <c r="N932" s="42"/>
      <c r="O932" s="9"/>
      <c r="P932" s="9"/>
      <c r="Q932" s="9"/>
      <c r="R932" s="179"/>
      <c r="S932" s="179"/>
      <c r="T932" s="179"/>
      <c r="U932" s="179"/>
      <c r="V932" s="180"/>
      <c r="W932" s="180"/>
      <c r="X932" s="42"/>
      <c r="Y932" s="42"/>
      <c r="Z932" s="9"/>
      <c r="AA932" s="9"/>
      <c r="AB932" s="9"/>
      <c r="AC932" s="158"/>
      <c r="AD932" s="39"/>
      <c r="AE932" s="39"/>
      <c r="AF932" s="39"/>
      <c r="AG932" s="39"/>
      <c r="AH932" s="39"/>
      <c r="AI932" s="165"/>
      <c r="AJ932" s="165"/>
      <c r="AK932" s="111"/>
      <c r="AL932" s="111"/>
      <c r="AM932" s="111"/>
      <c r="AN932" s="111"/>
      <c r="AO932" s="111"/>
      <c r="AP932" s="111"/>
      <c r="AQ932" s="116"/>
      <c r="AR932" s="116"/>
      <c r="AS932" s="116"/>
    </row>
    <row r="933">
      <c r="A933" s="42"/>
      <c r="B933" s="42"/>
      <c r="C933" s="42"/>
      <c r="D933" s="42"/>
      <c r="E933" s="42"/>
      <c r="F933" s="42"/>
      <c r="G933" s="42"/>
      <c r="H933" s="42"/>
      <c r="I933" s="42"/>
      <c r="J933" s="42"/>
      <c r="K933" s="42"/>
      <c r="L933" s="42"/>
      <c r="M933" s="42"/>
      <c r="N933" s="42"/>
      <c r="O933" s="9"/>
      <c r="P933" s="9"/>
      <c r="Q933" s="9"/>
      <c r="R933" s="179"/>
      <c r="S933" s="179"/>
      <c r="T933" s="179"/>
      <c r="U933" s="179"/>
      <c r="V933" s="180"/>
      <c r="W933" s="180"/>
      <c r="X933" s="42"/>
      <c r="Y933" s="42"/>
      <c r="Z933" s="9"/>
      <c r="AA933" s="9"/>
      <c r="AB933" s="9"/>
      <c r="AC933" s="158"/>
      <c r="AD933" s="39"/>
      <c r="AE933" s="39"/>
      <c r="AF933" s="39"/>
      <c r="AG933" s="39"/>
      <c r="AH933" s="39"/>
      <c r="AI933" s="165"/>
      <c r="AJ933" s="165"/>
      <c r="AK933" s="111"/>
      <c r="AL933" s="111"/>
      <c r="AM933" s="111"/>
      <c r="AN933" s="111"/>
      <c r="AO933" s="111"/>
      <c r="AP933" s="111"/>
      <c r="AQ933" s="116"/>
      <c r="AR933" s="116"/>
      <c r="AS933" s="116"/>
    </row>
    <row r="934">
      <c r="A934" s="42"/>
      <c r="B934" s="42"/>
      <c r="C934" s="42"/>
      <c r="D934" s="42"/>
      <c r="E934" s="42"/>
      <c r="F934" s="42"/>
      <c r="G934" s="42"/>
      <c r="H934" s="42"/>
      <c r="I934" s="42"/>
      <c r="J934" s="42"/>
      <c r="K934" s="42"/>
      <c r="L934" s="42"/>
      <c r="M934" s="42"/>
      <c r="N934" s="42"/>
      <c r="O934" s="9"/>
      <c r="P934" s="9"/>
      <c r="Q934" s="9"/>
      <c r="R934" s="179"/>
      <c r="S934" s="179"/>
      <c r="T934" s="179"/>
      <c r="U934" s="179"/>
      <c r="V934" s="180"/>
      <c r="W934" s="180"/>
      <c r="X934" s="42"/>
      <c r="Y934" s="42"/>
      <c r="Z934" s="9"/>
      <c r="AA934" s="9"/>
      <c r="AB934" s="9"/>
      <c r="AC934" s="158"/>
      <c r="AD934" s="39"/>
      <c r="AE934" s="39"/>
      <c r="AF934" s="39"/>
      <c r="AG934" s="39"/>
      <c r="AH934" s="39"/>
      <c r="AI934" s="165"/>
      <c r="AJ934" s="165"/>
      <c r="AK934" s="111"/>
      <c r="AL934" s="111"/>
      <c r="AM934" s="111"/>
      <c r="AN934" s="111"/>
      <c r="AO934" s="111"/>
      <c r="AP934" s="111"/>
      <c r="AQ934" s="116"/>
      <c r="AR934" s="116"/>
      <c r="AS934" s="116"/>
    </row>
    <row r="935">
      <c r="A935" s="42"/>
      <c r="B935" s="42"/>
      <c r="C935" s="42"/>
      <c r="D935" s="42"/>
      <c r="E935" s="42"/>
      <c r="F935" s="42"/>
      <c r="G935" s="42"/>
      <c r="H935" s="42"/>
      <c r="I935" s="42"/>
      <c r="J935" s="42"/>
      <c r="K935" s="42"/>
      <c r="L935" s="42"/>
      <c r="M935" s="42"/>
      <c r="N935" s="42"/>
      <c r="O935" s="9"/>
      <c r="P935" s="9"/>
      <c r="Q935" s="9"/>
      <c r="R935" s="179"/>
      <c r="S935" s="179"/>
      <c r="T935" s="179"/>
      <c r="U935" s="179"/>
      <c r="V935" s="180"/>
      <c r="W935" s="180"/>
      <c r="X935" s="42"/>
      <c r="Y935" s="42"/>
      <c r="Z935" s="9"/>
      <c r="AA935" s="9"/>
      <c r="AB935" s="9"/>
      <c r="AC935" s="158"/>
      <c r="AD935" s="39"/>
      <c r="AE935" s="39"/>
      <c r="AF935" s="39"/>
      <c r="AG935" s="39"/>
      <c r="AH935" s="39"/>
      <c r="AI935" s="165"/>
      <c r="AJ935" s="165"/>
      <c r="AK935" s="111"/>
      <c r="AL935" s="111"/>
      <c r="AM935" s="111"/>
      <c r="AN935" s="111"/>
      <c r="AO935" s="111"/>
      <c r="AP935" s="111"/>
      <c r="AQ935" s="116"/>
      <c r="AR935" s="116"/>
      <c r="AS935" s="116"/>
    </row>
    <row r="936">
      <c r="A936" s="42"/>
      <c r="B936" s="42"/>
      <c r="C936" s="42"/>
      <c r="D936" s="42"/>
      <c r="E936" s="42"/>
      <c r="F936" s="42"/>
      <c r="G936" s="42"/>
      <c r="H936" s="42"/>
      <c r="I936" s="42"/>
      <c r="J936" s="42"/>
      <c r="K936" s="42"/>
      <c r="L936" s="42"/>
      <c r="M936" s="42"/>
      <c r="N936" s="42"/>
      <c r="O936" s="9"/>
      <c r="P936" s="9"/>
      <c r="Q936" s="9"/>
      <c r="R936" s="9"/>
      <c r="S936" s="9"/>
      <c r="T936" s="9"/>
      <c r="U936" s="181"/>
      <c r="V936" s="180"/>
      <c r="W936" s="180"/>
      <c r="X936" s="42"/>
      <c r="Y936" s="42"/>
      <c r="Z936" s="9"/>
      <c r="AA936" s="9"/>
      <c r="AB936" s="9"/>
      <c r="AC936" s="9"/>
      <c r="AD936" s="39"/>
      <c r="AE936" s="39"/>
      <c r="AF936" s="39"/>
      <c r="AG936" s="39"/>
      <c r="AH936" s="39"/>
      <c r="AI936" s="39"/>
      <c r="AJ936" s="39"/>
      <c r="AK936" s="239"/>
      <c r="AL936" s="239"/>
      <c r="AM936" s="239"/>
      <c r="AN936" s="239"/>
      <c r="AO936" s="239"/>
      <c r="AP936" s="239"/>
      <c r="AQ936" s="240"/>
      <c r="AR936" s="240"/>
      <c r="AS936" s="240"/>
    </row>
    <row r="937">
      <c r="A937" s="42"/>
      <c r="B937" s="42"/>
      <c r="C937" s="42"/>
      <c r="D937" s="42"/>
      <c r="E937" s="42"/>
      <c r="F937" s="42"/>
      <c r="G937" s="42"/>
      <c r="H937" s="42"/>
      <c r="I937" s="42"/>
      <c r="J937" s="42"/>
      <c r="K937" s="42"/>
      <c r="L937" s="42"/>
      <c r="M937" s="42"/>
      <c r="N937" s="42"/>
      <c r="O937" s="9"/>
      <c r="P937" s="9"/>
      <c r="Q937" s="9"/>
      <c r="R937" s="9"/>
      <c r="S937" s="9"/>
      <c r="T937" s="9"/>
      <c r="U937" s="181"/>
      <c r="V937" s="180"/>
      <c r="W937" s="180"/>
      <c r="X937" s="42"/>
      <c r="Y937" s="42"/>
      <c r="Z937" s="9"/>
      <c r="AA937" s="9"/>
      <c r="AB937" s="9"/>
      <c r="AC937" s="9"/>
      <c r="AD937" s="39"/>
      <c r="AE937" s="39"/>
      <c r="AF937" s="39"/>
      <c r="AG937" s="39"/>
      <c r="AH937" s="39"/>
      <c r="AI937" s="39"/>
      <c r="AJ937" s="39"/>
      <c r="AK937" s="239"/>
      <c r="AL937" s="239"/>
      <c r="AM937" s="239"/>
      <c r="AN937" s="239"/>
      <c r="AO937" s="239"/>
      <c r="AP937" s="239"/>
      <c r="AQ937" s="240"/>
      <c r="AR937" s="240"/>
      <c r="AS937" s="240"/>
    </row>
    <row r="938">
      <c r="A938" s="42"/>
      <c r="B938" s="42"/>
      <c r="C938" s="42"/>
      <c r="D938" s="42"/>
      <c r="E938" s="42"/>
      <c r="F938" s="42"/>
      <c r="G938" s="42"/>
      <c r="H938" s="42"/>
      <c r="I938" s="42"/>
      <c r="J938" s="42"/>
      <c r="K938" s="42"/>
      <c r="L938" s="42"/>
      <c r="M938" s="42"/>
      <c r="N938" s="42"/>
      <c r="O938" s="9"/>
      <c r="P938" s="9"/>
      <c r="Q938" s="9"/>
      <c r="R938" s="9"/>
      <c r="S938" s="9"/>
      <c r="T938" s="9"/>
      <c r="U938" s="181"/>
      <c r="V938" s="180"/>
      <c r="W938" s="180"/>
      <c r="X938" s="42"/>
      <c r="Y938" s="42"/>
      <c r="Z938" s="9"/>
      <c r="AA938" s="9"/>
      <c r="AB938" s="9"/>
      <c r="AC938" s="9"/>
      <c r="AD938" s="39"/>
      <c r="AE938" s="39"/>
      <c r="AF938" s="39"/>
      <c r="AG938" s="39"/>
      <c r="AH938" s="39"/>
      <c r="AI938" s="39"/>
      <c r="AJ938" s="39"/>
      <c r="AK938" s="239"/>
      <c r="AL938" s="239"/>
      <c r="AM938" s="239"/>
      <c r="AN938" s="239"/>
      <c r="AO938" s="239"/>
      <c r="AP938" s="239"/>
      <c r="AQ938" s="240"/>
      <c r="AR938" s="240"/>
      <c r="AS938" s="240"/>
    </row>
    <row r="939">
      <c r="A939" s="42"/>
      <c r="B939" s="42"/>
      <c r="C939" s="42"/>
      <c r="D939" s="42"/>
      <c r="E939" s="42"/>
      <c r="F939" s="42"/>
      <c r="G939" s="42"/>
      <c r="H939" s="42"/>
      <c r="I939" s="42"/>
      <c r="J939" s="42"/>
      <c r="K939" s="42"/>
      <c r="L939" s="42"/>
      <c r="M939" s="42"/>
      <c r="N939" s="42"/>
      <c r="O939" s="9"/>
      <c r="P939" s="9"/>
      <c r="Q939" s="9"/>
      <c r="R939" s="9"/>
      <c r="S939" s="9"/>
      <c r="T939" s="9"/>
      <c r="U939" s="181"/>
      <c r="V939" s="180"/>
      <c r="W939" s="180"/>
      <c r="X939" s="42"/>
      <c r="Y939" s="42"/>
      <c r="Z939" s="9"/>
      <c r="AA939" s="9"/>
      <c r="AB939" s="9"/>
      <c r="AC939" s="9"/>
      <c r="AD939" s="39"/>
      <c r="AE939" s="39"/>
      <c r="AF939" s="39"/>
      <c r="AG939" s="39"/>
      <c r="AH939" s="39"/>
      <c r="AI939" s="39"/>
      <c r="AJ939" s="39"/>
      <c r="AK939" s="239"/>
      <c r="AL939" s="239"/>
      <c r="AM939" s="239"/>
      <c r="AN939" s="239"/>
      <c r="AO939" s="239"/>
      <c r="AP939" s="239"/>
      <c r="AQ939" s="240"/>
      <c r="AR939" s="240"/>
      <c r="AS939" s="240"/>
    </row>
    <row r="940">
      <c r="A940" s="42"/>
      <c r="B940" s="42"/>
      <c r="C940" s="42"/>
      <c r="D940" s="42"/>
      <c r="E940" s="42"/>
      <c r="F940" s="42"/>
      <c r="G940" s="42"/>
      <c r="H940" s="42"/>
      <c r="I940" s="42"/>
      <c r="J940" s="42"/>
      <c r="K940" s="42"/>
      <c r="L940" s="42"/>
      <c r="M940" s="42"/>
      <c r="N940" s="42"/>
      <c r="O940" s="9"/>
      <c r="P940" s="9"/>
      <c r="Q940" s="9"/>
      <c r="R940" s="9"/>
      <c r="S940" s="9"/>
      <c r="T940" s="9"/>
      <c r="U940" s="181"/>
      <c r="V940" s="180"/>
      <c r="W940" s="180"/>
      <c r="X940" s="42"/>
      <c r="Y940" s="42"/>
      <c r="Z940" s="9"/>
      <c r="AA940" s="9"/>
      <c r="AB940" s="9"/>
      <c r="AC940" s="9"/>
      <c r="AD940" s="39"/>
      <c r="AE940" s="39"/>
      <c r="AF940" s="39"/>
      <c r="AG940" s="39"/>
      <c r="AH940" s="39"/>
      <c r="AI940" s="39"/>
      <c r="AJ940" s="39"/>
      <c r="AK940" s="239"/>
      <c r="AL940" s="239"/>
      <c r="AM940" s="239"/>
      <c r="AN940" s="239"/>
      <c r="AO940" s="239"/>
      <c r="AP940" s="239"/>
      <c r="AQ940" s="240"/>
      <c r="AR940" s="240"/>
      <c r="AS940" s="240"/>
    </row>
    <row r="941">
      <c r="A941" s="42"/>
      <c r="B941" s="42"/>
      <c r="C941" s="42"/>
      <c r="D941" s="42"/>
      <c r="E941" s="42"/>
      <c r="F941" s="42"/>
      <c r="G941" s="42"/>
      <c r="H941" s="42"/>
      <c r="I941" s="42"/>
      <c r="J941" s="42"/>
      <c r="K941" s="42"/>
      <c r="L941" s="42"/>
      <c r="M941" s="42"/>
      <c r="N941" s="42"/>
      <c r="O941" s="9"/>
      <c r="P941" s="9"/>
      <c r="Q941" s="9"/>
      <c r="R941" s="9"/>
      <c r="S941" s="9"/>
      <c r="T941" s="9"/>
      <c r="U941" s="181"/>
      <c r="V941" s="180"/>
      <c r="W941" s="180"/>
      <c r="X941" s="42"/>
      <c r="Y941" s="42"/>
      <c r="Z941" s="9"/>
      <c r="AA941" s="9"/>
      <c r="AB941" s="9"/>
      <c r="AC941" s="9"/>
      <c r="AD941" s="39"/>
      <c r="AE941" s="39"/>
      <c r="AF941" s="39"/>
      <c r="AG941" s="39"/>
      <c r="AH941" s="39"/>
      <c r="AI941" s="39"/>
      <c r="AJ941" s="39"/>
      <c r="AK941" s="239"/>
      <c r="AL941" s="239"/>
      <c r="AM941" s="239"/>
      <c r="AN941" s="239"/>
      <c r="AO941" s="239"/>
      <c r="AP941" s="239"/>
      <c r="AQ941" s="240"/>
      <c r="AR941" s="240"/>
      <c r="AS941" s="240"/>
    </row>
    <row r="942">
      <c r="A942" s="42"/>
      <c r="B942" s="42"/>
      <c r="C942" s="42"/>
      <c r="D942" s="42"/>
      <c r="E942" s="42"/>
      <c r="F942" s="42"/>
      <c r="G942" s="42"/>
      <c r="H942" s="42"/>
      <c r="I942" s="42"/>
      <c r="J942" s="42"/>
      <c r="K942" s="42"/>
      <c r="L942" s="42"/>
      <c r="M942" s="42"/>
      <c r="N942" s="42"/>
      <c r="O942" s="9"/>
      <c r="P942" s="9"/>
      <c r="Q942" s="9"/>
      <c r="R942" s="9"/>
      <c r="S942" s="9"/>
      <c r="T942" s="9"/>
      <c r="U942" s="181"/>
      <c r="V942" s="180"/>
      <c r="W942" s="180"/>
      <c r="X942" s="42"/>
      <c r="Y942" s="42"/>
      <c r="Z942" s="9"/>
      <c r="AA942" s="9"/>
      <c r="AB942" s="9"/>
      <c r="AC942" s="9"/>
      <c r="AD942" s="39"/>
      <c r="AE942" s="39"/>
      <c r="AF942" s="39"/>
      <c r="AG942" s="39"/>
      <c r="AH942" s="39"/>
      <c r="AI942" s="39"/>
      <c r="AJ942" s="39"/>
      <c r="AK942" s="239"/>
      <c r="AL942" s="239"/>
      <c r="AM942" s="239"/>
      <c r="AN942" s="239"/>
      <c r="AO942" s="239"/>
      <c r="AP942" s="239"/>
      <c r="AQ942" s="240"/>
      <c r="AR942" s="240"/>
      <c r="AS942" s="240"/>
    </row>
    <row r="943">
      <c r="A943" s="42"/>
      <c r="B943" s="42"/>
      <c r="C943" s="42"/>
      <c r="D943" s="42"/>
      <c r="E943" s="42"/>
      <c r="F943" s="42"/>
      <c r="G943" s="42"/>
      <c r="H943" s="42"/>
      <c r="I943" s="42"/>
      <c r="J943" s="42"/>
      <c r="K943" s="42"/>
      <c r="L943" s="42"/>
      <c r="M943" s="42"/>
      <c r="N943" s="42"/>
      <c r="O943" s="9"/>
      <c r="P943" s="9"/>
      <c r="Q943" s="9"/>
      <c r="R943" s="9"/>
      <c r="S943" s="9"/>
      <c r="T943" s="9"/>
      <c r="U943" s="181"/>
      <c r="V943" s="180"/>
      <c r="W943" s="180"/>
      <c r="X943" s="42"/>
      <c r="Y943" s="42"/>
      <c r="Z943" s="9"/>
      <c r="AA943" s="9"/>
      <c r="AB943" s="9"/>
      <c r="AC943" s="9"/>
      <c r="AD943" s="39"/>
      <c r="AE943" s="39"/>
      <c r="AF943" s="39"/>
      <c r="AG943" s="39"/>
      <c r="AH943" s="39"/>
      <c r="AI943" s="39"/>
      <c r="AJ943" s="39"/>
      <c r="AK943" s="239"/>
      <c r="AL943" s="239"/>
      <c r="AM943" s="239"/>
      <c r="AN943" s="239"/>
      <c r="AO943" s="239"/>
      <c r="AP943" s="239"/>
      <c r="AQ943" s="240"/>
      <c r="AR943" s="240"/>
      <c r="AS943" s="240"/>
    </row>
    <row r="944">
      <c r="A944" s="42"/>
      <c r="B944" s="42"/>
      <c r="C944" s="42"/>
      <c r="D944" s="42"/>
      <c r="E944" s="42"/>
      <c r="F944" s="42"/>
      <c r="G944" s="42"/>
      <c r="H944" s="42"/>
      <c r="I944" s="42"/>
      <c r="J944" s="42"/>
      <c r="K944" s="42"/>
      <c r="L944" s="42"/>
      <c r="M944" s="42"/>
      <c r="N944" s="42"/>
      <c r="O944" s="9"/>
      <c r="P944" s="9"/>
      <c r="Q944" s="9"/>
      <c r="R944" s="9"/>
      <c r="S944" s="9"/>
      <c r="T944" s="9"/>
      <c r="U944" s="181"/>
      <c r="V944" s="180"/>
      <c r="W944" s="180"/>
      <c r="X944" s="42"/>
      <c r="Y944" s="42"/>
      <c r="Z944" s="9"/>
      <c r="AA944" s="9"/>
      <c r="AB944" s="9"/>
      <c r="AC944" s="9"/>
      <c r="AD944" s="39"/>
      <c r="AE944" s="39"/>
      <c r="AF944" s="39"/>
      <c r="AG944" s="39"/>
      <c r="AH944" s="39"/>
      <c r="AI944" s="39"/>
      <c r="AJ944" s="39"/>
      <c r="AK944" s="239"/>
      <c r="AL944" s="239"/>
      <c r="AM944" s="239"/>
      <c r="AN944" s="239"/>
      <c r="AO944" s="239"/>
      <c r="AP944" s="239"/>
      <c r="AQ944" s="240"/>
      <c r="AR944" s="240"/>
      <c r="AS944" s="240"/>
    </row>
    <row r="945">
      <c r="A945" s="42"/>
      <c r="B945" s="42"/>
      <c r="C945" s="42"/>
      <c r="D945" s="42"/>
      <c r="E945" s="42"/>
      <c r="F945" s="42"/>
      <c r="G945" s="42"/>
      <c r="H945" s="42"/>
      <c r="I945" s="42"/>
      <c r="J945" s="42"/>
      <c r="K945" s="42"/>
      <c r="L945" s="42"/>
      <c r="M945" s="42"/>
      <c r="N945" s="42"/>
      <c r="O945" s="9"/>
      <c r="P945" s="9"/>
      <c r="Q945" s="9"/>
      <c r="R945" s="9"/>
      <c r="S945" s="9"/>
      <c r="T945" s="9"/>
      <c r="U945" s="181"/>
      <c r="V945" s="180"/>
      <c r="W945" s="180"/>
      <c r="X945" s="42"/>
      <c r="Y945" s="42"/>
      <c r="Z945" s="9"/>
      <c r="AA945" s="9"/>
      <c r="AB945" s="9"/>
      <c r="AC945" s="9"/>
      <c r="AD945" s="39"/>
      <c r="AE945" s="39"/>
      <c r="AF945" s="39"/>
      <c r="AG945" s="39"/>
      <c r="AH945" s="39"/>
      <c r="AI945" s="39"/>
      <c r="AJ945" s="39"/>
      <c r="AK945" s="239"/>
      <c r="AL945" s="239"/>
      <c r="AM945" s="239"/>
      <c r="AN945" s="239"/>
      <c r="AO945" s="239"/>
      <c r="AP945" s="239"/>
      <c r="AQ945" s="240"/>
      <c r="AR945" s="240"/>
      <c r="AS945" s="240"/>
    </row>
    <row r="946">
      <c r="A946" s="42"/>
      <c r="B946" s="42"/>
      <c r="C946" s="42"/>
      <c r="D946" s="42"/>
      <c r="E946" s="42"/>
      <c r="F946" s="42"/>
      <c r="G946" s="42"/>
      <c r="H946" s="42"/>
      <c r="I946" s="42"/>
      <c r="J946" s="42"/>
      <c r="K946" s="42"/>
      <c r="L946" s="42"/>
      <c r="M946" s="42"/>
      <c r="N946" s="42"/>
      <c r="O946" s="9"/>
      <c r="P946" s="9"/>
      <c r="Q946" s="9"/>
      <c r="R946" s="9"/>
      <c r="S946" s="9"/>
      <c r="T946" s="9"/>
      <c r="U946" s="181"/>
      <c r="V946" s="180"/>
      <c r="W946" s="180"/>
      <c r="X946" s="42"/>
      <c r="Y946" s="42"/>
      <c r="Z946" s="9"/>
      <c r="AA946" s="9"/>
      <c r="AB946" s="9"/>
      <c r="AC946" s="9"/>
      <c r="AD946" s="39"/>
      <c r="AE946" s="39"/>
      <c r="AF946" s="39"/>
      <c r="AG946" s="39"/>
      <c r="AH946" s="39"/>
      <c r="AI946" s="39"/>
      <c r="AJ946" s="39"/>
      <c r="AK946" s="239"/>
      <c r="AL946" s="239"/>
      <c r="AM946" s="239"/>
      <c r="AN946" s="239"/>
      <c r="AO946" s="239"/>
      <c r="AP946" s="239"/>
      <c r="AQ946" s="240"/>
      <c r="AR946" s="240"/>
      <c r="AS946" s="240"/>
    </row>
    <row r="947">
      <c r="A947" s="42"/>
      <c r="B947" s="42"/>
      <c r="C947" s="42"/>
      <c r="D947" s="42"/>
      <c r="E947" s="42"/>
      <c r="F947" s="42"/>
      <c r="G947" s="42"/>
      <c r="H947" s="42"/>
      <c r="I947" s="42"/>
      <c r="J947" s="42"/>
      <c r="K947" s="42"/>
      <c r="L947" s="42"/>
      <c r="M947" s="42"/>
      <c r="N947" s="42"/>
      <c r="O947" s="9"/>
      <c r="P947" s="9"/>
      <c r="Q947" s="9"/>
      <c r="R947" s="9"/>
      <c r="S947" s="9"/>
      <c r="T947" s="9"/>
      <c r="U947" s="181"/>
      <c r="V947" s="180"/>
      <c r="W947" s="180"/>
      <c r="X947" s="42"/>
      <c r="Y947" s="42"/>
      <c r="Z947" s="9"/>
      <c r="AA947" s="9"/>
      <c r="AB947" s="9"/>
      <c r="AC947" s="9"/>
      <c r="AD947" s="39"/>
      <c r="AE947" s="39"/>
      <c r="AF947" s="39"/>
      <c r="AG947" s="39"/>
      <c r="AH947" s="39"/>
      <c r="AI947" s="39"/>
      <c r="AJ947" s="39"/>
      <c r="AK947" s="239"/>
      <c r="AL947" s="239"/>
      <c r="AM947" s="239"/>
      <c r="AN947" s="239"/>
      <c r="AO947" s="239"/>
      <c r="AP947" s="239"/>
      <c r="AQ947" s="240"/>
      <c r="AR947" s="240"/>
      <c r="AS947" s="240"/>
    </row>
    <row r="948">
      <c r="A948" s="42"/>
      <c r="B948" s="42"/>
      <c r="C948" s="42"/>
      <c r="D948" s="42"/>
      <c r="E948" s="42"/>
      <c r="F948" s="42"/>
      <c r="G948" s="42"/>
      <c r="H948" s="42"/>
      <c r="I948" s="42"/>
      <c r="J948" s="42"/>
      <c r="K948" s="42"/>
      <c r="L948" s="42"/>
      <c r="M948" s="42"/>
      <c r="N948" s="42"/>
      <c r="O948" s="9"/>
      <c r="P948" s="9"/>
      <c r="Q948" s="9"/>
      <c r="R948" s="9"/>
      <c r="S948" s="9"/>
      <c r="T948" s="9"/>
      <c r="U948" s="181"/>
      <c r="V948" s="180"/>
      <c r="W948" s="180"/>
      <c r="X948" s="42"/>
      <c r="Y948" s="42"/>
      <c r="Z948" s="9"/>
      <c r="AA948" s="9"/>
      <c r="AB948" s="9"/>
      <c r="AC948" s="9"/>
      <c r="AD948" s="39"/>
      <c r="AE948" s="39"/>
      <c r="AF948" s="39"/>
      <c r="AG948" s="39"/>
      <c r="AH948" s="39"/>
      <c r="AI948" s="39"/>
      <c r="AJ948" s="39"/>
      <c r="AK948" s="239"/>
      <c r="AL948" s="239"/>
      <c r="AM948" s="239"/>
      <c r="AN948" s="239"/>
      <c r="AO948" s="239"/>
      <c r="AP948" s="239"/>
      <c r="AQ948" s="240"/>
      <c r="AR948" s="240"/>
      <c r="AS948" s="240"/>
    </row>
    <row r="949">
      <c r="A949" s="42"/>
      <c r="B949" s="42"/>
      <c r="C949" s="42"/>
      <c r="D949" s="42"/>
      <c r="E949" s="42"/>
      <c r="F949" s="42"/>
      <c r="G949" s="42"/>
      <c r="H949" s="42"/>
      <c r="I949" s="42"/>
      <c r="J949" s="42"/>
      <c r="K949" s="42"/>
      <c r="L949" s="42"/>
      <c r="M949" s="42"/>
      <c r="N949" s="42"/>
      <c r="O949" s="9"/>
      <c r="P949" s="9"/>
      <c r="Q949" s="9"/>
      <c r="R949" s="9"/>
      <c r="S949" s="9"/>
      <c r="T949" s="9"/>
      <c r="U949" s="181"/>
      <c r="V949" s="180"/>
      <c r="W949" s="180"/>
      <c r="X949" s="42"/>
      <c r="Y949" s="42"/>
      <c r="Z949" s="9"/>
      <c r="AA949" s="9"/>
      <c r="AB949" s="9"/>
      <c r="AC949" s="9"/>
      <c r="AD949" s="39"/>
      <c r="AE949" s="39"/>
      <c r="AF949" s="39"/>
      <c r="AG949" s="39"/>
      <c r="AH949" s="39"/>
      <c r="AI949" s="39"/>
      <c r="AJ949" s="39"/>
      <c r="AK949" s="239"/>
      <c r="AL949" s="239"/>
      <c r="AM949" s="239"/>
      <c r="AN949" s="239"/>
      <c r="AO949" s="239"/>
      <c r="AP949" s="239"/>
      <c r="AQ949" s="240"/>
      <c r="AR949" s="240"/>
      <c r="AS949" s="240"/>
    </row>
    <row r="950">
      <c r="A950" s="42"/>
      <c r="B950" s="42"/>
      <c r="C950" s="42"/>
      <c r="D950" s="42"/>
      <c r="E950" s="42"/>
      <c r="F950" s="42"/>
      <c r="G950" s="42"/>
      <c r="H950" s="42"/>
      <c r="I950" s="42"/>
      <c r="J950" s="42"/>
      <c r="K950" s="42"/>
      <c r="L950" s="42"/>
      <c r="M950" s="42"/>
      <c r="N950" s="42"/>
      <c r="O950" s="9"/>
      <c r="P950" s="9"/>
      <c r="Q950" s="9"/>
      <c r="R950" s="9"/>
      <c r="S950" s="9"/>
      <c r="T950" s="9"/>
      <c r="U950" s="181"/>
      <c r="V950" s="180"/>
      <c r="W950" s="180"/>
      <c r="X950" s="42"/>
      <c r="Y950" s="42"/>
      <c r="Z950" s="9"/>
      <c r="AA950" s="9"/>
      <c r="AB950" s="9"/>
      <c r="AC950" s="9"/>
      <c r="AD950" s="39"/>
      <c r="AE950" s="39"/>
      <c r="AF950" s="39"/>
      <c r="AG950" s="39"/>
      <c r="AH950" s="39"/>
      <c r="AI950" s="39"/>
      <c r="AJ950" s="39"/>
      <c r="AK950" s="239"/>
      <c r="AL950" s="239"/>
      <c r="AM950" s="239"/>
      <c r="AN950" s="239"/>
      <c r="AO950" s="239"/>
      <c r="AP950" s="239"/>
      <c r="AQ950" s="240"/>
      <c r="AR950" s="240"/>
      <c r="AS950" s="240"/>
    </row>
    <row r="951">
      <c r="A951" s="42"/>
      <c r="B951" s="42"/>
      <c r="C951" s="42"/>
      <c r="D951" s="42"/>
      <c r="E951" s="42"/>
      <c r="F951" s="42"/>
      <c r="G951" s="42"/>
      <c r="H951" s="42"/>
      <c r="I951" s="42"/>
      <c r="J951" s="42"/>
      <c r="K951" s="42"/>
      <c r="L951" s="42"/>
      <c r="M951" s="42"/>
      <c r="N951" s="42"/>
      <c r="O951" s="9"/>
      <c r="P951" s="9"/>
      <c r="Q951" s="9"/>
      <c r="R951" s="9"/>
      <c r="S951" s="9"/>
      <c r="T951" s="9"/>
      <c r="U951" s="181"/>
      <c r="V951" s="180"/>
      <c r="W951" s="180"/>
      <c r="X951" s="42"/>
      <c r="Y951" s="42"/>
      <c r="Z951" s="9"/>
      <c r="AA951" s="9"/>
      <c r="AB951" s="9"/>
      <c r="AC951" s="9"/>
      <c r="AD951" s="39"/>
      <c r="AE951" s="39"/>
      <c r="AF951" s="39"/>
      <c r="AG951" s="39"/>
      <c r="AH951" s="39"/>
      <c r="AI951" s="39"/>
      <c r="AJ951" s="39"/>
      <c r="AK951" s="239"/>
      <c r="AL951" s="239"/>
      <c r="AM951" s="239"/>
      <c r="AN951" s="239"/>
      <c r="AO951" s="239"/>
      <c r="AP951" s="239"/>
      <c r="AQ951" s="240"/>
      <c r="AR951" s="240"/>
      <c r="AS951" s="240"/>
    </row>
    <row r="952">
      <c r="A952" s="42"/>
      <c r="B952" s="42"/>
      <c r="C952" s="42"/>
      <c r="D952" s="42"/>
      <c r="E952" s="42"/>
      <c r="F952" s="42"/>
      <c r="G952" s="42"/>
      <c r="H952" s="42"/>
      <c r="I952" s="42"/>
      <c r="J952" s="42"/>
      <c r="K952" s="42"/>
      <c r="L952" s="42"/>
      <c r="M952" s="42"/>
      <c r="N952" s="42"/>
      <c r="O952" s="9"/>
      <c r="P952" s="9"/>
      <c r="Q952" s="9"/>
      <c r="R952" s="9"/>
      <c r="S952" s="9"/>
      <c r="T952" s="9"/>
      <c r="U952" s="181"/>
      <c r="V952" s="180"/>
      <c r="W952" s="180"/>
      <c r="X952" s="42"/>
      <c r="Y952" s="42"/>
      <c r="Z952" s="9"/>
      <c r="AA952" s="9"/>
      <c r="AB952" s="9"/>
      <c r="AC952" s="9"/>
      <c r="AD952" s="39"/>
      <c r="AE952" s="39"/>
      <c r="AF952" s="39"/>
      <c r="AG952" s="39"/>
      <c r="AH952" s="39"/>
      <c r="AI952" s="39"/>
      <c r="AJ952" s="39"/>
      <c r="AK952" s="239"/>
      <c r="AL952" s="239"/>
      <c r="AM952" s="239"/>
      <c r="AN952" s="239"/>
      <c r="AO952" s="239"/>
      <c r="AP952" s="239"/>
      <c r="AQ952" s="240"/>
      <c r="AR952" s="240"/>
      <c r="AS952" s="240"/>
    </row>
    <row r="953">
      <c r="A953" s="42"/>
      <c r="B953" s="42"/>
      <c r="C953" s="42"/>
      <c r="D953" s="42"/>
      <c r="E953" s="42"/>
      <c r="F953" s="42"/>
      <c r="G953" s="42"/>
      <c r="H953" s="42"/>
      <c r="I953" s="42"/>
      <c r="J953" s="42"/>
      <c r="K953" s="42"/>
      <c r="L953" s="42"/>
      <c r="M953" s="42"/>
      <c r="N953" s="42"/>
      <c r="O953" s="9"/>
      <c r="P953" s="9"/>
      <c r="Q953" s="9"/>
      <c r="R953" s="9"/>
      <c r="S953" s="9"/>
      <c r="T953" s="9"/>
      <c r="U953" s="181"/>
      <c r="V953" s="180"/>
      <c r="W953" s="180"/>
      <c r="X953" s="42"/>
      <c r="Y953" s="42"/>
      <c r="Z953" s="9"/>
      <c r="AA953" s="9"/>
      <c r="AB953" s="9"/>
      <c r="AC953" s="9"/>
      <c r="AD953" s="39"/>
      <c r="AE953" s="39"/>
      <c r="AF953" s="39"/>
      <c r="AG953" s="39"/>
      <c r="AH953" s="39"/>
      <c r="AI953" s="39"/>
      <c r="AJ953" s="39"/>
      <c r="AK953" s="239"/>
      <c r="AL953" s="239"/>
      <c r="AM953" s="239"/>
      <c r="AN953" s="239"/>
      <c r="AO953" s="239"/>
      <c r="AP953" s="239"/>
      <c r="AQ953" s="240"/>
      <c r="AR953" s="240"/>
      <c r="AS953" s="240"/>
    </row>
    <row r="954">
      <c r="A954" s="42"/>
      <c r="B954" s="42"/>
      <c r="C954" s="42"/>
      <c r="D954" s="42"/>
      <c r="E954" s="42"/>
      <c r="F954" s="42"/>
      <c r="G954" s="42"/>
      <c r="H954" s="42"/>
      <c r="I954" s="42"/>
      <c r="J954" s="42"/>
      <c r="K954" s="42"/>
      <c r="L954" s="42"/>
      <c r="M954" s="42"/>
      <c r="N954" s="42"/>
      <c r="O954" s="9"/>
      <c r="P954" s="9"/>
      <c r="Q954" s="9"/>
      <c r="R954" s="9"/>
      <c r="S954" s="9"/>
      <c r="T954" s="9"/>
      <c r="U954" s="181"/>
      <c r="V954" s="180"/>
      <c r="W954" s="180"/>
      <c r="X954" s="42"/>
      <c r="Y954" s="42"/>
      <c r="Z954" s="9"/>
      <c r="AA954" s="9"/>
      <c r="AB954" s="9"/>
      <c r="AC954" s="9"/>
      <c r="AD954" s="39"/>
      <c r="AE954" s="39"/>
      <c r="AF954" s="39"/>
      <c r="AG954" s="39"/>
      <c r="AH954" s="39"/>
      <c r="AI954" s="39"/>
      <c r="AJ954" s="39"/>
      <c r="AK954" s="239"/>
      <c r="AL954" s="239"/>
      <c r="AM954" s="239"/>
      <c r="AN954" s="239"/>
      <c r="AO954" s="239"/>
      <c r="AP954" s="239"/>
      <c r="AQ954" s="240"/>
      <c r="AR954" s="240"/>
      <c r="AS954" s="240"/>
    </row>
    <row r="955">
      <c r="A955" s="42"/>
      <c r="B955" s="42"/>
      <c r="C955" s="42"/>
      <c r="D955" s="42"/>
      <c r="E955" s="42"/>
      <c r="F955" s="42"/>
      <c r="G955" s="42"/>
      <c r="H955" s="42"/>
      <c r="I955" s="42"/>
      <c r="J955" s="42"/>
      <c r="K955" s="42"/>
      <c r="L955" s="42"/>
      <c r="M955" s="42"/>
      <c r="N955" s="42"/>
      <c r="O955" s="9"/>
      <c r="P955" s="9"/>
      <c r="Q955" s="9"/>
      <c r="R955" s="9"/>
      <c r="S955" s="9"/>
      <c r="T955" s="9"/>
      <c r="U955" s="181"/>
      <c r="V955" s="180"/>
      <c r="W955" s="180"/>
      <c r="X955" s="42"/>
      <c r="Y955" s="42"/>
      <c r="Z955" s="9"/>
      <c r="AA955" s="9"/>
      <c r="AB955" s="9"/>
      <c r="AC955" s="9"/>
      <c r="AD955" s="39"/>
      <c r="AE955" s="39"/>
      <c r="AF955" s="39"/>
      <c r="AG955" s="39"/>
      <c r="AH955" s="39"/>
      <c r="AI955" s="39"/>
      <c r="AJ955" s="39"/>
      <c r="AK955" s="239"/>
      <c r="AL955" s="239"/>
      <c r="AM955" s="239"/>
      <c r="AN955" s="239"/>
      <c r="AO955" s="239"/>
      <c r="AP955" s="239"/>
      <c r="AQ955" s="240"/>
      <c r="AR955" s="240"/>
      <c r="AS955" s="240"/>
    </row>
    <row r="956">
      <c r="A956" s="42"/>
      <c r="B956" s="42"/>
      <c r="C956" s="42"/>
      <c r="D956" s="42"/>
      <c r="E956" s="42"/>
      <c r="F956" s="42"/>
      <c r="G956" s="42"/>
      <c r="H956" s="42"/>
      <c r="I956" s="42"/>
      <c r="J956" s="42"/>
      <c r="K956" s="42"/>
      <c r="L956" s="42"/>
      <c r="M956" s="42"/>
      <c r="N956" s="42"/>
      <c r="O956" s="9"/>
      <c r="P956" s="9"/>
      <c r="Q956" s="9"/>
      <c r="R956" s="9"/>
      <c r="S956" s="9"/>
      <c r="T956" s="9"/>
      <c r="U956" s="181"/>
      <c r="V956" s="180"/>
      <c r="W956" s="180"/>
      <c r="X956" s="42"/>
      <c r="Y956" s="42"/>
      <c r="Z956" s="9"/>
      <c r="AA956" s="9"/>
      <c r="AB956" s="9"/>
      <c r="AC956" s="9"/>
      <c r="AD956" s="39"/>
      <c r="AE956" s="39"/>
      <c r="AF956" s="39"/>
      <c r="AG956" s="39"/>
      <c r="AH956" s="39"/>
      <c r="AI956" s="39"/>
      <c r="AJ956" s="39"/>
      <c r="AK956" s="239"/>
      <c r="AL956" s="239"/>
      <c r="AM956" s="239"/>
      <c r="AN956" s="239"/>
      <c r="AO956" s="239"/>
      <c r="AP956" s="239"/>
      <c r="AQ956" s="240"/>
      <c r="AR956" s="240"/>
      <c r="AS956" s="240"/>
    </row>
    <row r="957">
      <c r="A957" s="42"/>
      <c r="B957" s="42"/>
      <c r="C957" s="42"/>
      <c r="D957" s="42"/>
      <c r="E957" s="42"/>
      <c r="F957" s="42"/>
      <c r="G957" s="42"/>
      <c r="H957" s="42"/>
      <c r="I957" s="42"/>
      <c r="J957" s="42"/>
      <c r="K957" s="42"/>
      <c r="L957" s="42"/>
      <c r="M957" s="42"/>
      <c r="N957" s="42"/>
      <c r="O957" s="9"/>
      <c r="P957" s="9"/>
      <c r="Q957" s="9"/>
      <c r="R957" s="9"/>
      <c r="S957" s="9"/>
      <c r="T957" s="9"/>
      <c r="U957" s="181"/>
      <c r="V957" s="180"/>
      <c r="W957" s="180"/>
      <c r="X957" s="42"/>
      <c r="Y957" s="42"/>
      <c r="Z957" s="9"/>
      <c r="AA957" s="9"/>
      <c r="AB957" s="9"/>
      <c r="AC957" s="9"/>
      <c r="AD957" s="39"/>
      <c r="AE957" s="39"/>
      <c r="AF957" s="39"/>
      <c r="AG957" s="39"/>
      <c r="AH957" s="39"/>
      <c r="AI957" s="39"/>
      <c r="AJ957" s="39"/>
      <c r="AK957" s="239"/>
      <c r="AL957" s="239"/>
      <c r="AM957" s="239"/>
      <c r="AN957" s="239"/>
      <c r="AO957" s="239"/>
      <c r="AP957" s="239"/>
      <c r="AQ957" s="240"/>
      <c r="AR957" s="240"/>
      <c r="AS957" s="240"/>
    </row>
    <row r="958">
      <c r="A958" s="42"/>
      <c r="B958" s="42"/>
      <c r="C958" s="42"/>
      <c r="D958" s="42"/>
      <c r="E958" s="42"/>
      <c r="F958" s="42"/>
      <c r="G958" s="42"/>
      <c r="H958" s="42"/>
      <c r="I958" s="42"/>
      <c r="J958" s="42"/>
      <c r="K958" s="42"/>
      <c r="L958" s="42"/>
      <c r="M958" s="42"/>
      <c r="N958" s="42"/>
      <c r="O958" s="9"/>
      <c r="P958" s="9"/>
      <c r="Q958" s="9"/>
      <c r="R958" s="9"/>
      <c r="S958" s="9"/>
      <c r="T958" s="9"/>
      <c r="U958" s="181"/>
      <c r="V958" s="180"/>
      <c r="W958" s="180"/>
      <c r="X958" s="42"/>
      <c r="Y958" s="42"/>
      <c r="Z958" s="9"/>
      <c r="AA958" s="9"/>
      <c r="AB958" s="9"/>
      <c r="AC958" s="9"/>
      <c r="AD958" s="39"/>
      <c r="AE958" s="39"/>
      <c r="AF958" s="39"/>
      <c r="AG958" s="39"/>
      <c r="AH958" s="39"/>
      <c r="AI958" s="39"/>
      <c r="AJ958" s="39"/>
      <c r="AK958" s="239"/>
      <c r="AL958" s="239"/>
      <c r="AM958" s="239"/>
      <c r="AN958" s="239"/>
      <c r="AO958" s="239"/>
      <c r="AP958" s="239"/>
      <c r="AQ958" s="240"/>
      <c r="AR958" s="240"/>
      <c r="AS958" s="240"/>
    </row>
    <row r="959">
      <c r="A959" s="42"/>
      <c r="B959" s="42"/>
      <c r="C959" s="42"/>
      <c r="D959" s="42"/>
      <c r="E959" s="42"/>
      <c r="F959" s="42"/>
      <c r="G959" s="42"/>
      <c r="H959" s="42"/>
      <c r="I959" s="42"/>
      <c r="J959" s="42"/>
      <c r="K959" s="42"/>
      <c r="L959" s="42"/>
      <c r="M959" s="42"/>
      <c r="N959" s="42"/>
      <c r="O959" s="9"/>
      <c r="P959" s="9"/>
      <c r="Q959" s="9"/>
      <c r="R959" s="9"/>
      <c r="S959" s="9"/>
      <c r="T959" s="9"/>
      <c r="U959" s="181"/>
      <c r="V959" s="180"/>
      <c r="W959" s="180"/>
      <c r="X959" s="42"/>
      <c r="Y959" s="42"/>
      <c r="Z959" s="9"/>
      <c r="AA959" s="9"/>
      <c r="AB959" s="9"/>
      <c r="AC959" s="9"/>
      <c r="AD959" s="39"/>
      <c r="AE959" s="39"/>
      <c r="AF959" s="39"/>
      <c r="AG959" s="39"/>
      <c r="AH959" s="39"/>
      <c r="AI959" s="39"/>
      <c r="AJ959" s="39"/>
      <c r="AK959" s="239"/>
      <c r="AL959" s="239"/>
      <c r="AM959" s="239"/>
      <c r="AN959" s="239"/>
      <c r="AO959" s="239"/>
      <c r="AP959" s="239"/>
      <c r="AQ959" s="240"/>
      <c r="AR959" s="240"/>
      <c r="AS959" s="240"/>
    </row>
    <row r="960">
      <c r="A960" s="42"/>
      <c r="B960" s="42"/>
      <c r="C960" s="42"/>
      <c r="D960" s="42"/>
      <c r="E960" s="42"/>
      <c r="F960" s="42"/>
      <c r="G960" s="42"/>
      <c r="H960" s="42"/>
      <c r="I960" s="42"/>
      <c r="J960" s="42"/>
      <c r="K960" s="42"/>
      <c r="L960" s="42"/>
      <c r="M960" s="42"/>
      <c r="N960" s="42"/>
      <c r="O960" s="9"/>
      <c r="P960" s="9"/>
      <c r="Q960" s="9"/>
      <c r="R960" s="9"/>
      <c r="S960" s="9"/>
      <c r="T960" s="9"/>
      <c r="U960" s="181"/>
      <c r="V960" s="180"/>
      <c r="W960" s="180"/>
      <c r="X960" s="42"/>
      <c r="Y960" s="42"/>
      <c r="Z960" s="9"/>
      <c r="AA960" s="9"/>
      <c r="AB960" s="9"/>
      <c r="AC960" s="9"/>
      <c r="AD960" s="39"/>
      <c r="AE960" s="39"/>
      <c r="AF960" s="39"/>
      <c r="AG960" s="39"/>
      <c r="AH960" s="39"/>
      <c r="AI960" s="39"/>
      <c r="AJ960" s="39"/>
      <c r="AK960" s="239"/>
      <c r="AL960" s="239"/>
      <c r="AM960" s="239"/>
      <c r="AN960" s="239"/>
      <c r="AO960" s="239"/>
      <c r="AP960" s="239"/>
      <c r="AQ960" s="240"/>
      <c r="AR960" s="240"/>
      <c r="AS960" s="240"/>
    </row>
    <row r="961">
      <c r="A961" s="42"/>
      <c r="B961" s="42"/>
      <c r="C961" s="42"/>
      <c r="D961" s="42"/>
      <c r="E961" s="42"/>
      <c r="F961" s="42"/>
      <c r="G961" s="42"/>
      <c r="H961" s="42"/>
      <c r="I961" s="42"/>
      <c r="J961" s="42"/>
      <c r="K961" s="42"/>
      <c r="L961" s="42"/>
      <c r="M961" s="42"/>
      <c r="N961" s="42"/>
      <c r="O961" s="9"/>
      <c r="P961" s="9"/>
      <c r="Q961" s="9"/>
      <c r="R961" s="9"/>
      <c r="S961" s="9"/>
      <c r="T961" s="9"/>
      <c r="U961" s="181"/>
      <c r="V961" s="180"/>
      <c r="W961" s="180"/>
      <c r="X961" s="42"/>
      <c r="Y961" s="42"/>
      <c r="Z961" s="9"/>
      <c r="AA961" s="9"/>
      <c r="AB961" s="9"/>
      <c r="AC961" s="9"/>
      <c r="AD961" s="39"/>
      <c r="AE961" s="39"/>
      <c r="AF961" s="39"/>
      <c r="AG961" s="39"/>
      <c r="AH961" s="39"/>
      <c r="AI961" s="39"/>
      <c r="AJ961" s="39"/>
      <c r="AK961" s="239"/>
      <c r="AL961" s="239"/>
      <c r="AM961" s="239"/>
      <c r="AN961" s="239"/>
      <c r="AO961" s="239"/>
      <c r="AP961" s="239"/>
      <c r="AQ961" s="240"/>
      <c r="AR961" s="240"/>
      <c r="AS961" s="240"/>
    </row>
    <row r="962">
      <c r="A962" s="42"/>
      <c r="B962" s="42"/>
      <c r="C962" s="42"/>
      <c r="D962" s="42"/>
      <c r="E962" s="42"/>
      <c r="F962" s="42"/>
      <c r="G962" s="42"/>
      <c r="H962" s="42"/>
      <c r="I962" s="42"/>
      <c r="J962" s="42"/>
      <c r="K962" s="42"/>
      <c r="L962" s="42"/>
      <c r="M962" s="42"/>
      <c r="N962" s="42"/>
      <c r="O962" s="9"/>
      <c r="P962" s="9"/>
      <c r="Q962" s="9"/>
      <c r="R962" s="9"/>
      <c r="S962" s="9"/>
      <c r="T962" s="9"/>
      <c r="U962" s="181"/>
      <c r="V962" s="180"/>
      <c r="W962" s="180"/>
      <c r="X962" s="42"/>
      <c r="Y962" s="42"/>
      <c r="Z962" s="9"/>
      <c r="AA962" s="9"/>
      <c r="AB962" s="9"/>
      <c r="AC962" s="9"/>
      <c r="AD962" s="39"/>
      <c r="AE962" s="39"/>
      <c r="AF962" s="39"/>
      <c r="AG962" s="39"/>
      <c r="AH962" s="39"/>
      <c r="AI962" s="39"/>
      <c r="AJ962" s="39"/>
      <c r="AK962" s="239"/>
      <c r="AL962" s="239"/>
      <c r="AM962" s="239"/>
      <c r="AN962" s="239"/>
      <c r="AO962" s="239"/>
      <c r="AP962" s="239"/>
      <c r="AQ962" s="240"/>
      <c r="AR962" s="240"/>
      <c r="AS962" s="240"/>
    </row>
    <row r="963">
      <c r="A963" s="42"/>
      <c r="B963" s="42"/>
      <c r="C963" s="42"/>
      <c r="D963" s="42"/>
      <c r="E963" s="42"/>
      <c r="F963" s="42"/>
      <c r="G963" s="42"/>
      <c r="H963" s="42"/>
      <c r="I963" s="42"/>
      <c r="J963" s="42"/>
      <c r="K963" s="42"/>
      <c r="L963" s="42"/>
      <c r="M963" s="42"/>
      <c r="N963" s="42"/>
      <c r="O963" s="9"/>
      <c r="P963" s="9"/>
      <c r="Q963" s="9"/>
      <c r="R963" s="9"/>
      <c r="S963" s="9"/>
      <c r="T963" s="9"/>
      <c r="U963" s="181"/>
      <c r="V963" s="180"/>
      <c r="W963" s="180"/>
      <c r="X963" s="42"/>
      <c r="Y963" s="42"/>
      <c r="Z963" s="9"/>
      <c r="AA963" s="9"/>
      <c r="AB963" s="9"/>
      <c r="AC963" s="9"/>
      <c r="AD963" s="39"/>
      <c r="AE963" s="39"/>
      <c r="AF963" s="39"/>
      <c r="AG963" s="39"/>
      <c r="AH963" s="39"/>
      <c r="AI963" s="39"/>
      <c r="AJ963" s="39"/>
      <c r="AK963" s="239"/>
      <c r="AL963" s="239"/>
      <c r="AM963" s="239"/>
      <c r="AN963" s="239"/>
      <c r="AO963" s="239"/>
      <c r="AP963" s="239"/>
      <c r="AQ963" s="240"/>
      <c r="AR963" s="240"/>
      <c r="AS963" s="240"/>
    </row>
    <row r="964">
      <c r="A964" s="42"/>
      <c r="B964" s="42"/>
      <c r="C964" s="42"/>
      <c r="D964" s="42"/>
      <c r="E964" s="42"/>
      <c r="F964" s="42"/>
      <c r="G964" s="42"/>
      <c r="H964" s="42"/>
      <c r="I964" s="42"/>
      <c r="J964" s="42"/>
      <c r="K964" s="42"/>
      <c r="L964" s="42"/>
      <c r="M964" s="42"/>
      <c r="N964" s="42"/>
      <c r="O964" s="9"/>
      <c r="P964" s="9"/>
      <c r="Q964" s="9"/>
      <c r="R964" s="9"/>
      <c r="S964" s="9"/>
      <c r="T964" s="9"/>
      <c r="U964" s="181"/>
      <c r="V964" s="180"/>
      <c r="W964" s="180"/>
      <c r="X964" s="42"/>
      <c r="Y964" s="42"/>
      <c r="Z964" s="9"/>
      <c r="AA964" s="9"/>
      <c r="AB964" s="9"/>
      <c r="AC964" s="9"/>
      <c r="AD964" s="39"/>
      <c r="AE964" s="39"/>
      <c r="AF964" s="39"/>
      <c r="AG964" s="39"/>
      <c r="AH964" s="39"/>
      <c r="AI964" s="39"/>
      <c r="AJ964" s="39"/>
      <c r="AK964" s="239"/>
      <c r="AL964" s="239"/>
      <c r="AM964" s="239"/>
      <c r="AN964" s="239"/>
      <c r="AO964" s="239"/>
      <c r="AP964" s="239"/>
      <c r="AQ964" s="240"/>
      <c r="AR964" s="240"/>
      <c r="AS964" s="240"/>
    </row>
    <row r="965">
      <c r="A965" s="42"/>
      <c r="B965" s="42"/>
      <c r="C965" s="42"/>
      <c r="D965" s="42"/>
      <c r="E965" s="42"/>
      <c r="F965" s="42"/>
      <c r="G965" s="42"/>
      <c r="H965" s="42"/>
      <c r="I965" s="42"/>
      <c r="J965" s="42"/>
      <c r="K965" s="42"/>
      <c r="L965" s="42"/>
      <c r="M965" s="42"/>
      <c r="N965" s="42"/>
      <c r="O965" s="9"/>
      <c r="P965" s="9"/>
      <c r="Q965" s="9"/>
      <c r="R965" s="9"/>
      <c r="S965" s="9"/>
      <c r="T965" s="9"/>
      <c r="U965" s="181"/>
      <c r="V965" s="180"/>
      <c r="W965" s="180"/>
      <c r="X965" s="42"/>
      <c r="Y965" s="42"/>
      <c r="Z965" s="9"/>
      <c r="AA965" s="9"/>
      <c r="AB965" s="9"/>
      <c r="AC965" s="9"/>
      <c r="AD965" s="39"/>
      <c r="AE965" s="39"/>
      <c r="AF965" s="39"/>
      <c r="AG965" s="39"/>
      <c r="AH965" s="39"/>
      <c r="AI965" s="39"/>
      <c r="AJ965" s="39"/>
      <c r="AK965" s="239"/>
      <c r="AL965" s="239"/>
      <c r="AM965" s="239"/>
      <c r="AN965" s="239"/>
      <c r="AO965" s="239"/>
      <c r="AP965" s="239"/>
      <c r="AQ965" s="240"/>
      <c r="AR965" s="240"/>
      <c r="AS965" s="240"/>
    </row>
    <row r="966">
      <c r="A966" s="42"/>
      <c r="B966" s="42"/>
      <c r="C966" s="42"/>
      <c r="D966" s="42"/>
      <c r="E966" s="42"/>
      <c r="F966" s="42"/>
      <c r="G966" s="42"/>
      <c r="H966" s="42"/>
      <c r="I966" s="42"/>
      <c r="J966" s="42"/>
      <c r="K966" s="42"/>
      <c r="L966" s="42"/>
      <c r="M966" s="42"/>
      <c r="N966" s="42"/>
      <c r="O966" s="9"/>
      <c r="P966" s="9"/>
      <c r="Q966" s="9"/>
      <c r="R966" s="9"/>
      <c r="S966" s="9"/>
      <c r="T966" s="9"/>
      <c r="U966" s="181"/>
      <c r="V966" s="180"/>
      <c r="W966" s="180"/>
      <c r="X966" s="42"/>
      <c r="Y966" s="42"/>
      <c r="Z966" s="9"/>
      <c r="AA966" s="9"/>
      <c r="AB966" s="9"/>
      <c r="AC966" s="9"/>
      <c r="AD966" s="39"/>
      <c r="AE966" s="39"/>
      <c r="AF966" s="39"/>
      <c r="AG966" s="39"/>
      <c r="AH966" s="39"/>
      <c r="AI966" s="39"/>
      <c r="AJ966" s="39"/>
      <c r="AK966" s="239"/>
      <c r="AL966" s="239"/>
      <c r="AM966" s="239"/>
      <c r="AN966" s="239"/>
      <c r="AO966" s="239"/>
      <c r="AP966" s="239"/>
      <c r="AQ966" s="240"/>
      <c r="AR966" s="240"/>
      <c r="AS966" s="240"/>
    </row>
    <row r="967">
      <c r="A967" s="42"/>
      <c r="B967" s="42"/>
      <c r="C967" s="42"/>
      <c r="D967" s="42"/>
      <c r="E967" s="42"/>
      <c r="F967" s="42"/>
      <c r="G967" s="42"/>
      <c r="H967" s="42"/>
      <c r="I967" s="42"/>
      <c r="J967" s="42"/>
      <c r="K967" s="42"/>
      <c r="L967" s="42"/>
      <c r="M967" s="42"/>
      <c r="N967" s="42"/>
      <c r="O967" s="9"/>
      <c r="P967" s="9"/>
      <c r="Q967" s="9"/>
      <c r="R967" s="9"/>
      <c r="S967" s="9"/>
      <c r="T967" s="9"/>
      <c r="U967" s="181"/>
      <c r="V967" s="180"/>
      <c r="W967" s="180"/>
      <c r="X967" s="42"/>
      <c r="Y967" s="42"/>
      <c r="Z967" s="9"/>
      <c r="AA967" s="9"/>
      <c r="AB967" s="9"/>
      <c r="AC967" s="9"/>
      <c r="AD967" s="39"/>
      <c r="AE967" s="39"/>
      <c r="AF967" s="39"/>
      <c r="AG967" s="39"/>
      <c r="AH967" s="39"/>
      <c r="AI967" s="39"/>
      <c r="AJ967" s="39"/>
      <c r="AK967" s="239"/>
      <c r="AL967" s="239"/>
      <c r="AM967" s="239"/>
      <c r="AN967" s="239"/>
      <c r="AO967" s="239"/>
      <c r="AP967" s="239"/>
      <c r="AQ967" s="240"/>
      <c r="AR967" s="240"/>
      <c r="AS967" s="240"/>
    </row>
    <row r="968">
      <c r="A968" s="42"/>
      <c r="B968" s="42"/>
      <c r="C968" s="42"/>
      <c r="D968" s="42"/>
      <c r="E968" s="42"/>
      <c r="F968" s="42"/>
      <c r="G968" s="42"/>
      <c r="H968" s="42"/>
      <c r="I968" s="42"/>
      <c r="J968" s="42"/>
      <c r="K968" s="42"/>
      <c r="L968" s="42"/>
      <c r="M968" s="42"/>
      <c r="N968" s="42"/>
      <c r="O968" s="9"/>
      <c r="P968" s="9"/>
      <c r="Q968" s="9"/>
      <c r="R968" s="9"/>
      <c r="S968" s="9"/>
      <c r="T968" s="9"/>
      <c r="U968" s="181"/>
      <c r="V968" s="180"/>
      <c r="W968" s="180"/>
      <c r="X968" s="42"/>
      <c r="Y968" s="42"/>
      <c r="Z968" s="9"/>
      <c r="AA968" s="9"/>
      <c r="AB968" s="9"/>
      <c r="AC968" s="9"/>
      <c r="AD968" s="39"/>
      <c r="AE968" s="39"/>
      <c r="AF968" s="39"/>
      <c r="AG968" s="39"/>
      <c r="AH968" s="39"/>
      <c r="AI968" s="39"/>
      <c r="AJ968" s="39"/>
      <c r="AK968" s="239"/>
      <c r="AL968" s="239"/>
      <c r="AM968" s="239"/>
      <c r="AN968" s="239"/>
      <c r="AO968" s="239"/>
      <c r="AP968" s="239"/>
      <c r="AQ968" s="240"/>
      <c r="AR968" s="240"/>
      <c r="AS968" s="240"/>
    </row>
    <row r="969">
      <c r="A969" s="42"/>
      <c r="B969" s="42"/>
      <c r="C969" s="42"/>
      <c r="D969" s="42"/>
      <c r="E969" s="42"/>
      <c r="F969" s="42"/>
      <c r="G969" s="42"/>
      <c r="H969" s="42"/>
      <c r="I969" s="42"/>
      <c r="J969" s="42"/>
      <c r="K969" s="42"/>
      <c r="L969" s="42"/>
      <c r="M969" s="42"/>
      <c r="N969" s="42"/>
      <c r="O969" s="9"/>
      <c r="P969" s="9"/>
      <c r="Q969" s="9"/>
      <c r="R969" s="9"/>
      <c r="S969" s="9"/>
      <c r="T969" s="9"/>
      <c r="U969" s="181"/>
      <c r="V969" s="180"/>
      <c r="W969" s="180"/>
      <c r="X969" s="42"/>
      <c r="Y969" s="42"/>
      <c r="Z969" s="9"/>
      <c r="AA969" s="9"/>
      <c r="AB969" s="9"/>
      <c r="AC969" s="9"/>
      <c r="AD969" s="39"/>
      <c r="AE969" s="39"/>
      <c r="AF969" s="39"/>
      <c r="AG969" s="39"/>
      <c r="AH969" s="39"/>
      <c r="AI969" s="39"/>
      <c r="AJ969" s="39"/>
      <c r="AK969" s="239"/>
      <c r="AL969" s="239"/>
      <c r="AM969" s="239"/>
      <c r="AN969" s="239"/>
      <c r="AO969" s="239"/>
      <c r="AP969" s="239"/>
      <c r="AQ969" s="240"/>
      <c r="AR969" s="240"/>
      <c r="AS969" s="240"/>
    </row>
    <row r="970">
      <c r="A970" s="42"/>
      <c r="B970" s="42"/>
      <c r="C970" s="42"/>
      <c r="D970" s="42"/>
      <c r="E970" s="42"/>
      <c r="F970" s="42"/>
      <c r="G970" s="42"/>
      <c r="H970" s="42"/>
      <c r="I970" s="42"/>
      <c r="J970" s="42"/>
      <c r="K970" s="42"/>
      <c r="L970" s="42"/>
      <c r="M970" s="42"/>
      <c r="N970" s="42"/>
      <c r="O970" s="9"/>
      <c r="P970" s="9"/>
      <c r="Q970" s="9"/>
      <c r="R970" s="9"/>
      <c r="S970" s="9"/>
      <c r="T970" s="9"/>
      <c r="U970" s="181"/>
      <c r="V970" s="180"/>
      <c r="W970" s="180"/>
      <c r="X970" s="42"/>
      <c r="Y970" s="42"/>
      <c r="Z970" s="9"/>
      <c r="AA970" s="9"/>
      <c r="AB970" s="9"/>
      <c r="AC970" s="9"/>
      <c r="AD970" s="39"/>
      <c r="AE970" s="39"/>
      <c r="AF970" s="39"/>
      <c r="AG970" s="39"/>
      <c r="AH970" s="39"/>
      <c r="AI970" s="39"/>
      <c r="AJ970" s="39"/>
      <c r="AK970" s="239"/>
      <c r="AL970" s="239"/>
      <c r="AM970" s="239"/>
      <c r="AN970" s="239"/>
      <c r="AO970" s="239"/>
      <c r="AP970" s="239"/>
      <c r="AQ970" s="240"/>
      <c r="AR970" s="240"/>
      <c r="AS970" s="240"/>
    </row>
    <row r="971">
      <c r="A971" s="42"/>
      <c r="B971" s="42"/>
      <c r="C971" s="42"/>
      <c r="D971" s="42"/>
      <c r="E971" s="42"/>
      <c r="F971" s="42"/>
      <c r="G971" s="42"/>
      <c r="H971" s="42"/>
      <c r="I971" s="42"/>
      <c r="J971" s="42"/>
      <c r="K971" s="42"/>
      <c r="L971" s="42"/>
      <c r="M971" s="42"/>
      <c r="N971" s="42"/>
      <c r="O971" s="9"/>
      <c r="P971" s="9"/>
      <c r="Q971" s="9"/>
      <c r="R971" s="9"/>
      <c r="S971" s="9"/>
      <c r="T971" s="9"/>
      <c r="U971" s="181"/>
      <c r="V971" s="180"/>
      <c r="W971" s="180"/>
      <c r="X971" s="42"/>
      <c r="Y971" s="42"/>
      <c r="Z971" s="9"/>
      <c r="AA971" s="9"/>
      <c r="AB971" s="9"/>
      <c r="AC971" s="9"/>
      <c r="AD971" s="39"/>
      <c r="AE971" s="39"/>
      <c r="AF971" s="39"/>
      <c r="AG971" s="39"/>
      <c r="AH971" s="39"/>
      <c r="AI971" s="39"/>
      <c r="AJ971" s="39"/>
      <c r="AK971" s="239"/>
      <c r="AL971" s="239"/>
      <c r="AM971" s="239"/>
      <c r="AN971" s="239"/>
      <c r="AO971" s="239"/>
      <c r="AP971" s="239"/>
      <c r="AQ971" s="240"/>
      <c r="AR971" s="240"/>
      <c r="AS971" s="240"/>
    </row>
    <row r="972">
      <c r="A972" s="42"/>
      <c r="B972" s="42"/>
      <c r="C972" s="42"/>
      <c r="D972" s="42"/>
      <c r="E972" s="42"/>
      <c r="F972" s="42"/>
      <c r="G972" s="42"/>
      <c r="H972" s="42"/>
      <c r="I972" s="42"/>
      <c r="J972" s="42"/>
      <c r="K972" s="42"/>
      <c r="L972" s="42"/>
      <c r="M972" s="42"/>
      <c r="N972" s="42"/>
      <c r="O972" s="9"/>
      <c r="P972" s="9"/>
      <c r="Q972" s="9"/>
      <c r="R972" s="9"/>
      <c r="S972" s="9"/>
      <c r="T972" s="9"/>
      <c r="U972" s="181"/>
      <c r="V972" s="180"/>
      <c r="W972" s="180"/>
      <c r="X972" s="42"/>
      <c r="Y972" s="42"/>
      <c r="Z972" s="9"/>
      <c r="AA972" s="9"/>
      <c r="AB972" s="9"/>
      <c r="AC972" s="9"/>
      <c r="AD972" s="39"/>
      <c r="AE972" s="39"/>
      <c r="AF972" s="39"/>
      <c r="AG972" s="39"/>
      <c r="AH972" s="39"/>
      <c r="AI972" s="39"/>
      <c r="AJ972" s="39"/>
      <c r="AK972" s="239"/>
      <c r="AL972" s="239"/>
      <c r="AM972" s="239"/>
      <c r="AN972" s="239"/>
      <c r="AO972" s="239"/>
      <c r="AP972" s="239"/>
      <c r="AQ972" s="240"/>
      <c r="AR972" s="240"/>
      <c r="AS972" s="240"/>
    </row>
    <row r="973">
      <c r="A973" s="42"/>
      <c r="B973" s="42"/>
      <c r="C973" s="42"/>
      <c r="D973" s="42"/>
      <c r="E973" s="42"/>
      <c r="F973" s="42"/>
      <c r="G973" s="42"/>
      <c r="H973" s="42"/>
      <c r="I973" s="42"/>
      <c r="J973" s="42"/>
      <c r="K973" s="42"/>
      <c r="L973" s="42"/>
      <c r="M973" s="42"/>
      <c r="N973" s="42"/>
      <c r="O973" s="9"/>
      <c r="P973" s="9"/>
      <c r="Q973" s="9"/>
      <c r="R973" s="9"/>
      <c r="S973" s="9"/>
      <c r="T973" s="9"/>
      <c r="U973" s="181"/>
      <c r="V973" s="180"/>
      <c r="W973" s="180"/>
      <c r="X973" s="42"/>
      <c r="Y973" s="42"/>
      <c r="Z973" s="9"/>
      <c r="AA973" s="9"/>
      <c r="AB973" s="9"/>
      <c r="AC973" s="9"/>
      <c r="AD973" s="39"/>
      <c r="AE973" s="39"/>
      <c r="AF973" s="39"/>
      <c r="AG973" s="39"/>
      <c r="AH973" s="39"/>
      <c r="AI973" s="39"/>
      <c r="AJ973" s="39"/>
      <c r="AK973" s="239"/>
      <c r="AL973" s="239"/>
      <c r="AM973" s="239"/>
      <c r="AN973" s="239"/>
      <c r="AO973" s="239"/>
      <c r="AP973" s="239"/>
      <c r="AQ973" s="240"/>
      <c r="AR973" s="240"/>
      <c r="AS973" s="240"/>
    </row>
    <row r="974">
      <c r="A974" s="42"/>
      <c r="B974" s="42"/>
      <c r="C974" s="42"/>
      <c r="D974" s="42"/>
      <c r="E974" s="42"/>
      <c r="F974" s="42"/>
      <c r="G974" s="42"/>
      <c r="H974" s="42"/>
      <c r="I974" s="42"/>
      <c r="J974" s="42"/>
      <c r="K974" s="42"/>
      <c r="L974" s="42"/>
      <c r="M974" s="42"/>
      <c r="N974" s="42"/>
      <c r="O974" s="9"/>
      <c r="P974" s="9"/>
      <c r="Q974" s="9"/>
      <c r="R974" s="9"/>
      <c r="S974" s="9"/>
      <c r="T974" s="9"/>
      <c r="U974" s="181"/>
      <c r="V974" s="180"/>
      <c r="W974" s="180"/>
      <c r="X974" s="42"/>
      <c r="Y974" s="42"/>
      <c r="Z974" s="9"/>
      <c r="AA974" s="9"/>
      <c r="AB974" s="9"/>
      <c r="AC974" s="9"/>
      <c r="AD974" s="39"/>
      <c r="AE974" s="39"/>
      <c r="AF974" s="39"/>
      <c r="AG974" s="39"/>
      <c r="AH974" s="39"/>
      <c r="AI974" s="39"/>
      <c r="AJ974" s="39"/>
      <c r="AK974" s="239"/>
      <c r="AL974" s="239"/>
      <c r="AM974" s="239"/>
      <c r="AN974" s="239"/>
      <c r="AO974" s="239"/>
      <c r="AP974" s="239"/>
      <c r="AQ974" s="240"/>
      <c r="AR974" s="240"/>
      <c r="AS974" s="240"/>
    </row>
    <row r="975">
      <c r="A975" s="42"/>
      <c r="B975" s="42"/>
      <c r="C975" s="42"/>
      <c r="D975" s="42"/>
      <c r="E975" s="42"/>
      <c r="F975" s="42"/>
      <c r="G975" s="42"/>
      <c r="H975" s="42"/>
      <c r="I975" s="42"/>
      <c r="J975" s="42"/>
      <c r="K975" s="42"/>
      <c r="L975" s="42"/>
      <c r="M975" s="42"/>
      <c r="N975" s="42"/>
      <c r="O975" s="9"/>
      <c r="P975" s="9"/>
      <c r="Q975" s="9"/>
      <c r="R975" s="9"/>
      <c r="S975" s="9"/>
      <c r="T975" s="9"/>
      <c r="U975" s="181"/>
      <c r="V975" s="180"/>
      <c r="W975" s="180"/>
      <c r="X975" s="42"/>
      <c r="Y975" s="42"/>
      <c r="Z975" s="9"/>
      <c r="AA975" s="9"/>
      <c r="AB975" s="9"/>
      <c r="AC975" s="9"/>
      <c r="AD975" s="39"/>
      <c r="AE975" s="39"/>
      <c r="AF975" s="39"/>
      <c r="AG975" s="39"/>
      <c r="AH975" s="39"/>
      <c r="AI975" s="39"/>
      <c r="AJ975" s="39"/>
      <c r="AK975" s="239"/>
      <c r="AL975" s="239"/>
      <c r="AM975" s="239"/>
      <c r="AN975" s="239"/>
      <c r="AO975" s="239"/>
      <c r="AP975" s="239"/>
      <c r="AQ975" s="240"/>
      <c r="AR975" s="240"/>
      <c r="AS975" s="240"/>
    </row>
    <row r="976">
      <c r="A976" s="42"/>
      <c r="B976" s="42"/>
      <c r="C976" s="42"/>
      <c r="D976" s="42"/>
      <c r="E976" s="42"/>
      <c r="F976" s="42"/>
      <c r="G976" s="42"/>
      <c r="H976" s="42"/>
      <c r="I976" s="42"/>
      <c r="J976" s="42"/>
      <c r="K976" s="42"/>
      <c r="L976" s="42"/>
      <c r="M976" s="42"/>
      <c r="N976" s="42"/>
      <c r="O976" s="9"/>
      <c r="P976" s="9"/>
      <c r="Q976" s="9"/>
      <c r="R976" s="9"/>
      <c r="S976" s="9"/>
      <c r="T976" s="9"/>
      <c r="U976" s="181"/>
      <c r="V976" s="180"/>
      <c r="W976" s="180"/>
      <c r="X976" s="42"/>
      <c r="Y976" s="42"/>
      <c r="Z976" s="9"/>
      <c r="AA976" s="9"/>
      <c r="AB976" s="9"/>
      <c r="AC976" s="9"/>
      <c r="AD976" s="39"/>
      <c r="AE976" s="39"/>
      <c r="AF976" s="39"/>
      <c r="AG976" s="39"/>
      <c r="AH976" s="39"/>
      <c r="AI976" s="39"/>
      <c r="AJ976" s="39"/>
      <c r="AK976" s="239"/>
      <c r="AL976" s="239"/>
      <c r="AM976" s="239"/>
      <c r="AN976" s="239"/>
      <c r="AO976" s="239"/>
      <c r="AP976" s="239"/>
      <c r="AQ976" s="240"/>
      <c r="AR976" s="240"/>
      <c r="AS976" s="240"/>
    </row>
    <row r="977">
      <c r="A977" s="42"/>
      <c r="B977" s="42"/>
      <c r="C977" s="42"/>
      <c r="D977" s="42"/>
      <c r="E977" s="42"/>
      <c r="F977" s="42"/>
      <c r="G977" s="42"/>
      <c r="H977" s="42"/>
      <c r="I977" s="42"/>
      <c r="J977" s="42"/>
      <c r="K977" s="42"/>
      <c r="L977" s="42"/>
      <c r="M977" s="42"/>
      <c r="N977" s="42"/>
      <c r="O977" s="9"/>
      <c r="P977" s="9"/>
      <c r="Q977" s="9"/>
      <c r="R977" s="9"/>
      <c r="S977" s="9"/>
      <c r="T977" s="9"/>
      <c r="U977" s="181"/>
      <c r="V977" s="180"/>
      <c r="W977" s="180"/>
      <c r="X977" s="42"/>
      <c r="Y977" s="42"/>
      <c r="Z977" s="9"/>
      <c r="AA977" s="9"/>
      <c r="AB977" s="9"/>
      <c r="AC977" s="9"/>
      <c r="AD977" s="39"/>
      <c r="AE977" s="39"/>
      <c r="AF977" s="39"/>
      <c r="AG977" s="39"/>
      <c r="AH977" s="39"/>
      <c r="AI977" s="39"/>
      <c r="AJ977" s="39"/>
      <c r="AK977" s="239"/>
      <c r="AL977" s="239"/>
      <c r="AM977" s="239"/>
      <c r="AN977" s="239"/>
      <c r="AO977" s="239"/>
      <c r="AP977" s="239"/>
      <c r="AQ977" s="240"/>
      <c r="AR977" s="240"/>
      <c r="AS977" s="240"/>
    </row>
    <row r="978">
      <c r="A978" s="42"/>
      <c r="B978" s="42"/>
      <c r="C978" s="42"/>
      <c r="D978" s="42"/>
      <c r="E978" s="42"/>
      <c r="F978" s="42"/>
      <c r="G978" s="42"/>
      <c r="H978" s="42"/>
      <c r="I978" s="42"/>
      <c r="J978" s="42"/>
      <c r="K978" s="42"/>
      <c r="L978" s="42"/>
      <c r="M978" s="42"/>
      <c r="N978" s="42"/>
      <c r="O978" s="9"/>
      <c r="P978" s="9"/>
      <c r="Q978" s="9"/>
      <c r="R978" s="9"/>
      <c r="S978" s="9"/>
      <c r="T978" s="9"/>
      <c r="U978" s="181"/>
      <c r="V978" s="180"/>
      <c r="W978" s="180"/>
      <c r="X978" s="42"/>
      <c r="Y978" s="42"/>
      <c r="Z978" s="9"/>
      <c r="AA978" s="9"/>
      <c r="AB978" s="9"/>
      <c r="AC978" s="9"/>
      <c r="AD978" s="39"/>
      <c r="AE978" s="39"/>
      <c r="AF978" s="39"/>
      <c r="AG978" s="39"/>
      <c r="AH978" s="39"/>
      <c r="AI978" s="39"/>
      <c r="AJ978" s="39"/>
      <c r="AK978" s="239"/>
      <c r="AL978" s="239"/>
      <c r="AM978" s="239"/>
      <c r="AN978" s="239"/>
      <c r="AO978" s="239"/>
      <c r="AP978" s="239"/>
      <c r="AQ978" s="240"/>
      <c r="AR978" s="240"/>
      <c r="AS978" s="240"/>
    </row>
    <row r="979">
      <c r="A979" s="42"/>
      <c r="B979" s="42"/>
      <c r="C979" s="42"/>
      <c r="D979" s="42"/>
      <c r="E979" s="42"/>
      <c r="F979" s="42"/>
      <c r="G979" s="42"/>
      <c r="H979" s="42"/>
      <c r="I979" s="42"/>
      <c r="J979" s="42"/>
      <c r="K979" s="42"/>
      <c r="L979" s="42"/>
      <c r="M979" s="42"/>
      <c r="N979" s="42"/>
      <c r="O979" s="9"/>
      <c r="P979" s="9"/>
      <c r="Q979" s="9"/>
      <c r="R979" s="9"/>
      <c r="S979" s="9"/>
      <c r="T979" s="9"/>
      <c r="U979" s="181"/>
      <c r="V979" s="180"/>
      <c r="W979" s="180"/>
      <c r="X979" s="42"/>
      <c r="Y979" s="42"/>
      <c r="Z979" s="9"/>
      <c r="AA979" s="9"/>
      <c r="AB979" s="9"/>
      <c r="AC979" s="9"/>
      <c r="AD979" s="39"/>
      <c r="AE979" s="39"/>
      <c r="AF979" s="39"/>
      <c r="AG979" s="39"/>
      <c r="AH979" s="39"/>
      <c r="AI979" s="39"/>
      <c r="AJ979" s="39"/>
      <c r="AK979" s="239"/>
      <c r="AL979" s="239"/>
      <c r="AM979" s="239"/>
      <c r="AN979" s="239"/>
      <c r="AO979" s="239"/>
      <c r="AP979" s="239"/>
      <c r="AQ979" s="240"/>
      <c r="AR979" s="240"/>
      <c r="AS979" s="240"/>
    </row>
    <row r="980">
      <c r="A980" s="42"/>
      <c r="B980" s="42"/>
      <c r="C980" s="42"/>
      <c r="D980" s="42"/>
      <c r="E980" s="42"/>
      <c r="F980" s="42"/>
      <c r="G980" s="42"/>
      <c r="H980" s="42"/>
      <c r="I980" s="42"/>
      <c r="J980" s="42"/>
      <c r="K980" s="42"/>
      <c r="L980" s="42"/>
      <c r="M980" s="42"/>
      <c r="N980" s="42"/>
      <c r="O980" s="9"/>
      <c r="P980" s="9"/>
      <c r="Q980" s="9"/>
      <c r="R980" s="9"/>
      <c r="S980" s="9"/>
      <c r="T980" s="9"/>
      <c r="U980" s="181"/>
      <c r="V980" s="180"/>
      <c r="W980" s="180"/>
      <c r="X980" s="42"/>
      <c r="Y980" s="42"/>
      <c r="Z980" s="9"/>
      <c r="AA980" s="9"/>
      <c r="AB980" s="9"/>
      <c r="AC980" s="9"/>
      <c r="AD980" s="39"/>
      <c r="AE980" s="39"/>
      <c r="AF980" s="39"/>
      <c r="AG980" s="39"/>
      <c r="AH980" s="39"/>
      <c r="AI980" s="39"/>
      <c r="AJ980" s="39"/>
      <c r="AK980" s="239"/>
      <c r="AL980" s="239"/>
      <c r="AM980" s="239"/>
      <c r="AN980" s="239"/>
      <c r="AO980" s="239"/>
      <c r="AP980" s="239"/>
      <c r="AQ980" s="240"/>
      <c r="AR980" s="240"/>
      <c r="AS980" s="240"/>
    </row>
    <row r="981">
      <c r="A981" s="42"/>
      <c r="B981" s="42"/>
      <c r="C981" s="42"/>
      <c r="D981" s="42"/>
      <c r="E981" s="42"/>
      <c r="F981" s="42"/>
      <c r="G981" s="42"/>
      <c r="H981" s="42"/>
      <c r="I981" s="42"/>
      <c r="J981" s="42"/>
      <c r="K981" s="42"/>
      <c r="L981" s="42"/>
      <c r="M981" s="42"/>
      <c r="N981" s="42"/>
      <c r="O981" s="9"/>
      <c r="P981" s="9"/>
      <c r="Q981" s="9"/>
      <c r="R981" s="9"/>
      <c r="S981" s="9"/>
      <c r="T981" s="9"/>
      <c r="U981" s="181"/>
      <c r="V981" s="180"/>
      <c r="W981" s="180"/>
      <c r="X981" s="42"/>
      <c r="Y981" s="42"/>
      <c r="Z981" s="9"/>
      <c r="AA981" s="9"/>
      <c r="AB981" s="9"/>
      <c r="AC981" s="9"/>
      <c r="AD981" s="39"/>
      <c r="AE981" s="39"/>
      <c r="AF981" s="39"/>
      <c r="AG981" s="39"/>
      <c r="AH981" s="39"/>
      <c r="AI981" s="39"/>
      <c r="AJ981" s="39"/>
      <c r="AK981" s="239"/>
      <c r="AL981" s="239"/>
      <c r="AM981" s="239"/>
      <c r="AN981" s="239"/>
      <c r="AO981" s="239"/>
      <c r="AP981" s="239"/>
      <c r="AQ981" s="240"/>
      <c r="AR981" s="240"/>
      <c r="AS981" s="240"/>
    </row>
    <row r="982">
      <c r="A982" s="42"/>
      <c r="B982" s="42"/>
      <c r="C982" s="42"/>
      <c r="D982" s="42"/>
      <c r="E982" s="42"/>
      <c r="F982" s="42"/>
      <c r="G982" s="42"/>
      <c r="H982" s="42"/>
      <c r="I982" s="42"/>
      <c r="J982" s="42"/>
      <c r="K982" s="42"/>
      <c r="L982" s="42"/>
      <c r="M982" s="42"/>
      <c r="N982" s="42"/>
      <c r="O982" s="9"/>
      <c r="P982" s="9"/>
      <c r="Q982" s="9"/>
      <c r="R982" s="9"/>
      <c r="S982" s="9"/>
      <c r="T982" s="9"/>
      <c r="U982" s="181"/>
      <c r="V982" s="180"/>
      <c r="W982" s="180"/>
      <c r="X982" s="42"/>
      <c r="Y982" s="42"/>
      <c r="Z982" s="9"/>
      <c r="AA982" s="9"/>
      <c r="AB982" s="9"/>
      <c r="AC982" s="9"/>
      <c r="AD982" s="39"/>
      <c r="AE982" s="39"/>
      <c r="AF982" s="39"/>
      <c r="AG982" s="39"/>
      <c r="AH982" s="39"/>
      <c r="AI982" s="39"/>
      <c r="AJ982" s="39"/>
      <c r="AK982" s="239"/>
      <c r="AL982" s="239"/>
      <c r="AM982" s="239"/>
      <c r="AN982" s="239"/>
      <c r="AO982" s="239"/>
      <c r="AP982" s="239"/>
      <c r="AQ982" s="240"/>
      <c r="AR982" s="240"/>
      <c r="AS982" s="240"/>
    </row>
    <row r="983">
      <c r="A983" s="42"/>
      <c r="B983" s="42"/>
      <c r="C983" s="42"/>
      <c r="D983" s="42"/>
      <c r="E983" s="42"/>
      <c r="F983" s="42"/>
      <c r="G983" s="42"/>
      <c r="H983" s="42"/>
      <c r="I983" s="42"/>
      <c r="J983" s="42"/>
      <c r="K983" s="42"/>
      <c r="L983" s="42"/>
      <c r="M983" s="42"/>
      <c r="N983" s="42"/>
      <c r="O983" s="9"/>
      <c r="P983" s="9"/>
      <c r="Q983" s="9"/>
      <c r="R983" s="9"/>
      <c r="S983" s="9"/>
      <c r="T983" s="9"/>
      <c r="U983" s="181"/>
      <c r="V983" s="180"/>
      <c r="W983" s="180"/>
      <c r="X983" s="42"/>
      <c r="Y983" s="42"/>
      <c r="Z983" s="9"/>
      <c r="AA983" s="9"/>
      <c r="AB983" s="9"/>
      <c r="AC983" s="9"/>
      <c r="AD983" s="39"/>
      <c r="AE983" s="39"/>
      <c r="AF983" s="39"/>
      <c r="AG983" s="39"/>
      <c r="AH983" s="39"/>
      <c r="AI983" s="39"/>
      <c r="AJ983" s="39"/>
      <c r="AK983" s="239"/>
      <c r="AL983" s="239"/>
      <c r="AM983" s="239"/>
      <c r="AN983" s="239"/>
      <c r="AO983" s="239"/>
      <c r="AP983" s="239"/>
      <c r="AQ983" s="240"/>
      <c r="AR983" s="240"/>
      <c r="AS983" s="240"/>
    </row>
    <row r="984">
      <c r="A984" s="42"/>
      <c r="B984" s="42"/>
      <c r="C984" s="42"/>
      <c r="D984" s="42"/>
      <c r="E984" s="42"/>
      <c r="F984" s="42"/>
      <c r="G984" s="42"/>
      <c r="H984" s="42"/>
      <c r="I984" s="42"/>
      <c r="J984" s="42"/>
      <c r="K984" s="42"/>
      <c r="L984" s="42"/>
      <c r="M984" s="42"/>
      <c r="N984" s="42"/>
      <c r="O984" s="9"/>
      <c r="P984" s="9"/>
      <c r="Q984" s="9"/>
      <c r="R984" s="9"/>
      <c r="S984" s="9"/>
      <c r="T984" s="9"/>
      <c r="U984" s="181"/>
      <c r="V984" s="180"/>
      <c r="W984" s="180"/>
      <c r="X984" s="42"/>
      <c r="Y984" s="42"/>
      <c r="Z984" s="9"/>
      <c r="AA984" s="9"/>
      <c r="AB984" s="9"/>
      <c r="AC984" s="9"/>
      <c r="AD984" s="39"/>
      <c r="AE984" s="39"/>
      <c r="AF984" s="39"/>
      <c r="AG984" s="39"/>
      <c r="AH984" s="39"/>
      <c r="AI984" s="39"/>
      <c r="AJ984" s="39"/>
      <c r="AK984" s="239"/>
      <c r="AL984" s="239"/>
      <c r="AM984" s="239"/>
      <c r="AN984" s="239"/>
      <c r="AO984" s="239"/>
      <c r="AP984" s="239"/>
      <c r="AQ984" s="240"/>
      <c r="AR984" s="240"/>
      <c r="AS984" s="240"/>
    </row>
    <row r="985">
      <c r="A985" s="42"/>
      <c r="B985" s="42"/>
      <c r="C985" s="42"/>
      <c r="D985" s="42"/>
      <c r="E985" s="42"/>
      <c r="F985" s="42"/>
      <c r="G985" s="42"/>
      <c r="H985" s="42"/>
      <c r="I985" s="42"/>
      <c r="J985" s="42"/>
      <c r="K985" s="42"/>
      <c r="L985" s="42"/>
      <c r="M985" s="42"/>
      <c r="N985" s="42"/>
      <c r="O985" s="9"/>
      <c r="P985" s="9"/>
      <c r="Q985" s="9"/>
      <c r="R985" s="9"/>
      <c r="S985" s="9"/>
      <c r="T985" s="9"/>
      <c r="U985" s="181"/>
      <c r="V985" s="180"/>
      <c r="W985" s="180"/>
      <c r="X985" s="42"/>
      <c r="Y985" s="42"/>
      <c r="Z985" s="9"/>
      <c r="AA985" s="9"/>
      <c r="AB985" s="9"/>
      <c r="AC985" s="9"/>
      <c r="AD985" s="39"/>
      <c r="AE985" s="39"/>
      <c r="AF985" s="39"/>
      <c r="AG985" s="39"/>
      <c r="AH985" s="39"/>
      <c r="AI985" s="39"/>
      <c r="AJ985" s="39"/>
      <c r="AK985" s="239"/>
      <c r="AL985" s="239"/>
      <c r="AM985" s="239"/>
      <c r="AN985" s="239"/>
      <c r="AO985" s="239"/>
      <c r="AP985" s="239"/>
      <c r="AQ985" s="240"/>
      <c r="AR985" s="240"/>
      <c r="AS985" s="240"/>
    </row>
    <row r="986">
      <c r="A986" s="42"/>
      <c r="B986" s="42"/>
      <c r="C986" s="42"/>
      <c r="D986" s="42"/>
      <c r="E986" s="42"/>
      <c r="F986" s="42"/>
      <c r="G986" s="42"/>
      <c r="H986" s="42"/>
      <c r="I986" s="42"/>
      <c r="J986" s="42"/>
      <c r="K986" s="42"/>
      <c r="L986" s="42"/>
      <c r="M986" s="42"/>
      <c r="N986" s="42"/>
      <c r="O986" s="9"/>
      <c r="P986" s="9"/>
      <c r="Q986" s="9"/>
      <c r="R986" s="9"/>
      <c r="S986" s="9"/>
      <c r="T986" s="9"/>
      <c r="U986" s="181"/>
      <c r="V986" s="180"/>
      <c r="W986" s="180"/>
      <c r="X986" s="42"/>
      <c r="Y986" s="42"/>
      <c r="Z986" s="9"/>
      <c r="AA986" s="9"/>
      <c r="AB986" s="9"/>
      <c r="AC986" s="9"/>
      <c r="AD986" s="39"/>
      <c r="AE986" s="39"/>
      <c r="AF986" s="39"/>
      <c r="AG986" s="39"/>
      <c r="AH986" s="39"/>
      <c r="AI986" s="39"/>
      <c r="AJ986" s="39"/>
      <c r="AK986" s="239"/>
      <c r="AL986" s="239"/>
      <c r="AM986" s="239"/>
      <c r="AN986" s="239"/>
      <c r="AO986" s="239"/>
      <c r="AP986" s="239"/>
      <c r="AQ986" s="240"/>
      <c r="AR986" s="240"/>
      <c r="AS986" s="240"/>
    </row>
    <row r="987">
      <c r="A987" s="42"/>
      <c r="B987" s="42"/>
      <c r="C987" s="42"/>
      <c r="D987" s="42"/>
      <c r="E987" s="42"/>
      <c r="F987" s="42"/>
      <c r="G987" s="42"/>
      <c r="H987" s="42"/>
      <c r="I987" s="42"/>
      <c r="J987" s="42"/>
      <c r="K987" s="42"/>
      <c r="L987" s="42"/>
      <c r="M987" s="42"/>
      <c r="N987" s="42"/>
      <c r="O987" s="9"/>
      <c r="P987" s="9"/>
      <c r="Q987" s="9"/>
      <c r="R987" s="9"/>
      <c r="S987" s="9"/>
      <c r="T987" s="9"/>
      <c r="U987" s="181"/>
      <c r="V987" s="180"/>
      <c r="W987" s="180"/>
      <c r="X987" s="42"/>
      <c r="Y987" s="42"/>
      <c r="Z987" s="9"/>
      <c r="AA987" s="9"/>
      <c r="AB987" s="9"/>
      <c r="AC987" s="9"/>
      <c r="AD987" s="39"/>
      <c r="AE987" s="39"/>
      <c r="AF987" s="39"/>
      <c r="AG987" s="39"/>
      <c r="AH987" s="39"/>
      <c r="AI987" s="39"/>
      <c r="AJ987" s="39"/>
      <c r="AK987" s="239"/>
      <c r="AL987" s="239"/>
      <c r="AM987" s="239"/>
      <c r="AN987" s="239"/>
      <c r="AO987" s="239"/>
      <c r="AP987" s="239"/>
      <c r="AQ987" s="240"/>
      <c r="AR987" s="240"/>
      <c r="AS987" s="240"/>
    </row>
    <row r="988">
      <c r="A988" s="42"/>
      <c r="B988" s="42"/>
      <c r="C988" s="42"/>
      <c r="D988" s="42"/>
      <c r="E988" s="42"/>
      <c r="F988" s="42"/>
      <c r="G988" s="42"/>
      <c r="H988" s="42"/>
      <c r="I988" s="42"/>
      <c r="J988" s="42"/>
      <c r="K988" s="42"/>
      <c r="L988" s="42"/>
      <c r="M988" s="42"/>
      <c r="N988" s="42"/>
      <c r="O988" s="9"/>
      <c r="P988" s="9"/>
      <c r="Q988" s="9"/>
      <c r="R988" s="9"/>
      <c r="S988" s="9"/>
      <c r="T988" s="9"/>
      <c r="U988" s="181"/>
      <c r="V988" s="180"/>
      <c r="W988" s="180"/>
      <c r="X988" s="42"/>
      <c r="Y988" s="42"/>
      <c r="Z988" s="9"/>
      <c r="AA988" s="9"/>
      <c r="AB988" s="9"/>
      <c r="AC988" s="9"/>
      <c r="AD988" s="39"/>
      <c r="AE988" s="39"/>
      <c r="AF988" s="39"/>
      <c r="AG988" s="39"/>
      <c r="AH988" s="39"/>
      <c r="AI988" s="39"/>
      <c r="AJ988" s="39"/>
      <c r="AK988" s="239"/>
      <c r="AL988" s="239"/>
      <c r="AM988" s="239"/>
      <c r="AN988" s="239"/>
      <c r="AO988" s="239"/>
      <c r="AP988" s="239"/>
      <c r="AQ988" s="240"/>
      <c r="AR988" s="240"/>
      <c r="AS988" s="240"/>
    </row>
    <row r="989">
      <c r="A989" s="42"/>
      <c r="B989" s="42"/>
      <c r="C989" s="42"/>
      <c r="D989" s="42"/>
      <c r="E989" s="42"/>
      <c r="F989" s="42"/>
      <c r="G989" s="42"/>
      <c r="H989" s="42"/>
      <c r="I989" s="42"/>
      <c r="J989" s="42"/>
      <c r="K989" s="42"/>
      <c r="L989" s="42"/>
      <c r="M989" s="42"/>
      <c r="N989" s="42"/>
      <c r="O989" s="9"/>
      <c r="P989" s="9"/>
      <c r="Q989" s="9"/>
      <c r="R989" s="9"/>
      <c r="S989" s="9"/>
      <c r="T989" s="9"/>
      <c r="U989" s="181"/>
      <c r="V989" s="180"/>
      <c r="W989" s="180"/>
      <c r="X989" s="42"/>
      <c r="Y989" s="42"/>
      <c r="Z989" s="9"/>
      <c r="AA989" s="9"/>
      <c r="AB989" s="9"/>
      <c r="AC989" s="9"/>
      <c r="AD989" s="39"/>
      <c r="AE989" s="39"/>
      <c r="AF989" s="39"/>
      <c r="AG989" s="39"/>
      <c r="AH989" s="39"/>
      <c r="AI989" s="39"/>
      <c r="AJ989" s="39"/>
      <c r="AK989" s="239"/>
      <c r="AL989" s="239"/>
      <c r="AM989" s="239"/>
      <c r="AN989" s="239"/>
      <c r="AO989" s="239"/>
      <c r="AP989" s="239"/>
      <c r="AQ989" s="240"/>
      <c r="AR989" s="240"/>
      <c r="AS989" s="240"/>
    </row>
    <row r="990">
      <c r="A990" s="42"/>
      <c r="B990" s="42"/>
      <c r="C990" s="42"/>
      <c r="D990" s="42"/>
      <c r="E990" s="42"/>
      <c r="F990" s="42"/>
      <c r="G990" s="42"/>
      <c r="H990" s="42"/>
      <c r="I990" s="42"/>
      <c r="J990" s="42"/>
      <c r="K990" s="42"/>
      <c r="L990" s="42"/>
      <c r="M990" s="42"/>
      <c r="N990" s="42"/>
      <c r="O990" s="9"/>
      <c r="P990" s="9"/>
      <c r="Q990" s="9"/>
      <c r="R990" s="9"/>
      <c r="S990" s="9"/>
      <c r="T990" s="9"/>
      <c r="U990" s="181"/>
      <c r="V990" s="180"/>
      <c r="W990" s="180"/>
      <c r="X990" s="42"/>
      <c r="Y990" s="42"/>
      <c r="Z990" s="9"/>
      <c r="AA990" s="9"/>
      <c r="AB990" s="9"/>
      <c r="AC990" s="9"/>
      <c r="AD990" s="39"/>
      <c r="AE990" s="39"/>
      <c r="AF990" s="39"/>
      <c r="AG990" s="39"/>
      <c r="AH990" s="39"/>
      <c r="AI990" s="39"/>
      <c r="AJ990" s="39"/>
      <c r="AK990" s="239"/>
      <c r="AL990" s="239"/>
      <c r="AM990" s="239"/>
      <c r="AN990" s="239"/>
      <c r="AO990" s="239"/>
      <c r="AP990" s="239"/>
      <c r="AQ990" s="240"/>
      <c r="AR990" s="240"/>
      <c r="AS990" s="240"/>
    </row>
    <row r="991">
      <c r="A991" s="42"/>
      <c r="B991" s="42"/>
      <c r="C991" s="42"/>
      <c r="D991" s="42"/>
      <c r="E991" s="42"/>
      <c r="F991" s="42"/>
      <c r="G991" s="42"/>
      <c r="H991" s="42"/>
      <c r="I991" s="42"/>
      <c r="J991" s="42"/>
      <c r="K991" s="42"/>
      <c r="L991" s="42"/>
      <c r="M991" s="42"/>
      <c r="N991" s="42"/>
      <c r="O991" s="9"/>
      <c r="P991" s="9"/>
      <c r="Q991" s="9"/>
      <c r="R991" s="9"/>
      <c r="S991" s="9"/>
      <c r="T991" s="9"/>
      <c r="U991" s="181"/>
      <c r="V991" s="180"/>
      <c r="W991" s="180"/>
      <c r="X991" s="42"/>
      <c r="Y991" s="42"/>
      <c r="Z991" s="9"/>
      <c r="AA991" s="9"/>
      <c r="AB991" s="9"/>
      <c r="AC991" s="9"/>
      <c r="AD991" s="39"/>
      <c r="AE991" s="39"/>
      <c r="AF991" s="39"/>
      <c r="AG991" s="39"/>
      <c r="AH991" s="39"/>
      <c r="AI991" s="39"/>
      <c r="AJ991" s="39"/>
      <c r="AK991" s="239"/>
      <c r="AL991" s="239"/>
      <c r="AM991" s="239"/>
      <c r="AN991" s="239"/>
      <c r="AO991" s="239"/>
      <c r="AP991" s="239"/>
      <c r="AQ991" s="240"/>
      <c r="AR991" s="240"/>
      <c r="AS991" s="240"/>
    </row>
    <row r="992">
      <c r="A992" s="42"/>
      <c r="B992" s="42"/>
      <c r="C992" s="42"/>
      <c r="D992" s="42"/>
      <c r="E992" s="42"/>
      <c r="F992" s="42"/>
      <c r="G992" s="42"/>
      <c r="H992" s="42"/>
      <c r="I992" s="42"/>
      <c r="J992" s="42"/>
      <c r="K992" s="42"/>
      <c r="L992" s="42"/>
      <c r="M992" s="42"/>
      <c r="N992" s="42"/>
      <c r="O992" s="9"/>
      <c r="P992" s="9"/>
      <c r="Q992" s="9"/>
      <c r="R992" s="9"/>
      <c r="S992" s="9"/>
      <c r="T992" s="9"/>
      <c r="U992" s="181"/>
      <c r="V992" s="180"/>
      <c r="W992" s="180"/>
      <c r="X992" s="42"/>
      <c r="Y992" s="42"/>
      <c r="Z992" s="9"/>
      <c r="AA992" s="9"/>
      <c r="AB992" s="9"/>
      <c r="AC992" s="9"/>
      <c r="AD992" s="39"/>
      <c r="AE992" s="39"/>
      <c r="AF992" s="39"/>
      <c r="AG992" s="39"/>
      <c r="AH992" s="39"/>
      <c r="AI992" s="39"/>
      <c r="AJ992" s="39"/>
      <c r="AK992" s="239"/>
      <c r="AL992" s="239"/>
      <c r="AM992" s="239"/>
      <c r="AN992" s="239"/>
      <c r="AO992" s="239"/>
      <c r="AP992" s="239"/>
      <c r="AQ992" s="240"/>
      <c r="AR992" s="240"/>
      <c r="AS992" s="240"/>
    </row>
    <row r="993">
      <c r="A993" s="42"/>
      <c r="B993" s="42"/>
      <c r="C993" s="42"/>
      <c r="D993" s="42"/>
      <c r="E993" s="42"/>
      <c r="F993" s="42"/>
      <c r="G993" s="42"/>
      <c r="H993" s="42"/>
      <c r="I993" s="42"/>
      <c r="J993" s="42"/>
      <c r="K993" s="42"/>
      <c r="L993" s="42"/>
      <c r="M993" s="42"/>
      <c r="N993" s="42"/>
      <c r="O993" s="9"/>
      <c r="P993" s="9"/>
      <c r="Q993" s="9"/>
      <c r="R993" s="9"/>
      <c r="S993" s="9"/>
      <c r="T993" s="9"/>
      <c r="U993" s="181"/>
      <c r="V993" s="180"/>
      <c r="W993" s="180"/>
      <c r="X993" s="42"/>
      <c r="Y993" s="42"/>
      <c r="Z993" s="9"/>
      <c r="AA993" s="9"/>
      <c r="AB993" s="9"/>
      <c r="AC993" s="9"/>
      <c r="AD993" s="39"/>
      <c r="AE993" s="39"/>
      <c r="AF993" s="39"/>
      <c r="AG993" s="39"/>
      <c r="AH993" s="39"/>
      <c r="AI993" s="39"/>
      <c r="AJ993" s="39"/>
      <c r="AK993" s="239"/>
      <c r="AL993" s="239"/>
      <c r="AM993" s="239"/>
      <c r="AN993" s="239"/>
      <c r="AO993" s="239"/>
      <c r="AP993" s="239"/>
      <c r="AQ993" s="240"/>
      <c r="AR993" s="240"/>
      <c r="AS993" s="240"/>
    </row>
    <row r="994">
      <c r="A994" s="42"/>
      <c r="B994" s="42"/>
      <c r="C994" s="42"/>
      <c r="D994" s="42"/>
      <c r="E994" s="42"/>
      <c r="F994" s="42"/>
      <c r="G994" s="42"/>
      <c r="H994" s="42"/>
      <c r="I994" s="42"/>
      <c r="J994" s="42"/>
      <c r="K994" s="42"/>
      <c r="L994" s="42"/>
      <c r="M994" s="42"/>
      <c r="N994" s="42"/>
      <c r="O994" s="9"/>
      <c r="P994" s="9"/>
      <c r="Q994" s="9"/>
      <c r="R994" s="9"/>
      <c r="S994" s="9"/>
      <c r="T994" s="9"/>
      <c r="U994" s="181"/>
      <c r="V994" s="180"/>
      <c r="W994" s="180"/>
      <c r="X994" s="42"/>
      <c r="Y994" s="42"/>
      <c r="Z994" s="9"/>
      <c r="AA994" s="9"/>
      <c r="AB994" s="9"/>
      <c r="AC994" s="9"/>
      <c r="AD994" s="39"/>
      <c r="AE994" s="39"/>
      <c r="AF994" s="39"/>
      <c r="AG994" s="39"/>
      <c r="AH994" s="39"/>
      <c r="AI994" s="39"/>
      <c r="AJ994" s="39"/>
      <c r="AK994" s="239"/>
      <c r="AL994" s="239"/>
      <c r="AM994" s="239"/>
      <c r="AN994" s="239"/>
      <c r="AO994" s="239"/>
      <c r="AP994" s="239"/>
      <c r="AQ994" s="240"/>
      <c r="AR994" s="240"/>
      <c r="AS994" s="240"/>
    </row>
    <row r="995">
      <c r="A995" s="42"/>
      <c r="B995" s="42"/>
      <c r="C995" s="42"/>
      <c r="D995" s="42"/>
      <c r="E995" s="42"/>
      <c r="F995" s="42"/>
      <c r="G995" s="42"/>
      <c r="H995" s="42"/>
      <c r="I995" s="42"/>
      <c r="J995" s="42"/>
      <c r="K995" s="42"/>
      <c r="L995" s="42"/>
      <c r="M995" s="42"/>
      <c r="N995" s="42"/>
      <c r="O995" s="9"/>
      <c r="P995" s="9"/>
      <c r="Q995" s="9"/>
      <c r="R995" s="9"/>
      <c r="S995" s="9"/>
      <c r="T995" s="9"/>
      <c r="U995" s="181"/>
      <c r="V995" s="180"/>
      <c r="W995" s="180"/>
      <c r="X995" s="42"/>
      <c r="Y995" s="42"/>
      <c r="Z995" s="9"/>
      <c r="AA995" s="9"/>
      <c r="AB995" s="9"/>
      <c r="AC995" s="9"/>
      <c r="AD995" s="39"/>
      <c r="AE995" s="39"/>
      <c r="AF995" s="39"/>
      <c r="AG995" s="39"/>
      <c r="AH995" s="39"/>
      <c r="AI995" s="39"/>
      <c r="AJ995" s="39"/>
      <c r="AK995" s="239"/>
      <c r="AL995" s="239"/>
      <c r="AM995" s="239"/>
      <c r="AN995" s="239"/>
      <c r="AO995" s="239"/>
      <c r="AP995" s="239"/>
      <c r="AQ995" s="240"/>
      <c r="AR995" s="240"/>
      <c r="AS995" s="240"/>
    </row>
    <row r="996">
      <c r="A996" s="42"/>
      <c r="B996" s="42"/>
      <c r="C996" s="42"/>
      <c r="D996" s="42"/>
      <c r="E996" s="42"/>
      <c r="F996" s="42"/>
      <c r="G996" s="42"/>
      <c r="H996" s="42"/>
      <c r="I996" s="42"/>
      <c r="J996" s="42"/>
      <c r="K996" s="42"/>
      <c r="L996" s="42"/>
      <c r="M996" s="42"/>
      <c r="N996" s="42"/>
      <c r="O996" s="9"/>
      <c r="P996" s="9"/>
      <c r="Q996" s="9"/>
      <c r="R996" s="9"/>
      <c r="S996" s="9"/>
      <c r="T996" s="9"/>
      <c r="U996" s="181"/>
      <c r="V996" s="180"/>
      <c r="W996" s="180"/>
      <c r="X996" s="42"/>
      <c r="Y996" s="42"/>
      <c r="Z996" s="9"/>
      <c r="AA996" s="9"/>
      <c r="AB996" s="9"/>
      <c r="AC996" s="9"/>
      <c r="AD996" s="39"/>
      <c r="AE996" s="39"/>
      <c r="AF996" s="39"/>
      <c r="AG996" s="39"/>
      <c r="AH996" s="39"/>
      <c r="AI996" s="39"/>
      <c r="AJ996" s="39"/>
      <c r="AK996" s="239"/>
      <c r="AL996" s="239"/>
      <c r="AM996" s="239"/>
      <c r="AN996" s="239"/>
      <c r="AO996" s="239"/>
      <c r="AP996" s="239"/>
      <c r="AQ996" s="240"/>
      <c r="AR996" s="240"/>
      <c r="AS996" s="240"/>
    </row>
    <row r="997">
      <c r="A997" s="42"/>
      <c r="B997" s="42"/>
      <c r="C997" s="42"/>
      <c r="D997" s="42"/>
      <c r="E997" s="42"/>
      <c r="F997" s="42"/>
      <c r="G997" s="42"/>
      <c r="H997" s="42"/>
      <c r="I997" s="42"/>
      <c r="J997" s="42"/>
      <c r="K997" s="42"/>
      <c r="L997" s="42"/>
      <c r="M997" s="42"/>
      <c r="N997" s="42"/>
      <c r="O997" s="9"/>
      <c r="P997" s="9"/>
      <c r="Q997" s="9"/>
      <c r="R997" s="9"/>
      <c r="S997" s="9"/>
      <c r="T997" s="9"/>
      <c r="U997" s="181"/>
      <c r="V997" s="180"/>
      <c r="W997" s="180"/>
      <c r="X997" s="42"/>
      <c r="Y997" s="42"/>
      <c r="Z997" s="9"/>
      <c r="AA997" s="9"/>
      <c r="AB997" s="9"/>
      <c r="AC997" s="9"/>
      <c r="AD997" s="39"/>
      <c r="AE997" s="39"/>
      <c r="AF997" s="39"/>
      <c r="AG997" s="39"/>
      <c r="AH997" s="39"/>
      <c r="AI997" s="39"/>
      <c r="AJ997" s="39"/>
      <c r="AK997" s="239"/>
      <c r="AL997" s="239"/>
      <c r="AM997" s="239"/>
      <c r="AN997" s="239"/>
      <c r="AO997" s="239"/>
      <c r="AP997" s="239"/>
      <c r="AQ997" s="240"/>
      <c r="AR997" s="240"/>
      <c r="AS997" s="240"/>
    </row>
    <row r="998">
      <c r="A998" s="42"/>
      <c r="B998" s="42"/>
      <c r="C998" s="42"/>
      <c r="D998" s="42"/>
      <c r="E998" s="42"/>
      <c r="F998" s="42"/>
      <c r="G998" s="42"/>
      <c r="H998" s="42"/>
      <c r="I998" s="42"/>
      <c r="J998" s="42"/>
      <c r="K998" s="42"/>
      <c r="L998" s="42"/>
      <c r="M998" s="42"/>
      <c r="N998" s="42"/>
      <c r="O998" s="9"/>
      <c r="P998" s="9"/>
      <c r="Q998" s="9"/>
      <c r="R998" s="9"/>
      <c r="S998" s="9"/>
      <c r="T998" s="9"/>
      <c r="U998" s="181"/>
      <c r="V998" s="180"/>
      <c r="W998" s="180"/>
      <c r="X998" s="42"/>
      <c r="Y998" s="42"/>
      <c r="Z998" s="9"/>
      <c r="AA998" s="9"/>
      <c r="AB998" s="9"/>
      <c r="AC998" s="9"/>
      <c r="AD998" s="39"/>
      <c r="AE998" s="39"/>
      <c r="AF998" s="39"/>
      <c r="AG998" s="39"/>
      <c r="AH998" s="39"/>
      <c r="AI998" s="39"/>
      <c r="AJ998" s="39"/>
      <c r="AK998" s="239"/>
      <c r="AL998" s="239"/>
      <c r="AM998" s="239"/>
      <c r="AN998" s="239"/>
      <c r="AO998" s="239"/>
      <c r="AP998" s="239"/>
      <c r="AQ998" s="240"/>
      <c r="AR998" s="240"/>
      <c r="AS998" s="240"/>
    </row>
    <row r="999">
      <c r="A999" s="42"/>
      <c r="B999" s="42"/>
      <c r="C999" s="42"/>
      <c r="D999" s="42"/>
      <c r="E999" s="42"/>
      <c r="F999" s="42"/>
      <c r="G999" s="42"/>
      <c r="H999" s="42"/>
      <c r="I999" s="42"/>
      <c r="J999" s="42"/>
      <c r="K999" s="42"/>
      <c r="L999" s="42"/>
      <c r="M999" s="42"/>
      <c r="N999" s="42"/>
      <c r="O999" s="9"/>
      <c r="P999" s="9"/>
      <c r="Q999" s="9"/>
      <c r="R999" s="9"/>
      <c r="S999" s="9"/>
      <c r="T999" s="9"/>
      <c r="U999" s="181"/>
      <c r="V999" s="180"/>
      <c r="W999" s="180"/>
      <c r="X999" s="42"/>
      <c r="Y999" s="42"/>
      <c r="Z999" s="9"/>
      <c r="AA999" s="9"/>
      <c r="AB999" s="9"/>
      <c r="AC999" s="9"/>
      <c r="AD999" s="39"/>
      <c r="AE999" s="39"/>
      <c r="AF999" s="39"/>
      <c r="AG999" s="39"/>
      <c r="AH999" s="39"/>
      <c r="AI999" s="39"/>
      <c r="AJ999" s="39"/>
      <c r="AK999" s="239"/>
      <c r="AL999" s="239"/>
      <c r="AM999" s="239"/>
      <c r="AN999" s="239"/>
      <c r="AO999" s="239"/>
      <c r="AP999" s="239"/>
      <c r="AQ999" s="240"/>
      <c r="AR999" s="240"/>
      <c r="AS999" s="240"/>
    </row>
    <row r="1000">
      <c r="A1000" s="42"/>
      <c r="B1000" s="42"/>
      <c r="C1000" s="42"/>
      <c r="D1000" s="42"/>
      <c r="E1000" s="42"/>
      <c r="F1000" s="42"/>
      <c r="G1000" s="42"/>
      <c r="H1000" s="42"/>
      <c r="I1000" s="42"/>
      <c r="J1000" s="42"/>
      <c r="K1000" s="42"/>
      <c r="L1000" s="42"/>
      <c r="M1000" s="42"/>
      <c r="N1000" s="42"/>
      <c r="O1000" s="9"/>
      <c r="P1000" s="9"/>
      <c r="Q1000" s="9"/>
      <c r="R1000" s="9"/>
      <c r="S1000" s="9"/>
      <c r="T1000" s="9"/>
      <c r="U1000" s="181"/>
      <c r="V1000" s="180"/>
      <c r="W1000" s="180"/>
      <c r="X1000" s="42"/>
      <c r="Y1000" s="42"/>
      <c r="Z1000" s="9"/>
      <c r="AA1000" s="9"/>
      <c r="AB1000" s="9"/>
      <c r="AC1000" s="9"/>
      <c r="AD1000" s="39"/>
      <c r="AE1000" s="39"/>
      <c r="AF1000" s="39"/>
      <c r="AG1000" s="39"/>
      <c r="AH1000" s="39"/>
      <c r="AI1000" s="39"/>
      <c r="AJ1000" s="39"/>
      <c r="AK1000" s="239"/>
      <c r="AL1000" s="239"/>
      <c r="AM1000" s="239"/>
      <c r="AN1000" s="239"/>
      <c r="AO1000" s="239"/>
      <c r="AP1000" s="239"/>
      <c r="AQ1000" s="240"/>
      <c r="AR1000" s="240"/>
      <c r="AS1000" s="240"/>
    </row>
    <row r="1001">
      <c r="A1001" s="42"/>
      <c r="B1001" s="42"/>
      <c r="C1001" s="42"/>
      <c r="D1001" s="42"/>
      <c r="E1001" s="42"/>
      <c r="F1001" s="42"/>
      <c r="G1001" s="42"/>
      <c r="H1001" s="42"/>
      <c r="I1001" s="42"/>
      <c r="J1001" s="42"/>
      <c r="K1001" s="42"/>
      <c r="L1001" s="42"/>
      <c r="M1001" s="42"/>
      <c r="N1001" s="42"/>
      <c r="O1001" s="9"/>
      <c r="P1001" s="9"/>
      <c r="Q1001" s="9"/>
      <c r="R1001" s="9"/>
      <c r="S1001" s="9"/>
      <c r="T1001" s="9"/>
      <c r="U1001" s="181"/>
      <c r="V1001" s="180"/>
      <c r="W1001" s="180"/>
      <c r="X1001" s="42"/>
      <c r="Y1001" s="42"/>
      <c r="Z1001" s="9"/>
      <c r="AA1001" s="9"/>
      <c r="AB1001" s="9"/>
      <c r="AC1001" s="9"/>
      <c r="AD1001" s="39"/>
      <c r="AE1001" s="39"/>
      <c r="AF1001" s="39"/>
      <c r="AG1001" s="39"/>
      <c r="AH1001" s="39"/>
      <c r="AI1001" s="39"/>
      <c r="AJ1001" s="39"/>
      <c r="AK1001" s="239"/>
      <c r="AL1001" s="239"/>
      <c r="AM1001" s="239"/>
      <c r="AN1001" s="239"/>
      <c r="AO1001" s="239"/>
      <c r="AP1001" s="239"/>
      <c r="AQ1001" s="240"/>
      <c r="AR1001" s="240"/>
      <c r="AS1001" s="240"/>
    </row>
    <row r="1002">
      <c r="A1002" s="42"/>
      <c r="B1002" s="42"/>
      <c r="C1002" s="42"/>
      <c r="D1002" s="42"/>
      <c r="E1002" s="42"/>
      <c r="F1002" s="42"/>
      <c r="G1002" s="42"/>
      <c r="H1002" s="42"/>
      <c r="I1002" s="42"/>
      <c r="J1002" s="42"/>
      <c r="K1002" s="42"/>
      <c r="L1002" s="42"/>
      <c r="M1002" s="42"/>
      <c r="N1002" s="42"/>
      <c r="O1002" s="9"/>
      <c r="P1002" s="9"/>
      <c r="Q1002" s="9"/>
      <c r="R1002" s="9"/>
      <c r="S1002" s="9"/>
      <c r="T1002" s="9"/>
      <c r="U1002" s="181"/>
      <c r="V1002" s="180"/>
      <c r="W1002" s="180"/>
      <c r="X1002" s="42"/>
      <c r="Y1002" s="42"/>
      <c r="Z1002" s="9"/>
      <c r="AA1002" s="9"/>
      <c r="AB1002" s="9"/>
      <c r="AC1002" s="9"/>
      <c r="AD1002" s="39"/>
      <c r="AE1002" s="39"/>
      <c r="AF1002" s="39"/>
      <c r="AG1002" s="39"/>
      <c r="AH1002" s="39"/>
      <c r="AI1002" s="39"/>
      <c r="AJ1002" s="39"/>
      <c r="AK1002" s="239"/>
      <c r="AL1002" s="239"/>
      <c r="AM1002" s="239"/>
      <c r="AN1002" s="239"/>
      <c r="AO1002" s="239"/>
      <c r="AP1002" s="239"/>
      <c r="AQ1002" s="240"/>
      <c r="AR1002" s="240"/>
      <c r="AS1002" s="240"/>
    </row>
    <row r="1003">
      <c r="A1003" s="42"/>
      <c r="B1003" s="42"/>
      <c r="C1003" s="42"/>
      <c r="D1003" s="42"/>
      <c r="E1003" s="42"/>
      <c r="F1003" s="42"/>
      <c r="G1003" s="42"/>
      <c r="H1003" s="42"/>
      <c r="I1003" s="42"/>
      <c r="J1003" s="42"/>
      <c r="K1003" s="42"/>
      <c r="L1003" s="42"/>
      <c r="M1003" s="42"/>
      <c r="N1003" s="42"/>
      <c r="O1003" s="9"/>
      <c r="P1003" s="9"/>
      <c r="Q1003" s="9"/>
      <c r="R1003" s="9"/>
      <c r="S1003" s="9"/>
      <c r="T1003" s="9"/>
      <c r="U1003" s="181"/>
      <c r="V1003" s="180"/>
      <c r="W1003" s="180"/>
      <c r="X1003" s="42"/>
      <c r="Y1003" s="42"/>
      <c r="Z1003" s="9"/>
      <c r="AA1003" s="9"/>
      <c r="AB1003" s="9"/>
      <c r="AC1003" s="9"/>
      <c r="AD1003" s="39"/>
      <c r="AE1003" s="39"/>
      <c r="AF1003" s="39"/>
      <c r="AG1003" s="39"/>
      <c r="AH1003" s="39"/>
      <c r="AI1003" s="39"/>
      <c r="AJ1003" s="39"/>
      <c r="AK1003" s="239"/>
      <c r="AL1003" s="239"/>
      <c r="AM1003" s="239"/>
      <c r="AN1003" s="239"/>
      <c r="AO1003" s="239"/>
      <c r="AP1003" s="239"/>
      <c r="AQ1003" s="240"/>
      <c r="AR1003" s="240"/>
      <c r="AS1003" s="240"/>
    </row>
    <row r="1004">
      <c r="A1004" s="42"/>
      <c r="B1004" s="42"/>
      <c r="C1004" s="42"/>
      <c r="D1004" s="42"/>
      <c r="E1004" s="42"/>
      <c r="F1004" s="42"/>
      <c r="G1004" s="42"/>
      <c r="H1004" s="42"/>
      <c r="I1004" s="42"/>
      <c r="J1004" s="42"/>
      <c r="K1004" s="42"/>
      <c r="L1004" s="42"/>
      <c r="M1004" s="42"/>
      <c r="N1004" s="42"/>
      <c r="O1004" s="9"/>
      <c r="P1004" s="9"/>
      <c r="Q1004" s="9"/>
      <c r="R1004" s="9"/>
      <c r="S1004" s="9"/>
      <c r="T1004" s="9"/>
      <c r="U1004" s="181"/>
      <c r="V1004" s="180"/>
      <c r="W1004" s="180"/>
      <c r="X1004" s="42"/>
      <c r="Y1004" s="42"/>
      <c r="Z1004" s="9"/>
      <c r="AA1004" s="9"/>
      <c r="AB1004" s="9"/>
      <c r="AC1004" s="9"/>
      <c r="AD1004" s="39"/>
      <c r="AE1004" s="39"/>
      <c r="AF1004" s="39"/>
      <c r="AG1004" s="39"/>
      <c r="AH1004" s="39"/>
      <c r="AI1004" s="39"/>
      <c r="AJ1004" s="39"/>
      <c r="AK1004" s="239"/>
      <c r="AL1004" s="239"/>
      <c r="AM1004" s="239"/>
      <c r="AN1004" s="239"/>
      <c r="AO1004" s="239"/>
      <c r="AP1004" s="239"/>
      <c r="AQ1004" s="240"/>
      <c r="AR1004" s="240"/>
      <c r="AS1004" s="240"/>
    </row>
    <row r="1005">
      <c r="A1005" s="42"/>
      <c r="B1005" s="42"/>
      <c r="C1005" s="42"/>
      <c r="D1005" s="42"/>
      <c r="E1005" s="42"/>
      <c r="F1005" s="42"/>
      <c r="G1005" s="42"/>
      <c r="H1005" s="42"/>
      <c r="I1005" s="42"/>
      <c r="J1005" s="42"/>
      <c r="K1005" s="42"/>
      <c r="L1005" s="42"/>
      <c r="M1005" s="42"/>
      <c r="N1005" s="42"/>
      <c r="O1005" s="9"/>
      <c r="P1005" s="9"/>
      <c r="Q1005" s="9"/>
      <c r="R1005" s="9"/>
      <c r="S1005" s="9"/>
      <c r="T1005" s="9"/>
      <c r="U1005" s="181"/>
      <c r="V1005" s="180"/>
      <c r="W1005" s="180"/>
      <c r="X1005" s="42"/>
      <c r="Y1005" s="42"/>
      <c r="Z1005" s="9"/>
      <c r="AA1005" s="9"/>
      <c r="AB1005" s="9"/>
      <c r="AC1005" s="9"/>
      <c r="AD1005" s="39"/>
      <c r="AE1005" s="39"/>
      <c r="AF1005" s="39"/>
      <c r="AG1005" s="39"/>
      <c r="AH1005" s="39"/>
      <c r="AI1005" s="39"/>
      <c r="AJ1005" s="39"/>
      <c r="AK1005" s="239"/>
      <c r="AL1005" s="239"/>
      <c r="AM1005" s="239"/>
      <c r="AN1005" s="239"/>
      <c r="AO1005" s="239"/>
      <c r="AP1005" s="239"/>
      <c r="AQ1005" s="240"/>
      <c r="AR1005" s="240"/>
      <c r="AS1005" s="240"/>
    </row>
    <row r="1006">
      <c r="A1006" s="42"/>
      <c r="B1006" s="42"/>
      <c r="C1006" s="42"/>
      <c r="D1006" s="42"/>
      <c r="E1006" s="42"/>
      <c r="F1006" s="42"/>
      <c r="G1006" s="42"/>
      <c r="H1006" s="42"/>
      <c r="I1006" s="42"/>
      <c r="J1006" s="42"/>
      <c r="K1006" s="42"/>
      <c r="L1006" s="42"/>
      <c r="M1006" s="42"/>
      <c r="N1006" s="42"/>
      <c r="O1006" s="9"/>
      <c r="P1006" s="9"/>
      <c r="Q1006" s="9"/>
      <c r="R1006" s="9"/>
      <c r="S1006" s="9"/>
      <c r="T1006" s="9"/>
      <c r="U1006" s="181"/>
      <c r="V1006" s="180"/>
      <c r="W1006" s="180"/>
      <c r="X1006" s="42"/>
      <c r="Y1006" s="42"/>
      <c r="Z1006" s="9"/>
      <c r="AA1006" s="9"/>
      <c r="AB1006" s="9"/>
      <c r="AC1006" s="9"/>
      <c r="AD1006" s="39"/>
      <c r="AE1006" s="39"/>
      <c r="AF1006" s="39"/>
      <c r="AG1006" s="39"/>
      <c r="AH1006" s="39"/>
      <c r="AI1006" s="39"/>
      <c r="AJ1006" s="39"/>
      <c r="AK1006" s="239"/>
      <c r="AL1006" s="239"/>
      <c r="AM1006" s="239"/>
      <c r="AN1006" s="239"/>
      <c r="AO1006" s="239"/>
      <c r="AP1006" s="239"/>
      <c r="AQ1006" s="240"/>
      <c r="AR1006" s="240"/>
      <c r="AS1006" s="240"/>
    </row>
    <row r="1007">
      <c r="A1007" s="42"/>
      <c r="B1007" s="42"/>
      <c r="C1007" s="42"/>
      <c r="D1007" s="42"/>
      <c r="E1007" s="42"/>
      <c r="F1007" s="42"/>
      <c r="G1007" s="42"/>
      <c r="H1007" s="42"/>
      <c r="I1007" s="42"/>
      <c r="J1007" s="42"/>
      <c r="K1007" s="42"/>
      <c r="L1007" s="42"/>
      <c r="M1007" s="42"/>
      <c r="N1007" s="42"/>
      <c r="O1007" s="9"/>
      <c r="P1007" s="9"/>
      <c r="Q1007" s="9"/>
      <c r="R1007" s="9"/>
      <c r="S1007" s="9"/>
      <c r="T1007" s="9"/>
      <c r="U1007" s="181"/>
      <c r="V1007" s="180"/>
      <c r="W1007" s="180"/>
      <c r="X1007" s="42"/>
      <c r="Y1007" s="42"/>
      <c r="Z1007" s="9"/>
      <c r="AA1007" s="9"/>
      <c r="AB1007" s="9"/>
      <c r="AC1007" s="9"/>
      <c r="AD1007" s="39"/>
      <c r="AE1007" s="39"/>
      <c r="AF1007" s="39"/>
      <c r="AG1007" s="39"/>
      <c r="AH1007" s="39"/>
      <c r="AI1007" s="39"/>
      <c r="AJ1007" s="39"/>
      <c r="AK1007" s="239"/>
      <c r="AL1007" s="239"/>
      <c r="AM1007" s="239"/>
      <c r="AN1007" s="239"/>
      <c r="AO1007" s="239"/>
      <c r="AP1007" s="239"/>
      <c r="AQ1007" s="240"/>
      <c r="AR1007" s="240"/>
      <c r="AS1007" s="240"/>
    </row>
    <row r="1008">
      <c r="A1008" s="42"/>
      <c r="B1008" s="42"/>
      <c r="C1008" s="42"/>
      <c r="D1008" s="42"/>
      <c r="E1008" s="42"/>
      <c r="F1008" s="42"/>
      <c r="G1008" s="42"/>
      <c r="H1008" s="42"/>
      <c r="I1008" s="42"/>
      <c r="J1008" s="42"/>
      <c r="K1008" s="42"/>
      <c r="L1008" s="42"/>
      <c r="M1008" s="42"/>
      <c r="N1008" s="42"/>
      <c r="O1008" s="9"/>
      <c r="P1008" s="9"/>
      <c r="Q1008" s="9"/>
      <c r="R1008" s="9"/>
      <c r="S1008" s="9"/>
      <c r="T1008" s="9"/>
      <c r="U1008" s="181"/>
      <c r="V1008" s="180"/>
      <c r="W1008" s="180"/>
      <c r="X1008" s="42"/>
      <c r="Y1008" s="42"/>
      <c r="Z1008" s="9"/>
      <c r="AA1008" s="9"/>
      <c r="AB1008" s="9"/>
      <c r="AC1008" s="9"/>
      <c r="AD1008" s="39"/>
      <c r="AE1008" s="39"/>
      <c r="AF1008" s="39"/>
      <c r="AG1008" s="39"/>
      <c r="AH1008" s="39"/>
      <c r="AI1008" s="39"/>
      <c r="AJ1008" s="39"/>
      <c r="AK1008" s="239"/>
      <c r="AL1008" s="239"/>
      <c r="AM1008" s="239"/>
      <c r="AN1008" s="239"/>
      <c r="AO1008" s="239"/>
      <c r="AP1008" s="239"/>
      <c r="AQ1008" s="240"/>
      <c r="AR1008" s="240"/>
      <c r="AS1008" s="240"/>
    </row>
    <row r="1009">
      <c r="A1009" s="42"/>
      <c r="B1009" s="42"/>
      <c r="C1009" s="42"/>
      <c r="D1009" s="42"/>
      <c r="E1009" s="42"/>
      <c r="F1009" s="42"/>
      <c r="G1009" s="42"/>
      <c r="H1009" s="42"/>
      <c r="I1009" s="42"/>
      <c r="J1009" s="42"/>
      <c r="K1009" s="42"/>
      <c r="L1009" s="42"/>
      <c r="M1009" s="42"/>
      <c r="N1009" s="42"/>
      <c r="O1009" s="9"/>
      <c r="P1009" s="9"/>
      <c r="Q1009" s="9"/>
      <c r="R1009" s="9"/>
      <c r="S1009" s="9"/>
      <c r="T1009" s="9"/>
      <c r="U1009" s="181"/>
      <c r="V1009" s="180"/>
      <c r="W1009" s="180"/>
      <c r="X1009" s="42"/>
      <c r="Y1009" s="42"/>
      <c r="Z1009" s="9"/>
      <c r="AA1009" s="9"/>
      <c r="AB1009" s="9"/>
      <c r="AC1009" s="9"/>
      <c r="AD1009" s="39"/>
      <c r="AE1009" s="39"/>
      <c r="AF1009" s="39"/>
      <c r="AG1009" s="39"/>
      <c r="AH1009" s="39"/>
      <c r="AI1009" s="39"/>
      <c r="AJ1009" s="39"/>
      <c r="AK1009" s="239"/>
      <c r="AL1009" s="239"/>
      <c r="AM1009" s="239"/>
      <c r="AN1009" s="239"/>
      <c r="AO1009" s="239"/>
      <c r="AP1009" s="239"/>
      <c r="AQ1009" s="240"/>
      <c r="AR1009" s="240"/>
      <c r="AS1009" s="240"/>
    </row>
    <row r="1010">
      <c r="A1010" s="42"/>
      <c r="B1010" s="42"/>
      <c r="C1010" s="42"/>
      <c r="D1010" s="42"/>
      <c r="E1010" s="42"/>
      <c r="F1010" s="42"/>
      <c r="G1010" s="42"/>
      <c r="H1010" s="42"/>
      <c r="I1010" s="42"/>
      <c r="J1010" s="42"/>
      <c r="K1010" s="42"/>
      <c r="L1010" s="42"/>
      <c r="M1010" s="42"/>
      <c r="N1010" s="42"/>
      <c r="O1010" s="9"/>
      <c r="P1010" s="9"/>
      <c r="Q1010" s="9"/>
      <c r="R1010" s="9"/>
      <c r="S1010" s="9"/>
      <c r="T1010" s="9"/>
      <c r="U1010" s="181"/>
      <c r="V1010" s="180"/>
      <c r="W1010" s="180"/>
      <c r="X1010" s="42"/>
      <c r="Y1010" s="42"/>
      <c r="Z1010" s="9"/>
      <c r="AA1010" s="9"/>
      <c r="AB1010" s="9"/>
      <c r="AC1010" s="9"/>
      <c r="AD1010" s="39"/>
      <c r="AE1010" s="39"/>
      <c r="AF1010" s="39"/>
      <c r="AG1010" s="39"/>
      <c r="AH1010" s="39"/>
      <c r="AI1010" s="39"/>
      <c r="AJ1010" s="39"/>
      <c r="AK1010" s="239"/>
      <c r="AL1010" s="239"/>
      <c r="AM1010" s="239"/>
      <c r="AN1010" s="239"/>
      <c r="AO1010" s="239"/>
      <c r="AP1010" s="239"/>
      <c r="AQ1010" s="240"/>
      <c r="AR1010" s="240"/>
      <c r="AS1010" s="240"/>
    </row>
    <row r="1011">
      <c r="A1011" s="42"/>
      <c r="B1011" s="42"/>
      <c r="C1011" s="42"/>
      <c r="D1011" s="42"/>
      <c r="E1011" s="42"/>
      <c r="F1011" s="42"/>
      <c r="G1011" s="42"/>
      <c r="H1011" s="42"/>
      <c r="I1011" s="42"/>
      <c r="J1011" s="42"/>
      <c r="K1011" s="42"/>
      <c r="L1011" s="42"/>
      <c r="M1011" s="42"/>
      <c r="N1011" s="42"/>
      <c r="O1011" s="9"/>
      <c r="P1011" s="9"/>
      <c r="Q1011" s="9"/>
      <c r="R1011" s="9"/>
      <c r="S1011" s="9"/>
      <c r="T1011" s="9"/>
      <c r="U1011" s="181"/>
      <c r="V1011" s="180"/>
      <c r="W1011" s="180"/>
      <c r="X1011" s="42"/>
      <c r="Y1011" s="42"/>
      <c r="Z1011" s="9"/>
      <c r="AA1011" s="9"/>
      <c r="AB1011" s="9"/>
      <c r="AC1011" s="9"/>
      <c r="AD1011" s="39"/>
      <c r="AE1011" s="39"/>
      <c r="AF1011" s="39"/>
      <c r="AG1011" s="39"/>
      <c r="AH1011" s="39"/>
      <c r="AI1011" s="39"/>
      <c r="AJ1011" s="39"/>
      <c r="AK1011" s="239"/>
      <c r="AL1011" s="239"/>
      <c r="AM1011" s="239"/>
      <c r="AN1011" s="239"/>
      <c r="AO1011" s="239"/>
      <c r="AP1011" s="239"/>
      <c r="AQ1011" s="240"/>
      <c r="AR1011" s="240"/>
      <c r="AS1011" s="240"/>
    </row>
    <row r="1012">
      <c r="A1012" s="42"/>
      <c r="B1012" s="42"/>
      <c r="C1012" s="42"/>
      <c r="D1012" s="42"/>
      <c r="E1012" s="42"/>
      <c r="F1012" s="42"/>
      <c r="G1012" s="42"/>
      <c r="H1012" s="42"/>
      <c r="I1012" s="42"/>
      <c r="J1012" s="42"/>
      <c r="K1012" s="42"/>
      <c r="L1012" s="42"/>
      <c r="M1012" s="42"/>
      <c r="N1012" s="42"/>
      <c r="O1012" s="9"/>
      <c r="P1012" s="9"/>
      <c r="Q1012" s="9"/>
      <c r="R1012" s="9"/>
      <c r="S1012" s="9"/>
      <c r="T1012" s="9"/>
      <c r="U1012" s="181"/>
      <c r="V1012" s="180"/>
      <c r="W1012" s="180"/>
      <c r="X1012" s="42"/>
      <c r="Y1012" s="42"/>
      <c r="Z1012" s="9"/>
      <c r="AA1012" s="9"/>
      <c r="AB1012" s="9"/>
      <c r="AC1012" s="9"/>
      <c r="AD1012" s="39"/>
      <c r="AE1012" s="39"/>
      <c r="AF1012" s="39"/>
      <c r="AG1012" s="39"/>
      <c r="AH1012" s="39"/>
      <c r="AI1012" s="39"/>
      <c r="AJ1012" s="39"/>
      <c r="AK1012" s="239"/>
      <c r="AL1012" s="239"/>
      <c r="AM1012" s="239"/>
      <c r="AN1012" s="239"/>
      <c r="AO1012" s="239"/>
      <c r="AP1012" s="239"/>
      <c r="AQ1012" s="240"/>
      <c r="AR1012" s="240"/>
      <c r="AS1012" s="240"/>
    </row>
    <row r="1013">
      <c r="A1013" s="42"/>
      <c r="B1013" s="42"/>
      <c r="C1013" s="42"/>
      <c r="D1013" s="42"/>
      <c r="E1013" s="42"/>
      <c r="F1013" s="42"/>
      <c r="G1013" s="42"/>
      <c r="H1013" s="42"/>
      <c r="I1013" s="42"/>
      <c r="J1013" s="42"/>
      <c r="K1013" s="42"/>
      <c r="L1013" s="42"/>
      <c r="M1013" s="42"/>
      <c r="N1013" s="42"/>
      <c r="O1013" s="9"/>
      <c r="P1013" s="9"/>
      <c r="Q1013" s="9"/>
      <c r="R1013" s="9"/>
      <c r="S1013" s="9"/>
      <c r="T1013" s="9"/>
      <c r="U1013" s="181"/>
      <c r="V1013" s="180"/>
      <c r="W1013" s="180"/>
      <c r="X1013" s="42"/>
      <c r="Y1013" s="42"/>
      <c r="Z1013" s="9"/>
      <c r="AA1013" s="9"/>
      <c r="AB1013" s="9"/>
      <c r="AC1013" s="9"/>
      <c r="AD1013" s="39"/>
      <c r="AE1013" s="39"/>
      <c r="AF1013" s="39"/>
      <c r="AG1013" s="39"/>
      <c r="AH1013" s="39"/>
      <c r="AI1013" s="39"/>
      <c r="AJ1013" s="39"/>
      <c r="AK1013" s="239"/>
      <c r="AL1013" s="239"/>
      <c r="AM1013" s="239"/>
      <c r="AN1013" s="239"/>
      <c r="AO1013" s="239"/>
      <c r="AP1013" s="239"/>
      <c r="AQ1013" s="240"/>
      <c r="AR1013" s="240"/>
      <c r="AS1013" s="240"/>
    </row>
    <row r="1014">
      <c r="A1014" s="42"/>
      <c r="B1014" s="42"/>
      <c r="C1014" s="42"/>
      <c r="D1014" s="42"/>
      <c r="E1014" s="42"/>
      <c r="F1014" s="42"/>
      <c r="G1014" s="42"/>
      <c r="H1014" s="42"/>
      <c r="I1014" s="42"/>
      <c r="J1014" s="42"/>
      <c r="K1014" s="42"/>
      <c r="L1014" s="42"/>
      <c r="M1014" s="42"/>
      <c r="N1014" s="42"/>
      <c r="O1014" s="9"/>
      <c r="P1014" s="9"/>
      <c r="Q1014" s="9"/>
      <c r="R1014" s="9"/>
      <c r="S1014" s="9"/>
      <c r="T1014" s="9"/>
      <c r="U1014" s="181"/>
      <c r="V1014" s="180"/>
      <c r="W1014" s="180"/>
      <c r="X1014" s="42"/>
      <c r="Y1014" s="42"/>
      <c r="Z1014" s="9"/>
      <c r="AA1014" s="9"/>
      <c r="AB1014" s="9"/>
      <c r="AC1014" s="9"/>
      <c r="AD1014" s="39"/>
      <c r="AE1014" s="39"/>
      <c r="AF1014" s="39"/>
      <c r="AG1014" s="39"/>
      <c r="AH1014" s="39"/>
      <c r="AI1014" s="39"/>
      <c r="AJ1014" s="39"/>
      <c r="AK1014" s="239"/>
      <c r="AL1014" s="239"/>
      <c r="AM1014" s="239"/>
      <c r="AN1014" s="239"/>
      <c r="AO1014" s="239"/>
      <c r="AP1014" s="239"/>
      <c r="AQ1014" s="240"/>
      <c r="AR1014" s="240"/>
      <c r="AS1014" s="240"/>
    </row>
    <row r="1015">
      <c r="A1015" s="42"/>
      <c r="B1015" s="42"/>
      <c r="C1015" s="42"/>
      <c r="D1015" s="42"/>
      <c r="E1015" s="42"/>
      <c r="F1015" s="42"/>
      <c r="G1015" s="42"/>
      <c r="H1015" s="42"/>
      <c r="I1015" s="42"/>
      <c r="J1015" s="42"/>
      <c r="K1015" s="42"/>
      <c r="L1015" s="42"/>
      <c r="M1015" s="42"/>
      <c r="N1015" s="42"/>
      <c r="O1015" s="9"/>
      <c r="P1015" s="9"/>
      <c r="Q1015" s="9"/>
      <c r="R1015" s="9"/>
      <c r="S1015" s="9"/>
      <c r="T1015" s="9"/>
      <c r="U1015" s="181"/>
      <c r="V1015" s="180"/>
      <c r="W1015" s="180"/>
      <c r="X1015" s="42"/>
      <c r="Y1015" s="42"/>
      <c r="Z1015" s="9"/>
      <c r="AA1015" s="9"/>
      <c r="AB1015" s="9"/>
      <c r="AC1015" s="9"/>
      <c r="AD1015" s="39"/>
      <c r="AE1015" s="39"/>
      <c r="AF1015" s="39"/>
      <c r="AG1015" s="39"/>
      <c r="AH1015" s="39"/>
      <c r="AI1015" s="39"/>
      <c r="AJ1015" s="39"/>
      <c r="AK1015" s="239"/>
      <c r="AL1015" s="239"/>
      <c r="AM1015" s="239"/>
      <c r="AN1015" s="239"/>
      <c r="AO1015" s="239"/>
      <c r="AP1015" s="239"/>
      <c r="AQ1015" s="240"/>
      <c r="AR1015" s="240"/>
      <c r="AS1015" s="240"/>
    </row>
    <row r="1016">
      <c r="A1016" s="42"/>
      <c r="B1016" s="42"/>
      <c r="C1016" s="42"/>
      <c r="D1016" s="42"/>
      <c r="E1016" s="42"/>
      <c r="F1016" s="42"/>
      <c r="G1016" s="42"/>
      <c r="H1016" s="42"/>
      <c r="I1016" s="42"/>
      <c r="J1016" s="42"/>
      <c r="K1016" s="42"/>
      <c r="L1016" s="42"/>
      <c r="M1016" s="42"/>
      <c r="N1016" s="42"/>
      <c r="O1016" s="9"/>
      <c r="P1016" s="9"/>
      <c r="Q1016" s="9"/>
      <c r="R1016" s="9"/>
      <c r="S1016" s="9"/>
      <c r="T1016" s="9"/>
      <c r="U1016" s="181"/>
      <c r="V1016" s="180"/>
      <c r="W1016" s="180"/>
      <c r="X1016" s="42"/>
      <c r="Y1016" s="42"/>
      <c r="Z1016" s="9"/>
      <c r="AA1016" s="9"/>
      <c r="AB1016" s="9"/>
      <c r="AC1016" s="9"/>
      <c r="AD1016" s="39"/>
      <c r="AE1016" s="39"/>
      <c r="AF1016" s="39"/>
      <c r="AG1016" s="39"/>
      <c r="AH1016" s="39"/>
      <c r="AI1016" s="39"/>
      <c r="AJ1016" s="39"/>
      <c r="AK1016" s="239"/>
      <c r="AL1016" s="239"/>
      <c r="AM1016" s="239"/>
      <c r="AN1016" s="239"/>
      <c r="AO1016" s="239"/>
      <c r="AP1016" s="239"/>
      <c r="AQ1016" s="240"/>
      <c r="AR1016" s="240"/>
      <c r="AS1016" s="240"/>
    </row>
    <row r="1017">
      <c r="A1017" s="42"/>
      <c r="B1017" s="42"/>
      <c r="C1017" s="42"/>
      <c r="D1017" s="42"/>
      <c r="E1017" s="42"/>
      <c r="F1017" s="42"/>
      <c r="G1017" s="42"/>
      <c r="H1017" s="42"/>
      <c r="I1017" s="42"/>
      <c r="J1017" s="42"/>
      <c r="K1017" s="42"/>
      <c r="L1017" s="42"/>
      <c r="M1017" s="42"/>
      <c r="N1017" s="42"/>
      <c r="O1017" s="9"/>
      <c r="P1017" s="9"/>
      <c r="Q1017" s="9"/>
      <c r="R1017" s="9"/>
      <c r="S1017" s="9"/>
      <c r="T1017" s="9"/>
      <c r="U1017" s="181"/>
      <c r="V1017" s="180"/>
      <c r="W1017" s="180"/>
      <c r="X1017" s="42"/>
      <c r="Y1017" s="42"/>
      <c r="Z1017" s="9"/>
      <c r="AA1017" s="9"/>
      <c r="AB1017" s="9"/>
      <c r="AC1017" s="9"/>
      <c r="AD1017" s="39"/>
      <c r="AE1017" s="39"/>
      <c r="AF1017" s="39"/>
      <c r="AG1017" s="39"/>
      <c r="AH1017" s="39"/>
      <c r="AI1017" s="39"/>
      <c r="AJ1017" s="39"/>
      <c r="AK1017" s="239"/>
      <c r="AL1017" s="239"/>
      <c r="AM1017" s="239"/>
      <c r="AN1017" s="239"/>
      <c r="AO1017" s="239"/>
      <c r="AP1017" s="239"/>
      <c r="AQ1017" s="240"/>
      <c r="AR1017" s="240"/>
      <c r="AS1017" s="240"/>
    </row>
    <row r="1018">
      <c r="A1018" s="42"/>
      <c r="B1018" s="42"/>
      <c r="C1018" s="42"/>
      <c r="D1018" s="42"/>
      <c r="E1018" s="42"/>
      <c r="F1018" s="42"/>
      <c r="G1018" s="42"/>
      <c r="H1018" s="42"/>
      <c r="I1018" s="42"/>
      <c r="J1018" s="42"/>
      <c r="K1018" s="42"/>
      <c r="L1018" s="42"/>
      <c r="M1018" s="42"/>
      <c r="N1018" s="42"/>
      <c r="O1018" s="9"/>
      <c r="P1018" s="9"/>
      <c r="Q1018" s="9"/>
      <c r="R1018" s="9"/>
      <c r="S1018" s="9"/>
      <c r="T1018" s="9"/>
      <c r="U1018" s="181"/>
      <c r="V1018" s="180"/>
      <c r="W1018" s="180"/>
      <c r="X1018" s="42"/>
      <c r="Y1018" s="42"/>
      <c r="Z1018" s="9"/>
      <c r="AA1018" s="9"/>
      <c r="AB1018" s="9"/>
      <c r="AC1018" s="9"/>
      <c r="AD1018" s="39"/>
      <c r="AE1018" s="39"/>
      <c r="AF1018" s="39"/>
      <c r="AG1018" s="39"/>
      <c r="AH1018" s="39"/>
      <c r="AI1018" s="39"/>
      <c r="AJ1018" s="39"/>
      <c r="AK1018" s="239"/>
      <c r="AL1018" s="239"/>
      <c r="AM1018" s="239"/>
      <c r="AN1018" s="239"/>
      <c r="AO1018" s="239"/>
      <c r="AP1018" s="239"/>
      <c r="AQ1018" s="240"/>
      <c r="AR1018" s="240"/>
      <c r="AS1018" s="240"/>
    </row>
    <row r="1019">
      <c r="A1019" s="42"/>
      <c r="B1019" s="42"/>
      <c r="C1019" s="42"/>
      <c r="D1019" s="42"/>
      <c r="E1019" s="42"/>
      <c r="F1019" s="42"/>
      <c r="G1019" s="42"/>
      <c r="H1019" s="42"/>
      <c r="I1019" s="42"/>
      <c r="J1019" s="42"/>
      <c r="K1019" s="42"/>
      <c r="L1019" s="42"/>
      <c r="M1019" s="42"/>
      <c r="N1019" s="42"/>
      <c r="O1019" s="9"/>
      <c r="P1019" s="9"/>
      <c r="Q1019" s="9"/>
      <c r="R1019" s="9"/>
      <c r="S1019" s="9"/>
      <c r="T1019" s="9"/>
      <c r="U1019" s="181"/>
      <c r="V1019" s="180"/>
      <c r="W1019" s="180"/>
      <c r="X1019" s="42"/>
      <c r="Y1019" s="42"/>
      <c r="Z1019" s="9"/>
      <c r="AA1019" s="9"/>
      <c r="AB1019" s="9"/>
      <c r="AC1019" s="9"/>
      <c r="AD1019" s="39"/>
      <c r="AE1019" s="39"/>
      <c r="AF1019" s="39"/>
      <c r="AG1019" s="39"/>
      <c r="AH1019" s="39"/>
      <c r="AI1019" s="39"/>
      <c r="AJ1019" s="39"/>
      <c r="AK1019" s="239"/>
      <c r="AL1019" s="239"/>
      <c r="AM1019" s="239"/>
      <c r="AN1019" s="239"/>
      <c r="AO1019" s="239"/>
      <c r="AP1019" s="239"/>
      <c r="AQ1019" s="240"/>
      <c r="AR1019" s="240"/>
      <c r="AS1019" s="240"/>
    </row>
    <row r="1020">
      <c r="A1020" s="42"/>
      <c r="B1020" s="42"/>
      <c r="C1020" s="42"/>
      <c r="D1020" s="42"/>
      <c r="E1020" s="42"/>
      <c r="F1020" s="42"/>
      <c r="G1020" s="42"/>
      <c r="H1020" s="42"/>
      <c r="I1020" s="42"/>
      <c r="J1020" s="42"/>
      <c r="K1020" s="42"/>
      <c r="L1020" s="42"/>
      <c r="M1020" s="42"/>
      <c r="N1020" s="42"/>
      <c r="O1020" s="9"/>
      <c r="P1020" s="9"/>
      <c r="Q1020" s="9"/>
      <c r="R1020" s="9"/>
      <c r="S1020" s="9"/>
      <c r="T1020" s="9"/>
      <c r="U1020" s="181"/>
      <c r="V1020" s="180"/>
      <c r="W1020" s="180"/>
      <c r="X1020" s="42"/>
      <c r="Y1020" s="42"/>
      <c r="Z1020" s="9"/>
      <c r="AA1020" s="9"/>
      <c r="AB1020" s="9"/>
      <c r="AC1020" s="9"/>
      <c r="AD1020" s="39"/>
      <c r="AE1020" s="39"/>
      <c r="AF1020" s="39"/>
      <c r="AG1020" s="39"/>
      <c r="AH1020" s="39"/>
      <c r="AI1020" s="39"/>
      <c r="AJ1020" s="39"/>
      <c r="AK1020" s="239"/>
      <c r="AL1020" s="239"/>
      <c r="AM1020" s="239"/>
      <c r="AN1020" s="239"/>
      <c r="AO1020" s="239"/>
      <c r="AP1020" s="239"/>
      <c r="AQ1020" s="240"/>
      <c r="AR1020" s="240"/>
      <c r="AS1020" s="240"/>
    </row>
    <row r="1021">
      <c r="A1021" s="42"/>
      <c r="B1021" s="42"/>
      <c r="C1021" s="42"/>
      <c r="D1021" s="42"/>
      <c r="E1021" s="42"/>
      <c r="F1021" s="42"/>
      <c r="G1021" s="42"/>
      <c r="H1021" s="42"/>
      <c r="I1021" s="42"/>
      <c r="J1021" s="42"/>
      <c r="K1021" s="42"/>
      <c r="L1021" s="42"/>
      <c r="M1021" s="42"/>
      <c r="N1021" s="42"/>
      <c r="O1021" s="9"/>
      <c r="P1021" s="9"/>
      <c r="Q1021" s="9"/>
      <c r="R1021" s="9"/>
      <c r="S1021" s="9"/>
      <c r="T1021" s="9"/>
      <c r="U1021" s="181"/>
      <c r="V1021" s="180"/>
      <c r="W1021" s="180"/>
      <c r="X1021" s="42"/>
      <c r="Y1021" s="42"/>
      <c r="Z1021" s="9"/>
      <c r="AA1021" s="9"/>
      <c r="AB1021" s="9"/>
      <c r="AC1021" s="9"/>
      <c r="AD1021" s="39"/>
      <c r="AE1021" s="39"/>
      <c r="AF1021" s="39"/>
      <c r="AG1021" s="39"/>
      <c r="AH1021" s="39"/>
      <c r="AI1021" s="39"/>
      <c r="AJ1021" s="39"/>
      <c r="AK1021" s="239"/>
      <c r="AL1021" s="239"/>
      <c r="AM1021" s="239"/>
      <c r="AN1021" s="239"/>
      <c r="AO1021" s="239"/>
      <c r="AP1021" s="239"/>
      <c r="AQ1021" s="240"/>
      <c r="AR1021" s="240"/>
      <c r="AS1021" s="240"/>
    </row>
    <row r="1022">
      <c r="A1022" s="42"/>
      <c r="B1022" s="42"/>
      <c r="C1022" s="42"/>
      <c r="D1022" s="42"/>
      <c r="E1022" s="42"/>
      <c r="F1022" s="42"/>
      <c r="G1022" s="42"/>
      <c r="H1022" s="42"/>
      <c r="I1022" s="42"/>
      <c r="J1022" s="42"/>
      <c r="K1022" s="42"/>
      <c r="L1022" s="42"/>
      <c r="M1022" s="42"/>
      <c r="N1022" s="42"/>
      <c r="O1022" s="9"/>
      <c r="P1022" s="9"/>
      <c r="Q1022" s="9"/>
      <c r="R1022" s="9"/>
      <c r="S1022" s="9"/>
      <c r="T1022" s="9"/>
      <c r="U1022" s="181"/>
      <c r="V1022" s="180"/>
      <c r="W1022" s="180"/>
      <c r="X1022" s="42"/>
      <c r="Y1022" s="42"/>
      <c r="Z1022" s="9"/>
      <c r="AA1022" s="9"/>
      <c r="AB1022" s="9"/>
      <c r="AC1022" s="9"/>
      <c r="AD1022" s="39"/>
      <c r="AE1022" s="39"/>
      <c r="AF1022" s="39"/>
      <c r="AG1022" s="39"/>
      <c r="AH1022" s="39"/>
      <c r="AI1022" s="39"/>
      <c r="AJ1022" s="39"/>
      <c r="AK1022" s="239"/>
      <c r="AL1022" s="239"/>
      <c r="AM1022" s="239"/>
      <c r="AN1022" s="239"/>
      <c r="AO1022" s="239"/>
      <c r="AP1022" s="239"/>
      <c r="AQ1022" s="240"/>
      <c r="AR1022" s="240"/>
      <c r="AS1022" s="240"/>
    </row>
    <row r="1023">
      <c r="A1023" s="42"/>
      <c r="B1023" s="42"/>
      <c r="C1023" s="42"/>
      <c r="D1023" s="42"/>
      <c r="E1023" s="42"/>
      <c r="F1023" s="42"/>
      <c r="G1023" s="42"/>
      <c r="H1023" s="42"/>
      <c r="I1023" s="42"/>
      <c r="J1023" s="42"/>
      <c r="K1023" s="42"/>
      <c r="L1023" s="42"/>
      <c r="M1023" s="42"/>
      <c r="N1023" s="42"/>
      <c r="O1023" s="9"/>
      <c r="P1023" s="9"/>
      <c r="Q1023" s="9"/>
      <c r="R1023" s="9"/>
      <c r="S1023" s="9"/>
      <c r="T1023" s="9"/>
      <c r="U1023" s="181"/>
      <c r="V1023" s="180"/>
      <c r="W1023" s="180"/>
      <c r="X1023" s="42"/>
      <c r="Y1023" s="42"/>
      <c r="Z1023" s="9"/>
      <c r="AA1023" s="9"/>
      <c r="AB1023" s="9"/>
      <c r="AC1023" s="9"/>
      <c r="AD1023" s="39"/>
      <c r="AE1023" s="39"/>
      <c r="AF1023" s="39"/>
      <c r="AG1023" s="39"/>
      <c r="AH1023" s="39"/>
      <c r="AI1023" s="39"/>
      <c r="AJ1023" s="39"/>
      <c r="AK1023" s="239"/>
      <c r="AL1023" s="239"/>
      <c r="AM1023" s="239"/>
      <c r="AN1023" s="239"/>
      <c r="AO1023" s="239"/>
      <c r="AP1023" s="239"/>
      <c r="AQ1023" s="240"/>
      <c r="AR1023" s="240"/>
      <c r="AS1023" s="240"/>
    </row>
    <row r="1024">
      <c r="A1024" s="42"/>
      <c r="B1024" s="42"/>
      <c r="C1024" s="42"/>
      <c r="D1024" s="42"/>
      <c r="E1024" s="42"/>
      <c r="F1024" s="42"/>
      <c r="G1024" s="42"/>
      <c r="H1024" s="42"/>
      <c r="I1024" s="42"/>
      <c r="J1024" s="42"/>
      <c r="K1024" s="42"/>
      <c r="L1024" s="42"/>
      <c r="M1024" s="42"/>
      <c r="N1024" s="42"/>
      <c r="O1024" s="9"/>
      <c r="P1024" s="9"/>
      <c r="Q1024" s="9"/>
      <c r="R1024" s="9"/>
      <c r="S1024" s="9"/>
      <c r="T1024" s="9"/>
      <c r="U1024" s="181"/>
      <c r="V1024" s="180"/>
      <c r="W1024" s="180"/>
      <c r="X1024" s="42"/>
      <c r="Y1024" s="42"/>
      <c r="Z1024" s="9"/>
      <c r="AA1024" s="9"/>
      <c r="AB1024" s="9"/>
      <c r="AC1024" s="9"/>
      <c r="AD1024" s="39"/>
      <c r="AE1024" s="39"/>
      <c r="AF1024" s="39"/>
      <c r="AG1024" s="39"/>
      <c r="AH1024" s="39"/>
      <c r="AI1024" s="39"/>
      <c r="AJ1024" s="39"/>
      <c r="AK1024" s="239"/>
      <c r="AL1024" s="239"/>
      <c r="AM1024" s="239"/>
      <c r="AN1024" s="239"/>
      <c r="AO1024" s="239"/>
      <c r="AP1024" s="239"/>
      <c r="AQ1024" s="240"/>
      <c r="AR1024" s="240"/>
      <c r="AS1024" s="240"/>
    </row>
    <row r="1025">
      <c r="A1025" s="42"/>
      <c r="B1025" s="42"/>
      <c r="C1025" s="42"/>
      <c r="D1025" s="42"/>
      <c r="E1025" s="42"/>
      <c r="F1025" s="42"/>
      <c r="G1025" s="42"/>
      <c r="H1025" s="42"/>
      <c r="I1025" s="42"/>
      <c r="J1025" s="42"/>
      <c r="K1025" s="42"/>
      <c r="L1025" s="42"/>
      <c r="M1025" s="42"/>
      <c r="N1025" s="42"/>
      <c r="O1025" s="9"/>
      <c r="P1025" s="9"/>
      <c r="Q1025" s="9"/>
      <c r="R1025" s="9"/>
      <c r="S1025" s="9"/>
      <c r="T1025" s="9"/>
      <c r="U1025" s="181"/>
      <c r="V1025" s="180"/>
      <c r="W1025" s="180"/>
      <c r="X1025" s="42"/>
      <c r="Y1025" s="42"/>
      <c r="Z1025" s="9"/>
      <c r="AA1025" s="9"/>
      <c r="AB1025" s="9"/>
      <c r="AC1025" s="9"/>
      <c r="AD1025" s="39"/>
      <c r="AE1025" s="39"/>
      <c r="AF1025" s="39"/>
      <c r="AG1025" s="39"/>
      <c r="AH1025" s="39"/>
      <c r="AI1025" s="39"/>
      <c r="AJ1025" s="39"/>
      <c r="AK1025" s="239"/>
      <c r="AL1025" s="239"/>
      <c r="AM1025" s="239"/>
      <c r="AN1025" s="239"/>
      <c r="AO1025" s="239"/>
      <c r="AP1025" s="239"/>
      <c r="AQ1025" s="240"/>
      <c r="AR1025" s="240"/>
      <c r="AS1025" s="240"/>
    </row>
    <row r="1026">
      <c r="A1026" s="42"/>
      <c r="B1026" s="42"/>
      <c r="C1026" s="42"/>
      <c r="D1026" s="42"/>
      <c r="E1026" s="42"/>
      <c r="F1026" s="42"/>
      <c r="G1026" s="42"/>
      <c r="H1026" s="42"/>
      <c r="I1026" s="42"/>
      <c r="J1026" s="42"/>
      <c r="K1026" s="42"/>
      <c r="L1026" s="42"/>
      <c r="M1026" s="42"/>
      <c r="N1026" s="42"/>
      <c r="O1026" s="9"/>
      <c r="P1026" s="9"/>
      <c r="Q1026" s="9"/>
      <c r="R1026" s="9"/>
      <c r="S1026" s="9"/>
      <c r="T1026" s="9"/>
      <c r="U1026" s="181"/>
      <c r="V1026" s="180"/>
      <c r="W1026" s="180"/>
      <c r="X1026" s="42"/>
      <c r="Y1026" s="42"/>
      <c r="Z1026" s="9"/>
      <c r="AA1026" s="9"/>
      <c r="AB1026" s="9"/>
      <c r="AC1026" s="9"/>
      <c r="AD1026" s="39"/>
      <c r="AE1026" s="39"/>
      <c r="AF1026" s="39"/>
      <c r="AG1026" s="39"/>
      <c r="AH1026" s="39"/>
      <c r="AI1026" s="39"/>
      <c r="AJ1026" s="39"/>
      <c r="AK1026" s="239"/>
      <c r="AL1026" s="239"/>
      <c r="AM1026" s="239"/>
      <c r="AN1026" s="239"/>
      <c r="AO1026" s="239"/>
      <c r="AP1026" s="239"/>
      <c r="AQ1026" s="240"/>
      <c r="AR1026" s="240"/>
      <c r="AS1026" s="240"/>
    </row>
    <row r="1027">
      <c r="A1027" s="42"/>
      <c r="B1027" s="42"/>
      <c r="C1027" s="42"/>
      <c r="D1027" s="42"/>
      <c r="E1027" s="42"/>
      <c r="F1027" s="42"/>
      <c r="G1027" s="42"/>
      <c r="H1027" s="42"/>
      <c r="I1027" s="42"/>
      <c r="J1027" s="42"/>
      <c r="K1027" s="42"/>
      <c r="L1027" s="42"/>
      <c r="M1027" s="42"/>
      <c r="N1027" s="42"/>
      <c r="O1027" s="9"/>
      <c r="P1027" s="9"/>
      <c r="Q1027" s="9"/>
      <c r="R1027" s="9"/>
      <c r="S1027" s="9"/>
      <c r="T1027" s="9"/>
      <c r="U1027" s="181"/>
      <c r="V1027" s="180"/>
      <c r="W1027" s="180"/>
      <c r="X1027" s="42"/>
      <c r="Y1027" s="42"/>
      <c r="Z1027" s="9"/>
      <c r="AA1027" s="9"/>
      <c r="AB1027" s="9"/>
      <c r="AC1027" s="9"/>
      <c r="AD1027" s="39"/>
      <c r="AE1027" s="39"/>
      <c r="AF1027" s="39"/>
      <c r="AG1027" s="39"/>
      <c r="AH1027" s="39"/>
      <c r="AI1027" s="39"/>
      <c r="AJ1027" s="39"/>
      <c r="AK1027" s="239"/>
      <c r="AL1027" s="239"/>
      <c r="AM1027" s="239"/>
      <c r="AN1027" s="239"/>
      <c r="AO1027" s="239"/>
      <c r="AP1027" s="239"/>
      <c r="AQ1027" s="240"/>
      <c r="AR1027" s="240"/>
      <c r="AS1027" s="240"/>
    </row>
    <row r="1028">
      <c r="A1028" s="42"/>
      <c r="B1028" s="42"/>
      <c r="C1028" s="42"/>
      <c r="D1028" s="42"/>
      <c r="E1028" s="42"/>
      <c r="F1028" s="42"/>
      <c r="G1028" s="42"/>
      <c r="H1028" s="42"/>
      <c r="I1028" s="42"/>
      <c r="J1028" s="42"/>
      <c r="K1028" s="42"/>
      <c r="L1028" s="42"/>
      <c r="M1028" s="42"/>
      <c r="N1028" s="42"/>
      <c r="O1028" s="9"/>
      <c r="P1028" s="9"/>
      <c r="Q1028" s="9"/>
      <c r="R1028" s="9"/>
      <c r="S1028" s="9"/>
      <c r="T1028" s="9"/>
      <c r="U1028" s="181"/>
      <c r="V1028" s="180"/>
      <c r="W1028" s="180"/>
      <c r="X1028" s="42"/>
      <c r="Y1028" s="42"/>
      <c r="Z1028" s="9"/>
      <c r="AA1028" s="9"/>
      <c r="AB1028" s="9"/>
      <c r="AC1028" s="9"/>
      <c r="AD1028" s="39"/>
      <c r="AE1028" s="39"/>
      <c r="AF1028" s="39"/>
      <c r="AG1028" s="39"/>
      <c r="AH1028" s="39"/>
      <c r="AI1028" s="39"/>
      <c r="AJ1028" s="39"/>
      <c r="AK1028" s="239"/>
      <c r="AL1028" s="239"/>
      <c r="AM1028" s="239"/>
      <c r="AN1028" s="239"/>
      <c r="AO1028" s="239"/>
      <c r="AP1028" s="239"/>
      <c r="AQ1028" s="240"/>
      <c r="AR1028" s="240"/>
      <c r="AS1028" s="240"/>
    </row>
    <row r="1029">
      <c r="A1029" s="42"/>
      <c r="B1029" s="42"/>
      <c r="C1029" s="42"/>
      <c r="D1029" s="42"/>
      <c r="E1029" s="42"/>
      <c r="F1029" s="42"/>
      <c r="G1029" s="42"/>
      <c r="H1029" s="42"/>
      <c r="I1029" s="42"/>
      <c r="J1029" s="42"/>
      <c r="K1029" s="42"/>
      <c r="L1029" s="42"/>
      <c r="M1029" s="42"/>
      <c r="N1029" s="42"/>
      <c r="O1029" s="9"/>
      <c r="P1029" s="9"/>
      <c r="Q1029" s="9"/>
      <c r="R1029" s="9"/>
      <c r="S1029" s="9"/>
      <c r="T1029" s="9"/>
      <c r="U1029" s="181"/>
      <c r="V1029" s="180"/>
      <c r="W1029" s="180"/>
      <c r="X1029" s="42"/>
      <c r="Y1029" s="42"/>
      <c r="Z1029" s="9"/>
      <c r="AA1029" s="9"/>
      <c r="AB1029" s="9"/>
      <c r="AC1029" s="9"/>
      <c r="AD1029" s="39"/>
      <c r="AE1029" s="39"/>
      <c r="AF1029" s="39"/>
      <c r="AG1029" s="39"/>
      <c r="AH1029" s="39"/>
      <c r="AI1029" s="39"/>
      <c r="AJ1029" s="39"/>
      <c r="AK1029" s="239"/>
      <c r="AL1029" s="239"/>
      <c r="AM1029" s="239"/>
      <c r="AN1029" s="239"/>
      <c r="AO1029" s="239"/>
      <c r="AP1029" s="239"/>
      <c r="AQ1029" s="240"/>
      <c r="AR1029" s="240"/>
      <c r="AS1029" s="240"/>
    </row>
    <row r="1030">
      <c r="A1030" s="42"/>
      <c r="B1030" s="42"/>
      <c r="C1030" s="42"/>
      <c r="D1030" s="42"/>
      <c r="E1030" s="42"/>
      <c r="F1030" s="42"/>
      <c r="G1030" s="42"/>
      <c r="H1030" s="42"/>
      <c r="I1030" s="42"/>
      <c r="J1030" s="42"/>
      <c r="K1030" s="42"/>
      <c r="L1030" s="42"/>
      <c r="M1030" s="42"/>
      <c r="N1030" s="42"/>
      <c r="O1030" s="9"/>
      <c r="P1030" s="9"/>
      <c r="Q1030" s="9"/>
      <c r="R1030" s="9"/>
      <c r="S1030" s="9"/>
      <c r="T1030" s="9"/>
      <c r="U1030" s="181"/>
      <c r="V1030" s="180"/>
      <c r="W1030" s="180"/>
      <c r="X1030" s="42"/>
      <c r="Y1030" s="42"/>
      <c r="Z1030" s="9"/>
      <c r="AA1030" s="9"/>
      <c r="AB1030" s="9"/>
      <c r="AC1030" s="9"/>
      <c r="AD1030" s="39"/>
      <c r="AE1030" s="39"/>
      <c r="AF1030" s="39"/>
      <c r="AG1030" s="39"/>
      <c r="AH1030" s="39"/>
      <c r="AI1030" s="39"/>
      <c r="AJ1030" s="39"/>
      <c r="AK1030" s="239"/>
      <c r="AL1030" s="239"/>
      <c r="AM1030" s="239"/>
      <c r="AN1030" s="239"/>
      <c r="AO1030" s="239"/>
      <c r="AP1030" s="239"/>
      <c r="AQ1030" s="240"/>
      <c r="AR1030" s="240"/>
      <c r="AS1030" s="240"/>
    </row>
    <row r="1031">
      <c r="A1031" s="42"/>
      <c r="B1031" s="42"/>
      <c r="C1031" s="42"/>
      <c r="D1031" s="42"/>
      <c r="E1031" s="42"/>
      <c r="F1031" s="42"/>
      <c r="G1031" s="42"/>
      <c r="H1031" s="42"/>
      <c r="I1031" s="42"/>
      <c r="J1031" s="42"/>
      <c r="K1031" s="42"/>
      <c r="L1031" s="42"/>
      <c r="M1031" s="42"/>
      <c r="N1031" s="42"/>
      <c r="O1031" s="9"/>
      <c r="P1031" s="9"/>
      <c r="Q1031" s="9"/>
      <c r="R1031" s="9"/>
      <c r="S1031" s="9"/>
      <c r="T1031" s="9"/>
      <c r="U1031" s="181"/>
      <c r="V1031" s="180"/>
      <c r="W1031" s="180"/>
      <c r="X1031" s="42"/>
      <c r="Y1031" s="42"/>
      <c r="Z1031" s="9"/>
      <c r="AA1031" s="9"/>
      <c r="AB1031" s="9"/>
      <c r="AC1031" s="9"/>
      <c r="AD1031" s="39"/>
      <c r="AE1031" s="39"/>
      <c r="AF1031" s="39"/>
      <c r="AG1031" s="39"/>
      <c r="AH1031" s="39"/>
      <c r="AI1031" s="39"/>
      <c r="AJ1031" s="39"/>
      <c r="AK1031" s="239"/>
      <c r="AL1031" s="239"/>
      <c r="AM1031" s="239"/>
      <c r="AN1031" s="239"/>
      <c r="AO1031" s="239"/>
      <c r="AP1031" s="239"/>
      <c r="AQ1031" s="240"/>
      <c r="AR1031" s="240"/>
      <c r="AS1031" s="240"/>
    </row>
    <row r="1032">
      <c r="A1032" s="42"/>
      <c r="B1032" s="42"/>
      <c r="C1032" s="42"/>
      <c r="D1032" s="42"/>
      <c r="E1032" s="42"/>
      <c r="F1032" s="42"/>
      <c r="G1032" s="42"/>
      <c r="H1032" s="42"/>
      <c r="I1032" s="42"/>
      <c r="J1032" s="42"/>
      <c r="K1032" s="42"/>
      <c r="L1032" s="42"/>
      <c r="M1032" s="42"/>
      <c r="N1032" s="42"/>
      <c r="O1032" s="9"/>
      <c r="P1032" s="9"/>
      <c r="Q1032" s="9"/>
      <c r="R1032" s="9"/>
      <c r="S1032" s="9"/>
      <c r="T1032" s="9"/>
      <c r="U1032" s="181"/>
      <c r="V1032" s="180"/>
      <c r="W1032" s="180"/>
      <c r="X1032" s="42"/>
      <c r="Y1032" s="42"/>
      <c r="Z1032" s="9"/>
      <c r="AA1032" s="9"/>
      <c r="AB1032" s="9"/>
      <c r="AC1032" s="9"/>
      <c r="AD1032" s="39"/>
      <c r="AE1032" s="39"/>
      <c r="AF1032" s="39"/>
      <c r="AG1032" s="39"/>
      <c r="AH1032" s="39"/>
      <c r="AI1032" s="39"/>
      <c r="AJ1032" s="39"/>
      <c r="AK1032" s="239"/>
      <c r="AL1032" s="239"/>
      <c r="AM1032" s="239"/>
      <c r="AN1032" s="239"/>
      <c r="AO1032" s="239"/>
      <c r="AP1032" s="239"/>
      <c r="AQ1032" s="240"/>
      <c r="AR1032" s="240"/>
      <c r="AS1032" s="240"/>
    </row>
    <row r="1033">
      <c r="A1033" s="42"/>
      <c r="B1033" s="42"/>
      <c r="C1033" s="42"/>
      <c r="D1033" s="42"/>
      <c r="E1033" s="42"/>
      <c r="F1033" s="42"/>
      <c r="G1033" s="42"/>
      <c r="H1033" s="42"/>
      <c r="I1033" s="42"/>
      <c r="J1033" s="42"/>
      <c r="K1033" s="42"/>
      <c r="L1033" s="42"/>
      <c r="M1033" s="42"/>
      <c r="N1033" s="42"/>
      <c r="O1033" s="9"/>
      <c r="P1033" s="9"/>
      <c r="Q1033" s="9"/>
      <c r="R1033" s="9"/>
      <c r="S1033" s="9"/>
      <c r="T1033" s="9"/>
      <c r="U1033" s="181"/>
      <c r="V1033" s="180"/>
      <c r="W1033" s="180"/>
      <c r="X1033" s="42"/>
      <c r="Y1033" s="42"/>
      <c r="Z1033" s="9"/>
      <c r="AA1033" s="9"/>
      <c r="AB1033" s="9"/>
      <c r="AC1033" s="9"/>
      <c r="AD1033" s="39"/>
      <c r="AE1033" s="39"/>
      <c r="AF1033" s="39"/>
      <c r="AG1033" s="39"/>
      <c r="AH1033" s="39"/>
      <c r="AI1033" s="39"/>
      <c r="AJ1033" s="39"/>
      <c r="AK1033" s="239"/>
      <c r="AL1033" s="239"/>
      <c r="AM1033" s="239"/>
      <c r="AN1033" s="239"/>
      <c r="AO1033" s="239"/>
      <c r="AP1033" s="239"/>
      <c r="AQ1033" s="240"/>
      <c r="AR1033" s="240"/>
      <c r="AS1033" s="240"/>
    </row>
    <row r="1034">
      <c r="A1034" s="42"/>
      <c r="B1034" s="42"/>
      <c r="C1034" s="42"/>
      <c r="D1034" s="42"/>
      <c r="E1034" s="42"/>
      <c r="F1034" s="42"/>
      <c r="G1034" s="42"/>
      <c r="H1034" s="42"/>
      <c r="I1034" s="42"/>
      <c r="J1034" s="42"/>
      <c r="K1034" s="42"/>
      <c r="L1034" s="42"/>
      <c r="M1034" s="42"/>
      <c r="N1034" s="42"/>
      <c r="O1034" s="9"/>
      <c r="P1034" s="9"/>
      <c r="Q1034" s="9"/>
      <c r="R1034" s="9"/>
      <c r="S1034" s="9"/>
      <c r="T1034" s="9"/>
      <c r="U1034" s="181"/>
      <c r="V1034" s="180"/>
      <c r="W1034" s="180"/>
      <c r="X1034" s="42"/>
      <c r="Y1034" s="42"/>
      <c r="Z1034" s="9"/>
      <c r="AA1034" s="9"/>
      <c r="AB1034" s="9"/>
      <c r="AC1034" s="9"/>
      <c r="AD1034" s="39"/>
      <c r="AE1034" s="39"/>
      <c r="AF1034" s="39"/>
      <c r="AG1034" s="39"/>
      <c r="AH1034" s="39"/>
      <c r="AI1034" s="39"/>
      <c r="AJ1034" s="39"/>
      <c r="AK1034" s="239"/>
      <c r="AL1034" s="239"/>
      <c r="AM1034" s="239"/>
      <c r="AN1034" s="239"/>
      <c r="AO1034" s="239"/>
      <c r="AP1034" s="239"/>
      <c r="AQ1034" s="240"/>
      <c r="AR1034" s="240"/>
      <c r="AS1034" s="240"/>
    </row>
    <row r="1035">
      <c r="A1035" s="42"/>
      <c r="B1035" s="42"/>
      <c r="C1035" s="42"/>
      <c r="D1035" s="42"/>
      <c r="E1035" s="42"/>
      <c r="F1035" s="42"/>
      <c r="G1035" s="42"/>
      <c r="H1035" s="42"/>
      <c r="I1035" s="42"/>
      <c r="J1035" s="42"/>
      <c r="K1035" s="42"/>
      <c r="L1035" s="42"/>
      <c r="M1035" s="42"/>
      <c r="N1035" s="42"/>
      <c r="O1035" s="9"/>
      <c r="P1035" s="9"/>
      <c r="Q1035" s="9"/>
      <c r="R1035" s="9"/>
      <c r="S1035" s="9"/>
      <c r="T1035" s="9"/>
      <c r="U1035" s="181"/>
      <c r="V1035" s="180"/>
      <c r="W1035" s="180"/>
      <c r="X1035" s="42"/>
      <c r="Y1035" s="42"/>
      <c r="Z1035" s="9"/>
      <c r="AA1035" s="9"/>
      <c r="AB1035" s="9"/>
      <c r="AC1035" s="9"/>
      <c r="AD1035" s="39"/>
      <c r="AE1035" s="39"/>
      <c r="AF1035" s="39"/>
      <c r="AG1035" s="39"/>
      <c r="AH1035" s="39"/>
      <c r="AI1035" s="39"/>
      <c r="AJ1035" s="39"/>
      <c r="AK1035" s="239"/>
      <c r="AL1035" s="239"/>
      <c r="AM1035" s="239"/>
      <c r="AN1035" s="239"/>
      <c r="AO1035" s="239"/>
      <c r="AP1035" s="239"/>
      <c r="AQ1035" s="240"/>
      <c r="AR1035" s="240"/>
      <c r="AS1035" s="240"/>
    </row>
    <row r="1036">
      <c r="A1036" s="42"/>
      <c r="B1036" s="42"/>
      <c r="C1036" s="42"/>
      <c r="D1036" s="42"/>
      <c r="E1036" s="42"/>
      <c r="F1036" s="42"/>
      <c r="G1036" s="42"/>
      <c r="H1036" s="42"/>
      <c r="I1036" s="42"/>
      <c r="J1036" s="42"/>
      <c r="K1036" s="42"/>
      <c r="L1036" s="42"/>
      <c r="M1036" s="42"/>
      <c r="N1036" s="42"/>
      <c r="O1036" s="9"/>
      <c r="P1036" s="9"/>
      <c r="Q1036" s="9"/>
      <c r="R1036" s="9"/>
      <c r="S1036" s="9"/>
      <c r="T1036" s="9"/>
      <c r="U1036" s="181"/>
      <c r="V1036" s="180"/>
      <c r="W1036" s="180"/>
      <c r="X1036" s="42"/>
      <c r="Y1036" s="42"/>
      <c r="Z1036" s="9"/>
      <c r="AA1036" s="9"/>
      <c r="AB1036" s="9"/>
      <c r="AC1036" s="9"/>
      <c r="AD1036" s="39"/>
      <c r="AE1036" s="39"/>
      <c r="AF1036" s="39"/>
      <c r="AG1036" s="39"/>
      <c r="AH1036" s="39"/>
      <c r="AI1036" s="39"/>
      <c r="AJ1036" s="39"/>
      <c r="AK1036" s="239"/>
      <c r="AL1036" s="239"/>
      <c r="AM1036" s="239"/>
      <c r="AN1036" s="239"/>
      <c r="AO1036" s="239"/>
      <c r="AP1036" s="239"/>
      <c r="AQ1036" s="240"/>
      <c r="AR1036" s="240"/>
      <c r="AS1036" s="240"/>
    </row>
    <row r="1037">
      <c r="A1037" s="42"/>
      <c r="B1037" s="42"/>
      <c r="C1037" s="42"/>
      <c r="D1037" s="42"/>
      <c r="E1037" s="42"/>
      <c r="F1037" s="42"/>
      <c r="G1037" s="42"/>
      <c r="H1037" s="42"/>
      <c r="I1037" s="42"/>
      <c r="J1037" s="42"/>
      <c r="K1037" s="42"/>
      <c r="L1037" s="42"/>
      <c r="M1037" s="42"/>
      <c r="N1037" s="42"/>
      <c r="O1037" s="9"/>
      <c r="P1037" s="9"/>
      <c r="Q1037" s="9"/>
      <c r="R1037" s="9"/>
      <c r="S1037" s="9"/>
      <c r="T1037" s="9"/>
      <c r="U1037" s="181"/>
      <c r="V1037" s="180"/>
      <c r="W1037" s="180"/>
      <c r="X1037" s="42"/>
      <c r="Y1037" s="42"/>
      <c r="Z1037" s="9"/>
      <c r="AA1037" s="9"/>
      <c r="AB1037" s="9"/>
      <c r="AC1037" s="9"/>
      <c r="AD1037" s="39"/>
      <c r="AE1037" s="39"/>
      <c r="AF1037" s="39"/>
      <c r="AG1037" s="39"/>
      <c r="AH1037" s="39"/>
      <c r="AI1037" s="39"/>
      <c r="AJ1037" s="39"/>
      <c r="AK1037" s="239"/>
      <c r="AL1037" s="239"/>
      <c r="AM1037" s="239"/>
      <c r="AN1037" s="239"/>
      <c r="AO1037" s="239"/>
      <c r="AP1037" s="239"/>
      <c r="AQ1037" s="240"/>
      <c r="AR1037" s="240"/>
      <c r="AS1037" s="240"/>
    </row>
    <row r="1038">
      <c r="A1038" s="42"/>
      <c r="B1038" s="42"/>
      <c r="C1038" s="42"/>
      <c r="D1038" s="42"/>
      <c r="E1038" s="42"/>
      <c r="F1038" s="42"/>
      <c r="G1038" s="42"/>
      <c r="H1038" s="42"/>
      <c r="I1038" s="42"/>
      <c r="J1038" s="42"/>
      <c r="K1038" s="42"/>
      <c r="L1038" s="42"/>
      <c r="M1038" s="42"/>
      <c r="N1038" s="42"/>
      <c r="O1038" s="9"/>
      <c r="P1038" s="9"/>
      <c r="Q1038" s="9"/>
      <c r="R1038" s="9"/>
      <c r="S1038" s="9"/>
      <c r="T1038" s="9"/>
      <c r="U1038" s="181"/>
      <c r="V1038" s="180"/>
      <c r="W1038" s="180"/>
      <c r="X1038" s="42"/>
      <c r="Y1038" s="42"/>
      <c r="Z1038" s="9"/>
      <c r="AA1038" s="9"/>
      <c r="AB1038" s="9"/>
      <c r="AC1038" s="9"/>
      <c r="AD1038" s="39"/>
      <c r="AE1038" s="39"/>
      <c r="AF1038" s="39"/>
      <c r="AG1038" s="39"/>
      <c r="AH1038" s="39"/>
      <c r="AI1038" s="39"/>
      <c r="AJ1038" s="39"/>
      <c r="AK1038" s="239"/>
      <c r="AL1038" s="239"/>
      <c r="AM1038" s="239"/>
      <c r="AN1038" s="239"/>
      <c r="AO1038" s="239"/>
      <c r="AP1038" s="239"/>
      <c r="AQ1038" s="240"/>
      <c r="AR1038" s="240"/>
      <c r="AS1038" s="240"/>
    </row>
    <row r="1039">
      <c r="A1039" s="42"/>
      <c r="B1039" s="42"/>
      <c r="C1039" s="42"/>
      <c r="D1039" s="42"/>
      <c r="E1039" s="42"/>
      <c r="F1039" s="42"/>
      <c r="G1039" s="42"/>
      <c r="H1039" s="42"/>
      <c r="I1039" s="42"/>
      <c r="J1039" s="42"/>
      <c r="K1039" s="42"/>
      <c r="L1039" s="42"/>
      <c r="M1039" s="42"/>
      <c r="N1039" s="42"/>
      <c r="O1039" s="9"/>
      <c r="P1039" s="9"/>
      <c r="Q1039" s="9"/>
      <c r="R1039" s="9"/>
      <c r="S1039" s="9"/>
      <c r="T1039" s="9"/>
      <c r="U1039" s="181"/>
      <c r="V1039" s="180"/>
      <c r="W1039" s="180"/>
      <c r="X1039" s="42"/>
      <c r="Y1039" s="42"/>
      <c r="Z1039" s="9"/>
      <c r="AA1039" s="9"/>
      <c r="AB1039" s="9"/>
      <c r="AC1039" s="9"/>
      <c r="AD1039" s="39"/>
      <c r="AE1039" s="39"/>
      <c r="AF1039" s="39"/>
      <c r="AG1039" s="39"/>
      <c r="AH1039" s="39"/>
      <c r="AI1039" s="39"/>
      <c r="AJ1039" s="39"/>
      <c r="AK1039" s="239"/>
      <c r="AL1039" s="239"/>
      <c r="AM1039" s="239"/>
      <c r="AN1039" s="239"/>
      <c r="AO1039" s="239"/>
      <c r="AP1039" s="239"/>
      <c r="AQ1039" s="240"/>
      <c r="AR1039" s="240"/>
      <c r="AS1039" s="240"/>
    </row>
    <row r="1040">
      <c r="A1040" s="42"/>
      <c r="B1040" s="42"/>
      <c r="C1040" s="42"/>
      <c r="D1040" s="42"/>
      <c r="E1040" s="42"/>
      <c r="F1040" s="42"/>
      <c r="G1040" s="42"/>
      <c r="H1040" s="42"/>
      <c r="I1040" s="42"/>
      <c r="J1040" s="42"/>
      <c r="K1040" s="42"/>
      <c r="L1040" s="42"/>
      <c r="M1040" s="42"/>
      <c r="N1040" s="42"/>
      <c r="O1040" s="9"/>
      <c r="P1040" s="9"/>
      <c r="Q1040" s="9"/>
      <c r="R1040" s="9"/>
      <c r="S1040" s="9"/>
      <c r="T1040" s="9"/>
      <c r="U1040" s="181"/>
      <c r="V1040" s="180"/>
      <c r="W1040" s="180"/>
      <c r="X1040" s="42"/>
      <c r="Y1040" s="42"/>
      <c r="Z1040" s="9"/>
      <c r="AA1040" s="9"/>
      <c r="AB1040" s="9"/>
      <c r="AC1040" s="9"/>
      <c r="AD1040" s="39"/>
      <c r="AE1040" s="39"/>
      <c r="AF1040" s="39"/>
      <c r="AG1040" s="39"/>
      <c r="AH1040" s="39"/>
      <c r="AI1040" s="39"/>
      <c r="AJ1040" s="39"/>
      <c r="AK1040" s="239"/>
      <c r="AL1040" s="239"/>
      <c r="AM1040" s="239"/>
      <c r="AN1040" s="239"/>
      <c r="AO1040" s="239"/>
      <c r="AP1040" s="239"/>
      <c r="AQ1040" s="240"/>
      <c r="AR1040" s="240"/>
      <c r="AS1040" s="240"/>
    </row>
    <row r="1041">
      <c r="A1041" s="42"/>
      <c r="B1041" s="42"/>
      <c r="C1041" s="42"/>
      <c r="D1041" s="42"/>
      <c r="E1041" s="42"/>
      <c r="F1041" s="42"/>
      <c r="G1041" s="42"/>
      <c r="H1041" s="42"/>
      <c r="I1041" s="42"/>
      <c r="J1041" s="42"/>
      <c r="K1041" s="42"/>
      <c r="L1041" s="42"/>
      <c r="M1041" s="42"/>
      <c r="N1041" s="42"/>
      <c r="O1041" s="9"/>
      <c r="P1041" s="9"/>
      <c r="Q1041" s="9"/>
      <c r="R1041" s="9"/>
      <c r="S1041" s="9"/>
      <c r="T1041" s="9"/>
      <c r="U1041" s="181"/>
      <c r="V1041" s="180"/>
      <c r="W1041" s="180"/>
      <c r="X1041" s="42"/>
      <c r="Y1041" s="42"/>
      <c r="Z1041" s="9"/>
      <c r="AA1041" s="9"/>
      <c r="AB1041" s="9"/>
      <c r="AC1041" s="9"/>
      <c r="AD1041" s="39"/>
      <c r="AE1041" s="39"/>
      <c r="AF1041" s="39"/>
      <c r="AG1041" s="39"/>
      <c r="AH1041" s="39"/>
      <c r="AI1041" s="39"/>
      <c r="AJ1041" s="39"/>
      <c r="AK1041" s="239"/>
      <c r="AL1041" s="239"/>
      <c r="AM1041" s="239"/>
      <c r="AN1041" s="239"/>
      <c r="AO1041" s="239"/>
      <c r="AP1041" s="239"/>
      <c r="AQ1041" s="240"/>
      <c r="AR1041" s="240"/>
      <c r="AS1041" s="240"/>
    </row>
    <row r="1042">
      <c r="A1042" s="42"/>
      <c r="B1042" s="42"/>
      <c r="C1042" s="42"/>
      <c r="D1042" s="42"/>
      <c r="E1042" s="42"/>
      <c r="F1042" s="42"/>
      <c r="G1042" s="42"/>
      <c r="H1042" s="42"/>
      <c r="I1042" s="42"/>
      <c r="J1042" s="42"/>
      <c r="K1042" s="42"/>
      <c r="L1042" s="42"/>
      <c r="M1042" s="42"/>
      <c r="N1042" s="42"/>
      <c r="O1042" s="9"/>
      <c r="P1042" s="9"/>
      <c r="Q1042" s="9"/>
      <c r="R1042" s="9"/>
      <c r="S1042" s="9"/>
      <c r="T1042" s="9"/>
      <c r="U1042" s="181"/>
      <c r="V1042" s="180"/>
      <c r="W1042" s="180"/>
      <c r="X1042" s="42"/>
      <c r="Y1042" s="42"/>
      <c r="Z1042" s="9"/>
      <c r="AA1042" s="9"/>
      <c r="AB1042" s="9"/>
      <c r="AC1042" s="9"/>
      <c r="AD1042" s="39"/>
      <c r="AE1042" s="39"/>
      <c r="AF1042" s="39"/>
      <c r="AG1042" s="39"/>
      <c r="AH1042" s="39"/>
      <c r="AI1042" s="39"/>
      <c r="AJ1042" s="39"/>
      <c r="AK1042" s="239"/>
      <c r="AL1042" s="239"/>
      <c r="AM1042" s="239"/>
      <c r="AN1042" s="239"/>
      <c r="AO1042" s="239"/>
      <c r="AP1042" s="239"/>
      <c r="AQ1042" s="240"/>
      <c r="AR1042" s="240"/>
      <c r="AS1042" s="240"/>
    </row>
    <row r="1043">
      <c r="A1043" s="42"/>
      <c r="B1043" s="42"/>
      <c r="C1043" s="42"/>
      <c r="D1043" s="42"/>
      <c r="E1043" s="42"/>
      <c r="F1043" s="42"/>
      <c r="G1043" s="42"/>
      <c r="H1043" s="42"/>
      <c r="I1043" s="42"/>
      <c r="J1043" s="42"/>
      <c r="K1043" s="42"/>
      <c r="L1043" s="42"/>
      <c r="M1043" s="42"/>
      <c r="N1043" s="42"/>
      <c r="O1043" s="9"/>
      <c r="P1043" s="9"/>
      <c r="Q1043" s="9"/>
      <c r="R1043" s="9"/>
      <c r="S1043" s="9"/>
      <c r="T1043" s="9"/>
      <c r="U1043" s="181"/>
      <c r="V1043" s="180"/>
      <c r="W1043" s="180"/>
      <c r="X1043" s="42"/>
      <c r="Y1043" s="42"/>
      <c r="Z1043" s="9"/>
      <c r="AA1043" s="9"/>
      <c r="AB1043" s="9"/>
      <c r="AC1043" s="9"/>
      <c r="AD1043" s="39"/>
      <c r="AE1043" s="39"/>
      <c r="AF1043" s="39"/>
      <c r="AG1043" s="39"/>
      <c r="AH1043" s="39"/>
      <c r="AI1043" s="39"/>
      <c r="AJ1043" s="39"/>
      <c r="AK1043" s="239"/>
      <c r="AL1043" s="239"/>
      <c r="AM1043" s="239"/>
      <c r="AN1043" s="239"/>
      <c r="AO1043" s="239"/>
      <c r="AP1043" s="239"/>
      <c r="AQ1043" s="240"/>
      <c r="AR1043" s="240"/>
      <c r="AS1043" s="240"/>
    </row>
    <row r="1044">
      <c r="A1044" s="42"/>
      <c r="B1044" s="42"/>
      <c r="C1044" s="42"/>
      <c r="D1044" s="42"/>
      <c r="E1044" s="42"/>
      <c r="F1044" s="42"/>
      <c r="G1044" s="42"/>
      <c r="H1044" s="42"/>
      <c r="I1044" s="42"/>
      <c r="J1044" s="42"/>
      <c r="K1044" s="42"/>
      <c r="L1044" s="42"/>
      <c r="M1044" s="42"/>
      <c r="N1044" s="42"/>
      <c r="O1044" s="9"/>
      <c r="P1044" s="9"/>
      <c r="Q1044" s="9"/>
      <c r="R1044" s="9"/>
      <c r="S1044" s="9"/>
      <c r="T1044" s="9"/>
      <c r="U1044" s="181"/>
      <c r="V1044" s="180"/>
      <c r="W1044" s="180"/>
      <c r="X1044" s="42"/>
      <c r="Y1044" s="42"/>
      <c r="Z1044" s="9"/>
      <c r="AA1044" s="9"/>
      <c r="AB1044" s="9"/>
      <c r="AC1044" s="9"/>
      <c r="AD1044" s="39"/>
      <c r="AE1044" s="39"/>
      <c r="AF1044" s="39"/>
      <c r="AG1044" s="39"/>
      <c r="AH1044" s="39"/>
      <c r="AI1044" s="39"/>
      <c r="AJ1044" s="39"/>
      <c r="AK1044" s="239"/>
      <c r="AL1044" s="239"/>
      <c r="AM1044" s="239"/>
      <c r="AN1044" s="239"/>
      <c r="AO1044" s="239"/>
      <c r="AP1044" s="239"/>
      <c r="AQ1044" s="240"/>
      <c r="AR1044" s="240"/>
      <c r="AS1044" s="240"/>
    </row>
    <row r="1045">
      <c r="A1045" s="42"/>
      <c r="B1045" s="42"/>
      <c r="C1045" s="42"/>
      <c r="D1045" s="42"/>
      <c r="E1045" s="42"/>
      <c r="F1045" s="42"/>
      <c r="G1045" s="42"/>
      <c r="H1045" s="42"/>
      <c r="I1045" s="42"/>
      <c r="J1045" s="42"/>
      <c r="K1045" s="42"/>
      <c r="L1045" s="42"/>
      <c r="M1045" s="42"/>
      <c r="N1045" s="42"/>
      <c r="O1045" s="9"/>
      <c r="P1045" s="9"/>
      <c r="Q1045" s="9"/>
      <c r="R1045" s="9"/>
      <c r="S1045" s="9"/>
      <c r="T1045" s="9"/>
      <c r="U1045" s="181"/>
      <c r="V1045" s="180"/>
      <c r="W1045" s="180"/>
      <c r="X1045" s="42"/>
      <c r="Y1045" s="42"/>
      <c r="Z1045" s="9"/>
      <c r="AA1045" s="9"/>
      <c r="AB1045" s="9"/>
      <c r="AC1045" s="9"/>
      <c r="AD1045" s="39"/>
      <c r="AE1045" s="39"/>
      <c r="AF1045" s="39"/>
      <c r="AG1045" s="39"/>
      <c r="AH1045" s="39"/>
      <c r="AI1045" s="39"/>
      <c r="AJ1045" s="39"/>
      <c r="AK1045" s="239"/>
      <c r="AL1045" s="239"/>
      <c r="AM1045" s="239"/>
      <c r="AN1045" s="239"/>
      <c r="AO1045" s="239"/>
      <c r="AP1045" s="239"/>
      <c r="AQ1045" s="240"/>
      <c r="AR1045" s="240"/>
      <c r="AS1045" s="240"/>
    </row>
    <row r="1046">
      <c r="A1046" s="42"/>
      <c r="B1046" s="42"/>
      <c r="C1046" s="42"/>
      <c r="D1046" s="42"/>
      <c r="E1046" s="42"/>
      <c r="F1046" s="42"/>
      <c r="G1046" s="42"/>
      <c r="H1046" s="42"/>
      <c r="I1046" s="42"/>
      <c r="J1046" s="42"/>
      <c r="K1046" s="42"/>
      <c r="L1046" s="42"/>
      <c r="M1046" s="42"/>
      <c r="N1046" s="42"/>
      <c r="O1046" s="9"/>
      <c r="P1046" s="9"/>
      <c r="Q1046" s="9"/>
      <c r="R1046" s="9"/>
      <c r="S1046" s="9"/>
      <c r="T1046" s="9"/>
      <c r="U1046" s="181"/>
      <c r="V1046" s="180"/>
      <c r="W1046" s="180"/>
      <c r="X1046" s="42"/>
      <c r="Y1046" s="42"/>
      <c r="Z1046" s="9"/>
      <c r="AA1046" s="9"/>
      <c r="AB1046" s="9"/>
      <c r="AC1046" s="9"/>
      <c r="AD1046" s="39"/>
      <c r="AE1046" s="39"/>
      <c r="AF1046" s="39"/>
      <c r="AG1046" s="39"/>
      <c r="AH1046" s="39"/>
      <c r="AI1046" s="39"/>
      <c r="AJ1046" s="39"/>
      <c r="AK1046" s="239"/>
      <c r="AL1046" s="239"/>
      <c r="AM1046" s="239"/>
      <c r="AN1046" s="239"/>
      <c r="AO1046" s="239"/>
      <c r="AP1046" s="239"/>
      <c r="AQ1046" s="240"/>
      <c r="AR1046" s="240"/>
      <c r="AS1046" s="240"/>
    </row>
    <row r="1047">
      <c r="A1047" s="42"/>
      <c r="B1047" s="42"/>
      <c r="C1047" s="42"/>
      <c r="D1047" s="42"/>
      <c r="E1047" s="42"/>
      <c r="F1047" s="42"/>
      <c r="G1047" s="42"/>
      <c r="H1047" s="42"/>
      <c r="I1047" s="42"/>
      <c r="J1047" s="42"/>
      <c r="K1047" s="42"/>
      <c r="L1047" s="42"/>
      <c r="M1047" s="42"/>
      <c r="N1047" s="42"/>
      <c r="O1047" s="9"/>
      <c r="P1047" s="9"/>
      <c r="Q1047" s="9"/>
      <c r="R1047" s="9"/>
      <c r="S1047" s="9"/>
      <c r="T1047" s="9"/>
      <c r="U1047" s="181"/>
      <c r="V1047" s="180"/>
      <c r="W1047" s="180"/>
      <c r="X1047" s="42"/>
      <c r="Y1047" s="42"/>
      <c r="Z1047" s="9"/>
      <c r="AA1047" s="9"/>
      <c r="AB1047" s="9"/>
      <c r="AC1047" s="9"/>
      <c r="AD1047" s="39"/>
      <c r="AE1047" s="39"/>
      <c r="AF1047" s="39"/>
      <c r="AG1047" s="39"/>
      <c r="AH1047" s="39"/>
      <c r="AI1047" s="39"/>
      <c r="AJ1047" s="39"/>
      <c r="AK1047" s="239"/>
      <c r="AL1047" s="239"/>
      <c r="AM1047" s="239"/>
      <c r="AN1047" s="239"/>
      <c r="AO1047" s="239"/>
      <c r="AP1047" s="239"/>
      <c r="AQ1047" s="240"/>
      <c r="AR1047" s="240"/>
      <c r="AS1047" s="240"/>
    </row>
    <row r="1048">
      <c r="A1048" s="42"/>
      <c r="B1048" s="42"/>
      <c r="C1048" s="42"/>
      <c r="D1048" s="42"/>
      <c r="E1048" s="42"/>
      <c r="F1048" s="42"/>
      <c r="G1048" s="42"/>
      <c r="H1048" s="42"/>
      <c r="I1048" s="42"/>
      <c r="J1048" s="42"/>
      <c r="K1048" s="42"/>
      <c r="L1048" s="42"/>
      <c r="M1048" s="42"/>
      <c r="N1048" s="42"/>
      <c r="O1048" s="9"/>
      <c r="P1048" s="9"/>
      <c r="Q1048" s="9"/>
      <c r="R1048" s="9"/>
      <c r="S1048" s="9"/>
      <c r="T1048" s="9"/>
      <c r="U1048" s="181"/>
      <c r="V1048" s="180"/>
      <c r="W1048" s="180"/>
      <c r="X1048" s="42"/>
      <c r="Y1048" s="42"/>
      <c r="Z1048" s="9"/>
      <c r="AA1048" s="9"/>
      <c r="AB1048" s="9"/>
      <c r="AC1048" s="9"/>
      <c r="AD1048" s="39"/>
      <c r="AE1048" s="39"/>
      <c r="AF1048" s="39"/>
      <c r="AG1048" s="39"/>
      <c r="AH1048" s="39"/>
      <c r="AI1048" s="39"/>
      <c r="AJ1048" s="39"/>
      <c r="AK1048" s="239"/>
      <c r="AL1048" s="239"/>
      <c r="AM1048" s="239"/>
      <c r="AN1048" s="239"/>
      <c r="AO1048" s="239"/>
      <c r="AP1048" s="239"/>
      <c r="AQ1048" s="240"/>
      <c r="AR1048" s="240"/>
      <c r="AS1048" s="240"/>
    </row>
    <row r="1049">
      <c r="A1049" s="42"/>
      <c r="B1049" s="42"/>
      <c r="C1049" s="42"/>
      <c r="D1049" s="42"/>
      <c r="E1049" s="42"/>
      <c r="F1049" s="42"/>
      <c r="G1049" s="42"/>
      <c r="H1049" s="42"/>
      <c r="I1049" s="42"/>
      <c r="J1049" s="42"/>
      <c r="K1049" s="42"/>
      <c r="L1049" s="42"/>
      <c r="M1049" s="42"/>
      <c r="N1049" s="42"/>
      <c r="O1049" s="9"/>
      <c r="P1049" s="9"/>
      <c r="Q1049" s="9"/>
      <c r="R1049" s="9"/>
      <c r="S1049" s="9"/>
      <c r="T1049" s="9"/>
      <c r="U1049" s="181"/>
      <c r="V1049" s="180"/>
      <c r="W1049" s="180"/>
      <c r="X1049" s="42"/>
      <c r="Y1049" s="42"/>
      <c r="Z1049" s="9"/>
      <c r="AA1049" s="9"/>
      <c r="AB1049" s="9"/>
      <c r="AC1049" s="9"/>
      <c r="AD1049" s="39"/>
      <c r="AE1049" s="39"/>
      <c r="AF1049" s="39"/>
      <c r="AG1049" s="39"/>
      <c r="AH1049" s="39"/>
      <c r="AI1049" s="39"/>
      <c r="AJ1049" s="39"/>
      <c r="AK1049" s="239"/>
      <c r="AL1049" s="239"/>
      <c r="AM1049" s="239"/>
      <c r="AN1049" s="239"/>
      <c r="AO1049" s="239"/>
      <c r="AP1049" s="239"/>
      <c r="AQ1049" s="240"/>
      <c r="AR1049" s="240"/>
      <c r="AS1049" s="240"/>
    </row>
  </sheetData>
  <autoFilter ref="$A$1:$AJ$1049"/>
  <conditionalFormatting sqref="T1:AC1049 AD2:AD81 S72">
    <cfRule type="colorScale" priority="1">
      <colorScale>
        <cfvo type="formula" val="0"/>
        <cfvo type="formula" val="1"/>
        <color rgb="FFFFFFFF"/>
        <color rgb="FF7CA8ED"/>
      </colorScale>
    </cfRule>
  </conditionalFormatting>
  <dataValidations>
    <dataValidation type="list" allowBlank="1" sqref="K2:K81">
      <formula1>AdminOnly!$M:$M</formula1>
    </dataValidation>
    <dataValidation type="list" allowBlank="1" sqref="J2:J81">
      <formula1>AdminOnly!$H:$H</formula1>
    </dataValidation>
    <dataValidation type="list" allowBlank="1" showErrorMessage="1" sqref="AK2:AL80">
      <formula1>AdminOnly!$AF:$AF</formula1>
    </dataValidation>
    <dataValidation type="list" allowBlank="1" showErrorMessage="1" sqref="A2:A81">
      <formula1>AdminOnly!$AJ$2:$AJ$4076</formula1>
    </dataValidation>
    <dataValidation type="list" allowBlank="1" sqref="B2:B81 E2:E81">
      <formula1>"=,'=,&lt;,&gt;"</formula1>
    </dataValidation>
    <dataValidation type="list" allowBlank="1" sqref="C2:D81 F2:F81">
      <formula1>Circuits!$A:$A</formula1>
    </dataValidation>
    <dataValidation type="list" allowBlank="1" sqref="I2:I72">
      <formula1>References!$A:$A</formula1>
    </dataValidation>
    <dataValidation type="list" allowBlank="1" sqref="I73:I81">
      <formula1>AdminOnly!$U:$U</formula1>
    </dataValidation>
  </dataValidations>
  <hyperlinks>
    <hyperlink r:id="rId1" ref="O82"/>
    <hyperlink r:id="rId2" ref="O83"/>
    <hyperlink r:id="rId3" ref="O84"/>
    <hyperlink r:id="rId4" ref="O85"/>
    <hyperlink r:id="rId5" ref="O86"/>
    <hyperlink r:id="rId6" ref="O87"/>
    <hyperlink r:id="rId7" ref="O88"/>
    <hyperlink r:id="rId8" ref="O89"/>
    <hyperlink r:id="rId9" ref="O90"/>
    <hyperlink r:id="rId10" ref="O91"/>
    <hyperlink r:id="rId11" ref="O92"/>
    <hyperlink r:id="rId12" ref="O93"/>
    <hyperlink r:id="rId13" ref="O94"/>
    <hyperlink r:id="rId14" ref="O95"/>
    <hyperlink r:id="rId15" ref="O96"/>
    <hyperlink r:id="rId16" ref="O97"/>
    <hyperlink r:id="rId17" ref="O98"/>
    <hyperlink r:id="rId18" ref="O99"/>
    <hyperlink r:id="rId19" ref="O100"/>
    <hyperlink r:id="rId20" ref="O101"/>
    <hyperlink r:id="rId21" ref="O102"/>
    <hyperlink r:id="rId22" ref="O103"/>
    <hyperlink r:id="rId23" location="page=1" ref="O105"/>
    <hyperlink r:id="rId24" location="page=1" ref="O106"/>
    <hyperlink r:id="rId25" location="page=1" ref="O107"/>
    <hyperlink r:id="rId26" location="page=1" ref="O108"/>
    <hyperlink r:id="rId27" location="page=1" ref="O109"/>
    <hyperlink r:id="rId28" location="page=1" ref="O110"/>
    <hyperlink r:id="rId29" location="page=1" ref="O111"/>
    <hyperlink r:id="rId30" location="page=1" ref="O112"/>
    <hyperlink r:id="rId31" location="page=1" ref="O113"/>
    <hyperlink r:id="rId32" location="page=1" ref="O114"/>
    <hyperlink r:id="rId33" location="page=1" ref="O115"/>
    <hyperlink r:id="rId34" location="page=1" ref="O116"/>
    <hyperlink r:id="rId35" ref="O117"/>
    <hyperlink r:id="rId36" ref="O118"/>
    <hyperlink r:id="rId37" ref="O119"/>
    <hyperlink r:id="rId38" ref="O120"/>
    <hyperlink r:id="rId39" ref="O121"/>
    <hyperlink r:id="rId40" ref="O122"/>
    <hyperlink r:id="rId41" ref="O123"/>
    <hyperlink r:id="rId42" ref="O124"/>
    <hyperlink r:id="rId43" ref="O125"/>
    <hyperlink r:id="rId44" ref="O126"/>
    <hyperlink r:id="rId45" ref="O127"/>
    <hyperlink r:id="rId46" ref="O128"/>
    <hyperlink r:id="rId47" ref="O129"/>
    <hyperlink r:id="rId48" ref="O130"/>
    <hyperlink r:id="rId49" ref="O131"/>
    <hyperlink r:id="rId50" ref="O132"/>
    <hyperlink r:id="rId51" ref="O133"/>
    <hyperlink r:id="rId52" ref="O134"/>
    <hyperlink r:id="rId53" ref="O135"/>
    <hyperlink r:id="rId54" ref="O136"/>
    <hyperlink r:id="rId55" ref="O137"/>
    <hyperlink r:id="rId56" ref="O138"/>
    <hyperlink r:id="rId57" ref="O139"/>
    <hyperlink r:id="rId58" ref="O140"/>
    <hyperlink r:id="rId59" ref="O141"/>
    <hyperlink r:id="rId60" ref="O142"/>
    <hyperlink r:id="rId61" ref="O143"/>
    <hyperlink r:id="rId62" ref="O144"/>
    <hyperlink r:id="rId63" ref="O145"/>
    <hyperlink r:id="rId64" ref="O146"/>
    <hyperlink r:id="rId65" ref="O147"/>
    <hyperlink r:id="rId66" ref="O148"/>
    <hyperlink r:id="rId67" ref="O149"/>
    <hyperlink r:id="rId68" ref="O150"/>
    <hyperlink r:id="rId69" ref="O151"/>
    <hyperlink r:id="rId70" ref="O152"/>
    <hyperlink r:id="rId71" ref="O153"/>
    <hyperlink r:id="rId72" ref="O154"/>
    <hyperlink r:id="rId73" ref="O155"/>
    <hyperlink r:id="rId74" ref="O156"/>
    <hyperlink r:id="rId75" ref="O157"/>
    <hyperlink r:id="rId76" ref="O158"/>
    <hyperlink r:id="rId77" ref="O159"/>
    <hyperlink r:id="rId78" ref="O160"/>
    <hyperlink r:id="rId79" ref="O161"/>
    <hyperlink r:id="rId80" ref="O162"/>
    <hyperlink r:id="rId81" ref="O163"/>
    <hyperlink r:id="rId82" ref="O164"/>
    <hyperlink r:id="rId83" ref="O165"/>
    <hyperlink r:id="rId84" ref="O166"/>
    <hyperlink r:id="rId85" ref="O167"/>
    <hyperlink r:id="rId86" ref="O168"/>
    <hyperlink r:id="rId87" ref="O169"/>
    <hyperlink r:id="rId88" ref="O170"/>
    <hyperlink r:id="rId89" ref="O171"/>
    <hyperlink r:id="rId90" ref="O172"/>
    <hyperlink r:id="rId91" ref="O173"/>
    <hyperlink r:id="rId92" ref="O174"/>
    <hyperlink r:id="rId93" ref="O175"/>
    <hyperlink r:id="rId94" ref="O176"/>
    <hyperlink r:id="rId95" ref="O177"/>
    <hyperlink r:id="rId96" ref="O178"/>
    <hyperlink r:id="rId97" ref="O179"/>
    <hyperlink r:id="rId98" ref="O180"/>
    <hyperlink r:id="rId99" ref="O181"/>
    <hyperlink r:id="rId100" ref="O182"/>
    <hyperlink r:id="rId101" ref="O183"/>
    <hyperlink r:id="rId102" ref="O184"/>
    <hyperlink r:id="rId103" ref="O185"/>
    <hyperlink r:id="rId104" ref="O186"/>
    <hyperlink r:id="rId105" ref="O187"/>
    <hyperlink r:id="rId106" ref="O188"/>
    <hyperlink r:id="rId107" ref="O189"/>
    <hyperlink r:id="rId108" ref="O190"/>
    <hyperlink r:id="rId109" ref="O191"/>
    <hyperlink r:id="rId110" ref="O192"/>
    <hyperlink r:id="rId111" ref="O193"/>
    <hyperlink r:id="rId112" ref="O194"/>
    <hyperlink r:id="rId113" ref="O195"/>
    <hyperlink r:id="rId114" ref="O196"/>
    <hyperlink r:id="rId115" ref="O197"/>
    <hyperlink r:id="rId116" ref="O198"/>
    <hyperlink r:id="rId117" location="page=1" ref="O199"/>
    <hyperlink r:id="rId118" location="page=1" ref="O200"/>
    <hyperlink r:id="rId119" location="page=1" ref="O201"/>
    <hyperlink r:id="rId120" location="page=1" ref="O202"/>
    <hyperlink r:id="rId121" location="page=1" ref="O203"/>
    <hyperlink r:id="rId122" location="page=1" ref="O204"/>
    <hyperlink r:id="rId123" location="page=1" ref="O205"/>
    <hyperlink r:id="rId124" location="page=1" ref="O206"/>
    <hyperlink r:id="rId125" location="page=1" ref="O207"/>
    <hyperlink r:id="rId126" location="page=1" ref="O208"/>
    <hyperlink r:id="rId127" location="page=1" ref="O209"/>
    <hyperlink r:id="rId128" location="page=1" ref="O210"/>
    <hyperlink r:id="rId129" location="page=1" ref="O211"/>
    <hyperlink r:id="rId130" location="page=1" ref="O212"/>
    <hyperlink r:id="rId131" location="page=1" ref="O213"/>
    <hyperlink r:id="rId132" location="page=1" ref="O214"/>
    <hyperlink r:id="rId133" location="page=1" ref="O215"/>
    <hyperlink r:id="rId134" location="page=1" ref="O216"/>
    <hyperlink r:id="rId135" location="page=1" ref="O217"/>
    <hyperlink r:id="rId136" location="page=1" ref="O218"/>
    <hyperlink r:id="rId137" location="page=1" ref="O219"/>
    <hyperlink r:id="rId138" location="page=1" ref="O220"/>
    <hyperlink r:id="rId139" location="page=1" ref="O221"/>
    <hyperlink r:id="rId140" location="page=1" ref="O222"/>
    <hyperlink r:id="rId141" location="page=1" ref="O223"/>
    <hyperlink r:id="rId142" location="page=1" ref="O224"/>
    <hyperlink r:id="rId143" location="page=1" ref="O225"/>
    <hyperlink r:id="rId144" location="page=1" ref="O226"/>
    <hyperlink r:id="rId145" location="page=1" ref="O227"/>
    <hyperlink r:id="rId146" location="page=1" ref="O228"/>
    <hyperlink r:id="rId147" location="page=1" ref="O229"/>
    <hyperlink r:id="rId148" location="page=1" ref="O230"/>
    <hyperlink r:id="rId149" ref="O231"/>
    <hyperlink r:id="rId150" ref="O232"/>
    <hyperlink r:id="rId151" ref="O233"/>
    <hyperlink r:id="rId152" ref="O234"/>
    <hyperlink r:id="rId153" location="page=1" ref="O235"/>
    <hyperlink r:id="rId154" location="page=1" ref="O236"/>
    <hyperlink r:id="rId155" ref="O237"/>
    <hyperlink r:id="rId156" ref="O238"/>
    <hyperlink r:id="rId157" ref="O239"/>
    <hyperlink r:id="rId158" ref="O240"/>
    <hyperlink r:id="rId159" ref="O241"/>
    <hyperlink r:id="rId160" ref="O242"/>
    <hyperlink r:id="rId161" ref="O243"/>
    <hyperlink r:id="rId162" ref="O244"/>
    <hyperlink r:id="rId163" ref="O245"/>
    <hyperlink r:id="rId164" ref="O246"/>
    <hyperlink r:id="rId165" ref="O247"/>
    <hyperlink r:id="rId166" ref="O248"/>
    <hyperlink r:id="rId167" ref="O249"/>
    <hyperlink r:id="rId168" ref="O250"/>
    <hyperlink r:id="rId169" ref="O251"/>
    <hyperlink r:id="rId170" ref="O252"/>
    <hyperlink r:id="rId171" ref="O253"/>
    <hyperlink r:id="rId172" ref="O254"/>
    <hyperlink r:id="rId173" ref="O255"/>
    <hyperlink r:id="rId174" ref="O256"/>
    <hyperlink r:id="rId175" ref="O257"/>
    <hyperlink r:id="rId176" ref="O258"/>
    <hyperlink r:id="rId177" ref="O259"/>
    <hyperlink r:id="rId178" ref="O260"/>
    <hyperlink r:id="rId179" ref="O261"/>
    <hyperlink r:id="rId180" ref="O262"/>
    <hyperlink r:id="rId181" ref="O263"/>
    <hyperlink r:id="rId182" ref="O264"/>
    <hyperlink r:id="rId183" ref="O265"/>
    <hyperlink r:id="rId184" ref="O266"/>
    <hyperlink r:id="rId185" ref="O267"/>
    <hyperlink r:id="rId186" ref="O268"/>
    <hyperlink r:id="rId187" ref="O269"/>
    <hyperlink r:id="rId188" ref="O270"/>
    <hyperlink r:id="rId189" ref="O271"/>
    <hyperlink r:id="rId190" ref="O272"/>
    <hyperlink r:id="rId191" ref="O273"/>
    <hyperlink r:id="rId192" ref="O274"/>
    <hyperlink r:id="rId193" ref="O275"/>
    <hyperlink r:id="rId194" ref="O276"/>
    <hyperlink r:id="rId195" ref="O277"/>
    <hyperlink r:id="rId196" location="page=1" ref="O278"/>
    <hyperlink r:id="rId197" location="page=1" ref="O279"/>
    <hyperlink r:id="rId198" location="page=1" ref="O280"/>
    <hyperlink r:id="rId199" location="page=1" ref="O281"/>
    <hyperlink r:id="rId200" location="page=1" ref="O282"/>
    <hyperlink r:id="rId201" location="page=1" ref="O283"/>
    <hyperlink r:id="rId202" location="page=1" ref="O284"/>
    <hyperlink r:id="rId203" location="page=1" ref="O285"/>
    <hyperlink r:id="rId204" location="page=1" ref="O286"/>
    <hyperlink r:id="rId205" location="page=1" ref="O287"/>
    <hyperlink r:id="rId206" location="page=1" ref="O288"/>
    <hyperlink r:id="rId207" location="page=1" ref="O289"/>
    <hyperlink r:id="rId208" location="page=1" ref="O290"/>
    <hyperlink r:id="rId209" location="page=1" ref="O291"/>
    <hyperlink r:id="rId210" location="page=1" ref="O292"/>
    <hyperlink r:id="rId211" location="page=1" ref="O293"/>
    <hyperlink r:id="rId212" location="page=1" ref="O294"/>
    <hyperlink r:id="rId213" location="page=1" ref="O295"/>
    <hyperlink r:id="rId214" location="page=1" ref="O296"/>
    <hyperlink r:id="rId215" location="page=1" ref="O297"/>
    <hyperlink r:id="rId216" location="page=1" ref="O298"/>
    <hyperlink r:id="rId217" location="page=1" ref="O299"/>
    <hyperlink r:id="rId218" location="page=1" ref="O300"/>
    <hyperlink r:id="rId219" location="page=1" ref="O301"/>
    <hyperlink r:id="rId220" location="page=1" ref="O302"/>
    <hyperlink r:id="rId221" location="page=1" ref="O303"/>
    <hyperlink r:id="rId222" location="page=1" ref="O304"/>
    <hyperlink r:id="rId223" location="page=1" ref="O305"/>
    <hyperlink r:id="rId224" ref="O306"/>
    <hyperlink r:id="rId225" ref="O307"/>
    <hyperlink r:id="rId226" ref="O308"/>
    <hyperlink r:id="rId227" ref="O309"/>
    <hyperlink r:id="rId228" ref="O310"/>
    <hyperlink r:id="rId229" location="page=1" ref="O311"/>
    <hyperlink r:id="rId230" location="page=1" ref="O312"/>
    <hyperlink r:id="rId231" location="page=1" ref="O313"/>
    <hyperlink r:id="rId232" location="page=1" ref="O314"/>
    <hyperlink r:id="rId233" location="page=1" ref="O315"/>
    <hyperlink r:id="rId234" location="page=1" ref="O316"/>
    <hyperlink r:id="rId235" location="page=1" ref="O317"/>
    <hyperlink r:id="rId236" location="page=1" ref="O318"/>
    <hyperlink r:id="rId237" location="page=1" ref="O319"/>
    <hyperlink r:id="rId238" location="page=1" ref="O320"/>
    <hyperlink r:id="rId239" location="page=1" ref="O321"/>
    <hyperlink r:id="rId240" location="page=1" ref="O322"/>
    <hyperlink r:id="rId241" location="page=1" ref="O323"/>
    <hyperlink r:id="rId242" ref="O324"/>
    <hyperlink r:id="rId243" ref="O325"/>
    <hyperlink r:id="rId244" ref="O326"/>
    <hyperlink r:id="rId245" ref="O327"/>
    <hyperlink r:id="rId246" ref="O330"/>
    <hyperlink r:id="rId247" ref="O331"/>
    <hyperlink r:id="rId248" ref="O332"/>
    <hyperlink r:id="rId249" ref="O333"/>
    <hyperlink r:id="rId250" ref="O334"/>
    <hyperlink r:id="rId251" ref="O335"/>
    <hyperlink r:id="rId252" ref="O336"/>
    <hyperlink r:id="rId253" ref="O337"/>
    <hyperlink r:id="rId254" ref="O338"/>
    <hyperlink r:id="rId255" ref="O339"/>
    <hyperlink r:id="rId256" ref="O340"/>
    <hyperlink r:id="rId257" ref="O341"/>
    <hyperlink r:id="rId258" ref="O342"/>
    <hyperlink r:id="rId259" ref="O343"/>
    <hyperlink r:id="rId260" ref="O344"/>
    <hyperlink r:id="rId261" ref="O345"/>
    <hyperlink r:id="rId262" ref="O346"/>
    <hyperlink r:id="rId263" ref="O347"/>
    <hyperlink r:id="rId264" ref="O348"/>
    <hyperlink r:id="rId265" ref="O349"/>
    <hyperlink r:id="rId266" ref="O350"/>
    <hyperlink r:id="rId267" ref="O351"/>
    <hyperlink r:id="rId268" ref="O352"/>
    <hyperlink r:id="rId269" ref="O353"/>
    <hyperlink r:id="rId270" ref="O354"/>
    <hyperlink r:id="rId271" ref="O355"/>
    <hyperlink r:id="rId272" ref="O356"/>
    <hyperlink r:id="rId273" ref="O357"/>
    <hyperlink r:id="rId274" ref="O358"/>
    <hyperlink r:id="rId275" ref="O359"/>
    <hyperlink r:id="rId276" ref="O360"/>
    <hyperlink r:id="rId277" ref="O361"/>
    <hyperlink r:id="rId278" ref="O362"/>
    <hyperlink r:id="rId279" ref="O363"/>
    <hyperlink r:id="rId280" ref="O365"/>
    <hyperlink r:id="rId281" ref="O366"/>
    <hyperlink r:id="rId282" ref="O369"/>
    <hyperlink r:id="rId283" ref="O370"/>
    <hyperlink r:id="rId284" ref="O371"/>
    <hyperlink r:id="rId285" ref="O372"/>
    <hyperlink r:id="rId286" ref="O373"/>
    <hyperlink r:id="rId287" ref="O374"/>
    <hyperlink r:id="rId288" ref="O375"/>
    <hyperlink r:id="rId289" ref="O376"/>
    <hyperlink r:id="rId290" location="page=1" ref="O377"/>
    <hyperlink r:id="rId291" ref="O378"/>
    <hyperlink r:id="rId292" ref="O379"/>
    <hyperlink r:id="rId293" ref="O380"/>
    <hyperlink r:id="rId294" ref="O381"/>
    <hyperlink r:id="rId295" ref="O382"/>
    <hyperlink r:id="rId296" ref="O383"/>
    <hyperlink r:id="rId297" ref="O384"/>
    <hyperlink r:id="rId298" ref="O385"/>
    <hyperlink r:id="rId299" ref="O386"/>
    <hyperlink r:id="rId300" ref="O387"/>
    <hyperlink r:id="rId301" ref="O388"/>
    <hyperlink r:id="rId302" ref="O389"/>
    <hyperlink r:id="rId303" location="page=1" ref="O390"/>
    <hyperlink r:id="rId304" location="page=1" ref="O391"/>
    <hyperlink r:id="rId305" location="page=1" ref="O392"/>
    <hyperlink r:id="rId306" location="page=1" ref="O393"/>
    <hyperlink r:id="rId307" location="page=1" ref="O394"/>
    <hyperlink r:id="rId308" location="page=1" ref="O395"/>
    <hyperlink r:id="rId309" ref="O396"/>
    <hyperlink r:id="rId310" ref="O397"/>
    <hyperlink r:id="rId311" ref="O398"/>
    <hyperlink r:id="rId312" ref="O399"/>
    <hyperlink r:id="rId313" location="page=1" ref="O400"/>
    <hyperlink r:id="rId314" location="page=1" ref="O401"/>
    <hyperlink r:id="rId315" location="page=1" ref="O402"/>
    <hyperlink r:id="rId316" location="page=1" ref="O403"/>
    <hyperlink r:id="rId317" ref="O404"/>
    <hyperlink r:id="rId318" ref="O405"/>
    <hyperlink r:id="rId319" ref="O406"/>
    <hyperlink r:id="rId320" ref="O407"/>
    <hyperlink r:id="rId321" ref="O408"/>
    <hyperlink r:id="rId322" ref="O409"/>
    <hyperlink r:id="rId323" ref="O410"/>
    <hyperlink r:id="rId324" ref="O411"/>
    <hyperlink r:id="rId325" ref="O412"/>
    <hyperlink r:id="rId326" ref="O413"/>
    <hyperlink r:id="rId327" ref="O414"/>
    <hyperlink r:id="rId328" ref="O415"/>
    <hyperlink r:id="rId329" ref="O416"/>
    <hyperlink r:id="rId330" ref="O417"/>
    <hyperlink r:id="rId331" ref="O418"/>
    <hyperlink r:id="rId332" ref="O419"/>
    <hyperlink r:id="rId333" ref="O420"/>
    <hyperlink r:id="rId334" ref="O421"/>
    <hyperlink r:id="rId335" ref="O422"/>
    <hyperlink r:id="rId336" ref="O423"/>
    <hyperlink r:id="rId337" ref="O424"/>
    <hyperlink r:id="rId338" ref="O425"/>
    <hyperlink r:id="rId339" ref="O426"/>
    <hyperlink r:id="rId340" ref="O427"/>
    <hyperlink r:id="rId341" ref="O428"/>
    <hyperlink r:id="rId342" ref="O429"/>
    <hyperlink r:id="rId343" ref="O430"/>
    <hyperlink r:id="rId344" ref="O431"/>
    <hyperlink r:id="rId345" ref="O432"/>
    <hyperlink r:id="rId346" ref="O433"/>
    <hyperlink r:id="rId347" ref="O434"/>
    <hyperlink r:id="rId348" ref="O435"/>
    <hyperlink r:id="rId349" ref="O436"/>
    <hyperlink r:id="rId350" ref="O437"/>
    <hyperlink r:id="rId351" ref="O438"/>
    <hyperlink r:id="rId352" ref="O439"/>
    <hyperlink r:id="rId353" location="page=1" ref="O441"/>
    <hyperlink r:id="rId354" location="page=1" ref="O442"/>
    <hyperlink r:id="rId355" location="page=1" ref="O443"/>
    <hyperlink r:id="rId356" location="page=1" ref="O444"/>
    <hyperlink r:id="rId357" location="page=1" ref="O445"/>
    <hyperlink r:id="rId358" location="page=1" ref="O446"/>
    <hyperlink r:id="rId359" location="page=1" ref="O447"/>
    <hyperlink r:id="rId360" location="page=1" ref="O448"/>
    <hyperlink r:id="rId361" location="page=1" ref="O449"/>
    <hyperlink r:id="rId362" ref="O450"/>
    <hyperlink r:id="rId363" ref="O451"/>
    <hyperlink r:id="rId364" ref="O452"/>
    <hyperlink r:id="rId365" ref="O453"/>
    <hyperlink r:id="rId366" ref="O454"/>
    <hyperlink r:id="rId367" ref="O455"/>
    <hyperlink r:id="rId368" ref="O456"/>
    <hyperlink r:id="rId369" ref="O457"/>
    <hyperlink r:id="rId370" ref="O458"/>
    <hyperlink r:id="rId371" ref="O459"/>
    <hyperlink r:id="rId372" ref="O460"/>
    <hyperlink r:id="rId373" ref="O461"/>
    <hyperlink r:id="rId374" ref="O462"/>
    <hyperlink r:id="rId375" ref="O463"/>
    <hyperlink r:id="rId376" ref="O464"/>
    <hyperlink r:id="rId377" location="page=1" ref="O465"/>
    <hyperlink r:id="rId378" ref="O466"/>
    <hyperlink r:id="rId379" ref="O467"/>
    <hyperlink r:id="rId380" ref="O468"/>
    <hyperlink r:id="rId381" ref="O469"/>
    <hyperlink r:id="rId382" ref="O470"/>
    <hyperlink r:id="rId383" ref="O471"/>
    <hyperlink r:id="rId384" ref="O472"/>
    <hyperlink r:id="rId385" ref="O473"/>
    <hyperlink r:id="rId386" ref="O474"/>
    <hyperlink r:id="rId387" ref="O475"/>
    <hyperlink r:id="rId388" ref="O476"/>
    <hyperlink r:id="rId389" location="page=1" ref="O477"/>
    <hyperlink r:id="rId390" location="page=1" ref="O478"/>
    <hyperlink r:id="rId391" location="page=1" ref="O479"/>
    <hyperlink r:id="rId392" location="page=1" ref="O480"/>
    <hyperlink r:id="rId393" location="page=1" ref="O481"/>
    <hyperlink r:id="rId394" location="page=1" ref="O482"/>
    <hyperlink r:id="rId395" location="page=1" ref="O483"/>
    <hyperlink r:id="rId396" location="page=1" ref="O484"/>
    <hyperlink r:id="rId397" location="page=1" ref="O485"/>
    <hyperlink r:id="rId398" location="page=1" ref="O486"/>
    <hyperlink r:id="rId399" location="page=1" ref="O487"/>
    <hyperlink r:id="rId400" location="page=1" ref="O488"/>
    <hyperlink r:id="rId401" location="page=1" ref="O489"/>
    <hyperlink r:id="rId402" location="page=1" ref="O490"/>
    <hyperlink r:id="rId403" location="page=1" ref="O491"/>
    <hyperlink r:id="rId404" location="page=1" ref="O492"/>
    <hyperlink r:id="rId405" location="page=1" ref="O493"/>
    <hyperlink r:id="rId406" location="page=1" ref="O494"/>
    <hyperlink r:id="rId407" location="page=1" ref="O495"/>
    <hyperlink r:id="rId408" location="page=1" ref="O496"/>
    <hyperlink r:id="rId409" location="page=1" ref="O497"/>
    <hyperlink r:id="rId410" ref="O498"/>
    <hyperlink r:id="rId411" ref="O499"/>
    <hyperlink r:id="rId412" ref="O500"/>
    <hyperlink r:id="rId413" ref="O501"/>
    <hyperlink r:id="rId414" ref="O502"/>
    <hyperlink r:id="rId415" ref="O503"/>
    <hyperlink r:id="rId416" ref="O504"/>
    <hyperlink r:id="rId417" ref="O505"/>
    <hyperlink r:id="rId418" ref="O506"/>
    <hyperlink r:id="rId419" ref="O507"/>
    <hyperlink r:id="rId420" ref="O508"/>
    <hyperlink r:id="rId421" ref="O509"/>
    <hyperlink r:id="rId422" ref="O510"/>
    <hyperlink r:id="rId423" location="page=1" ref="O513"/>
    <hyperlink r:id="rId424" location="page=1" ref="O514"/>
    <hyperlink r:id="rId425" location="page=1" ref="O515"/>
    <hyperlink r:id="rId426" location="page=1" ref="O516"/>
    <hyperlink r:id="rId427" location="page=1" ref="O517"/>
    <hyperlink r:id="rId428" ref="O518"/>
    <hyperlink r:id="rId429" ref="O519"/>
    <hyperlink r:id="rId430" ref="O521"/>
    <hyperlink r:id="rId431" ref="O522"/>
    <hyperlink r:id="rId432" ref="O523"/>
    <hyperlink r:id="rId433" ref="O524"/>
    <hyperlink r:id="rId434" location="page=1" ref="O525"/>
    <hyperlink r:id="rId435" ref="O526"/>
    <hyperlink r:id="rId436" ref="O527"/>
    <hyperlink r:id="rId437" location="page=1" ref="O528"/>
    <hyperlink r:id="rId438" location="page=1" ref="O529"/>
    <hyperlink r:id="rId439" location="page=1" ref="O530"/>
    <hyperlink r:id="rId440" location="page=1" ref="O531"/>
    <hyperlink r:id="rId441" location="page=1" ref="O532"/>
    <hyperlink r:id="rId442" location="page=1" ref="O533"/>
    <hyperlink r:id="rId443" location="page=1" ref="O534"/>
    <hyperlink r:id="rId444" location="page=1" ref="O535"/>
    <hyperlink r:id="rId445" location="page=1" ref="O536"/>
    <hyperlink r:id="rId446" location="page=1" ref="O537"/>
    <hyperlink r:id="rId447" ref="O540"/>
    <hyperlink r:id="rId448" ref="O541"/>
    <hyperlink r:id="rId449" ref="O542"/>
    <hyperlink r:id="rId450" ref="O543"/>
    <hyperlink r:id="rId451" ref="O544"/>
    <hyperlink r:id="rId452" ref="O545"/>
    <hyperlink r:id="rId453" ref="O546"/>
    <hyperlink r:id="rId454" ref="O550"/>
    <hyperlink r:id="rId455" ref="O554"/>
    <hyperlink r:id="rId456" ref="O555"/>
    <hyperlink r:id="rId457" ref="O558"/>
    <hyperlink r:id="rId458" ref="O559"/>
    <hyperlink r:id="rId459" ref="O560"/>
    <hyperlink r:id="rId460" ref="O563"/>
    <hyperlink r:id="rId461" ref="O567"/>
    <hyperlink r:id="rId462" ref="O571"/>
    <hyperlink r:id="rId463" ref="O573"/>
    <hyperlink r:id="rId464" ref="O574"/>
    <hyperlink r:id="rId465" ref="O575"/>
    <hyperlink r:id="rId466" ref="O576"/>
    <hyperlink r:id="rId467" ref="O577"/>
    <hyperlink r:id="rId468" ref="O578"/>
    <hyperlink r:id="rId469" ref="O579"/>
    <hyperlink r:id="rId470" ref="O580"/>
    <hyperlink r:id="rId471" ref="O581"/>
    <hyperlink r:id="rId472" ref="O582"/>
    <hyperlink r:id="rId473" ref="O583"/>
    <hyperlink r:id="rId474" location="page=1" ref="O584"/>
    <hyperlink r:id="rId475" location="page=1" ref="O585"/>
    <hyperlink r:id="rId476" location="page=1" ref="O586"/>
    <hyperlink r:id="rId477" ref="O587"/>
    <hyperlink r:id="rId478" ref="O588"/>
    <hyperlink r:id="rId479" ref="O589"/>
    <hyperlink r:id="rId480" ref="O590"/>
    <hyperlink r:id="rId481" ref="O591"/>
    <hyperlink r:id="rId482" ref="O592"/>
    <hyperlink r:id="rId483" ref="O593"/>
    <hyperlink r:id="rId484" location="page=1" ref="O594"/>
    <hyperlink r:id="rId485" location="page=1" ref="O595"/>
    <hyperlink r:id="rId486" location="page=1" ref="O596"/>
    <hyperlink r:id="rId487" location="page=1" ref="O597"/>
    <hyperlink r:id="rId488" location="page=1" ref="O598"/>
    <hyperlink r:id="rId489" location="page=1" ref="O599"/>
    <hyperlink r:id="rId490" location="page=1" ref="O600"/>
    <hyperlink r:id="rId491" location="page=1" ref="O601"/>
    <hyperlink r:id="rId492" location="page=1" ref="O602"/>
    <hyperlink r:id="rId493" ref="O603"/>
    <hyperlink r:id="rId494" location="page=1" ref="O604"/>
    <hyperlink r:id="rId495" location="page=1" ref="O605"/>
    <hyperlink r:id="rId496" location="page=1" ref="O606"/>
    <hyperlink r:id="rId497" location="page=1" ref="O607"/>
    <hyperlink r:id="rId498" location="page=1" ref="O608"/>
    <hyperlink r:id="rId499" location="page=1" ref="O609"/>
    <hyperlink r:id="rId500" location="page=1" ref="O610"/>
    <hyperlink r:id="rId501" location="page=1" ref="O611"/>
    <hyperlink r:id="rId502" location="page=1" ref="O612"/>
    <hyperlink r:id="rId503" location="page=1" ref="O613"/>
    <hyperlink r:id="rId504" ref="O614"/>
    <hyperlink r:id="rId505" ref="O615"/>
    <hyperlink r:id="rId506" ref="O616"/>
    <hyperlink r:id="rId507" location="page=1" ref="O617"/>
    <hyperlink r:id="rId508" location="page=1" ref="O618"/>
    <hyperlink r:id="rId509" location="page=1" ref="O619"/>
    <hyperlink r:id="rId510" location="page=1" ref="O620"/>
    <hyperlink r:id="rId511" location="page=1" ref="O621"/>
    <hyperlink r:id="rId512" location="page=1" ref="O622"/>
    <hyperlink r:id="rId513" ref="O623"/>
    <hyperlink r:id="rId514" location="page=1" ref="O624"/>
    <hyperlink r:id="rId515" location="page=1" ref="O625"/>
    <hyperlink r:id="rId516" location="page=1" ref="O626"/>
    <hyperlink r:id="rId517" location="page=1" ref="O627"/>
    <hyperlink r:id="rId518" location="page=1" ref="O628"/>
    <hyperlink r:id="rId519" location="page=1" ref="O629"/>
    <hyperlink r:id="rId520" ref="O630"/>
    <hyperlink r:id="rId521" ref="O631"/>
    <hyperlink r:id="rId522" ref="O632"/>
    <hyperlink r:id="rId523" ref="O633"/>
    <hyperlink r:id="rId524" location="page=1" ref="O634"/>
    <hyperlink r:id="rId525" ref="O636"/>
    <hyperlink r:id="rId526" ref="O637"/>
    <hyperlink r:id="rId527" ref="O638"/>
    <hyperlink r:id="rId528" ref="O639"/>
    <hyperlink r:id="rId529" ref="O640"/>
    <hyperlink r:id="rId530" ref="O641"/>
    <hyperlink r:id="rId531" ref="O642"/>
    <hyperlink r:id="rId532" ref="O643"/>
    <hyperlink r:id="rId533" ref="O644"/>
    <hyperlink r:id="rId534" ref="O645"/>
    <hyperlink r:id="rId535" ref="O646"/>
    <hyperlink r:id="rId536" location="page=1" ref="O647"/>
    <hyperlink r:id="rId537" location="page=1" ref="O648"/>
    <hyperlink r:id="rId538" ref="O649"/>
    <hyperlink r:id="rId539" ref="O650"/>
    <hyperlink r:id="rId540" ref="O651"/>
    <hyperlink r:id="rId541" ref="O652"/>
    <hyperlink r:id="rId542" ref="O653"/>
    <hyperlink r:id="rId543" ref="O654"/>
    <hyperlink r:id="rId544" ref="O655"/>
    <hyperlink r:id="rId545" ref="O663"/>
    <hyperlink r:id="rId546" ref="O664"/>
    <hyperlink r:id="rId547" ref="O665"/>
    <hyperlink r:id="rId548" ref="O666"/>
    <hyperlink r:id="rId549" ref="O667"/>
    <hyperlink r:id="rId550" ref="O668"/>
    <hyperlink r:id="rId551" ref="O669"/>
    <hyperlink r:id="rId552" ref="O670"/>
    <hyperlink r:id="rId553" ref="O671"/>
    <hyperlink r:id="rId554" location="page=1" ref="O672"/>
    <hyperlink r:id="rId555" location="page=1" ref="O673"/>
    <hyperlink r:id="rId556" ref="O675"/>
    <hyperlink r:id="rId557" ref="O676"/>
    <hyperlink r:id="rId558" ref="O677"/>
    <hyperlink r:id="rId559" ref="O678"/>
    <hyperlink r:id="rId560" ref="O680"/>
    <hyperlink r:id="rId561" ref="O681"/>
    <hyperlink r:id="rId562" ref="O682"/>
    <hyperlink r:id="rId563" ref="O683"/>
    <hyperlink r:id="rId564" ref="O684"/>
    <hyperlink r:id="rId565" ref="O685"/>
    <hyperlink r:id="rId566" ref="O686"/>
    <hyperlink r:id="rId567" location="page=1" ref="O687"/>
    <hyperlink r:id="rId568" location="page=1" ref="O688"/>
    <hyperlink r:id="rId569" ref="O690"/>
    <hyperlink r:id="rId570" ref="O691"/>
    <hyperlink r:id="rId571" ref="O693"/>
    <hyperlink r:id="rId572" ref="O694"/>
    <hyperlink r:id="rId573" ref="O695"/>
    <hyperlink r:id="rId574" location="page=1" ref="O696"/>
    <hyperlink r:id="rId575" location="page=1" ref="O697"/>
    <hyperlink r:id="rId576" location="page=1" ref="O698"/>
    <hyperlink r:id="rId577" ref="O699"/>
    <hyperlink r:id="rId578" ref="O700"/>
    <hyperlink r:id="rId579" ref="O701"/>
    <hyperlink r:id="rId580" ref="O705"/>
    <hyperlink r:id="rId581" location="page=1" ref="O706"/>
    <hyperlink r:id="rId582" ref="O707"/>
    <hyperlink r:id="rId583" ref="O708"/>
    <hyperlink r:id="rId584" location="page=1" ref="O711"/>
    <hyperlink r:id="rId585" ref="O712"/>
    <hyperlink r:id="rId586" ref="O713"/>
    <hyperlink r:id="rId587" ref="O714"/>
    <hyperlink r:id="rId588" ref="O715"/>
    <hyperlink r:id="rId589" ref="O716"/>
    <hyperlink r:id="rId590" ref="O717"/>
    <hyperlink r:id="rId591" ref="O722"/>
    <hyperlink r:id="rId592" ref="O723"/>
    <hyperlink r:id="rId593" ref="O724"/>
    <hyperlink r:id="rId594" ref="O725"/>
    <hyperlink r:id="rId595" ref="O726"/>
    <hyperlink r:id="rId596" ref="O727"/>
    <hyperlink r:id="rId597" ref="O728"/>
    <hyperlink r:id="rId598" ref="O730"/>
    <hyperlink r:id="rId599" location="page=1" ref="O732"/>
    <hyperlink r:id="rId600" location="page=1" ref="O733"/>
    <hyperlink r:id="rId601" ref="O734"/>
    <hyperlink r:id="rId602" ref="O735"/>
    <hyperlink r:id="rId603" ref="O737"/>
    <hyperlink r:id="rId604" ref="O738"/>
    <hyperlink r:id="rId605" ref="O739"/>
    <hyperlink r:id="rId606" location="page=1" ref="O740"/>
    <hyperlink r:id="rId607" location="page=1" ref="O741"/>
    <hyperlink r:id="rId608" ref="O742"/>
    <hyperlink r:id="rId609" ref="O743"/>
    <hyperlink r:id="rId610" ref="O744"/>
    <hyperlink r:id="rId611" ref="O745"/>
    <hyperlink r:id="rId612" ref="O746"/>
    <hyperlink r:id="rId613" ref="O747"/>
    <hyperlink r:id="rId614" ref="O748"/>
    <hyperlink r:id="rId615" ref="O749"/>
    <hyperlink r:id="rId616" ref="O750"/>
    <hyperlink r:id="rId617" ref="O751"/>
    <hyperlink r:id="rId618" ref="O752"/>
    <hyperlink r:id="rId619" ref="O753"/>
    <hyperlink r:id="rId620" ref="O754"/>
    <hyperlink r:id="rId621" ref="O755"/>
    <hyperlink r:id="rId622" ref="O756"/>
    <hyperlink r:id="rId623" ref="O757"/>
    <hyperlink r:id="rId624" ref="O758"/>
    <hyperlink r:id="rId625" ref="O759"/>
    <hyperlink r:id="rId626" ref="O760"/>
    <hyperlink r:id="rId627" ref="O761"/>
    <hyperlink r:id="rId628" ref="O762"/>
    <hyperlink r:id="rId629" ref="O763"/>
    <hyperlink r:id="rId630" ref="O764"/>
    <hyperlink r:id="rId631" ref="O765"/>
    <hyperlink r:id="rId632" ref="O766"/>
    <hyperlink r:id="rId633" ref="O767"/>
    <hyperlink r:id="rId634" ref="O768"/>
    <hyperlink r:id="rId635" ref="O769"/>
    <hyperlink r:id="rId636" ref="O770"/>
    <hyperlink r:id="rId637" ref="O771"/>
    <hyperlink r:id="rId638" ref="O772"/>
    <hyperlink r:id="rId639" ref="O773"/>
    <hyperlink r:id="rId640" ref="O774"/>
    <hyperlink r:id="rId641" ref="O775"/>
    <hyperlink r:id="rId642" ref="O776"/>
    <hyperlink r:id="rId643" ref="O777"/>
    <hyperlink r:id="rId644" ref="O778"/>
    <hyperlink r:id="rId645" ref="O779"/>
    <hyperlink r:id="rId646" ref="O780"/>
    <hyperlink r:id="rId647" ref="O781"/>
    <hyperlink r:id="rId648" ref="O782"/>
    <hyperlink r:id="rId649" ref="O783"/>
    <hyperlink r:id="rId650" ref="O784"/>
    <hyperlink r:id="rId651" ref="O785"/>
    <hyperlink r:id="rId652" ref="O786"/>
    <hyperlink r:id="rId653" ref="O787"/>
    <hyperlink r:id="rId654" ref="O788"/>
    <hyperlink r:id="rId655" ref="O789"/>
    <hyperlink r:id="rId656" ref="O790"/>
    <hyperlink r:id="rId657" ref="O791"/>
    <hyperlink r:id="rId658" ref="O792"/>
    <hyperlink r:id="rId659" location="page=1" ref="O793"/>
    <hyperlink r:id="rId660" location="page=1" ref="O794"/>
    <hyperlink r:id="rId661" ref="O795"/>
    <hyperlink r:id="rId662" ref="O796"/>
    <hyperlink r:id="rId663" ref="O797"/>
    <hyperlink r:id="rId664" ref="O798"/>
    <hyperlink r:id="rId665" ref="O799"/>
    <hyperlink r:id="rId666" ref="O800"/>
    <hyperlink r:id="rId667" ref="O801"/>
    <hyperlink r:id="rId668" ref="O802"/>
    <hyperlink r:id="rId669" ref="O803"/>
    <hyperlink r:id="rId670" ref="O804"/>
    <hyperlink r:id="rId671" ref="O805"/>
    <hyperlink r:id="rId672" ref="O806"/>
    <hyperlink r:id="rId673" ref="O807"/>
    <hyperlink r:id="rId674" ref="O808"/>
    <hyperlink r:id="rId675" ref="O809"/>
    <hyperlink r:id="rId676" ref="O810"/>
    <hyperlink r:id="rId677" ref="O811"/>
    <hyperlink r:id="rId678" ref="O812"/>
    <hyperlink r:id="rId679" ref="O813"/>
    <hyperlink r:id="rId680" ref="O814"/>
    <hyperlink r:id="rId681" ref="O815"/>
    <hyperlink r:id="rId682" ref="O816"/>
    <hyperlink r:id="rId683" ref="O817"/>
    <hyperlink r:id="rId684" ref="O818"/>
    <hyperlink r:id="rId685" ref="O819"/>
    <hyperlink r:id="rId686" ref="O820"/>
    <hyperlink r:id="rId687" ref="O821"/>
    <hyperlink r:id="rId688" ref="O822"/>
    <hyperlink r:id="rId689" ref="O823"/>
    <hyperlink r:id="rId690" ref="O824"/>
    <hyperlink r:id="rId691" location="page=1" ref="O825"/>
    <hyperlink r:id="rId692" location="page=1" ref="O826"/>
    <hyperlink r:id="rId693" location="page=1" ref="O827"/>
  </hyperlinks>
  <drawing r:id="rId69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2" width="9.75"/>
    <col customWidth="1" min="3" max="3" width="8.0"/>
    <col customWidth="1" min="4" max="5" width="13.5"/>
    <col customWidth="1" min="6" max="6" width="7.5"/>
    <col customWidth="1" min="7" max="19" width="5.25"/>
    <col customWidth="1" min="20" max="21" width="9.5"/>
    <col customWidth="1" min="22" max="22" width="8.25"/>
    <col customWidth="1" min="23" max="23" width="9.38"/>
    <col customWidth="1" min="24" max="24" width="8.25"/>
    <col customWidth="1" min="25" max="25" width="6.13"/>
    <col customWidth="1" min="26" max="26" width="36.75"/>
    <col customWidth="1" min="27" max="27" width="21.0"/>
    <col customWidth="1" min="28" max="28" width="11.75"/>
    <col customWidth="1" min="29" max="29" width="16.5"/>
    <col customWidth="1" min="30" max="30" width="23.5"/>
    <col customWidth="1" min="31" max="31" width="11.63"/>
    <col customWidth="1" min="32" max="33" width="13.25"/>
    <col customWidth="1" min="34" max="34" width="14.25"/>
    <col customWidth="1" min="35" max="41" width="13.25"/>
    <col customWidth="1" min="42" max="44" width="11.5"/>
    <col customWidth="1" min="45" max="50" width="16.63"/>
    <col customWidth="1" min="51" max="51" width="21.63"/>
    <col customWidth="1" min="52" max="52" width="28.25"/>
    <col customWidth="1" min="53" max="53" width="34.0"/>
    <col customWidth="1" min="54" max="55" width="17.13"/>
    <col customWidth="1" min="56" max="56" width="45.75"/>
    <col customWidth="1" min="57" max="57" width="18.75"/>
    <col customWidth="1" min="58" max="59" width="26.5"/>
    <col customWidth="1" min="60" max="60" width="18.75"/>
    <col customWidth="1" min="61" max="61" width="20.25"/>
    <col customWidth="1" min="62" max="63" width="26.5"/>
    <col customWidth="1" min="64" max="65" width="14.13"/>
    <col customWidth="1" min="66" max="67" width="26.5"/>
    <col customWidth="1" min="68" max="68" width="9.88"/>
    <col customWidth="1" min="69" max="69" width="39.0"/>
    <col customWidth="1" min="70" max="71" width="19.5"/>
    <col customWidth="1" min="72" max="75" width="9.88"/>
    <col customWidth="1" min="76" max="76" width="23.38"/>
  </cols>
  <sheetData>
    <row r="1">
      <c r="A1" s="53" t="str">
        <f t="shared" ref="A1:A198" si="1">AC:AC</f>
        <v>Node ID</v>
      </c>
      <c r="B1" s="56" t="str">
        <f>IFERROR(__xludf.DUMMYFUNCTION("IMPORTRANGE(Settings!$A$2,""wbCircuits!A1:X1"")"),"Circuit ID")</f>
        <v>Circuit ID</v>
      </c>
      <c r="C1" s="58" t="str">
        <f>IFERROR(__xludf.DUMMYFUNCTION("""COMPUTED_VALUE"""),"Source of ID")</f>
        <v>Source of ID</v>
      </c>
      <c r="D1" s="58" t="str">
        <f>IFERROR(__xludf.DUMMYFUNCTION("""COMPUTED_VALUE"""),"Names")</f>
        <v>Names</v>
      </c>
      <c r="E1" s="58" t="str">
        <f>IFERROR(__xludf.DUMMYFUNCTION("""COMPUTED_VALUE"""),"DHBA: graph_order")</f>
        <v>DHBA: graph_order</v>
      </c>
      <c r="F1" s="58" t="str">
        <f>IFERROR(__xludf.DUMMYFUNCTION("""COMPUTED_VALUE"""),"DHBA: name")</f>
        <v>DHBA: name</v>
      </c>
      <c r="G1" s="58" t="str">
        <f>IFERROR(__xludf.DUMMYFUNCTION("""COMPUTED_VALUE"""),"DHBA: Lv.2")</f>
        <v>DHBA: Lv.2</v>
      </c>
      <c r="H1" s="58" t="str">
        <f>IFERROR(__xludf.DUMMYFUNCTION("""COMPUTED_VALUE"""),"DHBA: Lv.3")</f>
        <v>DHBA: Lv.3</v>
      </c>
      <c r="I1" s="58" t="str">
        <f>IFERROR(__xludf.DUMMYFUNCTION("""COMPUTED_VALUE"""),"DHBA: Lv.4")</f>
        <v>DHBA: Lv.4</v>
      </c>
      <c r="J1" s="58" t="str">
        <f>IFERROR(__xludf.DUMMYFUNCTION("""COMPUTED_VALUE"""),"DHBA: Lv.5")</f>
        <v>DHBA: Lv.5</v>
      </c>
      <c r="K1" s="58" t="str">
        <f>IFERROR(__xludf.DUMMYFUNCTION("""COMPUTED_VALUE"""),"DHBA: Lv.6")</f>
        <v>DHBA: Lv.6</v>
      </c>
      <c r="L1" s="58" t="str">
        <f>IFERROR(__xludf.DUMMYFUNCTION("""COMPUTED_VALUE"""),"DHBA: Lv.7")</f>
        <v>DHBA: Lv.7</v>
      </c>
      <c r="M1" s="58" t="str">
        <f>IFERROR(__xludf.DUMMYFUNCTION("""COMPUTED_VALUE"""),"DHBA: Lv.8")</f>
        <v>DHBA: Lv.8</v>
      </c>
      <c r="N1" s="58" t="str">
        <f>IFERROR(__xludf.DUMMYFUNCTION("""COMPUTED_VALUE"""),"DHBA: Lv.9")</f>
        <v>DHBA: Lv.9</v>
      </c>
      <c r="O1" s="58" t="str">
        <f>IFERROR(__xludf.DUMMYFUNCTION("""COMPUTED_VALUE"""),"DHBA: Lv.10")</f>
        <v>DHBA: Lv.10</v>
      </c>
      <c r="P1" s="58" t="str">
        <f>IFERROR(__xludf.DUMMYFUNCTION("""COMPUTED_VALUE"""),"DHBA: Lv.11")</f>
        <v>DHBA: Lv.11</v>
      </c>
      <c r="Q1" s="58" t="str">
        <f>IFERROR(__xludf.DUMMYFUNCTION("""COMPUTED_VALUE"""),"DHBA: Lv.12")</f>
        <v>DHBA: Lv.12</v>
      </c>
      <c r="R1" s="58" t="str">
        <f>IFERROR(__xludf.DUMMYFUNCTION("""COMPUTED_VALUE"""),"DHBA: Lv.13")</f>
        <v>DHBA: Lv.13</v>
      </c>
      <c r="S1" s="58" t="str">
        <f>IFERROR(__xludf.DUMMYFUNCTION("""COMPUTED_VALUE"""),"DHBA: Lv.14")</f>
        <v>DHBA: Lv.14</v>
      </c>
      <c r="T1" s="58" t="str">
        <f>IFERROR(__xludf.DUMMYFUNCTION("""COMPUTED_VALUE"""),"Sub-Circuits")</f>
        <v>Sub-Circuits</v>
      </c>
      <c r="U1" s="58" t="str">
        <f>IFERROR(__xludf.DUMMYFUNCTION("""COMPUTED_VALUE"""),"Super Class ")</f>
        <v>Super Class </v>
      </c>
      <c r="V1" s="58" t="str">
        <f>IFERROR(__xludf.DUMMYFUNCTION("""COMPUTED_VALUE"""),"Uniform")</f>
        <v>Uniform</v>
      </c>
      <c r="W1" s="58" t="str">
        <f>IFERROR(__xludf.DUMMYFUNCTION("""COMPUTED_VALUE"""),"Transmitter")</f>
        <v>Transmitter</v>
      </c>
      <c r="X1" s="58" t="str">
        <f>IFERROR(__xludf.DUMMYFUNCTION("""COMPUTED_VALUE"""),"Modulation Type")</f>
        <v>Modulation Type</v>
      </c>
      <c r="Y1" s="58" t="str">
        <f>IFERROR(__xludf.DUMMYFUNCTION("""COMPUTED_VALUE"""),"Size")</f>
        <v>Size</v>
      </c>
      <c r="Z1" s="58" t="s">
        <v>15</v>
      </c>
      <c r="AA1" s="58" t="s">
        <v>16</v>
      </c>
      <c r="AB1" s="66" t="s">
        <v>17</v>
      </c>
      <c r="AC1" s="69" t="s">
        <v>18</v>
      </c>
      <c r="AD1" s="70" t="s">
        <v>19</v>
      </c>
      <c r="AE1" s="71" t="s">
        <v>20</v>
      </c>
      <c r="AF1" s="73" t="s">
        <v>21</v>
      </c>
      <c r="AG1" s="74" t="s">
        <v>22</v>
      </c>
      <c r="AH1" s="75" t="s">
        <v>23</v>
      </c>
      <c r="AI1" s="74" t="s">
        <v>24</v>
      </c>
      <c r="AJ1" s="74" t="s">
        <v>25</v>
      </c>
      <c r="AK1" s="77" t="s">
        <v>26</v>
      </c>
      <c r="AL1" s="79" t="s">
        <v>27</v>
      </c>
      <c r="AM1" s="79" t="s">
        <v>28</v>
      </c>
      <c r="AN1" s="79" t="s">
        <v>29</v>
      </c>
      <c r="AO1" s="79" t="s">
        <v>30</v>
      </c>
      <c r="AP1" s="81" t="s">
        <v>31</v>
      </c>
      <c r="AQ1" s="81" t="s">
        <v>32</v>
      </c>
      <c r="AR1" s="81" t="s">
        <v>33</v>
      </c>
      <c r="AS1" s="84" t="s">
        <v>34</v>
      </c>
      <c r="AT1" s="84" t="s">
        <v>35</v>
      </c>
      <c r="AU1" s="84" t="s">
        <v>36</v>
      </c>
      <c r="AV1" s="84" t="s">
        <v>37</v>
      </c>
      <c r="AW1" s="84" t="s">
        <v>38</v>
      </c>
      <c r="AX1" s="85" t="s">
        <v>39</v>
      </c>
      <c r="AY1" s="74" t="s">
        <v>40</v>
      </c>
      <c r="AZ1" s="74" t="s">
        <v>41</v>
      </c>
      <c r="BA1" s="88" t="s">
        <v>42</v>
      </c>
      <c r="BB1" s="90" t="s">
        <v>43</v>
      </c>
      <c r="BC1" s="88" t="s">
        <v>44</v>
      </c>
      <c r="BD1" s="91" t="s">
        <v>45</v>
      </c>
      <c r="BE1" s="90" t="s">
        <v>46</v>
      </c>
      <c r="BF1" s="92" t="s">
        <v>47</v>
      </c>
      <c r="BG1" s="93" t="s">
        <v>48</v>
      </c>
      <c r="BH1" s="90" t="s">
        <v>49</v>
      </c>
      <c r="BI1" s="88" t="s">
        <v>50</v>
      </c>
      <c r="BJ1" s="90" t="s">
        <v>51</v>
      </c>
      <c r="BK1" s="94" t="s">
        <v>52</v>
      </c>
      <c r="BL1" s="90" t="s">
        <v>53</v>
      </c>
      <c r="BM1" s="96" t="s">
        <v>54</v>
      </c>
      <c r="BN1" s="96" t="s">
        <v>55</v>
      </c>
      <c r="BO1" s="98" t="s">
        <v>56</v>
      </c>
      <c r="BP1" s="99" t="s">
        <v>57</v>
      </c>
      <c r="BQ1" s="99" t="s">
        <v>58</v>
      </c>
      <c r="BR1" s="100" t="s">
        <v>59</v>
      </c>
      <c r="BS1" s="100" t="s">
        <v>60</v>
      </c>
      <c r="BT1" s="100" t="s">
        <v>61</v>
      </c>
      <c r="BU1" s="100" t="s">
        <v>62</v>
      </c>
      <c r="BV1" s="102" t="s">
        <v>63</v>
      </c>
      <c r="BW1" s="102" t="s">
        <v>64</v>
      </c>
      <c r="BX1" s="104" t="s">
        <v>65</v>
      </c>
    </row>
    <row r="2">
      <c r="A2" s="106" t="str">
        <f t="shared" si="1"/>
        <v/>
      </c>
      <c r="B2" s="108" t="str">
        <f t="array" ref="B2">IF(ISBLANK($AE2), "-",INDEX(Circuits!A:A,SUMPRODUCT(EXACT($AE2,Circuits!$A:$A)*ROW(Circuits!$A:$A))))</f>
        <v>-</v>
      </c>
      <c r="C2" s="108" t="str">
        <f t="array" ref="C2">IF(ISBLANK($AE2), "-",INDEX(Circuits!B:B,SUMPRODUCT(EXACT($AE2,Circuits!$A:$A)*ROW(Circuits!$A:$A))))</f>
        <v>-</v>
      </c>
      <c r="D2" s="108" t="str">
        <f t="array" ref="D2">IF(ISBLANK($AE2), "-",INDEX(Circuits!C:C,SUMPRODUCT(EXACT($AE2,Circuits!$A:$A)*ROW(Circuits!$A:$A))))</f>
        <v>-</v>
      </c>
      <c r="E2" s="108" t="str">
        <f t="array" ref="E2">IF(ISBLANK($AE2), "-",INDEX(Circuits!D:D,SUMPRODUCT(EXACT($AE2,Circuits!$A:$A)*ROW(Circuits!$A:$A))))</f>
        <v>-</v>
      </c>
      <c r="F2" s="108" t="str">
        <f t="array" ref="F2">IF(ISBLANK($AE2), "-",INDEX(Circuits!E:E,SUMPRODUCT(EXACT($AE2,Circuits!$A:$A)*ROW(Circuits!$A:$A))))</f>
        <v>-</v>
      </c>
      <c r="G2" s="108" t="str">
        <f t="array" ref="G2">IF(ISBLANK($AE2), "-",INDEX(Circuits!F:F,SUMPRODUCT(EXACT($AE2,Circuits!$A:$A)*ROW(Circuits!$A:$A))))</f>
        <v>-</v>
      </c>
      <c r="H2" s="108" t="str">
        <f t="array" ref="H2">IF(ISBLANK($AE2), "-",INDEX(Circuits!G:G,SUMPRODUCT(EXACT($AE2,Circuits!$A:$A)*ROW(Circuits!$A:$A))))</f>
        <v>-</v>
      </c>
      <c r="I2" s="108" t="str">
        <f t="array" ref="I2">IF(ISBLANK($AE2), "-",INDEX(Circuits!H:H,SUMPRODUCT(EXACT($AE2,Circuits!$A:$A)*ROW(Circuits!$A:$A))))</f>
        <v>-</v>
      </c>
      <c r="J2" s="108" t="str">
        <f t="array" ref="J2">IF(ISBLANK($AE2), "-",INDEX(Circuits!I:I,SUMPRODUCT(EXACT($AE2,Circuits!$A:$A)*ROW(Circuits!$A:$A))))</f>
        <v>-</v>
      </c>
      <c r="K2" s="108" t="str">
        <f t="array" ref="K2">IF(ISBLANK($AE2), "-",INDEX(Circuits!J:J,SUMPRODUCT(EXACT($AE2,Circuits!$A:$A)*ROW(Circuits!$A:$A))))</f>
        <v>-</v>
      </c>
      <c r="L2" s="108" t="str">
        <f t="array" ref="L2">IF(ISBLANK($AE2), "-",INDEX(Circuits!K:K,SUMPRODUCT(EXACT($AE2,Circuits!$A:$A)*ROW(Circuits!$A:$A))))</f>
        <v>-</v>
      </c>
      <c r="M2" s="108" t="str">
        <f t="array" ref="M2">IF(ISBLANK($AE2), "-",INDEX(Circuits!L:L,SUMPRODUCT(EXACT($AE2,Circuits!$A:$A)*ROW(Circuits!$A:$A))))</f>
        <v>-</v>
      </c>
      <c r="N2" s="108" t="str">
        <f t="array" ref="N2">IF(ISBLANK($AE2), "-",INDEX(Circuits!M:M,SUMPRODUCT(EXACT($AE2,Circuits!$A:$A)*ROW(Circuits!$A:$A))))</f>
        <v>-</v>
      </c>
      <c r="O2" s="108" t="str">
        <f t="array" ref="O2">IF(ISBLANK($AE2), "-",INDEX(Circuits!N:N,SUMPRODUCT(EXACT($AE2,Circuits!$A:$A)*ROW(Circuits!$A:$A))))</f>
        <v>-</v>
      </c>
      <c r="P2" s="108" t="str">
        <f t="array" ref="P2">IF(ISBLANK($AE2), "-",INDEX(Circuits!O:O,SUMPRODUCT(EXACT($AE2,Circuits!$A:$A)*ROW(Circuits!$A:$A))))</f>
        <v>-</v>
      </c>
      <c r="Q2" s="108" t="str">
        <f t="array" ref="Q2">IF(ISBLANK($AE2), "-",INDEX(Circuits!P:P,SUMPRODUCT(EXACT($AE2,Circuits!$A:$A)*ROW(Circuits!$A:$A))))</f>
        <v>-</v>
      </c>
      <c r="R2" s="108" t="str">
        <f t="array" ref="R2">IF(ISBLANK($AE2), "-",INDEX(Circuits!Q:Q,SUMPRODUCT(EXACT($AE2,Circuits!$A:$A)*ROW(Circuits!$A:$A))))</f>
        <v>-</v>
      </c>
      <c r="S2" s="108" t="str">
        <f t="array" ref="S2">IF(ISBLANK($AE2), "-",INDEX(Circuits!R:R,SUMPRODUCT(EXACT($AE2,Circuits!$A:$A)*ROW(Circuits!$A:$A))))</f>
        <v>-</v>
      </c>
      <c r="T2" s="108" t="str">
        <f t="array" ref="T2">IF(ISBLANK($AE2), "-",INDEX(Circuits!S:S,SUMPRODUCT(EXACT($AE2,Circuits!$A:$A)*ROW(Circuits!$A:$A))))</f>
        <v>-</v>
      </c>
      <c r="U2" s="108" t="str">
        <f t="array" ref="U2">IF(ISBLANK($AE2), "-",INDEX(Circuits!T:T,SUMPRODUCT(EXACT($AE2,Circuits!$A:$A)*ROW(Circuits!$A:$A))))</f>
        <v>-</v>
      </c>
      <c r="V2" s="108" t="str">
        <f t="array" ref="V2">IF(ISBLANK($AE2), "-",INDEX(Circuits!U:U,SUMPRODUCT(EXACT($AE2,Circuits!$A:$A)*ROW(Circuits!$A:$A))))</f>
        <v>-</v>
      </c>
      <c r="W2" s="108" t="str">
        <f t="array" ref="W2">IF(ISBLANK($AE2), "-",INDEX(Circuits!V:V,SUMPRODUCT(EXACT($AE2,Circuits!$A:$A)*ROW(Circuits!$A:$A))))</f>
        <v>-</v>
      </c>
      <c r="X2" s="108" t="str">
        <f t="array" ref="X2">IF(ISBLANK($AE2), "-",INDEX(Circuits!W:W,SUMPRODUCT(EXACT($AE2,Circuits!$A:$A)*ROW(Circuits!$A:$A))))</f>
        <v>-</v>
      </c>
      <c r="Y2" s="108" t="str">
        <f t="array" ref="Y2">IF(ISBLANK($AE2), "-",INDEX(Circuits!X:X,SUMPRODUCT(EXACT($AE2,Circuits!$A:$A)*ROW(Circuits!$A:$A))))</f>
        <v>-</v>
      </c>
      <c r="Z2" s="108" t="str">
        <f>IFERROR(__xludf.DUMMYFUNCTION("IFNA(CONCATENATE(UNIQUE(FILTER(Connections!R:R,Connections!A:A=B2))),""-"")"),"-")</f>
        <v>-</v>
      </c>
      <c r="AA2" s="119" t="str">
        <f t="array" ref="AA2">IF(ISBLANK($AE2), "-",INDEX(Circuits!Y:Y,SUMPRODUCT(EXACT($AE2,Circuits!$A:$A)*ROW(Circuits!$A:$A))))</f>
        <v>-</v>
      </c>
      <c r="AB2" s="121" t="str">
        <f t="array" ref="AB2">IF(ISBLANK($AE2), "-",INDEX(Circuits!Z:Z,SUMPRODUCT(EXACT($AE2,Circuits!$A:$A)*ROW(Circuits!$A:$A))))</f>
        <v>-</v>
      </c>
      <c r="AC2" s="38"/>
      <c r="AD2" s="38"/>
      <c r="AE2" s="124"/>
      <c r="AF2" s="38"/>
      <c r="AG2" s="126" t="str">
        <f>IFERROR(__xludf.DUMMYFUNCTION("IF(ISBLANK(AF2), """", TEXTJOIN(CHAR(10),TRUE,ARRAYFORMULA(IF(ISERROR(SEARCH(SPLIT(AF2, "";""), $Z2)), ""x"", ""-""))))"),"")</f>
        <v/>
      </c>
      <c r="AH2" s="127" t="str">
        <f>IFERROR(__xludf.DUMMYFUNCTION("IF(ISBLANK(AK2), """", TEXTJOIN("";"" &amp; CHAR(10), TRUE, UNIQUE(SPLIT(AK2, "";"" &amp; CHAR(10)), TRUE))&amp;"";"")"),"")</f>
        <v/>
      </c>
      <c r="AI2" s="128" t="str">
        <f>IFERROR(__xludf.DUMMYFUNCTION("IF(ISBLANK(AD2), IF(ISBLANK(AE2),,IFNA(TEXTJOIN("";"" &amp; CHAR(10), TRUE, FILTER(AE:AE, SEARCH(AE2&amp;"";"", AJ:AJ)))&amp;"";"", """")), TEXTJOIN("";"" &amp; CHAR(10), TRUE, UNIQUE(SPLIT(AH2 &amp; "";"" &amp; AH2 &amp; "";"" &amp; AL2, "";"" &amp; CHAR(10)), TRUE, TRUE))&amp;"";"")"),"")</f>
        <v/>
      </c>
      <c r="AJ2" s="126" t="str">
        <f>IFERROR(__xludf.DUMMYFUNCTION("IF(AN2="""", """", TEXTJOIN("";"" &amp; CHAR(10), TRUE, UNIQUE(SPLIT(AH2 &amp; "";"" &amp; AH2 &amp; "";"" &amp; AN2, "";"" &amp; CHAR(10)), TRUE, TRUE))&amp;"";"")"),"")</f>
        <v/>
      </c>
      <c r="AK2" s="129" t="str">
        <f>IFERROR(__xludf.DUMMYFUNCTION("IF(ISBLANK(AD2), IF(ISBLANK(AE2),,AE2 &amp; "";""), TEXTJOIN(CHAR(10), TRUE, ARRAYFORMULA(VLOOKUP(SPLIT(AD2, "";"" &amp; CHAR(10)), $AC:$AH, 6, FALSE))))"),"")</f>
        <v/>
      </c>
      <c r="AL2" s="130" t="str">
        <f>IFERROR(__xludf.DUMMYFUNCTION("IF(AM2="""", """", TEXTJOIN("";"" &amp; CHAR(10), TRUE, UNIQUE(SPLIT(AM2, "";"" &amp; CHAR(10)), TRUE))&amp;"";"")"),"")</f>
        <v/>
      </c>
      <c r="AM2" s="130" t="str">
        <f>IFERROR(__xludf.DUMMYFUNCTION("IF(ISBLANK(AD2), """", TEXTJOIN(CHAR(10), TRUE, ARRAYFORMULA(VLOOKUP(SPLIT(AH2, "";"" &amp; CHAR(10)), $AE:$AI, 5, FALSE)), AF2))"),"")</f>
        <v/>
      </c>
      <c r="AN2" s="132" t="str">
        <f>IFERROR(__xludf.DUMMYFUNCTION("IF(ISBLANK(AO2), """", TEXTJOIN("";"" &amp; CHAR(10), TRUE, UNIQUE(SPLIT(AO2, "";"" &amp; CHAR(10)), TRUE))&amp;"";"")"),"")</f>
        <v/>
      </c>
      <c r="AO2" s="134" t="str">
        <f>IFERROR(__xludf.DUMMYFUNCTION("IF(ISBLANK(AD2), AF2, TEXTJOIN(CHAR(10), TRUE, ARRAYFORMULA(VLOOKUP(SPLIT(AD2, "";"" &amp; CHAR(10)), $AC:$AN, 12, FALSE))))"),"")</f>
        <v/>
      </c>
      <c r="AP2" s="130" t="str">
        <f>IF(ISBLANK(AE2),,IF(IFERROR(SEARCH(AE2&amp;";",Circuits!$AO$2),0),TRUE,FALSE))</f>
        <v/>
      </c>
      <c r="AQ2" s="130" t="str">
        <f t="shared" ref="AQ2:AQ198" si="2">IF(ISBLANK(AE2),,IF(IFERROR(SEARCH(AE2&amp;";",TEXTJOIN(CHAR(10),TRUE,AI:AI)),0),TRUE,FALSE))</f>
        <v/>
      </c>
      <c r="AR2" s="130" t="str">
        <f t="shared" ref="AR2:AR198" si="3">IF(ISBLANK(AE2),,IF(IFERROR(SEARCH(AE2&amp;";",TEXTJOIN(CHAR(10),TRUE,AJ:AJ)),0),TRUE,FALSE))</f>
        <v/>
      </c>
      <c r="AS2" s="136" t="str">
        <f>IFERROR(__xludf.DUMMYFUNCTION("IF(AH2="""",,SUM(ARRAYFORMULA(IF(IFERROR(SEARCH(SPLIT(AH2,CHAR(10)),Circuits!$AO$2),0)&gt;0,0,1))))"),"")</f>
        <v/>
      </c>
      <c r="AT2" s="138" t="str">
        <f t="shared" ref="AT2:AT198" si="4">IF(B2="-", , LEFT(X2, 1) &amp; "(" &amp; B2 &amp; ")")</f>
        <v/>
      </c>
      <c r="AU2" s="138" t="str">
        <f t="shared" ref="AU2:AU198" si="5">IF(V2="-",,IF(V2,IF(IFERROR(SEARCH(AE2&amp;";",AF2),0)&gt;0,AT2&amp;", ",),))</f>
        <v/>
      </c>
      <c r="AV2" s="130" t="str">
        <f>IFERROR(__xludf.DUMMYFUNCTION("IF(AI2="""",,TEXTJOIN("", "",TRUE,ARRAYFORMULA(VLOOKUP(SPLIT(AI2,"";""&amp;CHAR(10)),AE:AT,16,FALSE))))"),"")</f>
        <v/>
      </c>
      <c r="AW2" s="130" t="str">
        <f>IFERROR(__xludf.DUMMYFUNCTION("IF(ISBLANK(BK2),,TEXTJOIN("", "",TRUE,ARRAYFORMULA(VLOOKUP(IFERROR(REGEXEXTRACT(SPLIT(BK2,"";""&amp;CHAR(10)),""\[(.+)\]"")),AE:AT,16,false))))"),"")</f>
        <v/>
      </c>
      <c r="AX2" s="139" t="str">
        <f t="shared" ref="AX2:AX198" si="6">IF(ISBLANK(AC2),,IF(NOT(ISBLANK(AD2)),IF(AS2&gt;0,"outROI","inROI"),IF(ISBLANK(AE2),"(Fill the Circuit ID)",IF(AP2,"inROI",IF(AND(AQ2,AR2),"input/output",IF(AQ2,"input",IF(AR2,"output","(Must be in or connected to ROI)")))))))</f>
        <v/>
      </c>
      <c r="AY2" s="139" t="str">
        <f t="shared" ref="AY2:AY198" si="7">IF(OR(BK2="", AI2=""), "", "[ " &amp; AW2 &amp; " ] = " &amp; AC2 &amp; "( " &amp; AU2 &amp;AV2 &amp; " )")</f>
        <v/>
      </c>
      <c r="AZ2" s="106" t="str">
        <f>IFERROR(__xludf.DUMMYFUNCTION("IF(ISBLANK(AD2), BC2, TEXTJOIN(CHAR(10) &amp; CHAR(10), TRUE, ARRAYFORMULA(VLOOKUP(SPLIT(AD2, "";"" &amp; CHAR(10)), $AC:$AY, 23, FALSE))))"),"")</f>
        <v/>
      </c>
      <c r="BA2" s="140" t="s">
        <v>66</v>
      </c>
      <c r="BB2" s="127"/>
      <c r="BC2" s="140"/>
      <c r="BD2" s="106" t="str">
        <f>IFERROR(__xludf.DUMMYFUNCTION("IF(IFERROR(SEARCH(""&lt;&lt;mechanism to realize the capability&gt;&gt;"",BA2),0)=0,
 ""!! Error !! “Capability&amp;Mechanism” column: Invalid Separator:"" &amp; CHAR(10) &amp; ""Insert separator “&lt;&lt;mechanism to realize the capability&gt;&gt;.”"",
 IF(
  LEN(TRIM(CLEAN(
    INDEX(
   "&amp;"   SPLIT(BA2,""&lt;&lt;mechanism to realize the capability&gt;&gt;"",FALSE,FALSE),
      1
    )
  )))=0,
  ""!! Error !! “Capability&amp;Mechanism” column: No Capability:""  &amp; CHAR(10) &amp; ""Describe Capability before separator."",
  INDEX(
    SPLIT(BA2,""&lt;&lt;mechanism to "&amp;"realize the capability&gt;&gt;"",FALSE,FALSE),
    1
  )
 )
)
"),"!! Error !! “Capability&amp;Mechanism” column: No Capability:
Describe Capability before separator.")</f>
        <v>!! Error !! “Capability&amp;Mechanism” column: No Capability:
Describe Capability before separator.</v>
      </c>
      <c r="BE2" s="127"/>
      <c r="BF2" s="141"/>
      <c r="BG2" s="67"/>
      <c r="BH2" s="127"/>
      <c r="BI2" s="140"/>
      <c r="BJ2" s="67"/>
      <c r="BK2" s="42"/>
      <c r="BL2" s="142"/>
      <c r="BM2" s="142"/>
      <c r="BN2" s="67"/>
      <c r="BO2" s="67"/>
      <c r="BP2" s="143"/>
      <c r="BQ2" s="143"/>
      <c r="BR2" s="144"/>
      <c r="BS2" s="144"/>
      <c r="BT2" s="144"/>
      <c r="BU2" s="144"/>
      <c r="BV2" s="144"/>
      <c r="BW2" s="145"/>
      <c r="BX2" s="146" t="str">
        <f t="shared" ref="BX2:BX198" si="8">IF($AE2="", "", CONCATENATE("Review Summary:", CHAR(10), "- ",#REF! ,CHAR(10),"- Output Semantics is ", AC2, CHAR(10),"- Process is ",  BI2, CHAR(10),"- Comment : ",  #REF!))</f>
        <v/>
      </c>
    </row>
    <row r="3">
      <c r="A3" s="106" t="str">
        <f t="shared" si="1"/>
        <v/>
      </c>
      <c r="B3" s="108" t="str">
        <f t="array" ref="B3">IF(ISBLANK($AE3), "-",INDEX(Circuits!A:A,SUMPRODUCT(EXACT($AE3,Circuits!$A:$A)*ROW(Circuits!$A:$A))))</f>
        <v>-</v>
      </c>
      <c r="C3" s="108" t="str">
        <f t="array" ref="C3">IF(ISBLANK($AE3), "-",INDEX(Circuits!B:B,SUMPRODUCT(EXACT($AE3,Circuits!$A:$A)*ROW(Circuits!$A:$A))))</f>
        <v>-</v>
      </c>
      <c r="D3" s="108" t="str">
        <f t="array" ref="D3">IF(ISBLANK($AE3), "-",INDEX(Circuits!C:C,SUMPRODUCT(EXACT($AE3,Circuits!$A:$A)*ROW(Circuits!$A:$A))))</f>
        <v>-</v>
      </c>
      <c r="E3" s="108" t="str">
        <f t="array" ref="E3">IF(ISBLANK($AE3), "-",INDEX(Circuits!D:D,SUMPRODUCT(EXACT($AE3,Circuits!$A:$A)*ROW(Circuits!$A:$A))))</f>
        <v>-</v>
      </c>
      <c r="F3" s="108" t="str">
        <f t="array" ref="F3">IF(ISBLANK($AE3), "-",INDEX(Circuits!E:E,SUMPRODUCT(EXACT($AE3,Circuits!$A:$A)*ROW(Circuits!$A:$A))))</f>
        <v>-</v>
      </c>
      <c r="G3" s="108" t="str">
        <f t="array" ref="G3">IF(ISBLANK($AE3), "-",INDEX(Circuits!F:F,SUMPRODUCT(EXACT($AE3,Circuits!$A:$A)*ROW(Circuits!$A:$A))))</f>
        <v>-</v>
      </c>
      <c r="H3" s="108" t="str">
        <f t="array" ref="H3">IF(ISBLANK($AE3), "-",INDEX(Circuits!G:G,SUMPRODUCT(EXACT($AE3,Circuits!$A:$A)*ROW(Circuits!$A:$A))))</f>
        <v>-</v>
      </c>
      <c r="I3" s="108" t="str">
        <f t="array" ref="I3">IF(ISBLANK($AE3), "-",INDEX(Circuits!H:H,SUMPRODUCT(EXACT($AE3,Circuits!$A:$A)*ROW(Circuits!$A:$A))))</f>
        <v>-</v>
      </c>
      <c r="J3" s="108" t="str">
        <f t="array" ref="J3">IF(ISBLANK($AE3), "-",INDEX(Circuits!I:I,SUMPRODUCT(EXACT($AE3,Circuits!$A:$A)*ROW(Circuits!$A:$A))))</f>
        <v>-</v>
      </c>
      <c r="K3" s="108" t="str">
        <f t="array" ref="K3">IF(ISBLANK($AE3), "-",INDEX(Circuits!J:J,SUMPRODUCT(EXACT($AE3,Circuits!$A:$A)*ROW(Circuits!$A:$A))))</f>
        <v>-</v>
      </c>
      <c r="L3" s="108" t="str">
        <f t="array" ref="L3">IF(ISBLANK($AE3), "-",INDEX(Circuits!K:K,SUMPRODUCT(EXACT($AE3,Circuits!$A:$A)*ROW(Circuits!$A:$A))))</f>
        <v>-</v>
      </c>
      <c r="M3" s="108" t="str">
        <f t="array" ref="M3">IF(ISBLANK($AE3), "-",INDEX(Circuits!L:L,SUMPRODUCT(EXACT($AE3,Circuits!$A:$A)*ROW(Circuits!$A:$A))))</f>
        <v>-</v>
      </c>
      <c r="N3" s="108" t="str">
        <f t="array" ref="N3">IF(ISBLANK($AE3), "-",INDEX(Circuits!M:M,SUMPRODUCT(EXACT($AE3,Circuits!$A:$A)*ROW(Circuits!$A:$A))))</f>
        <v>-</v>
      </c>
      <c r="O3" s="108" t="str">
        <f t="array" ref="O3">IF(ISBLANK($AE3), "-",INDEX(Circuits!N:N,SUMPRODUCT(EXACT($AE3,Circuits!$A:$A)*ROW(Circuits!$A:$A))))</f>
        <v>-</v>
      </c>
      <c r="P3" s="108" t="str">
        <f t="array" ref="P3">IF(ISBLANK($AE3), "-",INDEX(Circuits!O:O,SUMPRODUCT(EXACT($AE3,Circuits!$A:$A)*ROW(Circuits!$A:$A))))</f>
        <v>-</v>
      </c>
      <c r="Q3" s="108" t="str">
        <f t="array" ref="Q3">IF(ISBLANK($AE3), "-",INDEX(Circuits!P:P,SUMPRODUCT(EXACT($AE3,Circuits!$A:$A)*ROW(Circuits!$A:$A))))</f>
        <v>-</v>
      </c>
      <c r="R3" s="108" t="str">
        <f t="array" ref="R3">IF(ISBLANK($AE3), "-",INDEX(Circuits!Q:Q,SUMPRODUCT(EXACT($AE3,Circuits!$A:$A)*ROW(Circuits!$A:$A))))</f>
        <v>-</v>
      </c>
      <c r="S3" s="108" t="str">
        <f t="array" ref="S3">IF(ISBLANK($AE3), "-",INDEX(Circuits!R:R,SUMPRODUCT(EXACT($AE3,Circuits!$A:$A)*ROW(Circuits!$A:$A))))</f>
        <v>-</v>
      </c>
      <c r="T3" s="108" t="str">
        <f t="array" ref="T3">IF(ISBLANK($AE3), "-",INDEX(Circuits!S:S,SUMPRODUCT(EXACT($AE3,Circuits!$A:$A)*ROW(Circuits!$A:$A))))</f>
        <v>-</v>
      </c>
      <c r="U3" s="108" t="str">
        <f t="array" ref="U3">IF(ISBLANK($AE3), "-",INDEX(Circuits!T:T,SUMPRODUCT(EXACT($AE3,Circuits!$A:$A)*ROW(Circuits!$A:$A))))</f>
        <v>-</v>
      </c>
      <c r="V3" s="108" t="str">
        <f t="array" ref="V3">IF(ISBLANK($AE3), "-",INDEX(Circuits!U:U,SUMPRODUCT(EXACT($AE3,Circuits!$A:$A)*ROW(Circuits!$A:$A))))</f>
        <v>-</v>
      </c>
      <c r="W3" s="108" t="str">
        <f t="array" ref="W3">IF(ISBLANK($AE3), "-",INDEX(Circuits!V:V,SUMPRODUCT(EXACT($AE3,Circuits!$A:$A)*ROW(Circuits!$A:$A))))</f>
        <v>-</v>
      </c>
      <c r="X3" s="108" t="str">
        <f t="array" ref="X3">IF(ISBLANK($AE3), "-",INDEX(Circuits!W:W,SUMPRODUCT(EXACT($AE3,Circuits!$A:$A)*ROW(Circuits!$A:$A))))</f>
        <v>-</v>
      </c>
      <c r="Y3" s="108" t="str">
        <f t="array" ref="Y3">IF(ISBLANK($AE3), "-",INDEX(Circuits!X:X,SUMPRODUCT(EXACT($AE3,Circuits!$A:$A)*ROW(Circuits!$A:$A))))</f>
        <v>-</v>
      </c>
      <c r="Z3" s="108" t="str">
        <f>IFERROR(__xludf.DUMMYFUNCTION("IFNA(CONCATENATE(UNIQUE(FILTER(Connections!R:R,Connections!A:A=B3))),""-"")"),"-")</f>
        <v>-</v>
      </c>
      <c r="AA3" s="119" t="str">
        <f t="array" ref="AA3">IF(ISBLANK($AE3), "-",INDEX(Circuits!Y:Y,SUMPRODUCT(EXACT($AE3,Circuits!$A:$A)*ROW(Circuits!$A:$A))))</f>
        <v>-</v>
      </c>
      <c r="AB3" s="121" t="str">
        <f t="array" ref="AB3">IF(ISBLANK($AE3), "-",INDEX(Circuits!Z:Z,SUMPRODUCT(EXACT($AE3,Circuits!$A:$A)*ROW(Circuits!$A:$A))))</f>
        <v>-</v>
      </c>
      <c r="AC3" s="38"/>
      <c r="AD3" s="38"/>
      <c r="AE3" s="124"/>
      <c r="AF3" s="38"/>
      <c r="AG3" s="126" t="str">
        <f>IFERROR(__xludf.DUMMYFUNCTION("IF(ISBLANK(AF3), """", TEXTJOIN(CHAR(10),TRUE,ARRAYFORMULA(IF(ISERROR(SEARCH(SPLIT(AF3, "";""), $Z3)), ""x"", ""-""))))"),"")</f>
        <v/>
      </c>
      <c r="AH3" s="127" t="str">
        <f>IFERROR(__xludf.DUMMYFUNCTION("IF(ISBLANK(AK3), """", TEXTJOIN("";"" &amp; CHAR(10), TRUE, UNIQUE(SPLIT(AK3, "";"" &amp; CHAR(10)), TRUE))&amp;"";"")"),"")</f>
        <v/>
      </c>
      <c r="AI3" s="128" t="str">
        <f>IFERROR(__xludf.DUMMYFUNCTION("IF(ISBLANK(AD3), IF(ISBLANK(AE3),,IFNA(TEXTJOIN("";"" &amp; CHAR(10), TRUE, FILTER(AE:AE, SEARCH(AE3&amp;"";"", AJ:AJ)))&amp;"";"", """")), TEXTJOIN("";"" &amp; CHAR(10), TRUE, UNIQUE(SPLIT(AH3 &amp; "";"" &amp; AH3 &amp; "";"" &amp; AL3, "";"" &amp; CHAR(10)), TRUE, TRUE))&amp;"";"")"),"")</f>
        <v/>
      </c>
      <c r="AJ3" s="126" t="str">
        <f>IFERROR(__xludf.DUMMYFUNCTION("IF(AN3="""", """", TEXTJOIN("";"" &amp; CHAR(10), TRUE, UNIQUE(SPLIT(AH3 &amp; "";"" &amp; AH3 &amp; "";"" &amp; AN3, "";"" &amp; CHAR(10)), TRUE, TRUE))&amp;"";"")"),"")</f>
        <v/>
      </c>
      <c r="AK3" s="129" t="str">
        <f>IFERROR(__xludf.DUMMYFUNCTION("IF(ISBLANK(AD3), IF(ISBLANK(AE3),,AE3 &amp; "";""), TEXTJOIN(CHAR(10), TRUE, ARRAYFORMULA(VLOOKUP(SPLIT(AD3, "";"" &amp; CHAR(10)), $AC:$AH, 6, FALSE))))"),"")</f>
        <v/>
      </c>
      <c r="AL3" s="130" t="str">
        <f>IFERROR(__xludf.DUMMYFUNCTION("IF(AM3="""", """", TEXTJOIN("";"" &amp; CHAR(10), TRUE, UNIQUE(SPLIT(AM3, "";"" &amp; CHAR(10)), TRUE))&amp;"";"")"),"")</f>
        <v/>
      </c>
      <c r="AM3" s="130" t="str">
        <f>IFERROR(__xludf.DUMMYFUNCTION("IF(ISBLANK(AD3), """", TEXTJOIN(CHAR(10), TRUE, ARRAYFORMULA(VLOOKUP(SPLIT(AH3, "";"" &amp; CHAR(10)), $AE:$AI, 5, FALSE)), AF3))"),"")</f>
        <v/>
      </c>
      <c r="AN3" s="132" t="str">
        <f>IFERROR(__xludf.DUMMYFUNCTION("IF(ISBLANK(AO3), """", TEXTJOIN("";"" &amp; CHAR(10), TRUE, UNIQUE(SPLIT(AO3, "";"" &amp; CHAR(10)), TRUE))&amp;"";"")"),"")</f>
        <v/>
      </c>
      <c r="AO3" s="134" t="str">
        <f>IFERROR(__xludf.DUMMYFUNCTION("IF(ISBLANK(AD3), AF3, TEXTJOIN(CHAR(10), TRUE, ARRAYFORMULA(VLOOKUP(SPLIT(AD3, "";"" &amp; CHAR(10)), $AC:$AN, 12, FALSE))))"),"")</f>
        <v/>
      </c>
      <c r="AP3" s="130" t="str">
        <f>IF(ISBLANK(AE3),,IF(IFERROR(SEARCH(AE3&amp;";",Circuits!$AO$2),0),TRUE,FALSE))</f>
        <v/>
      </c>
      <c r="AQ3" s="130" t="str">
        <f t="shared" si="2"/>
        <v/>
      </c>
      <c r="AR3" s="130" t="str">
        <f t="shared" si="3"/>
        <v/>
      </c>
      <c r="AS3" s="136" t="str">
        <f>IFERROR(__xludf.DUMMYFUNCTION("IF(AH3="""",,SUM(ARRAYFORMULA(IF(IFERROR(SEARCH(SPLIT(AH3,CHAR(10)),Circuits!$AO$2),0)&gt;0,0,1))))"),"")</f>
        <v/>
      </c>
      <c r="AT3" s="138" t="str">
        <f t="shared" si="4"/>
        <v/>
      </c>
      <c r="AU3" s="138" t="str">
        <f t="shared" si="5"/>
        <v/>
      </c>
      <c r="AV3" s="130" t="str">
        <f>IFERROR(__xludf.DUMMYFUNCTION("IF(AI3="""",,TEXTJOIN("", "",TRUE,ARRAYFORMULA(VLOOKUP(SPLIT(AI3,"";""&amp;CHAR(10)),AE:AT,16,FALSE))))"),"")</f>
        <v/>
      </c>
      <c r="AW3" s="130" t="str">
        <f>IFERROR(__xludf.DUMMYFUNCTION("IF(ISBLANK(BK3),,TEXTJOIN("", "",TRUE,ARRAYFORMULA(VLOOKUP(IFERROR(REGEXEXTRACT(SPLIT(BK3,"";""&amp;CHAR(10)),""\[(.+)\]"")),AE:AT,16,false))))"),"")</f>
        <v/>
      </c>
      <c r="AX3" s="139" t="str">
        <f t="shared" si="6"/>
        <v/>
      </c>
      <c r="AY3" s="139" t="str">
        <f t="shared" si="7"/>
        <v/>
      </c>
      <c r="AZ3" s="106" t="str">
        <f>IFERROR(__xludf.DUMMYFUNCTION("IF(ISBLANK(AD3), BC3, TEXTJOIN(CHAR(10) &amp; CHAR(10), TRUE, ARRAYFORMULA(VLOOKUP(SPLIT(AD3, "";"" &amp; CHAR(10)), $AC:$AY, 23, FALSE))))"),"")</f>
        <v/>
      </c>
      <c r="BA3" s="140" t="s">
        <v>66</v>
      </c>
      <c r="BB3" s="127"/>
      <c r="BC3" s="140"/>
      <c r="BD3" s="106" t="str">
        <f>IFERROR(__xludf.DUMMYFUNCTION("IF(IFERROR(SEARCH(""&lt;&lt;mechanism to realize the capability&gt;&gt;"",BA3),0)=0,
 ""!! Error !! “Capability&amp;Mechanism” column: Invalid Separator:"" &amp; CHAR(10) &amp; ""Insert separator “&lt;&lt;mechanism to realize the capability&gt;&gt;.”"",
 IF(
  LEN(TRIM(CLEAN(
    INDEX(
   "&amp;"   SPLIT(BA3,""&lt;&lt;mechanism to realize the capability&gt;&gt;"",FALSE,FALSE),
      1
    )
  )))=0,
  ""!! Error !! “Capability&amp;Mechanism” column: No Capability:""  &amp; CHAR(10) &amp; ""Describe Capability before separator."",
  INDEX(
    SPLIT(BA3,""&lt;&lt;mechanism to "&amp;"realize the capability&gt;&gt;"",FALSE,FALSE),
    1
  )
 )
)
"),"!! Error !! “Capability&amp;Mechanism” column: No Capability:
Describe Capability before separator.")</f>
        <v>!! Error !! “Capability&amp;Mechanism” column: No Capability:
Describe Capability before separator.</v>
      </c>
      <c r="BE3" s="127"/>
      <c r="BF3" s="152"/>
      <c r="BG3" s="153"/>
      <c r="BH3" s="127"/>
      <c r="BI3" s="140"/>
      <c r="BJ3" s="153"/>
      <c r="BK3" s="154"/>
      <c r="BL3" s="155"/>
      <c r="BM3" s="155"/>
      <c r="BN3" s="153"/>
      <c r="BO3" s="153"/>
      <c r="BP3" s="143"/>
      <c r="BQ3" s="143"/>
      <c r="BR3" s="144"/>
      <c r="BS3" s="144"/>
      <c r="BT3" s="144"/>
      <c r="BU3" s="144"/>
      <c r="BV3" s="156"/>
      <c r="BW3" s="145"/>
      <c r="BX3" s="146" t="str">
        <f t="shared" si="8"/>
        <v/>
      </c>
    </row>
    <row r="4">
      <c r="A4" s="106" t="str">
        <f t="shared" si="1"/>
        <v/>
      </c>
      <c r="B4" s="108" t="str">
        <f t="array" ref="B4">IF(ISBLANK($AE4), "-",INDEX(Circuits!A:A,SUMPRODUCT(EXACT($AE4,Circuits!$A:$A)*ROW(Circuits!$A:$A))))</f>
        <v>-</v>
      </c>
      <c r="C4" s="108" t="str">
        <f t="array" ref="C4">IF(ISBLANK($AE4), "-",INDEX(Circuits!B:B,SUMPRODUCT(EXACT($AE4,Circuits!$A:$A)*ROW(Circuits!$A:$A))))</f>
        <v>-</v>
      </c>
      <c r="D4" s="108" t="str">
        <f t="array" ref="D4">IF(ISBLANK($AE4), "-",INDEX(Circuits!C:C,SUMPRODUCT(EXACT($AE4,Circuits!$A:$A)*ROW(Circuits!$A:$A))))</f>
        <v>-</v>
      </c>
      <c r="E4" s="108" t="str">
        <f t="array" ref="E4">IF(ISBLANK($AE4), "-",INDEX(Circuits!D:D,SUMPRODUCT(EXACT($AE4,Circuits!$A:$A)*ROW(Circuits!$A:$A))))</f>
        <v>-</v>
      </c>
      <c r="F4" s="108" t="str">
        <f t="array" ref="F4">IF(ISBLANK($AE4), "-",INDEX(Circuits!E:E,SUMPRODUCT(EXACT($AE4,Circuits!$A:$A)*ROW(Circuits!$A:$A))))</f>
        <v>-</v>
      </c>
      <c r="G4" s="108" t="str">
        <f t="array" ref="G4">IF(ISBLANK($AE4), "-",INDEX(Circuits!F:F,SUMPRODUCT(EXACT($AE4,Circuits!$A:$A)*ROW(Circuits!$A:$A))))</f>
        <v>-</v>
      </c>
      <c r="H4" s="108" t="str">
        <f t="array" ref="H4">IF(ISBLANK($AE4), "-",INDEX(Circuits!G:G,SUMPRODUCT(EXACT($AE4,Circuits!$A:$A)*ROW(Circuits!$A:$A))))</f>
        <v>-</v>
      </c>
      <c r="I4" s="108" t="str">
        <f t="array" ref="I4">IF(ISBLANK($AE4), "-",INDEX(Circuits!H:H,SUMPRODUCT(EXACT($AE4,Circuits!$A:$A)*ROW(Circuits!$A:$A))))</f>
        <v>-</v>
      </c>
      <c r="J4" s="108" t="str">
        <f t="array" ref="J4">IF(ISBLANK($AE4), "-",INDEX(Circuits!I:I,SUMPRODUCT(EXACT($AE4,Circuits!$A:$A)*ROW(Circuits!$A:$A))))</f>
        <v>-</v>
      </c>
      <c r="K4" s="108" t="str">
        <f t="array" ref="K4">IF(ISBLANK($AE4), "-",INDEX(Circuits!J:J,SUMPRODUCT(EXACT($AE4,Circuits!$A:$A)*ROW(Circuits!$A:$A))))</f>
        <v>-</v>
      </c>
      <c r="L4" s="108" t="str">
        <f t="array" ref="L4">IF(ISBLANK($AE4), "-",INDEX(Circuits!K:K,SUMPRODUCT(EXACT($AE4,Circuits!$A:$A)*ROW(Circuits!$A:$A))))</f>
        <v>-</v>
      </c>
      <c r="M4" s="108" t="str">
        <f t="array" ref="M4">IF(ISBLANK($AE4), "-",INDEX(Circuits!L:L,SUMPRODUCT(EXACT($AE4,Circuits!$A:$A)*ROW(Circuits!$A:$A))))</f>
        <v>-</v>
      </c>
      <c r="N4" s="108" t="str">
        <f t="array" ref="N4">IF(ISBLANK($AE4), "-",INDEX(Circuits!M:M,SUMPRODUCT(EXACT($AE4,Circuits!$A:$A)*ROW(Circuits!$A:$A))))</f>
        <v>-</v>
      </c>
      <c r="O4" s="108" t="str">
        <f t="array" ref="O4">IF(ISBLANK($AE4), "-",INDEX(Circuits!N:N,SUMPRODUCT(EXACT($AE4,Circuits!$A:$A)*ROW(Circuits!$A:$A))))</f>
        <v>-</v>
      </c>
      <c r="P4" s="108" t="str">
        <f t="array" ref="P4">IF(ISBLANK($AE4), "-",INDEX(Circuits!O:O,SUMPRODUCT(EXACT($AE4,Circuits!$A:$A)*ROW(Circuits!$A:$A))))</f>
        <v>-</v>
      </c>
      <c r="Q4" s="108" t="str">
        <f t="array" ref="Q4">IF(ISBLANK($AE4), "-",INDEX(Circuits!P:P,SUMPRODUCT(EXACT($AE4,Circuits!$A:$A)*ROW(Circuits!$A:$A))))</f>
        <v>-</v>
      </c>
      <c r="R4" s="108" t="str">
        <f t="array" ref="R4">IF(ISBLANK($AE4), "-",INDEX(Circuits!Q:Q,SUMPRODUCT(EXACT($AE4,Circuits!$A:$A)*ROW(Circuits!$A:$A))))</f>
        <v>-</v>
      </c>
      <c r="S4" s="108" t="str">
        <f t="array" ref="S4">IF(ISBLANK($AE4), "-",INDEX(Circuits!R:R,SUMPRODUCT(EXACT($AE4,Circuits!$A:$A)*ROW(Circuits!$A:$A))))</f>
        <v>-</v>
      </c>
      <c r="T4" s="108" t="str">
        <f t="array" ref="T4">IF(ISBLANK($AE4), "-",INDEX(Circuits!S:S,SUMPRODUCT(EXACT($AE4,Circuits!$A:$A)*ROW(Circuits!$A:$A))))</f>
        <v>-</v>
      </c>
      <c r="U4" s="108" t="str">
        <f t="array" ref="U4">IF(ISBLANK($AE4), "-",INDEX(Circuits!T:T,SUMPRODUCT(EXACT($AE4,Circuits!$A:$A)*ROW(Circuits!$A:$A))))</f>
        <v>-</v>
      </c>
      <c r="V4" s="108" t="str">
        <f t="array" ref="V4">IF(ISBLANK($AE4), "-",INDEX(Circuits!U:U,SUMPRODUCT(EXACT($AE4,Circuits!$A:$A)*ROW(Circuits!$A:$A))))</f>
        <v>-</v>
      </c>
      <c r="W4" s="108" t="str">
        <f t="array" ref="W4">IF(ISBLANK($AE4), "-",INDEX(Circuits!V:V,SUMPRODUCT(EXACT($AE4,Circuits!$A:$A)*ROW(Circuits!$A:$A))))</f>
        <v>-</v>
      </c>
      <c r="X4" s="108" t="str">
        <f t="array" ref="X4">IF(ISBLANK($AE4), "-",INDEX(Circuits!W:W,SUMPRODUCT(EXACT($AE4,Circuits!$A:$A)*ROW(Circuits!$A:$A))))</f>
        <v>-</v>
      </c>
      <c r="Y4" s="108" t="str">
        <f t="array" ref="Y4">IF(ISBLANK($AE4), "-",INDEX(Circuits!X:X,SUMPRODUCT(EXACT($AE4,Circuits!$A:$A)*ROW(Circuits!$A:$A))))</f>
        <v>-</v>
      </c>
      <c r="Z4" s="108" t="str">
        <f>IFERROR(__xludf.DUMMYFUNCTION("IFNA(CONCATENATE(UNIQUE(FILTER(Connections!R:R,Connections!A:A=B4))),""-"")"),"-")</f>
        <v>-</v>
      </c>
      <c r="AA4" s="119" t="str">
        <f t="array" ref="AA4">IF(ISBLANK($AE4), "-",INDEX(Circuits!Y:Y,SUMPRODUCT(EXACT($AE4,Circuits!$A:$A)*ROW(Circuits!$A:$A))))</f>
        <v>-</v>
      </c>
      <c r="AB4" s="121" t="str">
        <f t="array" ref="AB4">IF(ISBLANK($AE4), "-",INDEX(Circuits!Z:Z,SUMPRODUCT(EXACT($AE4,Circuits!$A:$A)*ROW(Circuits!$A:$A))))</f>
        <v>-</v>
      </c>
      <c r="AC4" s="38"/>
      <c r="AD4" s="38"/>
      <c r="AE4" s="124"/>
      <c r="AF4" s="38"/>
      <c r="AG4" s="126" t="str">
        <f>IFERROR(__xludf.DUMMYFUNCTION("IF(ISBLANK(AF4), """", TEXTJOIN(CHAR(10),TRUE,ARRAYFORMULA(IF(ISERROR(SEARCH(SPLIT(AF4, "";""), $Z4)), ""x"", ""-""))))"),"")</f>
        <v/>
      </c>
      <c r="AH4" s="127" t="str">
        <f>IFERROR(__xludf.DUMMYFUNCTION("IF(ISBLANK(AK4), """", TEXTJOIN("";"" &amp; CHAR(10), TRUE, UNIQUE(SPLIT(AK4, "";"" &amp; CHAR(10)), TRUE))&amp;"";"")"),"")</f>
        <v/>
      </c>
      <c r="AI4" s="128" t="str">
        <f>IFERROR(__xludf.DUMMYFUNCTION("IF(ISBLANK(AD4), IF(ISBLANK(AE4),,IFNA(TEXTJOIN("";"" &amp; CHAR(10), TRUE, FILTER(AE:AE, SEARCH(AE4&amp;"";"", AJ:AJ)))&amp;"";"", """")), TEXTJOIN("";"" &amp; CHAR(10), TRUE, UNIQUE(SPLIT(AH4 &amp; "";"" &amp; AH4 &amp; "";"" &amp; AL4, "";"" &amp; CHAR(10)), TRUE, TRUE))&amp;"";"")"),"")</f>
        <v/>
      </c>
      <c r="AJ4" s="126" t="str">
        <f>IFERROR(__xludf.DUMMYFUNCTION("IF(AN4="""", """", TEXTJOIN("";"" &amp; CHAR(10), TRUE, UNIQUE(SPLIT(AH4 &amp; "";"" &amp; AH4 &amp; "";"" &amp; AN4, "";"" &amp; CHAR(10)), TRUE, TRUE))&amp;"";"")"),"")</f>
        <v/>
      </c>
      <c r="AK4" s="129" t="str">
        <f>IFERROR(__xludf.DUMMYFUNCTION("IF(ISBLANK(AD4), IF(ISBLANK(AE4),,AE4 &amp; "";""), TEXTJOIN(CHAR(10), TRUE, ARRAYFORMULA(VLOOKUP(SPLIT(AD4, "";"" &amp; CHAR(10)), $AC:$AH, 6, FALSE))))"),"")</f>
        <v/>
      </c>
      <c r="AL4" s="130" t="str">
        <f>IFERROR(__xludf.DUMMYFUNCTION("IF(AM4="""", """", TEXTJOIN("";"" &amp; CHAR(10), TRUE, UNIQUE(SPLIT(AM4, "";"" &amp; CHAR(10)), TRUE))&amp;"";"")"),"")</f>
        <v/>
      </c>
      <c r="AM4" s="130" t="str">
        <f>IFERROR(__xludf.DUMMYFUNCTION("IF(ISBLANK(AD4), """", TEXTJOIN(CHAR(10), TRUE, ARRAYFORMULA(VLOOKUP(SPLIT(AH4, "";"" &amp; CHAR(10)), $AE:$AI, 5, FALSE)), AF4))"),"")</f>
        <v/>
      </c>
      <c r="AN4" s="132" t="str">
        <f>IFERROR(__xludf.DUMMYFUNCTION("IF(ISBLANK(AO4), """", TEXTJOIN("";"" &amp; CHAR(10), TRUE, UNIQUE(SPLIT(AO4, "";"" &amp; CHAR(10)), TRUE))&amp;"";"")"),"")</f>
        <v/>
      </c>
      <c r="AO4" s="134" t="str">
        <f>IFERROR(__xludf.DUMMYFUNCTION("IF(ISBLANK(AD4), AF4, TEXTJOIN(CHAR(10), TRUE, ARRAYFORMULA(VLOOKUP(SPLIT(AD4, "";"" &amp; CHAR(10)), $AC:$AN, 12, FALSE))))"),"")</f>
        <v/>
      </c>
      <c r="AP4" s="130" t="str">
        <f>IF(ISBLANK(AE4),,IF(IFERROR(SEARCH(AE4&amp;";",Circuits!$AO$2),0),TRUE,FALSE))</f>
        <v/>
      </c>
      <c r="AQ4" s="130" t="str">
        <f t="shared" si="2"/>
        <v/>
      </c>
      <c r="AR4" s="130" t="str">
        <f t="shared" si="3"/>
        <v/>
      </c>
      <c r="AS4" s="136" t="str">
        <f>IFERROR(__xludf.DUMMYFUNCTION("IF(AH4="""",,SUM(ARRAYFORMULA(IF(IFERROR(SEARCH(SPLIT(AH4,CHAR(10)),Circuits!$AO$2),0)&gt;0,0,1))))"),"")</f>
        <v/>
      </c>
      <c r="AT4" s="138" t="str">
        <f t="shared" si="4"/>
        <v/>
      </c>
      <c r="AU4" s="138" t="str">
        <f t="shared" si="5"/>
        <v/>
      </c>
      <c r="AV4" s="130" t="str">
        <f>IFERROR(__xludf.DUMMYFUNCTION("IF(AI4="""",,TEXTJOIN("", "",TRUE,ARRAYFORMULA(VLOOKUP(SPLIT(AI4,"";""&amp;CHAR(10)),AE:AT,16,FALSE))))"),"")</f>
        <v/>
      </c>
      <c r="AW4" s="130" t="str">
        <f>IFERROR(__xludf.DUMMYFUNCTION("IF(ISBLANK(BK4),,TEXTJOIN("", "",TRUE,ARRAYFORMULA(VLOOKUP(IFERROR(REGEXEXTRACT(SPLIT(BK4,"";""&amp;CHAR(10)),""\[(.+)\]"")),AE:AT,16,false))))"),"")</f>
        <v/>
      </c>
      <c r="AX4" s="139" t="str">
        <f t="shared" si="6"/>
        <v/>
      </c>
      <c r="AY4" s="139" t="str">
        <f t="shared" si="7"/>
        <v/>
      </c>
      <c r="AZ4" s="106" t="str">
        <f>IFERROR(__xludf.DUMMYFUNCTION("IF(ISBLANK(AD4), BC4, TEXTJOIN(CHAR(10) &amp; CHAR(10), TRUE, ARRAYFORMULA(VLOOKUP(SPLIT(AD4, "";"" &amp; CHAR(10)), $AC:$AY, 23, FALSE))))"),"")</f>
        <v/>
      </c>
      <c r="BA4" s="140" t="s">
        <v>66</v>
      </c>
      <c r="BB4" s="127"/>
      <c r="BC4" s="140"/>
      <c r="BD4" s="106" t="str">
        <f>IFERROR(__xludf.DUMMYFUNCTION("IF(IFERROR(SEARCH(""&lt;&lt;mechanism to realize the capability&gt;&gt;"",BA4),0)=0,
 ""!! Error !! “Capability&amp;Mechanism” column: Invalid Separator:"" &amp; CHAR(10) &amp; ""Insert separator “&lt;&lt;mechanism to realize the capability&gt;&gt;.”"",
 IF(
  LEN(TRIM(CLEAN(
    INDEX(
   "&amp;"   SPLIT(BA4,""&lt;&lt;mechanism to realize the capability&gt;&gt;"",FALSE,FALSE),
      1
    )
  )))=0,
  ""!! Error !! “Capability&amp;Mechanism” column: No Capability:""  &amp; CHAR(10) &amp; ""Describe Capability before separator."",
  INDEX(
    SPLIT(BA4,""&lt;&lt;mechanism to "&amp;"realize the capability&gt;&gt;"",FALSE,FALSE),
    1
  )
 )
)
"),"!! Error !! “Capability&amp;Mechanism” column: No Capability:
Describe Capability before separator.")</f>
        <v>!! Error !! “Capability&amp;Mechanism” column: No Capability:
Describe Capability before separator.</v>
      </c>
      <c r="BE4" s="127"/>
      <c r="BF4" s="141"/>
      <c r="BG4" s="67"/>
      <c r="BH4" s="127"/>
      <c r="BI4" s="140"/>
      <c r="BJ4" s="67"/>
      <c r="BK4" s="42"/>
      <c r="BL4" s="160"/>
      <c r="BM4" s="160"/>
      <c r="BN4" s="67"/>
      <c r="BO4" s="67"/>
      <c r="BP4" s="143"/>
      <c r="BQ4" s="143"/>
      <c r="BR4" s="144"/>
      <c r="BS4" s="144"/>
      <c r="BT4" s="144"/>
      <c r="BU4" s="144"/>
      <c r="BV4" s="144"/>
      <c r="BW4" s="145"/>
      <c r="BX4" s="146" t="str">
        <f t="shared" si="8"/>
        <v/>
      </c>
    </row>
    <row r="5">
      <c r="A5" s="106" t="str">
        <f t="shared" si="1"/>
        <v/>
      </c>
      <c r="B5" s="108" t="str">
        <f t="array" ref="B5">IF(ISBLANK($AE5), "-",INDEX(Circuits!A:A,SUMPRODUCT(EXACT($AE5,Circuits!$A:$A)*ROW(Circuits!$A:$A))))</f>
        <v>-</v>
      </c>
      <c r="C5" s="108" t="str">
        <f t="array" ref="C5">IF(ISBLANK($AE5), "-",INDEX(Circuits!B:B,SUMPRODUCT(EXACT($AE5,Circuits!$A:$A)*ROW(Circuits!$A:$A))))</f>
        <v>-</v>
      </c>
      <c r="D5" s="108" t="str">
        <f t="array" ref="D5">IF(ISBLANK($AE5), "-",INDEX(Circuits!C:C,SUMPRODUCT(EXACT($AE5,Circuits!$A:$A)*ROW(Circuits!$A:$A))))</f>
        <v>-</v>
      </c>
      <c r="E5" s="108" t="str">
        <f t="array" ref="E5">IF(ISBLANK($AE5), "-",INDEX(Circuits!D:D,SUMPRODUCT(EXACT($AE5,Circuits!$A:$A)*ROW(Circuits!$A:$A))))</f>
        <v>-</v>
      </c>
      <c r="F5" s="108" t="str">
        <f t="array" ref="F5">IF(ISBLANK($AE5), "-",INDEX(Circuits!E:E,SUMPRODUCT(EXACT($AE5,Circuits!$A:$A)*ROW(Circuits!$A:$A))))</f>
        <v>-</v>
      </c>
      <c r="G5" s="108" t="str">
        <f t="array" ref="G5">IF(ISBLANK($AE5), "-",INDEX(Circuits!F:F,SUMPRODUCT(EXACT($AE5,Circuits!$A:$A)*ROW(Circuits!$A:$A))))</f>
        <v>-</v>
      </c>
      <c r="H5" s="108" t="str">
        <f t="array" ref="H5">IF(ISBLANK($AE5), "-",INDEX(Circuits!G:G,SUMPRODUCT(EXACT($AE5,Circuits!$A:$A)*ROW(Circuits!$A:$A))))</f>
        <v>-</v>
      </c>
      <c r="I5" s="108" t="str">
        <f t="array" ref="I5">IF(ISBLANK($AE5), "-",INDEX(Circuits!H:H,SUMPRODUCT(EXACT($AE5,Circuits!$A:$A)*ROW(Circuits!$A:$A))))</f>
        <v>-</v>
      </c>
      <c r="J5" s="108" t="str">
        <f t="array" ref="J5">IF(ISBLANK($AE5), "-",INDEX(Circuits!I:I,SUMPRODUCT(EXACT($AE5,Circuits!$A:$A)*ROW(Circuits!$A:$A))))</f>
        <v>-</v>
      </c>
      <c r="K5" s="108" t="str">
        <f t="array" ref="K5">IF(ISBLANK($AE5), "-",INDEX(Circuits!J:J,SUMPRODUCT(EXACT($AE5,Circuits!$A:$A)*ROW(Circuits!$A:$A))))</f>
        <v>-</v>
      </c>
      <c r="L5" s="108" t="str">
        <f t="array" ref="L5">IF(ISBLANK($AE5), "-",INDEX(Circuits!K:K,SUMPRODUCT(EXACT($AE5,Circuits!$A:$A)*ROW(Circuits!$A:$A))))</f>
        <v>-</v>
      </c>
      <c r="M5" s="108" t="str">
        <f t="array" ref="M5">IF(ISBLANK($AE5), "-",INDEX(Circuits!L:L,SUMPRODUCT(EXACT($AE5,Circuits!$A:$A)*ROW(Circuits!$A:$A))))</f>
        <v>-</v>
      </c>
      <c r="N5" s="108" t="str">
        <f t="array" ref="N5">IF(ISBLANK($AE5), "-",INDEX(Circuits!M:M,SUMPRODUCT(EXACT($AE5,Circuits!$A:$A)*ROW(Circuits!$A:$A))))</f>
        <v>-</v>
      </c>
      <c r="O5" s="108" t="str">
        <f t="array" ref="O5">IF(ISBLANK($AE5), "-",INDEX(Circuits!N:N,SUMPRODUCT(EXACT($AE5,Circuits!$A:$A)*ROW(Circuits!$A:$A))))</f>
        <v>-</v>
      </c>
      <c r="P5" s="108" t="str">
        <f t="array" ref="P5">IF(ISBLANK($AE5), "-",INDEX(Circuits!O:O,SUMPRODUCT(EXACT($AE5,Circuits!$A:$A)*ROW(Circuits!$A:$A))))</f>
        <v>-</v>
      </c>
      <c r="Q5" s="108" t="str">
        <f t="array" ref="Q5">IF(ISBLANK($AE5), "-",INDEX(Circuits!P:P,SUMPRODUCT(EXACT($AE5,Circuits!$A:$A)*ROW(Circuits!$A:$A))))</f>
        <v>-</v>
      </c>
      <c r="R5" s="108" t="str">
        <f t="array" ref="R5">IF(ISBLANK($AE5), "-",INDEX(Circuits!Q:Q,SUMPRODUCT(EXACT($AE5,Circuits!$A:$A)*ROW(Circuits!$A:$A))))</f>
        <v>-</v>
      </c>
      <c r="S5" s="108" t="str">
        <f t="array" ref="S5">IF(ISBLANK($AE5), "-",INDEX(Circuits!R:R,SUMPRODUCT(EXACT($AE5,Circuits!$A:$A)*ROW(Circuits!$A:$A))))</f>
        <v>-</v>
      </c>
      <c r="T5" s="108" t="str">
        <f t="array" ref="T5">IF(ISBLANK($AE5), "-",INDEX(Circuits!S:S,SUMPRODUCT(EXACT($AE5,Circuits!$A:$A)*ROW(Circuits!$A:$A))))</f>
        <v>-</v>
      </c>
      <c r="U5" s="108" t="str">
        <f t="array" ref="U5">IF(ISBLANK($AE5), "-",INDEX(Circuits!T:T,SUMPRODUCT(EXACT($AE5,Circuits!$A:$A)*ROW(Circuits!$A:$A))))</f>
        <v>-</v>
      </c>
      <c r="V5" s="108" t="str">
        <f t="array" ref="V5">IF(ISBLANK($AE5), "-",INDEX(Circuits!U:U,SUMPRODUCT(EXACT($AE5,Circuits!$A:$A)*ROW(Circuits!$A:$A))))</f>
        <v>-</v>
      </c>
      <c r="W5" s="108" t="str">
        <f t="array" ref="W5">IF(ISBLANK($AE5), "-",INDEX(Circuits!V:V,SUMPRODUCT(EXACT($AE5,Circuits!$A:$A)*ROW(Circuits!$A:$A))))</f>
        <v>-</v>
      </c>
      <c r="X5" s="108" t="str">
        <f t="array" ref="X5">IF(ISBLANK($AE5), "-",INDEX(Circuits!W:W,SUMPRODUCT(EXACT($AE5,Circuits!$A:$A)*ROW(Circuits!$A:$A))))</f>
        <v>-</v>
      </c>
      <c r="Y5" s="108" t="str">
        <f t="array" ref="Y5">IF(ISBLANK($AE5), "-",INDEX(Circuits!X:X,SUMPRODUCT(EXACT($AE5,Circuits!$A:$A)*ROW(Circuits!$A:$A))))</f>
        <v>-</v>
      </c>
      <c r="Z5" s="108" t="str">
        <f>IFERROR(__xludf.DUMMYFUNCTION("IFNA(CONCATENATE(UNIQUE(FILTER(Connections!R:R,Connections!A:A=B5))),""-"")"),"-")</f>
        <v>-</v>
      </c>
      <c r="AA5" s="119" t="str">
        <f t="array" ref="AA5">IF(ISBLANK($AE5), "-",INDEX(Circuits!Y:Y,SUMPRODUCT(EXACT($AE5,Circuits!$A:$A)*ROW(Circuits!$A:$A))))</f>
        <v>-</v>
      </c>
      <c r="AB5" s="121" t="str">
        <f t="array" ref="AB5">IF(ISBLANK($AE5), "-",INDEX(Circuits!Z:Z,SUMPRODUCT(EXACT($AE5,Circuits!$A:$A)*ROW(Circuits!$A:$A))))</f>
        <v>-</v>
      </c>
      <c r="AC5" s="38"/>
      <c r="AD5" s="38"/>
      <c r="AE5" s="40"/>
      <c r="AF5" s="38"/>
      <c r="AG5" s="126" t="str">
        <f>IFERROR(__xludf.DUMMYFUNCTION("IF(ISBLANK(AF5), """", TEXTJOIN(CHAR(10),TRUE,ARRAYFORMULA(IF(ISERROR(SEARCH(SPLIT(AF5, "";""), $Z5)), ""x"", ""-""))))"),"")</f>
        <v/>
      </c>
      <c r="AH5" s="127" t="str">
        <f>IFERROR(__xludf.DUMMYFUNCTION("IF(ISBLANK(AK5), """", TEXTJOIN("";"" &amp; CHAR(10), TRUE, UNIQUE(SPLIT(AK5, "";"" &amp; CHAR(10)), TRUE))&amp;"";"")"),"")</f>
        <v/>
      </c>
      <c r="AI5" s="128" t="str">
        <f>IFERROR(__xludf.DUMMYFUNCTION("IF(ISBLANK(AD5), IF(ISBLANK(AE5),,IFNA(TEXTJOIN("";"" &amp; CHAR(10), TRUE, FILTER(AE:AE, SEARCH(AE5&amp;"";"", AJ:AJ)))&amp;"";"", """")), TEXTJOIN("";"" &amp; CHAR(10), TRUE, UNIQUE(SPLIT(AH5 &amp; "";"" &amp; AH5 &amp; "";"" &amp; AL5, "";"" &amp; CHAR(10)), TRUE, TRUE))&amp;"";"")"),"")</f>
        <v/>
      </c>
      <c r="AJ5" s="126" t="str">
        <f>IFERROR(__xludf.DUMMYFUNCTION("IF(AN5="""", """", TEXTJOIN("";"" &amp; CHAR(10), TRUE, UNIQUE(SPLIT(AH5 &amp; "";"" &amp; AH5 &amp; "";"" &amp; AN5, "";"" &amp; CHAR(10)), TRUE, TRUE))&amp;"";"")"),"")</f>
        <v/>
      </c>
      <c r="AK5" s="129" t="str">
        <f>IFERROR(__xludf.DUMMYFUNCTION("IF(ISBLANK(AD5), IF(ISBLANK(AE5),,AE5 &amp; "";""), TEXTJOIN(CHAR(10), TRUE, ARRAYFORMULA(VLOOKUP(SPLIT(AD5, "";"" &amp; CHAR(10)), $AC:$AH, 6, FALSE))))"),"")</f>
        <v/>
      </c>
      <c r="AL5" s="130" t="str">
        <f>IFERROR(__xludf.DUMMYFUNCTION("IF(AM5="""", """", TEXTJOIN("";"" &amp; CHAR(10), TRUE, UNIQUE(SPLIT(AM5, "";"" &amp; CHAR(10)), TRUE))&amp;"";"")"),"")</f>
        <v/>
      </c>
      <c r="AM5" s="130" t="str">
        <f>IFERROR(__xludf.DUMMYFUNCTION("IF(ISBLANK(AD5), """", TEXTJOIN(CHAR(10), TRUE, ARRAYFORMULA(VLOOKUP(SPLIT(AH5, "";"" &amp; CHAR(10)), $AE:$AI, 5, FALSE)), AF5))"),"")</f>
        <v/>
      </c>
      <c r="AN5" s="132" t="str">
        <f>IFERROR(__xludf.DUMMYFUNCTION("IF(ISBLANK(AO5), """", TEXTJOIN("";"" &amp; CHAR(10), TRUE, UNIQUE(SPLIT(AO5, "";"" &amp; CHAR(10)), TRUE))&amp;"";"")"),"")</f>
        <v/>
      </c>
      <c r="AO5" s="134" t="str">
        <f>IFERROR(__xludf.DUMMYFUNCTION("IF(ISBLANK(AD5), AF5, TEXTJOIN(CHAR(10), TRUE, ARRAYFORMULA(VLOOKUP(SPLIT(AD5, "";"" &amp; CHAR(10)), $AC:$AN, 12, FALSE))))"),"")</f>
        <v/>
      </c>
      <c r="AP5" s="130" t="str">
        <f>IF(ISBLANK(AE5),,IF(IFERROR(SEARCH(AE5&amp;";",Circuits!$AO$2),0),TRUE,FALSE))</f>
        <v/>
      </c>
      <c r="AQ5" s="130" t="str">
        <f t="shared" si="2"/>
        <v/>
      </c>
      <c r="AR5" s="130" t="str">
        <f t="shared" si="3"/>
        <v/>
      </c>
      <c r="AS5" s="136" t="str">
        <f>IFERROR(__xludf.DUMMYFUNCTION("IF(AH5="""",,SUM(ARRAYFORMULA(IF(IFERROR(SEARCH(SPLIT(AH5,CHAR(10)),Circuits!$AO$2),0)&gt;0,0,1))))"),"")</f>
        <v/>
      </c>
      <c r="AT5" s="138" t="str">
        <f t="shared" si="4"/>
        <v/>
      </c>
      <c r="AU5" s="138" t="str">
        <f t="shared" si="5"/>
        <v/>
      </c>
      <c r="AV5" s="130" t="str">
        <f>IFERROR(__xludf.DUMMYFUNCTION("IF(AI5="""",,TEXTJOIN("", "",TRUE,ARRAYFORMULA(VLOOKUP(SPLIT(AI5,"";""&amp;CHAR(10)),AE:AT,16,FALSE))))"),"")</f>
        <v/>
      </c>
      <c r="AW5" s="130" t="str">
        <f>IFERROR(__xludf.DUMMYFUNCTION("IF(ISBLANK(BK5),,TEXTJOIN("", "",TRUE,ARRAYFORMULA(VLOOKUP(IFERROR(REGEXEXTRACT(SPLIT(BK5,"";""&amp;CHAR(10)),""\[(.+)\]"")),AE:AT,16,false))))"),"")</f>
        <v/>
      </c>
      <c r="AX5" s="139" t="str">
        <f t="shared" si="6"/>
        <v/>
      </c>
      <c r="AY5" s="139" t="str">
        <f t="shared" si="7"/>
        <v/>
      </c>
      <c r="AZ5" s="106" t="str">
        <f>IFERROR(__xludf.DUMMYFUNCTION("IF(ISBLANK(AD5), BC5, TEXTJOIN(CHAR(10) &amp; CHAR(10), TRUE, ARRAYFORMULA(VLOOKUP(SPLIT(AD5, "";"" &amp; CHAR(10)), $AC:$AY, 23, FALSE))))"),"")</f>
        <v/>
      </c>
      <c r="BA5" s="140" t="s">
        <v>66</v>
      </c>
      <c r="BB5" s="127"/>
      <c r="BC5" s="140"/>
      <c r="BD5" s="106" t="str">
        <f>IFERROR(__xludf.DUMMYFUNCTION("IF(IFERROR(SEARCH(""&lt;&lt;mechanism to realize the capability&gt;&gt;"",BA5),0)=0,
 ""!! Error !! “Capability&amp;Mechanism” column: Invalid Separator:"" &amp; CHAR(10) &amp; ""Insert separator “&lt;&lt;mechanism to realize the capability&gt;&gt;.”"",
 IF(
  LEN(TRIM(CLEAN(
    INDEX(
   "&amp;"   SPLIT(BA5,""&lt;&lt;mechanism to realize the capability&gt;&gt;"",FALSE,FALSE),
      1
    )
  )))=0,
  ""!! Error !! “Capability&amp;Mechanism” column: No Capability:""  &amp; CHAR(10) &amp; ""Describe Capability before separator."",
  INDEX(
    SPLIT(BA5,""&lt;&lt;mechanism to "&amp;"realize the capability&gt;&gt;"",FALSE,FALSE),
    1
  )
 )
)
"),"!! Error !! “Capability&amp;Mechanism” column: No Capability:
Describe Capability before separator.")</f>
        <v>!! Error !! “Capability&amp;Mechanism” column: No Capability:
Describe Capability before separator.</v>
      </c>
      <c r="BE5" s="127"/>
      <c r="BF5" s="127"/>
      <c r="BG5" s="140"/>
      <c r="BH5" s="127"/>
      <c r="BI5" s="140"/>
      <c r="BJ5" s="140"/>
      <c r="BK5" s="38"/>
      <c r="BL5" s="47"/>
      <c r="BM5" s="47"/>
      <c r="BN5" s="140"/>
      <c r="BO5" s="140"/>
      <c r="BP5" s="143"/>
      <c r="BQ5" s="143"/>
      <c r="BR5" s="144"/>
      <c r="BS5" s="144"/>
      <c r="BT5" s="144"/>
      <c r="BU5" s="144"/>
      <c r="BV5" s="144"/>
      <c r="BW5" s="145"/>
      <c r="BX5" s="146" t="str">
        <f t="shared" si="8"/>
        <v/>
      </c>
    </row>
    <row r="6">
      <c r="A6" s="106" t="str">
        <f t="shared" si="1"/>
        <v/>
      </c>
      <c r="B6" s="108" t="str">
        <f t="array" ref="B6">IF(ISBLANK($AE6), "-",INDEX(Circuits!A:A,SUMPRODUCT(EXACT($AE6,Circuits!$A:$A)*ROW(Circuits!$A:$A))))</f>
        <v>-</v>
      </c>
      <c r="C6" s="108" t="str">
        <f t="array" ref="C6">IF(ISBLANK($AE6), "-",INDEX(Circuits!B:B,SUMPRODUCT(EXACT($AE6,Circuits!$A:$A)*ROW(Circuits!$A:$A))))</f>
        <v>-</v>
      </c>
      <c r="D6" s="108" t="str">
        <f t="array" ref="D6">IF(ISBLANK($AE6), "-",INDEX(Circuits!C:C,SUMPRODUCT(EXACT($AE6,Circuits!$A:$A)*ROW(Circuits!$A:$A))))</f>
        <v>-</v>
      </c>
      <c r="E6" s="108" t="str">
        <f t="array" ref="E6">IF(ISBLANK($AE6), "-",INDEX(Circuits!D:D,SUMPRODUCT(EXACT($AE6,Circuits!$A:$A)*ROW(Circuits!$A:$A))))</f>
        <v>-</v>
      </c>
      <c r="F6" s="108" t="str">
        <f t="array" ref="F6">IF(ISBLANK($AE6), "-",INDEX(Circuits!E:E,SUMPRODUCT(EXACT($AE6,Circuits!$A:$A)*ROW(Circuits!$A:$A))))</f>
        <v>-</v>
      </c>
      <c r="G6" s="108" t="str">
        <f t="array" ref="G6">IF(ISBLANK($AE6), "-",INDEX(Circuits!F:F,SUMPRODUCT(EXACT($AE6,Circuits!$A:$A)*ROW(Circuits!$A:$A))))</f>
        <v>-</v>
      </c>
      <c r="H6" s="108" t="str">
        <f t="array" ref="H6">IF(ISBLANK($AE6), "-",INDEX(Circuits!G:G,SUMPRODUCT(EXACT($AE6,Circuits!$A:$A)*ROW(Circuits!$A:$A))))</f>
        <v>-</v>
      </c>
      <c r="I6" s="108" t="str">
        <f t="array" ref="I6">IF(ISBLANK($AE6), "-",INDEX(Circuits!H:H,SUMPRODUCT(EXACT($AE6,Circuits!$A:$A)*ROW(Circuits!$A:$A))))</f>
        <v>-</v>
      </c>
      <c r="J6" s="108" t="str">
        <f t="array" ref="J6">IF(ISBLANK($AE6), "-",INDEX(Circuits!I:I,SUMPRODUCT(EXACT($AE6,Circuits!$A:$A)*ROW(Circuits!$A:$A))))</f>
        <v>-</v>
      </c>
      <c r="K6" s="108" t="str">
        <f t="array" ref="K6">IF(ISBLANK($AE6), "-",INDEX(Circuits!J:J,SUMPRODUCT(EXACT($AE6,Circuits!$A:$A)*ROW(Circuits!$A:$A))))</f>
        <v>-</v>
      </c>
      <c r="L6" s="108" t="str">
        <f t="array" ref="L6">IF(ISBLANK($AE6), "-",INDEX(Circuits!K:K,SUMPRODUCT(EXACT($AE6,Circuits!$A:$A)*ROW(Circuits!$A:$A))))</f>
        <v>-</v>
      </c>
      <c r="M6" s="108" t="str">
        <f t="array" ref="M6">IF(ISBLANK($AE6), "-",INDEX(Circuits!L:L,SUMPRODUCT(EXACT($AE6,Circuits!$A:$A)*ROW(Circuits!$A:$A))))</f>
        <v>-</v>
      </c>
      <c r="N6" s="108" t="str">
        <f t="array" ref="N6">IF(ISBLANK($AE6), "-",INDEX(Circuits!M:M,SUMPRODUCT(EXACT($AE6,Circuits!$A:$A)*ROW(Circuits!$A:$A))))</f>
        <v>-</v>
      </c>
      <c r="O6" s="108" t="str">
        <f t="array" ref="O6">IF(ISBLANK($AE6), "-",INDEX(Circuits!N:N,SUMPRODUCT(EXACT($AE6,Circuits!$A:$A)*ROW(Circuits!$A:$A))))</f>
        <v>-</v>
      </c>
      <c r="P6" s="108" t="str">
        <f t="array" ref="P6">IF(ISBLANK($AE6), "-",INDEX(Circuits!O:O,SUMPRODUCT(EXACT($AE6,Circuits!$A:$A)*ROW(Circuits!$A:$A))))</f>
        <v>-</v>
      </c>
      <c r="Q6" s="108" t="str">
        <f t="array" ref="Q6">IF(ISBLANK($AE6), "-",INDEX(Circuits!P:P,SUMPRODUCT(EXACT($AE6,Circuits!$A:$A)*ROW(Circuits!$A:$A))))</f>
        <v>-</v>
      </c>
      <c r="R6" s="108" t="str">
        <f t="array" ref="R6">IF(ISBLANK($AE6), "-",INDEX(Circuits!Q:Q,SUMPRODUCT(EXACT($AE6,Circuits!$A:$A)*ROW(Circuits!$A:$A))))</f>
        <v>-</v>
      </c>
      <c r="S6" s="108" t="str">
        <f t="array" ref="S6">IF(ISBLANK($AE6), "-",INDEX(Circuits!R:R,SUMPRODUCT(EXACT($AE6,Circuits!$A:$A)*ROW(Circuits!$A:$A))))</f>
        <v>-</v>
      </c>
      <c r="T6" s="108" t="str">
        <f t="array" ref="T6">IF(ISBLANK($AE6), "-",INDEX(Circuits!S:S,SUMPRODUCT(EXACT($AE6,Circuits!$A:$A)*ROW(Circuits!$A:$A))))</f>
        <v>-</v>
      </c>
      <c r="U6" s="108" t="str">
        <f t="array" ref="U6">IF(ISBLANK($AE6), "-",INDEX(Circuits!T:T,SUMPRODUCT(EXACT($AE6,Circuits!$A:$A)*ROW(Circuits!$A:$A))))</f>
        <v>-</v>
      </c>
      <c r="V6" s="108" t="str">
        <f t="array" ref="V6">IF(ISBLANK($AE6), "-",INDEX(Circuits!U:U,SUMPRODUCT(EXACT($AE6,Circuits!$A:$A)*ROW(Circuits!$A:$A))))</f>
        <v>-</v>
      </c>
      <c r="W6" s="108" t="str">
        <f t="array" ref="W6">IF(ISBLANK($AE6), "-",INDEX(Circuits!V:V,SUMPRODUCT(EXACT($AE6,Circuits!$A:$A)*ROW(Circuits!$A:$A))))</f>
        <v>-</v>
      </c>
      <c r="X6" s="108" t="str">
        <f t="array" ref="X6">IF(ISBLANK($AE6), "-",INDEX(Circuits!W:W,SUMPRODUCT(EXACT($AE6,Circuits!$A:$A)*ROW(Circuits!$A:$A))))</f>
        <v>-</v>
      </c>
      <c r="Y6" s="108" t="str">
        <f t="array" ref="Y6">IF(ISBLANK($AE6), "-",INDEX(Circuits!X:X,SUMPRODUCT(EXACT($AE6,Circuits!$A:$A)*ROW(Circuits!$A:$A))))</f>
        <v>-</v>
      </c>
      <c r="Z6" s="108" t="str">
        <f>IFERROR(__xludf.DUMMYFUNCTION("IFNA(CONCATENATE(UNIQUE(FILTER(Connections!R:R,Connections!A:A=B6))),""-"")"),"-")</f>
        <v>-</v>
      </c>
      <c r="AA6" s="119" t="str">
        <f t="array" ref="AA6">IF(ISBLANK($AE6), "-",INDEX(Circuits!Y:Y,SUMPRODUCT(EXACT($AE6,Circuits!$A:$A)*ROW(Circuits!$A:$A))))</f>
        <v>-</v>
      </c>
      <c r="AB6" s="121" t="str">
        <f t="array" ref="AB6">IF(ISBLANK($AE6), "-",INDEX(Circuits!Z:Z,SUMPRODUCT(EXACT($AE6,Circuits!$A:$A)*ROW(Circuits!$A:$A))))</f>
        <v>-</v>
      </c>
      <c r="AC6" s="38"/>
      <c r="AD6" s="38"/>
      <c r="AE6" s="40"/>
      <c r="AF6" s="38"/>
      <c r="AG6" s="126" t="str">
        <f>IFERROR(__xludf.DUMMYFUNCTION("IF(ISBLANK(AF6), """", TEXTJOIN(CHAR(10),TRUE,ARRAYFORMULA(IF(ISERROR(SEARCH(SPLIT(AF6, "";""), $Z6)), ""x"", ""-""))))"),"")</f>
        <v/>
      </c>
      <c r="AH6" s="127" t="str">
        <f>IFERROR(__xludf.DUMMYFUNCTION("IF(ISBLANK(AK6), """", TEXTJOIN("";"" &amp; CHAR(10), TRUE, UNIQUE(SPLIT(AK6, "";"" &amp; CHAR(10)), TRUE))&amp;"";"")"),"")</f>
        <v/>
      </c>
      <c r="AI6" s="128" t="str">
        <f>IFERROR(__xludf.DUMMYFUNCTION("IF(ISBLANK(AD6), IF(ISBLANK(AE6),,IFNA(TEXTJOIN("";"" &amp; CHAR(10), TRUE, FILTER(AE:AE, SEARCH(AE6&amp;"";"", AJ:AJ)))&amp;"";"", """")), TEXTJOIN("";"" &amp; CHAR(10), TRUE, UNIQUE(SPLIT(AH6 &amp; "";"" &amp; AH6 &amp; "";"" &amp; AL6, "";"" &amp; CHAR(10)), TRUE, TRUE))&amp;"";"")"),"")</f>
        <v/>
      </c>
      <c r="AJ6" s="126" t="str">
        <f>IFERROR(__xludf.DUMMYFUNCTION("IF(AN6="""", """", TEXTJOIN("";"" &amp; CHAR(10), TRUE, UNIQUE(SPLIT(AH6 &amp; "";"" &amp; AH6 &amp; "";"" &amp; AN6, "";"" &amp; CHAR(10)), TRUE, TRUE))&amp;"";"")"),"")</f>
        <v/>
      </c>
      <c r="AK6" s="129" t="str">
        <f>IFERROR(__xludf.DUMMYFUNCTION("IF(ISBLANK(AD6), IF(ISBLANK(AE6),,AE6 &amp; "";""), TEXTJOIN(CHAR(10), TRUE, ARRAYFORMULA(VLOOKUP(SPLIT(AD6, "";"" &amp; CHAR(10)), $AC:$AH, 6, FALSE))))"),"")</f>
        <v/>
      </c>
      <c r="AL6" s="130" t="str">
        <f>IFERROR(__xludf.DUMMYFUNCTION("IF(AM6="""", """", TEXTJOIN("";"" &amp; CHAR(10), TRUE, UNIQUE(SPLIT(AM6, "";"" &amp; CHAR(10)), TRUE))&amp;"";"")"),"")</f>
        <v/>
      </c>
      <c r="AM6" s="130" t="str">
        <f>IFERROR(__xludf.DUMMYFUNCTION("IF(ISBLANK(AD6), """", TEXTJOIN(CHAR(10), TRUE, ARRAYFORMULA(VLOOKUP(SPLIT(AH6, "";"" &amp; CHAR(10)), $AE:$AI, 5, FALSE)), AF6))"),"")</f>
        <v/>
      </c>
      <c r="AN6" s="132" t="str">
        <f>IFERROR(__xludf.DUMMYFUNCTION("IF(ISBLANK(AO6), """", TEXTJOIN("";"" &amp; CHAR(10), TRUE, UNIQUE(SPLIT(AO6, "";"" &amp; CHAR(10)), TRUE))&amp;"";"")"),"")</f>
        <v/>
      </c>
      <c r="AO6" s="134" t="str">
        <f>IFERROR(__xludf.DUMMYFUNCTION("IF(ISBLANK(AD6), AF6, TEXTJOIN(CHAR(10), TRUE, ARRAYFORMULA(VLOOKUP(SPLIT(AD6, "";"" &amp; CHAR(10)), $AC:$AN, 12, FALSE))))"),"")</f>
        <v/>
      </c>
      <c r="AP6" s="130" t="str">
        <f>IF(ISBLANK(AE6),,IF(IFERROR(SEARCH(AE6&amp;";",Circuits!$AO$2),0),TRUE,FALSE))</f>
        <v/>
      </c>
      <c r="AQ6" s="130" t="str">
        <f t="shared" si="2"/>
        <v/>
      </c>
      <c r="AR6" s="130" t="str">
        <f t="shared" si="3"/>
        <v/>
      </c>
      <c r="AS6" s="136" t="str">
        <f>IFERROR(__xludf.DUMMYFUNCTION("IF(AH6="""",,SUM(ARRAYFORMULA(IF(IFERROR(SEARCH(SPLIT(AH6,CHAR(10)),Circuits!$AO$2),0)&gt;0,0,1))))"),"")</f>
        <v/>
      </c>
      <c r="AT6" s="138" t="str">
        <f t="shared" si="4"/>
        <v/>
      </c>
      <c r="AU6" s="138" t="str">
        <f t="shared" si="5"/>
        <v/>
      </c>
      <c r="AV6" s="130" t="str">
        <f>IFERROR(__xludf.DUMMYFUNCTION("IF(AI6="""",,TEXTJOIN("", "",TRUE,ARRAYFORMULA(VLOOKUP(SPLIT(AI6,"";""&amp;CHAR(10)),AE:AT,16,FALSE))))"),"")</f>
        <v/>
      </c>
      <c r="AW6" s="130" t="str">
        <f>IFERROR(__xludf.DUMMYFUNCTION("IF(ISBLANK(BK6),,TEXTJOIN("", "",TRUE,ARRAYFORMULA(VLOOKUP(IFERROR(REGEXEXTRACT(SPLIT(BK6,"";""&amp;CHAR(10)),""\[(.+)\]"")),AE:AT,16,false))))"),"")</f>
        <v/>
      </c>
      <c r="AX6" s="139" t="str">
        <f t="shared" si="6"/>
        <v/>
      </c>
      <c r="AY6" s="139" t="str">
        <f t="shared" si="7"/>
        <v/>
      </c>
      <c r="AZ6" s="106" t="str">
        <f>IFERROR(__xludf.DUMMYFUNCTION("IF(ISBLANK(AD6), BC6, TEXTJOIN(CHAR(10) &amp; CHAR(10), TRUE, ARRAYFORMULA(VLOOKUP(SPLIT(AD6, "";"" &amp; CHAR(10)), $AC:$AY, 23, FALSE))))"),"")</f>
        <v/>
      </c>
      <c r="BA6" s="140" t="s">
        <v>66</v>
      </c>
      <c r="BB6" s="127"/>
      <c r="BC6" s="140"/>
      <c r="BD6" s="106" t="str">
        <f>IFERROR(__xludf.DUMMYFUNCTION("IF(IFERROR(SEARCH(""&lt;&lt;mechanism to realize the capability&gt;&gt;"",BA6),0)=0,
 ""!! Error !! “Capability&amp;Mechanism” column: Invalid Separator:"" &amp; CHAR(10) &amp; ""Insert separator “&lt;&lt;mechanism to realize the capability&gt;&gt;.”"",
 IF(
  LEN(TRIM(CLEAN(
    INDEX(
   "&amp;"   SPLIT(BA6,""&lt;&lt;mechanism to realize the capability&gt;&gt;"",FALSE,FALSE),
      1
    )
  )))=0,
  ""!! Error !! “Capability&amp;Mechanism” column: No Capability:""  &amp; CHAR(10) &amp; ""Describe Capability before separator."",
  INDEX(
    SPLIT(BA6,""&lt;&lt;mechanism to "&amp;"realize the capability&gt;&gt;"",FALSE,FALSE),
    1
  )
 )
)
"),"!! Error !! “Capability&amp;Mechanism” column: No Capability:
Describe Capability before separator.")</f>
        <v>!! Error !! “Capability&amp;Mechanism” column: No Capability:
Describe Capability before separator.</v>
      </c>
      <c r="BE6" s="127"/>
      <c r="BF6" s="127"/>
      <c r="BG6" s="140"/>
      <c r="BH6" s="127"/>
      <c r="BI6" s="140"/>
      <c r="BJ6" s="140"/>
      <c r="BK6" s="38"/>
      <c r="BL6" s="47"/>
      <c r="BM6" s="47"/>
      <c r="BN6" s="140"/>
      <c r="BO6" s="140"/>
      <c r="BP6" s="143"/>
      <c r="BQ6" s="143"/>
      <c r="BR6" s="144"/>
      <c r="BS6" s="144"/>
      <c r="BT6" s="144"/>
      <c r="BU6" s="144"/>
      <c r="BV6" s="144"/>
      <c r="BW6" s="145"/>
      <c r="BX6" s="146" t="str">
        <f t="shared" si="8"/>
        <v/>
      </c>
    </row>
    <row r="7">
      <c r="A7" s="106" t="str">
        <f t="shared" si="1"/>
        <v/>
      </c>
      <c r="B7" s="108" t="str">
        <f t="array" ref="B7">IF(ISBLANK($AE7), "-",INDEX(Circuits!A:A,SUMPRODUCT(EXACT($AE7,Circuits!$A:$A)*ROW(Circuits!$A:$A))))</f>
        <v>-</v>
      </c>
      <c r="C7" s="108" t="str">
        <f t="array" ref="C7">IF(ISBLANK($AE7), "-",INDEX(Circuits!B:B,SUMPRODUCT(EXACT($AE7,Circuits!$A:$A)*ROW(Circuits!$A:$A))))</f>
        <v>-</v>
      </c>
      <c r="D7" s="108" t="str">
        <f t="array" ref="D7">IF(ISBLANK($AE7), "-",INDEX(Circuits!C:C,SUMPRODUCT(EXACT($AE7,Circuits!$A:$A)*ROW(Circuits!$A:$A))))</f>
        <v>-</v>
      </c>
      <c r="E7" s="108" t="str">
        <f t="array" ref="E7">IF(ISBLANK($AE7), "-",INDEX(Circuits!D:D,SUMPRODUCT(EXACT($AE7,Circuits!$A:$A)*ROW(Circuits!$A:$A))))</f>
        <v>-</v>
      </c>
      <c r="F7" s="108" t="str">
        <f t="array" ref="F7">IF(ISBLANK($AE7), "-",INDEX(Circuits!E:E,SUMPRODUCT(EXACT($AE7,Circuits!$A:$A)*ROW(Circuits!$A:$A))))</f>
        <v>-</v>
      </c>
      <c r="G7" s="108" t="str">
        <f t="array" ref="G7">IF(ISBLANK($AE7), "-",INDEX(Circuits!F:F,SUMPRODUCT(EXACT($AE7,Circuits!$A:$A)*ROW(Circuits!$A:$A))))</f>
        <v>-</v>
      </c>
      <c r="H7" s="108" t="str">
        <f t="array" ref="H7">IF(ISBLANK($AE7), "-",INDEX(Circuits!G:G,SUMPRODUCT(EXACT($AE7,Circuits!$A:$A)*ROW(Circuits!$A:$A))))</f>
        <v>-</v>
      </c>
      <c r="I7" s="108" t="str">
        <f t="array" ref="I7">IF(ISBLANK($AE7), "-",INDEX(Circuits!H:H,SUMPRODUCT(EXACT($AE7,Circuits!$A:$A)*ROW(Circuits!$A:$A))))</f>
        <v>-</v>
      </c>
      <c r="J7" s="108" t="str">
        <f t="array" ref="J7">IF(ISBLANK($AE7), "-",INDEX(Circuits!I:I,SUMPRODUCT(EXACT($AE7,Circuits!$A:$A)*ROW(Circuits!$A:$A))))</f>
        <v>-</v>
      </c>
      <c r="K7" s="108" t="str">
        <f t="array" ref="K7">IF(ISBLANK($AE7), "-",INDEX(Circuits!J:J,SUMPRODUCT(EXACT($AE7,Circuits!$A:$A)*ROW(Circuits!$A:$A))))</f>
        <v>-</v>
      </c>
      <c r="L7" s="108" t="str">
        <f t="array" ref="L7">IF(ISBLANK($AE7), "-",INDEX(Circuits!K:K,SUMPRODUCT(EXACT($AE7,Circuits!$A:$A)*ROW(Circuits!$A:$A))))</f>
        <v>-</v>
      </c>
      <c r="M7" s="108" t="str">
        <f t="array" ref="M7">IF(ISBLANK($AE7), "-",INDEX(Circuits!L:L,SUMPRODUCT(EXACT($AE7,Circuits!$A:$A)*ROW(Circuits!$A:$A))))</f>
        <v>-</v>
      </c>
      <c r="N7" s="108" t="str">
        <f t="array" ref="N7">IF(ISBLANK($AE7), "-",INDEX(Circuits!M:M,SUMPRODUCT(EXACT($AE7,Circuits!$A:$A)*ROW(Circuits!$A:$A))))</f>
        <v>-</v>
      </c>
      <c r="O7" s="108" t="str">
        <f t="array" ref="O7">IF(ISBLANK($AE7), "-",INDEX(Circuits!N:N,SUMPRODUCT(EXACT($AE7,Circuits!$A:$A)*ROW(Circuits!$A:$A))))</f>
        <v>-</v>
      </c>
      <c r="P7" s="108" t="str">
        <f t="array" ref="P7">IF(ISBLANK($AE7), "-",INDEX(Circuits!O:O,SUMPRODUCT(EXACT($AE7,Circuits!$A:$A)*ROW(Circuits!$A:$A))))</f>
        <v>-</v>
      </c>
      <c r="Q7" s="108" t="str">
        <f t="array" ref="Q7">IF(ISBLANK($AE7), "-",INDEX(Circuits!P:P,SUMPRODUCT(EXACT($AE7,Circuits!$A:$A)*ROW(Circuits!$A:$A))))</f>
        <v>-</v>
      </c>
      <c r="R7" s="108" t="str">
        <f t="array" ref="R7">IF(ISBLANK($AE7), "-",INDEX(Circuits!Q:Q,SUMPRODUCT(EXACT($AE7,Circuits!$A:$A)*ROW(Circuits!$A:$A))))</f>
        <v>-</v>
      </c>
      <c r="S7" s="108" t="str">
        <f t="array" ref="S7">IF(ISBLANK($AE7), "-",INDEX(Circuits!R:R,SUMPRODUCT(EXACT($AE7,Circuits!$A:$A)*ROW(Circuits!$A:$A))))</f>
        <v>-</v>
      </c>
      <c r="T7" s="108" t="str">
        <f t="array" ref="T7">IF(ISBLANK($AE7), "-",INDEX(Circuits!S:S,SUMPRODUCT(EXACT($AE7,Circuits!$A:$A)*ROW(Circuits!$A:$A))))</f>
        <v>-</v>
      </c>
      <c r="U7" s="108" t="str">
        <f t="array" ref="U7">IF(ISBLANK($AE7), "-",INDEX(Circuits!T:T,SUMPRODUCT(EXACT($AE7,Circuits!$A:$A)*ROW(Circuits!$A:$A))))</f>
        <v>-</v>
      </c>
      <c r="V7" s="108" t="str">
        <f t="array" ref="V7">IF(ISBLANK($AE7), "-",INDEX(Circuits!U:U,SUMPRODUCT(EXACT($AE7,Circuits!$A:$A)*ROW(Circuits!$A:$A))))</f>
        <v>-</v>
      </c>
      <c r="W7" s="108" t="str">
        <f t="array" ref="W7">IF(ISBLANK($AE7), "-",INDEX(Circuits!V:V,SUMPRODUCT(EXACT($AE7,Circuits!$A:$A)*ROW(Circuits!$A:$A))))</f>
        <v>-</v>
      </c>
      <c r="X7" s="108" t="str">
        <f t="array" ref="X7">IF(ISBLANK($AE7), "-",INDEX(Circuits!W:W,SUMPRODUCT(EXACT($AE7,Circuits!$A:$A)*ROW(Circuits!$A:$A))))</f>
        <v>-</v>
      </c>
      <c r="Y7" s="108" t="str">
        <f t="array" ref="Y7">IF(ISBLANK($AE7), "-",INDEX(Circuits!X:X,SUMPRODUCT(EXACT($AE7,Circuits!$A:$A)*ROW(Circuits!$A:$A))))</f>
        <v>-</v>
      </c>
      <c r="Z7" s="108" t="str">
        <f>IFERROR(__xludf.DUMMYFUNCTION("IFNA(CONCATENATE(UNIQUE(FILTER(Connections!R:R,Connections!A:A=B7))),""-"")"),"-")</f>
        <v>-</v>
      </c>
      <c r="AA7" s="119" t="str">
        <f t="array" ref="AA7">IF(ISBLANK($AE7), "-",INDEX(Circuits!Y:Y,SUMPRODUCT(EXACT($AE7,Circuits!$A:$A)*ROW(Circuits!$A:$A))))</f>
        <v>-</v>
      </c>
      <c r="AB7" s="121" t="str">
        <f t="array" ref="AB7">IF(ISBLANK($AE7), "-",INDEX(Circuits!Z:Z,SUMPRODUCT(EXACT($AE7,Circuits!$A:$A)*ROW(Circuits!$A:$A))))</f>
        <v>-</v>
      </c>
      <c r="AC7" s="38"/>
      <c r="AD7" s="38"/>
      <c r="AE7" s="40"/>
      <c r="AF7" s="38"/>
      <c r="AG7" s="126" t="str">
        <f>IFERROR(__xludf.DUMMYFUNCTION("IF(ISBLANK(AF7), """", TEXTJOIN(CHAR(10),TRUE,ARRAYFORMULA(IF(ISERROR(SEARCH(SPLIT(AF7, "";""), $Z7)), ""x"", ""-""))))"),"")</f>
        <v/>
      </c>
      <c r="AH7" s="127" t="str">
        <f>IFERROR(__xludf.DUMMYFUNCTION("IF(ISBLANK(AK7), """", TEXTJOIN("";"" &amp; CHAR(10), TRUE, UNIQUE(SPLIT(AK7, "";"" &amp; CHAR(10)), TRUE))&amp;"";"")"),"")</f>
        <v/>
      </c>
      <c r="AI7" s="128" t="str">
        <f>IFERROR(__xludf.DUMMYFUNCTION("IF(ISBLANK(AD7), IF(ISBLANK(AE7),,IFNA(TEXTJOIN("";"" &amp; CHAR(10), TRUE, FILTER(AE:AE, SEARCH(AE7&amp;"";"", AJ:AJ)))&amp;"";"", """")), TEXTJOIN("";"" &amp; CHAR(10), TRUE, UNIQUE(SPLIT(AH7 &amp; "";"" &amp; AH7 &amp; "";"" &amp; AL7, "";"" &amp; CHAR(10)), TRUE, TRUE))&amp;"";"")"),"")</f>
        <v/>
      </c>
      <c r="AJ7" s="126" t="str">
        <f>IFERROR(__xludf.DUMMYFUNCTION("IF(AN7="""", """", TEXTJOIN("";"" &amp; CHAR(10), TRUE, UNIQUE(SPLIT(AH7 &amp; "";"" &amp; AH7 &amp; "";"" &amp; AN7, "";"" &amp; CHAR(10)), TRUE, TRUE))&amp;"";"")"),"")</f>
        <v/>
      </c>
      <c r="AK7" s="129" t="str">
        <f>IFERROR(__xludf.DUMMYFUNCTION("IF(ISBLANK(AD7), IF(ISBLANK(AE7),,AE7 &amp; "";""), TEXTJOIN(CHAR(10), TRUE, ARRAYFORMULA(VLOOKUP(SPLIT(AD7, "";"" &amp; CHAR(10)), $AC:$AH, 6, FALSE))))"),"")</f>
        <v/>
      </c>
      <c r="AL7" s="130" t="str">
        <f>IFERROR(__xludf.DUMMYFUNCTION("IF(AM7="""", """", TEXTJOIN("";"" &amp; CHAR(10), TRUE, UNIQUE(SPLIT(AM7, "";"" &amp; CHAR(10)), TRUE))&amp;"";"")"),"")</f>
        <v/>
      </c>
      <c r="AM7" s="130" t="str">
        <f>IFERROR(__xludf.DUMMYFUNCTION("IF(ISBLANK(AD7), """", TEXTJOIN(CHAR(10), TRUE, ARRAYFORMULA(VLOOKUP(SPLIT(AH7, "";"" &amp; CHAR(10)), $AE:$AI, 5, FALSE)), AF7))"),"")</f>
        <v/>
      </c>
      <c r="AN7" s="132" t="str">
        <f>IFERROR(__xludf.DUMMYFUNCTION("IF(ISBLANK(AO7), """", TEXTJOIN("";"" &amp; CHAR(10), TRUE, UNIQUE(SPLIT(AO7, "";"" &amp; CHAR(10)), TRUE))&amp;"";"")"),"")</f>
        <v/>
      </c>
      <c r="AO7" s="134" t="str">
        <f>IFERROR(__xludf.DUMMYFUNCTION("IF(ISBLANK(AD7), AF7, TEXTJOIN(CHAR(10), TRUE, ARRAYFORMULA(VLOOKUP(SPLIT(AD7, "";"" &amp; CHAR(10)), $AC:$AN, 12, FALSE))))"),"")</f>
        <v/>
      </c>
      <c r="AP7" s="130" t="str">
        <f>IF(ISBLANK(AE7),,IF(IFERROR(SEARCH(AE7&amp;";",Circuits!$AO$2),0),TRUE,FALSE))</f>
        <v/>
      </c>
      <c r="AQ7" s="130" t="str">
        <f t="shared" si="2"/>
        <v/>
      </c>
      <c r="AR7" s="130" t="str">
        <f t="shared" si="3"/>
        <v/>
      </c>
      <c r="AS7" s="136" t="str">
        <f>IFERROR(__xludf.DUMMYFUNCTION("IF(AH7="""",,SUM(ARRAYFORMULA(IF(IFERROR(SEARCH(SPLIT(AH7,CHAR(10)),Circuits!$AO$2),0)&gt;0,0,1))))"),"")</f>
        <v/>
      </c>
      <c r="AT7" s="138" t="str">
        <f t="shared" si="4"/>
        <v/>
      </c>
      <c r="AU7" s="138" t="str">
        <f t="shared" si="5"/>
        <v/>
      </c>
      <c r="AV7" s="130" t="str">
        <f>IFERROR(__xludf.DUMMYFUNCTION("IF(AI7="""",,TEXTJOIN("", "",TRUE,ARRAYFORMULA(VLOOKUP(SPLIT(AI7,"";""&amp;CHAR(10)),AE:AT,16,FALSE))))"),"")</f>
        <v/>
      </c>
      <c r="AW7" s="130" t="str">
        <f>IFERROR(__xludf.DUMMYFUNCTION("IF(ISBLANK(BK7),,TEXTJOIN("", "",TRUE,ARRAYFORMULA(VLOOKUP(IFERROR(REGEXEXTRACT(SPLIT(BK7,"";""&amp;CHAR(10)),""\[(.+)\]"")),AE:AT,16,false))))"),"")</f>
        <v/>
      </c>
      <c r="AX7" s="139" t="str">
        <f t="shared" si="6"/>
        <v/>
      </c>
      <c r="AY7" s="139" t="str">
        <f t="shared" si="7"/>
        <v/>
      </c>
      <c r="AZ7" s="106" t="str">
        <f>IFERROR(__xludf.DUMMYFUNCTION("IF(ISBLANK(AD7), BC7, TEXTJOIN(CHAR(10) &amp; CHAR(10), TRUE, ARRAYFORMULA(VLOOKUP(SPLIT(AD7, "";"" &amp; CHAR(10)), $AC:$AY, 23, FALSE))))"),"")</f>
        <v/>
      </c>
      <c r="BA7" s="140" t="s">
        <v>66</v>
      </c>
      <c r="BB7" s="127"/>
      <c r="BC7" s="140"/>
      <c r="BD7" s="106" t="str">
        <f>IFERROR(__xludf.DUMMYFUNCTION("IF(IFERROR(SEARCH(""&lt;&lt;mechanism to realize the capability&gt;&gt;"",BA7),0)=0,
 ""!! Error !! “Capability&amp;Mechanism” column: Invalid Separator:"" &amp; CHAR(10) &amp; ""Insert separator “&lt;&lt;mechanism to realize the capability&gt;&gt;.”"",
 IF(
  LEN(TRIM(CLEAN(
    INDEX(
   "&amp;"   SPLIT(BA7,""&lt;&lt;mechanism to realize the capability&gt;&gt;"",FALSE,FALSE),
      1
    )
  )))=0,
  ""!! Error !! “Capability&amp;Mechanism” column: No Capability:""  &amp; CHAR(10) &amp; ""Describe Capability before separator."",
  INDEX(
    SPLIT(BA7,""&lt;&lt;mechanism to "&amp;"realize the capability&gt;&gt;"",FALSE,FALSE),
    1
  )
 )
)
"),"!! Error !! “Capability&amp;Mechanism” column: No Capability:
Describe Capability before separator.")</f>
        <v>!! Error !! “Capability&amp;Mechanism” column: No Capability:
Describe Capability before separator.</v>
      </c>
      <c r="BE7" s="127"/>
      <c r="BF7" s="141"/>
      <c r="BG7" s="67"/>
      <c r="BH7" s="127"/>
      <c r="BI7" s="140"/>
      <c r="BJ7" s="67"/>
      <c r="BK7" s="42"/>
      <c r="BL7" s="142"/>
      <c r="BM7" s="142"/>
      <c r="BN7" s="67"/>
      <c r="BO7" s="67"/>
      <c r="BP7" s="143"/>
      <c r="BQ7" s="143"/>
      <c r="BR7" s="144"/>
      <c r="BS7" s="144"/>
      <c r="BT7" s="144"/>
      <c r="BU7" s="144"/>
      <c r="BV7" s="144"/>
      <c r="BW7" s="145"/>
      <c r="BX7" s="146" t="str">
        <f t="shared" si="8"/>
        <v/>
      </c>
    </row>
    <row r="8">
      <c r="A8" s="106" t="str">
        <f t="shared" si="1"/>
        <v/>
      </c>
      <c r="B8" s="108" t="str">
        <f t="array" ref="B8">IF(ISBLANK($AE8), "-",INDEX(Circuits!A:A,SUMPRODUCT(EXACT($AE8,Circuits!$A:$A)*ROW(Circuits!$A:$A))))</f>
        <v>-</v>
      </c>
      <c r="C8" s="108" t="str">
        <f t="array" ref="C8">IF(ISBLANK($AE8), "-",INDEX(Circuits!B:B,SUMPRODUCT(EXACT($AE8,Circuits!$A:$A)*ROW(Circuits!$A:$A))))</f>
        <v>-</v>
      </c>
      <c r="D8" s="108" t="str">
        <f t="array" ref="D8">IF(ISBLANK($AE8), "-",INDEX(Circuits!C:C,SUMPRODUCT(EXACT($AE8,Circuits!$A:$A)*ROW(Circuits!$A:$A))))</f>
        <v>-</v>
      </c>
      <c r="E8" s="108" t="str">
        <f t="array" ref="E8">IF(ISBLANK($AE8), "-",INDEX(Circuits!D:D,SUMPRODUCT(EXACT($AE8,Circuits!$A:$A)*ROW(Circuits!$A:$A))))</f>
        <v>-</v>
      </c>
      <c r="F8" s="108" t="str">
        <f t="array" ref="F8">IF(ISBLANK($AE8), "-",INDEX(Circuits!E:E,SUMPRODUCT(EXACT($AE8,Circuits!$A:$A)*ROW(Circuits!$A:$A))))</f>
        <v>-</v>
      </c>
      <c r="G8" s="108" t="str">
        <f t="array" ref="G8">IF(ISBLANK($AE8), "-",INDEX(Circuits!F:F,SUMPRODUCT(EXACT($AE8,Circuits!$A:$A)*ROW(Circuits!$A:$A))))</f>
        <v>-</v>
      </c>
      <c r="H8" s="108" t="str">
        <f t="array" ref="H8">IF(ISBLANK($AE8), "-",INDEX(Circuits!G:G,SUMPRODUCT(EXACT($AE8,Circuits!$A:$A)*ROW(Circuits!$A:$A))))</f>
        <v>-</v>
      </c>
      <c r="I8" s="108" t="str">
        <f t="array" ref="I8">IF(ISBLANK($AE8), "-",INDEX(Circuits!H:H,SUMPRODUCT(EXACT($AE8,Circuits!$A:$A)*ROW(Circuits!$A:$A))))</f>
        <v>-</v>
      </c>
      <c r="J8" s="108" t="str">
        <f t="array" ref="J8">IF(ISBLANK($AE8), "-",INDEX(Circuits!I:I,SUMPRODUCT(EXACT($AE8,Circuits!$A:$A)*ROW(Circuits!$A:$A))))</f>
        <v>-</v>
      </c>
      <c r="K8" s="108" t="str">
        <f t="array" ref="K8">IF(ISBLANK($AE8), "-",INDEX(Circuits!J:J,SUMPRODUCT(EXACT($AE8,Circuits!$A:$A)*ROW(Circuits!$A:$A))))</f>
        <v>-</v>
      </c>
      <c r="L8" s="108" t="str">
        <f t="array" ref="L8">IF(ISBLANK($AE8), "-",INDEX(Circuits!K:K,SUMPRODUCT(EXACT($AE8,Circuits!$A:$A)*ROW(Circuits!$A:$A))))</f>
        <v>-</v>
      </c>
      <c r="M8" s="108" t="str">
        <f t="array" ref="M8">IF(ISBLANK($AE8), "-",INDEX(Circuits!L:L,SUMPRODUCT(EXACT($AE8,Circuits!$A:$A)*ROW(Circuits!$A:$A))))</f>
        <v>-</v>
      </c>
      <c r="N8" s="108" t="str">
        <f t="array" ref="N8">IF(ISBLANK($AE8), "-",INDEX(Circuits!M:M,SUMPRODUCT(EXACT($AE8,Circuits!$A:$A)*ROW(Circuits!$A:$A))))</f>
        <v>-</v>
      </c>
      <c r="O8" s="108" t="str">
        <f t="array" ref="O8">IF(ISBLANK($AE8), "-",INDEX(Circuits!N:N,SUMPRODUCT(EXACT($AE8,Circuits!$A:$A)*ROW(Circuits!$A:$A))))</f>
        <v>-</v>
      </c>
      <c r="P8" s="108" t="str">
        <f t="array" ref="P8">IF(ISBLANK($AE8), "-",INDEX(Circuits!O:O,SUMPRODUCT(EXACT($AE8,Circuits!$A:$A)*ROW(Circuits!$A:$A))))</f>
        <v>-</v>
      </c>
      <c r="Q8" s="108" t="str">
        <f t="array" ref="Q8">IF(ISBLANK($AE8), "-",INDEX(Circuits!P:P,SUMPRODUCT(EXACT($AE8,Circuits!$A:$A)*ROW(Circuits!$A:$A))))</f>
        <v>-</v>
      </c>
      <c r="R8" s="108" t="str">
        <f t="array" ref="R8">IF(ISBLANK($AE8), "-",INDEX(Circuits!Q:Q,SUMPRODUCT(EXACT($AE8,Circuits!$A:$A)*ROW(Circuits!$A:$A))))</f>
        <v>-</v>
      </c>
      <c r="S8" s="108" t="str">
        <f t="array" ref="S8">IF(ISBLANK($AE8), "-",INDEX(Circuits!R:R,SUMPRODUCT(EXACT($AE8,Circuits!$A:$A)*ROW(Circuits!$A:$A))))</f>
        <v>-</v>
      </c>
      <c r="T8" s="108" t="str">
        <f t="array" ref="T8">IF(ISBLANK($AE8), "-",INDEX(Circuits!S:S,SUMPRODUCT(EXACT($AE8,Circuits!$A:$A)*ROW(Circuits!$A:$A))))</f>
        <v>-</v>
      </c>
      <c r="U8" s="108" t="str">
        <f t="array" ref="U8">IF(ISBLANK($AE8), "-",INDEX(Circuits!T:T,SUMPRODUCT(EXACT($AE8,Circuits!$A:$A)*ROW(Circuits!$A:$A))))</f>
        <v>-</v>
      </c>
      <c r="V8" s="108" t="str">
        <f t="array" ref="V8">IF(ISBLANK($AE8), "-",INDEX(Circuits!U:U,SUMPRODUCT(EXACT($AE8,Circuits!$A:$A)*ROW(Circuits!$A:$A))))</f>
        <v>-</v>
      </c>
      <c r="W8" s="108" t="str">
        <f t="array" ref="W8">IF(ISBLANK($AE8), "-",INDEX(Circuits!V:V,SUMPRODUCT(EXACT($AE8,Circuits!$A:$A)*ROW(Circuits!$A:$A))))</f>
        <v>-</v>
      </c>
      <c r="X8" s="108" t="str">
        <f t="array" ref="X8">IF(ISBLANK($AE8), "-",INDEX(Circuits!W:W,SUMPRODUCT(EXACT($AE8,Circuits!$A:$A)*ROW(Circuits!$A:$A))))</f>
        <v>-</v>
      </c>
      <c r="Y8" s="108" t="str">
        <f t="array" ref="Y8">IF(ISBLANK($AE8), "-",INDEX(Circuits!X:X,SUMPRODUCT(EXACT($AE8,Circuits!$A:$A)*ROW(Circuits!$A:$A))))</f>
        <v>-</v>
      </c>
      <c r="Z8" s="108" t="str">
        <f>IFERROR(__xludf.DUMMYFUNCTION("IFNA(CONCATENATE(UNIQUE(FILTER(Connections!R:R,Connections!A:A=B8))),""-"")"),"-")</f>
        <v>-</v>
      </c>
      <c r="AA8" s="119" t="str">
        <f t="array" ref="AA8">IF(ISBLANK($AE8), "-",INDEX(Circuits!Y:Y,SUMPRODUCT(EXACT($AE8,Circuits!$A:$A)*ROW(Circuits!$A:$A))))</f>
        <v>-</v>
      </c>
      <c r="AB8" s="121" t="str">
        <f t="array" ref="AB8">IF(ISBLANK($AE8), "-",INDEX(Circuits!Z:Z,SUMPRODUCT(EXACT($AE8,Circuits!$A:$A)*ROW(Circuits!$A:$A))))</f>
        <v>-</v>
      </c>
      <c r="AC8" s="38"/>
      <c r="AD8" s="38"/>
      <c r="AE8" s="40"/>
      <c r="AF8" s="38"/>
      <c r="AG8" s="126" t="str">
        <f>IFERROR(__xludf.DUMMYFUNCTION("IF(ISBLANK(AF8), """", TEXTJOIN(CHAR(10),TRUE,ARRAYFORMULA(IF(ISERROR(SEARCH(SPLIT(AF8, "";""), $Z8)), ""x"", ""-""))))"),"")</f>
        <v/>
      </c>
      <c r="AH8" s="127" t="str">
        <f>IFERROR(__xludf.DUMMYFUNCTION("IF(ISBLANK(AK8), """", TEXTJOIN("";"" &amp; CHAR(10), TRUE, UNIQUE(SPLIT(AK8, "";"" &amp; CHAR(10)), TRUE))&amp;"";"")"),"")</f>
        <v/>
      </c>
      <c r="AI8" s="128" t="str">
        <f>IFERROR(__xludf.DUMMYFUNCTION("IF(ISBLANK(AD8), IF(ISBLANK(AE8),,IFNA(TEXTJOIN("";"" &amp; CHAR(10), TRUE, FILTER(AE:AE, SEARCH(AE8&amp;"";"", AJ:AJ)))&amp;"";"", """")), TEXTJOIN("";"" &amp; CHAR(10), TRUE, UNIQUE(SPLIT(AH8 &amp; "";"" &amp; AH8 &amp; "";"" &amp; AL8, "";"" &amp; CHAR(10)), TRUE, TRUE))&amp;"";"")"),"")</f>
        <v/>
      </c>
      <c r="AJ8" s="126" t="str">
        <f>IFERROR(__xludf.DUMMYFUNCTION("IF(AN8="""", """", TEXTJOIN("";"" &amp; CHAR(10), TRUE, UNIQUE(SPLIT(AH8 &amp; "";"" &amp; AH8 &amp; "";"" &amp; AN8, "";"" &amp; CHAR(10)), TRUE, TRUE))&amp;"";"")"),"")</f>
        <v/>
      </c>
      <c r="AK8" s="129" t="str">
        <f>IFERROR(__xludf.DUMMYFUNCTION("IF(ISBLANK(AD8), IF(ISBLANK(AE8),,AE8 &amp; "";""), TEXTJOIN(CHAR(10), TRUE, ARRAYFORMULA(VLOOKUP(SPLIT(AD8, "";"" &amp; CHAR(10)), $AC:$AH, 6, FALSE))))"),"")</f>
        <v/>
      </c>
      <c r="AL8" s="130" t="str">
        <f>IFERROR(__xludf.DUMMYFUNCTION("IF(AM8="""", """", TEXTJOIN("";"" &amp; CHAR(10), TRUE, UNIQUE(SPLIT(AM8, "";"" &amp; CHAR(10)), TRUE))&amp;"";"")"),"")</f>
        <v/>
      </c>
      <c r="AM8" s="130" t="str">
        <f>IFERROR(__xludf.DUMMYFUNCTION("IF(ISBLANK(AD8), """", TEXTJOIN(CHAR(10), TRUE, ARRAYFORMULA(VLOOKUP(SPLIT(AH8, "";"" &amp; CHAR(10)), $AE:$AI, 5, FALSE)), AF8))"),"")</f>
        <v/>
      </c>
      <c r="AN8" s="132" t="str">
        <f>IFERROR(__xludf.DUMMYFUNCTION("IF(ISBLANK(AO8), """", TEXTJOIN("";"" &amp; CHAR(10), TRUE, UNIQUE(SPLIT(AO8, "";"" &amp; CHAR(10)), TRUE))&amp;"";"")"),"")</f>
        <v/>
      </c>
      <c r="AO8" s="134" t="str">
        <f>IFERROR(__xludf.DUMMYFUNCTION("IF(ISBLANK(AD8), AF8, TEXTJOIN(CHAR(10), TRUE, ARRAYFORMULA(VLOOKUP(SPLIT(AD8, "";"" &amp; CHAR(10)), $AC:$AN, 12, FALSE))))"),"")</f>
        <v/>
      </c>
      <c r="AP8" s="130" t="str">
        <f>IF(ISBLANK(AE8),,IF(IFERROR(SEARCH(AE8&amp;";",Circuits!$AO$2),0),TRUE,FALSE))</f>
        <v/>
      </c>
      <c r="AQ8" s="130" t="str">
        <f t="shared" si="2"/>
        <v/>
      </c>
      <c r="AR8" s="130" t="str">
        <f t="shared" si="3"/>
        <v/>
      </c>
      <c r="AS8" s="136" t="str">
        <f>IFERROR(__xludf.DUMMYFUNCTION("IF(AH8="""",,SUM(ARRAYFORMULA(IF(IFERROR(SEARCH(SPLIT(AH8,CHAR(10)),Circuits!$AO$2),0)&gt;0,0,1))))"),"")</f>
        <v/>
      </c>
      <c r="AT8" s="138" t="str">
        <f t="shared" si="4"/>
        <v/>
      </c>
      <c r="AU8" s="138" t="str">
        <f t="shared" si="5"/>
        <v/>
      </c>
      <c r="AV8" s="130" t="str">
        <f>IFERROR(__xludf.DUMMYFUNCTION("IF(AI8="""",,TEXTJOIN("", "",TRUE,ARRAYFORMULA(VLOOKUP(SPLIT(AI8,"";""&amp;CHAR(10)),AE:AT,16,FALSE))))"),"")</f>
        <v/>
      </c>
      <c r="AW8" s="130" t="str">
        <f>IFERROR(__xludf.DUMMYFUNCTION("IF(ISBLANK(BK8),,TEXTJOIN("", "",TRUE,ARRAYFORMULA(VLOOKUP(IFERROR(REGEXEXTRACT(SPLIT(BK8,"";""&amp;CHAR(10)),""\[(.+)\]"")),AE:AT,16,false))))"),"")</f>
        <v/>
      </c>
      <c r="AX8" s="139" t="str">
        <f t="shared" si="6"/>
        <v/>
      </c>
      <c r="AY8" s="139" t="str">
        <f t="shared" si="7"/>
        <v/>
      </c>
      <c r="AZ8" s="106" t="str">
        <f>IFERROR(__xludf.DUMMYFUNCTION("IF(ISBLANK(AD8), BC8, TEXTJOIN(CHAR(10) &amp; CHAR(10), TRUE, ARRAYFORMULA(VLOOKUP(SPLIT(AD8, "";"" &amp; CHAR(10)), $AC:$AY, 23, FALSE))))"),"")</f>
        <v/>
      </c>
      <c r="BA8" s="140" t="s">
        <v>66</v>
      </c>
      <c r="BB8" s="127"/>
      <c r="BC8" s="140"/>
      <c r="BD8" s="106" t="str">
        <f>IFERROR(__xludf.DUMMYFUNCTION("IF(IFERROR(SEARCH(""&lt;&lt;mechanism to realize the capability&gt;&gt;"",BA8),0)=0,
 ""!! Error !! “Capability&amp;Mechanism” column: Invalid Separator:"" &amp; CHAR(10) &amp; ""Insert separator “&lt;&lt;mechanism to realize the capability&gt;&gt;.”"",
 IF(
  LEN(TRIM(CLEAN(
    INDEX(
   "&amp;"   SPLIT(BA8,""&lt;&lt;mechanism to realize the capability&gt;&gt;"",FALSE,FALSE),
      1
    )
  )))=0,
  ""!! Error !! “Capability&amp;Mechanism” column: No Capability:""  &amp; CHAR(10) &amp; ""Describe Capability before separator."",
  INDEX(
    SPLIT(BA8,""&lt;&lt;mechanism to "&amp;"realize the capability&gt;&gt;"",FALSE,FALSE),
    1
  )
 )
)
"),"!! Error !! “Capability&amp;Mechanism” column: No Capability:
Describe Capability before separator.")</f>
        <v>!! Error !! “Capability&amp;Mechanism” column: No Capability:
Describe Capability before separator.</v>
      </c>
      <c r="BE8" s="127"/>
      <c r="BF8" s="141"/>
      <c r="BG8" s="67"/>
      <c r="BH8" s="127"/>
      <c r="BI8" s="140"/>
      <c r="BJ8" s="67"/>
      <c r="BK8" s="42"/>
      <c r="BL8" s="142"/>
      <c r="BM8" s="142"/>
      <c r="BN8" s="67"/>
      <c r="BO8" s="67"/>
      <c r="BP8" s="143"/>
      <c r="BQ8" s="143"/>
      <c r="BR8" s="144"/>
      <c r="BS8" s="144"/>
      <c r="BT8" s="144"/>
      <c r="BU8" s="144"/>
      <c r="BV8" s="144"/>
      <c r="BW8" s="145"/>
      <c r="BX8" s="146" t="str">
        <f t="shared" si="8"/>
        <v/>
      </c>
    </row>
    <row r="9">
      <c r="A9" s="106" t="str">
        <f t="shared" si="1"/>
        <v/>
      </c>
      <c r="B9" s="108" t="str">
        <f t="array" ref="B9">IF(ISBLANK($AE9), "-",INDEX(Circuits!A:A,SUMPRODUCT(EXACT($AE9,Circuits!$A:$A)*ROW(Circuits!$A:$A))))</f>
        <v>-</v>
      </c>
      <c r="C9" s="108" t="str">
        <f t="array" ref="C9">IF(ISBLANK($AE9), "-",INDEX(Circuits!B:B,SUMPRODUCT(EXACT($AE9,Circuits!$A:$A)*ROW(Circuits!$A:$A))))</f>
        <v>-</v>
      </c>
      <c r="D9" s="108" t="str">
        <f t="array" ref="D9">IF(ISBLANK($AE9), "-",INDEX(Circuits!C:C,SUMPRODUCT(EXACT($AE9,Circuits!$A:$A)*ROW(Circuits!$A:$A))))</f>
        <v>-</v>
      </c>
      <c r="E9" s="108" t="str">
        <f t="array" ref="E9">IF(ISBLANK($AE9), "-",INDEX(Circuits!D:D,SUMPRODUCT(EXACT($AE9,Circuits!$A:$A)*ROW(Circuits!$A:$A))))</f>
        <v>-</v>
      </c>
      <c r="F9" s="108" t="str">
        <f t="array" ref="F9">IF(ISBLANK($AE9), "-",INDEX(Circuits!E:E,SUMPRODUCT(EXACT($AE9,Circuits!$A:$A)*ROW(Circuits!$A:$A))))</f>
        <v>-</v>
      </c>
      <c r="G9" s="108" t="str">
        <f t="array" ref="G9">IF(ISBLANK($AE9), "-",INDEX(Circuits!F:F,SUMPRODUCT(EXACT($AE9,Circuits!$A:$A)*ROW(Circuits!$A:$A))))</f>
        <v>-</v>
      </c>
      <c r="H9" s="108" t="str">
        <f t="array" ref="H9">IF(ISBLANK($AE9), "-",INDEX(Circuits!G:G,SUMPRODUCT(EXACT($AE9,Circuits!$A:$A)*ROW(Circuits!$A:$A))))</f>
        <v>-</v>
      </c>
      <c r="I9" s="108" t="str">
        <f t="array" ref="I9">IF(ISBLANK($AE9), "-",INDEX(Circuits!H:H,SUMPRODUCT(EXACT($AE9,Circuits!$A:$A)*ROW(Circuits!$A:$A))))</f>
        <v>-</v>
      </c>
      <c r="J9" s="108" t="str">
        <f t="array" ref="J9">IF(ISBLANK($AE9), "-",INDEX(Circuits!I:I,SUMPRODUCT(EXACT($AE9,Circuits!$A:$A)*ROW(Circuits!$A:$A))))</f>
        <v>-</v>
      </c>
      <c r="K9" s="108" t="str">
        <f t="array" ref="K9">IF(ISBLANK($AE9), "-",INDEX(Circuits!J:J,SUMPRODUCT(EXACT($AE9,Circuits!$A:$A)*ROW(Circuits!$A:$A))))</f>
        <v>-</v>
      </c>
      <c r="L9" s="108" t="str">
        <f t="array" ref="L9">IF(ISBLANK($AE9), "-",INDEX(Circuits!K:K,SUMPRODUCT(EXACT($AE9,Circuits!$A:$A)*ROW(Circuits!$A:$A))))</f>
        <v>-</v>
      </c>
      <c r="M9" s="108" t="str">
        <f t="array" ref="M9">IF(ISBLANK($AE9), "-",INDEX(Circuits!L:L,SUMPRODUCT(EXACT($AE9,Circuits!$A:$A)*ROW(Circuits!$A:$A))))</f>
        <v>-</v>
      </c>
      <c r="N9" s="108" t="str">
        <f t="array" ref="N9">IF(ISBLANK($AE9), "-",INDEX(Circuits!M:M,SUMPRODUCT(EXACT($AE9,Circuits!$A:$A)*ROW(Circuits!$A:$A))))</f>
        <v>-</v>
      </c>
      <c r="O9" s="108" t="str">
        <f t="array" ref="O9">IF(ISBLANK($AE9), "-",INDEX(Circuits!N:N,SUMPRODUCT(EXACT($AE9,Circuits!$A:$A)*ROW(Circuits!$A:$A))))</f>
        <v>-</v>
      </c>
      <c r="P9" s="108" t="str">
        <f t="array" ref="P9">IF(ISBLANK($AE9), "-",INDEX(Circuits!O:O,SUMPRODUCT(EXACT($AE9,Circuits!$A:$A)*ROW(Circuits!$A:$A))))</f>
        <v>-</v>
      </c>
      <c r="Q9" s="108" t="str">
        <f t="array" ref="Q9">IF(ISBLANK($AE9), "-",INDEX(Circuits!P:P,SUMPRODUCT(EXACT($AE9,Circuits!$A:$A)*ROW(Circuits!$A:$A))))</f>
        <v>-</v>
      </c>
      <c r="R9" s="108" t="str">
        <f t="array" ref="R9">IF(ISBLANK($AE9), "-",INDEX(Circuits!Q:Q,SUMPRODUCT(EXACT($AE9,Circuits!$A:$A)*ROW(Circuits!$A:$A))))</f>
        <v>-</v>
      </c>
      <c r="S9" s="108" t="str">
        <f t="array" ref="S9">IF(ISBLANK($AE9), "-",INDEX(Circuits!R:R,SUMPRODUCT(EXACT($AE9,Circuits!$A:$A)*ROW(Circuits!$A:$A))))</f>
        <v>-</v>
      </c>
      <c r="T9" s="108" t="str">
        <f t="array" ref="T9">IF(ISBLANK($AE9), "-",INDEX(Circuits!S:S,SUMPRODUCT(EXACT($AE9,Circuits!$A:$A)*ROW(Circuits!$A:$A))))</f>
        <v>-</v>
      </c>
      <c r="U9" s="108" t="str">
        <f t="array" ref="U9">IF(ISBLANK($AE9), "-",INDEX(Circuits!T:T,SUMPRODUCT(EXACT($AE9,Circuits!$A:$A)*ROW(Circuits!$A:$A))))</f>
        <v>-</v>
      </c>
      <c r="V9" s="108" t="str">
        <f t="array" ref="V9">IF(ISBLANK($AE9), "-",INDEX(Circuits!U:U,SUMPRODUCT(EXACT($AE9,Circuits!$A:$A)*ROW(Circuits!$A:$A))))</f>
        <v>-</v>
      </c>
      <c r="W9" s="108" t="str">
        <f t="array" ref="W9">IF(ISBLANK($AE9), "-",INDEX(Circuits!V:V,SUMPRODUCT(EXACT($AE9,Circuits!$A:$A)*ROW(Circuits!$A:$A))))</f>
        <v>-</v>
      </c>
      <c r="X9" s="108" t="str">
        <f t="array" ref="X9">IF(ISBLANK($AE9), "-",INDEX(Circuits!W:W,SUMPRODUCT(EXACT($AE9,Circuits!$A:$A)*ROW(Circuits!$A:$A))))</f>
        <v>-</v>
      </c>
      <c r="Y9" s="108" t="str">
        <f t="array" ref="Y9">IF(ISBLANK($AE9), "-",INDEX(Circuits!X:X,SUMPRODUCT(EXACT($AE9,Circuits!$A:$A)*ROW(Circuits!$A:$A))))</f>
        <v>-</v>
      </c>
      <c r="Z9" s="108" t="str">
        <f>IFERROR(__xludf.DUMMYFUNCTION("IFNA(CONCATENATE(UNIQUE(FILTER(Connections!R:R,Connections!A:A=B9))),""-"")"),"-")</f>
        <v>-</v>
      </c>
      <c r="AA9" s="119" t="str">
        <f t="array" ref="AA9">IF(ISBLANK($AE9), "-",INDEX(Circuits!Y:Y,SUMPRODUCT(EXACT($AE9,Circuits!$A:$A)*ROW(Circuits!$A:$A))))</f>
        <v>-</v>
      </c>
      <c r="AB9" s="121" t="str">
        <f t="array" ref="AB9">IF(ISBLANK($AE9), "-",INDEX(Circuits!Z:Z,SUMPRODUCT(EXACT($AE9,Circuits!$A:$A)*ROW(Circuits!$A:$A))))</f>
        <v>-</v>
      </c>
      <c r="AC9" s="38"/>
      <c r="AD9" s="38"/>
      <c r="AE9" s="40"/>
      <c r="AF9" s="38"/>
      <c r="AG9" s="126" t="str">
        <f>IFERROR(__xludf.DUMMYFUNCTION("IF(ISBLANK(AF9), """", TEXTJOIN(CHAR(10),TRUE,ARRAYFORMULA(IF(ISERROR(SEARCH(SPLIT(AF9, "";""), $Z9)), ""x"", ""-""))))"),"")</f>
        <v/>
      </c>
      <c r="AH9" s="127" t="str">
        <f>IFERROR(__xludf.DUMMYFUNCTION("IF(ISBLANK(AK9), """", TEXTJOIN("";"" &amp; CHAR(10), TRUE, UNIQUE(SPLIT(AK9, "";"" &amp; CHAR(10)), TRUE))&amp;"";"")"),"")</f>
        <v/>
      </c>
      <c r="AI9" s="128" t="str">
        <f>IFERROR(__xludf.DUMMYFUNCTION("IF(ISBLANK(AD9), IF(ISBLANK(AE9),,IFNA(TEXTJOIN("";"" &amp; CHAR(10), TRUE, FILTER(AE:AE, SEARCH(AE9&amp;"";"", AJ:AJ)))&amp;"";"", """")), TEXTJOIN("";"" &amp; CHAR(10), TRUE, UNIQUE(SPLIT(AH9 &amp; "";"" &amp; AH9 &amp; "";"" &amp; AL9, "";"" &amp; CHAR(10)), TRUE, TRUE))&amp;"";"")"),"")</f>
        <v/>
      </c>
      <c r="AJ9" s="126" t="str">
        <f>IFERROR(__xludf.DUMMYFUNCTION("IF(AN9="""", """", TEXTJOIN("";"" &amp; CHAR(10), TRUE, UNIQUE(SPLIT(AH9 &amp; "";"" &amp; AH9 &amp; "";"" &amp; AN9, "";"" &amp; CHAR(10)), TRUE, TRUE))&amp;"";"")"),"")</f>
        <v/>
      </c>
      <c r="AK9" s="129" t="str">
        <f>IFERROR(__xludf.DUMMYFUNCTION("IF(ISBLANK(AD9), IF(ISBLANK(AE9),,AE9 &amp; "";""), TEXTJOIN(CHAR(10), TRUE, ARRAYFORMULA(VLOOKUP(SPLIT(AD9, "";"" &amp; CHAR(10)), $AC:$AH, 6, FALSE))))"),"")</f>
        <v/>
      </c>
      <c r="AL9" s="130" t="str">
        <f>IFERROR(__xludf.DUMMYFUNCTION("IF(AM9="""", """", TEXTJOIN("";"" &amp; CHAR(10), TRUE, UNIQUE(SPLIT(AM9, "";"" &amp; CHAR(10)), TRUE))&amp;"";"")"),"")</f>
        <v/>
      </c>
      <c r="AM9" s="130" t="str">
        <f>IFERROR(__xludf.DUMMYFUNCTION("IF(ISBLANK(AD9), """", TEXTJOIN(CHAR(10), TRUE, ARRAYFORMULA(VLOOKUP(SPLIT(AH9, "";"" &amp; CHAR(10)), $AE:$AI, 5, FALSE)), AF9))"),"")</f>
        <v/>
      </c>
      <c r="AN9" s="132" t="str">
        <f>IFERROR(__xludf.DUMMYFUNCTION("IF(ISBLANK(AO9), """", TEXTJOIN("";"" &amp; CHAR(10), TRUE, UNIQUE(SPLIT(AO9, "";"" &amp; CHAR(10)), TRUE))&amp;"";"")"),"")</f>
        <v/>
      </c>
      <c r="AO9" s="134" t="str">
        <f>IFERROR(__xludf.DUMMYFUNCTION("IF(ISBLANK(AD9), AF9, TEXTJOIN(CHAR(10), TRUE, ARRAYFORMULA(VLOOKUP(SPLIT(AD9, "";"" &amp; CHAR(10)), $AC:$AN, 12, FALSE))))"),"")</f>
        <v/>
      </c>
      <c r="AP9" s="130" t="str">
        <f>IF(ISBLANK(AE9),,IF(IFERROR(SEARCH(AE9&amp;";",Circuits!$AO$2),0),TRUE,FALSE))</f>
        <v/>
      </c>
      <c r="AQ9" s="130" t="str">
        <f t="shared" si="2"/>
        <v/>
      </c>
      <c r="AR9" s="130" t="str">
        <f t="shared" si="3"/>
        <v/>
      </c>
      <c r="AS9" s="136" t="str">
        <f>IFERROR(__xludf.DUMMYFUNCTION("IF(AH9="""",,SUM(ARRAYFORMULA(IF(IFERROR(SEARCH(SPLIT(AH9,CHAR(10)),Circuits!$AO$2),0)&gt;0,0,1))))"),"")</f>
        <v/>
      </c>
      <c r="AT9" s="138" t="str">
        <f t="shared" si="4"/>
        <v/>
      </c>
      <c r="AU9" s="138" t="str">
        <f t="shared" si="5"/>
        <v/>
      </c>
      <c r="AV9" s="130" t="str">
        <f>IFERROR(__xludf.DUMMYFUNCTION("IF(AI9="""",,TEXTJOIN("", "",TRUE,ARRAYFORMULA(VLOOKUP(SPLIT(AI9,"";""&amp;CHAR(10)),AE:AT,16,FALSE))))"),"")</f>
        <v/>
      </c>
      <c r="AW9" s="130" t="str">
        <f>IFERROR(__xludf.DUMMYFUNCTION("IF(ISBLANK(BK9),,TEXTJOIN("", "",TRUE,ARRAYFORMULA(VLOOKUP(IFERROR(REGEXEXTRACT(SPLIT(BK9,"";""&amp;CHAR(10)),""\[(.+)\]"")),AE:AT,16,false))))"),"")</f>
        <v/>
      </c>
      <c r="AX9" s="139" t="str">
        <f t="shared" si="6"/>
        <v/>
      </c>
      <c r="AY9" s="139" t="str">
        <f t="shared" si="7"/>
        <v/>
      </c>
      <c r="AZ9" s="106" t="str">
        <f>IFERROR(__xludf.DUMMYFUNCTION("IF(ISBLANK(AD9), BC9, TEXTJOIN(CHAR(10) &amp; CHAR(10), TRUE, ARRAYFORMULA(VLOOKUP(SPLIT(AD9, "";"" &amp; CHAR(10)), $AC:$AY, 23, FALSE))))"),"")</f>
        <v/>
      </c>
      <c r="BA9" s="140" t="s">
        <v>66</v>
      </c>
      <c r="BB9" s="127"/>
      <c r="BC9" s="140"/>
      <c r="BD9" s="106" t="str">
        <f>IFERROR(__xludf.DUMMYFUNCTION("IF(IFERROR(SEARCH(""&lt;&lt;mechanism to realize the capability&gt;&gt;"",BA9),0)=0,
 ""!! Error !! “Capability&amp;Mechanism” column: Invalid Separator:"" &amp; CHAR(10) &amp; ""Insert separator “&lt;&lt;mechanism to realize the capability&gt;&gt;.”"",
 IF(
  LEN(TRIM(CLEAN(
    INDEX(
   "&amp;"   SPLIT(BA9,""&lt;&lt;mechanism to realize the capability&gt;&gt;"",FALSE,FALSE),
      1
    )
  )))=0,
  ""!! Error !! “Capability&amp;Mechanism” column: No Capability:""  &amp; CHAR(10) &amp; ""Describe Capability before separator."",
  INDEX(
    SPLIT(BA9,""&lt;&lt;mechanism to "&amp;"realize the capability&gt;&gt;"",FALSE,FALSE),
    1
  )
 )
)
"),"!! Error !! “Capability&amp;Mechanism” column: No Capability:
Describe Capability before separator.")</f>
        <v>!! Error !! “Capability&amp;Mechanism” column: No Capability:
Describe Capability before separator.</v>
      </c>
      <c r="BE9" s="127"/>
      <c r="BF9" s="141"/>
      <c r="BG9" s="67"/>
      <c r="BH9" s="127"/>
      <c r="BI9" s="140"/>
      <c r="BJ9" s="67"/>
      <c r="BK9" s="42"/>
      <c r="BL9" s="142"/>
      <c r="BM9" s="142"/>
      <c r="BN9" s="67"/>
      <c r="BO9" s="67"/>
      <c r="BP9" s="143"/>
      <c r="BQ9" s="143"/>
      <c r="BR9" s="144"/>
      <c r="BS9" s="144"/>
      <c r="BT9" s="144"/>
      <c r="BU9" s="144"/>
      <c r="BV9" s="144"/>
      <c r="BW9" s="145"/>
      <c r="BX9" s="146" t="str">
        <f t="shared" si="8"/>
        <v/>
      </c>
    </row>
    <row r="10">
      <c r="A10" s="106" t="str">
        <f t="shared" si="1"/>
        <v/>
      </c>
      <c r="B10" s="108" t="str">
        <f t="array" ref="B10">IF(ISBLANK($AE10), "-",INDEX(Circuits!A:A,SUMPRODUCT(EXACT($AE10,Circuits!$A:$A)*ROW(Circuits!$A:$A))))</f>
        <v>-</v>
      </c>
      <c r="C10" s="108" t="str">
        <f t="array" ref="C10">IF(ISBLANK($AE10), "-",INDEX(Circuits!B:B,SUMPRODUCT(EXACT($AE10,Circuits!$A:$A)*ROW(Circuits!$A:$A))))</f>
        <v>-</v>
      </c>
      <c r="D10" s="108" t="str">
        <f t="array" ref="D10">IF(ISBLANK($AE10), "-",INDEX(Circuits!C:C,SUMPRODUCT(EXACT($AE10,Circuits!$A:$A)*ROW(Circuits!$A:$A))))</f>
        <v>-</v>
      </c>
      <c r="E10" s="108" t="str">
        <f t="array" ref="E10">IF(ISBLANK($AE10), "-",INDEX(Circuits!D:D,SUMPRODUCT(EXACT($AE10,Circuits!$A:$A)*ROW(Circuits!$A:$A))))</f>
        <v>-</v>
      </c>
      <c r="F10" s="108" t="str">
        <f t="array" ref="F10">IF(ISBLANK($AE10), "-",INDEX(Circuits!E:E,SUMPRODUCT(EXACT($AE10,Circuits!$A:$A)*ROW(Circuits!$A:$A))))</f>
        <v>-</v>
      </c>
      <c r="G10" s="108" t="str">
        <f t="array" ref="G10">IF(ISBLANK($AE10), "-",INDEX(Circuits!F:F,SUMPRODUCT(EXACT($AE10,Circuits!$A:$A)*ROW(Circuits!$A:$A))))</f>
        <v>-</v>
      </c>
      <c r="H10" s="108" t="str">
        <f t="array" ref="H10">IF(ISBLANK($AE10), "-",INDEX(Circuits!G:G,SUMPRODUCT(EXACT($AE10,Circuits!$A:$A)*ROW(Circuits!$A:$A))))</f>
        <v>-</v>
      </c>
      <c r="I10" s="108" t="str">
        <f t="array" ref="I10">IF(ISBLANK($AE10), "-",INDEX(Circuits!H:H,SUMPRODUCT(EXACT($AE10,Circuits!$A:$A)*ROW(Circuits!$A:$A))))</f>
        <v>-</v>
      </c>
      <c r="J10" s="108" t="str">
        <f t="array" ref="J10">IF(ISBLANK($AE10), "-",INDEX(Circuits!I:I,SUMPRODUCT(EXACT($AE10,Circuits!$A:$A)*ROW(Circuits!$A:$A))))</f>
        <v>-</v>
      </c>
      <c r="K10" s="108" t="str">
        <f t="array" ref="K10">IF(ISBLANK($AE10), "-",INDEX(Circuits!J:J,SUMPRODUCT(EXACT($AE10,Circuits!$A:$A)*ROW(Circuits!$A:$A))))</f>
        <v>-</v>
      </c>
      <c r="L10" s="108" t="str">
        <f t="array" ref="L10">IF(ISBLANK($AE10), "-",INDEX(Circuits!K:K,SUMPRODUCT(EXACT($AE10,Circuits!$A:$A)*ROW(Circuits!$A:$A))))</f>
        <v>-</v>
      </c>
      <c r="M10" s="108" t="str">
        <f t="array" ref="M10">IF(ISBLANK($AE10), "-",INDEX(Circuits!L:L,SUMPRODUCT(EXACT($AE10,Circuits!$A:$A)*ROW(Circuits!$A:$A))))</f>
        <v>-</v>
      </c>
      <c r="N10" s="108" t="str">
        <f t="array" ref="N10">IF(ISBLANK($AE10), "-",INDEX(Circuits!M:M,SUMPRODUCT(EXACT($AE10,Circuits!$A:$A)*ROW(Circuits!$A:$A))))</f>
        <v>-</v>
      </c>
      <c r="O10" s="108" t="str">
        <f t="array" ref="O10">IF(ISBLANK($AE10), "-",INDEX(Circuits!N:N,SUMPRODUCT(EXACT($AE10,Circuits!$A:$A)*ROW(Circuits!$A:$A))))</f>
        <v>-</v>
      </c>
      <c r="P10" s="108" t="str">
        <f t="array" ref="P10">IF(ISBLANK($AE10), "-",INDEX(Circuits!O:O,SUMPRODUCT(EXACT($AE10,Circuits!$A:$A)*ROW(Circuits!$A:$A))))</f>
        <v>-</v>
      </c>
      <c r="Q10" s="108" t="str">
        <f t="array" ref="Q10">IF(ISBLANK($AE10), "-",INDEX(Circuits!P:P,SUMPRODUCT(EXACT($AE10,Circuits!$A:$A)*ROW(Circuits!$A:$A))))</f>
        <v>-</v>
      </c>
      <c r="R10" s="108" t="str">
        <f t="array" ref="R10">IF(ISBLANK($AE10), "-",INDEX(Circuits!Q:Q,SUMPRODUCT(EXACT($AE10,Circuits!$A:$A)*ROW(Circuits!$A:$A))))</f>
        <v>-</v>
      </c>
      <c r="S10" s="108" t="str">
        <f t="array" ref="S10">IF(ISBLANK($AE10), "-",INDEX(Circuits!R:R,SUMPRODUCT(EXACT($AE10,Circuits!$A:$A)*ROW(Circuits!$A:$A))))</f>
        <v>-</v>
      </c>
      <c r="T10" s="108" t="str">
        <f t="array" ref="T10">IF(ISBLANK($AE10), "-",INDEX(Circuits!S:S,SUMPRODUCT(EXACT($AE10,Circuits!$A:$A)*ROW(Circuits!$A:$A))))</f>
        <v>-</v>
      </c>
      <c r="U10" s="108" t="str">
        <f t="array" ref="U10">IF(ISBLANK($AE10), "-",INDEX(Circuits!T:T,SUMPRODUCT(EXACT($AE10,Circuits!$A:$A)*ROW(Circuits!$A:$A))))</f>
        <v>-</v>
      </c>
      <c r="V10" s="108" t="str">
        <f t="array" ref="V10">IF(ISBLANK($AE10), "-",INDEX(Circuits!U:U,SUMPRODUCT(EXACT($AE10,Circuits!$A:$A)*ROW(Circuits!$A:$A))))</f>
        <v>-</v>
      </c>
      <c r="W10" s="108" t="str">
        <f t="array" ref="W10">IF(ISBLANK($AE10), "-",INDEX(Circuits!V:V,SUMPRODUCT(EXACT($AE10,Circuits!$A:$A)*ROW(Circuits!$A:$A))))</f>
        <v>-</v>
      </c>
      <c r="X10" s="108" t="str">
        <f t="array" ref="X10">IF(ISBLANK($AE10), "-",INDEX(Circuits!W:W,SUMPRODUCT(EXACT($AE10,Circuits!$A:$A)*ROW(Circuits!$A:$A))))</f>
        <v>-</v>
      </c>
      <c r="Y10" s="108" t="str">
        <f t="array" ref="Y10">IF(ISBLANK($AE10), "-",INDEX(Circuits!X:X,SUMPRODUCT(EXACT($AE10,Circuits!$A:$A)*ROW(Circuits!$A:$A))))</f>
        <v>-</v>
      </c>
      <c r="Z10" s="108" t="str">
        <f>IFERROR(__xludf.DUMMYFUNCTION("IFNA(CONCATENATE(UNIQUE(FILTER(Connections!R:R,Connections!A:A=B10))),""-"")"),"-")</f>
        <v>-</v>
      </c>
      <c r="AA10" s="119" t="str">
        <f t="array" ref="AA10">IF(ISBLANK($AE10), "-",INDEX(Circuits!Y:Y,SUMPRODUCT(EXACT($AE10,Circuits!$A:$A)*ROW(Circuits!$A:$A))))</f>
        <v>-</v>
      </c>
      <c r="AB10" s="121" t="str">
        <f t="array" ref="AB10">IF(ISBLANK($AE10), "-",INDEX(Circuits!Z:Z,SUMPRODUCT(EXACT($AE10,Circuits!$A:$A)*ROW(Circuits!$A:$A))))</f>
        <v>-</v>
      </c>
      <c r="AC10" s="38"/>
      <c r="AD10" s="38"/>
      <c r="AE10" s="40"/>
      <c r="AF10" s="38"/>
      <c r="AG10" s="126" t="str">
        <f>IFERROR(__xludf.DUMMYFUNCTION("IF(ISBLANK(AF10), """", TEXTJOIN(CHAR(10),TRUE,ARRAYFORMULA(IF(ISERROR(SEARCH(SPLIT(AF10, "";""), $Z10)), ""x"", ""-""))))"),"")</f>
        <v/>
      </c>
      <c r="AH10" s="127" t="str">
        <f>IFERROR(__xludf.DUMMYFUNCTION("IF(ISBLANK(AK10), """", TEXTJOIN("";"" &amp; CHAR(10), TRUE, UNIQUE(SPLIT(AK10, "";"" &amp; CHAR(10)), TRUE))&amp;"";"")"),"")</f>
        <v/>
      </c>
      <c r="AI10" s="128" t="str">
        <f>IFERROR(__xludf.DUMMYFUNCTION("IF(ISBLANK(AD10), IF(ISBLANK(AE10),,IFNA(TEXTJOIN("";"" &amp; CHAR(10), TRUE, FILTER(AE:AE, SEARCH(AE10&amp;"";"", AJ:AJ)))&amp;"";"", """")), TEXTJOIN("";"" &amp; CHAR(10), TRUE, UNIQUE(SPLIT(AH10 &amp; "";"" &amp; AH10 &amp; "";"" &amp; AL10, "";"" &amp; CHAR(10)), TRUE, TRUE))&amp;"";"")"),"")</f>
        <v/>
      </c>
      <c r="AJ10" s="126" t="str">
        <f>IFERROR(__xludf.DUMMYFUNCTION("IF(AN10="""", """", TEXTJOIN("";"" &amp; CHAR(10), TRUE, UNIQUE(SPLIT(AH10 &amp; "";"" &amp; AH10 &amp; "";"" &amp; AN10, "";"" &amp; CHAR(10)), TRUE, TRUE))&amp;"";"")"),"")</f>
        <v/>
      </c>
      <c r="AK10" s="129" t="str">
        <f>IFERROR(__xludf.DUMMYFUNCTION("IF(ISBLANK(AD10), IF(ISBLANK(AE10),,AE10 &amp; "";""), TEXTJOIN(CHAR(10), TRUE, ARRAYFORMULA(VLOOKUP(SPLIT(AD10, "";"" &amp; CHAR(10)), $AC:$AH, 6, FALSE))))"),"")</f>
        <v/>
      </c>
      <c r="AL10" s="130" t="str">
        <f>IFERROR(__xludf.DUMMYFUNCTION("IF(AM10="""", """", TEXTJOIN("";"" &amp; CHAR(10), TRUE, UNIQUE(SPLIT(AM10, "";"" &amp; CHAR(10)), TRUE))&amp;"";"")"),"")</f>
        <v/>
      </c>
      <c r="AM10" s="130" t="str">
        <f>IFERROR(__xludf.DUMMYFUNCTION("IF(ISBLANK(AD10), """", TEXTJOIN(CHAR(10), TRUE, ARRAYFORMULA(VLOOKUP(SPLIT(AH10, "";"" &amp; CHAR(10)), $AE:$AI, 5, FALSE)), AF10))"),"")</f>
        <v/>
      </c>
      <c r="AN10" s="132" t="str">
        <f>IFERROR(__xludf.DUMMYFUNCTION("IF(ISBLANK(AO10), """", TEXTJOIN("";"" &amp; CHAR(10), TRUE, UNIQUE(SPLIT(AO10, "";"" &amp; CHAR(10)), TRUE))&amp;"";"")"),"")</f>
        <v/>
      </c>
      <c r="AO10" s="134" t="str">
        <f>IFERROR(__xludf.DUMMYFUNCTION("IF(ISBLANK(AD10), AF10, TEXTJOIN(CHAR(10), TRUE, ARRAYFORMULA(VLOOKUP(SPLIT(AD10, "";"" &amp; CHAR(10)), $AC:$AN, 12, FALSE))))"),"")</f>
        <v/>
      </c>
      <c r="AP10" s="130" t="str">
        <f>IF(ISBLANK(AE10),,IF(IFERROR(SEARCH(AE10&amp;";",Circuits!$AO$2),0),TRUE,FALSE))</f>
        <v/>
      </c>
      <c r="AQ10" s="130" t="str">
        <f t="shared" si="2"/>
        <v/>
      </c>
      <c r="AR10" s="130" t="str">
        <f t="shared" si="3"/>
        <v/>
      </c>
      <c r="AS10" s="136" t="str">
        <f>IFERROR(__xludf.DUMMYFUNCTION("IF(AH10="""",,SUM(ARRAYFORMULA(IF(IFERROR(SEARCH(SPLIT(AH10,CHAR(10)),Circuits!$AO$2),0)&gt;0,0,1))))"),"")</f>
        <v/>
      </c>
      <c r="AT10" s="138" t="str">
        <f t="shared" si="4"/>
        <v/>
      </c>
      <c r="AU10" s="138" t="str">
        <f t="shared" si="5"/>
        <v/>
      </c>
      <c r="AV10" s="130" t="str">
        <f>IFERROR(__xludf.DUMMYFUNCTION("IF(AI10="""",,TEXTJOIN("", "",TRUE,ARRAYFORMULA(VLOOKUP(SPLIT(AI10,"";""&amp;CHAR(10)),AE:AT,16,FALSE))))"),"")</f>
        <v/>
      </c>
      <c r="AW10" s="130" t="str">
        <f>IFERROR(__xludf.DUMMYFUNCTION("IF(ISBLANK(BK10),,TEXTJOIN("", "",TRUE,ARRAYFORMULA(VLOOKUP(IFERROR(REGEXEXTRACT(SPLIT(BK10,"";""&amp;CHAR(10)),""\[(.+)\]"")),AE:AT,16,false))))"),"")</f>
        <v/>
      </c>
      <c r="AX10" s="139" t="str">
        <f t="shared" si="6"/>
        <v/>
      </c>
      <c r="AY10" s="139" t="str">
        <f t="shared" si="7"/>
        <v/>
      </c>
      <c r="AZ10" s="106" t="str">
        <f>IFERROR(__xludf.DUMMYFUNCTION("IF(ISBLANK(AD10), BC10, TEXTJOIN(CHAR(10) &amp; CHAR(10), TRUE, ARRAYFORMULA(VLOOKUP(SPLIT(AD10, "";"" &amp; CHAR(10)), $AC:$AY, 23, FALSE))))"),"")</f>
        <v/>
      </c>
      <c r="BA10" s="140" t="s">
        <v>66</v>
      </c>
      <c r="BB10" s="127"/>
      <c r="BC10" s="140"/>
      <c r="BD10" s="106" t="str">
        <f>IFERROR(__xludf.DUMMYFUNCTION("IF(IFERROR(SEARCH(""&lt;&lt;mechanism to realize the capability&gt;&gt;"",BA10),0)=0,
 ""!! Error !! “Capability&amp;Mechanism” column: Invalid Separator:"" &amp; CHAR(10) &amp; ""Insert separator “&lt;&lt;mechanism to realize the capability&gt;&gt;.”"",
 IF(
  LEN(TRIM(CLEAN(
    INDEX(
  "&amp;"    SPLIT(BA10,""&lt;&lt;mechanism to realize the capability&gt;&gt;"",FALSE,FALSE),
      1
    )
  )))=0,
  ""!! Error !! “Capability&amp;Mechanism” column: No Capability:""  &amp; CHAR(10) &amp; ""Describe Capability before separator."",
  INDEX(
    SPLIT(BA10,""&lt;&lt;mechanism "&amp;"to realize the capability&gt;&gt;"",FALSE,FALSE),
    1
  )
 )
)
"),"!! Error !! “Capability&amp;Mechanism” column: No Capability:
Describe Capability before separator.")</f>
        <v>!! Error !! “Capability&amp;Mechanism” column: No Capability:
Describe Capability before separator.</v>
      </c>
      <c r="BE10" s="127"/>
      <c r="BF10" s="141"/>
      <c r="BG10" s="67"/>
      <c r="BH10" s="127"/>
      <c r="BI10" s="140"/>
      <c r="BJ10" s="67"/>
      <c r="BK10" s="42"/>
      <c r="BL10" s="142"/>
      <c r="BM10" s="142"/>
      <c r="BN10" s="67"/>
      <c r="BO10" s="67"/>
      <c r="BP10" s="143"/>
      <c r="BQ10" s="143"/>
      <c r="BR10" s="144"/>
      <c r="BS10" s="144"/>
      <c r="BT10" s="144"/>
      <c r="BU10" s="144"/>
      <c r="BV10" s="144"/>
      <c r="BW10" s="145"/>
      <c r="BX10" s="146" t="str">
        <f t="shared" si="8"/>
        <v/>
      </c>
    </row>
    <row r="11">
      <c r="A11" s="106" t="str">
        <f t="shared" si="1"/>
        <v/>
      </c>
      <c r="B11" s="108" t="str">
        <f t="array" ref="B11">IF(ISBLANK($AE11), "-",INDEX(Circuits!A:A,SUMPRODUCT(EXACT($AE11,Circuits!$A:$A)*ROW(Circuits!$A:$A))))</f>
        <v>-</v>
      </c>
      <c r="C11" s="108" t="str">
        <f t="array" ref="C11">IF(ISBLANK($AE11), "-",INDEX(Circuits!B:B,SUMPRODUCT(EXACT($AE11,Circuits!$A:$A)*ROW(Circuits!$A:$A))))</f>
        <v>-</v>
      </c>
      <c r="D11" s="108" t="str">
        <f t="array" ref="D11">IF(ISBLANK($AE11), "-",INDEX(Circuits!C:C,SUMPRODUCT(EXACT($AE11,Circuits!$A:$A)*ROW(Circuits!$A:$A))))</f>
        <v>-</v>
      </c>
      <c r="E11" s="108" t="str">
        <f t="array" ref="E11">IF(ISBLANK($AE11), "-",INDEX(Circuits!D:D,SUMPRODUCT(EXACT($AE11,Circuits!$A:$A)*ROW(Circuits!$A:$A))))</f>
        <v>-</v>
      </c>
      <c r="F11" s="108" t="str">
        <f t="array" ref="F11">IF(ISBLANK($AE11), "-",INDEX(Circuits!E:E,SUMPRODUCT(EXACT($AE11,Circuits!$A:$A)*ROW(Circuits!$A:$A))))</f>
        <v>-</v>
      </c>
      <c r="G11" s="108" t="str">
        <f t="array" ref="G11">IF(ISBLANK($AE11), "-",INDEX(Circuits!F:F,SUMPRODUCT(EXACT($AE11,Circuits!$A:$A)*ROW(Circuits!$A:$A))))</f>
        <v>-</v>
      </c>
      <c r="H11" s="108" t="str">
        <f t="array" ref="H11">IF(ISBLANK($AE11), "-",INDEX(Circuits!G:G,SUMPRODUCT(EXACT($AE11,Circuits!$A:$A)*ROW(Circuits!$A:$A))))</f>
        <v>-</v>
      </c>
      <c r="I11" s="108" t="str">
        <f t="array" ref="I11">IF(ISBLANK($AE11), "-",INDEX(Circuits!H:H,SUMPRODUCT(EXACT($AE11,Circuits!$A:$A)*ROW(Circuits!$A:$A))))</f>
        <v>-</v>
      </c>
      <c r="J11" s="108" t="str">
        <f t="array" ref="J11">IF(ISBLANK($AE11), "-",INDEX(Circuits!I:I,SUMPRODUCT(EXACT($AE11,Circuits!$A:$A)*ROW(Circuits!$A:$A))))</f>
        <v>-</v>
      </c>
      <c r="K11" s="108" t="str">
        <f t="array" ref="K11">IF(ISBLANK($AE11), "-",INDEX(Circuits!J:J,SUMPRODUCT(EXACT($AE11,Circuits!$A:$A)*ROW(Circuits!$A:$A))))</f>
        <v>-</v>
      </c>
      <c r="L11" s="108" t="str">
        <f t="array" ref="L11">IF(ISBLANK($AE11), "-",INDEX(Circuits!K:K,SUMPRODUCT(EXACT($AE11,Circuits!$A:$A)*ROW(Circuits!$A:$A))))</f>
        <v>-</v>
      </c>
      <c r="M11" s="108" t="str">
        <f t="array" ref="M11">IF(ISBLANK($AE11), "-",INDEX(Circuits!L:L,SUMPRODUCT(EXACT($AE11,Circuits!$A:$A)*ROW(Circuits!$A:$A))))</f>
        <v>-</v>
      </c>
      <c r="N11" s="108" t="str">
        <f t="array" ref="N11">IF(ISBLANK($AE11), "-",INDEX(Circuits!M:M,SUMPRODUCT(EXACT($AE11,Circuits!$A:$A)*ROW(Circuits!$A:$A))))</f>
        <v>-</v>
      </c>
      <c r="O11" s="108" t="str">
        <f t="array" ref="O11">IF(ISBLANK($AE11), "-",INDEX(Circuits!N:N,SUMPRODUCT(EXACT($AE11,Circuits!$A:$A)*ROW(Circuits!$A:$A))))</f>
        <v>-</v>
      </c>
      <c r="P11" s="108" t="str">
        <f t="array" ref="P11">IF(ISBLANK($AE11), "-",INDEX(Circuits!O:O,SUMPRODUCT(EXACT($AE11,Circuits!$A:$A)*ROW(Circuits!$A:$A))))</f>
        <v>-</v>
      </c>
      <c r="Q11" s="108" t="str">
        <f t="array" ref="Q11">IF(ISBLANK($AE11), "-",INDEX(Circuits!P:P,SUMPRODUCT(EXACT($AE11,Circuits!$A:$A)*ROW(Circuits!$A:$A))))</f>
        <v>-</v>
      </c>
      <c r="R11" s="108" t="str">
        <f t="array" ref="R11">IF(ISBLANK($AE11), "-",INDEX(Circuits!Q:Q,SUMPRODUCT(EXACT($AE11,Circuits!$A:$A)*ROW(Circuits!$A:$A))))</f>
        <v>-</v>
      </c>
      <c r="S11" s="108" t="str">
        <f t="array" ref="S11">IF(ISBLANK($AE11), "-",INDEX(Circuits!R:R,SUMPRODUCT(EXACT($AE11,Circuits!$A:$A)*ROW(Circuits!$A:$A))))</f>
        <v>-</v>
      </c>
      <c r="T11" s="108" t="str">
        <f t="array" ref="T11">IF(ISBLANK($AE11), "-",INDEX(Circuits!S:S,SUMPRODUCT(EXACT($AE11,Circuits!$A:$A)*ROW(Circuits!$A:$A))))</f>
        <v>-</v>
      </c>
      <c r="U11" s="108" t="str">
        <f t="array" ref="U11">IF(ISBLANK($AE11), "-",INDEX(Circuits!T:T,SUMPRODUCT(EXACT($AE11,Circuits!$A:$A)*ROW(Circuits!$A:$A))))</f>
        <v>-</v>
      </c>
      <c r="V11" s="108" t="str">
        <f t="array" ref="V11">IF(ISBLANK($AE11), "-",INDEX(Circuits!U:U,SUMPRODUCT(EXACT($AE11,Circuits!$A:$A)*ROW(Circuits!$A:$A))))</f>
        <v>-</v>
      </c>
      <c r="W11" s="108" t="str">
        <f t="array" ref="W11">IF(ISBLANK($AE11), "-",INDEX(Circuits!V:V,SUMPRODUCT(EXACT($AE11,Circuits!$A:$A)*ROW(Circuits!$A:$A))))</f>
        <v>-</v>
      </c>
      <c r="X11" s="108" t="str">
        <f t="array" ref="X11">IF(ISBLANK($AE11), "-",INDEX(Circuits!W:W,SUMPRODUCT(EXACT($AE11,Circuits!$A:$A)*ROW(Circuits!$A:$A))))</f>
        <v>-</v>
      </c>
      <c r="Y11" s="108" t="str">
        <f t="array" ref="Y11">IF(ISBLANK($AE11), "-",INDEX(Circuits!X:X,SUMPRODUCT(EXACT($AE11,Circuits!$A:$A)*ROW(Circuits!$A:$A))))</f>
        <v>-</v>
      </c>
      <c r="Z11" s="108" t="str">
        <f>IFERROR(__xludf.DUMMYFUNCTION("IFNA(CONCATENATE(UNIQUE(FILTER(Connections!R:R,Connections!A:A=B11))),""-"")"),"-")</f>
        <v>-</v>
      </c>
      <c r="AA11" s="119" t="str">
        <f t="array" ref="AA11">IF(ISBLANK($AE11), "-",INDEX(Circuits!Y:Y,SUMPRODUCT(EXACT($AE11,Circuits!$A:$A)*ROW(Circuits!$A:$A))))</f>
        <v>-</v>
      </c>
      <c r="AB11" s="121" t="str">
        <f t="array" ref="AB11">IF(ISBLANK($AE11), "-",INDEX(Circuits!Z:Z,SUMPRODUCT(EXACT($AE11,Circuits!$A:$A)*ROW(Circuits!$A:$A))))</f>
        <v>-</v>
      </c>
      <c r="AC11" s="38"/>
      <c r="AD11" s="38"/>
      <c r="AE11" s="40"/>
      <c r="AF11" s="38"/>
      <c r="AG11" s="126" t="str">
        <f>IFERROR(__xludf.DUMMYFUNCTION("IF(ISBLANK(AF11), """", TEXTJOIN(CHAR(10),TRUE,ARRAYFORMULA(IF(ISERROR(SEARCH(SPLIT(AF11, "";""), $Z11)), ""x"", ""-""))))"),"")</f>
        <v/>
      </c>
      <c r="AH11" s="127" t="str">
        <f>IFERROR(__xludf.DUMMYFUNCTION("IF(ISBLANK(AK11), """", TEXTJOIN("";"" &amp; CHAR(10), TRUE, UNIQUE(SPLIT(AK11, "";"" &amp; CHAR(10)), TRUE))&amp;"";"")"),"")</f>
        <v/>
      </c>
      <c r="AI11" s="128" t="str">
        <f>IFERROR(__xludf.DUMMYFUNCTION("IF(ISBLANK(AD11), IF(ISBLANK(AE11),,IFNA(TEXTJOIN("";"" &amp; CHAR(10), TRUE, FILTER(AE:AE, SEARCH(AE11&amp;"";"", AJ:AJ)))&amp;"";"", """")), TEXTJOIN("";"" &amp; CHAR(10), TRUE, UNIQUE(SPLIT(AH11 &amp; "";"" &amp; AH11 &amp; "";"" &amp; AL11, "";"" &amp; CHAR(10)), TRUE, TRUE))&amp;"";"")"),"")</f>
        <v/>
      </c>
      <c r="AJ11" s="126" t="str">
        <f>IFERROR(__xludf.DUMMYFUNCTION("IF(AN11="""", """", TEXTJOIN("";"" &amp; CHAR(10), TRUE, UNIQUE(SPLIT(AH11 &amp; "";"" &amp; AH11 &amp; "";"" &amp; AN11, "";"" &amp; CHAR(10)), TRUE, TRUE))&amp;"";"")"),"")</f>
        <v/>
      </c>
      <c r="AK11" s="129" t="str">
        <f>IFERROR(__xludf.DUMMYFUNCTION("IF(ISBLANK(AD11), IF(ISBLANK(AE11),,AE11 &amp; "";""), TEXTJOIN(CHAR(10), TRUE, ARRAYFORMULA(VLOOKUP(SPLIT(AD11, "";"" &amp; CHAR(10)), $AC:$AH, 6, FALSE))))"),"")</f>
        <v/>
      </c>
      <c r="AL11" s="130" t="str">
        <f>IFERROR(__xludf.DUMMYFUNCTION("IF(AM11="""", """", TEXTJOIN("";"" &amp; CHAR(10), TRUE, UNIQUE(SPLIT(AM11, "";"" &amp; CHAR(10)), TRUE))&amp;"";"")"),"")</f>
        <v/>
      </c>
      <c r="AM11" s="130" t="str">
        <f>IFERROR(__xludf.DUMMYFUNCTION("IF(ISBLANK(AD11), """", TEXTJOIN(CHAR(10), TRUE, ARRAYFORMULA(VLOOKUP(SPLIT(AH11, "";"" &amp; CHAR(10)), $AE:$AI, 5, FALSE)), AF11))"),"")</f>
        <v/>
      </c>
      <c r="AN11" s="132" t="str">
        <f>IFERROR(__xludf.DUMMYFUNCTION("IF(ISBLANK(AO11), """", TEXTJOIN("";"" &amp; CHAR(10), TRUE, UNIQUE(SPLIT(AO11, "";"" &amp; CHAR(10)), TRUE))&amp;"";"")"),"")</f>
        <v/>
      </c>
      <c r="AO11" s="134" t="str">
        <f>IFERROR(__xludf.DUMMYFUNCTION("IF(ISBLANK(AD11), AF11, TEXTJOIN(CHAR(10), TRUE, ARRAYFORMULA(VLOOKUP(SPLIT(AD11, "";"" &amp; CHAR(10)), $AC:$AN, 12, FALSE))))"),"")</f>
        <v/>
      </c>
      <c r="AP11" s="130" t="str">
        <f>IF(ISBLANK(AE11),,IF(IFERROR(SEARCH(AE11&amp;";",Circuits!$AO$2),0),TRUE,FALSE))</f>
        <v/>
      </c>
      <c r="AQ11" s="130" t="str">
        <f t="shared" si="2"/>
        <v/>
      </c>
      <c r="AR11" s="130" t="str">
        <f t="shared" si="3"/>
        <v/>
      </c>
      <c r="AS11" s="136" t="str">
        <f>IFERROR(__xludf.DUMMYFUNCTION("IF(AH11="""",,SUM(ARRAYFORMULA(IF(IFERROR(SEARCH(SPLIT(AH11,CHAR(10)),Circuits!$AO$2),0)&gt;0,0,1))))"),"")</f>
        <v/>
      </c>
      <c r="AT11" s="138" t="str">
        <f t="shared" si="4"/>
        <v/>
      </c>
      <c r="AU11" s="138" t="str">
        <f t="shared" si="5"/>
        <v/>
      </c>
      <c r="AV11" s="130" t="str">
        <f>IFERROR(__xludf.DUMMYFUNCTION("IF(AI11="""",,TEXTJOIN("", "",TRUE,ARRAYFORMULA(VLOOKUP(SPLIT(AI11,"";""&amp;CHAR(10)),AE:AT,16,FALSE))))"),"")</f>
        <v/>
      </c>
      <c r="AW11" s="130" t="str">
        <f>IFERROR(__xludf.DUMMYFUNCTION("IF(ISBLANK(BK11),,TEXTJOIN("", "",TRUE,ARRAYFORMULA(VLOOKUP(IFERROR(REGEXEXTRACT(SPLIT(BK11,"";""&amp;CHAR(10)),""\[(.+)\]"")),AE:AT,16,false))))"),"")</f>
        <v/>
      </c>
      <c r="AX11" s="139" t="str">
        <f t="shared" si="6"/>
        <v/>
      </c>
      <c r="AY11" s="139" t="str">
        <f t="shared" si="7"/>
        <v/>
      </c>
      <c r="AZ11" s="106" t="str">
        <f>IFERROR(__xludf.DUMMYFUNCTION("IF(ISBLANK(AD11), BC11, TEXTJOIN(CHAR(10) &amp; CHAR(10), TRUE, ARRAYFORMULA(VLOOKUP(SPLIT(AD11, "";"" &amp; CHAR(10)), $AC:$AY, 23, FALSE))))"),"")</f>
        <v/>
      </c>
      <c r="BA11" s="140" t="s">
        <v>66</v>
      </c>
      <c r="BB11" s="127"/>
      <c r="BC11" s="140"/>
      <c r="BD11" s="106" t="str">
        <f>IFERROR(__xludf.DUMMYFUNCTION("IF(IFERROR(SEARCH(""&lt;&lt;mechanism to realize the capability&gt;&gt;"",BA11),0)=0,
 ""!! Error !! “Capability&amp;Mechanism” column: Invalid Separator:"" &amp; CHAR(10) &amp; ""Insert separator “&lt;&lt;mechanism to realize the capability&gt;&gt;.”"",
 IF(
  LEN(TRIM(CLEAN(
    INDEX(
  "&amp;"    SPLIT(BA11,""&lt;&lt;mechanism to realize the capability&gt;&gt;"",FALSE,FALSE),
      1
    )
  )))=0,
  ""!! Error !! “Capability&amp;Mechanism” column: No Capability:""  &amp; CHAR(10) &amp; ""Describe Capability before separator."",
  INDEX(
    SPLIT(BA11,""&lt;&lt;mechanism "&amp;"to realize the capability&gt;&gt;"",FALSE,FALSE),
    1
  )
 )
)
"),"!! Error !! “Capability&amp;Mechanism” column: No Capability:
Describe Capability before separator.")</f>
        <v>!! Error !! “Capability&amp;Mechanism” column: No Capability:
Describe Capability before separator.</v>
      </c>
      <c r="BE11" s="127"/>
      <c r="BF11" s="141"/>
      <c r="BG11" s="67"/>
      <c r="BH11" s="127"/>
      <c r="BI11" s="140"/>
      <c r="BJ11" s="67"/>
      <c r="BK11" s="42"/>
      <c r="BL11" s="142"/>
      <c r="BM11" s="142"/>
      <c r="BN11" s="67"/>
      <c r="BO11" s="67"/>
      <c r="BP11" s="143"/>
      <c r="BQ11" s="143"/>
      <c r="BR11" s="144"/>
      <c r="BS11" s="144"/>
      <c r="BT11" s="144"/>
      <c r="BU11" s="144"/>
      <c r="BV11" s="144"/>
      <c r="BW11" s="145"/>
      <c r="BX11" s="146" t="str">
        <f t="shared" si="8"/>
        <v/>
      </c>
    </row>
    <row r="12">
      <c r="A12" s="106" t="str">
        <f t="shared" si="1"/>
        <v/>
      </c>
      <c r="B12" s="108" t="str">
        <f t="array" ref="B12">IF(ISBLANK($AE12), "-",INDEX(Circuits!A:A,SUMPRODUCT(EXACT($AE12,Circuits!$A:$A)*ROW(Circuits!$A:$A))))</f>
        <v>-</v>
      </c>
      <c r="C12" s="108" t="str">
        <f t="array" ref="C12">IF(ISBLANK($AE12), "-",INDEX(Circuits!B:B,SUMPRODUCT(EXACT($AE12,Circuits!$A:$A)*ROW(Circuits!$A:$A))))</f>
        <v>-</v>
      </c>
      <c r="D12" s="108" t="str">
        <f t="array" ref="D12">IF(ISBLANK($AE12), "-",INDEX(Circuits!C:C,SUMPRODUCT(EXACT($AE12,Circuits!$A:$A)*ROW(Circuits!$A:$A))))</f>
        <v>-</v>
      </c>
      <c r="E12" s="108" t="str">
        <f t="array" ref="E12">IF(ISBLANK($AE12), "-",INDEX(Circuits!D:D,SUMPRODUCT(EXACT($AE12,Circuits!$A:$A)*ROW(Circuits!$A:$A))))</f>
        <v>-</v>
      </c>
      <c r="F12" s="108" t="str">
        <f t="array" ref="F12">IF(ISBLANK($AE12), "-",INDEX(Circuits!E:E,SUMPRODUCT(EXACT($AE12,Circuits!$A:$A)*ROW(Circuits!$A:$A))))</f>
        <v>-</v>
      </c>
      <c r="G12" s="108" t="str">
        <f t="array" ref="G12">IF(ISBLANK($AE12), "-",INDEX(Circuits!F:F,SUMPRODUCT(EXACT($AE12,Circuits!$A:$A)*ROW(Circuits!$A:$A))))</f>
        <v>-</v>
      </c>
      <c r="H12" s="108" t="str">
        <f t="array" ref="H12">IF(ISBLANK($AE12), "-",INDEX(Circuits!G:G,SUMPRODUCT(EXACT($AE12,Circuits!$A:$A)*ROW(Circuits!$A:$A))))</f>
        <v>-</v>
      </c>
      <c r="I12" s="108" t="str">
        <f t="array" ref="I12">IF(ISBLANK($AE12), "-",INDEX(Circuits!H:H,SUMPRODUCT(EXACT($AE12,Circuits!$A:$A)*ROW(Circuits!$A:$A))))</f>
        <v>-</v>
      </c>
      <c r="J12" s="108" t="str">
        <f t="array" ref="J12">IF(ISBLANK($AE12), "-",INDEX(Circuits!I:I,SUMPRODUCT(EXACT($AE12,Circuits!$A:$A)*ROW(Circuits!$A:$A))))</f>
        <v>-</v>
      </c>
      <c r="K12" s="108" t="str">
        <f t="array" ref="K12">IF(ISBLANK($AE12), "-",INDEX(Circuits!J:J,SUMPRODUCT(EXACT($AE12,Circuits!$A:$A)*ROW(Circuits!$A:$A))))</f>
        <v>-</v>
      </c>
      <c r="L12" s="108" t="str">
        <f t="array" ref="L12">IF(ISBLANK($AE12), "-",INDEX(Circuits!K:K,SUMPRODUCT(EXACT($AE12,Circuits!$A:$A)*ROW(Circuits!$A:$A))))</f>
        <v>-</v>
      </c>
      <c r="M12" s="108" t="str">
        <f t="array" ref="M12">IF(ISBLANK($AE12), "-",INDEX(Circuits!L:L,SUMPRODUCT(EXACT($AE12,Circuits!$A:$A)*ROW(Circuits!$A:$A))))</f>
        <v>-</v>
      </c>
      <c r="N12" s="108" t="str">
        <f t="array" ref="N12">IF(ISBLANK($AE12), "-",INDEX(Circuits!M:M,SUMPRODUCT(EXACT($AE12,Circuits!$A:$A)*ROW(Circuits!$A:$A))))</f>
        <v>-</v>
      </c>
      <c r="O12" s="108" t="str">
        <f t="array" ref="O12">IF(ISBLANK($AE12), "-",INDEX(Circuits!N:N,SUMPRODUCT(EXACT($AE12,Circuits!$A:$A)*ROW(Circuits!$A:$A))))</f>
        <v>-</v>
      </c>
      <c r="P12" s="108" t="str">
        <f t="array" ref="P12">IF(ISBLANK($AE12), "-",INDEX(Circuits!O:O,SUMPRODUCT(EXACT($AE12,Circuits!$A:$A)*ROW(Circuits!$A:$A))))</f>
        <v>-</v>
      </c>
      <c r="Q12" s="108" t="str">
        <f t="array" ref="Q12">IF(ISBLANK($AE12), "-",INDEX(Circuits!P:P,SUMPRODUCT(EXACT($AE12,Circuits!$A:$A)*ROW(Circuits!$A:$A))))</f>
        <v>-</v>
      </c>
      <c r="R12" s="108" t="str">
        <f t="array" ref="R12">IF(ISBLANK($AE12), "-",INDEX(Circuits!Q:Q,SUMPRODUCT(EXACT($AE12,Circuits!$A:$A)*ROW(Circuits!$A:$A))))</f>
        <v>-</v>
      </c>
      <c r="S12" s="108" t="str">
        <f t="array" ref="S12">IF(ISBLANK($AE12), "-",INDEX(Circuits!R:R,SUMPRODUCT(EXACT($AE12,Circuits!$A:$A)*ROW(Circuits!$A:$A))))</f>
        <v>-</v>
      </c>
      <c r="T12" s="108" t="str">
        <f t="array" ref="T12">IF(ISBLANK($AE12), "-",INDEX(Circuits!S:S,SUMPRODUCT(EXACT($AE12,Circuits!$A:$A)*ROW(Circuits!$A:$A))))</f>
        <v>-</v>
      </c>
      <c r="U12" s="108" t="str">
        <f t="array" ref="U12">IF(ISBLANK($AE12), "-",INDEX(Circuits!T:T,SUMPRODUCT(EXACT($AE12,Circuits!$A:$A)*ROW(Circuits!$A:$A))))</f>
        <v>-</v>
      </c>
      <c r="V12" s="108" t="str">
        <f t="array" ref="V12">IF(ISBLANK($AE12), "-",INDEX(Circuits!U:U,SUMPRODUCT(EXACT($AE12,Circuits!$A:$A)*ROW(Circuits!$A:$A))))</f>
        <v>-</v>
      </c>
      <c r="W12" s="108" t="str">
        <f t="array" ref="W12">IF(ISBLANK($AE12), "-",INDEX(Circuits!V:V,SUMPRODUCT(EXACT($AE12,Circuits!$A:$A)*ROW(Circuits!$A:$A))))</f>
        <v>-</v>
      </c>
      <c r="X12" s="108" t="str">
        <f t="array" ref="X12">IF(ISBLANK($AE12), "-",INDEX(Circuits!W:W,SUMPRODUCT(EXACT($AE12,Circuits!$A:$A)*ROW(Circuits!$A:$A))))</f>
        <v>-</v>
      </c>
      <c r="Y12" s="108" t="str">
        <f t="array" ref="Y12">IF(ISBLANK($AE12), "-",INDEX(Circuits!X:X,SUMPRODUCT(EXACT($AE12,Circuits!$A:$A)*ROW(Circuits!$A:$A))))</f>
        <v>-</v>
      </c>
      <c r="Z12" s="108" t="str">
        <f>IFERROR(__xludf.DUMMYFUNCTION("IFNA(CONCATENATE(UNIQUE(FILTER(Connections!R:R,Connections!A:A=B12))),""-"")"),"-")</f>
        <v>-</v>
      </c>
      <c r="AA12" s="119" t="str">
        <f t="array" ref="AA12">IF(ISBLANK($AE12), "-",INDEX(Circuits!Y:Y,SUMPRODUCT(EXACT($AE12,Circuits!$A:$A)*ROW(Circuits!$A:$A))))</f>
        <v>-</v>
      </c>
      <c r="AB12" s="121" t="str">
        <f t="array" ref="AB12">IF(ISBLANK($AE12), "-",INDEX(Circuits!Z:Z,SUMPRODUCT(EXACT($AE12,Circuits!$A:$A)*ROW(Circuits!$A:$A))))</f>
        <v>-</v>
      </c>
      <c r="AC12" s="38"/>
      <c r="AD12" s="38"/>
      <c r="AE12" s="40"/>
      <c r="AF12" s="38"/>
      <c r="AG12" s="126" t="str">
        <f>IFERROR(__xludf.DUMMYFUNCTION("IF(ISBLANK(AF12), """", TEXTJOIN(CHAR(10),TRUE,ARRAYFORMULA(IF(ISERROR(SEARCH(SPLIT(AF12, "";""), $Z12)), ""x"", ""-""))))"),"")</f>
        <v/>
      </c>
      <c r="AH12" s="127" t="str">
        <f>IFERROR(__xludf.DUMMYFUNCTION("IF(ISBLANK(AK12), """", TEXTJOIN("";"" &amp; CHAR(10), TRUE, UNIQUE(SPLIT(AK12, "";"" &amp; CHAR(10)), TRUE))&amp;"";"")"),"")</f>
        <v/>
      </c>
      <c r="AI12" s="128" t="str">
        <f>IFERROR(__xludf.DUMMYFUNCTION("IF(ISBLANK(AD12), IF(ISBLANK(AE12),,IFNA(TEXTJOIN("";"" &amp; CHAR(10), TRUE, FILTER(AE:AE, SEARCH(AE12&amp;"";"", AJ:AJ)))&amp;"";"", """")), TEXTJOIN("";"" &amp; CHAR(10), TRUE, UNIQUE(SPLIT(AH12 &amp; "";"" &amp; AH12 &amp; "";"" &amp; AL12, "";"" &amp; CHAR(10)), TRUE, TRUE))&amp;"";"")"),"")</f>
        <v/>
      </c>
      <c r="AJ12" s="126" t="str">
        <f>IFERROR(__xludf.DUMMYFUNCTION("IF(AN12="""", """", TEXTJOIN("";"" &amp; CHAR(10), TRUE, UNIQUE(SPLIT(AH12 &amp; "";"" &amp; AH12 &amp; "";"" &amp; AN12, "";"" &amp; CHAR(10)), TRUE, TRUE))&amp;"";"")"),"")</f>
        <v/>
      </c>
      <c r="AK12" s="129" t="str">
        <f>IFERROR(__xludf.DUMMYFUNCTION("IF(ISBLANK(AD12), IF(ISBLANK(AE12),,AE12 &amp; "";""), TEXTJOIN(CHAR(10), TRUE, ARRAYFORMULA(VLOOKUP(SPLIT(AD12, "";"" &amp; CHAR(10)), $AC:$AH, 6, FALSE))))"),"")</f>
        <v/>
      </c>
      <c r="AL12" s="130" t="str">
        <f>IFERROR(__xludf.DUMMYFUNCTION("IF(AM12="""", """", TEXTJOIN("";"" &amp; CHAR(10), TRUE, UNIQUE(SPLIT(AM12, "";"" &amp; CHAR(10)), TRUE))&amp;"";"")"),"")</f>
        <v/>
      </c>
      <c r="AM12" s="130" t="str">
        <f>IFERROR(__xludf.DUMMYFUNCTION("IF(ISBLANK(AD12), """", TEXTJOIN(CHAR(10), TRUE, ARRAYFORMULA(VLOOKUP(SPLIT(AH12, "";"" &amp; CHAR(10)), $AE:$AI, 5, FALSE)), AF12))"),"")</f>
        <v/>
      </c>
      <c r="AN12" s="132" t="str">
        <f>IFERROR(__xludf.DUMMYFUNCTION("IF(ISBLANK(AO12), """", TEXTJOIN("";"" &amp; CHAR(10), TRUE, UNIQUE(SPLIT(AO12, "";"" &amp; CHAR(10)), TRUE))&amp;"";"")"),"")</f>
        <v/>
      </c>
      <c r="AO12" s="134" t="str">
        <f>IFERROR(__xludf.DUMMYFUNCTION("IF(ISBLANK(AD12), AF12, TEXTJOIN(CHAR(10), TRUE, ARRAYFORMULA(VLOOKUP(SPLIT(AD12, "";"" &amp; CHAR(10)), $AC:$AN, 12, FALSE))))"),"")</f>
        <v/>
      </c>
      <c r="AP12" s="130" t="str">
        <f>IF(ISBLANK(AE12),,IF(IFERROR(SEARCH(AE12&amp;";",Circuits!$AO$2),0),TRUE,FALSE))</f>
        <v/>
      </c>
      <c r="AQ12" s="130" t="str">
        <f t="shared" si="2"/>
        <v/>
      </c>
      <c r="AR12" s="130" t="str">
        <f t="shared" si="3"/>
        <v/>
      </c>
      <c r="AS12" s="136" t="str">
        <f>IFERROR(__xludf.DUMMYFUNCTION("IF(AH12="""",,SUM(ARRAYFORMULA(IF(IFERROR(SEARCH(SPLIT(AH12,CHAR(10)),Circuits!$AO$2),0)&gt;0,0,1))))"),"")</f>
        <v/>
      </c>
      <c r="AT12" s="138" t="str">
        <f t="shared" si="4"/>
        <v/>
      </c>
      <c r="AU12" s="138" t="str">
        <f t="shared" si="5"/>
        <v/>
      </c>
      <c r="AV12" s="130" t="str">
        <f>IFERROR(__xludf.DUMMYFUNCTION("IF(AI12="""",,TEXTJOIN("", "",TRUE,ARRAYFORMULA(VLOOKUP(SPLIT(AI12,"";""&amp;CHAR(10)),AE:AT,16,FALSE))))"),"")</f>
        <v/>
      </c>
      <c r="AW12" s="130" t="str">
        <f>IFERROR(__xludf.DUMMYFUNCTION("IF(ISBLANK(BK12),,TEXTJOIN("", "",TRUE,ARRAYFORMULA(VLOOKUP(IFERROR(REGEXEXTRACT(SPLIT(BK12,"";""&amp;CHAR(10)),""\[(.+)\]"")),AE:AT,16,false))))"),"")</f>
        <v/>
      </c>
      <c r="AX12" s="139" t="str">
        <f t="shared" si="6"/>
        <v/>
      </c>
      <c r="AY12" s="139" t="str">
        <f t="shared" si="7"/>
        <v/>
      </c>
      <c r="AZ12" s="106" t="str">
        <f>IFERROR(__xludf.DUMMYFUNCTION("IF(ISBLANK(AD12), BC12, TEXTJOIN(CHAR(10) &amp; CHAR(10), TRUE, ARRAYFORMULA(VLOOKUP(SPLIT(AD12, "";"" &amp; CHAR(10)), $AC:$AY, 23, FALSE))))"),"")</f>
        <v/>
      </c>
      <c r="BA12" s="140" t="s">
        <v>66</v>
      </c>
      <c r="BB12" s="127"/>
      <c r="BC12" s="140"/>
      <c r="BD12" s="106" t="str">
        <f>IFERROR(__xludf.DUMMYFUNCTION("IF(IFERROR(SEARCH(""&lt;&lt;mechanism to realize the capability&gt;&gt;"",BA12),0)=0,
 ""!! Error !! “Capability&amp;Mechanism” column: Invalid Separator:"" &amp; CHAR(10) &amp; ""Insert separator “&lt;&lt;mechanism to realize the capability&gt;&gt;.”"",
 IF(
  LEN(TRIM(CLEAN(
    INDEX(
  "&amp;"    SPLIT(BA12,""&lt;&lt;mechanism to realize the capability&gt;&gt;"",FALSE,FALSE),
      1
    )
  )))=0,
  ""!! Error !! “Capability&amp;Mechanism” column: No Capability:""  &amp; CHAR(10) &amp; ""Describe Capability before separator."",
  INDEX(
    SPLIT(BA12,""&lt;&lt;mechanism "&amp;"to realize the capability&gt;&gt;"",FALSE,FALSE),
    1
  )
 )
)
"),"!! Error !! “Capability&amp;Mechanism” column: No Capability:
Describe Capability before separator.")</f>
        <v>!! Error !! “Capability&amp;Mechanism” column: No Capability:
Describe Capability before separator.</v>
      </c>
      <c r="BE12" s="127"/>
      <c r="BF12" s="141"/>
      <c r="BG12" s="67"/>
      <c r="BH12" s="127"/>
      <c r="BI12" s="140"/>
      <c r="BJ12" s="67"/>
      <c r="BK12" s="42"/>
      <c r="BL12" s="142"/>
      <c r="BM12" s="142"/>
      <c r="BN12" s="67"/>
      <c r="BO12" s="67"/>
      <c r="BP12" s="143"/>
      <c r="BQ12" s="143"/>
      <c r="BR12" s="144"/>
      <c r="BS12" s="144"/>
      <c r="BT12" s="144"/>
      <c r="BU12" s="144"/>
      <c r="BV12" s="144"/>
      <c r="BW12" s="145"/>
      <c r="BX12" s="146" t="str">
        <f t="shared" si="8"/>
        <v/>
      </c>
    </row>
    <row r="13">
      <c r="A13" s="106" t="str">
        <f t="shared" si="1"/>
        <v/>
      </c>
      <c r="B13" s="108" t="str">
        <f t="array" ref="B13">IF(ISBLANK($AE13), "-",INDEX(Circuits!A:A,SUMPRODUCT(EXACT($AE13,Circuits!$A:$A)*ROW(Circuits!$A:$A))))</f>
        <v>-</v>
      </c>
      <c r="C13" s="108" t="str">
        <f t="array" ref="C13">IF(ISBLANK($AE13), "-",INDEX(Circuits!B:B,SUMPRODUCT(EXACT($AE13,Circuits!$A:$A)*ROW(Circuits!$A:$A))))</f>
        <v>-</v>
      </c>
      <c r="D13" s="108" t="str">
        <f t="array" ref="D13">IF(ISBLANK($AE13), "-",INDEX(Circuits!C:C,SUMPRODUCT(EXACT($AE13,Circuits!$A:$A)*ROW(Circuits!$A:$A))))</f>
        <v>-</v>
      </c>
      <c r="E13" s="108" t="str">
        <f t="array" ref="E13">IF(ISBLANK($AE13), "-",INDEX(Circuits!D:D,SUMPRODUCT(EXACT($AE13,Circuits!$A:$A)*ROW(Circuits!$A:$A))))</f>
        <v>-</v>
      </c>
      <c r="F13" s="108" t="str">
        <f t="array" ref="F13">IF(ISBLANK($AE13), "-",INDEX(Circuits!E:E,SUMPRODUCT(EXACT($AE13,Circuits!$A:$A)*ROW(Circuits!$A:$A))))</f>
        <v>-</v>
      </c>
      <c r="G13" s="108" t="str">
        <f t="array" ref="G13">IF(ISBLANK($AE13), "-",INDEX(Circuits!F:F,SUMPRODUCT(EXACT($AE13,Circuits!$A:$A)*ROW(Circuits!$A:$A))))</f>
        <v>-</v>
      </c>
      <c r="H13" s="108" t="str">
        <f t="array" ref="H13">IF(ISBLANK($AE13), "-",INDEX(Circuits!G:G,SUMPRODUCT(EXACT($AE13,Circuits!$A:$A)*ROW(Circuits!$A:$A))))</f>
        <v>-</v>
      </c>
      <c r="I13" s="108" t="str">
        <f t="array" ref="I13">IF(ISBLANK($AE13), "-",INDEX(Circuits!H:H,SUMPRODUCT(EXACT($AE13,Circuits!$A:$A)*ROW(Circuits!$A:$A))))</f>
        <v>-</v>
      </c>
      <c r="J13" s="108" t="str">
        <f t="array" ref="J13">IF(ISBLANK($AE13), "-",INDEX(Circuits!I:I,SUMPRODUCT(EXACT($AE13,Circuits!$A:$A)*ROW(Circuits!$A:$A))))</f>
        <v>-</v>
      </c>
      <c r="K13" s="108" t="str">
        <f t="array" ref="K13">IF(ISBLANK($AE13), "-",INDEX(Circuits!J:J,SUMPRODUCT(EXACT($AE13,Circuits!$A:$A)*ROW(Circuits!$A:$A))))</f>
        <v>-</v>
      </c>
      <c r="L13" s="108" t="str">
        <f t="array" ref="L13">IF(ISBLANK($AE13), "-",INDEX(Circuits!K:K,SUMPRODUCT(EXACT($AE13,Circuits!$A:$A)*ROW(Circuits!$A:$A))))</f>
        <v>-</v>
      </c>
      <c r="M13" s="108" t="str">
        <f t="array" ref="M13">IF(ISBLANK($AE13), "-",INDEX(Circuits!L:L,SUMPRODUCT(EXACT($AE13,Circuits!$A:$A)*ROW(Circuits!$A:$A))))</f>
        <v>-</v>
      </c>
      <c r="N13" s="108" t="str">
        <f t="array" ref="N13">IF(ISBLANK($AE13), "-",INDEX(Circuits!M:M,SUMPRODUCT(EXACT($AE13,Circuits!$A:$A)*ROW(Circuits!$A:$A))))</f>
        <v>-</v>
      </c>
      <c r="O13" s="108" t="str">
        <f t="array" ref="O13">IF(ISBLANK($AE13), "-",INDEX(Circuits!N:N,SUMPRODUCT(EXACT($AE13,Circuits!$A:$A)*ROW(Circuits!$A:$A))))</f>
        <v>-</v>
      </c>
      <c r="P13" s="108" t="str">
        <f t="array" ref="P13">IF(ISBLANK($AE13), "-",INDEX(Circuits!O:O,SUMPRODUCT(EXACT($AE13,Circuits!$A:$A)*ROW(Circuits!$A:$A))))</f>
        <v>-</v>
      </c>
      <c r="Q13" s="108" t="str">
        <f t="array" ref="Q13">IF(ISBLANK($AE13), "-",INDEX(Circuits!P:P,SUMPRODUCT(EXACT($AE13,Circuits!$A:$A)*ROW(Circuits!$A:$A))))</f>
        <v>-</v>
      </c>
      <c r="R13" s="108" t="str">
        <f t="array" ref="R13">IF(ISBLANK($AE13), "-",INDEX(Circuits!Q:Q,SUMPRODUCT(EXACT($AE13,Circuits!$A:$A)*ROW(Circuits!$A:$A))))</f>
        <v>-</v>
      </c>
      <c r="S13" s="108" t="str">
        <f t="array" ref="S13">IF(ISBLANK($AE13), "-",INDEX(Circuits!R:R,SUMPRODUCT(EXACT($AE13,Circuits!$A:$A)*ROW(Circuits!$A:$A))))</f>
        <v>-</v>
      </c>
      <c r="T13" s="108" t="str">
        <f t="array" ref="T13">IF(ISBLANK($AE13), "-",INDEX(Circuits!S:S,SUMPRODUCT(EXACT($AE13,Circuits!$A:$A)*ROW(Circuits!$A:$A))))</f>
        <v>-</v>
      </c>
      <c r="U13" s="108" t="str">
        <f t="array" ref="U13">IF(ISBLANK($AE13), "-",INDEX(Circuits!T:T,SUMPRODUCT(EXACT($AE13,Circuits!$A:$A)*ROW(Circuits!$A:$A))))</f>
        <v>-</v>
      </c>
      <c r="V13" s="108" t="str">
        <f t="array" ref="V13">IF(ISBLANK($AE13), "-",INDEX(Circuits!U:U,SUMPRODUCT(EXACT($AE13,Circuits!$A:$A)*ROW(Circuits!$A:$A))))</f>
        <v>-</v>
      </c>
      <c r="W13" s="108" t="str">
        <f t="array" ref="W13">IF(ISBLANK($AE13), "-",INDEX(Circuits!V:V,SUMPRODUCT(EXACT($AE13,Circuits!$A:$A)*ROW(Circuits!$A:$A))))</f>
        <v>-</v>
      </c>
      <c r="X13" s="108" t="str">
        <f t="array" ref="X13">IF(ISBLANK($AE13), "-",INDEX(Circuits!W:W,SUMPRODUCT(EXACT($AE13,Circuits!$A:$A)*ROW(Circuits!$A:$A))))</f>
        <v>-</v>
      </c>
      <c r="Y13" s="108" t="str">
        <f t="array" ref="Y13">IF(ISBLANK($AE13), "-",INDEX(Circuits!X:X,SUMPRODUCT(EXACT($AE13,Circuits!$A:$A)*ROW(Circuits!$A:$A))))</f>
        <v>-</v>
      </c>
      <c r="Z13" s="108" t="str">
        <f>IFERROR(__xludf.DUMMYFUNCTION("IFNA(CONCATENATE(UNIQUE(FILTER(Connections!R:R,Connections!A:A=B13))),""-"")"),"-")</f>
        <v>-</v>
      </c>
      <c r="AA13" s="119" t="str">
        <f t="array" ref="AA13">IF(ISBLANK($AE13), "-",INDEX(Circuits!Y:Y,SUMPRODUCT(EXACT($AE13,Circuits!$A:$A)*ROW(Circuits!$A:$A))))</f>
        <v>-</v>
      </c>
      <c r="AB13" s="121" t="str">
        <f t="array" ref="AB13">IF(ISBLANK($AE13), "-",INDEX(Circuits!Z:Z,SUMPRODUCT(EXACT($AE13,Circuits!$A:$A)*ROW(Circuits!$A:$A))))</f>
        <v>-</v>
      </c>
      <c r="AC13" s="38"/>
      <c r="AD13" s="38"/>
      <c r="AE13" s="40"/>
      <c r="AF13" s="38"/>
      <c r="AG13" s="126" t="str">
        <f>IFERROR(__xludf.DUMMYFUNCTION("IF(ISBLANK(AF13), """", TEXTJOIN(CHAR(10),TRUE,ARRAYFORMULA(IF(ISERROR(SEARCH(SPLIT(AF13, "";""), $Z13)), ""x"", ""-""))))"),"")</f>
        <v/>
      </c>
      <c r="AH13" s="127" t="str">
        <f>IFERROR(__xludf.DUMMYFUNCTION("IF(ISBLANK(AK13), """", TEXTJOIN("";"" &amp; CHAR(10), TRUE, UNIQUE(SPLIT(AK13, "";"" &amp; CHAR(10)), TRUE))&amp;"";"")"),"")</f>
        <v/>
      </c>
      <c r="AI13" s="128" t="str">
        <f>IFERROR(__xludf.DUMMYFUNCTION("IF(ISBLANK(AD13), IF(ISBLANK(AE13),,IFNA(TEXTJOIN("";"" &amp; CHAR(10), TRUE, FILTER(AE:AE, SEARCH(AE13&amp;"";"", AJ:AJ)))&amp;"";"", """")), TEXTJOIN("";"" &amp; CHAR(10), TRUE, UNIQUE(SPLIT(AH13 &amp; "";"" &amp; AH13 &amp; "";"" &amp; AL13, "";"" &amp; CHAR(10)), TRUE, TRUE))&amp;"";"")"),"")</f>
        <v/>
      </c>
      <c r="AJ13" s="126" t="str">
        <f>IFERROR(__xludf.DUMMYFUNCTION("IF(AN13="""", """", TEXTJOIN("";"" &amp; CHAR(10), TRUE, UNIQUE(SPLIT(AH13 &amp; "";"" &amp; AH13 &amp; "";"" &amp; AN13, "";"" &amp; CHAR(10)), TRUE, TRUE))&amp;"";"")"),"")</f>
        <v/>
      </c>
      <c r="AK13" s="129" t="str">
        <f>IFERROR(__xludf.DUMMYFUNCTION("IF(ISBLANK(AD13), IF(ISBLANK(AE13),,AE13 &amp; "";""), TEXTJOIN(CHAR(10), TRUE, ARRAYFORMULA(VLOOKUP(SPLIT(AD13, "";"" &amp; CHAR(10)), $AC:$AH, 6, FALSE))))"),"")</f>
        <v/>
      </c>
      <c r="AL13" s="130" t="str">
        <f>IFERROR(__xludf.DUMMYFUNCTION("IF(AM13="""", """", TEXTJOIN("";"" &amp; CHAR(10), TRUE, UNIQUE(SPLIT(AM13, "";"" &amp; CHAR(10)), TRUE))&amp;"";"")"),"")</f>
        <v/>
      </c>
      <c r="AM13" s="130" t="str">
        <f>IFERROR(__xludf.DUMMYFUNCTION("IF(ISBLANK(AD13), """", TEXTJOIN(CHAR(10), TRUE, ARRAYFORMULA(VLOOKUP(SPLIT(AH13, "";"" &amp; CHAR(10)), $AE:$AI, 5, FALSE)), AF13))"),"")</f>
        <v/>
      </c>
      <c r="AN13" s="132" t="str">
        <f>IFERROR(__xludf.DUMMYFUNCTION("IF(ISBLANK(AO13), """", TEXTJOIN("";"" &amp; CHAR(10), TRUE, UNIQUE(SPLIT(AO13, "";"" &amp; CHAR(10)), TRUE))&amp;"";"")"),"")</f>
        <v/>
      </c>
      <c r="AO13" s="134" t="str">
        <f>IFERROR(__xludf.DUMMYFUNCTION("IF(ISBLANK(AD13), AF13, TEXTJOIN(CHAR(10), TRUE, ARRAYFORMULA(VLOOKUP(SPLIT(AD13, "";"" &amp; CHAR(10)), $AC:$AN, 12, FALSE))))"),"")</f>
        <v/>
      </c>
      <c r="AP13" s="130" t="str">
        <f>IF(ISBLANK(AE13),,IF(IFERROR(SEARCH(AE13&amp;";",Circuits!$AO$2),0),TRUE,FALSE))</f>
        <v/>
      </c>
      <c r="AQ13" s="130" t="str">
        <f t="shared" si="2"/>
        <v/>
      </c>
      <c r="AR13" s="130" t="str">
        <f t="shared" si="3"/>
        <v/>
      </c>
      <c r="AS13" s="136" t="str">
        <f>IFERROR(__xludf.DUMMYFUNCTION("IF(AH13="""",,SUM(ARRAYFORMULA(IF(IFERROR(SEARCH(SPLIT(AH13,CHAR(10)),Circuits!$AO$2),0)&gt;0,0,1))))"),"")</f>
        <v/>
      </c>
      <c r="AT13" s="138" t="str">
        <f t="shared" si="4"/>
        <v/>
      </c>
      <c r="AU13" s="138" t="str">
        <f t="shared" si="5"/>
        <v/>
      </c>
      <c r="AV13" s="130" t="str">
        <f>IFERROR(__xludf.DUMMYFUNCTION("IF(AI13="""",,TEXTJOIN("", "",TRUE,ARRAYFORMULA(VLOOKUP(SPLIT(AI13,"";""&amp;CHAR(10)),AE:AT,16,FALSE))))"),"")</f>
        <v/>
      </c>
      <c r="AW13" s="130" t="str">
        <f>IFERROR(__xludf.DUMMYFUNCTION("IF(ISBLANK(BK13),,TEXTJOIN("", "",TRUE,ARRAYFORMULA(VLOOKUP(IFERROR(REGEXEXTRACT(SPLIT(BK13,"";""&amp;CHAR(10)),""\[(.+)\]"")),AE:AT,16,false))))"),"")</f>
        <v/>
      </c>
      <c r="AX13" s="139" t="str">
        <f t="shared" si="6"/>
        <v/>
      </c>
      <c r="AY13" s="139" t="str">
        <f t="shared" si="7"/>
        <v/>
      </c>
      <c r="AZ13" s="106" t="str">
        <f>IFERROR(__xludf.DUMMYFUNCTION("IF(ISBLANK(AD13), BC13, TEXTJOIN(CHAR(10) &amp; CHAR(10), TRUE, ARRAYFORMULA(VLOOKUP(SPLIT(AD13, "";"" &amp; CHAR(10)), $AC:$AY, 23, FALSE))))"),"")</f>
        <v/>
      </c>
      <c r="BA13" s="140" t="s">
        <v>66</v>
      </c>
      <c r="BB13" s="127"/>
      <c r="BC13" s="140"/>
      <c r="BD13" s="106" t="str">
        <f>IFERROR(__xludf.DUMMYFUNCTION("IF(IFERROR(SEARCH(""&lt;&lt;mechanism to realize the capability&gt;&gt;"",BA13),0)=0,
 ""!! Error !! “Capability&amp;Mechanism” column: Invalid Separator:"" &amp; CHAR(10) &amp; ""Insert separator “&lt;&lt;mechanism to realize the capability&gt;&gt;.”"",
 IF(
  LEN(TRIM(CLEAN(
    INDEX(
  "&amp;"    SPLIT(BA13,""&lt;&lt;mechanism to realize the capability&gt;&gt;"",FALSE,FALSE),
      1
    )
  )))=0,
  ""!! Error !! “Capability&amp;Mechanism” column: No Capability:""  &amp; CHAR(10) &amp; ""Describe Capability before separator."",
  INDEX(
    SPLIT(BA13,""&lt;&lt;mechanism "&amp;"to realize the capability&gt;&gt;"",FALSE,FALSE),
    1
  )
 )
)
"),"!! Error !! “Capability&amp;Mechanism” column: No Capability:
Describe Capability before separator.")</f>
        <v>!! Error !! “Capability&amp;Mechanism” column: No Capability:
Describe Capability before separator.</v>
      </c>
      <c r="BE13" s="127"/>
      <c r="BF13" s="141"/>
      <c r="BG13" s="67"/>
      <c r="BH13" s="127"/>
      <c r="BI13" s="140"/>
      <c r="BJ13" s="67"/>
      <c r="BK13" s="42"/>
      <c r="BL13" s="142"/>
      <c r="BM13" s="142"/>
      <c r="BN13" s="67"/>
      <c r="BO13" s="67"/>
      <c r="BP13" s="143"/>
      <c r="BQ13" s="143"/>
      <c r="BR13" s="144"/>
      <c r="BS13" s="144"/>
      <c r="BT13" s="144"/>
      <c r="BU13" s="144"/>
      <c r="BV13" s="144"/>
      <c r="BW13" s="145"/>
      <c r="BX13" s="146" t="str">
        <f t="shared" si="8"/>
        <v/>
      </c>
    </row>
    <row r="14">
      <c r="A14" s="106" t="str">
        <f t="shared" si="1"/>
        <v/>
      </c>
      <c r="B14" s="183" t="str">
        <f t="array" ref="B14">IF(ISBLANK($AE14), "-",INDEX(Circuits!A:A,SUMPRODUCT(EXACT($AE14,Circuits!$A:$A)*ROW(Circuits!$A:$A))))</f>
        <v>-</v>
      </c>
      <c r="C14" s="183" t="str">
        <f t="array" ref="C14">IF(ISBLANK($AE14), "-",INDEX(Circuits!B:B,SUMPRODUCT(EXACT($AE14,Circuits!$A:$A)*ROW(Circuits!$A:$A))))</f>
        <v>-</v>
      </c>
      <c r="D14" s="183" t="str">
        <f t="array" ref="D14">IF(ISBLANK($AE14), "-",INDEX(Circuits!C:C,SUMPRODUCT(EXACT($AE14,Circuits!$A:$A)*ROW(Circuits!$A:$A))))</f>
        <v>-</v>
      </c>
      <c r="E14" s="183" t="str">
        <f t="array" ref="E14">IF(ISBLANK($AE14), "-",INDEX(Circuits!D:D,SUMPRODUCT(EXACT($AE14,Circuits!$A:$A)*ROW(Circuits!$A:$A))))</f>
        <v>-</v>
      </c>
      <c r="F14" s="183" t="str">
        <f t="array" ref="F14">IF(ISBLANK($AE14), "-",INDEX(Circuits!E:E,SUMPRODUCT(EXACT($AE14,Circuits!$A:$A)*ROW(Circuits!$A:$A))))</f>
        <v>-</v>
      </c>
      <c r="G14" s="183" t="str">
        <f t="array" ref="G14">IF(ISBLANK($AE14), "-",INDEX(Circuits!F:F,SUMPRODUCT(EXACT($AE14,Circuits!$A:$A)*ROW(Circuits!$A:$A))))</f>
        <v>-</v>
      </c>
      <c r="H14" s="183" t="str">
        <f t="array" ref="H14">IF(ISBLANK($AE14), "-",INDEX(Circuits!G:G,SUMPRODUCT(EXACT($AE14,Circuits!$A:$A)*ROW(Circuits!$A:$A))))</f>
        <v>-</v>
      </c>
      <c r="I14" s="183" t="str">
        <f t="array" ref="I14">IF(ISBLANK($AE14), "-",INDEX(Circuits!H:H,SUMPRODUCT(EXACT($AE14,Circuits!$A:$A)*ROW(Circuits!$A:$A))))</f>
        <v>-</v>
      </c>
      <c r="J14" s="183" t="str">
        <f t="array" ref="J14">IF(ISBLANK($AE14), "-",INDEX(Circuits!I:I,SUMPRODUCT(EXACT($AE14,Circuits!$A:$A)*ROW(Circuits!$A:$A))))</f>
        <v>-</v>
      </c>
      <c r="K14" s="183" t="str">
        <f t="array" ref="K14">IF(ISBLANK($AE14), "-",INDEX(Circuits!J:J,SUMPRODUCT(EXACT($AE14,Circuits!$A:$A)*ROW(Circuits!$A:$A))))</f>
        <v>-</v>
      </c>
      <c r="L14" s="183" t="str">
        <f t="array" ref="L14">IF(ISBLANK($AE14), "-",INDEX(Circuits!K:K,SUMPRODUCT(EXACT($AE14,Circuits!$A:$A)*ROW(Circuits!$A:$A))))</f>
        <v>-</v>
      </c>
      <c r="M14" s="183" t="str">
        <f t="array" ref="M14">IF(ISBLANK($AE14), "-",INDEX(Circuits!L:L,SUMPRODUCT(EXACT($AE14,Circuits!$A:$A)*ROW(Circuits!$A:$A))))</f>
        <v>-</v>
      </c>
      <c r="N14" s="183" t="str">
        <f t="array" ref="N14">IF(ISBLANK($AE14), "-",INDEX(Circuits!M:M,SUMPRODUCT(EXACT($AE14,Circuits!$A:$A)*ROW(Circuits!$A:$A))))</f>
        <v>-</v>
      </c>
      <c r="O14" s="183" t="str">
        <f t="array" ref="O14">IF(ISBLANK($AE14), "-",INDEX(Circuits!N:N,SUMPRODUCT(EXACT($AE14,Circuits!$A:$A)*ROW(Circuits!$A:$A))))</f>
        <v>-</v>
      </c>
      <c r="P14" s="183" t="str">
        <f t="array" ref="P14">IF(ISBLANK($AE14), "-",INDEX(Circuits!O:O,SUMPRODUCT(EXACT($AE14,Circuits!$A:$A)*ROW(Circuits!$A:$A))))</f>
        <v>-</v>
      </c>
      <c r="Q14" s="183" t="str">
        <f t="array" ref="Q14">IF(ISBLANK($AE14), "-",INDEX(Circuits!P:P,SUMPRODUCT(EXACT($AE14,Circuits!$A:$A)*ROW(Circuits!$A:$A))))</f>
        <v>-</v>
      </c>
      <c r="R14" s="183" t="str">
        <f t="array" ref="R14">IF(ISBLANK($AE14), "-",INDEX(Circuits!Q:Q,SUMPRODUCT(EXACT($AE14,Circuits!$A:$A)*ROW(Circuits!$A:$A))))</f>
        <v>-</v>
      </c>
      <c r="S14" s="183" t="str">
        <f t="array" ref="S14">IF(ISBLANK($AE14), "-",INDEX(Circuits!R:R,SUMPRODUCT(EXACT($AE14,Circuits!$A:$A)*ROW(Circuits!$A:$A))))</f>
        <v>-</v>
      </c>
      <c r="T14" s="183" t="str">
        <f t="array" ref="T14">IF(ISBLANK($AE14), "-",INDEX(Circuits!S:S,SUMPRODUCT(EXACT($AE14,Circuits!$A:$A)*ROW(Circuits!$A:$A))))</f>
        <v>-</v>
      </c>
      <c r="U14" s="183" t="str">
        <f t="array" ref="U14">IF(ISBLANK($AE14), "-",INDEX(Circuits!T:T,SUMPRODUCT(EXACT($AE14,Circuits!$A:$A)*ROW(Circuits!$A:$A))))</f>
        <v>-</v>
      </c>
      <c r="V14" s="183" t="str">
        <f t="array" ref="V14">IF(ISBLANK($AE14), "-",INDEX(Circuits!U:U,SUMPRODUCT(EXACT($AE14,Circuits!$A:$A)*ROW(Circuits!$A:$A))))</f>
        <v>-</v>
      </c>
      <c r="W14" s="183" t="str">
        <f t="array" ref="W14">IF(ISBLANK($AE14), "-",INDEX(Circuits!V:V,SUMPRODUCT(EXACT($AE14,Circuits!$A:$A)*ROW(Circuits!$A:$A))))</f>
        <v>-</v>
      </c>
      <c r="X14" s="183" t="str">
        <f t="array" ref="X14">IF(ISBLANK($AE14), "-",INDEX(Circuits!W:W,SUMPRODUCT(EXACT($AE14,Circuits!$A:$A)*ROW(Circuits!$A:$A))))</f>
        <v>-</v>
      </c>
      <c r="Y14" s="183" t="str">
        <f t="array" ref="Y14">IF(ISBLANK($AE14), "-",INDEX(Circuits!X:X,SUMPRODUCT(EXACT($AE14,Circuits!$A:$A)*ROW(Circuits!$A:$A))))</f>
        <v>-</v>
      </c>
      <c r="Z14" s="108" t="str">
        <f>IFERROR(__xludf.DUMMYFUNCTION("IFNA(CONCATENATE(UNIQUE(FILTER(Connections!R:R,Connections!A:A=B14))),""-"")"),"-")</f>
        <v>-</v>
      </c>
      <c r="AA14" s="119" t="str">
        <f t="array" ref="AA14">IF(ISBLANK($AE14), "-",INDEX(Circuits!Y:Y,SUMPRODUCT(EXACT($AE14,Circuits!$A:$A)*ROW(Circuits!$A:$A))))</f>
        <v>-</v>
      </c>
      <c r="AB14" s="121" t="str">
        <f t="array" ref="AB14">IF(ISBLANK($AE14), "-",INDEX(Circuits!Z:Z,SUMPRODUCT(EXACT($AE14,Circuits!$A:$A)*ROW(Circuits!$A:$A))))</f>
        <v>-</v>
      </c>
      <c r="AC14" s="38"/>
      <c r="AD14" s="38"/>
      <c r="AE14" s="40"/>
      <c r="AF14" s="38"/>
      <c r="AG14" s="126" t="str">
        <f>IFERROR(__xludf.DUMMYFUNCTION("IF(ISBLANK(AF14), """", TEXTJOIN(CHAR(10),TRUE,ARRAYFORMULA(IF(ISERROR(SEARCH(SPLIT(AF14, "";""), $Z14)), ""x"", ""-""))))"),"")</f>
        <v/>
      </c>
      <c r="AH14" s="127" t="str">
        <f>IFERROR(__xludf.DUMMYFUNCTION("IF(ISBLANK(AK14), """", TEXTJOIN("";"" &amp; CHAR(10), TRUE, UNIQUE(SPLIT(AK14, "";"" &amp; CHAR(10)), TRUE))&amp;"";"")"),"")</f>
        <v/>
      </c>
      <c r="AI14" s="128" t="str">
        <f>IFERROR(__xludf.DUMMYFUNCTION("IF(ISBLANK(AD14), IF(ISBLANK(AE14),,IFNA(TEXTJOIN("";"" &amp; CHAR(10), TRUE, FILTER(AE:AE, SEARCH(AE14&amp;"";"", AJ:AJ)))&amp;"";"", """")), TEXTJOIN("";"" &amp; CHAR(10), TRUE, UNIQUE(SPLIT(AH14 &amp; "";"" &amp; AH14 &amp; "";"" &amp; AL14, "";"" &amp; CHAR(10)), TRUE, TRUE))&amp;"";"")"),"")</f>
        <v/>
      </c>
      <c r="AJ14" s="126" t="str">
        <f>IFERROR(__xludf.DUMMYFUNCTION("IF(AN14="""", """", TEXTJOIN("";"" &amp; CHAR(10), TRUE, UNIQUE(SPLIT(AH14 &amp; "";"" &amp; AH14 &amp; "";"" &amp; AN14, "";"" &amp; CHAR(10)), TRUE, TRUE))&amp;"";"")"),"")</f>
        <v/>
      </c>
      <c r="AK14" s="129" t="str">
        <f>IFERROR(__xludf.DUMMYFUNCTION("IF(ISBLANK(AD14), IF(ISBLANK(AE14),,AE14 &amp; "";""), TEXTJOIN(CHAR(10), TRUE, ARRAYFORMULA(VLOOKUP(SPLIT(AD14, "";"" &amp; CHAR(10)), $AC:$AH, 6, FALSE))))"),"")</f>
        <v/>
      </c>
      <c r="AL14" s="130" t="str">
        <f>IFERROR(__xludf.DUMMYFUNCTION("IF(AM14="""", """", TEXTJOIN("";"" &amp; CHAR(10), TRUE, UNIQUE(SPLIT(AM14, "";"" &amp; CHAR(10)), TRUE))&amp;"";"")"),"")</f>
        <v/>
      </c>
      <c r="AM14" s="130" t="str">
        <f>IFERROR(__xludf.DUMMYFUNCTION("IF(ISBLANK(AD14), """", TEXTJOIN(CHAR(10), TRUE, ARRAYFORMULA(VLOOKUP(SPLIT(AH14, "";"" &amp; CHAR(10)), $AE:$AI, 5, FALSE)), AF14))"),"")</f>
        <v/>
      </c>
      <c r="AN14" s="132" t="str">
        <f>IFERROR(__xludf.DUMMYFUNCTION("IF(ISBLANK(AO14), """", TEXTJOIN("";"" &amp; CHAR(10), TRUE, UNIQUE(SPLIT(AO14, "";"" &amp; CHAR(10)), TRUE))&amp;"";"")"),"")</f>
        <v/>
      </c>
      <c r="AO14" s="134" t="str">
        <f>IFERROR(__xludf.DUMMYFUNCTION("IF(ISBLANK(AD14), AF14, TEXTJOIN(CHAR(10), TRUE, ARRAYFORMULA(VLOOKUP(SPLIT(AD14, "";"" &amp; CHAR(10)), $AC:$AN, 12, FALSE))))"),"")</f>
        <v/>
      </c>
      <c r="AP14" s="130" t="str">
        <f>IF(ISBLANK(AE14),,IF(IFERROR(SEARCH(AE14&amp;";",Circuits!$AO$2),0),TRUE,FALSE))</f>
        <v/>
      </c>
      <c r="AQ14" s="130" t="str">
        <f t="shared" si="2"/>
        <v/>
      </c>
      <c r="AR14" s="130" t="str">
        <f t="shared" si="3"/>
        <v/>
      </c>
      <c r="AS14" s="136" t="str">
        <f>IFERROR(__xludf.DUMMYFUNCTION("IF(AH14="""",,SUM(ARRAYFORMULA(IF(IFERROR(SEARCH(SPLIT(AH14,CHAR(10)),Circuits!$AO$2),0)&gt;0,0,1))))"),"")</f>
        <v/>
      </c>
      <c r="AT14" s="138" t="str">
        <f t="shared" si="4"/>
        <v/>
      </c>
      <c r="AU14" s="138" t="str">
        <f t="shared" si="5"/>
        <v/>
      </c>
      <c r="AV14" s="130" t="str">
        <f>IFERROR(__xludf.DUMMYFUNCTION("IF(AI14="""",,TEXTJOIN("", "",TRUE,ARRAYFORMULA(VLOOKUP(SPLIT(AI14,"";""&amp;CHAR(10)),AE:AT,16,FALSE))))"),"")</f>
        <v/>
      </c>
      <c r="AW14" s="130" t="str">
        <f>IFERROR(__xludf.DUMMYFUNCTION("IF(ISBLANK(BK14),,TEXTJOIN("", "",TRUE,ARRAYFORMULA(VLOOKUP(IFERROR(REGEXEXTRACT(SPLIT(BK14,"";""&amp;CHAR(10)),""\[(.+)\]"")),AE:AT,16,false))))"),"")</f>
        <v/>
      </c>
      <c r="AX14" s="139" t="str">
        <f t="shared" si="6"/>
        <v/>
      </c>
      <c r="AY14" s="139" t="str">
        <f t="shared" si="7"/>
        <v/>
      </c>
      <c r="AZ14" s="106" t="str">
        <f>IFERROR(__xludf.DUMMYFUNCTION("IF(ISBLANK(AD14), BC14, TEXTJOIN(CHAR(10) &amp; CHAR(10), TRUE, ARRAYFORMULA(VLOOKUP(SPLIT(AD14, "";"" &amp; CHAR(10)), $AC:$AY, 23, FALSE))))"),"")</f>
        <v/>
      </c>
      <c r="BA14" s="140" t="s">
        <v>66</v>
      </c>
      <c r="BB14" s="127"/>
      <c r="BC14" s="140"/>
      <c r="BD14" s="106" t="str">
        <f>IFERROR(__xludf.DUMMYFUNCTION("IF(IFERROR(SEARCH(""&lt;&lt;mechanism to realize the capability&gt;&gt;"",BA14),0)=0,
 ""!! Error !! “Capability&amp;Mechanism” column: Invalid Separator:"" &amp; CHAR(10) &amp; ""Insert separator “&lt;&lt;mechanism to realize the capability&gt;&gt;.”"",
 IF(
  LEN(TRIM(CLEAN(
    INDEX(
  "&amp;"    SPLIT(BA14,""&lt;&lt;mechanism to realize the capability&gt;&gt;"",FALSE,FALSE),
      1
    )
  )))=0,
  ""!! Error !! “Capability&amp;Mechanism” column: No Capability:""  &amp; CHAR(10) &amp; ""Describe Capability before separator."",
  INDEX(
    SPLIT(BA14,""&lt;&lt;mechanism "&amp;"to realize the capability&gt;&gt;"",FALSE,FALSE),
    1
  )
 )
)
"),"!! Error !! “Capability&amp;Mechanism” column: No Capability:
Describe Capability before separator.")</f>
        <v>!! Error !! “Capability&amp;Mechanism” column: No Capability:
Describe Capability before separator.</v>
      </c>
      <c r="BE14" s="127"/>
      <c r="BF14" s="141"/>
      <c r="BG14" s="67"/>
      <c r="BH14" s="127"/>
      <c r="BI14" s="140"/>
      <c r="BJ14" s="67"/>
      <c r="BK14" s="42"/>
      <c r="BL14" s="142"/>
      <c r="BM14" s="142"/>
      <c r="BN14" s="67"/>
      <c r="BO14" s="67"/>
      <c r="BP14" s="143"/>
      <c r="BQ14" s="143"/>
      <c r="BR14" s="144"/>
      <c r="BS14" s="144"/>
      <c r="BT14" s="144"/>
      <c r="BU14" s="144"/>
      <c r="BV14" s="144"/>
      <c r="BW14" s="145"/>
      <c r="BX14" s="146" t="str">
        <f t="shared" si="8"/>
        <v/>
      </c>
    </row>
    <row r="15">
      <c r="A15" s="106" t="str">
        <f t="shared" si="1"/>
        <v/>
      </c>
      <c r="B15" s="183" t="str">
        <f t="array" ref="B15">IF(ISBLANK($AE15), "-",INDEX(Circuits!A:A,SUMPRODUCT(EXACT($AE15,Circuits!$A:$A)*ROW(Circuits!$A:$A))))</f>
        <v>-</v>
      </c>
      <c r="C15" s="183" t="str">
        <f t="array" ref="C15">IF(ISBLANK($AE15), "-",INDEX(Circuits!B:B,SUMPRODUCT(EXACT($AE15,Circuits!$A:$A)*ROW(Circuits!$A:$A))))</f>
        <v>-</v>
      </c>
      <c r="D15" s="183" t="str">
        <f t="array" ref="D15">IF(ISBLANK($AE15), "-",INDEX(Circuits!C:C,SUMPRODUCT(EXACT($AE15,Circuits!$A:$A)*ROW(Circuits!$A:$A))))</f>
        <v>-</v>
      </c>
      <c r="E15" s="183" t="str">
        <f t="array" ref="E15">IF(ISBLANK($AE15), "-",INDEX(Circuits!D:D,SUMPRODUCT(EXACT($AE15,Circuits!$A:$A)*ROW(Circuits!$A:$A))))</f>
        <v>-</v>
      </c>
      <c r="F15" s="183" t="str">
        <f t="array" ref="F15">IF(ISBLANK($AE15), "-",INDEX(Circuits!E:E,SUMPRODUCT(EXACT($AE15,Circuits!$A:$A)*ROW(Circuits!$A:$A))))</f>
        <v>-</v>
      </c>
      <c r="G15" s="183" t="str">
        <f t="array" ref="G15">IF(ISBLANK($AE15), "-",INDEX(Circuits!F:F,SUMPRODUCT(EXACT($AE15,Circuits!$A:$A)*ROW(Circuits!$A:$A))))</f>
        <v>-</v>
      </c>
      <c r="H15" s="183" t="str">
        <f t="array" ref="H15">IF(ISBLANK($AE15), "-",INDEX(Circuits!G:G,SUMPRODUCT(EXACT($AE15,Circuits!$A:$A)*ROW(Circuits!$A:$A))))</f>
        <v>-</v>
      </c>
      <c r="I15" s="183" t="str">
        <f t="array" ref="I15">IF(ISBLANK($AE15), "-",INDEX(Circuits!H:H,SUMPRODUCT(EXACT($AE15,Circuits!$A:$A)*ROW(Circuits!$A:$A))))</f>
        <v>-</v>
      </c>
      <c r="J15" s="183" t="str">
        <f t="array" ref="J15">IF(ISBLANK($AE15), "-",INDEX(Circuits!I:I,SUMPRODUCT(EXACT($AE15,Circuits!$A:$A)*ROW(Circuits!$A:$A))))</f>
        <v>-</v>
      </c>
      <c r="K15" s="183" t="str">
        <f t="array" ref="K15">IF(ISBLANK($AE15), "-",INDEX(Circuits!J:J,SUMPRODUCT(EXACT($AE15,Circuits!$A:$A)*ROW(Circuits!$A:$A))))</f>
        <v>-</v>
      </c>
      <c r="L15" s="183" t="str">
        <f t="array" ref="L15">IF(ISBLANK($AE15), "-",INDEX(Circuits!K:K,SUMPRODUCT(EXACT($AE15,Circuits!$A:$A)*ROW(Circuits!$A:$A))))</f>
        <v>-</v>
      </c>
      <c r="M15" s="183" t="str">
        <f t="array" ref="M15">IF(ISBLANK($AE15), "-",INDEX(Circuits!L:L,SUMPRODUCT(EXACT($AE15,Circuits!$A:$A)*ROW(Circuits!$A:$A))))</f>
        <v>-</v>
      </c>
      <c r="N15" s="183" t="str">
        <f t="array" ref="N15">IF(ISBLANK($AE15), "-",INDEX(Circuits!M:M,SUMPRODUCT(EXACT($AE15,Circuits!$A:$A)*ROW(Circuits!$A:$A))))</f>
        <v>-</v>
      </c>
      <c r="O15" s="183" t="str">
        <f t="array" ref="O15">IF(ISBLANK($AE15), "-",INDEX(Circuits!N:N,SUMPRODUCT(EXACT($AE15,Circuits!$A:$A)*ROW(Circuits!$A:$A))))</f>
        <v>-</v>
      </c>
      <c r="P15" s="183" t="str">
        <f t="array" ref="P15">IF(ISBLANK($AE15), "-",INDEX(Circuits!O:O,SUMPRODUCT(EXACT($AE15,Circuits!$A:$A)*ROW(Circuits!$A:$A))))</f>
        <v>-</v>
      </c>
      <c r="Q15" s="183" t="str">
        <f t="array" ref="Q15">IF(ISBLANK($AE15), "-",INDEX(Circuits!P:P,SUMPRODUCT(EXACT($AE15,Circuits!$A:$A)*ROW(Circuits!$A:$A))))</f>
        <v>-</v>
      </c>
      <c r="R15" s="183" t="str">
        <f t="array" ref="R15">IF(ISBLANK($AE15), "-",INDEX(Circuits!Q:Q,SUMPRODUCT(EXACT($AE15,Circuits!$A:$A)*ROW(Circuits!$A:$A))))</f>
        <v>-</v>
      </c>
      <c r="S15" s="183" t="str">
        <f t="array" ref="S15">IF(ISBLANK($AE15), "-",INDEX(Circuits!R:R,SUMPRODUCT(EXACT($AE15,Circuits!$A:$A)*ROW(Circuits!$A:$A))))</f>
        <v>-</v>
      </c>
      <c r="T15" s="183" t="str">
        <f t="array" ref="T15">IF(ISBLANK($AE15), "-",INDEX(Circuits!S:S,SUMPRODUCT(EXACT($AE15,Circuits!$A:$A)*ROW(Circuits!$A:$A))))</f>
        <v>-</v>
      </c>
      <c r="U15" s="183" t="str">
        <f t="array" ref="U15">IF(ISBLANK($AE15), "-",INDEX(Circuits!T:T,SUMPRODUCT(EXACT($AE15,Circuits!$A:$A)*ROW(Circuits!$A:$A))))</f>
        <v>-</v>
      </c>
      <c r="V15" s="183" t="str">
        <f t="array" ref="V15">IF(ISBLANK($AE15), "-",INDEX(Circuits!U:U,SUMPRODUCT(EXACT($AE15,Circuits!$A:$A)*ROW(Circuits!$A:$A))))</f>
        <v>-</v>
      </c>
      <c r="W15" s="183" t="str">
        <f t="array" ref="W15">IF(ISBLANK($AE15), "-",INDEX(Circuits!V:V,SUMPRODUCT(EXACT($AE15,Circuits!$A:$A)*ROW(Circuits!$A:$A))))</f>
        <v>-</v>
      </c>
      <c r="X15" s="183" t="str">
        <f t="array" ref="X15">IF(ISBLANK($AE15), "-",INDEX(Circuits!W:W,SUMPRODUCT(EXACT($AE15,Circuits!$A:$A)*ROW(Circuits!$A:$A))))</f>
        <v>-</v>
      </c>
      <c r="Y15" s="183" t="str">
        <f t="array" ref="Y15">IF(ISBLANK($AE15), "-",INDEX(Circuits!X:X,SUMPRODUCT(EXACT($AE15,Circuits!$A:$A)*ROW(Circuits!$A:$A))))</f>
        <v>-</v>
      </c>
      <c r="Z15" s="108" t="str">
        <f>IFERROR(__xludf.DUMMYFUNCTION("IFNA(CONCATENATE(UNIQUE(FILTER(Connections!R:R,Connections!A:A=B15))),""-"")"),"-")</f>
        <v>-</v>
      </c>
      <c r="AA15" s="119" t="str">
        <f t="array" ref="AA15">IF(ISBLANK($AE15), "-",INDEX(Circuits!Y:Y,SUMPRODUCT(EXACT($AE15,Circuits!$A:$A)*ROW(Circuits!$A:$A))))</f>
        <v>-</v>
      </c>
      <c r="AB15" s="121" t="str">
        <f t="array" ref="AB15">IF(ISBLANK($AE15), "-",INDEX(Circuits!Z:Z,SUMPRODUCT(EXACT($AE15,Circuits!$A:$A)*ROW(Circuits!$A:$A))))</f>
        <v>-</v>
      </c>
      <c r="AC15" s="38"/>
      <c r="AD15" s="38"/>
      <c r="AE15" s="40"/>
      <c r="AF15" s="38"/>
      <c r="AG15" s="126" t="str">
        <f>IFERROR(__xludf.DUMMYFUNCTION("IF(ISBLANK(AF15), """", TEXTJOIN(CHAR(10),TRUE,ARRAYFORMULA(IF(ISERROR(SEARCH(SPLIT(AF15, "";""), $Z15)), ""x"", ""-""))))"),"")</f>
        <v/>
      </c>
      <c r="AH15" s="127" t="str">
        <f>IFERROR(__xludf.DUMMYFUNCTION("IF(ISBLANK(AK15), """", TEXTJOIN("";"" &amp; CHAR(10), TRUE, UNIQUE(SPLIT(AK15, "";"" &amp; CHAR(10)), TRUE))&amp;"";"")"),"")</f>
        <v/>
      </c>
      <c r="AI15" s="128" t="str">
        <f>IFERROR(__xludf.DUMMYFUNCTION("IF(ISBLANK(AD15), IF(ISBLANK(AE15),,IFNA(TEXTJOIN("";"" &amp; CHAR(10), TRUE, FILTER(AE:AE, SEARCH(AE15&amp;"";"", AJ:AJ)))&amp;"";"", """")), TEXTJOIN("";"" &amp; CHAR(10), TRUE, UNIQUE(SPLIT(AH15 &amp; "";"" &amp; AH15 &amp; "";"" &amp; AL15, "";"" &amp; CHAR(10)), TRUE, TRUE))&amp;"";"")"),"")</f>
        <v/>
      </c>
      <c r="AJ15" s="126" t="str">
        <f>IFERROR(__xludf.DUMMYFUNCTION("IF(AN15="""", """", TEXTJOIN("";"" &amp; CHAR(10), TRUE, UNIQUE(SPLIT(AH15 &amp; "";"" &amp; AH15 &amp; "";"" &amp; AN15, "";"" &amp; CHAR(10)), TRUE, TRUE))&amp;"";"")"),"")</f>
        <v/>
      </c>
      <c r="AK15" s="129" t="str">
        <f>IFERROR(__xludf.DUMMYFUNCTION("IF(ISBLANK(AD15), IF(ISBLANK(AE15),,AE15 &amp; "";""), TEXTJOIN(CHAR(10), TRUE, ARRAYFORMULA(VLOOKUP(SPLIT(AD15, "";"" &amp; CHAR(10)), $AC:$AH, 6, FALSE))))"),"")</f>
        <v/>
      </c>
      <c r="AL15" s="130" t="str">
        <f>IFERROR(__xludf.DUMMYFUNCTION("IF(AM15="""", """", TEXTJOIN("";"" &amp; CHAR(10), TRUE, UNIQUE(SPLIT(AM15, "";"" &amp; CHAR(10)), TRUE))&amp;"";"")"),"")</f>
        <v/>
      </c>
      <c r="AM15" s="130" t="str">
        <f>IFERROR(__xludf.DUMMYFUNCTION("IF(ISBLANK(AD15), """", TEXTJOIN(CHAR(10), TRUE, ARRAYFORMULA(VLOOKUP(SPLIT(AH15, "";"" &amp; CHAR(10)), $AE:$AI, 5, FALSE)), AF15))"),"")</f>
        <v/>
      </c>
      <c r="AN15" s="132" t="str">
        <f>IFERROR(__xludf.DUMMYFUNCTION("IF(ISBLANK(AO15), """", TEXTJOIN("";"" &amp; CHAR(10), TRUE, UNIQUE(SPLIT(AO15, "";"" &amp; CHAR(10)), TRUE))&amp;"";"")"),"")</f>
        <v/>
      </c>
      <c r="AO15" s="134" t="str">
        <f>IFERROR(__xludf.DUMMYFUNCTION("IF(ISBLANK(AD15), AF15, TEXTJOIN(CHAR(10), TRUE, ARRAYFORMULA(VLOOKUP(SPLIT(AD15, "";"" &amp; CHAR(10)), $AC:$AN, 12, FALSE))))"),"")</f>
        <v/>
      </c>
      <c r="AP15" s="130" t="str">
        <f>IF(ISBLANK(AE15),,IF(IFERROR(SEARCH(AE15&amp;";",Circuits!$AO$2),0),TRUE,FALSE))</f>
        <v/>
      </c>
      <c r="AQ15" s="130" t="str">
        <f t="shared" si="2"/>
        <v/>
      </c>
      <c r="AR15" s="130" t="str">
        <f t="shared" si="3"/>
        <v/>
      </c>
      <c r="AS15" s="136" t="str">
        <f>IFERROR(__xludf.DUMMYFUNCTION("IF(AH15="""",,SUM(ARRAYFORMULA(IF(IFERROR(SEARCH(SPLIT(AH15,CHAR(10)),Circuits!$AO$2),0)&gt;0,0,1))))"),"")</f>
        <v/>
      </c>
      <c r="AT15" s="138" t="str">
        <f t="shared" si="4"/>
        <v/>
      </c>
      <c r="AU15" s="138" t="str">
        <f t="shared" si="5"/>
        <v/>
      </c>
      <c r="AV15" s="130" t="str">
        <f>IFERROR(__xludf.DUMMYFUNCTION("IF(AI15="""",,TEXTJOIN("", "",TRUE,ARRAYFORMULA(VLOOKUP(SPLIT(AI15,"";""&amp;CHAR(10)),AE:AT,16,FALSE))))"),"")</f>
        <v/>
      </c>
      <c r="AW15" s="130" t="str">
        <f>IFERROR(__xludf.DUMMYFUNCTION("IF(ISBLANK(BK15),,TEXTJOIN("", "",TRUE,ARRAYFORMULA(VLOOKUP(IFERROR(REGEXEXTRACT(SPLIT(BK15,"";""&amp;CHAR(10)),""\[(.+)\]"")),AE:AT,16,false))))"),"")</f>
        <v/>
      </c>
      <c r="AX15" s="139" t="str">
        <f t="shared" si="6"/>
        <v/>
      </c>
      <c r="AY15" s="139" t="str">
        <f t="shared" si="7"/>
        <v/>
      </c>
      <c r="AZ15" s="106" t="str">
        <f>IFERROR(__xludf.DUMMYFUNCTION("IF(ISBLANK(AD15), BC15, TEXTJOIN(CHAR(10) &amp; CHAR(10), TRUE, ARRAYFORMULA(VLOOKUP(SPLIT(AD15, "";"" &amp; CHAR(10)), $AC:$AY, 23, FALSE))))"),"")</f>
        <v/>
      </c>
      <c r="BA15" s="140" t="s">
        <v>66</v>
      </c>
      <c r="BB15" s="127"/>
      <c r="BC15" s="140"/>
      <c r="BD15" s="106" t="str">
        <f>IFERROR(__xludf.DUMMYFUNCTION("IF(IFERROR(SEARCH(""&lt;&lt;mechanism to realize the capability&gt;&gt;"",BA15),0)=0,
 ""!! Error !! “Capability&amp;Mechanism” column: Invalid Separator:"" &amp; CHAR(10) &amp; ""Insert separator “&lt;&lt;mechanism to realize the capability&gt;&gt;.”"",
 IF(
  LEN(TRIM(CLEAN(
    INDEX(
  "&amp;"    SPLIT(BA15,""&lt;&lt;mechanism to realize the capability&gt;&gt;"",FALSE,FALSE),
      1
    )
  )))=0,
  ""!! Error !! “Capability&amp;Mechanism” column: No Capability:""  &amp; CHAR(10) &amp; ""Describe Capability before separator."",
  INDEX(
    SPLIT(BA15,""&lt;&lt;mechanism "&amp;"to realize the capability&gt;&gt;"",FALSE,FALSE),
    1
  )
 )
)
"),"!! Error !! “Capability&amp;Mechanism” column: No Capability:
Describe Capability before separator.")</f>
        <v>!! Error !! “Capability&amp;Mechanism” column: No Capability:
Describe Capability before separator.</v>
      </c>
      <c r="BE15" s="127"/>
      <c r="BF15" s="141"/>
      <c r="BG15" s="67"/>
      <c r="BH15" s="127"/>
      <c r="BI15" s="140"/>
      <c r="BJ15" s="67"/>
      <c r="BK15" s="42"/>
      <c r="BL15" s="142"/>
      <c r="BM15" s="142"/>
      <c r="BN15" s="67"/>
      <c r="BO15" s="67"/>
      <c r="BP15" s="143"/>
      <c r="BQ15" s="143"/>
      <c r="BR15" s="144"/>
      <c r="BS15" s="144"/>
      <c r="BT15" s="144"/>
      <c r="BU15" s="144"/>
      <c r="BV15" s="144"/>
      <c r="BW15" s="145"/>
      <c r="BX15" s="146" t="str">
        <f t="shared" si="8"/>
        <v/>
      </c>
    </row>
    <row r="16">
      <c r="A16" s="106" t="str">
        <f t="shared" si="1"/>
        <v/>
      </c>
      <c r="B16" s="183" t="str">
        <f t="array" ref="B16">IF(ISBLANK($AE16), "-",INDEX(Circuits!A:A,SUMPRODUCT(EXACT($AE16,Circuits!$A:$A)*ROW(Circuits!$A:$A))))</f>
        <v>-</v>
      </c>
      <c r="C16" s="183" t="str">
        <f t="array" ref="C16">IF(ISBLANK($AE16), "-",INDEX(Circuits!B:B,SUMPRODUCT(EXACT($AE16,Circuits!$A:$A)*ROW(Circuits!$A:$A))))</f>
        <v>-</v>
      </c>
      <c r="D16" s="183" t="str">
        <f t="array" ref="D16">IF(ISBLANK($AE16), "-",INDEX(Circuits!C:C,SUMPRODUCT(EXACT($AE16,Circuits!$A:$A)*ROW(Circuits!$A:$A))))</f>
        <v>-</v>
      </c>
      <c r="E16" s="183" t="str">
        <f t="array" ref="E16">IF(ISBLANK($AE16), "-",INDEX(Circuits!D:D,SUMPRODUCT(EXACT($AE16,Circuits!$A:$A)*ROW(Circuits!$A:$A))))</f>
        <v>-</v>
      </c>
      <c r="F16" s="183" t="str">
        <f t="array" ref="F16">IF(ISBLANK($AE16), "-",INDEX(Circuits!E:E,SUMPRODUCT(EXACT($AE16,Circuits!$A:$A)*ROW(Circuits!$A:$A))))</f>
        <v>-</v>
      </c>
      <c r="G16" s="183" t="str">
        <f t="array" ref="G16">IF(ISBLANK($AE16), "-",INDEX(Circuits!F:F,SUMPRODUCT(EXACT($AE16,Circuits!$A:$A)*ROW(Circuits!$A:$A))))</f>
        <v>-</v>
      </c>
      <c r="H16" s="183" t="str">
        <f t="array" ref="H16">IF(ISBLANK($AE16), "-",INDEX(Circuits!G:G,SUMPRODUCT(EXACT($AE16,Circuits!$A:$A)*ROW(Circuits!$A:$A))))</f>
        <v>-</v>
      </c>
      <c r="I16" s="183" t="str">
        <f t="array" ref="I16">IF(ISBLANK($AE16), "-",INDEX(Circuits!H:H,SUMPRODUCT(EXACT($AE16,Circuits!$A:$A)*ROW(Circuits!$A:$A))))</f>
        <v>-</v>
      </c>
      <c r="J16" s="183" t="str">
        <f t="array" ref="J16">IF(ISBLANK($AE16), "-",INDEX(Circuits!I:I,SUMPRODUCT(EXACT($AE16,Circuits!$A:$A)*ROW(Circuits!$A:$A))))</f>
        <v>-</v>
      </c>
      <c r="K16" s="183" t="str">
        <f t="array" ref="K16">IF(ISBLANK($AE16), "-",INDEX(Circuits!J:J,SUMPRODUCT(EXACT($AE16,Circuits!$A:$A)*ROW(Circuits!$A:$A))))</f>
        <v>-</v>
      </c>
      <c r="L16" s="183" t="str">
        <f t="array" ref="L16">IF(ISBLANK($AE16), "-",INDEX(Circuits!K:K,SUMPRODUCT(EXACT($AE16,Circuits!$A:$A)*ROW(Circuits!$A:$A))))</f>
        <v>-</v>
      </c>
      <c r="M16" s="183" t="str">
        <f t="array" ref="M16">IF(ISBLANK($AE16), "-",INDEX(Circuits!L:L,SUMPRODUCT(EXACT($AE16,Circuits!$A:$A)*ROW(Circuits!$A:$A))))</f>
        <v>-</v>
      </c>
      <c r="N16" s="183" t="str">
        <f t="array" ref="N16">IF(ISBLANK($AE16), "-",INDEX(Circuits!M:M,SUMPRODUCT(EXACT($AE16,Circuits!$A:$A)*ROW(Circuits!$A:$A))))</f>
        <v>-</v>
      </c>
      <c r="O16" s="183" t="str">
        <f t="array" ref="O16">IF(ISBLANK($AE16), "-",INDEX(Circuits!N:N,SUMPRODUCT(EXACT($AE16,Circuits!$A:$A)*ROW(Circuits!$A:$A))))</f>
        <v>-</v>
      </c>
      <c r="P16" s="183" t="str">
        <f t="array" ref="P16">IF(ISBLANK($AE16), "-",INDEX(Circuits!O:O,SUMPRODUCT(EXACT($AE16,Circuits!$A:$A)*ROW(Circuits!$A:$A))))</f>
        <v>-</v>
      </c>
      <c r="Q16" s="183" t="str">
        <f t="array" ref="Q16">IF(ISBLANK($AE16), "-",INDEX(Circuits!P:P,SUMPRODUCT(EXACT($AE16,Circuits!$A:$A)*ROW(Circuits!$A:$A))))</f>
        <v>-</v>
      </c>
      <c r="R16" s="183" t="str">
        <f t="array" ref="R16">IF(ISBLANK($AE16), "-",INDEX(Circuits!Q:Q,SUMPRODUCT(EXACT($AE16,Circuits!$A:$A)*ROW(Circuits!$A:$A))))</f>
        <v>-</v>
      </c>
      <c r="S16" s="183" t="str">
        <f t="array" ref="S16">IF(ISBLANK($AE16), "-",INDEX(Circuits!R:R,SUMPRODUCT(EXACT($AE16,Circuits!$A:$A)*ROW(Circuits!$A:$A))))</f>
        <v>-</v>
      </c>
      <c r="T16" s="183" t="str">
        <f t="array" ref="T16">IF(ISBLANK($AE16), "-",INDEX(Circuits!S:S,SUMPRODUCT(EXACT($AE16,Circuits!$A:$A)*ROW(Circuits!$A:$A))))</f>
        <v>-</v>
      </c>
      <c r="U16" s="183" t="str">
        <f t="array" ref="U16">IF(ISBLANK($AE16), "-",INDEX(Circuits!T:T,SUMPRODUCT(EXACT($AE16,Circuits!$A:$A)*ROW(Circuits!$A:$A))))</f>
        <v>-</v>
      </c>
      <c r="V16" s="183" t="str">
        <f t="array" ref="V16">IF(ISBLANK($AE16), "-",INDEX(Circuits!U:U,SUMPRODUCT(EXACT($AE16,Circuits!$A:$A)*ROW(Circuits!$A:$A))))</f>
        <v>-</v>
      </c>
      <c r="W16" s="183" t="str">
        <f t="array" ref="W16">IF(ISBLANK($AE16), "-",INDEX(Circuits!V:V,SUMPRODUCT(EXACT($AE16,Circuits!$A:$A)*ROW(Circuits!$A:$A))))</f>
        <v>-</v>
      </c>
      <c r="X16" s="183" t="str">
        <f t="array" ref="X16">IF(ISBLANK($AE16), "-",INDEX(Circuits!W:W,SUMPRODUCT(EXACT($AE16,Circuits!$A:$A)*ROW(Circuits!$A:$A))))</f>
        <v>-</v>
      </c>
      <c r="Y16" s="183" t="str">
        <f t="array" ref="Y16">IF(ISBLANK($AE16), "-",INDEX(Circuits!X:X,SUMPRODUCT(EXACT($AE16,Circuits!$A:$A)*ROW(Circuits!$A:$A))))</f>
        <v>-</v>
      </c>
      <c r="Z16" s="108" t="str">
        <f>IFERROR(__xludf.DUMMYFUNCTION("IFNA(CONCATENATE(UNIQUE(FILTER(Connections!R:R,Connections!A:A=B16))),""-"")"),"-")</f>
        <v>-</v>
      </c>
      <c r="AA16" s="119" t="str">
        <f t="array" ref="AA16">IF(ISBLANK($AE16), "-",INDEX(Circuits!Y:Y,SUMPRODUCT(EXACT($AE16,Circuits!$A:$A)*ROW(Circuits!$A:$A))))</f>
        <v>-</v>
      </c>
      <c r="AB16" s="121" t="str">
        <f t="array" ref="AB16">IF(ISBLANK($AE16), "-",INDEX(Circuits!Z:Z,SUMPRODUCT(EXACT($AE16,Circuits!$A:$A)*ROW(Circuits!$A:$A))))</f>
        <v>-</v>
      </c>
      <c r="AC16" s="38"/>
      <c r="AD16" s="38"/>
      <c r="AE16" s="124"/>
      <c r="AF16" s="38"/>
      <c r="AG16" s="126" t="str">
        <f>IFERROR(__xludf.DUMMYFUNCTION("IF(ISBLANK(AF16), """", TEXTJOIN(CHAR(10),TRUE,ARRAYFORMULA(IF(ISERROR(SEARCH(SPLIT(AF16, "";""), $Z16)), ""x"", ""-""))))"),"")</f>
        <v/>
      </c>
      <c r="AH16" s="127" t="str">
        <f>IFERROR(__xludf.DUMMYFUNCTION("IF(ISBLANK(AK16), """", TEXTJOIN("";"" &amp; CHAR(10), TRUE, UNIQUE(SPLIT(AK16, "";"" &amp; CHAR(10)), TRUE))&amp;"";"")"),"")</f>
        <v/>
      </c>
      <c r="AI16" s="128" t="str">
        <f>IFERROR(__xludf.DUMMYFUNCTION("IF(ISBLANK(AD16), IF(ISBLANK(AE16),,IFNA(TEXTJOIN("";"" &amp; CHAR(10), TRUE, FILTER(AE:AE, SEARCH(AE16&amp;"";"", AJ:AJ)))&amp;"";"", """")), TEXTJOIN("";"" &amp; CHAR(10), TRUE, UNIQUE(SPLIT(AH16 &amp; "";"" &amp; AH16 &amp; "";"" &amp; AL16, "";"" &amp; CHAR(10)), TRUE, TRUE))&amp;"";"")"),"")</f>
        <v/>
      </c>
      <c r="AJ16" s="126" t="str">
        <f>IFERROR(__xludf.DUMMYFUNCTION("IF(AN16="""", """", TEXTJOIN("";"" &amp; CHAR(10), TRUE, UNIQUE(SPLIT(AH16 &amp; "";"" &amp; AH16 &amp; "";"" &amp; AN16, "";"" &amp; CHAR(10)), TRUE, TRUE))&amp;"";"")"),"")</f>
        <v/>
      </c>
      <c r="AK16" s="129" t="str">
        <f>IFERROR(__xludf.DUMMYFUNCTION("IF(ISBLANK(AD16), IF(ISBLANK(AE16),,AE16 &amp; "";""), TEXTJOIN(CHAR(10), TRUE, ARRAYFORMULA(VLOOKUP(SPLIT(AD16, "";"" &amp; CHAR(10)), $AC:$AH, 6, FALSE))))"),"")</f>
        <v/>
      </c>
      <c r="AL16" s="130" t="str">
        <f>IFERROR(__xludf.DUMMYFUNCTION("IF(AM16="""", """", TEXTJOIN("";"" &amp; CHAR(10), TRUE, UNIQUE(SPLIT(AM16, "";"" &amp; CHAR(10)), TRUE))&amp;"";"")"),"")</f>
        <v/>
      </c>
      <c r="AM16" s="130" t="str">
        <f>IFERROR(__xludf.DUMMYFUNCTION("IF(ISBLANK(AD16), """", TEXTJOIN(CHAR(10), TRUE, ARRAYFORMULA(VLOOKUP(SPLIT(AH16, "";"" &amp; CHAR(10)), $AE:$AI, 5, FALSE)), AF16))"),"")</f>
        <v/>
      </c>
      <c r="AN16" s="132" t="str">
        <f>IFERROR(__xludf.DUMMYFUNCTION("IF(ISBLANK(AO16), """", TEXTJOIN("";"" &amp; CHAR(10), TRUE, UNIQUE(SPLIT(AO16, "";"" &amp; CHAR(10)), TRUE))&amp;"";"")"),"")</f>
        <v/>
      </c>
      <c r="AO16" s="134" t="str">
        <f>IFERROR(__xludf.DUMMYFUNCTION("IF(ISBLANK(AD16), AF16, TEXTJOIN(CHAR(10), TRUE, ARRAYFORMULA(VLOOKUP(SPLIT(AD16, "";"" &amp; CHAR(10)), $AC:$AN, 12, FALSE))))"),"")</f>
        <v/>
      </c>
      <c r="AP16" s="130" t="str">
        <f>IF(ISBLANK(AE16),,IF(IFERROR(SEARCH(AE16&amp;";",Circuits!$AO$2),0),TRUE,FALSE))</f>
        <v/>
      </c>
      <c r="AQ16" s="130" t="str">
        <f t="shared" si="2"/>
        <v/>
      </c>
      <c r="AR16" s="130" t="str">
        <f t="shared" si="3"/>
        <v/>
      </c>
      <c r="AS16" s="136" t="str">
        <f>IFERROR(__xludf.DUMMYFUNCTION("IF(AH16="""",,SUM(ARRAYFORMULA(IF(IFERROR(SEARCH(SPLIT(AH16,CHAR(10)),Circuits!$AO$2),0)&gt;0,0,1))))"),"")</f>
        <v/>
      </c>
      <c r="AT16" s="138" t="str">
        <f t="shared" si="4"/>
        <v/>
      </c>
      <c r="AU16" s="138" t="str">
        <f t="shared" si="5"/>
        <v/>
      </c>
      <c r="AV16" s="130" t="str">
        <f>IFERROR(__xludf.DUMMYFUNCTION("IF(AI16="""",,TEXTJOIN("", "",TRUE,ARRAYFORMULA(VLOOKUP(SPLIT(AI16,"";""&amp;CHAR(10)),AE:AT,16,FALSE))))"),"")</f>
        <v/>
      </c>
      <c r="AW16" s="130" t="str">
        <f>IFERROR(__xludf.DUMMYFUNCTION("IF(ISBLANK(BK16),,TEXTJOIN("", "",TRUE,ARRAYFORMULA(VLOOKUP(IFERROR(REGEXEXTRACT(SPLIT(BK16,"";""&amp;CHAR(10)),""\[(.+)\]"")),AE:AT,16,false))))"),"")</f>
        <v/>
      </c>
      <c r="AX16" s="139" t="str">
        <f t="shared" si="6"/>
        <v/>
      </c>
      <c r="AY16" s="139" t="str">
        <f t="shared" si="7"/>
        <v/>
      </c>
      <c r="AZ16" s="106" t="str">
        <f>IFERROR(__xludf.DUMMYFUNCTION("IF(ISBLANK(AD16), BC16, TEXTJOIN(CHAR(10) &amp; CHAR(10), TRUE, ARRAYFORMULA(VLOOKUP(SPLIT(AD16, "";"" &amp; CHAR(10)), $AC:$AY, 23, FALSE))))"),"")</f>
        <v/>
      </c>
      <c r="BA16" s="140" t="s">
        <v>66</v>
      </c>
      <c r="BB16" s="127"/>
      <c r="BC16" s="140"/>
      <c r="BD16" s="106" t="str">
        <f>IFERROR(__xludf.DUMMYFUNCTION("IF(IFERROR(SEARCH(""&lt;&lt;mechanism to realize the capability&gt;&gt;"",BA16),0)=0,
 ""!! Error !! “Capability&amp;Mechanism” column: Invalid Separator:"" &amp; CHAR(10) &amp; ""Insert separator “&lt;&lt;mechanism to realize the capability&gt;&gt;.”"",
 IF(
  LEN(TRIM(CLEAN(
    INDEX(
  "&amp;"    SPLIT(BA16,""&lt;&lt;mechanism to realize the capability&gt;&gt;"",FALSE,FALSE),
      1
    )
  )))=0,
  ""!! Error !! “Capability&amp;Mechanism” column: No Capability:""  &amp; CHAR(10) &amp; ""Describe Capability before separator."",
  INDEX(
    SPLIT(BA16,""&lt;&lt;mechanism "&amp;"to realize the capability&gt;&gt;"",FALSE,FALSE),
    1
  )
 )
)
"),"!! Error !! “Capability&amp;Mechanism” column: No Capability:
Describe Capability before separator.")</f>
        <v>!! Error !! “Capability&amp;Mechanism” column: No Capability:
Describe Capability before separator.</v>
      </c>
      <c r="BE16" s="127"/>
      <c r="BF16" s="141"/>
      <c r="BG16" s="67"/>
      <c r="BH16" s="127"/>
      <c r="BI16" s="140"/>
      <c r="BJ16" s="67"/>
      <c r="BK16" s="42"/>
      <c r="BL16" s="142"/>
      <c r="BM16" s="142"/>
      <c r="BN16" s="67"/>
      <c r="BO16" s="67"/>
      <c r="BP16" s="143"/>
      <c r="BQ16" s="143"/>
      <c r="BR16" s="144"/>
      <c r="BS16" s="144"/>
      <c r="BT16" s="144"/>
      <c r="BU16" s="144"/>
      <c r="BV16" s="144"/>
      <c r="BW16" s="145"/>
      <c r="BX16" s="146" t="str">
        <f t="shared" si="8"/>
        <v/>
      </c>
    </row>
    <row r="17">
      <c r="A17" s="106" t="str">
        <f t="shared" si="1"/>
        <v/>
      </c>
      <c r="B17" s="183" t="str">
        <f t="array" ref="B17">IF(ISBLANK($AE17), "-",INDEX(Circuits!A:A,SUMPRODUCT(EXACT($AE17,Circuits!$A:$A)*ROW(Circuits!$A:$A))))</f>
        <v>-</v>
      </c>
      <c r="C17" s="183" t="str">
        <f t="array" ref="C17">IF(ISBLANK($AE17), "-",INDEX(Circuits!B:B,SUMPRODUCT(EXACT($AE17,Circuits!$A:$A)*ROW(Circuits!$A:$A))))</f>
        <v>-</v>
      </c>
      <c r="D17" s="183" t="str">
        <f t="array" ref="D17">IF(ISBLANK($AE17), "-",INDEX(Circuits!C:C,SUMPRODUCT(EXACT($AE17,Circuits!$A:$A)*ROW(Circuits!$A:$A))))</f>
        <v>-</v>
      </c>
      <c r="E17" s="183" t="str">
        <f t="array" ref="E17">IF(ISBLANK($AE17), "-",INDEX(Circuits!D:D,SUMPRODUCT(EXACT($AE17,Circuits!$A:$A)*ROW(Circuits!$A:$A))))</f>
        <v>-</v>
      </c>
      <c r="F17" s="183" t="str">
        <f t="array" ref="F17">IF(ISBLANK($AE17), "-",INDEX(Circuits!E:E,SUMPRODUCT(EXACT($AE17,Circuits!$A:$A)*ROW(Circuits!$A:$A))))</f>
        <v>-</v>
      </c>
      <c r="G17" s="183" t="str">
        <f t="array" ref="G17">IF(ISBLANK($AE17), "-",INDEX(Circuits!F:F,SUMPRODUCT(EXACT($AE17,Circuits!$A:$A)*ROW(Circuits!$A:$A))))</f>
        <v>-</v>
      </c>
      <c r="H17" s="183" t="str">
        <f t="array" ref="H17">IF(ISBLANK($AE17), "-",INDEX(Circuits!G:G,SUMPRODUCT(EXACT($AE17,Circuits!$A:$A)*ROW(Circuits!$A:$A))))</f>
        <v>-</v>
      </c>
      <c r="I17" s="183" t="str">
        <f t="array" ref="I17">IF(ISBLANK($AE17), "-",INDEX(Circuits!H:H,SUMPRODUCT(EXACT($AE17,Circuits!$A:$A)*ROW(Circuits!$A:$A))))</f>
        <v>-</v>
      </c>
      <c r="J17" s="183" t="str">
        <f t="array" ref="J17">IF(ISBLANK($AE17), "-",INDEX(Circuits!I:I,SUMPRODUCT(EXACT($AE17,Circuits!$A:$A)*ROW(Circuits!$A:$A))))</f>
        <v>-</v>
      </c>
      <c r="K17" s="183" t="str">
        <f t="array" ref="K17">IF(ISBLANK($AE17), "-",INDEX(Circuits!J:J,SUMPRODUCT(EXACT($AE17,Circuits!$A:$A)*ROW(Circuits!$A:$A))))</f>
        <v>-</v>
      </c>
      <c r="L17" s="183" t="str">
        <f t="array" ref="L17">IF(ISBLANK($AE17), "-",INDEX(Circuits!K:K,SUMPRODUCT(EXACT($AE17,Circuits!$A:$A)*ROW(Circuits!$A:$A))))</f>
        <v>-</v>
      </c>
      <c r="M17" s="183" t="str">
        <f t="array" ref="M17">IF(ISBLANK($AE17), "-",INDEX(Circuits!L:L,SUMPRODUCT(EXACT($AE17,Circuits!$A:$A)*ROW(Circuits!$A:$A))))</f>
        <v>-</v>
      </c>
      <c r="N17" s="183" t="str">
        <f t="array" ref="N17">IF(ISBLANK($AE17), "-",INDEX(Circuits!M:M,SUMPRODUCT(EXACT($AE17,Circuits!$A:$A)*ROW(Circuits!$A:$A))))</f>
        <v>-</v>
      </c>
      <c r="O17" s="183" t="str">
        <f t="array" ref="O17">IF(ISBLANK($AE17), "-",INDEX(Circuits!N:N,SUMPRODUCT(EXACT($AE17,Circuits!$A:$A)*ROW(Circuits!$A:$A))))</f>
        <v>-</v>
      </c>
      <c r="P17" s="183" t="str">
        <f t="array" ref="P17">IF(ISBLANK($AE17), "-",INDEX(Circuits!O:O,SUMPRODUCT(EXACT($AE17,Circuits!$A:$A)*ROW(Circuits!$A:$A))))</f>
        <v>-</v>
      </c>
      <c r="Q17" s="183" t="str">
        <f t="array" ref="Q17">IF(ISBLANK($AE17), "-",INDEX(Circuits!P:P,SUMPRODUCT(EXACT($AE17,Circuits!$A:$A)*ROW(Circuits!$A:$A))))</f>
        <v>-</v>
      </c>
      <c r="R17" s="183" t="str">
        <f t="array" ref="R17">IF(ISBLANK($AE17), "-",INDEX(Circuits!Q:Q,SUMPRODUCT(EXACT($AE17,Circuits!$A:$A)*ROW(Circuits!$A:$A))))</f>
        <v>-</v>
      </c>
      <c r="S17" s="183" t="str">
        <f t="array" ref="S17">IF(ISBLANK($AE17), "-",INDEX(Circuits!R:R,SUMPRODUCT(EXACT($AE17,Circuits!$A:$A)*ROW(Circuits!$A:$A))))</f>
        <v>-</v>
      </c>
      <c r="T17" s="183" t="str">
        <f t="array" ref="T17">IF(ISBLANK($AE17), "-",INDEX(Circuits!S:S,SUMPRODUCT(EXACT($AE17,Circuits!$A:$A)*ROW(Circuits!$A:$A))))</f>
        <v>-</v>
      </c>
      <c r="U17" s="183" t="str">
        <f t="array" ref="U17">IF(ISBLANK($AE17), "-",INDEX(Circuits!T:T,SUMPRODUCT(EXACT($AE17,Circuits!$A:$A)*ROW(Circuits!$A:$A))))</f>
        <v>-</v>
      </c>
      <c r="V17" s="183" t="str">
        <f t="array" ref="V17">IF(ISBLANK($AE17), "-",INDEX(Circuits!U:U,SUMPRODUCT(EXACT($AE17,Circuits!$A:$A)*ROW(Circuits!$A:$A))))</f>
        <v>-</v>
      </c>
      <c r="W17" s="183" t="str">
        <f t="array" ref="W17">IF(ISBLANK($AE17), "-",INDEX(Circuits!V:V,SUMPRODUCT(EXACT($AE17,Circuits!$A:$A)*ROW(Circuits!$A:$A))))</f>
        <v>-</v>
      </c>
      <c r="X17" s="183" t="str">
        <f t="array" ref="X17">IF(ISBLANK($AE17), "-",INDEX(Circuits!W:W,SUMPRODUCT(EXACT($AE17,Circuits!$A:$A)*ROW(Circuits!$A:$A))))</f>
        <v>-</v>
      </c>
      <c r="Y17" s="183" t="str">
        <f t="array" ref="Y17">IF(ISBLANK($AE17), "-",INDEX(Circuits!X:X,SUMPRODUCT(EXACT($AE17,Circuits!$A:$A)*ROW(Circuits!$A:$A))))</f>
        <v>-</v>
      </c>
      <c r="Z17" s="108" t="str">
        <f>IFERROR(__xludf.DUMMYFUNCTION("IFNA(CONCATENATE(UNIQUE(FILTER(Connections!R:R,Connections!A:A=B17))),""-"")"),"-")</f>
        <v>-</v>
      </c>
      <c r="AA17" s="119" t="str">
        <f t="array" ref="AA17">IF(ISBLANK($AE17), "-",INDEX(Circuits!Y:Y,SUMPRODUCT(EXACT($AE17,Circuits!$A:$A)*ROW(Circuits!$A:$A))))</f>
        <v>-</v>
      </c>
      <c r="AB17" s="121" t="str">
        <f t="array" ref="AB17">IF(ISBLANK($AE17), "-",INDEX(Circuits!Z:Z,SUMPRODUCT(EXACT($AE17,Circuits!$A:$A)*ROW(Circuits!$A:$A))))</f>
        <v>-</v>
      </c>
      <c r="AC17" s="38"/>
      <c r="AD17" s="38"/>
      <c r="AE17" s="124"/>
      <c r="AF17" s="184"/>
      <c r="AG17" s="126" t="str">
        <f>IFERROR(__xludf.DUMMYFUNCTION("IF(ISBLANK(AF17), """", TEXTJOIN(CHAR(10),TRUE,ARRAYFORMULA(IF(ISERROR(SEARCH(SPLIT(AF17, "";""), $Z17)), ""x"", ""-""))))"),"")</f>
        <v/>
      </c>
      <c r="AH17" s="127" t="str">
        <f>IFERROR(__xludf.DUMMYFUNCTION("IF(ISBLANK(AK17), """", TEXTJOIN("";"" &amp; CHAR(10), TRUE, UNIQUE(SPLIT(AK17, "";"" &amp; CHAR(10)), TRUE))&amp;"";"")"),"")</f>
        <v/>
      </c>
      <c r="AI17" s="128" t="str">
        <f>IFERROR(__xludf.DUMMYFUNCTION("IF(ISBLANK(AD17), IF(ISBLANK(AE17),,IFNA(TEXTJOIN("";"" &amp; CHAR(10), TRUE, FILTER(AE:AE, SEARCH(AE17&amp;"";"", AJ:AJ)))&amp;"";"", """")), TEXTJOIN("";"" &amp; CHAR(10), TRUE, UNIQUE(SPLIT(AH17 &amp; "";"" &amp; AH17 &amp; "";"" &amp; AL17, "";"" &amp; CHAR(10)), TRUE, TRUE))&amp;"";"")"),"")</f>
        <v/>
      </c>
      <c r="AJ17" s="126" t="str">
        <f>IFERROR(__xludf.DUMMYFUNCTION("IF(AN17="""", """", TEXTJOIN("";"" &amp; CHAR(10), TRUE, UNIQUE(SPLIT(AH17 &amp; "";"" &amp; AH17 &amp; "";"" &amp; AN17, "";"" &amp; CHAR(10)), TRUE, TRUE))&amp;"";"")"),"")</f>
        <v/>
      </c>
      <c r="AK17" s="129" t="str">
        <f>IFERROR(__xludf.DUMMYFUNCTION("IF(ISBLANK(AD17), IF(ISBLANK(AE17),,AE17 &amp; "";""), TEXTJOIN(CHAR(10), TRUE, ARRAYFORMULA(VLOOKUP(SPLIT(AD17, "";"" &amp; CHAR(10)), $AC:$AH, 6, FALSE))))"),"")</f>
        <v/>
      </c>
      <c r="AL17" s="130" t="str">
        <f>IFERROR(__xludf.DUMMYFUNCTION("IF(AM17="""", """", TEXTJOIN("";"" &amp; CHAR(10), TRUE, UNIQUE(SPLIT(AM17, "";"" &amp; CHAR(10)), TRUE))&amp;"";"")"),"")</f>
        <v/>
      </c>
      <c r="AM17" s="130" t="str">
        <f>IFERROR(__xludf.DUMMYFUNCTION("IF(ISBLANK(AD17), """", TEXTJOIN(CHAR(10), TRUE, ARRAYFORMULA(VLOOKUP(SPLIT(AH17, "";"" &amp; CHAR(10)), $AE:$AI, 5, FALSE)), AF17))"),"")</f>
        <v/>
      </c>
      <c r="AN17" s="132" t="str">
        <f>IFERROR(__xludf.DUMMYFUNCTION("IF(ISBLANK(AO17), """", TEXTJOIN("";"" &amp; CHAR(10), TRUE, UNIQUE(SPLIT(AO17, "";"" &amp; CHAR(10)), TRUE))&amp;"";"")"),"")</f>
        <v/>
      </c>
      <c r="AO17" s="134" t="str">
        <f>IFERROR(__xludf.DUMMYFUNCTION("IF(ISBLANK(AD17), AF17, TEXTJOIN(CHAR(10), TRUE, ARRAYFORMULA(VLOOKUP(SPLIT(AD17, "";"" &amp; CHAR(10)), $AC:$AN, 12, FALSE))))"),"")</f>
        <v/>
      </c>
      <c r="AP17" s="130" t="str">
        <f>IF(ISBLANK(AE17),,IF(IFERROR(SEARCH(AE17&amp;";",Circuits!$AO$2),0),TRUE,FALSE))</f>
        <v/>
      </c>
      <c r="AQ17" s="130" t="str">
        <f t="shared" si="2"/>
        <v/>
      </c>
      <c r="AR17" s="130" t="str">
        <f t="shared" si="3"/>
        <v/>
      </c>
      <c r="AS17" s="136" t="str">
        <f>IFERROR(__xludf.DUMMYFUNCTION("IF(AH17="""",,SUM(ARRAYFORMULA(IF(IFERROR(SEARCH(SPLIT(AH17,CHAR(10)),Circuits!$AO$2),0)&gt;0,0,1))))"),"")</f>
        <v/>
      </c>
      <c r="AT17" s="138" t="str">
        <f t="shared" si="4"/>
        <v/>
      </c>
      <c r="AU17" s="138" t="str">
        <f t="shared" si="5"/>
        <v/>
      </c>
      <c r="AV17" s="130" t="str">
        <f>IFERROR(__xludf.DUMMYFUNCTION("IF(AI17="""",,TEXTJOIN("", "",TRUE,ARRAYFORMULA(VLOOKUP(SPLIT(AI17,"";""&amp;CHAR(10)),AE:AT,16,FALSE))))"),"")</f>
        <v/>
      </c>
      <c r="AW17" s="130" t="str">
        <f>IFERROR(__xludf.DUMMYFUNCTION("IF(ISBLANK(BK17),,TEXTJOIN("", "",TRUE,ARRAYFORMULA(VLOOKUP(IFERROR(REGEXEXTRACT(SPLIT(BK17,"";""&amp;CHAR(10)),""\[(.+)\]"")),AE:AT,16,false))))"),"")</f>
        <v/>
      </c>
      <c r="AX17" s="139" t="str">
        <f t="shared" si="6"/>
        <v/>
      </c>
      <c r="AY17" s="139" t="str">
        <f t="shared" si="7"/>
        <v/>
      </c>
      <c r="AZ17" s="106" t="str">
        <f>IFERROR(__xludf.DUMMYFUNCTION("IF(ISBLANK(AD17), BC17, TEXTJOIN(CHAR(10) &amp; CHAR(10), TRUE, ARRAYFORMULA(VLOOKUP(SPLIT(AD17, "";"" &amp; CHAR(10)), $AC:$AY, 23, FALSE))))"),"")</f>
        <v/>
      </c>
      <c r="BA17" s="140" t="s">
        <v>66</v>
      </c>
      <c r="BB17" s="185"/>
      <c r="BC17" s="140"/>
      <c r="BD17" s="106" t="str">
        <f>IFERROR(__xludf.DUMMYFUNCTION("IF(IFERROR(SEARCH(""&lt;&lt;mechanism to realize the capability&gt;&gt;"",BA17),0)=0,
 ""!! Error !! “Capability&amp;Mechanism” column: Invalid Separator:"" &amp; CHAR(10) &amp; ""Insert separator “&lt;&lt;mechanism to realize the capability&gt;&gt;.”"",
 IF(
  LEN(TRIM(CLEAN(
    INDEX(
  "&amp;"    SPLIT(BA17,""&lt;&lt;mechanism to realize the capability&gt;&gt;"",FALSE,FALSE),
      1
    )
  )))=0,
  ""!! Error !! “Capability&amp;Mechanism” column: No Capability:""  &amp; CHAR(10) &amp; ""Describe Capability before separator."",
  INDEX(
    SPLIT(BA17,""&lt;&lt;mechanism "&amp;"to realize the capability&gt;&gt;"",FALSE,FALSE),
    1
  )
 )
)
"),"!! Error !! “Capability&amp;Mechanism” column: No Capability:
Describe Capability before separator.")</f>
        <v>!! Error !! “Capability&amp;Mechanism” column: No Capability:
Describe Capability before separator.</v>
      </c>
      <c r="BE17" s="127"/>
      <c r="BF17" s="127"/>
      <c r="BG17" s="140"/>
      <c r="BH17" s="127"/>
      <c r="BI17" s="140"/>
      <c r="BJ17" s="140"/>
      <c r="BK17" s="38"/>
      <c r="BL17" s="47"/>
      <c r="BM17" s="47"/>
      <c r="BN17" s="140"/>
      <c r="BO17" s="140"/>
      <c r="BP17" s="143"/>
      <c r="BQ17" s="143"/>
      <c r="BR17" s="144"/>
      <c r="BS17" s="144"/>
      <c r="BT17" s="144"/>
      <c r="BU17" s="144"/>
      <c r="BV17" s="144"/>
      <c r="BW17" s="145"/>
      <c r="BX17" s="146" t="str">
        <f t="shared" si="8"/>
        <v/>
      </c>
    </row>
    <row r="18">
      <c r="A18" s="106" t="str">
        <f t="shared" si="1"/>
        <v/>
      </c>
      <c r="B18" s="183" t="str">
        <f t="array" ref="B18">IF(ISBLANK($AE18), "-",INDEX(Circuits!A:A,SUMPRODUCT(EXACT($AE18,Circuits!$A:$A)*ROW(Circuits!$A:$A))))</f>
        <v>-</v>
      </c>
      <c r="C18" s="183" t="str">
        <f t="array" ref="C18">IF(ISBLANK($AE18), "-",INDEX(Circuits!B:B,SUMPRODUCT(EXACT($AE18,Circuits!$A:$A)*ROW(Circuits!$A:$A))))</f>
        <v>-</v>
      </c>
      <c r="D18" s="183" t="str">
        <f t="array" ref="D18">IF(ISBLANK($AE18), "-",INDEX(Circuits!C:C,SUMPRODUCT(EXACT($AE18,Circuits!$A:$A)*ROW(Circuits!$A:$A))))</f>
        <v>-</v>
      </c>
      <c r="E18" s="183" t="str">
        <f t="array" ref="E18">IF(ISBLANK($AE18), "-",INDEX(Circuits!D:D,SUMPRODUCT(EXACT($AE18,Circuits!$A:$A)*ROW(Circuits!$A:$A))))</f>
        <v>-</v>
      </c>
      <c r="F18" s="183" t="str">
        <f t="array" ref="F18">IF(ISBLANK($AE18), "-",INDEX(Circuits!E:E,SUMPRODUCT(EXACT($AE18,Circuits!$A:$A)*ROW(Circuits!$A:$A))))</f>
        <v>-</v>
      </c>
      <c r="G18" s="183" t="str">
        <f t="array" ref="G18">IF(ISBLANK($AE18), "-",INDEX(Circuits!F:F,SUMPRODUCT(EXACT($AE18,Circuits!$A:$A)*ROW(Circuits!$A:$A))))</f>
        <v>-</v>
      </c>
      <c r="H18" s="183" t="str">
        <f t="array" ref="H18">IF(ISBLANK($AE18), "-",INDEX(Circuits!G:G,SUMPRODUCT(EXACT($AE18,Circuits!$A:$A)*ROW(Circuits!$A:$A))))</f>
        <v>-</v>
      </c>
      <c r="I18" s="183" t="str">
        <f t="array" ref="I18">IF(ISBLANK($AE18), "-",INDEX(Circuits!H:H,SUMPRODUCT(EXACT($AE18,Circuits!$A:$A)*ROW(Circuits!$A:$A))))</f>
        <v>-</v>
      </c>
      <c r="J18" s="183" t="str">
        <f t="array" ref="J18">IF(ISBLANK($AE18), "-",INDEX(Circuits!I:I,SUMPRODUCT(EXACT($AE18,Circuits!$A:$A)*ROW(Circuits!$A:$A))))</f>
        <v>-</v>
      </c>
      <c r="K18" s="183" t="str">
        <f t="array" ref="K18">IF(ISBLANK($AE18), "-",INDEX(Circuits!J:J,SUMPRODUCT(EXACT($AE18,Circuits!$A:$A)*ROW(Circuits!$A:$A))))</f>
        <v>-</v>
      </c>
      <c r="L18" s="183" t="str">
        <f t="array" ref="L18">IF(ISBLANK($AE18), "-",INDEX(Circuits!K:K,SUMPRODUCT(EXACT($AE18,Circuits!$A:$A)*ROW(Circuits!$A:$A))))</f>
        <v>-</v>
      </c>
      <c r="M18" s="183" t="str">
        <f t="array" ref="M18">IF(ISBLANK($AE18), "-",INDEX(Circuits!L:L,SUMPRODUCT(EXACT($AE18,Circuits!$A:$A)*ROW(Circuits!$A:$A))))</f>
        <v>-</v>
      </c>
      <c r="N18" s="183" t="str">
        <f t="array" ref="N18">IF(ISBLANK($AE18), "-",INDEX(Circuits!M:M,SUMPRODUCT(EXACT($AE18,Circuits!$A:$A)*ROW(Circuits!$A:$A))))</f>
        <v>-</v>
      </c>
      <c r="O18" s="183" t="str">
        <f t="array" ref="O18">IF(ISBLANK($AE18), "-",INDEX(Circuits!N:N,SUMPRODUCT(EXACT($AE18,Circuits!$A:$A)*ROW(Circuits!$A:$A))))</f>
        <v>-</v>
      </c>
      <c r="P18" s="183" t="str">
        <f t="array" ref="P18">IF(ISBLANK($AE18), "-",INDEX(Circuits!O:O,SUMPRODUCT(EXACT($AE18,Circuits!$A:$A)*ROW(Circuits!$A:$A))))</f>
        <v>-</v>
      </c>
      <c r="Q18" s="183" t="str">
        <f t="array" ref="Q18">IF(ISBLANK($AE18), "-",INDEX(Circuits!P:P,SUMPRODUCT(EXACT($AE18,Circuits!$A:$A)*ROW(Circuits!$A:$A))))</f>
        <v>-</v>
      </c>
      <c r="R18" s="183" t="str">
        <f t="array" ref="R18">IF(ISBLANK($AE18), "-",INDEX(Circuits!Q:Q,SUMPRODUCT(EXACT($AE18,Circuits!$A:$A)*ROW(Circuits!$A:$A))))</f>
        <v>-</v>
      </c>
      <c r="S18" s="183" t="str">
        <f t="array" ref="S18">IF(ISBLANK($AE18), "-",INDEX(Circuits!R:R,SUMPRODUCT(EXACT($AE18,Circuits!$A:$A)*ROW(Circuits!$A:$A))))</f>
        <v>-</v>
      </c>
      <c r="T18" s="183" t="str">
        <f t="array" ref="T18">IF(ISBLANK($AE18), "-",INDEX(Circuits!S:S,SUMPRODUCT(EXACT($AE18,Circuits!$A:$A)*ROW(Circuits!$A:$A))))</f>
        <v>-</v>
      </c>
      <c r="U18" s="183" t="str">
        <f t="array" ref="U18">IF(ISBLANK($AE18), "-",INDEX(Circuits!T:T,SUMPRODUCT(EXACT($AE18,Circuits!$A:$A)*ROW(Circuits!$A:$A))))</f>
        <v>-</v>
      </c>
      <c r="V18" s="183" t="str">
        <f t="array" ref="V18">IF(ISBLANK($AE18), "-",INDEX(Circuits!U:U,SUMPRODUCT(EXACT($AE18,Circuits!$A:$A)*ROW(Circuits!$A:$A))))</f>
        <v>-</v>
      </c>
      <c r="W18" s="183" t="str">
        <f t="array" ref="W18">IF(ISBLANK($AE18), "-",INDEX(Circuits!V:V,SUMPRODUCT(EXACT($AE18,Circuits!$A:$A)*ROW(Circuits!$A:$A))))</f>
        <v>-</v>
      </c>
      <c r="X18" s="183" t="str">
        <f t="array" ref="X18">IF(ISBLANK($AE18), "-",INDEX(Circuits!W:W,SUMPRODUCT(EXACT($AE18,Circuits!$A:$A)*ROW(Circuits!$A:$A))))</f>
        <v>-</v>
      </c>
      <c r="Y18" s="183" t="str">
        <f t="array" ref="Y18">IF(ISBLANK($AE18), "-",INDEX(Circuits!X:X,SUMPRODUCT(EXACT($AE18,Circuits!$A:$A)*ROW(Circuits!$A:$A))))</f>
        <v>-</v>
      </c>
      <c r="Z18" s="108" t="str">
        <f>IFERROR(__xludf.DUMMYFUNCTION("IFNA(CONCATENATE(UNIQUE(FILTER(Connections!R:R,Connections!A:A=B18))),""-"")"),"-")</f>
        <v>-</v>
      </c>
      <c r="AA18" s="119" t="str">
        <f t="array" ref="AA18">IF(ISBLANK($AE18), "-",INDEX(Circuits!Y:Y,SUMPRODUCT(EXACT($AE18,Circuits!$A:$A)*ROW(Circuits!$A:$A))))</f>
        <v>-</v>
      </c>
      <c r="AB18" s="121" t="str">
        <f t="array" ref="AB18">IF(ISBLANK($AE18), "-",INDEX(Circuits!Z:Z,SUMPRODUCT(EXACT($AE18,Circuits!$A:$A)*ROW(Circuits!$A:$A))))</f>
        <v>-</v>
      </c>
      <c r="AC18" s="38"/>
      <c r="AD18" s="38"/>
      <c r="AE18" s="124"/>
      <c r="AF18" s="184"/>
      <c r="AG18" s="126" t="str">
        <f>IFERROR(__xludf.DUMMYFUNCTION("IF(ISBLANK(AF18), """", TEXTJOIN(CHAR(10),TRUE,ARRAYFORMULA(IF(ISERROR(SEARCH(SPLIT(AF18, "";""), $Z18)), ""x"", ""-""))))"),"")</f>
        <v/>
      </c>
      <c r="AH18" s="127" t="str">
        <f>IFERROR(__xludf.DUMMYFUNCTION("IF(ISBLANK(AK18), """", TEXTJOIN("";"" &amp; CHAR(10), TRUE, UNIQUE(SPLIT(AK18, "";"" &amp; CHAR(10)), TRUE))&amp;"";"")"),"")</f>
        <v/>
      </c>
      <c r="AI18" s="128" t="str">
        <f>IFERROR(__xludf.DUMMYFUNCTION("IF(ISBLANK(AD18), IF(ISBLANK(AE18),,IFNA(TEXTJOIN("";"" &amp; CHAR(10), TRUE, FILTER(AE:AE, SEARCH(AE18&amp;"";"", AJ:AJ)))&amp;"";"", """")), TEXTJOIN("";"" &amp; CHAR(10), TRUE, UNIQUE(SPLIT(AH18 &amp; "";"" &amp; AH18 &amp; "";"" &amp; AL18, "";"" &amp; CHAR(10)), TRUE, TRUE))&amp;"";"")"),"")</f>
        <v/>
      </c>
      <c r="AJ18" s="126" t="str">
        <f>IFERROR(__xludf.DUMMYFUNCTION("IF(AN18="""", """", TEXTJOIN("";"" &amp; CHAR(10), TRUE, UNIQUE(SPLIT(AH18 &amp; "";"" &amp; AH18 &amp; "";"" &amp; AN18, "";"" &amp; CHAR(10)), TRUE, TRUE))&amp;"";"")"),"")</f>
        <v/>
      </c>
      <c r="AK18" s="129" t="str">
        <f>IFERROR(__xludf.DUMMYFUNCTION("IF(ISBLANK(AD18), IF(ISBLANK(AE18),,AE18 &amp; "";""), TEXTJOIN(CHAR(10), TRUE, ARRAYFORMULA(VLOOKUP(SPLIT(AD18, "";"" &amp; CHAR(10)), $AC:$AH, 6, FALSE))))"),"")</f>
        <v/>
      </c>
      <c r="AL18" s="130" t="str">
        <f>IFERROR(__xludf.DUMMYFUNCTION("IF(AM18="""", """", TEXTJOIN("";"" &amp; CHAR(10), TRUE, UNIQUE(SPLIT(AM18, "";"" &amp; CHAR(10)), TRUE))&amp;"";"")"),"")</f>
        <v/>
      </c>
      <c r="AM18" s="130" t="str">
        <f>IFERROR(__xludf.DUMMYFUNCTION("IF(ISBLANK(AD18), """", TEXTJOIN(CHAR(10), TRUE, ARRAYFORMULA(VLOOKUP(SPLIT(AH18, "";"" &amp; CHAR(10)), $AE:$AI, 5, FALSE)), AF18))"),"")</f>
        <v/>
      </c>
      <c r="AN18" s="132" t="str">
        <f>IFERROR(__xludf.DUMMYFUNCTION("IF(ISBLANK(AO18), """", TEXTJOIN("";"" &amp; CHAR(10), TRUE, UNIQUE(SPLIT(AO18, "";"" &amp; CHAR(10)), TRUE))&amp;"";"")"),"")</f>
        <v/>
      </c>
      <c r="AO18" s="134" t="str">
        <f>IFERROR(__xludf.DUMMYFUNCTION("IF(ISBLANK(AD18), AF18, TEXTJOIN(CHAR(10), TRUE, ARRAYFORMULA(VLOOKUP(SPLIT(AD18, "";"" &amp; CHAR(10)), $AC:$AN, 12, FALSE))))"),"")</f>
        <v/>
      </c>
      <c r="AP18" s="130" t="str">
        <f>IF(ISBLANK(AE18),,IF(IFERROR(SEARCH(AE18&amp;";",Circuits!$AO$2),0),TRUE,FALSE))</f>
        <v/>
      </c>
      <c r="AQ18" s="130" t="str">
        <f t="shared" si="2"/>
        <v/>
      </c>
      <c r="AR18" s="130" t="str">
        <f t="shared" si="3"/>
        <v/>
      </c>
      <c r="AS18" s="136" t="str">
        <f>IFERROR(__xludf.DUMMYFUNCTION("IF(AH18="""",,SUM(ARRAYFORMULA(IF(IFERROR(SEARCH(SPLIT(AH18,CHAR(10)),Circuits!$AO$2),0)&gt;0,0,1))))"),"")</f>
        <v/>
      </c>
      <c r="AT18" s="138" t="str">
        <f t="shared" si="4"/>
        <v/>
      </c>
      <c r="AU18" s="138" t="str">
        <f t="shared" si="5"/>
        <v/>
      </c>
      <c r="AV18" s="130" t="str">
        <f>IFERROR(__xludf.DUMMYFUNCTION("IF(AI18="""",,TEXTJOIN("", "",TRUE,ARRAYFORMULA(VLOOKUP(SPLIT(AI18,"";""&amp;CHAR(10)),AE:AT,16,FALSE))))"),"")</f>
        <v/>
      </c>
      <c r="AW18" s="130" t="str">
        <f>IFERROR(__xludf.DUMMYFUNCTION("IF(ISBLANK(BK18),,TEXTJOIN("", "",TRUE,ARRAYFORMULA(VLOOKUP(IFERROR(REGEXEXTRACT(SPLIT(BK18,"";""&amp;CHAR(10)),""\[(.+)\]"")),AE:AT,16,false))))"),"")</f>
        <v/>
      </c>
      <c r="AX18" s="139" t="str">
        <f t="shared" si="6"/>
        <v/>
      </c>
      <c r="AY18" s="139" t="str">
        <f t="shared" si="7"/>
        <v/>
      </c>
      <c r="AZ18" s="106" t="str">
        <f>IFERROR(__xludf.DUMMYFUNCTION("IF(ISBLANK(AD18), BC18, TEXTJOIN(CHAR(10) &amp; CHAR(10), TRUE, ARRAYFORMULA(VLOOKUP(SPLIT(AD18, "";"" &amp; CHAR(10)), $AC:$AY, 23, FALSE))))"),"")</f>
        <v/>
      </c>
      <c r="BA18" s="140" t="s">
        <v>66</v>
      </c>
      <c r="BB18" s="185"/>
      <c r="BC18" s="140"/>
      <c r="BD18" s="106" t="str">
        <f>IFERROR(__xludf.DUMMYFUNCTION("IF(IFERROR(SEARCH(""&lt;&lt;mechanism to realize the capability&gt;&gt;"",BA18),0)=0,
 ""!! Error !! “Capability&amp;Mechanism” column: Invalid Separator:"" &amp; CHAR(10) &amp; ""Insert separator “&lt;&lt;mechanism to realize the capability&gt;&gt;.”"",
 IF(
  LEN(TRIM(CLEAN(
    INDEX(
  "&amp;"    SPLIT(BA18,""&lt;&lt;mechanism to realize the capability&gt;&gt;"",FALSE,FALSE),
      1
    )
  )))=0,
  ""!! Error !! “Capability&amp;Mechanism” column: No Capability:""  &amp; CHAR(10) &amp; ""Describe Capability before separator."",
  INDEX(
    SPLIT(BA18,""&lt;&lt;mechanism "&amp;"to realize the capability&gt;&gt;"",FALSE,FALSE),
    1
  )
 )
)
"),"!! Error !! “Capability&amp;Mechanism” column: No Capability:
Describe Capability before separator.")</f>
        <v>!! Error !! “Capability&amp;Mechanism” column: No Capability:
Describe Capability before separator.</v>
      </c>
      <c r="BE18" s="127"/>
      <c r="BF18" s="127"/>
      <c r="BG18" s="140"/>
      <c r="BH18" s="127"/>
      <c r="BI18" s="140"/>
      <c r="BJ18" s="140"/>
      <c r="BK18" s="38"/>
      <c r="BL18" s="47"/>
      <c r="BM18" s="47"/>
      <c r="BN18" s="140"/>
      <c r="BO18" s="140"/>
      <c r="BP18" s="143"/>
      <c r="BQ18" s="143"/>
      <c r="BR18" s="144"/>
      <c r="BS18" s="144"/>
      <c r="BT18" s="144"/>
      <c r="BU18" s="144"/>
      <c r="BV18" s="144"/>
      <c r="BW18" s="145"/>
      <c r="BX18" s="146" t="str">
        <f t="shared" si="8"/>
        <v/>
      </c>
    </row>
    <row r="19">
      <c r="A19" s="106" t="str">
        <f t="shared" si="1"/>
        <v/>
      </c>
      <c r="B19" s="183" t="str">
        <f t="array" ref="B19">IF(ISBLANK($AE19), "-",INDEX(Circuits!A:A,SUMPRODUCT(EXACT($AE19,Circuits!$A:$A)*ROW(Circuits!$A:$A))))</f>
        <v>-</v>
      </c>
      <c r="C19" s="183" t="str">
        <f t="array" ref="C19">IF(ISBLANK($AE19), "-",INDEX(Circuits!B:B,SUMPRODUCT(EXACT($AE19,Circuits!$A:$A)*ROW(Circuits!$A:$A))))</f>
        <v>-</v>
      </c>
      <c r="D19" s="183" t="str">
        <f t="array" ref="D19">IF(ISBLANK($AE19), "-",INDEX(Circuits!C:C,SUMPRODUCT(EXACT($AE19,Circuits!$A:$A)*ROW(Circuits!$A:$A))))</f>
        <v>-</v>
      </c>
      <c r="E19" s="183" t="str">
        <f t="array" ref="E19">IF(ISBLANK($AE19), "-",INDEX(Circuits!D:D,SUMPRODUCT(EXACT($AE19,Circuits!$A:$A)*ROW(Circuits!$A:$A))))</f>
        <v>-</v>
      </c>
      <c r="F19" s="183" t="str">
        <f t="array" ref="F19">IF(ISBLANK($AE19), "-",INDEX(Circuits!E:E,SUMPRODUCT(EXACT($AE19,Circuits!$A:$A)*ROW(Circuits!$A:$A))))</f>
        <v>-</v>
      </c>
      <c r="G19" s="183" t="str">
        <f t="array" ref="G19">IF(ISBLANK($AE19), "-",INDEX(Circuits!F:F,SUMPRODUCT(EXACT($AE19,Circuits!$A:$A)*ROW(Circuits!$A:$A))))</f>
        <v>-</v>
      </c>
      <c r="H19" s="183" t="str">
        <f t="array" ref="H19">IF(ISBLANK($AE19), "-",INDEX(Circuits!G:G,SUMPRODUCT(EXACT($AE19,Circuits!$A:$A)*ROW(Circuits!$A:$A))))</f>
        <v>-</v>
      </c>
      <c r="I19" s="183" t="str">
        <f t="array" ref="I19">IF(ISBLANK($AE19), "-",INDEX(Circuits!H:H,SUMPRODUCT(EXACT($AE19,Circuits!$A:$A)*ROW(Circuits!$A:$A))))</f>
        <v>-</v>
      </c>
      <c r="J19" s="183" t="str">
        <f t="array" ref="J19">IF(ISBLANK($AE19), "-",INDEX(Circuits!I:I,SUMPRODUCT(EXACT($AE19,Circuits!$A:$A)*ROW(Circuits!$A:$A))))</f>
        <v>-</v>
      </c>
      <c r="K19" s="183" t="str">
        <f t="array" ref="K19">IF(ISBLANK($AE19), "-",INDEX(Circuits!J:J,SUMPRODUCT(EXACT($AE19,Circuits!$A:$A)*ROW(Circuits!$A:$A))))</f>
        <v>-</v>
      </c>
      <c r="L19" s="183" t="str">
        <f t="array" ref="L19">IF(ISBLANK($AE19), "-",INDEX(Circuits!K:K,SUMPRODUCT(EXACT($AE19,Circuits!$A:$A)*ROW(Circuits!$A:$A))))</f>
        <v>-</v>
      </c>
      <c r="M19" s="183" t="str">
        <f t="array" ref="M19">IF(ISBLANK($AE19), "-",INDEX(Circuits!L:L,SUMPRODUCT(EXACT($AE19,Circuits!$A:$A)*ROW(Circuits!$A:$A))))</f>
        <v>-</v>
      </c>
      <c r="N19" s="183" t="str">
        <f t="array" ref="N19">IF(ISBLANK($AE19), "-",INDEX(Circuits!M:M,SUMPRODUCT(EXACT($AE19,Circuits!$A:$A)*ROW(Circuits!$A:$A))))</f>
        <v>-</v>
      </c>
      <c r="O19" s="183" t="str">
        <f t="array" ref="O19">IF(ISBLANK($AE19), "-",INDEX(Circuits!N:N,SUMPRODUCT(EXACT($AE19,Circuits!$A:$A)*ROW(Circuits!$A:$A))))</f>
        <v>-</v>
      </c>
      <c r="P19" s="183" t="str">
        <f t="array" ref="P19">IF(ISBLANK($AE19), "-",INDEX(Circuits!O:O,SUMPRODUCT(EXACT($AE19,Circuits!$A:$A)*ROW(Circuits!$A:$A))))</f>
        <v>-</v>
      </c>
      <c r="Q19" s="183" t="str">
        <f t="array" ref="Q19">IF(ISBLANK($AE19), "-",INDEX(Circuits!P:P,SUMPRODUCT(EXACT($AE19,Circuits!$A:$A)*ROW(Circuits!$A:$A))))</f>
        <v>-</v>
      </c>
      <c r="R19" s="183" t="str">
        <f t="array" ref="R19">IF(ISBLANK($AE19), "-",INDEX(Circuits!Q:Q,SUMPRODUCT(EXACT($AE19,Circuits!$A:$A)*ROW(Circuits!$A:$A))))</f>
        <v>-</v>
      </c>
      <c r="S19" s="183" t="str">
        <f t="array" ref="S19">IF(ISBLANK($AE19), "-",INDEX(Circuits!R:R,SUMPRODUCT(EXACT($AE19,Circuits!$A:$A)*ROW(Circuits!$A:$A))))</f>
        <v>-</v>
      </c>
      <c r="T19" s="183" t="str">
        <f t="array" ref="T19">IF(ISBLANK($AE19), "-",INDEX(Circuits!S:S,SUMPRODUCT(EXACT($AE19,Circuits!$A:$A)*ROW(Circuits!$A:$A))))</f>
        <v>-</v>
      </c>
      <c r="U19" s="183" t="str">
        <f t="array" ref="U19">IF(ISBLANK($AE19), "-",INDEX(Circuits!T:T,SUMPRODUCT(EXACT($AE19,Circuits!$A:$A)*ROW(Circuits!$A:$A))))</f>
        <v>-</v>
      </c>
      <c r="V19" s="183" t="str">
        <f t="array" ref="V19">IF(ISBLANK($AE19), "-",INDEX(Circuits!U:U,SUMPRODUCT(EXACT($AE19,Circuits!$A:$A)*ROW(Circuits!$A:$A))))</f>
        <v>-</v>
      </c>
      <c r="W19" s="183" t="str">
        <f t="array" ref="W19">IF(ISBLANK($AE19), "-",INDEX(Circuits!V:V,SUMPRODUCT(EXACT($AE19,Circuits!$A:$A)*ROW(Circuits!$A:$A))))</f>
        <v>-</v>
      </c>
      <c r="X19" s="183" t="str">
        <f t="array" ref="X19">IF(ISBLANK($AE19), "-",INDEX(Circuits!W:W,SUMPRODUCT(EXACT($AE19,Circuits!$A:$A)*ROW(Circuits!$A:$A))))</f>
        <v>-</v>
      </c>
      <c r="Y19" s="183" t="str">
        <f t="array" ref="Y19">IF(ISBLANK($AE19), "-",INDEX(Circuits!X:X,SUMPRODUCT(EXACT($AE19,Circuits!$A:$A)*ROW(Circuits!$A:$A))))</f>
        <v>-</v>
      </c>
      <c r="Z19" s="108" t="str">
        <f>IFERROR(__xludf.DUMMYFUNCTION("IFNA(CONCATENATE(UNIQUE(FILTER(Connections!R:R,Connections!A:A=B19))),""-"")"),"-")</f>
        <v>-</v>
      </c>
      <c r="AA19" s="119" t="str">
        <f t="array" ref="AA19">IF(ISBLANK($AE19), "-",INDEX(Circuits!Y:Y,SUMPRODUCT(EXACT($AE19,Circuits!$A:$A)*ROW(Circuits!$A:$A))))</f>
        <v>-</v>
      </c>
      <c r="AB19" s="121" t="str">
        <f t="array" ref="AB19">IF(ISBLANK($AE19), "-",INDEX(Circuits!Z:Z,SUMPRODUCT(EXACT($AE19,Circuits!$A:$A)*ROW(Circuits!$A:$A))))</f>
        <v>-</v>
      </c>
      <c r="AC19" s="38"/>
      <c r="AD19" s="38"/>
      <c r="AE19" s="124"/>
      <c r="AF19" s="184"/>
      <c r="AG19" s="126" t="str">
        <f>IFERROR(__xludf.DUMMYFUNCTION("IF(ISBLANK(AF19), """", TEXTJOIN(CHAR(10),TRUE,ARRAYFORMULA(IF(ISERROR(SEARCH(SPLIT(AF19, "";""), $Z19)), ""x"", ""-""))))"),"")</f>
        <v/>
      </c>
      <c r="AH19" s="127" t="str">
        <f>IFERROR(__xludf.DUMMYFUNCTION("IF(ISBLANK(AK19), """", TEXTJOIN("";"" &amp; CHAR(10), TRUE, UNIQUE(SPLIT(AK19, "";"" &amp; CHAR(10)), TRUE))&amp;"";"")"),"")</f>
        <v/>
      </c>
      <c r="AI19" s="128" t="str">
        <f>IFERROR(__xludf.DUMMYFUNCTION("IF(ISBLANK(AD19), IF(ISBLANK(AE19),,IFNA(TEXTJOIN("";"" &amp; CHAR(10), TRUE, FILTER(AE:AE, SEARCH(AE19&amp;"";"", AJ:AJ)))&amp;"";"", """")), TEXTJOIN("";"" &amp; CHAR(10), TRUE, UNIQUE(SPLIT(AH19 &amp; "";"" &amp; AH19 &amp; "";"" &amp; AL19, "";"" &amp; CHAR(10)), TRUE, TRUE))&amp;"";"")"),"")</f>
        <v/>
      </c>
      <c r="AJ19" s="126" t="str">
        <f>IFERROR(__xludf.DUMMYFUNCTION("IF(AN19="""", """", TEXTJOIN("";"" &amp; CHAR(10), TRUE, UNIQUE(SPLIT(AH19 &amp; "";"" &amp; AH19 &amp; "";"" &amp; AN19, "";"" &amp; CHAR(10)), TRUE, TRUE))&amp;"";"")"),"")</f>
        <v/>
      </c>
      <c r="AK19" s="129" t="str">
        <f>IFERROR(__xludf.DUMMYFUNCTION("IF(ISBLANK(AD19), IF(ISBLANK(AE19),,AE19 &amp; "";""), TEXTJOIN(CHAR(10), TRUE, ARRAYFORMULA(VLOOKUP(SPLIT(AD19, "";"" &amp; CHAR(10)), $AC:$AH, 6, FALSE))))"),"")</f>
        <v/>
      </c>
      <c r="AL19" s="130" t="str">
        <f>IFERROR(__xludf.DUMMYFUNCTION("IF(AM19="""", """", TEXTJOIN("";"" &amp; CHAR(10), TRUE, UNIQUE(SPLIT(AM19, "";"" &amp; CHAR(10)), TRUE))&amp;"";"")"),"")</f>
        <v/>
      </c>
      <c r="AM19" s="130" t="str">
        <f>IFERROR(__xludf.DUMMYFUNCTION("IF(ISBLANK(AD19), """", TEXTJOIN(CHAR(10), TRUE, ARRAYFORMULA(VLOOKUP(SPLIT(AH19, "";"" &amp; CHAR(10)), $AE:$AI, 5, FALSE)), AF19))"),"")</f>
        <v/>
      </c>
      <c r="AN19" s="132" t="str">
        <f>IFERROR(__xludf.DUMMYFUNCTION("IF(ISBLANK(AO19), """", TEXTJOIN("";"" &amp; CHAR(10), TRUE, UNIQUE(SPLIT(AO19, "";"" &amp; CHAR(10)), TRUE))&amp;"";"")"),"")</f>
        <v/>
      </c>
      <c r="AO19" s="134" t="str">
        <f>IFERROR(__xludf.DUMMYFUNCTION("IF(ISBLANK(AD19), AF19, TEXTJOIN(CHAR(10), TRUE, ARRAYFORMULA(VLOOKUP(SPLIT(AD19, "";"" &amp; CHAR(10)), $AC:$AN, 12, FALSE))))"),"")</f>
        <v/>
      </c>
      <c r="AP19" s="130" t="str">
        <f>IF(ISBLANK(AE19),,IF(IFERROR(SEARCH(AE19&amp;";",Circuits!$AO$2),0),TRUE,FALSE))</f>
        <v/>
      </c>
      <c r="AQ19" s="130" t="str">
        <f t="shared" si="2"/>
        <v/>
      </c>
      <c r="AR19" s="130" t="str">
        <f t="shared" si="3"/>
        <v/>
      </c>
      <c r="AS19" s="136" t="str">
        <f>IFERROR(__xludf.DUMMYFUNCTION("IF(AH19="""",,SUM(ARRAYFORMULA(IF(IFERROR(SEARCH(SPLIT(AH19,CHAR(10)),Circuits!$AO$2),0)&gt;0,0,1))))"),"")</f>
        <v/>
      </c>
      <c r="AT19" s="138" t="str">
        <f t="shared" si="4"/>
        <v/>
      </c>
      <c r="AU19" s="138" t="str">
        <f t="shared" si="5"/>
        <v/>
      </c>
      <c r="AV19" s="130" t="str">
        <f>IFERROR(__xludf.DUMMYFUNCTION("IF(AI19="""",,TEXTJOIN("", "",TRUE,ARRAYFORMULA(VLOOKUP(SPLIT(AI19,"";""&amp;CHAR(10)),AE:AT,16,FALSE))))"),"")</f>
        <v/>
      </c>
      <c r="AW19" s="130" t="str">
        <f>IFERROR(__xludf.DUMMYFUNCTION("IF(ISBLANK(BK19),,TEXTJOIN("", "",TRUE,ARRAYFORMULA(VLOOKUP(IFERROR(REGEXEXTRACT(SPLIT(BK19,"";""&amp;CHAR(10)),""\[(.+)\]"")),AE:AT,16,false))))"),"")</f>
        <v/>
      </c>
      <c r="AX19" s="139" t="str">
        <f t="shared" si="6"/>
        <v/>
      </c>
      <c r="AY19" s="139" t="str">
        <f t="shared" si="7"/>
        <v/>
      </c>
      <c r="AZ19" s="106" t="str">
        <f>IFERROR(__xludf.DUMMYFUNCTION("IF(ISBLANK(AD19), BC19, TEXTJOIN(CHAR(10) &amp; CHAR(10), TRUE, ARRAYFORMULA(VLOOKUP(SPLIT(AD19, "";"" &amp; CHAR(10)), $AC:$AY, 23, FALSE))))"),"")</f>
        <v/>
      </c>
      <c r="BA19" s="140" t="s">
        <v>66</v>
      </c>
      <c r="BB19" s="185"/>
      <c r="BC19" s="140"/>
      <c r="BD19" s="106" t="str">
        <f>IFERROR(__xludf.DUMMYFUNCTION("IF(IFERROR(SEARCH(""&lt;&lt;mechanism to realize the capability&gt;&gt;"",BA19),0)=0,
 ""!! Error !! “Capability&amp;Mechanism” column: Invalid Separator:"" &amp; CHAR(10) &amp; ""Insert separator “&lt;&lt;mechanism to realize the capability&gt;&gt;.”"",
 IF(
  LEN(TRIM(CLEAN(
    INDEX(
  "&amp;"    SPLIT(BA19,""&lt;&lt;mechanism to realize the capability&gt;&gt;"",FALSE,FALSE),
      1
    )
  )))=0,
  ""!! Error !! “Capability&amp;Mechanism” column: No Capability:""  &amp; CHAR(10) &amp; ""Describe Capability before separator."",
  INDEX(
    SPLIT(BA19,""&lt;&lt;mechanism "&amp;"to realize the capability&gt;&gt;"",FALSE,FALSE),
    1
  )
 )
)
"),"!! Error !! “Capability&amp;Mechanism” column: No Capability:
Describe Capability before separator.")</f>
        <v>!! Error !! “Capability&amp;Mechanism” column: No Capability:
Describe Capability before separator.</v>
      </c>
      <c r="BE19" s="127"/>
      <c r="BF19" s="127"/>
      <c r="BG19" s="140"/>
      <c r="BH19" s="127"/>
      <c r="BI19" s="140"/>
      <c r="BJ19" s="140"/>
      <c r="BK19" s="38"/>
      <c r="BL19" s="47"/>
      <c r="BM19" s="47"/>
      <c r="BN19" s="140"/>
      <c r="BO19" s="140"/>
      <c r="BP19" s="143"/>
      <c r="BQ19" s="143"/>
      <c r="BR19" s="144"/>
      <c r="BS19" s="144"/>
      <c r="BT19" s="144"/>
      <c r="BU19" s="144"/>
      <c r="BV19" s="144"/>
      <c r="BW19" s="145"/>
      <c r="BX19" s="146" t="str">
        <f t="shared" si="8"/>
        <v/>
      </c>
    </row>
    <row r="20">
      <c r="A20" s="106" t="str">
        <f t="shared" si="1"/>
        <v/>
      </c>
      <c r="B20" s="183" t="str">
        <f t="array" ref="B20">IF(ISBLANK($AE20), "-",INDEX(Circuits!A:A,SUMPRODUCT(EXACT($AE20,Circuits!$A:$A)*ROW(Circuits!$A:$A))))</f>
        <v>-</v>
      </c>
      <c r="C20" s="183" t="str">
        <f t="array" ref="C20">IF(ISBLANK($AE20), "-",INDEX(Circuits!B:B,SUMPRODUCT(EXACT($AE20,Circuits!$A:$A)*ROW(Circuits!$A:$A))))</f>
        <v>-</v>
      </c>
      <c r="D20" s="183" t="str">
        <f t="array" ref="D20">IF(ISBLANK($AE20), "-",INDEX(Circuits!C:C,SUMPRODUCT(EXACT($AE20,Circuits!$A:$A)*ROW(Circuits!$A:$A))))</f>
        <v>-</v>
      </c>
      <c r="E20" s="183" t="str">
        <f t="array" ref="E20">IF(ISBLANK($AE20), "-",INDEX(Circuits!D:D,SUMPRODUCT(EXACT($AE20,Circuits!$A:$A)*ROW(Circuits!$A:$A))))</f>
        <v>-</v>
      </c>
      <c r="F20" s="183" t="str">
        <f t="array" ref="F20">IF(ISBLANK($AE20), "-",INDEX(Circuits!E:E,SUMPRODUCT(EXACT($AE20,Circuits!$A:$A)*ROW(Circuits!$A:$A))))</f>
        <v>-</v>
      </c>
      <c r="G20" s="183" t="str">
        <f t="array" ref="G20">IF(ISBLANK($AE20), "-",INDEX(Circuits!F:F,SUMPRODUCT(EXACT($AE20,Circuits!$A:$A)*ROW(Circuits!$A:$A))))</f>
        <v>-</v>
      </c>
      <c r="H20" s="183" t="str">
        <f t="array" ref="H20">IF(ISBLANK($AE20), "-",INDEX(Circuits!G:G,SUMPRODUCT(EXACT($AE20,Circuits!$A:$A)*ROW(Circuits!$A:$A))))</f>
        <v>-</v>
      </c>
      <c r="I20" s="183" t="str">
        <f t="array" ref="I20">IF(ISBLANK($AE20), "-",INDEX(Circuits!H:H,SUMPRODUCT(EXACT($AE20,Circuits!$A:$A)*ROW(Circuits!$A:$A))))</f>
        <v>-</v>
      </c>
      <c r="J20" s="183" t="str">
        <f t="array" ref="J20">IF(ISBLANK($AE20), "-",INDEX(Circuits!I:I,SUMPRODUCT(EXACT($AE20,Circuits!$A:$A)*ROW(Circuits!$A:$A))))</f>
        <v>-</v>
      </c>
      <c r="K20" s="183" t="str">
        <f t="array" ref="K20">IF(ISBLANK($AE20), "-",INDEX(Circuits!J:J,SUMPRODUCT(EXACT($AE20,Circuits!$A:$A)*ROW(Circuits!$A:$A))))</f>
        <v>-</v>
      </c>
      <c r="L20" s="183" t="str">
        <f t="array" ref="L20">IF(ISBLANK($AE20), "-",INDEX(Circuits!K:K,SUMPRODUCT(EXACT($AE20,Circuits!$A:$A)*ROW(Circuits!$A:$A))))</f>
        <v>-</v>
      </c>
      <c r="M20" s="183" t="str">
        <f t="array" ref="M20">IF(ISBLANK($AE20), "-",INDEX(Circuits!L:L,SUMPRODUCT(EXACT($AE20,Circuits!$A:$A)*ROW(Circuits!$A:$A))))</f>
        <v>-</v>
      </c>
      <c r="N20" s="183" t="str">
        <f t="array" ref="N20">IF(ISBLANK($AE20), "-",INDEX(Circuits!M:M,SUMPRODUCT(EXACT($AE20,Circuits!$A:$A)*ROW(Circuits!$A:$A))))</f>
        <v>-</v>
      </c>
      <c r="O20" s="183" t="str">
        <f t="array" ref="O20">IF(ISBLANK($AE20), "-",INDEX(Circuits!N:N,SUMPRODUCT(EXACT($AE20,Circuits!$A:$A)*ROW(Circuits!$A:$A))))</f>
        <v>-</v>
      </c>
      <c r="P20" s="183" t="str">
        <f t="array" ref="P20">IF(ISBLANK($AE20), "-",INDEX(Circuits!O:O,SUMPRODUCT(EXACT($AE20,Circuits!$A:$A)*ROW(Circuits!$A:$A))))</f>
        <v>-</v>
      </c>
      <c r="Q20" s="183" t="str">
        <f t="array" ref="Q20">IF(ISBLANK($AE20), "-",INDEX(Circuits!P:P,SUMPRODUCT(EXACT($AE20,Circuits!$A:$A)*ROW(Circuits!$A:$A))))</f>
        <v>-</v>
      </c>
      <c r="R20" s="183" t="str">
        <f t="array" ref="R20">IF(ISBLANK($AE20), "-",INDEX(Circuits!Q:Q,SUMPRODUCT(EXACT($AE20,Circuits!$A:$A)*ROW(Circuits!$A:$A))))</f>
        <v>-</v>
      </c>
      <c r="S20" s="183" t="str">
        <f t="array" ref="S20">IF(ISBLANK($AE20), "-",INDEX(Circuits!R:R,SUMPRODUCT(EXACT($AE20,Circuits!$A:$A)*ROW(Circuits!$A:$A))))</f>
        <v>-</v>
      </c>
      <c r="T20" s="183" t="str">
        <f t="array" ref="T20">IF(ISBLANK($AE20), "-",INDEX(Circuits!S:S,SUMPRODUCT(EXACT($AE20,Circuits!$A:$A)*ROW(Circuits!$A:$A))))</f>
        <v>-</v>
      </c>
      <c r="U20" s="183" t="str">
        <f t="array" ref="U20">IF(ISBLANK($AE20), "-",INDEX(Circuits!T:T,SUMPRODUCT(EXACT($AE20,Circuits!$A:$A)*ROW(Circuits!$A:$A))))</f>
        <v>-</v>
      </c>
      <c r="V20" s="183" t="str">
        <f t="array" ref="V20">IF(ISBLANK($AE20), "-",INDEX(Circuits!U:U,SUMPRODUCT(EXACT($AE20,Circuits!$A:$A)*ROW(Circuits!$A:$A))))</f>
        <v>-</v>
      </c>
      <c r="W20" s="183" t="str">
        <f t="array" ref="W20">IF(ISBLANK($AE20), "-",INDEX(Circuits!V:V,SUMPRODUCT(EXACT($AE20,Circuits!$A:$A)*ROW(Circuits!$A:$A))))</f>
        <v>-</v>
      </c>
      <c r="X20" s="183" t="str">
        <f t="array" ref="X20">IF(ISBLANK($AE20), "-",INDEX(Circuits!W:W,SUMPRODUCT(EXACT($AE20,Circuits!$A:$A)*ROW(Circuits!$A:$A))))</f>
        <v>-</v>
      </c>
      <c r="Y20" s="183" t="str">
        <f t="array" ref="Y20">IF(ISBLANK($AE20), "-",INDEX(Circuits!X:X,SUMPRODUCT(EXACT($AE20,Circuits!$A:$A)*ROW(Circuits!$A:$A))))</f>
        <v>-</v>
      </c>
      <c r="Z20" s="108" t="str">
        <f>IFERROR(__xludf.DUMMYFUNCTION("IFNA(CONCATENATE(UNIQUE(FILTER(Connections!R:R,Connections!A:A=B20))),""-"")"),"-")</f>
        <v>-</v>
      </c>
      <c r="AA20" s="119" t="str">
        <f t="array" ref="AA20">IF(ISBLANK($AE20), "-",INDEX(Circuits!Y:Y,SUMPRODUCT(EXACT($AE20,Circuits!$A:$A)*ROW(Circuits!$A:$A))))</f>
        <v>-</v>
      </c>
      <c r="AB20" s="121" t="str">
        <f t="array" ref="AB20">IF(ISBLANK($AE20), "-",INDEX(Circuits!Z:Z,SUMPRODUCT(EXACT($AE20,Circuits!$A:$A)*ROW(Circuits!$A:$A))))</f>
        <v>-</v>
      </c>
      <c r="AC20" s="38"/>
      <c r="AD20" s="38"/>
      <c r="AE20" s="124"/>
      <c r="AF20" s="184"/>
      <c r="AG20" s="126" t="str">
        <f>IFERROR(__xludf.DUMMYFUNCTION("IF(ISBLANK(AF20), """", TEXTJOIN(CHAR(10),TRUE,ARRAYFORMULA(IF(ISERROR(SEARCH(SPLIT(AF20, "";""), $Z20)), ""x"", ""-""))))"),"")</f>
        <v/>
      </c>
      <c r="AH20" s="127" t="str">
        <f>IFERROR(__xludf.DUMMYFUNCTION("IF(ISBLANK(AK20), """", TEXTJOIN("";"" &amp; CHAR(10), TRUE, UNIQUE(SPLIT(AK20, "";"" &amp; CHAR(10)), TRUE))&amp;"";"")"),"")</f>
        <v/>
      </c>
      <c r="AI20" s="128" t="str">
        <f>IFERROR(__xludf.DUMMYFUNCTION("IF(ISBLANK(AD20), IF(ISBLANK(AE20),,IFNA(TEXTJOIN("";"" &amp; CHAR(10), TRUE, FILTER(AE:AE, SEARCH(AE20&amp;"";"", AJ:AJ)))&amp;"";"", """")), TEXTJOIN("";"" &amp; CHAR(10), TRUE, UNIQUE(SPLIT(AH20 &amp; "";"" &amp; AH20 &amp; "";"" &amp; AL20, "";"" &amp; CHAR(10)), TRUE, TRUE))&amp;"";"")"),"")</f>
        <v/>
      </c>
      <c r="AJ20" s="126" t="str">
        <f>IFERROR(__xludf.DUMMYFUNCTION("IF(AN20="""", """", TEXTJOIN("";"" &amp; CHAR(10), TRUE, UNIQUE(SPLIT(AH20 &amp; "";"" &amp; AH20 &amp; "";"" &amp; AN20, "";"" &amp; CHAR(10)), TRUE, TRUE))&amp;"";"")"),"")</f>
        <v/>
      </c>
      <c r="AK20" s="129" t="str">
        <f>IFERROR(__xludf.DUMMYFUNCTION("IF(ISBLANK(AD20), IF(ISBLANK(AE20),,AE20 &amp; "";""), TEXTJOIN(CHAR(10), TRUE, ARRAYFORMULA(VLOOKUP(SPLIT(AD20, "";"" &amp; CHAR(10)), $AC:$AH, 6, FALSE))))"),"")</f>
        <v/>
      </c>
      <c r="AL20" s="130" t="str">
        <f>IFERROR(__xludf.DUMMYFUNCTION("IF(AM20="""", """", TEXTJOIN("";"" &amp; CHAR(10), TRUE, UNIQUE(SPLIT(AM20, "";"" &amp; CHAR(10)), TRUE))&amp;"";"")"),"")</f>
        <v/>
      </c>
      <c r="AM20" s="130" t="str">
        <f>IFERROR(__xludf.DUMMYFUNCTION("IF(ISBLANK(AD20), """", TEXTJOIN(CHAR(10), TRUE, ARRAYFORMULA(VLOOKUP(SPLIT(AH20, "";"" &amp; CHAR(10)), $AE:$AI, 5, FALSE)), AF20))"),"")</f>
        <v/>
      </c>
      <c r="AN20" s="132" t="str">
        <f>IFERROR(__xludf.DUMMYFUNCTION("IF(ISBLANK(AO20), """", TEXTJOIN("";"" &amp; CHAR(10), TRUE, UNIQUE(SPLIT(AO20, "";"" &amp; CHAR(10)), TRUE))&amp;"";"")"),"")</f>
        <v/>
      </c>
      <c r="AO20" s="134" t="str">
        <f>IFERROR(__xludf.DUMMYFUNCTION("IF(ISBLANK(AD20), AF20, TEXTJOIN(CHAR(10), TRUE, ARRAYFORMULA(VLOOKUP(SPLIT(AD20, "";"" &amp; CHAR(10)), $AC:$AN, 12, FALSE))))"),"")</f>
        <v/>
      </c>
      <c r="AP20" s="130" t="str">
        <f>IF(ISBLANK(AE20),,IF(IFERROR(SEARCH(AE20&amp;";",Circuits!$AO$2),0),TRUE,FALSE))</f>
        <v/>
      </c>
      <c r="AQ20" s="130" t="str">
        <f t="shared" si="2"/>
        <v/>
      </c>
      <c r="AR20" s="130" t="str">
        <f t="shared" si="3"/>
        <v/>
      </c>
      <c r="AS20" s="136" t="str">
        <f>IFERROR(__xludf.DUMMYFUNCTION("IF(AH20="""",,SUM(ARRAYFORMULA(IF(IFERROR(SEARCH(SPLIT(AH20,CHAR(10)),Circuits!$AO$2),0)&gt;0,0,1))))"),"")</f>
        <v/>
      </c>
      <c r="AT20" s="138" t="str">
        <f t="shared" si="4"/>
        <v/>
      </c>
      <c r="AU20" s="138" t="str">
        <f t="shared" si="5"/>
        <v/>
      </c>
      <c r="AV20" s="130" t="str">
        <f>IFERROR(__xludf.DUMMYFUNCTION("IF(AI20="""",,TEXTJOIN("", "",TRUE,ARRAYFORMULA(VLOOKUP(SPLIT(AI20,"";""&amp;CHAR(10)),AE:AT,16,FALSE))))"),"")</f>
        <v/>
      </c>
      <c r="AW20" s="130" t="str">
        <f>IFERROR(__xludf.DUMMYFUNCTION("IF(ISBLANK(BK20),,TEXTJOIN("", "",TRUE,ARRAYFORMULA(VLOOKUP(IFERROR(REGEXEXTRACT(SPLIT(BK20,"";""&amp;CHAR(10)),""\[(.+)\]"")),AE:AT,16,false))))"),"")</f>
        <v/>
      </c>
      <c r="AX20" s="139" t="str">
        <f t="shared" si="6"/>
        <v/>
      </c>
      <c r="AY20" s="139" t="str">
        <f t="shared" si="7"/>
        <v/>
      </c>
      <c r="AZ20" s="106" t="str">
        <f>IFERROR(__xludf.DUMMYFUNCTION("IF(ISBLANK(AD20), BC20, TEXTJOIN(CHAR(10) &amp; CHAR(10), TRUE, ARRAYFORMULA(VLOOKUP(SPLIT(AD20, "";"" &amp; CHAR(10)), $AC:$AY, 23, FALSE))))"),"")</f>
        <v/>
      </c>
      <c r="BA20" s="140" t="s">
        <v>66</v>
      </c>
      <c r="BB20" s="185"/>
      <c r="BC20" s="140"/>
      <c r="BD20" s="106" t="str">
        <f>IFERROR(__xludf.DUMMYFUNCTION("IF(IFERROR(SEARCH(""&lt;&lt;mechanism to realize the capability&gt;&gt;"",BA20),0)=0,
 ""!! Error !! “Capability&amp;Mechanism” column: Invalid Separator:"" &amp; CHAR(10) &amp; ""Insert separator “&lt;&lt;mechanism to realize the capability&gt;&gt;.”"",
 IF(
  LEN(TRIM(CLEAN(
    INDEX(
  "&amp;"    SPLIT(BA20,""&lt;&lt;mechanism to realize the capability&gt;&gt;"",FALSE,FALSE),
      1
    )
  )))=0,
  ""!! Error !! “Capability&amp;Mechanism” column: No Capability:""  &amp; CHAR(10) &amp; ""Describe Capability before separator."",
  INDEX(
    SPLIT(BA20,""&lt;&lt;mechanism "&amp;"to realize the capability&gt;&gt;"",FALSE,FALSE),
    1
  )
 )
)
"),"!! Error !! “Capability&amp;Mechanism” column: No Capability:
Describe Capability before separator.")</f>
        <v>!! Error !! “Capability&amp;Mechanism” column: No Capability:
Describe Capability before separator.</v>
      </c>
      <c r="BE20" s="127"/>
      <c r="BF20" s="127"/>
      <c r="BG20" s="140"/>
      <c r="BH20" s="127"/>
      <c r="BI20" s="140"/>
      <c r="BJ20" s="140"/>
      <c r="BK20" s="38"/>
      <c r="BL20" s="47"/>
      <c r="BM20" s="47"/>
      <c r="BN20" s="140"/>
      <c r="BO20" s="140"/>
      <c r="BP20" s="143"/>
      <c r="BQ20" s="143"/>
      <c r="BR20" s="144"/>
      <c r="BS20" s="144"/>
      <c r="BT20" s="144"/>
      <c r="BU20" s="144"/>
      <c r="BV20" s="144"/>
      <c r="BW20" s="145"/>
      <c r="BX20" s="146" t="str">
        <f t="shared" si="8"/>
        <v/>
      </c>
    </row>
    <row r="21">
      <c r="A21" s="106" t="str">
        <f t="shared" si="1"/>
        <v/>
      </c>
      <c r="B21" s="183" t="str">
        <f t="array" ref="B21">IF(ISBLANK($AE21), "-",INDEX(Circuits!A:A,SUMPRODUCT(EXACT($AE21,Circuits!$A:$A)*ROW(Circuits!$A:$A))))</f>
        <v>-</v>
      </c>
      <c r="C21" s="183" t="str">
        <f t="array" ref="C21">IF(ISBLANK($AE21), "-",INDEX(Circuits!B:B,SUMPRODUCT(EXACT($AE21,Circuits!$A:$A)*ROW(Circuits!$A:$A))))</f>
        <v>-</v>
      </c>
      <c r="D21" s="183" t="str">
        <f t="array" ref="D21">IF(ISBLANK($AE21), "-",INDEX(Circuits!C:C,SUMPRODUCT(EXACT($AE21,Circuits!$A:$A)*ROW(Circuits!$A:$A))))</f>
        <v>-</v>
      </c>
      <c r="E21" s="183" t="str">
        <f t="array" ref="E21">IF(ISBLANK($AE21), "-",INDEX(Circuits!D:D,SUMPRODUCT(EXACT($AE21,Circuits!$A:$A)*ROW(Circuits!$A:$A))))</f>
        <v>-</v>
      </c>
      <c r="F21" s="183" t="str">
        <f t="array" ref="F21">IF(ISBLANK($AE21), "-",INDEX(Circuits!E:E,SUMPRODUCT(EXACT($AE21,Circuits!$A:$A)*ROW(Circuits!$A:$A))))</f>
        <v>-</v>
      </c>
      <c r="G21" s="183" t="str">
        <f t="array" ref="G21">IF(ISBLANK($AE21), "-",INDEX(Circuits!F:F,SUMPRODUCT(EXACT($AE21,Circuits!$A:$A)*ROW(Circuits!$A:$A))))</f>
        <v>-</v>
      </c>
      <c r="H21" s="183" t="str">
        <f t="array" ref="H21">IF(ISBLANK($AE21), "-",INDEX(Circuits!G:G,SUMPRODUCT(EXACT($AE21,Circuits!$A:$A)*ROW(Circuits!$A:$A))))</f>
        <v>-</v>
      </c>
      <c r="I21" s="183" t="str">
        <f t="array" ref="I21">IF(ISBLANK($AE21), "-",INDEX(Circuits!H:H,SUMPRODUCT(EXACT($AE21,Circuits!$A:$A)*ROW(Circuits!$A:$A))))</f>
        <v>-</v>
      </c>
      <c r="J21" s="183" t="str">
        <f t="array" ref="J21">IF(ISBLANK($AE21), "-",INDEX(Circuits!I:I,SUMPRODUCT(EXACT($AE21,Circuits!$A:$A)*ROW(Circuits!$A:$A))))</f>
        <v>-</v>
      </c>
      <c r="K21" s="183" t="str">
        <f t="array" ref="K21">IF(ISBLANK($AE21), "-",INDEX(Circuits!J:J,SUMPRODUCT(EXACT($AE21,Circuits!$A:$A)*ROW(Circuits!$A:$A))))</f>
        <v>-</v>
      </c>
      <c r="L21" s="183" t="str">
        <f t="array" ref="L21">IF(ISBLANK($AE21), "-",INDEX(Circuits!K:K,SUMPRODUCT(EXACT($AE21,Circuits!$A:$A)*ROW(Circuits!$A:$A))))</f>
        <v>-</v>
      </c>
      <c r="M21" s="183" t="str">
        <f t="array" ref="M21">IF(ISBLANK($AE21), "-",INDEX(Circuits!L:L,SUMPRODUCT(EXACT($AE21,Circuits!$A:$A)*ROW(Circuits!$A:$A))))</f>
        <v>-</v>
      </c>
      <c r="N21" s="183" t="str">
        <f t="array" ref="N21">IF(ISBLANK($AE21), "-",INDEX(Circuits!M:M,SUMPRODUCT(EXACT($AE21,Circuits!$A:$A)*ROW(Circuits!$A:$A))))</f>
        <v>-</v>
      </c>
      <c r="O21" s="183" t="str">
        <f t="array" ref="O21">IF(ISBLANK($AE21), "-",INDEX(Circuits!N:N,SUMPRODUCT(EXACT($AE21,Circuits!$A:$A)*ROW(Circuits!$A:$A))))</f>
        <v>-</v>
      </c>
      <c r="P21" s="183" t="str">
        <f t="array" ref="P21">IF(ISBLANK($AE21), "-",INDEX(Circuits!O:O,SUMPRODUCT(EXACT($AE21,Circuits!$A:$A)*ROW(Circuits!$A:$A))))</f>
        <v>-</v>
      </c>
      <c r="Q21" s="183" t="str">
        <f t="array" ref="Q21">IF(ISBLANK($AE21), "-",INDEX(Circuits!P:P,SUMPRODUCT(EXACT($AE21,Circuits!$A:$A)*ROW(Circuits!$A:$A))))</f>
        <v>-</v>
      </c>
      <c r="R21" s="183" t="str">
        <f t="array" ref="R21">IF(ISBLANK($AE21), "-",INDEX(Circuits!Q:Q,SUMPRODUCT(EXACT($AE21,Circuits!$A:$A)*ROW(Circuits!$A:$A))))</f>
        <v>-</v>
      </c>
      <c r="S21" s="183" t="str">
        <f t="array" ref="S21">IF(ISBLANK($AE21), "-",INDEX(Circuits!R:R,SUMPRODUCT(EXACT($AE21,Circuits!$A:$A)*ROW(Circuits!$A:$A))))</f>
        <v>-</v>
      </c>
      <c r="T21" s="183" t="str">
        <f t="array" ref="T21">IF(ISBLANK($AE21), "-",INDEX(Circuits!S:S,SUMPRODUCT(EXACT($AE21,Circuits!$A:$A)*ROW(Circuits!$A:$A))))</f>
        <v>-</v>
      </c>
      <c r="U21" s="183" t="str">
        <f t="array" ref="U21">IF(ISBLANK($AE21), "-",INDEX(Circuits!T:T,SUMPRODUCT(EXACT($AE21,Circuits!$A:$A)*ROW(Circuits!$A:$A))))</f>
        <v>-</v>
      </c>
      <c r="V21" s="183" t="str">
        <f t="array" ref="V21">IF(ISBLANK($AE21), "-",INDEX(Circuits!U:U,SUMPRODUCT(EXACT($AE21,Circuits!$A:$A)*ROW(Circuits!$A:$A))))</f>
        <v>-</v>
      </c>
      <c r="W21" s="183" t="str">
        <f t="array" ref="W21">IF(ISBLANK($AE21), "-",INDEX(Circuits!V:V,SUMPRODUCT(EXACT($AE21,Circuits!$A:$A)*ROW(Circuits!$A:$A))))</f>
        <v>-</v>
      </c>
      <c r="X21" s="183" t="str">
        <f t="array" ref="X21">IF(ISBLANK($AE21), "-",INDEX(Circuits!W:W,SUMPRODUCT(EXACT($AE21,Circuits!$A:$A)*ROW(Circuits!$A:$A))))</f>
        <v>-</v>
      </c>
      <c r="Y21" s="183" t="str">
        <f t="array" ref="Y21">IF(ISBLANK($AE21), "-",INDEX(Circuits!X:X,SUMPRODUCT(EXACT($AE21,Circuits!$A:$A)*ROW(Circuits!$A:$A))))</f>
        <v>-</v>
      </c>
      <c r="Z21" s="108" t="str">
        <f>IFERROR(__xludf.DUMMYFUNCTION("IFNA(CONCATENATE(UNIQUE(FILTER(Connections!R:R,Connections!A:A=B21))),""-"")"),"-")</f>
        <v>-</v>
      </c>
      <c r="AA21" s="119" t="str">
        <f t="array" ref="AA21">IF(ISBLANK($AE21), "-",INDEX(Circuits!Y:Y,SUMPRODUCT(EXACT($AE21,Circuits!$A:$A)*ROW(Circuits!$A:$A))))</f>
        <v>-</v>
      </c>
      <c r="AB21" s="121" t="str">
        <f t="array" ref="AB21">IF(ISBLANK($AE21), "-",INDEX(Circuits!Z:Z,SUMPRODUCT(EXACT($AE21,Circuits!$A:$A)*ROW(Circuits!$A:$A))))</f>
        <v>-</v>
      </c>
      <c r="AC21" s="38"/>
      <c r="AD21" s="38"/>
      <c r="AE21" s="124"/>
      <c r="AF21" s="184"/>
      <c r="AG21" s="126" t="str">
        <f>IFERROR(__xludf.DUMMYFUNCTION("IF(ISBLANK(AF21), """", TEXTJOIN(CHAR(10),TRUE,ARRAYFORMULA(IF(ISERROR(SEARCH(SPLIT(AF21, "";""), $Z21)), ""x"", ""-""))))"),"")</f>
        <v/>
      </c>
      <c r="AH21" s="127" t="str">
        <f>IFERROR(__xludf.DUMMYFUNCTION("IF(ISBLANK(AK21), """", TEXTJOIN("";"" &amp; CHAR(10), TRUE, UNIQUE(SPLIT(AK21, "";"" &amp; CHAR(10)), TRUE))&amp;"";"")"),"")</f>
        <v/>
      </c>
      <c r="AI21" s="128" t="str">
        <f>IFERROR(__xludf.DUMMYFUNCTION("IF(ISBLANK(AD21), IF(ISBLANK(AE21),,IFNA(TEXTJOIN("";"" &amp; CHAR(10), TRUE, FILTER(AE:AE, SEARCH(AE21&amp;"";"", AJ:AJ)))&amp;"";"", """")), TEXTJOIN("";"" &amp; CHAR(10), TRUE, UNIQUE(SPLIT(AH21 &amp; "";"" &amp; AH21 &amp; "";"" &amp; AL21, "";"" &amp; CHAR(10)), TRUE, TRUE))&amp;"";"")"),"")</f>
        <v/>
      </c>
      <c r="AJ21" s="126" t="str">
        <f>IFERROR(__xludf.DUMMYFUNCTION("IF(AN21="""", """", TEXTJOIN("";"" &amp; CHAR(10), TRUE, UNIQUE(SPLIT(AH21 &amp; "";"" &amp; AH21 &amp; "";"" &amp; AN21, "";"" &amp; CHAR(10)), TRUE, TRUE))&amp;"";"")"),"")</f>
        <v/>
      </c>
      <c r="AK21" s="129" t="str">
        <f>IFERROR(__xludf.DUMMYFUNCTION("IF(ISBLANK(AD21), IF(ISBLANK(AE21),,AE21 &amp; "";""), TEXTJOIN(CHAR(10), TRUE, ARRAYFORMULA(VLOOKUP(SPLIT(AD21, "";"" &amp; CHAR(10)), $AC:$AH, 6, FALSE))))"),"")</f>
        <v/>
      </c>
      <c r="AL21" s="130" t="str">
        <f>IFERROR(__xludf.DUMMYFUNCTION("IF(AM21="""", """", TEXTJOIN("";"" &amp; CHAR(10), TRUE, UNIQUE(SPLIT(AM21, "";"" &amp; CHAR(10)), TRUE))&amp;"";"")"),"")</f>
        <v/>
      </c>
      <c r="AM21" s="130" t="str">
        <f>IFERROR(__xludf.DUMMYFUNCTION("IF(ISBLANK(AD21), """", TEXTJOIN(CHAR(10), TRUE, ARRAYFORMULA(VLOOKUP(SPLIT(AH21, "";"" &amp; CHAR(10)), $AE:$AI, 5, FALSE)), AF21))"),"")</f>
        <v/>
      </c>
      <c r="AN21" s="132" t="str">
        <f>IFERROR(__xludf.DUMMYFUNCTION("IF(ISBLANK(AO21), """", TEXTJOIN("";"" &amp; CHAR(10), TRUE, UNIQUE(SPLIT(AO21, "";"" &amp; CHAR(10)), TRUE))&amp;"";"")"),"")</f>
        <v/>
      </c>
      <c r="AO21" s="134" t="str">
        <f>IFERROR(__xludf.DUMMYFUNCTION("IF(ISBLANK(AD21), AF21, TEXTJOIN(CHAR(10), TRUE, ARRAYFORMULA(VLOOKUP(SPLIT(AD21, "";"" &amp; CHAR(10)), $AC:$AN, 12, FALSE))))"),"")</f>
        <v/>
      </c>
      <c r="AP21" s="130" t="str">
        <f>IF(ISBLANK(AE21),,IF(IFERROR(SEARCH(AE21&amp;";",Circuits!$AO$2),0),TRUE,FALSE))</f>
        <v/>
      </c>
      <c r="AQ21" s="130" t="str">
        <f t="shared" si="2"/>
        <v/>
      </c>
      <c r="AR21" s="130" t="str">
        <f t="shared" si="3"/>
        <v/>
      </c>
      <c r="AS21" s="136" t="str">
        <f>IFERROR(__xludf.DUMMYFUNCTION("IF(AH21="""",,SUM(ARRAYFORMULA(IF(IFERROR(SEARCH(SPLIT(AH21,CHAR(10)),Circuits!$AO$2),0)&gt;0,0,1))))"),"")</f>
        <v/>
      </c>
      <c r="AT21" s="138" t="str">
        <f t="shared" si="4"/>
        <v/>
      </c>
      <c r="AU21" s="138" t="str">
        <f t="shared" si="5"/>
        <v/>
      </c>
      <c r="AV21" s="130" t="str">
        <f>IFERROR(__xludf.DUMMYFUNCTION("IF(AI21="""",,TEXTJOIN("", "",TRUE,ARRAYFORMULA(VLOOKUP(SPLIT(AI21,"";""&amp;CHAR(10)),AE:AT,16,FALSE))))"),"")</f>
        <v/>
      </c>
      <c r="AW21" s="130" t="str">
        <f>IFERROR(__xludf.DUMMYFUNCTION("IF(ISBLANK(BK21),,TEXTJOIN("", "",TRUE,ARRAYFORMULA(VLOOKUP(IFERROR(REGEXEXTRACT(SPLIT(BK21,"";""&amp;CHAR(10)),""\[(.+)\]"")),AE:AT,16,false))))"),"")</f>
        <v/>
      </c>
      <c r="AX21" s="139" t="str">
        <f t="shared" si="6"/>
        <v/>
      </c>
      <c r="AY21" s="139" t="str">
        <f t="shared" si="7"/>
        <v/>
      </c>
      <c r="AZ21" s="106" t="str">
        <f>IFERROR(__xludf.DUMMYFUNCTION("IF(ISBLANK(AD21), BC21, TEXTJOIN(CHAR(10) &amp; CHAR(10), TRUE, ARRAYFORMULA(VLOOKUP(SPLIT(AD21, "";"" &amp; CHAR(10)), $AC:$AY, 23, FALSE))))"),"")</f>
        <v/>
      </c>
      <c r="BA21" s="140" t="s">
        <v>66</v>
      </c>
      <c r="BB21" s="186"/>
      <c r="BC21" s="140"/>
      <c r="BD21" s="106" t="str">
        <f>IFERROR(__xludf.DUMMYFUNCTION("IF(IFERROR(SEARCH(""&lt;&lt;mechanism to realize the capability&gt;&gt;"",BA21),0)=0,
 ""!! Error !! “Capability&amp;Mechanism” column: Invalid Separator:"" &amp; CHAR(10) &amp; ""Insert separator “&lt;&lt;mechanism to realize the capability&gt;&gt;.”"",
 IF(
  LEN(TRIM(CLEAN(
    INDEX(
  "&amp;"    SPLIT(BA21,""&lt;&lt;mechanism to realize the capability&gt;&gt;"",FALSE,FALSE),
      1
    )
  )))=0,
  ""!! Error !! “Capability&amp;Mechanism” column: No Capability:""  &amp; CHAR(10) &amp; ""Describe Capability before separator."",
  INDEX(
    SPLIT(BA21,""&lt;&lt;mechanism "&amp;"to realize the capability&gt;&gt;"",FALSE,FALSE),
    1
  )
 )
)
"),"!! Error !! “Capability&amp;Mechanism” column: No Capability:
Describe Capability before separator.")</f>
        <v>!! Error !! “Capability&amp;Mechanism” column: No Capability:
Describe Capability before separator.</v>
      </c>
      <c r="BE21" s="187"/>
      <c r="BF21" s="187"/>
      <c r="BG21" s="188"/>
      <c r="BH21" s="187"/>
      <c r="BI21" s="188"/>
      <c r="BJ21" s="188"/>
      <c r="BK21" s="38"/>
      <c r="BL21" s="47"/>
      <c r="BM21" s="47"/>
      <c r="BN21" s="188"/>
      <c r="BO21" s="188"/>
      <c r="BP21" s="143"/>
      <c r="BQ21" s="143"/>
      <c r="BR21" s="189"/>
      <c r="BS21" s="189"/>
      <c r="BT21" s="189"/>
      <c r="BU21" s="189"/>
      <c r="BV21" s="189"/>
      <c r="BW21" s="145"/>
      <c r="BX21" s="146" t="str">
        <f t="shared" si="8"/>
        <v/>
      </c>
    </row>
    <row r="22">
      <c r="A22" s="106" t="str">
        <f t="shared" si="1"/>
        <v/>
      </c>
      <c r="B22" s="183" t="str">
        <f t="array" ref="B22">IF(ISBLANK($AE22), "-",INDEX(Circuits!A:A,SUMPRODUCT(EXACT($AE22,Circuits!$A:$A)*ROW(Circuits!$A:$A))))</f>
        <v>-</v>
      </c>
      <c r="C22" s="183" t="str">
        <f t="array" ref="C22">IF(ISBLANK($AE22), "-",INDEX(Circuits!B:B,SUMPRODUCT(EXACT($AE22,Circuits!$A:$A)*ROW(Circuits!$A:$A))))</f>
        <v>-</v>
      </c>
      <c r="D22" s="183" t="str">
        <f t="array" ref="D22">IF(ISBLANK($AE22), "-",INDEX(Circuits!C:C,SUMPRODUCT(EXACT($AE22,Circuits!$A:$A)*ROW(Circuits!$A:$A))))</f>
        <v>-</v>
      </c>
      <c r="E22" s="183" t="str">
        <f t="array" ref="E22">IF(ISBLANK($AE22), "-",INDEX(Circuits!D:D,SUMPRODUCT(EXACT($AE22,Circuits!$A:$A)*ROW(Circuits!$A:$A))))</f>
        <v>-</v>
      </c>
      <c r="F22" s="183" t="str">
        <f t="array" ref="F22">IF(ISBLANK($AE22), "-",INDEX(Circuits!E:E,SUMPRODUCT(EXACT($AE22,Circuits!$A:$A)*ROW(Circuits!$A:$A))))</f>
        <v>-</v>
      </c>
      <c r="G22" s="183" t="str">
        <f t="array" ref="G22">IF(ISBLANK($AE22), "-",INDEX(Circuits!F:F,SUMPRODUCT(EXACT($AE22,Circuits!$A:$A)*ROW(Circuits!$A:$A))))</f>
        <v>-</v>
      </c>
      <c r="H22" s="183" t="str">
        <f t="array" ref="H22">IF(ISBLANK($AE22), "-",INDEX(Circuits!G:G,SUMPRODUCT(EXACT($AE22,Circuits!$A:$A)*ROW(Circuits!$A:$A))))</f>
        <v>-</v>
      </c>
      <c r="I22" s="183" t="str">
        <f t="array" ref="I22">IF(ISBLANK($AE22), "-",INDEX(Circuits!H:H,SUMPRODUCT(EXACT($AE22,Circuits!$A:$A)*ROW(Circuits!$A:$A))))</f>
        <v>-</v>
      </c>
      <c r="J22" s="183" t="str">
        <f t="array" ref="J22">IF(ISBLANK($AE22), "-",INDEX(Circuits!I:I,SUMPRODUCT(EXACT($AE22,Circuits!$A:$A)*ROW(Circuits!$A:$A))))</f>
        <v>-</v>
      </c>
      <c r="K22" s="183" t="str">
        <f t="array" ref="K22">IF(ISBLANK($AE22), "-",INDEX(Circuits!J:J,SUMPRODUCT(EXACT($AE22,Circuits!$A:$A)*ROW(Circuits!$A:$A))))</f>
        <v>-</v>
      </c>
      <c r="L22" s="183" t="str">
        <f t="array" ref="L22">IF(ISBLANK($AE22), "-",INDEX(Circuits!K:K,SUMPRODUCT(EXACT($AE22,Circuits!$A:$A)*ROW(Circuits!$A:$A))))</f>
        <v>-</v>
      </c>
      <c r="M22" s="183" t="str">
        <f t="array" ref="M22">IF(ISBLANK($AE22), "-",INDEX(Circuits!L:L,SUMPRODUCT(EXACT($AE22,Circuits!$A:$A)*ROW(Circuits!$A:$A))))</f>
        <v>-</v>
      </c>
      <c r="N22" s="183" t="str">
        <f t="array" ref="N22">IF(ISBLANK($AE22), "-",INDEX(Circuits!M:M,SUMPRODUCT(EXACT($AE22,Circuits!$A:$A)*ROW(Circuits!$A:$A))))</f>
        <v>-</v>
      </c>
      <c r="O22" s="183" t="str">
        <f t="array" ref="O22">IF(ISBLANK($AE22), "-",INDEX(Circuits!N:N,SUMPRODUCT(EXACT($AE22,Circuits!$A:$A)*ROW(Circuits!$A:$A))))</f>
        <v>-</v>
      </c>
      <c r="P22" s="183" t="str">
        <f t="array" ref="P22">IF(ISBLANK($AE22), "-",INDEX(Circuits!O:O,SUMPRODUCT(EXACT($AE22,Circuits!$A:$A)*ROW(Circuits!$A:$A))))</f>
        <v>-</v>
      </c>
      <c r="Q22" s="183" t="str">
        <f t="array" ref="Q22">IF(ISBLANK($AE22), "-",INDEX(Circuits!P:P,SUMPRODUCT(EXACT($AE22,Circuits!$A:$A)*ROW(Circuits!$A:$A))))</f>
        <v>-</v>
      </c>
      <c r="R22" s="183" t="str">
        <f t="array" ref="R22">IF(ISBLANK($AE22), "-",INDEX(Circuits!Q:Q,SUMPRODUCT(EXACT($AE22,Circuits!$A:$A)*ROW(Circuits!$A:$A))))</f>
        <v>-</v>
      </c>
      <c r="S22" s="183" t="str">
        <f t="array" ref="S22">IF(ISBLANK($AE22), "-",INDEX(Circuits!R:R,SUMPRODUCT(EXACT($AE22,Circuits!$A:$A)*ROW(Circuits!$A:$A))))</f>
        <v>-</v>
      </c>
      <c r="T22" s="183" t="str">
        <f t="array" ref="T22">IF(ISBLANK($AE22), "-",INDEX(Circuits!S:S,SUMPRODUCT(EXACT($AE22,Circuits!$A:$A)*ROW(Circuits!$A:$A))))</f>
        <v>-</v>
      </c>
      <c r="U22" s="183" t="str">
        <f t="array" ref="U22">IF(ISBLANK($AE22), "-",INDEX(Circuits!T:T,SUMPRODUCT(EXACT($AE22,Circuits!$A:$A)*ROW(Circuits!$A:$A))))</f>
        <v>-</v>
      </c>
      <c r="V22" s="183" t="str">
        <f t="array" ref="V22">IF(ISBLANK($AE22), "-",INDEX(Circuits!U:U,SUMPRODUCT(EXACT($AE22,Circuits!$A:$A)*ROW(Circuits!$A:$A))))</f>
        <v>-</v>
      </c>
      <c r="W22" s="183" t="str">
        <f t="array" ref="W22">IF(ISBLANK($AE22), "-",INDEX(Circuits!V:V,SUMPRODUCT(EXACT($AE22,Circuits!$A:$A)*ROW(Circuits!$A:$A))))</f>
        <v>-</v>
      </c>
      <c r="X22" s="183" t="str">
        <f t="array" ref="X22">IF(ISBLANK($AE22), "-",INDEX(Circuits!W:W,SUMPRODUCT(EXACT($AE22,Circuits!$A:$A)*ROW(Circuits!$A:$A))))</f>
        <v>-</v>
      </c>
      <c r="Y22" s="183" t="str">
        <f t="array" ref="Y22">IF(ISBLANK($AE22), "-",INDEX(Circuits!X:X,SUMPRODUCT(EXACT($AE22,Circuits!$A:$A)*ROW(Circuits!$A:$A))))</f>
        <v>-</v>
      </c>
      <c r="Z22" s="108" t="str">
        <f>IFERROR(__xludf.DUMMYFUNCTION("IFNA(CONCATENATE(UNIQUE(FILTER(Connections!R:R,Connections!A:A=B22))),""-"")"),"-")</f>
        <v>-</v>
      </c>
      <c r="AA22" s="119" t="str">
        <f t="array" ref="AA22">IF(ISBLANK($AE22), "-",INDEX(Circuits!Y:Y,SUMPRODUCT(EXACT($AE22,Circuits!$A:$A)*ROW(Circuits!$A:$A))))</f>
        <v>-</v>
      </c>
      <c r="AB22" s="121" t="str">
        <f t="array" ref="AB22">IF(ISBLANK($AE22), "-",INDEX(Circuits!Z:Z,SUMPRODUCT(EXACT($AE22,Circuits!$A:$A)*ROW(Circuits!$A:$A))))</f>
        <v>-</v>
      </c>
      <c r="AC22" s="38"/>
      <c r="AD22" s="38"/>
      <c r="AE22" s="124"/>
      <c r="AF22" s="184"/>
      <c r="AG22" s="126" t="str">
        <f>IFERROR(__xludf.DUMMYFUNCTION("IF(ISBLANK(AF22), """", TEXTJOIN(CHAR(10),TRUE,ARRAYFORMULA(IF(ISERROR(SEARCH(SPLIT(AF22, "";""), $Z22)), ""x"", ""-""))))"),"")</f>
        <v/>
      </c>
      <c r="AH22" s="127" t="str">
        <f>IFERROR(__xludf.DUMMYFUNCTION("IF(ISBLANK(AK22), """", TEXTJOIN("";"" &amp; CHAR(10), TRUE, UNIQUE(SPLIT(AK22, "";"" &amp; CHAR(10)), TRUE))&amp;"";"")"),"")</f>
        <v/>
      </c>
      <c r="AI22" s="128" t="str">
        <f>IFERROR(__xludf.DUMMYFUNCTION("IF(ISBLANK(AD22), IF(ISBLANK(AE22),,IFNA(TEXTJOIN("";"" &amp; CHAR(10), TRUE, FILTER(AE:AE, SEARCH(AE22&amp;"";"", AJ:AJ)))&amp;"";"", """")), TEXTJOIN("";"" &amp; CHAR(10), TRUE, UNIQUE(SPLIT(AH22 &amp; "";"" &amp; AH22 &amp; "";"" &amp; AL22, "";"" &amp; CHAR(10)), TRUE, TRUE))&amp;"";"")"),"")</f>
        <v/>
      </c>
      <c r="AJ22" s="126" t="str">
        <f>IFERROR(__xludf.DUMMYFUNCTION("IF(AN22="""", """", TEXTJOIN("";"" &amp; CHAR(10), TRUE, UNIQUE(SPLIT(AH22 &amp; "";"" &amp; AH22 &amp; "";"" &amp; AN22, "";"" &amp; CHAR(10)), TRUE, TRUE))&amp;"";"")"),"")</f>
        <v/>
      </c>
      <c r="AK22" s="129" t="str">
        <f>IFERROR(__xludf.DUMMYFUNCTION("IF(ISBLANK(AD22), IF(ISBLANK(AE22),,AE22 &amp; "";""), TEXTJOIN(CHAR(10), TRUE, ARRAYFORMULA(VLOOKUP(SPLIT(AD22, "";"" &amp; CHAR(10)), $AC:$AH, 6, FALSE))))"),"")</f>
        <v/>
      </c>
      <c r="AL22" s="130" t="str">
        <f>IFERROR(__xludf.DUMMYFUNCTION("IF(AM22="""", """", TEXTJOIN("";"" &amp; CHAR(10), TRUE, UNIQUE(SPLIT(AM22, "";"" &amp; CHAR(10)), TRUE))&amp;"";"")"),"")</f>
        <v/>
      </c>
      <c r="AM22" s="130" t="str">
        <f>IFERROR(__xludf.DUMMYFUNCTION("IF(ISBLANK(AD22), """", TEXTJOIN(CHAR(10), TRUE, ARRAYFORMULA(VLOOKUP(SPLIT(AH22, "";"" &amp; CHAR(10)), $AE:$AI, 5, FALSE)), AF22))"),"")</f>
        <v/>
      </c>
      <c r="AN22" s="132" t="str">
        <f>IFERROR(__xludf.DUMMYFUNCTION("IF(ISBLANK(AO22), """", TEXTJOIN("";"" &amp; CHAR(10), TRUE, UNIQUE(SPLIT(AO22, "";"" &amp; CHAR(10)), TRUE))&amp;"";"")"),"")</f>
        <v/>
      </c>
      <c r="AO22" s="134" t="str">
        <f>IFERROR(__xludf.DUMMYFUNCTION("IF(ISBLANK(AD22), AF22, TEXTJOIN(CHAR(10), TRUE, ARRAYFORMULA(VLOOKUP(SPLIT(AD22, "";"" &amp; CHAR(10)), $AC:$AN, 12, FALSE))))"),"")</f>
        <v/>
      </c>
      <c r="AP22" s="130" t="str">
        <f>IF(ISBLANK(AE22),,IF(IFERROR(SEARCH(AE22&amp;";",Circuits!$AO$2),0),TRUE,FALSE))</f>
        <v/>
      </c>
      <c r="AQ22" s="130" t="str">
        <f t="shared" si="2"/>
        <v/>
      </c>
      <c r="AR22" s="130" t="str">
        <f t="shared" si="3"/>
        <v/>
      </c>
      <c r="AS22" s="136" t="str">
        <f>IFERROR(__xludf.DUMMYFUNCTION("IF(AH22="""",,SUM(ARRAYFORMULA(IF(IFERROR(SEARCH(SPLIT(AH22,CHAR(10)),Circuits!$AO$2),0)&gt;0,0,1))))"),"")</f>
        <v/>
      </c>
      <c r="AT22" s="138" t="str">
        <f t="shared" si="4"/>
        <v/>
      </c>
      <c r="AU22" s="138" t="str">
        <f t="shared" si="5"/>
        <v/>
      </c>
      <c r="AV22" s="130" t="str">
        <f>IFERROR(__xludf.DUMMYFUNCTION("IF(AI22="""",,TEXTJOIN("", "",TRUE,ARRAYFORMULA(VLOOKUP(SPLIT(AI22,"";""&amp;CHAR(10)),AE:AT,16,FALSE))))"),"")</f>
        <v/>
      </c>
      <c r="AW22" s="130" t="str">
        <f>IFERROR(__xludf.DUMMYFUNCTION("IF(ISBLANK(BK22),,TEXTJOIN("", "",TRUE,ARRAYFORMULA(VLOOKUP(IFERROR(REGEXEXTRACT(SPLIT(BK22,"";""&amp;CHAR(10)),""\[(.+)\]"")),AE:AT,16,false))))"),"")</f>
        <v/>
      </c>
      <c r="AX22" s="139" t="str">
        <f t="shared" si="6"/>
        <v/>
      </c>
      <c r="AY22" s="139" t="str">
        <f t="shared" si="7"/>
        <v/>
      </c>
      <c r="AZ22" s="106" t="str">
        <f>IFERROR(__xludf.DUMMYFUNCTION("IF(ISBLANK(AD22), BC22, TEXTJOIN(CHAR(10) &amp; CHAR(10), TRUE, ARRAYFORMULA(VLOOKUP(SPLIT(AD22, "";"" &amp; CHAR(10)), $AC:$AY, 23, FALSE))))"),"")</f>
        <v/>
      </c>
      <c r="BA22" s="140" t="s">
        <v>66</v>
      </c>
      <c r="BB22" s="190"/>
      <c r="BC22" s="140"/>
      <c r="BD22" s="106" t="str">
        <f>IFERROR(__xludf.DUMMYFUNCTION("IF(IFERROR(SEARCH(""&lt;&lt;mechanism to realize the capability&gt;&gt;"",BA22),0)=0,
 ""!! Error !! “Capability&amp;Mechanism” column: Invalid Separator:"" &amp; CHAR(10) &amp; ""Insert separator “&lt;&lt;mechanism to realize the capability&gt;&gt;.”"",
 IF(
  LEN(TRIM(CLEAN(
    INDEX(
  "&amp;"    SPLIT(BA22,""&lt;&lt;mechanism to realize the capability&gt;&gt;"",FALSE,FALSE),
      1
    )
  )))=0,
  ""!! Error !! “Capability&amp;Mechanism” column: No Capability:""  &amp; CHAR(10) &amp; ""Describe Capability before separator."",
  INDEX(
    SPLIT(BA22,""&lt;&lt;mechanism "&amp;"to realize the capability&gt;&gt;"",FALSE,FALSE),
    1
  )
 )
)
"),"!! Error !! “Capability&amp;Mechanism” column: No Capability:
Describe Capability before separator.")</f>
        <v>!! Error !! “Capability&amp;Mechanism” column: No Capability:
Describe Capability before separator.</v>
      </c>
      <c r="BE22" s="185"/>
      <c r="BF22" s="185"/>
      <c r="BG22" s="38"/>
      <c r="BH22" s="185"/>
      <c r="BI22" s="38"/>
      <c r="BJ22" s="38"/>
      <c r="BK22" s="38"/>
      <c r="BL22" s="191"/>
      <c r="BM22" s="191"/>
      <c r="BN22" s="38"/>
      <c r="BO22" s="38"/>
      <c r="BP22" s="143"/>
      <c r="BQ22" s="143"/>
      <c r="BR22" s="192"/>
      <c r="BS22" s="192"/>
      <c r="BT22" s="192"/>
      <c r="BU22" s="192"/>
      <c r="BV22" s="192"/>
      <c r="BW22" s="192"/>
      <c r="BX22" s="146" t="str">
        <f t="shared" si="8"/>
        <v/>
      </c>
    </row>
    <row r="23">
      <c r="A23" s="106" t="str">
        <f t="shared" si="1"/>
        <v/>
      </c>
      <c r="B23" s="183" t="str">
        <f t="array" ref="B23">IF(ISBLANK($AE23), "-",INDEX(Circuits!A:A,SUMPRODUCT(EXACT($AE23,Circuits!$A:$A)*ROW(Circuits!$A:$A))))</f>
        <v>-</v>
      </c>
      <c r="C23" s="183" t="str">
        <f t="array" ref="C23">IF(ISBLANK($AE23), "-",INDEX(Circuits!B:B,SUMPRODUCT(EXACT($AE23,Circuits!$A:$A)*ROW(Circuits!$A:$A))))</f>
        <v>-</v>
      </c>
      <c r="D23" s="183" t="str">
        <f t="array" ref="D23">IF(ISBLANK($AE23), "-",INDEX(Circuits!C:C,SUMPRODUCT(EXACT($AE23,Circuits!$A:$A)*ROW(Circuits!$A:$A))))</f>
        <v>-</v>
      </c>
      <c r="E23" s="183" t="str">
        <f t="array" ref="E23">IF(ISBLANK($AE23), "-",INDEX(Circuits!D:D,SUMPRODUCT(EXACT($AE23,Circuits!$A:$A)*ROW(Circuits!$A:$A))))</f>
        <v>-</v>
      </c>
      <c r="F23" s="183" t="str">
        <f t="array" ref="F23">IF(ISBLANK($AE23), "-",INDEX(Circuits!E:E,SUMPRODUCT(EXACT($AE23,Circuits!$A:$A)*ROW(Circuits!$A:$A))))</f>
        <v>-</v>
      </c>
      <c r="G23" s="183" t="str">
        <f t="array" ref="G23">IF(ISBLANK($AE23), "-",INDEX(Circuits!F:F,SUMPRODUCT(EXACT($AE23,Circuits!$A:$A)*ROW(Circuits!$A:$A))))</f>
        <v>-</v>
      </c>
      <c r="H23" s="183" t="str">
        <f t="array" ref="H23">IF(ISBLANK($AE23), "-",INDEX(Circuits!G:G,SUMPRODUCT(EXACT($AE23,Circuits!$A:$A)*ROW(Circuits!$A:$A))))</f>
        <v>-</v>
      </c>
      <c r="I23" s="183" t="str">
        <f t="array" ref="I23">IF(ISBLANK($AE23), "-",INDEX(Circuits!H:H,SUMPRODUCT(EXACT($AE23,Circuits!$A:$A)*ROW(Circuits!$A:$A))))</f>
        <v>-</v>
      </c>
      <c r="J23" s="183" t="str">
        <f t="array" ref="J23">IF(ISBLANK($AE23), "-",INDEX(Circuits!I:I,SUMPRODUCT(EXACT($AE23,Circuits!$A:$A)*ROW(Circuits!$A:$A))))</f>
        <v>-</v>
      </c>
      <c r="K23" s="183" t="str">
        <f t="array" ref="K23">IF(ISBLANK($AE23), "-",INDEX(Circuits!J:J,SUMPRODUCT(EXACT($AE23,Circuits!$A:$A)*ROW(Circuits!$A:$A))))</f>
        <v>-</v>
      </c>
      <c r="L23" s="183" t="str">
        <f t="array" ref="L23">IF(ISBLANK($AE23), "-",INDEX(Circuits!K:K,SUMPRODUCT(EXACT($AE23,Circuits!$A:$A)*ROW(Circuits!$A:$A))))</f>
        <v>-</v>
      </c>
      <c r="M23" s="183" t="str">
        <f t="array" ref="M23">IF(ISBLANK($AE23), "-",INDEX(Circuits!L:L,SUMPRODUCT(EXACT($AE23,Circuits!$A:$A)*ROW(Circuits!$A:$A))))</f>
        <v>-</v>
      </c>
      <c r="N23" s="183" t="str">
        <f t="array" ref="N23">IF(ISBLANK($AE23), "-",INDEX(Circuits!M:M,SUMPRODUCT(EXACT($AE23,Circuits!$A:$A)*ROW(Circuits!$A:$A))))</f>
        <v>-</v>
      </c>
      <c r="O23" s="183" t="str">
        <f t="array" ref="O23">IF(ISBLANK($AE23), "-",INDEX(Circuits!N:N,SUMPRODUCT(EXACT($AE23,Circuits!$A:$A)*ROW(Circuits!$A:$A))))</f>
        <v>-</v>
      </c>
      <c r="P23" s="183" t="str">
        <f t="array" ref="P23">IF(ISBLANK($AE23), "-",INDEX(Circuits!O:O,SUMPRODUCT(EXACT($AE23,Circuits!$A:$A)*ROW(Circuits!$A:$A))))</f>
        <v>-</v>
      </c>
      <c r="Q23" s="183" t="str">
        <f t="array" ref="Q23">IF(ISBLANK($AE23), "-",INDEX(Circuits!P:P,SUMPRODUCT(EXACT($AE23,Circuits!$A:$A)*ROW(Circuits!$A:$A))))</f>
        <v>-</v>
      </c>
      <c r="R23" s="183" t="str">
        <f t="array" ref="R23">IF(ISBLANK($AE23), "-",INDEX(Circuits!Q:Q,SUMPRODUCT(EXACT($AE23,Circuits!$A:$A)*ROW(Circuits!$A:$A))))</f>
        <v>-</v>
      </c>
      <c r="S23" s="183" t="str">
        <f t="array" ref="S23">IF(ISBLANK($AE23), "-",INDEX(Circuits!R:R,SUMPRODUCT(EXACT($AE23,Circuits!$A:$A)*ROW(Circuits!$A:$A))))</f>
        <v>-</v>
      </c>
      <c r="T23" s="183" t="str">
        <f t="array" ref="T23">IF(ISBLANK($AE23), "-",INDEX(Circuits!S:S,SUMPRODUCT(EXACT($AE23,Circuits!$A:$A)*ROW(Circuits!$A:$A))))</f>
        <v>-</v>
      </c>
      <c r="U23" s="183" t="str">
        <f t="array" ref="U23">IF(ISBLANK($AE23), "-",INDEX(Circuits!T:T,SUMPRODUCT(EXACT($AE23,Circuits!$A:$A)*ROW(Circuits!$A:$A))))</f>
        <v>-</v>
      </c>
      <c r="V23" s="183" t="str">
        <f t="array" ref="V23">IF(ISBLANK($AE23), "-",INDEX(Circuits!U:U,SUMPRODUCT(EXACT($AE23,Circuits!$A:$A)*ROW(Circuits!$A:$A))))</f>
        <v>-</v>
      </c>
      <c r="W23" s="183" t="str">
        <f t="array" ref="W23">IF(ISBLANK($AE23), "-",INDEX(Circuits!V:V,SUMPRODUCT(EXACT($AE23,Circuits!$A:$A)*ROW(Circuits!$A:$A))))</f>
        <v>-</v>
      </c>
      <c r="X23" s="183" t="str">
        <f t="array" ref="X23">IF(ISBLANK($AE23), "-",INDEX(Circuits!W:W,SUMPRODUCT(EXACT($AE23,Circuits!$A:$A)*ROW(Circuits!$A:$A))))</f>
        <v>-</v>
      </c>
      <c r="Y23" s="183" t="str">
        <f t="array" ref="Y23">IF(ISBLANK($AE23), "-",INDEX(Circuits!X:X,SUMPRODUCT(EXACT($AE23,Circuits!$A:$A)*ROW(Circuits!$A:$A))))</f>
        <v>-</v>
      </c>
      <c r="Z23" s="108" t="str">
        <f>IFERROR(__xludf.DUMMYFUNCTION("IFNA(CONCATENATE(UNIQUE(FILTER(Connections!R:R,Connections!A:A=B23))),""-"")"),"-")</f>
        <v>-</v>
      </c>
      <c r="AA23" s="119" t="str">
        <f t="array" ref="AA23">IF(ISBLANK($AE23), "-",INDEX(Circuits!Y:Y,SUMPRODUCT(EXACT($AE23,Circuits!$A:$A)*ROW(Circuits!$A:$A))))</f>
        <v>-</v>
      </c>
      <c r="AB23" s="121" t="str">
        <f t="array" ref="AB23">IF(ISBLANK($AE23), "-",INDEX(Circuits!Z:Z,SUMPRODUCT(EXACT($AE23,Circuits!$A:$A)*ROW(Circuits!$A:$A))))</f>
        <v>-</v>
      </c>
      <c r="AC23" s="193"/>
      <c r="AD23" s="194"/>
      <c r="AE23" s="124"/>
      <c r="AF23" s="38"/>
      <c r="AG23" s="126" t="str">
        <f>IFERROR(__xludf.DUMMYFUNCTION("IF(ISBLANK(AF23), """", TEXTJOIN(CHAR(10),TRUE,ARRAYFORMULA(IF(ISERROR(SEARCH(SPLIT(AF23, "";""), $Z23)), ""x"", ""-""))))"),"")</f>
        <v/>
      </c>
      <c r="AH23" s="127" t="str">
        <f>IFERROR(__xludf.DUMMYFUNCTION("IF(ISBLANK(AK23), """", TEXTJOIN("";"" &amp; CHAR(10), TRUE, UNIQUE(SPLIT(AK23, "";"" &amp; CHAR(10)), TRUE))&amp;"";"")"),"")</f>
        <v/>
      </c>
      <c r="AI23" s="128" t="str">
        <f>IFERROR(__xludf.DUMMYFUNCTION("IF(ISBLANK(AD23), IF(ISBLANK(AE23),,IFNA(TEXTJOIN("";"" &amp; CHAR(10), TRUE, FILTER(AE:AE, SEARCH(AE23&amp;"";"", AJ:AJ)))&amp;"";"", """")), TEXTJOIN("";"" &amp; CHAR(10), TRUE, UNIQUE(SPLIT(AH23 &amp; "";"" &amp; AH23 &amp; "";"" &amp; AL23, "";"" &amp; CHAR(10)), TRUE, TRUE))&amp;"";"")"),"")</f>
        <v/>
      </c>
      <c r="AJ23" s="126" t="str">
        <f>IFERROR(__xludf.DUMMYFUNCTION("IF(AN23="""", """", TEXTJOIN("";"" &amp; CHAR(10), TRUE, UNIQUE(SPLIT(AH23 &amp; "";"" &amp; AH23 &amp; "";"" &amp; AN23, "";"" &amp; CHAR(10)), TRUE, TRUE))&amp;"";"")"),"")</f>
        <v/>
      </c>
      <c r="AK23" s="129" t="str">
        <f>IFERROR(__xludf.DUMMYFUNCTION("IF(ISBLANK(AD23), IF(ISBLANK(AE23),,AE23 &amp; "";""), TEXTJOIN(CHAR(10), TRUE, ARRAYFORMULA(VLOOKUP(SPLIT(AD23, "";"" &amp; CHAR(10)), $AC:$AH, 6, FALSE))))"),"")</f>
        <v/>
      </c>
      <c r="AL23" s="130" t="str">
        <f>IFERROR(__xludf.DUMMYFUNCTION("IF(AM23="""", """", TEXTJOIN("";"" &amp; CHAR(10), TRUE, UNIQUE(SPLIT(AM23, "";"" &amp; CHAR(10)), TRUE))&amp;"";"")"),"")</f>
        <v/>
      </c>
      <c r="AM23" s="130" t="str">
        <f>IFERROR(__xludf.DUMMYFUNCTION("IF(ISBLANK(AD23), """", TEXTJOIN(CHAR(10), TRUE, ARRAYFORMULA(VLOOKUP(SPLIT(AH23, "";"" &amp; CHAR(10)), $AE:$AI, 5, FALSE)), AF23))"),"")</f>
        <v/>
      </c>
      <c r="AN23" s="132" t="str">
        <f>IFERROR(__xludf.DUMMYFUNCTION("IF(ISBLANK(AO23), """", TEXTJOIN("";"" &amp; CHAR(10), TRUE, UNIQUE(SPLIT(AO23, "";"" &amp; CHAR(10)), TRUE))&amp;"";"")"),"")</f>
        <v/>
      </c>
      <c r="AO23" s="134" t="str">
        <f>IFERROR(__xludf.DUMMYFUNCTION("IF(ISBLANK(AD23), AF23, TEXTJOIN(CHAR(10), TRUE, ARRAYFORMULA(VLOOKUP(SPLIT(AD23, "";"" &amp; CHAR(10)), $AC:$AN, 12, FALSE))))"),"")</f>
        <v/>
      </c>
      <c r="AP23" s="130" t="str">
        <f>IF(ISBLANK(AE23),,IF(IFERROR(SEARCH(AE23&amp;";",Circuits!$AO$2),0),TRUE,FALSE))</f>
        <v/>
      </c>
      <c r="AQ23" s="130" t="str">
        <f t="shared" si="2"/>
        <v/>
      </c>
      <c r="AR23" s="130" t="str">
        <f t="shared" si="3"/>
        <v/>
      </c>
      <c r="AS23" s="136" t="str">
        <f>IFERROR(__xludf.DUMMYFUNCTION("IF(AH23="""",,SUM(ARRAYFORMULA(IF(IFERROR(SEARCH(SPLIT(AH23,CHAR(10)),Circuits!$AO$2),0)&gt;0,0,1))))"),"")</f>
        <v/>
      </c>
      <c r="AT23" s="138" t="str">
        <f t="shared" si="4"/>
        <v/>
      </c>
      <c r="AU23" s="138" t="str">
        <f t="shared" si="5"/>
        <v/>
      </c>
      <c r="AV23" s="130" t="str">
        <f>IFERROR(__xludf.DUMMYFUNCTION("IF(AI23="""",,TEXTJOIN("", "",TRUE,ARRAYFORMULA(VLOOKUP(SPLIT(AI23,"";""&amp;CHAR(10)),AE:AT,16,FALSE))))"),"")</f>
        <v/>
      </c>
      <c r="AW23" s="130" t="str">
        <f>IFERROR(__xludf.DUMMYFUNCTION("IF(ISBLANK(BK23),,TEXTJOIN("", "",TRUE,ARRAYFORMULA(VLOOKUP(IFERROR(REGEXEXTRACT(SPLIT(BK23,"";""&amp;CHAR(10)),""\[(.+)\]"")),AE:AT,16,false))))"),"")</f>
        <v/>
      </c>
      <c r="AX23" s="139" t="str">
        <f t="shared" si="6"/>
        <v/>
      </c>
      <c r="AY23" s="139" t="str">
        <f t="shared" si="7"/>
        <v/>
      </c>
      <c r="AZ23" s="106" t="str">
        <f>IFERROR(__xludf.DUMMYFUNCTION("IF(ISBLANK(AD23), BC23, TEXTJOIN(CHAR(10) &amp; CHAR(10), TRUE, ARRAYFORMULA(VLOOKUP(SPLIT(AD23, "";"" &amp; CHAR(10)), $AC:$AY, 23, FALSE))))"),"")</f>
        <v/>
      </c>
      <c r="BA23" s="140" t="s">
        <v>66</v>
      </c>
      <c r="BB23" s="190"/>
      <c r="BC23" s="11"/>
      <c r="BD23" s="106" t="str">
        <f>IFERROR(__xludf.DUMMYFUNCTION("IF(IFERROR(SEARCH(""&lt;&lt;mechanism to realize the capability&gt;&gt;"",BA23),0)=0,
 ""!! Error !! “Capability&amp;Mechanism” column: Invalid Separator:"" &amp; CHAR(10) &amp; ""Insert separator “&lt;&lt;mechanism to realize the capability&gt;&gt;.”"",
 IF(
  LEN(TRIM(CLEAN(
    INDEX(
  "&amp;"    SPLIT(BA23,""&lt;&lt;mechanism to realize the capability&gt;&gt;"",FALSE,FALSE),
      1
    )
  )))=0,
  ""!! Error !! “Capability&amp;Mechanism” column: No Capability:""  &amp; CHAR(10) &amp; ""Describe Capability before separator."",
  INDEX(
    SPLIT(BA23,""&lt;&lt;mechanism "&amp;"to realize the capability&gt;&gt;"",FALSE,FALSE),
    1
  )
 )
)
"),"!! Error !! “Capability&amp;Mechanism” column: No Capability:
Describe Capability before separator.")</f>
        <v>!! Error !! “Capability&amp;Mechanism” column: No Capability:
Describe Capability before separator.</v>
      </c>
      <c r="BE23" s="190"/>
      <c r="BF23" s="195"/>
      <c r="BG23" s="42"/>
      <c r="BH23" s="190"/>
      <c r="BI23" s="196"/>
      <c r="BJ23" s="42"/>
      <c r="BK23" s="42"/>
      <c r="BL23" s="191"/>
      <c r="BM23" s="191"/>
      <c r="BN23" s="42"/>
      <c r="BO23" s="42"/>
      <c r="BP23" s="143"/>
      <c r="BQ23" s="143"/>
      <c r="BR23" s="192"/>
      <c r="BS23" s="192"/>
      <c r="BT23" s="192"/>
      <c r="BU23" s="192"/>
      <c r="BV23" s="192"/>
      <c r="BW23" s="192"/>
      <c r="BX23" s="146" t="str">
        <f t="shared" si="8"/>
        <v/>
      </c>
    </row>
    <row r="24">
      <c r="A24" s="197" t="str">
        <f t="shared" si="1"/>
        <v/>
      </c>
      <c r="B24" s="183" t="str">
        <f t="array" ref="B24">IF(ISBLANK($AE24), "-",INDEX(Circuits!A:A,SUMPRODUCT(EXACT($AE24,Circuits!$A:$A)*ROW(Circuits!$A:$A))))</f>
        <v>-</v>
      </c>
      <c r="C24" s="183" t="str">
        <f t="array" ref="C24">IF(ISBLANK($AE24), "-",INDEX(Circuits!B:B,SUMPRODUCT(EXACT($AE24,Circuits!$A:$A)*ROW(Circuits!$A:$A))))</f>
        <v>-</v>
      </c>
      <c r="D24" s="183" t="str">
        <f t="array" ref="D24">IF(ISBLANK($AE24), "-",INDEX(Circuits!C:C,SUMPRODUCT(EXACT($AE24,Circuits!$A:$A)*ROW(Circuits!$A:$A))))</f>
        <v>-</v>
      </c>
      <c r="E24" s="183" t="str">
        <f t="array" ref="E24">IF(ISBLANK($AE24), "-",INDEX(Circuits!D:D,SUMPRODUCT(EXACT($AE24,Circuits!$A:$A)*ROW(Circuits!$A:$A))))</f>
        <v>-</v>
      </c>
      <c r="F24" s="183" t="str">
        <f t="array" ref="F24">IF(ISBLANK($AE24), "-",INDEX(Circuits!E:E,SUMPRODUCT(EXACT($AE24,Circuits!$A:$A)*ROW(Circuits!$A:$A))))</f>
        <v>-</v>
      </c>
      <c r="G24" s="183" t="str">
        <f t="array" ref="G24">IF(ISBLANK($AE24), "-",INDEX(Circuits!F:F,SUMPRODUCT(EXACT($AE24,Circuits!$A:$A)*ROW(Circuits!$A:$A))))</f>
        <v>-</v>
      </c>
      <c r="H24" s="183" t="str">
        <f t="array" ref="H24">IF(ISBLANK($AE24), "-",INDEX(Circuits!G:G,SUMPRODUCT(EXACT($AE24,Circuits!$A:$A)*ROW(Circuits!$A:$A))))</f>
        <v>-</v>
      </c>
      <c r="I24" s="183" t="str">
        <f t="array" ref="I24">IF(ISBLANK($AE24), "-",INDEX(Circuits!H:H,SUMPRODUCT(EXACT($AE24,Circuits!$A:$A)*ROW(Circuits!$A:$A))))</f>
        <v>-</v>
      </c>
      <c r="J24" s="183" t="str">
        <f t="array" ref="J24">IF(ISBLANK($AE24), "-",INDEX(Circuits!I:I,SUMPRODUCT(EXACT($AE24,Circuits!$A:$A)*ROW(Circuits!$A:$A))))</f>
        <v>-</v>
      </c>
      <c r="K24" s="183" t="str">
        <f t="array" ref="K24">IF(ISBLANK($AE24), "-",INDEX(Circuits!J:J,SUMPRODUCT(EXACT($AE24,Circuits!$A:$A)*ROW(Circuits!$A:$A))))</f>
        <v>-</v>
      </c>
      <c r="L24" s="183" t="str">
        <f t="array" ref="L24">IF(ISBLANK($AE24), "-",INDEX(Circuits!K:K,SUMPRODUCT(EXACT($AE24,Circuits!$A:$A)*ROW(Circuits!$A:$A))))</f>
        <v>-</v>
      </c>
      <c r="M24" s="183" t="str">
        <f t="array" ref="M24">IF(ISBLANK($AE24), "-",INDEX(Circuits!L:L,SUMPRODUCT(EXACT($AE24,Circuits!$A:$A)*ROW(Circuits!$A:$A))))</f>
        <v>-</v>
      </c>
      <c r="N24" s="183" t="str">
        <f t="array" ref="N24">IF(ISBLANK($AE24), "-",INDEX(Circuits!M:M,SUMPRODUCT(EXACT($AE24,Circuits!$A:$A)*ROW(Circuits!$A:$A))))</f>
        <v>-</v>
      </c>
      <c r="O24" s="183" t="str">
        <f t="array" ref="O24">IF(ISBLANK($AE24), "-",INDEX(Circuits!N:N,SUMPRODUCT(EXACT($AE24,Circuits!$A:$A)*ROW(Circuits!$A:$A))))</f>
        <v>-</v>
      </c>
      <c r="P24" s="183" t="str">
        <f t="array" ref="P24">IF(ISBLANK($AE24), "-",INDEX(Circuits!O:O,SUMPRODUCT(EXACT($AE24,Circuits!$A:$A)*ROW(Circuits!$A:$A))))</f>
        <v>-</v>
      </c>
      <c r="Q24" s="183" t="str">
        <f t="array" ref="Q24">IF(ISBLANK($AE24), "-",INDEX(Circuits!P:P,SUMPRODUCT(EXACT($AE24,Circuits!$A:$A)*ROW(Circuits!$A:$A))))</f>
        <v>-</v>
      </c>
      <c r="R24" s="183" t="str">
        <f t="array" ref="R24">IF(ISBLANK($AE24), "-",INDEX(Circuits!Q:Q,SUMPRODUCT(EXACT($AE24,Circuits!$A:$A)*ROW(Circuits!$A:$A))))</f>
        <v>-</v>
      </c>
      <c r="S24" s="183" t="str">
        <f t="array" ref="S24">IF(ISBLANK($AE24), "-",INDEX(Circuits!R:R,SUMPRODUCT(EXACT($AE24,Circuits!$A:$A)*ROW(Circuits!$A:$A))))</f>
        <v>-</v>
      </c>
      <c r="T24" s="183" t="str">
        <f t="array" ref="T24">IF(ISBLANK($AE24), "-",INDEX(Circuits!S:S,SUMPRODUCT(EXACT($AE24,Circuits!$A:$A)*ROW(Circuits!$A:$A))))</f>
        <v>-</v>
      </c>
      <c r="U24" s="183" t="str">
        <f t="array" ref="U24">IF(ISBLANK($AE24), "-",INDEX(Circuits!T:T,SUMPRODUCT(EXACT($AE24,Circuits!$A:$A)*ROW(Circuits!$A:$A))))</f>
        <v>-</v>
      </c>
      <c r="V24" s="183" t="str">
        <f t="array" ref="V24">IF(ISBLANK($AE24), "-",INDEX(Circuits!U:U,SUMPRODUCT(EXACT($AE24,Circuits!$A:$A)*ROW(Circuits!$A:$A))))</f>
        <v>-</v>
      </c>
      <c r="W24" s="183" t="str">
        <f t="array" ref="W24">IF(ISBLANK($AE24), "-",INDEX(Circuits!V:V,SUMPRODUCT(EXACT($AE24,Circuits!$A:$A)*ROW(Circuits!$A:$A))))</f>
        <v>-</v>
      </c>
      <c r="X24" s="183" t="str">
        <f t="array" ref="X24">IF(ISBLANK($AE24), "-",INDEX(Circuits!W:W,SUMPRODUCT(EXACT($AE24,Circuits!$A:$A)*ROW(Circuits!$A:$A))))</f>
        <v>-</v>
      </c>
      <c r="Y24" s="183" t="str">
        <f t="array" ref="Y24">IF(ISBLANK($AE24), "-",INDEX(Circuits!X:X,SUMPRODUCT(EXACT($AE24,Circuits!$A:$A)*ROW(Circuits!$A:$A))))</f>
        <v>-</v>
      </c>
      <c r="Z24" s="108" t="str">
        <f>IFERROR(__xludf.DUMMYFUNCTION("IFNA(CONCATENATE(UNIQUE(FILTER(Connections!R:R,Connections!A:A=B24))),""-"")"),"-")</f>
        <v>-</v>
      </c>
      <c r="AA24" s="119" t="str">
        <f t="array" ref="AA24">IF(ISBLANK($AE24), "-",INDEX(Circuits!Y:Y,SUMPRODUCT(EXACT($AE24,Circuits!$A:$A)*ROW(Circuits!$A:$A))))</f>
        <v>-</v>
      </c>
      <c r="AB24" s="121" t="str">
        <f t="array" ref="AB24">IF(ISBLANK($AE24), "-",INDEX(Circuits!Z:Z,SUMPRODUCT(EXACT($AE24,Circuits!$A:$A)*ROW(Circuits!$A:$A))))</f>
        <v>-</v>
      </c>
      <c r="AC24" s="198"/>
      <c r="AD24" s="194"/>
      <c r="AE24" s="124"/>
      <c r="AF24" s="38"/>
      <c r="AG24" s="126" t="str">
        <f>IFERROR(__xludf.DUMMYFUNCTION("IF(ISBLANK(AF24), """", TEXTJOIN(CHAR(10),TRUE,ARRAYFORMULA(IF(ISERROR(SEARCH(SPLIT(AF24, "";""), $Z24)), ""x"", ""-""))))"),"")</f>
        <v/>
      </c>
      <c r="AH24" s="127" t="str">
        <f>IFERROR(__xludf.DUMMYFUNCTION("IF(ISBLANK(AK24), """", TEXTJOIN("";"" &amp; CHAR(10), TRUE, UNIQUE(SPLIT(AK24, "";"" &amp; CHAR(10)), TRUE))&amp;"";"")"),"")</f>
        <v/>
      </c>
      <c r="AI24" s="128" t="str">
        <f>IFERROR(__xludf.DUMMYFUNCTION("IF(ISBLANK(AD24), IF(ISBLANK(AE24),,IFNA(TEXTJOIN("";"" &amp; CHAR(10), TRUE, FILTER(AE:AE, SEARCH(AE24&amp;"";"", AJ:AJ)))&amp;"";"", """")), TEXTJOIN("";"" &amp; CHAR(10), TRUE, UNIQUE(SPLIT(AH24 &amp; "";"" &amp; AH24 &amp; "";"" &amp; AL24, "";"" &amp; CHAR(10)), TRUE, TRUE))&amp;"";"")"),"")</f>
        <v/>
      </c>
      <c r="AJ24" s="126" t="str">
        <f>IFERROR(__xludf.DUMMYFUNCTION("IF(AN24="""", """", TEXTJOIN("";"" &amp; CHAR(10), TRUE, UNIQUE(SPLIT(AH24 &amp; "";"" &amp; AH24 &amp; "";"" &amp; AN24, "";"" &amp; CHAR(10)), TRUE, TRUE))&amp;"";"")"),"")</f>
        <v/>
      </c>
      <c r="AK24" s="129" t="str">
        <f>IFERROR(__xludf.DUMMYFUNCTION("IF(ISBLANK(AD24), IF(ISBLANK(AE24),,AE24 &amp; "";""), TEXTJOIN(CHAR(10), TRUE, ARRAYFORMULA(VLOOKUP(SPLIT(AD24, "";"" &amp; CHAR(10)), $AC:$AH, 6, FALSE))))"),"")</f>
        <v/>
      </c>
      <c r="AL24" s="130" t="str">
        <f>IFERROR(__xludf.DUMMYFUNCTION("IF(AM24="""", """", TEXTJOIN("";"" &amp; CHAR(10), TRUE, UNIQUE(SPLIT(AM24, "";"" &amp; CHAR(10)), TRUE))&amp;"";"")"),"")</f>
        <v/>
      </c>
      <c r="AM24" s="130" t="str">
        <f>IFERROR(__xludf.DUMMYFUNCTION("IF(ISBLANK(AD24), """", TEXTJOIN(CHAR(10), TRUE, ARRAYFORMULA(VLOOKUP(SPLIT(AH24, "";"" &amp; CHAR(10)), $AE:$AI, 5, FALSE)), AF24))"),"")</f>
        <v/>
      </c>
      <c r="AN24" s="132" t="str">
        <f>IFERROR(__xludf.DUMMYFUNCTION("IF(ISBLANK(AO24), """", TEXTJOIN("";"" &amp; CHAR(10), TRUE, UNIQUE(SPLIT(AO24, "";"" &amp; CHAR(10)), TRUE))&amp;"";"")"),"")</f>
        <v/>
      </c>
      <c r="AO24" s="134" t="str">
        <f>IFERROR(__xludf.DUMMYFUNCTION("IF(ISBLANK(AD24), AF24, TEXTJOIN(CHAR(10), TRUE, ARRAYFORMULA(VLOOKUP(SPLIT(AD24, "";"" &amp; CHAR(10)), $AC:$AN, 12, FALSE))))"),"")</f>
        <v/>
      </c>
      <c r="AP24" s="130" t="str">
        <f>IF(ISBLANK(AE24),,IF(IFERROR(SEARCH(AE24&amp;";",Circuits!$AO$2),0),TRUE,FALSE))</f>
        <v/>
      </c>
      <c r="AQ24" s="130" t="str">
        <f t="shared" si="2"/>
        <v/>
      </c>
      <c r="AR24" s="130" t="str">
        <f t="shared" si="3"/>
        <v/>
      </c>
      <c r="AS24" s="136" t="str">
        <f>IFERROR(__xludf.DUMMYFUNCTION("IF(AH24="""",,SUM(ARRAYFORMULA(IF(IFERROR(SEARCH(SPLIT(AH24,CHAR(10)),Circuits!$AO$2),0)&gt;0,0,1))))"),"")</f>
        <v/>
      </c>
      <c r="AT24" s="138" t="str">
        <f t="shared" si="4"/>
        <v/>
      </c>
      <c r="AU24" s="138" t="str">
        <f t="shared" si="5"/>
        <v/>
      </c>
      <c r="AV24" s="130" t="str">
        <f>IFERROR(__xludf.DUMMYFUNCTION("IF(AI24="""",,TEXTJOIN("", "",TRUE,ARRAYFORMULA(VLOOKUP(SPLIT(AI24,"";""&amp;CHAR(10)),AE:AT,16,FALSE))))"),"")</f>
        <v/>
      </c>
      <c r="AW24" s="130" t="str">
        <f>IFERROR(__xludf.DUMMYFUNCTION("IF(ISBLANK(BK24),,TEXTJOIN("", "",TRUE,ARRAYFORMULA(VLOOKUP(IFERROR(REGEXEXTRACT(SPLIT(BK24,"";""&amp;CHAR(10)),""\[(.+)\]"")),AE:AT,16,false))))"),"")</f>
        <v/>
      </c>
      <c r="AX24" s="139" t="str">
        <f t="shared" si="6"/>
        <v/>
      </c>
      <c r="AY24" s="139" t="str">
        <f t="shared" si="7"/>
        <v/>
      </c>
      <c r="AZ24" s="106" t="str">
        <f>IFERROR(__xludf.DUMMYFUNCTION("IF(ISBLANK(AD24), BC24, TEXTJOIN(CHAR(10) &amp; CHAR(10), TRUE, ARRAYFORMULA(VLOOKUP(SPLIT(AD24, "";"" &amp; CHAR(10)), $AC:$AY, 23, FALSE))))"),"")</f>
        <v/>
      </c>
      <c r="BA24" s="140" t="s">
        <v>66</v>
      </c>
      <c r="BB24" s="190"/>
      <c r="BC24" s="11"/>
      <c r="BD24" s="106" t="str">
        <f>IFERROR(__xludf.DUMMYFUNCTION("IF(IFERROR(SEARCH(""&lt;&lt;mechanism to realize the capability&gt;&gt;"",BA24),0)=0,
 ""!! Error !! “Capability&amp;Mechanism” column: Invalid Separator:"" &amp; CHAR(10) &amp; ""Insert separator “&lt;&lt;mechanism to realize the capability&gt;&gt;.”"",
 IF(
  LEN(TRIM(CLEAN(
    INDEX(
  "&amp;"    SPLIT(BA24,""&lt;&lt;mechanism to realize the capability&gt;&gt;"",FALSE,FALSE),
      1
    )
  )))=0,
  ""!! Error !! “Capability&amp;Mechanism” column: No Capability:""  &amp; CHAR(10) &amp; ""Describe Capability before separator."",
  INDEX(
    SPLIT(BA24,""&lt;&lt;mechanism "&amp;"to realize the capability&gt;&gt;"",FALSE,FALSE),
    1
  )
 )
)
"),"!! Error !! “Capability&amp;Mechanism” column: No Capability:
Describe Capability before separator.")</f>
        <v>!! Error !! “Capability&amp;Mechanism” column: No Capability:
Describe Capability before separator.</v>
      </c>
      <c r="BE24" s="190"/>
      <c r="BF24" s="185"/>
      <c r="BG24" s="38"/>
      <c r="BH24" s="190"/>
      <c r="BI24" s="196"/>
      <c r="BJ24" s="38"/>
      <c r="BK24" s="38"/>
      <c r="BL24" s="191"/>
      <c r="BM24" s="191"/>
      <c r="BN24" s="38"/>
      <c r="BO24" s="38"/>
      <c r="BP24" s="143"/>
      <c r="BQ24" s="143"/>
      <c r="BR24" s="192"/>
      <c r="BS24" s="192"/>
      <c r="BT24" s="192"/>
      <c r="BU24" s="192"/>
      <c r="BV24" s="192"/>
      <c r="BW24" s="192"/>
      <c r="BX24" s="146" t="str">
        <f t="shared" si="8"/>
        <v/>
      </c>
    </row>
    <row r="25">
      <c r="A25" s="106" t="str">
        <f t="shared" si="1"/>
        <v/>
      </c>
      <c r="B25" s="183" t="str">
        <f t="array" ref="B25">IF(ISBLANK($AE25), "-",INDEX(Circuits!A:A,SUMPRODUCT(EXACT($AE25,Circuits!$A:$A)*ROW(Circuits!$A:$A))))</f>
        <v>-</v>
      </c>
      <c r="C25" s="183" t="str">
        <f t="array" ref="C25">IF(ISBLANK($AE25), "-",INDEX(Circuits!B:B,SUMPRODUCT(EXACT($AE25,Circuits!$A:$A)*ROW(Circuits!$A:$A))))</f>
        <v>-</v>
      </c>
      <c r="D25" s="183" t="str">
        <f t="array" ref="D25">IF(ISBLANK($AE25), "-",INDEX(Circuits!C:C,SUMPRODUCT(EXACT($AE25,Circuits!$A:$A)*ROW(Circuits!$A:$A))))</f>
        <v>-</v>
      </c>
      <c r="E25" s="183" t="str">
        <f t="array" ref="E25">IF(ISBLANK($AE25), "-",INDEX(Circuits!D:D,SUMPRODUCT(EXACT($AE25,Circuits!$A:$A)*ROW(Circuits!$A:$A))))</f>
        <v>-</v>
      </c>
      <c r="F25" s="183" t="str">
        <f t="array" ref="F25">IF(ISBLANK($AE25), "-",INDEX(Circuits!E:E,SUMPRODUCT(EXACT($AE25,Circuits!$A:$A)*ROW(Circuits!$A:$A))))</f>
        <v>-</v>
      </c>
      <c r="G25" s="183" t="str">
        <f t="array" ref="G25">IF(ISBLANK($AE25), "-",INDEX(Circuits!F:F,SUMPRODUCT(EXACT($AE25,Circuits!$A:$A)*ROW(Circuits!$A:$A))))</f>
        <v>-</v>
      </c>
      <c r="H25" s="183" t="str">
        <f t="array" ref="H25">IF(ISBLANK($AE25), "-",INDEX(Circuits!G:G,SUMPRODUCT(EXACT($AE25,Circuits!$A:$A)*ROW(Circuits!$A:$A))))</f>
        <v>-</v>
      </c>
      <c r="I25" s="183" t="str">
        <f t="array" ref="I25">IF(ISBLANK($AE25), "-",INDEX(Circuits!H:H,SUMPRODUCT(EXACT($AE25,Circuits!$A:$A)*ROW(Circuits!$A:$A))))</f>
        <v>-</v>
      </c>
      <c r="J25" s="183" t="str">
        <f t="array" ref="J25">IF(ISBLANK($AE25), "-",INDEX(Circuits!I:I,SUMPRODUCT(EXACT($AE25,Circuits!$A:$A)*ROW(Circuits!$A:$A))))</f>
        <v>-</v>
      </c>
      <c r="K25" s="183" t="str">
        <f t="array" ref="K25">IF(ISBLANK($AE25), "-",INDEX(Circuits!J:J,SUMPRODUCT(EXACT($AE25,Circuits!$A:$A)*ROW(Circuits!$A:$A))))</f>
        <v>-</v>
      </c>
      <c r="L25" s="183" t="str">
        <f t="array" ref="L25">IF(ISBLANK($AE25), "-",INDEX(Circuits!K:K,SUMPRODUCT(EXACT($AE25,Circuits!$A:$A)*ROW(Circuits!$A:$A))))</f>
        <v>-</v>
      </c>
      <c r="M25" s="183" t="str">
        <f t="array" ref="M25">IF(ISBLANK($AE25), "-",INDEX(Circuits!L:L,SUMPRODUCT(EXACT($AE25,Circuits!$A:$A)*ROW(Circuits!$A:$A))))</f>
        <v>-</v>
      </c>
      <c r="N25" s="183" t="str">
        <f t="array" ref="N25">IF(ISBLANK($AE25), "-",INDEX(Circuits!M:M,SUMPRODUCT(EXACT($AE25,Circuits!$A:$A)*ROW(Circuits!$A:$A))))</f>
        <v>-</v>
      </c>
      <c r="O25" s="183" t="str">
        <f t="array" ref="O25">IF(ISBLANK($AE25), "-",INDEX(Circuits!N:N,SUMPRODUCT(EXACT($AE25,Circuits!$A:$A)*ROW(Circuits!$A:$A))))</f>
        <v>-</v>
      </c>
      <c r="P25" s="183" t="str">
        <f t="array" ref="P25">IF(ISBLANK($AE25), "-",INDEX(Circuits!O:O,SUMPRODUCT(EXACT($AE25,Circuits!$A:$A)*ROW(Circuits!$A:$A))))</f>
        <v>-</v>
      </c>
      <c r="Q25" s="183" t="str">
        <f t="array" ref="Q25">IF(ISBLANK($AE25), "-",INDEX(Circuits!P:P,SUMPRODUCT(EXACT($AE25,Circuits!$A:$A)*ROW(Circuits!$A:$A))))</f>
        <v>-</v>
      </c>
      <c r="R25" s="183" t="str">
        <f t="array" ref="R25">IF(ISBLANK($AE25), "-",INDEX(Circuits!Q:Q,SUMPRODUCT(EXACT($AE25,Circuits!$A:$A)*ROW(Circuits!$A:$A))))</f>
        <v>-</v>
      </c>
      <c r="S25" s="183" t="str">
        <f t="array" ref="S25">IF(ISBLANK($AE25), "-",INDEX(Circuits!R:R,SUMPRODUCT(EXACT($AE25,Circuits!$A:$A)*ROW(Circuits!$A:$A))))</f>
        <v>-</v>
      </c>
      <c r="T25" s="183" t="str">
        <f t="array" ref="T25">IF(ISBLANK($AE25), "-",INDEX(Circuits!S:S,SUMPRODUCT(EXACT($AE25,Circuits!$A:$A)*ROW(Circuits!$A:$A))))</f>
        <v>-</v>
      </c>
      <c r="U25" s="183" t="str">
        <f t="array" ref="U25">IF(ISBLANK($AE25), "-",INDEX(Circuits!T:T,SUMPRODUCT(EXACT($AE25,Circuits!$A:$A)*ROW(Circuits!$A:$A))))</f>
        <v>-</v>
      </c>
      <c r="V25" s="183" t="str">
        <f t="array" ref="V25">IF(ISBLANK($AE25), "-",INDEX(Circuits!U:U,SUMPRODUCT(EXACT($AE25,Circuits!$A:$A)*ROW(Circuits!$A:$A))))</f>
        <v>-</v>
      </c>
      <c r="W25" s="183" t="str">
        <f t="array" ref="W25">IF(ISBLANK($AE25), "-",INDEX(Circuits!V:V,SUMPRODUCT(EXACT($AE25,Circuits!$A:$A)*ROW(Circuits!$A:$A))))</f>
        <v>-</v>
      </c>
      <c r="X25" s="183" t="str">
        <f t="array" ref="X25">IF(ISBLANK($AE25), "-",INDEX(Circuits!W:W,SUMPRODUCT(EXACT($AE25,Circuits!$A:$A)*ROW(Circuits!$A:$A))))</f>
        <v>-</v>
      </c>
      <c r="Y25" s="183" t="str">
        <f t="array" ref="Y25">IF(ISBLANK($AE25), "-",INDEX(Circuits!X:X,SUMPRODUCT(EXACT($AE25,Circuits!$A:$A)*ROW(Circuits!$A:$A))))</f>
        <v>-</v>
      </c>
      <c r="Z25" s="108" t="str">
        <f>IFERROR(__xludf.DUMMYFUNCTION("IFNA(CONCATENATE(UNIQUE(FILTER(Connections!R:R,Connections!A:A=B25))),""-"")"),"-")</f>
        <v>-</v>
      </c>
      <c r="AA25" s="119" t="str">
        <f t="array" ref="AA25">IF(ISBLANK($AE25), "-",INDEX(Circuits!Y:Y,SUMPRODUCT(EXACT($AE25,Circuits!$A:$A)*ROW(Circuits!$A:$A))))</f>
        <v>-</v>
      </c>
      <c r="AB25" s="121" t="str">
        <f t="array" ref="AB25">IF(ISBLANK($AE25), "-",INDEX(Circuits!Z:Z,SUMPRODUCT(EXACT($AE25,Circuits!$A:$A)*ROW(Circuits!$A:$A))))</f>
        <v>-</v>
      </c>
      <c r="AC25" s="194"/>
      <c r="AD25" s="194"/>
      <c r="AE25" s="40"/>
      <c r="AF25" s="38"/>
      <c r="AG25" s="126" t="str">
        <f>IFERROR(__xludf.DUMMYFUNCTION("IF(ISBLANK(AF25), """", TEXTJOIN(CHAR(10),TRUE,ARRAYFORMULA(IF(ISERROR(SEARCH(SPLIT(AF25, "";""), $Z25)), ""x"", ""-""))))"),"")</f>
        <v/>
      </c>
      <c r="AH25" s="127" t="str">
        <f>IFERROR(__xludf.DUMMYFUNCTION("IF(ISBLANK(AK25), """", TEXTJOIN("";"" &amp; CHAR(10), TRUE, UNIQUE(SPLIT(AK25, "";"" &amp; CHAR(10)), TRUE))&amp;"";"")"),"")</f>
        <v/>
      </c>
      <c r="AI25" s="128" t="str">
        <f>IFERROR(__xludf.DUMMYFUNCTION("IF(ISBLANK(AD25), IF(ISBLANK(AE25),,IFNA(TEXTJOIN("";"" &amp; CHAR(10), TRUE, FILTER(AE:AE, SEARCH(AE25&amp;"";"", AJ:AJ)))&amp;"";"", """")), TEXTJOIN("";"" &amp; CHAR(10), TRUE, UNIQUE(SPLIT(AH25 &amp; "";"" &amp; AH25 &amp; "";"" &amp; AL25, "";"" &amp; CHAR(10)), TRUE, TRUE))&amp;"";"")"),"")</f>
        <v/>
      </c>
      <c r="AJ25" s="126" t="str">
        <f>IFERROR(__xludf.DUMMYFUNCTION("IF(AN25="""", """", TEXTJOIN("";"" &amp; CHAR(10), TRUE, UNIQUE(SPLIT(AH25 &amp; "";"" &amp; AH25 &amp; "";"" &amp; AN25, "";"" &amp; CHAR(10)), TRUE, TRUE))&amp;"";"")"),"")</f>
        <v/>
      </c>
      <c r="AK25" s="129" t="str">
        <f>IFERROR(__xludf.DUMMYFUNCTION("IF(ISBLANK(AD25), IF(ISBLANK(AE25),,AE25 &amp; "";""), TEXTJOIN(CHAR(10), TRUE, ARRAYFORMULA(VLOOKUP(SPLIT(AD25, "";"" &amp; CHAR(10)), $AC:$AH, 6, FALSE))))"),"")</f>
        <v/>
      </c>
      <c r="AL25" s="130" t="str">
        <f>IFERROR(__xludf.DUMMYFUNCTION("IF(AM25="""", """", TEXTJOIN("";"" &amp; CHAR(10), TRUE, UNIQUE(SPLIT(AM25, "";"" &amp; CHAR(10)), TRUE))&amp;"";"")"),"")</f>
        <v/>
      </c>
      <c r="AM25" s="130" t="str">
        <f>IFERROR(__xludf.DUMMYFUNCTION("IF(ISBLANK(AD25), """", TEXTJOIN(CHAR(10), TRUE, ARRAYFORMULA(VLOOKUP(SPLIT(AH25, "";"" &amp; CHAR(10)), $AE:$AI, 5, FALSE)), AF25))"),"")</f>
        <v/>
      </c>
      <c r="AN25" s="132" t="str">
        <f>IFERROR(__xludf.DUMMYFUNCTION("IF(ISBLANK(AO25), """", TEXTJOIN("";"" &amp; CHAR(10), TRUE, UNIQUE(SPLIT(AO25, "";"" &amp; CHAR(10)), TRUE))&amp;"";"")"),"")</f>
        <v/>
      </c>
      <c r="AO25" s="134" t="str">
        <f>IFERROR(__xludf.DUMMYFUNCTION("IF(ISBLANK(AD25), AF25, TEXTJOIN(CHAR(10), TRUE, ARRAYFORMULA(VLOOKUP(SPLIT(AD25, "";"" &amp; CHAR(10)), $AC:$AN, 12, FALSE))))"),"")</f>
        <v/>
      </c>
      <c r="AP25" s="130" t="str">
        <f>IF(ISBLANK(AE25),,IF(IFERROR(SEARCH(AE25&amp;";",Circuits!$AO$2),0),TRUE,FALSE))</f>
        <v/>
      </c>
      <c r="AQ25" s="130" t="str">
        <f t="shared" si="2"/>
        <v/>
      </c>
      <c r="AR25" s="130" t="str">
        <f t="shared" si="3"/>
        <v/>
      </c>
      <c r="AS25" s="136" t="str">
        <f>IFERROR(__xludf.DUMMYFUNCTION("IF(AH25="""",,SUM(ARRAYFORMULA(IF(IFERROR(SEARCH(SPLIT(AH25,CHAR(10)),Circuits!$AO$2),0)&gt;0,0,1))))"),"")</f>
        <v/>
      </c>
      <c r="AT25" s="138" t="str">
        <f t="shared" si="4"/>
        <v/>
      </c>
      <c r="AU25" s="138" t="str">
        <f t="shared" si="5"/>
        <v/>
      </c>
      <c r="AV25" s="130" t="str">
        <f>IFERROR(__xludf.DUMMYFUNCTION("IF(AI25="""",,TEXTJOIN("", "",TRUE,ARRAYFORMULA(VLOOKUP(SPLIT(AI25,"";""&amp;CHAR(10)),AE:AT,16,FALSE))))"),"")</f>
        <v/>
      </c>
      <c r="AW25" s="130" t="str">
        <f>IFERROR(__xludf.DUMMYFUNCTION("IF(ISBLANK(BK25),,TEXTJOIN("", "",TRUE,ARRAYFORMULA(VLOOKUP(IFERROR(REGEXEXTRACT(SPLIT(BK25,"";""&amp;CHAR(10)),""\[(.+)\]"")),AE:AT,16,false))))"),"")</f>
        <v/>
      </c>
      <c r="AX25" s="139" t="str">
        <f t="shared" si="6"/>
        <v/>
      </c>
      <c r="AY25" s="139" t="str">
        <f t="shared" si="7"/>
        <v/>
      </c>
      <c r="AZ25" s="106" t="str">
        <f>IFERROR(__xludf.DUMMYFUNCTION("IF(ISBLANK(AD25), BC25, TEXTJOIN(CHAR(10) &amp; CHAR(10), TRUE, ARRAYFORMULA(VLOOKUP(SPLIT(AD25, "";"" &amp; CHAR(10)), $AC:$AY, 23, FALSE))))"),"")</f>
        <v/>
      </c>
      <c r="BA25" s="140" t="s">
        <v>66</v>
      </c>
      <c r="BB25" s="190"/>
      <c r="BC25" s="196"/>
      <c r="BD25" s="106" t="str">
        <f>IFERROR(__xludf.DUMMYFUNCTION("IF(IFERROR(SEARCH(""&lt;&lt;mechanism to realize the capability&gt;&gt;"",BA25),0)=0,
 ""!! Error !! “Capability&amp;Mechanism” column: Invalid Separator:"" &amp; CHAR(10) &amp; ""Insert separator “&lt;&lt;mechanism to realize the capability&gt;&gt;.”"",
 IF(
  LEN(TRIM(CLEAN(
    INDEX(
  "&amp;"    SPLIT(BA25,""&lt;&lt;mechanism to realize the capability&gt;&gt;"",FALSE,FALSE),
      1
    )
  )))=0,
  ""!! Error !! “Capability&amp;Mechanism” column: No Capability:""  &amp; CHAR(10) &amp; ""Describe Capability before separator."",
  INDEX(
    SPLIT(BA25,""&lt;&lt;mechanism "&amp;"to realize the capability&gt;&gt;"",FALSE,FALSE),
    1
  )
 )
)
"),"!! Error !! “Capability&amp;Mechanism” column: No Capability:
Describe Capability before separator.")</f>
        <v>!! Error !! “Capability&amp;Mechanism” column: No Capability:
Describe Capability before separator.</v>
      </c>
      <c r="BE25" s="190"/>
      <c r="BF25" s="199"/>
      <c r="BG25" s="154"/>
      <c r="BH25" s="190"/>
      <c r="BI25" s="196"/>
      <c r="BJ25" s="154"/>
      <c r="BK25" s="154"/>
      <c r="BL25" s="191"/>
      <c r="BM25" s="191"/>
      <c r="BN25" s="154"/>
      <c r="BO25" s="154"/>
      <c r="BP25" s="143"/>
      <c r="BQ25" s="143"/>
      <c r="BR25" s="192"/>
      <c r="BS25" s="192"/>
      <c r="BT25" s="192"/>
      <c r="BU25" s="192"/>
      <c r="BV25" s="192"/>
      <c r="BW25" s="192"/>
      <c r="BX25" s="146" t="str">
        <f t="shared" si="8"/>
        <v/>
      </c>
    </row>
    <row r="26">
      <c r="A26" s="106" t="str">
        <f t="shared" si="1"/>
        <v/>
      </c>
      <c r="B26" s="183" t="str">
        <f t="array" ref="B26">IF(ISBLANK($AE26), "-",INDEX(Circuits!A:A,SUMPRODUCT(EXACT($AE26,Circuits!$A:$A)*ROW(Circuits!$A:$A))))</f>
        <v>-</v>
      </c>
      <c r="C26" s="183" t="str">
        <f t="array" ref="C26">IF(ISBLANK($AE26), "-",INDEX(Circuits!B:B,SUMPRODUCT(EXACT($AE26,Circuits!$A:$A)*ROW(Circuits!$A:$A))))</f>
        <v>-</v>
      </c>
      <c r="D26" s="183" t="str">
        <f t="array" ref="D26">IF(ISBLANK($AE26), "-",INDEX(Circuits!C:C,SUMPRODUCT(EXACT($AE26,Circuits!$A:$A)*ROW(Circuits!$A:$A))))</f>
        <v>-</v>
      </c>
      <c r="E26" s="183" t="str">
        <f t="array" ref="E26">IF(ISBLANK($AE26), "-",INDEX(Circuits!D:D,SUMPRODUCT(EXACT($AE26,Circuits!$A:$A)*ROW(Circuits!$A:$A))))</f>
        <v>-</v>
      </c>
      <c r="F26" s="183" t="str">
        <f t="array" ref="F26">IF(ISBLANK($AE26), "-",INDEX(Circuits!E:E,SUMPRODUCT(EXACT($AE26,Circuits!$A:$A)*ROW(Circuits!$A:$A))))</f>
        <v>-</v>
      </c>
      <c r="G26" s="183" t="str">
        <f t="array" ref="G26">IF(ISBLANK($AE26), "-",INDEX(Circuits!F:F,SUMPRODUCT(EXACT($AE26,Circuits!$A:$A)*ROW(Circuits!$A:$A))))</f>
        <v>-</v>
      </c>
      <c r="H26" s="183" t="str">
        <f t="array" ref="H26">IF(ISBLANK($AE26), "-",INDEX(Circuits!G:G,SUMPRODUCT(EXACT($AE26,Circuits!$A:$A)*ROW(Circuits!$A:$A))))</f>
        <v>-</v>
      </c>
      <c r="I26" s="183" t="str">
        <f t="array" ref="I26">IF(ISBLANK($AE26), "-",INDEX(Circuits!H:H,SUMPRODUCT(EXACT($AE26,Circuits!$A:$A)*ROW(Circuits!$A:$A))))</f>
        <v>-</v>
      </c>
      <c r="J26" s="183" t="str">
        <f t="array" ref="J26">IF(ISBLANK($AE26), "-",INDEX(Circuits!I:I,SUMPRODUCT(EXACT($AE26,Circuits!$A:$A)*ROW(Circuits!$A:$A))))</f>
        <v>-</v>
      </c>
      <c r="K26" s="183" t="str">
        <f t="array" ref="K26">IF(ISBLANK($AE26), "-",INDEX(Circuits!J:J,SUMPRODUCT(EXACT($AE26,Circuits!$A:$A)*ROW(Circuits!$A:$A))))</f>
        <v>-</v>
      </c>
      <c r="L26" s="183" t="str">
        <f t="array" ref="L26">IF(ISBLANK($AE26), "-",INDEX(Circuits!K:K,SUMPRODUCT(EXACT($AE26,Circuits!$A:$A)*ROW(Circuits!$A:$A))))</f>
        <v>-</v>
      </c>
      <c r="M26" s="183" t="str">
        <f t="array" ref="M26">IF(ISBLANK($AE26), "-",INDEX(Circuits!L:L,SUMPRODUCT(EXACT($AE26,Circuits!$A:$A)*ROW(Circuits!$A:$A))))</f>
        <v>-</v>
      </c>
      <c r="N26" s="183" t="str">
        <f t="array" ref="N26">IF(ISBLANK($AE26), "-",INDEX(Circuits!M:M,SUMPRODUCT(EXACT($AE26,Circuits!$A:$A)*ROW(Circuits!$A:$A))))</f>
        <v>-</v>
      </c>
      <c r="O26" s="183" t="str">
        <f t="array" ref="O26">IF(ISBLANK($AE26), "-",INDEX(Circuits!N:N,SUMPRODUCT(EXACT($AE26,Circuits!$A:$A)*ROW(Circuits!$A:$A))))</f>
        <v>-</v>
      </c>
      <c r="P26" s="183" t="str">
        <f t="array" ref="P26">IF(ISBLANK($AE26), "-",INDEX(Circuits!O:O,SUMPRODUCT(EXACT($AE26,Circuits!$A:$A)*ROW(Circuits!$A:$A))))</f>
        <v>-</v>
      </c>
      <c r="Q26" s="183" t="str">
        <f t="array" ref="Q26">IF(ISBLANK($AE26), "-",INDEX(Circuits!P:P,SUMPRODUCT(EXACT($AE26,Circuits!$A:$A)*ROW(Circuits!$A:$A))))</f>
        <v>-</v>
      </c>
      <c r="R26" s="183" t="str">
        <f t="array" ref="R26">IF(ISBLANK($AE26), "-",INDEX(Circuits!Q:Q,SUMPRODUCT(EXACT($AE26,Circuits!$A:$A)*ROW(Circuits!$A:$A))))</f>
        <v>-</v>
      </c>
      <c r="S26" s="183" t="str">
        <f t="array" ref="S26">IF(ISBLANK($AE26), "-",INDEX(Circuits!R:R,SUMPRODUCT(EXACT($AE26,Circuits!$A:$A)*ROW(Circuits!$A:$A))))</f>
        <v>-</v>
      </c>
      <c r="T26" s="183" t="str">
        <f t="array" ref="T26">IF(ISBLANK($AE26), "-",INDEX(Circuits!S:S,SUMPRODUCT(EXACT($AE26,Circuits!$A:$A)*ROW(Circuits!$A:$A))))</f>
        <v>-</v>
      </c>
      <c r="U26" s="183" t="str">
        <f t="array" ref="U26">IF(ISBLANK($AE26), "-",INDEX(Circuits!T:T,SUMPRODUCT(EXACT($AE26,Circuits!$A:$A)*ROW(Circuits!$A:$A))))</f>
        <v>-</v>
      </c>
      <c r="V26" s="183" t="str">
        <f t="array" ref="V26">IF(ISBLANK($AE26), "-",INDEX(Circuits!U:U,SUMPRODUCT(EXACT($AE26,Circuits!$A:$A)*ROW(Circuits!$A:$A))))</f>
        <v>-</v>
      </c>
      <c r="W26" s="183" t="str">
        <f t="array" ref="W26">IF(ISBLANK($AE26), "-",INDEX(Circuits!V:V,SUMPRODUCT(EXACT($AE26,Circuits!$A:$A)*ROW(Circuits!$A:$A))))</f>
        <v>-</v>
      </c>
      <c r="X26" s="183" t="str">
        <f t="array" ref="X26">IF(ISBLANK($AE26), "-",INDEX(Circuits!W:W,SUMPRODUCT(EXACT($AE26,Circuits!$A:$A)*ROW(Circuits!$A:$A))))</f>
        <v>-</v>
      </c>
      <c r="Y26" s="183" t="str">
        <f t="array" ref="Y26">IF(ISBLANK($AE26), "-",INDEX(Circuits!X:X,SUMPRODUCT(EXACT($AE26,Circuits!$A:$A)*ROW(Circuits!$A:$A))))</f>
        <v>-</v>
      </c>
      <c r="Z26" s="108" t="str">
        <f>IFERROR(__xludf.DUMMYFUNCTION("IFNA(CONCATENATE(UNIQUE(FILTER(Connections!R:R,Connections!A:A=B26))),""-"")"),"-")</f>
        <v>-</v>
      </c>
      <c r="AA26" s="119" t="str">
        <f t="array" ref="AA26">IF(ISBLANK($AE26), "-",INDEX(Circuits!Y:Y,SUMPRODUCT(EXACT($AE26,Circuits!$A:$A)*ROW(Circuits!$A:$A))))</f>
        <v>-</v>
      </c>
      <c r="AB26" s="121" t="str">
        <f t="array" ref="AB26">IF(ISBLANK($AE26), "-",INDEX(Circuits!Z:Z,SUMPRODUCT(EXACT($AE26,Circuits!$A:$A)*ROW(Circuits!$A:$A))))</f>
        <v>-</v>
      </c>
      <c r="AC26" s="194"/>
      <c r="AD26" s="194"/>
      <c r="AE26" s="40"/>
      <c r="AF26" s="38"/>
      <c r="AG26" s="126" t="str">
        <f>IFERROR(__xludf.DUMMYFUNCTION("IF(ISBLANK(AF26), """", TEXTJOIN(CHAR(10),TRUE,ARRAYFORMULA(IF(ISERROR(SEARCH(SPLIT(AF26, "";""), $Z26)), ""x"", ""-""))))"),"")</f>
        <v/>
      </c>
      <c r="AH26" s="127" t="str">
        <f>IFERROR(__xludf.DUMMYFUNCTION("IF(ISBLANK(AK26), """", TEXTJOIN("";"" &amp; CHAR(10), TRUE, UNIQUE(SPLIT(AK26, "";"" &amp; CHAR(10)), TRUE))&amp;"";"")"),"")</f>
        <v/>
      </c>
      <c r="AI26" s="128" t="str">
        <f>IFERROR(__xludf.DUMMYFUNCTION("IF(ISBLANK(AD26), IF(ISBLANK(AE26),,IFNA(TEXTJOIN("";"" &amp; CHAR(10), TRUE, FILTER(AE:AE, SEARCH(AE26&amp;"";"", AJ:AJ)))&amp;"";"", """")), TEXTJOIN("";"" &amp; CHAR(10), TRUE, UNIQUE(SPLIT(AH26 &amp; "";"" &amp; AH26 &amp; "";"" &amp; AL26, "";"" &amp; CHAR(10)), TRUE, TRUE))&amp;"";"")"),"")</f>
        <v/>
      </c>
      <c r="AJ26" s="126" t="str">
        <f>IFERROR(__xludf.DUMMYFUNCTION("IF(AN26="""", """", TEXTJOIN("";"" &amp; CHAR(10), TRUE, UNIQUE(SPLIT(AH26 &amp; "";"" &amp; AH26 &amp; "";"" &amp; AN26, "";"" &amp; CHAR(10)), TRUE, TRUE))&amp;"";"")"),"")</f>
        <v/>
      </c>
      <c r="AK26" s="129" t="str">
        <f>IFERROR(__xludf.DUMMYFUNCTION("IF(ISBLANK(AD26), IF(ISBLANK(AE26),,AE26 &amp; "";""), TEXTJOIN(CHAR(10), TRUE, ARRAYFORMULA(VLOOKUP(SPLIT(AD26, "";"" &amp; CHAR(10)), $AC:$AH, 6, FALSE))))"),"")</f>
        <v/>
      </c>
      <c r="AL26" s="130" t="str">
        <f>IFERROR(__xludf.DUMMYFUNCTION("IF(AM26="""", """", TEXTJOIN("";"" &amp; CHAR(10), TRUE, UNIQUE(SPLIT(AM26, "";"" &amp; CHAR(10)), TRUE))&amp;"";"")"),"")</f>
        <v/>
      </c>
      <c r="AM26" s="130" t="str">
        <f>IFERROR(__xludf.DUMMYFUNCTION("IF(ISBLANK(AD26), """", TEXTJOIN(CHAR(10), TRUE, ARRAYFORMULA(VLOOKUP(SPLIT(AH26, "";"" &amp; CHAR(10)), $AE:$AI, 5, FALSE)), AF26))"),"")</f>
        <v/>
      </c>
      <c r="AN26" s="132" t="str">
        <f>IFERROR(__xludf.DUMMYFUNCTION("IF(ISBLANK(AO26), """", TEXTJOIN("";"" &amp; CHAR(10), TRUE, UNIQUE(SPLIT(AO26, "";"" &amp; CHAR(10)), TRUE))&amp;"";"")"),"")</f>
        <v/>
      </c>
      <c r="AO26" s="134" t="str">
        <f>IFERROR(__xludf.DUMMYFUNCTION("IF(ISBLANK(AD26), AF26, TEXTJOIN(CHAR(10), TRUE, ARRAYFORMULA(VLOOKUP(SPLIT(AD26, "";"" &amp; CHAR(10)), $AC:$AN, 12, FALSE))))"),"")</f>
        <v/>
      </c>
      <c r="AP26" s="130" t="str">
        <f>IF(ISBLANK(AE26),,IF(IFERROR(SEARCH(AE26&amp;";",Circuits!$AO$2),0),TRUE,FALSE))</f>
        <v/>
      </c>
      <c r="AQ26" s="130" t="str">
        <f t="shared" si="2"/>
        <v/>
      </c>
      <c r="AR26" s="130" t="str">
        <f t="shared" si="3"/>
        <v/>
      </c>
      <c r="AS26" s="136" t="str">
        <f>IFERROR(__xludf.DUMMYFUNCTION("IF(AH26="""",,SUM(ARRAYFORMULA(IF(IFERROR(SEARCH(SPLIT(AH26,CHAR(10)),Circuits!$AO$2),0)&gt;0,0,1))))"),"")</f>
        <v/>
      </c>
      <c r="AT26" s="138" t="str">
        <f t="shared" si="4"/>
        <v/>
      </c>
      <c r="AU26" s="138" t="str">
        <f t="shared" si="5"/>
        <v/>
      </c>
      <c r="AV26" s="130" t="str">
        <f>IFERROR(__xludf.DUMMYFUNCTION("IF(AI26="""",,TEXTJOIN("", "",TRUE,ARRAYFORMULA(VLOOKUP(SPLIT(AI26,"";""&amp;CHAR(10)),AE:AT,16,FALSE))))"),"")</f>
        <v/>
      </c>
      <c r="AW26" s="130" t="str">
        <f>IFERROR(__xludf.DUMMYFUNCTION("IF(ISBLANK(BK26),,TEXTJOIN("", "",TRUE,ARRAYFORMULA(VLOOKUP(IFERROR(REGEXEXTRACT(SPLIT(BK26,"";""&amp;CHAR(10)),""\[(.+)\]"")),AE:AT,16,false))))"),"")</f>
        <v/>
      </c>
      <c r="AX26" s="139" t="str">
        <f t="shared" si="6"/>
        <v/>
      </c>
      <c r="AY26" s="139" t="str">
        <f t="shared" si="7"/>
        <v/>
      </c>
      <c r="AZ26" s="106" t="str">
        <f>IFERROR(__xludf.DUMMYFUNCTION("IF(ISBLANK(AD26), BC26, TEXTJOIN(CHAR(10) &amp; CHAR(10), TRUE, ARRAYFORMULA(VLOOKUP(SPLIT(AD26, "";"" &amp; CHAR(10)), $AC:$AY, 23, FALSE))))"),"")</f>
        <v/>
      </c>
      <c r="BA26" s="140" t="s">
        <v>66</v>
      </c>
      <c r="BB26" s="190"/>
      <c r="BC26" s="196"/>
      <c r="BD26" s="106" t="str">
        <f>IFERROR(__xludf.DUMMYFUNCTION("IF(IFERROR(SEARCH(""&lt;&lt;mechanism to realize the capability&gt;&gt;"",BA26),0)=0,
 ""!! Error !! “Capability&amp;Mechanism” column: Invalid Separator:"" &amp; CHAR(10) &amp; ""Insert separator “&lt;&lt;mechanism to realize the capability&gt;&gt;.”"",
 IF(
  LEN(TRIM(CLEAN(
    INDEX(
  "&amp;"    SPLIT(BA26,""&lt;&lt;mechanism to realize the capability&gt;&gt;"",FALSE,FALSE),
      1
    )
  )))=0,
  ""!! Error !! “Capability&amp;Mechanism” column: No Capability:""  &amp; CHAR(10) &amp; ""Describe Capability before separator."",
  INDEX(
    SPLIT(BA26,""&lt;&lt;mechanism "&amp;"to realize the capability&gt;&gt;"",FALSE,FALSE),
    1
  )
 )
)
"),"!! Error !! “Capability&amp;Mechanism” column: No Capability:
Describe Capability before separator.")</f>
        <v>!! Error !! “Capability&amp;Mechanism” column: No Capability:
Describe Capability before separator.</v>
      </c>
      <c r="BE26" s="190"/>
      <c r="BF26" s="185"/>
      <c r="BG26" s="38"/>
      <c r="BH26" s="190"/>
      <c r="BI26" s="196"/>
      <c r="BJ26" s="38"/>
      <c r="BK26" s="38"/>
      <c r="BL26" s="191"/>
      <c r="BM26" s="191"/>
      <c r="BN26" s="38"/>
      <c r="BO26" s="38"/>
      <c r="BP26" s="143"/>
      <c r="BQ26" s="143"/>
      <c r="BR26" s="192"/>
      <c r="BS26" s="192"/>
      <c r="BT26" s="192"/>
      <c r="BU26" s="192"/>
      <c r="BV26" s="192"/>
      <c r="BW26" s="192"/>
      <c r="BX26" s="146" t="str">
        <f t="shared" si="8"/>
        <v/>
      </c>
    </row>
    <row r="27">
      <c r="A27" s="106" t="str">
        <f t="shared" si="1"/>
        <v/>
      </c>
      <c r="B27" s="183" t="str">
        <f t="array" ref="B27">IF(ISBLANK($AE27), "-",INDEX(Circuits!A:A,SUMPRODUCT(EXACT($AE27,Circuits!$A:$A)*ROW(Circuits!$A:$A))))</f>
        <v>-</v>
      </c>
      <c r="C27" s="183" t="str">
        <f t="array" ref="C27">IF(ISBLANK($AE27), "-",INDEX(Circuits!B:B,SUMPRODUCT(EXACT($AE27,Circuits!$A:$A)*ROW(Circuits!$A:$A))))</f>
        <v>-</v>
      </c>
      <c r="D27" s="183" t="str">
        <f t="array" ref="D27">IF(ISBLANK($AE27), "-",INDEX(Circuits!C:C,SUMPRODUCT(EXACT($AE27,Circuits!$A:$A)*ROW(Circuits!$A:$A))))</f>
        <v>-</v>
      </c>
      <c r="E27" s="183" t="str">
        <f t="array" ref="E27">IF(ISBLANK($AE27), "-",INDEX(Circuits!D:D,SUMPRODUCT(EXACT($AE27,Circuits!$A:$A)*ROW(Circuits!$A:$A))))</f>
        <v>-</v>
      </c>
      <c r="F27" s="183" t="str">
        <f t="array" ref="F27">IF(ISBLANK($AE27), "-",INDEX(Circuits!E:E,SUMPRODUCT(EXACT($AE27,Circuits!$A:$A)*ROW(Circuits!$A:$A))))</f>
        <v>-</v>
      </c>
      <c r="G27" s="183" t="str">
        <f t="array" ref="G27">IF(ISBLANK($AE27), "-",INDEX(Circuits!F:F,SUMPRODUCT(EXACT($AE27,Circuits!$A:$A)*ROW(Circuits!$A:$A))))</f>
        <v>-</v>
      </c>
      <c r="H27" s="183" t="str">
        <f t="array" ref="H27">IF(ISBLANK($AE27), "-",INDEX(Circuits!G:G,SUMPRODUCT(EXACT($AE27,Circuits!$A:$A)*ROW(Circuits!$A:$A))))</f>
        <v>-</v>
      </c>
      <c r="I27" s="183" t="str">
        <f t="array" ref="I27">IF(ISBLANK($AE27), "-",INDEX(Circuits!H:H,SUMPRODUCT(EXACT($AE27,Circuits!$A:$A)*ROW(Circuits!$A:$A))))</f>
        <v>-</v>
      </c>
      <c r="J27" s="183" t="str">
        <f t="array" ref="J27">IF(ISBLANK($AE27), "-",INDEX(Circuits!I:I,SUMPRODUCT(EXACT($AE27,Circuits!$A:$A)*ROW(Circuits!$A:$A))))</f>
        <v>-</v>
      </c>
      <c r="K27" s="183" t="str">
        <f t="array" ref="K27">IF(ISBLANK($AE27), "-",INDEX(Circuits!J:J,SUMPRODUCT(EXACT($AE27,Circuits!$A:$A)*ROW(Circuits!$A:$A))))</f>
        <v>-</v>
      </c>
      <c r="L27" s="183" t="str">
        <f t="array" ref="L27">IF(ISBLANK($AE27), "-",INDEX(Circuits!K:K,SUMPRODUCT(EXACT($AE27,Circuits!$A:$A)*ROW(Circuits!$A:$A))))</f>
        <v>-</v>
      </c>
      <c r="M27" s="183" t="str">
        <f t="array" ref="M27">IF(ISBLANK($AE27), "-",INDEX(Circuits!L:L,SUMPRODUCT(EXACT($AE27,Circuits!$A:$A)*ROW(Circuits!$A:$A))))</f>
        <v>-</v>
      </c>
      <c r="N27" s="183" t="str">
        <f t="array" ref="N27">IF(ISBLANK($AE27), "-",INDEX(Circuits!M:M,SUMPRODUCT(EXACT($AE27,Circuits!$A:$A)*ROW(Circuits!$A:$A))))</f>
        <v>-</v>
      </c>
      <c r="O27" s="183" t="str">
        <f t="array" ref="O27">IF(ISBLANK($AE27), "-",INDEX(Circuits!N:N,SUMPRODUCT(EXACT($AE27,Circuits!$A:$A)*ROW(Circuits!$A:$A))))</f>
        <v>-</v>
      </c>
      <c r="P27" s="183" t="str">
        <f t="array" ref="P27">IF(ISBLANK($AE27), "-",INDEX(Circuits!O:O,SUMPRODUCT(EXACT($AE27,Circuits!$A:$A)*ROW(Circuits!$A:$A))))</f>
        <v>-</v>
      </c>
      <c r="Q27" s="183" t="str">
        <f t="array" ref="Q27">IF(ISBLANK($AE27), "-",INDEX(Circuits!P:P,SUMPRODUCT(EXACT($AE27,Circuits!$A:$A)*ROW(Circuits!$A:$A))))</f>
        <v>-</v>
      </c>
      <c r="R27" s="183" t="str">
        <f t="array" ref="R27">IF(ISBLANK($AE27), "-",INDEX(Circuits!Q:Q,SUMPRODUCT(EXACT($AE27,Circuits!$A:$A)*ROW(Circuits!$A:$A))))</f>
        <v>-</v>
      </c>
      <c r="S27" s="183" t="str">
        <f t="array" ref="S27">IF(ISBLANK($AE27), "-",INDEX(Circuits!R:R,SUMPRODUCT(EXACT($AE27,Circuits!$A:$A)*ROW(Circuits!$A:$A))))</f>
        <v>-</v>
      </c>
      <c r="T27" s="183" t="str">
        <f t="array" ref="T27">IF(ISBLANK($AE27), "-",INDEX(Circuits!S:S,SUMPRODUCT(EXACT($AE27,Circuits!$A:$A)*ROW(Circuits!$A:$A))))</f>
        <v>-</v>
      </c>
      <c r="U27" s="183" t="str">
        <f t="array" ref="U27">IF(ISBLANK($AE27), "-",INDEX(Circuits!T:T,SUMPRODUCT(EXACT($AE27,Circuits!$A:$A)*ROW(Circuits!$A:$A))))</f>
        <v>-</v>
      </c>
      <c r="V27" s="183" t="str">
        <f t="array" ref="V27">IF(ISBLANK($AE27), "-",INDEX(Circuits!U:U,SUMPRODUCT(EXACT($AE27,Circuits!$A:$A)*ROW(Circuits!$A:$A))))</f>
        <v>-</v>
      </c>
      <c r="W27" s="183" t="str">
        <f t="array" ref="W27">IF(ISBLANK($AE27), "-",INDEX(Circuits!V:V,SUMPRODUCT(EXACT($AE27,Circuits!$A:$A)*ROW(Circuits!$A:$A))))</f>
        <v>-</v>
      </c>
      <c r="X27" s="183" t="str">
        <f t="array" ref="X27">IF(ISBLANK($AE27), "-",INDEX(Circuits!W:W,SUMPRODUCT(EXACT($AE27,Circuits!$A:$A)*ROW(Circuits!$A:$A))))</f>
        <v>-</v>
      </c>
      <c r="Y27" s="183" t="str">
        <f t="array" ref="Y27">IF(ISBLANK($AE27), "-",INDEX(Circuits!X:X,SUMPRODUCT(EXACT($AE27,Circuits!$A:$A)*ROW(Circuits!$A:$A))))</f>
        <v>-</v>
      </c>
      <c r="Z27" s="108" t="str">
        <f>IFERROR(__xludf.DUMMYFUNCTION("IFNA(CONCATENATE(UNIQUE(FILTER(Connections!R:R,Connections!A:A=B27))),""-"")"),"-")</f>
        <v>-</v>
      </c>
      <c r="AA27" s="119" t="str">
        <f t="array" ref="AA27">IF(ISBLANK($AE27), "-",INDEX(Circuits!Y:Y,SUMPRODUCT(EXACT($AE27,Circuits!$A:$A)*ROW(Circuits!$A:$A))))</f>
        <v>-</v>
      </c>
      <c r="AB27" s="121" t="str">
        <f t="array" ref="AB27">IF(ISBLANK($AE27), "-",INDEX(Circuits!Z:Z,SUMPRODUCT(EXACT($AE27,Circuits!$A:$A)*ROW(Circuits!$A:$A))))</f>
        <v>-</v>
      </c>
      <c r="AC27" s="194"/>
      <c r="AD27" s="194"/>
      <c r="AE27" s="40"/>
      <c r="AF27" s="38"/>
      <c r="AG27" s="126" t="str">
        <f>IFERROR(__xludf.DUMMYFUNCTION("IF(ISBLANK(AF27), """", TEXTJOIN(CHAR(10),TRUE,ARRAYFORMULA(IF(ISERROR(SEARCH(SPLIT(AF27, "";""), $Z27)), ""x"", ""-""))))"),"")</f>
        <v/>
      </c>
      <c r="AH27" s="127" t="str">
        <f>IFERROR(__xludf.DUMMYFUNCTION("IF(ISBLANK(AK27), """", TEXTJOIN("";"" &amp; CHAR(10), TRUE, UNIQUE(SPLIT(AK27, "";"" &amp; CHAR(10)), TRUE))&amp;"";"")"),"")</f>
        <v/>
      </c>
      <c r="AI27" s="128" t="str">
        <f>IFERROR(__xludf.DUMMYFUNCTION("IF(ISBLANK(AD27), IF(ISBLANK(AE27),,IFNA(TEXTJOIN("";"" &amp; CHAR(10), TRUE, FILTER(AE:AE, SEARCH(AE27&amp;"";"", AJ:AJ)))&amp;"";"", """")), TEXTJOIN("";"" &amp; CHAR(10), TRUE, UNIQUE(SPLIT(AH27 &amp; "";"" &amp; AH27 &amp; "";"" &amp; AL27, "";"" &amp; CHAR(10)), TRUE, TRUE))&amp;"";"")"),"")</f>
        <v/>
      </c>
      <c r="AJ27" s="126" t="str">
        <f>IFERROR(__xludf.DUMMYFUNCTION("IF(AN27="""", """", TEXTJOIN("";"" &amp; CHAR(10), TRUE, UNIQUE(SPLIT(AH27 &amp; "";"" &amp; AH27 &amp; "";"" &amp; AN27, "";"" &amp; CHAR(10)), TRUE, TRUE))&amp;"";"")"),"")</f>
        <v/>
      </c>
      <c r="AK27" s="129" t="str">
        <f>IFERROR(__xludf.DUMMYFUNCTION("IF(ISBLANK(AD27), IF(ISBLANK(AE27),,AE27 &amp; "";""), TEXTJOIN(CHAR(10), TRUE, ARRAYFORMULA(VLOOKUP(SPLIT(AD27, "";"" &amp; CHAR(10)), $AC:$AH, 6, FALSE))))"),"")</f>
        <v/>
      </c>
      <c r="AL27" s="130" t="str">
        <f>IFERROR(__xludf.DUMMYFUNCTION("IF(AM27="""", """", TEXTJOIN("";"" &amp; CHAR(10), TRUE, UNIQUE(SPLIT(AM27, "";"" &amp; CHAR(10)), TRUE))&amp;"";"")"),"")</f>
        <v/>
      </c>
      <c r="AM27" s="130" t="str">
        <f>IFERROR(__xludf.DUMMYFUNCTION("IF(ISBLANK(AD27), """", TEXTJOIN(CHAR(10), TRUE, ARRAYFORMULA(VLOOKUP(SPLIT(AH27, "";"" &amp; CHAR(10)), $AE:$AI, 5, FALSE)), AF27))"),"")</f>
        <v/>
      </c>
      <c r="AN27" s="132" t="str">
        <f>IFERROR(__xludf.DUMMYFUNCTION("IF(ISBLANK(AO27), """", TEXTJOIN("";"" &amp; CHAR(10), TRUE, UNIQUE(SPLIT(AO27, "";"" &amp; CHAR(10)), TRUE))&amp;"";"")"),"")</f>
        <v/>
      </c>
      <c r="AO27" s="134" t="str">
        <f>IFERROR(__xludf.DUMMYFUNCTION("IF(ISBLANK(AD27), AF27, TEXTJOIN(CHAR(10), TRUE, ARRAYFORMULA(VLOOKUP(SPLIT(AD27, "";"" &amp; CHAR(10)), $AC:$AN, 12, FALSE))))"),"")</f>
        <v/>
      </c>
      <c r="AP27" s="130" t="str">
        <f>IF(ISBLANK(AE27),,IF(IFERROR(SEARCH(AE27&amp;";",Circuits!$AO$2),0),TRUE,FALSE))</f>
        <v/>
      </c>
      <c r="AQ27" s="130" t="str">
        <f t="shared" si="2"/>
        <v/>
      </c>
      <c r="AR27" s="130" t="str">
        <f t="shared" si="3"/>
        <v/>
      </c>
      <c r="AS27" s="136" t="str">
        <f>IFERROR(__xludf.DUMMYFUNCTION("IF(AH27="""",,SUM(ARRAYFORMULA(IF(IFERROR(SEARCH(SPLIT(AH27,CHAR(10)),Circuits!$AO$2),0)&gt;0,0,1))))"),"")</f>
        <v/>
      </c>
      <c r="AT27" s="138" t="str">
        <f t="shared" si="4"/>
        <v/>
      </c>
      <c r="AU27" s="138" t="str">
        <f t="shared" si="5"/>
        <v/>
      </c>
      <c r="AV27" s="130" t="str">
        <f>IFERROR(__xludf.DUMMYFUNCTION("IF(AI27="""",,TEXTJOIN("", "",TRUE,ARRAYFORMULA(VLOOKUP(SPLIT(AI27,"";""&amp;CHAR(10)),AE:AT,16,FALSE))))"),"")</f>
        <v/>
      </c>
      <c r="AW27" s="130" t="str">
        <f>IFERROR(__xludf.DUMMYFUNCTION("IF(ISBLANK(BK27),,TEXTJOIN("", "",TRUE,ARRAYFORMULA(VLOOKUP(IFERROR(REGEXEXTRACT(SPLIT(BK27,"";""&amp;CHAR(10)),""\[(.+)\]"")),AE:AT,16,false))))"),"")</f>
        <v/>
      </c>
      <c r="AX27" s="139" t="str">
        <f t="shared" si="6"/>
        <v/>
      </c>
      <c r="AY27" s="139" t="str">
        <f t="shared" si="7"/>
        <v/>
      </c>
      <c r="AZ27" s="106" t="str">
        <f>IFERROR(__xludf.DUMMYFUNCTION("IF(ISBLANK(AD27), BC27, TEXTJOIN(CHAR(10) &amp; CHAR(10), TRUE, ARRAYFORMULA(VLOOKUP(SPLIT(AD27, "";"" &amp; CHAR(10)), $AC:$AY, 23, FALSE))))"),"")</f>
        <v/>
      </c>
      <c r="BA27" s="140" t="s">
        <v>66</v>
      </c>
      <c r="BB27" s="190"/>
      <c r="BC27" s="196"/>
      <c r="BD27" s="106" t="str">
        <f>IFERROR(__xludf.DUMMYFUNCTION("IF(IFERROR(SEARCH(""&lt;&lt;mechanism to realize the capability&gt;&gt;"",BA27),0)=0,
 ""!! Error !! “Capability&amp;Mechanism” column: Invalid Separator:"" &amp; CHAR(10) &amp; ""Insert separator “&lt;&lt;mechanism to realize the capability&gt;&gt;.”"",
 IF(
  LEN(TRIM(CLEAN(
    INDEX(
  "&amp;"    SPLIT(BA27,""&lt;&lt;mechanism to realize the capability&gt;&gt;"",FALSE,FALSE),
      1
    )
  )))=0,
  ""!! Error !! “Capability&amp;Mechanism” column: No Capability:""  &amp; CHAR(10) &amp; ""Describe Capability before separator."",
  INDEX(
    SPLIT(BA27,""&lt;&lt;mechanism "&amp;"to realize the capability&gt;&gt;"",FALSE,FALSE),
    1
  )
 )
)
"),"!! Error !! “Capability&amp;Mechanism” column: No Capability:
Describe Capability before separator.")</f>
        <v>!! Error !! “Capability&amp;Mechanism” column: No Capability:
Describe Capability before separator.</v>
      </c>
      <c r="BE27" s="190"/>
      <c r="BF27" s="195"/>
      <c r="BG27" s="42"/>
      <c r="BH27" s="190"/>
      <c r="BI27" s="196"/>
      <c r="BJ27" s="42"/>
      <c r="BK27" s="42"/>
      <c r="BL27" s="200"/>
      <c r="BM27" s="200"/>
      <c r="BN27" s="42"/>
      <c r="BO27" s="42"/>
      <c r="BP27" s="143"/>
      <c r="BQ27" s="143"/>
      <c r="BR27" s="192"/>
      <c r="BS27" s="192"/>
      <c r="BT27" s="192"/>
      <c r="BU27" s="192"/>
      <c r="BV27" s="192"/>
      <c r="BW27" s="192"/>
      <c r="BX27" s="146" t="str">
        <f t="shared" si="8"/>
        <v/>
      </c>
    </row>
    <row r="28">
      <c r="A28" s="106" t="str">
        <f t="shared" si="1"/>
        <v/>
      </c>
      <c r="B28" s="183" t="str">
        <f t="array" ref="B28">IF(ISBLANK($AE28), "-",INDEX(Circuits!A:A,SUMPRODUCT(EXACT($AE28,Circuits!$A:$A)*ROW(Circuits!$A:$A))))</f>
        <v>-</v>
      </c>
      <c r="C28" s="183" t="str">
        <f t="array" ref="C28">IF(ISBLANK($AE28), "-",INDEX(Circuits!B:B,SUMPRODUCT(EXACT($AE28,Circuits!$A:$A)*ROW(Circuits!$A:$A))))</f>
        <v>-</v>
      </c>
      <c r="D28" s="183" t="str">
        <f t="array" ref="D28">IF(ISBLANK($AE28), "-",INDEX(Circuits!C:C,SUMPRODUCT(EXACT($AE28,Circuits!$A:$A)*ROW(Circuits!$A:$A))))</f>
        <v>-</v>
      </c>
      <c r="E28" s="183" t="str">
        <f t="array" ref="E28">IF(ISBLANK($AE28), "-",INDEX(Circuits!D:D,SUMPRODUCT(EXACT($AE28,Circuits!$A:$A)*ROW(Circuits!$A:$A))))</f>
        <v>-</v>
      </c>
      <c r="F28" s="183" t="str">
        <f t="array" ref="F28">IF(ISBLANK($AE28), "-",INDEX(Circuits!E:E,SUMPRODUCT(EXACT($AE28,Circuits!$A:$A)*ROW(Circuits!$A:$A))))</f>
        <v>-</v>
      </c>
      <c r="G28" s="183" t="str">
        <f t="array" ref="G28">IF(ISBLANK($AE28), "-",INDEX(Circuits!F:F,SUMPRODUCT(EXACT($AE28,Circuits!$A:$A)*ROW(Circuits!$A:$A))))</f>
        <v>-</v>
      </c>
      <c r="H28" s="183" t="str">
        <f t="array" ref="H28">IF(ISBLANK($AE28), "-",INDEX(Circuits!G:G,SUMPRODUCT(EXACT($AE28,Circuits!$A:$A)*ROW(Circuits!$A:$A))))</f>
        <v>-</v>
      </c>
      <c r="I28" s="183" t="str">
        <f t="array" ref="I28">IF(ISBLANK($AE28), "-",INDEX(Circuits!H:H,SUMPRODUCT(EXACT($AE28,Circuits!$A:$A)*ROW(Circuits!$A:$A))))</f>
        <v>-</v>
      </c>
      <c r="J28" s="183" t="str">
        <f t="array" ref="J28">IF(ISBLANK($AE28), "-",INDEX(Circuits!I:I,SUMPRODUCT(EXACT($AE28,Circuits!$A:$A)*ROW(Circuits!$A:$A))))</f>
        <v>-</v>
      </c>
      <c r="K28" s="183" t="str">
        <f t="array" ref="K28">IF(ISBLANK($AE28), "-",INDEX(Circuits!J:J,SUMPRODUCT(EXACT($AE28,Circuits!$A:$A)*ROW(Circuits!$A:$A))))</f>
        <v>-</v>
      </c>
      <c r="L28" s="183" t="str">
        <f t="array" ref="L28">IF(ISBLANK($AE28), "-",INDEX(Circuits!K:K,SUMPRODUCT(EXACT($AE28,Circuits!$A:$A)*ROW(Circuits!$A:$A))))</f>
        <v>-</v>
      </c>
      <c r="M28" s="183" t="str">
        <f t="array" ref="M28">IF(ISBLANK($AE28), "-",INDEX(Circuits!L:L,SUMPRODUCT(EXACT($AE28,Circuits!$A:$A)*ROW(Circuits!$A:$A))))</f>
        <v>-</v>
      </c>
      <c r="N28" s="183" t="str">
        <f t="array" ref="N28">IF(ISBLANK($AE28), "-",INDEX(Circuits!M:M,SUMPRODUCT(EXACT($AE28,Circuits!$A:$A)*ROW(Circuits!$A:$A))))</f>
        <v>-</v>
      </c>
      <c r="O28" s="183" t="str">
        <f t="array" ref="O28">IF(ISBLANK($AE28), "-",INDEX(Circuits!N:N,SUMPRODUCT(EXACT($AE28,Circuits!$A:$A)*ROW(Circuits!$A:$A))))</f>
        <v>-</v>
      </c>
      <c r="P28" s="183" t="str">
        <f t="array" ref="P28">IF(ISBLANK($AE28), "-",INDEX(Circuits!O:O,SUMPRODUCT(EXACT($AE28,Circuits!$A:$A)*ROW(Circuits!$A:$A))))</f>
        <v>-</v>
      </c>
      <c r="Q28" s="183" t="str">
        <f t="array" ref="Q28">IF(ISBLANK($AE28), "-",INDEX(Circuits!P:P,SUMPRODUCT(EXACT($AE28,Circuits!$A:$A)*ROW(Circuits!$A:$A))))</f>
        <v>-</v>
      </c>
      <c r="R28" s="183" t="str">
        <f t="array" ref="R28">IF(ISBLANK($AE28), "-",INDEX(Circuits!Q:Q,SUMPRODUCT(EXACT($AE28,Circuits!$A:$A)*ROW(Circuits!$A:$A))))</f>
        <v>-</v>
      </c>
      <c r="S28" s="183" t="str">
        <f t="array" ref="S28">IF(ISBLANK($AE28), "-",INDEX(Circuits!R:R,SUMPRODUCT(EXACT($AE28,Circuits!$A:$A)*ROW(Circuits!$A:$A))))</f>
        <v>-</v>
      </c>
      <c r="T28" s="183" t="str">
        <f t="array" ref="T28">IF(ISBLANK($AE28), "-",INDEX(Circuits!S:S,SUMPRODUCT(EXACT($AE28,Circuits!$A:$A)*ROW(Circuits!$A:$A))))</f>
        <v>-</v>
      </c>
      <c r="U28" s="183" t="str">
        <f t="array" ref="U28">IF(ISBLANK($AE28), "-",INDEX(Circuits!T:T,SUMPRODUCT(EXACT($AE28,Circuits!$A:$A)*ROW(Circuits!$A:$A))))</f>
        <v>-</v>
      </c>
      <c r="V28" s="183" t="str">
        <f t="array" ref="V28">IF(ISBLANK($AE28), "-",INDEX(Circuits!U:U,SUMPRODUCT(EXACT($AE28,Circuits!$A:$A)*ROW(Circuits!$A:$A))))</f>
        <v>-</v>
      </c>
      <c r="W28" s="183" t="str">
        <f t="array" ref="W28">IF(ISBLANK($AE28), "-",INDEX(Circuits!V:V,SUMPRODUCT(EXACT($AE28,Circuits!$A:$A)*ROW(Circuits!$A:$A))))</f>
        <v>-</v>
      </c>
      <c r="X28" s="183" t="str">
        <f t="array" ref="X28">IF(ISBLANK($AE28), "-",INDEX(Circuits!W:W,SUMPRODUCT(EXACT($AE28,Circuits!$A:$A)*ROW(Circuits!$A:$A))))</f>
        <v>-</v>
      </c>
      <c r="Y28" s="183" t="str">
        <f t="array" ref="Y28">IF(ISBLANK($AE28), "-",INDEX(Circuits!X:X,SUMPRODUCT(EXACT($AE28,Circuits!$A:$A)*ROW(Circuits!$A:$A))))</f>
        <v>-</v>
      </c>
      <c r="Z28" s="108" t="str">
        <f>IFERROR(__xludf.DUMMYFUNCTION("IFNA(CONCATENATE(UNIQUE(FILTER(Connections!R:R,Connections!A:A=B28))),""-"")"),"-")</f>
        <v>-</v>
      </c>
      <c r="AA28" s="119" t="str">
        <f t="array" ref="AA28">IF(ISBLANK($AE28), "-",INDEX(Circuits!Y:Y,SUMPRODUCT(EXACT($AE28,Circuits!$A:$A)*ROW(Circuits!$A:$A))))</f>
        <v>-</v>
      </c>
      <c r="AB28" s="121" t="str">
        <f t="array" ref="AB28">IF(ISBLANK($AE28), "-",INDEX(Circuits!Z:Z,SUMPRODUCT(EXACT($AE28,Circuits!$A:$A)*ROW(Circuits!$A:$A))))</f>
        <v>-</v>
      </c>
      <c r="AC28" s="194"/>
      <c r="AD28" s="194"/>
      <c r="AE28" s="40"/>
      <c r="AF28" s="38"/>
      <c r="AG28" s="126" t="str">
        <f>IFERROR(__xludf.DUMMYFUNCTION("IF(ISBLANK(AF28), """", TEXTJOIN(CHAR(10),TRUE,ARRAYFORMULA(IF(ISERROR(SEARCH(SPLIT(AF28, "";""), $Z28)), ""x"", ""-""))))"),"")</f>
        <v/>
      </c>
      <c r="AH28" s="127" t="str">
        <f>IFERROR(__xludf.DUMMYFUNCTION("IF(ISBLANK(AK28), """", TEXTJOIN("";"" &amp; CHAR(10), TRUE, UNIQUE(SPLIT(AK28, "";"" &amp; CHAR(10)), TRUE))&amp;"";"")"),"")</f>
        <v/>
      </c>
      <c r="AI28" s="128" t="str">
        <f>IFERROR(__xludf.DUMMYFUNCTION("IF(ISBLANK(AD28), IF(ISBLANK(AE28),,IFNA(TEXTJOIN("";"" &amp; CHAR(10), TRUE, FILTER(AE:AE, SEARCH(AE28&amp;"";"", AJ:AJ)))&amp;"";"", """")), TEXTJOIN("";"" &amp; CHAR(10), TRUE, UNIQUE(SPLIT(AH28 &amp; "";"" &amp; AH28 &amp; "";"" &amp; AL28, "";"" &amp; CHAR(10)), TRUE, TRUE))&amp;"";"")"),"")</f>
        <v/>
      </c>
      <c r="AJ28" s="126" t="str">
        <f>IFERROR(__xludf.DUMMYFUNCTION("IF(AN28="""", """", TEXTJOIN("";"" &amp; CHAR(10), TRUE, UNIQUE(SPLIT(AH28 &amp; "";"" &amp; AH28 &amp; "";"" &amp; AN28, "";"" &amp; CHAR(10)), TRUE, TRUE))&amp;"";"")"),"")</f>
        <v/>
      </c>
      <c r="AK28" s="129" t="str">
        <f>IFERROR(__xludf.DUMMYFUNCTION("IF(ISBLANK(AD28), IF(ISBLANK(AE28),,AE28 &amp; "";""), TEXTJOIN(CHAR(10), TRUE, ARRAYFORMULA(VLOOKUP(SPLIT(AD28, "";"" &amp; CHAR(10)), $AC:$AH, 6, FALSE))))"),"")</f>
        <v/>
      </c>
      <c r="AL28" s="130" t="str">
        <f>IFERROR(__xludf.DUMMYFUNCTION("IF(AM28="""", """", TEXTJOIN("";"" &amp; CHAR(10), TRUE, UNIQUE(SPLIT(AM28, "";"" &amp; CHAR(10)), TRUE))&amp;"";"")"),"")</f>
        <v/>
      </c>
      <c r="AM28" s="130" t="str">
        <f>IFERROR(__xludf.DUMMYFUNCTION("IF(ISBLANK(AD28), """", TEXTJOIN(CHAR(10), TRUE, ARRAYFORMULA(VLOOKUP(SPLIT(AH28, "";"" &amp; CHAR(10)), $AE:$AI, 5, FALSE)), AF28))"),"")</f>
        <v/>
      </c>
      <c r="AN28" s="132" t="str">
        <f>IFERROR(__xludf.DUMMYFUNCTION("IF(ISBLANK(AO28), """", TEXTJOIN("";"" &amp; CHAR(10), TRUE, UNIQUE(SPLIT(AO28, "";"" &amp; CHAR(10)), TRUE))&amp;"";"")"),"")</f>
        <v/>
      </c>
      <c r="AO28" s="134" t="str">
        <f>IFERROR(__xludf.DUMMYFUNCTION("IF(ISBLANK(AD28), AF28, TEXTJOIN(CHAR(10), TRUE, ARRAYFORMULA(VLOOKUP(SPLIT(AD28, "";"" &amp; CHAR(10)), $AC:$AN, 12, FALSE))))"),"")</f>
        <v/>
      </c>
      <c r="AP28" s="130" t="str">
        <f>IF(ISBLANK(AE28),,IF(IFERROR(SEARCH(AE28&amp;";",Circuits!$AO$2),0),TRUE,FALSE))</f>
        <v/>
      </c>
      <c r="AQ28" s="130" t="str">
        <f t="shared" si="2"/>
        <v/>
      </c>
      <c r="AR28" s="130" t="str">
        <f t="shared" si="3"/>
        <v/>
      </c>
      <c r="AS28" s="136" t="str">
        <f>IFERROR(__xludf.DUMMYFUNCTION("IF(AH28="""",,SUM(ARRAYFORMULA(IF(IFERROR(SEARCH(SPLIT(AH28,CHAR(10)),Circuits!$AO$2),0)&gt;0,0,1))))"),"")</f>
        <v/>
      </c>
      <c r="AT28" s="138" t="str">
        <f t="shared" si="4"/>
        <v/>
      </c>
      <c r="AU28" s="138" t="str">
        <f t="shared" si="5"/>
        <v/>
      </c>
      <c r="AV28" s="130" t="str">
        <f>IFERROR(__xludf.DUMMYFUNCTION("IF(AI28="""",,TEXTJOIN("", "",TRUE,ARRAYFORMULA(VLOOKUP(SPLIT(AI28,"";""&amp;CHAR(10)),AE:AT,16,FALSE))))"),"")</f>
        <v/>
      </c>
      <c r="AW28" s="130" t="str">
        <f>IFERROR(__xludf.DUMMYFUNCTION("IF(ISBLANK(BK28),,TEXTJOIN("", "",TRUE,ARRAYFORMULA(VLOOKUP(IFERROR(REGEXEXTRACT(SPLIT(BK28,"";""&amp;CHAR(10)),""\[(.+)\]"")),AE:AT,16,false))))"),"")</f>
        <v/>
      </c>
      <c r="AX28" s="139" t="str">
        <f t="shared" si="6"/>
        <v/>
      </c>
      <c r="AY28" s="139" t="str">
        <f t="shared" si="7"/>
        <v/>
      </c>
      <c r="AZ28" s="106" t="str">
        <f>IFERROR(__xludf.DUMMYFUNCTION("IF(ISBLANK(AD28), BC28, TEXTJOIN(CHAR(10) &amp; CHAR(10), TRUE, ARRAYFORMULA(VLOOKUP(SPLIT(AD28, "";"" &amp; CHAR(10)), $AC:$AY, 23, FALSE))))"),"")</f>
        <v/>
      </c>
      <c r="BA28" s="140" t="s">
        <v>66</v>
      </c>
      <c r="BB28" s="190"/>
      <c r="BC28" s="196"/>
      <c r="BD28" s="106" t="str">
        <f>IFERROR(__xludf.DUMMYFUNCTION("IF(IFERROR(SEARCH(""&lt;&lt;mechanism to realize the capability&gt;&gt;"",BA28),0)=0,
 ""!! Error !! “Capability&amp;Mechanism” column: Invalid Separator:"" &amp; CHAR(10) &amp; ""Insert separator “&lt;&lt;mechanism to realize the capability&gt;&gt;.”"",
 IF(
  LEN(TRIM(CLEAN(
    INDEX(
  "&amp;"    SPLIT(BA28,""&lt;&lt;mechanism to realize the capability&gt;&gt;"",FALSE,FALSE),
      1
    )
  )))=0,
  ""!! Error !! “Capability&amp;Mechanism” column: No Capability:""  &amp; CHAR(10) &amp; ""Describe Capability before separator."",
  INDEX(
    SPLIT(BA28,""&lt;&lt;mechanism "&amp;"to realize the capability&gt;&gt;"",FALSE,FALSE),
    1
  )
 )
)
"),"!! Error !! “Capability&amp;Mechanism” column: No Capability:
Describe Capability before separator.")</f>
        <v>!! Error !! “Capability&amp;Mechanism” column: No Capability:
Describe Capability before separator.</v>
      </c>
      <c r="BE28" s="190"/>
      <c r="BF28" s="201"/>
      <c r="BG28" s="202"/>
      <c r="BH28" s="190"/>
      <c r="BI28" s="196"/>
      <c r="BJ28" s="202"/>
      <c r="BK28" s="202"/>
      <c r="BL28" s="200"/>
      <c r="BM28" s="200"/>
      <c r="BN28" s="202"/>
      <c r="BO28" s="202"/>
      <c r="BP28" s="143"/>
      <c r="BQ28" s="143"/>
      <c r="BR28" s="192"/>
      <c r="BS28" s="192"/>
      <c r="BT28" s="192"/>
      <c r="BU28" s="192"/>
      <c r="BV28" s="192"/>
      <c r="BW28" s="192"/>
      <c r="BX28" s="146" t="str">
        <f t="shared" si="8"/>
        <v/>
      </c>
    </row>
    <row r="29">
      <c r="A29" s="106" t="str">
        <f t="shared" si="1"/>
        <v/>
      </c>
      <c r="B29" s="183" t="str">
        <f t="array" ref="B29">IF(ISBLANK($AE29), "-",INDEX(Circuits!A:A,SUMPRODUCT(EXACT($AE29,Circuits!$A:$A)*ROW(Circuits!$A:$A))))</f>
        <v>-</v>
      </c>
      <c r="C29" s="183" t="str">
        <f t="array" ref="C29">IF(ISBLANK($AE29), "-",INDEX(Circuits!B:B,SUMPRODUCT(EXACT($AE29,Circuits!$A:$A)*ROW(Circuits!$A:$A))))</f>
        <v>-</v>
      </c>
      <c r="D29" s="183" t="str">
        <f t="array" ref="D29">IF(ISBLANK($AE29), "-",INDEX(Circuits!C:C,SUMPRODUCT(EXACT($AE29,Circuits!$A:$A)*ROW(Circuits!$A:$A))))</f>
        <v>-</v>
      </c>
      <c r="E29" s="183" t="str">
        <f t="array" ref="E29">IF(ISBLANK($AE29), "-",INDEX(Circuits!D:D,SUMPRODUCT(EXACT($AE29,Circuits!$A:$A)*ROW(Circuits!$A:$A))))</f>
        <v>-</v>
      </c>
      <c r="F29" s="183" t="str">
        <f t="array" ref="F29">IF(ISBLANK($AE29), "-",INDEX(Circuits!E:E,SUMPRODUCT(EXACT($AE29,Circuits!$A:$A)*ROW(Circuits!$A:$A))))</f>
        <v>-</v>
      </c>
      <c r="G29" s="183" t="str">
        <f t="array" ref="G29">IF(ISBLANK($AE29), "-",INDEX(Circuits!F:F,SUMPRODUCT(EXACT($AE29,Circuits!$A:$A)*ROW(Circuits!$A:$A))))</f>
        <v>-</v>
      </c>
      <c r="H29" s="183" t="str">
        <f t="array" ref="H29">IF(ISBLANK($AE29), "-",INDEX(Circuits!G:G,SUMPRODUCT(EXACT($AE29,Circuits!$A:$A)*ROW(Circuits!$A:$A))))</f>
        <v>-</v>
      </c>
      <c r="I29" s="183" t="str">
        <f t="array" ref="I29">IF(ISBLANK($AE29), "-",INDEX(Circuits!H:H,SUMPRODUCT(EXACT($AE29,Circuits!$A:$A)*ROW(Circuits!$A:$A))))</f>
        <v>-</v>
      </c>
      <c r="J29" s="183" t="str">
        <f t="array" ref="J29">IF(ISBLANK($AE29), "-",INDEX(Circuits!I:I,SUMPRODUCT(EXACT($AE29,Circuits!$A:$A)*ROW(Circuits!$A:$A))))</f>
        <v>-</v>
      </c>
      <c r="K29" s="183" t="str">
        <f t="array" ref="K29">IF(ISBLANK($AE29), "-",INDEX(Circuits!J:J,SUMPRODUCT(EXACT($AE29,Circuits!$A:$A)*ROW(Circuits!$A:$A))))</f>
        <v>-</v>
      </c>
      <c r="L29" s="183" t="str">
        <f t="array" ref="L29">IF(ISBLANK($AE29), "-",INDEX(Circuits!K:K,SUMPRODUCT(EXACT($AE29,Circuits!$A:$A)*ROW(Circuits!$A:$A))))</f>
        <v>-</v>
      </c>
      <c r="M29" s="183" t="str">
        <f t="array" ref="M29">IF(ISBLANK($AE29), "-",INDEX(Circuits!L:L,SUMPRODUCT(EXACT($AE29,Circuits!$A:$A)*ROW(Circuits!$A:$A))))</f>
        <v>-</v>
      </c>
      <c r="N29" s="183" t="str">
        <f t="array" ref="N29">IF(ISBLANK($AE29), "-",INDEX(Circuits!M:M,SUMPRODUCT(EXACT($AE29,Circuits!$A:$A)*ROW(Circuits!$A:$A))))</f>
        <v>-</v>
      </c>
      <c r="O29" s="183" t="str">
        <f t="array" ref="O29">IF(ISBLANK($AE29), "-",INDEX(Circuits!N:N,SUMPRODUCT(EXACT($AE29,Circuits!$A:$A)*ROW(Circuits!$A:$A))))</f>
        <v>-</v>
      </c>
      <c r="P29" s="183" t="str">
        <f t="array" ref="P29">IF(ISBLANK($AE29), "-",INDEX(Circuits!O:O,SUMPRODUCT(EXACT($AE29,Circuits!$A:$A)*ROW(Circuits!$A:$A))))</f>
        <v>-</v>
      </c>
      <c r="Q29" s="183" t="str">
        <f t="array" ref="Q29">IF(ISBLANK($AE29), "-",INDEX(Circuits!P:P,SUMPRODUCT(EXACT($AE29,Circuits!$A:$A)*ROW(Circuits!$A:$A))))</f>
        <v>-</v>
      </c>
      <c r="R29" s="183" t="str">
        <f t="array" ref="R29">IF(ISBLANK($AE29), "-",INDEX(Circuits!Q:Q,SUMPRODUCT(EXACT($AE29,Circuits!$A:$A)*ROW(Circuits!$A:$A))))</f>
        <v>-</v>
      </c>
      <c r="S29" s="183" t="str">
        <f t="array" ref="S29">IF(ISBLANK($AE29), "-",INDEX(Circuits!R:R,SUMPRODUCT(EXACT($AE29,Circuits!$A:$A)*ROW(Circuits!$A:$A))))</f>
        <v>-</v>
      </c>
      <c r="T29" s="183" t="str">
        <f t="array" ref="T29">IF(ISBLANK($AE29), "-",INDEX(Circuits!S:S,SUMPRODUCT(EXACT($AE29,Circuits!$A:$A)*ROW(Circuits!$A:$A))))</f>
        <v>-</v>
      </c>
      <c r="U29" s="183" t="str">
        <f t="array" ref="U29">IF(ISBLANK($AE29), "-",INDEX(Circuits!T:T,SUMPRODUCT(EXACT($AE29,Circuits!$A:$A)*ROW(Circuits!$A:$A))))</f>
        <v>-</v>
      </c>
      <c r="V29" s="183" t="str">
        <f t="array" ref="V29">IF(ISBLANK($AE29), "-",INDEX(Circuits!U:U,SUMPRODUCT(EXACT($AE29,Circuits!$A:$A)*ROW(Circuits!$A:$A))))</f>
        <v>-</v>
      </c>
      <c r="W29" s="183" t="str">
        <f t="array" ref="W29">IF(ISBLANK($AE29), "-",INDEX(Circuits!V:V,SUMPRODUCT(EXACT($AE29,Circuits!$A:$A)*ROW(Circuits!$A:$A))))</f>
        <v>-</v>
      </c>
      <c r="X29" s="183" t="str">
        <f t="array" ref="X29">IF(ISBLANK($AE29), "-",INDEX(Circuits!W:W,SUMPRODUCT(EXACT($AE29,Circuits!$A:$A)*ROW(Circuits!$A:$A))))</f>
        <v>-</v>
      </c>
      <c r="Y29" s="183" t="str">
        <f t="array" ref="Y29">IF(ISBLANK($AE29), "-",INDEX(Circuits!X:X,SUMPRODUCT(EXACT($AE29,Circuits!$A:$A)*ROW(Circuits!$A:$A))))</f>
        <v>-</v>
      </c>
      <c r="Z29" s="108" t="str">
        <f>IFERROR(__xludf.DUMMYFUNCTION("IFNA(CONCATENATE(UNIQUE(FILTER(Connections!R:R,Connections!A:A=B29))),""-"")"),"-")</f>
        <v>-</v>
      </c>
      <c r="AA29" s="119" t="str">
        <f t="array" ref="AA29">IF(ISBLANK($AE29), "-",INDEX(Circuits!Y:Y,SUMPRODUCT(EXACT($AE29,Circuits!$A:$A)*ROW(Circuits!$A:$A))))</f>
        <v>-</v>
      </c>
      <c r="AB29" s="121" t="str">
        <f t="array" ref="AB29">IF(ISBLANK($AE29), "-",INDEX(Circuits!Z:Z,SUMPRODUCT(EXACT($AE29,Circuits!$A:$A)*ROW(Circuits!$A:$A))))</f>
        <v>-</v>
      </c>
      <c r="AC29" s="194"/>
      <c r="AD29" s="194"/>
      <c r="AE29" s="40"/>
      <c r="AF29" s="43"/>
      <c r="AG29" s="126" t="str">
        <f>IFERROR(__xludf.DUMMYFUNCTION("IF(ISBLANK(AF29), """", TEXTJOIN(CHAR(10),TRUE,ARRAYFORMULA(IF(ISERROR(SEARCH(SPLIT(AF29, "";""), $Z29)), ""x"", ""-""))))"),"")</f>
        <v/>
      </c>
      <c r="AH29" s="127" t="str">
        <f>IFERROR(__xludf.DUMMYFUNCTION("IF(ISBLANK(AK29), """", TEXTJOIN("";"" &amp; CHAR(10), TRUE, UNIQUE(SPLIT(AK29, "";"" &amp; CHAR(10)), TRUE))&amp;"";"")"),"")</f>
        <v/>
      </c>
      <c r="AI29" s="128" t="str">
        <f>IFERROR(__xludf.DUMMYFUNCTION("IF(ISBLANK(AD29), IF(ISBLANK(AE29),,IFNA(TEXTJOIN("";"" &amp; CHAR(10), TRUE, FILTER(AE:AE, SEARCH(AE29&amp;"";"", AJ:AJ)))&amp;"";"", """")), TEXTJOIN("";"" &amp; CHAR(10), TRUE, UNIQUE(SPLIT(AH29 &amp; "";"" &amp; AH29 &amp; "";"" &amp; AL29, "";"" &amp; CHAR(10)), TRUE, TRUE))&amp;"";"")"),"")</f>
        <v/>
      </c>
      <c r="AJ29" s="126" t="str">
        <f>IFERROR(__xludf.DUMMYFUNCTION("IF(AN29="""", """", TEXTJOIN("";"" &amp; CHAR(10), TRUE, UNIQUE(SPLIT(AH29 &amp; "";"" &amp; AH29 &amp; "";"" &amp; AN29, "";"" &amp; CHAR(10)), TRUE, TRUE))&amp;"";"")"),"")</f>
        <v/>
      </c>
      <c r="AK29" s="129" t="str">
        <f>IFERROR(__xludf.DUMMYFUNCTION("IF(ISBLANK(AD29), IF(ISBLANK(AE29),,AE29 &amp; "";""), TEXTJOIN(CHAR(10), TRUE, ARRAYFORMULA(VLOOKUP(SPLIT(AD29, "";"" &amp; CHAR(10)), $AC:$AH, 6, FALSE))))"),"")</f>
        <v/>
      </c>
      <c r="AL29" s="130" t="str">
        <f>IFERROR(__xludf.DUMMYFUNCTION("IF(AM29="""", """", TEXTJOIN("";"" &amp; CHAR(10), TRUE, UNIQUE(SPLIT(AM29, "";"" &amp; CHAR(10)), TRUE))&amp;"";"")"),"")</f>
        <v/>
      </c>
      <c r="AM29" s="130" t="str">
        <f>IFERROR(__xludf.DUMMYFUNCTION("IF(ISBLANK(AD29), """", TEXTJOIN(CHAR(10), TRUE, ARRAYFORMULA(VLOOKUP(SPLIT(AH29, "";"" &amp; CHAR(10)), $AE:$AI, 5, FALSE)), AF29))"),"")</f>
        <v/>
      </c>
      <c r="AN29" s="132" t="str">
        <f>IFERROR(__xludf.DUMMYFUNCTION("IF(ISBLANK(AO29), """", TEXTJOIN("";"" &amp; CHAR(10), TRUE, UNIQUE(SPLIT(AO29, "";"" &amp; CHAR(10)), TRUE))&amp;"";"")"),"")</f>
        <v/>
      </c>
      <c r="AO29" s="134" t="str">
        <f>IFERROR(__xludf.DUMMYFUNCTION("IF(ISBLANK(AD29), AF29, TEXTJOIN(CHAR(10), TRUE, ARRAYFORMULA(VLOOKUP(SPLIT(AD29, "";"" &amp; CHAR(10)), $AC:$AN, 12, FALSE))))"),"")</f>
        <v/>
      </c>
      <c r="AP29" s="130" t="str">
        <f>IF(ISBLANK(AE29),,IF(IFERROR(SEARCH(AE29&amp;";",Circuits!$AO$2),0),TRUE,FALSE))</f>
        <v/>
      </c>
      <c r="AQ29" s="130" t="str">
        <f t="shared" si="2"/>
        <v/>
      </c>
      <c r="AR29" s="130" t="str">
        <f t="shared" si="3"/>
        <v/>
      </c>
      <c r="AS29" s="136" t="str">
        <f>IFERROR(__xludf.DUMMYFUNCTION("IF(AH29="""",,SUM(ARRAYFORMULA(IF(IFERROR(SEARCH(SPLIT(AH29,CHAR(10)),Circuits!$AO$2),0)&gt;0,0,1))))"),"")</f>
        <v/>
      </c>
      <c r="AT29" s="138" t="str">
        <f t="shared" si="4"/>
        <v/>
      </c>
      <c r="AU29" s="138" t="str">
        <f t="shared" si="5"/>
        <v/>
      </c>
      <c r="AV29" s="130" t="str">
        <f>IFERROR(__xludf.DUMMYFUNCTION("IF(AI29="""",,TEXTJOIN("", "",TRUE,ARRAYFORMULA(VLOOKUP(SPLIT(AI29,"";""&amp;CHAR(10)),AE:AT,16,FALSE))))"),"")</f>
        <v/>
      </c>
      <c r="AW29" s="130" t="str">
        <f>IFERROR(__xludf.DUMMYFUNCTION("IF(ISBLANK(BK29),,TEXTJOIN("", "",TRUE,ARRAYFORMULA(VLOOKUP(IFERROR(REGEXEXTRACT(SPLIT(BK29,"";""&amp;CHAR(10)),""\[(.+)\]"")),AE:AT,16,false))))"),"")</f>
        <v/>
      </c>
      <c r="AX29" s="139" t="str">
        <f t="shared" si="6"/>
        <v/>
      </c>
      <c r="AY29" s="139" t="str">
        <f t="shared" si="7"/>
        <v/>
      </c>
      <c r="AZ29" s="106" t="str">
        <f>IFERROR(__xludf.DUMMYFUNCTION("IF(ISBLANK(AD29), BC29, TEXTJOIN(CHAR(10) &amp; CHAR(10), TRUE, ARRAYFORMULA(VLOOKUP(SPLIT(AD29, "";"" &amp; CHAR(10)), $AC:$AY, 23, FALSE))))"),"")</f>
        <v/>
      </c>
      <c r="BA29" s="140" t="s">
        <v>66</v>
      </c>
      <c r="BB29" s="190"/>
      <c r="BC29" s="196"/>
      <c r="BD29" s="106" t="str">
        <f>IFERROR(__xludf.DUMMYFUNCTION("IF(IFERROR(SEARCH(""&lt;&lt;mechanism to realize the capability&gt;&gt;"",BA29),0)=0,
 ""!! Error !! “Capability&amp;Mechanism” column: Invalid Separator:"" &amp; CHAR(10) &amp; ""Insert separator “&lt;&lt;mechanism to realize the capability&gt;&gt;.”"",
 IF(
  LEN(TRIM(CLEAN(
    INDEX(
  "&amp;"    SPLIT(BA29,""&lt;&lt;mechanism to realize the capability&gt;&gt;"",FALSE,FALSE),
      1
    )
  )))=0,
  ""!! Error !! “Capability&amp;Mechanism” column: No Capability:""  &amp; CHAR(10) &amp; ""Describe Capability before separator."",
  INDEX(
    SPLIT(BA29,""&lt;&lt;mechanism "&amp;"to realize the capability&gt;&gt;"",FALSE,FALSE),
    1
  )
 )
)
"),"!! Error !! “Capability&amp;Mechanism” column: No Capability:
Describe Capability before separator.")</f>
        <v>!! Error !! “Capability&amp;Mechanism” column: No Capability:
Describe Capability before separator.</v>
      </c>
      <c r="BE29" s="190"/>
      <c r="BF29" s="195"/>
      <c r="BG29" s="42"/>
      <c r="BH29" s="190"/>
      <c r="BI29" s="196"/>
      <c r="BJ29" s="42"/>
      <c r="BK29" s="42"/>
      <c r="BL29" s="203"/>
      <c r="BM29" s="203"/>
      <c r="BN29" s="42"/>
      <c r="BO29" s="42"/>
      <c r="BP29" s="143"/>
      <c r="BQ29" s="143"/>
      <c r="BR29" s="192"/>
      <c r="BS29" s="192"/>
      <c r="BT29" s="192"/>
      <c r="BU29" s="192"/>
      <c r="BV29" s="192"/>
      <c r="BW29" s="192"/>
      <c r="BX29" s="146" t="str">
        <f t="shared" si="8"/>
        <v/>
      </c>
    </row>
    <row r="30">
      <c r="A30" s="106" t="str">
        <f t="shared" si="1"/>
        <v/>
      </c>
      <c r="B30" s="183" t="str">
        <f t="array" ref="B30">IF(ISBLANK($AE30), "-",INDEX(Circuits!A:A,SUMPRODUCT(EXACT($AE30,Circuits!$A:$A)*ROW(Circuits!$A:$A))))</f>
        <v>-</v>
      </c>
      <c r="C30" s="183" t="str">
        <f t="array" ref="C30">IF(ISBLANK($AE30), "-",INDEX(Circuits!B:B,SUMPRODUCT(EXACT($AE30,Circuits!$A:$A)*ROW(Circuits!$A:$A))))</f>
        <v>-</v>
      </c>
      <c r="D30" s="183" t="str">
        <f t="array" ref="D30">IF(ISBLANK($AE30), "-",INDEX(Circuits!C:C,SUMPRODUCT(EXACT($AE30,Circuits!$A:$A)*ROW(Circuits!$A:$A))))</f>
        <v>-</v>
      </c>
      <c r="E30" s="183" t="str">
        <f t="array" ref="E30">IF(ISBLANK($AE30), "-",INDEX(Circuits!D:D,SUMPRODUCT(EXACT($AE30,Circuits!$A:$A)*ROW(Circuits!$A:$A))))</f>
        <v>-</v>
      </c>
      <c r="F30" s="183" t="str">
        <f t="array" ref="F30">IF(ISBLANK($AE30), "-",INDEX(Circuits!E:E,SUMPRODUCT(EXACT($AE30,Circuits!$A:$A)*ROW(Circuits!$A:$A))))</f>
        <v>-</v>
      </c>
      <c r="G30" s="183" t="str">
        <f t="array" ref="G30">IF(ISBLANK($AE30), "-",INDEX(Circuits!F:F,SUMPRODUCT(EXACT($AE30,Circuits!$A:$A)*ROW(Circuits!$A:$A))))</f>
        <v>-</v>
      </c>
      <c r="H30" s="183" t="str">
        <f t="array" ref="H30">IF(ISBLANK($AE30), "-",INDEX(Circuits!G:G,SUMPRODUCT(EXACT($AE30,Circuits!$A:$A)*ROW(Circuits!$A:$A))))</f>
        <v>-</v>
      </c>
      <c r="I30" s="183" t="str">
        <f t="array" ref="I30">IF(ISBLANK($AE30), "-",INDEX(Circuits!H:H,SUMPRODUCT(EXACT($AE30,Circuits!$A:$A)*ROW(Circuits!$A:$A))))</f>
        <v>-</v>
      </c>
      <c r="J30" s="183" t="str">
        <f t="array" ref="J30">IF(ISBLANK($AE30), "-",INDEX(Circuits!I:I,SUMPRODUCT(EXACT($AE30,Circuits!$A:$A)*ROW(Circuits!$A:$A))))</f>
        <v>-</v>
      </c>
      <c r="K30" s="183" t="str">
        <f t="array" ref="K30">IF(ISBLANK($AE30), "-",INDEX(Circuits!J:J,SUMPRODUCT(EXACT($AE30,Circuits!$A:$A)*ROW(Circuits!$A:$A))))</f>
        <v>-</v>
      </c>
      <c r="L30" s="183" t="str">
        <f t="array" ref="L30">IF(ISBLANK($AE30), "-",INDEX(Circuits!K:K,SUMPRODUCT(EXACT($AE30,Circuits!$A:$A)*ROW(Circuits!$A:$A))))</f>
        <v>-</v>
      </c>
      <c r="M30" s="183" t="str">
        <f t="array" ref="M30">IF(ISBLANK($AE30), "-",INDEX(Circuits!L:L,SUMPRODUCT(EXACT($AE30,Circuits!$A:$A)*ROW(Circuits!$A:$A))))</f>
        <v>-</v>
      </c>
      <c r="N30" s="183" t="str">
        <f t="array" ref="N30">IF(ISBLANK($AE30), "-",INDEX(Circuits!M:M,SUMPRODUCT(EXACT($AE30,Circuits!$A:$A)*ROW(Circuits!$A:$A))))</f>
        <v>-</v>
      </c>
      <c r="O30" s="183" t="str">
        <f t="array" ref="O30">IF(ISBLANK($AE30), "-",INDEX(Circuits!N:N,SUMPRODUCT(EXACT($AE30,Circuits!$A:$A)*ROW(Circuits!$A:$A))))</f>
        <v>-</v>
      </c>
      <c r="P30" s="183" t="str">
        <f t="array" ref="P30">IF(ISBLANK($AE30), "-",INDEX(Circuits!O:O,SUMPRODUCT(EXACT($AE30,Circuits!$A:$A)*ROW(Circuits!$A:$A))))</f>
        <v>-</v>
      </c>
      <c r="Q30" s="183" t="str">
        <f t="array" ref="Q30">IF(ISBLANK($AE30), "-",INDEX(Circuits!P:P,SUMPRODUCT(EXACT($AE30,Circuits!$A:$A)*ROW(Circuits!$A:$A))))</f>
        <v>-</v>
      </c>
      <c r="R30" s="183" t="str">
        <f t="array" ref="R30">IF(ISBLANK($AE30), "-",INDEX(Circuits!Q:Q,SUMPRODUCT(EXACT($AE30,Circuits!$A:$A)*ROW(Circuits!$A:$A))))</f>
        <v>-</v>
      </c>
      <c r="S30" s="183" t="str">
        <f t="array" ref="S30">IF(ISBLANK($AE30), "-",INDEX(Circuits!R:R,SUMPRODUCT(EXACT($AE30,Circuits!$A:$A)*ROW(Circuits!$A:$A))))</f>
        <v>-</v>
      </c>
      <c r="T30" s="183" t="str">
        <f t="array" ref="T30">IF(ISBLANK($AE30), "-",INDEX(Circuits!S:S,SUMPRODUCT(EXACT($AE30,Circuits!$A:$A)*ROW(Circuits!$A:$A))))</f>
        <v>-</v>
      </c>
      <c r="U30" s="183" t="str">
        <f t="array" ref="U30">IF(ISBLANK($AE30), "-",INDEX(Circuits!T:T,SUMPRODUCT(EXACT($AE30,Circuits!$A:$A)*ROW(Circuits!$A:$A))))</f>
        <v>-</v>
      </c>
      <c r="V30" s="183" t="str">
        <f t="array" ref="V30">IF(ISBLANK($AE30), "-",INDEX(Circuits!U:U,SUMPRODUCT(EXACT($AE30,Circuits!$A:$A)*ROW(Circuits!$A:$A))))</f>
        <v>-</v>
      </c>
      <c r="W30" s="183" t="str">
        <f t="array" ref="W30">IF(ISBLANK($AE30), "-",INDEX(Circuits!V:V,SUMPRODUCT(EXACT($AE30,Circuits!$A:$A)*ROW(Circuits!$A:$A))))</f>
        <v>-</v>
      </c>
      <c r="X30" s="183" t="str">
        <f t="array" ref="X30">IF(ISBLANK($AE30), "-",INDEX(Circuits!W:W,SUMPRODUCT(EXACT($AE30,Circuits!$A:$A)*ROW(Circuits!$A:$A))))</f>
        <v>-</v>
      </c>
      <c r="Y30" s="183" t="str">
        <f t="array" ref="Y30">IF(ISBLANK($AE30), "-",INDEX(Circuits!X:X,SUMPRODUCT(EXACT($AE30,Circuits!$A:$A)*ROW(Circuits!$A:$A))))</f>
        <v>-</v>
      </c>
      <c r="Z30" s="108" t="str">
        <f>IFERROR(__xludf.DUMMYFUNCTION("IFNA(CONCATENATE(UNIQUE(FILTER(Connections!R:R,Connections!A:A=B30))),""-"")"),"-")</f>
        <v>-</v>
      </c>
      <c r="AA30" s="119" t="str">
        <f t="array" ref="AA30">IF(ISBLANK($AE30), "-",INDEX(Circuits!Y:Y,SUMPRODUCT(EXACT($AE30,Circuits!$A:$A)*ROW(Circuits!$A:$A))))</f>
        <v>-</v>
      </c>
      <c r="AB30" s="121" t="str">
        <f t="array" ref="AB30">IF(ISBLANK($AE30), "-",INDEX(Circuits!Z:Z,SUMPRODUCT(EXACT($AE30,Circuits!$A:$A)*ROW(Circuits!$A:$A))))</f>
        <v>-</v>
      </c>
      <c r="AC30" s="194"/>
      <c r="AD30" s="194"/>
      <c r="AE30" s="40"/>
      <c r="AF30" s="43"/>
      <c r="AG30" s="126" t="str">
        <f>IFERROR(__xludf.DUMMYFUNCTION("IF(ISBLANK(AF30), """", TEXTJOIN(CHAR(10),TRUE,ARRAYFORMULA(IF(ISERROR(SEARCH(SPLIT(AF30, "";""), $Z30)), ""x"", ""-""))))"),"")</f>
        <v/>
      </c>
      <c r="AH30" s="127" t="str">
        <f>IFERROR(__xludf.DUMMYFUNCTION("IF(ISBLANK(AK30), """", TEXTJOIN("";"" &amp; CHAR(10), TRUE, UNIQUE(SPLIT(AK30, "";"" &amp; CHAR(10)), TRUE))&amp;"";"")"),"")</f>
        <v/>
      </c>
      <c r="AI30" s="128" t="str">
        <f>IFERROR(__xludf.DUMMYFUNCTION("IF(ISBLANK(AD30), IF(ISBLANK(AE30),,IFNA(TEXTJOIN("";"" &amp; CHAR(10), TRUE, FILTER(AE:AE, SEARCH(AE30&amp;"";"", AJ:AJ)))&amp;"";"", """")), TEXTJOIN("";"" &amp; CHAR(10), TRUE, UNIQUE(SPLIT(AH30 &amp; "";"" &amp; AH30 &amp; "";"" &amp; AL30, "";"" &amp; CHAR(10)), TRUE, TRUE))&amp;"";"")"),"")</f>
        <v/>
      </c>
      <c r="AJ30" s="126" t="str">
        <f>IFERROR(__xludf.DUMMYFUNCTION("IF(AN30="""", """", TEXTJOIN("";"" &amp; CHAR(10), TRUE, UNIQUE(SPLIT(AH30 &amp; "";"" &amp; AH30 &amp; "";"" &amp; AN30, "";"" &amp; CHAR(10)), TRUE, TRUE))&amp;"";"")"),"")</f>
        <v/>
      </c>
      <c r="AK30" s="129" t="str">
        <f>IFERROR(__xludf.DUMMYFUNCTION("IF(ISBLANK(AD30), IF(ISBLANK(AE30),,AE30 &amp; "";""), TEXTJOIN(CHAR(10), TRUE, ARRAYFORMULA(VLOOKUP(SPLIT(AD30, "";"" &amp; CHAR(10)), $AC:$AH, 6, FALSE))))"),"")</f>
        <v/>
      </c>
      <c r="AL30" s="130" t="str">
        <f>IFERROR(__xludf.DUMMYFUNCTION("IF(AM30="""", """", TEXTJOIN("";"" &amp; CHAR(10), TRUE, UNIQUE(SPLIT(AM30, "";"" &amp; CHAR(10)), TRUE))&amp;"";"")"),"")</f>
        <v/>
      </c>
      <c r="AM30" s="130" t="str">
        <f>IFERROR(__xludf.DUMMYFUNCTION("IF(ISBLANK(AD30), """", TEXTJOIN(CHAR(10), TRUE, ARRAYFORMULA(VLOOKUP(SPLIT(AH30, "";"" &amp; CHAR(10)), $AE:$AI, 5, FALSE)), AF30))"),"")</f>
        <v/>
      </c>
      <c r="AN30" s="132" t="str">
        <f>IFERROR(__xludf.DUMMYFUNCTION("IF(ISBLANK(AO30), """", TEXTJOIN("";"" &amp; CHAR(10), TRUE, UNIQUE(SPLIT(AO30, "";"" &amp; CHAR(10)), TRUE))&amp;"";"")"),"")</f>
        <v/>
      </c>
      <c r="AO30" s="134" t="str">
        <f>IFERROR(__xludf.DUMMYFUNCTION("IF(ISBLANK(AD30), AF30, TEXTJOIN(CHAR(10), TRUE, ARRAYFORMULA(VLOOKUP(SPLIT(AD30, "";"" &amp; CHAR(10)), $AC:$AN, 12, FALSE))))"),"")</f>
        <v/>
      </c>
      <c r="AP30" s="130" t="str">
        <f>IF(ISBLANK(AE30),,IF(IFERROR(SEARCH(AE30&amp;";",Circuits!$AO$2),0),TRUE,FALSE))</f>
        <v/>
      </c>
      <c r="AQ30" s="130" t="str">
        <f t="shared" si="2"/>
        <v/>
      </c>
      <c r="AR30" s="130" t="str">
        <f t="shared" si="3"/>
        <v/>
      </c>
      <c r="AS30" s="136" t="str">
        <f>IFERROR(__xludf.DUMMYFUNCTION("IF(AH30="""",,SUM(ARRAYFORMULA(IF(IFERROR(SEARCH(SPLIT(AH30,CHAR(10)),Circuits!$AO$2),0)&gt;0,0,1))))"),"")</f>
        <v/>
      </c>
      <c r="AT30" s="138" t="str">
        <f t="shared" si="4"/>
        <v/>
      </c>
      <c r="AU30" s="138" t="str">
        <f t="shared" si="5"/>
        <v/>
      </c>
      <c r="AV30" s="130" t="str">
        <f>IFERROR(__xludf.DUMMYFUNCTION("IF(AI30="""",,TEXTJOIN("", "",TRUE,ARRAYFORMULA(VLOOKUP(SPLIT(AI30,"";""&amp;CHAR(10)),AE:AT,16,FALSE))))"),"")</f>
        <v/>
      </c>
      <c r="AW30" s="130" t="str">
        <f>IFERROR(__xludf.DUMMYFUNCTION("IF(ISBLANK(BK30),,TEXTJOIN("", "",TRUE,ARRAYFORMULA(VLOOKUP(IFERROR(REGEXEXTRACT(SPLIT(BK30,"";""&amp;CHAR(10)),""\[(.+)\]"")),AE:AT,16,false))))"),"")</f>
        <v/>
      </c>
      <c r="AX30" s="139" t="str">
        <f t="shared" si="6"/>
        <v/>
      </c>
      <c r="AY30" s="139" t="str">
        <f t="shared" si="7"/>
        <v/>
      </c>
      <c r="AZ30" s="106" t="str">
        <f>IFERROR(__xludf.DUMMYFUNCTION("IF(ISBLANK(AD30), BC30, TEXTJOIN(CHAR(10) &amp; CHAR(10), TRUE, ARRAYFORMULA(VLOOKUP(SPLIT(AD30, "";"" &amp; CHAR(10)), $AC:$AY, 23, FALSE))))"),"")</f>
        <v/>
      </c>
      <c r="BA30" s="140" t="s">
        <v>66</v>
      </c>
      <c r="BB30" s="190"/>
      <c r="BC30" s="196"/>
      <c r="BD30" s="106" t="str">
        <f>IFERROR(__xludf.DUMMYFUNCTION("IF(IFERROR(SEARCH(""&lt;&lt;mechanism to realize the capability&gt;&gt;"",BA30),0)=0,
 ""!! Error !! “Capability&amp;Mechanism” column: Invalid Separator:"" &amp; CHAR(10) &amp; ""Insert separator “&lt;&lt;mechanism to realize the capability&gt;&gt;.”"",
 IF(
  LEN(TRIM(CLEAN(
    INDEX(
  "&amp;"    SPLIT(BA30,""&lt;&lt;mechanism to realize the capability&gt;&gt;"",FALSE,FALSE),
      1
    )
  )))=0,
  ""!! Error !! “Capability&amp;Mechanism” column: No Capability:""  &amp; CHAR(10) &amp; ""Describe Capability before separator."",
  INDEX(
    SPLIT(BA30,""&lt;&lt;mechanism "&amp;"to realize the capability&gt;&gt;"",FALSE,FALSE),
    1
  )
 )
)
"),"!! Error !! “Capability&amp;Mechanism” column: No Capability:
Describe Capability before separator.")</f>
        <v>!! Error !! “Capability&amp;Mechanism” column: No Capability:
Describe Capability before separator.</v>
      </c>
      <c r="BE30" s="190"/>
      <c r="BF30" s="195"/>
      <c r="BG30" s="42"/>
      <c r="BH30" s="190"/>
      <c r="BI30" s="196"/>
      <c r="BJ30" s="42"/>
      <c r="BK30" s="42"/>
      <c r="BL30" s="203"/>
      <c r="BM30" s="203"/>
      <c r="BN30" s="42"/>
      <c r="BO30" s="42"/>
      <c r="BP30" s="143"/>
      <c r="BQ30" s="143"/>
      <c r="BR30" s="192"/>
      <c r="BS30" s="192"/>
      <c r="BT30" s="192"/>
      <c r="BU30" s="192"/>
      <c r="BV30" s="192"/>
      <c r="BW30" s="192"/>
      <c r="BX30" s="146" t="str">
        <f t="shared" si="8"/>
        <v/>
      </c>
    </row>
    <row r="31">
      <c r="A31" s="106" t="str">
        <f t="shared" si="1"/>
        <v/>
      </c>
      <c r="B31" s="183" t="str">
        <f t="array" ref="B31">IF(ISBLANK($AE31), "-",INDEX(Circuits!A:A,SUMPRODUCT(EXACT($AE31,Circuits!$A:$A)*ROW(Circuits!$A:$A))))</f>
        <v>-</v>
      </c>
      <c r="C31" s="183" t="str">
        <f t="array" ref="C31">IF(ISBLANK($AE31), "-",INDEX(Circuits!B:B,SUMPRODUCT(EXACT($AE31,Circuits!$A:$A)*ROW(Circuits!$A:$A))))</f>
        <v>-</v>
      </c>
      <c r="D31" s="183" t="str">
        <f t="array" ref="D31">IF(ISBLANK($AE31), "-",INDEX(Circuits!C:C,SUMPRODUCT(EXACT($AE31,Circuits!$A:$A)*ROW(Circuits!$A:$A))))</f>
        <v>-</v>
      </c>
      <c r="E31" s="183" t="str">
        <f t="array" ref="E31">IF(ISBLANK($AE31), "-",INDEX(Circuits!D:D,SUMPRODUCT(EXACT($AE31,Circuits!$A:$A)*ROW(Circuits!$A:$A))))</f>
        <v>-</v>
      </c>
      <c r="F31" s="183" t="str">
        <f t="array" ref="F31">IF(ISBLANK($AE31), "-",INDEX(Circuits!E:E,SUMPRODUCT(EXACT($AE31,Circuits!$A:$A)*ROW(Circuits!$A:$A))))</f>
        <v>-</v>
      </c>
      <c r="G31" s="183" t="str">
        <f t="array" ref="G31">IF(ISBLANK($AE31), "-",INDEX(Circuits!F:F,SUMPRODUCT(EXACT($AE31,Circuits!$A:$A)*ROW(Circuits!$A:$A))))</f>
        <v>-</v>
      </c>
      <c r="H31" s="183" t="str">
        <f t="array" ref="H31">IF(ISBLANK($AE31), "-",INDEX(Circuits!G:G,SUMPRODUCT(EXACT($AE31,Circuits!$A:$A)*ROW(Circuits!$A:$A))))</f>
        <v>-</v>
      </c>
      <c r="I31" s="183" t="str">
        <f t="array" ref="I31">IF(ISBLANK($AE31), "-",INDEX(Circuits!H:H,SUMPRODUCT(EXACT($AE31,Circuits!$A:$A)*ROW(Circuits!$A:$A))))</f>
        <v>-</v>
      </c>
      <c r="J31" s="183" t="str">
        <f t="array" ref="J31">IF(ISBLANK($AE31), "-",INDEX(Circuits!I:I,SUMPRODUCT(EXACT($AE31,Circuits!$A:$A)*ROW(Circuits!$A:$A))))</f>
        <v>-</v>
      </c>
      <c r="K31" s="183" t="str">
        <f t="array" ref="K31">IF(ISBLANK($AE31), "-",INDEX(Circuits!J:J,SUMPRODUCT(EXACT($AE31,Circuits!$A:$A)*ROW(Circuits!$A:$A))))</f>
        <v>-</v>
      </c>
      <c r="L31" s="183" t="str">
        <f t="array" ref="L31">IF(ISBLANK($AE31), "-",INDEX(Circuits!K:K,SUMPRODUCT(EXACT($AE31,Circuits!$A:$A)*ROW(Circuits!$A:$A))))</f>
        <v>-</v>
      </c>
      <c r="M31" s="183" t="str">
        <f t="array" ref="M31">IF(ISBLANK($AE31), "-",INDEX(Circuits!L:L,SUMPRODUCT(EXACT($AE31,Circuits!$A:$A)*ROW(Circuits!$A:$A))))</f>
        <v>-</v>
      </c>
      <c r="N31" s="183" t="str">
        <f t="array" ref="N31">IF(ISBLANK($AE31), "-",INDEX(Circuits!M:M,SUMPRODUCT(EXACT($AE31,Circuits!$A:$A)*ROW(Circuits!$A:$A))))</f>
        <v>-</v>
      </c>
      <c r="O31" s="183" t="str">
        <f t="array" ref="O31">IF(ISBLANK($AE31), "-",INDEX(Circuits!N:N,SUMPRODUCT(EXACT($AE31,Circuits!$A:$A)*ROW(Circuits!$A:$A))))</f>
        <v>-</v>
      </c>
      <c r="P31" s="183" t="str">
        <f t="array" ref="P31">IF(ISBLANK($AE31), "-",INDEX(Circuits!O:O,SUMPRODUCT(EXACT($AE31,Circuits!$A:$A)*ROW(Circuits!$A:$A))))</f>
        <v>-</v>
      </c>
      <c r="Q31" s="183" t="str">
        <f t="array" ref="Q31">IF(ISBLANK($AE31), "-",INDEX(Circuits!P:P,SUMPRODUCT(EXACT($AE31,Circuits!$A:$A)*ROW(Circuits!$A:$A))))</f>
        <v>-</v>
      </c>
      <c r="R31" s="183" t="str">
        <f t="array" ref="R31">IF(ISBLANK($AE31), "-",INDEX(Circuits!Q:Q,SUMPRODUCT(EXACT($AE31,Circuits!$A:$A)*ROW(Circuits!$A:$A))))</f>
        <v>-</v>
      </c>
      <c r="S31" s="183" t="str">
        <f t="array" ref="S31">IF(ISBLANK($AE31), "-",INDEX(Circuits!R:R,SUMPRODUCT(EXACT($AE31,Circuits!$A:$A)*ROW(Circuits!$A:$A))))</f>
        <v>-</v>
      </c>
      <c r="T31" s="183" t="str">
        <f t="array" ref="T31">IF(ISBLANK($AE31), "-",INDEX(Circuits!S:S,SUMPRODUCT(EXACT($AE31,Circuits!$A:$A)*ROW(Circuits!$A:$A))))</f>
        <v>-</v>
      </c>
      <c r="U31" s="183" t="str">
        <f t="array" ref="U31">IF(ISBLANK($AE31), "-",INDEX(Circuits!T:T,SUMPRODUCT(EXACT($AE31,Circuits!$A:$A)*ROW(Circuits!$A:$A))))</f>
        <v>-</v>
      </c>
      <c r="V31" s="183" t="str">
        <f t="array" ref="V31">IF(ISBLANK($AE31), "-",INDEX(Circuits!U:U,SUMPRODUCT(EXACT($AE31,Circuits!$A:$A)*ROW(Circuits!$A:$A))))</f>
        <v>-</v>
      </c>
      <c r="W31" s="183" t="str">
        <f t="array" ref="W31">IF(ISBLANK($AE31), "-",INDEX(Circuits!V:V,SUMPRODUCT(EXACT($AE31,Circuits!$A:$A)*ROW(Circuits!$A:$A))))</f>
        <v>-</v>
      </c>
      <c r="X31" s="183" t="str">
        <f t="array" ref="X31">IF(ISBLANK($AE31), "-",INDEX(Circuits!W:W,SUMPRODUCT(EXACT($AE31,Circuits!$A:$A)*ROW(Circuits!$A:$A))))</f>
        <v>-</v>
      </c>
      <c r="Y31" s="183" t="str">
        <f t="array" ref="Y31">IF(ISBLANK($AE31), "-",INDEX(Circuits!X:X,SUMPRODUCT(EXACT($AE31,Circuits!$A:$A)*ROW(Circuits!$A:$A))))</f>
        <v>-</v>
      </c>
      <c r="Z31" s="108" t="str">
        <f>IFERROR(__xludf.DUMMYFUNCTION("IFNA(CONCATENATE(UNIQUE(FILTER(Connections!R:R,Connections!A:A=B31))),""-"")"),"-")</f>
        <v>-</v>
      </c>
      <c r="AA31" s="119" t="str">
        <f t="array" ref="AA31">IF(ISBLANK($AE31), "-",INDEX(Circuits!Y:Y,SUMPRODUCT(EXACT($AE31,Circuits!$A:$A)*ROW(Circuits!$A:$A))))</f>
        <v>-</v>
      </c>
      <c r="AB31" s="121" t="str">
        <f t="array" ref="AB31">IF(ISBLANK($AE31), "-",INDEX(Circuits!Z:Z,SUMPRODUCT(EXACT($AE31,Circuits!$A:$A)*ROW(Circuits!$A:$A))))</f>
        <v>-</v>
      </c>
      <c r="AC31" s="194"/>
      <c r="AD31" s="194"/>
      <c r="AE31" s="40"/>
      <c r="AF31" s="43"/>
      <c r="AG31" s="126" t="str">
        <f>IFERROR(__xludf.DUMMYFUNCTION("IF(ISBLANK(AF31), """", TEXTJOIN(CHAR(10),TRUE,ARRAYFORMULA(IF(ISERROR(SEARCH(SPLIT(AF31, "";""), $Z31)), ""x"", ""-""))))"),"")</f>
        <v/>
      </c>
      <c r="AH31" s="127" t="str">
        <f>IFERROR(__xludf.DUMMYFUNCTION("IF(ISBLANK(AK31), """", TEXTJOIN("";"" &amp; CHAR(10), TRUE, UNIQUE(SPLIT(AK31, "";"" &amp; CHAR(10)), TRUE))&amp;"";"")"),"")</f>
        <v/>
      </c>
      <c r="AI31" s="128" t="str">
        <f>IFERROR(__xludf.DUMMYFUNCTION("IF(ISBLANK(AD31), IF(ISBLANK(AE31),,IFNA(TEXTJOIN("";"" &amp; CHAR(10), TRUE, FILTER(AE:AE, SEARCH(AE31&amp;"";"", AJ:AJ)))&amp;"";"", """")), TEXTJOIN("";"" &amp; CHAR(10), TRUE, UNIQUE(SPLIT(AH31 &amp; "";"" &amp; AH31 &amp; "";"" &amp; AL31, "";"" &amp; CHAR(10)), TRUE, TRUE))&amp;"";"")"),"")</f>
        <v/>
      </c>
      <c r="AJ31" s="126" t="str">
        <f>IFERROR(__xludf.DUMMYFUNCTION("IF(AN31="""", """", TEXTJOIN("";"" &amp; CHAR(10), TRUE, UNIQUE(SPLIT(AH31 &amp; "";"" &amp; AH31 &amp; "";"" &amp; AN31, "";"" &amp; CHAR(10)), TRUE, TRUE))&amp;"";"")"),"")</f>
        <v/>
      </c>
      <c r="AK31" s="129" t="str">
        <f>IFERROR(__xludf.DUMMYFUNCTION("IF(ISBLANK(AD31), IF(ISBLANK(AE31),,AE31 &amp; "";""), TEXTJOIN(CHAR(10), TRUE, ARRAYFORMULA(VLOOKUP(SPLIT(AD31, "";"" &amp; CHAR(10)), $AC:$AH, 6, FALSE))))"),"")</f>
        <v/>
      </c>
      <c r="AL31" s="130" t="str">
        <f>IFERROR(__xludf.DUMMYFUNCTION("IF(AM31="""", """", TEXTJOIN("";"" &amp; CHAR(10), TRUE, UNIQUE(SPLIT(AM31, "";"" &amp; CHAR(10)), TRUE))&amp;"";"")"),"")</f>
        <v/>
      </c>
      <c r="AM31" s="130" t="str">
        <f>IFERROR(__xludf.DUMMYFUNCTION("IF(ISBLANK(AD31), """", TEXTJOIN(CHAR(10), TRUE, ARRAYFORMULA(VLOOKUP(SPLIT(AH31, "";"" &amp; CHAR(10)), $AE:$AI, 5, FALSE)), AF31))"),"")</f>
        <v/>
      </c>
      <c r="AN31" s="132" t="str">
        <f>IFERROR(__xludf.DUMMYFUNCTION("IF(ISBLANK(AO31), """", TEXTJOIN("";"" &amp; CHAR(10), TRUE, UNIQUE(SPLIT(AO31, "";"" &amp; CHAR(10)), TRUE))&amp;"";"")"),"")</f>
        <v/>
      </c>
      <c r="AO31" s="134" t="str">
        <f>IFERROR(__xludf.DUMMYFUNCTION("IF(ISBLANK(AD31), AF31, TEXTJOIN(CHAR(10), TRUE, ARRAYFORMULA(VLOOKUP(SPLIT(AD31, "";"" &amp; CHAR(10)), $AC:$AN, 12, FALSE))))"),"")</f>
        <v/>
      </c>
      <c r="AP31" s="130" t="str">
        <f>IF(ISBLANK(AE31),,IF(IFERROR(SEARCH(AE31&amp;";",Circuits!$AO$2),0),TRUE,FALSE))</f>
        <v/>
      </c>
      <c r="AQ31" s="130" t="str">
        <f t="shared" si="2"/>
        <v/>
      </c>
      <c r="AR31" s="130" t="str">
        <f t="shared" si="3"/>
        <v/>
      </c>
      <c r="AS31" s="136" t="str">
        <f>IFERROR(__xludf.DUMMYFUNCTION("IF(AH31="""",,SUM(ARRAYFORMULA(IF(IFERROR(SEARCH(SPLIT(AH31,CHAR(10)),Circuits!$AO$2),0)&gt;0,0,1))))"),"")</f>
        <v/>
      </c>
      <c r="AT31" s="138" t="str">
        <f t="shared" si="4"/>
        <v/>
      </c>
      <c r="AU31" s="138" t="str">
        <f t="shared" si="5"/>
        <v/>
      </c>
      <c r="AV31" s="130" t="str">
        <f>IFERROR(__xludf.DUMMYFUNCTION("IF(AI31="""",,TEXTJOIN("", "",TRUE,ARRAYFORMULA(VLOOKUP(SPLIT(AI31,"";""&amp;CHAR(10)),AE:AT,16,FALSE))))"),"")</f>
        <v/>
      </c>
      <c r="AW31" s="130" t="str">
        <f>IFERROR(__xludf.DUMMYFUNCTION("IF(ISBLANK(BK31),,TEXTJOIN("", "",TRUE,ARRAYFORMULA(VLOOKUP(IFERROR(REGEXEXTRACT(SPLIT(BK31,"";""&amp;CHAR(10)),""\[(.+)\]"")),AE:AT,16,false))))"),"")</f>
        <v/>
      </c>
      <c r="AX31" s="139" t="str">
        <f t="shared" si="6"/>
        <v/>
      </c>
      <c r="AY31" s="139" t="str">
        <f t="shared" si="7"/>
        <v/>
      </c>
      <c r="AZ31" s="106" t="str">
        <f>IFERROR(__xludf.DUMMYFUNCTION("IF(ISBLANK(AD31), BC31, TEXTJOIN(CHAR(10) &amp; CHAR(10), TRUE, ARRAYFORMULA(VLOOKUP(SPLIT(AD31, "";"" &amp; CHAR(10)), $AC:$AY, 23, FALSE))))"),"")</f>
        <v/>
      </c>
      <c r="BA31" s="140" t="s">
        <v>66</v>
      </c>
      <c r="BB31" s="190"/>
      <c r="BC31" s="196"/>
      <c r="BD31" s="106" t="str">
        <f>IFERROR(__xludf.DUMMYFUNCTION("IF(IFERROR(SEARCH(""&lt;&lt;mechanism to realize the capability&gt;&gt;"",BA31),0)=0,
 ""!! Error !! “Capability&amp;Mechanism” column: Invalid Separator:"" &amp; CHAR(10) &amp; ""Insert separator “&lt;&lt;mechanism to realize the capability&gt;&gt;.”"",
 IF(
  LEN(TRIM(CLEAN(
    INDEX(
  "&amp;"    SPLIT(BA31,""&lt;&lt;mechanism to realize the capability&gt;&gt;"",FALSE,FALSE),
      1
    )
  )))=0,
  ""!! Error !! “Capability&amp;Mechanism” column: No Capability:""  &amp; CHAR(10) &amp; ""Describe Capability before separator."",
  INDEX(
    SPLIT(BA31,""&lt;&lt;mechanism "&amp;"to realize the capability&gt;&gt;"",FALSE,FALSE),
    1
  )
 )
)
"),"!! Error !! “Capability&amp;Mechanism” column: No Capability:
Describe Capability before separator.")</f>
        <v>!! Error !! “Capability&amp;Mechanism” column: No Capability:
Describe Capability before separator.</v>
      </c>
      <c r="BE31" s="190"/>
      <c r="BF31" s="195"/>
      <c r="BG31" s="42"/>
      <c r="BH31" s="190"/>
      <c r="BI31" s="196"/>
      <c r="BJ31" s="42"/>
      <c r="BK31" s="42"/>
      <c r="BL31" s="203"/>
      <c r="BM31" s="203"/>
      <c r="BN31" s="42"/>
      <c r="BO31" s="42"/>
      <c r="BP31" s="143"/>
      <c r="BQ31" s="143"/>
      <c r="BR31" s="192"/>
      <c r="BS31" s="192"/>
      <c r="BT31" s="192"/>
      <c r="BU31" s="192"/>
      <c r="BV31" s="192"/>
      <c r="BW31" s="192"/>
      <c r="BX31" s="146" t="str">
        <f t="shared" si="8"/>
        <v/>
      </c>
    </row>
    <row r="32">
      <c r="A32" s="106" t="str">
        <f t="shared" si="1"/>
        <v/>
      </c>
      <c r="B32" s="183" t="str">
        <f t="array" ref="B32">IF(ISBLANK($AE32), "-",INDEX(Circuits!A:A,SUMPRODUCT(EXACT($AE32,Circuits!$A:$A)*ROW(Circuits!$A:$A))))</f>
        <v>-</v>
      </c>
      <c r="C32" s="183" t="str">
        <f t="array" ref="C32">IF(ISBLANK($AE32), "-",INDEX(Circuits!B:B,SUMPRODUCT(EXACT($AE32,Circuits!$A:$A)*ROW(Circuits!$A:$A))))</f>
        <v>-</v>
      </c>
      <c r="D32" s="183" t="str">
        <f t="array" ref="D32">IF(ISBLANK($AE32), "-",INDEX(Circuits!C:C,SUMPRODUCT(EXACT($AE32,Circuits!$A:$A)*ROW(Circuits!$A:$A))))</f>
        <v>-</v>
      </c>
      <c r="E32" s="183" t="str">
        <f t="array" ref="E32">IF(ISBLANK($AE32), "-",INDEX(Circuits!D:D,SUMPRODUCT(EXACT($AE32,Circuits!$A:$A)*ROW(Circuits!$A:$A))))</f>
        <v>-</v>
      </c>
      <c r="F32" s="183" t="str">
        <f t="array" ref="F32">IF(ISBLANK($AE32), "-",INDEX(Circuits!E:E,SUMPRODUCT(EXACT($AE32,Circuits!$A:$A)*ROW(Circuits!$A:$A))))</f>
        <v>-</v>
      </c>
      <c r="G32" s="183" t="str">
        <f t="array" ref="G32">IF(ISBLANK($AE32), "-",INDEX(Circuits!F:F,SUMPRODUCT(EXACT($AE32,Circuits!$A:$A)*ROW(Circuits!$A:$A))))</f>
        <v>-</v>
      </c>
      <c r="H32" s="183" t="str">
        <f t="array" ref="H32">IF(ISBLANK($AE32), "-",INDEX(Circuits!G:G,SUMPRODUCT(EXACT($AE32,Circuits!$A:$A)*ROW(Circuits!$A:$A))))</f>
        <v>-</v>
      </c>
      <c r="I32" s="183" t="str">
        <f t="array" ref="I32">IF(ISBLANK($AE32), "-",INDEX(Circuits!H:H,SUMPRODUCT(EXACT($AE32,Circuits!$A:$A)*ROW(Circuits!$A:$A))))</f>
        <v>-</v>
      </c>
      <c r="J32" s="183" t="str">
        <f t="array" ref="J32">IF(ISBLANK($AE32), "-",INDEX(Circuits!I:I,SUMPRODUCT(EXACT($AE32,Circuits!$A:$A)*ROW(Circuits!$A:$A))))</f>
        <v>-</v>
      </c>
      <c r="K32" s="183" t="str">
        <f t="array" ref="K32">IF(ISBLANK($AE32), "-",INDEX(Circuits!J:J,SUMPRODUCT(EXACT($AE32,Circuits!$A:$A)*ROW(Circuits!$A:$A))))</f>
        <v>-</v>
      </c>
      <c r="L32" s="183" t="str">
        <f t="array" ref="L32">IF(ISBLANK($AE32), "-",INDEX(Circuits!K:K,SUMPRODUCT(EXACT($AE32,Circuits!$A:$A)*ROW(Circuits!$A:$A))))</f>
        <v>-</v>
      </c>
      <c r="M32" s="183" t="str">
        <f t="array" ref="M32">IF(ISBLANK($AE32), "-",INDEX(Circuits!L:L,SUMPRODUCT(EXACT($AE32,Circuits!$A:$A)*ROW(Circuits!$A:$A))))</f>
        <v>-</v>
      </c>
      <c r="N32" s="183" t="str">
        <f t="array" ref="N32">IF(ISBLANK($AE32), "-",INDEX(Circuits!M:M,SUMPRODUCT(EXACT($AE32,Circuits!$A:$A)*ROW(Circuits!$A:$A))))</f>
        <v>-</v>
      </c>
      <c r="O32" s="183" t="str">
        <f t="array" ref="O32">IF(ISBLANK($AE32), "-",INDEX(Circuits!N:N,SUMPRODUCT(EXACT($AE32,Circuits!$A:$A)*ROW(Circuits!$A:$A))))</f>
        <v>-</v>
      </c>
      <c r="P32" s="183" t="str">
        <f t="array" ref="P32">IF(ISBLANK($AE32), "-",INDEX(Circuits!O:O,SUMPRODUCT(EXACT($AE32,Circuits!$A:$A)*ROW(Circuits!$A:$A))))</f>
        <v>-</v>
      </c>
      <c r="Q32" s="183" t="str">
        <f t="array" ref="Q32">IF(ISBLANK($AE32), "-",INDEX(Circuits!P:P,SUMPRODUCT(EXACT($AE32,Circuits!$A:$A)*ROW(Circuits!$A:$A))))</f>
        <v>-</v>
      </c>
      <c r="R32" s="183" t="str">
        <f t="array" ref="R32">IF(ISBLANK($AE32), "-",INDEX(Circuits!Q:Q,SUMPRODUCT(EXACT($AE32,Circuits!$A:$A)*ROW(Circuits!$A:$A))))</f>
        <v>-</v>
      </c>
      <c r="S32" s="183" t="str">
        <f t="array" ref="S32">IF(ISBLANK($AE32), "-",INDEX(Circuits!R:R,SUMPRODUCT(EXACT($AE32,Circuits!$A:$A)*ROW(Circuits!$A:$A))))</f>
        <v>-</v>
      </c>
      <c r="T32" s="183" t="str">
        <f t="array" ref="T32">IF(ISBLANK($AE32), "-",INDEX(Circuits!S:S,SUMPRODUCT(EXACT($AE32,Circuits!$A:$A)*ROW(Circuits!$A:$A))))</f>
        <v>-</v>
      </c>
      <c r="U32" s="183" t="str">
        <f t="array" ref="U32">IF(ISBLANK($AE32), "-",INDEX(Circuits!T:T,SUMPRODUCT(EXACT($AE32,Circuits!$A:$A)*ROW(Circuits!$A:$A))))</f>
        <v>-</v>
      </c>
      <c r="V32" s="183" t="str">
        <f t="array" ref="V32">IF(ISBLANK($AE32), "-",INDEX(Circuits!U:U,SUMPRODUCT(EXACT($AE32,Circuits!$A:$A)*ROW(Circuits!$A:$A))))</f>
        <v>-</v>
      </c>
      <c r="W32" s="183" t="str">
        <f t="array" ref="W32">IF(ISBLANK($AE32), "-",INDEX(Circuits!V:V,SUMPRODUCT(EXACT($AE32,Circuits!$A:$A)*ROW(Circuits!$A:$A))))</f>
        <v>-</v>
      </c>
      <c r="X32" s="183" t="str">
        <f t="array" ref="X32">IF(ISBLANK($AE32), "-",INDEX(Circuits!W:W,SUMPRODUCT(EXACT($AE32,Circuits!$A:$A)*ROW(Circuits!$A:$A))))</f>
        <v>-</v>
      </c>
      <c r="Y32" s="183" t="str">
        <f t="array" ref="Y32">IF(ISBLANK($AE32), "-",INDEX(Circuits!X:X,SUMPRODUCT(EXACT($AE32,Circuits!$A:$A)*ROW(Circuits!$A:$A))))</f>
        <v>-</v>
      </c>
      <c r="Z32" s="108" t="str">
        <f>IFERROR(__xludf.DUMMYFUNCTION("IFNA(CONCATENATE(UNIQUE(FILTER(Connections!R:R,Connections!A:A=B32))),""-"")"),"-")</f>
        <v>-</v>
      </c>
      <c r="AA32" s="119" t="str">
        <f t="array" ref="AA32">IF(ISBLANK($AE32), "-",INDEX(Circuits!Y:Y,SUMPRODUCT(EXACT($AE32,Circuits!$A:$A)*ROW(Circuits!$A:$A))))</f>
        <v>-</v>
      </c>
      <c r="AB32" s="121" t="str">
        <f t="array" ref="AB32">IF(ISBLANK($AE32), "-",INDEX(Circuits!Z:Z,SUMPRODUCT(EXACT($AE32,Circuits!$A:$A)*ROW(Circuits!$A:$A))))</f>
        <v>-</v>
      </c>
      <c r="AC32" s="194"/>
      <c r="AD32" s="194"/>
      <c r="AE32" s="40"/>
      <c r="AF32" s="43"/>
      <c r="AG32" s="126" t="str">
        <f>IFERROR(__xludf.DUMMYFUNCTION("IF(ISBLANK(AF32), """", TEXTJOIN(CHAR(10),TRUE,ARRAYFORMULA(IF(ISERROR(SEARCH(SPLIT(AF32, "";""), $Z32)), ""x"", ""-""))))"),"")</f>
        <v/>
      </c>
      <c r="AH32" s="127" t="str">
        <f>IFERROR(__xludf.DUMMYFUNCTION("IF(ISBLANK(AK32), """", TEXTJOIN("";"" &amp; CHAR(10), TRUE, UNIQUE(SPLIT(AK32, "";"" &amp; CHAR(10)), TRUE))&amp;"";"")"),"")</f>
        <v/>
      </c>
      <c r="AI32" s="128" t="str">
        <f>IFERROR(__xludf.DUMMYFUNCTION("IF(ISBLANK(AD32), IF(ISBLANK(AE32),,IFNA(TEXTJOIN("";"" &amp; CHAR(10), TRUE, FILTER(AE:AE, SEARCH(AE32&amp;"";"", AJ:AJ)))&amp;"";"", """")), TEXTJOIN("";"" &amp; CHAR(10), TRUE, UNIQUE(SPLIT(AH32 &amp; "";"" &amp; AH32 &amp; "";"" &amp; AL32, "";"" &amp; CHAR(10)), TRUE, TRUE))&amp;"";"")"),"")</f>
        <v/>
      </c>
      <c r="AJ32" s="126" t="str">
        <f>IFERROR(__xludf.DUMMYFUNCTION("IF(AN32="""", """", TEXTJOIN("";"" &amp; CHAR(10), TRUE, UNIQUE(SPLIT(AH32 &amp; "";"" &amp; AH32 &amp; "";"" &amp; AN32, "";"" &amp; CHAR(10)), TRUE, TRUE))&amp;"";"")"),"")</f>
        <v/>
      </c>
      <c r="AK32" s="129" t="str">
        <f>IFERROR(__xludf.DUMMYFUNCTION("IF(ISBLANK(AD32), IF(ISBLANK(AE32),,AE32 &amp; "";""), TEXTJOIN(CHAR(10), TRUE, ARRAYFORMULA(VLOOKUP(SPLIT(AD32, "";"" &amp; CHAR(10)), $AC:$AH, 6, FALSE))))"),"")</f>
        <v/>
      </c>
      <c r="AL32" s="130" t="str">
        <f>IFERROR(__xludf.DUMMYFUNCTION("IF(AM32="""", """", TEXTJOIN("";"" &amp; CHAR(10), TRUE, UNIQUE(SPLIT(AM32, "";"" &amp; CHAR(10)), TRUE))&amp;"";"")"),"")</f>
        <v/>
      </c>
      <c r="AM32" s="130" t="str">
        <f>IFERROR(__xludf.DUMMYFUNCTION("IF(ISBLANK(AD32), """", TEXTJOIN(CHAR(10), TRUE, ARRAYFORMULA(VLOOKUP(SPLIT(AH32, "";"" &amp; CHAR(10)), $AE:$AI, 5, FALSE)), AF32))"),"")</f>
        <v/>
      </c>
      <c r="AN32" s="132" t="str">
        <f>IFERROR(__xludf.DUMMYFUNCTION("IF(ISBLANK(AO32), """", TEXTJOIN("";"" &amp; CHAR(10), TRUE, UNIQUE(SPLIT(AO32, "";"" &amp; CHAR(10)), TRUE))&amp;"";"")"),"")</f>
        <v/>
      </c>
      <c r="AO32" s="134" t="str">
        <f>IFERROR(__xludf.DUMMYFUNCTION("IF(ISBLANK(AD32), AF32, TEXTJOIN(CHAR(10), TRUE, ARRAYFORMULA(VLOOKUP(SPLIT(AD32, "";"" &amp; CHAR(10)), $AC:$AN, 12, FALSE))))"),"")</f>
        <v/>
      </c>
      <c r="AP32" s="130" t="str">
        <f>IF(ISBLANK(AE32),,IF(IFERROR(SEARCH(AE32&amp;";",Circuits!$AO$2),0),TRUE,FALSE))</f>
        <v/>
      </c>
      <c r="AQ32" s="130" t="str">
        <f t="shared" si="2"/>
        <v/>
      </c>
      <c r="AR32" s="130" t="str">
        <f t="shared" si="3"/>
        <v/>
      </c>
      <c r="AS32" s="136" t="str">
        <f>IFERROR(__xludf.DUMMYFUNCTION("IF(AH32="""",,SUM(ARRAYFORMULA(IF(IFERROR(SEARCH(SPLIT(AH32,CHAR(10)),Circuits!$AO$2),0)&gt;0,0,1))))"),"")</f>
        <v/>
      </c>
      <c r="AT32" s="138" t="str">
        <f t="shared" si="4"/>
        <v/>
      </c>
      <c r="AU32" s="138" t="str">
        <f t="shared" si="5"/>
        <v/>
      </c>
      <c r="AV32" s="130" t="str">
        <f>IFERROR(__xludf.DUMMYFUNCTION("IF(AI32="""",,TEXTJOIN("", "",TRUE,ARRAYFORMULA(VLOOKUP(SPLIT(AI32,"";""&amp;CHAR(10)),AE:AT,16,FALSE))))"),"")</f>
        <v/>
      </c>
      <c r="AW32" s="130" t="str">
        <f>IFERROR(__xludf.DUMMYFUNCTION("IF(ISBLANK(BK32),,TEXTJOIN("", "",TRUE,ARRAYFORMULA(VLOOKUP(IFERROR(REGEXEXTRACT(SPLIT(BK32,"";""&amp;CHAR(10)),""\[(.+)\]"")),AE:AT,16,false))))"),"")</f>
        <v/>
      </c>
      <c r="AX32" s="139" t="str">
        <f t="shared" si="6"/>
        <v/>
      </c>
      <c r="AY32" s="139" t="str">
        <f t="shared" si="7"/>
        <v/>
      </c>
      <c r="AZ32" s="106" t="str">
        <f>IFERROR(__xludf.DUMMYFUNCTION("IF(ISBLANK(AD32), BC32, TEXTJOIN(CHAR(10) &amp; CHAR(10), TRUE, ARRAYFORMULA(VLOOKUP(SPLIT(AD32, "";"" &amp; CHAR(10)), $AC:$AY, 23, FALSE))))"),"")</f>
        <v/>
      </c>
      <c r="BA32" s="140" t="s">
        <v>66</v>
      </c>
      <c r="BB32" s="190"/>
      <c r="BC32" s="196"/>
      <c r="BD32" s="106" t="str">
        <f>IFERROR(__xludf.DUMMYFUNCTION("IF(IFERROR(SEARCH(""&lt;&lt;mechanism to realize the capability&gt;&gt;"",BA32),0)=0,
 ""!! Error !! “Capability&amp;Mechanism” column: Invalid Separator:"" &amp; CHAR(10) &amp; ""Insert separator “&lt;&lt;mechanism to realize the capability&gt;&gt;.”"",
 IF(
  LEN(TRIM(CLEAN(
    INDEX(
  "&amp;"    SPLIT(BA32,""&lt;&lt;mechanism to realize the capability&gt;&gt;"",FALSE,FALSE),
      1
    )
  )))=0,
  ""!! Error !! “Capability&amp;Mechanism” column: No Capability:""  &amp; CHAR(10) &amp; ""Describe Capability before separator."",
  INDEX(
    SPLIT(BA32,""&lt;&lt;mechanism "&amp;"to realize the capability&gt;&gt;"",FALSE,FALSE),
    1
  )
 )
)
"),"!! Error !! “Capability&amp;Mechanism” column: No Capability:
Describe Capability before separator.")</f>
        <v>!! Error !! “Capability&amp;Mechanism” column: No Capability:
Describe Capability before separator.</v>
      </c>
      <c r="BE32" s="190"/>
      <c r="BF32" s="185"/>
      <c r="BG32" s="38"/>
      <c r="BH32" s="190"/>
      <c r="BI32" s="196"/>
      <c r="BJ32" s="38"/>
      <c r="BK32" s="38"/>
      <c r="BL32" s="191"/>
      <c r="BM32" s="191"/>
      <c r="BN32" s="38"/>
      <c r="BO32" s="38"/>
      <c r="BP32" s="143"/>
      <c r="BQ32" s="143"/>
      <c r="BR32" s="192"/>
      <c r="BS32" s="192"/>
      <c r="BT32" s="192"/>
      <c r="BU32" s="192"/>
      <c r="BV32" s="192"/>
      <c r="BW32" s="192"/>
      <c r="BX32" s="146" t="str">
        <f t="shared" si="8"/>
        <v/>
      </c>
    </row>
    <row r="33">
      <c r="A33" s="106" t="str">
        <f t="shared" si="1"/>
        <v/>
      </c>
      <c r="B33" s="183" t="str">
        <f t="array" ref="B33">IF(ISBLANK($AE33), "-",INDEX(Circuits!A:A,SUMPRODUCT(EXACT($AE33,Circuits!$A:$A)*ROW(Circuits!$A:$A))))</f>
        <v>-</v>
      </c>
      <c r="C33" s="183" t="str">
        <f t="array" ref="C33">IF(ISBLANK($AE33), "-",INDEX(Circuits!B:B,SUMPRODUCT(EXACT($AE33,Circuits!$A:$A)*ROW(Circuits!$A:$A))))</f>
        <v>-</v>
      </c>
      <c r="D33" s="183" t="str">
        <f t="array" ref="D33">IF(ISBLANK($AE33), "-",INDEX(Circuits!C:C,SUMPRODUCT(EXACT($AE33,Circuits!$A:$A)*ROW(Circuits!$A:$A))))</f>
        <v>-</v>
      </c>
      <c r="E33" s="183" t="str">
        <f t="array" ref="E33">IF(ISBLANK($AE33), "-",INDEX(Circuits!D:D,SUMPRODUCT(EXACT($AE33,Circuits!$A:$A)*ROW(Circuits!$A:$A))))</f>
        <v>-</v>
      </c>
      <c r="F33" s="183" t="str">
        <f t="array" ref="F33">IF(ISBLANK($AE33), "-",INDEX(Circuits!E:E,SUMPRODUCT(EXACT($AE33,Circuits!$A:$A)*ROW(Circuits!$A:$A))))</f>
        <v>-</v>
      </c>
      <c r="G33" s="183" t="str">
        <f t="array" ref="G33">IF(ISBLANK($AE33), "-",INDEX(Circuits!F:F,SUMPRODUCT(EXACT($AE33,Circuits!$A:$A)*ROW(Circuits!$A:$A))))</f>
        <v>-</v>
      </c>
      <c r="H33" s="183" t="str">
        <f t="array" ref="H33">IF(ISBLANK($AE33), "-",INDEX(Circuits!G:G,SUMPRODUCT(EXACT($AE33,Circuits!$A:$A)*ROW(Circuits!$A:$A))))</f>
        <v>-</v>
      </c>
      <c r="I33" s="183" t="str">
        <f t="array" ref="I33">IF(ISBLANK($AE33), "-",INDEX(Circuits!H:H,SUMPRODUCT(EXACT($AE33,Circuits!$A:$A)*ROW(Circuits!$A:$A))))</f>
        <v>-</v>
      </c>
      <c r="J33" s="183" t="str">
        <f t="array" ref="J33">IF(ISBLANK($AE33), "-",INDEX(Circuits!I:I,SUMPRODUCT(EXACT($AE33,Circuits!$A:$A)*ROW(Circuits!$A:$A))))</f>
        <v>-</v>
      </c>
      <c r="K33" s="183" t="str">
        <f t="array" ref="K33">IF(ISBLANK($AE33), "-",INDEX(Circuits!J:J,SUMPRODUCT(EXACT($AE33,Circuits!$A:$A)*ROW(Circuits!$A:$A))))</f>
        <v>-</v>
      </c>
      <c r="L33" s="183" t="str">
        <f t="array" ref="L33">IF(ISBLANK($AE33), "-",INDEX(Circuits!K:K,SUMPRODUCT(EXACT($AE33,Circuits!$A:$A)*ROW(Circuits!$A:$A))))</f>
        <v>-</v>
      </c>
      <c r="M33" s="183" t="str">
        <f t="array" ref="M33">IF(ISBLANK($AE33), "-",INDEX(Circuits!L:L,SUMPRODUCT(EXACT($AE33,Circuits!$A:$A)*ROW(Circuits!$A:$A))))</f>
        <v>-</v>
      </c>
      <c r="N33" s="183" t="str">
        <f t="array" ref="N33">IF(ISBLANK($AE33), "-",INDEX(Circuits!M:M,SUMPRODUCT(EXACT($AE33,Circuits!$A:$A)*ROW(Circuits!$A:$A))))</f>
        <v>-</v>
      </c>
      <c r="O33" s="183" t="str">
        <f t="array" ref="O33">IF(ISBLANK($AE33), "-",INDEX(Circuits!N:N,SUMPRODUCT(EXACT($AE33,Circuits!$A:$A)*ROW(Circuits!$A:$A))))</f>
        <v>-</v>
      </c>
      <c r="P33" s="183" t="str">
        <f t="array" ref="P33">IF(ISBLANK($AE33), "-",INDEX(Circuits!O:O,SUMPRODUCT(EXACT($AE33,Circuits!$A:$A)*ROW(Circuits!$A:$A))))</f>
        <v>-</v>
      </c>
      <c r="Q33" s="183" t="str">
        <f t="array" ref="Q33">IF(ISBLANK($AE33), "-",INDEX(Circuits!P:P,SUMPRODUCT(EXACT($AE33,Circuits!$A:$A)*ROW(Circuits!$A:$A))))</f>
        <v>-</v>
      </c>
      <c r="R33" s="183" t="str">
        <f t="array" ref="R33">IF(ISBLANK($AE33), "-",INDEX(Circuits!Q:Q,SUMPRODUCT(EXACT($AE33,Circuits!$A:$A)*ROW(Circuits!$A:$A))))</f>
        <v>-</v>
      </c>
      <c r="S33" s="183" t="str">
        <f t="array" ref="S33">IF(ISBLANK($AE33), "-",INDEX(Circuits!R:R,SUMPRODUCT(EXACT($AE33,Circuits!$A:$A)*ROW(Circuits!$A:$A))))</f>
        <v>-</v>
      </c>
      <c r="T33" s="183" t="str">
        <f t="array" ref="T33">IF(ISBLANK($AE33), "-",INDEX(Circuits!S:S,SUMPRODUCT(EXACT($AE33,Circuits!$A:$A)*ROW(Circuits!$A:$A))))</f>
        <v>-</v>
      </c>
      <c r="U33" s="183" t="str">
        <f t="array" ref="U33">IF(ISBLANK($AE33), "-",INDEX(Circuits!T:T,SUMPRODUCT(EXACT($AE33,Circuits!$A:$A)*ROW(Circuits!$A:$A))))</f>
        <v>-</v>
      </c>
      <c r="V33" s="183" t="str">
        <f t="array" ref="V33">IF(ISBLANK($AE33), "-",INDEX(Circuits!U:U,SUMPRODUCT(EXACT($AE33,Circuits!$A:$A)*ROW(Circuits!$A:$A))))</f>
        <v>-</v>
      </c>
      <c r="W33" s="183" t="str">
        <f t="array" ref="W33">IF(ISBLANK($AE33), "-",INDEX(Circuits!V:V,SUMPRODUCT(EXACT($AE33,Circuits!$A:$A)*ROW(Circuits!$A:$A))))</f>
        <v>-</v>
      </c>
      <c r="X33" s="183" t="str">
        <f t="array" ref="X33">IF(ISBLANK($AE33), "-",INDEX(Circuits!W:W,SUMPRODUCT(EXACT($AE33,Circuits!$A:$A)*ROW(Circuits!$A:$A))))</f>
        <v>-</v>
      </c>
      <c r="Y33" s="183" t="str">
        <f t="array" ref="Y33">IF(ISBLANK($AE33), "-",INDEX(Circuits!X:X,SUMPRODUCT(EXACT($AE33,Circuits!$A:$A)*ROW(Circuits!$A:$A))))</f>
        <v>-</v>
      </c>
      <c r="Z33" s="108" t="str">
        <f>IFERROR(__xludf.DUMMYFUNCTION("IFNA(CONCATENATE(UNIQUE(FILTER(Connections!R:R,Connections!A:A=B33))),""-"")"),"-")</f>
        <v>-</v>
      </c>
      <c r="AA33" s="119" t="str">
        <f t="array" ref="AA33">IF(ISBLANK($AE33), "-",INDEX(Circuits!Y:Y,SUMPRODUCT(EXACT($AE33,Circuits!$A:$A)*ROW(Circuits!$A:$A))))</f>
        <v>-</v>
      </c>
      <c r="AB33" s="121" t="str">
        <f t="array" ref="AB33">IF(ISBLANK($AE33), "-",INDEX(Circuits!Z:Z,SUMPRODUCT(EXACT($AE33,Circuits!$A:$A)*ROW(Circuits!$A:$A))))</f>
        <v>-</v>
      </c>
      <c r="AC33" s="194"/>
      <c r="AD33" s="194"/>
      <c r="AE33" s="40"/>
      <c r="AF33" s="43"/>
      <c r="AG33" s="126" t="str">
        <f>IFERROR(__xludf.DUMMYFUNCTION("IF(ISBLANK(AF33), """", TEXTJOIN(CHAR(10),TRUE,ARRAYFORMULA(IF(ISERROR(SEARCH(SPLIT(AF33, "";""), $Z33)), ""x"", ""-""))))"),"")</f>
        <v/>
      </c>
      <c r="AH33" s="127" t="str">
        <f>IFERROR(__xludf.DUMMYFUNCTION("IF(ISBLANK(AK33), """", TEXTJOIN("";"" &amp; CHAR(10), TRUE, UNIQUE(SPLIT(AK33, "";"" &amp; CHAR(10)), TRUE))&amp;"";"")"),"")</f>
        <v/>
      </c>
      <c r="AI33" s="128" t="str">
        <f>IFERROR(__xludf.DUMMYFUNCTION("IF(ISBLANK(AD33), IF(ISBLANK(AE33),,IFNA(TEXTJOIN("";"" &amp; CHAR(10), TRUE, FILTER(AE:AE, SEARCH(AE33&amp;"";"", AJ:AJ)))&amp;"";"", """")), TEXTJOIN("";"" &amp; CHAR(10), TRUE, UNIQUE(SPLIT(AH33 &amp; "";"" &amp; AH33 &amp; "";"" &amp; AL33, "";"" &amp; CHAR(10)), TRUE, TRUE))&amp;"";"")"),"")</f>
        <v/>
      </c>
      <c r="AJ33" s="126" t="str">
        <f>IFERROR(__xludf.DUMMYFUNCTION("IF(AN33="""", """", TEXTJOIN("";"" &amp; CHAR(10), TRUE, UNIQUE(SPLIT(AH33 &amp; "";"" &amp; AH33 &amp; "";"" &amp; AN33, "";"" &amp; CHAR(10)), TRUE, TRUE))&amp;"";"")"),"")</f>
        <v/>
      </c>
      <c r="AK33" s="129" t="str">
        <f>IFERROR(__xludf.DUMMYFUNCTION("IF(ISBLANK(AD33), IF(ISBLANK(AE33),,AE33 &amp; "";""), TEXTJOIN(CHAR(10), TRUE, ARRAYFORMULA(VLOOKUP(SPLIT(AD33, "";"" &amp; CHAR(10)), $AC:$AH, 6, FALSE))))"),"")</f>
        <v/>
      </c>
      <c r="AL33" s="130" t="str">
        <f>IFERROR(__xludf.DUMMYFUNCTION("IF(AM33="""", """", TEXTJOIN("";"" &amp; CHAR(10), TRUE, UNIQUE(SPLIT(AM33, "";"" &amp; CHAR(10)), TRUE))&amp;"";"")"),"")</f>
        <v/>
      </c>
      <c r="AM33" s="130" t="str">
        <f>IFERROR(__xludf.DUMMYFUNCTION("IF(ISBLANK(AD33), """", TEXTJOIN(CHAR(10), TRUE, ARRAYFORMULA(VLOOKUP(SPLIT(AH33, "";"" &amp; CHAR(10)), $AE:$AI, 5, FALSE)), AF33))"),"")</f>
        <v/>
      </c>
      <c r="AN33" s="132" t="str">
        <f>IFERROR(__xludf.DUMMYFUNCTION("IF(ISBLANK(AO33), """", TEXTJOIN("";"" &amp; CHAR(10), TRUE, UNIQUE(SPLIT(AO33, "";"" &amp; CHAR(10)), TRUE))&amp;"";"")"),"")</f>
        <v/>
      </c>
      <c r="AO33" s="134" t="str">
        <f>IFERROR(__xludf.DUMMYFUNCTION("IF(ISBLANK(AD33), AF33, TEXTJOIN(CHAR(10), TRUE, ARRAYFORMULA(VLOOKUP(SPLIT(AD33, "";"" &amp; CHAR(10)), $AC:$AN, 12, FALSE))))"),"")</f>
        <v/>
      </c>
      <c r="AP33" s="130" t="str">
        <f>IF(ISBLANK(AE33),,IF(IFERROR(SEARCH(AE33&amp;";",Circuits!$AO$2),0),TRUE,FALSE))</f>
        <v/>
      </c>
      <c r="AQ33" s="130" t="str">
        <f t="shared" si="2"/>
        <v/>
      </c>
      <c r="AR33" s="130" t="str">
        <f t="shared" si="3"/>
        <v/>
      </c>
      <c r="AS33" s="136" t="str">
        <f>IFERROR(__xludf.DUMMYFUNCTION("IF(AH33="""",,SUM(ARRAYFORMULA(IF(IFERROR(SEARCH(SPLIT(AH33,CHAR(10)),Circuits!$AO$2),0)&gt;0,0,1))))"),"")</f>
        <v/>
      </c>
      <c r="AT33" s="138" t="str">
        <f t="shared" si="4"/>
        <v/>
      </c>
      <c r="AU33" s="138" t="str">
        <f t="shared" si="5"/>
        <v/>
      </c>
      <c r="AV33" s="130" t="str">
        <f>IFERROR(__xludf.DUMMYFUNCTION("IF(AI33="""",,TEXTJOIN("", "",TRUE,ARRAYFORMULA(VLOOKUP(SPLIT(AI33,"";""&amp;CHAR(10)),AE:AT,16,FALSE))))"),"")</f>
        <v/>
      </c>
      <c r="AW33" s="130" t="str">
        <f>IFERROR(__xludf.DUMMYFUNCTION("IF(ISBLANK(BK33),,TEXTJOIN("", "",TRUE,ARRAYFORMULA(VLOOKUP(IFERROR(REGEXEXTRACT(SPLIT(BK33,"";""&amp;CHAR(10)),""\[(.+)\]"")),AE:AT,16,false))))"),"")</f>
        <v/>
      </c>
      <c r="AX33" s="139" t="str">
        <f t="shared" si="6"/>
        <v/>
      </c>
      <c r="AY33" s="139" t="str">
        <f t="shared" si="7"/>
        <v/>
      </c>
      <c r="AZ33" s="106" t="str">
        <f>IFERROR(__xludf.DUMMYFUNCTION("IF(ISBLANK(AD33), BC33, TEXTJOIN(CHAR(10) &amp; CHAR(10), TRUE, ARRAYFORMULA(VLOOKUP(SPLIT(AD33, "";"" &amp; CHAR(10)), $AC:$AY, 23, FALSE))))"),"")</f>
        <v/>
      </c>
      <c r="BA33" s="140" t="s">
        <v>66</v>
      </c>
      <c r="BB33" s="190"/>
      <c r="BC33" s="196"/>
      <c r="BD33" s="106" t="str">
        <f>IFERROR(__xludf.DUMMYFUNCTION("IF(IFERROR(SEARCH(""&lt;&lt;mechanism to realize the capability&gt;&gt;"",BA33),0)=0,
 ""!! Error !! “Capability&amp;Mechanism” column: Invalid Separator:"" &amp; CHAR(10) &amp; ""Insert separator “&lt;&lt;mechanism to realize the capability&gt;&gt;.”"",
 IF(
  LEN(TRIM(CLEAN(
    INDEX(
  "&amp;"    SPLIT(BA33,""&lt;&lt;mechanism to realize the capability&gt;&gt;"",FALSE,FALSE),
      1
    )
  )))=0,
  ""!! Error !! “Capability&amp;Mechanism” column: No Capability:""  &amp; CHAR(10) &amp; ""Describe Capability before separator."",
  INDEX(
    SPLIT(BA33,""&lt;&lt;mechanism "&amp;"to realize the capability&gt;&gt;"",FALSE,FALSE),
    1
  )
 )
)
"),"!! Error !! “Capability&amp;Mechanism” column: No Capability:
Describe Capability before separator.")</f>
        <v>!! Error !! “Capability&amp;Mechanism” column: No Capability:
Describe Capability before separator.</v>
      </c>
      <c r="BE33" s="190"/>
      <c r="BF33" s="195"/>
      <c r="BG33" s="42"/>
      <c r="BH33" s="190"/>
      <c r="BI33" s="196"/>
      <c r="BJ33" s="42"/>
      <c r="BK33" s="42"/>
      <c r="BL33" s="203"/>
      <c r="BM33" s="203"/>
      <c r="BN33" s="42"/>
      <c r="BO33" s="42"/>
      <c r="BP33" s="143"/>
      <c r="BQ33" s="143"/>
      <c r="BR33" s="192"/>
      <c r="BS33" s="192"/>
      <c r="BT33" s="192"/>
      <c r="BU33" s="192"/>
      <c r="BV33" s="192"/>
      <c r="BW33" s="192"/>
      <c r="BX33" s="146" t="str">
        <f t="shared" si="8"/>
        <v/>
      </c>
    </row>
    <row r="34">
      <c r="A34" s="106" t="str">
        <f t="shared" si="1"/>
        <v/>
      </c>
      <c r="B34" s="183" t="str">
        <f t="array" ref="B34">IF(ISBLANK($AE34), "-",INDEX(Circuits!A:A,SUMPRODUCT(EXACT($AE34,Circuits!$A:$A)*ROW(Circuits!$A:$A))))</f>
        <v>-</v>
      </c>
      <c r="C34" s="183" t="str">
        <f t="array" ref="C34">IF(ISBLANK($AE34), "-",INDEX(Circuits!B:B,SUMPRODUCT(EXACT($AE34,Circuits!$A:$A)*ROW(Circuits!$A:$A))))</f>
        <v>-</v>
      </c>
      <c r="D34" s="183" t="str">
        <f t="array" ref="D34">IF(ISBLANK($AE34), "-",INDEX(Circuits!C:C,SUMPRODUCT(EXACT($AE34,Circuits!$A:$A)*ROW(Circuits!$A:$A))))</f>
        <v>-</v>
      </c>
      <c r="E34" s="183" t="str">
        <f t="array" ref="E34">IF(ISBLANK($AE34), "-",INDEX(Circuits!D:D,SUMPRODUCT(EXACT($AE34,Circuits!$A:$A)*ROW(Circuits!$A:$A))))</f>
        <v>-</v>
      </c>
      <c r="F34" s="183" t="str">
        <f t="array" ref="F34">IF(ISBLANK($AE34), "-",INDEX(Circuits!E:E,SUMPRODUCT(EXACT($AE34,Circuits!$A:$A)*ROW(Circuits!$A:$A))))</f>
        <v>-</v>
      </c>
      <c r="G34" s="183" t="str">
        <f t="array" ref="G34">IF(ISBLANK($AE34), "-",INDEX(Circuits!F:F,SUMPRODUCT(EXACT($AE34,Circuits!$A:$A)*ROW(Circuits!$A:$A))))</f>
        <v>-</v>
      </c>
      <c r="H34" s="183" t="str">
        <f t="array" ref="H34">IF(ISBLANK($AE34), "-",INDEX(Circuits!G:G,SUMPRODUCT(EXACT($AE34,Circuits!$A:$A)*ROW(Circuits!$A:$A))))</f>
        <v>-</v>
      </c>
      <c r="I34" s="183" t="str">
        <f t="array" ref="I34">IF(ISBLANK($AE34), "-",INDEX(Circuits!H:H,SUMPRODUCT(EXACT($AE34,Circuits!$A:$A)*ROW(Circuits!$A:$A))))</f>
        <v>-</v>
      </c>
      <c r="J34" s="183" t="str">
        <f t="array" ref="J34">IF(ISBLANK($AE34), "-",INDEX(Circuits!I:I,SUMPRODUCT(EXACT($AE34,Circuits!$A:$A)*ROW(Circuits!$A:$A))))</f>
        <v>-</v>
      </c>
      <c r="K34" s="183" t="str">
        <f t="array" ref="K34">IF(ISBLANK($AE34), "-",INDEX(Circuits!J:J,SUMPRODUCT(EXACT($AE34,Circuits!$A:$A)*ROW(Circuits!$A:$A))))</f>
        <v>-</v>
      </c>
      <c r="L34" s="183" t="str">
        <f t="array" ref="L34">IF(ISBLANK($AE34), "-",INDEX(Circuits!K:K,SUMPRODUCT(EXACT($AE34,Circuits!$A:$A)*ROW(Circuits!$A:$A))))</f>
        <v>-</v>
      </c>
      <c r="M34" s="183" t="str">
        <f t="array" ref="M34">IF(ISBLANK($AE34), "-",INDEX(Circuits!L:L,SUMPRODUCT(EXACT($AE34,Circuits!$A:$A)*ROW(Circuits!$A:$A))))</f>
        <v>-</v>
      </c>
      <c r="N34" s="183" t="str">
        <f t="array" ref="N34">IF(ISBLANK($AE34), "-",INDEX(Circuits!M:M,SUMPRODUCT(EXACT($AE34,Circuits!$A:$A)*ROW(Circuits!$A:$A))))</f>
        <v>-</v>
      </c>
      <c r="O34" s="183" t="str">
        <f t="array" ref="O34">IF(ISBLANK($AE34), "-",INDEX(Circuits!N:N,SUMPRODUCT(EXACT($AE34,Circuits!$A:$A)*ROW(Circuits!$A:$A))))</f>
        <v>-</v>
      </c>
      <c r="P34" s="183" t="str">
        <f t="array" ref="P34">IF(ISBLANK($AE34), "-",INDEX(Circuits!O:O,SUMPRODUCT(EXACT($AE34,Circuits!$A:$A)*ROW(Circuits!$A:$A))))</f>
        <v>-</v>
      </c>
      <c r="Q34" s="183" t="str">
        <f t="array" ref="Q34">IF(ISBLANK($AE34), "-",INDEX(Circuits!P:P,SUMPRODUCT(EXACT($AE34,Circuits!$A:$A)*ROW(Circuits!$A:$A))))</f>
        <v>-</v>
      </c>
      <c r="R34" s="183" t="str">
        <f t="array" ref="R34">IF(ISBLANK($AE34), "-",INDEX(Circuits!Q:Q,SUMPRODUCT(EXACT($AE34,Circuits!$A:$A)*ROW(Circuits!$A:$A))))</f>
        <v>-</v>
      </c>
      <c r="S34" s="183" t="str">
        <f t="array" ref="S34">IF(ISBLANK($AE34), "-",INDEX(Circuits!R:R,SUMPRODUCT(EXACT($AE34,Circuits!$A:$A)*ROW(Circuits!$A:$A))))</f>
        <v>-</v>
      </c>
      <c r="T34" s="183" t="str">
        <f t="array" ref="T34">IF(ISBLANK($AE34), "-",INDEX(Circuits!S:S,SUMPRODUCT(EXACT($AE34,Circuits!$A:$A)*ROW(Circuits!$A:$A))))</f>
        <v>-</v>
      </c>
      <c r="U34" s="183" t="str">
        <f t="array" ref="U34">IF(ISBLANK($AE34), "-",INDEX(Circuits!T:T,SUMPRODUCT(EXACT($AE34,Circuits!$A:$A)*ROW(Circuits!$A:$A))))</f>
        <v>-</v>
      </c>
      <c r="V34" s="183" t="str">
        <f t="array" ref="V34">IF(ISBLANK($AE34), "-",INDEX(Circuits!U:U,SUMPRODUCT(EXACT($AE34,Circuits!$A:$A)*ROW(Circuits!$A:$A))))</f>
        <v>-</v>
      </c>
      <c r="W34" s="183" t="str">
        <f t="array" ref="W34">IF(ISBLANK($AE34), "-",INDEX(Circuits!V:V,SUMPRODUCT(EXACT($AE34,Circuits!$A:$A)*ROW(Circuits!$A:$A))))</f>
        <v>-</v>
      </c>
      <c r="X34" s="183" t="str">
        <f t="array" ref="X34">IF(ISBLANK($AE34), "-",INDEX(Circuits!W:W,SUMPRODUCT(EXACT($AE34,Circuits!$A:$A)*ROW(Circuits!$A:$A))))</f>
        <v>-</v>
      </c>
      <c r="Y34" s="183" t="str">
        <f t="array" ref="Y34">IF(ISBLANK($AE34), "-",INDEX(Circuits!X:X,SUMPRODUCT(EXACT($AE34,Circuits!$A:$A)*ROW(Circuits!$A:$A))))</f>
        <v>-</v>
      </c>
      <c r="Z34" s="108" t="str">
        <f>IFERROR(__xludf.DUMMYFUNCTION("IFNA(CONCATENATE(UNIQUE(FILTER(Connections!R:R,Connections!A:A=B34))),""-"")"),"-")</f>
        <v>-</v>
      </c>
      <c r="AA34" s="119" t="str">
        <f t="array" ref="AA34">IF(ISBLANK($AE34), "-",INDEX(Circuits!Y:Y,SUMPRODUCT(EXACT($AE34,Circuits!$A:$A)*ROW(Circuits!$A:$A))))</f>
        <v>-</v>
      </c>
      <c r="AB34" s="121" t="str">
        <f t="array" ref="AB34">IF(ISBLANK($AE34), "-",INDEX(Circuits!Z:Z,SUMPRODUCT(EXACT($AE34,Circuits!$A:$A)*ROW(Circuits!$A:$A))))</f>
        <v>-</v>
      </c>
      <c r="AC34" s="194"/>
      <c r="AD34" s="194"/>
      <c r="AE34" s="40"/>
      <c r="AF34" s="47"/>
      <c r="AG34" s="126" t="str">
        <f>IFERROR(__xludf.DUMMYFUNCTION("IF(ISBLANK(AF34), """", TEXTJOIN(CHAR(10),TRUE,ARRAYFORMULA(IF(ISERROR(SEARCH(SPLIT(AF34, "";""), $Z34)), ""x"", ""-""))))"),"")</f>
        <v/>
      </c>
      <c r="AH34" s="127" t="str">
        <f>IFERROR(__xludf.DUMMYFUNCTION("IF(ISBLANK(AK34), """", TEXTJOIN("";"" &amp; CHAR(10), TRUE, UNIQUE(SPLIT(AK34, "";"" &amp; CHAR(10)), TRUE))&amp;"";"")"),"")</f>
        <v/>
      </c>
      <c r="AI34" s="128" t="str">
        <f>IFERROR(__xludf.DUMMYFUNCTION("IF(ISBLANK(AD34), IF(ISBLANK(AE34),,IFNA(TEXTJOIN("";"" &amp; CHAR(10), TRUE, FILTER(AE:AE, SEARCH(AE34&amp;"";"", AJ:AJ)))&amp;"";"", """")), TEXTJOIN("";"" &amp; CHAR(10), TRUE, UNIQUE(SPLIT(AH34 &amp; "";"" &amp; AH34 &amp; "";"" &amp; AL34, "";"" &amp; CHAR(10)), TRUE, TRUE))&amp;"";"")"),"")</f>
        <v/>
      </c>
      <c r="AJ34" s="126" t="str">
        <f>IFERROR(__xludf.DUMMYFUNCTION("IF(AN34="""", """", TEXTJOIN("";"" &amp; CHAR(10), TRUE, UNIQUE(SPLIT(AH34 &amp; "";"" &amp; AH34 &amp; "";"" &amp; AN34, "";"" &amp; CHAR(10)), TRUE, TRUE))&amp;"";"")"),"")</f>
        <v/>
      </c>
      <c r="AK34" s="129" t="str">
        <f>IFERROR(__xludf.DUMMYFUNCTION("IF(ISBLANK(AD34), IF(ISBLANK(AE34),,AE34 &amp; "";""), TEXTJOIN(CHAR(10), TRUE, ARRAYFORMULA(VLOOKUP(SPLIT(AD34, "";"" &amp; CHAR(10)), $AC:$AH, 6, FALSE))))"),"")</f>
        <v/>
      </c>
      <c r="AL34" s="130" t="str">
        <f>IFERROR(__xludf.DUMMYFUNCTION("IF(AM34="""", """", TEXTJOIN("";"" &amp; CHAR(10), TRUE, UNIQUE(SPLIT(AM34, "";"" &amp; CHAR(10)), TRUE))&amp;"";"")"),"")</f>
        <v/>
      </c>
      <c r="AM34" s="130" t="str">
        <f>IFERROR(__xludf.DUMMYFUNCTION("IF(ISBLANK(AD34), """", TEXTJOIN(CHAR(10), TRUE, ARRAYFORMULA(VLOOKUP(SPLIT(AH34, "";"" &amp; CHAR(10)), $AE:$AI, 5, FALSE)), AF34))"),"")</f>
        <v/>
      </c>
      <c r="AN34" s="132" t="str">
        <f>IFERROR(__xludf.DUMMYFUNCTION("IF(ISBLANK(AO34), """", TEXTJOIN("";"" &amp; CHAR(10), TRUE, UNIQUE(SPLIT(AO34, "";"" &amp; CHAR(10)), TRUE))&amp;"";"")"),"")</f>
        <v/>
      </c>
      <c r="AO34" s="134" t="str">
        <f>IFERROR(__xludf.DUMMYFUNCTION("IF(ISBLANK(AD34), AF34, TEXTJOIN(CHAR(10), TRUE, ARRAYFORMULA(VLOOKUP(SPLIT(AD34, "";"" &amp; CHAR(10)), $AC:$AN, 12, FALSE))))"),"")</f>
        <v/>
      </c>
      <c r="AP34" s="130" t="str">
        <f>IF(ISBLANK(AE34),,IF(IFERROR(SEARCH(AE34&amp;";",Circuits!$AO$2),0),TRUE,FALSE))</f>
        <v/>
      </c>
      <c r="AQ34" s="130" t="str">
        <f t="shared" si="2"/>
        <v/>
      </c>
      <c r="AR34" s="130" t="str">
        <f t="shared" si="3"/>
        <v/>
      </c>
      <c r="AS34" s="136" t="str">
        <f>IFERROR(__xludf.DUMMYFUNCTION("IF(AH34="""",,SUM(ARRAYFORMULA(IF(IFERROR(SEARCH(SPLIT(AH34,CHAR(10)),Circuits!$AO$2),0)&gt;0,0,1))))"),"")</f>
        <v/>
      </c>
      <c r="AT34" s="138" t="str">
        <f t="shared" si="4"/>
        <v/>
      </c>
      <c r="AU34" s="138" t="str">
        <f t="shared" si="5"/>
        <v/>
      </c>
      <c r="AV34" s="130" t="str">
        <f>IFERROR(__xludf.DUMMYFUNCTION("IF(AI34="""",,TEXTJOIN("", "",TRUE,ARRAYFORMULA(VLOOKUP(SPLIT(AI34,"";""&amp;CHAR(10)),AE:AT,16,FALSE))))"),"")</f>
        <v/>
      </c>
      <c r="AW34" s="130" t="str">
        <f>IFERROR(__xludf.DUMMYFUNCTION("IF(ISBLANK(BK34),,TEXTJOIN("", "",TRUE,ARRAYFORMULA(VLOOKUP(IFERROR(REGEXEXTRACT(SPLIT(BK34,"";""&amp;CHAR(10)),""\[(.+)\]"")),AE:AT,16,false))))"),"")</f>
        <v/>
      </c>
      <c r="AX34" s="139" t="str">
        <f t="shared" si="6"/>
        <v/>
      </c>
      <c r="AY34" s="139" t="str">
        <f t="shared" si="7"/>
        <v/>
      </c>
      <c r="AZ34" s="106" t="str">
        <f>IFERROR(__xludf.DUMMYFUNCTION("IF(ISBLANK(AD34), BC34, TEXTJOIN(CHAR(10) &amp; CHAR(10), TRUE, ARRAYFORMULA(VLOOKUP(SPLIT(AD34, "";"" &amp; CHAR(10)), $AC:$AY, 23, FALSE))))"),"")</f>
        <v/>
      </c>
      <c r="BA34" s="140" t="s">
        <v>66</v>
      </c>
      <c r="BB34" s="190"/>
      <c r="BC34" s="196"/>
      <c r="BD34" s="106" t="str">
        <f>IFERROR(__xludf.DUMMYFUNCTION("IF(IFERROR(SEARCH(""&lt;&lt;mechanism to realize the capability&gt;&gt;"",BA34),0)=0,
 ""!! Error !! “Capability&amp;Mechanism” column: Invalid Separator:"" &amp; CHAR(10) &amp; ""Insert separator “&lt;&lt;mechanism to realize the capability&gt;&gt;.”"",
 IF(
  LEN(TRIM(CLEAN(
    INDEX(
  "&amp;"    SPLIT(BA34,""&lt;&lt;mechanism to realize the capability&gt;&gt;"",FALSE,FALSE),
      1
    )
  )))=0,
  ""!! Error !! “Capability&amp;Mechanism” column: No Capability:""  &amp; CHAR(10) &amp; ""Describe Capability before separator."",
  INDEX(
    SPLIT(BA34,""&lt;&lt;mechanism "&amp;"to realize the capability&gt;&gt;"",FALSE,FALSE),
    1
  )
 )
)
"),"!! Error !! “Capability&amp;Mechanism” column: No Capability:
Describe Capability before separator.")</f>
        <v>!! Error !! “Capability&amp;Mechanism” column: No Capability:
Describe Capability before separator.</v>
      </c>
      <c r="BE34" s="190"/>
      <c r="BF34" s="185"/>
      <c r="BG34" s="38"/>
      <c r="BH34" s="190"/>
      <c r="BI34" s="196"/>
      <c r="BJ34" s="38"/>
      <c r="BK34" s="38"/>
      <c r="BL34" s="191"/>
      <c r="BM34" s="191"/>
      <c r="BN34" s="38"/>
      <c r="BO34" s="38"/>
      <c r="BP34" s="143"/>
      <c r="BQ34" s="143"/>
      <c r="BR34" s="192"/>
      <c r="BS34" s="192"/>
      <c r="BT34" s="192"/>
      <c r="BU34" s="192"/>
      <c r="BV34" s="192"/>
      <c r="BW34" s="192"/>
      <c r="BX34" s="146" t="str">
        <f t="shared" si="8"/>
        <v/>
      </c>
    </row>
    <row r="35">
      <c r="A35" s="106" t="str">
        <f t="shared" si="1"/>
        <v/>
      </c>
      <c r="B35" s="183" t="str">
        <f t="array" ref="B35">IF(ISBLANK($AE35), "-",INDEX(Circuits!A:A,SUMPRODUCT(EXACT($AE35,Circuits!$A:$A)*ROW(Circuits!$A:$A))))</f>
        <v>-</v>
      </c>
      <c r="C35" s="183" t="str">
        <f t="array" ref="C35">IF(ISBLANK($AE35), "-",INDEX(Circuits!B:B,SUMPRODUCT(EXACT($AE35,Circuits!$A:$A)*ROW(Circuits!$A:$A))))</f>
        <v>-</v>
      </c>
      <c r="D35" s="183" t="str">
        <f t="array" ref="D35">IF(ISBLANK($AE35), "-",INDEX(Circuits!C:C,SUMPRODUCT(EXACT($AE35,Circuits!$A:$A)*ROW(Circuits!$A:$A))))</f>
        <v>-</v>
      </c>
      <c r="E35" s="183" t="str">
        <f t="array" ref="E35">IF(ISBLANK($AE35), "-",INDEX(Circuits!D:D,SUMPRODUCT(EXACT($AE35,Circuits!$A:$A)*ROW(Circuits!$A:$A))))</f>
        <v>-</v>
      </c>
      <c r="F35" s="183" t="str">
        <f t="array" ref="F35">IF(ISBLANK($AE35), "-",INDEX(Circuits!E:E,SUMPRODUCT(EXACT($AE35,Circuits!$A:$A)*ROW(Circuits!$A:$A))))</f>
        <v>-</v>
      </c>
      <c r="G35" s="183" t="str">
        <f t="array" ref="G35">IF(ISBLANK($AE35), "-",INDEX(Circuits!F:F,SUMPRODUCT(EXACT($AE35,Circuits!$A:$A)*ROW(Circuits!$A:$A))))</f>
        <v>-</v>
      </c>
      <c r="H35" s="183" t="str">
        <f t="array" ref="H35">IF(ISBLANK($AE35), "-",INDEX(Circuits!G:G,SUMPRODUCT(EXACT($AE35,Circuits!$A:$A)*ROW(Circuits!$A:$A))))</f>
        <v>-</v>
      </c>
      <c r="I35" s="183" t="str">
        <f t="array" ref="I35">IF(ISBLANK($AE35), "-",INDEX(Circuits!H:H,SUMPRODUCT(EXACT($AE35,Circuits!$A:$A)*ROW(Circuits!$A:$A))))</f>
        <v>-</v>
      </c>
      <c r="J35" s="183" t="str">
        <f t="array" ref="J35">IF(ISBLANK($AE35), "-",INDEX(Circuits!I:I,SUMPRODUCT(EXACT($AE35,Circuits!$A:$A)*ROW(Circuits!$A:$A))))</f>
        <v>-</v>
      </c>
      <c r="K35" s="183" t="str">
        <f t="array" ref="K35">IF(ISBLANK($AE35), "-",INDEX(Circuits!J:J,SUMPRODUCT(EXACT($AE35,Circuits!$A:$A)*ROW(Circuits!$A:$A))))</f>
        <v>-</v>
      </c>
      <c r="L35" s="183" t="str">
        <f t="array" ref="L35">IF(ISBLANK($AE35), "-",INDEX(Circuits!K:K,SUMPRODUCT(EXACT($AE35,Circuits!$A:$A)*ROW(Circuits!$A:$A))))</f>
        <v>-</v>
      </c>
      <c r="M35" s="183" t="str">
        <f t="array" ref="M35">IF(ISBLANK($AE35), "-",INDEX(Circuits!L:L,SUMPRODUCT(EXACT($AE35,Circuits!$A:$A)*ROW(Circuits!$A:$A))))</f>
        <v>-</v>
      </c>
      <c r="N35" s="183" t="str">
        <f t="array" ref="N35">IF(ISBLANK($AE35), "-",INDEX(Circuits!M:M,SUMPRODUCT(EXACT($AE35,Circuits!$A:$A)*ROW(Circuits!$A:$A))))</f>
        <v>-</v>
      </c>
      <c r="O35" s="183" t="str">
        <f t="array" ref="O35">IF(ISBLANK($AE35), "-",INDEX(Circuits!N:N,SUMPRODUCT(EXACT($AE35,Circuits!$A:$A)*ROW(Circuits!$A:$A))))</f>
        <v>-</v>
      </c>
      <c r="P35" s="183" t="str">
        <f t="array" ref="P35">IF(ISBLANK($AE35), "-",INDEX(Circuits!O:O,SUMPRODUCT(EXACT($AE35,Circuits!$A:$A)*ROW(Circuits!$A:$A))))</f>
        <v>-</v>
      </c>
      <c r="Q35" s="183" t="str">
        <f t="array" ref="Q35">IF(ISBLANK($AE35), "-",INDEX(Circuits!P:P,SUMPRODUCT(EXACT($AE35,Circuits!$A:$A)*ROW(Circuits!$A:$A))))</f>
        <v>-</v>
      </c>
      <c r="R35" s="183" t="str">
        <f t="array" ref="R35">IF(ISBLANK($AE35), "-",INDEX(Circuits!Q:Q,SUMPRODUCT(EXACT($AE35,Circuits!$A:$A)*ROW(Circuits!$A:$A))))</f>
        <v>-</v>
      </c>
      <c r="S35" s="183" t="str">
        <f t="array" ref="S35">IF(ISBLANK($AE35), "-",INDEX(Circuits!R:R,SUMPRODUCT(EXACT($AE35,Circuits!$A:$A)*ROW(Circuits!$A:$A))))</f>
        <v>-</v>
      </c>
      <c r="T35" s="183" t="str">
        <f t="array" ref="T35">IF(ISBLANK($AE35), "-",INDEX(Circuits!S:S,SUMPRODUCT(EXACT($AE35,Circuits!$A:$A)*ROW(Circuits!$A:$A))))</f>
        <v>-</v>
      </c>
      <c r="U35" s="183" t="str">
        <f t="array" ref="U35">IF(ISBLANK($AE35), "-",INDEX(Circuits!T:T,SUMPRODUCT(EXACT($AE35,Circuits!$A:$A)*ROW(Circuits!$A:$A))))</f>
        <v>-</v>
      </c>
      <c r="V35" s="183" t="str">
        <f t="array" ref="V35">IF(ISBLANK($AE35), "-",INDEX(Circuits!U:U,SUMPRODUCT(EXACT($AE35,Circuits!$A:$A)*ROW(Circuits!$A:$A))))</f>
        <v>-</v>
      </c>
      <c r="W35" s="183" t="str">
        <f t="array" ref="W35">IF(ISBLANK($AE35), "-",INDEX(Circuits!V:V,SUMPRODUCT(EXACT($AE35,Circuits!$A:$A)*ROW(Circuits!$A:$A))))</f>
        <v>-</v>
      </c>
      <c r="X35" s="183" t="str">
        <f t="array" ref="X35">IF(ISBLANK($AE35), "-",INDEX(Circuits!W:W,SUMPRODUCT(EXACT($AE35,Circuits!$A:$A)*ROW(Circuits!$A:$A))))</f>
        <v>-</v>
      </c>
      <c r="Y35" s="183" t="str">
        <f t="array" ref="Y35">IF(ISBLANK($AE35), "-",INDEX(Circuits!X:X,SUMPRODUCT(EXACT($AE35,Circuits!$A:$A)*ROW(Circuits!$A:$A))))</f>
        <v>-</v>
      </c>
      <c r="Z35" s="108" t="str">
        <f>IFERROR(__xludf.DUMMYFUNCTION("IFNA(CONCATENATE(UNIQUE(FILTER(Connections!R:R,Connections!A:A=B35))),""-"")"),"-")</f>
        <v>-</v>
      </c>
      <c r="AA35" s="119" t="str">
        <f t="array" ref="AA35">IF(ISBLANK($AE35), "-",INDEX(Circuits!Y:Y,SUMPRODUCT(EXACT($AE35,Circuits!$A:$A)*ROW(Circuits!$A:$A))))</f>
        <v>-</v>
      </c>
      <c r="AB35" s="121" t="str">
        <f t="array" ref="AB35">IF(ISBLANK($AE35), "-",INDEX(Circuits!Z:Z,SUMPRODUCT(EXACT($AE35,Circuits!$A:$A)*ROW(Circuits!$A:$A))))</f>
        <v>-</v>
      </c>
      <c r="AC35" s="194"/>
      <c r="AD35" s="194"/>
      <c r="AE35" s="40"/>
      <c r="AF35" s="47"/>
      <c r="AG35" s="126" t="str">
        <f>IFERROR(__xludf.DUMMYFUNCTION("IF(ISBLANK(AF35), """", TEXTJOIN(CHAR(10),TRUE,ARRAYFORMULA(IF(ISERROR(SEARCH(SPLIT(AF35, "";""), $Z35)), ""x"", ""-""))))"),"")</f>
        <v/>
      </c>
      <c r="AH35" s="127" t="str">
        <f>IFERROR(__xludf.DUMMYFUNCTION("IF(ISBLANK(AK35), """", TEXTJOIN("";"" &amp; CHAR(10), TRUE, UNIQUE(SPLIT(AK35, "";"" &amp; CHAR(10)), TRUE))&amp;"";"")"),"")</f>
        <v/>
      </c>
      <c r="AI35" s="128" t="str">
        <f>IFERROR(__xludf.DUMMYFUNCTION("IF(ISBLANK(AD35), IF(ISBLANK(AE35),,IFNA(TEXTJOIN("";"" &amp; CHAR(10), TRUE, FILTER(AE:AE, SEARCH(AE35&amp;"";"", AJ:AJ)))&amp;"";"", """")), TEXTJOIN("";"" &amp; CHAR(10), TRUE, UNIQUE(SPLIT(AH35 &amp; "";"" &amp; AH35 &amp; "";"" &amp; AL35, "";"" &amp; CHAR(10)), TRUE, TRUE))&amp;"";"")"),"")</f>
        <v/>
      </c>
      <c r="AJ35" s="126" t="str">
        <f>IFERROR(__xludf.DUMMYFUNCTION("IF(AN35="""", """", TEXTJOIN("";"" &amp; CHAR(10), TRUE, UNIQUE(SPLIT(AH35 &amp; "";"" &amp; AH35 &amp; "";"" &amp; AN35, "";"" &amp; CHAR(10)), TRUE, TRUE))&amp;"";"")"),"")</f>
        <v/>
      </c>
      <c r="AK35" s="129" t="str">
        <f>IFERROR(__xludf.DUMMYFUNCTION("IF(ISBLANK(AD35), IF(ISBLANK(AE35),,AE35 &amp; "";""), TEXTJOIN(CHAR(10), TRUE, ARRAYFORMULA(VLOOKUP(SPLIT(AD35, "";"" &amp; CHAR(10)), $AC:$AH, 6, FALSE))))"),"")</f>
        <v/>
      </c>
      <c r="AL35" s="130" t="str">
        <f>IFERROR(__xludf.DUMMYFUNCTION("IF(AM35="""", """", TEXTJOIN("";"" &amp; CHAR(10), TRUE, UNIQUE(SPLIT(AM35, "";"" &amp; CHAR(10)), TRUE))&amp;"";"")"),"")</f>
        <v/>
      </c>
      <c r="AM35" s="130" t="str">
        <f>IFERROR(__xludf.DUMMYFUNCTION("IF(ISBLANK(AD35), """", TEXTJOIN(CHAR(10), TRUE, ARRAYFORMULA(VLOOKUP(SPLIT(AH35, "";"" &amp; CHAR(10)), $AE:$AI, 5, FALSE)), AF35))"),"")</f>
        <v/>
      </c>
      <c r="AN35" s="132" t="str">
        <f>IFERROR(__xludf.DUMMYFUNCTION("IF(ISBLANK(AO35), """", TEXTJOIN("";"" &amp; CHAR(10), TRUE, UNIQUE(SPLIT(AO35, "";"" &amp; CHAR(10)), TRUE))&amp;"";"")"),"")</f>
        <v/>
      </c>
      <c r="AO35" s="134" t="str">
        <f>IFERROR(__xludf.DUMMYFUNCTION("IF(ISBLANK(AD35), AF35, TEXTJOIN(CHAR(10), TRUE, ARRAYFORMULA(VLOOKUP(SPLIT(AD35, "";"" &amp; CHAR(10)), $AC:$AN, 12, FALSE))))"),"")</f>
        <v/>
      </c>
      <c r="AP35" s="130" t="str">
        <f>IF(ISBLANK(AE35),,IF(IFERROR(SEARCH(AE35&amp;";",Circuits!$AO$2),0),TRUE,FALSE))</f>
        <v/>
      </c>
      <c r="AQ35" s="130" t="str">
        <f t="shared" si="2"/>
        <v/>
      </c>
      <c r="AR35" s="130" t="str">
        <f t="shared" si="3"/>
        <v/>
      </c>
      <c r="AS35" s="136" t="str">
        <f>IFERROR(__xludf.DUMMYFUNCTION("IF(AH35="""",,SUM(ARRAYFORMULA(IF(IFERROR(SEARCH(SPLIT(AH35,CHAR(10)),Circuits!$AO$2),0)&gt;0,0,1))))"),"")</f>
        <v/>
      </c>
      <c r="AT35" s="138" t="str">
        <f t="shared" si="4"/>
        <v/>
      </c>
      <c r="AU35" s="138" t="str">
        <f t="shared" si="5"/>
        <v/>
      </c>
      <c r="AV35" s="130" t="str">
        <f>IFERROR(__xludf.DUMMYFUNCTION("IF(AI35="""",,TEXTJOIN("", "",TRUE,ARRAYFORMULA(VLOOKUP(SPLIT(AI35,"";""&amp;CHAR(10)),AE:AT,16,FALSE))))"),"")</f>
        <v/>
      </c>
      <c r="AW35" s="130" t="str">
        <f>IFERROR(__xludf.DUMMYFUNCTION("IF(ISBLANK(BK35),,TEXTJOIN("", "",TRUE,ARRAYFORMULA(VLOOKUP(IFERROR(REGEXEXTRACT(SPLIT(BK35,"";""&amp;CHAR(10)),""\[(.+)\]"")),AE:AT,16,false))))"),"")</f>
        <v/>
      </c>
      <c r="AX35" s="139" t="str">
        <f t="shared" si="6"/>
        <v/>
      </c>
      <c r="AY35" s="139" t="str">
        <f t="shared" si="7"/>
        <v/>
      </c>
      <c r="AZ35" s="106" t="str">
        <f>IFERROR(__xludf.DUMMYFUNCTION("IF(ISBLANK(AD35), BC35, TEXTJOIN(CHAR(10) &amp; CHAR(10), TRUE, ARRAYFORMULA(VLOOKUP(SPLIT(AD35, "";"" &amp; CHAR(10)), $AC:$AY, 23, FALSE))))"),"")</f>
        <v/>
      </c>
      <c r="BA35" s="140" t="s">
        <v>66</v>
      </c>
      <c r="BB35" s="190"/>
      <c r="BC35" s="196"/>
      <c r="BD35" s="106" t="str">
        <f>IFERROR(__xludf.DUMMYFUNCTION("IF(IFERROR(SEARCH(""&lt;&lt;mechanism to realize the capability&gt;&gt;"",BA35),0)=0,
 ""!! Error !! “Capability&amp;Mechanism” column: Invalid Separator:"" &amp; CHAR(10) &amp; ""Insert separator “&lt;&lt;mechanism to realize the capability&gt;&gt;.”"",
 IF(
  LEN(TRIM(CLEAN(
    INDEX(
  "&amp;"    SPLIT(BA35,""&lt;&lt;mechanism to realize the capability&gt;&gt;"",FALSE,FALSE),
      1
    )
  )))=0,
  ""!! Error !! “Capability&amp;Mechanism” column: No Capability:""  &amp; CHAR(10) &amp; ""Describe Capability before separator."",
  INDEX(
    SPLIT(BA35,""&lt;&lt;mechanism "&amp;"to realize the capability&gt;&gt;"",FALSE,FALSE),
    1
  )
 )
)
"),"!! Error !! “Capability&amp;Mechanism” column: No Capability:
Describe Capability before separator.")</f>
        <v>!! Error !! “Capability&amp;Mechanism” column: No Capability:
Describe Capability before separator.</v>
      </c>
      <c r="BE35" s="190"/>
      <c r="BF35" s="185"/>
      <c r="BG35" s="38"/>
      <c r="BH35" s="190"/>
      <c r="BI35" s="196"/>
      <c r="BJ35" s="38"/>
      <c r="BK35" s="38"/>
      <c r="BL35" s="191"/>
      <c r="BM35" s="191"/>
      <c r="BN35" s="38"/>
      <c r="BO35" s="38"/>
      <c r="BP35" s="143"/>
      <c r="BQ35" s="143"/>
      <c r="BR35" s="192"/>
      <c r="BS35" s="192"/>
      <c r="BT35" s="192"/>
      <c r="BU35" s="192"/>
      <c r="BV35" s="192"/>
      <c r="BW35" s="192"/>
      <c r="BX35" s="146" t="str">
        <f t="shared" si="8"/>
        <v/>
      </c>
    </row>
    <row r="36">
      <c r="A36" s="106" t="str">
        <f t="shared" si="1"/>
        <v/>
      </c>
      <c r="B36" s="183" t="str">
        <f t="array" ref="B36">IF(ISBLANK($AE36), "-",INDEX(Circuits!A:A,SUMPRODUCT(EXACT($AE36,Circuits!$A:$A)*ROW(Circuits!$A:$A))))</f>
        <v>-</v>
      </c>
      <c r="C36" s="183" t="str">
        <f t="array" ref="C36">IF(ISBLANK($AE36), "-",INDEX(Circuits!B:B,SUMPRODUCT(EXACT($AE36,Circuits!$A:$A)*ROW(Circuits!$A:$A))))</f>
        <v>-</v>
      </c>
      <c r="D36" s="183" t="str">
        <f t="array" ref="D36">IF(ISBLANK($AE36), "-",INDEX(Circuits!C:C,SUMPRODUCT(EXACT($AE36,Circuits!$A:$A)*ROW(Circuits!$A:$A))))</f>
        <v>-</v>
      </c>
      <c r="E36" s="183" t="str">
        <f t="array" ref="E36">IF(ISBLANK($AE36), "-",INDEX(Circuits!D:D,SUMPRODUCT(EXACT($AE36,Circuits!$A:$A)*ROW(Circuits!$A:$A))))</f>
        <v>-</v>
      </c>
      <c r="F36" s="183" t="str">
        <f t="array" ref="F36">IF(ISBLANK($AE36), "-",INDEX(Circuits!E:E,SUMPRODUCT(EXACT($AE36,Circuits!$A:$A)*ROW(Circuits!$A:$A))))</f>
        <v>-</v>
      </c>
      <c r="G36" s="183" t="str">
        <f t="array" ref="G36">IF(ISBLANK($AE36), "-",INDEX(Circuits!F:F,SUMPRODUCT(EXACT($AE36,Circuits!$A:$A)*ROW(Circuits!$A:$A))))</f>
        <v>-</v>
      </c>
      <c r="H36" s="183" t="str">
        <f t="array" ref="H36">IF(ISBLANK($AE36), "-",INDEX(Circuits!G:G,SUMPRODUCT(EXACT($AE36,Circuits!$A:$A)*ROW(Circuits!$A:$A))))</f>
        <v>-</v>
      </c>
      <c r="I36" s="183" t="str">
        <f t="array" ref="I36">IF(ISBLANK($AE36), "-",INDEX(Circuits!H:H,SUMPRODUCT(EXACT($AE36,Circuits!$A:$A)*ROW(Circuits!$A:$A))))</f>
        <v>-</v>
      </c>
      <c r="J36" s="183" t="str">
        <f t="array" ref="J36">IF(ISBLANK($AE36), "-",INDEX(Circuits!I:I,SUMPRODUCT(EXACT($AE36,Circuits!$A:$A)*ROW(Circuits!$A:$A))))</f>
        <v>-</v>
      </c>
      <c r="K36" s="183" t="str">
        <f t="array" ref="K36">IF(ISBLANK($AE36), "-",INDEX(Circuits!J:J,SUMPRODUCT(EXACT($AE36,Circuits!$A:$A)*ROW(Circuits!$A:$A))))</f>
        <v>-</v>
      </c>
      <c r="L36" s="183" t="str">
        <f t="array" ref="L36">IF(ISBLANK($AE36), "-",INDEX(Circuits!K:K,SUMPRODUCT(EXACT($AE36,Circuits!$A:$A)*ROW(Circuits!$A:$A))))</f>
        <v>-</v>
      </c>
      <c r="M36" s="183" t="str">
        <f t="array" ref="M36">IF(ISBLANK($AE36), "-",INDEX(Circuits!L:L,SUMPRODUCT(EXACT($AE36,Circuits!$A:$A)*ROW(Circuits!$A:$A))))</f>
        <v>-</v>
      </c>
      <c r="N36" s="183" t="str">
        <f t="array" ref="N36">IF(ISBLANK($AE36), "-",INDEX(Circuits!M:M,SUMPRODUCT(EXACT($AE36,Circuits!$A:$A)*ROW(Circuits!$A:$A))))</f>
        <v>-</v>
      </c>
      <c r="O36" s="183" t="str">
        <f t="array" ref="O36">IF(ISBLANK($AE36), "-",INDEX(Circuits!N:N,SUMPRODUCT(EXACT($AE36,Circuits!$A:$A)*ROW(Circuits!$A:$A))))</f>
        <v>-</v>
      </c>
      <c r="P36" s="183" t="str">
        <f t="array" ref="P36">IF(ISBLANK($AE36), "-",INDEX(Circuits!O:O,SUMPRODUCT(EXACT($AE36,Circuits!$A:$A)*ROW(Circuits!$A:$A))))</f>
        <v>-</v>
      </c>
      <c r="Q36" s="183" t="str">
        <f t="array" ref="Q36">IF(ISBLANK($AE36), "-",INDEX(Circuits!P:P,SUMPRODUCT(EXACT($AE36,Circuits!$A:$A)*ROW(Circuits!$A:$A))))</f>
        <v>-</v>
      </c>
      <c r="R36" s="183" t="str">
        <f t="array" ref="R36">IF(ISBLANK($AE36), "-",INDEX(Circuits!Q:Q,SUMPRODUCT(EXACT($AE36,Circuits!$A:$A)*ROW(Circuits!$A:$A))))</f>
        <v>-</v>
      </c>
      <c r="S36" s="183" t="str">
        <f t="array" ref="S36">IF(ISBLANK($AE36), "-",INDEX(Circuits!R:R,SUMPRODUCT(EXACT($AE36,Circuits!$A:$A)*ROW(Circuits!$A:$A))))</f>
        <v>-</v>
      </c>
      <c r="T36" s="183" t="str">
        <f t="array" ref="T36">IF(ISBLANK($AE36), "-",INDEX(Circuits!S:S,SUMPRODUCT(EXACT($AE36,Circuits!$A:$A)*ROW(Circuits!$A:$A))))</f>
        <v>-</v>
      </c>
      <c r="U36" s="183" t="str">
        <f t="array" ref="U36">IF(ISBLANK($AE36), "-",INDEX(Circuits!T:T,SUMPRODUCT(EXACT($AE36,Circuits!$A:$A)*ROW(Circuits!$A:$A))))</f>
        <v>-</v>
      </c>
      <c r="V36" s="183" t="str">
        <f t="array" ref="V36">IF(ISBLANK($AE36), "-",INDEX(Circuits!U:U,SUMPRODUCT(EXACT($AE36,Circuits!$A:$A)*ROW(Circuits!$A:$A))))</f>
        <v>-</v>
      </c>
      <c r="W36" s="183" t="str">
        <f t="array" ref="W36">IF(ISBLANK($AE36), "-",INDEX(Circuits!V:V,SUMPRODUCT(EXACT($AE36,Circuits!$A:$A)*ROW(Circuits!$A:$A))))</f>
        <v>-</v>
      </c>
      <c r="X36" s="183" t="str">
        <f t="array" ref="X36">IF(ISBLANK($AE36), "-",INDEX(Circuits!W:W,SUMPRODUCT(EXACT($AE36,Circuits!$A:$A)*ROW(Circuits!$A:$A))))</f>
        <v>-</v>
      </c>
      <c r="Y36" s="183" t="str">
        <f t="array" ref="Y36">IF(ISBLANK($AE36), "-",INDEX(Circuits!X:X,SUMPRODUCT(EXACT($AE36,Circuits!$A:$A)*ROW(Circuits!$A:$A))))</f>
        <v>-</v>
      </c>
      <c r="Z36" s="108" t="str">
        <f>IFERROR(__xludf.DUMMYFUNCTION("IFNA(CONCATENATE(UNIQUE(FILTER(Connections!R:R,Connections!A:A=B36))),""-"")"),"-")</f>
        <v>-</v>
      </c>
      <c r="AA36" s="119" t="str">
        <f t="array" ref="AA36">IF(ISBLANK($AE36), "-",INDEX(Circuits!Y:Y,SUMPRODUCT(EXACT($AE36,Circuits!$A:$A)*ROW(Circuits!$A:$A))))</f>
        <v>-</v>
      </c>
      <c r="AB36" s="121" t="str">
        <f t="array" ref="AB36">IF(ISBLANK($AE36), "-",INDEX(Circuits!Z:Z,SUMPRODUCT(EXACT($AE36,Circuits!$A:$A)*ROW(Circuits!$A:$A))))</f>
        <v>-</v>
      </c>
      <c r="AC36" s="194"/>
      <c r="AD36" s="194"/>
      <c r="AE36" s="40"/>
      <c r="AF36" s="47"/>
      <c r="AG36" s="126" t="str">
        <f>IFERROR(__xludf.DUMMYFUNCTION("IF(ISBLANK(AF36), """", TEXTJOIN(CHAR(10),TRUE,ARRAYFORMULA(IF(ISERROR(SEARCH(SPLIT(AF36, "";""), $Z36)), ""x"", ""-""))))"),"")</f>
        <v/>
      </c>
      <c r="AH36" s="127" t="str">
        <f>IFERROR(__xludf.DUMMYFUNCTION("IF(ISBLANK(AK36), """", TEXTJOIN("";"" &amp; CHAR(10), TRUE, UNIQUE(SPLIT(AK36, "";"" &amp; CHAR(10)), TRUE))&amp;"";"")"),"")</f>
        <v/>
      </c>
      <c r="AI36" s="128" t="str">
        <f>IFERROR(__xludf.DUMMYFUNCTION("IF(ISBLANK(AD36), IF(ISBLANK(AE36),,IFNA(TEXTJOIN("";"" &amp; CHAR(10), TRUE, FILTER(AE:AE, SEARCH(AE36&amp;"";"", AJ:AJ)))&amp;"";"", """")), TEXTJOIN("";"" &amp; CHAR(10), TRUE, UNIQUE(SPLIT(AH36 &amp; "";"" &amp; AH36 &amp; "";"" &amp; AL36, "";"" &amp; CHAR(10)), TRUE, TRUE))&amp;"";"")"),"")</f>
        <v/>
      </c>
      <c r="AJ36" s="126" t="str">
        <f>IFERROR(__xludf.DUMMYFUNCTION("IF(AN36="""", """", TEXTJOIN("";"" &amp; CHAR(10), TRUE, UNIQUE(SPLIT(AH36 &amp; "";"" &amp; AH36 &amp; "";"" &amp; AN36, "";"" &amp; CHAR(10)), TRUE, TRUE))&amp;"";"")"),"")</f>
        <v/>
      </c>
      <c r="AK36" s="129" t="str">
        <f>IFERROR(__xludf.DUMMYFUNCTION("IF(ISBLANK(AD36), IF(ISBLANK(AE36),,AE36 &amp; "";""), TEXTJOIN(CHAR(10), TRUE, ARRAYFORMULA(VLOOKUP(SPLIT(AD36, "";"" &amp; CHAR(10)), $AC:$AH, 6, FALSE))))"),"")</f>
        <v/>
      </c>
      <c r="AL36" s="130" t="str">
        <f>IFERROR(__xludf.DUMMYFUNCTION("IF(AM36="""", """", TEXTJOIN("";"" &amp; CHAR(10), TRUE, UNIQUE(SPLIT(AM36, "";"" &amp; CHAR(10)), TRUE))&amp;"";"")"),"")</f>
        <v/>
      </c>
      <c r="AM36" s="130" t="str">
        <f>IFERROR(__xludf.DUMMYFUNCTION("IF(ISBLANK(AD36), """", TEXTJOIN(CHAR(10), TRUE, ARRAYFORMULA(VLOOKUP(SPLIT(AH36, "";"" &amp; CHAR(10)), $AE:$AI, 5, FALSE)), AF36))"),"")</f>
        <v/>
      </c>
      <c r="AN36" s="132" t="str">
        <f>IFERROR(__xludf.DUMMYFUNCTION("IF(ISBLANK(AO36), """", TEXTJOIN("";"" &amp; CHAR(10), TRUE, UNIQUE(SPLIT(AO36, "";"" &amp; CHAR(10)), TRUE))&amp;"";"")"),"")</f>
        <v/>
      </c>
      <c r="AO36" s="134" t="str">
        <f>IFERROR(__xludf.DUMMYFUNCTION("IF(ISBLANK(AD36), AF36, TEXTJOIN(CHAR(10), TRUE, ARRAYFORMULA(VLOOKUP(SPLIT(AD36, "";"" &amp; CHAR(10)), $AC:$AN, 12, FALSE))))"),"")</f>
        <v/>
      </c>
      <c r="AP36" s="130" t="str">
        <f>IF(ISBLANK(AE36),,IF(IFERROR(SEARCH(AE36&amp;";",Circuits!$AO$2),0),TRUE,FALSE))</f>
        <v/>
      </c>
      <c r="AQ36" s="130" t="str">
        <f t="shared" si="2"/>
        <v/>
      </c>
      <c r="AR36" s="130" t="str">
        <f t="shared" si="3"/>
        <v/>
      </c>
      <c r="AS36" s="136" t="str">
        <f>IFERROR(__xludf.DUMMYFUNCTION("IF(AH36="""",,SUM(ARRAYFORMULA(IF(IFERROR(SEARCH(SPLIT(AH36,CHAR(10)),Circuits!$AO$2),0)&gt;0,0,1))))"),"")</f>
        <v/>
      </c>
      <c r="AT36" s="138" t="str">
        <f t="shared" si="4"/>
        <v/>
      </c>
      <c r="AU36" s="138" t="str">
        <f t="shared" si="5"/>
        <v/>
      </c>
      <c r="AV36" s="130" t="str">
        <f>IFERROR(__xludf.DUMMYFUNCTION("IF(AI36="""",,TEXTJOIN("", "",TRUE,ARRAYFORMULA(VLOOKUP(SPLIT(AI36,"";""&amp;CHAR(10)),AE:AT,16,FALSE))))"),"")</f>
        <v/>
      </c>
      <c r="AW36" s="130" t="str">
        <f>IFERROR(__xludf.DUMMYFUNCTION("IF(ISBLANK(BK36),,TEXTJOIN("", "",TRUE,ARRAYFORMULA(VLOOKUP(IFERROR(REGEXEXTRACT(SPLIT(BK36,"";""&amp;CHAR(10)),""\[(.+)\]"")),AE:AT,16,false))))"),"")</f>
        <v/>
      </c>
      <c r="AX36" s="139" t="str">
        <f t="shared" si="6"/>
        <v/>
      </c>
      <c r="AY36" s="139" t="str">
        <f t="shared" si="7"/>
        <v/>
      </c>
      <c r="AZ36" s="106" t="str">
        <f>IFERROR(__xludf.DUMMYFUNCTION("IF(ISBLANK(AD36), BC36, TEXTJOIN(CHAR(10) &amp; CHAR(10), TRUE, ARRAYFORMULA(VLOOKUP(SPLIT(AD36, "";"" &amp; CHAR(10)), $AC:$AY, 23, FALSE))))"),"")</f>
        <v/>
      </c>
      <c r="BA36" s="140" t="s">
        <v>66</v>
      </c>
      <c r="BB36" s="190"/>
      <c r="BC36" s="196"/>
      <c r="BD36" s="106" t="str">
        <f>IFERROR(__xludf.DUMMYFUNCTION("IF(IFERROR(SEARCH(""&lt;&lt;mechanism to realize the capability&gt;&gt;"",BA36),0)=0,
 ""!! Error !! “Capability&amp;Mechanism” column: Invalid Separator:"" &amp; CHAR(10) &amp; ""Insert separator “&lt;&lt;mechanism to realize the capability&gt;&gt;.”"",
 IF(
  LEN(TRIM(CLEAN(
    INDEX(
  "&amp;"    SPLIT(BA36,""&lt;&lt;mechanism to realize the capability&gt;&gt;"",FALSE,FALSE),
      1
    )
  )))=0,
  ""!! Error !! “Capability&amp;Mechanism” column: No Capability:""  &amp; CHAR(10) &amp; ""Describe Capability before separator."",
  INDEX(
    SPLIT(BA36,""&lt;&lt;mechanism "&amp;"to realize the capability&gt;&gt;"",FALSE,FALSE),
    1
  )
 )
)
"),"!! Error !! “Capability&amp;Mechanism” column: No Capability:
Describe Capability before separator.")</f>
        <v>!! Error !! “Capability&amp;Mechanism” column: No Capability:
Describe Capability before separator.</v>
      </c>
      <c r="BE36" s="190"/>
      <c r="BF36" s="195"/>
      <c r="BG36" s="42"/>
      <c r="BH36" s="190"/>
      <c r="BI36" s="196"/>
      <c r="BJ36" s="42"/>
      <c r="BK36" s="42"/>
      <c r="BL36" s="203"/>
      <c r="BM36" s="203"/>
      <c r="BN36" s="42"/>
      <c r="BO36" s="42"/>
      <c r="BP36" s="143"/>
      <c r="BQ36" s="143"/>
      <c r="BR36" s="192"/>
      <c r="BS36" s="192"/>
      <c r="BT36" s="192"/>
      <c r="BU36" s="192"/>
      <c r="BV36" s="192"/>
      <c r="BW36" s="192"/>
      <c r="BX36" s="146" t="str">
        <f t="shared" si="8"/>
        <v/>
      </c>
    </row>
    <row r="37">
      <c r="A37" s="106" t="str">
        <f t="shared" si="1"/>
        <v/>
      </c>
      <c r="B37" s="183" t="str">
        <f t="array" ref="B37">IF(ISBLANK($AE37), "-",INDEX(Circuits!A:A,SUMPRODUCT(EXACT($AE37,Circuits!$A:$A)*ROW(Circuits!$A:$A))))</f>
        <v>-</v>
      </c>
      <c r="C37" s="183" t="str">
        <f t="array" ref="C37">IF(ISBLANK($AE37), "-",INDEX(Circuits!B:B,SUMPRODUCT(EXACT($AE37,Circuits!$A:$A)*ROW(Circuits!$A:$A))))</f>
        <v>-</v>
      </c>
      <c r="D37" s="183" t="str">
        <f t="array" ref="D37">IF(ISBLANK($AE37), "-",INDEX(Circuits!C:C,SUMPRODUCT(EXACT($AE37,Circuits!$A:$A)*ROW(Circuits!$A:$A))))</f>
        <v>-</v>
      </c>
      <c r="E37" s="183" t="str">
        <f t="array" ref="E37">IF(ISBLANK($AE37), "-",INDEX(Circuits!D:D,SUMPRODUCT(EXACT($AE37,Circuits!$A:$A)*ROW(Circuits!$A:$A))))</f>
        <v>-</v>
      </c>
      <c r="F37" s="183" t="str">
        <f t="array" ref="F37">IF(ISBLANK($AE37), "-",INDEX(Circuits!E:E,SUMPRODUCT(EXACT($AE37,Circuits!$A:$A)*ROW(Circuits!$A:$A))))</f>
        <v>-</v>
      </c>
      <c r="G37" s="183" t="str">
        <f t="array" ref="G37">IF(ISBLANK($AE37), "-",INDEX(Circuits!F:F,SUMPRODUCT(EXACT($AE37,Circuits!$A:$A)*ROW(Circuits!$A:$A))))</f>
        <v>-</v>
      </c>
      <c r="H37" s="183" t="str">
        <f t="array" ref="H37">IF(ISBLANK($AE37), "-",INDEX(Circuits!G:G,SUMPRODUCT(EXACT($AE37,Circuits!$A:$A)*ROW(Circuits!$A:$A))))</f>
        <v>-</v>
      </c>
      <c r="I37" s="183" t="str">
        <f t="array" ref="I37">IF(ISBLANK($AE37), "-",INDEX(Circuits!H:H,SUMPRODUCT(EXACT($AE37,Circuits!$A:$A)*ROW(Circuits!$A:$A))))</f>
        <v>-</v>
      </c>
      <c r="J37" s="183" t="str">
        <f t="array" ref="J37">IF(ISBLANK($AE37), "-",INDEX(Circuits!I:I,SUMPRODUCT(EXACT($AE37,Circuits!$A:$A)*ROW(Circuits!$A:$A))))</f>
        <v>-</v>
      </c>
      <c r="K37" s="183" t="str">
        <f t="array" ref="K37">IF(ISBLANK($AE37), "-",INDEX(Circuits!J:J,SUMPRODUCT(EXACT($AE37,Circuits!$A:$A)*ROW(Circuits!$A:$A))))</f>
        <v>-</v>
      </c>
      <c r="L37" s="183" t="str">
        <f t="array" ref="L37">IF(ISBLANK($AE37), "-",INDEX(Circuits!K:K,SUMPRODUCT(EXACT($AE37,Circuits!$A:$A)*ROW(Circuits!$A:$A))))</f>
        <v>-</v>
      </c>
      <c r="M37" s="183" t="str">
        <f t="array" ref="M37">IF(ISBLANK($AE37), "-",INDEX(Circuits!L:L,SUMPRODUCT(EXACT($AE37,Circuits!$A:$A)*ROW(Circuits!$A:$A))))</f>
        <v>-</v>
      </c>
      <c r="N37" s="183" t="str">
        <f t="array" ref="N37">IF(ISBLANK($AE37), "-",INDEX(Circuits!M:M,SUMPRODUCT(EXACT($AE37,Circuits!$A:$A)*ROW(Circuits!$A:$A))))</f>
        <v>-</v>
      </c>
      <c r="O37" s="183" t="str">
        <f t="array" ref="O37">IF(ISBLANK($AE37), "-",INDEX(Circuits!N:N,SUMPRODUCT(EXACT($AE37,Circuits!$A:$A)*ROW(Circuits!$A:$A))))</f>
        <v>-</v>
      </c>
      <c r="P37" s="183" t="str">
        <f t="array" ref="P37">IF(ISBLANK($AE37), "-",INDEX(Circuits!O:O,SUMPRODUCT(EXACT($AE37,Circuits!$A:$A)*ROW(Circuits!$A:$A))))</f>
        <v>-</v>
      </c>
      <c r="Q37" s="183" t="str">
        <f t="array" ref="Q37">IF(ISBLANK($AE37), "-",INDEX(Circuits!P:P,SUMPRODUCT(EXACT($AE37,Circuits!$A:$A)*ROW(Circuits!$A:$A))))</f>
        <v>-</v>
      </c>
      <c r="R37" s="183" t="str">
        <f t="array" ref="R37">IF(ISBLANK($AE37), "-",INDEX(Circuits!Q:Q,SUMPRODUCT(EXACT($AE37,Circuits!$A:$A)*ROW(Circuits!$A:$A))))</f>
        <v>-</v>
      </c>
      <c r="S37" s="183" t="str">
        <f t="array" ref="S37">IF(ISBLANK($AE37), "-",INDEX(Circuits!R:R,SUMPRODUCT(EXACT($AE37,Circuits!$A:$A)*ROW(Circuits!$A:$A))))</f>
        <v>-</v>
      </c>
      <c r="T37" s="183" t="str">
        <f t="array" ref="T37">IF(ISBLANK($AE37), "-",INDEX(Circuits!S:S,SUMPRODUCT(EXACT($AE37,Circuits!$A:$A)*ROW(Circuits!$A:$A))))</f>
        <v>-</v>
      </c>
      <c r="U37" s="183" t="str">
        <f t="array" ref="U37">IF(ISBLANK($AE37), "-",INDEX(Circuits!T:T,SUMPRODUCT(EXACT($AE37,Circuits!$A:$A)*ROW(Circuits!$A:$A))))</f>
        <v>-</v>
      </c>
      <c r="V37" s="183" t="str">
        <f t="array" ref="V37">IF(ISBLANK($AE37), "-",INDEX(Circuits!U:U,SUMPRODUCT(EXACT($AE37,Circuits!$A:$A)*ROW(Circuits!$A:$A))))</f>
        <v>-</v>
      </c>
      <c r="W37" s="183" t="str">
        <f t="array" ref="W37">IF(ISBLANK($AE37), "-",INDEX(Circuits!V:V,SUMPRODUCT(EXACT($AE37,Circuits!$A:$A)*ROW(Circuits!$A:$A))))</f>
        <v>-</v>
      </c>
      <c r="X37" s="183" t="str">
        <f t="array" ref="X37">IF(ISBLANK($AE37), "-",INDEX(Circuits!W:W,SUMPRODUCT(EXACT($AE37,Circuits!$A:$A)*ROW(Circuits!$A:$A))))</f>
        <v>-</v>
      </c>
      <c r="Y37" s="183" t="str">
        <f t="array" ref="Y37">IF(ISBLANK($AE37), "-",INDEX(Circuits!X:X,SUMPRODUCT(EXACT($AE37,Circuits!$A:$A)*ROW(Circuits!$A:$A))))</f>
        <v>-</v>
      </c>
      <c r="Z37" s="108" t="str">
        <f>IFERROR(__xludf.DUMMYFUNCTION("IFNA(CONCATENATE(UNIQUE(FILTER(Connections!R:R,Connections!A:A=B37))),""-"")"),"-")</f>
        <v>-</v>
      </c>
      <c r="AA37" s="119" t="str">
        <f t="array" ref="AA37">IF(ISBLANK($AE37), "-",INDEX(Circuits!Y:Y,SUMPRODUCT(EXACT($AE37,Circuits!$A:$A)*ROW(Circuits!$A:$A))))</f>
        <v>-</v>
      </c>
      <c r="AB37" s="121" t="str">
        <f t="array" ref="AB37">IF(ISBLANK($AE37), "-",INDEX(Circuits!Z:Z,SUMPRODUCT(EXACT($AE37,Circuits!$A:$A)*ROW(Circuits!$A:$A))))</f>
        <v>-</v>
      </c>
      <c r="AC37" s="194"/>
      <c r="AD37" s="194"/>
      <c r="AE37" s="40"/>
      <c r="AF37" s="43"/>
      <c r="AG37" s="126" t="str">
        <f>IFERROR(__xludf.DUMMYFUNCTION("IF(ISBLANK(AF37), """", TEXTJOIN(CHAR(10),TRUE,ARRAYFORMULA(IF(ISERROR(SEARCH(SPLIT(AF37, "";""), $Z37)), ""x"", ""-""))))"),"")</f>
        <v/>
      </c>
      <c r="AH37" s="127" t="str">
        <f>IFERROR(__xludf.DUMMYFUNCTION("IF(ISBLANK(AK37), """", TEXTJOIN("";"" &amp; CHAR(10), TRUE, UNIQUE(SPLIT(AK37, "";"" &amp; CHAR(10)), TRUE))&amp;"";"")"),"")</f>
        <v/>
      </c>
      <c r="AI37" s="128" t="str">
        <f>IFERROR(__xludf.DUMMYFUNCTION("IF(ISBLANK(AD37), IF(ISBLANK(AE37),,IFNA(TEXTJOIN("";"" &amp; CHAR(10), TRUE, FILTER(AE:AE, SEARCH(AE37&amp;"";"", AJ:AJ)))&amp;"";"", """")), TEXTJOIN("";"" &amp; CHAR(10), TRUE, UNIQUE(SPLIT(AH37 &amp; "";"" &amp; AH37 &amp; "";"" &amp; AL37, "";"" &amp; CHAR(10)), TRUE, TRUE))&amp;"";"")"),"")</f>
        <v/>
      </c>
      <c r="AJ37" s="126" t="str">
        <f>IFERROR(__xludf.DUMMYFUNCTION("IF(AN37="""", """", TEXTJOIN("";"" &amp; CHAR(10), TRUE, UNIQUE(SPLIT(AH37 &amp; "";"" &amp; AH37 &amp; "";"" &amp; AN37, "";"" &amp; CHAR(10)), TRUE, TRUE))&amp;"";"")"),"")</f>
        <v/>
      </c>
      <c r="AK37" s="129" t="str">
        <f>IFERROR(__xludf.DUMMYFUNCTION("IF(ISBLANK(AD37), IF(ISBLANK(AE37),,AE37 &amp; "";""), TEXTJOIN(CHAR(10), TRUE, ARRAYFORMULA(VLOOKUP(SPLIT(AD37, "";"" &amp; CHAR(10)), $AC:$AH, 6, FALSE))))"),"")</f>
        <v/>
      </c>
      <c r="AL37" s="130" t="str">
        <f>IFERROR(__xludf.DUMMYFUNCTION("IF(AM37="""", """", TEXTJOIN("";"" &amp; CHAR(10), TRUE, UNIQUE(SPLIT(AM37, "";"" &amp; CHAR(10)), TRUE))&amp;"";"")"),"")</f>
        <v/>
      </c>
      <c r="AM37" s="130" t="str">
        <f>IFERROR(__xludf.DUMMYFUNCTION("IF(ISBLANK(AD37), """", TEXTJOIN(CHAR(10), TRUE, ARRAYFORMULA(VLOOKUP(SPLIT(AH37, "";"" &amp; CHAR(10)), $AE:$AI, 5, FALSE)), AF37))"),"")</f>
        <v/>
      </c>
      <c r="AN37" s="132" t="str">
        <f>IFERROR(__xludf.DUMMYFUNCTION("IF(ISBLANK(AO37), """", TEXTJOIN("";"" &amp; CHAR(10), TRUE, UNIQUE(SPLIT(AO37, "";"" &amp; CHAR(10)), TRUE))&amp;"";"")"),"")</f>
        <v/>
      </c>
      <c r="AO37" s="134" t="str">
        <f>IFERROR(__xludf.DUMMYFUNCTION("IF(ISBLANK(AD37), AF37, TEXTJOIN(CHAR(10), TRUE, ARRAYFORMULA(VLOOKUP(SPLIT(AD37, "";"" &amp; CHAR(10)), $AC:$AN, 12, FALSE))))"),"")</f>
        <v/>
      </c>
      <c r="AP37" s="130" t="str">
        <f>IF(ISBLANK(AE37),,IF(IFERROR(SEARCH(AE37&amp;";",Circuits!$AO$2),0),TRUE,FALSE))</f>
        <v/>
      </c>
      <c r="AQ37" s="130" t="str">
        <f t="shared" si="2"/>
        <v/>
      </c>
      <c r="AR37" s="130" t="str">
        <f t="shared" si="3"/>
        <v/>
      </c>
      <c r="AS37" s="136" t="str">
        <f>IFERROR(__xludf.DUMMYFUNCTION("IF(AH37="""",,SUM(ARRAYFORMULA(IF(IFERROR(SEARCH(SPLIT(AH37,CHAR(10)),Circuits!$AO$2),0)&gt;0,0,1))))"),"")</f>
        <v/>
      </c>
      <c r="AT37" s="138" t="str">
        <f t="shared" si="4"/>
        <v/>
      </c>
      <c r="AU37" s="138" t="str">
        <f t="shared" si="5"/>
        <v/>
      </c>
      <c r="AV37" s="130" t="str">
        <f>IFERROR(__xludf.DUMMYFUNCTION("IF(AI37="""",,TEXTJOIN("", "",TRUE,ARRAYFORMULA(VLOOKUP(SPLIT(AI37,"";""&amp;CHAR(10)),AE:AT,16,FALSE))))"),"")</f>
        <v/>
      </c>
      <c r="AW37" s="130" t="str">
        <f>IFERROR(__xludf.DUMMYFUNCTION("IF(ISBLANK(BK37),,TEXTJOIN("", "",TRUE,ARRAYFORMULA(VLOOKUP(IFERROR(REGEXEXTRACT(SPLIT(BK37,"";""&amp;CHAR(10)),""\[(.+)\]"")),AE:AT,16,false))))"),"")</f>
        <v/>
      </c>
      <c r="AX37" s="139" t="str">
        <f t="shared" si="6"/>
        <v/>
      </c>
      <c r="AY37" s="139" t="str">
        <f t="shared" si="7"/>
        <v/>
      </c>
      <c r="AZ37" s="106" t="str">
        <f>IFERROR(__xludf.DUMMYFUNCTION("IF(ISBLANK(AD37), BC37, TEXTJOIN(CHAR(10) &amp; CHAR(10), TRUE, ARRAYFORMULA(VLOOKUP(SPLIT(AD37, "";"" &amp; CHAR(10)), $AC:$AY, 23, FALSE))))"),"")</f>
        <v/>
      </c>
      <c r="BA37" s="140" t="s">
        <v>66</v>
      </c>
      <c r="BB37" s="190"/>
      <c r="BC37" s="196"/>
      <c r="BD37" s="106" t="str">
        <f>IFERROR(__xludf.DUMMYFUNCTION("IF(IFERROR(SEARCH(""&lt;&lt;mechanism to realize the capability&gt;&gt;"",BA37),0)=0,
 ""!! Error !! “Capability&amp;Mechanism” column: Invalid Separator:"" &amp; CHAR(10) &amp; ""Insert separator “&lt;&lt;mechanism to realize the capability&gt;&gt;.”"",
 IF(
  LEN(TRIM(CLEAN(
    INDEX(
  "&amp;"    SPLIT(BA37,""&lt;&lt;mechanism to realize the capability&gt;&gt;"",FALSE,FALSE),
      1
    )
  )))=0,
  ""!! Error !! “Capability&amp;Mechanism” column: No Capability:""  &amp; CHAR(10) &amp; ""Describe Capability before separator."",
  INDEX(
    SPLIT(BA37,""&lt;&lt;mechanism "&amp;"to realize the capability&gt;&gt;"",FALSE,FALSE),
    1
  )
 )
)
"),"!! Error !! “Capability&amp;Mechanism” column: No Capability:
Describe Capability before separator.")</f>
        <v>!! Error !! “Capability&amp;Mechanism” column: No Capability:
Describe Capability before separator.</v>
      </c>
      <c r="BE37" s="190"/>
      <c r="BF37" s="195"/>
      <c r="BG37" s="42"/>
      <c r="BH37" s="190"/>
      <c r="BI37" s="196"/>
      <c r="BJ37" s="42"/>
      <c r="BK37" s="42"/>
      <c r="BL37" s="203"/>
      <c r="BM37" s="203"/>
      <c r="BN37" s="42"/>
      <c r="BO37" s="42"/>
      <c r="BP37" s="143"/>
      <c r="BQ37" s="143"/>
      <c r="BR37" s="192"/>
      <c r="BS37" s="192"/>
      <c r="BT37" s="192"/>
      <c r="BU37" s="192"/>
      <c r="BV37" s="192"/>
      <c r="BW37" s="192"/>
      <c r="BX37" s="146" t="str">
        <f t="shared" si="8"/>
        <v/>
      </c>
    </row>
    <row r="38">
      <c r="A38" s="106" t="str">
        <f t="shared" si="1"/>
        <v/>
      </c>
      <c r="B38" s="183" t="str">
        <f t="array" ref="B38">IF(ISBLANK($AE38), "-",INDEX(Circuits!A:A,SUMPRODUCT(EXACT($AE38,Circuits!$A:$A)*ROW(Circuits!$A:$A))))</f>
        <v>-</v>
      </c>
      <c r="C38" s="183" t="str">
        <f t="array" ref="C38">IF(ISBLANK($AE38), "-",INDEX(Circuits!B:B,SUMPRODUCT(EXACT($AE38,Circuits!$A:$A)*ROW(Circuits!$A:$A))))</f>
        <v>-</v>
      </c>
      <c r="D38" s="183" t="str">
        <f t="array" ref="D38">IF(ISBLANK($AE38), "-",INDEX(Circuits!C:C,SUMPRODUCT(EXACT($AE38,Circuits!$A:$A)*ROW(Circuits!$A:$A))))</f>
        <v>-</v>
      </c>
      <c r="E38" s="183" t="str">
        <f t="array" ref="E38">IF(ISBLANK($AE38), "-",INDEX(Circuits!D:D,SUMPRODUCT(EXACT($AE38,Circuits!$A:$A)*ROW(Circuits!$A:$A))))</f>
        <v>-</v>
      </c>
      <c r="F38" s="183" t="str">
        <f t="array" ref="F38">IF(ISBLANK($AE38), "-",INDEX(Circuits!E:E,SUMPRODUCT(EXACT($AE38,Circuits!$A:$A)*ROW(Circuits!$A:$A))))</f>
        <v>-</v>
      </c>
      <c r="G38" s="183" t="str">
        <f t="array" ref="G38">IF(ISBLANK($AE38), "-",INDEX(Circuits!F:F,SUMPRODUCT(EXACT($AE38,Circuits!$A:$A)*ROW(Circuits!$A:$A))))</f>
        <v>-</v>
      </c>
      <c r="H38" s="183" t="str">
        <f t="array" ref="H38">IF(ISBLANK($AE38), "-",INDEX(Circuits!G:G,SUMPRODUCT(EXACT($AE38,Circuits!$A:$A)*ROW(Circuits!$A:$A))))</f>
        <v>-</v>
      </c>
      <c r="I38" s="183" t="str">
        <f t="array" ref="I38">IF(ISBLANK($AE38), "-",INDEX(Circuits!H:H,SUMPRODUCT(EXACT($AE38,Circuits!$A:$A)*ROW(Circuits!$A:$A))))</f>
        <v>-</v>
      </c>
      <c r="J38" s="183" t="str">
        <f t="array" ref="J38">IF(ISBLANK($AE38), "-",INDEX(Circuits!I:I,SUMPRODUCT(EXACT($AE38,Circuits!$A:$A)*ROW(Circuits!$A:$A))))</f>
        <v>-</v>
      </c>
      <c r="K38" s="183" t="str">
        <f t="array" ref="K38">IF(ISBLANK($AE38), "-",INDEX(Circuits!J:J,SUMPRODUCT(EXACT($AE38,Circuits!$A:$A)*ROW(Circuits!$A:$A))))</f>
        <v>-</v>
      </c>
      <c r="L38" s="183" t="str">
        <f t="array" ref="L38">IF(ISBLANK($AE38), "-",INDEX(Circuits!K:K,SUMPRODUCT(EXACT($AE38,Circuits!$A:$A)*ROW(Circuits!$A:$A))))</f>
        <v>-</v>
      </c>
      <c r="M38" s="183" t="str">
        <f t="array" ref="M38">IF(ISBLANK($AE38), "-",INDEX(Circuits!L:L,SUMPRODUCT(EXACT($AE38,Circuits!$A:$A)*ROW(Circuits!$A:$A))))</f>
        <v>-</v>
      </c>
      <c r="N38" s="183" t="str">
        <f t="array" ref="N38">IF(ISBLANK($AE38), "-",INDEX(Circuits!M:M,SUMPRODUCT(EXACT($AE38,Circuits!$A:$A)*ROW(Circuits!$A:$A))))</f>
        <v>-</v>
      </c>
      <c r="O38" s="183" t="str">
        <f t="array" ref="O38">IF(ISBLANK($AE38), "-",INDEX(Circuits!N:N,SUMPRODUCT(EXACT($AE38,Circuits!$A:$A)*ROW(Circuits!$A:$A))))</f>
        <v>-</v>
      </c>
      <c r="P38" s="183" t="str">
        <f t="array" ref="P38">IF(ISBLANK($AE38), "-",INDEX(Circuits!O:O,SUMPRODUCT(EXACT($AE38,Circuits!$A:$A)*ROW(Circuits!$A:$A))))</f>
        <v>-</v>
      </c>
      <c r="Q38" s="183" t="str">
        <f t="array" ref="Q38">IF(ISBLANK($AE38), "-",INDEX(Circuits!P:P,SUMPRODUCT(EXACT($AE38,Circuits!$A:$A)*ROW(Circuits!$A:$A))))</f>
        <v>-</v>
      </c>
      <c r="R38" s="183" t="str">
        <f t="array" ref="R38">IF(ISBLANK($AE38), "-",INDEX(Circuits!Q:Q,SUMPRODUCT(EXACT($AE38,Circuits!$A:$A)*ROW(Circuits!$A:$A))))</f>
        <v>-</v>
      </c>
      <c r="S38" s="183" t="str">
        <f t="array" ref="S38">IF(ISBLANK($AE38), "-",INDEX(Circuits!R:R,SUMPRODUCT(EXACT($AE38,Circuits!$A:$A)*ROW(Circuits!$A:$A))))</f>
        <v>-</v>
      </c>
      <c r="T38" s="183" t="str">
        <f t="array" ref="T38">IF(ISBLANK($AE38), "-",INDEX(Circuits!S:S,SUMPRODUCT(EXACT($AE38,Circuits!$A:$A)*ROW(Circuits!$A:$A))))</f>
        <v>-</v>
      </c>
      <c r="U38" s="183" t="str">
        <f t="array" ref="U38">IF(ISBLANK($AE38), "-",INDEX(Circuits!T:T,SUMPRODUCT(EXACT($AE38,Circuits!$A:$A)*ROW(Circuits!$A:$A))))</f>
        <v>-</v>
      </c>
      <c r="V38" s="183" t="str">
        <f t="array" ref="V38">IF(ISBLANK($AE38), "-",INDEX(Circuits!U:U,SUMPRODUCT(EXACT($AE38,Circuits!$A:$A)*ROW(Circuits!$A:$A))))</f>
        <v>-</v>
      </c>
      <c r="W38" s="183" t="str">
        <f t="array" ref="W38">IF(ISBLANK($AE38), "-",INDEX(Circuits!V:V,SUMPRODUCT(EXACT($AE38,Circuits!$A:$A)*ROW(Circuits!$A:$A))))</f>
        <v>-</v>
      </c>
      <c r="X38" s="183" t="str">
        <f t="array" ref="X38">IF(ISBLANK($AE38), "-",INDEX(Circuits!W:W,SUMPRODUCT(EXACT($AE38,Circuits!$A:$A)*ROW(Circuits!$A:$A))))</f>
        <v>-</v>
      </c>
      <c r="Y38" s="183" t="str">
        <f t="array" ref="Y38">IF(ISBLANK($AE38), "-",INDEX(Circuits!X:X,SUMPRODUCT(EXACT($AE38,Circuits!$A:$A)*ROW(Circuits!$A:$A))))</f>
        <v>-</v>
      </c>
      <c r="Z38" s="108" t="str">
        <f>IFERROR(__xludf.DUMMYFUNCTION("IFNA(CONCATENATE(UNIQUE(FILTER(Connections!R:R,Connections!A:A=B38))),""-"")"),"-")</f>
        <v>-</v>
      </c>
      <c r="AA38" s="119" t="str">
        <f t="array" ref="AA38">IF(ISBLANK($AE38), "-",INDEX(Circuits!Y:Y,SUMPRODUCT(EXACT($AE38,Circuits!$A:$A)*ROW(Circuits!$A:$A))))</f>
        <v>-</v>
      </c>
      <c r="AB38" s="121" t="str">
        <f t="array" ref="AB38">IF(ISBLANK($AE38), "-",INDEX(Circuits!Z:Z,SUMPRODUCT(EXACT($AE38,Circuits!$A:$A)*ROW(Circuits!$A:$A))))</f>
        <v>-</v>
      </c>
      <c r="AC38" s="194"/>
      <c r="AD38" s="194"/>
      <c r="AE38" s="40"/>
      <c r="AF38" s="43"/>
      <c r="AG38" s="126" t="str">
        <f>IFERROR(__xludf.DUMMYFUNCTION("IF(ISBLANK(AF38), """", TEXTJOIN(CHAR(10),TRUE,ARRAYFORMULA(IF(ISERROR(SEARCH(SPLIT(AF38, "";""), $Z38)), ""x"", ""-""))))"),"")</f>
        <v/>
      </c>
      <c r="AH38" s="127" t="str">
        <f>IFERROR(__xludf.DUMMYFUNCTION("IF(ISBLANK(AK38), """", TEXTJOIN("";"" &amp; CHAR(10), TRUE, UNIQUE(SPLIT(AK38, "";"" &amp; CHAR(10)), TRUE))&amp;"";"")"),"")</f>
        <v/>
      </c>
      <c r="AI38" s="128" t="str">
        <f>IFERROR(__xludf.DUMMYFUNCTION("IF(ISBLANK(AD38), IF(ISBLANK(AE38),,IFNA(TEXTJOIN("";"" &amp; CHAR(10), TRUE, FILTER(AE:AE, SEARCH(AE38&amp;"";"", AJ:AJ)))&amp;"";"", """")), TEXTJOIN("";"" &amp; CHAR(10), TRUE, UNIQUE(SPLIT(AH38 &amp; "";"" &amp; AH38 &amp; "";"" &amp; AL38, "";"" &amp; CHAR(10)), TRUE, TRUE))&amp;"";"")"),"")</f>
        <v/>
      </c>
      <c r="AJ38" s="126" t="str">
        <f>IFERROR(__xludf.DUMMYFUNCTION("IF(AN38="""", """", TEXTJOIN("";"" &amp; CHAR(10), TRUE, UNIQUE(SPLIT(AH38 &amp; "";"" &amp; AH38 &amp; "";"" &amp; AN38, "";"" &amp; CHAR(10)), TRUE, TRUE))&amp;"";"")"),"")</f>
        <v/>
      </c>
      <c r="AK38" s="129" t="str">
        <f>IFERROR(__xludf.DUMMYFUNCTION("IF(ISBLANK(AD38), IF(ISBLANK(AE38),,AE38 &amp; "";""), TEXTJOIN(CHAR(10), TRUE, ARRAYFORMULA(VLOOKUP(SPLIT(AD38, "";"" &amp; CHAR(10)), $AC:$AH, 6, FALSE))))"),"")</f>
        <v/>
      </c>
      <c r="AL38" s="130" t="str">
        <f>IFERROR(__xludf.DUMMYFUNCTION("IF(AM38="""", """", TEXTJOIN("";"" &amp; CHAR(10), TRUE, UNIQUE(SPLIT(AM38, "";"" &amp; CHAR(10)), TRUE))&amp;"";"")"),"")</f>
        <v/>
      </c>
      <c r="AM38" s="130" t="str">
        <f>IFERROR(__xludf.DUMMYFUNCTION("IF(ISBLANK(AD38), """", TEXTJOIN(CHAR(10), TRUE, ARRAYFORMULA(VLOOKUP(SPLIT(AH38, "";"" &amp; CHAR(10)), $AE:$AI, 5, FALSE)), AF38))"),"")</f>
        <v/>
      </c>
      <c r="AN38" s="132" t="str">
        <f>IFERROR(__xludf.DUMMYFUNCTION("IF(ISBLANK(AO38), """", TEXTJOIN("";"" &amp; CHAR(10), TRUE, UNIQUE(SPLIT(AO38, "";"" &amp; CHAR(10)), TRUE))&amp;"";"")"),"")</f>
        <v/>
      </c>
      <c r="AO38" s="134" t="str">
        <f>IFERROR(__xludf.DUMMYFUNCTION("IF(ISBLANK(AD38), AF38, TEXTJOIN(CHAR(10), TRUE, ARRAYFORMULA(VLOOKUP(SPLIT(AD38, "";"" &amp; CHAR(10)), $AC:$AN, 12, FALSE))))"),"")</f>
        <v/>
      </c>
      <c r="AP38" s="130" t="str">
        <f>IF(ISBLANK(AE38),,IF(IFERROR(SEARCH(AE38&amp;";",Circuits!$AO$2),0),TRUE,FALSE))</f>
        <v/>
      </c>
      <c r="AQ38" s="130" t="str">
        <f t="shared" si="2"/>
        <v/>
      </c>
      <c r="AR38" s="130" t="str">
        <f t="shared" si="3"/>
        <v/>
      </c>
      <c r="AS38" s="136" t="str">
        <f>IFERROR(__xludf.DUMMYFUNCTION("IF(AH38="""",,SUM(ARRAYFORMULA(IF(IFERROR(SEARCH(SPLIT(AH38,CHAR(10)),Circuits!$AO$2),0)&gt;0,0,1))))"),"")</f>
        <v/>
      </c>
      <c r="AT38" s="138" t="str">
        <f t="shared" si="4"/>
        <v/>
      </c>
      <c r="AU38" s="138" t="str">
        <f t="shared" si="5"/>
        <v/>
      </c>
      <c r="AV38" s="130" t="str">
        <f>IFERROR(__xludf.DUMMYFUNCTION("IF(AI38="""",,TEXTJOIN("", "",TRUE,ARRAYFORMULA(VLOOKUP(SPLIT(AI38,"";""&amp;CHAR(10)),AE:AT,16,FALSE))))"),"")</f>
        <v/>
      </c>
      <c r="AW38" s="130" t="str">
        <f>IFERROR(__xludf.DUMMYFUNCTION("IF(ISBLANK(BK38),,TEXTJOIN("", "",TRUE,ARRAYFORMULA(VLOOKUP(IFERROR(REGEXEXTRACT(SPLIT(BK38,"";""&amp;CHAR(10)),""\[(.+)\]"")),AE:AT,16,false))))"),"")</f>
        <v/>
      </c>
      <c r="AX38" s="139" t="str">
        <f t="shared" si="6"/>
        <v/>
      </c>
      <c r="AY38" s="139" t="str">
        <f t="shared" si="7"/>
        <v/>
      </c>
      <c r="AZ38" s="106" t="str">
        <f>IFERROR(__xludf.DUMMYFUNCTION("IF(ISBLANK(AD38), BC38, TEXTJOIN(CHAR(10) &amp; CHAR(10), TRUE, ARRAYFORMULA(VLOOKUP(SPLIT(AD38, "";"" &amp; CHAR(10)), $AC:$AY, 23, FALSE))))"),"")</f>
        <v/>
      </c>
      <c r="BA38" s="140" t="s">
        <v>66</v>
      </c>
      <c r="BB38" s="190"/>
      <c r="BC38" s="196"/>
      <c r="BD38" s="106" t="str">
        <f>IFERROR(__xludf.DUMMYFUNCTION("IF(IFERROR(SEARCH(""&lt;&lt;mechanism to realize the capability&gt;&gt;"",BA38),0)=0,
 ""!! Error !! “Capability&amp;Mechanism” column: Invalid Separator:"" &amp; CHAR(10) &amp; ""Insert separator “&lt;&lt;mechanism to realize the capability&gt;&gt;.”"",
 IF(
  LEN(TRIM(CLEAN(
    INDEX(
  "&amp;"    SPLIT(BA38,""&lt;&lt;mechanism to realize the capability&gt;&gt;"",FALSE,FALSE),
      1
    )
  )))=0,
  ""!! Error !! “Capability&amp;Mechanism” column: No Capability:""  &amp; CHAR(10) &amp; ""Describe Capability before separator."",
  INDEX(
    SPLIT(BA38,""&lt;&lt;mechanism "&amp;"to realize the capability&gt;&gt;"",FALSE,FALSE),
    1
  )
 )
)
"),"!! Error !! “Capability&amp;Mechanism” column: No Capability:
Describe Capability before separator.")</f>
        <v>!! Error !! “Capability&amp;Mechanism” column: No Capability:
Describe Capability before separator.</v>
      </c>
      <c r="BE38" s="190"/>
      <c r="BF38" s="195"/>
      <c r="BG38" s="42"/>
      <c r="BH38" s="190"/>
      <c r="BI38" s="196"/>
      <c r="BJ38" s="42"/>
      <c r="BK38" s="42"/>
      <c r="BL38" s="203"/>
      <c r="BM38" s="203"/>
      <c r="BN38" s="42"/>
      <c r="BO38" s="42"/>
      <c r="BP38" s="143"/>
      <c r="BQ38" s="143"/>
      <c r="BR38" s="192"/>
      <c r="BS38" s="192"/>
      <c r="BT38" s="192"/>
      <c r="BU38" s="192"/>
      <c r="BV38" s="192"/>
      <c r="BW38" s="192"/>
      <c r="BX38" s="146" t="str">
        <f t="shared" si="8"/>
        <v/>
      </c>
    </row>
    <row r="39">
      <c r="A39" s="106" t="str">
        <f t="shared" si="1"/>
        <v/>
      </c>
      <c r="B39" s="183" t="str">
        <f t="array" ref="B39">IF(ISBLANK($AE39), "-",INDEX(Circuits!A:A,SUMPRODUCT(EXACT($AE39,Circuits!$A:$A)*ROW(Circuits!$A:$A))))</f>
        <v>-</v>
      </c>
      <c r="C39" s="183" t="str">
        <f t="array" ref="C39">IF(ISBLANK($AE39), "-",INDEX(Circuits!B:B,SUMPRODUCT(EXACT($AE39,Circuits!$A:$A)*ROW(Circuits!$A:$A))))</f>
        <v>-</v>
      </c>
      <c r="D39" s="183" t="str">
        <f t="array" ref="D39">IF(ISBLANK($AE39), "-",INDEX(Circuits!C:C,SUMPRODUCT(EXACT($AE39,Circuits!$A:$A)*ROW(Circuits!$A:$A))))</f>
        <v>-</v>
      </c>
      <c r="E39" s="183" t="str">
        <f t="array" ref="E39">IF(ISBLANK($AE39), "-",INDEX(Circuits!D:D,SUMPRODUCT(EXACT($AE39,Circuits!$A:$A)*ROW(Circuits!$A:$A))))</f>
        <v>-</v>
      </c>
      <c r="F39" s="183" t="str">
        <f t="array" ref="F39">IF(ISBLANK($AE39), "-",INDEX(Circuits!E:E,SUMPRODUCT(EXACT($AE39,Circuits!$A:$A)*ROW(Circuits!$A:$A))))</f>
        <v>-</v>
      </c>
      <c r="G39" s="183" t="str">
        <f t="array" ref="G39">IF(ISBLANK($AE39), "-",INDEX(Circuits!F:F,SUMPRODUCT(EXACT($AE39,Circuits!$A:$A)*ROW(Circuits!$A:$A))))</f>
        <v>-</v>
      </c>
      <c r="H39" s="183" t="str">
        <f t="array" ref="H39">IF(ISBLANK($AE39), "-",INDEX(Circuits!G:G,SUMPRODUCT(EXACT($AE39,Circuits!$A:$A)*ROW(Circuits!$A:$A))))</f>
        <v>-</v>
      </c>
      <c r="I39" s="183" t="str">
        <f t="array" ref="I39">IF(ISBLANK($AE39), "-",INDEX(Circuits!H:H,SUMPRODUCT(EXACT($AE39,Circuits!$A:$A)*ROW(Circuits!$A:$A))))</f>
        <v>-</v>
      </c>
      <c r="J39" s="183" t="str">
        <f t="array" ref="J39">IF(ISBLANK($AE39), "-",INDEX(Circuits!I:I,SUMPRODUCT(EXACT($AE39,Circuits!$A:$A)*ROW(Circuits!$A:$A))))</f>
        <v>-</v>
      </c>
      <c r="K39" s="183" t="str">
        <f t="array" ref="K39">IF(ISBLANK($AE39), "-",INDEX(Circuits!J:J,SUMPRODUCT(EXACT($AE39,Circuits!$A:$A)*ROW(Circuits!$A:$A))))</f>
        <v>-</v>
      </c>
      <c r="L39" s="183" t="str">
        <f t="array" ref="L39">IF(ISBLANK($AE39), "-",INDEX(Circuits!K:K,SUMPRODUCT(EXACT($AE39,Circuits!$A:$A)*ROW(Circuits!$A:$A))))</f>
        <v>-</v>
      </c>
      <c r="M39" s="183" t="str">
        <f t="array" ref="M39">IF(ISBLANK($AE39), "-",INDEX(Circuits!L:L,SUMPRODUCT(EXACT($AE39,Circuits!$A:$A)*ROW(Circuits!$A:$A))))</f>
        <v>-</v>
      </c>
      <c r="N39" s="183" t="str">
        <f t="array" ref="N39">IF(ISBLANK($AE39), "-",INDEX(Circuits!M:M,SUMPRODUCT(EXACT($AE39,Circuits!$A:$A)*ROW(Circuits!$A:$A))))</f>
        <v>-</v>
      </c>
      <c r="O39" s="183" t="str">
        <f t="array" ref="O39">IF(ISBLANK($AE39), "-",INDEX(Circuits!N:N,SUMPRODUCT(EXACT($AE39,Circuits!$A:$A)*ROW(Circuits!$A:$A))))</f>
        <v>-</v>
      </c>
      <c r="P39" s="183" t="str">
        <f t="array" ref="P39">IF(ISBLANK($AE39), "-",INDEX(Circuits!O:O,SUMPRODUCT(EXACT($AE39,Circuits!$A:$A)*ROW(Circuits!$A:$A))))</f>
        <v>-</v>
      </c>
      <c r="Q39" s="183" t="str">
        <f t="array" ref="Q39">IF(ISBLANK($AE39), "-",INDEX(Circuits!P:P,SUMPRODUCT(EXACT($AE39,Circuits!$A:$A)*ROW(Circuits!$A:$A))))</f>
        <v>-</v>
      </c>
      <c r="R39" s="183" t="str">
        <f t="array" ref="R39">IF(ISBLANK($AE39), "-",INDEX(Circuits!Q:Q,SUMPRODUCT(EXACT($AE39,Circuits!$A:$A)*ROW(Circuits!$A:$A))))</f>
        <v>-</v>
      </c>
      <c r="S39" s="183" t="str">
        <f t="array" ref="S39">IF(ISBLANK($AE39), "-",INDEX(Circuits!R:R,SUMPRODUCT(EXACT($AE39,Circuits!$A:$A)*ROW(Circuits!$A:$A))))</f>
        <v>-</v>
      </c>
      <c r="T39" s="183" t="str">
        <f t="array" ref="T39">IF(ISBLANK($AE39), "-",INDEX(Circuits!S:S,SUMPRODUCT(EXACT($AE39,Circuits!$A:$A)*ROW(Circuits!$A:$A))))</f>
        <v>-</v>
      </c>
      <c r="U39" s="183" t="str">
        <f t="array" ref="U39">IF(ISBLANK($AE39), "-",INDEX(Circuits!T:T,SUMPRODUCT(EXACT($AE39,Circuits!$A:$A)*ROW(Circuits!$A:$A))))</f>
        <v>-</v>
      </c>
      <c r="V39" s="183" t="str">
        <f t="array" ref="V39">IF(ISBLANK($AE39), "-",INDEX(Circuits!U:U,SUMPRODUCT(EXACT($AE39,Circuits!$A:$A)*ROW(Circuits!$A:$A))))</f>
        <v>-</v>
      </c>
      <c r="W39" s="183" t="str">
        <f t="array" ref="W39">IF(ISBLANK($AE39), "-",INDEX(Circuits!V:V,SUMPRODUCT(EXACT($AE39,Circuits!$A:$A)*ROW(Circuits!$A:$A))))</f>
        <v>-</v>
      </c>
      <c r="X39" s="183" t="str">
        <f t="array" ref="X39">IF(ISBLANK($AE39), "-",INDEX(Circuits!W:W,SUMPRODUCT(EXACT($AE39,Circuits!$A:$A)*ROW(Circuits!$A:$A))))</f>
        <v>-</v>
      </c>
      <c r="Y39" s="183" t="str">
        <f t="array" ref="Y39">IF(ISBLANK($AE39), "-",INDEX(Circuits!X:X,SUMPRODUCT(EXACT($AE39,Circuits!$A:$A)*ROW(Circuits!$A:$A))))</f>
        <v>-</v>
      </c>
      <c r="Z39" s="108" t="str">
        <f>IFERROR(__xludf.DUMMYFUNCTION("IFNA(CONCATENATE(UNIQUE(FILTER(Connections!R:R,Connections!A:A=B39))),""-"")"),"-")</f>
        <v>-</v>
      </c>
      <c r="AA39" s="119" t="str">
        <f t="array" ref="AA39">IF(ISBLANK($AE39), "-",INDEX(Circuits!Y:Y,SUMPRODUCT(EXACT($AE39,Circuits!$A:$A)*ROW(Circuits!$A:$A))))</f>
        <v>-</v>
      </c>
      <c r="AB39" s="121" t="str">
        <f t="array" ref="AB39">IF(ISBLANK($AE39), "-",INDEX(Circuits!Z:Z,SUMPRODUCT(EXACT($AE39,Circuits!$A:$A)*ROW(Circuits!$A:$A))))</f>
        <v>-</v>
      </c>
      <c r="AC39" s="194"/>
      <c r="AD39" s="194"/>
      <c r="AE39" s="40"/>
      <c r="AF39" s="43"/>
      <c r="AG39" s="126" t="str">
        <f>IFERROR(__xludf.DUMMYFUNCTION("IF(ISBLANK(AF39), """", TEXTJOIN(CHAR(10),TRUE,ARRAYFORMULA(IF(ISERROR(SEARCH(SPLIT(AF39, "";""), $Z39)), ""x"", ""-""))))"),"")</f>
        <v/>
      </c>
      <c r="AH39" s="127" t="str">
        <f>IFERROR(__xludf.DUMMYFUNCTION("IF(ISBLANK(AK39), """", TEXTJOIN("";"" &amp; CHAR(10), TRUE, UNIQUE(SPLIT(AK39, "";"" &amp; CHAR(10)), TRUE))&amp;"";"")"),"")</f>
        <v/>
      </c>
      <c r="AI39" s="128" t="str">
        <f>IFERROR(__xludf.DUMMYFUNCTION("IF(ISBLANK(AD39), IF(ISBLANK(AE39),,IFNA(TEXTJOIN("";"" &amp; CHAR(10), TRUE, FILTER(AE:AE, SEARCH(AE39&amp;"";"", AJ:AJ)))&amp;"";"", """")), TEXTJOIN("";"" &amp; CHAR(10), TRUE, UNIQUE(SPLIT(AH39 &amp; "";"" &amp; AH39 &amp; "";"" &amp; AL39, "";"" &amp; CHAR(10)), TRUE, TRUE))&amp;"";"")"),"")</f>
        <v/>
      </c>
      <c r="AJ39" s="126" t="str">
        <f>IFERROR(__xludf.DUMMYFUNCTION("IF(AN39="""", """", TEXTJOIN("";"" &amp; CHAR(10), TRUE, UNIQUE(SPLIT(AH39 &amp; "";"" &amp; AH39 &amp; "";"" &amp; AN39, "";"" &amp; CHAR(10)), TRUE, TRUE))&amp;"";"")"),"")</f>
        <v/>
      </c>
      <c r="AK39" s="129" t="str">
        <f>IFERROR(__xludf.DUMMYFUNCTION("IF(ISBLANK(AD39), IF(ISBLANK(AE39),,AE39 &amp; "";""), TEXTJOIN(CHAR(10), TRUE, ARRAYFORMULA(VLOOKUP(SPLIT(AD39, "";"" &amp; CHAR(10)), $AC:$AH, 6, FALSE))))"),"")</f>
        <v/>
      </c>
      <c r="AL39" s="130" t="str">
        <f>IFERROR(__xludf.DUMMYFUNCTION("IF(AM39="""", """", TEXTJOIN("";"" &amp; CHAR(10), TRUE, UNIQUE(SPLIT(AM39, "";"" &amp; CHAR(10)), TRUE))&amp;"";"")"),"")</f>
        <v/>
      </c>
      <c r="AM39" s="130" t="str">
        <f>IFERROR(__xludf.DUMMYFUNCTION("IF(ISBLANK(AD39), """", TEXTJOIN(CHAR(10), TRUE, ARRAYFORMULA(VLOOKUP(SPLIT(AH39, "";"" &amp; CHAR(10)), $AE:$AI, 5, FALSE)), AF39))"),"")</f>
        <v/>
      </c>
      <c r="AN39" s="132" t="str">
        <f>IFERROR(__xludf.DUMMYFUNCTION("IF(ISBLANK(AO39), """", TEXTJOIN("";"" &amp; CHAR(10), TRUE, UNIQUE(SPLIT(AO39, "";"" &amp; CHAR(10)), TRUE))&amp;"";"")"),"")</f>
        <v/>
      </c>
      <c r="AO39" s="134" t="str">
        <f>IFERROR(__xludf.DUMMYFUNCTION("IF(ISBLANK(AD39), AF39, TEXTJOIN(CHAR(10), TRUE, ARRAYFORMULA(VLOOKUP(SPLIT(AD39, "";"" &amp; CHAR(10)), $AC:$AN, 12, FALSE))))"),"")</f>
        <v/>
      </c>
      <c r="AP39" s="130" t="str">
        <f>IF(ISBLANK(AE39),,IF(IFERROR(SEARCH(AE39&amp;";",Circuits!$AO$2),0),TRUE,FALSE))</f>
        <v/>
      </c>
      <c r="AQ39" s="130" t="str">
        <f t="shared" si="2"/>
        <v/>
      </c>
      <c r="AR39" s="130" t="str">
        <f t="shared" si="3"/>
        <v/>
      </c>
      <c r="AS39" s="136" t="str">
        <f>IFERROR(__xludf.DUMMYFUNCTION("IF(AH39="""",,SUM(ARRAYFORMULA(IF(IFERROR(SEARCH(SPLIT(AH39,CHAR(10)),Circuits!$AO$2),0)&gt;0,0,1))))"),"")</f>
        <v/>
      </c>
      <c r="AT39" s="138" t="str">
        <f t="shared" si="4"/>
        <v/>
      </c>
      <c r="AU39" s="138" t="str">
        <f t="shared" si="5"/>
        <v/>
      </c>
      <c r="AV39" s="130" t="str">
        <f>IFERROR(__xludf.DUMMYFUNCTION("IF(AI39="""",,TEXTJOIN("", "",TRUE,ARRAYFORMULA(VLOOKUP(SPLIT(AI39,"";""&amp;CHAR(10)),AE:AT,16,FALSE))))"),"")</f>
        <v/>
      </c>
      <c r="AW39" s="130" t="str">
        <f>IFERROR(__xludf.DUMMYFUNCTION("IF(ISBLANK(BK39),,TEXTJOIN("", "",TRUE,ARRAYFORMULA(VLOOKUP(IFERROR(REGEXEXTRACT(SPLIT(BK39,"";""&amp;CHAR(10)),""\[(.+)\]"")),AE:AT,16,false))))"),"")</f>
        <v/>
      </c>
      <c r="AX39" s="139" t="str">
        <f t="shared" si="6"/>
        <v/>
      </c>
      <c r="AY39" s="139" t="str">
        <f t="shared" si="7"/>
        <v/>
      </c>
      <c r="AZ39" s="106" t="str">
        <f>IFERROR(__xludf.DUMMYFUNCTION("IF(ISBLANK(AD39), BC39, TEXTJOIN(CHAR(10) &amp; CHAR(10), TRUE, ARRAYFORMULA(VLOOKUP(SPLIT(AD39, "";"" &amp; CHAR(10)), $AC:$AY, 23, FALSE))))"),"")</f>
        <v/>
      </c>
      <c r="BA39" s="140" t="s">
        <v>66</v>
      </c>
      <c r="BB39" s="190"/>
      <c r="BC39" s="196"/>
      <c r="BD39" s="106" t="str">
        <f>IFERROR(__xludf.DUMMYFUNCTION("IF(IFERROR(SEARCH(""&lt;&lt;mechanism to realize the capability&gt;&gt;"",BA39),0)=0,
 ""!! Error !! “Capability&amp;Mechanism” column: Invalid Separator:"" &amp; CHAR(10) &amp; ""Insert separator “&lt;&lt;mechanism to realize the capability&gt;&gt;.”"",
 IF(
  LEN(TRIM(CLEAN(
    INDEX(
  "&amp;"    SPLIT(BA39,""&lt;&lt;mechanism to realize the capability&gt;&gt;"",FALSE,FALSE),
      1
    )
  )))=0,
  ""!! Error !! “Capability&amp;Mechanism” column: No Capability:""  &amp; CHAR(10) &amp; ""Describe Capability before separator."",
  INDEX(
    SPLIT(BA39,""&lt;&lt;mechanism "&amp;"to realize the capability&gt;&gt;"",FALSE,FALSE),
    1
  )
 )
)
"),"!! Error !! “Capability&amp;Mechanism” column: No Capability:
Describe Capability before separator.")</f>
        <v>!! Error !! “Capability&amp;Mechanism” column: No Capability:
Describe Capability before separator.</v>
      </c>
      <c r="BE39" s="190"/>
      <c r="BF39" s="195"/>
      <c r="BG39" s="42"/>
      <c r="BH39" s="190"/>
      <c r="BI39" s="196"/>
      <c r="BJ39" s="42"/>
      <c r="BK39" s="42"/>
      <c r="BL39" s="203"/>
      <c r="BM39" s="203"/>
      <c r="BN39" s="42"/>
      <c r="BO39" s="42"/>
      <c r="BP39" s="143"/>
      <c r="BQ39" s="143"/>
      <c r="BR39" s="192"/>
      <c r="BS39" s="192"/>
      <c r="BT39" s="192"/>
      <c r="BU39" s="192"/>
      <c r="BV39" s="192"/>
      <c r="BW39" s="192"/>
      <c r="BX39" s="146" t="str">
        <f t="shared" si="8"/>
        <v/>
      </c>
    </row>
    <row r="40">
      <c r="A40" s="106" t="str">
        <f t="shared" si="1"/>
        <v/>
      </c>
      <c r="B40" s="183" t="str">
        <f t="array" ref="B40">IF(ISBLANK($AE40), "-",INDEX(Circuits!A:A,SUMPRODUCT(EXACT($AE40,Circuits!$A:$A)*ROW(Circuits!$A:$A))))</f>
        <v>-</v>
      </c>
      <c r="C40" s="183" t="str">
        <f t="array" ref="C40">IF(ISBLANK($AE40), "-",INDEX(Circuits!B:B,SUMPRODUCT(EXACT($AE40,Circuits!$A:$A)*ROW(Circuits!$A:$A))))</f>
        <v>-</v>
      </c>
      <c r="D40" s="183" t="str">
        <f t="array" ref="D40">IF(ISBLANK($AE40), "-",INDEX(Circuits!C:C,SUMPRODUCT(EXACT($AE40,Circuits!$A:$A)*ROW(Circuits!$A:$A))))</f>
        <v>-</v>
      </c>
      <c r="E40" s="183" t="str">
        <f t="array" ref="E40">IF(ISBLANK($AE40), "-",INDEX(Circuits!D:D,SUMPRODUCT(EXACT($AE40,Circuits!$A:$A)*ROW(Circuits!$A:$A))))</f>
        <v>-</v>
      </c>
      <c r="F40" s="183" t="str">
        <f t="array" ref="F40">IF(ISBLANK($AE40), "-",INDEX(Circuits!E:E,SUMPRODUCT(EXACT($AE40,Circuits!$A:$A)*ROW(Circuits!$A:$A))))</f>
        <v>-</v>
      </c>
      <c r="G40" s="183" t="str">
        <f t="array" ref="G40">IF(ISBLANK($AE40), "-",INDEX(Circuits!F:F,SUMPRODUCT(EXACT($AE40,Circuits!$A:$A)*ROW(Circuits!$A:$A))))</f>
        <v>-</v>
      </c>
      <c r="H40" s="183" t="str">
        <f t="array" ref="H40">IF(ISBLANK($AE40), "-",INDEX(Circuits!G:G,SUMPRODUCT(EXACT($AE40,Circuits!$A:$A)*ROW(Circuits!$A:$A))))</f>
        <v>-</v>
      </c>
      <c r="I40" s="183" t="str">
        <f t="array" ref="I40">IF(ISBLANK($AE40), "-",INDEX(Circuits!H:H,SUMPRODUCT(EXACT($AE40,Circuits!$A:$A)*ROW(Circuits!$A:$A))))</f>
        <v>-</v>
      </c>
      <c r="J40" s="183" t="str">
        <f t="array" ref="J40">IF(ISBLANK($AE40), "-",INDEX(Circuits!I:I,SUMPRODUCT(EXACT($AE40,Circuits!$A:$A)*ROW(Circuits!$A:$A))))</f>
        <v>-</v>
      </c>
      <c r="K40" s="183" t="str">
        <f t="array" ref="K40">IF(ISBLANK($AE40), "-",INDEX(Circuits!J:J,SUMPRODUCT(EXACT($AE40,Circuits!$A:$A)*ROW(Circuits!$A:$A))))</f>
        <v>-</v>
      </c>
      <c r="L40" s="183" t="str">
        <f t="array" ref="L40">IF(ISBLANK($AE40), "-",INDEX(Circuits!K:K,SUMPRODUCT(EXACT($AE40,Circuits!$A:$A)*ROW(Circuits!$A:$A))))</f>
        <v>-</v>
      </c>
      <c r="M40" s="183" t="str">
        <f t="array" ref="M40">IF(ISBLANK($AE40), "-",INDEX(Circuits!L:L,SUMPRODUCT(EXACT($AE40,Circuits!$A:$A)*ROW(Circuits!$A:$A))))</f>
        <v>-</v>
      </c>
      <c r="N40" s="183" t="str">
        <f t="array" ref="N40">IF(ISBLANK($AE40), "-",INDEX(Circuits!M:M,SUMPRODUCT(EXACT($AE40,Circuits!$A:$A)*ROW(Circuits!$A:$A))))</f>
        <v>-</v>
      </c>
      <c r="O40" s="183" t="str">
        <f t="array" ref="O40">IF(ISBLANK($AE40), "-",INDEX(Circuits!N:N,SUMPRODUCT(EXACT($AE40,Circuits!$A:$A)*ROW(Circuits!$A:$A))))</f>
        <v>-</v>
      </c>
      <c r="P40" s="183" t="str">
        <f t="array" ref="P40">IF(ISBLANK($AE40), "-",INDEX(Circuits!O:O,SUMPRODUCT(EXACT($AE40,Circuits!$A:$A)*ROW(Circuits!$A:$A))))</f>
        <v>-</v>
      </c>
      <c r="Q40" s="183" t="str">
        <f t="array" ref="Q40">IF(ISBLANK($AE40), "-",INDEX(Circuits!P:P,SUMPRODUCT(EXACT($AE40,Circuits!$A:$A)*ROW(Circuits!$A:$A))))</f>
        <v>-</v>
      </c>
      <c r="R40" s="183" t="str">
        <f t="array" ref="R40">IF(ISBLANK($AE40), "-",INDEX(Circuits!Q:Q,SUMPRODUCT(EXACT($AE40,Circuits!$A:$A)*ROW(Circuits!$A:$A))))</f>
        <v>-</v>
      </c>
      <c r="S40" s="183" t="str">
        <f t="array" ref="S40">IF(ISBLANK($AE40), "-",INDEX(Circuits!R:R,SUMPRODUCT(EXACT($AE40,Circuits!$A:$A)*ROW(Circuits!$A:$A))))</f>
        <v>-</v>
      </c>
      <c r="T40" s="183" t="str">
        <f t="array" ref="T40">IF(ISBLANK($AE40), "-",INDEX(Circuits!S:S,SUMPRODUCT(EXACT($AE40,Circuits!$A:$A)*ROW(Circuits!$A:$A))))</f>
        <v>-</v>
      </c>
      <c r="U40" s="183" t="str">
        <f t="array" ref="U40">IF(ISBLANK($AE40), "-",INDEX(Circuits!T:T,SUMPRODUCT(EXACT($AE40,Circuits!$A:$A)*ROW(Circuits!$A:$A))))</f>
        <v>-</v>
      </c>
      <c r="V40" s="183" t="str">
        <f t="array" ref="V40">IF(ISBLANK($AE40), "-",INDEX(Circuits!U:U,SUMPRODUCT(EXACT($AE40,Circuits!$A:$A)*ROW(Circuits!$A:$A))))</f>
        <v>-</v>
      </c>
      <c r="W40" s="183" t="str">
        <f t="array" ref="W40">IF(ISBLANK($AE40), "-",INDEX(Circuits!V:V,SUMPRODUCT(EXACT($AE40,Circuits!$A:$A)*ROW(Circuits!$A:$A))))</f>
        <v>-</v>
      </c>
      <c r="X40" s="183" t="str">
        <f t="array" ref="X40">IF(ISBLANK($AE40), "-",INDEX(Circuits!W:W,SUMPRODUCT(EXACT($AE40,Circuits!$A:$A)*ROW(Circuits!$A:$A))))</f>
        <v>-</v>
      </c>
      <c r="Y40" s="183" t="str">
        <f t="array" ref="Y40">IF(ISBLANK($AE40), "-",INDEX(Circuits!X:X,SUMPRODUCT(EXACT($AE40,Circuits!$A:$A)*ROW(Circuits!$A:$A))))</f>
        <v>-</v>
      </c>
      <c r="Z40" s="108" t="str">
        <f>IFERROR(__xludf.DUMMYFUNCTION("IFNA(CONCATENATE(UNIQUE(FILTER(Connections!R:R,Connections!A:A=B40))),""-"")"),"-")</f>
        <v>-</v>
      </c>
      <c r="AA40" s="119" t="str">
        <f t="array" ref="AA40">IF(ISBLANK($AE40), "-",INDEX(Circuits!Y:Y,SUMPRODUCT(EXACT($AE40,Circuits!$A:$A)*ROW(Circuits!$A:$A))))</f>
        <v>-</v>
      </c>
      <c r="AB40" s="121" t="str">
        <f t="array" ref="AB40">IF(ISBLANK($AE40), "-",INDEX(Circuits!Z:Z,SUMPRODUCT(EXACT($AE40,Circuits!$A:$A)*ROW(Circuits!$A:$A))))</f>
        <v>-</v>
      </c>
      <c r="AC40" s="194"/>
      <c r="AD40" s="194"/>
      <c r="AE40" s="40"/>
      <c r="AF40" s="43"/>
      <c r="AG40" s="126" t="str">
        <f>IFERROR(__xludf.DUMMYFUNCTION("IF(ISBLANK(AF40), """", TEXTJOIN(CHAR(10),TRUE,ARRAYFORMULA(IF(ISERROR(SEARCH(SPLIT(AF40, "";""), $Z40)), ""x"", ""-""))))"),"")</f>
        <v/>
      </c>
      <c r="AH40" s="127" t="str">
        <f>IFERROR(__xludf.DUMMYFUNCTION("IF(ISBLANK(AK40), """", TEXTJOIN("";"" &amp; CHAR(10), TRUE, UNIQUE(SPLIT(AK40, "";"" &amp; CHAR(10)), TRUE))&amp;"";"")"),"")</f>
        <v/>
      </c>
      <c r="AI40" s="128" t="str">
        <f>IFERROR(__xludf.DUMMYFUNCTION("IF(ISBLANK(AD40), IF(ISBLANK(AE40),,IFNA(TEXTJOIN("";"" &amp; CHAR(10), TRUE, FILTER(AE:AE, SEARCH(AE40&amp;"";"", AJ:AJ)))&amp;"";"", """")), TEXTJOIN("";"" &amp; CHAR(10), TRUE, UNIQUE(SPLIT(AH40 &amp; "";"" &amp; AH40 &amp; "";"" &amp; AL40, "";"" &amp; CHAR(10)), TRUE, TRUE))&amp;"";"")"),"")</f>
        <v/>
      </c>
      <c r="AJ40" s="126" t="str">
        <f>IFERROR(__xludf.DUMMYFUNCTION("IF(AN40="""", """", TEXTJOIN("";"" &amp; CHAR(10), TRUE, UNIQUE(SPLIT(AH40 &amp; "";"" &amp; AH40 &amp; "";"" &amp; AN40, "";"" &amp; CHAR(10)), TRUE, TRUE))&amp;"";"")"),"")</f>
        <v/>
      </c>
      <c r="AK40" s="129" t="str">
        <f>IFERROR(__xludf.DUMMYFUNCTION("IF(ISBLANK(AD40), IF(ISBLANK(AE40),,AE40 &amp; "";""), TEXTJOIN(CHAR(10), TRUE, ARRAYFORMULA(VLOOKUP(SPLIT(AD40, "";"" &amp; CHAR(10)), $AC:$AH, 6, FALSE))))"),"")</f>
        <v/>
      </c>
      <c r="AL40" s="130" t="str">
        <f>IFERROR(__xludf.DUMMYFUNCTION("IF(AM40="""", """", TEXTJOIN("";"" &amp; CHAR(10), TRUE, UNIQUE(SPLIT(AM40, "";"" &amp; CHAR(10)), TRUE))&amp;"";"")"),"")</f>
        <v/>
      </c>
      <c r="AM40" s="130" t="str">
        <f>IFERROR(__xludf.DUMMYFUNCTION("IF(ISBLANK(AD40), """", TEXTJOIN(CHAR(10), TRUE, ARRAYFORMULA(VLOOKUP(SPLIT(AH40, "";"" &amp; CHAR(10)), $AE:$AI, 5, FALSE)), AF40))"),"")</f>
        <v/>
      </c>
      <c r="AN40" s="132" t="str">
        <f>IFERROR(__xludf.DUMMYFUNCTION("IF(ISBLANK(AO40), """", TEXTJOIN("";"" &amp; CHAR(10), TRUE, UNIQUE(SPLIT(AO40, "";"" &amp; CHAR(10)), TRUE))&amp;"";"")"),"")</f>
        <v/>
      </c>
      <c r="AO40" s="134" t="str">
        <f>IFERROR(__xludf.DUMMYFUNCTION("IF(ISBLANK(AD40), AF40, TEXTJOIN(CHAR(10), TRUE, ARRAYFORMULA(VLOOKUP(SPLIT(AD40, "";"" &amp; CHAR(10)), $AC:$AN, 12, FALSE))))"),"")</f>
        <v/>
      </c>
      <c r="AP40" s="130" t="str">
        <f>IF(ISBLANK(AE40),,IF(IFERROR(SEARCH(AE40&amp;";",Circuits!$AO$2),0),TRUE,FALSE))</f>
        <v/>
      </c>
      <c r="AQ40" s="130" t="str">
        <f t="shared" si="2"/>
        <v/>
      </c>
      <c r="AR40" s="130" t="str">
        <f t="shared" si="3"/>
        <v/>
      </c>
      <c r="AS40" s="136" t="str">
        <f>IFERROR(__xludf.DUMMYFUNCTION("IF(AH40="""",,SUM(ARRAYFORMULA(IF(IFERROR(SEARCH(SPLIT(AH40,CHAR(10)),Circuits!$AO$2),0)&gt;0,0,1))))"),"")</f>
        <v/>
      </c>
      <c r="AT40" s="138" t="str">
        <f t="shared" si="4"/>
        <v/>
      </c>
      <c r="AU40" s="138" t="str">
        <f t="shared" si="5"/>
        <v/>
      </c>
      <c r="AV40" s="130" t="str">
        <f>IFERROR(__xludf.DUMMYFUNCTION("IF(AI40="""",,TEXTJOIN("", "",TRUE,ARRAYFORMULA(VLOOKUP(SPLIT(AI40,"";""&amp;CHAR(10)),AE:AT,16,FALSE))))"),"")</f>
        <v/>
      </c>
      <c r="AW40" s="130" t="str">
        <f>IFERROR(__xludf.DUMMYFUNCTION("IF(ISBLANK(BK40),,TEXTJOIN("", "",TRUE,ARRAYFORMULA(VLOOKUP(IFERROR(REGEXEXTRACT(SPLIT(BK40,"";""&amp;CHAR(10)),""\[(.+)\]"")),AE:AT,16,false))))"),"")</f>
        <v/>
      </c>
      <c r="AX40" s="139" t="str">
        <f t="shared" si="6"/>
        <v/>
      </c>
      <c r="AY40" s="139" t="str">
        <f t="shared" si="7"/>
        <v/>
      </c>
      <c r="AZ40" s="106" t="str">
        <f>IFERROR(__xludf.DUMMYFUNCTION("IF(ISBLANK(AD40), BC40, TEXTJOIN(CHAR(10) &amp; CHAR(10), TRUE, ARRAYFORMULA(VLOOKUP(SPLIT(AD40, "";"" &amp; CHAR(10)), $AC:$AY, 23, FALSE))))"),"")</f>
        <v/>
      </c>
      <c r="BA40" s="140" t="s">
        <v>66</v>
      </c>
      <c r="BB40" s="190"/>
      <c r="BC40" s="196"/>
      <c r="BD40" s="106" t="str">
        <f>IFERROR(__xludf.DUMMYFUNCTION("IF(IFERROR(SEARCH(""&lt;&lt;mechanism to realize the capability&gt;&gt;"",BA40),0)=0,
 ""!! Error !! “Capability&amp;Mechanism” column: Invalid Separator:"" &amp; CHAR(10) &amp; ""Insert separator “&lt;&lt;mechanism to realize the capability&gt;&gt;.”"",
 IF(
  LEN(TRIM(CLEAN(
    INDEX(
  "&amp;"    SPLIT(BA40,""&lt;&lt;mechanism to realize the capability&gt;&gt;"",FALSE,FALSE),
      1
    )
  )))=0,
  ""!! Error !! “Capability&amp;Mechanism” column: No Capability:""  &amp; CHAR(10) &amp; ""Describe Capability before separator."",
  INDEX(
    SPLIT(BA40,""&lt;&lt;mechanism "&amp;"to realize the capability&gt;&gt;"",FALSE,FALSE),
    1
  )
 )
)
"),"!! Error !! “Capability&amp;Mechanism” column: No Capability:
Describe Capability before separator.")</f>
        <v>!! Error !! “Capability&amp;Mechanism” column: No Capability:
Describe Capability before separator.</v>
      </c>
      <c r="BE40" s="190"/>
      <c r="BF40" s="195"/>
      <c r="BG40" s="42"/>
      <c r="BH40" s="190"/>
      <c r="BI40" s="196"/>
      <c r="BJ40" s="42"/>
      <c r="BK40" s="42"/>
      <c r="BL40" s="203"/>
      <c r="BM40" s="203"/>
      <c r="BN40" s="42"/>
      <c r="BO40" s="42"/>
      <c r="BP40" s="143"/>
      <c r="BQ40" s="143"/>
      <c r="BR40" s="192"/>
      <c r="BS40" s="192"/>
      <c r="BT40" s="192"/>
      <c r="BU40" s="192"/>
      <c r="BV40" s="192"/>
      <c r="BW40" s="192"/>
      <c r="BX40" s="146" t="str">
        <f t="shared" si="8"/>
        <v/>
      </c>
    </row>
    <row r="41">
      <c r="A41" s="106" t="str">
        <f t="shared" si="1"/>
        <v/>
      </c>
      <c r="B41" s="183" t="str">
        <f t="array" ref="B41">IF(ISBLANK($AE41), "-",INDEX(Circuits!A:A,SUMPRODUCT(EXACT($AE41,Circuits!$A:$A)*ROW(Circuits!$A:$A))))</f>
        <v>-</v>
      </c>
      <c r="C41" s="183" t="str">
        <f t="array" ref="C41">IF(ISBLANK($AE41), "-",INDEX(Circuits!B:B,SUMPRODUCT(EXACT($AE41,Circuits!$A:$A)*ROW(Circuits!$A:$A))))</f>
        <v>-</v>
      </c>
      <c r="D41" s="183" t="str">
        <f t="array" ref="D41">IF(ISBLANK($AE41), "-",INDEX(Circuits!C:C,SUMPRODUCT(EXACT($AE41,Circuits!$A:$A)*ROW(Circuits!$A:$A))))</f>
        <v>-</v>
      </c>
      <c r="E41" s="183" t="str">
        <f t="array" ref="E41">IF(ISBLANK($AE41), "-",INDEX(Circuits!D:D,SUMPRODUCT(EXACT($AE41,Circuits!$A:$A)*ROW(Circuits!$A:$A))))</f>
        <v>-</v>
      </c>
      <c r="F41" s="183" t="str">
        <f t="array" ref="F41">IF(ISBLANK($AE41), "-",INDEX(Circuits!E:E,SUMPRODUCT(EXACT($AE41,Circuits!$A:$A)*ROW(Circuits!$A:$A))))</f>
        <v>-</v>
      </c>
      <c r="G41" s="183" t="str">
        <f t="array" ref="G41">IF(ISBLANK($AE41), "-",INDEX(Circuits!F:F,SUMPRODUCT(EXACT($AE41,Circuits!$A:$A)*ROW(Circuits!$A:$A))))</f>
        <v>-</v>
      </c>
      <c r="H41" s="183" t="str">
        <f t="array" ref="H41">IF(ISBLANK($AE41), "-",INDEX(Circuits!G:G,SUMPRODUCT(EXACT($AE41,Circuits!$A:$A)*ROW(Circuits!$A:$A))))</f>
        <v>-</v>
      </c>
      <c r="I41" s="183" t="str">
        <f t="array" ref="I41">IF(ISBLANK($AE41), "-",INDEX(Circuits!H:H,SUMPRODUCT(EXACT($AE41,Circuits!$A:$A)*ROW(Circuits!$A:$A))))</f>
        <v>-</v>
      </c>
      <c r="J41" s="183" t="str">
        <f t="array" ref="J41">IF(ISBLANK($AE41), "-",INDEX(Circuits!I:I,SUMPRODUCT(EXACT($AE41,Circuits!$A:$A)*ROW(Circuits!$A:$A))))</f>
        <v>-</v>
      </c>
      <c r="K41" s="183" t="str">
        <f t="array" ref="K41">IF(ISBLANK($AE41), "-",INDEX(Circuits!J:J,SUMPRODUCT(EXACT($AE41,Circuits!$A:$A)*ROW(Circuits!$A:$A))))</f>
        <v>-</v>
      </c>
      <c r="L41" s="183" t="str">
        <f t="array" ref="L41">IF(ISBLANK($AE41), "-",INDEX(Circuits!K:K,SUMPRODUCT(EXACT($AE41,Circuits!$A:$A)*ROW(Circuits!$A:$A))))</f>
        <v>-</v>
      </c>
      <c r="M41" s="183" t="str">
        <f t="array" ref="M41">IF(ISBLANK($AE41), "-",INDEX(Circuits!L:L,SUMPRODUCT(EXACT($AE41,Circuits!$A:$A)*ROW(Circuits!$A:$A))))</f>
        <v>-</v>
      </c>
      <c r="N41" s="183" t="str">
        <f t="array" ref="N41">IF(ISBLANK($AE41), "-",INDEX(Circuits!M:M,SUMPRODUCT(EXACT($AE41,Circuits!$A:$A)*ROW(Circuits!$A:$A))))</f>
        <v>-</v>
      </c>
      <c r="O41" s="183" t="str">
        <f t="array" ref="O41">IF(ISBLANK($AE41), "-",INDEX(Circuits!N:N,SUMPRODUCT(EXACT($AE41,Circuits!$A:$A)*ROW(Circuits!$A:$A))))</f>
        <v>-</v>
      </c>
      <c r="P41" s="183" t="str">
        <f t="array" ref="P41">IF(ISBLANK($AE41), "-",INDEX(Circuits!O:O,SUMPRODUCT(EXACT($AE41,Circuits!$A:$A)*ROW(Circuits!$A:$A))))</f>
        <v>-</v>
      </c>
      <c r="Q41" s="183" t="str">
        <f t="array" ref="Q41">IF(ISBLANK($AE41), "-",INDEX(Circuits!P:P,SUMPRODUCT(EXACT($AE41,Circuits!$A:$A)*ROW(Circuits!$A:$A))))</f>
        <v>-</v>
      </c>
      <c r="R41" s="183" t="str">
        <f t="array" ref="R41">IF(ISBLANK($AE41), "-",INDEX(Circuits!Q:Q,SUMPRODUCT(EXACT($AE41,Circuits!$A:$A)*ROW(Circuits!$A:$A))))</f>
        <v>-</v>
      </c>
      <c r="S41" s="183" t="str">
        <f t="array" ref="S41">IF(ISBLANK($AE41), "-",INDEX(Circuits!R:R,SUMPRODUCT(EXACT($AE41,Circuits!$A:$A)*ROW(Circuits!$A:$A))))</f>
        <v>-</v>
      </c>
      <c r="T41" s="183" t="str">
        <f t="array" ref="T41">IF(ISBLANK($AE41), "-",INDEX(Circuits!S:S,SUMPRODUCT(EXACT($AE41,Circuits!$A:$A)*ROW(Circuits!$A:$A))))</f>
        <v>-</v>
      </c>
      <c r="U41" s="183" t="str">
        <f t="array" ref="U41">IF(ISBLANK($AE41), "-",INDEX(Circuits!T:T,SUMPRODUCT(EXACT($AE41,Circuits!$A:$A)*ROW(Circuits!$A:$A))))</f>
        <v>-</v>
      </c>
      <c r="V41" s="183" t="str">
        <f t="array" ref="V41">IF(ISBLANK($AE41), "-",INDEX(Circuits!U:U,SUMPRODUCT(EXACT($AE41,Circuits!$A:$A)*ROW(Circuits!$A:$A))))</f>
        <v>-</v>
      </c>
      <c r="W41" s="183" t="str">
        <f t="array" ref="W41">IF(ISBLANK($AE41), "-",INDEX(Circuits!V:V,SUMPRODUCT(EXACT($AE41,Circuits!$A:$A)*ROW(Circuits!$A:$A))))</f>
        <v>-</v>
      </c>
      <c r="X41" s="183" t="str">
        <f t="array" ref="X41">IF(ISBLANK($AE41), "-",INDEX(Circuits!W:W,SUMPRODUCT(EXACT($AE41,Circuits!$A:$A)*ROW(Circuits!$A:$A))))</f>
        <v>-</v>
      </c>
      <c r="Y41" s="183" t="str">
        <f t="array" ref="Y41">IF(ISBLANK($AE41), "-",INDEX(Circuits!X:X,SUMPRODUCT(EXACT($AE41,Circuits!$A:$A)*ROW(Circuits!$A:$A))))</f>
        <v>-</v>
      </c>
      <c r="Z41" s="108" t="str">
        <f>IFERROR(__xludf.DUMMYFUNCTION("IFNA(CONCATENATE(UNIQUE(FILTER(Connections!R:R,Connections!A:A=B41))),""-"")"),"-")</f>
        <v>-</v>
      </c>
      <c r="AA41" s="119" t="str">
        <f t="array" ref="AA41">IF(ISBLANK($AE41), "-",INDEX(Circuits!Y:Y,SUMPRODUCT(EXACT($AE41,Circuits!$A:$A)*ROW(Circuits!$A:$A))))</f>
        <v>-</v>
      </c>
      <c r="AB41" s="121" t="str">
        <f t="array" ref="AB41">IF(ISBLANK($AE41), "-",INDEX(Circuits!Z:Z,SUMPRODUCT(EXACT($AE41,Circuits!$A:$A)*ROW(Circuits!$A:$A))))</f>
        <v>-</v>
      </c>
      <c r="AC41" s="194"/>
      <c r="AD41" s="194"/>
      <c r="AE41" s="40"/>
      <c r="AF41" s="43"/>
      <c r="AG41" s="126" t="str">
        <f>IFERROR(__xludf.DUMMYFUNCTION("IF(ISBLANK(AF41), """", TEXTJOIN(CHAR(10),TRUE,ARRAYFORMULA(IF(ISERROR(SEARCH(SPLIT(AF41, "";""), $Z41)), ""x"", ""-""))))"),"")</f>
        <v/>
      </c>
      <c r="AH41" s="127" t="str">
        <f>IFERROR(__xludf.DUMMYFUNCTION("IF(ISBLANK(AK41), """", TEXTJOIN("";"" &amp; CHAR(10), TRUE, UNIQUE(SPLIT(AK41, "";"" &amp; CHAR(10)), TRUE))&amp;"";"")"),"")</f>
        <v/>
      </c>
      <c r="AI41" s="128" t="str">
        <f>IFERROR(__xludf.DUMMYFUNCTION("IF(ISBLANK(AD41), IF(ISBLANK(AE41),,IFNA(TEXTJOIN("";"" &amp; CHAR(10), TRUE, FILTER(AE:AE, SEARCH(AE41&amp;"";"", AJ:AJ)))&amp;"";"", """")), TEXTJOIN("";"" &amp; CHAR(10), TRUE, UNIQUE(SPLIT(AH41 &amp; "";"" &amp; AH41 &amp; "";"" &amp; AL41, "";"" &amp; CHAR(10)), TRUE, TRUE))&amp;"";"")"),"")</f>
        <v/>
      </c>
      <c r="AJ41" s="126" t="str">
        <f>IFERROR(__xludf.DUMMYFUNCTION("IF(AN41="""", """", TEXTJOIN("";"" &amp; CHAR(10), TRUE, UNIQUE(SPLIT(AH41 &amp; "";"" &amp; AH41 &amp; "";"" &amp; AN41, "";"" &amp; CHAR(10)), TRUE, TRUE))&amp;"";"")"),"")</f>
        <v/>
      </c>
      <c r="AK41" s="129" t="str">
        <f>IFERROR(__xludf.DUMMYFUNCTION("IF(ISBLANK(AD41), IF(ISBLANK(AE41),,AE41 &amp; "";""), TEXTJOIN(CHAR(10), TRUE, ARRAYFORMULA(VLOOKUP(SPLIT(AD41, "";"" &amp; CHAR(10)), $AC:$AH, 6, FALSE))))"),"")</f>
        <v/>
      </c>
      <c r="AL41" s="130" t="str">
        <f>IFERROR(__xludf.DUMMYFUNCTION("IF(AM41="""", """", TEXTJOIN("";"" &amp; CHAR(10), TRUE, UNIQUE(SPLIT(AM41, "";"" &amp; CHAR(10)), TRUE))&amp;"";"")"),"")</f>
        <v/>
      </c>
      <c r="AM41" s="130" t="str">
        <f>IFERROR(__xludf.DUMMYFUNCTION("IF(ISBLANK(AD41), """", TEXTJOIN(CHAR(10), TRUE, ARRAYFORMULA(VLOOKUP(SPLIT(AH41, "";"" &amp; CHAR(10)), $AE:$AI, 5, FALSE)), AF41))"),"")</f>
        <v/>
      </c>
      <c r="AN41" s="132" t="str">
        <f>IFERROR(__xludf.DUMMYFUNCTION("IF(ISBLANK(AO41), """", TEXTJOIN("";"" &amp; CHAR(10), TRUE, UNIQUE(SPLIT(AO41, "";"" &amp; CHAR(10)), TRUE))&amp;"";"")"),"")</f>
        <v/>
      </c>
      <c r="AO41" s="134" t="str">
        <f>IFERROR(__xludf.DUMMYFUNCTION("IF(ISBLANK(AD41), AF41, TEXTJOIN(CHAR(10), TRUE, ARRAYFORMULA(VLOOKUP(SPLIT(AD41, "";"" &amp; CHAR(10)), $AC:$AN, 12, FALSE))))"),"")</f>
        <v/>
      </c>
      <c r="AP41" s="130" t="str">
        <f>IF(ISBLANK(AE41),,IF(IFERROR(SEARCH(AE41&amp;";",Circuits!$AO$2),0),TRUE,FALSE))</f>
        <v/>
      </c>
      <c r="AQ41" s="130" t="str">
        <f t="shared" si="2"/>
        <v/>
      </c>
      <c r="AR41" s="130" t="str">
        <f t="shared" si="3"/>
        <v/>
      </c>
      <c r="AS41" s="136" t="str">
        <f>IFERROR(__xludf.DUMMYFUNCTION("IF(AH41="""",,SUM(ARRAYFORMULA(IF(IFERROR(SEARCH(SPLIT(AH41,CHAR(10)),Circuits!$AO$2),0)&gt;0,0,1))))"),"")</f>
        <v/>
      </c>
      <c r="AT41" s="138" t="str">
        <f t="shared" si="4"/>
        <v/>
      </c>
      <c r="AU41" s="138" t="str">
        <f t="shared" si="5"/>
        <v/>
      </c>
      <c r="AV41" s="130" t="str">
        <f>IFERROR(__xludf.DUMMYFUNCTION("IF(AI41="""",,TEXTJOIN("", "",TRUE,ARRAYFORMULA(VLOOKUP(SPLIT(AI41,"";""&amp;CHAR(10)),AE:AT,16,FALSE))))"),"")</f>
        <v/>
      </c>
      <c r="AW41" s="130" t="str">
        <f>IFERROR(__xludf.DUMMYFUNCTION("IF(ISBLANK(BK41),,TEXTJOIN("", "",TRUE,ARRAYFORMULA(VLOOKUP(IFERROR(REGEXEXTRACT(SPLIT(BK41,"";""&amp;CHAR(10)),""\[(.+)\]"")),AE:AT,16,false))))"),"")</f>
        <v/>
      </c>
      <c r="AX41" s="139" t="str">
        <f t="shared" si="6"/>
        <v/>
      </c>
      <c r="AY41" s="139" t="str">
        <f t="shared" si="7"/>
        <v/>
      </c>
      <c r="AZ41" s="106" t="str">
        <f>IFERROR(__xludf.DUMMYFUNCTION("IF(ISBLANK(AD41), BC41, TEXTJOIN(CHAR(10) &amp; CHAR(10), TRUE, ARRAYFORMULA(VLOOKUP(SPLIT(AD41, "";"" &amp; CHAR(10)), $AC:$AY, 23, FALSE))))"),"")</f>
        <v/>
      </c>
      <c r="BA41" s="140" t="s">
        <v>66</v>
      </c>
      <c r="BB41" s="190"/>
      <c r="BC41" s="196"/>
      <c r="BD41" s="106" t="str">
        <f>IFERROR(__xludf.DUMMYFUNCTION("IF(IFERROR(SEARCH(""&lt;&lt;mechanism to realize the capability&gt;&gt;"",BA41),0)=0,
 ""!! Error !! “Capability&amp;Mechanism” column: Invalid Separator:"" &amp; CHAR(10) &amp; ""Insert separator “&lt;&lt;mechanism to realize the capability&gt;&gt;.”"",
 IF(
  LEN(TRIM(CLEAN(
    INDEX(
  "&amp;"    SPLIT(BA41,""&lt;&lt;mechanism to realize the capability&gt;&gt;"",FALSE,FALSE),
      1
    )
  )))=0,
  ""!! Error !! “Capability&amp;Mechanism” column: No Capability:""  &amp; CHAR(10) &amp; ""Describe Capability before separator."",
  INDEX(
    SPLIT(BA41,""&lt;&lt;mechanism "&amp;"to realize the capability&gt;&gt;"",FALSE,FALSE),
    1
  )
 )
)
"),"!! Error !! “Capability&amp;Mechanism” column: No Capability:
Describe Capability before separator.")</f>
        <v>!! Error !! “Capability&amp;Mechanism” column: No Capability:
Describe Capability before separator.</v>
      </c>
      <c r="BE41" s="190"/>
      <c r="BF41" s="195"/>
      <c r="BG41" s="42"/>
      <c r="BH41" s="190"/>
      <c r="BI41" s="196"/>
      <c r="BJ41" s="42"/>
      <c r="BK41" s="42"/>
      <c r="BL41" s="203"/>
      <c r="BM41" s="203"/>
      <c r="BN41" s="42"/>
      <c r="BO41" s="42"/>
      <c r="BP41" s="143"/>
      <c r="BQ41" s="143"/>
      <c r="BR41" s="192"/>
      <c r="BS41" s="192"/>
      <c r="BT41" s="192"/>
      <c r="BU41" s="192"/>
      <c r="BV41" s="192"/>
      <c r="BW41" s="192"/>
      <c r="BX41" s="146" t="str">
        <f t="shared" si="8"/>
        <v/>
      </c>
    </row>
    <row r="42">
      <c r="A42" s="106" t="str">
        <f t="shared" si="1"/>
        <v/>
      </c>
      <c r="B42" s="183" t="str">
        <f t="array" ref="B42">IF(ISBLANK($AE42), "-",INDEX(Circuits!A:A,SUMPRODUCT(EXACT($AE42,Circuits!$A:$A)*ROW(Circuits!$A:$A))))</f>
        <v>-</v>
      </c>
      <c r="C42" s="183" t="str">
        <f t="array" ref="C42">IF(ISBLANK($AE42), "-",INDEX(Circuits!B:B,SUMPRODUCT(EXACT($AE42,Circuits!$A:$A)*ROW(Circuits!$A:$A))))</f>
        <v>-</v>
      </c>
      <c r="D42" s="183" t="str">
        <f t="array" ref="D42">IF(ISBLANK($AE42), "-",INDEX(Circuits!C:C,SUMPRODUCT(EXACT($AE42,Circuits!$A:$A)*ROW(Circuits!$A:$A))))</f>
        <v>-</v>
      </c>
      <c r="E42" s="183" t="str">
        <f t="array" ref="E42">IF(ISBLANK($AE42), "-",INDEX(Circuits!D:D,SUMPRODUCT(EXACT($AE42,Circuits!$A:$A)*ROW(Circuits!$A:$A))))</f>
        <v>-</v>
      </c>
      <c r="F42" s="183" t="str">
        <f t="array" ref="F42">IF(ISBLANK($AE42), "-",INDEX(Circuits!E:E,SUMPRODUCT(EXACT($AE42,Circuits!$A:$A)*ROW(Circuits!$A:$A))))</f>
        <v>-</v>
      </c>
      <c r="G42" s="183" t="str">
        <f t="array" ref="G42">IF(ISBLANK($AE42), "-",INDEX(Circuits!F:F,SUMPRODUCT(EXACT($AE42,Circuits!$A:$A)*ROW(Circuits!$A:$A))))</f>
        <v>-</v>
      </c>
      <c r="H42" s="183" t="str">
        <f t="array" ref="H42">IF(ISBLANK($AE42), "-",INDEX(Circuits!G:G,SUMPRODUCT(EXACT($AE42,Circuits!$A:$A)*ROW(Circuits!$A:$A))))</f>
        <v>-</v>
      </c>
      <c r="I42" s="183" t="str">
        <f t="array" ref="I42">IF(ISBLANK($AE42), "-",INDEX(Circuits!H:H,SUMPRODUCT(EXACT($AE42,Circuits!$A:$A)*ROW(Circuits!$A:$A))))</f>
        <v>-</v>
      </c>
      <c r="J42" s="183" t="str">
        <f t="array" ref="J42">IF(ISBLANK($AE42), "-",INDEX(Circuits!I:I,SUMPRODUCT(EXACT($AE42,Circuits!$A:$A)*ROW(Circuits!$A:$A))))</f>
        <v>-</v>
      </c>
      <c r="K42" s="183" t="str">
        <f t="array" ref="K42">IF(ISBLANK($AE42), "-",INDEX(Circuits!J:J,SUMPRODUCT(EXACT($AE42,Circuits!$A:$A)*ROW(Circuits!$A:$A))))</f>
        <v>-</v>
      </c>
      <c r="L42" s="183" t="str">
        <f t="array" ref="L42">IF(ISBLANK($AE42), "-",INDEX(Circuits!K:K,SUMPRODUCT(EXACT($AE42,Circuits!$A:$A)*ROW(Circuits!$A:$A))))</f>
        <v>-</v>
      </c>
      <c r="M42" s="183" t="str">
        <f t="array" ref="M42">IF(ISBLANK($AE42), "-",INDEX(Circuits!L:L,SUMPRODUCT(EXACT($AE42,Circuits!$A:$A)*ROW(Circuits!$A:$A))))</f>
        <v>-</v>
      </c>
      <c r="N42" s="183" t="str">
        <f t="array" ref="N42">IF(ISBLANK($AE42), "-",INDEX(Circuits!M:M,SUMPRODUCT(EXACT($AE42,Circuits!$A:$A)*ROW(Circuits!$A:$A))))</f>
        <v>-</v>
      </c>
      <c r="O42" s="183" t="str">
        <f t="array" ref="O42">IF(ISBLANK($AE42), "-",INDEX(Circuits!N:N,SUMPRODUCT(EXACT($AE42,Circuits!$A:$A)*ROW(Circuits!$A:$A))))</f>
        <v>-</v>
      </c>
      <c r="P42" s="183" t="str">
        <f t="array" ref="P42">IF(ISBLANK($AE42), "-",INDEX(Circuits!O:O,SUMPRODUCT(EXACT($AE42,Circuits!$A:$A)*ROW(Circuits!$A:$A))))</f>
        <v>-</v>
      </c>
      <c r="Q42" s="183" t="str">
        <f t="array" ref="Q42">IF(ISBLANK($AE42), "-",INDEX(Circuits!P:P,SUMPRODUCT(EXACT($AE42,Circuits!$A:$A)*ROW(Circuits!$A:$A))))</f>
        <v>-</v>
      </c>
      <c r="R42" s="183" t="str">
        <f t="array" ref="R42">IF(ISBLANK($AE42), "-",INDEX(Circuits!Q:Q,SUMPRODUCT(EXACT($AE42,Circuits!$A:$A)*ROW(Circuits!$A:$A))))</f>
        <v>-</v>
      </c>
      <c r="S42" s="183" t="str">
        <f t="array" ref="S42">IF(ISBLANK($AE42), "-",INDEX(Circuits!R:R,SUMPRODUCT(EXACT($AE42,Circuits!$A:$A)*ROW(Circuits!$A:$A))))</f>
        <v>-</v>
      </c>
      <c r="T42" s="183" t="str">
        <f t="array" ref="T42">IF(ISBLANK($AE42), "-",INDEX(Circuits!S:S,SUMPRODUCT(EXACT($AE42,Circuits!$A:$A)*ROW(Circuits!$A:$A))))</f>
        <v>-</v>
      </c>
      <c r="U42" s="183" t="str">
        <f t="array" ref="U42">IF(ISBLANK($AE42), "-",INDEX(Circuits!T:T,SUMPRODUCT(EXACT($AE42,Circuits!$A:$A)*ROW(Circuits!$A:$A))))</f>
        <v>-</v>
      </c>
      <c r="V42" s="183" t="str">
        <f t="array" ref="V42">IF(ISBLANK($AE42), "-",INDEX(Circuits!U:U,SUMPRODUCT(EXACT($AE42,Circuits!$A:$A)*ROW(Circuits!$A:$A))))</f>
        <v>-</v>
      </c>
      <c r="W42" s="183" t="str">
        <f t="array" ref="W42">IF(ISBLANK($AE42), "-",INDEX(Circuits!V:V,SUMPRODUCT(EXACT($AE42,Circuits!$A:$A)*ROW(Circuits!$A:$A))))</f>
        <v>-</v>
      </c>
      <c r="X42" s="183" t="str">
        <f t="array" ref="X42">IF(ISBLANK($AE42), "-",INDEX(Circuits!W:W,SUMPRODUCT(EXACT($AE42,Circuits!$A:$A)*ROW(Circuits!$A:$A))))</f>
        <v>-</v>
      </c>
      <c r="Y42" s="183" t="str">
        <f t="array" ref="Y42">IF(ISBLANK($AE42), "-",INDEX(Circuits!X:X,SUMPRODUCT(EXACT($AE42,Circuits!$A:$A)*ROW(Circuits!$A:$A))))</f>
        <v>-</v>
      </c>
      <c r="Z42" s="108" t="str">
        <f>IFERROR(__xludf.DUMMYFUNCTION("IFNA(CONCATENATE(UNIQUE(FILTER(Connections!R:R,Connections!A:A=B42))),""-"")"),"-")</f>
        <v>-</v>
      </c>
      <c r="AA42" s="119" t="str">
        <f t="array" ref="AA42">IF(ISBLANK($AE42), "-",INDEX(Circuits!Y:Y,SUMPRODUCT(EXACT($AE42,Circuits!$A:$A)*ROW(Circuits!$A:$A))))</f>
        <v>-</v>
      </c>
      <c r="AB42" s="121" t="str">
        <f t="array" ref="AB42">IF(ISBLANK($AE42), "-",INDEX(Circuits!Z:Z,SUMPRODUCT(EXACT($AE42,Circuits!$A:$A)*ROW(Circuits!$A:$A))))</f>
        <v>-</v>
      </c>
      <c r="AC42" s="194"/>
      <c r="AD42" s="194"/>
      <c r="AE42" s="40"/>
      <c r="AF42" s="43"/>
      <c r="AG42" s="126" t="str">
        <f>IFERROR(__xludf.DUMMYFUNCTION("IF(ISBLANK(AF42), """", TEXTJOIN(CHAR(10),TRUE,ARRAYFORMULA(IF(ISERROR(SEARCH(SPLIT(AF42, "";""), $Z42)), ""x"", ""-""))))"),"")</f>
        <v/>
      </c>
      <c r="AH42" s="127" t="str">
        <f>IFERROR(__xludf.DUMMYFUNCTION("IF(ISBLANK(AK42), """", TEXTJOIN("";"" &amp; CHAR(10), TRUE, UNIQUE(SPLIT(AK42, "";"" &amp; CHAR(10)), TRUE))&amp;"";"")"),"")</f>
        <v/>
      </c>
      <c r="AI42" s="128" t="str">
        <f>IFERROR(__xludf.DUMMYFUNCTION("IF(ISBLANK(AD42), IF(ISBLANK(AE42),,IFNA(TEXTJOIN("";"" &amp; CHAR(10), TRUE, FILTER(AE:AE, SEARCH(AE42&amp;"";"", AJ:AJ)))&amp;"";"", """")), TEXTJOIN("";"" &amp; CHAR(10), TRUE, UNIQUE(SPLIT(AH42 &amp; "";"" &amp; AH42 &amp; "";"" &amp; AL42, "";"" &amp; CHAR(10)), TRUE, TRUE))&amp;"";"")"),"")</f>
        <v/>
      </c>
      <c r="AJ42" s="126" t="str">
        <f>IFERROR(__xludf.DUMMYFUNCTION("IF(AN42="""", """", TEXTJOIN("";"" &amp; CHAR(10), TRUE, UNIQUE(SPLIT(AH42 &amp; "";"" &amp; AH42 &amp; "";"" &amp; AN42, "";"" &amp; CHAR(10)), TRUE, TRUE))&amp;"";"")"),"")</f>
        <v/>
      </c>
      <c r="AK42" s="129" t="str">
        <f>IFERROR(__xludf.DUMMYFUNCTION("IF(ISBLANK(AD42), IF(ISBLANK(AE42),,AE42 &amp; "";""), TEXTJOIN(CHAR(10), TRUE, ARRAYFORMULA(VLOOKUP(SPLIT(AD42, "";"" &amp; CHAR(10)), $AC:$AH, 6, FALSE))))"),"")</f>
        <v/>
      </c>
      <c r="AL42" s="130" t="str">
        <f>IFERROR(__xludf.DUMMYFUNCTION("IF(AM42="""", """", TEXTJOIN("";"" &amp; CHAR(10), TRUE, UNIQUE(SPLIT(AM42, "";"" &amp; CHAR(10)), TRUE))&amp;"";"")"),"")</f>
        <v/>
      </c>
      <c r="AM42" s="130" t="str">
        <f>IFERROR(__xludf.DUMMYFUNCTION("IF(ISBLANK(AD42), """", TEXTJOIN(CHAR(10), TRUE, ARRAYFORMULA(VLOOKUP(SPLIT(AH42, "";"" &amp; CHAR(10)), $AE:$AI, 5, FALSE)), AF42))"),"")</f>
        <v/>
      </c>
      <c r="AN42" s="132" t="str">
        <f>IFERROR(__xludf.DUMMYFUNCTION("IF(ISBLANK(AO42), """", TEXTJOIN("";"" &amp; CHAR(10), TRUE, UNIQUE(SPLIT(AO42, "";"" &amp; CHAR(10)), TRUE))&amp;"";"")"),"")</f>
        <v/>
      </c>
      <c r="AO42" s="134" t="str">
        <f>IFERROR(__xludf.DUMMYFUNCTION("IF(ISBLANK(AD42), AF42, TEXTJOIN(CHAR(10), TRUE, ARRAYFORMULA(VLOOKUP(SPLIT(AD42, "";"" &amp; CHAR(10)), $AC:$AN, 12, FALSE))))"),"")</f>
        <v/>
      </c>
      <c r="AP42" s="130" t="str">
        <f>IF(ISBLANK(AE42),,IF(IFERROR(SEARCH(AE42&amp;";",Circuits!$AO$2),0),TRUE,FALSE))</f>
        <v/>
      </c>
      <c r="AQ42" s="130" t="str">
        <f t="shared" si="2"/>
        <v/>
      </c>
      <c r="AR42" s="130" t="str">
        <f t="shared" si="3"/>
        <v/>
      </c>
      <c r="AS42" s="136" t="str">
        <f>IFERROR(__xludf.DUMMYFUNCTION("IF(AH42="""",,SUM(ARRAYFORMULA(IF(IFERROR(SEARCH(SPLIT(AH42,CHAR(10)),Circuits!$AO$2),0)&gt;0,0,1))))"),"")</f>
        <v/>
      </c>
      <c r="AT42" s="138" t="str">
        <f t="shared" si="4"/>
        <v/>
      </c>
      <c r="AU42" s="138" t="str">
        <f t="shared" si="5"/>
        <v/>
      </c>
      <c r="AV42" s="130" t="str">
        <f>IFERROR(__xludf.DUMMYFUNCTION("IF(AI42="""",,TEXTJOIN("", "",TRUE,ARRAYFORMULA(VLOOKUP(SPLIT(AI42,"";""&amp;CHAR(10)),AE:AT,16,FALSE))))"),"")</f>
        <v/>
      </c>
      <c r="AW42" s="130" t="str">
        <f>IFERROR(__xludf.DUMMYFUNCTION("IF(ISBLANK(BK42),,TEXTJOIN("", "",TRUE,ARRAYFORMULA(VLOOKUP(IFERROR(REGEXEXTRACT(SPLIT(BK42,"";""&amp;CHAR(10)),""\[(.+)\]"")),AE:AT,16,false))))"),"")</f>
        <v/>
      </c>
      <c r="AX42" s="139" t="str">
        <f t="shared" si="6"/>
        <v/>
      </c>
      <c r="AY42" s="139" t="str">
        <f t="shared" si="7"/>
        <v/>
      </c>
      <c r="AZ42" s="106" t="str">
        <f>IFERROR(__xludf.DUMMYFUNCTION("IF(ISBLANK(AD42), BC42, TEXTJOIN(CHAR(10) &amp; CHAR(10), TRUE, ARRAYFORMULA(VLOOKUP(SPLIT(AD42, "";"" &amp; CHAR(10)), $AC:$AY, 23, FALSE))))"),"")</f>
        <v/>
      </c>
      <c r="BA42" s="140" t="s">
        <v>66</v>
      </c>
      <c r="BB42" s="190"/>
      <c r="BC42" s="196"/>
      <c r="BD42" s="106" t="str">
        <f>IFERROR(__xludf.DUMMYFUNCTION("IF(IFERROR(SEARCH(""&lt;&lt;mechanism to realize the capability&gt;&gt;"",BA42),0)=0,
 ""!! Error !! “Capability&amp;Mechanism” column: Invalid Separator:"" &amp; CHAR(10) &amp; ""Insert separator “&lt;&lt;mechanism to realize the capability&gt;&gt;.”"",
 IF(
  LEN(TRIM(CLEAN(
    INDEX(
  "&amp;"    SPLIT(BA42,""&lt;&lt;mechanism to realize the capability&gt;&gt;"",FALSE,FALSE),
      1
    )
  )))=0,
  ""!! Error !! “Capability&amp;Mechanism” column: No Capability:""  &amp; CHAR(10) &amp; ""Describe Capability before separator."",
  INDEX(
    SPLIT(BA42,""&lt;&lt;mechanism "&amp;"to realize the capability&gt;&gt;"",FALSE,FALSE),
    1
  )
 )
)
"),"!! Error !! “Capability&amp;Mechanism” column: No Capability:
Describe Capability before separator.")</f>
        <v>!! Error !! “Capability&amp;Mechanism” column: No Capability:
Describe Capability before separator.</v>
      </c>
      <c r="BE42" s="190"/>
      <c r="BF42" s="195"/>
      <c r="BG42" s="42"/>
      <c r="BH42" s="190"/>
      <c r="BI42" s="196"/>
      <c r="BJ42" s="42"/>
      <c r="BK42" s="42"/>
      <c r="BL42" s="203"/>
      <c r="BM42" s="203"/>
      <c r="BN42" s="42"/>
      <c r="BO42" s="42"/>
      <c r="BP42" s="143"/>
      <c r="BQ42" s="143"/>
      <c r="BR42" s="192"/>
      <c r="BS42" s="192"/>
      <c r="BT42" s="192"/>
      <c r="BU42" s="192"/>
      <c r="BV42" s="192"/>
      <c r="BW42" s="192"/>
      <c r="BX42" s="146" t="str">
        <f t="shared" si="8"/>
        <v/>
      </c>
    </row>
    <row r="43">
      <c r="A43" s="106" t="str">
        <f t="shared" si="1"/>
        <v/>
      </c>
      <c r="B43" s="183" t="str">
        <f t="array" ref="B43">IF(ISBLANK($AE43), "-",INDEX(Circuits!A:A,SUMPRODUCT(EXACT($AE43,Circuits!$A:$A)*ROW(Circuits!$A:$A))))</f>
        <v>-</v>
      </c>
      <c r="C43" s="183" t="str">
        <f t="array" ref="C43">IF(ISBLANK($AE43), "-",INDEX(Circuits!B:B,SUMPRODUCT(EXACT($AE43,Circuits!$A:$A)*ROW(Circuits!$A:$A))))</f>
        <v>-</v>
      </c>
      <c r="D43" s="183" t="str">
        <f t="array" ref="D43">IF(ISBLANK($AE43), "-",INDEX(Circuits!C:C,SUMPRODUCT(EXACT($AE43,Circuits!$A:$A)*ROW(Circuits!$A:$A))))</f>
        <v>-</v>
      </c>
      <c r="E43" s="183" t="str">
        <f t="array" ref="E43">IF(ISBLANK($AE43), "-",INDEX(Circuits!D:D,SUMPRODUCT(EXACT($AE43,Circuits!$A:$A)*ROW(Circuits!$A:$A))))</f>
        <v>-</v>
      </c>
      <c r="F43" s="183" t="str">
        <f t="array" ref="F43">IF(ISBLANK($AE43), "-",INDEX(Circuits!E:E,SUMPRODUCT(EXACT($AE43,Circuits!$A:$A)*ROW(Circuits!$A:$A))))</f>
        <v>-</v>
      </c>
      <c r="G43" s="183" t="str">
        <f t="array" ref="G43">IF(ISBLANK($AE43), "-",INDEX(Circuits!F:F,SUMPRODUCT(EXACT($AE43,Circuits!$A:$A)*ROW(Circuits!$A:$A))))</f>
        <v>-</v>
      </c>
      <c r="H43" s="183" t="str">
        <f t="array" ref="H43">IF(ISBLANK($AE43), "-",INDEX(Circuits!G:G,SUMPRODUCT(EXACT($AE43,Circuits!$A:$A)*ROW(Circuits!$A:$A))))</f>
        <v>-</v>
      </c>
      <c r="I43" s="183" t="str">
        <f t="array" ref="I43">IF(ISBLANK($AE43), "-",INDEX(Circuits!H:H,SUMPRODUCT(EXACT($AE43,Circuits!$A:$A)*ROW(Circuits!$A:$A))))</f>
        <v>-</v>
      </c>
      <c r="J43" s="183" t="str">
        <f t="array" ref="J43">IF(ISBLANK($AE43), "-",INDEX(Circuits!I:I,SUMPRODUCT(EXACT($AE43,Circuits!$A:$A)*ROW(Circuits!$A:$A))))</f>
        <v>-</v>
      </c>
      <c r="K43" s="183" t="str">
        <f t="array" ref="K43">IF(ISBLANK($AE43), "-",INDEX(Circuits!J:J,SUMPRODUCT(EXACT($AE43,Circuits!$A:$A)*ROW(Circuits!$A:$A))))</f>
        <v>-</v>
      </c>
      <c r="L43" s="183" t="str">
        <f t="array" ref="L43">IF(ISBLANK($AE43), "-",INDEX(Circuits!K:K,SUMPRODUCT(EXACT($AE43,Circuits!$A:$A)*ROW(Circuits!$A:$A))))</f>
        <v>-</v>
      </c>
      <c r="M43" s="183" t="str">
        <f t="array" ref="M43">IF(ISBLANK($AE43), "-",INDEX(Circuits!L:L,SUMPRODUCT(EXACT($AE43,Circuits!$A:$A)*ROW(Circuits!$A:$A))))</f>
        <v>-</v>
      </c>
      <c r="N43" s="183" t="str">
        <f t="array" ref="N43">IF(ISBLANK($AE43), "-",INDEX(Circuits!M:M,SUMPRODUCT(EXACT($AE43,Circuits!$A:$A)*ROW(Circuits!$A:$A))))</f>
        <v>-</v>
      </c>
      <c r="O43" s="183" t="str">
        <f t="array" ref="O43">IF(ISBLANK($AE43), "-",INDEX(Circuits!N:N,SUMPRODUCT(EXACT($AE43,Circuits!$A:$A)*ROW(Circuits!$A:$A))))</f>
        <v>-</v>
      </c>
      <c r="P43" s="183" t="str">
        <f t="array" ref="P43">IF(ISBLANK($AE43), "-",INDEX(Circuits!O:O,SUMPRODUCT(EXACT($AE43,Circuits!$A:$A)*ROW(Circuits!$A:$A))))</f>
        <v>-</v>
      </c>
      <c r="Q43" s="183" t="str">
        <f t="array" ref="Q43">IF(ISBLANK($AE43), "-",INDEX(Circuits!P:P,SUMPRODUCT(EXACT($AE43,Circuits!$A:$A)*ROW(Circuits!$A:$A))))</f>
        <v>-</v>
      </c>
      <c r="R43" s="183" t="str">
        <f t="array" ref="R43">IF(ISBLANK($AE43), "-",INDEX(Circuits!Q:Q,SUMPRODUCT(EXACT($AE43,Circuits!$A:$A)*ROW(Circuits!$A:$A))))</f>
        <v>-</v>
      </c>
      <c r="S43" s="183" t="str">
        <f t="array" ref="S43">IF(ISBLANK($AE43), "-",INDEX(Circuits!R:R,SUMPRODUCT(EXACT($AE43,Circuits!$A:$A)*ROW(Circuits!$A:$A))))</f>
        <v>-</v>
      </c>
      <c r="T43" s="183" t="str">
        <f t="array" ref="T43">IF(ISBLANK($AE43), "-",INDEX(Circuits!S:S,SUMPRODUCT(EXACT($AE43,Circuits!$A:$A)*ROW(Circuits!$A:$A))))</f>
        <v>-</v>
      </c>
      <c r="U43" s="183" t="str">
        <f t="array" ref="U43">IF(ISBLANK($AE43), "-",INDEX(Circuits!T:T,SUMPRODUCT(EXACT($AE43,Circuits!$A:$A)*ROW(Circuits!$A:$A))))</f>
        <v>-</v>
      </c>
      <c r="V43" s="183" t="str">
        <f t="array" ref="V43">IF(ISBLANK($AE43), "-",INDEX(Circuits!U:U,SUMPRODUCT(EXACT($AE43,Circuits!$A:$A)*ROW(Circuits!$A:$A))))</f>
        <v>-</v>
      </c>
      <c r="W43" s="183" t="str">
        <f t="array" ref="W43">IF(ISBLANK($AE43), "-",INDEX(Circuits!V:V,SUMPRODUCT(EXACT($AE43,Circuits!$A:$A)*ROW(Circuits!$A:$A))))</f>
        <v>-</v>
      </c>
      <c r="X43" s="183" t="str">
        <f t="array" ref="X43">IF(ISBLANK($AE43), "-",INDEX(Circuits!W:W,SUMPRODUCT(EXACT($AE43,Circuits!$A:$A)*ROW(Circuits!$A:$A))))</f>
        <v>-</v>
      </c>
      <c r="Y43" s="183" t="str">
        <f t="array" ref="Y43">IF(ISBLANK($AE43), "-",INDEX(Circuits!X:X,SUMPRODUCT(EXACT($AE43,Circuits!$A:$A)*ROW(Circuits!$A:$A))))</f>
        <v>-</v>
      </c>
      <c r="Z43" s="108" t="str">
        <f>IFERROR(__xludf.DUMMYFUNCTION("IFNA(CONCATENATE(UNIQUE(FILTER(Connections!R:R,Connections!A:A=B43))),""-"")"),"-")</f>
        <v>-</v>
      </c>
      <c r="AA43" s="119" t="str">
        <f t="array" ref="AA43">IF(ISBLANK($AE43), "-",INDEX(Circuits!Y:Y,SUMPRODUCT(EXACT($AE43,Circuits!$A:$A)*ROW(Circuits!$A:$A))))</f>
        <v>-</v>
      </c>
      <c r="AB43" s="121" t="str">
        <f t="array" ref="AB43">IF(ISBLANK($AE43), "-",INDEX(Circuits!Z:Z,SUMPRODUCT(EXACT($AE43,Circuits!$A:$A)*ROW(Circuits!$A:$A))))</f>
        <v>-</v>
      </c>
      <c r="AC43" s="194"/>
      <c r="AD43" s="194"/>
      <c r="AE43" s="40"/>
      <c r="AF43" s="43"/>
      <c r="AG43" s="126" t="str">
        <f>IFERROR(__xludf.DUMMYFUNCTION("IF(ISBLANK(AF43), """", TEXTJOIN(CHAR(10),TRUE,ARRAYFORMULA(IF(ISERROR(SEARCH(SPLIT(AF43, "";""), $Z43)), ""x"", ""-""))))"),"")</f>
        <v/>
      </c>
      <c r="AH43" s="127" t="str">
        <f>IFERROR(__xludf.DUMMYFUNCTION("IF(ISBLANK(AK43), """", TEXTJOIN("";"" &amp; CHAR(10), TRUE, UNIQUE(SPLIT(AK43, "";"" &amp; CHAR(10)), TRUE))&amp;"";"")"),"")</f>
        <v/>
      </c>
      <c r="AI43" s="128" t="str">
        <f>IFERROR(__xludf.DUMMYFUNCTION("IF(ISBLANK(AD43), IF(ISBLANK(AE43),,IFNA(TEXTJOIN("";"" &amp; CHAR(10), TRUE, FILTER(AE:AE, SEARCH(AE43&amp;"";"", AJ:AJ)))&amp;"";"", """")), TEXTJOIN("";"" &amp; CHAR(10), TRUE, UNIQUE(SPLIT(AH43 &amp; "";"" &amp; AH43 &amp; "";"" &amp; AL43, "";"" &amp; CHAR(10)), TRUE, TRUE))&amp;"";"")"),"")</f>
        <v/>
      </c>
      <c r="AJ43" s="126" t="str">
        <f>IFERROR(__xludf.DUMMYFUNCTION("IF(AN43="""", """", TEXTJOIN("";"" &amp; CHAR(10), TRUE, UNIQUE(SPLIT(AH43 &amp; "";"" &amp; AH43 &amp; "";"" &amp; AN43, "";"" &amp; CHAR(10)), TRUE, TRUE))&amp;"";"")"),"")</f>
        <v/>
      </c>
      <c r="AK43" s="129" t="str">
        <f>IFERROR(__xludf.DUMMYFUNCTION("IF(ISBLANK(AD43), IF(ISBLANK(AE43),,AE43 &amp; "";""), TEXTJOIN(CHAR(10), TRUE, ARRAYFORMULA(VLOOKUP(SPLIT(AD43, "";"" &amp; CHAR(10)), $AC:$AH, 6, FALSE))))"),"")</f>
        <v/>
      </c>
      <c r="AL43" s="130" t="str">
        <f>IFERROR(__xludf.DUMMYFUNCTION("IF(AM43="""", """", TEXTJOIN("";"" &amp; CHAR(10), TRUE, UNIQUE(SPLIT(AM43, "";"" &amp; CHAR(10)), TRUE))&amp;"";"")"),"")</f>
        <v/>
      </c>
      <c r="AM43" s="130" t="str">
        <f>IFERROR(__xludf.DUMMYFUNCTION("IF(ISBLANK(AD43), """", TEXTJOIN(CHAR(10), TRUE, ARRAYFORMULA(VLOOKUP(SPLIT(AH43, "";"" &amp; CHAR(10)), $AE:$AI, 5, FALSE)), AF43))"),"")</f>
        <v/>
      </c>
      <c r="AN43" s="132" t="str">
        <f>IFERROR(__xludf.DUMMYFUNCTION("IF(ISBLANK(AO43), """", TEXTJOIN("";"" &amp; CHAR(10), TRUE, UNIQUE(SPLIT(AO43, "";"" &amp; CHAR(10)), TRUE))&amp;"";"")"),"")</f>
        <v/>
      </c>
      <c r="AO43" s="134" t="str">
        <f>IFERROR(__xludf.DUMMYFUNCTION("IF(ISBLANK(AD43), AF43, TEXTJOIN(CHAR(10), TRUE, ARRAYFORMULA(VLOOKUP(SPLIT(AD43, "";"" &amp; CHAR(10)), $AC:$AN, 12, FALSE))))"),"")</f>
        <v/>
      </c>
      <c r="AP43" s="130" t="str">
        <f>IF(ISBLANK(AE43),,IF(IFERROR(SEARCH(AE43&amp;";",Circuits!$AO$2),0),TRUE,FALSE))</f>
        <v/>
      </c>
      <c r="AQ43" s="130" t="str">
        <f t="shared" si="2"/>
        <v/>
      </c>
      <c r="AR43" s="130" t="str">
        <f t="shared" si="3"/>
        <v/>
      </c>
      <c r="AS43" s="136" t="str">
        <f>IFERROR(__xludf.DUMMYFUNCTION("IF(AH43="""",,SUM(ARRAYFORMULA(IF(IFERROR(SEARCH(SPLIT(AH43,CHAR(10)),Circuits!$AO$2),0)&gt;0,0,1))))"),"")</f>
        <v/>
      </c>
      <c r="AT43" s="138" t="str">
        <f t="shared" si="4"/>
        <v/>
      </c>
      <c r="AU43" s="138" t="str">
        <f t="shared" si="5"/>
        <v/>
      </c>
      <c r="AV43" s="130" t="str">
        <f>IFERROR(__xludf.DUMMYFUNCTION("IF(AI43="""",,TEXTJOIN("", "",TRUE,ARRAYFORMULA(VLOOKUP(SPLIT(AI43,"";""&amp;CHAR(10)),AE:AT,16,FALSE))))"),"")</f>
        <v/>
      </c>
      <c r="AW43" s="130" t="str">
        <f>IFERROR(__xludf.DUMMYFUNCTION("IF(ISBLANK(BK43),,TEXTJOIN("", "",TRUE,ARRAYFORMULA(VLOOKUP(IFERROR(REGEXEXTRACT(SPLIT(BK43,"";""&amp;CHAR(10)),""\[(.+)\]"")),AE:AT,16,false))))"),"")</f>
        <v/>
      </c>
      <c r="AX43" s="139" t="str">
        <f t="shared" si="6"/>
        <v/>
      </c>
      <c r="AY43" s="139" t="str">
        <f t="shared" si="7"/>
        <v/>
      </c>
      <c r="AZ43" s="106" t="str">
        <f>IFERROR(__xludf.DUMMYFUNCTION("IF(ISBLANK(AD43), BC43, TEXTJOIN(CHAR(10) &amp; CHAR(10), TRUE, ARRAYFORMULA(VLOOKUP(SPLIT(AD43, "";"" &amp; CHAR(10)), $AC:$AY, 23, FALSE))))"),"")</f>
        <v/>
      </c>
      <c r="BA43" s="140" t="s">
        <v>66</v>
      </c>
      <c r="BB43" s="190"/>
      <c r="BC43" s="196"/>
      <c r="BD43" s="106" t="str">
        <f>IFERROR(__xludf.DUMMYFUNCTION("IF(IFERROR(SEARCH(""&lt;&lt;mechanism to realize the capability&gt;&gt;"",BA43),0)=0,
 ""!! Error !! “Capability&amp;Mechanism” column: Invalid Separator:"" &amp; CHAR(10) &amp; ""Insert separator “&lt;&lt;mechanism to realize the capability&gt;&gt;.”"",
 IF(
  LEN(TRIM(CLEAN(
    INDEX(
  "&amp;"    SPLIT(BA43,""&lt;&lt;mechanism to realize the capability&gt;&gt;"",FALSE,FALSE),
      1
    )
  )))=0,
  ""!! Error !! “Capability&amp;Mechanism” column: No Capability:""  &amp; CHAR(10) &amp; ""Describe Capability before separator."",
  INDEX(
    SPLIT(BA43,""&lt;&lt;mechanism "&amp;"to realize the capability&gt;&gt;"",FALSE,FALSE),
    1
  )
 )
)
"),"!! Error !! “Capability&amp;Mechanism” column: No Capability:
Describe Capability before separator.")</f>
        <v>!! Error !! “Capability&amp;Mechanism” column: No Capability:
Describe Capability before separator.</v>
      </c>
      <c r="BE43" s="190"/>
      <c r="BF43" s="195"/>
      <c r="BG43" s="42"/>
      <c r="BH43" s="190"/>
      <c r="BI43" s="196"/>
      <c r="BJ43" s="42"/>
      <c r="BK43" s="42"/>
      <c r="BL43" s="203"/>
      <c r="BM43" s="203"/>
      <c r="BN43" s="42"/>
      <c r="BO43" s="42"/>
      <c r="BP43" s="143"/>
      <c r="BQ43" s="143"/>
      <c r="BR43" s="192"/>
      <c r="BS43" s="192"/>
      <c r="BT43" s="192"/>
      <c r="BU43" s="192"/>
      <c r="BV43" s="192"/>
      <c r="BW43" s="192"/>
      <c r="BX43" s="146" t="str">
        <f t="shared" si="8"/>
        <v/>
      </c>
    </row>
    <row r="44">
      <c r="A44" s="106" t="str">
        <f t="shared" si="1"/>
        <v/>
      </c>
      <c r="B44" s="183" t="str">
        <f t="array" ref="B44">IF(ISBLANK($AE44), "-",INDEX(Circuits!A:A,SUMPRODUCT(EXACT($AE44,Circuits!$A:$A)*ROW(Circuits!$A:$A))))</f>
        <v>-</v>
      </c>
      <c r="C44" s="183" t="str">
        <f t="array" ref="C44">IF(ISBLANK($AE44), "-",INDEX(Circuits!B:B,SUMPRODUCT(EXACT($AE44,Circuits!$A:$A)*ROW(Circuits!$A:$A))))</f>
        <v>-</v>
      </c>
      <c r="D44" s="183" t="str">
        <f t="array" ref="D44">IF(ISBLANK($AE44), "-",INDEX(Circuits!C:C,SUMPRODUCT(EXACT($AE44,Circuits!$A:$A)*ROW(Circuits!$A:$A))))</f>
        <v>-</v>
      </c>
      <c r="E44" s="183" t="str">
        <f t="array" ref="E44">IF(ISBLANK($AE44), "-",INDEX(Circuits!D:D,SUMPRODUCT(EXACT($AE44,Circuits!$A:$A)*ROW(Circuits!$A:$A))))</f>
        <v>-</v>
      </c>
      <c r="F44" s="183" t="str">
        <f t="array" ref="F44">IF(ISBLANK($AE44), "-",INDEX(Circuits!E:E,SUMPRODUCT(EXACT($AE44,Circuits!$A:$A)*ROW(Circuits!$A:$A))))</f>
        <v>-</v>
      </c>
      <c r="G44" s="183" t="str">
        <f t="array" ref="G44">IF(ISBLANK($AE44), "-",INDEX(Circuits!F:F,SUMPRODUCT(EXACT($AE44,Circuits!$A:$A)*ROW(Circuits!$A:$A))))</f>
        <v>-</v>
      </c>
      <c r="H44" s="183" t="str">
        <f t="array" ref="H44">IF(ISBLANK($AE44), "-",INDEX(Circuits!G:G,SUMPRODUCT(EXACT($AE44,Circuits!$A:$A)*ROW(Circuits!$A:$A))))</f>
        <v>-</v>
      </c>
      <c r="I44" s="183" t="str">
        <f t="array" ref="I44">IF(ISBLANK($AE44), "-",INDEX(Circuits!H:H,SUMPRODUCT(EXACT($AE44,Circuits!$A:$A)*ROW(Circuits!$A:$A))))</f>
        <v>-</v>
      </c>
      <c r="J44" s="183" t="str">
        <f t="array" ref="J44">IF(ISBLANK($AE44), "-",INDEX(Circuits!I:I,SUMPRODUCT(EXACT($AE44,Circuits!$A:$A)*ROW(Circuits!$A:$A))))</f>
        <v>-</v>
      </c>
      <c r="K44" s="183" t="str">
        <f t="array" ref="K44">IF(ISBLANK($AE44), "-",INDEX(Circuits!J:J,SUMPRODUCT(EXACT($AE44,Circuits!$A:$A)*ROW(Circuits!$A:$A))))</f>
        <v>-</v>
      </c>
      <c r="L44" s="183" t="str">
        <f t="array" ref="L44">IF(ISBLANK($AE44), "-",INDEX(Circuits!K:K,SUMPRODUCT(EXACT($AE44,Circuits!$A:$A)*ROW(Circuits!$A:$A))))</f>
        <v>-</v>
      </c>
      <c r="M44" s="183" t="str">
        <f t="array" ref="M44">IF(ISBLANK($AE44), "-",INDEX(Circuits!L:L,SUMPRODUCT(EXACT($AE44,Circuits!$A:$A)*ROW(Circuits!$A:$A))))</f>
        <v>-</v>
      </c>
      <c r="N44" s="183" t="str">
        <f t="array" ref="N44">IF(ISBLANK($AE44), "-",INDEX(Circuits!M:M,SUMPRODUCT(EXACT($AE44,Circuits!$A:$A)*ROW(Circuits!$A:$A))))</f>
        <v>-</v>
      </c>
      <c r="O44" s="183" t="str">
        <f t="array" ref="O44">IF(ISBLANK($AE44), "-",INDEX(Circuits!N:N,SUMPRODUCT(EXACT($AE44,Circuits!$A:$A)*ROW(Circuits!$A:$A))))</f>
        <v>-</v>
      </c>
      <c r="P44" s="183" t="str">
        <f t="array" ref="P44">IF(ISBLANK($AE44), "-",INDEX(Circuits!O:O,SUMPRODUCT(EXACT($AE44,Circuits!$A:$A)*ROW(Circuits!$A:$A))))</f>
        <v>-</v>
      </c>
      <c r="Q44" s="183" t="str">
        <f t="array" ref="Q44">IF(ISBLANK($AE44), "-",INDEX(Circuits!P:P,SUMPRODUCT(EXACT($AE44,Circuits!$A:$A)*ROW(Circuits!$A:$A))))</f>
        <v>-</v>
      </c>
      <c r="R44" s="183" t="str">
        <f t="array" ref="R44">IF(ISBLANK($AE44), "-",INDEX(Circuits!Q:Q,SUMPRODUCT(EXACT($AE44,Circuits!$A:$A)*ROW(Circuits!$A:$A))))</f>
        <v>-</v>
      </c>
      <c r="S44" s="183" t="str">
        <f t="array" ref="S44">IF(ISBLANK($AE44), "-",INDEX(Circuits!R:R,SUMPRODUCT(EXACT($AE44,Circuits!$A:$A)*ROW(Circuits!$A:$A))))</f>
        <v>-</v>
      </c>
      <c r="T44" s="183" t="str">
        <f t="array" ref="T44">IF(ISBLANK($AE44), "-",INDEX(Circuits!S:S,SUMPRODUCT(EXACT($AE44,Circuits!$A:$A)*ROW(Circuits!$A:$A))))</f>
        <v>-</v>
      </c>
      <c r="U44" s="183" t="str">
        <f t="array" ref="U44">IF(ISBLANK($AE44), "-",INDEX(Circuits!T:T,SUMPRODUCT(EXACT($AE44,Circuits!$A:$A)*ROW(Circuits!$A:$A))))</f>
        <v>-</v>
      </c>
      <c r="V44" s="183" t="str">
        <f t="array" ref="V44">IF(ISBLANK($AE44), "-",INDEX(Circuits!U:U,SUMPRODUCT(EXACT($AE44,Circuits!$A:$A)*ROW(Circuits!$A:$A))))</f>
        <v>-</v>
      </c>
      <c r="W44" s="183" t="str">
        <f t="array" ref="W44">IF(ISBLANK($AE44), "-",INDEX(Circuits!V:V,SUMPRODUCT(EXACT($AE44,Circuits!$A:$A)*ROW(Circuits!$A:$A))))</f>
        <v>-</v>
      </c>
      <c r="X44" s="183" t="str">
        <f t="array" ref="X44">IF(ISBLANK($AE44), "-",INDEX(Circuits!W:W,SUMPRODUCT(EXACT($AE44,Circuits!$A:$A)*ROW(Circuits!$A:$A))))</f>
        <v>-</v>
      </c>
      <c r="Y44" s="183" t="str">
        <f t="array" ref="Y44">IF(ISBLANK($AE44), "-",INDEX(Circuits!X:X,SUMPRODUCT(EXACT($AE44,Circuits!$A:$A)*ROW(Circuits!$A:$A))))</f>
        <v>-</v>
      </c>
      <c r="Z44" s="108" t="str">
        <f>IFERROR(__xludf.DUMMYFUNCTION("IFNA(CONCATENATE(UNIQUE(FILTER(Connections!R:R,Connections!A:A=B44))),""-"")"),"-")</f>
        <v>-</v>
      </c>
      <c r="AA44" s="119" t="str">
        <f t="array" ref="AA44">IF(ISBLANK($AE44), "-",INDEX(Circuits!Y:Y,SUMPRODUCT(EXACT($AE44,Circuits!$A:$A)*ROW(Circuits!$A:$A))))</f>
        <v>-</v>
      </c>
      <c r="AB44" s="121" t="str">
        <f t="array" ref="AB44">IF(ISBLANK($AE44), "-",INDEX(Circuits!Z:Z,SUMPRODUCT(EXACT($AE44,Circuits!$A:$A)*ROW(Circuits!$A:$A))))</f>
        <v>-</v>
      </c>
      <c r="AC44" s="194"/>
      <c r="AD44" s="194"/>
      <c r="AE44" s="40"/>
      <c r="AF44" s="43"/>
      <c r="AG44" s="126" t="str">
        <f>IFERROR(__xludf.DUMMYFUNCTION("IF(ISBLANK(AF44), """", TEXTJOIN(CHAR(10),TRUE,ARRAYFORMULA(IF(ISERROR(SEARCH(SPLIT(AF44, "";""), $Z44)), ""x"", ""-""))))"),"")</f>
        <v/>
      </c>
      <c r="AH44" s="127" t="str">
        <f>IFERROR(__xludf.DUMMYFUNCTION("IF(ISBLANK(AK44), """", TEXTJOIN("";"" &amp; CHAR(10), TRUE, UNIQUE(SPLIT(AK44, "";"" &amp; CHAR(10)), TRUE))&amp;"";"")"),"")</f>
        <v/>
      </c>
      <c r="AI44" s="128" t="str">
        <f>IFERROR(__xludf.DUMMYFUNCTION("IF(ISBLANK(AD44), IF(ISBLANK(AE44),,IFNA(TEXTJOIN("";"" &amp; CHAR(10), TRUE, FILTER(AE:AE, SEARCH(AE44&amp;"";"", AJ:AJ)))&amp;"";"", """")), TEXTJOIN("";"" &amp; CHAR(10), TRUE, UNIQUE(SPLIT(AH44 &amp; "";"" &amp; AH44 &amp; "";"" &amp; AL44, "";"" &amp; CHAR(10)), TRUE, TRUE))&amp;"";"")"),"")</f>
        <v/>
      </c>
      <c r="AJ44" s="126" t="str">
        <f>IFERROR(__xludf.DUMMYFUNCTION("IF(AN44="""", """", TEXTJOIN("";"" &amp; CHAR(10), TRUE, UNIQUE(SPLIT(AH44 &amp; "";"" &amp; AH44 &amp; "";"" &amp; AN44, "";"" &amp; CHAR(10)), TRUE, TRUE))&amp;"";"")"),"")</f>
        <v/>
      </c>
      <c r="AK44" s="129" t="str">
        <f>IFERROR(__xludf.DUMMYFUNCTION("IF(ISBLANK(AD44), IF(ISBLANK(AE44),,AE44 &amp; "";""), TEXTJOIN(CHAR(10), TRUE, ARRAYFORMULA(VLOOKUP(SPLIT(AD44, "";"" &amp; CHAR(10)), $AC:$AH, 6, FALSE))))"),"")</f>
        <v/>
      </c>
      <c r="AL44" s="130" t="str">
        <f>IFERROR(__xludf.DUMMYFUNCTION("IF(AM44="""", """", TEXTJOIN("";"" &amp; CHAR(10), TRUE, UNIQUE(SPLIT(AM44, "";"" &amp; CHAR(10)), TRUE))&amp;"";"")"),"")</f>
        <v/>
      </c>
      <c r="AM44" s="130" t="str">
        <f>IFERROR(__xludf.DUMMYFUNCTION("IF(ISBLANK(AD44), """", TEXTJOIN(CHAR(10), TRUE, ARRAYFORMULA(VLOOKUP(SPLIT(AH44, "";"" &amp; CHAR(10)), $AE:$AI, 5, FALSE)), AF44))"),"")</f>
        <v/>
      </c>
      <c r="AN44" s="132" t="str">
        <f>IFERROR(__xludf.DUMMYFUNCTION("IF(ISBLANK(AO44), """", TEXTJOIN("";"" &amp; CHAR(10), TRUE, UNIQUE(SPLIT(AO44, "";"" &amp; CHAR(10)), TRUE))&amp;"";"")"),"")</f>
        <v/>
      </c>
      <c r="AO44" s="134" t="str">
        <f>IFERROR(__xludf.DUMMYFUNCTION("IF(ISBLANK(AD44), AF44, TEXTJOIN(CHAR(10), TRUE, ARRAYFORMULA(VLOOKUP(SPLIT(AD44, "";"" &amp; CHAR(10)), $AC:$AN, 12, FALSE))))"),"")</f>
        <v/>
      </c>
      <c r="AP44" s="130" t="str">
        <f>IF(ISBLANK(AE44),,IF(IFERROR(SEARCH(AE44&amp;";",Circuits!$AO$2),0),TRUE,FALSE))</f>
        <v/>
      </c>
      <c r="AQ44" s="130" t="str">
        <f t="shared" si="2"/>
        <v/>
      </c>
      <c r="AR44" s="130" t="str">
        <f t="shared" si="3"/>
        <v/>
      </c>
      <c r="AS44" s="136" t="str">
        <f>IFERROR(__xludf.DUMMYFUNCTION("IF(AH44="""",,SUM(ARRAYFORMULA(IF(IFERROR(SEARCH(SPLIT(AH44,CHAR(10)),Circuits!$AO$2),0)&gt;0,0,1))))"),"")</f>
        <v/>
      </c>
      <c r="AT44" s="138" t="str">
        <f t="shared" si="4"/>
        <v/>
      </c>
      <c r="AU44" s="138" t="str">
        <f t="shared" si="5"/>
        <v/>
      </c>
      <c r="AV44" s="130" t="str">
        <f>IFERROR(__xludf.DUMMYFUNCTION("IF(AI44="""",,TEXTJOIN("", "",TRUE,ARRAYFORMULA(VLOOKUP(SPLIT(AI44,"";""&amp;CHAR(10)),AE:AT,16,FALSE))))"),"")</f>
        <v/>
      </c>
      <c r="AW44" s="130" t="str">
        <f>IFERROR(__xludf.DUMMYFUNCTION("IF(ISBLANK(BK44),,TEXTJOIN("", "",TRUE,ARRAYFORMULA(VLOOKUP(IFERROR(REGEXEXTRACT(SPLIT(BK44,"";""&amp;CHAR(10)),""\[(.+)\]"")),AE:AT,16,false))))"),"")</f>
        <v/>
      </c>
      <c r="AX44" s="139" t="str">
        <f t="shared" si="6"/>
        <v/>
      </c>
      <c r="AY44" s="139" t="str">
        <f t="shared" si="7"/>
        <v/>
      </c>
      <c r="AZ44" s="106" t="str">
        <f>IFERROR(__xludf.DUMMYFUNCTION("IF(ISBLANK(AD44), BC44, TEXTJOIN(CHAR(10) &amp; CHAR(10), TRUE, ARRAYFORMULA(VLOOKUP(SPLIT(AD44, "";"" &amp; CHAR(10)), $AC:$AY, 23, FALSE))))"),"")</f>
        <v/>
      </c>
      <c r="BA44" s="140" t="s">
        <v>66</v>
      </c>
      <c r="BB44" s="190"/>
      <c r="BC44" s="196"/>
      <c r="BD44" s="106" t="str">
        <f>IFERROR(__xludf.DUMMYFUNCTION("IF(IFERROR(SEARCH(""&lt;&lt;mechanism to realize the capability&gt;&gt;"",BA44),0)=0,
 ""!! Error !! “Capability&amp;Mechanism” column: Invalid Separator:"" &amp; CHAR(10) &amp; ""Insert separator “&lt;&lt;mechanism to realize the capability&gt;&gt;.”"",
 IF(
  LEN(TRIM(CLEAN(
    INDEX(
  "&amp;"    SPLIT(BA44,""&lt;&lt;mechanism to realize the capability&gt;&gt;"",FALSE,FALSE),
      1
    )
  )))=0,
  ""!! Error !! “Capability&amp;Mechanism” column: No Capability:""  &amp; CHAR(10) &amp; ""Describe Capability before separator."",
  INDEX(
    SPLIT(BA44,""&lt;&lt;mechanism "&amp;"to realize the capability&gt;&gt;"",FALSE,FALSE),
    1
  )
 )
)
"),"!! Error !! “Capability&amp;Mechanism” column: No Capability:
Describe Capability before separator.")</f>
        <v>!! Error !! “Capability&amp;Mechanism” column: No Capability:
Describe Capability before separator.</v>
      </c>
      <c r="BE44" s="190"/>
      <c r="BF44" s="195"/>
      <c r="BG44" s="42"/>
      <c r="BH44" s="190"/>
      <c r="BI44" s="196"/>
      <c r="BJ44" s="42"/>
      <c r="BK44" s="42"/>
      <c r="BL44" s="203"/>
      <c r="BM44" s="203"/>
      <c r="BN44" s="42"/>
      <c r="BO44" s="42"/>
      <c r="BP44" s="143"/>
      <c r="BQ44" s="143"/>
      <c r="BR44" s="192"/>
      <c r="BS44" s="192"/>
      <c r="BT44" s="192"/>
      <c r="BU44" s="192"/>
      <c r="BV44" s="192"/>
      <c r="BW44" s="192"/>
      <c r="BX44" s="146" t="str">
        <f t="shared" si="8"/>
        <v/>
      </c>
    </row>
    <row r="45">
      <c r="A45" s="106" t="str">
        <f t="shared" si="1"/>
        <v/>
      </c>
      <c r="B45" s="183" t="str">
        <f t="array" ref="B45">IF(ISBLANK($AE45), "-",INDEX(Circuits!A:A,SUMPRODUCT(EXACT($AE45,Circuits!$A:$A)*ROW(Circuits!$A:$A))))</f>
        <v>-</v>
      </c>
      <c r="C45" s="183" t="str">
        <f t="array" ref="C45">IF(ISBLANK($AE45), "-",INDEX(Circuits!B:B,SUMPRODUCT(EXACT($AE45,Circuits!$A:$A)*ROW(Circuits!$A:$A))))</f>
        <v>-</v>
      </c>
      <c r="D45" s="183" t="str">
        <f t="array" ref="D45">IF(ISBLANK($AE45), "-",INDEX(Circuits!C:C,SUMPRODUCT(EXACT($AE45,Circuits!$A:$A)*ROW(Circuits!$A:$A))))</f>
        <v>-</v>
      </c>
      <c r="E45" s="183" t="str">
        <f t="array" ref="E45">IF(ISBLANK($AE45), "-",INDEX(Circuits!D:D,SUMPRODUCT(EXACT($AE45,Circuits!$A:$A)*ROW(Circuits!$A:$A))))</f>
        <v>-</v>
      </c>
      <c r="F45" s="183" t="str">
        <f t="array" ref="F45">IF(ISBLANK($AE45), "-",INDEX(Circuits!E:E,SUMPRODUCT(EXACT($AE45,Circuits!$A:$A)*ROW(Circuits!$A:$A))))</f>
        <v>-</v>
      </c>
      <c r="G45" s="183" t="str">
        <f t="array" ref="G45">IF(ISBLANK($AE45), "-",INDEX(Circuits!F:F,SUMPRODUCT(EXACT($AE45,Circuits!$A:$A)*ROW(Circuits!$A:$A))))</f>
        <v>-</v>
      </c>
      <c r="H45" s="183" t="str">
        <f t="array" ref="H45">IF(ISBLANK($AE45), "-",INDEX(Circuits!G:G,SUMPRODUCT(EXACT($AE45,Circuits!$A:$A)*ROW(Circuits!$A:$A))))</f>
        <v>-</v>
      </c>
      <c r="I45" s="183" t="str">
        <f t="array" ref="I45">IF(ISBLANK($AE45), "-",INDEX(Circuits!H:H,SUMPRODUCT(EXACT($AE45,Circuits!$A:$A)*ROW(Circuits!$A:$A))))</f>
        <v>-</v>
      </c>
      <c r="J45" s="183" t="str">
        <f t="array" ref="J45">IF(ISBLANK($AE45), "-",INDEX(Circuits!I:I,SUMPRODUCT(EXACT($AE45,Circuits!$A:$A)*ROW(Circuits!$A:$A))))</f>
        <v>-</v>
      </c>
      <c r="K45" s="183" t="str">
        <f t="array" ref="K45">IF(ISBLANK($AE45), "-",INDEX(Circuits!J:J,SUMPRODUCT(EXACT($AE45,Circuits!$A:$A)*ROW(Circuits!$A:$A))))</f>
        <v>-</v>
      </c>
      <c r="L45" s="183" t="str">
        <f t="array" ref="L45">IF(ISBLANK($AE45), "-",INDEX(Circuits!K:K,SUMPRODUCT(EXACT($AE45,Circuits!$A:$A)*ROW(Circuits!$A:$A))))</f>
        <v>-</v>
      </c>
      <c r="M45" s="183" t="str">
        <f t="array" ref="M45">IF(ISBLANK($AE45), "-",INDEX(Circuits!L:L,SUMPRODUCT(EXACT($AE45,Circuits!$A:$A)*ROW(Circuits!$A:$A))))</f>
        <v>-</v>
      </c>
      <c r="N45" s="183" t="str">
        <f t="array" ref="N45">IF(ISBLANK($AE45), "-",INDEX(Circuits!M:M,SUMPRODUCT(EXACT($AE45,Circuits!$A:$A)*ROW(Circuits!$A:$A))))</f>
        <v>-</v>
      </c>
      <c r="O45" s="183" t="str">
        <f t="array" ref="O45">IF(ISBLANK($AE45), "-",INDEX(Circuits!N:N,SUMPRODUCT(EXACT($AE45,Circuits!$A:$A)*ROW(Circuits!$A:$A))))</f>
        <v>-</v>
      </c>
      <c r="P45" s="183" t="str">
        <f t="array" ref="P45">IF(ISBLANK($AE45), "-",INDEX(Circuits!O:O,SUMPRODUCT(EXACT($AE45,Circuits!$A:$A)*ROW(Circuits!$A:$A))))</f>
        <v>-</v>
      </c>
      <c r="Q45" s="183" t="str">
        <f t="array" ref="Q45">IF(ISBLANK($AE45), "-",INDEX(Circuits!P:P,SUMPRODUCT(EXACT($AE45,Circuits!$A:$A)*ROW(Circuits!$A:$A))))</f>
        <v>-</v>
      </c>
      <c r="R45" s="183" t="str">
        <f t="array" ref="R45">IF(ISBLANK($AE45), "-",INDEX(Circuits!Q:Q,SUMPRODUCT(EXACT($AE45,Circuits!$A:$A)*ROW(Circuits!$A:$A))))</f>
        <v>-</v>
      </c>
      <c r="S45" s="183" t="str">
        <f t="array" ref="S45">IF(ISBLANK($AE45), "-",INDEX(Circuits!R:R,SUMPRODUCT(EXACT($AE45,Circuits!$A:$A)*ROW(Circuits!$A:$A))))</f>
        <v>-</v>
      </c>
      <c r="T45" s="183" t="str">
        <f t="array" ref="T45">IF(ISBLANK($AE45), "-",INDEX(Circuits!S:S,SUMPRODUCT(EXACT($AE45,Circuits!$A:$A)*ROW(Circuits!$A:$A))))</f>
        <v>-</v>
      </c>
      <c r="U45" s="183" t="str">
        <f t="array" ref="U45">IF(ISBLANK($AE45), "-",INDEX(Circuits!T:T,SUMPRODUCT(EXACT($AE45,Circuits!$A:$A)*ROW(Circuits!$A:$A))))</f>
        <v>-</v>
      </c>
      <c r="V45" s="183" t="str">
        <f t="array" ref="V45">IF(ISBLANK($AE45), "-",INDEX(Circuits!U:U,SUMPRODUCT(EXACT($AE45,Circuits!$A:$A)*ROW(Circuits!$A:$A))))</f>
        <v>-</v>
      </c>
      <c r="W45" s="183" t="str">
        <f t="array" ref="W45">IF(ISBLANK($AE45), "-",INDEX(Circuits!V:V,SUMPRODUCT(EXACT($AE45,Circuits!$A:$A)*ROW(Circuits!$A:$A))))</f>
        <v>-</v>
      </c>
      <c r="X45" s="183" t="str">
        <f t="array" ref="X45">IF(ISBLANK($AE45), "-",INDEX(Circuits!W:W,SUMPRODUCT(EXACT($AE45,Circuits!$A:$A)*ROW(Circuits!$A:$A))))</f>
        <v>-</v>
      </c>
      <c r="Y45" s="183" t="str">
        <f t="array" ref="Y45">IF(ISBLANK($AE45), "-",INDEX(Circuits!X:X,SUMPRODUCT(EXACT($AE45,Circuits!$A:$A)*ROW(Circuits!$A:$A))))</f>
        <v>-</v>
      </c>
      <c r="Z45" s="108" t="str">
        <f>IFERROR(__xludf.DUMMYFUNCTION("IFNA(CONCATENATE(UNIQUE(FILTER(Connections!R:R,Connections!A:A=B45))),""-"")"),"-")</f>
        <v>-</v>
      </c>
      <c r="AA45" s="119" t="str">
        <f t="array" ref="AA45">IF(ISBLANK($AE45), "-",INDEX(Circuits!Y:Y,SUMPRODUCT(EXACT($AE45,Circuits!$A:$A)*ROW(Circuits!$A:$A))))</f>
        <v>-</v>
      </c>
      <c r="AB45" s="121" t="str">
        <f t="array" ref="AB45">IF(ISBLANK($AE45), "-",INDEX(Circuits!Z:Z,SUMPRODUCT(EXACT($AE45,Circuits!$A:$A)*ROW(Circuits!$A:$A))))</f>
        <v>-</v>
      </c>
      <c r="AC45" s="194"/>
      <c r="AD45" s="194"/>
      <c r="AE45" s="40"/>
      <c r="AF45" s="43"/>
      <c r="AG45" s="126" t="str">
        <f>IFERROR(__xludf.DUMMYFUNCTION("IF(ISBLANK(AF45), """", TEXTJOIN(CHAR(10),TRUE,ARRAYFORMULA(IF(ISERROR(SEARCH(SPLIT(AF45, "";""), $Z45)), ""x"", ""-""))))"),"")</f>
        <v/>
      </c>
      <c r="AH45" s="127" t="str">
        <f>IFERROR(__xludf.DUMMYFUNCTION("IF(ISBLANK(AK45), """", TEXTJOIN("";"" &amp; CHAR(10), TRUE, UNIQUE(SPLIT(AK45, "";"" &amp; CHAR(10)), TRUE))&amp;"";"")"),"")</f>
        <v/>
      </c>
      <c r="AI45" s="128" t="str">
        <f>IFERROR(__xludf.DUMMYFUNCTION("IF(ISBLANK(AD45), IF(ISBLANK(AE45),,IFNA(TEXTJOIN("";"" &amp; CHAR(10), TRUE, FILTER(AE:AE, SEARCH(AE45&amp;"";"", AJ:AJ)))&amp;"";"", """")), TEXTJOIN("";"" &amp; CHAR(10), TRUE, UNIQUE(SPLIT(AH45 &amp; "";"" &amp; AH45 &amp; "";"" &amp; AL45, "";"" &amp; CHAR(10)), TRUE, TRUE))&amp;"";"")"),"")</f>
        <v/>
      </c>
      <c r="AJ45" s="126" t="str">
        <f>IFERROR(__xludf.DUMMYFUNCTION("IF(AN45="""", """", TEXTJOIN("";"" &amp; CHAR(10), TRUE, UNIQUE(SPLIT(AH45 &amp; "";"" &amp; AH45 &amp; "";"" &amp; AN45, "";"" &amp; CHAR(10)), TRUE, TRUE))&amp;"";"")"),"")</f>
        <v/>
      </c>
      <c r="AK45" s="129" t="str">
        <f>IFERROR(__xludf.DUMMYFUNCTION("IF(ISBLANK(AD45), IF(ISBLANK(AE45),,AE45 &amp; "";""), TEXTJOIN(CHAR(10), TRUE, ARRAYFORMULA(VLOOKUP(SPLIT(AD45, "";"" &amp; CHAR(10)), $AC:$AH, 6, FALSE))))"),"")</f>
        <v/>
      </c>
      <c r="AL45" s="130" t="str">
        <f>IFERROR(__xludf.DUMMYFUNCTION("IF(AM45="""", """", TEXTJOIN("";"" &amp; CHAR(10), TRUE, UNIQUE(SPLIT(AM45, "";"" &amp; CHAR(10)), TRUE))&amp;"";"")"),"")</f>
        <v/>
      </c>
      <c r="AM45" s="130" t="str">
        <f>IFERROR(__xludf.DUMMYFUNCTION("IF(ISBLANK(AD45), """", TEXTJOIN(CHAR(10), TRUE, ARRAYFORMULA(VLOOKUP(SPLIT(AH45, "";"" &amp; CHAR(10)), $AE:$AI, 5, FALSE)), AF45))"),"")</f>
        <v/>
      </c>
      <c r="AN45" s="132" t="str">
        <f>IFERROR(__xludf.DUMMYFUNCTION("IF(ISBLANK(AO45), """", TEXTJOIN("";"" &amp; CHAR(10), TRUE, UNIQUE(SPLIT(AO45, "";"" &amp; CHAR(10)), TRUE))&amp;"";"")"),"")</f>
        <v/>
      </c>
      <c r="AO45" s="134" t="str">
        <f>IFERROR(__xludf.DUMMYFUNCTION("IF(ISBLANK(AD45), AF45, TEXTJOIN(CHAR(10), TRUE, ARRAYFORMULA(VLOOKUP(SPLIT(AD45, "";"" &amp; CHAR(10)), $AC:$AN, 12, FALSE))))"),"")</f>
        <v/>
      </c>
      <c r="AP45" s="130" t="str">
        <f>IF(ISBLANK(AE45),,IF(IFERROR(SEARCH(AE45&amp;";",Circuits!$AO$2),0),TRUE,FALSE))</f>
        <v/>
      </c>
      <c r="AQ45" s="130" t="str">
        <f t="shared" si="2"/>
        <v/>
      </c>
      <c r="AR45" s="130" t="str">
        <f t="shared" si="3"/>
        <v/>
      </c>
      <c r="AS45" s="136" t="str">
        <f>IFERROR(__xludf.DUMMYFUNCTION("IF(AH45="""",,SUM(ARRAYFORMULA(IF(IFERROR(SEARCH(SPLIT(AH45,CHAR(10)),Circuits!$AO$2),0)&gt;0,0,1))))"),"")</f>
        <v/>
      </c>
      <c r="AT45" s="138" t="str">
        <f t="shared" si="4"/>
        <v/>
      </c>
      <c r="AU45" s="138" t="str">
        <f t="shared" si="5"/>
        <v/>
      </c>
      <c r="AV45" s="130" t="str">
        <f>IFERROR(__xludf.DUMMYFUNCTION("IF(AI45="""",,TEXTJOIN("", "",TRUE,ARRAYFORMULA(VLOOKUP(SPLIT(AI45,"";""&amp;CHAR(10)),AE:AT,16,FALSE))))"),"")</f>
        <v/>
      </c>
      <c r="AW45" s="130" t="str">
        <f>IFERROR(__xludf.DUMMYFUNCTION("IF(ISBLANK(BK45),,TEXTJOIN("", "",TRUE,ARRAYFORMULA(VLOOKUP(IFERROR(REGEXEXTRACT(SPLIT(BK45,"";""&amp;CHAR(10)),""\[(.+)\]"")),AE:AT,16,false))))"),"")</f>
        <v/>
      </c>
      <c r="AX45" s="139" t="str">
        <f t="shared" si="6"/>
        <v/>
      </c>
      <c r="AY45" s="139" t="str">
        <f t="shared" si="7"/>
        <v/>
      </c>
      <c r="AZ45" s="106" t="str">
        <f>IFERROR(__xludf.DUMMYFUNCTION("IF(ISBLANK(AD45), BC45, TEXTJOIN(CHAR(10) &amp; CHAR(10), TRUE, ARRAYFORMULA(VLOOKUP(SPLIT(AD45, "";"" &amp; CHAR(10)), $AC:$AY, 23, FALSE))))"),"")</f>
        <v/>
      </c>
      <c r="BA45" s="140" t="s">
        <v>66</v>
      </c>
      <c r="BB45" s="190"/>
      <c r="BC45" s="196"/>
      <c r="BD45" s="106" t="str">
        <f>IFERROR(__xludf.DUMMYFUNCTION("IF(IFERROR(SEARCH(""&lt;&lt;mechanism to realize the capability&gt;&gt;"",BA45),0)=0,
 ""!! Error !! “Capability&amp;Mechanism” column: Invalid Separator:"" &amp; CHAR(10) &amp; ""Insert separator “&lt;&lt;mechanism to realize the capability&gt;&gt;.”"",
 IF(
  LEN(TRIM(CLEAN(
    INDEX(
  "&amp;"    SPLIT(BA45,""&lt;&lt;mechanism to realize the capability&gt;&gt;"",FALSE,FALSE),
      1
    )
  )))=0,
  ""!! Error !! “Capability&amp;Mechanism” column: No Capability:""  &amp; CHAR(10) &amp; ""Describe Capability before separator."",
  INDEX(
    SPLIT(BA45,""&lt;&lt;mechanism "&amp;"to realize the capability&gt;&gt;"",FALSE,FALSE),
    1
  )
 )
)
"),"!! Error !! “Capability&amp;Mechanism” column: No Capability:
Describe Capability before separator.")</f>
        <v>!! Error !! “Capability&amp;Mechanism” column: No Capability:
Describe Capability before separator.</v>
      </c>
      <c r="BE45" s="190"/>
      <c r="BF45" s="195"/>
      <c r="BG45" s="42"/>
      <c r="BH45" s="190"/>
      <c r="BI45" s="196"/>
      <c r="BJ45" s="42"/>
      <c r="BK45" s="42"/>
      <c r="BL45" s="203"/>
      <c r="BM45" s="203"/>
      <c r="BN45" s="42"/>
      <c r="BO45" s="42"/>
      <c r="BP45" s="143"/>
      <c r="BQ45" s="143"/>
      <c r="BR45" s="192"/>
      <c r="BS45" s="192"/>
      <c r="BT45" s="192"/>
      <c r="BU45" s="192"/>
      <c r="BV45" s="192"/>
      <c r="BW45" s="192"/>
      <c r="BX45" s="146" t="str">
        <f t="shared" si="8"/>
        <v/>
      </c>
    </row>
    <row r="46">
      <c r="A46" s="106" t="str">
        <f t="shared" si="1"/>
        <v/>
      </c>
      <c r="B46" s="183" t="str">
        <f t="array" ref="B46">IF(ISBLANK($AE46), "-",INDEX(Circuits!A:A,SUMPRODUCT(EXACT($AE46,Circuits!$A:$A)*ROW(Circuits!$A:$A))))</f>
        <v>-</v>
      </c>
      <c r="C46" s="183" t="str">
        <f t="array" ref="C46">IF(ISBLANK($AE46), "-",INDEX(Circuits!B:B,SUMPRODUCT(EXACT($AE46,Circuits!$A:$A)*ROW(Circuits!$A:$A))))</f>
        <v>-</v>
      </c>
      <c r="D46" s="183" t="str">
        <f t="array" ref="D46">IF(ISBLANK($AE46), "-",INDEX(Circuits!C:C,SUMPRODUCT(EXACT($AE46,Circuits!$A:$A)*ROW(Circuits!$A:$A))))</f>
        <v>-</v>
      </c>
      <c r="E46" s="183" t="str">
        <f t="array" ref="E46">IF(ISBLANK($AE46), "-",INDEX(Circuits!D:D,SUMPRODUCT(EXACT($AE46,Circuits!$A:$A)*ROW(Circuits!$A:$A))))</f>
        <v>-</v>
      </c>
      <c r="F46" s="183" t="str">
        <f t="array" ref="F46">IF(ISBLANK($AE46), "-",INDEX(Circuits!E:E,SUMPRODUCT(EXACT($AE46,Circuits!$A:$A)*ROW(Circuits!$A:$A))))</f>
        <v>-</v>
      </c>
      <c r="G46" s="183" t="str">
        <f t="array" ref="G46">IF(ISBLANK($AE46), "-",INDEX(Circuits!F:F,SUMPRODUCT(EXACT($AE46,Circuits!$A:$A)*ROW(Circuits!$A:$A))))</f>
        <v>-</v>
      </c>
      <c r="H46" s="183" t="str">
        <f t="array" ref="H46">IF(ISBLANK($AE46), "-",INDEX(Circuits!G:G,SUMPRODUCT(EXACT($AE46,Circuits!$A:$A)*ROW(Circuits!$A:$A))))</f>
        <v>-</v>
      </c>
      <c r="I46" s="183" t="str">
        <f t="array" ref="I46">IF(ISBLANK($AE46), "-",INDEX(Circuits!H:H,SUMPRODUCT(EXACT($AE46,Circuits!$A:$A)*ROW(Circuits!$A:$A))))</f>
        <v>-</v>
      </c>
      <c r="J46" s="183" t="str">
        <f t="array" ref="J46">IF(ISBLANK($AE46), "-",INDEX(Circuits!I:I,SUMPRODUCT(EXACT($AE46,Circuits!$A:$A)*ROW(Circuits!$A:$A))))</f>
        <v>-</v>
      </c>
      <c r="K46" s="183" t="str">
        <f t="array" ref="K46">IF(ISBLANK($AE46), "-",INDEX(Circuits!J:J,SUMPRODUCT(EXACT($AE46,Circuits!$A:$A)*ROW(Circuits!$A:$A))))</f>
        <v>-</v>
      </c>
      <c r="L46" s="183" t="str">
        <f t="array" ref="L46">IF(ISBLANK($AE46), "-",INDEX(Circuits!K:K,SUMPRODUCT(EXACT($AE46,Circuits!$A:$A)*ROW(Circuits!$A:$A))))</f>
        <v>-</v>
      </c>
      <c r="M46" s="183" t="str">
        <f t="array" ref="M46">IF(ISBLANK($AE46), "-",INDEX(Circuits!L:L,SUMPRODUCT(EXACT($AE46,Circuits!$A:$A)*ROW(Circuits!$A:$A))))</f>
        <v>-</v>
      </c>
      <c r="N46" s="183" t="str">
        <f t="array" ref="N46">IF(ISBLANK($AE46), "-",INDEX(Circuits!M:M,SUMPRODUCT(EXACT($AE46,Circuits!$A:$A)*ROW(Circuits!$A:$A))))</f>
        <v>-</v>
      </c>
      <c r="O46" s="183" t="str">
        <f t="array" ref="O46">IF(ISBLANK($AE46), "-",INDEX(Circuits!N:N,SUMPRODUCT(EXACT($AE46,Circuits!$A:$A)*ROW(Circuits!$A:$A))))</f>
        <v>-</v>
      </c>
      <c r="P46" s="183" t="str">
        <f t="array" ref="P46">IF(ISBLANK($AE46), "-",INDEX(Circuits!O:O,SUMPRODUCT(EXACT($AE46,Circuits!$A:$A)*ROW(Circuits!$A:$A))))</f>
        <v>-</v>
      </c>
      <c r="Q46" s="183" t="str">
        <f t="array" ref="Q46">IF(ISBLANK($AE46), "-",INDEX(Circuits!P:P,SUMPRODUCT(EXACT($AE46,Circuits!$A:$A)*ROW(Circuits!$A:$A))))</f>
        <v>-</v>
      </c>
      <c r="R46" s="183" t="str">
        <f t="array" ref="R46">IF(ISBLANK($AE46), "-",INDEX(Circuits!Q:Q,SUMPRODUCT(EXACT($AE46,Circuits!$A:$A)*ROW(Circuits!$A:$A))))</f>
        <v>-</v>
      </c>
      <c r="S46" s="183" t="str">
        <f t="array" ref="S46">IF(ISBLANK($AE46), "-",INDEX(Circuits!R:R,SUMPRODUCT(EXACT($AE46,Circuits!$A:$A)*ROW(Circuits!$A:$A))))</f>
        <v>-</v>
      </c>
      <c r="T46" s="183" t="str">
        <f t="array" ref="T46">IF(ISBLANK($AE46), "-",INDEX(Circuits!S:S,SUMPRODUCT(EXACT($AE46,Circuits!$A:$A)*ROW(Circuits!$A:$A))))</f>
        <v>-</v>
      </c>
      <c r="U46" s="183" t="str">
        <f t="array" ref="U46">IF(ISBLANK($AE46), "-",INDEX(Circuits!T:T,SUMPRODUCT(EXACT($AE46,Circuits!$A:$A)*ROW(Circuits!$A:$A))))</f>
        <v>-</v>
      </c>
      <c r="V46" s="183" t="str">
        <f t="array" ref="V46">IF(ISBLANK($AE46), "-",INDEX(Circuits!U:U,SUMPRODUCT(EXACT($AE46,Circuits!$A:$A)*ROW(Circuits!$A:$A))))</f>
        <v>-</v>
      </c>
      <c r="W46" s="183" t="str">
        <f t="array" ref="W46">IF(ISBLANK($AE46), "-",INDEX(Circuits!V:V,SUMPRODUCT(EXACT($AE46,Circuits!$A:$A)*ROW(Circuits!$A:$A))))</f>
        <v>-</v>
      </c>
      <c r="X46" s="183" t="str">
        <f t="array" ref="X46">IF(ISBLANK($AE46), "-",INDEX(Circuits!W:W,SUMPRODUCT(EXACT($AE46,Circuits!$A:$A)*ROW(Circuits!$A:$A))))</f>
        <v>-</v>
      </c>
      <c r="Y46" s="183" t="str">
        <f t="array" ref="Y46">IF(ISBLANK($AE46), "-",INDEX(Circuits!X:X,SUMPRODUCT(EXACT($AE46,Circuits!$A:$A)*ROW(Circuits!$A:$A))))</f>
        <v>-</v>
      </c>
      <c r="Z46" s="108" t="str">
        <f>IFERROR(__xludf.DUMMYFUNCTION("IFNA(CONCATENATE(UNIQUE(FILTER(Connections!R:R,Connections!A:A=B46))),""-"")"),"-")</f>
        <v>-</v>
      </c>
      <c r="AA46" s="119" t="str">
        <f t="array" ref="AA46">IF(ISBLANK($AE46), "-",INDEX(Circuits!Y:Y,SUMPRODUCT(EXACT($AE46,Circuits!$A:$A)*ROW(Circuits!$A:$A))))</f>
        <v>-</v>
      </c>
      <c r="AB46" s="121" t="str">
        <f t="array" ref="AB46">IF(ISBLANK($AE46), "-",INDEX(Circuits!Z:Z,SUMPRODUCT(EXACT($AE46,Circuits!$A:$A)*ROW(Circuits!$A:$A))))</f>
        <v>-</v>
      </c>
      <c r="AC46" s="194"/>
      <c r="AD46" s="194"/>
      <c r="AE46" s="40"/>
      <c r="AF46" s="43"/>
      <c r="AG46" s="126" t="str">
        <f>IFERROR(__xludf.DUMMYFUNCTION("IF(ISBLANK(AF46), """", TEXTJOIN(CHAR(10),TRUE,ARRAYFORMULA(IF(ISERROR(SEARCH(SPLIT(AF46, "";""), $Z46)), ""x"", ""-""))))"),"")</f>
        <v/>
      </c>
      <c r="AH46" s="127" t="str">
        <f>IFERROR(__xludf.DUMMYFUNCTION("IF(ISBLANK(AK46), """", TEXTJOIN("";"" &amp; CHAR(10), TRUE, UNIQUE(SPLIT(AK46, "";"" &amp; CHAR(10)), TRUE))&amp;"";"")"),"")</f>
        <v/>
      </c>
      <c r="AI46" s="128" t="str">
        <f>IFERROR(__xludf.DUMMYFUNCTION("IF(ISBLANK(AD46), IF(ISBLANK(AE46),,IFNA(TEXTJOIN("";"" &amp; CHAR(10), TRUE, FILTER(AE:AE, SEARCH(AE46&amp;"";"", AJ:AJ)))&amp;"";"", """")), TEXTJOIN("";"" &amp; CHAR(10), TRUE, UNIQUE(SPLIT(AH46 &amp; "";"" &amp; AH46 &amp; "";"" &amp; AL46, "";"" &amp; CHAR(10)), TRUE, TRUE))&amp;"";"")"),"")</f>
        <v/>
      </c>
      <c r="AJ46" s="126" t="str">
        <f>IFERROR(__xludf.DUMMYFUNCTION("IF(AN46="""", """", TEXTJOIN("";"" &amp; CHAR(10), TRUE, UNIQUE(SPLIT(AH46 &amp; "";"" &amp; AH46 &amp; "";"" &amp; AN46, "";"" &amp; CHAR(10)), TRUE, TRUE))&amp;"";"")"),"")</f>
        <v/>
      </c>
      <c r="AK46" s="129" t="str">
        <f>IFERROR(__xludf.DUMMYFUNCTION("IF(ISBLANK(AD46), IF(ISBLANK(AE46),,AE46 &amp; "";""), TEXTJOIN(CHAR(10), TRUE, ARRAYFORMULA(VLOOKUP(SPLIT(AD46, "";"" &amp; CHAR(10)), $AC:$AH, 6, FALSE))))"),"")</f>
        <v/>
      </c>
      <c r="AL46" s="130" t="str">
        <f>IFERROR(__xludf.DUMMYFUNCTION("IF(AM46="""", """", TEXTJOIN("";"" &amp; CHAR(10), TRUE, UNIQUE(SPLIT(AM46, "";"" &amp; CHAR(10)), TRUE))&amp;"";"")"),"")</f>
        <v/>
      </c>
      <c r="AM46" s="130" t="str">
        <f>IFERROR(__xludf.DUMMYFUNCTION("IF(ISBLANK(AD46), """", TEXTJOIN(CHAR(10), TRUE, ARRAYFORMULA(VLOOKUP(SPLIT(AH46, "";"" &amp; CHAR(10)), $AE:$AI, 5, FALSE)), AF46))"),"")</f>
        <v/>
      </c>
      <c r="AN46" s="132" t="str">
        <f>IFERROR(__xludf.DUMMYFUNCTION("IF(ISBLANK(AO46), """", TEXTJOIN("";"" &amp; CHAR(10), TRUE, UNIQUE(SPLIT(AO46, "";"" &amp; CHAR(10)), TRUE))&amp;"";"")"),"")</f>
        <v/>
      </c>
      <c r="AO46" s="134" t="str">
        <f>IFERROR(__xludf.DUMMYFUNCTION("IF(ISBLANK(AD46), AF46, TEXTJOIN(CHAR(10), TRUE, ARRAYFORMULA(VLOOKUP(SPLIT(AD46, "";"" &amp; CHAR(10)), $AC:$AN, 12, FALSE))))"),"")</f>
        <v/>
      </c>
      <c r="AP46" s="130" t="str">
        <f>IF(ISBLANK(AE46),,IF(IFERROR(SEARCH(AE46&amp;";",Circuits!$AO$2),0),TRUE,FALSE))</f>
        <v/>
      </c>
      <c r="AQ46" s="130" t="str">
        <f t="shared" si="2"/>
        <v/>
      </c>
      <c r="AR46" s="130" t="str">
        <f t="shared" si="3"/>
        <v/>
      </c>
      <c r="AS46" s="136" t="str">
        <f>IFERROR(__xludf.DUMMYFUNCTION("IF(AH46="""",,SUM(ARRAYFORMULA(IF(IFERROR(SEARCH(SPLIT(AH46,CHAR(10)),Circuits!$AO$2),0)&gt;0,0,1))))"),"")</f>
        <v/>
      </c>
      <c r="AT46" s="138" t="str">
        <f t="shared" si="4"/>
        <v/>
      </c>
      <c r="AU46" s="138" t="str">
        <f t="shared" si="5"/>
        <v/>
      </c>
      <c r="AV46" s="130" t="str">
        <f>IFERROR(__xludf.DUMMYFUNCTION("IF(AI46="""",,TEXTJOIN("", "",TRUE,ARRAYFORMULA(VLOOKUP(SPLIT(AI46,"";""&amp;CHAR(10)),AE:AT,16,FALSE))))"),"")</f>
        <v/>
      </c>
      <c r="AW46" s="130" t="str">
        <f>IFERROR(__xludf.DUMMYFUNCTION("IF(ISBLANK(BK46),,TEXTJOIN("", "",TRUE,ARRAYFORMULA(VLOOKUP(IFERROR(REGEXEXTRACT(SPLIT(BK46,"";""&amp;CHAR(10)),""\[(.+)\]"")),AE:AT,16,false))))"),"")</f>
        <v/>
      </c>
      <c r="AX46" s="139" t="str">
        <f t="shared" si="6"/>
        <v/>
      </c>
      <c r="AY46" s="139" t="str">
        <f t="shared" si="7"/>
        <v/>
      </c>
      <c r="AZ46" s="106" t="str">
        <f>IFERROR(__xludf.DUMMYFUNCTION("IF(ISBLANK(AD46), BC46, TEXTJOIN(CHAR(10) &amp; CHAR(10), TRUE, ARRAYFORMULA(VLOOKUP(SPLIT(AD46, "";"" &amp; CHAR(10)), $AC:$AY, 23, FALSE))))"),"")</f>
        <v/>
      </c>
      <c r="BA46" s="140" t="s">
        <v>66</v>
      </c>
      <c r="BB46" s="190"/>
      <c r="BC46" s="196"/>
      <c r="BD46" s="106" t="str">
        <f>IFERROR(__xludf.DUMMYFUNCTION("IF(IFERROR(SEARCH(""&lt;&lt;mechanism to realize the capability&gt;&gt;"",BA46),0)=0,
 ""!! Error !! “Capability&amp;Mechanism” column: Invalid Separator:"" &amp; CHAR(10) &amp; ""Insert separator “&lt;&lt;mechanism to realize the capability&gt;&gt;.”"",
 IF(
  LEN(TRIM(CLEAN(
    INDEX(
  "&amp;"    SPLIT(BA46,""&lt;&lt;mechanism to realize the capability&gt;&gt;"",FALSE,FALSE),
      1
    )
  )))=0,
  ""!! Error !! “Capability&amp;Mechanism” column: No Capability:""  &amp; CHAR(10) &amp; ""Describe Capability before separator."",
  INDEX(
    SPLIT(BA46,""&lt;&lt;mechanism "&amp;"to realize the capability&gt;&gt;"",FALSE,FALSE),
    1
  )
 )
)
"),"!! Error !! “Capability&amp;Mechanism” column: No Capability:
Describe Capability before separator.")</f>
        <v>!! Error !! “Capability&amp;Mechanism” column: No Capability:
Describe Capability before separator.</v>
      </c>
      <c r="BE46" s="190"/>
      <c r="BF46" s="195"/>
      <c r="BG46" s="42"/>
      <c r="BH46" s="190"/>
      <c r="BI46" s="196"/>
      <c r="BJ46" s="42"/>
      <c r="BK46" s="42"/>
      <c r="BL46" s="203"/>
      <c r="BM46" s="203"/>
      <c r="BN46" s="42"/>
      <c r="BO46" s="42"/>
      <c r="BP46" s="143"/>
      <c r="BQ46" s="143"/>
      <c r="BR46" s="192"/>
      <c r="BS46" s="192"/>
      <c r="BT46" s="192"/>
      <c r="BU46" s="192"/>
      <c r="BV46" s="192"/>
      <c r="BW46" s="192"/>
      <c r="BX46" s="146" t="str">
        <f t="shared" si="8"/>
        <v/>
      </c>
    </row>
    <row r="47">
      <c r="A47" s="106" t="str">
        <f t="shared" si="1"/>
        <v/>
      </c>
      <c r="B47" s="183" t="str">
        <f t="array" ref="B47">IF(ISBLANK($AE47), "-",INDEX(Circuits!A:A,SUMPRODUCT(EXACT($AE47,Circuits!$A:$A)*ROW(Circuits!$A:$A))))</f>
        <v>-</v>
      </c>
      <c r="C47" s="183" t="str">
        <f t="array" ref="C47">IF(ISBLANK($AE47), "-",INDEX(Circuits!B:B,SUMPRODUCT(EXACT($AE47,Circuits!$A:$A)*ROW(Circuits!$A:$A))))</f>
        <v>-</v>
      </c>
      <c r="D47" s="183" t="str">
        <f t="array" ref="D47">IF(ISBLANK($AE47), "-",INDEX(Circuits!C:C,SUMPRODUCT(EXACT($AE47,Circuits!$A:$A)*ROW(Circuits!$A:$A))))</f>
        <v>-</v>
      </c>
      <c r="E47" s="183" t="str">
        <f t="array" ref="E47">IF(ISBLANK($AE47), "-",INDEX(Circuits!D:D,SUMPRODUCT(EXACT($AE47,Circuits!$A:$A)*ROW(Circuits!$A:$A))))</f>
        <v>-</v>
      </c>
      <c r="F47" s="183" t="str">
        <f t="array" ref="F47">IF(ISBLANK($AE47), "-",INDEX(Circuits!E:E,SUMPRODUCT(EXACT($AE47,Circuits!$A:$A)*ROW(Circuits!$A:$A))))</f>
        <v>-</v>
      </c>
      <c r="G47" s="183" t="str">
        <f t="array" ref="G47">IF(ISBLANK($AE47), "-",INDEX(Circuits!F:F,SUMPRODUCT(EXACT($AE47,Circuits!$A:$A)*ROW(Circuits!$A:$A))))</f>
        <v>-</v>
      </c>
      <c r="H47" s="183" t="str">
        <f t="array" ref="H47">IF(ISBLANK($AE47), "-",INDEX(Circuits!G:G,SUMPRODUCT(EXACT($AE47,Circuits!$A:$A)*ROW(Circuits!$A:$A))))</f>
        <v>-</v>
      </c>
      <c r="I47" s="183" t="str">
        <f t="array" ref="I47">IF(ISBLANK($AE47), "-",INDEX(Circuits!H:H,SUMPRODUCT(EXACT($AE47,Circuits!$A:$A)*ROW(Circuits!$A:$A))))</f>
        <v>-</v>
      </c>
      <c r="J47" s="183" t="str">
        <f t="array" ref="J47">IF(ISBLANK($AE47), "-",INDEX(Circuits!I:I,SUMPRODUCT(EXACT($AE47,Circuits!$A:$A)*ROW(Circuits!$A:$A))))</f>
        <v>-</v>
      </c>
      <c r="K47" s="183" t="str">
        <f t="array" ref="K47">IF(ISBLANK($AE47), "-",INDEX(Circuits!J:J,SUMPRODUCT(EXACT($AE47,Circuits!$A:$A)*ROW(Circuits!$A:$A))))</f>
        <v>-</v>
      </c>
      <c r="L47" s="183" t="str">
        <f t="array" ref="L47">IF(ISBLANK($AE47), "-",INDEX(Circuits!K:K,SUMPRODUCT(EXACT($AE47,Circuits!$A:$A)*ROW(Circuits!$A:$A))))</f>
        <v>-</v>
      </c>
      <c r="M47" s="183" t="str">
        <f t="array" ref="M47">IF(ISBLANK($AE47), "-",INDEX(Circuits!L:L,SUMPRODUCT(EXACT($AE47,Circuits!$A:$A)*ROW(Circuits!$A:$A))))</f>
        <v>-</v>
      </c>
      <c r="N47" s="183" t="str">
        <f t="array" ref="N47">IF(ISBLANK($AE47), "-",INDEX(Circuits!M:M,SUMPRODUCT(EXACT($AE47,Circuits!$A:$A)*ROW(Circuits!$A:$A))))</f>
        <v>-</v>
      </c>
      <c r="O47" s="183" t="str">
        <f t="array" ref="O47">IF(ISBLANK($AE47), "-",INDEX(Circuits!N:N,SUMPRODUCT(EXACT($AE47,Circuits!$A:$A)*ROW(Circuits!$A:$A))))</f>
        <v>-</v>
      </c>
      <c r="P47" s="183" t="str">
        <f t="array" ref="P47">IF(ISBLANK($AE47), "-",INDEX(Circuits!O:O,SUMPRODUCT(EXACT($AE47,Circuits!$A:$A)*ROW(Circuits!$A:$A))))</f>
        <v>-</v>
      </c>
      <c r="Q47" s="183" t="str">
        <f t="array" ref="Q47">IF(ISBLANK($AE47), "-",INDEX(Circuits!P:P,SUMPRODUCT(EXACT($AE47,Circuits!$A:$A)*ROW(Circuits!$A:$A))))</f>
        <v>-</v>
      </c>
      <c r="R47" s="183" t="str">
        <f t="array" ref="R47">IF(ISBLANK($AE47), "-",INDEX(Circuits!Q:Q,SUMPRODUCT(EXACT($AE47,Circuits!$A:$A)*ROW(Circuits!$A:$A))))</f>
        <v>-</v>
      </c>
      <c r="S47" s="183" t="str">
        <f t="array" ref="S47">IF(ISBLANK($AE47), "-",INDEX(Circuits!R:R,SUMPRODUCT(EXACT($AE47,Circuits!$A:$A)*ROW(Circuits!$A:$A))))</f>
        <v>-</v>
      </c>
      <c r="T47" s="183" t="str">
        <f t="array" ref="T47">IF(ISBLANK($AE47), "-",INDEX(Circuits!S:S,SUMPRODUCT(EXACT($AE47,Circuits!$A:$A)*ROW(Circuits!$A:$A))))</f>
        <v>-</v>
      </c>
      <c r="U47" s="183" t="str">
        <f t="array" ref="U47">IF(ISBLANK($AE47), "-",INDEX(Circuits!T:T,SUMPRODUCT(EXACT($AE47,Circuits!$A:$A)*ROW(Circuits!$A:$A))))</f>
        <v>-</v>
      </c>
      <c r="V47" s="183" t="str">
        <f t="array" ref="V47">IF(ISBLANK($AE47), "-",INDEX(Circuits!U:U,SUMPRODUCT(EXACT($AE47,Circuits!$A:$A)*ROW(Circuits!$A:$A))))</f>
        <v>-</v>
      </c>
      <c r="W47" s="183" t="str">
        <f t="array" ref="W47">IF(ISBLANK($AE47), "-",INDEX(Circuits!V:V,SUMPRODUCT(EXACT($AE47,Circuits!$A:$A)*ROW(Circuits!$A:$A))))</f>
        <v>-</v>
      </c>
      <c r="X47" s="183" t="str">
        <f t="array" ref="X47">IF(ISBLANK($AE47), "-",INDEX(Circuits!W:W,SUMPRODUCT(EXACT($AE47,Circuits!$A:$A)*ROW(Circuits!$A:$A))))</f>
        <v>-</v>
      </c>
      <c r="Y47" s="183" t="str">
        <f t="array" ref="Y47">IF(ISBLANK($AE47), "-",INDEX(Circuits!X:X,SUMPRODUCT(EXACT($AE47,Circuits!$A:$A)*ROW(Circuits!$A:$A))))</f>
        <v>-</v>
      </c>
      <c r="Z47" s="108" t="str">
        <f>IFERROR(__xludf.DUMMYFUNCTION("IFNA(CONCATENATE(UNIQUE(FILTER(Connections!R:R,Connections!A:A=B47))),""-"")"),"-")</f>
        <v>-</v>
      </c>
      <c r="AA47" s="119" t="str">
        <f t="array" ref="AA47">IF(ISBLANK($AE47), "-",INDEX(Circuits!Y:Y,SUMPRODUCT(EXACT($AE47,Circuits!$A:$A)*ROW(Circuits!$A:$A))))</f>
        <v>-</v>
      </c>
      <c r="AB47" s="121" t="str">
        <f t="array" ref="AB47">IF(ISBLANK($AE47), "-",INDEX(Circuits!Z:Z,SUMPRODUCT(EXACT($AE47,Circuits!$A:$A)*ROW(Circuits!$A:$A))))</f>
        <v>-</v>
      </c>
      <c r="AC47" s="194"/>
      <c r="AD47" s="194"/>
      <c r="AE47" s="40"/>
      <c r="AF47" s="43"/>
      <c r="AG47" s="126" t="str">
        <f>IFERROR(__xludf.DUMMYFUNCTION("IF(ISBLANK(AF47), """", TEXTJOIN(CHAR(10),TRUE,ARRAYFORMULA(IF(ISERROR(SEARCH(SPLIT(AF47, "";""), $Z47)), ""x"", ""-""))))"),"")</f>
        <v/>
      </c>
      <c r="AH47" s="127" t="str">
        <f>IFERROR(__xludf.DUMMYFUNCTION("IF(ISBLANK(AK47), """", TEXTJOIN("";"" &amp; CHAR(10), TRUE, UNIQUE(SPLIT(AK47, "";"" &amp; CHAR(10)), TRUE))&amp;"";"")"),"")</f>
        <v/>
      </c>
      <c r="AI47" s="128" t="str">
        <f>IFERROR(__xludf.DUMMYFUNCTION("IF(ISBLANK(AD47), IF(ISBLANK(AE47),,IFNA(TEXTJOIN("";"" &amp; CHAR(10), TRUE, FILTER(AE:AE, SEARCH(AE47&amp;"";"", AJ:AJ)))&amp;"";"", """")), TEXTJOIN("";"" &amp; CHAR(10), TRUE, UNIQUE(SPLIT(AH47 &amp; "";"" &amp; AH47 &amp; "";"" &amp; AL47, "";"" &amp; CHAR(10)), TRUE, TRUE))&amp;"";"")"),"")</f>
        <v/>
      </c>
      <c r="AJ47" s="126" t="str">
        <f>IFERROR(__xludf.DUMMYFUNCTION("IF(AN47="""", """", TEXTJOIN("";"" &amp; CHAR(10), TRUE, UNIQUE(SPLIT(AH47 &amp; "";"" &amp; AH47 &amp; "";"" &amp; AN47, "";"" &amp; CHAR(10)), TRUE, TRUE))&amp;"";"")"),"")</f>
        <v/>
      </c>
      <c r="AK47" s="129" t="str">
        <f>IFERROR(__xludf.DUMMYFUNCTION("IF(ISBLANK(AD47), IF(ISBLANK(AE47),,AE47 &amp; "";""), TEXTJOIN(CHAR(10), TRUE, ARRAYFORMULA(VLOOKUP(SPLIT(AD47, "";"" &amp; CHAR(10)), $AC:$AH, 6, FALSE))))"),"")</f>
        <v/>
      </c>
      <c r="AL47" s="130" t="str">
        <f>IFERROR(__xludf.DUMMYFUNCTION("IF(AM47="""", """", TEXTJOIN("";"" &amp; CHAR(10), TRUE, UNIQUE(SPLIT(AM47, "";"" &amp; CHAR(10)), TRUE))&amp;"";"")"),"")</f>
        <v/>
      </c>
      <c r="AM47" s="130" t="str">
        <f>IFERROR(__xludf.DUMMYFUNCTION("IF(ISBLANK(AD47), """", TEXTJOIN(CHAR(10), TRUE, ARRAYFORMULA(VLOOKUP(SPLIT(AH47, "";"" &amp; CHAR(10)), $AE:$AI, 5, FALSE)), AF47))"),"")</f>
        <v/>
      </c>
      <c r="AN47" s="132" t="str">
        <f>IFERROR(__xludf.DUMMYFUNCTION("IF(ISBLANK(AO47), """", TEXTJOIN("";"" &amp; CHAR(10), TRUE, UNIQUE(SPLIT(AO47, "";"" &amp; CHAR(10)), TRUE))&amp;"";"")"),"")</f>
        <v/>
      </c>
      <c r="AO47" s="134" t="str">
        <f>IFERROR(__xludf.DUMMYFUNCTION("IF(ISBLANK(AD47), AF47, TEXTJOIN(CHAR(10), TRUE, ARRAYFORMULA(VLOOKUP(SPLIT(AD47, "";"" &amp; CHAR(10)), $AC:$AN, 12, FALSE))))"),"")</f>
        <v/>
      </c>
      <c r="AP47" s="130" t="str">
        <f>IF(ISBLANK(AE47),,IF(IFERROR(SEARCH(AE47&amp;";",Circuits!$AO$2),0),TRUE,FALSE))</f>
        <v/>
      </c>
      <c r="AQ47" s="130" t="str">
        <f t="shared" si="2"/>
        <v/>
      </c>
      <c r="AR47" s="130" t="str">
        <f t="shared" si="3"/>
        <v/>
      </c>
      <c r="AS47" s="136" t="str">
        <f>IFERROR(__xludf.DUMMYFUNCTION("IF(AH47="""",,SUM(ARRAYFORMULA(IF(IFERROR(SEARCH(SPLIT(AH47,CHAR(10)),Circuits!$AO$2),0)&gt;0,0,1))))"),"")</f>
        <v/>
      </c>
      <c r="AT47" s="138" t="str">
        <f t="shared" si="4"/>
        <v/>
      </c>
      <c r="AU47" s="138" t="str">
        <f t="shared" si="5"/>
        <v/>
      </c>
      <c r="AV47" s="130" t="str">
        <f>IFERROR(__xludf.DUMMYFUNCTION("IF(AI47="""",,TEXTJOIN("", "",TRUE,ARRAYFORMULA(VLOOKUP(SPLIT(AI47,"";""&amp;CHAR(10)),AE:AT,16,FALSE))))"),"")</f>
        <v/>
      </c>
      <c r="AW47" s="130" t="str">
        <f>IFERROR(__xludf.DUMMYFUNCTION("IF(ISBLANK(BK47),,TEXTJOIN("", "",TRUE,ARRAYFORMULA(VLOOKUP(IFERROR(REGEXEXTRACT(SPLIT(BK47,"";""&amp;CHAR(10)),""\[(.+)\]"")),AE:AT,16,false))))"),"")</f>
        <v/>
      </c>
      <c r="AX47" s="139" t="str">
        <f t="shared" si="6"/>
        <v/>
      </c>
      <c r="AY47" s="139" t="str">
        <f t="shared" si="7"/>
        <v/>
      </c>
      <c r="AZ47" s="106" t="str">
        <f>IFERROR(__xludf.DUMMYFUNCTION("IF(ISBLANK(AD47), BC47, TEXTJOIN(CHAR(10) &amp; CHAR(10), TRUE, ARRAYFORMULA(VLOOKUP(SPLIT(AD47, "";"" &amp; CHAR(10)), $AC:$AY, 23, FALSE))))"),"")</f>
        <v/>
      </c>
      <c r="BA47" s="140" t="s">
        <v>66</v>
      </c>
      <c r="BB47" s="190"/>
      <c r="BC47" s="196"/>
      <c r="BD47" s="106" t="str">
        <f>IFERROR(__xludf.DUMMYFUNCTION("IF(IFERROR(SEARCH(""&lt;&lt;mechanism to realize the capability&gt;&gt;"",BA47),0)=0,
 ""!! Error !! “Capability&amp;Mechanism” column: Invalid Separator:"" &amp; CHAR(10) &amp; ""Insert separator “&lt;&lt;mechanism to realize the capability&gt;&gt;.”"",
 IF(
  LEN(TRIM(CLEAN(
    INDEX(
  "&amp;"    SPLIT(BA47,""&lt;&lt;mechanism to realize the capability&gt;&gt;"",FALSE,FALSE),
      1
    )
  )))=0,
  ""!! Error !! “Capability&amp;Mechanism” column: No Capability:""  &amp; CHAR(10) &amp; ""Describe Capability before separator."",
  INDEX(
    SPLIT(BA47,""&lt;&lt;mechanism "&amp;"to realize the capability&gt;&gt;"",FALSE,FALSE),
    1
  )
 )
)
"),"!! Error !! “Capability&amp;Mechanism” column: No Capability:
Describe Capability before separator.")</f>
        <v>!! Error !! “Capability&amp;Mechanism” column: No Capability:
Describe Capability before separator.</v>
      </c>
      <c r="BE47" s="190"/>
      <c r="BF47" s="195"/>
      <c r="BG47" s="42"/>
      <c r="BH47" s="190"/>
      <c r="BI47" s="196"/>
      <c r="BJ47" s="42"/>
      <c r="BK47" s="42"/>
      <c r="BL47" s="203"/>
      <c r="BM47" s="203"/>
      <c r="BN47" s="42"/>
      <c r="BO47" s="42"/>
      <c r="BP47" s="143"/>
      <c r="BQ47" s="143"/>
      <c r="BR47" s="192"/>
      <c r="BS47" s="192"/>
      <c r="BT47" s="192"/>
      <c r="BU47" s="192"/>
      <c r="BV47" s="192"/>
      <c r="BW47" s="192"/>
      <c r="BX47" s="146" t="str">
        <f t="shared" si="8"/>
        <v/>
      </c>
    </row>
    <row r="48">
      <c r="A48" s="106" t="str">
        <f t="shared" si="1"/>
        <v/>
      </c>
      <c r="B48" s="183" t="str">
        <f t="array" ref="B48">IF(ISBLANK($AE48), "-",INDEX(Circuits!A:A,SUMPRODUCT(EXACT($AE48,Circuits!$A:$A)*ROW(Circuits!$A:$A))))</f>
        <v>-</v>
      </c>
      <c r="C48" s="183" t="str">
        <f t="array" ref="C48">IF(ISBLANK($AE48), "-",INDEX(Circuits!B:B,SUMPRODUCT(EXACT($AE48,Circuits!$A:$A)*ROW(Circuits!$A:$A))))</f>
        <v>-</v>
      </c>
      <c r="D48" s="183" t="str">
        <f t="array" ref="D48">IF(ISBLANK($AE48), "-",INDEX(Circuits!C:C,SUMPRODUCT(EXACT($AE48,Circuits!$A:$A)*ROW(Circuits!$A:$A))))</f>
        <v>-</v>
      </c>
      <c r="E48" s="183" t="str">
        <f t="array" ref="E48">IF(ISBLANK($AE48), "-",INDEX(Circuits!D:D,SUMPRODUCT(EXACT($AE48,Circuits!$A:$A)*ROW(Circuits!$A:$A))))</f>
        <v>-</v>
      </c>
      <c r="F48" s="183" t="str">
        <f t="array" ref="F48">IF(ISBLANK($AE48), "-",INDEX(Circuits!E:E,SUMPRODUCT(EXACT($AE48,Circuits!$A:$A)*ROW(Circuits!$A:$A))))</f>
        <v>-</v>
      </c>
      <c r="G48" s="183" t="str">
        <f t="array" ref="G48">IF(ISBLANK($AE48), "-",INDEX(Circuits!F:F,SUMPRODUCT(EXACT($AE48,Circuits!$A:$A)*ROW(Circuits!$A:$A))))</f>
        <v>-</v>
      </c>
      <c r="H48" s="183" t="str">
        <f t="array" ref="H48">IF(ISBLANK($AE48), "-",INDEX(Circuits!G:G,SUMPRODUCT(EXACT($AE48,Circuits!$A:$A)*ROW(Circuits!$A:$A))))</f>
        <v>-</v>
      </c>
      <c r="I48" s="183" t="str">
        <f t="array" ref="I48">IF(ISBLANK($AE48), "-",INDEX(Circuits!H:H,SUMPRODUCT(EXACT($AE48,Circuits!$A:$A)*ROW(Circuits!$A:$A))))</f>
        <v>-</v>
      </c>
      <c r="J48" s="183" t="str">
        <f t="array" ref="J48">IF(ISBLANK($AE48), "-",INDEX(Circuits!I:I,SUMPRODUCT(EXACT($AE48,Circuits!$A:$A)*ROW(Circuits!$A:$A))))</f>
        <v>-</v>
      </c>
      <c r="K48" s="183" t="str">
        <f t="array" ref="K48">IF(ISBLANK($AE48), "-",INDEX(Circuits!J:J,SUMPRODUCT(EXACT($AE48,Circuits!$A:$A)*ROW(Circuits!$A:$A))))</f>
        <v>-</v>
      </c>
      <c r="L48" s="183" t="str">
        <f t="array" ref="L48">IF(ISBLANK($AE48), "-",INDEX(Circuits!K:K,SUMPRODUCT(EXACT($AE48,Circuits!$A:$A)*ROW(Circuits!$A:$A))))</f>
        <v>-</v>
      </c>
      <c r="M48" s="183" t="str">
        <f t="array" ref="M48">IF(ISBLANK($AE48), "-",INDEX(Circuits!L:L,SUMPRODUCT(EXACT($AE48,Circuits!$A:$A)*ROW(Circuits!$A:$A))))</f>
        <v>-</v>
      </c>
      <c r="N48" s="183" t="str">
        <f t="array" ref="N48">IF(ISBLANK($AE48), "-",INDEX(Circuits!M:M,SUMPRODUCT(EXACT($AE48,Circuits!$A:$A)*ROW(Circuits!$A:$A))))</f>
        <v>-</v>
      </c>
      <c r="O48" s="183" t="str">
        <f t="array" ref="O48">IF(ISBLANK($AE48), "-",INDEX(Circuits!N:N,SUMPRODUCT(EXACT($AE48,Circuits!$A:$A)*ROW(Circuits!$A:$A))))</f>
        <v>-</v>
      </c>
      <c r="P48" s="183" t="str">
        <f t="array" ref="P48">IF(ISBLANK($AE48), "-",INDEX(Circuits!O:O,SUMPRODUCT(EXACT($AE48,Circuits!$A:$A)*ROW(Circuits!$A:$A))))</f>
        <v>-</v>
      </c>
      <c r="Q48" s="183" t="str">
        <f t="array" ref="Q48">IF(ISBLANK($AE48), "-",INDEX(Circuits!P:P,SUMPRODUCT(EXACT($AE48,Circuits!$A:$A)*ROW(Circuits!$A:$A))))</f>
        <v>-</v>
      </c>
      <c r="R48" s="183" t="str">
        <f t="array" ref="R48">IF(ISBLANK($AE48), "-",INDEX(Circuits!Q:Q,SUMPRODUCT(EXACT($AE48,Circuits!$A:$A)*ROW(Circuits!$A:$A))))</f>
        <v>-</v>
      </c>
      <c r="S48" s="183" t="str">
        <f t="array" ref="S48">IF(ISBLANK($AE48), "-",INDEX(Circuits!R:R,SUMPRODUCT(EXACT($AE48,Circuits!$A:$A)*ROW(Circuits!$A:$A))))</f>
        <v>-</v>
      </c>
      <c r="T48" s="183" t="str">
        <f t="array" ref="T48">IF(ISBLANK($AE48), "-",INDEX(Circuits!S:S,SUMPRODUCT(EXACT($AE48,Circuits!$A:$A)*ROW(Circuits!$A:$A))))</f>
        <v>-</v>
      </c>
      <c r="U48" s="183" t="str">
        <f t="array" ref="U48">IF(ISBLANK($AE48), "-",INDEX(Circuits!T:T,SUMPRODUCT(EXACT($AE48,Circuits!$A:$A)*ROW(Circuits!$A:$A))))</f>
        <v>-</v>
      </c>
      <c r="V48" s="183" t="str">
        <f t="array" ref="V48">IF(ISBLANK($AE48), "-",INDEX(Circuits!U:U,SUMPRODUCT(EXACT($AE48,Circuits!$A:$A)*ROW(Circuits!$A:$A))))</f>
        <v>-</v>
      </c>
      <c r="W48" s="183" t="str">
        <f t="array" ref="W48">IF(ISBLANK($AE48), "-",INDEX(Circuits!V:V,SUMPRODUCT(EXACT($AE48,Circuits!$A:$A)*ROW(Circuits!$A:$A))))</f>
        <v>-</v>
      </c>
      <c r="X48" s="183" t="str">
        <f t="array" ref="X48">IF(ISBLANK($AE48), "-",INDEX(Circuits!W:W,SUMPRODUCT(EXACT($AE48,Circuits!$A:$A)*ROW(Circuits!$A:$A))))</f>
        <v>-</v>
      </c>
      <c r="Y48" s="183" t="str">
        <f t="array" ref="Y48">IF(ISBLANK($AE48), "-",INDEX(Circuits!X:X,SUMPRODUCT(EXACT($AE48,Circuits!$A:$A)*ROW(Circuits!$A:$A))))</f>
        <v>-</v>
      </c>
      <c r="Z48" s="108" t="str">
        <f>IFERROR(__xludf.DUMMYFUNCTION("IFNA(CONCATENATE(UNIQUE(FILTER(Connections!R:R,Connections!A:A=B48))),""-"")"),"-")</f>
        <v>-</v>
      </c>
      <c r="AA48" s="119" t="str">
        <f t="array" ref="AA48">IF(ISBLANK($AE48), "-",INDEX(Circuits!Y:Y,SUMPRODUCT(EXACT($AE48,Circuits!$A:$A)*ROW(Circuits!$A:$A))))</f>
        <v>-</v>
      </c>
      <c r="AB48" s="121" t="str">
        <f t="array" ref="AB48">IF(ISBLANK($AE48), "-",INDEX(Circuits!Z:Z,SUMPRODUCT(EXACT($AE48,Circuits!$A:$A)*ROW(Circuits!$A:$A))))</f>
        <v>-</v>
      </c>
      <c r="AC48" s="194"/>
      <c r="AD48" s="194"/>
      <c r="AE48" s="40"/>
      <c r="AF48" s="43"/>
      <c r="AG48" s="126" t="str">
        <f>IFERROR(__xludf.DUMMYFUNCTION("IF(ISBLANK(AF48), """", TEXTJOIN(CHAR(10),TRUE,ARRAYFORMULA(IF(ISERROR(SEARCH(SPLIT(AF48, "";""), $Z48)), ""x"", ""-""))))"),"")</f>
        <v/>
      </c>
      <c r="AH48" s="127" t="str">
        <f>IFERROR(__xludf.DUMMYFUNCTION("IF(ISBLANK(AK48), """", TEXTJOIN("";"" &amp; CHAR(10), TRUE, UNIQUE(SPLIT(AK48, "";"" &amp; CHAR(10)), TRUE))&amp;"";"")"),"")</f>
        <v/>
      </c>
      <c r="AI48" s="128" t="str">
        <f>IFERROR(__xludf.DUMMYFUNCTION("IF(ISBLANK(AD48), IF(ISBLANK(AE48),,IFNA(TEXTJOIN("";"" &amp; CHAR(10), TRUE, FILTER(AE:AE, SEARCH(AE48&amp;"";"", AJ:AJ)))&amp;"";"", """")), TEXTJOIN("";"" &amp; CHAR(10), TRUE, UNIQUE(SPLIT(AH48 &amp; "";"" &amp; AH48 &amp; "";"" &amp; AL48, "";"" &amp; CHAR(10)), TRUE, TRUE))&amp;"";"")"),"")</f>
        <v/>
      </c>
      <c r="AJ48" s="126" t="str">
        <f>IFERROR(__xludf.DUMMYFUNCTION("IF(AN48="""", """", TEXTJOIN("";"" &amp; CHAR(10), TRUE, UNIQUE(SPLIT(AH48 &amp; "";"" &amp; AH48 &amp; "";"" &amp; AN48, "";"" &amp; CHAR(10)), TRUE, TRUE))&amp;"";"")"),"")</f>
        <v/>
      </c>
      <c r="AK48" s="129" t="str">
        <f>IFERROR(__xludf.DUMMYFUNCTION("IF(ISBLANK(AD48), IF(ISBLANK(AE48),,AE48 &amp; "";""), TEXTJOIN(CHAR(10), TRUE, ARRAYFORMULA(VLOOKUP(SPLIT(AD48, "";"" &amp; CHAR(10)), $AC:$AH, 6, FALSE))))"),"")</f>
        <v/>
      </c>
      <c r="AL48" s="130" t="str">
        <f>IFERROR(__xludf.DUMMYFUNCTION("IF(AM48="""", """", TEXTJOIN("";"" &amp; CHAR(10), TRUE, UNIQUE(SPLIT(AM48, "";"" &amp; CHAR(10)), TRUE))&amp;"";"")"),"")</f>
        <v/>
      </c>
      <c r="AM48" s="130" t="str">
        <f>IFERROR(__xludf.DUMMYFUNCTION("IF(ISBLANK(AD48), """", TEXTJOIN(CHAR(10), TRUE, ARRAYFORMULA(VLOOKUP(SPLIT(AH48, "";"" &amp; CHAR(10)), $AE:$AI, 5, FALSE)), AF48))"),"")</f>
        <v/>
      </c>
      <c r="AN48" s="132" t="str">
        <f>IFERROR(__xludf.DUMMYFUNCTION("IF(ISBLANK(AO48), """", TEXTJOIN("";"" &amp; CHAR(10), TRUE, UNIQUE(SPLIT(AO48, "";"" &amp; CHAR(10)), TRUE))&amp;"";"")"),"")</f>
        <v/>
      </c>
      <c r="AO48" s="134" t="str">
        <f>IFERROR(__xludf.DUMMYFUNCTION("IF(ISBLANK(AD48), AF48, TEXTJOIN(CHAR(10), TRUE, ARRAYFORMULA(VLOOKUP(SPLIT(AD48, "";"" &amp; CHAR(10)), $AC:$AN, 12, FALSE))))"),"")</f>
        <v/>
      </c>
      <c r="AP48" s="130" t="str">
        <f>IF(ISBLANK(AE48),,IF(IFERROR(SEARCH(AE48&amp;";",Circuits!$AO$2),0),TRUE,FALSE))</f>
        <v/>
      </c>
      <c r="AQ48" s="130" t="str">
        <f t="shared" si="2"/>
        <v/>
      </c>
      <c r="AR48" s="130" t="str">
        <f t="shared" si="3"/>
        <v/>
      </c>
      <c r="AS48" s="136" t="str">
        <f>IFERROR(__xludf.DUMMYFUNCTION("IF(AH48="""",,SUM(ARRAYFORMULA(IF(IFERROR(SEARCH(SPLIT(AH48,CHAR(10)),Circuits!$AO$2),0)&gt;0,0,1))))"),"")</f>
        <v/>
      </c>
      <c r="AT48" s="138" t="str">
        <f t="shared" si="4"/>
        <v/>
      </c>
      <c r="AU48" s="138" t="str">
        <f t="shared" si="5"/>
        <v/>
      </c>
      <c r="AV48" s="130" t="str">
        <f>IFERROR(__xludf.DUMMYFUNCTION("IF(AI48="""",,TEXTJOIN("", "",TRUE,ARRAYFORMULA(VLOOKUP(SPLIT(AI48,"";""&amp;CHAR(10)),AE:AT,16,FALSE))))"),"")</f>
        <v/>
      </c>
      <c r="AW48" s="130" t="str">
        <f>IFERROR(__xludf.DUMMYFUNCTION("IF(ISBLANK(BK48),,TEXTJOIN("", "",TRUE,ARRAYFORMULA(VLOOKUP(IFERROR(REGEXEXTRACT(SPLIT(BK48,"";""&amp;CHAR(10)),""\[(.+)\]"")),AE:AT,16,false))))"),"")</f>
        <v/>
      </c>
      <c r="AX48" s="139" t="str">
        <f t="shared" si="6"/>
        <v/>
      </c>
      <c r="AY48" s="139" t="str">
        <f t="shared" si="7"/>
        <v/>
      </c>
      <c r="AZ48" s="106" t="str">
        <f>IFERROR(__xludf.DUMMYFUNCTION("IF(ISBLANK(AD48), BC48, TEXTJOIN(CHAR(10) &amp; CHAR(10), TRUE, ARRAYFORMULA(VLOOKUP(SPLIT(AD48, "";"" &amp; CHAR(10)), $AC:$AY, 23, FALSE))))"),"")</f>
        <v/>
      </c>
      <c r="BA48" s="140" t="s">
        <v>66</v>
      </c>
      <c r="BB48" s="190"/>
      <c r="BC48" s="196"/>
      <c r="BD48" s="106" t="str">
        <f>IFERROR(__xludf.DUMMYFUNCTION("IF(IFERROR(SEARCH(""&lt;&lt;mechanism to realize the capability&gt;&gt;"",BA48),0)=0,
 ""!! Error !! “Capability&amp;Mechanism” column: Invalid Separator:"" &amp; CHAR(10) &amp; ""Insert separator “&lt;&lt;mechanism to realize the capability&gt;&gt;.”"",
 IF(
  LEN(TRIM(CLEAN(
    INDEX(
  "&amp;"    SPLIT(BA48,""&lt;&lt;mechanism to realize the capability&gt;&gt;"",FALSE,FALSE),
      1
    )
  )))=0,
  ""!! Error !! “Capability&amp;Mechanism” column: No Capability:""  &amp; CHAR(10) &amp; ""Describe Capability before separator."",
  INDEX(
    SPLIT(BA48,""&lt;&lt;mechanism "&amp;"to realize the capability&gt;&gt;"",FALSE,FALSE),
    1
  )
 )
)
"),"!! Error !! “Capability&amp;Mechanism” column: No Capability:
Describe Capability before separator.")</f>
        <v>!! Error !! “Capability&amp;Mechanism” column: No Capability:
Describe Capability before separator.</v>
      </c>
      <c r="BE48" s="190"/>
      <c r="BF48" s="195"/>
      <c r="BG48" s="42"/>
      <c r="BH48" s="190"/>
      <c r="BI48" s="196"/>
      <c r="BJ48" s="42"/>
      <c r="BK48" s="42"/>
      <c r="BL48" s="203"/>
      <c r="BM48" s="203"/>
      <c r="BN48" s="42"/>
      <c r="BO48" s="42"/>
      <c r="BP48" s="143"/>
      <c r="BQ48" s="143"/>
      <c r="BR48" s="192"/>
      <c r="BS48" s="192"/>
      <c r="BT48" s="192"/>
      <c r="BU48" s="192"/>
      <c r="BV48" s="192"/>
      <c r="BW48" s="192"/>
      <c r="BX48" s="146" t="str">
        <f t="shared" si="8"/>
        <v/>
      </c>
    </row>
    <row r="49">
      <c r="A49" s="106" t="str">
        <f t="shared" si="1"/>
        <v/>
      </c>
      <c r="B49" s="183" t="str">
        <f t="array" ref="B49">IF(ISBLANK($AE49), "-",INDEX(Circuits!A:A,SUMPRODUCT(EXACT($AE49,Circuits!$A:$A)*ROW(Circuits!$A:$A))))</f>
        <v>-</v>
      </c>
      <c r="C49" s="183" t="str">
        <f t="array" ref="C49">IF(ISBLANK($AE49), "-",INDEX(Circuits!B:B,SUMPRODUCT(EXACT($AE49,Circuits!$A:$A)*ROW(Circuits!$A:$A))))</f>
        <v>-</v>
      </c>
      <c r="D49" s="183" t="str">
        <f t="array" ref="D49">IF(ISBLANK($AE49), "-",INDEX(Circuits!C:C,SUMPRODUCT(EXACT($AE49,Circuits!$A:$A)*ROW(Circuits!$A:$A))))</f>
        <v>-</v>
      </c>
      <c r="E49" s="183" t="str">
        <f t="array" ref="E49">IF(ISBLANK($AE49), "-",INDEX(Circuits!D:D,SUMPRODUCT(EXACT($AE49,Circuits!$A:$A)*ROW(Circuits!$A:$A))))</f>
        <v>-</v>
      </c>
      <c r="F49" s="183" t="str">
        <f t="array" ref="F49">IF(ISBLANK($AE49), "-",INDEX(Circuits!E:E,SUMPRODUCT(EXACT($AE49,Circuits!$A:$A)*ROW(Circuits!$A:$A))))</f>
        <v>-</v>
      </c>
      <c r="G49" s="183" t="str">
        <f t="array" ref="G49">IF(ISBLANK($AE49), "-",INDEX(Circuits!F:F,SUMPRODUCT(EXACT($AE49,Circuits!$A:$A)*ROW(Circuits!$A:$A))))</f>
        <v>-</v>
      </c>
      <c r="H49" s="183" t="str">
        <f t="array" ref="H49">IF(ISBLANK($AE49), "-",INDEX(Circuits!G:G,SUMPRODUCT(EXACT($AE49,Circuits!$A:$A)*ROW(Circuits!$A:$A))))</f>
        <v>-</v>
      </c>
      <c r="I49" s="183" t="str">
        <f t="array" ref="I49">IF(ISBLANK($AE49), "-",INDEX(Circuits!H:H,SUMPRODUCT(EXACT($AE49,Circuits!$A:$A)*ROW(Circuits!$A:$A))))</f>
        <v>-</v>
      </c>
      <c r="J49" s="183" t="str">
        <f t="array" ref="J49">IF(ISBLANK($AE49), "-",INDEX(Circuits!I:I,SUMPRODUCT(EXACT($AE49,Circuits!$A:$A)*ROW(Circuits!$A:$A))))</f>
        <v>-</v>
      </c>
      <c r="K49" s="183" t="str">
        <f t="array" ref="K49">IF(ISBLANK($AE49), "-",INDEX(Circuits!J:J,SUMPRODUCT(EXACT($AE49,Circuits!$A:$A)*ROW(Circuits!$A:$A))))</f>
        <v>-</v>
      </c>
      <c r="L49" s="183" t="str">
        <f t="array" ref="L49">IF(ISBLANK($AE49), "-",INDEX(Circuits!K:K,SUMPRODUCT(EXACT($AE49,Circuits!$A:$A)*ROW(Circuits!$A:$A))))</f>
        <v>-</v>
      </c>
      <c r="M49" s="183" t="str">
        <f t="array" ref="M49">IF(ISBLANK($AE49), "-",INDEX(Circuits!L:L,SUMPRODUCT(EXACT($AE49,Circuits!$A:$A)*ROW(Circuits!$A:$A))))</f>
        <v>-</v>
      </c>
      <c r="N49" s="183" t="str">
        <f t="array" ref="N49">IF(ISBLANK($AE49), "-",INDEX(Circuits!M:M,SUMPRODUCT(EXACT($AE49,Circuits!$A:$A)*ROW(Circuits!$A:$A))))</f>
        <v>-</v>
      </c>
      <c r="O49" s="183" t="str">
        <f t="array" ref="O49">IF(ISBLANK($AE49), "-",INDEX(Circuits!N:N,SUMPRODUCT(EXACT($AE49,Circuits!$A:$A)*ROW(Circuits!$A:$A))))</f>
        <v>-</v>
      </c>
      <c r="P49" s="183" t="str">
        <f t="array" ref="P49">IF(ISBLANK($AE49), "-",INDEX(Circuits!O:O,SUMPRODUCT(EXACT($AE49,Circuits!$A:$A)*ROW(Circuits!$A:$A))))</f>
        <v>-</v>
      </c>
      <c r="Q49" s="183" t="str">
        <f t="array" ref="Q49">IF(ISBLANK($AE49), "-",INDEX(Circuits!P:P,SUMPRODUCT(EXACT($AE49,Circuits!$A:$A)*ROW(Circuits!$A:$A))))</f>
        <v>-</v>
      </c>
      <c r="R49" s="183" t="str">
        <f t="array" ref="R49">IF(ISBLANK($AE49), "-",INDEX(Circuits!Q:Q,SUMPRODUCT(EXACT($AE49,Circuits!$A:$A)*ROW(Circuits!$A:$A))))</f>
        <v>-</v>
      </c>
      <c r="S49" s="183" t="str">
        <f t="array" ref="S49">IF(ISBLANK($AE49), "-",INDEX(Circuits!R:R,SUMPRODUCT(EXACT($AE49,Circuits!$A:$A)*ROW(Circuits!$A:$A))))</f>
        <v>-</v>
      </c>
      <c r="T49" s="183" t="str">
        <f t="array" ref="T49">IF(ISBLANK($AE49), "-",INDEX(Circuits!S:S,SUMPRODUCT(EXACT($AE49,Circuits!$A:$A)*ROW(Circuits!$A:$A))))</f>
        <v>-</v>
      </c>
      <c r="U49" s="183" t="str">
        <f t="array" ref="U49">IF(ISBLANK($AE49), "-",INDEX(Circuits!T:T,SUMPRODUCT(EXACT($AE49,Circuits!$A:$A)*ROW(Circuits!$A:$A))))</f>
        <v>-</v>
      </c>
      <c r="V49" s="183" t="str">
        <f t="array" ref="V49">IF(ISBLANK($AE49), "-",INDEX(Circuits!U:U,SUMPRODUCT(EXACT($AE49,Circuits!$A:$A)*ROW(Circuits!$A:$A))))</f>
        <v>-</v>
      </c>
      <c r="W49" s="183" t="str">
        <f t="array" ref="W49">IF(ISBLANK($AE49), "-",INDEX(Circuits!V:V,SUMPRODUCT(EXACT($AE49,Circuits!$A:$A)*ROW(Circuits!$A:$A))))</f>
        <v>-</v>
      </c>
      <c r="X49" s="183" t="str">
        <f t="array" ref="X49">IF(ISBLANK($AE49), "-",INDEX(Circuits!W:W,SUMPRODUCT(EXACT($AE49,Circuits!$A:$A)*ROW(Circuits!$A:$A))))</f>
        <v>-</v>
      </c>
      <c r="Y49" s="183" t="str">
        <f t="array" ref="Y49">IF(ISBLANK($AE49), "-",INDEX(Circuits!X:X,SUMPRODUCT(EXACT($AE49,Circuits!$A:$A)*ROW(Circuits!$A:$A))))</f>
        <v>-</v>
      </c>
      <c r="Z49" s="108" t="str">
        <f>IFERROR(__xludf.DUMMYFUNCTION("IFNA(CONCATENATE(UNIQUE(FILTER(Connections!R:R,Connections!A:A=B49))),""-"")"),"-")</f>
        <v>-</v>
      </c>
      <c r="AA49" s="119" t="str">
        <f t="array" ref="AA49">IF(ISBLANK($AE49), "-",INDEX(Circuits!Y:Y,SUMPRODUCT(EXACT($AE49,Circuits!$A:$A)*ROW(Circuits!$A:$A))))</f>
        <v>-</v>
      </c>
      <c r="AB49" s="121" t="str">
        <f t="array" ref="AB49">IF(ISBLANK($AE49), "-",INDEX(Circuits!Z:Z,SUMPRODUCT(EXACT($AE49,Circuits!$A:$A)*ROW(Circuits!$A:$A))))</f>
        <v>-</v>
      </c>
      <c r="AC49" s="194"/>
      <c r="AD49" s="194"/>
      <c r="AE49" s="40"/>
      <c r="AF49" s="43"/>
      <c r="AG49" s="126" t="str">
        <f>IFERROR(__xludf.DUMMYFUNCTION("IF(ISBLANK(AF49), """", TEXTJOIN(CHAR(10),TRUE,ARRAYFORMULA(IF(ISERROR(SEARCH(SPLIT(AF49, "";""), $Z49)), ""x"", ""-""))))"),"")</f>
        <v/>
      </c>
      <c r="AH49" s="127" t="str">
        <f>IFERROR(__xludf.DUMMYFUNCTION("IF(ISBLANK(AK49), """", TEXTJOIN("";"" &amp; CHAR(10), TRUE, UNIQUE(SPLIT(AK49, "";"" &amp; CHAR(10)), TRUE))&amp;"";"")"),"")</f>
        <v/>
      </c>
      <c r="AI49" s="128" t="str">
        <f>IFERROR(__xludf.DUMMYFUNCTION("IF(ISBLANK(AD49), IF(ISBLANK(AE49),,IFNA(TEXTJOIN("";"" &amp; CHAR(10), TRUE, FILTER(AE:AE, SEARCH(AE49&amp;"";"", AJ:AJ)))&amp;"";"", """")), TEXTJOIN("";"" &amp; CHAR(10), TRUE, UNIQUE(SPLIT(AH49 &amp; "";"" &amp; AH49 &amp; "";"" &amp; AL49, "";"" &amp; CHAR(10)), TRUE, TRUE))&amp;"";"")"),"")</f>
        <v/>
      </c>
      <c r="AJ49" s="126" t="str">
        <f>IFERROR(__xludf.DUMMYFUNCTION("IF(AN49="""", """", TEXTJOIN("";"" &amp; CHAR(10), TRUE, UNIQUE(SPLIT(AH49 &amp; "";"" &amp; AH49 &amp; "";"" &amp; AN49, "";"" &amp; CHAR(10)), TRUE, TRUE))&amp;"";"")"),"")</f>
        <v/>
      </c>
      <c r="AK49" s="129" t="str">
        <f>IFERROR(__xludf.DUMMYFUNCTION("IF(ISBLANK(AD49), IF(ISBLANK(AE49),,AE49 &amp; "";""), TEXTJOIN(CHAR(10), TRUE, ARRAYFORMULA(VLOOKUP(SPLIT(AD49, "";"" &amp; CHAR(10)), $AC:$AH, 6, FALSE))))"),"")</f>
        <v/>
      </c>
      <c r="AL49" s="130" t="str">
        <f>IFERROR(__xludf.DUMMYFUNCTION("IF(AM49="""", """", TEXTJOIN("";"" &amp; CHAR(10), TRUE, UNIQUE(SPLIT(AM49, "";"" &amp; CHAR(10)), TRUE))&amp;"";"")"),"")</f>
        <v/>
      </c>
      <c r="AM49" s="130" t="str">
        <f>IFERROR(__xludf.DUMMYFUNCTION("IF(ISBLANK(AD49), """", TEXTJOIN(CHAR(10), TRUE, ARRAYFORMULA(VLOOKUP(SPLIT(AH49, "";"" &amp; CHAR(10)), $AE:$AI, 5, FALSE)), AF49))"),"")</f>
        <v/>
      </c>
      <c r="AN49" s="132" t="str">
        <f>IFERROR(__xludf.DUMMYFUNCTION("IF(ISBLANK(AO49), """", TEXTJOIN("";"" &amp; CHAR(10), TRUE, UNIQUE(SPLIT(AO49, "";"" &amp; CHAR(10)), TRUE))&amp;"";"")"),"")</f>
        <v/>
      </c>
      <c r="AO49" s="134" t="str">
        <f>IFERROR(__xludf.DUMMYFUNCTION("IF(ISBLANK(AD49), AF49, TEXTJOIN(CHAR(10), TRUE, ARRAYFORMULA(VLOOKUP(SPLIT(AD49, "";"" &amp; CHAR(10)), $AC:$AN, 12, FALSE))))"),"")</f>
        <v/>
      </c>
      <c r="AP49" s="130" t="str">
        <f>IF(ISBLANK(AE49),,IF(IFERROR(SEARCH(AE49&amp;";",Circuits!$AO$2),0),TRUE,FALSE))</f>
        <v/>
      </c>
      <c r="AQ49" s="130" t="str">
        <f t="shared" si="2"/>
        <v/>
      </c>
      <c r="AR49" s="130" t="str">
        <f t="shared" si="3"/>
        <v/>
      </c>
      <c r="AS49" s="136" t="str">
        <f>IFERROR(__xludf.DUMMYFUNCTION("IF(AH49="""",,SUM(ARRAYFORMULA(IF(IFERROR(SEARCH(SPLIT(AH49,CHAR(10)),Circuits!$AO$2),0)&gt;0,0,1))))"),"")</f>
        <v/>
      </c>
      <c r="AT49" s="138" t="str">
        <f t="shared" si="4"/>
        <v/>
      </c>
      <c r="AU49" s="138" t="str">
        <f t="shared" si="5"/>
        <v/>
      </c>
      <c r="AV49" s="130" t="str">
        <f>IFERROR(__xludf.DUMMYFUNCTION("IF(AI49="""",,TEXTJOIN("", "",TRUE,ARRAYFORMULA(VLOOKUP(SPLIT(AI49,"";""&amp;CHAR(10)),AE:AT,16,FALSE))))"),"")</f>
        <v/>
      </c>
      <c r="AW49" s="130" t="str">
        <f>IFERROR(__xludf.DUMMYFUNCTION("IF(ISBLANK(BK49),,TEXTJOIN("", "",TRUE,ARRAYFORMULA(VLOOKUP(IFERROR(REGEXEXTRACT(SPLIT(BK49,"";""&amp;CHAR(10)),""\[(.+)\]"")),AE:AT,16,false))))"),"")</f>
        <v/>
      </c>
      <c r="AX49" s="139" t="str">
        <f t="shared" si="6"/>
        <v/>
      </c>
      <c r="AY49" s="139" t="str">
        <f t="shared" si="7"/>
        <v/>
      </c>
      <c r="AZ49" s="106" t="str">
        <f>IFERROR(__xludf.DUMMYFUNCTION("IF(ISBLANK(AD49), BC49, TEXTJOIN(CHAR(10) &amp; CHAR(10), TRUE, ARRAYFORMULA(VLOOKUP(SPLIT(AD49, "";"" &amp; CHAR(10)), $AC:$AY, 23, FALSE))))"),"")</f>
        <v/>
      </c>
      <c r="BA49" s="140" t="s">
        <v>66</v>
      </c>
      <c r="BB49" s="190"/>
      <c r="BC49" s="196"/>
      <c r="BD49" s="106" t="str">
        <f>IFERROR(__xludf.DUMMYFUNCTION("IF(IFERROR(SEARCH(""&lt;&lt;mechanism to realize the capability&gt;&gt;"",BA49),0)=0,
 ""!! Error !! “Capability&amp;Mechanism” column: Invalid Separator:"" &amp; CHAR(10) &amp; ""Insert separator “&lt;&lt;mechanism to realize the capability&gt;&gt;.”"",
 IF(
  LEN(TRIM(CLEAN(
    INDEX(
  "&amp;"    SPLIT(BA49,""&lt;&lt;mechanism to realize the capability&gt;&gt;"",FALSE,FALSE),
      1
    )
  )))=0,
  ""!! Error !! “Capability&amp;Mechanism” column: No Capability:""  &amp; CHAR(10) &amp; ""Describe Capability before separator."",
  INDEX(
    SPLIT(BA49,""&lt;&lt;mechanism "&amp;"to realize the capability&gt;&gt;"",FALSE,FALSE),
    1
  )
 )
)
"),"!! Error !! “Capability&amp;Mechanism” column: No Capability:
Describe Capability before separator.")</f>
        <v>!! Error !! “Capability&amp;Mechanism” column: No Capability:
Describe Capability before separator.</v>
      </c>
      <c r="BE49" s="190"/>
      <c r="BF49" s="195"/>
      <c r="BG49" s="42"/>
      <c r="BH49" s="190"/>
      <c r="BI49" s="196"/>
      <c r="BJ49" s="42"/>
      <c r="BK49" s="42"/>
      <c r="BL49" s="203"/>
      <c r="BM49" s="203"/>
      <c r="BN49" s="42"/>
      <c r="BO49" s="42"/>
      <c r="BP49" s="143"/>
      <c r="BQ49" s="143"/>
      <c r="BR49" s="192"/>
      <c r="BS49" s="192"/>
      <c r="BT49" s="192"/>
      <c r="BU49" s="192"/>
      <c r="BV49" s="192"/>
      <c r="BW49" s="192"/>
      <c r="BX49" s="146" t="str">
        <f t="shared" si="8"/>
        <v/>
      </c>
    </row>
    <row r="50">
      <c r="A50" s="106" t="str">
        <f t="shared" si="1"/>
        <v/>
      </c>
      <c r="B50" s="183" t="str">
        <f t="array" ref="B50">IF(ISBLANK($AE50), "-",INDEX(Circuits!A:A,SUMPRODUCT(EXACT($AE50,Circuits!$A:$A)*ROW(Circuits!$A:$A))))</f>
        <v>-</v>
      </c>
      <c r="C50" s="183" t="str">
        <f t="array" ref="C50">IF(ISBLANK($AE50), "-",INDEX(Circuits!B:B,SUMPRODUCT(EXACT($AE50,Circuits!$A:$A)*ROW(Circuits!$A:$A))))</f>
        <v>-</v>
      </c>
      <c r="D50" s="183" t="str">
        <f t="array" ref="D50">IF(ISBLANK($AE50), "-",INDEX(Circuits!C:C,SUMPRODUCT(EXACT($AE50,Circuits!$A:$A)*ROW(Circuits!$A:$A))))</f>
        <v>-</v>
      </c>
      <c r="E50" s="183" t="str">
        <f t="array" ref="E50">IF(ISBLANK($AE50), "-",INDEX(Circuits!D:D,SUMPRODUCT(EXACT($AE50,Circuits!$A:$A)*ROW(Circuits!$A:$A))))</f>
        <v>-</v>
      </c>
      <c r="F50" s="183" t="str">
        <f t="array" ref="F50">IF(ISBLANK($AE50), "-",INDEX(Circuits!E:E,SUMPRODUCT(EXACT($AE50,Circuits!$A:$A)*ROW(Circuits!$A:$A))))</f>
        <v>-</v>
      </c>
      <c r="G50" s="183" t="str">
        <f t="array" ref="G50">IF(ISBLANK($AE50), "-",INDEX(Circuits!F:F,SUMPRODUCT(EXACT($AE50,Circuits!$A:$A)*ROW(Circuits!$A:$A))))</f>
        <v>-</v>
      </c>
      <c r="H50" s="183" t="str">
        <f t="array" ref="H50">IF(ISBLANK($AE50), "-",INDEX(Circuits!G:G,SUMPRODUCT(EXACT($AE50,Circuits!$A:$A)*ROW(Circuits!$A:$A))))</f>
        <v>-</v>
      </c>
      <c r="I50" s="183" t="str">
        <f t="array" ref="I50">IF(ISBLANK($AE50), "-",INDEX(Circuits!H:H,SUMPRODUCT(EXACT($AE50,Circuits!$A:$A)*ROW(Circuits!$A:$A))))</f>
        <v>-</v>
      </c>
      <c r="J50" s="183" t="str">
        <f t="array" ref="J50">IF(ISBLANK($AE50), "-",INDEX(Circuits!I:I,SUMPRODUCT(EXACT($AE50,Circuits!$A:$A)*ROW(Circuits!$A:$A))))</f>
        <v>-</v>
      </c>
      <c r="K50" s="183" t="str">
        <f t="array" ref="K50">IF(ISBLANK($AE50), "-",INDEX(Circuits!J:J,SUMPRODUCT(EXACT($AE50,Circuits!$A:$A)*ROW(Circuits!$A:$A))))</f>
        <v>-</v>
      </c>
      <c r="L50" s="183" t="str">
        <f t="array" ref="L50">IF(ISBLANK($AE50), "-",INDEX(Circuits!K:K,SUMPRODUCT(EXACT($AE50,Circuits!$A:$A)*ROW(Circuits!$A:$A))))</f>
        <v>-</v>
      </c>
      <c r="M50" s="183" t="str">
        <f t="array" ref="M50">IF(ISBLANK($AE50), "-",INDEX(Circuits!L:L,SUMPRODUCT(EXACT($AE50,Circuits!$A:$A)*ROW(Circuits!$A:$A))))</f>
        <v>-</v>
      </c>
      <c r="N50" s="183" t="str">
        <f t="array" ref="N50">IF(ISBLANK($AE50), "-",INDEX(Circuits!M:M,SUMPRODUCT(EXACT($AE50,Circuits!$A:$A)*ROW(Circuits!$A:$A))))</f>
        <v>-</v>
      </c>
      <c r="O50" s="183" t="str">
        <f t="array" ref="O50">IF(ISBLANK($AE50), "-",INDEX(Circuits!N:N,SUMPRODUCT(EXACT($AE50,Circuits!$A:$A)*ROW(Circuits!$A:$A))))</f>
        <v>-</v>
      </c>
      <c r="P50" s="183" t="str">
        <f t="array" ref="P50">IF(ISBLANK($AE50), "-",INDEX(Circuits!O:O,SUMPRODUCT(EXACT($AE50,Circuits!$A:$A)*ROW(Circuits!$A:$A))))</f>
        <v>-</v>
      </c>
      <c r="Q50" s="183" t="str">
        <f t="array" ref="Q50">IF(ISBLANK($AE50), "-",INDEX(Circuits!P:P,SUMPRODUCT(EXACT($AE50,Circuits!$A:$A)*ROW(Circuits!$A:$A))))</f>
        <v>-</v>
      </c>
      <c r="R50" s="183" t="str">
        <f t="array" ref="R50">IF(ISBLANK($AE50), "-",INDEX(Circuits!Q:Q,SUMPRODUCT(EXACT($AE50,Circuits!$A:$A)*ROW(Circuits!$A:$A))))</f>
        <v>-</v>
      </c>
      <c r="S50" s="183" t="str">
        <f t="array" ref="S50">IF(ISBLANK($AE50), "-",INDEX(Circuits!R:R,SUMPRODUCT(EXACT($AE50,Circuits!$A:$A)*ROW(Circuits!$A:$A))))</f>
        <v>-</v>
      </c>
      <c r="T50" s="183" t="str">
        <f t="array" ref="T50">IF(ISBLANK($AE50), "-",INDEX(Circuits!S:S,SUMPRODUCT(EXACT($AE50,Circuits!$A:$A)*ROW(Circuits!$A:$A))))</f>
        <v>-</v>
      </c>
      <c r="U50" s="183" t="str">
        <f t="array" ref="U50">IF(ISBLANK($AE50), "-",INDEX(Circuits!T:T,SUMPRODUCT(EXACT($AE50,Circuits!$A:$A)*ROW(Circuits!$A:$A))))</f>
        <v>-</v>
      </c>
      <c r="V50" s="183" t="str">
        <f t="array" ref="V50">IF(ISBLANK($AE50), "-",INDEX(Circuits!U:U,SUMPRODUCT(EXACT($AE50,Circuits!$A:$A)*ROW(Circuits!$A:$A))))</f>
        <v>-</v>
      </c>
      <c r="W50" s="183" t="str">
        <f t="array" ref="W50">IF(ISBLANK($AE50), "-",INDEX(Circuits!V:V,SUMPRODUCT(EXACT($AE50,Circuits!$A:$A)*ROW(Circuits!$A:$A))))</f>
        <v>-</v>
      </c>
      <c r="X50" s="183" t="str">
        <f t="array" ref="X50">IF(ISBLANK($AE50), "-",INDEX(Circuits!W:W,SUMPRODUCT(EXACT($AE50,Circuits!$A:$A)*ROW(Circuits!$A:$A))))</f>
        <v>-</v>
      </c>
      <c r="Y50" s="183" t="str">
        <f t="array" ref="Y50">IF(ISBLANK($AE50), "-",INDEX(Circuits!X:X,SUMPRODUCT(EXACT($AE50,Circuits!$A:$A)*ROW(Circuits!$A:$A))))</f>
        <v>-</v>
      </c>
      <c r="Z50" s="108" t="str">
        <f>IFERROR(__xludf.DUMMYFUNCTION("IFNA(CONCATENATE(UNIQUE(FILTER(Connections!R:R,Connections!A:A=B50))),""-"")"),"-")</f>
        <v>-</v>
      </c>
      <c r="AA50" s="119" t="str">
        <f t="array" ref="AA50">IF(ISBLANK($AE50), "-",INDEX(Circuits!Y:Y,SUMPRODUCT(EXACT($AE50,Circuits!$A:$A)*ROW(Circuits!$A:$A))))</f>
        <v>-</v>
      </c>
      <c r="AB50" s="121" t="str">
        <f t="array" ref="AB50">IF(ISBLANK($AE50), "-",INDEX(Circuits!Z:Z,SUMPRODUCT(EXACT($AE50,Circuits!$A:$A)*ROW(Circuits!$A:$A))))</f>
        <v>-</v>
      </c>
      <c r="AC50" s="194"/>
      <c r="AD50" s="194"/>
      <c r="AE50" s="40"/>
      <c r="AF50" s="43"/>
      <c r="AG50" s="126" t="str">
        <f>IFERROR(__xludf.DUMMYFUNCTION("IF(ISBLANK(AF50), """", TEXTJOIN(CHAR(10),TRUE,ARRAYFORMULA(IF(ISERROR(SEARCH(SPLIT(AF50, "";""), $Z50)), ""x"", ""-""))))"),"")</f>
        <v/>
      </c>
      <c r="AH50" s="127" t="str">
        <f>IFERROR(__xludf.DUMMYFUNCTION("IF(ISBLANK(AK50), """", TEXTJOIN("";"" &amp; CHAR(10), TRUE, UNIQUE(SPLIT(AK50, "";"" &amp; CHAR(10)), TRUE))&amp;"";"")"),"")</f>
        <v/>
      </c>
      <c r="AI50" s="128" t="str">
        <f>IFERROR(__xludf.DUMMYFUNCTION("IF(ISBLANK(AD50), IF(ISBLANK(AE50),,IFNA(TEXTJOIN("";"" &amp; CHAR(10), TRUE, FILTER(AE:AE, SEARCH(AE50&amp;"";"", AJ:AJ)))&amp;"";"", """")), TEXTJOIN("";"" &amp; CHAR(10), TRUE, UNIQUE(SPLIT(AH50 &amp; "";"" &amp; AH50 &amp; "";"" &amp; AL50, "";"" &amp; CHAR(10)), TRUE, TRUE))&amp;"";"")"),"")</f>
        <v/>
      </c>
      <c r="AJ50" s="126" t="str">
        <f>IFERROR(__xludf.DUMMYFUNCTION("IF(AN50="""", """", TEXTJOIN("";"" &amp; CHAR(10), TRUE, UNIQUE(SPLIT(AH50 &amp; "";"" &amp; AH50 &amp; "";"" &amp; AN50, "";"" &amp; CHAR(10)), TRUE, TRUE))&amp;"";"")"),"")</f>
        <v/>
      </c>
      <c r="AK50" s="129" t="str">
        <f>IFERROR(__xludf.DUMMYFUNCTION("IF(ISBLANK(AD50), IF(ISBLANK(AE50),,AE50 &amp; "";""), TEXTJOIN(CHAR(10), TRUE, ARRAYFORMULA(VLOOKUP(SPLIT(AD50, "";"" &amp; CHAR(10)), $AC:$AH, 6, FALSE))))"),"")</f>
        <v/>
      </c>
      <c r="AL50" s="130" t="str">
        <f>IFERROR(__xludf.DUMMYFUNCTION("IF(AM50="""", """", TEXTJOIN("";"" &amp; CHAR(10), TRUE, UNIQUE(SPLIT(AM50, "";"" &amp; CHAR(10)), TRUE))&amp;"";"")"),"")</f>
        <v/>
      </c>
      <c r="AM50" s="130" t="str">
        <f>IFERROR(__xludf.DUMMYFUNCTION("IF(ISBLANK(AD50), """", TEXTJOIN(CHAR(10), TRUE, ARRAYFORMULA(VLOOKUP(SPLIT(AH50, "";"" &amp; CHAR(10)), $AE:$AI, 5, FALSE)), AF50))"),"")</f>
        <v/>
      </c>
      <c r="AN50" s="132" t="str">
        <f>IFERROR(__xludf.DUMMYFUNCTION("IF(ISBLANK(AO50), """", TEXTJOIN("";"" &amp; CHAR(10), TRUE, UNIQUE(SPLIT(AO50, "";"" &amp; CHAR(10)), TRUE))&amp;"";"")"),"")</f>
        <v/>
      </c>
      <c r="AO50" s="134" t="str">
        <f>IFERROR(__xludf.DUMMYFUNCTION("IF(ISBLANK(AD50), AF50, TEXTJOIN(CHAR(10), TRUE, ARRAYFORMULA(VLOOKUP(SPLIT(AD50, "";"" &amp; CHAR(10)), $AC:$AN, 12, FALSE))))"),"")</f>
        <v/>
      </c>
      <c r="AP50" s="130" t="str">
        <f>IF(ISBLANK(AE50),,IF(IFERROR(SEARCH(AE50&amp;";",Circuits!$AO$2),0),TRUE,FALSE))</f>
        <v/>
      </c>
      <c r="AQ50" s="130" t="str">
        <f t="shared" si="2"/>
        <v/>
      </c>
      <c r="AR50" s="130" t="str">
        <f t="shared" si="3"/>
        <v/>
      </c>
      <c r="AS50" s="136" t="str">
        <f>IFERROR(__xludf.DUMMYFUNCTION("IF(AH50="""",,SUM(ARRAYFORMULA(IF(IFERROR(SEARCH(SPLIT(AH50,CHAR(10)),Circuits!$AO$2),0)&gt;0,0,1))))"),"")</f>
        <v/>
      </c>
      <c r="AT50" s="138" t="str">
        <f t="shared" si="4"/>
        <v/>
      </c>
      <c r="AU50" s="138" t="str">
        <f t="shared" si="5"/>
        <v/>
      </c>
      <c r="AV50" s="130" t="str">
        <f>IFERROR(__xludf.DUMMYFUNCTION("IF(AI50="""",,TEXTJOIN("", "",TRUE,ARRAYFORMULA(VLOOKUP(SPLIT(AI50,"";""&amp;CHAR(10)),AE:AT,16,FALSE))))"),"")</f>
        <v/>
      </c>
      <c r="AW50" s="130" t="str">
        <f>IFERROR(__xludf.DUMMYFUNCTION("IF(ISBLANK(BK50),,TEXTJOIN("", "",TRUE,ARRAYFORMULA(VLOOKUP(IFERROR(REGEXEXTRACT(SPLIT(BK50,"";""&amp;CHAR(10)),""\[(.+)\]"")),AE:AT,16,false))))"),"")</f>
        <v/>
      </c>
      <c r="AX50" s="139" t="str">
        <f t="shared" si="6"/>
        <v/>
      </c>
      <c r="AY50" s="139" t="str">
        <f t="shared" si="7"/>
        <v/>
      </c>
      <c r="AZ50" s="106" t="str">
        <f>IFERROR(__xludf.DUMMYFUNCTION("IF(ISBLANK(AD50), BC50, TEXTJOIN(CHAR(10) &amp; CHAR(10), TRUE, ARRAYFORMULA(VLOOKUP(SPLIT(AD50, "";"" &amp; CHAR(10)), $AC:$AY, 23, FALSE))))"),"")</f>
        <v/>
      </c>
      <c r="BA50" s="140" t="s">
        <v>66</v>
      </c>
      <c r="BB50" s="190"/>
      <c r="BC50" s="196"/>
      <c r="BD50" s="106" t="str">
        <f>IFERROR(__xludf.DUMMYFUNCTION("IF(IFERROR(SEARCH(""&lt;&lt;mechanism to realize the capability&gt;&gt;"",BA50),0)=0,
 ""!! Error !! “Capability&amp;Mechanism” column: Invalid Separator:"" &amp; CHAR(10) &amp; ""Insert separator “&lt;&lt;mechanism to realize the capability&gt;&gt;.”"",
 IF(
  LEN(TRIM(CLEAN(
    INDEX(
  "&amp;"    SPLIT(BA50,""&lt;&lt;mechanism to realize the capability&gt;&gt;"",FALSE,FALSE),
      1
    )
  )))=0,
  ""!! Error !! “Capability&amp;Mechanism” column: No Capability:""  &amp; CHAR(10) &amp; ""Describe Capability before separator."",
  INDEX(
    SPLIT(BA50,""&lt;&lt;mechanism "&amp;"to realize the capability&gt;&gt;"",FALSE,FALSE),
    1
  )
 )
)
"),"!! Error !! “Capability&amp;Mechanism” column: No Capability:
Describe Capability before separator.")</f>
        <v>!! Error !! “Capability&amp;Mechanism” column: No Capability:
Describe Capability before separator.</v>
      </c>
      <c r="BE50" s="190"/>
      <c r="BF50" s="195"/>
      <c r="BG50" s="42"/>
      <c r="BH50" s="190"/>
      <c r="BI50" s="196"/>
      <c r="BJ50" s="42"/>
      <c r="BK50" s="42"/>
      <c r="BL50" s="203"/>
      <c r="BM50" s="203"/>
      <c r="BN50" s="42"/>
      <c r="BO50" s="42"/>
      <c r="BP50" s="143"/>
      <c r="BQ50" s="143"/>
      <c r="BR50" s="192"/>
      <c r="BS50" s="192"/>
      <c r="BT50" s="192"/>
      <c r="BU50" s="192"/>
      <c r="BV50" s="192"/>
      <c r="BW50" s="192"/>
      <c r="BX50" s="146" t="str">
        <f t="shared" si="8"/>
        <v/>
      </c>
    </row>
    <row r="51">
      <c r="A51" s="106" t="str">
        <f t="shared" si="1"/>
        <v/>
      </c>
      <c r="B51" s="183" t="str">
        <f t="array" ref="B51">IF(ISBLANK($AE51), "-",INDEX(Circuits!A:A,SUMPRODUCT(EXACT($AE51,Circuits!$A:$A)*ROW(Circuits!$A:$A))))</f>
        <v>-</v>
      </c>
      <c r="C51" s="183" t="str">
        <f t="array" ref="C51">IF(ISBLANK($AE51), "-",INDEX(Circuits!B:B,SUMPRODUCT(EXACT($AE51,Circuits!$A:$A)*ROW(Circuits!$A:$A))))</f>
        <v>-</v>
      </c>
      <c r="D51" s="183" t="str">
        <f t="array" ref="D51">IF(ISBLANK($AE51), "-",INDEX(Circuits!C:C,SUMPRODUCT(EXACT($AE51,Circuits!$A:$A)*ROW(Circuits!$A:$A))))</f>
        <v>-</v>
      </c>
      <c r="E51" s="183" t="str">
        <f t="array" ref="E51">IF(ISBLANK($AE51), "-",INDEX(Circuits!D:D,SUMPRODUCT(EXACT($AE51,Circuits!$A:$A)*ROW(Circuits!$A:$A))))</f>
        <v>-</v>
      </c>
      <c r="F51" s="183" t="str">
        <f t="array" ref="F51">IF(ISBLANK($AE51), "-",INDEX(Circuits!E:E,SUMPRODUCT(EXACT($AE51,Circuits!$A:$A)*ROW(Circuits!$A:$A))))</f>
        <v>-</v>
      </c>
      <c r="G51" s="183" t="str">
        <f t="array" ref="G51">IF(ISBLANK($AE51), "-",INDEX(Circuits!F:F,SUMPRODUCT(EXACT($AE51,Circuits!$A:$A)*ROW(Circuits!$A:$A))))</f>
        <v>-</v>
      </c>
      <c r="H51" s="183" t="str">
        <f t="array" ref="H51">IF(ISBLANK($AE51), "-",INDEX(Circuits!G:G,SUMPRODUCT(EXACT($AE51,Circuits!$A:$A)*ROW(Circuits!$A:$A))))</f>
        <v>-</v>
      </c>
      <c r="I51" s="183" t="str">
        <f t="array" ref="I51">IF(ISBLANK($AE51), "-",INDEX(Circuits!H:H,SUMPRODUCT(EXACT($AE51,Circuits!$A:$A)*ROW(Circuits!$A:$A))))</f>
        <v>-</v>
      </c>
      <c r="J51" s="183" t="str">
        <f t="array" ref="J51">IF(ISBLANK($AE51), "-",INDEX(Circuits!I:I,SUMPRODUCT(EXACT($AE51,Circuits!$A:$A)*ROW(Circuits!$A:$A))))</f>
        <v>-</v>
      </c>
      <c r="K51" s="183" t="str">
        <f t="array" ref="K51">IF(ISBLANK($AE51), "-",INDEX(Circuits!J:J,SUMPRODUCT(EXACT($AE51,Circuits!$A:$A)*ROW(Circuits!$A:$A))))</f>
        <v>-</v>
      </c>
      <c r="L51" s="183" t="str">
        <f t="array" ref="L51">IF(ISBLANK($AE51), "-",INDEX(Circuits!K:K,SUMPRODUCT(EXACT($AE51,Circuits!$A:$A)*ROW(Circuits!$A:$A))))</f>
        <v>-</v>
      </c>
      <c r="M51" s="183" t="str">
        <f t="array" ref="M51">IF(ISBLANK($AE51), "-",INDEX(Circuits!L:L,SUMPRODUCT(EXACT($AE51,Circuits!$A:$A)*ROW(Circuits!$A:$A))))</f>
        <v>-</v>
      </c>
      <c r="N51" s="183" t="str">
        <f t="array" ref="N51">IF(ISBLANK($AE51), "-",INDEX(Circuits!M:M,SUMPRODUCT(EXACT($AE51,Circuits!$A:$A)*ROW(Circuits!$A:$A))))</f>
        <v>-</v>
      </c>
      <c r="O51" s="183" t="str">
        <f t="array" ref="O51">IF(ISBLANK($AE51), "-",INDEX(Circuits!N:N,SUMPRODUCT(EXACT($AE51,Circuits!$A:$A)*ROW(Circuits!$A:$A))))</f>
        <v>-</v>
      </c>
      <c r="P51" s="183" t="str">
        <f t="array" ref="P51">IF(ISBLANK($AE51), "-",INDEX(Circuits!O:O,SUMPRODUCT(EXACT($AE51,Circuits!$A:$A)*ROW(Circuits!$A:$A))))</f>
        <v>-</v>
      </c>
      <c r="Q51" s="183" t="str">
        <f t="array" ref="Q51">IF(ISBLANK($AE51), "-",INDEX(Circuits!P:P,SUMPRODUCT(EXACT($AE51,Circuits!$A:$A)*ROW(Circuits!$A:$A))))</f>
        <v>-</v>
      </c>
      <c r="R51" s="183" t="str">
        <f t="array" ref="R51">IF(ISBLANK($AE51), "-",INDEX(Circuits!Q:Q,SUMPRODUCT(EXACT($AE51,Circuits!$A:$A)*ROW(Circuits!$A:$A))))</f>
        <v>-</v>
      </c>
      <c r="S51" s="183" t="str">
        <f t="array" ref="S51">IF(ISBLANK($AE51), "-",INDEX(Circuits!R:R,SUMPRODUCT(EXACT($AE51,Circuits!$A:$A)*ROW(Circuits!$A:$A))))</f>
        <v>-</v>
      </c>
      <c r="T51" s="183" t="str">
        <f t="array" ref="T51">IF(ISBLANK($AE51), "-",INDEX(Circuits!S:S,SUMPRODUCT(EXACT($AE51,Circuits!$A:$A)*ROW(Circuits!$A:$A))))</f>
        <v>-</v>
      </c>
      <c r="U51" s="183" t="str">
        <f t="array" ref="U51">IF(ISBLANK($AE51), "-",INDEX(Circuits!T:T,SUMPRODUCT(EXACT($AE51,Circuits!$A:$A)*ROW(Circuits!$A:$A))))</f>
        <v>-</v>
      </c>
      <c r="V51" s="183" t="str">
        <f t="array" ref="V51">IF(ISBLANK($AE51), "-",INDEX(Circuits!U:U,SUMPRODUCT(EXACT($AE51,Circuits!$A:$A)*ROW(Circuits!$A:$A))))</f>
        <v>-</v>
      </c>
      <c r="W51" s="183" t="str">
        <f t="array" ref="W51">IF(ISBLANK($AE51), "-",INDEX(Circuits!V:V,SUMPRODUCT(EXACT($AE51,Circuits!$A:$A)*ROW(Circuits!$A:$A))))</f>
        <v>-</v>
      </c>
      <c r="X51" s="183" t="str">
        <f t="array" ref="X51">IF(ISBLANK($AE51), "-",INDEX(Circuits!W:W,SUMPRODUCT(EXACT($AE51,Circuits!$A:$A)*ROW(Circuits!$A:$A))))</f>
        <v>-</v>
      </c>
      <c r="Y51" s="183" t="str">
        <f t="array" ref="Y51">IF(ISBLANK($AE51), "-",INDEX(Circuits!X:X,SUMPRODUCT(EXACT($AE51,Circuits!$A:$A)*ROW(Circuits!$A:$A))))</f>
        <v>-</v>
      </c>
      <c r="Z51" s="108" t="str">
        <f>IFERROR(__xludf.DUMMYFUNCTION("IFNA(CONCATENATE(UNIQUE(FILTER(Connections!R:R,Connections!A:A=B51))),""-"")"),"-")</f>
        <v>-</v>
      </c>
      <c r="AA51" s="119" t="str">
        <f t="array" ref="AA51">IF(ISBLANK($AE51), "-",INDEX(Circuits!Y:Y,SUMPRODUCT(EXACT($AE51,Circuits!$A:$A)*ROW(Circuits!$A:$A))))</f>
        <v>-</v>
      </c>
      <c r="AB51" s="121" t="str">
        <f t="array" ref="AB51">IF(ISBLANK($AE51), "-",INDEX(Circuits!Z:Z,SUMPRODUCT(EXACT($AE51,Circuits!$A:$A)*ROW(Circuits!$A:$A))))</f>
        <v>-</v>
      </c>
      <c r="AC51" s="194"/>
      <c r="AD51" s="194"/>
      <c r="AE51" s="40"/>
      <c r="AF51" s="43"/>
      <c r="AG51" s="126" t="str">
        <f>IFERROR(__xludf.DUMMYFUNCTION("IF(ISBLANK(AF51), """", TEXTJOIN(CHAR(10),TRUE,ARRAYFORMULA(IF(ISERROR(SEARCH(SPLIT(AF51, "";""), $Z51)), ""x"", ""-""))))"),"")</f>
        <v/>
      </c>
      <c r="AH51" s="127" t="str">
        <f>IFERROR(__xludf.DUMMYFUNCTION("IF(ISBLANK(AK51), """", TEXTJOIN("";"" &amp; CHAR(10), TRUE, UNIQUE(SPLIT(AK51, "";"" &amp; CHAR(10)), TRUE))&amp;"";"")"),"")</f>
        <v/>
      </c>
      <c r="AI51" s="128" t="str">
        <f>IFERROR(__xludf.DUMMYFUNCTION("IF(ISBLANK(AD51), IF(ISBLANK(AE51),,IFNA(TEXTJOIN("";"" &amp; CHAR(10), TRUE, FILTER(AE:AE, SEARCH(AE51&amp;"";"", AJ:AJ)))&amp;"";"", """")), TEXTJOIN("";"" &amp; CHAR(10), TRUE, UNIQUE(SPLIT(AH51 &amp; "";"" &amp; AH51 &amp; "";"" &amp; AL51, "";"" &amp; CHAR(10)), TRUE, TRUE))&amp;"";"")"),"")</f>
        <v/>
      </c>
      <c r="AJ51" s="126" t="str">
        <f>IFERROR(__xludf.DUMMYFUNCTION("IF(AN51="""", """", TEXTJOIN("";"" &amp; CHAR(10), TRUE, UNIQUE(SPLIT(AH51 &amp; "";"" &amp; AH51 &amp; "";"" &amp; AN51, "";"" &amp; CHAR(10)), TRUE, TRUE))&amp;"";"")"),"")</f>
        <v/>
      </c>
      <c r="AK51" s="129" t="str">
        <f>IFERROR(__xludf.DUMMYFUNCTION("IF(ISBLANK(AD51), IF(ISBLANK(AE51),,AE51 &amp; "";""), TEXTJOIN(CHAR(10), TRUE, ARRAYFORMULA(VLOOKUP(SPLIT(AD51, "";"" &amp; CHAR(10)), $AC:$AH, 6, FALSE))))"),"")</f>
        <v/>
      </c>
      <c r="AL51" s="130" t="str">
        <f>IFERROR(__xludf.DUMMYFUNCTION("IF(AM51="""", """", TEXTJOIN("";"" &amp; CHAR(10), TRUE, UNIQUE(SPLIT(AM51, "";"" &amp; CHAR(10)), TRUE))&amp;"";"")"),"")</f>
        <v/>
      </c>
      <c r="AM51" s="130" t="str">
        <f>IFERROR(__xludf.DUMMYFUNCTION("IF(ISBLANK(AD51), """", TEXTJOIN(CHAR(10), TRUE, ARRAYFORMULA(VLOOKUP(SPLIT(AH51, "";"" &amp; CHAR(10)), $AE:$AI, 5, FALSE)), AF51))"),"")</f>
        <v/>
      </c>
      <c r="AN51" s="132" t="str">
        <f>IFERROR(__xludf.DUMMYFUNCTION("IF(ISBLANK(AO51), """", TEXTJOIN("";"" &amp; CHAR(10), TRUE, UNIQUE(SPLIT(AO51, "";"" &amp; CHAR(10)), TRUE))&amp;"";"")"),"")</f>
        <v/>
      </c>
      <c r="AO51" s="134" t="str">
        <f>IFERROR(__xludf.DUMMYFUNCTION("IF(ISBLANK(AD51), AF51, TEXTJOIN(CHAR(10), TRUE, ARRAYFORMULA(VLOOKUP(SPLIT(AD51, "";"" &amp; CHAR(10)), $AC:$AN, 12, FALSE))))"),"")</f>
        <v/>
      </c>
      <c r="AP51" s="130" t="str">
        <f>IF(ISBLANK(AE51),,IF(IFERROR(SEARCH(AE51&amp;";",Circuits!$AO$2),0),TRUE,FALSE))</f>
        <v/>
      </c>
      <c r="AQ51" s="130" t="str">
        <f t="shared" si="2"/>
        <v/>
      </c>
      <c r="AR51" s="130" t="str">
        <f t="shared" si="3"/>
        <v/>
      </c>
      <c r="AS51" s="136" t="str">
        <f>IFERROR(__xludf.DUMMYFUNCTION("IF(AH51="""",,SUM(ARRAYFORMULA(IF(IFERROR(SEARCH(SPLIT(AH51,CHAR(10)),Circuits!$AO$2),0)&gt;0,0,1))))"),"")</f>
        <v/>
      </c>
      <c r="AT51" s="138" t="str">
        <f t="shared" si="4"/>
        <v/>
      </c>
      <c r="AU51" s="138" t="str">
        <f t="shared" si="5"/>
        <v/>
      </c>
      <c r="AV51" s="130" t="str">
        <f>IFERROR(__xludf.DUMMYFUNCTION("IF(AI51="""",,TEXTJOIN("", "",TRUE,ARRAYFORMULA(VLOOKUP(SPLIT(AI51,"";""&amp;CHAR(10)),AE:AT,16,FALSE))))"),"")</f>
        <v/>
      </c>
      <c r="AW51" s="130" t="str">
        <f>IFERROR(__xludf.DUMMYFUNCTION("IF(ISBLANK(BK51),,TEXTJOIN("", "",TRUE,ARRAYFORMULA(VLOOKUP(IFERROR(REGEXEXTRACT(SPLIT(BK51,"";""&amp;CHAR(10)),""\[(.+)\]"")),AE:AT,16,false))))"),"")</f>
        <v/>
      </c>
      <c r="AX51" s="139" t="str">
        <f t="shared" si="6"/>
        <v/>
      </c>
      <c r="AY51" s="139" t="str">
        <f t="shared" si="7"/>
        <v/>
      </c>
      <c r="AZ51" s="106" t="str">
        <f>IFERROR(__xludf.DUMMYFUNCTION("IF(ISBLANK(AD51), BC51, TEXTJOIN(CHAR(10) &amp; CHAR(10), TRUE, ARRAYFORMULA(VLOOKUP(SPLIT(AD51, "";"" &amp; CHAR(10)), $AC:$AY, 23, FALSE))))"),"")</f>
        <v/>
      </c>
      <c r="BA51" s="140" t="s">
        <v>66</v>
      </c>
      <c r="BB51" s="190"/>
      <c r="BC51" s="196"/>
      <c r="BD51" s="106" t="str">
        <f>IFERROR(__xludf.DUMMYFUNCTION("IF(IFERROR(SEARCH(""&lt;&lt;mechanism to realize the capability&gt;&gt;"",BA51),0)=0,
 ""!! Error !! “Capability&amp;Mechanism” column: Invalid Separator:"" &amp; CHAR(10) &amp; ""Insert separator “&lt;&lt;mechanism to realize the capability&gt;&gt;.”"",
 IF(
  LEN(TRIM(CLEAN(
    INDEX(
  "&amp;"    SPLIT(BA51,""&lt;&lt;mechanism to realize the capability&gt;&gt;"",FALSE,FALSE),
      1
    )
  )))=0,
  ""!! Error !! “Capability&amp;Mechanism” column: No Capability:""  &amp; CHAR(10) &amp; ""Describe Capability before separator."",
  INDEX(
    SPLIT(BA51,""&lt;&lt;mechanism "&amp;"to realize the capability&gt;&gt;"",FALSE,FALSE),
    1
  )
 )
)
"),"!! Error !! “Capability&amp;Mechanism” column: No Capability:
Describe Capability before separator.")</f>
        <v>!! Error !! “Capability&amp;Mechanism” column: No Capability:
Describe Capability before separator.</v>
      </c>
      <c r="BE51" s="190"/>
      <c r="BF51" s="195"/>
      <c r="BG51" s="42"/>
      <c r="BH51" s="190"/>
      <c r="BI51" s="196"/>
      <c r="BJ51" s="42"/>
      <c r="BK51" s="42"/>
      <c r="BL51" s="203"/>
      <c r="BM51" s="203"/>
      <c r="BN51" s="42"/>
      <c r="BO51" s="42"/>
      <c r="BP51" s="143"/>
      <c r="BQ51" s="143"/>
      <c r="BR51" s="192"/>
      <c r="BS51" s="192"/>
      <c r="BT51" s="192"/>
      <c r="BU51" s="192"/>
      <c r="BV51" s="192"/>
      <c r="BW51" s="192"/>
      <c r="BX51" s="146" t="str">
        <f t="shared" si="8"/>
        <v/>
      </c>
    </row>
    <row r="52">
      <c r="A52" s="106" t="str">
        <f t="shared" si="1"/>
        <v/>
      </c>
      <c r="B52" s="183" t="str">
        <f t="array" ref="B52">IF(ISBLANK($AE52), "-",INDEX(Circuits!A:A,SUMPRODUCT(EXACT($AE52,Circuits!$A:$A)*ROW(Circuits!$A:$A))))</f>
        <v>-</v>
      </c>
      <c r="C52" s="183" t="str">
        <f t="array" ref="C52">IF(ISBLANK($AE52), "-",INDEX(Circuits!B:B,SUMPRODUCT(EXACT($AE52,Circuits!$A:$A)*ROW(Circuits!$A:$A))))</f>
        <v>-</v>
      </c>
      <c r="D52" s="183" t="str">
        <f t="array" ref="D52">IF(ISBLANK($AE52), "-",INDEX(Circuits!C:C,SUMPRODUCT(EXACT($AE52,Circuits!$A:$A)*ROW(Circuits!$A:$A))))</f>
        <v>-</v>
      </c>
      <c r="E52" s="183" t="str">
        <f t="array" ref="E52">IF(ISBLANK($AE52), "-",INDEX(Circuits!D:D,SUMPRODUCT(EXACT($AE52,Circuits!$A:$A)*ROW(Circuits!$A:$A))))</f>
        <v>-</v>
      </c>
      <c r="F52" s="183" t="str">
        <f t="array" ref="F52">IF(ISBLANK($AE52), "-",INDEX(Circuits!E:E,SUMPRODUCT(EXACT($AE52,Circuits!$A:$A)*ROW(Circuits!$A:$A))))</f>
        <v>-</v>
      </c>
      <c r="G52" s="183" t="str">
        <f t="array" ref="G52">IF(ISBLANK($AE52), "-",INDEX(Circuits!F:F,SUMPRODUCT(EXACT($AE52,Circuits!$A:$A)*ROW(Circuits!$A:$A))))</f>
        <v>-</v>
      </c>
      <c r="H52" s="183" t="str">
        <f t="array" ref="H52">IF(ISBLANK($AE52), "-",INDEX(Circuits!G:G,SUMPRODUCT(EXACT($AE52,Circuits!$A:$A)*ROW(Circuits!$A:$A))))</f>
        <v>-</v>
      </c>
      <c r="I52" s="183" t="str">
        <f t="array" ref="I52">IF(ISBLANK($AE52), "-",INDEX(Circuits!H:H,SUMPRODUCT(EXACT($AE52,Circuits!$A:$A)*ROW(Circuits!$A:$A))))</f>
        <v>-</v>
      </c>
      <c r="J52" s="183" t="str">
        <f t="array" ref="J52">IF(ISBLANK($AE52), "-",INDEX(Circuits!I:I,SUMPRODUCT(EXACT($AE52,Circuits!$A:$A)*ROW(Circuits!$A:$A))))</f>
        <v>-</v>
      </c>
      <c r="K52" s="183" t="str">
        <f t="array" ref="K52">IF(ISBLANK($AE52), "-",INDEX(Circuits!J:J,SUMPRODUCT(EXACT($AE52,Circuits!$A:$A)*ROW(Circuits!$A:$A))))</f>
        <v>-</v>
      </c>
      <c r="L52" s="183" t="str">
        <f t="array" ref="L52">IF(ISBLANK($AE52), "-",INDEX(Circuits!K:K,SUMPRODUCT(EXACT($AE52,Circuits!$A:$A)*ROW(Circuits!$A:$A))))</f>
        <v>-</v>
      </c>
      <c r="M52" s="183" t="str">
        <f t="array" ref="M52">IF(ISBLANK($AE52), "-",INDEX(Circuits!L:L,SUMPRODUCT(EXACT($AE52,Circuits!$A:$A)*ROW(Circuits!$A:$A))))</f>
        <v>-</v>
      </c>
      <c r="N52" s="183" t="str">
        <f t="array" ref="N52">IF(ISBLANK($AE52), "-",INDEX(Circuits!M:M,SUMPRODUCT(EXACT($AE52,Circuits!$A:$A)*ROW(Circuits!$A:$A))))</f>
        <v>-</v>
      </c>
      <c r="O52" s="183" t="str">
        <f t="array" ref="O52">IF(ISBLANK($AE52), "-",INDEX(Circuits!N:N,SUMPRODUCT(EXACT($AE52,Circuits!$A:$A)*ROW(Circuits!$A:$A))))</f>
        <v>-</v>
      </c>
      <c r="P52" s="183" t="str">
        <f t="array" ref="P52">IF(ISBLANK($AE52), "-",INDEX(Circuits!O:O,SUMPRODUCT(EXACT($AE52,Circuits!$A:$A)*ROW(Circuits!$A:$A))))</f>
        <v>-</v>
      </c>
      <c r="Q52" s="183" t="str">
        <f t="array" ref="Q52">IF(ISBLANK($AE52), "-",INDEX(Circuits!P:P,SUMPRODUCT(EXACT($AE52,Circuits!$A:$A)*ROW(Circuits!$A:$A))))</f>
        <v>-</v>
      </c>
      <c r="R52" s="183" t="str">
        <f t="array" ref="R52">IF(ISBLANK($AE52), "-",INDEX(Circuits!Q:Q,SUMPRODUCT(EXACT($AE52,Circuits!$A:$A)*ROW(Circuits!$A:$A))))</f>
        <v>-</v>
      </c>
      <c r="S52" s="183" t="str">
        <f t="array" ref="S52">IF(ISBLANK($AE52), "-",INDEX(Circuits!R:R,SUMPRODUCT(EXACT($AE52,Circuits!$A:$A)*ROW(Circuits!$A:$A))))</f>
        <v>-</v>
      </c>
      <c r="T52" s="183" t="str">
        <f t="array" ref="T52">IF(ISBLANK($AE52), "-",INDEX(Circuits!S:S,SUMPRODUCT(EXACT($AE52,Circuits!$A:$A)*ROW(Circuits!$A:$A))))</f>
        <v>-</v>
      </c>
      <c r="U52" s="183" t="str">
        <f t="array" ref="U52">IF(ISBLANK($AE52), "-",INDEX(Circuits!T:T,SUMPRODUCT(EXACT($AE52,Circuits!$A:$A)*ROW(Circuits!$A:$A))))</f>
        <v>-</v>
      </c>
      <c r="V52" s="183" t="str">
        <f t="array" ref="V52">IF(ISBLANK($AE52), "-",INDEX(Circuits!U:U,SUMPRODUCT(EXACT($AE52,Circuits!$A:$A)*ROW(Circuits!$A:$A))))</f>
        <v>-</v>
      </c>
      <c r="W52" s="183" t="str">
        <f t="array" ref="W52">IF(ISBLANK($AE52), "-",INDEX(Circuits!V:V,SUMPRODUCT(EXACT($AE52,Circuits!$A:$A)*ROW(Circuits!$A:$A))))</f>
        <v>-</v>
      </c>
      <c r="X52" s="183" t="str">
        <f t="array" ref="X52">IF(ISBLANK($AE52), "-",INDEX(Circuits!W:W,SUMPRODUCT(EXACT($AE52,Circuits!$A:$A)*ROW(Circuits!$A:$A))))</f>
        <v>-</v>
      </c>
      <c r="Y52" s="183" t="str">
        <f t="array" ref="Y52">IF(ISBLANK($AE52), "-",INDEX(Circuits!X:X,SUMPRODUCT(EXACT($AE52,Circuits!$A:$A)*ROW(Circuits!$A:$A))))</f>
        <v>-</v>
      </c>
      <c r="Z52" s="108" t="str">
        <f>IFERROR(__xludf.DUMMYFUNCTION("IFNA(CONCATENATE(UNIQUE(FILTER(Connections!R:R,Connections!A:A=B52))),""-"")"),"-")</f>
        <v>-</v>
      </c>
      <c r="AA52" s="119" t="str">
        <f t="array" ref="AA52">IF(ISBLANK($AE52), "-",INDEX(Circuits!Y:Y,SUMPRODUCT(EXACT($AE52,Circuits!$A:$A)*ROW(Circuits!$A:$A))))</f>
        <v>-</v>
      </c>
      <c r="AB52" s="121" t="str">
        <f t="array" ref="AB52">IF(ISBLANK($AE52), "-",INDEX(Circuits!Z:Z,SUMPRODUCT(EXACT($AE52,Circuits!$A:$A)*ROW(Circuits!$A:$A))))</f>
        <v>-</v>
      </c>
      <c r="AC52" s="194"/>
      <c r="AD52" s="194"/>
      <c r="AE52" s="40"/>
      <c r="AF52" s="43"/>
      <c r="AG52" s="126" t="str">
        <f>IFERROR(__xludf.DUMMYFUNCTION("IF(ISBLANK(AF52), """", TEXTJOIN(CHAR(10),TRUE,ARRAYFORMULA(IF(ISERROR(SEARCH(SPLIT(AF52, "";""), $Z52)), ""x"", ""-""))))"),"")</f>
        <v/>
      </c>
      <c r="AH52" s="127" t="str">
        <f>IFERROR(__xludf.DUMMYFUNCTION("IF(ISBLANK(AK52), """", TEXTJOIN("";"" &amp; CHAR(10), TRUE, UNIQUE(SPLIT(AK52, "";"" &amp; CHAR(10)), TRUE))&amp;"";"")"),"")</f>
        <v/>
      </c>
      <c r="AI52" s="128" t="str">
        <f>IFERROR(__xludf.DUMMYFUNCTION("IF(ISBLANK(AD52), IF(ISBLANK(AE52),,IFNA(TEXTJOIN("";"" &amp; CHAR(10), TRUE, FILTER(AE:AE, SEARCH(AE52&amp;"";"", AJ:AJ)))&amp;"";"", """")), TEXTJOIN("";"" &amp; CHAR(10), TRUE, UNIQUE(SPLIT(AH52 &amp; "";"" &amp; AH52 &amp; "";"" &amp; AL52, "";"" &amp; CHAR(10)), TRUE, TRUE))&amp;"";"")"),"")</f>
        <v/>
      </c>
      <c r="AJ52" s="126" t="str">
        <f>IFERROR(__xludf.DUMMYFUNCTION("IF(AN52="""", """", TEXTJOIN("";"" &amp; CHAR(10), TRUE, UNIQUE(SPLIT(AH52 &amp; "";"" &amp; AH52 &amp; "";"" &amp; AN52, "";"" &amp; CHAR(10)), TRUE, TRUE))&amp;"";"")"),"")</f>
        <v/>
      </c>
      <c r="AK52" s="129" t="str">
        <f>IFERROR(__xludf.DUMMYFUNCTION("IF(ISBLANK(AD52), IF(ISBLANK(AE52),,AE52 &amp; "";""), TEXTJOIN(CHAR(10), TRUE, ARRAYFORMULA(VLOOKUP(SPLIT(AD52, "";"" &amp; CHAR(10)), $AC:$AH, 6, FALSE))))"),"")</f>
        <v/>
      </c>
      <c r="AL52" s="130" t="str">
        <f>IFERROR(__xludf.DUMMYFUNCTION("IF(AM52="""", """", TEXTJOIN("";"" &amp; CHAR(10), TRUE, UNIQUE(SPLIT(AM52, "";"" &amp; CHAR(10)), TRUE))&amp;"";"")"),"")</f>
        <v/>
      </c>
      <c r="AM52" s="130" t="str">
        <f>IFERROR(__xludf.DUMMYFUNCTION("IF(ISBLANK(AD52), """", TEXTJOIN(CHAR(10), TRUE, ARRAYFORMULA(VLOOKUP(SPLIT(AH52, "";"" &amp; CHAR(10)), $AE:$AI, 5, FALSE)), AF52))"),"")</f>
        <v/>
      </c>
      <c r="AN52" s="132" t="str">
        <f>IFERROR(__xludf.DUMMYFUNCTION("IF(ISBLANK(AO52), """", TEXTJOIN("";"" &amp; CHAR(10), TRUE, UNIQUE(SPLIT(AO52, "";"" &amp; CHAR(10)), TRUE))&amp;"";"")"),"")</f>
        <v/>
      </c>
      <c r="AO52" s="134" t="str">
        <f>IFERROR(__xludf.DUMMYFUNCTION("IF(ISBLANK(AD52), AF52, TEXTJOIN(CHAR(10), TRUE, ARRAYFORMULA(VLOOKUP(SPLIT(AD52, "";"" &amp; CHAR(10)), $AC:$AN, 12, FALSE))))"),"")</f>
        <v/>
      </c>
      <c r="AP52" s="130" t="str">
        <f>IF(ISBLANK(AE52),,IF(IFERROR(SEARCH(AE52&amp;";",Circuits!$AO$2),0),TRUE,FALSE))</f>
        <v/>
      </c>
      <c r="AQ52" s="130" t="str">
        <f t="shared" si="2"/>
        <v/>
      </c>
      <c r="AR52" s="130" t="str">
        <f t="shared" si="3"/>
        <v/>
      </c>
      <c r="AS52" s="136" t="str">
        <f>IFERROR(__xludf.DUMMYFUNCTION("IF(AH52="""",,SUM(ARRAYFORMULA(IF(IFERROR(SEARCH(SPLIT(AH52,CHAR(10)),Circuits!$AO$2),0)&gt;0,0,1))))"),"")</f>
        <v/>
      </c>
      <c r="AT52" s="138" t="str">
        <f t="shared" si="4"/>
        <v/>
      </c>
      <c r="AU52" s="138" t="str">
        <f t="shared" si="5"/>
        <v/>
      </c>
      <c r="AV52" s="130" t="str">
        <f>IFERROR(__xludf.DUMMYFUNCTION("IF(AI52="""",,TEXTJOIN("", "",TRUE,ARRAYFORMULA(VLOOKUP(SPLIT(AI52,"";""&amp;CHAR(10)),AE:AT,16,FALSE))))"),"")</f>
        <v/>
      </c>
      <c r="AW52" s="130" t="str">
        <f>IFERROR(__xludf.DUMMYFUNCTION("IF(ISBLANK(BK52),,TEXTJOIN("", "",TRUE,ARRAYFORMULA(VLOOKUP(IFERROR(REGEXEXTRACT(SPLIT(BK52,"";""&amp;CHAR(10)),""\[(.+)\]"")),AE:AT,16,false))))"),"")</f>
        <v/>
      </c>
      <c r="AX52" s="139" t="str">
        <f t="shared" si="6"/>
        <v/>
      </c>
      <c r="AY52" s="139" t="str">
        <f t="shared" si="7"/>
        <v/>
      </c>
      <c r="AZ52" s="106" t="str">
        <f>IFERROR(__xludf.DUMMYFUNCTION("IF(ISBLANK(AD52), BC52, TEXTJOIN(CHAR(10) &amp; CHAR(10), TRUE, ARRAYFORMULA(VLOOKUP(SPLIT(AD52, "";"" &amp; CHAR(10)), $AC:$AY, 23, FALSE))))"),"")</f>
        <v/>
      </c>
      <c r="BA52" s="140" t="s">
        <v>66</v>
      </c>
      <c r="BB52" s="190"/>
      <c r="BC52" s="196"/>
      <c r="BD52" s="106" t="str">
        <f>IFERROR(__xludf.DUMMYFUNCTION("IF(IFERROR(SEARCH(""&lt;&lt;mechanism to realize the capability&gt;&gt;"",BA52),0)=0,
 ""!! Error !! “Capability&amp;Mechanism” column: Invalid Separator:"" &amp; CHAR(10) &amp; ""Insert separator “&lt;&lt;mechanism to realize the capability&gt;&gt;.”"",
 IF(
  LEN(TRIM(CLEAN(
    INDEX(
  "&amp;"    SPLIT(BA52,""&lt;&lt;mechanism to realize the capability&gt;&gt;"",FALSE,FALSE),
      1
    )
  )))=0,
  ""!! Error !! “Capability&amp;Mechanism” column: No Capability:""  &amp; CHAR(10) &amp; ""Describe Capability before separator."",
  INDEX(
    SPLIT(BA52,""&lt;&lt;mechanism "&amp;"to realize the capability&gt;&gt;"",FALSE,FALSE),
    1
  )
 )
)
"),"!! Error !! “Capability&amp;Mechanism” column: No Capability:
Describe Capability before separator.")</f>
        <v>!! Error !! “Capability&amp;Mechanism” column: No Capability:
Describe Capability before separator.</v>
      </c>
      <c r="BE52" s="190"/>
      <c r="BF52" s="195"/>
      <c r="BG52" s="42"/>
      <c r="BH52" s="190"/>
      <c r="BI52" s="196"/>
      <c r="BJ52" s="42"/>
      <c r="BK52" s="42"/>
      <c r="BL52" s="203"/>
      <c r="BM52" s="203"/>
      <c r="BN52" s="42"/>
      <c r="BO52" s="42"/>
      <c r="BP52" s="143"/>
      <c r="BQ52" s="143"/>
      <c r="BR52" s="192"/>
      <c r="BS52" s="192"/>
      <c r="BT52" s="192"/>
      <c r="BU52" s="192"/>
      <c r="BV52" s="192"/>
      <c r="BW52" s="192"/>
      <c r="BX52" s="146" t="str">
        <f t="shared" si="8"/>
        <v/>
      </c>
    </row>
    <row r="53">
      <c r="A53" s="106" t="str">
        <f t="shared" si="1"/>
        <v/>
      </c>
      <c r="B53" s="183" t="str">
        <f t="array" ref="B53">IF(ISBLANK($AE53), "-",INDEX(Circuits!A:A,SUMPRODUCT(EXACT($AE53,Circuits!$A:$A)*ROW(Circuits!$A:$A))))</f>
        <v>-</v>
      </c>
      <c r="C53" s="183" t="str">
        <f t="array" ref="C53">IF(ISBLANK($AE53), "-",INDEX(Circuits!B:B,SUMPRODUCT(EXACT($AE53,Circuits!$A:$A)*ROW(Circuits!$A:$A))))</f>
        <v>-</v>
      </c>
      <c r="D53" s="183" t="str">
        <f t="array" ref="D53">IF(ISBLANK($AE53), "-",INDEX(Circuits!C:C,SUMPRODUCT(EXACT($AE53,Circuits!$A:$A)*ROW(Circuits!$A:$A))))</f>
        <v>-</v>
      </c>
      <c r="E53" s="183" t="str">
        <f t="array" ref="E53">IF(ISBLANK($AE53), "-",INDEX(Circuits!D:D,SUMPRODUCT(EXACT($AE53,Circuits!$A:$A)*ROW(Circuits!$A:$A))))</f>
        <v>-</v>
      </c>
      <c r="F53" s="183" t="str">
        <f t="array" ref="F53">IF(ISBLANK($AE53), "-",INDEX(Circuits!E:E,SUMPRODUCT(EXACT($AE53,Circuits!$A:$A)*ROW(Circuits!$A:$A))))</f>
        <v>-</v>
      </c>
      <c r="G53" s="183" t="str">
        <f t="array" ref="G53">IF(ISBLANK($AE53), "-",INDEX(Circuits!F:F,SUMPRODUCT(EXACT($AE53,Circuits!$A:$A)*ROW(Circuits!$A:$A))))</f>
        <v>-</v>
      </c>
      <c r="H53" s="183" t="str">
        <f t="array" ref="H53">IF(ISBLANK($AE53), "-",INDEX(Circuits!G:G,SUMPRODUCT(EXACT($AE53,Circuits!$A:$A)*ROW(Circuits!$A:$A))))</f>
        <v>-</v>
      </c>
      <c r="I53" s="183" t="str">
        <f t="array" ref="I53">IF(ISBLANK($AE53), "-",INDEX(Circuits!H:H,SUMPRODUCT(EXACT($AE53,Circuits!$A:$A)*ROW(Circuits!$A:$A))))</f>
        <v>-</v>
      </c>
      <c r="J53" s="183" t="str">
        <f t="array" ref="J53">IF(ISBLANK($AE53), "-",INDEX(Circuits!I:I,SUMPRODUCT(EXACT($AE53,Circuits!$A:$A)*ROW(Circuits!$A:$A))))</f>
        <v>-</v>
      </c>
      <c r="K53" s="183" t="str">
        <f t="array" ref="K53">IF(ISBLANK($AE53), "-",INDEX(Circuits!J:J,SUMPRODUCT(EXACT($AE53,Circuits!$A:$A)*ROW(Circuits!$A:$A))))</f>
        <v>-</v>
      </c>
      <c r="L53" s="183" t="str">
        <f t="array" ref="L53">IF(ISBLANK($AE53), "-",INDEX(Circuits!K:K,SUMPRODUCT(EXACT($AE53,Circuits!$A:$A)*ROW(Circuits!$A:$A))))</f>
        <v>-</v>
      </c>
      <c r="M53" s="183" t="str">
        <f t="array" ref="M53">IF(ISBLANK($AE53), "-",INDEX(Circuits!L:L,SUMPRODUCT(EXACT($AE53,Circuits!$A:$A)*ROW(Circuits!$A:$A))))</f>
        <v>-</v>
      </c>
      <c r="N53" s="183" t="str">
        <f t="array" ref="N53">IF(ISBLANK($AE53), "-",INDEX(Circuits!M:M,SUMPRODUCT(EXACT($AE53,Circuits!$A:$A)*ROW(Circuits!$A:$A))))</f>
        <v>-</v>
      </c>
      <c r="O53" s="183" t="str">
        <f t="array" ref="O53">IF(ISBLANK($AE53), "-",INDEX(Circuits!N:N,SUMPRODUCT(EXACT($AE53,Circuits!$A:$A)*ROW(Circuits!$A:$A))))</f>
        <v>-</v>
      </c>
      <c r="P53" s="183" t="str">
        <f t="array" ref="P53">IF(ISBLANK($AE53), "-",INDEX(Circuits!O:O,SUMPRODUCT(EXACT($AE53,Circuits!$A:$A)*ROW(Circuits!$A:$A))))</f>
        <v>-</v>
      </c>
      <c r="Q53" s="183" t="str">
        <f t="array" ref="Q53">IF(ISBLANK($AE53), "-",INDEX(Circuits!P:P,SUMPRODUCT(EXACT($AE53,Circuits!$A:$A)*ROW(Circuits!$A:$A))))</f>
        <v>-</v>
      </c>
      <c r="R53" s="183" t="str">
        <f t="array" ref="R53">IF(ISBLANK($AE53), "-",INDEX(Circuits!Q:Q,SUMPRODUCT(EXACT($AE53,Circuits!$A:$A)*ROW(Circuits!$A:$A))))</f>
        <v>-</v>
      </c>
      <c r="S53" s="183" t="str">
        <f t="array" ref="S53">IF(ISBLANK($AE53), "-",INDEX(Circuits!R:R,SUMPRODUCT(EXACT($AE53,Circuits!$A:$A)*ROW(Circuits!$A:$A))))</f>
        <v>-</v>
      </c>
      <c r="T53" s="183" t="str">
        <f t="array" ref="T53">IF(ISBLANK($AE53), "-",INDEX(Circuits!S:S,SUMPRODUCT(EXACT($AE53,Circuits!$A:$A)*ROW(Circuits!$A:$A))))</f>
        <v>-</v>
      </c>
      <c r="U53" s="183" t="str">
        <f t="array" ref="U53">IF(ISBLANK($AE53), "-",INDEX(Circuits!T:T,SUMPRODUCT(EXACT($AE53,Circuits!$A:$A)*ROW(Circuits!$A:$A))))</f>
        <v>-</v>
      </c>
      <c r="V53" s="183" t="str">
        <f t="array" ref="V53">IF(ISBLANK($AE53), "-",INDEX(Circuits!U:U,SUMPRODUCT(EXACT($AE53,Circuits!$A:$A)*ROW(Circuits!$A:$A))))</f>
        <v>-</v>
      </c>
      <c r="W53" s="183" t="str">
        <f t="array" ref="W53">IF(ISBLANK($AE53), "-",INDEX(Circuits!V:V,SUMPRODUCT(EXACT($AE53,Circuits!$A:$A)*ROW(Circuits!$A:$A))))</f>
        <v>-</v>
      </c>
      <c r="X53" s="183" t="str">
        <f t="array" ref="X53">IF(ISBLANK($AE53), "-",INDEX(Circuits!W:W,SUMPRODUCT(EXACT($AE53,Circuits!$A:$A)*ROW(Circuits!$A:$A))))</f>
        <v>-</v>
      </c>
      <c r="Y53" s="183" t="str">
        <f t="array" ref="Y53">IF(ISBLANK($AE53), "-",INDEX(Circuits!X:X,SUMPRODUCT(EXACT($AE53,Circuits!$A:$A)*ROW(Circuits!$A:$A))))</f>
        <v>-</v>
      </c>
      <c r="Z53" s="108" t="str">
        <f>IFERROR(__xludf.DUMMYFUNCTION("IFNA(CONCATENATE(UNIQUE(FILTER(Connections!R:R,Connections!A:A=B53))),""-"")"),"-")</f>
        <v>-</v>
      </c>
      <c r="AA53" s="119" t="str">
        <f t="array" ref="AA53">IF(ISBLANK($AE53), "-",INDEX(Circuits!Y:Y,SUMPRODUCT(EXACT($AE53,Circuits!$A:$A)*ROW(Circuits!$A:$A))))</f>
        <v>-</v>
      </c>
      <c r="AB53" s="121" t="str">
        <f t="array" ref="AB53">IF(ISBLANK($AE53), "-",INDEX(Circuits!Z:Z,SUMPRODUCT(EXACT($AE53,Circuits!$A:$A)*ROW(Circuits!$A:$A))))</f>
        <v>-</v>
      </c>
      <c r="AC53" s="194"/>
      <c r="AD53" s="194"/>
      <c r="AE53" s="40"/>
      <c r="AF53" s="43"/>
      <c r="AG53" s="126" t="str">
        <f>IFERROR(__xludf.DUMMYFUNCTION("IF(ISBLANK(AF53), """", TEXTJOIN(CHAR(10),TRUE,ARRAYFORMULA(IF(ISERROR(SEARCH(SPLIT(AF53, "";""), $Z53)), ""x"", ""-""))))"),"")</f>
        <v/>
      </c>
      <c r="AH53" s="127" t="str">
        <f>IFERROR(__xludf.DUMMYFUNCTION("IF(ISBLANK(AK53), """", TEXTJOIN("";"" &amp; CHAR(10), TRUE, UNIQUE(SPLIT(AK53, "";"" &amp; CHAR(10)), TRUE))&amp;"";"")"),"")</f>
        <v/>
      </c>
      <c r="AI53" s="128" t="str">
        <f>IFERROR(__xludf.DUMMYFUNCTION("IF(ISBLANK(AD53), IF(ISBLANK(AE53),,IFNA(TEXTJOIN("";"" &amp; CHAR(10), TRUE, FILTER(AE:AE, SEARCH(AE53&amp;"";"", AJ:AJ)))&amp;"";"", """")), TEXTJOIN("";"" &amp; CHAR(10), TRUE, UNIQUE(SPLIT(AH53 &amp; "";"" &amp; AH53 &amp; "";"" &amp; AL53, "";"" &amp; CHAR(10)), TRUE, TRUE))&amp;"";"")"),"")</f>
        <v/>
      </c>
      <c r="AJ53" s="126" t="str">
        <f>IFERROR(__xludf.DUMMYFUNCTION("IF(AN53="""", """", TEXTJOIN("";"" &amp; CHAR(10), TRUE, UNIQUE(SPLIT(AH53 &amp; "";"" &amp; AH53 &amp; "";"" &amp; AN53, "";"" &amp; CHAR(10)), TRUE, TRUE))&amp;"";"")"),"")</f>
        <v/>
      </c>
      <c r="AK53" s="129" t="str">
        <f>IFERROR(__xludf.DUMMYFUNCTION("IF(ISBLANK(AD53), IF(ISBLANK(AE53),,AE53 &amp; "";""), TEXTJOIN(CHAR(10), TRUE, ARRAYFORMULA(VLOOKUP(SPLIT(AD53, "";"" &amp; CHAR(10)), $AC:$AH, 6, FALSE))))"),"")</f>
        <v/>
      </c>
      <c r="AL53" s="130" t="str">
        <f>IFERROR(__xludf.DUMMYFUNCTION("IF(AM53="""", """", TEXTJOIN("";"" &amp; CHAR(10), TRUE, UNIQUE(SPLIT(AM53, "";"" &amp; CHAR(10)), TRUE))&amp;"";"")"),"")</f>
        <v/>
      </c>
      <c r="AM53" s="130" t="str">
        <f>IFERROR(__xludf.DUMMYFUNCTION("IF(ISBLANK(AD53), """", TEXTJOIN(CHAR(10), TRUE, ARRAYFORMULA(VLOOKUP(SPLIT(AH53, "";"" &amp; CHAR(10)), $AE:$AI, 5, FALSE)), AF53))"),"")</f>
        <v/>
      </c>
      <c r="AN53" s="132" t="str">
        <f>IFERROR(__xludf.DUMMYFUNCTION("IF(ISBLANK(AO53), """", TEXTJOIN("";"" &amp; CHAR(10), TRUE, UNIQUE(SPLIT(AO53, "";"" &amp; CHAR(10)), TRUE))&amp;"";"")"),"")</f>
        <v/>
      </c>
      <c r="AO53" s="134" t="str">
        <f>IFERROR(__xludf.DUMMYFUNCTION("IF(ISBLANK(AD53), AF53, TEXTJOIN(CHAR(10), TRUE, ARRAYFORMULA(VLOOKUP(SPLIT(AD53, "";"" &amp; CHAR(10)), $AC:$AN, 12, FALSE))))"),"")</f>
        <v/>
      </c>
      <c r="AP53" s="130" t="str">
        <f>IF(ISBLANK(AE53),,IF(IFERROR(SEARCH(AE53&amp;";",Circuits!$AO$2),0),TRUE,FALSE))</f>
        <v/>
      </c>
      <c r="AQ53" s="130" t="str">
        <f t="shared" si="2"/>
        <v/>
      </c>
      <c r="AR53" s="130" t="str">
        <f t="shared" si="3"/>
        <v/>
      </c>
      <c r="AS53" s="136" t="str">
        <f>IFERROR(__xludf.DUMMYFUNCTION("IF(AH53="""",,SUM(ARRAYFORMULA(IF(IFERROR(SEARCH(SPLIT(AH53,CHAR(10)),Circuits!$AO$2),0)&gt;0,0,1))))"),"")</f>
        <v/>
      </c>
      <c r="AT53" s="138" t="str">
        <f t="shared" si="4"/>
        <v/>
      </c>
      <c r="AU53" s="138" t="str">
        <f t="shared" si="5"/>
        <v/>
      </c>
      <c r="AV53" s="130" t="str">
        <f>IFERROR(__xludf.DUMMYFUNCTION("IF(AI53="""",,TEXTJOIN("", "",TRUE,ARRAYFORMULA(VLOOKUP(SPLIT(AI53,"";""&amp;CHAR(10)),AE:AT,16,FALSE))))"),"")</f>
        <v/>
      </c>
      <c r="AW53" s="130" t="str">
        <f>IFERROR(__xludf.DUMMYFUNCTION("IF(ISBLANK(BK53),,TEXTJOIN("", "",TRUE,ARRAYFORMULA(VLOOKUP(IFERROR(REGEXEXTRACT(SPLIT(BK53,"";""&amp;CHAR(10)),""\[(.+)\]"")),AE:AT,16,false))))"),"")</f>
        <v/>
      </c>
      <c r="AX53" s="139" t="str">
        <f t="shared" si="6"/>
        <v/>
      </c>
      <c r="AY53" s="139" t="str">
        <f t="shared" si="7"/>
        <v/>
      </c>
      <c r="AZ53" s="106" t="str">
        <f>IFERROR(__xludf.DUMMYFUNCTION("IF(ISBLANK(AD53), BC53, TEXTJOIN(CHAR(10) &amp; CHAR(10), TRUE, ARRAYFORMULA(VLOOKUP(SPLIT(AD53, "";"" &amp; CHAR(10)), $AC:$AY, 23, FALSE))))"),"")</f>
        <v/>
      </c>
      <c r="BA53" s="140" t="s">
        <v>66</v>
      </c>
      <c r="BB53" s="190"/>
      <c r="BC53" s="196"/>
      <c r="BD53" s="106" t="str">
        <f>IFERROR(__xludf.DUMMYFUNCTION("IF(IFERROR(SEARCH(""&lt;&lt;mechanism to realize the capability&gt;&gt;"",BA53),0)=0,
 ""!! Error !! “Capability&amp;Mechanism” column: Invalid Separator:"" &amp; CHAR(10) &amp; ""Insert separator “&lt;&lt;mechanism to realize the capability&gt;&gt;.”"",
 IF(
  LEN(TRIM(CLEAN(
    INDEX(
  "&amp;"    SPLIT(BA53,""&lt;&lt;mechanism to realize the capability&gt;&gt;"",FALSE,FALSE),
      1
    )
  )))=0,
  ""!! Error !! “Capability&amp;Mechanism” column: No Capability:""  &amp; CHAR(10) &amp; ""Describe Capability before separator."",
  INDEX(
    SPLIT(BA53,""&lt;&lt;mechanism "&amp;"to realize the capability&gt;&gt;"",FALSE,FALSE),
    1
  )
 )
)
"),"!! Error !! “Capability&amp;Mechanism” column: No Capability:
Describe Capability before separator.")</f>
        <v>!! Error !! “Capability&amp;Mechanism” column: No Capability:
Describe Capability before separator.</v>
      </c>
      <c r="BE53" s="190"/>
      <c r="BF53" s="195"/>
      <c r="BG53" s="42"/>
      <c r="BH53" s="190"/>
      <c r="BI53" s="196"/>
      <c r="BJ53" s="42"/>
      <c r="BK53" s="42"/>
      <c r="BL53" s="203"/>
      <c r="BM53" s="203"/>
      <c r="BN53" s="42"/>
      <c r="BO53" s="42"/>
      <c r="BP53" s="143"/>
      <c r="BQ53" s="143"/>
      <c r="BR53" s="192"/>
      <c r="BS53" s="192"/>
      <c r="BT53" s="192"/>
      <c r="BU53" s="192"/>
      <c r="BV53" s="192"/>
      <c r="BW53" s="192"/>
      <c r="BX53" s="146" t="str">
        <f t="shared" si="8"/>
        <v/>
      </c>
    </row>
    <row r="54">
      <c r="A54" s="106" t="str">
        <f t="shared" si="1"/>
        <v/>
      </c>
      <c r="B54" s="183" t="str">
        <f t="array" ref="B54">IF(ISBLANK($AE54), "-",INDEX(Circuits!A:A,SUMPRODUCT(EXACT($AE54,Circuits!$A:$A)*ROW(Circuits!$A:$A))))</f>
        <v>-</v>
      </c>
      <c r="C54" s="183" t="str">
        <f t="array" ref="C54">IF(ISBLANK($AE54), "-",INDEX(Circuits!B:B,SUMPRODUCT(EXACT($AE54,Circuits!$A:$A)*ROW(Circuits!$A:$A))))</f>
        <v>-</v>
      </c>
      <c r="D54" s="183" t="str">
        <f t="array" ref="D54">IF(ISBLANK($AE54), "-",INDEX(Circuits!C:C,SUMPRODUCT(EXACT($AE54,Circuits!$A:$A)*ROW(Circuits!$A:$A))))</f>
        <v>-</v>
      </c>
      <c r="E54" s="183" t="str">
        <f t="array" ref="E54">IF(ISBLANK($AE54), "-",INDEX(Circuits!D:D,SUMPRODUCT(EXACT($AE54,Circuits!$A:$A)*ROW(Circuits!$A:$A))))</f>
        <v>-</v>
      </c>
      <c r="F54" s="183" t="str">
        <f t="array" ref="F54">IF(ISBLANK($AE54), "-",INDEX(Circuits!E:E,SUMPRODUCT(EXACT($AE54,Circuits!$A:$A)*ROW(Circuits!$A:$A))))</f>
        <v>-</v>
      </c>
      <c r="G54" s="183" t="str">
        <f t="array" ref="G54">IF(ISBLANK($AE54), "-",INDEX(Circuits!F:F,SUMPRODUCT(EXACT($AE54,Circuits!$A:$A)*ROW(Circuits!$A:$A))))</f>
        <v>-</v>
      </c>
      <c r="H54" s="183" t="str">
        <f t="array" ref="H54">IF(ISBLANK($AE54), "-",INDEX(Circuits!G:G,SUMPRODUCT(EXACT($AE54,Circuits!$A:$A)*ROW(Circuits!$A:$A))))</f>
        <v>-</v>
      </c>
      <c r="I54" s="183" t="str">
        <f t="array" ref="I54">IF(ISBLANK($AE54), "-",INDEX(Circuits!H:H,SUMPRODUCT(EXACT($AE54,Circuits!$A:$A)*ROW(Circuits!$A:$A))))</f>
        <v>-</v>
      </c>
      <c r="J54" s="183" t="str">
        <f t="array" ref="J54">IF(ISBLANK($AE54), "-",INDEX(Circuits!I:I,SUMPRODUCT(EXACT($AE54,Circuits!$A:$A)*ROW(Circuits!$A:$A))))</f>
        <v>-</v>
      </c>
      <c r="K54" s="183" t="str">
        <f t="array" ref="K54">IF(ISBLANK($AE54), "-",INDEX(Circuits!J:J,SUMPRODUCT(EXACT($AE54,Circuits!$A:$A)*ROW(Circuits!$A:$A))))</f>
        <v>-</v>
      </c>
      <c r="L54" s="183" t="str">
        <f t="array" ref="L54">IF(ISBLANK($AE54), "-",INDEX(Circuits!K:K,SUMPRODUCT(EXACT($AE54,Circuits!$A:$A)*ROW(Circuits!$A:$A))))</f>
        <v>-</v>
      </c>
      <c r="M54" s="183" t="str">
        <f t="array" ref="M54">IF(ISBLANK($AE54), "-",INDEX(Circuits!L:L,SUMPRODUCT(EXACT($AE54,Circuits!$A:$A)*ROW(Circuits!$A:$A))))</f>
        <v>-</v>
      </c>
      <c r="N54" s="183" t="str">
        <f t="array" ref="N54">IF(ISBLANK($AE54), "-",INDEX(Circuits!M:M,SUMPRODUCT(EXACT($AE54,Circuits!$A:$A)*ROW(Circuits!$A:$A))))</f>
        <v>-</v>
      </c>
      <c r="O54" s="183" t="str">
        <f t="array" ref="O54">IF(ISBLANK($AE54), "-",INDEX(Circuits!N:N,SUMPRODUCT(EXACT($AE54,Circuits!$A:$A)*ROW(Circuits!$A:$A))))</f>
        <v>-</v>
      </c>
      <c r="P54" s="183" t="str">
        <f t="array" ref="P54">IF(ISBLANK($AE54), "-",INDEX(Circuits!O:O,SUMPRODUCT(EXACT($AE54,Circuits!$A:$A)*ROW(Circuits!$A:$A))))</f>
        <v>-</v>
      </c>
      <c r="Q54" s="183" t="str">
        <f t="array" ref="Q54">IF(ISBLANK($AE54), "-",INDEX(Circuits!P:P,SUMPRODUCT(EXACT($AE54,Circuits!$A:$A)*ROW(Circuits!$A:$A))))</f>
        <v>-</v>
      </c>
      <c r="R54" s="183" t="str">
        <f t="array" ref="R54">IF(ISBLANK($AE54), "-",INDEX(Circuits!Q:Q,SUMPRODUCT(EXACT($AE54,Circuits!$A:$A)*ROW(Circuits!$A:$A))))</f>
        <v>-</v>
      </c>
      <c r="S54" s="183" t="str">
        <f t="array" ref="S54">IF(ISBLANK($AE54), "-",INDEX(Circuits!R:R,SUMPRODUCT(EXACT($AE54,Circuits!$A:$A)*ROW(Circuits!$A:$A))))</f>
        <v>-</v>
      </c>
      <c r="T54" s="183" t="str">
        <f t="array" ref="T54">IF(ISBLANK($AE54), "-",INDEX(Circuits!S:S,SUMPRODUCT(EXACT($AE54,Circuits!$A:$A)*ROW(Circuits!$A:$A))))</f>
        <v>-</v>
      </c>
      <c r="U54" s="183" t="str">
        <f t="array" ref="U54">IF(ISBLANK($AE54), "-",INDEX(Circuits!T:T,SUMPRODUCT(EXACT($AE54,Circuits!$A:$A)*ROW(Circuits!$A:$A))))</f>
        <v>-</v>
      </c>
      <c r="V54" s="183" t="str">
        <f t="array" ref="V54">IF(ISBLANK($AE54), "-",INDEX(Circuits!U:U,SUMPRODUCT(EXACT($AE54,Circuits!$A:$A)*ROW(Circuits!$A:$A))))</f>
        <v>-</v>
      </c>
      <c r="W54" s="183" t="str">
        <f t="array" ref="W54">IF(ISBLANK($AE54), "-",INDEX(Circuits!V:V,SUMPRODUCT(EXACT($AE54,Circuits!$A:$A)*ROW(Circuits!$A:$A))))</f>
        <v>-</v>
      </c>
      <c r="X54" s="183" t="str">
        <f t="array" ref="X54">IF(ISBLANK($AE54), "-",INDEX(Circuits!W:W,SUMPRODUCT(EXACT($AE54,Circuits!$A:$A)*ROW(Circuits!$A:$A))))</f>
        <v>-</v>
      </c>
      <c r="Y54" s="183" t="str">
        <f t="array" ref="Y54">IF(ISBLANK($AE54), "-",INDEX(Circuits!X:X,SUMPRODUCT(EXACT($AE54,Circuits!$A:$A)*ROW(Circuits!$A:$A))))</f>
        <v>-</v>
      </c>
      <c r="Z54" s="108" t="str">
        <f>IFERROR(__xludf.DUMMYFUNCTION("IFNA(CONCATENATE(UNIQUE(FILTER(Connections!R:R,Connections!A:A=B54))),""-"")"),"-")</f>
        <v>-</v>
      </c>
      <c r="AA54" s="119" t="str">
        <f t="array" ref="AA54">IF(ISBLANK($AE54), "-",INDEX(Circuits!Y:Y,SUMPRODUCT(EXACT($AE54,Circuits!$A:$A)*ROW(Circuits!$A:$A))))</f>
        <v>-</v>
      </c>
      <c r="AB54" s="121" t="str">
        <f t="array" ref="AB54">IF(ISBLANK($AE54), "-",INDEX(Circuits!Z:Z,SUMPRODUCT(EXACT($AE54,Circuits!$A:$A)*ROW(Circuits!$A:$A))))</f>
        <v>-</v>
      </c>
      <c r="AC54" s="194"/>
      <c r="AD54" s="194"/>
      <c r="AE54" s="40"/>
      <c r="AF54" s="43"/>
      <c r="AG54" s="126" t="str">
        <f>IFERROR(__xludf.DUMMYFUNCTION("IF(ISBLANK(AF54), """", TEXTJOIN(CHAR(10),TRUE,ARRAYFORMULA(IF(ISERROR(SEARCH(SPLIT(AF54, "";""), $Z54)), ""x"", ""-""))))"),"")</f>
        <v/>
      </c>
      <c r="AH54" s="127" t="str">
        <f>IFERROR(__xludf.DUMMYFUNCTION("IF(ISBLANK(AK54), """", TEXTJOIN("";"" &amp; CHAR(10), TRUE, UNIQUE(SPLIT(AK54, "";"" &amp; CHAR(10)), TRUE))&amp;"";"")"),"")</f>
        <v/>
      </c>
      <c r="AI54" s="128" t="str">
        <f>IFERROR(__xludf.DUMMYFUNCTION("IF(ISBLANK(AD54), IF(ISBLANK(AE54),,IFNA(TEXTJOIN("";"" &amp; CHAR(10), TRUE, FILTER(AE:AE, SEARCH(AE54&amp;"";"", AJ:AJ)))&amp;"";"", """")), TEXTJOIN("";"" &amp; CHAR(10), TRUE, UNIQUE(SPLIT(AH54 &amp; "";"" &amp; AH54 &amp; "";"" &amp; AL54, "";"" &amp; CHAR(10)), TRUE, TRUE))&amp;"";"")"),"")</f>
        <v/>
      </c>
      <c r="AJ54" s="126" t="str">
        <f>IFERROR(__xludf.DUMMYFUNCTION("IF(AN54="""", """", TEXTJOIN("";"" &amp; CHAR(10), TRUE, UNIQUE(SPLIT(AH54 &amp; "";"" &amp; AH54 &amp; "";"" &amp; AN54, "";"" &amp; CHAR(10)), TRUE, TRUE))&amp;"";"")"),"")</f>
        <v/>
      </c>
      <c r="AK54" s="129" t="str">
        <f>IFERROR(__xludf.DUMMYFUNCTION("IF(ISBLANK(AD54), IF(ISBLANK(AE54),,AE54 &amp; "";""), TEXTJOIN(CHAR(10), TRUE, ARRAYFORMULA(VLOOKUP(SPLIT(AD54, "";"" &amp; CHAR(10)), $AC:$AH, 6, FALSE))))"),"")</f>
        <v/>
      </c>
      <c r="AL54" s="130" t="str">
        <f>IFERROR(__xludf.DUMMYFUNCTION("IF(AM54="""", """", TEXTJOIN("";"" &amp; CHAR(10), TRUE, UNIQUE(SPLIT(AM54, "";"" &amp; CHAR(10)), TRUE))&amp;"";"")"),"")</f>
        <v/>
      </c>
      <c r="AM54" s="130" t="str">
        <f>IFERROR(__xludf.DUMMYFUNCTION("IF(ISBLANK(AD54), """", TEXTJOIN(CHAR(10), TRUE, ARRAYFORMULA(VLOOKUP(SPLIT(AH54, "";"" &amp; CHAR(10)), $AE:$AI, 5, FALSE)), AF54))"),"")</f>
        <v/>
      </c>
      <c r="AN54" s="132" t="str">
        <f>IFERROR(__xludf.DUMMYFUNCTION("IF(ISBLANK(AO54), """", TEXTJOIN("";"" &amp; CHAR(10), TRUE, UNIQUE(SPLIT(AO54, "";"" &amp; CHAR(10)), TRUE))&amp;"";"")"),"")</f>
        <v/>
      </c>
      <c r="AO54" s="134" t="str">
        <f>IFERROR(__xludf.DUMMYFUNCTION("IF(ISBLANK(AD54), AF54, TEXTJOIN(CHAR(10), TRUE, ARRAYFORMULA(VLOOKUP(SPLIT(AD54, "";"" &amp; CHAR(10)), $AC:$AN, 12, FALSE))))"),"")</f>
        <v/>
      </c>
      <c r="AP54" s="130" t="str">
        <f>IF(ISBLANK(AE54),,IF(IFERROR(SEARCH(AE54&amp;";",Circuits!$AO$2),0),TRUE,FALSE))</f>
        <v/>
      </c>
      <c r="AQ54" s="130" t="str">
        <f t="shared" si="2"/>
        <v/>
      </c>
      <c r="AR54" s="130" t="str">
        <f t="shared" si="3"/>
        <v/>
      </c>
      <c r="AS54" s="136" t="str">
        <f>IFERROR(__xludf.DUMMYFUNCTION("IF(AH54="""",,SUM(ARRAYFORMULA(IF(IFERROR(SEARCH(SPLIT(AH54,CHAR(10)),Circuits!$AO$2),0)&gt;0,0,1))))"),"")</f>
        <v/>
      </c>
      <c r="AT54" s="138" t="str">
        <f t="shared" si="4"/>
        <v/>
      </c>
      <c r="AU54" s="138" t="str">
        <f t="shared" si="5"/>
        <v/>
      </c>
      <c r="AV54" s="130" t="str">
        <f>IFERROR(__xludf.DUMMYFUNCTION("IF(AI54="""",,TEXTJOIN("", "",TRUE,ARRAYFORMULA(VLOOKUP(SPLIT(AI54,"";""&amp;CHAR(10)),AE:AT,16,FALSE))))"),"")</f>
        <v/>
      </c>
      <c r="AW54" s="130" t="str">
        <f>IFERROR(__xludf.DUMMYFUNCTION("IF(ISBLANK(BK54),,TEXTJOIN("", "",TRUE,ARRAYFORMULA(VLOOKUP(IFERROR(REGEXEXTRACT(SPLIT(BK54,"";""&amp;CHAR(10)),""\[(.+)\]"")),AE:AT,16,false))))"),"")</f>
        <v/>
      </c>
      <c r="AX54" s="139" t="str">
        <f t="shared" si="6"/>
        <v/>
      </c>
      <c r="AY54" s="139" t="str">
        <f t="shared" si="7"/>
        <v/>
      </c>
      <c r="AZ54" s="106" t="str">
        <f>IFERROR(__xludf.DUMMYFUNCTION("IF(ISBLANK(AD54), BC54, TEXTJOIN(CHAR(10) &amp; CHAR(10), TRUE, ARRAYFORMULA(VLOOKUP(SPLIT(AD54, "";"" &amp; CHAR(10)), $AC:$AY, 23, FALSE))))"),"")</f>
        <v/>
      </c>
      <c r="BA54" s="140" t="s">
        <v>66</v>
      </c>
      <c r="BB54" s="190"/>
      <c r="BC54" s="196"/>
      <c r="BD54" s="106" t="str">
        <f>IFERROR(__xludf.DUMMYFUNCTION("IF(IFERROR(SEARCH(""&lt;&lt;mechanism to realize the capability&gt;&gt;"",BA54),0)=0,
 ""!! Error !! “Capability&amp;Mechanism” column: Invalid Separator:"" &amp; CHAR(10) &amp; ""Insert separator “&lt;&lt;mechanism to realize the capability&gt;&gt;.”"",
 IF(
  LEN(TRIM(CLEAN(
    INDEX(
  "&amp;"    SPLIT(BA54,""&lt;&lt;mechanism to realize the capability&gt;&gt;"",FALSE,FALSE),
      1
    )
  )))=0,
  ""!! Error !! “Capability&amp;Mechanism” column: No Capability:""  &amp; CHAR(10) &amp; ""Describe Capability before separator."",
  INDEX(
    SPLIT(BA54,""&lt;&lt;mechanism "&amp;"to realize the capability&gt;&gt;"",FALSE,FALSE),
    1
  )
 )
)
"),"!! Error !! “Capability&amp;Mechanism” column: No Capability:
Describe Capability before separator.")</f>
        <v>!! Error !! “Capability&amp;Mechanism” column: No Capability:
Describe Capability before separator.</v>
      </c>
      <c r="BE54" s="190"/>
      <c r="BF54" s="195"/>
      <c r="BG54" s="42"/>
      <c r="BH54" s="190"/>
      <c r="BI54" s="196"/>
      <c r="BJ54" s="42"/>
      <c r="BK54" s="42"/>
      <c r="BL54" s="203"/>
      <c r="BM54" s="203"/>
      <c r="BN54" s="42"/>
      <c r="BO54" s="42"/>
      <c r="BP54" s="143"/>
      <c r="BQ54" s="143"/>
      <c r="BR54" s="192"/>
      <c r="BS54" s="192"/>
      <c r="BT54" s="192"/>
      <c r="BU54" s="192"/>
      <c r="BV54" s="192"/>
      <c r="BW54" s="192"/>
      <c r="BX54" s="146" t="str">
        <f t="shared" si="8"/>
        <v/>
      </c>
    </row>
    <row r="55">
      <c r="A55" s="106" t="str">
        <f t="shared" si="1"/>
        <v/>
      </c>
      <c r="B55" s="183" t="str">
        <f t="array" ref="B55">IF(ISBLANK($AE55), "-",INDEX(Circuits!A:A,SUMPRODUCT(EXACT($AE55,Circuits!$A:$A)*ROW(Circuits!$A:$A))))</f>
        <v>-</v>
      </c>
      <c r="C55" s="183" t="str">
        <f t="array" ref="C55">IF(ISBLANK($AE55), "-",INDEX(Circuits!B:B,SUMPRODUCT(EXACT($AE55,Circuits!$A:$A)*ROW(Circuits!$A:$A))))</f>
        <v>-</v>
      </c>
      <c r="D55" s="183" t="str">
        <f t="array" ref="D55">IF(ISBLANK($AE55), "-",INDEX(Circuits!C:C,SUMPRODUCT(EXACT($AE55,Circuits!$A:$A)*ROW(Circuits!$A:$A))))</f>
        <v>-</v>
      </c>
      <c r="E55" s="183" t="str">
        <f t="array" ref="E55">IF(ISBLANK($AE55), "-",INDEX(Circuits!D:D,SUMPRODUCT(EXACT($AE55,Circuits!$A:$A)*ROW(Circuits!$A:$A))))</f>
        <v>-</v>
      </c>
      <c r="F55" s="183" t="str">
        <f t="array" ref="F55">IF(ISBLANK($AE55), "-",INDEX(Circuits!E:E,SUMPRODUCT(EXACT($AE55,Circuits!$A:$A)*ROW(Circuits!$A:$A))))</f>
        <v>-</v>
      </c>
      <c r="G55" s="183" t="str">
        <f t="array" ref="G55">IF(ISBLANK($AE55), "-",INDEX(Circuits!F:F,SUMPRODUCT(EXACT($AE55,Circuits!$A:$A)*ROW(Circuits!$A:$A))))</f>
        <v>-</v>
      </c>
      <c r="H55" s="183" t="str">
        <f t="array" ref="H55">IF(ISBLANK($AE55), "-",INDEX(Circuits!G:G,SUMPRODUCT(EXACT($AE55,Circuits!$A:$A)*ROW(Circuits!$A:$A))))</f>
        <v>-</v>
      </c>
      <c r="I55" s="183" t="str">
        <f t="array" ref="I55">IF(ISBLANK($AE55), "-",INDEX(Circuits!H:H,SUMPRODUCT(EXACT($AE55,Circuits!$A:$A)*ROW(Circuits!$A:$A))))</f>
        <v>-</v>
      </c>
      <c r="J55" s="183" t="str">
        <f t="array" ref="J55">IF(ISBLANK($AE55), "-",INDEX(Circuits!I:I,SUMPRODUCT(EXACT($AE55,Circuits!$A:$A)*ROW(Circuits!$A:$A))))</f>
        <v>-</v>
      </c>
      <c r="K55" s="183" t="str">
        <f t="array" ref="K55">IF(ISBLANK($AE55), "-",INDEX(Circuits!J:J,SUMPRODUCT(EXACT($AE55,Circuits!$A:$A)*ROW(Circuits!$A:$A))))</f>
        <v>-</v>
      </c>
      <c r="L55" s="183" t="str">
        <f t="array" ref="L55">IF(ISBLANK($AE55), "-",INDEX(Circuits!K:K,SUMPRODUCT(EXACT($AE55,Circuits!$A:$A)*ROW(Circuits!$A:$A))))</f>
        <v>-</v>
      </c>
      <c r="M55" s="183" t="str">
        <f t="array" ref="M55">IF(ISBLANK($AE55), "-",INDEX(Circuits!L:L,SUMPRODUCT(EXACT($AE55,Circuits!$A:$A)*ROW(Circuits!$A:$A))))</f>
        <v>-</v>
      </c>
      <c r="N55" s="183" t="str">
        <f t="array" ref="N55">IF(ISBLANK($AE55), "-",INDEX(Circuits!M:M,SUMPRODUCT(EXACT($AE55,Circuits!$A:$A)*ROW(Circuits!$A:$A))))</f>
        <v>-</v>
      </c>
      <c r="O55" s="183" t="str">
        <f t="array" ref="O55">IF(ISBLANK($AE55), "-",INDEX(Circuits!N:N,SUMPRODUCT(EXACT($AE55,Circuits!$A:$A)*ROW(Circuits!$A:$A))))</f>
        <v>-</v>
      </c>
      <c r="P55" s="183" t="str">
        <f t="array" ref="P55">IF(ISBLANK($AE55), "-",INDEX(Circuits!O:O,SUMPRODUCT(EXACT($AE55,Circuits!$A:$A)*ROW(Circuits!$A:$A))))</f>
        <v>-</v>
      </c>
      <c r="Q55" s="183" t="str">
        <f t="array" ref="Q55">IF(ISBLANK($AE55), "-",INDEX(Circuits!P:P,SUMPRODUCT(EXACT($AE55,Circuits!$A:$A)*ROW(Circuits!$A:$A))))</f>
        <v>-</v>
      </c>
      <c r="R55" s="183" t="str">
        <f t="array" ref="R55">IF(ISBLANK($AE55), "-",INDEX(Circuits!Q:Q,SUMPRODUCT(EXACT($AE55,Circuits!$A:$A)*ROW(Circuits!$A:$A))))</f>
        <v>-</v>
      </c>
      <c r="S55" s="183" t="str">
        <f t="array" ref="S55">IF(ISBLANK($AE55), "-",INDEX(Circuits!R:R,SUMPRODUCT(EXACT($AE55,Circuits!$A:$A)*ROW(Circuits!$A:$A))))</f>
        <v>-</v>
      </c>
      <c r="T55" s="183" t="str">
        <f t="array" ref="T55">IF(ISBLANK($AE55), "-",INDEX(Circuits!S:S,SUMPRODUCT(EXACT($AE55,Circuits!$A:$A)*ROW(Circuits!$A:$A))))</f>
        <v>-</v>
      </c>
      <c r="U55" s="183" t="str">
        <f t="array" ref="U55">IF(ISBLANK($AE55), "-",INDEX(Circuits!T:T,SUMPRODUCT(EXACT($AE55,Circuits!$A:$A)*ROW(Circuits!$A:$A))))</f>
        <v>-</v>
      </c>
      <c r="V55" s="183" t="str">
        <f t="array" ref="V55">IF(ISBLANK($AE55), "-",INDEX(Circuits!U:U,SUMPRODUCT(EXACT($AE55,Circuits!$A:$A)*ROW(Circuits!$A:$A))))</f>
        <v>-</v>
      </c>
      <c r="W55" s="183" t="str">
        <f t="array" ref="W55">IF(ISBLANK($AE55), "-",INDEX(Circuits!V:V,SUMPRODUCT(EXACT($AE55,Circuits!$A:$A)*ROW(Circuits!$A:$A))))</f>
        <v>-</v>
      </c>
      <c r="X55" s="183" t="str">
        <f t="array" ref="X55">IF(ISBLANK($AE55), "-",INDEX(Circuits!W:W,SUMPRODUCT(EXACT($AE55,Circuits!$A:$A)*ROW(Circuits!$A:$A))))</f>
        <v>-</v>
      </c>
      <c r="Y55" s="183" t="str">
        <f t="array" ref="Y55">IF(ISBLANK($AE55), "-",INDEX(Circuits!X:X,SUMPRODUCT(EXACT($AE55,Circuits!$A:$A)*ROW(Circuits!$A:$A))))</f>
        <v>-</v>
      </c>
      <c r="Z55" s="108" t="str">
        <f>IFERROR(__xludf.DUMMYFUNCTION("IFNA(CONCATENATE(UNIQUE(FILTER(Connections!R:R,Connections!A:A=B55))),""-"")"),"-")</f>
        <v>-</v>
      </c>
      <c r="AA55" s="119" t="str">
        <f t="array" ref="AA55">IF(ISBLANK($AE55), "-",INDEX(Circuits!Y:Y,SUMPRODUCT(EXACT($AE55,Circuits!$A:$A)*ROW(Circuits!$A:$A))))</f>
        <v>-</v>
      </c>
      <c r="AB55" s="121" t="str">
        <f t="array" ref="AB55">IF(ISBLANK($AE55), "-",INDEX(Circuits!Z:Z,SUMPRODUCT(EXACT($AE55,Circuits!$A:$A)*ROW(Circuits!$A:$A))))</f>
        <v>-</v>
      </c>
      <c r="AC55" s="194"/>
      <c r="AD55" s="194"/>
      <c r="AE55" s="40"/>
      <c r="AF55" s="43"/>
      <c r="AG55" s="126" t="str">
        <f>IFERROR(__xludf.DUMMYFUNCTION("IF(ISBLANK(AF55), """", TEXTJOIN(CHAR(10),TRUE,ARRAYFORMULA(IF(ISERROR(SEARCH(SPLIT(AF55, "";""), $Z55)), ""x"", ""-""))))"),"")</f>
        <v/>
      </c>
      <c r="AH55" s="127" t="str">
        <f>IFERROR(__xludf.DUMMYFUNCTION("IF(ISBLANK(AK55), """", TEXTJOIN("";"" &amp; CHAR(10), TRUE, UNIQUE(SPLIT(AK55, "";"" &amp; CHAR(10)), TRUE))&amp;"";"")"),"")</f>
        <v/>
      </c>
      <c r="AI55" s="128" t="str">
        <f>IFERROR(__xludf.DUMMYFUNCTION("IF(ISBLANK(AD55), IF(ISBLANK(AE55),,IFNA(TEXTJOIN("";"" &amp; CHAR(10), TRUE, FILTER(AE:AE, SEARCH(AE55&amp;"";"", AJ:AJ)))&amp;"";"", """")), TEXTJOIN("";"" &amp; CHAR(10), TRUE, UNIQUE(SPLIT(AH55 &amp; "";"" &amp; AH55 &amp; "";"" &amp; AL55, "";"" &amp; CHAR(10)), TRUE, TRUE))&amp;"";"")"),"")</f>
        <v/>
      </c>
      <c r="AJ55" s="126" t="str">
        <f>IFERROR(__xludf.DUMMYFUNCTION("IF(AN55="""", """", TEXTJOIN("";"" &amp; CHAR(10), TRUE, UNIQUE(SPLIT(AH55 &amp; "";"" &amp; AH55 &amp; "";"" &amp; AN55, "";"" &amp; CHAR(10)), TRUE, TRUE))&amp;"";"")"),"")</f>
        <v/>
      </c>
      <c r="AK55" s="129" t="str">
        <f>IFERROR(__xludf.DUMMYFUNCTION("IF(ISBLANK(AD55), IF(ISBLANK(AE55),,AE55 &amp; "";""), TEXTJOIN(CHAR(10), TRUE, ARRAYFORMULA(VLOOKUP(SPLIT(AD55, "";"" &amp; CHAR(10)), $AC:$AH, 6, FALSE))))"),"")</f>
        <v/>
      </c>
      <c r="AL55" s="130" t="str">
        <f>IFERROR(__xludf.DUMMYFUNCTION("IF(AM55="""", """", TEXTJOIN("";"" &amp; CHAR(10), TRUE, UNIQUE(SPLIT(AM55, "";"" &amp; CHAR(10)), TRUE))&amp;"";"")"),"")</f>
        <v/>
      </c>
      <c r="AM55" s="130" t="str">
        <f>IFERROR(__xludf.DUMMYFUNCTION("IF(ISBLANK(AD55), """", TEXTJOIN(CHAR(10), TRUE, ARRAYFORMULA(VLOOKUP(SPLIT(AH55, "";"" &amp; CHAR(10)), $AE:$AI, 5, FALSE)), AF55))"),"")</f>
        <v/>
      </c>
      <c r="AN55" s="132" t="str">
        <f>IFERROR(__xludf.DUMMYFUNCTION("IF(ISBLANK(AO55), """", TEXTJOIN("";"" &amp; CHAR(10), TRUE, UNIQUE(SPLIT(AO55, "";"" &amp; CHAR(10)), TRUE))&amp;"";"")"),"")</f>
        <v/>
      </c>
      <c r="AO55" s="134" t="str">
        <f>IFERROR(__xludf.DUMMYFUNCTION("IF(ISBLANK(AD55), AF55, TEXTJOIN(CHAR(10), TRUE, ARRAYFORMULA(VLOOKUP(SPLIT(AD55, "";"" &amp; CHAR(10)), $AC:$AN, 12, FALSE))))"),"")</f>
        <v/>
      </c>
      <c r="AP55" s="130" t="str">
        <f>IF(ISBLANK(AE55),,IF(IFERROR(SEARCH(AE55&amp;";",Circuits!$AO$2),0),TRUE,FALSE))</f>
        <v/>
      </c>
      <c r="AQ55" s="130" t="str">
        <f t="shared" si="2"/>
        <v/>
      </c>
      <c r="AR55" s="130" t="str">
        <f t="shared" si="3"/>
        <v/>
      </c>
      <c r="AS55" s="136" t="str">
        <f>IFERROR(__xludf.DUMMYFUNCTION("IF(AH55="""",,SUM(ARRAYFORMULA(IF(IFERROR(SEARCH(SPLIT(AH55,CHAR(10)),Circuits!$AO$2),0)&gt;0,0,1))))"),"")</f>
        <v/>
      </c>
      <c r="AT55" s="138" t="str">
        <f t="shared" si="4"/>
        <v/>
      </c>
      <c r="AU55" s="138" t="str">
        <f t="shared" si="5"/>
        <v/>
      </c>
      <c r="AV55" s="130" t="str">
        <f>IFERROR(__xludf.DUMMYFUNCTION("IF(AI55="""",,TEXTJOIN("", "",TRUE,ARRAYFORMULA(VLOOKUP(SPLIT(AI55,"";""&amp;CHAR(10)),AE:AT,16,FALSE))))"),"")</f>
        <v/>
      </c>
      <c r="AW55" s="130" t="str">
        <f>IFERROR(__xludf.DUMMYFUNCTION("IF(ISBLANK(BK55),,TEXTJOIN("", "",TRUE,ARRAYFORMULA(VLOOKUP(IFERROR(REGEXEXTRACT(SPLIT(BK55,"";""&amp;CHAR(10)),""\[(.+)\]"")),AE:AT,16,false))))"),"")</f>
        <v/>
      </c>
      <c r="AX55" s="139" t="str">
        <f t="shared" si="6"/>
        <v/>
      </c>
      <c r="AY55" s="139" t="str">
        <f t="shared" si="7"/>
        <v/>
      </c>
      <c r="AZ55" s="106" t="str">
        <f>IFERROR(__xludf.DUMMYFUNCTION("IF(ISBLANK(AD55), BC55, TEXTJOIN(CHAR(10) &amp; CHAR(10), TRUE, ARRAYFORMULA(VLOOKUP(SPLIT(AD55, "";"" &amp; CHAR(10)), $AC:$AY, 23, FALSE))))"),"")</f>
        <v/>
      </c>
      <c r="BA55" s="140" t="s">
        <v>66</v>
      </c>
      <c r="BB55" s="190"/>
      <c r="BC55" s="196"/>
      <c r="BD55" s="106" t="str">
        <f>IFERROR(__xludf.DUMMYFUNCTION("IF(IFERROR(SEARCH(""&lt;&lt;mechanism to realize the capability&gt;&gt;"",BA55),0)=0,
 ""!! Error !! “Capability&amp;Mechanism” column: Invalid Separator:"" &amp; CHAR(10) &amp; ""Insert separator “&lt;&lt;mechanism to realize the capability&gt;&gt;.”"",
 IF(
  LEN(TRIM(CLEAN(
    INDEX(
  "&amp;"    SPLIT(BA55,""&lt;&lt;mechanism to realize the capability&gt;&gt;"",FALSE,FALSE),
      1
    )
  )))=0,
  ""!! Error !! “Capability&amp;Mechanism” column: No Capability:""  &amp; CHAR(10) &amp; ""Describe Capability before separator."",
  INDEX(
    SPLIT(BA55,""&lt;&lt;mechanism "&amp;"to realize the capability&gt;&gt;"",FALSE,FALSE),
    1
  )
 )
)
"),"!! Error !! “Capability&amp;Mechanism” column: No Capability:
Describe Capability before separator.")</f>
        <v>!! Error !! “Capability&amp;Mechanism” column: No Capability:
Describe Capability before separator.</v>
      </c>
      <c r="BE55" s="190"/>
      <c r="BF55" s="195"/>
      <c r="BG55" s="42"/>
      <c r="BH55" s="190"/>
      <c r="BI55" s="196"/>
      <c r="BJ55" s="42"/>
      <c r="BK55" s="42"/>
      <c r="BL55" s="203"/>
      <c r="BM55" s="203"/>
      <c r="BN55" s="42"/>
      <c r="BO55" s="42"/>
      <c r="BP55" s="143"/>
      <c r="BQ55" s="143"/>
      <c r="BR55" s="192"/>
      <c r="BS55" s="192"/>
      <c r="BT55" s="192"/>
      <c r="BU55" s="192"/>
      <c r="BV55" s="192"/>
      <c r="BW55" s="192"/>
      <c r="BX55" s="146" t="str">
        <f t="shared" si="8"/>
        <v/>
      </c>
    </row>
    <row r="56">
      <c r="A56" s="106" t="str">
        <f t="shared" si="1"/>
        <v/>
      </c>
      <c r="B56" s="183" t="str">
        <f t="array" ref="B56">IF(ISBLANK($AE56), "-",INDEX(Circuits!A:A,SUMPRODUCT(EXACT($AE56,Circuits!$A:$A)*ROW(Circuits!$A:$A))))</f>
        <v>-</v>
      </c>
      <c r="C56" s="183" t="str">
        <f t="array" ref="C56">IF(ISBLANK($AE56), "-",INDEX(Circuits!B:B,SUMPRODUCT(EXACT($AE56,Circuits!$A:$A)*ROW(Circuits!$A:$A))))</f>
        <v>-</v>
      </c>
      <c r="D56" s="183" t="str">
        <f t="array" ref="D56">IF(ISBLANK($AE56), "-",INDEX(Circuits!C:C,SUMPRODUCT(EXACT($AE56,Circuits!$A:$A)*ROW(Circuits!$A:$A))))</f>
        <v>-</v>
      </c>
      <c r="E56" s="183" t="str">
        <f t="array" ref="E56">IF(ISBLANK($AE56), "-",INDEX(Circuits!D:D,SUMPRODUCT(EXACT($AE56,Circuits!$A:$A)*ROW(Circuits!$A:$A))))</f>
        <v>-</v>
      </c>
      <c r="F56" s="183" t="str">
        <f t="array" ref="F56">IF(ISBLANK($AE56), "-",INDEX(Circuits!E:E,SUMPRODUCT(EXACT($AE56,Circuits!$A:$A)*ROW(Circuits!$A:$A))))</f>
        <v>-</v>
      </c>
      <c r="G56" s="183" t="str">
        <f t="array" ref="G56">IF(ISBLANK($AE56), "-",INDEX(Circuits!F:F,SUMPRODUCT(EXACT($AE56,Circuits!$A:$A)*ROW(Circuits!$A:$A))))</f>
        <v>-</v>
      </c>
      <c r="H56" s="183" t="str">
        <f t="array" ref="H56">IF(ISBLANK($AE56), "-",INDEX(Circuits!G:G,SUMPRODUCT(EXACT($AE56,Circuits!$A:$A)*ROW(Circuits!$A:$A))))</f>
        <v>-</v>
      </c>
      <c r="I56" s="183" t="str">
        <f t="array" ref="I56">IF(ISBLANK($AE56), "-",INDEX(Circuits!H:H,SUMPRODUCT(EXACT($AE56,Circuits!$A:$A)*ROW(Circuits!$A:$A))))</f>
        <v>-</v>
      </c>
      <c r="J56" s="183" t="str">
        <f t="array" ref="J56">IF(ISBLANK($AE56), "-",INDEX(Circuits!I:I,SUMPRODUCT(EXACT($AE56,Circuits!$A:$A)*ROW(Circuits!$A:$A))))</f>
        <v>-</v>
      </c>
      <c r="K56" s="183" t="str">
        <f t="array" ref="K56">IF(ISBLANK($AE56), "-",INDEX(Circuits!J:J,SUMPRODUCT(EXACT($AE56,Circuits!$A:$A)*ROW(Circuits!$A:$A))))</f>
        <v>-</v>
      </c>
      <c r="L56" s="183" t="str">
        <f t="array" ref="L56">IF(ISBLANK($AE56), "-",INDEX(Circuits!K:K,SUMPRODUCT(EXACT($AE56,Circuits!$A:$A)*ROW(Circuits!$A:$A))))</f>
        <v>-</v>
      </c>
      <c r="M56" s="183" t="str">
        <f t="array" ref="M56">IF(ISBLANK($AE56), "-",INDEX(Circuits!L:L,SUMPRODUCT(EXACT($AE56,Circuits!$A:$A)*ROW(Circuits!$A:$A))))</f>
        <v>-</v>
      </c>
      <c r="N56" s="183" t="str">
        <f t="array" ref="N56">IF(ISBLANK($AE56), "-",INDEX(Circuits!M:M,SUMPRODUCT(EXACT($AE56,Circuits!$A:$A)*ROW(Circuits!$A:$A))))</f>
        <v>-</v>
      </c>
      <c r="O56" s="183" t="str">
        <f t="array" ref="O56">IF(ISBLANK($AE56), "-",INDEX(Circuits!N:N,SUMPRODUCT(EXACT($AE56,Circuits!$A:$A)*ROW(Circuits!$A:$A))))</f>
        <v>-</v>
      </c>
      <c r="P56" s="183" t="str">
        <f t="array" ref="P56">IF(ISBLANK($AE56), "-",INDEX(Circuits!O:O,SUMPRODUCT(EXACT($AE56,Circuits!$A:$A)*ROW(Circuits!$A:$A))))</f>
        <v>-</v>
      </c>
      <c r="Q56" s="183" t="str">
        <f t="array" ref="Q56">IF(ISBLANK($AE56), "-",INDEX(Circuits!P:P,SUMPRODUCT(EXACT($AE56,Circuits!$A:$A)*ROW(Circuits!$A:$A))))</f>
        <v>-</v>
      </c>
      <c r="R56" s="183" t="str">
        <f t="array" ref="R56">IF(ISBLANK($AE56), "-",INDEX(Circuits!Q:Q,SUMPRODUCT(EXACT($AE56,Circuits!$A:$A)*ROW(Circuits!$A:$A))))</f>
        <v>-</v>
      </c>
      <c r="S56" s="183" t="str">
        <f t="array" ref="S56">IF(ISBLANK($AE56), "-",INDEX(Circuits!R:R,SUMPRODUCT(EXACT($AE56,Circuits!$A:$A)*ROW(Circuits!$A:$A))))</f>
        <v>-</v>
      </c>
      <c r="T56" s="183" t="str">
        <f t="array" ref="T56">IF(ISBLANK($AE56), "-",INDEX(Circuits!S:S,SUMPRODUCT(EXACT($AE56,Circuits!$A:$A)*ROW(Circuits!$A:$A))))</f>
        <v>-</v>
      </c>
      <c r="U56" s="183" t="str">
        <f t="array" ref="U56">IF(ISBLANK($AE56), "-",INDEX(Circuits!T:T,SUMPRODUCT(EXACT($AE56,Circuits!$A:$A)*ROW(Circuits!$A:$A))))</f>
        <v>-</v>
      </c>
      <c r="V56" s="183" t="str">
        <f t="array" ref="V56">IF(ISBLANK($AE56), "-",INDEX(Circuits!U:U,SUMPRODUCT(EXACT($AE56,Circuits!$A:$A)*ROW(Circuits!$A:$A))))</f>
        <v>-</v>
      </c>
      <c r="W56" s="183" t="str">
        <f t="array" ref="W56">IF(ISBLANK($AE56), "-",INDEX(Circuits!V:V,SUMPRODUCT(EXACT($AE56,Circuits!$A:$A)*ROW(Circuits!$A:$A))))</f>
        <v>-</v>
      </c>
      <c r="X56" s="183" t="str">
        <f t="array" ref="X56">IF(ISBLANK($AE56), "-",INDEX(Circuits!W:W,SUMPRODUCT(EXACT($AE56,Circuits!$A:$A)*ROW(Circuits!$A:$A))))</f>
        <v>-</v>
      </c>
      <c r="Y56" s="183" t="str">
        <f t="array" ref="Y56">IF(ISBLANK($AE56), "-",INDEX(Circuits!X:X,SUMPRODUCT(EXACT($AE56,Circuits!$A:$A)*ROW(Circuits!$A:$A))))</f>
        <v>-</v>
      </c>
      <c r="Z56" s="108" t="str">
        <f>IFERROR(__xludf.DUMMYFUNCTION("IFNA(CONCATENATE(UNIQUE(FILTER(Connections!R:R,Connections!A:A=B56))),""-"")"),"-")</f>
        <v>-</v>
      </c>
      <c r="AA56" s="119" t="str">
        <f t="array" ref="AA56">IF(ISBLANK($AE56), "-",INDEX(Circuits!Y:Y,SUMPRODUCT(EXACT($AE56,Circuits!$A:$A)*ROW(Circuits!$A:$A))))</f>
        <v>-</v>
      </c>
      <c r="AB56" s="121" t="str">
        <f t="array" ref="AB56">IF(ISBLANK($AE56), "-",INDEX(Circuits!Z:Z,SUMPRODUCT(EXACT($AE56,Circuits!$A:$A)*ROW(Circuits!$A:$A))))</f>
        <v>-</v>
      </c>
      <c r="AC56" s="194"/>
      <c r="AD56" s="194"/>
      <c r="AE56" s="40"/>
      <c r="AF56" s="43"/>
      <c r="AG56" s="126" t="str">
        <f>IFERROR(__xludf.DUMMYFUNCTION("IF(ISBLANK(AF56), """", TEXTJOIN(CHAR(10),TRUE,ARRAYFORMULA(IF(ISERROR(SEARCH(SPLIT(AF56, "";""), $Z56)), ""x"", ""-""))))"),"")</f>
        <v/>
      </c>
      <c r="AH56" s="127" t="str">
        <f>IFERROR(__xludf.DUMMYFUNCTION("IF(ISBLANK(AK56), """", TEXTJOIN("";"" &amp; CHAR(10), TRUE, UNIQUE(SPLIT(AK56, "";"" &amp; CHAR(10)), TRUE))&amp;"";"")"),"")</f>
        <v/>
      </c>
      <c r="AI56" s="128" t="str">
        <f>IFERROR(__xludf.DUMMYFUNCTION("IF(ISBLANK(AD56), IF(ISBLANK(AE56),,IFNA(TEXTJOIN("";"" &amp; CHAR(10), TRUE, FILTER(AE:AE, SEARCH(AE56&amp;"";"", AJ:AJ)))&amp;"";"", """")), TEXTJOIN("";"" &amp; CHAR(10), TRUE, UNIQUE(SPLIT(AH56 &amp; "";"" &amp; AH56 &amp; "";"" &amp; AL56, "";"" &amp; CHAR(10)), TRUE, TRUE))&amp;"";"")"),"")</f>
        <v/>
      </c>
      <c r="AJ56" s="126" t="str">
        <f>IFERROR(__xludf.DUMMYFUNCTION("IF(AN56="""", """", TEXTJOIN("";"" &amp; CHAR(10), TRUE, UNIQUE(SPLIT(AH56 &amp; "";"" &amp; AH56 &amp; "";"" &amp; AN56, "";"" &amp; CHAR(10)), TRUE, TRUE))&amp;"";"")"),"")</f>
        <v/>
      </c>
      <c r="AK56" s="129" t="str">
        <f>IFERROR(__xludf.DUMMYFUNCTION("IF(ISBLANK(AD56), IF(ISBLANK(AE56),,AE56 &amp; "";""), TEXTJOIN(CHAR(10), TRUE, ARRAYFORMULA(VLOOKUP(SPLIT(AD56, "";"" &amp; CHAR(10)), $AC:$AH, 6, FALSE))))"),"")</f>
        <v/>
      </c>
      <c r="AL56" s="130" t="str">
        <f>IFERROR(__xludf.DUMMYFUNCTION("IF(AM56="""", """", TEXTJOIN("";"" &amp; CHAR(10), TRUE, UNIQUE(SPLIT(AM56, "";"" &amp; CHAR(10)), TRUE))&amp;"";"")"),"")</f>
        <v/>
      </c>
      <c r="AM56" s="130" t="str">
        <f>IFERROR(__xludf.DUMMYFUNCTION("IF(ISBLANK(AD56), """", TEXTJOIN(CHAR(10), TRUE, ARRAYFORMULA(VLOOKUP(SPLIT(AH56, "";"" &amp; CHAR(10)), $AE:$AI, 5, FALSE)), AF56))"),"")</f>
        <v/>
      </c>
      <c r="AN56" s="132" t="str">
        <f>IFERROR(__xludf.DUMMYFUNCTION("IF(ISBLANK(AO56), """", TEXTJOIN("";"" &amp; CHAR(10), TRUE, UNIQUE(SPLIT(AO56, "";"" &amp; CHAR(10)), TRUE))&amp;"";"")"),"")</f>
        <v/>
      </c>
      <c r="AO56" s="134" t="str">
        <f>IFERROR(__xludf.DUMMYFUNCTION("IF(ISBLANK(AD56), AF56, TEXTJOIN(CHAR(10), TRUE, ARRAYFORMULA(VLOOKUP(SPLIT(AD56, "";"" &amp; CHAR(10)), $AC:$AN, 12, FALSE))))"),"")</f>
        <v/>
      </c>
      <c r="AP56" s="130" t="str">
        <f>IF(ISBLANK(AE56),,IF(IFERROR(SEARCH(AE56&amp;";",Circuits!$AO$2),0),TRUE,FALSE))</f>
        <v/>
      </c>
      <c r="AQ56" s="130" t="str">
        <f t="shared" si="2"/>
        <v/>
      </c>
      <c r="AR56" s="130" t="str">
        <f t="shared" si="3"/>
        <v/>
      </c>
      <c r="AS56" s="136" t="str">
        <f>IFERROR(__xludf.DUMMYFUNCTION("IF(AH56="""",,SUM(ARRAYFORMULA(IF(IFERROR(SEARCH(SPLIT(AH56,CHAR(10)),Circuits!$AO$2),0)&gt;0,0,1))))"),"")</f>
        <v/>
      </c>
      <c r="AT56" s="138" t="str">
        <f t="shared" si="4"/>
        <v/>
      </c>
      <c r="AU56" s="138" t="str">
        <f t="shared" si="5"/>
        <v/>
      </c>
      <c r="AV56" s="130" t="str">
        <f>IFERROR(__xludf.DUMMYFUNCTION("IF(AI56="""",,TEXTJOIN("", "",TRUE,ARRAYFORMULA(VLOOKUP(SPLIT(AI56,"";""&amp;CHAR(10)),AE:AT,16,FALSE))))"),"")</f>
        <v/>
      </c>
      <c r="AW56" s="130" t="str">
        <f>IFERROR(__xludf.DUMMYFUNCTION("IF(ISBLANK(BK56),,TEXTJOIN("", "",TRUE,ARRAYFORMULA(VLOOKUP(IFERROR(REGEXEXTRACT(SPLIT(BK56,"";""&amp;CHAR(10)),""\[(.+)\]"")),AE:AT,16,false))))"),"")</f>
        <v/>
      </c>
      <c r="AX56" s="139" t="str">
        <f t="shared" si="6"/>
        <v/>
      </c>
      <c r="AY56" s="139" t="str">
        <f t="shared" si="7"/>
        <v/>
      </c>
      <c r="AZ56" s="106" t="str">
        <f>IFERROR(__xludf.DUMMYFUNCTION("IF(ISBLANK(AD56), BC56, TEXTJOIN(CHAR(10) &amp; CHAR(10), TRUE, ARRAYFORMULA(VLOOKUP(SPLIT(AD56, "";"" &amp; CHAR(10)), $AC:$AY, 23, FALSE))))"),"")</f>
        <v/>
      </c>
      <c r="BA56" s="140" t="s">
        <v>66</v>
      </c>
      <c r="BB56" s="190"/>
      <c r="BC56" s="196"/>
      <c r="BD56" s="106" t="str">
        <f>IFERROR(__xludf.DUMMYFUNCTION("IF(IFERROR(SEARCH(""&lt;&lt;mechanism to realize the capability&gt;&gt;"",BA56),0)=0,
 ""!! Error !! “Capability&amp;Mechanism” column: Invalid Separator:"" &amp; CHAR(10) &amp; ""Insert separator “&lt;&lt;mechanism to realize the capability&gt;&gt;.”"",
 IF(
  LEN(TRIM(CLEAN(
    INDEX(
  "&amp;"    SPLIT(BA56,""&lt;&lt;mechanism to realize the capability&gt;&gt;"",FALSE,FALSE),
      1
    )
  )))=0,
  ""!! Error !! “Capability&amp;Mechanism” column: No Capability:""  &amp; CHAR(10) &amp; ""Describe Capability before separator."",
  INDEX(
    SPLIT(BA56,""&lt;&lt;mechanism "&amp;"to realize the capability&gt;&gt;"",FALSE,FALSE),
    1
  )
 )
)
"),"!! Error !! “Capability&amp;Mechanism” column: No Capability:
Describe Capability before separator.")</f>
        <v>!! Error !! “Capability&amp;Mechanism” column: No Capability:
Describe Capability before separator.</v>
      </c>
      <c r="BE56" s="190"/>
      <c r="BF56" s="195"/>
      <c r="BG56" s="42"/>
      <c r="BH56" s="190"/>
      <c r="BI56" s="196"/>
      <c r="BJ56" s="42"/>
      <c r="BK56" s="42"/>
      <c r="BL56" s="203"/>
      <c r="BM56" s="203"/>
      <c r="BN56" s="42"/>
      <c r="BO56" s="42"/>
      <c r="BP56" s="143"/>
      <c r="BQ56" s="143"/>
      <c r="BR56" s="192"/>
      <c r="BS56" s="192"/>
      <c r="BT56" s="192"/>
      <c r="BU56" s="192"/>
      <c r="BV56" s="192"/>
      <c r="BW56" s="192"/>
      <c r="BX56" s="146" t="str">
        <f t="shared" si="8"/>
        <v/>
      </c>
    </row>
    <row r="57">
      <c r="A57" s="106" t="str">
        <f t="shared" si="1"/>
        <v/>
      </c>
      <c r="B57" s="183" t="str">
        <f t="array" ref="B57">IF(ISBLANK($AE57), "-",INDEX(Circuits!A:A,SUMPRODUCT(EXACT($AE57,Circuits!$A:$A)*ROW(Circuits!$A:$A))))</f>
        <v>-</v>
      </c>
      <c r="C57" s="183" t="str">
        <f t="array" ref="C57">IF(ISBLANK($AE57), "-",INDEX(Circuits!B:B,SUMPRODUCT(EXACT($AE57,Circuits!$A:$A)*ROW(Circuits!$A:$A))))</f>
        <v>-</v>
      </c>
      <c r="D57" s="183" t="str">
        <f t="array" ref="D57">IF(ISBLANK($AE57), "-",INDEX(Circuits!C:C,SUMPRODUCT(EXACT($AE57,Circuits!$A:$A)*ROW(Circuits!$A:$A))))</f>
        <v>-</v>
      </c>
      <c r="E57" s="183" t="str">
        <f t="array" ref="E57">IF(ISBLANK($AE57), "-",INDEX(Circuits!D:D,SUMPRODUCT(EXACT($AE57,Circuits!$A:$A)*ROW(Circuits!$A:$A))))</f>
        <v>-</v>
      </c>
      <c r="F57" s="183" t="str">
        <f t="array" ref="F57">IF(ISBLANK($AE57), "-",INDEX(Circuits!E:E,SUMPRODUCT(EXACT($AE57,Circuits!$A:$A)*ROW(Circuits!$A:$A))))</f>
        <v>-</v>
      </c>
      <c r="G57" s="183" t="str">
        <f t="array" ref="G57">IF(ISBLANK($AE57), "-",INDEX(Circuits!F:F,SUMPRODUCT(EXACT($AE57,Circuits!$A:$A)*ROW(Circuits!$A:$A))))</f>
        <v>-</v>
      </c>
      <c r="H57" s="183" t="str">
        <f t="array" ref="H57">IF(ISBLANK($AE57), "-",INDEX(Circuits!G:G,SUMPRODUCT(EXACT($AE57,Circuits!$A:$A)*ROW(Circuits!$A:$A))))</f>
        <v>-</v>
      </c>
      <c r="I57" s="183" t="str">
        <f t="array" ref="I57">IF(ISBLANK($AE57), "-",INDEX(Circuits!H:H,SUMPRODUCT(EXACT($AE57,Circuits!$A:$A)*ROW(Circuits!$A:$A))))</f>
        <v>-</v>
      </c>
      <c r="J57" s="183" t="str">
        <f t="array" ref="J57">IF(ISBLANK($AE57), "-",INDEX(Circuits!I:I,SUMPRODUCT(EXACT($AE57,Circuits!$A:$A)*ROW(Circuits!$A:$A))))</f>
        <v>-</v>
      </c>
      <c r="K57" s="183" t="str">
        <f t="array" ref="K57">IF(ISBLANK($AE57), "-",INDEX(Circuits!J:J,SUMPRODUCT(EXACT($AE57,Circuits!$A:$A)*ROW(Circuits!$A:$A))))</f>
        <v>-</v>
      </c>
      <c r="L57" s="183" t="str">
        <f t="array" ref="L57">IF(ISBLANK($AE57), "-",INDEX(Circuits!K:K,SUMPRODUCT(EXACT($AE57,Circuits!$A:$A)*ROW(Circuits!$A:$A))))</f>
        <v>-</v>
      </c>
      <c r="M57" s="183" t="str">
        <f t="array" ref="M57">IF(ISBLANK($AE57), "-",INDEX(Circuits!L:L,SUMPRODUCT(EXACT($AE57,Circuits!$A:$A)*ROW(Circuits!$A:$A))))</f>
        <v>-</v>
      </c>
      <c r="N57" s="183" t="str">
        <f t="array" ref="N57">IF(ISBLANK($AE57), "-",INDEX(Circuits!M:M,SUMPRODUCT(EXACT($AE57,Circuits!$A:$A)*ROW(Circuits!$A:$A))))</f>
        <v>-</v>
      </c>
      <c r="O57" s="183" t="str">
        <f t="array" ref="O57">IF(ISBLANK($AE57), "-",INDEX(Circuits!N:N,SUMPRODUCT(EXACT($AE57,Circuits!$A:$A)*ROW(Circuits!$A:$A))))</f>
        <v>-</v>
      </c>
      <c r="P57" s="183" t="str">
        <f t="array" ref="P57">IF(ISBLANK($AE57), "-",INDEX(Circuits!O:O,SUMPRODUCT(EXACT($AE57,Circuits!$A:$A)*ROW(Circuits!$A:$A))))</f>
        <v>-</v>
      </c>
      <c r="Q57" s="183" t="str">
        <f t="array" ref="Q57">IF(ISBLANK($AE57), "-",INDEX(Circuits!P:P,SUMPRODUCT(EXACT($AE57,Circuits!$A:$A)*ROW(Circuits!$A:$A))))</f>
        <v>-</v>
      </c>
      <c r="R57" s="183" t="str">
        <f t="array" ref="R57">IF(ISBLANK($AE57), "-",INDEX(Circuits!Q:Q,SUMPRODUCT(EXACT($AE57,Circuits!$A:$A)*ROW(Circuits!$A:$A))))</f>
        <v>-</v>
      </c>
      <c r="S57" s="183" t="str">
        <f t="array" ref="S57">IF(ISBLANK($AE57), "-",INDEX(Circuits!R:R,SUMPRODUCT(EXACT($AE57,Circuits!$A:$A)*ROW(Circuits!$A:$A))))</f>
        <v>-</v>
      </c>
      <c r="T57" s="183" t="str">
        <f t="array" ref="T57">IF(ISBLANK($AE57), "-",INDEX(Circuits!S:S,SUMPRODUCT(EXACT($AE57,Circuits!$A:$A)*ROW(Circuits!$A:$A))))</f>
        <v>-</v>
      </c>
      <c r="U57" s="183" t="str">
        <f t="array" ref="U57">IF(ISBLANK($AE57), "-",INDEX(Circuits!T:T,SUMPRODUCT(EXACT($AE57,Circuits!$A:$A)*ROW(Circuits!$A:$A))))</f>
        <v>-</v>
      </c>
      <c r="V57" s="183" t="str">
        <f t="array" ref="V57">IF(ISBLANK($AE57), "-",INDEX(Circuits!U:U,SUMPRODUCT(EXACT($AE57,Circuits!$A:$A)*ROW(Circuits!$A:$A))))</f>
        <v>-</v>
      </c>
      <c r="W57" s="183" t="str">
        <f t="array" ref="W57">IF(ISBLANK($AE57), "-",INDEX(Circuits!V:V,SUMPRODUCT(EXACT($AE57,Circuits!$A:$A)*ROW(Circuits!$A:$A))))</f>
        <v>-</v>
      </c>
      <c r="X57" s="183" t="str">
        <f t="array" ref="X57">IF(ISBLANK($AE57), "-",INDEX(Circuits!W:W,SUMPRODUCT(EXACT($AE57,Circuits!$A:$A)*ROW(Circuits!$A:$A))))</f>
        <v>-</v>
      </c>
      <c r="Y57" s="183" t="str">
        <f t="array" ref="Y57">IF(ISBLANK($AE57), "-",INDEX(Circuits!X:X,SUMPRODUCT(EXACT($AE57,Circuits!$A:$A)*ROW(Circuits!$A:$A))))</f>
        <v>-</v>
      </c>
      <c r="Z57" s="108" t="str">
        <f>IFERROR(__xludf.DUMMYFUNCTION("IFNA(CONCATENATE(UNIQUE(FILTER(Connections!R:R,Connections!A:A=B57))),""-"")"),"-")</f>
        <v>-</v>
      </c>
      <c r="AA57" s="119" t="str">
        <f t="array" ref="AA57">IF(ISBLANK($AE57), "-",INDEX(Circuits!Y:Y,SUMPRODUCT(EXACT($AE57,Circuits!$A:$A)*ROW(Circuits!$A:$A))))</f>
        <v>-</v>
      </c>
      <c r="AB57" s="121" t="str">
        <f t="array" ref="AB57">IF(ISBLANK($AE57), "-",INDEX(Circuits!Z:Z,SUMPRODUCT(EXACT($AE57,Circuits!$A:$A)*ROW(Circuits!$A:$A))))</f>
        <v>-</v>
      </c>
      <c r="AC57" s="194"/>
      <c r="AD57" s="194"/>
      <c r="AE57" s="40"/>
      <c r="AF57" s="43"/>
      <c r="AG57" s="126" t="str">
        <f>IFERROR(__xludf.DUMMYFUNCTION("IF(ISBLANK(AF57), """", TEXTJOIN(CHAR(10),TRUE,ARRAYFORMULA(IF(ISERROR(SEARCH(SPLIT(AF57, "";""), $Z57)), ""x"", ""-""))))"),"")</f>
        <v/>
      </c>
      <c r="AH57" s="127" t="str">
        <f>IFERROR(__xludf.DUMMYFUNCTION("IF(ISBLANK(AK57), """", TEXTJOIN("";"" &amp; CHAR(10), TRUE, UNIQUE(SPLIT(AK57, "";"" &amp; CHAR(10)), TRUE))&amp;"";"")"),"")</f>
        <v/>
      </c>
      <c r="AI57" s="128" t="str">
        <f>IFERROR(__xludf.DUMMYFUNCTION("IF(ISBLANK(AD57), IF(ISBLANK(AE57),,IFNA(TEXTJOIN("";"" &amp; CHAR(10), TRUE, FILTER(AE:AE, SEARCH(AE57&amp;"";"", AJ:AJ)))&amp;"";"", """")), TEXTJOIN("";"" &amp; CHAR(10), TRUE, UNIQUE(SPLIT(AH57 &amp; "";"" &amp; AH57 &amp; "";"" &amp; AL57, "";"" &amp; CHAR(10)), TRUE, TRUE))&amp;"";"")"),"")</f>
        <v/>
      </c>
      <c r="AJ57" s="126" t="str">
        <f>IFERROR(__xludf.DUMMYFUNCTION("IF(AN57="""", """", TEXTJOIN("";"" &amp; CHAR(10), TRUE, UNIQUE(SPLIT(AH57 &amp; "";"" &amp; AH57 &amp; "";"" &amp; AN57, "";"" &amp; CHAR(10)), TRUE, TRUE))&amp;"";"")"),"")</f>
        <v/>
      </c>
      <c r="AK57" s="129" t="str">
        <f>IFERROR(__xludf.DUMMYFUNCTION("IF(ISBLANK(AD57), IF(ISBLANK(AE57),,AE57 &amp; "";""), TEXTJOIN(CHAR(10), TRUE, ARRAYFORMULA(VLOOKUP(SPLIT(AD57, "";"" &amp; CHAR(10)), $AC:$AH, 6, FALSE))))"),"")</f>
        <v/>
      </c>
      <c r="AL57" s="130" t="str">
        <f>IFERROR(__xludf.DUMMYFUNCTION("IF(AM57="""", """", TEXTJOIN("";"" &amp; CHAR(10), TRUE, UNIQUE(SPLIT(AM57, "";"" &amp; CHAR(10)), TRUE))&amp;"";"")"),"")</f>
        <v/>
      </c>
      <c r="AM57" s="130" t="str">
        <f>IFERROR(__xludf.DUMMYFUNCTION("IF(ISBLANK(AD57), """", TEXTJOIN(CHAR(10), TRUE, ARRAYFORMULA(VLOOKUP(SPLIT(AH57, "";"" &amp; CHAR(10)), $AE:$AI, 5, FALSE)), AF57))"),"")</f>
        <v/>
      </c>
      <c r="AN57" s="132" t="str">
        <f>IFERROR(__xludf.DUMMYFUNCTION("IF(ISBLANK(AO57), """", TEXTJOIN("";"" &amp; CHAR(10), TRUE, UNIQUE(SPLIT(AO57, "";"" &amp; CHAR(10)), TRUE))&amp;"";"")"),"")</f>
        <v/>
      </c>
      <c r="AO57" s="134" t="str">
        <f>IFERROR(__xludf.DUMMYFUNCTION("IF(ISBLANK(AD57), AF57, TEXTJOIN(CHAR(10), TRUE, ARRAYFORMULA(VLOOKUP(SPLIT(AD57, "";"" &amp; CHAR(10)), $AC:$AN, 12, FALSE))))"),"")</f>
        <v/>
      </c>
      <c r="AP57" s="130" t="str">
        <f>IF(ISBLANK(AE57),,IF(IFERROR(SEARCH(AE57&amp;";",Circuits!$AO$2),0),TRUE,FALSE))</f>
        <v/>
      </c>
      <c r="AQ57" s="130" t="str">
        <f t="shared" si="2"/>
        <v/>
      </c>
      <c r="AR57" s="130" t="str">
        <f t="shared" si="3"/>
        <v/>
      </c>
      <c r="AS57" s="136" t="str">
        <f>IFERROR(__xludf.DUMMYFUNCTION("IF(AH57="""",,SUM(ARRAYFORMULA(IF(IFERROR(SEARCH(SPLIT(AH57,CHAR(10)),Circuits!$AO$2),0)&gt;0,0,1))))"),"")</f>
        <v/>
      </c>
      <c r="AT57" s="138" t="str">
        <f t="shared" si="4"/>
        <v/>
      </c>
      <c r="AU57" s="138" t="str">
        <f t="shared" si="5"/>
        <v/>
      </c>
      <c r="AV57" s="130" t="str">
        <f>IFERROR(__xludf.DUMMYFUNCTION("IF(AI57="""",,TEXTJOIN("", "",TRUE,ARRAYFORMULA(VLOOKUP(SPLIT(AI57,"";""&amp;CHAR(10)),AE:AT,16,FALSE))))"),"")</f>
        <v/>
      </c>
      <c r="AW57" s="130" t="str">
        <f>IFERROR(__xludf.DUMMYFUNCTION("IF(ISBLANK(BK57),,TEXTJOIN("", "",TRUE,ARRAYFORMULA(VLOOKUP(IFERROR(REGEXEXTRACT(SPLIT(BK57,"";""&amp;CHAR(10)),""\[(.+)\]"")),AE:AT,16,false))))"),"")</f>
        <v/>
      </c>
      <c r="AX57" s="139" t="str">
        <f t="shared" si="6"/>
        <v/>
      </c>
      <c r="AY57" s="139" t="str">
        <f t="shared" si="7"/>
        <v/>
      </c>
      <c r="AZ57" s="106" t="str">
        <f>IFERROR(__xludf.DUMMYFUNCTION("IF(ISBLANK(AD57), BC57, TEXTJOIN(CHAR(10) &amp; CHAR(10), TRUE, ARRAYFORMULA(VLOOKUP(SPLIT(AD57, "";"" &amp; CHAR(10)), $AC:$AY, 23, FALSE))))"),"")</f>
        <v/>
      </c>
      <c r="BA57" s="140" t="s">
        <v>66</v>
      </c>
      <c r="BB57" s="190"/>
      <c r="BC57" s="196"/>
      <c r="BD57" s="106" t="str">
        <f>IFERROR(__xludf.DUMMYFUNCTION("IF(IFERROR(SEARCH(""&lt;&lt;mechanism to realize the capability&gt;&gt;"",BA57),0)=0,
 ""!! Error !! “Capability&amp;Mechanism” column: Invalid Separator:"" &amp; CHAR(10) &amp; ""Insert separator “&lt;&lt;mechanism to realize the capability&gt;&gt;.”"",
 IF(
  LEN(TRIM(CLEAN(
    INDEX(
  "&amp;"    SPLIT(BA57,""&lt;&lt;mechanism to realize the capability&gt;&gt;"",FALSE,FALSE),
      1
    )
  )))=0,
  ""!! Error !! “Capability&amp;Mechanism” column: No Capability:""  &amp; CHAR(10) &amp; ""Describe Capability before separator."",
  INDEX(
    SPLIT(BA57,""&lt;&lt;mechanism "&amp;"to realize the capability&gt;&gt;"",FALSE,FALSE),
    1
  )
 )
)
"),"!! Error !! “Capability&amp;Mechanism” column: No Capability:
Describe Capability before separator.")</f>
        <v>!! Error !! “Capability&amp;Mechanism” column: No Capability:
Describe Capability before separator.</v>
      </c>
      <c r="BE57" s="190"/>
      <c r="BF57" s="195"/>
      <c r="BG57" s="42"/>
      <c r="BH57" s="190"/>
      <c r="BI57" s="196"/>
      <c r="BJ57" s="42"/>
      <c r="BK57" s="42"/>
      <c r="BL57" s="203"/>
      <c r="BM57" s="203"/>
      <c r="BN57" s="42"/>
      <c r="BO57" s="42"/>
      <c r="BP57" s="143"/>
      <c r="BQ57" s="143"/>
      <c r="BR57" s="192"/>
      <c r="BS57" s="192"/>
      <c r="BT57" s="192"/>
      <c r="BU57" s="192"/>
      <c r="BV57" s="192"/>
      <c r="BW57" s="192"/>
      <c r="BX57" s="146" t="str">
        <f t="shared" si="8"/>
        <v/>
      </c>
    </row>
    <row r="58">
      <c r="A58" s="106" t="str">
        <f t="shared" si="1"/>
        <v/>
      </c>
      <c r="B58" s="183" t="str">
        <f t="array" ref="B58">IF(ISBLANK($AE58), "-",INDEX(Circuits!A:A,SUMPRODUCT(EXACT($AE58,Circuits!$A:$A)*ROW(Circuits!$A:$A))))</f>
        <v>-</v>
      </c>
      <c r="C58" s="183" t="str">
        <f t="array" ref="C58">IF(ISBLANK($AE58), "-",INDEX(Circuits!B:B,SUMPRODUCT(EXACT($AE58,Circuits!$A:$A)*ROW(Circuits!$A:$A))))</f>
        <v>-</v>
      </c>
      <c r="D58" s="183" t="str">
        <f t="array" ref="D58">IF(ISBLANK($AE58), "-",INDEX(Circuits!C:C,SUMPRODUCT(EXACT($AE58,Circuits!$A:$A)*ROW(Circuits!$A:$A))))</f>
        <v>-</v>
      </c>
      <c r="E58" s="183" t="str">
        <f t="array" ref="E58">IF(ISBLANK($AE58), "-",INDEX(Circuits!D:D,SUMPRODUCT(EXACT($AE58,Circuits!$A:$A)*ROW(Circuits!$A:$A))))</f>
        <v>-</v>
      </c>
      <c r="F58" s="183" t="str">
        <f t="array" ref="F58">IF(ISBLANK($AE58), "-",INDEX(Circuits!E:E,SUMPRODUCT(EXACT($AE58,Circuits!$A:$A)*ROW(Circuits!$A:$A))))</f>
        <v>-</v>
      </c>
      <c r="G58" s="183" t="str">
        <f t="array" ref="G58">IF(ISBLANK($AE58), "-",INDEX(Circuits!F:F,SUMPRODUCT(EXACT($AE58,Circuits!$A:$A)*ROW(Circuits!$A:$A))))</f>
        <v>-</v>
      </c>
      <c r="H58" s="183" t="str">
        <f t="array" ref="H58">IF(ISBLANK($AE58), "-",INDEX(Circuits!G:G,SUMPRODUCT(EXACT($AE58,Circuits!$A:$A)*ROW(Circuits!$A:$A))))</f>
        <v>-</v>
      </c>
      <c r="I58" s="183" t="str">
        <f t="array" ref="I58">IF(ISBLANK($AE58), "-",INDEX(Circuits!H:H,SUMPRODUCT(EXACT($AE58,Circuits!$A:$A)*ROW(Circuits!$A:$A))))</f>
        <v>-</v>
      </c>
      <c r="J58" s="183" t="str">
        <f t="array" ref="J58">IF(ISBLANK($AE58), "-",INDEX(Circuits!I:I,SUMPRODUCT(EXACT($AE58,Circuits!$A:$A)*ROW(Circuits!$A:$A))))</f>
        <v>-</v>
      </c>
      <c r="K58" s="183" t="str">
        <f t="array" ref="K58">IF(ISBLANK($AE58), "-",INDEX(Circuits!J:J,SUMPRODUCT(EXACT($AE58,Circuits!$A:$A)*ROW(Circuits!$A:$A))))</f>
        <v>-</v>
      </c>
      <c r="L58" s="183" t="str">
        <f t="array" ref="L58">IF(ISBLANK($AE58), "-",INDEX(Circuits!K:K,SUMPRODUCT(EXACT($AE58,Circuits!$A:$A)*ROW(Circuits!$A:$A))))</f>
        <v>-</v>
      </c>
      <c r="M58" s="183" t="str">
        <f t="array" ref="M58">IF(ISBLANK($AE58), "-",INDEX(Circuits!L:L,SUMPRODUCT(EXACT($AE58,Circuits!$A:$A)*ROW(Circuits!$A:$A))))</f>
        <v>-</v>
      </c>
      <c r="N58" s="183" t="str">
        <f t="array" ref="N58">IF(ISBLANK($AE58), "-",INDEX(Circuits!M:M,SUMPRODUCT(EXACT($AE58,Circuits!$A:$A)*ROW(Circuits!$A:$A))))</f>
        <v>-</v>
      </c>
      <c r="O58" s="183" t="str">
        <f t="array" ref="O58">IF(ISBLANK($AE58), "-",INDEX(Circuits!N:N,SUMPRODUCT(EXACT($AE58,Circuits!$A:$A)*ROW(Circuits!$A:$A))))</f>
        <v>-</v>
      </c>
      <c r="P58" s="183" t="str">
        <f t="array" ref="P58">IF(ISBLANK($AE58), "-",INDEX(Circuits!O:O,SUMPRODUCT(EXACT($AE58,Circuits!$A:$A)*ROW(Circuits!$A:$A))))</f>
        <v>-</v>
      </c>
      <c r="Q58" s="183" t="str">
        <f t="array" ref="Q58">IF(ISBLANK($AE58), "-",INDEX(Circuits!P:P,SUMPRODUCT(EXACT($AE58,Circuits!$A:$A)*ROW(Circuits!$A:$A))))</f>
        <v>-</v>
      </c>
      <c r="R58" s="183" t="str">
        <f t="array" ref="R58">IF(ISBLANK($AE58), "-",INDEX(Circuits!Q:Q,SUMPRODUCT(EXACT($AE58,Circuits!$A:$A)*ROW(Circuits!$A:$A))))</f>
        <v>-</v>
      </c>
      <c r="S58" s="183" t="str">
        <f t="array" ref="S58">IF(ISBLANK($AE58), "-",INDEX(Circuits!R:R,SUMPRODUCT(EXACT($AE58,Circuits!$A:$A)*ROW(Circuits!$A:$A))))</f>
        <v>-</v>
      </c>
      <c r="T58" s="183" t="str">
        <f t="array" ref="T58">IF(ISBLANK($AE58), "-",INDEX(Circuits!S:S,SUMPRODUCT(EXACT($AE58,Circuits!$A:$A)*ROW(Circuits!$A:$A))))</f>
        <v>-</v>
      </c>
      <c r="U58" s="183" t="str">
        <f t="array" ref="U58">IF(ISBLANK($AE58), "-",INDEX(Circuits!T:T,SUMPRODUCT(EXACT($AE58,Circuits!$A:$A)*ROW(Circuits!$A:$A))))</f>
        <v>-</v>
      </c>
      <c r="V58" s="183" t="str">
        <f t="array" ref="V58">IF(ISBLANK($AE58), "-",INDEX(Circuits!U:U,SUMPRODUCT(EXACT($AE58,Circuits!$A:$A)*ROW(Circuits!$A:$A))))</f>
        <v>-</v>
      </c>
      <c r="W58" s="183" t="str">
        <f t="array" ref="W58">IF(ISBLANK($AE58), "-",INDEX(Circuits!V:V,SUMPRODUCT(EXACT($AE58,Circuits!$A:$A)*ROW(Circuits!$A:$A))))</f>
        <v>-</v>
      </c>
      <c r="X58" s="183" t="str">
        <f t="array" ref="X58">IF(ISBLANK($AE58), "-",INDEX(Circuits!W:W,SUMPRODUCT(EXACT($AE58,Circuits!$A:$A)*ROW(Circuits!$A:$A))))</f>
        <v>-</v>
      </c>
      <c r="Y58" s="183" t="str">
        <f t="array" ref="Y58">IF(ISBLANK($AE58), "-",INDEX(Circuits!X:X,SUMPRODUCT(EXACT($AE58,Circuits!$A:$A)*ROW(Circuits!$A:$A))))</f>
        <v>-</v>
      </c>
      <c r="Z58" s="108" t="str">
        <f>IFERROR(__xludf.DUMMYFUNCTION("IFNA(CONCATENATE(UNIQUE(FILTER(Connections!R:R,Connections!A:A=B58))),""-"")"),"-")</f>
        <v>-</v>
      </c>
      <c r="AA58" s="119" t="str">
        <f t="array" ref="AA58">IF(ISBLANK($AE58), "-",INDEX(Circuits!Y:Y,SUMPRODUCT(EXACT($AE58,Circuits!$A:$A)*ROW(Circuits!$A:$A))))</f>
        <v>-</v>
      </c>
      <c r="AB58" s="121" t="str">
        <f t="array" ref="AB58">IF(ISBLANK($AE58), "-",INDEX(Circuits!Z:Z,SUMPRODUCT(EXACT($AE58,Circuits!$A:$A)*ROW(Circuits!$A:$A))))</f>
        <v>-</v>
      </c>
      <c r="AC58" s="194"/>
      <c r="AD58" s="194"/>
      <c r="AE58" s="40"/>
      <c r="AF58" s="43"/>
      <c r="AG58" s="126" t="str">
        <f>IFERROR(__xludf.DUMMYFUNCTION("IF(ISBLANK(AF58), """", TEXTJOIN(CHAR(10),TRUE,ARRAYFORMULA(IF(ISERROR(SEARCH(SPLIT(AF58, "";""), $Z58)), ""x"", ""-""))))"),"")</f>
        <v/>
      </c>
      <c r="AH58" s="127" t="str">
        <f>IFERROR(__xludf.DUMMYFUNCTION("IF(ISBLANK(AK58), """", TEXTJOIN("";"" &amp; CHAR(10), TRUE, UNIQUE(SPLIT(AK58, "";"" &amp; CHAR(10)), TRUE))&amp;"";"")"),"")</f>
        <v/>
      </c>
      <c r="AI58" s="128" t="str">
        <f>IFERROR(__xludf.DUMMYFUNCTION("IF(ISBLANK(AD58), IF(ISBLANK(AE58),,IFNA(TEXTJOIN("";"" &amp; CHAR(10), TRUE, FILTER(AE:AE, SEARCH(AE58&amp;"";"", AJ:AJ)))&amp;"";"", """")), TEXTJOIN("";"" &amp; CHAR(10), TRUE, UNIQUE(SPLIT(AH58 &amp; "";"" &amp; AH58 &amp; "";"" &amp; AL58, "";"" &amp; CHAR(10)), TRUE, TRUE))&amp;"";"")"),"")</f>
        <v/>
      </c>
      <c r="AJ58" s="126" t="str">
        <f>IFERROR(__xludf.DUMMYFUNCTION("IF(AN58="""", """", TEXTJOIN("";"" &amp; CHAR(10), TRUE, UNIQUE(SPLIT(AH58 &amp; "";"" &amp; AH58 &amp; "";"" &amp; AN58, "";"" &amp; CHAR(10)), TRUE, TRUE))&amp;"";"")"),"")</f>
        <v/>
      </c>
      <c r="AK58" s="129" t="str">
        <f>IFERROR(__xludf.DUMMYFUNCTION("IF(ISBLANK(AD58), IF(ISBLANK(AE58),,AE58 &amp; "";""), TEXTJOIN(CHAR(10), TRUE, ARRAYFORMULA(VLOOKUP(SPLIT(AD58, "";"" &amp; CHAR(10)), $AC:$AH, 6, FALSE))))"),"")</f>
        <v/>
      </c>
      <c r="AL58" s="130" t="str">
        <f>IFERROR(__xludf.DUMMYFUNCTION("IF(AM58="""", """", TEXTJOIN("";"" &amp; CHAR(10), TRUE, UNIQUE(SPLIT(AM58, "";"" &amp; CHAR(10)), TRUE))&amp;"";"")"),"")</f>
        <v/>
      </c>
      <c r="AM58" s="130" t="str">
        <f>IFERROR(__xludf.DUMMYFUNCTION("IF(ISBLANK(AD58), """", TEXTJOIN(CHAR(10), TRUE, ARRAYFORMULA(VLOOKUP(SPLIT(AH58, "";"" &amp; CHAR(10)), $AE:$AI, 5, FALSE)), AF58))"),"")</f>
        <v/>
      </c>
      <c r="AN58" s="132" t="str">
        <f>IFERROR(__xludf.DUMMYFUNCTION("IF(ISBLANK(AO58), """", TEXTJOIN("";"" &amp; CHAR(10), TRUE, UNIQUE(SPLIT(AO58, "";"" &amp; CHAR(10)), TRUE))&amp;"";"")"),"")</f>
        <v/>
      </c>
      <c r="AO58" s="134" t="str">
        <f>IFERROR(__xludf.DUMMYFUNCTION("IF(ISBLANK(AD58), AF58, TEXTJOIN(CHAR(10), TRUE, ARRAYFORMULA(VLOOKUP(SPLIT(AD58, "";"" &amp; CHAR(10)), $AC:$AN, 12, FALSE))))"),"")</f>
        <v/>
      </c>
      <c r="AP58" s="130" t="str">
        <f>IF(ISBLANK(AE58),,IF(IFERROR(SEARCH(AE58&amp;";",Circuits!$AO$2),0),TRUE,FALSE))</f>
        <v/>
      </c>
      <c r="AQ58" s="130" t="str">
        <f t="shared" si="2"/>
        <v/>
      </c>
      <c r="AR58" s="130" t="str">
        <f t="shared" si="3"/>
        <v/>
      </c>
      <c r="AS58" s="136" t="str">
        <f>IFERROR(__xludf.DUMMYFUNCTION("IF(AH58="""",,SUM(ARRAYFORMULA(IF(IFERROR(SEARCH(SPLIT(AH58,CHAR(10)),Circuits!$AO$2),0)&gt;0,0,1))))"),"")</f>
        <v/>
      </c>
      <c r="AT58" s="138" t="str">
        <f t="shared" si="4"/>
        <v/>
      </c>
      <c r="AU58" s="138" t="str">
        <f t="shared" si="5"/>
        <v/>
      </c>
      <c r="AV58" s="130" t="str">
        <f>IFERROR(__xludf.DUMMYFUNCTION("IF(AI58="""",,TEXTJOIN("", "",TRUE,ARRAYFORMULA(VLOOKUP(SPLIT(AI58,"";""&amp;CHAR(10)),AE:AT,16,FALSE))))"),"")</f>
        <v/>
      </c>
      <c r="AW58" s="130" t="str">
        <f>IFERROR(__xludf.DUMMYFUNCTION("IF(ISBLANK(BK58),,TEXTJOIN("", "",TRUE,ARRAYFORMULA(VLOOKUP(IFERROR(REGEXEXTRACT(SPLIT(BK58,"";""&amp;CHAR(10)),""\[(.+)\]"")),AE:AT,16,false))))"),"")</f>
        <v/>
      </c>
      <c r="AX58" s="139" t="str">
        <f t="shared" si="6"/>
        <v/>
      </c>
      <c r="AY58" s="139" t="str">
        <f t="shared" si="7"/>
        <v/>
      </c>
      <c r="AZ58" s="106" t="str">
        <f>IFERROR(__xludf.DUMMYFUNCTION("IF(ISBLANK(AD58), BC58, TEXTJOIN(CHAR(10) &amp; CHAR(10), TRUE, ARRAYFORMULA(VLOOKUP(SPLIT(AD58, "";"" &amp; CHAR(10)), $AC:$AY, 23, FALSE))))"),"")</f>
        <v/>
      </c>
      <c r="BA58" s="140" t="s">
        <v>66</v>
      </c>
      <c r="BB58" s="190"/>
      <c r="BC58" s="196"/>
      <c r="BD58" s="106" t="str">
        <f>IFERROR(__xludf.DUMMYFUNCTION("IF(IFERROR(SEARCH(""&lt;&lt;mechanism to realize the capability&gt;&gt;"",BA58),0)=0,
 ""!! Error !! “Capability&amp;Mechanism” column: Invalid Separator:"" &amp; CHAR(10) &amp; ""Insert separator “&lt;&lt;mechanism to realize the capability&gt;&gt;.”"",
 IF(
  LEN(TRIM(CLEAN(
    INDEX(
  "&amp;"    SPLIT(BA58,""&lt;&lt;mechanism to realize the capability&gt;&gt;"",FALSE,FALSE),
      1
    )
  )))=0,
  ""!! Error !! “Capability&amp;Mechanism” column: No Capability:""  &amp; CHAR(10) &amp; ""Describe Capability before separator."",
  INDEX(
    SPLIT(BA58,""&lt;&lt;mechanism "&amp;"to realize the capability&gt;&gt;"",FALSE,FALSE),
    1
  )
 )
)
"),"!! Error !! “Capability&amp;Mechanism” column: No Capability:
Describe Capability before separator.")</f>
        <v>!! Error !! “Capability&amp;Mechanism” column: No Capability:
Describe Capability before separator.</v>
      </c>
      <c r="BE58" s="190"/>
      <c r="BF58" s="195"/>
      <c r="BG58" s="42"/>
      <c r="BH58" s="190"/>
      <c r="BI58" s="196"/>
      <c r="BJ58" s="42"/>
      <c r="BK58" s="42"/>
      <c r="BL58" s="203"/>
      <c r="BM58" s="203"/>
      <c r="BN58" s="42"/>
      <c r="BO58" s="42"/>
      <c r="BP58" s="143"/>
      <c r="BQ58" s="143"/>
      <c r="BR58" s="192"/>
      <c r="BS58" s="192"/>
      <c r="BT58" s="192"/>
      <c r="BU58" s="192"/>
      <c r="BV58" s="192"/>
      <c r="BW58" s="192"/>
      <c r="BX58" s="146" t="str">
        <f t="shared" si="8"/>
        <v/>
      </c>
    </row>
    <row r="59">
      <c r="A59" s="106" t="str">
        <f t="shared" si="1"/>
        <v/>
      </c>
      <c r="B59" s="183" t="str">
        <f t="array" ref="B59">IF(ISBLANK($AE59), "-",INDEX(Circuits!A:A,SUMPRODUCT(EXACT($AE59,Circuits!$A:$A)*ROW(Circuits!$A:$A))))</f>
        <v>-</v>
      </c>
      <c r="C59" s="183" t="str">
        <f t="array" ref="C59">IF(ISBLANK($AE59), "-",INDEX(Circuits!B:B,SUMPRODUCT(EXACT($AE59,Circuits!$A:$A)*ROW(Circuits!$A:$A))))</f>
        <v>-</v>
      </c>
      <c r="D59" s="183" t="str">
        <f t="array" ref="D59">IF(ISBLANK($AE59), "-",INDEX(Circuits!C:C,SUMPRODUCT(EXACT($AE59,Circuits!$A:$A)*ROW(Circuits!$A:$A))))</f>
        <v>-</v>
      </c>
      <c r="E59" s="183" t="str">
        <f t="array" ref="E59">IF(ISBLANK($AE59), "-",INDEX(Circuits!D:D,SUMPRODUCT(EXACT($AE59,Circuits!$A:$A)*ROW(Circuits!$A:$A))))</f>
        <v>-</v>
      </c>
      <c r="F59" s="183" t="str">
        <f t="array" ref="F59">IF(ISBLANK($AE59), "-",INDEX(Circuits!E:E,SUMPRODUCT(EXACT($AE59,Circuits!$A:$A)*ROW(Circuits!$A:$A))))</f>
        <v>-</v>
      </c>
      <c r="G59" s="183" t="str">
        <f t="array" ref="G59">IF(ISBLANK($AE59), "-",INDEX(Circuits!F:F,SUMPRODUCT(EXACT($AE59,Circuits!$A:$A)*ROW(Circuits!$A:$A))))</f>
        <v>-</v>
      </c>
      <c r="H59" s="183" t="str">
        <f t="array" ref="H59">IF(ISBLANK($AE59), "-",INDEX(Circuits!G:G,SUMPRODUCT(EXACT($AE59,Circuits!$A:$A)*ROW(Circuits!$A:$A))))</f>
        <v>-</v>
      </c>
      <c r="I59" s="183" t="str">
        <f t="array" ref="I59">IF(ISBLANK($AE59), "-",INDEX(Circuits!H:H,SUMPRODUCT(EXACT($AE59,Circuits!$A:$A)*ROW(Circuits!$A:$A))))</f>
        <v>-</v>
      </c>
      <c r="J59" s="183" t="str">
        <f t="array" ref="J59">IF(ISBLANK($AE59), "-",INDEX(Circuits!I:I,SUMPRODUCT(EXACT($AE59,Circuits!$A:$A)*ROW(Circuits!$A:$A))))</f>
        <v>-</v>
      </c>
      <c r="K59" s="183" t="str">
        <f t="array" ref="K59">IF(ISBLANK($AE59), "-",INDEX(Circuits!J:J,SUMPRODUCT(EXACT($AE59,Circuits!$A:$A)*ROW(Circuits!$A:$A))))</f>
        <v>-</v>
      </c>
      <c r="L59" s="183" t="str">
        <f t="array" ref="L59">IF(ISBLANK($AE59), "-",INDEX(Circuits!K:K,SUMPRODUCT(EXACT($AE59,Circuits!$A:$A)*ROW(Circuits!$A:$A))))</f>
        <v>-</v>
      </c>
      <c r="M59" s="183" t="str">
        <f t="array" ref="M59">IF(ISBLANK($AE59), "-",INDEX(Circuits!L:L,SUMPRODUCT(EXACT($AE59,Circuits!$A:$A)*ROW(Circuits!$A:$A))))</f>
        <v>-</v>
      </c>
      <c r="N59" s="183" t="str">
        <f t="array" ref="N59">IF(ISBLANK($AE59), "-",INDEX(Circuits!M:M,SUMPRODUCT(EXACT($AE59,Circuits!$A:$A)*ROW(Circuits!$A:$A))))</f>
        <v>-</v>
      </c>
      <c r="O59" s="183" t="str">
        <f t="array" ref="O59">IF(ISBLANK($AE59), "-",INDEX(Circuits!N:N,SUMPRODUCT(EXACT($AE59,Circuits!$A:$A)*ROW(Circuits!$A:$A))))</f>
        <v>-</v>
      </c>
      <c r="P59" s="183" t="str">
        <f t="array" ref="P59">IF(ISBLANK($AE59), "-",INDEX(Circuits!O:O,SUMPRODUCT(EXACT($AE59,Circuits!$A:$A)*ROW(Circuits!$A:$A))))</f>
        <v>-</v>
      </c>
      <c r="Q59" s="183" t="str">
        <f t="array" ref="Q59">IF(ISBLANK($AE59), "-",INDEX(Circuits!P:P,SUMPRODUCT(EXACT($AE59,Circuits!$A:$A)*ROW(Circuits!$A:$A))))</f>
        <v>-</v>
      </c>
      <c r="R59" s="183" t="str">
        <f t="array" ref="R59">IF(ISBLANK($AE59), "-",INDEX(Circuits!Q:Q,SUMPRODUCT(EXACT($AE59,Circuits!$A:$A)*ROW(Circuits!$A:$A))))</f>
        <v>-</v>
      </c>
      <c r="S59" s="183" t="str">
        <f t="array" ref="S59">IF(ISBLANK($AE59), "-",INDEX(Circuits!R:R,SUMPRODUCT(EXACT($AE59,Circuits!$A:$A)*ROW(Circuits!$A:$A))))</f>
        <v>-</v>
      </c>
      <c r="T59" s="183" t="str">
        <f t="array" ref="T59">IF(ISBLANK($AE59), "-",INDEX(Circuits!S:S,SUMPRODUCT(EXACT($AE59,Circuits!$A:$A)*ROW(Circuits!$A:$A))))</f>
        <v>-</v>
      </c>
      <c r="U59" s="183" t="str">
        <f t="array" ref="U59">IF(ISBLANK($AE59), "-",INDEX(Circuits!T:T,SUMPRODUCT(EXACT($AE59,Circuits!$A:$A)*ROW(Circuits!$A:$A))))</f>
        <v>-</v>
      </c>
      <c r="V59" s="183" t="str">
        <f t="array" ref="V59">IF(ISBLANK($AE59), "-",INDEX(Circuits!U:U,SUMPRODUCT(EXACT($AE59,Circuits!$A:$A)*ROW(Circuits!$A:$A))))</f>
        <v>-</v>
      </c>
      <c r="W59" s="183" t="str">
        <f t="array" ref="W59">IF(ISBLANK($AE59), "-",INDEX(Circuits!V:V,SUMPRODUCT(EXACT($AE59,Circuits!$A:$A)*ROW(Circuits!$A:$A))))</f>
        <v>-</v>
      </c>
      <c r="X59" s="183" t="str">
        <f t="array" ref="X59">IF(ISBLANK($AE59), "-",INDEX(Circuits!W:W,SUMPRODUCT(EXACT($AE59,Circuits!$A:$A)*ROW(Circuits!$A:$A))))</f>
        <v>-</v>
      </c>
      <c r="Y59" s="183" t="str">
        <f t="array" ref="Y59">IF(ISBLANK($AE59), "-",INDEX(Circuits!X:X,SUMPRODUCT(EXACT($AE59,Circuits!$A:$A)*ROW(Circuits!$A:$A))))</f>
        <v>-</v>
      </c>
      <c r="Z59" s="108" t="str">
        <f>IFERROR(__xludf.DUMMYFUNCTION("IFNA(CONCATENATE(UNIQUE(FILTER(Connections!R:R,Connections!A:A=B59))),""-"")"),"-")</f>
        <v>-</v>
      </c>
      <c r="AA59" s="119" t="str">
        <f t="array" ref="AA59">IF(ISBLANK($AE59), "-",INDEX(Circuits!Y:Y,SUMPRODUCT(EXACT($AE59,Circuits!$A:$A)*ROW(Circuits!$A:$A))))</f>
        <v>-</v>
      </c>
      <c r="AB59" s="121" t="str">
        <f t="array" ref="AB59">IF(ISBLANK($AE59), "-",INDEX(Circuits!Z:Z,SUMPRODUCT(EXACT($AE59,Circuits!$A:$A)*ROW(Circuits!$A:$A))))</f>
        <v>-</v>
      </c>
      <c r="AC59" s="194"/>
      <c r="AD59" s="194"/>
      <c r="AE59" s="40"/>
      <c r="AF59" s="43"/>
      <c r="AG59" s="126" t="str">
        <f>IFERROR(__xludf.DUMMYFUNCTION("IF(ISBLANK(AF59), """", TEXTJOIN(CHAR(10),TRUE,ARRAYFORMULA(IF(ISERROR(SEARCH(SPLIT(AF59, "";""), $Z59)), ""x"", ""-""))))"),"")</f>
        <v/>
      </c>
      <c r="AH59" s="127" t="str">
        <f>IFERROR(__xludf.DUMMYFUNCTION("IF(ISBLANK(AK59), """", TEXTJOIN("";"" &amp; CHAR(10), TRUE, UNIQUE(SPLIT(AK59, "";"" &amp; CHAR(10)), TRUE))&amp;"";"")"),"")</f>
        <v/>
      </c>
      <c r="AI59" s="128" t="str">
        <f>IFERROR(__xludf.DUMMYFUNCTION("IF(ISBLANK(AD59), IF(ISBLANK(AE59),,IFNA(TEXTJOIN("";"" &amp; CHAR(10), TRUE, FILTER(AE:AE, SEARCH(AE59&amp;"";"", AJ:AJ)))&amp;"";"", """")), TEXTJOIN("";"" &amp; CHAR(10), TRUE, UNIQUE(SPLIT(AH59 &amp; "";"" &amp; AH59 &amp; "";"" &amp; AL59, "";"" &amp; CHAR(10)), TRUE, TRUE))&amp;"";"")"),"")</f>
        <v/>
      </c>
      <c r="AJ59" s="126" t="str">
        <f>IFERROR(__xludf.DUMMYFUNCTION("IF(AN59="""", """", TEXTJOIN("";"" &amp; CHAR(10), TRUE, UNIQUE(SPLIT(AH59 &amp; "";"" &amp; AH59 &amp; "";"" &amp; AN59, "";"" &amp; CHAR(10)), TRUE, TRUE))&amp;"";"")"),"")</f>
        <v/>
      </c>
      <c r="AK59" s="129" t="str">
        <f>IFERROR(__xludf.DUMMYFUNCTION("IF(ISBLANK(AD59), IF(ISBLANK(AE59),,AE59 &amp; "";""), TEXTJOIN(CHAR(10), TRUE, ARRAYFORMULA(VLOOKUP(SPLIT(AD59, "";"" &amp; CHAR(10)), $AC:$AH, 6, FALSE))))"),"")</f>
        <v/>
      </c>
      <c r="AL59" s="130" t="str">
        <f>IFERROR(__xludf.DUMMYFUNCTION("IF(AM59="""", """", TEXTJOIN("";"" &amp; CHAR(10), TRUE, UNIQUE(SPLIT(AM59, "";"" &amp; CHAR(10)), TRUE))&amp;"";"")"),"")</f>
        <v/>
      </c>
      <c r="AM59" s="130" t="str">
        <f>IFERROR(__xludf.DUMMYFUNCTION("IF(ISBLANK(AD59), """", TEXTJOIN(CHAR(10), TRUE, ARRAYFORMULA(VLOOKUP(SPLIT(AH59, "";"" &amp; CHAR(10)), $AE:$AI, 5, FALSE)), AF59))"),"")</f>
        <v/>
      </c>
      <c r="AN59" s="132" t="str">
        <f>IFERROR(__xludf.DUMMYFUNCTION("IF(ISBLANK(AO59), """", TEXTJOIN("";"" &amp; CHAR(10), TRUE, UNIQUE(SPLIT(AO59, "";"" &amp; CHAR(10)), TRUE))&amp;"";"")"),"")</f>
        <v/>
      </c>
      <c r="AO59" s="134" t="str">
        <f>IFERROR(__xludf.DUMMYFUNCTION("IF(ISBLANK(AD59), AF59, TEXTJOIN(CHAR(10), TRUE, ARRAYFORMULA(VLOOKUP(SPLIT(AD59, "";"" &amp; CHAR(10)), $AC:$AN, 12, FALSE))))"),"")</f>
        <v/>
      </c>
      <c r="AP59" s="130" t="str">
        <f>IF(ISBLANK(AE59),,IF(IFERROR(SEARCH(AE59&amp;";",Circuits!$AO$2),0),TRUE,FALSE))</f>
        <v/>
      </c>
      <c r="AQ59" s="130" t="str">
        <f t="shared" si="2"/>
        <v/>
      </c>
      <c r="AR59" s="130" t="str">
        <f t="shared" si="3"/>
        <v/>
      </c>
      <c r="AS59" s="136" t="str">
        <f>IFERROR(__xludf.DUMMYFUNCTION("IF(AH59="""",,SUM(ARRAYFORMULA(IF(IFERROR(SEARCH(SPLIT(AH59,CHAR(10)),Circuits!$AO$2),0)&gt;0,0,1))))"),"")</f>
        <v/>
      </c>
      <c r="AT59" s="138" t="str">
        <f t="shared" si="4"/>
        <v/>
      </c>
      <c r="AU59" s="138" t="str">
        <f t="shared" si="5"/>
        <v/>
      </c>
      <c r="AV59" s="130" t="str">
        <f>IFERROR(__xludf.DUMMYFUNCTION("IF(AI59="""",,TEXTJOIN("", "",TRUE,ARRAYFORMULA(VLOOKUP(SPLIT(AI59,"";""&amp;CHAR(10)),AE:AT,16,FALSE))))"),"")</f>
        <v/>
      </c>
      <c r="AW59" s="130" t="str">
        <f>IFERROR(__xludf.DUMMYFUNCTION("IF(ISBLANK(BK59),,TEXTJOIN("", "",TRUE,ARRAYFORMULA(VLOOKUP(IFERROR(REGEXEXTRACT(SPLIT(BK59,"";""&amp;CHAR(10)),""\[(.+)\]"")),AE:AT,16,false))))"),"")</f>
        <v/>
      </c>
      <c r="AX59" s="139" t="str">
        <f t="shared" si="6"/>
        <v/>
      </c>
      <c r="AY59" s="139" t="str">
        <f t="shared" si="7"/>
        <v/>
      </c>
      <c r="AZ59" s="106" t="str">
        <f>IFERROR(__xludf.DUMMYFUNCTION("IF(ISBLANK(AD59), BC59, TEXTJOIN(CHAR(10) &amp; CHAR(10), TRUE, ARRAYFORMULA(VLOOKUP(SPLIT(AD59, "";"" &amp; CHAR(10)), $AC:$AY, 23, FALSE))))"),"")</f>
        <v/>
      </c>
      <c r="BA59" s="140" t="s">
        <v>66</v>
      </c>
      <c r="BB59" s="190"/>
      <c r="BC59" s="196"/>
      <c r="BD59" s="106" t="str">
        <f>IFERROR(__xludf.DUMMYFUNCTION("IF(IFERROR(SEARCH(""&lt;&lt;mechanism to realize the capability&gt;&gt;"",BA59),0)=0,
 ""!! Error !! “Capability&amp;Mechanism” column: Invalid Separator:"" &amp; CHAR(10) &amp; ""Insert separator “&lt;&lt;mechanism to realize the capability&gt;&gt;.”"",
 IF(
  LEN(TRIM(CLEAN(
    INDEX(
  "&amp;"    SPLIT(BA59,""&lt;&lt;mechanism to realize the capability&gt;&gt;"",FALSE,FALSE),
      1
    )
  )))=0,
  ""!! Error !! “Capability&amp;Mechanism” column: No Capability:""  &amp; CHAR(10) &amp; ""Describe Capability before separator."",
  INDEX(
    SPLIT(BA59,""&lt;&lt;mechanism "&amp;"to realize the capability&gt;&gt;"",FALSE,FALSE),
    1
  )
 )
)
"),"!! Error !! “Capability&amp;Mechanism” column: No Capability:
Describe Capability before separator.")</f>
        <v>!! Error !! “Capability&amp;Mechanism” column: No Capability:
Describe Capability before separator.</v>
      </c>
      <c r="BE59" s="190"/>
      <c r="BF59" s="195"/>
      <c r="BG59" s="42"/>
      <c r="BH59" s="190"/>
      <c r="BI59" s="196"/>
      <c r="BJ59" s="42"/>
      <c r="BK59" s="42"/>
      <c r="BL59" s="203"/>
      <c r="BM59" s="203"/>
      <c r="BN59" s="42"/>
      <c r="BO59" s="42"/>
      <c r="BP59" s="143"/>
      <c r="BQ59" s="143"/>
      <c r="BR59" s="192"/>
      <c r="BS59" s="192"/>
      <c r="BT59" s="192"/>
      <c r="BU59" s="192"/>
      <c r="BV59" s="192"/>
      <c r="BW59" s="192"/>
      <c r="BX59" s="146" t="str">
        <f t="shared" si="8"/>
        <v/>
      </c>
    </row>
    <row r="60">
      <c r="A60" s="106" t="str">
        <f t="shared" si="1"/>
        <v/>
      </c>
      <c r="B60" s="183" t="str">
        <f t="array" ref="B60">IF(ISBLANK($AE60), "-",INDEX(Circuits!A:A,SUMPRODUCT(EXACT($AE60,Circuits!$A:$A)*ROW(Circuits!$A:$A))))</f>
        <v>-</v>
      </c>
      <c r="C60" s="183" t="str">
        <f t="array" ref="C60">IF(ISBLANK($AE60), "-",INDEX(Circuits!B:B,SUMPRODUCT(EXACT($AE60,Circuits!$A:$A)*ROW(Circuits!$A:$A))))</f>
        <v>-</v>
      </c>
      <c r="D60" s="183" t="str">
        <f t="array" ref="D60">IF(ISBLANK($AE60), "-",INDEX(Circuits!C:C,SUMPRODUCT(EXACT($AE60,Circuits!$A:$A)*ROW(Circuits!$A:$A))))</f>
        <v>-</v>
      </c>
      <c r="E60" s="183" t="str">
        <f t="array" ref="E60">IF(ISBLANK($AE60), "-",INDEX(Circuits!D:D,SUMPRODUCT(EXACT($AE60,Circuits!$A:$A)*ROW(Circuits!$A:$A))))</f>
        <v>-</v>
      </c>
      <c r="F60" s="183" t="str">
        <f t="array" ref="F60">IF(ISBLANK($AE60), "-",INDEX(Circuits!E:E,SUMPRODUCT(EXACT($AE60,Circuits!$A:$A)*ROW(Circuits!$A:$A))))</f>
        <v>-</v>
      </c>
      <c r="G60" s="183" t="str">
        <f t="array" ref="G60">IF(ISBLANK($AE60), "-",INDEX(Circuits!F:F,SUMPRODUCT(EXACT($AE60,Circuits!$A:$A)*ROW(Circuits!$A:$A))))</f>
        <v>-</v>
      </c>
      <c r="H60" s="183" t="str">
        <f t="array" ref="H60">IF(ISBLANK($AE60), "-",INDEX(Circuits!G:G,SUMPRODUCT(EXACT($AE60,Circuits!$A:$A)*ROW(Circuits!$A:$A))))</f>
        <v>-</v>
      </c>
      <c r="I60" s="183" t="str">
        <f t="array" ref="I60">IF(ISBLANK($AE60), "-",INDEX(Circuits!H:H,SUMPRODUCT(EXACT($AE60,Circuits!$A:$A)*ROW(Circuits!$A:$A))))</f>
        <v>-</v>
      </c>
      <c r="J60" s="183" t="str">
        <f t="array" ref="J60">IF(ISBLANK($AE60), "-",INDEX(Circuits!I:I,SUMPRODUCT(EXACT($AE60,Circuits!$A:$A)*ROW(Circuits!$A:$A))))</f>
        <v>-</v>
      </c>
      <c r="K60" s="183" t="str">
        <f t="array" ref="K60">IF(ISBLANK($AE60), "-",INDEX(Circuits!J:J,SUMPRODUCT(EXACT($AE60,Circuits!$A:$A)*ROW(Circuits!$A:$A))))</f>
        <v>-</v>
      </c>
      <c r="L60" s="183" t="str">
        <f t="array" ref="L60">IF(ISBLANK($AE60), "-",INDEX(Circuits!K:K,SUMPRODUCT(EXACT($AE60,Circuits!$A:$A)*ROW(Circuits!$A:$A))))</f>
        <v>-</v>
      </c>
      <c r="M60" s="183" t="str">
        <f t="array" ref="M60">IF(ISBLANK($AE60), "-",INDEX(Circuits!L:L,SUMPRODUCT(EXACT($AE60,Circuits!$A:$A)*ROW(Circuits!$A:$A))))</f>
        <v>-</v>
      </c>
      <c r="N60" s="183" t="str">
        <f t="array" ref="N60">IF(ISBLANK($AE60), "-",INDEX(Circuits!M:M,SUMPRODUCT(EXACT($AE60,Circuits!$A:$A)*ROW(Circuits!$A:$A))))</f>
        <v>-</v>
      </c>
      <c r="O60" s="183" t="str">
        <f t="array" ref="O60">IF(ISBLANK($AE60), "-",INDEX(Circuits!N:N,SUMPRODUCT(EXACT($AE60,Circuits!$A:$A)*ROW(Circuits!$A:$A))))</f>
        <v>-</v>
      </c>
      <c r="P60" s="183" t="str">
        <f t="array" ref="P60">IF(ISBLANK($AE60), "-",INDEX(Circuits!O:O,SUMPRODUCT(EXACT($AE60,Circuits!$A:$A)*ROW(Circuits!$A:$A))))</f>
        <v>-</v>
      </c>
      <c r="Q60" s="183" t="str">
        <f t="array" ref="Q60">IF(ISBLANK($AE60), "-",INDEX(Circuits!P:P,SUMPRODUCT(EXACT($AE60,Circuits!$A:$A)*ROW(Circuits!$A:$A))))</f>
        <v>-</v>
      </c>
      <c r="R60" s="183" t="str">
        <f t="array" ref="R60">IF(ISBLANK($AE60), "-",INDEX(Circuits!Q:Q,SUMPRODUCT(EXACT($AE60,Circuits!$A:$A)*ROW(Circuits!$A:$A))))</f>
        <v>-</v>
      </c>
      <c r="S60" s="183" t="str">
        <f t="array" ref="S60">IF(ISBLANK($AE60), "-",INDEX(Circuits!R:R,SUMPRODUCT(EXACT($AE60,Circuits!$A:$A)*ROW(Circuits!$A:$A))))</f>
        <v>-</v>
      </c>
      <c r="T60" s="183" t="str">
        <f t="array" ref="T60">IF(ISBLANK($AE60), "-",INDEX(Circuits!S:S,SUMPRODUCT(EXACT($AE60,Circuits!$A:$A)*ROW(Circuits!$A:$A))))</f>
        <v>-</v>
      </c>
      <c r="U60" s="183" t="str">
        <f t="array" ref="U60">IF(ISBLANK($AE60), "-",INDEX(Circuits!T:T,SUMPRODUCT(EXACT($AE60,Circuits!$A:$A)*ROW(Circuits!$A:$A))))</f>
        <v>-</v>
      </c>
      <c r="V60" s="183" t="str">
        <f t="array" ref="V60">IF(ISBLANK($AE60), "-",INDEX(Circuits!U:U,SUMPRODUCT(EXACT($AE60,Circuits!$A:$A)*ROW(Circuits!$A:$A))))</f>
        <v>-</v>
      </c>
      <c r="W60" s="183" t="str">
        <f t="array" ref="W60">IF(ISBLANK($AE60), "-",INDEX(Circuits!V:V,SUMPRODUCT(EXACT($AE60,Circuits!$A:$A)*ROW(Circuits!$A:$A))))</f>
        <v>-</v>
      </c>
      <c r="X60" s="183" t="str">
        <f t="array" ref="X60">IF(ISBLANK($AE60), "-",INDEX(Circuits!W:W,SUMPRODUCT(EXACT($AE60,Circuits!$A:$A)*ROW(Circuits!$A:$A))))</f>
        <v>-</v>
      </c>
      <c r="Y60" s="183" t="str">
        <f t="array" ref="Y60">IF(ISBLANK($AE60), "-",INDEX(Circuits!X:X,SUMPRODUCT(EXACT($AE60,Circuits!$A:$A)*ROW(Circuits!$A:$A))))</f>
        <v>-</v>
      </c>
      <c r="Z60" s="108" t="str">
        <f>IFERROR(__xludf.DUMMYFUNCTION("IFNA(CONCATENATE(UNIQUE(FILTER(Connections!R:R,Connections!A:A=B60))),""-"")"),"-")</f>
        <v>-</v>
      </c>
      <c r="AA60" s="119" t="str">
        <f t="array" ref="AA60">IF(ISBLANK($AE60), "-",INDEX(Circuits!Y:Y,SUMPRODUCT(EXACT($AE60,Circuits!$A:$A)*ROW(Circuits!$A:$A))))</f>
        <v>-</v>
      </c>
      <c r="AB60" s="121" t="str">
        <f t="array" ref="AB60">IF(ISBLANK($AE60), "-",INDEX(Circuits!Z:Z,SUMPRODUCT(EXACT($AE60,Circuits!$A:$A)*ROW(Circuits!$A:$A))))</f>
        <v>-</v>
      </c>
      <c r="AC60" s="194"/>
      <c r="AD60" s="194"/>
      <c r="AE60" s="40"/>
      <c r="AF60" s="43"/>
      <c r="AG60" s="126" t="str">
        <f>IFERROR(__xludf.DUMMYFUNCTION("IF(ISBLANK(AF60), """", TEXTJOIN(CHAR(10),TRUE,ARRAYFORMULA(IF(ISERROR(SEARCH(SPLIT(AF60, "";""), $Z60)), ""x"", ""-""))))"),"")</f>
        <v/>
      </c>
      <c r="AH60" s="127" t="str">
        <f>IFERROR(__xludf.DUMMYFUNCTION("IF(ISBLANK(AK60), """", TEXTJOIN("";"" &amp; CHAR(10), TRUE, UNIQUE(SPLIT(AK60, "";"" &amp; CHAR(10)), TRUE))&amp;"";"")"),"")</f>
        <v/>
      </c>
      <c r="AI60" s="128" t="str">
        <f>IFERROR(__xludf.DUMMYFUNCTION("IF(ISBLANK(AD60), IF(ISBLANK(AE60),,IFNA(TEXTJOIN("";"" &amp; CHAR(10), TRUE, FILTER(AE:AE, SEARCH(AE60&amp;"";"", AJ:AJ)))&amp;"";"", """")), TEXTJOIN("";"" &amp; CHAR(10), TRUE, UNIQUE(SPLIT(AH60 &amp; "";"" &amp; AH60 &amp; "";"" &amp; AL60, "";"" &amp; CHAR(10)), TRUE, TRUE))&amp;"";"")"),"")</f>
        <v/>
      </c>
      <c r="AJ60" s="126" t="str">
        <f>IFERROR(__xludf.DUMMYFUNCTION("IF(AN60="""", """", TEXTJOIN("";"" &amp; CHAR(10), TRUE, UNIQUE(SPLIT(AH60 &amp; "";"" &amp; AH60 &amp; "";"" &amp; AN60, "";"" &amp; CHAR(10)), TRUE, TRUE))&amp;"";"")"),"")</f>
        <v/>
      </c>
      <c r="AK60" s="129" t="str">
        <f>IFERROR(__xludf.DUMMYFUNCTION("IF(ISBLANK(AD60), IF(ISBLANK(AE60),,AE60 &amp; "";""), TEXTJOIN(CHAR(10), TRUE, ARRAYFORMULA(VLOOKUP(SPLIT(AD60, "";"" &amp; CHAR(10)), $AC:$AH, 6, FALSE))))"),"")</f>
        <v/>
      </c>
      <c r="AL60" s="130" t="str">
        <f>IFERROR(__xludf.DUMMYFUNCTION("IF(AM60="""", """", TEXTJOIN("";"" &amp; CHAR(10), TRUE, UNIQUE(SPLIT(AM60, "";"" &amp; CHAR(10)), TRUE))&amp;"";"")"),"")</f>
        <v/>
      </c>
      <c r="AM60" s="130" t="str">
        <f>IFERROR(__xludf.DUMMYFUNCTION("IF(ISBLANK(AD60), """", TEXTJOIN(CHAR(10), TRUE, ARRAYFORMULA(VLOOKUP(SPLIT(AH60, "";"" &amp; CHAR(10)), $AE:$AI, 5, FALSE)), AF60))"),"")</f>
        <v/>
      </c>
      <c r="AN60" s="132" t="str">
        <f>IFERROR(__xludf.DUMMYFUNCTION("IF(ISBLANK(AO60), """", TEXTJOIN("";"" &amp; CHAR(10), TRUE, UNIQUE(SPLIT(AO60, "";"" &amp; CHAR(10)), TRUE))&amp;"";"")"),"")</f>
        <v/>
      </c>
      <c r="AO60" s="134" t="str">
        <f>IFERROR(__xludf.DUMMYFUNCTION("IF(ISBLANK(AD60), AF60, TEXTJOIN(CHAR(10), TRUE, ARRAYFORMULA(VLOOKUP(SPLIT(AD60, "";"" &amp; CHAR(10)), $AC:$AN, 12, FALSE))))"),"")</f>
        <v/>
      </c>
      <c r="AP60" s="130" t="str">
        <f>IF(ISBLANK(AE60),,IF(IFERROR(SEARCH(AE60&amp;";",Circuits!$AO$2),0),TRUE,FALSE))</f>
        <v/>
      </c>
      <c r="AQ60" s="130" t="str">
        <f t="shared" si="2"/>
        <v/>
      </c>
      <c r="AR60" s="130" t="str">
        <f t="shared" si="3"/>
        <v/>
      </c>
      <c r="AS60" s="136" t="str">
        <f>IFERROR(__xludf.DUMMYFUNCTION("IF(AH60="""",,SUM(ARRAYFORMULA(IF(IFERROR(SEARCH(SPLIT(AH60,CHAR(10)),Circuits!$AO$2),0)&gt;0,0,1))))"),"")</f>
        <v/>
      </c>
      <c r="AT60" s="138" t="str">
        <f t="shared" si="4"/>
        <v/>
      </c>
      <c r="AU60" s="138" t="str">
        <f t="shared" si="5"/>
        <v/>
      </c>
      <c r="AV60" s="130" t="str">
        <f>IFERROR(__xludf.DUMMYFUNCTION("IF(AI60="""",,TEXTJOIN("", "",TRUE,ARRAYFORMULA(VLOOKUP(SPLIT(AI60,"";""&amp;CHAR(10)),AE:AT,16,FALSE))))"),"")</f>
        <v/>
      </c>
      <c r="AW60" s="130" t="str">
        <f>IFERROR(__xludf.DUMMYFUNCTION("IF(ISBLANK(BK60),,TEXTJOIN("", "",TRUE,ARRAYFORMULA(VLOOKUP(IFERROR(REGEXEXTRACT(SPLIT(BK60,"";""&amp;CHAR(10)),""\[(.+)\]"")),AE:AT,16,false))))"),"")</f>
        <v/>
      </c>
      <c r="AX60" s="139" t="str">
        <f t="shared" si="6"/>
        <v/>
      </c>
      <c r="AY60" s="139" t="str">
        <f t="shared" si="7"/>
        <v/>
      </c>
      <c r="AZ60" s="106" t="str">
        <f>IFERROR(__xludf.DUMMYFUNCTION("IF(ISBLANK(AD60), BC60, TEXTJOIN(CHAR(10) &amp; CHAR(10), TRUE, ARRAYFORMULA(VLOOKUP(SPLIT(AD60, "";"" &amp; CHAR(10)), $AC:$AY, 23, FALSE))))"),"")</f>
        <v/>
      </c>
      <c r="BA60" s="140" t="s">
        <v>66</v>
      </c>
      <c r="BB60" s="190"/>
      <c r="BC60" s="196"/>
      <c r="BD60" s="106" t="str">
        <f>IFERROR(__xludf.DUMMYFUNCTION("IF(IFERROR(SEARCH(""&lt;&lt;mechanism to realize the capability&gt;&gt;"",BA60),0)=0,
 ""!! Error !! “Capability&amp;Mechanism” column: Invalid Separator:"" &amp; CHAR(10) &amp; ""Insert separator “&lt;&lt;mechanism to realize the capability&gt;&gt;.”"",
 IF(
  LEN(TRIM(CLEAN(
    INDEX(
  "&amp;"    SPLIT(BA60,""&lt;&lt;mechanism to realize the capability&gt;&gt;"",FALSE,FALSE),
      1
    )
  )))=0,
  ""!! Error !! “Capability&amp;Mechanism” column: No Capability:""  &amp; CHAR(10) &amp; ""Describe Capability before separator."",
  INDEX(
    SPLIT(BA60,""&lt;&lt;mechanism "&amp;"to realize the capability&gt;&gt;"",FALSE,FALSE),
    1
  )
 )
)
"),"!! Error !! “Capability&amp;Mechanism” column: No Capability:
Describe Capability before separator.")</f>
        <v>!! Error !! “Capability&amp;Mechanism” column: No Capability:
Describe Capability before separator.</v>
      </c>
      <c r="BE60" s="190"/>
      <c r="BF60" s="195"/>
      <c r="BG60" s="42"/>
      <c r="BH60" s="190"/>
      <c r="BI60" s="196"/>
      <c r="BJ60" s="42"/>
      <c r="BK60" s="42"/>
      <c r="BL60" s="203"/>
      <c r="BM60" s="203"/>
      <c r="BN60" s="42"/>
      <c r="BO60" s="42"/>
      <c r="BP60" s="143"/>
      <c r="BQ60" s="143"/>
      <c r="BR60" s="192"/>
      <c r="BS60" s="192"/>
      <c r="BT60" s="192"/>
      <c r="BU60" s="192"/>
      <c r="BV60" s="192"/>
      <c r="BW60" s="192"/>
      <c r="BX60" s="146" t="str">
        <f t="shared" si="8"/>
        <v/>
      </c>
    </row>
    <row r="61">
      <c r="A61" s="106" t="str">
        <f t="shared" si="1"/>
        <v/>
      </c>
      <c r="B61" s="183" t="str">
        <f t="array" ref="B61">IF(ISBLANK($AE61), "-",INDEX(Circuits!A:A,SUMPRODUCT(EXACT($AE61,Circuits!$A:$A)*ROW(Circuits!$A:$A))))</f>
        <v>-</v>
      </c>
      <c r="C61" s="183" t="str">
        <f t="array" ref="C61">IF(ISBLANK($AE61), "-",INDEX(Circuits!B:B,SUMPRODUCT(EXACT($AE61,Circuits!$A:$A)*ROW(Circuits!$A:$A))))</f>
        <v>-</v>
      </c>
      <c r="D61" s="183" t="str">
        <f t="array" ref="D61">IF(ISBLANK($AE61), "-",INDEX(Circuits!C:C,SUMPRODUCT(EXACT($AE61,Circuits!$A:$A)*ROW(Circuits!$A:$A))))</f>
        <v>-</v>
      </c>
      <c r="E61" s="183" t="str">
        <f t="array" ref="E61">IF(ISBLANK($AE61), "-",INDEX(Circuits!D:D,SUMPRODUCT(EXACT($AE61,Circuits!$A:$A)*ROW(Circuits!$A:$A))))</f>
        <v>-</v>
      </c>
      <c r="F61" s="183" t="str">
        <f t="array" ref="F61">IF(ISBLANK($AE61), "-",INDEX(Circuits!E:E,SUMPRODUCT(EXACT($AE61,Circuits!$A:$A)*ROW(Circuits!$A:$A))))</f>
        <v>-</v>
      </c>
      <c r="G61" s="183" t="str">
        <f t="array" ref="G61">IF(ISBLANK($AE61), "-",INDEX(Circuits!F:F,SUMPRODUCT(EXACT($AE61,Circuits!$A:$A)*ROW(Circuits!$A:$A))))</f>
        <v>-</v>
      </c>
      <c r="H61" s="183" t="str">
        <f t="array" ref="H61">IF(ISBLANK($AE61), "-",INDEX(Circuits!G:G,SUMPRODUCT(EXACT($AE61,Circuits!$A:$A)*ROW(Circuits!$A:$A))))</f>
        <v>-</v>
      </c>
      <c r="I61" s="183" t="str">
        <f t="array" ref="I61">IF(ISBLANK($AE61), "-",INDEX(Circuits!H:H,SUMPRODUCT(EXACT($AE61,Circuits!$A:$A)*ROW(Circuits!$A:$A))))</f>
        <v>-</v>
      </c>
      <c r="J61" s="183" t="str">
        <f t="array" ref="J61">IF(ISBLANK($AE61), "-",INDEX(Circuits!I:I,SUMPRODUCT(EXACT($AE61,Circuits!$A:$A)*ROW(Circuits!$A:$A))))</f>
        <v>-</v>
      </c>
      <c r="K61" s="183" t="str">
        <f t="array" ref="K61">IF(ISBLANK($AE61), "-",INDEX(Circuits!J:J,SUMPRODUCT(EXACT($AE61,Circuits!$A:$A)*ROW(Circuits!$A:$A))))</f>
        <v>-</v>
      </c>
      <c r="L61" s="183" t="str">
        <f t="array" ref="L61">IF(ISBLANK($AE61), "-",INDEX(Circuits!K:K,SUMPRODUCT(EXACT($AE61,Circuits!$A:$A)*ROW(Circuits!$A:$A))))</f>
        <v>-</v>
      </c>
      <c r="M61" s="183" t="str">
        <f t="array" ref="M61">IF(ISBLANK($AE61), "-",INDEX(Circuits!L:L,SUMPRODUCT(EXACT($AE61,Circuits!$A:$A)*ROW(Circuits!$A:$A))))</f>
        <v>-</v>
      </c>
      <c r="N61" s="183" t="str">
        <f t="array" ref="N61">IF(ISBLANK($AE61), "-",INDEX(Circuits!M:M,SUMPRODUCT(EXACT($AE61,Circuits!$A:$A)*ROW(Circuits!$A:$A))))</f>
        <v>-</v>
      </c>
      <c r="O61" s="183" t="str">
        <f t="array" ref="O61">IF(ISBLANK($AE61), "-",INDEX(Circuits!N:N,SUMPRODUCT(EXACT($AE61,Circuits!$A:$A)*ROW(Circuits!$A:$A))))</f>
        <v>-</v>
      </c>
      <c r="P61" s="183" t="str">
        <f t="array" ref="P61">IF(ISBLANK($AE61), "-",INDEX(Circuits!O:O,SUMPRODUCT(EXACT($AE61,Circuits!$A:$A)*ROW(Circuits!$A:$A))))</f>
        <v>-</v>
      </c>
      <c r="Q61" s="183" t="str">
        <f t="array" ref="Q61">IF(ISBLANK($AE61), "-",INDEX(Circuits!P:P,SUMPRODUCT(EXACT($AE61,Circuits!$A:$A)*ROW(Circuits!$A:$A))))</f>
        <v>-</v>
      </c>
      <c r="R61" s="183" t="str">
        <f t="array" ref="R61">IF(ISBLANK($AE61), "-",INDEX(Circuits!Q:Q,SUMPRODUCT(EXACT($AE61,Circuits!$A:$A)*ROW(Circuits!$A:$A))))</f>
        <v>-</v>
      </c>
      <c r="S61" s="183" t="str">
        <f t="array" ref="S61">IF(ISBLANK($AE61), "-",INDEX(Circuits!R:R,SUMPRODUCT(EXACT($AE61,Circuits!$A:$A)*ROW(Circuits!$A:$A))))</f>
        <v>-</v>
      </c>
      <c r="T61" s="183" t="str">
        <f t="array" ref="T61">IF(ISBLANK($AE61), "-",INDEX(Circuits!S:S,SUMPRODUCT(EXACT($AE61,Circuits!$A:$A)*ROW(Circuits!$A:$A))))</f>
        <v>-</v>
      </c>
      <c r="U61" s="183" t="str">
        <f t="array" ref="U61">IF(ISBLANK($AE61), "-",INDEX(Circuits!T:T,SUMPRODUCT(EXACT($AE61,Circuits!$A:$A)*ROW(Circuits!$A:$A))))</f>
        <v>-</v>
      </c>
      <c r="V61" s="183" t="str">
        <f t="array" ref="V61">IF(ISBLANK($AE61), "-",INDEX(Circuits!U:U,SUMPRODUCT(EXACT($AE61,Circuits!$A:$A)*ROW(Circuits!$A:$A))))</f>
        <v>-</v>
      </c>
      <c r="W61" s="183" t="str">
        <f t="array" ref="W61">IF(ISBLANK($AE61), "-",INDEX(Circuits!V:V,SUMPRODUCT(EXACT($AE61,Circuits!$A:$A)*ROW(Circuits!$A:$A))))</f>
        <v>-</v>
      </c>
      <c r="X61" s="183" t="str">
        <f t="array" ref="X61">IF(ISBLANK($AE61), "-",INDEX(Circuits!W:W,SUMPRODUCT(EXACT($AE61,Circuits!$A:$A)*ROW(Circuits!$A:$A))))</f>
        <v>-</v>
      </c>
      <c r="Y61" s="183" t="str">
        <f t="array" ref="Y61">IF(ISBLANK($AE61), "-",INDEX(Circuits!X:X,SUMPRODUCT(EXACT($AE61,Circuits!$A:$A)*ROW(Circuits!$A:$A))))</f>
        <v>-</v>
      </c>
      <c r="Z61" s="108" t="str">
        <f>IFERROR(__xludf.DUMMYFUNCTION("IFNA(CONCATENATE(UNIQUE(FILTER(Connections!R:R,Connections!A:A=B61))),""-"")"),"-")</f>
        <v>-</v>
      </c>
      <c r="AA61" s="119" t="str">
        <f t="array" ref="AA61">IF(ISBLANK($AE61), "-",INDEX(Circuits!Y:Y,SUMPRODUCT(EXACT($AE61,Circuits!$A:$A)*ROW(Circuits!$A:$A))))</f>
        <v>-</v>
      </c>
      <c r="AB61" s="121" t="str">
        <f t="array" ref="AB61">IF(ISBLANK($AE61), "-",INDEX(Circuits!Z:Z,SUMPRODUCT(EXACT($AE61,Circuits!$A:$A)*ROW(Circuits!$A:$A))))</f>
        <v>-</v>
      </c>
      <c r="AC61" s="194"/>
      <c r="AD61" s="194"/>
      <c r="AE61" s="40"/>
      <c r="AF61" s="43"/>
      <c r="AG61" s="126" t="str">
        <f>IFERROR(__xludf.DUMMYFUNCTION("IF(ISBLANK(AF61), """", TEXTJOIN(CHAR(10),TRUE,ARRAYFORMULA(IF(ISERROR(SEARCH(SPLIT(AF61, "";""), $Z61)), ""x"", ""-""))))"),"")</f>
        <v/>
      </c>
      <c r="AH61" s="127" t="str">
        <f>IFERROR(__xludf.DUMMYFUNCTION("IF(ISBLANK(AK61), """", TEXTJOIN("";"" &amp; CHAR(10), TRUE, UNIQUE(SPLIT(AK61, "";"" &amp; CHAR(10)), TRUE))&amp;"";"")"),"")</f>
        <v/>
      </c>
      <c r="AI61" s="128" t="str">
        <f>IFERROR(__xludf.DUMMYFUNCTION("IF(ISBLANK(AD61), IF(ISBLANK(AE61),,IFNA(TEXTJOIN("";"" &amp; CHAR(10), TRUE, FILTER(AE:AE, SEARCH(AE61&amp;"";"", AJ:AJ)))&amp;"";"", """")), TEXTJOIN("";"" &amp; CHAR(10), TRUE, UNIQUE(SPLIT(AH61 &amp; "";"" &amp; AH61 &amp; "";"" &amp; AL61, "";"" &amp; CHAR(10)), TRUE, TRUE))&amp;"";"")"),"")</f>
        <v/>
      </c>
      <c r="AJ61" s="126" t="str">
        <f>IFERROR(__xludf.DUMMYFUNCTION("IF(AN61="""", """", TEXTJOIN("";"" &amp; CHAR(10), TRUE, UNIQUE(SPLIT(AH61 &amp; "";"" &amp; AH61 &amp; "";"" &amp; AN61, "";"" &amp; CHAR(10)), TRUE, TRUE))&amp;"";"")"),"")</f>
        <v/>
      </c>
      <c r="AK61" s="129" t="str">
        <f>IFERROR(__xludf.DUMMYFUNCTION("IF(ISBLANK(AD61), IF(ISBLANK(AE61),,AE61 &amp; "";""), TEXTJOIN(CHAR(10), TRUE, ARRAYFORMULA(VLOOKUP(SPLIT(AD61, "";"" &amp; CHAR(10)), $AC:$AH, 6, FALSE))))"),"")</f>
        <v/>
      </c>
      <c r="AL61" s="130" t="str">
        <f>IFERROR(__xludf.DUMMYFUNCTION("IF(AM61="""", """", TEXTJOIN("";"" &amp; CHAR(10), TRUE, UNIQUE(SPLIT(AM61, "";"" &amp; CHAR(10)), TRUE))&amp;"";"")"),"")</f>
        <v/>
      </c>
      <c r="AM61" s="130" t="str">
        <f>IFERROR(__xludf.DUMMYFUNCTION("IF(ISBLANK(AD61), """", TEXTJOIN(CHAR(10), TRUE, ARRAYFORMULA(VLOOKUP(SPLIT(AH61, "";"" &amp; CHAR(10)), $AE:$AI, 5, FALSE)), AF61))"),"")</f>
        <v/>
      </c>
      <c r="AN61" s="132" t="str">
        <f>IFERROR(__xludf.DUMMYFUNCTION("IF(ISBLANK(AO61), """", TEXTJOIN("";"" &amp; CHAR(10), TRUE, UNIQUE(SPLIT(AO61, "";"" &amp; CHAR(10)), TRUE))&amp;"";"")"),"")</f>
        <v/>
      </c>
      <c r="AO61" s="134" t="str">
        <f>IFERROR(__xludf.DUMMYFUNCTION("IF(ISBLANK(AD61), AF61, TEXTJOIN(CHAR(10), TRUE, ARRAYFORMULA(VLOOKUP(SPLIT(AD61, "";"" &amp; CHAR(10)), $AC:$AN, 12, FALSE))))"),"")</f>
        <v/>
      </c>
      <c r="AP61" s="130" t="str">
        <f>IF(ISBLANK(AE61),,IF(IFERROR(SEARCH(AE61&amp;";",Circuits!$AO$2),0),TRUE,FALSE))</f>
        <v/>
      </c>
      <c r="AQ61" s="130" t="str">
        <f t="shared" si="2"/>
        <v/>
      </c>
      <c r="AR61" s="130" t="str">
        <f t="shared" si="3"/>
        <v/>
      </c>
      <c r="AS61" s="136" t="str">
        <f>IFERROR(__xludf.DUMMYFUNCTION("IF(AH61="""",,SUM(ARRAYFORMULA(IF(IFERROR(SEARCH(SPLIT(AH61,CHAR(10)),Circuits!$AO$2),0)&gt;0,0,1))))"),"")</f>
        <v/>
      </c>
      <c r="AT61" s="138" t="str">
        <f t="shared" si="4"/>
        <v/>
      </c>
      <c r="AU61" s="138" t="str">
        <f t="shared" si="5"/>
        <v/>
      </c>
      <c r="AV61" s="130" t="str">
        <f>IFERROR(__xludf.DUMMYFUNCTION("IF(AI61="""",,TEXTJOIN("", "",TRUE,ARRAYFORMULA(VLOOKUP(SPLIT(AI61,"";""&amp;CHAR(10)),AE:AT,16,FALSE))))"),"")</f>
        <v/>
      </c>
      <c r="AW61" s="130" t="str">
        <f>IFERROR(__xludf.DUMMYFUNCTION("IF(ISBLANK(BK61),,TEXTJOIN("", "",TRUE,ARRAYFORMULA(VLOOKUP(IFERROR(REGEXEXTRACT(SPLIT(BK61,"";""&amp;CHAR(10)),""\[(.+)\]"")),AE:AT,16,false))))"),"")</f>
        <v/>
      </c>
      <c r="AX61" s="139" t="str">
        <f t="shared" si="6"/>
        <v/>
      </c>
      <c r="AY61" s="139" t="str">
        <f t="shared" si="7"/>
        <v/>
      </c>
      <c r="AZ61" s="106" t="str">
        <f>IFERROR(__xludf.DUMMYFUNCTION("IF(ISBLANK(AD61), BC61, TEXTJOIN(CHAR(10) &amp; CHAR(10), TRUE, ARRAYFORMULA(VLOOKUP(SPLIT(AD61, "";"" &amp; CHAR(10)), $AC:$AY, 23, FALSE))))"),"")</f>
        <v/>
      </c>
      <c r="BA61" s="140" t="s">
        <v>66</v>
      </c>
      <c r="BB61" s="190"/>
      <c r="BC61" s="196"/>
      <c r="BD61" s="106" t="str">
        <f>IFERROR(__xludf.DUMMYFUNCTION("IF(IFERROR(SEARCH(""&lt;&lt;mechanism to realize the capability&gt;&gt;"",BA61),0)=0,
 ""!! Error !! “Capability&amp;Mechanism” column: Invalid Separator:"" &amp; CHAR(10) &amp; ""Insert separator “&lt;&lt;mechanism to realize the capability&gt;&gt;.”"",
 IF(
  LEN(TRIM(CLEAN(
    INDEX(
  "&amp;"    SPLIT(BA61,""&lt;&lt;mechanism to realize the capability&gt;&gt;"",FALSE,FALSE),
      1
    )
  )))=0,
  ""!! Error !! “Capability&amp;Mechanism” column: No Capability:""  &amp; CHAR(10) &amp; ""Describe Capability before separator."",
  INDEX(
    SPLIT(BA61,""&lt;&lt;mechanism "&amp;"to realize the capability&gt;&gt;"",FALSE,FALSE),
    1
  )
 )
)
"),"!! Error !! “Capability&amp;Mechanism” column: No Capability:
Describe Capability before separator.")</f>
        <v>!! Error !! “Capability&amp;Mechanism” column: No Capability:
Describe Capability before separator.</v>
      </c>
      <c r="BE61" s="190"/>
      <c r="BF61" s="195"/>
      <c r="BG61" s="42"/>
      <c r="BH61" s="190"/>
      <c r="BI61" s="196"/>
      <c r="BJ61" s="42"/>
      <c r="BK61" s="42"/>
      <c r="BL61" s="203"/>
      <c r="BM61" s="203"/>
      <c r="BN61" s="42"/>
      <c r="BO61" s="42"/>
      <c r="BP61" s="143"/>
      <c r="BQ61" s="143"/>
      <c r="BR61" s="192"/>
      <c r="BS61" s="192"/>
      <c r="BT61" s="192"/>
      <c r="BU61" s="192"/>
      <c r="BV61" s="192"/>
      <c r="BW61" s="192"/>
      <c r="BX61" s="146" t="str">
        <f t="shared" si="8"/>
        <v/>
      </c>
    </row>
    <row r="62">
      <c r="A62" s="106" t="str">
        <f t="shared" si="1"/>
        <v/>
      </c>
      <c r="B62" s="183" t="str">
        <f t="array" ref="B62">IF(ISBLANK($AE62), "-",INDEX(Circuits!A:A,SUMPRODUCT(EXACT($AE62,Circuits!$A:$A)*ROW(Circuits!$A:$A))))</f>
        <v>-</v>
      </c>
      <c r="C62" s="183" t="str">
        <f t="array" ref="C62">IF(ISBLANK($AE62), "-",INDEX(Circuits!B:B,SUMPRODUCT(EXACT($AE62,Circuits!$A:$A)*ROW(Circuits!$A:$A))))</f>
        <v>-</v>
      </c>
      <c r="D62" s="183" t="str">
        <f t="array" ref="D62">IF(ISBLANK($AE62), "-",INDEX(Circuits!C:C,SUMPRODUCT(EXACT($AE62,Circuits!$A:$A)*ROW(Circuits!$A:$A))))</f>
        <v>-</v>
      </c>
      <c r="E62" s="183" t="str">
        <f t="array" ref="E62">IF(ISBLANK($AE62), "-",INDEX(Circuits!D:D,SUMPRODUCT(EXACT($AE62,Circuits!$A:$A)*ROW(Circuits!$A:$A))))</f>
        <v>-</v>
      </c>
      <c r="F62" s="183" t="str">
        <f t="array" ref="F62">IF(ISBLANK($AE62), "-",INDEX(Circuits!E:E,SUMPRODUCT(EXACT($AE62,Circuits!$A:$A)*ROW(Circuits!$A:$A))))</f>
        <v>-</v>
      </c>
      <c r="G62" s="183" t="str">
        <f t="array" ref="G62">IF(ISBLANK($AE62), "-",INDEX(Circuits!F:F,SUMPRODUCT(EXACT($AE62,Circuits!$A:$A)*ROW(Circuits!$A:$A))))</f>
        <v>-</v>
      </c>
      <c r="H62" s="183" t="str">
        <f t="array" ref="H62">IF(ISBLANK($AE62), "-",INDEX(Circuits!G:G,SUMPRODUCT(EXACT($AE62,Circuits!$A:$A)*ROW(Circuits!$A:$A))))</f>
        <v>-</v>
      </c>
      <c r="I62" s="183" t="str">
        <f t="array" ref="I62">IF(ISBLANK($AE62), "-",INDEX(Circuits!H:H,SUMPRODUCT(EXACT($AE62,Circuits!$A:$A)*ROW(Circuits!$A:$A))))</f>
        <v>-</v>
      </c>
      <c r="J62" s="183" t="str">
        <f t="array" ref="J62">IF(ISBLANK($AE62), "-",INDEX(Circuits!I:I,SUMPRODUCT(EXACT($AE62,Circuits!$A:$A)*ROW(Circuits!$A:$A))))</f>
        <v>-</v>
      </c>
      <c r="K62" s="183" t="str">
        <f t="array" ref="K62">IF(ISBLANK($AE62), "-",INDEX(Circuits!J:J,SUMPRODUCT(EXACT($AE62,Circuits!$A:$A)*ROW(Circuits!$A:$A))))</f>
        <v>-</v>
      </c>
      <c r="L62" s="183" t="str">
        <f t="array" ref="L62">IF(ISBLANK($AE62), "-",INDEX(Circuits!K:K,SUMPRODUCT(EXACT($AE62,Circuits!$A:$A)*ROW(Circuits!$A:$A))))</f>
        <v>-</v>
      </c>
      <c r="M62" s="183" t="str">
        <f t="array" ref="M62">IF(ISBLANK($AE62), "-",INDEX(Circuits!L:L,SUMPRODUCT(EXACT($AE62,Circuits!$A:$A)*ROW(Circuits!$A:$A))))</f>
        <v>-</v>
      </c>
      <c r="N62" s="183" t="str">
        <f t="array" ref="N62">IF(ISBLANK($AE62), "-",INDEX(Circuits!M:M,SUMPRODUCT(EXACT($AE62,Circuits!$A:$A)*ROW(Circuits!$A:$A))))</f>
        <v>-</v>
      </c>
      <c r="O62" s="183" t="str">
        <f t="array" ref="O62">IF(ISBLANK($AE62), "-",INDEX(Circuits!N:N,SUMPRODUCT(EXACT($AE62,Circuits!$A:$A)*ROW(Circuits!$A:$A))))</f>
        <v>-</v>
      </c>
      <c r="P62" s="183" t="str">
        <f t="array" ref="P62">IF(ISBLANK($AE62), "-",INDEX(Circuits!O:O,SUMPRODUCT(EXACT($AE62,Circuits!$A:$A)*ROW(Circuits!$A:$A))))</f>
        <v>-</v>
      </c>
      <c r="Q62" s="183" t="str">
        <f t="array" ref="Q62">IF(ISBLANK($AE62), "-",INDEX(Circuits!P:P,SUMPRODUCT(EXACT($AE62,Circuits!$A:$A)*ROW(Circuits!$A:$A))))</f>
        <v>-</v>
      </c>
      <c r="R62" s="183" t="str">
        <f t="array" ref="R62">IF(ISBLANK($AE62), "-",INDEX(Circuits!Q:Q,SUMPRODUCT(EXACT($AE62,Circuits!$A:$A)*ROW(Circuits!$A:$A))))</f>
        <v>-</v>
      </c>
      <c r="S62" s="183" t="str">
        <f t="array" ref="S62">IF(ISBLANK($AE62), "-",INDEX(Circuits!R:R,SUMPRODUCT(EXACT($AE62,Circuits!$A:$A)*ROW(Circuits!$A:$A))))</f>
        <v>-</v>
      </c>
      <c r="T62" s="183" t="str">
        <f t="array" ref="T62">IF(ISBLANK($AE62), "-",INDEX(Circuits!S:S,SUMPRODUCT(EXACT($AE62,Circuits!$A:$A)*ROW(Circuits!$A:$A))))</f>
        <v>-</v>
      </c>
      <c r="U62" s="183" t="str">
        <f t="array" ref="U62">IF(ISBLANK($AE62), "-",INDEX(Circuits!T:T,SUMPRODUCT(EXACT($AE62,Circuits!$A:$A)*ROW(Circuits!$A:$A))))</f>
        <v>-</v>
      </c>
      <c r="V62" s="183" t="str">
        <f t="array" ref="V62">IF(ISBLANK($AE62), "-",INDEX(Circuits!U:U,SUMPRODUCT(EXACT($AE62,Circuits!$A:$A)*ROW(Circuits!$A:$A))))</f>
        <v>-</v>
      </c>
      <c r="W62" s="183" t="str">
        <f t="array" ref="W62">IF(ISBLANK($AE62), "-",INDEX(Circuits!V:V,SUMPRODUCT(EXACT($AE62,Circuits!$A:$A)*ROW(Circuits!$A:$A))))</f>
        <v>-</v>
      </c>
      <c r="X62" s="183" t="str">
        <f t="array" ref="X62">IF(ISBLANK($AE62), "-",INDEX(Circuits!W:W,SUMPRODUCT(EXACT($AE62,Circuits!$A:$A)*ROW(Circuits!$A:$A))))</f>
        <v>-</v>
      </c>
      <c r="Y62" s="183" t="str">
        <f t="array" ref="Y62">IF(ISBLANK($AE62), "-",INDEX(Circuits!X:X,SUMPRODUCT(EXACT($AE62,Circuits!$A:$A)*ROW(Circuits!$A:$A))))</f>
        <v>-</v>
      </c>
      <c r="Z62" s="108" t="str">
        <f>IFERROR(__xludf.DUMMYFUNCTION("IFNA(CONCATENATE(UNIQUE(FILTER(Connections!R:R,Connections!A:A=B62))),""-"")"),"-")</f>
        <v>-</v>
      </c>
      <c r="AA62" s="119" t="str">
        <f t="array" ref="AA62">IF(ISBLANK($AE62), "-",INDEX(Circuits!Y:Y,SUMPRODUCT(EXACT($AE62,Circuits!$A:$A)*ROW(Circuits!$A:$A))))</f>
        <v>-</v>
      </c>
      <c r="AB62" s="121" t="str">
        <f t="array" ref="AB62">IF(ISBLANK($AE62), "-",INDEX(Circuits!Z:Z,SUMPRODUCT(EXACT($AE62,Circuits!$A:$A)*ROW(Circuits!$A:$A))))</f>
        <v>-</v>
      </c>
      <c r="AC62" s="194"/>
      <c r="AD62" s="194"/>
      <c r="AE62" s="40"/>
      <c r="AF62" s="43"/>
      <c r="AG62" s="126" t="str">
        <f>IFERROR(__xludf.DUMMYFUNCTION("IF(ISBLANK(AF62), """", TEXTJOIN(CHAR(10),TRUE,ARRAYFORMULA(IF(ISERROR(SEARCH(SPLIT(AF62, "";""), $Z62)), ""x"", ""-""))))"),"")</f>
        <v/>
      </c>
      <c r="AH62" s="127" t="str">
        <f>IFERROR(__xludf.DUMMYFUNCTION("IF(ISBLANK(AK62), """", TEXTJOIN("";"" &amp; CHAR(10), TRUE, UNIQUE(SPLIT(AK62, "";"" &amp; CHAR(10)), TRUE))&amp;"";"")"),"")</f>
        <v/>
      </c>
      <c r="AI62" s="128" t="str">
        <f>IFERROR(__xludf.DUMMYFUNCTION("IF(ISBLANK(AD62), IF(ISBLANK(AE62),,IFNA(TEXTJOIN("";"" &amp; CHAR(10), TRUE, FILTER(AE:AE, SEARCH(AE62&amp;"";"", AJ:AJ)))&amp;"";"", """")), TEXTJOIN("";"" &amp; CHAR(10), TRUE, UNIQUE(SPLIT(AH62 &amp; "";"" &amp; AH62 &amp; "";"" &amp; AL62, "";"" &amp; CHAR(10)), TRUE, TRUE))&amp;"";"")"),"")</f>
        <v/>
      </c>
      <c r="AJ62" s="126" t="str">
        <f>IFERROR(__xludf.DUMMYFUNCTION("IF(AN62="""", """", TEXTJOIN("";"" &amp; CHAR(10), TRUE, UNIQUE(SPLIT(AH62 &amp; "";"" &amp; AH62 &amp; "";"" &amp; AN62, "";"" &amp; CHAR(10)), TRUE, TRUE))&amp;"";"")"),"")</f>
        <v/>
      </c>
      <c r="AK62" s="129" t="str">
        <f>IFERROR(__xludf.DUMMYFUNCTION("IF(ISBLANK(AD62), IF(ISBLANK(AE62),,AE62 &amp; "";""), TEXTJOIN(CHAR(10), TRUE, ARRAYFORMULA(VLOOKUP(SPLIT(AD62, "";"" &amp; CHAR(10)), $AC:$AH, 6, FALSE))))"),"")</f>
        <v/>
      </c>
      <c r="AL62" s="130" t="str">
        <f>IFERROR(__xludf.DUMMYFUNCTION("IF(AM62="""", """", TEXTJOIN("";"" &amp; CHAR(10), TRUE, UNIQUE(SPLIT(AM62, "";"" &amp; CHAR(10)), TRUE))&amp;"";"")"),"")</f>
        <v/>
      </c>
      <c r="AM62" s="130" t="str">
        <f>IFERROR(__xludf.DUMMYFUNCTION("IF(ISBLANK(AD62), """", TEXTJOIN(CHAR(10), TRUE, ARRAYFORMULA(VLOOKUP(SPLIT(AH62, "";"" &amp; CHAR(10)), $AE:$AI, 5, FALSE)), AF62))"),"")</f>
        <v/>
      </c>
      <c r="AN62" s="132" t="str">
        <f>IFERROR(__xludf.DUMMYFUNCTION("IF(ISBLANK(AO62), """", TEXTJOIN("";"" &amp; CHAR(10), TRUE, UNIQUE(SPLIT(AO62, "";"" &amp; CHAR(10)), TRUE))&amp;"";"")"),"")</f>
        <v/>
      </c>
      <c r="AO62" s="134" t="str">
        <f>IFERROR(__xludf.DUMMYFUNCTION("IF(ISBLANK(AD62), AF62, TEXTJOIN(CHAR(10), TRUE, ARRAYFORMULA(VLOOKUP(SPLIT(AD62, "";"" &amp; CHAR(10)), $AC:$AN, 12, FALSE))))"),"")</f>
        <v/>
      </c>
      <c r="AP62" s="130" t="str">
        <f>IF(ISBLANK(AE62),,IF(IFERROR(SEARCH(AE62&amp;";",Circuits!$AO$2),0),TRUE,FALSE))</f>
        <v/>
      </c>
      <c r="AQ62" s="130" t="str">
        <f t="shared" si="2"/>
        <v/>
      </c>
      <c r="AR62" s="130" t="str">
        <f t="shared" si="3"/>
        <v/>
      </c>
      <c r="AS62" s="136" t="str">
        <f>IFERROR(__xludf.DUMMYFUNCTION("IF(AH62="""",,SUM(ARRAYFORMULA(IF(IFERROR(SEARCH(SPLIT(AH62,CHAR(10)),Circuits!$AO$2),0)&gt;0,0,1))))"),"")</f>
        <v/>
      </c>
      <c r="AT62" s="138" t="str">
        <f t="shared" si="4"/>
        <v/>
      </c>
      <c r="AU62" s="138" t="str">
        <f t="shared" si="5"/>
        <v/>
      </c>
      <c r="AV62" s="130" t="str">
        <f>IFERROR(__xludf.DUMMYFUNCTION("IF(AI62="""",,TEXTJOIN("", "",TRUE,ARRAYFORMULA(VLOOKUP(SPLIT(AI62,"";""&amp;CHAR(10)),AE:AT,16,FALSE))))"),"")</f>
        <v/>
      </c>
      <c r="AW62" s="130" t="str">
        <f>IFERROR(__xludf.DUMMYFUNCTION("IF(ISBLANK(BK62),,TEXTJOIN("", "",TRUE,ARRAYFORMULA(VLOOKUP(IFERROR(REGEXEXTRACT(SPLIT(BK62,"";""&amp;CHAR(10)),""\[(.+)\]"")),AE:AT,16,false))))"),"")</f>
        <v/>
      </c>
      <c r="AX62" s="139" t="str">
        <f t="shared" si="6"/>
        <v/>
      </c>
      <c r="AY62" s="139" t="str">
        <f t="shared" si="7"/>
        <v/>
      </c>
      <c r="AZ62" s="106" t="str">
        <f>IFERROR(__xludf.DUMMYFUNCTION("IF(ISBLANK(AD62), BC62, TEXTJOIN(CHAR(10) &amp; CHAR(10), TRUE, ARRAYFORMULA(VLOOKUP(SPLIT(AD62, "";"" &amp; CHAR(10)), $AC:$AY, 23, FALSE))))"),"")</f>
        <v/>
      </c>
      <c r="BA62" s="140" t="s">
        <v>66</v>
      </c>
      <c r="BB62" s="190"/>
      <c r="BC62" s="196"/>
      <c r="BD62" s="106" t="str">
        <f>IFERROR(__xludf.DUMMYFUNCTION("IF(IFERROR(SEARCH(""&lt;&lt;mechanism to realize the capability&gt;&gt;"",BA62),0)=0,
 ""!! Error !! “Capability&amp;Mechanism” column: Invalid Separator:"" &amp; CHAR(10) &amp; ""Insert separator “&lt;&lt;mechanism to realize the capability&gt;&gt;.”"",
 IF(
  LEN(TRIM(CLEAN(
    INDEX(
  "&amp;"    SPLIT(BA62,""&lt;&lt;mechanism to realize the capability&gt;&gt;"",FALSE,FALSE),
      1
    )
  )))=0,
  ""!! Error !! “Capability&amp;Mechanism” column: No Capability:""  &amp; CHAR(10) &amp; ""Describe Capability before separator."",
  INDEX(
    SPLIT(BA62,""&lt;&lt;mechanism "&amp;"to realize the capability&gt;&gt;"",FALSE,FALSE),
    1
  )
 )
)
"),"!! Error !! “Capability&amp;Mechanism” column: No Capability:
Describe Capability before separator.")</f>
        <v>!! Error !! “Capability&amp;Mechanism” column: No Capability:
Describe Capability before separator.</v>
      </c>
      <c r="BE62" s="190"/>
      <c r="BF62" s="195"/>
      <c r="BG62" s="42"/>
      <c r="BH62" s="190"/>
      <c r="BI62" s="196"/>
      <c r="BJ62" s="42"/>
      <c r="BK62" s="42"/>
      <c r="BL62" s="203"/>
      <c r="BM62" s="203"/>
      <c r="BN62" s="42"/>
      <c r="BO62" s="42"/>
      <c r="BP62" s="143"/>
      <c r="BQ62" s="143"/>
      <c r="BR62" s="192"/>
      <c r="BS62" s="192"/>
      <c r="BT62" s="192"/>
      <c r="BU62" s="192"/>
      <c r="BV62" s="192"/>
      <c r="BW62" s="192"/>
      <c r="BX62" s="146" t="str">
        <f t="shared" si="8"/>
        <v/>
      </c>
    </row>
    <row r="63">
      <c r="A63" s="106" t="str">
        <f t="shared" si="1"/>
        <v/>
      </c>
      <c r="B63" s="183" t="str">
        <f t="array" ref="B63">IF(ISBLANK($AE63), "-",INDEX(Circuits!A:A,SUMPRODUCT(EXACT($AE63,Circuits!$A:$A)*ROW(Circuits!$A:$A))))</f>
        <v>-</v>
      </c>
      <c r="C63" s="183" t="str">
        <f t="array" ref="C63">IF(ISBLANK($AE63), "-",INDEX(Circuits!B:B,SUMPRODUCT(EXACT($AE63,Circuits!$A:$A)*ROW(Circuits!$A:$A))))</f>
        <v>-</v>
      </c>
      <c r="D63" s="183" t="str">
        <f t="array" ref="D63">IF(ISBLANK($AE63), "-",INDEX(Circuits!C:C,SUMPRODUCT(EXACT($AE63,Circuits!$A:$A)*ROW(Circuits!$A:$A))))</f>
        <v>-</v>
      </c>
      <c r="E63" s="183" t="str">
        <f t="array" ref="E63">IF(ISBLANK($AE63), "-",INDEX(Circuits!D:D,SUMPRODUCT(EXACT($AE63,Circuits!$A:$A)*ROW(Circuits!$A:$A))))</f>
        <v>-</v>
      </c>
      <c r="F63" s="183" t="str">
        <f t="array" ref="F63">IF(ISBLANK($AE63), "-",INDEX(Circuits!E:E,SUMPRODUCT(EXACT($AE63,Circuits!$A:$A)*ROW(Circuits!$A:$A))))</f>
        <v>-</v>
      </c>
      <c r="G63" s="183" t="str">
        <f t="array" ref="G63">IF(ISBLANK($AE63), "-",INDEX(Circuits!F:F,SUMPRODUCT(EXACT($AE63,Circuits!$A:$A)*ROW(Circuits!$A:$A))))</f>
        <v>-</v>
      </c>
      <c r="H63" s="183" t="str">
        <f t="array" ref="H63">IF(ISBLANK($AE63), "-",INDEX(Circuits!G:G,SUMPRODUCT(EXACT($AE63,Circuits!$A:$A)*ROW(Circuits!$A:$A))))</f>
        <v>-</v>
      </c>
      <c r="I63" s="183" t="str">
        <f t="array" ref="I63">IF(ISBLANK($AE63), "-",INDEX(Circuits!H:H,SUMPRODUCT(EXACT($AE63,Circuits!$A:$A)*ROW(Circuits!$A:$A))))</f>
        <v>-</v>
      </c>
      <c r="J63" s="183" t="str">
        <f t="array" ref="J63">IF(ISBLANK($AE63), "-",INDEX(Circuits!I:I,SUMPRODUCT(EXACT($AE63,Circuits!$A:$A)*ROW(Circuits!$A:$A))))</f>
        <v>-</v>
      </c>
      <c r="K63" s="183" t="str">
        <f t="array" ref="K63">IF(ISBLANK($AE63), "-",INDEX(Circuits!J:J,SUMPRODUCT(EXACT($AE63,Circuits!$A:$A)*ROW(Circuits!$A:$A))))</f>
        <v>-</v>
      </c>
      <c r="L63" s="183" t="str">
        <f t="array" ref="L63">IF(ISBLANK($AE63), "-",INDEX(Circuits!K:K,SUMPRODUCT(EXACT($AE63,Circuits!$A:$A)*ROW(Circuits!$A:$A))))</f>
        <v>-</v>
      </c>
      <c r="M63" s="183" t="str">
        <f t="array" ref="M63">IF(ISBLANK($AE63), "-",INDEX(Circuits!L:L,SUMPRODUCT(EXACT($AE63,Circuits!$A:$A)*ROW(Circuits!$A:$A))))</f>
        <v>-</v>
      </c>
      <c r="N63" s="183" t="str">
        <f t="array" ref="N63">IF(ISBLANK($AE63), "-",INDEX(Circuits!M:M,SUMPRODUCT(EXACT($AE63,Circuits!$A:$A)*ROW(Circuits!$A:$A))))</f>
        <v>-</v>
      </c>
      <c r="O63" s="183" t="str">
        <f t="array" ref="O63">IF(ISBLANK($AE63), "-",INDEX(Circuits!N:N,SUMPRODUCT(EXACT($AE63,Circuits!$A:$A)*ROW(Circuits!$A:$A))))</f>
        <v>-</v>
      </c>
      <c r="P63" s="183" t="str">
        <f t="array" ref="P63">IF(ISBLANK($AE63), "-",INDEX(Circuits!O:O,SUMPRODUCT(EXACT($AE63,Circuits!$A:$A)*ROW(Circuits!$A:$A))))</f>
        <v>-</v>
      </c>
      <c r="Q63" s="183" t="str">
        <f t="array" ref="Q63">IF(ISBLANK($AE63), "-",INDEX(Circuits!P:P,SUMPRODUCT(EXACT($AE63,Circuits!$A:$A)*ROW(Circuits!$A:$A))))</f>
        <v>-</v>
      </c>
      <c r="R63" s="183" t="str">
        <f t="array" ref="R63">IF(ISBLANK($AE63), "-",INDEX(Circuits!Q:Q,SUMPRODUCT(EXACT($AE63,Circuits!$A:$A)*ROW(Circuits!$A:$A))))</f>
        <v>-</v>
      </c>
      <c r="S63" s="183" t="str">
        <f t="array" ref="S63">IF(ISBLANK($AE63), "-",INDEX(Circuits!R:R,SUMPRODUCT(EXACT($AE63,Circuits!$A:$A)*ROW(Circuits!$A:$A))))</f>
        <v>-</v>
      </c>
      <c r="T63" s="183" t="str">
        <f t="array" ref="T63">IF(ISBLANK($AE63), "-",INDEX(Circuits!S:S,SUMPRODUCT(EXACT($AE63,Circuits!$A:$A)*ROW(Circuits!$A:$A))))</f>
        <v>-</v>
      </c>
      <c r="U63" s="183" t="str">
        <f t="array" ref="U63">IF(ISBLANK($AE63), "-",INDEX(Circuits!T:T,SUMPRODUCT(EXACT($AE63,Circuits!$A:$A)*ROW(Circuits!$A:$A))))</f>
        <v>-</v>
      </c>
      <c r="V63" s="183" t="str">
        <f t="array" ref="V63">IF(ISBLANK($AE63), "-",INDEX(Circuits!U:U,SUMPRODUCT(EXACT($AE63,Circuits!$A:$A)*ROW(Circuits!$A:$A))))</f>
        <v>-</v>
      </c>
      <c r="W63" s="183" t="str">
        <f t="array" ref="W63">IF(ISBLANK($AE63), "-",INDEX(Circuits!V:V,SUMPRODUCT(EXACT($AE63,Circuits!$A:$A)*ROW(Circuits!$A:$A))))</f>
        <v>-</v>
      </c>
      <c r="X63" s="183" t="str">
        <f t="array" ref="X63">IF(ISBLANK($AE63), "-",INDEX(Circuits!W:W,SUMPRODUCT(EXACT($AE63,Circuits!$A:$A)*ROW(Circuits!$A:$A))))</f>
        <v>-</v>
      </c>
      <c r="Y63" s="183" t="str">
        <f t="array" ref="Y63">IF(ISBLANK($AE63), "-",INDEX(Circuits!X:X,SUMPRODUCT(EXACT($AE63,Circuits!$A:$A)*ROW(Circuits!$A:$A))))</f>
        <v>-</v>
      </c>
      <c r="Z63" s="108" t="str">
        <f>IFERROR(__xludf.DUMMYFUNCTION("IFNA(CONCATENATE(UNIQUE(FILTER(Connections!R:R,Connections!A:A=B63))),""-"")"),"-")</f>
        <v>-</v>
      </c>
      <c r="AA63" s="119" t="str">
        <f t="array" ref="AA63">IF(ISBLANK($AE63), "-",INDEX(Circuits!Y:Y,SUMPRODUCT(EXACT($AE63,Circuits!$A:$A)*ROW(Circuits!$A:$A))))</f>
        <v>-</v>
      </c>
      <c r="AB63" s="121" t="str">
        <f t="array" ref="AB63">IF(ISBLANK($AE63), "-",INDEX(Circuits!Z:Z,SUMPRODUCT(EXACT($AE63,Circuits!$A:$A)*ROW(Circuits!$A:$A))))</f>
        <v>-</v>
      </c>
      <c r="AC63" s="194"/>
      <c r="AD63" s="194"/>
      <c r="AE63" s="40"/>
      <c r="AF63" s="43"/>
      <c r="AG63" s="126" t="str">
        <f>IFERROR(__xludf.DUMMYFUNCTION("IF(ISBLANK(AF63), """", TEXTJOIN(CHAR(10),TRUE,ARRAYFORMULA(IF(ISERROR(SEARCH(SPLIT(AF63, "";""), $Z63)), ""x"", ""-""))))"),"")</f>
        <v/>
      </c>
      <c r="AH63" s="127" t="str">
        <f>IFERROR(__xludf.DUMMYFUNCTION("IF(ISBLANK(AK63), """", TEXTJOIN("";"" &amp; CHAR(10), TRUE, UNIQUE(SPLIT(AK63, "";"" &amp; CHAR(10)), TRUE))&amp;"";"")"),"")</f>
        <v/>
      </c>
      <c r="AI63" s="128" t="str">
        <f>IFERROR(__xludf.DUMMYFUNCTION("IF(ISBLANK(AD63), IF(ISBLANK(AE63),,IFNA(TEXTJOIN("";"" &amp; CHAR(10), TRUE, FILTER(AE:AE, SEARCH(AE63&amp;"";"", AJ:AJ)))&amp;"";"", """")), TEXTJOIN("";"" &amp; CHAR(10), TRUE, UNIQUE(SPLIT(AH63 &amp; "";"" &amp; AH63 &amp; "";"" &amp; AL63, "";"" &amp; CHAR(10)), TRUE, TRUE))&amp;"";"")"),"")</f>
        <v/>
      </c>
      <c r="AJ63" s="126" t="str">
        <f>IFERROR(__xludf.DUMMYFUNCTION("IF(AN63="""", """", TEXTJOIN("";"" &amp; CHAR(10), TRUE, UNIQUE(SPLIT(AH63 &amp; "";"" &amp; AH63 &amp; "";"" &amp; AN63, "";"" &amp; CHAR(10)), TRUE, TRUE))&amp;"";"")"),"")</f>
        <v/>
      </c>
      <c r="AK63" s="129" t="str">
        <f>IFERROR(__xludf.DUMMYFUNCTION("IF(ISBLANK(AD63), IF(ISBLANK(AE63),,AE63 &amp; "";""), TEXTJOIN(CHAR(10), TRUE, ARRAYFORMULA(VLOOKUP(SPLIT(AD63, "";"" &amp; CHAR(10)), $AC:$AH, 6, FALSE))))"),"")</f>
        <v/>
      </c>
      <c r="AL63" s="130" t="str">
        <f>IFERROR(__xludf.DUMMYFUNCTION("IF(AM63="""", """", TEXTJOIN("";"" &amp; CHAR(10), TRUE, UNIQUE(SPLIT(AM63, "";"" &amp; CHAR(10)), TRUE))&amp;"";"")"),"")</f>
        <v/>
      </c>
      <c r="AM63" s="130" t="str">
        <f>IFERROR(__xludf.DUMMYFUNCTION("IF(ISBLANK(AD63), """", TEXTJOIN(CHAR(10), TRUE, ARRAYFORMULA(VLOOKUP(SPLIT(AH63, "";"" &amp; CHAR(10)), $AE:$AI, 5, FALSE)), AF63))"),"")</f>
        <v/>
      </c>
      <c r="AN63" s="132" t="str">
        <f>IFERROR(__xludf.DUMMYFUNCTION("IF(ISBLANK(AO63), """", TEXTJOIN("";"" &amp; CHAR(10), TRUE, UNIQUE(SPLIT(AO63, "";"" &amp; CHAR(10)), TRUE))&amp;"";"")"),"")</f>
        <v/>
      </c>
      <c r="AO63" s="134" t="str">
        <f>IFERROR(__xludf.DUMMYFUNCTION("IF(ISBLANK(AD63), AF63, TEXTJOIN(CHAR(10), TRUE, ARRAYFORMULA(VLOOKUP(SPLIT(AD63, "";"" &amp; CHAR(10)), $AC:$AN, 12, FALSE))))"),"")</f>
        <v/>
      </c>
      <c r="AP63" s="130" t="str">
        <f>IF(ISBLANK(AE63),,IF(IFERROR(SEARCH(AE63&amp;";",Circuits!$AO$2),0),TRUE,FALSE))</f>
        <v/>
      </c>
      <c r="AQ63" s="130" t="str">
        <f t="shared" si="2"/>
        <v/>
      </c>
      <c r="AR63" s="130" t="str">
        <f t="shared" si="3"/>
        <v/>
      </c>
      <c r="AS63" s="136" t="str">
        <f>IFERROR(__xludf.DUMMYFUNCTION("IF(AH63="""",,SUM(ARRAYFORMULA(IF(IFERROR(SEARCH(SPLIT(AH63,CHAR(10)),Circuits!$AO$2),0)&gt;0,0,1))))"),"")</f>
        <v/>
      </c>
      <c r="AT63" s="138" t="str">
        <f t="shared" si="4"/>
        <v/>
      </c>
      <c r="AU63" s="138" t="str">
        <f t="shared" si="5"/>
        <v/>
      </c>
      <c r="AV63" s="130" t="str">
        <f>IFERROR(__xludf.DUMMYFUNCTION("IF(AI63="""",,TEXTJOIN("", "",TRUE,ARRAYFORMULA(VLOOKUP(SPLIT(AI63,"";""&amp;CHAR(10)),AE:AT,16,FALSE))))"),"")</f>
        <v/>
      </c>
      <c r="AW63" s="130" t="str">
        <f>IFERROR(__xludf.DUMMYFUNCTION("IF(ISBLANK(BK63),,TEXTJOIN("", "",TRUE,ARRAYFORMULA(VLOOKUP(IFERROR(REGEXEXTRACT(SPLIT(BK63,"";""&amp;CHAR(10)),""\[(.+)\]"")),AE:AT,16,false))))"),"")</f>
        <v/>
      </c>
      <c r="AX63" s="139" t="str">
        <f t="shared" si="6"/>
        <v/>
      </c>
      <c r="AY63" s="139" t="str">
        <f t="shared" si="7"/>
        <v/>
      </c>
      <c r="AZ63" s="106" t="str">
        <f>IFERROR(__xludf.DUMMYFUNCTION("IF(ISBLANK(AD63), BC63, TEXTJOIN(CHAR(10) &amp; CHAR(10), TRUE, ARRAYFORMULA(VLOOKUP(SPLIT(AD63, "";"" &amp; CHAR(10)), $AC:$AY, 23, FALSE))))"),"")</f>
        <v/>
      </c>
      <c r="BA63" s="140" t="s">
        <v>66</v>
      </c>
      <c r="BB63" s="190"/>
      <c r="BC63" s="196"/>
      <c r="BD63" s="106" t="str">
        <f>IFERROR(__xludf.DUMMYFUNCTION("IF(IFERROR(SEARCH(""&lt;&lt;mechanism to realize the capability&gt;&gt;"",BA63),0)=0,
 ""!! Error !! “Capability&amp;Mechanism” column: Invalid Separator:"" &amp; CHAR(10) &amp; ""Insert separator “&lt;&lt;mechanism to realize the capability&gt;&gt;.”"",
 IF(
  LEN(TRIM(CLEAN(
    INDEX(
  "&amp;"    SPLIT(BA63,""&lt;&lt;mechanism to realize the capability&gt;&gt;"",FALSE,FALSE),
      1
    )
  )))=0,
  ""!! Error !! “Capability&amp;Mechanism” column: No Capability:""  &amp; CHAR(10) &amp; ""Describe Capability before separator."",
  INDEX(
    SPLIT(BA63,""&lt;&lt;mechanism "&amp;"to realize the capability&gt;&gt;"",FALSE,FALSE),
    1
  )
 )
)
"),"!! Error !! “Capability&amp;Mechanism” column: No Capability:
Describe Capability before separator.")</f>
        <v>!! Error !! “Capability&amp;Mechanism” column: No Capability:
Describe Capability before separator.</v>
      </c>
      <c r="BE63" s="190"/>
      <c r="BF63" s="195"/>
      <c r="BG63" s="42"/>
      <c r="BH63" s="190"/>
      <c r="BI63" s="196"/>
      <c r="BJ63" s="42"/>
      <c r="BK63" s="42"/>
      <c r="BL63" s="203"/>
      <c r="BM63" s="203"/>
      <c r="BN63" s="42"/>
      <c r="BO63" s="42"/>
      <c r="BP63" s="143"/>
      <c r="BQ63" s="143"/>
      <c r="BR63" s="192"/>
      <c r="BS63" s="192"/>
      <c r="BT63" s="192"/>
      <c r="BU63" s="192"/>
      <c r="BV63" s="192"/>
      <c r="BW63" s="192"/>
      <c r="BX63" s="146" t="str">
        <f t="shared" si="8"/>
        <v/>
      </c>
    </row>
    <row r="64">
      <c r="A64" s="106" t="str">
        <f t="shared" si="1"/>
        <v/>
      </c>
      <c r="B64" s="183" t="str">
        <f t="array" ref="B64">IF(ISBLANK($AE64), "-",INDEX(Circuits!A:A,SUMPRODUCT(EXACT($AE64,Circuits!$A:$A)*ROW(Circuits!$A:$A))))</f>
        <v>-</v>
      </c>
      <c r="C64" s="183" t="str">
        <f t="array" ref="C64">IF(ISBLANK($AE64), "-",INDEX(Circuits!B:B,SUMPRODUCT(EXACT($AE64,Circuits!$A:$A)*ROW(Circuits!$A:$A))))</f>
        <v>-</v>
      </c>
      <c r="D64" s="183" t="str">
        <f t="array" ref="D64">IF(ISBLANK($AE64), "-",INDEX(Circuits!C:C,SUMPRODUCT(EXACT($AE64,Circuits!$A:$A)*ROW(Circuits!$A:$A))))</f>
        <v>-</v>
      </c>
      <c r="E64" s="183" t="str">
        <f t="array" ref="E64">IF(ISBLANK($AE64), "-",INDEX(Circuits!D:D,SUMPRODUCT(EXACT($AE64,Circuits!$A:$A)*ROW(Circuits!$A:$A))))</f>
        <v>-</v>
      </c>
      <c r="F64" s="183" t="str">
        <f t="array" ref="F64">IF(ISBLANK($AE64), "-",INDEX(Circuits!E:E,SUMPRODUCT(EXACT($AE64,Circuits!$A:$A)*ROW(Circuits!$A:$A))))</f>
        <v>-</v>
      </c>
      <c r="G64" s="183" t="str">
        <f t="array" ref="G64">IF(ISBLANK($AE64), "-",INDEX(Circuits!F:F,SUMPRODUCT(EXACT($AE64,Circuits!$A:$A)*ROW(Circuits!$A:$A))))</f>
        <v>-</v>
      </c>
      <c r="H64" s="183" t="str">
        <f t="array" ref="H64">IF(ISBLANK($AE64), "-",INDEX(Circuits!G:G,SUMPRODUCT(EXACT($AE64,Circuits!$A:$A)*ROW(Circuits!$A:$A))))</f>
        <v>-</v>
      </c>
      <c r="I64" s="183" t="str">
        <f t="array" ref="I64">IF(ISBLANK($AE64), "-",INDEX(Circuits!H:H,SUMPRODUCT(EXACT($AE64,Circuits!$A:$A)*ROW(Circuits!$A:$A))))</f>
        <v>-</v>
      </c>
      <c r="J64" s="183" t="str">
        <f t="array" ref="J64">IF(ISBLANK($AE64), "-",INDEX(Circuits!I:I,SUMPRODUCT(EXACT($AE64,Circuits!$A:$A)*ROW(Circuits!$A:$A))))</f>
        <v>-</v>
      </c>
      <c r="K64" s="183" t="str">
        <f t="array" ref="K64">IF(ISBLANK($AE64), "-",INDEX(Circuits!J:J,SUMPRODUCT(EXACT($AE64,Circuits!$A:$A)*ROW(Circuits!$A:$A))))</f>
        <v>-</v>
      </c>
      <c r="L64" s="183" t="str">
        <f t="array" ref="L64">IF(ISBLANK($AE64), "-",INDEX(Circuits!K:K,SUMPRODUCT(EXACT($AE64,Circuits!$A:$A)*ROW(Circuits!$A:$A))))</f>
        <v>-</v>
      </c>
      <c r="M64" s="183" t="str">
        <f t="array" ref="M64">IF(ISBLANK($AE64), "-",INDEX(Circuits!L:L,SUMPRODUCT(EXACT($AE64,Circuits!$A:$A)*ROW(Circuits!$A:$A))))</f>
        <v>-</v>
      </c>
      <c r="N64" s="183" t="str">
        <f t="array" ref="N64">IF(ISBLANK($AE64), "-",INDEX(Circuits!M:M,SUMPRODUCT(EXACT($AE64,Circuits!$A:$A)*ROW(Circuits!$A:$A))))</f>
        <v>-</v>
      </c>
      <c r="O64" s="183" t="str">
        <f t="array" ref="O64">IF(ISBLANK($AE64), "-",INDEX(Circuits!N:N,SUMPRODUCT(EXACT($AE64,Circuits!$A:$A)*ROW(Circuits!$A:$A))))</f>
        <v>-</v>
      </c>
      <c r="P64" s="183" t="str">
        <f t="array" ref="P64">IF(ISBLANK($AE64), "-",INDEX(Circuits!O:O,SUMPRODUCT(EXACT($AE64,Circuits!$A:$A)*ROW(Circuits!$A:$A))))</f>
        <v>-</v>
      </c>
      <c r="Q64" s="183" t="str">
        <f t="array" ref="Q64">IF(ISBLANK($AE64), "-",INDEX(Circuits!P:P,SUMPRODUCT(EXACT($AE64,Circuits!$A:$A)*ROW(Circuits!$A:$A))))</f>
        <v>-</v>
      </c>
      <c r="R64" s="183" t="str">
        <f t="array" ref="R64">IF(ISBLANK($AE64), "-",INDEX(Circuits!Q:Q,SUMPRODUCT(EXACT($AE64,Circuits!$A:$A)*ROW(Circuits!$A:$A))))</f>
        <v>-</v>
      </c>
      <c r="S64" s="183" t="str">
        <f t="array" ref="S64">IF(ISBLANK($AE64), "-",INDEX(Circuits!R:R,SUMPRODUCT(EXACT($AE64,Circuits!$A:$A)*ROW(Circuits!$A:$A))))</f>
        <v>-</v>
      </c>
      <c r="T64" s="183" t="str">
        <f t="array" ref="T64">IF(ISBLANK($AE64), "-",INDEX(Circuits!S:S,SUMPRODUCT(EXACT($AE64,Circuits!$A:$A)*ROW(Circuits!$A:$A))))</f>
        <v>-</v>
      </c>
      <c r="U64" s="183" t="str">
        <f t="array" ref="U64">IF(ISBLANK($AE64), "-",INDEX(Circuits!T:T,SUMPRODUCT(EXACT($AE64,Circuits!$A:$A)*ROW(Circuits!$A:$A))))</f>
        <v>-</v>
      </c>
      <c r="V64" s="183" t="str">
        <f t="array" ref="V64">IF(ISBLANK($AE64), "-",INDEX(Circuits!U:U,SUMPRODUCT(EXACT($AE64,Circuits!$A:$A)*ROW(Circuits!$A:$A))))</f>
        <v>-</v>
      </c>
      <c r="W64" s="183" t="str">
        <f t="array" ref="W64">IF(ISBLANK($AE64), "-",INDEX(Circuits!V:V,SUMPRODUCT(EXACT($AE64,Circuits!$A:$A)*ROW(Circuits!$A:$A))))</f>
        <v>-</v>
      </c>
      <c r="X64" s="183" t="str">
        <f t="array" ref="X64">IF(ISBLANK($AE64), "-",INDEX(Circuits!W:W,SUMPRODUCT(EXACT($AE64,Circuits!$A:$A)*ROW(Circuits!$A:$A))))</f>
        <v>-</v>
      </c>
      <c r="Y64" s="183" t="str">
        <f t="array" ref="Y64">IF(ISBLANK($AE64), "-",INDEX(Circuits!X:X,SUMPRODUCT(EXACT($AE64,Circuits!$A:$A)*ROW(Circuits!$A:$A))))</f>
        <v>-</v>
      </c>
      <c r="Z64" s="108" t="str">
        <f>IFERROR(__xludf.DUMMYFUNCTION("IFNA(CONCATENATE(UNIQUE(FILTER(Connections!R:R,Connections!A:A=B64))),""-"")"),"-")</f>
        <v>-</v>
      </c>
      <c r="AA64" s="119" t="str">
        <f t="array" ref="AA64">IF(ISBLANK($AE64), "-",INDEX(Circuits!Y:Y,SUMPRODUCT(EXACT($AE64,Circuits!$A:$A)*ROW(Circuits!$A:$A))))</f>
        <v>-</v>
      </c>
      <c r="AB64" s="121" t="str">
        <f t="array" ref="AB64">IF(ISBLANK($AE64), "-",INDEX(Circuits!Z:Z,SUMPRODUCT(EXACT($AE64,Circuits!$A:$A)*ROW(Circuits!$A:$A))))</f>
        <v>-</v>
      </c>
      <c r="AC64" s="194"/>
      <c r="AD64" s="194"/>
      <c r="AE64" s="40"/>
      <c r="AF64" s="43"/>
      <c r="AG64" s="126" t="str">
        <f>IFERROR(__xludf.DUMMYFUNCTION("IF(ISBLANK(AF64), """", TEXTJOIN(CHAR(10),TRUE,ARRAYFORMULA(IF(ISERROR(SEARCH(SPLIT(AF64, "";""), $Z64)), ""x"", ""-""))))"),"")</f>
        <v/>
      </c>
      <c r="AH64" s="127" t="str">
        <f>IFERROR(__xludf.DUMMYFUNCTION("IF(ISBLANK(AK64), """", TEXTJOIN("";"" &amp; CHAR(10), TRUE, UNIQUE(SPLIT(AK64, "";"" &amp; CHAR(10)), TRUE))&amp;"";"")"),"")</f>
        <v/>
      </c>
      <c r="AI64" s="128" t="str">
        <f>IFERROR(__xludf.DUMMYFUNCTION("IF(ISBLANK(AD64), IF(ISBLANK(AE64),,IFNA(TEXTJOIN("";"" &amp; CHAR(10), TRUE, FILTER(AE:AE, SEARCH(AE64&amp;"";"", AJ:AJ)))&amp;"";"", """")), TEXTJOIN("";"" &amp; CHAR(10), TRUE, UNIQUE(SPLIT(AH64 &amp; "";"" &amp; AH64 &amp; "";"" &amp; AL64, "";"" &amp; CHAR(10)), TRUE, TRUE))&amp;"";"")"),"")</f>
        <v/>
      </c>
      <c r="AJ64" s="126" t="str">
        <f>IFERROR(__xludf.DUMMYFUNCTION("IF(AN64="""", """", TEXTJOIN("";"" &amp; CHAR(10), TRUE, UNIQUE(SPLIT(AH64 &amp; "";"" &amp; AH64 &amp; "";"" &amp; AN64, "";"" &amp; CHAR(10)), TRUE, TRUE))&amp;"";"")"),"")</f>
        <v/>
      </c>
      <c r="AK64" s="129" t="str">
        <f>IFERROR(__xludf.DUMMYFUNCTION("IF(ISBLANK(AD64), IF(ISBLANK(AE64),,AE64 &amp; "";""), TEXTJOIN(CHAR(10), TRUE, ARRAYFORMULA(VLOOKUP(SPLIT(AD64, "";"" &amp; CHAR(10)), $AC:$AH, 6, FALSE))))"),"")</f>
        <v/>
      </c>
      <c r="AL64" s="130" t="str">
        <f>IFERROR(__xludf.DUMMYFUNCTION("IF(AM64="""", """", TEXTJOIN("";"" &amp; CHAR(10), TRUE, UNIQUE(SPLIT(AM64, "";"" &amp; CHAR(10)), TRUE))&amp;"";"")"),"")</f>
        <v/>
      </c>
      <c r="AM64" s="130" t="str">
        <f>IFERROR(__xludf.DUMMYFUNCTION("IF(ISBLANK(AD64), """", TEXTJOIN(CHAR(10), TRUE, ARRAYFORMULA(VLOOKUP(SPLIT(AH64, "";"" &amp; CHAR(10)), $AE:$AI, 5, FALSE)), AF64))"),"")</f>
        <v/>
      </c>
      <c r="AN64" s="132" t="str">
        <f>IFERROR(__xludf.DUMMYFUNCTION("IF(ISBLANK(AO64), """", TEXTJOIN("";"" &amp; CHAR(10), TRUE, UNIQUE(SPLIT(AO64, "";"" &amp; CHAR(10)), TRUE))&amp;"";"")"),"")</f>
        <v/>
      </c>
      <c r="AO64" s="134" t="str">
        <f>IFERROR(__xludf.DUMMYFUNCTION("IF(ISBLANK(AD64), AF64, TEXTJOIN(CHAR(10), TRUE, ARRAYFORMULA(VLOOKUP(SPLIT(AD64, "";"" &amp; CHAR(10)), $AC:$AN, 12, FALSE))))"),"")</f>
        <v/>
      </c>
      <c r="AP64" s="130" t="str">
        <f>IF(ISBLANK(AE64),,IF(IFERROR(SEARCH(AE64&amp;";",Circuits!$AO$2),0),TRUE,FALSE))</f>
        <v/>
      </c>
      <c r="AQ64" s="130" t="str">
        <f t="shared" si="2"/>
        <v/>
      </c>
      <c r="AR64" s="130" t="str">
        <f t="shared" si="3"/>
        <v/>
      </c>
      <c r="AS64" s="136" t="str">
        <f>IFERROR(__xludf.DUMMYFUNCTION("IF(AH64="""",,SUM(ARRAYFORMULA(IF(IFERROR(SEARCH(SPLIT(AH64,CHAR(10)),Circuits!$AO$2),0)&gt;0,0,1))))"),"")</f>
        <v/>
      </c>
      <c r="AT64" s="138" t="str">
        <f t="shared" si="4"/>
        <v/>
      </c>
      <c r="AU64" s="138" t="str">
        <f t="shared" si="5"/>
        <v/>
      </c>
      <c r="AV64" s="130" t="str">
        <f>IFERROR(__xludf.DUMMYFUNCTION("IF(AI64="""",,TEXTJOIN("", "",TRUE,ARRAYFORMULA(VLOOKUP(SPLIT(AI64,"";""&amp;CHAR(10)),AE:AT,16,FALSE))))"),"")</f>
        <v/>
      </c>
      <c r="AW64" s="130" t="str">
        <f>IFERROR(__xludf.DUMMYFUNCTION("IF(ISBLANK(BK64),,TEXTJOIN("", "",TRUE,ARRAYFORMULA(VLOOKUP(IFERROR(REGEXEXTRACT(SPLIT(BK64,"";""&amp;CHAR(10)),""\[(.+)\]"")),AE:AT,16,false))))"),"")</f>
        <v/>
      </c>
      <c r="AX64" s="139" t="str">
        <f t="shared" si="6"/>
        <v/>
      </c>
      <c r="AY64" s="139" t="str">
        <f t="shared" si="7"/>
        <v/>
      </c>
      <c r="AZ64" s="106" t="str">
        <f>IFERROR(__xludf.DUMMYFUNCTION("IF(ISBLANK(AD64), BC64, TEXTJOIN(CHAR(10) &amp; CHAR(10), TRUE, ARRAYFORMULA(VLOOKUP(SPLIT(AD64, "";"" &amp; CHAR(10)), $AC:$AY, 23, FALSE))))"),"")</f>
        <v/>
      </c>
      <c r="BA64" s="140" t="s">
        <v>66</v>
      </c>
      <c r="BB64" s="190"/>
      <c r="BC64" s="196"/>
      <c r="BD64" s="106" t="str">
        <f>IFERROR(__xludf.DUMMYFUNCTION("IF(IFERROR(SEARCH(""&lt;&lt;mechanism to realize the capability&gt;&gt;"",BA64),0)=0,
 ""!! Error !! “Capability&amp;Mechanism” column: Invalid Separator:"" &amp; CHAR(10) &amp; ""Insert separator “&lt;&lt;mechanism to realize the capability&gt;&gt;.”"",
 IF(
  LEN(TRIM(CLEAN(
    INDEX(
  "&amp;"    SPLIT(BA64,""&lt;&lt;mechanism to realize the capability&gt;&gt;"",FALSE,FALSE),
      1
    )
  )))=0,
  ""!! Error !! “Capability&amp;Mechanism” column: No Capability:""  &amp; CHAR(10) &amp; ""Describe Capability before separator."",
  INDEX(
    SPLIT(BA64,""&lt;&lt;mechanism "&amp;"to realize the capability&gt;&gt;"",FALSE,FALSE),
    1
  )
 )
)
"),"!! Error !! “Capability&amp;Mechanism” column: No Capability:
Describe Capability before separator.")</f>
        <v>!! Error !! “Capability&amp;Mechanism” column: No Capability:
Describe Capability before separator.</v>
      </c>
      <c r="BE64" s="190"/>
      <c r="BF64" s="195"/>
      <c r="BG64" s="42"/>
      <c r="BH64" s="190"/>
      <c r="BI64" s="196"/>
      <c r="BJ64" s="42"/>
      <c r="BK64" s="42"/>
      <c r="BL64" s="203"/>
      <c r="BM64" s="203"/>
      <c r="BN64" s="42"/>
      <c r="BO64" s="42"/>
      <c r="BP64" s="143"/>
      <c r="BQ64" s="143"/>
      <c r="BR64" s="192"/>
      <c r="BS64" s="192"/>
      <c r="BT64" s="192"/>
      <c r="BU64" s="192"/>
      <c r="BV64" s="192"/>
      <c r="BW64" s="192"/>
      <c r="BX64" s="146" t="str">
        <f t="shared" si="8"/>
        <v/>
      </c>
    </row>
    <row r="65">
      <c r="A65" s="106" t="str">
        <f t="shared" si="1"/>
        <v/>
      </c>
      <c r="B65" s="183" t="str">
        <f t="array" ref="B65">IF(ISBLANK($AE65), "-",INDEX(Circuits!A:A,SUMPRODUCT(EXACT($AE65,Circuits!$A:$A)*ROW(Circuits!$A:$A))))</f>
        <v>-</v>
      </c>
      <c r="C65" s="183" t="str">
        <f t="array" ref="C65">IF(ISBLANK($AE65), "-",INDEX(Circuits!B:B,SUMPRODUCT(EXACT($AE65,Circuits!$A:$A)*ROW(Circuits!$A:$A))))</f>
        <v>-</v>
      </c>
      <c r="D65" s="183" t="str">
        <f t="array" ref="D65">IF(ISBLANK($AE65), "-",INDEX(Circuits!C:C,SUMPRODUCT(EXACT($AE65,Circuits!$A:$A)*ROW(Circuits!$A:$A))))</f>
        <v>-</v>
      </c>
      <c r="E65" s="183" t="str">
        <f t="array" ref="E65">IF(ISBLANK($AE65), "-",INDEX(Circuits!D:D,SUMPRODUCT(EXACT($AE65,Circuits!$A:$A)*ROW(Circuits!$A:$A))))</f>
        <v>-</v>
      </c>
      <c r="F65" s="183" t="str">
        <f t="array" ref="F65">IF(ISBLANK($AE65), "-",INDEX(Circuits!E:E,SUMPRODUCT(EXACT($AE65,Circuits!$A:$A)*ROW(Circuits!$A:$A))))</f>
        <v>-</v>
      </c>
      <c r="G65" s="183" t="str">
        <f t="array" ref="G65">IF(ISBLANK($AE65), "-",INDEX(Circuits!F:F,SUMPRODUCT(EXACT($AE65,Circuits!$A:$A)*ROW(Circuits!$A:$A))))</f>
        <v>-</v>
      </c>
      <c r="H65" s="183" t="str">
        <f t="array" ref="H65">IF(ISBLANK($AE65), "-",INDEX(Circuits!G:G,SUMPRODUCT(EXACT($AE65,Circuits!$A:$A)*ROW(Circuits!$A:$A))))</f>
        <v>-</v>
      </c>
      <c r="I65" s="183" t="str">
        <f t="array" ref="I65">IF(ISBLANK($AE65), "-",INDEX(Circuits!H:H,SUMPRODUCT(EXACT($AE65,Circuits!$A:$A)*ROW(Circuits!$A:$A))))</f>
        <v>-</v>
      </c>
      <c r="J65" s="183" t="str">
        <f t="array" ref="J65">IF(ISBLANK($AE65), "-",INDEX(Circuits!I:I,SUMPRODUCT(EXACT($AE65,Circuits!$A:$A)*ROW(Circuits!$A:$A))))</f>
        <v>-</v>
      </c>
      <c r="K65" s="183" t="str">
        <f t="array" ref="K65">IF(ISBLANK($AE65), "-",INDEX(Circuits!J:J,SUMPRODUCT(EXACT($AE65,Circuits!$A:$A)*ROW(Circuits!$A:$A))))</f>
        <v>-</v>
      </c>
      <c r="L65" s="183" t="str">
        <f t="array" ref="L65">IF(ISBLANK($AE65), "-",INDEX(Circuits!K:K,SUMPRODUCT(EXACT($AE65,Circuits!$A:$A)*ROW(Circuits!$A:$A))))</f>
        <v>-</v>
      </c>
      <c r="M65" s="183" t="str">
        <f t="array" ref="M65">IF(ISBLANK($AE65), "-",INDEX(Circuits!L:L,SUMPRODUCT(EXACT($AE65,Circuits!$A:$A)*ROW(Circuits!$A:$A))))</f>
        <v>-</v>
      </c>
      <c r="N65" s="183" t="str">
        <f t="array" ref="N65">IF(ISBLANK($AE65), "-",INDEX(Circuits!M:M,SUMPRODUCT(EXACT($AE65,Circuits!$A:$A)*ROW(Circuits!$A:$A))))</f>
        <v>-</v>
      </c>
      <c r="O65" s="183" t="str">
        <f t="array" ref="O65">IF(ISBLANK($AE65), "-",INDEX(Circuits!N:N,SUMPRODUCT(EXACT($AE65,Circuits!$A:$A)*ROW(Circuits!$A:$A))))</f>
        <v>-</v>
      </c>
      <c r="P65" s="183" t="str">
        <f t="array" ref="P65">IF(ISBLANK($AE65), "-",INDEX(Circuits!O:O,SUMPRODUCT(EXACT($AE65,Circuits!$A:$A)*ROW(Circuits!$A:$A))))</f>
        <v>-</v>
      </c>
      <c r="Q65" s="183" t="str">
        <f t="array" ref="Q65">IF(ISBLANK($AE65), "-",INDEX(Circuits!P:P,SUMPRODUCT(EXACT($AE65,Circuits!$A:$A)*ROW(Circuits!$A:$A))))</f>
        <v>-</v>
      </c>
      <c r="R65" s="183" t="str">
        <f t="array" ref="R65">IF(ISBLANK($AE65), "-",INDEX(Circuits!Q:Q,SUMPRODUCT(EXACT($AE65,Circuits!$A:$A)*ROW(Circuits!$A:$A))))</f>
        <v>-</v>
      </c>
      <c r="S65" s="183" t="str">
        <f t="array" ref="S65">IF(ISBLANK($AE65), "-",INDEX(Circuits!R:R,SUMPRODUCT(EXACT($AE65,Circuits!$A:$A)*ROW(Circuits!$A:$A))))</f>
        <v>-</v>
      </c>
      <c r="T65" s="183" t="str">
        <f t="array" ref="T65">IF(ISBLANK($AE65), "-",INDEX(Circuits!S:S,SUMPRODUCT(EXACT($AE65,Circuits!$A:$A)*ROW(Circuits!$A:$A))))</f>
        <v>-</v>
      </c>
      <c r="U65" s="183" t="str">
        <f t="array" ref="U65">IF(ISBLANK($AE65), "-",INDEX(Circuits!T:T,SUMPRODUCT(EXACT($AE65,Circuits!$A:$A)*ROW(Circuits!$A:$A))))</f>
        <v>-</v>
      </c>
      <c r="V65" s="183" t="str">
        <f t="array" ref="V65">IF(ISBLANK($AE65), "-",INDEX(Circuits!U:U,SUMPRODUCT(EXACT($AE65,Circuits!$A:$A)*ROW(Circuits!$A:$A))))</f>
        <v>-</v>
      </c>
      <c r="W65" s="183" t="str">
        <f t="array" ref="W65">IF(ISBLANK($AE65), "-",INDEX(Circuits!V:V,SUMPRODUCT(EXACT($AE65,Circuits!$A:$A)*ROW(Circuits!$A:$A))))</f>
        <v>-</v>
      </c>
      <c r="X65" s="183" t="str">
        <f t="array" ref="X65">IF(ISBLANK($AE65), "-",INDEX(Circuits!W:W,SUMPRODUCT(EXACT($AE65,Circuits!$A:$A)*ROW(Circuits!$A:$A))))</f>
        <v>-</v>
      </c>
      <c r="Y65" s="183" t="str">
        <f t="array" ref="Y65">IF(ISBLANK($AE65), "-",INDEX(Circuits!X:X,SUMPRODUCT(EXACT($AE65,Circuits!$A:$A)*ROW(Circuits!$A:$A))))</f>
        <v>-</v>
      </c>
      <c r="Z65" s="108" t="str">
        <f>IFERROR(__xludf.DUMMYFUNCTION("IFNA(CONCATENATE(UNIQUE(FILTER(Connections!R:R,Connections!A:A=B65))),""-"")"),"-")</f>
        <v>-</v>
      </c>
      <c r="AA65" s="119" t="str">
        <f t="array" ref="AA65">IF(ISBLANK($AE65), "-",INDEX(Circuits!Y:Y,SUMPRODUCT(EXACT($AE65,Circuits!$A:$A)*ROW(Circuits!$A:$A))))</f>
        <v>-</v>
      </c>
      <c r="AB65" s="121" t="str">
        <f t="array" ref="AB65">IF(ISBLANK($AE65), "-",INDEX(Circuits!Z:Z,SUMPRODUCT(EXACT($AE65,Circuits!$A:$A)*ROW(Circuits!$A:$A))))</f>
        <v>-</v>
      </c>
      <c r="AC65" s="194"/>
      <c r="AD65" s="194"/>
      <c r="AE65" s="40"/>
      <c r="AF65" s="43"/>
      <c r="AG65" s="126" t="str">
        <f>IFERROR(__xludf.DUMMYFUNCTION("IF(ISBLANK(AF65), """", TEXTJOIN(CHAR(10),TRUE,ARRAYFORMULA(IF(ISERROR(SEARCH(SPLIT(AF65, "";""), $Z65)), ""x"", ""-""))))"),"")</f>
        <v/>
      </c>
      <c r="AH65" s="127" t="str">
        <f>IFERROR(__xludf.DUMMYFUNCTION("IF(ISBLANK(AK65), """", TEXTJOIN("";"" &amp; CHAR(10), TRUE, UNIQUE(SPLIT(AK65, "";"" &amp; CHAR(10)), TRUE))&amp;"";"")"),"")</f>
        <v/>
      </c>
      <c r="AI65" s="128" t="str">
        <f>IFERROR(__xludf.DUMMYFUNCTION("IF(ISBLANK(AD65), IF(ISBLANK(AE65),,IFNA(TEXTJOIN("";"" &amp; CHAR(10), TRUE, FILTER(AE:AE, SEARCH(AE65&amp;"";"", AJ:AJ)))&amp;"";"", """")), TEXTJOIN("";"" &amp; CHAR(10), TRUE, UNIQUE(SPLIT(AH65 &amp; "";"" &amp; AH65 &amp; "";"" &amp; AL65, "";"" &amp; CHAR(10)), TRUE, TRUE))&amp;"";"")"),"")</f>
        <v/>
      </c>
      <c r="AJ65" s="126" t="str">
        <f>IFERROR(__xludf.DUMMYFUNCTION("IF(AN65="""", """", TEXTJOIN("";"" &amp; CHAR(10), TRUE, UNIQUE(SPLIT(AH65 &amp; "";"" &amp; AH65 &amp; "";"" &amp; AN65, "";"" &amp; CHAR(10)), TRUE, TRUE))&amp;"";"")"),"")</f>
        <v/>
      </c>
      <c r="AK65" s="129" t="str">
        <f>IFERROR(__xludf.DUMMYFUNCTION("IF(ISBLANK(AD65), IF(ISBLANK(AE65),,AE65 &amp; "";""), TEXTJOIN(CHAR(10), TRUE, ARRAYFORMULA(VLOOKUP(SPLIT(AD65, "";"" &amp; CHAR(10)), $AC:$AH, 6, FALSE))))"),"")</f>
        <v/>
      </c>
      <c r="AL65" s="130" t="str">
        <f>IFERROR(__xludf.DUMMYFUNCTION("IF(AM65="""", """", TEXTJOIN("";"" &amp; CHAR(10), TRUE, UNIQUE(SPLIT(AM65, "";"" &amp; CHAR(10)), TRUE))&amp;"";"")"),"")</f>
        <v/>
      </c>
      <c r="AM65" s="130" t="str">
        <f>IFERROR(__xludf.DUMMYFUNCTION("IF(ISBLANK(AD65), """", TEXTJOIN(CHAR(10), TRUE, ARRAYFORMULA(VLOOKUP(SPLIT(AH65, "";"" &amp; CHAR(10)), $AE:$AI, 5, FALSE)), AF65))"),"")</f>
        <v/>
      </c>
      <c r="AN65" s="132" t="str">
        <f>IFERROR(__xludf.DUMMYFUNCTION("IF(ISBLANK(AO65), """", TEXTJOIN("";"" &amp; CHAR(10), TRUE, UNIQUE(SPLIT(AO65, "";"" &amp; CHAR(10)), TRUE))&amp;"";"")"),"")</f>
        <v/>
      </c>
      <c r="AO65" s="134" t="str">
        <f>IFERROR(__xludf.DUMMYFUNCTION("IF(ISBLANK(AD65), AF65, TEXTJOIN(CHAR(10), TRUE, ARRAYFORMULA(VLOOKUP(SPLIT(AD65, "";"" &amp; CHAR(10)), $AC:$AN, 12, FALSE))))"),"")</f>
        <v/>
      </c>
      <c r="AP65" s="130" t="str">
        <f>IF(ISBLANK(AE65),,IF(IFERROR(SEARCH(AE65&amp;";",Circuits!$AO$2),0),TRUE,FALSE))</f>
        <v/>
      </c>
      <c r="AQ65" s="130" t="str">
        <f t="shared" si="2"/>
        <v/>
      </c>
      <c r="AR65" s="130" t="str">
        <f t="shared" si="3"/>
        <v/>
      </c>
      <c r="AS65" s="136" t="str">
        <f>IFERROR(__xludf.DUMMYFUNCTION("IF(AH65="""",,SUM(ARRAYFORMULA(IF(IFERROR(SEARCH(SPLIT(AH65,CHAR(10)),Circuits!$AO$2),0)&gt;0,0,1))))"),"")</f>
        <v/>
      </c>
      <c r="AT65" s="138" t="str">
        <f t="shared" si="4"/>
        <v/>
      </c>
      <c r="AU65" s="138" t="str">
        <f t="shared" si="5"/>
        <v/>
      </c>
      <c r="AV65" s="130" t="str">
        <f>IFERROR(__xludf.DUMMYFUNCTION("IF(AI65="""",,TEXTJOIN("", "",TRUE,ARRAYFORMULA(VLOOKUP(SPLIT(AI65,"";""&amp;CHAR(10)),AE:AT,16,FALSE))))"),"")</f>
        <v/>
      </c>
      <c r="AW65" s="130" t="str">
        <f>IFERROR(__xludf.DUMMYFUNCTION("IF(ISBLANK(BK65),,TEXTJOIN("", "",TRUE,ARRAYFORMULA(VLOOKUP(IFERROR(REGEXEXTRACT(SPLIT(BK65,"";""&amp;CHAR(10)),""\[(.+)\]"")),AE:AT,16,false))))"),"")</f>
        <v/>
      </c>
      <c r="AX65" s="139" t="str">
        <f t="shared" si="6"/>
        <v/>
      </c>
      <c r="AY65" s="139" t="str">
        <f t="shared" si="7"/>
        <v/>
      </c>
      <c r="AZ65" s="106" t="str">
        <f>IFERROR(__xludf.DUMMYFUNCTION("IF(ISBLANK(AD65), BC65, TEXTJOIN(CHAR(10) &amp; CHAR(10), TRUE, ARRAYFORMULA(VLOOKUP(SPLIT(AD65, "";"" &amp; CHAR(10)), $AC:$AY, 23, FALSE))))"),"")</f>
        <v/>
      </c>
      <c r="BA65" s="140" t="s">
        <v>66</v>
      </c>
      <c r="BB65" s="190"/>
      <c r="BC65" s="196"/>
      <c r="BD65" s="106" t="str">
        <f>IFERROR(__xludf.DUMMYFUNCTION("IF(IFERROR(SEARCH(""&lt;&lt;mechanism to realize the capability&gt;&gt;"",BA65),0)=0,
 ""!! Error !! “Capability&amp;Mechanism” column: Invalid Separator:"" &amp; CHAR(10) &amp; ""Insert separator “&lt;&lt;mechanism to realize the capability&gt;&gt;.”"",
 IF(
  LEN(TRIM(CLEAN(
    INDEX(
  "&amp;"    SPLIT(BA65,""&lt;&lt;mechanism to realize the capability&gt;&gt;"",FALSE,FALSE),
      1
    )
  )))=0,
  ""!! Error !! “Capability&amp;Mechanism” column: No Capability:""  &amp; CHAR(10) &amp; ""Describe Capability before separator."",
  INDEX(
    SPLIT(BA65,""&lt;&lt;mechanism "&amp;"to realize the capability&gt;&gt;"",FALSE,FALSE),
    1
  )
 )
)
"),"!! Error !! “Capability&amp;Mechanism” column: No Capability:
Describe Capability before separator.")</f>
        <v>!! Error !! “Capability&amp;Mechanism” column: No Capability:
Describe Capability before separator.</v>
      </c>
      <c r="BE65" s="190"/>
      <c r="BF65" s="195"/>
      <c r="BG65" s="42"/>
      <c r="BH65" s="190"/>
      <c r="BI65" s="196"/>
      <c r="BJ65" s="42"/>
      <c r="BK65" s="42"/>
      <c r="BL65" s="203"/>
      <c r="BM65" s="203"/>
      <c r="BN65" s="42"/>
      <c r="BO65" s="42"/>
      <c r="BP65" s="143"/>
      <c r="BQ65" s="143"/>
      <c r="BR65" s="192"/>
      <c r="BS65" s="192"/>
      <c r="BT65" s="192"/>
      <c r="BU65" s="192"/>
      <c r="BV65" s="192"/>
      <c r="BW65" s="192"/>
      <c r="BX65" s="146" t="str">
        <f t="shared" si="8"/>
        <v/>
      </c>
    </row>
    <row r="66">
      <c r="A66" s="106" t="str">
        <f t="shared" si="1"/>
        <v/>
      </c>
      <c r="B66" s="183" t="str">
        <f t="array" ref="B66">IF(ISBLANK($AE66), "-",INDEX(Circuits!A:A,SUMPRODUCT(EXACT($AE66,Circuits!$A:$A)*ROW(Circuits!$A:$A))))</f>
        <v>-</v>
      </c>
      <c r="C66" s="183" t="str">
        <f t="array" ref="C66">IF(ISBLANK($AE66), "-",INDEX(Circuits!B:B,SUMPRODUCT(EXACT($AE66,Circuits!$A:$A)*ROW(Circuits!$A:$A))))</f>
        <v>-</v>
      </c>
      <c r="D66" s="183" t="str">
        <f t="array" ref="D66">IF(ISBLANK($AE66), "-",INDEX(Circuits!C:C,SUMPRODUCT(EXACT($AE66,Circuits!$A:$A)*ROW(Circuits!$A:$A))))</f>
        <v>-</v>
      </c>
      <c r="E66" s="183" t="str">
        <f t="array" ref="E66">IF(ISBLANK($AE66), "-",INDEX(Circuits!D:D,SUMPRODUCT(EXACT($AE66,Circuits!$A:$A)*ROW(Circuits!$A:$A))))</f>
        <v>-</v>
      </c>
      <c r="F66" s="183" t="str">
        <f t="array" ref="F66">IF(ISBLANK($AE66), "-",INDEX(Circuits!E:E,SUMPRODUCT(EXACT($AE66,Circuits!$A:$A)*ROW(Circuits!$A:$A))))</f>
        <v>-</v>
      </c>
      <c r="G66" s="183" t="str">
        <f t="array" ref="G66">IF(ISBLANK($AE66), "-",INDEX(Circuits!F:F,SUMPRODUCT(EXACT($AE66,Circuits!$A:$A)*ROW(Circuits!$A:$A))))</f>
        <v>-</v>
      </c>
      <c r="H66" s="183" t="str">
        <f t="array" ref="H66">IF(ISBLANK($AE66), "-",INDEX(Circuits!G:G,SUMPRODUCT(EXACT($AE66,Circuits!$A:$A)*ROW(Circuits!$A:$A))))</f>
        <v>-</v>
      </c>
      <c r="I66" s="183" t="str">
        <f t="array" ref="I66">IF(ISBLANK($AE66), "-",INDEX(Circuits!H:H,SUMPRODUCT(EXACT($AE66,Circuits!$A:$A)*ROW(Circuits!$A:$A))))</f>
        <v>-</v>
      </c>
      <c r="J66" s="183" t="str">
        <f t="array" ref="J66">IF(ISBLANK($AE66), "-",INDEX(Circuits!I:I,SUMPRODUCT(EXACT($AE66,Circuits!$A:$A)*ROW(Circuits!$A:$A))))</f>
        <v>-</v>
      </c>
      <c r="K66" s="183" t="str">
        <f t="array" ref="K66">IF(ISBLANK($AE66), "-",INDEX(Circuits!J:J,SUMPRODUCT(EXACT($AE66,Circuits!$A:$A)*ROW(Circuits!$A:$A))))</f>
        <v>-</v>
      </c>
      <c r="L66" s="183" t="str">
        <f t="array" ref="L66">IF(ISBLANK($AE66), "-",INDEX(Circuits!K:K,SUMPRODUCT(EXACT($AE66,Circuits!$A:$A)*ROW(Circuits!$A:$A))))</f>
        <v>-</v>
      </c>
      <c r="M66" s="183" t="str">
        <f t="array" ref="M66">IF(ISBLANK($AE66), "-",INDEX(Circuits!L:L,SUMPRODUCT(EXACT($AE66,Circuits!$A:$A)*ROW(Circuits!$A:$A))))</f>
        <v>-</v>
      </c>
      <c r="N66" s="183" t="str">
        <f t="array" ref="N66">IF(ISBLANK($AE66), "-",INDEX(Circuits!M:M,SUMPRODUCT(EXACT($AE66,Circuits!$A:$A)*ROW(Circuits!$A:$A))))</f>
        <v>-</v>
      </c>
      <c r="O66" s="183" t="str">
        <f t="array" ref="O66">IF(ISBLANK($AE66), "-",INDEX(Circuits!N:N,SUMPRODUCT(EXACT($AE66,Circuits!$A:$A)*ROW(Circuits!$A:$A))))</f>
        <v>-</v>
      </c>
      <c r="P66" s="183" t="str">
        <f t="array" ref="P66">IF(ISBLANK($AE66), "-",INDEX(Circuits!O:O,SUMPRODUCT(EXACT($AE66,Circuits!$A:$A)*ROW(Circuits!$A:$A))))</f>
        <v>-</v>
      </c>
      <c r="Q66" s="183" t="str">
        <f t="array" ref="Q66">IF(ISBLANK($AE66), "-",INDEX(Circuits!P:P,SUMPRODUCT(EXACT($AE66,Circuits!$A:$A)*ROW(Circuits!$A:$A))))</f>
        <v>-</v>
      </c>
      <c r="R66" s="183" t="str">
        <f t="array" ref="R66">IF(ISBLANK($AE66), "-",INDEX(Circuits!Q:Q,SUMPRODUCT(EXACT($AE66,Circuits!$A:$A)*ROW(Circuits!$A:$A))))</f>
        <v>-</v>
      </c>
      <c r="S66" s="183" t="str">
        <f t="array" ref="S66">IF(ISBLANK($AE66), "-",INDEX(Circuits!R:R,SUMPRODUCT(EXACT($AE66,Circuits!$A:$A)*ROW(Circuits!$A:$A))))</f>
        <v>-</v>
      </c>
      <c r="T66" s="183" t="str">
        <f t="array" ref="T66">IF(ISBLANK($AE66), "-",INDEX(Circuits!S:S,SUMPRODUCT(EXACT($AE66,Circuits!$A:$A)*ROW(Circuits!$A:$A))))</f>
        <v>-</v>
      </c>
      <c r="U66" s="183" t="str">
        <f t="array" ref="U66">IF(ISBLANK($AE66), "-",INDEX(Circuits!T:T,SUMPRODUCT(EXACT($AE66,Circuits!$A:$A)*ROW(Circuits!$A:$A))))</f>
        <v>-</v>
      </c>
      <c r="V66" s="183" t="str">
        <f t="array" ref="V66">IF(ISBLANK($AE66), "-",INDEX(Circuits!U:U,SUMPRODUCT(EXACT($AE66,Circuits!$A:$A)*ROW(Circuits!$A:$A))))</f>
        <v>-</v>
      </c>
      <c r="W66" s="183" t="str">
        <f t="array" ref="W66">IF(ISBLANK($AE66), "-",INDEX(Circuits!V:V,SUMPRODUCT(EXACT($AE66,Circuits!$A:$A)*ROW(Circuits!$A:$A))))</f>
        <v>-</v>
      </c>
      <c r="X66" s="183" t="str">
        <f t="array" ref="X66">IF(ISBLANK($AE66), "-",INDEX(Circuits!W:W,SUMPRODUCT(EXACT($AE66,Circuits!$A:$A)*ROW(Circuits!$A:$A))))</f>
        <v>-</v>
      </c>
      <c r="Y66" s="183" t="str">
        <f t="array" ref="Y66">IF(ISBLANK($AE66), "-",INDEX(Circuits!X:X,SUMPRODUCT(EXACT($AE66,Circuits!$A:$A)*ROW(Circuits!$A:$A))))</f>
        <v>-</v>
      </c>
      <c r="Z66" s="108" t="str">
        <f>IFERROR(__xludf.DUMMYFUNCTION("IFNA(CONCATENATE(UNIQUE(FILTER(Connections!R:R,Connections!A:A=B66))),""-"")"),"-")</f>
        <v>-</v>
      </c>
      <c r="AA66" s="119" t="str">
        <f t="array" ref="AA66">IF(ISBLANK($AE66), "-",INDEX(Circuits!Y:Y,SUMPRODUCT(EXACT($AE66,Circuits!$A:$A)*ROW(Circuits!$A:$A))))</f>
        <v>-</v>
      </c>
      <c r="AB66" s="121" t="str">
        <f t="array" ref="AB66">IF(ISBLANK($AE66), "-",INDEX(Circuits!Z:Z,SUMPRODUCT(EXACT($AE66,Circuits!$A:$A)*ROW(Circuits!$A:$A))))</f>
        <v>-</v>
      </c>
      <c r="AC66" s="194"/>
      <c r="AD66" s="194"/>
      <c r="AE66" s="40"/>
      <c r="AF66" s="43"/>
      <c r="AG66" s="126" t="str">
        <f>IFERROR(__xludf.DUMMYFUNCTION("IF(ISBLANK(AF66), """", TEXTJOIN(CHAR(10),TRUE,ARRAYFORMULA(IF(ISERROR(SEARCH(SPLIT(AF66, "";""), $Z66)), ""x"", ""-""))))"),"")</f>
        <v/>
      </c>
      <c r="AH66" s="127" t="str">
        <f>IFERROR(__xludf.DUMMYFUNCTION("IF(ISBLANK(AK66), """", TEXTJOIN("";"" &amp; CHAR(10), TRUE, UNIQUE(SPLIT(AK66, "";"" &amp; CHAR(10)), TRUE))&amp;"";"")"),"")</f>
        <v/>
      </c>
      <c r="AI66" s="128" t="str">
        <f>IFERROR(__xludf.DUMMYFUNCTION("IF(ISBLANK(AD66), IF(ISBLANK(AE66),,IFNA(TEXTJOIN("";"" &amp; CHAR(10), TRUE, FILTER(AE:AE, SEARCH(AE66&amp;"";"", AJ:AJ)))&amp;"";"", """")), TEXTJOIN("";"" &amp; CHAR(10), TRUE, UNIQUE(SPLIT(AH66 &amp; "";"" &amp; AH66 &amp; "";"" &amp; AL66, "";"" &amp; CHAR(10)), TRUE, TRUE))&amp;"";"")"),"")</f>
        <v/>
      </c>
      <c r="AJ66" s="126" t="str">
        <f>IFERROR(__xludf.DUMMYFUNCTION("IF(AN66="""", """", TEXTJOIN("";"" &amp; CHAR(10), TRUE, UNIQUE(SPLIT(AH66 &amp; "";"" &amp; AH66 &amp; "";"" &amp; AN66, "";"" &amp; CHAR(10)), TRUE, TRUE))&amp;"";"")"),"")</f>
        <v/>
      </c>
      <c r="AK66" s="129" t="str">
        <f>IFERROR(__xludf.DUMMYFUNCTION("IF(ISBLANK(AD66), IF(ISBLANK(AE66),,AE66 &amp; "";""), TEXTJOIN(CHAR(10), TRUE, ARRAYFORMULA(VLOOKUP(SPLIT(AD66, "";"" &amp; CHAR(10)), $AC:$AH, 6, FALSE))))"),"")</f>
        <v/>
      </c>
      <c r="AL66" s="130" t="str">
        <f>IFERROR(__xludf.DUMMYFUNCTION("IF(AM66="""", """", TEXTJOIN("";"" &amp; CHAR(10), TRUE, UNIQUE(SPLIT(AM66, "";"" &amp; CHAR(10)), TRUE))&amp;"";"")"),"")</f>
        <v/>
      </c>
      <c r="AM66" s="130" t="str">
        <f>IFERROR(__xludf.DUMMYFUNCTION("IF(ISBLANK(AD66), """", TEXTJOIN(CHAR(10), TRUE, ARRAYFORMULA(VLOOKUP(SPLIT(AH66, "";"" &amp; CHAR(10)), $AE:$AI, 5, FALSE)), AF66))"),"")</f>
        <v/>
      </c>
      <c r="AN66" s="132" t="str">
        <f>IFERROR(__xludf.DUMMYFUNCTION("IF(ISBLANK(AO66), """", TEXTJOIN("";"" &amp; CHAR(10), TRUE, UNIQUE(SPLIT(AO66, "";"" &amp; CHAR(10)), TRUE))&amp;"";"")"),"")</f>
        <v/>
      </c>
      <c r="AO66" s="134" t="str">
        <f>IFERROR(__xludf.DUMMYFUNCTION("IF(ISBLANK(AD66), AF66, TEXTJOIN(CHAR(10), TRUE, ARRAYFORMULA(VLOOKUP(SPLIT(AD66, "";"" &amp; CHAR(10)), $AC:$AN, 12, FALSE))))"),"")</f>
        <v/>
      </c>
      <c r="AP66" s="130" t="str">
        <f>IF(ISBLANK(AE66),,IF(IFERROR(SEARCH(AE66&amp;";",Circuits!$AO$2),0),TRUE,FALSE))</f>
        <v/>
      </c>
      <c r="AQ66" s="130" t="str">
        <f t="shared" si="2"/>
        <v/>
      </c>
      <c r="AR66" s="130" t="str">
        <f t="shared" si="3"/>
        <v/>
      </c>
      <c r="AS66" s="136" t="str">
        <f>IFERROR(__xludf.DUMMYFUNCTION("IF(AH66="""",,SUM(ARRAYFORMULA(IF(IFERROR(SEARCH(SPLIT(AH66,CHAR(10)),Circuits!$AO$2),0)&gt;0,0,1))))"),"")</f>
        <v/>
      </c>
      <c r="AT66" s="138" t="str">
        <f t="shared" si="4"/>
        <v/>
      </c>
      <c r="AU66" s="138" t="str">
        <f t="shared" si="5"/>
        <v/>
      </c>
      <c r="AV66" s="130" t="str">
        <f>IFERROR(__xludf.DUMMYFUNCTION("IF(AI66="""",,TEXTJOIN("", "",TRUE,ARRAYFORMULA(VLOOKUP(SPLIT(AI66,"";""&amp;CHAR(10)),AE:AT,16,FALSE))))"),"")</f>
        <v/>
      </c>
      <c r="AW66" s="130" t="str">
        <f>IFERROR(__xludf.DUMMYFUNCTION("IF(ISBLANK(BK66),,TEXTJOIN("", "",TRUE,ARRAYFORMULA(VLOOKUP(IFERROR(REGEXEXTRACT(SPLIT(BK66,"";""&amp;CHAR(10)),""\[(.+)\]"")),AE:AT,16,false))))"),"")</f>
        <v/>
      </c>
      <c r="AX66" s="139" t="str">
        <f t="shared" si="6"/>
        <v/>
      </c>
      <c r="AY66" s="139" t="str">
        <f t="shared" si="7"/>
        <v/>
      </c>
      <c r="AZ66" s="106" t="str">
        <f>IFERROR(__xludf.DUMMYFUNCTION("IF(ISBLANK(AD66), BC66, TEXTJOIN(CHAR(10) &amp; CHAR(10), TRUE, ARRAYFORMULA(VLOOKUP(SPLIT(AD66, "";"" &amp; CHAR(10)), $AC:$AY, 23, FALSE))))"),"")</f>
        <v/>
      </c>
      <c r="BA66" s="140" t="s">
        <v>66</v>
      </c>
      <c r="BB66" s="190"/>
      <c r="BC66" s="196"/>
      <c r="BD66" s="106" t="str">
        <f>IFERROR(__xludf.DUMMYFUNCTION("IF(IFERROR(SEARCH(""&lt;&lt;mechanism to realize the capability&gt;&gt;"",BA66),0)=0,
 ""!! Error !! “Capability&amp;Mechanism” column: Invalid Separator:"" &amp; CHAR(10) &amp; ""Insert separator “&lt;&lt;mechanism to realize the capability&gt;&gt;.”"",
 IF(
  LEN(TRIM(CLEAN(
    INDEX(
  "&amp;"    SPLIT(BA66,""&lt;&lt;mechanism to realize the capability&gt;&gt;"",FALSE,FALSE),
      1
    )
  )))=0,
  ""!! Error !! “Capability&amp;Mechanism” column: No Capability:""  &amp; CHAR(10) &amp; ""Describe Capability before separator."",
  INDEX(
    SPLIT(BA66,""&lt;&lt;mechanism "&amp;"to realize the capability&gt;&gt;"",FALSE,FALSE),
    1
  )
 )
)
"),"!! Error !! “Capability&amp;Mechanism” column: No Capability:
Describe Capability before separator.")</f>
        <v>!! Error !! “Capability&amp;Mechanism” column: No Capability:
Describe Capability before separator.</v>
      </c>
      <c r="BE66" s="190"/>
      <c r="BF66" s="195"/>
      <c r="BG66" s="42"/>
      <c r="BH66" s="190"/>
      <c r="BI66" s="196"/>
      <c r="BJ66" s="42"/>
      <c r="BK66" s="42"/>
      <c r="BL66" s="203"/>
      <c r="BM66" s="203"/>
      <c r="BN66" s="42"/>
      <c r="BO66" s="42"/>
      <c r="BP66" s="143"/>
      <c r="BQ66" s="143"/>
      <c r="BR66" s="192"/>
      <c r="BS66" s="192"/>
      <c r="BT66" s="192"/>
      <c r="BU66" s="192"/>
      <c r="BV66" s="192"/>
      <c r="BW66" s="192"/>
      <c r="BX66" s="146" t="str">
        <f t="shared" si="8"/>
        <v/>
      </c>
    </row>
    <row r="67">
      <c r="A67" s="106" t="str">
        <f t="shared" si="1"/>
        <v/>
      </c>
      <c r="B67" s="183" t="str">
        <f t="array" ref="B67">IF(ISBLANK($AE67), "-",INDEX(Circuits!A:A,SUMPRODUCT(EXACT($AE67,Circuits!$A:$A)*ROW(Circuits!$A:$A))))</f>
        <v>-</v>
      </c>
      <c r="C67" s="183" t="str">
        <f t="array" ref="C67">IF(ISBLANK($AE67), "-",INDEX(Circuits!B:B,SUMPRODUCT(EXACT($AE67,Circuits!$A:$A)*ROW(Circuits!$A:$A))))</f>
        <v>-</v>
      </c>
      <c r="D67" s="183" t="str">
        <f t="array" ref="D67">IF(ISBLANK($AE67), "-",INDEX(Circuits!C:C,SUMPRODUCT(EXACT($AE67,Circuits!$A:$A)*ROW(Circuits!$A:$A))))</f>
        <v>-</v>
      </c>
      <c r="E67" s="183" t="str">
        <f t="array" ref="E67">IF(ISBLANK($AE67), "-",INDEX(Circuits!D:D,SUMPRODUCT(EXACT($AE67,Circuits!$A:$A)*ROW(Circuits!$A:$A))))</f>
        <v>-</v>
      </c>
      <c r="F67" s="183" t="str">
        <f t="array" ref="F67">IF(ISBLANK($AE67), "-",INDEX(Circuits!E:E,SUMPRODUCT(EXACT($AE67,Circuits!$A:$A)*ROW(Circuits!$A:$A))))</f>
        <v>-</v>
      </c>
      <c r="G67" s="183" t="str">
        <f t="array" ref="G67">IF(ISBLANK($AE67), "-",INDEX(Circuits!F:F,SUMPRODUCT(EXACT($AE67,Circuits!$A:$A)*ROW(Circuits!$A:$A))))</f>
        <v>-</v>
      </c>
      <c r="H67" s="183" t="str">
        <f t="array" ref="H67">IF(ISBLANK($AE67), "-",INDEX(Circuits!G:G,SUMPRODUCT(EXACT($AE67,Circuits!$A:$A)*ROW(Circuits!$A:$A))))</f>
        <v>-</v>
      </c>
      <c r="I67" s="183" t="str">
        <f t="array" ref="I67">IF(ISBLANK($AE67), "-",INDEX(Circuits!H:H,SUMPRODUCT(EXACT($AE67,Circuits!$A:$A)*ROW(Circuits!$A:$A))))</f>
        <v>-</v>
      </c>
      <c r="J67" s="183" t="str">
        <f t="array" ref="J67">IF(ISBLANK($AE67), "-",INDEX(Circuits!I:I,SUMPRODUCT(EXACT($AE67,Circuits!$A:$A)*ROW(Circuits!$A:$A))))</f>
        <v>-</v>
      </c>
      <c r="K67" s="183" t="str">
        <f t="array" ref="K67">IF(ISBLANK($AE67), "-",INDEX(Circuits!J:J,SUMPRODUCT(EXACT($AE67,Circuits!$A:$A)*ROW(Circuits!$A:$A))))</f>
        <v>-</v>
      </c>
      <c r="L67" s="183" t="str">
        <f t="array" ref="L67">IF(ISBLANK($AE67), "-",INDEX(Circuits!K:K,SUMPRODUCT(EXACT($AE67,Circuits!$A:$A)*ROW(Circuits!$A:$A))))</f>
        <v>-</v>
      </c>
      <c r="M67" s="183" t="str">
        <f t="array" ref="M67">IF(ISBLANK($AE67), "-",INDEX(Circuits!L:L,SUMPRODUCT(EXACT($AE67,Circuits!$A:$A)*ROW(Circuits!$A:$A))))</f>
        <v>-</v>
      </c>
      <c r="N67" s="183" t="str">
        <f t="array" ref="N67">IF(ISBLANK($AE67), "-",INDEX(Circuits!M:M,SUMPRODUCT(EXACT($AE67,Circuits!$A:$A)*ROW(Circuits!$A:$A))))</f>
        <v>-</v>
      </c>
      <c r="O67" s="183" t="str">
        <f t="array" ref="O67">IF(ISBLANK($AE67), "-",INDEX(Circuits!N:N,SUMPRODUCT(EXACT($AE67,Circuits!$A:$A)*ROW(Circuits!$A:$A))))</f>
        <v>-</v>
      </c>
      <c r="P67" s="183" t="str">
        <f t="array" ref="P67">IF(ISBLANK($AE67), "-",INDEX(Circuits!O:O,SUMPRODUCT(EXACT($AE67,Circuits!$A:$A)*ROW(Circuits!$A:$A))))</f>
        <v>-</v>
      </c>
      <c r="Q67" s="183" t="str">
        <f t="array" ref="Q67">IF(ISBLANK($AE67), "-",INDEX(Circuits!P:P,SUMPRODUCT(EXACT($AE67,Circuits!$A:$A)*ROW(Circuits!$A:$A))))</f>
        <v>-</v>
      </c>
      <c r="R67" s="183" t="str">
        <f t="array" ref="R67">IF(ISBLANK($AE67), "-",INDEX(Circuits!Q:Q,SUMPRODUCT(EXACT($AE67,Circuits!$A:$A)*ROW(Circuits!$A:$A))))</f>
        <v>-</v>
      </c>
      <c r="S67" s="183" t="str">
        <f t="array" ref="S67">IF(ISBLANK($AE67), "-",INDEX(Circuits!R:R,SUMPRODUCT(EXACT($AE67,Circuits!$A:$A)*ROW(Circuits!$A:$A))))</f>
        <v>-</v>
      </c>
      <c r="T67" s="183" t="str">
        <f t="array" ref="T67">IF(ISBLANK($AE67), "-",INDEX(Circuits!S:S,SUMPRODUCT(EXACT($AE67,Circuits!$A:$A)*ROW(Circuits!$A:$A))))</f>
        <v>-</v>
      </c>
      <c r="U67" s="183" t="str">
        <f t="array" ref="U67">IF(ISBLANK($AE67), "-",INDEX(Circuits!T:T,SUMPRODUCT(EXACT($AE67,Circuits!$A:$A)*ROW(Circuits!$A:$A))))</f>
        <v>-</v>
      </c>
      <c r="V67" s="183" t="str">
        <f t="array" ref="V67">IF(ISBLANK($AE67), "-",INDEX(Circuits!U:U,SUMPRODUCT(EXACT($AE67,Circuits!$A:$A)*ROW(Circuits!$A:$A))))</f>
        <v>-</v>
      </c>
      <c r="W67" s="183" t="str">
        <f t="array" ref="W67">IF(ISBLANK($AE67), "-",INDEX(Circuits!V:V,SUMPRODUCT(EXACT($AE67,Circuits!$A:$A)*ROW(Circuits!$A:$A))))</f>
        <v>-</v>
      </c>
      <c r="X67" s="183" t="str">
        <f t="array" ref="X67">IF(ISBLANK($AE67), "-",INDEX(Circuits!W:W,SUMPRODUCT(EXACT($AE67,Circuits!$A:$A)*ROW(Circuits!$A:$A))))</f>
        <v>-</v>
      </c>
      <c r="Y67" s="183" t="str">
        <f t="array" ref="Y67">IF(ISBLANK($AE67), "-",INDEX(Circuits!X:X,SUMPRODUCT(EXACT($AE67,Circuits!$A:$A)*ROW(Circuits!$A:$A))))</f>
        <v>-</v>
      </c>
      <c r="Z67" s="108" t="str">
        <f>IFERROR(__xludf.DUMMYFUNCTION("IFNA(CONCATENATE(UNIQUE(FILTER(Connections!R:R,Connections!A:A=B67))),""-"")"),"-")</f>
        <v>-</v>
      </c>
      <c r="AA67" s="119" t="str">
        <f t="array" ref="AA67">IF(ISBLANK($AE67), "-",INDEX(Circuits!Y:Y,SUMPRODUCT(EXACT($AE67,Circuits!$A:$A)*ROW(Circuits!$A:$A))))</f>
        <v>-</v>
      </c>
      <c r="AB67" s="121" t="str">
        <f t="array" ref="AB67">IF(ISBLANK($AE67), "-",INDEX(Circuits!Z:Z,SUMPRODUCT(EXACT($AE67,Circuits!$A:$A)*ROW(Circuits!$A:$A))))</f>
        <v>-</v>
      </c>
      <c r="AC67" s="194"/>
      <c r="AD67" s="194"/>
      <c r="AE67" s="40"/>
      <c r="AF67" s="43"/>
      <c r="AG67" s="126" t="str">
        <f>IFERROR(__xludf.DUMMYFUNCTION("IF(ISBLANK(AF67), """", TEXTJOIN(CHAR(10),TRUE,ARRAYFORMULA(IF(ISERROR(SEARCH(SPLIT(AF67, "";""), $Z67)), ""x"", ""-""))))"),"")</f>
        <v/>
      </c>
      <c r="AH67" s="127" t="str">
        <f>IFERROR(__xludf.DUMMYFUNCTION("IF(ISBLANK(AK67), """", TEXTJOIN("";"" &amp; CHAR(10), TRUE, UNIQUE(SPLIT(AK67, "";"" &amp; CHAR(10)), TRUE))&amp;"";"")"),"")</f>
        <v/>
      </c>
      <c r="AI67" s="128" t="str">
        <f>IFERROR(__xludf.DUMMYFUNCTION("IF(ISBLANK(AD67), IF(ISBLANK(AE67),,IFNA(TEXTJOIN("";"" &amp; CHAR(10), TRUE, FILTER(AE:AE, SEARCH(AE67&amp;"";"", AJ:AJ)))&amp;"";"", """")), TEXTJOIN("";"" &amp; CHAR(10), TRUE, UNIQUE(SPLIT(AH67 &amp; "";"" &amp; AH67 &amp; "";"" &amp; AL67, "";"" &amp; CHAR(10)), TRUE, TRUE))&amp;"";"")"),"")</f>
        <v/>
      </c>
      <c r="AJ67" s="126" t="str">
        <f>IFERROR(__xludf.DUMMYFUNCTION("IF(AN67="""", """", TEXTJOIN("";"" &amp; CHAR(10), TRUE, UNIQUE(SPLIT(AH67 &amp; "";"" &amp; AH67 &amp; "";"" &amp; AN67, "";"" &amp; CHAR(10)), TRUE, TRUE))&amp;"";"")"),"")</f>
        <v/>
      </c>
      <c r="AK67" s="129" t="str">
        <f>IFERROR(__xludf.DUMMYFUNCTION("IF(ISBLANK(AD67), IF(ISBLANK(AE67),,AE67 &amp; "";""), TEXTJOIN(CHAR(10), TRUE, ARRAYFORMULA(VLOOKUP(SPLIT(AD67, "";"" &amp; CHAR(10)), $AC:$AH, 6, FALSE))))"),"")</f>
        <v/>
      </c>
      <c r="AL67" s="130" t="str">
        <f>IFERROR(__xludf.DUMMYFUNCTION("IF(AM67="""", """", TEXTJOIN("";"" &amp; CHAR(10), TRUE, UNIQUE(SPLIT(AM67, "";"" &amp; CHAR(10)), TRUE))&amp;"";"")"),"")</f>
        <v/>
      </c>
      <c r="AM67" s="130" t="str">
        <f>IFERROR(__xludf.DUMMYFUNCTION("IF(ISBLANK(AD67), """", TEXTJOIN(CHAR(10), TRUE, ARRAYFORMULA(VLOOKUP(SPLIT(AH67, "";"" &amp; CHAR(10)), $AE:$AI, 5, FALSE)), AF67))"),"")</f>
        <v/>
      </c>
      <c r="AN67" s="132" t="str">
        <f>IFERROR(__xludf.DUMMYFUNCTION("IF(ISBLANK(AO67), """", TEXTJOIN("";"" &amp; CHAR(10), TRUE, UNIQUE(SPLIT(AO67, "";"" &amp; CHAR(10)), TRUE))&amp;"";"")"),"")</f>
        <v/>
      </c>
      <c r="AO67" s="134" t="str">
        <f>IFERROR(__xludf.DUMMYFUNCTION("IF(ISBLANK(AD67), AF67, TEXTJOIN(CHAR(10), TRUE, ARRAYFORMULA(VLOOKUP(SPLIT(AD67, "";"" &amp; CHAR(10)), $AC:$AN, 12, FALSE))))"),"")</f>
        <v/>
      </c>
      <c r="AP67" s="130" t="str">
        <f>IF(ISBLANK(AE67),,IF(IFERROR(SEARCH(AE67&amp;";",Circuits!$AO$2),0),TRUE,FALSE))</f>
        <v/>
      </c>
      <c r="AQ67" s="130" t="str">
        <f t="shared" si="2"/>
        <v/>
      </c>
      <c r="AR67" s="130" t="str">
        <f t="shared" si="3"/>
        <v/>
      </c>
      <c r="AS67" s="136" t="str">
        <f>IFERROR(__xludf.DUMMYFUNCTION("IF(AH67="""",,SUM(ARRAYFORMULA(IF(IFERROR(SEARCH(SPLIT(AH67,CHAR(10)),Circuits!$AO$2),0)&gt;0,0,1))))"),"")</f>
        <v/>
      </c>
      <c r="AT67" s="138" t="str">
        <f t="shared" si="4"/>
        <v/>
      </c>
      <c r="AU67" s="138" t="str">
        <f t="shared" si="5"/>
        <v/>
      </c>
      <c r="AV67" s="130" t="str">
        <f>IFERROR(__xludf.DUMMYFUNCTION("IF(AI67="""",,TEXTJOIN("", "",TRUE,ARRAYFORMULA(VLOOKUP(SPLIT(AI67,"";""&amp;CHAR(10)),AE:AT,16,FALSE))))"),"")</f>
        <v/>
      </c>
      <c r="AW67" s="130" t="str">
        <f>IFERROR(__xludf.DUMMYFUNCTION("IF(ISBLANK(BK67),,TEXTJOIN("", "",TRUE,ARRAYFORMULA(VLOOKUP(IFERROR(REGEXEXTRACT(SPLIT(BK67,"";""&amp;CHAR(10)),""\[(.+)\]"")),AE:AT,16,false))))"),"")</f>
        <v/>
      </c>
      <c r="AX67" s="139" t="str">
        <f t="shared" si="6"/>
        <v/>
      </c>
      <c r="AY67" s="139" t="str">
        <f t="shared" si="7"/>
        <v/>
      </c>
      <c r="AZ67" s="106" t="str">
        <f>IFERROR(__xludf.DUMMYFUNCTION("IF(ISBLANK(AD67), BC67, TEXTJOIN(CHAR(10) &amp; CHAR(10), TRUE, ARRAYFORMULA(VLOOKUP(SPLIT(AD67, "";"" &amp; CHAR(10)), $AC:$AY, 23, FALSE))))"),"")</f>
        <v/>
      </c>
      <c r="BA67" s="140" t="s">
        <v>66</v>
      </c>
      <c r="BB67" s="190"/>
      <c r="BC67" s="196"/>
      <c r="BD67" s="106" t="str">
        <f>IFERROR(__xludf.DUMMYFUNCTION("IF(IFERROR(SEARCH(""&lt;&lt;mechanism to realize the capability&gt;&gt;"",BA67),0)=0,
 ""!! Error !! “Capability&amp;Mechanism” column: Invalid Separator:"" &amp; CHAR(10) &amp; ""Insert separator “&lt;&lt;mechanism to realize the capability&gt;&gt;.”"",
 IF(
  LEN(TRIM(CLEAN(
    INDEX(
  "&amp;"    SPLIT(BA67,""&lt;&lt;mechanism to realize the capability&gt;&gt;"",FALSE,FALSE),
      1
    )
  )))=0,
  ""!! Error !! “Capability&amp;Mechanism” column: No Capability:""  &amp; CHAR(10) &amp; ""Describe Capability before separator."",
  INDEX(
    SPLIT(BA67,""&lt;&lt;mechanism "&amp;"to realize the capability&gt;&gt;"",FALSE,FALSE),
    1
  )
 )
)
"),"!! Error !! “Capability&amp;Mechanism” column: No Capability:
Describe Capability before separator.")</f>
        <v>!! Error !! “Capability&amp;Mechanism” column: No Capability:
Describe Capability before separator.</v>
      </c>
      <c r="BE67" s="190"/>
      <c r="BF67" s="195"/>
      <c r="BG67" s="42"/>
      <c r="BH67" s="190"/>
      <c r="BI67" s="196"/>
      <c r="BJ67" s="42"/>
      <c r="BK67" s="42"/>
      <c r="BL67" s="203"/>
      <c r="BM67" s="203"/>
      <c r="BN67" s="42"/>
      <c r="BO67" s="42"/>
      <c r="BP67" s="143"/>
      <c r="BQ67" s="143"/>
      <c r="BR67" s="192"/>
      <c r="BS67" s="192"/>
      <c r="BT67" s="192"/>
      <c r="BU67" s="192"/>
      <c r="BV67" s="192"/>
      <c r="BW67" s="192"/>
      <c r="BX67" s="146" t="str">
        <f t="shared" si="8"/>
        <v/>
      </c>
    </row>
    <row r="68">
      <c r="A68" s="106" t="str">
        <f t="shared" si="1"/>
        <v/>
      </c>
      <c r="B68" s="183" t="str">
        <f t="array" ref="B68">IF(ISBLANK($AE68), "-",INDEX(Circuits!A:A,SUMPRODUCT(EXACT($AE68,Circuits!$A:$A)*ROW(Circuits!$A:$A))))</f>
        <v>-</v>
      </c>
      <c r="C68" s="183" t="str">
        <f t="array" ref="C68">IF(ISBLANK($AE68), "-",INDEX(Circuits!B:B,SUMPRODUCT(EXACT($AE68,Circuits!$A:$A)*ROW(Circuits!$A:$A))))</f>
        <v>-</v>
      </c>
      <c r="D68" s="183" t="str">
        <f t="array" ref="D68">IF(ISBLANK($AE68), "-",INDEX(Circuits!C:C,SUMPRODUCT(EXACT($AE68,Circuits!$A:$A)*ROW(Circuits!$A:$A))))</f>
        <v>-</v>
      </c>
      <c r="E68" s="183" t="str">
        <f t="array" ref="E68">IF(ISBLANK($AE68), "-",INDEX(Circuits!D:D,SUMPRODUCT(EXACT($AE68,Circuits!$A:$A)*ROW(Circuits!$A:$A))))</f>
        <v>-</v>
      </c>
      <c r="F68" s="183" t="str">
        <f t="array" ref="F68">IF(ISBLANK($AE68), "-",INDEX(Circuits!E:E,SUMPRODUCT(EXACT($AE68,Circuits!$A:$A)*ROW(Circuits!$A:$A))))</f>
        <v>-</v>
      </c>
      <c r="G68" s="183" t="str">
        <f t="array" ref="G68">IF(ISBLANK($AE68), "-",INDEX(Circuits!F:F,SUMPRODUCT(EXACT($AE68,Circuits!$A:$A)*ROW(Circuits!$A:$A))))</f>
        <v>-</v>
      </c>
      <c r="H68" s="183" t="str">
        <f t="array" ref="H68">IF(ISBLANK($AE68), "-",INDEX(Circuits!G:G,SUMPRODUCT(EXACT($AE68,Circuits!$A:$A)*ROW(Circuits!$A:$A))))</f>
        <v>-</v>
      </c>
      <c r="I68" s="183" t="str">
        <f t="array" ref="I68">IF(ISBLANK($AE68), "-",INDEX(Circuits!H:H,SUMPRODUCT(EXACT($AE68,Circuits!$A:$A)*ROW(Circuits!$A:$A))))</f>
        <v>-</v>
      </c>
      <c r="J68" s="183" t="str">
        <f t="array" ref="J68">IF(ISBLANK($AE68), "-",INDEX(Circuits!I:I,SUMPRODUCT(EXACT($AE68,Circuits!$A:$A)*ROW(Circuits!$A:$A))))</f>
        <v>-</v>
      </c>
      <c r="K68" s="183" t="str">
        <f t="array" ref="K68">IF(ISBLANK($AE68), "-",INDEX(Circuits!J:J,SUMPRODUCT(EXACT($AE68,Circuits!$A:$A)*ROW(Circuits!$A:$A))))</f>
        <v>-</v>
      </c>
      <c r="L68" s="183" t="str">
        <f t="array" ref="L68">IF(ISBLANK($AE68), "-",INDEX(Circuits!K:K,SUMPRODUCT(EXACT($AE68,Circuits!$A:$A)*ROW(Circuits!$A:$A))))</f>
        <v>-</v>
      </c>
      <c r="M68" s="183" t="str">
        <f t="array" ref="M68">IF(ISBLANK($AE68), "-",INDEX(Circuits!L:L,SUMPRODUCT(EXACT($AE68,Circuits!$A:$A)*ROW(Circuits!$A:$A))))</f>
        <v>-</v>
      </c>
      <c r="N68" s="183" t="str">
        <f t="array" ref="N68">IF(ISBLANK($AE68), "-",INDEX(Circuits!M:M,SUMPRODUCT(EXACT($AE68,Circuits!$A:$A)*ROW(Circuits!$A:$A))))</f>
        <v>-</v>
      </c>
      <c r="O68" s="183" t="str">
        <f t="array" ref="O68">IF(ISBLANK($AE68), "-",INDEX(Circuits!N:N,SUMPRODUCT(EXACT($AE68,Circuits!$A:$A)*ROW(Circuits!$A:$A))))</f>
        <v>-</v>
      </c>
      <c r="P68" s="183" t="str">
        <f t="array" ref="P68">IF(ISBLANK($AE68), "-",INDEX(Circuits!O:O,SUMPRODUCT(EXACT($AE68,Circuits!$A:$A)*ROW(Circuits!$A:$A))))</f>
        <v>-</v>
      </c>
      <c r="Q68" s="183" t="str">
        <f t="array" ref="Q68">IF(ISBLANK($AE68), "-",INDEX(Circuits!P:P,SUMPRODUCT(EXACT($AE68,Circuits!$A:$A)*ROW(Circuits!$A:$A))))</f>
        <v>-</v>
      </c>
      <c r="R68" s="183" t="str">
        <f t="array" ref="R68">IF(ISBLANK($AE68), "-",INDEX(Circuits!Q:Q,SUMPRODUCT(EXACT($AE68,Circuits!$A:$A)*ROW(Circuits!$A:$A))))</f>
        <v>-</v>
      </c>
      <c r="S68" s="183" t="str">
        <f t="array" ref="S68">IF(ISBLANK($AE68), "-",INDEX(Circuits!R:R,SUMPRODUCT(EXACT($AE68,Circuits!$A:$A)*ROW(Circuits!$A:$A))))</f>
        <v>-</v>
      </c>
      <c r="T68" s="183" t="str">
        <f t="array" ref="T68">IF(ISBLANK($AE68), "-",INDEX(Circuits!S:S,SUMPRODUCT(EXACT($AE68,Circuits!$A:$A)*ROW(Circuits!$A:$A))))</f>
        <v>-</v>
      </c>
      <c r="U68" s="183" t="str">
        <f t="array" ref="U68">IF(ISBLANK($AE68), "-",INDEX(Circuits!T:T,SUMPRODUCT(EXACT($AE68,Circuits!$A:$A)*ROW(Circuits!$A:$A))))</f>
        <v>-</v>
      </c>
      <c r="V68" s="183" t="str">
        <f t="array" ref="V68">IF(ISBLANK($AE68), "-",INDEX(Circuits!U:U,SUMPRODUCT(EXACT($AE68,Circuits!$A:$A)*ROW(Circuits!$A:$A))))</f>
        <v>-</v>
      </c>
      <c r="W68" s="183" t="str">
        <f t="array" ref="W68">IF(ISBLANK($AE68), "-",INDEX(Circuits!V:V,SUMPRODUCT(EXACT($AE68,Circuits!$A:$A)*ROW(Circuits!$A:$A))))</f>
        <v>-</v>
      </c>
      <c r="X68" s="183" t="str">
        <f t="array" ref="X68">IF(ISBLANK($AE68), "-",INDEX(Circuits!W:W,SUMPRODUCT(EXACT($AE68,Circuits!$A:$A)*ROW(Circuits!$A:$A))))</f>
        <v>-</v>
      </c>
      <c r="Y68" s="183" t="str">
        <f t="array" ref="Y68">IF(ISBLANK($AE68), "-",INDEX(Circuits!X:X,SUMPRODUCT(EXACT($AE68,Circuits!$A:$A)*ROW(Circuits!$A:$A))))</f>
        <v>-</v>
      </c>
      <c r="Z68" s="108" t="str">
        <f>IFERROR(__xludf.DUMMYFUNCTION("IFNA(CONCATENATE(UNIQUE(FILTER(Connections!R:R,Connections!A:A=B68))),""-"")"),"-")</f>
        <v>-</v>
      </c>
      <c r="AA68" s="119" t="str">
        <f t="array" ref="AA68">IF(ISBLANK($AE68), "-",INDEX(Circuits!Y:Y,SUMPRODUCT(EXACT($AE68,Circuits!$A:$A)*ROW(Circuits!$A:$A))))</f>
        <v>-</v>
      </c>
      <c r="AB68" s="121" t="str">
        <f t="array" ref="AB68">IF(ISBLANK($AE68), "-",INDEX(Circuits!Z:Z,SUMPRODUCT(EXACT($AE68,Circuits!$A:$A)*ROW(Circuits!$A:$A))))</f>
        <v>-</v>
      </c>
      <c r="AC68" s="194"/>
      <c r="AD68" s="194"/>
      <c r="AE68" s="40"/>
      <c r="AF68" s="43"/>
      <c r="AG68" s="126" t="str">
        <f>IFERROR(__xludf.DUMMYFUNCTION("IF(ISBLANK(AF68), """", TEXTJOIN(CHAR(10),TRUE,ARRAYFORMULA(IF(ISERROR(SEARCH(SPLIT(AF68, "";""), $Z68)), ""x"", ""-""))))"),"")</f>
        <v/>
      </c>
      <c r="AH68" s="127" t="str">
        <f>IFERROR(__xludf.DUMMYFUNCTION("IF(ISBLANK(AK68), """", TEXTJOIN("";"" &amp; CHAR(10), TRUE, UNIQUE(SPLIT(AK68, "";"" &amp; CHAR(10)), TRUE))&amp;"";"")"),"")</f>
        <v/>
      </c>
      <c r="AI68" s="128" t="str">
        <f>IFERROR(__xludf.DUMMYFUNCTION("IF(ISBLANK(AD68), IF(ISBLANK(AE68),,IFNA(TEXTJOIN("";"" &amp; CHAR(10), TRUE, FILTER(AE:AE, SEARCH(AE68&amp;"";"", AJ:AJ)))&amp;"";"", """")), TEXTJOIN("";"" &amp; CHAR(10), TRUE, UNIQUE(SPLIT(AH68 &amp; "";"" &amp; AH68 &amp; "";"" &amp; AL68, "";"" &amp; CHAR(10)), TRUE, TRUE))&amp;"";"")"),"")</f>
        <v/>
      </c>
      <c r="AJ68" s="126" t="str">
        <f>IFERROR(__xludf.DUMMYFUNCTION("IF(AN68="""", """", TEXTJOIN("";"" &amp; CHAR(10), TRUE, UNIQUE(SPLIT(AH68 &amp; "";"" &amp; AH68 &amp; "";"" &amp; AN68, "";"" &amp; CHAR(10)), TRUE, TRUE))&amp;"";"")"),"")</f>
        <v/>
      </c>
      <c r="AK68" s="129" t="str">
        <f>IFERROR(__xludf.DUMMYFUNCTION("IF(ISBLANK(AD68), IF(ISBLANK(AE68),,AE68 &amp; "";""), TEXTJOIN(CHAR(10), TRUE, ARRAYFORMULA(VLOOKUP(SPLIT(AD68, "";"" &amp; CHAR(10)), $AC:$AH, 6, FALSE))))"),"")</f>
        <v/>
      </c>
      <c r="AL68" s="130" t="str">
        <f>IFERROR(__xludf.DUMMYFUNCTION("IF(AM68="""", """", TEXTJOIN("";"" &amp; CHAR(10), TRUE, UNIQUE(SPLIT(AM68, "";"" &amp; CHAR(10)), TRUE))&amp;"";"")"),"")</f>
        <v/>
      </c>
      <c r="AM68" s="130" t="str">
        <f>IFERROR(__xludf.DUMMYFUNCTION("IF(ISBLANK(AD68), """", TEXTJOIN(CHAR(10), TRUE, ARRAYFORMULA(VLOOKUP(SPLIT(AH68, "";"" &amp; CHAR(10)), $AE:$AI, 5, FALSE)), AF68))"),"")</f>
        <v/>
      </c>
      <c r="AN68" s="132" t="str">
        <f>IFERROR(__xludf.DUMMYFUNCTION("IF(ISBLANK(AO68), """", TEXTJOIN("";"" &amp; CHAR(10), TRUE, UNIQUE(SPLIT(AO68, "";"" &amp; CHAR(10)), TRUE))&amp;"";"")"),"")</f>
        <v/>
      </c>
      <c r="AO68" s="134" t="str">
        <f>IFERROR(__xludf.DUMMYFUNCTION("IF(ISBLANK(AD68), AF68, TEXTJOIN(CHAR(10), TRUE, ARRAYFORMULA(VLOOKUP(SPLIT(AD68, "";"" &amp; CHAR(10)), $AC:$AN, 12, FALSE))))"),"")</f>
        <v/>
      </c>
      <c r="AP68" s="130" t="str">
        <f>IF(ISBLANK(AE68),,IF(IFERROR(SEARCH(AE68&amp;";",Circuits!$AO$2),0),TRUE,FALSE))</f>
        <v/>
      </c>
      <c r="AQ68" s="130" t="str">
        <f t="shared" si="2"/>
        <v/>
      </c>
      <c r="AR68" s="130" t="str">
        <f t="shared" si="3"/>
        <v/>
      </c>
      <c r="AS68" s="136" t="str">
        <f>IFERROR(__xludf.DUMMYFUNCTION("IF(AH68="""",,SUM(ARRAYFORMULA(IF(IFERROR(SEARCH(SPLIT(AH68,CHAR(10)),Circuits!$AO$2),0)&gt;0,0,1))))"),"")</f>
        <v/>
      </c>
      <c r="AT68" s="138" t="str">
        <f t="shared" si="4"/>
        <v/>
      </c>
      <c r="AU68" s="138" t="str">
        <f t="shared" si="5"/>
        <v/>
      </c>
      <c r="AV68" s="130" t="str">
        <f>IFERROR(__xludf.DUMMYFUNCTION("IF(AI68="""",,TEXTJOIN("", "",TRUE,ARRAYFORMULA(VLOOKUP(SPLIT(AI68,"";""&amp;CHAR(10)),AE:AT,16,FALSE))))"),"")</f>
        <v/>
      </c>
      <c r="AW68" s="130" t="str">
        <f>IFERROR(__xludf.DUMMYFUNCTION("IF(ISBLANK(BK68),,TEXTJOIN("", "",TRUE,ARRAYFORMULA(VLOOKUP(IFERROR(REGEXEXTRACT(SPLIT(BK68,"";""&amp;CHAR(10)),""\[(.+)\]"")),AE:AT,16,false))))"),"")</f>
        <v/>
      </c>
      <c r="AX68" s="139" t="str">
        <f t="shared" si="6"/>
        <v/>
      </c>
      <c r="AY68" s="139" t="str">
        <f t="shared" si="7"/>
        <v/>
      </c>
      <c r="AZ68" s="106" t="str">
        <f>IFERROR(__xludf.DUMMYFUNCTION("IF(ISBLANK(AD68), BC68, TEXTJOIN(CHAR(10) &amp; CHAR(10), TRUE, ARRAYFORMULA(VLOOKUP(SPLIT(AD68, "";"" &amp; CHAR(10)), $AC:$AY, 23, FALSE))))"),"")</f>
        <v/>
      </c>
      <c r="BA68" s="140" t="s">
        <v>66</v>
      </c>
      <c r="BB68" s="190"/>
      <c r="BC68" s="196"/>
      <c r="BD68" s="106" t="str">
        <f>IFERROR(__xludf.DUMMYFUNCTION("IF(IFERROR(SEARCH(""&lt;&lt;mechanism to realize the capability&gt;&gt;"",BA68),0)=0,
 ""!! Error !! “Capability&amp;Mechanism” column: Invalid Separator:"" &amp; CHAR(10) &amp; ""Insert separator “&lt;&lt;mechanism to realize the capability&gt;&gt;.”"",
 IF(
  LEN(TRIM(CLEAN(
    INDEX(
  "&amp;"    SPLIT(BA68,""&lt;&lt;mechanism to realize the capability&gt;&gt;"",FALSE,FALSE),
      1
    )
  )))=0,
  ""!! Error !! “Capability&amp;Mechanism” column: No Capability:""  &amp; CHAR(10) &amp; ""Describe Capability before separator."",
  INDEX(
    SPLIT(BA68,""&lt;&lt;mechanism "&amp;"to realize the capability&gt;&gt;"",FALSE,FALSE),
    1
  )
 )
)
"),"!! Error !! “Capability&amp;Mechanism” column: No Capability:
Describe Capability before separator.")</f>
        <v>!! Error !! “Capability&amp;Mechanism” column: No Capability:
Describe Capability before separator.</v>
      </c>
      <c r="BE68" s="190"/>
      <c r="BF68" s="195"/>
      <c r="BG68" s="42"/>
      <c r="BH68" s="190"/>
      <c r="BI68" s="196"/>
      <c r="BJ68" s="42"/>
      <c r="BK68" s="42"/>
      <c r="BL68" s="203"/>
      <c r="BM68" s="203"/>
      <c r="BN68" s="42"/>
      <c r="BO68" s="42"/>
      <c r="BP68" s="143"/>
      <c r="BQ68" s="143"/>
      <c r="BR68" s="192"/>
      <c r="BS68" s="192"/>
      <c r="BT68" s="192"/>
      <c r="BU68" s="192"/>
      <c r="BV68" s="192"/>
      <c r="BW68" s="192"/>
      <c r="BX68" s="146" t="str">
        <f t="shared" si="8"/>
        <v/>
      </c>
    </row>
    <row r="69">
      <c r="A69" s="106" t="str">
        <f t="shared" si="1"/>
        <v/>
      </c>
      <c r="B69" s="183" t="str">
        <f t="array" ref="B69">IF(ISBLANK($AE69), "-",INDEX(Circuits!A:A,SUMPRODUCT(EXACT($AE69,Circuits!$A:$A)*ROW(Circuits!$A:$A))))</f>
        <v>-</v>
      </c>
      <c r="C69" s="183" t="str">
        <f t="array" ref="C69">IF(ISBLANK($AE69), "-",INDEX(Circuits!B:B,SUMPRODUCT(EXACT($AE69,Circuits!$A:$A)*ROW(Circuits!$A:$A))))</f>
        <v>-</v>
      </c>
      <c r="D69" s="183" t="str">
        <f t="array" ref="D69">IF(ISBLANK($AE69), "-",INDEX(Circuits!C:C,SUMPRODUCT(EXACT($AE69,Circuits!$A:$A)*ROW(Circuits!$A:$A))))</f>
        <v>-</v>
      </c>
      <c r="E69" s="183" t="str">
        <f t="array" ref="E69">IF(ISBLANK($AE69), "-",INDEX(Circuits!D:D,SUMPRODUCT(EXACT($AE69,Circuits!$A:$A)*ROW(Circuits!$A:$A))))</f>
        <v>-</v>
      </c>
      <c r="F69" s="183" t="str">
        <f t="array" ref="F69">IF(ISBLANK($AE69), "-",INDEX(Circuits!E:E,SUMPRODUCT(EXACT($AE69,Circuits!$A:$A)*ROW(Circuits!$A:$A))))</f>
        <v>-</v>
      </c>
      <c r="G69" s="183" t="str">
        <f t="array" ref="G69">IF(ISBLANK($AE69), "-",INDEX(Circuits!F:F,SUMPRODUCT(EXACT($AE69,Circuits!$A:$A)*ROW(Circuits!$A:$A))))</f>
        <v>-</v>
      </c>
      <c r="H69" s="183" t="str">
        <f t="array" ref="H69">IF(ISBLANK($AE69), "-",INDEX(Circuits!G:G,SUMPRODUCT(EXACT($AE69,Circuits!$A:$A)*ROW(Circuits!$A:$A))))</f>
        <v>-</v>
      </c>
      <c r="I69" s="183" t="str">
        <f t="array" ref="I69">IF(ISBLANK($AE69), "-",INDEX(Circuits!H:H,SUMPRODUCT(EXACT($AE69,Circuits!$A:$A)*ROW(Circuits!$A:$A))))</f>
        <v>-</v>
      </c>
      <c r="J69" s="183" t="str">
        <f t="array" ref="J69">IF(ISBLANK($AE69), "-",INDEX(Circuits!I:I,SUMPRODUCT(EXACT($AE69,Circuits!$A:$A)*ROW(Circuits!$A:$A))))</f>
        <v>-</v>
      </c>
      <c r="K69" s="183" t="str">
        <f t="array" ref="K69">IF(ISBLANK($AE69), "-",INDEX(Circuits!J:J,SUMPRODUCT(EXACT($AE69,Circuits!$A:$A)*ROW(Circuits!$A:$A))))</f>
        <v>-</v>
      </c>
      <c r="L69" s="183" t="str">
        <f t="array" ref="L69">IF(ISBLANK($AE69), "-",INDEX(Circuits!K:K,SUMPRODUCT(EXACT($AE69,Circuits!$A:$A)*ROW(Circuits!$A:$A))))</f>
        <v>-</v>
      </c>
      <c r="M69" s="183" t="str">
        <f t="array" ref="M69">IF(ISBLANK($AE69), "-",INDEX(Circuits!L:L,SUMPRODUCT(EXACT($AE69,Circuits!$A:$A)*ROW(Circuits!$A:$A))))</f>
        <v>-</v>
      </c>
      <c r="N69" s="183" t="str">
        <f t="array" ref="N69">IF(ISBLANK($AE69), "-",INDEX(Circuits!M:M,SUMPRODUCT(EXACT($AE69,Circuits!$A:$A)*ROW(Circuits!$A:$A))))</f>
        <v>-</v>
      </c>
      <c r="O69" s="183" t="str">
        <f t="array" ref="O69">IF(ISBLANK($AE69), "-",INDEX(Circuits!N:N,SUMPRODUCT(EXACT($AE69,Circuits!$A:$A)*ROW(Circuits!$A:$A))))</f>
        <v>-</v>
      </c>
      <c r="P69" s="183" t="str">
        <f t="array" ref="P69">IF(ISBLANK($AE69), "-",INDEX(Circuits!O:O,SUMPRODUCT(EXACT($AE69,Circuits!$A:$A)*ROW(Circuits!$A:$A))))</f>
        <v>-</v>
      </c>
      <c r="Q69" s="183" t="str">
        <f t="array" ref="Q69">IF(ISBLANK($AE69), "-",INDEX(Circuits!P:P,SUMPRODUCT(EXACT($AE69,Circuits!$A:$A)*ROW(Circuits!$A:$A))))</f>
        <v>-</v>
      </c>
      <c r="R69" s="183" t="str">
        <f t="array" ref="R69">IF(ISBLANK($AE69), "-",INDEX(Circuits!Q:Q,SUMPRODUCT(EXACT($AE69,Circuits!$A:$A)*ROW(Circuits!$A:$A))))</f>
        <v>-</v>
      </c>
      <c r="S69" s="183" t="str">
        <f t="array" ref="S69">IF(ISBLANK($AE69), "-",INDEX(Circuits!R:R,SUMPRODUCT(EXACT($AE69,Circuits!$A:$A)*ROW(Circuits!$A:$A))))</f>
        <v>-</v>
      </c>
      <c r="T69" s="183" t="str">
        <f t="array" ref="T69">IF(ISBLANK($AE69), "-",INDEX(Circuits!S:S,SUMPRODUCT(EXACT($AE69,Circuits!$A:$A)*ROW(Circuits!$A:$A))))</f>
        <v>-</v>
      </c>
      <c r="U69" s="183" t="str">
        <f t="array" ref="U69">IF(ISBLANK($AE69), "-",INDEX(Circuits!T:T,SUMPRODUCT(EXACT($AE69,Circuits!$A:$A)*ROW(Circuits!$A:$A))))</f>
        <v>-</v>
      </c>
      <c r="V69" s="183" t="str">
        <f t="array" ref="V69">IF(ISBLANK($AE69), "-",INDEX(Circuits!U:U,SUMPRODUCT(EXACT($AE69,Circuits!$A:$A)*ROW(Circuits!$A:$A))))</f>
        <v>-</v>
      </c>
      <c r="W69" s="183" t="str">
        <f t="array" ref="W69">IF(ISBLANK($AE69), "-",INDEX(Circuits!V:V,SUMPRODUCT(EXACT($AE69,Circuits!$A:$A)*ROW(Circuits!$A:$A))))</f>
        <v>-</v>
      </c>
      <c r="X69" s="183" t="str">
        <f t="array" ref="X69">IF(ISBLANK($AE69), "-",INDEX(Circuits!W:W,SUMPRODUCT(EXACT($AE69,Circuits!$A:$A)*ROW(Circuits!$A:$A))))</f>
        <v>-</v>
      </c>
      <c r="Y69" s="183" t="str">
        <f t="array" ref="Y69">IF(ISBLANK($AE69), "-",INDEX(Circuits!X:X,SUMPRODUCT(EXACT($AE69,Circuits!$A:$A)*ROW(Circuits!$A:$A))))</f>
        <v>-</v>
      </c>
      <c r="Z69" s="108" t="str">
        <f>IFERROR(__xludf.DUMMYFUNCTION("IFNA(CONCATENATE(UNIQUE(FILTER(Connections!R:R,Connections!A:A=B69))),""-"")"),"-")</f>
        <v>-</v>
      </c>
      <c r="AA69" s="119" t="str">
        <f t="array" ref="AA69">IF(ISBLANK($AE69), "-",INDEX(Circuits!Y:Y,SUMPRODUCT(EXACT($AE69,Circuits!$A:$A)*ROW(Circuits!$A:$A))))</f>
        <v>-</v>
      </c>
      <c r="AB69" s="121" t="str">
        <f t="array" ref="AB69">IF(ISBLANK($AE69), "-",INDEX(Circuits!Z:Z,SUMPRODUCT(EXACT($AE69,Circuits!$A:$A)*ROW(Circuits!$A:$A))))</f>
        <v>-</v>
      </c>
      <c r="AC69" s="194"/>
      <c r="AD69" s="194"/>
      <c r="AE69" s="40"/>
      <c r="AF69" s="43"/>
      <c r="AG69" s="126" t="str">
        <f>IFERROR(__xludf.DUMMYFUNCTION("IF(ISBLANK(AF69), """", TEXTJOIN(CHAR(10),TRUE,ARRAYFORMULA(IF(ISERROR(SEARCH(SPLIT(AF69, "";""), $Z69)), ""x"", ""-""))))"),"")</f>
        <v/>
      </c>
      <c r="AH69" s="127" t="str">
        <f>IFERROR(__xludf.DUMMYFUNCTION("IF(ISBLANK(AK69), """", TEXTJOIN("";"" &amp; CHAR(10), TRUE, UNIQUE(SPLIT(AK69, "";"" &amp; CHAR(10)), TRUE))&amp;"";"")"),"")</f>
        <v/>
      </c>
      <c r="AI69" s="128" t="str">
        <f>IFERROR(__xludf.DUMMYFUNCTION("IF(ISBLANK(AD69), IF(ISBLANK(AE69),,IFNA(TEXTJOIN("";"" &amp; CHAR(10), TRUE, FILTER(AE:AE, SEARCH(AE69&amp;"";"", AJ:AJ)))&amp;"";"", """")), TEXTJOIN("";"" &amp; CHAR(10), TRUE, UNIQUE(SPLIT(AH69 &amp; "";"" &amp; AH69 &amp; "";"" &amp; AL69, "";"" &amp; CHAR(10)), TRUE, TRUE))&amp;"";"")"),"")</f>
        <v/>
      </c>
      <c r="AJ69" s="126" t="str">
        <f>IFERROR(__xludf.DUMMYFUNCTION("IF(AN69="""", """", TEXTJOIN("";"" &amp; CHAR(10), TRUE, UNIQUE(SPLIT(AH69 &amp; "";"" &amp; AH69 &amp; "";"" &amp; AN69, "";"" &amp; CHAR(10)), TRUE, TRUE))&amp;"";"")"),"")</f>
        <v/>
      </c>
      <c r="AK69" s="129" t="str">
        <f>IFERROR(__xludf.DUMMYFUNCTION("IF(ISBLANK(AD69), IF(ISBLANK(AE69),,AE69 &amp; "";""), TEXTJOIN(CHAR(10), TRUE, ARRAYFORMULA(VLOOKUP(SPLIT(AD69, "";"" &amp; CHAR(10)), $AC:$AH, 6, FALSE))))"),"")</f>
        <v/>
      </c>
      <c r="AL69" s="130" t="str">
        <f>IFERROR(__xludf.DUMMYFUNCTION("IF(AM69="""", """", TEXTJOIN("";"" &amp; CHAR(10), TRUE, UNIQUE(SPLIT(AM69, "";"" &amp; CHAR(10)), TRUE))&amp;"";"")"),"")</f>
        <v/>
      </c>
      <c r="AM69" s="130" t="str">
        <f>IFERROR(__xludf.DUMMYFUNCTION("IF(ISBLANK(AD69), """", TEXTJOIN(CHAR(10), TRUE, ARRAYFORMULA(VLOOKUP(SPLIT(AH69, "";"" &amp; CHAR(10)), $AE:$AI, 5, FALSE)), AF69))"),"")</f>
        <v/>
      </c>
      <c r="AN69" s="132" t="str">
        <f>IFERROR(__xludf.DUMMYFUNCTION("IF(ISBLANK(AO69), """", TEXTJOIN("";"" &amp; CHAR(10), TRUE, UNIQUE(SPLIT(AO69, "";"" &amp; CHAR(10)), TRUE))&amp;"";"")"),"")</f>
        <v/>
      </c>
      <c r="AO69" s="134" t="str">
        <f>IFERROR(__xludf.DUMMYFUNCTION("IF(ISBLANK(AD69), AF69, TEXTJOIN(CHAR(10), TRUE, ARRAYFORMULA(VLOOKUP(SPLIT(AD69, "";"" &amp; CHAR(10)), $AC:$AN, 12, FALSE))))"),"")</f>
        <v/>
      </c>
      <c r="AP69" s="130" t="str">
        <f>IF(ISBLANK(AE69),,IF(IFERROR(SEARCH(AE69&amp;";",Circuits!$AO$2),0),TRUE,FALSE))</f>
        <v/>
      </c>
      <c r="AQ69" s="130" t="str">
        <f t="shared" si="2"/>
        <v/>
      </c>
      <c r="AR69" s="130" t="str">
        <f t="shared" si="3"/>
        <v/>
      </c>
      <c r="AS69" s="136" t="str">
        <f>IFERROR(__xludf.DUMMYFUNCTION("IF(AH69="""",,SUM(ARRAYFORMULA(IF(IFERROR(SEARCH(SPLIT(AH69,CHAR(10)),Circuits!$AO$2),0)&gt;0,0,1))))"),"")</f>
        <v/>
      </c>
      <c r="AT69" s="138" t="str">
        <f t="shared" si="4"/>
        <v/>
      </c>
      <c r="AU69" s="138" t="str">
        <f t="shared" si="5"/>
        <v/>
      </c>
      <c r="AV69" s="130" t="str">
        <f>IFERROR(__xludf.DUMMYFUNCTION("IF(AI69="""",,TEXTJOIN("", "",TRUE,ARRAYFORMULA(VLOOKUP(SPLIT(AI69,"";""&amp;CHAR(10)),AE:AT,16,FALSE))))"),"")</f>
        <v/>
      </c>
      <c r="AW69" s="130" t="str">
        <f>IFERROR(__xludf.DUMMYFUNCTION("IF(ISBLANK(BK69),,TEXTJOIN("", "",TRUE,ARRAYFORMULA(VLOOKUP(IFERROR(REGEXEXTRACT(SPLIT(BK69,"";""&amp;CHAR(10)),""\[(.+)\]"")),AE:AT,16,false))))"),"")</f>
        <v/>
      </c>
      <c r="AX69" s="139" t="str">
        <f t="shared" si="6"/>
        <v/>
      </c>
      <c r="AY69" s="139" t="str">
        <f t="shared" si="7"/>
        <v/>
      </c>
      <c r="AZ69" s="106" t="str">
        <f>IFERROR(__xludf.DUMMYFUNCTION("IF(ISBLANK(AD69), BC69, TEXTJOIN(CHAR(10) &amp; CHAR(10), TRUE, ARRAYFORMULA(VLOOKUP(SPLIT(AD69, "";"" &amp; CHAR(10)), $AC:$AY, 23, FALSE))))"),"")</f>
        <v/>
      </c>
      <c r="BA69" s="140" t="s">
        <v>66</v>
      </c>
      <c r="BB69" s="190"/>
      <c r="BC69" s="196"/>
      <c r="BD69" s="106" t="str">
        <f>IFERROR(__xludf.DUMMYFUNCTION("IF(IFERROR(SEARCH(""&lt;&lt;mechanism to realize the capability&gt;&gt;"",BA69),0)=0,
 ""!! Error !! “Capability&amp;Mechanism” column: Invalid Separator:"" &amp; CHAR(10) &amp; ""Insert separator “&lt;&lt;mechanism to realize the capability&gt;&gt;.”"",
 IF(
  LEN(TRIM(CLEAN(
    INDEX(
  "&amp;"    SPLIT(BA69,""&lt;&lt;mechanism to realize the capability&gt;&gt;"",FALSE,FALSE),
      1
    )
  )))=0,
  ""!! Error !! “Capability&amp;Mechanism” column: No Capability:""  &amp; CHAR(10) &amp; ""Describe Capability before separator."",
  INDEX(
    SPLIT(BA69,""&lt;&lt;mechanism "&amp;"to realize the capability&gt;&gt;"",FALSE,FALSE),
    1
  )
 )
)
"),"!! Error !! “Capability&amp;Mechanism” column: No Capability:
Describe Capability before separator.")</f>
        <v>!! Error !! “Capability&amp;Mechanism” column: No Capability:
Describe Capability before separator.</v>
      </c>
      <c r="BE69" s="190"/>
      <c r="BF69" s="195"/>
      <c r="BG69" s="42"/>
      <c r="BH69" s="190"/>
      <c r="BI69" s="196"/>
      <c r="BJ69" s="42"/>
      <c r="BK69" s="42"/>
      <c r="BL69" s="203"/>
      <c r="BM69" s="203"/>
      <c r="BN69" s="42"/>
      <c r="BO69" s="42"/>
      <c r="BP69" s="143"/>
      <c r="BQ69" s="143"/>
      <c r="BR69" s="192"/>
      <c r="BS69" s="192"/>
      <c r="BT69" s="192"/>
      <c r="BU69" s="192"/>
      <c r="BV69" s="192"/>
      <c r="BW69" s="192"/>
      <c r="BX69" s="146" t="str">
        <f t="shared" si="8"/>
        <v/>
      </c>
    </row>
    <row r="70">
      <c r="A70" s="106" t="str">
        <f t="shared" si="1"/>
        <v/>
      </c>
      <c r="B70" s="183" t="str">
        <f t="array" ref="B70">IF(ISBLANK($AE70), "-",INDEX(Circuits!A:A,SUMPRODUCT(EXACT($AE70,Circuits!$A:$A)*ROW(Circuits!$A:$A))))</f>
        <v>-</v>
      </c>
      <c r="C70" s="183" t="str">
        <f t="array" ref="C70">IF(ISBLANK($AE70), "-",INDEX(Circuits!B:B,SUMPRODUCT(EXACT($AE70,Circuits!$A:$A)*ROW(Circuits!$A:$A))))</f>
        <v>-</v>
      </c>
      <c r="D70" s="183" t="str">
        <f t="array" ref="D70">IF(ISBLANK($AE70), "-",INDEX(Circuits!C:C,SUMPRODUCT(EXACT($AE70,Circuits!$A:$A)*ROW(Circuits!$A:$A))))</f>
        <v>-</v>
      </c>
      <c r="E70" s="183" t="str">
        <f t="array" ref="E70">IF(ISBLANK($AE70), "-",INDEX(Circuits!D:D,SUMPRODUCT(EXACT($AE70,Circuits!$A:$A)*ROW(Circuits!$A:$A))))</f>
        <v>-</v>
      </c>
      <c r="F70" s="183" t="str">
        <f t="array" ref="F70">IF(ISBLANK($AE70), "-",INDEX(Circuits!E:E,SUMPRODUCT(EXACT($AE70,Circuits!$A:$A)*ROW(Circuits!$A:$A))))</f>
        <v>-</v>
      </c>
      <c r="G70" s="183" t="str">
        <f t="array" ref="G70">IF(ISBLANK($AE70), "-",INDEX(Circuits!F:F,SUMPRODUCT(EXACT($AE70,Circuits!$A:$A)*ROW(Circuits!$A:$A))))</f>
        <v>-</v>
      </c>
      <c r="H70" s="183" t="str">
        <f t="array" ref="H70">IF(ISBLANK($AE70), "-",INDEX(Circuits!G:G,SUMPRODUCT(EXACT($AE70,Circuits!$A:$A)*ROW(Circuits!$A:$A))))</f>
        <v>-</v>
      </c>
      <c r="I70" s="183" t="str">
        <f t="array" ref="I70">IF(ISBLANK($AE70), "-",INDEX(Circuits!H:H,SUMPRODUCT(EXACT($AE70,Circuits!$A:$A)*ROW(Circuits!$A:$A))))</f>
        <v>-</v>
      </c>
      <c r="J70" s="183" t="str">
        <f t="array" ref="J70">IF(ISBLANK($AE70), "-",INDEX(Circuits!I:I,SUMPRODUCT(EXACT($AE70,Circuits!$A:$A)*ROW(Circuits!$A:$A))))</f>
        <v>-</v>
      </c>
      <c r="K70" s="183" t="str">
        <f t="array" ref="K70">IF(ISBLANK($AE70), "-",INDEX(Circuits!J:J,SUMPRODUCT(EXACT($AE70,Circuits!$A:$A)*ROW(Circuits!$A:$A))))</f>
        <v>-</v>
      </c>
      <c r="L70" s="183" t="str">
        <f t="array" ref="L70">IF(ISBLANK($AE70), "-",INDEX(Circuits!K:K,SUMPRODUCT(EXACT($AE70,Circuits!$A:$A)*ROW(Circuits!$A:$A))))</f>
        <v>-</v>
      </c>
      <c r="M70" s="183" t="str">
        <f t="array" ref="M70">IF(ISBLANK($AE70), "-",INDEX(Circuits!L:L,SUMPRODUCT(EXACT($AE70,Circuits!$A:$A)*ROW(Circuits!$A:$A))))</f>
        <v>-</v>
      </c>
      <c r="N70" s="183" t="str">
        <f t="array" ref="N70">IF(ISBLANK($AE70), "-",INDEX(Circuits!M:M,SUMPRODUCT(EXACT($AE70,Circuits!$A:$A)*ROW(Circuits!$A:$A))))</f>
        <v>-</v>
      </c>
      <c r="O70" s="183" t="str">
        <f t="array" ref="O70">IF(ISBLANK($AE70), "-",INDEX(Circuits!N:N,SUMPRODUCT(EXACT($AE70,Circuits!$A:$A)*ROW(Circuits!$A:$A))))</f>
        <v>-</v>
      </c>
      <c r="P70" s="183" t="str">
        <f t="array" ref="P70">IF(ISBLANK($AE70), "-",INDEX(Circuits!O:O,SUMPRODUCT(EXACT($AE70,Circuits!$A:$A)*ROW(Circuits!$A:$A))))</f>
        <v>-</v>
      </c>
      <c r="Q70" s="183" t="str">
        <f t="array" ref="Q70">IF(ISBLANK($AE70), "-",INDEX(Circuits!P:P,SUMPRODUCT(EXACT($AE70,Circuits!$A:$A)*ROW(Circuits!$A:$A))))</f>
        <v>-</v>
      </c>
      <c r="R70" s="183" t="str">
        <f t="array" ref="R70">IF(ISBLANK($AE70), "-",INDEX(Circuits!Q:Q,SUMPRODUCT(EXACT($AE70,Circuits!$A:$A)*ROW(Circuits!$A:$A))))</f>
        <v>-</v>
      </c>
      <c r="S70" s="183" t="str">
        <f t="array" ref="S70">IF(ISBLANK($AE70), "-",INDEX(Circuits!R:R,SUMPRODUCT(EXACT($AE70,Circuits!$A:$A)*ROW(Circuits!$A:$A))))</f>
        <v>-</v>
      </c>
      <c r="T70" s="183" t="str">
        <f t="array" ref="T70">IF(ISBLANK($AE70), "-",INDEX(Circuits!S:S,SUMPRODUCT(EXACT($AE70,Circuits!$A:$A)*ROW(Circuits!$A:$A))))</f>
        <v>-</v>
      </c>
      <c r="U70" s="183" t="str">
        <f t="array" ref="U70">IF(ISBLANK($AE70), "-",INDEX(Circuits!T:T,SUMPRODUCT(EXACT($AE70,Circuits!$A:$A)*ROW(Circuits!$A:$A))))</f>
        <v>-</v>
      </c>
      <c r="V70" s="183" t="str">
        <f t="array" ref="V70">IF(ISBLANK($AE70), "-",INDEX(Circuits!U:U,SUMPRODUCT(EXACT($AE70,Circuits!$A:$A)*ROW(Circuits!$A:$A))))</f>
        <v>-</v>
      </c>
      <c r="W70" s="183" t="str">
        <f t="array" ref="W70">IF(ISBLANK($AE70), "-",INDEX(Circuits!V:V,SUMPRODUCT(EXACT($AE70,Circuits!$A:$A)*ROW(Circuits!$A:$A))))</f>
        <v>-</v>
      </c>
      <c r="X70" s="183" t="str">
        <f t="array" ref="X70">IF(ISBLANK($AE70), "-",INDEX(Circuits!W:W,SUMPRODUCT(EXACT($AE70,Circuits!$A:$A)*ROW(Circuits!$A:$A))))</f>
        <v>-</v>
      </c>
      <c r="Y70" s="183" t="str">
        <f t="array" ref="Y70">IF(ISBLANK($AE70), "-",INDEX(Circuits!X:X,SUMPRODUCT(EXACT($AE70,Circuits!$A:$A)*ROW(Circuits!$A:$A))))</f>
        <v>-</v>
      </c>
      <c r="Z70" s="108" t="str">
        <f>IFERROR(__xludf.DUMMYFUNCTION("IFNA(CONCATENATE(UNIQUE(FILTER(Connections!R:R,Connections!A:A=B70))),""-"")"),"-")</f>
        <v>-</v>
      </c>
      <c r="AA70" s="119" t="str">
        <f t="array" ref="AA70">IF(ISBLANK($AE70), "-",INDEX(Circuits!Y:Y,SUMPRODUCT(EXACT($AE70,Circuits!$A:$A)*ROW(Circuits!$A:$A))))</f>
        <v>-</v>
      </c>
      <c r="AB70" s="121" t="str">
        <f t="array" ref="AB70">IF(ISBLANK($AE70), "-",INDEX(Circuits!Z:Z,SUMPRODUCT(EXACT($AE70,Circuits!$A:$A)*ROW(Circuits!$A:$A))))</f>
        <v>-</v>
      </c>
      <c r="AC70" s="194"/>
      <c r="AD70" s="194"/>
      <c r="AE70" s="40"/>
      <c r="AF70" s="43"/>
      <c r="AG70" s="126" t="str">
        <f>IFERROR(__xludf.DUMMYFUNCTION("IF(ISBLANK(AF70), """", TEXTJOIN(CHAR(10),TRUE,ARRAYFORMULA(IF(ISERROR(SEARCH(SPLIT(AF70, "";""), $Z70)), ""x"", ""-""))))"),"")</f>
        <v/>
      </c>
      <c r="AH70" s="127" t="str">
        <f>IFERROR(__xludf.DUMMYFUNCTION("IF(ISBLANK(AK70), """", TEXTJOIN("";"" &amp; CHAR(10), TRUE, UNIQUE(SPLIT(AK70, "";"" &amp; CHAR(10)), TRUE))&amp;"";"")"),"")</f>
        <v/>
      </c>
      <c r="AI70" s="128" t="str">
        <f>IFERROR(__xludf.DUMMYFUNCTION("IF(ISBLANK(AD70), IF(ISBLANK(AE70),,IFNA(TEXTJOIN("";"" &amp; CHAR(10), TRUE, FILTER(AE:AE, SEARCH(AE70&amp;"";"", AJ:AJ)))&amp;"";"", """")), TEXTJOIN("";"" &amp; CHAR(10), TRUE, UNIQUE(SPLIT(AH70 &amp; "";"" &amp; AH70 &amp; "";"" &amp; AL70, "";"" &amp; CHAR(10)), TRUE, TRUE))&amp;"";"")"),"")</f>
        <v/>
      </c>
      <c r="AJ70" s="126" t="str">
        <f>IFERROR(__xludf.DUMMYFUNCTION("IF(AN70="""", """", TEXTJOIN("";"" &amp; CHAR(10), TRUE, UNIQUE(SPLIT(AH70 &amp; "";"" &amp; AH70 &amp; "";"" &amp; AN70, "";"" &amp; CHAR(10)), TRUE, TRUE))&amp;"";"")"),"")</f>
        <v/>
      </c>
      <c r="AK70" s="129" t="str">
        <f>IFERROR(__xludf.DUMMYFUNCTION("IF(ISBLANK(AD70), IF(ISBLANK(AE70),,AE70 &amp; "";""), TEXTJOIN(CHAR(10), TRUE, ARRAYFORMULA(VLOOKUP(SPLIT(AD70, "";"" &amp; CHAR(10)), $AC:$AH, 6, FALSE))))"),"")</f>
        <v/>
      </c>
      <c r="AL70" s="130" t="str">
        <f>IFERROR(__xludf.DUMMYFUNCTION("IF(AM70="""", """", TEXTJOIN("";"" &amp; CHAR(10), TRUE, UNIQUE(SPLIT(AM70, "";"" &amp; CHAR(10)), TRUE))&amp;"";"")"),"")</f>
        <v/>
      </c>
      <c r="AM70" s="130" t="str">
        <f>IFERROR(__xludf.DUMMYFUNCTION("IF(ISBLANK(AD70), """", TEXTJOIN(CHAR(10), TRUE, ARRAYFORMULA(VLOOKUP(SPLIT(AH70, "";"" &amp; CHAR(10)), $AE:$AI, 5, FALSE)), AF70))"),"")</f>
        <v/>
      </c>
      <c r="AN70" s="132" t="str">
        <f>IFERROR(__xludf.DUMMYFUNCTION("IF(ISBLANK(AO70), """", TEXTJOIN("";"" &amp; CHAR(10), TRUE, UNIQUE(SPLIT(AO70, "";"" &amp; CHAR(10)), TRUE))&amp;"";"")"),"")</f>
        <v/>
      </c>
      <c r="AO70" s="134" t="str">
        <f>IFERROR(__xludf.DUMMYFUNCTION("IF(ISBLANK(AD70), AF70, TEXTJOIN(CHAR(10), TRUE, ARRAYFORMULA(VLOOKUP(SPLIT(AD70, "";"" &amp; CHAR(10)), $AC:$AN, 12, FALSE))))"),"")</f>
        <v/>
      </c>
      <c r="AP70" s="130" t="str">
        <f>IF(ISBLANK(AE70),,IF(IFERROR(SEARCH(AE70&amp;";",Circuits!$AO$2),0),TRUE,FALSE))</f>
        <v/>
      </c>
      <c r="AQ70" s="130" t="str">
        <f t="shared" si="2"/>
        <v/>
      </c>
      <c r="AR70" s="130" t="str">
        <f t="shared" si="3"/>
        <v/>
      </c>
      <c r="AS70" s="136" t="str">
        <f>IFERROR(__xludf.DUMMYFUNCTION("IF(AH70="""",,SUM(ARRAYFORMULA(IF(IFERROR(SEARCH(SPLIT(AH70,CHAR(10)),Circuits!$AO$2),0)&gt;0,0,1))))"),"")</f>
        <v/>
      </c>
      <c r="AT70" s="138" t="str">
        <f t="shared" si="4"/>
        <v/>
      </c>
      <c r="AU70" s="138" t="str">
        <f t="shared" si="5"/>
        <v/>
      </c>
      <c r="AV70" s="130" t="str">
        <f>IFERROR(__xludf.DUMMYFUNCTION("IF(AI70="""",,TEXTJOIN("", "",TRUE,ARRAYFORMULA(VLOOKUP(SPLIT(AI70,"";""&amp;CHAR(10)),AE:AT,16,FALSE))))"),"")</f>
        <v/>
      </c>
      <c r="AW70" s="130" t="str">
        <f>IFERROR(__xludf.DUMMYFUNCTION("IF(ISBLANK(BK70),,TEXTJOIN("", "",TRUE,ARRAYFORMULA(VLOOKUP(IFERROR(REGEXEXTRACT(SPLIT(BK70,"";""&amp;CHAR(10)),""\[(.+)\]"")),AE:AT,16,false))))"),"")</f>
        <v/>
      </c>
      <c r="AX70" s="139" t="str">
        <f t="shared" si="6"/>
        <v/>
      </c>
      <c r="AY70" s="139" t="str">
        <f t="shared" si="7"/>
        <v/>
      </c>
      <c r="AZ70" s="106" t="str">
        <f>IFERROR(__xludf.DUMMYFUNCTION("IF(ISBLANK(AD70), BC70, TEXTJOIN(CHAR(10) &amp; CHAR(10), TRUE, ARRAYFORMULA(VLOOKUP(SPLIT(AD70, "";"" &amp; CHAR(10)), $AC:$AY, 23, FALSE))))"),"")</f>
        <v/>
      </c>
      <c r="BA70" s="140" t="s">
        <v>66</v>
      </c>
      <c r="BB70" s="190"/>
      <c r="BC70" s="196"/>
      <c r="BD70" s="106" t="str">
        <f>IFERROR(__xludf.DUMMYFUNCTION("IF(IFERROR(SEARCH(""&lt;&lt;mechanism to realize the capability&gt;&gt;"",BA70),0)=0,
 ""!! Error !! “Capability&amp;Mechanism” column: Invalid Separator:"" &amp; CHAR(10) &amp; ""Insert separator “&lt;&lt;mechanism to realize the capability&gt;&gt;.”"",
 IF(
  LEN(TRIM(CLEAN(
    INDEX(
  "&amp;"    SPLIT(BA70,""&lt;&lt;mechanism to realize the capability&gt;&gt;"",FALSE,FALSE),
      1
    )
  )))=0,
  ""!! Error !! “Capability&amp;Mechanism” column: No Capability:""  &amp; CHAR(10) &amp; ""Describe Capability before separator."",
  INDEX(
    SPLIT(BA70,""&lt;&lt;mechanism "&amp;"to realize the capability&gt;&gt;"",FALSE,FALSE),
    1
  )
 )
)
"),"!! Error !! “Capability&amp;Mechanism” column: No Capability:
Describe Capability before separator.")</f>
        <v>!! Error !! “Capability&amp;Mechanism” column: No Capability:
Describe Capability before separator.</v>
      </c>
      <c r="BE70" s="190"/>
      <c r="BF70" s="195"/>
      <c r="BG70" s="42"/>
      <c r="BH70" s="190"/>
      <c r="BI70" s="196"/>
      <c r="BJ70" s="42"/>
      <c r="BK70" s="42"/>
      <c r="BL70" s="203"/>
      <c r="BM70" s="203"/>
      <c r="BN70" s="42"/>
      <c r="BO70" s="42"/>
      <c r="BP70" s="143"/>
      <c r="BQ70" s="143"/>
      <c r="BR70" s="192"/>
      <c r="BS70" s="192"/>
      <c r="BT70" s="192"/>
      <c r="BU70" s="192"/>
      <c r="BV70" s="192"/>
      <c r="BW70" s="192"/>
      <c r="BX70" s="146" t="str">
        <f t="shared" si="8"/>
        <v/>
      </c>
    </row>
    <row r="71">
      <c r="A71" s="106" t="str">
        <f t="shared" si="1"/>
        <v/>
      </c>
      <c r="B71" s="183" t="str">
        <f t="array" ref="B71">IF(ISBLANK($AE71), "-",INDEX(Circuits!A:A,SUMPRODUCT(EXACT($AE71,Circuits!$A:$A)*ROW(Circuits!$A:$A))))</f>
        <v>-</v>
      </c>
      <c r="C71" s="183" t="str">
        <f t="array" ref="C71">IF(ISBLANK($AE71), "-",INDEX(Circuits!B:B,SUMPRODUCT(EXACT($AE71,Circuits!$A:$A)*ROW(Circuits!$A:$A))))</f>
        <v>-</v>
      </c>
      <c r="D71" s="183" t="str">
        <f t="array" ref="D71">IF(ISBLANK($AE71), "-",INDEX(Circuits!C:C,SUMPRODUCT(EXACT($AE71,Circuits!$A:$A)*ROW(Circuits!$A:$A))))</f>
        <v>-</v>
      </c>
      <c r="E71" s="183" t="str">
        <f t="array" ref="E71">IF(ISBLANK($AE71), "-",INDEX(Circuits!D:D,SUMPRODUCT(EXACT($AE71,Circuits!$A:$A)*ROW(Circuits!$A:$A))))</f>
        <v>-</v>
      </c>
      <c r="F71" s="183" t="str">
        <f t="array" ref="F71">IF(ISBLANK($AE71), "-",INDEX(Circuits!E:E,SUMPRODUCT(EXACT($AE71,Circuits!$A:$A)*ROW(Circuits!$A:$A))))</f>
        <v>-</v>
      </c>
      <c r="G71" s="183" t="str">
        <f t="array" ref="G71">IF(ISBLANK($AE71), "-",INDEX(Circuits!F:F,SUMPRODUCT(EXACT($AE71,Circuits!$A:$A)*ROW(Circuits!$A:$A))))</f>
        <v>-</v>
      </c>
      <c r="H71" s="183" t="str">
        <f t="array" ref="H71">IF(ISBLANK($AE71), "-",INDEX(Circuits!G:G,SUMPRODUCT(EXACT($AE71,Circuits!$A:$A)*ROW(Circuits!$A:$A))))</f>
        <v>-</v>
      </c>
      <c r="I71" s="183" t="str">
        <f t="array" ref="I71">IF(ISBLANK($AE71), "-",INDEX(Circuits!H:H,SUMPRODUCT(EXACT($AE71,Circuits!$A:$A)*ROW(Circuits!$A:$A))))</f>
        <v>-</v>
      </c>
      <c r="J71" s="183" t="str">
        <f t="array" ref="J71">IF(ISBLANK($AE71), "-",INDEX(Circuits!I:I,SUMPRODUCT(EXACT($AE71,Circuits!$A:$A)*ROW(Circuits!$A:$A))))</f>
        <v>-</v>
      </c>
      <c r="K71" s="183" t="str">
        <f t="array" ref="K71">IF(ISBLANK($AE71), "-",INDEX(Circuits!J:J,SUMPRODUCT(EXACT($AE71,Circuits!$A:$A)*ROW(Circuits!$A:$A))))</f>
        <v>-</v>
      </c>
      <c r="L71" s="183" t="str">
        <f t="array" ref="L71">IF(ISBLANK($AE71), "-",INDEX(Circuits!K:K,SUMPRODUCT(EXACT($AE71,Circuits!$A:$A)*ROW(Circuits!$A:$A))))</f>
        <v>-</v>
      </c>
      <c r="M71" s="183" t="str">
        <f t="array" ref="M71">IF(ISBLANK($AE71), "-",INDEX(Circuits!L:L,SUMPRODUCT(EXACT($AE71,Circuits!$A:$A)*ROW(Circuits!$A:$A))))</f>
        <v>-</v>
      </c>
      <c r="N71" s="183" t="str">
        <f t="array" ref="N71">IF(ISBLANK($AE71), "-",INDEX(Circuits!M:M,SUMPRODUCT(EXACT($AE71,Circuits!$A:$A)*ROW(Circuits!$A:$A))))</f>
        <v>-</v>
      </c>
      <c r="O71" s="183" t="str">
        <f t="array" ref="O71">IF(ISBLANK($AE71), "-",INDEX(Circuits!N:N,SUMPRODUCT(EXACT($AE71,Circuits!$A:$A)*ROW(Circuits!$A:$A))))</f>
        <v>-</v>
      </c>
      <c r="P71" s="183" t="str">
        <f t="array" ref="P71">IF(ISBLANK($AE71), "-",INDEX(Circuits!O:O,SUMPRODUCT(EXACT($AE71,Circuits!$A:$A)*ROW(Circuits!$A:$A))))</f>
        <v>-</v>
      </c>
      <c r="Q71" s="183" t="str">
        <f t="array" ref="Q71">IF(ISBLANK($AE71), "-",INDEX(Circuits!P:P,SUMPRODUCT(EXACT($AE71,Circuits!$A:$A)*ROW(Circuits!$A:$A))))</f>
        <v>-</v>
      </c>
      <c r="R71" s="183" t="str">
        <f t="array" ref="R71">IF(ISBLANK($AE71), "-",INDEX(Circuits!Q:Q,SUMPRODUCT(EXACT($AE71,Circuits!$A:$A)*ROW(Circuits!$A:$A))))</f>
        <v>-</v>
      </c>
      <c r="S71" s="183" t="str">
        <f t="array" ref="S71">IF(ISBLANK($AE71), "-",INDEX(Circuits!R:R,SUMPRODUCT(EXACT($AE71,Circuits!$A:$A)*ROW(Circuits!$A:$A))))</f>
        <v>-</v>
      </c>
      <c r="T71" s="183" t="str">
        <f t="array" ref="T71">IF(ISBLANK($AE71), "-",INDEX(Circuits!S:S,SUMPRODUCT(EXACT($AE71,Circuits!$A:$A)*ROW(Circuits!$A:$A))))</f>
        <v>-</v>
      </c>
      <c r="U71" s="183" t="str">
        <f t="array" ref="U71">IF(ISBLANK($AE71), "-",INDEX(Circuits!T:T,SUMPRODUCT(EXACT($AE71,Circuits!$A:$A)*ROW(Circuits!$A:$A))))</f>
        <v>-</v>
      </c>
      <c r="V71" s="183" t="str">
        <f t="array" ref="V71">IF(ISBLANK($AE71), "-",INDEX(Circuits!U:U,SUMPRODUCT(EXACT($AE71,Circuits!$A:$A)*ROW(Circuits!$A:$A))))</f>
        <v>-</v>
      </c>
      <c r="W71" s="183" t="str">
        <f t="array" ref="W71">IF(ISBLANK($AE71), "-",INDEX(Circuits!V:V,SUMPRODUCT(EXACT($AE71,Circuits!$A:$A)*ROW(Circuits!$A:$A))))</f>
        <v>-</v>
      </c>
      <c r="X71" s="183" t="str">
        <f t="array" ref="X71">IF(ISBLANK($AE71), "-",INDEX(Circuits!W:W,SUMPRODUCT(EXACT($AE71,Circuits!$A:$A)*ROW(Circuits!$A:$A))))</f>
        <v>-</v>
      </c>
      <c r="Y71" s="183" t="str">
        <f t="array" ref="Y71">IF(ISBLANK($AE71), "-",INDEX(Circuits!X:X,SUMPRODUCT(EXACT($AE71,Circuits!$A:$A)*ROW(Circuits!$A:$A))))</f>
        <v>-</v>
      </c>
      <c r="Z71" s="108" t="str">
        <f>IFERROR(__xludf.DUMMYFUNCTION("IFNA(CONCATENATE(UNIQUE(FILTER(Connections!R:R,Connections!A:A=B71))),""-"")"),"-")</f>
        <v>-</v>
      </c>
      <c r="AA71" s="119" t="str">
        <f t="array" ref="AA71">IF(ISBLANK($AE71), "-",INDEX(Circuits!Y:Y,SUMPRODUCT(EXACT($AE71,Circuits!$A:$A)*ROW(Circuits!$A:$A))))</f>
        <v>-</v>
      </c>
      <c r="AB71" s="121" t="str">
        <f t="array" ref="AB71">IF(ISBLANK($AE71), "-",INDEX(Circuits!Z:Z,SUMPRODUCT(EXACT($AE71,Circuits!$A:$A)*ROW(Circuits!$A:$A))))</f>
        <v>-</v>
      </c>
      <c r="AC71" s="194"/>
      <c r="AD71" s="194"/>
      <c r="AE71" s="40"/>
      <c r="AF71" s="43"/>
      <c r="AG71" s="126" t="str">
        <f>IFERROR(__xludf.DUMMYFUNCTION("IF(ISBLANK(AF71), """", TEXTJOIN(CHAR(10),TRUE,ARRAYFORMULA(IF(ISERROR(SEARCH(SPLIT(AF71, "";""), $Z71)), ""x"", ""-""))))"),"")</f>
        <v/>
      </c>
      <c r="AH71" s="127" t="str">
        <f>IFERROR(__xludf.DUMMYFUNCTION("IF(ISBLANK(AK71), """", TEXTJOIN("";"" &amp; CHAR(10), TRUE, UNIQUE(SPLIT(AK71, "";"" &amp; CHAR(10)), TRUE))&amp;"";"")"),"")</f>
        <v/>
      </c>
      <c r="AI71" s="128" t="str">
        <f>IFERROR(__xludf.DUMMYFUNCTION("IF(ISBLANK(AD71), IF(ISBLANK(AE71),,IFNA(TEXTJOIN("";"" &amp; CHAR(10), TRUE, FILTER(AE:AE, SEARCH(AE71&amp;"";"", AJ:AJ)))&amp;"";"", """")), TEXTJOIN("";"" &amp; CHAR(10), TRUE, UNIQUE(SPLIT(AH71 &amp; "";"" &amp; AH71 &amp; "";"" &amp; AL71, "";"" &amp; CHAR(10)), TRUE, TRUE))&amp;"";"")"),"")</f>
        <v/>
      </c>
      <c r="AJ71" s="126" t="str">
        <f>IFERROR(__xludf.DUMMYFUNCTION("IF(AN71="""", """", TEXTJOIN("";"" &amp; CHAR(10), TRUE, UNIQUE(SPLIT(AH71 &amp; "";"" &amp; AH71 &amp; "";"" &amp; AN71, "";"" &amp; CHAR(10)), TRUE, TRUE))&amp;"";"")"),"")</f>
        <v/>
      </c>
      <c r="AK71" s="129" t="str">
        <f>IFERROR(__xludf.DUMMYFUNCTION("IF(ISBLANK(AD71), IF(ISBLANK(AE71),,AE71 &amp; "";""), TEXTJOIN(CHAR(10), TRUE, ARRAYFORMULA(VLOOKUP(SPLIT(AD71, "";"" &amp; CHAR(10)), $AC:$AH, 6, FALSE))))"),"")</f>
        <v/>
      </c>
      <c r="AL71" s="130" t="str">
        <f>IFERROR(__xludf.DUMMYFUNCTION("IF(AM71="""", """", TEXTJOIN("";"" &amp; CHAR(10), TRUE, UNIQUE(SPLIT(AM71, "";"" &amp; CHAR(10)), TRUE))&amp;"";"")"),"")</f>
        <v/>
      </c>
      <c r="AM71" s="130" t="str">
        <f>IFERROR(__xludf.DUMMYFUNCTION("IF(ISBLANK(AD71), """", TEXTJOIN(CHAR(10), TRUE, ARRAYFORMULA(VLOOKUP(SPLIT(AH71, "";"" &amp; CHAR(10)), $AE:$AI, 5, FALSE)), AF71))"),"")</f>
        <v/>
      </c>
      <c r="AN71" s="132" t="str">
        <f>IFERROR(__xludf.DUMMYFUNCTION("IF(ISBLANK(AO71), """", TEXTJOIN("";"" &amp; CHAR(10), TRUE, UNIQUE(SPLIT(AO71, "";"" &amp; CHAR(10)), TRUE))&amp;"";"")"),"")</f>
        <v/>
      </c>
      <c r="AO71" s="134" t="str">
        <f>IFERROR(__xludf.DUMMYFUNCTION("IF(ISBLANK(AD71), AF71, TEXTJOIN(CHAR(10), TRUE, ARRAYFORMULA(VLOOKUP(SPLIT(AD71, "";"" &amp; CHAR(10)), $AC:$AN, 12, FALSE))))"),"")</f>
        <v/>
      </c>
      <c r="AP71" s="130" t="str">
        <f>IF(ISBLANK(AE71),,IF(IFERROR(SEARCH(AE71&amp;";",Circuits!$AO$2),0),TRUE,FALSE))</f>
        <v/>
      </c>
      <c r="AQ71" s="130" t="str">
        <f t="shared" si="2"/>
        <v/>
      </c>
      <c r="AR71" s="130" t="str">
        <f t="shared" si="3"/>
        <v/>
      </c>
      <c r="AS71" s="136" t="str">
        <f>IFERROR(__xludf.DUMMYFUNCTION("IF(AH71="""",,SUM(ARRAYFORMULA(IF(IFERROR(SEARCH(SPLIT(AH71,CHAR(10)),Circuits!$AO$2),0)&gt;0,0,1))))"),"")</f>
        <v/>
      </c>
      <c r="AT71" s="138" t="str">
        <f t="shared" si="4"/>
        <v/>
      </c>
      <c r="AU71" s="138" t="str">
        <f t="shared" si="5"/>
        <v/>
      </c>
      <c r="AV71" s="130" t="str">
        <f>IFERROR(__xludf.DUMMYFUNCTION("IF(AI71="""",,TEXTJOIN("", "",TRUE,ARRAYFORMULA(VLOOKUP(SPLIT(AI71,"";""&amp;CHAR(10)),AE:AT,16,FALSE))))"),"")</f>
        <v/>
      </c>
      <c r="AW71" s="130" t="str">
        <f>IFERROR(__xludf.DUMMYFUNCTION("IF(ISBLANK(BK71),,TEXTJOIN("", "",TRUE,ARRAYFORMULA(VLOOKUP(IFERROR(REGEXEXTRACT(SPLIT(BK71,"";""&amp;CHAR(10)),""\[(.+)\]"")),AE:AT,16,false))))"),"")</f>
        <v/>
      </c>
      <c r="AX71" s="139" t="str">
        <f t="shared" si="6"/>
        <v/>
      </c>
      <c r="AY71" s="139" t="str">
        <f t="shared" si="7"/>
        <v/>
      </c>
      <c r="AZ71" s="106" t="str">
        <f>IFERROR(__xludf.DUMMYFUNCTION("IF(ISBLANK(AD71), BC71, TEXTJOIN(CHAR(10) &amp; CHAR(10), TRUE, ARRAYFORMULA(VLOOKUP(SPLIT(AD71, "";"" &amp; CHAR(10)), $AC:$AY, 23, FALSE))))"),"")</f>
        <v/>
      </c>
      <c r="BA71" s="140" t="s">
        <v>66</v>
      </c>
      <c r="BB71" s="190"/>
      <c r="BC71" s="196"/>
      <c r="BD71" s="106" t="str">
        <f>IFERROR(__xludf.DUMMYFUNCTION("IF(IFERROR(SEARCH(""&lt;&lt;mechanism to realize the capability&gt;&gt;"",BA71),0)=0,
 ""!! Error !! “Capability&amp;Mechanism” column: Invalid Separator:"" &amp; CHAR(10) &amp; ""Insert separator “&lt;&lt;mechanism to realize the capability&gt;&gt;.”"",
 IF(
  LEN(TRIM(CLEAN(
    INDEX(
  "&amp;"    SPLIT(BA71,""&lt;&lt;mechanism to realize the capability&gt;&gt;"",FALSE,FALSE),
      1
    )
  )))=0,
  ""!! Error !! “Capability&amp;Mechanism” column: No Capability:""  &amp; CHAR(10) &amp; ""Describe Capability before separator."",
  INDEX(
    SPLIT(BA71,""&lt;&lt;mechanism "&amp;"to realize the capability&gt;&gt;"",FALSE,FALSE),
    1
  )
 )
)
"),"!! Error !! “Capability&amp;Mechanism” column: No Capability:
Describe Capability before separator.")</f>
        <v>!! Error !! “Capability&amp;Mechanism” column: No Capability:
Describe Capability before separator.</v>
      </c>
      <c r="BE71" s="190"/>
      <c r="BF71" s="195"/>
      <c r="BG71" s="42"/>
      <c r="BH71" s="190"/>
      <c r="BI71" s="196"/>
      <c r="BJ71" s="42"/>
      <c r="BK71" s="42"/>
      <c r="BL71" s="203"/>
      <c r="BM71" s="203"/>
      <c r="BN71" s="42"/>
      <c r="BO71" s="42"/>
      <c r="BP71" s="143"/>
      <c r="BQ71" s="143"/>
      <c r="BR71" s="192"/>
      <c r="BS71" s="192"/>
      <c r="BT71" s="192"/>
      <c r="BU71" s="192"/>
      <c r="BV71" s="192"/>
      <c r="BW71" s="192"/>
      <c r="BX71" s="146" t="str">
        <f t="shared" si="8"/>
        <v/>
      </c>
    </row>
    <row r="72">
      <c r="A72" s="106" t="str">
        <f t="shared" si="1"/>
        <v/>
      </c>
      <c r="B72" s="183" t="str">
        <f t="array" ref="B72">IF(ISBLANK($AE72), "-",INDEX(Circuits!A:A,SUMPRODUCT(EXACT($AE72,Circuits!$A:$A)*ROW(Circuits!$A:$A))))</f>
        <v>-</v>
      </c>
      <c r="C72" s="183" t="str">
        <f t="array" ref="C72">IF(ISBLANK($AE72), "-",INDEX(Circuits!B:B,SUMPRODUCT(EXACT($AE72,Circuits!$A:$A)*ROW(Circuits!$A:$A))))</f>
        <v>-</v>
      </c>
      <c r="D72" s="183" t="str">
        <f t="array" ref="D72">IF(ISBLANK($AE72), "-",INDEX(Circuits!C:C,SUMPRODUCT(EXACT($AE72,Circuits!$A:$A)*ROW(Circuits!$A:$A))))</f>
        <v>-</v>
      </c>
      <c r="E72" s="183" t="str">
        <f t="array" ref="E72">IF(ISBLANK($AE72), "-",INDEX(Circuits!D:D,SUMPRODUCT(EXACT($AE72,Circuits!$A:$A)*ROW(Circuits!$A:$A))))</f>
        <v>-</v>
      </c>
      <c r="F72" s="183" t="str">
        <f t="array" ref="F72">IF(ISBLANK($AE72), "-",INDEX(Circuits!E:E,SUMPRODUCT(EXACT($AE72,Circuits!$A:$A)*ROW(Circuits!$A:$A))))</f>
        <v>-</v>
      </c>
      <c r="G72" s="183" t="str">
        <f t="array" ref="G72">IF(ISBLANK($AE72), "-",INDEX(Circuits!F:F,SUMPRODUCT(EXACT($AE72,Circuits!$A:$A)*ROW(Circuits!$A:$A))))</f>
        <v>-</v>
      </c>
      <c r="H72" s="183" t="str">
        <f t="array" ref="H72">IF(ISBLANK($AE72), "-",INDEX(Circuits!G:G,SUMPRODUCT(EXACT($AE72,Circuits!$A:$A)*ROW(Circuits!$A:$A))))</f>
        <v>-</v>
      </c>
      <c r="I72" s="183" t="str">
        <f t="array" ref="I72">IF(ISBLANK($AE72), "-",INDEX(Circuits!H:H,SUMPRODUCT(EXACT($AE72,Circuits!$A:$A)*ROW(Circuits!$A:$A))))</f>
        <v>-</v>
      </c>
      <c r="J72" s="183" t="str">
        <f t="array" ref="J72">IF(ISBLANK($AE72), "-",INDEX(Circuits!I:I,SUMPRODUCT(EXACT($AE72,Circuits!$A:$A)*ROW(Circuits!$A:$A))))</f>
        <v>-</v>
      </c>
      <c r="K72" s="183" t="str">
        <f t="array" ref="K72">IF(ISBLANK($AE72), "-",INDEX(Circuits!J:J,SUMPRODUCT(EXACT($AE72,Circuits!$A:$A)*ROW(Circuits!$A:$A))))</f>
        <v>-</v>
      </c>
      <c r="L72" s="183" t="str">
        <f t="array" ref="L72">IF(ISBLANK($AE72), "-",INDEX(Circuits!K:K,SUMPRODUCT(EXACT($AE72,Circuits!$A:$A)*ROW(Circuits!$A:$A))))</f>
        <v>-</v>
      </c>
      <c r="M72" s="183" t="str">
        <f t="array" ref="M72">IF(ISBLANK($AE72), "-",INDEX(Circuits!L:L,SUMPRODUCT(EXACT($AE72,Circuits!$A:$A)*ROW(Circuits!$A:$A))))</f>
        <v>-</v>
      </c>
      <c r="N72" s="183" t="str">
        <f t="array" ref="N72">IF(ISBLANK($AE72), "-",INDEX(Circuits!M:M,SUMPRODUCT(EXACT($AE72,Circuits!$A:$A)*ROW(Circuits!$A:$A))))</f>
        <v>-</v>
      </c>
      <c r="O72" s="183" t="str">
        <f t="array" ref="O72">IF(ISBLANK($AE72), "-",INDEX(Circuits!N:N,SUMPRODUCT(EXACT($AE72,Circuits!$A:$A)*ROW(Circuits!$A:$A))))</f>
        <v>-</v>
      </c>
      <c r="P72" s="183" t="str">
        <f t="array" ref="P72">IF(ISBLANK($AE72), "-",INDEX(Circuits!O:O,SUMPRODUCT(EXACT($AE72,Circuits!$A:$A)*ROW(Circuits!$A:$A))))</f>
        <v>-</v>
      </c>
      <c r="Q72" s="183" t="str">
        <f t="array" ref="Q72">IF(ISBLANK($AE72), "-",INDEX(Circuits!P:P,SUMPRODUCT(EXACT($AE72,Circuits!$A:$A)*ROW(Circuits!$A:$A))))</f>
        <v>-</v>
      </c>
      <c r="R72" s="183" t="str">
        <f t="array" ref="R72">IF(ISBLANK($AE72), "-",INDEX(Circuits!Q:Q,SUMPRODUCT(EXACT($AE72,Circuits!$A:$A)*ROW(Circuits!$A:$A))))</f>
        <v>-</v>
      </c>
      <c r="S72" s="183" t="str">
        <f t="array" ref="S72">IF(ISBLANK($AE72), "-",INDEX(Circuits!R:R,SUMPRODUCT(EXACT($AE72,Circuits!$A:$A)*ROW(Circuits!$A:$A))))</f>
        <v>-</v>
      </c>
      <c r="T72" s="183" t="str">
        <f t="array" ref="T72">IF(ISBLANK($AE72), "-",INDEX(Circuits!S:S,SUMPRODUCT(EXACT($AE72,Circuits!$A:$A)*ROW(Circuits!$A:$A))))</f>
        <v>-</v>
      </c>
      <c r="U72" s="183" t="str">
        <f t="array" ref="U72">IF(ISBLANK($AE72), "-",INDEX(Circuits!T:T,SUMPRODUCT(EXACT($AE72,Circuits!$A:$A)*ROW(Circuits!$A:$A))))</f>
        <v>-</v>
      </c>
      <c r="V72" s="183" t="str">
        <f t="array" ref="V72">IF(ISBLANK($AE72), "-",INDEX(Circuits!U:U,SUMPRODUCT(EXACT($AE72,Circuits!$A:$A)*ROW(Circuits!$A:$A))))</f>
        <v>-</v>
      </c>
      <c r="W72" s="183" t="str">
        <f t="array" ref="W72">IF(ISBLANK($AE72), "-",INDEX(Circuits!V:V,SUMPRODUCT(EXACT($AE72,Circuits!$A:$A)*ROW(Circuits!$A:$A))))</f>
        <v>-</v>
      </c>
      <c r="X72" s="183" t="str">
        <f t="array" ref="X72">IF(ISBLANK($AE72), "-",INDEX(Circuits!W:W,SUMPRODUCT(EXACT($AE72,Circuits!$A:$A)*ROW(Circuits!$A:$A))))</f>
        <v>-</v>
      </c>
      <c r="Y72" s="183" t="str">
        <f t="array" ref="Y72">IF(ISBLANK($AE72), "-",INDEX(Circuits!X:X,SUMPRODUCT(EXACT($AE72,Circuits!$A:$A)*ROW(Circuits!$A:$A))))</f>
        <v>-</v>
      </c>
      <c r="Z72" s="108" t="str">
        <f>IFERROR(__xludf.DUMMYFUNCTION("IFNA(CONCATENATE(UNIQUE(FILTER(Connections!R:R,Connections!A:A=B72))),""-"")"),"-")</f>
        <v>-</v>
      </c>
      <c r="AA72" s="119" t="str">
        <f t="array" ref="AA72">IF(ISBLANK($AE72), "-",INDEX(Circuits!Y:Y,SUMPRODUCT(EXACT($AE72,Circuits!$A:$A)*ROW(Circuits!$A:$A))))</f>
        <v>-</v>
      </c>
      <c r="AB72" s="121" t="str">
        <f t="array" ref="AB72">IF(ISBLANK($AE72), "-",INDEX(Circuits!Z:Z,SUMPRODUCT(EXACT($AE72,Circuits!$A:$A)*ROW(Circuits!$A:$A))))</f>
        <v>-</v>
      </c>
      <c r="AC72" s="194"/>
      <c r="AD72" s="194"/>
      <c r="AE72" s="40"/>
      <c r="AF72" s="43"/>
      <c r="AG72" s="126" t="str">
        <f>IFERROR(__xludf.DUMMYFUNCTION("IF(ISBLANK(AF72), """", TEXTJOIN(CHAR(10),TRUE,ARRAYFORMULA(IF(ISERROR(SEARCH(SPLIT(AF72, "";""), $Z72)), ""x"", ""-""))))"),"")</f>
        <v/>
      </c>
      <c r="AH72" s="127" t="str">
        <f>IFERROR(__xludf.DUMMYFUNCTION("IF(ISBLANK(AK72), """", TEXTJOIN("";"" &amp; CHAR(10), TRUE, UNIQUE(SPLIT(AK72, "";"" &amp; CHAR(10)), TRUE))&amp;"";"")"),"")</f>
        <v/>
      </c>
      <c r="AI72" s="128" t="str">
        <f>IFERROR(__xludf.DUMMYFUNCTION("IF(ISBLANK(AD72), IF(ISBLANK(AE72),,IFNA(TEXTJOIN("";"" &amp; CHAR(10), TRUE, FILTER(AE:AE, SEARCH(AE72&amp;"";"", AJ:AJ)))&amp;"";"", """")), TEXTJOIN("";"" &amp; CHAR(10), TRUE, UNIQUE(SPLIT(AH72 &amp; "";"" &amp; AH72 &amp; "";"" &amp; AL72, "";"" &amp; CHAR(10)), TRUE, TRUE))&amp;"";"")"),"")</f>
        <v/>
      </c>
      <c r="AJ72" s="126" t="str">
        <f>IFERROR(__xludf.DUMMYFUNCTION("IF(AN72="""", """", TEXTJOIN("";"" &amp; CHAR(10), TRUE, UNIQUE(SPLIT(AH72 &amp; "";"" &amp; AH72 &amp; "";"" &amp; AN72, "";"" &amp; CHAR(10)), TRUE, TRUE))&amp;"";"")"),"")</f>
        <v/>
      </c>
      <c r="AK72" s="129" t="str">
        <f>IFERROR(__xludf.DUMMYFUNCTION("IF(ISBLANK(AD72), IF(ISBLANK(AE72),,AE72 &amp; "";""), TEXTJOIN(CHAR(10), TRUE, ARRAYFORMULA(VLOOKUP(SPLIT(AD72, "";"" &amp; CHAR(10)), $AC:$AH, 6, FALSE))))"),"")</f>
        <v/>
      </c>
      <c r="AL72" s="130" t="str">
        <f>IFERROR(__xludf.DUMMYFUNCTION("IF(AM72="""", """", TEXTJOIN("";"" &amp; CHAR(10), TRUE, UNIQUE(SPLIT(AM72, "";"" &amp; CHAR(10)), TRUE))&amp;"";"")"),"")</f>
        <v/>
      </c>
      <c r="AM72" s="130" t="str">
        <f>IFERROR(__xludf.DUMMYFUNCTION("IF(ISBLANK(AD72), """", TEXTJOIN(CHAR(10), TRUE, ARRAYFORMULA(VLOOKUP(SPLIT(AH72, "";"" &amp; CHAR(10)), $AE:$AI, 5, FALSE)), AF72))"),"")</f>
        <v/>
      </c>
      <c r="AN72" s="132" t="str">
        <f>IFERROR(__xludf.DUMMYFUNCTION("IF(ISBLANK(AO72), """", TEXTJOIN("";"" &amp; CHAR(10), TRUE, UNIQUE(SPLIT(AO72, "";"" &amp; CHAR(10)), TRUE))&amp;"";"")"),"")</f>
        <v/>
      </c>
      <c r="AO72" s="134" t="str">
        <f>IFERROR(__xludf.DUMMYFUNCTION("IF(ISBLANK(AD72), AF72, TEXTJOIN(CHAR(10), TRUE, ARRAYFORMULA(VLOOKUP(SPLIT(AD72, "";"" &amp; CHAR(10)), $AC:$AN, 12, FALSE))))"),"")</f>
        <v/>
      </c>
      <c r="AP72" s="130" t="str">
        <f>IF(ISBLANK(AE72),,IF(IFERROR(SEARCH(AE72&amp;";",Circuits!$AO$2),0),TRUE,FALSE))</f>
        <v/>
      </c>
      <c r="AQ72" s="130" t="str">
        <f t="shared" si="2"/>
        <v/>
      </c>
      <c r="AR72" s="130" t="str">
        <f t="shared" si="3"/>
        <v/>
      </c>
      <c r="AS72" s="136" t="str">
        <f>IFERROR(__xludf.DUMMYFUNCTION("IF(AH72="""",,SUM(ARRAYFORMULA(IF(IFERROR(SEARCH(SPLIT(AH72,CHAR(10)),Circuits!$AO$2),0)&gt;0,0,1))))"),"")</f>
        <v/>
      </c>
      <c r="AT72" s="138" t="str">
        <f t="shared" si="4"/>
        <v/>
      </c>
      <c r="AU72" s="138" t="str">
        <f t="shared" si="5"/>
        <v/>
      </c>
      <c r="AV72" s="130" t="str">
        <f>IFERROR(__xludf.DUMMYFUNCTION("IF(AI72="""",,TEXTJOIN("", "",TRUE,ARRAYFORMULA(VLOOKUP(SPLIT(AI72,"";""&amp;CHAR(10)),AE:AT,16,FALSE))))"),"")</f>
        <v/>
      </c>
      <c r="AW72" s="130" t="str">
        <f>IFERROR(__xludf.DUMMYFUNCTION("IF(ISBLANK(BK72),,TEXTJOIN("", "",TRUE,ARRAYFORMULA(VLOOKUP(IFERROR(REGEXEXTRACT(SPLIT(BK72,"";""&amp;CHAR(10)),""\[(.+)\]"")),AE:AT,16,false))))"),"")</f>
        <v/>
      </c>
      <c r="AX72" s="139" t="str">
        <f t="shared" si="6"/>
        <v/>
      </c>
      <c r="AY72" s="139" t="str">
        <f t="shared" si="7"/>
        <v/>
      </c>
      <c r="AZ72" s="106" t="str">
        <f>IFERROR(__xludf.DUMMYFUNCTION("IF(ISBLANK(AD72), BC72, TEXTJOIN(CHAR(10) &amp; CHAR(10), TRUE, ARRAYFORMULA(VLOOKUP(SPLIT(AD72, "";"" &amp; CHAR(10)), $AC:$AY, 23, FALSE))))"),"")</f>
        <v/>
      </c>
      <c r="BA72" s="140" t="s">
        <v>66</v>
      </c>
      <c r="BB72" s="190"/>
      <c r="BC72" s="196"/>
      <c r="BD72" s="106" t="str">
        <f>IFERROR(__xludf.DUMMYFUNCTION("IF(IFERROR(SEARCH(""&lt;&lt;mechanism to realize the capability&gt;&gt;"",BA72),0)=0,
 ""!! Error !! “Capability&amp;Mechanism” column: Invalid Separator:"" &amp; CHAR(10) &amp; ""Insert separator “&lt;&lt;mechanism to realize the capability&gt;&gt;.”"",
 IF(
  LEN(TRIM(CLEAN(
    INDEX(
  "&amp;"    SPLIT(BA72,""&lt;&lt;mechanism to realize the capability&gt;&gt;"",FALSE,FALSE),
      1
    )
  )))=0,
  ""!! Error !! “Capability&amp;Mechanism” column: No Capability:""  &amp; CHAR(10) &amp; ""Describe Capability before separator."",
  INDEX(
    SPLIT(BA72,""&lt;&lt;mechanism "&amp;"to realize the capability&gt;&gt;"",FALSE,FALSE),
    1
  )
 )
)
"),"!! Error !! “Capability&amp;Mechanism” column: No Capability:
Describe Capability before separator.")</f>
        <v>!! Error !! “Capability&amp;Mechanism” column: No Capability:
Describe Capability before separator.</v>
      </c>
      <c r="BE72" s="190"/>
      <c r="BF72" s="195"/>
      <c r="BG72" s="42"/>
      <c r="BH72" s="190"/>
      <c r="BI72" s="196"/>
      <c r="BJ72" s="42"/>
      <c r="BK72" s="42"/>
      <c r="BL72" s="203"/>
      <c r="BM72" s="203"/>
      <c r="BN72" s="42"/>
      <c r="BO72" s="42"/>
      <c r="BP72" s="143"/>
      <c r="BQ72" s="143"/>
      <c r="BR72" s="192"/>
      <c r="BS72" s="192"/>
      <c r="BT72" s="192"/>
      <c r="BU72" s="192"/>
      <c r="BV72" s="192"/>
      <c r="BW72" s="192"/>
      <c r="BX72" s="146" t="str">
        <f t="shared" si="8"/>
        <v/>
      </c>
    </row>
    <row r="73">
      <c r="A73" s="106" t="str">
        <f t="shared" si="1"/>
        <v/>
      </c>
      <c r="B73" s="183" t="str">
        <f t="array" ref="B73">IF(ISBLANK($AE73), "-",INDEX(Circuits!A:A,SUMPRODUCT(EXACT($AE73,Circuits!$A:$A)*ROW(Circuits!$A:$A))))</f>
        <v>-</v>
      </c>
      <c r="C73" s="183" t="str">
        <f t="array" ref="C73">IF(ISBLANK($AE73), "-",INDEX(Circuits!B:B,SUMPRODUCT(EXACT($AE73,Circuits!$A:$A)*ROW(Circuits!$A:$A))))</f>
        <v>-</v>
      </c>
      <c r="D73" s="183" t="str">
        <f t="array" ref="D73">IF(ISBLANK($AE73), "-",INDEX(Circuits!C:C,SUMPRODUCT(EXACT($AE73,Circuits!$A:$A)*ROW(Circuits!$A:$A))))</f>
        <v>-</v>
      </c>
      <c r="E73" s="183" t="str">
        <f t="array" ref="E73">IF(ISBLANK($AE73), "-",INDEX(Circuits!D:D,SUMPRODUCT(EXACT($AE73,Circuits!$A:$A)*ROW(Circuits!$A:$A))))</f>
        <v>-</v>
      </c>
      <c r="F73" s="183" t="str">
        <f t="array" ref="F73">IF(ISBLANK($AE73), "-",INDEX(Circuits!E:E,SUMPRODUCT(EXACT($AE73,Circuits!$A:$A)*ROW(Circuits!$A:$A))))</f>
        <v>-</v>
      </c>
      <c r="G73" s="183" t="str">
        <f t="array" ref="G73">IF(ISBLANK($AE73), "-",INDEX(Circuits!F:F,SUMPRODUCT(EXACT($AE73,Circuits!$A:$A)*ROW(Circuits!$A:$A))))</f>
        <v>-</v>
      </c>
      <c r="H73" s="183" t="str">
        <f t="array" ref="H73">IF(ISBLANK($AE73), "-",INDEX(Circuits!G:G,SUMPRODUCT(EXACT($AE73,Circuits!$A:$A)*ROW(Circuits!$A:$A))))</f>
        <v>-</v>
      </c>
      <c r="I73" s="183" t="str">
        <f t="array" ref="I73">IF(ISBLANK($AE73), "-",INDEX(Circuits!H:H,SUMPRODUCT(EXACT($AE73,Circuits!$A:$A)*ROW(Circuits!$A:$A))))</f>
        <v>-</v>
      </c>
      <c r="J73" s="183" t="str">
        <f t="array" ref="J73">IF(ISBLANK($AE73), "-",INDEX(Circuits!I:I,SUMPRODUCT(EXACT($AE73,Circuits!$A:$A)*ROW(Circuits!$A:$A))))</f>
        <v>-</v>
      </c>
      <c r="K73" s="183" t="str">
        <f t="array" ref="K73">IF(ISBLANK($AE73), "-",INDEX(Circuits!J:J,SUMPRODUCT(EXACT($AE73,Circuits!$A:$A)*ROW(Circuits!$A:$A))))</f>
        <v>-</v>
      </c>
      <c r="L73" s="183" t="str">
        <f t="array" ref="L73">IF(ISBLANK($AE73), "-",INDEX(Circuits!K:K,SUMPRODUCT(EXACT($AE73,Circuits!$A:$A)*ROW(Circuits!$A:$A))))</f>
        <v>-</v>
      </c>
      <c r="M73" s="183" t="str">
        <f t="array" ref="M73">IF(ISBLANK($AE73), "-",INDEX(Circuits!L:L,SUMPRODUCT(EXACT($AE73,Circuits!$A:$A)*ROW(Circuits!$A:$A))))</f>
        <v>-</v>
      </c>
      <c r="N73" s="183" t="str">
        <f t="array" ref="N73">IF(ISBLANK($AE73), "-",INDEX(Circuits!M:M,SUMPRODUCT(EXACT($AE73,Circuits!$A:$A)*ROW(Circuits!$A:$A))))</f>
        <v>-</v>
      </c>
      <c r="O73" s="183" t="str">
        <f t="array" ref="O73">IF(ISBLANK($AE73), "-",INDEX(Circuits!N:N,SUMPRODUCT(EXACT($AE73,Circuits!$A:$A)*ROW(Circuits!$A:$A))))</f>
        <v>-</v>
      </c>
      <c r="P73" s="183" t="str">
        <f t="array" ref="P73">IF(ISBLANK($AE73), "-",INDEX(Circuits!O:O,SUMPRODUCT(EXACT($AE73,Circuits!$A:$A)*ROW(Circuits!$A:$A))))</f>
        <v>-</v>
      </c>
      <c r="Q73" s="183" t="str">
        <f t="array" ref="Q73">IF(ISBLANK($AE73), "-",INDEX(Circuits!P:P,SUMPRODUCT(EXACT($AE73,Circuits!$A:$A)*ROW(Circuits!$A:$A))))</f>
        <v>-</v>
      </c>
      <c r="R73" s="183" t="str">
        <f t="array" ref="R73">IF(ISBLANK($AE73), "-",INDEX(Circuits!Q:Q,SUMPRODUCT(EXACT($AE73,Circuits!$A:$A)*ROW(Circuits!$A:$A))))</f>
        <v>-</v>
      </c>
      <c r="S73" s="183" t="str">
        <f t="array" ref="S73">IF(ISBLANK($AE73), "-",INDEX(Circuits!R:R,SUMPRODUCT(EXACT($AE73,Circuits!$A:$A)*ROW(Circuits!$A:$A))))</f>
        <v>-</v>
      </c>
      <c r="T73" s="183" t="str">
        <f t="array" ref="T73">IF(ISBLANK($AE73), "-",INDEX(Circuits!S:S,SUMPRODUCT(EXACT($AE73,Circuits!$A:$A)*ROW(Circuits!$A:$A))))</f>
        <v>-</v>
      </c>
      <c r="U73" s="183" t="str">
        <f t="array" ref="U73">IF(ISBLANK($AE73), "-",INDEX(Circuits!T:T,SUMPRODUCT(EXACT($AE73,Circuits!$A:$A)*ROW(Circuits!$A:$A))))</f>
        <v>-</v>
      </c>
      <c r="V73" s="183" t="str">
        <f t="array" ref="V73">IF(ISBLANK($AE73), "-",INDEX(Circuits!U:U,SUMPRODUCT(EXACT($AE73,Circuits!$A:$A)*ROW(Circuits!$A:$A))))</f>
        <v>-</v>
      </c>
      <c r="W73" s="183" t="str">
        <f t="array" ref="W73">IF(ISBLANK($AE73), "-",INDEX(Circuits!V:V,SUMPRODUCT(EXACT($AE73,Circuits!$A:$A)*ROW(Circuits!$A:$A))))</f>
        <v>-</v>
      </c>
      <c r="X73" s="183" t="str">
        <f t="array" ref="X73">IF(ISBLANK($AE73), "-",INDEX(Circuits!W:W,SUMPRODUCT(EXACT($AE73,Circuits!$A:$A)*ROW(Circuits!$A:$A))))</f>
        <v>-</v>
      </c>
      <c r="Y73" s="183" t="str">
        <f t="array" ref="Y73">IF(ISBLANK($AE73), "-",INDEX(Circuits!X:X,SUMPRODUCT(EXACT($AE73,Circuits!$A:$A)*ROW(Circuits!$A:$A))))</f>
        <v>-</v>
      </c>
      <c r="Z73" s="108" t="str">
        <f>IFERROR(__xludf.DUMMYFUNCTION("IFNA(CONCATENATE(UNIQUE(FILTER(Connections!R:R,Connections!A:A=B73))),""-"")"),"-")</f>
        <v>-</v>
      </c>
      <c r="AA73" s="119" t="str">
        <f t="array" ref="AA73">IF(ISBLANK($AE73), "-",INDEX(Circuits!Y:Y,SUMPRODUCT(EXACT($AE73,Circuits!$A:$A)*ROW(Circuits!$A:$A))))</f>
        <v>-</v>
      </c>
      <c r="AB73" s="121" t="str">
        <f t="array" ref="AB73">IF(ISBLANK($AE73), "-",INDEX(Circuits!Z:Z,SUMPRODUCT(EXACT($AE73,Circuits!$A:$A)*ROW(Circuits!$A:$A))))</f>
        <v>-</v>
      </c>
      <c r="AC73" s="194"/>
      <c r="AD73" s="194"/>
      <c r="AE73" s="40"/>
      <c r="AF73" s="43"/>
      <c r="AG73" s="126" t="str">
        <f>IFERROR(__xludf.DUMMYFUNCTION("IF(ISBLANK(AF73), """", TEXTJOIN(CHAR(10),TRUE,ARRAYFORMULA(IF(ISERROR(SEARCH(SPLIT(AF73, "";""), $Z73)), ""x"", ""-""))))"),"")</f>
        <v/>
      </c>
      <c r="AH73" s="127" t="str">
        <f>IFERROR(__xludf.DUMMYFUNCTION("IF(ISBLANK(AK73), """", TEXTJOIN("";"" &amp; CHAR(10), TRUE, UNIQUE(SPLIT(AK73, "";"" &amp; CHAR(10)), TRUE))&amp;"";"")"),"")</f>
        <v/>
      </c>
      <c r="AI73" s="128" t="str">
        <f>IFERROR(__xludf.DUMMYFUNCTION("IF(ISBLANK(AD73), IF(ISBLANK(AE73),,IFNA(TEXTJOIN("";"" &amp; CHAR(10), TRUE, FILTER(AE:AE, SEARCH(AE73&amp;"";"", AJ:AJ)))&amp;"";"", """")), TEXTJOIN("";"" &amp; CHAR(10), TRUE, UNIQUE(SPLIT(AH73 &amp; "";"" &amp; AH73 &amp; "";"" &amp; AL73, "";"" &amp; CHAR(10)), TRUE, TRUE))&amp;"";"")"),"")</f>
        <v/>
      </c>
      <c r="AJ73" s="126" t="str">
        <f>IFERROR(__xludf.DUMMYFUNCTION("IF(AN73="""", """", TEXTJOIN("";"" &amp; CHAR(10), TRUE, UNIQUE(SPLIT(AH73 &amp; "";"" &amp; AH73 &amp; "";"" &amp; AN73, "";"" &amp; CHAR(10)), TRUE, TRUE))&amp;"";"")"),"")</f>
        <v/>
      </c>
      <c r="AK73" s="129" t="str">
        <f>IFERROR(__xludf.DUMMYFUNCTION("IF(ISBLANK(AD73), IF(ISBLANK(AE73),,AE73 &amp; "";""), TEXTJOIN(CHAR(10), TRUE, ARRAYFORMULA(VLOOKUP(SPLIT(AD73, "";"" &amp; CHAR(10)), $AC:$AH, 6, FALSE))))"),"")</f>
        <v/>
      </c>
      <c r="AL73" s="130" t="str">
        <f>IFERROR(__xludf.DUMMYFUNCTION("IF(AM73="""", """", TEXTJOIN("";"" &amp; CHAR(10), TRUE, UNIQUE(SPLIT(AM73, "";"" &amp; CHAR(10)), TRUE))&amp;"";"")"),"")</f>
        <v/>
      </c>
      <c r="AM73" s="130" t="str">
        <f>IFERROR(__xludf.DUMMYFUNCTION("IF(ISBLANK(AD73), """", TEXTJOIN(CHAR(10), TRUE, ARRAYFORMULA(VLOOKUP(SPLIT(AH73, "";"" &amp; CHAR(10)), $AE:$AI, 5, FALSE)), AF73))"),"")</f>
        <v/>
      </c>
      <c r="AN73" s="132" t="str">
        <f>IFERROR(__xludf.DUMMYFUNCTION("IF(ISBLANK(AO73), """", TEXTJOIN("";"" &amp; CHAR(10), TRUE, UNIQUE(SPLIT(AO73, "";"" &amp; CHAR(10)), TRUE))&amp;"";"")"),"")</f>
        <v/>
      </c>
      <c r="AO73" s="134" t="str">
        <f>IFERROR(__xludf.DUMMYFUNCTION("IF(ISBLANK(AD73), AF73, TEXTJOIN(CHAR(10), TRUE, ARRAYFORMULA(VLOOKUP(SPLIT(AD73, "";"" &amp; CHAR(10)), $AC:$AN, 12, FALSE))))"),"")</f>
        <v/>
      </c>
      <c r="AP73" s="130" t="str">
        <f>IF(ISBLANK(AE73),,IF(IFERROR(SEARCH(AE73&amp;";",Circuits!$AO$2),0),TRUE,FALSE))</f>
        <v/>
      </c>
      <c r="AQ73" s="130" t="str">
        <f t="shared" si="2"/>
        <v/>
      </c>
      <c r="AR73" s="130" t="str">
        <f t="shared" si="3"/>
        <v/>
      </c>
      <c r="AS73" s="136" t="str">
        <f>IFERROR(__xludf.DUMMYFUNCTION("IF(AH73="""",,SUM(ARRAYFORMULA(IF(IFERROR(SEARCH(SPLIT(AH73,CHAR(10)),Circuits!$AO$2),0)&gt;0,0,1))))"),"")</f>
        <v/>
      </c>
      <c r="AT73" s="138" t="str">
        <f t="shared" si="4"/>
        <v/>
      </c>
      <c r="AU73" s="138" t="str">
        <f t="shared" si="5"/>
        <v/>
      </c>
      <c r="AV73" s="130" t="str">
        <f>IFERROR(__xludf.DUMMYFUNCTION("IF(AI73="""",,TEXTJOIN("", "",TRUE,ARRAYFORMULA(VLOOKUP(SPLIT(AI73,"";""&amp;CHAR(10)),AE:AT,16,FALSE))))"),"")</f>
        <v/>
      </c>
      <c r="AW73" s="130" t="str">
        <f>IFERROR(__xludf.DUMMYFUNCTION("IF(ISBLANK(BK73),,TEXTJOIN("", "",TRUE,ARRAYFORMULA(VLOOKUP(IFERROR(REGEXEXTRACT(SPLIT(BK73,"";""&amp;CHAR(10)),""\[(.+)\]"")),AE:AT,16,false))))"),"")</f>
        <v/>
      </c>
      <c r="AX73" s="139" t="str">
        <f t="shared" si="6"/>
        <v/>
      </c>
      <c r="AY73" s="139" t="str">
        <f t="shared" si="7"/>
        <v/>
      </c>
      <c r="AZ73" s="106" t="str">
        <f>IFERROR(__xludf.DUMMYFUNCTION("IF(ISBLANK(AD73), BC73, TEXTJOIN(CHAR(10) &amp; CHAR(10), TRUE, ARRAYFORMULA(VLOOKUP(SPLIT(AD73, "";"" &amp; CHAR(10)), $AC:$AY, 23, FALSE))))"),"")</f>
        <v/>
      </c>
      <c r="BA73" s="140" t="s">
        <v>66</v>
      </c>
      <c r="BB73" s="190"/>
      <c r="BC73" s="196"/>
      <c r="BD73" s="106" t="str">
        <f>IFERROR(__xludf.DUMMYFUNCTION("IF(IFERROR(SEARCH(""&lt;&lt;mechanism to realize the capability&gt;&gt;"",BA73),0)=0,
 ""!! Error !! “Capability&amp;Mechanism” column: Invalid Separator:"" &amp; CHAR(10) &amp; ""Insert separator “&lt;&lt;mechanism to realize the capability&gt;&gt;.”"",
 IF(
  LEN(TRIM(CLEAN(
    INDEX(
  "&amp;"    SPLIT(BA73,""&lt;&lt;mechanism to realize the capability&gt;&gt;"",FALSE,FALSE),
      1
    )
  )))=0,
  ""!! Error !! “Capability&amp;Mechanism” column: No Capability:""  &amp; CHAR(10) &amp; ""Describe Capability before separator."",
  INDEX(
    SPLIT(BA73,""&lt;&lt;mechanism "&amp;"to realize the capability&gt;&gt;"",FALSE,FALSE),
    1
  )
 )
)
"),"!! Error !! “Capability&amp;Mechanism” column: No Capability:
Describe Capability before separator.")</f>
        <v>!! Error !! “Capability&amp;Mechanism” column: No Capability:
Describe Capability before separator.</v>
      </c>
      <c r="BE73" s="190"/>
      <c r="BF73" s="195"/>
      <c r="BG73" s="42"/>
      <c r="BH73" s="190"/>
      <c r="BI73" s="196"/>
      <c r="BJ73" s="42"/>
      <c r="BK73" s="42"/>
      <c r="BL73" s="203"/>
      <c r="BM73" s="203"/>
      <c r="BN73" s="42"/>
      <c r="BO73" s="42"/>
      <c r="BP73" s="143"/>
      <c r="BQ73" s="143"/>
      <c r="BR73" s="192"/>
      <c r="BS73" s="192"/>
      <c r="BT73" s="192"/>
      <c r="BU73" s="192"/>
      <c r="BV73" s="192"/>
      <c r="BW73" s="192"/>
      <c r="BX73" s="146" t="str">
        <f t="shared" si="8"/>
        <v/>
      </c>
    </row>
    <row r="74">
      <c r="A74" s="106" t="str">
        <f t="shared" si="1"/>
        <v/>
      </c>
      <c r="B74" s="183" t="str">
        <f t="array" ref="B74">IF(ISBLANK($AE74), "-",INDEX(Circuits!A:A,SUMPRODUCT(EXACT($AE74,Circuits!$A:$A)*ROW(Circuits!$A:$A))))</f>
        <v>-</v>
      </c>
      <c r="C74" s="183" t="str">
        <f t="array" ref="C74">IF(ISBLANK($AE74), "-",INDEX(Circuits!B:B,SUMPRODUCT(EXACT($AE74,Circuits!$A:$A)*ROW(Circuits!$A:$A))))</f>
        <v>-</v>
      </c>
      <c r="D74" s="183" t="str">
        <f t="array" ref="D74">IF(ISBLANK($AE74), "-",INDEX(Circuits!C:C,SUMPRODUCT(EXACT($AE74,Circuits!$A:$A)*ROW(Circuits!$A:$A))))</f>
        <v>-</v>
      </c>
      <c r="E74" s="183" t="str">
        <f t="array" ref="E74">IF(ISBLANK($AE74), "-",INDEX(Circuits!D:D,SUMPRODUCT(EXACT($AE74,Circuits!$A:$A)*ROW(Circuits!$A:$A))))</f>
        <v>-</v>
      </c>
      <c r="F74" s="183" t="str">
        <f t="array" ref="F74">IF(ISBLANK($AE74), "-",INDEX(Circuits!E:E,SUMPRODUCT(EXACT($AE74,Circuits!$A:$A)*ROW(Circuits!$A:$A))))</f>
        <v>-</v>
      </c>
      <c r="G74" s="183" t="str">
        <f t="array" ref="G74">IF(ISBLANK($AE74), "-",INDEX(Circuits!F:F,SUMPRODUCT(EXACT($AE74,Circuits!$A:$A)*ROW(Circuits!$A:$A))))</f>
        <v>-</v>
      </c>
      <c r="H74" s="183" t="str">
        <f t="array" ref="H74">IF(ISBLANK($AE74), "-",INDEX(Circuits!G:G,SUMPRODUCT(EXACT($AE74,Circuits!$A:$A)*ROW(Circuits!$A:$A))))</f>
        <v>-</v>
      </c>
      <c r="I74" s="183" t="str">
        <f t="array" ref="I74">IF(ISBLANK($AE74), "-",INDEX(Circuits!H:H,SUMPRODUCT(EXACT($AE74,Circuits!$A:$A)*ROW(Circuits!$A:$A))))</f>
        <v>-</v>
      </c>
      <c r="J74" s="183" t="str">
        <f t="array" ref="J74">IF(ISBLANK($AE74), "-",INDEX(Circuits!I:I,SUMPRODUCT(EXACT($AE74,Circuits!$A:$A)*ROW(Circuits!$A:$A))))</f>
        <v>-</v>
      </c>
      <c r="K74" s="183" t="str">
        <f t="array" ref="K74">IF(ISBLANK($AE74), "-",INDEX(Circuits!J:J,SUMPRODUCT(EXACT($AE74,Circuits!$A:$A)*ROW(Circuits!$A:$A))))</f>
        <v>-</v>
      </c>
      <c r="L74" s="183" t="str">
        <f t="array" ref="L74">IF(ISBLANK($AE74), "-",INDEX(Circuits!K:K,SUMPRODUCT(EXACT($AE74,Circuits!$A:$A)*ROW(Circuits!$A:$A))))</f>
        <v>-</v>
      </c>
      <c r="M74" s="183" t="str">
        <f t="array" ref="M74">IF(ISBLANK($AE74), "-",INDEX(Circuits!L:L,SUMPRODUCT(EXACT($AE74,Circuits!$A:$A)*ROW(Circuits!$A:$A))))</f>
        <v>-</v>
      </c>
      <c r="N74" s="183" t="str">
        <f t="array" ref="N74">IF(ISBLANK($AE74), "-",INDEX(Circuits!M:M,SUMPRODUCT(EXACT($AE74,Circuits!$A:$A)*ROW(Circuits!$A:$A))))</f>
        <v>-</v>
      </c>
      <c r="O74" s="183" t="str">
        <f t="array" ref="O74">IF(ISBLANK($AE74), "-",INDEX(Circuits!N:N,SUMPRODUCT(EXACT($AE74,Circuits!$A:$A)*ROW(Circuits!$A:$A))))</f>
        <v>-</v>
      </c>
      <c r="P74" s="183" t="str">
        <f t="array" ref="P74">IF(ISBLANK($AE74), "-",INDEX(Circuits!O:O,SUMPRODUCT(EXACT($AE74,Circuits!$A:$A)*ROW(Circuits!$A:$A))))</f>
        <v>-</v>
      </c>
      <c r="Q74" s="183" t="str">
        <f t="array" ref="Q74">IF(ISBLANK($AE74), "-",INDEX(Circuits!P:P,SUMPRODUCT(EXACT($AE74,Circuits!$A:$A)*ROW(Circuits!$A:$A))))</f>
        <v>-</v>
      </c>
      <c r="R74" s="183" t="str">
        <f t="array" ref="R74">IF(ISBLANK($AE74), "-",INDEX(Circuits!Q:Q,SUMPRODUCT(EXACT($AE74,Circuits!$A:$A)*ROW(Circuits!$A:$A))))</f>
        <v>-</v>
      </c>
      <c r="S74" s="183" t="str">
        <f t="array" ref="S74">IF(ISBLANK($AE74), "-",INDEX(Circuits!R:R,SUMPRODUCT(EXACT($AE74,Circuits!$A:$A)*ROW(Circuits!$A:$A))))</f>
        <v>-</v>
      </c>
      <c r="T74" s="183" t="str">
        <f t="array" ref="T74">IF(ISBLANK($AE74), "-",INDEX(Circuits!S:S,SUMPRODUCT(EXACT($AE74,Circuits!$A:$A)*ROW(Circuits!$A:$A))))</f>
        <v>-</v>
      </c>
      <c r="U74" s="183" t="str">
        <f t="array" ref="U74">IF(ISBLANK($AE74), "-",INDEX(Circuits!T:T,SUMPRODUCT(EXACT($AE74,Circuits!$A:$A)*ROW(Circuits!$A:$A))))</f>
        <v>-</v>
      </c>
      <c r="V74" s="183" t="str">
        <f t="array" ref="V74">IF(ISBLANK($AE74), "-",INDEX(Circuits!U:U,SUMPRODUCT(EXACT($AE74,Circuits!$A:$A)*ROW(Circuits!$A:$A))))</f>
        <v>-</v>
      </c>
      <c r="W74" s="183" t="str">
        <f t="array" ref="W74">IF(ISBLANK($AE74), "-",INDEX(Circuits!V:V,SUMPRODUCT(EXACT($AE74,Circuits!$A:$A)*ROW(Circuits!$A:$A))))</f>
        <v>-</v>
      </c>
      <c r="X74" s="183" t="str">
        <f t="array" ref="X74">IF(ISBLANK($AE74), "-",INDEX(Circuits!W:W,SUMPRODUCT(EXACT($AE74,Circuits!$A:$A)*ROW(Circuits!$A:$A))))</f>
        <v>-</v>
      </c>
      <c r="Y74" s="183" t="str">
        <f t="array" ref="Y74">IF(ISBLANK($AE74), "-",INDEX(Circuits!X:X,SUMPRODUCT(EXACT($AE74,Circuits!$A:$A)*ROW(Circuits!$A:$A))))</f>
        <v>-</v>
      </c>
      <c r="Z74" s="108" t="str">
        <f>IFERROR(__xludf.DUMMYFUNCTION("IFNA(CONCATENATE(UNIQUE(FILTER(Connections!R:R,Connections!A:A=B74))),""-"")"),"-")</f>
        <v>-</v>
      </c>
      <c r="AA74" s="119" t="str">
        <f t="array" ref="AA74">IF(ISBLANK($AE74), "-",INDEX(Circuits!Y:Y,SUMPRODUCT(EXACT($AE74,Circuits!$A:$A)*ROW(Circuits!$A:$A))))</f>
        <v>-</v>
      </c>
      <c r="AB74" s="121" t="str">
        <f t="array" ref="AB74">IF(ISBLANK($AE74), "-",INDEX(Circuits!Z:Z,SUMPRODUCT(EXACT($AE74,Circuits!$A:$A)*ROW(Circuits!$A:$A))))</f>
        <v>-</v>
      </c>
      <c r="AC74" s="194"/>
      <c r="AD74" s="194"/>
      <c r="AE74" s="40"/>
      <c r="AF74" s="43"/>
      <c r="AG74" s="126" t="str">
        <f>IFERROR(__xludf.DUMMYFUNCTION("IF(ISBLANK(AF74), """", TEXTJOIN(CHAR(10),TRUE,ARRAYFORMULA(IF(ISERROR(SEARCH(SPLIT(AF74, "";""), $Z74)), ""x"", ""-""))))"),"")</f>
        <v/>
      </c>
      <c r="AH74" s="127" t="str">
        <f>IFERROR(__xludf.DUMMYFUNCTION("IF(ISBLANK(AK74), """", TEXTJOIN("";"" &amp; CHAR(10), TRUE, UNIQUE(SPLIT(AK74, "";"" &amp; CHAR(10)), TRUE))&amp;"";"")"),"")</f>
        <v/>
      </c>
      <c r="AI74" s="128" t="str">
        <f>IFERROR(__xludf.DUMMYFUNCTION("IF(ISBLANK(AD74), IF(ISBLANK(AE74),,IFNA(TEXTJOIN("";"" &amp; CHAR(10), TRUE, FILTER(AE:AE, SEARCH(AE74&amp;"";"", AJ:AJ)))&amp;"";"", """")), TEXTJOIN("";"" &amp; CHAR(10), TRUE, UNIQUE(SPLIT(AH74 &amp; "";"" &amp; AH74 &amp; "";"" &amp; AL74, "";"" &amp; CHAR(10)), TRUE, TRUE))&amp;"";"")"),"")</f>
        <v/>
      </c>
      <c r="AJ74" s="126" t="str">
        <f>IFERROR(__xludf.DUMMYFUNCTION("IF(AN74="""", """", TEXTJOIN("";"" &amp; CHAR(10), TRUE, UNIQUE(SPLIT(AH74 &amp; "";"" &amp; AH74 &amp; "";"" &amp; AN74, "";"" &amp; CHAR(10)), TRUE, TRUE))&amp;"";"")"),"")</f>
        <v/>
      </c>
      <c r="AK74" s="129" t="str">
        <f>IFERROR(__xludf.DUMMYFUNCTION("IF(ISBLANK(AD74), IF(ISBLANK(AE74),,AE74 &amp; "";""), TEXTJOIN(CHAR(10), TRUE, ARRAYFORMULA(VLOOKUP(SPLIT(AD74, "";"" &amp; CHAR(10)), $AC:$AH, 6, FALSE))))"),"")</f>
        <v/>
      </c>
      <c r="AL74" s="130" t="str">
        <f>IFERROR(__xludf.DUMMYFUNCTION("IF(AM74="""", """", TEXTJOIN("";"" &amp; CHAR(10), TRUE, UNIQUE(SPLIT(AM74, "";"" &amp; CHAR(10)), TRUE))&amp;"";"")"),"")</f>
        <v/>
      </c>
      <c r="AM74" s="130" t="str">
        <f>IFERROR(__xludf.DUMMYFUNCTION("IF(ISBLANK(AD74), """", TEXTJOIN(CHAR(10), TRUE, ARRAYFORMULA(VLOOKUP(SPLIT(AH74, "";"" &amp; CHAR(10)), $AE:$AI, 5, FALSE)), AF74))"),"")</f>
        <v/>
      </c>
      <c r="AN74" s="132" t="str">
        <f>IFERROR(__xludf.DUMMYFUNCTION("IF(ISBLANK(AO74), """", TEXTJOIN("";"" &amp; CHAR(10), TRUE, UNIQUE(SPLIT(AO74, "";"" &amp; CHAR(10)), TRUE))&amp;"";"")"),"")</f>
        <v/>
      </c>
      <c r="AO74" s="134" t="str">
        <f>IFERROR(__xludf.DUMMYFUNCTION("IF(ISBLANK(AD74), AF74, TEXTJOIN(CHAR(10), TRUE, ARRAYFORMULA(VLOOKUP(SPLIT(AD74, "";"" &amp; CHAR(10)), $AC:$AN, 12, FALSE))))"),"")</f>
        <v/>
      </c>
      <c r="AP74" s="130" t="str">
        <f>IF(ISBLANK(AE74),,IF(IFERROR(SEARCH(AE74&amp;";",Circuits!$AO$2),0),TRUE,FALSE))</f>
        <v/>
      </c>
      <c r="AQ74" s="130" t="str">
        <f t="shared" si="2"/>
        <v/>
      </c>
      <c r="AR74" s="130" t="str">
        <f t="shared" si="3"/>
        <v/>
      </c>
      <c r="AS74" s="136" t="str">
        <f>IFERROR(__xludf.DUMMYFUNCTION("IF(AH74="""",,SUM(ARRAYFORMULA(IF(IFERROR(SEARCH(SPLIT(AH74,CHAR(10)),Circuits!$AO$2),0)&gt;0,0,1))))"),"")</f>
        <v/>
      </c>
      <c r="AT74" s="138" t="str">
        <f t="shared" si="4"/>
        <v/>
      </c>
      <c r="AU74" s="138" t="str">
        <f t="shared" si="5"/>
        <v/>
      </c>
      <c r="AV74" s="130" t="str">
        <f>IFERROR(__xludf.DUMMYFUNCTION("IF(AI74="""",,TEXTJOIN("", "",TRUE,ARRAYFORMULA(VLOOKUP(SPLIT(AI74,"";""&amp;CHAR(10)),AE:AT,16,FALSE))))"),"")</f>
        <v/>
      </c>
      <c r="AW74" s="130" t="str">
        <f>IFERROR(__xludf.DUMMYFUNCTION("IF(ISBLANK(BK74),,TEXTJOIN("", "",TRUE,ARRAYFORMULA(VLOOKUP(IFERROR(REGEXEXTRACT(SPLIT(BK74,"";""&amp;CHAR(10)),""\[(.+)\]"")),AE:AT,16,false))))"),"")</f>
        <v/>
      </c>
      <c r="AX74" s="139" t="str">
        <f t="shared" si="6"/>
        <v/>
      </c>
      <c r="AY74" s="139" t="str">
        <f t="shared" si="7"/>
        <v/>
      </c>
      <c r="AZ74" s="106" t="str">
        <f>IFERROR(__xludf.DUMMYFUNCTION("IF(ISBLANK(AD74), BC74, TEXTJOIN(CHAR(10) &amp; CHAR(10), TRUE, ARRAYFORMULA(VLOOKUP(SPLIT(AD74, "";"" &amp; CHAR(10)), $AC:$AY, 23, FALSE))))"),"")</f>
        <v/>
      </c>
      <c r="BA74" s="140" t="s">
        <v>66</v>
      </c>
      <c r="BB74" s="190"/>
      <c r="BC74" s="196"/>
      <c r="BD74" s="106" t="str">
        <f>IFERROR(__xludf.DUMMYFUNCTION("IF(IFERROR(SEARCH(""&lt;&lt;mechanism to realize the capability&gt;&gt;"",BA74),0)=0,
 ""!! Error !! “Capability&amp;Mechanism” column: Invalid Separator:"" &amp; CHAR(10) &amp; ""Insert separator “&lt;&lt;mechanism to realize the capability&gt;&gt;.”"",
 IF(
  LEN(TRIM(CLEAN(
    INDEX(
  "&amp;"    SPLIT(BA74,""&lt;&lt;mechanism to realize the capability&gt;&gt;"",FALSE,FALSE),
      1
    )
  )))=0,
  ""!! Error !! “Capability&amp;Mechanism” column: No Capability:""  &amp; CHAR(10) &amp; ""Describe Capability before separator."",
  INDEX(
    SPLIT(BA74,""&lt;&lt;mechanism "&amp;"to realize the capability&gt;&gt;"",FALSE,FALSE),
    1
  )
 )
)
"),"!! Error !! “Capability&amp;Mechanism” column: No Capability:
Describe Capability before separator.")</f>
        <v>!! Error !! “Capability&amp;Mechanism” column: No Capability:
Describe Capability before separator.</v>
      </c>
      <c r="BE74" s="190"/>
      <c r="BF74" s="195"/>
      <c r="BG74" s="42"/>
      <c r="BH74" s="190"/>
      <c r="BI74" s="196"/>
      <c r="BJ74" s="42"/>
      <c r="BK74" s="42"/>
      <c r="BL74" s="203"/>
      <c r="BM74" s="203"/>
      <c r="BN74" s="42"/>
      <c r="BO74" s="42"/>
      <c r="BP74" s="143"/>
      <c r="BQ74" s="143"/>
      <c r="BR74" s="192"/>
      <c r="BS74" s="192"/>
      <c r="BT74" s="192"/>
      <c r="BU74" s="192"/>
      <c r="BV74" s="192"/>
      <c r="BW74" s="192"/>
      <c r="BX74" s="146" t="str">
        <f t="shared" si="8"/>
        <v/>
      </c>
    </row>
    <row r="75">
      <c r="A75" s="106" t="str">
        <f t="shared" si="1"/>
        <v/>
      </c>
      <c r="B75" s="183" t="str">
        <f t="array" ref="B75">IF(ISBLANK($AE75), "-",INDEX(Circuits!A:A,SUMPRODUCT(EXACT($AE75,Circuits!$A:$A)*ROW(Circuits!$A:$A))))</f>
        <v>-</v>
      </c>
      <c r="C75" s="183" t="str">
        <f t="array" ref="C75">IF(ISBLANK($AE75), "-",INDEX(Circuits!B:B,SUMPRODUCT(EXACT($AE75,Circuits!$A:$A)*ROW(Circuits!$A:$A))))</f>
        <v>-</v>
      </c>
      <c r="D75" s="183" t="str">
        <f t="array" ref="D75">IF(ISBLANK($AE75), "-",INDEX(Circuits!C:C,SUMPRODUCT(EXACT($AE75,Circuits!$A:$A)*ROW(Circuits!$A:$A))))</f>
        <v>-</v>
      </c>
      <c r="E75" s="183" t="str">
        <f t="array" ref="E75">IF(ISBLANK($AE75), "-",INDEX(Circuits!D:D,SUMPRODUCT(EXACT($AE75,Circuits!$A:$A)*ROW(Circuits!$A:$A))))</f>
        <v>-</v>
      </c>
      <c r="F75" s="183" t="str">
        <f t="array" ref="F75">IF(ISBLANK($AE75), "-",INDEX(Circuits!E:E,SUMPRODUCT(EXACT($AE75,Circuits!$A:$A)*ROW(Circuits!$A:$A))))</f>
        <v>-</v>
      </c>
      <c r="G75" s="183" t="str">
        <f t="array" ref="G75">IF(ISBLANK($AE75), "-",INDEX(Circuits!F:F,SUMPRODUCT(EXACT($AE75,Circuits!$A:$A)*ROW(Circuits!$A:$A))))</f>
        <v>-</v>
      </c>
      <c r="H75" s="183" t="str">
        <f t="array" ref="H75">IF(ISBLANK($AE75), "-",INDEX(Circuits!G:G,SUMPRODUCT(EXACT($AE75,Circuits!$A:$A)*ROW(Circuits!$A:$A))))</f>
        <v>-</v>
      </c>
      <c r="I75" s="183" t="str">
        <f t="array" ref="I75">IF(ISBLANK($AE75), "-",INDEX(Circuits!H:H,SUMPRODUCT(EXACT($AE75,Circuits!$A:$A)*ROW(Circuits!$A:$A))))</f>
        <v>-</v>
      </c>
      <c r="J75" s="183" t="str">
        <f t="array" ref="J75">IF(ISBLANK($AE75), "-",INDEX(Circuits!I:I,SUMPRODUCT(EXACT($AE75,Circuits!$A:$A)*ROW(Circuits!$A:$A))))</f>
        <v>-</v>
      </c>
      <c r="K75" s="183" t="str">
        <f t="array" ref="K75">IF(ISBLANK($AE75), "-",INDEX(Circuits!J:J,SUMPRODUCT(EXACT($AE75,Circuits!$A:$A)*ROW(Circuits!$A:$A))))</f>
        <v>-</v>
      </c>
      <c r="L75" s="183" t="str">
        <f t="array" ref="L75">IF(ISBLANK($AE75), "-",INDEX(Circuits!K:K,SUMPRODUCT(EXACT($AE75,Circuits!$A:$A)*ROW(Circuits!$A:$A))))</f>
        <v>-</v>
      </c>
      <c r="M75" s="183" t="str">
        <f t="array" ref="M75">IF(ISBLANK($AE75), "-",INDEX(Circuits!L:L,SUMPRODUCT(EXACT($AE75,Circuits!$A:$A)*ROW(Circuits!$A:$A))))</f>
        <v>-</v>
      </c>
      <c r="N75" s="183" t="str">
        <f t="array" ref="N75">IF(ISBLANK($AE75), "-",INDEX(Circuits!M:M,SUMPRODUCT(EXACT($AE75,Circuits!$A:$A)*ROW(Circuits!$A:$A))))</f>
        <v>-</v>
      </c>
      <c r="O75" s="183" t="str">
        <f t="array" ref="O75">IF(ISBLANK($AE75), "-",INDEX(Circuits!N:N,SUMPRODUCT(EXACT($AE75,Circuits!$A:$A)*ROW(Circuits!$A:$A))))</f>
        <v>-</v>
      </c>
      <c r="P75" s="183" t="str">
        <f t="array" ref="P75">IF(ISBLANK($AE75), "-",INDEX(Circuits!O:O,SUMPRODUCT(EXACT($AE75,Circuits!$A:$A)*ROW(Circuits!$A:$A))))</f>
        <v>-</v>
      </c>
      <c r="Q75" s="183" t="str">
        <f t="array" ref="Q75">IF(ISBLANK($AE75), "-",INDEX(Circuits!P:P,SUMPRODUCT(EXACT($AE75,Circuits!$A:$A)*ROW(Circuits!$A:$A))))</f>
        <v>-</v>
      </c>
      <c r="R75" s="183" t="str">
        <f t="array" ref="R75">IF(ISBLANK($AE75), "-",INDEX(Circuits!Q:Q,SUMPRODUCT(EXACT($AE75,Circuits!$A:$A)*ROW(Circuits!$A:$A))))</f>
        <v>-</v>
      </c>
      <c r="S75" s="183" t="str">
        <f t="array" ref="S75">IF(ISBLANK($AE75), "-",INDEX(Circuits!R:R,SUMPRODUCT(EXACT($AE75,Circuits!$A:$A)*ROW(Circuits!$A:$A))))</f>
        <v>-</v>
      </c>
      <c r="T75" s="183" t="str">
        <f t="array" ref="T75">IF(ISBLANK($AE75), "-",INDEX(Circuits!S:S,SUMPRODUCT(EXACT($AE75,Circuits!$A:$A)*ROW(Circuits!$A:$A))))</f>
        <v>-</v>
      </c>
      <c r="U75" s="183" t="str">
        <f t="array" ref="U75">IF(ISBLANK($AE75), "-",INDEX(Circuits!T:T,SUMPRODUCT(EXACT($AE75,Circuits!$A:$A)*ROW(Circuits!$A:$A))))</f>
        <v>-</v>
      </c>
      <c r="V75" s="183" t="str">
        <f t="array" ref="V75">IF(ISBLANK($AE75), "-",INDEX(Circuits!U:U,SUMPRODUCT(EXACT($AE75,Circuits!$A:$A)*ROW(Circuits!$A:$A))))</f>
        <v>-</v>
      </c>
      <c r="W75" s="183" t="str">
        <f t="array" ref="W75">IF(ISBLANK($AE75), "-",INDEX(Circuits!V:V,SUMPRODUCT(EXACT($AE75,Circuits!$A:$A)*ROW(Circuits!$A:$A))))</f>
        <v>-</v>
      </c>
      <c r="X75" s="183" t="str">
        <f t="array" ref="X75">IF(ISBLANK($AE75), "-",INDEX(Circuits!W:W,SUMPRODUCT(EXACT($AE75,Circuits!$A:$A)*ROW(Circuits!$A:$A))))</f>
        <v>-</v>
      </c>
      <c r="Y75" s="183" t="str">
        <f t="array" ref="Y75">IF(ISBLANK($AE75), "-",INDEX(Circuits!X:X,SUMPRODUCT(EXACT($AE75,Circuits!$A:$A)*ROW(Circuits!$A:$A))))</f>
        <v>-</v>
      </c>
      <c r="Z75" s="108" t="str">
        <f>IFERROR(__xludf.DUMMYFUNCTION("IFNA(CONCATENATE(UNIQUE(FILTER(Connections!R:R,Connections!A:A=B75))),""-"")"),"-")</f>
        <v>-</v>
      </c>
      <c r="AA75" s="119" t="str">
        <f t="array" ref="AA75">IF(ISBLANK($AE75), "-",INDEX(Circuits!Y:Y,SUMPRODUCT(EXACT($AE75,Circuits!$A:$A)*ROW(Circuits!$A:$A))))</f>
        <v>-</v>
      </c>
      <c r="AB75" s="121" t="str">
        <f t="array" ref="AB75">IF(ISBLANK($AE75), "-",INDEX(Circuits!Z:Z,SUMPRODUCT(EXACT($AE75,Circuits!$A:$A)*ROW(Circuits!$A:$A))))</f>
        <v>-</v>
      </c>
      <c r="AC75" s="194"/>
      <c r="AD75" s="194"/>
      <c r="AE75" s="40"/>
      <c r="AF75" s="43"/>
      <c r="AG75" s="126" t="str">
        <f>IFERROR(__xludf.DUMMYFUNCTION("IF(ISBLANK(AF75), """", TEXTJOIN(CHAR(10),TRUE,ARRAYFORMULA(IF(ISERROR(SEARCH(SPLIT(AF75, "";""), $Z75)), ""x"", ""-""))))"),"")</f>
        <v/>
      </c>
      <c r="AH75" s="127" t="str">
        <f>IFERROR(__xludf.DUMMYFUNCTION("IF(ISBLANK(AK75), """", TEXTJOIN("";"" &amp; CHAR(10), TRUE, UNIQUE(SPLIT(AK75, "";"" &amp; CHAR(10)), TRUE))&amp;"";"")"),"")</f>
        <v/>
      </c>
      <c r="AI75" s="128" t="str">
        <f>IFERROR(__xludf.DUMMYFUNCTION("IF(ISBLANK(AD75), IF(ISBLANK(AE75),,IFNA(TEXTJOIN("";"" &amp; CHAR(10), TRUE, FILTER(AE:AE, SEARCH(AE75&amp;"";"", AJ:AJ)))&amp;"";"", """")), TEXTJOIN("";"" &amp; CHAR(10), TRUE, UNIQUE(SPLIT(AH75 &amp; "";"" &amp; AH75 &amp; "";"" &amp; AL75, "";"" &amp; CHAR(10)), TRUE, TRUE))&amp;"";"")"),"")</f>
        <v/>
      </c>
      <c r="AJ75" s="126" t="str">
        <f>IFERROR(__xludf.DUMMYFUNCTION("IF(AN75="""", """", TEXTJOIN("";"" &amp; CHAR(10), TRUE, UNIQUE(SPLIT(AH75 &amp; "";"" &amp; AH75 &amp; "";"" &amp; AN75, "";"" &amp; CHAR(10)), TRUE, TRUE))&amp;"";"")"),"")</f>
        <v/>
      </c>
      <c r="AK75" s="129" t="str">
        <f>IFERROR(__xludf.DUMMYFUNCTION("IF(ISBLANK(AD75), IF(ISBLANK(AE75),,AE75 &amp; "";""), TEXTJOIN(CHAR(10), TRUE, ARRAYFORMULA(VLOOKUP(SPLIT(AD75, "";"" &amp; CHAR(10)), $AC:$AH, 6, FALSE))))"),"")</f>
        <v/>
      </c>
      <c r="AL75" s="130" t="str">
        <f>IFERROR(__xludf.DUMMYFUNCTION("IF(AM75="""", """", TEXTJOIN("";"" &amp; CHAR(10), TRUE, UNIQUE(SPLIT(AM75, "";"" &amp; CHAR(10)), TRUE))&amp;"";"")"),"")</f>
        <v/>
      </c>
      <c r="AM75" s="130" t="str">
        <f>IFERROR(__xludf.DUMMYFUNCTION("IF(ISBLANK(AD75), """", TEXTJOIN(CHAR(10), TRUE, ARRAYFORMULA(VLOOKUP(SPLIT(AH75, "";"" &amp; CHAR(10)), $AE:$AI, 5, FALSE)), AF75))"),"")</f>
        <v/>
      </c>
      <c r="AN75" s="132" t="str">
        <f>IFERROR(__xludf.DUMMYFUNCTION("IF(ISBLANK(AO75), """", TEXTJOIN("";"" &amp; CHAR(10), TRUE, UNIQUE(SPLIT(AO75, "";"" &amp; CHAR(10)), TRUE))&amp;"";"")"),"")</f>
        <v/>
      </c>
      <c r="AO75" s="134" t="str">
        <f>IFERROR(__xludf.DUMMYFUNCTION("IF(ISBLANK(AD75), AF75, TEXTJOIN(CHAR(10), TRUE, ARRAYFORMULA(VLOOKUP(SPLIT(AD75, "";"" &amp; CHAR(10)), $AC:$AN, 12, FALSE))))"),"")</f>
        <v/>
      </c>
      <c r="AP75" s="130" t="str">
        <f>IF(ISBLANK(AE75),,IF(IFERROR(SEARCH(AE75&amp;";",Circuits!$AO$2),0),TRUE,FALSE))</f>
        <v/>
      </c>
      <c r="AQ75" s="130" t="str">
        <f t="shared" si="2"/>
        <v/>
      </c>
      <c r="AR75" s="130" t="str">
        <f t="shared" si="3"/>
        <v/>
      </c>
      <c r="AS75" s="136" t="str">
        <f>IFERROR(__xludf.DUMMYFUNCTION("IF(AH75="""",,SUM(ARRAYFORMULA(IF(IFERROR(SEARCH(SPLIT(AH75,CHAR(10)),Circuits!$AO$2),0)&gt;0,0,1))))"),"")</f>
        <v/>
      </c>
      <c r="AT75" s="138" t="str">
        <f t="shared" si="4"/>
        <v/>
      </c>
      <c r="AU75" s="138" t="str">
        <f t="shared" si="5"/>
        <v/>
      </c>
      <c r="AV75" s="130" t="str">
        <f>IFERROR(__xludf.DUMMYFUNCTION("IF(AI75="""",,TEXTJOIN("", "",TRUE,ARRAYFORMULA(VLOOKUP(SPLIT(AI75,"";""&amp;CHAR(10)),AE:AT,16,FALSE))))"),"")</f>
        <v/>
      </c>
      <c r="AW75" s="130" t="str">
        <f>IFERROR(__xludf.DUMMYFUNCTION("IF(ISBLANK(BK75),,TEXTJOIN("", "",TRUE,ARRAYFORMULA(VLOOKUP(IFERROR(REGEXEXTRACT(SPLIT(BK75,"";""&amp;CHAR(10)),""\[(.+)\]"")),AE:AT,16,false))))"),"")</f>
        <v/>
      </c>
      <c r="AX75" s="139" t="str">
        <f t="shared" si="6"/>
        <v/>
      </c>
      <c r="AY75" s="139" t="str">
        <f t="shared" si="7"/>
        <v/>
      </c>
      <c r="AZ75" s="106" t="str">
        <f>IFERROR(__xludf.DUMMYFUNCTION("IF(ISBLANK(AD75), BC75, TEXTJOIN(CHAR(10) &amp; CHAR(10), TRUE, ARRAYFORMULA(VLOOKUP(SPLIT(AD75, "";"" &amp; CHAR(10)), $AC:$AY, 23, FALSE))))"),"")</f>
        <v/>
      </c>
      <c r="BA75" s="140" t="s">
        <v>66</v>
      </c>
      <c r="BB75" s="190"/>
      <c r="BC75" s="196"/>
      <c r="BD75" s="106" t="str">
        <f>IFERROR(__xludf.DUMMYFUNCTION("IF(IFERROR(SEARCH(""&lt;&lt;mechanism to realize the capability&gt;&gt;"",BA75),0)=0,
 ""!! Error !! “Capability&amp;Mechanism” column: Invalid Separator:"" &amp; CHAR(10) &amp; ""Insert separator “&lt;&lt;mechanism to realize the capability&gt;&gt;.”"",
 IF(
  LEN(TRIM(CLEAN(
    INDEX(
  "&amp;"    SPLIT(BA75,""&lt;&lt;mechanism to realize the capability&gt;&gt;"",FALSE,FALSE),
      1
    )
  )))=0,
  ""!! Error !! “Capability&amp;Mechanism” column: No Capability:""  &amp; CHAR(10) &amp; ""Describe Capability before separator."",
  INDEX(
    SPLIT(BA75,""&lt;&lt;mechanism "&amp;"to realize the capability&gt;&gt;"",FALSE,FALSE),
    1
  )
 )
)
"),"!! Error !! “Capability&amp;Mechanism” column: No Capability:
Describe Capability before separator.")</f>
        <v>!! Error !! “Capability&amp;Mechanism” column: No Capability:
Describe Capability before separator.</v>
      </c>
      <c r="BE75" s="190"/>
      <c r="BF75" s="195"/>
      <c r="BG75" s="42"/>
      <c r="BH75" s="190"/>
      <c r="BI75" s="196"/>
      <c r="BJ75" s="42"/>
      <c r="BK75" s="42"/>
      <c r="BL75" s="203"/>
      <c r="BM75" s="203"/>
      <c r="BN75" s="42"/>
      <c r="BO75" s="42"/>
      <c r="BP75" s="143"/>
      <c r="BQ75" s="143"/>
      <c r="BR75" s="192"/>
      <c r="BS75" s="192"/>
      <c r="BT75" s="192"/>
      <c r="BU75" s="192"/>
      <c r="BV75" s="192"/>
      <c r="BW75" s="192"/>
      <c r="BX75" s="146" t="str">
        <f t="shared" si="8"/>
        <v/>
      </c>
    </row>
    <row r="76">
      <c r="A76" s="106" t="str">
        <f t="shared" si="1"/>
        <v/>
      </c>
      <c r="B76" s="183" t="str">
        <f t="array" ref="B76">IF(ISBLANK($AE76), "-",INDEX(Circuits!A:A,SUMPRODUCT(EXACT($AE76,Circuits!$A:$A)*ROW(Circuits!$A:$A))))</f>
        <v>-</v>
      </c>
      <c r="C76" s="183" t="str">
        <f t="array" ref="C76">IF(ISBLANK($AE76), "-",INDEX(Circuits!B:B,SUMPRODUCT(EXACT($AE76,Circuits!$A:$A)*ROW(Circuits!$A:$A))))</f>
        <v>-</v>
      </c>
      <c r="D76" s="183" t="str">
        <f t="array" ref="D76">IF(ISBLANK($AE76), "-",INDEX(Circuits!C:C,SUMPRODUCT(EXACT($AE76,Circuits!$A:$A)*ROW(Circuits!$A:$A))))</f>
        <v>-</v>
      </c>
      <c r="E76" s="183" t="str">
        <f t="array" ref="E76">IF(ISBLANK($AE76), "-",INDEX(Circuits!D:D,SUMPRODUCT(EXACT($AE76,Circuits!$A:$A)*ROW(Circuits!$A:$A))))</f>
        <v>-</v>
      </c>
      <c r="F76" s="183" t="str">
        <f t="array" ref="F76">IF(ISBLANK($AE76), "-",INDEX(Circuits!E:E,SUMPRODUCT(EXACT($AE76,Circuits!$A:$A)*ROW(Circuits!$A:$A))))</f>
        <v>-</v>
      </c>
      <c r="G76" s="183" t="str">
        <f t="array" ref="G76">IF(ISBLANK($AE76), "-",INDEX(Circuits!F:F,SUMPRODUCT(EXACT($AE76,Circuits!$A:$A)*ROW(Circuits!$A:$A))))</f>
        <v>-</v>
      </c>
      <c r="H76" s="183" t="str">
        <f t="array" ref="H76">IF(ISBLANK($AE76), "-",INDEX(Circuits!G:G,SUMPRODUCT(EXACT($AE76,Circuits!$A:$A)*ROW(Circuits!$A:$A))))</f>
        <v>-</v>
      </c>
      <c r="I76" s="183" t="str">
        <f t="array" ref="I76">IF(ISBLANK($AE76), "-",INDEX(Circuits!H:H,SUMPRODUCT(EXACT($AE76,Circuits!$A:$A)*ROW(Circuits!$A:$A))))</f>
        <v>-</v>
      </c>
      <c r="J76" s="183" t="str">
        <f t="array" ref="J76">IF(ISBLANK($AE76), "-",INDEX(Circuits!I:I,SUMPRODUCT(EXACT($AE76,Circuits!$A:$A)*ROW(Circuits!$A:$A))))</f>
        <v>-</v>
      </c>
      <c r="K76" s="183" t="str">
        <f t="array" ref="K76">IF(ISBLANK($AE76), "-",INDEX(Circuits!J:J,SUMPRODUCT(EXACT($AE76,Circuits!$A:$A)*ROW(Circuits!$A:$A))))</f>
        <v>-</v>
      </c>
      <c r="L76" s="183" t="str">
        <f t="array" ref="L76">IF(ISBLANK($AE76), "-",INDEX(Circuits!K:K,SUMPRODUCT(EXACT($AE76,Circuits!$A:$A)*ROW(Circuits!$A:$A))))</f>
        <v>-</v>
      </c>
      <c r="M76" s="183" t="str">
        <f t="array" ref="M76">IF(ISBLANK($AE76), "-",INDEX(Circuits!L:L,SUMPRODUCT(EXACT($AE76,Circuits!$A:$A)*ROW(Circuits!$A:$A))))</f>
        <v>-</v>
      </c>
      <c r="N76" s="183" t="str">
        <f t="array" ref="N76">IF(ISBLANK($AE76), "-",INDEX(Circuits!M:M,SUMPRODUCT(EXACT($AE76,Circuits!$A:$A)*ROW(Circuits!$A:$A))))</f>
        <v>-</v>
      </c>
      <c r="O76" s="183" t="str">
        <f t="array" ref="O76">IF(ISBLANK($AE76), "-",INDEX(Circuits!N:N,SUMPRODUCT(EXACT($AE76,Circuits!$A:$A)*ROW(Circuits!$A:$A))))</f>
        <v>-</v>
      </c>
      <c r="P76" s="183" t="str">
        <f t="array" ref="P76">IF(ISBLANK($AE76), "-",INDEX(Circuits!O:O,SUMPRODUCT(EXACT($AE76,Circuits!$A:$A)*ROW(Circuits!$A:$A))))</f>
        <v>-</v>
      </c>
      <c r="Q76" s="183" t="str">
        <f t="array" ref="Q76">IF(ISBLANK($AE76), "-",INDEX(Circuits!P:P,SUMPRODUCT(EXACT($AE76,Circuits!$A:$A)*ROW(Circuits!$A:$A))))</f>
        <v>-</v>
      </c>
      <c r="R76" s="183" t="str">
        <f t="array" ref="R76">IF(ISBLANK($AE76), "-",INDEX(Circuits!Q:Q,SUMPRODUCT(EXACT($AE76,Circuits!$A:$A)*ROW(Circuits!$A:$A))))</f>
        <v>-</v>
      </c>
      <c r="S76" s="183" t="str">
        <f t="array" ref="S76">IF(ISBLANK($AE76), "-",INDEX(Circuits!R:R,SUMPRODUCT(EXACT($AE76,Circuits!$A:$A)*ROW(Circuits!$A:$A))))</f>
        <v>-</v>
      </c>
      <c r="T76" s="183" t="str">
        <f t="array" ref="T76">IF(ISBLANK($AE76), "-",INDEX(Circuits!S:S,SUMPRODUCT(EXACT($AE76,Circuits!$A:$A)*ROW(Circuits!$A:$A))))</f>
        <v>-</v>
      </c>
      <c r="U76" s="183" t="str">
        <f t="array" ref="U76">IF(ISBLANK($AE76), "-",INDEX(Circuits!T:T,SUMPRODUCT(EXACT($AE76,Circuits!$A:$A)*ROW(Circuits!$A:$A))))</f>
        <v>-</v>
      </c>
      <c r="V76" s="183" t="str">
        <f t="array" ref="V76">IF(ISBLANK($AE76), "-",INDEX(Circuits!U:U,SUMPRODUCT(EXACT($AE76,Circuits!$A:$A)*ROW(Circuits!$A:$A))))</f>
        <v>-</v>
      </c>
      <c r="W76" s="183" t="str">
        <f t="array" ref="W76">IF(ISBLANK($AE76), "-",INDEX(Circuits!V:V,SUMPRODUCT(EXACT($AE76,Circuits!$A:$A)*ROW(Circuits!$A:$A))))</f>
        <v>-</v>
      </c>
      <c r="X76" s="183" t="str">
        <f t="array" ref="X76">IF(ISBLANK($AE76), "-",INDEX(Circuits!W:W,SUMPRODUCT(EXACT($AE76,Circuits!$A:$A)*ROW(Circuits!$A:$A))))</f>
        <v>-</v>
      </c>
      <c r="Y76" s="183" t="str">
        <f t="array" ref="Y76">IF(ISBLANK($AE76), "-",INDEX(Circuits!X:X,SUMPRODUCT(EXACT($AE76,Circuits!$A:$A)*ROW(Circuits!$A:$A))))</f>
        <v>-</v>
      </c>
      <c r="Z76" s="108" t="str">
        <f>IFERROR(__xludf.DUMMYFUNCTION("IFNA(CONCATENATE(UNIQUE(FILTER(Connections!R:R,Connections!A:A=B76))),""-"")"),"-")</f>
        <v>-</v>
      </c>
      <c r="AA76" s="119" t="str">
        <f t="array" ref="AA76">IF(ISBLANK($AE76), "-",INDEX(Circuits!Y:Y,SUMPRODUCT(EXACT($AE76,Circuits!$A:$A)*ROW(Circuits!$A:$A))))</f>
        <v>-</v>
      </c>
      <c r="AB76" s="121" t="str">
        <f t="array" ref="AB76">IF(ISBLANK($AE76), "-",INDEX(Circuits!Z:Z,SUMPRODUCT(EXACT($AE76,Circuits!$A:$A)*ROW(Circuits!$A:$A))))</f>
        <v>-</v>
      </c>
      <c r="AC76" s="194"/>
      <c r="AD76" s="194"/>
      <c r="AE76" s="40"/>
      <c r="AF76" s="43"/>
      <c r="AG76" s="126" t="str">
        <f>IFERROR(__xludf.DUMMYFUNCTION("IF(ISBLANK(AF76), """", TEXTJOIN(CHAR(10),TRUE,ARRAYFORMULA(IF(ISERROR(SEARCH(SPLIT(AF76, "";""), $Z76)), ""x"", ""-""))))"),"")</f>
        <v/>
      </c>
      <c r="AH76" s="127" t="str">
        <f>IFERROR(__xludf.DUMMYFUNCTION("IF(ISBLANK(AK76), """", TEXTJOIN("";"" &amp; CHAR(10), TRUE, UNIQUE(SPLIT(AK76, "";"" &amp; CHAR(10)), TRUE))&amp;"";"")"),"")</f>
        <v/>
      </c>
      <c r="AI76" s="128" t="str">
        <f>IFERROR(__xludf.DUMMYFUNCTION("IF(ISBLANK(AD76), IF(ISBLANK(AE76),,IFNA(TEXTJOIN("";"" &amp; CHAR(10), TRUE, FILTER(AE:AE, SEARCH(AE76&amp;"";"", AJ:AJ)))&amp;"";"", """")), TEXTJOIN("";"" &amp; CHAR(10), TRUE, UNIQUE(SPLIT(AH76 &amp; "";"" &amp; AH76 &amp; "";"" &amp; AL76, "";"" &amp; CHAR(10)), TRUE, TRUE))&amp;"";"")"),"")</f>
        <v/>
      </c>
      <c r="AJ76" s="126" t="str">
        <f>IFERROR(__xludf.DUMMYFUNCTION("IF(AN76="""", """", TEXTJOIN("";"" &amp; CHAR(10), TRUE, UNIQUE(SPLIT(AH76 &amp; "";"" &amp; AH76 &amp; "";"" &amp; AN76, "";"" &amp; CHAR(10)), TRUE, TRUE))&amp;"";"")"),"")</f>
        <v/>
      </c>
      <c r="AK76" s="129" t="str">
        <f>IFERROR(__xludf.DUMMYFUNCTION("IF(ISBLANK(AD76), IF(ISBLANK(AE76),,AE76 &amp; "";""), TEXTJOIN(CHAR(10), TRUE, ARRAYFORMULA(VLOOKUP(SPLIT(AD76, "";"" &amp; CHAR(10)), $AC:$AH, 6, FALSE))))"),"")</f>
        <v/>
      </c>
      <c r="AL76" s="130" t="str">
        <f>IFERROR(__xludf.DUMMYFUNCTION("IF(AM76="""", """", TEXTJOIN("";"" &amp; CHAR(10), TRUE, UNIQUE(SPLIT(AM76, "";"" &amp; CHAR(10)), TRUE))&amp;"";"")"),"")</f>
        <v/>
      </c>
      <c r="AM76" s="130" t="str">
        <f>IFERROR(__xludf.DUMMYFUNCTION("IF(ISBLANK(AD76), """", TEXTJOIN(CHAR(10), TRUE, ARRAYFORMULA(VLOOKUP(SPLIT(AH76, "";"" &amp; CHAR(10)), $AE:$AI, 5, FALSE)), AF76))"),"")</f>
        <v/>
      </c>
      <c r="AN76" s="132" t="str">
        <f>IFERROR(__xludf.DUMMYFUNCTION("IF(ISBLANK(AO76), """", TEXTJOIN("";"" &amp; CHAR(10), TRUE, UNIQUE(SPLIT(AO76, "";"" &amp; CHAR(10)), TRUE))&amp;"";"")"),"")</f>
        <v/>
      </c>
      <c r="AO76" s="134" t="str">
        <f>IFERROR(__xludf.DUMMYFUNCTION("IF(ISBLANK(AD76), AF76, TEXTJOIN(CHAR(10), TRUE, ARRAYFORMULA(VLOOKUP(SPLIT(AD76, "";"" &amp; CHAR(10)), $AC:$AN, 12, FALSE))))"),"")</f>
        <v/>
      </c>
      <c r="AP76" s="130" t="str">
        <f>IF(ISBLANK(AE76),,IF(IFERROR(SEARCH(AE76&amp;";",Circuits!$AO$2),0),TRUE,FALSE))</f>
        <v/>
      </c>
      <c r="AQ76" s="130" t="str">
        <f t="shared" si="2"/>
        <v/>
      </c>
      <c r="AR76" s="130" t="str">
        <f t="shared" si="3"/>
        <v/>
      </c>
      <c r="AS76" s="136" t="str">
        <f>IFERROR(__xludf.DUMMYFUNCTION("IF(AH76="""",,SUM(ARRAYFORMULA(IF(IFERROR(SEARCH(SPLIT(AH76,CHAR(10)),Circuits!$AO$2),0)&gt;0,0,1))))"),"")</f>
        <v/>
      </c>
      <c r="AT76" s="138" t="str">
        <f t="shared" si="4"/>
        <v/>
      </c>
      <c r="AU76" s="138" t="str">
        <f t="shared" si="5"/>
        <v/>
      </c>
      <c r="AV76" s="130" t="str">
        <f>IFERROR(__xludf.DUMMYFUNCTION("IF(AI76="""",,TEXTJOIN("", "",TRUE,ARRAYFORMULA(VLOOKUP(SPLIT(AI76,"";""&amp;CHAR(10)),AE:AT,16,FALSE))))"),"")</f>
        <v/>
      </c>
      <c r="AW76" s="130" t="str">
        <f>IFERROR(__xludf.DUMMYFUNCTION("IF(ISBLANK(BK76),,TEXTJOIN("", "",TRUE,ARRAYFORMULA(VLOOKUP(IFERROR(REGEXEXTRACT(SPLIT(BK76,"";""&amp;CHAR(10)),""\[(.+)\]"")),AE:AT,16,false))))"),"")</f>
        <v/>
      </c>
      <c r="AX76" s="139" t="str">
        <f t="shared" si="6"/>
        <v/>
      </c>
      <c r="AY76" s="139" t="str">
        <f t="shared" si="7"/>
        <v/>
      </c>
      <c r="AZ76" s="106" t="str">
        <f>IFERROR(__xludf.DUMMYFUNCTION("IF(ISBLANK(AD76), BC76, TEXTJOIN(CHAR(10) &amp; CHAR(10), TRUE, ARRAYFORMULA(VLOOKUP(SPLIT(AD76, "";"" &amp; CHAR(10)), $AC:$AY, 23, FALSE))))"),"")</f>
        <v/>
      </c>
      <c r="BA76" s="140" t="s">
        <v>66</v>
      </c>
      <c r="BB76" s="190"/>
      <c r="BC76" s="196"/>
      <c r="BD76" s="106" t="str">
        <f>IFERROR(__xludf.DUMMYFUNCTION("IF(IFERROR(SEARCH(""&lt;&lt;mechanism to realize the capability&gt;&gt;"",BA76),0)=0,
 ""!! Error !! “Capability&amp;Mechanism” column: Invalid Separator:"" &amp; CHAR(10) &amp; ""Insert separator “&lt;&lt;mechanism to realize the capability&gt;&gt;.”"",
 IF(
  LEN(TRIM(CLEAN(
    INDEX(
  "&amp;"    SPLIT(BA76,""&lt;&lt;mechanism to realize the capability&gt;&gt;"",FALSE,FALSE),
      1
    )
  )))=0,
  ""!! Error !! “Capability&amp;Mechanism” column: No Capability:""  &amp; CHAR(10) &amp; ""Describe Capability before separator."",
  INDEX(
    SPLIT(BA76,""&lt;&lt;mechanism "&amp;"to realize the capability&gt;&gt;"",FALSE,FALSE),
    1
  )
 )
)
"),"!! Error !! “Capability&amp;Mechanism” column: No Capability:
Describe Capability before separator.")</f>
        <v>!! Error !! “Capability&amp;Mechanism” column: No Capability:
Describe Capability before separator.</v>
      </c>
      <c r="BE76" s="190"/>
      <c r="BF76" s="195"/>
      <c r="BG76" s="42"/>
      <c r="BH76" s="190"/>
      <c r="BI76" s="196"/>
      <c r="BJ76" s="42"/>
      <c r="BK76" s="42"/>
      <c r="BL76" s="203"/>
      <c r="BM76" s="203"/>
      <c r="BN76" s="42"/>
      <c r="BO76" s="42"/>
      <c r="BP76" s="143"/>
      <c r="BQ76" s="143"/>
      <c r="BR76" s="192"/>
      <c r="BS76" s="192"/>
      <c r="BT76" s="192"/>
      <c r="BU76" s="192"/>
      <c r="BV76" s="192"/>
      <c r="BW76" s="192"/>
      <c r="BX76" s="146" t="str">
        <f t="shared" si="8"/>
        <v/>
      </c>
    </row>
    <row r="77">
      <c r="A77" s="106" t="str">
        <f t="shared" si="1"/>
        <v/>
      </c>
      <c r="B77" s="183" t="str">
        <f t="array" ref="B77">IF(ISBLANK($AE77), "-",INDEX(Circuits!A:A,SUMPRODUCT(EXACT($AE77,Circuits!$A:$A)*ROW(Circuits!$A:$A))))</f>
        <v>-</v>
      </c>
      <c r="C77" s="183" t="str">
        <f t="array" ref="C77">IF(ISBLANK($AE77), "-",INDEX(Circuits!B:B,SUMPRODUCT(EXACT($AE77,Circuits!$A:$A)*ROW(Circuits!$A:$A))))</f>
        <v>-</v>
      </c>
      <c r="D77" s="183" t="str">
        <f t="array" ref="D77">IF(ISBLANK($AE77), "-",INDEX(Circuits!C:C,SUMPRODUCT(EXACT($AE77,Circuits!$A:$A)*ROW(Circuits!$A:$A))))</f>
        <v>-</v>
      </c>
      <c r="E77" s="183" t="str">
        <f t="array" ref="E77">IF(ISBLANK($AE77), "-",INDEX(Circuits!D:D,SUMPRODUCT(EXACT($AE77,Circuits!$A:$A)*ROW(Circuits!$A:$A))))</f>
        <v>-</v>
      </c>
      <c r="F77" s="183" t="str">
        <f t="array" ref="F77">IF(ISBLANK($AE77), "-",INDEX(Circuits!E:E,SUMPRODUCT(EXACT($AE77,Circuits!$A:$A)*ROW(Circuits!$A:$A))))</f>
        <v>-</v>
      </c>
      <c r="G77" s="183" t="str">
        <f t="array" ref="G77">IF(ISBLANK($AE77), "-",INDEX(Circuits!F:F,SUMPRODUCT(EXACT($AE77,Circuits!$A:$A)*ROW(Circuits!$A:$A))))</f>
        <v>-</v>
      </c>
      <c r="H77" s="183" t="str">
        <f t="array" ref="H77">IF(ISBLANK($AE77), "-",INDEX(Circuits!G:G,SUMPRODUCT(EXACT($AE77,Circuits!$A:$A)*ROW(Circuits!$A:$A))))</f>
        <v>-</v>
      </c>
      <c r="I77" s="183" t="str">
        <f t="array" ref="I77">IF(ISBLANK($AE77), "-",INDEX(Circuits!H:H,SUMPRODUCT(EXACT($AE77,Circuits!$A:$A)*ROW(Circuits!$A:$A))))</f>
        <v>-</v>
      </c>
      <c r="J77" s="183" t="str">
        <f t="array" ref="J77">IF(ISBLANK($AE77), "-",INDEX(Circuits!I:I,SUMPRODUCT(EXACT($AE77,Circuits!$A:$A)*ROW(Circuits!$A:$A))))</f>
        <v>-</v>
      </c>
      <c r="K77" s="183" t="str">
        <f t="array" ref="K77">IF(ISBLANK($AE77), "-",INDEX(Circuits!J:J,SUMPRODUCT(EXACT($AE77,Circuits!$A:$A)*ROW(Circuits!$A:$A))))</f>
        <v>-</v>
      </c>
      <c r="L77" s="183" t="str">
        <f t="array" ref="L77">IF(ISBLANK($AE77), "-",INDEX(Circuits!K:K,SUMPRODUCT(EXACT($AE77,Circuits!$A:$A)*ROW(Circuits!$A:$A))))</f>
        <v>-</v>
      </c>
      <c r="M77" s="183" t="str">
        <f t="array" ref="M77">IF(ISBLANK($AE77), "-",INDEX(Circuits!L:L,SUMPRODUCT(EXACT($AE77,Circuits!$A:$A)*ROW(Circuits!$A:$A))))</f>
        <v>-</v>
      </c>
      <c r="N77" s="183" t="str">
        <f t="array" ref="N77">IF(ISBLANK($AE77), "-",INDEX(Circuits!M:M,SUMPRODUCT(EXACT($AE77,Circuits!$A:$A)*ROW(Circuits!$A:$A))))</f>
        <v>-</v>
      </c>
      <c r="O77" s="183" t="str">
        <f t="array" ref="O77">IF(ISBLANK($AE77), "-",INDEX(Circuits!N:N,SUMPRODUCT(EXACT($AE77,Circuits!$A:$A)*ROW(Circuits!$A:$A))))</f>
        <v>-</v>
      </c>
      <c r="P77" s="183" t="str">
        <f t="array" ref="P77">IF(ISBLANK($AE77), "-",INDEX(Circuits!O:O,SUMPRODUCT(EXACT($AE77,Circuits!$A:$A)*ROW(Circuits!$A:$A))))</f>
        <v>-</v>
      </c>
      <c r="Q77" s="183" t="str">
        <f t="array" ref="Q77">IF(ISBLANK($AE77), "-",INDEX(Circuits!P:P,SUMPRODUCT(EXACT($AE77,Circuits!$A:$A)*ROW(Circuits!$A:$A))))</f>
        <v>-</v>
      </c>
      <c r="R77" s="183" t="str">
        <f t="array" ref="R77">IF(ISBLANK($AE77), "-",INDEX(Circuits!Q:Q,SUMPRODUCT(EXACT($AE77,Circuits!$A:$A)*ROW(Circuits!$A:$A))))</f>
        <v>-</v>
      </c>
      <c r="S77" s="183" t="str">
        <f t="array" ref="S77">IF(ISBLANK($AE77), "-",INDEX(Circuits!R:R,SUMPRODUCT(EXACT($AE77,Circuits!$A:$A)*ROW(Circuits!$A:$A))))</f>
        <v>-</v>
      </c>
      <c r="T77" s="183" t="str">
        <f t="array" ref="T77">IF(ISBLANK($AE77), "-",INDEX(Circuits!S:S,SUMPRODUCT(EXACT($AE77,Circuits!$A:$A)*ROW(Circuits!$A:$A))))</f>
        <v>-</v>
      </c>
      <c r="U77" s="183" t="str">
        <f t="array" ref="U77">IF(ISBLANK($AE77), "-",INDEX(Circuits!T:T,SUMPRODUCT(EXACT($AE77,Circuits!$A:$A)*ROW(Circuits!$A:$A))))</f>
        <v>-</v>
      </c>
      <c r="V77" s="183" t="str">
        <f t="array" ref="V77">IF(ISBLANK($AE77), "-",INDEX(Circuits!U:U,SUMPRODUCT(EXACT($AE77,Circuits!$A:$A)*ROW(Circuits!$A:$A))))</f>
        <v>-</v>
      </c>
      <c r="W77" s="183" t="str">
        <f t="array" ref="W77">IF(ISBLANK($AE77), "-",INDEX(Circuits!V:V,SUMPRODUCT(EXACT($AE77,Circuits!$A:$A)*ROW(Circuits!$A:$A))))</f>
        <v>-</v>
      </c>
      <c r="X77" s="183" t="str">
        <f t="array" ref="X77">IF(ISBLANK($AE77), "-",INDEX(Circuits!W:W,SUMPRODUCT(EXACT($AE77,Circuits!$A:$A)*ROW(Circuits!$A:$A))))</f>
        <v>-</v>
      </c>
      <c r="Y77" s="183" t="str">
        <f t="array" ref="Y77">IF(ISBLANK($AE77), "-",INDEX(Circuits!X:X,SUMPRODUCT(EXACT($AE77,Circuits!$A:$A)*ROW(Circuits!$A:$A))))</f>
        <v>-</v>
      </c>
      <c r="Z77" s="108" t="str">
        <f>IFERROR(__xludf.DUMMYFUNCTION("IFNA(CONCATENATE(UNIQUE(FILTER(Connections!R:R,Connections!A:A=B77))),""-"")"),"-")</f>
        <v>-</v>
      </c>
      <c r="AA77" s="119" t="str">
        <f t="array" ref="AA77">IF(ISBLANK($AE77), "-",INDEX(Circuits!Y:Y,SUMPRODUCT(EXACT($AE77,Circuits!$A:$A)*ROW(Circuits!$A:$A))))</f>
        <v>-</v>
      </c>
      <c r="AB77" s="121" t="str">
        <f t="array" ref="AB77">IF(ISBLANK($AE77), "-",INDEX(Circuits!Z:Z,SUMPRODUCT(EXACT($AE77,Circuits!$A:$A)*ROW(Circuits!$A:$A))))</f>
        <v>-</v>
      </c>
      <c r="AC77" s="194"/>
      <c r="AD77" s="194"/>
      <c r="AE77" s="40"/>
      <c r="AF77" s="47"/>
      <c r="AG77" s="126" t="str">
        <f>IFERROR(__xludf.DUMMYFUNCTION("IF(ISBLANK(AF77), """", TEXTJOIN(CHAR(10),TRUE,ARRAYFORMULA(IF(ISERROR(SEARCH(SPLIT(AF77, "";""), $Z77)), ""x"", ""-""))))"),"")</f>
        <v/>
      </c>
      <c r="AH77" s="127" t="str">
        <f>IFERROR(__xludf.DUMMYFUNCTION("IF(ISBLANK(AK77), """", TEXTJOIN("";"" &amp; CHAR(10), TRUE, UNIQUE(SPLIT(AK77, "";"" &amp; CHAR(10)), TRUE))&amp;"";"")"),"")</f>
        <v/>
      </c>
      <c r="AI77" s="128" t="str">
        <f>IFERROR(__xludf.DUMMYFUNCTION("IF(ISBLANK(AD77), IF(ISBLANK(AE77),,IFNA(TEXTJOIN("";"" &amp; CHAR(10), TRUE, FILTER(AE:AE, SEARCH(AE77&amp;"";"", AJ:AJ)))&amp;"";"", """")), TEXTJOIN("";"" &amp; CHAR(10), TRUE, UNIQUE(SPLIT(AH77 &amp; "";"" &amp; AH77 &amp; "";"" &amp; AL77, "";"" &amp; CHAR(10)), TRUE, TRUE))&amp;"";"")"),"")</f>
        <v/>
      </c>
      <c r="AJ77" s="126" t="str">
        <f>IFERROR(__xludf.DUMMYFUNCTION("IF(AN77="""", """", TEXTJOIN("";"" &amp; CHAR(10), TRUE, UNIQUE(SPLIT(AH77 &amp; "";"" &amp; AH77 &amp; "";"" &amp; AN77, "";"" &amp; CHAR(10)), TRUE, TRUE))&amp;"";"")"),"")</f>
        <v/>
      </c>
      <c r="AK77" s="129" t="str">
        <f>IFERROR(__xludf.DUMMYFUNCTION("IF(ISBLANK(AD77), IF(ISBLANK(AE77),,AE77 &amp; "";""), TEXTJOIN(CHAR(10), TRUE, ARRAYFORMULA(VLOOKUP(SPLIT(AD77, "";"" &amp; CHAR(10)), $AC:$AH, 6, FALSE))))"),"")</f>
        <v/>
      </c>
      <c r="AL77" s="130" t="str">
        <f>IFERROR(__xludf.DUMMYFUNCTION("IF(AM77="""", """", TEXTJOIN("";"" &amp; CHAR(10), TRUE, UNIQUE(SPLIT(AM77, "";"" &amp; CHAR(10)), TRUE))&amp;"";"")"),"")</f>
        <v/>
      </c>
      <c r="AM77" s="130" t="str">
        <f>IFERROR(__xludf.DUMMYFUNCTION("IF(ISBLANK(AD77), """", TEXTJOIN(CHAR(10), TRUE, ARRAYFORMULA(VLOOKUP(SPLIT(AH77, "";"" &amp; CHAR(10)), $AE:$AI, 5, FALSE)), AF77))"),"")</f>
        <v/>
      </c>
      <c r="AN77" s="132" t="str">
        <f>IFERROR(__xludf.DUMMYFUNCTION("IF(ISBLANK(AO77), """", TEXTJOIN("";"" &amp; CHAR(10), TRUE, UNIQUE(SPLIT(AO77, "";"" &amp; CHAR(10)), TRUE))&amp;"";"")"),"")</f>
        <v/>
      </c>
      <c r="AO77" s="134" t="str">
        <f>IFERROR(__xludf.DUMMYFUNCTION("IF(ISBLANK(AD77), AF77, TEXTJOIN(CHAR(10), TRUE, ARRAYFORMULA(VLOOKUP(SPLIT(AD77, "";"" &amp; CHAR(10)), $AC:$AN, 12, FALSE))))"),"")</f>
        <v/>
      </c>
      <c r="AP77" s="130" t="str">
        <f>IF(ISBLANK(AE77),,IF(IFERROR(SEARCH(AE77&amp;";",Circuits!$AO$2),0),TRUE,FALSE))</f>
        <v/>
      </c>
      <c r="AQ77" s="130" t="str">
        <f t="shared" si="2"/>
        <v/>
      </c>
      <c r="AR77" s="130" t="str">
        <f t="shared" si="3"/>
        <v/>
      </c>
      <c r="AS77" s="136" t="str">
        <f>IFERROR(__xludf.DUMMYFUNCTION("IF(AH77="""",,SUM(ARRAYFORMULA(IF(IFERROR(SEARCH(SPLIT(AH77,CHAR(10)),Circuits!$AO$2),0)&gt;0,0,1))))"),"")</f>
        <v/>
      </c>
      <c r="AT77" s="138" t="str">
        <f t="shared" si="4"/>
        <v/>
      </c>
      <c r="AU77" s="138" t="str">
        <f t="shared" si="5"/>
        <v/>
      </c>
      <c r="AV77" s="130" t="str">
        <f>IFERROR(__xludf.DUMMYFUNCTION("IF(AI77="""",,TEXTJOIN("", "",TRUE,ARRAYFORMULA(VLOOKUP(SPLIT(AI77,"";""&amp;CHAR(10)),AE:AT,16,FALSE))))"),"")</f>
        <v/>
      </c>
      <c r="AW77" s="130" t="str">
        <f>IFERROR(__xludf.DUMMYFUNCTION("IF(ISBLANK(BK77),,TEXTJOIN("", "",TRUE,ARRAYFORMULA(VLOOKUP(IFERROR(REGEXEXTRACT(SPLIT(BK77,"";""&amp;CHAR(10)),""\[(.+)\]"")),AE:AT,16,false))))"),"")</f>
        <v/>
      </c>
      <c r="AX77" s="139" t="str">
        <f t="shared" si="6"/>
        <v/>
      </c>
      <c r="AY77" s="139" t="str">
        <f t="shared" si="7"/>
        <v/>
      </c>
      <c r="AZ77" s="106" t="str">
        <f>IFERROR(__xludf.DUMMYFUNCTION("IF(ISBLANK(AD77), BC77, TEXTJOIN(CHAR(10) &amp; CHAR(10), TRUE, ARRAYFORMULA(VLOOKUP(SPLIT(AD77, "";"" &amp; CHAR(10)), $AC:$AY, 23, FALSE))))"),"")</f>
        <v/>
      </c>
      <c r="BA77" s="140" t="s">
        <v>66</v>
      </c>
      <c r="BB77" s="190"/>
      <c r="BC77" s="196"/>
      <c r="BD77" s="106" t="str">
        <f>IFERROR(__xludf.DUMMYFUNCTION("IF(IFERROR(SEARCH(""&lt;&lt;mechanism to realize the capability&gt;&gt;"",BA77),0)=0,
 ""!! Error !! “Capability&amp;Mechanism” column: Invalid Separator:"" &amp; CHAR(10) &amp; ""Insert separator “&lt;&lt;mechanism to realize the capability&gt;&gt;.”"",
 IF(
  LEN(TRIM(CLEAN(
    INDEX(
  "&amp;"    SPLIT(BA77,""&lt;&lt;mechanism to realize the capability&gt;&gt;"",FALSE,FALSE),
      1
    )
  )))=0,
  ""!! Error !! “Capability&amp;Mechanism” column: No Capability:""  &amp; CHAR(10) &amp; ""Describe Capability before separator."",
  INDEX(
    SPLIT(BA77,""&lt;&lt;mechanism "&amp;"to realize the capability&gt;&gt;"",FALSE,FALSE),
    1
  )
 )
)
"),"!! Error !! “Capability&amp;Mechanism” column: No Capability:
Describe Capability before separator.")</f>
        <v>!! Error !! “Capability&amp;Mechanism” column: No Capability:
Describe Capability before separator.</v>
      </c>
      <c r="BE77" s="190"/>
      <c r="BF77" s="195"/>
      <c r="BG77" s="42"/>
      <c r="BH77" s="190"/>
      <c r="BI77" s="196"/>
      <c r="BJ77" s="42"/>
      <c r="BK77" s="42"/>
      <c r="BL77" s="203"/>
      <c r="BM77" s="203"/>
      <c r="BN77" s="42"/>
      <c r="BO77" s="42"/>
      <c r="BP77" s="143"/>
      <c r="BQ77" s="143"/>
      <c r="BR77" s="192"/>
      <c r="BS77" s="192"/>
      <c r="BT77" s="192"/>
      <c r="BU77" s="192"/>
      <c r="BV77" s="192"/>
      <c r="BW77" s="192"/>
      <c r="BX77" s="146" t="str">
        <f t="shared" si="8"/>
        <v/>
      </c>
    </row>
    <row r="78">
      <c r="A78" s="106" t="str">
        <f t="shared" si="1"/>
        <v/>
      </c>
      <c r="B78" s="183" t="str">
        <f t="array" ref="B78">IF(ISBLANK($AE78), "-",INDEX(Circuits!A:A,SUMPRODUCT(EXACT($AE78,Circuits!$A:$A)*ROW(Circuits!$A:$A))))</f>
        <v>-</v>
      </c>
      <c r="C78" s="183" t="str">
        <f t="array" ref="C78">IF(ISBLANK($AE78), "-",INDEX(Circuits!B:B,SUMPRODUCT(EXACT($AE78,Circuits!$A:$A)*ROW(Circuits!$A:$A))))</f>
        <v>-</v>
      </c>
      <c r="D78" s="183" t="str">
        <f t="array" ref="D78">IF(ISBLANK($AE78), "-",INDEX(Circuits!C:C,SUMPRODUCT(EXACT($AE78,Circuits!$A:$A)*ROW(Circuits!$A:$A))))</f>
        <v>-</v>
      </c>
      <c r="E78" s="183" t="str">
        <f t="array" ref="E78">IF(ISBLANK($AE78), "-",INDEX(Circuits!D:D,SUMPRODUCT(EXACT($AE78,Circuits!$A:$A)*ROW(Circuits!$A:$A))))</f>
        <v>-</v>
      </c>
      <c r="F78" s="183" t="str">
        <f t="array" ref="F78">IF(ISBLANK($AE78), "-",INDEX(Circuits!E:E,SUMPRODUCT(EXACT($AE78,Circuits!$A:$A)*ROW(Circuits!$A:$A))))</f>
        <v>-</v>
      </c>
      <c r="G78" s="183" t="str">
        <f t="array" ref="G78">IF(ISBLANK($AE78), "-",INDEX(Circuits!F:F,SUMPRODUCT(EXACT($AE78,Circuits!$A:$A)*ROW(Circuits!$A:$A))))</f>
        <v>-</v>
      </c>
      <c r="H78" s="183" t="str">
        <f t="array" ref="H78">IF(ISBLANK($AE78), "-",INDEX(Circuits!G:G,SUMPRODUCT(EXACT($AE78,Circuits!$A:$A)*ROW(Circuits!$A:$A))))</f>
        <v>-</v>
      </c>
      <c r="I78" s="183" t="str">
        <f t="array" ref="I78">IF(ISBLANK($AE78), "-",INDEX(Circuits!H:H,SUMPRODUCT(EXACT($AE78,Circuits!$A:$A)*ROW(Circuits!$A:$A))))</f>
        <v>-</v>
      </c>
      <c r="J78" s="183" t="str">
        <f t="array" ref="J78">IF(ISBLANK($AE78), "-",INDEX(Circuits!I:I,SUMPRODUCT(EXACT($AE78,Circuits!$A:$A)*ROW(Circuits!$A:$A))))</f>
        <v>-</v>
      </c>
      <c r="K78" s="183" t="str">
        <f t="array" ref="K78">IF(ISBLANK($AE78), "-",INDEX(Circuits!J:J,SUMPRODUCT(EXACT($AE78,Circuits!$A:$A)*ROW(Circuits!$A:$A))))</f>
        <v>-</v>
      </c>
      <c r="L78" s="183" t="str">
        <f t="array" ref="L78">IF(ISBLANK($AE78), "-",INDEX(Circuits!K:K,SUMPRODUCT(EXACT($AE78,Circuits!$A:$A)*ROW(Circuits!$A:$A))))</f>
        <v>-</v>
      </c>
      <c r="M78" s="183" t="str">
        <f t="array" ref="M78">IF(ISBLANK($AE78), "-",INDEX(Circuits!L:L,SUMPRODUCT(EXACT($AE78,Circuits!$A:$A)*ROW(Circuits!$A:$A))))</f>
        <v>-</v>
      </c>
      <c r="N78" s="183" t="str">
        <f t="array" ref="N78">IF(ISBLANK($AE78), "-",INDEX(Circuits!M:M,SUMPRODUCT(EXACT($AE78,Circuits!$A:$A)*ROW(Circuits!$A:$A))))</f>
        <v>-</v>
      </c>
      <c r="O78" s="183" t="str">
        <f t="array" ref="O78">IF(ISBLANK($AE78), "-",INDEX(Circuits!N:N,SUMPRODUCT(EXACT($AE78,Circuits!$A:$A)*ROW(Circuits!$A:$A))))</f>
        <v>-</v>
      </c>
      <c r="P78" s="183" t="str">
        <f t="array" ref="P78">IF(ISBLANK($AE78), "-",INDEX(Circuits!O:O,SUMPRODUCT(EXACT($AE78,Circuits!$A:$A)*ROW(Circuits!$A:$A))))</f>
        <v>-</v>
      </c>
      <c r="Q78" s="183" t="str">
        <f t="array" ref="Q78">IF(ISBLANK($AE78), "-",INDEX(Circuits!P:P,SUMPRODUCT(EXACT($AE78,Circuits!$A:$A)*ROW(Circuits!$A:$A))))</f>
        <v>-</v>
      </c>
      <c r="R78" s="183" t="str">
        <f t="array" ref="R78">IF(ISBLANK($AE78), "-",INDEX(Circuits!Q:Q,SUMPRODUCT(EXACT($AE78,Circuits!$A:$A)*ROW(Circuits!$A:$A))))</f>
        <v>-</v>
      </c>
      <c r="S78" s="183" t="str">
        <f t="array" ref="S78">IF(ISBLANK($AE78), "-",INDEX(Circuits!R:R,SUMPRODUCT(EXACT($AE78,Circuits!$A:$A)*ROW(Circuits!$A:$A))))</f>
        <v>-</v>
      </c>
      <c r="T78" s="183" t="str">
        <f t="array" ref="T78">IF(ISBLANK($AE78), "-",INDEX(Circuits!S:S,SUMPRODUCT(EXACT($AE78,Circuits!$A:$A)*ROW(Circuits!$A:$A))))</f>
        <v>-</v>
      </c>
      <c r="U78" s="183" t="str">
        <f t="array" ref="U78">IF(ISBLANK($AE78), "-",INDEX(Circuits!T:T,SUMPRODUCT(EXACT($AE78,Circuits!$A:$A)*ROW(Circuits!$A:$A))))</f>
        <v>-</v>
      </c>
      <c r="V78" s="183" t="str">
        <f t="array" ref="V78">IF(ISBLANK($AE78), "-",INDEX(Circuits!U:U,SUMPRODUCT(EXACT($AE78,Circuits!$A:$A)*ROW(Circuits!$A:$A))))</f>
        <v>-</v>
      </c>
      <c r="W78" s="183" t="str">
        <f t="array" ref="W78">IF(ISBLANK($AE78), "-",INDEX(Circuits!V:V,SUMPRODUCT(EXACT($AE78,Circuits!$A:$A)*ROW(Circuits!$A:$A))))</f>
        <v>-</v>
      </c>
      <c r="X78" s="183" t="str">
        <f t="array" ref="X78">IF(ISBLANK($AE78), "-",INDEX(Circuits!W:W,SUMPRODUCT(EXACT($AE78,Circuits!$A:$A)*ROW(Circuits!$A:$A))))</f>
        <v>-</v>
      </c>
      <c r="Y78" s="183" t="str">
        <f t="array" ref="Y78">IF(ISBLANK($AE78), "-",INDEX(Circuits!X:X,SUMPRODUCT(EXACT($AE78,Circuits!$A:$A)*ROW(Circuits!$A:$A))))</f>
        <v>-</v>
      </c>
      <c r="Z78" s="108" t="str">
        <f>IFERROR(__xludf.DUMMYFUNCTION("IFNA(CONCATENATE(UNIQUE(FILTER(Connections!R:R,Connections!A:A=B78))),""-"")"),"-")</f>
        <v>-</v>
      </c>
      <c r="AA78" s="119" t="str">
        <f t="array" ref="AA78">IF(ISBLANK($AE78), "-",INDEX(Circuits!Y:Y,SUMPRODUCT(EXACT($AE78,Circuits!$A:$A)*ROW(Circuits!$A:$A))))</f>
        <v>-</v>
      </c>
      <c r="AB78" s="121" t="str">
        <f t="array" ref="AB78">IF(ISBLANK($AE78), "-",INDEX(Circuits!Z:Z,SUMPRODUCT(EXACT($AE78,Circuits!$A:$A)*ROW(Circuits!$A:$A))))</f>
        <v>-</v>
      </c>
      <c r="AC78" s="194"/>
      <c r="AD78" s="194"/>
      <c r="AE78" s="40"/>
      <c r="AF78" s="47"/>
      <c r="AG78" s="126" t="str">
        <f>IFERROR(__xludf.DUMMYFUNCTION("IF(ISBLANK(AF78), """", TEXTJOIN(CHAR(10),TRUE,ARRAYFORMULA(IF(ISERROR(SEARCH(SPLIT(AF78, "";""), $Z78)), ""x"", ""-""))))"),"")</f>
        <v/>
      </c>
      <c r="AH78" s="127" t="str">
        <f>IFERROR(__xludf.DUMMYFUNCTION("IF(ISBLANK(AK78), """", TEXTJOIN("";"" &amp; CHAR(10), TRUE, UNIQUE(SPLIT(AK78, "";"" &amp; CHAR(10)), TRUE))&amp;"";"")"),"")</f>
        <v/>
      </c>
      <c r="AI78" s="128" t="str">
        <f>IFERROR(__xludf.DUMMYFUNCTION("IF(ISBLANK(AD78), IF(ISBLANK(AE78),,IFNA(TEXTJOIN("";"" &amp; CHAR(10), TRUE, FILTER(AE:AE, SEARCH(AE78&amp;"";"", AJ:AJ)))&amp;"";"", """")), TEXTJOIN("";"" &amp; CHAR(10), TRUE, UNIQUE(SPLIT(AH78 &amp; "";"" &amp; AH78 &amp; "";"" &amp; AL78, "";"" &amp; CHAR(10)), TRUE, TRUE))&amp;"";"")"),"")</f>
        <v/>
      </c>
      <c r="AJ78" s="126" t="str">
        <f>IFERROR(__xludf.DUMMYFUNCTION("IF(AN78="""", """", TEXTJOIN("";"" &amp; CHAR(10), TRUE, UNIQUE(SPLIT(AH78 &amp; "";"" &amp; AH78 &amp; "";"" &amp; AN78, "";"" &amp; CHAR(10)), TRUE, TRUE))&amp;"";"")"),"")</f>
        <v/>
      </c>
      <c r="AK78" s="129" t="str">
        <f>IFERROR(__xludf.DUMMYFUNCTION("IF(ISBLANK(AD78), IF(ISBLANK(AE78),,AE78 &amp; "";""), TEXTJOIN(CHAR(10), TRUE, ARRAYFORMULA(VLOOKUP(SPLIT(AD78, "";"" &amp; CHAR(10)), $AC:$AH, 6, FALSE))))"),"")</f>
        <v/>
      </c>
      <c r="AL78" s="130" t="str">
        <f>IFERROR(__xludf.DUMMYFUNCTION("IF(AM78="""", """", TEXTJOIN("";"" &amp; CHAR(10), TRUE, UNIQUE(SPLIT(AM78, "";"" &amp; CHAR(10)), TRUE))&amp;"";"")"),"")</f>
        <v/>
      </c>
      <c r="AM78" s="130" t="str">
        <f>IFERROR(__xludf.DUMMYFUNCTION("IF(ISBLANK(AD78), """", TEXTJOIN(CHAR(10), TRUE, ARRAYFORMULA(VLOOKUP(SPLIT(AH78, "";"" &amp; CHAR(10)), $AE:$AI, 5, FALSE)), AF78))"),"")</f>
        <v/>
      </c>
      <c r="AN78" s="132" t="str">
        <f>IFERROR(__xludf.DUMMYFUNCTION("IF(ISBLANK(AO78), """", TEXTJOIN("";"" &amp; CHAR(10), TRUE, UNIQUE(SPLIT(AO78, "";"" &amp; CHAR(10)), TRUE))&amp;"";"")"),"")</f>
        <v/>
      </c>
      <c r="AO78" s="134" t="str">
        <f>IFERROR(__xludf.DUMMYFUNCTION("IF(ISBLANK(AD78), AF78, TEXTJOIN(CHAR(10), TRUE, ARRAYFORMULA(VLOOKUP(SPLIT(AD78, "";"" &amp; CHAR(10)), $AC:$AN, 12, FALSE))))"),"")</f>
        <v/>
      </c>
      <c r="AP78" s="130" t="str">
        <f>IF(ISBLANK(AE78),,IF(IFERROR(SEARCH(AE78&amp;";",Circuits!$AO$2),0),TRUE,FALSE))</f>
        <v/>
      </c>
      <c r="AQ78" s="130" t="str">
        <f t="shared" si="2"/>
        <v/>
      </c>
      <c r="AR78" s="130" t="str">
        <f t="shared" si="3"/>
        <v/>
      </c>
      <c r="AS78" s="136" t="str">
        <f>IFERROR(__xludf.DUMMYFUNCTION("IF(AH78="""",,SUM(ARRAYFORMULA(IF(IFERROR(SEARCH(SPLIT(AH78,CHAR(10)),Circuits!$AO$2),0)&gt;0,0,1))))"),"")</f>
        <v/>
      </c>
      <c r="AT78" s="138" t="str">
        <f t="shared" si="4"/>
        <v/>
      </c>
      <c r="AU78" s="138" t="str">
        <f t="shared" si="5"/>
        <v/>
      </c>
      <c r="AV78" s="130" t="str">
        <f>IFERROR(__xludf.DUMMYFUNCTION("IF(AI78="""",,TEXTJOIN("", "",TRUE,ARRAYFORMULA(VLOOKUP(SPLIT(AI78,"";""&amp;CHAR(10)),AE:AT,16,FALSE))))"),"")</f>
        <v/>
      </c>
      <c r="AW78" s="130" t="str">
        <f>IFERROR(__xludf.DUMMYFUNCTION("IF(ISBLANK(BK78),,TEXTJOIN("", "",TRUE,ARRAYFORMULA(VLOOKUP(IFERROR(REGEXEXTRACT(SPLIT(BK78,"";""&amp;CHAR(10)),""\[(.+)\]"")),AE:AT,16,false))))"),"")</f>
        <v/>
      </c>
      <c r="AX78" s="139" t="str">
        <f t="shared" si="6"/>
        <v/>
      </c>
      <c r="AY78" s="139" t="str">
        <f t="shared" si="7"/>
        <v/>
      </c>
      <c r="AZ78" s="106" t="str">
        <f>IFERROR(__xludf.DUMMYFUNCTION("IF(ISBLANK(AD78), BC78, TEXTJOIN(CHAR(10) &amp; CHAR(10), TRUE, ARRAYFORMULA(VLOOKUP(SPLIT(AD78, "";"" &amp; CHAR(10)), $AC:$AY, 23, FALSE))))"),"")</f>
        <v/>
      </c>
      <c r="BA78" s="140" t="s">
        <v>66</v>
      </c>
      <c r="BB78" s="190"/>
      <c r="BC78" s="196"/>
      <c r="BD78" s="106" t="str">
        <f>IFERROR(__xludf.DUMMYFUNCTION("IF(IFERROR(SEARCH(""&lt;&lt;mechanism to realize the capability&gt;&gt;"",BA78),0)=0,
 ""!! Error !! “Capability&amp;Mechanism” column: Invalid Separator:"" &amp; CHAR(10) &amp; ""Insert separator “&lt;&lt;mechanism to realize the capability&gt;&gt;.”"",
 IF(
  LEN(TRIM(CLEAN(
    INDEX(
  "&amp;"    SPLIT(BA78,""&lt;&lt;mechanism to realize the capability&gt;&gt;"",FALSE,FALSE),
      1
    )
  )))=0,
  ""!! Error !! “Capability&amp;Mechanism” column: No Capability:""  &amp; CHAR(10) &amp; ""Describe Capability before separator."",
  INDEX(
    SPLIT(BA78,""&lt;&lt;mechanism "&amp;"to realize the capability&gt;&gt;"",FALSE,FALSE),
    1
  )
 )
)
"),"!! Error !! “Capability&amp;Mechanism” column: No Capability:
Describe Capability before separator.")</f>
        <v>!! Error !! “Capability&amp;Mechanism” column: No Capability:
Describe Capability before separator.</v>
      </c>
      <c r="BE78" s="190"/>
      <c r="BF78" s="195"/>
      <c r="BG78" s="42"/>
      <c r="BH78" s="190"/>
      <c r="BI78" s="196"/>
      <c r="BJ78" s="42"/>
      <c r="BK78" s="42"/>
      <c r="BL78" s="203"/>
      <c r="BM78" s="203"/>
      <c r="BN78" s="42"/>
      <c r="BO78" s="42"/>
      <c r="BP78" s="143"/>
      <c r="BQ78" s="143"/>
      <c r="BR78" s="192"/>
      <c r="BS78" s="192"/>
      <c r="BT78" s="192"/>
      <c r="BU78" s="192"/>
      <c r="BV78" s="192"/>
      <c r="BW78" s="192"/>
      <c r="BX78" s="146" t="str">
        <f t="shared" si="8"/>
        <v/>
      </c>
    </row>
    <row r="79">
      <c r="A79" s="106" t="str">
        <f t="shared" si="1"/>
        <v/>
      </c>
      <c r="B79" s="183" t="str">
        <f t="array" ref="B79">IF(ISBLANK($AE79), "-",INDEX(Circuits!A:A,SUMPRODUCT(EXACT($AE79,Circuits!$A:$A)*ROW(Circuits!$A:$A))))</f>
        <v>-</v>
      </c>
      <c r="C79" s="183" t="str">
        <f t="array" ref="C79">IF(ISBLANK($AE79), "-",INDEX(Circuits!B:B,SUMPRODUCT(EXACT($AE79,Circuits!$A:$A)*ROW(Circuits!$A:$A))))</f>
        <v>-</v>
      </c>
      <c r="D79" s="183" t="str">
        <f t="array" ref="D79">IF(ISBLANK($AE79), "-",INDEX(Circuits!C:C,SUMPRODUCT(EXACT($AE79,Circuits!$A:$A)*ROW(Circuits!$A:$A))))</f>
        <v>-</v>
      </c>
      <c r="E79" s="183" t="str">
        <f t="array" ref="E79">IF(ISBLANK($AE79), "-",INDEX(Circuits!D:D,SUMPRODUCT(EXACT($AE79,Circuits!$A:$A)*ROW(Circuits!$A:$A))))</f>
        <v>-</v>
      </c>
      <c r="F79" s="183" t="str">
        <f t="array" ref="F79">IF(ISBLANK($AE79), "-",INDEX(Circuits!E:E,SUMPRODUCT(EXACT($AE79,Circuits!$A:$A)*ROW(Circuits!$A:$A))))</f>
        <v>-</v>
      </c>
      <c r="G79" s="183" t="str">
        <f t="array" ref="G79">IF(ISBLANK($AE79), "-",INDEX(Circuits!F:F,SUMPRODUCT(EXACT($AE79,Circuits!$A:$A)*ROW(Circuits!$A:$A))))</f>
        <v>-</v>
      </c>
      <c r="H79" s="183" t="str">
        <f t="array" ref="H79">IF(ISBLANK($AE79), "-",INDEX(Circuits!G:G,SUMPRODUCT(EXACT($AE79,Circuits!$A:$A)*ROW(Circuits!$A:$A))))</f>
        <v>-</v>
      </c>
      <c r="I79" s="183" t="str">
        <f t="array" ref="I79">IF(ISBLANK($AE79), "-",INDEX(Circuits!H:H,SUMPRODUCT(EXACT($AE79,Circuits!$A:$A)*ROW(Circuits!$A:$A))))</f>
        <v>-</v>
      </c>
      <c r="J79" s="183" t="str">
        <f t="array" ref="J79">IF(ISBLANK($AE79), "-",INDEX(Circuits!I:I,SUMPRODUCT(EXACT($AE79,Circuits!$A:$A)*ROW(Circuits!$A:$A))))</f>
        <v>-</v>
      </c>
      <c r="K79" s="183" t="str">
        <f t="array" ref="K79">IF(ISBLANK($AE79), "-",INDEX(Circuits!J:J,SUMPRODUCT(EXACT($AE79,Circuits!$A:$A)*ROW(Circuits!$A:$A))))</f>
        <v>-</v>
      </c>
      <c r="L79" s="183" t="str">
        <f t="array" ref="L79">IF(ISBLANK($AE79), "-",INDEX(Circuits!K:K,SUMPRODUCT(EXACT($AE79,Circuits!$A:$A)*ROW(Circuits!$A:$A))))</f>
        <v>-</v>
      </c>
      <c r="M79" s="183" t="str">
        <f t="array" ref="M79">IF(ISBLANK($AE79), "-",INDEX(Circuits!L:L,SUMPRODUCT(EXACT($AE79,Circuits!$A:$A)*ROW(Circuits!$A:$A))))</f>
        <v>-</v>
      </c>
      <c r="N79" s="183" t="str">
        <f t="array" ref="N79">IF(ISBLANK($AE79), "-",INDEX(Circuits!M:M,SUMPRODUCT(EXACT($AE79,Circuits!$A:$A)*ROW(Circuits!$A:$A))))</f>
        <v>-</v>
      </c>
      <c r="O79" s="183" t="str">
        <f t="array" ref="O79">IF(ISBLANK($AE79), "-",INDEX(Circuits!N:N,SUMPRODUCT(EXACT($AE79,Circuits!$A:$A)*ROW(Circuits!$A:$A))))</f>
        <v>-</v>
      </c>
      <c r="P79" s="183" t="str">
        <f t="array" ref="P79">IF(ISBLANK($AE79), "-",INDEX(Circuits!O:O,SUMPRODUCT(EXACT($AE79,Circuits!$A:$A)*ROW(Circuits!$A:$A))))</f>
        <v>-</v>
      </c>
      <c r="Q79" s="183" t="str">
        <f t="array" ref="Q79">IF(ISBLANK($AE79), "-",INDEX(Circuits!P:P,SUMPRODUCT(EXACT($AE79,Circuits!$A:$A)*ROW(Circuits!$A:$A))))</f>
        <v>-</v>
      </c>
      <c r="R79" s="183" t="str">
        <f t="array" ref="R79">IF(ISBLANK($AE79), "-",INDEX(Circuits!Q:Q,SUMPRODUCT(EXACT($AE79,Circuits!$A:$A)*ROW(Circuits!$A:$A))))</f>
        <v>-</v>
      </c>
      <c r="S79" s="183" t="str">
        <f t="array" ref="S79">IF(ISBLANK($AE79), "-",INDEX(Circuits!R:R,SUMPRODUCT(EXACT($AE79,Circuits!$A:$A)*ROW(Circuits!$A:$A))))</f>
        <v>-</v>
      </c>
      <c r="T79" s="183" t="str">
        <f t="array" ref="T79">IF(ISBLANK($AE79), "-",INDEX(Circuits!S:S,SUMPRODUCT(EXACT($AE79,Circuits!$A:$A)*ROW(Circuits!$A:$A))))</f>
        <v>-</v>
      </c>
      <c r="U79" s="183" t="str">
        <f t="array" ref="U79">IF(ISBLANK($AE79), "-",INDEX(Circuits!T:T,SUMPRODUCT(EXACT($AE79,Circuits!$A:$A)*ROW(Circuits!$A:$A))))</f>
        <v>-</v>
      </c>
      <c r="V79" s="183" t="str">
        <f t="array" ref="V79">IF(ISBLANK($AE79), "-",INDEX(Circuits!U:U,SUMPRODUCT(EXACT($AE79,Circuits!$A:$A)*ROW(Circuits!$A:$A))))</f>
        <v>-</v>
      </c>
      <c r="W79" s="183" t="str">
        <f t="array" ref="W79">IF(ISBLANK($AE79), "-",INDEX(Circuits!V:V,SUMPRODUCT(EXACT($AE79,Circuits!$A:$A)*ROW(Circuits!$A:$A))))</f>
        <v>-</v>
      </c>
      <c r="X79" s="183" t="str">
        <f t="array" ref="X79">IF(ISBLANK($AE79), "-",INDEX(Circuits!W:W,SUMPRODUCT(EXACT($AE79,Circuits!$A:$A)*ROW(Circuits!$A:$A))))</f>
        <v>-</v>
      </c>
      <c r="Y79" s="183" t="str">
        <f t="array" ref="Y79">IF(ISBLANK($AE79), "-",INDEX(Circuits!X:X,SUMPRODUCT(EXACT($AE79,Circuits!$A:$A)*ROW(Circuits!$A:$A))))</f>
        <v>-</v>
      </c>
      <c r="Z79" s="108" t="str">
        <f>IFERROR(__xludf.DUMMYFUNCTION("IFNA(CONCATENATE(UNIQUE(FILTER(Connections!R:R,Connections!A:A=B79))),""-"")"),"-")</f>
        <v>-</v>
      </c>
      <c r="AA79" s="119" t="str">
        <f t="array" ref="AA79">IF(ISBLANK($AE79), "-",INDEX(Circuits!Y:Y,SUMPRODUCT(EXACT($AE79,Circuits!$A:$A)*ROW(Circuits!$A:$A))))</f>
        <v>-</v>
      </c>
      <c r="AB79" s="121" t="str">
        <f t="array" ref="AB79">IF(ISBLANK($AE79), "-",INDEX(Circuits!Z:Z,SUMPRODUCT(EXACT($AE79,Circuits!$A:$A)*ROW(Circuits!$A:$A))))</f>
        <v>-</v>
      </c>
      <c r="AC79" s="194"/>
      <c r="AD79" s="194"/>
      <c r="AE79" s="40"/>
      <c r="AF79" s="43"/>
      <c r="AG79" s="126" t="str">
        <f>IFERROR(__xludf.DUMMYFUNCTION("IF(ISBLANK(AF79), """", TEXTJOIN(CHAR(10),TRUE,ARRAYFORMULA(IF(ISERROR(SEARCH(SPLIT(AF79, "";""), $Z79)), ""x"", ""-""))))"),"")</f>
        <v/>
      </c>
      <c r="AH79" s="127" t="str">
        <f>IFERROR(__xludf.DUMMYFUNCTION("IF(ISBLANK(AK79), """", TEXTJOIN("";"" &amp; CHAR(10), TRUE, UNIQUE(SPLIT(AK79, "";"" &amp; CHAR(10)), TRUE))&amp;"";"")"),"")</f>
        <v/>
      </c>
      <c r="AI79" s="128" t="str">
        <f>IFERROR(__xludf.DUMMYFUNCTION("IF(ISBLANK(AD79), IF(ISBLANK(AE79),,IFNA(TEXTJOIN("";"" &amp; CHAR(10), TRUE, FILTER(AE:AE, SEARCH(AE79&amp;"";"", AJ:AJ)))&amp;"";"", """")), TEXTJOIN("";"" &amp; CHAR(10), TRUE, UNIQUE(SPLIT(AH79 &amp; "";"" &amp; AH79 &amp; "";"" &amp; AL79, "";"" &amp; CHAR(10)), TRUE, TRUE))&amp;"";"")"),"")</f>
        <v/>
      </c>
      <c r="AJ79" s="126" t="str">
        <f>IFERROR(__xludf.DUMMYFUNCTION("IF(AN79="""", """", TEXTJOIN("";"" &amp; CHAR(10), TRUE, UNIQUE(SPLIT(AH79 &amp; "";"" &amp; AH79 &amp; "";"" &amp; AN79, "";"" &amp; CHAR(10)), TRUE, TRUE))&amp;"";"")"),"")</f>
        <v/>
      </c>
      <c r="AK79" s="129" t="str">
        <f>IFERROR(__xludf.DUMMYFUNCTION("IF(ISBLANK(AD79), IF(ISBLANK(AE79),,AE79 &amp; "";""), TEXTJOIN(CHAR(10), TRUE, ARRAYFORMULA(VLOOKUP(SPLIT(AD79, "";"" &amp; CHAR(10)), $AC:$AH, 6, FALSE))))"),"")</f>
        <v/>
      </c>
      <c r="AL79" s="130" t="str">
        <f>IFERROR(__xludf.DUMMYFUNCTION("IF(AM79="""", """", TEXTJOIN("";"" &amp; CHAR(10), TRUE, UNIQUE(SPLIT(AM79, "";"" &amp; CHAR(10)), TRUE))&amp;"";"")"),"")</f>
        <v/>
      </c>
      <c r="AM79" s="130" t="str">
        <f>IFERROR(__xludf.DUMMYFUNCTION("IF(ISBLANK(AD79), """", TEXTJOIN(CHAR(10), TRUE, ARRAYFORMULA(VLOOKUP(SPLIT(AH79, "";"" &amp; CHAR(10)), $AE:$AI, 5, FALSE)), AF79))"),"")</f>
        <v/>
      </c>
      <c r="AN79" s="132" t="str">
        <f>IFERROR(__xludf.DUMMYFUNCTION("IF(ISBLANK(AO79), """", TEXTJOIN("";"" &amp; CHAR(10), TRUE, UNIQUE(SPLIT(AO79, "";"" &amp; CHAR(10)), TRUE))&amp;"";"")"),"")</f>
        <v/>
      </c>
      <c r="AO79" s="134" t="str">
        <f>IFERROR(__xludf.DUMMYFUNCTION("IF(ISBLANK(AD79), AF79, TEXTJOIN(CHAR(10), TRUE, ARRAYFORMULA(VLOOKUP(SPLIT(AD79, "";"" &amp; CHAR(10)), $AC:$AN, 12, FALSE))))"),"")</f>
        <v/>
      </c>
      <c r="AP79" s="130" t="str">
        <f>IF(ISBLANK(AE79),,IF(IFERROR(SEARCH(AE79&amp;";",Circuits!$AO$2),0),TRUE,FALSE))</f>
        <v/>
      </c>
      <c r="AQ79" s="130" t="str">
        <f t="shared" si="2"/>
        <v/>
      </c>
      <c r="AR79" s="130" t="str">
        <f t="shared" si="3"/>
        <v/>
      </c>
      <c r="AS79" s="136" t="str">
        <f>IFERROR(__xludf.DUMMYFUNCTION("IF(AH79="""",,SUM(ARRAYFORMULA(IF(IFERROR(SEARCH(SPLIT(AH79,CHAR(10)),Circuits!$AO$2),0)&gt;0,0,1))))"),"")</f>
        <v/>
      </c>
      <c r="AT79" s="138" t="str">
        <f t="shared" si="4"/>
        <v/>
      </c>
      <c r="AU79" s="138" t="str">
        <f t="shared" si="5"/>
        <v/>
      </c>
      <c r="AV79" s="130" t="str">
        <f>IFERROR(__xludf.DUMMYFUNCTION("IF(AI79="""",,TEXTJOIN("", "",TRUE,ARRAYFORMULA(VLOOKUP(SPLIT(AI79,"";""&amp;CHAR(10)),AE:AT,16,FALSE))))"),"")</f>
        <v/>
      </c>
      <c r="AW79" s="130" t="str">
        <f>IFERROR(__xludf.DUMMYFUNCTION("IF(ISBLANK(BK79),,TEXTJOIN("", "",TRUE,ARRAYFORMULA(VLOOKUP(IFERROR(REGEXEXTRACT(SPLIT(BK79,"";""&amp;CHAR(10)),""\[(.+)\]"")),AE:AT,16,false))))"),"")</f>
        <v/>
      </c>
      <c r="AX79" s="139" t="str">
        <f t="shared" si="6"/>
        <v/>
      </c>
      <c r="AY79" s="139" t="str">
        <f t="shared" si="7"/>
        <v/>
      </c>
      <c r="AZ79" s="106" t="str">
        <f>IFERROR(__xludf.DUMMYFUNCTION("IF(ISBLANK(AD79), BC79, TEXTJOIN(CHAR(10) &amp; CHAR(10), TRUE, ARRAYFORMULA(VLOOKUP(SPLIT(AD79, "";"" &amp; CHAR(10)), $AC:$AY, 23, FALSE))))"),"")</f>
        <v/>
      </c>
      <c r="BA79" s="140" t="s">
        <v>66</v>
      </c>
      <c r="BB79" s="190"/>
      <c r="BC79" s="196"/>
      <c r="BD79" s="106" t="str">
        <f>IFERROR(__xludf.DUMMYFUNCTION("IF(IFERROR(SEARCH(""&lt;&lt;mechanism to realize the capability&gt;&gt;"",BA79),0)=0,
 ""!! Error !! “Capability&amp;Mechanism” column: Invalid Separator:"" &amp; CHAR(10) &amp; ""Insert separator “&lt;&lt;mechanism to realize the capability&gt;&gt;.”"",
 IF(
  LEN(TRIM(CLEAN(
    INDEX(
  "&amp;"    SPLIT(BA79,""&lt;&lt;mechanism to realize the capability&gt;&gt;"",FALSE,FALSE),
      1
    )
  )))=0,
  ""!! Error !! “Capability&amp;Mechanism” column: No Capability:""  &amp; CHAR(10) &amp; ""Describe Capability before separator."",
  INDEX(
    SPLIT(BA79,""&lt;&lt;mechanism "&amp;"to realize the capability&gt;&gt;"",FALSE,FALSE),
    1
  )
 )
)
"),"!! Error !! “Capability&amp;Mechanism” column: No Capability:
Describe Capability before separator.")</f>
        <v>!! Error !! “Capability&amp;Mechanism” column: No Capability:
Describe Capability before separator.</v>
      </c>
      <c r="BE79" s="190"/>
      <c r="BF79" s="195"/>
      <c r="BG79" s="42"/>
      <c r="BH79" s="190"/>
      <c r="BI79" s="196"/>
      <c r="BJ79" s="42"/>
      <c r="BK79" s="42"/>
      <c r="BL79" s="203"/>
      <c r="BM79" s="203"/>
      <c r="BN79" s="42"/>
      <c r="BO79" s="42"/>
      <c r="BP79" s="143"/>
      <c r="BQ79" s="143"/>
      <c r="BR79" s="192"/>
      <c r="BS79" s="192"/>
      <c r="BT79" s="192"/>
      <c r="BU79" s="192"/>
      <c r="BV79" s="192"/>
      <c r="BW79" s="192"/>
      <c r="BX79" s="146" t="str">
        <f t="shared" si="8"/>
        <v/>
      </c>
    </row>
    <row r="80">
      <c r="A80" s="106" t="str">
        <f t="shared" si="1"/>
        <v/>
      </c>
      <c r="B80" s="183" t="str">
        <f t="array" ref="B80">IF(ISBLANK($AE80), "-",INDEX(Circuits!A:A,SUMPRODUCT(EXACT($AE80,Circuits!$A:$A)*ROW(Circuits!$A:$A))))</f>
        <v>-</v>
      </c>
      <c r="C80" s="183" t="str">
        <f t="array" ref="C80">IF(ISBLANK($AE80), "-",INDEX(Circuits!B:B,SUMPRODUCT(EXACT($AE80,Circuits!$A:$A)*ROW(Circuits!$A:$A))))</f>
        <v>-</v>
      </c>
      <c r="D80" s="183" t="str">
        <f t="array" ref="D80">IF(ISBLANK($AE80), "-",INDEX(Circuits!C:C,SUMPRODUCT(EXACT($AE80,Circuits!$A:$A)*ROW(Circuits!$A:$A))))</f>
        <v>-</v>
      </c>
      <c r="E80" s="183" t="str">
        <f t="array" ref="E80">IF(ISBLANK($AE80), "-",INDEX(Circuits!D:D,SUMPRODUCT(EXACT($AE80,Circuits!$A:$A)*ROW(Circuits!$A:$A))))</f>
        <v>-</v>
      </c>
      <c r="F80" s="183" t="str">
        <f t="array" ref="F80">IF(ISBLANK($AE80), "-",INDEX(Circuits!E:E,SUMPRODUCT(EXACT($AE80,Circuits!$A:$A)*ROW(Circuits!$A:$A))))</f>
        <v>-</v>
      </c>
      <c r="G80" s="183" t="str">
        <f t="array" ref="G80">IF(ISBLANK($AE80), "-",INDEX(Circuits!F:F,SUMPRODUCT(EXACT($AE80,Circuits!$A:$A)*ROW(Circuits!$A:$A))))</f>
        <v>-</v>
      </c>
      <c r="H80" s="183" t="str">
        <f t="array" ref="H80">IF(ISBLANK($AE80), "-",INDEX(Circuits!G:G,SUMPRODUCT(EXACT($AE80,Circuits!$A:$A)*ROW(Circuits!$A:$A))))</f>
        <v>-</v>
      </c>
      <c r="I80" s="183" t="str">
        <f t="array" ref="I80">IF(ISBLANK($AE80), "-",INDEX(Circuits!H:H,SUMPRODUCT(EXACT($AE80,Circuits!$A:$A)*ROW(Circuits!$A:$A))))</f>
        <v>-</v>
      </c>
      <c r="J80" s="183" t="str">
        <f t="array" ref="J80">IF(ISBLANK($AE80), "-",INDEX(Circuits!I:I,SUMPRODUCT(EXACT($AE80,Circuits!$A:$A)*ROW(Circuits!$A:$A))))</f>
        <v>-</v>
      </c>
      <c r="K80" s="183" t="str">
        <f t="array" ref="K80">IF(ISBLANK($AE80), "-",INDEX(Circuits!J:J,SUMPRODUCT(EXACT($AE80,Circuits!$A:$A)*ROW(Circuits!$A:$A))))</f>
        <v>-</v>
      </c>
      <c r="L80" s="183" t="str">
        <f t="array" ref="L80">IF(ISBLANK($AE80), "-",INDEX(Circuits!K:K,SUMPRODUCT(EXACT($AE80,Circuits!$A:$A)*ROW(Circuits!$A:$A))))</f>
        <v>-</v>
      </c>
      <c r="M80" s="183" t="str">
        <f t="array" ref="M80">IF(ISBLANK($AE80), "-",INDEX(Circuits!L:L,SUMPRODUCT(EXACT($AE80,Circuits!$A:$A)*ROW(Circuits!$A:$A))))</f>
        <v>-</v>
      </c>
      <c r="N80" s="183" t="str">
        <f t="array" ref="N80">IF(ISBLANK($AE80), "-",INDEX(Circuits!M:M,SUMPRODUCT(EXACT($AE80,Circuits!$A:$A)*ROW(Circuits!$A:$A))))</f>
        <v>-</v>
      </c>
      <c r="O80" s="183" t="str">
        <f t="array" ref="O80">IF(ISBLANK($AE80), "-",INDEX(Circuits!N:N,SUMPRODUCT(EXACT($AE80,Circuits!$A:$A)*ROW(Circuits!$A:$A))))</f>
        <v>-</v>
      </c>
      <c r="P80" s="183" t="str">
        <f t="array" ref="P80">IF(ISBLANK($AE80), "-",INDEX(Circuits!O:O,SUMPRODUCT(EXACT($AE80,Circuits!$A:$A)*ROW(Circuits!$A:$A))))</f>
        <v>-</v>
      </c>
      <c r="Q80" s="183" t="str">
        <f t="array" ref="Q80">IF(ISBLANK($AE80), "-",INDEX(Circuits!P:P,SUMPRODUCT(EXACT($AE80,Circuits!$A:$A)*ROW(Circuits!$A:$A))))</f>
        <v>-</v>
      </c>
      <c r="R80" s="183" t="str">
        <f t="array" ref="R80">IF(ISBLANK($AE80), "-",INDEX(Circuits!Q:Q,SUMPRODUCT(EXACT($AE80,Circuits!$A:$A)*ROW(Circuits!$A:$A))))</f>
        <v>-</v>
      </c>
      <c r="S80" s="183" t="str">
        <f t="array" ref="S80">IF(ISBLANK($AE80), "-",INDEX(Circuits!R:R,SUMPRODUCT(EXACT($AE80,Circuits!$A:$A)*ROW(Circuits!$A:$A))))</f>
        <v>-</v>
      </c>
      <c r="T80" s="183" t="str">
        <f t="array" ref="T80">IF(ISBLANK($AE80), "-",INDEX(Circuits!S:S,SUMPRODUCT(EXACT($AE80,Circuits!$A:$A)*ROW(Circuits!$A:$A))))</f>
        <v>-</v>
      </c>
      <c r="U80" s="183" t="str">
        <f t="array" ref="U80">IF(ISBLANK($AE80), "-",INDEX(Circuits!T:T,SUMPRODUCT(EXACT($AE80,Circuits!$A:$A)*ROW(Circuits!$A:$A))))</f>
        <v>-</v>
      </c>
      <c r="V80" s="183" t="str">
        <f t="array" ref="V80">IF(ISBLANK($AE80), "-",INDEX(Circuits!U:U,SUMPRODUCT(EXACT($AE80,Circuits!$A:$A)*ROW(Circuits!$A:$A))))</f>
        <v>-</v>
      </c>
      <c r="W80" s="183" t="str">
        <f t="array" ref="W80">IF(ISBLANK($AE80), "-",INDEX(Circuits!V:V,SUMPRODUCT(EXACT($AE80,Circuits!$A:$A)*ROW(Circuits!$A:$A))))</f>
        <v>-</v>
      </c>
      <c r="X80" s="183" t="str">
        <f t="array" ref="X80">IF(ISBLANK($AE80), "-",INDEX(Circuits!W:W,SUMPRODUCT(EXACT($AE80,Circuits!$A:$A)*ROW(Circuits!$A:$A))))</f>
        <v>-</v>
      </c>
      <c r="Y80" s="183" t="str">
        <f t="array" ref="Y80">IF(ISBLANK($AE80), "-",INDEX(Circuits!X:X,SUMPRODUCT(EXACT($AE80,Circuits!$A:$A)*ROW(Circuits!$A:$A))))</f>
        <v>-</v>
      </c>
      <c r="Z80" s="108" t="str">
        <f>IFERROR(__xludf.DUMMYFUNCTION("IFNA(CONCATENATE(UNIQUE(FILTER(Connections!R:R,Connections!A:A=B80))),""-"")"),"-")</f>
        <v>-</v>
      </c>
      <c r="AA80" s="119" t="str">
        <f t="array" ref="AA80">IF(ISBLANK($AE80), "-",INDEX(Circuits!Y:Y,SUMPRODUCT(EXACT($AE80,Circuits!$A:$A)*ROW(Circuits!$A:$A))))</f>
        <v>-</v>
      </c>
      <c r="AB80" s="121" t="str">
        <f t="array" ref="AB80">IF(ISBLANK($AE80), "-",INDEX(Circuits!Z:Z,SUMPRODUCT(EXACT($AE80,Circuits!$A:$A)*ROW(Circuits!$A:$A))))</f>
        <v>-</v>
      </c>
      <c r="AC80" s="194"/>
      <c r="AD80" s="194"/>
      <c r="AE80" s="40"/>
      <c r="AF80" s="43"/>
      <c r="AG80" s="126" t="str">
        <f>IFERROR(__xludf.DUMMYFUNCTION("IF(ISBLANK(AF80), """", TEXTJOIN(CHAR(10),TRUE,ARRAYFORMULA(IF(ISERROR(SEARCH(SPLIT(AF80, "";""), $Z80)), ""x"", ""-""))))"),"")</f>
        <v/>
      </c>
      <c r="AH80" s="127" t="str">
        <f>IFERROR(__xludf.DUMMYFUNCTION("IF(ISBLANK(AK80), """", TEXTJOIN("";"" &amp; CHAR(10), TRUE, UNIQUE(SPLIT(AK80, "";"" &amp; CHAR(10)), TRUE))&amp;"";"")"),"")</f>
        <v/>
      </c>
      <c r="AI80" s="128" t="str">
        <f>IFERROR(__xludf.DUMMYFUNCTION("IF(ISBLANK(AD80), IF(ISBLANK(AE80),,IFNA(TEXTJOIN("";"" &amp; CHAR(10), TRUE, FILTER(AE:AE, SEARCH(AE80&amp;"";"", AJ:AJ)))&amp;"";"", """")), TEXTJOIN("";"" &amp; CHAR(10), TRUE, UNIQUE(SPLIT(AH80 &amp; "";"" &amp; AH80 &amp; "";"" &amp; AL80, "";"" &amp; CHAR(10)), TRUE, TRUE))&amp;"";"")"),"")</f>
        <v/>
      </c>
      <c r="AJ80" s="126" t="str">
        <f>IFERROR(__xludf.DUMMYFUNCTION("IF(AN80="""", """", TEXTJOIN("";"" &amp; CHAR(10), TRUE, UNIQUE(SPLIT(AH80 &amp; "";"" &amp; AH80 &amp; "";"" &amp; AN80, "";"" &amp; CHAR(10)), TRUE, TRUE))&amp;"";"")"),"")</f>
        <v/>
      </c>
      <c r="AK80" s="129" t="str">
        <f>IFERROR(__xludf.DUMMYFUNCTION("IF(ISBLANK(AD80), IF(ISBLANK(AE80),,AE80 &amp; "";""), TEXTJOIN(CHAR(10), TRUE, ARRAYFORMULA(VLOOKUP(SPLIT(AD80, "";"" &amp; CHAR(10)), $AC:$AH, 6, FALSE))))"),"")</f>
        <v/>
      </c>
      <c r="AL80" s="130" t="str">
        <f>IFERROR(__xludf.DUMMYFUNCTION("IF(AM80="""", """", TEXTJOIN("";"" &amp; CHAR(10), TRUE, UNIQUE(SPLIT(AM80, "";"" &amp; CHAR(10)), TRUE))&amp;"";"")"),"")</f>
        <v/>
      </c>
      <c r="AM80" s="130" t="str">
        <f>IFERROR(__xludf.DUMMYFUNCTION("IF(ISBLANK(AD80), """", TEXTJOIN(CHAR(10), TRUE, ARRAYFORMULA(VLOOKUP(SPLIT(AH80, "";"" &amp; CHAR(10)), $AE:$AI, 5, FALSE)), AF80))"),"")</f>
        <v/>
      </c>
      <c r="AN80" s="132" t="str">
        <f>IFERROR(__xludf.DUMMYFUNCTION("IF(ISBLANK(AO80), """", TEXTJOIN("";"" &amp; CHAR(10), TRUE, UNIQUE(SPLIT(AO80, "";"" &amp; CHAR(10)), TRUE))&amp;"";"")"),"")</f>
        <v/>
      </c>
      <c r="AO80" s="134" t="str">
        <f>IFERROR(__xludf.DUMMYFUNCTION("IF(ISBLANK(AD80), AF80, TEXTJOIN(CHAR(10), TRUE, ARRAYFORMULA(VLOOKUP(SPLIT(AD80, "";"" &amp; CHAR(10)), $AC:$AN, 12, FALSE))))"),"")</f>
        <v/>
      </c>
      <c r="AP80" s="130" t="str">
        <f>IF(ISBLANK(AE80),,IF(IFERROR(SEARCH(AE80&amp;";",Circuits!$AO$2),0),TRUE,FALSE))</f>
        <v/>
      </c>
      <c r="AQ80" s="130" t="str">
        <f t="shared" si="2"/>
        <v/>
      </c>
      <c r="AR80" s="130" t="str">
        <f t="shared" si="3"/>
        <v/>
      </c>
      <c r="AS80" s="136" t="str">
        <f>IFERROR(__xludf.DUMMYFUNCTION("IF(AH80="""",,SUM(ARRAYFORMULA(IF(IFERROR(SEARCH(SPLIT(AH80,CHAR(10)),Circuits!$AO$2),0)&gt;0,0,1))))"),"")</f>
        <v/>
      </c>
      <c r="AT80" s="138" t="str">
        <f t="shared" si="4"/>
        <v/>
      </c>
      <c r="AU80" s="138" t="str">
        <f t="shared" si="5"/>
        <v/>
      </c>
      <c r="AV80" s="130" t="str">
        <f>IFERROR(__xludf.DUMMYFUNCTION("IF(AI80="""",,TEXTJOIN("", "",TRUE,ARRAYFORMULA(VLOOKUP(SPLIT(AI80,"";""&amp;CHAR(10)),AE:AT,16,FALSE))))"),"")</f>
        <v/>
      </c>
      <c r="AW80" s="130" t="str">
        <f>IFERROR(__xludf.DUMMYFUNCTION("IF(ISBLANK(BK80),,TEXTJOIN("", "",TRUE,ARRAYFORMULA(VLOOKUP(IFERROR(REGEXEXTRACT(SPLIT(BK80,"";""&amp;CHAR(10)),""\[(.+)\]"")),AE:AT,16,false))))"),"")</f>
        <v/>
      </c>
      <c r="AX80" s="139" t="str">
        <f t="shared" si="6"/>
        <v/>
      </c>
      <c r="AY80" s="139" t="str">
        <f t="shared" si="7"/>
        <v/>
      </c>
      <c r="AZ80" s="106" t="str">
        <f>IFERROR(__xludf.DUMMYFUNCTION("IF(ISBLANK(AD80), BC80, TEXTJOIN(CHAR(10) &amp; CHAR(10), TRUE, ARRAYFORMULA(VLOOKUP(SPLIT(AD80, "";"" &amp; CHAR(10)), $AC:$AY, 23, FALSE))))"),"")</f>
        <v/>
      </c>
      <c r="BA80" s="140" t="s">
        <v>66</v>
      </c>
      <c r="BB80" s="190"/>
      <c r="BC80" s="196"/>
      <c r="BD80" s="106" t="str">
        <f>IFERROR(__xludf.DUMMYFUNCTION("IF(IFERROR(SEARCH(""&lt;&lt;mechanism to realize the capability&gt;&gt;"",BA80),0)=0,
 ""!! Error !! “Capability&amp;Mechanism” column: Invalid Separator:"" &amp; CHAR(10) &amp; ""Insert separator “&lt;&lt;mechanism to realize the capability&gt;&gt;.”"",
 IF(
  LEN(TRIM(CLEAN(
    INDEX(
  "&amp;"    SPLIT(BA80,""&lt;&lt;mechanism to realize the capability&gt;&gt;"",FALSE,FALSE),
      1
    )
  )))=0,
  ""!! Error !! “Capability&amp;Mechanism” column: No Capability:""  &amp; CHAR(10) &amp; ""Describe Capability before separator."",
  INDEX(
    SPLIT(BA80,""&lt;&lt;mechanism "&amp;"to realize the capability&gt;&gt;"",FALSE,FALSE),
    1
  )
 )
)
"),"!! Error !! “Capability&amp;Mechanism” column: No Capability:
Describe Capability before separator.")</f>
        <v>!! Error !! “Capability&amp;Mechanism” column: No Capability:
Describe Capability before separator.</v>
      </c>
      <c r="BE80" s="190"/>
      <c r="BF80" s="195"/>
      <c r="BG80" s="42"/>
      <c r="BH80" s="190"/>
      <c r="BI80" s="196"/>
      <c r="BJ80" s="42"/>
      <c r="BK80" s="42"/>
      <c r="BL80" s="203"/>
      <c r="BM80" s="203"/>
      <c r="BN80" s="42"/>
      <c r="BO80" s="42"/>
      <c r="BP80" s="143"/>
      <c r="BQ80" s="143"/>
      <c r="BR80" s="192"/>
      <c r="BS80" s="192"/>
      <c r="BT80" s="192"/>
      <c r="BU80" s="192"/>
      <c r="BV80" s="192"/>
      <c r="BW80" s="192"/>
      <c r="BX80" s="146" t="str">
        <f t="shared" si="8"/>
        <v/>
      </c>
    </row>
    <row r="81">
      <c r="A81" s="106" t="str">
        <f t="shared" si="1"/>
        <v/>
      </c>
      <c r="B81" s="183" t="str">
        <f t="array" ref="B81">IF(ISBLANK($AE81), "-",INDEX(Circuits!A:A,SUMPRODUCT(EXACT($AE81,Circuits!$A:$A)*ROW(Circuits!$A:$A))))</f>
        <v>-</v>
      </c>
      <c r="C81" s="183" t="str">
        <f t="array" ref="C81">IF(ISBLANK($AE81), "-",INDEX(Circuits!B:B,SUMPRODUCT(EXACT($AE81,Circuits!$A:$A)*ROW(Circuits!$A:$A))))</f>
        <v>-</v>
      </c>
      <c r="D81" s="183" t="str">
        <f t="array" ref="D81">IF(ISBLANK($AE81), "-",INDEX(Circuits!C:C,SUMPRODUCT(EXACT($AE81,Circuits!$A:$A)*ROW(Circuits!$A:$A))))</f>
        <v>-</v>
      </c>
      <c r="E81" s="183" t="str">
        <f t="array" ref="E81">IF(ISBLANK($AE81), "-",INDEX(Circuits!D:D,SUMPRODUCT(EXACT($AE81,Circuits!$A:$A)*ROW(Circuits!$A:$A))))</f>
        <v>-</v>
      </c>
      <c r="F81" s="183" t="str">
        <f t="array" ref="F81">IF(ISBLANK($AE81), "-",INDEX(Circuits!E:E,SUMPRODUCT(EXACT($AE81,Circuits!$A:$A)*ROW(Circuits!$A:$A))))</f>
        <v>-</v>
      </c>
      <c r="G81" s="183" t="str">
        <f t="array" ref="G81">IF(ISBLANK($AE81), "-",INDEX(Circuits!F:F,SUMPRODUCT(EXACT($AE81,Circuits!$A:$A)*ROW(Circuits!$A:$A))))</f>
        <v>-</v>
      </c>
      <c r="H81" s="183" t="str">
        <f t="array" ref="H81">IF(ISBLANK($AE81), "-",INDEX(Circuits!G:G,SUMPRODUCT(EXACT($AE81,Circuits!$A:$A)*ROW(Circuits!$A:$A))))</f>
        <v>-</v>
      </c>
      <c r="I81" s="183" t="str">
        <f t="array" ref="I81">IF(ISBLANK($AE81), "-",INDEX(Circuits!H:H,SUMPRODUCT(EXACT($AE81,Circuits!$A:$A)*ROW(Circuits!$A:$A))))</f>
        <v>-</v>
      </c>
      <c r="J81" s="183" t="str">
        <f t="array" ref="J81">IF(ISBLANK($AE81), "-",INDEX(Circuits!I:I,SUMPRODUCT(EXACT($AE81,Circuits!$A:$A)*ROW(Circuits!$A:$A))))</f>
        <v>-</v>
      </c>
      <c r="K81" s="183" t="str">
        <f t="array" ref="K81">IF(ISBLANK($AE81), "-",INDEX(Circuits!J:J,SUMPRODUCT(EXACT($AE81,Circuits!$A:$A)*ROW(Circuits!$A:$A))))</f>
        <v>-</v>
      </c>
      <c r="L81" s="183" t="str">
        <f t="array" ref="L81">IF(ISBLANK($AE81), "-",INDEX(Circuits!K:K,SUMPRODUCT(EXACT($AE81,Circuits!$A:$A)*ROW(Circuits!$A:$A))))</f>
        <v>-</v>
      </c>
      <c r="M81" s="183" t="str">
        <f t="array" ref="M81">IF(ISBLANK($AE81), "-",INDEX(Circuits!L:L,SUMPRODUCT(EXACT($AE81,Circuits!$A:$A)*ROW(Circuits!$A:$A))))</f>
        <v>-</v>
      </c>
      <c r="N81" s="183" t="str">
        <f t="array" ref="N81">IF(ISBLANK($AE81), "-",INDEX(Circuits!M:M,SUMPRODUCT(EXACT($AE81,Circuits!$A:$A)*ROW(Circuits!$A:$A))))</f>
        <v>-</v>
      </c>
      <c r="O81" s="183" t="str">
        <f t="array" ref="O81">IF(ISBLANK($AE81), "-",INDEX(Circuits!N:N,SUMPRODUCT(EXACT($AE81,Circuits!$A:$A)*ROW(Circuits!$A:$A))))</f>
        <v>-</v>
      </c>
      <c r="P81" s="183" t="str">
        <f t="array" ref="P81">IF(ISBLANK($AE81), "-",INDEX(Circuits!O:O,SUMPRODUCT(EXACT($AE81,Circuits!$A:$A)*ROW(Circuits!$A:$A))))</f>
        <v>-</v>
      </c>
      <c r="Q81" s="183" t="str">
        <f t="array" ref="Q81">IF(ISBLANK($AE81), "-",INDEX(Circuits!P:P,SUMPRODUCT(EXACT($AE81,Circuits!$A:$A)*ROW(Circuits!$A:$A))))</f>
        <v>-</v>
      </c>
      <c r="R81" s="183" t="str">
        <f t="array" ref="R81">IF(ISBLANK($AE81), "-",INDEX(Circuits!Q:Q,SUMPRODUCT(EXACT($AE81,Circuits!$A:$A)*ROW(Circuits!$A:$A))))</f>
        <v>-</v>
      </c>
      <c r="S81" s="183" t="str">
        <f t="array" ref="S81">IF(ISBLANK($AE81), "-",INDEX(Circuits!R:R,SUMPRODUCT(EXACT($AE81,Circuits!$A:$A)*ROW(Circuits!$A:$A))))</f>
        <v>-</v>
      </c>
      <c r="T81" s="183" t="str">
        <f t="array" ref="T81">IF(ISBLANK($AE81), "-",INDEX(Circuits!S:S,SUMPRODUCT(EXACT($AE81,Circuits!$A:$A)*ROW(Circuits!$A:$A))))</f>
        <v>-</v>
      </c>
      <c r="U81" s="183" t="str">
        <f t="array" ref="U81">IF(ISBLANK($AE81), "-",INDEX(Circuits!T:T,SUMPRODUCT(EXACT($AE81,Circuits!$A:$A)*ROW(Circuits!$A:$A))))</f>
        <v>-</v>
      </c>
      <c r="V81" s="183" t="str">
        <f t="array" ref="V81">IF(ISBLANK($AE81), "-",INDEX(Circuits!U:U,SUMPRODUCT(EXACT($AE81,Circuits!$A:$A)*ROW(Circuits!$A:$A))))</f>
        <v>-</v>
      </c>
      <c r="W81" s="183" t="str">
        <f t="array" ref="W81">IF(ISBLANK($AE81), "-",INDEX(Circuits!V:V,SUMPRODUCT(EXACT($AE81,Circuits!$A:$A)*ROW(Circuits!$A:$A))))</f>
        <v>-</v>
      </c>
      <c r="X81" s="183" t="str">
        <f t="array" ref="X81">IF(ISBLANK($AE81), "-",INDEX(Circuits!W:W,SUMPRODUCT(EXACT($AE81,Circuits!$A:$A)*ROW(Circuits!$A:$A))))</f>
        <v>-</v>
      </c>
      <c r="Y81" s="183" t="str">
        <f t="array" ref="Y81">IF(ISBLANK($AE81), "-",INDEX(Circuits!X:X,SUMPRODUCT(EXACT($AE81,Circuits!$A:$A)*ROW(Circuits!$A:$A))))</f>
        <v>-</v>
      </c>
      <c r="Z81" s="108" t="str">
        <f>IFERROR(__xludf.DUMMYFUNCTION("IFNA(CONCATENATE(UNIQUE(FILTER(Connections!R:R,Connections!A:A=B81))),""-"")"),"-")</f>
        <v>-</v>
      </c>
      <c r="AA81" s="119" t="str">
        <f t="array" ref="AA81">IF(ISBLANK($AE81), "-",INDEX(Circuits!Y:Y,SUMPRODUCT(EXACT($AE81,Circuits!$A:$A)*ROW(Circuits!$A:$A))))</f>
        <v>-</v>
      </c>
      <c r="AB81" s="121" t="str">
        <f t="array" ref="AB81">IF(ISBLANK($AE81), "-",INDEX(Circuits!Z:Z,SUMPRODUCT(EXACT($AE81,Circuits!$A:$A)*ROW(Circuits!$A:$A))))</f>
        <v>-</v>
      </c>
      <c r="AC81" s="194"/>
      <c r="AD81" s="194"/>
      <c r="AE81" s="40"/>
      <c r="AF81" s="43"/>
      <c r="AG81" s="126" t="str">
        <f>IFERROR(__xludf.DUMMYFUNCTION("IF(ISBLANK(AF81), """", TEXTJOIN(CHAR(10),TRUE,ARRAYFORMULA(IF(ISERROR(SEARCH(SPLIT(AF81, "";""), $Z81)), ""x"", ""-""))))"),"")</f>
        <v/>
      </c>
      <c r="AH81" s="127" t="str">
        <f>IFERROR(__xludf.DUMMYFUNCTION("IF(ISBLANK(AK81), """", TEXTJOIN("";"" &amp; CHAR(10), TRUE, UNIQUE(SPLIT(AK81, "";"" &amp; CHAR(10)), TRUE))&amp;"";"")"),"")</f>
        <v/>
      </c>
      <c r="AI81" s="128" t="str">
        <f>IFERROR(__xludf.DUMMYFUNCTION("IF(ISBLANK(AD81), IF(ISBLANK(AE81),,IFNA(TEXTJOIN("";"" &amp; CHAR(10), TRUE, FILTER(AE:AE, SEARCH(AE81&amp;"";"", AJ:AJ)))&amp;"";"", """")), TEXTJOIN("";"" &amp; CHAR(10), TRUE, UNIQUE(SPLIT(AH81 &amp; "";"" &amp; AH81 &amp; "";"" &amp; AL81, "";"" &amp; CHAR(10)), TRUE, TRUE))&amp;"";"")"),"")</f>
        <v/>
      </c>
      <c r="AJ81" s="126" t="str">
        <f>IFERROR(__xludf.DUMMYFUNCTION("IF(AN81="""", """", TEXTJOIN("";"" &amp; CHAR(10), TRUE, UNIQUE(SPLIT(AH81 &amp; "";"" &amp; AH81 &amp; "";"" &amp; AN81, "";"" &amp; CHAR(10)), TRUE, TRUE))&amp;"";"")"),"")</f>
        <v/>
      </c>
      <c r="AK81" s="129" t="str">
        <f>IFERROR(__xludf.DUMMYFUNCTION("IF(ISBLANK(AD81), IF(ISBLANK(AE81),,AE81 &amp; "";""), TEXTJOIN(CHAR(10), TRUE, ARRAYFORMULA(VLOOKUP(SPLIT(AD81, "";"" &amp; CHAR(10)), $AC:$AH, 6, FALSE))))"),"")</f>
        <v/>
      </c>
      <c r="AL81" s="130" t="str">
        <f>IFERROR(__xludf.DUMMYFUNCTION("IF(AM81="""", """", TEXTJOIN("";"" &amp; CHAR(10), TRUE, UNIQUE(SPLIT(AM81, "";"" &amp; CHAR(10)), TRUE))&amp;"";"")"),"")</f>
        <v/>
      </c>
      <c r="AM81" s="130" t="str">
        <f>IFERROR(__xludf.DUMMYFUNCTION("IF(ISBLANK(AD81), """", TEXTJOIN(CHAR(10), TRUE, ARRAYFORMULA(VLOOKUP(SPLIT(AH81, "";"" &amp; CHAR(10)), $AE:$AI, 5, FALSE)), AF81))"),"")</f>
        <v/>
      </c>
      <c r="AN81" s="132" t="str">
        <f>IFERROR(__xludf.DUMMYFUNCTION("IF(ISBLANK(AO81), """", TEXTJOIN("";"" &amp; CHAR(10), TRUE, UNIQUE(SPLIT(AO81, "";"" &amp; CHAR(10)), TRUE))&amp;"";"")"),"")</f>
        <v/>
      </c>
      <c r="AO81" s="134" t="str">
        <f>IFERROR(__xludf.DUMMYFUNCTION("IF(ISBLANK(AD81), AF81, TEXTJOIN(CHAR(10), TRUE, ARRAYFORMULA(VLOOKUP(SPLIT(AD81, "";"" &amp; CHAR(10)), $AC:$AN, 12, FALSE))))"),"")</f>
        <v/>
      </c>
      <c r="AP81" s="130" t="str">
        <f>IF(ISBLANK(AE81),,IF(IFERROR(SEARCH(AE81&amp;";",Circuits!$AO$2),0),TRUE,FALSE))</f>
        <v/>
      </c>
      <c r="AQ81" s="130" t="str">
        <f t="shared" si="2"/>
        <v/>
      </c>
      <c r="AR81" s="130" t="str">
        <f t="shared" si="3"/>
        <v/>
      </c>
      <c r="AS81" s="136" t="str">
        <f>IFERROR(__xludf.DUMMYFUNCTION("IF(AH81="""",,SUM(ARRAYFORMULA(IF(IFERROR(SEARCH(SPLIT(AH81,CHAR(10)),Circuits!$AO$2),0)&gt;0,0,1))))"),"")</f>
        <v/>
      </c>
      <c r="AT81" s="138" t="str">
        <f t="shared" si="4"/>
        <v/>
      </c>
      <c r="AU81" s="138" t="str">
        <f t="shared" si="5"/>
        <v/>
      </c>
      <c r="AV81" s="130" t="str">
        <f>IFERROR(__xludf.DUMMYFUNCTION("IF(AI81="""",,TEXTJOIN("", "",TRUE,ARRAYFORMULA(VLOOKUP(SPLIT(AI81,"";""&amp;CHAR(10)),AE:AT,16,FALSE))))"),"")</f>
        <v/>
      </c>
      <c r="AW81" s="130" t="str">
        <f>IFERROR(__xludf.DUMMYFUNCTION("IF(ISBLANK(BK81),,TEXTJOIN("", "",TRUE,ARRAYFORMULA(VLOOKUP(IFERROR(REGEXEXTRACT(SPLIT(BK81,"";""&amp;CHAR(10)),""\[(.+)\]"")),AE:AT,16,false))))"),"")</f>
        <v/>
      </c>
      <c r="AX81" s="139" t="str">
        <f t="shared" si="6"/>
        <v/>
      </c>
      <c r="AY81" s="139" t="str">
        <f t="shared" si="7"/>
        <v/>
      </c>
      <c r="AZ81" s="106" t="str">
        <f>IFERROR(__xludf.DUMMYFUNCTION("IF(ISBLANK(AD81), BC81, TEXTJOIN(CHAR(10) &amp; CHAR(10), TRUE, ARRAYFORMULA(VLOOKUP(SPLIT(AD81, "";"" &amp; CHAR(10)), $AC:$AY, 23, FALSE))))"),"")</f>
        <v/>
      </c>
      <c r="BA81" s="140" t="s">
        <v>66</v>
      </c>
      <c r="BB81" s="190"/>
      <c r="BC81" s="196"/>
      <c r="BD81" s="106" t="str">
        <f>IFERROR(__xludf.DUMMYFUNCTION("IF(IFERROR(SEARCH(""&lt;&lt;mechanism to realize the capability&gt;&gt;"",BA81),0)=0,
 ""!! Error !! “Capability&amp;Mechanism” column: Invalid Separator:"" &amp; CHAR(10) &amp; ""Insert separator “&lt;&lt;mechanism to realize the capability&gt;&gt;.”"",
 IF(
  LEN(TRIM(CLEAN(
    INDEX(
  "&amp;"    SPLIT(BA81,""&lt;&lt;mechanism to realize the capability&gt;&gt;"",FALSE,FALSE),
      1
    )
  )))=0,
  ""!! Error !! “Capability&amp;Mechanism” column: No Capability:""  &amp; CHAR(10) &amp; ""Describe Capability before separator."",
  INDEX(
    SPLIT(BA81,""&lt;&lt;mechanism "&amp;"to realize the capability&gt;&gt;"",FALSE,FALSE),
    1
  )
 )
)
"),"!! Error !! “Capability&amp;Mechanism” column: No Capability:
Describe Capability before separator.")</f>
        <v>!! Error !! “Capability&amp;Mechanism” column: No Capability:
Describe Capability before separator.</v>
      </c>
      <c r="BE81" s="190"/>
      <c r="BF81" s="195"/>
      <c r="BG81" s="42"/>
      <c r="BH81" s="190"/>
      <c r="BI81" s="196"/>
      <c r="BJ81" s="42"/>
      <c r="BK81" s="42"/>
      <c r="BL81" s="203"/>
      <c r="BM81" s="203"/>
      <c r="BN81" s="42"/>
      <c r="BO81" s="42"/>
      <c r="BP81" s="143"/>
      <c r="BQ81" s="143"/>
      <c r="BR81" s="192"/>
      <c r="BS81" s="192"/>
      <c r="BT81" s="192"/>
      <c r="BU81" s="192"/>
      <c r="BV81" s="192"/>
      <c r="BW81" s="192"/>
      <c r="BX81" s="146" t="str">
        <f t="shared" si="8"/>
        <v/>
      </c>
    </row>
    <row r="82">
      <c r="A82" s="106" t="str">
        <f t="shared" si="1"/>
        <v/>
      </c>
      <c r="B82" s="183" t="str">
        <f t="array" ref="B82">IF(ISBLANK($AE82), "-",INDEX(Circuits!A:A,SUMPRODUCT(EXACT($AE82,Circuits!$A:$A)*ROW(Circuits!$A:$A))))</f>
        <v>-</v>
      </c>
      <c r="C82" s="183" t="str">
        <f t="array" ref="C82">IF(ISBLANK($AE82), "-",INDEX(Circuits!B:B,SUMPRODUCT(EXACT($AE82,Circuits!$A:$A)*ROW(Circuits!$A:$A))))</f>
        <v>-</v>
      </c>
      <c r="D82" s="183" t="str">
        <f t="array" ref="D82">IF(ISBLANK($AE82), "-",INDEX(Circuits!C:C,SUMPRODUCT(EXACT($AE82,Circuits!$A:$A)*ROW(Circuits!$A:$A))))</f>
        <v>-</v>
      </c>
      <c r="E82" s="183" t="str">
        <f t="array" ref="E82">IF(ISBLANK($AE82), "-",INDEX(Circuits!D:D,SUMPRODUCT(EXACT($AE82,Circuits!$A:$A)*ROW(Circuits!$A:$A))))</f>
        <v>-</v>
      </c>
      <c r="F82" s="183" t="str">
        <f t="array" ref="F82">IF(ISBLANK($AE82), "-",INDEX(Circuits!E:E,SUMPRODUCT(EXACT($AE82,Circuits!$A:$A)*ROW(Circuits!$A:$A))))</f>
        <v>-</v>
      </c>
      <c r="G82" s="183" t="str">
        <f t="array" ref="G82">IF(ISBLANK($AE82), "-",INDEX(Circuits!F:F,SUMPRODUCT(EXACT($AE82,Circuits!$A:$A)*ROW(Circuits!$A:$A))))</f>
        <v>-</v>
      </c>
      <c r="H82" s="183" t="str">
        <f t="array" ref="H82">IF(ISBLANK($AE82), "-",INDEX(Circuits!G:G,SUMPRODUCT(EXACT($AE82,Circuits!$A:$A)*ROW(Circuits!$A:$A))))</f>
        <v>-</v>
      </c>
      <c r="I82" s="183" t="str">
        <f t="array" ref="I82">IF(ISBLANK($AE82), "-",INDEX(Circuits!H:H,SUMPRODUCT(EXACT($AE82,Circuits!$A:$A)*ROW(Circuits!$A:$A))))</f>
        <v>-</v>
      </c>
      <c r="J82" s="183" t="str">
        <f t="array" ref="J82">IF(ISBLANK($AE82), "-",INDEX(Circuits!I:I,SUMPRODUCT(EXACT($AE82,Circuits!$A:$A)*ROW(Circuits!$A:$A))))</f>
        <v>-</v>
      </c>
      <c r="K82" s="183" t="str">
        <f t="array" ref="K82">IF(ISBLANK($AE82), "-",INDEX(Circuits!J:J,SUMPRODUCT(EXACT($AE82,Circuits!$A:$A)*ROW(Circuits!$A:$A))))</f>
        <v>-</v>
      </c>
      <c r="L82" s="183" t="str">
        <f t="array" ref="L82">IF(ISBLANK($AE82), "-",INDEX(Circuits!K:K,SUMPRODUCT(EXACT($AE82,Circuits!$A:$A)*ROW(Circuits!$A:$A))))</f>
        <v>-</v>
      </c>
      <c r="M82" s="183" t="str">
        <f t="array" ref="M82">IF(ISBLANK($AE82), "-",INDEX(Circuits!L:L,SUMPRODUCT(EXACT($AE82,Circuits!$A:$A)*ROW(Circuits!$A:$A))))</f>
        <v>-</v>
      </c>
      <c r="N82" s="183" t="str">
        <f t="array" ref="N82">IF(ISBLANK($AE82), "-",INDEX(Circuits!M:M,SUMPRODUCT(EXACT($AE82,Circuits!$A:$A)*ROW(Circuits!$A:$A))))</f>
        <v>-</v>
      </c>
      <c r="O82" s="183" t="str">
        <f t="array" ref="O82">IF(ISBLANK($AE82), "-",INDEX(Circuits!N:N,SUMPRODUCT(EXACT($AE82,Circuits!$A:$A)*ROW(Circuits!$A:$A))))</f>
        <v>-</v>
      </c>
      <c r="P82" s="183" t="str">
        <f t="array" ref="P82">IF(ISBLANK($AE82), "-",INDEX(Circuits!O:O,SUMPRODUCT(EXACT($AE82,Circuits!$A:$A)*ROW(Circuits!$A:$A))))</f>
        <v>-</v>
      </c>
      <c r="Q82" s="183" t="str">
        <f t="array" ref="Q82">IF(ISBLANK($AE82), "-",INDEX(Circuits!P:P,SUMPRODUCT(EXACT($AE82,Circuits!$A:$A)*ROW(Circuits!$A:$A))))</f>
        <v>-</v>
      </c>
      <c r="R82" s="183" t="str">
        <f t="array" ref="R82">IF(ISBLANK($AE82), "-",INDEX(Circuits!Q:Q,SUMPRODUCT(EXACT($AE82,Circuits!$A:$A)*ROW(Circuits!$A:$A))))</f>
        <v>-</v>
      </c>
      <c r="S82" s="183" t="str">
        <f t="array" ref="S82">IF(ISBLANK($AE82), "-",INDEX(Circuits!R:R,SUMPRODUCT(EXACT($AE82,Circuits!$A:$A)*ROW(Circuits!$A:$A))))</f>
        <v>-</v>
      </c>
      <c r="T82" s="183" t="str">
        <f t="array" ref="T82">IF(ISBLANK($AE82), "-",INDEX(Circuits!S:S,SUMPRODUCT(EXACT($AE82,Circuits!$A:$A)*ROW(Circuits!$A:$A))))</f>
        <v>-</v>
      </c>
      <c r="U82" s="183" t="str">
        <f t="array" ref="U82">IF(ISBLANK($AE82), "-",INDEX(Circuits!T:T,SUMPRODUCT(EXACT($AE82,Circuits!$A:$A)*ROW(Circuits!$A:$A))))</f>
        <v>-</v>
      </c>
      <c r="V82" s="183" t="str">
        <f t="array" ref="V82">IF(ISBLANK($AE82), "-",INDEX(Circuits!U:U,SUMPRODUCT(EXACT($AE82,Circuits!$A:$A)*ROW(Circuits!$A:$A))))</f>
        <v>-</v>
      </c>
      <c r="W82" s="183" t="str">
        <f t="array" ref="W82">IF(ISBLANK($AE82), "-",INDEX(Circuits!V:V,SUMPRODUCT(EXACT($AE82,Circuits!$A:$A)*ROW(Circuits!$A:$A))))</f>
        <v>-</v>
      </c>
      <c r="X82" s="183" t="str">
        <f t="array" ref="X82">IF(ISBLANK($AE82), "-",INDEX(Circuits!W:W,SUMPRODUCT(EXACT($AE82,Circuits!$A:$A)*ROW(Circuits!$A:$A))))</f>
        <v>-</v>
      </c>
      <c r="Y82" s="183" t="str">
        <f t="array" ref="Y82">IF(ISBLANK($AE82), "-",INDEX(Circuits!X:X,SUMPRODUCT(EXACT($AE82,Circuits!$A:$A)*ROW(Circuits!$A:$A))))</f>
        <v>-</v>
      </c>
      <c r="Z82" s="108" t="str">
        <f>IFERROR(__xludf.DUMMYFUNCTION("IFNA(CONCATENATE(UNIQUE(FILTER(Connections!R:R,Connections!A:A=B82))),""-"")"),"-")</f>
        <v>-</v>
      </c>
      <c r="AA82" s="119" t="str">
        <f t="array" ref="AA82">IF(ISBLANK($AE82), "-",INDEX(Circuits!Y:Y,SUMPRODUCT(EXACT($AE82,Circuits!$A:$A)*ROW(Circuits!$A:$A))))</f>
        <v>-</v>
      </c>
      <c r="AB82" s="121" t="str">
        <f t="array" ref="AB82">IF(ISBLANK($AE82), "-",INDEX(Circuits!Z:Z,SUMPRODUCT(EXACT($AE82,Circuits!$A:$A)*ROW(Circuits!$A:$A))))</f>
        <v>-</v>
      </c>
      <c r="AC82" s="194"/>
      <c r="AD82" s="194"/>
      <c r="AE82" s="40"/>
      <c r="AF82" s="43"/>
      <c r="AG82" s="126" t="str">
        <f>IFERROR(__xludf.DUMMYFUNCTION("IF(ISBLANK(AF82), """", TEXTJOIN(CHAR(10),TRUE,ARRAYFORMULA(IF(ISERROR(SEARCH(SPLIT(AF82, "";""), $Z82)), ""x"", ""-""))))"),"")</f>
        <v/>
      </c>
      <c r="AH82" s="127" t="str">
        <f>IFERROR(__xludf.DUMMYFUNCTION("IF(ISBLANK(AK82), """", TEXTJOIN("";"" &amp; CHAR(10), TRUE, UNIQUE(SPLIT(AK82, "";"" &amp; CHAR(10)), TRUE))&amp;"";"")"),"")</f>
        <v/>
      </c>
      <c r="AI82" s="128" t="str">
        <f>IFERROR(__xludf.DUMMYFUNCTION("IF(ISBLANK(AD82), IF(ISBLANK(AE82),,IFNA(TEXTJOIN("";"" &amp; CHAR(10), TRUE, FILTER(AE:AE, SEARCH(AE82&amp;"";"", AJ:AJ)))&amp;"";"", """")), TEXTJOIN("";"" &amp; CHAR(10), TRUE, UNIQUE(SPLIT(AH82 &amp; "";"" &amp; AH82 &amp; "";"" &amp; AL82, "";"" &amp; CHAR(10)), TRUE, TRUE))&amp;"";"")"),"")</f>
        <v/>
      </c>
      <c r="AJ82" s="126" t="str">
        <f>IFERROR(__xludf.DUMMYFUNCTION("IF(AN82="""", """", TEXTJOIN("";"" &amp; CHAR(10), TRUE, UNIQUE(SPLIT(AH82 &amp; "";"" &amp; AH82 &amp; "";"" &amp; AN82, "";"" &amp; CHAR(10)), TRUE, TRUE))&amp;"";"")"),"")</f>
        <v/>
      </c>
      <c r="AK82" s="129" t="str">
        <f>IFERROR(__xludf.DUMMYFUNCTION("IF(ISBLANK(AD82), IF(ISBLANK(AE82),,AE82 &amp; "";""), TEXTJOIN(CHAR(10), TRUE, ARRAYFORMULA(VLOOKUP(SPLIT(AD82, "";"" &amp; CHAR(10)), $AC:$AH, 6, FALSE))))"),"")</f>
        <v/>
      </c>
      <c r="AL82" s="130" t="str">
        <f>IFERROR(__xludf.DUMMYFUNCTION("IF(AM82="""", """", TEXTJOIN("";"" &amp; CHAR(10), TRUE, UNIQUE(SPLIT(AM82, "";"" &amp; CHAR(10)), TRUE))&amp;"";"")"),"")</f>
        <v/>
      </c>
      <c r="AM82" s="130" t="str">
        <f>IFERROR(__xludf.DUMMYFUNCTION("IF(ISBLANK(AD82), """", TEXTJOIN(CHAR(10), TRUE, ARRAYFORMULA(VLOOKUP(SPLIT(AH82, "";"" &amp; CHAR(10)), $AE:$AI, 5, FALSE)), AF82))"),"")</f>
        <v/>
      </c>
      <c r="AN82" s="132" t="str">
        <f>IFERROR(__xludf.DUMMYFUNCTION("IF(ISBLANK(AO82), """", TEXTJOIN("";"" &amp; CHAR(10), TRUE, UNIQUE(SPLIT(AO82, "";"" &amp; CHAR(10)), TRUE))&amp;"";"")"),"")</f>
        <v/>
      </c>
      <c r="AO82" s="134" t="str">
        <f>IFERROR(__xludf.DUMMYFUNCTION("IF(ISBLANK(AD82), AF82, TEXTJOIN(CHAR(10), TRUE, ARRAYFORMULA(VLOOKUP(SPLIT(AD82, "";"" &amp; CHAR(10)), $AC:$AN, 12, FALSE))))"),"")</f>
        <v/>
      </c>
      <c r="AP82" s="130" t="str">
        <f>IF(ISBLANK(AE82),,IF(IFERROR(SEARCH(AE82&amp;";",Circuits!$AO$2),0),TRUE,FALSE))</f>
        <v/>
      </c>
      <c r="AQ82" s="130" t="str">
        <f t="shared" si="2"/>
        <v/>
      </c>
      <c r="AR82" s="130" t="str">
        <f t="shared" si="3"/>
        <v/>
      </c>
      <c r="AS82" s="136" t="str">
        <f>IFERROR(__xludf.DUMMYFUNCTION("IF(AH82="""",,SUM(ARRAYFORMULA(IF(IFERROR(SEARCH(SPLIT(AH82,CHAR(10)),Circuits!$AO$2),0)&gt;0,0,1))))"),"")</f>
        <v/>
      </c>
      <c r="AT82" s="138" t="str">
        <f t="shared" si="4"/>
        <v/>
      </c>
      <c r="AU82" s="138" t="str">
        <f t="shared" si="5"/>
        <v/>
      </c>
      <c r="AV82" s="130" t="str">
        <f>IFERROR(__xludf.DUMMYFUNCTION("IF(AI82="""",,TEXTJOIN("", "",TRUE,ARRAYFORMULA(VLOOKUP(SPLIT(AI82,"";""&amp;CHAR(10)),AE:AT,16,FALSE))))"),"")</f>
        <v/>
      </c>
      <c r="AW82" s="130" t="str">
        <f>IFERROR(__xludf.DUMMYFUNCTION("IF(ISBLANK(BK82),,TEXTJOIN("", "",TRUE,ARRAYFORMULA(VLOOKUP(IFERROR(REGEXEXTRACT(SPLIT(BK82,"";""&amp;CHAR(10)),""\[(.+)\]"")),AE:AT,16,false))))"),"")</f>
        <v/>
      </c>
      <c r="AX82" s="139" t="str">
        <f t="shared" si="6"/>
        <v/>
      </c>
      <c r="AY82" s="139" t="str">
        <f t="shared" si="7"/>
        <v/>
      </c>
      <c r="AZ82" s="106" t="str">
        <f>IFERROR(__xludf.DUMMYFUNCTION("IF(ISBLANK(AD82), BC82, TEXTJOIN(CHAR(10) &amp; CHAR(10), TRUE, ARRAYFORMULA(VLOOKUP(SPLIT(AD82, "";"" &amp; CHAR(10)), $AC:$AY, 23, FALSE))))"),"")</f>
        <v/>
      </c>
      <c r="BA82" s="140" t="s">
        <v>66</v>
      </c>
      <c r="BB82" s="190"/>
      <c r="BC82" s="196"/>
      <c r="BD82" s="106" t="str">
        <f>IFERROR(__xludf.DUMMYFUNCTION("IF(IFERROR(SEARCH(""&lt;&lt;mechanism to realize the capability&gt;&gt;"",BA82),0)=0,
 ""!! Error !! “Capability&amp;Mechanism” column: Invalid Separator:"" &amp; CHAR(10) &amp; ""Insert separator “&lt;&lt;mechanism to realize the capability&gt;&gt;.”"",
 IF(
  LEN(TRIM(CLEAN(
    INDEX(
  "&amp;"    SPLIT(BA82,""&lt;&lt;mechanism to realize the capability&gt;&gt;"",FALSE,FALSE),
      1
    )
  )))=0,
  ""!! Error !! “Capability&amp;Mechanism” column: No Capability:""  &amp; CHAR(10) &amp; ""Describe Capability before separator."",
  INDEX(
    SPLIT(BA82,""&lt;&lt;mechanism "&amp;"to realize the capability&gt;&gt;"",FALSE,FALSE),
    1
  )
 )
)
"),"!! Error !! “Capability&amp;Mechanism” column: No Capability:
Describe Capability before separator.")</f>
        <v>!! Error !! “Capability&amp;Mechanism” column: No Capability:
Describe Capability before separator.</v>
      </c>
      <c r="BE82" s="190"/>
      <c r="BF82" s="195"/>
      <c r="BG82" s="42"/>
      <c r="BH82" s="190"/>
      <c r="BI82" s="196"/>
      <c r="BJ82" s="42"/>
      <c r="BK82" s="42"/>
      <c r="BL82" s="203"/>
      <c r="BM82" s="203"/>
      <c r="BN82" s="42"/>
      <c r="BO82" s="42"/>
      <c r="BP82" s="143"/>
      <c r="BQ82" s="143"/>
      <c r="BR82" s="192"/>
      <c r="BS82" s="192"/>
      <c r="BT82" s="192"/>
      <c r="BU82" s="192"/>
      <c r="BV82" s="192"/>
      <c r="BW82" s="192"/>
      <c r="BX82" s="146" t="str">
        <f t="shared" si="8"/>
        <v/>
      </c>
    </row>
    <row r="83">
      <c r="A83" s="106" t="str">
        <f t="shared" si="1"/>
        <v/>
      </c>
      <c r="B83" s="183" t="str">
        <f t="array" ref="B83">IF(ISBLANK($AE83), "-",INDEX(Circuits!A:A,SUMPRODUCT(EXACT($AE83,Circuits!$A:$A)*ROW(Circuits!$A:$A))))</f>
        <v>-</v>
      </c>
      <c r="C83" s="183" t="str">
        <f t="array" ref="C83">IF(ISBLANK($AE83), "-",INDEX(Circuits!B:B,SUMPRODUCT(EXACT($AE83,Circuits!$A:$A)*ROW(Circuits!$A:$A))))</f>
        <v>-</v>
      </c>
      <c r="D83" s="183" t="str">
        <f t="array" ref="D83">IF(ISBLANK($AE83), "-",INDEX(Circuits!C:C,SUMPRODUCT(EXACT($AE83,Circuits!$A:$A)*ROW(Circuits!$A:$A))))</f>
        <v>-</v>
      </c>
      <c r="E83" s="183" t="str">
        <f t="array" ref="E83">IF(ISBLANK($AE83), "-",INDEX(Circuits!D:D,SUMPRODUCT(EXACT($AE83,Circuits!$A:$A)*ROW(Circuits!$A:$A))))</f>
        <v>-</v>
      </c>
      <c r="F83" s="183" t="str">
        <f t="array" ref="F83">IF(ISBLANK($AE83), "-",INDEX(Circuits!E:E,SUMPRODUCT(EXACT($AE83,Circuits!$A:$A)*ROW(Circuits!$A:$A))))</f>
        <v>-</v>
      </c>
      <c r="G83" s="183" t="str">
        <f t="array" ref="G83">IF(ISBLANK($AE83), "-",INDEX(Circuits!F:F,SUMPRODUCT(EXACT($AE83,Circuits!$A:$A)*ROW(Circuits!$A:$A))))</f>
        <v>-</v>
      </c>
      <c r="H83" s="183" t="str">
        <f t="array" ref="H83">IF(ISBLANK($AE83), "-",INDEX(Circuits!G:G,SUMPRODUCT(EXACT($AE83,Circuits!$A:$A)*ROW(Circuits!$A:$A))))</f>
        <v>-</v>
      </c>
      <c r="I83" s="183" t="str">
        <f t="array" ref="I83">IF(ISBLANK($AE83), "-",INDEX(Circuits!H:H,SUMPRODUCT(EXACT($AE83,Circuits!$A:$A)*ROW(Circuits!$A:$A))))</f>
        <v>-</v>
      </c>
      <c r="J83" s="183" t="str">
        <f t="array" ref="J83">IF(ISBLANK($AE83), "-",INDEX(Circuits!I:I,SUMPRODUCT(EXACT($AE83,Circuits!$A:$A)*ROW(Circuits!$A:$A))))</f>
        <v>-</v>
      </c>
      <c r="K83" s="183" t="str">
        <f t="array" ref="K83">IF(ISBLANK($AE83), "-",INDEX(Circuits!J:J,SUMPRODUCT(EXACT($AE83,Circuits!$A:$A)*ROW(Circuits!$A:$A))))</f>
        <v>-</v>
      </c>
      <c r="L83" s="183" t="str">
        <f t="array" ref="L83">IF(ISBLANK($AE83), "-",INDEX(Circuits!K:K,SUMPRODUCT(EXACT($AE83,Circuits!$A:$A)*ROW(Circuits!$A:$A))))</f>
        <v>-</v>
      </c>
      <c r="M83" s="183" t="str">
        <f t="array" ref="M83">IF(ISBLANK($AE83), "-",INDEX(Circuits!L:L,SUMPRODUCT(EXACT($AE83,Circuits!$A:$A)*ROW(Circuits!$A:$A))))</f>
        <v>-</v>
      </c>
      <c r="N83" s="183" t="str">
        <f t="array" ref="N83">IF(ISBLANK($AE83), "-",INDEX(Circuits!M:M,SUMPRODUCT(EXACT($AE83,Circuits!$A:$A)*ROW(Circuits!$A:$A))))</f>
        <v>-</v>
      </c>
      <c r="O83" s="183" t="str">
        <f t="array" ref="O83">IF(ISBLANK($AE83), "-",INDEX(Circuits!N:N,SUMPRODUCT(EXACT($AE83,Circuits!$A:$A)*ROW(Circuits!$A:$A))))</f>
        <v>-</v>
      </c>
      <c r="P83" s="183" t="str">
        <f t="array" ref="P83">IF(ISBLANK($AE83), "-",INDEX(Circuits!O:O,SUMPRODUCT(EXACT($AE83,Circuits!$A:$A)*ROW(Circuits!$A:$A))))</f>
        <v>-</v>
      </c>
      <c r="Q83" s="183" t="str">
        <f t="array" ref="Q83">IF(ISBLANK($AE83), "-",INDEX(Circuits!P:P,SUMPRODUCT(EXACT($AE83,Circuits!$A:$A)*ROW(Circuits!$A:$A))))</f>
        <v>-</v>
      </c>
      <c r="R83" s="183" t="str">
        <f t="array" ref="R83">IF(ISBLANK($AE83), "-",INDEX(Circuits!Q:Q,SUMPRODUCT(EXACT($AE83,Circuits!$A:$A)*ROW(Circuits!$A:$A))))</f>
        <v>-</v>
      </c>
      <c r="S83" s="183" t="str">
        <f t="array" ref="S83">IF(ISBLANK($AE83), "-",INDEX(Circuits!R:R,SUMPRODUCT(EXACT($AE83,Circuits!$A:$A)*ROW(Circuits!$A:$A))))</f>
        <v>-</v>
      </c>
      <c r="T83" s="183" t="str">
        <f t="array" ref="T83">IF(ISBLANK($AE83), "-",INDEX(Circuits!S:S,SUMPRODUCT(EXACT($AE83,Circuits!$A:$A)*ROW(Circuits!$A:$A))))</f>
        <v>-</v>
      </c>
      <c r="U83" s="183" t="str">
        <f t="array" ref="U83">IF(ISBLANK($AE83), "-",INDEX(Circuits!T:T,SUMPRODUCT(EXACT($AE83,Circuits!$A:$A)*ROW(Circuits!$A:$A))))</f>
        <v>-</v>
      </c>
      <c r="V83" s="183" t="str">
        <f t="array" ref="V83">IF(ISBLANK($AE83), "-",INDEX(Circuits!U:U,SUMPRODUCT(EXACT($AE83,Circuits!$A:$A)*ROW(Circuits!$A:$A))))</f>
        <v>-</v>
      </c>
      <c r="W83" s="183" t="str">
        <f t="array" ref="W83">IF(ISBLANK($AE83), "-",INDEX(Circuits!V:V,SUMPRODUCT(EXACT($AE83,Circuits!$A:$A)*ROW(Circuits!$A:$A))))</f>
        <v>-</v>
      </c>
      <c r="X83" s="183" t="str">
        <f t="array" ref="X83">IF(ISBLANK($AE83), "-",INDEX(Circuits!W:W,SUMPRODUCT(EXACT($AE83,Circuits!$A:$A)*ROW(Circuits!$A:$A))))</f>
        <v>-</v>
      </c>
      <c r="Y83" s="183" t="str">
        <f t="array" ref="Y83">IF(ISBLANK($AE83), "-",INDEX(Circuits!X:X,SUMPRODUCT(EXACT($AE83,Circuits!$A:$A)*ROW(Circuits!$A:$A))))</f>
        <v>-</v>
      </c>
      <c r="Z83" s="108" t="str">
        <f>IFERROR(__xludf.DUMMYFUNCTION("IFNA(CONCATENATE(UNIQUE(FILTER(Connections!R:R,Connections!A:A=B83))),""-"")"),"-")</f>
        <v>-</v>
      </c>
      <c r="AA83" s="119" t="str">
        <f t="array" ref="AA83">IF(ISBLANK($AE83), "-",INDEX(Circuits!Y:Y,SUMPRODUCT(EXACT($AE83,Circuits!$A:$A)*ROW(Circuits!$A:$A))))</f>
        <v>-</v>
      </c>
      <c r="AB83" s="121" t="str">
        <f t="array" ref="AB83">IF(ISBLANK($AE83), "-",INDEX(Circuits!Z:Z,SUMPRODUCT(EXACT($AE83,Circuits!$A:$A)*ROW(Circuits!$A:$A))))</f>
        <v>-</v>
      </c>
      <c r="AC83" s="194"/>
      <c r="AD83" s="194"/>
      <c r="AE83" s="40"/>
      <c r="AF83" s="43"/>
      <c r="AG83" s="126" t="str">
        <f>IFERROR(__xludf.DUMMYFUNCTION("IF(ISBLANK(AF83), """", TEXTJOIN(CHAR(10),TRUE,ARRAYFORMULA(IF(ISERROR(SEARCH(SPLIT(AF83, "";""), $Z83)), ""x"", ""-""))))"),"")</f>
        <v/>
      </c>
      <c r="AH83" s="127" t="str">
        <f>IFERROR(__xludf.DUMMYFUNCTION("IF(ISBLANK(AK83), """", TEXTJOIN("";"" &amp; CHAR(10), TRUE, UNIQUE(SPLIT(AK83, "";"" &amp; CHAR(10)), TRUE))&amp;"";"")"),"")</f>
        <v/>
      </c>
      <c r="AI83" s="128" t="str">
        <f>IFERROR(__xludf.DUMMYFUNCTION("IF(ISBLANK(AD83), IF(ISBLANK(AE83),,IFNA(TEXTJOIN("";"" &amp; CHAR(10), TRUE, FILTER(AE:AE, SEARCH(AE83&amp;"";"", AJ:AJ)))&amp;"";"", """")), TEXTJOIN("";"" &amp; CHAR(10), TRUE, UNIQUE(SPLIT(AH83 &amp; "";"" &amp; AH83 &amp; "";"" &amp; AL83, "";"" &amp; CHAR(10)), TRUE, TRUE))&amp;"";"")"),"")</f>
        <v/>
      </c>
      <c r="AJ83" s="126" t="str">
        <f>IFERROR(__xludf.DUMMYFUNCTION("IF(AN83="""", """", TEXTJOIN("";"" &amp; CHAR(10), TRUE, UNIQUE(SPLIT(AH83 &amp; "";"" &amp; AH83 &amp; "";"" &amp; AN83, "";"" &amp; CHAR(10)), TRUE, TRUE))&amp;"";"")"),"")</f>
        <v/>
      </c>
      <c r="AK83" s="129" t="str">
        <f>IFERROR(__xludf.DUMMYFUNCTION("IF(ISBLANK(AD83), IF(ISBLANK(AE83),,AE83 &amp; "";""), TEXTJOIN(CHAR(10), TRUE, ARRAYFORMULA(VLOOKUP(SPLIT(AD83, "";"" &amp; CHAR(10)), $AC:$AH, 6, FALSE))))"),"")</f>
        <v/>
      </c>
      <c r="AL83" s="130" t="str">
        <f>IFERROR(__xludf.DUMMYFUNCTION("IF(AM83="""", """", TEXTJOIN("";"" &amp; CHAR(10), TRUE, UNIQUE(SPLIT(AM83, "";"" &amp; CHAR(10)), TRUE))&amp;"";"")"),"")</f>
        <v/>
      </c>
      <c r="AM83" s="130" t="str">
        <f>IFERROR(__xludf.DUMMYFUNCTION("IF(ISBLANK(AD83), """", TEXTJOIN(CHAR(10), TRUE, ARRAYFORMULA(VLOOKUP(SPLIT(AH83, "";"" &amp; CHAR(10)), $AE:$AI, 5, FALSE)), AF83))"),"")</f>
        <v/>
      </c>
      <c r="AN83" s="132" t="str">
        <f>IFERROR(__xludf.DUMMYFUNCTION("IF(ISBLANK(AO83), """", TEXTJOIN("";"" &amp; CHAR(10), TRUE, UNIQUE(SPLIT(AO83, "";"" &amp; CHAR(10)), TRUE))&amp;"";"")"),"")</f>
        <v/>
      </c>
      <c r="AO83" s="134" t="str">
        <f>IFERROR(__xludf.DUMMYFUNCTION("IF(ISBLANK(AD83), AF83, TEXTJOIN(CHAR(10), TRUE, ARRAYFORMULA(VLOOKUP(SPLIT(AD83, "";"" &amp; CHAR(10)), $AC:$AN, 12, FALSE))))"),"")</f>
        <v/>
      </c>
      <c r="AP83" s="130" t="str">
        <f>IF(ISBLANK(AE83),,IF(IFERROR(SEARCH(AE83&amp;";",Circuits!$AO$2),0),TRUE,FALSE))</f>
        <v/>
      </c>
      <c r="AQ83" s="130" t="str">
        <f t="shared" si="2"/>
        <v/>
      </c>
      <c r="AR83" s="130" t="str">
        <f t="shared" si="3"/>
        <v/>
      </c>
      <c r="AS83" s="136" t="str">
        <f>IFERROR(__xludf.DUMMYFUNCTION("IF(AH83="""",,SUM(ARRAYFORMULA(IF(IFERROR(SEARCH(SPLIT(AH83,CHAR(10)),Circuits!$AO$2),0)&gt;0,0,1))))"),"")</f>
        <v/>
      </c>
      <c r="AT83" s="138" t="str">
        <f t="shared" si="4"/>
        <v/>
      </c>
      <c r="AU83" s="138" t="str">
        <f t="shared" si="5"/>
        <v/>
      </c>
      <c r="AV83" s="130" t="str">
        <f>IFERROR(__xludf.DUMMYFUNCTION("IF(AI83="""",,TEXTJOIN("", "",TRUE,ARRAYFORMULA(VLOOKUP(SPLIT(AI83,"";""&amp;CHAR(10)),AE:AT,16,FALSE))))"),"")</f>
        <v/>
      </c>
      <c r="AW83" s="130" t="str">
        <f>IFERROR(__xludf.DUMMYFUNCTION("IF(ISBLANK(BK83),,TEXTJOIN("", "",TRUE,ARRAYFORMULA(VLOOKUP(IFERROR(REGEXEXTRACT(SPLIT(BK83,"";""&amp;CHAR(10)),""\[(.+)\]"")),AE:AT,16,false))))"),"")</f>
        <v/>
      </c>
      <c r="AX83" s="139" t="str">
        <f t="shared" si="6"/>
        <v/>
      </c>
      <c r="AY83" s="139" t="str">
        <f t="shared" si="7"/>
        <v/>
      </c>
      <c r="AZ83" s="106" t="str">
        <f>IFERROR(__xludf.DUMMYFUNCTION("IF(ISBLANK(AD83), BC83, TEXTJOIN(CHAR(10) &amp; CHAR(10), TRUE, ARRAYFORMULA(VLOOKUP(SPLIT(AD83, "";"" &amp; CHAR(10)), $AC:$AY, 23, FALSE))))"),"")</f>
        <v/>
      </c>
      <c r="BA83" s="140" t="s">
        <v>66</v>
      </c>
      <c r="BB83" s="190"/>
      <c r="BC83" s="196"/>
      <c r="BD83" s="106" t="str">
        <f>IFERROR(__xludf.DUMMYFUNCTION("IF(IFERROR(SEARCH(""&lt;&lt;mechanism to realize the capability&gt;&gt;"",BA83),0)=0,
 ""!! Error !! “Capability&amp;Mechanism” column: Invalid Separator:"" &amp; CHAR(10) &amp; ""Insert separator “&lt;&lt;mechanism to realize the capability&gt;&gt;.”"",
 IF(
  LEN(TRIM(CLEAN(
    INDEX(
  "&amp;"    SPLIT(BA83,""&lt;&lt;mechanism to realize the capability&gt;&gt;"",FALSE,FALSE),
      1
    )
  )))=0,
  ""!! Error !! “Capability&amp;Mechanism” column: No Capability:""  &amp; CHAR(10) &amp; ""Describe Capability before separator."",
  INDEX(
    SPLIT(BA83,""&lt;&lt;mechanism "&amp;"to realize the capability&gt;&gt;"",FALSE,FALSE),
    1
  )
 )
)
"),"!! Error !! “Capability&amp;Mechanism” column: No Capability:
Describe Capability before separator.")</f>
        <v>!! Error !! “Capability&amp;Mechanism” column: No Capability:
Describe Capability before separator.</v>
      </c>
      <c r="BE83" s="190"/>
      <c r="BF83" s="195"/>
      <c r="BG83" s="42"/>
      <c r="BH83" s="190"/>
      <c r="BI83" s="196"/>
      <c r="BJ83" s="42"/>
      <c r="BK83" s="42"/>
      <c r="BL83" s="203"/>
      <c r="BM83" s="203"/>
      <c r="BN83" s="42"/>
      <c r="BO83" s="42"/>
      <c r="BP83" s="143"/>
      <c r="BQ83" s="143"/>
      <c r="BR83" s="192"/>
      <c r="BS83" s="192"/>
      <c r="BT83" s="192"/>
      <c r="BU83" s="192"/>
      <c r="BV83" s="192"/>
      <c r="BW83" s="192"/>
      <c r="BX83" s="146" t="str">
        <f t="shared" si="8"/>
        <v/>
      </c>
    </row>
    <row r="84">
      <c r="A84" s="106" t="str">
        <f t="shared" si="1"/>
        <v/>
      </c>
      <c r="B84" s="183" t="str">
        <f t="array" ref="B84">IF(ISBLANK($AE84), "-",INDEX(Circuits!A:A,SUMPRODUCT(EXACT($AE84,Circuits!$A:$A)*ROW(Circuits!$A:$A))))</f>
        <v>-</v>
      </c>
      <c r="C84" s="183" t="str">
        <f t="array" ref="C84">IF(ISBLANK($AE84), "-",INDEX(Circuits!B:B,SUMPRODUCT(EXACT($AE84,Circuits!$A:$A)*ROW(Circuits!$A:$A))))</f>
        <v>-</v>
      </c>
      <c r="D84" s="183" t="str">
        <f t="array" ref="D84">IF(ISBLANK($AE84), "-",INDEX(Circuits!C:C,SUMPRODUCT(EXACT($AE84,Circuits!$A:$A)*ROW(Circuits!$A:$A))))</f>
        <v>-</v>
      </c>
      <c r="E84" s="183" t="str">
        <f t="array" ref="E84">IF(ISBLANK($AE84), "-",INDEX(Circuits!D:D,SUMPRODUCT(EXACT($AE84,Circuits!$A:$A)*ROW(Circuits!$A:$A))))</f>
        <v>-</v>
      </c>
      <c r="F84" s="183" t="str">
        <f t="array" ref="F84">IF(ISBLANK($AE84), "-",INDEX(Circuits!E:E,SUMPRODUCT(EXACT($AE84,Circuits!$A:$A)*ROW(Circuits!$A:$A))))</f>
        <v>-</v>
      </c>
      <c r="G84" s="183" t="str">
        <f t="array" ref="G84">IF(ISBLANK($AE84), "-",INDEX(Circuits!F:F,SUMPRODUCT(EXACT($AE84,Circuits!$A:$A)*ROW(Circuits!$A:$A))))</f>
        <v>-</v>
      </c>
      <c r="H84" s="183" t="str">
        <f t="array" ref="H84">IF(ISBLANK($AE84), "-",INDEX(Circuits!G:G,SUMPRODUCT(EXACT($AE84,Circuits!$A:$A)*ROW(Circuits!$A:$A))))</f>
        <v>-</v>
      </c>
      <c r="I84" s="183" t="str">
        <f t="array" ref="I84">IF(ISBLANK($AE84), "-",INDEX(Circuits!H:H,SUMPRODUCT(EXACT($AE84,Circuits!$A:$A)*ROW(Circuits!$A:$A))))</f>
        <v>-</v>
      </c>
      <c r="J84" s="183" t="str">
        <f t="array" ref="J84">IF(ISBLANK($AE84), "-",INDEX(Circuits!I:I,SUMPRODUCT(EXACT($AE84,Circuits!$A:$A)*ROW(Circuits!$A:$A))))</f>
        <v>-</v>
      </c>
      <c r="K84" s="183" t="str">
        <f t="array" ref="K84">IF(ISBLANK($AE84), "-",INDEX(Circuits!J:J,SUMPRODUCT(EXACT($AE84,Circuits!$A:$A)*ROW(Circuits!$A:$A))))</f>
        <v>-</v>
      </c>
      <c r="L84" s="183" t="str">
        <f t="array" ref="L84">IF(ISBLANK($AE84), "-",INDEX(Circuits!K:K,SUMPRODUCT(EXACT($AE84,Circuits!$A:$A)*ROW(Circuits!$A:$A))))</f>
        <v>-</v>
      </c>
      <c r="M84" s="183" t="str">
        <f t="array" ref="M84">IF(ISBLANK($AE84), "-",INDEX(Circuits!L:L,SUMPRODUCT(EXACT($AE84,Circuits!$A:$A)*ROW(Circuits!$A:$A))))</f>
        <v>-</v>
      </c>
      <c r="N84" s="183" t="str">
        <f t="array" ref="N84">IF(ISBLANK($AE84), "-",INDEX(Circuits!M:M,SUMPRODUCT(EXACT($AE84,Circuits!$A:$A)*ROW(Circuits!$A:$A))))</f>
        <v>-</v>
      </c>
      <c r="O84" s="183" t="str">
        <f t="array" ref="O84">IF(ISBLANK($AE84), "-",INDEX(Circuits!N:N,SUMPRODUCT(EXACT($AE84,Circuits!$A:$A)*ROW(Circuits!$A:$A))))</f>
        <v>-</v>
      </c>
      <c r="P84" s="183" t="str">
        <f t="array" ref="P84">IF(ISBLANK($AE84), "-",INDEX(Circuits!O:O,SUMPRODUCT(EXACT($AE84,Circuits!$A:$A)*ROW(Circuits!$A:$A))))</f>
        <v>-</v>
      </c>
      <c r="Q84" s="183" t="str">
        <f t="array" ref="Q84">IF(ISBLANK($AE84), "-",INDEX(Circuits!P:P,SUMPRODUCT(EXACT($AE84,Circuits!$A:$A)*ROW(Circuits!$A:$A))))</f>
        <v>-</v>
      </c>
      <c r="R84" s="183" t="str">
        <f t="array" ref="R84">IF(ISBLANK($AE84), "-",INDEX(Circuits!Q:Q,SUMPRODUCT(EXACT($AE84,Circuits!$A:$A)*ROW(Circuits!$A:$A))))</f>
        <v>-</v>
      </c>
      <c r="S84" s="183" t="str">
        <f t="array" ref="S84">IF(ISBLANK($AE84), "-",INDEX(Circuits!R:R,SUMPRODUCT(EXACT($AE84,Circuits!$A:$A)*ROW(Circuits!$A:$A))))</f>
        <v>-</v>
      </c>
      <c r="T84" s="183" t="str">
        <f t="array" ref="T84">IF(ISBLANK($AE84), "-",INDEX(Circuits!S:S,SUMPRODUCT(EXACT($AE84,Circuits!$A:$A)*ROW(Circuits!$A:$A))))</f>
        <v>-</v>
      </c>
      <c r="U84" s="183" t="str">
        <f t="array" ref="U84">IF(ISBLANK($AE84), "-",INDEX(Circuits!T:T,SUMPRODUCT(EXACT($AE84,Circuits!$A:$A)*ROW(Circuits!$A:$A))))</f>
        <v>-</v>
      </c>
      <c r="V84" s="183" t="str">
        <f t="array" ref="V84">IF(ISBLANK($AE84), "-",INDEX(Circuits!U:U,SUMPRODUCT(EXACT($AE84,Circuits!$A:$A)*ROW(Circuits!$A:$A))))</f>
        <v>-</v>
      </c>
      <c r="W84" s="183" t="str">
        <f t="array" ref="W84">IF(ISBLANK($AE84), "-",INDEX(Circuits!V:V,SUMPRODUCT(EXACT($AE84,Circuits!$A:$A)*ROW(Circuits!$A:$A))))</f>
        <v>-</v>
      </c>
      <c r="X84" s="183" t="str">
        <f t="array" ref="X84">IF(ISBLANK($AE84), "-",INDEX(Circuits!W:W,SUMPRODUCT(EXACT($AE84,Circuits!$A:$A)*ROW(Circuits!$A:$A))))</f>
        <v>-</v>
      </c>
      <c r="Y84" s="183" t="str">
        <f t="array" ref="Y84">IF(ISBLANK($AE84), "-",INDEX(Circuits!X:X,SUMPRODUCT(EXACT($AE84,Circuits!$A:$A)*ROW(Circuits!$A:$A))))</f>
        <v>-</v>
      </c>
      <c r="Z84" s="108" t="str">
        <f>IFERROR(__xludf.DUMMYFUNCTION("IFNA(CONCATENATE(UNIQUE(FILTER(Connections!R:R,Connections!A:A=B84))),""-"")"),"-")</f>
        <v>-</v>
      </c>
      <c r="AA84" s="119" t="str">
        <f t="array" ref="AA84">IF(ISBLANK($AE84), "-",INDEX(Circuits!Y:Y,SUMPRODUCT(EXACT($AE84,Circuits!$A:$A)*ROW(Circuits!$A:$A))))</f>
        <v>-</v>
      </c>
      <c r="AB84" s="121" t="str">
        <f t="array" ref="AB84">IF(ISBLANK($AE84), "-",INDEX(Circuits!Z:Z,SUMPRODUCT(EXACT($AE84,Circuits!$A:$A)*ROW(Circuits!$A:$A))))</f>
        <v>-</v>
      </c>
      <c r="AC84" s="194"/>
      <c r="AD84" s="194"/>
      <c r="AE84" s="40"/>
      <c r="AF84" s="43"/>
      <c r="AG84" s="126" t="str">
        <f>IFERROR(__xludf.DUMMYFUNCTION("IF(ISBLANK(AF84), """", TEXTJOIN(CHAR(10),TRUE,ARRAYFORMULA(IF(ISERROR(SEARCH(SPLIT(AF84, "";""), $Z84)), ""x"", ""-""))))"),"")</f>
        <v/>
      </c>
      <c r="AH84" s="127" t="str">
        <f>IFERROR(__xludf.DUMMYFUNCTION("IF(ISBLANK(AK84), """", TEXTJOIN("";"" &amp; CHAR(10), TRUE, UNIQUE(SPLIT(AK84, "";"" &amp; CHAR(10)), TRUE))&amp;"";"")"),"")</f>
        <v/>
      </c>
      <c r="AI84" s="128" t="str">
        <f>IFERROR(__xludf.DUMMYFUNCTION("IF(ISBLANK(AD84), IF(ISBLANK(AE84),,IFNA(TEXTJOIN("";"" &amp; CHAR(10), TRUE, FILTER(AE:AE, SEARCH(AE84&amp;"";"", AJ:AJ)))&amp;"";"", """")), TEXTJOIN("";"" &amp; CHAR(10), TRUE, UNIQUE(SPLIT(AH84 &amp; "";"" &amp; AH84 &amp; "";"" &amp; AL84, "";"" &amp; CHAR(10)), TRUE, TRUE))&amp;"";"")"),"")</f>
        <v/>
      </c>
      <c r="AJ84" s="126" t="str">
        <f>IFERROR(__xludf.DUMMYFUNCTION("IF(AN84="""", """", TEXTJOIN("";"" &amp; CHAR(10), TRUE, UNIQUE(SPLIT(AH84 &amp; "";"" &amp; AH84 &amp; "";"" &amp; AN84, "";"" &amp; CHAR(10)), TRUE, TRUE))&amp;"";"")"),"")</f>
        <v/>
      </c>
      <c r="AK84" s="129" t="str">
        <f>IFERROR(__xludf.DUMMYFUNCTION("IF(ISBLANK(AD84), IF(ISBLANK(AE84),,AE84 &amp; "";""), TEXTJOIN(CHAR(10), TRUE, ARRAYFORMULA(VLOOKUP(SPLIT(AD84, "";"" &amp; CHAR(10)), $AC:$AH, 6, FALSE))))"),"")</f>
        <v/>
      </c>
      <c r="AL84" s="130" t="str">
        <f>IFERROR(__xludf.DUMMYFUNCTION("IF(AM84="""", """", TEXTJOIN("";"" &amp; CHAR(10), TRUE, UNIQUE(SPLIT(AM84, "";"" &amp; CHAR(10)), TRUE))&amp;"";"")"),"")</f>
        <v/>
      </c>
      <c r="AM84" s="130" t="str">
        <f>IFERROR(__xludf.DUMMYFUNCTION("IF(ISBLANK(AD84), """", TEXTJOIN(CHAR(10), TRUE, ARRAYFORMULA(VLOOKUP(SPLIT(AH84, "";"" &amp; CHAR(10)), $AE:$AI, 5, FALSE)), AF84))"),"")</f>
        <v/>
      </c>
      <c r="AN84" s="132" t="str">
        <f>IFERROR(__xludf.DUMMYFUNCTION("IF(ISBLANK(AO84), """", TEXTJOIN("";"" &amp; CHAR(10), TRUE, UNIQUE(SPLIT(AO84, "";"" &amp; CHAR(10)), TRUE))&amp;"";"")"),"")</f>
        <v/>
      </c>
      <c r="AO84" s="134" t="str">
        <f>IFERROR(__xludf.DUMMYFUNCTION("IF(ISBLANK(AD84), AF84, TEXTJOIN(CHAR(10), TRUE, ARRAYFORMULA(VLOOKUP(SPLIT(AD84, "";"" &amp; CHAR(10)), $AC:$AN, 12, FALSE))))"),"")</f>
        <v/>
      </c>
      <c r="AP84" s="130" t="str">
        <f>IF(ISBLANK(AE84),,IF(IFERROR(SEARCH(AE84&amp;";",Circuits!$AO$2),0),TRUE,FALSE))</f>
        <v/>
      </c>
      <c r="AQ84" s="130" t="str">
        <f t="shared" si="2"/>
        <v/>
      </c>
      <c r="AR84" s="130" t="str">
        <f t="shared" si="3"/>
        <v/>
      </c>
      <c r="AS84" s="136" t="str">
        <f>IFERROR(__xludf.DUMMYFUNCTION("IF(AH84="""",,SUM(ARRAYFORMULA(IF(IFERROR(SEARCH(SPLIT(AH84,CHAR(10)),Circuits!$AO$2),0)&gt;0,0,1))))"),"")</f>
        <v/>
      </c>
      <c r="AT84" s="138" t="str">
        <f t="shared" si="4"/>
        <v/>
      </c>
      <c r="AU84" s="138" t="str">
        <f t="shared" si="5"/>
        <v/>
      </c>
      <c r="AV84" s="130" t="str">
        <f>IFERROR(__xludf.DUMMYFUNCTION("IF(AI84="""",,TEXTJOIN("", "",TRUE,ARRAYFORMULA(VLOOKUP(SPLIT(AI84,"";""&amp;CHAR(10)),AE:AT,16,FALSE))))"),"")</f>
        <v/>
      </c>
      <c r="AW84" s="130" t="str">
        <f>IFERROR(__xludf.DUMMYFUNCTION("IF(ISBLANK(BK84),,TEXTJOIN("", "",TRUE,ARRAYFORMULA(VLOOKUP(IFERROR(REGEXEXTRACT(SPLIT(BK84,"";""&amp;CHAR(10)),""\[(.+)\]"")),AE:AT,16,false))))"),"")</f>
        <v/>
      </c>
      <c r="AX84" s="139" t="str">
        <f t="shared" si="6"/>
        <v/>
      </c>
      <c r="AY84" s="139" t="str">
        <f t="shared" si="7"/>
        <v/>
      </c>
      <c r="AZ84" s="106" t="str">
        <f>IFERROR(__xludf.DUMMYFUNCTION("IF(ISBLANK(AD84), BC84, TEXTJOIN(CHAR(10) &amp; CHAR(10), TRUE, ARRAYFORMULA(VLOOKUP(SPLIT(AD84, "";"" &amp; CHAR(10)), $AC:$AY, 23, FALSE))))"),"")</f>
        <v/>
      </c>
      <c r="BA84" s="140" t="s">
        <v>66</v>
      </c>
      <c r="BB84" s="190"/>
      <c r="BC84" s="196"/>
      <c r="BD84" s="106" t="str">
        <f>IFERROR(__xludf.DUMMYFUNCTION("IF(IFERROR(SEARCH(""&lt;&lt;mechanism to realize the capability&gt;&gt;"",BA84),0)=0,
 ""!! Error !! “Capability&amp;Mechanism” column: Invalid Separator:"" &amp; CHAR(10) &amp; ""Insert separator “&lt;&lt;mechanism to realize the capability&gt;&gt;.”"",
 IF(
  LEN(TRIM(CLEAN(
    INDEX(
  "&amp;"    SPLIT(BA84,""&lt;&lt;mechanism to realize the capability&gt;&gt;"",FALSE,FALSE),
      1
    )
  )))=0,
  ""!! Error !! “Capability&amp;Mechanism” column: No Capability:""  &amp; CHAR(10) &amp; ""Describe Capability before separator."",
  INDEX(
    SPLIT(BA84,""&lt;&lt;mechanism "&amp;"to realize the capability&gt;&gt;"",FALSE,FALSE),
    1
  )
 )
)
"),"!! Error !! “Capability&amp;Mechanism” column: No Capability:
Describe Capability before separator.")</f>
        <v>!! Error !! “Capability&amp;Mechanism” column: No Capability:
Describe Capability before separator.</v>
      </c>
      <c r="BE84" s="190"/>
      <c r="BF84" s="195"/>
      <c r="BG84" s="42"/>
      <c r="BH84" s="190"/>
      <c r="BI84" s="196"/>
      <c r="BJ84" s="42"/>
      <c r="BK84" s="42"/>
      <c r="BL84" s="203"/>
      <c r="BM84" s="203"/>
      <c r="BN84" s="42"/>
      <c r="BO84" s="42"/>
      <c r="BP84" s="143"/>
      <c r="BQ84" s="143"/>
      <c r="BR84" s="192"/>
      <c r="BS84" s="192"/>
      <c r="BT84" s="192"/>
      <c r="BU84" s="192"/>
      <c r="BV84" s="192"/>
      <c r="BW84" s="192"/>
      <c r="BX84" s="146" t="str">
        <f t="shared" si="8"/>
        <v/>
      </c>
    </row>
    <row r="85">
      <c r="A85" s="106" t="str">
        <f t="shared" si="1"/>
        <v/>
      </c>
      <c r="B85" s="183" t="str">
        <f t="array" ref="B85">IF(ISBLANK($AE85), "-",INDEX(Circuits!A:A,SUMPRODUCT(EXACT($AE85,Circuits!$A:$A)*ROW(Circuits!$A:$A))))</f>
        <v>-</v>
      </c>
      <c r="C85" s="183" t="str">
        <f t="array" ref="C85">IF(ISBLANK($AE85), "-",INDEX(Circuits!B:B,SUMPRODUCT(EXACT($AE85,Circuits!$A:$A)*ROW(Circuits!$A:$A))))</f>
        <v>-</v>
      </c>
      <c r="D85" s="183" t="str">
        <f t="array" ref="D85">IF(ISBLANK($AE85), "-",INDEX(Circuits!C:C,SUMPRODUCT(EXACT($AE85,Circuits!$A:$A)*ROW(Circuits!$A:$A))))</f>
        <v>-</v>
      </c>
      <c r="E85" s="183" t="str">
        <f t="array" ref="E85">IF(ISBLANK($AE85), "-",INDEX(Circuits!D:D,SUMPRODUCT(EXACT($AE85,Circuits!$A:$A)*ROW(Circuits!$A:$A))))</f>
        <v>-</v>
      </c>
      <c r="F85" s="183" t="str">
        <f t="array" ref="F85">IF(ISBLANK($AE85), "-",INDEX(Circuits!E:E,SUMPRODUCT(EXACT($AE85,Circuits!$A:$A)*ROW(Circuits!$A:$A))))</f>
        <v>-</v>
      </c>
      <c r="G85" s="183" t="str">
        <f t="array" ref="G85">IF(ISBLANK($AE85), "-",INDEX(Circuits!F:F,SUMPRODUCT(EXACT($AE85,Circuits!$A:$A)*ROW(Circuits!$A:$A))))</f>
        <v>-</v>
      </c>
      <c r="H85" s="183" t="str">
        <f t="array" ref="H85">IF(ISBLANK($AE85), "-",INDEX(Circuits!G:G,SUMPRODUCT(EXACT($AE85,Circuits!$A:$A)*ROW(Circuits!$A:$A))))</f>
        <v>-</v>
      </c>
      <c r="I85" s="183" t="str">
        <f t="array" ref="I85">IF(ISBLANK($AE85), "-",INDEX(Circuits!H:H,SUMPRODUCT(EXACT($AE85,Circuits!$A:$A)*ROW(Circuits!$A:$A))))</f>
        <v>-</v>
      </c>
      <c r="J85" s="183" t="str">
        <f t="array" ref="J85">IF(ISBLANK($AE85), "-",INDEX(Circuits!I:I,SUMPRODUCT(EXACT($AE85,Circuits!$A:$A)*ROW(Circuits!$A:$A))))</f>
        <v>-</v>
      </c>
      <c r="K85" s="183" t="str">
        <f t="array" ref="K85">IF(ISBLANK($AE85), "-",INDEX(Circuits!J:J,SUMPRODUCT(EXACT($AE85,Circuits!$A:$A)*ROW(Circuits!$A:$A))))</f>
        <v>-</v>
      </c>
      <c r="L85" s="183" t="str">
        <f t="array" ref="L85">IF(ISBLANK($AE85), "-",INDEX(Circuits!K:K,SUMPRODUCT(EXACT($AE85,Circuits!$A:$A)*ROW(Circuits!$A:$A))))</f>
        <v>-</v>
      </c>
      <c r="M85" s="183" t="str">
        <f t="array" ref="M85">IF(ISBLANK($AE85), "-",INDEX(Circuits!L:L,SUMPRODUCT(EXACT($AE85,Circuits!$A:$A)*ROW(Circuits!$A:$A))))</f>
        <v>-</v>
      </c>
      <c r="N85" s="183" t="str">
        <f t="array" ref="N85">IF(ISBLANK($AE85), "-",INDEX(Circuits!M:M,SUMPRODUCT(EXACT($AE85,Circuits!$A:$A)*ROW(Circuits!$A:$A))))</f>
        <v>-</v>
      </c>
      <c r="O85" s="183" t="str">
        <f t="array" ref="O85">IF(ISBLANK($AE85), "-",INDEX(Circuits!N:N,SUMPRODUCT(EXACT($AE85,Circuits!$A:$A)*ROW(Circuits!$A:$A))))</f>
        <v>-</v>
      </c>
      <c r="P85" s="183" t="str">
        <f t="array" ref="P85">IF(ISBLANK($AE85), "-",INDEX(Circuits!O:O,SUMPRODUCT(EXACT($AE85,Circuits!$A:$A)*ROW(Circuits!$A:$A))))</f>
        <v>-</v>
      </c>
      <c r="Q85" s="183" t="str">
        <f t="array" ref="Q85">IF(ISBLANK($AE85), "-",INDEX(Circuits!P:P,SUMPRODUCT(EXACT($AE85,Circuits!$A:$A)*ROW(Circuits!$A:$A))))</f>
        <v>-</v>
      </c>
      <c r="R85" s="183" t="str">
        <f t="array" ref="R85">IF(ISBLANK($AE85), "-",INDEX(Circuits!Q:Q,SUMPRODUCT(EXACT($AE85,Circuits!$A:$A)*ROW(Circuits!$A:$A))))</f>
        <v>-</v>
      </c>
      <c r="S85" s="183" t="str">
        <f t="array" ref="S85">IF(ISBLANK($AE85), "-",INDEX(Circuits!R:R,SUMPRODUCT(EXACT($AE85,Circuits!$A:$A)*ROW(Circuits!$A:$A))))</f>
        <v>-</v>
      </c>
      <c r="T85" s="183" t="str">
        <f t="array" ref="T85">IF(ISBLANK($AE85), "-",INDEX(Circuits!S:S,SUMPRODUCT(EXACT($AE85,Circuits!$A:$A)*ROW(Circuits!$A:$A))))</f>
        <v>-</v>
      </c>
      <c r="U85" s="183" t="str">
        <f t="array" ref="U85">IF(ISBLANK($AE85), "-",INDEX(Circuits!T:T,SUMPRODUCT(EXACT($AE85,Circuits!$A:$A)*ROW(Circuits!$A:$A))))</f>
        <v>-</v>
      </c>
      <c r="V85" s="183" t="str">
        <f t="array" ref="V85">IF(ISBLANK($AE85), "-",INDEX(Circuits!U:U,SUMPRODUCT(EXACT($AE85,Circuits!$A:$A)*ROW(Circuits!$A:$A))))</f>
        <v>-</v>
      </c>
      <c r="W85" s="183" t="str">
        <f t="array" ref="W85">IF(ISBLANK($AE85), "-",INDEX(Circuits!V:V,SUMPRODUCT(EXACT($AE85,Circuits!$A:$A)*ROW(Circuits!$A:$A))))</f>
        <v>-</v>
      </c>
      <c r="X85" s="183" t="str">
        <f t="array" ref="X85">IF(ISBLANK($AE85), "-",INDEX(Circuits!W:W,SUMPRODUCT(EXACT($AE85,Circuits!$A:$A)*ROW(Circuits!$A:$A))))</f>
        <v>-</v>
      </c>
      <c r="Y85" s="183" t="str">
        <f t="array" ref="Y85">IF(ISBLANK($AE85), "-",INDEX(Circuits!X:X,SUMPRODUCT(EXACT($AE85,Circuits!$A:$A)*ROW(Circuits!$A:$A))))</f>
        <v>-</v>
      </c>
      <c r="Z85" s="108" t="str">
        <f>IFERROR(__xludf.DUMMYFUNCTION("IFNA(CONCATENATE(UNIQUE(FILTER(Connections!R:R,Connections!A:A=B85))),""-"")"),"-")</f>
        <v>-</v>
      </c>
      <c r="AA85" s="119" t="str">
        <f t="array" ref="AA85">IF(ISBLANK($AE85), "-",INDEX(Circuits!Y:Y,SUMPRODUCT(EXACT($AE85,Circuits!$A:$A)*ROW(Circuits!$A:$A))))</f>
        <v>-</v>
      </c>
      <c r="AB85" s="121" t="str">
        <f t="array" ref="AB85">IF(ISBLANK($AE85), "-",INDEX(Circuits!Z:Z,SUMPRODUCT(EXACT($AE85,Circuits!$A:$A)*ROW(Circuits!$A:$A))))</f>
        <v>-</v>
      </c>
      <c r="AC85" s="194"/>
      <c r="AD85" s="194"/>
      <c r="AE85" s="40"/>
      <c r="AF85" s="43"/>
      <c r="AG85" s="126" t="str">
        <f>IFERROR(__xludf.DUMMYFUNCTION("IF(ISBLANK(AF85), """", TEXTJOIN(CHAR(10),TRUE,ARRAYFORMULA(IF(ISERROR(SEARCH(SPLIT(AF85, "";""), $Z85)), ""x"", ""-""))))"),"")</f>
        <v/>
      </c>
      <c r="AH85" s="127" t="str">
        <f>IFERROR(__xludf.DUMMYFUNCTION("IF(ISBLANK(AK85), """", TEXTJOIN("";"" &amp; CHAR(10), TRUE, UNIQUE(SPLIT(AK85, "";"" &amp; CHAR(10)), TRUE))&amp;"";"")"),"")</f>
        <v/>
      </c>
      <c r="AI85" s="128" t="str">
        <f>IFERROR(__xludf.DUMMYFUNCTION("IF(ISBLANK(AD85), IF(ISBLANK(AE85),,IFNA(TEXTJOIN("";"" &amp; CHAR(10), TRUE, FILTER(AE:AE, SEARCH(AE85&amp;"";"", AJ:AJ)))&amp;"";"", """")), TEXTJOIN("";"" &amp; CHAR(10), TRUE, UNIQUE(SPLIT(AH85 &amp; "";"" &amp; AH85 &amp; "";"" &amp; AL85, "";"" &amp; CHAR(10)), TRUE, TRUE))&amp;"";"")"),"")</f>
        <v/>
      </c>
      <c r="AJ85" s="126" t="str">
        <f>IFERROR(__xludf.DUMMYFUNCTION("IF(AN85="""", """", TEXTJOIN("";"" &amp; CHAR(10), TRUE, UNIQUE(SPLIT(AH85 &amp; "";"" &amp; AH85 &amp; "";"" &amp; AN85, "";"" &amp; CHAR(10)), TRUE, TRUE))&amp;"";"")"),"")</f>
        <v/>
      </c>
      <c r="AK85" s="129" t="str">
        <f>IFERROR(__xludf.DUMMYFUNCTION("IF(ISBLANK(AD85), IF(ISBLANK(AE85),,AE85 &amp; "";""), TEXTJOIN(CHAR(10), TRUE, ARRAYFORMULA(VLOOKUP(SPLIT(AD85, "";"" &amp; CHAR(10)), $AC:$AH, 6, FALSE))))"),"")</f>
        <v/>
      </c>
      <c r="AL85" s="130" t="str">
        <f>IFERROR(__xludf.DUMMYFUNCTION("IF(AM85="""", """", TEXTJOIN("";"" &amp; CHAR(10), TRUE, UNIQUE(SPLIT(AM85, "";"" &amp; CHAR(10)), TRUE))&amp;"";"")"),"")</f>
        <v/>
      </c>
      <c r="AM85" s="130" t="str">
        <f>IFERROR(__xludf.DUMMYFUNCTION("IF(ISBLANK(AD85), """", TEXTJOIN(CHAR(10), TRUE, ARRAYFORMULA(VLOOKUP(SPLIT(AH85, "";"" &amp; CHAR(10)), $AE:$AI, 5, FALSE)), AF85))"),"")</f>
        <v/>
      </c>
      <c r="AN85" s="132" t="str">
        <f>IFERROR(__xludf.DUMMYFUNCTION("IF(ISBLANK(AO85), """", TEXTJOIN("";"" &amp; CHAR(10), TRUE, UNIQUE(SPLIT(AO85, "";"" &amp; CHAR(10)), TRUE))&amp;"";"")"),"")</f>
        <v/>
      </c>
      <c r="AO85" s="134" t="str">
        <f>IFERROR(__xludf.DUMMYFUNCTION("IF(ISBLANK(AD85), AF85, TEXTJOIN(CHAR(10), TRUE, ARRAYFORMULA(VLOOKUP(SPLIT(AD85, "";"" &amp; CHAR(10)), $AC:$AN, 12, FALSE))))"),"")</f>
        <v/>
      </c>
      <c r="AP85" s="130" t="str">
        <f>IF(ISBLANK(AE85),,IF(IFERROR(SEARCH(AE85&amp;";",Circuits!$AO$2),0),TRUE,FALSE))</f>
        <v/>
      </c>
      <c r="AQ85" s="130" t="str">
        <f t="shared" si="2"/>
        <v/>
      </c>
      <c r="AR85" s="130" t="str">
        <f t="shared" si="3"/>
        <v/>
      </c>
      <c r="AS85" s="136" t="str">
        <f>IFERROR(__xludf.DUMMYFUNCTION("IF(AH85="""",,SUM(ARRAYFORMULA(IF(IFERROR(SEARCH(SPLIT(AH85,CHAR(10)),Circuits!$AO$2),0)&gt;0,0,1))))"),"")</f>
        <v/>
      </c>
      <c r="AT85" s="138" t="str">
        <f t="shared" si="4"/>
        <v/>
      </c>
      <c r="AU85" s="138" t="str">
        <f t="shared" si="5"/>
        <v/>
      </c>
      <c r="AV85" s="130" t="str">
        <f>IFERROR(__xludf.DUMMYFUNCTION("IF(AI85="""",,TEXTJOIN("", "",TRUE,ARRAYFORMULA(VLOOKUP(SPLIT(AI85,"";""&amp;CHAR(10)),AE:AT,16,FALSE))))"),"")</f>
        <v/>
      </c>
      <c r="AW85" s="130" t="str">
        <f>IFERROR(__xludf.DUMMYFUNCTION("IF(ISBLANK(BK85),,TEXTJOIN("", "",TRUE,ARRAYFORMULA(VLOOKUP(IFERROR(REGEXEXTRACT(SPLIT(BK85,"";""&amp;CHAR(10)),""\[(.+)\]"")),AE:AT,16,false))))"),"")</f>
        <v/>
      </c>
      <c r="AX85" s="139" t="str">
        <f t="shared" si="6"/>
        <v/>
      </c>
      <c r="AY85" s="139" t="str">
        <f t="shared" si="7"/>
        <v/>
      </c>
      <c r="AZ85" s="106" t="str">
        <f>IFERROR(__xludf.DUMMYFUNCTION("IF(ISBLANK(AD85), BC85, TEXTJOIN(CHAR(10) &amp; CHAR(10), TRUE, ARRAYFORMULA(VLOOKUP(SPLIT(AD85, "";"" &amp; CHAR(10)), $AC:$AY, 23, FALSE))))"),"")</f>
        <v/>
      </c>
      <c r="BA85" s="140" t="s">
        <v>66</v>
      </c>
      <c r="BB85" s="190"/>
      <c r="BC85" s="196"/>
      <c r="BD85" s="106" t="str">
        <f>IFERROR(__xludf.DUMMYFUNCTION("IF(IFERROR(SEARCH(""&lt;&lt;mechanism to realize the capability&gt;&gt;"",BA85),0)=0,
 ""!! Error !! “Capability&amp;Mechanism” column: Invalid Separator:"" &amp; CHAR(10) &amp; ""Insert separator “&lt;&lt;mechanism to realize the capability&gt;&gt;.”"",
 IF(
  LEN(TRIM(CLEAN(
    INDEX(
  "&amp;"    SPLIT(BA85,""&lt;&lt;mechanism to realize the capability&gt;&gt;"",FALSE,FALSE),
      1
    )
  )))=0,
  ""!! Error !! “Capability&amp;Mechanism” column: No Capability:""  &amp; CHAR(10) &amp; ""Describe Capability before separator."",
  INDEX(
    SPLIT(BA85,""&lt;&lt;mechanism "&amp;"to realize the capability&gt;&gt;"",FALSE,FALSE),
    1
  )
 )
)
"),"!! Error !! “Capability&amp;Mechanism” column: No Capability:
Describe Capability before separator.")</f>
        <v>!! Error !! “Capability&amp;Mechanism” column: No Capability:
Describe Capability before separator.</v>
      </c>
      <c r="BE85" s="190"/>
      <c r="BF85" s="195"/>
      <c r="BG85" s="42"/>
      <c r="BH85" s="190"/>
      <c r="BI85" s="196"/>
      <c r="BJ85" s="42"/>
      <c r="BK85" s="42"/>
      <c r="BL85" s="203"/>
      <c r="BM85" s="203"/>
      <c r="BN85" s="42"/>
      <c r="BO85" s="42"/>
      <c r="BP85" s="143"/>
      <c r="BQ85" s="143"/>
      <c r="BR85" s="192"/>
      <c r="BS85" s="192"/>
      <c r="BT85" s="192"/>
      <c r="BU85" s="192"/>
      <c r="BV85" s="192"/>
      <c r="BW85" s="192"/>
      <c r="BX85" s="146" t="str">
        <f t="shared" si="8"/>
        <v/>
      </c>
    </row>
    <row r="86">
      <c r="A86" s="106" t="str">
        <f t="shared" si="1"/>
        <v/>
      </c>
      <c r="B86" s="183" t="str">
        <f t="array" ref="B86">IF(ISBLANK($AE86), "-",INDEX(Circuits!A:A,SUMPRODUCT(EXACT($AE86,Circuits!$A:$A)*ROW(Circuits!$A:$A))))</f>
        <v>-</v>
      </c>
      <c r="C86" s="183" t="str">
        <f t="array" ref="C86">IF(ISBLANK($AE86), "-",INDEX(Circuits!B:B,SUMPRODUCT(EXACT($AE86,Circuits!$A:$A)*ROW(Circuits!$A:$A))))</f>
        <v>-</v>
      </c>
      <c r="D86" s="183" t="str">
        <f t="array" ref="D86">IF(ISBLANK($AE86), "-",INDEX(Circuits!C:C,SUMPRODUCT(EXACT($AE86,Circuits!$A:$A)*ROW(Circuits!$A:$A))))</f>
        <v>-</v>
      </c>
      <c r="E86" s="183" t="str">
        <f t="array" ref="E86">IF(ISBLANK($AE86), "-",INDEX(Circuits!D:D,SUMPRODUCT(EXACT($AE86,Circuits!$A:$A)*ROW(Circuits!$A:$A))))</f>
        <v>-</v>
      </c>
      <c r="F86" s="183" t="str">
        <f t="array" ref="F86">IF(ISBLANK($AE86), "-",INDEX(Circuits!E:E,SUMPRODUCT(EXACT($AE86,Circuits!$A:$A)*ROW(Circuits!$A:$A))))</f>
        <v>-</v>
      </c>
      <c r="G86" s="183" t="str">
        <f t="array" ref="G86">IF(ISBLANK($AE86), "-",INDEX(Circuits!F:F,SUMPRODUCT(EXACT($AE86,Circuits!$A:$A)*ROW(Circuits!$A:$A))))</f>
        <v>-</v>
      </c>
      <c r="H86" s="183" t="str">
        <f t="array" ref="H86">IF(ISBLANK($AE86), "-",INDEX(Circuits!G:G,SUMPRODUCT(EXACT($AE86,Circuits!$A:$A)*ROW(Circuits!$A:$A))))</f>
        <v>-</v>
      </c>
      <c r="I86" s="183" t="str">
        <f t="array" ref="I86">IF(ISBLANK($AE86), "-",INDEX(Circuits!H:H,SUMPRODUCT(EXACT($AE86,Circuits!$A:$A)*ROW(Circuits!$A:$A))))</f>
        <v>-</v>
      </c>
      <c r="J86" s="183" t="str">
        <f t="array" ref="J86">IF(ISBLANK($AE86), "-",INDEX(Circuits!I:I,SUMPRODUCT(EXACT($AE86,Circuits!$A:$A)*ROW(Circuits!$A:$A))))</f>
        <v>-</v>
      </c>
      <c r="K86" s="183" t="str">
        <f t="array" ref="K86">IF(ISBLANK($AE86), "-",INDEX(Circuits!J:J,SUMPRODUCT(EXACT($AE86,Circuits!$A:$A)*ROW(Circuits!$A:$A))))</f>
        <v>-</v>
      </c>
      <c r="L86" s="183" t="str">
        <f t="array" ref="L86">IF(ISBLANK($AE86), "-",INDEX(Circuits!K:K,SUMPRODUCT(EXACT($AE86,Circuits!$A:$A)*ROW(Circuits!$A:$A))))</f>
        <v>-</v>
      </c>
      <c r="M86" s="183" t="str">
        <f t="array" ref="M86">IF(ISBLANK($AE86), "-",INDEX(Circuits!L:L,SUMPRODUCT(EXACT($AE86,Circuits!$A:$A)*ROW(Circuits!$A:$A))))</f>
        <v>-</v>
      </c>
      <c r="N86" s="183" t="str">
        <f t="array" ref="N86">IF(ISBLANK($AE86), "-",INDEX(Circuits!M:M,SUMPRODUCT(EXACT($AE86,Circuits!$A:$A)*ROW(Circuits!$A:$A))))</f>
        <v>-</v>
      </c>
      <c r="O86" s="183" t="str">
        <f t="array" ref="O86">IF(ISBLANK($AE86), "-",INDEX(Circuits!N:N,SUMPRODUCT(EXACT($AE86,Circuits!$A:$A)*ROW(Circuits!$A:$A))))</f>
        <v>-</v>
      </c>
      <c r="P86" s="183" t="str">
        <f t="array" ref="P86">IF(ISBLANK($AE86), "-",INDEX(Circuits!O:O,SUMPRODUCT(EXACT($AE86,Circuits!$A:$A)*ROW(Circuits!$A:$A))))</f>
        <v>-</v>
      </c>
      <c r="Q86" s="183" t="str">
        <f t="array" ref="Q86">IF(ISBLANK($AE86), "-",INDEX(Circuits!P:P,SUMPRODUCT(EXACT($AE86,Circuits!$A:$A)*ROW(Circuits!$A:$A))))</f>
        <v>-</v>
      </c>
      <c r="R86" s="183" t="str">
        <f t="array" ref="R86">IF(ISBLANK($AE86), "-",INDEX(Circuits!Q:Q,SUMPRODUCT(EXACT($AE86,Circuits!$A:$A)*ROW(Circuits!$A:$A))))</f>
        <v>-</v>
      </c>
      <c r="S86" s="183" t="str">
        <f t="array" ref="S86">IF(ISBLANK($AE86), "-",INDEX(Circuits!R:R,SUMPRODUCT(EXACT($AE86,Circuits!$A:$A)*ROW(Circuits!$A:$A))))</f>
        <v>-</v>
      </c>
      <c r="T86" s="183" t="str">
        <f t="array" ref="T86">IF(ISBLANK($AE86), "-",INDEX(Circuits!S:S,SUMPRODUCT(EXACT($AE86,Circuits!$A:$A)*ROW(Circuits!$A:$A))))</f>
        <v>-</v>
      </c>
      <c r="U86" s="183" t="str">
        <f t="array" ref="U86">IF(ISBLANK($AE86), "-",INDEX(Circuits!T:T,SUMPRODUCT(EXACT($AE86,Circuits!$A:$A)*ROW(Circuits!$A:$A))))</f>
        <v>-</v>
      </c>
      <c r="V86" s="183" t="str">
        <f t="array" ref="V86">IF(ISBLANK($AE86), "-",INDEX(Circuits!U:U,SUMPRODUCT(EXACT($AE86,Circuits!$A:$A)*ROW(Circuits!$A:$A))))</f>
        <v>-</v>
      </c>
      <c r="W86" s="183" t="str">
        <f t="array" ref="W86">IF(ISBLANK($AE86), "-",INDEX(Circuits!V:V,SUMPRODUCT(EXACT($AE86,Circuits!$A:$A)*ROW(Circuits!$A:$A))))</f>
        <v>-</v>
      </c>
      <c r="X86" s="183" t="str">
        <f t="array" ref="X86">IF(ISBLANK($AE86), "-",INDEX(Circuits!W:W,SUMPRODUCT(EXACT($AE86,Circuits!$A:$A)*ROW(Circuits!$A:$A))))</f>
        <v>-</v>
      </c>
      <c r="Y86" s="183" t="str">
        <f t="array" ref="Y86">IF(ISBLANK($AE86), "-",INDEX(Circuits!X:X,SUMPRODUCT(EXACT($AE86,Circuits!$A:$A)*ROW(Circuits!$A:$A))))</f>
        <v>-</v>
      </c>
      <c r="Z86" s="108" t="str">
        <f>IFERROR(__xludf.DUMMYFUNCTION("IFNA(CONCATENATE(UNIQUE(FILTER(Connections!R:R,Connections!A:A=B86))),""-"")"),"-")</f>
        <v>-</v>
      </c>
      <c r="AA86" s="119" t="str">
        <f t="array" ref="AA86">IF(ISBLANK($AE86), "-",INDEX(Circuits!Y:Y,SUMPRODUCT(EXACT($AE86,Circuits!$A:$A)*ROW(Circuits!$A:$A))))</f>
        <v>-</v>
      </c>
      <c r="AB86" s="121" t="str">
        <f t="array" ref="AB86">IF(ISBLANK($AE86), "-",INDEX(Circuits!Z:Z,SUMPRODUCT(EXACT($AE86,Circuits!$A:$A)*ROW(Circuits!$A:$A))))</f>
        <v>-</v>
      </c>
      <c r="AC86" s="194"/>
      <c r="AD86" s="194"/>
      <c r="AE86" s="40"/>
      <c r="AF86" s="43"/>
      <c r="AG86" s="126" t="str">
        <f>IFERROR(__xludf.DUMMYFUNCTION("IF(ISBLANK(AF86), """", TEXTJOIN(CHAR(10),TRUE,ARRAYFORMULA(IF(ISERROR(SEARCH(SPLIT(AF86, "";""), $Z86)), ""x"", ""-""))))"),"")</f>
        <v/>
      </c>
      <c r="AH86" s="127" t="str">
        <f>IFERROR(__xludf.DUMMYFUNCTION("IF(ISBLANK(AK86), """", TEXTJOIN("";"" &amp; CHAR(10), TRUE, UNIQUE(SPLIT(AK86, "";"" &amp; CHAR(10)), TRUE))&amp;"";"")"),"")</f>
        <v/>
      </c>
      <c r="AI86" s="128" t="str">
        <f>IFERROR(__xludf.DUMMYFUNCTION("IF(ISBLANK(AD86), IF(ISBLANK(AE86),,IFNA(TEXTJOIN("";"" &amp; CHAR(10), TRUE, FILTER(AE:AE, SEARCH(AE86&amp;"";"", AJ:AJ)))&amp;"";"", """")), TEXTJOIN("";"" &amp; CHAR(10), TRUE, UNIQUE(SPLIT(AH86 &amp; "";"" &amp; AH86 &amp; "";"" &amp; AL86, "";"" &amp; CHAR(10)), TRUE, TRUE))&amp;"";"")"),"")</f>
        <v/>
      </c>
      <c r="AJ86" s="126" t="str">
        <f>IFERROR(__xludf.DUMMYFUNCTION("IF(AN86="""", """", TEXTJOIN("";"" &amp; CHAR(10), TRUE, UNIQUE(SPLIT(AH86 &amp; "";"" &amp; AH86 &amp; "";"" &amp; AN86, "";"" &amp; CHAR(10)), TRUE, TRUE))&amp;"";"")"),"")</f>
        <v/>
      </c>
      <c r="AK86" s="129" t="str">
        <f>IFERROR(__xludf.DUMMYFUNCTION("IF(ISBLANK(AD86), IF(ISBLANK(AE86),,AE86 &amp; "";""), TEXTJOIN(CHAR(10), TRUE, ARRAYFORMULA(VLOOKUP(SPLIT(AD86, "";"" &amp; CHAR(10)), $AC:$AH, 6, FALSE))))"),"")</f>
        <v/>
      </c>
      <c r="AL86" s="130" t="str">
        <f>IFERROR(__xludf.DUMMYFUNCTION("IF(AM86="""", """", TEXTJOIN("";"" &amp; CHAR(10), TRUE, UNIQUE(SPLIT(AM86, "";"" &amp; CHAR(10)), TRUE))&amp;"";"")"),"")</f>
        <v/>
      </c>
      <c r="AM86" s="130" t="str">
        <f>IFERROR(__xludf.DUMMYFUNCTION("IF(ISBLANK(AD86), """", TEXTJOIN(CHAR(10), TRUE, ARRAYFORMULA(VLOOKUP(SPLIT(AH86, "";"" &amp; CHAR(10)), $AE:$AI, 5, FALSE)), AF86))"),"")</f>
        <v/>
      </c>
      <c r="AN86" s="132" t="str">
        <f>IFERROR(__xludf.DUMMYFUNCTION("IF(ISBLANK(AO86), """", TEXTJOIN("";"" &amp; CHAR(10), TRUE, UNIQUE(SPLIT(AO86, "";"" &amp; CHAR(10)), TRUE))&amp;"";"")"),"")</f>
        <v/>
      </c>
      <c r="AO86" s="134" t="str">
        <f>IFERROR(__xludf.DUMMYFUNCTION("IF(ISBLANK(AD86), AF86, TEXTJOIN(CHAR(10), TRUE, ARRAYFORMULA(VLOOKUP(SPLIT(AD86, "";"" &amp; CHAR(10)), $AC:$AN, 12, FALSE))))"),"")</f>
        <v/>
      </c>
      <c r="AP86" s="130" t="str">
        <f>IF(ISBLANK(AE86),,IF(IFERROR(SEARCH(AE86&amp;";",Circuits!$AO$2),0),TRUE,FALSE))</f>
        <v/>
      </c>
      <c r="AQ86" s="130" t="str">
        <f t="shared" si="2"/>
        <v/>
      </c>
      <c r="AR86" s="130" t="str">
        <f t="shared" si="3"/>
        <v/>
      </c>
      <c r="AS86" s="136" t="str">
        <f>IFERROR(__xludf.DUMMYFUNCTION("IF(AH86="""",,SUM(ARRAYFORMULA(IF(IFERROR(SEARCH(SPLIT(AH86,CHAR(10)),Circuits!$AO$2),0)&gt;0,0,1))))"),"")</f>
        <v/>
      </c>
      <c r="AT86" s="138" t="str">
        <f t="shared" si="4"/>
        <v/>
      </c>
      <c r="AU86" s="138" t="str">
        <f t="shared" si="5"/>
        <v/>
      </c>
      <c r="AV86" s="130" t="str">
        <f>IFERROR(__xludf.DUMMYFUNCTION("IF(AI86="""",,TEXTJOIN("", "",TRUE,ARRAYFORMULA(VLOOKUP(SPLIT(AI86,"";""&amp;CHAR(10)),AE:AT,16,FALSE))))"),"")</f>
        <v/>
      </c>
      <c r="AW86" s="130" t="str">
        <f>IFERROR(__xludf.DUMMYFUNCTION("IF(ISBLANK(BK86),,TEXTJOIN("", "",TRUE,ARRAYFORMULA(VLOOKUP(IFERROR(REGEXEXTRACT(SPLIT(BK86,"";""&amp;CHAR(10)),""\[(.+)\]"")),AE:AT,16,false))))"),"")</f>
        <v/>
      </c>
      <c r="AX86" s="139" t="str">
        <f t="shared" si="6"/>
        <v/>
      </c>
      <c r="AY86" s="139" t="str">
        <f t="shared" si="7"/>
        <v/>
      </c>
      <c r="AZ86" s="106" t="str">
        <f>IFERROR(__xludf.DUMMYFUNCTION("IF(ISBLANK(AD86), BC86, TEXTJOIN(CHAR(10) &amp; CHAR(10), TRUE, ARRAYFORMULA(VLOOKUP(SPLIT(AD86, "";"" &amp; CHAR(10)), $AC:$AY, 23, FALSE))))"),"")</f>
        <v/>
      </c>
      <c r="BA86" s="140" t="s">
        <v>66</v>
      </c>
      <c r="BB86" s="190"/>
      <c r="BC86" s="196"/>
      <c r="BD86" s="106" t="str">
        <f>IFERROR(__xludf.DUMMYFUNCTION("IF(IFERROR(SEARCH(""&lt;&lt;mechanism to realize the capability&gt;&gt;"",BA86),0)=0,
 ""!! Error !! “Capability&amp;Mechanism” column: Invalid Separator:"" &amp; CHAR(10) &amp; ""Insert separator “&lt;&lt;mechanism to realize the capability&gt;&gt;.”"",
 IF(
  LEN(TRIM(CLEAN(
    INDEX(
  "&amp;"    SPLIT(BA86,""&lt;&lt;mechanism to realize the capability&gt;&gt;"",FALSE,FALSE),
      1
    )
  )))=0,
  ""!! Error !! “Capability&amp;Mechanism” column: No Capability:""  &amp; CHAR(10) &amp; ""Describe Capability before separator."",
  INDEX(
    SPLIT(BA86,""&lt;&lt;mechanism "&amp;"to realize the capability&gt;&gt;"",FALSE,FALSE),
    1
  )
 )
)
"),"!! Error !! “Capability&amp;Mechanism” column: No Capability:
Describe Capability before separator.")</f>
        <v>!! Error !! “Capability&amp;Mechanism” column: No Capability:
Describe Capability before separator.</v>
      </c>
      <c r="BE86" s="190"/>
      <c r="BF86" s="195"/>
      <c r="BG86" s="42"/>
      <c r="BH86" s="190"/>
      <c r="BI86" s="196"/>
      <c r="BJ86" s="42"/>
      <c r="BK86" s="42"/>
      <c r="BL86" s="203"/>
      <c r="BM86" s="203"/>
      <c r="BN86" s="42"/>
      <c r="BO86" s="42"/>
      <c r="BP86" s="143"/>
      <c r="BQ86" s="143"/>
      <c r="BR86" s="192"/>
      <c r="BS86" s="192"/>
      <c r="BT86" s="192"/>
      <c r="BU86" s="192"/>
      <c r="BV86" s="192"/>
      <c r="BW86" s="192"/>
      <c r="BX86" s="146" t="str">
        <f t="shared" si="8"/>
        <v/>
      </c>
    </row>
    <row r="87">
      <c r="A87" s="106" t="str">
        <f t="shared" si="1"/>
        <v/>
      </c>
      <c r="B87" s="183" t="str">
        <f t="array" ref="B87">IF(ISBLANK($AE87), "-",INDEX(Circuits!A:A,SUMPRODUCT(EXACT($AE87,Circuits!$A:$A)*ROW(Circuits!$A:$A))))</f>
        <v>-</v>
      </c>
      <c r="C87" s="183" t="str">
        <f t="array" ref="C87">IF(ISBLANK($AE87), "-",INDEX(Circuits!B:B,SUMPRODUCT(EXACT($AE87,Circuits!$A:$A)*ROW(Circuits!$A:$A))))</f>
        <v>-</v>
      </c>
      <c r="D87" s="183" t="str">
        <f t="array" ref="D87">IF(ISBLANK($AE87), "-",INDEX(Circuits!C:C,SUMPRODUCT(EXACT($AE87,Circuits!$A:$A)*ROW(Circuits!$A:$A))))</f>
        <v>-</v>
      </c>
      <c r="E87" s="183" t="str">
        <f t="array" ref="E87">IF(ISBLANK($AE87), "-",INDEX(Circuits!D:D,SUMPRODUCT(EXACT($AE87,Circuits!$A:$A)*ROW(Circuits!$A:$A))))</f>
        <v>-</v>
      </c>
      <c r="F87" s="183" t="str">
        <f t="array" ref="F87">IF(ISBLANK($AE87), "-",INDEX(Circuits!E:E,SUMPRODUCT(EXACT($AE87,Circuits!$A:$A)*ROW(Circuits!$A:$A))))</f>
        <v>-</v>
      </c>
      <c r="G87" s="183" t="str">
        <f t="array" ref="G87">IF(ISBLANK($AE87), "-",INDEX(Circuits!F:F,SUMPRODUCT(EXACT($AE87,Circuits!$A:$A)*ROW(Circuits!$A:$A))))</f>
        <v>-</v>
      </c>
      <c r="H87" s="183" t="str">
        <f t="array" ref="H87">IF(ISBLANK($AE87), "-",INDEX(Circuits!G:G,SUMPRODUCT(EXACT($AE87,Circuits!$A:$A)*ROW(Circuits!$A:$A))))</f>
        <v>-</v>
      </c>
      <c r="I87" s="183" t="str">
        <f t="array" ref="I87">IF(ISBLANK($AE87), "-",INDEX(Circuits!H:H,SUMPRODUCT(EXACT($AE87,Circuits!$A:$A)*ROW(Circuits!$A:$A))))</f>
        <v>-</v>
      </c>
      <c r="J87" s="183" t="str">
        <f t="array" ref="J87">IF(ISBLANK($AE87), "-",INDEX(Circuits!I:I,SUMPRODUCT(EXACT($AE87,Circuits!$A:$A)*ROW(Circuits!$A:$A))))</f>
        <v>-</v>
      </c>
      <c r="K87" s="183" t="str">
        <f t="array" ref="K87">IF(ISBLANK($AE87), "-",INDEX(Circuits!J:J,SUMPRODUCT(EXACT($AE87,Circuits!$A:$A)*ROW(Circuits!$A:$A))))</f>
        <v>-</v>
      </c>
      <c r="L87" s="183" t="str">
        <f t="array" ref="L87">IF(ISBLANK($AE87), "-",INDEX(Circuits!K:K,SUMPRODUCT(EXACT($AE87,Circuits!$A:$A)*ROW(Circuits!$A:$A))))</f>
        <v>-</v>
      </c>
      <c r="M87" s="183" t="str">
        <f t="array" ref="M87">IF(ISBLANK($AE87), "-",INDEX(Circuits!L:L,SUMPRODUCT(EXACT($AE87,Circuits!$A:$A)*ROW(Circuits!$A:$A))))</f>
        <v>-</v>
      </c>
      <c r="N87" s="183" t="str">
        <f t="array" ref="N87">IF(ISBLANK($AE87), "-",INDEX(Circuits!M:M,SUMPRODUCT(EXACT($AE87,Circuits!$A:$A)*ROW(Circuits!$A:$A))))</f>
        <v>-</v>
      </c>
      <c r="O87" s="183" t="str">
        <f t="array" ref="O87">IF(ISBLANK($AE87), "-",INDEX(Circuits!N:N,SUMPRODUCT(EXACT($AE87,Circuits!$A:$A)*ROW(Circuits!$A:$A))))</f>
        <v>-</v>
      </c>
      <c r="P87" s="183" t="str">
        <f t="array" ref="P87">IF(ISBLANK($AE87), "-",INDEX(Circuits!O:O,SUMPRODUCT(EXACT($AE87,Circuits!$A:$A)*ROW(Circuits!$A:$A))))</f>
        <v>-</v>
      </c>
      <c r="Q87" s="183" t="str">
        <f t="array" ref="Q87">IF(ISBLANK($AE87), "-",INDEX(Circuits!P:P,SUMPRODUCT(EXACT($AE87,Circuits!$A:$A)*ROW(Circuits!$A:$A))))</f>
        <v>-</v>
      </c>
      <c r="R87" s="183" t="str">
        <f t="array" ref="R87">IF(ISBLANK($AE87), "-",INDEX(Circuits!Q:Q,SUMPRODUCT(EXACT($AE87,Circuits!$A:$A)*ROW(Circuits!$A:$A))))</f>
        <v>-</v>
      </c>
      <c r="S87" s="183" t="str">
        <f t="array" ref="S87">IF(ISBLANK($AE87), "-",INDEX(Circuits!R:R,SUMPRODUCT(EXACT($AE87,Circuits!$A:$A)*ROW(Circuits!$A:$A))))</f>
        <v>-</v>
      </c>
      <c r="T87" s="183" t="str">
        <f t="array" ref="T87">IF(ISBLANK($AE87), "-",INDEX(Circuits!S:S,SUMPRODUCT(EXACT($AE87,Circuits!$A:$A)*ROW(Circuits!$A:$A))))</f>
        <v>-</v>
      </c>
      <c r="U87" s="183" t="str">
        <f t="array" ref="U87">IF(ISBLANK($AE87), "-",INDEX(Circuits!T:T,SUMPRODUCT(EXACT($AE87,Circuits!$A:$A)*ROW(Circuits!$A:$A))))</f>
        <v>-</v>
      </c>
      <c r="V87" s="183" t="str">
        <f t="array" ref="V87">IF(ISBLANK($AE87), "-",INDEX(Circuits!U:U,SUMPRODUCT(EXACT($AE87,Circuits!$A:$A)*ROW(Circuits!$A:$A))))</f>
        <v>-</v>
      </c>
      <c r="W87" s="183" t="str">
        <f t="array" ref="W87">IF(ISBLANK($AE87), "-",INDEX(Circuits!V:V,SUMPRODUCT(EXACT($AE87,Circuits!$A:$A)*ROW(Circuits!$A:$A))))</f>
        <v>-</v>
      </c>
      <c r="X87" s="183" t="str">
        <f t="array" ref="X87">IF(ISBLANK($AE87), "-",INDEX(Circuits!W:W,SUMPRODUCT(EXACT($AE87,Circuits!$A:$A)*ROW(Circuits!$A:$A))))</f>
        <v>-</v>
      </c>
      <c r="Y87" s="183" t="str">
        <f t="array" ref="Y87">IF(ISBLANK($AE87), "-",INDEX(Circuits!X:X,SUMPRODUCT(EXACT($AE87,Circuits!$A:$A)*ROW(Circuits!$A:$A))))</f>
        <v>-</v>
      </c>
      <c r="Z87" s="108" t="str">
        <f>IFERROR(__xludf.DUMMYFUNCTION("IFNA(CONCATENATE(UNIQUE(FILTER(Connections!R:R,Connections!A:A=B87))),""-"")"),"-")</f>
        <v>-</v>
      </c>
      <c r="AA87" s="119" t="str">
        <f t="array" ref="AA87">IF(ISBLANK($AE87), "-",INDEX(Circuits!Y:Y,SUMPRODUCT(EXACT($AE87,Circuits!$A:$A)*ROW(Circuits!$A:$A))))</f>
        <v>-</v>
      </c>
      <c r="AB87" s="121" t="str">
        <f t="array" ref="AB87">IF(ISBLANK($AE87), "-",INDEX(Circuits!Z:Z,SUMPRODUCT(EXACT($AE87,Circuits!$A:$A)*ROW(Circuits!$A:$A))))</f>
        <v>-</v>
      </c>
      <c r="AC87" s="194"/>
      <c r="AD87" s="194"/>
      <c r="AE87" s="40"/>
      <c r="AF87" s="43"/>
      <c r="AG87" s="126" t="str">
        <f>IFERROR(__xludf.DUMMYFUNCTION("IF(ISBLANK(AF87), """", TEXTJOIN(CHAR(10),TRUE,ARRAYFORMULA(IF(ISERROR(SEARCH(SPLIT(AF87, "";""), $Z87)), ""x"", ""-""))))"),"")</f>
        <v/>
      </c>
      <c r="AH87" s="127" t="str">
        <f>IFERROR(__xludf.DUMMYFUNCTION("IF(ISBLANK(AK87), """", TEXTJOIN("";"" &amp; CHAR(10), TRUE, UNIQUE(SPLIT(AK87, "";"" &amp; CHAR(10)), TRUE))&amp;"";"")"),"")</f>
        <v/>
      </c>
      <c r="AI87" s="128" t="str">
        <f>IFERROR(__xludf.DUMMYFUNCTION("IF(ISBLANK(AD87), IF(ISBLANK(AE87),,IFNA(TEXTJOIN("";"" &amp; CHAR(10), TRUE, FILTER(AE:AE, SEARCH(AE87&amp;"";"", AJ:AJ)))&amp;"";"", """")), TEXTJOIN("";"" &amp; CHAR(10), TRUE, UNIQUE(SPLIT(AH87 &amp; "";"" &amp; AH87 &amp; "";"" &amp; AL87, "";"" &amp; CHAR(10)), TRUE, TRUE))&amp;"";"")"),"")</f>
        <v/>
      </c>
      <c r="AJ87" s="126" t="str">
        <f>IFERROR(__xludf.DUMMYFUNCTION("IF(AN87="""", """", TEXTJOIN("";"" &amp; CHAR(10), TRUE, UNIQUE(SPLIT(AH87 &amp; "";"" &amp; AH87 &amp; "";"" &amp; AN87, "";"" &amp; CHAR(10)), TRUE, TRUE))&amp;"";"")"),"")</f>
        <v/>
      </c>
      <c r="AK87" s="129" t="str">
        <f>IFERROR(__xludf.DUMMYFUNCTION("IF(ISBLANK(AD87), IF(ISBLANK(AE87),,AE87 &amp; "";""), TEXTJOIN(CHAR(10), TRUE, ARRAYFORMULA(VLOOKUP(SPLIT(AD87, "";"" &amp; CHAR(10)), $AC:$AH, 6, FALSE))))"),"")</f>
        <v/>
      </c>
      <c r="AL87" s="130" t="str">
        <f>IFERROR(__xludf.DUMMYFUNCTION("IF(AM87="""", """", TEXTJOIN("";"" &amp; CHAR(10), TRUE, UNIQUE(SPLIT(AM87, "";"" &amp; CHAR(10)), TRUE))&amp;"";"")"),"")</f>
        <v/>
      </c>
      <c r="AM87" s="130" t="str">
        <f>IFERROR(__xludf.DUMMYFUNCTION("IF(ISBLANK(AD87), """", TEXTJOIN(CHAR(10), TRUE, ARRAYFORMULA(VLOOKUP(SPLIT(AH87, "";"" &amp; CHAR(10)), $AE:$AI, 5, FALSE)), AF87))"),"")</f>
        <v/>
      </c>
      <c r="AN87" s="132" t="str">
        <f>IFERROR(__xludf.DUMMYFUNCTION("IF(ISBLANK(AO87), """", TEXTJOIN("";"" &amp; CHAR(10), TRUE, UNIQUE(SPLIT(AO87, "";"" &amp; CHAR(10)), TRUE))&amp;"";"")"),"")</f>
        <v/>
      </c>
      <c r="AO87" s="134" t="str">
        <f>IFERROR(__xludf.DUMMYFUNCTION("IF(ISBLANK(AD87), AF87, TEXTJOIN(CHAR(10), TRUE, ARRAYFORMULA(VLOOKUP(SPLIT(AD87, "";"" &amp; CHAR(10)), $AC:$AN, 12, FALSE))))"),"")</f>
        <v/>
      </c>
      <c r="AP87" s="130" t="str">
        <f>IF(ISBLANK(AE87),,IF(IFERROR(SEARCH(AE87&amp;";",Circuits!$AO$2),0),TRUE,FALSE))</f>
        <v/>
      </c>
      <c r="AQ87" s="130" t="str">
        <f t="shared" si="2"/>
        <v/>
      </c>
      <c r="AR87" s="130" t="str">
        <f t="shared" si="3"/>
        <v/>
      </c>
      <c r="AS87" s="136" t="str">
        <f>IFERROR(__xludf.DUMMYFUNCTION("IF(AH87="""",,SUM(ARRAYFORMULA(IF(IFERROR(SEARCH(SPLIT(AH87,CHAR(10)),Circuits!$AO$2),0)&gt;0,0,1))))"),"")</f>
        <v/>
      </c>
      <c r="AT87" s="138" t="str">
        <f t="shared" si="4"/>
        <v/>
      </c>
      <c r="AU87" s="138" t="str">
        <f t="shared" si="5"/>
        <v/>
      </c>
      <c r="AV87" s="130" t="str">
        <f>IFERROR(__xludf.DUMMYFUNCTION("IF(AI87="""",,TEXTJOIN("", "",TRUE,ARRAYFORMULA(VLOOKUP(SPLIT(AI87,"";""&amp;CHAR(10)),AE:AT,16,FALSE))))"),"")</f>
        <v/>
      </c>
      <c r="AW87" s="130" t="str">
        <f>IFERROR(__xludf.DUMMYFUNCTION("IF(ISBLANK(BK87),,TEXTJOIN("", "",TRUE,ARRAYFORMULA(VLOOKUP(IFERROR(REGEXEXTRACT(SPLIT(BK87,"";""&amp;CHAR(10)),""\[(.+)\]"")),AE:AT,16,false))))"),"")</f>
        <v/>
      </c>
      <c r="AX87" s="139" t="str">
        <f t="shared" si="6"/>
        <v/>
      </c>
      <c r="AY87" s="139" t="str">
        <f t="shared" si="7"/>
        <v/>
      </c>
      <c r="AZ87" s="106" t="str">
        <f>IFERROR(__xludf.DUMMYFUNCTION("IF(ISBLANK(AD87), BC87, TEXTJOIN(CHAR(10) &amp; CHAR(10), TRUE, ARRAYFORMULA(VLOOKUP(SPLIT(AD87, "";"" &amp; CHAR(10)), $AC:$AY, 23, FALSE))))"),"")</f>
        <v/>
      </c>
      <c r="BA87" s="140" t="s">
        <v>66</v>
      </c>
      <c r="BB87" s="190"/>
      <c r="BC87" s="196"/>
      <c r="BD87" s="106" t="str">
        <f>IFERROR(__xludf.DUMMYFUNCTION("IF(IFERROR(SEARCH(""&lt;&lt;mechanism to realize the capability&gt;&gt;"",BA87),0)=0,
 ""!! Error !! “Capability&amp;Mechanism” column: Invalid Separator:"" &amp; CHAR(10) &amp; ""Insert separator “&lt;&lt;mechanism to realize the capability&gt;&gt;.”"",
 IF(
  LEN(TRIM(CLEAN(
    INDEX(
  "&amp;"    SPLIT(BA87,""&lt;&lt;mechanism to realize the capability&gt;&gt;"",FALSE,FALSE),
      1
    )
  )))=0,
  ""!! Error !! “Capability&amp;Mechanism” column: No Capability:""  &amp; CHAR(10) &amp; ""Describe Capability before separator."",
  INDEX(
    SPLIT(BA87,""&lt;&lt;mechanism "&amp;"to realize the capability&gt;&gt;"",FALSE,FALSE),
    1
  )
 )
)
"),"!! Error !! “Capability&amp;Mechanism” column: No Capability:
Describe Capability before separator.")</f>
        <v>!! Error !! “Capability&amp;Mechanism” column: No Capability:
Describe Capability before separator.</v>
      </c>
      <c r="BE87" s="190"/>
      <c r="BF87" s="195"/>
      <c r="BG87" s="42"/>
      <c r="BH87" s="190"/>
      <c r="BI87" s="196"/>
      <c r="BJ87" s="42"/>
      <c r="BK87" s="42"/>
      <c r="BL87" s="203"/>
      <c r="BM87" s="203"/>
      <c r="BN87" s="42"/>
      <c r="BO87" s="42"/>
      <c r="BP87" s="143"/>
      <c r="BQ87" s="143"/>
      <c r="BR87" s="192"/>
      <c r="BS87" s="192"/>
      <c r="BT87" s="192"/>
      <c r="BU87" s="192"/>
      <c r="BV87" s="192"/>
      <c r="BW87" s="192"/>
      <c r="BX87" s="146" t="str">
        <f t="shared" si="8"/>
        <v/>
      </c>
    </row>
    <row r="88">
      <c r="A88" s="106" t="str">
        <f t="shared" si="1"/>
        <v/>
      </c>
      <c r="B88" s="183" t="str">
        <f t="array" ref="B88">IF(ISBLANK($AE88), "-",INDEX(Circuits!A:A,SUMPRODUCT(EXACT($AE88,Circuits!$A:$A)*ROW(Circuits!$A:$A))))</f>
        <v>-</v>
      </c>
      <c r="C88" s="183" t="str">
        <f t="array" ref="C88">IF(ISBLANK($AE88), "-",INDEX(Circuits!B:B,SUMPRODUCT(EXACT($AE88,Circuits!$A:$A)*ROW(Circuits!$A:$A))))</f>
        <v>-</v>
      </c>
      <c r="D88" s="183" t="str">
        <f t="array" ref="D88">IF(ISBLANK($AE88), "-",INDEX(Circuits!C:C,SUMPRODUCT(EXACT($AE88,Circuits!$A:$A)*ROW(Circuits!$A:$A))))</f>
        <v>-</v>
      </c>
      <c r="E88" s="183" t="str">
        <f t="array" ref="E88">IF(ISBLANK($AE88), "-",INDEX(Circuits!D:D,SUMPRODUCT(EXACT($AE88,Circuits!$A:$A)*ROW(Circuits!$A:$A))))</f>
        <v>-</v>
      </c>
      <c r="F88" s="183" t="str">
        <f t="array" ref="F88">IF(ISBLANK($AE88), "-",INDEX(Circuits!E:E,SUMPRODUCT(EXACT($AE88,Circuits!$A:$A)*ROW(Circuits!$A:$A))))</f>
        <v>-</v>
      </c>
      <c r="G88" s="183" t="str">
        <f t="array" ref="G88">IF(ISBLANK($AE88), "-",INDEX(Circuits!F:F,SUMPRODUCT(EXACT($AE88,Circuits!$A:$A)*ROW(Circuits!$A:$A))))</f>
        <v>-</v>
      </c>
      <c r="H88" s="183" t="str">
        <f t="array" ref="H88">IF(ISBLANK($AE88), "-",INDEX(Circuits!G:G,SUMPRODUCT(EXACT($AE88,Circuits!$A:$A)*ROW(Circuits!$A:$A))))</f>
        <v>-</v>
      </c>
      <c r="I88" s="183" t="str">
        <f t="array" ref="I88">IF(ISBLANK($AE88), "-",INDEX(Circuits!H:H,SUMPRODUCT(EXACT($AE88,Circuits!$A:$A)*ROW(Circuits!$A:$A))))</f>
        <v>-</v>
      </c>
      <c r="J88" s="183" t="str">
        <f t="array" ref="J88">IF(ISBLANK($AE88), "-",INDEX(Circuits!I:I,SUMPRODUCT(EXACT($AE88,Circuits!$A:$A)*ROW(Circuits!$A:$A))))</f>
        <v>-</v>
      </c>
      <c r="K88" s="183" t="str">
        <f t="array" ref="K88">IF(ISBLANK($AE88), "-",INDEX(Circuits!J:J,SUMPRODUCT(EXACT($AE88,Circuits!$A:$A)*ROW(Circuits!$A:$A))))</f>
        <v>-</v>
      </c>
      <c r="L88" s="183" t="str">
        <f t="array" ref="L88">IF(ISBLANK($AE88), "-",INDEX(Circuits!K:K,SUMPRODUCT(EXACT($AE88,Circuits!$A:$A)*ROW(Circuits!$A:$A))))</f>
        <v>-</v>
      </c>
      <c r="M88" s="183" t="str">
        <f t="array" ref="M88">IF(ISBLANK($AE88), "-",INDEX(Circuits!L:L,SUMPRODUCT(EXACT($AE88,Circuits!$A:$A)*ROW(Circuits!$A:$A))))</f>
        <v>-</v>
      </c>
      <c r="N88" s="183" t="str">
        <f t="array" ref="N88">IF(ISBLANK($AE88), "-",INDEX(Circuits!M:M,SUMPRODUCT(EXACT($AE88,Circuits!$A:$A)*ROW(Circuits!$A:$A))))</f>
        <v>-</v>
      </c>
      <c r="O88" s="183" t="str">
        <f t="array" ref="O88">IF(ISBLANK($AE88), "-",INDEX(Circuits!N:N,SUMPRODUCT(EXACT($AE88,Circuits!$A:$A)*ROW(Circuits!$A:$A))))</f>
        <v>-</v>
      </c>
      <c r="P88" s="183" t="str">
        <f t="array" ref="P88">IF(ISBLANK($AE88), "-",INDEX(Circuits!O:O,SUMPRODUCT(EXACT($AE88,Circuits!$A:$A)*ROW(Circuits!$A:$A))))</f>
        <v>-</v>
      </c>
      <c r="Q88" s="183" t="str">
        <f t="array" ref="Q88">IF(ISBLANK($AE88), "-",INDEX(Circuits!P:P,SUMPRODUCT(EXACT($AE88,Circuits!$A:$A)*ROW(Circuits!$A:$A))))</f>
        <v>-</v>
      </c>
      <c r="R88" s="183" t="str">
        <f t="array" ref="R88">IF(ISBLANK($AE88), "-",INDEX(Circuits!Q:Q,SUMPRODUCT(EXACT($AE88,Circuits!$A:$A)*ROW(Circuits!$A:$A))))</f>
        <v>-</v>
      </c>
      <c r="S88" s="183" t="str">
        <f t="array" ref="S88">IF(ISBLANK($AE88), "-",INDEX(Circuits!R:R,SUMPRODUCT(EXACT($AE88,Circuits!$A:$A)*ROW(Circuits!$A:$A))))</f>
        <v>-</v>
      </c>
      <c r="T88" s="183" t="str">
        <f t="array" ref="T88">IF(ISBLANK($AE88), "-",INDEX(Circuits!S:S,SUMPRODUCT(EXACT($AE88,Circuits!$A:$A)*ROW(Circuits!$A:$A))))</f>
        <v>-</v>
      </c>
      <c r="U88" s="183" t="str">
        <f t="array" ref="U88">IF(ISBLANK($AE88), "-",INDEX(Circuits!T:T,SUMPRODUCT(EXACT($AE88,Circuits!$A:$A)*ROW(Circuits!$A:$A))))</f>
        <v>-</v>
      </c>
      <c r="V88" s="183" t="str">
        <f t="array" ref="V88">IF(ISBLANK($AE88), "-",INDEX(Circuits!U:U,SUMPRODUCT(EXACT($AE88,Circuits!$A:$A)*ROW(Circuits!$A:$A))))</f>
        <v>-</v>
      </c>
      <c r="W88" s="183" t="str">
        <f t="array" ref="W88">IF(ISBLANK($AE88), "-",INDEX(Circuits!V:V,SUMPRODUCT(EXACT($AE88,Circuits!$A:$A)*ROW(Circuits!$A:$A))))</f>
        <v>-</v>
      </c>
      <c r="X88" s="183" t="str">
        <f t="array" ref="X88">IF(ISBLANK($AE88), "-",INDEX(Circuits!W:W,SUMPRODUCT(EXACT($AE88,Circuits!$A:$A)*ROW(Circuits!$A:$A))))</f>
        <v>-</v>
      </c>
      <c r="Y88" s="183" t="str">
        <f t="array" ref="Y88">IF(ISBLANK($AE88), "-",INDEX(Circuits!X:X,SUMPRODUCT(EXACT($AE88,Circuits!$A:$A)*ROW(Circuits!$A:$A))))</f>
        <v>-</v>
      </c>
      <c r="Z88" s="108" t="str">
        <f>IFERROR(__xludf.DUMMYFUNCTION("IFNA(CONCATENATE(UNIQUE(FILTER(Connections!R:R,Connections!A:A=B88))),""-"")"),"-")</f>
        <v>-</v>
      </c>
      <c r="AA88" s="119" t="str">
        <f t="array" ref="AA88">IF(ISBLANK($AE88), "-",INDEX(Circuits!Y:Y,SUMPRODUCT(EXACT($AE88,Circuits!$A:$A)*ROW(Circuits!$A:$A))))</f>
        <v>-</v>
      </c>
      <c r="AB88" s="121" t="str">
        <f t="array" ref="AB88">IF(ISBLANK($AE88), "-",INDEX(Circuits!Z:Z,SUMPRODUCT(EXACT($AE88,Circuits!$A:$A)*ROW(Circuits!$A:$A))))</f>
        <v>-</v>
      </c>
      <c r="AC88" s="194"/>
      <c r="AD88" s="194"/>
      <c r="AE88" s="40"/>
      <c r="AF88" s="43"/>
      <c r="AG88" s="126" t="str">
        <f>IFERROR(__xludf.DUMMYFUNCTION("IF(ISBLANK(AF88), """", TEXTJOIN(CHAR(10),TRUE,ARRAYFORMULA(IF(ISERROR(SEARCH(SPLIT(AF88, "";""), $Z88)), ""x"", ""-""))))"),"")</f>
        <v/>
      </c>
      <c r="AH88" s="127" t="str">
        <f>IFERROR(__xludf.DUMMYFUNCTION("IF(ISBLANK(AK88), """", TEXTJOIN("";"" &amp; CHAR(10), TRUE, UNIQUE(SPLIT(AK88, "";"" &amp; CHAR(10)), TRUE))&amp;"";"")"),"")</f>
        <v/>
      </c>
      <c r="AI88" s="128" t="str">
        <f>IFERROR(__xludf.DUMMYFUNCTION("IF(ISBLANK(AD88), IF(ISBLANK(AE88),,IFNA(TEXTJOIN("";"" &amp; CHAR(10), TRUE, FILTER(AE:AE, SEARCH(AE88&amp;"";"", AJ:AJ)))&amp;"";"", """")), TEXTJOIN("";"" &amp; CHAR(10), TRUE, UNIQUE(SPLIT(AH88 &amp; "";"" &amp; AH88 &amp; "";"" &amp; AL88, "";"" &amp; CHAR(10)), TRUE, TRUE))&amp;"";"")"),"")</f>
        <v/>
      </c>
      <c r="AJ88" s="126" t="str">
        <f>IFERROR(__xludf.DUMMYFUNCTION("IF(AN88="""", """", TEXTJOIN("";"" &amp; CHAR(10), TRUE, UNIQUE(SPLIT(AH88 &amp; "";"" &amp; AH88 &amp; "";"" &amp; AN88, "";"" &amp; CHAR(10)), TRUE, TRUE))&amp;"";"")"),"")</f>
        <v/>
      </c>
      <c r="AK88" s="129" t="str">
        <f>IFERROR(__xludf.DUMMYFUNCTION("IF(ISBLANK(AD88), IF(ISBLANK(AE88),,AE88 &amp; "";""), TEXTJOIN(CHAR(10), TRUE, ARRAYFORMULA(VLOOKUP(SPLIT(AD88, "";"" &amp; CHAR(10)), $AC:$AH, 6, FALSE))))"),"")</f>
        <v/>
      </c>
      <c r="AL88" s="130" t="str">
        <f>IFERROR(__xludf.DUMMYFUNCTION("IF(AM88="""", """", TEXTJOIN("";"" &amp; CHAR(10), TRUE, UNIQUE(SPLIT(AM88, "";"" &amp; CHAR(10)), TRUE))&amp;"";"")"),"")</f>
        <v/>
      </c>
      <c r="AM88" s="130" t="str">
        <f>IFERROR(__xludf.DUMMYFUNCTION("IF(ISBLANK(AD88), """", TEXTJOIN(CHAR(10), TRUE, ARRAYFORMULA(VLOOKUP(SPLIT(AH88, "";"" &amp; CHAR(10)), $AE:$AI, 5, FALSE)), AF88))"),"")</f>
        <v/>
      </c>
      <c r="AN88" s="132" t="str">
        <f>IFERROR(__xludf.DUMMYFUNCTION("IF(ISBLANK(AO88), """", TEXTJOIN("";"" &amp; CHAR(10), TRUE, UNIQUE(SPLIT(AO88, "";"" &amp; CHAR(10)), TRUE))&amp;"";"")"),"")</f>
        <v/>
      </c>
      <c r="AO88" s="134" t="str">
        <f>IFERROR(__xludf.DUMMYFUNCTION("IF(ISBLANK(AD88), AF88, TEXTJOIN(CHAR(10), TRUE, ARRAYFORMULA(VLOOKUP(SPLIT(AD88, "";"" &amp; CHAR(10)), $AC:$AN, 12, FALSE))))"),"")</f>
        <v/>
      </c>
      <c r="AP88" s="130" t="str">
        <f>IF(ISBLANK(AE88),,IF(IFERROR(SEARCH(AE88&amp;";",Circuits!$AO$2),0),TRUE,FALSE))</f>
        <v/>
      </c>
      <c r="AQ88" s="130" t="str">
        <f t="shared" si="2"/>
        <v/>
      </c>
      <c r="AR88" s="130" t="str">
        <f t="shared" si="3"/>
        <v/>
      </c>
      <c r="AS88" s="136" t="str">
        <f>IFERROR(__xludf.DUMMYFUNCTION("IF(AH88="""",,SUM(ARRAYFORMULA(IF(IFERROR(SEARCH(SPLIT(AH88,CHAR(10)),Circuits!$AO$2),0)&gt;0,0,1))))"),"")</f>
        <v/>
      </c>
      <c r="AT88" s="138" t="str">
        <f t="shared" si="4"/>
        <v/>
      </c>
      <c r="AU88" s="138" t="str">
        <f t="shared" si="5"/>
        <v/>
      </c>
      <c r="AV88" s="130" t="str">
        <f>IFERROR(__xludf.DUMMYFUNCTION("IF(AI88="""",,TEXTJOIN("", "",TRUE,ARRAYFORMULA(VLOOKUP(SPLIT(AI88,"";""&amp;CHAR(10)),AE:AT,16,FALSE))))"),"")</f>
        <v/>
      </c>
      <c r="AW88" s="130" t="str">
        <f>IFERROR(__xludf.DUMMYFUNCTION("IF(ISBLANK(BK88),,TEXTJOIN("", "",TRUE,ARRAYFORMULA(VLOOKUP(IFERROR(REGEXEXTRACT(SPLIT(BK88,"";""&amp;CHAR(10)),""\[(.+)\]"")),AE:AT,16,false))))"),"")</f>
        <v/>
      </c>
      <c r="AX88" s="139" t="str">
        <f t="shared" si="6"/>
        <v/>
      </c>
      <c r="AY88" s="139" t="str">
        <f t="shared" si="7"/>
        <v/>
      </c>
      <c r="AZ88" s="106" t="str">
        <f>IFERROR(__xludf.DUMMYFUNCTION("IF(ISBLANK(AD88), BC88, TEXTJOIN(CHAR(10) &amp; CHAR(10), TRUE, ARRAYFORMULA(VLOOKUP(SPLIT(AD88, "";"" &amp; CHAR(10)), $AC:$AY, 23, FALSE))))"),"")</f>
        <v/>
      </c>
      <c r="BA88" s="140" t="s">
        <v>66</v>
      </c>
      <c r="BB88" s="190"/>
      <c r="BC88" s="196"/>
      <c r="BD88" s="106" t="str">
        <f>IFERROR(__xludf.DUMMYFUNCTION("IF(IFERROR(SEARCH(""&lt;&lt;mechanism to realize the capability&gt;&gt;"",BA88),0)=0,
 ""!! Error !! “Capability&amp;Mechanism” column: Invalid Separator:"" &amp; CHAR(10) &amp; ""Insert separator “&lt;&lt;mechanism to realize the capability&gt;&gt;.”"",
 IF(
  LEN(TRIM(CLEAN(
    INDEX(
  "&amp;"    SPLIT(BA88,""&lt;&lt;mechanism to realize the capability&gt;&gt;"",FALSE,FALSE),
      1
    )
  )))=0,
  ""!! Error !! “Capability&amp;Mechanism” column: No Capability:""  &amp; CHAR(10) &amp; ""Describe Capability before separator."",
  INDEX(
    SPLIT(BA88,""&lt;&lt;mechanism "&amp;"to realize the capability&gt;&gt;"",FALSE,FALSE),
    1
  )
 )
)
"),"!! Error !! “Capability&amp;Mechanism” column: No Capability:
Describe Capability before separator.")</f>
        <v>!! Error !! “Capability&amp;Mechanism” column: No Capability:
Describe Capability before separator.</v>
      </c>
      <c r="BE88" s="190"/>
      <c r="BF88" s="195"/>
      <c r="BG88" s="42"/>
      <c r="BH88" s="190"/>
      <c r="BI88" s="196"/>
      <c r="BJ88" s="42"/>
      <c r="BK88" s="42"/>
      <c r="BL88" s="203"/>
      <c r="BM88" s="203"/>
      <c r="BN88" s="42"/>
      <c r="BO88" s="42"/>
      <c r="BP88" s="143"/>
      <c r="BQ88" s="143"/>
      <c r="BR88" s="192"/>
      <c r="BS88" s="192"/>
      <c r="BT88" s="192"/>
      <c r="BU88" s="192"/>
      <c r="BV88" s="192"/>
      <c r="BW88" s="192"/>
      <c r="BX88" s="146" t="str">
        <f t="shared" si="8"/>
        <v/>
      </c>
    </row>
    <row r="89">
      <c r="A89" s="106" t="str">
        <f t="shared" si="1"/>
        <v/>
      </c>
      <c r="B89" s="183" t="str">
        <f t="array" ref="B89">IF(ISBLANK($AE89), "-",INDEX(Circuits!A:A,SUMPRODUCT(EXACT($AE89,Circuits!$A:$A)*ROW(Circuits!$A:$A))))</f>
        <v>-</v>
      </c>
      <c r="C89" s="183" t="str">
        <f t="array" ref="C89">IF(ISBLANK($AE89), "-",INDEX(Circuits!B:B,SUMPRODUCT(EXACT($AE89,Circuits!$A:$A)*ROW(Circuits!$A:$A))))</f>
        <v>-</v>
      </c>
      <c r="D89" s="183" t="str">
        <f t="array" ref="D89">IF(ISBLANK($AE89), "-",INDEX(Circuits!C:C,SUMPRODUCT(EXACT($AE89,Circuits!$A:$A)*ROW(Circuits!$A:$A))))</f>
        <v>-</v>
      </c>
      <c r="E89" s="183" t="str">
        <f t="array" ref="E89">IF(ISBLANK($AE89), "-",INDEX(Circuits!D:D,SUMPRODUCT(EXACT($AE89,Circuits!$A:$A)*ROW(Circuits!$A:$A))))</f>
        <v>-</v>
      </c>
      <c r="F89" s="183" t="str">
        <f t="array" ref="F89">IF(ISBLANK($AE89), "-",INDEX(Circuits!E:E,SUMPRODUCT(EXACT($AE89,Circuits!$A:$A)*ROW(Circuits!$A:$A))))</f>
        <v>-</v>
      </c>
      <c r="G89" s="183" t="str">
        <f t="array" ref="G89">IF(ISBLANK($AE89), "-",INDEX(Circuits!F:F,SUMPRODUCT(EXACT($AE89,Circuits!$A:$A)*ROW(Circuits!$A:$A))))</f>
        <v>-</v>
      </c>
      <c r="H89" s="183" t="str">
        <f t="array" ref="H89">IF(ISBLANK($AE89), "-",INDEX(Circuits!G:G,SUMPRODUCT(EXACT($AE89,Circuits!$A:$A)*ROW(Circuits!$A:$A))))</f>
        <v>-</v>
      </c>
      <c r="I89" s="183" t="str">
        <f t="array" ref="I89">IF(ISBLANK($AE89), "-",INDEX(Circuits!H:H,SUMPRODUCT(EXACT($AE89,Circuits!$A:$A)*ROW(Circuits!$A:$A))))</f>
        <v>-</v>
      </c>
      <c r="J89" s="183" t="str">
        <f t="array" ref="J89">IF(ISBLANK($AE89), "-",INDEX(Circuits!I:I,SUMPRODUCT(EXACT($AE89,Circuits!$A:$A)*ROW(Circuits!$A:$A))))</f>
        <v>-</v>
      </c>
      <c r="K89" s="183" t="str">
        <f t="array" ref="K89">IF(ISBLANK($AE89), "-",INDEX(Circuits!J:J,SUMPRODUCT(EXACT($AE89,Circuits!$A:$A)*ROW(Circuits!$A:$A))))</f>
        <v>-</v>
      </c>
      <c r="L89" s="183" t="str">
        <f t="array" ref="L89">IF(ISBLANK($AE89), "-",INDEX(Circuits!K:K,SUMPRODUCT(EXACT($AE89,Circuits!$A:$A)*ROW(Circuits!$A:$A))))</f>
        <v>-</v>
      </c>
      <c r="M89" s="183" t="str">
        <f t="array" ref="M89">IF(ISBLANK($AE89), "-",INDEX(Circuits!L:L,SUMPRODUCT(EXACT($AE89,Circuits!$A:$A)*ROW(Circuits!$A:$A))))</f>
        <v>-</v>
      </c>
      <c r="N89" s="183" t="str">
        <f t="array" ref="N89">IF(ISBLANK($AE89), "-",INDEX(Circuits!M:M,SUMPRODUCT(EXACT($AE89,Circuits!$A:$A)*ROW(Circuits!$A:$A))))</f>
        <v>-</v>
      </c>
      <c r="O89" s="183" t="str">
        <f t="array" ref="O89">IF(ISBLANK($AE89), "-",INDEX(Circuits!N:N,SUMPRODUCT(EXACT($AE89,Circuits!$A:$A)*ROW(Circuits!$A:$A))))</f>
        <v>-</v>
      </c>
      <c r="P89" s="183" t="str">
        <f t="array" ref="P89">IF(ISBLANK($AE89), "-",INDEX(Circuits!O:O,SUMPRODUCT(EXACT($AE89,Circuits!$A:$A)*ROW(Circuits!$A:$A))))</f>
        <v>-</v>
      </c>
      <c r="Q89" s="183" t="str">
        <f t="array" ref="Q89">IF(ISBLANK($AE89), "-",INDEX(Circuits!P:P,SUMPRODUCT(EXACT($AE89,Circuits!$A:$A)*ROW(Circuits!$A:$A))))</f>
        <v>-</v>
      </c>
      <c r="R89" s="183" t="str">
        <f t="array" ref="R89">IF(ISBLANK($AE89), "-",INDEX(Circuits!Q:Q,SUMPRODUCT(EXACT($AE89,Circuits!$A:$A)*ROW(Circuits!$A:$A))))</f>
        <v>-</v>
      </c>
      <c r="S89" s="183" t="str">
        <f t="array" ref="S89">IF(ISBLANK($AE89), "-",INDEX(Circuits!R:R,SUMPRODUCT(EXACT($AE89,Circuits!$A:$A)*ROW(Circuits!$A:$A))))</f>
        <v>-</v>
      </c>
      <c r="T89" s="183" t="str">
        <f t="array" ref="T89">IF(ISBLANK($AE89), "-",INDEX(Circuits!S:S,SUMPRODUCT(EXACT($AE89,Circuits!$A:$A)*ROW(Circuits!$A:$A))))</f>
        <v>-</v>
      </c>
      <c r="U89" s="183" t="str">
        <f t="array" ref="U89">IF(ISBLANK($AE89), "-",INDEX(Circuits!T:T,SUMPRODUCT(EXACT($AE89,Circuits!$A:$A)*ROW(Circuits!$A:$A))))</f>
        <v>-</v>
      </c>
      <c r="V89" s="183" t="str">
        <f t="array" ref="V89">IF(ISBLANK($AE89), "-",INDEX(Circuits!U:U,SUMPRODUCT(EXACT($AE89,Circuits!$A:$A)*ROW(Circuits!$A:$A))))</f>
        <v>-</v>
      </c>
      <c r="W89" s="183" t="str">
        <f t="array" ref="W89">IF(ISBLANK($AE89), "-",INDEX(Circuits!V:V,SUMPRODUCT(EXACT($AE89,Circuits!$A:$A)*ROW(Circuits!$A:$A))))</f>
        <v>-</v>
      </c>
      <c r="X89" s="183" t="str">
        <f t="array" ref="X89">IF(ISBLANK($AE89), "-",INDEX(Circuits!W:W,SUMPRODUCT(EXACT($AE89,Circuits!$A:$A)*ROW(Circuits!$A:$A))))</f>
        <v>-</v>
      </c>
      <c r="Y89" s="183" t="str">
        <f t="array" ref="Y89">IF(ISBLANK($AE89), "-",INDEX(Circuits!X:X,SUMPRODUCT(EXACT($AE89,Circuits!$A:$A)*ROW(Circuits!$A:$A))))</f>
        <v>-</v>
      </c>
      <c r="Z89" s="108" t="str">
        <f>IFERROR(__xludf.DUMMYFUNCTION("IFNA(CONCATENATE(UNIQUE(FILTER(Connections!R:R,Connections!A:A=B89))),""-"")"),"-")</f>
        <v>-</v>
      </c>
      <c r="AA89" s="119" t="str">
        <f t="array" ref="AA89">IF(ISBLANK($AE89), "-",INDEX(Circuits!Y:Y,SUMPRODUCT(EXACT($AE89,Circuits!$A:$A)*ROW(Circuits!$A:$A))))</f>
        <v>-</v>
      </c>
      <c r="AB89" s="121" t="str">
        <f t="array" ref="AB89">IF(ISBLANK($AE89), "-",INDEX(Circuits!Z:Z,SUMPRODUCT(EXACT($AE89,Circuits!$A:$A)*ROW(Circuits!$A:$A))))</f>
        <v>-</v>
      </c>
      <c r="AC89" s="194"/>
      <c r="AD89" s="194"/>
      <c r="AE89" s="40"/>
      <c r="AF89" s="43"/>
      <c r="AG89" s="126" t="str">
        <f>IFERROR(__xludf.DUMMYFUNCTION("IF(ISBLANK(AF89), """", TEXTJOIN(CHAR(10),TRUE,ARRAYFORMULA(IF(ISERROR(SEARCH(SPLIT(AF89, "";""), $Z89)), ""x"", ""-""))))"),"")</f>
        <v/>
      </c>
      <c r="AH89" s="127" t="str">
        <f>IFERROR(__xludf.DUMMYFUNCTION("IF(ISBLANK(AK89), """", TEXTJOIN("";"" &amp; CHAR(10), TRUE, UNIQUE(SPLIT(AK89, "";"" &amp; CHAR(10)), TRUE))&amp;"";"")"),"")</f>
        <v/>
      </c>
      <c r="AI89" s="128" t="str">
        <f>IFERROR(__xludf.DUMMYFUNCTION("IF(ISBLANK(AD89), IF(ISBLANK(AE89),,IFNA(TEXTJOIN("";"" &amp; CHAR(10), TRUE, FILTER(AE:AE, SEARCH(AE89&amp;"";"", AJ:AJ)))&amp;"";"", """")), TEXTJOIN("";"" &amp; CHAR(10), TRUE, UNIQUE(SPLIT(AH89 &amp; "";"" &amp; AH89 &amp; "";"" &amp; AL89, "";"" &amp; CHAR(10)), TRUE, TRUE))&amp;"";"")"),"")</f>
        <v/>
      </c>
      <c r="AJ89" s="126" t="str">
        <f>IFERROR(__xludf.DUMMYFUNCTION("IF(AN89="""", """", TEXTJOIN("";"" &amp; CHAR(10), TRUE, UNIQUE(SPLIT(AH89 &amp; "";"" &amp; AH89 &amp; "";"" &amp; AN89, "";"" &amp; CHAR(10)), TRUE, TRUE))&amp;"";"")"),"")</f>
        <v/>
      </c>
      <c r="AK89" s="129" t="str">
        <f>IFERROR(__xludf.DUMMYFUNCTION("IF(ISBLANK(AD89), IF(ISBLANK(AE89),,AE89 &amp; "";""), TEXTJOIN(CHAR(10), TRUE, ARRAYFORMULA(VLOOKUP(SPLIT(AD89, "";"" &amp; CHAR(10)), $AC:$AH, 6, FALSE))))"),"")</f>
        <v/>
      </c>
      <c r="AL89" s="130" t="str">
        <f>IFERROR(__xludf.DUMMYFUNCTION("IF(AM89="""", """", TEXTJOIN("";"" &amp; CHAR(10), TRUE, UNIQUE(SPLIT(AM89, "";"" &amp; CHAR(10)), TRUE))&amp;"";"")"),"")</f>
        <v/>
      </c>
      <c r="AM89" s="130" t="str">
        <f>IFERROR(__xludf.DUMMYFUNCTION("IF(ISBLANK(AD89), """", TEXTJOIN(CHAR(10), TRUE, ARRAYFORMULA(VLOOKUP(SPLIT(AH89, "";"" &amp; CHAR(10)), $AE:$AI, 5, FALSE)), AF89))"),"")</f>
        <v/>
      </c>
      <c r="AN89" s="132" t="str">
        <f>IFERROR(__xludf.DUMMYFUNCTION("IF(ISBLANK(AO89), """", TEXTJOIN("";"" &amp; CHAR(10), TRUE, UNIQUE(SPLIT(AO89, "";"" &amp; CHAR(10)), TRUE))&amp;"";"")"),"")</f>
        <v/>
      </c>
      <c r="AO89" s="134" t="str">
        <f>IFERROR(__xludf.DUMMYFUNCTION("IF(ISBLANK(AD89), AF89, TEXTJOIN(CHAR(10), TRUE, ARRAYFORMULA(VLOOKUP(SPLIT(AD89, "";"" &amp; CHAR(10)), $AC:$AN, 12, FALSE))))"),"")</f>
        <v/>
      </c>
      <c r="AP89" s="130" t="str">
        <f>IF(ISBLANK(AE89),,IF(IFERROR(SEARCH(AE89&amp;";",Circuits!$AO$2),0),TRUE,FALSE))</f>
        <v/>
      </c>
      <c r="AQ89" s="130" t="str">
        <f t="shared" si="2"/>
        <v/>
      </c>
      <c r="AR89" s="130" t="str">
        <f t="shared" si="3"/>
        <v/>
      </c>
      <c r="AS89" s="136" t="str">
        <f>IFERROR(__xludf.DUMMYFUNCTION("IF(AH89="""",,SUM(ARRAYFORMULA(IF(IFERROR(SEARCH(SPLIT(AH89,CHAR(10)),Circuits!$AO$2),0)&gt;0,0,1))))"),"")</f>
        <v/>
      </c>
      <c r="AT89" s="138" t="str">
        <f t="shared" si="4"/>
        <v/>
      </c>
      <c r="AU89" s="138" t="str">
        <f t="shared" si="5"/>
        <v/>
      </c>
      <c r="AV89" s="130" t="str">
        <f>IFERROR(__xludf.DUMMYFUNCTION("IF(AI89="""",,TEXTJOIN("", "",TRUE,ARRAYFORMULA(VLOOKUP(SPLIT(AI89,"";""&amp;CHAR(10)),AE:AT,16,FALSE))))"),"")</f>
        <v/>
      </c>
      <c r="AW89" s="130" t="str">
        <f>IFERROR(__xludf.DUMMYFUNCTION("IF(ISBLANK(BK89),,TEXTJOIN("", "",TRUE,ARRAYFORMULA(VLOOKUP(IFERROR(REGEXEXTRACT(SPLIT(BK89,"";""&amp;CHAR(10)),""\[(.+)\]"")),AE:AT,16,false))))"),"")</f>
        <v/>
      </c>
      <c r="AX89" s="139" t="str">
        <f t="shared" si="6"/>
        <v/>
      </c>
      <c r="AY89" s="139" t="str">
        <f t="shared" si="7"/>
        <v/>
      </c>
      <c r="AZ89" s="106" t="str">
        <f>IFERROR(__xludf.DUMMYFUNCTION("IF(ISBLANK(AD89), BC89, TEXTJOIN(CHAR(10) &amp; CHAR(10), TRUE, ARRAYFORMULA(VLOOKUP(SPLIT(AD89, "";"" &amp; CHAR(10)), $AC:$AY, 23, FALSE))))"),"")</f>
        <v/>
      </c>
      <c r="BA89" s="140" t="s">
        <v>66</v>
      </c>
      <c r="BB89" s="190"/>
      <c r="BC89" s="196"/>
      <c r="BD89" s="106" t="str">
        <f>IFERROR(__xludf.DUMMYFUNCTION("IF(IFERROR(SEARCH(""&lt;&lt;mechanism to realize the capability&gt;&gt;"",BA89),0)=0,
 ""!! Error !! “Capability&amp;Mechanism” column: Invalid Separator:"" &amp; CHAR(10) &amp; ""Insert separator “&lt;&lt;mechanism to realize the capability&gt;&gt;.”"",
 IF(
  LEN(TRIM(CLEAN(
    INDEX(
  "&amp;"    SPLIT(BA89,""&lt;&lt;mechanism to realize the capability&gt;&gt;"",FALSE,FALSE),
      1
    )
  )))=0,
  ""!! Error !! “Capability&amp;Mechanism” column: No Capability:""  &amp; CHAR(10) &amp; ""Describe Capability before separator."",
  INDEX(
    SPLIT(BA89,""&lt;&lt;mechanism "&amp;"to realize the capability&gt;&gt;"",FALSE,FALSE),
    1
  )
 )
)
"),"!! Error !! “Capability&amp;Mechanism” column: No Capability:
Describe Capability before separator.")</f>
        <v>!! Error !! “Capability&amp;Mechanism” column: No Capability:
Describe Capability before separator.</v>
      </c>
      <c r="BE89" s="190"/>
      <c r="BF89" s="195"/>
      <c r="BG89" s="42"/>
      <c r="BH89" s="190"/>
      <c r="BI89" s="196"/>
      <c r="BJ89" s="42"/>
      <c r="BK89" s="42"/>
      <c r="BL89" s="203"/>
      <c r="BM89" s="203"/>
      <c r="BN89" s="42"/>
      <c r="BO89" s="42"/>
      <c r="BP89" s="143"/>
      <c r="BQ89" s="143"/>
      <c r="BR89" s="192"/>
      <c r="BS89" s="192"/>
      <c r="BT89" s="192"/>
      <c r="BU89" s="192"/>
      <c r="BV89" s="192"/>
      <c r="BW89" s="192"/>
      <c r="BX89" s="146" t="str">
        <f t="shared" si="8"/>
        <v/>
      </c>
    </row>
    <row r="90">
      <c r="A90" s="106" t="str">
        <f t="shared" si="1"/>
        <v/>
      </c>
      <c r="B90" s="183" t="str">
        <f t="array" ref="B90">IF(ISBLANK($AE90), "-",INDEX(Circuits!A:A,SUMPRODUCT(EXACT($AE90,Circuits!$A:$A)*ROW(Circuits!$A:$A))))</f>
        <v>-</v>
      </c>
      <c r="C90" s="183" t="str">
        <f t="array" ref="C90">IF(ISBLANK($AE90), "-",INDEX(Circuits!B:B,SUMPRODUCT(EXACT($AE90,Circuits!$A:$A)*ROW(Circuits!$A:$A))))</f>
        <v>-</v>
      </c>
      <c r="D90" s="183" t="str">
        <f t="array" ref="D90">IF(ISBLANK($AE90), "-",INDEX(Circuits!C:C,SUMPRODUCT(EXACT($AE90,Circuits!$A:$A)*ROW(Circuits!$A:$A))))</f>
        <v>-</v>
      </c>
      <c r="E90" s="183" t="str">
        <f t="array" ref="E90">IF(ISBLANK($AE90), "-",INDEX(Circuits!D:D,SUMPRODUCT(EXACT($AE90,Circuits!$A:$A)*ROW(Circuits!$A:$A))))</f>
        <v>-</v>
      </c>
      <c r="F90" s="183" t="str">
        <f t="array" ref="F90">IF(ISBLANK($AE90), "-",INDEX(Circuits!E:E,SUMPRODUCT(EXACT($AE90,Circuits!$A:$A)*ROW(Circuits!$A:$A))))</f>
        <v>-</v>
      </c>
      <c r="G90" s="183" t="str">
        <f t="array" ref="G90">IF(ISBLANK($AE90), "-",INDEX(Circuits!F:F,SUMPRODUCT(EXACT($AE90,Circuits!$A:$A)*ROW(Circuits!$A:$A))))</f>
        <v>-</v>
      </c>
      <c r="H90" s="183" t="str">
        <f t="array" ref="H90">IF(ISBLANK($AE90), "-",INDEX(Circuits!G:G,SUMPRODUCT(EXACT($AE90,Circuits!$A:$A)*ROW(Circuits!$A:$A))))</f>
        <v>-</v>
      </c>
      <c r="I90" s="183" t="str">
        <f t="array" ref="I90">IF(ISBLANK($AE90), "-",INDEX(Circuits!H:H,SUMPRODUCT(EXACT($AE90,Circuits!$A:$A)*ROW(Circuits!$A:$A))))</f>
        <v>-</v>
      </c>
      <c r="J90" s="183" t="str">
        <f t="array" ref="J90">IF(ISBLANK($AE90), "-",INDEX(Circuits!I:I,SUMPRODUCT(EXACT($AE90,Circuits!$A:$A)*ROW(Circuits!$A:$A))))</f>
        <v>-</v>
      </c>
      <c r="K90" s="183" t="str">
        <f t="array" ref="K90">IF(ISBLANK($AE90), "-",INDEX(Circuits!J:J,SUMPRODUCT(EXACT($AE90,Circuits!$A:$A)*ROW(Circuits!$A:$A))))</f>
        <v>-</v>
      </c>
      <c r="L90" s="183" t="str">
        <f t="array" ref="L90">IF(ISBLANK($AE90), "-",INDEX(Circuits!K:K,SUMPRODUCT(EXACT($AE90,Circuits!$A:$A)*ROW(Circuits!$A:$A))))</f>
        <v>-</v>
      </c>
      <c r="M90" s="183" t="str">
        <f t="array" ref="M90">IF(ISBLANK($AE90), "-",INDEX(Circuits!L:L,SUMPRODUCT(EXACT($AE90,Circuits!$A:$A)*ROW(Circuits!$A:$A))))</f>
        <v>-</v>
      </c>
      <c r="N90" s="183" t="str">
        <f t="array" ref="N90">IF(ISBLANK($AE90), "-",INDEX(Circuits!M:M,SUMPRODUCT(EXACT($AE90,Circuits!$A:$A)*ROW(Circuits!$A:$A))))</f>
        <v>-</v>
      </c>
      <c r="O90" s="183" t="str">
        <f t="array" ref="O90">IF(ISBLANK($AE90), "-",INDEX(Circuits!N:N,SUMPRODUCT(EXACT($AE90,Circuits!$A:$A)*ROW(Circuits!$A:$A))))</f>
        <v>-</v>
      </c>
      <c r="P90" s="183" t="str">
        <f t="array" ref="P90">IF(ISBLANK($AE90), "-",INDEX(Circuits!O:O,SUMPRODUCT(EXACT($AE90,Circuits!$A:$A)*ROW(Circuits!$A:$A))))</f>
        <v>-</v>
      </c>
      <c r="Q90" s="183" t="str">
        <f t="array" ref="Q90">IF(ISBLANK($AE90), "-",INDEX(Circuits!P:P,SUMPRODUCT(EXACT($AE90,Circuits!$A:$A)*ROW(Circuits!$A:$A))))</f>
        <v>-</v>
      </c>
      <c r="R90" s="183" t="str">
        <f t="array" ref="R90">IF(ISBLANK($AE90), "-",INDEX(Circuits!Q:Q,SUMPRODUCT(EXACT($AE90,Circuits!$A:$A)*ROW(Circuits!$A:$A))))</f>
        <v>-</v>
      </c>
      <c r="S90" s="183" t="str">
        <f t="array" ref="S90">IF(ISBLANK($AE90), "-",INDEX(Circuits!R:R,SUMPRODUCT(EXACT($AE90,Circuits!$A:$A)*ROW(Circuits!$A:$A))))</f>
        <v>-</v>
      </c>
      <c r="T90" s="183" t="str">
        <f t="array" ref="T90">IF(ISBLANK($AE90), "-",INDEX(Circuits!S:S,SUMPRODUCT(EXACT($AE90,Circuits!$A:$A)*ROW(Circuits!$A:$A))))</f>
        <v>-</v>
      </c>
      <c r="U90" s="183" t="str">
        <f t="array" ref="U90">IF(ISBLANK($AE90), "-",INDEX(Circuits!T:T,SUMPRODUCT(EXACT($AE90,Circuits!$A:$A)*ROW(Circuits!$A:$A))))</f>
        <v>-</v>
      </c>
      <c r="V90" s="183" t="str">
        <f t="array" ref="V90">IF(ISBLANK($AE90), "-",INDEX(Circuits!U:U,SUMPRODUCT(EXACT($AE90,Circuits!$A:$A)*ROW(Circuits!$A:$A))))</f>
        <v>-</v>
      </c>
      <c r="W90" s="183" t="str">
        <f t="array" ref="W90">IF(ISBLANK($AE90), "-",INDEX(Circuits!V:V,SUMPRODUCT(EXACT($AE90,Circuits!$A:$A)*ROW(Circuits!$A:$A))))</f>
        <v>-</v>
      </c>
      <c r="X90" s="183" t="str">
        <f t="array" ref="X90">IF(ISBLANK($AE90), "-",INDEX(Circuits!W:W,SUMPRODUCT(EXACT($AE90,Circuits!$A:$A)*ROW(Circuits!$A:$A))))</f>
        <v>-</v>
      </c>
      <c r="Y90" s="183" t="str">
        <f t="array" ref="Y90">IF(ISBLANK($AE90), "-",INDEX(Circuits!X:X,SUMPRODUCT(EXACT($AE90,Circuits!$A:$A)*ROW(Circuits!$A:$A))))</f>
        <v>-</v>
      </c>
      <c r="Z90" s="108" t="str">
        <f>IFERROR(__xludf.DUMMYFUNCTION("IFNA(CONCATENATE(UNIQUE(FILTER(Connections!R:R,Connections!A:A=B90))),""-"")"),"-")</f>
        <v>-</v>
      </c>
      <c r="AA90" s="119" t="str">
        <f t="array" ref="AA90">IF(ISBLANK($AE90), "-",INDEX(Circuits!Y:Y,SUMPRODUCT(EXACT($AE90,Circuits!$A:$A)*ROW(Circuits!$A:$A))))</f>
        <v>-</v>
      </c>
      <c r="AB90" s="121" t="str">
        <f t="array" ref="AB90">IF(ISBLANK($AE90), "-",INDEX(Circuits!Z:Z,SUMPRODUCT(EXACT($AE90,Circuits!$A:$A)*ROW(Circuits!$A:$A))))</f>
        <v>-</v>
      </c>
      <c r="AC90" s="194"/>
      <c r="AD90" s="194"/>
      <c r="AE90" s="40"/>
      <c r="AF90" s="43"/>
      <c r="AG90" s="126" t="str">
        <f>IFERROR(__xludf.DUMMYFUNCTION("IF(ISBLANK(AF90), """", TEXTJOIN(CHAR(10),TRUE,ARRAYFORMULA(IF(ISERROR(SEARCH(SPLIT(AF90, "";""), $Z90)), ""x"", ""-""))))"),"")</f>
        <v/>
      </c>
      <c r="AH90" s="127" t="str">
        <f>IFERROR(__xludf.DUMMYFUNCTION("IF(ISBLANK(AK90), """", TEXTJOIN("";"" &amp; CHAR(10), TRUE, UNIQUE(SPLIT(AK90, "";"" &amp; CHAR(10)), TRUE))&amp;"";"")"),"")</f>
        <v/>
      </c>
      <c r="AI90" s="128" t="str">
        <f>IFERROR(__xludf.DUMMYFUNCTION("IF(ISBLANK(AD90), IF(ISBLANK(AE90),,IFNA(TEXTJOIN("";"" &amp; CHAR(10), TRUE, FILTER(AE:AE, SEARCH(AE90&amp;"";"", AJ:AJ)))&amp;"";"", """")), TEXTJOIN("";"" &amp; CHAR(10), TRUE, UNIQUE(SPLIT(AH90 &amp; "";"" &amp; AH90 &amp; "";"" &amp; AL90, "";"" &amp; CHAR(10)), TRUE, TRUE))&amp;"";"")"),"")</f>
        <v/>
      </c>
      <c r="AJ90" s="126" t="str">
        <f>IFERROR(__xludf.DUMMYFUNCTION("IF(AN90="""", """", TEXTJOIN("";"" &amp; CHAR(10), TRUE, UNIQUE(SPLIT(AH90 &amp; "";"" &amp; AH90 &amp; "";"" &amp; AN90, "";"" &amp; CHAR(10)), TRUE, TRUE))&amp;"";"")"),"")</f>
        <v/>
      </c>
      <c r="AK90" s="129" t="str">
        <f>IFERROR(__xludf.DUMMYFUNCTION("IF(ISBLANK(AD90), IF(ISBLANK(AE90),,AE90 &amp; "";""), TEXTJOIN(CHAR(10), TRUE, ARRAYFORMULA(VLOOKUP(SPLIT(AD90, "";"" &amp; CHAR(10)), $AC:$AH, 6, FALSE))))"),"")</f>
        <v/>
      </c>
      <c r="AL90" s="130" t="str">
        <f>IFERROR(__xludf.DUMMYFUNCTION("IF(AM90="""", """", TEXTJOIN("";"" &amp; CHAR(10), TRUE, UNIQUE(SPLIT(AM90, "";"" &amp; CHAR(10)), TRUE))&amp;"";"")"),"")</f>
        <v/>
      </c>
      <c r="AM90" s="130" t="str">
        <f>IFERROR(__xludf.DUMMYFUNCTION("IF(ISBLANK(AD90), """", TEXTJOIN(CHAR(10), TRUE, ARRAYFORMULA(VLOOKUP(SPLIT(AH90, "";"" &amp; CHAR(10)), $AE:$AI, 5, FALSE)), AF90))"),"")</f>
        <v/>
      </c>
      <c r="AN90" s="132" t="str">
        <f>IFERROR(__xludf.DUMMYFUNCTION("IF(ISBLANK(AO90), """", TEXTJOIN("";"" &amp; CHAR(10), TRUE, UNIQUE(SPLIT(AO90, "";"" &amp; CHAR(10)), TRUE))&amp;"";"")"),"")</f>
        <v/>
      </c>
      <c r="AO90" s="134" t="str">
        <f>IFERROR(__xludf.DUMMYFUNCTION("IF(ISBLANK(AD90), AF90, TEXTJOIN(CHAR(10), TRUE, ARRAYFORMULA(VLOOKUP(SPLIT(AD90, "";"" &amp; CHAR(10)), $AC:$AN, 12, FALSE))))"),"")</f>
        <v/>
      </c>
      <c r="AP90" s="130" t="str">
        <f>IF(ISBLANK(AE90),,IF(IFERROR(SEARCH(AE90&amp;";",Circuits!$AO$2),0),TRUE,FALSE))</f>
        <v/>
      </c>
      <c r="AQ90" s="130" t="str">
        <f t="shared" si="2"/>
        <v/>
      </c>
      <c r="AR90" s="130" t="str">
        <f t="shared" si="3"/>
        <v/>
      </c>
      <c r="AS90" s="136" t="str">
        <f>IFERROR(__xludf.DUMMYFUNCTION("IF(AH90="""",,SUM(ARRAYFORMULA(IF(IFERROR(SEARCH(SPLIT(AH90,CHAR(10)),Circuits!$AO$2),0)&gt;0,0,1))))"),"")</f>
        <v/>
      </c>
      <c r="AT90" s="138" t="str">
        <f t="shared" si="4"/>
        <v/>
      </c>
      <c r="AU90" s="138" t="str">
        <f t="shared" si="5"/>
        <v/>
      </c>
      <c r="AV90" s="130" t="str">
        <f>IFERROR(__xludf.DUMMYFUNCTION("IF(AI90="""",,TEXTJOIN("", "",TRUE,ARRAYFORMULA(VLOOKUP(SPLIT(AI90,"";""&amp;CHAR(10)),AE:AT,16,FALSE))))"),"")</f>
        <v/>
      </c>
      <c r="AW90" s="130" t="str">
        <f>IFERROR(__xludf.DUMMYFUNCTION("IF(ISBLANK(BK90),,TEXTJOIN("", "",TRUE,ARRAYFORMULA(VLOOKUP(IFERROR(REGEXEXTRACT(SPLIT(BK90,"";""&amp;CHAR(10)),""\[(.+)\]"")),AE:AT,16,false))))"),"")</f>
        <v/>
      </c>
      <c r="AX90" s="139" t="str">
        <f t="shared" si="6"/>
        <v/>
      </c>
      <c r="AY90" s="139" t="str">
        <f t="shared" si="7"/>
        <v/>
      </c>
      <c r="AZ90" s="106" t="str">
        <f>IFERROR(__xludf.DUMMYFUNCTION("IF(ISBLANK(AD90), BC90, TEXTJOIN(CHAR(10) &amp; CHAR(10), TRUE, ARRAYFORMULA(VLOOKUP(SPLIT(AD90, "";"" &amp; CHAR(10)), $AC:$AY, 23, FALSE))))"),"")</f>
        <v/>
      </c>
      <c r="BA90" s="140" t="s">
        <v>66</v>
      </c>
      <c r="BB90" s="190"/>
      <c r="BC90" s="196"/>
      <c r="BD90" s="106" t="str">
        <f>IFERROR(__xludf.DUMMYFUNCTION("IF(IFERROR(SEARCH(""&lt;&lt;mechanism to realize the capability&gt;&gt;"",BA90),0)=0,
 ""!! Error !! “Capability&amp;Mechanism” column: Invalid Separator:"" &amp; CHAR(10) &amp; ""Insert separator “&lt;&lt;mechanism to realize the capability&gt;&gt;.”"",
 IF(
  LEN(TRIM(CLEAN(
    INDEX(
  "&amp;"    SPLIT(BA90,""&lt;&lt;mechanism to realize the capability&gt;&gt;"",FALSE,FALSE),
      1
    )
  )))=0,
  ""!! Error !! “Capability&amp;Mechanism” column: No Capability:""  &amp; CHAR(10) &amp; ""Describe Capability before separator."",
  INDEX(
    SPLIT(BA90,""&lt;&lt;mechanism "&amp;"to realize the capability&gt;&gt;"",FALSE,FALSE),
    1
  )
 )
)
"),"!! Error !! “Capability&amp;Mechanism” column: No Capability:
Describe Capability before separator.")</f>
        <v>!! Error !! “Capability&amp;Mechanism” column: No Capability:
Describe Capability before separator.</v>
      </c>
      <c r="BE90" s="190"/>
      <c r="BF90" s="195"/>
      <c r="BG90" s="42"/>
      <c r="BH90" s="190"/>
      <c r="BI90" s="196"/>
      <c r="BJ90" s="42"/>
      <c r="BK90" s="42"/>
      <c r="BL90" s="203"/>
      <c r="BM90" s="203"/>
      <c r="BN90" s="42"/>
      <c r="BO90" s="42"/>
      <c r="BP90" s="143"/>
      <c r="BQ90" s="143"/>
      <c r="BR90" s="192"/>
      <c r="BS90" s="192"/>
      <c r="BT90" s="192"/>
      <c r="BU90" s="192"/>
      <c r="BV90" s="192"/>
      <c r="BW90" s="192"/>
      <c r="BX90" s="146" t="str">
        <f t="shared" si="8"/>
        <v/>
      </c>
    </row>
    <row r="91">
      <c r="A91" s="106" t="str">
        <f t="shared" si="1"/>
        <v/>
      </c>
      <c r="B91" s="183" t="str">
        <f t="array" ref="B91">IF(ISBLANK($AE91), "-",INDEX(Circuits!A:A,SUMPRODUCT(EXACT($AE91,Circuits!$A:$A)*ROW(Circuits!$A:$A))))</f>
        <v>-</v>
      </c>
      <c r="C91" s="183" t="str">
        <f t="array" ref="C91">IF(ISBLANK($AE91), "-",INDEX(Circuits!B:B,SUMPRODUCT(EXACT($AE91,Circuits!$A:$A)*ROW(Circuits!$A:$A))))</f>
        <v>-</v>
      </c>
      <c r="D91" s="183" t="str">
        <f t="array" ref="D91">IF(ISBLANK($AE91), "-",INDEX(Circuits!C:C,SUMPRODUCT(EXACT($AE91,Circuits!$A:$A)*ROW(Circuits!$A:$A))))</f>
        <v>-</v>
      </c>
      <c r="E91" s="183" t="str">
        <f t="array" ref="E91">IF(ISBLANK($AE91), "-",INDEX(Circuits!D:D,SUMPRODUCT(EXACT($AE91,Circuits!$A:$A)*ROW(Circuits!$A:$A))))</f>
        <v>-</v>
      </c>
      <c r="F91" s="183" t="str">
        <f t="array" ref="F91">IF(ISBLANK($AE91), "-",INDEX(Circuits!E:E,SUMPRODUCT(EXACT($AE91,Circuits!$A:$A)*ROW(Circuits!$A:$A))))</f>
        <v>-</v>
      </c>
      <c r="G91" s="183" t="str">
        <f t="array" ref="G91">IF(ISBLANK($AE91), "-",INDEX(Circuits!F:F,SUMPRODUCT(EXACT($AE91,Circuits!$A:$A)*ROW(Circuits!$A:$A))))</f>
        <v>-</v>
      </c>
      <c r="H91" s="183" t="str">
        <f t="array" ref="H91">IF(ISBLANK($AE91), "-",INDEX(Circuits!G:G,SUMPRODUCT(EXACT($AE91,Circuits!$A:$A)*ROW(Circuits!$A:$A))))</f>
        <v>-</v>
      </c>
      <c r="I91" s="183" t="str">
        <f t="array" ref="I91">IF(ISBLANK($AE91), "-",INDEX(Circuits!H:H,SUMPRODUCT(EXACT($AE91,Circuits!$A:$A)*ROW(Circuits!$A:$A))))</f>
        <v>-</v>
      </c>
      <c r="J91" s="183" t="str">
        <f t="array" ref="J91">IF(ISBLANK($AE91), "-",INDEX(Circuits!I:I,SUMPRODUCT(EXACT($AE91,Circuits!$A:$A)*ROW(Circuits!$A:$A))))</f>
        <v>-</v>
      </c>
      <c r="K91" s="183" t="str">
        <f t="array" ref="K91">IF(ISBLANK($AE91), "-",INDEX(Circuits!J:J,SUMPRODUCT(EXACT($AE91,Circuits!$A:$A)*ROW(Circuits!$A:$A))))</f>
        <v>-</v>
      </c>
      <c r="L91" s="183" t="str">
        <f t="array" ref="L91">IF(ISBLANK($AE91), "-",INDEX(Circuits!K:K,SUMPRODUCT(EXACT($AE91,Circuits!$A:$A)*ROW(Circuits!$A:$A))))</f>
        <v>-</v>
      </c>
      <c r="M91" s="183" t="str">
        <f t="array" ref="M91">IF(ISBLANK($AE91), "-",INDEX(Circuits!L:L,SUMPRODUCT(EXACT($AE91,Circuits!$A:$A)*ROW(Circuits!$A:$A))))</f>
        <v>-</v>
      </c>
      <c r="N91" s="183" t="str">
        <f t="array" ref="N91">IF(ISBLANK($AE91), "-",INDEX(Circuits!M:M,SUMPRODUCT(EXACT($AE91,Circuits!$A:$A)*ROW(Circuits!$A:$A))))</f>
        <v>-</v>
      </c>
      <c r="O91" s="183" t="str">
        <f t="array" ref="O91">IF(ISBLANK($AE91), "-",INDEX(Circuits!N:N,SUMPRODUCT(EXACT($AE91,Circuits!$A:$A)*ROW(Circuits!$A:$A))))</f>
        <v>-</v>
      </c>
      <c r="P91" s="183" t="str">
        <f t="array" ref="P91">IF(ISBLANK($AE91), "-",INDEX(Circuits!O:O,SUMPRODUCT(EXACT($AE91,Circuits!$A:$A)*ROW(Circuits!$A:$A))))</f>
        <v>-</v>
      </c>
      <c r="Q91" s="183" t="str">
        <f t="array" ref="Q91">IF(ISBLANK($AE91), "-",INDEX(Circuits!P:P,SUMPRODUCT(EXACT($AE91,Circuits!$A:$A)*ROW(Circuits!$A:$A))))</f>
        <v>-</v>
      </c>
      <c r="R91" s="183" t="str">
        <f t="array" ref="R91">IF(ISBLANK($AE91), "-",INDEX(Circuits!Q:Q,SUMPRODUCT(EXACT($AE91,Circuits!$A:$A)*ROW(Circuits!$A:$A))))</f>
        <v>-</v>
      </c>
      <c r="S91" s="183" t="str">
        <f t="array" ref="S91">IF(ISBLANK($AE91), "-",INDEX(Circuits!R:R,SUMPRODUCT(EXACT($AE91,Circuits!$A:$A)*ROW(Circuits!$A:$A))))</f>
        <v>-</v>
      </c>
      <c r="T91" s="183" t="str">
        <f t="array" ref="T91">IF(ISBLANK($AE91), "-",INDEX(Circuits!S:S,SUMPRODUCT(EXACT($AE91,Circuits!$A:$A)*ROW(Circuits!$A:$A))))</f>
        <v>-</v>
      </c>
      <c r="U91" s="183" t="str">
        <f t="array" ref="U91">IF(ISBLANK($AE91), "-",INDEX(Circuits!T:T,SUMPRODUCT(EXACT($AE91,Circuits!$A:$A)*ROW(Circuits!$A:$A))))</f>
        <v>-</v>
      </c>
      <c r="V91" s="183" t="str">
        <f t="array" ref="V91">IF(ISBLANK($AE91), "-",INDEX(Circuits!U:U,SUMPRODUCT(EXACT($AE91,Circuits!$A:$A)*ROW(Circuits!$A:$A))))</f>
        <v>-</v>
      </c>
      <c r="W91" s="183" t="str">
        <f t="array" ref="W91">IF(ISBLANK($AE91), "-",INDEX(Circuits!V:V,SUMPRODUCT(EXACT($AE91,Circuits!$A:$A)*ROW(Circuits!$A:$A))))</f>
        <v>-</v>
      </c>
      <c r="X91" s="183" t="str">
        <f t="array" ref="X91">IF(ISBLANK($AE91), "-",INDEX(Circuits!W:W,SUMPRODUCT(EXACT($AE91,Circuits!$A:$A)*ROW(Circuits!$A:$A))))</f>
        <v>-</v>
      </c>
      <c r="Y91" s="183" t="str">
        <f t="array" ref="Y91">IF(ISBLANK($AE91), "-",INDEX(Circuits!X:X,SUMPRODUCT(EXACT($AE91,Circuits!$A:$A)*ROW(Circuits!$A:$A))))</f>
        <v>-</v>
      </c>
      <c r="Z91" s="108" t="str">
        <f>IFERROR(__xludf.DUMMYFUNCTION("IFNA(CONCATENATE(UNIQUE(FILTER(Connections!R:R,Connections!A:A=B91))),""-"")"),"-")</f>
        <v>-</v>
      </c>
      <c r="AA91" s="119" t="str">
        <f t="array" ref="AA91">IF(ISBLANK($AE91), "-",INDEX(Circuits!Y:Y,SUMPRODUCT(EXACT($AE91,Circuits!$A:$A)*ROW(Circuits!$A:$A))))</f>
        <v>-</v>
      </c>
      <c r="AB91" s="121" t="str">
        <f t="array" ref="AB91">IF(ISBLANK($AE91), "-",INDEX(Circuits!Z:Z,SUMPRODUCT(EXACT($AE91,Circuits!$A:$A)*ROW(Circuits!$A:$A))))</f>
        <v>-</v>
      </c>
      <c r="AC91" s="194"/>
      <c r="AD91" s="194"/>
      <c r="AE91" s="40"/>
      <c r="AF91" s="43"/>
      <c r="AG91" s="126" t="str">
        <f>IFERROR(__xludf.DUMMYFUNCTION("IF(ISBLANK(AF91), """", TEXTJOIN(CHAR(10),TRUE,ARRAYFORMULA(IF(ISERROR(SEARCH(SPLIT(AF91, "";""), $Z91)), ""x"", ""-""))))"),"")</f>
        <v/>
      </c>
      <c r="AH91" s="127" t="str">
        <f>IFERROR(__xludf.DUMMYFUNCTION("IF(ISBLANK(AK91), """", TEXTJOIN("";"" &amp; CHAR(10), TRUE, UNIQUE(SPLIT(AK91, "";"" &amp; CHAR(10)), TRUE))&amp;"";"")"),"")</f>
        <v/>
      </c>
      <c r="AI91" s="128" t="str">
        <f>IFERROR(__xludf.DUMMYFUNCTION("IF(ISBLANK(AD91), IF(ISBLANK(AE91),,IFNA(TEXTJOIN("";"" &amp; CHAR(10), TRUE, FILTER(AE:AE, SEARCH(AE91&amp;"";"", AJ:AJ)))&amp;"";"", """")), TEXTJOIN("";"" &amp; CHAR(10), TRUE, UNIQUE(SPLIT(AH91 &amp; "";"" &amp; AH91 &amp; "";"" &amp; AL91, "";"" &amp; CHAR(10)), TRUE, TRUE))&amp;"";"")"),"")</f>
        <v/>
      </c>
      <c r="AJ91" s="126" t="str">
        <f>IFERROR(__xludf.DUMMYFUNCTION("IF(AN91="""", """", TEXTJOIN("";"" &amp; CHAR(10), TRUE, UNIQUE(SPLIT(AH91 &amp; "";"" &amp; AH91 &amp; "";"" &amp; AN91, "";"" &amp; CHAR(10)), TRUE, TRUE))&amp;"";"")"),"")</f>
        <v/>
      </c>
      <c r="AK91" s="129" t="str">
        <f>IFERROR(__xludf.DUMMYFUNCTION("IF(ISBLANK(AD91), IF(ISBLANK(AE91),,AE91 &amp; "";""), TEXTJOIN(CHAR(10), TRUE, ARRAYFORMULA(VLOOKUP(SPLIT(AD91, "";"" &amp; CHAR(10)), $AC:$AH, 6, FALSE))))"),"")</f>
        <v/>
      </c>
      <c r="AL91" s="130" t="str">
        <f>IFERROR(__xludf.DUMMYFUNCTION("IF(AM91="""", """", TEXTJOIN("";"" &amp; CHAR(10), TRUE, UNIQUE(SPLIT(AM91, "";"" &amp; CHAR(10)), TRUE))&amp;"";"")"),"")</f>
        <v/>
      </c>
      <c r="AM91" s="130" t="str">
        <f>IFERROR(__xludf.DUMMYFUNCTION("IF(ISBLANK(AD91), """", TEXTJOIN(CHAR(10), TRUE, ARRAYFORMULA(VLOOKUP(SPLIT(AH91, "";"" &amp; CHAR(10)), $AE:$AI, 5, FALSE)), AF91))"),"")</f>
        <v/>
      </c>
      <c r="AN91" s="132" t="str">
        <f>IFERROR(__xludf.DUMMYFUNCTION("IF(ISBLANK(AO91), """", TEXTJOIN("";"" &amp; CHAR(10), TRUE, UNIQUE(SPLIT(AO91, "";"" &amp; CHAR(10)), TRUE))&amp;"";"")"),"")</f>
        <v/>
      </c>
      <c r="AO91" s="134" t="str">
        <f>IFERROR(__xludf.DUMMYFUNCTION("IF(ISBLANK(AD91), AF91, TEXTJOIN(CHAR(10), TRUE, ARRAYFORMULA(VLOOKUP(SPLIT(AD91, "";"" &amp; CHAR(10)), $AC:$AN, 12, FALSE))))"),"")</f>
        <v/>
      </c>
      <c r="AP91" s="130" t="str">
        <f>IF(ISBLANK(AE91),,IF(IFERROR(SEARCH(AE91&amp;";",Circuits!$AO$2),0),TRUE,FALSE))</f>
        <v/>
      </c>
      <c r="AQ91" s="130" t="str">
        <f t="shared" si="2"/>
        <v/>
      </c>
      <c r="AR91" s="130" t="str">
        <f t="shared" si="3"/>
        <v/>
      </c>
      <c r="AS91" s="136" t="str">
        <f>IFERROR(__xludf.DUMMYFUNCTION("IF(AH91="""",,SUM(ARRAYFORMULA(IF(IFERROR(SEARCH(SPLIT(AH91,CHAR(10)),Circuits!$AO$2),0)&gt;0,0,1))))"),"")</f>
        <v/>
      </c>
      <c r="AT91" s="138" t="str">
        <f t="shared" si="4"/>
        <v/>
      </c>
      <c r="AU91" s="138" t="str">
        <f t="shared" si="5"/>
        <v/>
      </c>
      <c r="AV91" s="130" t="str">
        <f>IFERROR(__xludf.DUMMYFUNCTION("IF(AI91="""",,TEXTJOIN("", "",TRUE,ARRAYFORMULA(VLOOKUP(SPLIT(AI91,"";""&amp;CHAR(10)),AE:AT,16,FALSE))))"),"")</f>
        <v/>
      </c>
      <c r="AW91" s="130" t="str">
        <f>IFERROR(__xludf.DUMMYFUNCTION("IF(ISBLANK(BK91),,TEXTJOIN("", "",TRUE,ARRAYFORMULA(VLOOKUP(IFERROR(REGEXEXTRACT(SPLIT(BK91,"";""&amp;CHAR(10)),""\[(.+)\]"")),AE:AT,16,false))))"),"")</f>
        <v/>
      </c>
      <c r="AX91" s="139" t="str">
        <f t="shared" si="6"/>
        <v/>
      </c>
      <c r="AY91" s="139" t="str">
        <f t="shared" si="7"/>
        <v/>
      </c>
      <c r="AZ91" s="106" t="str">
        <f>IFERROR(__xludf.DUMMYFUNCTION("IF(ISBLANK(AD91), BC91, TEXTJOIN(CHAR(10) &amp; CHAR(10), TRUE, ARRAYFORMULA(VLOOKUP(SPLIT(AD91, "";"" &amp; CHAR(10)), $AC:$AY, 23, FALSE))))"),"")</f>
        <v/>
      </c>
      <c r="BA91" s="140" t="s">
        <v>66</v>
      </c>
      <c r="BB91" s="190"/>
      <c r="BC91" s="196"/>
      <c r="BD91" s="106" t="str">
        <f>IFERROR(__xludf.DUMMYFUNCTION("IF(IFERROR(SEARCH(""&lt;&lt;mechanism to realize the capability&gt;&gt;"",BA91),0)=0,
 ""!! Error !! “Capability&amp;Mechanism” column: Invalid Separator:"" &amp; CHAR(10) &amp; ""Insert separator “&lt;&lt;mechanism to realize the capability&gt;&gt;.”"",
 IF(
  LEN(TRIM(CLEAN(
    INDEX(
  "&amp;"    SPLIT(BA91,""&lt;&lt;mechanism to realize the capability&gt;&gt;"",FALSE,FALSE),
      1
    )
  )))=0,
  ""!! Error !! “Capability&amp;Mechanism” column: No Capability:""  &amp; CHAR(10) &amp; ""Describe Capability before separator."",
  INDEX(
    SPLIT(BA91,""&lt;&lt;mechanism "&amp;"to realize the capability&gt;&gt;"",FALSE,FALSE),
    1
  )
 )
)
"),"!! Error !! “Capability&amp;Mechanism” column: No Capability:
Describe Capability before separator.")</f>
        <v>!! Error !! “Capability&amp;Mechanism” column: No Capability:
Describe Capability before separator.</v>
      </c>
      <c r="BE91" s="190"/>
      <c r="BF91" s="195"/>
      <c r="BG91" s="42"/>
      <c r="BH91" s="190"/>
      <c r="BI91" s="196"/>
      <c r="BJ91" s="42"/>
      <c r="BK91" s="42"/>
      <c r="BL91" s="203"/>
      <c r="BM91" s="203"/>
      <c r="BN91" s="42"/>
      <c r="BO91" s="42"/>
      <c r="BP91" s="143"/>
      <c r="BQ91" s="143"/>
      <c r="BR91" s="192"/>
      <c r="BS91" s="192"/>
      <c r="BT91" s="192"/>
      <c r="BU91" s="192"/>
      <c r="BV91" s="192"/>
      <c r="BW91" s="192"/>
      <c r="BX91" s="146" t="str">
        <f t="shared" si="8"/>
        <v/>
      </c>
    </row>
    <row r="92">
      <c r="A92" s="106" t="str">
        <f t="shared" si="1"/>
        <v/>
      </c>
      <c r="B92" s="183" t="str">
        <f t="array" ref="B92">IF(ISBLANK($AE92), "-",INDEX(Circuits!A:A,SUMPRODUCT(EXACT($AE92,Circuits!$A:$A)*ROW(Circuits!$A:$A))))</f>
        <v>-</v>
      </c>
      <c r="C92" s="183" t="str">
        <f t="array" ref="C92">IF(ISBLANK($AE92), "-",INDEX(Circuits!B:B,SUMPRODUCT(EXACT($AE92,Circuits!$A:$A)*ROW(Circuits!$A:$A))))</f>
        <v>-</v>
      </c>
      <c r="D92" s="183" t="str">
        <f t="array" ref="D92">IF(ISBLANK($AE92), "-",INDEX(Circuits!C:C,SUMPRODUCT(EXACT($AE92,Circuits!$A:$A)*ROW(Circuits!$A:$A))))</f>
        <v>-</v>
      </c>
      <c r="E92" s="183" t="str">
        <f t="array" ref="E92">IF(ISBLANK($AE92), "-",INDEX(Circuits!D:D,SUMPRODUCT(EXACT($AE92,Circuits!$A:$A)*ROW(Circuits!$A:$A))))</f>
        <v>-</v>
      </c>
      <c r="F92" s="183" t="str">
        <f t="array" ref="F92">IF(ISBLANK($AE92), "-",INDEX(Circuits!E:E,SUMPRODUCT(EXACT($AE92,Circuits!$A:$A)*ROW(Circuits!$A:$A))))</f>
        <v>-</v>
      </c>
      <c r="G92" s="183" t="str">
        <f t="array" ref="G92">IF(ISBLANK($AE92), "-",INDEX(Circuits!F:F,SUMPRODUCT(EXACT($AE92,Circuits!$A:$A)*ROW(Circuits!$A:$A))))</f>
        <v>-</v>
      </c>
      <c r="H92" s="183" t="str">
        <f t="array" ref="H92">IF(ISBLANK($AE92), "-",INDEX(Circuits!G:G,SUMPRODUCT(EXACT($AE92,Circuits!$A:$A)*ROW(Circuits!$A:$A))))</f>
        <v>-</v>
      </c>
      <c r="I92" s="183" t="str">
        <f t="array" ref="I92">IF(ISBLANK($AE92), "-",INDEX(Circuits!H:H,SUMPRODUCT(EXACT($AE92,Circuits!$A:$A)*ROW(Circuits!$A:$A))))</f>
        <v>-</v>
      </c>
      <c r="J92" s="183" t="str">
        <f t="array" ref="J92">IF(ISBLANK($AE92), "-",INDEX(Circuits!I:I,SUMPRODUCT(EXACT($AE92,Circuits!$A:$A)*ROW(Circuits!$A:$A))))</f>
        <v>-</v>
      </c>
      <c r="K92" s="183" t="str">
        <f t="array" ref="K92">IF(ISBLANK($AE92), "-",INDEX(Circuits!J:J,SUMPRODUCT(EXACT($AE92,Circuits!$A:$A)*ROW(Circuits!$A:$A))))</f>
        <v>-</v>
      </c>
      <c r="L92" s="183" t="str">
        <f t="array" ref="L92">IF(ISBLANK($AE92), "-",INDEX(Circuits!K:K,SUMPRODUCT(EXACT($AE92,Circuits!$A:$A)*ROW(Circuits!$A:$A))))</f>
        <v>-</v>
      </c>
      <c r="M92" s="183" t="str">
        <f t="array" ref="M92">IF(ISBLANK($AE92), "-",INDEX(Circuits!L:L,SUMPRODUCT(EXACT($AE92,Circuits!$A:$A)*ROW(Circuits!$A:$A))))</f>
        <v>-</v>
      </c>
      <c r="N92" s="183" t="str">
        <f t="array" ref="N92">IF(ISBLANK($AE92), "-",INDEX(Circuits!M:M,SUMPRODUCT(EXACT($AE92,Circuits!$A:$A)*ROW(Circuits!$A:$A))))</f>
        <v>-</v>
      </c>
      <c r="O92" s="183" t="str">
        <f t="array" ref="O92">IF(ISBLANK($AE92), "-",INDEX(Circuits!N:N,SUMPRODUCT(EXACT($AE92,Circuits!$A:$A)*ROW(Circuits!$A:$A))))</f>
        <v>-</v>
      </c>
      <c r="P92" s="183" t="str">
        <f t="array" ref="P92">IF(ISBLANK($AE92), "-",INDEX(Circuits!O:O,SUMPRODUCT(EXACT($AE92,Circuits!$A:$A)*ROW(Circuits!$A:$A))))</f>
        <v>-</v>
      </c>
      <c r="Q92" s="183" t="str">
        <f t="array" ref="Q92">IF(ISBLANK($AE92), "-",INDEX(Circuits!P:P,SUMPRODUCT(EXACT($AE92,Circuits!$A:$A)*ROW(Circuits!$A:$A))))</f>
        <v>-</v>
      </c>
      <c r="R92" s="183" t="str">
        <f t="array" ref="R92">IF(ISBLANK($AE92), "-",INDEX(Circuits!Q:Q,SUMPRODUCT(EXACT($AE92,Circuits!$A:$A)*ROW(Circuits!$A:$A))))</f>
        <v>-</v>
      </c>
      <c r="S92" s="183" t="str">
        <f t="array" ref="S92">IF(ISBLANK($AE92), "-",INDEX(Circuits!R:R,SUMPRODUCT(EXACT($AE92,Circuits!$A:$A)*ROW(Circuits!$A:$A))))</f>
        <v>-</v>
      </c>
      <c r="T92" s="183" t="str">
        <f t="array" ref="T92">IF(ISBLANK($AE92), "-",INDEX(Circuits!S:S,SUMPRODUCT(EXACT($AE92,Circuits!$A:$A)*ROW(Circuits!$A:$A))))</f>
        <v>-</v>
      </c>
      <c r="U92" s="183" t="str">
        <f t="array" ref="U92">IF(ISBLANK($AE92), "-",INDEX(Circuits!T:T,SUMPRODUCT(EXACT($AE92,Circuits!$A:$A)*ROW(Circuits!$A:$A))))</f>
        <v>-</v>
      </c>
      <c r="V92" s="183" t="str">
        <f t="array" ref="V92">IF(ISBLANK($AE92), "-",INDEX(Circuits!U:U,SUMPRODUCT(EXACT($AE92,Circuits!$A:$A)*ROW(Circuits!$A:$A))))</f>
        <v>-</v>
      </c>
      <c r="W92" s="183" t="str">
        <f t="array" ref="W92">IF(ISBLANK($AE92), "-",INDEX(Circuits!V:V,SUMPRODUCT(EXACT($AE92,Circuits!$A:$A)*ROW(Circuits!$A:$A))))</f>
        <v>-</v>
      </c>
      <c r="X92" s="183" t="str">
        <f t="array" ref="X92">IF(ISBLANK($AE92), "-",INDEX(Circuits!W:W,SUMPRODUCT(EXACT($AE92,Circuits!$A:$A)*ROW(Circuits!$A:$A))))</f>
        <v>-</v>
      </c>
      <c r="Y92" s="183" t="str">
        <f t="array" ref="Y92">IF(ISBLANK($AE92), "-",INDEX(Circuits!X:X,SUMPRODUCT(EXACT($AE92,Circuits!$A:$A)*ROW(Circuits!$A:$A))))</f>
        <v>-</v>
      </c>
      <c r="Z92" s="108" t="str">
        <f>IFERROR(__xludf.DUMMYFUNCTION("IFNA(CONCATENATE(UNIQUE(FILTER(Connections!R:R,Connections!A:A=B92))),""-"")"),"-")</f>
        <v>-</v>
      </c>
      <c r="AA92" s="119" t="str">
        <f t="array" ref="AA92">IF(ISBLANK($AE92), "-",INDEX(Circuits!Y:Y,SUMPRODUCT(EXACT($AE92,Circuits!$A:$A)*ROW(Circuits!$A:$A))))</f>
        <v>-</v>
      </c>
      <c r="AB92" s="121" t="str">
        <f t="array" ref="AB92">IF(ISBLANK($AE92), "-",INDEX(Circuits!Z:Z,SUMPRODUCT(EXACT($AE92,Circuits!$A:$A)*ROW(Circuits!$A:$A))))</f>
        <v>-</v>
      </c>
      <c r="AC92" s="194"/>
      <c r="AD92" s="194"/>
      <c r="AE92" s="40"/>
      <c r="AF92" s="43"/>
      <c r="AG92" s="126" t="str">
        <f>IFERROR(__xludf.DUMMYFUNCTION("IF(ISBLANK(AF92), """", TEXTJOIN(CHAR(10),TRUE,ARRAYFORMULA(IF(ISERROR(SEARCH(SPLIT(AF92, "";""), $Z92)), ""x"", ""-""))))"),"")</f>
        <v/>
      </c>
      <c r="AH92" s="127" t="str">
        <f>IFERROR(__xludf.DUMMYFUNCTION("IF(ISBLANK(AK92), """", TEXTJOIN("";"" &amp; CHAR(10), TRUE, UNIQUE(SPLIT(AK92, "";"" &amp; CHAR(10)), TRUE))&amp;"";"")"),"")</f>
        <v/>
      </c>
      <c r="AI92" s="128" t="str">
        <f>IFERROR(__xludf.DUMMYFUNCTION("IF(ISBLANK(AD92), IF(ISBLANK(AE92),,IFNA(TEXTJOIN("";"" &amp; CHAR(10), TRUE, FILTER(AE:AE, SEARCH(AE92&amp;"";"", AJ:AJ)))&amp;"";"", """")), TEXTJOIN("";"" &amp; CHAR(10), TRUE, UNIQUE(SPLIT(AH92 &amp; "";"" &amp; AH92 &amp; "";"" &amp; AL92, "";"" &amp; CHAR(10)), TRUE, TRUE))&amp;"";"")"),"")</f>
        <v/>
      </c>
      <c r="AJ92" s="126" t="str">
        <f>IFERROR(__xludf.DUMMYFUNCTION("IF(AN92="""", """", TEXTJOIN("";"" &amp; CHAR(10), TRUE, UNIQUE(SPLIT(AH92 &amp; "";"" &amp; AH92 &amp; "";"" &amp; AN92, "";"" &amp; CHAR(10)), TRUE, TRUE))&amp;"";"")"),"")</f>
        <v/>
      </c>
      <c r="AK92" s="129" t="str">
        <f>IFERROR(__xludf.DUMMYFUNCTION("IF(ISBLANK(AD92), IF(ISBLANK(AE92),,AE92 &amp; "";""), TEXTJOIN(CHAR(10), TRUE, ARRAYFORMULA(VLOOKUP(SPLIT(AD92, "";"" &amp; CHAR(10)), $AC:$AH, 6, FALSE))))"),"")</f>
        <v/>
      </c>
      <c r="AL92" s="130" t="str">
        <f>IFERROR(__xludf.DUMMYFUNCTION("IF(AM92="""", """", TEXTJOIN("";"" &amp; CHAR(10), TRUE, UNIQUE(SPLIT(AM92, "";"" &amp; CHAR(10)), TRUE))&amp;"";"")"),"")</f>
        <v/>
      </c>
      <c r="AM92" s="130" t="str">
        <f>IFERROR(__xludf.DUMMYFUNCTION("IF(ISBLANK(AD92), """", TEXTJOIN(CHAR(10), TRUE, ARRAYFORMULA(VLOOKUP(SPLIT(AH92, "";"" &amp; CHAR(10)), $AE:$AI, 5, FALSE)), AF92))"),"")</f>
        <v/>
      </c>
      <c r="AN92" s="132" t="str">
        <f>IFERROR(__xludf.DUMMYFUNCTION("IF(ISBLANK(AO92), """", TEXTJOIN("";"" &amp; CHAR(10), TRUE, UNIQUE(SPLIT(AO92, "";"" &amp; CHAR(10)), TRUE))&amp;"";"")"),"")</f>
        <v/>
      </c>
      <c r="AO92" s="134" t="str">
        <f>IFERROR(__xludf.DUMMYFUNCTION("IF(ISBLANK(AD92), AF92, TEXTJOIN(CHAR(10), TRUE, ARRAYFORMULA(VLOOKUP(SPLIT(AD92, "";"" &amp; CHAR(10)), $AC:$AN, 12, FALSE))))"),"")</f>
        <v/>
      </c>
      <c r="AP92" s="130" t="str">
        <f>IF(ISBLANK(AE92),,IF(IFERROR(SEARCH(AE92&amp;";",Circuits!$AO$2),0),TRUE,FALSE))</f>
        <v/>
      </c>
      <c r="AQ92" s="130" t="str">
        <f t="shared" si="2"/>
        <v/>
      </c>
      <c r="AR92" s="130" t="str">
        <f t="shared" si="3"/>
        <v/>
      </c>
      <c r="AS92" s="136" t="str">
        <f>IFERROR(__xludf.DUMMYFUNCTION("IF(AH92="""",,SUM(ARRAYFORMULA(IF(IFERROR(SEARCH(SPLIT(AH92,CHAR(10)),Circuits!$AO$2),0)&gt;0,0,1))))"),"")</f>
        <v/>
      </c>
      <c r="AT92" s="138" t="str">
        <f t="shared" si="4"/>
        <v/>
      </c>
      <c r="AU92" s="138" t="str">
        <f t="shared" si="5"/>
        <v/>
      </c>
      <c r="AV92" s="130" t="str">
        <f>IFERROR(__xludf.DUMMYFUNCTION("IF(AI92="""",,TEXTJOIN("", "",TRUE,ARRAYFORMULA(VLOOKUP(SPLIT(AI92,"";""&amp;CHAR(10)),AE:AT,16,FALSE))))"),"")</f>
        <v/>
      </c>
      <c r="AW92" s="130" t="str">
        <f>IFERROR(__xludf.DUMMYFUNCTION("IF(ISBLANK(BK92),,TEXTJOIN("", "",TRUE,ARRAYFORMULA(VLOOKUP(IFERROR(REGEXEXTRACT(SPLIT(BK92,"";""&amp;CHAR(10)),""\[(.+)\]"")),AE:AT,16,false))))"),"")</f>
        <v/>
      </c>
      <c r="AX92" s="139" t="str">
        <f t="shared" si="6"/>
        <v/>
      </c>
      <c r="AY92" s="139" t="str">
        <f t="shared" si="7"/>
        <v/>
      </c>
      <c r="AZ92" s="106" t="str">
        <f>IFERROR(__xludf.DUMMYFUNCTION("IF(ISBLANK(AD92), BC92, TEXTJOIN(CHAR(10) &amp; CHAR(10), TRUE, ARRAYFORMULA(VLOOKUP(SPLIT(AD92, "";"" &amp; CHAR(10)), $AC:$AY, 23, FALSE))))"),"")</f>
        <v/>
      </c>
      <c r="BA92" s="140" t="s">
        <v>66</v>
      </c>
      <c r="BB92" s="190"/>
      <c r="BC92" s="196"/>
      <c r="BD92" s="106" t="str">
        <f>IFERROR(__xludf.DUMMYFUNCTION("IF(IFERROR(SEARCH(""&lt;&lt;mechanism to realize the capability&gt;&gt;"",BA92),0)=0,
 ""!! Error !! “Capability&amp;Mechanism” column: Invalid Separator:"" &amp; CHAR(10) &amp; ""Insert separator “&lt;&lt;mechanism to realize the capability&gt;&gt;.”"",
 IF(
  LEN(TRIM(CLEAN(
    INDEX(
  "&amp;"    SPLIT(BA92,""&lt;&lt;mechanism to realize the capability&gt;&gt;"",FALSE,FALSE),
      1
    )
  )))=0,
  ""!! Error !! “Capability&amp;Mechanism” column: No Capability:""  &amp; CHAR(10) &amp; ""Describe Capability before separator."",
  INDEX(
    SPLIT(BA92,""&lt;&lt;mechanism "&amp;"to realize the capability&gt;&gt;"",FALSE,FALSE),
    1
  )
 )
)
"),"!! Error !! “Capability&amp;Mechanism” column: No Capability:
Describe Capability before separator.")</f>
        <v>!! Error !! “Capability&amp;Mechanism” column: No Capability:
Describe Capability before separator.</v>
      </c>
      <c r="BE92" s="190"/>
      <c r="BF92" s="195"/>
      <c r="BG92" s="42"/>
      <c r="BH92" s="190"/>
      <c r="BI92" s="196"/>
      <c r="BJ92" s="42"/>
      <c r="BK92" s="42"/>
      <c r="BL92" s="203"/>
      <c r="BM92" s="203"/>
      <c r="BN92" s="42"/>
      <c r="BO92" s="42"/>
      <c r="BP92" s="143"/>
      <c r="BQ92" s="143"/>
      <c r="BR92" s="192"/>
      <c r="BS92" s="192"/>
      <c r="BT92" s="192"/>
      <c r="BU92" s="192"/>
      <c r="BV92" s="192"/>
      <c r="BW92" s="192"/>
      <c r="BX92" s="146" t="str">
        <f t="shared" si="8"/>
        <v/>
      </c>
    </row>
    <row r="93">
      <c r="A93" s="106" t="str">
        <f t="shared" si="1"/>
        <v/>
      </c>
      <c r="B93" s="183" t="str">
        <f t="array" ref="B93">IF(ISBLANK($AE93), "-",INDEX(Circuits!A:A,SUMPRODUCT(EXACT($AE93,Circuits!$A:$A)*ROW(Circuits!$A:$A))))</f>
        <v>-</v>
      </c>
      <c r="C93" s="183" t="str">
        <f t="array" ref="C93">IF(ISBLANK($AE93), "-",INDEX(Circuits!B:B,SUMPRODUCT(EXACT($AE93,Circuits!$A:$A)*ROW(Circuits!$A:$A))))</f>
        <v>-</v>
      </c>
      <c r="D93" s="183" t="str">
        <f t="array" ref="D93">IF(ISBLANK($AE93), "-",INDEX(Circuits!C:C,SUMPRODUCT(EXACT($AE93,Circuits!$A:$A)*ROW(Circuits!$A:$A))))</f>
        <v>-</v>
      </c>
      <c r="E93" s="183" t="str">
        <f t="array" ref="E93">IF(ISBLANK($AE93), "-",INDEX(Circuits!D:D,SUMPRODUCT(EXACT($AE93,Circuits!$A:$A)*ROW(Circuits!$A:$A))))</f>
        <v>-</v>
      </c>
      <c r="F93" s="183" t="str">
        <f t="array" ref="F93">IF(ISBLANK($AE93), "-",INDEX(Circuits!E:E,SUMPRODUCT(EXACT($AE93,Circuits!$A:$A)*ROW(Circuits!$A:$A))))</f>
        <v>-</v>
      </c>
      <c r="G93" s="183" t="str">
        <f t="array" ref="G93">IF(ISBLANK($AE93), "-",INDEX(Circuits!F:F,SUMPRODUCT(EXACT($AE93,Circuits!$A:$A)*ROW(Circuits!$A:$A))))</f>
        <v>-</v>
      </c>
      <c r="H93" s="183" t="str">
        <f t="array" ref="H93">IF(ISBLANK($AE93), "-",INDEX(Circuits!G:G,SUMPRODUCT(EXACT($AE93,Circuits!$A:$A)*ROW(Circuits!$A:$A))))</f>
        <v>-</v>
      </c>
      <c r="I93" s="183" t="str">
        <f t="array" ref="I93">IF(ISBLANK($AE93), "-",INDEX(Circuits!H:H,SUMPRODUCT(EXACT($AE93,Circuits!$A:$A)*ROW(Circuits!$A:$A))))</f>
        <v>-</v>
      </c>
      <c r="J93" s="183" t="str">
        <f t="array" ref="J93">IF(ISBLANK($AE93), "-",INDEX(Circuits!I:I,SUMPRODUCT(EXACT($AE93,Circuits!$A:$A)*ROW(Circuits!$A:$A))))</f>
        <v>-</v>
      </c>
      <c r="K93" s="183" t="str">
        <f t="array" ref="K93">IF(ISBLANK($AE93), "-",INDEX(Circuits!J:J,SUMPRODUCT(EXACT($AE93,Circuits!$A:$A)*ROW(Circuits!$A:$A))))</f>
        <v>-</v>
      </c>
      <c r="L93" s="183" t="str">
        <f t="array" ref="L93">IF(ISBLANK($AE93), "-",INDEX(Circuits!K:K,SUMPRODUCT(EXACT($AE93,Circuits!$A:$A)*ROW(Circuits!$A:$A))))</f>
        <v>-</v>
      </c>
      <c r="M93" s="183" t="str">
        <f t="array" ref="M93">IF(ISBLANK($AE93), "-",INDEX(Circuits!L:L,SUMPRODUCT(EXACT($AE93,Circuits!$A:$A)*ROW(Circuits!$A:$A))))</f>
        <v>-</v>
      </c>
      <c r="N93" s="183" t="str">
        <f t="array" ref="N93">IF(ISBLANK($AE93), "-",INDEX(Circuits!M:M,SUMPRODUCT(EXACT($AE93,Circuits!$A:$A)*ROW(Circuits!$A:$A))))</f>
        <v>-</v>
      </c>
      <c r="O93" s="183" t="str">
        <f t="array" ref="O93">IF(ISBLANK($AE93), "-",INDEX(Circuits!N:N,SUMPRODUCT(EXACT($AE93,Circuits!$A:$A)*ROW(Circuits!$A:$A))))</f>
        <v>-</v>
      </c>
      <c r="P93" s="183" t="str">
        <f t="array" ref="P93">IF(ISBLANK($AE93), "-",INDEX(Circuits!O:O,SUMPRODUCT(EXACT($AE93,Circuits!$A:$A)*ROW(Circuits!$A:$A))))</f>
        <v>-</v>
      </c>
      <c r="Q93" s="183" t="str">
        <f t="array" ref="Q93">IF(ISBLANK($AE93), "-",INDEX(Circuits!P:P,SUMPRODUCT(EXACT($AE93,Circuits!$A:$A)*ROW(Circuits!$A:$A))))</f>
        <v>-</v>
      </c>
      <c r="R93" s="183" t="str">
        <f t="array" ref="R93">IF(ISBLANK($AE93), "-",INDEX(Circuits!Q:Q,SUMPRODUCT(EXACT($AE93,Circuits!$A:$A)*ROW(Circuits!$A:$A))))</f>
        <v>-</v>
      </c>
      <c r="S93" s="183" t="str">
        <f t="array" ref="S93">IF(ISBLANK($AE93), "-",INDEX(Circuits!R:R,SUMPRODUCT(EXACT($AE93,Circuits!$A:$A)*ROW(Circuits!$A:$A))))</f>
        <v>-</v>
      </c>
      <c r="T93" s="183" t="str">
        <f t="array" ref="T93">IF(ISBLANK($AE93), "-",INDEX(Circuits!S:S,SUMPRODUCT(EXACT($AE93,Circuits!$A:$A)*ROW(Circuits!$A:$A))))</f>
        <v>-</v>
      </c>
      <c r="U93" s="183" t="str">
        <f t="array" ref="U93">IF(ISBLANK($AE93), "-",INDEX(Circuits!T:T,SUMPRODUCT(EXACT($AE93,Circuits!$A:$A)*ROW(Circuits!$A:$A))))</f>
        <v>-</v>
      </c>
      <c r="V93" s="183" t="str">
        <f t="array" ref="V93">IF(ISBLANK($AE93), "-",INDEX(Circuits!U:U,SUMPRODUCT(EXACT($AE93,Circuits!$A:$A)*ROW(Circuits!$A:$A))))</f>
        <v>-</v>
      </c>
      <c r="W93" s="183" t="str">
        <f t="array" ref="W93">IF(ISBLANK($AE93), "-",INDEX(Circuits!V:V,SUMPRODUCT(EXACT($AE93,Circuits!$A:$A)*ROW(Circuits!$A:$A))))</f>
        <v>-</v>
      </c>
      <c r="X93" s="183" t="str">
        <f t="array" ref="X93">IF(ISBLANK($AE93), "-",INDEX(Circuits!W:W,SUMPRODUCT(EXACT($AE93,Circuits!$A:$A)*ROW(Circuits!$A:$A))))</f>
        <v>-</v>
      </c>
      <c r="Y93" s="183" t="str">
        <f t="array" ref="Y93">IF(ISBLANK($AE93), "-",INDEX(Circuits!X:X,SUMPRODUCT(EXACT($AE93,Circuits!$A:$A)*ROW(Circuits!$A:$A))))</f>
        <v>-</v>
      </c>
      <c r="Z93" s="108" t="str">
        <f>IFERROR(__xludf.DUMMYFUNCTION("IFNA(CONCATENATE(UNIQUE(FILTER(Connections!R:R,Connections!A:A=B93))),""-"")"),"-")</f>
        <v>-</v>
      </c>
      <c r="AA93" s="119" t="str">
        <f t="array" ref="AA93">IF(ISBLANK($AE93), "-",INDEX(Circuits!Y:Y,SUMPRODUCT(EXACT($AE93,Circuits!$A:$A)*ROW(Circuits!$A:$A))))</f>
        <v>-</v>
      </c>
      <c r="AB93" s="121" t="str">
        <f t="array" ref="AB93">IF(ISBLANK($AE93), "-",INDEX(Circuits!Z:Z,SUMPRODUCT(EXACT($AE93,Circuits!$A:$A)*ROW(Circuits!$A:$A))))</f>
        <v>-</v>
      </c>
      <c r="AC93" s="194"/>
      <c r="AD93" s="194"/>
      <c r="AE93" s="40"/>
      <c r="AF93" s="43"/>
      <c r="AG93" s="126" t="str">
        <f>IFERROR(__xludf.DUMMYFUNCTION("IF(ISBLANK(AF93), """", TEXTJOIN(CHAR(10),TRUE,ARRAYFORMULA(IF(ISERROR(SEARCH(SPLIT(AF93, "";""), $Z93)), ""x"", ""-""))))"),"")</f>
        <v/>
      </c>
      <c r="AH93" s="127" t="str">
        <f>IFERROR(__xludf.DUMMYFUNCTION("IF(ISBLANK(AK93), """", TEXTJOIN("";"" &amp; CHAR(10), TRUE, UNIQUE(SPLIT(AK93, "";"" &amp; CHAR(10)), TRUE))&amp;"";"")"),"")</f>
        <v/>
      </c>
      <c r="AI93" s="128" t="str">
        <f>IFERROR(__xludf.DUMMYFUNCTION("IF(ISBLANK(AD93), IF(ISBLANK(AE93),,IFNA(TEXTJOIN("";"" &amp; CHAR(10), TRUE, FILTER(AE:AE, SEARCH(AE93&amp;"";"", AJ:AJ)))&amp;"";"", """")), TEXTJOIN("";"" &amp; CHAR(10), TRUE, UNIQUE(SPLIT(AH93 &amp; "";"" &amp; AH93 &amp; "";"" &amp; AL93, "";"" &amp; CHAR(10)), TRUE, TRUE))&amp;"";"")"),"")</f>
        <v/>
      </c>
      <c r="AJ93" s="126" t="str">
        <f>IFERROR(__xludf.DUMMYFUNCTION("IF(AN93="""", """", TEXTJOIN("";"" &amp; CHAR(10), TRUE, UNIQUE(SPLIT(AH93 &amp; "";"" &amp; AH93 &amp; "";"" &amp; AN93, "";"" &amp; CHAR(10)), TRUE, TRUE))&amp;"";"")"),"")</f>
        <v/>
      </c>
      <c r="AK93" s="129" t="str">
        <f>IFERROR(__xludf.DUMMYFUNCTION("IF(ISBLANK(AD93), IF(ISBLANK(AE93),,AE93 &amp; "";""), TEXTJOIN(CHAR(10), TRUE, ARRAYFORMULA(VLOOKUP(SPLIT(AD93, "";"" &amp; CHAR(10)), $AC:$AH, 6, FALSE))))"),"")</f>
        <v/>
      </c>
      <c r="AL93" s="130" t="str">
        <f>IFERROR(__xludf.DUMMYFUNCTION("IF(AM93="""", """", TEXTJOIN("";"" &amp; CHAR(10), TRUE, UNIQUE(SPLIT(AM93, "";"" &amp; CHAR(10)), TRUE))&amp;"";"")"),"")</f>
        <v/>
      </c>
      <c r="AM93" s="130" t="str">
        <f>IFERROR(__xludf.DUMMYFUNCTION("IF(ISBLANK(AD93), """", TEXTJOIN(CHAR(10), TRUE, ARRAYFORMULA(VLOOKUP(SPLIT(AH93, "";"" &amp; CHAR(10)), $AE:$AI, 5, FALSE)), AF93))"),"")</f>
        <v/>
      </c>
      <c r="AN93" s="132" t="str">
        <f>IFERROR(__xludf.DUMMYFUNCTION("IF(ISBLANK(AO93), """", TEXTJOIN("";"" &amp; CHAR(10), TRUE, UNIQUE(SPLIT(AO93, "";"" &amp; CHAR(10)), TRUE))&amp;"";"")"),"")</f>
        <v/>
      </c>
      <c r="AO93" s="134" t="str">
        <f>IFERROR(__xludf.DUMMYFUNCTION("IF(ISBLANK(AD93), AF93, TEXTJOIN(CHAR(10), TRUE, ARRAYFORMULA(VLOOKUP(SPLIT(AD93, "";"" &amp; CHAR(10)), $AC:$AN, 12, FALSE))))"),"")</f>
        <v/>
      </c>
      <c r="AP93" s="130" t="str">
        <f>IF(ISBLANK(AE93),,IF(IFERROR(SEARCH(AE93&amp;";",Circuits!$AO$2),0),TRUE,FALSE))</f>
        <v/>
      </c>
      <c r="AQ93" s="130" t="str">
        <f t="shared" si="2"/>
        <v/>
      </c>
      <c r="AR93" s="130" t="str">
        <f t="shared" si="3"/>
        <v/>
      </c>
      <c r="AS93" s="136" t="str">
        <f>IFERROR(__xludf.DUMMYFUNCTION("IF(AH93="""",,SUM(ARRAYFORMULA(IF(IFERROR(SEARCH(SPLIT(AH93,CHAR(10)),Circuits!$AO$2),0)&gt;0,0,1))))"),"")</f>
        <v/>
      </c>
      <c r="AT93" s="138" t="str">
        <f t="shared" si="4"/>
        <v/>
      </c>
      <c r="AU93" s="138" t="str">
        <f t="shared" si="5"/>
        <v/>
      </c>
      <c r="AV93" s="130" t="str">
        <f>IFERROR(__xludf.DUMMYFUNCTION("IF(AI93="""",,TEXTJOIN("", "",TRUE,ARRAYFORMULA(VLOOKUP(SPLIT(AI93,"";""&amp;CHAR(10)),AE:AT,16,FALSE))))"),"")</f>
        <v/>
      </c>
      <c r="AW93" s="130" t="str">
        <f>IFERROR(__xludf.DUMMYFUNCTION("IF(ISBLANK(BK93),,TEXTJOIN("", "",TRUE,ARRAYFORMULA(VLOOKUP(IFERROR(REGEXEXTRACT(SPLIT(BK93,"";""&amp;CHAR(10)),""\[(.+)\]"")),AE:AT,16,false))))"),"")</f>
        <v/>
      </c>
      <c r="AX93" s="139" t="str">
        <f t="shared" si="6"/>
        <v/>
      </c>
      <c r="AY93" s="139" t="str">
        <f t="shared" si="7"/>
        <v/>
      </c>
      <c r="AZ93" s="106" t="str">
        <f>IFERROR(__xludf.DUMMYFUNCTION("IF(ISBLANK(AD93), BC93, TEXTJOIN(CHAR(10) &amp; CHAR(10), TRUE, ARRAYFORMULA(VLOOKUP(SPLIT(AD93, "";"" &amp; CHAR(10)), $AC:$AY, 23, FALSE))))"),"")</f>
        <v/>
      </c>
      <c r="BA93" s="140" t="s">
        <v>66</v>
      </c>
      <c r="BB93" s="190"/>
      <c r="BC93" s="196"/>
      <c r="BD93" s="106" t="str">
        <f>IFERROR(__xludf.DUMMYFUNCTION("IF(IFERROR(SEARCH(""&lt;&lt;mechanism to realize the capability&gt;&gt;"",BA93),0)=0,
 ""!! Error !! “Capability&amp;Mechanism” column: Invalid Separator:"" &amp; CHAR(10) &amp; ""Insert separator “&lt;&lt;mechanism to realize the capability&gt;&gt;.”"",
 IF(
  LEN(TRIM(CLEAN(
    INDEX(
  "&amp;"    SPLIT(BA93,""&lt;&lt;mechanism to realize the capability&gt;&gt;"",FALSE,FALSE),
      1
    )
  )))=0,
  ""!! Error !! “Capability&amp;Mechanism” column: No Capability:""  &amp; CHAR(10) &amp; ""Describe Capability before separator."",
  INDEX(
    SPLIT(BA93,""&lt;&lt;mechanism "&amp;"to realize the capability&gt;&gt;"",FALSE,FALSE),
    1
  )
 )
)
"),"!! Error !! “Capability&amp;Mechanism” column: No Capability:
Describe Capability before separator.")</f>
        <v>!! Error !! “Capability&amp;Mechanism” column: No Capability:
Describe Capability before separator.</v>
      </c>
      <c r="BE93" s="190"/>
      <c r="BF93" s="195"/>
      <c r="BG93" s="42"/>
      <c r="BH93" s="190"/>
      <c r="BI93" s="196"/>
      <c r="BJ93" s="42"/>
      <c r="BK93" s="42"/>
      <c r="BL93" s="203"/>
      <c r="BM93" s="203"/>
      <c r="BN93" s="42"/>
      <c r="BO93" s="42"/>
      <c r="BP93" s="143"/>
      <c r="BQ93" s="143"/>
      <c r="BR93" s="192"/>
      <c r="BS93" s="192"/>
      <c r="BT93" s="192"/>
      <c r="BU93" s="192"/>
      <c r="BV93" s="192"/>
      <c r="BW93" s="192"/>
      <c r="BX93" s="146" t="str">
        <f t="shared" si="8"/>
        <v/>
      </c>
    </row>
    <row r="94">
      <c r="A94" s="106" t="str">
        <f t="shared" si="1"/>
        <v/>
      </c>
      <c r="B94" s="183" t="str">
        <f t="array" ref="B94">IF(ISBLANK($AE94), "-",INDEX(Circuits!A:A,SUMPRODUCT(EXACT($AE94,Circuits!$A:$A)*ROW(Circuits!$A:$A))))</f>
        <v>-</v>
      </c>
      <c r="C94" s="183" t="str">
        <f t="array" ref="C94">IF(ISBLANK($AE94), "-",INDEX(Circuits!B:B,SUMPRODUCT(EXACT($AE94,Circuits!$A:$A)*ROW(Circuits!$A:$A))))</f>
        <v>-</v>
      </c>
      <c r="D94" s="183" t="str">
        <f t="array" ref="D94">IF(ISBLANK($AE94), "-",INDEX(Circuits!C:C,SUMPRODUCT(EXACT($AE94,Circuits!$A:$A)*ROW(Circuits!$A:$A))))</f>
        <v>-</v>
      </c>
      <c r="E94" s="183" t="str">
        <f t="array" ref="E94">IF(ISBLANK($AE94), "-",INDEX(Circuits!D:D,SUMPRODUCT(EXACT($AE94,Circuits!$A:$A)*ROW(Circuits!$A:$A))))</f>
        <v>-</v>
      </c>
      <c r="F94" s="183" t="str">
        <f t="array" ref="F94">IF(ISBLANK($AE94), "-",INDEX(Circuits!E:E,SUMPRODUCT(EXACT($AE94,Circuits!$A:$A)*ROW(Circuits!$A:$A))))</f>
        <v>-</v>
      </c>
      <c r="G94" s="183" t="str">
        <f t="array" ref="G94">IF(ISBLANK($AE94), "-",INDEX(Circuits!F:F,SUMPRODUCT(EXACT($AE94,Circuits!$A:$A)*ROW(Circuits!$A:$A))))</f>
        <v>-</v>
      </c>
      <c r="H94" s="183" t="str">
        <f t="array" ref="H94">IF(ISBLANK($AE94), "-",INDEX(Circuits!G:G,SUMPRODUCT(EXACT($AE94,Circuits!$A:$A)*ROW(Circuits!$A:$A))))</f>
        <v>-</v>
      </c>
      <c r="I94" s="183" t="str">
        <f t="array" ref="I94">IF(ISBLANK($AE94), "-",INDEX(Circuits!H:H,SUMPRODUCT(EXACT($AE94,Circuits!$A:$A)*ROW(Circuits!$A:$A))))</f>
        <v>-</v>
      </c>
      <c r="J94" s="183" t="str">
        <f t="array" ref="J94">IF(ISBLANK($AE94), "-",INDEX(Circuits!I:I,SUMPRODUCT(EXACT($AE94,Circuits!$A:$A)*ROW(Circuits!$A:$A))))</f>
        <v>-</v>
      </c>
      <c r="K94" s="183" t="str">
        <f t="array" ref="K94">IF(ISBLANK($AE94), "-",INDEX(Circuits!J:J,SUMPRODUCT(EXACT($AE94,Circuits!$A:$A)*ROW(Circuits!$A:$A))))</f>
        <v>-</v>
      </c>
      <c r="L94" s="183" t="str">
        <f t="array" ref="L94">IF(ISBLANK($AE94), "-",INDEX(Circuits!K:K,SUMPRODUCT(EXACT($AE94,Circuits!$A:$A)*ROW(Circuits!$A:$A))))</f>
        <v>-</v>
      </c>
      <c r="M94" s="183" t="str">
        <f t="array" ref="M94">IF(ISBLANK($AE94), "-",INDEX(Circuits!L:L,SUMPRODUCT(EXACT($AE94,Circuits!$A:$A)*ROW(Circuits!$A:$A))))</f>
        <v>-</v>
      </c>
      <c r="N94" s="183" t="str">
        <f t="array" ref="N94">IF(ISBLANK($AE94), "-",INDEX(Circuits!M:M,SUMPRODUCT(EXACT($AE94,Circuits!$A:$A)*ROW(Circuits!$A:$A))))</f>
        <v>-</v>
      </c>
      <c r="O94" s="183" t="str">
        <f t="array" ref="O94">IF(ISBLANK($AE94), "-",INDEX(Circuits!N:N,SUMPRODUCT(EXACT($AE94,Circuits!$A:$A)*ROW(Circuits!$A:$A))))</f>
        <v>-</v>
      </c>
      <c r="P94" s="183" t="str">
        <f t="array" ref="P94">IF(ISBLANK($AE94), "-",INDEX(Circuits!O:O,SUMPRODUCT(EXACT($AE94,Circuits!$A:$A)*ROW(Circuits!$A:$A))))</f>
        <v>-</v>
      </c>
      <c r="Q94" s="183" t="str">
        <f t="array" ref="Q94">IF(ISBLANK($AE94), "-",INDEX(Circuits!P:P,SUMPRODUCT(EXACT($AE94,Circuits!$A:$A)*ROW(Circuits!$A:$A))))</f>
        <v>-</v>
      </c>
      <c r="R94" s="183" t="str">
        <f t="array" ref="R94">IF(ISBLANK($AE94), "-",INDEX(Circuits!Q:Q,SUMPRODUCT(EXACT($AE94,Circuits!$A:$A)*ROW(Circuits!$A:$A))))</f>
        <v>-</v>
      </c>
      <c r="S94" s="183" t="str">
        <f t="array" ref="S94">IF(ISBLANK($AE94), "-",INDEX(Circuits!R:R,SUMPRODUCT(EXACT($AE94,Circuits!$A:$A)*ROW(Circuits!$A:$A))))</f>
        <v>-</v>
      </c>
      <c r="T94" s="183" t="str">
        <f t="array" ref="T94">IF(ISBLANK($AE94), "-",INDEX(Circuits!S:S,SUMPRODUCT(EXACT($AE94,Circuits!$A:$A)*ROW(Circuits!$A:$A))))</f>
        <v>-</v>
      </c>
      <c r="U94" s="183" t="str">
        <f t="array" ref="U94">IF(ISBLANK($AE94), "-",INDEX(Circuits!T:T,SUMPRODUCT(EXACT($AE94,Circuits!$A:$A)*ROW(Circuits!$A:$A))))</f>
        <v>-</v>
      </c>
      <c r="V94" s="183" t="str">
        <f t="array" ref="V94">IF(ISBLANK($AE94), "-",INDEX(Circuits!U:U,SUMPRODUCT(EXACT($AE94,Circuits!$A:$A)*ROW(Circuits!$A:$A))))</f>
        <v>-</v>
      </c>
      <c r="W94" s="183" t="str">
        <f t="array" ref="W94">IF(ISBLANK($AE94), "-",INDEX(Circuits!V:V,SUMPRODUCT(EXACT($AE94,Circuits!$A:$A)*ROW(Circuits!$A:$A))))</f>
        <v>-</v>
      </c>
      <c r="X94" s="183" t="str">
        <f t="array" ref="X94">IF(ISBLANK($AE94), "-",INDEX(Circuits!W:W,SUMPRODUCT(EXACT($AE94,Circuits!$A:$A)*ROW(Circuits!$A:$A))))</f>
        <v>-</v>
      </c>
      <c r="Y94" s="183" t="str">
        <f t="array" ref="Y94">IF(ISBLANK($AE94), "-",INDEX(Circuits!X:X,SUMPRODUCT(EXACT($AE94,Circuits!$A:$A)*ROW(Circuits!$A:$A))))</f>
        <v>-</v>
      </c>
      <c r="Z94" s="108" t="str">
        <f>IFERROR(__xludf.DUMMYFUNCTION("IFNA(CONCATENATE(UNIQUE(FILTER(Connections!R:R,Connections!A:A=B94))),""-"")"),"-")</f>
        <v>-</v>
      </c>
      <c r="AA94" s="119" t="str">
        <f t="array" ref="AA94">IF(ISBLANK($AE94), "-",INDEX(Circuits!Y:Y,SUMPRODUCT(EXACT($AE94,Circuits!$A:$A)*ROW(Circuits!$A:$A))))</f>
        <v>-</v>
      </c>
      <c r="AB94" s="121" t="str">
        <f t="array" ref="AB94">IF(ISBLANK($AE94), "-",INDEX(Circuits!Z:Z,SUMPRODUCT(EXACT($AE94,Circuits!$A:$A)*ROW(Circuits!$A:$A))))</f>
        <v>-</v>
      </c>
      <c r="AC94" s="194"/>
      <c r="AD94" s="194"/>
      <c r="AE94" s="40"/>
      <c r="AF94" s="43"/>
      <c r="AG94" s="126" t="str">
        <f>IFERROR(__xludf.DUMMYFUNCTION("IF(ISBLANK(AF94), """", TEXTJOIN(CHAR(10),TRUE,ARRAYFORMULA(IF(ISERROR(SEARCH(SPLIT(AF94, "";""), $Z94)), ""x"", ""-""))))"),"")</f>
        <v/>
      </c>
      <c r="AH94" s="127" t="str">
        <f>IFERROR(__xludf.DUMMYFUNCTION("IF(ISBLANK(AK94), """", TEXTJOIN("";"" &amp; CHAR(10), TRUE, UNIQUE(SPLIT(AK94, "";"" &amp; CHAR(10)), TRUE))&amp;"";"")"),"")</f>
        <v/>
      </c>
      <c r="AI94" s="128" t="str">
        <f>IFERROR(__xludf.DUMMYFUNCTION("IF(ISBLANK(AD94), IF(ISBLANK(AE94),,IFNA(TEXTJOIN("";"" &amp; CHAR(10), TRUE, FILTER(AE:AE, SEARCH(AE94&amp;"";"", AJ:AJ)))&amp;"";"", """")), TEXTJOIN("";"" &amp; CHAR(10), TRUE, UNIQUE(SPLIT(AH94 &amp; "";"" &amp; AH94 &amp; "";"" &amp; AL94, "";"" &amp; CHAR(10)), TRUE, TRUE))&amp;"";"")"),"")</f>
        <v/>
      </c>
      <c r="AJ94" s="126" t="str">
        <f>IFERROR(__xludf.DUMMYFUNCTION("IF(AN94="""", """", TEXTJOIN("";"" &amp; CHAR(10), TRUE, UNIQUE(SPLIT(AH94 &amp; "";"" &amp; AH94 &amp; "";"" &amp; AN94, "";"" &amp; CHAR(10)), TRUE, TRUE))&amp;"";"")"),"")</f>
        <v/>
      </c>
      <c r="AK94" s="129" t="str">
        <f>IFERROR(__xludf.DUMMYFUNCTION("IF(ISBLANK(AD94), IF(ISBLANK(AE94),,AE94 &amp; "";""), TEXTJOIN(CHAR(10), TRUE, ARRAYFORMULA(VLOOKUP(SPLIT(AD94, "";"" &amp; CHAR(10)), $AC:$AH, 6, FALSE))))"),"")</f>
        <v/>
      </c>
      <c r="AL94" s="130" t="str">
        <f>IFERROR(__xludf.DUMMYFUNCTION("IF(AM94="""", """", TEXTJOIN("";"" &amp; CHAR(10), TRUE, UNIQUE(SPLIT(AM94, "";"" &amp; CHAR(10)), TRUE))&amp;"";"")"),"")</f>
        <v/>
      </c>
      <c r="AM94" s="130" t="str">
        <f>IFERROR(__xludf.DUMMYFUNCTION("IF(ISBLANK(AD94), """", TEXTJOIN(CHAR(10), TRUE, ARRAYFORMULA(VLOOKUP(SPLIT(AH94, "";"" &amp; CHAR(10)), $AE:$AI, 5, FALSE)), AF94))"),"")</f>
        <v/>
      </c>
      <c r="AN94" s="132" t="str">
        <f>IFERROR(__xludf.DUMMYFUNCTION("IF(ISBLANK(AO94), """", TEXTJOIN("";"" &amp; CHAR(10), TRUE, UNIQUE(SPLIT(AO94, "";"" &amp; CHAR(10)), TRUE))&amp;"";"")"),"")</f>
        <v/>
      </c>
      <c r="AO94" s="134" t="str">
        <f>IFERROR(__xludf.DUMMYFUNCTION("IF(ISBLANK(AD94), AF94, TEXTJOIN(CHAR(10), TRUE, ARRAYFORMULA(VLOOKUP(SPLIT(AD94, "";"" &amp; CHAR(10)), $AC:$AN, 12, FALSE))))"),"")</f>
        <v/>
      </c>
      <c r="AP94" s="130" t="str">
        <f>IF(ISBLANK(AE94),,IF(IFERROR(SEARCH(AE94&amp;";",Circuits!$AO$2),0),TRUE,FALSE))</f>
        <v/>
      </c>
      <c r="AQ94" s="130" t="str">
        <f t="shared" si="2"/>
        <v/>
      </c>
      <c r="AR94" s="130" t="str">
        <f t="shared" si="3"/>
        <v/>
      </c>
      <c r="AS94" s="136" t="str">
        <f>IFERROR(__xludf.DUMMYFUNCTION("IF(AH94="""",,SUM(ARRAYFORMULA(IF(IFERROR(SEARCH(SPLIT(AH94,CHAR(10)),Circuits!$AO$2),0)&gt;0,0,1))))"),"")</f>
        <v/>
      </c>
      <c r="AT94" s="138" t="str">
        <f t="shared" si="4"/>
        <v/>
      </c>
      <c r="AU94" s="138" t="str">
        <f t="shared" si="5"/>
        <v/>
      </c>
      <c r="AV94" s="130" t="str">
        <f>IFERROR(__xludf.DUMMYFUNCTION("IF(AI94="""",,TEXTJOIN("", "",TRUE,ARRAYFORMULA(VLOOKUP(SPLIT(AI94,"";""&amp;CHAR(10)),AE:AT,16,FALSE))))"),"")</f>
        <v/>
      </c>
      <c r="AW94" s="130" t="str">
        <f>IFERROR(__xludf.DUMMYFUNCTION("IF(ISBLANK(BK94),,TEXTJOIN("", "",TRUE,ARRAYFORMULA(VLOOKUP(IFERROR(REGEXEXTRACT(SPLIT(BK94,"";""&amp;CHAR(10)),""\[(.+)\]"")),AE:AT,16,false))))"),"")</f>
        <v/>
      </c>
      <c r="AX94" s="139" t="str">
        <f t="shared" si="6"/>
        <v/>
      </c>
      <c r="AY94" s="139" t="str">
        <f t="shared" si="7"/>
        <v/>
      </c>
      <c r="AZ94" s="106" t="str">
        <f>IFERROR(__xludf.DUMMYFUNCTION("IF(ISBLANK(AD94), BC94, TEXTJOIN(CHAR(10) &amp; CHAR(10), TRUE, ARRAYFORMULA(VLOOKUP(SPLIT(AD94, "";"" &amp; CHAR(10)), $AC:$AY, 23, FALSE))))"),"")</f>
        <v/>
      </c>
      <c r="BA94" s="140" t="s">
        <v>66</v>
      </c>
      <c r="BB94" s="190"/>
      <c r="BC94" s="196"/>
      <c r="BD94" s="106" t="str">
        <f>IFERROR(__xludf.DUMMYFUNCTION("IF(IFERROR(SEARCH(""&lt;&lt;mechanism to realize the capability&gt;&gt;"",BA94),0)=0,
 ""!! Error !! “Capability&amp;Mechanism” column: Invalid Separator:"" &amp; CHAR(10) &amp; ""Insert separator “&lt;&lt;mechanism to realize the capability&gt;&gt;.”"",
 IF(
  LEN(TRIM(CLEAN(
    INDEX(
  "&amp;"    SPLIT(BA94,""&lt;&lt;mechanism to realize the capability&gt;&gt;"",FALSE,FALSE),
      1
    )
  )))=0,
  ""!! Error !! “Capability&amp;Mechanism” column: No Capability:""  &amp; CHAR(10) &amp; ""Describe Capability before separator."",
  INDEX(
    SPLIT(BA94,""&lt;&lt;mechanism "&amp;"to realize the capability&gt;&gt;"",FALSE,FALSE),
    1
  )
 )
)
"),"!! Error !! “Capability&amp;Mechanism” column: No Capability:
Describe Capability before separator.")</f>
        <v>!! Error !! “Capability&amp;Mechanism” column: No Capability:
Describe Capability before separator.</v>
      </c>
      <c r="BE94" s="190"/>
      <c r="BF94" s="195"/>
      <c r="BG94" s="42"/>
      <c r="BH94" s="190"/>
      <c r="BI94" s="196"/>
      <c r="BJ94" s="42"/>
      <c r="BK94" s="42"/>
      <c r="BL94" s="203"/>
      <c r="BM94" s="203"/>
      <c r="BN94" s="42"/>
      <c r="BO94" s="42"/>
      <c r="BP94" s="143"/>
      <c r="BQ94" s="143"/>
      <c r="BR94" s="192"/>
      <c r="BS94" s="192"/>
      <c r="BT94" s="192"/>
      <c r="BU94" s="192"/>
      <c r="BV94" s="192"/>
      <c r="BW94" s="192"/>
      <c r="BX94" s="146" t="str">
        <f t="shared" si="8"/>
        <v/>
      </c>
    </row>
    <row r="95">
      <c r="A95" s="106" t="str">
        <f t="shared" si="1"/>
        <v/>
      </c>
      <c r="B95" s="183" t="str">
        <f t="array" ref="B95">IF(ISBLANK($AE95), "-",INDEX(Circuits!A:A,SUMPRODUCT(EXACT($AE95,Circuits!$A:$A)*ROW(Circuits!$A:$A))))</f>
        <v>-</v>
      </c>
      <c r="C95" s="183" t="str">
        <f t="array" ref="C95">IF(ISBLANK($AE95), "-",INDEX(Circuits!B:B,SUMPRODUCT(EXACT($AE95,Circuits!$A:$A)*ROW(Circuits!$A:$A))))</f>
        <v>-</v>
      </c>
      <c r="D95" s="183" t="str">
        <f t="array" ref="D95">IF(ISBLANK($AE95), "-",INDEX(Circuits!C:C,SUMPRODUCT(EXACT($AE95,Circuits!$A:$A)*ROW(Circuits!$A:$A))))</f>
        <v>-</v>
      </c>
      <c r="E95" s="183" t="str">
        <f t="array" ref="E95">IF(ISBLANK($AE95), "-",INDEX(Circuits!D:D,SUMPRODUCT(EXACT($AE95,Circuits!$A:$A)*ROW(Circuits!$A:$A))))</f>
        <v>-</v>
      </c>
      <c r="F95" s="183" t="str">
        <f t="array" ref="F95">IF(ISBLANK($AE95), "-",INDEX(Circuits!E:E,SUMPRODUCT(EXACT($AE95,Circuits!$A:$A)*ROW(Circuits!$A:$A))))</f>
        <v>-</v>
      </c>
      <c r="G95" s="183" t="str">
        <f t="array" ref="G95">IF(ISBLANK($AE95), "-",INDEX(Circuits!F:F,SUMPRODUCT(EXACT($AE95,Circuits!$A:$A)*ROW(Circuits!$A:$A))))</f>
        <v>-</v>
      </c>
      <c r="H95" s="183" t="str">
        <f t="array" ref="H95">IF(ISBLANK($AE95), "-",INDEX(Circuits!G:G,SUMPRODUCT(EXACT($AE95,Circuits!$A:$A)*ROW(Circuits!$A:$A))))</f>
        <v>-</v>
      </c>
      <c r="I95" s="183" t="str">
        <f t="array" ref="I95">IF(ISBLANK($AE95), "-",INDEX(Circuits!H:H,SUMPRODUCT(EXACT($AE95,Circuits!$A:$A)*ROW(Circuits!$A:$A))))</f>
        <v>-</v>
      </c>
      <c r="J95" s="183" t="str">
        <f t="array" ref="J95">IF(ISBLANK($AE95), "-",INDEX(Circuits!I:I,SUMPRODUCT(EXACT($AE95,Circuits!$A:$A)*ROW(Circuits!$A:$A))))</f>
        <v>-</v>
      </c>
      <c r="K95" s="183" t="str">
        <f t="array" ref="K95">IF(ISBLANK($AE95), "-",INDEX(Circuits!J:J,SUMPRODUCT(EXACT($AE95,Circuits!$A:$A)*ROW(Circuits!$A:$A))))</f>
        <v>-</v>
      </c>
      <c r="L95" s="183" t="str">
        <f t="array" ref="L95">IF(ISBLANK($AE95), "-",INDEX(Circuits!K:K,SUMPRODUCT(EXACT($AE95,Circuits!$A:$A)*ROW(Circuits!$A:$A))))</f>
        <v>-</v>
      </c>
      <c r="M95" s="183" t="str">
        <f t="array" ref="M95">IF(ISBLANK($AE95), "-",INDEX(Circuits!L:L,SUMPRODUCT(EXACT($AE95,Circuits!$A:$A)*ROW(Circuits!$A:$A))))</f>
        <v>-</v>
      </c>
      <c r="N95" s="183" t="str">
        <f t="array" ref="N95">IF(ISBLANK($AE95), "-",INDEX(Circuits!M:M,SUMPRODUCT(EXACT($AE95,Circuits!$A:$A)*ROW(Circuits!$A:$A))))</f>
        <v>-</v>
      </c>
      <c r="O95" s="183" t="str">
        <f t="array" ref="O95">IF(ISBLANK($AE95), "-",INDEX(Circuits!N:N,SUMPRODUCT(EXACT($AE95,Circuits!$A:$A)*ROW(Circuits!$A:$A))))</f>
        <v>-</v>
      </c>
      <c r="P95" s="183" t="str">
        <f t="array" ref="P95">IF(ISBLANK($AE95), "-",INDEX(Circuits!O:O,SUMPRODUCT(EXACT($AE95,Circuits!$A:$A)*ROW(Circuits!$A:$A))))</f>
        <v>-</v>
      </c>
      <c r="Q95" s="183" t="str">
        <f t="array" ref="Q95">IF(ISBLANK($AE95), "-",INDEX(Circuits!P:P,SUMPRODUCT(EXACT($AE95,Circuits!$A:$A)*ROW(Circuits!$A:$A))))</f>
        <v>-</v>
      </c>
      <c r="R95" s="183" t="str">
        <f t="array" ref="R95">IF(ISBLANK($AE95), "-",INDEX(Circuits!Q:Q,SUMPRODUCT(EXACT($AE95,Circuits!$A:$A)*ROW(Circuits!$A:$A))))</f>
        <v>-</v>
      </c>
      <c r="S95" s="183" t="str">
        <f t="array" ref="S95">IF(ISBLANK($AE95), "-",INDEX(Circuits!R:R,SUMPRODUCT(EXACT($AE95,Circuits!$A:$A)*ROW(Circuits!$A:$A))))</f>
        <v>-</v>
      </c>
      <c r="T95" s="183" t="str">
        <f t="array" ref="T95">IF(ISBLANK($AE95), "-",INDEX(Circuits!S:S,SUMPRODUCT(EXACT($AE95,Circuits!$A:$A)*ROW(Circuits!$A:$A))))</f>
        <v>-</v>
      </c>
      <c r="U95" s="183" t="str">
        <f t="array" ref="U95">IF(ISBLANK($AE95), "-",INDEX(Circuits!T:T,SUMPRODUCT(EXACT($AE95,Circuits!$A:$A)*ROW(Circuits!$A:$A))))</f>
        <v>-</v>
      </c>
      <c r="V95" s="183" t="str">
        <f t="array" ref="V95">IF(ISBLANK($AE95), "-",INDEX(Circuits!U:U,SUMPRODUCT(EXACT($AE95,Circuits!$A:$A)*ROW(Circuits!$A:$A))))</f>
        <v>-</v>
      </c>
      <c r="W95" s="183" t="str">
        <f t="array" ref="W95">IF(ISBLANK($AE95), "-",INDEX(Circuits!V:V,SUMPRODUCT(EXACT($AE95,Circuits!$A:$A)*ROW(Circuits!$A:$A))))</f>
        <v>-</v>
      </c>
      <c r="X95" s="183" t="str">
        <f t="array" ref="X95">IF(ISBLANK($AE95), "-",INDEX(Circuits!W:W,SUMPRODUCT(EXACT($AE95,Circuits!$A:$A)*ROW(Circuits!$A:$A))))</f>
        <v>-</v>
      </c>
      <c r="Y95" s="183" t="str">
        <f t="array" ref="Y95">IF(ISBLANK($AE95), "-",INDEX(Circuits!X:X,SUMPRODUCT(EXACT($AE95,Circuits!$A:$A)*ROW(Circuits!$A:$A))))</f>
        <v>-</v>
      </c>
      <c r="Z95" s="108" t="str">
        <f>IFERROR(__xludf.DUMMYFUNCTION("IFNA(CONCATENATE(UNIQUE(FILTER(Connections!R:R,Connections!A:A=B95))),""-"")"),"-")</f>
        <v>-</v>
      </c>
      <c r="AA95" s="119" t="str">
        <f t="array" ref="AA95">IF(ISBLANK($AE95), "-",INDEX(Circuits!Y:Y,SUMPRODUCT(EXACT($AE95,Circuits!$A:$A)*ROW(Circuits!$A:$A))))</f>
        <v>-</v>
      </c>
      <c r="AB95" s="121" t="str">
        <f t="array" ref="AB95">IF(ISBLANK($AE95), "-",INDEX(Circuits!Z:Z,SUMPRODUCT(EXACT($AE95,Circuits!$A:$A)*ROW(Circuits!$A:$A))))</f>
        <v>-</v>
      </c>
      <c r="AC95" s="194"/>
      <c r="AD95" s="194"/>
      <c r="AE95" s="40"/>
      <c r="AF95" s="43"/>
      <c r="AG95" s="126" t="str">
        <f>IFERROR(__xludf.DUMMYFUNCTION("IF(ISBLANK(AF95), """", TEXTJOIN(CHAR(10),TRUE,ARRAYFORMULA(IF(ISERROR(SEARCH(SPLIT(AF95, "";""), $Z95)), ""x"", ""-""))))"),"")</f>
        <v/>
      </c>
      <c r="AH95" s="127" t="str">
        <f>IFERROR(__xludf.DUMMYFUNCTION("IF(ISBLANK(AK95), """", TEXTJOIN("";"" &amp; CHAR(10), TRUE, UNIQUE(SPLIT(AK95, "";"" &amp; CHAR(10)), TRUE))&amp;"";"")"),"")</f>
        <v/>
      </c>
      <c r="AI95" s="128" t="str">
        <f>IFERROR(__xludf.DUMMYFUNCTION("IF(ISBLANK(AD95), IF(ISBLANK(AE95),,IFNA(TEXTJOIN("";"" &amp; CHAR(10), TRUE, FILTER(AE:AE, SEARCH(AE95&amp;"";"", AJ:AJ)))&amp;"";"", """")), TEXTJOIN("";"" &amp; CHAR(10), TRUE, UNIQUE(SPLIT(AH95 &amp; "";"" &amp; AH95 &amp; "";"" &amp; AL95, "";"" &amp; CHAR(10)), TRUE, TRUE))&amp;"";"")"),"")</f>
        <v/>
      </c>
      <c r="AJ95" s="126" t="str">
        <f>IFERROR(__xludf.DUMMYFUNCTION("IF(AN95="""", """", TEXTJOIN("";"" &amp; CHAR(10), TRUE, UNIQUE(SPLIT(AH95 &amp; "";"" &amp; AH95 &amp; "";"" &amp; AN95, "";"" &amp; CHAR(10)), TRUE, TRUE))&amp;"";"")"),"")</f>
        <v/>
      </c>
      <c r="AK95" s="129" t="str">
        <f>IFERROR(__xludf.DUMMYFUNCTION("IF(ISBLANK(AD95), IF(ISBLANK(AE95),,AE95 &amp; "";""), TEXTJOIN(CHAR(10), TRUE, ARRAYFORMULA(VLOOKUP(SPLIT(AD95, "";"" &amp; CHAR(10)), $AC:$AH, 6, FALSE))))"),"")</f>
        <v/>
      </c>
      <c r="AL95" s="130" t="str">
        <f>IFERROR(__xludf.DUMMYFUNCTION("IF(AM95="""", """", TEXTJOIN("";"" &amp; CHAR(10), TRUE, UNIQUE(SPLIT(AM95, "";"" &amp; CHAR(10)), TRUE))&amp;"";"")"),"")</f>
        <v/>
      </c>
      <c r="AM95" s="130" t="str">
        <f>IFERROR(__xludf.DUMMYFUNCTION("IF(ISBLANK(AD95), """", TEXTJOIN(CHAR(10), TRUE, ARRAYFORMULA(VLOOKUP(SPLIT(AH95, "";"" &amp; CHAR(10)), $AE:$AI, 5, FALSE)), AF95))"),"")</f>
        <v/>
      </c>
      <c r="AN95" s="132" t="str">
        <f>IFERROR(__xludf.DUMMYFUNCTION("IF(ISBLANK(AO95), """", TEXTJOIN("";"" &amp; CHAR(10), TRUE, UNIQUE(SPLIT(AO95, "";"" &amp; CHAR(10)), TRUE))&amp;"";"")"),"")</f>
        <v/>
      </c>
      <c r="AO95" s="134" t="str">
        <f>IFERROR(__xludf.DUMMYFUNCTION("IF(ISBLANK(AD95), AF95, TEXTJOIN(CHAR(10), TRUE, ARRAYFORMULA(VLOOKUP(SPLIT(AD95, "";"" &amp; CHAR(10)), $AC:$AN, 12, FALSE))))"),"")</f>
        <v/>
      </c>
      <c r="AP95" s="130" t="str">
        <f>IF(ISBLANK(AE95),,IF(IFERROR(SEARCH(AE95&amp;";",Circuits!$AO$2),0),TRUE,FALSE))</f>
        <v/>
      </c>
      <c r="AQ95" s="130" t="str">
        <f t="shared" si="2"/>
        <v/>
      </c>
      <c r="AR95" s="130" t="str">
        <f t="shared" si="3"/>
        <v/>
      </c>
      <c r="AS95" s="136" t="str">
        <f>IFERROR(__xludf.DUMMYFUNCTION("IF(AH95="""",,SUM(ARRAYFORMULA(IF(IFERROR(SEARCH(SPLIT(AH95,CHAR(10)),Circuits!$AO$2),0)&gt;0,0,1))))"),"")</f>
        <v/>
      </c>
      <c r="AT95" s="138" t="str">
        <f t="shared" si="4"/>
        <v/>
      </c>
      <c r="AU95" s="138" t="str">
        <f t="shared" si="5"/>
        <v/>
      </c>
      <c r="AV95" s="130" t="str">
        <f>IFERROR(__xludf.DUMMYFUNCTION("IF(AI95="""",,TEXTJOIN("", "",TRUE,ARRAYFORMULA(VLOOKUP(SPLIT(AI95,"";""&amp;CHAR(10)),AE:AT,16,FALSE))))"),"")</f>
        <v/>
      </c>
      <c r="AW95" s="130" t="str">
        <f>IFERROR(__xludf.DUMMYFUNCTION("IF(ISBLANK(BK95),,TEXTJOIN("", "",TRUE,ARRAYFORMULA(VLOOKUP(IFERROR(REGEXEXTRACT(SPLIT(BK95,"";""&amp;CHAR(10)),""\[(.+)\]"")),AE:AT,16,false))))"),"")</f>
        <v/>
      </c>
      <c r="AX95" s="139" t="str">
        <f t="shared" si="6"/>
        <v/>
      </c>
      <c r="AY95" s="139" t="str">
        <f t="shared" si="7"/>
        <v/>
      </c>
      <c r="AZ95" s="106" t="str">
        <f>IFERROR(__xludf.DUMMYFUNCTION("IF(ISBLANK(AD95), BC95, TEXTJOIN(CHAR(10) &amp; CHAR(10), TRUE, ARRAYFORMULA(VLOOKUP(SPLIT(AD95, "";"" &amp; CHAR(10)), $AC:$AY, 23, FALSE))))"),"")</f>
        <v/>
      </c>
      <c r="BA95" s="140" t="s">
        <v>66</v>
      </c>
      <c r="BB95" s="190"/>
      <c r="BC95" s="196"/>
      <c r="BD95" s="106" t="str">
        <f>IFERROR(__xludf.DUMMYFUNCTION("IF(IFERROR(SEARCH(""&lt;&lt;mechanism to realize the capability&gt;&gt;"",BA95),0)=0,
 ""!! Error !! “Capability&amp;Mechanism” column: Invalid Separator:"" &amp; CHAR(10) &amp; ""Insert separator “&lt;&lt;mechanism to realize the capability&gt;&gt;.”"",
 IF(
  LEN(TRIM(CLEAN(
    INDEX(
  "&amp;"    SPLIT(BA95,""&lt;&lt;mechanism to realize the capability&gt;&gt;"",FALSE,FALSE),
      1
    )
  )))=0,
  ""!! Error !! “Capability&amp;Mechanism” column: No Capability:""  &amp; CHAR(10) &amp; ""Describe Capability before separator."",
  INDEX(
    SPLIT(BA95,""&lt;&lt;mechanism "&amp;"to realize the capability&gt;&gt;"",FALSE,FALSE),
    1
  )
 )
)
"),"!! Error !! “Capability&amp;Mechanism” column: No Capability:
Describe Capability before separator.")</f>
        <v>!! Error !! “Capability&amp;Mechanism” column: No Capability:
Describe Capability before separator.</v>
      </c>
      <c r="BE95" s="190"/>
      <c r="BF95" s="195"/>
      <c r="BG95" s="42"/>
      <c r="BH95" s="190"/>
      <c r="BI95" s="196"/>
      <c r="BJ95" s="42"/>
      <c r="BK95" s="42"/>
      <c r="BL95" s="203"/>
      <c r="BM95" s="203"/>
      <c r="BN95" s="42"/>
      <c r="BO95" s="42"/>
      <c r="BP95" s="143"/>
      <c r="BQ95" s="143"/>
      <c r="BR95" s="192"/>
      <c r="BS95" s="192"/>
      <c r="BT95" s="192"/>
      <c r="BU95" s="192"/>
      <c r="BV95" s="192"/>
      <c r="BW95" s="192"/>
      <c r="BX95" s="146" t="str">
        <f t="shared" si="8"/>
        <v/>
      </c>
    </row>
    <row r="96">
      <c r="A96" s="106" t="str">
        <f t="shared" si="1"/>
        <v/>
      </c>
      <c r="B96" s="183" t="str">
        <f t="array" ref="B96">IF(ISBLANK($AE96), "-",INDEX(Circuits!A:A,SUMPRODUCT(EXACT($AE96,Circuits!$A:$A)*ROW(Circuits!$A:$A))))</f>
        <v>-</v>
      </c>
      <c r="C96" s="183" t="str">
        <f t="array" ref="C96">IF(ISBLANK($AE96), "-",INDEX(Circuits!B:B,SUMPRODUCT(EXACT($AE96,Circuits!$A:$A)*ROW(Circuits!$A:$A))))</f>
        <v>-</v>
      </c>
      <c r="D96" s="183" t="str">
        <f t="array" ref="D96">IF(ISBLANK($AE96), "-",INDEX(Circuits!C:C,SUMPRODUCT(EXACT($AE96,Circuits!$A:$A)*ROW(Circuits!$A:$A))))</f>
        <v>-</v>
      </c>
      <c r="E96" s="183" t="str">
        <f t="array" ref="E96">IF(ISBLANK($AE96), "-",INDEX(Circuits!D:D,SUMPRODUCT(EXACT($AE96,Circuits!$A:$A)*ROW(Circuits!$A:$A))))</f>
        <v>-</v>
      </c>
      <c r="F96" s="183" t="str">
        <f t="array" ref="F96">IF(ISBLANK($AE96), "-",INDEX(Circuits!E:E,SUMPRODUCT(EXACT($AE96,Circuits!$A:$A)*ROW(Circuits!$A:$A))))</f>
        <v>-</v>
      </c>
      <c r="G96" s="183" t="str">
        <f t="array" ref="G96">IF(ISBLANK($AE96), "-",INDEX(Circuits!F:F,SUMPRODUCT(EXACT($AE96,Circuits!$A:$A)*ROW(Circuits!$A:$A))))</f>
        <v>-</v>
      </c>
      <c r="H96" s="183" t="str">
        <f t="array" ref="H96">IF(ISBLANK($AE96), "-",INDEX(Circuits!G:G,SUMPRODUCT(EXACT($AE96,Circuits!$A:$A)*ROW(Circuits!$A:$A))))</f>
        <v>-</v>
      </c>
      <c r="I96" s="183" t="str">
        <f t="array" ref="I96">IF(ISBLANK($AE96), "-",INDEX(Circuits!H:H,SUMPRODUCT(EXACT($AE96,Circuits!$A:$A)*ROW(Circuits!$A:$A))))</f>
        <v>-</v>
      </c>
      <c r="J96" s="183" t="str">
        <f t="array" ref="J96">IF(ISBLANK($AE96), "-",INDEX(Circuits!I:I,SUMPRODUCT(EXACT($AE96,Circuits!$A:$A)*ROW(Circuits!$A:$A))))</f>
        <v>-</v>
      </c>
      <c r="K96" s="183" t="str">
        <f t="array" ref="K96">IF(ISBLANK($AE96), "-",INDEX(Circuits!J:J,SUMPRODUCT(EXACT($AE96,Circuits!$A:$A)*ROW(Circuits!$A:$A))))</f>
        <v>-</v>
      </c>
      <c r="L96" s="183" t="str">
        <f t="array" ref="L96">IF(ISBLANK($AE96), "-",INDEX(Circuits!K:K,SUMPRODUCT(EXACT($AE96,Circuits!$A:$A)*ROW(Circuits!$A:$A))))</f>
        <v>-</v>
      </c>
      <c r="M96" s="183" t="str">
        <f t="array" ref="M96">IF(ISBLANK($AE96), "-",INDEX(Circuits!L:L,SUMPRODUCT(EXACT($AE96,Circuits!$A:$A)*ROW(Circuits!$A:$A))))</f>
        <v>-</v>
      </c>
      <c r="N96" s="183" t="str">
        <f t="array" ref="N96">IF(ISBLANK($AE96), "-",INDEX(Circuits!M:M,SUMPRODUCT(EXACT($AE96,Circuits!$A:$A)*ROW(Circuits!$A:$A))))</f>
        <v>-</v>
      </c>
      <c r="O96" s="183" t="str">
        <f t="array" ref="O96">IF(ISBLANK($AE96), "-",INDEX(Circuits!N:N,SUMPRODUCT(EXACT($AE96,Circuits!$A:$A)*ROW(Circuits!$A:$A))))</f>
        <v>-</v>
      </c>
      <c r="P96" s="183" t="str">
        <f t="array" ref="P96">IF(ISBLANK($AE96), "-",INDEX(Circuits!O:O,SUMPRODUCT(EXACT($AE96,Circuits!$A:$A)*ROW(Circuits!$A:$A))))</f>
        <v>-</v>
      </c>
      <c r="Q96" s="183" t="str">
        <f t="array" ref="Q96">IF(ISBLANK($AE96), "-",INDEX(Circuits!P:P,SUMPRODUCT(EXACT($AE96,Circuits!$A:$A)*ROW(Circuits!$A:$A))))</f>
        <v>-</v>
      </c>
      <c r="R96" s="183" t="str">
        <f t="array" ref="R96">IF(ISBLANK($AE96), "-",INDEX(Circuits!Q:Q,SUMPRODUCT(EXACT($AE96,Circuits!$A:$A)*ROW(Circuits!$A:$A))))</f>
        <v>-</v>
      </c>
      <c r="S96" s="183" t="str">
        <f t="array" ref="S96">IF(ISBLANK($AE96), "-",INDEX(Circuits!R:R,SUMPRODUCT(EXACT($AE96,Circuits!$A:$A)*ROW(Circuits!$A:$A))))</f>
        <v>-</v>
      </c>
      <c r="T96" s="183" t="str">
        <f t="array" ref="T96">IF(ISBLANK($AE96), "-",INDEX(Circuits!S:S,SUMPRODUCT(EXACT($AE96,Circuits!$A:$A)*ROW(Circuits!$A:$A))))</f>
        <v>-</v>
      </c>
      <c r="U96" s="183" t="str">
        <f t="array" ref="U96">IF(ISBLANK($AE96), "-",INDEX(Circuits!T:T,SUMPRODUCT(EXACT($AE96,Circuits!$A:$A)*ROW(Circuits!$A:$A))))</f>
        <v>-</v>
      </c>
      <c r="V96" s="183" t="str">
        <f t="array" ref="V96">IF(ISBLANK($AE96), "-",INDEX(Circuits!U:U,SUMPRODUCT(EXACT($AE96,Circuits!$A:$A)*ROW(Circuits!$A:$A))))</f>
        <v>-</v>
      </c>
      <c r="W96" s="183" t="str">
        <f t="array" ref="W96">IF(ISBLANK($AE96), "-",INDEX(Circuits!V:V,SUMPRODUCT(EXACT($AE96,Circuits!$A:$A)*ROW(Circuits!$A:$A))))</f>
        <v>-</v>
      </c>
      <c r="X96" s="183" t="str">
        <f t="array" ref="X96">IF(ISBLANK($AE96), "-",INDEX(Circuits!W:W,SUMPRODUCT(EXACT($AE96,Circuits!$A:$A)*ROW(Circuits!$A:$A))))</f>
        <v>-</v>
      </c>
      <c r="Y96" s="183" t="str">
        <f t="array" ref="Y96">IF(ISBLANK($AE96), "-",INDEX(Circuits!X:X,SUMPRODUCT(EXACT($AE96,Circuits!$A:$A)*ROW(Circuits!$A:$A))))</f>
        <v>-</v>
      </c>
      <c r="Z96" s="108" t="str">
        <f>IFERROR(__xludf.DUMMYFUNCTION("IFNA(CONCATENATE(UNIQUE(FILTER(Connections!R:R,Connections!A:A=B96))),""-"")"),"-")</f>
        <v>-</v>
      </c>
      <c r="AA96" s="119" t="str">
        <f t="array" ref="AA96">IF(ISBLANK($AE96), "-",INDEX(Circuits!Y:Y,SUMPRODUCT(EXACT($AE96,Circuits!$A:$A)*ROW(Circuits!$A:$A))))</f>
        <v>-</v>
      </c>
      <c r="AB96" s="121" t="str">
        <f t="array" ref="AB96">IF(ISBLANK($AE96), "-",INDEX(Circuits!Z:Z,SUMPRODUCT(EXACT($AE96,Circuits!$A:$A)*ROW(Circuits!$A:$A))))</f>
        <v>-</v>
      </c>
      <c r="AC96" s="194"/>
      <c r="AD96" s="194"/>
      <c r="AE96" s="40"/>
      <c r="AF96" s="43"/>
      <c r="AG96" s="126" t="str">
        <f>IFERROR(__xludf.DUMMYFUNCTION("IF(ISBLANK(AF96), """", TEXTJOIN(CHAR(10),TRUE,ARRAYFORMULA(IF(ISERROR(SEARCH(SPLIT(AF96, "";""), $Z96)), ""x"", ""-""))))"),"")</f>
        <v/>
      </c>
      <c r="AH96" s="127" t="str">
        <f>IFERROR(__xludf.DUMMYFUNCTION("IF(ISBLANK(AK96), """", TEXTJOIN("";"" &amp; CHAR(10), TRUE, UNIQUE(SPLIT(AK96, "";"" &amp; CHAR(10)), TRUE))&amp;"";"")"),"")</f>
        <v/>
      </c>
      <c r="AI96" s="128" t="str">
        <f>IFERROR(__xludf.DUMMYFUNCTION("IF(ISBLANK(AD96), IF(ISBLANK(AE96),,IFNA(TEXTJOIN("";"" &amp; CHAR(10), TRUE, FILTER(AE:AE, SEARCH(AE96&amp;"";"", AJ:AJ)))&amp;"";"", """")), TEXTJOIN("";"" &amp; CHAR(10), TRUE, UNIQUE(SPLIT(AH96 &amp; "";"" &amp; AH96 &amp; "";"" &amp; AL96, "";"" &amp; CHAR(10)), TRUE, TRUE))&amp;"";"")"),"")</f>
        <v/>
      </c>
      <c r="AJ96" s="126" t="str">
        <f>IFERROR(__xludf.DUMMYFUNCTION("IF(AN96="""", """", TEXTJOIN("";"" &amp; CHAR(10), TRUE, UNIQUE(SPLIT(AH96 &amp; "";"" &amp; AH96 &amp; "";"" &amp; AN96, "";"" &amp; CHAR(10)), TRUE, TRUE))&amp;"";"")"),"")</f>
        <v/>
      </c>
      <c r="AK96" s="129" t="str">
        <f>IFERROR(__xludf.DUMMYFUNCTION("IF(ISBLANK(AD96), IF(ISBLANK(AE96),,AE96 &amp; "";""), TEXTJOIN(CHAR(10), TRUE, ARRAYFORMULA(VLOOKUP(SPLIT(AD96, "";"" &amp; CHAR(10)), $AC:$AH, 6, FALSE))))"),"")</f>
        <v/>
      </c>
      <c r="AL96" s="130" t="str">
        <f>IFERROR(__xludf.DUMMYFUNCTION("IF(AM96="""", """", TEXTJOIN("";"" &amp; CHAR(10), TRUE, UNIQUE(SPLIT(AM96, "";"" &amp; CHAR(10)), TRUE))&amp;"";"")"),"")</f>
        <v/>
      </c>
      <c r="AM96" s="130" t="str">
        <f>IFERROR(__xludf.DUMMYFUNCTION("IF(ISBLANK(AD96), """", TEXTJOIN(CHAR(10), TRUE, ARRAYFORMULA(VLOOKUP(SPLIT(AH96, "";"" &amp; CHAR(10)), $AE:$AI, 5, FALSE)), AF96))"),"")</f>
        <v/>
      </c>
      <c r="AN96" s="132" t="str">
        <f>IFERROR(__xludf.DUMMYFUNCTION("IF(ISBLANK(AO96), """", TEXTJOIN("";"" &amp; CHAR(10), TRUE, UNIQUE(SPLIT(AO96, "";"" &amp; CHAR(10)), TRUE))&amp;"";"")"),"")</f>
        <v/>
      </c>
      <c r="AO96" s="134" t="str">
        <f>IFERROR(__xludf.DUMMYFUNCTION("IF(ISBLANK(AD96), AF96, TEXTJOIN(CHAR(10), TRUE, ARRAYFORMULA(VLOOKUP(SPLIT(AD96, "";"" &amp; CHAR(10)), $AC:$AN, 12, FALSE))))"),"")</f>
        <v/>
      </c>
      <c r="AP96" s="130" t="str">
        <f>IF(ISBLANK(AE96),,IF(IFERROR(SEARCH(AE96&amp;";",Circuits!$AO$2),0),TRUE,FALSE))</f>
        <v/>
      </c>
      <c r="AQ96" s="130" t="str">
        <f t="shared" si="2"/>
        <v/>
      </c>
      <c r="AR96" s="130" t="str">
        <f t="shared" si="3"/>
        <v/>
      </c>
      <c r="AS96" s="136" t="str">
        <f>IFERROR(__xludf.DUMMYFUNCTION("IF(AH96="""",,SUM(ARRAYFORMULA(IF(IFERROR(SEARCH(SPLIT(AH96,CHAR(10)),Circuits!$AO$2),0)&gt;0,0,1))))"),"")</f>
        <v/>
      </c>
      <c r="AT96" s="138" t="str">
        <f t="shared" si="4"/>
        <v/>
      </c>
      <c r="AU96" s="138" t="str">
        <f t="shared" si="5"/>
        <v/>
      </c>
      <c r="AV96" s="130" t="str">
        <f>IFERROR(__xludf.DUMMYFUNCTION("IF(AI96="""",,TEXTJOIN("", "",TRUE,ARRAYFORMULA(VLOOKUP(SPLIT(AI96,"";""&amp;CHAR(10)),AE:AT,16,FALSE))))"),"")</f>
        <v/>
      </c>
      <c r="AW96" s="130" t="str">
        <f>IFERROR(__xludf.DUMMYFUNCTION("IF(ISBLANK(BK96),,TEXTJOIN("", "",TRUE,ARRAYFORMULA(VLOOKUP(IFERROR(REGEXEXTRACT(SPLIT(BK96,"";""&amp;CHAR(10)),""\[(.+)\]"")),AE:AT,16,false))))"),"")</f>
        <v/>
      </c>
      <c r="AX96" s="139" t="str">
        <f t="shared" si="6"/>
        <v/>
      </c>
      <c r="AY96" s="139" t="str">
        <f t="shared" si="7"/>
        <v/>
      </c>
      <c r="AZ96" s="106" t="str">
        <f>IFERROR(__xludf.DUMMYFUNCTION("IF(ISBLANK(AD96), BC96, TEXTJOIN(CHAR(10) &amp; CHAR(10), TRUE, ARRAYFORMULA(VLOOKUP(SPLIT(AD96, "";"" &amp; CHAR(10)), $AC:$AY, 23, FALSE))))"),"")</f>
        <v/>
      </c>
      <c r="BA96" s="140" t="s">
        <v>66</v>
      </c>
      <c r="BB96" s="190"/>
      <c r="BC96" s="196"/>
      <c r="BD96" s="106" t="str">
        <f>IFERROR(__xludf.DUMMYFUNCTION("IF(IFERROR(SEARCH(""&lt;&lt;mechanism to realize the capability&gt;&gt;"",BA96),0)=0,
 ""!! Error !! “Capability&amp;Mechanism” column: Invalid Separator:"" &amp; CHAR(10) &amp; ""Insert separator “&lt;&lt;mechanism to realize the capability&gt;&gt;.”"",
 IF(
  LEN(TRIM(CLEAN(
    INDEX(
  "&amp;"    SPLIT(BA96,""&lt;&lt;mechanism to realize the capability&gt;&gt;"",FALSE,FALSE),
      1
    )
  )))=0,
  ""!! Error !! “Capability&amp;Mechanism” column: No Capability:""  &amp; CHAR(10) &amp; ""Describe Capability before separator."",
  INDEX(
    SPLIT(BA96,""&lt;&lt;mechanism "&amp;"to realize the capability&gt;&gt;"",FALSE,FALSE),
    1
  )
 )
)
"),"!! Error !! “Capability&amp;Mechanism” column: No Capability:
Describe Capability before separator.")</f>
        <v>!! Error !! “Capability&amp;Mechanism” column: No Capability:
Describe Capability before separator.</v>
      </c>
      <c r="BE96" s="190"/>
      <c r="BF96" s="195"/>
      <c r="BG96" s="42"/>
      <c r="BH96" s="190"/>
      <c r="BI96" s="196"/>
      <c r="BJ96" s="42"/>
      <c r="BK96" s="42"/>
      <c r="BL96" s="203"/>
      <c r="BM96" s="203"/>
      <c r="BN96" s="42"/>
      <c r="BO96" s="42"/>
      <c r="BP96" s="143"/>
      <c r="BQ96" s="143"/>
      <c r="BR96" s="192"/>
      <c r="BS96" s="192"/>
      <c r="BT96" s="192"/>
      <c r="BU96" s="192"/>
      <c r="BV96" s="192"/>
      <c r="BW96" s="192"/>
      <c r="BX96" s="146" t="str">
        <f t="shared" si="8"/>
        <v/>
      </c>
    </row>
    <row r="97">
      <c r="A97" s="106" t="str">
        <f t="shared" si="1"/>
        <v/>
      </c>
      <c r="B97" s="183" t="str">
        <f t="array" ref="B97">IF(ISBLANK($AE97), "-",INDEX(Circuits!A:A,SUMPRODUCT(EXACT($AE97,Circuits!$A:$A)*ROW(Circuits!$A:$A))))</f>
        <v>-</v>
      </c>
      <c r="C97" s="183" t="str">
        <f t="array" ref="C97">IF(ISBLANK($AE97), "-",INDEX(Circuits!B:B,SUMPRODUCT(EXACT($AE97,Circuits!$A:$A)*ROW(Circuits!$A:$A))))</f>
        <v>-</v>
      </c>
      <c r="D97" s="183" t="str">
        <f t="array" ref="D97">IF(ISBLANK($AE97), "-",INDEX(Circuits!C:C,SUMPRODUCT(EXACT($AE97,Circuits!$A:$A)*ROW(Circuits!$A:$A))))</f>
        <v>-</v>
      </c>
      <c r="E97" s="183" t="str">
        <f t="array" ref="E97">IF(ISBLANK($AE97), "-",INDEX(Circuits!D:D,SUMPRODUCT(EXACT($AE97,Circuits!$A:$A)*ROW(Circuits!$A:$A))))</f>
        <v>-</v>
      </c>
      <c r="F97" s="183" t="str">
        <f t="array" ref="F97">IF(ISBLANK($AE97), "-",INDEX(Circuits!E:E,SUMPRODUCT(EXACT($AE97,Circuits!$A:$A)*ROW(Circuits!$A:$A))))</f>
        <v>-</v>
      </c>
      <c r="G97" s="183" t="str">
        <f t="array" ref="G97">IF(ISBLANK($AE97), "-",INDEX(Circuits!F:F,SUMPRODUCT(EXACT($AE97,Circuits!$A:$A)*ROW(Circuits!$A:$A))))</f>
        <v>-</v>
      </c>
      <c r="H97" s="183" t="str">
        <f t="array" ref="H97">IF(ISBLANK($AE97), "-",INDEX(Circuits!G:G,SUMPRODUCT(EXACT($AE97,Circuits!$A:$A)*ROW(Circuits!$A:$A))))</f>
        <v>-</v>
      </c>
      <c r="I97" s="183" t="str">
        <f t="array" ref="I97">IF(ISBLANK($AE97), "-",INDEX(Circuits!H:H,SUMPRODUCT(EXACT($AE97,Circuits!$A:$A)*ROW(Circuits!$A:$A))))</f>
        <v>-</v>
      </c>
      <c r="J97" s="183" t="str">
        <f t="array" ref="J97">IF(ISBLANK($AE97), "-",INDEX(Circuits!I:I,SUMPRODUCT(EXACT($AE97,Circuits!$A:$A)*ROW(Circuits!$A:$A))))</f>
        <v>-</v>
      </c>
      <c r="K97" s="183" t="str">
        <f t="array" ref="K97">IF(ISBLANK($AE97), "-",INDEX(Circuits!J:J,SUMPRODUCT(EXACT($AE97,Circuits!$A:$A)*ROW(Circuits!$A:$A))))</f>
        <v>-</v>
      </c>
      <c r="L97" s="183" t="str">
        <f t="array" ref="L97">IF(ISBLANK($AE97), "-",INDEX(Circuits!K:K,SUMPRODUCT(EXACT($AE97,Circuits!$A:$A)*ROW(Circuits!$A:$A))))</f>
        <v>-</v>
      </c>
      <c r="M97" s="183" t="str">
        <f t="array" ref="M97">IF(ISBLANK($AE97), "-",INDEX(Circuits!L:L,SUMPRODUCT(EXACT($AE97,Circuits!$A:$A)*ROW(Circuits!$A:$A))))</f>
        <v>-</v>
      </c>
      <c r="N97" s="183" t="str">
        <f t="array" ref="N97">IF(ISBLANK($AE97), "-",INDEX(Circuits!M:M,SUMPRODUCT(EXACT($AE97,Circuits!$A:$A)*ROW(Circuits!$A:$A))))</f>
        <v>-</v>
      </c>
      <c r="O97" s="183" t="str">
        <f t="array" ref="O97">IF(ISBLANK($AE97), "-",INDEX(Circuits!N:N,SUMPRODUCT(EXACT($AE97,Circuits!$A:$A)*ROW(Circuits!$A:$A))))</f>
        <v>-</v>
      </c>
      <c r="P97" s="183" t="str">
        <f t="array" ref="P97">IF(ISBLANK($AE97), "-",INDEX(Circuits!O:O,SUMPRODUCT(EXACT($AE97,Circuits!$A:$A)*ROW(Circuits!$A:$A))))</f>
        <v>-</v>
      </c>
      <c r="Q97" s="183" t="str">
        <f t="array" ref="Q97">IF(ISBLANK($AE97), "-",INDEX(Circuits!P:P,SUMPRODUCT(EXACT($AE97,Circuits!$A:$A)*ROW(Circuits!$A:$A))))</f>
        <v>-</v>
      </c>
      <c r="R97" s="183" t="str">
        <f t="array" ref="R97">IF(ISBLANK($AE97), "-",INDEX(Circuits!Q:Q,SUMPRODUCT(EXACT($AE97,Circuits!$A:$A)*ROW(Circuits!$A:$A))))</f>
        <v>-</v>
      </c>
      <c r="S97" s="183" t="str">
        <f t="array" ref="S97">IF(ISBLANK($AE97), "-",INDEX(Circuits!R:R,SUMPRODUCT(EXACT($AE97,Circuits!$A:$A)*ROW(Circuits!$A:$A))))</f>
        <v>-</v>
      </c>
      <c r="T97" s="183" t="str">
        <f t="array" ref="T97">IF(ISBLANK($AE97), "-",INDEX(Circuits!S:S,SUMPRODUCT(EXACT($AE97,Circuits!$A:$A)*ROW(Circuits!$A:$A))))</f>
        <v>-</v>
      </c>
      <c r="U97" s="183" t="str">
        <f t="array" ref="U97">IF(ISBLANK($AE97), "-",INDEX(Circuits!T:T,SUMPRODUCT(EXACT($AE97,Circuits!$A:$A)*ROW(Circuits!$A:$A))))</f>
        <v>-</v>
      </c>
      <c r="V97" s="183" t="str">
        <f t="array" ref="V97">IF(ISBLANK($AE97), "-",INDEX(Circuits!U:U,SUMPRODUCT(EXACT($AE97,Circuits!$A:$A)*ROW(Circuits!$A:$A))))</f>
        <v>-</v>
      </c>
      <c r="W97" s="183" t="str">
        <f t="array" ref="W97">IF(ISBLANK($AE97), "-",INDEX(Circuits!V:V,SUMPRODUCT(EXACT($AE97,Circuits!$A:$A)*ROW(Circuits!$A:$A))))</f>
        <v>-</v>
      </c>
      <c r="X97" s="183" t="str">
        <f t="array" ref="X97">IF(ISBLANK($AE97), "-",INDEX(Circuits!W:W,SUMPRODUCT(EXACT($AE97,Circuits!$A:$A)*ROW(Circuits!$A:$A))))</f>
        <v>-</v>
      </c>
      <c r="Y97" s="183" t="str">
        <f t="array" ref="Y97">IF(ISBLANK($AE97), "-",INDEX(Circuits!X:X,SUMPRODUCT(EXACT($AE97,Circuits!$A:$A)*ROW(Circuits!$A:$A))))</f>
        <v>-</v>
      </c>
      <c r="Z97" s="108" t="str">
        <f>IFERROR(__xludf.DUMMYFUNCTION("IFNA(CONCATENATE(UNIQUE(FILTER(Connections!R:R,Connections!A:A=B97))),""-"")"),"-")</f>
        <v>-</v>
      </c>
      <c r="AA97" s="119" t="str">
        <f t="array" ref="AA97">IF(ISBLANK($AE97), "-",INDEX(Circuits!Y:Y,SUMPRODUCT(EXACT($AE97,Circuits!$A:$A)*ROW(Circuits!$A:$A))))</f>
        <v>-</v>
      </c>
      <c r="AB97" s="121" t="str">
        <f t="array" ref="AB97">IF(ISBLANK($AE97), "-",INDEX(Circuits!Z:Z,SUMPRODUCT(EXACT($AE97,Circuits!$A:$A)*ROW(Circuits!$A:$A))))</f>
        <v>-</v>
      </c>
      <c r="AC97" s="194"/>
      <c r="AD97" s="194"/>
      <c r="AE97" s="40"/>
      <c r="AF97" s="43"/>
      <c r="AG97" s="126" t="str">
        <f>IFERROR(__xludf.DUMMYFUNCTION("IF(ISBLANK(AF97), """", TEXTJOIN(CHAR(10),TRUE,ARRAYFORMULA(IF(ISERROR(SEARCH(SPLIT(AF97, "";""), $Z97)), ""x"", ""-""))))"),"")</f>
        <v/>
      </c>
      <c r="AH97" s="127" t="str">
        <f>IFERROR(__xludf.DUMMYFUNCTION("IF(ISBLANK(AK97), """", TEXTJOIN("";"" &amp; CHAR(10), TRUE, UNIQUE(SPLIT(AK97, "";"" &amp; CHAR(10)), TRUE))&amp;"";"")"),"")</f>
        <v/>
      </c>
      <c r="AI97" s="128" t="str">
        <f>IFERROR(__xludf.DUMMYFUNCTION("IF(ISBLANK(AD97), IF(ISBLANK(AE97),,IFNA(TEXTJOIN("";"" &amp; CHAR(10), TRUE, FILTER(AE:AE, SEARCH(AE97&amp;"";"", AJ:AJ)))&amp;"";"", """")), TEXTJOIN("";"" &amp; CHAR(10), TRUE, UNIQUE(SPLIT(AH97 &amp; "";"" &amp; AH97 &amp; "";"" &amp; AL97, "";"" &amp; CHAR(10)), TRUE, TRUE))&amp;"";"")"),"")</f>
        <v/>
      </c>
      <c r="AJ97" s="126" t="str">
        <f>IFERROR(__xludf.DUMMYFUNCTION("IF(AN97="""", """", TEXTJOIN("";"" &amp; CHAR(10), TRUE, UNIQUE(SPLIT(AH97 &amp; "";"" &amp; AH97 &amp; "";"" &amp; AN97, "";"" &amp; CHAR(10)), TRUE, TRUE))&amp;"";"")"),"")</f>
        <v/>
      </c>
      <c r="AK97" s="129" t="str">
        <f>IFERROR(__xludf.DUMMYFUNCTION("IF(ISBLANK(AD97), IF(ISBLANK(AE97),,AE97 &amp; "";""), TEXTJOIN(CHAR(10), TRUE, ARRAYFORMULA(VLOOKUP(SPLIT(AD97, "";"" &amp; CHAR(10)), $AC:$AH, 6, FALSE))))"),"")</f>
        <v/>
      </c>
      <c r="AL97" s="130" t="str">
        <f>IFERROR(__xludf.DUMMYFUNCTION("IF(AM97="""", """", TEXTJOIN("";"" &amp; CHAR(10), TRUE, UNIQUE(SPLIT(AM97, "";"" &amp; CHAR(10)), TRUE))&amp;"";"")"),"")</f>
        <v/>
      </c>
      <c r="AM97" s="130" t="str">
        <f>IFERROR(__xludf.DUMMYFUNCTION("IF(ISBLANK(AD97), """", TEXTJOIN(CHAR(10), TRUE, ARRAYFORMULA(VLOOKUP(SPLIT(AH97, "";"" &amp; CHAR(10)), $AE:$AI, 5, FALSE)), AF97))"),"")</f>
        <v/>
      </c>
      <c r="AN97" s="132" t="str">
        <f>IFERROR(__xludf.DUMMYFUNCTION("IF(ISBLANK(AO97), """", TEXTJOIN("";"" &amp; CHAR(10), TRUE, UNIQUE(SPLIT(AO97, "";"" &amp; CHAR(10)), TRUE))&amp;"";"")"),"")</f>
        <v/>
      </c>
      <c r="AO97" s="134" t="str">
        <f>IFERROR(__xludf.DUMMYFUNCTION("IF(ISBLANK(AD97), AF97, TEXTJOIN(CHAR(10), TRUE, ARRAYFORMULA(VLOOKUP(SPLIT(AD97, "";"" &amp; CHAR(10)), $AC:$AN, 12, FALSE))))"),"")</f>
        <v/>
      </c>
      <c r="AP97" s="130" t="str">
        <f>IF(ISBLANK(AE97),,IF(IFERROR(SEARCH(AE97&amp;";",Circuits!$AO$2),0),TRUE,FALSE))</f>
        <v/>
      </c>
      <c r="AQ97" s="130" t="str">
        <f t="shared" si="2"/>
        <v/>
      </c>
      <c r="AR97" s="130" t="str">
        <f t="shared" si="3"/>
        <v/>
      </c>
      <c r="AS97" s="136" t="str">
        <f>IFERROR(__xludf.DUMMYFUNCTION("IF(AH97="""",,SUM(ARRAYFORMULA(IF(IFERROR(SEARCH(SPLIT(AH97,CHAR(10)),Circuits!$AO$2),0)&gt;0,0,1))))"),"")</f>
        <v/>
      </c>
      <c r="AT97" s="138" t="str">
        <f t="shared" si="4"/>
        <v/>
      </c>
      <c r="AU97" s="138" t="str">
        <f t="shared" si="5"/>
        <v/>
      </c>
      <c r="AV97" s="130" t="str">
        <f>IFERROR(__xludf.DUMMYFUNCTION("IF(AI97="""",,TEXTJOIN("", "",TRUE,ARRAYFORMULA(VLOOKUP(SPLIT(AI97,"";""&amp;CHAR(10)),AE:AT,16,FALSE))))"),"")</f>
        <v/>
      </c>
      <c r="AW97" s="130" t="str">
        <f>IFERROR(__xludf.DUMMYFUNCTION("IF(ISBLANK(BK97),,TEXTJOIN("", "",TRUE,ARRAYFORMULA(VLOOKUP(IFERROR(REGEXEXTRACT(SPLIT(BK97,"";""&amp;CHAR(10)),""\[(.+)\]"")),AE:AT,16,false))))"),"")</f>
        <v/>
      </c>
      <c r="AX97" s="139" t="str">
        <f t="shared" si="6"/>
        <v/>
      </c>
      <c r="AY97" s="139" t="str">
        <f t="shared" si="7"/>
        <v/>
      </c>
      <c r="AZ97" s="106" t="str">
        <f>IFERROR(__xludf.DUMMYFUNCTION("IF(ISBLANK(AD97), BC97, TEXTJOIN(CHAR(10) &amp; CHAR(10), TRUE, ARRAYFORMULA(VLOOKUP(SPLIT(AD97, "";"" &amp; CHAR(10)), $AC:$AY, 23, FALSE))))"),"")</f>
        <v/>
      </c>
      <c r="BA97" s="140" t="s">
        <v>66</v>
      </c>
      <c r="BB97" s="190"/>
      <c r="BC97" s="196"/>
      <c r="BD97" s="106" t="str">
        <f>IFERROR(__xludf.DUMMYFUNCTION("IF(IFERROR(SEARCH(""&lt;&lt;mechanism to realize the capability&gt;&gt;"",BA97),0)=0,
 ""!! Error !! “Capability&amp;Mechanism” column: Invalid Separator:"" &amp; CHAR(10) &amp; ""Insert separator “&lt;&lt;mechanism to realize the capability&gt;&gt;.”"",
 IF(
  LEN(TRIM(CLEAN(
    INDEX(
  "&amp;"    SPLIT(BA97,""&lt;&lt;mechanism to realize the capability&gt;&gt;"",FALSE,FALSE),
      1
    )
  )))=0,
  ""!! Error !! “Capability&amp;Mechanism” column: No Capability:""  &amp; CHAR(10) &amp; ""Describe Capability before separator."",
  INDEX(
    SPLIT(BA97,""&lt;&lt;mechanism "&amp;"to realize the capability&gt;&gt;"",FALSE,FALSE),
    1
  )
 )
)
"),"!! Error !! “Capability&amp;Mechanism” column: No Capability:
Describe Capability before separator.")</f>
        <v>!! Error !! “Capability&amp;Mechanism” column: No Capability:
Describe Capability before separator.</v>
      </c>
      <c r="BE97" s="190"/>
      <c r="BF97" s="195"/>
      <c r="BG97" s="42"/>
      <c r="BH97" s="190"/>
      <c r="BI97" s="196"/>
      <c r="BJ97" s="42"/>
      <c r="BK97" s="42"/>
      <c r="BL97" s="203"/>
      <c r="BM97" s="203"/>
      <c r="BN97" s="42"/>
      <c r="BO97" s="42"/>
      <c r="BP97" s="143"/>
      <c r="BQ97" s="143"/>
      <c r="BR97" s="192"/>
      <c r="BS97" s="192"/>
      <c r="BT97" s="192"/>
      <c r="BU97" s="192"/>
      <c r="BV97" s="192"/>
      <c r="BW97" s="192"/>
      <c r="BX97" s="146" t="str">
        <f t="shared" si="8"/>
        <v/>
      </c>
    </row>
    <row r="98">
      <c r="A98" s="106" t="str">
        <f t="shared" si="1"/>
        <v/>
      </c>
      <c r="B98" s="183" t="str">
        <f t="array" ref="B98">IF(ISBLANK($AE98), "-",INDEX(Circuits!A:A,SUMPRODUCT(EXACT($AE98,Circuits!$A:$A)*ROW(Circuits!$A:$A))))</f>
        <v>-</v>
      </c>
      <c r="C98" s="183" t="str">
        <f t="array" ref="C98">IF(ISBLANK($AE98), "-",INDEX(Circuits!B:B,SUMPRODUCT(EXACT($AE98,Circuits!$A:$A)*ROW(Circuits!$A:$A))))</f>
        <v>-</v>
      </c>
      <c r="D98" s="183" t="str">
        <f t="array" ref="D98">IF(ISBLANK($AE98), "-",INDEX(Circuits!C:C,SUMPRODUCT(EXACT($AE98,Circuits!$A:$A)*ROW(Circuits!$A:$A))))</f>
        <v>-</v>
      </c>
      <c r="E98" s="183" t="str">
        <f t="array" ref="E98">IF(ISBLANK($AE98), "-",INDEX(Circuits!D:D,SUMPRODUCT(EXACT($AE98,Circuits!$A:$A)*ROW(Circuits!$A:$A))))</f>
        <v>-</v>
      </c>
      <c r="F98" s="183" t="str">
        <f t="array" ref="F98">IF(ISBLANK($AE98), "-",INDEX(Circuits!E:E,SUMPRODUCT(EXACT($AE98,Circuits!$A:$A)*ROW(Circuits!$A:$A))))</f>
        <v>-</v>
      </c>
      <c r="G98" s="183" t="str">
        <f t="array" ref="G98">IF(ISBLANK($AE98), "-",INDEX(Circuits!F:F,SUMPRODUCT(EXACT($AE98,Circuits!$A:$A)*ROW(Circuits!$A:$A))))</f>
        <v>-</v>
      </c>
      <c r="H98" s="183" t="str">
        <f t="array" ref="H98">IF(ISBLANK($AE98), "-",INDEX(Circuits!G:G,SUMPRODUCT(EXACT($AE98,Circuits!$A:$A)*ROW(Circuits!$A:$A))))</f>
        <v>-</v>
      </c>
      <c r="I98" s="183" t="str">
        <f t="array" ref="I98">IF(ISBLANK($AE98), "-",INDEX(Circuits!H:H,SUMPRODUCT(EXACT($AE98,Circuits!$A:$A)*ROW(Circuits!$A:$A))))</f>
        <v>-</v>
      </c>
      <c r="J98" s="183" t="str">
        <f t="array" ref="J98">IF(ISBLANK($AE98), "-",INDEX(Circuits!I:I,SUMPRODUCT(EXACT($AE98,Circuits!$A:$A)*ROW(Circuits!$A:$A))))</f>
        <v>-</v>
      </c>
      <c r="K98" s="183" t="str">
        <f t="array" ref="K98">IF(ISBLANK($AE98), "-",INDEX(Circuits!J:J,SUMPRODUCT(EXACT($AE98,Circuits!$A:$A)*ROW(Circuits!$A:$A))))</f>
        <v>-</v>
      </c>
      <c r="L98" s="183" t="str">
        <f t="array" ref="L98">IF(ISBLANK($AE98), "-",INDEX(Circuits!K:K,SUMPRODUCT(EXACT($AE98,Circuits!$A:$A)*ROW(Circuits!$A:$A))))</f>
        <v>-</v>
      </c>
      <c r="M98" s="183" t="str">
        <f t="array" ref="M98">IF(ISBLANK($AE98), "-",INDEX(Circuits!L:L,SUMPRODUCT(EXACT($AE98,Circuits!$A:$A)*ROW(Circuits!$A:$A))))</f>
        <v>-</v>
      </c>
      <c r="N98" s="183" t="str">
        <f t="array" ref="N98">IF(ISBLANK($AE98), "-",INDEX(Circuits!M:M,SUMPRODUCT(EXACT($AE98,Circuits!$A:$A)*ROW(Circuits!$A:$A))))</f>
        <v>-</v>
      </c>
      <c r="O98" s="183" t="str">
        <f t="array" ref="O98">IF(ISBLANK($AE98), "-",INDEX(Circuits!N:N,SUMPRODUCT(EXACT($AE98,Circuits!$A:$A)*ROW(Circuits!$A:$A))))</f>
        <v>-</v>
      </c>
      <c r="P98" s="183" t="str">
        <f t="array" ref="P98">IF(ISBLANK($AE98), "-",INDEX(Circuits!O:O,SUMPRODUCT(EXACT($AE98,Circuits!$A:$A)*ROW(Circuits!$A:$A))))</f>
        <v>-</v>
      </c>
      <c r="Q98" s="183" t="str">
        <f t="array" ref="Q98">IF(ISBLANK($AE98), "-",INDEX(Circuits!P:P,SUMPRODUCT(EXACT($AE98,Circuits!$A:$A)*ROW(Circuits!$A:$A))))</f>
        <v>-</v>
      </c>
      <c r="R98" s="183" t="str">
        <f t="array" ref="R98">IF(ISBLANK($AE98), "-",INDEX(Circuits!Q:Q,SUMPRODUCT(EXACT($AE98,Circuits!$A:$A)*ROW(Circuits!$A:$A))))</f>
        <v>-</v>
      </c>
      <c r="S98" s="183" t="str">
        <f t="array" ref="S98">IF(ISBLANK($AE98), "-",INDEX(Circuits!R:R,SUMPRODUCT(EXACT($AE98,Circuits!$A:$A)*ROW(Circuits!$A:$A))))</f>
        <v>-</v>
      </c>
      <c r="T98" s="183" t="str">
        <f t="array" ref="T98">IF(ISBLANK($AE98), "-",INDEX(Circuits!S:S,SUMPRODUCT(EXACT($AE98,Circuits!$A:$A)*ROW(Circuits!$A:$A))))</f>
        <v>-</v>
      </c>
      <c r="U98" s="183" t="str">
        <f t="array" ref="U98">IF(ISBLANK($AE98), "-",INDEX(Circuits!T:T,SUMPRODUCT(EXACT($AE98,Circuits!$A:$A)*ROW(Circuits!$A:$A))))</f>
        <v>-</v>
      </c>
      <c r="V98" s="183" t="str">
        <f t="array" ref="V98">IF(ISBLANK($AE98), "-",INDEX(Circuits!U:U,SUMPRODUCT(EXACT($AE98,Circuits!$A:$A)*ROW(Circuits!$A:$A))))</f>
        <v>-</v>
      </c>
      <c r="W98" s="183" t="str">
        <f t="array" ref="W98">IF(ISBLANK($AE98), "-",INDEX(Circuits!V:V,SUMPRODUCT(EXACT($AE98,Circuits!$A:$A)*ROW(Circuits!$A:$A))))</f>
        <v>-</v>
      </c>
      <c r="X98" s="183" t="str">
        <f t="array" ref="X98">IF(ISBLANK($AE98), "-",INDEX(Circuits!W:W,SUMPRODUCT(EXACT($AE98,Circuits!$A:$A)*ROW(Circuits!$A:$A))))</f>
        <v>-</v>
      </c>
      <c r="Y98" s="183" t="str">
        <f t="array" ref="Y98">IF(ISBLANK($AE98), "-",INDEX(Circuits!X:X,SUMPRODUCT(EXACT($AE98,Circuits!$A:$A)*ROW(Circuits!$A:$A))))</f>
        <v>-</v>
      </c>
      <c r="Z98" s="108" t="str">
        <f>IFERROR(__xludf.DUMMYFUNCTION("IFNA(CONCATENATE(UNIQUE(FILTER(Connections!R:R,Connections!A:A=B98))),""-"")"),"-")</f>
        <v>-</v>
      </c>
      <c r="AA98" s="119" t="str">
        <f t="array" ref="AA98">IF(ISBLANK($AE98), "-",INDEX(Circuits!Y:Y,SUMPRODUCT(EXACT($AE98,Circuits!$A:$A)*ROW(Circuits!$A:$A))))</f>
        <v>-</v>
      </c>
      <c r="AB98" s="121" t="str">
        <f t="array" ref="AB98">IF(ISBLANK($AE98), "-",INDEX(Circuits!Z:Z,SUMPRODUCT(EXACT($AE98,Circuits!$A:$A)*ROW(Circuits!$A:$A))))</f>
        <v>-</v>
      </c>
      <c r="AC98" s="194"/>
      <c r="AD98" s="194"/>
      <c r="AE98" s="40"/>
      <c r="AF98" s="43"/>
      <c r="AG98" s="126" t="str">
        <f>IFERROR(__xludf.DUMMYFUNCTION("IF(ISBLANK(AF98), """", TEXTJOIN(CHAR(10),TRUE,ARRAYFORMULA(IF(ISERROR(SEARCH(SPLIT(AF98, "";""), $Z98)), ""x"", ""-""))))"),"")</f>
        <v/>
      </c>
      <c r="AH98" s="127" t="str">
        <f>IFERROR(__xludf.DUMMYFUNCTION("IF(ISBLANK(AK98), """", TEXTJOIN("";"" &amp; CHAR(10), TRUE, UNIQUE(SPLIT(AK98, "";"" &amp; CHAR(10)), TRUE))&amp;"";"")"),"")</f>
        <v/>
      </c>
      <c r="AI98" s="128" t="str">
        <f>IFERROR(__xludf.DUMMYFUNCTION("IF(ISBLANK(AD98), IF(ISBLANK(AE98),,IFNA(TEXTJOIN("";"" &amp; CHAR(10), TRUE, FILTER(AE:AE, SEARCH(AE98&amp;"";"", AJ:AJ)))&amp;"";"", """")), TEXTJOIN("";"" &amp; CHAR(10), TRUE, UNIQUE(SPLIT(AH98 &amp; "";"" &amp; AH98 &amp; "";"" &amp; AL98, "";"" &amp; CHAR(10)), TRUE, TRUE))&amp;"";"")"),"")</f>
        <v/>
      </c>
      <c r="AJ98" s="126" t="str">
        <f>IFERROR(__xludf.DUMMYFUNCTION("IF(AN98="""", """", TEXTJOIN("";"" &amp; CHAR(10), TRUE, UNIQUE(SPLIT(AH98 &amp; "";"" &amp; AH98 &amp; "";"" &amp; AN98, "";"" &amp; CHAR(10)), TRUE, TRUE))&amp;"";"")"),"")</f>
        <v/>
      </c>
      <c r="AK98" s="129" t="str">
        <f>IFERROR(__xludf.DUMMYFUNCTION("IF(ISBLANK(AD98), IF(ISBLANK(AE98),,AE98 &amp; "";""), TEXTJOIN(CHAR(10), TRUE, ARRAYFORMULA(VLOOKUP(SPLIT(AD98, "";"" &amp; CHAR(10)), $AC:$AH, 6, FALSE))))"),"")</f>
        <v/>
      </c>
      <c r="AL98" s="130" t="str">
        <f>IFERROR(__xludf.DUMMYFUNCTION("IF(AM98="""", """", TEXTJOIN("";"" &amp; CHAR(10), TRUE, UNIQUE(SPLIT(AM98, "";"" &amp; CHAR(10)), TRUE))&amp;"";"")"),"")</f>
        <v/>
      </c>
      <c r="AM98" s="130" t="str">
        <f>IFERROR(__xludf.DUMMYFUNCTION("IF(ISBLANK(AD98), """", TEXTJOIN(CHAR(10), TRUE, ARRAYFORMULA(VLOOKUP(SPLIT(AH98, "";"" &amp; CHAR(10)), $AE:$AI, 5, FALSE)), AF98))"),"")</f>
        <v/>
      </c>
      <c r="AN98" s="132" t="str">
        <f>IFERROR(__xludf.DUMMYFUNCTION("IF(ISBLANK(AO98), """", TEXTJOIN("";"" &amp; CHAR(10), TRUE, UNIQUE(SPLIT(AO98, "";"" &amp; CHAR(10)), TRUE))&amp;"";"")"),"")</f>
        <v/>
      </c>
      <c r="AO98" s="134" t="str">
        <f>IFERROR(__xludf.DUMMYFUNCTION("IF(ISBLANK(AD98), AF98, TEXTJOIN(CHAR(10), TRUE, ARRAYFORMULA(VLOOKUP(SPLIT(AD98, "";"" &amp; CHAR(10)), $AC:$AN, 12, FALSE))))"),"")</f>
        <v/>
      </c>
      <c r="AP98" s="130" t="str">
        <f>IF(ISBLANK(AE98),,IF(IFERROR(SEARCH(AE98&amp;";",Circuits!$AO$2),0),TRUE,FALSE))</f>
        <v/>
      </c>
      <c r="AQ98" s="130" t="str">
        <f t="shared" si="2"/>
        <v/>
      </c>
      <c r="AR98" s="130" t="str">
        <f t="shared" si="3"/>
        <v/>
      </c>
      <c r="AS98" s="136" t="str">
        <f>IFERROR(__xludf.DUMMYFUNCTION("IF(AH98="""",,SUM(ARRAYFORMULA(IF(IFERROR(SEARCH(SPLIT(AH98,CHAR(10)),Circuits!$AO$2),0)&gt;0,0,1))))"),"")</f>
        <v/>
      </c>
      <c r="AT98" s="138" t="str">
        <f t="shared" si="4"/>
        <v/>
      </c>
      <c r="AU98" s="138" t="str">
        <f t="shared" si="5"/>
        <v/>
      </c>
      <c r="AV98" s="130" t="str">
        <f>IFERROR(__xludf.DUMMYFUNCTION("IF(AI98="""",,TEXTJOIN("", "",TRUE,ARRAYFORMULA(VLOOKUP(SPLIT(AI98,"";""&amp;CHAR(10)),AE:AT,16,FALSE))))"),"")</f>
        <v/>
      </c>
      <c r="AW98" s="130" t="str">
        <f>IFERROR(__xludf.DUMMYFUNCTION("IF(ISBLANK(BK98),,TEXTJOIN("", "",TRUE,ARRAYFORMULA(VLOOKUP(IFERROR(REGEXEXTRACT(SPLIT(BK98,"";""&amp;CHAR(10)),""\[(.+)\]"")),AE:AT,16,false))))"),"")</f>
        <v/>
      </c>
      <c r="AX98" s="139" t="str">
        <f t="shared" si="6"/>
        <v/>
      </c>
      <c r="AY98" s="139" t="str">
        <f t="shared" si="7"/>
        <v/>
      </c>
      <c r="AZ98" s="106" t="str">
        <f>IFERROR(__xludf.DUMMYFUNCTION("IF(ISBLANK(AD98), BC98, TEXTJOIN(CHAR(10) &amp; CHAR(10), TRUE, ARRAYFORMULA(VLOOKUP(SPLIT(AD98, "";"" &amp; CHAR(10)), $AC:$AY, 23, FALSE))))"),"")</f>
        <v/>
      </c>
      <c r="BA98" s="140" t="s">
        <v>66</v>
      </c>
      <c r="BB98" s="190"/>
      <c r="BC98" s="196"/>
      <c r="BD98" s="106" t="str">
        <f>IFERROR(__xludf.DUMMYFUNCTION("IF(IFERROR(SEARCH(""&lt;&lt;mechanism to realize the capability&gt;&gt;"",BA98),0)=0,
 ""!! Error !! “Capability&amp;Mechanism” column: Invalid Separator:"" &amp; CHAR(10) &amp; ""Insert separator “&lt;&lt;mechanism to realize the capability&gt;&gt;.”"",
 IF(
  LEN(TRIM(CLEAN(
    INDEX(
  "&amp;"    SPLIT(BA98,""&lt;&lt;mechanism to realize the capability&gt;&gt;"",FALSE,FALSE),
      1
    )
  )))=0,
  ""!! Error !! “Capability&amp;Mechanism” column: No Capability:""  &amp; CHAR(10) &amp; ""Describe Capability before separator."",
  INDEX(
    SPLIT(BA98,""&lt;&lt;mechanism "&amp;"to realize the capability&gt;&gt;"",FALSE,FALSE),
    1
  )
 )
)
"),"!! Error !! “Capability&amp;Mechanism” column: No Capability:
Describe Capability before separator.")</f>
        <v>!! Error !! “Capability&amp;Mechanism” column: No Capability:
Describe Capability before separator.</v>
      </c>
      <c r="BE98" s="190"/>
      <c r="BF98" s="195"/>
      <c r="BG98" s="42"/>
      <c r="BH98" s="190"/>
      <c r="BI98" s="196"/>
      <c r="BJ98" s="42"/>
      <c r="BK98" s="42"/>
      <c r="BL98" s="203"/>
      <c r="BM98" s="203"/>
      <c r="BN98" s="42"/>
      <c r="BO98" s="42"/>
      <c r="BP98" s="143"/>
      <c r="BQ98" s="143"/>
      <c r="BR98" s="192"/>
      <c r="BS98" s="192"/>
      <c r="BT98" s="192"/>
      <c r="BU98" s="192"/>
      <c r="BV98" s="192"/>
      <c r="BW98" s="192"/>
      <c r="BX98" s="146" t="str">
        <f t="shared" si="8"/>
        <v/>
      </c>
    </row>
    <row r="99">
      <c r="A99" s="106" t="str">
        <f t="shared" si="1"/>
        <v/>
      </c>
      <c r="B99" s="183" t="str">
        <f t="array" ref="B99">IF(ISBLANK($AE99), "-",INDEX(Circuits!A:A,SUMPRODUCT(EXACT($AE99,Circuits!$A:$A)*ROW(Circuits!$A:$A))))</f>
        <v>-</v>
      </c>
      <c r="C99" s="183" t="str">
        <f t="array" ref="C99">IF(ISBLANK($AE99), "-",INDEX(Circuits!B:B,SUMPRODUCT(EXACT($AE99,Circuits!$A:$A)*ROW(Circuits!$A:$A))))</f>
        <v>-</v>
      </c>
      <c r="D99" s="183" t="str">
        <f t="array" ref="D99">IF(ISBLANK($AE99), "-",INDEX(Circuits!C:C,SUMPRODUCT(EXACT($AE99,Circuits!$A:$A)*ROW(Circuits!$A:$A))))</f>
        <v>-</v>
      </c>
      <c r="E99" s="183" t="str">
        <f t="array" ref="E99">IF(ISBLANK($AE99), "-",INDEX(Circuits!D:D,SUMPRODUCT(EXACT($AE99,Circuits!$A:$A)*ROW(Circuits!$A:$A))))</f>
        <v>-</v>
      </c>
      <c r="F99" s="183" t="str">
        <f t="array" ref="F99">IF(ISBLANK($AE99), "-",INDEX(Circuits!E:E,SUMPRODUCT(EXACT($AE99,Circuits!$A:$A)*ROW(Circuits!$A:$A))))</f>
        <v>-</v>
      </c>
      <c r="G99" s="183" t="str">
        <f t="array" ref="G99">IF(ISBLANK($AE99), "-",INDEX(Circuits!F:F,SUMPRODUCT(EXACT($AE99,Circuits!$A:$A)*ROW(Circuits!$A:$A))))</f>
        <v>-</v>
      </c>
      <c r="H99" s="183" t="str">
        <f t="array" ref="H99">IF(ISBLANK($AE99), "-",INDEX(Circuits!G:G,SUMPRODUCT(EXACT($AE99,Circuits!$A:$A)*ROW(Circuits!$A:$A))))</f>
        <v>-</v>
      </c>
      <c r="I99" s="183" t="str">
        <f t="array" ref="I99">IF(ISBLANK($AE99), "-",INDEX(Circuits!H:H,SUMPRODUCT(EXACT($AE99,Circuits!$A:$A)*ROW(Circuits!$A:$A))))</f>
        <v>-</v>
      </c>
      <c r="J99" s="183" t="str">
        <f t="array" ref="J99">IF(ISBLANK($AE99), "-",INDEX(Circuits!I:I,SUMPRODUCT(EXACT($AE99,Circuits!$A:$A)*ROW(Circuits!$A:$A))))</f>
        <v>-</v>
      </c>
      <c r="K99" s="183" t="str">
        <f t="array" ref="K99">IF(ISBLANK($AE99), "-",INDEX(Circuits!J:J,SUMPRODUCT(EXACT($AE99,Circuits!$A:$A)*ROW(Circuits!$A:$A))))</f>
        <v>-</v>
      </c>
      <c r="L99" s="183" t="str">
        <f t="array" ref="L99">IF(ISBLANK($AE99), "-",INDEX(Circuits!K:K,SUMPRODUCT(EXACT($AE99,Circuits!$A:$A)*ROW(Circuits!$A:$A))))</f>
        <v>-</v>
      </c>
      <c r="M99" s="183" t="str">
        <f t="array" ref="M99">IF(ISBLANK($AE99), "-",INDEX(Circuits!L:L,SUMPRODUCT(EXACT($AE99,Circuits!$A:$A)*ROW(Circuits!$A:$A))))</f>
        <v>-</v>
      </c>
      <c r="N99" s="183" t="str">
        <f t="array" ref="N99">IF(ISBLANK($AE99), "-",INDEX(Circuits!M:M,SUMPRODUCT(EXACT($AE99,Circuits!$A:$A)*ROW(Circuits!$A:$A))))</f>
        <v>-</v>
      </c>
      <c r="O99" s="183" t="str">
        <f t="array" ref="O99">IF(ISBLANK($AE99), "-",INDEX(Circuits!N:N,SUMPRODUCT(EXACT($AE99,Circuits!$A:$A)*ROW(Circuits!$A:$A))))</f>
        <v>-</v>
      </c>
      <c r="P99" s="183" t="str">
        <f t="array" ref="P99">IF(ISBLANK($AE99), "-",INDEX(Circuits!O:O,SUMPRODUCT(EXACT($AE99,Circuits!$A:$A)*ROW(Circuits!$A:$A))))</f>
        <v>-</v>
      </c>
      <c r="Q99" s="183" t="str">
        <f t="array" ref="Q99">IF(ISBLANK($AE99), "-",INDEX(Circuits!P:P,SUMPRODUCT(EXACT($AE99,Circuits!$A:$A)*ROW(Circuits!$A:$A))))</f>
        <v>-</v>
      </c>
      <c r="R99" s="183" t="str">
        <f t="array" ref="R99">IF(ISBLANK($AE99), "-",INDEX(Circuits!Q:Q,SUMPRODUCT(EXACT($AE99,Circuits!$A:$A)*ROW(Circuits!$A:$A))))</f>
        <v>-</v>
      </c>
      <c r="S99" s="183" t="str">
        <f t="array" ref="S99">IF(ISBLANK($AE99), "-",INDEX(Circuits!R:R,SUMPRODUCT(EXACT($AE99,Circuits!$A:$A)*ROW(Circuits!$A:$A))))</f>
        <v>-</v>
      </c>
      <c r="T99" s="183" t="str">
        <f t="array" ref="T99">IF(ISBLANK($AE99), "-",INDEX(Circuits!S:S,SUMPRODUCT(EXACT($AE99,Circuits!$A:$A)*ROW(Circuits!$A:$A))))</f>
        <v>-</v>
      </c>
      <c r="U99" s="183" t="str">
        <f t="array" ref="U99">IF(ISBLANK($AE99), "-",INDEX(Circuits!T:T,SUMPRODUCT(EXACT($AE99,Circuits!$A:$A)*ROW(Circuits!$A:$A))))</f>
        <v>-</v>
      </c>
      <c r="V99" s="183" t="str">
        <f t="array" ref="V99">IF(ISBLANK($AE99), "-",INDEX(Circuits!U:U,SUMPRODUCT(EXACT($AE99,Circuits!$A:$A)*ROW(Circuits!$A:$A))))</f>
        <v>-</v>
      </c>
      <c r="W99" s="183" t="str">
        <f t="array" ref="W99">IF(ISBLANK($AE99), "-",INDEX(Circuits!V:V,SUMPRODUCT(EXACT($AE99,Circuits!$A:$A)*ROW(Circuits!$A:$A))))</f>
        <v>-</v>
      </c>
      <c r="X99" s="183" t="str">
        <f t="array" ref="X99">IF(ISBLANK($AE99), "-",INDEX(Circuits!W:W,SUMPRODUCT(EXACT($AE99,Circuits!$A:$A)*ROW(Circuits!$A:$A))))</f>
        <v>-</v>
      </c>
      <c r="Y99" s="183" t="str">
        <f t="array" ref="Y99">IF(ISBLANK($AE99), "-",INDEX(Circuits!X:X,SUMPRODUCT(EXACT($AE99,Circuits!$A:$A)*ROW(Circuits!$A:$A))))</f>
        <v>-</v>
      </c>
      <c r="Z99" s="108" t="str">
        <f>IFERROR(__xludf.DUMMYFUNCTION("IFNA(CONCATENATE(UNIQUE(FILTER(Connections!R:R,Connections!A:A=B99))),""-"")"),"-")</f>
        <v>-</v>
      </c>
      <c r="AA99" s="119" t="str">
        <f t="array" ref="AA99">IF(ISBLANK($AE99), "-",INDEX(Circuits!Y:Y,SUMPRODUCT(EXACT($AE99,Circuits!$A:$A)*ROW(Circuits!$A:$A))))</f>
        <v>-</v>
      </c>
      <c r="AB99" s="121" t="str">
        <f t="array" ref="AB99">IF(ISBLANK($AE99), "-",INDEX(Circuits!Z:Z,SUMPRODUCT(EXACT($AE99,Circuits!$A:$A)*ROW(Circuits!$A:$A))))</f>
        <v>-</v>
      </c>
      <c r="AC99" s="194"/>
      <c r="AD99" s="194"/>
      <c r="AE99" s="40"/>
      <c r="AF99" s="43"/>
      <c r="AG99" s="126" t="str">
        <f>IFERROR(__xludf.DUMMYFUNCTION("IF(ISBLANK(AF99), """", TEXTJOIN(CHAR(10),TRUE,ARRAYFORMULA(IF(ISERROR(SEARCH(SPLIT(AF99, "";""), $Z99)), ""x"", ""-""))))"),"")</f>
        <v/>
      </c>
      <c r="AH99" s="127" t="str">
        <f>IFERROR(__xludf.DUMMYFUNCTION("IF(ISBLANK(AK99), """", TEXTJOIN("";"" &amp; CHAR(10), TRUE, UNIQUE(SPLIT(AK99, "";"" &amp; CHAR(10)), TRUE))&amp;"";"")"),"")</f>
        <v/>
      </c>
      <c r="AI99" s="128" t="str">
        <f>IFERROR(__xludf.DUMMYFUNCTION("IF(ISBLANK(AD99), IF(ISBLANK(AE99),,IFNA(TEXTJOIN("";"" &amp; CHAR(10), TRUE, FILTER(AE:AE, SEARCH(AE99&amp;"";"", AJ:AJ)))&amp;"";"", """")), TEXTJOIN("";"" &amp; CHAR(10), TRUE, UNIQUE(SPLIT(AH99 &amp; "";"" &amp; AH99 &amp; "";"" &amp; AL99, "";"" &amp; CHAR(10)), TRUE, TRUE))&amp;"";"")"),"")</f>
        <v/>
      </c>
      <c r="AJ99" s="126" t="str">
        <f>IFERROR(__xludf.DUMMYFUNCTION("IF(AN99="""", """", TEXTJOIN("";"" &amp; CHAR(10), TRUE, UNIQUE(SPLIT(AH99 &amp; "";"" &amp; AH99 &amp; "";"" &amp; AN99, "";"" &amp; CHAR(10)), TRUE, TRUE))&amp;"";"")"),"")</f>
        <v/>
      </c>
      <c r="AK99" s="129" t="str">
        <f>IFERROR(__xludf.DUMMYFUNCTION("IF(ISBLANK(AD99), IF(ISBLANK(AE99),,AE99 &amp; "";""), TEXTJOIN(CHAR(10), TRUE, ARRAYFORMULA(VLOOKUP(SPLIT(AD99, "";"" &amp; CHAR(10)), $AC:$AH, 6, FALSE))))"),"")</f>
        <v/>
      </c>
      <c r="AL99" s="130" t="str">
        <f>IFERROR(__xludf.DUMMYFUNCTION("IF(AM99="""", """", TEXTJOIN("";"" &amp; CHAR(10), TRUE, UNIQUE(SPLIT(AM99, "";"" &amp; CHAR(10)), TRUE))&amp;"";"")"),"")</f>
        <v/>
      </c>
      <c r="AM99" s="130" t="str">
        <f>IFERROR(__xludf.DUMMYFUNCTION("IF(ISBLANK(AD99), """", TEXTJOIN(CHAR(10), TRUE, ARRAYFORMULA(VLOOKUP(SPLIT(AH99, "";"" &amp; CHAR(10)), $AE:$AI, 5, FALSE)), AF99))"),"")</f>
        <v/>
      </c>
      <c r="AN99" s="132" t="str">
        <f>IFERROR(__xludf.DUMMYFUNCTION("IF(ISBLANK(AO99), """", TEXTJOIN("";"" &amp; CHAR(10), TRUE, UNIQUE(SPLIT(AO99, "";"" &amp; CHAR(10)), TRUE))&amp;"";"")"),"")</f>
        <v/>
      </c>
      <c r="AO99" s="134" t="str">
        <f>IFERROR(__xludf.DUMMYFUNCTION("IF(ISBLANK(AD99), AF99, TEXTJOIN(CHAR(10), TRUE, ARRAYFORMULA(VLOOKUP(SPLIT(AD99, "";"" &amp; CHAR(10)), $AC:$AN, 12, FALSE))))"),"")</f>
        <v/>
      </c>
      <c r="AP99" s="130" t="str">
        <f>IF(ISBLANK(AE99),,IF(IFERROR(SEARCH(AE99&amp;";",Circuits!$AO$2),0),TRUE,FALSE))</f>
        <v/>
      </c>
      <c r="AQ99" s="130" t="str">
        <f t="shared" si="2"/>
        <v/>
      </c>
      <c r="AR99" s="130" t="str">
        <f t="shared" si="3"/>
        <v/>
      </c>
      <c r="AS99" s="136" t="str">
        <f>IFERROR(__xludf.DUMMYFUNCTION("IF(AH99="""",,SUM(ARRAYFORMULA(IF(IFERROR(SEARCH(SPLIT(AH99,CHAR(10)),Circuits!$AO$2),0)&gt;0,0,1))))"),"")</f>
        <v/>
      </c>
      <c r="AT99" s="138" t="str">
        <f t="shared" si="4"/>
        <v/>
      </c>
      <c r="AU99" s="138" t="str">
        <f t="shared" si="5"/>
        <v/>
      </c>
      <c r="AV99" s="130" t="str">
        <f>IFERROR(__xludf.DUMMYFUNCTION("IF(AI99="""",,TEXTJOIN("", "",TRUE,ARRAYFORMULA(VLOOKUP(SPLIT(AI99,"";""&amp;CHAR(10)),AE:AT,16,FALSE))))"),"")</f>
        <v/>
      </c>
      <c r="AW99" s="130" t="str">
        <f>IFERROR(__xludf.DUMMYFUNCTION("IF(ISBLANK(BK99),,TEXTJOIN("", "",TRUE,ARRAYFORMULA(VLOOKUP(IFERROR(REGEXEXTRACT(SPLIT(BK99,"";""&amp;CHAR(10)),""\[(.+)\]"")),AE:AT,16,false))))"),"")</f>
        <v/>
      </c>
      <c r="AX99" s="139" t="str">
        <f t="shared" si="6"/>
        <v/>
      </c>
      <c r="AY99" s="139" t="str">
        <f t="shared" si="7"/>
        <v/>
      </c>
      <c r="AZ99" s="106" t="str">
        <f>IFERROR(__xludf.DUMMYFUNCTION("IF(ISBLANK(AD99), BC99, TEXTJOIN(CHAR(10) &amp; CHAR(10), TRUE, ARRAYFORMULA(VLOOKUP(SPLIT(AD99, "";"" &amp; CHAR(10)), $AC:$AY, 23, FALSE))))"),"")</f>
        <v/>
      </c>
      <c r="BA99" s="140" t="s">
        <v>66</v>
      </c>
      <c r="BB99" s="190"/>
      <c r="BC99" s="196"/>
      <c r="BD99" s="106" t="str">
        <f>IFERROR(__xludf.DUMMYFUNCTION("IF(IFERROR(SEARCH(""&lt;&lt;mechanism to realize the capability&gt;&gt;"",BA99),0)=0,
 ""!! Error !! “Capability&amp;Mechanism” column: Invalid Separator:"" &amp; CHAR(10) &amp; ""Insert separator “&lt;&lt;mechanism to realize the capability&gt;&gt;.”"",
 IF(
  LEN(TRIM(CLEAN(
    INDEX(
  "&amp;"    SPLIT(BA99,""&lt;&lt;mechanism to realize the capability&gt;&gt;"",FALSE,FALSE),
      1
    )
  )))=0,
  ""!! Error !! “Capability&amp;Mechanism” column: No Capability:""  &amp; CHAR(10) &amp; ""Describe Capability before separator."",
  INDEX(
    SPLIT(BA99,""&lt;&lt;mechanism "&amp;"to realize the capability&gt;&gt;"",FALSE,FALSE),
    1
  )
 )
)
"),"!! Error !! “Capability&amp;Mechanism” column: No Capability:
Describe Capability before separator.")</f>
        <v>!! Error !! “Capability&amp;Mechanism” column: No Capability:
Describe Capability before separator.</v>
      </c>
      <c r="BE99" s="190"/>
      <c r="BF99" s="195"/>
      <c r="BG99" s="42"/>
      <c r="BH99" s="190"/>
      <c r="BI99" s="196"/>
      <c r="BJ99" s="42"/>
      <c r="BK99" s="42"/>
      <c r="BL99" s="203"/>
      <c r="BM99" s="203"/>
      <c r="BN99" s="42"/>
      <c r="BO99" s="42"/>
      <c r="BP99" s="143"/>
      <c r="BQ99" s="143"/>
      <c r="BR99" s="192"/>
      <c r="BS99" s="192"/>
      <c r="BT99" s="192"/>
      <c r="BU99" s="192"/>
      <c r="BV99" s="192"/>
      <c r="BW99" s="192"/>
      <c r="BX99" s="146" t="str">
        <f t="shared" si="8"/>
        <v/>
      </c>
    </row>
    <row r="100">
      <c r="A100" s="106" t="str">
        <f t="shared" si="1"/>
        <v/>
      </c>
      <c r="B100" s="183" t="str">
        <f t="array" ref="B100">IF(ISBLANK($AE100), "-",INDEX(Circuits!A:A,SUMPRODUCT(EXACT($AE100,Circuits!$A:$A)*ROW(Circuits!$A:$A))))</f>
        <v>-</v>
      </c>
      <c r="C100" s="183" t="str">
        <f t="array" ref="C100">IF(ISBLANK($AE100), "-",INDEX(Circuits!B:B,SUMPRODUCT(EXACT($AE100,Circuits!$A:$A)*ROW(Circuits!$A:$A))))</f>
        <v>-</v>
      </c>
      <c r="D100" s="183" t="str">
        <f t="array" ref="D100">IF(ISBLANK($AE100), "-",INDEX(Circuits!C:C,SUMPRODUCT(EXACT($AE100,Circuits!$A:$A)*ROW(Circuits!$A:$A))))</f>
        <v>-</v>
      </c>
      <c r="E100" s="183" t="str">
        <f t="array" ref="E100">IF(ISBLANK($AE100), "-",INDEX(Circuits!D:D,SUMPRODUCT(EXACT($AE100,Circuits!$A:$A)*ROW(Circuits!$A:$A))))</f>
        <v>-</v>
      </c>
      <c r="F100" s="183" t="str">
        <f t="array" ref="F100">IF(ISBLANK($AE100), "-",INDEX(Circuits!E:E,SUMPRODUCT(EXACT($AE100,Circuits!$A:$A)*ROW(Circuits!$A:$A))))</f>
        <v>-</v>
      </c>
      <c r="G100" s="183" t="str">
        <f t="array" ref="G100">IF(ISBLANK($AE100), "-",INDEX(Circuits!F:F,SUMPRODUCT(EXACT($AE100,Circuits!$A:$A)*ROW(Circuits!$A:$A))))</f>
        <v>-</v>
      </c>
      <c r="H100" s="183" t="str">
        <f t="array" ref="H100">IF(ISBLANK($AE100), "-",INDEX(Circuits!G:G,SUMPRODUCT(EXACT($AE100,Circuits!$A:$A)*ROW(Circuits!$A:$A))))</f>
        <v>-</v>
      </c>
      <c r="I100" s="183" t="str">
        <f t="array" ref="I100">IF(ISBLANK($AE100), "-",INDEX(Circuits!H:H,SUMPRODUCT(EXACT($AE100,Circuits!$A:$A)*ROW(Circuits!$A:$A))))</f>
        <v>-</v>
      </c>
      <c r="J100" s="183" t="str">
        <f t="array" ref="J100">IF(ISBLANK($AE100), "-",INDEX(Circuits!I:I,SUMPRODUCT(EXACT($AE100,Circuits!$A:$A)*ROW(Circuits!$A:$A))))</f>
        <v>-</v>
      </c>
      <c r="K100" s="183" t="str">
        <f t="array" ref="K100">IF(ISBLANK($AE100), "-",INDEX(Circuits!J:J,SUMPRODUCT(EXACT($AE100,Circuits!$A:$A)*ROW(Circuits!$A:$A))))</f>
        <v>-</v>
      </c>
      <c r="L100" s="183" t="str">
        <f t="array" ref="L100">IF(ISBLANK($AE100), "-",INDEX(Circuits!K:K,SUMPRODUCT(EXACT($AE100,Circuits!$A:$A)*ROW(Circuits!$A:$A))))</f>
        <v>-</v>
      </c>
      <c r="M100" s="183" t="str">
        <f t="array" ref="M100">IF(ISBLANK($AE100), "-",INDEX(Circuits!L:L,SUMPRODUCT(EXACT($AE100,Circuits!$A:$A)*ROW(Circuits!$A:$A))))</f>
        <v>-</v>
      </c>
      <c r="N100" s="183" t="str">
        <f t="array" ref="N100">IF(ISBLANK($AE100), "-",INDEX(Circuits!M:M,SUMPRODUCT(EXACT($AE100,Circuits!$A:$A)*ROW(Circuits!$A:$A))))</f>
        <v>-</v>
      </c>
      <c r="O100" s="183" t="str">
        <f t="array" ref="O100">IF(ISBLANK($AE100), "-",INDEX(Circuits!N:N,SUMPRODUCT(EXACT($AE100,Circuits!$A:$A)*ROW(Circuits!$A:$A))))</f>
        <v>-</v>
      </c>
      <c r="P100" s="183" t="str">
        <f t="array" ref="P100">IF(ISBLANK($AE100), "-",INDEX(Circuits!O:O,SUMPRODUCT(EXACT($AE100,Circuits!$A:$A)*ROW(Circuits!$A:$A))))</f>
        <v>-</v>
      </c>
      <c r="Q100" s="183" t="str">
        <f t="array" ref="Q100">IF(ISBLANK($AE100), "-",INDEX(Circuits!P:P,SUMPRODUCT(EXACT($AE100,Circuits!$A:$A)*ROW(Circuits!$A:$A))))</f>
        <v>-</v>
      </c>
      <c r="R100" s="183" t="str">
        <f t="array" ref="R100">IF(ISBLANK($AE100), "-",INDEX(Circuits!Q:Q,SUMPRODUCT(EXACT($AE100,Circuits!$A:$A)*ROW(Circuits!$A:$A))))</f>
        <v>-</v>
      </c>
      <c r="S100" s="183" t="str">
        <f t="array" ref="S100">IF(ISBLANK($AE100), "-",INDEX(Circuits!R:R,SUMPRODUCT(EXACT($AE100,Circuits!$A:$A)*ROW(Circuits!$A:$A))))</f>
        <v>-</v>
      </c>
      <c r="T100" s="183" t="str">
        <f t="array" ref="T100">IF(ISBLANK($AE100), "-",INDEX(Circuits!S:S,SUMPRODUCT(EXACT($AE100,Circuits!$A:$A)*ROW(Circuits!$A:$A))))</f>
        <v>-</v>
      </c>
      <c r="U100" s="183" t="str">
        <f t="array" ref="U100">IF(ISBLANK($AE100), "-",INDEX(Circuits!T:T,SUMPRODUCT(EXACT($AE100,Circuits!$A:$A)*ROW(Circuits!$A:$A))))</f>
        <v>-</v>
      </c>
      <c r="V100" s="183" t="str">
        <f t="array" ref="V100">IF(ISBLANK($AE100), "-",INDEX(Circuits!U:U,SUMPRODUCT(EXACT($AE100,Circuits!$A:$A)*ROW(Circuits!$A:$A))))</f>
        <v>-</v>
      </c>
      <c r="W100" s="183" t="str">
        <f t="array" ref="W100">IF(ISBLANK($AE100), "-",INDEX(Circuits!V:V,SUMPRODUCT(EXACT($AE100,Circuits!$A:$A)*ROW(Circuits!$A:$A))))</f>
        <v>-</v>
      </c>
      <c r="X100" s="183" t="str">
        <f t="array" ref="X100">IF(ISBLANK($AE100), "-",INDEX(Circuits!W:W,SUMPRODUCT(EXACT($AE100,Circuits!$A:$A)*ROW(Circuits!$A:$A))))</f>
        <v>-</v>
      </c>
      <c r="Y100" s="183" t="str">
        <f t="array" ref="Y100">IF(ISBLANK($AE100), "-",INDEX(Circuits!X:X,SUMPRODUCT(EXACT($AE100,Circuits!$A:$A)*ROW(Circuits!$A:$A))))</f>
        <v>-</v>
      </c>
      <c r="Z100" s="108" t="str">
        <f>IFERROR(__xludf.DUMMYFUNCTION("IFNA(CONCATENATE(UNIQUE(FILTER(Connections!R:R,Connections!A:A=B100))),""-"")"),"-")</f>
        <v>-</v>
      </c>
      <c r="AA100" s="119" t="str">
        <f t="array" ref="AA100">IF(ISBLANK($AE100), "-",INDEX(Circuits!Y:Y,SUMPRODUCT(EXACT($AE100,Circuits!$A:$A)*ROW(Circuits!$A:$A))))</f>
        <v>-</v>
      </c>
      <c r="AB100" s="121" t="str">
        <f t="array" ref="AB100">IF(ISBLANK($AE100), "-",INDEX(Circuits!Z:Z,SUMPRODUCT(EXACT($AE100,Circuits!$A:$A)*ROW(Circuits!$A:$A))))</f>
        <v>-</v>
      </c>
      <c r="AC100" s="194"/>
      <c r="AD100" s="194"/>
      <c r="AE100" s="40"/>
      <c r="AF100" s="43"/>
      <c r="AG100" s="126" t="str">
        <f>IFERROR(__xludf.DUMMYFUNCTION("IF(ISBLANK(AF100), """", TEXTJOIN(CHAR(10),TRUE,ARRAYFORMULA(IF(ISERROR(SEARCH(SPLIT(AF100, "";""), $Z100)), ""x"", ""-""))))"),"")</f>
        <v/>
      </c>
      <c r="AH100" s="127" t="str">
        <f>IFERROR(__xludf.DUMMYFUNCTION("IF(ISBLANK(AK100), """", TEXTJOIN("";"" &amp; CHAR(10), TRUE, UNIQUE(SPLIT(AK100, "";"" &amp; CHAR(10)), TRUE))&amp;"";"")"),"")</f>
        <v/>
      </c>
      <c r="AI100" s="128" t="str">
        <f>IFERROR(__xludf.DUMMYFUNCTION("IF(ISBLANK(AD100), IF(ISBLANK(AE100),,IFNA(TEXTJOIN("";"" &amp; CHAR(10), TRUE, FILTER(AE:AE, SEARCH(AE100&amp;"";"", AJ:AJ)))&amp;"";"", """")), TEXTJOIN("";"" &amp; CHAR(10), TRUE, UNIQUE(SPLIT(AH100 &amp; "";"" &amp; AH100 &amp; "";"" &amp; AL100, "";"" &amp; CHAR(10)), TRUE, TRUE))&amp;"";"&amp;""")"),"")</f>
        <v/>
      </c>
      <c r="AJ100" s="126" t="str">
        <f>IFERROR(__xludf.DUMMYFUNCTION("IF(AN100="""", """", TEXTJOIN("";"" &amp; CHAR(10), TRUE, UNIQUE(SPLIT(AH100 &amp; "";"" &amp; AH100 &amp; "";"" &amp; AN100, "";"" &amp; CHAR(10)), TRUE, TRUE))&amp;"";"")"),"")</f>
        <v/>
      </c>
      <c r="AK100" s="129" t="str">
        <f>IFERROR(__xludf.DUMMYFUNCTION("IF(ISBLANK(AD100), IF(ISBLANK(AE100),,AE100 &amp; "";""), TEXTJOIN(CHAR(10), TRUE, ARRAYFORMULA(VLOOKUP(SPLIT(AD100, "";"" &amp; CHAR(10)), $AC:$AH, 6, FALSE))))"),"")</f>
        <v/>
      </c>
      <c r="AL100" s="130" t="str">
        <f>IFERROR(__xludf.DUMMYFUNCTION("IF(AM100="""", """", TEXTJOIN("";"" &amp; CHAR(10), TRUE, UNIQUE(SPLIT(AM100, "";"" &amp; CHAR(10)), TRUE))&amp;"";"")"),"")</f>
        <v/>
      </c>
      <c r="AM100" s="130" t="str">
        <f>IFERROR(__xludf.DUMMYFUNCTION("IF(ISBLANK(AD100), """", TEXTJOIN(CHAR(10), TRUE, ARRAYFORMULA(VLOOKUP(SPLIT(AH100, "";"" &amp; CHAR(10)), $AE:$AI, 5, FALSE)), AF100))"),"")</f>
        <v/>
      </c>
      <c r="AN100" s="132" t="str">
        <f>IFERROR(__xludf.DUMMYFUNCTION("IF(ISBLANK(AO100), """", TEXTJOIN("";"" &amp; CHAR(10), TRUE, UNIQUE(SPLIT(AO100, "";"" &amp; CHAR(10)), TRUE))&amp;"";"")"),"")</f>
        <v/>
      </c>
      <c r="AO100" s="134" t="str">
        <f>IFERROR(__xludf.DUMMYFUNCTION("IF(ISBLANK(AD100), AF100, TEXTJOIN(CHAR(10), TRUE, ARRAYFORMULA(VLOOKUP(SPLIT(AD100, "";"" &amp; CHAR(10)), $AC:$AN, 12, FALSE))))"),"")</f>
        <v/>
      </c>
      <c r="AP100" s="130" t="str">
        <f>IF(ISBLANK(AE100),,IF(IFERROR(SEARCH(AE100&amp;";",Circuits!$AO$2),0),TRUE,FALSE))</f>
        <v/>
      </c>
      <c r="AQ100" s="130" t="str">
        <f t="shared" si="2"/>
        <v/>
      </c>
      <c r="AR100" s="130" t="str">
        <f t="shared" si="3"/>
        <v/>
      </c>
      <c r="AS100" s="136" t="str">
        <f>IFERROR(__xludf.DUMMYFUNCTION("IF(AH100="""",,SUM(ARRAYFORMULA(IF(IFERROR(SEARCH(SPLIT(AH100,CHAR(10)),Circuits!$AO$2),0)&gt;0,0,1))))"),"")</f>
        <v/>
      </c>
      <c r="AT100" s="138" t="str">
        <f t="shared" si="4"/>
        <v/>
      </c>
      <c r="AU100" s="138" t="str">
        <f t="shared" si="5"/>
        <v/>
      </c>
      <c r="AV100" s="130" t="str">
        <f>IFERROR(__xludf.DUMMYFUNCTION("IF(AI100="""",,TEXTJOIN("", "",TRUE,ARRAYFORMULA(VLOOKUP(SPLIT(AI100,"";""&amp;CHAR(10)),AE:AT,16,FALSE))))"),"")</f>
        <v/>
      </c>
      <c r="AW100" s="130" t="str">
        <f>IFERROR(__xludf.DUMMYFUNCTION("IF(ISBLANK(BK100),,TEXTJOIN("", "",TRUE,ARRAYFORMULA(VLOOKUP(IFERROR(REGEXEXTRACT(SPLIT(BK100,"";""&amp;CHAR(10)),""\[(.+)\]"")),AE:AT,16,false))))"),"")</f>
        <v/>
      </c>
      <c r="AX100" s="139" t="str">
        <f t="shared" si="6"/>
        <v/>
      </c>
      <c r="AY100" s="139" t="str">
        <f t="shared" si="7"/>
        <v/>
      </c>
      <c r="AZ100" s="106" t="str">
        <f>IFERROR(__xludf.DUMMYFUNCTION("IF(ISBLANK(AD100), BC100, TEXTJOIN(CHAR(10) &amp; CHAR(10), TRUE, ARRAYFORMULA(VLOOKUP(SPLIT(AD100, "";"" &amp; CHAR(10)), $AC:$AY, 23, FALSE))))"),"")</f>
        <v/>
      </c>
      <c r="BA100" s="140" t="s">
        <v>66</v>
      </c>
      <c r="BB100" s="190"/>
      <c r="BC100" s="196"/>
      <c r="BD100" s="106" t="str">
        <f>IFERROR(__xludf.DUMMYFUNCTION("IF(IFERROR(SEARCH(""&lt;&lt;mechanism to realize the capability&gt;&gt;"",BA100),0)=0,
 ""!! Error !! “Capability&amp;Mechanism” column: Invalid Separator:"" &amp; CHAR(10) &amp; ""Insert separator “&lt;&lt;mechanism to realize the capability&gt;&gt;.”"",
 IF(
  LEN(TRIM(CLEAN(
    INDEX(
 "&amp;"     SPLIT(BA100,""&lt;&lt;mechanism to realize the capability&gt;&gt;"",FALSE,FALSE),
      1
    )
  )))=0,
  ""!! Error !! “Capability&amp;Mechanism” column: No Capability:""  &amp; CHAR(10) &amp; ""Describe Capability before separator."",
  INDEX(
    SPLIT(BA100,""&lt;&lt;mechani"&amp;"sm to realize the capability&gt;&gt;"",FALSE,FALSE),
    1
  )
 )
)
"),"!! Error !! “Capability&amp;Mechanism” column: No Capability:
Describe Capability before separator.")</f>
        <v>!! Error !! “Capability&amp;Mechanism” column: No Capability:
Describe Capability before separator.</v>
      </c>
      <c r="BE100" s="190"/>
      <c r="BF100" s="195"/>
      <c r="BG100" s="42"/>
      <c r="BH100" s="190"/>
      <c r="BI100" s="196"/>
      <c r="BJ100" s="42"/>
      <c r="BK100" s="42"/>
      <c r="BL100" s="203"/>
      <c r="BM100" s="203"/>
      <c r="BN100" s="42"/>
      <c r="BO100" s="42"/>
      <c r="BP100" s="143"/>
      <c r="BQ100" s="143"/>
      <c r="BR100" s="192"/>
      <c r="BS100" s="192"/>
      <c r="BT100" s="192"/>
      <c r="BU100" s="192"/>
      <c r="BV100" s="192"/>
      <c r="BW100" s="192"/>
      <c r="BX100" s="146" t="str">
        <f t="shared" si="8"/>
        <v/>
      </c>
    </row>
    <row r="101">
      <c r="A101" s="106" t="str">
        <f t="shared" si="1"/>
        <v/>
      </c>
      <c r="B101" s="183" t="str">
        <f t="array" ref="B101">IF(ISBLANK($AE101), "-",INDEX(Circuits!A:A,SUMPRODUCT(EXACT($AE101,Circuits!$A:$A)*ROW(Circuits!$A:$A))))</f>
        <v>-</v>
      </c>
      <c r="C101" s="183" t="str">
        <f t="array" ref="C101">IF(ISBLANK($AE101), "-",INDEX(Circuits!B:B,SUMPRODUCT(EXACT($AE101,Circuits!$A:$A)*ROW(Circuits!$A:$A))))</f>
        <v>-</v>
      </c>
      <c r="D101" s="183" t="str">
        <f t="array" ref="D101">IF(ISBLANK($AE101), "-",INDEX(Circuits!C:C,SUMPRODUCT(EXACT($AE101,Circuits!$A:$A)*ROW(Circuits!$A:$A))))</f>
        <v>-</v>
      </c>
      <c r="E101" s="183" t="str">
        <f t="array" ref="E101">IF(ISBLANK($AE101), "-",INDEX(Circuits!D:D,SUMPRODUCT(EXACT($AE101,Circuits!$A:$A)*ROW(Circuits!$A:$A))))</f>
        <v>-</v>
      </c>
      <c r="F101" s="183" t="str">
        <f t="array" ref="F101">IF(ISBLANK($AE101), "-",INDEX(Circuits!E:E,SUMPRODUCT(EXACT($AE101,Circuits!$A:$A)*ROW(Circuits!$A:$A))))</f>
        <v>-</v>
      </c>
      <c r="G101" s="183" t="str">
        <f t="array" ref="G101">IF(ISBLANK($AE101), "-",INDEX(Circuits!F:F,SUMPRODUCT(EXACT($AE101,Circuits!$A:$A)*ROW(Circuits!$A:$A))))</f>
        <v>-</v>
      </c>
      <c r="H101" s="183" t="str">
        <f t="array" ref="H101">IF(ISBLANK($AE101), "-",INDEX(Circuits!G:G,SUMPRODUCT(EXACT($AE101,Circuits!$A:$A)*ROW(Circuits!$A:$A))))</f>
        <v>-</v>
      </c>
      <c r="I101" s="183" t="str">
        <f t="array" ref="I101">IF(ISBLANK($AE101), "-",INDEX(Circuits!H:H,SUMPRODUCT(EXACT($AE101,Circuits!$A:$A)*ROW(Circuits!$A:$A))))</f>
        <v>-</v>
      </c>
      <c r="J101" s="183" t="str">
        <f t="array" ref="J101">IF(ISBLANK($AE101), "-",INDEX(Circuits!I:I,SUMPRODUCT(EXACT($AE101,Circuits!$A:$A)*ROW(Circuits!$A:$A))))</f>
        <v>-</v>
      </c>
      <c r="K101" s="183" t="str">
        <f t="array" ref="K101">IF(ISBLANK($AE101), "-",INDEX(Circuits!J:J,SUMPRODUCT(EXACT($AE101,Circuits!$A:$A)*ROW(Circuits!$A:$A))))</f>
        <v>-</v>
      </c>
      <c r="L101" s="183" t="str">
        <f t="array" ref="L101">IF(ISBLANK($AE101), "-",INDEX(Circuits!K:K,SUMPRODUCT(EXACT($AE101,Circuits!$A:$A)*ROW(Circuits!$A:$A))))</f>
        <v>-</v>
      </c>
      <c r="M101" s="183" t="str">
        <f t="array" ref="M101">IF(ISBLANK($AE101), "-",INDEX(Circuits!L:L,SUMPRODUCT(EXACT($AE101,Circuits!$A:$A)*ROW(Circuits!$A:$A))))</f>
        <v>-</v>
      </c>
      <c r="N101" s="183" t="str">
        <f t="array" ref="N101">IF(ISBLANK($AE101), "-",INDEX(Circuits!M:M,SUMPRODUCT(EXACT($AE101,Circuits!$A:$A)*ROW(Circuits!$A:$A))))</f>
        <v>-</v>
      </c>
      <c r="O101" s="183" t="str">
        <f t="array" ref="O101">IF(ISBLANK($AE101), "-",INDEX(Circuits!N:N,SUMPRODUCT(EXACT($AE101,Circuits!$A:$A)*ROW(Circuits!$A:$A))))</f>
        <v>-</v>
      </c>
      <c r="P101" s="183" t="str">
        <f t="array" ref="P101">IF(ISBLANK($AE101), "-",INDEX(Circuits!O:O,SUMPRODUCT(EXACT($AE101,Circuits!$A:$A)*ROW(Circuits!$A:$A))))</f>
        <v>-</v>
      </c>
      <c r="Q101" s="183" t="str">
        <f t="array" ref="Q101">IF(ISBLANK($AE101), "-",INDEX(Circuits!P:P,SUMPRODUCT(EXACT($AE101,Circuits!$A:$A)*ROW(Circuits!$A:$A))))</f>
        <v>-</v>
      </c>
      <c r="R101" s="183" t="str">
        <f t="array" ref="R101">IF(ISBLANK($AE101), "-",INDEX(Circuits!Q:Q,SUMPRODUCT(EXACT($AE101,Circuits!$A:$A)*ROW(Circuits!$A:$A))))</f>
        <v>-</v>
      </c>
      <c r="S101" s="183" t="str">
        <f t="array" ref="S101">IF(ISBLANK($AE101), "-",INDEX(Circuits!R:R,SUMPRODUCT(EXACT($AE101,Circuits!$A:$A)*ROW(Circuits!$A:$A))))</f>
        <v>-</v>
      </c>
      <c r="T101" s="183" t="str">
        <f t="array" ref="T101">IF(ISBLANK($AE101), "-",INDEX(Circuits!S:S,SUMPRODUCT(EXACT($AE101,Circuits!$A:$A)*ROW(Circuits!$A:$A))))</f>
        <v>-</v>
      </c>
      <c r="U101" s="183" t="str">
        <f t="array" ref="U101">IF(ISBLANK($AE101), "-",INDEX(Circuits!T:T,SUMPRODUCT(EXACT($AE101,Circuits!$A:$A)*ROW(Circuits!$A:$A))))</f>
        <v>-</v>
      </c>
      <c r="V101" s="183" t="str">
        <f t="array" ref="V101">IF(ISBLANK($AE101), "-",INDEX(Circuits!U:U,SUMPRODUCT(EXACT($AE101,Circuits!$A:$A)*ROW(Circuits!$A:$A))))</f>
        <v>-</v>
      </c>
      <c r="W101" s="183" t="str">
        <f t="array" ref="W101">IF(ISBLANK($AE101), "-",INDEX(Circuits!V:V,SUMPRODUCT(EXACT($AE101,Circuits!$A:$A)*ROW(Circuits!$A:$A))))</f>
        <v>-</v>
      </c>
      <c r="X101" s="183" t="str">
        <f t="array" ref="X101">IF(ISBLANK($AE101), "-",INDEX(Circuits!W:W,SUMPRODUCT(EXACT($AE101,Circuits!$A:$A)*ROW(Circuits!$A:$A))))</f>
        <v>-</v>
      </c>
      <c r="Y101" s="183" t="str">
        <f t="array" ref="Y101">IF(ISBLANK($AE101), "-",INDEX(Circuits!X:X,SUMPRODUCT(EXACT($AE101,Circuits!$A:$A)*ROW(Circuits!$A:$A))))</f>
        <v>-</v>
      </c>
      <c r="Z101" s="108" t="str">
        <f>IFERROR(__xludf.DUMMYFUNCTION("IFNA(CONCATENATE(UNIQUE(FILTER(Connections!R:R,Connections!A:A=B101))),""-"")"),"-")</f>
        <v>-</v>
      </c>
      <c r="AA101" s="119" t="str">
        <f t="array" ref="AA101">IF(ISBLANK($AE101), "-",INDEX(Circuits!Y:Y,SUMPRODUCT(EXACT($AE101,Circuits!$A:$A)*ROW(Circuits!$A:$A))))</f>
        <v>-</v>
      </c>
      <c r="AB101" s="121" t="str">
        <f t="array" ref="AB101">IF(ISBLANK($AE101), "-",INDEX(Circuits!Z:Z,SUMPRODUCT(EXACT($AE101,Circuits!$A:$A)*ROW(Circuits!$A:$A))))</f>
        <v>-</v>
      </c>
      <c r="AC101" s="194"/>
      <c r="AD101" s="194"/>
      <c r="AE101" s="40"/>
      <c r="AF101" s="43"/>
      <c r="AG101" s="126" t="str">
        <f>IFERROR(__xludf.DUMMYFUNCTION("IF(ISBLANK(AF101), """", TEXTJOIN(CHAR(10),TRUE,ARRAYFORMULA(IF(ISERROR(SEARCH(SPLIT(AF101, "";""), $Z101)), ""x"", ""-""))))"),"")</f>
        <v/>
      </c>
      <c r="AH101" s="127" t="str">
        <f>IFERROR(__xludf.DUMMYFUNCTION("IF(ISBLANK(AK101), """", TEXTJOIN("";"" &amp; CHAR(10), TRUE, UNIQUE(SPLIT(AK101, "";"" &amp; CHAR(10)), TRUE))&amp;"";"")"),"")</f>
        <v/>
      </c>
      <c r="AI101" s="128" t="str">
        <f>IFERROR(__xludf.DUMMYFUNCTION("IF(ISBLANK(AD101), IF(ISBLANK(AE101),,IFNA(TEXTJOIN("";"" &amp; CHAR(10), TRUE, FILTER(AE:AE, SEARCH(AE101&amp;"";"", AJ:AJ)))&amp;"";"", """")), TEXTJOIN("";"" &amp; CHAR(10), TRUE, UNIQUE(SPLIT(AH101 &amp; "";"" &amp; AH101 &amp; "";"" &amp; AL101, "";"" &amp; CHAR(10)), TRUE, TRUE))&amp;"";"&amp;""")"),"")</f>
        <v/>
      </c>
      <c r="AJ101" s="126" t="str">
        <f>IFERROR(__xludf.DUMMYFUNCTION("IF(AN101="""", """", TEXTJOIN("";"" &amp; CHAR(10), TRUE, UNIQUE(SPLIT(AH101 &amp; "";"" &amp; AH101 &amp; "";"" &amp; AN101, "";"" &amp; CHAR(10)), TRUE, TRUE))&amp;"";"")"),"")</f>
        <v/>
      </c>
      <c r="AK101" s="129" t="str">
        <f>IFERROR(__xludf.DUMMYFUNCTION("IF(ISBLANK(AD101), IF(ISBLANK(AE101),,AE101 &amp; "";""), TEXTJOIN(CHAR(10), TRUE, ARRAYFORMULA(VLOOKUP(SPLIT(AD101, "";"" &amp; CHAR(10)), $AC:$AH, 6, FALSE))))"),"")</f>
        <v/>
      </c>
      <c r="AL101" s="130" t="str">
        <f>IFERROR(__xludf.DUMMYFUNCTION("IF(AM101="""", """", TEXTJOIN("";"" &amp; CHAR(10), TRUE, UNIQUE(SPLIT(AM101, "";"" &amp; CHAR(10)), TRUE))&amp;"";"")"),"")</f>
        <v/>
      </c>
      <c r="AM101" s="130" t="str">
        <f>IFERROR(__xludf.DUMMYFUNCTION("IF(ISBLANK(AD101), """", TEXTJOIN(CHAR(10), TRUE, ARRAYFORMULA(VLOOKUP(SPLIT(AH101, "";"" &amp; CHAR(10)), $AE:$AI, 5, FALSE)), AF101))"),"")</f>
        <v/>
      </c>
      <c r="AN101" s="132" t="str">
        <f>IFERROR(__xludf.DUMMYFUNCTION("IF(ISBLANK(AO101), """", TEXTJOIN("";"" &amp; CHAR(10), TRUE, UNIQUE(SPLIT(AO101, "";"" &amp; CHAR(10)), TRUE))&amp;"";"")"),"")</f>
        <v/>
      </c>
      <c r="AO101" s="134" t="str">
        <f>IFERROR(__xludf.DUMMYFUNCTION("IF(ISBLANK(AD101), AF101, TEXTJOIN(CHAR(10), TRUE, ARRAYFORMULA(VLOOKUP(SPLIT(AD101, "";"" &amp; CHAR(10)), $AC:$AN, 12, FALSE))))"),"")</f>
        <v/>
      </c>
      <c r="AP101" s="130" t="str">
        <f>IF(ISBLANK(AE101),,IF(IFERROR(SEARCH(AE101&amp;";",Circuits!$AO$2),0),TRUE,FALSE))</f>
        <v/>
      </c>
      <c r="AQ101" s="130" t="str">
        <f t="shared" si="2"/>
        <v/>
      </c>
      <c r="AR101" s="130" t="str">
        <f t="shared" si="3"/>
        <v/>
      </c>
      <c r="AS101" s="136" t="str">
        <f>IFERROR(__xludf.DUMMYFUNCTION("IF(AH101="""",,SUM(ARRAYFORMULA(IF(IFERROR(SEARCH(SPLIT(AH101,CHAR(10)),Circuits!$AO$2),0)&gt;0,0,1))))"),"")</f>
        <v/>
      </c>
      <c r="AT101" s="138" t="str">
        <f t="shared" si="4"/>
        <v/>
      </c>
      <c r="AU101" s="138" t="str">
        <f t="shared" si="5"/>
        <v/>
      </c>
      <c r="AV101" s="130" t="str">
        <f>IFERROR(__xludf.DUMMYFUNCTION("IF(AI101="""",,TEXTJOIN("", "",TRUE,ARRAYFORMULA(VLOOKUP(SPLIT(AI101,"";""&amp;CHAR(10)),AE:AT,16,FALSE))))"),"")</f>
        <v/>
      </c>
      <c r="AW101" s="130" t="str">
        <f>IFERROR(__xludf.DUMMYFUNCTION("IF(ISBLANK(BK101),,TEXTJOIN("", "",TRUE,ARRAYFORMULA(VLOOKUP(IFERROR(REGEXEXTRACT(SPLIT(BK101,"";""&amp;CHAR(10)),""\[(.+)\]"")),AE:AT,16,false))))"),"")</f>
        <v/>
      </c>
      <c r="AX101" s="139" t="str">
        <f t="shared" si="6"/>
        <v/>
      </c>
      <c r="AY101" s="139" t="str">
        <f t="shared" si="7"/>
        <v/>
      </c>
      <c r="AZ101" s="106" t="str">
        <f>IFERROR(__xludf.DUMMYFUNCTION("IF(ISBLANK(AD101), BC101, TEXTJOIN(CHAR(10) &amp; CHAR(10), TRUE, ARRAYFORMULA(VLOOKUP(SPLIT(AD101, "";"" &amp; CHAR(10)), $AC:$AY, 23, FALSE))))"),"")</f>
        <v/>
      </c>
      <c r="BA101" s="140" t="s">
        <v>66</v>
      </c>
      <c r="BB101" s="190"/>
      <c r="BC101" s="196"/>
      <c r="BD101" s="106" t="str">
        <f>IFERROR(__xludf.DUMMYFUNCTION("IF(IFERROR(SEARCH(""&lt;&lt;mechanism to realize the capability&gt;&gt;"",BA101),0)=0,
 ""!! Error !! “Capability&amp;Mechanism” column: Invalid Separator:"" &amp; CHAR(10) &amp; ""Insert separator “&lt;&lt;mechanism to realize the capability&gt;&gt;.”"",
 IF(
  LEN(TRIM(CLEAN(
    INDEX(
 "&amp;"     SPLIT(BA101,""&lt;&lt;mechanism to realize the capability&gt;&gt;"",FALSE,FALSE),
      1
    )
  )))=0,
  ""!! Error !! “Capability&amp;Mechanism” column: No Capability:""  &amp; CHAR(10) &amp; ""Describe Capability before separator."",
  INDEX(
    SPLIT(BA101,""&lt;&lt;mechani"&amp;"sm to realize the capability&gt;&gt;"",FALSE,FALSE),
    1
  )
 )
)
"),"!! Error !! “Capability&amp;Mechanism” column: No Capability:
Describe Capability before separator.")</f>
        <v>!! Error !! “Capability&amp;Mechanism” column: No Capability:
Describe Capability before separator.</v>
      </c>
      <c r="BE101" s="190"/>
      <c r="BF101" s="195"/>
      <c r="BG101" s="42"/>
      <c r="BH101" s="190"/>
      <c r="BI101" s="196"/>
      <c r="BJ101" s="42"/>
      <c r="BK101" s="42"/>
      <c r="BL101" s="203"/>
      <c r="BM101" s="203"/>
      <c r="BN101" s="42"/>
      <c r="BO101" s="42"/>
      <c r="BP101" s="143"/>
      <c r="BQ101" s="143"/>
      <c r="BR101" s="192"/>
      <c r="BS101" s="192"/>
      <c r="BT101" s="192"/>
      <c r="BU101" s="192"/>
      <c r="BV101" s="192"/>
      <c r="BW101" s="192"/>
      <c r="BX101" s="146" t="str">
        <f t="shared" si="8"/>
        <v/>
      </c>
    </row>
    <row r="102">
      <c r="A102" s="106" t="str">
        <f t="shared" si="1"/>
        <v/>
      </c>
      <c r="B102" s="183" t="str">
        <f t="array" ref="B102">IF(ISBLANK($AE102), "-",INDEX(Circuits!A:A,SUMPRODUCT(EXACT($AE102,Circuits!$A:$A)*ROW(Circuits!$A:$A))))</f>
        <v>-</v>
      </c>
      <c r="C102" s="183" t="str">
        <f t="array" ref="C102">IF(ISBLANK($AE102), "-",INDEX(Circuits!B:B,SUMPRODUCT(EXACT($AE102,Circuits!$A:$A)*ROW(Circuits!$A:$A))))</f>
        <v>-</v>
      </c>
      <c r="D102" s="183" t="str">
        <f t="array" ref="D102">IF(ISBLANK($AE102), "-",INDEX(Circuits!C:C,SUMPRODUCT(EXACT($AE102,Circuits!$A:$A)*ROW(Circuits!$A:$A))))</f>
        <v>-</v>
      </c>
      <c r="E102" s="183" t="str">
        <f t="array" ref="E102">IF(ISBLANK($AE102), "-",INDEX(Circuits!D:D,SUMPRODUCT(EXACT($AE102,Circuits!$A:$A)*ROW(Circuits!$A:$A))))</f>
        <v>-</v>
      </c>
      <c r="F102" s="183" t="str">
        <f t="array" ref="F102">IF(ISBLANK($AE102), "-",INDEX(Circuits!E:E,SUMPRODUCT(EXACT($AE102,Circuits!$A:$A)*ROW(Circuits!$A:$A))))</f>
        <v>-</v>
      </c>
      <c r="G102" s="183" t="str">
        <f t="array" ref="G102">IF(ISBLANK($AE102), "-",INDEX(Circuits!F:F,SUMPRODUCT(EXACT($AE102,Circuits!$A:$A)*ROW(Circuits!$A:$A))))</f>
        <v>-</v>
      </c>
      <c r="H102" s="183" t="str">
        <f t="array" ref="H102">IF(ISBLANK($AE102), "-",INDEX(Circuits!G:G,SUMPRODUCT(EXACT($AE102,Circuits!$A:$A)*ROW(Circuits!$A:$A))))</f>
        <v>-</v>
      </c>
      <c r="I102" s="183" t="str">
        <f t="array" ref="I102">IF(ISBLANK($AE102), "-",INDEX(Circuits!H:H,SUMPRODUCT(EXACT($AE102,Circuits!$A:$A)*ROW(Circuits!$A:$A))))</f>
        <v>-</v>
      </c>
      <c r="J102" s="183" t="str">
        <f t="array" ref="J102">IF(ISBLANK($AE102), "-",INDEX(Circuits!I:I,SUMPRODUCT(EXACT($AE102,Circuits!$A:$A)*ROW(Circuits!$A:$A))))</f>
        <v>-</v>
      </c>
      <c r="K102" s="183" t="str">
        <f t="array" ref="K102">IF(ISBLANK($AE102), "-",INDEX(Circuits!J:J,SUMPRODUCT(EXACT($AE102,Circuits!$A:$A)*ROW(Circuits!$A:$A))))</f>
        <v>-</v>
      </c>
      <c r="L102" s="183" t="str">
        <f t="array" ref="L102">IF(ISBLANK($AE102), "-",INDEX(Circuits!K:K,SUMPRODUCT(EXACT($AE102,Circuits!$A:$A)*ROW(Circuits!$A:$A))))</f>
        <v>-</v>
      </c>
      <c r="M102" s="183" t="str">
        <f t="array" ref="M102">IF(ISBLANK($AE102), "-",INDEX(Circuits!L:L,SUMPRODUCT(EXACT($AE102,Circuits!$A:$A)*ROW(Circuits!$A:$A))))</f>
        <v>-</v>
      </c>
      <c r="N102" s="183" t="str">
        <f t="array" ref="N102">IF(ISBLANK($AE102), "-",INDEX(Circuits!M:M,SUMPRODUCT(EXACT($AE102,Circuits!$A:$A)*ROW(Circuits!$A:$A))))</f>
        <v>-</v>
      </c>
      <c r="O102" s="183" t="str">
        <f t="array" ref="O102">IF(ISBLANK($AE102), "-",INDEX(Circuits!N:N,SUMPRODUCT(EXACT($AE102,Circuits!$A:$A)*ROW(Circuits!$A:$A))))</f>
        <v>-</v>
      </c>
      <c r="P102" s="183" t="str">
        <f t="array" ref="P102">IF(ISBLANK($AE102), "-",INDEX(Circuits!O:O,SUMPRODUCT(EXACT($AE102,Circuits!$A:$A)*ROW(Circuits!$A:$A))))</f>
        <v>-</v>
      </c>
      <c r="Q102" s="183" t="str">
        <f t="array" ref="Q102">IF(ISBLANK($AE102), "-",INDEX(Circuits!P:P,SUMPRODUCT(EXACT($AE102,Circuits!$A:$A)*ROW(Circuits!$A:$A))))</f>
        <v>-</v>
      </c>
      <c r="R102" s="183" t="str">
        <f t="array" ref="R102">IF(ISBLANK($AE102), "-",INDEX(Circuits!Q:Q,SUMPRODUCT(EXACT($AE102,Circuits!$A:$A)*ROW(Circuits!$A:$A))))</f>
        <v>-</v>
      </c>
      <c r="S102" s="183" t="str">
        <f t="array" ref="S102">IF(ISBLANK($AE102), "-",INDEX(Circuits!R:R,SUMPRODUCT(EXACT($AE102,Circuits!$A:$A)*ROW(Circuits!$A:$A))))</f>
        <v>-</v>
      </c>
      <c r="T102" s="183" t="str">
        <f t="array" ref="T102">IF(ISBLANK($AE102), "-",INDEX(Circuits!S:S,SUMPRODUCT(EXACT($AE102,Circuits!$A:$A)*ROW(Circuits!$A:$A))))</f>
        <v>-</v>
      </c>
      <c r="U102" s="183" t="str">
        <f t="array" ref="U102">IF(ISBLANK($AE102), "-",INDEX(Circuits!T:T,SUMPRODUCT(EXACT($AE102,Circuits!$A:$A)*ROW(Circuits!$A:$A))))</f>
        <v>-</v>
      </c>
      <c r="V102" s="183" t="str">
        <f t="array" ref="V102">IF(ISBLANK($AE102), "-",INDEX(Circuits!U:U,SUMPRODUCT(EXACT($AE102,Circuits!$A:$A)*ROW(Circuits!$A:$A))))</f>
        <v>-</v>
      </c>
      <c r="W102" s="183" t="str">
        <f t="array" ref="W102">IF(ISBLANK($AE102), "-",INDEX(Circuits!V:V,SUMPRODUCT(EXACT($AE102,Circuits!$A:$A)*ROW(Circuits!$A:$A))))</f>
        <v>-</v>
      </c>
      <c r="X102" s="183" t="str">
        <f t="array" ref="X102">IF(ISBLANK($AE102), "-",INDEX(Circuits!W:W,SUMPRODUCT(EXACT($AE102,Circuits!$A:$A)*ROW(Circuits!$A:$A))))</f>
        <v>-</v>
      </c>
      <c r="Y102" s="183" t="str">
        <f t="array" ref="Y102">IF(ISBLANK($AE102), "-",INDEX(Circuits!X:X,SUMPRODUCT(EXACT($AE102,Circuits!$A:$A)*ROW(Circuits!$A:$A))))</f>
        <v>-</v>
      </c>
      <c r="Z102" s="108" t="str">
        <f>IFERROR(__xludf.DUMMYFUNCTION("IFNA(CONCATENATE(UNIQUE(FILTER(Connections!R:R,Connections!A:A=B102))),""-"")"),"-")</f>
        <v>-</v>
      </c>
      <c r="AA102" s="119" t="str">
        <f t="array" ref="AA102">IF(ISBLANK($AE102), "-",INDEX(Circuits!Y:Y,SUMPRODUCT(EXACT($AE102,Circuits!$A:$A)*ROW(Circuits!$A:$A))))</f>
        <v>-</v>
      </c>
      <c r="AB102" s="121" t="str">
        <f t="array" ref="AB102">IF(ISBLANK($AE102), "-",INDEX(Circuits!Z:Z,SUMPRODUCT(EXACT($AE102,Circuits!$A:$A)*ROW(Circuits!$A:$A))))</f>
        <v>-</v>
      </c>
      <c r="AC102" s="194"/>
      <c r="AD102" s="194"/>
      <c r="AE102" s="40"/>
      <c r="AF102" s="43"/>
      <c r="AG102" s="126" t="str">
        <f>IFERROR(__xludf.DUMMYFUNCTION("IF(ISBLANK(AF102), """", TEXTJOIN(CHAR(10),TRUE,ARRAYFORMULA(IF(ISERROR(SEARCH(SPLIT(AF102, "";""), $Z102)), ""x"", ""-""))))"),"")</f>
        <v/>
      </c>
      <c r="AH102" s="127" t="str">
        <f>IFERROR(__xludf.DUMMYFUNCTION("IF(ISBLANK(AK102), """", TEXTJOIN("";"" &amp; CHAR(10), TRUE, UNIQUE(SPLIT(AK102, "";"" &amp; CHAR(10)), TRUE))&amp;"";"")"),"")</f>
        <v/>
      </c>
      <c r="AI102" s="128" t="str">
        <f>IFERROR(__xludf.DUMMYFUNCTION("IF(ISBLANK(AD102), IF(ISBLANK(AE102),,IFNA(TEXTJOIN("";"" &amp; CHAR(10), TRUE, FILTER(AE:AE, SEARCH(AE102&amp;"";"", AJ:AJ)))&amp;"";"", """")), TEXTJOIN("";"" &amp; CHAR(10), TRUE, UNIQUE(SPLIT(AH102 &amp; "";"" &amp; AH102 &amp; "";"" &amp; AL102, "";"" &amp; CHAR(10)), TRUE, TRUE))&amp;"";"&amp;""")"),"")</f>
        <v/>
      </c>
      <c r="AJ102" s="126" t="str">
        <f>IFERROR(__xludf.DUMMYFUNCTION("IF(AN102="""", """", TEXTJOIN("";"" &amp; CHAR(10), TRUE, UNIQUE(SPLIT(AH102 &amp; "";"" &amp; AH102 &amp; "";"" &amp; AN102, "";"" &amp; CHAR(10)), TRUE, TRUE))&amp;"";"")"),"")</f>
        <v/>
      </c>
      <c r="AK102" s="129" t="str">
        <f>IFERROR(__xludf.DUMMYFUNCTION("IF(ISBLANK(AD102), IF(ISBLANK(AE102),,AE102 &amp; "";""), TEXTJOIN(CHAR(10), TRUE, ARRAYFORMULA(VLOOKUP(SPLIT(AD102, "";"" &amp; CHAR(10)), $AC:$AH, 6, FALSE))))"),"")</f>
        <v/>
      </c>
      <c r="AL102" s="130" t="str">
        <f>IFERROR(__xludf.DUMMYFUNCTION("IF(AM102="""", """", TEXTJOIN("";"" &amp; CHAR(10), TRUE, UNIQUE(SPLIT(AM102, "";"" &amp; CHAR(10)), TRUE))&amp;"";"")"),"")</f>
        <v/>
      </c>
      <c r="AM102" s="130" t="str">
        <f>IFERROR(__xludf.DUMMYFUNCTION("IF(ISBLANK(AD102), """", TEXTJOIN(CHAR(10), TRUE, ARRAYFORMULA(VLOOKUP(SPLIT(AH102, "";"" &amp; CHAR(10)), $AE:$AI, 5, FALSE)), AF102))"),"")</f>
        <v/>
      </c>
      <c r="AN102" s="132" t="str">
        <f>IFERROR(__xludf.DUMMYFUNCTION("IF(ISBLANK(AO102), """", TEXTJOIN("";"" &amp; CHAR(10), TRUE, UNIQUE(SPLIT(AO102, "";"" &amp; CHAR(10)), TRUE))&amp;"";"")"),"")</f>
        <v/>
      </c>
      <c r="AO102" s="134" t="str">
        <f>IFERROR(__xludf.DUMMYFUNCTION("IF(ISBLANK(AD102), AF102, TEXTJOIN(CHAR(10), TRUE, ARRAYFORMULA(VLOOKUP(SPLIT(AD102, "";"" &amp; CHAR(10)), $AC:$AN, 12, FALSE))))"),"")</f>
        <v/>
      </c>
      <c r="AP102" s="130" t="str">
        <f>IF(ISBLANK(AE102),,IF(IFERROR(SEARCH(AE102&amp;";",Circuits!$AO$2),0),TRUE,FALSE))</f>
        <v/>
      </c>
      <c r="AQ102" s="130" t="str">
        <f t="shared" si="2"/>
        <v/>
      </c>
      <c r="AR102" s="130" t="str">
        <f t="shared" si="3"/>
        <v/>
      </c>
      <c r="AS102" s="136" t="str">
        <f>IFERROR(__xludf.DUMMYFUNCTION("IF(AH102="""",,SUM(ARRAYFORMULA(IF(IFERROR(SEARCH(SPLIT(AH102,CHAR(10)),Circuits!$AO$2),0)&gt;0,0,1))))"),"")</f>
        <v/>
      </c>
      <c r="AT102" s="138" t="str">
        <f t="shared" si="4"/>
        <v/>
      </c>
      <c r="AU102" s="138" t="str">
        <f t="shared" si="5"/>
        <v/>
      </c>
      <c r="AV102" s="130" t="str">
        <f>IFERROR(__xludf.DUMMYFUNCTION("IF(AI102="""",,TEXTJOIN("", "",TRUE,ARRAYFORMULA(VLOOKUP(SPLIT(AI102,"";""&amp;CHAR(10)),AE:AT,16,FALSE))))"),"")</f>
        <v/>
      </c>
      <c r="AW102" s="130" t="str">
        <f>IFERROR(__xludf.DUMMYFUNCTION("IF(ISBLANK(BK102),,TEXTJOIN("", "",TRUE,ARRAYFORMULA(VLOOKUP(IFERROR(REGEXEXTRACT(SPLIT(BK102,"";""&amp;CHAR(10)),""\[(.+)\]"")),AE:AT,16,false))))"),"")</f>
        <v/>
      </c>
      <c r="AX102" s="139" t="str">
        <f t="shared" si="6"/>
        <v/>
      </c>
      <c r="AY102" s="139" t="str">
        <f t="shared" si="7"/>
        <v/>
      </c>
      <c r="AZ102" s="106" t="str">
        <f>IFERROR(__xludf.DUMMYFUNCTION("IF(ISBLANK(AD102), BC102, TEXTJOIN(CHAR(10) &amp; CHAR(10), TRUE, ARRAYFORMULA(VLOOKUP(SPLIT(AD102, "";"" &amp; CHAR(10)), $AC:$AY, 23, FALSE))))"),"")</f>
        <v/>
      </c>
      <c r="BA102" s="140" t="s">
        <v>66</v>
      </c>
      <c r="BB102" s="190"/>
      <c r="BC102" s="196"/>
      <c r="BD102" s="106" t="str">
        <f>IFERROR(__xludf.DUMMYFUNCTION("IF(IFERROR(SEARCH(""&lt;&lt;mechanism to realize the capability&gt;&gt;"",BA102),0)=0,
 ""!! Error !! “Capability&amp;Mechanism” column: Invalid Separator:"" &amp; CHAR(10) &amp; ""Insert separator “&lt;&lt;mechanism to realize the capability&gt;&gt;.”"",
 IF(
  LEN(TRIM(CLEAN(
    INDEX(
 "&amp;"     SPLIT(BA102,""&lt;&lt;mechanism to realize the capability&gt;&gt;"",FALSE,FALSE),
      1
    )
  )))=0,
  ""!! Error !! “Capability&amp;Mechanism” column: No Capability:""  &amp; CHAR(10) &amp; ""Describe Capability before separator."",
  INDEX(
    SPLIT(BA102,""&lt;&lt;mechani"&amp;"sm to realize the capability&gt;&gt;"",FALSE,FALSE),
    1
  )
 )
)
"),"!! Error !! “Capability&amp;Mechanism” column: No Capability:
Describe Capability before separator.")</f>
        <v>!! Error !! “Capability&amp;Mechanism” column: No Capability:
Describe Capability before separator.</v>
      </c>
      <c r="BE102" s="190"/>
      <c r="BF102" s="195"/>
      <c r="BG102" s="42"/>
      <c r="BH102" s="190"/>
      <c r="BI102" s="196"/>
      <c r="BJ102" s="42"/>
      <c r="BK102" s="42"/>
      <c r="BL102" s="203"/>
      <c r="BM102" s="203"/>
      <c r="BN102" s="42"/>
      <c r="BO102" s="42"/>
      <c r="BP102" s="143"/>
      <c r="BQ102" s="143"/>
      <c r="BR102" s="192"/>
      <c r="BS102" s="192"/>
      <c r="BT102" s="192"/>
      <c r="BU102" s="192"/>
      <c r="BV102" s="192"/>
      <c r="BW102" s="192"/>
      <c r="BX102" s="146" t="str">
        <f t="shared" si="8"/>
        <v/>
      </c>
    </row>
    <row r="103">
      <c r="A103" s="106" t="str">
        <f t="shared" si="1"/>
        <v/>
      </c>
      <c r="B103" s="183" t="str">
        <f t="array" ref="B103">IF(ISBLANK($AE103), "-",INDEX(Circuits!A:A,SUMPRODUCT(EXACT($AE103,Circuits!$A:$A)*ROW(Circuits!$A:$A))))</f>
        <v>-</v>
      </c>
      <c r="C103" s="183" t="str">
        <f t="array" ref="C103">IF(ISBLANK($AE103), "-",INDEX(Circuits!B:B,SUMPRODUCT(EXACT($AE103,Circuits!$A:$A)*ROW(Circuits!$A:$A))))</f>
        <v>-</v>
      </c>
      <c r="D103" s="183" t="str">
        <f t="array" ref="D103">IF(ISBLANK($AE103), "-",INDEX(Circuits!C:C,SUMPRODUCT(EXACT($AE103,Circuits!$A:$A)*ROW(Circuits!$A:$A))))</f>
        <v>-</v>
      </c>
      <c r="E103" s="183" t="str">
        <f t="array" ref="E103">IF(ISBLANK($AE103), "-",INDEX(Circuits!D:D,SUMPRODUCT(EXACT($AE103,Circuits!$A:$A)*ROW(Circuits!$A:$A))))</f>
        <v>-</v>
      </c>
      <c r="F103" s="183" t="str">
        <f t="array" ref="F103">IF(ISBLANK($AE103), "-",INDEX(Circuits!E:E,SUMPRODUCT(EXACT($AE103,Circuits!$A:$A)*ROW(Circuits!$A:$A))))</f>
        <v>-</v>
      </c>
      <c r="G103" s="183" t="str">
        <f t="array" ref="G103">IF(ISBLANK($AE103), "-",INDEX(Circuits!F:F,SUMPRODUCT(EXACT($AE103,Circuits!$A:$A)*ROW(Circuits!$A:$A))))</f>
        <v>-</v>
      </c>
      <c r="H103" s="183" t="str">
        <f t="array" ref="H103">IF(ISBLANK($AE103), "-",INDEX(Circuits!G:G,SUMPRODUCT(EXACT($AE103,Circuits!$A:$A)*ROW(Circuits!$A:$A))))</f>
        <v>-</v>
      </c>
      <c r="I103" s="183" t="str">
        <f t="array" ref="I103">IF(ISBLANK($AE103), "-",INDEX(Circuits!H:H,SUMPRODUCT(EXACT($AE103,Circuits!$A:$A)*ROW(Circuits!$A:$A))))</f>
        <v>-</v>
      </c>
      <c r="J103" s="183" t="str">
        <f t="array" ref="J103">IF(ISBLANK($AE103), "-",INDEX(Circuits!I:I,SUMPRODUCT(EXACT($AE103,Circuits!$A:$A)*ROW(Circuits!$A:$A))))</f>
        <v>-</v>
      </c>
      <c r="K103" s="183" t="str">
        <f t="array" ref="K103">IF(ISBLANK($AE103), "-",INDEX(Circuits!J:J,SUMPRODUCT(EXACT($AE103,Circuits!$A:$A)*ROW(Circuits!$A:$A))))</f>
        <v>-</v>
      </c>
      <c r="L103" s="183" t="str">
        <f t="array" ref="L103">IF(ISBLANK($AE103), "-",INDEX(Circuits!K:K,SUMPRODUCT(EXACT($AE103,Circuits!$A:$A)*ROW(Circuits!$A:$A))))</f>
        <v>-</v>
      </c>
      <c r="M103" s="183" t="str">
        <f t="array" ref="M103">IF(ISBLANK($AE103), "-",INDEX(Circuits!L:L,SUMPRODUCT(EXACT($AE103,Circuits!$A:$A)*ROW(Circuits!$A:$A))))</f>
        <v>-</v>
      </c>
      <c r="N103" s="183" t="str">
        <f t="array" ref="N103">IF(ISBLANK($AE103), "-",INDEX(Circuits!M:M,SUMPRODUCT(EXACT($AE103,Circuits!$A:$A)*ROW(Circuits!$A:$A))))</f>
        <v>-</v>
      </c>
      <c r="O103" s="183" t="str">
        <f t="array" ref="O103">IF(ISBLANK($AE103), "-",INDEX(Circuits!N:N,SUMPRODUCT(EXACT($AE103,Circuits!$A:$A)*ROW(Circuits!$A:$A))))</f>
        <v>-</v>
      </c>
      <c r="P103" s="183" t="str">
        <f t="array" ref="P103">IF(ISBLANK($AE103), "-",INDEX(Circuits!O:O,SUMPRODUCT(EXACT($AE103,Circuits!$A:$A)*ROW(Circuits!$A:$A))))</f>
        <v>-</v>
      </c>
      <c r="Q103" s="183" t="str">
        <f t="array" ref="Q103">IF(ISBLANK($AE103), "-",INDEX(Circuits!P:P,SUMPRODUCT(EXACT($AE103,Circuits!$A:$A)*ROW(Circuits!$A:$A))))</f>
        <v>-</v>
      </c>
      <c r="R103" s="183" t="str">
        <f t="array" ref="R103">IF(ISBLANK($AE103), "-",INDEX(Circuits!Q:Q,SUMPRODUCT(EXACT($AE103,Circuits!$A:$A)*ROW(Circuits!$A:$A))))</f>
        <v>-</v>
      </c>
      <c r="S103" s="183" t="str">
        <f t="array" ref="S103">IF(ISBLANK($AE103), "-",INDEX(Circuits!R:R,SUMPRODUCT(EXACT($AE103,Circuits!$A:$A)*ROW(Circuits!$A:$A))))</f>
        <v>-</v>
      </c>
      <c r="T103" s="183" t="str">
        <f t="array" ref="T103">IF(ISBLANK($AE103), "-",INDEX(Circuits!S:S,SUMPRODUCT(EXACT($AE103,Circuits!$A:$A)*ROW(Circuits!$A:$A))))</f>
        <v>-</v>
      </c>
      <c r="U103" s="183" t="str">
        <f t="array" ref="U103">IF(ISBLANK($AE103), "-",INDEX(Circuits!T:T,SUMPRODUCT(EXACT($AE103,Circuits!$A:$A)*ROW(Circuits!$A:$A))))</f>
        <v>-</v>
      </c>
      <c r="V103" s="183" t="str">
        <f t="array" ref="V103">IF(ISBLANK($AE103), "-",INDEX(Circuits!U:U,SUMPRODUCT(EXACT($AE103,Circuits!$A:$A)*ROW(Circuits!$A:$A))))</f>
        <v>-</v>
      </c>
      <c r="W103" s="183" t="str">
        <f t="array" ref="W103">IF(ISBLANK($AE103), "-",INDEX(Circuits!V:V,SUMPRODUCT(EXACT($AE103,Circuits!$A:$A)*ROW(Circuits!$A:$A))))</f>
        <v>-</v>
      </c>
      <c r="X103" s="183" t="str">
        <f t="array" ref="X103">IF(ISBLANK($AE103), "-",INDEX(Circuits!W:W,SUMPRODUCT(EXACT($AE103,Circuits!$A:$A)*ROW(Circuits!$A:$A))))</f>
        <v>-</v>
      </c>
      <c r="Y103" s="183" t="str">
        <f t="array" ref="Y103">IF(ISBLANK($AE103), "-",INDEX(Circuits!X:X,SUMPRODUCT(EXACT($AE103,Circuits!$A:$A)*ROW(Circuits!$A:$A))))</f>
        <v>-</v>
      </c>
      <c r="Z103" s="108" t="str">
        <f>IFERROR(__xludf.DUMMYFUNCTION("IFNA(CONCATENATE(UNIQUE(FILTER(Connections!R:R,Connections!A:A=B103))),""-"")"),"-")</f>
        <v>-</v>
      </c>
      <c r="AA103" s="119" t="str">
        <f t="array" ref="AA103">IF(ISBLANK($AE103), "-",INDEX(Circuits!Y:Y,SUMPRODUCT(EXACT($AE103,Circuits!$A:$A)*ROW(Circuits!$A:$A))))</f>
        <v>-</v>
      </c>
      <c r="AB103" s="121" t="str">
        <f t="array" ref="AB103">IF(ISBLANK($AE103), "-",INDEX(Circuits!Z:Z,SUMPRODUCT(EXACT($AE103,Circuits!$A:$A)*ROW(Circuits!$A:$A))))</f>
        <v>-</v>
      </c>
      <c r="AC103" s="194"/>
      <c r="AD103" s="194"/>
      <c r="AE103" s="40"/>
      <c r="AF103" s="43"/>
      <c r="AG103" s="126" t="str">
        <f>IFERROR(__xludf.DUMMYFUNCTION("IF(ISBLANK(AF103), """", TEXTJOIN(CHAR(10),TRUE,ARRAYFORMULA(IF(ISERROR(SEARCH(SPLIT(AF103, "";""), $Z103)), ""x"", ""-""))))"),"")</f>
        <v/>
      </c>
      <c r="AH103" s="127" t="str">
        <f>IFERROR(__xludf.DUMMYFUNCTION("IF(ISBLANK(AK103), """", TEXTJOIN("";"" &amp; CHAR(10), TRUE, UNIQUE(SPLIT(AK103, "";"" &amp; CHAR(10)), TRUE))&amp;"";"")"),"")</f>
        <v/>
      </c>
      <c r="AI103" s="128" t="str">
        <f>IFERROR(__xludf.DUMMYFUNCTION("IF(ISBLANK(AD103), IF(ISBLANK(AE103),,IFNA(TEXTJOIN("";"" &amp; CHAR(10), TRUE, FILTER(AE:AE, SEARCH(AE103&amp;"";"", AJ:AJ)))&amp;"";"", """")), TEXTJOIN("";"" &amp; CHAR(10), TRUE, UNIQUE(SPLIT(AH103 &amp; "";"" &amp; AH103 &amp; "";"" &amp; AL103, "";"" &amp; CHAR(10)), TRUE, TRUE))&amp;"";"&amp;""")"),"")</f>
        <v/>
      </c>
      <c r="AJ103" s="126" t="str">
        <f>IFERROR(__xludf.DUMMYFUNCTION("IF(AN103="""", """", TEXTJOIN("";"" &amp; CHAR(10), TRUE, UNIQUE(SPLIT(AH103 &amp; "";"" &amp; AH103 &amp; "";"" &amp; AN103, "";"" &amp; CHAR(10)), TRUE, TRUE))&amp;"";"")"),"")</f>
        <v/>
      </c>
      <c r="AK103" s="129" t="str">
        <f>IFERROR(__xludf.DUMMYFUNCTION("IF(ISBLANK(AD103), IF(ISBLANK(AE103),,AE103 &amp; "";""), TEXTJOIN(CHAR(10), TRUE, ARRAYFORMULA(VLOOKUP(SPLIT(AD103, "";"" &amp; CHAR(10)), $AC:$AH, 6, FALSE))))"),"")</f>
        <v/>
      </c>
      <c r="AL103" s="130" t="str">
        <f>IFERROR(__xludf.DUMMYFUNCTION("IF(AM103="""", """", TEXTJOIN("";"" &amp; CHAR(10), TRUE, UNIQUE(SPLIT(AM103, "";"" &amp; CHAR(10)), TRUE))&amp;"";"")"),"")</f>
        <v/>
      </c>
      <c r="AM103" s="130" t="str">
        <f>IFERROR(__xludf.DUMMYFUNCTION("IF(ISBLANK(AD103), """", TEXTJOIN(CHAR(10), TRUE, ARRAYFORMULA(VLOOKUP(SPLIT(AH103, "";"" &amp; CHAR(10)), $AE:$AI, 5, FALSE)), AF103))"),"")</f>
        <v/>
      </c>
      <c r="AN103" s="132" t="str">
        <f>IFERROR(__xludf.DUMMYFUNCTION("IF(ISBLANK(AO103), """", TEXTJOIN("";"" &amp; CHAR(10), TRUE, UNIQUE(SPLIT(AO103, "";"" &amp; CHAR(10)), TRUE))&amp;"";"")"),"")</f>
        <v/>
      </c>
      <c r="AO103" s="134" t="str">
        <f>IFERROR(__xludf.DUMMYFUNCTION("IF(ISBLANK(AD103), AF103, TEXTJOIN(CHAR(10), TRUE, ARRAYFORMULA(VLOOKUP(SPLIT(AD103, "";"" &amp; CHAR(10)), $AC:$AN, 12, FALSE))))"),"")</f>
        <v/>
      </c>
      <c r="AP103" s="130" t="str">
        <f>IF(ISBLANK(AE103),,IF(IFERROR(SEARCH(AE103&amp;";",Circuits!$AO$2),0),TRUE,FALSE))</f>
        <v/>
      </c>
      <c r="AQ103" s="130" t="str">
        <f t="shared" si="2"/>
        <v/>
      </c>
      <c r="AR103" s="130" t="str">
        <f t="shared" si="3"/>
        <v/>
      </c>
      <c r="AS103" s="136" t="str">
        <f>IFERROR(__xludf.DUMMYFUNCTION("IF(AH103="""",,SUM(ARRAYFORMULA(IF(IFERROR(SEARCH(SPLIT(AH103,CHAR(10)),Circuits!$AO$2),0)&gt;0,0,1))))"),"")</f>
        <v/>
      </c>
      <c r="AT103" s="138" t="str">
        <f t="shared" si="4"/>
        <v/>
      </c>
      <c r="AU103" s="138" t="str">
        <f t="shared" si="5"/>
        <v/>
      </c>
      <c r="AV103" s="130" t="str">
        <f>IFERROR(__xludf.DUMMYFUNCTION("IF(AI103="""",,TEXTJOIN("", "",TRUE,ARRAYFORMULA(VLOOKUP(SPLIT(AI103,"";""&amp;CHAR(10)),AE:AT,16,FALSE))))"),"")</f>
        <v/>
      </c>
      <c r="AW103" s="130" t="str">
        <f>IFERROR(__xludf.DUMMYFUNCTION("IF(ISBLANK(BK103),,TEXTJOIN("", "",TRUE,ARRAYFORMULA(VLOOKUP(IFERROR(REGEXEXTRACT(SPLIT(BK103,"";""&amp;CHAR(10)),""\[(.+)\]"")),AE:AT,16,false))))"),"")</f>
        <v/>
      </c>
      <c r="AX103" s="139" t="str">
        <f t="shared" si="6"/>
        <v/>
      </c>
      <c r="AY103" s="139" t="str">
        <f t="shared" si="7"/>
        <v/>
      </c>
      <c r="AZ103" s="106" t="str">
        <f>IFERROR(__xludf.DUMMYFUNCTION("IF(ISBLANK(AD103), BC103, TEXTJOIN(CHAR(10) &amp; CHAR(10), TRUE, ARRAYFORMULA(VLOOKUP(SPLIT(AD103, "";"" &amp; CHAR(10)), $AC:$AY, 23, FALSE))))"),"")</f>
        <v/>
      </c>
      <c r="BA103" s="140" t="s">
        <v>66</v>
      </c>
      <c r="BB103" s="190"/>
      <c r="BC103" s="196"/>
      <c r="BD103" s="106" t="str">
        <f>IFERROR(__xludf.DUMMYFUNCTION("IF(IFERROR(SEARCH(""&lt;&lt;mechanism to realize the capability&gt;&gt;"",BA103),0)=0,
 ""!! Error !! “Capability&amp;Mechanism” column: Invalid Separator:"" &amp; CHAR(10) &amp; ""Insert separator “&lt;&lt;mechanism to realize the capability&gt;&gt;.”"",
 IF(
  LEN(TRIM(CLEAN(
    INDEX(
 "&amp;"     SPLIT(BA103,""&lt;&lt;mechanism to realize the capability&gt;&gt;"",FALSE,FALSE),
      1
    )
  )))=0,
  ""!! Error !! “Capability&amp;Mechanism” column: No Capability:""  &amp; CHAR(10) &amp; ""Describe Capability before separator."",
  INDEX(
    SPLIT(BA103,""&lt;&lt;mechani"&amp;"sm to realize the capability&gt;&gt;"",FALSE,FALSE),
    1
  )
 )
)
"),"!! Error !! “Capability&amp;Mechanism” column: No Capability:
Describe Capability before separator.")</f>
        <v>!! Error !! “Capability&amp;Mechanism” column: No Capability:
Describe Capability before separator.</v>
      </c>
      <c r="BE103" s="190"/>
      <c r="BF103" s="195"/>
      <c r="BG103" s="42"/>
      <c r="BH103" s="190"/>
      <c r="BI103" s="196"/>
      <c r="BJ103" s="42"/>
      <c r="BK103" s="42"/>
      <c r="BL103" s="203"/>
      <c r="BM103" s="203"/>
      <c r="BN103" s="42"/>
      <c r="BO103" s="42"/>
      <c r="BP103" s="143"/>
      <c r="BQ103" s="143"/>
      <c r="BR103" s="192"/>
      <c r="BS103" s="192"/>
      <c r="BT103" s="192"/>
      <c r="BU103" s="192"/>
      <c r="BV103" s="192"/>
      <c r="BW103" s="192"/>
      <c r="BX103" s="146" t="str">
        <f t="shared" si="8"/>
        <v/>
      </c>
    </row>
    <row r="104">
      <c r="A104" s="106" t="str">
        <f t="shared" si="1"/>
        <v/>
      </c>
      <c r="B104" s="183" t="str">
        <f t="array" ref="B104">IF(ISBLANK($AE104), "-",INDEX(Circuits!A:A,SUMPRODUCT(EXACT($AE104,Circuits!$A:$A)*ROW(Circuits!$A:$A))))</f>
        <v>-</v>
      </c>
      <c r="C104" s="183" t="str">
        <f t="array" ref="C104">IF(ISBLANK($AE104), "-",INDEX(Circuits!B:B,SUMPRODUCT(EXACT($AE104,Circuits!$A:$A)*ROW(Circuits!$A:$A))))</f>
        <v>-</v>
      </c>
      <c r="D104" s="183" t="str">
        <f t="array" ref="D104">IF(ISBLANK($AE104), "-",INDEX(Circuits!C:C,SUMPRODUCT(EXACT($AE104,Circuits!$A:$A)*ROW(Circuits!$A:$A))))</f>
        <v>-</v>
      </c>
      <c r="E104" s="183" t="str">
        <f t="array" ref="E104">IF(ISBLANK($AE104), "-",INDEX(Circuits!D:D,SUMPRODUCT(EXACT($AE104,Circuits!$A:$A)*ROW(Circuits!$A:$A))))</f>
        <v>-</v>
      </c>
      <c r="F104" s="183" t="str">
        <f t="array" ref="F104">IF(ISBLANK($AE104), "-",INDEX(Circuits!E:E,SUMPRODUCT(EXACT($AE104,Circuits!$A:$A)*ROW(Circuits!$A:$A))))</f>
        <v>-</v>
      </c>
      <c r="G104" s="183" t="str">
        <f t="array" ref="G104">IF(ISBLANK($AE104), "-",INDEX(Circuits!F:F,SUMPRODUCT(EXACT($AE104,Circuits!$A:$A)*ROW(Circuits!$A:$A))))</f>
        <v>-</v>
      </c>
      <c r="H104" s="183" t="str">
        <f t="array" ref="H104">IF(ISBLANK($AE104), "-",INDEX(Circuits!G:G,SUMPRODUCT(EXACT($AE104,Circuits!$A:$A)*ROW(Circuits!$A:$A))))</f>
        <v>-</v>
      </c>
      <c r="I104" s="183" t="str">
        <f t="array" ref="I104">IF(ISBLANK($AE104), "-",INDEX(Circuits!H:H,SUMPRODUCT(EXACT($AE104,Circuits!$A:$A)*ROW(Circuits!$A:$A))))</f>
        <v>-</v>
      </c>
      <c r="J104" s="183" t="str">
        <f t="array" ref="J104">IF(ISBLANK($AE104), "-",INDEX(Circuits!I:I,SUMPRODUCT(EXACT($AE104,Circuits!$A:$A)*ROW(Circuits!$A:$A))))</f>
        <v>-</v>
      </c>
      <c r="K104" s="183" t="str">
        <f t="array" ref="K104">IF(ISBLANK($AE104), "-",INDEX(Circuits!J:J,SUMPRODUCT(EXACT($AE104,Circuits!$A:$A)*ROW(Circuits!$A:$A))))</f>
        <v>-</v>
      </c>
      <c r="L104" s="183" t="str">
        <f t="array" ref="L104">IF(ISBLANK($AE104), "-",INDEX(Circuits!K:K,SUMPRODUCT(EXACT($AE104,Circuits!$A:$A)*ROW(Circuits!$A:$A))))</f>
        <v>-</v>
      </c>
      <c r="M104" s="183" t="str">
        <f t="array" ref="M104">IF(ISBLANK($AE104), "-",INDEX(Circuits!L:L,SUMPRODUCT(EXACT($AE104,Circuits!$A:$A)*ROW(Circuits!$A:$A))))</f>
        <v>-</v>
      </c>
      <c r="N104" s="183" t="str">
        <f t="array" ref="N104">IF(ISBLANK($AE104), "-",INDEX(Circuits!M:M,SUMPRODUCT(EXACT($AE104,Circuits!$A:$A)*ROW(Circuits!$A:$A))))</f>
        <v>-</v>
      </c>
      <c r="O104" s="183" t="str">
        <f t="array" ref="O104">IF(ISBLANK($AE104), "-",INDEX(Circuits!N:N,SUMPRODUCT(EXACT($AE104,Circuits!$A:$A)*ROW(Circuits!$A:$A))))</f>
        <v>-</v>
      </c>
      <c r="P104" s="183" t="str">
        <f t="array" ref="P104">IF(ISBLANK($AE104), "-",INDEX(Circuits!O:O,SUMPRODUCT(EXACT($AE104,Circuits!$A:$A)*ROW(Circuits!$A:$A))))</f>
        <v>-</v>
      </c>
      <c r="Q104" s="183" t="str">
        <f t="array" ref="Q104">IF(ISBLANK($AE104), "-",INDEX(Circuits!P:P,SUMPRODUCT(EXACT($AE104,Circuits!$A:$A)*ROW(Circuits!$A:$A))))</f>
        <v>-</v>
      </c>
      <c r="R104" s="183" t="str">
        <f t="array" ref="R104">IF(ISBLANK($AE104), "-",INDEX(Circuits!Q:Q,SUMPRODUCT(EXACT($AE104,Circuits!$A:$A)*ROW(Circuits!$A:$A))))</f>
        <v>-</v>
      </c>
      <c r="S104" s="183" t="str">
        <f t="array" ref="S104">IF(ISBLANK($AE104), "-",INDEX(Circuits!R:R,SUMPRODUCT(EXACT($AE104,Circuits!$A:$A)*ROW(Circuits!$A:$A))))</f>
        <v>-</v>
      </c>
      <c r="T104" s="183" t="str">
        <f t="array" ref="T104">IF(ISBLANK($AE104), "-",INDEX(Circuits!S:S,SUMPRODUCT(EXACT($AE104,Circuits!$A:$A)*ROW(Circuits!$A:$A))))</f>
        <v>-</v>
      </c>
      <c r="U104" s="183" t="str">
        <f t="array" ref="U104">IF(ISBLANK($AE104), "-",INDEX(Circuits!T:T,SUMPRODUCT(EXACT($AE104,Circuits!$A:$A)*ROW(Circuits!$A:$A))))</f>
        <v>-</v>
      </c>
      <c r="V104" s="183" t="str">
        <f t="array" ref="V104">IF(ISBLANK($AE104), "-",INDEX(Circuits!U:U,SUMPRODUCT(EXACT($AE104,Circuits!$A:$A)*ROW(Circuits!$A:$A))))</f>
        <v>-</v>
      </c>
      <c r="W104" s="183" t="str">
        <f t="array" ref="W104">IF(ISBLANK($AE104), "-",INDEX(Circuits!V:V,SUMPRODUCT(EXACT($AE104,Circuits!$A:$A)*ROW(Circuits!$A:$A))))</f>
        <v>-</v>
      </c>
      <c r="X104" s="183" t="str">
        <f t="array" ref="X104">IF(ISBLANK($AE104), "-",INDEX(Circuits!W:W,SUMPRODUCT(EXACT($AE104,Circuits!$A:$A)*ROW(Circuits!$A:$A))))</f>
        <v>-</v>
      </c>
      <c r="Y104" s="183" t="str">
        <f t="array" ref="Y104">IF(ISBLANK($AE104), "-",INDEX(Circuits!X:X,SUMPRODUCT(EXACT($AE104,Circuits!$A:$A)*ROW(Circuits!$A:$A))))</f>
        <v>-</v>
      </c>
      <c r="Z104" s="108" t="str">
        <f>IFERROR(__xludf.DUMMYFUNCTION("IFNA(CONCATENATE(UNIQUE(FILTER(Connections!R:R,Connections!A:A=B104))),""-"")"),"-")</f>
        <v>-</v>
      </c>
      <c r="AA104" s="119" t="str">
        <f t="array" ref="AA104">IF(ISBLANK($AE104), "-",INDEX(Circuits!Y:Y,SUMPRODUCT(EXACT($AE104,Circuits!$A:$A)*ROW(Circuits!$A:$A))))</f>
        <v>-</v>
      </c>
      <c r="AB104" s="121" t="str">
        <f t="array" ref="AB104">IF(ISBLANK($AE104), "-",INDEX(Circuits!Z:Z,SUMPRODUCT(EXACT($AE104,Circuits!$A:$A)*ROW(Circuits!$A:$A))))</f>
        <v>-</v>
      </c>
      <c r="AC104" s="194"/>
      <c r="AD104" s="194"/>
      <c r="AE104" s="40"/>
      <c r="AF104" s="43"/>
      <c r="AG104" s="126" t="str">
        <f>IFERROR(__xludf.DUMMYFUNCTION("IF(ISBLANK(AF104), """", TEXTJOIN(CHAR(10),TRUE,ARRAYFORMULA(IF(ISERROR(SEARCH(SPLIT(AF104, "";""), $Z104)), ""x"", ""-""))))"),"")</f>
        <v/>
      </c>
      <c r="AH104" s="127" t="str">
        <f>IFERROR(__xludf.DUMMYFUNCTION("IF(ISBLANK(AK104), """", TEXTJOIN("";"" &amp; CHAR(10), TRUE, UNIQUE(SPLIT(AK104, "";"" &amp; CHAR(10)), TRUE))&amp;"";"")"),"")</f>
        <v/>
      </c>
      <c r="AI104" s="128" t="str">
        <f>IFERROR(__xludf.DUMMYFUNCTION("IF(ISBLANK(AD104), IF(ISBLANK(AE104),,IFNA(TEXTJOIN("";"" &amp; CHAR(10), TRUE, FILTER(AE:AE, SEARCH(AE104&amp;"";"", AJ:AJ)))&amp;"";"", """")), TEXTJOIN("";"" &amp; CHAR(10), TRUE, UNIQUE(SPLIT(AH104 &amp; "";"" &amp; AH104 &amp; "";"" &amp; AL104, "";"" &amp; CHAR(10)), TRUE, TRUE))&amp;"";"&amp;""")"),"")</f>
        <v/>
      </c>
      <c r="AJ104" s="126" t="str">
        <f>IFERROR(__xludf.DUMMYFUNCTION("IF(AN104="""", """", TEXTJOIN("";"" &amp; CHAR(10), TRUE, UNIQUE(SPLIT(AH104 &amp; "";"" &amp; AH104 &amp; "";"" &amp; AN104, "";"" &amp; CHAR(10)), TRUE, TRUE))&amp;"";"")"),"")</f>
        <v/>
      </c>
      <c r="AK104" s="129" t="str">
        <f>IFERROR(__xludf.DUMMYFUNCTION("IF(ISBLANK(AD104), IF(ISBLANK(AE104),,AE104 &amp; "";""), TEXTJOIN(CHAR(10), TRUE, ARRAYFORMULA(VLOOKUP(SPLIT(AD104, "";"" &amp; CHAR(10)), $AC:$AH, 6, FALSE))))"),"")</f>
        <v/>
      </c>
      <c r="AL104" s="130" t="str">
        <f>IFERROR(__xludf.DUMMYFUNCTION("IF(AM104="""", """", TEXTJOIN("";"" &amp; CHAR(10), TRUE, UNIQUE(SPLIT(AM104, "";"" &amp; CHAR(10)), TRUE))&amp;"";"")"),"")</f>
        <v/>
      </c>
      <c r="AM104" s="130" t="str">
        <f>IFERROR(__xludf.DUMMYFUNCTION("IF(ISBLANK(AD104), """", TEXTJOIN(CHAR(10), TRUE, ARRAYFORMULA(VLOOKUP(SPLIT(AH104, "";"" &amp; CHAR(10)), $AE:$AI, 5, FALSE)), AF104))"),"")</f>
        <v/>
      </c>
      <c r="AN104" s="132" t="str">
        <f>IFERROR(__xludf.DUMMYFUNCTION("IF(ISBLANK(AO104), """", TEXTJOIN("";"" &amp; CHAR(10), TRUE, UNIQUE(SPLIT(AO104, "";"" &amp; CHAR(10)), TRUE))&amp;"";"")"),"")</f>
        <v/>
      </c>
      <c r="AO104" s="134" t="str">
        <f>IFERROR(__xludf.DUMMYFUNCTION("IF(ISBLANK(AD104), AF104, TEXTJOIN(CHAR(10), TRUE, ARRAYFORMULA(VLOOKUP(SPLIT(AD104, "";"" &amp; CHAR(10)), $AC:$AN, 12, FALSE))))"),"")</f>
        <v/>
      </c>
      <c r="AP104" s="130" t="str">
        <f>IF(ISBLANK(AE104),,IF(IFERROR(SEARCH(AE104&amp;";",Circuits!$AO$2),0),TRUE,FALSE))</f>
        <v/>
      </c>
      <c r="AQ104" s="130" t="str">
        <f t="shared" si="2"/>
        <v/>
      </c>
      <c r="AR104" s="130" t="str">
        <f t="shared" si="3"/>
        <v/>
      </c>
      <c r="AS104" s="136" t="str">
        <f>IFERROR(__xludf.DUMMYFUNCTION("IF(AH104="""",,SUM(ARRAYFORMULA(IF(IFERROR(SEARCH(SPLIT(AH104,CHAR(10)),Circuits!$AO$2),0)&gt;0,0,1))))"),"")</f>
        <v/>
      </c>
      <c r="AT104" s="138" t="str">
        <f t="shared" si="4"/>
        <v/>
      </c>
      <c r="AU104" s="138" t="str">
        <f t="shared" si="5"/>
        <v/>
      </c>
      <c r="AV104" s="130" t="str">
        <f>IFERROR(__xludf.DUMMYFUNCTION("IF(AI104="""",,TEXTJOIN("", "",TRUE,ARRAYFORMULA(VLOOKUP(SPLIT(AI104,"";""&amp;CHAR(10)),AE:AT,16,FALSE))))"),"")</f>
        <v/>
      </c>
      <c r="AW104" s="130" t="str">
        <f>IFERROR(__xludf.DUMMYFUNCTION("IF(ISBLANK(BK104),,TEXTJOIN("", "",TRUE,ARRAYFORMULA(VLOOKUP(IFERROR(REGEXEXTRACT(SPLIT(BK104,"";""&amp;CHAR(10)),""\[(.+)\]"")),AE:AT,16,false))))"),"")</f>
        <v/>
      </c>
      <c r="AX104" s="139" t="str">
        <f t="shared" si="6"/>
        <v/>
      </c>
      <c r="AY104" s="139" t="str">
        <f t="shared" si="7"/>
        <v/>
      </c>
      <c r="AZ104" s="106" t="str">
        <f>IFERROR(__xludf.DUMMYFUNCTION("IF(ISBLANK(AD104), BC104, TEXTJOIN(CHAR(10) &amp; CHAR(10), TRUE, ARRAYFORMULA(VLOOKUP(SPLIT(AD104, "";"" &amp; CHAR(10)), $AC:$AY, 23, FALSE))))"),"")</f>
        <v/>
      </c>
      <c r="BA104" s="140" t="s">
        <v>66</v>
      </c>
      <c r="BB104" s="190"/>
      <c r="BC104" s="196"/>
      <c r="BD104" s="106" t="str">
        <f>IFERROR(__xludf.DUMMYFUNCTION("IF(IFERROR(SEARCH(""&lt;&lt;mechanism to realize the capability&gt;&gt;"",BA104),0)=0,
 ""!! Error !! “Capability&amp;Mechanism” column: Invalid Separator:"" &amp; CHAR(10) &amp; ""Insert separator “&lt;&lt;mechanism to realize the capability&gt;&gt;.”"",
 IF(
  LEN(TRIM(CLEAN(
    INDEX(
 "&amp;"     SPLIT(BA104,""&lt;&lt;mechanism to realize the capability&gt;&gt;"",FALSE,FALSE),
      1
    )
  )))=0,
  ""!! Error !! “Capability&amp;Mechanism” column: No Capability:""  &amp; CHAR(10) &amp; ""Describe Capability before separator."",
  INDEX(
    SPLIT(BA104,""&lt;&lt;mechani"&amp;"sm to realize the capability&gt;&gt;"",FALSE,FALSE),
    1
  )
 )
)
"),"!! Error !! “Capability&amp;Mechanism” column: No Capability:
Describe Capability before separator.")</f>
        <v>!! Error !! “Capability&amp;Mechanism” column: No Capability:
Describe Capability before separator.</v>
      </c>
      <c r="BE104" s="190"/>
      <c r="BF104" s="195"/>
      <c r="BG104" s="42"/>
      <c r="BH104" s="190"/>
      <c r="BI104" s="196"/>
      <c r="BJ104" s="42"/>
      <c r="BK104" s="42"/>
      <c r="BL104" s="203"/>
      <c r="BM104" s="203"/>
      <c r="BN104" s="42"/>
      <c r="BO104" s="42"/>
      <c r="BP104" s="143"/>
      <c r="BQ104" s="143"/>
      <c r="BR104" s="192"/>
      <c r="BS104" s="192"/>
      <c r="BT104" s="192"/>
      <c r="BU104" s="192"/>
      <c r="BV104" s="192"/>
      <c r="BW104" s="192"/>
      <c r="BX104" s="146" t="str">
        <f t="shared" si="8"/>
        <v/>
      </c>
    </row>
    <row r="105">
      <c r="A105" s="106" t="str">
        <f t="shared" si="1"/>
        <v/>
      </c>
      <c r="B105" s="183" t="str">
        <f t="array" ref="B105">IF(ISBLANK($AE105), "-",INDEX(Circuits!A:A,SUMPRODUCT(EXACT($AE105,Circuits!$A:$A)*ROW(Circuits!$A:$A))))</f>
        <v>-</v>
      </c>
      <c r="C105" s="183" t="str">
        <f t="array" ref="C105">IF(ISBLANK($AE105), "-",INDEX(Circuits!B:B,SUMPRODUCT(EXACT($AE105,Circuits!$A:$A)*ROW(Circuits!$A:$A))))</f>
        <v>-</v>
      </c>
      <c r="D105" s="183" t="str">
        <f t="array" ref="D105">IF(ISBLANK($AE105), "-",INDEX(Circuits!C:C,SUMPRODUCT(EXACT($AE105,Circuits!$A:$A)*ROW(Circuits!$A:$A))))</f>
        <v>-</v>
      </c>
      <c r="E105" s="183" t="str">
        <f t="array" ref="E105">IF(ISBLANK($AE105), "-",INDEX(Circuits!D:D,SUMPRODUCT(EXACT($AE105,Circuits!$A:$A)*ROW(Circuits!$A:$A))))</f>
        <v>-</v>
      </c>
      <c r="F105" s="183" t="str">
        <f t="array" ref="F105">IF(ISBLANK($AE105), "-",INDEX(Circuits!E:E,SUMPRODUCT(EXACT($AE105,Circuits!$A:$A)*ROW(Circuits!$A:$A))))</f>
        <v>-</v>
      </c>
      <c r="G105" s="183" t="str">
        <f t="array" ref="G105">IF(ISBLANK($AE105), "-",INDEX(Circuits!F:F,SUMPRODUCT(EXACT($AE105,Circuits!$A:$A)*ROW(Circuits!$A:$A))))</f>
        <v>-</v>
      </c>
      <c r="H105" s="183" t="str">
        <f t="array" ref="H105">IF(ISBLANK($AE105), "-",INDEX(Circuits!G:G,SUMPRODUCT(EXACT($AE105,Circuits!$A:$A)*ROW(Circuits!$A:$A))))</f>
        <v>-</v>
      </c>
      <c r="I105" s="183" t="str">
        <f t="array" ref="I105">IF(ISBLANK($AE105), "-",INDEX(Circuits!H:H,SUMPRODUCT(EXACT($AE105,Circuits!$A:$A)*ROW(Circuits!$A:$A))))</f>
        <v>-</v>
      </c>
      <c r="J105" s="183" t="str">
        <f t="array" ref="J105">IF(ISBLANK($AE105), "-",INDEX(Circuits!I:I,SUMPRODUCT(EXACT($AE105,Circuits!$A:$A)*ROW(Circuits!$A:$A))))</f>
        <v>-</v>
      </c>
      <c r="K105" s="183" t="str">
        <f t="array" ref="K105">IF(ISBLANK($AE105), "-",INDEX(Circuits!J:J,SUMPRODUCT(EXACT($AE105,Circuits!$A:$A)*ROW(Circuits!$A:$A))))</f>
        <v>-</v>
      </c>
      <c r="L105" s="183" t="str">
        <f t="array" ref="L105">IF(ISBLANK($AE105), "-",INDEX(Circuits!K:K,SUMPRODUCT(EXACT($AE105,Circuits!$A:$A)*ROW(Circuits!$A:$A))))</f>
        <v>-</v>
      </c>
      <c r="M105" s="183" t="str">
        <f t="array" ref="M105">IF(ISBLANK($AE105), "-",INDEX(Circuits!L:L,SUMPRODUCT(EXACT($AE105,Circuits!$A:$A)*ROW(Circuits!$A:$A))))</f>
        <v>-</v>
      </c>
      <c r="N105" s="183" t="str">
        <f t="array" ref="N105">IF(ISBLANK($AE105), "-",INDEX(Circuits!M:M,SUMPRODUCT(EXACT($AE105,Circuits!$A:$A)*ROW(Circuits!$A:$A))))</f>
        <v>-</v>
      </c>
      <c r="O105" s="183" t="str">
        <f t="array" ref="O105">IF(ISBLANK($AE105), "-",INDEX(Circuits!N:N,SUMPRODUCT(EXACT($AE105,Circuits!$A:$A)*ROW(Circuits!$A:$A))))</f>
        <v>-</v>
      </c>
      <c r="P105" s="183" t="str">
        <f t="array" ref="P105">IF(ISBLANK($AE105), "-",INDEX(Circuits!O:O,SUMPRODUCT(EXACT($AE105,Circuits!$A:$A)*ROW(Circuits!$A:$A))))</f>
        <v>-</v>
      </c>
      <c r="Q105" s="183" t="str">
        <f t="array" ref="Q105">IF(ISBLANK($AE105), "-",INDEX(Circuits!P:P,SUMPRODUCT(EXACT($AE105,Circuits!$A:$A)*ROW(Circuits!$A:$A))))</f>
        <v>-</v>
      </c>
      <c r="R105" s="183" t="str">
        <f t="array" ref="R105">IF(ISBLANK($AE105), "-",INDEX(Circuits!Q:Q,SUMPRODUCT(EXACT($AE105,Circuits!$A:$A)*ROW(Circuits!$A:$A))))</f>
        <v>-</v>
      </c>
      <c r="S105" s="183" t="str">
        <f t="array" ref="S105">IF(ISBLANK($AE105), "-",INDEX(Circuits!R:R,SUMPRODUCT(EXACT($AE105,Circuits!$A:$A)*ROW(Circuits!$A:$A))))</f>
        <v>-</v>
      </c>
      <c r="T105" s="183" t="str">
        <f t="array" ref="T105">IF(ISBLANK($AE105), "-",INDEX(Circuits!S:S,SUMPRODUCT(EXACT($AE105,Circuits!$A:$A)*ROW(Circuits!$A:$A))))</f>
        <v>-</v>
      </c>
      <c r="U105" s="183" t="str">
        <f t="array" ref="U105">IF(ISBLANK($AE105), "-",INDEX(Circuits!T:T,SUMPRODUCT(EXACT($AE105,Circuits!$A:$A)*ROW(Circuits!$A:$A))))</f>
        <v>-</v>
      </c>
      <c r="V105" s="183" t="str">
        <f t="array" ref="V105">IF(ISBLANK($AE105), "-",INDEX(Circuits!U:U,SUMPRODUCT(EXACT($AE105,Circuits!$A:$A)*ROW(Circuits!$A:$A))))</f>
        <v>-</v>
      </c>
      <c r="W105" s="183" t="str">
        <f t="array" ref="W105">IF(ISBLANK($AE105), "-",INDEX(Circuits!V:V,SUMPRODUCT(EXACT($AE105,Circuits!$A:$A)*ROW(Circuits!$A:$A))))</f>
        <v>-</v>
      </c>
      <c r="X105" s="183" t="str">
        <f t="array" ref="X105">IF(ISBLANK($AE105), "-",INDEX(Circuits!W:W,SUMPRODUCT(EXACT($AE105,Circuits!$A:$A)*ROW(Circuits!$A:$A))))</f>
        <v>-</v>
      </c>
      <c r="Y105" s="183" t="str">
        <f t="array" ref="Y105">IF(ISBLANK($AE105), "-",INDEX(Circuits!X:X,SUMPRODUCT(EXACT($AE105,Circuits!$A:$A)*ROW(Circuits!$A:$A))))</f>
        <v>-</v>
      </c>
      <c r="Z105" s="108" t="str">
        <f>IFERROR(__xludf.DUMMYFUNCTION("IFNA(CONCATENATE(UNIQUE(FILTER(Connections!R:R,Connections!A:A=B105))),""-"")"),"-")</f>
        <v>-</v>
      </c>
      <c r="AA105" s="119" t="str">
        <f t="array" ref="AA105">IF(ISBLANK($AE105), "-",INDEX(Circuits!Y:Y,SUMPRODUCT(EXACT($AE105,Circuits!$A:$A)*ROW(Circuits!$A:$A))))</f>
        <v>-</v>
      </c>
      <c r="AB105" s="121" t="str">
        <f t="array" ref="AB105">IF(ISBLANK($AE105), "-",INDEX(Circuits!Z:Z,SUMPRODUCT(EXACT($AE105,Circuits!$A:$A)*ROW(Circuits!$A:$A))))</f>
        <v>-</v>
      </c>
      <c r="AC105" s="194"/>
      <c r="AD105" s="194"/>
      <c r="AE105" s="40"/>
      <c r="AF105" s="43"/>
      <c r="AG105" s="126" t="str">
        <f>IFERROR(__xludf.DUMMYFUNCTION("IF(ISBLANK(AF105), """", TEXTJOIN(CHAR(10),TRUE,ARRAYFORMULA(IF(ISERROR(SEARCH(SPLIT(AF105, "";""), $Z105)), ""x"", ""-""))))"),"")</f>
        <v/>
      </c>
      <c r="AH105" s="127" t="str">
        <f>IFERROR(__xludf.DUMMYFUNCTION("IF(ISBLANK(AK105), """", TEXTJOIN("";"" &amp; CHAR(10), TRUE, UNIQUE(SPLIT(AK105, "";"" &amp; CHAR(10)), TRUE))&amp;"";"")"),"")</f>
        <v/>
      </c>
      <c r="AI105" s="128" t="str">
        <f>IFERROR(__xludf.DUMMYFUNCTION("IF(ISBLANK(AD105), IF(ISBLANK(AE105),,IFNA(TEXTJOIN("";"" &amp; CHAR(10), TRUE, FILTER(AE:AE, SEARCH(AE105&amp;"";"", AJ:AJ)))&amp;"";"", """")), TEXTJOIN("";"" &amp; CHAR(10), TRUE, UNIQUE(SPLIT(AH105 &amp; "";"" &amp; AH105 &amp; "";"" &amp; AL105, "";"" &amp; CHAR(10)), TRUE, TRUE))&amp;"";"&amp;""")"),"")</f>
        <v/>
      </c>
      <c r="AJ105" s="126" t="str">
        <f>IFERROR(__xludf.DUMMYFUNCTION("IF(AN105="""", """", TEXTJOIN("";"" &amp; CHAR(10), TRUE, UNIQUE(SPLIT(AH105 &amp; "";"" &amp; AH105 &amp; "";"" &amp; AN105, "";"" &amp; CHAR(10)), TRUE, TRUE))&amp;"";"")"),"")</f>
        <v/>
      </c>
      <c r="AK105" s="129" t="str">
        <f>IFERROR(__xludf.DUMMYFUNCTION("IF(ISBLANK(AD105), IF(ISBLANK(AE105),,AE105 &amp; "";""), TEXTJOIN(CHAR(10), TRUE, ARRAYFORMULA(VLOOKUP(SPLIT(AD105, "";"" &amp; CHAR(10)), $AC:$AH, 6, FALSE))))"),"")</f>
        <v/>
      </c>
      <c r="AL105" s="130" t="str">
        <f>IFERROR(__xludf.DUMMYFUNCTION("IF(AM105="""", """", TEXTJOIN("";"" &amp; CHAR(10), TRUE, UNIQUE(SPLIT(AM105, "";"" &amp; CHAR(10)), TRUE))&amp;"";"")"),"")</f>
        <v/>
      </c>
      <c r="AM105" s="130" t="str">
        <f>IFERROR(__xludf.DUMMYFUNCTION("IF(ISBLANK(AD105), """", TEXTJOIN(CHAR(10), TRUE, ARRAYFORMULA(VLOOKUP(SPLIT(AH105, "";"" &amp; CHAR(10)), $AE:$AI, 5, FALSE)), AF105))"),"")</f>
        <v/>
      </c>
      <c r="AN105" s="132" t="str">
        <f>IFERROR(__xludf.DUMMYFUNCTION("IF(ISBLANK(AO105), """", TEXTJOIN("";"" &amp; CHAR(10), TRUE, UNIQUE(SPLIT(AO105, "";"" &amp; CHAR(10)), TRUE))&amp;"";"")"),"")</f>
        <v/>
      </c>
      <c r="AO105" s="134" t="str">
        <f>IFERROR(__xludf.DUMMYFUNCTION("IF(ISBLANK(AD105), AF105, TEXTJOIN(CHAR(10), TRUE, ARRAYFORMULA(VLOOKUP(SPLIT(AD105, "";"" &amp; CHAR(10)), $AC:$AN, 12, FALSE))))"),"")</f>
        <v/>
      </c>
      <c r="AP105" s="130" t="str">
        <f>IF(ISBLANK(AE105),,IF(IFERROR(SEARCH(AE105&amp;";",Circuits!$AO$2),0),TRUE,FALSE))</f>
        <v/>
      </c>
      <c r="AQ105" s="130" t="str">
        <f t="shared" si="2"/>
        <v/>
      </c>
      <c r="AR105" s="130" t="str">
        <f t="shared" si="3"/>
        <v/>
      </c>
      <c r="AS105" s="136" t="str">
        <f>IFERROR(__xludf.DUMMYFUNCTION("IF(AH105="""",,SUM(ARRAYFORMULA(IF(IFERROR(SEARCH(SPLIT(AH105,CHAR(10)),Circuits!$AO$2),0)&gt;0,0,1))))"),"")</f>
        <v/>
      </c>
      <c r="AT105" s="138" t="str">
        <f t="shared" si="4"/>
        <v/>
      </c>
      <c r="AU105" s="138" t="str">
        <f t="shared" si="5"/>
        <v/>
      </c>
      <c r="AV105" s="130" t="str">
        <f>IFERROR(__xludf.DUMMYFUNCTION("IF(AI105="""",,TEXTJOIN("", "",TRUE,ARRAYFORMULA(VLOOKUP(SPLIT(AI105,"";""&amp;CHAR(10)),AE:AT,16,FALSE))))"),"")</f>
        <v/>
      </c>
      <c r="AW105" s="130" t="str">
        <f>IFERROR(__xludf.DUMMYFUNCTION("IF(ISBLANK(BK105),,TEXTJOIN("", "",TRUE,ARRAYFORMULA(VLOOKUP(IFERROR(REGEXEXTRACT(SPLIT(BK105,"";""&amp;CHAR(10)),""\[(.+)\]"")),AE:AT,16,false))))"),"")</f>
        <v/>
      </c>
      <c r="AX105" s="139" t="str">
        <f t="shared" si="6"/>
        <v/>
      </c>
      <c r="AY105" s="139" t="str">
        <f t="shared" si="7"/>
        <v/>
      </c>
      <c r="AZ105" s="106" t="str">
        <f>IFERROR(__xludf.DUMMYFUNCTION("IF(ISBLANK(AD105), BC105, TEXTJOIN(CHAR(10) &amp; CHAR(10), TRUE, ARRAYFORMULA(VLOOKUP(SPLIT(AD105, "";"" &amp; CHAR(10)), $AC:$AY, 23, FALSE))))"),"")</f>
        <v/>
      </c>
      <c r="BA105" s="140" t="s">
        <v>66</v>
      </c>
      <c r="BB105" s="190"/>
      <c r="BC105" s="196"/>
      <c r="BD105" s="106" t="str">
        <f>IFERROR(__xludf.DUMMYFUNCTION("IF(IFERROR(SEARCH(""&lt;&lt;mechanism to realize the capability&gt;&gt;"",BA105),0)=0,
 ""!! Error !! “Capability&amp;Mechanism” column: Invalid Separator:"" &amp; CHAR(10) &amp; ""Insert separator “&lt;&lt;mechanism to realize the capability&gt;&gt;.”"",
 IF(
  LEN(TRIM(CLEAN(
    INDEX(
 "&amp;"     SPLIT(BA105,""&lt;&lt;mechanism to realize the capability&gt;&gt;"",FALSE,FALSE),
      1
    )
  )))=0,
  ""!! Error !! “Capability&amp;Mechanism” column: No Capability:""  &amp; CHAR(10) &amp; ""Describe Capability before separator."",
  INDEX(
    SPLIT(BA105,""&lt;&lt;mechani"&amp;"sm to realize the capability&gt;&gt;"",FALSE,FALSE),
    1
  )
 )
)
"),"!! Error !! “Capability&amp;Mechanism” column: No Capability:
Describe Capability before separator.")</f>
        <v>!! Error !! “Capability&amp;Mechanism” column: No Capability:
Describe Capability before separator.</v>
      </c>
      <c r="BE105" s="190"/>
      <c r="BF105" s="195"/>
      <c r="BG105" s="42"/>
      <c r="BH105" s="190"/>
      <c r="BI105" s="196"/>
      <c r="BJ105" s="42"/>
      <c r="BK105" s="42"/>
      <c r="BL105" s="203"/>
      <c r="BM105" s="203"/>
      <c r="BN105" s="42"/>
      <c r="BO105" s="42"/>
      <c r="BP105" s="143"/>
      <c r="BQ105" s="143"/>
      <c r="BR105" s="192"/>
      <c r="BS105" s="192"/>
      <c r="BT105" s="192"/>
      <c r="BU105" s="192"/>
      <c r="BV105" s="192"/>
      <c r="BW105" s="192"/>
      <c r="BX105" s="146" t="str">
        <f t="shared" si="8"/>
        <v/>
      </c>
    </row>
    <row r="106">
      <c r="A106" s="106" t="str">
        <f t="shared" si="1"/>
        <v/>
      </c>
      <c r="B106" s="183" t="str">
        <f t="array" ref="B106">IF(ISBLANK($AE106), "-",INDEX(Circuits!A:A,SUMPRODUCT(EXACT($AE106,Circuits!$A:$A)*ROW(Circuits!$A:$A))))</f>
        <v>-</v>
      </c>
      <c r="C106" s="183" t="str">
        <f t="array" ref="C106">IF(ISBLANK($AE106), "-",INDEX(Circuits!B:B,SUMPRODUCT(EXACT($AE106,Circuits!$A:$A)*ROW(Circuits!$A:$A))))</f>
        <v>-</v>
      </c>
      <c r="D106" s="183" t="str">
        <f t="array" ref="D106">IF(ISBLANK($AE106), "-",INDEX(Circuits!C:C,SUMPRODUCT(EXACT($AE106,Circuits!$A:$A)*ROW(Circuits!$A:$A))))</f>
        <v>-</v>
      </c>
      <c r="E106" s="183" t="str">
        <f t="array" ref="E106">IF(ISBLANK($AE106), "-",INDEX(Circuits!D:D,SUMPRODUCT(EXACT($AE106,Circuits!$A:$A)*ROW(Circuits!$A:$A))))</f>
        <v>-</v>
      </c>
      <c r="F106" s="183" t="str">
        <f t="array" ref="F106">IF(ISBLANK($AE106), "-",INDEX(Circuits!E:E,SUMPRODUCT(EXACT($AE106,Circuits!$A:$A)*ROW(Circuits!$A:$A))))</f>
        <v>-</v>
      </c>
      <c r="G106" s="183" t="str">
        <f t="array" ref="G106">IF(ISBLANK($AE106), "-",INDEX(Circuits!F:F,SUMPRODUCT(EXACT($AE106,Circuits!$A:$A)*ROW(Circuits!$A:$A))))</f>
        <v>-</v>
      </c>
      <c r="H106" s="183" t="str">
        <f t="array" ref="H106">IF(ISBLANK($AE106), "-",INDEX(Circuits!G:G,SUMPRODUCT(EXACT($AE106,Circuits!$A:$A)*ROW(Circuits!$A:$A))))</f>
        <v>-</v>
      </c>
      <c r="I106" s="183" t="str">
        <f t="array" ref="I106">IF(ISBLANK($AE106), "-",INDEX(Circuits!H:H,SUMPRODUCT(EXACT($AE106,Circuits!$A:$A)*ROW(Circuits!$A:$A))))</f>
        <v>-</v>
      </c>
      <c r="J106" s="183" t="str">
        <f t="array" ref="J106">IF(ISBLANK($AE106), "-",INDEX(Circuits!I:I,SUMPRODUCT(EXACT($AE106,Circuits!$A:$A)*ROW(Circuits!$A:$A))))</f>
        <v>-</v>
      </c>
      <c r="K106" s="183" t="str">
        <f t="array" ref="K106">IF(ISBLANK($AE106), "-",INDEX(Circuits!J:J,SUMPRODUCT(EXACT($AE106,Circuits!$A:$A)*ROW(Circuits!$A:$A))))</f>
        <v>-</v>
      </c>
      <c r="L106" s="183" t="str">
        <f t="array" ref="L106">IF(ISBLANK($AE106), "-",INDEX(Circuits!K:K,SUMPRODUCT(EXACT($AE106,Circuits!$A:$A)*ROW(Circuits!$A:$A))))</f>
        <v>-</v>
      </c>
      <c r="M106" s="183" t="str">
        <f t="array" ref="M106">IF(ISBLANK($AE106), "-",INDEX(Circuits!L:L,SUMPRODUCT(EXACT($AE106,Circuits!$A:$A)*ROW(Circuits!$A:$A))))</f>
        <v>-</v>
      </c>
      <c r="N106" s="183" t="str">
        <f t="array" ref="N106">IF(ISBLANK($AE106), "-",INDEX(Circuits!M:M,SUMPRODUCT(EXACT($AE106,Circuits!$A:$A)*ROW(Circuits!$A:$A))))</f>
        <v>-</v>
      </c>
      <c r="O106" s="183" t="str">
        <f t="array" ref="O106">IF(ISBLANK($AE106), "-",INDEX(Circuits!N:N,SUMPRODUCT(EXACT($AE106,Circuits!$A:$A)*ROW(Circuits!$A:$A))))</f>
        <v>-</v>
      </c>
      <c r="P106" s="183" t="str">
        <f t="array" ref="P106">IF(ISBLANK($AE106), "-",INDEX(Circuits!O:O,SUMPRODUCT(EXACT($AE106,Circuits!$A:$A)*ROW(Circuits!$A:$A))))</f>
        <v>-</v>
      </c>
      <c r="Q106" s="183" t="str">
        <f t="array" ref="Q106">IF(ISBLANK($AE106), "-",INDEX(Circuits!P:P,SUMPRODUCT(EXACT($AE106,Circuits!$A:$A)*ROW(Circuits!$A:$A))))</f>
        <v>-</v>
      </c>
      <c r="R106" s="183" t="str">
        <f t="array" ref="R106">IF(ISBLANK($AE106), "-",INDEX(Circuits!Q:Q,SUMPRODUCT(EXACT($AE106,Circuits!$A:$A)*ROW(Circuits!$A:$A))))</f>
        <v>-</v>
      </c>
      <c r="S106" s="183" t="str">
        <f t="array" ref="S106">IF(ISBLANK($AE106), "-",INDEX(Circuits!R:R,SUMPRODUCT(EXACT($AE106,Circuits!$A:$A)*ROW(Circuits!$A:$A))))</f>
        <v>-</v>
      </c>
      <c r="T106" s="183" t="str">
        <f t="array" ref="T106">IF(ISBLANK($AE106), "-",INDEX(Circuits!S:S,SUMPRODUCT(EXACT($AE106,Circuits!$A:$A)*ROW(Circuits!$A:$A))))</f>
        <v>-</v>
      </c>
      <c r="U106" s="183" t="str">
        <f t="array" ref="U106">IF(ISBLANK($AE106), "-",INDEX(Circuits!T:T,SUMPRODUCT(EXACT($AE106,Circuits!$A:$A)*ROW(Circuits!$A:$A))))</f>
        <v>-</v>
      </c>
      <c r="V106" s="183" t="str">
        <f t="array" ref="V106">IF(ISBLANK($AE106), "-",INDEX(Circuits!U:U,SUMPRODUCT(EXACT($AE106,Circuits!$A:$A)*ROW(Circuits!$A:$A))))</f>
        <v>-</v>
      </c>
      <c r="W106" s="183" t="str">
        <f t="array" ref="W106">IF(ISBLANK($AE106), "-",INDEX(Circuits!V:V,SUMPRODUCT(EXACT($AE106,Circuits!$A:$A)*ROW(Circuits!$A:$A))))</f>
        <v>-</v>
      </c>
      <c r="X106" s="183" t="str">
        <f t="array" ref="X106">IF(ISBLANK($AE106), "-",INDEX(Circuits!W:W,SUMPRODUCT(EXACT($AE106,Circuits!$A:$A)*ROW(Circuits!$A:$A))))</f>
        <v>-</v>
      </c>
      <c r="Y106" s="183" t="str">
        <f t="array" ref="Y106">IF(ISBLANK($AE106), "-",INDEX(Circuits!X:X,SUMPRODUCT(EXACT($AE106,Circuits!$A:$A)*ROW(Circuits!$A:$A))))</f>
        <v>-</v>
      </c>
      <c r="Z106" s="108" t="str">
        <f>IFERROR(__xludf.DUMMYFUNCTION("IFNA(CONCATENATE(UNIQUE(FILTER(Connections!R:R,Connections!A:A=B106))),""-"")"),"-")</f>
        <v>-</v>
      </c>
      <c r="AA106" s="119" t="str">
        <f t="array" ref="AA106">IF(ISBLANK($AE106), "-",INDEX(Circuits!Y:Y,SUMPRODUCT(EXACT($AE106,Circuits!$A:$A)*ROW(Circuits!$A:$A))))</f>
        <v>-</v>
      </c>
      <c r="AB106" s="121" t="str">
        <f t="array" ref="AB106">IF(ISBLANK($AE106), "-",INDEX(Circuits!Z:Z,SUMPRODUCT(EXACT($AE106,Circuits!$A:$A)*ROW(Circuits!$A:$A))))</f>
        <v>-</v>
      </c>
      <c r="AC106" s="194"/>
      <c r="AD106" s="194"/>
      <c r="AE106" s="40"/>
      <c r="AF106" s="43"/>
      <c r="AG106" s="126" t="str">
        <f>IFERROR(__xludf.DUMMYFUNCTION("IF(ISBLANK(AF106), """", TEXTJOIN(CHAR(10),TRUE,ARRAYFORMULA(IF(ISERROR(SEARCH(SPLIT(AF106, "";""), $Z106)), ""x"", ""-""))))"),"")</f>
        <v/>
      </c>
      <c r="AH106" s="127" t="str">
        <f>IFERROR(__xludf.DUMMYFUNCTION("IF(ISBLANK(AK106), """", TEXTJOIN("";"" &amp; CHAR(10), TRUE, UNIQUE(SPLIT(AK106, "";"" &amp; CHAR(10)), TRUE))&amp;"";"")"),"")</f>
        <v/>
      </c>
      <c r="AI106" s="128" t="str">
        <f>IFERROR(__xludf.DUMMYFUNCTION("IF(ISBLANK(AD106), IF(ISBLANK(AE106),,IFNA(TEXTJOIN("";"" &amp; CHAR(10), TRUE, FILTER(AE:AE, SEARCH(AE106&amp;"";"", AJ:AJ)))&amp;"";"", """")), TEXTJOIN("";"" &amp; CHAR(10), TRUE, UNIQUE(SPLIT(AH106 &amp; "";"" &amp; AH106 &amp; "";"" &amp; AL106, "";"" &amp; CHAR(10)), TRUE, TRUE))&amp;"";"&amp;""")"),"")</f>
        <v/>
      </c>
      <c r="AJ106" s="126" t="str">
        <f>IFERROR(__xludf.DUMMYFUNCTION("IF(AN106="""", """", TEXTJOIN("";"" &amp; CHAR(10), TRUE, UNIQUE(SPLIT(AH106 &amp; "";"" &amp; AH106 &amp; "";"" &amp; AN106, "";"" &amp; CHAR(10)), TRUE, TRUE))&amp;"";"")"),"")</f>
        <v/>
      </c>
      <c r="AK106" s="129" t="str">
        <f>IFERROR(__xludf.DUMMYFUNCTION("IF(ISBLANK(AD106), IF(ISBLANK(AE106),,AE106 &amp; "";""), TEXTJOIN(CHAR(10), TRUE, ARRAYFORMULA(VLOOKUP(SPLIT(AD106, "";"" &amp; CHAR(10)), $AC:$AH, 6, FALSE))))"),"")</f>
        <v/>
      </c>
      <c r="AL106" s="130" t="str">
        <f>IFERROR(__xludf.DUMMYFUNCTION("IF(AM106="""", """", TEXTJOIN("";"" &amp; CHAR(10), TRUE, UNIQUE(SPLIT(AM106, "";"" &amp; CHAR(10)), TRUE))&amp;"";"")"),"")</f>
        <v/>
      </c>
      <c r="AM106" s="130" t="str">
        <f>IFERROR(__xludf.DUMMYFUNCTION("IF(ISBLANK(AD106), """", TEXTJOIN(CHAR(10), TRUE, ARRAYFORMULA(VLOOKUP(SPLIT(AH106, "";"" &amp; CHAR(10)), $AE:$AI, 5, FALSE)), AF106))"),"")</f>
        <v/>
      </c>
      <c r="AN106" s="132" t="str">
        <f>IFERROR(__xludf.DUMMYFUNCTION("IF(ISBLANK(AO106), """", TEXTJOIN("";"" &amp; CHAR(10), TRUE, UNIQUE(SPLIT(AO106, "";"" &amp; CHAR(10)), TRUE))&amp;"";"")"),"")</f>
        <v/>
      </c>
      <c r="AO106" s="134" t="str">
        <f>IFERROR(__xludf.DUMMYFUNCTION("IF(ISBLANK(AD106), AF106, TEXTJOIN(CHAR(10), TRUE, ARRAYFORMULA(VLOOKUP(SPLIT(AD106, "";"" &amp; CHAR(10)), $AC:$AN, 12, FALSE))))"),"")</f>
        <v/>
      </c>
      <c r="AP106" s="130" t="str">
        <f>IF(ISBLANK(AE106),,IF(IFERROR(SEARCH(AE106&amp;";",Circuits!$AO$2),0),TRUE,FALSE))</f>
        <v/>
      </c>
      <c r="AQ106" s="130" t="str">
        <f t="shared" si="2"/>
        <v/>
      </c>
      <c r="AR106" s="130" t="str">
        <f t="shared" si="3"/>
        <v/>
      </c>
      <c r="AS106" s="136" t="str">
        <f>IFERROR(__xludf.DUMMYFUNCTION("IF(AH106="""",,SUM(ARRAYFORMULA(IF(IFERROR(SEARCH(SPLIT(AH106,CHAR(10)),Circuits!$AO$2),0)&gt;0,0,1))))"),"")</f>
        <v/>
      </c>
      <c r="AT106" s="138" t="str">
        <f t="shared" si="4"/>
        <v/>
      </c>
      <c r="AU106" s="138" t="str">
        <f t="shared" si="5"/>
        <v/>
      </c>
      <c r="AV106" s="130" t="str">
        <f>IFERROR(__xludf.DUMMYFUNCTION("IF(AI106="""",,TEXTJOIN("", "",TRUE,ARRAYFORMULA(VLOOKUP(SPLIT(AI106,"";""&amp;CHAR(10)),AE:AT,16,FALSE))))"),"")</f>
        <v/>
      </c>
      <c r="AW106" s="130" t="str">
        <f>IFERROR(__xludf.DUMMYFUNCTION("IF(ISBLANK(BK106),,TEXTJOIN("", "",TRUE,ARRAYFORMULA(VLOOKUP(IFERROR(REGEXEXTRACT(SPLIT(BK106,"";""&amp;CHAR(10)),""\[(.+)\]"")),AE:AT,16,false))))"),"")</f>
        <v/>
      </c>
      <c r="AX106" s="139" t="str">
        <f t="shared" si="6"/>
        <v/>
      </c>
      <c r="AY106" s="139" t="str">
        <f t="shared" si="7"/>
        <v/>
      </c>
      <c r="AZ106" s="106" t="str">
        <f>IFERROR(__xludf.DUMMYFUNCTION("IF(ISBLANK(AD106), BC106, TEXTJOIN(CHAR(10) &amp; CHAR(10), TRUE, ARRAYFORMULA(VLOOKUP(SPLIT(AD106, "";"" &amp; CHAR(10)), $AC:$AY, 23, FALSE))))"),"")</f>
        <v/>
      </c>
      <c r="BA106" s="140" t="s">
        <v>66</v>
      </c>
      <c r="BB106" s="190"/>
      <c r="BC106" s="196"/>
      <c r="BD106" s="106" t="str">
        <f>IFERROR(__xludf.DUMMYFUNCTION("IF(IFERROR(SEARCH(""&lt;&lt;mechanism to realize the capability&gt;&gt;"",BA106),0)=0,
 ""!! Error !! “Capability&amp;Mechanism” column: Invalid Separator:"" &amp; CHAR(10) &amp; ""Insert separator “&lt;&lt;mechanism to realize the capability&gt;&gt;.”"",
 IF(
  LEN(TRIM(CLEAN(
    INDEX(
 "&amp;"     SPLIT(BA106,""&lt;&lt;mechanism to realize the capability&gt;&gt;"",FALSE,FALSE),
      1
    )
  )))=0,
  ""!! Error !! “Capability&amp;Mechanism” column: No Capability:""  &amp; CHAR(10) &amp; ""Describe Capability before separator."",
  INDEX(
    SPLIT(BA106,""&lt;&lt;mechani"&amp;"sm to realize the capability&gt;&gt;"",FALSE,FALSE),
    1
  )
 )
)
"),"!! Error !! “Capability&amp;Mechanism” column: No Capability:
Describe Capability before separator.")</f>
        <v>!! Error !! “Capability&amp;Mechanism” column: No Capability:
Describe Capability before separator.</v>
      </c>
      <c r="BE106" s="190"/>
      <c r="BF106" s="195"/>
      <c r="BG106" s="42"/>
      <c r="BH106" s="190"/>
      <c r="BI106" s="196"/>
      <c r="BJ106" s="42"/>
      <c r="BK106" s="42"/>
      <c r="BL106" s="203"/>
      <c r="BM106" s="203"/>
      <c r="BN106" s="42"/>
      <c r="BO106" s="42"/>
      <c r="BP106" s="143"/>
      <c r="BQ106" s="143"/>
      <c r="BR106" s="192"/>
      <c r="BS106" s="192"/>
      <c r="BT106" s="192"/>
      <c r="BU106" s="192"/>
      <c r="BV106" s="192"/>
      <c r="BW106" s="192"/>
      <c r="BX106" s="146" t="str">
        <f t="shared" si="8"/>
        <v/>
      </c>
    </row>
    <row r="107">
      <c r="A107" s="106" t="str">
        <f t="shared" si="1"/>
        <v/>
      </c>
      <c r="B107" s="183" t="str">
        <f t="array" ref="B107">IF(ISBLANK($AE107), "-",INDEX(Circuits!A:A,SUMPRODUCT(EXACT($AE107,Circuits!$A:$A)*ROW(Circuits!$A:$A))))</f>
        <v>-</v>
      </c>
      <c r="C107" s="183" t="str">
        <f t="array" ref="C107">IF(ISBLANK($AE107), "-",INDEX(Circuits!B:B,SUMPRODUCT(EXACT($AE107,Circuits!$A:$A)*ROW(Circuits!$A:$A))))</f>
        <v>-</v>
      </c>
      <c r="D107" s="183" t="str">
        <f t="array" ref="D107">IF(ISBLANK($AE107), "-",INDEX(Circuits!C:C,SUMPRODUCT(EXACT($AE107,Circuits!$A:$A)*ROW(Circuits!$A:$A))))</f>
        <v>-</v>
      </c>
      <c r="E107" s="183" t="str">
        <f t="array" ref="E107">IF(ISBLANK($AE107), "-",INDEX(Circuits!D:D,SUMPRODUCT(EXACT($AE107,Circuits!$A:$A)*ROW(Circuits!$A:$A))))</f>
        <v>-</v>
      </c>
      <c r="F107" s="183" t="str">
        <f t="array" ref="F107">IF(ISBLANK($AE107), "-",INDEX(Circuits!E:E,SUMPRODUCT(EXACT($AE107,Circuits!$A:$A)*ROW(Circuits!$A:$A))))</f>
        <v>-</v>
      </c>
      <c r="G107" s="183" t="str">
        <f t="array" ref="G107">IF(ISBLANK($AE107), "-",INDEX(Circuits!F:F,SUMPRODUCT(EXACT($AE107,Circuits!$A:$A)*ROW(Circuits!$A:$A))))</f>
        <v>-</v>
      </c>
      <c r="H107" s="183" t="str">
        <f t="array" ref="H107">IF(ISBLANK($AE107), "-",INDEX(Circuits!G:G,SUMPRODUCT(EXACT($AE107,Circuits!$A:$A)*ROW(Circuits!$A:$A))))</f>
        <v>-</v>
      </c>
      <c r="I107" s="183" t="str">
        <f t="array" ref="I107">IF(ISBLANK($AE107), "-",INDEX(Circuits!H:H,SUMPRODUCT(EXACT($AE107,Circuits!$A:$A)*ROW(Circuits!$A:$A))))</f>
        <v>-</v>
      </c>
      <c r="J107" s="183" t="str">
        <f t="array" ref="J107">IF(ISBLANK($AE107), "-",INDEX(Circuits!I:I,SUMPRODUCT(EXACT($AE107,Circuits!$A:$A)*ROW(Circuits!$A:$A))))</f>
        <v>-</v>
      </c>
      <c r="K107" s="183" t="str">
        <f t="array" ref="K107">IF(ISBLANK($AE107), "-",INDEX(Circuits!J:J,SUMPRODUCT(EXACT($AE107,Circuits!$A:$A)*ROW(Circuits!$A:$A))))</f>
        <v>-</v>
      </c>
      <c r="L107" s="183" t="str">
        <f t="array" ref="L107">IF(ISBLANK($AE107), "-",INDEX(Circuits!K:K,SUMPRODUCT(EXACT($AE107,Circuits!$A:$A)*ROW(Circuits!$A:$A))))</f>
        <v>-</v>
      </c>
      <c r="M107" s="183" t="str">
        <f t="array" ref="M107">IF(ISBLANK($AE107), "-",INDEX(Circuits!L:L,SUMPRODUCT(EXACT($AE107,Circuits!$A:$A)*ROW(Circuits!$A:$A))))</f>
        <v>-</v>
      </c>
      <c r="N107" s="183" t="str">
        <f t="array" ref="N107">IF(ISBLANK($AE107), "-",INDEX(Circuits!M:M,SUMPRODUCT(EXACT($AE107,Circuits!$A:$A)*ROW(Circuits!$A:$A))))</f>
        <v>-</v>
      </c>
      <c r="O107" s="183" t="str">
        <f t="array" ref="O107">IF(ISBLANK($AE107), "-",INDEX(Circuits!N:N,SUMPRODUCT(EXACT($AE107,Circuits!$A:$A)*ROW(Circuits!$A:$A))))</f>
        <v>-</v>
      </c>
      <c r="P107" s="183" t="str">
        <f t="array" ref="P107">IF(ISBLANK($AE107), "-",INDEX(Circuits!O:O,SUMPRODUCT(EXACT($AE107,Circuits!$A:$A)*ROW(Circuits!$A:$A))))</f>
        <v>-</v>
      </c>
      <c r="Q107" s="183" t="str">
        <f t="array" ref="Q107">IF(ISBLANK($AE107), "-",INDEX(Circuits!P:P,SUMPRODUCT(EXACT($AE107,Circuits!$A:$A)*ROW(Circuits!$A:$A))))</f>
        <v>-</v>
      </c>
      <c r="R107" s="183" t="str">
        <f t="array" ref="R107">IF(ISBLANK($AE107), "-",INDEX(Circuits!Q:Q,SUMPRODUCT(EXACT($AE107,Circuits!$A:$A)*ROW(Circuits!$A:$A))))</f>
        <v>-</v>
      </c>
      <c r="S107" s="183" t="str">
        <f t="array" ref="S107">IF(ISBLANK($AE107), "-",INDEX(Circuits!R:R,SUMPRODUCT(EXACT($AE107,Circuits!$A:$A)*ROW(Circuits!$A:$A))))</f>
        <v>-</v>
      </c>
      <c r="T107" s="183" t="str">
        <f t="array" ref="T107">IF(ISBLANK($AE107), "-",INDEX(Circuits!S:S,SUMPRODUCT(EXACT($AE107,Circuits!$A:$A)*ROW(Circuits!$A:$A))))</f>
        <v>-</v>
      </c>
      <c r="U107" s="183" t="str">
        <f t="array" ref="U107">IF(ISBLANK($AE107), "-",INDEX(Circuits!T:T,SUMPRODUCT(EXACT($AE107,Circuits!$A:$A)*ROW(Circuits!$A:$A))))</f>
        <v>-</v>
      </c>
      <c r="V107" s="183" t="str">
        <f t="array" ref="V107">IF(ISBLANK($AE107), "-",INDEX(Circuits!U:U,SUMPRODUCT(EXACT($AE107,Circuits!$A:$A)*ROW(Circuits!$A:$A))))</f>
        <v>-</v>
      </c>
      <c r="W107" s="183" t="str">
        <f t="array" ref="W107">IF(ISBLANK($AE107), "-",INDEX(Circuits!V:V,SUMPRODUCT(EXACT($AE107,Circuits!$A:$A)*ROW(Circuits!$A:$A))))</f>
        <v>-</v>
      </c>
      <c r="X107" s="183" t="str">
        <f t="array" ref="X107">IF(ISBLANK($AE107), "-",INDEX(Circuits!W:W,SUMPRODUCT(EXACT($AE107,Circuits!$A:$A)*ROW(Circuits!$A:$A))))</f>
        <v>-</v>
      </c>
      <c r="Y107" s="183" t="str">
        <f t="array" ref="Y107">IF(ISBLANK($AE107), "-",INDEX(Circuits!X:X,SUMPRODUCT(EXACT($AE107,Circuits!$A:$A)*ROW(Circuits!$A:$A))))</f>
        <v>-</v>
      </c>
      <c r="Z107" s="108" t="str">
        <f>IFERROR(__xludf.DUMMYFUNCTION("IFNA(CONCATENATE(UNIQUE(FILTER(Connections!R:R,Connections!A:A=B107))),""-"")"),"-")</f>
        <v>-</v>
      </c>
      <c r="AA107" s="119" t="str">
        <f t="array" ref="AA107">IF(ISBLANK($AE107), "-",INDEX(Circuits!Y:Y,SUMPRODUCT(EXACT($AE107,Circuits!$A:$A)*ROW(Circuits!$A:$A))))</f>
        <v>-</v>
      </c>
      <c r="AB107" s="121" t="str">
        <f t="array" ref="AB107">IF(ISBLANK($AE107), "-",INDEX(Circuits!Z:Z,SUMPRODUCT(EXACT($AE107,Circuits!$A:$A)*ROW(Circuits!$A:$A))))</f>
        <v>-</v>
      </c>
      <c r="AC107" s="194"/>
      <c r="AD107" s="194"/>
      <c r="AE107" s="40"/>
      <c r="AF107" s="43"/>
      <c r="AG107" s="126" t="str">
        <f>IFERROR(__xludf.DUMMYFUNCTION("IF(ISBLANK(AF107), """", TEXTJOIN(CHAR(10),TRUE,ARRAYFORMULA(IF(ISERROR(SEARCH(SPLIT(AF107, "";""), $Z107)), ""x"", ""-""))))"),"")</f>
        <v/>
      </c>
      <c r="AH107" s="127" t="str">
        <f>IFERROR(__xludf.DUMMYFUNCTION("IF(ISBLANK(AK107), """", TEXTJOIN("";"" &amp; CHAR(10), TRUE, UNIQUE(SPLIT(AK107, "";"" &amp; CHAR(10)), TRUE))&amp;"";"")"),"")</f>
        <v/>
      </c>
      <c r="AI107" s="128" t="str">
        <f>IFERROR(__xludf.DUMMYFUNCTION("IF(ISBLANK(AD107), IF(ISBLANK(AE107),,IFNA(TEXTJOIN("";"" &amp; CHAR(10), TRUE, FILTER(AE:AE, SEARCH(AE107&amp;"";"", AJ:AJ)))&amp;"";"", """")), TEXTJOIN("";"" &amp; CHAR(10), TRUE, UNIQUE(SPLIT(AH107 &amp; "";"" &amp; AH107 &amp; "";"" &amp; AL107, "";"" &amp; CHAR(10)), TRUE, TRUE))&amp;"";"&amp;""")"),"")</f>
        <v/>
      </c>
      <c r="AJ107" s="126" t="str">
        <f>IFERROR(__xludf.DUMMYFUNCTION("IF(AN107="""", """", TEXTJOIN("";"" &amp; CHAR(10), TRUE, UNIQUE(SPLIT(AH107 &amp; "";"" &amp; AH107 &amp; "";"" &amp; AN107, "";"" &amp; CHAR(10)), TRUE, TRUE))&amp;"";"")"),"")</f>
        <v/>
      </c>
      <c r="AK107" s="129" t="str">
        <f>IFERROR(__xludf.DUMMYFUNCTION("IF(ISBLANK(AD107), IF(ISBLANK(AE107),,AE107 &amp; "";""), TEXTJOIN(CHAR(10), TRUE, ARRAYFORMULA(VLOOKUP(SPLIT(AD107, "";"" &amp; CHAR(10)), $AC:$AH, 6, FALSE))))"),"")</f>
        <v/>
      </c>
      <c r="AL107" s="130" t="str">
        <f>IFERROR(__xludf.DUMMYFUNCTION("IF(AM107="""", """", TEXTJOIN("";"" &amp; CHAR(10), TRUE, UNIQUE(SPLIT(AM107, "";"" &amp; CHAR(10)), TRUE))&amp;"";"")"),"")</f>
        <v/>
      </c>
      <c r="AM107" s="130" t="str">
        <f>IFERROR(__xludf.DUMMYFUNCTION("IF(ISBLANK(AD107), """", TEXTJOIN(CHAR(10), TRUE, ARRAYFORMULA(VLOOKUP(SPLIT(AH107, "";"" &amp; CHAR(10)), $AE:$AI, 5, FALSE)), AF107))"),"")</f>
        <v/>
      </c>
      <c r="AN107" s="132" t="str">
        <f>IFERROR(__xludf.DUMMYFUNCTION("IF(ISBLANK(AO107), """", TEXTJOIN("";"" &amp; CHAR(10), TRUE, UNIQUE(SPLIT(AO107, "";"" &amp; CHAR(10)), TRUE))&amp;"";"")"),"")</f>
        <v/>
      </c>
      <c r="AO107" s="134" t="str">
        <f>IFERROR(__xludf.DUMMYFUNCTION("IF(ISBLANK(AD107), AF107, TEXTJOIN(CHAR(10), TRUE, ARRAYFORMULA(VLOOKUP(SPLIT(AD107, "";"" &amp; CHAR(10)), $AC:$AN, 12, FALSE))))"),"")</f>
        <v/>
      </c>
      <c r="AP107" s="130" t="str">
        <f>IF(ISBLANK(AE107),,IF(IFERROR(SEARCH(AE107&amp;";",Circuits!$AO$2),0),TRUE,FALSE))</f>
        <v/>
      </c>
      <c r="AQ107" s="130" t="str">
        <f t="shared" si="2"/>
        <v/>
      </c>
      <c r="AR107" s="130" t="str">
        <f t="shared" si="3"/>
        <v/>
      </c>
      <c r="AS107" s="136" t="str">
        <f>IFERROR(__xludf.DUMMYFUNCTION("IF(AH107="""",,SUM(ARRAYFORMULA(IF(IFERROR(SEARCH(SPLIT(AH107,CHAR(10)),Circuits!$AO$2),0)&gt;0,0,1))))"),"")</f>
        <v/>
      </c>
      <c r="AT107" s="138" t="str">
        <f t="shared" si="4"/>
        <v/>
      </c>
      <c r="AU107" s="138" t="str">
        <f t="shared" si="5"/>
        <v/>
      </c>
      <c r="AV107" s="130" t="str">
        <f>IFERROR(__xludf.DUMMYFUNCTION("IF(AI107="""",,TEXTJOIN("", "",TRUE,ARRAYFORMULA(VLOOKUP(SPLIT(AI107,"";""&amp;CHAR(10)),AE:AT,16,FALSE))))"),"")</f>
        <v/>
      </c>
      <c r="AW107" s="130" t="str">
        <f>IFERROR(__xludf.DUMMYFUNCTION("IF(ISBLANK(BK107),,TEXTJOIN("", "",TRUE,ARRAYFORMULA(VLOOKUP(IFERROR(REGEXEXTRACT(SPLIT(BK107,"";""&amp;CHAR(10)),""\[(.+)\]"")),AE:AT,16,false))))"),"")</f>
        <v/>
      </c>
      <c r="AX107" s="139" t="str">
        <f t="shared" si="6"/>
        <v/>
      </c>
      <c r="AY107" s="139" t="str">
        <f t="shared" si="7"/>
        <v/>
      </c>
      <c r="AZ107" s="106" t="str">
        <f>IFERROR(__xludf.DUMMYFUNCTION("IF(ISBLANK(AD107), BC107, TEXTJOIN(CHAR(10) &amp; CHAR(10), TRUE, ARRAYFORMULA(VLOOKUP(SPLIT(AD107, "";"" &amp; CHAR(10)), $AC:$AY, 23, FALSE))))"),"")</f>
        <v/>
      </c>
      <c r="BA107" s="140" t="s">
        <v>66</v>
      </c>
      <c r="BB107" s="190"/>
      <c r="BC107" s="196"/>
      <c r="BD107" s="106" t="str">
        <f>IFERROR(__xludf.DUMMYFUNCTION("IF(IFERROR(SEARCH(""&lt;&lt;mechanism to realize the capability&gt;&gt;"",BA107),0)=0,
 ""!! Error !! “Capability&amp;Mechanism” column: Invalid Separator:"" &amp; CHAR(10) &amp; ""Insert separator “&lt;&lt;mechanism to realize the capability&gt;&gt;.”"",
 IF(
  LEN(TRIM(CLEAN(
    INDEX(
 "&amp;"     SPLIT(BA107,""&lt;&lt;mechanism to realize the capability&gt;&gt;"",FALSE,FALSE),
      1
    )
  )))=0,
  ""!! Error !! “Capability&amp;Mechanism” column: No Capability:""  &amp; CHAR(10) &amp; ""Describe Capability before separator."",
  INDEX(
    SPLIT(BA107,""&lt;&lt;mechani"&amp;"sm to realize the capability&gt;&gt;"",FALSE,FALSE),
    1
  )
 )
)
"),"!! Error !! “Capability&amp;Mechanism” column: No Capability:
Describe Capability before separator.")</f>
        <v>!! Error !! “Capability&amp;Mechanism” column: No Capability:
Describe Capability before separator.</v>
      </c>
      <c r="BE107" s="190"/>
      <c r="BF107" s="195"/>
      <c r="BG107" s="42"/>
      <c r="BH107" s="190"/>
      <c r="BI107" s="196"/>
      <c r="BJ107" s="42"/>
      <c r="BK107" s="42"/>
      <c r="BL107" s="203"/>
      <c r="BM107" s="203"/>
      <c r="BN107" s="42"/>
      <c r="BO107" s="42"/>
      <c r="BP107" s="143"/>
      <c r="BQ107" s="143"/>
      <c r="BR107" s="192"/>
      <c r="BS107" s="192"/>
      <c r="BT107" s="192"/>
      <c r="BU107" s="192"/>
      <c r="BV107" s="192"/>
      <c r="BW107" s="192"/>
      <c r="BX107" s="146" t="str">
        <f t="shared" si="8"/>
        <v/>
      </c>
    </row>
    <row r="108">
      <c r="A108" s="106" t="str">
        <f t="shared" si="1"/>
        <v/>
      </c>
      <c r="B108" s="183" t="str">
        <f t="array" ref="B108">IF(ISBLANK($AE108), "-",INDEX(Circuits!A:A,SUMPRODUCT(EXACT($AE108,Circuits!$A:$A)*ROW(Circuits!$A:$A))))</f>
        <v>-</v>
      </c>
      <c r="C108" s="183" t="str">
        <f t="array" ref="C108">IF(ISBLANK($AE108), "-",INDEX(Circuits!B:B,SUMPRODUCT(EXACT($AE108,Circuits!$A:$A)*ROW(Circuits!$A:$A))))</f>
        <v>-</v>
      </c>
      <c r="D108" s="183" t="str">
        <f t="array" ref="D108">IF(ISBLANK($AE108), "-",INDEX(Circuits!C:C,SUMPRODUCT(EXACT($AE108,Circuits!$A:$A)*ROW(Circuits!$A:$A))))</f>
        <v>-</v>
      </c>
      <c r="E108" s="183" t="str">
        <f t="array" ref="E108">IF(ISBLANK($AE108), "-",INDEX(Circuits!D:D,SUMPRODUCT(EXACT($AE108,Circuits!$A:$A)*ROW(Circuits!$A:$A))))</f>
        <v>-</v>
      </c>
      <c r="F108" s="183" t="str">
        <f t="array" ref="F108">IF(ISBLANK($AE108), "-",INDEX(Circuits!E:E,SUMPRODUCT(EXACT($AE108,Circuits!$A:$A)*ROW(Circuits!$A:$A))))</f>
        <v>-</v>
      </c>
      <c r="G108" s="183" t="str">
        <f t="array" ref="G108">IF(ISBLANK($AE108), "-",INDEX(Circuits!F:F,SUMPRODUCT(EXACT($AE108,Circuits!$A:$A)*ROW(Circuits!$A:$A))))</f>
        <v>-</v>
      </c>
      <c r="H108" s="183" t="str">
        <f t="array" ref="H108">IF(ISBLANK($AE108), "-",INDEX(Circuits!G:G,SUMPRODUCT(EXACT($AE108,Circuits!$A:$A)*ROW(Circuits!$A:$A))))</f>
        <v>-</v>
      </c>
      <c r="I108" s="183" t="str">
        <f t="array" ref="I108">IF(ISBLANK($AE108), "-",INDEX(Circuits!H:H,SUMPRODUCT(EXACT($AE108,Circuits!$A:$A)*ROW(Circuits!$A:$A))))</f>
        <v>-</v>
      </c>
      <c r="J108" s="183" t="str">
        <f t="array" ref="J108">IF(ISBLANK($AE108), "-",INDEX(Circuits!I:I,SUMPRODUCT(EXACT($AE108,Circuits!$A:$A)*ROW(Circuits!$A:$A))))</f>
        <v>-</v>
      </c>
      <c r="K108" s="183" t="str">
        <f t="array" ref="K108">IF(ISBLANK($AE108), "-",INDEX(Circuits!J:J,SUMPRODUCT(EXACT($AE108,Circuits!$A:$A)*ROW(Circuits!$A:$A))))</f>
        <v>-</v>
      </c>
      <c r="L108" s="183" t="str">
        <f t="array" ref="L108">IF(ISBLANK($AE108), "-",INDEX(Circuits!K:K,SUMPRODUCT(EXACT($AE108,Circuits!$A:$A)*ROW(Circuits!$A:$A))))</f>
        <v>-</v>
      </c>
      <c r="M108" s="183" t="str">
        <f t="array" ref="M108">IF(ISBLANK($AE108), "-",INDEX(Circuits!L:L,SUMPRODUCT(EXACT($AE108,Circuits!$A:$A)*ROW(Circuits!$A:$A))))</f>
        <v>-</v>
      </c>
      <c r="N108" s="183" t="str">
        <f t="array" ref="N108">IF(ISBLANK($AE108), "-",INDEX(Circuits!M:M,SUMPRODUCT(EXACT($AE108,Circuits!$A:$A)*ROW(Circuits!$A:$A))))</f>
        <v>-</v>
      </c>
      <c r="O108" s="183" t="str">
        <f t="array" ref="O108">IF(ISBLANK($AE108), "-",INDEX(Circuits!N:N,SUMPRODUCT(EXACT($AE108,Circuits!$A:$A)*ROW(Circuits!$A:$A))))</f>
        <v>-</v>
      </c>
      <c r="P108" s="183" t="str">
        <f t="array" ref="P108">IF(ISBLANK($AE108), "-",INDEX(Circuits!O:O,SUMPRODUCT(EXACT($AE108,Circuits!$A:$A)*ROW(Circuits!$A:$A))))</f>
        <v>-</v>
      </c>
      <c r="Q108" s="183" t="str">
        <f t="array" ref="Q108">IF(ISBLANK($AE108), "-",INDEX(Circuits!P:P,SUMPRODUCT(EXACT($AE108,Circuits!$A:$A)*ROW(Circuits!$A:$A))))</f>
        <v>-</v>
      </c>
      <c r="R108" s="183" t="str">
        <f t="array" ref="R108">IF(ISBLANK($AE108), "-",INDEX(Circuits!Q:Q,SUMPRODUCT(EXACT($AE108,Circuits!$A:$A)*ROW(Circuits!$A:$A))))</f>
        <v>-</v>
      </c>
      <c r="S108" s="183" t="str">
        <f t="array" ref="S108">IF(ISBLANK($AE108), "-",INDEX(Circuits!R:R,SUMPRODUCT(EXACT($AE108,Circuits!$A:$A)*ROW(Circuits!$A:$A))))</f>
        <v>-</v>
      </c>
      <c r="T108" s="183" t="str">
        <f t="array" ref="T108">IF(ISBLANK($AE108), "-",INDEX(Circuits!S:S,SUMPRODUCT(EXACT($AE108,Circuits!$A:$A)*ROW(Circuits!$A:$A))))</f>
        <v>-</v>
      </c>
      <c r="U108" s="183" t="str">
        <f t="array" ref="U108">IF(ISBLANK($AE108), "-",INDEX(Circuits!T:T,SUMPRODUCT(EXACT($AE108,Circuits!$A:$A)*ROW(Circuits!$A:$A))))</f>
        <v>-</v>
      </c>
      <c r="V108" s="183" t="str">
        <f t="array" ref="V108">IF(ISBLANK($AE108), "-",INDEX(Circuits!U:U,SUMPRODUCT(EXACT($AE108,Circuits!$A:$A)*ROW(Circuits!$A:$A))))</f>
        <v>-</v>
      </c>
      <c r="W108" s="183" t="str">
        <f t="array" ref="W108">IF(ISBLANK($AE108), "-",INDEX(Circuits!V:V,SUMPRODUCT(EXACT($AE108,Circuits!$A:$A)*ROW(Circuits!$A:$A))))</f>
        <v>-</v>
      </c>
      <c r="X108" s="183" t="str">
        <f t="array" ref="X108">IF(ISBLANK($AE108), "-",INDEX(Circuits!W:W,SUMPRODUCT(EXACT($AE108,Circuits!$A:$A)*ROW(Circuits!$A:$A))))</f>
        <v>-</v>
      </c>
      <c r="Y108" s="183" t="str">
        <f t="array" ref="Y108">IF(ISBLANK($AE108), "-",INDEX(Circuits!X:X,SUMPRODUCT(EXACT($AE108,Circuits!$A:$A)*ROW(Circuits!$A:$A))))</f>
        <v>-</v>
      </c>
      <c r="Z108" s="108" t="str">
        <f>IFERROR(__xludf.DUMMYFUNCTION("IFNA(CONCATENATE(UNIQUE(FILTER(Connections!R:R,Connections!A:A=B108))),""-"")"),"-")</f>
        <v>-</v>
      </c>
      <c r="AA108" s="119" t="str">
        <f t="array" ref="AA108">IF(ISBLANK($AE108), "-",INDEX(Circuits!Y:Y,SUMPRODUCT(EXACT($AE108,Circuits!$A:$A)*ROW(Circuits!$A:$A))))</f>
        <v>-</v>
      </c>
      <c r="AB108" s="121" t="str">
        <f t="array" ref="AB108">IF(ISBLANK($AE108), "-",INDEX(Circuits!Z:Z,SUMPRODUCT(EXACT($AE108,Circuits!$A:$A)*ROW(Circuits!$A:$A))))</f>
        <v>-</v>
      </c>
      <c r="AC108" s="194"/>
      <c r="AD108" s="194"/>
      <c r="AE108" s="40"/>
      <c r="AF108" s="43"/>
      <c r="AG108" s="126" t="str">
        <f>IFERROR(__xludf.DUMMYFUNCTION("IF(ISBLANK(AF108), """", TEXTJOIN(CHAR(10),TRUE,ARRAYFORMULA(IF(ISERROR(SEARCH(SPLIT(AF108, "";""), $Z108)), ""x"", ""-""))))"),"")</f>
        <v/>
      </c>
      <c r="AH108" s="127" t="str">
        <f>IFERROR(__xludf.DUMMYFUNCTION("IF(ISBLANK(AK108), """", TEXTJOIN("";"" &amp; CHAR(10), TRUE, UNIQUE(SPLIT(AK108, "";"" &amp; CHAR(10)), TRUE))&amp;"";"")"),"")</f>
        <v/>
      </c>
      <c r="AI108" s="128" t="str">
        <f>IFERROR(__xludf.DUMMYFUNCTION("IF(ISBLANK(AD108), IF(ISBLANK(AE108),,IFNA(TEXTJOIN("";"" &amp; CHAR(10), TRUE, FILTER(AE:AE, SEARCH(AE108&amp;"";"", AJ:AJ)))&amp;"";"", """")), TEXTJOIN("";"" &amp; CHAR(10), TRUE, UNIQUE(SPLIT(AH108 &amp; "";"" &amp; AH108 &amp; "";"" &amp; AL108, "";"" &amp; CHAR(10)), TRUE, TRUE))&amp;"";"&amp;""")"),"")</f>
        <v/>
      </c>
      <c r="AJ108" s="126" t="str">
        <f>IFERROR(__xludf.DUMMYFUNCTION("IF(AN108="""", """", TEXTJOIN("";"" &amp; CHAR(10), TRUE, UNIQUE(SPLIT(AH108 &amp; "";"" &amp; AH108 &amp; "";"" &amp; AN108, "";"" &amp; CHAR(10)), TRUE, TRUE))&amp;"";"")"),"")</f>
        <v/>
      </c>
      <c r="AK108" s="129" t="str">
        <f>IFERROR(__xludf.DUMMYFUNCTION("IF(ISBLANK(AD108), IF(ISBLANK(AE108),,AE108 &amp; "";""), TEXTJOIN(CHAR(10), TRUE, ARRAYFORMULA(VLOOKUP(SPLIT(AD108, "";"" &amp; CHAR(10)), $AC:$AH, 6, FALSE))))"),"")</f>
        <v/>
      </c>
      <c r="AL108" s="130" t="str">
        <f>IFERROR(__xludf.DUMMYFUNCTION("IF(AM108="""", """", TEXTJOIN("";"" &amp; CHAR(10), TRUE, UNIQUE(SPLIT(AM108, "";"" &amp; CHAR(10)), TRUE))&amp;"";"")"),"")</f>
        <v/>
      </c>
      <c r="AM108" s="130" t="str">
        <f>IFERROR(__xludf.DUMMYFUNCTION("IF(ISBLANK(AD108), """", TEXTJOIN(CHAR(10), TRUE, ARRAYFORMULA(VLOOKUP(SPLIT(AH108, "";"" &amp; CHAR(10)), $AE:$AI, 5, FALSE)), AF108))"),"")</f>
        <v/>
      </c>
      <c r="AN108" s="132" t="str">
        <f>IFERROR(__xludf.DUMMYFUNCTION("IF(ISBLANK(AO108), """", TEXTJOIN("";"" &amp; CHAR(10), TRUE, UNIQUE(SPLIT(AO108, "";"" &amp; CHAR(10)), TRUE))&amp;"";"")"),"")</f>
        <v/>
      </c>
      <c r="AO108" s="134" t="str">
        <f>IFERROR(__xludf.DUMMYFUNCTION("IF(ISBLANK(AD108), AF108, TEXTJOIN(CHAR(10), TRUE, ARRAYFORMULA(VLOOKUP(SPLIT(AD108, "";"" &amp; CHAR(10)), $AC:$AN, 12, FALSE))))"),"")</f>
        <v/>
      </c>
      <c r="AP108" s="130" t="str">
        <f>IF(ISBLANK(AE108),,IF(IFERROR(SEARCH(AE108&amp;";",Circuits!$AO$2),0),TRUE,FALSE))</f>
        <v/>
      </c>
      <c r="AQ108" s="130" t="str">
        <f t="shared" si="2"/>
        <v/>
      </c>
      <c r="AR108" s="130" t="str">
        <f t="shared" si="3"/>
        <v/>
      </c>
      <c r="AS108" s="136" t="str">
        <f>IFERROR(__xludf.DUMMYFUNCTION("IF(AH108="""",,SUM(ARRAYFORMULA(IF(IFERROR(SEARCH(SPLIT(AH108,CHAR(10)),Circuits!$AO$2),0)&gt;0,0,1))))"),"")</f>
        <v/>
      </c>
      <c r="AT108" s="138" t="str">
        <f t="shared" si="4"/>
        <v/>
      </c>
      <c r="AU108" s="138" t="str">
        <f t="shared" si="5"/>
        <v/>
      </c>
      <c r="AV108" s="130" t="str">
        <f>IFERROR(__xludf.DUMMYFUNCTION("IF(AI108="""",,TEXTJOIN("", "",TRUE,ARRAYFORMULA(VLOOKUP(SPLIT(AI108,"";""&amp;CHAR(10)),AE:AT,16,FALSE))))"),"")</f>
        <v/>
      </c>
      <c r="AW108" s="130" t="str">
        <f>IFERROR(__xludf.DUMMYFUNCTION("IF(ISBLANK(BK108),,TEXTJOIN("", "",TRUE,ARRAYFORMULA(VLOOKUP(IFERROR(REGEXEXTRACT(SPLIT(BK108,"";""&amp;CHAR(10)),""\[(.+)\]"")),AE:AT,16,false))))"),"")</f>
        <v/>
      </c>
      <c r="AX108" s="139" t="str">
        <f t="shared" si="6"/>
        <v/>
      </c>
      <c r="AY108" s="139" t="str">
        <f t="shared" si="7"/>
        <v/>
      </c>
      <c r="AZ108" s="106" t="str">
        <f>IFERROR(__xludf.DUMMYFUNCTION("IF(ISBLANK(AD108), BC108, TEXTJOIN(CHAR(10) &amp; CHAR(10), TRUE, ARRAYFORMULA(VLOOKUP(SPLIT(AD108, "";"" &amp; CHAR(10)), $AC:$AY, 23, FALSE))))"),"")</f>
        <v/>
      </c>
      <c r="BA108" s="140" t="s">
        <v>66</v>
      </c>
      <c r="BB108" s="190"/>
      <c r="BC108" s="196"/>
      <c r="BD108" s="106" t="str">
        <f>IFERROR(__xludf.DUMMYFUNCTION("IF(IFERROR(SEARCH(""&lt;&lt;mechanism to realize the capability&gt;&gt;"",BA108),0)=0,
 ""!! Error !! “Capability&amp;Mechanism” column: Invalid Separator:"" &amp; CHAR(10) &amp; ""Insert separator “&lt;&lt;mechanism to realize the capability&gt;&gt;.”"",
 IF(
  LEN(TRIM(CLEAN(
    INDEX(
 "&amp;"     SPLIT(BA108,""&lt;&lt;mechanism to realize the capability&gt;&gt;"",FALSE,FALSE),
      1
    )
  )))=0,
  ""!! Error !! “Capability&amp;Mechanism” column: No Capability:""  &amp; CHAR(10) &amp; ""Describe Capability before separator."",
  INDEX(
    SPLIT(BA108,""&lt;&lt;mechani"&amp;"sm to realize the capability&gt;&gt;"",FALSE,FALSE),
    1
  )
 )
)
"),"!! Error !! “Capability&amp;Mechanism” column: No Capability:
Describe Capability before separator.")</f>
        <v>!! Error !! “Capability&amp;Mechanism” column: No Capability:
Describe Capability before separator.</v>
      </c>
      <c r="BE108" s="190"/>
      <c r="BF108" s="195"/>
      <c r="BG108" s="42"/>
      <c r="BH108" s="190"/>
      <c r="BI108" s="196"/>
      <c r="BJ108" s="42"/>
      <c r="BK108" s="42"/>
      <c r="BL108" s="203"/>
      <c r="BM108" s="203"/>
      <c r="BN108" s="42"/>
      <c r="BO108" s="42"/>
      <c r="BP108" s="143"/>
      <c r="BQ108" s="143"/>
      <c r="BR108" s="192"/>
      <c r="BS108" s="192"/>
      <c r="BT108" s="192"/>
      <c r="BU108" s="192"/>
      <c r="BV108" s="192"/>
      <c r="BW108" s="192"/>
      <c r="BX108" s="146" t="str">
        <f t="shared" si="8"/>
        <v/>
      </c>
    </row>
    <row r="109">
      <c r="A109" s="106" t="str">
        <f t="shared" si="1"/>
        <v/>
      </c>
      <c r="B109" s="183" t="str">
        <f t="array" ref="B109">IF(ISBLANK($AE109), "-",INDEX(Circuits!A:A,SUMPRODUCT(EXACT($AE109,Circuits!$A:$A)*ROW(Circuits!$A:$A))))</f>
        <v>-</v>
      </c>
      <c r="C109" s="183" t="str">
        <f t="array" ref="C109">IF(ISBLANK($AE109), "-",INDEX(Circuits!B:B,SUMPRODUCT(EXACT($AE109,Circuits!$A:$A)*ROW(Circuits!$A:$A))))</f>
        <v>-</v>
      </c>
      <c r="D109" s="183" t="str">
        <f t="array" ref="D109">IF(ISBLANK($AE109), "-",INDEX(Circuits!C:C,SUMPRODUCT(EXACT($AE109,Circuits!$A:$A)*ROW(Circuits!$A:$A))))</f>
        <v>-</v>
      </c>
      <c r="E109" s="183" t="str">
        <f t="array" ref="E109">IF(ISBLANK($AE109), "-",INDEX(Circuits!D:D,SUMPRODUCT(EXACT($AE109,Circuits!$A:$A)*ROW(Circuits!$A:$A))))</f>
        <v>-</v>
      </c>
      <c r="F109" s="183" t="str">
        <f t="array" ref="F109">IF(ISBLANK($AE109), "-",INDEX(Circuits!E:E,SUMPRODUCT(EXACT($AE109,Circuits!$A:$A)*ROW(Circuits!$A:$A))))</f>
        <v>-</v>
      </c>
      <c r="G109" s="183" t="str">
        <f t="array" ref="G109">IF(ISBLANK($AE109), "-",INDEX(Circuits!F:F,SUMPRODUCT(EXACT($AE109,Circuits!$A:$A)*ROW(Circuits!$A:$A))))</f>
        <v>-</v>
      </c>
      <c r="H109" s="183" t="str">
        <f t="array" ref="H109">IF(ISBLANK($AE109), "-",INDEX(Circuits!G:G,SUMPRODUCT(EXACT($AE109,Circuits!$A:$A)*ROW(Circuits!$A:$A))))</f>
        <v>-</v>
      </c>
      <c r="I109" s="183" t="str">
        <f t="array" ref="I109">IF(ISBLANK($AE109), "-",INDEX(Circuits!H:H,SUMPRODUCT(EXACT($AE109,Circuits!$A:$A)*ROW(Circuits!$A:$A))))</f>
        <v>-</v>
      </c>
      <c r="J109" s="183" t="str">
        <f t="array" ref="J109">IF(ISBLANK($AE109), "-",INDEX(Circuits!I:I,SUMPRODUCT(EXACT($AE109,Circuits!$A:$A)*ROW(Circuits!$A:$A))))</f>
        <v>-</v>
      </c>
      <c r="K109" s="183" t="str">
        <f t="array" ref="K109">IF(ISBLANK($AE109), "-",INDEX(Circuits!J:J,SUMPRODUCT(EXACT($AE109,Circuits!$A:$A)*ROW(Circuits!$A:$A))))</f>
        <v>-</v>
      </c>
      <c r="L109" s="183" t="str">
        <f t="array" ref="L109">IF(ISBLANK($AE109), "-",INDEX(Circuits!K:K,SUMPRODUCT(EXACT($AE109,Circuits!$A:$A)*ROW(Circuits!$A:$A))))</f>
        <v>-</v>
      </c>
      <c r="M109" s="183" t="str">
        <f t="array" ref="M109">IF(ISBLANK($AE109), "-",INDEX(Circuits!L:L,SUMPRODUCT(EXACT($AE109,Circuits!$A:$A)*ROW(Circuits!$A:$A))))</f>
        <v>-</v>
      </c>
      <c r="N109" s="183" t="str">
        <f t="array" ref="N109">IF(ISBLANK($AE109), "-",INDEX(Circuits!M:M,SUMPRODUCT(EXACT($AE109,Circuits!$A:$A)*ROW(Circuits!$A:$A))))</f>
        <v>-</v>
      </c>
      <c r="O109" s="183" t="str">
        <f t="array" ref="O109">IF(ISBLANK($AE109), "-",INDEX(Circuits!N:N,SUMPRODUCT(EXACT($AE109,Circuits!$A:$A)*ROW(Circuits!$A:$A))))</f>
        <v>-</v>
      </c>
      <c r="P109" s="183" t="str">
        <f t="array" ref="P109">IF(ISBLANK($AE109), "-",INDEX(Circuits!O:O,SUMPRODUCT(EXACT($AE109,Circuits!$A:$A)*ROW(Circuits!$A:$A))))</f>
        <v>-</v>
      </c>
      <c r="Q109" s="183" t="str">
        <f t="array" ref="Q109">IF(ISBLANK($AE109), "-",INDEX(Circuits!P:P,SUMPRODUCT(EXACT($AE109,Circuits!$A:$A)*ROW(Circuits!$A:$A))))</f>
        <v>-</v>
      </c>
      <c r="R109" s="183" t="str">
        <f t="array" ref="R109">IF(ISBLANK($AE109), "-",INDEX(Circuits!Q:Q,SUMPRODUCT(EXACT($AE109,Circuits!$A:$A)*ROW(Circuits!$A:$A))))</f>
        <v>-</v>
      </c>
      <c r="S109" s="183" t="str">
        <f t="array" ref="S109">IF(ISBLANK($AE109), "-",INDEX(Circuits!R:R,SUMPRODUCT(EXACT($AE109,Circuits!$A:$A)*ROW(Circuits!$A:$A))))</f>
        <v>-</v>
      </c>
      <c r="T109" s="183" t="str">
        <f t="array" ref="T109">IF(ISBLANK($AE109), "-",INDEX(Circuits!S:S,SUMPRODUCT(EXACT($AE109,Circuits!$A:$A)*ROW(Circuits!$A:$A))))</f>
        <v>-</v>
      </c>
      <c r="U109" s="183" t="str">
        <f t="array" ref="U109">IF(ISBLANK($AE109), "-",INDEX(Circuits!T:T,SUMPRODUCT(EXACT($AE109,Circuits!$A:$A)*ROW(Circuits!$A:$A))))</f>
        <v>-</v>
      </c>
      <c r="V109" s="183" t="str">
        <f t="array" ref="V109">IF(ISBLANK($AE109), "-",INDEX(Circuits!U:U,SUMPRODUCT(EXACT($AE109,Circuits!$A:$A)*ROW(Circuits!$A:$A))))</f>
        <v>-</v>
      </c>
      <c r="W109" s="183" t="str">
        <f t="array" ref="W109">IF(ISBLANK($AE109), "-",INDEX(Circuits!V:V,SUMPRODUCT(EXACT($AE109,Circuits!$A:$A)*ROW(Circuits!$A:$A))))</f>
        <v>-</v>
      </c>
      <c r="X109" s="183" t="str">
        <f t="array" ref="X109">IF(ISBLANK($AE109), "-",INDEX(Circuits!W:W,SUMPRODUCT(EXACT($AE109,Circuits!$A:$A)*ROW(Circuits!$A:$A))))</f>
        <v>-</v>
      </c>
      <c r="Y109" s="183" t="str">
        <f t="array" ref="Y109">IF(ISBLANK($AE109), "-",INDEX(Circuits!X:X,SUMPRODUCT(EXACT($AE109,Circuits!$A:$A)*ROW(Circuits!$A:$A))))</f>
        <v>-</v>
      </c>
      <c r="Z109" s="108" t="str">
        <f>IFERROR(__xludf.DUMMYFUNCTION("IFNA(CONCATENATE(UNIQUE(FILTER(Connections!R:R,Connections!A:A=B109))),""-"")"),"-")</f>
        <v>-</v>
      </c>
      <c r="AA109" s="119" t="str">
        <f t="array" ref="AA109">IF(ISBLANK($AE109), "-",INDEX(Circuits!Y:Y,SUMPRODUCT(EXACT($AE109,Circuits!$A:$A)*ROW(Circuits!$A:$A))))</f>
        <v>-</v>
      </c>
      <c r="AB109" s="121" t="str">
        <f t="array" ref="AB109">IF(ISBLANK($AE109), "-",INDEX(Circuits!Z:Z,SUMPRODUCT(EXACT($AE109,Circuits!$A:$A)*ROW(Circuits!$A:$A))))</f>
        <v>-</v>
      </c>
      <c r="AC109" s="194"/>
      <c r="AD109" s="194"/>
      <c r="AE109" s="40"/>
      <c r="AF109" s="43"/>
      <c r="AG109" s="126" t="str">
        <f>IFERROR(__xludf.DUMMYFUNCTION("IF(ISBLANK(AF109), """", TEXTJOIN(CHAR(10),TRUE,ARRAYFORMULA(IF(ISERROR(SEARCH(SPLIT(AF109, "";""), $Z109)), ""x"", ""-""))))"),"")</f>
        <v/>
      </c>
      <c r="AH109" s="127" t="str">
        <f>IFERROR(__xludf.DUMMYFUNCTION("IF(ISBLANK(AK109), """", TEXTJOIN("";"" &amp; CHAR(10), TRUE, UNIQUE(SPLIT(AK109, "";"" &amp; CHAR(10)), TRUE))&amp;"";"")"),"")</f>
        <v/>
      </c>
      <c r="AI109" s="128" t="str">
        <f>IFERROR(__xludf.DUMMYFUNCTION("IF(ISBLANK(AD109), IF(ISBLANK(AE109),,IFNA(TEXTJOIN("";"" &amp; CHAR(10), TRUE, FILTER(AE:AE, SEARCH(AE109&amp;"";"", AJ:AJ)))&amp;"";"", """")), TEXTJOIN("";"" &amp; CHAR(10), TRUE, UNIQUE(SPLIT(AH109 &amp; "";"" &amp; AH109 &amp; "";"" &amp; AL109, "";"" &amp; CHAR(10)), TRUE, TRUE))&amp;"";"&amp;""")"),"")</f>
        <v/>
      </c>
      <c r="AJ109" s="126" t="str">
        <f>IFERROR(__xludf.DUMMYFUNCTION("IF(AN109="""", """", TEXTJOIN("";"" &amp; CHAR(10), TRUE, UNIQUE(SPLIT(AH109 &amp; "";"" &amp; AH109 &amp; "";"" &amp; AN109, "";"" &amp; CHAR(10)), TRUE, TRUE))&amp;"";"")"),"")</f>
        <v/>
      </c>
      <c r="AK109" s="129" t="str">
        <f>IFERROR(__xludf.DUMMYFUNCTION("IF(ISBLANK(AD109), IF(ISBLANK(AE109),,AE109 &amp; "";""), TEXTJOIN(CHAR(10), TRUE, ARRAYFORMULA(VLOOKUP(SPLIT(AD109, "";"" &amp; CHAR(10)), $AC:$AH, 6, FALSE))))"),"")</f>
        <v/>
      </c>
      <c r="AL109" s="130" t="str">
        <f>IFERROR(__xludf.DUMMYFUNCTION("IF(AM109="""", """", TEXTJOIN("";"" &amp; CHAR(10), TRUE, UNIQUE(SPLIT(AM109, "";"" &amp; CHAR(10)), TRUE))&amp;"";"")"),"")</f>
        <v/>
      </c>
      <c r="AM109" s="130" t="str">
        <f>IFERROR(__xludf.DUMMYFUNCTION("IF(ISBLANK(AD109), """", TEXTJOIN(CHAR(10), TRUE, ARRAYFORMULA(VLOOKUP(SPLIT(AH109, "";"" &amp; CHAR(10)), $AE:$AI, 5, FALSE)), AF109))"),"")</f>
        <v/>
      </c>
      <c r="AN109" s="132" t="str">
        <f>IFERROR(__xludf.DUMMYFUNCTION("IF(ISBLANK(AO109), """", TEXTJOIN("";"" &amp; CHAR(10), TRUE, UNIQUE(SPLIT(AO109, "";"" &amp; CHAR(10)), TRUE))&amp;"";"")"),"")</f>
        <v/>
      </c>
      <c r="AO109" s="134" t="str">
        <f>IFERROR(__xludf.DUMMYFUNCTION("IF(ISBLANK(AD109), AF109, TEXTJOIN(CHAR(10), TRUE, ARRAYFORMULA(VLOOKUP(SPLIT(AD109, "";"" &amp; CHAR(10)), $AC:$AN, 12, FALSE))))"),"")</f>
        <v/>
      </c>
      <c r="AP109" s="130" t="str">
        <f>IF(ISBLANK(AE109),,IF(IFERROR(SEARCH(AE109&amp;";",Circuits!$AO$2),0),TRUE,FALSE))</f>
        <v/>
      </c>
      <c r="AQ109" s="130" t="str">
        <f t="shared" si="2"/>
        <v/>
      </c>
      <c r="AR109" s="130" t="str">
        <f t="shared" si="3"/>
        <v/>
      </c>
      <c r="AS109" s="136" t="str">
        <f>IFERROR(__xludf.DUMMYFUNCTION("IF(AH109="""",,SUM(ARRAYFORMULA(IF(IFERROR(SEARCH(SPLIT(AH109,CHAR(10)),Circuits!$AO$2),0)&gt;0,0,1))))"),"")</f>
        <v/>
      </c>
      <c r="AT109" s="138" t="str">
        <f t="shared" si="4"/>
        <v/>
      </c>
      <c r="AU109" s="138" t="str">
        <f t="shared" si="5"/>
        <v/>
      </c>
      <c r="AV109" s="130" t="str">
        <f>IFERROR(__xludf.DUMMYFUNCTION("IF(AI109="""",,TEXTJOIN("", "",TRUE,ARRAYFORMULA(VLOOKUP(SPLIT(AI109,"";""&amp;CHAR(10)),AE:AT,16,FALSE))))"),"")</f>
        <v/>
      </c>
      <c r="AW109" s="130" t="str">
        <f>IFERROR(__xludf.DUMMYFUNCTION("IF(ISBLANK(BK109),,TEXTJOIN("", "",TRUE,ARRAYFORMULA(VLOOKUP(IFERROR(REGEXEXTRACT(SPLIT(BK109,"";""&amp;CHAR(10)),""\[(.+)\]"")),AE:AT,16,false))))"),"")</f>
        <v/>
      </c>
      <c r="AX109" s="139" t="str">
        <f t="shared" si="6"/>
        <v/>
      </c>
      <c r="AY109" s="139" t="str">
        <f t="shared" si="7"/>
        <v/>
      </c>
      <c r="AZ109" s="106" t="str">
        <f>IFERROR(__xludf.DUMMYFUNCTION("IF(ISBLANK(AD109), BC109, TEXTJOIN(CHAR(10) &amp; CHAR(10), TRUE, ARRAYFORMULA(VLOOKUP(SPLIT(AD109, "";"" &amp; CHAR(10)), $AC:$AY, 23, FALSE))))"),"")</f>
        <v/>
      </c>
      <c r="BA109" s="140" t="s">
        <v>66</v>
      </c>
      <c r="BB109" s="190"/>
      <c r="BC109" s="196"/>
      <c r="BD109" s="106" t="str">
        <f>IFERROR(__xludf.DUMMYFUNCTION("IF(IFERROR(SEARCH(""&lt;&lt;mechanism to realize the capability&gt;&gt;"",BA109),0)=0,
 ""!! Error !! “Capability&amp;Mechanism” column: Invalid Separator:"" &amp; CHAR(10) &amp; ""Insert separator “&lt;&lt;mechanism to realize the capability&gt;&gt;.”"",
 IF(
  LEN(TRIM(CLEAN(
    INDEX(
 "&amp;"     SPLIT(BA109,""&lt;&lt;mechanism to realize the capability&gt;&gt;"",FALSE,FALSE),
      1
    )
  )))=0,
  ""!! Error !! “Capability&amp;Mechanism” column: No Capability:""  &amp; CHAR(10) &amp; ""Describe Capability before separator."",
  INDEX(
    SPLIT(BA109,""&lt;&lt;mechani"&amp;"sm to realize the capability&gt;&gt;"",FALSE,FALSE),
    1
  )
 )
)
"),"!! Error !! “Capability&amp;Mechanism” column: No Capability:
Describe Capability before separator.")</f>
        <v>!! Error !! “Capability&amp;Mechanism” column: No Capability:
Describe Capability before separator.</v>
      </c>
      <c r="BE109" s="190"/>
      <c r="BF109" s="195"/>
      <c r="BG109" s="42"/>
      <c r="BH109" s="190"/>
      <c r="BI109" s="196"/>
      <c r="BJ109" s="42"/>
      <c r="BK109" s="42"/>
      <c r="BL109" s="203"/>
      <c r="BM109" s="203"/>
      <c r="BN109" s="42"/>
      <c r="BO109" s="42"/>
      <c r="BP109" s="143"/>
      <c r="BQ109" s="143"/>
      <c r="BR109" s="192"/>
      <c r="BS109" s="192"/>
      <c r="BT109" s="192"/>
      <c r="BU109" s="192"/>
      <c r="BV109" s="192"/>
      <c r="BW109" s="192"/>
      <c r="BX109" s="146" t="str">
        <f t="shared" si="8"/>
        <v/>
      </c>
    </row>
    <row r="110">
      <c r="A110" s="106" t="str">
        <f t="shared" si="1"/>
        <v/>
      </c>
      <c r="B110" s="183" t="str">
        <f t="array" ref="B110">IF(ISBLANK($AE110), "-",INDEX(Circuits!A:A,SUMPRODUCT(EXACT($AE110,Circuits!$A:$A)*ROW(Circuits!$A:$A))))</f>
        <v>-</v>
      </c>
      <c r="C110" s="183" t="str">
        <f t="array" ref="C110">IF(ISBLANK($AE110), "-",INDEX(Circuits!B:B,SUMPRODUCT(EXACT($AE110,Circuits!$A:$A)*ROW(Circuits!$A:$A))))</f>
        <v>-</v>
      </c>
      <c r="D110" s="183" t="str">
        <f t="array" ref="D110">IF(ISBLANK($AE110), "-",INDEX(Circuits!C:C,SUMPRODUCT(EXACT($AE110,Circuits!$A:$A)*ROW(Circuits!$A:$A))))</f>
        <v>-</v>
      </c>
      <c r="E110" s="183" t="str">
        <f t="array" ref="E110">IF(ISBLANK($AE110), "-",INDEX(Circuits!D:D,SUMPRODUCT(EXACT($AE110,Circuits!$A:$A)*ROW(Circuits!$A:$A))))</f>
        <v>-</v>
      </c>
      <c r="F110" s="183" t="str">
        <f t="array" ref="F110">IF(ISBLANK($AE110), "-",INDEX(Circuits!E:E,SUMPRODUCT(EXACT($AE110,Circuits!$A:$A)*ROW(Circuits!$A:$A))))</f>
        <v>-</v>
      </c>
      <c r="G110" s="183" t="str">
        <f t="array" ref="G110">IF(ISBLANK($AE110), "-",INDEX(Circuits!F:F,SUMPRODUCT(EXACT($AE110,Circuits!$A:$A)*ROW(Circuits!$A:$A))))</f>
        <v>-</v>
      </c>
      <c r="H110" s="183" t="str">
        <f t="array" ref="H110">IF(ISBLANK($AE110), "-",INDEX(Circuits!G:G,SUMPRODUCT(EXACT($AE110,Circuits!$A:$A)*ROW(Circuits!$A:$A))))</f>
        <v>-</v>
      </c>
      <c r="I110" s="183" t="str">
        <f t="array" ref="I110">IF(ISBLANK($AE110), "-",INDEX(Circuits!H:H,SUMPRODUCT(EXACT($AE110,Circuits!$A:$A)*ROW(Circuits!$A:$A))))</f>
        <v>-</v>
      </c>
      <c r="J110" s="183" t="str">
        <f t="array" ref="J110">IF(ISBLANK($AE110), "-",INDEX(Circuits!I:I,SUMPRODUCT(EXACT($AE110,Circuits!$A:$A)*ROW(Circuits!$A:$A))))</f>
        <v>-</v>
      </c>
      <c r="K110" s="183" t="str">
        <f t="array" ref="K110">IF(ISBLANK($AE110), "-",INDEX(Circuits!J:J,SUMPRODUCT(EXACT($AE110,Circuits!$A:$A)*ROW(Circuits!$A:$A))))</f>
        <v>-</v>
      </c>
      <c r="L110" s="183" t="str">
        <f t="array" ref="L110">IF(ISBLANK($AE110), "-",INDEX(Circuits!K:K,SUMPRODUCT(EXACT($AE110,Circuits!$A:$A)*ROW(Circuits!$A:$A))))</f>
        <v>-</v>
      </c>
      <c r="M110" s="183" t="str">
        <f t="array" ref="M110">IF(ISBLANK($AE110), "-",INDEX(Circuits!L:L,SUMPRODUCT(EXACT($AE110,Circuits!$A:$A)*ROW(Circuits!$A:$A))))</f>
        <v>-</v>
      </c>
      <c r="N110" s="183" t="str">
        <f t="array" ref="N110">IF(ISBLANK($AE110), "-",INDEX(Circuits!M:M,SUMPRODUCT(EXACT($AE110,Circuits!$A:$A)*ROW(Circuits!$A:$A))))</f>
        <v>-</v>
      </c>
      <c r="O110" s="183" t="str">
        <f t="array" ref="O110">IF(ISBLANK($AE110), "-",INDEX(Circuits!N:N,SUMPRODUCT(EXACT($AE110,Circuits!$A:$A)*ROW(Circuits!$A:$A))))</f>
        <v>-</v>
      </c>
      <c r="P110" s="183" t="str">
        <f t="array" ref="P110">IF(ISBLANK($AE110), "-",INDEX(Circuits!O:O,SUMPRODUCT(EXACT($AE110,Circuits!$A:$A)*ROW(Circuits!$A:$A))))</f>
        <v>-</v>
      </c>
      <c r="Q110" s="183" t="str">
        <f t="array" ref="Q110">IF(ISBLANK($AE110), "-",INDEX(Circuits!P:P,SUMPRODUCT(EXACT($AE110,Circuits!$A:$A)*ROW(Circuits!$A:$A))))</f>
        <v>-</v>
      </c>
      <c r="R110" s="183" t="str">
        <f t="array" ref="R110">IF(ISBLANK($AE110), "-",INDEX(Circuits!Q:Q,SUMPRODUCT(EXACT($AE110,Circuits!$A:$A)*ROW(Circuits!$A:$A))))</f>
        <v>-</v>
      </c>
      <c r="S110" s="183" t="str">
        <f t="array" ref="S110">IF(ISBLANK($AE110), "-",INDEX(Circuits!R:R,SUMPRODUCT(EXACT($AE110,Circuits!$A:$A)*ROW(Circuits!$A:$A))))</f>
        <v>-</v>
      </c>
      <c r="T110" s="183" t="str">
        <f t="array" ref="T110">IF(ISBLANK($AE110), "-",INDEX(Circuits!S:S,SUMPRODUCT(EXACT($AE110,Circuits!$A:$A)*ROW(Circuits!$A:$A))))</f>
        <v>-</v>
      </c>
      <c r="U110" s="183" t="str">
        <f t="array" ref="U110">IF(ISBLANK($AE110), "-",INDEX(Circuits!T:T,SUMPRODUCT(EXACT($AE110,Circuits!$A:$A)*ROW(Circuits!$A:$A))))</f>
        <v>-</v>
      </c>
      <c r="V110" s="183" t="str">
        <f t="array" ref="V110">IF(ISBLANK($AE110), "-",INDEX(Circuits!U:U,SUMPRODUCT(EXACT($AE110,Circuits!$A:$A)*ROW(Circuits!$A:$A))))</f>
        <v>-</v>
      </c>
      <c r="W110" s="183" t="str">
        <f t="array" ref="W110">IF(ISBLANK($AE110), "-",INDEX(Circuits!V:V,SUMPRODUCT(EXACT($AE110,Circuits!$A:$A)*ROW(Circuits!$A:$A))))</f>
        <v>-</v>
      </c>
      <c r="X110" s="183" t="str">
        <f t="array" ref="X110">IF(ISBLANK($AE110), "-",INDEX(Circuits!W:W,SUMPRODUCT(EXACT($AE110,Circuits!$A:$A)*ROW(Circuits!$A:$A))))</f>
        <v>-</v>
      </c>
      <c r="Y110" s="183" t="str">
        <f t="array" ref="Y110">IF(ISBLANK($AE110), "-",INDEX(Circuits!X:X,SUMPRODUCT(EXACT($AE110,Circuits!$A:$A)*ROW(Circuits!$A:$A))))</f>
        <v>-</v>
      </c>
      <c r="Z110" s="108" t="str">
        <f>IFERROR(__xludf.DUMMYFUNCTION("IFNA(CONCATENATE(UNIQUE(FILTER(Connections!R:R,Connections!A:A=B110))),""-"")"),"-")</f>
        <v>-</v>
      </c>
      <c r="AA110" s="119" t="str">
        <f t="array" ref="AA110">IF(ISBLANK($AE110), "-",INDEX(Circuits!Y:Y,SUMPRODUCT(EXACT($AE110,Circuits!$A:$A)*ROW(Circuits!$A:$A))))</f>
        <v>-</v>
      </c>
      <c r="AB110" s="121" t="str">
        <f t="array" ref="AB110">IF(ISBLANK($AE110), "-",INDEX(Circuits!Z:Z,SUMPRODUCT(EXACT($AE110,Circuits!$A:$A)*ROW(Circuits!$A:$A))))</f>
        <v>-</v>
      </c>
      <c r="AC110" s="194"/>
      <c r="AD110" s="194"/>
      <c r="AE110" s="40"/>
      <c r="AF110" s="43"/>
      <c r="AG110" s="126" t="str">
        <f>IFERROR(__xludf.DUMMYFUNCTION("IF(ISBLANK(AF110), """", TEXTJOIN(CHAR(10),TRUE,ARRAYFORMULA(IF(ISERROR(SEARCH(SPLIT(AF110, "";""), $Z110)), ""x"", ""-""))))"),"")</f>
        <v/>
      </c>
      <c r="AH110" s="127" t="str">
        <f>IFERROR(__xludf.DUMMYFUNCTION("IF(ISBLANK(AK110), """", TEXTJOIN("";"" &amp; CHAR(10), TRUE, UNIQUE(SPLIT(AK110, "";"" &amp; CHAR(10)), TRUE))&amp;"";"")"),"")</f>
        <v/>
      </c>
      <c r="AI110" s="128" t="str">
        <f>IFERROR(__xludf.DUMMYFUNCTION("IF(ISBLANK(AD110), IF(ISBLANK(AE110),,IFNA(TEXTJOIN("";"" &amp; CHAR(10), TRUE, FILTER(AE:AE, SEARCH(AE110&amp;"";"", AJ:AJ)))&amp;"";"", """")), TEXTJOIN("";"" &amp; CHAR(10), TRUE, UNIQUE(SPLIT(AH110 &amp; "";"" &amp; AH110 &amp; "";"" &amp; AL110, "";"" &amp; CHAR(10)), TRUE, TRUE))&amp;"";"&amp;""")"),"")</f>
        <v/>
      </c>
      <c r="AJ110" s="126" t="str">
        <f>IFERROR(__xludf.DUMMYFUNCTION("IF(AN110="""", """", TEXTJOIN("";"" &amp; CHAR(10), TRUE, UNIQUE(SPLIT(AH110 &amp; "";"" &amp; AH110 &amp; "";"" &amp; AN110, "";"" &amp; CHAR(10)), TRUE, TRUE))&amp;"";"")"),"")</f>
        <v/>
      </c>
      <c r="AK110" s="129" t="str">
        <f>IFERROR(__xludf.DUMMYFUNCTION("IF(ISBLANK(AD110), IF(ISBLANK(AE110),,AE110 &amp; "";""), TEXTJOIN(CHAR(10), TRUE, ARRAYFORMULA(VLOOKUP(SPLIT(AD110, "";"" &amp; CHAR(10)), $AC:$AH, 6, FALSE))))"),"")</f>
        <v/>
      </c>
      <c r="AL110" s="130" t="str">
        <f>IFERROR(__xludf.DUMMYFUNCTION("IF(AM110="""", """", TEXTJOIN("";"" &amp; CHAR(10), TRUE, UNIQUE(SPLIT(AM110, "";"" &amp; CHAR(10)), TRUE))&amp;"";"")"),"")</f>
        <v/>
      </c>
      <c r="AM110" s="130" t="str">
        <f>IFERROR(__xludf.DUMMYFUNCTION("IF(ISBLANK(AD110), """", TEXTJOIN(CHAR(10), TRUE, ARRAYFORMULA(VLOOKUP(SPLIT(AH110, "";"" &amp; CHAR(10)), $AE:$AI, 5, FALSE)), AF110))"),"")</f>
        <v/>
      </c>
      <c r="AN110" s="132" t="str">
        <f>IFERROR(__xludf.DUMMYFUNCTION("IF(ISBLANK(AO110), """", TEXTJOIN("";"" &amp; CHAR(10), TRUE, UNIQUE(SPLIT(AO110, "";"" &amp; CHAR(10)), TRUE))&amp;"";"")"),"")</f>
        <v/>
      </c>
      <c r="AO110" s="134" t="str">
        <f>IFERROR(__xludf.DUMMYFUNCTION("IF(ISBLANK(AD110), AF110, TEXTJOIN(CHAR(10), TRUE, ARRAYFORMULA(VLOOKUP(SPLIT(AD110, "";"" &amp; CHAR(10)), $AC:$AN, 12, FALSE))))"),"")</f>
        <v/>
      </c>
      <c r="AP110" s="130" t="str">
        <f>IF(ISBLANK(AE110),,IF(IFERROR(SEARCH(AE110&amp;";",Circuits!$AO$2),0),TRUE,FALSE))</f>
        <v/>
      </c>
      <c r="AQ110" s="130" t="str">
        <f t="shared" si="2"/>
        <v/>
      </c>
      <c r="AR110" s="130" t="str">
        <f t="shared" si="3"/>
        <v/>
      </c>
      <c r="AS110" s="136" t="str">
        <f>IFERROR(__xludf.DUMMYFUNCTION("IF(AH110="""",,SUM(ARRAYFORMULA(IF(IFERROR(SEARCH(SPLIT(AH110,CHAR(10)),Circuits!$AO$2),0)&gt;0,0,1))))"),"")</f>
        <v/>
      </c>
      <c r="AT110" s="138" t="str">
        <f t="shared" si="4"/>
        <v/>
      </c>
      <c r="AU110" s="138" t="str">
        <f t="shared" si="5"/>
        <v/>
      </c>
      <c r="AV110" s="130" t="str">
        <f>IFERROR(__xludf.DUMMYFUNCTION("IF(AI110="""",,TEXTJOIN("", "",TRUE,ARRAYFORMULA(VLOOKUP(SPLIT(AI110,"";""&amp;CHAR(10)),AE:AT,16,FALSE))))"),"")</f>
        <v/>
      </c>
      <c r="AW110" s="130" t="str">
        <f>IFERROR(__xludf.DUMMYFUNCTION("IF(ISBLANK(BK110),,TEXTJOIN("", "",TRUE,ARRAYFORMULA(VLOOKUP(IFERROR(REGEXEXTRACT(SPLIT(BK110,"";""&amp;CHAR(10)),""\[(.+)\]"")),AE:AT,16,false))))"),"")</f>
        <v/>
      </c>
      <c r="AX110" s="139" t="str">
        <f t="shared" si="6"/>
        <v/>
      </c>
      <c r="AY110" s="139" t="str">
        <f t="shared" si="7"/>
        <v/>
      </c>
      <c r="AZ110" s="106" t="str">
        <f>IFERROR(__xludf.DUMMYFUNCTION("IF(ISBLANK(AD110), BC110, TEXTJOIN(CHAR(10) &amp; CHAR(10), TRUE, ARRAYFORMULA(VLOOKUP(SPLIT(AD110, "";"" &amp; CHAR(10)), $AC:$AY, 23, FALSE))))"),"")</f>
        <v/>
      </c>
      <c r="BA110" s="140" t="s">
        <v>66</v>
      </c>
      <c r="BB110" s="190"/>
      <c r="BC110" s="196"/>
      <c r="BD110" s="106" t="str">
        <f>IFERROR(__xludf.DUMMYFUNCTION("IF(IFERROR(SEARCH(""&lt;&lt;mechanism to realize the capability&gt;&gt;"",BA110),0)=0,
 ""!! Error !! “Capability&amp;Mechanism” column: Invalid Separator:"" &amp; CHAR(10) &amp; ""Insert separator “&lt;&lt;mechanism to realize the capability&gt;&gt;.”"",
 IF(
  LEN(TRIM(CLEAN(
    INDEX(
 "&amp;"     SPLIT(BA110,""&lt;&lt;mechanism to realize the capability&gt;&gt;"",FALSE,FALSE),
      1
    )
  )))=0,
  ""!! Error !! “Capability&amp;Mechanism” column: No Capability:""  &amp; CHAR(10) &amp; ""Describe Capability before separator."",
  INDEX(
    SPLIT(BA110,""&lt;&lt;mechani"&amp;"sm to realize the capability&gt;&gt;"",FALSE,FALSE),
    1
  )
 )
)
"),"!! Error !! “Capability&amp;Mechanism” column: No Capability:
Describe Capability before separator.")</f>
        <v>!! Error !! “Capability&amp;Mechanism” column: No Capability:
Describe Capability before separator.</v>
      </c>
      <c r="BE110" s="190"/>
      <c r="BF110" s="195"/>
      <c r="BG110" s="42"/>
      <c r="BH110" s="190"/>
      <c r="BI110" s="196"/>
      <c r="BJ110" s="42"/>
      <c r="BK110" s="42"/>
      <c r="BL110" s="203"/>
      <c r="BM110" s="203"/>
      <c r="BN110" s="42"/>
      <c r="BO110" s="42"/>
      <c r="BP110" s="143"/>
      <c r="BQ110" s="143"/>
      <c r="BR110" s="192"/>
      <c r="BS110" s="192"/>
      <c r="BT110" s="192"/>
      <c r="BU110" s="192"/>
      <c r="BV110" s="192"/>
      <c r="BW110" s="192"/>
      <c r="BX110" s="146" t="str">
        <f t="shared" si="8"/>
        <v/>
      </c>
    </row>
    <row r="111">
      <c r="A111" s="106" t="str">
        <f t="shared" si="1"/>
        <v/>
      </c>
      <c r="B111" s="183" t="str">
        <f t="array" ref="B111">IF(ISBLANK($AE111), "-",INDEX(Circuits!A:A,SUMPRODUCT(EXACT($AE111,Circuits!$A:$A)*ROW(Circuits!$A:$A))))</f>
        <v>-</v>
      </c>
      <c r="C111" s="183" t="str">
        <f t="array" ref="C111">IF(ISBLANK($AE111), "-",INDEX(Circuits!B:B,SUMPRODUCT(EXACT($AE111,Circuits!$A:$A)*ROW(Circuits!$A:$A))))</f>
        <v>-</v>
      </c>
      <c r="D111" s="183" t="str">
        <f t="array" ref="D111">IF(ISBLANK($AE111), "-",INDEX(Circuits!C:C,SUMPRODUCT(EXACT($AE111,Circuits!$A:$A)*ROW(Circuits!$A:$A))))</f>
        <v>-</v>
      </c>
      <c r="E111" s="183" t="str">
        <f t="array" ref="E111">IF(ISBLANK($AE111), "-",INDEX(Circuits!D:D,SUMPRODUCT(EXACT($AE111,Circuits!$A:$A)*ROW(Circuits!$A:$A))))</f>
        <v>-</v>
      </c>
      <c r="F111" s="183" t="str">
        <f t="array" ref="F111">IF(ISBLANK($AE111), "-",INDEX(Circuits!E:E,SUMPRODUCT(EXACT($AE111,Circuits!$A:$A)*ROW(Circuits!$A:$A))))</f>
        <v>-</v>
      </c>
      <c r="G111" s="183" t="str">
        <f t="array" ref="G111">IF(ISBLANK($AE111), "-",INDEX(Circuits!F:F,SUMPRODUCT(EXACT($AE111,Circuits!$A:$A)*ROW(Circuits!$A:$A))))</f>
        <v>-</v>
      </c>
      <c r="H111" s="183" t="str">
        <f t="array" ref="H111">IF(ISBLANK($AE111), "-",INDEX(Circuits!G:G,SUMPRODUCT(EXACT($AE111,Circuits!$A:$A)*ROW(Circuits!$A:$A))))</f>
        <v>-</v>
      </c>
      <c r="I111" s="183" t="str">
        <f t="array" ref="I111">IF(ISBLANK($AE111), "-",INDEX(Circuits!H:H,SUMPRODUCT(EXACT($AE111,Circuits!$A:$A)*ROW(Circuits!$A:$A))))</f>
        <v>-</v>
      </c>
      <c r="J111" s="183" t="str">
        <f t="array" ref="J111">IF(ISBLANK($AE111), "-",INDEX(Circuits!I:I,SUMPRODUCT(EXACT($AE111,Circuits!$A:$A)*ROW(Circuits!$A:$A))))</f>
        <v>-</v>
      </c>
      <c r="K111" s="183" t="str">
        <f t="array" ref="K111">IF(ISBLANK($AE111), "-",INDEX(Circuits!J:J,SUMPRODUCT(EXACT($AE111,Circuits!$A:$A)*ROW(Circuits!$A:$A))))</f>
        <v>-</v>
      </c>
      <c r="L111" s="183" t="str">
        <f t="array" ref="L111">IF(ISBLANK($AE111), "-",INDEX(Circuits!K:K,SUMPRODUCT(EXACT($AE111,Circuits!$A:$A)*ROW(Circuits!$A:$A))))</f>
        <v>-</v>
      </c>
      <c r="M111" s="183" t="str">
        <f t="array" ref="M111">IF(ISBLANK($AE111), "-",INDEX(Circuits!L:L,SUMPRODUCT(EXACT($AE111,Circuits!$A:$A)*ROW(Circuits!$A:$A))))</f>
        <v>-</v>
      </c>
      <c r="N111" s="183" t="str">
        <f t="array" ref="N111">IF(ISBLANK($AE111), "-",INDEX(Circuits!M:M,SUMPRODUCT(EXACT($AE111,Circuits!$A:$A)*ROW(Circuits!$A:$A))))</f>
        <v>-</v>
      </c>
      <c r="O111" s="183" t="str">
        <f t="array" ref="O111">IF(ISBLANK($AE111), "-",INDEX(Circuits!N:N,SUMPRODUCT(EXACT($AE111,Circuits!$A:$A)*ROW(Circuits!$A:$A))))</f>
        <v>-</v>
      </c>
      <c r="P111" s="183" t="str">
        <f t="array" ref="P111">IF(ISBLANK($AE111), "-",INDEX(Circuits!O:O,SUMPRODUCT(EXACT($AE111,Circuits!$A:$A)*ROW(Circuits!$A:$A))))</f>
        <v>-</v>
      </c>
      <c r="Q111" s="183" t="str">
        <f t="array" ref="Q111">IF(ISBLANK($AE111), "-",INDEX(Circuits!P:P,SUMPRODUCT(EXACT($AE111,Circuits!$A:$A)*ROW(Circuits!$A:$A))))</f>
        <v>-</v>
      </c>
      <c r="R111" s="183" t="str">
        <f t="array" ref="R111">IF(ISBLANK($AE111), "-",INDEX(Circuits!Q:Q,SUMPRODUCT(EXACT($AE111,Circuits!$A:$A)*ROW(Circuits!$A:$A))))</f>
        <v>-</v>
      </c>
      <c r="S111" s="183" t="str">
        <f t="array" ref="S111">IF(ISBLANK($AE111), "-",INDEX(Circuits!R:R,SUMPRODUCT(EXACT($AE111,Circuits!$A:$A)*ROW(Circuits!$A:$A))))</f>
        <v>-</v>
      </c>
      <c r="T111" s="183" t="str">
        <f t="array" ref="T111">IF(ISBLANK($AE111), "-",INDEX(Circuits!S:S,SUMPRODUCT(EXACT($AE111,Circuits!$A:$A)*ROW(Circuits!$A:$A))))</f>
        <v>-</v>
      </c>
      <c r="U111" s="183" t="str">
        <f t="array" ref="U111">IF(ISBLANK($AE111), "-",INDEX(Circuits!T:T,SUMPRODUCT(EXACT($AE111,Circuits!$A:$A)*ROW(Circuits!$A:$A))))</f>
        <v>-</v>
      </c>
      <c r="V111" s="183" t="str">
        <f t="array" ref="V111">IF(ISBLANK($AE111), "-",INDEX(Circuits!U:U,SUMPRODUCT(EXACT($AE111,Circuits!$A:$A)*ROW(Circuits!$A:$A))))</f>
        <v>-</v>
      </c>
      <c r="W111" s="183" t="str">
        <f t="array" ref="W111">IF(ISBLANK($AE111), "-",INDEX(Circuits!V:V,SUMPRODUCT(EXACT($AE111,Circuits!$A:$A)*ROW(Circuits!$A:$A))))</f>
        <v>-</v>
      </c>
      <c r="X111" s="183" t="str">
        <f t="array" ref="X111">IF(ISBLANK($AE111), "-",INDEX(Circuits!W:W,SUMPRODUCT(EXACT($AE111,Circuits!$A:$A)*ROW(Circuits!$A:$A))))</f>
        <v>-</v>
      </c>
      <c r="Y111" s="183" t="str">
        <f t="array" ref="Y111">IF(ISBLANK($AE111), "-",INDEX(Circuits!X:X,SUMPRODUCT(EXACT($AE111,Circuits!$A:$A)*ROW(Circuits!$A:$A))))</f>
        <v>-</v>
      </c>
      <c r="Z111" s="108" t="str">
        <f>IFERROR(__xludf.DUMMYFUNCTION("IFNA(CONCATENATE(UNIQUE(FILTER(Connections!R:R,Connections!A:A=B111))),""-"")"),"-")</f>
        <v>-</v>
      </c>
      <c r="AA111" s="119" t="str">
        <f t="array" ref="AA111">IF(ISBLANK($AE111), "-",INDEX(Circuits!Y:Y,SUMPRODUCT(EXACT($AE111,Circuits!$A:$A)*ROW(Circuits!$A:$A))))</f>
        <v>-</v>
      </c>
      <c r="AB111" s="121" t="str">
        <f t="array" ref="AB111">IF(ISBLANK($AE111), "-",INDEX(Circuits!Z:Z,SUMPRODUCT(EXACT($AE111,Circuits!$A:$A)*ROW(Circuits!$A:$A))))</f>
        <v>-</v>
      </c>
      <c r="AC111" s="194"/>
      <c r="AD111" s="194"/>
      <c r="AE111" s="40"/>
      <c r="AF111" s="43"/>
      <c r="AG111" s="126" t="str">
        <f>IFERROR(__xludf.DUMMYFUNCTION("IF(ISBLANK(AF111), """", TEXTJOIN(CHAR(10),TRUE,ARRAYFORMULA(IF(ISERROR(SEARCH(SPLIT(AF111, "";""), $Z111)), ""x"", ""-""))))"),"")</f>
        <v/>
      </c>
      <c r="AH111" s="127" t="str">
        <f>IFERROR(__xludf.DUMMYFUNCTION("IF(ISBLANK(AK111), """", TEXTJOIN("";"" &amp; CHAR(10), TRUE, UNIQUE(SPLIT(AK111, "";"" &amp; CHAR(10)), TRUE))&amp;"";"")"),"")</f>
        <v/>
      </c>
      <c r="AI111" s="128" t="str">
        <f>IFERROR(__xludf.DUMMYFUNCTION("IF(ISBLANK(AD111), IF(ISBLANK(AE111),,IFNA(TEXTJOIN("";"" &amp; CHAR(10), TRUE, FILTER(AE:AE, SEARCH(AE111&amp;"";"", AJ:AJ)))&amp;"";"", """")), TEXTJOIN("";"" &amp; CHAR(10), TRUE, UNIQUE(SPLIT(AH111 &amp; "";"" &amp; AH111 &amp; "";"" &amp; AL111, "";"" &amp; CHAR(10)), TRUE, TRUE))&amp;"";"&amp;""")"),"")</f>
        <v/>
      </c>
      <c r="AJ111" s="126" t="str">
        <f>IFERROR(__xludf.DUMMYFUNCTION("IF(AN111="""", """", TEXTJOIN("";"" &amp; CHAR(10), TRUE, UNIQUE(SPLIT(AH111 &amp; "";"" &amp; AH111 &amp; "";"" &amp; AN111, "";"" &amp; CHAR(10)), TRUE, TRUE))&amp;"";"")"),"")</f>
        <v/>
      </c>
      <c r="AK111" s="129" t="str">
        <f>IFERROR(__xludf.DUMMYFUNCTION("IF(ISBLANK(AD111), IF(ISBLANK(AE111),,AE111 &amp; "";""), TEXTJOIN(CHAR(10), TRUE, ARRAYFORMULA(VLOOKUP(SPLIT(AD111, "";"" &amp; CHAR(10)), $AC:$AH, 6, FALSE))))"),"")</f>
        <v/>
      </c>
      <c r="AL111" s="130" t="str">
        <f>IFERROR(__xludf.DUMMYFUNCTION("IF(AM111="""", """", TEXTJOIN("";"" &amp; CHAR(10), TRUE, UNIQUE(SPLIT(AM111, "";"" &amp; CHAR(10)), TRUE))&amp;"";"")"),"")</f>
        <v/>
      </c>
      <c r="AM111" s="130" t="str">
        <f>IFERROR(__xludf.DUMMYFUNCTION("IF(ISBLANK(AD111), """", TEXTJOIN(CHAR(10), TRUE, ARRAYFORMULA(VLOOKUP(SPLIT(AH111, "";"" &amp; CHAR(10)), $AE:$AI, 5, FALSE)), AF111))"),"")</f>
        <v/>
      </c>
      <c r="AN111" s="132" t="str">
        <f>IFERROR(__xludf.DUMMYFUNCTION("IF(ISBLANK(AO111), """", TEXTJOIN("";"" &amp; CHAR(10), TRUE, UNIQUE(SPLIT(AO111, "";"" &amp; CHAR(10)), TRUE))&amp;"";"")"),"")</f>
        <v/>
      </c>
      <c r="AO111" s="134" t="str">
        <f>IFERROR(__xludf.DUMMYFUNCTION("IF(ISBLANK(AD111), AF111, TEXTJOIN(CHAR(10), TRUE, ARRAYFORMULA(VLOOKUP(SPLIT(AD111, "";"" &amp; CHAR(10)), $AC:$AN, 12, FALSE))))"),"")</f>
        <v/>
      </c>
      <c r="AP111" s="130" t="str">
        <f>IF(ISBLANK(AE111),,IF(IFERROR(SEARCH(AE111&amp;";",Circuits!$AO$2),0),TRUE,FALSE))</f>
        <v/>
      </c>
      <c r="AQ111" s="130" t="str">
        <f t="shared" si="2"/>
        <v/>
      </c>
      <c r="AR111" s="130" t="str">
        <f t="shared" si="3"/>
        <v/>
      </c>
      <c r="AS111" s="136" t="str">
        <f>IFERROR(__xludf.DUMMYFUNCTION("IF(AH111="""",,SUM(ARRAYFORMULA(IF(IFERROR(SEARCH(SPLIT(AH111,CHAR(10)),Circuits!$AO$2),0)&gt;0,0,1))))"),"")</f>
        <v/>
      </c>
      <c r="AT111" s="138" t="str">
        <f t="shared" si="4"/>
        <v/>
      </c>
      <c r="AU111" s="138" t="str">
        <f t="shared" si="5"/>
        <v/>
      </c>
      <c r="AV111" s="130" t="str">
        <f>IFERROR(__xludf.DUMMYFUNCTION("IF(AI111="""",,TEXTJOIN("", "",TRUE,ARRAYFORMULA(VLOOKUP(SPLIT(AI111,"";""&amp;CHAR(10)),AE:AT,16,FALSE))))"),"")</f>
        <v/>
      </c>
      <c r="AW111" s="130" t="str">
        <f>IFERROR(__xludf.DUMMYFUNCTION("IF(ISBLANK(BK111),,TEXTJOIN("", "",TRUE,ARRAYFORMULA(VLOOKUP(IFERROR(REGEXEXTRACT(SPLIT(BK111,"";""&amp;CHAR(10)),""\[(.+)\]"")),AE:AT,16,false))))"),"")</f>
        <v/>
      </c>
      <c r="AX111" s="139" t="str">
        <f t="shared" si="6"/>
        <v/>
      </c>
      <c r="AY111" s="139" t="str">
        <f t="shared" si="7"/>
        <v/>
      </c>
      <c r="AZ111" s="106" t="str">
        <f>IFERROR(__xludf.DUMMYFUNCTION("IF(ISBLANK(AD111), BC111, TEXTJOIN(CHAR(10) &amp; CHAR(10), TRUE, ARRAYFORMULA(VLOOKUP(SPLIT(AD111, "";"" &amp; CHAR(10)), $AC:$AY, 23, FALSE))))"),"")</f>
        <v/>
      </c>
      <c r="BA111" s="140" t="s">
        <v>66</v>
      </c>
      <c r="BB111" s="190"/>
      <c r="BC111" s="196"/>
      <c r="BD111" s="106" t="str">
        <f>IFERROR(__xludf.DUMMYFUNCTION("IF(IFERROR(SEARCH(""&lt;&lt;mechanism to realize the capability&gt;&gt;"",BA111),0)=0,
 ""!! Error !! “Capability&amp;Mechanism” column: Invalid Separator:"" &amp; CHAR(10) &amp; ""Insert separator “&lt;&lt;mechanism to realize the capability&gt;&gt;.”"",
 IF(
  LEN(TRIM(CLEAN(
    INDEX(
 "&amp;"     SPLIT(BA111,""&lt;&lt;mechanism to realize the capability&gt;&gt;"",FALSE,FALSE),
      1
    )
  )))=0,
  ""!! Error !! “Capability&amp;Mechanism” column: No Capability:""  &amp; CHAR(10) &amp; ""Describe Capability before separator."",
  INDEX(
    SPLIT(BA111,""&lt;&lt;mechani"&amp;"sm to realize the capability&gt;&gt;"",FALSE,FALSE),
    1
  )
 )
)
"),"!! Error !! “Capability&amp;Mechanism” column: No Capability:
Describe Capability before separator.")</f>
        <v>!! Error !! “Capability&amp;Mechanism” column: No Capability:
Describe Capability before separator.</v>
      </c>
      <c r="BE111" s="190"/>
      <c r="BF111" s="195"/>
      <c r="BG111" s="42"/>
      <c r="BH111" s="190"/>
      <c r="BI111" s="196"/>
      <c r="BJ111" s="42"/>
      <c r="BK111" s="42"/>
      <c r="BL111" s="203"/>
      <c r="BM111" s="203"/>
      <c r="BN111" s="42"/>
      <c r="BO111" s="42"/>
      <c r="BP111" s="143"/>
      <c r="BQ111" s="143"/>
      <c r="BR111" s="192"/>
      <c r="BS111" s="192"/>
      <c r="BT111" s="192"/>
      <c r="BU111" s="192"/>
      <c r="BV111" s="192"/>
      <c r="BW111" s="192"/>
      <c r="BX111" s="146" t="str">
        <f t="shared" si="8"/>
        <v/>
      </c>
    </row>
    <row r="112">
      <c r="A112" s="106" t="str">
        <f t="shared" si="1"/>
        <v/>
      </c>
      <c r="B112" s="183" t="str">
        <f t="array" ref="B112">IF(ISBLANK($AE112), "-",INDEX(Circuits!A:A,SUMPRODUCT(EXACT($AE112,Circuits!$A:$A)*ROW(Circuits!$A:$A))))</f>
        <v>-</v>
      </c>
      <c r="C112" s="183" t="str">
        <f t="array" ref="C112">IF(ISBLANK($AE112), "-",INDEX(Circuits!B:B,SUMPRODUCT(EXACT($AE112,Circuits!$A:$A)*ROW(Circuits!$A:$A))))</f>
        <v>-</v>
      </c>
      <c r="D112" s="183" t="str">
        <f t="array" ref="D112">IF(ISBLANK($AE112), "-",INDEX(Circuits!C:C,SUMPRODUCT(EXACT($AE112,Circuits!$A:$A)*ROW(Circuits!$A:$A))))</f>
        <v>-</v>
      </c>
      <c r="E112" s="183" t="str">
        <f t="array" ref="E112">IF(ISBLANK($AE112), "-",INDEX(Circuits!D:D,SUMPRODUCT(EXACT($AE112,Circuits!$A:$A)*ROW(Circuits!$A:$A))))</f>
        <v>-</v>
      </c>
      <c r="F112" s="183" t="str">
        <f t="array" ref="F112">IF(ISBLANK($AE112), "-",INDEX(Circuits!E:E,SUMPRODUCT(EXACT($AE112,Circuits!$A:$A)*ROW(Circuits!$A:$A))))</f>
        <v>-</v>
      </c>
      <c r="G112" s="183" t="str">
        <f t="array" ref="G112">IF(ISBLANK($AE112), "-",INDEX(Circuits!F:F,SUMPRODUCT(EXACT($AE112,Circuits!$A:$A)*ROW(Circuits!$A:$A))))</f>
        <v>-</v>
      </c>
      <c r="H112" s="183" t="str">
        <f t="array" ref="H112">IF(ISBLANK($AE112), "-",INDEX(Circuits!G:G,SUMPRODUCT(EXACT($AE112,Circuits!$A:$A)*ROW(Circuits!$A:$A))))</f>
        <v>-</v>
      </c>
      <c r="I112" s="183" t="str">
        <f t="array" ref="I112">IF(ISBLANK($AE112), "-",INDEX(Circuits!H:H,SUMPRODUCT(EXACT($AE112,Circuits!$A:$A)*ROW(Circuits!$A:$A))))</f>
        <v>-</v>
      </c>
      <c r="J112" s="183" t="str">
        <f t="array" ref="J112">IF(ISBLANK($AE112), "-",INDEX(Circuits!I:I,SUMPRODUCT(EXACT($AE112,Circuits!$A:$A)*ROW(Circuits!$A:$A))))</f>
        <v>-</v>
      </c>
      <c r="K112" s="183" t="str">
        <f t="array" ref="K112">IF(ISBLANK($AE112), "-",INDEX(Circuits!J:J,SUMPRODUCT(EXACT($AE112,Circuits!$A:$A)*ROW(Circuits!$A:$A))))</f>
        <v>-</v>
      </c>
      <c r="L112" s="183" t="str">
        <f t="array" ref="L112">IF(ISBLANK($AE112), "-",INDEX(Circuits!K:K,SUMPRODUCT(EXACT($AE112,Circuits!$A:$A)*ROW(Circuits!$A:$A))))</f>
        <v>-</v>
      </c>
      <c r="M112" s="183" t="str">
        <f t="array" ref="M112">IF(ISBLANK($AE112), "-",INDEX(Circuits!L:L,SUMPRODUCT(EXACT($AE112,Circuits!$A:$A)*ROW(Circuits!$A:$A))))</f>
        <v>-</v>
      </c>
      <c r="N112" s="183" t="str">
        <f t="array" ref="N112">IF(ISBLANK($AE112), "-",INDEX(Circuits!M:M,SUMPRODUCT(EXACT($AE112,Circuits!$A:$A)*ROW(Circuits!$A:$A))))</f>
        <v>-</v>
      </c>
      <c r="O112" s="183" t="str">
        <f t="array" ref="O112">IF(ISBLANK($AE112), "-",INDEX(Circuits!N:N,SUMPRODUCT(EXACT($AE112,Circuits!$A:$A)*ROW(Circuits!$A:$A))))</f>
        <v>-</v>
      </c>
      <c r="P112" s="183" t="str">
        <f t="array" ref="P112">IF(ISBLANK($AE112), "-",INDEX(Circuits!O:O,SUMPRODUCT(EXACT($AE112,Circuits!$A:$A)*ROW(Circuits!$A:$A))))</f>
        <v>-</v>
      </c>
      <c r="Q112" s="183" t="str">
        <f t="array" ref="Q112">IF(ISBLANK($AE112), "-",INDEX(Circuits!P:P,SUMPRODUCT(EXACT($AE112,Circuits!$A:$A)*ROW(Circuits!$A:$A))))</f>
        <v>-</v>
      </c>
      <c r="R112" s="183" t="str">
        <f t="array" ref="R112">IF(ISBLANK($AE112), "-",INDEX(Circuits!Q:Q,SUMPRODUCT(EXACT($AE112,Circuits!$A:$A)*ROW(Circuits!$A:$A))))</f>
        <v>-</v>
      </c>
      <c r="S112" s="183" t="str">
        <f t="array" ref="S112">IF(ISBLANK($AE112), "-",INDEX(Circuits!R:R,SUMPRODUCT(EXACT($AE112,Circuits!$A:$A)*ROW(Circuits!$A:$A))))</f>
        <v>-</v>
      </c>
      <c r="T112" s="183" t="str">
        <f t="array" ref="T112">IF(ISBLANK($AE112), "-",INDEX(Circuits!S:S,SUMPRODUCT(EXACT($AE112,Circuits!$A:$A)*ROW(Circuits!$A:$A))))</f>
        <v>-</v>
      </c>
      <c r="U112" s="183" t="str">
        <f t="array" ref="U112">IF(ISBLANK($AE112), "-",INDEX(Circuits!T:T,SUMPRODUCT(EXACT($AE112,Circuits!$A:$A)*ROW(Circuits!$A:$A))))</f>
        <v>-</v>
      </c>
      <c r="V112" s="183" t="str">
        <f t="array" ref="V112">IF(ISBLANK($AE112), "-",INDEX(Circuits!U:U,SUMPRODUCT(EXACT($AE112,Circuits!$A:$A)*ROW(Circuits!$A:$A))))</f>
        <v>-</v>
      </c>
      <c r="W112" s="183" t="str">
        <f t="array" ref="W112">IF(ISBLANK($AE112), "-",INDEX(Circuits!V:V,SUMPRODUCT(EXACT($AE112,Circuits!$A:$A)*ROW(Circuits!$A:$A))))</f>
        <v>-</v>
      </c>
      <c r="X112" s="183" t="str">
        <f t="array" ref="X112">IF(ISBLANK($AE112), "-",INDEX(Circuits!W:W,SUMPRODUCT(EXACT($AE112,Circuits!$A:$A)*ROW(Circuits!$A:$A))))</f>
        <v>-</v>
      </c>
      <c r="Y112" s="183" t="str">
        <f t="array" ref="Y112">IF(ISBLANK($AE112), "-",INDEX(Circuits!X:X,SUMPRODUCT(EXACT($AE112,Circuits!$A:$A)*ROW(Circuits!$A:$A))))</f>
        <v>-</v>
      </c>
      <c r="Z112" s="108" t="str">
        <f>IFERROR(__xludf.DUMMYFUNCTION("IFNA(CONCATENATE(UNIQUE(FILTER(Connections!R:R,Connections!A:A=B112))),""-"")"),"-")</f>
        <v>-</v>
      </c>
      <c r="AA112" s="119" t="str">
        <f t="array" ref="AA112">IF(ISBLANK($AE112), "-",INDEX(Circuits!Y:Y,SUMPRODUCT(EXACT($AE112,Circuits!$A:$A)*ROW(Circuits!$A:$A))))</f>
        <v>-</v>
      </c>
      <c r="AB112" s="121" t="str">
        <f t="array" ref="AB112">IF(ISBLANK($AE112), "-",INDEX(Circuits!Z:Z,SUMPRODUCT(EXACT($AE112,Circuits!$A:$A)*ROW(Circuits!$A:$A))))</f>
        <v>-</v>
      </c>
      <c r="AC112" s="194"/>
      <c r="AD112" s="194"/>
      <c r="AE112" s="40"/>
      <c r="AF112" s="43"/>
      <c r="AG112" s="126" t="str">
        <f>IFERROR(__xludf.DUMMYFUNCTION("IF(ISBLANK(AF112), """", TEXTJOIN(CHAR(10),TRUE,ARRAYFORMULA(IF(ISERROR(SEARCH(SPLIT(AF112, "";""), $Z112)), ""x"", ""-""))))"),"")</f>
        <v/>
      </c>
      <c r="AH112" s="127" t="str">
        <f>IFERROR(__xludf.DUMMYFUNCTION("IF(ISBLANK(AK112), """", TEXTJOIN("";"" &amp; CHAR(10), TRUE, UNIQUE(SPLIT(AK112, "";"" &amp; CHAR(10)), TRUE))&amp;"";"")"),"")</f>
        <v/>
      </c>
      <c r="AI112" s="128" t="str">
        <f>IFERROR(__xludf.DUMMYFUNCTION("IF(ISBLANK(AD112), IF(ISBLANK(AE112),,IFNA(TEXTJOIN("";"" &amp; CHAR(10), TRUE, FILTER(AE:AE, SEARCH(AE112&amp;"";"", AJ:AJ)))&amp;"";"", """")), TEXTJOIN("";"" &amp; CHAR(10), TRUE, UNIQUE(SPLIT(AH112 &amp; "";"" &amp; AH112 &amp; "";"" &amp; AL112, "";"" &amp; CHAR(10)), TRUE, TRUE))&amp;"";"&amp;""")"),"")</f>
        <v/>
      </c>
      <c r="AJ112" s="126" t="str">
        <f>IFERROR(__xludf.DUMMYFUNCTION("IF(AN112="""", """", TEXTJOIN("";"" &amp; CHAR(10), TRUE, UNIQUE(SPLIT(AH112 &amp; "";"" &amp; AH112 &amp; "";"" &amp; AN112, "";"" &amp; CHAR(10)), TRUE, TRUE))&amp;"";"")"),"")</f>
        <v/>
      </c>
      <c r="AK112" s="129" t="str">
        <f>IFERROR(__xludf.DUMMYFUNCTION("IF(ISBLANK(AD112), IF(ISBLANK(AE112),,AE112 &amp; "";""), TEXTJOIN(CHAR(10), TRUE, ARRAYFORMULA(VLOOKUP(SPLIT(AD112, "";"" &amp; CHAR(10)), $AC:$AH, 6, FALSE))))"),"")</f>
        <v/>
      </c>
      <c r="AL112" s="130" t="str">
        <f>IFERROR(__xludf.DUMMYFUNCTION("IF(AM112="""", """", TEXTJOIN("";"" &amp; CHAR(10), TRUE, UNIQUE(SPLIT(AM112, "";"" &amp; CHAR(10)), TRUE))&amp;"";"")"),"")</f>
        <v/>
      </c>
      <c r="AM112" s="130" t="str">
        <f>IFERROR(__xludf.DUMMYFUNCTION("IF(ISBLANK(AD112), """", TEXTJOIN(CHAR(10), TRUE, ARRAYFORMULA(VLOOKUP(SPLIT(AH112, "";"" &amp; CHAR(10)), $AE:$AI, 5, FALSE)), AF112))"),"")</f>
        <v/>
      </c>
      <c r="AN112" s="132" t="str">
        <f>IFERROR(__xludf.DUMMYFUNCTION("IF(ISBLANK(AO112), """", TEXTJOIN("";"" &amp; CHAR(10), TRUE, UNIQUE(SPLIT(AO112, "";"" &amp; CHAR(10)), TRUE))&amp;"";"")"),"")</f>
        <v/>
      </c>
      <c r="AO112" s="134" t="str">
        <f>IFERROR(__xludf.DUMMYFUNCTION("IF(ISBLANK(AD112), AF112, TEXTJOIN(CHAR(10), TRUE, ARRAYFORMULA(VLOOKUP(SPLIT(AD112, "";"" &amp; CHAR(10)), $AC:$AN, 12, FALSE))))"),"")</f>
        <v/>
      </c>
      <c r="AP112" s="130" t="str">
        <f>IF(ISBLANK(AE112),,IF(IFERROR(SEARCH(AE112&amp;";",Circuits!$AO$2),0),TRUE,FALSE))</f>
        <v/>
      </c>
      <c r="AQ112" s="130" t="str">
        <f t="shared" si="2"/>
        <v/>
      </c>
      <c r="AR112" s="130" t="str">
        <f t="shared" si="3"/>
        <v/>
      </c>
      <c r="AS112" s="136" t="str">
        <f>IFERROR(__xludf.DUMMYFUNCTION("IF(AH112="""",,SUM(ARRAYFORMULA(IF(IFERROR(SEARCH(SPLIT(AH112,CHAR(10)),Circuits!$AO$2),0)&gt;0,0,1))))"),"")</f>
        <v/>
      </c>
      <c r="AT112" s="138" t="str">
        <f t="shared" si="4"/>
        <v/>
      </c>
      <c r="AU112" s="138" t="str">
        <f t="shared" si="5"/>
        <v/>
      </c>
      <c r="AV112" s="130" t="str">
        <f>IFERROR(__xludf.DUMMYFUNCTION("IF(AI112="""",,TEXTJOIN("", "",TRUE,ARRAYFORMULA(VLOOKUP(SPLIT(AI112,"";""&amp;CHAR(10)),AE:AT,16,FALSE))))"),"")</f>
        <v/>
      </c>
      <c r="AW112" s="130" t="str">
        <f>IFERROR(__xludf.DUMMYFUNCTION("IF(ISBLANK(BK112),,TEXTJOIN("", "",TRUE,ARRAYFORMULA(VLOOKUP(IFERROR(REGEXEXTRACT(SPLIT(BK112,"";""&amp;CHAR(10)),""\[(.+)\]"")),AE:AT,16,false))))"),"")</f>
        <v/>
      </c>
      <c r="AX112" s="139" t="str">
        <f t="shared" si="6"/>
        <v/>
      </c>
      <c r="AY112" s="139" t="str">
        <f t="shared" si="7"/>
        <v/>
      </c>
      <c r="AZ112" s="106" t="str">
        <f>IFERROR(__xludf.DUMMYFUNCTION("IF(ISBLANK(AD112), BC112, TEXTJOIN(CHAR(10) &amp; CHAR(10), TRUE, ARRAYFORMULA(VLOOKUP(SPLIT(AD112, "";"" &amp; CHAR(10)), $AC:$AY, 23, FALSE))))"),"")</f>
        <v/>
      </c>
      <c r="BA112" s="140" t="s">
        <v>66</v>
      </c>
      <c r="BB112" s="190"/>
      <c r="BC112" s="196"/>
      <c r="BD112" s="106" t="str">
        <f>IFERROR(__xludf.DUMMYFUNCTION("IF(IFERROR(SEARCH(""&lt;&lt;mechanism to realize the capability&gt;&gt;"",BA112),0)=0,
 ""!! Error !! “Capability&amp;Mechanism” column: Invalid Separator:"" &amp; CHAR(10) &amp; ""Insert separator “&lt;&lt;mechanism to realize the capability&gt;&gt;.”"",
 IF(
  LEN(TRIM(CLEAN(
    INDEX(
 "&amp;"     SPLIT(BA112,""&lt;&lt;mechanism to realize the capability&gt;&gt;"",FALSE,FALSE),
      1
    )
  )))=0,
  ""!! Error !! “Capability&amp;Mechanism” column: No Capability:""  &amp; CHAR(10) &amp; ""Describe Capability before separator."",
  INDEX(
    SPLIT(BA112,""&lt;&lt;mechani"&amp;"sm to realize the capability&gt;&gt;"",FALSE,FALSE),
    1
  )
 )
)
"),"!! Error !! “Capability&amp;Mechanism” column: No Capability:
Describe Capability before separator.")</f>
        <v>!! Error !! “Capability&amp;Mechanism” column: No Capability:
Describe Capability before separator.</v>
      </c>
      <c r="BE112" s="190"/>
      <c r="BF112" s="195"/>
      <c r="BG112" s="42"/>
      <c r="BH112" s="190"/>
      <c r="BI112" s="196"/>
      <c r="BJ112" s="42"/>
      <c r="BK112" s="42"/>
      <c r="BL112" s="203"/>
      <c r="BM112" s="203"/>
      <c r="BN112" s="42"/>
      <c r="BO112" s="42"/>
      <c r="BP112" s="143"/>
      <c r="BQ112" s="143"/>
      <c r="BR112" s="192"/>
      <c r="BS112" s="192"/>
      <c r="BT112" s="192"/>
      <c r="BU112" s="192"/>
      <c r="BV112" s="192"/>
      <c r="BW112" s="192"/>
      <c r="BX112" s="146" t="str">
        <f t="shared" si="8"/>
        <v/>
      </c>
    </row>
    <row r="113">
      <c r="A113" s="106" t="str">
        <f t="shared" si="1"/>
        <v/>
      </c>
      <c r="B113" s="183" t="str">
        <f t="array" ref="B113">IF(ISBLANK($AE113), "-",INDEX(Circuits!A:A,SUMPRODUCT(EXACT($AE113,Circuits!$A:$A)*ROW(Circuits!$A:$A))))</f>
        <v>-</v>
      </c>
      <c r="C113" s="183" t="str">
        <f t="array" ref="C113">IF(ISBLANK($AE113), "-",INDEX(Circuits!B:B,SUMPRODUCT(EXACT($AE113,Circuits!$A:$A)*ROW(Circuits!$A:$A))))</f>
        <v>-</v>
      </c>
      <c r="D113" s="183" t="str">
        <f t="array" ref="D113">IF(ISBLANK($AE113), "-",INDEX(Circuits!C:C,SUMPRODUCT(EXACT($AE113,Circuits!$A:$A)*ROW(Circuits!$A:$A))))</f>
        <v>-</v>
      </c>
      <c r="E113" s="183" t="str">
        <f t="array" ref="E113">IF(ISBLANK($AE113), "-",INDEX(Circuits!D:D,SUMPRODUCT(EXACT($AE113,Circuits!$A:$A)*ROW(Circuits!$A:$A))))</f>
        <v>-</v>
      </c>
      <c r="F113" s="183" t="str">
        <f t="array" ref="F113">IF(ISBLANK($AE113), "-",INDEX(Circuits!E:E,SUMPRODUCT(EXACT($AE113,Circuits!$A:$A)*ROW(Circuits!$A:$A))))</f>
        <v>-</v>
      </c>
      <c r="G113" s="183" t="str">
        <f t="array" ref="G113">IF(ISBLANK($AE113), "-",INDEX(Circuits!F:F,SUMPRODUCT(EXACT($AE113,Circuits!$A:$A)*ROW(Circuits!$A:$A))))</f>
        <v>-</v>
      </c>
      <c r="H113" s="183" t="str">
        <f t="array" ref="H113">IF(ISBLANK($AE113), "-",INDEX(Circuits!G:G,SUMPRODUCT(EXACT($AE113,Circuits!$A:$A)*ROW(Circuits!$A:$A))))</f>
        <v>-</v>
      </c>
      <c r="I113" s="183" t="str">
        <f t="array" ref="I113">IF(ISBLANK($AE113), "-",INDEX(Circuits!H:H,SUMPRODUCT(EXACT($AE113,Circuits!$A:$A)*ROW(Circuits!$A:$A))))</f>
        <v>-</v>
      </c>
      <c r="J113" s="183" t="str">
        <f t="array" ref="J113">IF(ISBLANK($AE113), "-",INDEX(Circuits!I:I,SUMPRODUCT(EXACT($AE113,Circuits!$A:$A)*ROW(Circuits!$A:$A))))</f>
        <v>-</v>
      </c>
      <c r="K113" s="183" t="str">
        <f t="array" ref="K113">IF(ISBLANK($AE113), "-",INDEX(Circuits!J:J,SUMPRODUCT(EXACT($AE113,Circuits!$A:$A)*ROW(Circuits!$A:$A))))</f>
        <v>-</v>
      </c>
      <c r="L113" s="183" t="str">
        <f t="array" ref="L113">IF(ISBLANK($AE113), "-",INDEX(Circuits!K:K,SUMPRODUCT(EXACT($AE113,Circuits!$A:$A)*ROW(Circuits!$A:$A))))</f>
        <v>-</v>
      </c>
      <c r="M113" s="183" t="str">
        <f t="array" ref="M113">IF(ISBLANK($AE113), "-",INDEX(Circuits!L:L,SUMPRODUCT(EXACT($AE113,Circuits!$A:$A)*ROW(Circuits!$A:$A))))</f>
        <v>-</v>
      </c>
      <c r="N113" s="183" t="str">
        <f t="array" ref="N113">IF(ISBLANK($AE113), "-",INDEX(Circuits!M:M,SUMPRODUCT(EXACT($AE113,Circuits!$A:$A)*ROW(Circuits!$A:$A))))</f>
        <v>-</v>
      </c>
      <c r="O113" s="183" t="str">
        <f t="array" ref="O113">IF(ISBLANK($AE113), "-",INDEX(Circuits!N:N,SUMPRODUCT(EXACT($AE113,Circuits!$A:$A)*ROW(Circuits!$A:$A))))</f>
        <v>-</v>
      </c>
      <c r="P113" s="183" t="str">
        <f t="array" ref="P113">IF(ISBLANK($AE113), "-",INDEX(Circuits!O:O,SUMPRODUCT(EXACT($AE113,Circuits!$A:$A)*ROW(Circuits!$A:$A))))</f>
        <v>-</v>
      </c>
      <c r="Q113" s="183" t="str">
        <f t="array" ref="Q113">IF(ISBLANK($AE113), "-",INDEX(Circuits!P:P,SUMPRODUCT(EXACT($AE113,Circuits!$A:$A)*ROW(Circuits!$A:$A))))</f>
        <v>-</v>
      </c>
      <c r="R113" s="183" t="str">
        <f t="array" ref="R113">IF(ISBLANK($AE113), "-",INDEX(Circuits!Q:Q,SUMPRODUCT(EXACT($AE113,Circuits!$A:$A)*ROW(Circuits!$A:$A))))</f>
        <v>-</v>
      </c>
      <c r="S113" s="183" t="str">
        <f t="array" ref="S113">IF(ISBLANK($AE113), "-",INDEX(Circuits!R:R,SUMPRODUCT(EXACT($AE113,Circuits!$A:$A)*ROW(Circuits!$A:$A))))</f>
        <v>-</v>
      </c>
      <c r="T113" s="183" t="str">
        <f t="array" ref="T113">IF(ISBLANK($AE113), "-",INDEX(Circuits!S:S,SUMPRODUCT(EXACT($AE113,Circuits!$A:$A)*ROW(Circuits!$A:$A))))</f>
        <v>-</v>
      </c>
      <c r="U113" s="183" t="str">
        <f t="array" ref="U113">IF(ISBLANK($AE113), "-",INDEX(Circuits!T:T,SUMPRODUCT(EXACT($AE113,Circuits!$A:$A)*ROW(Circuits!$A:$A))))</f>
        <v>-</v>
      </c>
      <c r="V113" s="183" t="str">
        <f t="array" ref="V113">IF(ISBLANK($AE113), "-",INDEX(Circuits!U:U,SUMPRODUCT(EXACT($AE113,Circuits!$A:$A)*ROW(Circuits!$A:$A))))</f>
        <v>-</v>
      </c>
      <c r="W113" s="183" t="str">
        <f t="array" ref="W113">IF(ISBLANK($AE113), "-",INDEX(Circuits!V:V,SUMPRODUCT(EXACT($AE113,Circuits!$A:$A)*ROW(Circuits!$A:$A))))</f>
        <v>-</v>
      </c>
      <c r="X113" s="183" t="str">
        <f t="array" ref="X113">IF(ISBLANK($AE113), "-",INDEX(Circuits!W:W,SUMPRODUCT(EXACT($AE113,Circuits!$A:$A)*ROW(Circuits!$A:$A))))</f>
        <v>-</v>
      </c>
      <c r="Y113" s="183" t="str">
        <f t="array" ref="Y113">IF(ISBLANK($AE113), "-",INDEX(Circuits!X:X,SUMPRODUCT(EXACT($AE113,Circuits!$A:$A)*ROW(Circuits!$A:$A))))</f>
        <v>-</v>
      </c>
      <c r="Z113" s="108" t="str">
        <f>IFERROR(__xludf.DUMMYFUNCTION("IFNA(CONCATENATE(UNIQUE(FILTER(Connections!R:R,Connections!A:A=B113))),""-"")"),"-")</f>
        <v>-</v>
      </c>
      <c r="AA113" s="119" t="str">
        <f t="array" ref="AA113">IF(ISBLANK($AE113), "-",INDEX(Circuits!Y:Y,SUMPRODUCT(EXACT($AE113,Circuits!$A:$A)*ROW(Circuits!$A:$A))))</f>
        <v>-</v>
      </c>
      <c r="AB113" s="121" t="str">
        <f t="array" ref="AB113">IF(ISBLANK($AE113), "-",INDEX(Circuits!Z:Z,SUMPRODUCT(EXACT($AE113,Circuits!$A:$A)*ROW(Circuits!$A:$A))))</f>
        <v>-</v>
      </c>
      <c r="AC113" s="194"/>
      <c r="AD113" s="194"/>
      <c r="AE113" s="40"/>
      <c r="AF113" s="43"/>
      <c r="AG113" s="126" t="str">
        <f>IFERROR(__xludf.DUMMYFUNCTION("IF(ISBLANK(AF113), """", TEXTJOIN(CHAR(10),TRUE,ARRAYFORMULA(IF(ISERROR(SEARCH(SPLIT(AF113, "";""), $Z113)), ""x"", ""-""))))"),"")</f>
        <v/>
      </c>
      <c r="AH113" s="127" t="str">
        <f>IFERROR(__xludf.DUMMYFUNCTION("IF(ISBLANK(AK113), """", TEXTJOIN("";"" &amp; CHAR(10), TRUE, UNIQUE(SPLIT(AK113, "";"" &amp; CHAR(10)), TRUE))&amp;"";"")"),"")</f>
        <v/>
      </c>
      <c r="AI113" s="128" t="str">
        <f>IFERROR(__xludf.DUMMYFUNCTION("IF(ISBLANK(AD113), IF(ISBLANK(AE113),,IFNA(TEXTJOIN("";"" &amp; CHAR(10), TRUE, FILTER(AE:AE, SEARCH(AE113&amp;"";"", AJ:AJ)))&amp;"";"", """")), TEXTJOIN("";"" &amp; CHAR(10), TRUE, UNIQUE(SPLIT(AH113 &amp; "";"" &amp; AH113 &amp; "";"" &amp; AL113, "";"" &amp; CHAR(10)), TRUE, TRUE))&amp;"";"&amp;""")"),"")</f>
        <v/>
      </c>
      <c r="AJ113" s="126" t="str">
        <f>IFERROR(__xludf.DUMMYFUNCTION("IF(AN113="""", """", TEXTJOIN("";"" &amp; CHAR(10), TRUE, UNIQUE(SPLIT(AH113 &amp; "";"" &amp; AH113 &amp; "";"" &amp; AN113, "";"" &amp; CHAR(10)), TRUE, TRUE))&amp;"";"")"),"")</f>
        <v/>
      </c>
      <c r="AK113" s="129" t="str">
        <f>IFERROR(__xludf.DUMMYFUNCTION("IF(ISBLANK(AD113), IF(ISBLANK(AE113),,AE113 &amp; "";""), TEXTJOIN(CHAR(10), TRUE, ARRAYFORMULA(VLOOKUP(SPLIT(AD113, "";"" &amp; CHAR(10)), $AC:$AH, 6, FALSE))))"),"")</f>
        <v/>
      </c>
      <c r="AL113" s="130" t="str">
        <f>IFERROR(__xludf.DUMMYFUNCTION("IF(AM113="""", """", TEXTJOIN("";"" &amp; CHAR(10), TRUE, UNIQUE(SPLIT(AM113, "";"" &amp; CHAR(10)), TRUE))&amp;"";"")"),"")</f>
        <v/>
      </c>
      <c r="AM113" s="130" t="str">
        <f>IFERROR(__xludf.DUMMYFUNCTION("IF(ISBLANK(AD113), """", TEXTJOIN(CHAR(10), TRUE, ARRAYFORMULA(VLOOKUP(SPLIT(AH113, "";"" &amp; CHAR(10)), $AE:$AI, 5, FALSE)), AF113))"),"")</f>
        <v/>
      </c>
      <c r="AN113" s="132" t="str">
        <f>IFERROR(__xludf.DUMMYFUNCTION("IF(ISBLANK(AO113), """", TEXTJOIN("";"" &amp; CHAR(10), TRUE, UNIQUE(SPLIT(AO113, "";"" &amp; CHAR(10)), TRUE))&amp;"";"")"),"")</f>
        <v/>
      </c>
      <c r="AO113" s="134" t="str">
        <f>IFERROR(__xludf.DUMMYFUNCTION("IF(ISBLANK(AD113), AF113, TEXTJOIN(CHAR(10), TRUE, ARRAYFORMULA(VLOOKUP(SPLIT(AD113, "";"" &amp; CHAR(10)), $AC:$AN, 12, FALSE))))"),"")</f>
        <v/>
      </c>
      <c r="AP113" s="130" t="str">
        <f>IF(ISBLANK(AE113),,IF(IFERROR(SEARCH(AE113&amp;";",Circuits!$AO$2),0),TRUE,FALSE))</f>
        <v/>
      </c>
      <c r="AQ113" s="130" t="str">
        <f t="shared" si="2"/>
        <v/>
      </c>
      <c r="AR113" s="130" t="str">
        <f t="shared" si="3"/>
        <v/>
      </c>
      <c r="AS113" s="136" t="str">
        <f>IFERROR(__xludf.DUMMYFUNCTION("IF(AH113="""",,SUM(ARRAYFORMULA(IF(IFERROR(SEARCH(SPLIT(AH113,CHAR(10)),Circuits!$AO$2),0)&gt;0,0,1))))"),"")</f>
        <v/>
      </c>
      <c r="AT113" s="138" t="str">
        <f t="shared" si="4"/>
        <v/>
      </c>
      <c r="AU113" s="138" t="str">
        <f t="shared" si="5"/>
        <v/>
      </c>
      <c r="AV113" s="130" t="str">
        <f>IFERROR(__xludf.DUMMYFUNCTION("IF(AI113="""",,TEXTJOIN("", "",TRUE,ARRAYFORMULA(VLOOKUP(SPLIT(AI113,"";""&amp;CHAR(10)),AE:AT,16,FALSE))))"),"")</f>
        <v/>
      </c>
      <c r="AW113" s="130" t="str">
        <f>IFERROR(__xludf.DUMMYFUNCTION("IF(ISBLANK(BK113),,TEXTJOIN("", "",TRUE,ARRAYFORMULA(VLOOKUP(IFERROR(REGEXEXTRACT(SPLIT(BK113,"";""&amp;CHAR(10)),""\[(.+)\]"")),AE:AT,16,false))))"),"")</f>
        <v/>
      </c>
      <c r="AX113" s="139" t="str">
        <f t="shared" si="6"/>
        <v/>
      </c>
      <c r="AY113" s="139" t="str">
        <f t="shared" si="7"/>
        <v/>
      </c>
      <c r="AZ113" s="106" t="str">
        <f>IFERROR(__xludf.DUMMYFUNCTION("IF(ISBLANK(AD113), BC113, TEXTJOIN(CHAR(10) &amp; CHAR(10), TRUE, ARRAYFORMULA(VLOOKUP(SPLIT(AD113, "";"" &amp; CHAR(10)), $AC:$AY, 23, FALSE))))"),"")</f>
        <v/>
      </c>
      <c r="BA113" s="140" t="s">
        <v>66</v>
      </c>
      <c r="BB113" s="190"/>
      <c r="BC113" s="196"/>
      <c r="BD113" s="106" t="str">
        <f>IFERROR(__xludf.DUMMYFUNCTION("IF(IFERROR(SEARCH(""&lt;&lt;mechanism to realize the capability&gt;&gt;"",BA113),0)=0,
 ""!! Error !! “Capability&amp;Mechanism” column: Invalid Separator:"" &amp; CHAR(10) &amp; ""Insert separator “&lt;&lt;mechanism to realize the capability&gt;&gt;.”"",
 IF(
  LEN(TRIM(CLEAN(
    INDEX(
 "&amp;"     SPLIT(BA113,""&lt;&lt;mechanism to realize the capability&gt;&gt;"",FALSE,FALSE),
      1
    )
  )))=0,
  ""!! Error !! “Capability&amp;Mechanism” column: No Capability:""  &amp; CHAR(10) &amp; ""Describe Capability before separator."",
  INDEX(
    SPLIT(BA113,""&lt;&lt;mechani"&amp;"sm to realize the capability&gt;&gt;"",FALSE,FALSE),
    1
  )
 )
)
"),"!! Error !! “Capability&amp;Mechanism” column: No Capability:
Describe Capability before separator.")</f>
        <v>!! Error !! “Capability&amp;Mechanism” column: No Capability:
Describe Capability before separator.</v>
      </c>
      <c r="BE113" s="190"/>
      <c r="BF113" s="195"/>
      <c r="BG113" s="42"/>
      <c r="BH113" s="190"/>
      <c r="BI113" s="196"/>
      <c r="BJ113" s="42"/>
      <c r="BK113" s="42"/>
      <c r="BL113" s="203"/>
      <c r="BM113" s="203"/>
      <c r="BN113" s="42"/>
      <c r="BO113" s="42"/>
      <c r="BP113" s="143"/>
      <c r="BQ113" s="143"/>
      <c r="BR113" s="192"/>
      <c r="BS113" s="192"/>
      <c r="BT113" s="192"/>
      <c r="BU113" s="192"/>
      <c r="BV113" s="192"/>
      <c r="BW113" s="192"/>
      <c r="BX113" s="146" t="str">
        <f t="shared" si="8"/>
        <v/>
      </c>
    </row>
    <row r="114">
      <c r="A114" s="106" t="str">
        <f t="shared" si="1"/>
        <v/>
      </c>
      <c r="B114" s="183" t="str">
        <f t="array" ref="B114">IF(ISBLANK($AE114), "-",INDEX(Circuits!A:A,SUMPRODUCT(EXACT($AE114,Circuits!$A:$A)*ROW(Circuits!$A:$A))))</f>
        <v>-</v>
      </c>
      <c r="C114" s="183" t="str">
        <f t="array" ref="C114">IF(ISBLANK($AE114), "-",INDEX(Circuits!B:B,SUMPRODUCT(EXACT($AE114,Circuits!$A:$A)*ROW(Circuits!$A:$A))))</f>
        <v>-</v>
      </c>
      <c r="D114" s="183" t="str">
        <f t="array" ref="D114">IF(ISBLANK($AE114), "-",INDEX(Circuits!C:C,SUMPRODUCT(EXACT($AE114,Circuits!$A:$A)*ROW(Circuits!$A:$A))))</f>
        <v>-</v>
      </c>
      <c r="E114" s="183" t="str">
        <f t="array" ref="E114">IF(ISBLANK($AE114), "-",INDEX(Circuits!D:D,SUMPRODUCT(EXACT($AE114,Circuits!$A:$A)*ROW(Circuits!$A:$A))))</f>
        <v>-</v>
      </c>
      <c r="F114" s="183" t="str">
        <f t="array" ref="F114">IF(ISBLANK($AE114), "-",INDEX(Circuits!E:E,SUMPRODUCT(EXACT($AE114,Circuits!$A:$A)*ROW(Circuits!$A:$A))))</f>
        <v>-</v>
      </c>
      <c r="G114" s="183" t="str">
        <f t="array" ref="G114">IF(ISBLANK($AE114), "-",INDEX(Circuits!F:F,SUMPRODUCT(EXACT($AE114,Circuits!$A:$A)*ROW(Circuits!$A:$A))))</f>
        <v>-</v>
      </c>
      <c r="H114" s="183" t="str">
        <f t="array" ref="H114">IF(ISBLANK($AE114), "-",INDEX(Circuits!G:G,SUMPRODUCT(EXACT($AE114,Circuits!$A:$A)*ROW(Circuits!$A:$A))))</f>
        <v>-</v>
      </c>
      <c r="I114" s="183" t="str">
        <f t="array" ref="I114">IF(ISBLANK($AE114), "-",INDEX(Circuits!H:H,SUMPRODUCT(EXACT($AE114,Circuits!$A:$A)*ROW(Circuits!$A:$A))))</f>
        <v>-</v>
      </c>
      <c r="J114" s="183" t="str">
        <f t="array" ref="J114">IF(ISBLANK($AE114), "-",INDEX(Circuits!I:I,SUMPRODUCT(EXACT($AE114,Circuits!$A:$A)*ROW(Circuits!$A:$A))))</f>
        <v>-</v>
      </c>
      <c r="K114" s="183" t="str">
        <f t="array" ref="K114">IF(ISBLANK($AE114), "-",INDEX(Circuits!J:J,SUMPRODUCT(EXACT($AE114,Circuits!$A:$A)*ROW(Circuits!$A:$A))))</f>
        <v>-</v>
      </c>
      <c r="L114" s="183" t="str">
        <f t="array" ref="L114">IF(ISBLANK($AE114), "-",INDEX(Circuits!K:K,SUMPRODUCT(EXACT($AE114,Circuits!$A:$A)*ROW(Circuits!$A:$A))))</f>
        <v>-</v>
      </c>
      <c r="M114" s="183" t="str">
        <f t="array" ref="M114">IF(ISBLANK($AE114), "-",INDEX(Circuits!L:L,SUMPRODUCT(EXACT($AE114,Circuits!$A:$A)*ROW(Circuits!$A:$A))))</f>
        <v>-</v>
      </c>
      <c r="N114" s="183" t="str">
        <f t="array" ref="N114">IF(ISBLANK($AE114), "-",INDEX(Circuits!M:M,SUMPRODUCT(EXACT($AE114,Circuits!$A:$A)*ROW(Circuits!$A:$A))))</f>
        <v>-</v>
      </c>
      <c r="O114" s="183" t="str">
        <f t="array" ref="O114">IF(ISBLANK($AE114), "-",INDEX(Circuits!N:N,SUMPRODUCT(EXACT($AE114,Circuits!$A:$A)*ROW(Circuits!$A:$A))))</f>
        <v>-</v>
      </c>
      <c r="P114" s="183" t="str">
        <f t="array" ref="P114">IF(ISBLANK($AE114), "-",INDEX(Circuits!O:O,SUMPRODUCT(EXACT($AE114,Circuits!$A:$A)*ROW(Circuits!$A:$A))))</f>
        <v>-</v>
      </c>
      <c r="Q114" s="183" t="str">
        <f t="array" ref="Q114">IF(ISBLANK($AE114), "-",INDEX(Circuits!P:P,SUMPRODUCT(EXACT($AE114,Circuits!$A:$A)*ROW(Circuits!$A:$A))))</f>
        <v>-</v>
      </c>
      <c r="R114" s="183" t="str">
        <f t="array" ref="R114">IF(ISBLANK($AE114), "-",INDEX(Circuits!Q:Q,SUMPRODUCT(EXACT($AE114,Circuits!$A:$A)*ROW(Circuits!$A:$A))))</f>
        <v>-</v>
      </c>
      <c r="S114" s="183" t="str">
        <f t="array" ref="S114">IF(ISBLANK($AE114), "-",INDEX(Circuits!R:R,SUMPRODUCT(EXACT($AE114,Circuits!$A:$A)*ROW(Circuits!$A:$A))))</f>
        <v>-</v>
      </c>
      <c r="T114" s="183" t="str">
        <f t="array" ref="T114">IF(ISBLANK($AE114), "-",INDEX(Circuits!S:S,SUMPRODUCT(EXACT($AE114,Circuits!$A:$A)*ROW(Circuits!$A:$A))))</f>
        <v>-</v>
      </c>
      <c r="U114" s="183" t="str">
        <f t="array" ref="U114">IF(ISBLANK($AE114), "-",INDEX(Circuits!T:T,SUMPRODUCT(EXACT($AE114,Circuits!$A:$A)*ROW(Circuits!$A:$A))))</f>
        <v>-</v>
      </c>
      <c r="V114" s="183" t="str">
        <f t="array" ref="V114">IF(ISBLANK($AE114), "-",INDEX(Circuits!U:U,SUMPRODUCT(EXACT($AE114,Circuits!$A:$A)*ROW(Circuits!$A:$A))))</f>
        <v>-</v>
      </c>
      <c r="W114" s="183" t="str">
        <f t="array" ref="W114">IF(ISBLANK($AE114), "-",INDEX(Circuits!V:V,SUMPRODUCT(EXACT($AE114,Circuits!$A:$A)*ROW(Circuits!$A:$A))))</f>
        <v>-</v>
      </c>
      <c r="X114" s="183" t="str">
        <f t="array" ref="X114">IF(ISBLANK($AE114), "-",INDEX(Circuits!W:W,SUMPRODUCT(EXACT($AE114,Circuits!$A:$A)*ROW(Circuits!$A:$A))))</f>
        <v>-</v>
      </c>
      <c r="Y114" s="183" t="str">
        <f t="array" ref="Y114">IF(ISBLANK($AE114), "-",INDEX(Circuits!X:X,SUMPRODUCT(EXACT($AE114,Circuits!$A:$A)*ROW(Circuits!$A:$A))))</f>
        <v>-</v>
      </c>
      <c r="Z114" s="108" t="str">
        <f>IFERROR(__xludf.DUMMYFUNCTION("IFNA(CONCATENATE(UNIQUE(FILTER(Connections!R:R,Connections!A:A=B114))),""-"")"),"-")</f>
        <v>-</v>
      </c>
      <c r="AA114" s="119" t="str">
        <f t="array" ref="AA114">IF(ISBLANK($AE114), "-",INDEX(Circuits!Y:Y,SUMPRODUCT(EXACT($AE114,Circuits!$A:$A)*ROW(Circuits!$A:$A))))</f>
        <v>-</v>
      </c>
      <c r="AB114" s="121" t="str">
        <f t="array" ref="AB114">IF(ISBLANK($AE114), "-",INDEX(Circuits!Z:Z,SUMPRODUCT(EXACT($AE114,Circuits!$A:$A)*ROW(Circuits!$A:$A))))</f>
        <v>-</v>
      </c>
      <c r="AC114" s="194"/>
      <c r="AD114" s="194"/>
      <c r="AE114" s="40"/>
      <c r="AF114" s="43"/>
      <c r="AG114" s="126" t="str">
        <f>IFERROR(__xludf.DUMMYFUNCTION("IF(ISBLANK(AF114), """", TEXTJOIN(CHAR(10),TRUE,ARRAYFORMULA(IF(ISERROR(SEARCH(SPLIT(AF114, "";""), $Z114)), ""x"", ""-""))))"),"")</f>
        <v/>
      </c>
      <c r="AH114" s="127" t="str">
        <f>IFERROR(__xludf.DUMMYFUNCTION("IF(ISBLANK(AK114), """", TEXTJOIN("";"" &amp; CHAR(10), TRUE, UNIQUE(SPLIT(AK114, "";"" &amp; CHAR(10)), TRUE))&amp;"";"")"),"")</f>
        <v/>
      </c>
      <c r="AI114" s="128" t="str">
        <f>IFERROR(__xludf.DUMMYFUNCTION("IF(ISBLANK(AD114), IF(ISBLANK(AE114),,IFNA(TEXTJOIN("";"" &amp; CHAR(10), TRUE, FILTER(AE:AE, SEARCH(AE114&amp;"";"", AJ:AJ)))&amp;"";"", """")), TEXTJOIN("";"" &amp; CHAR(10), TRUE, UNIQUE(SPLIT(AH114 &amp; "";"" &amp; AH114 &amp; "";"" &amp; AL114, "";"" &amp; CHAR(10)), TRUE, TRUE))&amp;"";"&amp;""")"),"")</f>
        <v/>
      </c>
      <c r="AJ114" s="126" t="str">
        <f>IFERROR(__xludf.DUMMYFUNCTION("IF(AN114="""", """", TEXTJOIN("";"" &amp; CHAR(10), TRUE, UNIQUE(SPLIT(AH114 &amp; "";"" &amp; AH114 &amp; "";"" &amp; AN114, "";"" &amp; CHAR(10)), TRUE, TRUE))&amp;"";"")"),"")</f>
        <v/>
      </c>
      <c r="AK114" s="129" t="str">
        <f>IFERROR(__xludf.DUMMYFUNCTION("IF(ISBLANK(AD114), IF(ISBLANK(AE114),,AE114 &amp; "";""), TEXTJOIN(CHAR(10), TRUE, ARRAYFORMULA(VLOOKUP(SPLIT(AD114, "";"" &amp; CHAR(10)), $AC:$AH, 6, FALSE))))"),"")</f>
        <v/>
      </c>
      <c r="AL114" s="130" t="str">
        <f>IFERROR(__xludf.DUMMYFUNCTION("IF(AM114="""", """", TEXTJOIN("";"" &amp; CHAR(10), TRUE, UNIQUE(SPLIT(AM114, "";"" &amp; CHAR(10)), TRUE))&amp;"";"")"),"")</f>
        <v/>
      </c>
      <c r="AM114" s="130" t="str">
        <f>IFERROR(__xludf.DUMMYFUNCTION("IF(ISBLANK(AD114), """", TEXTJOIN(CHAR(10), TRUE, ARRAYFORMULA(VLOOKUP(SPLIT(AH114, "";"" &amp; CHAR(10)), $AE:$AI, 5, FALSE)), AF114))"),"")</f>
        <v/>
      </c>
      <c r="AN114" s="132" t="str">
        <f>IFERROR(__xludf.DUMMYFUNCTION("IF(ISBLANK(AO114), """", TEXTJOIN("";"" &amp; CHAR(10), TRUE, UNIQUE(SPLIT(AO114, "";"" &amp; CHAR(10)), TRUE))&amp;"";"")"),"")</f>
        <v/>
      </c>
      <c r="AO114" s="134" t="str">
        <f>IFERROR(__xludf.DUMMYFUNCTION("IF(ISBLANK(AD114), AF114, TEXTJOIN(CHAR(10), TRUE, ARRAYFORMULA(VLOOKUP(SPLIT(AD114, "";"" &amp; CHAR(10)), $AC:$AN, 12, FALSE))))"),"")</f>
        <v/>
      </c>
      <c r="AP114" s="130" t="str">
        <f>IF(ISBLANK(AE114),,IF(IFERROR(SEARCH(AE114&amp;";",Circuits!$AO$2),0),TRUE,FALSE))</f>
        <v/>
      </c>
      <c r="AQ114" s="130" t="str">
        <f t="shared" si="2"/>
        <v/>
      </c>
      <c r="AR114" s="130" t="str">
        <f t="shared" si="3"/>
        <v/>
      </c>
      <c r="AS114" s="136" t="str">
        <f>IFERROR(__xludf.DUMMYFUNCTION("IF(AH114="""",,SUM(ARRAYFORMULA(IF(IFERROR(SEARCH(SPLIT(AH114,CHAR(10)),Circuits!$AO$2),0)&gt;0,0,1))))"),"")</f>
        <v/>
      </c>
      <c r="AT114" s="138" t="str">
        <f t="shared" si="4"/>
        <v/>
      </c>
      <c r="AU114" s="138" t="str">
        <f t="shared" si="5"/>
        <v/>
      </c>
      <c r="AV114" s="130" t="str">
        <f>IFERROR(__xludf.DUMMYFUNCTION("IF(AI114="""",,TEXTJOIN("", "",TRUE,ARRAYFORMULA(VLOOKUP(SPLIT(AI114,"";""&amp;CHAR(10)),AE:AT,16,FALSE))))"),"")</f>
        <v/>
      </c>
      <c r="AW114" s="130" t="str">
        <f>IFERROR(__xludf.DUMMYFUNCTION("IF(ISBLANK(BK114),,TEXTJOIN("", "",TRUE,ARRAYFORMULA(VLOOKUP(IFERROR(REGEXEXTRACT(SPLIT(BK114,"";""&amp;CHAR(10)),""\[(.+)\]"")),AE:AT,16,false))))"),"")</f>
        <v/>
      </c>
      <c r="AX114" s="139" t="str">
        <f t="shared" si="6"/>
        <v/>
      </c>
      <c r="AY114" s="139" t="str">
        <f t="shared" si="7"/>
        <v/>
      </c>
      <c r="AZ114" s="106" t="str">
        <f>IFERROR(__xludf.DUMMYFUNCTION("IF(ISBLANK(AD114), BC114, TEXTJOIN(CHAR(10) &amp; CHAR(10), TRUE, ARRAYFORMULA(VLOOKUP(SPLIT(AD114, "";"" &amp; CHAR(10)), $AC:$AY, 23, FALSE))))"),"")</f>
        <v/>
      </c>
      <c r="BA114" s="140" t="s">
        <v>66</v>
      </c>
      <c r="BB114" s="190"/>
      <c r="BC114" s="196"/>
      <c r="BD114" s="106" t="str">
        <f>IFERROR(__xludf.DUMMYFUNCTION("IF(IFERROR(SEARCH(""&lt;&lt;mechanism to realize the capability&gt;&gt;"",BA114),0)=0,
 ""!! Error !! “Capability&amp;Mechanism” column: Invalid Separator:"" &amp; CHAR(10) &amp; ""Insert separator “&lt;&lt;mechanism to realize the capability&gt;&gt;.”"",
 IF(
  LEN(TRIM(CLEAN(
    INDEX(
 "&amp;"     SPLIT(BA114,""&lt;&lt;mechanism to realize the capability&gt;&gt;"",FALSE,FALSE),
      1
    )
  )))=0,
  ""!! Error !! “Capability&amp;Mechanism” column: No Capability:""  &amp; CHAR(10) &amp; ""Describe Capability before separator."",
  INDEX(
    SPLIT(BA114,""&lt;&lt;mechani"&amp;"sm to realize the capability&gt;&gt;"",FALSE,FALSE),
    1
  )
 )
)
"),"!! Error !! “Capability&amp;Mechanism” column: No Capability:
Describe Capability before separator.")</f>
        <v>!! Error !! “Capability&amp;Mechanism” column: No Capability:
Describe Capability before separator.</v>
      </c>
      <c r="BE114" s="190"/>
      <c r="BF114" s="195"/>
      <c r="BG114" s="42"/>
      <c r="BH114" s="190"/>
      <c r="BI114" s="196"/>
      <c r="BJ114" s="42"/>
      <c r="BK114" s="42"/>
      <c r="BL114" s="203"/>
      <c r="BM114" s="203"/>
      <c r="BN114" s="42"/>
      <c r="BO114" s="42"/>
      <c r="BP114" s="143"/>
      <c r="BQ114" s="143"/>
      <c r="BR114" s="192"/>
      <c r="BS114" s="192"/>
      <c r="BT114" s="192"/>
      <c r="BU114" s="192"/>
      <c r="BV114" s="192"/>
      <c r="BW114" s="192"/>
      <c r="BX114" s="146" t="str">
        <f t="shared" si="8"/>
        <v/>
      </c>
    </row>
    <row r="115">
      <c r="A115" s="106" t="str">
        <f t="shared" si="1"/>
        <v/>
      </c>
      <c r="B115" s="183" t="str">
        <f t="array" ref="B115">IF(ISBLANK($AE115), "-",INDEX(Circuits!A:A,SUMPRODUCT(EXACT($AE115,Circuits!$A:$A)*ROW(Circuits!$A:$A))))</f>
        <v>-</v>
      </c>
      <c r="C115" s="183" t="str">
        <f t="array" ref="C115">IF(ISBLANK($AE115), "-",INDEX(Circuits!B:B,SUMPRODUCT(EXACT($AE115,Circuits!$A:$A)*ROW(Circuits!$A:$A))))</f>
        <v>-</v>
      </c>
      <c r="D115" s="183" t="str">
        <f t="array" ref="D115">IF(ISBLANK($AE115), "-",INDEX(Circuits!C:C,SUMPRODUCT(EXACT($AE115,Circuits!$A:$A)*ROW(Circuits!$A:$A))))</f>
        <v>-</v>
      </c>
      <c r="E115" s="183" t="str">
        <f t="array" ref="E115">IF(ISBLANK($AE115), "-",INDEX(Circuits!D:D,SUMPRODUCT(EXACT($AE115,Circuits!$A:$A)*ROW(Circuits!$A:$A))))</f>
        <v>-</v>
      </c>
      <c r="F115" s="183" t="str">
        <f t="array" ref="F115">IF(ISBLANK($AE115), "-",INDEX(Circuits!E:E,SUMPRODUCT(EXACT($AE115,Circuits!$A:$A)*ROW(Circuits!$A:$A))))</f>
        <v>-</v>
      </c>
      <c r="G115" s="183" t="str">
        <f t="array" ref="G115">IF(ISBLANK($AE115), "-",INDEX(Circuits!F:F,SUMPRODUCT(EXACT($AE115,Circuits!$A:$A)*ROW(Circuits!$A:$A))))</f>
        <v>-</v>
      </c>
      <c r="H115" s="183" t="str">
        <f t="array" ref="H115">IF(ISBLANK($AE115), "-",INDEX(Circuits!G:G,SUMPRODUCT(EXACT($AE115,Circuits!$A:$A)*ROW(Circuits!$A:$A))))</f>
        <v>-</v>
      </c>
      <c r="I115" s="183" t="str">
        <f t="array" ref="I115">IF(ISBLANK($AE115), "-",INDEX(Circuits!H:H,SUMPRODUCT(EXACT($AE115,Circuits!$A:$A)*ROW(Circuits!$A:$A))))</f>
        <v>-</v>
      </c>
      <c r="J115" s="183" t="str">
        <f t="array" ref="J115">IF(ISBLANK($AE115), "-",INDEX(Circuits!I:I,SUMPRODUCT(EXACT($AE115,Circuits!$A:$A)*ROW(Circuits!$A:$A))))</f>
        <v>-</v>
      </c>
      <c r="K115" s="183" t="str">
        <f t="array" ref="K115">IF(ISBLANK($AE115), "-",INDEX(Circuits!J:J,SUMPRODUCT(EXACT($AE115,Circuits!$A:$A)*ROW(Circuits!$A:$A))))</f>
        <v>-</v>
      </c>
      <c r="L115" s="183" t="str">
        <f t="array" ref="L115">IF(ISBLANK($AE115), "-",INDEX(Circuits!K:K,SUMPRODUCT(EXACT($AE115,Circuits!$A:$A)*ROW(Circuits!$A:$A))))</f>
        <v>-</v>
      </c>
      <c r="M115" s="183" t="str">
        <f t="array" ref="M115">IF(ISBLANK($AE115), "-",INDEX(Circuits!L:L,SUMPRODUCT(EXACT($AE115,Circuits!$A:$A)*ROW(Circuits!$A:$A))))</f>
        <v>-</v>
      </c>
      <c r="N115" s="183" t="str">
        <f t="array" ref="N115">IF(ISBLANK($AE115), "-",INDEX(Circuits!M:M,SUMPRODUCT(EXACT($AE115,Circuits!$A:$A)*ROW(Circuits!$A:$A))))</f>
        <v>-</v>
      </c>
      <c r="O115" s="183" t="str">
        <f t="array" ref="O115">IF(ISBLANK($AE115), "-",INDEX(Circuits!N:N,SUMPRODUCT(EXACT($AE115,Circuits!$A:$A)*ROW(Circuits!$A:$A))))</f>
        <v>-</v>
      </c>
      <c r="P115" s="183" t="str">
        <f t="array" ref="P115">IF(ISBLANK($AE115), "-",INDEX(Circuits!O:O,SUMPRODUCT(EXACT($AE115,Circuits!$A:$A)*ROW(Circuits!$A:$A))))</f>
        <v>-</v>
      </c>
      <c r="Q115" s="183" t="str">
        <f t="array" ref="Q115">IF(ISBLANK($AE115), "-",INDEX(Circuits!P:P,SUMPRODUCT(EXACT($AE115,Circuits!$A:$A)*ROW(Circuits!$A:$A))))</f>
        <v>-</v>
      </c>
      <c r="R115" s="183" t="str">
        <f t="array" ref="R115">IF(ISBLANK($AE115), "-",INDEX(Circuits!Q:Q,SUMPRODUCT(EXACT($AE115,Circuits!$A:$A)*ROW(Circuits!$A:$A))))</f>
        <v>-</v>
      </c>
      <c r="S115" s="183" t="str">
        <f t="array" ref="S115">IF(ISBLANK($AE115), "-",INDEX(Circuits!R:R,SUMPRODUCT(EXACT($AE115,Circuits!$A:$A)*ROW(Circuits!$A:$A))))</f>
        <v>-</v>
      </c>
      <c r="T115" s="183" t="str">
        <f t="array" ref="T115">IF(ISBLANK($AE115), "-",INDEX(Circuits!S:S,SUMPRODUCT(EXACT($AE115,Circuits!$A:$A)*ROW(Circuits!$A:$A))))</f>
        <v>-</v>
      </c>
      <c r="U115" s="183" t="str">
        <f t="array" ref="U115">IF(ISBLANK($AE115), "-",INDEX(Circuits!T:T,SUMPRODUCT(EXACT($AE115,Circuits!$A:$A)*ROW(Circuits!$A:$A))))</f>
        <v>-</v>
      </c>
      <c r="V115" s="183" t="str">
        <f t="array" ref="V115">IF(ISBLANK($AE115), "-",INDEX(Circuits!U:U,SUMPRODUCT(EXACT($AE115,Circuits!$A:$A)*ROW(Circuits!$A:$A))))</f>
        <v>-</v>
      </c>
      <c r="W115" s="183" t="str">
        <f t="array" ref="W115">IF(ISBLANK($AE115), "-",INDEX(Circuits!V:V,SUMPRODUCT(EXACT($AE115,Circuits!$A:$A)*ROW(Circuits!$A:$A))))</f>
        <v>-</v>
      </c>
      <c r="X115" s="183" t="str">
        <f t="array" ref="X115">IF(ISBLANK($AE115), "-",INDEX(Circuits!W:W,SUMPRODUCT(EXACT($AE115,Circuits!$A:$A)*ROW(Circuits!$A:$A))))</f>
        <v>-</v>
      </c>
      <c r="Y115" s="183" t="str">
        <f t="array" ref="Y115">IF(ISBLANK($AE115), "-",INDEX(Circuits!X:X,SUMPRODUCT(EXACT($AE115,Circuits!$A:$A)*ROW(Circuits!$A:$A))))</f>
        <v>-</v>
      </c>
      <c r="Z115" s="108" t="str">
        <f>IFERROR(__xludf.DUMMYFUNCTION("IFNA(CONCATENATE(UNIQUE(FILTER(Connections!R:R,Connections!A:A=B115))),""-"")"),"-")</f>
        <v>-</v>
      </c>
      <c r="AA115" s="119" t="str">
        <f t="array" ref="AA115">IF(ISBLANK($AE115), "-",INDEX(Circuits!Y:Y,SUMPRODUCT(EXACT($AE115,Circuits!$A:$A)*ROW(Circuits!$A:$A))))</f>
        <v>-</v>
      </c>
      <c r="AB115" s="121" t="str">
        <f t="array" ref="AB115">IF(ISBLANK($AE115), "-",INDEX(Circuits!Z:Z,SUMPRODUCT(EXACT($AE115,Circuits!$A:$A)*ROW(Circuits!$A:$A))))</f>
        <v>-</v>
      </c>
      <c r="AC115" s="194"/>
      <c r="AD115" s="194"/>
      <c r="AE115" s="40"/>
      <c r="AF115" s="43"/>
      <c r="AG115" s="126" t="str">
        <f>IFERROR(__xludf.DUMMYFUNCTION("IF(ISBLANK(AF115), """", TEXTJOIN(CHAR(10),TRUE,ARRAYFORMULA(IF(ISERROR(SEARCH(SPLIT(AF115, "";""), $Z115)), ""x"", ""-""))))"),"")</f>
        <v/>
      </c>
      <c r="AH115" s="127" t="str">
        <f>IFERROR(__xludf.DUMMYFUNCTION("IF(ISBLANK(AK115), """", TEXTJOIN("";"" &amp; CHAR(10), TRUE, UNIQUE(SPLIT(AK115, "";"" &amp; CHAR(10)), TRUE))&amp;"";"")"),"")</f>
        <v/>
      </c>
      <c r="AI115" s="128" t="str">
        <f>IFERROR(__xludf.DUMMYFUNCTION("IF(ISBLANK(AD115), IF(ISBLANK(AE115),,IFNA(TEXTJOIN("";"" &amp; CHAR(10), TRUE, FILTER(AE:AE, SEARCH(AE115&amp;"";"", AJ:AJ)))&amp;"";"", """")), TEXTJOIN("";"" &amp; CHAR(10), TRUE, UNIQUE(SPLIT(AH115 &amp; "";"" &amp; AH115 &amp; "";"" &amp; AL115, "";"" &amp; CHAR(10)), TRUE, TRUE))&amp;"";"&amp;""")"),"")</f>
        <v/>
      </c>
      <c r="AJ115" s="126" t="str">
        <f>IFERROR(__xludf.DUMMYFUNCTION("IF(AN115="""", """", TEXTJOIN("";"" &amp; CHAR(10), TRUE, UNIQUE(SPLIT(AH115 &amp; "";"" &amp; AH115 &amp; "";"" &amp; AN115, "";"" &amp; CHAR(10)), TRUE, TRUE))&amp;"";"")"),"")</f>
        <v/>
      </c>
      <c r="AK115" s="129" t="str">
        <f>IFERROR(__xludf.DUMMYFUNCTION("IF(ISBLANK(AD115), IF(ISBLANK(AE115),,AE115 &amp; "";""), TEXTJOIN(CHAR(10), TRUE, ARRAYFORMULA(VLOOKUP(SPLIT(AD115, "";"" &amp; CHAR(10)), $AC:$AH, 6, FALSE))))"),"")</f>
        <v/>
      </c>
      <c r="AL115" s="130" t="str">
        <f>IFERROR(__xludf.DUMMYFUNCTION("IF(AM115="""", """", TEXTJOIN("";"" &amp; CHAR(10), TRUE, UNIQUE(SPLIT(AM115, "";"" &amp; CHAR(10)), TRUE))&amp;"";"")"),"")</f>
        <v/>
      </c>
      <c r="AM115" s="130" t="str">
        <f>IFERROR(__xludf.DUMMYFUNCTION("IF(ISBLANK(AD115), """", TEXTJOIN(CHAR(10), TRUE, ARRAYFORMULA(VLOOKUP(SPLIT(AH115, "";"" &amp; CHAR(10)), $AE:$AI, 5, FALSE)), AF115))"),"")</f>
        <v/>
      </c>
      <c r="AN115" s="132" t="str">
        <f>IFERROR(__xludf.DUMMYFUNCTION("IF(ISBLANK(AO115), """", TEXTJOIN("";"" &amp; CHAR(10), TRUE, UNIQUE(SPLIT(AO115, "";"" &amp; CHAR(10)), TRUE))&amp;"";"")"),"")</f>
        <v/>
      </c>
      <c r="AO115" s="134" t="str">
        <f>IFERROR(__xludf.DUMMYFUNCTION("IF(ISBLANK(AD115), AF115, TEXTJOIN(CHAR(10), TRUE, ARRAYFORMULA(VLOOKUP(SPLIT(AD115, "";"" &amp; CHAR(10)), $AC:$AN, 12, FALSE))))"),"")</f>
        <v/>
      </c>
      <c r="AP115" s="130" t="str">
        <f>IF(ISBLANK(AE115),,IF(IFERROR(SEARCH(AE115&amp;";",Circuits!$AO$2),0),TRUE,FALSE))</f>
        <v/>
      </c>
      <c r="AQ115" s="130" t="str">
        <f t="shared" si="2"/>
        <v/>
      </c>
      <c r="AR115" s="130" t="str">
        <f t="shared" si="3"/>
        <v/>
      </c>
      <c r="AS115" s="136" t="str">
        <f>IFERROR(__xludf.DUMMYFUNCTION("IF(AH115="""",,SUM(ARRAYFORMULA(IF(IFERROR(SEARCH(SPLIT(AH115,CHAR(10)),Circuits!$AO$2),0)&gt;0,0,1))))"),"")</f>
        <v/>
      </c>
      <c r="AT115" s="138" t="str">
        <f t="shared" si="4"/>
        <v/>
      </c>
      <c r="AU115" s="138" t="str">
        <f t="shared" si="5"/>
        <v/>
      </c>
      <c r="AV115" s="130" t="str">
        <f>IFERROR(__xludf.DUMMYFUNCTION("IF(AI115="""",,TEXTJOIN("", "",TRUE,ARRAYFORMULA(VLOOKUP(SPLIT(AI115,"";""&amp;CHAR(10)),AE:AT,16,FALSE))))"),"")</f>
        <v/>
      </c>
      <c r="AW115" s="130" t="str">
        <f>IFERROR(__xludf.DUMMYFUNCTION("IF(ISBLANK(BK115),,TEXTJOIN("", "",TRUE,ARRAYFORMULA(VLOOKUP(IFERROR(REGEXEXTRACT(SPLIT(BK115,"";""&amp;CHAR(10)),""\[(.+)\]"")),AE:AT,16,false))))"),"")</f>
        <v/>
      </c>
      <c r="AX115" s="139" t="str">
        <f t="shared" si="6"/>
        <v/>
      </c>
      <c r="AY115" s="139" t="str">
        <f t="shared" si="7"/>
        <v/>
      </c>
      <c r="AZ115" s="106" t="str">
        <f>IFERROR(__xludf.DUMMYFUNCTION("IF(ISBLANK(AD115), BC115, TEXTJOIN(CHAR(10) &amp; CHAR(10), TRUE, ARRAYFORMULA(VLOOKUP(SPLIT(AD115, "";"" &amp; CHAR(10)), $AC:$AY, 23, FALSE))))"),"")</f>
        <v/>
      </c>
      <c r="BA115" s="140" t="s">
        <v>66</v>
      </c>
      <c r="BB115" s="190"/>
      <c r="BC115" s="196"/>
      <c r="BD115" s="106" t="str">
        <f>IFERROR(__xludf.DUMMYFUNCTION("IF(IFERROR(SEARCH(""&lt;&lt;mechanism to realize the capability&gt;&gt;"",BA115),0)=0,
 ""!! Error !! “Capability&amp;Mechanism” column: Invalid Separator:"" &amp; CHAR(10) &amp; ""Insert separator “&lt;&lt;mechanism to realize the capability&gt;&gt;.”"",
 IF(
  LEN(TRIM(CLEAN(
    INDEX(
 "&amp;"     SPLIT(BA115,""&lt;&lt;mechanism to realize the capability&gt;&gt;"",FALSE,FALSE),
      1
    )
  )))=0,
  ""!! Error !! “Capability&amp;Mechanism” column: No Capability:""  &amp; CHAR(10) &amp; ""Describe Capability before separator."",
  INDEX(
    SPLIT(BA115,""&lt;&lt;mechani"&amp;"sm to realize the capability&gt;&gt;"",FALSE,FALSE),
    1
  )
 )
)
"),"!! Error !! “Capability&amp;Mechanism” column: No Capability:
Describe Capability before separator.")</f>
        <v>!! Error !! “Capability&amp;Mechanism” column: No Capability:
Describe Capability before separator.</v>
      </c>
      <c r="BE115" s="190"/>
      <c r="BF115" s="195"/>
      <c r="BG115" s="42"/>
      <c r="BH115" s="190"/>
      <c r="BI115" s="196"/>
      <c r="BJ115" s="42"/>
      <c r="BK115" s="42"/>
      <c r="BL115" s="203"/>
      <c r="BM115" s="203"/>
      <c r="BN115" s="42"/>
      <c r="BO115" s="42"/>
      <c r="BP115" s="143"/>
      <c r="BQ115" s="143"/>
      <c r="BR115" s="192"/>
      <c r="BS115" s="192"/>
      <c r="BT115" s="192"/>
      <c r="BU115" s="192"/>
      <c r="BV115" s="192"/>
      <c r="BW115" s="192"/>
      <c r="BX115" s="146" t="str">
        <f t="shared" si="8"/>
        <v/>
      </c>
    </row>
    <row r="116">
      <c r="A116" s="106" t="str">
        <f t="shared" si="1"/>
        <v/>
      </c>
      <c r="B116" s="183" t="str">
        <f t="array" ref="B116">IF(ISBLANK($AE116), "-",INDEX(Circuits!A:A,SUMPRODUCT(EXACT($AE116,Circuits!$A:$A)*ROW(Circuits!$A:$A))))</f>
        <v>-</v>
      </c>
      <c r="C116" s="183" t="str">
        <f t="array" ref="C116">IF(ISBLANK($AE116), "-",INDEX(Circuits!B:B,SUMPRODUCT(EXACT($AE116,Circuits!$A:$A)*ROW(Circuits!$A:$A))))</f>
        <v>-</v>
      </c>
      <c r="D116" s="183" t="str">
        <f t="array" ref="D116">IF(ISBLANK($AE116), "-",INDEX(Circuits!C:C,SUMPRODUCT(EXACT($AE116,Circuits!$A:$A)*ROW(Circuits!$A:$A))))</f>
        <v>-</v>
      </c>
      <c r="E116" s="183" t="str">
        <f t="array" ref="E116">IF(ISBLANK($AE116), "-",INDEX(Circuits!D:D,SUMPRODUCT(EXACT($AE116,Circuits!$A:$A)*ROW(Circuits!$A:$A))))</f>
        <v>-</v>
      </c>
      <c r="F116" s="183" t="str">
        <f t="array" ref="F116">IF(ISBLANK($AE116), "-",INDEX(Circuits!E:E,SUMPRODUCT(EXACT($AE116,Circuits!$A:$A)*ROW(Circuits!$A:$A))))</f>
        <v>-</v>
      </c>
      <c r="G116" s="183" t="str">
        <f t="array" ref="G116">IF(ISBLANK($AE116), "-",INDEX(Circuits!F:F,SUMPRODUCT(EXACT($AE116,Circuits!$A:$A)*ROW(Circuits!$A:$A))))</f>
        <v>-</v>
      </c>
      <c r="H116" s="183" t="str">
        <f t="array" ref="H116">IF(ISBLANK($AE116), "-",INDEX(Circuits!G:G,SUMPRODUCT(EXACT($AE116,Circuits!$A:$A)*ROW(Circuits!$A:$A))))</f>
        <v>-</v>
      </c>
      <c r="I116" s="183" t="str">
        <f t="array" ref="I116">IF(ISBLANK($AE116), "-",INDEX(Circuits!H:H,SUMPRODUCT(EXACT($AE116,Circuits!$A:$A)*ROW(Circuits!$A:$A))))</f>
        <v>-</v>
      </c>
      <c r="J116" s="183" t="str">
        <f t="array" ref="J116">IF(ISBLANK($AE116), "-",INDEX(Circuits!I:I,SUMPRODUCT(EXACT($AE116,Circuits!$A:$A)*ROW(Circuits!$A:$A))))</f>
        <v>-</v>
      </c>
      <c r="K116" s="183" t="str">
        <f t="array" ref="K116">IF(ISBLANK($AE116), "-",INDEX(Circuits!J:J,SUMPRODUCT(EXACT($AE116,Circuits!$A:$A)*ROW(Circuits!$A:$A))))</f>
        <v>-</v>
      </c>
      <c r="L116" s="183" t="str">
        <f t="array" ref="L116">IF(ISBLANK($AE116), "-",INDEX(Circuits!K:K,SUMPRODUCT(EXACT($AE116,Circuits!$A:$A)*ROW(Circuits!$A:$A))))</f>
        <v>-</v>
      </c>
      <c r="M116" s="183" t="str">
        <f t="array" ref="M116">IF(ISBLANK($AE116), "-",INDEX(Circuits!L:L,SUMPRODUCT(EXACT($AE116,Circuits!$A:$A)*ROW(Circuits!$A:$A))))</f>
        <v>-</v>
      </c>
      <c r="N116" s="183" t="str">
        <f t="array" ref="N116">IF(ISBLANK($AE116), "-",INDEX(Circuits!M:M,SUMPRODUCT(EXACT($AE116,Circuits!$A:$A)*ROW(Circuits!$A:$A))))</f>
        <v>-</v>
      </c>
      <c r="O116" s="183" t="str">
        <f t="array" ref="O116">IF(ISBLANK($AE116), "-",INDEX(Circuits!N:N,SUMPRODUCT(EXACT($AE116,Circuits!$A:$A)*ROW(Circuits!$A:$A))))</f>
        <v>-</v>
      </c>
      <c r="P116" s="183" t="str">
        <f t="array" ref="P116">IF(ISBLANK($AE116), "-",INDEX(Circuits!O:O,SUMPRODUCT(EXACT($AE116,Circuits!$A:$A)*ROW(Circuits!$A:$A))))</f>
        <v>-</v>
      </c>
      <c r="Q116" s="183" t="str">
        <f t="array" ref="Q116">IF(ISBLANK($AE116), "-",INDEX(Circuits!P:P,SUMPRODUCT(EXACT($AE116,Circuits!$A:$A)*ROW(Circuits!$A:$A))))</f>
        <v>-</v>
      </c>
      <c r="R116" s="183" t="str">
        <f t="array" ref="R116">IF(ISBLANK($AE116), "-",INDEX(Circuits!Q:Q,SUMPRODUCT(EXACT($AE116,Circuits!$A:$A)*ROW(Circuits!$A:$A))))</f>
        <v>-</v>
      </c>
      <c r="S116" s="183" t="str">
        <f t="array" ref="S116">IF(ISBLANK($AE116), "-",INDEX(Circuits!R:R,SUMPRODUCT(EXACT($AE116,Circuits!$A:$A)*ROW(Circuits!$A:$A))))</f>
        <v>-</v>
      </c>
      <c r="T116" s="183" t="str">
        <f t="array" ref="T116">IF(ISBLANK($AE116), "-",INDEX(Circuits!S:S,SUMPRODUCT(EXACT($AE116,Circuits!$A:$A)*ROW(Circuits!$A:$A))))</f>
        <v>-</v>
      </c>
      <c r="U116" s="183" t="str">
        <f t="array" ref="U116">IF(ISBLANK($AE116), "-",INDEX(Circuits!T:T,SUMPRODUCT(EXACT($AE116,Circuits!$A:$A)*ROW(Circuits!$A:$A))))</f>
        <v>-</v>
      </c>
      <c r="V116" s="183" t="str">
        <f t="array" ref="V116">IF(ISBLANK($AE116), "-",INDEX(Circuits!U:U,SUMPRODUCT(EXACT($AE116,Circuits!$A:$A)*ROW(Circuits!$A:$A))))</f>
        <v>-</v>
      </c>
      <c r="W116" s="183" t="str">
        <f t="array" ref="W116">IF(ISBLANK($AE116), "-",INDEX(Circuits!V:V,SUMPRODUCT(EXACT($AE116,Circuits!$A:$A)*ROW(Circuits!$A:$A))))</f>
        <v>-</v>
      </c>
      <c r="X116" s="183" t="str">
        <f t="array" ref="X116">IF(ISBLANK($AE116), "-",INDEX(Circuits!W:W,SUMPRODUCT(EXACT($AE116,Circuits!$A:$A)*ROW(Circuits!$A:$A))))</f>
        <v>-</v>
      </c>
      <c r="Y116" s="183" t="str">
        <f t="array" ref="Y116">IF(ISBLANK($AE116), "-",INDEX(Circuits!X:X,SUMPRODUCT(EXACT($AE116,Circuits!$A:$A)*ROW(Circuits!$A:$A))))</f>
        <v>-</v>
      </c>
      <c r="Z116" s="108" t="str">
        <f>IFERROR(__xludf.DUMMYFUNCTION("IFNA(CONCATENATE(UNIQUE(FILTER(Connections!R:R,Connections!A:A=B116))),""-"")"),"-")</f>
        <v>-</v>
      </c>
      <c r="AA116" s="119" t="str">
        <f t="array" ref="AA116">IF(ISBLANK($AE116), "-",INDEX(Circuits!Y:Y,SUMPRODUCT(EXACT($AE116,Circuits!$A:$A)*ROW(Circuits!$A:$A))))</f>
        <v>-</v>
      </c>
      <c r="AB116" s="121" t="str">
        <f t="array" ref="AB116">IF(ISBLANK($AE116), "-",INDEX(Circuits!Z:Z,SUMPRODUCT(EXACT($AE116,Circuits!$A:$A)*ROW(Circuits!$A:$A))))</f>
        <v>-</v>
      </c>
      <c r="AC116" s="194"/>
      <c r="AD116" s="194"/>
      <c r="AE116" s="40"/>
      <c r="AF116" s="43"/>
      <c r="AG116" s="126" t="str">
        <f>IFERROR(__xludf.DUMMYFUNCTION("IF(ISBLANK(AF116), """", TEXTJOIN(CHAR(10),TRUE,ARRAYFORMULA(IF(ISERROR(SEARCH(SPLIT(AF116, "";""), $Z116)), ""x"", ""-""))))"),"")</f>
        <v/>
      </c>
      <c r="AH116" s="127" t="str">
        <f>IFERROR(__xludf.DUMMYFUNCTION("IF(ISBLANK(AK116), """", TEXTJOIN("";"" &amp; CHAR(10), TRUE, UNIQUE(SPLIT(AK116, "";"" &amp; CHAR(10)), TRUE))&amp;"";"")"),"")</f>
        <v/>
      </c>
      <c r="AI116" s="128" t="str">
        <f>IFERROR(__xludf.DUMMYFUNCTION("IF(ISBLANK(AD116), IF(ISBLANK(AE116),,IFNA(TEXTJOIN("";"" &amp; CHAR(10), TRUE, FILTER(AE:AE, SEARCH(AE116&amp;"";"", AJ:AJ)))&amp;"";"", """")), TEXTJOIN("";"" &amp; CHAR(10), TRUE, UNIQUE(SPLIT(AH116 &amp; "";"" &amp; AH116 &amp; "";"" &amp; AL116, "";"" &amp; CHAR(10)), TRUE, TRUE))&amp;"";"&amp;""")"),"")</f>
        <v/>
      </c>
      <c r="AJ116" s="126" t="str">
        <f>IFERROR(__xludf.DUMMYFUNCTION("IF(AN116="""", """", TEXTJOIN("";"" &amp; CHAR(10), TRUE, UNIQUE(SPLIT(AH116 &amp; "";"" &amp; AH116 &amp; "";"" &amp; AN116, "";"" &amp; CHAR(10)), TRUE, TRUE))&amp;"";"")"),"")</f>
        <v/>
      </c>
      <c r="AK116" s="129" t="str">
        <f>IFERROR(__xludf.DUMMYFUNCTION("IF(ISBLANK(AD116), IF(ISBLANK(AE116),,AE116 &amp; "";""), TEXTJOIN(CHAR(10), TRUE, ARRAYFORMULA(VLOOKUP(SPLIT(AD116, "";"" &amp; CHAR(10)), $AC:$AH, 6, FALSE))))"),"")</f>
        <v/>
      </c>
      <c r="AL116" s="130" t="str">
        <f>IFERROR(__xludf.DUMMYFUNCTION("IF(AM116="""", """", TEXTJOIN("";"" &amp; CHAR(10), TRUE, UNIQUE(SPLIT(AM116, "";"" &amp; CHAR(10)), TRUE))&amp;"";"")"),"")</f>
        <v/>
      </c>
      <c r="AM116" s="130" t="str">
        <f>IFERROR(__xludf.DUMMYFUNCTION("IF(ISBLANK(AD116), """", TEXTJOIN(CHAR(10), TRUE, ARRAYFORMULA(VLOOKUP(SPLIT(AH116, "";"" &amp; CHAR(10)), $AE:$AI, 5, FALSE)), AF116))"),"")</f>
        <v/>
      </c>
      <c r="AN116" s="132" t="str">
        <f>IFERROR(__xludf.DUMMYFUNCTION("IF(ISBLANK(AO116), """", TEXTJOIN("";"" &amp; CHAR(10), TRUE, UNIQUE(SPLIT(AO116, "";"" &amp; CHAR(10)), TRUE))&amp;"";"")"),"")</f>
        <v/>
      </c>
      <c r="AO116" s="134" t="str">
        <f>IFERROR(__xludf.DUMMYFUNCTION("IF(ISBLANK(AD116), AF116, TEXTJOIN(CHAR(10), TRUE, ARRAYFORMULA(VLOOKUP(SPLIT(AD116, "";"" &amp; CHAR(10)), $AC:$AN, 12, FALSE))))"),"")</f>
        <v/>
      </c>
      <c r="AP116" s="130" t="str">
        <f>IF(ISBLANK(AE116),,IF(IFERROR(SEARCH(AE116&amp;";",Circuits!$AO$2),0),TRUE,FALSE))</f>
        <v/>
      </c>
      <c r="AQ116" s="130" t="str">
        <f t="shared" si="2"/>
        <v/>
      </c>
      <c r="AR116" s="130" t="str">
        <f t="shared" si="3"/>
        <v/>
      </c>
      <c r="AS116" s="136" t="str">
        <f>IFERROR(__xludf.DUMMYFUNCTION("IF(AH116="""",,SUM(ARRAYFORMULA(IF(IFERROR(SEARCH(SPLIT(AH116,CHAR(10)),Circuits!$AO$2),0)&gt;0,0,1))))"),"")</f>
        <v/>
      </c>
      <c r="AT116" s="138" t="str">
        <f t="shared" si="4"/>
        <v/>
      </c>
      <c r="AU116" s="138" t="str">
        <f t="shared" si="5"/>
        <v/>
      </c>
      <c r="AV116" s="130" t="str">
        <f>IFERROR(__xludf.DUMMYFUNCTION("IF(AI116="""",,TEXTJOIN("", "",TRUE,ARRAYFORMULA(VLOOKUP(SPLIT(AI116,"";""&amp;CHAR(10)),AE:AT,16,FALSE))))"),"")</f>
        <v/>
      </c>
      <c r="AW116" s="130" t="str">
        <f>IFERROR(__xludf.DUMMYFUNCTION("IF(ISBLANK(BK116),,TEXTJOIN("", "",TRUE,ARRAYFORMULA(VLOOKUP(IFERROR(REGEXEXTRACT(SPLIT(BK116,"";""&amp;CHAR(10)),""\[(.+)\]"")),AE:AT,16,false))))"),"")</f>
        <v/>
      </c>
      <c r="AX116" s="139" t="str">
        <f t="shared" si="6"/>
        <v/>
      </c>
      <c r="AY116" s="139" t="str">
        <f t="shared" si="7"/>
        <v/>
      </c>
      <c r="AZ116" s="106" t="str">
        <f>IFERROR(__xludf.DUMMYFUNCTION("IF(ISBLANK(AD116), BC116, TEXTJOIN(CHAR(10) &amp; CHAR(10), TRUE, ARRAYFORMULA(VLOOKUP(SPLIT(AD116, "";"" &amp; CHAR(10)), $AC:$AY, 23, FALSE))))"),"")</f>
        <v/>
      </c>
      <c r="BA116" s="140" t="s">
        <v>66</v>
      </c>
      <c r="BB116" s="190"/>
      <c r="BC116" s="196"/>
      <c r="BD116" s="106" t="str">
        <f>IFERROR(__xludf.DUMMYFUNCTION("IF(IFERROR(SEARCH(""&lt;&lt;mechanism to realize the capability&gt;&gt;"",BA116),0)=0,
 ""!! Error !! “Capability&amp;Mechanism” column: Invalid Separator:"" &amp; CHAR(10) &amp; ""Insert separator “&lt;&lt;mechanism to realize the capability&gt;&gt;.”"",
 IF(
  LEN(TRIM(CLEAN(
    INDEX(
 "&amp;"     SPLIT(BA116,""&lt;&lt;mechanism to realize the capability&gt;&gt;"",FALSE,FALSE),
      1
    )
  )))=0,
  ""!! Error !! “Capability&amp;Mechanism” column: No Capability:""  &amp; CHAR(10) &amp; ""Describe Capability before separator."",
  INDEX(
    SPLIT(BA116,""&lt;&lt;mechani"&amp;"sm to realize the capability&gt;&gt;"",FALSE,FALSE),
    1
  )
 )
)
"),"!! Error !! “Capability&amp;Mechanism” column: No Capability:
Describe Capability before separator.")</f>
        <v>!! Error !! “Capability&amp;Mechanism” column: No Capability:
Describe Capability before separator.</v>
      </c>
      <c r="BE116" s="190"/>
      <c r="BF116" s="195"/>
      <c r="BG116" s="42"/>
      <c r="BH116" s="190"/>
      <c r="BI116" s="196"/>
      <c r="BJ116" s="42"/>
      <c r="BK116" s="42"/>
      <c r="BL116" s="203"/>
      <c r="BM116" s="203"/>
      <c r="BN116" s="42"/>
      <c r="BO116" s="42"/>
      <c r="BP116" s="143"/>
      <c r="BQ116" s="143"/>
      <c r="BR116" s="192"/>
      <c r="BS116" s="192"/>
      <c r="BT116" s="192"/>
      <c r="BU116" s="192"/>
      <c r="BV116" s="192"/>
      <c r="BW116" s="192"/>
      <c r="BX116" s="146" t="str">
        <f t="shared" si="8"/>
        <v/>
      </c>
    </row>
    <row r="117">
      <c r="A117" s="106" t="str">
        <f t="shared" si="1"/>
        <v/>
      </c>
      <c r="B117" s="183" t="str">
        <f t="array" ref="B117">IF(ISBLANK($AE117), "-",INDEX(Circuits!A:A,SUMPRODUCT(EXACT($AE117,Circuits!$A:$A)*ROW(Circuits!$A:$A))))</f>
        <v>-</v>
      </c>
      <c r="C117" s="183" t="str">
        <f t="array" ref="C117">IF(ISBLANK($AE117), "-",INDEX(Circuits!B:B,SUMPRODUCT(EXACT($AE117,Circuits!$A:$A)*ROW(Circuits!$A:$A))))</f>
        <v>-</v>
      </c>
      <c r="D117" s="183" t="str">
        <f t="array" ref="D117">IF(ISBLANK($AE117), "-",INDEX(Circuits!C:C,SUMPRODUCT(EXACT($AE117,Circuits!$A:$A)*ROW(Circuits!$A:$A))))</f>
        <v>-</v>
      </c>
      <c r="E117" s="183" t="str">
        <f t="array" ref="E117">IF(ISBLANK($AE117), "-",INDEX(Circuits!D:D,SUMPRODUCT(EXACT($AE117,Circuits!$A:$A)*ROW(Circuits!$A:$A))))</f>
        <v>-</v>
      </c>
      <c r="F117" s="183" t="str">
        <f t="array" ref="F117">IF(ISBLANK($AE117), "-",INDEX(Circuits!E:E,SUMPRODUCT(EXACT($AE117,Circuits!$A:$A)*ROW(Circuits!$A:$A))))</f>
        <v>-</v>
      </c>
      <c r="G117" s="183" t="str">
        <f t="array" ref="G117">IF(ISBLANK($AE117), "-",INDEX(Circuits!F:F,SUMPRODUCT(EXACT($AE117,Circuits!$A:$A)*ROW(Circuits!$A:$A))))</f>
        <v>-</v>
      </c>
      <c r="H117" s="183" t="str">
        <f t="array" ref="H117">IF(ISBLANK($AE117), "-",INDEX(Circuits!G:G,SUMPRODUCT(EXACT($AE117,Circuits!$A:$A)*ROW(Circuits!$A:$A))))</f>
        <v>-</v>
      </c>
      <c r="I117" s="183" t="str">
        <f t="array" ref="I117">IF(ISBLANK($AE117), "-",INDEX(Circuits!H:H,SUMPRODUCT(EXACT($AE117,Circuits!$A:$A)*ROW(Circuits!$A:$A))))</f>
        <v>-</v>
      </c>
      <c r="J117" s="183" t="str">
        <f t="array" ref="J117">IF(ISBLANK($AE117), "-",INDEX(Circuits!I:I,SUMPRODUCT(EXACT($AE117,Circuits!$A:$A)*ROW(Circuits!$A:$A))))</f>
        <v>-</v>
      </c>
      <c r="K117" s="183" t="str">
        <f t="array" ref="K117">IF(ISBLANK($AE117), "-",INDEX(Circuits!J:J,SUMPRODUCT(EXACT($AE117,Circuits!$A:$A)*ROW(Circuits!$A:$A))))</f>
        <v>-</v>
      </c>
      <c r="L117" s="183" t="str">
        <f t="array" ref="L117">IF(ISBLANK($AE117), "-",INDEX(Circuits!K:K,SUMPRODUCT(EXACT($AE117,Circuits!$A:$A)*ROW(Circuits!$A:$A))))</f>
        <v>-</v>
      </c>
      <c r="M117" s="183" t="str">
        <f t="array" ref="M117">IF(ISBLANK($AE117), "-",INDEX(Circuits!L:L,SUMPRODUCT(EXACT($AE117,Circuits!$A:$A)*ROW(Circuits!$A:$A))))</f>
        <v>-</v>
      </c>
      <c r="N117" s="183" t="str">
        <f t="array" ref="N117">IF(ISBLANK($AE117), "-",INDEX(Circuits!M:M,SUMPRODUCT(EXACT($AE117,Circuits!$A:$A)*ROW(Circuits!$A:$A))))</f>
        <v>-</v>
      </c>
      <c r="O117" s="183" t="str">
        <f t="array" ref="O117">IF(ISBLANK($AE117), "-",INDEX(Circuits!N:N,SUMPRODUCT(EXACT($AE117,Circuits!$A:$A)*ROW(Circuits!$A:$A))))</f>
        <v>-</v>
      </c>
      <c r="P117" s="183" t="str">
        <f t="array" ref="P117">IF(ISBLANK($AE117), "-",INDEX(Circuits!O:O,SUMPRODUCT(EXACT($AE117,Circuits!$A:$A)*ROW(Circuits!$A:$A))))</f>
        <v>-</v>
      </c>
      <c r="Q117" s="183" t="str">
        <f t="array" ref="Q117">IF(ISBLANK($AE117), "-",INDEX(Circuits!P:P,SUMPRODUCT(EXACT($AE117,Circuits!$A:$A)*ROW(Circuits!$A:$A))))</f>
        <v>-</v>
      </c>
      <c r="R117" s="183" t="str">
        <f t="array" ref="R117">IF(ISBLANK($AE117), "-",INDEX(Circuits!Q:Q,SUMPRODUCT(EXACT($AE117,Circuits!$A:$A)*ROW(Circuits!$A:$A))))</f>
        <v>-</v>
      </c>
      <c r="S117" s="183" t="str">
        <f t="array" ref="S117">IF(ISBLANK($AE117), "-",INDEX(Circuits!R:R,SUMPRODUCT(EXACT($AE117,Circuits!$A:$A)*ROW(Circuits!$A:$A))))</f>
        <v>-</v>
      </c>
      <c r="T117" s="183" t="str">
        <f t="array" ref="T117">IF(ISBLANK($AE117), "-",INDEX(Circuits!S:S,SUMPRODUCT(EXACT($AE117,Circuits!$A:$A)*ROW(Circuits!$A:$A))))</f>
        <v>-</v>
      </c>
      <c r="U117" s="183" t="str">
        <f t="array" ref="U117">IF(ISBLANK($AE117), "-",INDEX(Circuits!T:T,SUMPRODUCT(EXACT($AE117,Circuits!$A:$A)*ROW(Circuits!$A:$A))))</f>
        <v>-</v>
      </c>
      <c r="V117" s="183" t="str">
        <f t="array" ref="V117">IF(ISBLANK($AE117), "-",INDEX(Circuits!U:U,SUMPRODUCT(EXACT($AE117,Circuits!$A:$A)*ROW(Circuits!$A:$A))))</f>
        <v>-</v>
      </c>
      <c r="W117" s="183" t="str">
        <f t="array" ref="W117">IF(ISBLANK($AE117), "-",INDEX(Circuits!V:V,SUMPRODUCT(EXACT($AE117,Circuits!$A:$A)*ROW(Circuits!$A:$A))))</f>
        <v>-</v>
      </c>
      <c r="X117" s="183" t="str">
        <f t="array" ref="X117">IF(ISBLANK($AE117), "-",INDEX(Circuits!W:W,SUMPRODUCT(EXACT($AE117,Circuits!$A:$A)*ROW(Circuits!$A:$A))))</f>
        <v>-</v>
      </c>
      <c r="Y117" s="183" t="str">
        <f t="array" ref="Y117">IF(ISBLANK($AE117), "-",INDEX(Circuits!X:X,SUMPRODUCT(EXACT($AE117,Circuits!$A:$A)*ROW(Circuits!$A:$A))))</f>
        <v>-</v>
      </c>
      <c r="Z117" s="108" t="str">
        <f>IFERROR(__xludf.DUMMYFUNCTION("IFNA(CONCATENATE(UNIQUE(FILTER(Connections!R:R,Connections!A:A=B117))),""-"")"),"-")</f>
        <v>-</v>
      </c>
      <c r="AA117" s="119" t="str">
        <f t="array" ref="AA117">IF(ISBLANK($AE117), "-",INDEX(Circuits!Y:Y,SUMPRODUCT(EXACT($AE117,Circuits!$A:$A)*ROW(Circuits!$A:$A))))</f>
        <v>-</v>
      </c>
      <c r="AB117" s="121" t="str">
        <f t="array" ref="AB117">IF(ISBLANK($AE117), "-",INDEX(Circuits!Z:Z,SUMPRODUCT(EXACT($AE117,Circuits!$A:$A)*ROW(Circuits!$A:$A))))</f>
        <v>-</v>
      </c>
      <c r="AC117" s="194"/>
      <c r="AD117" s="194"/>
      <c r="AE117" s="40"/>
      <c r="AF117" s="43"/>
      <c r="AG117" s="126" t="str">
        <f>IFERROR(__xludf.DUMMYFUNCTION("IF(ISBLANK(AF117), """", TEXTJOIN(CHAR(10),TRUE,ARRAYFORMULA(IF(ISERROR(SEARCH(SPLIT(AF117, "";""), $Z117)), ""x"", ""-""))))"),"")</f>
        <v/>
      </c>
      <c r="AH117" s="127" t="str">
        <f>IFERROR(__xludf.DUMMYFUNCTION("IF(ISBLANK(AK117), """", TEXTJOIN("";"" &amp; CHAR(10), TRUE, UNIQUE(SPLIT(AK117, "";"" &amp; CHAR(10)), TRUE))&amp;"";"")"),"")</f>
        <v/>
      </c>
      <c r="AI117" s="128" t="str">
        <f>IFERROR(__xludf.DUMMYFUNCTION("IF(ISBLANK(AD117), IF(ISBLANK(AE117),,IFNA(TEXTJOIN("";"" &amp; CHAR(10), TRUE, FILTER(AE:AE, SEARCH(AE117&amp;"";"", AJ:AJ)))&amp;"";"", """")), TEXTJOIN("";"" &amp; CHAR(10), TRUE, UNIQUE(SPLIT(AH117 &amp; "";"" &amp; AH117 &amp; "";"" &amp; AL117, "";"" &amp; CHAR(10)), TRUE, TRUE))&amp;"";"&amp;""")"),"")</f>
        <v/>
      </c>
      <c r="AJ117" s="126" t="str">
        <f>IFERROR(__xludf.DUMMYFUNCTION("IF(AN117="""", """", TEXTJOIN("";"" &amp; CHAR(10), TRUE, UNIQUE(SPLIT(AH117 &amp; "";"" &amp; AH117 &amp; "";"" &amp; AN117, "";"" &amp; CHAR(10)), TRUE, TRUE))&amp;"";"")"),"")</f>
        <v/>
      </c>
      <c r="AK117" s="129" t="str">
        <f>IFERROR(__xludf.DUMMYFUNCTION("IF(ISBLANK(AD117), IF(ISBLANK(AE117),,AE117 &amp; "";""), TEXTJOIN(CHAR(10), TRUE, ARRAYFORMULA(VLOOKUP(SPLIT(AD117, "";"" &amp; CHAR(10)), $AC:$AH, 6, FALSE))))"),"")</f>
        <v/>
      </c>
      <c r="AL117" s="130" t="str">
        <f>IFERROR(__xludf.DUMMYFUNCTION("IF(AM117="""", """", TEXTJOIN("";"" &amp; CHAR(10), TRUE, UNIQUE(SPLIT(AM117, "";"" &amp; CHAR(10)), TRUE))&amp;"";"")"),"")</f>
        <v/>
      </c>
      <c r="AM117" s="130" t="str">
        <f>IFERROR(__xludf.DUMMYFUNCTION("IF(ISBLANK(AD117), """", TEXTJOIN(CHAR(10), TRUE, ARRAYFORMULA(VLOOKUP(SPLIT(AH117, "";"" &amp; CHAR(10)), $AE:$AI, 5, FALSE)), AF117))"),"")</f>
        <v/>
      </c>
      <c r="AN117" s="132" t="str">
        <f>IFERROR(__xludf.DUMMYFUNCTION("IF(ISBLANK(AO117), """", TEXTJOIN("";"" &amp; CHAR(10), TRUE, UNIQUE(SPLIT(AO117, "";"" &amp; CHAR(10)), TRUE))&amp;"";"")"),"")</f>
        <v/>
      </c>
      <c r="AO117" s="134" t="str">
        <f>IFERROR(__xludf.DUMMYFUNCTION("IF(ISBLANK(AD117), AF117, TEXTJOIN(CHAR(10), TRUE, ARRAYFORMULA(VLOOKUP(SPLIT(AD117, "";"" &amp; CHAR(10)), $AC:$AN, 12, FALSE))))"),"")</f>
        <v/>
      </c>
      <c r="AP117" s="130" t="str">
        <f>IF(ISBLANK(AE117),,IF(IFERROR(SEARCH(AE117&amp;";",Circuits!$AO$2),0),TRUE,FALSE))</f>
        <v/>
      </c>
      <c r="AQ117" s="130" t="str">
        <f t="shared" si="2"/>
        <v/>
      </c>
      <c r="AR117" s="130" t="str">
        <f t="shared" si="3"/>
        <v/>
      </c>
      <c r="AS117" s="136" t="str">
        <f>IFERROR(__xludf.DUMMYFUNCTION("IF(AH117="""",,SUM(ARRAYFORMULA(IF(IFERROR(SEARCH(SPLIT(AH117,CHAR(10)),Circuits!$AO$2),0)&gt;0,0,1))))"),"")</f>
        <v/>
      </c>
      <c r="AT117" s="138" t="str">
        <f t="shared" si="4"/>
        <v/>
      </c>
      <c r="AU117" s="138" t="str">
        <f t="shared" si="5"/>
        <v/>
      </c>
      <c r="AV117" s="130" t="str">
        <f>IFERROR(__xludf.DUMMYFUNCTION("IF(AI117="""",,TEXTJOIN("", "",TRUE,ARRAYFORMULA(VLOOKUP(SPLIT(AI117,"";""&amp;CHAR(10)),AE:AT,16,FALSE))))"),"")</f>
        <v/>
      </c>
      <c r="AW117" s="130" t="str">
        <f>IFERROR(__xludf.DUMMYFUNCTION("IF(ISBLANK(BK117),,TEXTJOIN("", "",TRUE,ARRAYFORMULA(VLOOKUP(IFERROR(REGEXEXTRACT(SPLIT(BK117,"";""&amp;CHAR(10)),""\[(.+)\]"")),AE:AT,16,false))))"),"")</f>
        <v/>
      </c>
      <c r="AX117" s="139" t="str">
        <f t="shared" si="6"/>
        <v/>
      </c>
      <c r="AY117" s="139" t="str">
        <f t="shared" si="7"/>
        <v/>
      </c>
      <c r="AZ117" s="106" t="str">
        <f>IFERROR(__xludf.DUMMYFUNCTION("IF(ISBLANK(AD117), BC117, TEXTJOIN(CHAR(10) &amp; CHAR(10), TRUE, ARRAYFORMULA(VLOOKUP(SPLIT(AD117, "";"" &amp; CHAR(10)), $AC:$AY, 23, FALSE))))"),"")</f>
        <v/>
      </c>
      <c r="BA117" s="140" t="s">
        <v>66</v>
      </c>
      <c r="BB117" s="190"/>
      <c r="BC117" s="196"/>
      <c r="BD117" s="106" t="str">
        <f>IFERROR(__xludf.DUMMYFUNCTION("IF(IFERROR(SEARCH(""&lt;&lt;mechanism to realize the capability&gt;&gt;"",BA117),0)=0,
 ""!! Error !! “Capability&amp;Mechanism” column: Invalid Separator:"" &amp; CHAR(10) &amp; ""Insert separator “&lt;&lt;mechanism to realize the capability&gt;&gt;.”"",
 IF(
  LEN(TRIM(CLEAN(
    INDEX(
 "&amp;"     SPLIT(BA117,""&lt;&lt;mechanism to realize the capability&gt;&gt;"",FALSE,FALSE),
      1
    )
  )))=0,
  ""!! Error !! “Capability&amp;Mechanism” column: No Capability:""  &amp; CHAR(10) &amp; ""Describe Capability before separator."",
  INDEX(
    SPLIT(BA117,""&lt;&lt;mechani"&amp;"sm to realize the capability&gt;&gt;"",FALSE,FALSE),
    1
  )
 )
)
"),"!! Error !! “Capability&amp;Mechanism” column: No Capability:
Describe Capability before separator.")</f>
        <v>!! Error !! “Capability&amp;Mechanism” column: No Capability:
Describe Capability before separator.</v>
      </c>
      <c r="BE117" s="190"/>
      <c r="BF117" s="195"/>
      <c r="BG117" s="42"/>
      <c r="BH117" s="190"/>
      <c r="BI117" s="196"/>
      <c r="BJ117" s="42"/>
      <c r="BK117" s="42"/>
      <c r="BL117" s="203"/>
      <c r="BM117" s="203"/>
      <c r="BN117" s="42"/>
      <c r="BO117" s="42"/>
      <c r="BP117" s="143"/>
      <c r="BQ117" s="143"/>
      <c r="BR117" s="192"/>
      <c r="BS117" s="192"/>
      <c r="BT117" s="192"/>
      <c r="BU117" s="192"/>
      <c r="BV117" s="192"/>
      <c r="BW117" s="192"/>
      <c r="BX117" s="146" t="str">
        <f t="shared" si="8"/>
        <v/>
      </c>
    </row>
    <row r="118">
      <c r="A118" s="106" t="str">
        <f t="shared" si="1"/>
        <v/>
      </c>
      <c r="B118" s="183" t="str">
        <f t="array" ref="B118">IF(ISBLANK($AE118), "-",INDEX(Circuits!A:A,SUMPRODUCT(EXACT($AE118,Circuits!$A:$A)*ROW(Circuits!$A:$A))))</f>
        <v>-</v>
      </c>
      <c r="C118" s="183" t="str">
        <f t="array" ref="C118">IF(ISBLANK($AE118), "-",INDEX(Circuits!B:B,SUMPRODUCT(EXACT($AE118,Circuits!$A:$A)*ROW(Circuits!$A:$A))))</f>
        <v>-</v>
      </c>
      <c r="D118" s="183" t="str">
        <f t="array" ref="D118">IF(ISBLANK($AE118), "-",INDEX(Circuits!C:C,SUMPRODUCT(EXACT($AE118,Circuits!$A:$A)*ROW(Circuits!$A:$A))))</f>
        <v>-</v>
      </c>
      <c r="E118" s="183" t="str">
        <f t="array" ref="E118">IF(ISBLANK($AE118), "-",INDEX(Circuits!D:D,SUMPRODUCT(EXACT($AE118,Circuits!$A:$A)*ROW(Circuits!$A:$A))))</f>
        <v>-</v>
      </c>
      <c r="F118" s="183" t="str">
        <f t="array" ref="F118">IF(ISBLANK($AE118), "-",INDEX(Circuits!E:E,SUMPRODUCT(EXACT($AE118,Circuits!$A:$A)*ROW(Circuits!$A:$A))))</f>
        <v>-</v>
      </c>
      <c r="G118" s="183" t="str">
        <f t="array" ref="G118">IF(ISBLANK($AE118), "-",INDEX(Circuits!F:F,SUMPRODUCT(EXACT($AE118,Circuits!$A:$A)*ROW(Circuits!$A:$A))))</f>
        <v>-</v>
      </c>
      <c r="H118" s="183" t="str">
        <f t="array" ref="H118">IF(ISBLANK($AE118), "-",INDEX(Circuits!G:G,SUMPRODUCT(EXACT($AE118,Circuits!$A:$A)*ROW(Circuits!$A:$A))))</f>
        <v>-</v>
      </c>
      <c r="I118" s="183" t="str">
        <f t="array" ref="I118">IF(ISBLANK($AE118), "-",INDEX(Circuits!H:H,SUMPRODUCT(EXACT($AE118,Circuits!$A:$A)*ROW(Circuits!$A:$A))))</f>
        <v>-</v>
      </c>
      <c r="J118" s="183" t="str">
        <f t="array" ref="J118">IF(ISBLANK($AE118), "-",INDEX(Circuits!I:I,SUMPRODUCT(EXACT($AE118,Circuits!$A:$A)*ROW(Circuits!$A:$A))))</f>
        <v>-</v>
      </c>
      <c r="K118" s="183" t="str">
        <f t="array" ref="K118">IF(ISBLANK($AE118), "-",INDEX(Circuits!J:J,SUMPRODUCT(EXACT($AE118,Circuits!$A:$A)*ROW(Circuits!$A:$A))))</f>
        <v>-</v>
      </c>
      <c r="L118" s="183" t="str">
        <f t="array" ref="L118">IF(ISBLANK($AE118), "-",INDEX(Circuits!K:K,SUMPRODUCT(EXACT($AE118,Circuits!$A:$A)*ROW(Circuits!$A:$A))))</f>
        <v>-</v>
      </c>
      <c r="M118" s="183" t="str">
        <f t="array" ref="M118">IF(ISBLANK($AE118), "-",INDEX(Circuits!L:L,SUMPRODUCT(EXACT($AE118,Circuits!$A:$A)*ROW(Circuits!$A:$A))))</f>
        <v>-</v>
      </c>
      <c r="N118" s="183" t="str">
        <f t="array" ref="N118">IF(ISBLANK($AE118), "-",INDEX(Circuits!M:M,SUMPRODUCT(EXACT($AE118,Circuits!$A:$A)*ROW(Circuits!$A:$A))))</f>
        <v>-</v>
      </c>
      <c r="O118" s="183" t="str">
        <f t="array" ref="O118">IF(ISBLANK($AE118), "-",INDEX(Circuits!N:N,SUMPRODUCT(EXACT($AE118,Circuits!$A:$A)*ROW(Circuits!$A:$A))))</f>
        <v>-</v>
      </c>
      <c r="P118" s="183" t="str">
        <f t="array" ref="P118">IF(ISBLANK($AE118), "-",INDEX(Circuits!O:O,SUMPRODUCT(EXACT($AE118,Circuits!$A:$A)*ROW(Circuits!$A:$A))))</f>
        <v>-</v>
      </c>
      <c r="Q118" s="183" t="str">
        <f t="array" ref="Q118">IF(ISBLANK($AE118), "-",INDEX(Circuits!P:P,SUMPRODUCT(EXACT($AE118,Circuits!$A:$A)*ROW(Circuits!$A:$A))))</f>
        <v>-</v>
      </c>
      <c r="R118" s="183" t="str">
        <f t="array" ref="R118">IF(ISBLANK($AE118), "-",INDEX(Circuits!Q:Q,SUMPRODUCT(EXACT($AE118,Circuits!$A:$A)*ROW(Circuits!$A:$A))))</f>
        <v>-</v>
      </c>
      <c r="S118" s="183" t="str">
        <f t="array" ref="S118">IF(ISBLANK($AE118), "-",INDEX(Circuits!R:R,SUMPRODUCT(EXACT($AE118,Circuits!$A:$A)*ROW(Circuits!$A:$A))))</f>
        <v>-</v>
      </c>
      <c r="T118" s="183" t="str">
        <f t="array" ref="T118">IF(ISBLANK($AE118), "-",INDEX(Circuits!S:S,SUMPRODUCT(EXACT($AE118,Circuits!$A:$A)*ROW(Circuits!$A:$A))))</f>
        <v>-</v>
      </c>
      <c r="U118" s="183" t="str">
        <f t="array" ref="U118">IF(ISBLANK($AE118), "-",INDEX(Circuits!T:T,SUMPRODUCT(EXACT($AE118,Circuits!$A:$A)*ROW(Circuits!$A:$A))))</f>
        <v>-</v>
      </c>
      <c r="V118" s="183" t="str">
        <f t="array" ref="V118">IF(ISBLANK($AE118), "-",INDEX(Circuits!U:U,SUMPRODUCT(EXACT($AE118,Circuits!$A:$A)*ROW(Circuits!$A:$A))))</f>
        <v>-</v>
      </c>
      <c r="W118" s="183" t="str">
        <f t="array" ref="W118">IF(ISBLANK($AE118), "-",INDEX(Circuits!V:V,SUMPRODUCT(EXACT($AE118,Circuits!$A:$A)*ROW(Circuits!$A:$A))))</f>
        <v>-</v>
      </c>
      <c r="X118" s="183" t="str">
        <f t="array" ref="X118">IF(ISBLANK($AE118), "-",INDEX(Circuits!W:W,SUMPRODUCT(EXACT($AE118,Circuits!$A:$A)*ROW(Circuits!$A:$A))))</f>
        <v>-</v>
      </c>
      <c r="Y118" s="183" t="str">
        <f t="array" ref="Y118">IF(ISBLANK($AE118), "-",INDEX(Circuits!X:X,SUMPRODUCT(EXACT($AE118,Circuits!$A:$A)*ROW(Circuits!$A:$A))))</f>
        <v>-</v>
      </c>
      <c r="Z118" s="108" t="str">
        <f>IFERROR(__xludf.DUMMYFUNCTION("IFNA(CONCATENATE(UNIQUE(FILTER(Connections!R:R,Connections!A:A=B118))),""-"")"),"-")</f>
        <v>-</v>
      </c>
      <c r="AA118" s="119" t="str">
        <f t="array" ref="AA118">IF(ISBLANK($AE118), "-",INDEX(Circuits!Y:Y,SUMPRODUCT(EXACT($AE118,Circuits!$A:$A)*ROW(Circuits!$A:$A))))</f>
        <v>-</v>
      </c>
      <c r="AB118" s="121" t="str">
        <f t="array" ref="AB118">IF(ISBLANK($AE118), "-",INDEX(Circuits!Z:Z,SUMPRODUCT(EXACT($AE118,Circuits!$A:$A)*ROW(Circuits!$A:$A))))</f>
        <v>-</v>
      </c>
      <c r="AC118" s="194"/>
      <c r="AD118" s="194"/>
      <c r="AE118" s="40"/>
      <c r="AF118" s="43"/>
      <c r="AG118" s="126" t="str">
        <f>IFERROR(__xludf.DUMMYFUNCTION("IF(ISBLANK(AF118), """", TEXTJOIN(CHAR(10),TRUE,ARRAYFORMULA(IF(ISERROR(SEARCH(SPLIT(AF118, "";""), $Z118)), ""x"", ""-""))))"),"")</f>
        <v/>
      </c>
      <c r="AH118" s="127" t="str">
        <f>IFERROR(__xludf.DUMMYFUNCTION("IF(ISBLANK(AK118), """", TEXTJOIN("";"" &amp; CHAR(10), TRUE, UNIQUE(SPLIT(AK118, "";"" &amp; CHAR(10)), TRUE))&amp;"";"")"),"")</f>
        <v/>
      </c>
      <c r="AI118" s="128" t="str">
        <f>IFERROR(__xludf.DUMMYFUNCTION("IF(ISBLANK(AD118), IF(ISBLANK(AE118),,IFNA(TEXTJOIN("";"" &amp; CHAR(10), TRUE, FILTER(AE:AE, SEARCH(AE118&amp;"";"", AJ:AJ)))&amp;"";"", """")), TEXTJOIN("";"" &amp; CHAR(10), TRUE, UNIQUE(SPLIT(AH118 &amp; "";"" &amp; AH118 &amp; "";"" &amp; AL118, "";"" &amp; CHAR(10)), TRUE, TRUE))&amp;"";"&amp;""")"),"")</f>
        <v/>
      </c>
      <c r="AJ118" s="126" t="str">
        <f>IFERROR(__xludf.DUMMYFUNCTION("IF(AN118="""", """", TEXTJOIN("";"" &amp; CHAR(10), TRUE, UNIQUE(SPLIT(AH118 &amp; "";"" &amp; AH118 &amp; "";"" &amp; AN118, "";"" &amp; CHAR(10)), TRUE, TRUE))&amp;"";"")"),"")</f>
        <v/>
      </c>
      <c r="AK118" s="129" t="str">
        <f>IFERROR(__xludf.DUMMYFUNCTION("IF(ISBLANK(AD118), IF(ISBLANK(AE118),,AE118 &amp; "";""), TEXTJOIN(CHAR(10), TRUE, ARRAYFORMULA(VLOOKUP(SPLIT(AD118, "";"" &amp; CHAR(10)), $AC:$AH, 6, FALSE))))"),"")</f>
        <v/>
      </c>
      <c r="AL118" s="130" t="str">
        <f>IFERROR(__xludf.DUMMYFUNCTION("IF(AM118="""", """", TEXTJOIN("";"" &amp; CHAR(10), TRUE, UNIQUE(SPLIT(AM118, "";"" &amp; CHAR(10)), TRUE))&amp;"";"")"),"")</f>
        <v/>
      </c>
      <c r="AM118" s="130" t="str">
        <f>IFERROR(__xludf.DUMMYFUNCTION("IF(ISBLANK(AD118), """", TEXTJOIN(CHAR(10), TRUE, ARRAYFORMULA(VLOOKUP(SPLIT(AH118, "";"" &amp; CHAR(10)), $AE:$AI, 5, FALSE)), AF118))"),"")</f>
        <v/>
      </c>
      <c r="AN118" s="132" t="str">
        <f>IFERROR(__xludf.DUMMYFUNCTION("IF(ISBLANK(AO118), """", TEXTJOIN("";"" &amp; CHAR(10), TRUE, UNIQUE(SPLIT(AO118, "";"" &amp; CHAR(10)), TRUE))&amp;"";"")"),"")</f>
        <v/>
      </c>
      <c r="AO118" s="134" t="str">
        <f>IFERROR(__xludf.DUMMYFUNCTION("IF(ISBLANK(AD118), AF118, TEXTJOIN(CHAR(10), TRUE, ARRAYFORMULA(VLOOKUP(SPLIT(AD118, "";"" &amp; CHAR(10)), $AC:$AN, 12, FALSE))))"),"")</f>
        <v/>
      </c>
      <c r="AP118" s="130" t="str">
        <f>IF(ISBLANK(AE118),,IF(IFERROR(SEARCH(AE118&amp;";",Circuits!$AO$2),0),TRUE,FALSE))</f>
        <v/>
      </c>
      <c r="AQ118" s="130" t="str">
        <f t="shared" si="2"/>
        <v/>
      </c>
      <c r="AR118" s="130" t="str">
        <f t="shared" si="3"/>
        <v/>
      </c>
      <c r="AS118" s="136" t="str">
        <f>IFERROR(__xludf.DUMMYFUNCTION("IF(AH118="""",,SUM(ARRAYFORMULA(IF(IFERROR(SEARCH(SPLIT(AH118,CHAR(10)),Circuits!$AO$2),0)&gt;0,0,1))))"),"")</f>
        <v/>
      </c>
      <c r="AT118" s="138" t="str">
        <f t="shared" si="4"/>
        <v/>
      </c>
      <c r="AU118" s="138" t="str">
        <f t="shared" si="5"/>
        <v/>
      </c>
      <c r="AV118" s="130" t="str">
        <f>IFERROR(__xludf.DUMMYFUNCTION("IF(AI118="""",,TEXTJOIN("", "",TRUE,ARRAYFORMULA(VLOOKUP(SPLIT(AI118,"";""&amp;CHAR(10)),AE:AT,16,FALSE))))"),"")</f>
        <v/>
      </c>
      <c r="AW118" s="130" t="str">
        <f>IFERROR(__xludf.DUMMYFUNCTION("IF(ISBLANK(BK118),,TEXTJOIN("", "",TRUE,ARRAYFORMULA(VLOOKUP(IFERROR(REGEXEXTRACT(SPLIT(BK118,"";""&amp;CHAR(10)),""\[(.+)\]"")),AE:AT,16,false))))"),"")</f>
        <v/>
      </c>
      <c r="AX118" s="139" t="str">
        <f t="shared" si="6"/>
        <v/>
      </c>
      <c r="AY118" s="139" t="str">
        <f t="shared" si="7"/>
        <v/>
      </c>
      <c r="AZ118" s="106" t="str">
        <f>IFERROR(__xludf.DUMMYFUNCTION("IF(ISBLANK(AD118), BC118, TEXTJOIN(CHAR(10) &amp; CHAR(10), TRUE, ARRAYFORMULA(VLOOKUP(SPLIT(AD118, "";"" &amp; CHAR(10)), $AC:$AY, 23, FALSE))))"),"")</f>
        <v/>
      </c>
      <c r="BA118" s="140" t="s">
        <v>66</v>
      </c>
      <c r="BB118" s="190"/>
      <c r="BC118" s="196"/>
      <c r="BD118" s="106" t="str">
        <f>IFERROR(__xludf.DUMMYFUNCTION("IF(IFERROR(SEARCH(""&lt;&lt;mechanism to realize the capability&gt;&gt;"",BA118),0)=0,
 ""!! Error !! “Capability&amp;Mechanism” column: Invalid Separator:"" &amp; CHAR(10) &amp; ""Insert separator “&lt;&lt;mechanism to realize the capability&gt;&gt;.”"",
 IF(
  LEN(TRIM(CLEAN(
    INDEX(
 "&amp;"     SPLIT(BA118,""&lt;&lt;mechanism to realize the capability&gt;&gt;"",FALSE,FALSE),
      1
    )
  )))=0,
  ""!! Error !! “Capability&amp;Mechanism” column: No Capability:""  &amp; CHAR(10) &amp; ""Describe Capability before separator."",
  INDEX(
    SPLIT(BA118,""&lt;&lt;mechani"&amp;"sm to realize the capability&gt;&gt;"",FALSE,FALSE),
    1
  )
 )
)
"),"!! Error !! “Capability&amp;Mechanism” column: No Capability:
Describe Capability before separator.")</f>
        <v>!! Error !! “Capability&amp;Mechanism” column: No Capability:
Describe Capability before separator.</v>
      </c>
      <c r="BE118" s="190"/>
      <c r="BF118" s="195"/>
      <c r="BG118" s="42"/>
      <c r="BH118" s="190"/>
      <c r="BI118" s="196"/>
      <c r="BJ118" s="42"/>
      <c r="BK118" s="42"/>
      <c r="BL118" s="203"/>
      <c r="BM118" s="203"/>
      <c r="BN118" s="42"/>
      <c r="BO118" s="42"/>
      <c r="BP118" s="143"/>
      <c r="BQ118" s="143"/>
      <c r="BR118" s="192"/>
      <c r="BS118" s="192"/>
      <c r="BT118" s="192"/>
      <c r="BU118" s="192"/>
      <c r="BV118" s="192"/>
      <c r="BW118" s="192"/>
      <c r="BX118" s="146" t="str">
        <f t="shared" si="8"/>
        <v/>
      </c>
    </row>
    <row r="119">
      <c r="A119" s="106" t="str">
        <f t="shared" si="1"/>
        <v/>
      </c>
      <c r="B119" s="183" t="str">
        <f t="array" ref="B119">IF(ISBLANK($AE119), "-",INDEX(Circuits!A:A,SUMPRODUCT(EXACT($AE119,Circuits!$A:$A)*ROW(Circuits!$A:$A))))</f>
        <v>-</v>
      </c>
      <c r="C119" s="183" t="str">
        <f t="array" ref="C119">IF(ISBLANK($AE119), "-",INDEX(Circuits!B:B,SUMPRODUCT(EXACT($AE119,Circuits!$A:$A)*ROW(Circuits!$A:$A))))</f>
        <v>-</v>
      </c>
      <c r="D119" s="183" t="str">
        <f t="array" ref="D119">IF(ISBLANK($AE119), "-",INDEX(Circuits!C:C,SUMPRODUCT(EXACT($AE119,Circuits!$A:$A)*ROW(Circuits!$A:$A))))</f>
        <v>-</v>
      </c>
      <c r="E119" s="183" t="str">
        <f t="array" ref="E119">IF(ISBLANK($AE119), "-",INDEX(Circuits!D:D,SUMPRODUCT(EXACT($AE119,Circuits!$A:$A)*ROW(Circuits!$A:$A))))</f>
        <v>-</v>
      </c>
      <c r="F119" s="183" t="str">
        <f t="array" ref="F119">IF(ISBLANK($AE119), "-",INDEX(Circuits!E:E,SUMPRODUCT(EXACT($AE119,Circuits!$A:$A)*ROW(Circuits!$A:$A))))</f>
        <v>-</v>
      </c>
      <c r="G119" s="183" t="str">
        <f t="array" ref="G119">IF(ISBLANK($AE119), "-",INDEX(Circuits!F:F,SUMPRODUCT(EXACT($AE119,Circuits!$A:$A)*ROW(Circuits!$A:$A))))</f>
        <v>-</v>
      </c>
      <c r="H119" s="183" t="str">
        <f t="array" ref="H119">IF(ISBLANK($AE119), "-",INDEX(Circuits!G:G,SUMPRODUCT(EXACT($AE119,Circuits!$A:$A)*ROW(Circuits!$A:$A))))</f>
        <v>-</v>
      </c>
      <c r="I119" s="183" t="str">
        <f t="array" ref="I119">IF(ISBLANK($AE119), "-",INDEX(Circuits!H:H,SUMPRODUCT(EXACT($AE119,Circuits!$A:$A)*ROW(Circuits!$A:$A))))</f>
        <v>-</v>
      </c>
      <c r="J119" s="183" t="str">
        <f t="array" ref="J119">IF(ISBLANK($AE119), "-",INDEX(Circuits!I:I,SUMPRODUCT(EXACT($AE119,Circuits!$A:$A)*ROW(Circuits!$A:$A))))</f>
        <v>-</v>
      </c>
      <c r="K119" s="183" t="str">
        <f t="array" ref="K119">IF(ISBLANK($AE119), "-",INDEX(Circuits!J:J,SUMPRODUCT(EXACT($AE119,Circuits!$A:$A)*ROW(Circuits!$A:$A))))</f>
        <v>-</v>
      </c>
      <c r="L119" s="183" t="str">
        <f t="array" ref="L119">IF(ISBLANK($AE119), "-",INDEX(Circuits!K:K,SUMPRODUCT(EXACT($AE119,Circuits!$A:$A)*ROW(Circuits!$A:$A))))</f>
        <v>-</v>
      </c>
      <c r="M119" s="183" t="str">
        <f t="array" ref="M119">IF(ISBLANK($AE119), "-",INDEX(Circuits!L:L,SUMPRODUCT(EXACT($AE119,Circuits!$A:$A)*ROW(Circuits!$A:$A))))</f>
        <v>-</v>
      </c>
      <c r="N119" s="183" t="str">
        <f t="array" ref="N119">IF(ISBLANK($AE119), "-",INDEX(Circuits!M:M,SUMPRODUCT(EXACT($AE119,Circuits!$A:$A)*ROW(Circuits!$A:$A))))</f>
        <v>-</v>
      </c>
      <c r="O119" s="183" t="str">
        <f t="array" ref="O119">IF(ISBLANK($AE119), "-",INDEX(Circuits!N:N,SUMPRODUCT(EXACT($AE119,Circuits!$A:$A)*ROW(Circuits!$A:$A))))</f>
        <v>-</v>
      </c>
      <c r="P119" s="183" t="str">
        <f t="array" ref="P119">IF(ISBLANK($AE119), "-",INDEX(Circuits!O:O,SUMPRODUCT(EXACT($AE119,Circuits!$A:$A)*ROW(Circuits!$A:$A))))</f>
        <v>-</v>
      </c>
      <c r="Q119" s="183" t="str">
        <f t="array" ref="Q119">IF(ISBLANK($AE119), "-",INDEX(Circuits!P:P,SUMPRODUCT(EXACT($AE119,Circuits!$A:$A)*ROW(Circuits!$A:$A))))</f>
        <v>-</v>
      </c>
      <c r="R119" s="183" t="str">
        <f t="array" ref="R119">IF(ISBLANK($AE119), "-",INDEX(Circuits!Q:Q,SUMPRODUCT(EXACT($AE119,Circuits!$A:$A)*ROW(Circuits!$A:$A))))</f>
        <v>-</v>
      </c>
      <c r="S119" s="183" t="str">
        <f t="array" ref="S119">IF(ISBLANK($AE119), "-",INDEX(Circuits!R:R,SUMPRODUCT(EXACT($AE119,Circuits!$A:$A)*ROW(Circuits!$A:$A))))</f>
        <v>-</v>
      </c>
      <c r="T119" s="183" t="str">
        <f t="array" ref="T119">IF(ISBLANK($AE119), "-",INDEX(Circuits!S:S,SUMPRODUCT(EXACT($AE119,Circuits!$A:$A)*ROW(Circuits!$A:$A))))</f>
        <v>-</v>
      </c>
      <c r="U119" s="183" t="str">
        <f t="array" ref="U119">IF(ISBLANK($AE119), "-",INDEX(Circuits!T:T,SUMPRODUCT(EXACT($AE119,Circuits!$A:$A)*ROW(Circuits!$A:$A))))</f>
        <v>-</v>
      </c>
      <c r="V119" s="183" t="str">
        <f t="array" ref="V119">IF(ISBLANK($AE119), "-",INDEX(Circuits!U:U,SUMPRODUCT(EXACT($AE119,Circuits!$A:$A)*ROW(Circuits!$A:$A))))</f>
        <v>-</v>
      </c>
      <c r="W119" s="183" t="str">
        <f t="array" ref="W119">IF(ISBLANK($AE119), "-",INDEX(Circuits!V:V,SUMPRODUCT(EXACT($AE119,Circuits!$A:$A)*ROW(Circuits!$A:$A))))</f>
        <v>-</v>
      </c>
      <c r="X119" s="183" t="str">
        <f t="array" ref="X119">IF(ISBLANK($AE119), "-",INDEX(Circuits!W:W,SUMPRODUCT(EXACT($AE119,Circuits!$A:$A)*ROW(Circuits!$A:$A))))</f>
        <v>-</v>
      </c>
      <c r="Y119" s="183" t="str">
        <f t="array" ref="Y119">IF(ISBLANK($AE119), "-",INDEX(Circuits!X:X,SUMPRODUCT(EXACT($AE119,Circuits!$A:$A)*ROW(Circuits!$A:$A))))</f>
        <v>-</v>
      </c>
      <c r="Z119" s="108" t="str">
        <f>IFERROR(__xludf.DUMMYFUNCTION("IFNA(CONCATENATE(UNIQUE(FILTER(Connections!R:R,Connections!A:A=B119))),""-"")"),"-")</f>
        <v>-</v>
      </c>
      <c r="AA119" s="119" t="str">
        <f t="array" ref="AA119">IF(ISBLANK($AE119), "-",INDEX(Circuits!Y:Y,SUMPRODUCT(EXACT($AE119,Circuits!$A:$A)*ROW(Circuits!$A:$A))))</f>
        <v>-</v>
      </c>
      <c r="AB119" s="121" t="str">
        <f t="array" ref="AB119">IF(ISBLANK($AE119), "-",INDEX(Circuits!Z:Z,SUMPRODUCT(EXACT($AE119,Circuits!$A:$A)*ROW(Circuits!$A:$A))))</f>
        <v>-</v>
      </c>
      <c r="AC119" s="194"/>
      <c r="AD119" s="194"/>
      <c r="AE119" s="40"/>
      <c r="AF119" s="43"/>
      <c r="AG119" s="126" t="str">
        <f>IFERROR(__xludf.DUMMYFUNCTION("IF(ISBLANK(AF119), """", TEXTJOIN(CHAR(10),TRUE,ARRAYFORMULA(IF(ISERROR(SEARCH(SPLIT(AF119, "";""), $Z119)), ""x"", ""-""))))"),"")</f>
        <v/>
      </c>
      <c r="AH119" s="127" t="str">
        <f>IFERROR(__xludf.DUMMYFUNCTION("IF(ISBLANK(AK119), """", TEXTJOIN("";"" &amp; CHAR(10), TRUE, UNIQUE(SPLIT(AK119, "";"" &amp; CHAR(10)), TRUE))&amp;"";"")"),"")</f>
        <v/>
      </c>
      <c r="AI119" s="128" t="str">
        <f>IFERROR(__xludf.DUMMYFUNCTION("IF(ISBLANK(AD119), IF(ISBLANK(AE119),,IFNA(TEXTJOIN("";"" &amp; CHAR(10), TRUE, FILTER(AE:AE, SEARCH(AE119&amp;"";"", AJ:AJ)))&amp;"";"", """")), TEXTJOIN("";"" &amp; CHAR(10), TRUE, UNIQUE(SPLIT(AH119 &amp; "";"" &amp; AH119 &amp; "";"" &amp; AL119, "";"" &amp; CHAR(10)), TRUE, TRUE))&amp;"";"&amp;""")"),"")</f>
        <v/>
      </c>
      <c r="AJ119" s="126" t="str">
        <f>IFERROR(__xludf.DUMMYFUNCTION("IF(AN119="""", """", TEXTJOIN("";"" &amp; CHAR(10), TRUE, UNIQUE(SPLIT(AH119 &amp; "";"" &amp; AH119 &amp; "";"" &amp; AN119, "";"" &amp; CHAR(10)), TRUE, TRUE))&amp;"";"")"),"")</f>
        <v/>
      </c>
      <c r="AK119" s="129" t="str">
        <f>IFERROR(__xludf.DUMMYFUNCTION("IF(ISBLANK(AD119), IF(ISBLANK(AE119),,AE119 &amp; "";""), TEXTJOIN(CHAR(10), TRUE, ARRAYFORMULA(VLOOKUP(SPLIT(AD119, "";"" &amp; CHAR(10)), $AC:$AH, 6, FALSE))))"),"")</f>
        <v/>
      </c>
      <c r="AL119" s="130" t="str">
        <f>IFERROR(__xludf.DUMMYFUNCTION("IF(AM119="""", """", TEXTJOIN("";"" &amp; CHAR(10), TRUE, UNIQUE(SPLIT(AM119, "";"" &amp; CHAR(10)), TRUE))&amp;"";"")"),"")</f>
        <v/>
      </c>
      <c r="AM119" s="130" t="str">
        <f>IFERROR(__xludf.DUMMYFUNCTION("IF(ISBLANK(AD119), """", TEXTJOIN(CHAR(10), TRUE, ARRAYFORMULA(VLOOKUP(SPLIT(AH119, "";"" &amp; CHAR(10)), $AE:$AI, 5, FALSE)), AF119))"),"")</f>
        <v/>
      </c>
      <c r="AN119" s="132" t="str">
        <f>IFERROR(__xludf.DUMMYFUNCTION("IF(ISBLANK(AO119), """", TEXTJOIN("";"" &amp; CHAR(10), TRUE, UNIQUE(SPLIT(AO119, "";"" &amp; CHAR(10)), TRUE))&amp;"";"")"),"")</f>
        <v/>
      </c>
      <c r="AO119" s="134" t="str">
        <f>IFERROR(__xludf.DUMMYFUNCTION("IF(ISBLANK(AD119), AF119, TEXTJOIN(CHAR(10), TRUE, ARRAYFORMULA(VLOOKUP(SPLIT(AD119, "";"" &amp; CHAR(10)), $AC:$AN, 12, FALSE))))"),"")</f>
        <v/>
      </c>
      <c r="AP119" s="130" t="str">
        <f>IF(ISBLANK(AE119),,IF(IFERROR(SEARCH(AE119&amp;";",Circuits!$AO$2),0),TRUE,FALSE))</f>
        <v/>
      </c>
      <c r="AQ119" s="130" t="str">
        <f t="shared" si="2"/>
        <v/>
      </c>
      <c r="AR119" s="130" t="str">
        <f t="shared" si="3"/>
        <v/>
      </c>
      <c r="AS119" s="136" t="str">
        <f>IFERROR(__xludf.DUMMYFUNCTION("IF(AH119="""",,SUM(ARRAYFORMULA(IF(IFERROR(SEARCH(SPLIT(AH119,CHAR(10)),Circuits!$AO$2),0)&gt;0,0,1))))"),"")</f>
        <v/>
      </c>
      <c r="AT119" s="138" t="str">
        <f t="shared" si="4"/>
        <v/>
      </c>
      <c r="AU119" s="138" t="str">
        <f t="shared" si="5"/>
        <v/>
      </c>
      <c r="AV119" s="130" t="str">
        <f>IFERROR(__xludf.DUMMYFUNCTION("IF(AI119="""",,TEXTJOIN("", "",TRUE,ARRAYFORMULA(VLOOKUP(SPLIT(AI119,"";""&amp;CHAR(10)),AE:AT,16,FALSE))))"),"")</f>
        <v/>
      </c>
      <c r="AW119" s="130" t="str">
        <f>IFERROR(__xludf.DUMMYFUNCTION("IF(ISBLANK(BK119),,TEXTJOIN("", "",TRUE,ARRAYFORMULA(VLOOKUP(IFERROR(REGEXEXTRACT(SPLIT(BK119,"";""&amp;CHAR(10)),""\[(.+)\]"")),AE:AT,16,false))))"),"")</f>
        <v/>
      </c>
      <c r="AX119" s="139" t="str">
        <f t="shared" si="6"/>
        <v/>
      </c>
      <c r="AY119" s="139" t="str">
        <f t="shared" si="7"/>
        <v/>
      </c>
      <c r="AZ119" s="106" t="str">
        <f>IFERROR(__xludf.DUMMYFUNCTION("IF(ISBLANK(AD119), BC119, TEXTJOIN(CHAR(10) &amp; CHAR(10), TRUE, ARRAYFORMULA(VLOOKUP(SPLIT(AD119, "";"" &amp; CHAR(10)), $AC:$AY, 23, FALSE))))"),"")</f>
        <v/>
      </c>
      <c r="BA119" s="140" t="s">
        <v>66</v>
      </c>
      <c r="BB119" s="190"/>
      <c r="BC119" s="196"/>
      <c r="BD119" s="106" t="str">
        <f>IFERROR(__xludf.DUMMYFUNCTION("IF(IFERROR(SEARCH(""&lt;&lt;mechanism to realize the capability&gt;&gt;"",BA119),0)=0,
 ""!! Error !! “Capability&amp;Mechanism” column: Invalid Separator:"" &amp; CHAR(10) &amp; ""Insert separator “&lt;&lt;mechanism to realize the capability&gt;&gt;.”"",
 IF(
  LEN(TRIM(CLEAN(
    INDEX(
 "&amp;"     SPLIT(BA119,""&lt;&lt;mechanism to realize the capability&gt;&gt;"",FALSE,FALSE),
      1
    )
  )))=0,
  ""!! Error !! “Capability&amp;Mechanism” column: No Capability:""  &amp; CHAR(10) &amp; ""Describe Capability before separator."",
  INDEX(
    SPLIT(BA119,""&lt;&lt;mechani"&amp;"sm to realize the capability&gt;&gt;"",FALSE,FALSE),
    1
  )
 )
)
"),"!! Error !! “Capability&amp;Mechanism” column: No Capability:
Describe Capability before separator.")</f>
        <v>!! Error !! “Capability&amp;Mechanism” column: No Capability:
Describe Capability before separator.</v>
      </c>
      <c r="BE119" s="190"/>
      <c r="BF119" s="195"/>
      <c r="BG119" s="42"/>
      <c r="BH119" s="190"/>
      <c r="BI119" s="196"/>
      <c r="BJ119" s="42"/>
      <c r="BK119" s="42"/>
      <c r="BL119" s="203"/>
      <c r="BM119" s="203"/>
      <c r="BN119" s="42"/>
      <c r="BO119" s="42"/>
      <c r="BP119" s="143"/>
      <c r="BQ119" s="143"/>
      <c r="BR119" s="192"/>
      <c r="BS119" s="192"/>
      <c r="BT119" s="192"/>
      <c r="BU119" s="192"/>
      <c r="BV119" s="192"/>
      <c r="BW119" s="192"/>
      <c r="BX119" s="146" t="str">
        <f t="shared" si="8"/>
        <v/>
      </c>
    </row>
    <row r="120">
      <c r="A120" s="106" t="str">
        <f t="shared" si="1"/>
        <v/>
      </c>
      <c r="B120" s="183" t="str">
        <f t="array" ref="B120">IF(ISBLANK($AE120), "-",INDEX(Circuits!A:A,SUMPRODUCT(EXACT($AE120,Circuits!$A:$A)*ROW(Circuits!$A:$A))))</f>
        <v>-</v>
      </c>
      <c r="C120" s="183" t="str">
        <f t="array" ref="C120">IF(ISBLANK($AE120), "-",INDEX(Circuits!B:B,SUMPRODUCT(EXACT($AE120,Circuits!$A:$A)*ROW(Circuits!$A:$A))))</f>
        <v>-</v>
      </c>
      <c r="D120" s="183" t="str">
        <f t="array" ref="D120">IF(ISBLANK($AE120), "-",INDEX(Circuits!C:C,SUMPRODUCT(EXACT($AE120,Circuits!$A:$A)*ROW(Circuits!$A:$A))))</f>
        <v>-</v>
      </c>
      <c r="E120" s="183" t="str">
        <f t="array" ref="E120">IF(ISBLANK($AE120), "-",INDEX(Circuits!D:D,SUMPRODUCT(EXACT($AE120,Circuits!$A:$A)*ROW(Circuits!$A:$A))))</f>
        <v>-</v>
      </c>
      <c r="F120" s="183" t="str">
        <f t="array" ref="F120">IF(ISBLANK($AE120), "-",INDEX(Circuits!E:E,SUMPRODUCT(EXACT($AE120,Circuits!$A:$A)*ROW(Circuits!$A:$A))))</f>
        <v>-</v>
      </c>
      <c r="G120" s="183" t="str">
        <f t="array" ref="G120">IF(ISBLANK($AE120), "-",INDEX(Circuits!F:F,SUMPRODUCT(EXACT($AE120,Circuits!$A:$A)*ROW(Circuits!$A:$A))))</f>
        <v>-</v>
      </c>
      <c r="H120" s="183" t="str">
        <f t="array" ref="H120">IF(ISBLANK($AE120), "-",INDEX(Circuits!G:G,SUMPRODUCT(EXACT($AE120,Circuits!$A:$A)*ROW(Circuits!$A:$A))))</f>
        <v>-</v>
      </c>
      <c r="I120" s="183" t="str">
        <f t="array" ref="I120">IF(ISBLANK($AE120), "-",INDEX(Circuits!H:H,SUMPRODUCT(EXACT($AE120,Circuits!$A:$A)*ROW(Circuits!$A:$A))))</f>
        <v>-</v>
      </c>
      <c r="J120" s="183" t="str">
        <f t="array" ref="J120">IF(ISBLANK($AE120), "-",INDEX(Circuits!I:I,SUMPRODUCT(EXACT($AE120,Circuits!$A:$A)*ROW(Circuits!$A:$A))))</f>
        <v>-</v>
      </c>
      <c r="K120" s="183" t="str">
        <f t="array" ref="K120">IF(ISBLANK($AE120), "-",INDEX(Circuits!J:J,SUMPRODUCT(EXACT($AE120,Circuits!$A:$A)*ROW(Circuits!$A:$A))))</f>
        <v>-</v>
      </c>
      <c r="L120" s="183" t="str">
        <f t="array" ref="L120">IF(ISBLANK($AE120), "-",INDEX(Circuits!K:K,SUMPRODUCT(EXACT($AE120,Circuits!$A:$A)*ROW(Circuits!$A:$A))))</f>
        <v>-</v>
      </c>
      <c r="M120" s="183" t="str">
        <f t="array" ref="M120">IF(ISBLANK($AE120), "-",INDEX(Circuits!L:L,SUMPRODUCT(EXACT($AE120,Circuits!$A:$A)*ROW(Circuits!$A:$A))))</f>
        <v>-</v>
      </c>
      <c r="N120" s="183" t="str">
        <f t="array" ref="N120">IF(ISBLANK($AE120), "-",INDEX(Circuits!M:M,SUMPRODUCT(EXACT($AE120,Circuits!$A:$A)*ROW(Circuits!$A:$A))))</f>
        <v>-</v>
      </c>
      <c r="O120" s="183" t="str">
        <f t="array" ref="O120">IF(ISBLANK($AE120), "-",INDEX(Circuits!N:N,SUMPRODUCT(EXACT($AE120,Circuits!$A:$A)*ROW(Circuits!$A:$A))))</f>
        <v>-</v>
      </c>
      <c r="P120" s="183" t="str">
        <f t="array" ref="P120">IF(ISBLANK($AE120), "-",INDEX(Circuits!O:O,SUMPRODUCT(EXACT($AE120,Circuits!$A:$A)*ROW(Circuits!$A:$A))))</f>
        <v>-</v>
      </c>
      <c r="Q120" s="183" t="str">
        <f t="array" ref="Q120">IF(ISBLANK($AE120), "-",INDEX(Circuits!P:P,SUMPRODUCT(EXACT($AE120,Circuits!$A:$A)*ROW(Circuits!$A:$A))))</f>
        <v>-</v>
      </c>
      <c r="R120" s="183" t="str">
        <f t="array" ref="R120">IF(ISBLANK($AE120), "-",INDEX(Circuits!Q:Q,SUMPRODUCT(EXACT($AE120,Circuits!$A:$A)*ROW(Circuits!$A:$A))))</f>
        <v>-</v>
      </c>
      <c r="S120" s="183" t="str">
        <f t="array" ref="S120">IF(ISBLANK($AE120), "-",INDEX(Circuits!R:R,SUMPRODUCT(EXACT($AE120,Circuits!$A:$A)*ROW(Circuits!$A:$A))))</f>
        <v>-</v>
      </c>
      <c r="T120" s="183" t="str">
        <f t="array" ref="T120">IF(ISBLANK($AE120), "-",INDEX(Circuits!S:S,SUMPRODUCT(EXACT($AE120,Circuits!$A:$A)*ROW(Circuits!$A:$A))))</f>
        <v>-</v>
      </c>
      <c r="U120" s="183" t="str">
        <f t="array" ref="U120">IF(ISBLANK($AE120), "-",INDEX(Circuits!T:T,SUMPRODUCT(EXACT($AE120,Circuits!$A:$A)*ROW(Circuits!$A:$A))))</f>
        <v>-</v>
      </c>
      <c r="V120" s="183" t="str">
        <f t="array" ref="V120">IF(ISBLANK($AE120), "-",INDEX(Circuits!U:U,SUMPRODUCT(EXACT($AE120,Circuits!$A:$A)*ROW(Circuits!$A:$A))))</f>
        <v>-</v>
      </c>
      <c r="W120" s="183" t="str">
        <f t="array" ref="W120">IF(ISBLANK($AE120), "-",INDEX(Circuits!V:V,SUMPRODUCT(EXACT($AE120,Circuits!$A:$A)*ROW(Circuits!$A:$A))))</f>
        <v>-</v>
      </c>
      <c r="X120" s="183" t="str">
        <f t="array" ref="X120">IF(ISBLANK($AE120), "-",INDEX(Circuits!W:W,SUMPRODUCT(EXACT($AE120,Circuits!$A:$A)*ROW(Circuits!$A:$A))))</f>
        <v>-</v>
      </c>
      <c r="Y120" s="183" t="str">
        <f t="array" ref="Y120">IF(ISBLANK($AE120), "-",INDEX(Circuits!X:X,SUMPRODUCT(EXACT($AE120,Circuits!$A:$A)*ROW(Circuits!$A:$A))))</f>
        <v>-</v>
      </c>
      <c r="Z120" s="108" t="str">
        <f>IFERROR(__xludf.DUMMYFUNCTION("IFNA(CONCATENATE(UNIQUE(FILTER(Connections!R:R,Connections!A:A=B120))),""-"")"),"-")</f>
        <v>-</v>
      </c>
      <c r="AA120" s="119" t="str">
        <f t="array" ref="AA120">IF(ISBLANK($AE120), "-",INDEX(Circuits!Y:Y,SUMPRODUCT(EXACT($AE120,Circuits!$A:$A)*ROW(Circuits!$A:$A))))</f>
        <v>-</v>
      </c>
      <c r="AB120" s="121" t="str">
        <f t="array" ref="AB120">IF(ISBLANK($AE120), "-",INDEX(Circuits!Z:Z,SUMPRODUCT(EXACT($AE120,Circuits!$A:$A)*ROW(Circuits!$A:$A))))</f>
        <v>-</v>
      </c>
      <c r="AC120" s="194"/>
      <c r="AD120" s="194"/>
      <c r="AE120" s="40"/>
      <c r="AF120" s="43"/>
      <c r="AG120" s="126" t="str">
        <f>IFERROR(__xludf.DUMMYFUNCTION("IF(ISBLANK(AF120), """", TEXTJOIN(CHAR(10),TRUE,ARRAYFORMULA(IF(ISERROR(SEARCH(SPLIT(AF120, "";""), $Z120)), ""x"", ""-""))))"),"")</f>
        <v/>
      </c>
      <c r="AH120" s="127" t="str">
        <f>IFERROR(__xludf.DUMMYFUNCTION("IF(ISBLANK(AK120), """", TEXTJOIN("";"" &amp; CHAR(10), TRUE, UNIQUE(SPLIT(AK120, "";"" &amp; CHAR(10)), TRUE))&amp;"";"")"),"")</f>
        <v/>
      </c>
      <c r="AI120" s="128" t="str">
        <f>IFERROR(__xludf.DUMMYFUNCTION("IF(ISBLANK(AD120), IF(ISBLANK(AE120),,IFNA(TEXTJOIN("";"" &amp; CHAR(10), TRUE, FILTER(AE:AE, SEARCH(AE120&amp;"";"", AJ:AJ)))&amp;"";"", """")), TEXTJOIN("";"" &amp; CHAR(10), TRUE, UNIQUE(SPLIT(AH120 &amp; "";"" &amp; AH120 &amp; "";"" &amp; AL120, "";"" &amp; CHAR(10)), TRUE, TRUE))&amp;"";"&amp;""")"),"")</f>
        <v/>
      </c>
      <c r="AJ120" s="126" t="str">
        <f>IFERROR(__xludf.DUMMYFUNCTION("IF(AN120="""", """", TEXTJOIN("";"" &amp; CHAR(10), TRUE, UNIQUE(SPLIT(AH120 &amp; "";"" &amp; AH120 &amp; "";"" &amp; AN120, "";"" &amp; CHAR(10)), TRUE, TRUE))&amp;"";"")"),"")</f>
        <v/>
      </c>
      <c r="AK120" s="129" t="str">
        <f>IFERROR(__xludf.DUMMYFUNCTION("IF(ISBLANK(AD120), IF(ISBLANK(AE120),,AE120 &amp; "";""), TEXTJOIN(CHAR(10), TRUE, ARRAYFORMULA(VLOOKUP(SPLIT(AD120, "";"" &amp; CHAR(10)), $AC:$AH, 6, FALSE))))"),"")</f>
        <v/>
      </c>
      <c r="AL120" s="130" t="str">
        <f>IFERROR(__xludf.DUMMYFUNCTION("IF(AM120="""", """", TEXTJOIN("";"" &amp; CHAR(10), TRUE, UNIQUE(SPLIT(AM120, "";"" &amp; CHAR(10)), TRUE))&amp;"";"")"),"")</f>
        <v/>
      </c>
      <c r="AM120" s="130" t="str">
        <f>IFERROR(__xludf.DUMMYFUNCTION("IF(ISBLANK(AD120), """", TEXTJOIN(CHAR(10), TRUE, ARRAYFORMULA(VLOOKUP(SPLIT(AH120, "";"" &amp; CHAR(10)), $AE:$AI, 5, FALSE)), AF120))"),"")</f>
        <v/>
      </c>
      <c r="AN120" s="132" t="str">
        <f>IFERROR(__xludf.DUMMYFUNCTION("IF(ISBLANK(AO120), """", TEXTJOIN("";"" &amp; CHAR(10), TRUE, UNIQUE(SPLIT(AO120, "";"" &amp; CHAR(10)), TRUE))&amp;"";"")"),"")</f>
        <v/>
      </c>
      <c r="AO120" s="134" t="str">
        <f>IFERROR(__xludf.DUMMYFUNCTION("IF(ISBLANK(AD120), AF120, TEXTJOIN(CHAR(10), TRUE, ARRAYFORMULA(VLOOKUP(SPLIT(AD120, "";"" &amp; CHAR(10)), $AC:$AN, 12, FALSE))))"),"")</f>
        <v/>
      </c>
      <c r="AP120" s="130" t="str">
        <f>IF(ISBLANK(AE120),,IF(IFERROR(SEARCH(AE120&amp;";",Circuits!$AO$2),0),TRUE,FALSE))</f>
        <v/>
      </c>
      <c r="AQ120" s="130" t="str">
        <f t="shared" si="2"/>
        <v/>
      </c>
      <c r="AR120" s="130" t="str">
        <f t="shared" si="3"/>
        <v/>
      </c>
      <c r="AS120" s="136" t="str">
        <f>IFERROR(__xludf.DUMMYFUNCTION("IF(AH120="""",,SUM(ARRAYFORMULA(IF(IFERROR(SEARCH(SPLIT(AH120,CHAR(10)),Circuits!$AO$2),0)&gt;0,0,1))))"),"")</f>
        <v/>
      </c>
      <c r="AT120" s="138" t="str">
        <f t="shared" si="4"/>
        <v/>
      </c>
      <c r="AU120" s="138" t="str">
        <f t="shared" si="5"/>
        <v/>
      </c>
      <c r="AV120" s="130" t="str">
        <f>IFERROR(__xludf.DUMMYFUNCTION("IF(AI120="""",,TEXTJOIN("", "",TRUE,ARRAYFORMULA(VLOOKUP(SPLIT(AI120,"";""&amp;CHAR(10)),AE:AT,16,FALSE))))"),"")</f>
        <v/>
      </c>
      <c r="AW120" s="130" t="str">
        <f>IFERROR(__xludf.DUMMYFUNCTION("IF(ISBLANK(BK120),,TEXTJOIN("", "",TRUE,ARRAYFORMULA(VLOOKUP(IFERROR(REGEXEXTRACT(SPLIT(BK120,"";""&amp;CHAR(10)),""\[(.+)\]"")),AE:AT,16,false))))"),"")</f>
        <v/>
      </c>
      <c r="AX120" s="139" t="str">
        <f t="shared" si="6"/>
        <v/>
      </c>
      <c r="AY120" s="139" t="str">
        <f t="shared" si="7"/>
        <v/>
      </c>
      <c r="AZ120" s="106" t="str">
        <f>IFERROR(__xludf.DUMMYFUNCTION("IF(ISBLANK(AD120), BC120, TEXTJOIN(CHAR(10) &amp; CHAR(10), TRUE, ARRAYFORMULA(VLOOKUP(SPLIT(AD120, "";"" &amp; CHAR(10)), $AC:$AY, 23, FALSE))))"),"")</f>
        <v/>
      </c>
      <c r="BA120" s="140" t="s">
        <v>66</v>
      </c>
      <c r="BB120" s="190"/>
      <c r="BC120" s="196"/>
      <c r="BD120" s="106" t="str">
        <f>IFERROR(__xludf.DUMMYFUNCTION("IF(IFERROR(SEARCH(""&lt;&lt;mechanism to realize the capability&gt;&gt;"",BA120),0)=0,
 ""!! Error !! “Capability&amp;Mechanism” column: Invalid Separator:"" &amp; CHAR(10) &amp; ""Insert separator “&lt;&lt;mechanism to realize the capability&gt;&gt;.”"",
 IF(
  LEN(TRIM(CLEAN(
    INDEX(
 "&amp;"     SPLIT(BA120,""&lt;&lt;mechanism to realize the capability&gt;&gt;"",FALSE,FALSE),
      1
    )
  )))=0,
  ""!! Error !! “Capability&amp;Mechanism” column: No Capability:""  &amp; CHAR(10) &amp; ""Describe Capability before separator."",
  INDEX(
    SPLIT(BA120,""&lt;&lt;mechani"&amp;"sm to realize the capability&gt;&gt;"",FALSE,FALSE),
    1
  )
 )
)
"),"!! Error !! “Capability&amp;Mechanism” column: No Capability:
Describe Capability before separator.")</f>
        <v>!! Error !! “Capability&amp;Mechanism” column: No Capability:
Describe Capability before separator.</v>
      </c>
      <c r="BE120" s="190"/>
      <c r="BF120" s="195"/>
      <c r="BG120" s="42"/>
      <c r="BH120" s="190"/>
      <c r="BI120" s="196"/>
      <c r="BJ120" s="42"/>
      <c r="BK120" s="42"/>
      <c r="BL120" s="203"/>
      <c r="BM120" s="203"/>
      <c r="BN120" s="42"/>
      <c r="BO120" s="42"/>
      <c r="BP120" s="143"/>
      <c r="BQ120" s="143"/>
      <c r="BR120" s="192"/>
      <c r="BS120" s="192"/>
      <c r="BT120" s="192"/>
      <c r="BU120" s="192"/>
      <c r="BV120" s="192"/>
      <c r="BW120" s="192"/>
      <c r="BX120" s="146" t="str">
        <f t="shared" si="8"/>
        <v/>
      </c>
    </row>
    <row r="121">
      <c r="A121" s="106" t="str">
        <f t="shared" si="1"/>
        <v/>
      </c>
      <c r="B121" s="183" t="str">
        <f t="array" ref="B121">IF(ISBLANK($AE121), "-",INDEX(Circuits!A:A,SUMPRODUCT(EXACT($AE121,Circuits!$A:$A)*ROW(Circuits!$A:$A))))</f>
        <v>-</v>
      </c>
      <c r="C121" s="183" t="str">
        <f t="array" ref="C121">IF(ISBLANK($AE121), "-",INDEX(Circuits!B:B,SUMPRODUCT(EXACT($AE121,Circuits!$A:$A)*ROW(Circuits!$A:$A))))</f>
        <v>-</v>
      </c>
      <c r="D121" s="183" t="str">
        <f t="array" ref="D121">IF(ISBLANK($AE121), "-",INDEX(Circuits!C:C,SUMPRODUCT(EXACT($AE121,Circuits!$A:$A)*ROW(Circuits!$A:$A))))</f>
        <v>-</v>
      </c>
      <c r="E121" s="183" t="str">
        <f t="array" ref="E121">IF(ISBLANK($AE121), "-",INDEX(Circuits!D:D,SUMPRODUCT(EXACT($AE121,Circuits!$A:$A)*ROW(Circuits!$A:$A))))</f>
        <v>-</v>
      </c>
      <c r="F121" s="183" t="str">
        <f t="array" ref="F121">IF(ISBLANK($AE121), "-",INDEX(Circuits!E:E,SUMPRODUCT(EXACT($AE121,Circuits!$A:$A)*ROW(Circuits!$A:$A))))</f>
        <v>-</v>
      </c>
      <c r="G121" s="183" t="str">
        <f t="array" ref="G121">IF(ISBLANK($AE121), "-",INDEX(Circuits!F:F,SUMPRODUCT(EXACT($AE121,Circuits!$A:$A)*ROW(Circuits!$A:$A))))</f>
        <v>-</v>
      </c>
      <c r="H121" s="183" t="str">
        <f t="array" ref="H121">IF(ISBLANK($AE121), "-",INDEX(Circuits!G:G,SUMPRODUCT(EXACT($AE121,Circuits!$A:$A)*ROW(Circuits!$A:$A))))</f>
        <v>-</v>
      </c>
      <c r="I121" s="183" t="str">
        <f t="array" ref="I121">IF(ISBLANK($AE121), "-",INDEX(Circuits!H:H,SUMPRODUCT(EXACT($AE121,Circuits!$A:$A)*ROW(Circuits!$A:$A))))</f>
        <v>-</v>
      </c>
      <c r="J121" s="183" t="str">
        <f t="array" ref="J121">IF(ISBLANK($AE121), "-",INDEX(Circuits!I:I,SUMPRODUCT(EXACT($AE121,Circuits!$A:$A)*ROW(Circuits!$A:$A))))</f>
        <v>-</v>
      </c>
      <c r="K121" s="183" t="str">
        <f t="array" ref="K121">IF(ISBLANK($AE121), "-",INDEX(Circuits!J:J,SUMPRODUCT(EXACT($AE121,Circuits!$A:$A)*ROW(Circuits!$A:$A))))</f>
        <v>-</v>
      </c>
      <c r="L121" s="183" t="str">
        <f t="array" ref="L121">IF(ISBLANK($AE121), "-",INDEX(Circuits!K:K,SUMPRODUCT(EXACT($AE121,Circuits!$A:$A)*ROW(Circuits!$A:$A))))</f>
        <v>-</v>
      </c>
      <c r="M121" s="183" t="str">
        <f t="array" ref="M121">IF(ISBLANK($AE121), "-",INDEX(Circuits!L:L,SUMPRODUCT(EXACT($AE121,Circuits!$A:$A)*ROW(Circuits!$A:$A))))</f>
        <v>-</v>
      </c>
      <c r="N121" s="183" t="str">
        <f t="array" ref="N121">IF(ISBLANK($AE121), "-",INDEX(Circuits!M:M,SUMPRODUCT(EXACT($AE121,Circuits!$A:$A)*ROW(Circuits!$A:$A))))</f>
        <v>-</v>
      </c>
      <c r="O121" s="183" t="str">
        <f t="array" ref="O121">IF(ISBLANK($AE121), "-",INDEX(Circuits!N:N,SUMPRODUCT(EXACT($AE121,Circuits!$A:$A)*ROW(Circuits!$A:$A))))</f>
        <v>-</v>
      </c>
      <c r="P121" s="183" t="str">
        <f t="array" ref="P121">IF(ISBLANK($AE121), "-",INDEX(Circuits!O:O,SUMPRODUCT(EXACT($AE121,Circuits!$A:$A)*ROW(Circuits!$A:$A))))</f>
        <v>-</v>
      </c>
      <c r="Q121" s="183" t="str">
        <f t="array" ref="Q121">IF(ISBLANK($AE121), "-",INDEX(Circuits!P:P,SUMPRODUCT(EXACT($AE121,Circuits!$A:$A)*ROW(Circuits!$A:$A))))</f>
        <v>-</v>
      </c>
      <c r="R121" s="183" t="str">
        <f t="array" ref="R121">IF(ISBLANK($AE121), "-",INDEX(Circuits!Q:Q,SUMPRODUCT(EXACT($AE121,Circuits!$A:$A)*ROW(Circuits!$A:$A))))</f>
        <v>-</v>
      </c>
      <c r="S121" s="183" t="str">
        <f t="array" ref="S121">IF(ISBLANK($AE121), "-",INDEX(Circuits!R:R,SUMPRODUCT(EXACT($AE121,Circuits!$A:$A)*ROW(Circuits!$A:$A))))</f>
        <v>-</v>
      </c>
      <c r="T121" s="183" t="str">
        <f t="array" ref="T121">IF(ISBLANK($AE121), "-",INDEX(Circuits!S:S,SUMPRODUCT(EXACT($AE121,Circuits!$A:$A)*ROW(Circuits!$A:$A))))</f>
        <v>-</v>
      </c>
      <c r="U121" s="183" t="str">
        <f t="array" ref="U121">IF(ISBLANK($AE121), "-",INDEX(Circuits!T:T,SUMPRODUCT(EXACT($AE121,Circuits!$A:$A)*ROW(Circuits!$A:$A))))</f>
        <v>-</v>
      </c>
      <c r="V121" s="183" t="str">
        <f t="array" ref="V121">IF(ISBLANK($AE121), "-",INDEX(Circuits!U:U,SUMPRODUCT(EXACT($AE121,Circuits!$A:$A)*ROW(Circuits!$A:$A))))</f>
        <v>-</v>
      </c>
      <c r="W121" s="183" t="str">
        <f t="array" ref="W121">IF(ISBLANK($AE121), "-",INDEX(Circuits!V:V,SUMPRODUCT(EXACT($AE121,Circuits!$A:$A)*ROW(Circuits!$A:$A))))</f>
        <v>-</v>
      </c>
      <c r="X121" s="183" t="str">
        <f t="array" ref="X121">IF(ISBLANK($AE121), "-",INDEX(Circuits!W:W,SUMPRODUCT(EXACT($AE121,Circuits!$A:$A)*ROW(Circuits!$A:$A))))</f>
        <v>-</v>
      </c>
      <c r="Y121" s="183" t="str">
        <f t="array" ref="Y121">IF(ISBLANK($AE121), "-",INDEX(Circuits!X:X,SUMPRODUCT(EXACT($AE121,Circuits!$A:$A)*ROW(Circuits!$A:$A))))</f>
        <v>-</v>
      </c>
      <c r="Z121" s="108" t="str">
        <f>IFERROR(__xludf.DUMMYFUNCTION("IFNA(CONCATENATE(UNIQUE(FILTER(Connections!R:R,Connections!A:A=B121))),""-"")"),"-")</f>
        <v>-</v>
      </c>
      <c r="AA121" s="119" t="str">
        <f t="array" ref="AA121">IF(ISBLANK($AE121), "-",INDEX(Circuits!Y:Y,SUMPRODUCT(EXACT($AE121,Circuits!$A:$A)*ROW(Circuits!$A:$A))))</f>
        <v>-</v>
      </c>
      <c r="AB121" s="121" t="str">
        <f t="array" ref="AB121">IF(ISBLANK($AE121), "-",INDEX(Circuits!Z:Z,SUMPRODUCT(EXACT($AE121,Circuits!$A:$A)*ROW(Circuits!$A:$A))))</f>
        <v>-</v>
      </c>
      <c r="AC121" s="194"/>
      <c r="AD121" s="194"/>
      <c r="AE121" s="40"/>
      <c r="AF121" s="43"/>
      <c r="AG121" s="126" t="str">
        <f>IFERROR(__xludf.DUMMYFUNCTION("IF(ISBLANK(AF121), """", TEXTJOIN(CHAR(10),TRUE,ARRAYFORMULA(IF(ISERROR(SEARCH(SPLIT(AF121, "";""), $Z121)), ""x"", ""-""))))"),"")</f>
        <v/>
      </c>
      <c r="AH121" s="127" t="str">
        <f>IFERROR(__xludf.DUMMYFUNCTION("IF(ISBLANK(AK121), """", TEXTJOIN("";"" &amp; CHAR(10), TRUE, UNIQUE(SPLIT(AK121, "";"" &amp; CHAR(10)), TRUE))&amp;"";"")"),"")</f>
        <v/>
      </c>
      <c r="AI121" s="128" t="str">
        <f>IFERROR(__xludf.DUMMYFUNCTION("IF(ISBLANK(AD121), IF(ISBLANK(AE121),,IFNA(TEXTJOIN("";"" &amp; CHAR(10), TRUE, FILTER(AE:AE, SEARCH(AE121&amp;"";"", AJ:AJ)))&amp;"";"", """")), TEXTJOIN("";"" &amp; CHAR(10), TRUE, UNIQUE(SPLIT(AH121 &amp; "";"" &amp; AH121 &amp; "";"" &amp; AL121, "";"" &amp; CHAR(10)), TRUE, TRUE))&amp;"";"&amp;""")"),"")</f>
        <v/>
      </c>
      <c r="AJ121" s="126" t="str">
        <f>IFERROR(__xludf.DUMMYFUNCTION("IF(AN121="""", """", TEXTJOIN("";"" &amp; CHAR(10), TRUE, UNIQUE(SPLIT(AH121 &amp; "";"" &amp; AH121 &amp; "";"" &amp; AN121, "";"" &amp; CHAR(10)), TRUE, TRUE))&amp;"";"")"),"")</f>
        <v/>
      </c>
      <c r="AK121" s="129" t="str">
        <f>IFERROR(__xludf.DUMMYFUNCTION("IF(ISBLANK(AD121), IF(ISBLANK(AE121),,AE121 &amp; "";""), TEXTJOIN(CHAR(10), TRUE, ARRAYFORMULA(VLOOKUP(SPLIT(AD121, "";"" &amp; CHAR(10)), $AC:$AH, 6, FALSE))))"),"")</f>
        <v/>
      </c>
      <c r="AL121" s="130" t="str">
        <f>IFERROR(__xludf.DUMMYFUNCTION("IF(AM121="""", """", TEXTJOIN("";"" &amp; CHAR(10), TRUE, UNIQUE(SPLIT(AM121, "";"" &amp; CHAR(10)), TRUE))&amp;"";"")"),"")</f>
        <v/>
      </c>
      <c r="AM121" s="130" t="str">
        <f>IFERROR(__xludf.DUMMYFUNCTION("IF(ISBLANK(AD121), """", TEXTJOIN(CHAR(10), TRUE, ARRAYFORMULA(VLOOKUP(SPLIT(AH121, "";"" &amp; CHAR(10)), $AE:$AI, 5, FALSE)), AF121))"),"")</f>
        <v/>
      </c>
      <c r="AN121" s="132" t="str">
        <f>IFERROR(__xludf.DUMMYFUNCTION("IF(ISBLANK(AO121), """", TEXTJOIN("";"" &amp; CHAR(10), TRUE, UNIQUE(SPLIT(AO121, "";"" &amp; CHAR(10)), TRUE))&amp;"";"")"),"")</f>
        <v/>
      </c>
      <c r="AO121" s="134" t="str">
        <f>IFERROR(__xludf.DUMMYFUNCTION("IF(ISBLANK(AD121), AF121, TEXTJOIN(CHAR(10), TRUE, ARRAYFORMULA(VLOOKUP(SPLIT(AD121, "";"" &amp; CHAR(10)), $AC:$AN, 12, FALSE))))"),"")</f>
        <v/>
      </c>
      <c r="AP121" s="130" t="str">
        <f>IF(ISBLANK(AE121),,IF(IFERROR(SEARCH(AE121&amp;";",Circuits!$AO$2),0),TRUE,FALSE))</f>
        <v/>
      </c>
      <c r="AQ121" s="130" t="str">
        <f t="shared" si="2"/>
        <v/>
      </c>
      <c r="AR121" s="130" t="str">
        <f t="shared" si="3"/>
        <v/>
      </c>
      <c r="AS121" s="136" t="str">
        <f>IFERROR(__xludf.DUMMYFUNCTION("IF(AH121="""",,SUM(ARRAYFORMULA(IF(IFERROR(SEARCH(SPLIT(AH121,CHAR(10)),Circuits!$AO$2),0)&gt;0,0,1))))"),"")</f>
        <v/>
      </c>
      <c r="AT121" s="138" t="str">
        <f t="shared" si="4"/>
        <v/>
      </c>
      <c r="AU121" s="138" t="str">
        <f t="shared" si="5"/>
        <v/>
      </c>
      <c r="AV121" s="130" t="str">
        <f>IFERROR(__xludf.DUMMYFUNCTION("IF(AI121="""",,TEXTJOIN("", "",TRUE,ARRAYFORMULA(VLOOKUP(SPLIT(AI121,"";""&amp;CHAR(10)),AE:AT,16,FALSE))))"),"")</f>
        <v/>
      </c>
      <c r="AW121" s="130" t="str">
        <f>IFERROR(__xludf.DUMMYFUNCTION("IF(ISBLANK(BK121),,TEXTJOIN("", "",TRUE,ARRAYFORMULA(VLOOKUP(IFERROR(REGEXEXTRACT(SPLIT(BK121,"";""&amp;CHAR(10)),""\[(.+)\]"")),AE:AT,16,false))))"),"")</f>
        <v/>
      </c>
      <c r="AX121" s="139" t="str">
        <f t="shared" si="6"/>
        <v/>
      </c>
      <c r="AY121" s="139" t="str">
        <f t="shared" si="7"/>
        <v/>
      </c>
      <c r="AZ121" s="106" t="str">
        <f>IFERROR(__xludf.DUMMYFUNCTION("IF(ISBLANK(AD121), BC121, TEXTJOIN(CHAR(10) &amp; CHAR(10), TRUE, ARRAYFORMULA(VLOOKUP(SPLIT(AD121, "";"" &amp; CHAR(10)), $AC:$AY, 23, FALSE))))"),"")</f>
        <v/>
      </c>
      <c r="BA121" s="140" t="s">
        <v>66</v>
      </c>
      <c r="BB121" s="190"/>
      <c r="BC121" s="196"/>
      <c r="BD121" s="106" t="str">
        <f>IFERROR(__xludf.DUMMYFUNCTION("IF(IFERROR(SEARCH(""&lt;&lt;mechanism to realize the capability&gt;&gt;"",BA121),0)=0,
 ""!! Error !! “Capability&amp;Mechanism” column: Invalid Separator:"" &amp; CHAR(10) &amp; ""Insert separator “&lt;&lt;mechanism to realize the capability&gt;&gt;.”"",
 IF(
  LEN(TRIM(CLEAN(
    INDEX(
 "&amp;"     SPLIT(BA121,""&lt;&lt;mechanism to realize the capability&gt;&gt;"",FALSE,FALSE),
      1
    )
  )))=0,
  ""!! Error !! “Capability&amp;Mechanism” column: No Capability:""  &amp; CHAR(10) &amp; ""Describe Capability before separator."",
  INDEX(
    SPLIT(BA121,""&lt;&lt;mechani"&amp;"sm to realize the capability&gt;&gt;"",FALSE,FALSE),
    1
  )
 )
)
"),"!! Error !! “Capability&amp;Mechanism” column: No Capability:
Describe Capability before separator.")</f>
        <v>!! Error !! “Capability&amp;Mechanism” column: No Capability:
Describe Capability before separator.</v>
      </c>
      <c r="BE121" s="190"/>
      <c r="BF121" s="195"/>
      <c r="BG121" s="42"/>
      <c r="BH121" s="190"/>
      <c r="BI121" s="196"/>
      <c r="BJ121" s="42"/>
      <c r="BK121" s="42"/>
      <c r="BL121" s="203"/>
      <c r="BM121" s="203"/>
      <c r="BN121" s="42"/>
      <c r="BO121" s="42"/>
      <c r="BP121" s="143"/>
      <c r="BQ121" s="143"/>
      <c r="BR121" s="192"/>
      <c r="BS121" s="192"/>
      <c r="BT121" s="192"/>
      <c r="BU121" s="192"/>
      <c r="BV121" s="192"/>
      <c r="BW121" s="192"/>
      <c r="BX121" s="146" t="str">
        <f t="shared" si="8"/>
        <v/>
      </c>
    </row>
    <row r="122">
      <c r="A122" s="106" t="str">
        <f t="shared" si="1"/>
        <v/>
      </c>
      <c r="B122" s="183" t="str">
        <f t="array" ref="B122">IF(ISBLANK($AE122), "-",INDEX(Circuits!A:A,SUMPRODUCT(EXACT($AE122,Circuits!$A:$A)*ROW(Circuits!$A:$A))))</f>
        <v>-</v>
      </c>
      <c r="C122" s="183" t="str">
        <f t="array" ref="C122">IF(ISBLANK($AE122), "-",INDEX(Circuits!B:B,SUMPRODUCT(EXACT($AE122,Circuits!$A:$A)*ROW(Circuits!$A:$A))))</f>
        <v>-</v>
      </c>
      <c r="D122" s="183" t="str">
        <f t="array" ref="D122">IF(ISBLANK($AE122), "-",INDEX(Circuits!C:C,SUMPRODUCT(EXACT($AE122,Circuits!$A:$A)*ROW(Circuits!$A:$A))))</f>
        <v>-</v>
      </c>
      <c r="E122" s="183" t="str">
        <f t="array" ref="E122">IF(ISBLANK($AE122), "-",INDEX(Circuits!D:D,SUMPRODUCT(EXACT($AE122,Circuits!$A:$A)*ROW(Circuits!$A:$A))))</f>
        <v>-</v>
      </c>
      <c r="F122" s="183" t="str">
        <f t="array" ref="F122">IF(ISBLANK($AE122), "-",INDEX(Circuits!E:E,SUMPRODUCT(EXACT($AE122,Circuits!$A:$A)*ROW(Circuits!$A:$A))))</f>
        <v>-</v>
      </c>
      <c r="G122" s="183" t="str">
        <f t="array" ref="G122">IF(ISBLANK($AE122), "-",INDEX(Circuits!F:F,SUMPRODUCT(EXACT($AE122,Circuits!$A:$A)*ROW(Circuits!$A:$A))))</f>
        <v>-</v>
      </c>
      <c r="H122" s="183" t="str">
        <f t="array" ref="H122">IF(ISBLANK($AE122), "-",INDEX(Circuits!G:G,SUMPRODUCT(EXACT($AE122,Circuits!$A:$A)*ROW(Circuits!$A:$A))))</f>
        <v>-</v>
      </c>
      <c r="I122" s="183" t="str">
        <f t="array" ref="I122">IF(ISBLANK($AE122), "-",INDEX(Circuits!H:H,SUMPRODUCT(EXACT($AE122,Circuits!$A:$A)*ROW(Circuits!$A:$A))))</f>
        <v>-</v>
      </c>
      <c r="J122" s="183" t="str">
        <f t="array" ref="J122">IF(ISBLANK($AE122), "-",INDEX(Circuits!I:I,SUMPRODUCT(EXACT($AE122,Circuits!$A:$A)*ROW(Circuits!$A:$A))))</f>
        <v>-</v>
      </c>
      <c r="K122" s="183" t="str">
        <f t="array" ref="K122">IF(ISBLANK($AE122), "-",INDEX(Circuits!J:J,SUMPRODUCT(EXACT($AE122,Circuits!$A:$A)*ROW(Circuits!$A:$A))))</f>
        <v>-</v>
      </c>
      <c r="L122" s="183" t="str">
        <f t="array" ref="L122">IF(ISBLANK($AE122), "-",INDEX(Circuits!K:K,SUMPRODUCT(EXACT($AE122,Circuits!$A:$A)*ROW(Circuits!$A:$A))))</f>
        <v>-</v>
      </c>
      <c r="M122" s="183" t="str">
        <f t="array" ref="M122">IF(ISBLANK($AE122), "-",INDEX(Circuits!L:L,SUMPRODUCT(EXACT($AE122,Circuits!$A:$A)*ROW(Circuits!$A:$A))))</f>
        <v>-</v>
      </c>
      <c r="N122" s="183" t="str">
        <f t="array" ref="N122">IF(ISBLANK($AE122), "-",INDEX(Circuits!M:M,SUMPRODUCT(EXACT($AE122,Circuits!$A:$A)*ROW(Circuits!$A:$A))))</f>
        <v>-</v>
      </c>
      <c r="O122" s="183" t="str">
        <f t="array" ref="O122">IF(ISBLANK($AE122), "-",INDEX(Circuits!N:N,SUMPRODUCT(EXACT($AE122,Circuits!$A:$A)*ROW(Circuits!$A:$A))))</f>
        <v>-</v>
      </c>
      <c r="P122" s="183" t="str">
        <f t="array" ref="P122">IF(ISBLANK($AE122), "-",INDEX(Circuits!O:O,SUMPRODUCT(EXACT($AE122,Circuits!$A:$A)*ROW(Circuits!$A:$A))))</f>
        <v>-</v>
      </c>
      <c r="Q122" s="183" t="str">
        <f t="array" ref="Q122">IF(ISBLANK($AE122), "-",INDEX(Circuits!P:P,SUMPRODUCT(EXACT($AE122,Circuits!$A:$A)*ROW(Circuits!$A:$A))))</f>
        <v>-</v>
      </c>
      <c r="R122" s="183" t="str">
        <f t="array" ref="R122">IF(ISBLANK($AE122), "-",INDEX(Circuits!Q:Q,SUMPRODUCT(EXACT($AE122,Circuits!$A:$A)*ROW(Circuits!$A:$A))))</f>
        <v>-</v>
      </c>
      <c r="S122" s="183" t="str">
        <f t="array" ref="S122">IF(ISBLANK($AE122), "-",INDEX(Circuits!R:R,SUMPRODUCT(EXACT($AE122,Circuits!$A:$A)*ROW(Circuits!$A:$A))))</f>
        <v>-</v>
      </c>
      <c r="T122" s="183" t="str">
        <f t="array" ref="T122">IF(ISBLANK($AE122), "-",INDEX(Circuits!S:S,SUMPRODUCT(EXACT($AE122,Circuits!$A:$A)*ROW(Circuits!$A:$A))))</f>
        <v>-</v>
      </c>
      <c r="U122" s="183" t="str">
        <f t="array" ref="U122">IF(ISBLANK($AE122), "-",INDEX(Circuits!T:T,SUMPRODUCT(EXACT($AE122,Circuits!$A:$A)*ROW(Circuits!$A:$A))))</f>
        <v>-</v>
      </c>
      <c r="V122" s="183" t="str">
        <f t="array" ref="V122">IF(ISBLANK($AE122), "-",INDEX(Circuits!U:U,SUMPRODUCT(EXACT($AE122,Circuits!$A:$A)*ROW(Circuits!$A:$A))))</f>
        <v>-</v>
      </c>
      <c r="W122" s="183" t="str">
        <f t="array" ref="W122">IF(ISBLANK($AE122), "-",INDEX(Circuits!V:V,SUMPRODUCT(EXACT($AE122,Circuits!$A:$A)*ROW(Circuits!$A:$A))))</f>
        <v>-</v>
      </c>
      <c r="X122" s="183" t="str">
        <f t="array" ref="X122">IF(ISBLANK($AE122), "-",INDEX(Circuits!W:W,SUMPRODUCT(EXACT($AE122,Circuits!$A:$A)*ROW(Circuits!$A:$A))))</f>
        <v>-</v>
      </c>
      <c r="Y122" s="183" t="str">
        <f t="array" ref="Y122">IF(ISBLANK($AE122), "-",INDEX(Circuits!X:X,SUMPRODUCT(EXACT($AE122,Circuits!$A:$A)*ROW(Circuits!$A:$A))))</f>
        <v>-</v>
      </c>
      <c r="Z122" s="108" t="str">
        <f>IFERROR(__xludf.DUMMYFUNCTION("IFNA(CONCATENATE(UNIQUE(FILTER(Connections!R:R,Connections!A:A=B122))),""-"")"),"-")</f>
        <v>-</v>
      </c>
      <c r="AA122" s="119" t="str">
        <f t="array" ref="AA122">IF(ISBLANK($AE122), "-",INDEX(Circuits!Y:Y,SUMPRODUCT(EXACT($AE122,Circuits!$A:$A)*ROW(Circuits!$A:$A))))</f>
        <v>-</v>
      </c>
      <c r="AB122" s="121" t="str">
        <f t="array" ref="AB122">IF(ISBLANK($AE122), "-",INDEX(Circuits!Z:Z,SUMPRODUCT(EXACT($AE122,Circuits!$A:$A)*ROW(Circuits!$A:$A))))</f>
        <v>-</v>
      </c>
      <c r="AC122" s="194"/>
      <c r="AD122" s="194"/>
      <c r="AE122" s="40"/>
      <c r="AF122" s="43"/>
      <c r="AG122" s="126" t="str">
        <f>IFERROR(__xludf.DUMMYFUNCTION("IF(ISBLANK(AF122), """", TEXTJOIN(CHAR(10),TRUE,ARRAYFORMULA(IF(ISERROR(SEARCH(SPLIT(AF122, "";""), $Z122)), ""x"", ""-""))))"),"")</f>
        <v/>
      </c>
      <c r="AH122" s="127" t="str">
        <f>IFERROR(__xludf.DUMMYFUNCTION("IF(ISBLANK(AK122), """", TEXTJOIN("";"" &amp; CHAR(10), TRUE, UNIQUE(SPLIT(AK122, "";"" &amp; CHAR(10)), TRUE))&amp;"";"")"),"")</f>
        <v/>
      </c>
      <c r="AI122" s="128" t="str">
        <f>IFERROR(__xludf.DUMMYFUNCTION("IF(ISBLANK(AD122), IF(ISBLANK(AE122),,IFNA(TEXTJOIN("";"" &amp; CHAR(10), TRUE, FILTER(AE:AE, SEARCH(AE122&amp;"";"", AJ:AJ)))&amp;"";"", """")), TEXTJOIN("";"" &amp; CHAR(10), TRUE, UNIQUE(SPLIT(AH122 &amp; "";"" &amp; AH122 &amp; "";"" &amp; AL122, "";"" &amp; CHAR(10)), TRUE, TRUE))&amp;"";"&amp;""")"),"")</f>
        <v/>
      </c>
      <c r="AJ122" s="126" t="str">
        <f>IFERROR(__xludf.DUMMYFUNCTION("IF(AN122="""", """", TEXTJOIN("";"" &amp; CHAR(10), TRUE, UNIQUE(SPLIT(AH122 &amp; "";"" &amp; AH122 &amp; "";"" &amp; AN122, "";"" &amp; CHAR(10)), TRUE, TRUE))&amp;"";"")"),"")</f>
        <v/>
      </c>
      <c r="AK122" s="129" t="str">
        <f>IFERROR(__xludf.DUMMYFUNCTION("IF(ISBLANK(AD122), IF(ISBLANK(AE122),,AE122 &amp; "";""), TEXTJOIN(CHAR(10), TRUE, ARRAYFORMULA(VLOOKUP(SPLIT(AD122, "";"" &amp; CHAR(10)), $AC:$AH, 6, FALSE))))"),"")</f>
        <v/>
      </c>
      <c r="AL122" s="130" t="str">
        <f>IFERROR(__xludf.DUMMYFUNCTION("IF(AM122="""", """", TEXTJOIN("";"" &amp; CHAR(10), TRUE, UNIQUE(SPLIT(AM122, "";"" &amp; CHAR(10)), TRUE))&amp;"";"")"),"")</f>
        <v/>
      </c>
      <c r="AM122" s="130" t="str">
        <f>IFERROR(__xludf.DUMMYFUNCTION("IF(ISBLANK(AD122), """", TEXTJOIN(CHAR(10), TRUE, ARRAYFORMULA(VLOOKUP(SPLIT(AH122, "";"" &amp; CHAR(10)), $AE:$AI, 5, FALSE)), AF122))"),"")</f>
        <v/>
      </c>
      <c r="AN122" s="132" t="str">
        <f>IFERROR(__xludf.DUMMYFUNCTION("IF(ISBLANK(AO122), """", TEXTJOIN("";"" &amp; CHAR(10), TRUE, UNIQUE(SPLIT(AO122, "";"" &amp; CHAR(10)), TRUE))&amp;"";"")"),"")</f>
        <v/>
      </c>
      <c r="AO122" s="134" t="str">
        <f>IFERROR(__xludf.DUMMYFUNCTION("IF(ISBLANK(AD122), AF122, TEXTJOIN(CHAR(10), TRUE, ARRAYFORMULA(VLOOKUP(SPLIT(AD122, "";"" &amp; CHAR(10)), $AC:$AN, 12, FALSE))))"),"")</f>
        <v/>
      </c>
      <c r="AP122" s="130" t="str">
        <f>IF(ISBLANK(AE122),,IF(IFERROR(SEARCH(AE122&amp;";",Circuits!$AO$2),0),TRUE,FALSE))</f>
        <v/>
      </c>
      <c r="AQ122" s="130" t="str">
        <f t="shared" si="2"/>
        <v/>
      </c>
      <c r="AR122" s="130" t="str">
        <f t="shared" si="3"/>
        <v/>
      </c>
      <c r="AS122" s="136" t="str">
        <f>IFERROR(__xludf.DUMMYFUNCTION("IF(AH122="""",,SUM(ARRAYFORMULA(IF(IFERROR(SEARCH(SPLIT(AH122,CHAR(10)),Circuits!$AO$2),0)&gt;0,0,1))))"),"")</f>
        <v/>
      </c>
      <c r="AT122" s="138" t="str">
        <f t="shared" si="4"/>
        <v/>
      </c>
      <c r="AU122" s="138" t="str">
        <f t="shared" si="5"/>
        <v/>
      </c>
      <c r="AV122" s="130" t="str">
        <f>IFERROR(__xludf.DUMMYFUNCTION("IF(AI122="""",,TEXTJOIN("", "",TRUE,ARRAYFORMULA(VLOOKUP(SPLIT(AI122,"";""&amp;CHAR(10)),AE:AT,16,FALSE))))"),"")</f>
        <v/>
      </c>
      <c r="AW122" s="130" t="str">
        <f>IFERROR(__xludf.DUMMYFUNCTION("IF(ISBLANK(BK122),,TEXTJOIN("", "",TRUE,ARRAYFORMULA(VLOOKUP(IFERROR(REGEXEXTRACT(SPLIT(BK122,"";""&amp;CHAR(10)),""\[(.+)\]"")),AE:AT,16,false))))"),"")</f>
        <v/>
      </c>
      <c r="AX122" s="139" t="str">
        <f t="shared" si="6"/>
        <v/>
      </c>
      <c r="AY122" s="139" t="str">
        <f t="shared" si="7"/>
        <v/>
      </c>
      <c r="AZ122" s="106" t="str">
        <f>IFERROR(__xludf.DUMMYFUNCTION("IF(ISBLANK(AD122), BC122, TEXTJOIN(CHAR(10) &amp; CHAR(10), TRUE, ARRAYFORMULA(VLOOKUP(SPLIT(AD122, "";"" &amp; CHAR(10)), $AC:$AY, 23, FALSE))))"),"")</f>
        <v/>
      </c>
      <c r="BA122" s="140" t="s">
        <v>66</v>
      </c>
      <c r="BB122" s="190"/>
      <c r="BC122" s="196"/>
      <c r="BD122" s="106" t="str">
        <f>IFERROR(__xludf.DUMMYFUNCTION("IF(IFERROR(SEARCH(""&lt;&lt;mechanism to realize the capability&gt;&gt;"",BA122),0)=0,
 ""!! Error !! “Capability&amp;Mechanism” column: Invalid Separator:"" &amp; CHAR(10) &amp; ""Insert separator “&lt;&lt;mechanism to realize the capability&gt;&gt;.”"",
 IF(
  LEN(TRIM(CLEAN(
    INDEX(
 "&amp;"     SPLIT(BA122,""&lt;&lt;mechanism to realize the capability&gt;&gt;"",FALSE,FALSE),
      1
    )
  )))=0,
  ""!! Error !! “Capability&amp;Mechanism” column: No Capability:""  &amp; CHAR(10) &amp; ""Describe Capability before separator."",
  INDEX(
    SPLIT(BA122,""&lt;&lt;mechani"&amp;"sm to realize the capability&gt;&gt;"",FALSE,FALSE),
    1
  )
 )
)
"),"!! Error !! “Capability&amp;Mechanism” column: No Capability:
Describe Capability before separator.")</f>
        <v>!! Error !! “Capability&amp;Mechanism” column: No Capability:
Describe Capability before separator.</v>
      </c>
      <c r="BE122" s="190"/>
      <c r="BF122" s="195"/>
      <c r="BG122" s="42"/>
      <c r="BH122" s="190"/>
      <c r="BI122" s="196"/>
      <c r="BJ122" s="42"/>
      <c r="BK122" s="42"/>
      <c r="BL122" s="203"/>
      <c r="BM122" s="203"/>
      <c r="BN122" s="42"/>
      <c r="BO122" s="42"/>
      <c r="BP122" s="143"/>
      <c r="BQ122" s="143"/>
      <c r="BR122" s="192"/>
      <c r="BS122" s="192"/>
      <c r="BT122" s="192"/>
      <c r="BU122" s="192"/>
      <c r="BV122" s="192"/>
      <c r="BW122" s="192"/>
      <c r="BX122" s="146" t="str">
        <f t="shared" si="8"/>
        <v/>
      </c>
    </row>
    <row r="123">
      <c r="A123" s="106" t="str">
        <f t="shared" si="1"/>
        <v/>
      </c>
      <c r="B123" s="183" t="str">
        <f t="array" ref="B123">IF(ISBLANK($AE123), "-",INDEX(Circuits!A:A,SUMPRODUCT(EXACT($AE123,Circuits!$A:$A)*ROW(Circuits!$A:$A))))</f>
        <v>-</v>
      </c>
      <c r="C123" s="183" t="str">
        <f t="array" ref="C123">IF(ISBLANK($AE123), "-",INDEX(Circuits!B:B,SUMPRODUCT(EXACT($AE123,Circuits!$A:$A)*ROW(Circuits!$A:$A))))</f>
        <v>-</v>
      </c>
      <c r="D123" s="183" t="str">
        <f t="array" ref="D123">IF(ISBLANK($AE123), "-",INDEX(Circuits!C:C,SUMPRODUCT(EXACT($AE123,Circuits!$A:$A)*ROW(Circuits!$A:$A))))</f>
        <v>-</v>
      </c>
      <c r="E123" s="183" t="str">
        <f t="array" ref="E123">IF(ISBLANK($AE123), "-",INDEX(Circuits!D:D,SUMPRODUCT(EXACT($AE123,Circuits!$A:$A)*ROW(Circuits!$A:$A))))</f>
        <v>-</v>
      </c>
      <c r="F123" s="183" t="str">
        <f t="array" ref="F123">IF(ISBLANK($AE123), "-",INDEX(Circuits!E:E,SUMPRODUCT(EXACT($AE123,Circuits!$A:$A)*ROW(Circuits!$A:$A))))</f>
        <v>-</v>
      </c>
      <c r="G123" s="183" t="str">
        <f t="array" ref="G123">IF(ISBLANK($AE123), "-",INDEX(Circuits!F:F,SUMPRODUCT(EXACT($AE123,Circuits!$A:$A)*ROW(Circuits!$A:$A))))</f>
        <v>-</v>
      </c>
      <c r="H123" s="183" t="str">
        <f t="array" ref="H123">IF(ISBLANK($AE123), "-",INDEX(Circuits!G:G,SUMPRODUCT(EXACT($AE123,Circuits!$A:$A)*ROW(Circuits!$A:$A))))</f>
        <v>-</v>
      </c>
      <c r="I123" s="183" t="str">
        <f t="array" ref="I123">IF(ISBLANK($AE123), "-",INDEX(Circuits!H:H,SUMPRODUCT(EXACT($AE123,Circuits!$A:$A)*ROW(Circuits!$A:$A))))</f>
        <v>-</v>
      </c>
      <c r="J123" s="183" t="str">
        <f t="array" ref="J123">IF(ISBLANK($AE123), "-",INDEX(Circuits!I:I,SUMPRODUCT(EXACT($AE123,Circuits!$A:$A)*ROW(Circuits!$A:$A))))</f>
        <v>-</v>
      </c>
      <c r="K123" s="183" t="str">
        <f t="array" ref="K123">IF(ISBLANK($AE123), "-",INDEX(Circuits!J:J,SUMPRODUCT(EXACT($AE123,Circuits!$A:$A)*ROW(Circuits!$A:$A))))</f>
        <v>-</v>
      </c>
      <c r="L123" s="183" t="str">
        <f t="array" ref="L123">IF(ISBLANK($AE123), "-",INDEX(Circuits!K:K,SUMPRODUCT(EXACT($AE123,Circuits!$A:$A)*ROW(Circuits!$A:$A))))</f>
        <v>-</v>
      </c>
      <c r="M123" s="183" t="str">
        <f t="array" ref="M123">IF(ISBLANK($AE123), "-",INDEX(Circuits!L:L,SUMPRODUCT(EXACT($AE123,Circuits!$A:$A)*ROW(Circuits!$A:$A))))</f>
        <v>-</v>
      </c>
      <c r="N123" s="183" t="str">
        <f t="array" ref="N123">IF(ISBLANK($AE123), "-",INDEX(Circuits!M:M,SUMPRODUCT(EXACT($AE123,Circuits!$A:$A)*ROW(Circuits!$A:$A))))</f>
        <v>-</v>
      </c>
      <c r="O123" s="183" t="str">
        <f t="array" ref="O123">IF(ISBLANK($AE123), "-",INDEX(Circuits!N:N,SUMPRODUCT(EXACT($AE123,Circuits!$A:$A)*ROW(Circuits!$A:$A))))</f>
        <v>-</v>
      </c>
      <c r="P123" s="183" t="str">
        <f t="array" ref="P123">IF(ISBLANK($AE123), "-",INDEX(Circuits!O:O,SUMPRODUCT(EXACT($AE123,Circuits!$A:$A)*ROW(Circuits!$A:$A))))</f>
        <v>-</v>
      </c>
      <c r="Q123" s="183" t="str">
        <f t="array" ref="Q123">IF(ISBLANK($AE123), "-",INDEX(Circuits!P:P,SUMPRODUCT(EXACT($AE123,Circuits!$A:$A)*ROW(Circuits!$A:$A))))</f>
        <v>-</v>
      </c>
      <c r="R123" s="183" t="str">
        <f t="array" ref="R123">IF(ISBLANK($AE123), "-",INDEX(Circuits!Q:Q,SUMPRODUCT(EXACT($AE123,Circuits!$A:$A)*ROW(Circuits!$A:$A))))</f>
        <v>-</v>
      </c>
      <c r="S123" s="183" t="str">
        <f t="array" ref="S123">IF(ISBLANK($AE123), "-",INDEX(Circuits!R:R,SUMPRODUCT(EXACT($AE123,Circuits!$A:$A)*ROW(Circuits!$A:$A))))</f>
        <v>-</v>
      </c>
      <c r="T123" s="183" t="str">
        <f t="array" ref="T123">IF(ISBLANK($AE123), "-",INDEX(Circuits!S:S,SUMPRODUCT(EXACT($AE123,Circuits!$A:$A)*ROW(Circuits!$A:$A))))</f>
        <v>-</v>
      </c>
      <c r="U123" s="183" t="str">
        <f t="array" ref="U123">IF(ISBLANK($AE123), "-",INDEX(Circuits!T:T,SUMPRODUCT(EXACT($AE123,Circuits!$A:$A)*ROW(Circuits!$A:$A))))</f>
        <v>-</v>
      </c>
      <c r="V123" s="183" t="str">
        <f t="array" ref="V123">IF(ISBLANK($AE123), "-",INDEX(Circuits!U:U,SUMPRODUCT(EXACT($AE123,Circuits!$A:$A)*ROW(Circuits!$A:$A))))</f>
        <v>-</v>
      </c>
      <c r="W123" s="183" t="str">
        <f t="array" ref="W123">IF(ISBLANK($AE123), "-",INDEX(Circuits!V:V,SUMPRODUCT(EXACT($AE123,Circuits!$A:$A)*ROW(Circuits!$A:$A))))</f>
        <v>-</v>
      </c>
      <c r="X123" s="183" t="str">
        <f t="array" ref="X123">IF(ISBLANK($AE123), "-",INDEX(Circuits!W:W,SUMPRODUCT(EXACT($AE123,Circuits!$A:$A)*ROW(Circuits!$A:$A))))</f>
        <v>-</v>
      </c>
      <c r="Y123" s="183" t="str">
        <f t="array" ref="Y123">IF(ISBLANK($AE123), "-",INDEX(Circuits!X:X,SUMPRODUCT(EXACT($AE123,Circuits!$A:$A)*ROW(Circuits!$A:$A))))</f>
        <v>-</v>
      </c>
      <c r="Z123" s="108" t="str">
        <f>IFERROR(__xludf.DUMMYFUNCTION("IFNA(CONCATENATE(UNIQUE(FILTER(Connections!R:R,Connections!A:A=B123))),""-"")"),"-")</f>
        <v>-</v>
      </c>
      <c r="AA123" s="119" t="str">
        <f t="array" ref="AA123">IF(ISBLANK($AE123), "-",INDEX(Circuits!Y:Y,SUMPRODUCT(EXACT($AE123,Circuits!$A:$A)*ROW(Circuits!$A:$A))))</f>
        <v>-</v>
      </c>
      <c r="AB123" s="121" t="str">
        <f t="array" ref="AB123">IF(ISBLANK($AE123), "-",INDEX(Circuits!Z:Z,SUMPRODUCT(EXACT($AE123,Circuits!$A:$A)*ROW(Circuits!$A:$A))))</f>
        <v>-</v>
      </c>
      <c r="AC123" s="194"/>
      <c r="AD123" s="194"/>
      <c r="AE123" s="40"/>
      <c r="AF123" s="43"/>
      <c r="AG123" s="126" t="str">
        <f>IFERROR(__xludf.DUMMYFUNCTION("IF(ISBLANK(AF123), """", TEXTJOIN(CHAR(10),TRUE,ARRAYFORMULA(IF(ISERROR(SEARCH(SPLIT(AF123, "";""), $Z123)), ""x"", ""-""))))"),"")</f>
        <v/>
      </c>
      <c r="AH123" s="127" t="str">
        <f>IFERROR(__xludf.DUMMYFUNCTION("IF(ISBLANK(AK123), """", TEXTJOIN("";"" &amp; CHAR(10), TRUE, UNIQUE(SPLIT(AK123, "";"" &amp; CHAR(10)), TRUE))&amp;"";"")"),"")</f>
        <v/>
      </c>
      <c r="AI123" s="128" t="str">
        <f>IFERROR(__xludf.DUMMYFUNCTION("IF(ISBLANK(AD123), IF(ISBLANK(AE123),,IFNA(TEXTJOIN("";"" &amp; CHAR(10), TRUE, FILTER(AE:AE, SEARCH(AE123&amp;"";"", AJ:AJ)))&amp;"";"", """")), TEXTJOIN("";"" &amp; CHAR(10), TRUE, UNIQUE(SPLIT(AH123 &amp; "";"" &amp; AH123 &amp; "";"" &amp; AL123, "";"" &amp; CHAR(10)), TRUE, TRUE))&amp;"";"&amp;""")"),"")</f>
        <v/>
      </c>
      <c r="AJ123" s="126" t="str">
        <f>IFERROR(__xludf.DUMMYFUNCTION("IF(AN123="""", """", TEXTJOIN("";"" &amp; CHAR(10), TRUE, UNIQUE(SPLIT(AH123 &amp; "";"" &amp; AH123 &amp; "";"" &amp; AN123, "";"" &amp; CHAR(10)), TRUE, TRUE))&amp;"";"")"),"")</f>
        <v/>
      </c>
      <c r="AK123" s="129" t="str">
        <f>IFERROR(__xludf.DUMMYFUNCTION("IF(ISBLANK(AD123), IF(ISBLANK(AE123),,AE123 &amp; "";""), TEXTJOIN(CHAR(10), TRUE, ARRAYFORMULA(VLOOKUP(SPLIT(AD123, "";"" &amp; CHAR(10)), $AC:$AH, 6, FALSE))))"),"")</f>
        <v/>
      </c>
      <c r="AL123" s="130" t="str">
        <f>IFERROR(__xludf.DUMMYFUNCTION("IF(AM123="""", """", TEXTJOIN("";"" &amp; CHAR(10), TRUE, UNIQUE(SPLIT(AM123, "";"" &amp; CHAR(10)), TRUE))&amp;"";"")"),"")</f>
        <v/>
      </c>
      <c r="AM123" s="130" t="str">
        <f>IFERROR(__xludf.DUMMYFUNCTION("IF(ISBLANK(AD123), """", TEXTJOIN(CHAR(10), TRUE, ARRAYFORMULA(VLOOKUP(SPLIT(AH123, "";"" &amp; CHAR(10)), $AE:$AI, 5, FALSE)), AF123))"),"")</f>
        <v/>
      </c>
      <c r="AN123" s="132" t="str">
        <f>IFERROR(__xludf.DUMMYFUNCTION("IF(ISBLANK(AO123), """", TEXTJOIN("";"" &amp; CHAR(10), TRUE, UNIQUE(SPLIT(AO123, "";"" &amp; CHAR(10)), TRUE))&amp;"";"")"),"")</f>
        <v/>
      </c>
      <c r="AO123" s="134" t="str">
        <f>IFERROR(__xludf.DUMMYFUNCTION("IF(ISBLANK(AD123), AF123, TEXTJOIN(CHAR(10), TRUE, ARRAYFORMULA(VLOOKUP(SPLIT(AD123, "";"" &amp; CHAR(10)), $AC:$AN, 12, FALSE))))"),"")</f>
        <v/>
      </c>
      <c r="AP123" s="130" t="str">
        <f>IF(ISBLANK(AE123),,IF(IFERROR(SEARCH(AE123&amp;";",Circuits!$AO$2),0),TRUE,FALSE))</f>
        <v/>
      </c>
      <c r="AQ123" s="130" t="str">
        <f t="shared" si="2"/>
        <v/>
      </c>
      <c r="AR123" s="130" t="str">
        <f t="shared" si="3"/>
        <v/>
      </c>
      <c r="AS123" s="136" t="str">
        <f>IFERROR(__xludf.DUMMYFUNCTION("IF(AH123="""",,SUM(ARRAYFORMULA(IF(IFERROR(SEARCH(SPLIT(AH123,CHAR(10)),Circuits!$AO$2),0)&gt;0,0,1))))"),"")</f>
        <v/>
      </c>
      <c r="AT123" s="138" t="str">
        <f t="shared" si="4"/>
        <v/>
      </c>
      <c r="AU123" s="138" t="str">
        <f t="shared" si="5"/>
        <v/>
      </c>
      <c r="AV123" s="130" t="str">
        <f>IFERROR(__xludf.DUMMYFUNCTION("IF(AI123="""",,TEXTJOIN("", "",TRUE,ARRAYFORMULA(VLOOKUP(SPLIT(AI123,"";""&amp;CHAR(10)),AE:AT,16,FALSE))))"),"")</f>
        <v/>
      </c>
      <c r="AW123" s="130" t="str">
        <f>IFERROR(__xludf.DUMMYFUNCTION("IF(ISBLANK(BK123),,TEXTJOIN("", "",TRUE,ARRAYFORMULA(VLOOKUP(IFERROR(REGEXEXTRACT(SPLIT(BK123,"";""&amp;CHAR(10)),""\[(.+)\]"")),AE:AT,16,false))))"),"")</f>
        <v/>
      </c>
      <c r="AX123" s="139" t="str">
        <f t="shared" si="6"/>
        <v/>
      </c>
      <c r="AY123" s="139" t="str">
        <f t="shared" si="7"/>
        <v/>
      </c>
      <c r="AZ123" s="106" t="str">
        <f>IFERROR(__xludf.DUMMYFUNCTION("IF(ISBLANK(AD123), BC123, TEXTJOIN(CHAR(10) &amp; CHAR(10), TRUE, ARRAYFORMULA(VLOOKUP(SPLIT(AD123, "";"" &amp; CHAR(10)), $AC:$AY, 23, FALSE))))"),"")</f>
        <v/>
      </c>
      <c r="BA123" s="140" t="s">
        <v>66</v>
      </c>
      <c r="BB123" s="190"/>
      <c r="BC123" s="196"/>
      <c r="BD123" s="106" t="str">
        <f>IFERROR(__xludf.DUMMYFUNCTION("IF(IFERROR(SEARCH(""&lt;&lt;mechanism to realize the capability&gt;&gt;"",BA123),0)=0,
 ""!! Error !! “Capability&amp;Mechanism” column: Invalid Separator:"" &amp; CHAR(10) &amp; ""Insert separator “&lt;&lt;mechanism to realize the capability&gt;&gt;.”"",
 IF(
  LEN(TRIM(CLEAN(
    INDEX(
 "&amp;"     SPLIT(BA123,""&lt;&lt;mechanism to realize the capability&gt;&gt;"",FALSE,FALSE),
      1
    )
  )))=0,
  ""!! Error !! “Capability&amp;Mechanism” column: No Capability:""  &amp; CHAR(10) &amp; ""Describe Capability before separator."",
  INDEX(
    SPLIT(BA123,""&lt;&lt;mechani"&amp;"sm to realize the capability&gt;&gt;"",FALSE,FALSE),
    1
  )
 )
)
"),"!! Error !! “Capability&amp;Mechanism” column: No Capability:
Describe Capability before separator.")</f>
        <v>!! Error !! “Capability&amp;Mechanism” column: No Capability:
Describe Capability before separator.</v>
      </c>
      <c r="BE123" s="190"/>
      <c r="BF123" s="195"/>
      <c r="BG123" s="42"/>
      <c r="BH123" s="190"/>
      <c r="BI123" s="196"/>
      <c r="BJ123" s="42"/>
      <c r="BK123" s="42"/>
      <c r="BL123" s="203"/>
      <c r="BM123" s="203"/>
      <c r="BN123" s="42"/>
      <c r="BO123" s="42"/>
      <c r="BP123" s="143"/>
      <c r="BQ123" s="143"/>
      <c r="BR123" s="192"/>
      <c r="BS123" s="192"/>
      <c r="BT123" s="192"/>
      <c r="BU123" s="192"/>
      <c r="BV123" s="192"/>
      <c r="BW123" s="192"/>
      <c r="BX123" s="146" t="str">
        <f t="shared" si="8"/>
        <v/>
      </c>
    </row>
    <row r="124">
      <c r="A124" s="106" t="str">
        <f t="shared" si="1"/>
        <v/>
      </c>
      <c r="B124" s="183" t="str">
        <f t="array" ref="B124">IF(ISBLANK($AE124), "-",INDEX(Circuits!A:A,SUMPRODUCT(EXACT($AE124,Circuits!$A:$A)*ROW(Circuits!$A:$A))))</f>
        <v>-</v>
      </c>
      <c r="C124" s="183" t="str">
        <f t="array" ref="C124">IF(ISBLANK($AE124), "-",INDEX(Circuits!B:B,SUMPRODUCT(EXACT($AE124,Circuits!$A:$A)*ROW(Circuits!$A:$A))))</f>
        <v>-</v>
      </c>
      <c r="D124" s="183" t="str">
        <f t="array" ref="D124">IF(ISBLANK($AE124), "-",INDEX(Circuits!C:C,SUMPRODUCT(EXACT($AE124,Circuits!$A:$A)*ROW(Circuits!$A:$A))))</f>
        <v>-</v>
      </c>
      <c r="E124" s="183" t="str">
        <f t="array" ref="E124">IF(ISBLANK($AE124), "-",INDEX(Circuits!D:D,SUMPRODUCT(EXACT($AE124,Circuits!$A:$A)*ROW(Circuits!$A:$A))))</f>
        <v>-</v>
      </c>
      <c r="F124" s="183" t="str">
        <f t="array" ref="F124">IF(ISBLANK($AE124), "-",INDEX(Circuits!E:E,SUMPRODUCT(EXACT($AE124,Circuits!$A:$A)*ROW(Circuits!$A:$A))))</f>
        <v>-</v>
      </c>
      <c r="G124" s="183" t="str">
        <f t="array" ref="G124">IF(ISBLANK($AE124), "-",INDEX(Circuits!F:F,SUMPRODUCT(EXACT($AE124,Circuits!$A:$A)*ROW(Circuits!$A:$A))))</f>
        <v>-</v>
      </c>
      <c r="H124" s="183" t="str">
        <f t="array" ref="H124">IF(ISBLANK($AE124), "-",INDEX(Circuits!G:G,SUMPRODUCT(EXACT($AE124,Circuits!$A:$A)*ROW(Circuits!$A:$A))))</f>
        <v>-</v>
      </c>
      <c r="I124" s="183" t="str">
        <f t="array" ref="I124">IF(ISBLANK($AE124), "-",INDEX(Circuits!H:H,SUMPRODUCT(EXACT($AE124,Circuits!$A:$A)*ROW(Circuits!$A:$A))))</f>
        <v>-</v>
      </c>
      <c r="J124" s="183" t="str">
        <f t="array" ref="J124">IF(ISBLANK($AE124), "-",INDEX(Circuits!I:I,SUMPRODUCT(EXACT($AE124,Circuits!$A:$A)*ROW(Circuits!$A:$A))))</f>
        <v>-</v>
      </c>
      <c r="K124" s="183" t="str">
        <f t="array" ref="K124">IF(ISBLANK($AE124), "-",INDEX(Circuits!J:J,SUMPRODUCT(EXACT($AE124,Circuits!$A:$A)*ROW(Circuits!$A:$A))))</f>
        <v>-</v>
      </c>
      <c r="L124" s="183" t="str">
        <f t="array" ref="L124">IF(ISBLANK($AE124), "-",INDEX(Circuits!K:K,SUMPRODUCT(EXACT($AE124,Circuits!$A:$A)*ROW(Circuits!$A:$A))))</f>
        <v>-</v>
      </c>
      <c r="M124" s="183" t="str">
        <f t="array" ref="M124">IF(ISBLANK($AE124), "-",INDEX(Circuits!L:L,SUMPRODUCT(EXACT($AE124,Circuits!$A:$A)*ROW(Circuits!$A:$A))))</f>
        <v>-</v>
      </c>
      <c r="N124" s="183" t="str">
        <f t="array" ref="N124">IF(ISBLANK($AE124), "-",INDEX(Circuits!M:M,SUMPRODUCT(EXACT($AE124,Circuits!$A:$A)*ROW(Circuits!$A:$A))))</f>
        <v>-</v>
      </c>
      <c r="O124" s="183" t="str">
        <f t="array" ref="O124">IF(ISBLANK($AE124), "-",INDEX(Circuits!N:N,SUMPRODUCT(EXACT($AE124,Circuits!$A:$A)*ROW(Circuits!$A:$A))))</f>
        <v>-</v>
      </c>
      <c r="P124" s="183" t="str">
        <f t="array" ref="P124">IF(ISBLANK($AE124), "-",INDEX(Circuits!O:O,SUMPRODUCT(EXACT($AE124,Circuits!$A:$A)*ROW(Circuits!$A:$A))))</f>
        <v>-</v>
      </c>
      <c r="Q124" s="183" t="str">
        <f t="array" ref="Q124">IF(ISBLANK($AE124), "-",INDEX(Circuits!P:P,SUMPRODUCT(EXACT($AE124,Circuits!$A:$A)*ROW(Circuits!$A:$A))))</f>
        <v>-</v>
      </c>
      <c r="R124" s="183" t="str">
        <f t="array" ref="R124">IF(ISBLANK($AE124), "-",INDEX(Circuits!Q:Q,SUMPRODUCT(EXACT($AE124,Circuits!$A:$A)*ROW(Circuits!$A:$A))))</f>
        <v>-</v>
      </c>
      <c r="S124" s="183" t="str">
        <f t="array" ref="S124">IF(ISBLANK($AE124), "-",INDEX(Circuits!R:R,SUMPRODUCT(EXACT($AE124,Circuits!$A:$A)*ROW(Circuits!$A:$A))))</f>
        <v>-</v>
      </c>
      <c r="T124" s="183" t="str">
        <f t="array" ref="T124">IF(ISBLANK($AE124), "-",INDEX(Circuits!S:S,SUMPRODUCT(EXACT($AE124,Circuits!$A:$A)*ROW(Circuits!$A:$A))))</f>
        <v>-</v>
      </c>
      <c r="U124" s="183" t="str">
        <f t="array" ref="U124">IF(ISBLANK($AE124), "-",INDEX(Circuits!T:T,SUMPRODUCT(EXACT($AE124,Circuits!$A:$A)*ROW(Circuits!$A:$A))))</f>
        <v>-</v>
      </c>
      <c r="V124" s="183" t="str">
        <f t="array" ref="V124">IF(ISBLANK($AE124), "-",INDEX(Circuits!U:U,SUMPRODUCT(EXACT($AE124,Circuits!$A:$A)*ROW(Circuits!$A:$A))))</f>
        <v>-</v>
      </c>
      <c r="W124" s="183" t="str">
        <f t="array" ref="W124">IF(ISBLANK($AE124), "-",INDEX(Circuits!V:V,SUMPRODUCT(EXACT($AE124,Circuits!$A:$A)*ROW(Circuits!$A:$A))))</f>
        <v>-</v>
      </c>
      <c r="X124" s="183" t="str">
        <f t="array" ref="X124">IF(ISBLANK($AE124), "-",INDEX(Circuits!W:W,SUMPRODUCT(EXACT($AE124,Circuits!$A:$A)*ROW(Circuits!$A:$A))))</f>
        <v>-</v>
      </c>
      <c r="Y124" s="183" t="str">
        <f t="array" ref="Y124">IF(ISBLANK($AE124), "-",INDEX(Circuits!X:X,SUMPRODUCT(EXACT($AE124,Circuits!$A:$A)*ROW(Circuits!$A:$A))))</f>
        <v>-</v>
      </c>
      <c r="Z124" s="108" t="str">
        <f>IFERROR(__xludf.DUMMYFUNCTION("IFNA(CONCATENATE(UNIQUE(FILTER(Connections!R:R,Connections!A:A=B124))),""-"")"),"-")</f>
        <v>-</v>
      </c>
      <c r="AA124" s="119" t="str">
        <f t="array" ref="AA124">IF(ISBLANK($AE124), "-",INDEX(Circuits!Y:Y,SUMPRODUCT(EXACT($AE124,Circuits!$A:$A)*ROW(Circuits!$A:$A))))</f>
        <v>-</v>
      </c>
      <c r="AB124" s="121" t="str">
        <f t="array" ref="AB124">IF(ISBLANK($AE124), "-",INDEX(Circuits!Z:Z,SUMPRODUCT(EXACT($AE124,Circuits!$A:$A)*ROW(Circuits!$A:$A))))</f>
        <v>-</v>
      </c>
      <c r="AC124" s="194"/>
      <c r="AD124" s="194"/>
      <c r="AE124" s="40"/>
      <c r="AF124" s="43"/>
      <c r="AG124" s="126" t="str">
        <f>IFERROR(__xludf.DUMMYFUNCTION("IF(ISBLANK(AF124), """", TEXTJOIN(CHAR(10),TRUE,ARRAYFORMULA(IF(ISERROR(SEARCH(SPLIT(AF124, "";""), $Z124)), ""x"", ""-""))))"),"")</f>
        <v/>
      </c>
      <c r="AH124" s="127" t="str">
        <f>IFERROR(__xludf.DUMMYFUNCTION("IF(ISBLANK(AK124), """", TEXTJOIN("";"" &amp; CHAR(10), TRUE, UNIQUE(SPLIT(AK124, "";"" &amp; CHAR(10)), TRUE))&amp;"";"")"),"")</f>
        <v/>
      </c>
      <c r="AI124" s="128" t="str">
        <f>IFERROR(__xludf.DUMMYFUNCTION("IF(ISBLANK(AD124), IF(ISBLANK(AE124),,IFNA(TEXTJOIN("";"" &amp; CHAR(10), TRUE, FILTER(AE:AE, SEARCH(AE124&amp;"";"", AJ:AJ)))&amp;"";"", """")), TEXTJOIN("";"" &amp; CHAR(10), TRUE, UNIQUE(SPLIT(AH124 &amp; "";"" &amp; AH124 &amp; "";"" &amp; AL124, "";"" &amp; CHAR(10)), TRUE, TRUE))&amp;"";"&amp;""")"),"")</f>
        <v/>
      </c>
      <c r="AJ124" s="126" t="str">
        <f>IFERROR(__xludf.DUMMYFUNCTION("IF(AN124="""", """", TEXTJOIN("";"" &amp; CHAR(10), TRUE, UNIQUE(SPLIT(AH124 &amp; "";"" &amp; AH124 &amp; "";"" &amp; AN124, "";"" &amp; CHAR(10)), TRUE, TRUE))&amp;"";"")"),"")</f>
        <v/>
      </c>
      <c r="AK124" s="129" t="str">
        <f>IFERROR(__xludf.DUMMYFUNCTION("IF(ISBLANK(AD124), IF(ISBLANK(AE124),,AE124 &amp; "";""), TEXTJOIN(CHAR(10), TRUE, ARRAYFORMULA(VLOOKUP(SPLIT(AD124, "";"" &amp; CHAR(10)), $AC:$AH, 6, FALSE))))"),"")</f>
        <v/>
      </c>
      <c r="AL124" s="130" t="str">
        <f>IFERROR(__xludf.DUMMYFUNCTION("IF(AM124="""", """", TEXTJOIN("";"" &amp; CHAR(10), TRUE, UNIQUE(SPLIT(AM124, "";"" &amp; CHAR(10)), TRUE))&amp;"";"")"),"")</f>
        <v/>
      </c>
      <c r="AM124" s="130" t="str">
        <f>IFERROR(__xludf.DUMMYFUNCTION("IF(ISBLANK(AD124), """", TEXTJOIN(CHAR(10), TRUE, ARRAYFORMULA(VLOOKUP(SPLIT(AH124, "";"" &amp; CHAR(10)), $AE:$AI, 5, FALSE)), AF124))"),"")</f>
        <v/>
      </c>
      <c r="AN124" s="132" t="str">
        <f>IFERROR(__xludf.DUMMYFUNCTION("IF(ISBLANK(AO124), """", TEXTJOIN("";"" &amp; CHAR(10), TRUE, UNIQUE(SPLIT(AO124, "";"" &amp; CHAR(10)), TRUE))&amp;"";"")"),"")</f>
        <v/>
      </c>
      <c r="AO124" s="134" t="str">
        <f>IFERROR(__xludf.DUMMYFUNCTION("IF(ISBLANK(AD124), AF124, TEXTJOIN(CHAR(10), TRUE, ARRAYFORMULA(VLOOKUP(SPLIT(AD124, "";"" &amp; CHAR(10)), $AC:$AN, 12, FALSE))))"),"")</f>
        <v/>
      </c>
      <c r="AP124" s="130" t="str">
        <f>IF(ISBLANK(AE124),,IF(IFERROR(SEARCH(AE124&amp;";",Circuits!$AO$2),0),TRUE,FALSE))</f>
        <v/>
      </c>
      <c r="AQ124" s="130" t="str">
        <f t="shared" si="2"/>
        <v/>
      </c>
      <c r="AR124" s="130" t="str">
        <f t="shared" si="3"/>
        <v/>
      </c>
      <c r="AS124" s="136" t="str">
        <f>IFERROR(__xludf.DUMMYFUNCTION("IF(AH124="""",,SUM(ARRAYFORMULA(IF(IFERROR(SEARCH(SPLIT(AH124,CHAR(10)),Circuits!$AO$2),0)&gt;0,0,1))))"),"")</f>
        <v/>
      </c>
      <c r="AT124" s="138" t="str">
        <f t="shared" si="4"/>
        <v/>
      </c>
      <c r="AU124" s="138" t="str">
        <f t="shared" si="5"/>
        <v/>
      </c>
      <c r="AV124" s="130" t="str">
        <f>IFERROR(__xludf.DUMMYFUNCTION("IF(AI124="""",,TEXTJOIN("", "",TRUE,ARRAYFORMULA(VLOOKUP(SPLIT(AI124,"";""&amp;CHAR(10)),AE:AT,16,FALSE))))"),"")</f>
        <v/>
      </c>
      <c r="AW124" s="130" t="str">
        <f>IFERROR(__xludf.DUMMYFUNCTION("IF(ISBLANK(BK124),,TEXTJOIN("", "",TRUE,ARRAYFORMULA(VLOOKUP(IFERROR(REGEXEXTRACT(SPLIT(BK124,"";""&amp;CHAR(10)),""\[(.+)\]"")),AE:AT,16,false))))"),"")</f>
        <v/>
      </c>
      <c r="AX124" s="139" t="str">
        <f t="shared" si="6"/>
        <v/>
      </c>
      <c r="AY124" s="139" t="str">
        <f t="shared" si="7"/>
        <v/>
      </c>
      <c r="AZ124" s="106" t="str">
        <f>IFERROR(__xludf.DUMMYFUNCTION("IF(ISBLANK(AD124), BC124, TEXTJOIN(CHAR(10) &amp; CHAR(10), TRUE, ARRAYFORMULA(VLOOKUP(SPLIT(AD124, "";"" &amp; CHAR(10)), $AC:$AY, 23, FALSE))))"),"")</f>
        <v/>
      </c>
      <c r="BA124" s="140" t="s">
        <v>66</v>
      </c>
      <c r="BB124" s="190"/>
      <c r="BC124" s="196"/>
      <c r="BD124" s="106" t="str">
        <f>IFERROR(__xludf.DUMMYFUNCTION("IF(IFERROR(SEARCH(""&lt;&lt;mechanism to realize the capability&gt;&gt;"",BA124),0)=0,
 ""!! Error !! “Capability&amp;Mechanism” column: Invalid Separator:"" &amp; CHAR(10) &amp; ""Insert separator “&lt;&lt;mechanism to realize the capability&gt;&gt;.”"",
 IF(
  LEN(TRIM(CLEAN(
    INDEX(
 "&amp;"     SPLIT(BA124,""&lt;&lt;mechanism to realize the capability&gt;&gt;"",FALSE,FALSE),
      1
    )
  )))=0,
  ""!! Error !! “Capability&amp;Mechanism” column: No Capability:""  &amp; CHAR(10) &amp; ""Describe Capability before separator."",
  INDEX(
    SPLIT(BA124,""&lt;&lt;mechani"&amp;"sm to realize the capability&gt;&gt;"",FALSE,FALSE),
    1
  )
 )
)
"),"!! Error !! “Capability&amp;Mechanism” column: No Capability:
Describe Capability before separator.")</f>
        <v>!! Error !! “Capability&amp;Mechanism” column: No Capability:
Describe Capability before separator.</v>
      </c>
      <c r="BE124" s="190"/>
      <c r="BF124" s="195"/>
      <c r="BG124" s="42"/>
      <c r="BH124" s="190"/>
      <c r="BI124" s="196"/>
      <c r="BJ124" s="42"/>
      <c r="BK124" s="42"/>
      <c r="BL124" s="203"/>
      <c r="BM124" s="203"/>
      <c r="BN124" s="42"/>
      <c r="BO124" s="42"/>
      <c r="BP124" s="143"/>
      <c r="BQ124" s="143"/>
      <c r="BR124" s="192"/>
      <c r="BS124" s="192"/>
      <c r="BT124" s="192"/>
      <c r="BU124" s="192"/>
      <c r="BV124" s="192"/>
      <c r="BW124" s="192"/>
      <c r="BX124" s="146" t="str">
        <f t="shared" si="8"/>
        <v/>
      </c>
    </row>
    <row r="125">
      <c r="A125" s="106" t="str">
        <f t="shared" si="1"/>
        <v/>
      </c>
      <c r="B125" s="183" t="str">
        <f t="array" ref="B125">IF(ISBLANK($AE125), "-",INDEX(Circuits!A:A,SUMPRODUCT(EXACT($AE125,Circuits!$A:$A)*ROW(Circuits!$A:$A))))</f>
        <v>-</v>
      </c>
      <c r="C125" s="183" t="str">
        <f t="array" ref="C125">IF(ISBLANK($AE125), "-",INDEX(Circuits!B:B,SUMPRODUCT(EXACT($AE125,Circuits!$A:$A)*ROW(Circuits!$A:$A))))</f>
        <v>-</v>
      </c>
      <c r="D125" s="183" t="str">
        <f t="array" ref="D125">IF(ISBLANK($AE125), "-",INDEX(Circuits!C:C,SUMPRODUCT(EXACT($AE125,Circuits!$A:$A)*ROW(Circuits!$A:$A))))</f>
        <v>-</v>
      </c>
      <c r="E125" s="183" t="str">
        <f t="array" ref="E125">IF(ISBLANK($AE125), "-",INDEX(Circuits!D:D,SUMPRODUCT(EXACT($AE125,Circuits!$A:$A)*ROW(Circuits!$A:$A))))</f>
        <v>-</v>
      </c>
      <c r="F125" s="183" t="str">
        <f t="array" ref="F125">IF(ISBLANK($AE125), "-",INDEX(Circuits!E:E,SUMPRODUCT(EXACT($AE125,Circuits!$A:$A)*ROW(Circuits!$A:$A))))</f>
        <v>-</v>
      </c>
      <c r="G125" s="183" t="str">
        <f t="array" ref="G125">IF(ISBLANK($AE125), "-",INDEX(Circuits!F:F,SUMPRODUCT(EXACT($AE125,Circuits!$A:$A)*ROW(Circuits!$A:$A))))</f>
        <v>-</v>
      </c>
      <c r="H125" s="183" t="str">
        <f t="array" ref="H125">IF(ISBLANK($AE125), "-",INDEX(Circuits!G:G,SUMPRODUCT(EXACT($AE125,Circuits!$A:$A)*ROW(Circuits!$A:$A))))</f>
        <v>-</v>
      </c>
      <c r="I125" s="183" t="str">
        <f t="array" ref="I125">IF(ISBLANK($AE125), "-",INDEX(Circuits!H:H,SUMPRODUCT(EXACT($AE125,Circuits!$A:$A)*ROW(Circuits!$A:$A))))</f>
        <v>-</v>
      </c>
      <c r="J125" s="183" t="str">
        <f t="array" ref="J125">IF(ISBLANK($AE125), "-",INDEX(Circuits!I:I,SUMPRODUCT(EXACT($AE125,Circuits!$A:$A)*ROW(Circuits!$A:$A))))</f>
        <v>-</v>
      </c>
      <c r="K125" s="183" t="str">
        <f t="array" ref="K125">IF(ISBLANK($AE125), "-",INDEX(Circuits!J:J,SUMPRODUCT(EXACT($AE125,Circuits!$A:$A)*ROW(Circuits!$A:$A))))</f>
        <v>-</v>
      </c>
      <c r="L125" s="183" t="str">
        <f t="array" ref="L125">IF(ISBLANK($AE125), "-",INDEX(Circuits!K:K,SUMPRODUCT(EXACT($AE125,Circuits!$A:$A)*ROW(Circuits!$A:$A))))</f>
        <v>-</v>
      </c>
      <c r="M125" s="183" t="str">
        <f t="array" ref="M125">IF(ISBLANK($AE125), "-",INDEX(Circuits!L:L,SUMPRODUCT(EXACT($AE125,Circuits!$A:$A)*ROW(Circuits!$A:$A))))</f>
        <v>-</v>
      </c>
      <c r="N125" s="183" t="str">
        <f t="array" ref="N125">IF(ISBLANK($AE125), "-",INDEX(Circuits!M:M,SUMPRODUCT(EXACT($AE125,Circuits!$A:$A)*ROW(Circuits!$A:$A))))</f>
        <v>-</v>
      </c>
      <c r="O125" s="183" t="str">
        <f t="array" ref="O125">IF(ISBLANK($AE125), "-",INDEX(Circuits!N:N,SUMPRODUCT(EXACT($AE125,Circuits!$A:$A)*ROW(Circuits!$A:$A))))</f>
        <v>-</v>
      </c>
      <c r="P125" s="183" t="str">
        <f t="array" ref="P125">IF(ISBLANK($AE125), "-",INDEX(Circuits!O:O,SUMPRODUCT(EXACT($AE125,Circuits!$A:$A)*ROW(Circuits!$A:$A))))</f>
        <v>-</v>
      </c>
      <c r="Q125" s="183" t="str">
        <f t="array" ref="Q125">IF(ISBLANK($AE125), "-",INDEX(Circuits!P:P,SUMPRODUCT(EXACT($AE125,Circuits!$A:$A)*ROW(Circuits!$A:$A))))</f>
        <v>-</v>
      </c>
      <c r="R125" s="183" t="str">
        <f t="array" ref="R125">IF(ISBLANK($AE125), "-",INDEX(Circuits!Q:Q,SUMPRODUCT(EXACT($AE125,Circuits!$A:$A)*ROW(Circuits!$A:$A))))</f>
        <v>-</v>
      </c>
      <c r="S125" s="183" t="str">
        <f t="array" ref="S125">IF(ISBLANK($AE125), "-",INDEX(Circuits!R:R,SUMPRODUCT(EXACT($AE125,Circuits!$A:$A)*ROW(Circuits!$A:$A))))</f>
        <v>-</v>
      </c>
      <c r="T125" s="183" t="str">
        <f t="array" ref="T125">IF(ISBLANK($AE125), "-",INDEX(Circuits!S:S,SUMPRODUCT(EXACT($AE125,Circuits!$A:$A)*ROW(Circuits!$A:$A))))</f>
        <v>-</v>
      </c>
      <c r="U125" s="183" t="str">
        <f t="array" ref="U125">IF(ISBLANK($AE125), "-",INDEX(Circuits!T:T,SUMPRODUCT(EXACT($AE125,Circuits!$A:$A)*ROW(Circuits!$A:$A))))</f>
        <v>-</v>
      </c>
      <c r="V125" s="183" t="str">
        <f t="array" ref="V125">IF(ISBLANK($AE125), "-",INDEX(Circuits!U:U,SUMPRODUCT(EXACT($AE125,Circuits!$A:$A)*ROW(Circuits!$A:$A))))</f>
        <v>-</v>
      </c>
      <c r="W125" s="183" t="str">
        <f t="array" ref="W125">IF(ISBLANK($AE125), "-",INDEX(Circuits!V:V,SUMPRODUCT(EXACT($AE125,Circuits!$A:$A)*ROW(Circuits!$A:$A))))</f>
        <v>-</v>
      </c>
      <c r="X125" s="183" t="str">
        <f t="array" ref="X125">IF(ISBLANK($AE125), "-",INDEX(Circuits!W:W,SUMPRODUCT(EXACT($AE125,Circuits!$A:$A)*ROW(Circuits!$A:$A))))</f>
        <v>-</v>
      </c>
      <c r="Y125" s="183" t="str">
        <f t="array" ref="Y125">IF(ISBLANK($AE125), "-",INDEX(Circuits!X:X,SUMPRODUCT(EXACT($AE125,Circuits!$A:$A)*ROW(Circuits!$A:$A))))</f>
        <v>-</v>
      </c>
      <c r="Z125" s="108" t="str">
        <f>IFERROR(__xludf.DUMMYFUNCTION("IFNA(CONCATENATE(UNIQUE(FILTER(Connections!R:R,Connections!A:A=B125))),""-"")"),"-")</f>
        <v>-</v>
      </c>
      <c r="AA125" s="119" t="str">
        <f t="array" ref="AA125">IF(ISBLANK($AE125), "-",INDEX(Circuits!Y:Y,SUMPRODUCT(EXACT($AE125,Circuits!$A:$A)*ROW(Circuits!$A:$A))))</f>
        <v>-</v>
      </c>
      <c r="AB125" s="121" t="str">
        <f t="array" ref="AB125">IF(ISBLANK($AE125), "-",INDEX(Circuits!Z:Z,SUMPRODUCT(EXACT($AE125,Circuits!$A:$A)*ROW(Circuits!$A:$A))))</f>
        <v>-</v>
      </c>
      <c r="AC125" s="194"/>
      <c r="AD125" s="194"/>
      <c r="AE125" s="40"/>
      <c r="AF125" s="43"/>
      <c r="AG125" s="126" t="str">
        <f>IFERROR(__xludf.DUMMYFUNCTION("IF(ISBLANK(AF125), """", TEXTJOIN(CHAR(10),TRUE,ARRAYFORMULA(IF(ISERROR(SEARCH(SPLIT(AF125, "";""), $Z125)), ""x"", ""-""))))"),"")</f>
        <v/>
      </c>
      <c r="AH125" s="127" t="str">
        <f>IFERROR(__xludf.DUMMYFUNCTION("IF(ISBLANK(AK125), """", TEXTJOIN("";"" &amp; CHAR(10), TRUE, UNIQUE(SPLIT(AK125, "";"" &amp; CHAR(10)), TRUE))&amp;"";"")"),"")</f>
        <v/>
      </c>
      <c r="AI125" s="128" t="str">
        <f>IFERROR(__xludf.DUMMYFUNCTION("IF(ISBLANK(AD125), IF(ISBLANK(AE125),,IFNA(TEXTJOIN("";"" &amp; CHAR(10), TRUE, FILTER(AE:AE, SEARCH(AE125&amp;"";"", AJ:AJ)))&amp;"";"", """")), TEXTJOIN("";"" &amp; CHAR(10), TRUE, UNIQUE(SPLIT(AH125 &amp; "";"" &amp; AH125 &amp; "";"" &amp; AL125, "";"" &amp; CHAR(10)), TRUE, TRUE))&amp;"";"&amp;""")"),"")</f>
        <v/>
      </c>
      <c r="AJ125" s="126" t="str">
        <f>IFERROR(__xludf.DUMMYFUNCTION("IF(AN125="""", """", TEXTJOIN("";"" &amp; CHAR(10), TRUE, UNIQUE(SPLIT(AH125 &amp; "";"" &amp; AH125 &amp; "";"" &amp; AN125, "";"" &amp; CHAR(10)), TRUE, TRUE))&amp;"";"")"),"")</f>
        <v/>
      </c>
      <c r="AK125" s="129" t="str">
        <f>IFERROR(__xludf.DUMMYFUNCTION("IF(ISBLANK(AD125), IF(ISBLANK(AE125),,AE125 &amp; "";""), TEXTJOIN(CHAR(10), TRUE, ARRAYFORMULA(VLOOKUP(SPLIT(AD125, "";"" &amp; CHAR(10)), $AC:$AH, 6, FALSE))))"),"")</f>
        <v/>
      </c>
      <c r="AL125" s="130" t="str">
        <f>IFERROR(__xludf.DUMMYFUNCTION("IF(AM125="""", """", TEXTJOIN("";"" &amp; CHAR(10), TRUE, UNIQUE(SPLIT(AM125, "";"" &amp; CHAR(10)), TRUE))&amp;"";"")"),"")</f>
        <v/>
      </c>
      <c r="AM125" s="130" t="str">
        <f>IFERROR(__xludf.DUMMYFUNCTION("IF(ISBLANK(AD125), """", TEXTJOIN(CHAR(10), TRUE, ARRAYFORMULA(VLOOKUP(SPLIT(AH125, "";"" &amp; CHAR(10)), $AE:$AI, 5, FALSE)), AF125))"),"")</f>
        <v/>
      </c>
      <c r="AN125" s="132" t="str">
        <f>IFERROR(__xludf.DUMMYFUNCTION("IF(ISBLANK(AO125), """", TEXTJOIN("";"" &amp; CHAR(10), TRUE, UNIQUE(SPLIT(AO125, "";"" &amp; CHAR(10)), TRUE))&amp;"";"")"),"")</f>
        <v/>
      </c>
      <c r="AO125" s="134" t="str">
        <f>IFERROR(__xludf.DUMMYFUNCTION("IF(ISBLANK(AD125), AF125, TEXTJOIN(CHAR(10), TRUE, ARRAYFORMULA(VLOOKUP(SPLIT(AD125, "";"" &amp; CHAR(10)), $AC:$AN, 12, FALSE))))"),"")</f>
        <v/>
      </c>
      <c r="AP125" s="130" t="str">
        <f>IF(ISBLANK(AE125),,IF(IFERROR(SEARCH(AE125&amp;";",Circuits!$AO$2),0),TRUE,FALSE))</f>
        <v/>
      </c>
      <c r="AQ125" s="130" t="str">
        <f t="shared" si="2"/>
        <v/>
      </c>
      <c r="AR125" s="130" t="str">
        <f t="shared" si="3"/>
        <v/>
      </c>
      <c r="AS125" s="136" t="str">
        <f>IFERROR(__xludf.DUMMYFUNCTION("IF(AH125="""",,SUM(ARRAYFORMULA(IF(IFERROR(SEARCH(SPLIT(AH125,CHAR(10)),Circuits!$AO$2),0)&gt;0,0,1))))"),"")</f>
        <v/>
      </c>
      <c r="AT125" s="138" t="str">
        <f t="shared" si="4"/>
        <v/>
      </c>
      <c r="AU125" s="138" t="str">
        <f t="shared" si="5"/>
        <v/>
      </c>
      <c r="AV125" s="130" t="str">
        <f>IFERROR(__xludf.DUMMYFUNCTION("IF(AI125="""",,TEXTJOIN("", "",TRUE,ARRAYFORMULA(VLOOKUP(SPLIT(AI125,"";""&amp;CHAR(10)),AE:AT,16,FALSE))))"),"")</f>
        <v/>
      </c>
      <c r="AW125" s="130" t="str">
        <f>IFERROR(__xludf.DUMMYFUNCTION("IF(ISBLANK(BK125),,TEXTJOIN("", "",TRUE,ARRAYFORMULA(VLOOKUP(IFERROR(REGEXEXTRACT(SPLIT(BK125,"";""&amp;CHAR(10)),""\[(.+)\]"")),AE:AT,16,false))))"),"")</f>
        <v/>
      </c>
      <c r="AX125" s="139" t="str">
        <f t="shared" si="6"/>
        <v/>
      </c>
      <c r="AY125" s="139" t="str">
        <f t="shared" si="7"/>
        <v/>
      </c>
      <c r="AZ125" s="106" t="str">
        <f>IFERROR(__xludf.DUMMYFUNCTION("IF(ISBLANK(AD125), BC125, TEXTJOIN(CHAR(10) &amp; CHAR(10), TRUE, ARRAYFORMULA(VLOOKUP(SPLIT(AD125, "";"" &amp; CHAR(10)), $AC:$AY, 23, FALSE))))"),"")</f>
        <v/>
      </c>
      <c r="BA125" s="140" t="s">
        <v>66</v>
      </c>
      <c r="BB125" s="190"/>
      <c r="BC125" s="196"/>
      <c r="BD125" s="106" t="str">
        <f>IFERROR(__xludf.DUMMYFUNCTION("IF(IFERROR(SEARCH(""&lt;&lt;mechanism to realize the capability&gt;&gt;"",BA125),0)=0,
 ""!! Error !! “Capability&amp;Mechanism” column: Invalid Separator:"" &amp; CHAR(10) &amp; ""Insert separator “&lt;&lt;mechanism to realize the capability&gt;&gt;.”"",
 IF(
  LEN(TRIM(CLEAN(
    INDEX(
 "&amp;"     SPLIT(BA125,""&lt;&lt;mechanism to realize the capability&gt;&gt;"",FALSE,FALSE),
      1
    )
  )))=0,
  ""!! Error !! “Capability&amp;Mechanism” column: No Capability:""  &amp; CHAR(10) &amp; ""Describe Capability before separator."",
  INDEX(
    SPLIT(BA125,""&lt;&lt;mechani"&amp;"sm to realize the capability&gt;&gt;"",FALSE,FALSE),
    1
  )
 )
)
"),"!! Error !! “Capability&amp;Mechanism” column: No Capability:
Describe Capability before separator.")</f>
        <v>!! Error !! “Capability&amp;Mechanism” column: No Capability:
Describe Capability before separator.</v>
      </c>
      <c r="BE125" s="190"/>
      <c r="BF125" s="195"/>
      <c r="BG125" s="42"/>
      <c r="BH125" s="190"/>
      <c r="BI125" s="196"/>
      <c r="BJ125" s="42"/>
      <c r="BK125" s="42"/>
      <c r="BL125" s="203"/>
      <c r="BM125" s="203"/>
      <c r="BN125" s="42"/>
      <c r="BO125" s="42"/>
      <c r="BP125" s="143"/>
      <c r="BQ125" s="143"/>
      <c r="BR125" s="192"/>
      <c r="BS125" s="192"/>
      <c r="BT125" s="192"/>
      <c r="BU125" s="192"/>
      <c r="BV125" s="192"/>
      <c r="BW125" s="192"/>
      <c r="BX125" s="146" t="str">
        <f t="shared" si="8"/>
        <v/>
      </c>
    </row>
    <row r="126">
      <c r="A126" s="106" t="str">
        <f t="shared" si="1"/>
        <v/>
      </c>
      <c r="B126" s="183" t="str">
        <f t="array" ref="B126">IF(ISBLANK($AE126), "-",INDEX(Circuits!A:A,SUMPRODUCT(EXACT($AE126,Circuits!$A:$A)*ROW(Circuits!$A:$A))))</f>
        <v>-</v>
      </c>
      <c r="C126" s="183" t="str">
        <f t="array" ref="C126">IF(ISBLANK($AE126), "-",INDEX(Circuits!B:B,SUMPRODUCT(EXACT($AE126,Circuits!$A:$A)*ROW(Circuits!$A:$A))))</f>
        <v>-</v>
      </c>
      <c r="D126" s="183" t="str">
        <f t="array" ref="D126">IF(ISBLANK($AE126), "-",INDEX(Circuits!C:C,SUMPRODUCT(EXACT($AE126,Circuits!$A:$A)*ROW(Circuits!$A:$A))))</f>
        <v>-</v>
      </c>
      <c r="E126" s="183" t="str">
        <f t="array" ref="E126">IF(ISBLANK($AE126), "-",INDEX(Circuits!D:D,SUMPRODUCT(EXACT($AE126,Circuits!$A:$A)*ROW(Circuits!$A:$A))))</f>
        <v>-</v>
      </c>
      <c r="F126" s="183" t="str">
        <f t="array" ref="F126">IF(ISBLANK($AE126), "-",INDEX(Circuits!E:E,SUMPRODUCT(EXACT($AE126,Circuits!$A:$A)*ROW(Circuits!$A:$A))))</f>
        <v>-</v>
      </c>
      <c r="G126" s="183" t="str">
        <f t="array" ref="G126">IF(ISBLANK($AE126), "-",INDEX(Circuits!F:F,SUMPRODUCT(EXACT($AE126,Circuits!$A:$A)*ROW(Circuits!$A:$A))))</f>
        <v>-</v>
      </c>
      <c r="H126" s="183" t="str">
        <f t="array" ref="H126">IF(ISBLANK($AE126), "-",INDEX(Circuits!G:G,SUMPRODUCT(EXACT($AE126,Circuits!$A:$A)*ROW(Circuits!$A:$A))))</f>
        <v>-</v>
      </c>
      <c r="I126" s="183" t="str">
        <f t="array" ref="I126">IF(ISBLANK($AE126), "-",INDEX(Circuits!H:H,SUMPRODUCT(EXACT($AE126,Circuits!$A:$A)*ROW(Circuits!$A:$A))))</f>
        <v>-</v>
      </c>
      <c r="J126" s="183" t="str">
        <f t="array" ref="J126">IF(ISBLANK($AE126), "-",INDEX(Circuits!I:I,SUMPRODUCT(EXACT($AE126,Circuits!$A:$A)*ROW(Circuits!$A:$A))))</f>
        <v>-</v>
      </c>
      <c r="K126" s="183" t="str">
        <f t="array" ref="K126">IF(ISBLANK($AE126), "-",INDEX(Circuits!J:J,SUMPRODUCT(EXACT($AE126,Circuits!$A:$A)*ROW(Circuits!$A:$A))))</f>
        <v>-</v>
      </c>
      <c r="L126" s="183" t="str">
        <f t="array" ref="L126">IF(ISBLANK($AE126), "-",INDEX(Circuits!K:K,SUMPRODUCT(EXACT($AE126,Circuits!$A:$A)*ROW(Circuits!$A:$A))))</f>
        <v>-</v>
      </c>
      <c r="M126" s="183" t="str">
        <f t="array" ref="M126">IF(ISBLANK($AE126), "-",INDEX(Circuits!L:L,SUMPRODUCT(EXACT($AE126,Circuits!$A:$A)*ROW(Circuits!$A:$A))))</f>
        <v>-</v>
      </c>
      <c r="N126" s="183" t="str">
        <f t="array" ref="N126">IF(ISBLANK($AE126), "-",INDEX(Circuits!M:M,SUMPRODUCT(EXACT($AE126,Circuits!$A:$A)*ROW(Circuits!$A:$A))))</f>
        <v>-</v>
      </c>
      <c r="O126" s="183" t="str">
        <f t="array" ref="O126">IF(ISBLANK($AE126), "-",INDEX(Circuits!N:N,SUMPRODUCT(EXACT($AE126,Circuits!$A:$A)*ROW(Circuits!$A:$A))))</f>
        <v>-</v>
      </c>
      <c r="P126" s="183" t="str">
        <f t="array" ref="P126">IF(ISBLANK($AE126), "-",INDEX(Circuits!O:O,SUMPRODUCT(EXACT($AE126,Circuits!$A:$A)*ROW(Circuits!$A:$A))))</f>
        <v>-</v>
      </c>
      <c r="Q126" s="183" t="str">
        <f t="array" ref="Q126">IF(ISBLANK($AE126), "-",INDEX(Circuits!P:P,SUMPRODUCT(EXACT($AE126,Circuits!$A:$A)*ROW(Circuits!$A:$A))))</f>
        <v>-</v>
      </c>
      <c r="R126" s="183" t="str">
        <f t="array" ref="R126">IF(ISBLANK($AE126), "-",INDEX(Circuits!Q:Q,SUMPRODUCT(EXACT($AE126,Circuits!$A:$A)*ROW(Circuits!$A:$A))))</f>
        <v>-</v>
      </c>
      <c r="S126" s="183" t="str">
        <f t="array" ref="S126">IF(ISBLANK($AE126), "-",INDEX(Circuits!R:R,SUMPRODUCT(EXACT($AE126,Circuits!$A:$A)*ROW(Circuits!$A:$A))))</f>
        <v>-</v>
      </c>
      <c r="T126" s="183" t="str">
        <f t="array" ref="T126">IF(ISBLANK($AE126), "-",INDEX(Circuits!S:S,SUMPRODUCT(EXACT($AE126,Circuits!$A:$A)*ROW(Circuits!$A:$A))))</f>
        <v>-</v>
      </c>
      <c r="U126" s="183" t="str">
        <f t="array" ref="U126">IF(ISBLANK($AE126), "-",INDEX(Circuits!T:T,SUMPRODUCT(EXACT($AE126,Circuits!$A:$A)*ROW(Circuits!$A:$A))))</f>
        <v>-</v>
      </c>
      <c r="V126" s="183" t="str">
        <f t="array" ref="V126">IF(ISBLANK($AE126), "-",INDEX(Circuits!U:U,SUMPRODUCT(EXACT($AE126,Circuits!$A:$A)*ROW(Circuits!$A:$A))))</f>
        <v>-</v>
      </c>
      <c r="W126" s="183" t="str">
        <f t="array" ref="W126">IF(ISBLANK($AE126), "-",INDEX(Circuits!V:V,SUMPRODUCT(EXACT($AE126,Circuits!$A:$A)*ROW(Circuits!$A:$A))))</f>
        <v>-</v>
      </c>
      <c r="X126" s="183" t="str">
        <f t="array" ref="X126">IF(ISBLANK($AE126), "-",INDEX(Circuits!W:W,SUMPRODUCT(EXACT($AE126,Circuits!$A:$A)*ROW(Circuits!$A:$A))))</f>
        <v>-</v>
      </c>
      <c r="Y126" s="183" t="str">
        <f t="array" ref="Y126">IF(ISBLANK($AE126), "-",INDEX(Circuits!X:X,SUMPRODUCT(EXACT($AE126,Circuits!$A:$A)*ROW(Circuits!$A:$A))))</f>
        <v>-</v>
      </c>
      <c r="Z126" s="108" t="str">
        <f>IFERROR(__xludf.DUMMYFUNCTION("IFNA(CONCATENATE(UNIQUE(FILTER(Connections!R:R,Connections!A:A=B126))),""-"")"),"-")</f>
        <v>-</v>
      </c>
      <c r="AA126" s="119" t="str">
        <f t="array" ref="AA126">IF(ISBLANK($AE126), "-",INDEX(Circuits!Y:Y,SUMPRODUCT(EXACT($AE126,Circuits!$A:$A)*ROW(Circuits!$A:$A))))</f>
        <v>-</v>
      </c>
      <c r="AB126" s="121" t="str">
        <f t="array" ref="AB126">IF(ISBLANK($AE126), "-",INDEX(Circuits!Z:Z,SUMPRODUCT(EXACT($AE126,Circuits!$A:$A)*ROW(Circuits!$A:$A))))</f>
        <v>-</v>
      </c>
      <c r="AC126" s="194"/>
      <c r="AD126" s="194"/>
      <c r="AE126" s="40"/>
      <c r="AF126" s="43"/>
      <c r="AG126" s="126" t="str">
        <f>IFERROR(__xludf.DUMMYFUNCTION("IF(ISBLANK(AF126), """", TEXTJOIN(CHAR(10),TRUE,ARRAYFORMULA(IF(ISERROR(SEARCH(SPLIT(AF126, "";""), $Z126)), ""x"", ""-""))))"),"")</f>
        <v/>
      </c>
      <c r="AH126" s="127" t="str">
        <f>IFERROR(__xludf.DUMMYFUNCTION("IF(ISBLANK(AK126), """", TEXTJOIN("";"" &amp; CHAR(10), TRUE, UNIQUE(SPLIT(AK126, "";"" &amp; CHAR(10)), TRUE))&amp;"";"")"),"")</f>
        <v/>
      </c>
      <c r="AI126" s="128" t="str">
        <f>IFERROR(__xludf.DUMMYFUNCTION("IF(ISBLANK(AD126), IF(ISBLANK(AE126),,IFNA(TEXTJOIN("";"" &amp; CHAR(10), TRUE, FILTER(AE:AE, SEARCH(AE126&amp;"";"", AJ:AJ)))&amp;"";"", """")), TEXTJOIN("";"" &amp; CHAR(10), TRUE, UNIQUE(SPLIT(AH126 &amp; "";"" &amp; AH126 &amp; "";"" &amp; AL126, "";"" &amp; CHAR(10)), TRUE, TRUE))&amp;"";"&amp;""")"),"")</f>
        <v/>
      </c>
      <c r="AJ126" s="126" t="str">
        <f>IFERROR(__xludf.DUMMYFUNCTION("IF(AN126="""", """", TEXTJOIN("";"" &amp; CHAR(10), TRUE, UNIQUE(SPLIT(AH126 &amp; "";"" &amp; AH126 &amp; "";"" &amp; AN126, "";"" &amp; CHAR(10)), TRUE, TRUE))&amp;"";"")"),"")</f>
        <v/>
      </c>
      <c r="AK126" s="129" t="str">
        <f>IFERROR(__xludf.DUMMYFUNCTION("IF(ISBLANK(AD126), IF(ISBLANK(AE126),,AE126 &amp; "";""), TEXTJOIN(CHAR(10), TRUE, ARRAYFORMULA(VLOOKUP(SPLIT(AD126, "";"" &amp; CHAR(10)), $AC:$AH, 6, FALSE))))"),"")</f>
        <v/>
      </c>
      <c r="AL126" s="130" t="str">
        <f>IFERROR(__xludf.DUMMYFUNCTION("IF(AM126="""", """", TEXTJOIN("";"" &amp; CHAR(10), TRUE, UNIQUE(SPLIT(AM126, "";"" &amp; CHAR(10)), TRUE))&amp;"";"")"),"")</f>
        <v/>
      </c>
      <c r="AM126" s="130" t="str">
        <f>IFERROR(__xludf.DUMMYFUNCTION("IF(ISBLANK(AD126), """", TEXTJOIN(CHAR(10), TRUE, ARRAYFORMULA(VLOOKUP(SPLIT(AH126, "";"" &amp; CHAR(10)), $AE:$AI, 5, FALSE)), AF126))"),"")</f>
        <v/>
      </c>
      <c r="AN126" s="132" t="str">
        <f>IFERROR(__xludf.DUMMYFUNCTION("IF(ISBLANK(AO126), """", TEXTJOIN("";"" &amp; CHAR(10), TRUE, UNIQUE(SPLIT(AO126, "";"" &amp; CHAR(10)), TRUE))&amp;"";"")"),"")</f>
        <v/>
      </c>
      <c r="AO126" s="134" t="str">
        <f>IFERROR(__xludf.DUMMYFUNCTION("IF(ISBLANK(AD126), AF126, TEXTJOIN(CHAR(10), TRUE, ARRAYFORMULA(VLOOKUP(SPLIT(AD126, "";"" &amp; CHAR(10)), $AC:$AN, 12, FALSE))))"),"")</f>
        <v/>
      </c>
      <c r="AP126" s="130" t="str">
        <f>IF(ISBLANK(AE126),,IF(IFERROR(SEARCH(AE126&amp;";",Circuits!$AO$2),0),TRUE,FALSE))</f>
        <v/>
      </c>
      <c r="AQ126" s="130" t="str">
        <f t="shared" si="2"/>
        <v/>
      </c>
      <c r="AR126" s="130" t="str">
        <f t="shared" si="3"/>
        <v/>
      </c>
      <c r="AS126" s="136" t="str">
        <f>IFERROR(__xludf.DUMMYFUNCTION("IF(AH126="""",,SUM(ARRAYFORMULA(IF(IFERROR(SEARCH(SPLIT(AH126,CHAR(10)),Circuits!$AO$2),0)&gt;0,0,1))))"),"")</f>
        <v/>
      </c>
      <c r="AT126" s="138" t="str">
        <f t="shared" si="4"/>
        <v/>
      </c>
      <c r="AU126" s="138" t="str">
        <f t="shared" si="5"/>
        <v/>
      </c>
      <c r="AV126" s="130" t="str">
        <f>IFERROR(__xludf.DUMMYFUNCTION("IF(AI126="""",,TEXTJOIN("", "",TRUE,ARRAYFORMULA(VLOOKUP(SPLIT(AI126,"";""&amp;CHAR(10)),AE:AT,16,FALSE))))"),"")</f>
        <v/>
      </c>
      <c r="AW126" s="130" t="str">
        <f>IFERROR(__xludf.DUMMYFUNCTION("IF(ISBLANK(BK126),,TEXTJOIN("", "",TRUE,ARRAYFORMULA(VLOOKUP(IFERROR(REGEXEXTRACT(SPLIT(BK126,"";""&amp;CHAR(10)),""\[(.+)\]"")),AE:AT,16,false))))"),"")</f>
        <v/>
      </c>
      <c r="AX126" s="139" t="str">
        <f t="shared" si="6"/>
        <v/>
      </c>
      <c r="AY126" s="139" t="str">
        <f t="shared" si="7"/>
        <v/>
      </c>
      <c r="AZ126" s="106" t="str">
        <f>IFERROR(__xludf.DUMMYFUNCTION("IF(ISBLANK(AD126), BC126, TEXTJOIN(CHAR(10) &amp; CHAR(10), TRUE, ARRAYFORMULA(VLOOKUP(SPLIT(AD126, "";"" &amp; CHAR(10)), $AC:$AY, 23, FALSE))))"),"")</f>
        <v/>
      </c>
      <c r="BA126" s="140" t="s">
        <v>66</v>
      </c>
      <c r="BB126" s="190"/>
      <c r="BC126" s="196"/>
      <c r="BD126" s="106" t="str">
        <f>IFERROR(__xludf.DUMMYFUNCTION("IF(IFERROR(SEARCH(""&lt;&lt;mechanism to realize the capability&gt;&gt;"",BA126),0)=0,
 ""!! Error !! “Capability&amp;Mechanism” column: Invalid Separator:"" &amp; CHAR(10) &amp; ""Insert separator “&lt;&lt;mechanism to realize the capability&gt;&gt;.”"",
 IF(
  LEN(TRIM(CLEAN(
    INDEX(
 "&amp;"     SPLIT(BA126,""&lt;&lt;mechanism to realize the capability&gt;&gt;"",FALSE,FALSE),
      1
    )
  )))=0,
  ""!! Error !! “Capability&amp;Mechanism” column: No Capability:""  &amp; CHAR(10) &amp; ""Describe Capability before separator."",
  INDEX(
    SPLIT(BA126,""&lt;&lt;mechani"&amp;"sm to realize the capability&gt;&gt;"",FALSE,FALSE),
    1
  )
 )
)
"),"!! Error !! “Capability&amp;Mechanism” column: No Capability:
Describe Capability before separator.")</f>
        <v>!! Error !! “Capability&amp;Mechanism” column: No Capability:
Describe Capability before separator.</v>
      </c>
      <c r="BE126" s="190"/>
      <c r="BF126" s="195"/>
      <c r="BG126" s="42"/>
      <c r="BH126" s="190"/>
      <c r="BI126" s="196"/>
      <c r="BJ126" s="42"/>
      <c r="BK126" s="42"/>
      <c r="BL126" s="203"/>
      <c r="BM126" s="203"/>
      <c r="BN126" s="42"/>
      <c r="BO126" s="42"/>
      <c r="BP126" s="143"/>
      <c r="BQ126" s="143"/>
      <c r="BR126" s="192"/>
      <c r="BS126" s="192"/>
      <c r="BT126" s="192"/>
      <c r="BU126" s="192"/>
      <c r="BV126" s="192"/>
      <c r="BW126" s="192"/>
      <c r="BX126" s="146" t="str">
        <f t="shared" si="8"/>
        <v/>
      </c>
    </row>
    <row r="127">
      <c r="A127" s="106" t="str">
        <f t="shared" si="1"/>
        <v/>
      </c>
      <c r="B127" s="183" t="str">
        <f t="array" ref="B127">IF(ISBLANK($AE127), "-",INDEX(Circuits!A:A,SUMPRODUCT(EXACT($AE127,Circuits!$A:$A)*ROW(Circuits!$A:$A))))</f>
        <v>-</v>
      </c>
      <c r="C127" s="183" t="str">
        <f t="array" ref="C127">IF(ISBLANK($AE127), "-",INDEX(Circuits!B:B,SUMPRODUCT(EXACT($AE127,Circuits!$A:$A)*ROW(Circuits!$A:$A))))</f>
        <v>-</v>
      </c>
      <c r="D127" s="183" t="str">
        <f t="array" ref="D127">IF(ISBLANK($AE127), "-",INDEX(Circuits!C:C,SUMPRODUCT(EXACT($AE127,Circuits!$A:$A)*ROW(Circuits!$A:$A))))</f>
        <v>-</v>
      </c>
      <c r="E127" s="183" t="str">
        <f t="array" ref="E127">IF(ISBLANK($AE127), "-",INDEX(Circuits!D:D,SUMPRODUCT(EXACT($AE127,Circuits!$A:$A)*ROW(Circuits!$A:$A))))</f>
        <v>-</v>
      </c>
      <c r="F127" s="183" t="str">
        <f t="array" ref="F127">IF(ISBLANK($AE127), "-",INDEX(Circuits!E:E,SUMPRODUCT(EXACT($AE127,Circuits!$A:$A)*ROW(Circuits!$A:$A))))</f>
        <v>-</v>
      </c>
      <c r="G127" s="183" t="str">
        <f t="array" ref="G127">IF(ISBLANK($AE127), "-",INDEX(Circuits!F:F,SUMPRODUCT(EXACT($AE127,Circuits!$A:$A)*ROW(Circuits!$A:$A))))</f>
        <v>-</v>
      </c>
      <c r="H127" s="183" t="str">
        <f t="array" ref="H127">IF(ISBLANK($AE127), "-",INDEX(Circuits!G:G,SUMPRODUCT(EXACT($AE127,Circuits!$A:$A)*ROW(Circuits!$A:$A))))</f>
        <v>-</v>
      </c>
      <c r="I127" s="183" t="str">
        <f t="array" ref="I127">IF(ISBLANK($AE127), "-",INDEX(Circuits!H:H,SUMPRODUCT(EXACT($AE127,Circuits!$A:$A)*ROW(Circuits!$A:$A))))</f>
        <v>-</v>
      </c>
      <c r="J127" s="183" t="str">
        <f t="array" ref="J127">IF(ISBLANK($AE127), "-",INDEX(Circuits!I:I,SUMPRODUCT(EXACT($AE127,Circuits!$A:$A)*ROW(Circuits!$A:$A))))</f>
        <v>-</v>
      </c>
      <c r="K127" s="183" t="str">
        <f t="array" ref="K127">IF(ISBLANK($AE127), "-",INDEX(Circuits!J:J,SUMPRODUCT(EXACT($AE127,Circuits!$A:$A)*ROW(Circuits!$A:$A))))</f>
        <v>-</v>
      </c>
      <c r="L127" s="183" t="str">
        <f t="array" ref="L127">IF(ISBLANK($AE127), "-",INDEX(Circuits!K:K,SUMPRODUCT(EXACT($AE127,Circuits!$A:$A)*ROW(Circuits!$A:$A))))</f>
        <v>-</v>
      </c>
      <c r="M127" s="183" t="str">
        <f t="array" ref="M127">IF(ISBLANK($AE127), "-",INDEX(Circuits!L:L,SUMPRODUCT(EXACT($AE127,Circuits!$A:$A)*ROW(Circuits!$A:$A))))</f>
        <v>-</v>
      </c>
      <c r="N127" s="183" t="str">
        <f t="array" ref="N127">IF(ISBLANK($AE127), "-",INDEX(Circuits!M:M,SUMPRODUCT(EXACT($AE127,Circuits!$A:$A)*ROW(Circuits!$A:$A))))</f>
        <v>-</v>
      </c>
      <c r="O127" s="183" t="str">
        <f t="array" ref="O127">IF(ISBLANK($AE127), "-",INDEX(Circuits!N:N,SUMPRODUCT(EXACT($AE127,Circuits!$A:$A)*ROW(Circuits!$A:$A))))</f>
        <v>-</v>
      </c>
      <c r="P127" s="183" t="str">
        <f t="array" ref="P127">IF(ISBLANK($AE127), "-",INDEX(Circuits!O:O,SUMPRODUCT(EXACT($AE127,Circuits!$A:$A)*ROW(Circuits!$A:$A))))</f>
        <v>-</v>
      </c>
      <c r="Q127" s="183" t="str">
        <f t="array" ref="Q127">IF(ISBLANK($AE127), "-",INDEX(Circuits!P:P,SUMPRODUCT(EXACT($AE127,Circuits!$A:$A)*ROW(Circuits!$A:$A))))</f>
        <v>-</v>
      </c>
      <c r="R127" s="183" t="str">
        <f t="array" ref="R127">IF(ISBLANK($AE127), "-",INDEX(Circuits!Q:Q,SUMPRODUCT(EXACT($AE127,Circuits!$A:$A)*ROW(Circuits!$A:$A))))</f>
        <v>-</v>
      </c>
      <c r="S127" s="183" t="str">
        <f t="array" ref="S127">IF(ISBLANK($AE127), "-",INDEX(Circuits!R:R,SUMPRODUCT(EXACT($AE127,Circuits!$A:$A)*ROW(Circuits!$A:$A))))</f>
        <v>-</v>
      </c>
      <c r="T127" s="183" t="str">
        <f t="array" ref="T127">IF(ISBLANK($AE127), "-",INDEX(Circuits!S:S,SUMPRODUCT(EXACT($AE127,Circuits!$A:$A)*ROW(Circuits!$A:$A))))</f>
        <v>-</v>
      </c>
      <c r="U127" s="183" t="str">
        <f t="array" ref="U127">IF(ISBLANK($AE127), "-",INDEX(Circuits!T:T,SUMPRODUCT(EXACT($AE127,Circuits!$A:$A)*ROW(Circuits!$A:$A))))</f>
        <v>-</v>
      </c>
      <c r="V127" s="183" t="str">
        <f t="array" ref="V127">IF(ISBLANK($AE127), "-",INDEX(Circuits!U:U,SUMPRODUCT(EXACT($AE127,Circuits!$A:$A)*ROW(Circuits!$A:$A))))</f>
        <v>-</v>
      </c>
      <c r="W127" s="183" t="str">
        <f t="array" ref="W127">IF(ISBLANK($AE127), "-",INDEX(Circuits!V:V,SUMPRODUCT(EXACT($AE127,Circuits!$A:$A)*ROW(Circuits!$A:$A))))</f>
        <v>-</v>
      </c>
      <c r="X127" s="183" t="str">
        <f t="array" ref="X127">IF(ISBLANK($AE127), "-",INDEX(Circuits!W:W,SUMPRODUCT(EXACT($AE127,Circuits!$A:$A)*ROW(Circuits!$A:$A))))</f>
        <v>-</v>
      </c>
      <c r="Y127" s="183" t="str">
        <f t="array" ref="Y127">IF(ISBLANK($AE127), "-",INDEX(Circuits!X:X,SUMPRODUCT(EXACT($AE127,Circuits!$A:$A)*ROW(Circuits!$A:$A))))</f>
        <v>-</v>
      </c>
      <c r="Z127" s="108" t="str">
        <f>IFERROR(__xludf.DUMMYFUNCTION("IFNA(CONCATENATE(UNIQUE(FILTER(Connections!R:R,Connections!A:A=B127))),""-"")"),"-")</f>
        <v>-</v>
      </c>
      <c r="AA127" s="119" t="str">
        <f t="array" ref="AA127">IF(ISBLANK($AE127), "-",INDEX(Circuits!Y:Y,SUMPRODUCT(EXACT($AE127,Circuits!$A:$A)*ROW(Circuits!$A:$A))))</f>
        <v>-</v>
      </c>
      <c r="AB127" s="121" t="str">
        <f t="array" ref="AB127">IF(ISBLANK($AE127), "-",INDEX(Circuits!Z:Z,SUMPRODUCT(EXACT($AE127,Circuits!$A:$A)*ROW(Circuits!$A:$A))))</f>
        <v>-</v>
      </c>
      <c r="AC127" s="194"/>
      <c r="AD127" s="194"/>
      <c r="AE127" s="40"/>
      <c r="AF127" s="43"/>
      <c r="AG127" s="126" t="str">
        <f>IFERROR(__xludf.DUMMYFUNCTION("IF(ISBLANK(AF127), """", TEXTJOIN(CHAR(10),TRUE,ARRAYFORMULA(IF(ISERROR(SEARCH(SPLIT(AF127, "";""), $Z127)), ""x"", ""-""))))"),"")</f>
        <v/>
      </c>
      <c r="AH127" s="127" t="str">
        <f>IFERROR(__xludf.DUMMYFUNCTION("IF(ISBLANK(AK127), """", TEXTJOIN("";"" &amp; CHAR(10), TRUE, UNIQUE(SPLIT(AK127, "";"" &amp; CHAR(10)), TRUE))&amp;"";"")"),"")</f>
        <v/>
      </c>
      <c r="AI127" s="128" t="str">
        <f>IFERROR(__xludf.DUMMYFUNCTION("IF(ISBLANK(AD127), IF(ISBLANK(AE127),,IFNA(TEXTJOIN("";"" &amp; CHAR(10), TRUE, FILTER(AE:AE, SEARCH(AE127&amp;"";"", AJ:AJ)))&amp;"";"", """")), TEXTJOIN("";"" &amp; CHAR(10), TRUE, UNIQUE(SPLIT(AH127 &amp; "";"" &amp; AH127 &amp; "";"" &amp; AL127, "";"" &amp; CHAR(10)), TRUE, TRUE))&amp;"";"&amp;""")"),"")</f>
        <v/>
      </c>
      <c r="AJ127" s="126" t="str">
        <f>IFERROR(__xludf.DUMMYFUNCTION("IF(AN127="""", """", TEXTJOIN("";"" &amp; CHAR(10), TRUE, UNIQUE(SPLIT(AH127 &amp; "";"" &amp; AH127 &amp; "";"" &amp; AN127, "";"" &amp; CHAR(10)), TRUE, TRUE))&amp;"";"")"),"")</f>
        <v/>
      </c>
      <c r="AK127" s="129" t="str">
        <f>IFERROR(__xludf.DUMMYFUNCTION("IF(ISBLANK(AD127), IF(ISBLANK(AE127),,AE127 &amp; "";""), TEXTJOIN(CHAR(10), TRUE, ARRAYFORMULA(VLOOKUP(SPLIT(AD127, "";"" &amp; CHAR(10)), $AC:$AH, 6, FALSE))))"),"")</f>
        <v/>
      </c>
      <c r="AL127" s="130" t="str">
        <f>IFERROR(__xludf.DUMMYFUNCTION("IF(AM127="""", """", TEXTJOIN("";"" &amp; CHAR(10), TRUE, UNIQUE(SPLIT(AM127, "";"" &amp; CHAR(10)), TRUE))&amp;"";"")"),"")</f>
        <v/>
      </c>
      <c r="AM127" s="130" t="str">
        <f>IFERROR(__xludf.DUMMYFUNCTION("IF(ISBLANK(AD127), """", TEXTJOIN(CHAR(10), TRUE, ARRAYFORMULA(VLOOKUP(SPLIT(AH127, "";"" &amp; CHAR(10)), $AE:$AI, 5, FALSE)), AF127))"),"")</f>
        <v/>
      </c>
      <c r="AN127" s="132" t="str">
        <f>IFERROR(__xludf.DUMMYFUNCTION("IF(ISBLANK(AO127), """", TEXTJOIN("";"" &amp; CHAR(10), TRUE, UNIQUE(SPLIT(AO127, "";"" &amp; CHAR(10)), TRUE))&amp;"";"")"),"")</f>
        <v/>
      </c>
      <c r="AO127" s="134" t="str">
        <f>IFERROR(__xludf.DUMMYFUNCTION("IF(ISBLANK(AD127), AF127, TEXTJOIN(CHAR(10), TRUE, ARRAYFORMULA(VLOOKUP(SPLIT(AD127, "";"" &amp; CHAR(10)), $AC:$AN, 12, FALSE))))"),"")</f>
        <v/>
      </c>
      <c r="AP127" s="130" t="str">
        <f>IF(ISBLANK(AE127),,IF(IFERROR(SEARCH(AE127&amp;";",Circuits!$AO$2),0),TRUE,FALSE))</f>
        <v/>
      </c>
      <c r="AQ127" s="130" t="str">
        <f t="shared" si="2"/>
        <v/>
      </c>
      <c r="AR127" s="130" t="str">
        <f t="shared" si="3"/>
        <v/>
      </c>
      <c r="AS127" s="136" t="str">
        <f>IFERROR(__xludf.DUMMYFUNCTION("IF(AH127="""",,SUM(ARRAYFORMULA(IF(IFERROR(SEARCH(SPLIT(AH127,CHAR(10)),Circuits!$AO$2),0)&gt;0,0,1))))"),"")</f>
        <v/>
      </c>
      <c r="AT127" s="138" t="str">
        <f t="shared" si="4"/>
        <v/>
      </c>
      <c r="AU127" s="138" t="str">
        <f t="shared" si="5"/>
        <v/>
      </c>
      <c r="AV127" s="130" t="str">
        <f>IFERROR(__xludf.DUMMYFUNCTION("IF(AI127="""",,TEXTJOIN("", "",TRUE,ARRAYFORMULA(VLOOKUP(SPLIT(AI127,"";""&amp;CHAR(10)),AE:AT,16,FALSE))))"),"")</f>
        <v/>
      </c>
      <c r="AW127" s="130" t="str">
        <f>IFERROR(__xludf.DUMMYFUNCTION("IF(ISBLANK(BK127),,TEXTJOIN("", "",TRUE,ARRAYFORMULA(VLOOKUP(IFERROR(REGEXEXTRACT(SPLIT(BK127,"";""&amp;CHAR(10)),""\[(.+)\]"")),AE:AT,16,false))))"),"")</f>
        <v/>
      </c>
      <c r="AX127" s="139" t="str">
        <f t="shared" si="6"/>
        <v/>
      </c>
      <c r="AY127" s="139" t="str">
        <f t="shared" si="7"/>
        <v/>
      </c>
      <c r="AZ127" s="106" t="str">
        <f>IFERROR(__xludf.DUMMYFUNCTION("IF(ISBLANK(AD127), BC127, TEXTJOIN(CHAR(10) &amp; CHAR(10), TRUE, ARRAYFORMULA(VLOOKUP(SPLIT(AD127, "";"" &amp; CHAR(10)), $AC:$AY, 23, FALSE))))"),"")</f>
        <v/>
      </c>
      <c r="BA127" s="140" t="s">
        <v>66</v>
      </c>
      <c r="BB127" s="190"/>
      <c r="BC127" s="196"/>
      <c r="BD127" s="106" t="str">
        <f>IFERROR(__xludf.DUMMYFUNCTION("IF(IFERROR(SEARCH(""&lt;&lt;mechanism to realize the capability&gt;&gt;"",BA127),0)=0,
 ""!! Error !! “Capability&amp;Mechanism” column: Invalid Separator:"" &amp; CHAR(10) &amp; ""Insert separator “&lt;&lt;mechanism to realize the capability&gt;&gt;.”"",
 IF(
  LEN(TRIM(CLEAN(
    INDEX(
 "&amp;"     SPLIT(BA127,""&lt;&lt;mechanism to realize the capability&gt;&gt;"",FALSE,FALSE),
      1
    )
  )))=0,
  ""!! Error !! “Capability&amp;Mechanism” column: No Capability:""  &amp; CHAR(10) &amp; ""Describe Capability before separator."",
  INDEX(
    SPLIT(BA127,""&lt;&lt;mechani"&amp;"sm to realize the capability&gt;&gt;"",FALSE,FALSE),
    1
  )
 )
)
"),"!! Error !! “Capability&amp;Mechanism” column: No Capability:
Describe Capability before separator.")</f>
        <v>!! Error !! “Capability&amp;Mechanism” column: No Capability:
Describe Capability before separator.</v>
      </c>
      <c r="BE127" s="190"/>
      <c r="BF127" s="195"/>
      <c r="BG127" s="42"/>
      <c r="BH127" s="190"/>
      <c r="BI127" s="196"/>
      <c r="BJ127" s="42"/>
      <c r="BK127" s="42"/>
      <c r="BL127" s="203"/>
      <c r="BM127" s="203"/>
      <c r="BN127" s="42"/>
      <c r="BO127" s="42"/>
      <c r="BP127" s="143"/>
      <c r="BQ127" s="143"/>
      <c r="BR127" s="192"/>
      <c r="BS127" s="192"/>
      <c r="BT127" s="192"/>
      <c r="BU127" s="192"/>
      <c r="BV127" s="192"/>
      <c r="BW127" s="192"/>
      <c r="BX127" s="146" t="str">
        <f t="shared" si="8"/>
        <v/>
      </c>
    </row>
    <row r="128">
      <c r="A128" s="106" t="str">
        <f t="shared" si="1"/>
        <v/>
      </c>
      <c r="B128" s="183" t="str">
        <f t="array" ref="B128">IF(ISBLANK($AE128), "-",INDEX(Circuits!A:A,SUMPRODUCT(EXACT($AE128,Circuits!$A:$A)*ROW(Circuits!$A:$A))))</f>
        <v>-</v>
      </c>
      <c r="C128" s="183" t="str">
        <f t="array" ref="C128">IF(ISBLANK($AE128), "-",INDEX(Circuits!B:B,SUMPRODUCT(EXACT($AE128,Circuits!$A:$A)*ROW(Circuits!$A:$A))))</f>
        <v>-</v>
      </c>
      <c r="D128" s="183" t="str">
        <f t="array" ref="D128">IF(ISBLANK($AE128), "-",INDEX(Circuits!C:C,SUMPRODUCT(EXACT($AE128,Circuits!$A:$A)*ROW(Circuits!$A:$A))))</f>
        <v>-</v>
      </c>
      <c r="E128" s="183" t="str">
        <f t="array" ref="E128">IF(ISBLANK($AE128), "-",INDEX(Circuits!D:D,SUMPRODUCT(EXACT($AE128,Circuits!$A:$A)*ROW(Circuits!$A:$A))))</f>
        <v>-</v>
      </c>
      <c r="F128" s="183" t="str">
        <f t="array" ref="F128">IF(ISBLANK($AE128), "-",INDEX(Circuits!E:E,SUMPRODUCT(EXACT($AE128,Circuits!$A:$A)*ROW(Circuits!$A:$A))))</f>
        <v>-</v>
      </c>
      <c r="G128" s="183" t="str">
        <f t="array" ref="G128">IF(ISBLANK($AE128), "-",INDEX(Circuits!F:F,SUMPRODUCT(EXACT($AE128,Circuits!$A:$A)*ROW(Circuits!$A:$A))))</f>
        <v>-</v>
      </c>
      <c r="H128" s="183" t="str">
        <f t="array" ref="H128">IF(ISBLANK($AE128), "-",INDEX(Circuits!G:G,SUMPRODUCT(EXACT($AE128,Circuits!$A:$A)*ROW(Circuits!$A:$A))))</f>
        <v>-</v>
      </c>
      <c r="I128" s="183" t="str">
        <f t="array" ref="I128">IF(ISBLANK($AE128), "-",INDEX(Circuits!H:H,SUMPRODUCT(EXACT($AE128,Circuits!$A:$A)*ROW(Circuits!$A:$A))))</f>
        <v>-</v>
      </c>
      <c r="J128" s="183" t="str">
        <f t="array" ref="J128">IF(ISBLANK($AE128), "-",INDEX(Circuits!I:I,SUMPRODUCT(EXACT($AE128,Circuits!$A:$A)*ROW(Circuits!$A:$A))))</f>
        <v>-</v>
      </c>
      <c r="K128" s="183" t="str">
        <f t="array" ref="K128">IF(ISBLANK($AE128), "-",INDEX(Circuits!J:J,SUMPRODUCT(EXACT($AE128,Circuits!$A:$A)*ROW(Circuits!$A:$A))))</f>
        <v>-</v>
      </c>
      <c r="L128" s="183" t="str">
        <f t="array" ref="L128">IF(ISBLANK($AE128), "-",INDEX(Circuits!K:K,SUMPRODUCT(EXACT($AE128,Circuits!$A:$A)*ROW(Circuits!$A:$A))))</f>
        <v>-</v>
      </c>
      <c r="M128" s="183" t="str">
        <f t="array" ref="M128">IF(ISBLANK($AE128), "-",INDEX(Circuits!L:L,SUMPRODUCT(EXACT($AE128,Circuits!$A:$A)*ROW(Circuits!$A:$A))))</f>
        <v>-</v>
      </c>
      <c r="N128" s="183" t="str">
        <f t="array" ref="N128">IF(ISBLANK($AE128), "-",INDEX(Circuits!M:M,SUMPRODUCT(EXACT($AE128,Circuits!$A:$A)*ROW(Circuits!$A:$A))))</f>
        <v>-</v>
      </c>
      <c r="O128" s="183" t="str">
        <f t="array" ref="O128">IF(ISBLANK($AE128), "-",INDEX(Circuits!N:N,SUMPRODUCT(EXACT($AE128,Circuits!$A:$A)*ROW(Circuits!$A:$A))))</f>
        <v>-</v>
      </c>
      <c r="P128" s="183" t="str">
        <f t="array" ref="P128">IF(ISBLANK($AE128), "-",INDEX(Circuits!O:O,SUMPRODUCT(EXACT($AE128,Circuits!$A:$A)*ROW(Circuits!$A:$A))))</f>
        <v>-</v>
      </c>
      <c r="Q128" s="183" t="str">
        <f t="array" ref="Q128">IF(ISBLANK($AE128), "-",INDEX(Circuits!P:P,SUMPRODUCT(EXACT($AE128,Circuits!$A:$A)*ROW(Circuits!$A:$A))))</f>
        <v>-</v>
      </c>
      <c r="R128" s="183" t="str">
        <f t="array" ref="R128">IF(ISBLANK($AE128), "-",INDEX(Circuits!Q:Q,SUMPRODUCT(EXACT($AE128,Circuits!$A:$A)*ROW(Circuits!$A:$A))))</f>
        <v>-</v>
      </c>
      <c r="S128" s="183" t="str">
        <f t="array" ref="S128">IF(ISBLANK($AE128), "-",INDEX(Circuits!R:R,SUMPRODUCT(EXACT($AE128,Circuits!$A:$A)*ROW(Circuits!$A:$A))))</f>
        <v>-</v>
      </c>
      <c r="T128" s="183" t="str">
        <f t="array" ref="T128">IF(ISBLANK($AE128), "-",INDEX(Circuits!S:S,SUMPRODUCT(EXACT($AE128,Circuits!$A:$A)*ROW(Circuits!$A:$A))))</f>
        <v>-</v>
      </c>
      <c r="U128" s="183" t="str">
        <f t="array" ref="U128">IF(ISBLANK($AE128), "-",INDEX(Circuits!T:T,SUMPRODUCT(EXACT($AE128,Circuits!$A:$A)*ROW(Circuits!$A:$A))))</f>
        <v>-</v>
      </c>
      <c r="V128" s="183" t="str">
        <f t="array" ref="V128">IF(ISBLANK($AE128), "-",INDEX(Circuits!U:U,SUMPRODUCT(EXACT($AE128,Circuits!$A:$A)*ROW(Circuits!$A:$A))))</f>
        <v>-</v>
      </c>
      <c r="W128" s="183" t="str">
        <f t="array" ref="W128">IF(ISBLANK($AE128), "-",INDEX(Circuits!V:V,SUMPRODUCT(EXACT($AE128,Circuits!$A:$A)*ROW(Circuits!$A:$A))))</f>
        <v>-</v>
      </c>
      <c r="X128" s="183" t="str">
        <f t="array" ref="X128">IF(ISBLANK($AE128), "-",INDEX(Circuits!W:W,SUMPRODUCT(EXACT($AE128,Circuits!$A:$A)*ROW(Circuits!$A:$A))))</f>
        <v>-</v>
      </c>
      <c r="Y128" s="183" t="str">
        <f t="array" ref="Y128">IF(ISBLANK($AE128), "-",INDEX(Circuits!X:X,SUMPRODUCT(EXACT($AE128,Circuits!$A:$A)*ROW(Circuits!$A:$A))))</f>
        <v>-</v>
      </c>
      <c r="Z128" s="108" t="str">
        <f>IFERROR(__xludf.DUMMYFUNCTION("IFNA(CONCATENATE(UNIQUE(FILTER(Connections!R:R,Connections!A:A=B128))),""-"")"),"-")</f>
        <v>-</v>
      </c>
      <c r="AA128" s="119" t="str">
        <f t="array" ref="AA128">IF(ISBLANK($AE128), "-",INDEX(Circuits!Y:Y,SUMPRODUCT(EXACT($AE128,Circuits!$A:$A)*ROW(Circuits!$A:$A))))</f>
        <v>-</v>
      </c>
      <c r="AB128" s="121" t="str">
        <f t="array" ref="AB128">IF(ISBLANK($AE128), "-",INDEX(Circuits!Z:Z,SUMPRODUCT(EXACT($AE128,Circuits!$A:$A)*ROW(Circuits!$A:$A))))</f>
        <v>-</v>
      </c>
      <c r="AC128" s="194"/>
      <c r="AD128" s="194"/>
      <c r="AE128" s="40"/>
      <c r="AF128" s="43"/>
      <c r="AG128" s="126" t="str">
        <f>IFERROR(__xludf.DUMMYFUNCTION("IF(ISBLANK(AF128), """", TEXTJOIN(CHAR(10),TRUE,ARRAYFORMULA(IF(ISERROR(SEARCH(SPLIT(AF128, "";""), $Z128)), ""x"", ""-""))))"),"")</f>
        <v/>
      </c>
      <c r="AH128" s="127" t="str">
        <f>IFERROR(__xludf.DUMMYFUNCTION("IF(ISBLANK(AK128), """", TEXTJOIN("";"" &amp; CHAR(10), TRUE, UNIQUE(SPLIT(AK128, "";"" &amp; CHAR(10)), TRUE))&amp;"";"")"),"")</f>
        <v/>
      </c>
      <c r="AI128" s="128" t="str">
        <f>IFERROR(__xludf.DUMMYFUNCTION("IF(ISBLANK(AD128), IF(ISBLANK(AE128),,IFNA(TEXTJOIN("";"" &amp; CHAR(10), TRUE, FILTER(AE:AE, SEARCH(AE128&amp;"";"", AJ:AJ)))&amp;"";"", """")), TEXTJOIN("";"" &amp; CHAR(10), TRUE, UNIQUE(SPLIT(AH128 &amp; "";"" &amp; AH128 &amp; "";"" &amp; AL128, "";"" &amp; CHAR(10)), TRUE, TRUE))&amp;"";"&amp;""")"),"")</f>
        <v/>
      </c>
      <c r="AJ128" s="126" t="str">
        <f>IFERROR(__xludf.DUMMYFUNCTION("IF(AN128="""", """", TEXTJOIN("";"" &amp; CHAR(10), TRUE, UNIQUE(SPLIT(AH128 &amp; "";"" &amp; AH128 &amp; "";"" &amp; AN128, "";"" &amp; CHAR(10)), TRUE, TRUE))&amp;"";"")"),"")</f>
        <v/>
      </c>
      <c r="AK128" s="129" t="str">
        <f>IFERROR(__xludf.DUMMYFUNCTION("IF(ISBLANK(AD128), IF(ISBLANK(AE128),,AE128 &amp; "";""), TEXTJOIN(CHAR(10), TRUE, ARRAYFORMULA(VLOOKUP(SPLIT(AD128, "";"" &amp; CHAR(10)), $AC:$AH, 6, FALSE))))"),"")</f>
        <v/>
      </c>
      <c r="AL128" s="130" t="str">
        <f>IFERROR(__xludf.DUMMYFUNCTION("IF(AM128="""", """", TEXTJOIN("";"" &amp; CHAR(10), TRUE, UNIQUE(SPLIT(AM128, "";"" &amp; CHAR(10)), TRUE))&amp;"";"")"),"")</f>
        <v/>
      </c>
      <c r="AM128" s="130" t="str">
        <f>IFERROR(__xludf.DUMMYFUNCTION("IF(ISBLANK(AD128), """", TEXTJOIN(CHAR(10), TRUE, ARRAYFORMULA(VLOOKUP(SPLIT(AH128, "";"" &amp; CHAR(10)), $AE:$AI, 5, FALSE)), AF128))"),"")</f>
        <v/>
      </c>
      <c r="AN128" s="132" t="str">
        <f>IFERROR(__xludf.DUMMYFUNCTION("IF(ISBLANK(AO128), """", TEXTJOIN("";"" &amp; CHAR(10), TRUE, UNIQUE(SPLIT(AO128, "";"" &amp; CHAR(10)), TRUE))&amp;"";"")"),"")</f>
        <v/>
      </c>
      <c r="AO128" s="134" t="str">
        <f>IFERROR(__xludf.DUMMYFUNCTION("IF(ISBLANK(AD128), AF128, TEXTJOIN(CHAR(10), TRUE, ARRAYFORMULA(VLOOKUP(SPLIT(AD128, "";"" &amp; CHAR(10)), $AC:$AN, 12, FALSE))))"),"")</f>
        <v/>
      </c>
      <c r="AP128" s="130" t="str">
        <f>IF(ISBLANK(AE128),,IF(IFERROR(SEARCH(AE128&amp;";",Circuits!$AO$2),0),TRUE,FALSE))</f>
        <v/>
      </c>
      <c r="AQ128" s="130" t="str">
        <f t="shared" si="2"/>
        <v/>
      </c>
      <c r="AR128" s="130" t="str">
        <f t="shared" si="3"/>
        <v/>
      </c>
      <c r="AS128" s="136" t="str">
        <f>IFERROR(__xludf.DUMMYFUNCTION("IF(AH128="""",,SUM(ARRAYFORMULA(IF(IFERROR(SEARCH(SPLIT(AH128,CHAR(10)),Circuits!$AO$2),0)&gt;0,0,1))))"),"")</f>
        <v/>
      </c>
      <c r="AT128" s="138" t="str">
        <f t="shared" si="4"/>
        <v/>
      </c>
      <c r="AU128" s="138" t="str">
        <f t="shared" si="5"/>
        <v/>
      </c>
      <c r="AV128" s="130" t="str">
        <f>IFERROR(__xludf.DUMMYFUNCTION("IF(AI128="""",,TEXTJOIN("", "",TRUE,ARRAYFORMULA(VLOOKUP(SPLIT(AI128,"";""&amp;CHAR(10)),AE:AT,16,FALSE))))"),"")</f>
        <v/>
      </c>
      <c r="AW128" s="130" t="str">
        <f>IFERROR(__xludf.DUMMYFUNCTION("IF(ISBLANK(BK128),,TEXTJOIN("", "",TRUE,ARRAYFORMULA(VLOOKUP(IFERROR(REGEXEXTRACT(SPLIT(BK128,"";""&amp;CHAR(10)),""\[(.+)\]"")),AE:AT,16,false))))"),"")</f>
        <v/>
      </c>
      <c r="AX128" s="139" t="str">
        <f t="shared" si="6"/>
        <v/>
      </c>
      <c r="AY128" s="139" t="str">
        <f t="shared" si="7"/>
        <v/>
      </c>
      <c r="AZ128" s="106" t="str">
        <f>IFERROR(__xludf.DUMMYFUNCTION("IF(ISBLANK(AD128), BC128, TEXTJOIN(CHAR(10) &amp; CHAR(10), TRUE, ARRAYFORMULA(VLOOKUP(SPLIT(AD128, "";"" &amp; CHAR(10)), $AC:$AY, 23, FALSE))))"),"")</f>
        <v/>
      </c>
      <c r="BA128" s="140" t="s">
        <v>66</v>
      </c>
      <c r="BB128" s="190"/>
      <c r="BC128" s="196"/>
      <c r="BD128" s="106" t="str">
        <f>IFERROR(__xludf.DUMMYFUNCTION("IF(IFERROR(SEARCH(""&lt;&lt;mechanism to realize the capability&gt;&gt;"",BA128),0)=0,
 ""!! Error !! “Capability&amp;Mechanism” column: Invalid Separator:"" &amp; CHAR(10) &amp; ""Insert separator “&lt;&lt;mechanism to realize the capability&gt;&gt;.”"",
 IF(
  LEN(TRIM(CLEAN(
    INDEX(
 "&amp;"     SPLIT(BA128,""&lt;&lt;mechanism to realize the capability&gt;&gt;"",FALSE,FALSE),
      1
    )
  )))=0,
  ""!! Error !! “Capability&amp;Mechanism” column: No Capability:""  &amp; CHAR(10) &amp; ""Describe Capability before separator."",
  INDEX(
    SPLIT(BA128,""&lt;&lt;mechani"&amp;"sm to realize the capability&gt;&gt;"",FALSE,FALSE),
    1
  )
 )
)
"),"!! Error !! “Capability&amp;Mechanism” column: No Capability:
Describe Capability before separator.")</f>
        <v>!! Error !! “Capability&amp;Mechanism” column: No Capability:
Describe Capability before separator.</v>
      </c>
      <c r="BE128" s="190"/>
      <c r="BF128" s="195"/>
      <c r="BG128" s="42"/>
      <c r="BH128" s="190"/>
      <c r="BI128" s="196"/>
      <c r="BJ128" s="42"/>
      <c r="BK128" s="42"/>
      <c r="BL128" s="203"/>
      <c r="BM128" s="203"/>
      <c r="BN128" s="42"/>
      <c r="BO128" s="42"/>
      <c r="BP128" s="143"/>
      <c r="BQ128" s="143"/>
      <c r="BR128" s="192"/>
      <c r="BS128" s="192"/>
      <c r="BT128" s="192"/>
      <c r="BU128" s="192"/>
      <c r="BV128" s="192"/>
      <c r="BW128" s="192"/>
      <c r="BX128" s="146" t="str">
        <f t="shared" si="8"/>
        <v/>
      </c>
    </row>
    <row r="129">
      <c r="A129" s="106" t="str">
        <f t="shared" si="1"/>
        <v/>
      </c>
      <c r="B129" s="183" t="str">
        <f t="array" ref="B129">IF(ISBLANK($AE129), "-",INDEX(Circuits!A:A,SUMPRODUCT(EXACT($AE129,Circuits!$A:$A)*ROW(Circuits!$A:$A))))</f>
        <v>-</v>
      </c>
      <c r="C129" s="183" t="str">
        <f t="array" ref="C129">IF(ISBLANK($AE129), "-",INDEX(Circuits!B:B,SUMPRODUCT(EXACT($AE129,Circuits!$A:$A)*ROW(Circuits!$A:$A))))</f>
        <v>-</v>
      </c>
      <c r="D129" s="183" t="str">
        <f t="array" ref="D129">IF(ISBLANK($AE129), "-",INDEX(Circuits!C:C,SUMPRODUCT(EXACT($AE129,Circuits!$A:$A)*ROW(Circuits!$A:$A))))</f>
        <v>-</v>
      </c>
      <c r="E129" s="183" t="str">
        <f t="array" ref="E129">IF(ISBLANK($AE129), "-",INDEX(Circuits!D:D,SUMPRODUCT(EXACT($AE129,Circuits!$A:$A)*ROW(Circuits!$A:$A))))</f>
        <v>-</v>
      </c>
      <c r="F129" s="183" t="str">
        <f t="array" ref="F129">IF(ISBLANK($AE129), "-",INDEX(Circuits!E:E,SUMPRODUCT(EXACT($AE129,Circuits!$A:$A)*ROW(Circuits!$A:$A))))</f>
        <v>-</v>
      </c>
      <c r="G129" s="183" t="str">
        <f t="array" ref="G129">IF(ISBLANK($AE129), "-",INDEX(Circuits!F:F,SUMPRODUCT(EXACT($AE129,Circuits!$A:$A)*ROW(Circuits!$A:$A))))</f>
        <v>-</v>
      </c>
      <c r="H129" s="183" t="str">
        <f t="array" ref="H129">IF(ISBLANK($AE129), "-",INDEX(Circuits!G:G,SUMPRODUCT(EXACT($AE129,Circuits!$A:$A)*ROW(Circuits!$A:$A))))</f>
        <v>-</v>
      </c>
      <c r="I129" s="183" t="str">
        <f t="array" ref="I129">IF(ISBLANK($AE129), "-",INDEX(Circuits!H:H,SUMPRODUCT(EXACT($AE129,Circuits!$A:$A)*ROW(Circuits!$A:$A))))</f>
        <v>-</v>
      </c>
      <c r="J129" s="183" t="str">
        <f t="array" ref="J129">IF(ISBLANK($AE129), "-",INDEX(Circuits!I:I,SUMPRODUCT(EXACT($AE129,Circuits!$A:$A)*ROW(Circuits!$A:$A))))</f>
        <v>-</v>
      </c>
      <c r="K129" s="183" t="str">
        <f t="array" ref="K129">IF(ISBLANK($AE129), "-",INDEX(Circuits!J:J,SUMPRODUCT(EXACT($AE129,Circuits!$A:$A)*ROW(Circuits!$A:$A))))</f>
        <v>-</v>
      </c>
      <c r="L129" s="183" t="str">
        <f t="array" ref="L129">IF(ISBLANK($AE129), "-",INDEX(Circuits!K:K,SUMPRODUCT(EXACT($AE129,Circuits!$A:$A)*ROW(Circuits!$A:$A))))</f>
        <v>-</v>
      </c>
      <c r="M129" s="183" t="str">
        <f t="array" ref="M129">IF(ISBLANK($AE129), "-",INDEX(Circuits!L:L,SUMPRODUCT(EXACT($AE129,Circuits!$A:$A)*ROW(Circuits!$A:$A))))</f>
        <v>-</v>
      </c>
      <c r="N129" s="183" t="str">
        <f t="array" ref="N129">IF(ISBLANK($AE129), "-",INDEX(Circuits!M:M,SUMPRODUCT(EXACT($AE129,Circuits!$A:$A)*ROW(Circuits!$A:$A))))</f>
        <v>-</v>
      </c>
      <c r="O129" s="183" t="str">
        <f t="array" ref="O129">IF(ISBLANK($AE129), "-",INDEX(Circuits!N:N,SUMPRODUCT(EXACT($AE129,Circuits!$A:$A)*ROW(Circuits!$A:$A))))</f>
        <v>-</v>
      </c>
      <c r="P129" s="183" t="str">
        <f t="array" ref="P129">IF(ISBLANK($AE129), "-",INDEX(Circuits!O:O,SUMPRODUCT(EXACT($AE129,Circuits!$A:$A)*ROW(Circuits!$A:$A))))</f>
        <v>-</v>
      </c>
      <c r="Q129" s="183" t="str">
        <f t="array" ref="Q129">IF(ISBLANK($AE129), "-",INDEX(Circuits!P:P,SUMPRODUCT(EXACT($AE129,Circuits!$A:$A)*ROW(Circuits!$A:$A))))</f>
        <v>-</v>
      </c>
      <c r="R129" s="183" t="str">
        <f t="array" ref="R129">IF(ISBLANK($AE129), "-",INDEX(Circuits!Q:Q,SUMPRODUCT(EXACT($AE129,Circuits!$A:$A)*ROW(Circuits!$A:$A))))</f>
        <v>-</v>
      </c>
      <c r="S129" s="183" t="str">
        <f t="array" ref="S129">IF(ISBLANK($AE129), "-",INDEX(Circuits!R:R,SUMPRODUCT(EXACT($AE129,Circuits!$A:$A)*ROW(Circuits!$A:$A))))</f>
        <v>-</v>
      </c>
      <c r="T129" s="183" t="str">
        <f t="array" ref="T129">IF(ISBLANK($AE129), "-",INDEX(Circuits!S:S,SUMPRODUCT(EXACT($AE129,Circuits!$A:$A)*ROW(Circuits!$A:$A))))</f>
        <v>-</v>
      </c>
      <c r="U129" s="183" t="str">
        <f t="array" ref="U129">IF(ISBLANK($AE129), "-",INDEX(Circuits!T:T,SUMPRODUCT(EXACT($AE129,Circuits!$A:$A)*ROW(Circuits!$A:$A))))</f>
        <v>-</v>
      </c>
      <c r="V129" s="183" t="str">
        <f t="array" ref="V129">IF(ISBLANK($AE129), "-",INDEX(Circuits!U:U,SUMPRODUCT(EXACT($AE129,Circuits!$A:$A)*ROW(Circuits!$A:$A))))</f>
        <v>-</v>
      </c>
      <c r="W129" s="183" t="str">
        <f t="array" ref="W129">IF(ISBLANK($AE129), "-",INDEX(Circuits!V:V,SUMPRODUCT(EXACT($AE129,Circuits!$A:$A)*ROW(Circuits!$A:$A))))</f>
        <v>-</v>
      </c>
      <c r="X129" s="183" t="str">
        <f t="array" ref="X129">IF(ISBLANK($AE129), "-",INDEX(Circuits!W:W,SUMPRODUCT(EXACT($AE129,Circuits!$A:$A)*ROW(Circuits!$A:$A))))</f>
        <v>-</v>
      </c>
      <c r="Y129" s="183" t="str">
        <f t="array" ref="Y129">IF(ISBLANK($AE129), "-",INDEX(Circuits!X:X,SUMPRODUCT(EXACT($AE129,Circuits!$A:$A)*ROW(Circuits!$A:$A))))</f>
        <v>-</v>
      </c>
      <c r="Z129" s="108" t="str">
        <f>IFERROR(__xludf.DUMMYFUNCTION("IFNA(CONCATENATE(UNIQUE(FILTER(Connections!R:R,Connections!A:A=B129))),""-"")"),"-")</f>
        <v>-</v>
      </c>
      <c r="AA129" s="119" t="str">
        <f t="array" ref="AA129">IF(ISBLANK($AE129), "-",INDEX(Circuits!Y:Y,SUMPRODUCT(EXACT($AE129,Circuits!$A:$A)*ROW(Circuits!$A:$A))))</f>
        <v>-</v>
      </c>
      <c r="AB129" s="121" t="str">
        <f t="array" ref="AB129">IF(ISBLANK($AE129), "-",INDEX(Circuits!Z:Z,SUMPRODUCT(EXACT($AE129,Circuits!$A:$A)*ROW(Circuits!$A:$A))))</f>
        <v>-</v>
      </c>
      <c r="AC129" s="194"/>
      <c r="AD129" s="194"/>
      <c r="AE129" s="40"/>
      <c r="AF129" s="43"/>
      <c r="AG129" s="126" t="str">
        <f>IFERROR(__xludf.DUMMYFUNCTION("IF(ISBLANK(AF129), """", TEXTJOIN(CHAR(10),TRUE,ARRAYFORMULA(IF(ISERROR(SEARCH(SPLIT(AF129, "";""), $Z129)), ""x"", ""-""))))"),"")</f>
        <v/>
      </c>
      <c r="AH129" s="127" t="str">
        <f>IFERROR(__xludf.DUMMYFUNCTION("IF(ISBLANK(AK129), """", TEXTJOIN("";"" &amp; CHAR(10), TRUE, UNIQUE(SPLIT(AK129, "";"" &amp; CHAR(10)), TRUE))&amp;"";"")"),"")</f>
        <v/>
      </c>
      <c r="AI129" s="128" t="str">
        <f>IFERROR(__xludf.DUMMYFUNCTION("IF(ISBLANK(AD129), IF(ISBLANK(AE129),,IFNA(TEXTJOIN("";"" &amp; CHAR(10), TRUE, FILTER(AE:AE, SEARCH(AE129&amp;"";"", AJ:AJ)))&amp;"";"", """")), TEXTJOIN("";"" &amp; CHAR(10), TRUE, UNIQUE(SPLIT(AH129 &amp; "";"" &amp; AH129 &amp; "";"" &amp; AL129, "";"" &amp; CHAR(10)), TRUE, TRUE))&amp;"";"&amp;""")"),"")</f>
        <v/>
      </c>
      <c r="AJ129" s="126" t="str">
        <f>IFERROR(__xludf.DUMMYFUNCTION("IF(AN129="""", """", TEXTJOIN("";"" &amp; CHAR(10), TRUE, UNIQUE(SPLIT(AH129 &amp; "";"" &amp; AH129 &amp; "";"" &amp; AN129, "";"" &amp; CHAR(10)), TRUE, TRUE))&amp;"";"")"),"")</f>
        <v/>
      </c>
      <c r="AK129" s="129" t="str">
        <f>IFERROR(__xludf.DUMMYFUNCTION("IF(ISBLANK(AD129), IF(ISBLANK(AE129),,AE129 &amp; "";""), TEXTJOIN(CHAR(10), TRUE, ARRAYFORMULA(VLOOKUP(SPLIT(AD129, "";"" &amp; CHAR(10)), $AC:$AH, 6, FALSE))))"),"")</f>
        <v/>
      </c>
      <c r="AL129" s="130" t="str">
        <f>IFERROR(__xludf.DUMMYFUNCTION("IF(AM129="""", """", TEXTJOIN("";"" &amp; CHAR(10), TRUE, UNIQUE(SPLIT(AM129, "";"" &amp; CHAR(10)), TRUE))&amp;"";"")"),"")</f>
        <v/>
      </c>
      <c r="AM129" s="130" t="str">
        <f>IFERROR(__xludf.DUMMYFUNCTION("IF(ISBLANK(AD129), """", TEXTJOIN(CHAR(10), TRUE, ARRAYFORMULA(VLOOKUP(SPLIT(AH129, "";"" &amp; CHAR(10)), $AE:$AI, 5, FALSE)), AF129))"),"")</f>
        <v/>
      </c>
      <c r="AN129" s="132" t="str">
        <f>IFERROR(__xludf.DUMMYFUNCTION("IF(ISBLANK(AO129), """", TEXTJOIN("";"" &amp; CHAR(10), TRUE, UNIQUE(SPLIT(AO129, "";"" &amp; CHAR(10)), TRUE))&amp;"";"")"),"")</f>
        <v/>
      </c>
      <c r="AO129" s="134" t="str">
        <f>IFERROR(__xludf.DUMMYFUNCTION("IF(ISBLANK(AD129), AF129, TEXTJOIN(CHAR(10), TRUE, ARRAYFORMULA(VLOOKUP(SPLIT(AD129, "";"" &amp; CHAR(10)), $AC:$AN, 12, FALSE))))"),"")</f>
        <v/>
      </c>
      <c r="AP129" s="130" t="str">
        <f>IF(ISBLANK(AE129),,IF(IFERROR(SEARCH(AE129&amp;";",Circuits!$AO$2),0),TRUE,FALSE))</f>
        <v/>
      </c>
      <c r="AQ129" s="130" t="str">
        <f t="shared" si="2"/>
        <v/>
      </c>
      <c r="AR129" s="130" t="str">
        <f t="shared" si="3"/>
        <v/>
      </c>
      <c r="AS129" s="136" t="str">
        <f>IFERROR(__xludf.DUMMYFUNCTION("IF(AH129="""",,SUM(ARRAYFORMULA(IF(IFERROR(SEARCH(SPLIT(AH129,CHAR(10)),Circuits!$AO$2),0)&gt;0,0,1))))"),"")</f>
        <v/>
      </c>
      <c r="AT129" s="138" t="str">
        <f t="shared" si="4"/>
        <v/>
      </c>
      <c r="AU129" s="138" t="str">
        <f t="shared" si="5"/>
        <v/>
      </c>
      <c r="AV129" s="130" t="str">
        <f>IFERROR(__xludf.DUMMYFUNCTION("IF(AI129="""",,TEXTJOIN("", "",TRUE,ARRAYFORMULA(VLOOKUP(SPLIT(AI129,"";""&amp;CHAR(10)),AE:AT,16,FALSE))))"),"")</f>
        <v/>
      </c>
      <c r="AW129" s="130" t="str">
        <f>IFERROR(__xludf.DUMMYFUNCTION("IF(ISBLANK(BK129),,TEXTJOIN("", "",TRUE,ARRAYFORMULA(VLOOKUP(IFERROR(REGEXEXTRACT(SPLIT(BK129,"";""&amp;CHAR(10)),""\[(.+)\]"")),AE:AT,16,false))))"),"")</f>
        <v/>
      </c>
      <c r="AX129" s="139" t="str">
        <f t="shared" si="6"/>
        <v/>
      </c>
      <c r="AY129" s="139" t="str">
        <f t="shared" si="7"/>
        <v/>
      </c>
      <c r="AZ129" s="106" t="str">
        <f>IFERROR(__xludf.DUMMYFUNCTION("IF(ISBLANK(AD129), BC129, TEXTJOIN(CHAR(10) &amp; CHAR(10), TRUE, ARRAYFORMULA(VLOOKUP(SPLIT(AD129, "";"" &amp; CHAR(10)), $AC:$AY, 23, FALSE))))"),"")</f>
        <v/>
      </c>
      <c r="BA129" s="140" t="s">
        <v>66</v>
      </c>
      <c r="BB129" s="190"/>
      <c r="BC129" s="196"/>
      <c r="BD129" s="106" t="str">
        <f>IFERROR(__xludf.DUMMYFUNCTION("IF(IFERROR(SEARCH(""&lt;&lt;mechanism to realize the capability&gt;&gt;"",BA129),0)=0,
 ""!! Error !! “Capability&amp;Mechanism” column: Invalid Separator:"" &amp; CHAR(10) &amp; ""Insert separator “&lt;&lt;mechanism to realize the capability&gt;&gt;.”"",
 IF(
  LEN(TRIM(CLEAN(
    INDEX(
 "&amp;"     SPLIT(BA129,""&lt;&lt;mechanism to realize the capability&gt;&gt;"",FALSE,FALSE),
      1
    )
  )))=0,
  ""!! Error !! “Capability&amp;Mechanism” column: No Capability:""  &amp; CHAR(10) &amp; ""Describe Capability before separator."",
  INDEX(
    SPLIT(BA129,""&lt;&lt;mechani"&amp;"sm to realize the capability&gt;&gt;"",FALSE,FALSE),
    1
  )
 )
)
"),"!! Error !! “Capability&amp;Mechanism” column: No Capability:
Describe Capability before separator.")</f>
        <v>!! Error !! “Capability&amp;Mechanism” column: No Capability:
Describe Capability before separator.</v>
      </c>
      <c r="BE129" s="190"/>
      <c r="BF129" s="195"/>
      <c r="BG129" s="42"/>
      <c r="BH129" s="190"/>
      <c r="BI129" s="196"/>
      <c r="BJ129" s="42"/>
      <c r="BK129" s="42"/>
      <c r="BL129" s="203"/>
      <c r="BM129" s="203"/>
      <c r="BN129" s="42"/>
      <c r="BO129" s="42"/>
      <c r="BP129" s="143"/>
      <c r="BQ129" s="143"/>
      <c r="BR129" s="192"/>
      <c r="BS129" s="192"/>
      <c r="BT129" s="192"/>
      <c r="BU129" s="192"/>
      <c r="BV129" s="192"/>
      <c r="BW129" s="192"/>
      <c r="BX129" s="146" t="str">
        <f t="shared" si="8"/>
        <v/>
      </c>
    </row>
    <row r="130">
      <c r="A130" s="106" t="str">
        <f t="shared" si="1"/>
        <v/>
      </c>
      <c r="B130" s="183" t="str">
        <f t="array" ref="B130">IF(ISBLANK($AE130), "-",INDEX(Circuits!A:A,SUMPRODUCT(EXACT($AE130,Circuits!$A:$A)*ROW(Circuits!$A:$A))))</f>
        <v>-</v>
      </c>
      <c r="C130" s="183" t="str">
        <f t="array" ref="C130">IF(ISBLANK($AE130), "-",INDEX(Circuits!B:B,SUMPRODUCT(EXACT($AE130,Circuits!$A:$A)*ROW(Circuits!$A:$A))))</f>
        <v>-</v>
      </c>
      <c r="D130" s="183" t="str">
        <f t="array" ref="D130">IF(ISBLANK($AE130), "-",INDEX(Circuits!C:C,SUMPRODUCT(EXACT($AE130,Circuits!$A:$A)*ROW(Circuits!$A:$A))))</f>
        <v>-</v>
      </c>
      <c r="E130" s="183" t="str">
        <f t="array" ref="E130">IF(ISBLANK($AE130), "-",INDEX(Circuits!D:D,SUMPRODUCT(EXACT($AE130,Circuits!$A:$A)*ROW(Circuits!$A:$A))))</f>
        <v>-</v>
      </c>
      <c r="F130" s="183" t="str">
        <f t="array" ref="F130">IF(ISBLANK($AE130), "-",INDEX(Circuits!E:E,SUMPRODUCT(EXACT($AE130,Circuits!$A:$A)*ROW(Circuits!$A:$A))))</f>
        <v>-</v>
      </c>
      <c r="G130" s="183" t="str">
        <f t="array" ref="G130">IF(ISBLANK($AE130), "-",INDEX(Circuits!F:F,SUMPRODUCT(EXACT($AE130,Circuits!$A:$A)*ROW(Circuits!$A:$A))))</f>
        <v>-</v>
      </c>
      <c r="H130" s="183" t="str">
        <f t="array" ref="H130">IF(ISBLANK($AE130), "-",INDEX(Circuits!G:G,SUMPRODUCT(EXACT($AE130,Circuits!$A:$A)*ROW(Circuits!$A:$A))))</f>
        <v>-</v>
      </c>
      <c r="I130" s="183" t="str">
        <f t="array" ref="I130">IF(ISBLANK($AE130), "-",INDEX(Circuits!H:H,SUMPRODUCT(EXACT($AE130,Circuits!$A:$A)*ROW(Circuits!$A:$A))))</f>
        <v>-</v>
      </c>
      <c r="J130" s="183" t="str">
        <f t="array" ref="J130">IF(ISBLANK($AE130), "-",INDEX(Circuits!I:I,SUMPRODUCT(EXACT($AE130,Circuits!$A:$A)*ROW(Circuits!$A:$A))))</f>
        <v>-</v>
      </c>
      <c r="K130" s="183" t="str">
        <f t="array" ref="K130">IF(ISBLANK($AE130), "-",INDEX(Circuits!J:J,SUMPRODUCT(EXACT($AE130,Circuits!$A:$A)*ROW(Circuits!$A:$A))))</f>
        <v>-</v>
      </c>
      <c r="L130" s="183" t="str">
        <f t="array" ref="L130">IF(ISBLANK($AE130), "-",INDEX(Circuits!K:K,SUMPRODUCT(EXACT($AE130,Circuits!$A:$A)*ROW(Circuits!$A:$A))))</f>
        <v>-</v>
      </c>
      <c r="M130" s="183" t="str">
        <f t="array" ref="M130">IF(ISBLANK($AE130), "-",INDEX(Circuits!L:L,SUMPRODUCT(EXACT($AE130,Circuits!$A:$A)*ROW(Circuits!$A:$A))))</f>
        <v>-</v>
      </c>
      <c r="N130" s="183" t="str">
        <f t="array" ref="N130">IF(ISBLANK($AE130), "-",INDEX(Circuits!M:M,SUMPRODUCT(EXACT($AE130,Circuits!$A:$A)*ROW(Circuits!$A:$A))))</f>
        <v>-</v>
      </c>
      <c r="O130" s="183" t="str">
        <f t="array" ref="O130">IF(ISBLANK($AE130), "-",INDEX(Circuits!N:N,SUMPRODUCT(EXACT($AE130,Circuits!$A:$A)*ROW(Circuits!$A:$A))))</f>
        <v>-</v>
      </c>
      <c r="P130" s="183" t="str">
        <f t="array" ref="P130">IF(ISBLANK($AE130), "-",INDEX(Circuits!O:O,SUMPRODUCT(EXACT($AE130,Circuits!$A:$A)*ROW(Circuits!$A:$A))))</f>
        <v>-</v>
      </c>
      <c r="Q130" s="183" t="str">
        <f t="array" ref="Q130">IF(ISBLANK($AE130), "-",INDEX(Circuits!P:P,SUMPRODUCT(EXACT($AE130,Circuits!$A:$A)*ROW(Circuits!$A:$A))))</f>
        <v>-</v>
      </c>
      <c r="R130" s="183" t="str">
        <f t="array" ref="R130">IF(ISBLANK($AE130), "-",INDEX(Circuits!Q:Q,SUMPRODUCT(EXACT($AE130,Circuits!$A:$A)*ROW(Circuits!$A:$A))))</f>
        <v>-</v>
      </c>
      <c r="S130" s="183" t="str">
        <f t="array" ref="S130">IF(ISBLANK($AE130), "-",INDEX(Circuits!R:R,SUMPRODUCT(EXACT($AE130,Circuits!$A:$A)*ROW(Circuits!$A:$A))))</f>
        <v>-</v>
      </c>
      <c r="T130" s="183" t="str">
        <f t="array" ref="T130">IF(ISBLANK($AE130), "-",INDEX(Circuits!S:S,SUMPRODUCT(EXACT($AE130,Circuits!$A:$A)*ROW(Circuits!$A:$A))))</f>
        <v>-</v>
      </c>
      <c r="U130" s="183" t="str">
        <f t="array" ref="U130">IF(ISBLANK($AE130), "-",INDEX(Circuits!T:T,SUMPRODUCT(EXACT($AE130,Circuits!$A:$A)*ROW(Circuits!$A:$A))))</f>
        <v>-</v>
      </c>
      <c r="V130" s="183" t="str">
        <f t="array" ref="V130">IF(ISBLANK($AE130), "-",INDEX(Circuits!U:U,SUMPRODUCT(EXACT($AE130,Circuits!$A:$A)*ROW(Circuits!$A:$A))))</f>
        <v>-</v>
      </c>
      <c r="W130" s="183" t="str">
        <f t="array" ref="W130">IF(ISBLANK($AE130), "-",INDEX(Circuits!V:V,SUMPRODUCT(EXACT($AE130,Circuits!$A:$A)*ROW(Circuits!$A:$A))))</f>
        <v>-</v>
      </c>
      <c r="X130" s="183" t="str">
        <f t="array" ref="X130">IF(ISBLANK($AE130), "-",INDEX(Circuits!W:W,SUMPRODUCT(EXACT($AE130,Circuits!$A:$A)*ROW(Circuits!$A:$A))))</f>
        <v>-</v>
      </c>
      <c r="Y130" s="183" t="str">
        <f t="array" ref="Y130">IF(ISBLANK($AE130), "-",INDEX(Circuits!X:X,SUMPRODUCT(EXACT($AE130,Circuits!$A:$A)*ROW(Circuits!$A:$A))))</f>
        <v>-</v>
      </c>
      <c r="Z130" s="108" t="str">
        <f>IFERROR(__xludf.DUMMYFUNCTION("IFNA(CONCATENATE(UNIQUE(FILTER(Connections!R:R,Connections!A:A=B130))),""-"")"),"-")</f>
        <v>-</v>
      </c>
      <c r="AA130" s="119" t="str">
        <f t="array" ref="AA130">IF(ISBLANK($AE130), "-",INDEX(Circuits!Y:Y,SUMPRODUCT(EXACT($AE130,Circuits!$A:$A)*ROW(Circuits!$A:$A))))</f>
        <v>-</v>
      </c>
      <c r="AB130" s="121" t="str">
        <f t="array" ref="AB130">IF(ISBLANK($AE130), "-",INDEX(Circuits!Z:Z,SUMPRODUCT(EXACT($AE130,Circuits!$A:$A)*ROW(Circuits!$A:$A))))</f>
        <v>-</v>
      </c>
      <c r="AC130" s="194"/>
      <c r="AD130" s="194"/>
      <c r="AE130" s="40"/>
      <c r="AF130" s="43"/>
      <c r="AG130" s="126" t="str">
        <f>IFERROR(__xludf.DUMMYFUNCTION("IF(ISBLANK(AF130), """", TEXTJOIN(CHAR(10),TRUE,ARRAYFORMULA(IF(ISERROR(SEARCH(SPLIT(AF130, "";""), $Z130)), ""x"", ""-""))))"),"")</f>
        <v/>
      </c>
      <c r="AH130" s="127" t="str">
        <f>IFERROR(__xludf.DUMMYFUNCTION("IF(ISBLANK(AK130), """", TEXTJOIN("";"" &amp; CHAR(10), TRUE, UNIQUE(SPLIT(AK130, "";"" &amp; CHAR(10)), TRUE))&amp;"";"")"),"")</f>
        <v/>
      </c>
      <c r="AI130" s="128" t="str">
        <f>IFERROR(__xludf.DUMMYFUNCTION("IF(ISBLANK(AD130), IF(ISBLANK(AE130),,IFNA(TEXTJOIN("";"" &amp; CHAR(10), TRUE, FILTER(AE:AE, SEARCH(AE130&amp;"";"", AJ:AJ)))&amp;"";"", """")), TEXTJOIN("";"" &amp; CHAR(10), TRUE, UNIQUE(SPLIT(AH130 &amp; "";"" &amp; AH130 &amp; "";"" &amp; AL130, "";"" &amp; CHAR(10)), TRUE, TRUE))&amp;"";"&amp;""")"),"")</f>
        <v/>
      </c>
      <c r="AJ130" s="126" t="str">
        <f>IFERROR(__xludf.DUMMYFUNCTION("IF(AN130="""", """", TEXTJOIN("";"" &amp; CHAR(10), TRUE, UNIQUE(SPLIT(AH130 &amp; "";"" &amp; AH130 &amp; "";"" &amp; AN130, "";"" &amp; CHAR(10)), TRUE, TRUE))&amp;"";"")"),"")</f>
        <v/>
      </c>
      <c r="AK130" s="129" t="str">
        <f>IFERROR(__xludf.DUMMYFUNCTION("IF(ISBLANK(AD130), IF(ISBLANK(AE130),,AE130 &amp; "";""), TEXTJOIN(CHAR(10), TRUE, ARRAYFORMULA(VLOOKUP(SPLIT(AD130, "";"" &amp; CHAR(10)), $AC:$AH, 6, FALSE))))"),"")</f>
        <v/>
      </c>
      <c r="AL130" s="130" t="str">
        <f>IFERROR(__xludf.DUMMYFUNCTION("IF(AM130="""", """", TEXTJOIN("";"" &amp; CHAR(10), TRUE, UNIQUE(SPLIT(AM130, "";"" &amp; CHAR(10)), TRUE))&amp;"";"")"),"")</f>
        <v/>
      </c>
      <c r="AM130" s="130" t="str">
        <f>IFERROR(__xludf.DUMMYFUNCTION("IF(ISBLANK(AD130), """", TEXTJOIN(CHAR(10), TRUE, ARRAYFORMULA(VLOOKUP(SPLIT(AH130, "";"" &amp; CHAR(10)), $AE:$AI, 5, FALSE)), AF130))"),"")</f>
        <v/>
      </c>
      <c r="AN130" s="132" t="str">
        <f>IFERROR(__xludf.DUMMYFUNCTION("IF(ISBLANK(AO130), """", TEXTJOIN("";"" &amp; CHAR(10), TRUE, UNIQUE(SPLIT(AO130, "";"" &amp; CHAR(10)), TRUE))&amp;"";"")"),"")</f>
        <v/>
      </c>
      <c r="AO130" s="134" t="str">
        <f>IFERROR(__xludf.DUMMYFUNCTION("IF(ISBLANK(AD130), AF130, TEXTJOIN(CHAR(10), TRUE, ARRAYFORMULA(VLOOKUP(SPLIT(AD130, "";"" &amp; CHAR(10)), $AC:$AN, 12, FALSE))))"),"")</f>
        <v/>
      </c>
      <c r="AP130" s="130" t="str">
        <f>IF(ISBLANK(AE130),,IF(IFERROR(SEARCH(AE130&amp;";",Circuits!$AO$2),0),TRUE,FALSE))</f>
        <v/>
      </c>
      <c r="AQ130" s="130" t="str">
        <f t="shared" si="2"/>
        <v/>
      </c>
      <c r="AR130" s="130" t="str">
        <f t="shared" si="3"/>
        <v/>
      </c>
      <c r="AS130" s="136" t="str">
        <f>IFERROR(__xludf.DUMMYFUNCTION("IF(AH130="""",,SUM(ARRAYFORMULA(IF(IFERROR(SEARCH(SPLIT(AH130,CHAR(10)),Circuits!$AO$2),0)&gt;0,0,1))))"),"")</f>
        <v/>
      </c>
      <c r="AT130" s="138" t="str">
        <f t="shared" si="4"/>
        <v/>
      </c>
      <c r="AU130" s="138" t="str">
        <f t="shared" si="5"/>
        <v/>
      </c>
      <c r="AV130" s="130" t="str">
        <f>IFERROR(__xludf.DUMMYFUNCTION("IF(AI130="""",,TEXTJOIN("", "",TRUE,ARRAYFORMULA(VLOOKUP(SPLIT(AI130,"";""&amp;CHAR(10)),AE:AT,16,FALSE))))"),"")</f>
        <v/>
      </c>
      <c r="AW130" s="130" t="str">
        <f>IFERROR(__xludf.DUMMYFUNCTION("IF(ISBLANK(BK130),,TEXTJOIN("", "",TRUE,ARRAYFORMULA(VLOOKUP(IFERROR(REGEXEXTRACT(SPLIT(BK130,"";""&amp;CHAR(10)),""\[(.+)\]"")),AE:AT,16,false))))"),"")</f>
        <v/>
      </c>
      <c r="AX130" s="139" t="str">
        <f t="shared" si="6"/>
        <v/>
      </c>
      <c r="AY130" s="139" t="str">
        <f t="shared" si="7"/>
        <v/>
      </c>
      <c r="AZ130" s="106" t="str">
        <f>IFERROR(__xludf.DUMMYFUNCTION("IF(ISBLANK(AD130), BC130, TEXTJOIN(CHAR(10) &amp; CHAR(10), TRUE, ARRAYFORMULA(VLOOKUP(SPLIT(AD130, "";"" &amp; CHAR(10)), $AC:$AY, 23, FALSE))))"),"")</f>
        <v/>
      </c>
      <c r="BA130" s="140" t="s">
        <v>66</v>
      </c>
      <c r="BB130" s="190"/>
      <c r="BC130" s="196"/>
      <c r="BD130" s="106" t="str">
        <f>IFERROR(__xludf.DUMMYFUNCTION("IF(IFERROR(SEARCH(""&lt;&lt;mechanism to realize the capability&gt;&gt;"",BA130),0)=0,
 ""!! Error !! “Capability&amp;Mechanism” column: Invalid Separator:"" &amp; CHAR(10) &amp; ""Insert separator “&lt;&lt;mechanism to realize the capability&gt;&gt;.”"",
 IF(
  LEN(TRIM(CLEAN(
    INDEX(
 "&amp;"     SPLIT(BA130,""&lt;&lt;mechanism to realize the capability&gt;&gt;"",FALSE,FALSE),
      1
    )
  )))=0,
  ""!! Error !! “Capability&amp;Mechanism” column: No Capability:""  &amp; CHAR(10) &amp; ""Describe Capability before separator."",
  INDEX(
    SPLIT(BA130,""&lt;&lt;mechani"&amp;"sm to realize the capability&gt;&gt;"",FALSE,FALSE),
    1
  )
 )
)
"),"!! Error !! “Capability&amp;Mechanism” column: No Capability:
Describe Capability before separator.")</f>
        <v>!! Error !! “Capability&amp;Mechanism” column: No Capability:
Describe Capability before separator.</v>
      </c>
      <c r="BE130" s="190"/>
      <c r="BF130" s="195"/>
      <c r="BG130" s="42"/>
      <c r="BH130" s="190"/>
      <c r="BI130" s="196"/>
      <c r="BJ130" s="42"/>
      <c r="BK130" s="42"/>
      <c r="BL130" s="203"/>
      <c r="BM130" s="203"/>
      <c r="BN130" s="42"/>
      <c r="BO130" s="42"/>
      <c r="BP130" s="143"/>
      <c r="BQ130" s="143"/>
      <c r="BR130" s="192"/>
      <c r="BS130" s="192"/>
      <c r="BT130" s="192"/>
      <c r="BU130" s="192"/>
      <c r="BV130" s="192"/>
      <c r="BW130" s="192"/>
      <c r="BX130" s="146" t="str">
        <f t="shared" si="8"/>
        <v/>
      </c>
    </row>
    <row r="131">
      <c r="A131" s="106" t="str">
        <f t="shared" si="1"/>
        <v/>
      </c>
      <c r="B131" s="183" t="str">
        <f t="array" ref="B131">IF(ISBLANK($AE131), "-",INDEX(Circuits!A:A,SUMPRODUCT(EXACT($AE131,Circuits!$A:$A)*ROW(Circuits!$A:$A))))</f>
        <v>-</v>
      </c>
      <c r="C131" s="183" t="str">
        <f t="array" ref="C131">IF(ISBLANK($AE131), "-",INDEX(Circuits!B:B,SUMPRODUCT(EXACT($AE131,Circuits!$A:$A)*ROW(Circuits!$A:$A))))</f>
        <v>-</v>
      </c>
      <c r="D131" s="183" t="str">
        <f t="array" ref="D131">IF(ISBLANK($AE131), "-",INDEX(Circuits!C:C,SUMPRODUCT(EXACT($AE131,Circuits!$A:$A)*ROW(Circuits!$A:$A))))</f>
        <v>-</v>
      </c>
      <c r="E131" s="183" t="str">
        <f t="array" ref="E131">IF(ISBLANK($AE131), "-",INDEX(Circuits!D:D,SUMPRODUCT(EXACT($AE131,Circuits!$A:$A)*ROW(Circuits!$A:$A))))</f>
        <v>-</v>
      </c>
      <c r="F131" s="183" t="str">
        <f t="array" ref="F131">IF(ISBLANK($AE131), "-",INDEX(Circuits!E:E,SUMPRODUCT(EXACT($AE131,Circuits!$A:$A)*ROW(Circuits!$A:$A))))</f>
        <v>-</v>
      </c>
      <c r="G131" s="183" t="str">
        <f t="array" ref="G131">IF(ISBLANK($AE131), "-",INDEX(Circuits!F:F,SUMPRODUCT(EXACT($AE131,Circuits!$A:$A)*ROW(Circuits!$A:$A))))</f>
        <v>-</v>
      </c>
      <c r="H131" s="183" t="str">
        <f t="array" ref="H131">IF(ISBLANK($AE131), "-",INDEX(Circuits!G:G,SUMPRODUCT(EXACT($AE131,Circuits!$A:$A)*ROW(Circuits!$A:$A))))</f>
        <v>-</v>
      </c>
      <c r="I131" s="183" t="str">
        <f t="array" ref="I131">IF(ISBLANK($AE131), "-",INDEX(Circuits!H:H,SUMPRODUCT(EXACT($AE131,Circuits!$A:$A)*ROW(Circuits!$A:$A))))</f>
        <v>-</v>
      </c>
      <c r="J131" s="183" t="str">
        <f t="array" ref="J131">IF(ISBLANK($AE131), "-",INDEX(Circuits!I:I,SUMPRODUCT(EXACT($AE131,Circuits!$A:$A)*ROW(Circuits!$A:$A))))</f>
        <v>-</v>
      </c>
      <c r="K131" s="183" t="str">
        <f t="array" ref="K131">IF(ISBLANK($AE131), "-",INDEX(Circuits!J:J,SUMPRODUCT(EXACT($AE131,Circuits!$A:$A)*ROW(Circuits!$A:$A))))</f>
        <v>-</v>
      </c>
      <c r="L131" s="183" t="str">
        <f t="array" ref="L131">IF(ISBLANK($AE131), "-",INDEX(Circuits!K:K,SUMPRODUCT(EXACT($AE131,Circuits!$A:$A)*ROW(Circuits!$A:$A))))</f>
        <v>-</v>
      </c>
      <c r="M131" s="183" t="str">
        <f t="array" ref="M131">IF(ISBLANK($AE131), "-",INDEX(Circuits!L:L,SUMPRODUCT(EXACT($AE131,Circuits!$A:$A)*ROW(Circuits!$A:$A))))</f>
        <v>-</v>
      </c>
      <c r="N131" s="183" t="str">
        <f t="array" ref="N131">IF(ISBLANK($AE131), "-",INDEX(Circuits!M:M,SUMPRODUCT(EXACT($AE131,Circuits!$A:$A)*ROW(Circuits!$A:$A))))</f>
        <v>-</v>
      </c>
      <c r="O131" s="183" t="str">
        <f t="array" ref="O131">IF(ISBLANK($AE131), "-",INDEX(Circuits!N:N,SUMPRODUCT(EXACT($AE131,Circuits!$A:$A)*ROW(Circuits!$A:$A))))</f>
        <v>-</v>
      </c>
      <c r="P131" s="183" t="str">
        <f t="array" ref="P131">IF(ISBLANK($AE131), "-",INDEX(Circuits!O:O,SUMPRODUCT(EXACT($AE131,Circuits!$A:$A)*ROW(Circuits!$A:$A))))</f>
        <v>-</v>
      </c>
      <c r="Q131" s="183" t="str">
        <f t="array" ref="Q131">IF(ISBLANK($AE131), "-",INDEX(Circuits!P:P,SUMPRODUCT(EXACT($AE131,Circuits!$A:$A)*ROW(Circuits!$A:$A))))</f>
        <v>-</v>
      </c>
      <c r="R131" s="183" t="str">
        <f t="array" ref="R131">IF(ISBLANK($AE131), "-",INDEX(Circuits!Q:Q,SUMPRODUCT(EXACT($AE131,Circuits!$A:$A)*ROW(Circuits!$A:$A))))</f>
        <v>-</v>
      </c>
      <c r="S131" s="183" t="str">
        <f t="array" ref="S131">IF(ISBLANK($AE131), "-",INDEX(Circuits!R:R,SUMPRODUCT(EXACT($AE131,Circuits!$A:$A)*ROW(Circuits!$A:$A))))</f>
        <v>-</v>
      </c>
      <c r="T131" s="183" t="str">
        <f t="array" ref="T131">IF(ISBLANK($AE131), "-",INDEX(Circuits!S:S,SUMPRODUCT(EXACT($AE131,Circuits!$A:$A)*ROW(Circuits!$A:$A))))</f>
        <v>-</v>
      </c>
      <c r="U131" s="183" t="str">
        <f t="array" ref="U131">IF(ISBLANK($AE131), "-",INDEX(Circuits!T:T,SUMPRODUCT(EXACT($AE131,Circuits!$A:$A)*ROW(Circuits!$A:$A))))</f>
        <v>-</v>
      </c>
      <c r="V131" s="183" t="str">
        <f t="array" ref="V131">IF(ISBLANK($AE131), "-",INDEX(Circuits!U:U,SUMPRODUCT(EXACT($AE131,Circuits!$A:$A)*ROW(Circuits!$A:$A))))</f>
        <v>-</v>
      </c>
      <c r="W131" s="183" t="str">
        <f t="array" ref="W131">IF(ISBLANK($AE131), "-",INDEX(Circuits!V:V,SUMPRODUCT(EXACT($AE131,Circuits!$A:$A)*ROW(Circuits!$A:$A))))</f>
        <v>-</v>
      </c>
      <c r="X131" s="183" t="str">
        <f t="array" ref="X131">IF(ISBLANK($AE131), "-",INDEX(Circuits!W:W,SUMPRODUCT(EXACT($AE131,Circuits!$A:$A)*ROW(Circuits!$A:$A))))</f>
        <v>-</v>
      </c>
      <c r="Y131" s="183" t="str">
        <f t="array" ref="Y131">IF(ISBLANK($AE131), "-",INDEX(Circuits!X:X,SUMPRODUCT(EXACT($AE131,Circuits!$A:$A)*ROW(Circuits!$A:$A))))</f>
        <v>-</v>
      </c>
      <c r="Z131" s="108" t="str">
        <f>IFERROR(__xludf.DUMMYFUNCTION("IFNA(CONCATENATE(UNIQUE(FILTER(Connections!R:R,Connections!A:A=B131))),""-"")"),"-")</f>
        <v>-</v>
      </c>
      <c r="AA131" s="119" t="str">
        <f t="array" ref="AA131">IF(ISBLANK($AE131), "-",INDEX(Circuits!Y:Y,SUMPRODUCT(EXACT($AE131,Circuits!$A:$A)*ROW(Circuits!$A:$A))))</f>
        <v>-</v>
      </c>
      <c r="AB131" s="121" t="str">
        <f t="array" ref="AB131">IF(ISBLANK($AE131), "-",INDEX(Circuits!Z:Z,SUMPRODUCT(EXACT($AE131,Circuits!$A:$A)*ROW(Circuits!$A:$A))))</f>
        <v>-</v>
      </c>
      <c r="AC131" s="194"/>
      <c r="AD131" s="194"/>
      <c r="AE131" s="40"/>
      <c r="AF131" s="43"/>
      <c r="AG131" s="126" t="str">
        <f>IFERROR(__xludf.DUMMYFUNCTION("IF(ISBLANK(AF131), """", TEXTJOIN(CHAR(10),TRUE,ARRAYFORMULA(IF(ISERROR(SEARCH(SPLIT(AF131, "";""), $Z131)), ""x"", ""-""))))"),"")</f>
        <v/>
      </c>
      <c r="AH131" s="127" t="str">
        <f>IFERROR(__xludf.DUMMYFUNCTION("IF(ISBLANK(AK131), """", TEXTJOIN("";"" &amp; CHAR(10), TRUE, UNIQUE(SPLIT(AK131, "";"" &amp; CHAR(10)), TRUE))&amp;"";"")"),"")</f>
        <v/>
      </c>
      <c r="AI131" s="128" t="str">
        <f>IFERROR(__xludf.DUMMYFUNCTION("IF(ISBLANK(AD131), IF(ISBLANK(AE131),,IFNA(TEXTJOIN("";"" &amp; CHAR(10), TRUE, FILTER(AE:AE, SEARCH(AE131&amp;"";"", AJ:AJ)))&amp;"";"", """")), TEXTJOIN("";"" &amp; CHAR(10), TRUE, UNIQUE(SPLIT(AH131 &amp; "";"" &amp; AH131 &amp; "";"" &amp; AL131, "";"" &amp; CHAR(10)), TRUE, TRUE))&amp;"";"&amp;""")"),"")</f>
        <v/>
      </c>
      <c r="AJ131" s="126" t="str">
        <f>IFERROR(__xludf.DUMMYFUNCTION("IF(AN131="""", """", TEXTJOIN("";"" &amp; CHAR(10), TRUE, UNIQUE(SPLIT(AH131 &amp; "";"" &amp; AH131 &amp; "";"" &amp; AN131, "";"" &amp; CHAR(10)), TRUE, TRUE))&amp;"";"")"),"")</f>
        <v/>
      </c>
      <c r="AK131" s="129" t="str">
        <f>IFERROR(__xludf.DUMMYFUNCTION("IF(ISBLANK(AD131), IF(ISBLANK(AE131),,AE131 &amp; "";""), TEXTJOIN(CHAR(10), TRUE, ARRAYFORMULA(VLOOKUP(SPLIT(AD131, "";"" &amp; CHAR(10)), $AC:$AH, 6, FALSE))))"),"")</f>
        <v/>
      </c>
      <c r="AL131" s="130" t="str">
        <f>IFERROR(__xludf.DUMMYFUNCTION("IF(AM131="""", """", TEXTJOIN("";"" &amp; CHAR(10), TRUE, UNIQUE(SPLIT(AM131, "";"" &amp; CHAR(10)), TRUE))&amp;"";"")"),"")</f>
        <v/>
      </c>
      <c r="AM131" s="130" t="str">
        <f>IFERROR(__xludf.DUMMYFUNCTION("IF(ISBLANK(AD131), """", TEXTJOIN(CHAR(10), TRUE, ARRAYFORMULA(VLOOKUP(SPLIT(AH131, "";"" &amp; CHAR(10)), $AE:$AI, 5, FALSE)), AF131))"),"")</f>
        <v/>
      </c>
      <c r="AN131" s="132" t="str">
        <f>IFERROR(__xludf.DUMMYFUNCTION("IF(ISBLANK(AO131), """", TEXTJOIN("";"" &amp; CHAR(10), TRUE, UNIQUE(SPLIT(AO131, "";"" &amp; CHAR(10)), TRUE))&amp;"";"")"),"")</f>
        <v/>
      </c>
      <c r="AO131" s="134" t="str">
        <f>IFERROR(__xludf.DUMMYFUNCTION("IF(ISBLANK(AD131), AF131, TEXTJOIN(CHAR(10), TRUE, ARRAYFORMULA(VLOOKUP(SPLIT(AD131, "";"" &amp; CHAR(10)), $AC:$AN, 12, FALSE))))"),"")</f>
        <v/>
      </c>
      <c r="AP131" s="130" t="str">
        <f>IF(ISBLANK(AE131),,IF(IFERROR(SEARCH(AE131&amp;";",Circuits!$AO$2),0),TRUE,FALSE))</f>
        <v/>
      </c>
      <c r="AQ131" s="130" t="str">
        <f t="shared" si="2"/>
        <v/>
      </c>
      <c r="AR131" s="130" t="str">
        <f t="shared" si="3"/>
        <v/>
      </c>
      <c r="AS131" s="136" t="str">
        <f>IFERROR(__xludf.DUMMYFUNCTION("IF(AH131="""",,SUM(ARRAYFORMULA(IF(IFERROR(SEARCH(SPLIT(AH131,CHAR(10)),Circuits!$AO$2),0)&gt;0,0,1))))"),"")</f>
        <v/>
      </c>
      <c r="AT131" s="138" t="str">
        <f t="shared" si="4"/>
        <v/>
      </c>
      <c r="AU131" s="138" t="str">
        <f t="shared" si="5"/>
        <v/>
      </c>
      <c r="AV131" s="130" t="str">
        <f>IFERROR(__xludf.DUMMYFUNCTION("IF(AI131="""",,TEXTJOIN("", "",TRUE,ARRAYFORMULA(VLOOKUP(SPLIT(AI131,"";""&amp;CHAR(10)),AE:AT,16,FALSE))))"),"")</f>
        <v/>
      </c>
      <c r="AW131" s="130" t="str">
        <f>IFERROR(__xludf.DUMMYFUNCTION("IF(ISBLANK(BK131),,TEXTJOIN("", "",TRUE,ARRAYFORMULA(VLOOKUP(IFERROR(REGEXEXTRACT(SPLIT(BK131,"";""&amp;CHAR(10)),""\[(.+)\]"")),AE:AT,16,false))))"),"")</f>
        <v/>
      </c>
      <c r="AX131" s="139" t="str">
        <f t="shared" si="6"/>
        <v/>
      </c>
      <c r="AY131" s="139" t="str">
        <f t="shared" si="7"/>
        <v/>
      </c>
      <c r="AZ131" s="106" t="str">
        <f>IFERROR(__xludf.DUMMYFUNCTION("IF(ISBLANK(AD131), BC131, TEXTJOIN(CHAR(10) &amp; CHAR(10), TRUE, ARRAYFORMULA(VLOOKUP(SPLIT(AD131, "";"" &amp; CHAR(10)), $AC:$AY, 23, FALSE))))"),"")</f>
        <v/>
      </c>
      <c r="BA131" s="140" t="s">
        <v>66</v>
      </c>
      <c r="BB131" s="190"/>
      <c r="BC131" s="196"/>
      <c r="BD131" s="106" t="str">
        <f>IFERROR(__xludf.DUMMYFUNCTION("IF(IFERROR(SEARCH(""&lt;&lt;mechanism to realize the capability&gt;&gt;"",BA131),0)=0,
 ""!! Error !! “Capability&amp;Mechanism” column: Invalid Separator:"" &amp; CHAR(10) &amp; ""Insert separator “&lt;&lt;mechanism to realize the capability&gt;&gt;.”"",
 IF(
  LEN(TRIM(CLEAN(
    INDEX(
 "&amp;"     SPLIT(BA131,""&lt;&lt;mechanism to realize the capability&gt;&gt;"",FALSE,FALSE),
      1
    )
  )))=0,
  ""!! Error !! “Capability&amp;Mechanism” column: No Capability:""  &amp; CHAR(10) &amp; ""Describe Capability before separator."",
  INDEX(
    SPLIT(BA131,""&lt;&lt;mechani"&amp;"sm to realize the capability&gt;&gt;"",FALSE,FALSE),
    1
  )
 )
)
"),"!! Error !! “Capability&amp;Mechanism” column: No Capability:
Describe Capability before separator.")</f>
        <v>!! Error !! “Capability&amp;Mechanism” column: No Capability:
Describe Capability before separator.</v>
      </c>
      <c r="BE131" s="190"/>
      <c r="BF131" s="195"/>
      <c r="BG131" s="42"/>
      <c r="BH131" s="190"/>
      <c r="BI131" s="196"/>
      <c r="BJ131" s="42"/>
      <c r="BK131" s="42"/>
      <c r="BL131" s="203"/>
      <c r="BM131" s="203"/>
      <c r="BN131" s="42"/>
      <c r="BO131" s="42"/>
      <c r="BP131" s="143"/>
      <c r="BQ131" s="143"/>
      <c r="BR131" s="192"/>
      <c r="BS131" s="192"/>
      <c r="BT131" s="192"/>
      <c r="BU131" s="192"/>
      <c r="BV131" s="192"/>
      <c r="BW131" s="192"/>
      <c r="BX131" s="146" t="str">
        <f t="shared" si="8"/>
        <v/>
      </c>
    </row>
    <row r="132">
      <c r="A132" s="106" t="str">
        <f t="shared" si="1"/>
        <v/>
      </c>
      <c r="B132" s="183" t="str">
        <f t="array" ref="B132">IF(ISBLANK($AE132), "-",INDEX(Circuits!A:A,SUMPRODUCT(EXACT($AE132,Circuits!$A:$A)*ROW(Circuits!$A:$A))))</f>
        <v>-</v>
      </c>
      <c r="C132" s="183" t="str">
        <f t="array" ref="C132">IF(ISBLANK($AE132), "-",INDEX(Circuits!B:B,SUMPRODUCT(EXACT($AE132,Circuits!$A:$A)*ROW(Circuits!$A:$A))))</f>
        <v>-</v>
      </c>
      <c r="D132" s="183" t="str">
        <f t="array" ref="D132">IF(ISBLANK($AE132), "-",INDEX(Circuits!C:C,SUMPRODUCT(EXACT($AE132,Circuits!$A:$A)*ROW(Circuits!$A:$A))))</f>
        <v>-</v>
      </c>
      <c r="E132" s="183" t="str">
        <f t="array" ref="E132">IF(ISBLANK($AE132), "-",INDEX(Circuits!D:D,SUMPRODUCT(EXACT($AE132,Circuits!$A:$A)*ROW(Circuits!$A:$A))))</f>
        <v>-</v>
      </c>
      <c r="F132" s="183" t="str">
        <f t="array" ref="F132">IF(ISBLANK($AE132), "-",INDEX(Circuits!E:E,SUMPRODUCT(EXACT($AE132,Circuits!$A:$A)*ROW(Circuits!$A:$A))))</f>
        <v>-</v>
      </c>
      <c r="G132" s="183" t="str">
        <f t="array" ref="G132">IF(ISBLANK($AE132), "-",INDEX(Circuits!F:F,SUMPRODUCT(EXACT($AE132,Circuits!$A:$A)*ROW(Circuits!$A:$A))))</f>
        <v>-</v>
      </c>
      <c r="H132" s="183" t="str">
        <f t="array" ref="H132">IF(ISBLANK($AE132), "-",INDEX(Circuits!G:G,SUMPRODUCT(EXACT($AE132,Circuits!$A:$A)*ROW(Circuits!$A:$A))))</f>
        <v>-</v>
      </c>
      <c r="I132" s="183" t="str">
        <f t="array" ref="I132">IF(ISBLANK($AE132), "-",INDEX(Circuits!H:H,SUMPRODUCT(EXACT($AE132,Circuits!$A:$A)*ROW(Circuits!$A:$A))))</f>
        <v>-</v>
      </c>
      <c r="J132" s="183" t="str">
        <f t="array" ref="J132">IF(ISBLANK($AE132), "-",INDEX(Circuits!I:I,SUMPRODUCT(EXACT($AE132,Circuits!$A:$A)*ROW(Circuits!$A:$A))))</f>
        <v>-</v>
      </c>
      <c r="K132" s="183" t="str">
        <f t="array" ref="K132">IF(ISBLANK($AE132), "-",INDEX(Circuits!J:J,SUMPRODUCT(EXACT($AE132,Circuits!$A:$A)*ROW(Circuits!$A:$A))))</f>
        <v>-</v>
      </c>
      <c r="L132" s="183" t="str">
        <f t="array" ref="L132">IF(ISBLANK($AE132), "-",INDEX(Circuits!K:K,SUMPRODUCT(EXACT($AE132,Circuits!$A:$A)*ROW(Circuits!$A:$A))))</f>
        <v>-</v>
      </c>
      <c r="M132" s="183" t="str">
        <f t="array" ref="M132">IF(ISBLANK($AE132), "-",INDEX(Circuits!L:L,SUMPRODUCT(EXACT($AE132,Circuits!$A:$A)*ROW(Circuits!$A:$A))))</f>
        <v>-</v>
      </c>
      <c r="N132" s="183" t="str">
        <f t="array" ref="N132">IF(ISBLANK($AE132), "-",INDEX(Circuits!M:M,SUMPRODUCT(EXACT($AE132,Circuits!$A:$A)*ROW(Circuits!$A:$A))))</f>
        <v>-</v>
      </c>
      <c r="O132" s="183" t="str">
        <f t="array" ref="O132">IF(ISBLANK($AE132), "-",INDEX(Circuits!N:N,SUMPRODUCT(EXACT($AE132,Circuits!$A:$A)*ROW(Circuits!$A:$A))))</f>
        <v>-</v>
      </c>
      <c r="P132" s="183" t="str">
        <f t="array" ref="P132">IF(ISBLANK($AE132), "-",INDEX(Circuits!O:O,SUMPRODUCT(EXACT($AE132,Circuits!$A:$A)*ROW(Circuits!$A:$A))))</f>
        <v>-</v>
      </c>
      <c r="Q132" s="183" t="str">
        <f t="array" ref="Q132">IF(ISBLANK($AE132), "-",INDEX(Circuits!P:P,SUMPRODUCT(EXACT($AE132,Circuits!$A:$A)*ROW(Circuits!$A:$A))))</f>
        <v>-</v>
      </c>
      <c r="R132" s="183" t="str">
        <f t="array" ref="R132">IF(ISBLANK($AE132), "-",INDEX(Circuits!Q:Q,SUMPRODUCT(EXACT($AE132,Circuits!$A:$A)*ROW(Circuits!$A:$A))))</f>
        <v>-</v>
      </c>
      <c r="S132" s="183" t="str">
        <f t="array" ref="S132">IF(ISBLANK($AE132), "-",INDEX(Circuits!R:R,SUMPRODUCT(EXACT($AE132,Circuits!$A:$A)*ROW(Circuits!$A:$A))))</f>
        <v>-</v>
      </c>
      <c r="T132" s="183" t="str">
        <f t="array" ref="T132">IF(ISBLANK($AE132), "-",INDEX(Circuits!S:S,SUMPRODUCT(EXACT($AE132,Circuits!$A:$A)*ROW(Circuits!$A:$A))))</f>
        <v>-</v>
      </c>
      <c r="U132" s="183" t="str">
        <f t="array" ref="U132">IF(ISBLANK($AE132), "-",INDEX(Circuits!T:T,SUMPRODUCT(EXACT($AE132,Circuits!$A:$A)*ROW(Circuits!$A:$A))))</f>
        <v>-</v>
      </c>
      <c r="V132" s="183" t="str">
        <f t="array" ref="V132">IF(ISBLANK($AE132), "-",INDEX(Circuits!U:U,SUMPRODUCT(EXACT($AE132,Circuits!$A:$A)*ROW(Circuits!$A:$A))))</f>
        <v>-</v>
      </c>
      <c r="W132" s="183" t="str">
        <f t="array" ref="W132">IF(ISBLANK($AE132), "-",INDEX(Circuits!V:V,SUMPRODUCT(EXACT($AE132,Circuits!$A:$A)*ROW(Circuits!$A:$A))))</f>
        <v>-</v>
      </c>
      <c r="X132" s="183" t="str">
        <f t="array" ref="X132">IF(ISBLANK($AE132), "-",INDEX(Circuits!W:W,SUMPRODUCT(EXACT($AE132,Circuits!$A:$A)*ROW(Circuits!$A:$A))))</f>
        <v>-</v>
      </c>
      <c r="Y132" s="183" t="str">
        <f t="array" ref="Y132">IF(ISBLANK($AE132), "-",INDEX(Circuits!X:X,SUMPRODUCT(EXACT($AE132,Circuits!$A:$A)*ROW(Circuits!$A:$A))))</f>
        <v>-</v>
      </c>
      <c r="Z132" s="108" t="str">
        <f>IFERROR(__xludf.DUMMYFUNCTION("IFNA(CONCATENATE(UNIQUE(FILTER(Connections!R:R,Connections!A:A=B132))),""-"")"),"-")</f>
        <v>-</v>
      </c>
      <c r="AA132" s="119" t="str">
        <f t="array" ref="AA132">IF(ISBLANK($AE132), "-",INDEX(Circuits!Y:Y,SUMPRODUCT(EXACT($AE132,Circuits!$A:$A)*ROW(Circuits!$A:$A))))</f>
        <v>-</v>
      </c>
      <c r="AB132" s="121" t="str">
        <f t="array" ref="AB132">IF(ISBLANK($AE132), "-",INDEX(Circuits!Z:Z,SUMPRODUCT(EXACT($AE132,Circuits!$A:$A)*ROW(Circuits!$A:$A))))</f>
        <v>-</v>
      </c>
      <c r="AC132" s="194"/>
      <c r="AD132" s="194"/>
      <c r="AE132" s="40"/>
      <c r="AF132" s="43"/>
      <c r="AG132" s="126" t="str">
        <f>IFERROR(__xludf.DUMMYFUNCTION("IF(ISBLANK(AF132), """", TEXTJOIN(CHAR(10),TRUE,ARRAYFORMULA(IF(ISERROR(SEARCH(SPLIT(AF132, "";""), $Z132)), ""x"", ""-""))))"),"")</f>
        <v/>
      </c>
      <c r="AH132" s="127" t="str">
        <f>IFERROR(__xludf.DUMMYFUNCTION("IF(ISBLANK(AK132), """", TEXTJOIN("";"" &amp; CHAR(10), TRUE, UNIQUE(SPLIT(AK132, "";"" &amp; CHAR(10)), TRUE))&amp;"";"")"),"")</f>
        <v/>
      </c>
      <c r="AI132" s="128" t="str">
        <f>IFERROR(__xludf.DUMMYFUNCTION("IF(ISBLANK(AD132), IF(ISBLANK(AE132),,IFNA(TEXTJOIN("";"" &amp; CHAR(10), TRUE, FILTER(AE:AE, SEARCH(AE132&amp;"";"", AJ:AJ)))&amp;"";"", """")), TEXTJOIN("";"" &amp; CHAR(10), TRUE, UNIQUE(SPLIT(AH132 &amp; "";"" &amp; AH132 &amp; "";"" &amp; AL132, "";"" &amp; CHAR(10)), TRUE, TRUE))&amp;"";"&amp;""")"),"")</f>
        <v/>
      </c>
      <c r="AJ132" s="126" t="str">
        <f>IFERROR(__xludf.DUMMYFUNCTION("IF(AN132="""", """", TEXTJOIN("";"" &amp; CHAR(10), TRUE, UNIQUE(SPLIT(AH132 &amp; "";"" &amp; AH132 &amp; "";"" &amp; AN132, "";"" &amp; CHAR(10)), TRUE, TRUE))&amp;"";"")"),"")</f>
        <v/>
      </c>
      <c r="AK132" s="129" t="str">
        <f>IFERROR(__xludf.DUMMYFUNCTION("IF(ISBLANK(AD132), IF(ISBLANK(AE132),,AE132 &amp; "";""), TEXTJOIN(CHAR(10), TRUE, ARRAYFORMULA(VLOOKUP(SPLIT(AD132, "";"" &amp; CHAR(10)), $AC:$AH, 6, FALSE))))"),"")</f>
        <v/>
      </c>
      <c r="AL132" s="130" t="str">
        <f>IFERROR(__xludf.DUMMYFUNCTION("IF(AM132="""", """", TEXTJOIN("";"" &amp; CHAR(10), TRUE, UNIQUE(SPLIT(AM132, "";"" &amp; CHAR(10)), TRUE))&amp;"";"")"),"")</f>
        <v/>
      </c>
      <c r="AM132" s="130" t="str">
        <f>IFERROR(__xludf.DUMMYFUNCTION("IF(ISBLANK(AD132), """", TEXTJOIN(CHAR(10), TRUE, ARRAYFORMULA(VLOOKUP(SPLIT(AH132, "";"" &amp; CHAR(10)), $AE:$AI, 5, FALSE)), AF132))"),"")</f>
        <v/>
      </c>
      <c r="AN132" s="132" t="str">
        <f>IFERROR(__xludf.DUMMYFUNCTION("IF(ISBLANK(AO132), """", TEXTJOIN("";"" &amp; CHAR(10), TRUE, UNIQUE(SPLIT(AO132, "";"" &amp; CHAR(10)), TRUE))&amp;"";"")"),"")</f>
        <v/>
      </c>
      <c r="AO132" s="134" t="str">
        <f>IFERROR(__xludf.DUMMYFUNCTION("IF(ISBLANK(AD132), AF132, TEXTJOIN(CHAR(10), TRUE, ARRAYFORMULA(VLOOKUP(SPLIT(AD132, "";"" &amp; CHAR(10)), $AC:$AN, 12, FALSE))))"),"")</f>
        <v/>
      </c>
      <c r="AP132" s="130" t="str">
        <f>IF(ISBLANK(AE132),,IF(IFERROR(SEARCH(AE132&amp;";",Circuits!$AO$2),0),TRUE,FALSE))</f>
        <v/>
      </c>
      <c r="AQ132" s="130" t="str">
        <f t="shared" si="2"/>
        <v/>
      </c>
      <c r="AR132" s="130" t="str">
        <f t="shared" si="3"/>
        <v/>
      </c>
      <c r="AS132" s="136" t="str">
        <f>IFERROR(__xludf.DUMMYFUNCTION("IF(AH132="""",,SUM(ARRAYFORMULA(IF(IFERROR(SEARCH(SPLIT(AH132,CHAR(10)),Circuits!$AO$2),0)&gt;0,0,1))))"),"")</f>
        <v/>
      </c>
      <c r="AT132" s="138" t="str">
        <f t="shared" si="4"/>
        <v/>
      </c>
      <c r="AU132" s="138" t="str">
        <f t="shared" si="5"/>
        <v/>
      </c>
      <c r="AV132" s="130" t="str">
        <f>IFERROR(__xludf.DUMMYFUNCTION("IF(AI132="""",,TEXTJOIN("", "",TRUE,ARRAYFORMULA(VLOOKUP(SPLIT(AI132,"";""&amp;CHAR(10)),AE:AT,16,FALSE))))"),"")</f>
        <v/>
      </c>
      <c r="AW132" s="130" t="str">
        <f>IFERROR(__xludf.DUMMYFUNCTION("IF(ISBLANK(BK132),,TEXTJOIN("", "",TRUE,ARRAYFORMULA(VLOOKUP(IFERROR(REGEXEXTRACT(SPLIT(BK132,"";""&amp;CHAR(10)),""\[(.+)\]"")),AE:AT,16,false))))"),"")</f>
        <v/>
      </c>
      <c r="AX132" s="139" t="str">
        <f t="shared" si="6"/>
        <v/>
      </c>
      <c r="AY132" s="139" t="str">
        <f t="shared" si="7"/>
        <v/>
      </c>
      <c r="AZ132" s="106" t="str">
        <f>IFERROR(__xludf.DUMMYFUNCTION("IF(ISBLANK(AD132), BC132, TEXTJOIN(CHAR(10) &amp; CHAR(10), TRUE, ARRAYFORMULA(VLOOKUP(SPLIT(AD132, "";"" &amp; CHAR(10)), $AC:$AY, 23, FALSE))))"),"")</f>
        <v/>
      </c>
      <c r="BA132" s="140" t="s">
        <v>66</v>
      </c>
      <c r="BB132" s="190"/>
      <c r="BC132" s="196"/>
      <c r="BD132" s="106" t="str">
        <f>IFERROR(__xludf.DUMMYFUNCTION("IF(IFERROR(SEARCH(""&lt;&lt;mechanism to realize the capability&gt;&gt;"",BA132),0)=0,
 ""!! Error !! “Capability&amp;Mechanism” column: Invalid Separator:"" &amp; CHAR(10) &amp; ""Insert separator “&lt;&lt;mechanism to realize the capability&gt;&gt;.”"",
 IF(
  LEN(TRIM(CLEAN(
    INDEX(
 "&amp;"     SPLIT(BA132,""&lt;&lt;mechanism to realize the capability&gt;&gt;"",FALSE,FALSE),
      1
    )
  )))=0,
  ""!! Error !! “Capability&amp;Mechanism” column: No Capability:""  &amp; CHAR(10) &amp; ""Describe Capability before separator."",
  INDEX(
    SPLIT(BA132,""&lt;&lt;mechani"&amp;"sm to realize the capability&gt;&gt;"",FALSE,FALSE),
    1
  )
 )
)
"),"!! Error !! “Capability&amp;Mechanism” column: No Capability:
Describe Capability before separator.")</f>
        <v>!! Error !! “Capability&amp;Mechanism” column: No Capability:
Describe Capability before separator.</v>
      </c>
      <c r="BE132" s="190"/>
      <c r="BF132" s="195"/>
      <c r="BG132" s="42"/>
      <c r="BH132" s="190"/>
      <c r="BI132" s="196"/>
      <c r="BJ132" s="42"/>
      <c r="BK132" s="42"/>
      <c r="BL132" s="203"/>
      <c r="BM132" s="203"/>
      <c r="BN132" s="42"/>
      <c r="BO132" s="42"/>
      <c r="BP132" s="143"/>
      <c r="BQ132" s="143"/>
      <c r="BR132" s="192"/>
      <c r="BS132" s="192"/>
      <c r="BT132" s="192"/>
      <c r="BU132" s="192"/>
      <c r="BV132" s="192"/>
      <c r="BW132" s="192"/>
      <c r="BX132" s="146" t="str">
        <f t="shared" si="8"/>
        <v/>
      </c>
    </row>
    <row r="133">
      <c r="A133" s="106" t="str">
        <f t="shared" si="1"/>
        <v/>
      </c>
      <c r="B133" s="183" t="str">
        <f t="array" ref="B133">IF(ISBLANK($AE133), "-",INDEX(Circuits!A:A,SUMPRODUCT(EXACT($AE133,Circuits!$A:$A)*ROW(Circuits!$A:$A))))</f>
        <v>-</v>
      </c>
      <c r="C133" s="183" t="str">
        <f t="array" ref="C133">IF(ISBLANK($AE133), "-",INDEX(Circuits!B:B,SUMPRODUCT(EXACT($AE133,Circuits!$A:$A)*ROW(Circuits!$A:$A))))</f>
        <v>-</v>
      </c>
      <c r="D133" s="183" t="str">
        <f t="array" ref="D133">IF(ISBLANK($AE133), "-",INDEX(Circuits!C:C,SUMPRODUCT(EXACT($AE133,Circuits!$A:$A)*ROW(Circuits!$A:$A))))</f>
        <v>-</v>
      </c>
      <c r="E133" s="183" t="str">
        <f t="array" ref="E133">IF(ISBLANK($AE133), "-",INDEX(Circuits!D:D,SUMPRODUCT(EXACT($AE133,Circuits!$A:$A)*ROW(Circuits!$A:$A))))</f>
        <v>-</v>
      </c>
      <c r="F133" s="183" t="str">
        <f t="array" ref="F133">IF(ISBLANK($AE133), "-",INDEX(Circuits!E:E,SUMPRODUCT(EXACT($AE133,Circuits!$A:$A)*ROW(Circuits!$A:$A))))</f>
        <v>-</v>
      </c>
      <c r="G133" s="183" t="str">
        <f t="array" ref="G133">IF(ISBLANK($AE133), "-",INDEX(Circuits!F:F,SUMPRODUCT(EXACT($AE133,Circuits!$A:$A)*ROW(Circuits!$A:$A))))</f>
        <v>-</v>
      </c>
      <c r="H133" s="183" t="str">
        <f t="array" ref="H133">IF(ISBLANK($AE133), "-",INDEX(Circuits!G:G,SUMPRODUCT(EXACT($AE133,Circuits!$A:$A)*ROW(Circuits!$A:$A))))</f>
        <v>-</v>
      </c>
      <c r="I133" s="183" t="str">
        <f t="array" ref="I133">IF(ISBLANK($AE133), "-",INDEX(Circuits!H:H,SUMPRODUCT(EXACT($AE133,Circuits!$A:$A)*ROW(Circuits!$A:$A))))</f>
        <v>-</v>
      </c>
      <c r="J133" s="183" t="str">
        <f t="array" ref="J133">IF(ISBLANK($AE133), "-",INDEX(Circuits!I:I,SUMPRODUCT(EXACT($AE133,Circuits!$A:$A)*ROW(Circuits!$A:$A))))</f>
        <v>-</v>
      </c>
      <c r="K133" s="183" t="str">
        <f t="array" ref="K133">IF(ISBLANK($AE133), "-",INDEX(Circuits!J:J,SUMPRODUCT(EXACT($AE133,Circuits!$A:$A)*ROW(Circuits!$A:$A))))</f>
        <v>-</v>
      </c>
      <c r="L133" s="183" t="str">
        <f t="array" ref="L133">IF(ISBLANK($AE133), "-",INDEX(Circuits!K:K,SUMPRODUCT(EXACT($AE133,Circuits!$A:$A)*ROW(Circuits!$A:$A))))</f>
        <v>-</v>
      </c>
      <c r="M133" s="183" t="str">
        <f t="array" ref="M133">IF(ISBLANK($AE133), "-",INDEX(Circuits!L:L,SUMPRODUCT(EXACT($AE133,Circuits!$A:$A)*ROW(Circuits!$A:$A))))</f>
        <v>-</v>
      </c>
      <c r="N133" s="183" t="str">
        <f t="array" ref="N133">IF(ISBLANK($AE133), "-",INDEX(Circuits!M:M,SUMPRODUCT(EXACT($AE133,Circuits!$A:$A)*ROW(Circuits!$A:$A))))</f>
        <v>-</v>
      </c>
      <c r="O133" s="183" t="str">
        <f t="array" ref="O133">IF(ISBLANK($AE133), "-",INDEX(Circuits!N:N,SUMPRODUCT(EXACT($AE133,Circuits!$A:$A)*ROW(Circuits!$A:$A))))</f>
        <v>-</v>
      </c>
      <c r="P133" s="183" t="str">
        <f t="array" ref="P133">IF(ISBLANK($AE133), "-",INDEX(Circuits!O:O,SUMPRODUCT(EXACT($AE133,Circuits!$A:$A)*ROW(Circuits!$A:$A))))</f>
        <v>-</v>
      </c>
      <c r="Q133" s="183" t="str">
        <f t="array" ref="Q133">IF(ISBLANK($AE133), "-",INDEX(Circuits!P:P,SUMPRODUCT(EXACT($AE133,Circuits!$A:$A)*ROW(Circuits!$A:$A))))</f>
        <v>-</v>
      </c>
      <c r="R133" s="183" t="str">
        <f t="array" ref="R133">IF(ISBLANK($AE133), "-",INDEX(Circuits!Q:Q,SUMPRODUCT(EXACT($AE133,Circuits!$A:$A)*ROW(Circuits!$A:$A))))</f>
        <v>-</v>
      </c>
      <c r="S133" s="183" t="str">
        <f t="array" ref="S133">IF(ISBLANK($AE133), "-",INDEX(Circuits!R:R,SUMPRODUCT(EXACT($AE133,Circuits!$A:$A)*ROW(Circuits!$A:$A))))</f>
        <v>-</v>
      </c>
      <c r="T133" s="183" t="str">
        <f t="array" ref="T133">IF(ISBLANK($AE133), "-",INDEX(Circuits!S:S,SUMPRODUCT(EXACT($AE133,Circuits!$A:$A)*ROW(Circuits!$A:$A))))</f>
        <v>-</v>
      </c>
      <c r="U133" s="183" t="str">
        <f t="array" ref="U133">IF(ISBLANK($AE133), "-",INDEX(Circuits!T:T,SUMPRODUCT(EXACT($AE133,Circuits!$A:$A)*ROW(Circuits!$A:$A))))</f>
        <v>-</v>
      </c>
      <c r="V133" s="183" t="str">
        <f t="array" ref="V133">IF(ISBLANK($AE133), "-",INDEX(Circuits!U:U,SUMPRODUCT(EXACT($AE133,Circuits!$A:$A)*ROW(Circuits!$A:$A))))</f>
        <v>-</v>
      </c>
      <c r="W133" s="183" t="str">
        <f t="array" ref="W133">IF(ISBLANK($AE133), "-",INDEX(Circuits!V:V,SUMPRODUCT(EXACT($AE133,Circuits!$A:$A)*ROW(Circuits!$A:$A))))</f>
        <v>-</v>
      </c>
      <c r="X133" s="183" t="str">
        <f t="array" ref="X133">IF(ISBLANK($AE133), "-",INDEX(Circuits!W:W,SUMPRODUCT(EXACT($AE133,Circuits!$A:$A)*ROW(Circuits!$A:$A))))</f>
        <v>-</v>
      </c>
      <c r="Y133" s="183" t="str">
        <f t="array" ref="Y133">IF(ISBLANK($AE133), "-",INDEX(Circuits!X:X,SUMPRODUCT(EXACT($AE133,Circuits!$A:$A)*ROW(Circuits!$A:$A))))</f>
        <v>-</v>
      </c>
      <c r="Z133" s="108" t="str">
        <f>IFERROR(__xludf.DUMMYFUNCTION("IFNA(CONCATENATE(UNIQUE(FILTER(Connections!R:R,Connections!A:A=B133))),""-"")"),"-")</f>
        <v>-</v>
      </c>
      <c r="AA133" s="119" t="str">
        <f t="array" ref="AA133">IF(ISBLANK($AE133), "-",INDEX(Circuits!Y:Y,SUMPRODUCT(EXACT($AE133,Circuits!$A:$A)*ROW(Circuits!$A:$A))))</f>
        <v>-</v>
      </c>
      <c r="AB133" s="121" t="str">
        <f t="array" ref="AB133">IF(ISBLANK($AE133), "-",INDEX(Circuits!Z:Z,SUMPRODUCT(EXACT($AE133,Circuits!$A:$A)*ROW(Circuits!$A:$A))))</f>
        <v>-</v>
      </c>
      <c r="AC133" s="194"/>
      <c r="AD133" s="194"/>
      <c r="AE133" s="40"/>
      <c r="AF133" s="43"/>
      <c r="AG133" s="126" t="str">
        <f>IFERROR(__xludf.DUMMYFUNCTION("IF(ISBLANK(AF133), """", TEXTJOIN(CHAR(10),TRUE,ARRAYFORMULA(IF(ISERROR(SEARCH(SPLIT(AF133, "";""), $Z133)), ""x"", ""-""))))"),"")</f>
        <v/>
      </c>
      <c r="AH133" s="127" t="str">
        <f>IFERROR(__xludf.DUMMYFUNCTION("IF(ISBLANK(AK133), """", TEXTJOIN("";"" &amp; CHAR(10), TRUE, UNIQUE(SPLIT(AK133, "";"" &amp; CHAR(10)), TRUE))&amp;"";"")"),"")</f>
        <v/>
      </c>
      <c r="AI133" s="128" t="str">
        <f>IFERROR(__xludf.DUMMYFUNCTION("IF(ISBLANK(AD133), IF(ISBLANK(AE133),,IFNA(TEXTJOIN("";"" &amp; CHAR(10), TRUE, FILTER(AE:AE, SEARCH(AE133&amp;"";"", AJ:AJ)))&amp;"";"", """")), TEXTJOIN("";"" &amp; CHAR(10), TRUE, UNIQUE(SPLIT(AH133 &amp; "";"" &amp; AH133 &amp; "";"" &amp; AL133, "";"" &amp; CHAR(10)), TRUE, TRUE))&amp;"";"&amp;""")"),"")</f>
        <v/>
      </c>
      <c r="AJ133" s="126" t="str">
        <f>IFERROR(__xludf.DUMMYFUNCTION("IF(AN133="""", """", TEXTJOIN("";"" &amp; CHAR(10), TRUE, UNIQUE(SPLIT(AH133 &amp; "";"" &amp; AH133 &amp; "";"" &amp; AN133, "";"" &amp; CHAR(10)), TRUE, TRUE))&amp;"";"")"),"")</f>
        <v/>
      </c>
      <c r="AK133" s="129" t="str">
        <f>IFERROR(__xludf.DUMMYFUNCTION("IF(ISBLANK(AD133), IF(ISBLANK(AE133),,AE133 &amp; "";""), TEXTJOIN(CHAR(10), TRUE, ARRAYFORMULA(VLOOKUP(SPLIT(AD133, "";"" &amp; CHAR(10)), $AC:$AH, 6, FALSE))))"),"")</f>
        <v/>
      </c>
      <c r="AL133" s="130" t="str">
        <f>IFERROR(__xludf.DUMMYFUNCTION("IF(AM133="""", """", TEXTJOIN("";"" &amp; CHAR(10), TRUE, UNIQUE(SPLIT(AM133, "";"" &amp; CHAR(10)), TRUE))&amp;"";"")"),"")</f>
        <v/>
      </c>
      <c r="AM133" s="130" t="str">
        <f>IFERROR(__xludf.DUMMYFUNCTION("IF(ISBLANK(AD133), """", TEXTJOIN(CHAR(10), TRUE, ARRAYFORMULA(VLOOKUP(SPLIT(AH133, "";"" &amp; CHAR(10)), $AE:$AI, 5, FALSE)), AF133))"),"")</f>
        <v/>
      </c>
      <c r="AN133" s="132" t="str">
        <f>IFERROR(__xludf.DUMMYFUNCTION("IF(ISBLANK(AO133), """", TEXTJOIN("";"" &amp; CHAR(10), TRUE, UNIQUE(SPLIT(AO133, "";"" &amp; CHAR(10)), TRUE))&amp;"";"")"),"")</f>
        <v/>
      </c>
      <c r="AO133" s="134" t="str">
        <f>IFERROR(__xludf.DUMMYFUNCTION("IF(ISBLANK(AD133), AF133, TEXTJOIN(CHAR(10), TRUE, ARRAYFORMULA(VLOOKUP(SPLIT(AD133, "";"" &amp; CHAR(10)), $AC:$AN, 12, FALSE))))"),"")</f>
        <v/>
      </c>
      <c r="AP133" s="130" t="str">
        <f>IF(ISBLANK(AE133),,IF(IFERROR(SEARCH(AE133&amp;";",Circuits!$AO$2),0),TRUE,FALSE))</f>
        <v/>
      </c>
      <c r="AQ133" s="130" t="str">
        <f t="shared" si="2"/>
        <v/>
      </c>
      <c r="AR133" s="130" t="str">
        <f t="shared" si="3"/>
        <v/>
      </c>
      <c r="AS133" s="136" t="str">
        <f>IFERROR(__xludf.DUMMYFUNCTION("IF(AH133="""",,SUM(ARRAYFORMULA(IF(IFERROR(SEARCH(SPLIT(AH133,CHAR(10)),Circuits!$AO$2),0)&gt;0,0,1))))"),"")</f>
        <v/>
      </c>
      <c r="AT133" s="138" t="str">
        <f t="shared" si="4"/>
        <v/>
      </c>
      <c r="AU133" s="138" t="str">
        <f t="shared" si="5"/>
        <v/>
      </c>
      <c r="AV133" s="130" t="str">
        <f>IFERROR(__xludf.DUMMYFUNCTION("IF(AI133="""",,TEXTJOIN("", "",TRUE,ARRAYFORMULA(VLOOKUP(SPLIT(AI133,"";""&amp;CHAR(10)),AE:AT,16,FALSE))))"),"")</f>
        <v/>
      </c>
      <c r="AW133" s="130" t="str">
        <f>IFERROR(__xludf.DUMMYFUNCTION("IF(ISBLANK(BK133),,TEXTJOIN("", "",TRUE,ARRAYFORMULA(VLOOKUP(IFERROR(REGEXEXTRACT(SPLIT(BK133,"";""&amp;CHAR(10)),""\[(.+)\]"")),AE:AT,16,false))))"),"")</f>
        <v/>
      </c>
      <c r="AX133" s="139" t="str">
        <f t="shared" si="6"/>
        <v/>
      </c>
      <c r="AY133" s="139" t="str">
        <f t="shared" si="7"/>
        <v/>
      </c>
      <c r="AZ133" s="106" t="str">
        <f>IFERROR(__xludf.DUMMYFUNCTION("IF(ISBLANK(AD133), BC133, TEXTJOIN(CHAR(10) &amp; CHAR(10), TRUE, ARRAYFORMULA(VLOOKUP(SPLIT(AD133, "";"" &amp; CHAR(10)), $AC:$AY, 23, FALSE))))"),"")</f>
        <v/>
      </c>
      <c r="BA133" s="140" t="s">
        <v>66</v>
      </c>
      <c r="BB133" s="190"/>
      <c r="BC133" s="196"/>
      <c r="BD133" s="106" t="str">
        <f>IFERROR(__xludf.DUMMYFUNCTION("IF(IFERROR(SEARCH(""&lt;&lt;mechanism to realize the capability&gt;&gt;"",BA133),0)=0,
 ""!! Error !! “Capability&amp;Mechanism” column: Invalid Separator:"" &amp; CHAR(10) &amp; ""Insert separator “&lt;&lt;mechanism to realize the capability&gt;&gt;.”"",
 IF(
  LEN(TRIM(CLEAN(
    INDEX(
 "&amp;"     SPLIT(BA133,""&lt;&lt;mechanism to realize the capability&gt;&gt;"",FALSE,FALSE),
      1
    )
  )))=0,
  ""!! Error !! “Capability&amp;Mechanism” column: No Capability:""  &amp; CHAR(10) &amp; ""Describe Capability before separator."",
  INDEX(
    SPLIT(BA133,""&lt;&lt;mechani"&amp;"sm to realize the capability&gt;&gt;"",FALSE,FALSE),
    1
  )
 )
)
"),"!! Error !! “Capability&amp;Mechanism” column: No Capability:
Describe Capability before separator.")</f>
        <v>!! Error !! “Capability&amp;Mechanism” column: No Capability:
Describe Capability before separator.</v>
      </c>
      <c r="BE133" s="190"/>
      <c r="BF133" s="195"/>
      <c r="BG133" s="42"/>
      <c r="BH133" s="190"/>
      <c r="BI133" s="196"/>
      <c r="BJ133" s="42"/>
      <c r="BK133" s="42"/>
      <c r="BL133" s="203"/>
      <c r="BM133" s="203"/>
      <c r="BN133" s="42"/>
      <c r="BO133" s="42"/>
      <c r="BP133" s="143"/>
      <c r="BQ133" s="143"/>
      <c r="BR133" s="192"/>
      <c r="BS133" s="192"/>
      <c r="BT133" s="192"/>
      <c r="BU133" s="192"/>
      <c r="BV133" s="192"/>
      <c r="BW133" s="192"/>
      <c r="BX133" s="146" t="str">
        <f t="shared" si="8"/>
        <v/>
      </c>
    </row>
    <row r="134">
      <c r="A134" s="106" t="str">
        <f t="shared" si="1"/>
        <v/>
      </c>
      <c r="B134" s="183" t="str">
        <f t="array" ref="B134">IF(ISBLANK($AE134), "-",INDEX(Circuits!A:A,SUMPRODUCT(EXACT($AE134,Circuits!$A:$A)*ROW(Circuits!$A:$A))))</f>
        <v>-</v>
      </c>
      <c r="C134" s="183" t="str">
        <f t="array" ref="C134">IF(ISBLANK($AE134), "-",INDEX(Circuits!B:B,SUMPRODUCT(EXACT($AE134,Circuits!$A:$A)*ROW(Circuits!$A:$A))))</f>
        <v>-</v>
      </c>
      <c r="D134" s="183" t="str">
        <f t="array" ref="D134">IF(ISBLANK($AE134), "-",INDEX(Circuits!C:C,SUMPRODUCT(EXACT($AE134,Circuits!$A:$A)*ROW(Circuits!$A:$A))))</f>
        <v>-</v>
      </c>
      <c r="E134" s="183" t="str">
        <f t="array" ref="E134">IF(ISBLANK($AE134), "-",INDEX(Circuits!D:D,SUMPRODUCT(EXACT($AE134,Circuits!$A:$A)*ROW(Circuits!$A:$A))))</f>
        <v>-</v>
      </c>
      <c r="F134" s="183" t="str">
        <f t="array" ref="F134">IF(ISBLANK($AE134), "-",INDEX(Circuits!E:E,SUMPRODUCT(EXACT($AE134,Circuits!$A:$A)*ROW(Circuits!$A:$A))))</f>
        <v>-</v>
      </c>
      <c r="G134" s="183" t="str">
        <f t="array" ref="G134">IF(ISBLANK($AE134), "-",INDEX(Circuits!F:F,SUMPRODUCT(EXACT($AE134,Circuits!$A:$A)*ROW(Circuits!$A:$A))))</f>
        <v>-</v>
      </c>
      <c r="H134" s="183" t="str">
        <f t="array" ref="H134">IF(ISBLANK($AE134), "-",INDEX(Circuits!G:G,SUMPRODUCT(EXACT($AE134,Circuits!$A:$A)*ROW(Circuits!$A:$A))))</f>
        <v>-</v>
      </c>
      <c r="I134" s="183" t="str">
        <f t="array" ref="I134">IF(ISBLANK($AE134), "-",INDEX(Circuits!H:H,SUMPRODUCT(EXACT($AE134,Circuits!$A:$A)*ROW(Circuits!$A:$A))))</f>
        <v>-</v>
      </c>
      <c r="J134" s="183" t="str">
        <f t="array" ref="J134">IF(ISBLANK($AE134), "-",INDEX(Circuits!I:I,SUMPRODUCT(EXACT($AE134,Circuits!$A:$A)*ROW(Circuits!$A:$A))))</f>
        <v>-</v>
      </c>
      <c r="K134" s="183" t="str">
        <f t="array" ref="K134">IF(ISBLANK($AE134), "-",INDEX(Circuits!J:J,SUMPRODUCT(EXACT($AE134,Circuits!$A:$A)*ROW(Circuits!$A:$A))))</f>
        <v>-</v>
      </c>
      <c r="L134" s="183" t="str">
        <f t="array" ref="L134">IF(ISBLANK($AE134), "-",INDEX(Circuits!K:K,SUMPRODUCT(EXACT($AE134,Circuits!$A:$A)*ROW(Circuits!$A:$A))))</f>
        <v>-</v>
      </c>
      <c r="M134" s="183" t="str">
        <f t="array" ref="M134">IF(ISBLANK($AE134), "-",INDEX(Circuits!L:L,SUMPRODUCT(EXACT($AE134,Circuits!$A:$A)*ROW(Circuits!$A:$A))))</f>
        <v>-</v>
      </c>
      <c r="N134" s="183" t="str">
        <f t="array" ref="N134">IF(ISBLANK($AE134), "-",INDEX(Circuits!M:M,SUMPRODUCT(EXACT($AE134,Circuits!$A:$A)*ROW(Circuits!$A:$A))))</f>
        <v>-</v>
      </c>
      <c r="O134" s="183" t="str">
        <f t="array" ref="O134">IF(ISBLANK($AE134), "-",INDEX(Circuits!N:N,SUMPRODUCT(EXACT($AE134,Circuits!$A:$A)*ROW(Circuits!$A:$A))))</f>
        <v>-</v>
      </c>
      <c r="P134" s="183" t="str">
        <f t="array" ref="P134">IF(ISBLANK($AE134), "-",INDEX(Circuits!O:O,SUMPRODUCT(EXACT($AE134,Circuits!$A:$A)*ROW(Circuits!$A:$A))))</f>
        <v>-</v>
      </c>
      <c r="Q134" s="183" t="str">
        <f t="array" ref="Q134">IF(ISBLANK($AE134), "-",INDEX(Circuits!P:P,SUMPRODUCT(EXACT($AE134,Circuits!$A:$A)*ROW(Circuits!$A:$A))))</f>
        <v>-</v>
      </c>
      <c r="R134" s="183" t="str">
        <f t="array" ref="R134">IF(ISBLANK($AE134), "-",INDEX(Circuits!Q:Q,SUMPRODUCT(EXACT($AE134,Circuits!$A:$A)*ROW(Circuits!$A:$A))))</f>
        <v>-</v>
      </c>
      <c r="S134" s="183" t="str">
        <f t="array" ref="S134">IF(ISBLANK($AE134), "-",INDEX(Circuits!R:R,SUMPRODUCT(EXACT($AE134,Circuits!$A:$A)*ROW(Circuits!$A:$A))))</f>
        <v>-</v>
      </c>
      <c r="T134" s="183" t="str">
        <f t="array" ref="T134">IF(ISBLANK($AE134), "-",INDEX(Circuits!S:S,SUMPRODUCT(EXACT($AE134,Circuits!$A:$A)*ROW(Circuits!$A:$A))))</f>
        <v>-</v>
      </c>
      <c r="U134" s="183" t="str">
        <f t="array" ref="U134">IF(ISBLANK($AE134), "-",INDEX(Circuits!T:T,SUMPRODUCT(EXACT($AE134,Circuits!$A:$A)*ROW(Circuits!$A:$A))))</f>
        <v>-</v>
      </c>
      <c r="V134" s="183" t="str">
        <f t="array" ref="V134">IF(ISBLANK($AE134), "-",INDEX(Circuits!U:U,SUMPRODUCT(EXACT($AE134,Circuits!$A:$A)*ROW(Circuits!$A:$A))))</f>
        <v>-</v>
      </c>
      <c r="W134" s="183" t="str">
        <f t="array" ref="W134">IF(ISBLANK($AE134), "-",INDEX(Circuits!V:V,SUMPRODUCT(EXACT($AE134,Circuits!$A:$A)*ROW(Circuits!$A:$A))))</f>
        <v>-</v>
      </c>
      <c r="X134" s="183" t="str">
        <f t="array" ref="X134">IF(ISBLANK($AE134), "-",INDEX(Circuits!W:W,SUMPRODUCT(EXACT($AE134,Circuits!$A:$A)*ROW(Circuits!$A:$A))))</f>
        <v>-</v>
      </c>
      <c r="Y134" s="183" t="str">
        <f t="array" ref="Y134">IF(ISBLANK($AE134), "-",INDEX(Circuits!X:X,SUMPRODUCT(EXACT($AE134,Circuits!$A:$A)*ROW(Circuits!$A:$A))))</f>
        <v>-</v>
      </c>
      <c r="Z134" s="108" t="str">
        <f>IFERROR(__xludf.DUMMYFUNCTION("IFNA(CONCATENATE(UNIQUE(FILTER(Connections!R:R,Connections!A:A=B134))),""-"")"),"-")</f>
        <v>-</v>
      </c>
      <c r="AA134" s="119" t="str">
        <f t="array" ref="AA134">IF(ISBLANK($AE134), "-",INDEX(Circuits!Y:Y,SUMPRODUCT(EXACT($AE134,Circuits!$A:$A)*ROW(Circuits!$A:$A))))</f>
        <v>-</v>
      </c>
      <c r="AB134" s="121" t="str">
        <f t="array" ref="AB134">IF(ISBLANK($AE134), "-",INDEX(Circuits!Z:Z,SUMPRODUCT(EXACT($AE134,Circuits!$A:$A)*ROW(Circuits!$A:$A))))</f>
        <v>-</v>
      </c>
      <c r="AC134" s="194"/>
      <c r="AD134" s="194"/>
      <c r="AE134" s="40"/>
      <c r="AF134" s="43"/>
      <c r="AG134" s="126" t="str">
        <f>IFERROR(__xludf.DUMMYFUNCTION("IF(ISBLANK(AF134), """", TEXTJOIN(CHAR(10),TRUE,ARRAYFORMULA(IF(ISERROR(SEARCH(SPLIT(AF134, "";""), $Z134)), ""x"", ""-""))))"),"")</f>
        <v/>
      </c>
      <c r="AH134" s="127" t="str">
        <f>IFERROR(__xludf.DUMMYFUNCTION("IF(ISBLANK(AK134), """", TEXTJOIN("";"" &amp; CHAR(10), TRUE, UNIQUE(SPLIT(AK134, "";"" &amp; CHAR(10)), TRUE))&amp;"";"")"),"")</f>
        <v/>
      </c>
      <c r="AI134" s="128" t="str">
        <f>IFERROR(__xludf.DUMMYFUNCTION("IF(ISBLANK(AD134), IF(ISBLANK(AE134),,IFNA(TEXTJOIN("";"" &amp; CHAR(10), TRUE, FILTER(AE:AE, SEARCH(AE134&amp;"";"", AJ:AJ)))&amp;"";"", """")), TEXTJOIN("";"" &amp; CHAR(10), TRUE, UNIQUE(SPLIT(AH134 &amp; "";"" &amp; AH134 &amp; "";"" &amp; AL134, "";"" &amp; CHAR(10)), TRUE, TRUE))&amp;"";"&amp;""")"),"")</f>
        <v/>
      </c>
      <c r="AJ134" s="126" t="str">
        <f>IFERROR(__xludf.DUMMYFUNCTION("IF(AN134="""", """", TEXTJOIN("";"" &amp; CHAR(10), TRUE, UNIQUE(SPLIT(AH134 &amp; "";"" &amp; AH134 &amp; "";"" &amp; AN134, "";"" &amp; CHAR(10)), TRUE, TRUE))&amp;"";"")"),"")</f>
        <v/>
      </c>
      <c r="AK134" s="129" t="str">
        <f>IFERROR(__xludf.DUMMYFUNCTION("IF(ISBLANK(AD134), IF(ISBLANK(AE134),,AE134 &amp; "";""), TEXTJOIN(CHAR(10), TRUE, ARRAYFORMULA(VLOOKUP(SPLIT(AD134, "";"" &amp; CHAR(10)), $AC:$AH, 6, FALSE))))"),"")</f>
        <v/>
      </c>
      <c r="AL134" s="130" t="str">
        <f>IFERROR(__xludf.DUMMYFUNCTION("IF(AM134="""", """", TEXTJOIN("";"" &amp; CHAR(10), TRUE, UNIQUE(SPLIT(AM134, "";"" &amp; CHAR(10)), TRUE))&amp;"";"")"),"")</f>
        <v/>
      </c>
      <c r="AM134" s="130" t="str">
        <f>IFERROR(__xludf.DUMMYFUNCTION("IF(ISBLANK(AD134), """", TEXTJOIN(CHAR(10), TRUE, ARRAYFORMULA(VLOOKUP(SPLIT(AH134, "";"" &amp; CHAR(10)), $AE:$AI, 5, FALSE)), AF134))"),"")</f>
        <v/>
      </c>
      <c r="AN134" s="132" t="str">
        <f>IFERROR(__xludf.DUMMYFUNCTION("IF(ISBLANK(AO134), """", TEXTJOIN("";"" &amp; CHAR(10), TRUE, UNIQUE(SPLIT(AO134, "";"" &amp; CHAR(10)), TRUE))&amp;"";"")"),"")</f>
        <v/>
      </c>
      <c r="AO134" s="134" t="str">
        <f>IFERROR(__xludf.DUMMYFUNCTION("IF(ISBLANK(AD134), AF134, TEXTJOIN(CHAR(10), TRUE, ARRAYFORMULA(VLOOKUP(SPLIT(AD134, "";"" &amp; CHAR(10)), $AC:$AN, 12, FALSE))))"),"")</f>
        <v/>
      </c>
      <c r="AP134" s="130" t="str">
        <f>IF(ISBLANK(AE134),,IF(IFERROR(SEARCH(AE134&amp;";",Circuits!$AO$2),0),TRUE,FALSE))</f>
        <v/>
      </c>
      <c r="AQ134" s="130" t="str">
        <f t="shared" si="2"/>
        <v/>
      </c>
      <c r="AR134" s="130" t="str">
        <f t="shared" si="3"/>
        <v/>
      </c>
      <c r="AS134" s="136" t="str">
        <f>IFERROR(__xludf.DUMMYFUNCTION("IF(AH134="""",,SUM(ARRAYFORMULA(IF(IFERROR(SEARCH(SPLIT(AH134,CHAR(10)),Circuits!$AO$2),0)&gt;0,0,1))))"),"")</f>
        <v/>
      </c>
      <c r="AT134" s="138" t="str">
        <f t="shared" si="4"/>
        <v/>
      </c>
      <c r="AU134" s="138" t="str">
        <f t="shared" si="5"/>
        <v/>
      </c>
      <c r="AV134" s="130" t="str">
        <f>IFERROR(__xludf.DUMMYFUNCTION("IF(AI134="""",,TEXTJOIN("", "",TRUE,ARRAYFORMULA(VLOOKUP(SPLIT(AI134,"";""&amp;CHAR(10)),AE:AT,16,FALSE))))"),"")</f>
        <v/>
      </c>
      <c r="AW134" s="130" t="str">
        <f>IFERROR(__xludf.DUMMYFUNCTION("IF(ISBLANK(BK134),,TEXTJOIN("", "",TRUE,ARRAYFORMULA(VLOOKUP(IFERROR(REGEXEXTRACT(SPLIT(BK134,"";""&amp;CHAR(10)),""\[(.+)\]"")),AE:AT,16,false))))"),"")</f>
        <v/>
      </c>
      <c r="AX134" s="139" t="str">
        <f t="shared" si="6"/>
        <v/>
      </c>
      <c r="AY134" s="139" t="str">
        <f t="shared" si="7"/>
        <v/>
      </c>
      <c r="AZ134" s="106" t="str">
        <f>IFERROR(__xludf.DUMMYFUNCTION("IF(ISBLANK(AD134), BC134, TEXTJOIN(CHAR(10) &amp; CHAR(10), TRUE, ARRAYFORMULA(VLOOKUP(SPLIT(AD134, "";"" &amp; CHAR(10)), $AC:$AY, 23, FALSE))))"),"")</f>
        <v/>
      </c>
      <c r="BA134" s="140" t="s">
        <v>66</v>
      </c>
      <c r="BB134" s="190"/>
      <c r="BC134" s="196"/>
      <c r="BD134" s="106" t="str">
        <f>IFERROR(__xludf.DUMMYFUNCTION("IF(IFERROR(SEARCH(""&lt;&lt;mechanism to realize the capability&gt;&gt;"",BA134),0)=0,
 ""!! Error !! “Capability&amp;Mechanism” column: Invalid Separator:"" &amp; CHAR(10) &amp; ""Insert separator “&lt;&lt;mechanism to realize the capability&gt;&gt;.”"",
 IF(
  LEN(TRIM(CLEAN(
    INDEX(
 "&amp;"     SPLIT(BA134,""&lt;&lt;mechanism to realize the capability&gt;&gt;"",FALSE,FALSE),
      1
    )
  )))=0,
  ""!! Error !! “Capability&amp;Mechanism” column: No Capability:""  &amp; CHAR(10) &amp; ""Describe Capability before separator."",
  INDEX(
    SPLIT(BA134,""&lt;&lt;mechani"&amp;"sm to realize the capability&gt;&gt;"",FALSE,FALSE),
    1
  )
 )
)
"),"!! Error !! “Capability&amp;Mechanism” column: No Capability:
Describe Capability before separator.")</f>
        <v>!! Error !! “Capability&amp;Mechanism” column: No Capability:
Describe Capability before separator.</v>
      </c>
      <c r="BE134" s="190"/>
      <c r="BF134" s="195"/>
      <c r="BG134" s="42"/>
      <c r="BH134" s="190"/>
      <c r="BI134" s="196"/>
      <c r="BJ134" s="42"/>
      <c r="BK134" s="42"/>
      <c r="BL134" s="203"/>
      <c r="BM134" s="203"/>
      <c r="BN134" s="42"/>
      <c r="BO134" s="42"/>
      <c r="BP134" s="143"/>
      <c r="BQ134" s="143"/>
      <c r="BR134" s="192"/>
      <c r="BS134" s="192"/>
      <c r="BT134" s="192"/>
      <c r="BU134" s="192"/>
      <c r="BV134" s="192"/>
      <c r="BW134" s="192"/>
      <c r="BX134" s="146" t="str">
        <f t="shared" si="8"/>
        <v/>
      </c>
    </row>
    <row r="135">
      <c r="A135" s="106" t="str">
        <f t="shared" si="1"/>
        <v/>
      </c>
      <c r="B135" s="183" t="str">
        <f t="array" ref="B135">IF(ISBLANK($AE135), "-",INDEX(Circuits!A:A,SUMPRODUCT(EXACT($AE135,Circuits!$A:$A)*ROW(Circuits!$A:$A))))</f>
        <v>-</v>
      </c>
      <c r="C135" s="183" t="str">
        <f t="array" ref="C135">IF(ISBLANK($AE135), "-",INDEX(Circuits!B:B,SUMPRODUCT(EXACT($AE135,Circuits!$A:$A)*ROW(Circuits!$A:$A))))</f>
        <v>-</v>
      </c>
      <c r="D135" s="183" t="str">
        <f t="array" ref="D135">IF(ISBLANK($AE135), "-",INDEX(Circuits!C:C,SUMPRODUCT(EXACT($AE135,Circuits!$A:$A)*ROW(Circuits!$A:$A))))</f>
        <v>-</v>
      </c>
      <c r="E135" s="183" t="str">
        <f t="array" ref="E135">IF(ISBLANK($AE135), "-",INDEX(Circuits!D:D,SUMPRODUCT(EXACT($AE135,Circuits!$A:$A)*ROW(Circuits!$A:$A))))</f>
        <v>-</v>
      </c>
      <c r="F135" s="183" t="str">
        <f t="array" ref="F135">IF(ISBLANK($AE135), "-",INDEX(Circuits!E:E,SUMPRODUCT(EXACT($AE135,Circuits!$A:$A)*ROW(Circuits!$A:$A))))</f>
        <v>-</v>
      </c>
      <c r="G135" s="183" t="str">
        <f t="array" ref="G135">IF(ISBLANK($AE135), "-",INDEX(Circuits!F:F,SUMPRODUCT(EXACT($AE135,Circuits!$A:$A)*ROW(Circuits!$A:$A))))</f>
        <v>-</v>
      </c>
      <c r="H135" s="183" t="str">
        <f t="array" ref="H135">IF(ISBLANK($AE135), "-",INDEX(Circuits!G:G,SUMPRODUCT(EXACT($AE135,Circuits!$A:$A)*ROW(Circuits!$A:$A))))</f>
        <v>-</v>
      </c>
      <c r="I135" s="183" t="str">
        <f t="array" ref="I135">IF(ISBLANK($AE135), "-",INDEX(Circuits!H:H,SUMPRODUCT(EXACT($AE135,Circuits!$A:$A)*ROW(Circuits!$A:$A))))</f>
        <v>-</v>
      </c>
      <c r="J135" s="183" t="str">
        <f t="array" ref="J135">IF(ISBLANK($AE135), "-",INDEX(Circuits!I:I,SUMPRODUCT(EXACT($AE135,Circuits!$A:$A)*ROW(Circuits!$A:$A))))</f>
        <v>-</v>
      </c>
      <c r="K135" s="183" t="str">
        <f t="array" ref="K135">IF(ISBLANK($AE135), "-",INDEX(Circuits!J:J,SUMPRODUCT(EXACT($AE135,Circuits!$A:$A)*ROW(Circuits!$A:$A))))</f>
        <v>-</v>
      </c>
      <c r="L135" s="183" t="str">
        <f t="array" ref="L135">IF(ISBLANK($AE135), "-",INDEX(Circuits!K:K,SUMPRODUCT(EXACT($AE135,Circuits!$A:$A)*ROW(Circuits!$A:$A))))</f>
        <v>-</v>
      </c>
      <c r="M135" s="183" t="str">
        <f t="array" ref="M135">IF(ISBLANK($AE135), "-",INDEX(Circuits!L:L,SUMPRODUCT(EXACT($AE135,Circuits!$A:$A)*ROW(Circuits!$A:$A))))</f>
        <v>-</v>
      </c>
      <c r="N135" s="183" t="str">
        <f t="array" ref="N135">IF(ISBLANK($AE135), "-",INDEX(Circuits!M:M,SUMPRODUCT(EXACT($AE135,Circuits!$A:$A)*ROW(Circuits!$A:$A))))</f>
        <v>-</v>
      </c>
      <c r="O135" s="183" t="str">
        <f t="array" ref="O135">IF(ISBLANK($AE135), "-",INDEX(Circuits!N:N,SUMPRODUCT(EXACT($AE135,Circuits!$A:$A)*ROW(Circuits!$A:$A))))</f>
        <v>-</v>
      </c>
      <c r="P135" s="183" t="str">
        <f t="array" ref="P135">IF(ISBLANK($AE135), "-",INDEX(Circuits!O:O,SUMPRODUCT(EXACT($AE135,Circuits!$A:$A)*ROW(Circuits!$A:$A))))</f>
        <v>-</v>
      </c>
      <c r="Q135" s="183" t="str">
        <f t="array" ref="Q135">IF(ISBLANK($AE135), "-",INDEX(Circuits!P:P,SUMPRODUCT(EXACT($AE135,Circuits!$A:$A)*ROW(Circuits!$A:$A))))</f>
        <v>-</v>
      </c>
      <c r="R135" s="183" t="str">
        <f t="array" ref="R135">IF(ISBLANK($AE135), "-",INDEX(Circuits!Q:Q,SUMPRODUCT(EXACT($AE135,Circuits!$A:$A)*ROW(Circuits!$A:$A))))</f>
        <v>-</v>
      </c>
      <c r="S135" s="183" t="str">
        <f t="array" ref="S135">IF(ISBLANK($AE135), "-",INDEX(Circuits!R:R,SUMPRODUCT(EXACT($AE135,Circuits!$A:$A)*ROW(Circuits!$A:$A))))</f>
        <v>-</v>
      </c>
      <c r="T135" s="183" t="str">
        <f t="array" ref="T135">IF(ISBLANK($AE135), "-",INDEX(Circuits!S:S,SUMPRODUCT(EXACT($AE135,Circuits!$A:$A)*ROW(Circuits!$A:$A))))</f>
        <v>-</v>
      </c>
      <c r="U135" s="183" t="str">
        <f t="array" ref="U135">IF(ISBLANK($AE135), "-",INDEX(Circuits!T:T,SUMPRODUCT(EXACT($AE135,Circuits!$A:$A)*ROW(Circuits!$A:$A))))</f>
        <v>-</v>
      </c>
      <c r="V135" s="183" t="str">
        <f t="array" ref="V135">IF(ISBLANK($AE135), "-",INDEX(Circuits!U:U,SUMPRODUCT(EXACT($AE135,Circuits!$A:$A)*ROW(Circuits!$A:$A))))</f>
        <v>-</v>
      </c>
      <c r="W135" s="183" t="str">
        <f t="array" ref="W135">IF(ISBLANK($AE135), "-",INDEX(Circuits!V:V,SUMPRODUCT(EXACT($AE135,Circuits!$A:$A)*ROW(Circuits!$A:$A))))</f>
        <v>-</v>
      </c>
      <c r="X135" s="183" t="str">
        <f t="array" ref="X135">IF(ISBLANK($AE135), "-",INDEX(Circuits!W:W,SUMPRODUCT(EXACT($AE135,Circuits!$A:$A)*ROW(Circuits!$A:$A))))</f>
        <v>-</v>
      </c>
      <c r="Y135" s="183" t="str">
        <f t="array" ref="Y135">IF(ISBLANK($AE135), "-",INDEX(Circuits!X:X,SUMPRODUCT(EXACT($AE135,Circuits!$A:$A)*ROW(Circuits!$A:$A))))</f>
        <v>-</v>
      </c>
      <c r="Z135" s="108" t="str">
        <f>IFERROR(__xludf.DUMMYFUNCTION("IFNA(CONCATENATE(UNIQUE(FILTER(Connections!R:R,Connections!A:A=B135))),""-"")"),"-")</f>
        <v>-</v>
      </c>
      <c r="AA135" s="119" t="str">
        <f t="array" ref="AA135">IF(ISBLANK($AE135), "-",INDEX(Circuits!Y:Y,SUMPRODUCT(EXACT($AE135,Circuits!$A:$A)*ROW(Circuits!$A:$A))))</f>
        <v>-</v>
      </c>
      <c r="AB135" s="121" t="str">
        <f t="array" ref="AB135">IF(ISBLANK($AE135), "-",INDEX(Circuits!Z:Z,SUMPRODUCT(EXACT($AE135,Circuits!$A:$A)*ROW(Circuits!$A:$A))))</f>
        <v>-</v>
      </c>
      <c r="AC135" s="194"/>
      <c r="AD135" s="194"/>
      <c r="AE135" s="40"/>
      <c r="AF135" s="43"/>
      <c r="AG135" s="126" t="str">
        <f>IFERROR(__xludf.DUMMYFUNCTION("IF(ISBLANK(AF135), """", TEXTJOIN(CHAR(10),TRUE,ARRAYFORMULA(IF(ISERROR(SEARCH(SPLIT(AF135, "";""), $Z135)), ""x"", ""-""))))"),"")</f>
        <v/>
      </c>
      <c r="AH135" s="127" t="str">
        <f>IFERROR(__xludf.DUMMYFUNCTION("IF(ISBLANK(AK135), """", TEXTJOIN("";"" &amp; CHAR(10), TRUE, UNIQUE(SPLIT(AK135, "";"" &amp; CHAR(10)), TRUE))&amp;"";"")"),"")</f>
        <v/>
      </c>
      <c r="AI135" s="128" t="str">
        <f>IFERROR(__xludf.DUMMYFUNCTION("IF(ISBLANK(AD135), IF(ISBLANK(AE135),,IFNA(TEXTJOIN("";"" &amp; CHAR(10), TRUE, FILTER(AE:AE, SEARCH(AE135&amp;"";"", AJ:AJ)))&amp;"";"", """")), TEXTJOIN("";"" &amp; CHAR(10), TRUE, UNIQUE(SPLIT(AH135 &amp; "";"" &amp; AH135 &amp; "";"" &amp; AL135, "";"" &amp; CHAR(10)), TRUE, TRUE))&amp;"";"&amp;""")"),"")</f>
        <v/>
      </c>
      <c r="AJ135" s="126" t="str">
        <f>IFERROR(__xludf.DUMMYFUNCTION("IF(AN135="""", """", TEXTJOIN("";"" &amp; CHAR(10), TRUE, UNIQUE(SPLIT(AH135 &amp; "";"" &amp; AH135 &amp; "";"" &amp; AN135, "";"" &amp; CHAR(10)), TRUE, TRUE))&amp;"";"")"),"")</f>
        <v/>
      </c>
      <c r="AK135" s="129" t="str">
        <f>IFERROR(__xludf.DUMMYFUNCTION("IF(ISBLANK(AD135), IF(ISBLANK(AE135),,AE135 &amp; "";""), TEXTJOIN(CHAR(10), TRUE, ARRAYFORMULA(VLOOKUP(SPLIT(AD135, "";"" &amp; CHAR(10)), $AC:$AH, 6, FALSE))))"),"")</f>
        <v/>
      </c>
      <c r="AL135" s="130" t="str">
        <f>IFERROR(__xludf.DUMMYFUNCTION("IF(AM135="""", """", TEXTJOIN("";"" &amp; CHAR(10), TRUE, UNIQUE(SPLIT(AM135, "";"" &amp; CHAR(10)), TRUE))&amp;"";"")"),"")</f>
        <v/>
      </c>
      <c r="AM135" s="130" t="str">
        <f>IFERROR(__xludf.DUMMYFUNCTION("IF(ISBLANK(AD135), """", TEXTJOIN(CHAR(10), TRUE, ARRAYFORMULA(VLOOKUP(SPLIT(AH135, "";"" &amp; CHAR(10)), $AE:$AI, 5, FALSE)), AF135))"),"")</f>
        <v/>
      </c>
      <c r="AN135" s="132" t="str">
        <f>IFERROR(__xludf.DUMMYFUNCTION("IF(ISBLANK(AO135), """", TEXTJOIN("";"" &amp; CHAR(10), TRUE, UNIQUE(SPLIT(AO135, "";"" &amp; CHAR(10)), TRUE))&amp;"";"")"),"")</f>
        <v/>
      </c>
      <c r="AO135" s="134" t="str">
        <f>IFERROR(__xludf.DUMMYFUNCTION("IF(ISBLANK(AD135), AF135, TEXTJOIN(CHAR(10), TRUE, ARRAYFORMULA(VLOOKUP(SPLIT(AD135, "";"" &amp; CHAR(10)), $AC:$AN, 12, FALSE))))"),"")</f>
        <v/>
      </c>
      <c r="AP135" s="130" t="str">
        <f>IF(ISBLANK(AE135),,IF(IFERROR(SEARCH(AE135&amp;";",Circuits!$AO$2),0),TRUE,FALSE))</f>
        <v/>
      </c>
      <c r="AQ135" s="130" t="str">
        <f t="shared" si="2"/>
        <v/>
      </c>
      <c r="AR135" s="130" t="str">
        <f t="shared" si="3"/>
        <v/>
      </c>
      <c r="AS135" s="136" t="str">
        <f>IFERROR(__xludf.DUMMYFUNCTION("IF(AH135="""",,SUM(ARRAYFORMULA(IF(IFERROR(SEARCH(SPLIT(AH135,CHAR(10)),Circuits!$AO$2),0)&gt;0,0,1))))"),"")</f>
        <v/>
      </c>
      <c r="AT135" s="138" t="str">
        <f t="shared" si="4"/>
        <v/>
      </c>
      <c r="AU135" s="138" t="str">
        <f t="shared" si="5"/>
        <v/>
      </c>
      <c r="AV135" s="130" t="str">
        <f>IFERROR(__xludf.DUMMYFUNCTION("IF(AI135="""",,TEXTJOIN("", "",TRUE,ARRAYFORMULA(VLOOKUP(SPLIT(AI135,"";""&amp;CHAR(10)),AE:AT,16,FALSE))))"),"")</f>
        <v/>
      </c>
      <c r="AW135" s="130" t="str">
        <f>IFERROR(__xludf.DUMMYFUNCTION("IF(ISBLANK(BK135),,TEXTJOIN("", "",TRUE,ARRAYFORMULA(VLOOKUP(IFERROR(REGEXEXTRACT(SPLIT(BK135,"";""&amp;CHAR(10)),""\[(.+)\]"")),AE:AT,16,false))))"),"")</f>
        <v/>
      </c>
      <c r="AX135" s="139" t="str">
        <f t="shared" si="6"/>
        <v/>
      </c>
      <c r="AY135" s="139" t="str">
        <f t="shared" si="7"/>
        <v/>
      </c>
      <c r="AZ135" s="106" t="str">
        <f>IFERROR(__xludf.DUMMYFUNCTION("IF(ISBLANK(AD135), BC135, TEXTJOIN(CHAR(10) &amp; CHAR(10), TRUE, ARRAYFORMULA(VLOOKUP(SPLIT(AD135, "";"" &amp; CHAR(10)), $AC:$AY, 23, FALSE))))"),"")</f>
        <v/>
      </c>
      <c r="BA135" s="140" t="s">
        <v>66</v>
      </c>
      <c r="BB135" s="190"/>
      <c r="BC135" s="196"/>
      <c r="BD135" s="106" t="str">
        <f>IFERROR(__xludf.DUMMYFUNCTION("IF(IFERROR(SEARCH(""&lt;&lt;mechanism to realize the capability&gt;&gt;"",BA135),0)=0,
 ""!! Error !! “Capability&amp;Mechanism” column: Invalid Separator:"" &amp; CHAR(10) &amp; ""Insert separator “&lt;&lt;mechanism to realize the capability&gt;&gt;.”"",
 IF(
  LEN(TRIM(CLEAN(
    INDEX(
 "&amp;"     SPLIT(BA135,""&lt;&lt;mechanism to realize the capability&gt;&gt;"",FALSE,FALSE),
      1
    )
  )))=0,
  ""!! Error !! “Capability&amp;Mechanism” column: No Capability:""  &amp; CHAR(10) &amp; ""Describe Capability before separator."",
  INDEX(
    SPLIT(BA135,""&lt;&lt;mechani"&amp;"sm to realize the capability&gt;&gt;"",FALSE,FALSE),
    1
  )
 )
)
"),"!! Error !! “Capability&amp;Mechanism” column: No Capability:
Describe Capability before separator.")</f>
        <v>!! Error !! “Capability&amp;Mechanism” column: No Capability:
Describe Capability before separator.</v>
      </c>
      <c r="BE135" s="190"/>
      <c r="BF135" s="195"/>
      <c r="BG135" s="42"/>
      <c r="BH135" s="190"/>
      <c r="BI135" s="196"/>
      <c r="BJ135" s="42"/>
      <c r="BK135" s="42"/>
      <c r="BL135" s="203"/>
      <c r="BM135" s="203"/>
      <c r="BN135" s="42"/>
      <c r="BO135" s="42"/>
      <c r="BP135" s="143"/>
      <c r="BQ135" s="143"/>
      <c r="BR135" s="192"/>
      <c r="BS135" s="192"/>
      <c r="BT135" s="192"/>
      <c r="BU135" s="192"/>
      <c r="BV135" s="192"/>
      <c r="BW135" s="192"/>
      <c r="BX135" s="146" t="str">
        <f t="shared" si="8"/>
        <v/>
      </c>
    </row>
    <row r="136">
      <c r="A136" s="106" t="str">
        <f t="shared" si="1"/>
        <v/>
      </c>
      <c r="B136" s="183" t="str">
        <f t="array" ref="B136">IF(ISBLANK($AE136), "-",INDEX(Circuits!A:A,SUMPRODUCT(EXACT($AE136,Circuits!$A:$A)*ROW(Circuits!$A:$A))))</f>
        <v>-</v>
      </c>
      <c r="C136" s="183" t="str">
        <f t="array" ref="C136">IF(ISBLANK($AE136), "-",INDEX(Circuits!B:B,SUMPRODUCT(EXACT($AE136,Circuits!$A:$A)*ROW(Circuits!$A:$A))))</f>
        <v>-</v>
      </c>
      <c r="D136" s="183" t="str">
        <f t="array" ref="D136">IF(ISBLANK($AE136), "-",INDEX(Circuits!C:C,SUMPRODUCT(EXACT($AE136,Circuits!$A:$A)*ROW(Circuits!$A:$A))))</f>
        <v>-</v>
      </c>
      <c r="E136" s="183" t="str">
        <f t="array" ref="E136">IF(ISBLANK($AE136), "-",INDEX(Circuits!D:D,SUMPRODUCT(EXACT($AE136,Circuits!$A:$A)*ROW(Circuits!$A:$A))))</f>
        <v>-</v>
      </c>
      <c r="F136" s="183" t="str">
        <f t="array" ref="F136">IF(ISBLANK($AE136), "-",INDEX(Circuits!E:E,SUMPRODUCT(EXACT($AE136,Circuits!$A:$A)*ROW(Circuits!$A:$A))))</f>
        <v>-</v>
      </c>
      <c r="G136" s="183" t="str">
        <f t="array" ref="G136">IF(ISBLANK($AE136), "-",INDEX(Circuits!F:F,SUMPRODUCT(EXACT($AE136,Circuits!$A:$A)*ROW(Circuits!$A:$A))))</f>
        <v>-</v>
      </c>
      <c r="H136" s="183" t="str">
        <f t="array" ref="H136">IF(ISBLANK($AE136), "-",INDEX(Circuits!G:G,SUMPRODUCT(EXACT($AE136,Circuits!$A:$A)*ROW(Circuits!$A:$A))))</f>
        <v>-</v>
      </c>
      <c r="I136" s="183" t="str">
        <f t="array" ref="I136">IF(ISBLANK($AE136), "-",INDEX(Circuits!H:H,SUMPRODUCT(EXACT($AE136,Circuits!$A:$A)*ROW(Circuits!$A:$A))))</f>
        <v>-</v>
      </c>
      <c r="J136" s="183" t="str">
        <f t="array" ref="J136">IF(ISBLANK($AE136), "-",INDEX(Circuits!I:I,SUMPRODUCT(EXACT($AE136,Circuits!$A:$A)*ROW(Circuits!$A:$A))))</f>
        <v>-</v>
      </c>
      <c r="K136" s="183" t="str">
        <f t="array" ref="K136">IF(ISBLANK($AE136), "-",INDEX(Circuits!J:J,SUMPRODUCT(EXACT($AE136,Circuits!$A:$A)*ROW(Circuits!$A:$A))))</f>
        <v>-</v>
      </c>
      <c r="L136" s="183" t="str">
        <f t="array" ref="L136">IF(ISBLANK($AE136), "-",INDEX(Circuits!K:K,SUMPRODUCT(EXACT($AE136,Circuits!$A:$A)*ROW(Circuits!$A:$A))))</f>
        <v>-</v>
      </c>
      <c r="M136" s="183" t="str">
        <f t="array" ref="M136">IF(ISBLANK($AE136), "-",INDEX(Circuits!L:L,SUMPRODUCT(EXACT($AE136,Circuits!$A:$A)*ROW(Circuits!$A:$A))))</f>
        <v>-</v>
      </c>
      <c r="N136" s="183" t="str">
        <f t="array" ref="N136">IF(ISBLANK($AE136), "-",INDEX(Circuits!M:M,SUMPRODUCT(EXACT($AE136,Circuits!$A:$A)*ROW(Circuits!$A:$A))))</f>
        <v>-</v>
      </c>
      <c r="O136" s="183" t="str">
        <f t="array" ref="O136">IF(ISBLANK($AE136), "-",INDEX(Circuits!N:N,SUMPRODUCT(EXACT($AE136,Circuits!$A:$A)*ROW(Circuits!$A:$A))))</f>
        <v>-</v>
      </c>
      <c r="P136" s="183" t="str">
        <f t="array" ref="P136">IF(ISBLANK($AE136), "-",INDEX(Circuits!O:O,SUMPRODUCT(EXACT($AE136,Circuits!$A:$A)*ROW(Circuits!$A:$A))))</f>
        <v>-</v>
      </c>
      <c r="Q136" s="183" t="str">
        <f t="array" ref="Q136">IF(ISBLANK($AE136), "-",INDEX(Circuits!P:P,SUMPRODUCT(EXACT($AE136,Circuits!$A:$A)*ROW(Circuits!$A:$A))))</f>
        <v>-</v>
      </c>
      <c r="R136" s="183" t="str">
        <f t="array" ref="R136">IF(ISBLANK($AE136), "-",INDEX(Circuits!Q:Q,SUMPRODUCT(EXACT($AE136,Circuits!$A:$A)*ROW(Circuits!$A:$A))))</f>
        <v>-</v>
      </c>
      <c r="S136" s="183" t="str">
        <f t="array" ref="S136">IF(ISBLANK($AE136), "-",INDEX(Circuits!R:R,SUMPRODUCT(EXACT($AE136,Circuits!$A:$A)*ROW(Circuits!$A:$A))))</f>
        <v>-</v>
      </c>
      <c r="T136" s="183" t="str">
        <f t="array" ref="T136">IF(ISBLANK($AE136), "-",INDEX(Circuits!S:S,SUMPRODUCT(EXACT($AE136,Circuits!$A:$A)*ROW(Circuits!$A:$A))))</f>
        <v>-</v>
      </c>
      <c r="U136" s="183" t="str">
        <f t="array" ref="U136">IF(ISBLANK($AE136), "-",INDEX(Circuits!T:T,SUMPRODUCT(EXACT($AE136,Circuits!$A:$A)*ROW(Circuits!$A:$A))))</f>
        <v>-</v>
      </c>
      <c r="V136" s="183" t="str">
        <f t="array" ref="V136">IF(ISBLANK($AE136), "-",INDEX(Circuits!U:U,SUMPRODUCT(EXACT($AE136,Circuits!$A:$A)*ROW(Circuits!$A:$A))))</f>
        <v>-</v>
      </c>
      <c r="W136" s="183" t="str">
        <f t="array" ref="W136">IF(ISBLANK($AE136), "-",INDEX(Circuits!V:V,SUMPRODUCT(EXACT($AE136,Circuits!$A:$A)*ROW(Circuits!$A:$A))))</f>
        <v>-</v>
      </c>
      <c r="X136" s="183" t="str">
        <f t="array" ref="X136">IF(ISBLANK($AE136), "-",INDEX(Circuits!W:W,SUMPRODUCT(EXACT($AE136,Circuits!$A:$A)*ROW(Circuits!$A:$A))))</f>
        <v>-</v>
      </c>
      <c r="Y136" s="183" t="str">
        <f t="array" ref="Y136">IF(ISBLANK($AE136), "-",INDEX(Circuits!X:X,SUMPRODUCT(EXACT($AE136,Circuits!$A:$A)*ROW(Circuits!$A:$A))))</f>
        <v>-</v>
      </c>
      <c r="Z136" s="108" t="str">
        <f>IFERROR(__xludf.DUMMYFUNCTION("IFNA(CONCATENATE(UNIQUE(FILTER(Connections!R:R,Connections!A:A=B136))),""-"")"),"-")</f>
        <v>-</v>
      </c>
      <c r="AA136" s="119" t="str">
        <f t="array" ref="AA136">IF(ISBLANK($AE136), "-",INDEX(Circuits!Y:Y,SUMPRODUCT(EXACT($AE136,Circuits!$A:$A)*ROW(Circuits!$A:$A))))</f>
        <v>-</v>
      </c>
      <c r="AB136" s="121" t="str">
        <f t="array" ref="AB136">IF(ISBLANK($AE136), "-",INDEX(Circuits!Z:Z,SUMPRODUCT(EXACT($AE136,Circuits!$A:$A)*ROW(Circuits!$A:$A))))</f>
        <v>-</v>
      </c>
      <c r="AC136" s="194"/>
      <c r="AD136" s="194"/>
      <c r="AE136" s="40"/>
      <c r="AF136" s="43"/>
      <c r="AG136" s="126" t="str">
        <f>IFERROR(__xludf.DUMMYFUNCTION("IF(ISBLANK(AF136), """", TEXTJOIN(CHAR(10),TRUE,ARRAYFORMULA(IF(ISERROR(SEARCH(SPLIT(AF136, "";""), $Z136)), ""x"", ""-""))))"),"")</f>
        <v/>
      </c>
      <c r="AH136" s="127" t="str">
        <f>IFERROR(__xludf.DUMMYFUNCTION("IF(ISBLANK(AK136), """", TEXTJOIN("";"" &amp; CHAR(10), TRUE, UNIQUE(SPLIT(AK136, "";"" &amp; CHAR(10)), TRUE))&amp;"";"")"),"")</f>
        <v/>
      </c>
      <c r="AI136" s="128" t="str">
        <f>IFERROR(__xludf.DUMMYFUNCTION("IF(ISBLANK(AD136), IF(ISBLANK(AE136),,IFNA(TEXTJOIN("";"" &amp; CHAR(10), TRUE, FILTER(AE:AE, SEARCH(AE136&amp;"";"", AJ:AJ)))&amp;"";"", """")), TEXTJOIN("";"" &amp; CHAR(10), TRUE, UNIQUE(SPLIT(AH136 &amp; "";"" &amp; AH136 &amp; "";"" &amp; AL136, "";"" &amp; CHAR(10)), TRUE, TRUE))&amp;"";"&amp;""")"),"")</f>
        <v/>
      </c>
      <c r="AJ136" s="126" t="str">
        <f>IFERROR(__xludf.DUMMYFUNCTION("IF(AN136="""", """", TEXTJOIN("";"" &amp; CHAR(10), TRUE, UNIQUE(SPLIT(AH136 &amp; "";"" &amp; AH136 &amp; "";"" &amp; AN136, "";"" &amp; CHAR(10)), TRUE, TRUE))&amp;"";"")"),"")</f>
        <v/>
      </c>
      <c r="AK136" s="129" t="str">
        <f>IFERROR(__xludf.DUMMYFUNCTION("IF(ISBLANK(AD136), IF(ISBLANK(AE136),,AE136 &amp; "";""), TEXTJOIN(CHAR(10), TRUE, ARRAYFORMULA(VLOOKUP(SPLIT(AD136, "";"" &amp; CHAR(10)), $AC:$AH, 6, FALSE))))"),"")</f>
        <v/>
      </c>
      <c r="AL136" s="130" t="str">
        <f>IFERROR(__xludf.DUMMYFUNCTION("IF(AM136="""", """", TEXTJOIN("";"" &amp; CHAR(10), TRUE, UNIQUE(SPLIT(AM136, "";"" &amp; CHAR(10)), TRUE))&amp;"";"")"),"")</f>
        <v/>
      </c>
      <c r="AM136" s="130" t="str">
        <f>IFERROR(__xludf.DUMMYFUNCTION("IF(ISBLANK(AD136), """", TEXTJOIN(CHAR(10), TRUE, ARRAYFORMULA(VLOOKUP(SPLIT(AH136, "";"" &amp; CHAR(10)), $AE:$AI, 5, FALSE)), AF136))"),"")</f>
        <v/>
      </c>
      <c r="AN136" s="132" t="str">
        <f>IFERROR(__xludf.DUMMYFUNCTION("IF(ISBLANK(AO136), """", TEXTJOIN("";"" &amp; CHAR(10), TRUE, UNIQUE(SPLIT(AO136, "";"" &amp; CHAR(10)), TRUE))&amp;"";"")"),"")</f>
        <v/>
      </c>
      <c r="AO136" s="134" t="str">
        <f>IFERROR(__xludf.DUMMYFUNCTION("IF(ISBLANK(AD136), AF136, TEXTJOIN(CHAR(10), TRUE, ARRAYFORMULA(VLOOKUP(SPLIT(AD136, "";"" &amp; CHAR(10)), $AC:$AN, 12, FALSE))))"),"")</f>
        <v/>
      </c>
      <c r="AP136" s="130" t="str">
        <f>IF(ISBLANK(AE136),,IF(IFERROR(SEARCH(AE136&amp;";",Circuits!$AO$2),0),TRUE,FALSE))</f>
        <v/>
      </c>
      <c r="AQ136" s="130" t="str">
        <f t="shared" si="2"/>
        <v/>
      </c>
      <c r="AR136" s="130" t="str">
        <f t="shared" si="3"/>
        <v/>
      </c>
      <c r="AS136" s="136" t="str">
        <f>IFERROR(__xludf.DUMMYFUNCTION("IF(AH136="""",,SUM(ARRAYFORMULA(IF(IFERROR(SEARCH(SPLIT(AH136,CHAR(10)),Circuits!$AO$2),0)&gt;0,0,1))))"),"")</f>
        <v/>
      </c>
      <c r="AT136" s="138" t="str">
        <f t="shared" si="4"/>
        <v/>
      </c>
      <c r="AU136" s="138" t="str">
        <f t="shared" si="5"/>
        <v/>
      </c>
      <c r="AV136" s="130" t="str">
        <f>IFERROR(__xludf.DUMMYFUNCTION("IF(AI136="""",,TEXTJOIN("", "",TRUE,ARRAYFORMULA(VLOOKUP(SPLIT(AI136,"";""&amp;CHAR(10)),AE:AT,16,FALSE))))"),"")</f>
        <v/>
      </c>
      <c r="AW136" s="130" t="str">
        <f>IFERROR(__xludf.DUMMYFUNCTION("IF(ISBLANK(BK136),,TEXTJOIN("", "",TRUE,ARRAYFORMULA(VLOOKUP(IFERROR(REGEXEXTRACT(SPLIT(BK136,"";""&amp;CHAR(10)),""\[(.+)\]"")),AE:AT,16,false))))"),"")</f>
        <v/>
      </c>
      <c r="AX136" s="139" t="str">
        <f t="shared" si="6"/>
        <v/>
      </c>
      <c r="AY136" s="139" t="str">
        <f t="shared" si="7"/>
        <v/>
      </c>
      <c r="AZ136" s="106" t="str">
        <f>IFERROR(__xludf.DUMMYFUNCTION("IF(ISBLANK(AD136), BC136, TEXTJOIN(CHAR(10) &amp; CHAR(10), TRUE, ARRAYFORMULA(VLOOKUP(SPLIT(AD136, "";"" &amp; CHAR(10)), $AC:$AY, 23, FALSE))))"),"")</f>
        <v/>
      </c>
      <c r="BA136" s="140" t="s">
        <v>66</v>
      </c>
      <c r="BB136" s="190"/>
      <c r="BC136" s="196"/>
      <c r="BD136" s="106" t="str">
        <f>IFERROR(__xludf.DUMMYFUNCTION("IF(IFERROR(SEARCH(""&lt;&lt;mechanism to realize the capability&gt;&gt;"",BA136),0)=0,
 ""!! Error !! “Capability&amp;Mechanism” column: Invalid Separator:"" &amp; CHAR(10) &amp; ""Insert separator “&lt;&lt;mechanism to realize the capability&gt;&gt;.”"",
 IF(
  LEN(TRIM(CLEAN(
    INDEX(
 "&amp;"     SPLIT(BA136,""&lt;&lt;mechanism to realize the capability&gt;&gt;"",FALSE,FALSE),
      1
    )
  )))=0,
  ""!! Error !! “Capability&amp;Mechanism” column: No Capability:""  &amp; CHAR(10) &amp; ""Describe Capability before separator."",
  INDEX(
    SPLIT(BA136,""&lt;&lt;mechani"&amp;"sm to realize the capability&gt;&gt;"",FALSE,FALSE),
    1
  )
 )
)
"),"!! Error !! “Capability&amp;Mechanism” column: No Capability:
Describe Capability before separator.")</f>
        <v>!! Error !! “Capability&amp;Mechanism” column: No Capability:
Describe Capability before separator.</v>
      </c>
      <c r="BE136" s="190"/>
      <c r="BF136" s="195"/>
      <c r="BG136" s="42"/>
      <c r="BH136" s="190"/>
      <c r="BI136" s="196"/>
      <c r="BJ136" s="42"/>
      <c r="BK136" s="42"/>
      <c r="BL136" s="203"/>
      <c r="BM136" s="203"/>
      <c r="BN136" s="42"/>
      <c r="BO136" s="42"/>
      <c r="BP136" s="143"/>
      <c r="BQ136" s="143"/>
      <c r="BR136" s="192"/>
      <c r="BS136" s="192"/>
      <c r="BT136" s="192"/>
      <c r="BU136" s="192"/>
      <c r="BV136" s="192"/>
      <c r="BW136" s="192"/>
      <c r="BX136" s="146" t="str">
        <f t="shared" si="8"/>
        <v/>
      </c>
    </row>
    <row r="137">
      <c r="A137" s="106" t="str">
        <f t="shared" si="1"/>
        <v/>
      </c>
      <c r="B137" s="183" t="str">
        <f t="array" ref="B137">IF(ISBLANK($AE137), "-",INDEX(Circuits!A:A,SUMPRODUCT(EXACT($AE137,Circuits!$A:$A)*ROW(Circuits!$A:$A))))</f>
        <v>-</v>
      </c>
      <c r="C137" s="183" t="str">
        <f t="array" ref="C137">IF(ISBLANK($AE137), "-",INDEX(Circuits!B:B,SUMPRODUCT(EXACT($AE137,Circuits!$A:$A)*ROW(Circuits!$A:$A))))</f>
        <v>-</v>
      </c>
      <c r="D137" s="183" t="str">
        <f t="array" ref="D137">IF(ISBLANK($AE137), "-",INDEX(Circuits!C:C,SUMPRODUCT(EXACT($AE137,Circuits!$A:$A)*ROW(Circuits!$A:$A))))</f>
        <v>-</v>
      </c>
      <c r="E137" s="183" t="str">
        <f t="array" ref="E137">IF(ISBLANK($AE137), "-",INDEX(Circuits!D:D,SUMPRODUCT(EXACT($AE137,Circuits!$A:$A)*ROW(Circuits!$A:$A))))</f>
        <v>-</v>
      </c>
      <c r="F137" s="183" t="str">
        <f t="array" ref="F137">IF(ISBLANK($AE137), "-",INDEX(Circuits!E:E,SUMPRODUCT(EXACT($AE137,Circuits!$A:$A)*ROW(Circuits!$A:$A))))</f>
        <v>-</v>
      </c>
      <c r="G137" s="183" t="str">
        <f t="array" ref="G137">IF(ISBLANK($AE137), "-",INDEX(Circuits!F:F,SUMPRODUCT(EXACT($AE137,Circuits!$A:$A)*ROW(Circuits!$A:$A))))</f>
        <v>-</v>
      </c>
      <c r="H137" s="183" t="str">
        <f t="array" ref="H137">IF(ISBLANK($AE137), "-",INDEX(Circuits!G:G,SUMPRODUCT(EXACT($AE137,Circuits!$A:$A)*ROW(Circuits!$A:$A))))</f>
        <v>-</v>
      </c>
      <c r="I137" s="183" t="str">
        <f t="array" ref="I137">IF(ISBLANK($AE137), "-",INDEX(Circuits!H:H,SUMPRODUCT(EXACT($AE137,Circuits!$A:$A)*ROW(Circuits!$A:$A))))</f>
        <v>-</v>
      </c>
      <c r="J137" s="183" t="str">
        <f t="array" ref="J137">IF(ISBLANK($AE137), "-",INDEX(Circuits!I:I,SUMPRODUCT(EXACT($AE137,Circuits!$A:$A)*ROW(Circuits!$A:$A))))</f>
        <v>-</v>
      </c>
      <c r="K137" s="183" t="str">
        <f t="array" ref="K137">IF(ISBLANK($AE137), "-",INDEX(Circuits!J:J,SUMPRODUCT(EXACT($AE137,Circuits!$A:$A)*ROW(Circuits!$A:$A))))</f>
        <v>-</v>
      </c>
      <c r="L137" s="183" t="str">
        <f t="array" ref="L137">IF(ISBLANK($AE137), "-",INDEX(Circuits!K:K,SUMPRODUCT(EXACT($AE137,Circuits!$A:$A)*ROW(Circuits!$A:$A))))</f>
        <v>-</v>
      </c>
      <c r="M137" s="183" t="str">
        <f t="array" ref="M137">IF(ISBLANK($AE137), "-",INDEX(Circuits!L:L,SUMPRODUCT(EXACT($AE137,Circuits!$A:$A)*ROW(Circuits!$A:$A))))</f>
        <v>-</v>
      </c>
      <c r="N137" s="183" t="str">
        <f t="array" ref="N137">IF(ISBLANK($AE137), "-",INDEX(Circuits!M:M,SUMPRODUCT(EXACT($AE137,Circuits!$A:$A)*ROW(Circuits!$A:$A))))</f>
        <v>-</v>
      </c>
      <c r="O137" s="183" t="str">
        <f t="array" ref="O137">IF(ISBLANK($AE137), "-",INDEX(Circuits!N:N,SUMPRODUCT(EXACT($AE137,Circuits!$A:$A)*ROW(Circuits!$A:$A))))</f>
        <v>-</v>
      </c>
      <c r="P137" s="183" t="str">
        <f t="array" ref="P137">IF(ISBLANK($AE137), "-",INDEX(Circuits!O:O,SUMPRODUCT(EXACT($AE137,Circuits!$A:$A)*ROW(Circuits!$A:$A))))</f>
        <v>-</v>
      </c>
      <c r="Q137" s="183" t="str">
        <f t="array" ref="Q137">IF(ISBLANK($AE137), "-",INDEX(Circuits!P:P,SUMPRODUCT(EXACT($AE137,Circuits!$A:$A)*ROW(Circuits!$A:$A))))</f>
        <v>-</v>
      </c>
      <c r="R137" s="183" t="str">
        <f t="array" ref="R137">IF(ISBLANK($AE137), "-",INDEX(Circuits!Q:Q,SUMPRODUCT(EXACT($AE137,Circuits!$A:$A)*ROW(Circuits!$A:$A))))</f>
        <v>-</v>
      </c>
      <c r="S137" s="183" t="str">
        <f t="array" ref="S137">IF(ISBLANK($AE137), "-",INDEX(Circuits!R:R,SUMPRODUCT(EXACT($AE137,Circuits!$A:$A)*ROW(Circuits!$A:$A))))</f>
        <v>-</v>
      </c>
      <c r="T137" s="183" t="str">
        <f t="array" ref="T137">IF(ISBLANK($AE137), "-",INDEX(Circuits!S:S,SUMPRODUCT(EXACT($AE137,Circuits!$A:$A)*ROW(Circuits!$A:$A))))</f>
        <v>-</v>
      </c>
      <c r="U137" s="183" t="str">
        <f t="array" ref="U137">IF(ISBLANK($AE137), "-",INDEX(Circuits!T:T,SUMPRODUCT(EXACT($AE137,Circuits!$A:$A)*ROW(Circuits!$A:$A))))</f>
        <v>-</v>
      </c>
      <c r="V137" s="183" t="str">
        <f t="array" ref="V137">IF(ISBLANK($AE137), "-",INDEX(Circuits!U:U,SUMPRODUCT(EXACT($AE137,Circuits!$A:$A)*ROW(Circuits!$A:$A))))</f>
        <v>-</v>
      </c>
      <c r="W137" s="183" t="str">
        <f t="array" ref="W137">IF(ISBLANK($AE137), "-",INDEX(Circuits!V:V,SUMPRODUCT(EXACT($AE137,Circuits!$A:$A)*ROW(Circuits!$A:$A))))</f>
        <v>-</v>
      </c>
      <c r="X137" s="183" t="str">
        <f t="array" ref="X137">IF(ISBLANK($AE137), "-",INDEX(Circuits!W:W,SUMPRODUCT(EXACT($AE137,Circuits!$A:$A)*ROW(Circuits!$A:$A))))</f>
        <v>-</v>
      </c>
      <c r="Y137" s="183" t="str">
        <f t="array" ref="Y137">IF(ISBLANK($AE137), "-",INDEX(Circuits!X:X,SUMPRODUCT(EXACT($AE137,Circuits!$A:$A)*ROW(Circuits!$A:$A))))</f>
        <v>-</v>
      </c>
      <c r="Z137" s="108" t="str">
        <f>IFERROR(__xludf.DUMMYFUNCTION("IFNA(CONCATENATE(UNIQUE(FILTER(Connections!R:R,Connections!A:A=B137))),""-"")"),"-")</f>
        <v>-</v>
      </c>
      <c r="AA137" s="119" t="str">
        <f t="array" ref="AA137">IF(ISBLANK($AE137), "-",INDEX(Circuits!Y:Y,SUMPRODUCT(EXACT($AE137,Circuits!$A:$A)*ROW(Circuits!$A:$A))))</f>
        <v>-</v>
      </c>
      <c r="AB137" s="121" t="str">
        <f t="array" ref="AB137">IF(ISBLANK($AE137), "-",INDEX(Circuits!Z:Z,SUMPRODUCT(EXACT($AE137,Circuits!$A:$A)*ROW(Circuits!$A:$A))))</f>
        <v>-</v>
      </c>
      <c r="AC137" s="194"/>
      <c r="AD137" s="194"/>
      <c r="AE137" s="40"/>
      <c r="AF137" s="43"/>
      <c r="AG137" s="126" t="str">
        <f>IFERROR(__xludf.DUMMYFUNCTION("IF(ISBLANK(AF137), """", TEXTJOIN(CHAR(10),TRUE,ARRAYFORMULA(IF(ISERROR(SEARCH(SPLIT(AF137, "";""), $Z137)), ""x"", ""-""))))"),"")</f>
        <v/>
      </c>
      <c r="AH137" s="127" t="str">
        <f>IFERROR(__xludf.DUMMYFUNCTION("IF(ISBLANK(AK137), """", TEXTJOIN("";"" &amp; CHAR(10), TRUE, UNIQUE(SPLIT(AK137, "";"" &amp; CHAR(10)), TRUE))&amp;"";"")"),"")</f>
        <v/>
      </c>
      <c r="AI137" s="128" t="str">
        <f>IFERROR(__xludf.DUMMYFUNCTION("IF(ISBLANK(AD137), IF(ISBLANK(AE137),,IFNA(TEXTJOIN("";"" &amp; CHAR(10), TRUE, FILTER(AE:AE, SEARCH(AE137&amp;"";"", AJ:AJ)))&amp;"";"", """")), TEXTJOIN("";"" &amp; CHAR(10), TRUE, UNIQUE(SPLIT(AH137 &amp; "";"" &amp; AH137 &amp; "";"" &amp; AL137, "";"" &amp; CHAR(10)), TRUE, TRUE))&amp;"";"&amp;""")"),"")</f>
        <v/>
      </c>
      <c r="AJ137" s="126" t="str">
        <f>IFERROR(__xludf.DUMMYFUNCTION("IF(AN137="""", """", TEXTJOIN("";"" &amp; CHAR(10), TRUE, UNIQUE(SPLIT(AH137 &amp; "";"" &amp; AH137 &amp; "";"" &amp; AN137, "";"" &amp; CHAR(10)), TRUE, TRUE))&amp;"";"")"),"")</f>
        <v/>
      </c>
      <c r="AK137" s="129" t="str">
        <f>IFERROR(__xludf.DUMMYFUNCTION("IF(ISBLANK(AD137), IF(ISBLANK(AE137),,AE137 &amp; "";""), TEXTJOIN(CHAR(10), TRUE, ARRAYFORMULA(VLOOKUP(SPLIT(AD137, "";"" &amp; CHAR(10)), $AC:$AH, 6, FALSE))))"),"")</f>
        <v/>
      </c>
      <c r="AL137" s="130" t="str">
        <f>IFERROR(__xludf.DUMMYFUNCTION("IF(AM137="""", """", TEXTJOIN("";"" &amp; CHAR(10), TRUE, UNIQUE(SPLIT(AM137, "";"" &amp; CHAR(10)), TRUE))&amp;"";"")"),"")</f>
        <v/>
      </c>
      <c r="AM137" s="130" t="str">
        <f>IFERROR(__xludf.DUMMYFUNCTION("IF(ISBLANK(AD137), """", TEXTJOIN(CHAR(10), TRUE, ARRAYFORMULA(VLOOKUP(SPLIT(AH137, "";"" &amp; CHAR(10)), $AE:$AI, 5, FALSE)), AF137))"),"")</f>
        <v/>
      </c>
      <c r="AN137" s="132" t="str">
        <f>IFERROR(__xludf.DUMMYFUNCTION("IF(ISBLANK(AO137), """", TEXTJOIN("";"" &amp; CHAR(10), TRUE, UNIQUE(SPLIT(AO137, "";"" &amp; CHAR(10)), TRUE))&amp;"";"")"),"")</f>
        <v/>
      </c>
      <c r="AO137" s="134" t="str">
        <f>IFERROR(__xludf.DUMMYFUNCTION("IF(ISBLANK(AD137), AF137, TEXTJOIN(CHAR(10), TRUE, ARRAYFORMULA(VLOOKUP(SPLIT(AD137, "";"" &amp; CHAR(10)), $AC:$AN, 12, FALSE))))"),"")</f>
        <v/>
      </c>
      <c r="AP137" s="130" t="str">
        <f>IF(ISBLANK(AE137),,IF(IFERROR(SEARCH(AE137&amp;";",Circuits!$AO$2),0),TRUE,FALSE))</f>
        <v/>
      </c>
      <c r="AQ137" s="130" t="str">
        <f t="shared" si="2"/>
        <v/>
      </c>
      <c r="AR137" s="130" t="str">
        <f t="shared" si="3"/>
        <v/>
      </c>
      <c r="AS137" s="136" t="str">
        <f>IFERROR(__xludf.DUMMYFUNCTION("IF(AH137="""",,SUM(ARRAYFORMULA(IF(IFERROR(SEARCH(SPLIT(AH137,CHAR(10)),Circuits!$AO$2),0)&gt;0,0,1))))"),"")</f>
        <v/>
      </c>
      <c r="AT137" s="138" t="str">
        <f t="shared" si="4"/>
        <v/>
      </c>
      <c r="AU137" s="138" t="str">
        <f t="shared" si="5"/>
        <v/>
      </c>
      <c r="AV137" s="130" t="str">
        <f>IFERROR(__xludf.DUMMYFUNCTION("IF(AI137="""",,TEXTJOIN("", "",TRUE,ARRAYFORMULA(VLOOKUP(SPLIT(AI137,"";""&amp;CHAR(10)),AE:AT,16,FALSE))))"),"")</f>
        <v/>
      </c>
      <c r="AW137" s="130" t="str">
        <f>IFERROR(__xludf.DUMMYFUNCTION("IF(ISBLANK(BK137),,TEXTJOIN("", "",TRUE,ARRAYFORMULA(VLOOKUP(IFERROR(REGEXEXTRACT(SPLIT(BK137,"";""&amp;CHAR(10)),""\[(.+)\]"")),AE:AT,16,false))))"),"")</f>
        <v/>
      </c>
      <c r="AX137" s="139" t="str">
        <f t="shared" si="6"/>
        <v/>
      </c>
      <c r="AY137" s="139" t="str">
        <f t="shared" si="7"/>
        <v/>
      </c>
      <c r="AZ137" s="106" t="str">
        <f>IFERROR(__xludf.DUMMYFUNCTION("IF(ISBLANK(AD137), BC137, TEXTJOIN(CHAR(10) &amp; CHAR(10), TRUE, ARRAYFORMULA(VLOOKUP(SPLIT(AD137, "";"" &amp; CHAR(10)), $AC:$AY, 23, FALSE))))"),"")</f>
        <v/>
      </c>
      <c r="BA137" s="140" t="s">
        <v>66</v>
      </c>
      <c r="BB137" s="190"/>
      <c r="BC137" s="196"/>
      <c r="BD137" s="106" t="str">
        <f>IFERROR(__xludf.DUMMYFUNCTION("IF(IFERROR(SEARCH(""&lt;&lt;mechanism to realize the capability&gt;&gt;"",BA137),0)=0,
 ""!! Error !! “Capability&amp;Mechanism” column: Invalid Separator:"" &amp; CHAR(10) &amp; ""Insert separator “&lt;&lt;mechanism to realize the capability&gt;&gt;.”"",
 IF(
  LEN(TRIM(CLEAN(
    INDEX(
 "&amp;"     SPLIT(BA137,""&lt;&lt;mechanism to realize the capability&gt;&gt;"",FALSE,FALSE),
      1
    )
  )))=0,
  ""!! Error !! “Capability&amp;Mechanism” column: No Capability:""  &amp; CHAR(10) &amp; ""Describe Capability before separator."",
  INDEX(
    SPLIT(BA137,""&lt;&lt;mechani"&amp;"sm to realize the capability&gt;&gt;"",FALSE,FALSE),
    1
  )
 )
)
"),"!! Error !! “Capability&amp;Mechanism” column: No Capability:
Describe Capability before separator.")</f>
        <v>!! Error !! “Capability&amp;Mechanism” column: No Capability:
Describe Capability before separator.</v>
      </c>
      <c r="BE137" s="190"/>
      <c r="BF137" s="195"/>
      <c r="BG137" s="42"/>
      <c r="BH137" s="190"/>
      <c r="BI137" s="196"/>
      <c r="BJ137" s="42"/>
      <c r="BK137" s="42"/>
      <c r="BL137" s="203"/>
      <c r="BM137" s="203"/>
      <c r="BN137" s="42"/>
      <c r="BO137" s="42"/>
      <c r="BP137" s="143"/>
      <c r="BQ137" s="143"/>
      <c r="BR137" s="192"/>
      <c r="BS137" s="192"/>
      <c r="BT137" s="192"/>
      <c r="BU137" s="192"/>
      <c r="BV137" s="192"/>
      <c r="BW137" s="192"/>
      <c r="BX137" s="146" t="str">
        <f t="shared" si="8"/>
        <v/>
      </c>
    </row>
    <row r="138">
      <c r="A138" s="106" t="str">
        <f t="shared" si="1"/>
        <v/>
      </c>
      <c r="B138" s="183" t="str">
        <f t="array" ref="B138">IF(ISBLANK($AE138), "-",INDEX(Circuits!A:A,SUMPRODUCT(EXACT($AE138,Circuits!$A:$A)*ROW(Circuits!$A:$A))))</f>
        <v>-</v>
      </c>
      <c r="C138" s="183" t="str">
        <f t="array" ref="C138">IF(ISBLANK($AE138), "-",INDEX(Circuits!B:B,SUMPRODUCT(EXACT($AE138,Circuits!$A:$A)*ROW(Circuits!$A:$A))))</f>
        <v>-</v>
      </c>
      <c r="D138" s="183" t="str">
        <f t="array" ref="D138">IF(ISBLANK($AE138), "-",INDEX(Circuits!C:C,SUMPRODUCT(EXACT($AE138,Circuits!$A:$A)*ROW(Circuits!$A:$A))))</f>
        <v>-</v>
      </c>
      <c r="E138" s="183" t="str">
        <f t="array" ref="E138">IF(ISBLANK($AE138), "-",INDEX(Circuits!D:D,SUMPRODUCT(EXACT($AE138,Circuits!$A:$A)*ROW(Circuits!$A:$A))))</f>
        <v>-</v>
      </c>
      <c r="F138" s="183" t="str">
        <f t="array" ref="F138">IF(ISBLANK($AE138), "-",INDEX(Circuits!E:E,SUMPRODUCT(EXACT($AE138,Circuits!$A:$A)*ROW(Circuits!$A:$A))))</f>
        <v>-</v>
      </c>
      <c r="G138" s="183" t="str">
        <f t="array" ref="G138">IF(ISBLANK($AE138), "-",INDEX(Circuits!F:F,SUMPRODUCT(EXACT($AE138,Circuits!$A:$A)*ROW(Circuits!$A:$A))))</f>
        <v>-</v>
      </c>
      <c r="H138" s="183" t="str">
        <f t="array" ref="H138">IF(ISBLANK($AE138), "-",INDEX(Circuits!G:G,SUMPRODUCT(EXACT($AE138,Circuits!$A:$A)*ROW(Circuits!$A:$A))))</f>
        <v>-</v>
      </c>
      <c r="I138" s="183" t="str">
        <f t="array" ref="I138">IF(ISBLANK($AE138), "-",INDEX(Circuits!H:H,SUMPRODUCT(EXACT($AE138,Circuits!$A:$A)*ROW(Circuits!$A:$A))))</f>
        <v>-</v>
      </c>
      <c r="J138" s="183" t="str">
        <f t="array" ref="J138">IF(ISBLANK($AE138), "-",INDEX(Circuits!I:I,SUMPRODUCT(EXACT($AE138,Circuits!$A:$A)*ROW(Circuits!$A:$A))))</f>
        <v>-</v>
      </c>
      <c r="K138" s="183" t="str">
        <f t="array" ref="K138">IF(ISBLANK($AE138), "-",INDEX(Circuits!J:J,SUMPRODUCT(EXACT($AE138,Circuits!$A:$A)*ROW(Circuits!$A:$A))))</f>
        <v>-</v>
      </c>
      <c r="L138" s="183" t="str">
        <f t="array" ref="L138">IF(ISBLANK($AE138), "-",INDEX(Circuits!K:K,SUMPRODUCT(EXACT($AE138,Circuits!$A:$A)*ROW(Circuits!$A:$A))))</f>
        <v>-</v>
      </c>
      <c r="M138" s="183" t="str">
        <f t="array" ref="M138">IF(ISBLANK($AE138), "-",INDEX(Circuits!L:L,SUMPRODUCT(EXACT($AE138,Circuits!$A:$A)*ROW(Circuits!$A:$A))))</f>
        <v>-</v>
      </c>
      <c r="N138" s="183" t="str">
        <f t="array" ref="N138">IF(ISBLANK($AE138), "-",INDEX(Circuits!M:M,SUMPRODUCT(EXACT($AE138,Circuits!$A:$A)*ROW(Circuits!$A:$A))))</f>
        <v>-</v>
      </c>
      <c r="O138" s="183" t="str">
        <f t="array" ref="O138">IF(ISBLANK($AE138), "-",INDEX(Circuits!N:N,SUMPRODUCT(EXACT($AE138,Circuits!$A:$A)*ROW(Circuits!$A:$A))))</f>
        <v>-</v>
      </c>
      <c r="P138" s="183" t="str">
        <f t="array" ref="P138">IF(ISBLANK($AE138), "-",INDEX(Circuits!O:O,SUMPRODUCT(EXACT($AE138,Circuits!$A:$A)*ROW(Circuits!$A:$A))))</f>
        <v>-</v>
      </c>
      <c r="Q138" s="183" t="str">
        <f t="array" ref="Q138">IF(ISBLANK($AE138), "-",INDEX(Circuits!P:P,SUMPRODUCT(EXACT($AE138,Circuits!$A:$A)*ROW(Circuits!$A:$A))))</f>
        <v>-</v>
      </c>
      <c r="R138" s="183" t="str">
        <f t="array" ref="R138">IF(ISBLANK($AE138), "-",INDEX(Circuits!Q:Q,SUMPRODUCT(EXACT($AE138,Circuits!$A:$A)*ROW(Circuits!$A:$A))))</f>
        <v>-</v>
      </c>
      <c r="S138" s="183" t="str">
        <f t="array" ref="S138">IF(ISBLANK($AE138), "-",INDEX(Circuits!R:R,SUMPRODUCT(EXACT($AE138,Circuits!$A:$A)*ROW(Circuits!$A:$A))))</f>
        <v>-</v>
      </c>
      <c r="T138" s="183" t="str">
        <f t="array" ref="T138">IF(ISBLANK($AE138), "-",INDEX(Circuits!S:S,SUMPRODUCT(EXACT($AE138,Circuits!$A:$A)*ROW(Circuits!$A:$A))))</f>
        <v>-</v>
      </c>
      <c r="U138" s="183" t="str">
        <f t="array" ref="U138">IF(ISBLANK($AE138), "-",INDEX(Circuits!T:T,SUMPRODUCT(EXACT($AE138,Circuits!$A:$A)*ROW(Circuits!$A:$A))))</f>
        <v>-</v>
      </c>
      <c r="V138" s="183" t="str">
        <f t="array" ref="V138">IF(ISBLANK($AE138), "-",INDEX(Circuits!U:U,SUMPRODUCT(EXACT($AE138,Circuits!$A:$A)*ROW(Circuits!$A:$A))))</f>
        <v>-</v>
      </c>
      <c r="W138" s="183" t="str">
        <f t="array" ref="W138">IF(ISBLANK($AE138), "-",INDEX(Circuits!V:V,SUMPRODUCT(EXACT($AE138,Circuits!$A:$A)*ROW(Circuits!$A:$A))))</f>
        <v>-</v>
      </c>
      <c r="X138" s="183" t="str">
        <f t="array" ref="X138">IF(ISBLANK($AE138), "-",INDEX(Circuits!W:W,SUMPRODUCT(EXACT($AE138,Circuits!$A:$A)*ROW(Circuits!$A:$A))))</f>
        <v>-</v>
      </c>
      <c r="Y138" s="183" t="str">
        <f t="array" ref="Y138">IF(ISBLANK($AE138), "-",INDEX(Circuits!X:X,SUMPRODUCT(EXACT($AE138,Circuits!$A:$A)*ROW(Circuits!$A:$A))))</f>
        <v>-</v>
      </c>
      <c r="Z138" s="108" t="str">
        <f>IFERROR(__xludf.DUMMYFUNCTION("IFNA(CONCATENATE(UNIQUE(FILTER(Connections!R:R,Connections!A:A=B138))),""-"")"),"-")</f>
        <v>-</v>
      </c>
      <c r="AA138" s="119" t="str">
        <f t="array" ref="AA138">IF(ISBLANK($AE138), "-",INDEX(Circuits!Y:Y,SUMPRODUCT(EXACT($AE138,Circuits!$A:$A)*ROW(Circuits!$A:$A))))</f>
        <v>-</v>
      </c>
      <c r="AB138" s="121" t="str">
        <f t="array" ref="AB138">IF(ISBLANK($AE138), "-",INDEX(Circuits!Z:Z,SUMPRODUCT(EXACT($AE138,Circuits!$A:$A)*ROW(Circuits!$A:$A))))</f>
        <v>-</v>
      </c>
      <c r="AC138" s="194"/>
      <c r="AD138" s="194"/>
      <c r="AE138" s="40"/>
      <c r="AF138" s="43"/>
      <c r="AG138" s="126" t="str">
        <f>IFERROR(__xludf.DUMMYFUNCTION("IF(ISBLANK(AF138), """", TEXTJOIN(CHAR(10),TRUE,ARRAYFORMULA(IF(ISERROR(SEARCH(SPLIT(AF138, "";""), $Z138)), ""x"", ""-""))))"),"")</f>
        <v/>
      </c>
      <c r="AH138" s="127" t="str">
        <f>IFERROR(__xludf.DUMMYFUNCTION("IF(ISBLANK(AK138), """", TEXTJOIN("";"" &amp; CHAR(10), TRUE, UNIQUE(SPLIT(AK138, "";"" &amp; CHAR(10)), TRUE))&amp;"";"")"),"")</f>
        <v/>
      </c>
      <c r="AI138" s="128" t="str">
        <f>IFERROR(__xludf.DUMMYFUNCTION("IF(ISBLANK(AD138), IF(ISBLANK(AE138),,IFNA(TEXTJOIN("";"" &amp; CHAR(10), TRUE, FILTER(AE:AE, SEARCH(AE138&amp;"";"", AJ:AJ)))&amp;"";"", """")), TEXTJOIN("";"" &amp; CHAR(10), TRUE, UNIQUE(SPLIT(AH138 &amp; "";"" &amp; AH138 &amp; "";"" &amp; AL138, "";"" &amp; CHAR(10)), TRUE, TRUE))&amp;"";"&amp;""")"),"")</f>
        <v/>
      </c>
      <c r="AJ138" s="126" t="str">
        <f>IFERROR(__xludf.DUMMYFUNCTION("IF(AN138="""", """", TEXTJOIN("";"" &amp; CHAR(10), TRUE, UNIQUE(SPLIT(AH138 &amp; "";"" &amp; AH138 &amp; "";"" &amp; AN138, "";"" &amp; CHAR(10)), TRUE, TRUE))&amp;"";"")"),"")</f>
        <v/>
      </c>
      <c r="AK138" s="129" t="str">
        <f>IFERROR(__xludf.DUMMYFUNCTION("IF(ISBLANK(AD138), IF(ISBLANK(AE138),,AE138 &amp; "";""), TEXTJOIN(CHAR(10), TRUE, ARRAYFORMULA(VLOOKUP(SPLIT(AD138, "";"" &amp; CHAR(10)), $AC:$AH, 6, FALSE))))"),"")</f>
        <v/>
      </c>
      <c r="AL138" s="130" t="str">
        <f>IFERROR(__xludf.DUMMYFUNCTION("IF(AM138="""", """", TEXTJOIN("";"" &amp; CHAR(10), TRUE, UNIQUE(SPLIT(AM138, "";"" &amp; CHAR(10)), TRUE))&amp;"";"")"),"")</f>
        <v/>
      </c>
      <c r="AM138" s="130" t="str">
        <f>IFERROR(__xludf.DUMMYFUNCTION("IF(ISBLANK(AD138), """", TEXTJOIN(CHAR(10), TRUE, ARRAYFORMULA(VLOOKUP(SPLIT(AH138, "";"" &amp; CHAR(10)), $AE:$AI, 5, FALSE)), AF138))"),"")</f>
        <v/>
      </c>
      <c r="AN138" s="132" t="str">
        <f>IFERROR(__xludf.DUMMYFUNCTION("IF(ISBLANK(AO138), """", TEXTJOIN("";"" &amp; CHAR(10), TRUE, UNIQUE(SPLIT(AO138, "";"" &amp; CHAR(10)), TRUE))&amp;"";"")"),"")</f>
        <v/>
      </c>
      <c r="AO138" s="134" t="str">
        <f>IFERROR(__xludf.DUMMYFUNCTION("IF(ISBLANK(AD138), AF138, TEXTJOIN(CHAR(10), TRUE, ARRAYFORMULA(VLOOKUP(SPLIT(AD138, "";"" &amp; CHAR(10)), $AC:$AN, 12, FALSE))))"),"")</f>
        <v/>
      </c>
      <c r="AP138" s="130" t="str">
        <f>IF(ISBLANK(AE138),,IF(IFERROR(SEARCH(AE138&amp;";",Circuits!$AO$2),0),TRUE,FALSE))</f>
        <v/>
      </c>
      <c r="AQ138" s="130" t="str">
        <f t="shared" si="2"/>
        <v/>
      </c>
      <c r="AR138" s="130" t="str">
        <f t="shared" si="3"/>
        <v/>
      </c>
      <c r="AS138" s="136" t="str">
        <f>IFERROR(__xludf.DUMMYFUNCTION("IF(AH138="""",,SUM(ARRAYFORMULA(IF(IFERROR(SEARCH(SPLIT(AH138,CHAR(10)),Circuits!$AO$2),0)&gt;0,0,1))))"),"")</f>
        <v/>
      </c>
      <c r="AT138" s="138" t="str">
        <f t="shared" si="4"/>
        <v/>
      </c>
      <c r="AU138" s="138" t="str">
        <f t="shared" si="5"/>
        <v/>
      </c>
      <c r="AV138" s="130" t="str">
        <f>IFERROR(__xludf.DUMMYFUNCTION("IF(AI138="""",,TEXTJOIN("", "",TRUE,ARRAYFORMULA(VLOOKUP(SPLIT(AI138,"";""&amp;CHAR(10)),AE:AT,16,FALSE))))"),"")</f>
        <v/>
      </c>
      <c r="AW138" s="130" t="str">
        <f>IFERROR(__xludf.DUMMYFUNCTION("IF(ISBLANK(BK138),,TEXTJOIN("", "",TRUE,ARRAYFORMULA(VLOOKUP(IFERROR(REGEXEXTRACT(SPLIT(BK138,"";""&amp;CHAR(10)),""\[(.+)\]"")),AE:AT,16,false))))"),"")</f>
        <v/>
      </c>
      <c r="AX138" s="139" t="str">
        <f t="shared" si="6"/>
        <v/>
      </c>
      <c r="AY138" s="139" t="str">
        <f t="shared" si="7"/>
        <v/>
      </c>
      <c r="AZ138" s="106" t="str">
        <f>IFERROR(__xludf.DUMMYFUNCTION("IF(ISBLANK(AD138), BC138, TEXTJOIN(CHAR(10) &amp; CHAR(10), TRUE, ARRAYFORMULA(VLOOKUP(SPLIT(AD138, "";"" &amp; CHAR(10)), $AC:$AY, 23, FALSE))))"),"")</f>
        <v/>
      </c>
      <c r="BA138" s="140" t="s">
        <v>66</v>
      </c>
      <c r="BB138" s="190"/>
      <c r="BC138" s="196"/>
      <c r="BD138" s="106" t="str">
        <f>IFERROR(__xludf.DUMMYFUNCTION("IF(IFERROR(SEARCH(""&lt;&lt;mechanism to realize the capability&gt;&gt;"",BA138),0)=0,
 ""!! Error !! “Capability&amp;Mechanism” column: Invalid Separator:"" &amp; CHAR(10) &amp; ""Insert separator “&lt;&lt;mechanism to realize the capability&gt;&gt;.”"",
 IF(
  LEN(TRIM(CLEAN(
    INDEX(
 "&amp;"     SPLIT(BA138,""&lt;&lt;mechanism to realize the capability&gt;&gt;"",FALSE,FALSE),
      1
    )
  )))=0,
  ""!! Error !! “Capability&amp;Mechanism” column: No Capability:""  &amp; CHAR(10) &amp; ""Describe Capability before separator."",
  INDEX(
    SPLIT(BA138,""&lt;&lt;mechani"&amp;"sm to realize the capability&gt;&gt;"",FALSE,FALSE),
    1
  )
 )
)
"),"!! Error !! “Capability&amp;Mechanism” column: No Capability:
Describe Capability before separator.")</f>
        <v>!! Error !! “Capability&amp;Mechanism” column: No Capability:
Describe Capability before separator.</v>
      </c>
      <c r="BE138" s="190"/>
      <c r="BF138" s="195"/>
      <c r="BG138" s="42"/>
      <c r="BH138" s="190"/>
      <c r="BI138" s="196"/>
      <c r="BJ138" s="42"/>
      <c r="BK138" s="42"/>
      <c r="BL138" s="203"/>
      <c r="BM138" s="203"/>
      <c r="BN138" s="42"/>
      <c r="BO138" s="42"/>
      <c r="BP138" s="143"/>
      <c r="BQ138" s="143"/>
      <c r="BR138" s="192"/>
      <c r="BS138" s="192"/>
      <c r="BT138" s="192"/>
      <c r="BU138" s="192"/>
      <c r="BV138" s="192"/>
      <c r="BW138" s="192"/>
      <c r="BX138" s="146" t="str">
        <f t="shared" si="8"/>
        <v/>
      </c>
    </row>
    <row r="139">
      <c r="A139" s="106" t="str">
        <f t="shared" si="1"/>
        <v/>
      </c>
      <c r="B139" s="183" t="str">
        <f t="array" ref="B139">IF(ISBLANK($AE139), "-",INDEX(Circuits!A:A,SUMPRODUCT(EXACT($AE139,Circuits!$A:$A)*ROW(Circuits!$A:$A))))</f>
        <v>-</v>
      </c>
      <c r="C139" s="183" t="str">
        <f t="array" ref="C139">IF(ISBLANK($AE139), "-",INDEX(Circuits!B:B,SUMPRODUCT(EXACT($AE139,Circuits!$A:$A)*ROW(Circuits!$A:$A))))</f>
        <v>-</v>
      </c>
      <c r="D139" s="183" t="str">
        <f t="array" ref="D139">IF(ISBLANK($AE139), "-",INDEX(Circuits!C:C,SUMPRODUCT(EXACT($AE139,Circuits!$A:$A)*ROW(Circuits!$A:$A))))</f>
        <v>-</v>
      </c>
      <c r="E139" s="183" t="str">
        <f t="array" ref="E139">IF(ISBLANK($AE139), "-",INDEX(Circuits!D:D,SUMPRODUCT(EXACT($AE139,Circuits!$A:$A)*ROW(Circuits!$A:$A))))</f>
        <v>-</v>
      </c>
      <c r="F139" s="183" t="str">
        <f t="array" ref="F139">IF(ISBLANK($AE139), "-",INDEX(Circuits!E:E,SUMPRODUCT(EXACT($AE139,Circuits!$A:$A)*ROW(Circuits!$A:$A))))</f>
        <v>-</v>
      </c>
      <c r="G139" s="183" t="str">
        <f t="array" ref="G139">IF(ISBLANK($AE139), "-",INDEX(Circuits!F:F,SUMPRODUCT(EXACT($AE139,Circuits!$A:$A)*ROW(Circuits!$A:$A))))</f>
        <v>-</v>
      </c>
      <c r="H139" s="183" t="str">
        <f t="array" ref="H139">IF(ISBLANK($AE139), "-",INDEX(Circuits!G:G,SUMPRODUCT(EXACT($AE139,Circuits!$A:$A)*ROW(Circuits!$A:$A))))</f>
        <v>-</v>
      </c>
      <c r="I139" s="183" t="str">
        <f t="array" ref="I139">IF(ISBLANK($AE139), "-",INDEX(Circuits!H:H,SUMPRODUCT(EXACT($AE139,Circuits!$A:$A)*ROW(Circuits!$A:$A))))</f>
        <v>-</v>
      </c>
      <c r="J139" s="183" t="str">
        <f t="array" ref="J139">IF(ISBLANK($AE139), "-",INDEX(Circuits!I:I,SUMPRODUCT(EXACT($AE139,Circuits!$A:$A)*ROW(Circuits!$A:$A))))</f>
        <v>-</v>
      </c>
      <c r="K139" s="183" t="str">
        <f t="array" ref="K139">IF(ISBLANK($AE139), "-",INDEX(Circuits!J:J,SUMPRODUCT(EXACT($AE139,Circuits!$A:$A)*ROW(Circuits!$A:$A))))</f>
        <v>-</v>
      </c>
      <c r="L139" s="183" t="str">
        <f t="array" ref="L139">IF(ISBLANK($AE139), "-",INDEX(Circuits!K:K,SUMPRODUCT(EXACT($AE139,Circuits!$A:$A)*ROW(Circuits!$A:$A))))</f>
        <v>-</v>
      </c>
      <c r="M139" s="183" t="str">
        <f t="array" ref="M139">IF(ISBLANK($AE139), "-",INDEX(Circuits!L:L,SUMPRODUCT(EXACT($AE139,Circuits!$A:$A)*ROW(Circuits!$A:$A))))</f>
        <v>-</v>
      </c>
      <c r="N139" s="183" t="str">
        <f t="array" ref="N139">IF(ISBLANK($AE139), "-",INDEX(Circuits!M:M,SUMPRODUCT(EXACT($AE139,Circuits!$A:$A)*ROW(Circuits!$A:$A))))</f>
        <v>-</v>
      </c>
      <c r="O139" s="183" t="str">
        <f t="array" ref="O139">IF(ISBLANK($AE139), "-",INDEX(Circuits!N:N,SUMPRODUCT(EXACT($AE139,Circuits!$A:$A)*ROW(Circuits!$A:$A))))</f>
        <v>-</v>
      </c>
      <c r="P139" s="183" t="str">
        <f t="array" ref="P139">IF(ISBLANK($AE139), "-",INDEX(Circuits!O:O,SUMPRODUCT(EXACT($AE139,Circuits!$A:$A)*ROW(Circuits!$A:$A))))</f>
        <v>-</v>
      </c>
      <c r="Q139" s="183" t="str">
        <f t="array" ref="Q139">IF(ISBLANK($AE139), "-",INDEX(Circuits!P:P,SUMPRODUCT(EXACT($AE139,Circuits!$A:$A)*ROW(Circuits!$A:$A))))</f>
        <v>-</v>
      </c>
      <c r="R139" s="183" t="str">
        <f t="array" ref="R139">IF(ISBLANK($AE139), "-",INDEX(Circuits!Q:Q,SUMPRODUCT(EXACT($AE139,Circuits!$A:$A)*ROW(Circuits!$A:$A))))</f>
        <v>-</v>
      </c>
      <c r="S139" s="183" t="str">
        <f t="array" ref="S139">IF(ISBLANK($AE139), "-",INDEX(Circuits!R:R,SUMPRODUCT(EXACT($AE139,Circuits!$A:$A)*ROW(Circuits!$A:$A))))</f>
        <v>-</v>
      </c>
      <c r="T139" s="183" t="str">
        <f t="array" ref="T139">IF(ISBLANK($AE139), "-",INDEX(Circuits!S:S,SUMPRODUCT(EXACT($AE139,Circuits!$A:$A)*ROW(Circuits!$A:$A))))</f>
        <v>-</v>
      </c>
      <c r="U139" s="183" t="str">
        <f t="array" ref="U139">IF(ISBLANK($AE139), "-",INDEX(Circuits!T:T,SUMPRODUCT(EXACT($AE139,Circuits!$A:$A)*ROW(Circuits!$A:$A))))</f>
        <v>-</v>
      </c>
      <c r="V139" s="183" t="str">
        <f t="array" ref="V139">IF(ISBLANK($AE139), "-",INDEX(Circuits!U:U,SUMPRODUCT(EXACT($AE139,Circuits!$A:$A)*ROW(Circuits!$A:$A))))</f>
        <v>-</v>
      </c>
      <c r="W139" s="183" t="str">
        <f t="array" ref="W139">IF(ISBLANK($AE139), "-",INDEX(Circuits!V:V,SUMPRODUCT(EXACT($AE139,Circuits!$A:$A)*ROW(Circuits!$A:$A))))</f>
        <v>-</v>
      </c>
      <c r="X139" s="183" t="str">
        <f t="array" ref="X139">IF(ISBLANK($AE139), "-",INDEX(Circuits!W:W,SUMPRODUCT(EXACT($AE139,Circuits!$A:$A)*ROW(Circuits!$A:$A))))</f>
        <v>-</v>
      </c>
      <c r="Y139" s="183" t="str">
        <f t="array" ref="Y139">IF(ISBLANK($AE139), "-",INDEX(Circuits!X:X,SUMPRODUCT(EXACT($AE139,Circuits!$A:$A)*ROW(Circuits!$A:$A))))</f>
        <v>-</v>
      </c>
      <c r="Z139" s="108" t="str">
        <f>IFERROR(__xludf.DUMMYFUNCTION("IFNA(CONCATENATE(UNIQUE(FILTER(Connections!R:R,Connections!A:A=B139))),""-"")"),"-")</f>
        <v>-</v>
      </c>
      <c r="AA139" s="119" t="str">
        <f t="array" ref="AA139">IF(ISBLANK($AE139), "-",INDEX(Circuits!Y:Y,SUMPRODUCT(EXACT($AE139,Circuits!$A:$A)*ROW(Circuits!$A:$A))))</f>
        <v>-</v>
      </c>
      <c r="AB139" s="121" t="str">
        <f t="array" ref="AB139">IF(ISBLANK($AE139), "-",INDEX(Circuits!Z:Z,SUMPRODUCT(EXACT($AE139,Circuits!$A:$A)*ROW(Circuits!$A:$A))))</f>
        <v>-</v>
      </c>
      <c r="AC139" s="194"/>
      <c r="AD139" s="194"/>
      <c r="AE139" s="40"/>
      <c r="AF139" s="43"/>
      <c r="AG139" s="126" t="str">
        <f>IFERROR(__xludf.DUMMYFUNCTION("IF(ISBLANK(AF139), """", TEXTJOIN(CHAR(10),TRUE,ARRAYFORMULA(IF(ISERROR(SEARCH(SPLIT(AF139, "";""), $Z139)), ""x"", ""-""))))"),"")</f>
        <v/>
      </c>
      <c r="AH139" s="127" t="str">
        <f>IFERROR(__xludf.DUMMYFUNCTION("IF(ISBLANK(AK139), """", TEXTJOIN("";"" &amp; CHAR(10), TRUE, UNIQUE(SPLIT(AK139, "";"" &amp; CHAR(10)), TRUE))&amp;"";"")"),"")</f>
        <v/>
      </c>
      <c r="AI139" s="128" t="str">
        <f>IFERROR(__xludf.DUMMYFUNCTION("IF(ISBLANK(AD139), IF(ISBLANK(AE139),,IFNA(TEXTJOIN("";"" &amp; CHAR(10), TRUE, FILTER(AE:AE, SEARCH(AE139&amp;"";"", AJ:AJ)))&amp;"";"", """")), TEXTJOIN("";"" &amp; CHAR(10), TRUE, UNIQUE(SPLIT(AH139 &amp; "";"" &amp; AH139 &amp; "";"" &amp; AL139, "";"" &amp; CHAR(10)), TRUE, TRUE))&amp;"";"&amp;""")"),"")</f>
        <v/>
      </c>
      <c r="AJ139" s="126" t="str">
        <f>IFERROR(__xludf.DUMMYFUNCTION("IF(AN139="""", """", TEXTJOIN("";"" &amp; CHAR(10), TRUE, UNIQUE(SPLIT(AH139 &amp; "";"" &amp; AH139 &amp; "";"" &amp; AN139, "";"" &amp; CHAR(10)), TRUE, TRUE))&amp;"";"")"),"")</f>
        <v/>
      </c>
      <c r="AK139" s="129" t="str">
        <f>IFERROR(__xludf.DUMMYFUNCTION("IF(ISBLANK(AD139), IF(ISBLANK(AE139),,AE139 &amp; "";""), TEXTJOIN(CHAR(10), TRUE, ARRAYFORMULA(VLOOKUP(SPLIT(AD139, "";"" &amp; CHAR(10)), $AC:$AH, 6, FALSE))))"),"")</f>
        <v/>
      </c>
      <c r="AL139" s="130" t="str">
        <f>IFERROR(__xludf.DUMMYFUNCTION("IF(AM139="""", """", TEXTJOIN("";"" &amp; CHAR(10), TRUE, UNIQUE(SPLIT(AM139, "";"" &amp; CHAR(10)), TRUE))&amp;"";"")"),"")</f>
        <v/>
      </c>
      <c r="AM139" s="130" t="str">
        <f>IFERROR(__xludf.DUMMYFUNCTION("IF(ISBLANK(AD139), """", TEXTJOIN(CHAR(10), TRUE, ARRAYFORMULA(VLOOKUP(SPLIT(AH139, "";"" &amp; CHAR(10)), $AE:$AI, 5, FALSE)), AF139))"),"")</f>
        <v/>
      </c>
      <c r="AN139" s="132" t="str">
        <f>IFERROR(__xludf.DUMMYFUNCTION("IF(ISBLANK(AO139), """", TEXTJOIN("";"" &amp; CHAR(10), TRUE, UNIQUE(SPLIT(AO139, "";"" &amp; CHAR(10)), TRUE))&amp;"";"")"),"")</f>
        <v/>
      </c>
      <c r="AO139" s="134" t="str">
        <f>IFERROR(__xludf.DUMMYFUNCTION("IF(ISBLANK(AD139), AF139, TEXTJOIN(CHAR(10), TRUE, ARRAYFORMULA(VLOOKUP(SPLIT(AD139, "";"" &amp; CHAR(10)), $AC:$AN, 12, FALSE))))"),"")</f>
        <v/>
      </c>
      <c r="AP139" s="130" t="str">
        <f>IF(ISBLANK(AE139),,IF(IFERROR(SEARCH(AE139&amp;";",Circuits!$AO$2),0),TRUE,FALSE))</f>
        <v/>
      </c>
      <c r="AQ139" s="130" t="str">
        <f t="shared" si="2"/>
        <v/>
      </c>
      <c r="AR139" s="130" t="str">
        <f t="shared" si="3"/>
        <v/>
      </c>
      <c r="AS139" s="136" t="str">
        <f>IFERROR(__xludf.DUMMYFUNCTION("IF(AH139="""",,SUM(ARRAYFORMULA(IF(IFERROR(SEARCH(SPLIT(AH139,CHAR(10)),Circuits!$AO$2),0)&gt;0,0,1))))"),"")</f>
        <v/>
      </c>
      <c r="AT139" s="138" t="str">
        <f t="shared" si="4"/>
        <v/>
      </c>
      <c r="AU139" s="138" t="str">
        <f t="shared" si="5"/>
        <v/>
      </c>
      <c r="AV139" s="130" t="str">
        <f>IFERROR(__xludf.DUMMYFUNCTION("IF(AI139="""",,TEXTJOIN("", "",TRUE,ARRAYFORMULA(VLOOKUP(SPLIT(AI139,"";""&amp;CHAR(10)),AE:AT,16,FALSE))))"),"")</f>
        <v/>
      </c>
      <c r="AW139" s="130" t="str">
        <f>IFERROR(__xludf.DUMMYFUNCTION("IF(ISBLANK(BK139),,TEXTJOIN("", "",TRUE,ARRAYFORMULA(VLOOKUP(IFERROR(REGEXEXTRACT(SPLIT(BK139,"";""&amp;CHAR(10)),""\[(.+)\]"")),AE:AT,16,false))))"),"")</f>
        <v/>
      </c>
      <c r="AX139" s="139" t="str">
        <f t="shared" si="6"/>
        <v/>
      </c>
      <c r="AY139" s="139" t="str">
        <f t="shared" si="7"/>
        <v/>
      </c>
      <c r="AZ139" s="106" t="str">
        <f>IFERROR(__xludf.DUMMYFUNCTION("IF(ISBLANK(AD139), BC139, TEXTJOIN(CHAR(10) &amp; CHAR(10), TRUE, ARRAYFORMULA(VLOOKUP(SPLIT(AD139, "";"" &amp; CHAR(10)), $AC:$AY, 23, FALSE))))"),"")</f>
        <v/>
      </c>
      <c r="BA139" s="140" t="s">
        <v>66</v>
      </c>
      <c r="BB139" s="190"/>
      <c r="BC139" s="196"/>
      <c r="BD139" s="106" t="str">
        <f>IFERROR(__xludf.DUMMYFUNCTION("IF(IFERROR(SEARCH(""&lt;&lt;mechanism to realize the capability&gt;&gt;"",BA139),0)=0,
 ""!! Error !! “Capability&amp;Mechanism” column: Invalid Separator:"" &amp; CHAR(10) &amp; ""Insert separator “&lt;&lt;mechanism to realize the capability&gt;&gt;.”"",
 IF(
  LEN(TRIM(CLEAN(
    INDEX(
 "&amp;"     SPLIT(BA139,""&lt;&lt;mechanism to realize the capability&gt;&gt;"",FALSE,FALSE),
      1
    )
  )))=0,
  ""!! Error !! “Capability&amp;Mechanism” column: No Capability:""  &amp; CHAR(10) &amp; ""Describe Capability before separator."",
  INDEX(
    SPLIT(BA139,""&lt;&lt;mechani"&amp;"sm to realize the capability&gt;&gt;"",FALSE,FALSE),
    1
  )
 )
)
"),"!! Error !! “Capability&amp;Mechanism” column: No Capability:
Describe Capability before separator.")</f>
        <v>!! Error !! “Capability&amp;Mechanism” column: No Capability:
Describe Capability before separator.</v>
      </c>
      <c r="BE139" s="190"/>
      <c r="BF139" s="195"/>
      <c r="BG139" s="42"/>
      <c r="BH139" s="190"/>
      <c r="BI139" s="196"/>
      <c r="BJ139" s="42"/>
      <c r="BK139" s="42"/>
      <c r="BL139" s="203"/>
      <c r="BM139" s="203"/>
      <c r="BN139" s="42"/>
      <c r="BO139" s="42"/>
      <c r="BP139" s="143"/>
      <c r="BQ139" s="143"/>
      <c r="BR139" s="192"/>
      <c r="BS139" s="192"/>
      <c r="BT139" s="192"/>
      <c r="BU139" s="192"/>
      <c r="BV139" s="192"/>
      <c r="BW139" s="192"/>
      <c r="BX139" s="146" t="str">
        <f t="shared" si="8"/>
        <v/>
      </c>
    </row>
    <row r="140">
      <c r="A140" s="106" t="str">
        <f t="shared" si="1"/>
        <v/>
      </c>
      <c r="B140" s="183" t="str">
        <f t="array" ref="B140">IF(ISBLANK($AE140), "-",INDEX(Circuits!A:A,SUMPRODUCT(EXACT($AE140,Circuits!$A:$A)*ROW(Circuits!$A:$A))))</f>
        <v>-</v>
      </c>
      <c r="C140" s="183" t="str">
        <f t="array" ref="C140">IF(ISBLANK($AE140), "-",INDEX(Circuits!B:B,SUMPRODUCT(EXACT($AE140,Circuits!$A:$A)*ROW(Circuits!$A:$A))))</f>
        <v>-</v>
      </c>
      <c r="D140" s="183" t="str">
        <f t="array" ref="D140">IF(ISBLANK($AE140), "-",INDEX(Circuits!C:C,SUMPRODUCT(EXACT($AE140,Circuits!$A:$A)*ROW(Circuits!$A:$A))))</f>
        <v>-</v>
      </c>
      <c r="E140" s="183" t="str">
        <f t="array" ref="E140">IF(ISBLANK($AE140), "-",INDEX(Circuits!D:D,SUMPRODUCT(EXACT($AE140,Circuits!$A:$A)*ROW(Circuits!$A:$A))))</f>
        <v>-</v>
      </c>
      <c r="F140" s="183" t="str">
        <f t="array" ref="F140">IF(ISBLANK($AE140), "-",INDEX(Circuits!E:E,SUMPRODUCT(EXACT($AE140,Circuits!$A:$A)*ROW(Circuits!$A:$A))))</f>
        <v>-</v>
      </c>
      <c r="G140" s="183" t="str">
        <f t="array" ref="G140">IF(ISBLANK($AE140), "-",INDEX(Circuits!F:F,SUMPRODUCT(EXACT($AE140,Circuits!$A:$A)*ROW(Circuits!$A:$A))))</f>
        <v>-</v>
      </c>
      <c r="H140" s="183" t="str">
        <f t="array" ref="H140">IF(ISBLANK($AE140), "-",INDEX(Circuits!G:G,SUMPRODUCT(EXACT($AE140,Circuits!$A:$A)*ROW(Circuits!$A:$A))))</f>
        <v>-</v>
      </c>
      <c r="I140" s="183" t="str">
        <f t="array" ref="I140">IF(ISBLANK($AE140), "-",INDEX(Circuits!H:H,SUMPRODUCT(EXACT($AE140,Circuits!$A:$A)*ROW(Circuits!$A:$A))))</f>
        <v>-</v>
      </c>
      <c r="J140" s="183" t="str">
        <f t="array" ref="J140">IF(ISBLANK($AE140), "-",INDEX(Circuits!I:I,SUMPRODUCT(EXACT($AE140,Circuits!$A:$A)*ROW(Circuits!$A:$A))))</f>
        <v>-</v>
      </c>
      <c r="K140" s="183" t="str">
        <f t="array" ref="K140">IF(ISBLANK($AE140), "-",INDEX(Circuits!J:J,SUMPRODUCT(EXACT($AE140,Circuits!$A:$A)*ROW(Circuits!$A:$A))))</f>
        <v>-</v>
      </c>
      <c r="L140" s="183" t="str">
        <f t="array" ref="L140">IF(ISBLANK($AE140), "-",INDEX(Circuits!K:K,SUMPRODUCT(EXACT($AE140,Circuits!$A:$A)*ROW(Circuits!$A:$A))))</f>
        <v>-</v>
      </c>
      <c r="M140" s="183" t="str">
        <f t="array" ref="M140">IF(ISBLANK($AE140), "-",INDEX(Circuits!L:L,SUMPRODUCT(EXACT($AE140,Circuits!$A:$A)*ROW(Circuits!$A:$A))))</f>
        <v>-</v>
      </c>
      <c r="N140" s="183" t="str">
        <f t="array" ref="N140">IF(ISBLANK($AE140), "-",INDEX(Circuits!M:M,SUMPRODUCT(EXACT($AE140,Circuits!$A:$A)*ROW(Circuits!$A:$A))))</f>
        <v>-</v>
      </c>
      <c r="O140" s="183" t="str">
        <f t="array" ref="O140">IF(ISBLANK($AE140), "-",INDEX(Circuits!N:N,SUMPRODUCT(EXACT($AE140,Circuits!$A:$A)*ROW(Circuits!$A:$A))))</f>
        <v>-</v>
      </c>
      <c r="P140" s="183" t="str">
        <f t="array" ref="P140">IF(ISBLANK($AE140), "-",INDEX(Circuits!O:O,SUMPRODUCT(EXACT($AE140,Circuits!$A:$A)*ROW(Circuits!$A:$A))))</f>
        <v>-</v>
      </c>
      <c r="Q140" s="183" t="str">
        <f t="array" ref="Q140">IF(ISBLANK($AE140), "-",INDEX(Circuits!P:P,SUMPRODUCT(EXACT($AE140,Circuits!$A:$A)*ROW(Circuits!$A:$A))))</f>
        <v>-</v>
      </c>
      <c r="R140" s="183" t="str">
        <f t="array" ref="R140">IF(ISBLANK($AE140), "-",INDEX(Circuits!Q:Q,SUMPRODUCT(EXACT($AE140,Circuits!$A:$A)*ROW(Circuits!$A:$A))))</f>
        <v>-</v>
      </c>
      <c r="S140" s="183" t="str">
        <f t="array" ref="S140">IF(ISBLANK($AE140), "-",INDEX(Circuits!R:R,SUMPRODUCT(EXACT($AE140,Circuits!$A:$A)*ROW(Circuits!$A:$A))))</f>
        <v>-</v>
      </c>
      <c r="T140" s="183" t="str">
        <f t="array" ref="T140">IF(ISBLANK($AE140), "-",INDEX(Circuits!S:S,SUMPRODUCT(EXACT($AE140,Circuits!$A:$A)*ROW(Circuits!$A:$A))))</f>
        <v>-</v>
      </c>
      <c r="U140" s="183" t="str">
        <f t="array" ref="U140">IF(ISBLANK($AE140), "-",INDEX(Circuits!T:T,SUMPRODUCT(EXACT($AE140,Circuits!$A:$A)*ROW(Circuits!$A:$A))))</f>
        <v>-</v>
      </c>
      <c r="V140" s="183" t="str">
        <f t="array" ref="V140">IF(ISBLANK($AE140), "-",INDEX(Circuits!U:U,SUMPRODUCT(EXACT($AE140,Circuits!$A:$A)*ROW(Circuits!$A:$A))))</f>
        <v>-</v>
      </c>
      <c r="W140" s="183" t="str">
        <f t="array" ref="W140">IF(ISBLANK($AE140), "-",INDEX(Circuits!V:V,SUMPRODUCT(EXACT($AE140,Circuits!$A:$A)*ROW(Circuits!$A:$A))))</f>
        <v>-</v>
      </c>
      <c r="X140" s="183" t="str">
        <f t="array" ref="X140">IF(ISBLANK($AE140), "-",INDEX(Circuits!W:W,SUMPRODUCT(EXACT($AE140,Circuits!$A:$A)*ROW(Circuits!$A:$A))))</f>
        <v>-</v>
      </c>
      <c r="Y140" s="183" t="str">
        <f t="array" ref="Y140">IF(ISBLANK($AE140), "-",INDEX(Circuits!X:X,SUMPRODUCT(EXACT($AE140,Circuits!$A:$A)*ROW(Circuits!$A:$A))))</f>
        <v>-</v>
      </c>
      <c r="Z140" s="108" t="str">
        <f>IFERROR(__xludf.DUMMYFUNCTION("IFNA(CONCATENATE(UNIQUE(FILTER(Connections!R:R,Connections!A:A=B140))),""-"")"),"-")</f>
        <v>-</v>
      </c>
      <c r="AA140" s="119" t="str">
        <f t="array" ref="AA140">IF(ISBLANK($AE140), "-",INDEX(Circuits!Y:Y,SUMPRODUCT(EXACT($AE140,Circuits!$A:$A)*ROW(Circuits!$A:$A))))</f>
        <v>-</v>
      </c>
      <c r="AB140" s="121" t="str">
        <f t="array" ref="AB140">IF(ISBLANK($AE140), "-",INDEX(Circuits!Z:Z,SUMPRODUCT(EXACT($AE140,Circuits!$A:$A)*ROW(Circuits!$A:$A))))</f>
        <v>-</v>
      </c>
      <c r="AC140" s="194"/>
      <c r="AD140" s="194"/>
      <c r="AE140" s="40"/>
      <c r="AF140" s="43"/>
      <c r="AG140" s="126" t="str">
        <f>IFERROR(__xludf.DUMMYFUNCTION("IF(ISBLANK(AF140), """", TEXTJOIN(CHAR(10),TRUE,ARRAYFORMULA(IF(ISERROR(SEARCH(SPLIT(AF140, "";""), $Z140)), ""x"", ""-""))))"),"")</f>
        <v/>
      </c>
      <c r="AH140" s="127" t="str">
        <f>IFERROR(__xludf.DUMMYFUNCTION("IF(ISBLANK(AK140), """", TEXTJOIN("";"" &amp; CHAR(10), TRUE, UNIQUE(SPLIT(AK140, "";"" &amp; CHAR(10)), TRUE))&amp;"";"")"),"")</f>
        <v/>
      </c>
      <c r="AI140" s="128" t="str">
        <f>IFERROR(__xludf.DUMMYFUNCTION("IF(ISBLANK(AD140), IF(ISBLANK(AE140),,IFNA(TEXTJOIN("";"" &amp; CHAR(10), TRUE, FILTER(AE:AE, SEARCH(AE140&amp;"";"", AJ:AJ)))&amp;"";"", """")), TEXTJOIN("";"" &amp; CHAR(10), TRUE, UNIQUE(SPLIT(AH140 &amp; "";"" &amp; AH140 &amp; "";"" &amp; AL140, "";"" &amp; CHAR(10)), TRUE, TRUE))&amp;"";"&amp;""")"),"")</f>
        <v/>
      </c>
      <c r="AJ140" s="126" t="str">
        <f>IFERROR(__xludf.DUMMYFUNCTION("IF(AN140="""", """", TEXTJOIN("";"" &amp; CHAR(10), TRUE, UNIQUE(SPLIT(AH140 &amp; "";"" &amp; AH140 &amp; "";"" &amp; AN140, "";"" &amp; CHAR(10)), TRUE, TRUE))&amp;"";"")"),"")</f>
        <v/>
      </c>
      <c r="AK140" s="129" t="str">
        <f>IFERROR(__xludf.DUMMYFUNCTION("IF(ISBLANK(AD140), IF(ISBLANK(AE140),,AE140 &amp; "";""), TEXTJOIN(CHAR(10), TRUE, ARRAYFORMULA(VLOOKUP(SPLIT(AD140, "";"" &amp; CHAR(10)), $AC:$AH, 6, FALSE))))"),"")</f>
        <v/>
      </c>
      <c r="AL140" s="130" t="str">
        <f>IFERROR(__xludf.DUMMYFUNCTION("IF(AM140="""", """", TEXTJOIN("";"" &amp; CHAR(10), TRUE, UNIQUE(SPLIT(AM140, "";"" &amp; CHAR(10)), TRUE))&amp;"";"")"),"")</f>
        <v/>
      </c>
      <c r="AM140" s="130" t="str">
        <f>IFERROR(__xludf.DUMMYFUNCTION("IF(ISBLANK(AD140), """", TEXTJOIN(CHAR(10), TRUE, ARRAYFORMULA(VLOOKUP(SPLIT(AH140, "";"" &amp; CHAR(10)), $AE:$AI, 5, FALSE)), AF140))"),"")</f>
        <v/>
      </c>
      <c r="AN140" s="132" t="str">
        <f>IFERROR(__xludf.DUMMYFUNCTION("IF(ISBLANK(AO140), """", TEXTJOIN("";"" &amp; CHAR(10), TRUE, UNIQUE(SPLIT(AO140, "";"" &amp; CHAR(10)), TRUE))&amp;"";"")"),"")</f>
        <v/>
      </c>
      <c r="AO140" s="134" t="str">
        <f>IFERROR(__xludf.DUMMYFUNCTION("IF(ISBLANK(AD140), AF140, TEXTJOIN(CHAR(10), TRUE, ARRAYFORMULA(VLOOKUP(SPLIT(AD140, "";"" &amp; CHAR(10)), $AC:$AN, 12, FALSE))))"),"")</f>
        <v/>
      </c>
      <c r="AP140" s="130" t="str">
        <f>IF(ISBLANK(AE140),,IF(IFERROR(SEARCH(AE140&amp;";",Circuits!$AO$2),0),TRUE,FALSE))</f>
        <v/>
      </c>
      <c r="AQ140" s="130" t="str">
        <f t="shared" si="2"/>
        <v/>
      </c>
      <c r="AR140" s="130" t="str">
        <f t="shared" si="3"/>
        <v/>
      </c>
      <c r="AS140" s="136" t="str">
        <f>IFERROR(__xludf.DUMMYFUNCTION("IF(AH140="""",,SUM(ARRAYFORMULA(IF(IFERROR(SEARCH(SPLIT(AH140,CHAR(10)),Circuits!$AO$2),0)&gt;0,0,1))))"),"")</f>
        <v/>
      </c>
      <c r="AT140" s="138" t="str">
        <f t="shared" si="4"/>
        <v/>
      </c>
      <c r="AU140" s="138" t="str">
        <f t="shared" si="5"/>
        <v/>
      </c>
      <c r="AV140" s="130" t="str">
        <f>IFERROR(__xludf.DUMMYFUNCTION("IF(AI140="""",,TEXTJOIN("", "",TRUE,ARRAYFORMULA(VLOOKUP(SPLIT(AI140,"";""&amp;CHAR(10)),AE:AT,16,FALSE))))"),"")</f>
        <v/>
      </c>
      <c r="AW140" s="130" t="str">
        <f>IFERROR(__xludf.DUMMYFUNCTION("IF(ISBLANK(BK140),,TEXTJOIN("", "",TRUE,ARRAYFORMULA(VLOOKUP(IFERROR(REGEXEXTRACT(SPLIT(BK140,"";""&amp;CHAR(10)),""\[(.+)\]"")),AE:AT,16,false))))"),"")</f>
        <v/>
      </c>
      <c r="AX140" s="139" t="str">
        <f t="shared" si="6"/>
        <v/>
      </c>
      <c r="AY140" s="139" t="str">
        <f t="shared" si="7"/>
        <v/>
      </c>
      <c r="AZ140" s="106" t="str">
        <f>IFERROR(__xludf.DUMMYFUNCTION("IF(ISBLANK(AD140), BC140, TEXTJOIN(CHAR(10) &amp; CHAR(10), TRUE, ARRAYFORMULA(VLOOKUP(SPLIT(AD140, "";"" &amp; CHAR(10)), $AC:$AY, 23, FALSE))))"),"")</f>
        <v/>
      </c>
      <c r="BA140" s="140" t="s">
        <v>66</v>
      </c>
      <c r="BB140" s="190"/>
      <c r="BC140" s="196"/>
      <c r="BD140" s="106" t="str">
        <f>IFERROR(__xludf.DUMMYFUNCTION("IF(IFERROR(SEARCH(""&lt;&lt;mechanism to realize the capability&gt;&gt;"",BA140),0)=0,
 ""!! Error !! “Capability&amp;Mechanism” column: Invalid Separator:"" &amp; CHAR(10) &amp; ""Insert separator “&lt;&lt;mechanism to realize the capability&gt;&gt;.”"",
 IF(
  LEN(TRIM(CLEAN(
    INDEX(
 "&amp;"     SPLIT(BA140,""&lt;&lt;mechanism to realize the capability&gt;&gt;"",FALSE,FALSE),
      1
    )
  )))=0,
  ""!! Error !! “Capability&amp;Mechanism” column: No Capability:""  &amp; CHAR(10) &amp; ""Describe Capability before separator."",
  INDEX(
    SPLIT(BA140,""&lt;&lt;mechani"&amp;"sm to realize the capability&gt;&gt;"",FALSE,FALSE),
    1
  )
 )
)
"),"!! Error !! “Capability&amp;Mechanism” column: No Capability:
Describe Capability before separator.")</f>
        <v>!! Error !! “Capability&amp;Mechanism” column: No Capability:
Describe Capability before separator.</v>
      </c>
      <c r="BE140" s="190"/>
      <c r="BF140" s="195"/>
      <c r="BG140" s="42"/>
      <c r="BH140" s="190"/>
      <c r="BI140" s="196"/>
      <c r="BJ140" s="42"/>
      <c r="BK140" s="42"/>
      <c r="BL140" s="203"/>
      <c r="BM140" s="203"/>
      <c r="BN140" s="42"/>
      <c r="BO140" s="42"/>
      <c r="BP140" s="143"/>
      <c r="BQ140" s="143"/>
      <c r="BR140" s="192"/>
      <c r="BS140" s="192"/>
      <c r="BT140" s="192"/>
      <c r="BU140" s="192"/>
      <c r="BV140" s="192"/>
      <c r="BW140" s="192"/>
      <c r="BX140" s="146" t="str">
        <f t="shared" si="8"/>
        <v/>
      </c>
    </row>
    <row r="141">
      <c r="A141" s="106" t="str">
        <f t="shared" si="1"/>
        <v/>
      </c>
      <c r="B141" s="183" t="str">
        <f t="array" ref="B141">IF(ISBLANK($AE141), "-",INDEX(Circuits!A:A,SUMPRODUCT(EXACT($AE141,Circuits!$A:$A)*ROW(Circuits!$A:$A))))</f>
        <v>-</v>
      </c>
      <c r="C141" s="183" t="str">
        <f t="array" ref="C141">IF(ISBLANK($AE141), "-",INDEX(Circuits!B:B,SUMPRODUCT(EXACT($AE141,Circuits!$A:$A)*ROW(Circuits!$A:$A))))</f>
        <v>-</v>
      </c>
      <c r="D141" s="183" t="str">
        <f t="array" ref="D141">IF(ISBLANK($AE141), "-",INDEX(Circuits!C:C,SUMPRODUCT(EXACT($AE141,Circuits!$A:$A)*ROW(Circuits!$A:$A))))</f>
        <v>-</v>
      </c>
      <c r="E141" s="183" t="str">
        <f t="array" ref="E141">IF(ISBLANK($AE141), "-",INDEX(Circuits!D:D,SUMPRODUCT(EXACT($AE141,Circuits!$A:$A)*ROW(Circuits!$A:$A))))</f>
        <v>-</v>
      </c>
      <c r="F141" s="183" t="str">
        <f t="array" ref="F141">IF(ISBLANK($AE141), "-",INDEX(Circuits!E:E,SUMPRODUCT(EXACT($AE141,Circuits!$A:$A)*ROW(Circuits!$A:$A))))</f>
        <v>-</v>
      </c>
      <c r="G141" s="183" t="str">
        <f t="array" ref="G141">IF(ISBLANK($AE141), "-",INDEX(Circuits!F:F,SUMPRODUCT(EXACT($AE141,Circuits!$A:$A)*ROW(Circuits!$A:$A))))</f>
        <v>-</v>
      </c>
      <c r="H141" s="183" t="str">
        <f t="array" ref="H141">IF(ISBLANK($AE141), "-",INDEX(Circuits!G:G,SUMPRODUCT(EXACT($AE141,Circuits!$A:$A)*ROW(Circuits!$A:$A))))</f>
        <v>-</v>
      </c>
      <c r="I141" s="183" t="str">
        <f t="array" ref="I141">IF(ISBLANK($AE141), "-",INDEX(Circuits!H:H,SUMPRODUCT(EXACT($AE141,Circuits!$A:$A)*ROW(Circuits!$A:$A))))</f>
        <v>-</v>
      </c>
      <c r="J141" s="183" t="str">
        <f t="array" ref="J141">IF(ISBLANK($AE141), "-",INDEX(Circuits!I:I,SUMPRODUCT(EXACT($AE141,Circuits!$A:$A)*ROW(Circuits!$A:$A))))</f>
        <v>-</v>
      </c>
      <c r="K141" s="183" t="str">
        <f t="array" ref="K141">IF(ISBLANK($AE141), "-",INDEX(Circuits!J:J,SUMPRODUCT(EXACT($AE141,Circuits!$A:$A)*ROW(Circuits!$A:$A))))</f>
        <v>-</v>
      </c>
      <c r="L141" s="183" t="str">
        <f t="array" ref="L141">IF(ISBLANK($AE141), "-",INDEX(Circuits!K:K,SUMPRODUCT(EXACT($AE141,Circuits!$A:$A)*ROW(Circuits!$A:$A))))</f>
        <v>-</v>
      </c>
      <c r="M141" s="183" t="str">
        <f t="array" ref="M141">IF(ISBLANK($AE141), "-",INDEX(Circuits!L:L,SUMPRODUCT(EXACT($AE141,Circuits!$A:$A)*ROW(Circuits!$A:$A))))</f>
        <v>-</v>
      </c>
      <c r="N141" s="183" t="str">
        <f t="array" ref="N141">IF(ISBLANK($AE141), "-",INDEX(Circuits!M:M,SUMPRODUCT(EXACT($AE141,Circuits!$A:$A)*ROW(Circuits!$A:$A))))</f>
        <v>-</v>
      </c>
      <c r="O141" s="183" t="str">
        <f t="array" ref="O141">IF(ISBLANK($AE141), "-",INDEX(Circuits!N:N,SUMPRODUCT(EXACT($AE141,Circuits!$A:$A)*ROW(Circuits!$A:$A))))</f>
        <v>-</v>
      </c>
      <c r="P141" s="183" t="str">
        <f t="array" ref="P141">IF(ISBLANK($AE141), "-",INDEX(Circuits!O:O,SUMPRODUCT(EXACT($AE141,Circuits!$A:$A)*ROW(Circuits!$A:$A))))</f>
        <v>-</v>
      </c>
      <c r="Q141" s="183" t="str">
        <f t="array" ref="Q141">IF(ISBLANK($AE141), "-",INDEX(Circuits!P:P,SUMPRODUCT(EXACT($AE141,Circuits!$A:$A)*ROW(Circuits!$A:$A))))</f>
        <v>-</v>
      </c>
      <c r="R141" s="183" t="str">
        <f t="array" ref="R141">IF(ISBLANK($AE141), "-",INDEX(Circuits!Q:Q,SUMPRODUCT(EXACT($AE141,Circuits!$A:$A)*ROW(Circuits!$A:$A))))</f>
        <v>-</v>
      </c>
      <c r="S141" s="183" t="str">
        <f t="array" ref="S141">IF(ISBLANK($AE141), "-",INDEX(Circuits!R:R,SUMPRODUCT(EXACT($AE141,Circuits!$A:$A)*ROW(Circuits!$A:$A))))</f>
        <v>-</v>
      </c>
      <c r="T141" s="183" t="str">
        <f t="array" ref="T141">IF(ISBLANK($AE141), "-",INDEX(Circuits!S:S,SUMPRODUCT(EXACT($AE141,Circuits!$A:$A)*ROW(Circuits!$A:$A))))</f>
        <v>-</v>
      </c>
      <c r="U141" s="183" t="str">
        <f t="array" ref="U141">IF(ISBLANK($AE141), "-",INDEX(Circuits!T:T,SUMPRODUCT(EXACT($AE141,Circuits!$A:$A)*ROW(Circuits!$A:$A))))</f>
        <v>-</v>
      </c>
      <c r="V141" s="183" t="str">
        <f t="array" ref="V141">IF(ISBLANK($AE141), "-",INDEX(Circuits!U:U,SUMPRODUCT(EXACT($AE141,Circuits!$A:$A)*ROW(Circuits!$A:$A))))</f>
        <v>-</v>
      </c>
      <c r="W141" s="183" t="str">
        <f t="array" ref="W141">IF(ISBLANK($AE141), "-",INDEX(Circuits!V:V,SUMPRODUCT(EXACT($AE141,Circuits!$A:$A)*ROW(Circuits!$A:$A))))</f>
        <v>-</v>
      </c>
      <c r="X141" s="183" t="str">
        <f t="array" ref="X141">IF(ISBLANK($AE141), "-",INDEX(Circuits!W:W,SUMPRODUCT(EXACT($AE141,Circuits!$A:$A)*ROW(Circuits!$A:$A))))</f>
        <v>-</v>
      </c>
      <c r="Y141" s="183" t="str">
        <f t="array" ref="Y141">IF(ISBLANK($AE141), "-",INDEX(Circuits!X:X,SUMPRODUCT(EXACT($AE141,Circuits!$A:$A)*ROW(Circuits!$A:$A))))</f>
        <v>-</v>
      </c>
      <c r="Z141" s="108" t="str">
        <f>IFERROR(__xludf.DUMMYFUNCTION("IFNA(CONCATENATE(UNIQUE(FILTER(Connections!R:R,Connections!A:A=B141))),""-"")"),"-")</f>
        <v>-</v>
      </c>
      <c r="AA141" s="119" t="str">
        <f t="array" ref="AA141">IF(ISBLANK($AE141), "-",INDEX(Circuits!Y:Y,SUMPRODUCT(EXACT($AE141,Circuits!$A:$A)*ROW(Circuits!$A:$A))))</f>
        <v>-</v>
      </c>
      <c r="AB141" s="121" t="str">
        <f t="array" ref="AB141">IF(ISBLANK($AE141), "-",INDEX(Circuits!Z:Z,SUMPRODUCT(EXACT($AE141,Circuits!$A:$A)*ROW(Circuits!$A:$A))))</f>
        <v>-</v>
      </c>
      <c r="AC141" s="194"/>
      <c r="AD141" s="194"/>
      <c r="AE141" s="40"/>
      <c r="AF141" s="43"/>
      <c r="AG141" s="126" t="str">
        <f>IFERROR(__xludf.DUMMYFUNCTION("IF(ISBLANK(AF141), """", TEXTJOIN(CHAR(10),TRUE,ARRAYFORMULA(IF(ISERROR(SEARCH(SPLIT(AF141, "";""), $Z141)), ""x"", ""-""))))"),"")</f>
        <v/>
      </c>
      <c r="AH141" s="127" t="str">
        <f>IFERROR(__xludf.DUMMYFUNCTION("IF(ISBLANK(AK141), """", TEXTJOIN("";"" &amp; CHAR(10), TRUE, UNIQUE(SPLIT(AK141, "";"" &amp; CHAR(10)), TRUE))&amp;"";"")"),"")</f>
        <v/>
      </c>
      <c r="AI141" s="128" t="str">
        <f>IFERROR(__xludf.DUMMYFUNCTION("IF(ISBLANK(AD141), IF(ISBLANK(AE141),,IFNA(TEXTJOIN("";"" &amp; CHAR(10), TRUE, FILTER(AE:AE, SEARCH(AE141&amp;"";"", AJ:AJ)))&amp;"";"", """")), TEXTJOIN("";"" &amp; CHAR(10), TRUE, UNIQUE(SPLIT(AH141 &amp; "";"" &amp; AH141 &amp; "";"" &amp; AL141, "";"" &amp; CHAR(10)), TRUE, TRUE))&amp;"";"&amp;""")"),"")</f>
        <v/>
      </c>
      <c r="AJ141" s="126" t="str">
        <f>IFERROR(__xludf.DUMMYFUNCTION("IF(AN141="""", """", TEXTJOIN("";"" &amp; CHAR(10), TRUE, UNIQUE(SPLIT(AH141 &amp; "";"" &amp; AH141 &amp; "";"" &amp; AN141, "";"" &amp; CHAR(10)), TRUE, TRUE))&amp;"";"")"),"")</f>
        <v/>
      </c>
      <c r="AK141" s="129" t="str">
        <f>IFERROR(__xludf.DUMMYFUNCTION("IF(ISBLANK(AD141), IF(ISBLANK(AE141),,AE141 &amp; "";""), TEXTJOIN(CHAR(10), TRUE, ARRAYFORMULA(VLOOKUP(SPLIT(AD141, "";"" &amp; CHAR(10)), $AC:$AH, 6, FALSE))))"),"")</f>
        <v/>
      </c>
      <c r="AL141" s="130" t="str">
        <f>IFERROR(__xludf.DUMMYFUNCTION("IF(AM141="""", """", TEXTJOIN("";"" &amp; CHAR(10), TRUE, UNIQUE(SPLIT(AM141, "";"" &amp; CHAR(10)), TRUE))&amp;"";"")"),"")</f>
        <v/>
      </c>
      <c r="AM141" s="130" t="str">
        <f>IFERROR(__xludf.DUMMYFUNCTION("IF(ISBLANK(AD141), """", TEXTJOIN(CHAR(10), TRUE, ARRAYFORMULA(VLOOKUP(SPLIT(AH141, "";"" &amp; CHAR(10)), $AE:$AI, 5, FALSE)), AF141))"),"")</f>
        <v/>
      </c>
      <c r="AN141" s="132" t="str">
        <f>IFERROR(__xludf.DUMMYFUNCTION("IF(ISBLANK(AO141), """", TEXTJOIN("";"" &amp; CHAR(10), TRUE, UNIQUE(SPLIT(AO141, "";"" &amp; CHAR(10)), TRUE))&amp;"";"")"),"")</f>
        <v/>
      </c>
      <c r="AO141" s="134" t="str">
        <f>IFERROR(__xludf.DUMMYFUNCTION("IF(ISBLANK(AD141), AF141, TEXTJOIN(CHAR(10), TRUE, ARRAYFORMULA(VLOOKUP(SPLIT(AD141, "";"" &amp; CHAR(10)), $AC:$AN, 12, FALSE))))"),"")</f>
        <v/>
      </c>
      <c r="AP141" s="130" t="str">
        <f>IF(ISBLANK(AE141),,IF(IFERROR(SEARCH(AE141&amp;";",Circuits!$AO$2),0),TRUE,FALSE))</f>
        <v/>
      </c>
      <c r="AQ141" s="130" t="str">
        <f t="shared" si="2"/>
        <v/>
      </c>
      <c r="AR141" s="130" t="str">
        <f t="shared" si="3"/>
        <v/>
      </c>
      <c r="AS141" s="136" t="str">
        <f>IFERROR(__xludf.DUMMYFUNCTION("IF(AH141="""",,SUM(ARRAYFORMULA(IF(IFERROR(SEARCH(SPLIT(AH141,CHAR(10)),Circuits!$AO$2),0)&gt;0,0,1))))"),"")</f>
        <v/>
      </c>
      <c r="AT141" s="138" t="str">
        <f t="shared" si="4"/>
        <v/>
      </c>
      <c r="AU141" s="138" t="str">
        <f t="shared" si="5"/>
        <v/>
      </c>
      <c r="AV141" s="130" t="str">
        <f>IFERROR(__xludf.DUMMYFUNCTION("IF(AI141="""",,TEXTJOIN("", "",TRUE,ARRAYFORMULA(VLOOKUP(SPLIT(AI141,"";""&amp;CHAR(10)),AE:AT,16,FALSE))))"),"")</f>
        <v/>
      </c>
      <c r="AW141" s="130" t="str">
        <f>IFERROR(__xludf.DUMMYFUNCTION("IF(ISBLANK(BK141),,TEXTJOIN("", "",TRUE,ARRAYFORMULA(VLOOKUP(IFERROR(REGEXEXTRACT(SPLIT(BK141,"";""&amp;CHAR(10)),""\[(.+)\]"")),AE:AT,16,false))))"),"")</f>
        <v/>
      </c>
      <c r="AX141" s="139" t="str">
        <f t="shared" si="6"/>
        <v/>
      </c>
      <c r="AY141" s="139" t="str">
        <f t="shared" si="7"/>
        <v/>
      </c>
      <c r="AZ141" s="106" t="str">
        <f>IFERROR(__xludf.DUMMYFUNCTION("IF(ISBLANK(AD141), BC141, TEXTJOIN(CHAR(10) &amp; CHAR(10), TRUE, ARRAYFORMULA(VLOOKUP(SPLIT(AD141, "";"" &amp; CHAR(10)), $AC:$AY, 23, FALSE))))"),"")</f>
        <v/>
      </c>
      <c r="BA141" s="140" t="s">
        <v>66</v>
      </c>
      <c r="BB141" s="190"/>
      <c r="BC141" s="196"/>
      <c r="BD141" s="106" t="str">
        <f>IFERROR(__xludf.DUMMYFUNCTION("IF(IFERROR(SEARCH(""&lt;&lt;mechanism to realize the capability&gt;&gt;"",BA141),0)=0,
 ""!! Error !! “Capability&amp;Mechanism” column: Invalid Separator:"" &amp; CHAR(10) &amp; ""Insert separator “&lt;&lt;mechanism to realize the capability&gt;&gt;.”"",
 IF(
  LEN(TRIM(CLEAN(
    INDEX(
 "&amp;"     SPLIT(BA141,""&lt;&lt;mechanism to realize the capability&gt;&gt;"",FALSE,FALSE),
      1
    )
  )))=0,
  ""!! Error !! “Capability&amp;Mechanism” column: No Capability:""  &amp; CHAR(10) &amp; ""Describe Capability before separator."",
  INDEX(
    SPLIT(BA141,""&lt;&lt;mechani"&amp;"sm to realize the capability&gt;&gt;"",FALSE,FALSE),
    1
  )
 )
)
"),"!! Error !! “Capability&amp;Mechanism” column: No Capability:
Describe Capability before separator.")</f>
        <v>!! Error !! “Capability&amp;Mechanism” column: No Capability:
Describe Capability before separator.</v>
      </c>
      <c r="BE141" s="190"/>
      <c r="BF141" s="195"/>
      <c r="BG141" s="42"/>
      <c r="BH141" s="190"/>
      <c r="BI141" s="196"/>
      <c r="BJ141" s="42"/>
      <c r="BK141" s="42"/>
      <c r="BL141" s="203"/>
      <c r="BM141" s="203"/>
      <c r="BN141" s="42"/>
      <c r="BO141" s="42"/>
      <c r="BP141" s="143"/>
      <c r="BQ141" s="143"/>
      <c r="BR141" s="192"/>
      <c r="BS141" s="192"/>
      <c r="BT141" s="192"/>
      <c r="BU141" s="192"/>
      <c r="BV141" s="192"/>
      <c r="BW141" s="192"/>
      <c r="BX141" s="146" t="str">
        <f t="shared" si="8"/>
        <v/>
      </c>
    </row>
    <row r="142">
      <c r="A142" s="106" t="str">
        <f t="shared" si="1"/>
        <v/>
      </c>
      <c r="B142" s="183" t="str">
        <f t="array" ref="B142">IF(ISBLANK($AE142), "-",INDEX(Circuits!A:A,SUMPRODUCT(EXACT($AE142,Circuits!$A:$A)*ROW(Circuits!$A:$A))))</f>
        <v>-</v>
      </c>
      <c r="C142" s="183" t="str">
        <f t="array" ref="C142">IF(ISBLANK($AE142), "-",INDEX(Circuits!B:B,SUMPRODUCT(EXACT($AE142,Circuits!$A:$A)*ROW(Circuits!$A:$A))))</f>
        <v>-</v>
      </c>
      <c r="D142" s="183" t="str">
        <f t="array" ref="D142">IF(ISBLANK($AE142), "-",INDEX(Circuits!C:C,SUMPRODUCT(EXACT($AE142,Circuits!$A:$A)*ROW(Circuits!$A:$A))))</f>
        <v>-</v>
      </c>
      <c r="E142" s="183" t="str">
        <f t="array" ref="E142">IF(ISBLANK($AE142), "-",INDEX(Circuits!D:D,SUMPRODUCT(EXACT($AE142,Circuits!$A:$A)*ROW(Circuits!$A:$A))))</f>
        <v>-</v>
      </c>
      <c r="F142" s="183" t="str">
        <f t="array" ref="F142">IF(ISBLANK($AE142), "-",INDEX(Circuits!E:E,SUMPRODUCT(EXACT($AE142,Circuits!$A:$A)*ROW(Circuits!$A:$A))))</f>
        <v>-</v>
      </c>
      <c r="G142" s="183" t="str">
        <f t="array" ref="G142">IF(ISBLANK($AE142), "-",INDEX(Circuits!F:F,SUMPRODUCT(EXACT($AE142,Circuits!$A:$A)*ROW(Circuits!$A:$A))))</f>
        <v>-</v>
      </c>
      <c r="H142" s="183" t="str">
        <f t="array" ref="H142">IF(ISBLANK($AE142), "-",INDEX(Circuits!G:G,SUMPRODUCT(EXACT($AE142,Circuits!$A:$A)*ROW(Circuits!$A:$A))))</f>
        <v>-</v>
      </c>
      <c r="I142" s="183" t="str">
        <f t="array" ref="I142">IF(ISBLANK($AE142), "-",INDEX(Circuits!H:H,SUMPRODUCT(EXACT($AE142,Circuits!$A:$A)*ROW(Circuits!$A:$A))))</f>
        <v>-</v>
      </c>
      <c r="J142" s="183" t="str">
        <f t="array" ref="J142">IF(ISBLANK($AE142), "-",INDEX(Circuits!I:I,SUMPRODUCT(EXACT($AE142,Circuits!$A:$A)*ROW(Circuits!$A:$A))))</f>
        <v>-</v>
      </c>
      <c r="K142" s="183" t="str">
        <f t="array" ref="K142">IF(ISBLANK($AE142), "-",INDEX(Circuits!J:J,SUMPRODUCT(EXACT($AE142,Circuits!$A:$A)*ROW(Circuits!$A:$A))))</f>
        <v>-</v>
      </c>
      <c r="L142" s="183" t="str">
        <f t="array" ref="L142">IF(ISBLANK($AE142), "-",INDEX(Circuits!K:K,SUMPRODUCT(EXACT($AE142,Circuits!$A:$A)*ROW(Circuits!$A:$A))))</f>
        <v>-</v>
      </c>
      <c r="M142" s="183" t="str">
        <f t="array" ref="M142">IF(ISBLANK($AE142), "-",INDEX(Circuits!L:L,SUMPRODUCT(EXACT($AE142,Circuits!$A:$A)*ROW(Circuits!$A:$A))))</f>
        <v>-</v>
      </c>
      <c r="N142" s="183" t="str">
        <f t="array" ref="N142">IF(ISBLANK($AE142), "-",INDEX(Circuits!M:M,SUMPRODUCT(EXACT($AE142,Circuits!$A:$A)*ROW(Circuits!$A:$A))))</f>
        <v>-</v>
      </c>
      <c r="O142" s="183" t="str">
        <f t="array" ref="O142">IF(ISBLANK($AE142), "-",INDEX(Circuits!N:N,SUMPRODUCT(EXACT($AE142,Circuits!$A:$A)*ROW(Circuits!$A:$A))))</f>
        <v>-</v>
      </c>
      <c r="P142" s="183" t="str">
        <f t="array" ref="P142">IF(ISBLANK($AE142), "-",INDEX(Circuits!O:O,SUMPRODUCT(EXACT($AE142,Circuits!$A:$A)*ROW(Circuits!$A:$A))))</f>
        <v>-</v>
      </c>
      <c r="Q142" s="183" t="str">
        <f t="array" ref="Q142">IF(ISBLANK($AE142), "-",INDEX(Circuits!P:P,SUMPRODUCT(EXACT($AE142,Circuits!$A:$A)*ROW(Circuits!$A:$A))))</f>
        <v>-</v>
      </c>
      <c r="R142" s="183" t="str">
        <f t="array" ref="R142">IF(ISBLANK($AE142), "-",INDEX(Circuits!Q:Q,SUMPRODUCT(EXACT($AE142,Circuits!$A:$A)*ROW(Circuits!$A:$A))))</f>
        <v>-</v>
      </c>
      <c r="S142" s="183" t="str">
        <f t="array" ref="S142">IF(ISBLANK($AE142), "-",INDEX(Circuits!R:R,SUMPRODUCT(EXACT($AE142,Circuits!$A:$A)*ROW(Circuits!$A:$A))))</f>
        <v>-</v>
      </c>
      <c r="T142" s="183" t="str">
        <f t="array" ref="T142">IF(ISBLANK($AE142), "-",INDEX(Circuits!S:S,SUMPRODUCT(EXACT($AE142,Circuits!$A:$A)*ROW(Circuits!$A:$A))))</f>
        <v>-</v>
      </c>
      <c r="U142" s="183" t="str">
        <f t="array" ref="U142">IF(ISBLANK($AE142), "-",INDEX(Circuits!T:T,SUMPRODUCT(EXACT($AE142,Circuits!$A:$A)*ROW(Circuits!$A:$A))))</f>
        <v>-</v>
      </c>
      <c r="V142" s="183" t="str">
        <f t="array" ref="V142">IF(ISBLANK($AE142), "-",INDEX(Circuits!U:U,SUMPRODUCT(EXACT($AE142,Circuits!$A:$A)*ROW(Circuits!$A:$A))))</f>
        <v>-</v>
      </c>
      <c r="W142" s="183" t="str">
        <f t="array" ref="W142">IF(ISBLANK($AE142), "-",INDEX(Circuits!V:V,SUMPRODUCT(EXACT($AE142,Circuits!$A:$A)*ROW(Circuits!$A:$A))))</f>
        <v>-</v>
      </c>
      <c r="X142" s="183" t="str">
        <f t="array" ref="X142">IF(ISBLANK($AE142), "-",INDEX(Circuits!W:W,SUMPRODUCT(EXACT($AE142,Circuits!$A:$A)*ROW(Circuits!$A:$A))))</f>
        <v>-</v>
      </c>
      <c r="Y142" s="183" t="str">
        <f t="array" ref="Y142">IF(ISBLANK($AE142), "-",INDEX(Circuits!X:X,SUMPRODUCT(EXACT($AE142,Circuits!$A:$A)*ROW(Circuits!$A:$A))))</f>
        <v>-</v>
      </c>
      <c r="Z142" s="108" t="str">
        <f>IFERROR(__xludf.DUMMYFUNCTION("IFNA(CONCATENATE(UNIQUE(FILTER(Connections!R:R,Connections!A:A=B142))),""-"")"),"-")</f>
        <v>-</v>
      </c>
      <c r="AA142" s="119" t="str">
        <f t="array" ref="AA142">IF(ISBLANK($AE142), "-",INDEX(Circuits!Y:Y,SUMPRODUCT(EXACT($AE142,Circuits!$A:$A)*ROW(Circuits!$A:$A))))</f>
        <v>-</v>
      </c>
      <c r="AB142" s="121" t="str">
        <f t="array" ref="AB142">IF(ISBLANK($AE142), "-",INDEX(Circuits!Z:Z,SUMPRODUCT(EXACT($AE142,Circuits!$A:$A)*ROW(Circuits!$A:$A))))</f>
        <v>-</v>
      </c>
      <c r="AC142" s="194"/>
      <c r="AD142" s="194"/>
      <c r="AE142" s="40"/>
      <c r="AF142" s="43"/>
      <c r="AG142" s="126" t="str">
        <f>IFERROR(__xludf.DUMMYFUNCTION("IF(ISBLANK(AF142), """", TEXTJOIN(CHAR(10),TRUE,ARRAYFORMULA(IF(ISERROR(SEARCH(SPLIT(AF142, "";""), $Z142)), ""x"", ""-""))))"),"")</f>
        <v/>
      </c>
      <c r="AH142" s="127" t="str">
        <f>IFERROR(__xludf.DUMMYFUNCTION("IF(ISBLANK(AK142), """", TEXTJOIN("";"" &amp; CHAR(10), TRUE, UNIQUE(SPLIT(AK142, "";"" &amp; CHAR(10)), TRUE))&amp;"";"")"),"")</f>
        <v/>
      </c>
      <c r="AI142" s="128" t="str">
        <f>IFERROR(__xludf.DUMMYFUNCTION("IF(ISBLANK(AD142), IF(ISBLANK(AE142),,IFNA(TEXTJOIN("";"" &amp; CHAR(10), TRUE, FILTER(AE:AE, SEARCH(AE142&amp;"";"", AJ:AJ)))&amp;"";"", """")), TEXTJOIN("";"" &amp; CHAR(10), TRUE, UNIQUE(SPLIT(AH142 &amp; "";"" &amp; AH142 &amp; "";"" &amp; AL142, "";"" &amp; CHAR(10)), TRUE, TRUE))&amp;"";"&amp;""")"),"")</f>
        <v/>
      </c>
      <c r="AJ142" s="126" t="str">
        <f>IFERROR(__xludf.DUMMYFUNCTION("IF(AN142="""", """", TEXTJOIN("";"" &amp; CHAR(10), TRUE, UNIQUE(SPLIT(AH142 &amp; "";"" &amp; AH142 &amp; "";"" &amp; AN142, "";"" &amp; CHAR(10)), TRUE, TRUE))&amp;"";"")"),"")</f>
        <v/>
      </c>
      <c r="AK142" s="129" t="str">
        <f>IFERROR(__xludf.DUMMYFUNCTION("IF(ISBLANK(AD142), IF(ISBLANK(AE142),,AE142 &amp; "";""), TEXTJOIN(CHAR(10), TRUE, ARRAYFORMULA(VLOOKUP(SPLIT(AD142, "";"" &amp; CHAR(10)), $AC:$AH, 6, FALSE))))"),"")</f>
        <v/>
      </c>
      <c r="AL142" s="130" t="str">
        <f>IFERROR(__xludf.DUMMYFUNCTION("IF(AM142="""", """", TEXTJOIN("";"" &amp; CHAR(10), TRUE, UNIQUE(SPLIT(AM142, "";"" &amp; CHAR(10)), TRUE))&amp;"";"")"),"")</f>
        <v/>
      </c>
      <c r="AM142" s="130" t="str">
        <f>IFERROR(__xludf.DUMMYFUNCTION("IF(ISBLANK(AD142), """", TEXTJOIN(CHAR(10), TRUE, ARRAYFORMULA(VLOOKUP(SPLIT(AH142, "";"" &amp; CHAR(10)), $AE:$AI, 5, FALSE)), AF142))"),"")</f>
        <v/>
      </c>
      <c r="AN142" s="132" t="str">
        <f>IFERROR(__xludf.DUMMYFUNCTION("IF(ISBLANK(AO142), """", TEXTJOIN("";"" &amp; CHAR(10), TRUE, UNIQUE(SPLIT(AO142, "";"" &amp; CHAR(10)), TRUE))&amp;"";"")"),"")</f>
        <v/>
      </c>
      <c r="AO142" s="134" t="str">
        <f>IFERROR(__xludf.DUMMYFUNCTION("IF(ISBLANK(AD142), AF142, TEXTJOIN(CHAR(10), TRUE, ARRAYFORMULA(VLOOKUP(SPLIT(AD142, "";"" &amp; CHAR(10)), $AC:$AN, 12, FALSE))))"),"")</f>
        <v/>
      </c>
      <c r="AP142" s="130" t="str">
        <f>IF(ISBLANK(AE142),,IF(IFERROR(SEARCH(AE142&amp;";",Circuits!$AO$2),0),TRUE,FALSE))</f>
        <v/>
      </c>
      <c r="AQ142" s="130" t="str">
        <f t="shared" si="2"/>
        <v/>
      </c>
      <c r="AR142" s="130" t="str">
        <f t="shared" si="3"/>
        <v/>
      </c>
      <c r="AS142" s="136" t="str">
        <f>IFERROR(__xludf.DUMMYFUNCTION("IF(AH142="""",,SUM(ARRAYFORMULA(IF(IFERROR(SEARCH(SPLIT(AH142,CHAR(10)),Circuits!$AO$2),0)&gt;0,0,1))))"),"")</f>
        <v/>
      </c>
      <c r="AT142" s="138" t="str">
        <f t="shared" si="4"/>
        <v/>
      </c>
      <c r="AU142" s="138" t="str">
        <f t="shared" si="5"/>
        <v/>
      </c>
      <c r="AV142" s="130" t="str">
        <f>IFERROR(__xludf.DUMMYFUNCTION("IF(AI142="""",,TEXTJOIN("", "",TRUE,ARRAYFORMULA(VLOOKUP(SPLIT(AI142,"";""&amp;CHAR(10)),AE:AT,16,FALSE))))"),"")</f>
        <v/>
      </c>
      <c r="AW142" s="130" t="str">
        <f>IFERROR(__xludf.DUMMYFUNCTION("IF(ISBLANK(BK142),,TEXTJOIN("", "",TRUE,ARRAYFORMULA(VLOOKUP(IFERROR(REGEXEXTRACT(SPLIT(BK142,"";""&amp;CHAR(10)),""\[(.+)\]"")),AE:AT,16,false))))"),"")</f>
        <v/>
      </c>
      <c r="AX142" s="139" t="str">
        <f t="shared" si="6"/>
        <v/>
      </c>
      <c r="AY142" s="139" t="str">
        <f t="shared" si="7"/>
        <v/>
      </c>
      <c r="AZ142" s="106" t="str">
        <f>IFERROR(__xludf.DUMMYFUNCTION("IF(ISBLANK(AD142), BC142, TEXTJOIN(CHAR(10) &amp; CHAR(10), TRUE, ARRAYFORMULA(VLOOKUP(SPLIT(AD142, "";"" &amp; CHAR(10)), $AC:$AY, 23, FALSE))))"),"")</f>
        <v/>
      </c>
      <c r="BA142" s="140" t="s">
        <v>66</v>
      </c>
      <c r="BB142" s="190"/>
      <c r="BC142" s="196"/>
      <c r="BD142" s="106" t="str">
        <f>IFERROR(__xludf.DUMMYFUNCTION("IF(IFERROR(SEARCH(""&lt;&lt;mechanism to realize the capability&gt;&gt;"",BA142),0)=0,
 ""!! Error !! “Capability&amp;Mechanism” column: Invalid Separator:"" &amp; CHAR(10) &amp; ""Insert separator “&lt;&lt;mechanism to realize the capability&gt;&gt;.”"",
 IF(
  LEN(TRIM(CLEAN(
    INDEX(
 "&amp;"     SPLIT(BA142,""&lt;&lt;mechanism to realize the capability&gt;&gt;"",FALSE,FALSE),
      1
    )
  )))=0,
  ""!! Error !! “Capability&amp;Mechanism” column: No Capability:""  &amp; CHAR(10) &amp; ""Describe Capability before separator."",
  INDEX(
    SPLIT(BA142,""&lt;&lt;mechani"&amp;"sm to realize the capability&gt;&gt;"",FALSE,FALSE),
    1
  )
 )
)
"),"!! Error !! “Capability&amp;Mechanism” column: No Capability:
Describe Capability before separator.")</f>
        <v>!! Error !! “Capability&amp;Mechanism” column: No Capability:
Describe Capability before separator.</v>
      </c>
      <c r="BE142" s="190"/>
      <c r="BF142" s="195"/>
      <c r="BG142" s="42"/>
      <c r="BH142" s="190"/>
      <c r="BI142" s="196"/>
      <c r="BJ142" s="42"/>
      <c r="BK142" s="42"/>
      <c r="BL142" s="203"/>
      <c r="BM142" s="203"/>
      <c r="BN142" s="42"/>
      <c r="BO142" s="42"/>
      <c r="BP142" s="143"/>
      <c r="BQ142" s="143"/>
      <c r="BR142" s="192"/>
      <c r="BS142" s="192"/>
      <c r="BT142" s="192"/>
      <c r="BU142" s="192"/>
      <c r="BV142" s="192"/>
      <c r="BW142" s="192"/>
      <c r="BX142" s="146" t="str">
        <f t="shared" si="8"/>
        <v/>
      </c>
    </row>
    <row r="143">
      <c r="A143" s="106" t="str">
        <f t="shared" si="1"/>
        <v/>
      </c>
      <c r="B143" s="183" t="str">
        <f t="array" ref="B143">IF(ISBLANK($AE143), "-",INDEX(Circuits!A:A,SUMPRODUCT(EXACT($AE143,Circuits!$A:$A)*ROW(Circuits!$A:$A))))</f>
        <v>-</v>
      </c>
      <c r="C143" s="183" t="str">
        <f t="array" ref="C143">IF(ISBLANK($AE143), "-",INDEX(Circuits!B:B,SUMPRODUCT(EXACT($AE143,Circuits!$A:$A)*ROW(Circuits!$A:$A))))</f>
        <v>-</v>
      </c>
      <c r="D143" s="183" t="str">
        <f t="array" ref="D143">IF(ISBLANK($AE143), "-",INDEX(Circuits!C:C,SUMPRODUCT(EXACT($AE143,Circuits!$A:$A)*ROW(Circuits!$A:$A))))</f>
        <v>-</v>
      </c>
      <c r="E143" s="183" t="str">
        <f t="array" ref="E143">IF(ISBLANK($AE143), "-",INDEX(Circuits!D:D,SUMPRODUCT(EXACT($AE143,Circuits!$A:$A)*ROW(Circuits!$A:$A))))</f>
        <v>-</v>
      </c>
      <c r="F143" s="183" t="str">
        <f t="array" ref="F143">IF(ISBLANK($AE143), "-",INDEX(Circuits!E:E,SUMPRODUCT(EXACT($AE143,Circuits!$A:$A)*ROW(Circuits!$A:$A))))</f>
        <v>-</v>
      </c>
      <c r="G143" s="183" t="str">
        <f t="array" ref="G143">IF(ISBLANK($AE143), "-",INDEX(Circuits!F:F,SUMPRODUCT(EXACT($AE143,Circuits!$A:$A)*ROW(Circuits!$A:$A))))</f>
        <v>-</v>
      </c>
      <c r="H143" s="183" t="str">
        <f t="array" ref="H143">IF(ISBLANK($AE143), "-",INDEX(Circuits!G:G,SUMPRODUCT(EXACT($AE143,Circuits!$A:$A)*ROW(Circuits!$A:$A))))</f>
        <v>-</v>
      </c>
      <c r="I143" s="183" t="str">
        <f t="array" ref="I143">IF(ISBLANK($AE143), "-",INDEX(Circuits!H:H,SUMPRODUCT(EXACT($AE143,Circuits!$A:$A)*ROW(Circuits!$A:$A))))</f>
        <v>-</v>
      </c>
      <c r="J143" s="183" t="str">
        <f t="array" ref="J143">IF(ISBLANK($AE143), "-",INDEX(Circuits!I:I,SUMPRODUCT(EXACT($AE143,Circuits!$A:$A)*ROW(Circuits!$A:$A))))</f>
        <v>-</v>
      </c>
      <c r="K143" s="183" t="str">
        <f t="array" ref="K143">IF(ISBLANK($AE143), "-",INDEX(Circuits!J:J,SUMPRODUCT(EXACT($AE143,Circuits!$A:$A)*ROW(Circuits!$A:$A))))</f>
        <v>-</v>
      </c>
      <c r="L143" s="183" t="str">
        <f t="array" ref="L143">IF(ISBLANK($AE143), "-",INDEX(Circuits!K:K,SUMPRODUCT(EXACT($AE143,Circuits!$A:$A)*ROW(Circuits!$A:$A))))</f>
        <v>-</v>
      </c>
      <c r="M143" s="183" t="str">
        <f t="array" ref="M143">IF(ISBLANK($AE143), "-",INDEX(Circuits!L:L,SUMPRODUCT(EXACT($AE143,Circuits!$A:$A)*ROW(Circuits!$A:$A))))</f>
        <v>-</v>
      </c>
      <c r="N143" s="183" t="str">
        <f t="array" ref="N143">IF(ISBLANK($AE143), "-",INDEX(Circuits!M:M,SUMPRODUCT(EXACT($AE143,Circuits!$A:$A)*ROW(Circuits!$A:$A))))</f>
        <v>-</v>
      </c>
      <c r="O143" s="183" t="str">
        <f t="array" ref="O143">IF(ISBLANK($AE143), "-",INDEX(Circuits!N:N,SUMPRODUCT(EXACT($AE143,Circuits!$A:$A)*ROW(Circuits!$A:$A))))</f>
        <v>-</v>
      </c>
      <c r="P143" s="183" t="str">
        <f t="array" ref="P143">IF(ISBLANK($AE143), "-",INDEX(Circuits!O:O,SUMPRODUCT(EXACT($AE143,Circuits!$A:$A)*ROW(Circuits!$A:$A))))</f>
        <v>-</v>
      </c>
      <c r="Q143" s="183" t="str">
        <f t="array" ref="Q143">IF(ISBLANK($AE143), "-",INDEX(Circuits!P:P,SUMPRODUCT(EXACT($AE143,Circuits!$A:$A)*ROW(Circuits!$A:$A))))</f>
        <v>-</v>
      </c>
      <c r="R143" s="183" t="str">
        <f t="array" ref="R143">IF(ISBLANK($AE143), "-",INDEX(Circuits!Q:Q,SUMPRODUCT(EXACT($AE143,Circuits!$A:$A)*ROW(Circuits!$A:$A))))</f>
        <v>-</v>
      </c>
      <c r="S143" s="183" t="str">
        <f t="array" ref="S143">IF(ISBLANK($AE143), "-",INDEX(Circuits!R:R,SUMPRODUCT(EXACT($AE143,Circuits!$A:$A)*ROW(Circuits!$A:$A))))</f>
        <v>-</v>
      </c>
      <c r="T143" s="183" t="str">
        <f t="array" ref="T143">IF(ISBLANK($AE143), "-",INDEX(Circuits!S:S,SUMPRODUCT(EXACT($AE143,Circuits!$A:$A)*ROW(Circuits!$A:$A))))</f>
        <v>-</v>
      </c>
      <c r="U143" s="183" t="str">
        <f t="array" ref="U143">IF(ISBLANK($AE143), "-",INDEX(Circuits!T:T,SUMPRODUCT(EXACT($AE143,Circuits!$A:$A)*ROW(Circuits!$A:$A))))</f>
        <v>-</v>
      </c>
      <c r="V143" s="183" t="str">
        <f t="array" ref="V143">IF(ISBLANK($AE143), "-",INDEX(Circuits!U:U,SUMPRODUCT(EXACT($AE143,Circuits!$A:$A)*ROW(Circuits!$A:$A))))</f>
        <v>-</v>
      </c>
      <c r="W143" s="183" t="str">
        <f t="array" ref="W143">IF(ISBLANK($AE143), "-",INDEX(Circuits!V:V,SUMPRODUCT(EXACT($AE143,Circuits!$A:$A)*ROW(Circuits!$A:$A))))</f>
        <v>-</v>
      </c>
      <c r="X143" s="183" t="str">
        <f t="array" ref="X143">IF(ISBLANK($AE143), "-",INDEX(Circuits!W:W,SUMPRODUCT(EXACT($AE143,Circuits!$A:$A)*ROW(Circuits!$A:$A))))</f>
        <v>-</v>
      </c>
      <c r="Y143" s="183" t="str">
        <f t="array" ref="Y143">IF(ISBLANK($AE143), "-",INDEX(Circuits!X:X,SUMPRODUCT(EXACT($AE143,Circuits!$A:$A)*ROW(Circuits!$A:$A))))</f>
        <v>-</v>
      </c>
      <c r="Z143" s="108" t="str">
        <f>IFERROR(__xludf.DUMMYFUNCTION("IFNA(CONCATENATE(UNIQUE(FILTER(Connections!R:R,Connections!A:A=B143))),""-"")"),"-")</f>
        <v>-</v>
      </c>
      <c r="AA143" s="119" t="str">
        <f t="array" ref="AA143">IF(ISBLANK($AE143), "-",INDEX(Circuits!Y:Y,SUMPRODUCT(EXACT($AE143,Circuits!$A:$A)*ROW(Circuits!$A:$A))))</f>
        <v>-</v>
      </c>
      <c r="AB143" s="121" t="str">
        <f t="array" ref="AB143">IF(ISBLANK($AE143), "-",INDEX(Circuits!Z:Z,SUMPRODUCT(EXACT($AE143,Circuits!$A:$A)*ROW(Circuits!$A:$A))))</f>
        <v>-</v>
      </c>
      <c r="AC143" s="194"/>
      <c r="AD143" s="194"/>
      <c r="AE143" s="40"/>
      <c r="AF143" s="43"/>
      <c r="AG143" s="126" t="str">
        <f>IFERROR(__xludf.DUMMYFUNCTION("IF(ISBLANK(AF143), """", TEXTJOIN(CHAR(10),TRUE,ARRAYFORMULA(IF(ISERROR(SEARCH(SPLIT(AF143, "";""), $Z143)), ""x"", ""-""))))"),"")</f>
        <v/>
      </c>
      <c r="AH143" s="127" t="str">
        <f>IFERROR(__xludf.DUMMYFUNCTION("IF(ISBLANK(AK143), """", TEXTJOIN("";"" &amp; CHAR(10), TRUE, UNIQUE(SPLIT(AK143, "";"" &amp; CHAR(10)), TRUE))&amp;"";"")"),"")</f>
        <v/>
      </c>
      <c r="AI143" s="128" t="str">
        <f>IFERROR(__xludf.DUMMYFUNCTION("IF(ISBLANK(AD143), IF(ISBLANK(AE143),,IFNA(TEXTJOIN("";"" &amp; CHAR(10), TRUE, FILTER(AE:AE, SEARCH(AE143&amp;"";"", AJ:AJ)))&amp;"";"", """")), TEXTJOIN("";"" &amp; CHAR(10), TRUE, UNIQUE(SPLIT(AH143 &amp; "";"" &amp; AH143 &amp; "";"" &amp; AL143, "";"" &amp; CHAR(10)), TRUE, TRUE))&amp;"";"&amp;""")"),"")</f>
        <v/>
      </c>
      <c r="AJ143" s="126" t="str">
        <f>IFERROR(__xludf.DUMMYFUNCTION("IF(AN143="""", """", TEXTJOIN("";"" &amp; CHAR(10), TRUE, UNIQUE(SPLIT(AH143 &amp; "";"" &amp; AH143 &amp; "";"" &amp; AN143, "";"" &amp; CHAR(10)), TRUE, TRUE))&amp;"";"")"),"")</f>
        <v/>
      </c>
      <c r="AK143" s="129" t="str">
        <f>IFERROR(__xludf.DUMMYFUNCTION("IF(ISBLANK(AD143), IF(ISBLANK(AE143),,AE143 &amp; "";""), TEXTJOIN(CHAR(10), TRUE, ARRAYFORMULA(VLOOKUP(SPLIT(AD143, "";"" &amp; CHAR(10)), $AC:$AH, 6, FALSE))))"),"")</f>
        <v/>
      </c>
      <c r="AL143" s="130" t="str">
        <f>IFERROR(__xludf.DUMMYFUNCTION("IF(AM143="""", """", TEXTJOIN("";"" &amp; CHAR(10), TRUE, UNIQUE(SPLIT(AM143, "";"" &amp; CHAR(10)), TRUE))&amp;"";"")"),"")</f>
        <v/>
      </c>
      <c r="AM143" s="130" t="str">
        <f>IFERROR(__xludf.DUMMYFUNCTION("IF(ISBLANK(AD143), """", TEXTJOIN(CHAR(10), TRUE, ARRAYFORMULA(VLOOKUP(SPLIT(AH143, "";"" &amp; CHAR(10)), $AE:$AI, 5, FALSE)), AF143))"),"")</f>
        <v/>
      </c>
      <c r="AN143" s="132" t="str">
        <f>IFERROR(__xludf.DUMMYFUNCTION("IF(ISBLANK(AO143), """", TEXTJOIN("";"" &amp; CHAR(10), TRUE, UNIQUE(SPLIT(AO143, "";"" &amp; CHAR(10)), TRUE))&amp;"";"")"),"")</f>
        <v/>
      </c>
      <c r="AO143" s="134" t="str">
        <f>IFERROR(__xludf.DUMMYFUNCTION("IF(ISBLANK(AD143), AF143, TEXTJOIN(CHAR(10), TRUE, ARRAYFORMULA(VLOOKUP(SPLIT(AD143, "";"" &amp; CHAR(10)), $AC:$AN, 12, FALSE))))"),"")</f>
        <v/>
      </c>
      <c r="AP143" s="130" t="str">
        <f>IF(ISBLANK(AE143),,IF(IFERROR(SEARCH(AE143&amp;";",Circuits!$AO$2),0),TRUE,FALSE))</f>
        <v/>
      </c>
      <c r="AQ143" s="130" t="str">
        <f t="shared" si="2"/>
        <v/>
      </c>
      <c r="AR143" s="130" t="str">
        <f t="shared" si="3"/>
        <v/>
      </c>
      <c r="AS143" s="136" t="str">
        <f>IFERROR(__xludf.DUMMYFUNCTION("IF(AH143="""",,SUM(ARRAYFORMULA(IF(IFERROR(SEARCH(SPLIT(AH143,CHAR(10)),Circuits!$AO$2),0)&gt;0,0,1))))"),"")</f>
        <v/>
      </c>
      <c r="AT143" s="138" t="str">
        <f t="shared" si="4"/>
        <v/>
      </c>
      <c r="AU143" s="138" t="str">
        <f t="shared" si="5"/>
        <v/>
      </c>
      <c r="AV143" s="130" t="str">
        <f>IFERROR(__xludf.DUMMYFUNCTION("IF(AI143="""",,TEXTJOIN("", "",TRUE,ARRAYFORMULA(VLOOKUP(SPLIT(AI143,"";""&amp;CHAR(10)),AE:AT,16,FALSE))))"),"")</f>
        <v/>
      </c>
      <c r="AW143" s="130" t="str">
        <f>IFERROR(__xludf.DUMMYFUNCTION("IF(ISBLANK(BK143),,TEXTJOIN("", "",TRUE,ARRAYFORMULA(VLOOKUP(IFERROR(REGEXEXTRACT(SPLIT(BK143,"";""&amp;CHAR(10)),""\[(.+)\]"")),AE:AT,16,false))))"),"")</f>
        <v/>
      </c>
      <c r="AX143" s="139" t="str">
        <f t="shared" si="6"/>
        <v/>
      </c>
      <c r="AY143" s="139" t="str">
        <f t="shared" si="7"/>
        <v/>
      </c>
      <c r="AZ143" s="106" t="str">
        <f>IFERROR(__xludf.DUMMYFUNCTION("IF(ISBLANK(AD143), BC143, TEXTJOIN(CHAR(10) &amp; CHAR(10), TRUE, ARRAYFORMULA(VLOOKUP(SPLIT(AD143, "";"" &amp; CHAR(10)), $AC:$AY, 23, FALSE))))"),"")</f>
        <v/>
      </c>
      <c r="BA143" s="140" t="s">
        <v>66</v>
      </c>
      <c r="BB143" s="190"/>
      <c r="BC143" s="196"/>
      <c r="BD143" s="106" t="str">
        <f>IFERROR(__xludf.DUMMYFUNCTION("IF(IFERROR(SEARCH(""&lt;&lt;mechanism to realize the capability&gt;&gt;"",BA143),0)=0,
 ""!! Error !! “Capability&amp;Mechanism” column: Invalid Separator:"" &amp; CHAR(10) &amp; ""Insert separator “&lt;&lt;mechanism to realize the capability&gt;&gt;.”"",
 IF(
  LEN(TRIM(CLEAN(
    INDEX(
 "&amp;"     SPLIT(BA143,""&lt;&lt;mechanism to realize the capability&gt;&gt;"",FALSE,FALSE),
      1
    )
  )))=0,
  ""!! Error !! “Capability&amp;Mechanism” column: No Capability:""  &amp; CHAR(10) &amp; ""Describe Capability before separator."",
  INDEX(
    SPLIT(BA143,""&lt;&lt;mechani"&amp;"sm to realize the capability&gt;&gt;"",FALSE,FALSE),
    1
  )
 )
)
"),"!! Error !! “Capability&amp;Mechanism” column: No Capability:
Describe Capability before separator.")</f>
        <v>!! Error !! “Capability&amp;Mechanism” column: No Capability:
Describe Capability before separator.</v>
      </c>
      <c r="BE143" s="190"/>
      <c r="BF143" s="195"/>
      <c r="BG143" s="42"/>
      <c r="BH143" s="190"/>
      <c r="BI143" s="196"/>
      <c r="BJ143" s="42"/>
      <c r="BK143" s="42"/>
      <c r="BL143" s="203"/>
      <c r="BM143" s="203"/>
      <c r="BN143" s="42"/>
      <c r="BO143" s="42"/>
      <c r="BP143" s="143"/>
      <c r="BQ143" s="143"/>
      <c r="BR143" s="192"/>
      <c r="BS143" s="192"/>
      <c r="BT143" s="192"/>
      <c r="BU143" s="192"/>
      <c r="BV143" s="192"/>
      <c r="BW143" s="192"/>
      <c r="BX143" s="146" t="str">
        <f t="shared" si="8"/>
        <v/>
      </c>
    </row>
    <row r="144">
      <c r="A144" s="106" t="str">
        <f t="shared" si="1"/>
        <v/>
      </c>
      <c r="B144" s="183" t="str">
        <f t="array" ref="B144">IF(ISBLANK($AE144), "-",INDEX(Circuits!A:A,SUMPRODUCT(EXACT($AE144,Circuits!$A:$A)*ROW(Circuits!$A:$A))))</f>
        <v>-</v>
      </c>
      <c r="C144" s="183" t="str">
        <f t="array" ref="C144">IF(ISBLANK($AE144), "-",INDEX(Circuits!B:B,SUMPRODUCT(EXACT($AE144,Circuits!$A:$A)*ROW(Circuits!$A:$A))))</f>
        <v>-</v>
      </c>
      <c r="D144" s="183" t="str">
        <f t="array" ref="D144">IF(ISBLANK($AE144), "-",INDEX(Circuits!C:C,SUMPRODUCT(EXACT($AE144,Circuits!$A:$A)*ROW(Circuits!$A:$A))))</f>
        <v>-</v>
      </c>
      <c r="E144" s="183" t="str">
        <f t="array" ref="E144">IF(ISBLANK($AE144), "-",INDEX(Circuits!D:D,SUMPRODUCT(EXACT($AE144,Circuits!$A:$A)*ROW(Circuits!$A:$A))))</f>
        <v>-</v>
      </c>
      <c r="F144" s="183" t="str">
        <f t="array" ref="F144">IF(ISBLANK($AE144), "-",INDEX(Circuits!E:E,SUMPRODUCT(EXACT($AE144,Circuits!$A:$A)*ROW(Circuits!$A:$A))))</f>
        <v>-</v>
      </c>
      <c r="G144" s="183" t="str">
        <f t="array" ref="G144">IF(ISBLANK($AE144), "-",INDEX(Circuits!F:F,SUMPRODUCT(EXACT($AE144,Circuits!$A:$A)*ROW(Circuits!$A:$A))))</f>
        <v>-</v>
      </c>
      <c r="H144" s="183" t="str">
        <f t="array" ref="H144">IF(ISBLANK($AE144), "-",INDEX(Circuits!G:G,SUMPRODUCT(EXACT($AE144,Circuits!$A:$A)*ROW(Circuits!$A:$A))))</f>
        <v>-</v>
      </c>
      <c r="I144" s="183" t="str">
        <f t="array" ref="I144">IF(ISBLANK($AE144), "-",INDEX(Circuits!H:H,SUMPRODUCT(EXACT($AE144,Circuits!$A:$A)*ROW(Circuits!$A:$A))))</f>
        <v>-</v>
      </c>
      <c r="J144" s="183" t="str">
        <f t="array" ref="J144">IF(ISBLANK($AE144), "-",INDEX(Circuits!I:I,SUMPRODUCT(EXACT($AE144,Circuits!$A:$A)*ROW(Circuits!$A:$A))))</f>
        <v>-</v>
      </c>
      <c r="K144" s="183" t="str">
        <f t="array" ref="K144">IF(ISBLANK($AE144), "-",INDEX(Circuits!J:J,SUMPRODUCT(EXACT($AE144,Circuits!$A:$A)*ROW(Circuits!$A:$A))))</f>
        <v>-</v>
      </c>
      <c r="L144" s="183" t="str">
        <f t="array" ref="L144">IF(ISBLANK($AE144), "-",INDEX(Circuits!K:K,SUMPRODUCT(EXACT($AE144,Circuits!$A:$A)*ROW(Circuits!$A:$A))))</f>
        <v>-</v>
      </c>
      <c r="M144" s="183" t="str">
        <f t="array" ref="M144">IF(ISBLANK($AE144), "-",INDEX(Circuits!L:L,SUMPRODUCT(EXACT($AE144,Circuits!$A:$A)*ROW(Circuits!$A:$A))))</f>
        <v>-</v>
      </c>
      <c r="N144" s="183" t="str">
        <f t="array" ref="N144">IF(ISBLANK($AE144), "-",INDEX(Circuits!M:M,SUMPRODUCT(EXACT($AE144,Circuits!$A:$A)*ROW(Circuits!$A:$A))))</f>
        <v>-</v>
      </c>
      <c r="O144" s="183" t="str">
        <f t="array" ref="O144">IF(ISBLANK($AE144), "-",INDEX(Circuits!N:N,SUMPRODUCT(EXACT($AE144,Circuits!$A:$A)*ROW(Circuits!$A:$A))))</f>
        <v>-</v>
      </c>
      <c r="P144" s="183" t="str">
        <f t="array" ref="P144">IF(ISBLANK($AE144), "-",INDEX(Circuits!O:O,SUMPRODUCT(EXACT($AE144,Circuits!$A:$A)*ROW(Circuits!$A:$A))))</f>
        <v>-</v>
      </c>
      <c r="Q144" s="183" t="str">
        <f t="array" ref="Q144">IF(ISBLANK($AE144), "-",INDEX(Circuits!P:P,SUMPRODUCT(EXACT($AE144,Circuits!$A:$A)*ROW(Circuits!$A:$A))))</f>
        <v>-</v>
      </c>
      <c r="R144" s="183" t="str">
        <f t="array" ref="R144">IF(ISBLANK($AE144), "-",INDEX(Circuits!Q:Q,SUMPRODUCT(EXACT($AE144,Circuits!$A:$A)*ROW(Circuits!$A:$A))))</f>
        <v>-</v>
      </c>
      <c r="S144" s="183" t="str">
        <f t="array" ref="S144">IF(ISBLANK($AE144), "-",INDEX(Circuits!R:R,SUMPRODUCT(EXACT($AE144,Circuits!$A:$A)*ROW(Circuits!$A:$A))))</f>
        <v>-</v>
      </c>
      <c r="T144" s="183" t="str">
        <f t="array" ref="T144">IF(ISBLANK($AE144), "-",INDEX(Circuits!S:S,SUMPRODUCT(EXACT($AE144,Circuits!$A:$A)*ROW(Circuits!$A:$A))))</f>
        <v>-</v>
      </c>
      <c r="U144" s="183" t="str">
        <f t="array" ref="U144">IF(ISBLANK($AE144), "-",INDEX(Circuits!T:T,SUMPRODUCT(EXACT($AE144,Circuits!$A:$A)*ROW(Circuits!$A:$A))))</f>
        <v>-</v>
      </c>
      <c r="V144" s="183" t="str">
        <f t="array" ref="V144">IF(ISBLANK($AE144), "-",INDEX(Circuits!U:U,SUMPRODUCT(EXACT($AE144,Circuits!$A:$A)*ROW(Circuits!$A:$A))))</f>
        <v>-</v>
      </c>
      <c r="W144" s="183" t="str">
        <f t="array" ref="W144">IF(ISBLANK($AE144), "-",INDEX(Circuits!V:V,SUMPRODUCT(EXACT($AE144,Circuits!$A:$A)*ROW(Circuits!$A:$A))))</f>
        <v>-</v>
      </c>
      <c r="X144" s="183" t="str">
        <f t="array" ref="X144">IF(ISBLANK($AE144), "-",INDEX(Circuits!W:W,SUMPRODUCT(EXACT($AE144,Circuits!$A:$A)*ROW(Circuits!$A:$A))))</f>
        <v>-</v>
      </c>
      <c r="Y144" s="183" t="str">
        <f t="array" ref="Y144">IF(ISBLANK($AE144), "-",INDEX(Circuits!X:X,SUMPRODUCT(EXACT($AE144,Circuits!$A:$A)*ROW(Circuits!$A:$A))))</f>
        <v>-</v>
      </c>
      <c r="Z144" s="108" t="str">
        <f>IFERROR(__xludf.DUMMYFUNCTION("IFNA(CONCATENATE(UNIQUE(FILTER(Connections!R:R,Connections!A:A=B144))),""-"")"),"-")</f>
        <v>-</v>
      </c>
      <c r="AA144" s="119" t="str">
        <f t="array" ref="AA144">IF(ISBLANK($AE144), "-",INDEX(Circuits!Y:Y,SUMPRODUCT(EXACT($AE144,Circuits!$A:$A)*ROW(Circuits!$A:$A))))</f>
        <v>-</v>
      </c>
      <c r="AB144" s="121" t="str">
        <f t="array" ref="AB144">IF(ISBLANK($AE144), "-",INDEX(Circuits!Z:Z,SUMPRODUCT(EXACT($AE144,Circuits!$A:$A)*ROW(Circuits!$A:$A))))</f>
        <v>-</v>
      </c>
      <c r="AC144" s="194"/>
      <c r="AD144" s="194"/>
      <c r="AE144" s="40"/>
      <c r="AF144" s="43"/>
      <c r="AG144" s="126" t="str">
        <f>IFERROR(__xludf.DUMMYFUNCTION("IF(ISBLANK(AF144), """", TEXTJOIN(CHAR(10),TRUE,ARRAYFORMULA(IF(ISERROR(SEARCH(SPLIT(AF144, "";""), $Z144)), ""x"", ""-""))))"),"")</f>
        <v/>
      </c>
      <c r="AH144" s="127" t="str">
        <f>IFERROR(__xludf.DUMMYFUNCTION("IF(ISBLANK(AK144), """", TEXTJOIN("";"" &amp; CHAR(10), TRUE, UNIQUE(SPLIT(AK144, "";"" &amp; CHAR(10)), TRUE))&amp;"";"")"),"")</f>
        <v/>
      </c>
      <c r="AI144" s="128" t="str">
        <f>IFERROR(__xludf.DUMMYFUNCTION("IF(ISBLANK(AD144), IF(ISBLANK(AE144),,IFNA(TEXTJOIN("";"" &amp; CHAR(10), TRUE, FILTER(AE:AE, SEARCH(AE144&amp;"";"", AJ:AJ)))&amp;"";"", """")), TEXTJOIN("";"" &amp; CHAR(10), TRUE, UNIQUE(SPLIT(AH144 &amp; "";"" &amp; AH144 &amp; "";"" &amp; AL144, "";"" &amp; CHAR(10)), TRUE, TRUE))&amp;"";"&amp;""")"),"")</f>
        <v/>
      </c>
      <c r="AJ144" s="126" t="str">
        <f>IFERROR(__xludf.DUMMYFUNCTION("IF(AN144="""", """", TEXTJOIN("";"" &amp; CHAR(10), TRUE, UNIQUE(SPLIT(AH144 &amp; "";"" &amp; AH144 &amp; "";"" &amp; AN144, "";"" &amp; CHAR(10)), TRUE, TRUE))&amp;"";"")"),"")</f>
        <v/>
      </c>
      <c r="AK144" s="129" t="str">
        <f>IFERROR(__xludf.DUMMYFUNCTION("IF(ISBLANK(AD144), IF(ISBLANK(AE144),,AE144 &amp; "";""), TEXTJOIN(CHAR(10), TRUE, ARRAYFORMULA(VLOOKUP(SPLIT(AD144, "";"" &amp; CHAR(10)), $AC:$AH, 6, FALSE))))"),"")</f>
        <v/>
      </c>
      <c r="AL144" s="130" t="str">
        <f>IFERROR(__xludf.DUMMYFUNCTION("IF(AM144="""", """", TEXTJOIN("";"" &amp; CHAR(10), TRUE, UNIQUE(SPLIT(AM144, "";"" &amp; CHAR(10)), TRUE))&amp;"";"")"),"")</f>
        <v/>
      </c>
      <c r="AM144" s="130" t="str">
        <f>IFERROR(__xludf.DUMMYFUNCTION("IF(ISBLANK(AD144), """", TEXTJOIN(CHAR(10), TRUE, ARRAYFORMULA(VLOOKUP(SPLIT(AH144, "";"" &amp; CHAR(10)), $AE:$AI, 5, FALSE)), AF144))"),"")</f>
        <v/>
      </c>
      <c r="AN144" s="132" t="str">
        <f>IFERROR(__xludf.DUMMYFUNCTION("IF(ISBLANK(AO144), """", TEXTJOIN("";"" &amp; CHAR(10), TRUE, UNIQUE(SPLIT(AO144, "";"" &amp; CHAR(10)), TRUE))&amp;"";"")"),"")</f>
        <v/>
      </c>
      <c r="AO144" s="134" t="str">
        <f>IFERROR(__xludf.DUMMYFUNCTION("IF(ISBLANK(AD144), AF144, TEXTJOIN(CHAR(10), TRUE, ARRAYFORMULA(VLOOKUP(SPLIT(AD144, "";"" &amp; CHAR(10)), $AC:$AN, 12, FALSE))))"),"")</f>
        <v/>
      </c>
      <c r="AP144" s="130" t="str">
        <f>IF(ISBLANK(AE144),,IF(IFERROR(SEARCH(AE144&amp;";",Circuits!$AO$2),0),TRUE,FALSE))</f>
        <v/>
      </c>
      <c r="AQ144" s="130" t="str">
        <f t="shared" si="2"/>
        <v/>
      </c>
      <c r="AR144" s="130" t="str">
        <f t="shared" si="3"/>
        <v/>
      </c>
      <c r="AS144" s="136" t="str">
        <f>IFERROR(__xludf.DUMMYFUNCTION("IF(AH144="""",,SUM(ARRAYFORMULA(IF(IFERROR(SEARCH(SPLIT(AH144,CHAR(10)),Circuits!$AO$2),0)&gt;0,0,1))))"),"")</f>
        <v/>
      </c>
      <c r="AT144" s="138" t="str">
        <f t="shared" si="4"/>
        <v/>
      </c>
      <c r="AU144" s="138" t="str">
        <f t="shared" si="5"/>
        <v/>
      </c>
      <c r="AV144" s="130" t="str">
        <f>IFERROR(__xludf.DUMMYFUNCTION("IF(AI144="""",,TEXTJOIN("", "",TRUE,ARRAYFORMULA(VLOOKUP(SPLIT(AI144,"";""&amp;CHAR(10)),AE:AT,16,FALSE))))"),"")</f>
        <v/>
      </c>
      <c r="AW144" s="130" t="str">
        <f>IFERROR(__xludf.DUMMYFUNCTION("IF(ISBLANK(BK144),,TEXTJOIN("", "",TRUE,ARRAYFORMULA(VLOOKUP(IFERROR(REGEXEXTRACT(SPLIT(BK144,"";""&amp;CHAR(10)),""\[(.+)\]"")),AE:AT,16,false))))"),"")</f>
        <v/>
      </c>
      <c r="AX144" s="139" t="str">
        <f t="shared" si="6"/>
        <v/>
      </c>
      <c r="AY144" s="139" t="str">
        <f t="shared" si="7"/>
        <v/>
      </c>
      <c r="AZ144" s="106" t="str">
        <f>IFERROR(__xludf.DUMMYFUNCTION("IF(ISBLANK(AD144), BC144, TEXTJOIN(CHAR(10) &amp; CHAR(10), TRUE, ARRAYFORMULA(VLOOKUP(SPLIT(AD144, "";"" &amp; CHAR(10)), $AC:$AY, 23, FALSE))))"),"")</f>
        <v/>
      </c>
      <c r="BA144" s="140" t="s">
        <v>66</v>
      </c>
      <c r="BB144" s="190"/>
      <c r="BC144" s="196"/>
      <c r="BD144" s="106" t="str">
        <f>IFERROR(__xludf.DUMMYFUNCTION("IF(IFERROR(SEARCH(""&lt;&lt;mechanism to realize the capability&gt;&gt;"",BA144),0)=0,
 ""!! Error !! “Capability&amp;Mechanism” column: Invalid Separator:"" &amp; CHAR(10) &amp; ""Insert separator “&lt;&lt;mechanism to realize the capability&gt;&gt;.”"",
 IF(
  LEN(TRIM(CLEAN(
    INDEX(
 "&amp;"     SPLIT(BA144,""&lt;&lt;mechanism to realize the capability&gt;&gt;"",FALSE,FALSE),
      1
    )
  )))=0,
  ""!! Error !! “Capability&amp;Mechanism” column: No Capability:""  &amp; CHAR(10) &amp; ""Describe Capability before separator."",
  INDEX(
    SPLIT(BA144,""&lt;&lt;mechani"&amp;"sm to realize the capability&gt;&gt;"",FALSE,FALSE),
    1
  )
 )
)
"),"!! Error !! “Capability&amp;Mechanism” column: No Capability:
Describe Capability before separator.")</f>
        <v>!! Error !! “Capability&amp;Mechanism” column: No Capability:
Describe Capability before separator.</v>
      </c>
      <c r="BE144" s="190"/>
      <c r="BF144" s="195"/>
      <c r="BG144" s="42"/>
      <c r="BH144" s="190"/>
      <c r="BI144" s="196"/>
      <c r="BJ144" s="42"/>
      <c r="BK144" s="42"/>
      <c r="BL144" s="203"/>
      <c r="BM144" s="203"/>
      <c r="BN144" s="42"/>
      <c r="BO144" s="42"/>
      <c r="BP144" s="143"/>
      <c r="BQ144" s="143"/>
      <c r="BR144" s="192"/>
      <c r="BS144" s="192"/>
      <c r="BT144" s="192"/>
      <c r="BU144" s="192"/>
      <c r="BV144" s="192"/>
      <c r="BW144" s="192"/>
      <c r="BX144" s="146" t="str">
        <f t="shared" si="8"/>
        <v/>
      </c>
    </row>
    <row r="145">
      <c r="A145" s="106" t="str">
        <f t="shared" si="1"/>
        <v/>
      </c>
      <c r="B145" s="183" t="str">
        <f t="array" ref="B145">IF(ISBLANK($AE145), "-",INDEX(Circuits!A:A,SUMPRODUCT(EXACT($AE145,Circuits!$A:$A)*ROW(Circuits!$A:$A))))</f>
        <v>-</v>
      </c>
      <c r="C145" s="183" t="str">
        <f t="array" ref="C145">IF(ISBLANK($AE145), "-",INDEX(Circuits!B:B,SUMPRODUCT(EXACT($AE145,Circuits!$A:$A)*ROW(Circuits!$A:$A))))</f>
        <v>-</v>
      </c>
      <c r="D145" s="183" t="str">
        <f t="array" ref="D145">IF(ISBLANK($AE145), "-",INDEX(Circuits!C:C,SUMPRODUCT(EXACT($AE145,Circuits!$A:$A)*ROW(Circuits!$A:$A))))</f>
        <v>-</v>
      </c>
      <c r="E145" s="183" t="str">
        <f t="array" ref="E145">IF(ISBLANK($AE145), "-",INDEX(Circuits!D:D,SUMPRODUCT(EXACT($AE145,Circuits!$A:$A)*ROW(Circuits!$A:$A))))</f>
        <v>-</v>
      </c>
      <c r="F145" s="183" t="str">
        <f t="array" ref="F145">IF(ISBLANK($AE145), "-",INDEX(Circuits!E:E,SUMPRODUCT(EXACT($AE145,Circuits!$A:$A)*ROW(Circuits!$A:$A))))</f>
        <v>-</v>
      </c>
      <c r="G145" s="183" t="str">
        <f t="array" ref="G145">IF(ISBLANK($AE145), "-",INDEX(Circuits!F:F,SUMPRODUCT(EXACT($AE145,Circuits!$A:$A)*ROW(Circuits!$A:$A))))</f>
        <v>-</v>
      </c>
      <c r="H145" s="183" t="str">
        <f t="array" ref="H145">IF(ISBLANK($AE145), "-",INDEX(Circuits!G:G,SUMPRODUCT(EXACT($AE145,Circuits!$A:$A)*ROW(Circuits!$A:$A))))</f>
        <v>-</v>
      </c>
      <c r="I145" s="183" t="str">
        <f t="array" ref="I145">IF(ISBLANK($AE145), "-",INDEX(Circuits!H:H,SUMPRODUCT(EXACT($AE145,Circuits!$A:$A)*ROW(Circuits!$A:$A))))</f>
        <v>-</v>
      </c>
      <c r="J145" s="183" t="str">
        <f t="array" ref="J145">IF(ISBLANK($AE145), "-",INDEX(Circuits!I:I,SUMPRODUCT(EXACT($AE145,Circuits!$A:$A)*ROW(Circuits!$A:$A))))</f>
        <v>-</v>
      </c>
      <c r="K145" s="183" t="str">
        <f t="array" ref="K145">IF(ISBLANK($AE145), "-",INDEX(Circuits!J:J,SUMPRODUCT(EXACT($AE145,Circuits!$A:$A)*ROW(Circuits!$A:$A))))</f>
        <v>-</v>
      </c>
      <c r="L145" s="183" t="str">
        <f t="array" ref="L145">IF(ISBLANK($AE145), "-",INDEX(Circuits!K:K,SUMPRODUCT(EXACT($AE145,Circuits!$A:$A)*ROW(Circuits!$A:$A))))</f>
        <v>-</v>
      </c>
      <c r="M145" s="183" t="str">
        <f t="array" ref="M145">IF(ISBLANK($AE145), "-",INDEX(Circuits!L:L,SUMPRODUCT(EXACT($AE145,Circuits!$A:$A)*ROW(Circuits!$A:$A))))</f>
        <v>-</v>
      </c>
      <c r="N145" s="183" t="str">
        <f t="array" ref="N145">IF(ISBLANK($AE145), "-",INDEX(Circuits!M:M,SUMPRODUCT(EXACT($AE145,Circuits!$A:$A)*ROW(Circuits!$A:$A))))</f>
        <v>-</v>
      </c>
      <c r="O145" s="183" t="str">
        <f t="array" ref="O145">IF(ISBLANK($AE145), "-",INDEX(Circuits!N:N,SUMPRODUCT(EXACT($AE145,Circuits!$A:$A)*ROW(Circuits!$A:$A))))</f>
        <v>-</v>
      </c>
      <c r="P145" s="183" t="str">
        <f t="array" ref="P145">IF(ISBLANK($AE145), "-",INDEX(Circuits!O:O,SUMPRODUCT(EXACT($AE145,Circuits!$A:$A)*ROW(Circuits!$A:$A))))</f>
        <v>-</v>
      </c>
      <c r="Q145" s="183" t="str">
        <f t="array" ref="Q145">IF(ISBLANK($AE145), "-",INDEX(Circuits!P:P,SUMPRODUCT(EXACT($AE145,Circuits!$A:$A)*ROW(Circuits!$A:$A))))</f>
        <v>-</v>
      </c>
      <c r="R145" s="183" t="str">
        <f t="array" ref="R145">IF(ISBLANK($AE145), "-",INDEX(Circuits!Q:Q,SUMPRODUCT(EXACT($AE145,Circuits!$A:$A)*ROW(Circuits!$A:$A))))</f>
        <v>-</v>
      </c>
      <c r="S145" s="183" t="str">
        <f t="array" ref="S145">IF(ISBLANK($AE145), "-",INDEX(Circuits!R:R,SUMPRODUCT(EXACT($AE145,Circuits!$A:$A)*ROW(Circuits!$A:$A))))</f>
        <v>-</v>
      </c>
      <c r="T145" s="183" t="str">
        <f t="array" ref="T145">IF(ISBLANK($AE145), "-",INDEX(Circuits!S:S,SUMPRODUCT(EXACT($AE145,Circuits!$A:$A)*ROW(Circuits!$A:$A))))</f>
        <v>-</v>
      </c>
      <c r="U145" s="183" t="str">
        <f t="array" ref="U145">IF(ISBLANK($AE145), "-",INDEX(Circuits!T:T,SUMPRODUCT(EXACT($AE145,Circuits!$A:$A)*ROW(Circuits!$A:$A))))</f>
        <v>-</v>
      </c>
      <c r="V145" s="183" t="str">
        <f t="array" ref="V145">IF(ISBLANK($AE145), "-",INDEX(Circuits!U:U,SUMPRODUCT(EXACT($AE145,Circuits!$A:$A)*ROW(Circuits!$A:$A))))</f>
        <v>-</v>
      </c>
      <c r="W145" s="183" t="str">
        <f t="array" ref="W145">IF(ISBLANK($AE145), "-",INDEX(Circuits!V:V,SUMPRODUCT(EXACT($AE145,Circuits!$A:$A)*ROW(Circuits!$A:$A))))</f>
        <v>-</v>
      </c>
      <c r="X145" s="183" t="str">
        <f t="array" ref="X145">IF(ISBLANK($AE145), "-",INDEX(Circuits!W:W,SUMPRODUCT(EXACT($AE145,Circuits!$A:$A)*ROW(Circuits!$A:$A))))</f>
        <v>-</v>
      </c>
      <c r="Y145" s="183" t="str">
        <f t="array" ref="Y145">IF(ISBLANK($AE145), "-",INDEX(Circuits!X:X,SUMPRODUCT(EXACT($AE145,Circuits!$A:$A)*ROW(Circuits!$A:$A))))</f>
        <v>-</v>
      </c>
      <c r="Z145" s="108" t="str">
        <f>IFERROR(__xludf.DUMMYFUNCTION("IFNA(CONCATENATE(UNIQUE(FILTER(Connections!R:R,Connections!A:A=B145))),""-"")"),"-")</f>
        <v>-</v>
      </c>
      <c r="AA145" s="119" t="str">
        <f t="array" ref="AA145">IF(ISBLANK($AE145), "-",INDEX(Circuits!Y:Y,SUMPRODUCT(EXACT($AE145,Circuits!$A:$A)*ROW(Circuits!$A:$A))))</f>
        <v>-</v>
      </c>
      <c r="AB145" s="121" t="str">
        <f t="array" ref="AB145">IF(ISBLANK($AE145), "-",INDEX(Circuits!Z:Z,SUMPRODUCT(EXACT($AE145,Circuits!$A:$A)*ROW(Circuits!$A:$A))))</f>
        <v>-</v>
      </c>
      <c r="AC145" s="194"/>
      <c r="AD145" s="194"/>
      <c r="AE145" s="40"/>
      <c r="AF145" s="43"/>
      <c r="AG145" s="126" t="str">
        <f>IFERROR(__xludf.DUMMYFUNCTION("IF(ISBLANK(AF145), """", TEXTJOIN(CHAR(10),TRUE,ARRAYFORMULA(IF(ISERROR(SEARCH(SPLIT(AF145, "";""), $Z145)), ""x"", ""-""))))"),"")</f>
        <v/>
      </c>
      <c r="AH145" s="127" t="str">
        <f>IFERROR(__xludf.DUMMYFUNCTION("IF(ISBLANK(AK145), """", TEXTJOIN("";"" &amp; CHAR(10), TRUE, UNIQUE(SPLIT(AK145, "";"" &amp; CHAR(10)), TRUE))&amp;"";"")"),"")</f>
        <v/>
      </c>
      <c r="AI145" s="128" t="str">
        <f>IFERROR(__xludf.DUMMYFUNCTION("IF(ISBLANK(AD145), IF(ISBLANK(AE145),,IFNA(TEXTJOIN("";"" &amp; CHAR(10), TRUE, FILTER(AE:AE, SEARCH(AE145&amp;"";"", AJ:AJ)))&amp;"";"", """")), TEXTJOIN("";"" &amp; CHAR(10), TRUE, UNIQUE(SPLIT(AH145 &amp; "";"" &amp; AH145 &amp; "";"" &amp; AL145, "";"" &amp; CHAR(10)), TRUE, TRUE))&amp;"";"&amp;""")"),"")</f>
        <v/>
      </c>
      <c r="AJ145" s="126" t="str">
        <f>IFERROR(__xludf.DUMMYFUNCTION("IF(AN145="""", """", TEXTJOIN("";"" &amp; CHAR(10), TRUE, UNIQUE(SPLIT(AH145 &amp; "";"" &amp; AH145 &amp; "";"" &amp; AN145, "";"" &amp; CHAR(10)), TRUE, TRUE))&amp;"";"")"),"")</f>
        <v/>
      </c>
      <c r="AK145" s="129" t="str">
        <f>IFERROR(__xludf.DUMMYFUNCTION("IF(ISBLANK(AD145), IF(ISBLANK(AE145),,AE145 &amp; "";""), TEXTJOIN(CHAR(10), TRUE, ARRAYFORMULA(VLOOKUP(SPLIT(AD145, "";"" &amp; CHAR(10)), $AC:$AH, 6, FALSE))))"),"")</f>
        <v/>
      </c>
      <c r="AL145" s="130" t="str">
        <f>IFERROR(__xludf.DUMMYFUNCTION("IF(AM145="""", """", TEXTJOIN("";"" &amp; CHAR(10), TRUE, UNIQUE(SPLIT(AM145, "";"" &amp; CHAR(10)), TRUE))&amp;"";"")"),"")</f>
        <v/>
      </c>
      <c r="AM145" s="130" t="str">
        <f>IFERROR(__xludf.DUMMYFUNCTION("IF(ISBLANK(AD145), """", TEXTJOIN(CHAR(10), TRUE, ARRAYFORMULA(VLOOKUP(SPLIT(AH145, "";"" &amp; CHAR(10)), $AE:$AI, 5, FALSE)), AF145))"),"")</f>
        <v/>
      </c>
      <c r="AN145" s="132" t="str">
        <f>IFERROR(__xludf.DUMMYFUNCTION("IF(ISBLANK(AO145), """", TEXTJOIN("";"" &amp; CHAR(10), TRUE, UNIQUE(SPLIT(AO145, "";"" &amp; CHAR(10)), TRUE))&amp;"";"")"),"")</f>
        <v/>
      </c>
      <c r="AO145" s="134" t="str">
        <f>IFERROR(__xludf.DUMMYFUNCTION("IF(ISBLANK(AD145), AF145, TEXTJOIN(CHAR(10), TRUE, ARRAYFORMULA(VLOOKUP(SPLIT(AD145, "";"" &amp; CHAR(10)), $AC:$AN, 12, FALSE))))"),"")</f>
        <v/>
      </c>
      <c r="AP145" s="130" t="str">
        <f>IF(ISBLANK(AE145),,IF(IFERROR(SEARCH(AE145&amp;";",Circuits!$AO$2),0),TRUE,FALSE))</f>
        <v/>
      </c>
      <c r="AQ145" s="130" t="str">
        <f t="shared" si="2"/>
        <v/>
      </c>
      <c r="AR145" s="130" t="str">
        <f t="shared" si="3"/>
        <v/>
      </c>
      <c r="AS145" s="136" t="str">
        <f>IFERROR(__xludf.DUMMYFUNCTION("IF(AH145="""",,SUM(ARRAYFORMULA(IF(IFERROR(SEARCH(SPLIT(AH145,CHAR(10)),Circuits!$AO$2),0)&gt;0,0,1))))"),"")</f>
        <v/>
      </c>
      <c r="AT145" s="138" t="str">
        <f t="shared" si="4"/>
        <v/>
      </c>
      <c r="AU145" s="138" t="str">
        <f t="shared" si="5"/>
        <v/>
      </c>
      <c r="AV145" s="130" t="str">
        <f>IFERROR(__xludf.DUMMYFUNCTION("IF(AI145="""",,TEXTJOIN("", "",TRUE,ARRAYFORMULA(VLOOKUP(SPLIT(AI145,"";""&amp;CHAR(10)),AE:AT,16,FALSE))))"),"")</f>
        <v/>
      </c>
      <c r="AW145" s="130" t="str">
        <f>IFERROR(__xludf.DUMMYFUNCTION("IF(ISBLANK(BK145),,TEXTJOIN("", "",TRUE,ARRAYFORMULA(VLOOKUP(IFERROR(REGEXEXTRACT(SPLIT(BK145,"";""&amp;CHAR(10)),""\[(.+)\]"")),AE:AT,16,false))))"),"")</f>
        <v/>
      </c>
      <c r="AX145" s="139" t="str">
        <f t="shared" si="6"/>
        <v/>
      </c>
      <c r="AY145" s="139" t="str">
        <f t="shared" si="7"/>
        <v/>
      </c>
      <c r="AZ145" s="106" t="str">
        <f>IFERROR(__xludf.DUMMYFUNCTION("IF(ISBLANK(AD145), BC145, TEXTJOIN(CHAR(10) &amp; CHAR(10), TRUE, ARRAYFORMULA(VLOOKUP(SPLIT(AD145, "";"" &amp; CHAR(10)), $AC:$AY, 23, FALSE))))"),"")</f>
        <v/>
      </c>
      <c r="BA145" s="140" t="s">
        <v>66</v>
      </c>
      <c r="BB145" s="190"/>
      <c r="BC145" s="196"/>
      <c r="BD145" s="106" t="str">
        <f>IFERROR(__xludf.DUMMYFUNCTION("IF(IFERROR(SEARCH(""&lt;&lt;mechanism to realize the capability&gt;&gt;"",BA145),0)=0,
 ""!! Error !! “Capability&amp;Mechanism” column: Invalid Separator:"" &amp; CHAR(10) &amp; ""Insert separator “&lt;&lt;mechanism to realize the capability&gt;&gt;.”"",
 IF(
  LEN(TRIM(CLEAN(
    INDEX(
 "&amp;"     SPLIT(BA145,""&lt;&lt;mechanism to realize the capability&gt;&gt;"",FALSE,FALSE),
      1
    )
  )))=0,
  ""!! Error !! “Capability&amp;Mechanism” column: No Capability:""  &amp; CHAR(10) &amp; ""Describe Capability before separator."",
  INDEX(
    SPLIT(BA145,""&lt;&lt;mechani"&amp;"sm to realize the capability&gt;&gt;"",FALSE,FALSE),
    1
  )
 )
)
"),"!! Error !! “Capability&amp;Mechanism” column: No Capability:
Describe Capability before separator.")</f>
        <v>!! Error !! “Capability&amp;Mechanism” column: No Capability:
Describe Capability before separator.</v>
      </c>
      <c r="BE145" s="190"/>
      <c r="BF145" s="195"/>
      <c r="BG145" s="42"/>
      <c r="BH145" s="190"/>
      <c r="BI145" s="196"/>
      <c r="BJ145" s="42"/>
      <c r="BK145" s="42"/>
      <c r="BL145" s="203"/>
      <c r="BM145" s="203"/>
      <c r="BN145" s="42"/>
      <c r="BO145" s="42"/>
      <c r="BP145" s="143"/>
      <c r="BQ145" s="143"/>
      <c r="BR145" s="192"/>
      <c r="BS145" s="192"/>
      <c r="BT145" s="192"/>
      <c r="BU145" s="192"/>
      <c r="BV145" s="192"/>
      <c r="BW145" s="192"/>
      <c r="BX145" s="146" t="str">
        <f t="shared" si="8"/>
        <v/>
      </c>
    </row>
    <row r="146">
      <c r="A146" s="106" t="str">
        <f t="shared" si="1"/>
        <v/>
      </c>
      <c r="B146" s="183" t="str">
        <f t="array" ref="B146">IF(ISBLANK($AE146), "-",INDEX(Circuits!A:A,SUMPRODUCT(EXACT($AE146,Circuits!$A:$A)*ROW(Circuits!$A:$A))))</f>
        <v>-</v>
      </c>
      <c r="C146" s="183" t="str">
        <f t="array" ref="C146">IF(ISBLANK($AE146), "-",INDEX(Circuits!B:B,SUMPRODUCT(EXACT($AE146,Circuits!$A:$A)*ROW(Circuits!$A:$A))))</f>
        <v>-</v>
      </c>
      <c r="D146" s="183" t="str">
        <f t="array" ref="D146">IF(ISBLANK($AE146), "-",INDEX(Circuits!C:C,SUMPRODUCT(EXACT($AE146,Circuits!$A:$A)*ROW(Circuits!$A:$A))))</f>
        <v>-</v>
      </c>
      <c r="E146" s="183" t="str">
        <f t="array" ref="E146">IF(ISBLANK($AE146), "-",INDEX(Circuits!D:D,SUMPRODUCT(EXACT($AE146,Circuits!$A:$A)*ROW(Circuits!$A:$A))))</f>
        <v>-</v>
      </c>
      <c r="F146" s="183" t="str">
        <f t="array" ref="F146">IF(ISBLANK($AE146), "-",INDEX(Circuits!E:E,SUMPRODUCT(EXACT($AE146,Circuits!$A:$A)*ROW(Circuits!$A:$A))))</f>
        <v>-</v>
      </c>
      <c r="G146" s="183" t="str">
        <f t="array" ref="G146">IF(ISBLANK($AE146), "-",INDEX(Circuits!F:F,SUMPRODUCT(EXACT($AE146,Circuits!$A:$A)*ROW(Circuits!$A:$A))))</f>
        <v>-</v>
      </c>
      <c r="H146" s="183" t="str">
        <f t="array" ref="H146">IF(ISBLANK($AE146), "-",INDEX(Circuits!G:G,SUMPRODUCT(EXACT($AE146,Circuits!$A:$A)*ROW(Circuits!$A:$A))))</f>
        <v>-</v>
      </c>
      <c r="I146" s="183" t="str">
        <f t="array" ref="I146">IF(ISBLANK($AE146), "-",INDEX(Circuits!H:H,SUMPRODUCT(EXACT($AE146,Circuits!$A:$A)*ROW(Circuits!$A:$A))))</f>
        <v>-</v>
      </c>
      <c r="J146" s="183" t="str">
        <f t="array" ref="J146">IF(ISBLANK($AE146), "-",INDEX(Circuits!I:I,SUMPRODUCT(EXACT($AE146,Circuits!$A:$A)*ROW(Circuits!$A:$A))))</f>
        <v>-</v>
      </c>
      <c r="K146" s="183" t="str">
        <f t="array" ref="K146">IF(ISBLANK($AE146), "-",INDEX(Circuits!J:J,SUMPRODUCT(EXACT($AE146,Circuits!$A:$A)*ROW(Circuits!$A:$A))))</f>
        <v>-</v>
      </c>
      <c r="L146" s="183" t="str">
        <f t="array" ref="L146">IF(ISBLANK($AE146), "-",INDEX(Circuits!K:K,SUMPRODUCT(EXACT($AE146,Circuits!$A:$A)*ROW(Circuits!$A:$A))))</f>
        <v>-</v>
      </c>
      <c r="M146" s="183" t="str">
        <f t="array" ref="M146">IF(ISBLANK($AE146), "-",INDEX(Circuits!L:L,SUMPRODUCT(EXACT($AE146,Circuits!$A:$A)*ROW(Circuits!$A:$A))))</f>
        <v>-</v>
      </c>
      <c r="N146" s="183" t="str">
        <f t="array" ref="N146">IF(ISBLANK($AE146), "-",INDEX(Circuits!M:M,SUMPRODUCT(EXACT($AE146,Circuits!$A:$A)*ROW(Circuits!$A:$A))))</f>
        <v>-</v>
      </c>
      <c r="O146" s="183" t="str">
        <f t="array" ref="O146">IF(ISBLANK($AE146), "-",INDEX(Circuits!N:N,SUMPRODUCT(EXACT($AE146,Circuits!$A:$A)*ROW(Circuits!$A:$A))))</f>
        <v>-</v>
      </c>
      <c r="P146" s="183" t="str">
        <f t="array" ref="P146">IF(ISBLANK($AE146), "-",INDEX(Circuits!O:O,SUMPRODUCT(EXACT($AE146,Circuits!$A:$A)*ROW(Circuits!$A:$A))))</f>
        <v>-</v>
      </c>
      <c r="Q146" s="183" t="str">
        <f t="array" ref="Q146">IF(ISBLANK($AE146), "-",INDEX(Circuits!P:P,SUMPRODUCT(EXACT($AE146,Circuits!$A:$A)*ROW(Circuits!$A:$A))))</f>
        <v>-</v>
      </c>
      <c r="R146" s="183" t="str">
        <f t="array" ref="R146">IF(ISBLANK($AE146), "-",INDEX(Circuits!Q:Q,SUMPRODUCT(EXACT($AE146,Circuits!$A:$A)*ROW(Circuits!$A:$A))))</f>
        <v>-</v>
      </c>
      <c r="S146" s="183" t="str">
        <f t="array" ref="S146">IF(ISBLANK($AE146), "-",INDEX(Circuits!R:R,SUMPRODUCT(EXACT($AE146,Circuits!$A:$A)*ROW(Circuits!$A:$A))))</f>
        <v>-</v>
      </c>
      <c r="T146" s="183" t="str">
        <f t="array" ref="T146">IF(ISBLANK($AE146), "-",INDEX(Circuits!S:S,SUMPRODUCT(EXACT($AE146,Circuits!$A:$A)*ROW(Circuits!$A:$A))))</f>
        <v>-</v>
      </c>
      <c r="U146" s="183" t="str">
        <f t="array" ref="U146">IF(ISBLANK($AE146), "-",INDEX(Circuits!T:T,SUMPRODUCT(EXACT($AE146,Circuits!$A:$A)*ROW(Circuits!$A:$A))))</f>
        <v>-</v>
      </c>
      <c r="V146" s="183" t="str">
        <f t="array" ref="V146">IF(ISBLANK($AE146), "-",INDEX(Circuits!U:U,SUMPRODUCT(EXACT($AE146,Circuits!$A:$A)*ROW(Circuits!$A:$A))))</f>
        <v>-</v>
      </c>
      <c r="W146" s="183" t="str">
        <f t="array" ref="W146">IF(ISBLANK($AE146), "-",INDEX(Circuits!V:V,SUMPRODUCT(EXACT($AE146,Circuits!$A:$A)*ROW(Circuits!$A:$A))))</f>
        <v>-</v>
      </c>
      <c r="X146" s="183" t="str">
        <f t="array" ref="X146">IF(ISBLANK($AE146), "-",INDEX(Circuits!W:W,SUMPRODUCT(EXACT($AE146,Circuits!$A:$A)*ROW(Circuits!$A:$A))))</f>
        <v>-</v>
      </c>
      <c r="Y146" s="183" t="str">
        <f t="array" ref="Y146">IF(ISBLANK($AE146), "-",INDEX(Circuits!X:X,SUMPRODUCT(EXACT($AE146,Circuits!$A:$A)*ROW(Circuits!$A:$A))))</f>
        <v>-</v>
      </c>
      <c r="Z146" s="108" t="str">
        <f>IFERROR(__xludf.DUMMYFUNCTION("IFNA(CONCATENATE(UNIQUE(FILTER(Connections!R:R,Connections!A:A=B146))),""-"")"),"-")</f>
        <v>-</v>
      </c>
      <c r="AA146" s="119" t="str">
        <f t="array" ref="AA146">IF(ISBLANK($AE146), "-",INDEX(Circuits!Y:Y,SUMPRODUCT(EXACT($AE146,Circuits!$A:$A)*ROW(Circuits!$A:$A))))</f>
        <v>-</v>
      </c>
      <c r="AB146" s="121" t="str">
        <f t="array" ref="AB146">IF(ISBLANK($AE146), "-",INDEX(Circuits!Z:Z,SUMPRODUCT(EXACT($AE146,Circuits!$A:$A)*ROW(Circuits!$A:$A))))</f>
        <v>-</v>
      </c>
      <c r="AC146" s="194"/>
      <c r="AD146" s="194"/>
      <c r="AE146" s="40"/>
      <c r="AF146" s="43"/>
      <c r="AG146" s="126" t="str">
        <f>IFERROR(__xludf.DUMMYFUNCTION("IF(ISBLANK(AF146), """", TEXTJOIN(CHAR(10),TRUE,ARRAYFORMULA(IF(ISERROR(SEARCH(SPLIT(AF146, "";""), $Z146)), ""x"", ""-""))))"),"")</f>
        <v/>
      </c>
      <c r="AH146" s="127" t="str">
        <f>IFERROR(__xludf.DUMMYFUNCTION("IF(ISBLANK(AK146), """", TEXTJOIN("";"" &amp; CHAR(10), TRUE, UNIQUE(SPLIT(AK146, "";"" &amp; CHAR(10)), TRUE))&amp;"";"")"),"")</f>
        <v/>
      </c>
      <c r="AI146" s="128" t="str">
        <f>IFERROR(__xludf.DUMMYFUNCTION("IF(ISBLANK(AD146), IF(ISBLANK(AE146),,IFNA(TEXTJOIN("";"" &amp; CHAR(10), TRUE, FILTER(AE:AE, SEARCH(AE146&amp;"";"", AJ:AJ)))&amp;"";"", """")), TEXTJOIN("";"" &amp; CHAR(10), TRUE, UNIQUE(SPLIT(AH146 &amp; "";"" &amp; AH146 &amp; "";"" &amp; AL146, "";"" &amp; CHAR(10)), TRUE, TRUE))&amp;"";"&amp;""")"),"")</f>
        <v/>
      </c>
      <c r="AJ146" s="126" t="str">
        <f>IFERROR(__xludf.DUMMYFUNCTION("IF(AN146="""", """", TEXTJOIN("";"" &amp; CHAR(10), TRUE, UNIQUE(SPLIT(AH146 &amp; "";"" &amp; AH146 &amp; "";"" &amp; AN146, "";"" &amp; CHAR(10)), TRUE, TRUE))&amp;"";"")"),"")</f>
        <v/>
      </c>
      <c r="AK146" s="129" t="str">
        <f>IFERROR(__xludf.DUMMYFUNCTION("IF(ISBLANK(AD146), IF(ISBLANK(AE146),,AE146 &amp; "";""), TEXTJOIN(CHAR(10), TRUE, ARRAYFORMULA(VLOOKUP(SPLIT(AD146, "";"" &amp; CHAR(10)), $AC:$AH, 6, FALSE))))"),"")</f>
        <v/>
      </c>
      <c r="AL146" s="130" t="str">
        <f>IFERROR(__xludf.DUMMYFUNCTION("IF(AM146="""", """", TEXTJOIN("";"" &amp; CHAR(10), TRUE, UNIQUE(SPLIT(AM146, "";"" &amp; CHAR(10)), TRUE))&amp;"";"")"),"")</f>
        <v/>
      </c>
      <c r="AM146" s="130" t="str">
        <f>IFERROR(__xludf.DUMMYFUNCTION("IF(ISBLANK(AD146), """", TEXTJOIN(CHAR(10), TRUE, ARRAYFORMULA(VLOOKUP(SPLIT(AH146, "";"" &amp; CHAR(10)), $AE:$AI, 5, FALSE)), AF146))"),"")</f>
        <v/>
      </c>
      <c r="AN146" s="132" t="str">
        <f>IFERROR(__xludf.DUMMYFUNCTION("IF(ISBLANK(AO146), """", TEXTJOIN("";"" &amp; CHAR(10), TRUE, UNIQUE(SPLIT(AO146, "";"" &amp; CHAR(10)), TRUE))&amp;"";"")"),"")</f>
        <v/>
      </c>
      <c r="AO146" s="134" t="str">
        <f>IFERROR(__xludf.DUMMYFUNCTION("IF(ISBLANK(AD146), AF146, TEXTJOIN(CHAR(10), TRUE, ARRAYFORMULA(VLOOKUP(SPLIT(AD146, "";"" &amp; CHAR(10)), $AC:$AN, 12, FALSE))))"),"")</f>
        <v/>
      </c>
      <c r="AP146" s="130" t="str">
        <f>IF(ISBLANK(AE146),,IF(IFERROR(SEARCH(AE146&amp;";",Circuits!$AO$2),0),TRUE,FALSE))</f>
        <v/>
      </c>
      <c r="AQ146" s="130" t="str">
        <f t="shared" si="2"/>
        <v/>
      </c>
      <c r="AR146" s="130" t="str">
        <f t="shared" si="3"/>
        <v/>
      </c>
      <c r="AS146" s="136" t="str">
        <f>IFERROR(__xludf.DUMMYFUNCTION("IF(AH146="""",,SUM(ARRAYFORMULA(IF(IFERROR(SEARCH(SPLIT(AH146,CHAR(10)),Circuits!$AO$2),0)&gt;0,0,1))))"),"")</f>
        <v/>
      </c>
      <c r="AT146" s="138" t="str">
        <f t="shared" si="4"/>
        <v/>
      </c>
      <c r="AU146" s="138" t="str">
        <f t="shared" si="5"/>
        <v/>
      </c>
      <c r="AV146" s="130" t="str">
        <f>IFERROR(__xludf.DUMMYFUNCTION("IF(AI146="""",,TEXTJOIN("", "",TRUE,ARRAYFORMULA(VLOOKUP(SPLIT(AI146,"";""&amp;CHAR(10)),AE:AT,16,FALSE))))"),"")</f>
        <v/>
      </c>
      <c r="AW146" s="130" t="str">
        <f>IFERROR(__xludf.DUMMYFUNCTION("IF(ISBLANK(BK146),,TEXTJOIN("", "",TRUE,ARRAYFORMULA(VLOOKUP(IFERROR(REGEXEXTRACT(SPLIT(BK146,"";""&amp;CHAR(10)),""\[(.+)\]"")),AE:AT,16,false))))"),"")</f>
        <v/>
      </c>
      <c r="AX146" s="139" t="str">
        <f t="shared" si="6"/>
        <v/>
      </c>
      <c r="AY146" s="139" t="str">
        <f t="shared" si="7"/>
        <v/>
      </c>
      <c r="AZ146" s="106" t="str">
        <f>IFERROR(__xludf.DUMMYFUNCTION("IF(ISBLANK(AD146), BC146, TEXTJOIN(CHAR(10) &amp; CHAR(10), TRUE, ARRAYFORMULA(VLOOKUP(SPLIT(AD146, "";"" &amp; CHAR(10)), $AC:$AY, 23, FALSE))))"),"")</f>
        <v/>
      </c>
      <c r="BA146" s="140" t="s">
        <v>66</v>
      </c>
      <c r="BB146" s="190"/>
      <c r="BC146" s="196"/>
      <c r="BD146" s="106" t="str">
        <f>IFERROR(__xludf.DUMMYFUNCTION("IF(IFERROR(SEARCH(""&lt;&lt;mechanism to realize the capability&gt;&gt;"",BA146),0)=0,
 ""!! Error !! “Capability&amp;Mechanism” column: Invalid Separator:"" &amp; CHAR(10) &amp; ""Insert separator “&lt;&lt;mechanism to realize the capability&gt;&gt;.”"",
 IF(
  LEN(TRIM(CLEAN(
    INDEX(
 "&amp;"     SPLIT(BA146,""&lt;&lt;mechanism to realize the capability&gt;&gt;"",FALSE,FALSE),
      1
    )
  )))=0,
  ""!! Error !! “Capability&amp;Mechanism” column: No Capability:""  &amp; CHAR(10) &amp; ""Describe Capability before separator."",
  INDEX(
    SPLIT(BA146,""&lt;&lt;mechani"&amp;"sm to realize the capability&gt;&gt;"",FALSE,FALSE),
    1
  )
 )
)
"),"!! Error !! “Capability&amp;Mechanism” column: No Capability:
Describe Capability before separator.")</f>
        <v>!! Error !! “Capability&amp;Mechanism” column: No Capability:
Describe Capability before separator.</v>
      </c>
      <c r="BE146" s="190"/>
      <c r="BF146" s="195"/>
      <c r="BG146" s="42"/>
      <c r="BH146" s="190"/>
      <c r="BI146" s="196"/>
      <c r="BJ146" s="42"/>
      <c r="BK146" s="42"/>
      <c r="BL146" s="203"/>
      <c r="BM146" s="203"/>
      <c r="BN146" s="42"/>
      <c r="BO146" s="42"/>
      <c r="BP146" s="143"/>
      <c r="BQ146" s="143"/>
      <c r="BR146" s="192"/>
      <c r="BS146" s="192"/>
      <c r="BT146" s="192"/>
      <c r="BU146" s="192"/>
      <c r="BV146" s="192"/>
      <c r="BW146" s="192"/>
      <c r="BX146" s="146" t="str">
        <f t="shared" si="8"/>
        <v/>
      </c>
    </row>
    <row r="147">
      <c r="A147" s="106" t="str">
        <f t="shared" si="1"/>
        <v/>
      </c>
      <c r="B147" s="183" t="str">
        <f t="array" ref="B147">IF(ISBLANK($AE147), "-",INDEX(Circuits!A:A,SUMPRODUCT(EXACT($AE147,Circuits!$A:$A)*ROW(Circuits!$A:$A))))</f>
        <v>-</v>
      </c>
      <c r="C147" s="183" t="str">
        <f t="array" ref="C147">IF(ISBLANK($AE147), "-",INDEX(Circuits!B:B,SUMPRODUCT(EXACT($AE147,Circuits!$A:$A)*ROW(Circuits!$A:$A))))</f>
        <v>-</v>
      </c>
      <c r="D147" s="183" t="str">
        <f t="array" ref="D147">IF(ISBLANK($AE147), "-",INDEX(Circuits!C:C,SUMPRODUCT(EXACT($AE147,Circuits!$A:$A)*ROW(Circuits!$A:$A))))</f>
        <v>-</v>
      </c>
      <c r="E147" s="183" t="str">
        <f t="array" ref="E147">IF(ISBLANK($AE147), "-",INDEX(Circuits!D:D,SUMPRODUCT(EXACT($AE147,Circuits!$A:$A)*ROW(Circuits!$A:$A))))</f>
        <v>-</v>
      </c>
      <c r="F147" s="183" t="str">
        <f t="array" ref="F147">IF(ISBLANK($AE147), "-",INDEX(Circuits!E:E,SUMPRODUCT(EXACT($AE147,Circuits!$A:$A)*ROW(Circuits!$A:$A))))</f>
        <v>-</v>
      </c>
      <c r="G147" s="183" t="str">
        <f t="array" ref="G147">IF(ISBLANK($AE147), "-",INDEX(Circuits!F:F,SUMPRODUCT(EXACT($AE147,Circuits!$A:$A)*ROW(Circuits!$A:$A))))</f>
        <v>-</v>
      </c>
      <c r="H147" s="183" t="str">
        <f t="array" ref="H147">IF(ISBLANK($AE147), "-",INDEX(Circuits!G:G,SUMPRODUCT(EXACT($AE147,Circuits!$A:$A)*ROW(Circuits!$A:$A))))</f>
        <v>-</v>
      </c>
      <c r="I147" s="183" t="str">
        <f t="array" ref="I147">IF(ISBLANK($AE147), "-",INDEX(Circuits!H:H,SUMPRODUCT(EXACT($AE147,Circuits!$A:$A)*ROW(Circuits!$A:$A))))</f>
        <v>-</v>
      </c>
      <c r="J147" s="183" t="str">
        <f t="array" ref="J147">IF(ISBLANK($AE147), "-",INDEX(Circuits!I:I,SUMPRODUCT(EXACT($AE147,Circuits!$A:$A)*ROW(Circuits!$A:$A))))</f>
        <v>-</v>
      </c>
      <c r="K147" s="183" t="str">
        <f t="array" ref="K147">IF(ISBLANK($AE147), "-",INDEX(Circuits!J:J,SUMPRODUCT(EXACT($AE147,Circuits!$A:$A)*ROW(Circuits!$A:$A))))</f>
        <v>-</v>
      </c>
      <c r="L147" s="183" t="str">
        <f t="array" ref="L147">IF(ISBLANK($AE147), "-",INDEX(Circuits!K:K,SUMPRODUCT(EXACT($AE147,Circuits!$A:$A)*ROW(Circuits!$A:$A))))</f>
        <v>-</v>
      </c>
      <c r="M147" s="183" t="str">
        <f t="array" ref="M147">IF(ISBLANK($AE147), "-",INDEX(Circuits!L:L,SUMPRODUCT(EXACT($AE147,Circuits!$A:$A)*ROW(Circuits!$A:$A))))</f>
        <v>-</v>
      </c>
      <c r="N147" s="183" t="str">
        <f t="array" ref="N147">IF(ISBLANK($AE147), "-",INDEX(Circuits!M:M,SUMPRODUCT(EXACT($AE147,Circuits!$A:$A)*ROW(Circuits!$A:$A))))</f>
        <v>-</v>
      </c>
      <c r="O147" s="183" t="str">
        <f t="array" ref="O147">IF(ISBLANK($AE147), "-",INDEX(Circuits!N:N,SUMPRODUCT(EXACT($AE147,Circuits!$A:$A)*ROW(Circuits!$A:$A))))</f>
        <v>-</v>
      </c>
      <c r="P147" s="183" t="str">
        <f t="array" ref="P147">IF(ISBLANK($AE147), "-",INDEX(Circuits!O:O,SUMPRODUCT(EXACT($AE147,Circuits!$A:$A)*ROW(Circuits!$A:$A))))</f>
        <v>-</v>
      </c>
      <c r="Q147" s="183" t="str">
        <f t="array" ref="Q147">IF(ISBLANK($AE147), "-",INDEX(Circuits!P:P,SUMPRODUCT(EXACT($AE147,Circuits!$A:$A)*ROW(Circuits!$A:$A))))</f>
        <v>-</v>
      </c>
      <c r="R147" s="183" t="str">
        <f t="array" ref="R147">IF(ISBLANK($AE147), "-",INDEX(Circuits!Q:Q,SUMPRODUCT(EXACT($AE147,Circuits!$A:$A)*ROW(Circuits!$A:$A))))</f>
        <v>-</v>
      </c>
      <c r="S147" s="183" t="str">
        <f t="array" ref="S147">IF(ISBLANK($AE147), "-",INDEX(Circuits!R:R,SUMPRODUCT(EXACT($AE147,Circuits!$A:$A)*ROW(Circuits!$A:$A))))</f>
        <v>-</v>
      </c>
      <c r="T147" s="183" t="str">
        <f t="array" ref="T147">IF(ISBLANK($AE147), "-",INDEX(Circuits!S:S,SUMPRODUCT(EXACT($AE147,Circuits!$A:$A)*ROW(Circuits!$A:$A))))</f>
        <v>-</v>
      </c>
      <c r="U147" s="183" t="str">
        <f t="array" ref="U147">IF(ISBLANK($AE147), "-",INDEX(Circuits!T:T,SUMPRODUCT(EXACT($AE147,Circuits!$A:$A)*ROW(Circuits!$A:$A))))</f>
        <v>-</v>
      </c>
      <c r="V147" s="183" t="str">
        <f t="array" ref="V147">IF(ISBLANK($AE147), "-",INDEX(Circuits!U:U,SUMPRODUCT(EXACT($AE147,Circuits!$A:$A)*ROW(Circuits!$A:$A))))</f>
        <v>-</v>
      </c>
      <c r="W147" s="183" t="str">
        <f t="array" ref="W147">IF(ISBLANK($AE147), "-",INDEX(Circuits!V:V,SUMPRODUCT(EXACT($AE147,Circuits!$A:$A)*ROW(Circuits!$A:$A))))</f>
        <v>-</v>
      </c>
      <c r="X147" s="183" t="str">
        <f t="array" ref="X147">IF(ISBLANK($AE147), "-",INDEX(Circuits!W:W,SUMPRODUCT(EXACT($AE147,Circuits!$A:$A)*ROW(Circuits!$A:$A))))</f>
        <v>-</v>
      </c>
      <c r="Y147" s="183" t="str">
        <f t="array" ref="Y147">IF(ISBLANK($AE147), "-",INDEX(Circuits!X:X,SUMPRODUCT(EXACT($AE147,Circuits!$A:$A)*ROW(Circuits!$A:$A))))</f>
        <v>-</v>
      </c>
      <c r="Z147" s="108" t="str">
        <f>IFERROR(__xludf.DUMMYFUNCTION("IFNA(CONCATENATE(UNIQUE(FILTER(Connections!R:R,Connections!A:A=B147))),""-"")"),"-")</f>
        <v>-</v>
      </c>
      <c r="AA147" s="119" t="str">
        <f t="array" ref="AA147">IF(ISBLANK($AE147), "-",INDEX(Circuits!Y:Y,SUMPRODUCT(EXACT($AE147,Circuits!$A:$A)*ROW(Circuits!$A:$A))))</f>
        <v>-</v>
      </c>
      <c r="AB147" s="121" t="str">
        <f t="array" ref="AB147">IF(ISBLANK($AE147), "-",INDEX(Circuits!Z:Z,SUMPRODUCT(EXACT($AE147,Circuits!$A:$A)*ROW(Circuits!$A:$A))))</f>
        <v>-</v>
      </c>
      <c r="AC147" s="194"/>
      <c r="AD147" s="194"/>
      <c r="AE147" s="40"/>
      <c r="AF147" s="43"/>
      <c r="AG147" s="126" t="str">
        <f>IFERROR(__xludf.DUMMYFUNCTION("IF(ISBLANK(AF147), """", TEXTJOIN(CHAR(10),TRUE,ARRAYFORMULA(IF(ISERROR(SEARCH(SPLIT(AF147, "";""), $Z147)), ""x"", ""-""))))"),"")</f>
        <v/>
      </c>
      <c r="AH147" s="127" t="str">
        <f>IFERROR(__xludf.DUMMYFUNCTION("IF(ISBLANK(AK147), """", TEXTJOIN("";"" &amp; CHAR(10), TRUE, UNIQUE(SPLIT(AK147, "";"" &amp; CHAR(10)), TRUE))&amp;"";"")"),"")</f>
        <v/>
      </c>
      <c r="AI147" s="128" t="str">
        <f>IFERROR(__xludf.DUMMYFUNCTION("IF(ISBLANK(AD147), IF(ISBLANK(AE147),,IFNA(TEXTJOIN("";"" &amp; CHAR(10), TRUE, FILTER(AE:AE, SEARCH(AE147&amp;"";"", AJ:AJ)))&amp;"";"", """")), TEXTJOIN("";"" &amp; CHAR(10), TRUE, UNIQUE(SPLIT(AH147 &amp; "";"" &amp; AH147 &amp; "";"" &amp; AL147, "";"" &amp; CHAR(10)), TRUE, TRUE))&amp;"";"&amp;""")"),"")</f>
        <v/>
      </c>
      <c r="AJ147" s="126" t="str">
        <f>IFERROR(__xludf.DUMMYFUNCTION("IF(AN147="""", """", TEXTJOIN("";"" &amp; CHAR(10), TRUE, UNIQUE(SPLIT(AH147 &amp; "";"" &amp; AH147 &amp; "";"" &amp; AN147, "";"" &amp; CHAR(10)), TRUE, TRUE))&amp;"";"")"),"")</f>
        <v/>
      </c>
      <c r="AK147" s="129" t="str">
        <f>IFERROR(__xludf.DUMMYFUNCTION("IF(ISBLANK(AD147), IF(ISBLANK(AE147),,AE147 &amp; "";""), TEXTJOIN(CHAR(10), TRUE, ARRAYFORMULA(VLOOKUP(SPLIT(AD147, "";"" &amp; CHAR(10)), $AC:$AH, 6, FALSE))))"),"")</f>
        <v/>
      </c>
      <c r="AL147" s="130" t="str">
        <f>IFERROR(__xludf.DUMMYFUNCTION("IF(AM147="""", """", TEXTJOIN("";"" &amp; CHAR(10), TRUE, UNIQUE(SPLIT(AM147, "";"" &amp; CHAR(10)), TRUE))&amp;"";"")"),"")</f>
        <v/>
      </c>
      <c r="AM147" s="130" t="str">
        <f>IFERROR(__xludf.DUMMYFUNCTION("IF(ISBLANK(AD147), """", TEXTJOIN(CHAR(10), TRUE, ARRAYFORMULA(VLOOKUP(SPLIT(AH147, "";"" &amp; CHAR(10)), $AE:$AI, 5, FALSE)), AF147))"),"")</f>
        <v/>
      </c>
      <c r="AN147" s="132" t="str">
        <f>IFERROR(__xludf.DUMMYFUNCTION("IF(ISBLANK(AO147), """", TEXTJOIN("";"" &amp; CHAR(10), TRUE, UNIQUE(SPLIT(AO147, "";"" &amp; CHAR(10)), TRUE))&amp;"";"")"),"")</f>
        <v/>
      </c>
      <c r="AO147" s="134" t="str">
        <f>IFERROR(__xludf.DUMMYFUNCTION("IF(ISBLANK(AD147), AF147, TEXTJOIN(CHAR(10), TRUE, ARRAYFORMULA(VLOOKUP(SPLIT(AD147, "";"" &amp; CHAR(10)), $AC:$AN, 12, FALSE))))"),"")</f>
        <v/>
      </c>
      <c r="AP147" s="130" t="str">
        <f>IF(ISBLANK(AE147),,IF(IFERROR(SEARCH(AE147&amp;";",Circuits!$AO$2),0),TRUE,FALSE))</f>
        <v/>
      </c>
      <c r="AQ147" s="130" t="str">
        <f t="shared" si="2"/>
        <v/>
      </c>
      <c r="AR147" s="130" t="str">
        <f t="shared" si="3"/>
        <v/>
      </c>
      <c r="AS147" s="136" t="str">
        <f>IFERROR(__xludf.DUMMYFUNCTION("IF(AH147="""",,SUM(ARRAYFORMULA(IF(IFERROR(SEARCH(SPLIT(AH147,CHAR(10)),Circuits!$AO$2),0)&gt;0,0,1))))"),"")</f>
        <v/>
      </c>
      <c r="AT147" s="138" t="str">
        <f t="shared" si="4"/>
        <v/>
      </c>
      <c r="AU147" s="138" t="str">
        <f t="shared" si="5"/>
        <v/>
      </c>
      <c r="AV147" s="130" t="str">
        <f>IFERROR(__xludf.DUMMYFUNCTION("IF(AI147="""",,TEXTJOIN("", "",TRUE,ARRAYFORMULA(VLOOKUP(SPLIT(AI147,"";""&amp;CHAR(10)),AE:AT,16,FALSE))))"),"")</f>
        <v/>
      </c>
      <c r="AW147" s="130" t="str">
        <f>IFERROR(__xludf.DUMMYFUNCTION("IF(ISBLANK(BK147),,TEXTJOIN("", "",TRUE,ARRAYFORMULA(VLOOKUP(IFERROR(REGEXEXTRACT(SPLIT(BK147,"";""&amp;CHAR(10)),""\[(.+)\]"")),AE:AT,16,false))))"),"")</f>
        <v/>
      </c>
      <c r="AX147" s="139" t="str">
        <f t="shared" si="6"/>
        <v/>
      </c>
      <c r="AY147" s="139" t="str">
        <f t="shared" si="7"/>
        <v/>
      </c>
      <c r="AZ147" s="106" t="str">
        <f>IFERROR(__xludf.DUMMYFUNCTION("IF(ISBLANK(AD147), BC147, TEXTJOIN(CHAR(10) &amp; CHAR(10), TRUE, ARRAYFORMULA(VLOOKUP(SPLIT(AD147, "";"" &amp; CHAR(10)), $AC:$AY, 23, FALSE))))"),"")</f>
        <v/>
      </c>
      <c r="BA147" s="140" t="s">
        <v>66</v>
      </c>
      <c r="BB147" s="190"/>
      <c r="BC147" s="196"/>
      <c r="BD147" s="106" t="str">
        <f>IFERROR(__xludf.DUMMYFUNCTION("IF(IFERROR(SEARCH(""&lt;&lt;mechanism to realize the capability&gt;&gt;"",BA147),0)=0,
 ""!! Error !! “Capability&amp;Mechanism” column: Invalid Separator:"" &amp; CHAR(10) &amp; ""Insert separator “&lt;&lt;mechanism to realize the capability&gt;&gt;.”"",
 IF(
  LEN(TRIM(CLEAN(
    INDEX(
 "&amp;"     SPLIT(BA147,""&lt;&lt;mechanism to realize the capability&gt;&gt;"",FALSE,FALSE),
      1
    )
  )))=0,
  ""!! Error !! “Capability&amp;Mechanism” column: No Capability:""  &amp; CHAR(10) &amp; ""Describe Capability before separator."",
  INDEX(
    SPLIT(BA147,""&lt;&lt;mechani"&amp;"sm to realize the capability&gt;&gt;"",FALSE,FALSE),
    1
  )
 )
)
"),"!! Error !! “Capability&amp;Mechanism” column: No Capability:
Describe Capability before separator.")</f>
        <v>!! Error !! “Capability&amp;Mechanism” column: No Capability:
Describe Capability before separator.</v>
      </c>
      <c r="BE147" s="190"/>
      <c r="BF147" s="195"/>
      <c r="BG147" s="42"/>
      <c r="BH147" s="190"/>
      <c r="BI147" s="196"/>
      <c r="BJ147" s="42"/>
      <c r="BK147" s="42"/>
      <c r="BL147" s="203"/>
      <c r="BM147" s="203"/>
      <c r="BN147" s="42"/>
      <c r="BO147" s="42"/>
      <c r="BP147" s="143"/>
      <c r="BQ147" s="143"/>
      <c r="BR147" s="192"/>
      <c r="BS147" s="192"/>
      <c r="BT147" s="192"/>
      <c r="BU147" s="192"/>
      <c r="BV147" s="192"/>
      <c r="BW147" s="192"/>
      <c r="BX147" s="146" t="str">
        <f t="shared" si="8"/>
        <v/>
      </c>
    </row>
    <row r="148">
      <c r="A148" s="106" t="str">
        <f t="shared" si="1"/>
        <v/>
      </c>
      <c r="B148" s="183" t="str">
        <f t="array" ref="B148">IF(ISBLANK($AE148), "-",INDEX(Circuits!A:A,SUMPRODUCT(EXACT($AE148,Circuits!$A:$A)*ROW(Circuits!$A:$A))))</f>
        <v>-</v>
      </c>
      <c r="C148" s="183" t="str">
        <f t="array" ref="C148">IF(ISBLANK($AE148), "-",INDEX(Circuits!B:B,SUMPRODUCT(EXACT($AE148,Circuits!$A:$A)*ROW(Circuits!$A:$A))))</f>
        <v>-</v>
      </c>
      <c r="D148" s="183" t="str">
        <f t="array" ref="D148">IF(ISBLANK($AE148), "-",INDEX(Circuits!C:C,SUMPRODUCT(EXACT($AE148,Circuits!$A:$A)*ROW(Circuits!$A:$A))))</f>
        <v>-</v>
      </c>
      <c r="E148" s="183" t="str">
        <f t="array" ref="E148">IF(ISBLANK($AE148), "-",INDEX(Circuits!D:D,SUMPRODUCT(EXACT($AE148,Circuits!$A:$A)*ROW(Circuits!$A:$A))))</f>
        <v>-</v>
      </c>
      <c r="F148" s="183" t="str">
        <f t="array" ref="F148">IF(ISBLANK($AE148), "-",INDEX(Circuits!E:E,SUMPRODUCT(EXACT($AE148,Circuits!$A:$A)*ROW(Circuits!$A:$A))))</f>
        <v>-</v>
      </c>
      <c r="G148" s="183" t="str">
        <f t="array" ref="G148">IF(ISBLANK($AE148), "-",INDEX(Circuits!F:F,SUMPRODUCT(EXACT($AE148,Circuits!$A:$A)*ROW(Circuits!$A:$A))))</f>
        <v>-</v>
      </c>
      <c r="H148" s="183" t="str">
        <f t="array" ref="H148">IF(ISBLANK($AE148), "-",INDEX(Circuits!G:G,SUMPRODUCT(EXACT($AE148,Circuits!$A:$A)*ROW(Circuits!$A:$A))))</f>
        <v>-</v>
      </c>
      <c r="I148" s="183" t="str">
        <f t="array" ref="I148">IF(ISBLANK($AE148), "-",INDEX(Circuits!H:H,SUMPRODUCT(EXACT($AE148,Circuits!$A:$A)*ROW(Circuits!$A:$A))))</f>
        <v>-</v>
      </c>
      <c r="J148" s="183" t="str">
        <f t="array" ref="J148">IF(ISBLANK($AE148), "-",INDEX(Circuits!I:I,SUMPRODUCT(EXACT($AE148,Circuits!$A:$A)*ROW(Circuits!$A:$A))))</f>
        <v>-</v>
      </c>
      <c r="K148" s="183" t="str">
        <f t="array" ref="K148">IF(ISBLANK($AE148), "-",INDEX(Circuits!J:J,SUMPRODUCT(EXACT($AE148,Circuits!$A:$A)*ROW(Circuits!$A:$A))))</f>
        <v>-</v>
      </c>
      <c r="L148" s="183" t="str">
        <f t="array" ref="L148">IF(ISBLANK($AE148), "-",INDEX(Circuits!K:K,SUMPRODUCT(EXACT($AE148,Circuits!$A:$A)*ROW(Circuits!$A:$A))))</f>
        <v>-</v>
      </c>
      <c r="M148" s="183" t="str">
        <f t="array" ref="M148">IF(ISBLANK($AE148), "-",INDEX(Circuits!L:L,SUMPRODUCT(EXACT($AE148,Circuits!$A:$A)*ROW(Circuits!$A:$A))))</f>
        <v>-</v>
      </c>
      <c r="N148" s="183" t="str">
        <f t="array" ref="N148">IF(ISBLANK($AE148), "-",INDEX(Circuits!M:M,SUMPRODUCT(EXACT($AE148,Circuits!$A:$A)*ROW(Circuits!$A:$A))))</f>
        <v>-</v>
      </c>
      <c r="O148" s="183" t="str">
        <f t="array" ref="O148">IF(ISBLANK($AE148), "-",INDEX(Circuits!N:N,SUMPRODUCT(EXACT($AE148,Circuits!$A:$A)*ROW(Circuits!$A:$A))))</f>
        <v>-</v>
      </c>
      <c r="P148" s="183" t="str">
        <f t="array" ref="P148">IF(ISBLANK($AE148), "-",INDEX(Circuits!O:O,SUMPRODUCT(EXACT($AE148,Circuits!$A:$A)*ROW(Circuits!$A:$A))))</f>
        <v>-</v>
      </c>
      <c r="Q148" s="183" t="str">
        <f t="array" ref="Q148">IF(ISBLANK($AE148), "-",INDEX(Circuits!P:P,SUMPRODUCT(EXACT($AE148,Circuits!$A:$A)*ROW(Circuits!$A:$A))))</f>
        <v>-</v>
      </c>
      <c r="R148" s="183" t="str">
        <f t="array" ref="R148">IF(ISBLANK($AE148), "-",INDEX(Circuits!Q:Q,SUMPRODUCT(EXACT($AE148,Circuits!$A:$A)*ROW(Circuits!$A:$A))))</f>
        <v>-</v>
      </c>
      <c r="S148" s="183" t="str">
        <f t="array" ref="S148">IF(ISBLANK($AE148), "-",INDEX(Circuits!R:R,SUMPRODUCT(EXACT($AE148,Circuits!$A:$A)*ROW(Circuits!$A:$A))))</f>
        <v>-</v>
      </c>
      <c r="T148" s="183" t="str">
        <f t="array" ref="T148">IF(ISBLANK($AE148), "-",INDEX(Circuits!S:S,SUMPRODUCT(EXACT($AE148,Circuits!$A:$A)*ROW(Circuits!$A:$A))))</f>
        <v>-</v>
      </c>
      <c r="U148" s="183" t="str">
        <f t="array" ref="U148">IF(ISBLANK($AE148), "-",INDEX(Circuits!T:T,SUMPRODUCT(EXACT($AE148,Circuits!$A:$A)*ROW(Circuits!$A:$A))))</f>
        <v>-</v>
      </c>
      <c r="V148" s="183" t="str">
        <f t="array" ref="V148">IF(ISBLANK($AE148), "-",INDEX(Circuits!U:U,SUMPRODUCT(EXACT($AE148,Circuits!$A:$A)*ROW(Circuits!$A:$A))))</f>
        <v>-</v>
      </c>
      <c r="W148" s="183" t="str">
        <f t="array" ref="W148">IF(ISBLANK($AE148), "-",INDEX(Circuits!V:V,SUMPRODUCT(EXACT($AE148,Circuits!$A:$A)*ROW(Circuits!$A:$A))))</f>
        <v>-</v>
      </c>
      <c r="X148" s="183" t="str">
        <f t="array" ref="X148">IF(ISBLANK($AE148), "-",INDEX(Circuits!W:W,SUMPRODUCT(EXACT($AE148,Circuits!$A:$A)*ROW(Circuits!$A:$A))))</f>
        <v>-</v>
      </c>
      <c r="Y148" s="183" t="str">
        <f t="array" ref="Y148">IF(ISBLANK($AE148), "-",INDEX(Circuits!X:X,SUMPRODUCT(EXACT($AE148,Circuits!$A:$A)*ROW(Circuits!$A:$A))))</f>
        <v>-</v>
      </c>
      <c r="Z148" s="108" t="str">
        <f>IFERROR(__xludf.DUMMYFUNCTION("IFNA(CONCATENATE(UNIQUE(FILTER(Connections!R:R,Connections!A:A=B148))),""-"")"),"-")</f>
        <v>-</v>
      </c>
      <c r="AA148" s="119" t="str">
        <f t="array" ref="AA148">IF(ISBLANK($AE148), "-",INDEX(Circuits!Y:Y,SUMPRODUCT(EXACT($AE148,Circuits!$A:$A)*ROW(Circuits!$A:$A))))</f>
        <v>-</v>
      </c>
      <c r="AB148" s="121" t="str">
        <f t="array" ref="AB148">IF(ISBLANK($AE148), "-",INDEX(Circuits!Z:Z,SUMPRODUCT(EXACT($AE148,Circuits!$A:$A)*ROW(Circuits!$A:$A))))</f>
        <v>-</v>
      </c>
      <c r="AC148" s="194"/>
      <c r="AD148" s="194"/>
      <c r="AE148" s="40"/>
      <c r="AF148" s="43"/>
      <c r="AG148" s="126" t="str">
        <f>IFERROR(__xludf.DUMMYFUNCTION("IF(ISBLANK(AF148), """", TEXTJOIN(CHAR(10),TRUE,ARRAYFORMULA(IF(ISERROR(SEARCH(SPLIT(AF148, "";""), $Z148)), ""x"", ""-""))))"),"")</f>
        <v/>
      </c>
      <c r="AH148" s="127" t="str">
        <f>IFERROR(__xludf.DUMMYFUNCTION("IF(ISBLANK(AK148), """", TEXTJOIN("";"" &amp; CHAR(10), TRUE, UNIQUE(SPLIT(AK148, "";"" &amp; CHAR(10)), TRUE))&amp;"";"")"),"")</f>
        <v/>
      </c>
      <c r="AI148" s="128" t="str">
        <f>IFERROR(__xludf.DUMMYFUNCTION("IF(ISBLANK(AD148), IF(ISBLANK(AE148),,IFNA(TEXTJOIN("";"" &amp; CHAR(10), TRUE, FILTER(AE:AE, SEARCH(AE148&amp;"";"", AJ:AJ)))&amp;"";"", """")), TEXTJOIN("";"" &amp; CHAR(10), TRUE, UNIQUE(SPLIT(AH148 &amp; "";"" &amp; AH148 &amp; "";"" &amp; AL148, "";"" &amp; CHAR(10)), TRUE, TRUE))&amp;"";"&amp;""")"),"")</f>
        <v/>
      </c>
      <c r="AJ148" s="126" t="str">
        <f>IFERROR(__xludf.DUMMYFUNCTION("IF(AN148="""", """", TEXTJOIN("";"" &amp; CHAR(10), TRUE, UNIQUE(SPLIT(AH148 &amp; "";"" &amp; AH148 &amp; "";"" &amp; AN148, "";"" &amp; CHAR(10)), TRUE, TRUE))&amp;"";"")"),"")</f>
        <v/>
      </c>
      <c r="AK148" s="129" t="str">
        <f>IFERROR(__xludf.DUMMYFUNCTION("IF(ISBLANK(AD148), IF(ISBLANK(AE148),,AE148 &amp; "";""), TEXTJOIN(CHAR(10), TRUE, ARRAYFORMULA(VLOOKUP(SPLIT(AD148, "";"" &amp; CHAR(10)), $AC:$AH, 6, FALSE))))"),"")</f>
        <v/>
      </c>
      <c r="AL148" s="130" t="str">
        <f>IFERROR(__xludf.DUMMYFUNCTION("IF(AM148="""", """", TEXTJOIN("";"" &amp; CHAR(10), TRUE, UNIQUE(SPLIT(AM148, "";"" &amp; CHAR(10)), TRUE))&amp;"";"")"),"")</f>
        <v/>
      </c>
      <c r="AM148" s="130" t="str">
        <f>IFERROR(__xludf.DUMMYFUNCTION("IF(ISBLANK(AD148), """", TEXTJOIN(CHAR(10), TRUE, ARRAYFORMULA(VLOOKUP(SPLIT(AH148, "";"" &amp; CHAR(10)), $AE:$AI, 5, FALSE)), AF148))"),"")</f>
        <v/>
      </c>
      <c r="AN148" s="132" t="str">
        <f>IFERROR(__xludf.DUMMYFUNCTION("IF(ISBLANK(AO148), """", TEXTJOIN("";"" &amp; CHAR(10), TRUE, UNIQUE(SPLIT(AO148, "";"" &amp; CHAR(10)), TRUE))&amp;"";"")"),"")</f>
        <v/>
      </c>
      <c r="AO148" s="134" t="str">
        <f>IFERROR(__xludf.DUMMYFUNCTION("IF(ISBLANK(AD148), AF148, TEXTJOIN(CHAR(10), TRUE, ARRAYFORMULA(VLOOKUP(SPLIT(AD148, "";"" &amp; CHAR(10)), $AC:$AN, 12, FALSE))))"),"")</f>
        <v/>
      </c>
      <c r="AP148" s="130" t="str">
        <f>IF(ISBLANK(AE148),,IF(IFERROR(SEARCH(AE148&amp;";",Circuits!$AO$2),0),TRUE,FALSE))</f>
        <v/>
      </c>
      <c r="AQ148" s="130" t="str">
        <f t="shared" si="2"/>
        <v/>
      </c>
      <c r="AR148" s="130" t="str">
        <f t="shared" si="3"/>
        <v/>
      </c>
      <c r="AS148" s="136" t="str">
        <f>IFERROR(__xludf.DUMMYFUNCTION("IF(AH148="""",,SUM(ARRAYFORMULA(IF(IFERROR(SEARCH(SPLIT(AH148,CHAR(10)),Circuits!$AO$2),0)&gt;0,0,1))))"),"")</f>
        <v/>
      </c>
      <c r="AT148" s="138" t="str">
        <f t="shared" si="4"/>
        <v/>
      </c>
      <c r="AU148" s="138" t="str">
        <f t="shared" si="5"/>
        <v/>
      </c>
      <c r="AV148" s="130" t="str">
        <f>IFERROR(__xludf.DUMMYFUNCTION("IF(AI148="""",,TEXTJOIN("", "",TRUE,ARRAYFORMULA(VLOOKUP(SPLIT(AI148,"";""&amp;CHAR(10)),AE:AT,16,FALSE))))"),"")</f>
        <v/>
      </c>
      <c r="AW148" s="130" t="str">
        <f>IFERROR(__xludf.DUMMYFUNCTION("IF(ISBLANK(BK148),,TEXTJOIN("", "",TRUE,ARRAYFORMULA(VLOOKUP(IFERROR(REGEXEXTRACT(SPLIT(BK148,"";""&amp;CHAR(10)),""\[(.+)\]"")),AE:AT,16,false))))"),"")</f>
        <v/>
      </c>
      <c r="AX148" s="139" t="str">
        <f t="shared" si="6"/>
        <v/>
      </c>
      <c r="AY148" s="139" t="str">
        <f t="shared" si="7"/>
        <v/>
      </c>
      <c r="AZ148" s="106" t="str">
        <f>IFERROR(__xludf.DUMMYFUNCTION("IF(ISBLANK(AD148), BC148, TEXTJOIN(CHAR(10) &amp; CHAR(10), TRUE, ARRAYFORMULA(VLOOKUP(SPLIT(AD148, "";"" &amp; CHAR(10)), $AC:$AY, 23, FALSE))))"),"")</f>
        <v/>
      </c>
      <c r="BA148" s="140" t="s">
        <v>66</v>
      </c>
      <c r="BB148" s="190"/>
      <c r="BC148" s="196"/>
      <c r="BD148" s="106" t="str">
        <f>IFERROR(__xludf.DUMMYFUNCTION("IF(IFERROR(SEARCH(""&lt;&lt;mechanism to realize the capability&gt;&gt;"",BA148),0)=0,
 ""!! Error !! “Capability&amp;Mechanism” column: Invalid Separator:"" &amp; CHAR(10) &amp; ""Insert separator “&lt;&lt;mechanism to realize the capability&gt;&gt;.”"",
 IF(
  LEN(TRIM(CLEAN(
    INDEX(
 "&amp;"     SPLIT(BA148,""&lt;&lt;mechanism to realize the capability&gt;&gt;"",FALSE,FALSE),
      1
    )
  )))=0,
  ""!! Error !! “Capability&amp;Mechanism” column: No Capability:""  &amp; CHAR(10) &amp; ""Describe Capability before separator."",
  INDEX(
    SPLIT(BA148,""&lt;&lt;mechani"&amp;"sm to realize the capability&gt;&gt;"",FALSE,FALSE),
    1
  )
 )
)
"),"!! Error !! “Capability&amp;Mechanism” column: No Capability:
Describe Capability before separator.")</f>
        <v>!! Error !! “Capability&amp;Mechanism” column: No Capability:
Describe Capability before separator.</v>
      </c>
      <c r="BE148" s="190"/>
      <c r="BF148" s="195"/>
      <c r="BG148" s="42"/>
      <c r="BH148" s="190"/>
      <c r="BI148" s="196"/>
      <c r="BJ148" s="42"/>
      <c r="BK148" s="42"/>
      <c r="BL148" s="203"/>
      <c r="BM148" s="203"/>
      <c r="BN148" s="42"/>
      <c r="BO148" s="42"/>
      <c r="BP148" s="143"/>
      <c r="BQ148" s="143"/>
      <c r="BR148" s="192"/>
      <c r="BS148" s="192"/>
      <c r="BT148" s="192"/>
      <c r="BU148" s="192"/>
      <c r="BV148" s="192"/>
      <c r="BW148" s="192"/>
      <c r="BX148" s="146" t="str">
        <f t="shared" si="8"/>
        <v/>
      </c>
    </row>
    <row r="149">
      <c r="A149" s="106" t="str">
        <f t="shared" si="1"/>
        <v/>
      </c>
      <c r="B149" s="183" t="str">
        <f t="array" ref="B149">IF(ISBLANK($AE149), "-",INDEX(Circuits!A:A,SUMPRODUCT(EXACT($AE149,Circuits!$A:$A)*ROW(Circuits!$A:$A))))</f>
        <v>-</v>
      </c>
      <c r="C149" s="183" t="str">
        <f t="array" ref="C149">IF(ISBLANK($AE149), "-",INDEX(Circuits!B:B,SUMPRODUCT(EXACT($AE149,Circuits!$A:$A)*ROW(Circuits!$A:$A))))</f>
        <v>-</v>
      </c>
      <c r="D149" s="183" t="str">
        <f t="array" ref="D149">IF(ISBLANK($AE149), "-",INDEX(Circuits!C:C,SUMPRODUCT(EXACT($AE149,Circuits!$A:$A)*ROW(Circuits!$A:$A))))</f>
        <v>-</v>
      </c>
      <c r="E149" s="183" t="str">
        <f t="array" ref="E149">IF(ISBLANK($AE149), "-",INDEX(Circuits!D:D,SUMPRODUCT(EXACT($AE149,Circuits!$A:$A)*ROW(Circuits!$A:$A))))</f>
        <v>-</v>
      </c>
      <c r="F149" s="183" t="str">
        <f t="array" ref="F149">IF(ISBLANK($AE149), "-",INDEX(Circuits!E:E,SUMPRODUCT(EXACT($AE149,Circuits!$A:$A)*ROW(Circuits!$A:$A))))</f>
        <v>-</v>
      </c>
      <c r="G149" s="183" t="str">
        <f t="array" ref="G149">IF(ISBLANK($AE149), "-",INDEX(Circuits!F:F,SUMPRODUCT(EXACT($AE149,Circuits!$A:$A)*ROW(Circuits!$A:$A))))</f>
        <v>-</v>
      </c>
      <c r="H149" s="183" t="str">
        <f t="array" ref="H149">IF(ISBLANK($AE149), "-",INDEX(Circuits!G:G,SUMPRODUCT(EXACT($AE149,Circuits!$A:$A)*ROW(Circuits!$A:$A))))</f>
        <v>-</v>
      </c>
      <c r="I149" s="183" t="str">
        <f t="array" ref="I149">IF(ISBLANK($AE149), "-",INDEX(Circuits!H:H,SUMPRODUCT(EXACT($AE149,Circuits!$A:$A)*ROW(Circuits!$A:$A))))</f>
        <v>-</v>
      </c>
      <c r="J149" s="183" t="str">
        <f t="array" ref="J149">IF(ISBLANK($AE149), "-",INDEX(Circuits!I:I,SUMPRODUCT(EXACT($AE149,Circuits!$A:$A)*ROW(Circuits!$A:$A))))</f>
        <v>-</v>
      </c>
      <c r="K149" s="183" t="str">
        <f t="array" ref="K149">IF(ISBLANK($AE149), "-",INDEX(Circuits!J:J,SUMPRODUCT(EXACT($AE149,Circuits!$A:$A)*ROW(Circuits!$A:$A))))</f>
        <v>-</v>
      </c>
      <c r="L149" s="183" t="str">
        <f t="array" ref="L149">IF(ISBLANK($AE149), "-",INDEX(Circuits!K:K,SUMPRODUCT(EXACT($AE149,Circuits!$A:$A)*ROW(Circuits!$A:$A))))</f>
        <v>-</v>
      </c>
      <c r="M149" s="183" t="str">
        <f t="array" ref="M149">IF(ISBLANK($AE149), "-",INDEX(Circuits!L:L,SUMPRODUCT(EXACT($AE149,Circuits!$A:$A)*ROW(Circuits!$A:$A))))</f>
        <v>-</v>
      </c>
      <c r="N149" s="183" t="str">
        <f t="array" ref="N149">IF(ISBLANK($AE149), "-",INDEX(Circuits!M:M,SUMPRODUCT(EXACT($AE149,Circuits!$A:$A)*ROW(Circuits!$A:$A))))</f>
        <v>-</v>
      </c>
      <c r="O149" s="183" t="str">
        <f t="array" ref="O149">IF(ISBLANK($AE149), "-",INDEX(Circuits!N:N,SUMPRODUCT(EXACT($AE149,Circuits!$A:$A)*ROW(Circuits!$A:$A))))</f>
        <v>-</v>
      </c>
      <c r="P149" s="183" t="str">
        <f t="array" ref="P149">IF(ISBLANK($AE149), "-",INDEX(Circuits!O:O,SUMPRODUCT(EXACT($AE149,Circuits!$A:$A)*ROW(Circuits!$A:$A))))</f>
        <v>-</v>
      </c>
      <c r="Q149" s="183" t="str">
        <f t="array" ref="Q149">IF(ISBLANK($AE149), "-",INDEX(Circuits!P:P,SUMPRODUCT(EXACT($AE149,Circuits!$A:$A)*ROW(Circuits!$A:$A))))</f>
        <v>-</v>
      </c>
      <c r="R149" s="183" t="str">
        <f t="array" ref="R149">IF(ISBLANK($AE149), "-",INDEX(Circuits!Q:Q,SUMPRODUCT(EXACT($AE149,Circuits!$A:$A)*ROW(Circuits!$A:$A))))</f>
        <v>-</v>
      </c>
      <c r="S149" s="183" t="str">
        <f t="array" ref="S149">IF(ISBLANK($AE149), "-",INDEX(Circuits!R:R,SUMPRODUCT(EXACT($AE149,Circuits!$A:$A)*ROW(Circuits!$A:$A))))</f>
        <v>-</v>
      </c>
      <c r="T149" s="183" t="str">
        <f t="array" ref="T149">IF(ISBLANK($AE149), "-",INDEX(Circuits!S:S,SUMPRODUCT(EXACT($AE149,Circuits!$A:$A)*ROW(Circuits!$A:$A))))</f>
        <v>-</v>
      </c>
      <c r="U149" s="183" t="str">
        <f t="array" ref="U149">IF(ISBLANK($AE149), "-",INDEX(Circuits!T:T,SUMPRODUCT(EXACT($AE149,Circuits!$A:$A)*ROW(Circuits!$A:$A))))</f>
        <v>-</v>
      </c>
      <c r="V149" s="183" t="str">
        <f t="array" ref="V149">IF(ISBLANK($AE149), "-",INDEX(Circuits!U:U,SUMPRODUCT(EXACT($AE149,Circuits!$A:$A)*ROW(Circuits!$A:$A))))</f>
        <v>-</v>
      </c>
      <c r="W149" s="183" t="str">
        <f t="array" ref="W149">IF(ISBLANK($AE149), "-",INDEX(Circuits!V:V,SUMPRODUCT(EXACT($AE149,Circuits!$A:$A)*ROW(Circuits!$A:$A))))</f>
        <v>-</v>
      </c>
      <c r="X149" s="183" t="str">
        <f t="array" ref="X149">IF(ISBLANK($AE149), "-",INDEX(Circuits!W:W,SUMPRODUCT(EXACT($AE149,Circuits!$A:$A)*ROW(Circuits!$A:$A))))</f>
        <v>-</v>
      </c>
      <c r="Y149" s="183" t="str">
        <f t="array" ref="Y149">IF(ISBLANK($AE149), "-",INDEX(Circuits!X:X,SUMPRODUCT(EXACT($AE149,Circuits!$A:$A)*ROW(Circuits!$A:$A))))</f>
        <v>-</v>
      </c>
      <c r="Z149" s="108" t="str">
        <f>IFERROR(__xludf.DUMMYFUNCTION("IFNA(CONCATENATE(UNIQUE(FILTER(Connections!R:R,Connections!A:A=B149))),""-"")"),"-")</f>
        <v>-</v>
      </c>
      <c r="AA149" s="119" t="str">
        <f t="array" ref="AA149">IF(ISBLANK($AE149), "-",INDEX(Circuits!Y:Y,SUMPRODUCT(EXACT($AE149,Circuits!$A:$A)*ROW(Circuits!$A:$A))))</f>
        <v>-</v>
      </c>
      <c r="AB149" s="121" t="str">
        <f t="array" ref="AB149">IF(ISBLANK($AE149), "-",INDEX(Circuits!Z:Z,SUMPRODUCT(EXACT($AE149,Circuits!$A:$A)*ROW(Circuits!$A:$A))))</f>
        <v>-</v>
      </c>
      <c r="AC149" s="194"/>
      <c r="AD149" s="194"/>
      <c r="AE149" s="40"/>
      <c r="AF149" s="43"/>
      <c r="AG149" s="126" t="str">
        <f>IFERROR(__xludf.DUMMYFUNCTION("IF(ISBLANK(AF149), """", TEXTJOIN(CHAR(10),TRUE,ARRAYFORMULA(IF(ISERROR(SEARCH(SPLIT(AF149, "";""), $Z149)), ""x"", ""-""))))"),"")</f>
        <v/>
      </c>
      <c r="AH149" s="127" t="str">
        <f>IFERROR(__xludf.DUMMYFUNCTION("IF(ISBLANK(AK149), """", TEXTJOIN("";"" &amp; CHAR(10), TRUE, UNIQUE(SPLIT(AK149, "";"" &amp; CHAR(10)), TRUE))&amp;"";"")"),"")</f>
        <v/>
      </c>
      <c r="AI149" s="128" t="str">
        <f>IFERROR(__xludf.DUMMYFUNCTION("IF(ISBLANK(AD149), IF(ISBLANK(AE149),,IFNA(TEXTJOIN("";"" &amp; CHAR(10), TRUE, FILTER(AE:AE, SEARCH(AE149&amp;"";"", AJ:AJ)))&amp;"";"", """")), TEXTJOIN("";"" &amp; CHAR(10), TRUE, UNIQUE(SPLIT(AH149 &amp; "";"" &amp; AH149 &amp; "";"" &amp; AL149, "";"" &amp; CHAR(10)), TRUE, TRUE))&amp;"";"&amp;""")"),"")</f>
        <v/>
      </c>
      <c r="AJ149" s="126" t="str">
        <f>IFERROR(__xludf.DUMMYFUNCTION("IF(AN149="""", """", TEXTJOIN("";"" &amp; CHAR(10), TRUE, UNIQUE(SPLIT(AH149 &amp; "";"" &amp; AH149 &amp; "";"" &amp; AN149, "";"" &amp; CHAR(10)), TRUE, TRUE))&amp;"";"")"),"")</f>
        <v/>
      </c>
      <c r="AK149" s="129" t="str">
        <f>IFERROR(__xludf.DUMMYFUNCTION("IF(ISBLANK(AD149), IF(ISBLANK(AE149),,AE149 &amp; "";""), TEXTJOIN(CHAR(10), TRUE, ARRAYFORMULA(VLOOKUP(SPLIT(AD149, "";"" &amp; CHAR(10)), $AC:$AH, 6, FALSE))))"),"")</f>
        <v/>
      </c>
      <c r="AL149" s="130" t="str">
        <f>IFERROR(__xludf.DUMMYFUNCTION("IF(AM149="""", """", TEXTJOIN("";"" &amp; CHAR(10), TRUE, UNIQUE(SPLIT(AM149, "";"" &amp; CHAR(10)), TRUE))&amp;"";"")"),"")</f>
        <v/>
      </c>
      <c r="AM149" s="130" t="str">
        <f>IFERROR(__xludf.DUMMYFUNCTION("IF(ISBLANK(AD149), """", TEXTJOIN(CHAR(10), TRUE, ARRAYFORMULA(VLOOKUP(SPLIT(AH149, "";"" &amp; CHAR(10)), $AE:$AI, 5, FALSE)), AF149))"),"")</f>
        <v/>
      </c>
      <c r="AN149" s="132" t="str">
        <f>IFERROR(__xludf.DUMMYFUNCTION("IF(ISBLANK(AO149), """", TEXTJOIN("";"" &amp; CHAR(10), TRUE, UNIQUE(SPLIT(AO149, "";"" &amp; CHAR(10)), TRUE))&amp;"";"")"),"")</f>
        <v/>
      </c>
      <c r="AO149" s="134" t="str">
        <f>IFERROR(__xludf.DUMMYFUNCTION("IF(ISBLANK(AD149), AF149, TEXTJOIN(CHAR(10), TRUE, ARRAYFORMULA(VLOOKUP(SPLIT(AD149, "";"" &amp; CHAR(10)), $AC:$AN, 12, FALSE))))"),"")</f>
        <v/>
      </c>
      <c r="AP149" s="130" t="str">
        <f>IF(ISBLANK(AE149),,IF(IFERROR(SEARCH(AE149&amp;";",Circuits!$AO$2),0),TRUE,FALSE))</f>
        <v/>
      </c>
      <c r="AQ149" s="130" t="str">
        <f t="shared" si="2"/>
        <v/>
      </c>
      <c r="AR149" s="130" t="str">
        <f t="shared" si="3"/>
        <v/>
      </c>
      <c r="AS149" s="136" t="str">
        <f>IFERROR(__xludf.DUMMYFUNCTION("IF(AH149="""",,SUM(ARRAYFORMULA(IF(IFERROR(SEARCH(SPLIT(AH149,CHAR(10)),Circuits!$AO$2),0)&gt;0,0,1))))"),"")</f>
        <v/>
      </c>
      <c r="AT149" s="138" t="str">
        <f t="shared" si="4"/>
        <v/>
      </c>
      <c r="AU149" s="138" t="str">
        <f t="shared" si="5"/>
        <v/>
      </c>
      <c r="AV149" s="130" t="str">
        <f>IFERROR(__xludf.DUMMYFUNCTION("IF(AI149="""",,TEXTJOIN("", "",TRUE,ARRAYFORMULA(VLOOKUP(SPLIT(AI149,"";""&amp;CHAR(10)),AE:AT,16,FALSE))))"),"")</f>
        <v/>
      </c>
      <c r="AW149" s="130" t="str">
        <f>IFERROR(__xludf.DUMMYFUNCTION("IF(ISBLANK(BK149),,TEXTJOIN("", "",TRUE,ARRAYFORMULA(VLOOKUP(IFERROR(REGEXEXTRACT(SPLIT(BK149,"";""&amp;CHAR(10)),""\[(.+)\]"")),AE:AT,16,false))))"),"")</f>
        <v/>
      </c>
      <c r="AX149" s="139" t="str">
        <f t="shared" si="6"/>
        <v/>
      </c>
      <c r="AY149" s="139" t="str">
        <f t="shared" si="7"/>
        <v/>
      </c>
      <c r="AZ149" s="106" t="str">
        <f>IFERROR(__xludf.DUMMYFUNCTION("IF(ISBLANK(AD149), BC149, TEXTJOIN(CHAR(10) &amp; CHAR(10), TRUE, ARRAYFORMULA(VLOOKUP(SPLIT(AD149, "";"" &amp; CHAR(10)), $AC:$AY, 23, FALSE))))"),"")</f>
        <v/>
      </c>
      <c r="BA149" s="140" t="s">
        <v>66</v>
      </c>
      <c r="BB149" s="190"/>
      <c r="BC149" s="196"/>
      <c r="BD149" s="106" t="str">
        <f>IFERROR(__xludf.DUMMYFUNCTION("IF(IFERROR(SEARCH(""&lt;&lt;mechanism to realize the capability&gt;&gt;"",BA149),0)=0,
 ""!! Error !! “Capability&amp;Mechanism” column: Invalid Separator:"" &amp; CHAR(10) &amp; ""Insert separator “&lt;&lt;mechanism to realize the capability&gt;&gt;.”"",
 IF(
  LEN(TRIM(CLEAN(
    INDEX(
 "&amp;"     SPLIT(BA149,""&lt;&lt;mechanism to realize the capability&gt;&gt;"",FALSE,FALSE),
      1
    )
  )))=0,
  ""!! Error !! “Capability&amp;Mechanism” column: No Capability:""  &amp; CHAR(10) &amp; ""Describe Capability before separator."",
  INDEX(
    SPLIT(BA149,""&lt;&lt;mechani"&amp;"sm to realize the capability&gt;&gt;"",FALSE,FALSE),
    1
  )
 )
)
"),"!! Error !! “Capability&amp;Mechanism” column: No Capability:
Describe Capability before separator.")</f>
        <v>!! Error !! “Capability&amp;Mechanism” column: No Capability:
Describe Capability before separator.</v>
      </c>
      <c r="BE149" s="190"/>
      <c r="BF149" s="195"/>
      <c r="BG149" s="42"/>
      <c r="BH149" s="190"/>
      <c r="BI149" s="196"/>
      <c r="BJ149" s="42"/>
      <c r="BK149" s="42"/>
      <c r="BL149" s="203"/>
      <c r="BM149" s="203"/>
      <c r="BN149" s="42"/>
      <c r="BO149" s="42"/>
      <c r="BP149" s="143"/>
      <c r="BQ149" s="143"/>
      <c r="BR149" s="192"/>
      <c r="BS149" s="192"/>
      <c r="BT149" s="192"/>
      <c r="BU149" s="192"/>
      <c r="BV149" s="192"/>
      <c r="BW149" s="192"/>
      <c r="BX149" s="146" t="str">
        <f t="shared" si="8"/>
        <v/>
      </c>
    </row>
    <row r="150">
      <c r="A150" s="106" t="str">
        <f t="shared" si="1"/>
        <v/>
      </c>
      <c r="B150" s="183" t="str">
        <f t="array" ref="B150">IF(ISBLANK($AE150), "-",INDEX(Circuits!A:A,SUMPRODUCT(EXACT($AE150,Circuits!$A:$A)*ROW(Circuits!$A:$A))))</f>
        <v>-</v>
      </c>
      <c r="C150" s="183" t="str">
        <f t="array" ref="C150">IF(ISBLANK($AE150), "-",INDEX(Circuits!B:B,SUMPRODUCT(EXACT($AE150,Circuits!$A:$A)*ROW(Circuits!$A:$A))))</f>
        <v>-</v>
      </c>
      <c r="D150" s="183" t="str">
        <f t="array" ref="D150">IF(ISBLANK($AE150), "-",INDEX(Circuits!C:C,SUMPRODUCT(EXACT($AE150,Circuits!$A:$A)*ROW(Circuits!$A:$A))))</f>
        <v>-</v>
      </c>
      <c r="E150" s="183" t="str">
        <f t="array" ref="E150">IF(ISBLANK($AE150), "-",INDEX(Circuits!D:D,SUMPRODUCT(EXACT($AE150,Circuits!$A:$A)*ROW(Circuits!$A:$A))))</f>
        <v>-</v>
      </c>
      <c r="F150" s="183" t="str">
        <f t="array" ref="F150">IF(ISBLANK($AE150), "-",INDEX(Circuits!E:E,SUMPRODUCT(EXACT($AE150,Circuits!$A:$A)*ROW(Circuits!$A:$A))))</f>
        <v>-</v>
      </c>
      <c r="G150" s="183" t="str">
        <f t="array" ref="G150">IF(ISBLANK($AE150), "-",INDEX(Circuits!F:F,SUMPRODUCT(EXACT($AE150,Circuits!$A:$A)*ROW(Circuits!$A:$A))))</f>
        <v>-</v>
      </c>
      <c r="H150" s="183" t="str">
        <f t="array" ref="H150">IF(ISBLANK($AE150), "-",INDEX(Circuits!G:G,SUMPRODUCT(EXACT($AE150,Circuits!$A:$A)*ROW(Circuits!$A:$A))))</f>
        <v>-</v>
      </c>
      <c r="I150" s="183" t="str">
        <f t="array" ref="I150">IF(ISBLANK($AE150), "-",INDEX(Circuits!H:H,SUMPRODUCT(EXACT($AE150,Circuits!$A:$A)*ROW(Circuits!$A:$A))))</f>
        <v>-</v>
      </c>
      <c r="J150" s="183" t="str">
        <f t="array" ref="J150">IF(ISBLANK($AE150), "-",INDEX(Circuits!I:I,SUMPRODUCT(EXACT($AE150,Circuits!$A:$A)*ROW(Circuits!$A:$A))))</f>
        <v>-</v>
      </c>
      <c r="K150" s="183" t="str">
        <f t="array" ref="K150">IF(ISBLANK($AE150), "-",INDEX(Circuits!J:J,SUMPRODUCT(EXACT($AE150,Circuits!$A:$A)*ROW(Circuits!$A:$A))))</f>
        <v>-</v>
      </c>
      <c r="L150" s="183" t="str">
        <f t="array" ref="L150">IF(ISBLANK($AE150), "-",INDEX(Circuits!K:K,SUMPRODUCT(EXACT($AE150,Circuits!$A:$A)*ROW(Circuits!$A:$A))))</f>
        <v>-</v>
      </c>
      <c r="M150" s="183" t="str">
        <f t="array" ref="M150">IF(ISBLANK($AE150), "-",INDEX(Circuits!L:L,SUMPRODUCT(EXACT($AE150,Circuits!$A:$A)*ROW(Circuits!$A:$A))))</f>
        <v>-</v>
      </c>
      <c r="N150" s="183" t="str">
        <f t="array" ref="N150">IF(ISBLANK($AE150), "-",INDEX(Circuits!M:M,SUMPRODUCT(EXACT($AE150,Circuits!$A:$A)*ROW(Circuits!$A:$A))))</f>
        <v>-</v>
      </c>
      <c r="O150" s="183" t="str">
        <f t="array" ref="O150">IF(ISBLANK($AE150), "-",INDEX(Circuits!N:N,SUMPRODUCT(EXACT($AE150,Circuits!$A:$A)*ROW(Circuits!$A:$A))))</f>
        <v>-</v>
      </c>
      <c r="P150" s="183" t="str">
        <f t="array" ref="P150">IF(ISBLANK($AE150), "-",INDEX(Circuits!O:O,SUMPRODUCT(EXACT($AE150,Circuits!$A:$A)*ROW(Circuits!$A:$A))))</f>
        <v>-</v>
      </c>
      <c r="Q150" s="183" t="str">
        <f t="array" ref="Q150">IF(ISBLANK($AE150), "-",INDEX(Circuits!P:P,SUMPRODUCT(EXACT($AE150,Circuits!$A:$A)*ROW(Circuits!$A:$A))))</f>
        <v>-</v>
      </c>
      <c r="R150" s="183" t="str">
        <f t="array" ref="R150">IF(ISBLANK($AE150), "-",INDEX(Circuits!Q:Q,SUMPRODUCT(EXACT($AE150,Circuits!$A:$A)*ROW(Circuits!$A:$A))))</f>
        <v>-</v>
      </c>
      <c r="S150" s="183" t="str">
        <f t="array" ref="S150">IF(ISBLANK($AE150), "-",INDEX(Circuits!R:R,SUMPRODUCT(EXACT($AE150,Circuits!$A:$A)*ROW(Circuits!$A:$A))))</f>
        <v>-</v>
      </c>
      <c r="T150" s="183" t="str">
        <f t="array" ref="T150">IF(ISBLANK($AE150), "-",INDEX(Circuits!S:S,SUMPRODUCT(EXACT($AE150,Circuits!$A:$A)*ROW(Circuits!$A:$A))))</f>
        <v>-</v>
      </c>
      <c r="U150" s="183" t="str">
        <f t="array" ref="U150">IF(ISBLANK($AE150), "-",INDEX(Circuits!T:T,SUMPRODUCT(EXACT($AE150,Circuits!$A:$A)*ROW(Circuits!$A:$A))))</f>
        <v>-</v>
      </c>
      <c r="V150" s="183" t="str">
        <f t="array" ref="V150">IF(ISBLANK($AE150), "-",INDEX(Circuits!U:U,SUMPRODUCT(EXACT($AE150,Circuits!$A:$A)*ROW(Circuits!$A:$A))))</f>
        <v>-</v>
      </c>
      <c r="W150" s="183" t="str">
        <f t="array" ref="W150">IF(ISBLANK($AE150), "-",INDEX(Circuits!V:V,SUMPRODUCT(EXACT($AE150,Circuits!$A:$A)*ROW(Circuits!$A:$A))))</f>
        <v>-</v>
      </c>
      <c r="X150" s="183" t="str">
        <f t="array" ref="X150">IF(ISBLANK($AE150), "-",INDEX(Circuits!W:W,SUMPRODUCT(EXACT($AE150,Circuits!$A:$A)*ROW(Circuits!$A:$A))))</f>
        <v>-</v>
      </c>
      <c r="Y150" s="183" t="str">
        <f t="array" ref="Y150">IF(ISBLANK($AE150), "-",INDEX(Circuits!X:X,SUMPRODUCT(EXACT($AE150,Circuits!$A:$A)*ROW(Circuits!$A:$A))))</f>
        <v>-</v>
      </c>
      <c r="Z150" s="108" t="str">
        <f>IFERROR(__xludf.DUMMYFUNCTION("IFNA(CONCATENATE(UNIQUE(FILTER(Connections!R:R,Connections!A:A=B150))),""-"")"),"-")</f>
        <v>-</v>
      </c>
      <c r="AA150" s="119" t="str">
        <f t="array" ref="AA150">IF(ISBLANK($AE150), "-",INDEX(Circuits!Y:Y,SUMPRODUCT(EXACT($AE150,Circuits!$A:$A)*ROW(Circuits!$A:$A))))</f>
        <v>-</v>
      </c>
      <c r="AB150" s="121" t="str">
        <f t="array" ref="AB150">IF(ISBLANK($AE150), "-",INDEX(Circuits!Z:Z,SUMPRODUCT(EXACT($AE150,Circuits!$A:$A)*ROW(Circuits!$A:$A))))</f>
        <v>-</v>
      </c>
      <c r="AC150" s="194"/>
      <c r="AD150" s="194"/>
      <c r="AE150" s="40"/>
      <c r="AF150" s="43"/>
      <c r="AG150" s="126" t="str">
        <f>IFERROR(__xludf.DUMMYFUNCTION("IF(ISBLANK(AF150), """", TEXTJOIN(CHAR(10),TRUE,ARRAYFORMULA(IF(ISERROR(SEARCH(SPLIT(AF150, "";""), $Z150)), ""x"", ""-""))))"),"")</f>
        <v/>
      </c>
      <c r="AH150" s="127" t="str">
        <f>IFERROR(__xludf.DUMMYFUNCTION("IF(ISBLANK(AK150), """", TEXTJOIN("";"" &amp; CHAR(10), TRUE, UNIQUE(SPLIT(AK150, "";"" &amp; CHAR(10)), TRUE))&amp;"";"")"),"")</f>
        <v/>
      </c>
      <c r="AI150" s="128" t="str">
        <f>IFERROR(__xludf.DUMMYFUNCTION("IF(ISBLANK(AD150), IF(ISBLANK(AE150),,IFNA(TEXTJOIN("";"" &amp; CHAR(10), TRUE, FILTER(AE:AE, SEARCH(AE150&amp;"";"", AJ:AJ)))&amp;"";"", """")), TEXTJOIN("";"" &amp; CHAR(10), TRUE, UNIQUE(SPLIT(AH150 &amp; "";"" &amp; AH150 &amp; "";"" &amp; AL150, "";"" &amp; CHAR(10)), TRUE, TRUE))&amp;"";"&amp;""")"),"")</f>
        <v/>
      </c>
      <c r="AJ150" s="126" t="str">
        <f>IFERROR(__xludf.DUMMYFUNCTION("IF(AN150="""", """", TEXTJOIN("";"" &amp; CHAR(10), TRUE, UNIQUE(SPLIT(AH150 &amp; "";"" &amp; AH150 &amp; "";"" &amp; AN150, "";"" &amp; CHAR(10)), TRUE, TRUE))&amp;"";"")"),"")</f>
        <v/>
      </c>
      <c r="AK150" s="129" t="str">
        <f>IFERROR(__xludf.DUMMYFUNCTION("IF(ISBLANK(AD150), IF(ISBLANK(AE150),,AE150 &amp; "";""), TEXTJOIN(CHAR(10), TRUE, ARRAYFORMULA(VLOOKUP(SPLIT(AD150, "";"" &amp; CHAR(10)), $AC:$AH, 6, FALSE))))"),"")</f>
        <v/>
      </c>
      <c r="AL150" s="130" t="str">
        <f>IFERROR(__xludf.DUMMYFUNCTION("IF(AM150="""", """", TEXTJOIN("";"" &amp; CHAR(10), TRUE, UNIQUE(SPLIT(AM150, "";"" &amp; CHAR(10)), TRUE))&amp;"";"")"),"")</f>
        <v/>
      </c>
      <c r="AM150" s="130" t="str">
        <f>IFERROR(__xludf.DUMMYFUNCTION("IF(ISBLANK(AD150), """", TEXTJOIN(CHAR(10), TRUE, ARRAYFORMULA(VLOOKUP(SPLIT(AH150, "";"" &amp; CHAR(10)), $AE:$AI, 5, FALSE)), AF150))"),"")</f>
        <v/>
      </c>
      <c r="AN150" s="132" t="str">
        <f>IFERROR(__xludf.DUMMYFUNCTION("IF(ISBLANK(AO150), """", TEXTJOIN("";"" &amp; CHAR(10), TRUE, UNIQUE(SPLIT(AO150, "";"" &amp; CHAR(10)), TRUE))&amp;"";"")"),"")</f>
        <v/>
      </c>
      <c r="AO150" s="134" t="str">
        <f>IFERROR(__xludf.DUMMYFUNCTION("IF(ISBLANK(AD150), AF150, TEXTJOIN(CHAR(10), TRUE, ARRAYFORMULA(VLOOKUP(SPLIT(AD150, "";"" &amp; CHAR(10)), $AC:$AN, 12, FALSE))))"),"")</f>
        <v/>
      </c>
      <c r="AP150" s="130" t="str">
        <f>IF(ISBLANK(AE150),,IF(IFERROR(SEARCH(AE150&amp;";",Circuits!$AO$2),0),TRUE,FALSE))</f>
        <v/>
      </c>
      <c r="AQ150" s="130" t="str">
        <f t="shared" si="2"/>
        <v/>
      </c>
      <c r="AR150" s="130" t="str">
        <f t="shared" si="3"/>
        <v/>
      </c>
      <c r="AS150" s="136" t="str">
        <f>IFERROR(__xludf.DUMMYFUNCTION("IF(AH150="""",,SUM(ARRAYFORMULA(IF(IFERROR(SEARCH(SPLIT(AH150,CHAR(10)),Circuits!$AO$2),0)&gt;0,0,1))))"),"")</f>
        <v/>
      </c>
      <c r="AT150" s="138" t="str">
        <f t="shared" si="4"/>
        <v/>
      </c>
      <c r="AU150" s="138" t="str">
        <f t="shared" si="5"/>
        <v/>
      </c>
      <c r="AV150" s="130" t="str">
        <f>IFERROR(__xludf.DUMMYFUNCTION("IF(AI150="""",,TEXTJOIN("", "",TRUE,ARRAYFORMULA(VLOOKUP(SPLIT(AI150,"";""&amp;CHAR(10)),AE:AT,16,FALSE))))"),"")</f>
        <v/>
      </c>
      <c r="AW150" s="130" t="str">
        <f>IFERROR(__xludf.DUMMYFUNCTION("IF(ISBLANK(BK150),,TEXTJOIN("", "",TRUE,ARRAYFORMULA(VLOOKUP(IFERROR(REGEXEXTRACT(SPLIT(BK150,"";""&amp;CHAR(10)),""\[(.+)\]"")),AE:AT,16,false))))"),"")</f>
        <v/>
      </c>
      <c r="AX150" s="139" t="str">
        <f t="shared" si="6"/>
        <v/>
      </c>
      <c r="AY150" s="139" t="str">
        <f t="shared" si="7"/>
        <v/>
      </c>
      <c r="AZ150" s="106" t="str">
        <f>IFERROR(__xludf.DUMMYFUNCTION("IF(ISBLANK(AD150), BC150, TEXTJOIN(CHAR(10) &amp; CHAR(10), TRUE, ARRAYFORMULA(VLOOKUP(SPLIT(AD150, "";"" &amp; CHAR(10)), $AC:$AY, 23, FALSE))))"),"")</f>
        <v/>
      </c>
      <c r="BA150" s="140" t="s">
        <v>66</v>
      </c>
      <c r="BB150" s="190"/>
      <c r="BC150" s="196"/>
      <c r="BD150" s="106" t="str">
        <f>IFERROR(__xludf.DUMMYFUNCTION("IF(IFERROR(SEARCH(""&lt;&lt;mechanism to realize the capability&gt;&gt;"",BA150),0)=0,
 ""!! Error !! “Capability&amp;Mechanism” column: Invalid Separator:"" &amp; CHAR(10) &amp; ""Insert separator “&lt;&lt;mechanism to realize the capability&gt;&gt;.”"",
 IF(
  LEN(TRIM(CLEAN(
    INDEX(
 "&amp;"     SPLIT(BA150,""&lt;&lt;mechanism to realize the capability&gt;&gt;"",FALSE,FALSE),
      1
    )
  )))=0,
  ""!! Error !! “Capability&amp;Mechanism” column: No Capability:""  &amp; CHAR(10) &amp; ""Describe Capability before separator."",
  INDEX(
    SPLIT(BA150,""&lt;&lt;mechani"&amp;"sm to realize the capability&gt;&gt;"",FALSE,FALSE),
    1
  )
 )
)
"),"!! Error !! “Capability&amp;Mechanism” column: No Capability:
Describe Capability before separator.")</f>
        <v>!! Error !! “Capability&amp;Mechanism” column: No Capability:
Describe Capability before separator.</v>
      </c>
      <c r="BE150" s="190"/>
      <c r="BF150" s="195"/>
      <c r="BG150" s="42"/>
      <c r="BH150" s="190"/>
      <c r="BI150" s="196"/>
      <c r="BJ150" s="42"/>
      <c r="BK150" s="42"/>
      <c r="BL150" s="203"/>
      <c r="BM150" s="203"/>
      <c r="BN150" s="42"/>
      <c r="BO150" s="42"/>
      <c r="BP150" s="143"/>
      <c r="BQ150" s="143"/>
      <c r="BR150" s="192"/>
      <c r="BS150" s="192"/>
      <c r="BT150" s="192"/>
      <c r="BU150" s="192"/>
      <c r="BV150" s="192"/>
      <c r="BW150" s="192"/>
      <c r="BX150" s="146" t="str">
        <f t="shared" si="8"/>
        <v/>
      </c>
    </row>
    <row r="151">
      <c r="A151" s="106" t="str">
        <f t="shared" si="1"/>
        <v/>
      </c>
      <c r="B151" s="183" t="str">
        <f t="array" ref="B151">IF(ISBLANK($AE151), "-",INDEX(Circuits!A:A,SUMPRODUCT(EXACT($AE151,Circuits!$A:$A)*ROW(Circuits!$A:$A))))</f>
        <v>-</v>
      </c>
      <c r="C151" s="183" t="str">
        <f t="array" ref="C151">IF(ISBLANK($AE151), "-",INDEX(Circuits!B:B,SUMPRODUCT(EXACT($AE151,Circuits!$A:$A)*ROW(Circuits!$A:$A))))</f>
        <v>-</v>
      </c>
      <c r="D151" s="183" t="str">
        <f t="array" ref="D151">IF(ISBLANK($AE151), "-",INDEX(Circuits!C:C,SUMPRODUCT(EXACT($AE151,Circuits!$A:$A)*ROW(Circuits!$A:$A))))</f>
        <v>-</v>
      </c>
      <c r="E151" s="183" t="str">
        <f t="array" ref="E151">IF(ISBLANK($AE151), "-",INDEX(Circuits!D:D,SUMPRODUCT(EXACT($AE151,Circuits!$A:$A)*ROW(Circuits!$A:$A))))</f>
        <v>-</v>
      </c>
      <c r="F151" s="183" t="str">
        <f t="array" ref="F151">IF(ISBLANK($AE151), "-",INDEX(Circuits!E:E,SUMPRODUCT(EXACT($AE151,Circuits!$A:$A)*ROW(Circuits!$A:$A))))</f>
        <v>-</v>
      </c>
      <c r="G151" s="183" t="str">
        <f t="array" ref="G151">IF(ISBLANK($AE151), "-",INDEX(Circuits!F:F,SUMPRODUCT(EXACT($AE151,Circuits!$A:$A)*ROW(Circuits!$A:$A))))</f>
        <v>-</v>
      </c>
      <c r="H151" s="183" t="str">
        <f t="array" ref="H151">IF(ISBLANK($AE151), "-",INDEX(Circuits!G:G,SUMPRODUCT(EXACT($AE151,Circuits!$A:$A)*ROW(Circuits!$A:$A))))</f>
        <v>-</v>
      </c>
      <c r="I151" s="183" t="str">
        <f t="array" ref="I151">IF(ISBLANK($AE151), "-",INDEX(Circuits!H:H,SUMPRODUCT(EXACT($AE151,Circuits!$A:$A)*ROW(Circuits!$A:$A))))</f>
        <v>-</v>
      </c>
      <c r="J151" s="183" t="str">
        <f t="array" ref="J151">IF(ISBLANK($AE151), "-",INDEX(Circuits!I:I,SUMPRODUCT(EXACT($AE151,Circuits!$A:$A)*ROW(Circuits!$A:$A))))</f>
        <v>-</v>
      </c>
      <c r="K151" s="183" t="str">
        <f t="array" ref="K151">IF(ISBLANK($AE151), "-",INDEX(Circuits!J:J,SUMPRODUCT(EXACT($AE151,Circuits!$A:$A)*ROW(Circuits!$A:$A))))</f>
        <v>-</v>
      </c>
      <c r="L151" s="183" t="str">
        <f t="array" ref="L151">IF(ISBLANK($AE151), "-",INDEX(Circuits!K:K,SUMPRODUCT(EXACT($AE151,Circuits!$A:$A)*ROW(Circuits!$A:$A))))</f>
        <v>-</v>
      </c>
      <c r="M151" s="183" t="str">
        <f t="array" ref="M151">IF(ISBLANK($AE151), "-",INDEX(Circuits!L:L,SUMPRODUCT(EXACT($AE151,Circuits!$A:$A)*ROW(Circuits!$A:$A))))</f>
        <v>-</v>
      </c>
      <c r="N151" s="183" t="str">
        <f t="array" ref="N151">IF(ISBLANK($AE151), "-",INDEX(Circuits!M:M,SUMPRODUCT(EXACT($AE151,Circuits!$A:$A)*ROW(Circuits!$A:$A))))</f>
        <v>-</v>
      </c>
      <c r="O151" s="183" t="str">
        <f t="array" ref="O151">IF(ISBLANK($AE151), "-",INDEX(Circuits!N:N,SUMPRODUCT(EXACT($AE151,Circuits!$A:$A)*ROW(Circuits!$A:$A))))</f>
        <v>-</v>
      </c>
      <c r="P151" s="183" t="str">
        <f t="array" ref="P151">IF(ISBLANK($AE151), "-",INDEX(Circuits!O:O,SUMPRODUCT(EXACT($AE151,Circuits!$A:$A)*ROW(Circuits!$A:$A))))</f>
        <v>-</v>
      </c>
      <c r="Q151" s="183" t="str">
        <f t="array" ref="Q151">IF(ISBLANK($AE151), "-",INDEX(Circuits!P:P,SUMPRODUCT(EXACT($AE151,Circuits!$A:$A)*ROW(Circuits!$A:$A))))</f>
        <v>-</v>
      </c>
      <c r="R151" s="183" t="str">
        <f t="array" ref="R151">IF(ISBLANK($AE151), "-",INDEX(Circuits!Q:Q,SUMPRODUCT(EXACT($AE151,Circuits!$A:$A)*ROW(Circuits!$A:$A))))</f>
        <v>-</v>
      </c>
      <c r="S151" s="183" t="str">
        <f t="array" ref="S151">IF(ISBLANK($AE151), "-",INDEX(Circuits!R:R,SUMPRODUCT(EXACT($AE151,Circuits!$A:$A)*ROW(Circuits!$A:$A))))</f>
        <v>-</v>
      </c>
      <c r="T151" s="183" t="str">
        <f t="array" ref="T151">IF(ISBLANK($AE151), "-",INDEX(Circuits!S:S,SUMPRODUCT(EXACT($AE151,Circuits!$A:$A)*ROW(Circuits!$A:$A))))</f>
        <v>-</v>
      </c>
      <c r="U151" s="183" t="str">
        <f t="array" ref="U151">IF(ISBLANK($AE151), "-",INDEX(Circuits!T:T,SUMPRODUCT(EXACT($AE151,Circuits!$A:$A)*ROW(Circuits!$A:$A))))</f>
        <v>-</v>
      </c>
      <c r="V151" s="183" t="str">
        <f t="array" ref="V151">IF(ISBLANK($AE151), "-",INDEX(Circuits!U:U,SUMPRODUCT(EXACT($AE151,Circuits!$A:$A)*ROW(Circuits!$A:$A))))</f>
        <v>-</v>
      </c>
      <c r="W151" s="183" t="str">
        <f t="array" ref="W151">IF(ISBLANK($AE151), "-",INDEX(Circuits!V:V,SUMPRODUCT(EXACT($AE151,Circuits!$A:$A)*ROW(Circuits!$A:$A))))</f>
        <v>-</v>
      </c>
      <c r="X151" s="183" t="str">
        <f t="array" ref="X151">IF(ISBLANK($AE151), "-",INDEX(Circuits!W:W,SUMPRODUCT(EXACT($AE151,Circuits!$A:$A)*ROW(Circuits!$A:$A))))</f>
        <v>-</v>
      </c>
      <c r="Y151" s="183" t="str">
        <f t="array" ref="Y151">IF(ISBLANK($AE151), "-",INDEX(Circuits!X:X,SUMPRODUCT(EXACT($AE151,Circuits!$A:$A)*ROW(Circuits!$A:$A))))</f>
        <v>-</v>
      </c>
      <c r="Z151" s="108" t="str">
        <f>IFERROR(__xludf.DUMMYFUNCTION("IFNA(CONCATENATE(UNIQUE(FILTER(Connections!R:R,Connections!A:A=B151))),""-"")"),"-")</f>
        <v>-</v>
      </c>
      <c r="AA151" s="119" t="str">
        <f t="array" ref="AA151">IF(ISBLANK($AE151), "-",INDEX(Circuits!Y:Y,SUMPRODUCT(EXACT($AE151,Circuits!$A:$A)*ROW(Circuits!$A:$A))))</f>
        <v>-</v>
      </c>
      <c r="AB151" s="121" t="str">
        <f t="array" ref="AB151">IF(ISBLANK($AE151), "-",INDEX(Circuits!Z:Z,SUMPRODUCT(EXACT($AE151,Circuits!$A:$A)*ROW(Circuits!$A:$A))))</f>
        <v>-</v>
      </c>
      <c r="AC151" s="194"/>
      <c r="AD151" s="194"/>
      <c r="AE151" s="40"/>
      <c r="AF151" s="43"/>
      <c r="AG151" s="126" t="str">
        <f>IFERROR(__xludf.DUMMYFUNCTION("IF(ISBLANK(AF151), """", TEXTJOIN(CHAR(10),TRUE,ARRAYFORMULA(IF(ISERROR(SEARCH(SPLIT(AF151, "";""), $Z151)), ""x"", ""-""))))"),"")</f>
        <v/>
      </c>
      <c r="AH151" s="127" t="str">
        <f>IFERROR(__xludf.DUMMYFUNCTION("IF(ISBLANK(AK151), """", TEXTJOIN("";"" &amp; CHAR(10), TRUE, UNIQUE(SPLIT(AK151, "";"" &amp; CHAR(10)), TRUE))&amp;"";"")"),"")</f>
        <v/>
      </c>
      <c r="AI151" s="128" t="str">
        <f>IFERROR(__xludf.DUMMYFUNCTION("IF(ISBLANK(AD151), IF(ISBLANK(AE151),,IFNA(TEXTJOIN("";"" &amp; CHAR(10), TRUE, FILTER(AE:AE, SEARCH(AE151&amp;"";"", AJ:AJ)))&amp;"";"", """")), TEXTJOIN("";"" &amp; CHAR(10), TRUE, UNIQUE(SPLIT(AH151 &amp; "";"" &amp; AH151 &amp; "";"" &amp; AL151, "";"" &amp; CHAR(10)), TRUE, TRUE))&amp;"";"&amp;""")"),"")</f>
        <v/>
      </c>
      <c r="AJ151" s="126" t="str">
        <f>IFERROR(__xludf.DUMMYFUNCTION("IF(AN151="""", """", TEXTJOIN("";"" &amp; CHAR(10), TRUE, UNIQUE(SPLIT(AH151 &amp; "";"" &amp; AH151 &amp; "";"" &amp; AN151, "";"" &amp; CHAR(10)), TRUE, TRUE))&amp;"";"")"),"")</f>
        <v/>
      </c>
      <c r="AK151" s="129" t="str">
        <f>IFERROR(__xludf.DUMMYFUNCTION("IF(ISBLANK(AD151), IF(ISBLANK(AE151),,AE151 &amp; "";""), TEXTJOIN(CHAR(10), TRUE, ARRAYFORMULA(VLOOKUP(SPLIT(AD151, "";"" &amp; CHAR(10)), $AC:$AH, 6, FALSE))))"),"")</f>
        <v/>
      </c>
      <c r="AL151" s="130" t="str">
        <f>IFERROR(__xludf.DUMMYFUNCTION("IF(AM151="""", """", TEXTJOIN("";"" &amp; CHAR(10), TRUE, UNIQUE(SPLIT(AM151, "";"" &amp; CHAR(10)), TRUE))&amp;"";"")"),"")</f>
        <v/>
      </c>
      <c r="AM151" s="130" t="str">
        <f>IFERROR(__xludf.DUMMYFUNCTION("IF(ISBLANK(AD151), """", TEXTJOIN(CHAR(10), TRUE, ARRAYFORMULA(VLOOKUP(SPLIT(AH151, "";"" &amp; CHAR(10)), $AE:$AI, 5, FALSE)), AF151))"),"")</f>
        <v/>
      </c>
      <c r="AN151" s="132" t="str">
        <f>IFERROR(__xludf.DUMMYFUNCTION("IF(ISBLANK(AO151), """", TEXTJOIN("";"" &amp; CHAR(10), TRUE, UNIQUE(SPLIT(AO151, "";"" &amp; CHAR(10)), TRUE))&amp;"";"")"),"")</f>
        <v/>
      </c>
      <c r="AO151" s="134" t="str">
        <f>IFERROR(__xludf.DUMMYFUNCTION("IF(ISBLANK(AD151), AF151, TEXTJOIN(CHAR(10), TRUE, ARRAYFORMULA(VLOOKUP(SPLIT(AD151, "";"" &amp; CHAR(10)), $AC:$AN, 12, FALSE))))"),"")</f>
        <v/>
      </c>
      <c r="AP151" s="130" t="str">
        <f>IF(ISBLANK(AE151),,IF(IFERROR(SEARCH(AE151&amp;";",Circuits!$AO$2),0),TRUE,FALSE))</f>
        <v/>
      </c>
      <c r="AQ151" s="130" t="str">
        <f t="shared" si="2"/>
        <v/>
      </c>
      <c r="AR151" s="130" t="str">
        <f t="shared" si="3"/>
        <v/>
      </c>
      <c r="AS151" s="136" t="str">
        <f>IFERROR(__xludf.DUMMYFUNCTION("IF(AH151="""",,SUM(ARRAYFORMULA(IF(IFERROR(SEARCH(SPLIT(AH151,CHAR(10)),Circuits!$AO$2),0)&gt;0,0,1))))"),"")</f>
        <v/>
      </c>
      <c r="AT151" s="138" t="str">
        <f t="shared" si="4"/>
        <v/>
      </c>
      <c r="AU151" s="138" t="str">
        <f t="shared" si="5"/>
        <v/>
      </c>
      <c r="AV151" s="130" t="str">
        <f>IFERROR(__xludf.DUMMYFUNCTION("IF(AI151="""",,TEXTJOIN("", "",TRUE,ARRAYFORMULA(VLOOKUP(SPLIT(AI151,"";""&amp;CHAR(10)),AE:AT,16,FALSE))))"),"")</f>
        <v/>
      </c>
      <c r="AW151" s="130" t="str">
        <f>IFERROR(__xludf.DUMMYFUNCTION("IF(ISBLANK(BK151),,TEXTJOIN("", "",TRUE,ARRAYFORMULA(VLOOKUP(IFERROR(REGEXEXTRACT(SPLIT(BK151,"";""&amp;CHAR(10)),""\[(.+)\]"")),AE:AT,16,false))))"),"")</f>
        <v/>
      </c>
      <c r="AX151" s="139" t="str">
        <f t="shared" si="6"/>
        <v/>
      </c>
      <c r="AY151" s="139" t="str">
        <f t="shared" si="7"/>
        <v/>
      </c>
      <c r="AZ151" s="106" t="str">
        <f>IFERROR(__xludf.DUMMYFUNCTION("IF(ISBLANK(AD151), BC151, TEXTJOIN(CHAR(10) &amp; CHAR(10), TRUE, ARRAYFORMULA(VLOOKUP(SPLIT(AD151, "";"" &amp; CHAR(10)), $AC:$AY, 23, FALSE))))"),"")</f>
        <v/>
      </c>
      <c r="BA151" s="140" t="s">
        <v>66</v>
      </c>
      <c r="BB151" s="190"/>
      <c r="BC151" s="196"/>
      <c r="BD151" s="106" t="str">
        <f>IFERROR(__xludf.DUMMYFUNCTION("IF(IFERROR(SEARCH(""&lt;&lt;mechanism to realize the capability&gt;&gt;"",BA151),0)=0,
 ""!! Error !! “Capability&amp;Mechanism” column: Invalid Separator:"" &amp; CHAR(10) &amp; ""Insert separator “&lt;&lt;mechanism to realize the capability&gt;&gt;.”"",
 IF(
  LEN(TRIM(CLEAN(
    INDEX(
 "&amp;"     SPLIT(BA151,""&lt;&lt;mechanism to realize the capability&gt;&gt;"",FALSE,FALSE),
      1
    )
  )))=0,
  ""!! Error !! “Capability&amp;Mechanism” column: No Capability:""  &amp; CHAR(10) &amp; ""Describe Capability before separator."",
  INDEX(
    SPLIT(BA151,""&lt;&lt;mechani"&amp;"sm to realize the capability&gt;&gt;"",FALSE,FALSE),
    1
  )
 )
)
"),"!! Error !! “Capability&amp;Mechanism” column: No Capability:
Describe Capability before separator.")</f>
        <v>!! Error !! “Capability&amp;Mechanism” column: No Capability:
Describe Capability before separator.</v>
      </c>
      <c r="BE151" s="190"/>
      <c r="BF151" s="195"/>
      <c r="BG151" s="42"/>
      <c r="BH151" s="190"/>
      <c r="BI151" s="196"/>
      <c r="BJ151" s="42"/>
      <c r="BK151" s="42"/>
      <c r="BL151" s="203"/>
      <c r="BM151" s="203"/>
      <c r="BN151" s="42"/>
      <c r="BO151" s="42"/>
      <c r="BP151" s="143"/>
      <c r="BQ151" s="143"/>
      <c r="BR151" s="192"/>
      <c r="BS151" s="192"/>
      <c r="BT151" s="192"/>
      <c r="BU151" s="192"/>
      <c r="BV151" s="192"/>
      <c r="BW151" s="192"/>
      <c r="BX151" s="146" t="str">
        <f t="shared" si="8"/>
        <v/>
      </c>
    </row>
    <row r="152">
      <c r="A152" s="106" t="str">
        <f t="shared" si="1"/>
        <v/>
      </c>
      <c r="B152" s="183" t="str">
        <f t="array" ref="B152">IF(ISBLANK($AE152), "-",INDEX(Circuits!A:A,SUMPRODUCT(EXACT($AE152,Circuits!$A:$A)*ROW(Circuits!$A:$A))))</f>
        <v>-</v>
      </c>
      <c r="C152" s="183" t="str">
        <f t="array" ref="C152">IF(ISBLANK($AE152), "-",INDEX(Circuits!B:B,SUMPRODUCT(EXACT($AE152,Circuits!$A:$A)*ROW(Circuits!$A:$A))))</f>
        <v>-</v>
      </c>
      <c r="D152" s="183" t="str">
        <f t="array" ref="D152">IF(ISBLANK($AE152), "-",INDEX(Circuits!C:C,SUMPRODUCT(EXACT($AE152,Circuits!$A:$A)*ROW(Circuits!$A:$A))))</f>
        <v>-</v>
      </c>
      <c r="E152" s="183" t="str">
        <f t="array" ref="E152">IF(ISBLANK($AE152), "-",INDEX(Circuits!D:D,SUMPRODUCT(EXACT($AE152,Circuits!$A:$A)*ROW(Circuits!$A:$A))))</f>
        <v>-</v>
      </c>
      <c r="F152" s="183" t="str">
        <f t="array" ref="F152">IF(ISBLANK($AE152), "-",INDEX(Circuits!E:E,SUMPRODUCT(EXACT($AE152,Circuits!$A:$A)*ROW(Circuits!$A:$A))))</f>
        <v>-</v>
      </c>
      <c r="G152" s="183" t="str">
        <f t="array" ref="G152">IF(ISBLANK($AE152), "-",INDEX(Circuits!F:F,SUMPRODUCT(EXACT($AE152,Circuits!$A:$A)*ROW(Circuits!$A:$A))))</f>
        <v>-</v>
      </c>
      <c r="H152" s="183" t="str">
        <f t="array" ref="H152">IF(ISBLANK($AE152), "-",INDEX(Circuits!G:G,SUMPRODUCT(EXACT($AE152,Circuits!$A:$A)*ROW(Circuits!$A:$A))))</f>
        <v>-</v>
      </c>
      <c r="I152" s="183" t="str">
        <f t="array" ref="I152">IF(ISBLANK($AE152), "-",INDEX(Circuits!H:H,SUMPRODUCT(EXACT($AE152,Circuits!$A:$A)*ROW(Circuits!$A:$A))))</f>
        <v>-</v>
      </c>
      <c r="J152" s="183" t="str">
        <f t="array" ref="J152">IF(ISBLANK($AE152), "-",INDEX(Circuits!I:I,SUMPRODUCT(EXACT($AE152,Circuits!$A:$A)*ROW(Circuits!$A:$A))))</f>
        <v>-</v>
      </c>
      <c r="K152" s="183" t="str">
        <f t="array" ref="K152">IF(ISBLANK($AE152), "-",INDEX(Circuits!J:J,SUMPRODUCT(EXACT($AE152,Circuits!$A:$A)*ROW(Circuits!$A:$A))))</f>
        <v>-</v>
      </c>
      <c r="L152" s="183" t="str">
        <f t="array" ref="L152">IF(ISBLANK($AE152), "-",INDEX(Circuits!K:K,SUMPRODUCT(EXACT($AE152,Circuits!$A:$A)*ROW(Circuits!$A:$A))))</f>
        <v>-</v>
      </c>
      <c r="M152" s="183" t="str">
        <f t="array" ref="M152">IF(ISBLANK($AE152), "-",INDEX(Circuits!L:L,SUMPRODUCT(EXACT($AE152,Circuits!$A:$A)*ROW(Circuits!$A:$A))))</f>
        <v>-</v>
      </c>
      <c r="N152" s="183" t="str">
        <f t="array" ref="N152">IF(ISBLANK($AE152), "-",INDEX(Circuits!M:M,SUMPRODUCT(EXACT($AE152,Circuits!$A:$A)*ROW(Circuits!$A:$A))))</f>
        <v>-</v>
      </c>
      <c r="O152" s="183" t="str">
        <f t="array" ref="O152">IF(ISBLANK($AE152), "-",INDEX(Circuits!N:N,SUMPRODUCT(EXACT($AE152,Circuits!$A:$A)*ROW(Circuits!$A:$A))))</f>
        <v>-</v>
      </c>
      <c r="P152" s="183" t="str">
        <f t="array" ref="P152">IF(ISBLANK($AE152), "-",INDEX(Circuits!O:O,SUMPRODUCT(EXACT($AE152,Circuits!$A:$A)*ROW(Circuits!$A:$A))))</f>
        <v>-</v>
      </c>
      <c r="Q152" s="183" t="str">
        <f t="array" ref="Q152">IF(ISBLANK($AE152), "-",INDEX(Circuits!P:P,SUMPRODUCT(EXACT($AE152,Circuits!$A:$A)*ROW(Circuits!$A:$A))))</f>
        <v>-</v>
      </c>
      <c r="R152" s="183" t="str">
        <f t="array" ref="R152">IF(ISBLANK($AE152), "-",INDEX(Circuits!Q:Q,SUMPRODUCT(EXACT($AE152,Circuits!$A:$A)*ROW(Circuits!$A:$A))))</f>
        <v>-</v>
      </c>
      <c r="S152" s="183" t="str">
        <f t="array" ref="S152">IF(ISBLANK($AE152), "-",INDEX(Circuits!R:R,SUMPRODUCT(EXACT($AE152,Circuits!$A:$A)*ROW(Circuits!$A:$A))))</f>
        <v>-</v>
      </c>
      <c r="T152" s="183" t="str">
        <f t="array" ref="T152">IF(ISBLANK($AE152), "-",INDEX(Circuits!S:S,SUMPRODUCT(EXACT($AE152,Circuits!$A:$A)*ROW(Circuits!$A:$A))))</f>
        <v>-</v>
      </c>
      <c r="U152" s="183" t="str">
        <f t="array" ref="U152">IF(ISBLANK($AE152), "-",INDEX(Circuits!T:T,SUMPRODUCT(EXACT($AE152,Circuits!$A:$A)*ROW(Circuits!$A:$A))))</f>
        <v>-</v>
      </c>
      <c r="V152" s="183" t="str">
        <f t="array" ref="V152">IF(ISBLANK($AE152), "-",INDEX(Circuits!U:U,SUMPRODUCT(EXACT($AE152,Circuits!$A:$A)*ROW(Circuits!$A:$A))))</f>
        <v>-</v>
      </c>
      <c r="W152" s="183" t="str">
        <f t="array" ref="W152">IF(ISBLANK($AE152), "-",INDEX(Circuits!V:V,SUMPRODUCT(EXACT($AE152,Circuits!$A:$A)*ROW(Circuits!$A:$A))))</f>
        <v>-</v>
      </c>
      <c r="X152" s="183" t="str">
        <f t="array" ref="X152">IF(ISBLANK($AE152), "-",INDEX(Circuits!W:W,SUMPRODUCT(EXACT($AE152,Circuits!$A:$A)*ROW(Circuits!$A:$A))))</f>
        <v>-</v>
      </c>
      <c r="Y152" s="183" t="str">
        <f t="array" ref="Y152">IF(ISBLANK($AE152), "-",INDEX(Circuits!X:X,SUMPRODUCT(EXACT($AE152,Circuits!$A:$A)*ROW(Circuits!$A:$A))))</f>
        <v>-</v>
      </c>
      <c r="Z152" s="108" t="str">
        <f>IFERROR(__xludf.DUMMYFUNCTION("IFNA(CONCATENATE(UNIQUE(FILTER(Connections!R:R,Connections!A:A=B152))),""-"")"),"-")</f>
        <v>-</v>
      </c>
      <c r="AA152" s="119" t="str">
        <f t="array" ref="AA152">IF(ISBLANK($AE152), "-",INDEX(Circuits!Y:Y,SUMPRODUCT(EXACT($AE152,Circuits!$A:$A)*ROW(Circuits!$A:$A))))</f>
        <v>-</v>
      </c>
      <c r="AB152" s="121" t="str">
        <f t="array" ref="AB152">IF(ISBLANK($AE152), "-",INDEX(Circuits!Z:Z,SUMPRODUCT(EXACT($AE152,Circuits!$A:$A)*ROW(Circuits!$A:$A))))</f>
        <v>-</v>
      </c>
      <c r="AC152" s="194"/>
      <c r="AD152" s="194"/>
      <c r="AE152" s="40"/>
      <c r="AF152" s="43"/>
      <c r="AG152" s="126" t="str">
        <f>IFERROR(__xludf.DUMMYFUNCTION("IF(ISBLANK(AF152), """", TEXTJOIN(CHAR(10),TRUE,ARRAYFORMULA(IF(ISERROR(SEARCH(SPLIT(AF152, "";""), $Z152)), ""x"", ""-""))))"),"")</f>
        <v/>
      </c>
      <c r="AH152" s="127" t="str">
        <f>IFERROR(__xludf.DUMMYFUNCTION("IF(ISBLANK(AK152), """", TEXTJOIN("";"" &amp; CHAR(10), TRUE, UNIQUE(SPLIT(AK152, "";"" &amp; CHAR(10)), TRUE))&amp;"";"")"),"")</f>
        <v/>
      </c>
      <c r="AI152" s="128" t="str">
        <f>IFERROR(__xludf.DUMMYFUNCTION("IF(ISBLANK(AD152), IF(ISBLANK(AE152),,IFNA(TEXTJOIN("";"" &amp; CHAR(10), TRUE, FILTER(AE:AE, SEARCH(AE152&amp;"";"", AJ:AJ)))&amp;"";"", """")), TEXTJOIN("";"" &amp; CHAR(10), TRUE, UNIQUE(SPLIT(AH152 &amp; "";"" &amp; AH152 &amp; "";"" &amp; AL152, "";"" &amp; CHAR(10)), TRUE, TRUE))&amp;"";"&amp;""")"),"")</f>
        <v/>
      </c>
      <c r="AJ152" s="126" t="str">
        <f>IFERROR(__xludf.DUMMYFUNCTION("IF(AN152="""", """", TEXTJOIN("";"" &amp; CHAR(10), TRUE, UNIQUE(SPLIT(AH152 &amp; "";"" &amp; AH152 &amp; "";"" &amp; AN152, "";"" &amp; CHAR(10)), TRUE, TRUE))&amp;"";"")"),"")</f>
        <v/>
      </c>
      <c r="AK152" s="129" t="str">
        <f>IFERROR(__xludf.DUMMYFUNCTION("IF(ISBLANK(AD152), IF(ISBLANK(AE152),,AE152 &amp; "";""), TEXTJOIN(CHAR(10), TRUE, ARRAYFORMULA(VLOOKUP(SPLIT(AD152, "";"" &amp; CHAR(10)), $AC:$AH, 6, FALSE))))"),"")</f>
        <v/>
      </c>
      <c r="AL152" s="130" t="str">
        <f>IFERROR(__xludf.DUMMYFUNCTION("IF(AM152="""", """", TEXTJOIN("";"" &amp; CHAR(10), TRUE, UNIQUE(SPLIT(AM152, "";"" &amp; CHAR(10)), TRUE))&amp;"";"")"),"")</f>
        <v/>
      </c>
      <c r="AM152" s="130" t="str">
        <f>IFERROR(__xludf.DUMMYFUNCTION("IF(ISBLANK(AD152), """", TEXTJOIN(CHAR(10), TRUE, ARRAYFORMULA(VLOOKUP(SPLIT(AH152, "";"" &amp; CHAR(10)), $AE:$AI, 5, FALSE)), AF152))"),"")</f>
        <v/>
      </c>
      <c r="AN152" s="132" t="str">
        <f>IFERROR(__xludf.DUMMYFUNCTION("IF(ISBLANK(AO152), """", TEXTJOIN("";"" &amp; CHAR(10), TRUE, UNIQUE(SPLIT(AO152, "";"" &amp; CHAR(10)), TRUE))&amp;"";"")"),"")</f>
        <v/>
      </c>
      <c r="AO152" s="134" t="str">
        <f>IFERROR(__xludf.DUMMYFUNCTION("IF(ISBLANK(AD152), AF152, TEXTJOIN(CHAR(10), TRUE, ARRAYFORMULA(VLOOKUP(SPLIT(AD152, "";"" &amp; CHAR(10)), $AC:$AN, 12, FALSE))))"),"")</f>
        <v/>
      </c>
      <c r="AP152" s="130" t="str">
        <f>IF(ISBLANK(AE152),,IF(IFERROR(SEARCH(AE152&amp;";",Circuits!$AO$2),0),TRUE,FALSE))</f>
        <v/>
      </c>
      <c r="AQ152" s="130" t="str">
        <f t="shared" si="2"/>
        <v/>
      </c>
      <c r="AR152" s="130" t="str">
        <f t="shared" si="3"/>
        <v/>
      </c>
      <c r="AS152" s="136" t="str">
        <f>IFERROR(__xludf.DUMMYFUNCTION("IF(AH152="""",,SUM(ARRAYFORMULA(IF(IFERROR(SEARCH(SPLIT(AH152,CHAR(10)),Circuits!$AO$2),0)&gt;0,0,1))))"),"")</f>
        <v/>
      </c>
      <c r="AT152" s="138" t="str">
        <f t="shared" si="4"/>
        <v/>
      </c>
      <c r="AU152" s="138" t="str">
        <f t="shared" si="5"/>
        <v/>
      </c>
      <c r="AV152" s="130" t="str">
        <f>IFERROR(__xludf.DUMMYFUNCTION("IF(AI152="""",,TEXTJOIN("", "",TRUE,ARRAYFORMULA(VLOOKUP(SPLIT(AI152,"";""&amp;CHAR(10)),AE:AT,16,FALSE))))"),"")</f>
        <v/>
      </c>
      <c r="AW152" s="130" t="str">
        <f>IFERROR(__xludf.DUMMYFUNCTION("IF(ISBLANK(BK152),,TEXTJOIN("", "",TRUE,ARRAYFORMULA(VLOOKUP(IFERROR(REGEXEXTRACT(SPLIT(BK152,"";""&amp;CHAR(10)),""\[(.+)\]"")),AE:AT,16,false))))"),"")</f>
        <v/>
      </c>
      <c r="AX152" s="139" t="str">
        <f t="shared" si="6"/>
        <v/>
      </c>
      <c r="AY152" s="139" t="str">
        <f t="shared" si="7"/>
        <v/>
      </c>
      <c r="AZ152" s="106" t="str">
        <f>IFERROR(__xludf.DUMMYFUNCTION("IF(ISBLANK(AD152), BC152, TEXTJOIN(CHAR(10) &amp; CHAR(10), TRUE, ARRAYFORMULA(VLOOKUP(SPLIT(AD152, "";"" &amp; CHAR(10)), $AC:$AY, 23, FALSE))))"),"")</f>
        <v/>
      </c>
      <c r="BA152" s="140" t="s">
        <v>66</v>
      </c>
      <c r="BB152" s="190"/>
      <c r="BC152" s="196"/>
      <c r="BD152" s="106" t="str">
        <f>IFERROR(__xludf.DUMMYFUNCTION("IF(IFERROR(SEARCH(""&lt;&lt;mechanism to realize the capability&gt;&gt;"",BA152),0)=0,
 ""!! Error !! “Capability&amp;Mechanism” column: Invalid Separator:"" &amp; CHAR(10) &amp; ""Insert separator “&lt;&lt;mechanism to realize the capability&gt;&gt;.”"",
 IF(
  LEN(TRIM(CLEAN(
    INDEX(
 "&amp;"     SPLIT(BA152,""&lt;&lt;mechanism to realize the capability&gt;&gt;"",FALSE,FALSE),
      1
    )
  )))=0,
  ""!! Error !! “Capability&amp;Mechanism” column: No Capability:""  &amp; CHAR(10) &amp; ""Describe Capability before separator."",
  INDEX(
    SPLIT(BA152,""&lt;&lt;mechani"&amp;"sm to realize the capability&gt;&gt;"",FALSE,FALSE),
    1
  )
 )
)
"),"!! Error !! “Capability&amp;Mechanism” column: No Capability:
Describe Capability before separator.")</f>
        <v>!! Error !! “Capability&amp;Mechanism” column: No Capability:
Describe Capability before separator.</v>
      </c>
      <c r="BE152" s="190"/>
      <c r="BF152" s="195"/>
      <c r="BG152" s="42"/>
      <c r="BH152" s="190"/>
      <c r="BI152" s="196"/>
      <c r="BJ152" s="42"/>
      <c r="BK152" s="42"/>
      <c r="BL152" s="203"/>
      <c r="BM152" s="203"/>
      <c r="BN152" s="42"/>
      <c r="BO152" s="42"/>
      <c r="BP152" s="143"/>
      <c r="BQ152" s="143"/>
      <c r="BR152" s="192"/>
      <c r="BS152" s="192"/>
      <c r="BT152" s="192"/>
      <c r="BU152" s="192"/>
      <c r="BV152" s="192"/>
      <c r="BW152" s="192"/>
      <c r="BX152" s="146" t="str">
        <f t="shared" si="8"/>
        <v/>
      </c>
    </row>
    <row r="153">
      <c r="A153" s="106" t="str">
        <f t="shared" si="1"/>
        <v/>
      </c>
      <c r="B153" s="183" t="str">
        <f t="array" ref="B153">IF(ISBLANK($AE153), "-",INDEX(Circuits!A:A,SUMPRODUCT(EXACT($AE153,Circuits!$A:$A)*ROW(Circuits!$A:$A))))</f>
        <v>-</v>
      </c>
      <c r="C153" s="183" t="str">
        <f t="array" ref="C153">IF(ISBLANK($AE153), "-",INDEX(Circuits!B:B,SUMPRODUCT(EXACT($AE153,Circuits!$A:$A)*ROW(Circuits!$A:$A))))</f>
        <v>-</v>
      </c>
      <c r="D153" s="183" t="str">
        <f t="array" ref="D153">IF(ISBLANK($AE153), "-",INDEX(Circuits!C:C,SUMPRODUCT(EXACT($AE153,Circuits!$A:$A)*ROW(Circuits!$A:$A))))</f>
        <v>-</v>
      </c>
      <c r="E153" s="183" t="str">
        <f t="array" ref="E153">IF(ISBLANK($AE153), "-",INDEX(Circuits!D:D,SUMPRODUCT(EXACT($AE153,Circuits!$A:$A)*ROW(Circuits!$A:$A))))</f>
        <v>-</v>
      </c>
      <c r="F153" s="183" t="str">
        <f t="array" ref="F153">IF(ISBLANK($AE153), "-",INDEX(Circuits!E:E,SUMPRODUCT(EXACT($AE153,Circuits!$A:$A)*ROW(Circuits!$A:$A))))</f>
        <v>-</v>
      </c>
      <c r="G153" s="183" t="str">
        <f t="array" ref="G153">IF(ISBLANK($AE153), "-",INDEX(Circuits!F:F,SUMPRODUCT(EXACT($AE153,Circuits!$A:$A)*ROW(Circuits!$A:$A))))</f>
        <v>-</v>
      </c>
      <c r="H153" s="183" t="str">
        <f t="array" ref="H153">IF(ISBLANK($AE153), "-",INDEX(Circuits!G:G,SUMPRODUCT(EXACT($AE153,Circuits!$A:$A)*ROW(Circuits!$A:$A))))</f>
        <v>-</v>
      </c>
      <c r="I153" s="183" t="str">
        <f t="array" ref="I153">IF(ISBLANK($AE153), "-",INDEX(Circuits!H:H,SUMPRODUCT(EXACT($AE153,Circuits!$A:$A)*ROW(Circuits!$A:$A))))</f>
        <v>-</v>
      </c>
      <c r="J153" s="183" t="str">
        <f t="array" ref="J153">IF(ISBLANK($AE153), "-",INDEX(Circuits!I:I,SUMPRODUCT(EXACT($AE153,Circuits!$A:$A)*ROW(Circuits!$A:$A))))</f>
        <v>-</v>
      </c>
      <c r="K153" s="183" t="str">
        <f t="array" ref="K153">IF(ISBLANK($AE153), "-",INDEX(Circuits!J:J,SUMPRODUCT(EXACT($AE153,Circuits!$A:$A)*ROW(Circuits!$A:$A))))</f>
        <v>-</v>
      </c>
      <c r="L153" s="183" t="str">
        <f t="array" ref="L153">IF(ISBLANK($AE153), "-",INDEX(Circuits!K:K,SUMPRODUCT(EXACT($AE153,Circuits!$A:$A)*ROW(Circuits!$A:$A))))</f>
        <v>-</v>
      </c>
      <c r="M153" s="183" t="str">
        <f t="array" ref="M153">IF(ISBLANK($AE153), "-",INDEX(Circuits!L:L,SUMPRODUCT(EXACT($AE153,Circuits!$A:$A)*ROW(Circuits!$A:$A))))</f>
        <v>-</v>
      </c>
      <c r="N153" s="183" t="str">
        <f t="array" ref="N153">IF(ISBLANK($AE153), "-",INDEX(Circuits!M:M,SUMPRODUCT(EXACT($AE153,Circuits!$A:$A)*ROW(Circuits!$A:$A))))</f>
        <v>-</v>
      </c>
      <c r="O153" s="183" t="str">
        <f t="array" ref="O153">IF(ISBLANK($AE153), "-",INDEX(Circuits!N:N,SUMPRODUCT(EXACT($AE153,Circuits!$A:$A)*ROW(Circuits!$A:$A))))</f>
        <v>-</v>
      </c>
      <c r="P153" s="183" t="str">
        <f t="array" ref="P153">IF(ISBLANK($AE153), "-",INDEX(Circuits!O:O,SUMPRODUCT(EXACT($AE153,Circuits!$A:$A)*ROW(Circuits!$A:$A))))</f>
        <v>-</v>
      </c>
      <c r="Q153" s="183" t="str">
        <f t="array" ref="Q153">IF(ISBLANK($AE153), "-",INDEX(Circuits!P:P,SUMPRODUCT(EXACT($AE153,Circuits!$A:$A)*ROW(Circuits!$A:$A))))</f>
        <v>-</v>
      </c>
      <c r="R153" s="183" t="str">
        <f t="array" ref="R153">IF(ISBLANK($AE153), "-",INDEX(Circuits!Q:Q,SUMPRODUCT(EXACT($AE153,Circuits!$A:$A)*ROW(Circuits!$A:$A))))</f>
        <v>-</v>
      </c>
      <c r="S153" s="183" t="str">
        <f t="array" ref="S153">IF(ISBLANK($AE153), "-",INDEX(Circuits!R:R,SUMPRODUCT(EXACT($AE153,Circuits!$A:$A)*ROW(Circuits!$A:$A))))</f>
        <v>-</v>
      </c>
      <c r="T153" s="183" t="str">
        <f t="array" ref="T153">IF(ISBLANK($AE153), "-",INDEX(Circuits!S:S,SUMPRODUCT(EXACT($AE153,Circuits!$A:$A)*ROW(Circuits!$A:$A))))</f>
        <v>-</v>
      </c>
      <c r="U153" s="183" t="str">
        <f t="array" ref="U153">IF(ISBLANK($AE153), "-",INDEX(Circuits!T:T,SUMPRODUCT(EXACT($AE153,Circuits!$A:$A)*ROW(Circuits!$A:$A))))</f>
        <v>-</v>
      </c>
      <c r="V153" s="183" t="str">
        <f t="array" ref="V153">IF(ISBLANK($AE153), "-",INDEX(Circuits!U:U,SUMPRODUCT(EXACT($AE153,Circuits!$A:$A)*ROW(Circuits!$A:$A))))</f>
        <v>-</v>
      </c>
      <c r="W153" s="183" t="str">
        <f t="array" ref="W153">IF(ISBLANK($AE153), "-",INDEX(Circuits!V:V,SUMPRODUCT(EXACT($AE153,Circuits!$A:$A)*ROW(Circuits!$A:$A))))</f>
        <v>-</v>
      </c>
      <c r="X153" s="183" t="str">
        <f t="array" ref="X153">IF(ISBLANK($AE153), "-",INDEX(Circuits!W:W,SUMPRODUCT(EXACT($AE153,Circuits!$A:$A)*ROW(Circuits!$A:$A))))</f>
        <v>-</v>
      </c>
      <c r="Y153" s="183" t="str">
        <f t="array" ref="Y153">IF(ISBLANK($AE153), "-",INDEX(Circuits!X:X,SUMPRODUCT(EXACT($AE153,Circuits!$A:$A)*ROW(Circuits!$A:$A))))</f>
        <v>-</v>
      </c>
      <c r="Z153" s="108" t="str">
        <f>IFERROR(__xludf.DUMMYFUNCTION("IFNA(CONCATENATE(UNIQUE(FILTER(Connections!R:R,Connections!A:A=B153))),""-"")"),"-")</f>
        <v>-</v>
      </c>
      <c r="AA153" s="119" t="str">
        <f t="array" ref="AA153">IF(ISBLANK($AE153), "-",INDEX(Circuits!Y:Y,SUMPRODUCT(EXACT($AE153,Circuits!$A:$A)*ROW(Circuits!$A:$A))))</f>
        <v>-</v>
      </c>
      <c r="AB153" s="121" t="str">
        <f t="array" ref="AB153">IF(ISBLANK($AE153), "-",INDEX(Circuits!Z:Z,SUMPRODUCT(EXACT($AE153,Circuits!$A:$A)*ROW(Circuits!$A:$A))))</f>
        <v>-</v>
      </c>
      <c r="AC153" s="194"/>
      <c r="AD153" s="194"/>
      <c r="AE153" s="40"/>
      <c r="AF153" s="43"/>
      <c r="AG153" s="126" t="str">
        <f>IFERROR(__xludf.DUMMYFUNCTION("IF(ISBLANK(AF153), """", TEXTJOIN(CHAR(10),TRUE,ARRAYFORMULA(IF(ISERROR(SEARCH(SPLIT(AF153, "";""), $Z153)), ""x"", ""-""))))"),"")</f>
        <v/>
      </c>
      <c r="AH153" s="127" t="str">
        <f>IFERROR(__xludf.DUMMYFUNCTION("IF(ISBLANK(AK153), """", TEXTJOIN("";"" &amp; CHAR(10), TRUE, UNIQUE(SPLIT(AK153, "";"" &amp; CHAR(10)), TRUE))&amp;"";"")"),"")</f>
        <v/>
      </c>
      <c r="AI153" s="128" t="str">
        <f>IFERROR(__xludf.DUMMYFUNCTION("IF(ISBLANK(AD153), IF(ISBLANK(AE153),,IFNA(TEXTJOIN("";"" &amp; CHAR(10), TRUE, FILTER(AE:AE, SEARCH(AE153&amp;"";"", AJ:AJ)))&amp;"";"", """")), TEXTJOIN("";"" &amp; CHAR(10), TRUE, UNIQUE(SPLIT(AH153 &amp; "";"" &amp; AH153 &amp; "";"" &amp; AL153, "";"" &amp; CHAR(10)), TRUE, TRUE))&amp;"";"&amp;""")"),"")</f>
        <v/>
      </c>
      <c r="AJ153" s="126" t="str">
        <f>IFERROR(__xludf.DUMMYFUNCTION("IF(AN153="""", """", TEXTJOIN("";"" &amp; CHAR(10), TRUE, UNIQUE(SPLIT(AH153 &amp; "";"" &amp; AH153 &amp; "";"" &amp; AN153, "";"" &amp; CHAR(10)), TRUE, TRUE))&amp;"";"")"),"")</f>
        <v/>
      </c>
      <c r="AK153" s="129" t="str">
        <f>IFERROR(__xludf.DUMMYFUNCTION("IF(ISBLANK(AD153), IF(ISBLANK(AE153),,AE153 &amp; "";""), TEXTJOIN(CHAR(10), TRUE, ARRAYFORMULA(VLOOKUP(SPLIT(AD153, "";"" &amp; CHAR(10)), $AC:$AH, 6, FALSE))))"),"")</f>
        <v/>
      </c>
      <c r="AL153" s="130" t="str">
        <f>IFERROR(__xludf.DUMMYFUNCTION("IF(AM153="""", """", TEXTJOIN("";"" &amp; CHAR(10), TRUE, UNIQUE(SPLIT(AM153, "";"" &amp; CHAR(10)), TRUE))&amp;"";"")"),"")</f>
        <v/>
      </c>
      <c r="AM153" s="130" t="str">
        <f>IFERROR(__xludf.DUMMYFUNCTION("IF(ISBLANK(AD153), """", TEXTJOIN(CHAR(10), TRUE, ARRAYFORMULA(VLOOKUP(SPLIT(AH153, "";"" &amp; CHAR(10)), $AE:$AI, 5, FALSE)), AF153))"),"")</f>
        <v/>
      </c>
      <c r="AN153" s="132" t="str">
        <f>IFERROR(__xludf.DUMMYFUNCTION("IF(ISBLANK(AO153), """", TEXTJOIN("";"" &amp; CHAR(10), TRUE, UNIQUE(SPLIT(AO153, "";"" &amp; CHAR(10)), TRUE))&amp;"";"")"),"")</f>
        <v/>
      </c>
      <c r="AO153" s="134" t="str">
        <f>IFERROR(__xludf.DUMMYFUNCTION("IF(ISBLANK(AD153), AF153, TEXTJOIN(CHAR(10), TRUE, ARRAYFORMULA(VLOOKUP(SPLIT(AD153, "";"" &amp; CHAR(10)), $AC:$AN, 12, FALSE))))"),"")</f>
        <v/>
      </c>
      <c r="AP153" s="130" t="str">
        <f>IF(ISBLANK(AE153),,IF(IFERROR(SEARCH(AE153&amp;";",Circuits!$AO$2),0),TRUE,FALSE))</f>
        <v/>
      </c>
      <c r="AQ153" s="130" t="str">
        <f t="shared" si="2"/>
        <v/>
      </c>
      <c r="AR153" s="130" t="str">
        <f t="shared" si="3"/>
        <v/>
      </c>
      <c r="AS153" s="136" t="str">
        <f>IFERROR(__xludf.DUMMYFUNCTION("IF(AH153="""",,SUM(ARRAYFORMULA(IF(IFERROR(SEARCH(SPLIT(AH153,CHAR(10)),Circuits!$AO$2),0)&gt;0,0,1))))"),"")</f>
        <v/>
      </c>
      <c r="AT153" s="138" t="str">
        <f t="shared" si="4"/>
        <v/>
      </c>
      <c r="AU153" s="138" t="str">
        <f t="shared" si="5"/>
        <v/>
      </c>
      <c r="AV153" s="130" t="str">
        <f>IFERROR(__xludf.DUMMYFUNCTION("IF(AI153="""",,TEXTJOIN("", "",TRUE,ARRAYFORMULA(VLOOKUP(SPLIT(AI153,"";""&amp;CHAR(10)),AE:AT,16,FALSE))))"),"")</f>
        <v/>
      </c>
      <c r="AW153" s="130" t="str">
        <f>IFERROR(__xludf.DUMMYFUNCTION("IF(ISBLANK(BK153),,TEXTJOIN("", "",TRUE,ARRAYFORMULA(VLOOKUP(IFERROR(REGEXEXTRACT(SPLIT(BK153,"";""&amp;CHAR(10)),""\[(.+)\]"")),AE:AT,16,false))))"),"")</f>
        <v/>
      </c>
      <c r="AX153" s="139" t="str">
        <f t="shared" si="6"/>
        <v/>
      </c>
      <c r="AY153" s="139" t="str">
        <f t="shared" si="7"/>
        <v/>
      </c>
      <c r="AZ153" s="106" t="str">
        <f>IFERROR(__xludf.DUMMYFUNCTION("IF(ISBLANK(AD153), BC153, TEXTJOIN(CHAR(10) &amp; CHAR(10), TRUE, ARRAYFORMULA(VLOOKUP(SPLIT(AD153, "";"" &amp; CHAR(10)), $AC:$AY, 23, FALSE))))"),"")</f>
        <v/>
      </c>
      <c r="BA153" s="140" t="s">
        <v>66</v>
      </c>
      <c r="BB153" s="190"/>
      <c r="BC153" s="196"/>
      <c r="BD153" s="106" t="str">
        <f>IFERROR(__xludf.DUMMYFUNCTION("IF(IFERROR(SEARCH(""&lt;&lt;mechanism to realize the capability&gt;&gt;"",BA153),0)=0,
 ""!! Error !! “Capability&amp;Mechanism” column: Invalid Separator:"" &amp; CHAR(10) &amp; ""Insert separator “&lt;&lt;mechanism to realize the capability&gt;&gt;.”"",
 IF(
  LEN(TRIM(CLEAN(
    INDEX(
 "&amp;"     SPLIT(BA153,""&lt;&lt;mechanism to realize the capability&gt;&gt;"",FALSE,FALSE),
      1
    )
  )))=0,
  ""!! Error !! “Capability&amp;Mechanism” column: No Capability:""  &amp; CHAR(10) &amp; ""Describe Capability before separator."",
  INDEX(
    SPLIT(BA153,""&lt;&lt;mechani"&amp;"sm to realize the capability&gt;&gt;"",FALSE,FALSE),
    1
  )
 )
)
"),"!! Error !! “Capability&amp;Mechanism” column: No Capability:
Describe Capability before separator.")</f>
        <v>!! Error !! “Capability&amp;Mechanism” column: No Capability:
Describe Capability before separator.</v>
      </c>
      <c r="BE153" s="190"/>
      <c r="BF153" s="195"/>
      <c r="BG153" s="42"/>
      <c r="BH153" s="190"/>
      <c r="BI153" s="196"/>
      <c r="BJ153" s="42"/>
      <c r="BK153" s="42"/>
      <c r="BL153" s="203"/>
      <c r="BM153" s="203"/>
      <c r="BN153" s="42"/>
      <c r="BO153" s="42"/>
      <c r="BP153" s="143"/>
      <c r="BQ153" s="143"/>
      <c r="BR153" s="192"/>
      <c r="BS153" s="192"/>
      <c r="BT153" s="192"/>
      <c r="BU153" s="192"/>
      <c r="BV153" s="192"/>
      <c r="BW153" s="192"/>
      <c r="BX153" s="146" t="str">
        <f t="shared" si="8"/>
        <v/>
      </c>
    </row>
    <row r="154">
      <c r="A154" s="106" t="str">
        <f t="shared" si="1"/>
        <v/>
      </c>
      <c r="B154" s="183" t="str">
        <f t="array" ref="B154">IF(ISBLANK($AE154), "-",INDEX(Circuits!A:A,SUMPRODUCT(EXACT($AE154,Circuits!$A:$A)*ROW(Circuits!$A:$A))))</f>
        <v>-</v>
      </c>
      <c r="C154" s="183" t="str">
        <f t="array" ref="C154">IF(ISBLANK($AE154), "-",INDEX(Circuits!B:B,SUMPRODUCT(EXACT($AE154,Circuits!$A:$A)*ROW(Circuits!$A:$A))))</f>
        <v>-</v>
      </c>
      <c r="D154" s="183" t="str">
        <f t="array" ref="D154">IF(ISBLANK($AE154), "-",INDEX(Circuits!C:C,SUMPRODUCT(EXACT($AE154,Circuits!$A:$A)*ROW(Circuits!$A:$A))))</f>
        <v>-</v>
      </c>
      <c r="E154" s="183" t="str">
        <f t="array" ref="E154">IF(ISBLANK($AE154), "-",INDEX(Circuits!D:D,SUMPRODUCT(EXACT($AE154,Circuits!$A:$A)*ROW(Circuits!$A:$A))))</f>
        <v>-</v>
      </c>
      <c r="F154" s="183" t="str">
        <f t="array" ref="F154">IF(ISBLANK($AE154), "-",INDEX(Circuits!E:E,SUMPRODUCT(EXACT($AE154,Circuits!$A:$A)*ROW(Circuits!$A:$A))))</f>
        <v>-</v>
      </c>
      <c r="G154" s="183" t="str">
        <f t="array" ref="G154">IF(ISBLANK($AE154), "-",INDEX(Circuits!F:F,SUMPRODUCT(EXACT($AE154,Circuits!$A:$A)*ROW(Circuits!$A:$A))))</f>
        <v>-</v>
      </c>
      <c r="H154" s="183" t="str">
        <f t="array" ref="H154">IF(ISBLANK($AE154), "-",INDEX(Circuits!G:G,SUMPRODUCT(EXACT($AE154,Circuits!$A:$A)*ROW(Circuits!$A:$A))))</f>
        <v>-</v>
      </c>
      <c r="I154" s="183" t="str">
        <f t="array" ref="I154">IF(ISBLANK($AE154), "-",INDEX(Circuits!H:H,SUMPRODUCT(EXACT($AE154,Circuits!$A:$A)*ROW(Circuits!$A:$A))))</f>
        <v>-</v>
      </c>
      <c r="J154" s="183" t="str">
        <f t="array" ref="J154">IF(ISBLANK($AE154), "-",INDEX(Circuits!I:I,SUMPRODUCT(EXACT($AE154,Circuits!$A:$A)*ROW(Circuits!$A:$A))))</f>
        <v>-</v>
      </c>
      <c r="K154" s="183" t="str">
        <f t="array" ref="K154">IF(ISBLANK($AE154), "-",INDEX(Circuits!J:J,SUMPRODUCT(EXACT($AE154,Circuits!$A:$A)*ROW(Circuits!$A:$A))))</f>
        <v>-</v>
      </c>
      <c r="L154" s="183" t="str">
        <f t="array" ref="L154">IF(ISBLANK($AE154), "-",INDEX(Circuits!K:K,SUMPRODUCT(EXACT($AE154,Circuits!$A:$A)*ROW(Circuits!$A:$A))))</f>
        <v>-</v>
      </c>
      <c r="M154" s="183" t="str">
        <f t="array" ref="M154">IF(ISBLANK($AE154), "-",INDEX(Circuits!L:L,SUMPRODUCT(EXACT($AE154,Circuits!$A:$A)*ROW(Circuits!$A:$A))))</f>
        <v>-</v>
      </c>
      <c r="N154" s="183" t="str">
        <f t="array" ref="N154">IF(ISBLANK($AE154), "-",INDEX(Circuits!M:M,SUMPRODUCT(EXACT($AE154,Circuits!$A:$A)*ROW(Circuits!$A:$A))))</f>
        <v>-</v>
      </c>
      <c r="O154" s="183" t="str">
        <f t="array" ref="O154">IF(ISBLANK($AE154), "-",INDEX(Circuits!N:N,SUMPRODUCT(EXACT($AE154,Circuits!$A:$A)*ROW(Circuits!$A:$A))))</f>
        <v>-</v>
      </c>
      <c r="P154" s="183" t="str">
        <f t="array" ref="P154">IF(ISBLANK($AE154), "-",INDEX(Circuits!O:O,SUMPRODUCT(EXACT($AE154,Circuits!$A:$A)*ROW(Circuits!$A:$A))))</f>
        <v>-</v>
      </c>
      <c r="Q154" s="183" t="str">
        <f t="array" ref="Q154">IF(ISBLANK($AE154), "-",INDEX(Circuits!P:P,SUMPRODUCT(EXACT($AE154,Circuits!$A:$A)*ROW(Circuits!$A:$A))))</f>
        <v>-</v>
      </c>
      <c r="R154" s="183" t="str">
        <f t="array" ref="R154">IF(ISBLANK($AE154), "-",INDEX(Circuits!Q:Q,SUMPRODUCT(EXACT($AE154,Circuits!$A:$A)*ROW(Circuits!$A:$A))))</f>
        <v>-</v>
      </c>
      <c r="S154" s="183" t="str">
        <f t="array" ref="S154">IF(ISBLANK($AE154), "-",INDEX(Circuits!R:R,SUMPRODUCT(EXACT($AE154,Circuits!$A:$A)*ROW(Circuits!$A:$A))))</f>
        <v>-</v>
      </c>
      <c r="T154" s="183" t="str">
        <f t="array" ref="T154">IF(ISBLANK($AE154), "-",INDEX(Circuits!S:S,SUMPRODUCT(EXACT($AE154,Circuits!$A:$A)*ROW(Circuits!$A:$A))))</f>
        <v>-</v>
      </c>
      <c r="U154" s="183" t="str">
        <f t="array" ref="U154">IF(ISBLANK($AE154), "-",INDEX(Circuits!T:T,SUMPRODUCT(EXACT($AE154,Circuits!$A:$A)*ROW(Circuits!$A:$A))))</f>
        <v>-</v>
      </c>
      <c r="V154" s="183" t="str">
        <f t="array" ref="V154">IF(ISBLANK($AE154), "-",INDEX(Circuits!U:U,SUMPRODUCT(EXACT($AE154,Circuits!$A:$A)*ROW(Circuits!$A:$A))))</f>
        <v>-</v>
      </c>
      <c r="W154" s="183" t="str">
        <f t="array" ref="W154">IF(ISBLANK($AE154), "-",INDEX(Circuits!V:V,SUMPRODUCT(EXACT($AE154,Circuits!$A:$A)*ROW(Circuits!$A:$A))))</f>
        <v>-</v>
      </c>
      <c r="X154" s="183" t="str">
        <f t="array" ref="X154">IF(ISBLANK($AE154), "-",INDEX(Circuits!W:W,SUMPRODUCT(EXACT($AE154,Circuits!$A:$A)*ROW(Circuits!$A:$A))))</f>
        <v>-</v>
      </c>
      <c r="Y154" s="183" t="str">
        <f t="array" ref="Y154">IF(ISBLANK($AE154), "-",INDEX(Circuits!X:X,SUMPRODUCT(EXACT($AE154,Circuits!$A:$A)*ROW(Circuits!$A:$A))))</f>
        <v>-</v>
      </c>
      <c r="Z154" s="108" t="str">
        <f>IFERROR(__xludf.DUMMYFUNCTION("IFNA(CONCATENATE(UNIQUE(FILTER(Connections!R:R,Connections!A:A=B154))),""-"")"),"-")</f>
        <v>-</v>
      </c>
      <c r="AA154" s="119" t="str">
        <f t="array" ref="AA154">IF(ISBLANK($AE154), "-",INDEX(Circuits!Y:Y,SUMPRODUCT(EXACT($AE154,Circuits!$A:$A)*ROW(Circuits!$A:$A))))</f>
        <v>-</v>
      </c>
      <c r="AB154" s="121" t="str">
        <f t="array" ref="AB154">IF(ISBLANK($AE154), "-",INDEX(Circuits!Z:Z,SUMPRODUCT(EXACT($AE154,Circuits!$A:$A)*ROW(Circuits!$A:$A))))</f>
        <v>-</v>
      </c>
      <c r="AC154" s="194"/>
      <c r="AD154" s="194"/>
      <c r="AE154" s="40"/>
      <c r="AF154" s="43"/>
      <c r="AG154" s="126" t="str">
        <f>IFERROR(__xludf.DUMMYFUNCTION("IF(ISBLANK(AF154), """", TEXTJOIN(CHAR(10),TRUE,ARRAYFORMULA(IF(ISERROR(SEARCH(SPLIT(AF154, "";""), $Z154)), ""x"", ""-""))))"),"")</f>
        <v/>
      </c>
      <c r="AH154" s="127" t="str">
        <f>IFERROR(__xludf.DUMMYFUNCTION("IF(ISBLANK(AK154), """", TEXTJOIN("";"" &amp; CHAR(10), TRUE, UNIQUE(SPLIT(AK154, "";"" &amp; CHAR(10)), TRUE))&amp;"";"")"),"")</f>
        <v/>
      </c>
      <c r="AI154" s="128" t="str">
        <f>IFERROR(__xludf.DUMMYFUNCTION("IF(ISBLANK(AD154), IF(ISBLANK(AE154),,IFNA(TEXTJOIN("";"" &amp; CHAR(10), TRUE, FILTER(AE:AE, SEARCH(AE154&amp;"";"", AJ:AJ)))&amp;"";"", """")), TEXTJOIN("";"" &amp; CHAR(10), TRUE, UNIQUE(SPLIT(AH154 &amp; "";"" &amp; AH154 &amp; "";"" &amp; AL154, "";"" &amp; CHAR(10)), TRUE, TRUE))&amp;"";"&amp;""")"),"")</f>
        <v/>
      </c>
      <c r="AJ154" s="126" t="str">
        <f>IFERROR(__xludf.DUMMYFUNCTION("IF(AN154="""", """", TEXTJOIN("";"" &amp; CHAR(10), TRUE, UNIQUE(SPLIT(AH154 &amp; "";"" &amp; AH154 &amp; "";"" &amp; AN154, "";"" &amp; CHAR(10)), TRUE, TRUE))&amp;"";"")"),"")</f>
        <v/>
      </c>
      <c r="AK154" s="129" t="str">
        <f>IFERROR(__xludf.DUMMYFUNCTION("IF(ISBLANK(AD154), IF(ISBLANK(AE154),,AE154 &amp; "";""), TEXTJOIN(CHAR(10), TRUE, ARRAYFORMULA(VLOOKUP(SPLIT(AD154, "";"" &amp; CHAR(10)), $AC:$AH, 6, FALSE))))"),"")</f>
        <v/>
      </c>
      <c r="AL154" s="130" t="str">
        <f>IFERROR(__xludf.DUMMYFUNCTION("IF(AM154="""", """", TEXTJOIN("";"" &amp; CHAR(10), TRUE, UNIQUE(SPLIT(AM154, "";"" &amp; CHAR(10)), TRUE))&amp;"";"")"),"")</f>
        <v/>
      </c>
      <c r="AM154" s="130" t="str">
        <f>IFERROR(__xludf.DUMMYFUNCTION("IF(ISBLANK(AD154), """", TEXTJOIN(CHAR(10), TRUE, ARRAYFORMULA(VLOOKUP(SPLIT(AH154, "";"" &amp; CHAR(10)), $AE:$AI, 5, FALSE)), AF154))"),"")</f>
        <v/>
      </c>
      <c r="AN154" s="132" t="str">
        <f>IFERROR(__xludf.DUMMYFUNCTION("IF(ISBLANK(AO154), """", TEXTJOIN("";"" &amp; CHAR(10), TRUE, UNIQUE(SPLIT(AO154, "";"" &amp; CHAR(10)), TRUE))&amp;"";"")"),"")</f>
        <v/>
      </c>
      <c r="AO154" s="134" t="str">
        <f>IFERROR(__xludf.DUMMYFUNCTION("IF(ISBLANK(AD154), AF154, TEXTJOIN(CHAR(10), TRUE, ARRAYFORMULA(VLOOKUP(SPLIT(AD154, "";"" &amp; CHAR(10)), $AC:$AN, 12, FALSE))))"),"")</f>
        <v/>
      </c>
      <c r="AP154" s="130" t="str">
        <f>IF(ISBLANK(AE154),,IF(IFERROR(SEARCH(AE154&amp;";",Circuits!$AO$2),0),TRUE,FALSE))</f>
        <v/>
      </c>
      <c r="AQ154" s="130" t="str">
        <f t="shared" si="2"/>
        <v/>
      </c>
      <c r="AR154" s="130" t="str">
        <f t="shared" si="3"/>
        <v/>
      </c>
      <c r="AS154" s="136" t="str">
        <f>IFERROR(__xludf.DUMMYFUNCTION("IF(AH154="""",,SUM(ARRAYFORMULA(IF(IFERROR(SEARCH(SPLIT(AH154,CHAR(10)),Circuits!$AO$2),0)&gt;0,0,1))))"),"")</f>
        <v/>
      </c>
      <c r="AT154" s="138" t="str">
        <f t="shared" si="4"/>
        <v/>
      </c>
      <c r="AU154" s="138" t="str">
        <f t="shared" si="5"/>
        <v/>
      </c>
      <c r="AV154" s="130" t="str">
        <f>IFERROR(__xludf.DUMMYFUNCTION("IF(AI154="""",,TEXTJOIN("", "",TRUE,ARRAYFORMULA(VLOOKUP(SPLIT(AI154,"";""&amp;CHAR(10)),AE:AT,16,FALSE))))"),"")</f>
        <v/>
      </c>
      <c r="AW154" s="130" t="str">
        <f>IFERROR(__xludf.DUMMYFUNCTION("IF(ISBLANK(BK154),,TEXTJOIN("", "",TRUE,ARRAYFORMULA(VLOOKUP(IFERROR(REGEXEXTRACT(SPLIT(BK154,"";""&amp;CHAR(10)),""\[(.+)\]"")),AE:AT,16,false))))"),"")</f>
        <v/>
      </c>
      <c r="AX154" s="139" t="str">
        <f t="shared" si="6"/>
        <v/>
      </c>
      <c r="AY154" s="139" t="str">
        <f t="shared" si="7"/>
        <v/>
      </c>
      <c r="AZ154" s="106" t="str">
        <f>IFERROR(__xludf.DUMMYFUNCTION("IF(ISBLANK(AD154), BC154, TEXTJOIN(CHAR(10) &amp; CHAR(10), TRUE, ARRAYFORMULA(VLOOKUP(SPLIT(AD154, "";"" &amp; CHAR(10)), $AC:$AY, 23, FALSE))))"),"")</f>
        <v/>
      </c>
      <c r="BA154" s="140" t="s">
        <v>66</v>
      </c>
      <c r="BB154" s="190"/>
      <c r="BC154" s="196"/>
      <c r="BD154" s="106" t="str">
        <f>IFERROR(__xludf.DUMMYFUNCTION("IF(IFERROR(SEARCH(""&lt;&lt;mechanism to realize the capability&gt;&gt;"",BA154),0)=0,
 ""!! Error !! “Capability&amp;Mechanism” column: Invalid Separator:"" &amp; CHAR(10) &amp; ""Insert separator “&lt;&lt;mechanism to realize the capability&gt;&gt;.”"",
 IF(
  LEN(TRIM(CLEAN(
    INDEX(
 "&amp;"     SPLIT(BA154,""&lt;&lt;mechanism to realize the capability&gt;&gt;"",FALSE,FALSE),
      1
    )
  )))=0,
  ""!! Error !! “Capability&amp;Mechanism” column: No Capability:""  &amp; CHAR(10) &amp; ""Describe Capability before separator."",
  INDEX(
    SPLIT(BA154,""&lt;&lt;mechani"&amp;"sm to realize the capability&gt;&gt;"",FALSE,FALSE),
    1
  )
 )
)
"),"!! Error !! “Capability&amp;Mechanism” column: No Capability:
Describe Capability before separator.")</f>
        <v>!! Error !! “Capability&amp;Mechanism” column: No Capability:
Describe Capability before separator.</v>
      </c>
      <c r="BE154" s="190"/>
      <c r="BF154" s="195"/>
      <c r="BG154" s="42"/>
      <c r="BH154" s="190"/>
      <c r="BI154" s="196"/>
      <c r="BJ154" s="42"/>
      <c r="BK154" s="42"/>
      <c r="BL154" s="203"/>
      <c r="BM154" s="203"/>
      <c r="BN154" s="42"/>
      <c r="BO154" s="42"/>
      <c r="BP154" s="143"/>
      <c r="BQ154" s="143"/>
      <c r="BR154" s="192"/>
      <c r="BS154" s="192"/>
      <c r="BT154" s="192"/>
      <c r="BU154" s="192"/>
      <c r="BV154" s="192"/>
      <c r="BW154" s="192"/>
      <c r="BX154" s="146" t="str">
        <f t="shared" si="8"/>
        <v/>
      </c>
    </row>
    <row r="155">
      <c r="A155" s="106" t="str">
        <f t="shared" si="1"/>
        <v/>
      </c>
      <c r="B155" s="183" t="str">
        <f t="array" ref="B155">IF(ISBLANK($AE155), "-",INDEX(Circuits!A:A,SUMPRODUCT(EXACT($AE155,Circuits!$A:$A)*ROW(Circuits!$A:$A))))</f>
        <v>-</v>
      </c>
      <c r="C155" s="183" t="str">
        <f t="array" ref="C155">IF(ISBLANK($AE155), "-",INDEX(Circuits!B:B,SUMPRODUCT(EXACT($AE155,Circuits!$A:$A)*ROW(Circuits!$A:$A))))</f>
        <v>-</v>
      </c>
      <c r="D155" s="183" t="str">
        <f t="array" ref="D155">IF(ISBLANK($AE155), "-",INDEX(Circuits!C:C,SUMPRODUCT(EXACT($AE155,Circuits!$A:$A)*ROW(Circuits!$A:$A))))</f>
        <v>-</v>
      </c>
      <c r="E155" s="183" t="str">
        <f t="array" ref="E155">IF(ISBLANK($AE155), "-",INDEX(Circuits!D:D,SUMPRODUCT(EXACT($AE155,Circuits!$A:$A)*ROW(Circuits!$A:$A))))</f>
        <v>-</v>
      </c>
      <c r="F155" s="183" t="str">
        <f t="array" ref="F155">IF(ISBLANK($AE155), "-",INDEX(Circuits!E:E,SUMPRODUCT(EXACT($AE155,Circuits!$A:$A)*ROW(Circuits!$A:$A))))</f>
        <v>-</v>
      </c>
      <c r="G155" s="183" t="str">
        <f t="array" ref="G155">IF(ISBLANK($AE155), "-",INDEX(Circuits!F:F,SUMPRODUCT(EXACT($AE155,Circuits!$A:$A)*ROW(Circuits!$A:$A))))</f>
        <v>-</v>
      </c>
      <c r="H155" s="183" t="str">
        <f t="array" ref="H155">IF(ISBLANK($AE155), "-",INDEX(Circuits!G:G,SUMPRODUCT(EXACT($AE155,Circuits!$A:$A)*ROW(Circuits!$A:$A))))</f>
        <v>-</v>
      </c>
      <c r="I155" s="183" t="str">
        <f t="array" ref="I155">IF(ISBLANK($AE155), "-",INDEX(Circuits!H:H,SUMPRODUCT(EXACT($AE155,Circuits!$A:$A)*ROW(Circuits!$A:$A))))</f>
        <v>-</v>
      </c>
      <c r="J155" s="183" t="str">
        <f t="array" ref="J155">IF(ISBLANK($AE155), "-",INDEX(Circuits!I:I,SUMPRODUCT(EXACT($AE155,Circuits!$A:$A)*ROW(Circuits!$A:$A))))</f>
        <v>-</v>
      </c>
      <c r="K155" s="183" t="str">
        <f t="array" ref="K155">IF(ISBLANK($AE155), "-",INDEX(Circuits!J:J,SUMPRODUCT(EXACT($AE155,Circuits!$A:$A)*ROW(Circuits!$A:$A))))</f>
        <v>-</v>
      </c>
      <c r="L155" s="183" t="str">
        <f t="array" ref="L155">IF(ISBLANK($AE155), "-",INDEX(Circuits!K:K,SUMPRODUCT(EXACT($AE155,Circuits!$A:$A)*ROW(Circuits!$A:$A))))</f>
        <v>-</v>
      </c>
      <c r="M155" s="183" t="str">
        <f t="array" ref="M155">IF(ISBLANK($AE155), "-",INDEX(Circuits!L:L,SUMPRODUCT(EXACT($AE155,Circuits!$A:$A)*ROW(Circuits!$A:$A))))</f>
        <v>-</v>
      </c>
      <c r="N155" s="183" t="str">
        <f t="array" ref="N155">IF(ISBLANK($AE155), "-",INDEX(Circuits!M:M,SUMPRODUCT(EXACT($AE155,Circuits!$A:$A)*ROW(Circuits!$A:$A))))</f>
        <v>-</v>
      </c>
      <c r="O155" s="183" t="str">
        <f t="array" ref="O155">IF(ISBLANK($AE155), "-",INDEX(Circuits!N:N,SUMPRODUCT(EXACT($AE155,Circuits!$A:$A)*ROW(Circuits!$A:$A))))</f>
        <v>-</v>
      </c>
      <c r="P155" s="183" t="str">
        <f t="array" ref="P155">IF(ISBLANK($AE155), "-",INDEX(Circuits!O:O,SUMPRODUCT(EXACT($AE155,Circuits!$A:$A)*ROW(Circuits!$A:$A))))</f>
        <v>-</v>
      </c>
      <c r="Q155" s="183" t="str">
        <f t="array" ref="Q155">IF(ISBLANK($AE155), "-",INDEX(Circuits!P:P,SUMPRODUCT(EXACT($AE155,Circuits!$A:$A)*ROW(Circuits!$A:$A))))</f>
        <v>-</v>
      </c>
      <c r="R155" s="183" t="str">
        <f t="array" ref="R155">IF(ISBLANK($AE155), "-",INDEX(Circuits!Q:Q,SUMPRODUCT(EXACT($AE155,Circuits!$A:$A)*ROW(Circuits!$A:$A))))</f>
        <v>-</v>
      </c>
      <c r="S155" s="183" t="str">
        <f t="array" ref="S155">IF(ISBLANK($AE155), "-",INDEX(Circuits!R:R,SUMPRODUCT(EXACT($AE155,Circuits!$A:$A)*ROW(Circuits!$A:$A))))</f>
        <v>-</v>
      </c>
      <c r="T155" s="183" t="str">
        <f t="array" ref="T155">IF(ISBLANK($AE155), "-",INDEX(Circuits!S:S,SUMPRODUCT(EXACT($AE155,Circuits!$A:$A)*ROW(Circuits!$A:$A))))</f>
        <v>-</v>
      </c>
      <c r="U155" s="183" t="str">
        <f t="array" ref="U155">IF(ISBLANK($AE155), "-",INDEX(Circuits!T:T,SUMPRODUCT(EXACT($AE155,Circuits!$A:$A)*ROW(Circuits!$A:$A))))</f>
        <v>-</v>
      </c>
      <c r="V155" s="183" t="str">
        <f t="array" ref="V155">IF(ISBLANK($AE155), "-",INDEX(Circuits!U:U,SUMPRODUCT(EXACT($AE155,Circuits!$A:$A)*ROW(Circuits!$A:$A))))</f>
        <v>-</v>
      </c>
      <c r="W155" s="183" t="str">
        <f t="array" ref="W155">IF(ISBLANK($AE155), "-",INDEX(Circuits!V:V,SUMPRODUCT(EXACT($AE155,Circuits!$A:$A)*ROW(Circuits!$A:$A))))</f>
        <v>-</v>
      </c>
      <c r="X155" s="183" t="str">
        <f t="array" ref="X155">IF(ISBLANK($AE155), "-",INDEX(Circuits!W:W,SUMPRODUCT(EXACT($AE155,Circuits!$A:$A)*ROW(Circuits!$A:$A))))</f>
        <v>-</v>
      </c>
      <c r="Y155" s="183" t="str">
        <f t="array" ref="Y155">IF(ISBLANK($AE155), "-",INDEX(Circuits!X:X,SUMPRODUCT(EXACT($AE155,Circuits!$A:$A)*ROW(Circuits!$A:$A))))</f>
        <v>-</v>
      </c>
      <c r="Z155" s="108" t="str">
        <f>IFERROR(__xludf.DUMMYFUNCTION("IFNA(CONCATENATE(UNIQUE(FILTER(Connections!R:R,Connections!A:A=B155))),""-"")"),"-")</f>
        <v>-</v>
      </c>
      <c r="AA155" s="119" t="str">
        <f t="array" ref="AA155">IF(ISBLANK($AE155), "-",INDEX(Circuits!Y:Y,SUMPRODUCT(EXACT($AE155,Circuits!$A:$A)*ROW(Circuits!$A:$A))))</f>
        <v>-</v>
      </c>
      <c r="AB155" s="121" t="str">
        <f t="array" ref="AB155">IF(ISBLANK($AE155), "-",INDEX(Circuits!Z:Z,SUMPRODUCT(EXACT($AE155,Circuits!$A:$A)*ROW(Circuits!$A:$A))))</f>
        <v>-</v>
      </c>
      <c r="AC155" s="194"/>
      <c r="AD155" s="194"/>
      <c r="AE155" s="40"/>
      <c r="AF155" s="43"/>
      <c r="AG155" s="126" t="str">
        <f>IFERROR(__xludf.DUMMYFUNCTION("IF(ISBLANK(AF155), """", TEXTJOIN(CHAR(10),TRUE,ARRAYFORMULA(IF(ISERROR(SEARCH(SPLIT(AF155, "";""), $Z155)), ""x"", ""-""))))"),"")</f>
        <v/>
      </c>
      <c r="AH155" s="127" t="str">
        <f>IFERROR(__xludf.DUMMYFUNCTION("IF(ISBLANK(AK155), """", TEXTJOIN("";"" &amp; CHAR(10), TRUE, UNIQUE(SPLIT(AK155, "";"" &amp; CHAR(10)), TRUE))&amp;"";"")"),"")</f>
        <v/>
      </c>
      <c r="AI155" s="128" t="str">
        <f>IFERROR(__xludf.DUMMYFUNCTION("IF(ISBLANK(AD155), IF(ISBLANK(AE155),,IFNA(TEXTJOIN("";"" &amp; CHAR(10), TRUE, FILTER(AE:AE, SEARCH(AE155&amp;"";"", AJ:AJ)))&amp;"";"", """")), TEXTJOIN("";"" &amp; CHAR(10), TRUE, UNIQUE(SPLIT(AH155 &amp; "";"" &amp; AH155 &amp; "";"" &amp; AL155, "";"" &amp; CHAR(10)), TRUE, TRUE))&amp;"";"&amp;""")"),"")</f>
        <v/>
      </c>
      <c r="AJ155" s="126" t="str">
        <f>IFERROR(__xludf.DUMMYFUNCTION("IF(AN155="""", """", TEXTJOIN("";"" &amp; CHAR(10), TRUE, UNIQUE(SPLIT(AH155 &amp; "";"" &amp; AH155 &amp; "";"" &amp; AN155, "";"" &amp; CHAR(10)), TRUE, TRUE))&amp;"";"")"),"")</f>
        <v/>
      </c>
      <c r="AK155" s="129" t="str">
        <f>IFERROR(__xludf.DUMMYFUNCTION("IF(ISBLANK(AD155), IF(ISBLANK(AE155),,AE155 &amp; "";""), TEXTJOIN(CHAR(10), TRUE, ARRAYFORMULA(VLOOKUP(SPLIT(AD155, "";"" &amp; CHAR(10)), $AC:$AH, 6, FALSE))))"),"")</f>
        <v/>
      </c>
      <c r="AL155" s="130" t="str">
        <f>IFERROR(__xludf.DUMMYFUNCTION("IF(AM155="""", """", TEXTJOIN("";"" &amp; CHAR(10), TRUE, UNIQUE(SPLIT(AM155, "";"" &amp; CHAR(10)), TRUE))&amp;"";"")"),"")</f>
        <v/>
      </c>
      <c r="AM155" s="130" t="str">
        <f>IFERROR(__xludf.DUMMYFUNCTION("IF(ISBLANK(AD155), """", TEXTJOIN(CHAR(10), TRUE, ARRAYFORMULA(VLOOKUP(SPLIT(AH155, "";"" &amp; CHAR(10)), $AE:$AI, 5, FALSE)), AF155))"),"")</f>
        <v/>
      </c>
      <c r="AN155" s="132" t="str">
        <f>IFERROR(__xludf.DUMMYFUNCTION("IF(ISBLANK(AO155), """", TEXTJOIN("";"" &amp; CHAR(10), TRUE, UNIQUE(SPLIT(AO155, "";"" &amp; CHAR(10)), TRUE))&amp;"";"")"),"")</f>
        <v/>
      </c>
      <c r="AO155" s="134" t="str">
        <f>IFERROR(__xludf.DUMMYFUNCTION("IF(ISBLANK(AD155), AF155, TEXTJOIN(CHAR(10), TRUE, ARRAYFORMULA(VLOOKUP(SPLIT(AD155, "";"" &amp; CHAR(10)), $AC:$AN, 12, FALSE))))"),"")</f>
        <v/>
      </c>
      <c r="AP155" s="130" t="str">
        <f>IF(ISBLANK(AE155),,IF(IFERROR(SEARCH(AE155&amp;";",Circuits!$AO$2),0),TRUE,FALSE))</f>
        <v/>
      </c>
      <c r="AQ155" s="130" t="str">
        <f t="shared" si="2"/>
        <v/>
      </c>
      <c r="AR155" s="130" t="str">
        <f t="shared" si="3"/>
        <v/>
      </c>
      <c r="AS155" s="136" t="str">
        <f>IFERROR(__xludf.DUMMYFUNCTION("IF(AH155="""",,SUM(ARRAYFORMULA(IF(IFERROR(SEARCH(SPLIT(AH155,CHAR(10)),Circuits!$AO$2),0)&gt;0,0,1))))"),"")</f>
        <v/>
      </c>
      <c r="AT155" s="138" t="str">
        <f t="shared" si="4"/>
        <v/>
      </c>
      <c r="AU155" s="138" t="str">
        <f t="shared" si="5"/>
        <v/>
      </c>
      <c r="AV155" s="130" t="str">
        <f>IFERROR(__xludf.DUMMYFUNCTION("IF(AI155="""",,TEXTJOIN("", "",TRUE,ARRAYFORMULA(VLOOKUP(SPLIT(AI155,"";""&amp;CHAR(10)),AE:AT,16,FALSE))))"),"")</f>
        <v/>
      </c>
      <c r="AW155" s="130" t="str">
        <f>IFERROR(__xludf.DUMMYFUNCTION("IF(ISBLANK(BK155),,TEXTJOIN("", "",TRUE,ARRAYFORMULA(VLOOKUP(IFERROR(REGEXEXTRACT(SPLIT(BK155,"";""&amp;CHAR(10)),""\[(.+)\]"")),AE:AT,16,false))))"),"")</f>
        <v/>
      </c>
      <c r="AX155" s="139" t="str">
        <f t="shared" si="6"/>
        <v/>
      </c>
      <c r="AY155" s="139" t="str">
        <f t="shared" si="7"/>
        <v/>
      </c>
      <c r="AZ155" s="106" t="str">
        <f>IFERROR(__xludf.DUMMYFUNCTION("IF(ISBLANK(AD155), BC155, TEXTJOIN(CHAR(10) &amp; CHAR(10), TRUE, ARRAYFORMULA(VLOOKUP(SPLIT(AD155, "";"" &amp; CHAR(10)), $AC:$AY, 23, FALSE))))"),"")</f>
        <v/>
      </c>
      <c r="BA155" s="140" t="s">
        <v>66</v>
      </c>
      <c r="BB155" s="190"/>
      <c r="BC155" s="196"/>
      <c r="BD155" s="106" t="str">
        <f>IFERROR(__xludf.DUMMYFUNCTION("IF(IFERROR(SEARCH(""&lt;&lt;mechanism to realize the capability&gt;&gt;"",BA155),0)=0,
 ""!! Error !! “Capability&amp;Mechanism” column: Invalid Separator:"" &amp; CHAR(10) &amp; ""Insert separator “&lt;&lt;mechanism to realize the capability&gt;&gt;.”"",
 IF(
  LEN(TRIM(CLEAN(
    INDEX(
 "&amp;"     SPLIT(BA155,""&lt;&lt;mechanism to realize the capability&gt;&gt;"",FALSE,FALSE),
      1
    )
  )))=0,
  ""!! Error !! “Capability&amp;Mechanism” column: No Capability:""  &amp; CHAR(10) &amp; ""Describe Capability before separator."",
  INDEX(
    SPLIT(BA155,""&lt;&lt;mechani"&amp;"sm to realize the capability&gt;&gt;"",FALSE,FALSE),
    1
  )
 )
)
"),"!! Error !! “Capability&amp;Mechanism” column: No Capability:
Describe Capability before separator.")</f>
        <v>!! Error !! “Capability&amp;Mechanism” column: No Capability:
Describe Capability before separator.</v>
      </c>
      <c r="BE155" s="190"/>
      <c r="BF155" s="195"/>
      <c r="BG155" s="42"/>
      <c r="BH155" s="190"/>
      <c r="BI155" s="196"/>
      <c r="BJ155" s="42"/>
      <c r="BK155" s="42"/>
      <c r="BL155" s="203"/>
      <c r="BM155" s="203"/>
      <c r="BN155" s="42"/>
      <c r="BO155" s="42"/>
      <c r="BP155" s="143"/>
      <c r="BQ155" s="143"/>
      <c r="BR155" s="192"/>
      <c r="BS155" s="192"/>
      <c r="BT155" s="192"/>
      <c r="BU155" s="192"/>
      <c r="BV155" s="192"/>
      <c r="BW155" s="192"/>
      <c r="BX155" s="146" t="str">
        <f t="shared" si="8"/>
        <v/>
      </c>
    </row>
    <row r="156">
      <c r="A156" s="106" t="str">
        <f t="shared" si="1"/>
        <v/>
      </c>
      <c r="B156" s="183" t="str">
        <f t="array" ref="B156">IF(ISBLANK($AE156), "-",INDEX(Circuits!A:A,SUMPRODUCT(EXACT($AE156,Circuits!$A:$A)*ROW(Circuits!$A:$A))))</f>
        <v>-</v>
      </c>
      <c r="C156" s="183" t="str">
        <f t="array" ref="C156">IF(ISBLANK($AE156), "-",INDEX(Circuits!B:B,SUMPRODUCT(EXACT($AE156,Circuits!$A:$A)*ROW(Circuits!$A:$A))))</f>
        <v>-</v>
      </c>
      <c r="D156" s="183" t="str">
        <f t="array" ref="D156">IF(ISBLANK($AE156), "-",INDEX(Circuits!C:C,SUMPRODUCT(EXACT($AE156,Circuits!$A:$A)*ROW(Circuits!$A:$A))))</f>
        <v>-</v>
      </c>
      <c r="E156" s="183" t="str">
        <f t="array" ref="E156">IF(ISBLANK($AE156), "-",INDEX(Circuits!D:D,SUMPRODUCT(EXACT($AE156,Circuits!$A:$A)*ROW(Circuits!$A:$A))))</f>
        <v>-</v>
      </c>
      <c r="F156" s="183" t="str">
        <f t="array" ref="F156">IF(ISBLANK($AE156), "-",INDEX(Circuits!E:E,SUMPRODUCT(EXACT($AE156,Circuits!$A:$A)*ROW(Circuits!$A:$A))))</f>
        <v>-</v>
      </c>
      <c r="G156" s="183" t="str">
        <f t="array" ref="G156">IF(ISBLANK($AE156), "-",INDEX(Circuits!F:F,SUMPRODUCT(EXACT($AE156,Circuits!$A:$A)*ROW(Circuits!$A:$A))))</f>
        <v>-</v>
      </c>
      <c r="H156" s="183" t="str">
        <f t="array" ref="H156">IF(ISBLANK($AE156), "-",INDEX(Circuits!G:G,SUMPRODUCT(EXACT($AE156,Circuits!$A:$A)*ROW(Circuits!$A:$A))))</f>
        <v>-</v>
      </c>
      <c r="I156" s="183" t="str">
        <f t="array" ref="I156">IF(ISBLANK($AE156), "-",INDEX(Circuits!H:H,SUMPRODUCT(EXACT($AE156,Circuits!$A:$A)*ROW(Circuits!$A:$A))))</f>
        <v>-</v>
      </c>
      <c r="J156" s="183" t="str">
        <f t="array" ref="J156">IF(ISBLANK($AE156), "-",INDEX(Circuits!I:I,SUMPRODUCT(EXACT($AE156,Circuits!$A:$A)*ROW(Circuits!$A:$A))))</f>
        <v>-</v>
      </c>
      <c r="K156" s="183" t="str">
        <f t="array" ref="K156">IF(ISBLANK($AE156), "-",INDEX(Circuits!J:J,SUMPRODUCT(EXACT($AE156,Circuits!$A:$A)*ROW(Circuits!$A:$A))))</f>
        <v>-</v>
      </c>
      <c r="L156" s="183" t="str">
        <f t="array" ref="L156">IF(ISBLANK($AE156), "-",INDEX(Circuits!K:K,SUMPRODUCT(EXACT($AE156,Circuits!$A:$A)*ROW(Circuits!$A:$A))))</f>
        <v>-</v>
      </c>
      <c r="M156" s="183" t="str">
        <f t="array" ref="M156">IF(ISBLANK($AE156), "-",INDEX(Circuits!L:L,SUMPRODUCT(EXACT($AE156,Circuits!$A:$A)*ROW(Circuits!$A:$A))))</f>
        <v>-</v>
      </c>
      <c r="N156" s="183" t="str">
        <f t="array" ref="N156">IF(ISBLANK($AE156), "-",INDEX(Circuits!M:M,SUMPRODUCT(EXACT($AE156,Circuits!$A:$A)*ROW(Circuits!$A:$A))))</f>
        <v>-</v>
      </c>
      <c r="O156" s="183" t="str">
        <f t="array" ref="O156">IF(ISBLANK($AE156), "-",INDEX(Circuits!N:N,SUMPRODUCT(EXACT($AE156,Circuits!$A:$A)*ROW(Circuits!$A:$A))))</f>
        <v>-</v>
      </c>
      <c r="P156" s="183" t="str">
        <f t="array" ref="P156">IF(ISBLANK($AE156), "-",INDEX(Circuits!O:O,SUMPRODUCT(EXACT($AE156,Circuits!$A:$A)*ROW(Circuits!$A:$A))))</f>
        <v>-</v>
      </c>
      <c r="Q156" s="183" t="str">
        <f t="array" ref="Q156">IF(ISBLANK($AE156), "-",INDEX(Circuits!P:P,SUMPRODUCT(EXACT($AE156,Circuits!$A:$A)*ROW(Circuits!$A:$A))))</f>
        <v>-</v>
      </c>
      <c r="R156" s="183" t="str">
        <f t="array" ref="R156">IF(ISBLANK($AE156), "-",INDEX(Circuits!Q:Q,SUMPRODUCT(EXACT($AE156,Circuits!$A:$A)*ROW(Circuits!$A:$A))))</f>
        <v>-</v>
      </c>
      <c r="S156" s="183" t="str">
        <f t="array" ref="S156">IF(ISBLANK($AE156), "-",INDEX(Circuits!R:R,SUMPRODUCT(EXACT($AE156,Circuits!$A:$A)*ROW(Circuits!$A:$A))))</f>
        <v>-</v>
      </c>
      <c r="T156" s="183" t="str">
        <f t="array" ref="T156">IF(ISBLANK($AE156), "-",INDEX(Circuits!S:S,SUMPRODUCT(EXACT($AE156,Circuits!$A:$A)*ROW(Circuits!$A:$A))))</f>
        <v>-</v>
      </c>
      <c r="U156" s="183" t="str">
        <f t="array" ref="U156">IF(ISBLANK($AE156), "-",INDEX(Circuits!T:T,SUMPRODUCT(EXACT($AE156,Circuits!$A:$A)*ROW(Circuits!$A:$A))))</f>
        <v>-</v>
      </c>
      <c r="V156" s="183" t="str">
        <f t="array" ref="V156">IF(ISBLANK($AE156), "-",INDEX(Circuits!U:U,SUMPRODUCT(EXACT($AE156,Circuits!$A:$A)*ROW(Circuits!$A:$A))))</f>
        <v>-</v>
      </c>
      <c r="W156" s="183" t="str">
        <f t="array" ref="W156">IF(ISBLANK($AE156), "-",INDEX(Circuits!V:V,SUMPRODUCT(EXACT($AE156,Circuits!$A:$A)*ROW(Circuits!$A:$A))))</f>
        <v>-</v>
      </c>
      <c r="X156" s="183" t="str">
        <f t="array" ref="X156">IF(ISBLANK($AE156), "-",INDEX(Circuits!W:W,SUMPRODUCT(EXACT($AE156,Circuits!$A:$A)*ROW(Circuits!$A:$A))))</f>
        <v>-</v>
      </c>
      <c r="Y156" s="183" t="str">
        <f t="array" ref="Y156">IF(ISBLANK($AE156), "-",INDEX(Circuits!X:X,SUMPRODUCT(EXACT($AE156,Circuits!$A:$A)*ROW(Circuits!$A:$A))))</f>
        <v>-</v>
      </c>
      <c r="Z156" s="108" t="str">
        <f>IFERROR(__xludf.DUMMYFUNCTION("IFNA(CONCATENATE(UNIQUE(FILTER(Connections!R:R,Connections!A:A=B156))),""-"")"),"-")</f>
        <v>-</v>
      </c>
      <c r="AA156" s="119" t="str">
        <f t="array" ref="AA156">IF(ISBLANK($AE156), "-",INDEX(Circuits!Y:Y,SUMPRODUCT(EXACT($AE156,Circuits!$A:$A)*ROW(Circuits!$A:$A))))</f>
        <v>-</v>
      </c>
      <c r="AB156" s="121" t="str">
        <f t="array" ref="AB156">IF(ISBLANK($AE156), "-",INDEX(Circuits!Z:Z,SUMPRODUCT(EXACT($AE156,Circuits!$A:$A)*ROW(Circuits!$A:$A))))</f>
        <v>-</v>
      </c>
      <c r="AC156" s="194"/>
      <c r="AD156" s="194"/>
      <c r="AE156" s="40"/>
      <c r="AF156" s="43"/>
      <c r="AG156" s="126" t="str">
        <f>IFERROR(__xludf.DUMMYFUNCTION("IF(ISBLANK(AF156), """", TEXTJOIN(CHAR(10),TRUE,ARRAYFORMULA(IF(ISERROR(SEARCH(SPLIT(AF156, "";""), $Z156)), ""x"", ""-""))))"),"")</f>
        <v/>
      </c>
      <c r="AH156" s="127" t="str">
        <f>IFERROR(__xludf.DUMMYFUNCTION("IF(ISBLANK(AK156), """", TEXTJOIN("";"" &amp; CHAR(10), TRUE, UNIQUE(SPLIT(AK156, "";"" &amp; CHAR(10)), TRUE))&amp;"";"")"),"")</f>
        <v/>
      </c>
      <c r="AI156" s="128" t="str">
        <f>IFERROR(__xludf.DUMMYFUNCTION("IF(ISBLANK(AD156), IF(ISBLANK(AE156),,IFNA(TEXTJOIN("";"" &amp; CHAR(10), TRUE, FILTER(AE:AE, SEARCH(AE156&amp;"";"", AJ:AJ)))&amp;"";"", """")), TEXTJOIN("";"" &amp; CHAR(10), TRUE, UNIQUE(SPLIT(AH156 &amp; "";"" &amp; AH156 &amp; "";"" &amp; AL156, "";"" &amp; CHAR(10)), TRUE, TRUE))&amp;"";"&amp;""")"),"")</f>
        <v/>
      </c>
      <c r="AJ156" s="126" t="str">
        <f>IFERROR(__xludf.DUMMYFUNCTION("IF(AN156="""", """", TEXTJOIN("";"" &amp; CHAR(10), TRUE, UNIQUE(SPLIT(AH156 &amp; "";"" &amp; AH156 &amp; "";"" &amp; AN156, "";"" &amp; CHAR(10)), TRUE, TRUE))&amp;"";"")"),"")</f>
        <v/>
      </c>
      <c r="AK156" s="129" t="str">
        <f>IFERROR(__xludf.DUMMYFUNCTION("IF(ISBLANK(AD156), IF(ISBLANK(AE156),,AE156 &amp; "";""), TEXTJOIN(CHAR(10), TRUE, ARRAYFORMULA(VLOOKUP(SPLIT(AD156, "";"" &amp; CHAR(10)), $AC:$AH, 6, FALSE))))"),"")</f>
        <v/>
      </c>
      <c r="AL156" s="130" t="str">
        <f>IFERROR(__xludf.DUMMYFUNCTION("IF(AM156="""", """", TEXTJOIN("";"" &amp; CHAR(10), TRUE, UNIQUE(SPLIT(AM156, "";"" &amp; CHAR(10)), TRUE))&amp;"";"")"),"")</f>
        <v/>
      </c>
      <c r="AM156" s="130" t="str">
        <f>IFERROR(__xludf.DUMMYFUNCTION("IF(ISBLANK(AD156), """", TEXTJOIN(CHAR(10), TRUE, ARRAYFORMULA(VLOOKUP(SPLIT(AH156, "";"" &amp; CHAR(10)), $AE:$AI, 5, FALSE)), AF156))"),"")</f>
        <v/>
      </c>
      <c r="AN156" s="132" t="str">
        <f>IFERROR(__xludf.DUMMYFUNCTION("IF(ISBLANK(AO156), """", TEXTJOIN("";"" &amp; CHAR(10), TRUE, UNIQUE(SPLIT(AO156, "";"" &amp; CHAR(10)), TRUE))&amp;"";"")"),"")</f>
        <v/>
      </c>
      <c r="AO156" s="134" t="str">
        <f>IFERROR(__xludf.DUMMYFUNCTION("IF(ISBLANK(AD156), AF156, TEXTJOIN(CHAR(10), TRUE, ARRAYFORMULA(VLOOKUP(SPLIT(AD156, "";"" &amp; CHAR(10)), $AC:$AN, 12, FALSE))))"),"")</f>
        <v/>
      </c>
      <c r="AP156" s="130" t="str">
        <f>IF(ISBLANK(AE156),,IF(IFERROR(SEARCH(AE156&amp;";",Circuits!$AO$2),0),TRUE,FALSE))</f>
        <v/>
      </c>
      <c r="AQ156" s="130" t="str">
        <f t="shared" si="2"/>
        <v/>
      </c>
      <c r="AR156" s="130" t="str">
        <f t="shared" si="3"/>
        <v/>
      </c>
      <c r="AS156" s="136" t="str">
        <f>IFERROR(__xludf.DUMMYFUNCTION("IF(AH156="""",,SUM(ARRAYFORMULA(IF(IFERROR(SEARCH(SPLIT(AH156,CHAR(10)),Circuits!$AO$2),0)&gt;0,0,1))))"),"")</f>
        <v/>
      </c>
      <c r="AT156" s="138" t="str">
        <f t="shared" si="4"/>
        <v/>
      </c>
      <c r="AU156" s="138" t="str">
        <f t="shared" si="5"/>
        <v/>
      </c>
      <c r="AV156" s="130" t="str">
        <f>IFERROR(__xludf.DUMMYFUNCTION("IF(AI156="""",,TEXTJOIN("", "",TRUE,ARRAYFORMULA(VLOOKUP(SPLIT(AI156,"";""&amp;CHAR(10)),AE:AT,16,FALSE))))"),"")</f>
        <v/>
      </c>
      <c r="AW156" s="130" t="str">
        <f>IFERROR(__xludf.DUMMYFUNCTION("IF(ISBLANK(BK156),,TEXTJOIN("", "",TRUE,ARRAYFORMULA(VLOOKUP(IFERROR(REGEXEXTRACT(SPLIT(BK156,"";""&amp;CHAR(10)),""\[(.+)\]"")),AE:AT,16,false))))"),"")</f>
        <v/>
      </c>
      <c r="AX156" s="139" t="str">
        <f t="shared" si="6"/>
        <v/>
      </c>
      <c r="AY156" s="139" t="str">
        <f t="shared" si="7"/>
        <v/>
      </c>
      <c r="AZ156" s="106" t="str">
        <f>IFERROR(__xludf.DUMMYFUNCTION("IF(ISBLANK(AD156), BC156, TEXTJOIN(CHAR(10) &amp; CHAR(10), TRUE, ARRAYFORMULA(VLOOKUP(SPLIT(AD156, "";"" &amp; CHAR(10)), $AC:$AY, 23, FALSE))))"),"")</f>
        <v/>
      </c>
      <c r="BA156" s="140" t="s">
        <v>66</v>
      </c>
      <c r="BB156" s="190"/>
      <c r="BC156" s="196"/>
      <c r="BD156" s="106" t="str">
        <f>IFERROR(__xludf.DUMMYFUNCTION("IF(IFERROR(SEARCH(""&lt;&lt;mechanism to realize the capability&gt;&gt;"",BA156),0)=0,
 ""!! Error !! “Capability&amp;Mechanism” column: Invalid Separator:"" &amp; CHAR(10) &amp; ""Insert separator “&lt;&lt;mechanism to realize the capability&gt;&gt;.”"",
 IF(
  LEN(TRIM(CLEAN(
    INDEX(
 "&amp;"     SPLIT(BA156,""&lt;&lt;mechanism to realize the capability&gt;&gt;"",FALSE,FALSE),
      1
    )
  )))=0,
  ""!! Error !! “Capability&amp;Mechanism” column: No Capability:""  &amp; CHAR(10) &amp; ""Describe Capability before separator."",
  INDEX(
    SPLIT(BA156,""&lt;&lt;mechani"&amp;"sm to realize the capability&gt;&gt;"",FALSE,FALSE),
    1
  )
 )
)
"),"!! Error !! “Capability&amp;Mechanism” column: No Capability:
Describe Capability before separator.")</f>
        <v>!! Error !! “Capability&amp;Mechanism” column: No Capability:
Describe Capability before separator.</v>
      </c>
      <c r="BE156" s="190"/>
      <c r="BF156" s="195"/>
      <c r="BG156" s="42"/>
      <c r="BH156" s="190"/>
      <c r="BI156" s="196"/>
      <c r="BJ156" s="42"/>
      <c r="BK156" s="42"/>
      <c r="BL156" s="203"/>
      <c r="BM156" s="203"/>
      <c r="BN156" s="42"/>
      <c r="BO156" s="42"/>
      <c r="BP156" s="143"/>
      <c r="BQ156" s="143"/>
      <c r="BR156" s="192"/>
      <c r="BS156" s="192"/>
      <c r="BT156" s="192"/>
      <c r="BU156" s="192"/>
      <c r="BV156" s="192"/>
      <c r="BW156" s="192"/>
      <c r="BX156" s="146" t="str">
        <f t="shared" si="8"/>
        <v/>
      </c>
    </row>
    <row r="157">
      <c r="A157" s="106" t="str">
        <f t="shared" si="1"/>
        <v/>
      </c>
      <c r="B157" s="183" t="str">
        <f t="array" ref="B157">IF(ISBLANK($AE157), "-",INDEX(Circuits!A:A,SUMPRODUCT(EXACT($AE157,Circuits!$A:$A)*ROW(Circuits!$A:$A))))</f>
        <v>-</v>
      </c>
      <c r="C157" s="183" t="str">
        <f t="array" ref="C157">IF(ISBLANK($AE157), "-",INDEX(Circuits!B:B,SUMPRODUCT(EXACT($AE157,Circuits!$A:$A)*ROW(Circuits!$A:$A))))</f>
        <v>-</v>
      </c>
      <c r="D157" s="183" t="str">
        <f t="array" ref="D157">IF(ISBLANK($AE157), "-",INDEX(Circuits!C:C,SUMPRODUCT(EXACT($AE157,Circuits!$A:$A)*ROW(Circuits!$A:$A))))</f>
        <v>-</v>
      </c>
      <c r="E157" s="183" t="str">
        <f t="array" ref="E157">IF(ISBLANK($AE157), "-",INDEX(Circuits!D:D,SUMPRODUCT(EXACT($AE157,Circuits!$A:$A)*ROW(Circuits!$A:$A))))</f>
        <v>-</v>
      </c>
      <c r="F157" s="183" t="str">
        <f t="array" ref="F157">IF(ISBLANK($AE157), "-",INDEX(Circuits!E:E,SUMPRODUCT(EXACT($AE157,Circuits!$A:$A)*ROW(Circuits!$A:$A))))</f>
        <v>-</v>
      </c>
      <c r="G157" s="183" t="str">
        <f t="array" ref="G157">IF(ISBLANK($AE157), "-",INDEX(Circuits!F:F,SUMPRODUCT(EXACT($AE157,Circuits!$A:$A)*ROW(Circuits!$A:$A))))</f>
        <v>-</v>
      </c>
      <c r="H157" s="183" t="str">
        <f t="array" ref="H157">IF(ISBLANK($AE157), "-",INDEX(Circuits!G:G,SUMPRODUCT(EXACT($AE157,Circuits!$A:$A)*ROW(Circuits!$A:$A))))</f>
        <v>-</v>
      </c>
      <c r="I157" s="183" t="str">
        <f t="array" ref="I157">IF(ISBLANK($AE157), "-",INDEX(Circuits!H:H,SUMPRODUCT(EXACT($AE157,Circuits!$A:$A)*ROW(Circuits!$A:$A))))</f>
        <v>-</v>
      </c>
      <c r="J157" s="183" t="str">
        <f t="array" ref="J157">IF(ISBLANK($AE157), "-",INDEX(Circuits!I:I,SUMPRODUCT(EXACT($AE157,Circuits!$A:$A)*ROW(Circuits!$A:$A))))</f>
        <v>-</v>
      </c>
      <c r="K157" s="183" t="str">
        <f t="array" ref="K157">IF(ISBLANK($AE157), "-",INDEX(Circuits!J:J,SUMPRODUCT(EXACT($AE157,Circuits!$A:$A)*ROW(Circuits!$A:$A))))</f>
        <v>-</v>
      </c>
      <c r="L157" s="183" t="str">
        <f t="array" ref="L157">IF(ISBLANK($AE157), "-",INDEX(Circuits!K:K,SUMPRODUCT(EXACT($AE157,Circuits!$A:$A)*ROW(Circuits!$A:$A))))</f>
        <v>-</v>
      </c>
      <c r="M157" s="183" t="str">
        <f t="array" ref="M157">IF(ISBLANK($AE157), "-",INDEX(Circuits!L:L,SUMPRODUCT(EXACT($AE157,Circuits!$A:$A)*ROW(Circuits!$A:$A))))</f>
        <v>-</v>
      </c>
      <c r="N157" s="183" t="str">
        <f t="array" ref="N157">IF(ISBLANK($AE157), "-",INDEX(Circuits!M:M,SUMPRODUCT(EXACT($AE157,Circuits!$A:$A)*ROW(Circuits!$A:$A))))</f>
        <v>-</v>
      </c>
      <c r="O157" s="183" t="str">
        <f t="array" ref="O157">IF(ISBLANK($AE157), "-",INDEX(Circuits!N:N,SUMPRODUCT(EXACT($AE157,Circuits!$A:$A)*ROW(Circuits!$A:$A))))</f>
        <v>-</v>
      </c>
      <c r="P157" s="183" t="str">
        <f t="array" ref="P157">IF(ISBLANK($AE157), "-",INDEX(Circuits!O:O,SUMPRODUCT(EXACT($AE157,Circuits!$A:$A)*ROW(Circuits!$A:$A))))</f>
        <v>-</v>
      </c>
      <c r="Q157" s="183" t="str">
        <f t="array" ref="Q157">IF(ISBLANK($AE157), "-",INDEX(Circuits!P:P,SUMPRODUCT(EXACT($AE157,Circuits!$A:$A)*ROW(Circuits!$A:$A))))</f>
        <v>-</v>
      </c>
      <c r="R157" s="183" t="str">
        <f t="array" ref="R157">IF(ISBLANK($AE157), "-",INDEX(Circuits!Q:Q,SUMPRODUCT(EXACT($AE157,Circuits!$A:$A)*ROW(Circuits!$A:$A))))</f>
        <v>-</v>
      </c>
      <c r="S157" s="183" t="str">
        <f t="array" ref="S157">IF(ISBLANK($AE157), "-",INDEX(Circuits!R:R,SUMPRODUCT(EXACT($AE157,Circuits!$A:$A)*ROW(Circuits!$A:$A))))</f>
        <v>-</v>
      </c>
      <c r="T157" s="183" t="str">
        <f t="array" ref="T157">IF(ISBLANK($AE157), "-",INDEX(Circuits!S:S,SUMPRODUCT(EXACT($AE157,Circuits!$A:$A)*ROW(Circuits!$A:$A))))</f>
        <v>-</v>
      </c>
      <c r="U157" s="183" t="str">
        <f t="array" ref="U157">IF(ISBLANK($AE157), "-",INDEX(Circuits!T:T,SUMPRODUCT(EXACT($AE157,Circuits!$A:$A)*ROW(Circuits!$A:$A))))</f>
        <v>-</v>
      </c>
      <c r="V157" s="183" t="str">
        <f t="array" ref="V157">IF(ISBLANK($AE157), "-",INDEX(Circuits!U:U,SUMPRODUCT(EXACT($AE157,Circuits!$A:$A)*ROW(Circuits!$A:$A))))</f>
        <v>-</v>
      </c>
      <c r="W157" s="183" t="str">
        <f t="array" ref="W157">IF(ISBLANK($AE157), "-",INDEX(Circuits!V:V,SUMPRODUCT(EXACT($AE157,Circuits!$A:$A)*ROW(Circuits!$A:$A))))</f>
        <v>-</v>
      </c>
      <c r="X157" s="183" t="str">
        <f t="array" ref="X157">IF(ISBLANK($AE157), "-",INDEX(Circuits!W:W,SUMPRODUCT(EXACT($AE157,Circuits!$A:$A)*ROW(Circuits!$A:$A))))</f>
        <v>-</v>
      </c>
      <c r="Y157" s="183" t="str">
        <f t="array" ref="Y157">IF(ISBLANK($AE157), "-",INDEX(Circuits!X:X,SUMPRODUCT(EXACT($AE157,Circuits!$A:$A)*ROW(Circuits!$A:$A))))</f>
        <v>-</v>
      </c>
      <c r="Z157" s="108" t="str">
        <f>IFERROR(__xludf.DUMMYFUNCTION("IFNA(CONCATENATE(UNIQUE(FILTER(Connections!R:R,Connections!A:A=B157))),""-"")"),"-")</f>
        <v>-</v>
      </c>
      <c r="AA157" s="119" t="str">
        <f t="array" ref="AA157">IF(ISBLANK($AE157), "-",INDEX(Circuits!Y:Y,SUMPRODUCT(EXACT($AE157,Circuits!$A:$A)*ROW(Circuits!$A:$A))))</f>
        <v>-</v>
      </c>
      <c r="AB157" s="121" t="str">
        <f t="array" ref="AB157">IF(ISBLANK($AE157), "-",INDEX(Circuits!Z:Z,SUMPRODUCT(EXACT($AE157,Circuits!$A:$A)*ROW(Circuits!$A:$A))))</f>
        <v>-</v>
      </c>
      <c r="AC157" s="194"/>
      <c r="AD157" s="194"/>
      <c r="AE157" s="40"/>
      <c r="AF157" s="43"/>
      <c r="AG157" s="126" t="str">
        <f>IFERROR(__xludf.DUMMYFUNCTION("IF(ISBLANK(AF157), """", TEXTJOIN(CHAR(10),TRUE,ARRAYFORMULA(IF(ISERROR(SEARCH(SPLIT(AF157, "";""), $Z157)), ""x"", ""-""))))"),"")</f>
        <v/>
      </c>
      <c r="AH157" s="127" t="str">
        <f>IFERROR(__xludf.DUMMYFUNCTION("IF(ISBLANK(AK157), """", TEXTJOIN("";"" &amp; CHAR(10), TRUE, UNIQUE(SPLIT(AK157, "";"" &amp; CHAR(10)), TRUE))&amp;"";"")"),"")</f>
        <v/>
      </c>
      <c r="AI157" s="128" t="str">
        <f>IFERROR(__xludf.DUMMYFUNCTION("IF(ISBLANK(AD157), IF(ISBLANK(AE157),,IFNA(TEXTJOIN("";"" &amp; CHAR(10), TRUE, FILTER(AE:AE, SEARCH(AE157&amp;"";"", AJ:AJ)))&amp;"";"", """")), TEXTJOIN("";"" &amp; CHAR(10), TRUE, UNIQUE(SPLIT(AH157 &amp; "";"" &amp; AH157 &amp; "";"" &amp; AL157, "";"" &amp; CHAR(10)), TRUE, TRUE))&amp;"";"&amp;""")"),"")</f>
        <v/>
      </c>
      <c r="AJ157" s="126" t="str">
        <f>IFERROR(__xludf.DUMMYFUNCTION("IF(AN157="""", """", TEXTJOIN("";"" &amp; CHAR(10), TRUE, UNIQUE(SPLIT(AH157 &amp; "";"" &amp; AH157 &amp; "";"" &amp; AN157, "";"" &amp; CHAR(10)), TRUE, TRUE))&amp;"";"")"),"")</f>
        <v/>
      </c>
      <c r="AK157" s="129" t="str">
        <f>IFERROR(__xludf.DUMMYFUNCTION("IF(ISBLANK(AD157), IF(ISBLANK(AE157),,AE157 &amp; "";""), TEXTJOIN(CHAR(10), TRUE, ARRAYFORMULA(VLOOKUP(SPLIT(AD157, "";"" &amp; CHAR(10)), $AC:$AH, 6, FALSE))))"),"")</f>
        <v/>
      </c>
      <c r="AL157" s="130" t="str">
        <f>IFERROR(__xludf.DUMMYFUNCTION("IF(AM157="""", """", TEXTJOIN("";"" &amp; CHAR(10), TRUE, UNIQUE(SPLIT(AM157, "";"" &amp; CHAR(10)), TRUE))&amp;"";"")"),"")</f>
        <v/>
      </c>
      <c r="AM157" s="130" t="str">
        <f>IFERROR(__xludf.DUMMYFUNCTION("IF(ISBLANK(AD157), """", TEXTJOIN(CHAR(10), TRUE, ARRAYFORMULA(VLOOKUP(SPLIT(AH157, "";"" &amp; CHAR(10)), $AE:$AI, 5, FALSE)), AF157))"),"")</f>
        <v/>
      </c>
      <c r="AN157" s="132" t="str">
        <f>IFERROR(__xludf.DUMMYFUNCTION("IF(ISBLANK(AO157), """", TEXTJOIN("";"" &amp; CHAR(10), TRUE, UNIQUE(SPLIT(AO157, "";"" &amp; CHAR(10)), TRUE))&amp;"";"")"),"")</f>
        <v/>
      </c>
      <c r="AO157" s="134" t="str">
        <f>IFERROR(__xludf.DUMMYFUNCTION("IF(ISBLANK(AD157), AF157, TEXTJOIN(CHAR(10), TRUE, ARRAYFORMULA(VLOOKUP(SPLIT(AD157, "";"" &amp; CHAR(10)), $AC:$AN, 12, FALSE))))"),"")</f>
        <v/>
      </c>
      <c r="AP157" s="130" t="str">
        <f>IF(ISBLANK(AE157),,IF(IFERROR(SEARCH(AE157&amp;";",Circuits!$AO$2),0),TRUE,FALSE))</f>
        <v/>
      </c>
      <c r="AQ157" s="130" t="str">
        <f t="shared" si="2"/>
        <v/>
      </c>
      <c r="AR157" s="130" t="str">
        <f t="shared" si="3"/>
        <v/>
      </c>
      <c r="AS157" s="136" t="str">
        <f>IFERROR(__xludf.DUMMYFUNCTION("IF(AH157="""",,SUM(ARRAYFORMULA(IF(IFERROR(SEARCH(SPLIT(AH157,CHAR(10)),Circuits!$AO$2),0)&gt;0,0,1))))"),"")</f>
        <v/>
      </c>
      <c r="AT157" s="138" t="str">
        <f t="shared" si="4"/>
        <v/>
      </c>
      <c r="AU157" s="138" t="str">
        <f t="shared" si="5"/>
        <v/>
      </c>
      <c r="AV157" s="130" t="str">
        <f>IFERROR(__xludf.DUMMYFUNCTION("IF(AI157="""",,TEXTJOIN("", "",TRUE,ARRAYFORMULA(VLOOKUP(SPLIT(AI157,"";""&amp;CHAR(10)),AE:AT,16,FALSE))))"),"")</f>
        <v/>
      </c>
      <c r="AW157" s="130" t="str">
        <f>IFERROR(__xludf.DUMMYFUNCTION("IF(ISBLANK(BK157),,TEXTJOIN("", "",TRUE,ARRAYFORMULA(VLOOKUP(IFERROR(REGEXEXTRACT(SPLIT(BK157,"";""&amp;CHAR(10)),""\[(.+)\]"")),AE:AT,16,false))))"),"")</f>
        <v/>
      </c>
      <c r="AX157" s="139" t="str">
        <f t="shared" si="6"/>
        <v/>
      </c>
      <c r="AY157" s="139" t="str">
        <f t="shared" si="7"/>
        <v/>
      </c>
      <c r="AZ157" s="106" t="str">
        <f>IFERROR(__xludf.DUMMYFUNCTION("IF(ISBLANK(AD157), BC157, TEXTJOIN(CHAR(10) &amp; CHAR(10), TRUE, ARRAYFORMULA(VLOOKUP(SPLIT(AD157, "";"" &amp; CHAR(10)), $AC:$AY, 23, FALSE))))"),"")</f>
        <v/>
      </c>
      <c r="BA157" s="140" t="s">
        <v>66</v>
      </c>
      <c r="BB157" s="190"/>
      <c r="BC157" s="196"/>
      <c r="BD157" s="106" t="str">
        <f>IFERROR(__xludf.DUMMYFUNCTION("IF(IFERROR(SEARCH(""&lt;&lt;mechanism to realize the capability&gt;&gt;"",BA157),0)=0,
 ""!! Error !! “Capability&amp;Mechanism” column: Invalid Separator:"" &amp; CHAR(10) &amp; ""Insert separator “&lt;&lt;mechanism to realize the capability&gt;&gt;.”"",
 IF(
  LEN(TRIM(CLEAN(
    INDEX(
 "&amp;"     SPLIT(BA157,""&lt;&lt;mechanism to realize the capability&gt;&gt;"",FALSE,FALSE),
      1
    )
  )))=0,
  ""!! Error !! “Capability&amp;Mechanism” column: No Capability:""  &amp; CHAR(10) &amp; ""Describe Capability before separator."",
  INDEX(
    SPLIT(BA157,""&lt;&lt;mechani"&amp;"sm to realize the capability&gt;&gt;"",FALSE,FALSE),
    1
  )
 )
)
"),"!! Error !! “Capability&amp;Mechanism” column: No Capability:
Describe Capability before separator.")</f>
        <v>!! Error !! “Capability&amp;Mechanism” column: No Capability:
Describe Capability before separator.</v>
      </c>
      <c r="BE157" s="190"/>
      <c r="BF157" s="195"/>
      <c r="BG157" s="42"/>
      <c r="BH157" s="190"/>
      <c r="BI157" s="196"/>
      <c r="BJ157" s="42"/>
      <c r="BK157" s="42"/>
      <c r="BL157" s="203"/>
      <c r="BM157" s="203"/>
      <c r="BN157" s="42"/>
      <c r="BO157" s="42"/>
      <c r="BP157" s="143"/>
      <c r="BQ157" s="143"/>
      <c r="BR157" s="192"/>
      <c r="BS157" s="192"/>
      <c r="BT157" s="192"/>
      <c r="BU157" s="192"/>
      <c r="BV157" s="192"/>
      <c r="BW157" s="192"/>
      <c r="BX157" s="146" t="str">
        <f t="shared" si="8"/>
        <v/>
      </c>
    </row>
    <row r="158">
      <c r="A158" s="106" t="str">
        <f t="shared" si="1"/>
        <v/>
      </c>
      <c r="B158" s="183" t="str">
        <f t="array" ref="B158">IF(ISBLANK($AE158), "-",INDEX(Circuits!A:A,SUMPRODUCT(EXACT($AE158,Circuits!$A:$A)*ROW(Circuits!$A:$A))))</f>
        <v>-</v>
      </c>
      <c r="C158" s="183" t="str">
        <f t="array" ref="C158">IF(ISBLANK($AE158), "-",INDEX(Circuits!B:B,SUMPRODUCT(EXACT($AE158,Circuits!$A:$A)*ROW(Circuits!$A:$A))))</f>
        <v>-</v>
      </c>
      <c r="D158" s="183" t="str">
        <f t="array" ref="D158">IF(ISBLANK($AE158), "-",INDEX(Circuits!C:C,SUMPRODUCT(EXACT($AE158,Circuits!$A:$A)*ROW(Circuits!$A:$A))))</f>
        <v>-</v>
      </c>
      <c r="E158" s="183" t="str">
        <f t="array" ref="E158">IF(ISBLANK($AE158), "-",INDEX(Circuits!D:D,SUMPRODUCT(EXACT($AE158,Circuits!$A:$A)*ROW(Circuits!$A:$A))))</f>
        <v>-</v>
      </c>
      <c r="F158" s="183" t="str">
        <f t="array" ref="F158">IF(ISBLANK($AE158), "-",INDEX(Circuits!E:E,SUMPRODUCT(EXACT($AE158,Circuits!$A:$A)*ROW(Circuits!$A:$A))))</f>
        <v>-</v>
      </c>
      <c r="G158" s="183" t="str">
        <f t="array" ref="G158">IF(ISBLANK($AE158), "-",INDEX(Circuits!F:F,SUMPRODUCT(EXACT($AE158,Circuits!$A:$A)*ROW(Circuits!$A:$A))))</f>
        <v>-</v>
      </c>
      <c r="H158" s="183" t="str">
        <f t="array" ref="H158">IF(ISBLANK($AE158), "-",INDEX(Circuits!G:G,SUMPRODUCT(EXACT($AE158,Circuits!$A:$A)*ROW(Circuits!$A:$A))))</f>
        <v>-</v>
      </c>
      <c r="I158" s="183" t="str">
        <f t="array" ref="I158">IF(ISBLANK($AE158), "-",INDEX(Circuits!H:H,SUMPRODUCT(EXACT($AE158,Circuits!$A:$A)*ROW(Circuits!$A:$A))))</f>
        <v>-</v>
      </c>
      <c r="J158" s="183" t="str">
        <f t="array" ref="J158">IF(ISBLANK($AE158), "-",INDEX(Circuits!I:I,SUMPRODUCT(EXACT($AE158,Circuits!$A:$A)*ROW(Circuits!$A:$A))))</f>
        <v>-</v>
      </c>
      <c r="K158" s="183" t="str">
        <f t="array" ref="K158">IF(ISBLANK($AE158), "-",INDEX(Circuits!J:J,SUMPRODUCT(EXACT($AE158,Circuits!$A:$A)*ROW(Circuits!$A:$A))))</f>
        <v>-</v>
      </c>
      <c r="L158" s="183" t="str">
        <f t="array" ref="L158">IF(ISBLANK($AE158), "-",INDEX(Circuits!K:K,SUMPRODUCT(EXACT($AE158,Circuits!$A:$A)*ROW(Circuits!$A:$A))))</f>
        <v>-</v>
      </c>
      <c r="M158" s="183" t="str">
        <f t="array" ref="M158">IF(ISBLANK($AE158), "-",INDEX(Circuits!L:L,SUMPRODUCT(EXACT($AE158,Circuits!$A:$A)*ROW(Circuits!$A:$A))))</f>
        <v>-</v>
      </c>
      <c r="N158" s="183" t="str">
        <f t="array" ref="N158">IF(ISBLANK($AE158), "-",INDEX(Circuits!M:M,SUMPRODUCT(EXACT($AE158,Circuits!$A:$A)*ROW(Circuits!$A:$A))))</f>
        <v>-</v>
      </c>
      <c r="O158" s="183" t="str">
        <f t="array" ref="O158">IF(ISBLANK($AE158), "-",INDEX(Circuits!N:N,SUMPRODUCT(EXACT($AE158,Circuits!$A:$A)*ROW(Circuits!$A:$A))))</f>
        <v>-</v>
      </c>
      <c r="P158" s="183" t="str">
        <f t="array" ref="P158">IF(ISBLANK($AE158), "-",INDEX(Circuits!O:O,SUMPRODUCT(EXACT($AE158,Circuits!$A:$A)*ROW(Circuits!$A:$A))))</f>
        <v>-</v>
      </c>
      <c r="Q158" s="183" t="str">
        <f t="array" ref="Q158">IF(ISBLANK($AE158), "-",INDEX(Circuits!P:P,SUMPRODUCT(EXACT($AE158,Circuits!$A:$A)*ROW(Circuits!$A:$A))))</f>
        <v>-</v>
      </c>
      <c r="R158" s="183" t="str">
        <f t="array" ref="R158">IF(ISBLANK($AE158), "-",INDEX(Circuits!Q:Q,SUMPRODUCT(EXACT($AE158,Circuits!$A:$A)*ROW(Circuits!$A:$A))))</f>
        <v>-</v>
      </c>
      <c r="S158" s="183" t="str">
        <f t="array" ref="S158">IF(ISBLANK($AE158), "-",INDEX(Circuits!R:R,SUMPRODUCT(EXACT($AE158,Circuits!$A:$A)*ROW(Circuits!$A:$A))))</f>
        <v>-</v>
      </c>
      <c r="T158" s="183" t="str">
        <f t="array" ref="T158">IF(ISBLANK($AE158), "-",INDEX(Circuits!S:S,SUMPRODUCT(EXACT($AE158,Circuits!$A:$A)*ROW(Circuits!$A:$A))))</f>
        <v>-</v>
      </c>
      <c r="U158" s="183" t="str">
        <f t="array" ref="U158">IF(ISBLANK($AE158), "-",INDEX(Circuits!T:T,SUMPRODUCT(EXACT($AE158,Circuits!$A:$A)*ROW(Circuits!$A:$A))))</f>
        <v>-</v>
      </c>
      <c r="V158" s="183" t="str">
        <f t="array" ref="V158">IF(ISBLANK($AE158), "-",INDEX(Circuits!U:U,SUMPRODUCT(EXACT($AE158,Circuits!$A:$A)*ROW(Circuits!$A:$A))))</f>
        <v>-</v>
      </c>
      <c r="W158" s="183" t="str">
        <f t="array" ref="W158">IF(ISBLANK($AE158), "-",INDEX(Circuits!V:V,SUMPRODUCT(EXACT($AE158,Circuits!$A:$A)*ROW(Circuits!$A:$A))))</f>
        <v>-</v>
      </c>
      <c r="X158" s="183" t="str">
        <f t="array" ref="X158">IF(ISBLANK($AE158), "-",INDEX(Circuits!W:W,SUMPRODUCT(EXACT($AE158,Circuits!$A:$A)*ROW(Circuits!$A:$A))))</f>
        <v>-</v>
      </c>
      <c r="Y158" s="183" t="str">
        <f t="array" ref="Y158">IF(ISBLANK($AE158), "-",INDEX(Circuits!X:X,SUMPRODUCT(EXACT($AE158,Circuits!$A:$A)*ROW(Circuits!$A:$A))))</f>
        <v>-</v>
      </c>
      <c r="Z158" s="108" t="str">
        <f>IFERROR(__xludf.DUMMYFUNCTION("IFNA(CONCATENATE(UNIQUE(FILTER(Connections!R:R,Connections!A:A=B158))),""-"")"),"-")</f>
        <v>-</v>
      </c>
      <c r="AA158" s="119" t="str">
        <f t="array" ref="AA158">IF(ISBLANK($AE158), "-",INDEX(Circuits!Y:Y,SUMPRODUCT(EXACT($AE158,Circuits!$A:$A)*ROW(Circuits!$A:$A))))</f>
        <v>-</v>
      </c>
      <c r="AB158" s="121" t="str">
        <f t="array" ref="AB158">IF(ISBLANK($AE158), "-",INDEX(Circuits!Z:Z,SUMPRODUCT(EXACT($AE158,Circuits!$A:$A)*ROW(Circuits!$A:$A))))</f>
        <v>-</v>
      </c>
      <c r="AC158" s="194"/>
      <c r="AD158" s="194"/>
      <c r="AE158" s="40"/>
      <c r="AF158" s="43"/>
      <c r="AG158" s="126" t="str">
        <f>IFERROR(__xludf.DUMMYFUNCTION("IF(ISBLANK(AF158), """", TEXTJOIN(CHAR(10),TRUE,ARRAYFORMULA(IF(ISERROR(SEARCH(SPLIT(AF158, "";""), $Z158)), ""x"", ""-""))))"),"")</f>
        <v/>
      </c>
      <c r="AH158" s="127" t="str">
        <f>IFERROR(__xludf.DUMMYFUNCTION("IF(ISBLANK(AK158), """", TEXTJOIN("";"" &amp; CHAR(10), TRUE, UNIQUE(SPLIT(AK158, "";"" &amp; CHAR(10)), TRUE))&amp;"";"")"),"")</f>
        <v/>
      </c>
      <c r="AI158" s="128" t="str">
        <f>IFERROR(__xludf.DUMMYFUNCTION("IF(ISBLANK(AD158), IF(ISBLANK(AE158),,IFNA(TEXTJOIN("";"" &amp; CHAR(10), TRUE, FILTER(AE:AE, SEARCH(AE158&amp;"";"", AJ:AJ)))&amp;"";"", """")), TEXTJOIN("";"" &amp; CHAR(10), TRUE, UNIQUE(SPLIT(AH158 &amp; "";"" &amp; AH158 &amp; "";"" &amp; AL158, "";"" &amp; CHAR(10)), TRUE, TRUE))&amp;"";"&amp;""")"),"")</f>
        <v/>
      </c>
      <c r="AJ158" s="126" t="str">
        <f>IFERROR(__xludf.DUMMYFUNCTION("IF(AN158="""", """", TEXTJOIN("";"" &amp; CHAR(10), TRUE, UNIQUE(SPLIT(AH158 &amp; "";"" &amp; AH158 &amp; "";"" &amp; AN158, "";"" &amp; CHAR(10)), TRUE, TRUE))&amp;"";"")"),"")</f>
        <v/>
      </c>
      <c r="AK158" s="129" t="str">
        <f>IFERROR(__xludf.DUMMYFUNCTION("IF(ISBLANK(AD158), IF(ISBLANK(AE158),,AE158 &amp; "";""), TEXTJOIN(CHAR(10), TRUE, ARRAYFORMULA(VLOOKUP(SPLIT(AD158, "";"" &amp; CHAR(10)), $AC:$AH, 6, FALSE))))"),"")</f>
        <v/>
      </c>
      <c r="AL158" s="130" t="str">
        <f>IFERROR(__xludf.DUMMYFUNCTION("IF(AM158="""", """", TEXTJOIN("";"" &amp; CHAR(10), TRUE, UNIQUE(SPLIT(AM158, "";"" &amp; CHAR(10)), TRUE))&amp;"";"")"),"")</f>
        <v/>
      </c>
      <c r="AM158" s="130" t="str">
        <f>IFERROR(__xludf.DUMMYFUNCTION("IF(ISBLANK(AD158), """", TEXTJOIN(CHAR(10), TRUE, ARRAYFORMULA(VLOOKUP(SPLIT(AH158, "";"" &amp; CHAR(10)), $AE:$AI, 5, FALSE)), AF158))"),"")</f>
        <v/>
      </c>
      <c r="AN158" s="132" t="str">
        <f>IFERROR(__xludf.DUMMYFUNCTION("IF(ISBLANK(AO158), """", TEXTJOIN("";"" &amp; CHAR(10), TRUE, UNIQUE(SPLIT(AO158, "";"" &amp; CHAR(10)), TRUE))&amp;"";"")"),"")</f>
        <v/>
      </c>
      <c r="AO158" s="134" t="str">
        <f>IFERROR(__xludf.DUMMYFUNCTION("IF(ISBLANK(AD158), AF158, TEXTJOIN(CHAR(10), TRUE, ARRAYFORMULA(VLOOKUP(SPLIT(AD158, "";"" &amp; CHAR(10)), $AC:$AN, 12, FALSE))))"),"")</f>
        <v/>
      </c>
      <c r="AP158" s="130" t="str">
        <f>IF(ISBLANK(AE158),,IF(IFERROR(SEARCH(AE158&amp;";",Circuits!$AO$2),0),TRUE,FALSE))</f>
        <v/>
      </c>
      <c r="AQ158" s="130" t="str">
        <f t="shared" si="2"/>
        <v/>
      </c>
      <c r="AR158" s="130" t="str">
        <f t="shared" si="3"/>
        <v/>
      </c>
      <c r="AS158" s="136" t="str">
        <f>IFERROR(__xludf.DUMMYFUNCTION("IF(AH158="""",,SUM(ARRAYFORMULA(IF(IFERROR(SEARCH(SPLIT(AH158,CHAR(10)),Circuits!$AO$2),0)&gt;0,0,1))))"),"")</f>
        <v/>
      </c>
      <c r="AT158" s="138" t="str">
        <f t="shared" si="4"/>
        <v/>
      </c>
      <c r="AU158" s="138" t="str">
        <f t="shared" si="5"/>
        <v/>
      </c>
      <c r="AV158" s="130" t="str">
        <f>IFERROR(__xludf.DUMMYFUNCTION("IF(AI158="""",,TEXTJOIN("", "",TRUE,ARRAYFORMULA(VLOOKUP(SPLIT(AI158,"";""&amp;CHAR(10)),AE:AT,16,FALSE))))"),"")</f>
        <v/>
      </c>
      <c r="AW158" s="130" t="str">
        <f>IFERROR(__xludf.DUMMYFUNCTION("IF(ISBLANK(BK158),,TEXTJOIN("", "",TRUE,ARRAYFORMULA(VLOOKUP(IFERROR(REGEXEXTRACT(SPLIT(BK158,"";""&amp;CHAR(10)),""\[(.+)\]"")),AE:AT,16,false))))"),"")</f>
        <v/>
      </c>
      <c r="AX158" s="139" t="str">
        <f t="shared" si="6"/>
        <v/>
      </c>
      <c r="AY158" s="139" t="str">
        <f t="shared" si="7"/>
        <v/>
      </c>
      <c r="AZ158" s="106" t="str">
        <f>IFERROR(__xludf.DUMMYFUNCTION("IF(ISBLANK(AD158), BC158, TEXTJOIN(CHAR(10) &amp; CHAR(10), TRUE, ARRAYFORMULA(VLOOKUP(SPLIT(AD158, "";"" &amp; CHAR(10)), $AC:$AY, 23, FALSE))))"),"")</f>
        <v/>
      </c>
      <c r="BA158" s="140" t="s">
        <v>66</v>
      </c>
      <c r="BB158" s="190"/>
      <c r="BC158" s="196"/>
      <c r="BD158" s="106" t="str">
        <f>IFERROR(__xludf.DUMMYFUNCTION("IF(IFERROR(SEARCH(""&lt;&lt;mechanism to realize the capability&gt;&gt;"",BA158),0)=0,
 ""!! Error !! “Capability&amp;Mechanism” column: Invalid Separator:"" &amp; CHAR(10) &amp; ""Insert separator “&lt;&lt;mechanism to realize the capability&gt;&gt;.”"",
 IF(
  LEN(TRIM(CLEAN(
    INDEX(
 "&amp;"     SPLIT(BA158,""&lt;&lt;mechanism to realize the capability&gt;&gt;"",FALSE,FALSE),
      1
    )
  )))=0,
  ""!! Error !! “Capability&amp;Mechanism” column: No Capability:""  &amp; CHAR(10) &amp; ""Describe Capability before separator."",
  INDEX(
    SPLIT(BA158,""&lt;&lt;mechani"&amp;"sm to realize the capability&gt;&gt;"",FALSE,FALSE),
    1
  )
 )
)
"),"!! Error !! “Capability&amp;Mechanism” column: No Capability:
Describe Capability before separator.")</f>
        <v>!! Error !! “Capability&amp;Mechanism” column: No Capability:
Describe Capability before separator.</v>
      </c>
      <c r="BE158" s="190"/>
      <c r="BF158" s="195"/>
      <c r="BG158" s="42"/>
      <c r="BH158" s="190"/>
      <c r="BI158" s="196"/>
      <c r="BJ158" s="42"/>
      <c r="BK158" s="42"/>
      <c r="BL158" s="203"/>
      <c r="BM158" s="203"/>
      <c r="BN158" s="42"/>
      <c r="BO158" s="42"/>
      <c r="BP158" s="143"/>
      <c r="BQ158" s="143"/>
      <c r="BR158" s="192"/>
      <c r="BS158" s="192"/>
      <c r="BT158" s="192"/>
      <c r="BU158" s="192"/>
      <c r="BV158" s="192"/>
      <c r="BW158" s="192"/>
      <c r="BX158" s="146" t="str">
        <f t="shared" si="8"/>
        <v/>
      </c>
    </row>
    <row r="159">
      <c r="A159" s="106" t="str">
        <f t="shared" si="1"/>
        <v/>
      </c>
      <c r="B159" s="183" t="str">
        <f t="array" ref="B159">IF(ISBLANK($AE159), "-",INDEX(Circuits!A:A,SUMPRODUCT(EXACT($AE159,Circuits!$A:$A)*ROW(Circuits!$A:$A))))</f>
        <v>-</v>
      </c>
      <c r="C159" s="183" t="str">
        <f t="array" ref="C159">IF(ISBLANK($AE159), "-",INDEX(Circuits!B:B,SUMPRODUCT(EXACT($AE159,Circuits!$A:$A)*ROW(Circuits!$A:$A))))</f>
        <v>-</v>
      </c>
      <c r="D159" s="183" t="str">
        <f t="array" ref="D159">IF(ISBLANK($AE159), "-",INDEX(Circuits!C:C,SUMPRODUCT(EXACT($AE159,Circuits!$A:$A)*ROW(Circuits!$A:$A))))</f>
        <v>-</v>
      </c>
      <c r="E159" s="183" t="str">
        <f t="array" ref="E159">IF(ISBLANK($AE159), "-",INDEX(Circuits!D:D,SUMPRODUCT(EXACT($AE159,Circuits!$A:$A)*ROW(Circuits!$A:$A))))</f>
        <v>-</v>
      </c>
      <c r="F159" s="183" t="str">
        <f t="array" ref="F159">IF(ISBLANK($AE159), "-",INDEX(Circuits!E:E,SUMPRODUCT(EXACT($AE159,Circuits!$A:$A)*ROW(Circuits!$A:$A))))</f>
        <v>-</v>
      </c>
      <c r="G159" s="183" t="str">
        <f t="array" ref="G159">IF(ISBLANK($AE159), "-",INDEX(Circuits!F:F,SUMPRODUCT(EXACT($AE159,Circuits!$A:$A)*ROW(Circuits!$A:$A))))</f>
        <v>-</v>
      </c>
      <c r="H159" s="183" t="str">
        <f t="array" ref="H159">IF(ISBLANK($AE159), "-",INDEX(Circuits!G:G,SUMPRODUCT(EXACT($AE159,Circuits!$A:$A)*ROW(Circuits!$A:$A))))</f>
        <v>-</v>
      </c>
      <c r="I159" s="183" t="str">
        <f t="array" ref="I159">IF(ISBLANK($AE159), "-",INDEX(Circuits!H:H,SUMPRODUCT(EXACT($AE159,Circuits!$A:$A)*ROW(Circuits!$A:$A))))</f>
        <v>-</v>
      </c>
      <c r="J159" s="183" t="str">
        <f t="array" ref="J159">IF(ISBLANK($AE159), "-",INDEX(Circuits!I:I,SUMPRODUCT(EXACT($AE159,Circuits!$A:$A)*ROW(Circuits!$A:$A))))</f>
        <v>-</v>
      </c>
      <c r="K159" s="183" t="str">
        <f t="array" ref="K159">IF(ISBLANK($AE159), "-",INDEX(Circuits!J:J,SUMPRODUCT(EXACT($AE159,Circuits!$A:$A)*ROW(Circuits!$A:$A))))</f>
        <v>-</v>
      </c>
      <c r="L159" s="183" t="str">
        <f t="array" ref="L159">IF(ISBLANK($AE159), "-",INDEX(Circuits!K:K,SUMPRODUCT(EXACT($AE159,Circuits!$A:$A)*ROW(Circuits!$A:$A))))</f>
        <v>-</v>
      </c>
      <c r="M159" s="183" t="str">
        <f t="array" ref="M159">IF(ISBLANK($AE159), "-",INDEX(Circuits!L:L,SUMPRODUCT(EXACT($AE159,Circuits!$A:$A)*ROW(Circuits!$A:$A))))</f>
        <v>-</v>
      </c>
      <c r="N159" s="183" t="str">
        <f t="array" ref="N159">IF(ISBLANK($AE159), "-",INDEX(Circuits!M:M,SUMPRODUCT(EXACT($AE159,Circuits!$A:$A)*ROW(Circuits!$A:$A))))</f>
        <v>-</v>
      </c>
      <c r="O159" s="183" t="str">
        <f t="array" ref="O159">IF(ISBLANK($AE159), "-",INDEX(Circuits!N:N,SUMPRODUCT(EXACT($AE159,Circuits!$A:$A)*ROW(Circuits!$A:$A))))</f>
        <v>-</v>
      </c>
      <c r="P159" s="183" t="str">
        <f t="array" ref="P159">IF(ISBLANK($AE159), "-",INDEX(Circuits!O:O,SUMPRODUCT(EXACT($AE159,Circuits!$A:$A)*ROW(Circuits!$A:$A))))</f>
        <v>-</v>
      </c>
      <c r="Q159" s="183" t="str">
        <f t="array" ref="Q159">IF(ISBLANK($AE159), "-",INDEX(Circuits!P:P,SUMPRODUCT(EXACT($AE159,Circuits!$A:$A)*ROW(Circuits!$A:$A))))</f>
        <v>-</v>
      </c>
      <c r="R159" s="183" t="str">
        <f t="array" ref="R159">IF(ISBLANK($AE159), "-",INDEX(Circuits!Q:Q,SUMPRODUCT(EXACT($AE159,Circuits!$A:$A)*ROW(Circuits!$A:$A))))</f>
        <v>-</v>
      </c>
      <c r="S159" s="183" t="str">
        <f t="array" ref="S159">IF(ISBLANK($AE159), "-",INDEX(Circuits!R:R,SUMPRODUCT(EXACT($AE159,Circuits!$A:$A)*ROW(Circuits!$A:$A))))</f>
        <v>-</v>
      </c>
      <c r="T159" s="183" t="str">
        <f t="array" ref="T159">IF(ISBLANK($AE159), "-",INDEX(Circuits!S:S,SUMPRODUCT(EXACT($AE159,Circuits!$A:$A)*ROW(Circuits!$A:$A))))</f>
        <v>-</v>
      </c>
      <c r="U159" s="183" t="str">
        <f t="array" ref="U159">IF(ISBLANK($AE159), "-",INDEX(Circuits!T:T,SUMPRODUCT(EXACT($AE159,Circuits!$A:$A)*ROW(Circuits!$A:$A))))</f>
        <v>-</v>
      </c>
      <c r="V159" s="183" t="str">
        <f t="array" ref="V159">IF(ISBLANK($AE159), "-",INDEX(Circuits!U:U,SUMPRODUCT(EXACT($AE159,Circuits!$A:$A)*ROW(Circuits!$A:$A))))</f>
        <v>-</v>
      </c>
      <c r="W159" s="183" t="str">
        <f t="array" ref="W159">IF(ISBLANK($AE159), "-",INDEX(Circuits!V:V,SUMPRODUCT(EXACT($AE159,Circuits!$A:$A)*ROW(Circuits!$A:$A))))</f>
        <v>-</v>
      </c>
      <c r="X159" s="183" t="str">
        <f t="array" ref="X159">IF(ISBLANK($AE159), "-",INDEX(Circuits!W:W,SUMPRODUCT(EXACT($AE159,Circuits!$A:$A)*ROW(Circuits!$A:$A))))</f>
        <v>-</v>
      </c>
      <c r="Y159" s="183" t="str">
        <f t="array" ref="Y159">IF(ISBLANK($AE159), "-",INDEX(Circuits!X:X,SUMPRODUCT(EXACT($AE159,Circuits!$A:$A)*ROW(Circuits!$A:$A))))</f>
        <v>-</v>
      </c>
      <c r="Z159" s="108" t="str">
        <f>IFERROR(__xludf.DUMMYFUNCTION("IFNA(CONCATENATE(UNIQUE(FILTER(Connections!R:R,Connections!A:A=B159))),""-"")"),"-")</f>
        <v>-</v>
      </c>
      <c r="AA159" s="119" t="str">
        <f t="array" ref="AA159">IF(ISBLANK($AE159), "-",INDEX(Circuits!Y:Y,SUMPRODUCT(EXACT($AE159,Circuits!$A:$A)*ROW(Circuits!$A:$A))))</f>
        <v>-</v>
      </c>
      <c r="AB159" s="121" t="str">
        <f t="array" ref="AB159">IF(ISBLANK($AE159), "-",INDEX(Circuits!Z:Z,SUMPRODUCT(EXACT($AE159,Circuits!$A:$A)*ROW(Circuits!$A:$A))))</f>
        <v>-</v>
      </c>
      <c r="AC159" s="194"/>
      <c r="AD159" s="194"/>
      <c r="AE159" s="40"/>
      <c r="AF159" s="43"/>
      <c r="AG159" s="126" t="str">
        <f>IFERROR(__xludf.DUMMYFUNCTION("IF(ISBLANK(AF159), """", TEXTJOIN(CHAR(10),TRUE,ARRAYFORMULA(IF(ISERROR(SEARCH(SPLIT(AF159, "";""), $Z159)), ""x"", ""-""))))"),"")</f>
        <v/>
      </c>
      <c r="AH159" s="127" t="str">
        <f>IFERROR(__xludf.DUMMYFUNCTION("IF(ISBLANK(AK159), """", TEXTJOIN("";"" &amp; CHAR(10), TRUE, UNIQUE(SPLIT(AK159, "";"" &amp; CHAR(10)), TRUE))&amp;"";"")"),"")</f>
        <v/>
      </c>
      <c r="AI159" s="128" t="str">
        <f>IFERROR(__xludf.DUMMYFUNCTION("IF(ISBLANK(AD159), IF(ISBLANK(AE159),,IFNA(TEXTJOIN("";"" &amp; CHAR(10), TRUE, FILTER(AE:AE, SEARCH(AE159&amp;"";"", AJ:AJ)))&amp;"";"", """")), TEXTJOIN("";"" &amp; CHAR(10), TRUE, UNIQUE(SPLIT(AH159 &amp; "";"" &amp; AH159 &amp; "";"" &amp; AL159, "";"" &amp; CHAR(10)), TRUE, TRUE))&amp;"";"&amp;""")"),"")</f>
        <v/>
      </c>
      <c r="AJ159" s="126" t="str">
        <f>IFERROR(__xludf.DUMMYFUNCTION("IF(AN159="""", """", TEXTJOIN("";"" &amp; CHAR(10), TRUE, UNIQUE(SPLIT(AH159 &amp; "";"" &amp; AH159 &amp; "";"" &amp; AN159, "";"" &amp; CHAR(10)), TRUE, TRUE))&amp;"";"")"),"")</f>
        <v/>
      </c>
      <c r="AK159" s="129" t="str">
        <f>IFERROR(__xludf.DUMMYFUNCTION("IF(ISBLANK(AD159), IF(ISBLANK(AE159),,AE159 &amp; "";""), TEXTJOIN(CHAR(10), TRUE, ARRAYFORMULA(VLOOKUP(SPLIT(AD159, "";"" &amp; CHAR(10)), $AC:$AH, 6, FALSE))))"),"")</f>
        <v/>
      </c>
      <c r="AL159" s="130" t="str">
        <f>IFERROR(__xludf.DUMMYFUNCTION("IF(AM159="""", """", TEXTJOIN("";"" &amp; CHAR(10), TRUE, UNIQUE(SPLIT(AM159, "";"" &amp; CHAR(10)), TRUE))&amp;"";"")"),"")</f>
        <v/>
      </c>
      <c r="AM159" s="130" t="str">
        <f>IFERROR(__xludf.DUMMYFUNCTION("IF(ISBLANK(AD159), """", TEXTJOIN(CHAR(10), TRUE, ARRAYFORMULA(VLOOKUP(SPLIT(AH159, "";"" &amp; CHAR(10)), $AE:$AI, 5, FALSE)), AF159))"),"")</f>
        <v/>
      </c>
      <c r="AN159" s="132" t="str">
        <f>IFERROR(__xludf.DUMMYFUNCTION("IF(ISBLANK(AO159), """", TEXTJOIN("";"" &amp; CHAR(10), TRUE, UNIQUE(SPLIT(AO159, "";"" &amp; CHAR(10)), TRUE))&amp;"";"")"),"")</f>
        <v/>
      </c>
      <c r="AO159" s="134" t="str">
        <f>IFERROR(__xludf.DUMMYFUNCTION("IF(ISBLANK(AD159), AF159, TEXTJOIN(CHAR(10), TRUE, ARRAYFORMULA(VLOOKUP(SPLIT(AD159, "";"" &amp; CHAR(10)), $AC:$AN, 12, FALSE))))"),"")</f>
        <v/>
      </c>
      <c r="AP159" s="130" t="str">
        <f>IF(ISBLANK(AE159),,IF(IFERROR(SEARCH(AE159&amp;";",Circuits!$AO$2),0),TRUE,FALSE))</f>
        <v/>
      </c>
      <c r="AQ159" s="130" t="str">
        <f t="shared" si="2"/>
        <v/>
      </c>
      <c r="AR159" s="130" t="str">
        <f t="shared" si="3"/>
        <v/>
      </c>
      <c r="AS159" s="136" t="str">
        <f>IFERROR(__xludf.DUMMYFUNCTION("IF(AH159="""",,SUM(ARRAYFORMULA(IF(IFERROR(SEARCH(SPLIT(AH159,CHAR(10)),Circuits!$AO$2),0)&gt;0,0,1))))"),"")</f>
        <v/>
      </c>
      <c r="AT159" s="138" t="str">
        <f t="shared" si="4"/>
        <v/>
      </c>
      <c r="AU159" s="138" t="str">
        <f t="shared" si="5"/>
        <v/>
      </c>
      <c r="AV159" s="130" t="str">
        <f>IFERROR(__xludf.DUMMYFUNCTION("IF(AI159="""",,TEXTJOIN("", "",TRUE,ARRAYFORMULA(VLOOKUP(SPLIT(AI159,"";""&amp;CHAR(10)),AE:AT,16,FALSE))))"),"")</f>
        <v/>
      </c>
      <c r="AW159" s="130" t="str">
        <f>IFERROR(__xludf.DUMMYFUNCTION("IF(ISBLANK(BK159),,TEXTJOIN("", "",TRUE,ARRAYFORMULA(VLOOKUP(IFERROR(REGEXEXTRACT(SPLIT(BK159,"";""&amp;CHAR(10)),""\[(.+)\]"")),AE:AT,16,false))))"),"")</f>
        <v/>
      </c>
      <c r="AX159" s="139" t="str">
        <f t="shared" si="6"/>
        <v/>
      </c>
      <c r="AY159" s="139" t="str">
        <f t="shared" si="7"/>
        <v/>
      </c>
      <c r="AZ159" s="106" t="str">
        <f>IFERROR(__xludf.DUMMYFUNCTION("IF(ISBLANK(AD159), BC159, TEXTJOIN(CHAR(10) &amp; CHAR(10), TRUE, ARRAYFORMULA(VLOOKUP(SPLIT(AD159, "";"" &amp; CHAR(10)), $AC:$AY, 23, FALSE))))"),"")</f>
        <v/>
      </c>
      <c r="BA159" s="140" t="s">
        <v>66</v>
      </c>
      <c r="BB159" s="190"/>
      <c r="BC159" s="196"/>
      <c r="BD159" s="106" t="str">
        <f>IFERROR(__xludf.DUMMYFUNCTION("IF(IFERROR(SEARCH(""&lt;&lt;mechanism to realize the capability&gt;&gt;"",BA159),0)=0,
 ""!! Error !! “Capability&amp;Mechanism” column: Invalid Separator:"" &amp; CHAR(10) &amp; ""Insert separator “&lt;&lt;mechanism to realize the capability&gt;&gt;.”"",
 IF(
  LEN(TRIM(CLEAN(
    INDEX(
 "&amp;"     SPLIT(BA159,""&lt;&lt;mechanism to realize the capability&gt;&gt;"",FALSE,FALSE),
      1
    )
  )))=0,
  ""!! Error !! “Capability&amp;Mechanism” column: No Capability:""  &amp; CHAR(10) &amp; ""Describe Capability before separator."",
  INDEX(
    SPLIT(BA159,""&lt;&lt;mechani"&amp;"sm to realize the capability&gt;&gt;"",FALSE,FALSE),
    1
  )
 )
)
"),"!! Error !! “Capability&amp;Mechanism” column: No Capability:
Describe Capability before separator.")</f>
        <v>!! Error !! “Capability&amp;Mechanism” column: No Capability:
Describe Capability before separator.</v>
      </c>
      <c r="BE159" s="190"/>
      <c r="BF159" s="195"/>
      <c r="BG159" s="42"/>
      <c r="BH159" s="190"/>
      <c r="BI159" s="196"/>
      <c r="BJ159" s="42"/>
      <c r="BK159" s="42"/>
      <c r="BL159" s="203"/>
      <c r="BM159" s="203"/>
      <c r="BN159" s="42"/>
      <c r="BO159" s="42"/>
      <c r="BP159" s="143"/>
      <c r="BQ159" s="143"/>
      <c r="BR159" s="192"/>
      <c r="BS159" s="192"/>
      <c r="BT159" s="192"/>
      <c r="BU159" s="192"/>
      <c r="BV159" s="192"/>
      <c r="BW159" s="192"/>
      <c r="BX159" s="146" t="str">
        <f t="shared" si="8"/>
        <v/>
      </c>
    </row>
    <row r="160">
      <c r="A160" s="106" t="str">
        <f t="shared" si="1"/>
        <v/>
      </c>
      <c r="B160" s="183" t="str">
        <f t="array" ref="B160">IF(ISBLANK($AE160), "-",INDEX(Circuits!A:A,SUMPRODUCT(EXACT($AE160,Circuits!$A:$A)*ROW(Circuits!$A:$A))))</f>
        <v>-</v>
      </c>
      <c r="C160" s="183" t="str">
        <f t="array" ref="C160">IF(ISBLANK($AE160), "-",INDEX(Circuits!B:B,SUMPRODUCT(EXACT($AE160,Circuits!$A:$A)*ROW(Circuits!$A:$A))))</f>
        <v>-</v>
      </c>
      <c r="D160" s="183" t="str">
        <f t="array" ref="D160">IF(ISBLANK($AE160), "-",INDEX(Circuits!C:C,SUMPRODUCT(EXACT($AE160,Circuits!$A:$A)*ROW(Circuits!$A:$A))))</f>
        <v>-</v>
      </c>
      <c r="E160" s="183" t="str">
        <f t="array" ref="E160">IF(ISBLANK($AE160), "-",INDEX(Circuits!D:D,SUMPRODUCT(EXACT($AE160,Circuits!$A:$A)*ROW(Circuits!$A:$A))))</f>
        <v>-</v>
      </c>
      <c r="F160" s="183" t="str">
        <f t="array" ref="F160">IF(ISBLANK($AE160), "-",INDEX(Circuits!E:E,SUMPRODUCT(EXACT($AE160,Circuits!$A:$A)*ROW(Circuits!$A:$A))))</f>
        <v>-</v>
      </c>
      <c r="G160" s="183" t="str">
        <f t="array" ref="G160">IF(ISBLANK($AE160), "-",INDEX(Circuits!F:F,SUMPRODUCT(EXACT($AE160,Circuits!$A:$A)*ROW(Circuits!$A:$A))))</f>
        <v>-</v>
      </c>
      <c r="H160" s="183" t="str">
        <f t="array" ref="H160">IF(ISBLANK($AE160), "-",INDEX(Circuits!G:G,SUMPRODUCT(EXACT($AE160,Circuits!$A:$A)*ROW(Circuits!$A:$A))))</f>
        <v>-</v>
      </c>
      <c r="I160" s="183" t="str">
        <f t="array" ref="I160">IF(ISBLANK($AE160), "-",INDEX(Circuits!H:H,SUMPRODUCT(EXACT($AE160,Circuits!$A:$A)*ROW(Circuits!$A:$A))))</f>
        <v>-</v>
      </c>
      <c r="J160" s="183" t="str">
        <f t="array" ref="J160">IF(ISBLANK($AE160), "-",INDEX(Circuits!I:I,SUMPRODUCT(EXACT($AE160,Circuits!$A:$A)*ROW(Circuits!$A:$A))))</f>
        <v>-</v>
      </c>
      <c r="K160" s="183" t="str">
        <f t="array" ref="K160">IF(ISBLANK($AE160), "-",INDEX(Circuits!J:J,SUMPRODUCT(EXACT($AE160,Circuits!$A:$A)*ROW(Circuits!$A:$A))))</f>
        <v>-</v>
      </c>
      <c r="L160" s="183" t="str">
        <f t="array" ref="L160">IF(ISBLANK($AE160), "-",INDEX(Circuits!K:K,SUMPRODUCT(EXACT($AE160,Circuits!$A:$A)*ROW(Circuits!$A:$A))))</f>
        <v>-</v>
      </c>
      <c r="M160" s="183" t="str">
        <f t="array" ref="M160">IF(ISBLANK($AE160), "-",INDEX(Circuits!L:L,SUMPRODUCT(EXACT($AE160,Circuits!$A:$A)*ROW(Circuits!$A:$A))))</f>
        <v>-</v>
      </c>
      <c r="N160" s="183" t="str">
        <f t="array" ref="N160">IF(ISBLANK($AE160), "-",INDEX(Circuits!M:M,SUMPRODUCT(EXACT($AE160,Circuits!$A:$A)*ROW(Circuits!$A:$A))))</f>
        <v>-</v>
      </c>
      <c r="O160" s="183" t="str">
        <f t="array" ref="O160">IF(ISBLANK($AE160), "-",INDEX(Circuits!N:N,SUMPRODUCT(EXACT($AE160,Circuits!$A:$A)*ROW(Circuits!$A:$A))))</f>
        <v>-</v>
      </c>
      <c r="P160" s="183" t="str">
        <f t="array" ref="P160">IF(ISBLANK($AE160), "-",INDEX(Circuits!O:O,SUMPRODUCT(EXACT($AE160,Circuits!$A:$A)*ROW(Circuits!$A:$A))))</f>
        <v>-</v>
      </c>
      <c r="Q160" s="183" t="str">
        <f t="array" ref="Q160">IF(ISBLANK($AE160), "-",INDEX(Circuits!P:P,SUMPRODUCT(EXACT($AE160,Circuits!$A:$A)*ROW(Circuits!$A:$A))))</f>
        <v>-</v>
      </c>
      <c r="R160" s="183" t="str">
        <f t="array" ref="R160">IF(ISBLANK($AE160), "-",INDEX(Circuits!Q:Q,SUMPRODUCT(EXACT($AE160,Circuits!$A:$A)*ROW(Circuits!$A:$A))))</f>
        <v>-</v>
      </c>
      <c r="S160" s="183" t="str">
        <f t="array" ref="S160">IF(ISBLANK($AE160), "-",INDEX(Circuits!R:R,SUMPRODUCT(EXACT($AE160,Circuits!$A:$A)*ROW(Circuits!$A:$A))))</f>
        <v>-</v>
      </c>
      <c r="T160" s="183" t="str">
        <f t="array" ref="T160">IF(ISBLANK($AE160), "-",INDEX(Circuits!S:S,SUMPRODUCT(EXACT($AE160,Circuits!$A:$A)*ROW(Circuits!$A:$A))))</f>
        <v>-</v>
      </c>
      <c r="U160" s="183" t="str">
        <f t="array" ref="U160">IF(ISBLANK($AE160), "-",INDEX(Circuits!T:T,SUMPRODUCT(EXACT($AE160,Circuits!$A:$A)*ROW(Circuits!$A:$A))))</f>
        <v>-</v>
      </c>
      <c r="V160" s="183" t="str">
        <f t="array" ref="V160">IF(ISBLANK($AE160), "-",INDEX(Circuits!U:U,SUMPRODUCT(EXACT($AE160,Circuits!$A:$A)*ROW(Circuits!$A:$A))))</f>
        <v>-</v>
      </c>
      <c r="W160" s="183" t="str">
        <f t="array" ref="W160">IF(ISBLANK($AE160), "-",INDEX(Circuits!V:V,SUMPRODUCT(EXACT($AE160,Circuits!$A:$A)*ROW(Circuits!$A:$A))))</f>
        <v>-</v>
      </c>
      <c r="X160" s="183" t="str">
        <f t="array" ref="X160">IF(ISBLANK($AE160), "-",INDEX(Circuits!W:W,SUMPRODUCT(EXACT($AE160,Circuits!$A:$A)*ROW(Circuits!$A:$A))))</f>
        <v>-</v>
      </c>
      <c r="Y160" s="183" t="str">
        <f t="array" ref="Y160">IF(ISBLANK($AE160), "-",INDEX(Circuits!X:X,SUMPRODUCT(EXACT($AE160,Circuits!$A:$A)*ROW(Circuits!$A:$A))))</f>
        <v>-</v>
      </c>
      <c r="Z160" s="108" t="str">
        <f>IFERROR(__xludf.DUMMYFUNCTION("IFNA(CONCATENATE(UNIQUE(FILTER(Connections!R:R,Connections!A:A=B160))),""-"")"),"-")</f>
        <v>-</v>
      </c>
      <c r="AA160" s="119" t="str">
        <f t="array" ref="AA160">IF(ISBLANK($AE160), "-",INDEX(Circuits!Y:Y,SUMPRODUCT(EXACT($AE160,Circuits!$A:$A)*ROW(Circuits!$A:$A))))</f>
        <v>-</v>
      </c>
      <c r="AB160" s="121" t="str">
        <f t="array" ref="AB160">IF(ISBLANK($AE160), "-",INDEX(Circuits!Z:Z,SUMPRODUCT(EXACT($AE160,Circuits!$A:$A)*ROW(Circuits!$A:$A))))</f>
        <v>-</v>
      </c>
      <c r="AC160" s="194"/>
      <c r="AD160" s="194"/>
      <c r="AE160" s="40"/>
      <c r="AF160" s="43"/>
      <c r="AG160" s="126" t="str">
        <f>IFERROR(__xludf.DUMMYFUNCTION("IF(ISBLANK(AF160), """", TEXTJOIN(CHAR(10),TRUE,ARRAYFORMULA(IF(ISERROR(SEARCH(SPLIT(AF160, "";""), $Z160)), ""x"", ""-""))))"),"")</f>
        <v/>
      </c>
      <c r="AH160" s="127" t="str">
        <f>IFERROR(__xludf.DUMMYFUNCTION("IF(ISBLANK(AK160), """", TEXTJOIN("";"" &amp; CHAR(10), TRUE, UNIQUE(SPLIT(AK160, "";"" &amp; CHAR(10)), TRUE))&amp;"";"")"),"")</f>
        <v/>
      </c>
      <c r="AI160" s="128" t="str">
        <f>IFERROR(__xludf.DUMMYFUNCTION("IF(ISBLANK(AD160), IF(ISBLANK(AE160),,IFNA(TEXTJOIN("";"" &amp; CHAR(10), TRUE, FILTER(AE:AE, SEARCH(AE160&amp;"";"", AJ:AJ)))&amp;"";"", """")), TEXTJOIN("";"" &amp; CHAR(10), TRUE, UNIQUE(SPLIT(AH160 &amp; "";"" &amp; AH160 &amp; "";"" &amp; AL160, "";"" &amp; CHAR(10)), TRUE, TRUE))&amp;"";"&amp;""")"),"")</f>
        <v/>
      </c>
      <c r="AJ160" s="126" t="str">
        <f>IFERROR(__xludf.DUMMYFUNCTION("IF(AN160="""", """", TEXTJOIN("";"" &amp; CHAR(10), TRUE, UNIQUE(SPLIT(AH160 &amp; "";"" &amp; AH160 &amp; "";"" &amp; AN160, "";"" &amp; CHAR(10)), TRUE, TRUE))&amp;"";"")"),"")</f>
        <v/>
      </c>
      <c r="AK160" s="129" t="str">
        <f>IFERROR(__xludf.DUMMYFUNCTION("IF(ISBLANK(AD160), IF(ISBLANK(AE160),,AE160 &amp; "";""), TEXTJOIN(CHAR(10), TRUE, ARRAYFORMULA(VLOOKUP(SPLIT(AD160, "";"" &amp; CHAR(10)), $AC:$AH, 6, FALSE))))"),"")</f>
        <v/>
      </c>
      <c r="AL160" s="130" t="str">
        <f>IFERROR(__xludf.DUMMYFUNCTION("IF(AM160="""", """", TEXTJOIN("";"" &amp; CHAR(10), TRUE, UNIQUE(SPLIT(AM160, "";"" &amp; CHAR(10)), TRUE))&amp;"";"")"),"")</f>
        <v/>
      </c>
      <c r="AM160" s="130" t="str">
        <f>IFERROR(__xludf.DUMMYFUNCTION("IF(ISBLANK(AD160), """", TEXTJOIN(CHAR(10), TRUE, ARRAYFORMULA(VLOOKUP(SPLIT(AH160, "";"" &amp; CHAR(10)), $AE:$AI, 5, FALSE)), AF160))"),"")</f>
        <v/>
      </c>
      <c r="AN160" s="132" t="str">
        <f>IFERROR(__xludf.DUMMYFUNCTION("IF(ISBLANK(AO160), """", TEXTJOIN("";"" &amp; CHAR(10), TRUE, UNIQUE(SPLIT(AO160, "";"" &amp; CHAR(10)), TRUE))&amp;"";"")"),"")</f>
        <v/>
      </c>
      <c r="AO160" s="134" t="str">
        <f>IFERROR(__xludf.DUMMYFUNCTION("IF(ISBLANK(AD160), AF160, TEXTJOIN(CHAR(10), TRUE, ARRAYFORMULA(VLOOKUP(SPLIT(AD160, "";"" &amp; CHAR(10)), $AC:$AN, 12, FALSE))))"),"")</f>
        <v/>
      </c>
      <c r="AP160" s="130" t="str">
        <f>IF(ISBLANK(AE160),,IF(IFERROR(SEARCH(AE160&amp;";",Circuits!$AO$2),0),TRUE,FALSE))</f>
        <v/>
      </c>
      <c r="AQ160" s="130" t="str">
        <f t="shared" si="2"/>
        <v/>
      </c>
      <c r="AR160" s="130" t="str">
        <f t="shared" si="3"/>
        <v/>
      </c>
      <c r="AS160" s="136" t="str">
        <f>IFERROR(__xludf.DUMMYFUNCTION("IF(AH160="""",,SUM(ARRAYFORMULA(IF(IFERROR(SEARCH(SPLIT(AH160,CHAR(10)),Circuits!$AO$2),0)&gt;0,0,1))))"),"")</f>
        <v/>
      </c>
      <c r="AT160" s="138" t="str">
        <f t="shared" si="4"/>
        <v/>
      </c>
      <c r="AU160" s="138" t="str">
        <f t="shared" si="5"/>
        <v/>
      </c>
      <c r="AV160" s="130" t="str">
        <f>IFERROR(__xludf.DUMMYFUNCTION("IF(AI160="""",,TEXTJOIN("", "",TRUE,ARRAYFORMULA(VLOOKUP(SPLIT(AI160,"";""&amp;CHAR(10)),AE:AT,16,FALSE))))"),"")</f>
        <v/>
      </c>
      <c r="AW160" s="130" t="str">
        <f>IFERROR(__xludf.DUMMYFUNCTION("IF(ISBLANK(BK160),,TEXTJOIN("", "",TRUE,ARRAYFORMULA(VLOOKUP(IFERROR(REGEXEXTRACT(SPLIT(BK160,"";""&amp;CHAR(10)),""\[(.+)\]"")),AE:AT,16,false))))"),"")</f>
        <v/>
      </c>
      <c r="AX160" s="139" t="str">
        <f t="shared" si="6"/>
        <v/>
      </c>
      <c r="AY160" s="139" t="str">
        <f t="shared" si="7"/>
        <v/>
      </c>
      <c r="AZ160" s="106" t="str">
        <f>IFERROR(__xludf.DUMMYFUNCTION("IF(ISBLANK(AD160), BC160, TEXTJOIN(CHAR(10) &amp; CHAR(10), TRUE, ARRAYFORMULA(VLOOKUP(SPLIT(AD160, "";"" &amp; CHAR(10)), $AC:$AY, 23, FALSE))))"),"")</f>
        <v/>
      </c>
      <c r="BA160" s="140" t="s">
        <v>66</v>
      </c>
      <c r="BB160" s="190"/>
      <c r="BC160" s="196"/>
      <c r="BD160" s="106" t="str">
        <f>IFERROR(__xludf.DUMMYFUNCTION("IF(IFERROR(SEARCH(""&lt;&lt;mechanism to realize the capability&gt;&gt;"",BA160),0)=0,
 ""!! Error !! “Capability&amp;Mechanism” column: Invalid Separator:"" &amp; CHAR(10) &amp; ""Insert separator “&lt;&lt;mechanism to realize the capability&gt;&gt;.”"",
 IF(
  LEN(TRIM(CLEAN(
    INDEX(
 "&amp;"     SPLIT(BA160,""&lt;&lt;mechanism to realize the capability&gt;&gt;"",FALSE,FALSE),
      1
    )
  )))=0,
  ""!! Error !! “Capability&amp;Mechanism” column: No Capability:""  &amp; CHAR(10) &amp; ""Describe Capability before separator."",
  INDEX(
    SPLIT(BA160,""&lt;&lt;mechani"&amp;"sm to realize the capability&gt;&gt;"",FALSE,FALSE),
    1
  )
 )
)
"),"!! Error !! “Capability&amp;Mechanism” column: No Capability:
Describe Capability before separator.")</f>
        <v>!! Error !! “Capability&amp;Mechanism” column: No Capability:
Describe Capability before separator.</v>
      </c>
      <c r="BE160" s="190"/>
      <c r="BF160" s="195"/>
      <c r="BG160" s="42"/>
      <c r="BH160" s="190"/>
      <c r="BI160" s="196"/>
      <c r="BJ160" s="42"/>
      <c r="BK160" s="42"/>
      <c r="BL160" s="203"/>
      <c r="BM160" s="203"/>
      <c r="BN160" s="42"/>
      <c r="BO160" s="42"/>
      <c r="BP160" s="143"/>
      <c r="BQ160" s="143"/>
      <c r="BR160" s="192"/>
      <c r="BS160" s="192"/>
      <c r="BT160" s="192"/>
      <c r="BU160" s="192"/>
      <c r="BV160" s="192"/>
      <c r="BW160" s="192"/>
      <c r="BX160" s="146" t="str">
        <f t="shared" si="8"/>
        <v/>
      </c>
    </row>
    <row r="161">
      <c r="A161" s="106" t="str">
        <f t="shared" si="1"/>
        <v/>
      </c>
      <c r="B161" s="183" t="str">
        <f t="array" ref="B161">IF(ISBLANK($AE161), "-",INDEX(Circuits!A:A,SUMPRODUCT(EXACT($AE161,Circuits!$A:$A)*ROW(Circuits!$A:$A))))</f>
        <v>-</v>
      </c>
      <c r="C161" s="183" t="str">
        <f t="array" ref="C161">IF(ISBLANK($AE161), "-",INDEX(Circuits!B:B,SUMPRODUCT(EXACT($AE161,Circuits!$A:$A)*ROW(Circuits!$A:$A))))</f>
        <v>-</v>
      </c>
      <c r="D161" s="183" t="str">
        <f t="array" ref="D161">IF(ISBLANK($AE161), "-",INDEX(Circuits!C:C,SUMPRODUCT(EXACT($AE161,Circuits!$A:$A)*ROW(Circuits!$A:$A))))</f>
        <v>-</v>
      </c>
      <c r="E161" s="183" t="str">
        <f t="array" ref="E161">IF(ISBLANK($AE161), "-",INDEX(Circuits!D:D,SUMPRODUCT(EXACT($AE161,Circuits!$A:$A)*ROW(Circuits!$A:$A))))</f>
        <v>-</v>
      </c>
      <c r="F161" s="183" t="str">
        <f t="array" ref="F161">IF(ISBLANK($AE161), "-",INDEX(Circuits!E:E,SUMPRODUCT(EXACT($AE161,Circuits!$A:$A)*ROW(Circuits!$A:$A))))</f>
        <v>-</v>
      </c>
      <c r="G161" s="183" t="str">
        <f t="array" ref="G161">IF(ISBLANK($AE161), "-",INDEX(Circuits!F:F,SUMPRODUCT(EXACT($AE161,Circuits!$A:$A)*ROW(Circuits!$A:$A))))</f>
        <v>-</v>
      </c>
      <c r="H161" s="183" t="str">
        <f t="array" ref="H161">IF(ISBLANK($AE161), "-",INDEX(Circuits!G:G,SUMPRODUCT(EXACT($AE161,Circuits!$A:$A)*ROW(Circuits!$A:$A))))</f>
        <v>-</v>
      </c>
      <c r="I161" s="183" t="str">
        <f t="array" ref="I161">IF(ISBLANK($AE161), "-",INDEX(Circuits!H:H,SUMPRODUCT(EXACT($AE161,Circuits!$A:$A)*ROW(Circuits!$A:$A))))</f>
        <v>-</v>
      </c>
      <c r="J161" s="183" t="str">
        <f t="array" ref="J161">IF(ISBLANK($AE161), "-",INDEX(Circuits!I:I,SUMPRODUCT(EXACT($AE161,Circuits!$A:$A)*ROW(Circuits!$A:$A))))</f>
        <v>-</v>
      </c>
      <c r="K161" s="183" t="str">
        <f t="array" ref="K161">IF(ISBLANK($AE161), "-",INDEX(Circuits!J:J,SUMPRODUCT(EXACT($AE161,Circuits!$A:$A)*ROW(Circuits!$A:$A))))</f>
        <v>-</v>
      </c>
      <c r="L161" s="183" t="str">
        <f t="array" ref="L161">IF(ISBLANK($AE161), "-",INDEX(Circuits!K:K,SUMPRODUCT(EXACT($AE161,Circuits!$A:$A)*ROW(Circuits!$A:$A))))</f>
        <v>-</v>
      </c>
      <c r="M161" s="183" t="str">
        <f t="array" ref="M161">IF(ISBLANK($AE161), "-",INDEX(Circuits!L:L,SUMPRODUCT(EXACT($AE161,Circuits!$A:$A)*ROW(Circuits!$A:$A))))</f>
        <v>-</v>
      </c>
      <c r="N161" s="183" t="str">
        <f t="array" ref="N161">IF(ISBLANK($AE161), "-",INDEX(Circuits!M:M,SUMPRODUCT(EXACT($AE161,Circuits!$A:$A)*ROW(Circuits!$A:$A))))</f>
        <v>-</v>
      </c>
      <c r="O161" s="183" t="str">
        <f t="array" ref="O161">IF(ISBLANK($AE161), "-",INDEX(Circuits!N:N,SUMPRODUCT(EXACT($AE161,Circuits!$A:$A)*ROW(Circuits!$A:$A))))</f>
        <v>-</v>
      </c>
      <c r="P161" s="183" t="str">
        <f t="array" ref="P161">IF(ISBLANK($AE161), "-",INDEX(Circuits!O:O,SUMPRODUCT(EXACT($AE161,Circuits!$A:$A)*ROW(Circuits!$A:$A))))</f>
        <v>-</v>
      </c>
      <c r="Q161" s="183" t="str">
        <f t="array" ref="Q161">IF(ISBLANK($AE161), "-",INDEX(Circuits!P:P,SUMPRODUCT(EXACT($AE161,Circuits!$A:$A)*ROW(Circuits!$A:$A))))</f>
        <v>-</v>
      </c>
      <c r="R161" s="183" t="str">
        <f t="array" ref="R161">IF(ISBLANK($AE161), "-",INDEX(Circuits!Q:Q,SUMPRODUCT(EXACT($AE161,Circuits!$A:$A)*ROW(Circuits!$A:$A))))</f>
        <v>-</v>
      </c>
      <c r="S161" s="183" t="str">
        <f t="array" ref="S161">IF(ISBLANK($AE161), "-",INDEX(Circuits!R:R,SUMPRODUCT(EXACT($AE161,Circuits!$A:$A)*ROW(Circuits!$A:$A))))</f>
        <v>-</v>
      </c>
      <c r="T161" s="183" t="str">
        <f t="array" ref="T161">IF(ISBLANK($AE161), "-",INDEX(Circuits!S:S,SUMPRODUCT(EXACT($AE161,Circuits!$A:$A)*ROW(Circuits!$A:$A))))</f>
        <v>-</v>
      </c>
      <c r="U161" s="183" t="str">
        <f t="array" ref="U161">IF(ISBLANK($AE161), "-",INDEX(Circuits!T:T,SUMPRODUCT(EXACT($AE161,Circuits!$A:$A)*ROW(Circuits!$A:$A))))</f>
        <v>-</v>
      </c>
      <c r="V161" s="183" t="str">
        <f t="array" ref="V161">IF(ISBLANK($AE161), "-",INDEX(Circuits!U:U,SUMPRODUCT(EXACT($AE161,Circuits!$A:$A)*ROW(Circuits!$A:$A))))</f>
        <v>-</v>
      </c>
      <c r="W161" s="183" t="str">
        <f t="array" ref="W161">IF(ISBLANK($AE161), "-",INDEX(Circuits!V:V,SUMPRODUCT(EXACT($AE161,Circuits!$A:$A)*ROW(Circuits!$A:$A))))</f>
        <v>-</v>
      </c>
      <c r="X161" s="183" t="str">
        <f t="array" ref="X161">IF(ISBLANK($AE161), "-",INDEX(Circuits!W:W,SUMPRODUCT(EXACT($AE161,Circuits!$A:$A)*ROW(Circuits!$A:$A))))</f>
        <v>-</v>
      </c>
      <c r="Y161" s="183" t="str">
        <f t="array" ref="Y161">IF(ISBLANK($AE161), "-",INDEX(Circuits!X:X,SUMPRODUCT(EXACT($AE161,Circuits!$A:$A)*ROW(Circuits!$A:$A))))</f>
        <v>-</v>
      </c>
      <c r="Z161" s="108" t="str">
        <f>IFERROR(__xludf.DUMMYFUNCTION("IFNA(CONCATENATE(UNIQUE(FILTER(Connections!R:R,Connections!A:A=B161))),""-"")"),"-")</f>
        <v>-</v>
      </c>
      <c r="AA161" s="119" t="str">
        <f t="array" ref="AA161">IF(ISBLANK($AE161), "-",INDEX(Circuits!Y:Y,SUMPRODUCT(EXACT($AE161,Circuits!$A:$A)*ROW(Circuits!$A:$A))))</f>
        <v>-</v>
      </c>
      <c r="AB161" s="121" t="str">
        <f t="array" ref="AB161">IF(ISBLANK($AE161), "-",INDEX(Circuits!Z:Z,SUMPRODUCT(EXACT($AE161,Circuits!$A:$A)*ROW(Circuits!$A:$A))))</f>
        <v>-</v>
      </c>
      <c r="AC161" s="194"/>
      <c r="AD161" s="194"/>
      <c r="AE161" s="40"/>
      <c r="AF161" s="43"/>
      <c r="AG161" s="126" t="str">
        <f>IFERROR(__xludf.DUMMYFUNCTION("IF(ISBLANK(AF161), """", TEXTJOIN(CHAR(10),TRUE,ARRAYFORMULA(IF(ISERROR(SEARCH(SPLIT(AF161, "";""), $Z161)), ""x"", ""-""))))"),"")</f>
        <v/>
      </c>
      <c r="AH161" s="127" t="str">
        <f>IFERROR(__xludf.DUMMYFUNCTION("IF(ISBLANK(AK161), """", TEXTJOIN("";"" &amp; CHAR(10), TRUE, UNIQUE(SPLIT(AK161, "";"" &amp; CHAR(10)), TRUE))&amp;"";"")"),"")</f>
        <v/>
      </c>
      <c r="AI161" s="128" t="str">
        <f>IFERROR(__xludf.DUMMYFUNCTION("IF(ISBLANK(AD161), IF(ISBLANK(AE161),,IFNA(TEXTJOIN("";"" &amp; CHAR(10), TRUE, FILTER(AE:AE, SEARCH(AE161&amp;"";"", AJ:AJ)))&amp;"";"", """")), TEXTJOIN("";"" &amp; CHAR(10), TRUE, UNIQUE(SPLIT(AH161 &amp; "";"" &amp; AH161 &amp; "";"" &amp; AL161, "";"" &amp; CHAR(10)), TRUE, TRUE))&amp;"";"&amp;""")"),"")</f>
        <v/>
      </c>
      <c r="AJ161" s="126" t="str">
        <f>IFERROR(__xludf.DUMMYFUNCTION("IF(AN161="""", """", TEXTJOIN("";"" &amp; CHAR(10), TRUE, UNIQUE(SPLIT(AH161 &amp; "";"" &amp; AH161 &amp; "";"" &amp; AN161, "";"" &amp; CHAR(10)), TRUE, TRUE))&amp;"";"")"),"")</f>
        <v/>
      </c>
      <c r="AK161" s="129" t="str">
        <f>IFERROR(__xludf.DUMMYFUNCTION("IF(ISBLANK(AD161), IF(ISBLANK(AE161),,AE161 &amp; "";""), TEXTJOIN(CHAR(10), TRUE, ARRAYFORMULA(VLOOKUP(SPLIT(AD161, "";"" &amp; CHAR(10)), $AC:$AH, 6, FALSE))))"),"")</f>
        <v/>
      </c>
      <c r="AL161" s="130" t="str">
        <f>IFERROR(__xludf.DUMMYFUNCTION("IF(AM161="""", """", TEXTJOIN("";"" &amp; CHAR(10), TRUE, UNIQUE(SPLIT(AM161, "";"" &amp; CHAR(10)), TRUE))&amp;"";"")"),"")</f>
        <v/>
      </c>
      <c r="AM161" s="130" t="str">
        <f>IFERROR(__xludf.DUMMYFUNCTION("IF(ISBLANK(AD161), """", TEXTJOIN(CHAR(10), TRUE, ARRAYFORMULA(VLOOKUP(SPLIT(AH161, "";"" &amp; CHAR(10)), $AE:$AI, 5, FALSE)), AF161))"),"")</f>
        <v/>
      </c>
      <c r="AN161" s="132" t="str">
        <f>IFERROR(__xludf.DUMMYFUNCTION("IF(ISBLANK(AO161), """", TEXTJOIN("";"" &amp; CHAR(10), TRUE, UNIQUE(SPLIT(AO161, "";"" &amp; CHAR(10)), TRUE))&amp;"";"")"),"")</f>
        <v/>
      </c>
      <c r="AO161" s="134" t="str">
        <f>IFERROR(__xludf.DUMMYFUNCTION("IF(ISBLANK(AD161), AF161, TEXTJOIN(CHAR(10), TRUE, ARRAYFORMULA(VLOOKUP(SPLIT(AD161, "";"" &amp; CHAR(10)), $AC:$AN, 12, FALSE))))"),"")</f>
        <v/>
      </c>
      <c r="AP161" s="130" t="str">
        <f>IF(ISBLANK(AE161),,IF(IFERROR(SEARCH(AE161&amp;";",Circuits!$AO$2),0),TRUE,FALSE))</f>
        <v/>
      </c>
      <c r="AQ161" s="130" t="str">
        <f t="shared" si="2"/>
        <v/>
      </c>
      <c r="AR161" s="130" t="str">
        <f t="shared" si="3"/>
        <v/>
      </c>
      <c r="AS161" s="136" t="str">
        <f>IFERROR(__xludf.DUMMYFUNCTION("IF(AH161="""",,SUM(ARRAYFORMULA(IF(IFERROR(SEARCH(SPLIT(AH161,CHAR(10)),Circuits!$AO$2),0)&gt;0,0,1))))"),"")</f>
        <v/>
      </c>
      <c r="AT161" s="138" t="str">
        <f t="shared" si="4"/>
        <v/>
      </c>
      <c r="AU161" s="138" t="str">
        <f t="shared" si="5"/>
        <v/>
      </c>
      <c r="AV161" s="130" t="str">
        <f>IFERROR(__xludf.DUMMYFUNCTION("IF(AI161="""",,TEXTJOIN("", "",TRUE,ARRAYFORMULA(VLOOKUP(SPLIT(AI161,"";""&amp;CHAR(10)),AE:AT,16,FALSE))))"),"")</f>
        <v/>
      </c>
      <c r="AW161" s="130" t="str">
        <f>IFERROR(__xludf.DUMMYFUNCTION("IF(ISBLANK(BK161),,TEXTJOIN("", "",TRUE,ARRAYFORMULA(VLOOKUP(IFERROR(REGEXEXTRACT(SPLIT(BK161,"";""&amp;CHAR(10)),""\[(.+)\]"")),AE:AT,16,false))))"),"")</f>
        <v/>
      </c>
      <c r="AX161" s="139" t="str">
        <f t="shared" si="6"/>
        <v/>
      </c>
      <c r="AY161" s="139" t="str">
        <f t="shared" si="7"/>
        <v/>
      </c>
      <c r="AZ161" s="106" t="str">
        <f>IFERROR(__xludf.DUMMYFUNCTION("IF(ISBLANK(AD161), BC161, TEXTJOIN(CHAR(10) &amp; CHAR(10), TRUE, ARRAYFORMULA(VLOOKUP(SPLIT(AD161, "";"" &amp; CHAR(10)), $AC:$AY, 23, FALSE))))"),"")</f>
        <v/>
      </c>
      <c r="BA161" s="140" t="s">
        <v>66</v>
      </c>
      <c r="BB161" s="190"/>
      <c r="BC161" s="196"/>
      <c r="BD161" s="106" t="str">
        <f>IFERROR(__xludf.DUMMYFUNCTION("IF(IFERROR(SEARCH(""&lt;&lt;mechanism to realize the capability&gt;&gt;"",BA161),0)=0,
 ""!! Error !! “Capability&amp;Mechanism” column: Invalid Separator:"" &amp; CHAR(10) &amp; ""Insert separator “&lt;&lt;mechanism to realize the capability&gt;&gt;.”"",
 IF(
  LEN(TRIM(CLEAN(
    INDEX(
 "&amp;"     SPLIT(BA161,""&lt;&lt;mechanism to realize the capability&gt;&gt;"",FALSE,FALSE),
      1
    )
  )))=0,
  ""!! Error !! “Capability&amp;Mechanism” column: No Capability:""  &amp; CHAR(10) &amp; ""Describe Capability before separator."",
  INDEX(
    SPLIT(BA161,""&lt;&lt;mechani"&amp;"sm to realize the capability&gt;&gt;"",FALSE,FALSE),
    1
  )
 )
)
"),"!! Error !! “Capability&amp;Mechanism” column: No Capability:
Describe Capability before separator.")</f>
        <v>!! Error !! “Capability&amp;Mechanism” column: No Capability:
Describe Capability before separator.</v>
      </c>
      <c r="BE161" s="190"/>
      <c r="BF161" s="195"/>
      <c r="BG161" s="42"/>
      <c r="BH161" s="190"/>
      <c r="BI161" s="196"/>
      <c r="BJ161" s="42"/>
      <c r="BK161" s="42"/>
      <c r="BL161" s="203"/>
      <c r="BM161" s="203"/>
      <c r="BN161" s="42"/>
      <c r="BO161" s="42"/>
      <c r="BP161" s="143"/>
      <c r="BQ161" s="143"/>
      <c r="BR161" s="192"/>
      <c r="BS161" s="192"/>
      <c r="BT161" s="192"/>
      <c r="BU161" s="192"/>
      <c r="BV161" s="192"/>
      <c r="BW161" s="192"/>
      <c r="BX161" s="146" t="str">
        <f t="shared" si="8"/>
        <v/>
      </c>
    </row>
    <row r="162">
      <c r="A162" s="106" t="str">
        <f t="shared" si="1"/>
        <v/>
      </c>
      <c r="B162" s="183" t="str">
        <f t="array" ref="B162">IF(ISBLANK($AE162), "-",INDEX(Circuits!A:A,SUMPRODUCT(EXACT($AE162,Circuits!$A:$A)*ROW(Circuits!$A:$A))))</f>
        <v>-</v>
      </c>
      <c r="C162" s="183" t="str">
        <f t="array" ref="C162">IF(ISBLANK($AE162), "-",INDEX(Circuits!B:B,SUMPRODUCT(EXACT($AE162,Circuits!$A:$A)*ROW(Circuits!$A:$A))))</f>
        <v>-</v>
      </c>
      <c r="D162" s="183" t="str">
        <f t="array" ref="D162">IF(ISBLANK($AE162), "-",INDEX(Circuits!C:C,SUMPRODUCT(EXACT($AE162,Circuits!$A:$A)*ROW(Circuits!$A:$A))))</f>
        <v>-</v>
      </c>
      <c r="E162" s="183" t="str">
        <f t="array" ref="E162">IF(ISBLANK($AE162), "-",INDEX(Circuits!D:D,SUMPRODUCT(EXACT($AE162,Circuits!$A:$A)*ROW(Circuits!$A:$A))))</f>
        <v>-</v>
      </c>
      <c r="F162" s="183" t="str">
        <f t="array" ref="F162">IF(ISBLANK($AE162), "-",INDEX(Circuits!E:E,SUMPRODUCT(EXACT($AE162,Circuits!$A:$A)*ROW(Circuits!$A:$A))))</f>
        <v>-</v>
      </c>
      <c r="G162" s="183" t="str">
        <f t="array" ref="G162">IF(ISBLANK($AE162), "-",INDEX(Circuits!F:F,SUMPRODUCT(EXACT($AE162,Circuits!$A:$A)*ROW(Circuits!$A:$A))))</f>
        <v>-</v>
      </c>
      <c r="H162" s="183" t="str">
        <f t="array" ref="H162">IF(ISBLANK($AE162), "-",INDEX(Circuits!G:G,SUMPRODUCT(EXACT($AE162,Circuits!$A:$A)*ROW(Circuits!$A:$A))))</f>
        <v>-</v>
      </c>
      <c r="I162" s="183" t="str">
        <f t="array" ref="I162">IF(ISBLANK($AE162), "-",INDEX(Circuits!H:H,SUMPRODUCT(EXACT($AE162,Circuits!$A:$A)*ROW(Circuits!$A:$A))))</f>
        <v>-</v>
      </c>
      <c r="J162" s="183" t="str">
        <f t="array" ref="J162">IF(ISBLANK($AE162), "-",INDEX(Circuits!I:I,SUMPRODUCT(EXACT($AE162,Circuits!$A:$A)*ROW(Circuits!$A:$A))))</f>
        <v>-</v>
      </c>
      <c r="K162" s="183" t="str">
        <f t="array" ref="K162">IF(ISBLANK($AE162), "-",INDEX(Circuits!J:J,SUMPRODUCT(EXACT($AE162,Circuits!$A:$A)*ROW(Circuits!$A:$A))))</f>
        <v>-</v>
      </c>
      <c r="L162" s="183" t="str">
        <f t="array" ref="L162">IF(ISBLANK($AE162), "-",INDEX(Circuits!K:K,SUMPRODUCT(EXACT($AE162,Circuits!$A:$A)*ROW(Circuits!$A:$A))))</f>
        <v>-</v>
      </c>
      <c r="M162" s="183" t="str">
        <f t="array" ref="M162">IF(ISBLANK($AE162), "-",INDEX(Circuits!L:L,SUMPRODUCT(EXACT($AE162,Circuits!$A:$A)*ROW(Circuits!$A:$A))))</f>
        <v>-</v>
      </c>
      <c r="N162" s="183" t="str">
        <f t="array" ref="N162">IF(ISBLANK($AE162), "-",INDEX(Circuits!M:M,SUMPRODUCT(EXACT($AE162,Circuits!$A:$A)*ROW(Circuits!$A:$A))))</f>
        <v>-</v>
      </c>
      <c r="O162" s="183" t="str">
        <f t="array" ref="O162">IF(ISBLANK($AE162), "-",INDEX(Circuits!N:N,SUMPRODUCT(EXACT($AE162,Circuits!$A:$A)*ROW(Circuits!$A:$A))))</f>
        <v>-</v>
      </c>
      <c r="P162" s="183" t="str">
        <f t="array" ref="P162">IF(ISBLANK($AE162), "-",INDEX(Circuits!O:O,SUMPRODUCT(EXACT($AE162,Circuits!$A:$A)*ROW(Circuits!$A:$A))))</f>
        <v>-</v>
      </c>
      <c r="Q162" s="183" t="str">
        <f t="array" ref="Q162">IF(ISBLANK($AE162), "-",INDEX(Circuits!P:P,SUMPRODUCT(EXACT($AE162,Circuits!$A:$A)*ROW(Circuits!$A:$A))))</f>
        <v>-</v>
      </c>
      <c r="R162" s="183" t="str">
        <f t="array" ref="R162">IF(ISBLANK($AE162), "-",INDEX(Circuits!Q:Q,SUMPRODUCT(EXACT($AE162,Circuits!$A:$A)*ROW(Circuits!$A:$A))))</f>
        <v>-</v>
      </c>
      <c r="S162" s="183" t="str">
        <f t="array" ref="S162">IF(ISBLANK($AE162), "-",INDEX(Circuits!R:R,SUMPRODUCT(EXACT($AE162,Circuits!$A:$A)*ROW(Circuits!$A:$A))))</f>
        <v>-</v>
      </c>
      <c r="T162" s="183" t="str">
        <f t="array" ref="T162">IF(ISBLANK($AE162), "-",INDEX(Circuits!S:S,SUMPRODUCT(EXACT($AE162,Circuits!$A:$A)*ROW(Circuits!$A:$A))))</f>
        <v>-</v>
      </c>
      <c r="U162" s="183" t="str">
        <f t="array" ref="U162">IF(ISBLANK($AE162), "-",INDEX(Circuits!T:T,SUMPRODUCT(EXACT($AE162,Circuits!$A:$A)*ROW(Circuits!$A:$A))))</f>
        <v>-</v>
      </c>
      <c r="V162" s="183" t="str">
        <f t="array" ref="V162">IF(ISBLANK($AE162), "-",INDEX(Circuits!U:U,SUMPRODUCT(EXACT($AE162,Circuits!$A:$A)*ROW(Circuits!$A:$A))))</f>
        <v>-</v>
      </c>
      <c r="W162" s="183" t="str">
        <f t="array" ref="W162">IF(ISBLANK($AE162), "-",INDEX(Circuits!V:V,SUMPRODUCT(EXACT($AE162,Circuits!$A:$A)*ROW(Circuits!$A:$A))))</f>
        <v>-</v>
      </c>
      <c r="X162" s="183" t="str">
        <f t="array" ref="X162">IF(ISBLANK($AE162), "-",INDEX(Circuits!W:W,SUMPRODUCT(EXACT($AE162,Circuits!$A:$A)*ROW(Circuits!$A:$A))))</f>
        <v>-</v>
      </c>
      <c r="Y162" s="183" t="str">
        <f t="array" ref="Y162">IF(ISBLANK($AE162), "-",INDEX(Circuits!X:X,SUMPRODUCT(EXACT($AE162,Circuits!$A:$A)*ROW(Circuits!$A:$A))))</f>
        <v>-</v>
      </c>
      <c r="Z162" s="108" t="str">
        <f>IFERROR(__xludf.DUMMYFUNCTION("IFNA(CONCATENATE(UNIQUE(FILTER(Connections!R:R,Connections!A:A=B162))),""-"")"),"-")</f>
        <v>-</v>
      </c>
      <c r="AA162" s="119" t="str">
        <f t="array" ref="AA162">IF(ISBLANK($AE162), "-",INDEX(Circuits!Y:Y,SUMPRODUCT(EXACT($AE162,Circuits!$A:$A)*ROW(Circuits!$A:$A))))</f>
        <v>-</v>
      </c>
      <c r="AB162" s="121" t="str">
        <f t="array" ref="AB162">IF(ISBLANK($AE162), "-",INDEX(Circuits!Z:Z,SUMPRODUCT(EXACT($AE162,Circuits!$A:$A)*ROW(Circuits!$A:$A))))</f>
        <v>-</v>
      </c>
      <c r="AC162" s="194"/>
      <c r="AD162" s="194"/>
      <c r="AE162" s="40"/>
      <c r="AF162" s="43"/>
      <c r="AG162" s="126" t="str">
        <f>IFERROR(__xludf.DUMMYFUNCTION("IF(ISBLANK(AF162), """", TEXTJOIN(CHAR(10),TRUE,ARRAYFORMULA(IF(ISERROR(SEARCH(SPLIT(AF162, "";""), $Z162)), ""x"", ""-""))))"),"")</f>
        <v/>
      </c>
      <c r="AH162" s="127" t="str">
        <f>IFERROR(__xludf.DUMMYFUNCTION("IF(ISBLANK(AK162), """", TEXTJOIN("";"" &amp; CHAR(10), TRUE, UNIQUE(SPLIT(AK162, "";"" &amp; CHAR(10)), TRUE))&amp;"";"")"),"")</f>
        <v/>
      </c>
      <c r="AI162" s="128" t="str">
        <f>IFERROR(__xludf.DUMMYFUNCTION("IF(ISBLANK(AD162), IF(ISBLANK(AE162),,IFNA(TEXTJOIN("";"" &amp; CHAR(10), TRUE, FILTER(AE:AE, SEARCH(AE162&amp;"";"", AJ:AJ)))&amp;"";"", """")), TEXTJOIN("";"" &amp; CHAR(10), TRUE, UNIQUE(SPLIT(AH162 &amp; "";"" &amp; AH162 &amp; "";"" &amp; AL162, "";"" &amp; CHAR(10)), TRUE, TRUE))&amp;"";"&amp;""")"),"")</f>
        <v/>
      </c>
      <c r="AJ162" s="126" t="str">
        <f>IFERROR(__xludf.DUMMYFUNCTION("IF(AN162="""", """", TEXTJOIN("";"" &amp; CHAR(10), TRUE, UNIQUE(SPLIT(AH162 &amp; "";"" &amp; AH162 &amp; "";"" &amp; AN162, "";"" &amp; CHAR(10)), TRUE, TRUE))&amp;"";"")"),"")</f>
        <v/>
      </c>
      <c r="AK162" s="129" t="str">
        <f>IFERROR(__xludf.DUMMYFUNCTION("IF(ISBLANK(AD162), IF(ISBLANK(AE162),,AE162 &amp; "";""), TEXTJOIN(CHAR(10), TRUE, ARRAYFORMULA(VLOOKUP(SPLIT(AD162, "";"" &amp; CHAR(10)), $AC:$AH, 6, FALSE))))"),"")</f>
        <v/>
      </c>
      <c r="AL162" s="130" t="str">
        <f>IFERROR(__xludf.DUMMYFUNCTION("IF(AM162="""", """", TEXTJOIN("";"" &amp; CHAR(10), TRUE, UNIQUE(SPLIT(AM162, "";"" &amp; CHAR(10)), TRUE))&amp;"";"")"),"")</f>
        <v/>
      </c>
      <c r="AM162" s="130" t="str">
        <f>IFERROR(__xludf.DUMMYFUNCTION("IF(ISBLANK(AD162), """", TEXTJOIN(CHAR(10), TRUE, ARRAYFORMULA(VLOOKUP(SPLIT(AH162, "";"" &amp; CHAR(10)), $AE:$AI, 5, FALSE)), AF162))"),"")</f>
        <v/>
      </c>
      <c r="AN162" s="132" t="str">
        <f>IFERROR(__xludf.DUMMYFUNCTION("IF(ISBLANK(AO162), """", TEXTJOIN("";"" &amp; CHAR(10), TRUE, UNIQUE(SPLIT(AO162, "";"" &amp; CHAR(10)), TRUE))&amp;"";"")"),"")</f>
        <v/>
      </c>
      <c r="AO162" s="134" t="str">
        <f>IFERROR(__xludf.DUMMYFUNCTION("IF(ISBLANK(AD162), AF162, TEXTJOIN(CHAR(10), TRUE, ARRAYFORMULA(VLOOKUP(SPLIT(AD162, "";"" &amp; CHAR(10)), $AC:$AN, 12, FALSE))))"),"")</f>
        <v/>
      </c>
      <c r="AP162" s="130" t="str">
        <f>IF(ISBLANK(AE162),,IF(IFERROR(SEARCH(AE162&amp;";",Circuits!$AO$2),0),TRUE,FALSE))</f>
        <v/>
      </c>
      <c r="AQ162" s="130" t="str">
        <f t="shared" si="2"/>
        <v/>
      </c>
      <c r="AR162" s="130" t="str">
        <f t="shared" si="3"/>
        <v/>
      </c>
      <c r="AS162" s="136" t="str">
        <f>IFERROR(__xludf.DUMMYFUNCTION("IF(AH162="""",,SUM(ARRAYFORMULA(IF(IFERROR(SEARCH(SPLIT(AH162,CHAR(10)),Circuits!$AO$2),0)&gt;0,0,1))))"),"")</f>
        <v/>
      </c>
      <c r="AT162" s="138" t="str">
        <f t="shared" si="4"/>
        <v/>
      </c>
      <c r="AU162" s="138" t="str">
        <f t="shared" si="5"/>
        <v/>
      </c>
      <c r="AV162" s="130" t="str">
        <f>IFERROR(__xludf.DUMMYFUNCTION("IF(AI162="""",,TEXTJOIN("", "",TRUE,ARRAYFORMULA(VLOOKUP(SPLIT(AI162,"";""&amp;CHAR(10)),AE:AT,16,FALSE))))"),"")</f>
        <v/>
      </c>
      <c r="AW162" s="130" t="str">
        <f>IFERROR(__xludf.DUMMYFUNCTION("IF(ISBLANK(BK162),,TEXTJOIN("", "",TRUE,ARRAYFORMULA(VLOOKUP(IFERROR(REGEXEXTRACT(SPLIT(BK162,"";""&amp;CHAR(10)),""\[(.+)\]"")),AE:AT,16,false))))"),"")</f>
        <v/>
      </c>
      <c r="AX162" s="139" t="str">
        <f t="shared" si="6"/>
        <v/>
      </c>
      <c r="AY162" s="139" t="str">
        <f t="shared" si="7"/>
        <v/>
      </c>
      <c r="AZ162" s="106" t="str">
        <f>IFERROR(__xludf.DUMMYFUNCTION("IF(ISBLANK(AD162), BC162, TEXTJOIN(CHAR(10) &amp; CHAR(10), TRUE, ARRAYFORMULA(VLOOKUP(SPLIT(AD162, "";"" &amp; CHAR(10)), $AC:$AY, 23, FALSE))))"),"")</f>
        <v/>
      </c>
      <c r="BA162" s="140" t="s">
        <v>66</v>
      </c>
      <c r="BB162" s="190"/>
      <c r="BC162" s="196"/>
      <c r="BD162" s="106" t="str">
        <f>IFERROR(__xludf.DUMMYFUNCTION("IF(IFERROR(SEARCH(""&lt;&lt;mechanism to realize the capability&gt;&gt;"",BA162),0)=0,
 ""!! Error !! “Capability&amp;Mechanism” column: Invalid Separator:"" &amp; CHAR(10) &amp; ""Insert separator “&lt;&lt;mechanism to realize the capability&gt;&gt;.”"",
 IF(
  LEN(TRIM(CLEAN(
    INDEX(
 "&amp;"     SPLIT(BA162,""&lt;&lt;mechanism to realize the capability&gt;&gt;"",FALSE,FALSE),
      1
    )
  )))=0,
  ""!! Error !! “Capability&amp;Mechanism” column: No Capability:""  &amp; CHAR(10) &amp; ""Describe Capability before separator."",
  INDEX(
    SPLIT(BA162,""&lt;&lt;mechani"&amp;"sm to realize the capability&gt;&gt;"",FALSE,FALSE),
    1
  )
 )
)
"),"!! Error !! “Capability&amp;Mechanism” column: No Capability:
Describe Capability before separator.")</f>
        <v>!! Error !! “Capability&amp;Mechanism” column: No Capability:
Describe Capability before separator.</v>
      </c>
      <c r="BE162" s="190"/>
      <c r="BF162" s="195"/>
      <c r="BG162" s="42"/>
      <c r="BH162" s="190"/>
      <c r="BI162" s="196"/>
      <c r="BJ162" s="42"/>
      <c r="BK162" s="42"/>
      <c r="BL162" s="203"/>
      <c r="BM162" s="203"/>
      <c r="BN162" s="42"/>
      <c r="BO162" s="42"/>
      <c r="BP162" s="143"/>
      <c r="BQ162" s="143"/>
      <c r="BR162" s="192"/>
      <c r="BS162" s="192"/>
      <c r="BT162" s="192"/>
      <c r="BU162" s="192"/>
      <c r="BV162" s="192"/>
      <c r="BW162" s="192"/>
      <c r="BX162" s="146" t="str">
        <f t="shared" si="8"/>
        <v/>
      </c>
    </row>
    <row r="163">
      <c r="A163" s="106" t="str">
        <f t="shared" si="1"/>
        <v/>
      </c>
      <c r="B163" s="183" t="str">
        <f t="array" ref="B163">IF(ISBLANK($AE163), "-",INDEX(Circuits!A:A,SUMPRODUCT(EXACT($AE163,Circuits!$A:$A)*ROW(Circuits!$A:$A))))</f>
        <v>-</v>
      </c>
      <c r="C163" s="183" t="str">
        <f t="array" ref="C163">IF(ISBLANK($AE163), "-",INDEX(Circuits!B:B,SUMPRODUCT(EXACT($AE163,Circuits!$A:$A)*ROW(Circuits!$A:$A))))</f>
        <v>-</v>
      </c>
      <c r="D163" s="183" t="str">
        <f t="array" ref="D163">IF(ISBLANK($AE163), "-",INDEX(Circuits!C:C,SUMPRODUCT(EXACT($AE163,Circuits!$A:$A)*ROW(Circuits!$A:$A))))</f>
        <v>-</v>
      </c>
      <c r="E163" s="183" t="str">
        <f t="array" ref="E163">IF(ISBLANK($AE163), "-",INDEX(Circuits!D:D,SUMPRODUCT(EXACT($AE163,Circuits!$A:$A)*ROW(Circuits!$A:$A))))</f>
        <v>-</v>
      </c>
      <c r="F163" s="183" t="str">
        <f t="array" ref="F163">IF(ISBLANK($AE163), "-",INDEX(Circuits!E:E,SUMPRODUCT(EXACT($AE163,Circuits!$A:$A)*ROW(Circuits!$A:$A))))</f>
        <v>-</v>
      </c>
      <c r="G163" s="183" t="str">
        <f t="array" ref="G163">IF(ISBLANK($AE163), "-",INDEX(Circuits!F:F,SUMPRODUCT(EXACT($AE163,Circuits!$A:$A)*ROW(Circuits!$A:$A))))</f>
        <v>-</v>
      </c>
      <c r="H163" s="183" t="str">
        <f t="array" ref="H163">IF(ISBLANK($AE163), "-",INDEX(Circuits!G:G,SUMPRODUCT(EXACT($AE163,Circuits!$A:$A)*ROW(Circuits!$A:$A))))</f>
        <v>-</v>
      </c>
      <c r="I163" s="183" t="str">
        <f t="array" ref="I163">IF(ISBLANK($AE163), "-",INDEX(Circuits!H:H,SUMPRODUCT(EXACT($AE163,Circuits!$A:$A)*ROW(Circuits!$A:$A))))</f>
        <v>-</v>
      </c>
      <c r="J163" s="183" t="str">
        <f t="array" ref="J163">IF(ISBLANK($AE163), "-",INDEX(Circuits!I:I,SUMPRODUCT(EXACT($AE163,Circuits!$A:$A)*ROW(Circuits!$A:$A))))</f>
        <v>-</v>
      </c>
      <c r="K163" s="183" t="str">
        <f t="array" ref="K163">IF(ISBLANK($AE163), "-",INDEX(Circuits!J:J,SUMPRODUCT(EXACT($AE163,Circuits!$A:$A)*ROW(Circuits!$A:$A))))</f>
        <v>-</v>
      </c>
      <c r="L163" s="183" t="str">
        <f t="array" ref="L163">IF(ISBLANK($AE163), "-",INDEX(Circuits!K:K,SUMPRODUCT(EXACT($AE163,Circuits!$A:$A)*ROW(Circuits!$A:$A))))</f>
        <v>-</v>
      </c>
      <c r="M163" s="183" t="str">
        <f t="array" ref="M163">IF(ISBLANK($AE163), "-",INDEX(Circuits!L:L,SUMPRODUCT(EXACT($AE163,Circuits!$A:$A)*ROW(Circuits!$A:$A))))</f>
        <v>-</v>
      </c>
      <c r="N163" s="183" t="str">
        <f t="array" ref="N163">IF(ISBLANK($AE163), "-",INDEX(Circuits!M:M,SUMPRODUCT(EXACT($AE163,Circuits!$A:$A)*ROW(Circuits!$A:$A))))</f>
        <v>-</v>
      </c>
      <c r="O163" s="183" t="str">
        <f t="array" ref="O163">IF(ISBLANK($AE163), "-",INDEX(Circuits!N:N,SUMPRODUCT(EXACT($AE163,Circuits!$A:$A)*ROW(Circuits!$A:$A))))</f>
        <v>-</v>
      </c>
      <c r="P163" s="183" t="str">
        <f t="array" ref="P163">IF(ISBLANK($AE163), "-",INDEX(Circuits!O:O,SUMPRODUCT(EXACT($AE163,Circuits!$A:$A)*ROW(Circuits!$A:$A))))</f>
        <v>-</v>
      </c>
      <c r="Q163" s="183" t="str">
        <f t="array" ref="Q163">IF(ISBLANK($AE163), "-",INDEX(Circuits!P:P,SUMPRODUCT(EXACT($AE163,Circuits!$A:$A)*ROW(Circuits!$A:$A))))</f>
        <v>-</v>
      </c>
      <c r="R163" s="183" t="str">
        <f t="array" ref="R163">IF(ISBLANK($AE163), "-",INDEX(Circuits!Q:Q,SUMPRODUCT(EXACT($AE163,Circuits!$A:$A)*ROW(Circuits!$A:$A))))</f>
        <v>-</v>
      </c>
      <c r="S163" s="183" t="str">
        <f t="array" ref="S163">IF(ISBLANK($AE163), "-",INDEX(Circuits!R:R,SUMPRODUCT(EXACT($AE163,Circuits!$A:$A)*ROW(Circuits!$A:$A))))</f>
        <v>-</v>
      </c>
      <c r="T163" s="183" t="str">
        <f t="array" ref="T163">IF(ISBLANK($AE163), "-",INDEX(Circuits!S:S,SUMPRODUCT(EXACT($AE163,Circuits!$A:$A)*ROW(Circuits!$A:$A))))</f>
        <v>-</v>
      </c>
      <c r="U163" s="183" t="str">
        <f t="array" ref="U163">IF(ISBLANK($AE163), "-",INDEX(Circuits!T:T,SUMPRODUCT(EXACT($AE163,Circuits!$A:$A)*ROW(Circuits!$A:$A))))</f>
        <v>-</v>
      </c>
      <c r="V163" s="183" t="str">
        <f t="array" ref="V163">IF(ISBLANK($AE163), "-",INDEX(Circuits!U:U,SUMPRODUCT(EXACT($AE163,Circuits!$A:$A)*ROW(Circuits!$A:$A))))</f>
        <v>-</v>
      </c>
      <c r="W163" s="183" t="str">
        <f t="array" ref="W163">IF(ISBLANK($AE163), "-",INDEX(Circuits!V:V,SUMPRODUCT(EXACT($AE163,Circuits!$A:$A)*ROW(Circuits!$A:$A))))</f>
        <v>-</v>
      </c>
      <c r="X163" s="183" t="str">
        <f t="array" ref="X163">IF(ISBLANK($AE163), "-",INDEX(Circuits!W:W,SUMPRODUCT(EXACT($AE163,Circuits!$A:$A)*ROW(Circuits!$A:$A))))</f>
        <v>-</v>
      </c>
      <c r="Y163" s="183" t="str">
        <f t="array" ref="Y163">IF(ISBLANK($AE163), "-",INDEX(Circuits!X:X,SUMPRODUCT(EXACT($AE163,Circuits!$A:$A)*ROW(Circuits!$A:$A))))</f>
        <v>-</v>
      </c>
      <c r="Z163" s="108" t="str">
        <f>IFERROR(__xludf.DUMMYFUNCTION("IFNA(CONCATENATE(UNIQUE(FILTER(Connections!R:R,Connections!A:A=B163))),""-"")"),"-")</f>
        <v>-</v>
      </c>
      <c r="AA163" s="119" t="str">
        <f t="array" ref="AA163">IF(ISBLANK($AE163), "-",INDEX(Circuits!Y:Y,SUMPRODUCT(EXACT($AE163,Circuits!$A:$A)*ROW(Circuits!$A:$A))))</f>
        <v>-</v>
      </c>
      <c r="AB163" s="121" t="str">
        <f t="array" ref="AB163">IF(ISBLANK($AE163), "-",INDEX(Circuits!Z:Z,SUMPRODUCT(EXACT($AE163,Circuits!$A:$A)*ROW(Circuits!$A:$A))))</f>
        <v>-</v>
      </c>
      <c r="AC163" s="194"/>
      <c r="AD163" s="194"/>
      <c r="AE163" s="40"/>
      <c r="AF163" s="43"/>
      <c r="AG163" s="126" t="str">
        <f>IFERROR(__xludf.DUMMYFUNCTION("IF(ISBLANK(AF163), """", TEXTJOIN(CHAR(10),TRUE,ARRAYFORMULA(IF(ISERROR(SEARCH(SPLIT(AF163, "";""), $Z163)), ""x"", ""-""))))"),"")</f>
        <v/>
      </c>
      <c r="AH163" s="127" t="str">
        <f>IFERROR(__xludf.DUMMYFUNCTION("IF(ISBLANK(AK163), """", TEXTJOIN("";"" &amp; CHAR(10), TRUE, UNIQUE(SPLIT(AK163, "";"" &amp; CHAR(10)), TRUE))&amp;"";"")"),"")</f>
        <v/>
      </c>
      <c r="AI163" s="128" t="str">
        <f>IFERROR(__xludf.DUMMYFUNCTION("IF(ISBLANK(AD163), IF(ISBLANK(AE163),,IFNA(TEXTJOIN("";"" &amp; CHAR(10), TRUE, FILTER(AE:AE, SEARCH(AE163&amp;"";"", AJ:AJ)))&amp;"";"", """")), TEXTJOIN("";"" &amp; CHAR(10), TRUE, UNIQUE(SPLIT(AH163 &amp; "";"" &amp; AH163 &amp; "";"" &amp; AL163, "";"" &amp; CHAR(10)), TRUE, TRUE))&amp;"";"&amp;""")"),"")</f>
        <v/>
      </c>
      <c r="AJ163" s="126" t="str">
        <f>IFERROR(__xludf.DUMMYFUNCTION("IF(AN163="""", """", TEXTJOIN("";"" &amp; CHAR(10), TRUE, UNIQUE(SPLIT(AH163 &amp; "";"" &amp; AH163 &amp; "";"" &amp; AN163, "";"" &amp; CHAR(10)), TRUE, TRUE))&amp;"";"")"),"")</f>
        <v/>
      </c>
      <c r="AK163" s="129" t="str">
        <f>IFERROR(__xludf.DUMMYFUNCTION("IF(ISBLANK(AD163), IF(ISBLANK(AE163),,AE163 &amp; "";""), TEXTJOIN(CHAR(10), TRUE, ARRAYFORMULA(VLOOKUP(SPLIT(AD163, "";"" &amp; CHAR(10)), $AC:$AH, 6, FALSE))))"),"")</f>
        <v/>
      </c>
      <c r="AL163" s="130" t="str">
        <f>IFERROR(__xludf.DUMMYFUNCTION("IF(AM163="""", """", TEXTJOIN("";"" &amp; CHAR(10), TRUE, UNIQUE(SPLIT(AM163, "";"" &amp; CHAR(10)), TRUE))&amp;"";"")"),"")</f>
        <v/>
      </c>
      <c r="AM163" s="130" t="str">
        <f>IFERROR(__xludf.DUMMYFUNCTION("IF(ISBLANK(AD163), """", TEXTJOIN(CHAR(10), TRUE, ARRAYFORMULA(VLOOKUP(SPLIT(AH163, "";"" &amp; CHAR(10)), $AE:$AI, 5, FALSE)), AF163))"),"")</f>
        <v/>
      </c>
      <c r="AN163" s="132" t="str">
        <f>IFERROR(__xludf.DUMMYFUNCTION("IF(ISBLANK(AO163), """", TEXTJOIN("";"" &amp; CHAR(10), TRUE, UNIQUE(SPLIT(AO163, "";"" &amp; CHAR(10)), TRUE))&amp;"";"")"),"")</f>
        <v/>
      </c>
      <c r="AO163" s="134" t="str">
        <f>IFERROR(__xludf.DUMMYFUNCTION("IF(ISBLANK(AD163), AF163, TEXTJOIN(CHAR(10), TRUE, ARRAYFORMULA(VLOOKUP(SPLIT(AD163, "";"" &amp; CHAR(10)), $AC:$AN, 12, FALSE))))"),"")</f>
        <v/>
      </c>
      <c r="AP163" s="130" t="str">
        <f>IF(ISBLANK(AE163),,IF(IFERROR(SEARCH(AE163&amp;";",Circuits!$AO$2),0),TRUE,FALSE))</f>
        <v/>
      </c>
      <c r="AQ163" s="130" t="str">
        <f t="shared" si="2"/>
        <v/>
      </c>
      <c r="AR163" s="130" t="str">
        <f t="shared" si="3"/>
        <v/>
      </c>
      <c r="AS163" s="136" t="str">
        <f>IFERROR(__xludf.DUMMYFUNCTION("IF(AH163="""",,SUM(ARRAYFORMULA(IF(IFERROR(SEARCH(SPLIT(AH163,CHAR(10)),Circuits!$AO$2),0)&gt;0,0,1))))"),"")</f>
        <v/>
      </c>
      <c r="AT163" s="138" t="str">
        <f t="shared" si="4"/>
        <v/>
      </c>
      <c r="AU163" s="138" t="str">
        <f t="shared" si="5"/>
        <v/>
      </c>
      <c r="AV163" s="130" t="str">
        <f>IFERROR(__xludf.DUMMYFUNCTION("IF(AI163="""",,TEXTJOIN("", "",TRUE,ARRAYFORMULA(VLOOKUP(SPLIT(AI163,"";""&amp;CHAR(10)),AE:AT,16,FALSE))))"),"")</f>
        <v/>
      </c>
      <c r="AW163" s="130" t="str">
        <f>IFERROR(__xludf.DUMMYFUNCTION("IF(ISBLANK(BK163),,TEXTJOIN("", "",TRUE,ARRAYFORMULA(VLOOKUP(IFERROR(REGEXEXTRACT(SPLIT(BK163,"";""&amp;CHAR(10)),""\[(.+)\]"")),AE:AT,16,false))))"),"")</f>
        <v/>
      </c>
      <c r="AX163" s="139" t="str">
        <f t="shared" si="6"/>
        <v/>
      </c>
      <c r="AY163" s="139" t="str">
        <f t="shared" si="7"/>
        <v/>
      </c>
      <c r="AZ163" s="106" t="str">
        <f>IFERROR(__xludf.DUMMYFUNCTION("IF(ISBLANK(AD163), BC163, TEXTJOIN(CHAR(10) &amp; CHAR(10), TRUE, ARRAYFORMULA(VLOOKUP(SPLIT(AD163, "";"" &amp; CHAR(10)), $AC:$AY, 23, FALSE))))"),"")</f>
        <v/>
      </c>
      <c r="BA163" s="140" t="s">
        <v>66</v>
      </c>
      <c r="BB163" s="190"/>
      <c r="BC163" s="196"/>
      <c r="BD163" s="106" t="str">
        <f>IFERROR(__xludf.DUMMYFUNCTION("IF(IFERROR(SEARCH(""&lt;&lt;mechanism to realize the capability&gt;&gt;"",BA163),0)=0,
 ""!! Error !! “Capability&amp;Mechanism” column: Invalid Separator:"" &amp; CHAR(10) &amp; ""Insert separator “&lt;&lt;mechanism to realize the capability&gt;&gt;.”"",
 IF(
  LEN(TRIM(CLEAN(
    INDEX(
 "&amp;"     SPLIT(BA163,""&lt;&lt;mechanism to realize the capability&gt;&gt;"",FALSE,FALSE),
      1
    )
  )))=0,
  ""!! Error !! “Capability&amp;Mechanism” column: No Capability:""  &amp; CHAR(10) &amp; ""Describe Capability before separator."",
  INDEX(
    SPLIT(BA163,""&lt;&lt;mechani"&amp;"sm to realize the capability&gt;&gt;"",FALSE,FALSE),
    1
  )
 )
)
"),"!! Error !! “Capability&amp;Mechanism” column: No Capability:
Describe Capability before separator.")</f>
        <v>!! Error !! “Capability&amp;Mechanism” column: No Capability:
Describe Capability before separator.</v>
      </c>
      <c r="BE163" s="190"/>
      <c r="BF163" s="195"/>
      <c r="BG163" s="42"/>
      <c r="BH163" s="190"/>
      <c r="BI163" s="196"/>
      <c r="BJ163" s="42"/>
      <c r="BK163" s="42"/>
      <c r="BL163" s="203"/>
      <c r="BM163" s="203"/>
      <c r="BN163" s="42"/>
      <c r="BO163" s="42"/>
      <c r="BP163" s="143"/>
      <c r="BQ163" s="143"/>
      <c r="BR163" s="192"/>
      <c r="BS163" s="192"/>
      <c r="BT163" s="192"/>
      <c r="BU163" s="192"/>
      <c r="BV163" s="192"/>
      <c r="BW163" s="192"/>
      <c r="BX163" s="146" t="str">
        <f t="shared" si="8"/>
        <v/>
      </c>
    </row>
    <row r="164">
      <c r="A164" s="106" t="str">
        <f t="shared" si="1"/>
        <v/>
      </c>
      <c r="B164" s="183" t="str">
        <f t="array" ref="B164">IF(ISBLANK($AE164), "-",INDEX(Circuits!A:A,SUMPRODUCT(EXACT($AE164,Circuits!$A:$A)*ROW(Circuits!$A:$A))))</f>
        <v>-</v>
      </c>
      <c r="C164" s="183" t="str">
        <f t="array" ref="C164">IF(ISBLANK($AE164), "-",INDEX(Circuits!B:B,SUMPRODUCT(EXACT($AE164,Circuits!$A:$A)*ROW(Circuits!$A:$A))))</f>
        <v>-</v>
      </c>
      <c r="D164" s="183" t="str">
        <f t="array" ref="D164">IF(ISBLANK($AE164), "-",INDEX(Circuits!C:C,SUMPRODUCT(EXACT($AE164,Circuits!$A:$A)*ROW(Circuits!$A:$A))))</f>
        <v>-</v>
      </c>
      <c r="E164" s="183" t="str">
        <f t="array" ref="E164">IF(ISBLANK($AE164), "-",INDEX(Circuits!D:D,SUMPRODUCT(EXACT($AE164,Circuits!$A:$A)*ROW(Circuits!$A:$A))))</f>
        <v>-</v>
      </c>
      <c r="F164" s="183" t="str">
        <f t="array" ref="F164">IF(ISBLANK($AE164), "-",INDEX(Circuits!E:E,SUMPRODUCT(EXACT($AE164,Circuits!$A:$A)*ROW(Circuits!$A:$A))))</f>
        <v>-</v>
      </c>
      <c r="G164" s="183" t="str">
        <f t="array" ref="G164">IF(ISBLANK($AE164), "-",INDEX(Circuits!F:F,SUMPRODUCT(EXACT($AE164,Circuits!$A:$A)*ROW(Circuits!$A:$A))))</f>
        <v>-</v>
      </c>
      <c r="H164" s="183" t="str">
        <f t="array" ref="H164">IF(ISBLANK($AE164), "-",INDEX(Circuits!G:G,SUMPRODUCT(EXACT($AE164,Circuits!$A:$A)*ROW(Circuits!$A:$A))))</f>
        <v>-</v>
      </c>
      <c r="I164" s="183" t="str">
        <f t="array" ref="I164">IF(ISBLANK($AE164), "-",INDEX(Circuits!H:H,SUMPRODUCT(EXACT($AE164,Circuits!$A:$A)*ROW(Circuits!$A:$A))))</f>
        <v>-</v>
      </c>
      <c r="J164" s="183" t="str">
        <f t="array" ref="J164">IF(ISBLANK($AE164), "-",INDEX(Circuits!I:I,SUMPRODUCT(EXACT($AE164,Circuits!$A:$A)*ROW(Circuits!$A:$A))))</f>
        <v>-</v>
      </c>
      <c r="K164" s="183" t="str">
        <f t="array" ref="K164">IF(ISBLANK($AE164), "-",INDEX(Circuits!J:J,SUMPRODUCT(EXACT($AE164,Circuits!$A:$A)*ROW(Circuits!$A:$A))))</f>
        <v>-</v>
      </c>
      <c r="L164" s="183" t="str">
        <f t="array" ref="L164">IF(ISBLANK($AE164), "-",INDEX(Circuits!K:K,SUMPRODUCT(EXACT($AE164,Circuits!$A:$A)*ROW(Circuits!$A:$A))))</f>
        <v>-</v>
      </c>
      <c r="M164" s="183" t="str">
        <f t="array" ref="M164">IF(ISBLANK($AE164), "-",INDEX(Circuits!L:L,SUMPRODUCT(EXACT($AE164,Circuits!$A:$A)*ROW(Circuits!$A:$A))))</f>
        <v>-</v>
      </c>
      <c r="N164" s="183" t="str">
        <f t="array" ref="N164">IF(ISBLANK($AE164), "-",INDEX(Circuits!M:M,SUMPRODUCT(EXACT($AE164,Circuits!$A:$A)*ROW(Circuits!$A:$A))))</f>
        <v>-</v>
      </c>
      <c r="O164" s="183" t="str">
        <f t="array" ref="O164">IF(ISBLANK($AE164), "-",INDEX(Circuits!N:N,SUMPRODUCT(EXACT($AE164,Circuits!$A:$A)*ROW(Circuits!$A:$A))))</f>
        <v>-</v>
      </c>
      <c r="P164" s="183" t="str">
        <f t="array" ref="P164">IF(ISBLANK($AE164), "-",INDEX(Circuits!O:O,SUMPRODUCT(EXACT($AE164,Circuits!$A:$A)*ROW(Circuits!$A:$A))))</f>
        <v>-</v>
      </c>
      <c r="Q164" s="183" t="str">
        <f t="array" ref="Q164">IF(ISBLANK($AE164), "-",INDEX(Circuits!P:P,SUMPRODUCT(EXACT($AE164,Circuits!$A:$A)*ROW(Circuits!$A:$A))))</f>
        <v>-</v>
      </c>
      <c r="R164" s="183" t="str">
        <f t="array" ref="R164">IF(ISBLANK($AE164), "-",INDEX(Circuits!Q:Q,SUMPRODUCT(EXACT($AE164,Circuits!$A:$A)*ROW(Circuits!$A:$A))))</f>
        <v>-</v>
      </c>
      <c r="S164" s="183" t="str">
        <f t="array" ref="S164">IF(ISBLANK($AE164), "-",INDEX(Circuits!R:R,SUMPRODUCT(EXACT($AE164,Circuits!$A:$A)*ROW(Circuits!$A:$A))))</f>
        <v>-</v>
      </c>
      <c r="T164" s="183" t="str">
        <f t="array" ref="T164">IF(ISBLANK($AE164), "-",INDEX(Circuits!S:S,SUMPRODUCT(EXACT($AE164,Circuits!$A:$A)*ROW(Circuits!$A:$A))))</f>
        <v>-</v>
      </c>
      <c r="U164" s="183" t="str">
        <f t="array" ref="U164">IF(ISBLANK($AE164), "-",INDEX(Circuits!T:T,SUMPRODUCT(EXACT($AE164,Circuits!$A:$A)*ROW(Circuits!$A:$A))))</f>
        <v>-</v>
      </c>
      <c r="V164" s="183" t="str">
        <f t="array" ref="V164">IF(ISBLANK($AE164), "-",INDEX(Circuits!U:U,SUMPRODUCT(EXACT($AE164,Circuits!$A:$A)*ROW(Circuits!$A:$A))))</f>
        <v>-</v>
      </c>
      <c r="W164" s="183" t="str">
        <f t="array" ref="W164">IF(ISBLANK($AE164), "-",INDEX(Circuits!V:V,SUMPRODUCT(EXACT($AE164,Circuits!$A:$A)*ROW(Circuits!$A:$A))))</f>
        <v>-</v>
      </c>
      <c r="X164" s="183" t="str">
        <f t="array" ref="X164">IF(ISBLANK($AE164), "-",INDEX(Circuits!W:W,SUMPRODUCT(EXACT($AE164,Circuits!$A:$A)*ROW(Circuits!$A:$A))))</f>
        <v>-</v>
      </c>
      <c r="Y164" s="183" t="str">
        <f t="array" ref="Y164">IF(ISBLANK($AE164), "-",INDEX(Circuits!X:X,SUMPRODUCT(EXACT($AE164,Circuits!$A:$A)*ROW(Circuits!$A:$A))))</f>
        <v>-</v>
      </c>
      <c r="Z164" s="108" t="str">
        <f>IFERROR(__xludf.DUMMYFUNCTION("IFNA(CONCATENATE(UNIQUE(FILTER(Connections!R:R,Connections!A:A=B164))),""-"")"),"-")</f>
        <v>-</v>
      </c>
      <c r="AA164" s="119" t="str">
        <f t="array" ref="AA164">IF(ISBLANK($AE164), "-",INDEX(Circuits!Y:Y,SUMPRODUCT(EXACT($AE164,Circuits!$A:$A)*ROW(Circuits!$A:$A))))</f>
        <v>-</v>
      </c>
      <c r="AB164" s="121" t="str">
        <f t="array" ref="AB164">IF(ISBLANK($AE164), "-",INDEX(Circuits!Z:Z,SUMPRODUCT(EXACT($AE164,Circuits!$A:$A)*ROW(Circuits!$A:$A))))</f>
        <v>-</v>
      </c>
      <c r="AC164" s="194"/>
      <c r="AD164" s="194"/>
      <c r="AE164" s="40"/>
      <c r="AF164" s="43"/>
      <c r="AG164" s="126" t="str">
        <f>IFERROR(__xludf.DUMMYFUNCTION("IF(ISBLANK(AF164), """", TEXTJOIN(CHAR(10),TRUE,ARRAYFORMULA(IF(ISERROR(SEARCH(SPLIT(AF164, "";""), $Z164)), ""x"", ""-""))))"),"")</f>
        <v/>
      </c>
      <c r="AH164" s="127" t="str">
        <f>IFERROR(__xludf.DUMMYFUNCTION("IF(ISBLANK(AK164), """", TEXTJOIN("";"" &amp; CHAR(10), TRUE, UNIQUE(SPLIT(AK164, "";"" &amp; CHAR(10)), TRUE))&amp;"";"")"),"")</f>
        <v/>
      </c>
      <c r="AI164" s="128" t="str">
        <f>IFERROR(__xludf.DUMMYFUNCTION("IF(ISBLANK(AD164), IF(ISBLANK(AE164),,IFNA(TEXTJOIN("";"" &amp; CHAR(10), TRUE, FILTER(AE:AE, SEARCH(AE164&amp;"";"", AJ:AJ)))&amp;"";"", """")), TEXTJOIN("";"" &amp; CHAR(10), TRUE, UNIQUE(SPLIT(AH164 &amp; "";"" &amp; AH164 &amp; "";"" &amp; AL164, "";"" &amp; CHAR(10)), TRUE, TRUE))&amp;"";"&amp;""")"),"")</f>
        <v/>
      </c>
      <c r="AJ164" s="126" t="str">
        <f>IFERROR(__xludf.DUMMYFUNCTION("IF(AN164="""", """", TEXTJOIN("";"" &amp; CHAR(10), TRUE, UNIQUE(SPLIT(AH164 &amp; "";"" &amp; AH164 &amp; "";"" &amp; AN164, "";"" &amp; CHAR(10)), TRUE, TRUE))&amp;"";"")"),"")</f>
        <v/>
      </c>
      <c r="AK164" s="129" t="str">
        <f>IFERROR(__xludf.DUMMYFUNCTION("IF(ISBLANK(AD164), IF(ISBLANK(AE164),,AE164 &amp; "";""), TEXTJOIN(CHAR(10), TRUE, ARRAYFORMULA(VLOOKUP(SPLIT(AD164, "";"" &amp; CHAR(10)), $AC:$AH, 6, FALSE))))"),"")</f>
        <v/>
      </c>
      <c r="AL164" s="130" t="str">
        <f>IFERROR(__xludf.DUMMYFUNCTION("IF(AM164="""", """", TEXTJOIN("";"" &amp; CHAR(10), TRUE, UNIQUE(SPLIT(AM164, "";"" &amp; CHAR(10)), TRUE))&amp;"";"")"),"")</f>
        <v/>
      </c>
      <c r="AM164" s="130" t="str">
        <f>IFERROR(__xludf.DUMMYFUNCTION("IF(ISBLANK(AD164), """", TEXTJOIN(CHAR(10), TRUE, ARRAYFORMULA(VLOOKUP(SPLIT(AH164, "";"" &amp; CHAR(10)), $AE:$AI, 5, FALSE)), AF164))"),"")</f>
        <v/>
      </c>
      <c r="AN164" s="132" t="str">
        <f>IFERROR(__xludf.DUMMYFUNCTION("IF(ISBLANK(AO164), """", TEXTJOIN("";"" &amp; CHAR(10), TRUE, UNIQUE(SPLIT(AO164, "";"" &amp; CHAR(10)), TRUE))&amp;"";"")"),"")</f>
        <v/>
      </c>
      <c r="AO164" s="134" t="str">
        <f>IFERROR(__xludf.DUMMYFUNCTION("IF(ISBLANK(AD164), AF164, TEXTJOIN(CHAR(10), TRUE, ARRAYFORMULA(VLOOKUP(SPLIT(AD164, "";"" &amp; CHAR(10)), $AC:$AN, 12, FALSE))))"),"")</f>
        <v/>
      </c>
      <c r="AP164" s="130" t="str">
        <f>IF(ISBLANK(AE164),,IF(IFERROR(SEARCH(AE164&amp;";",Circuits!$AO$2),0),TRUE,FALSE))</f>
        <v/>
      </c>
      <c r="AQ164" s="130" t="str">
        <f t="shared" si="2"/>
        <v/>
      </c>
      <c r="AR164" s="130" t="str">
        <f t="shared" si="3"/>
        <v/>
      </c>
      <c r="AS164" s="136" t="str">
        <f>IFERROR(__xludf.DUMMYFUNCTION("IF(AH164="""",,SUM(ARRAYFORMULA(IF(IFERROR(SEARCH(SPLIT(AH164,CHAR(10)),Circuits!$AO$2),0)&gt;0,0,1))))"),"")</f>
        <v/>
      </c>
      <c r="AT164" s="138" t="str">
        <f t="shared" si="4"/>
        <v/>
      </c>
      <c r="AU164" s="138" t="str">
        <f t="shared" si="5"/>
        <v/>
      </c>
      <c r="AV164" s="130" t="str">
        <f>IFERROR(__xludf.DUMMYFUNCTION("IF(AI164="""",,TEXTJOIN("", "",TRUE,ARRAYFORMULA(VLOOKUP(SPLIT(AI164,"";""&amp;CHAR(10)),AE:AT,16,FALSE))))"),"")</f>
        <v/>
      </c>
      <c r="AW164" s="130" t="str">
        <f>IFERROR(__xludf.DUMMYFUNCTION("IF(ISBLANK(BK164),,TEXTJOIN("", "",TRUE,ARRAYFORMULA(VLOOKUP(IFERROR(REGEXEXTRACT(SPLIT(BK164,"";""&amp;CHAR(10)),""\[(.+)\]"")),AE:AT,16,false))))"),"")</f>
        <v/>
      </c>
      <c r="AX164" s="139" t="str">
        <f t="shared" si="6"/>
        <v/>
      </c>
      <c r="AY164" s="139" t="str">
        <f t="shared" si="7"/>
        <v/>
      </c>
      <c r="AZ164" s="106" t="str">
        <f>IFERROR(__xludf.DUMMYFUNCTION("IF(ISBLANK(AD164), BC164, TEXTJOIN(CHAR(10) &amp; CHAR(10), TRUE, ARRAYFORMULA(VLOOKUP(SPLIT(AD164, "";"" &amp; CHAR(10)), $AC:$AY, 23, FALSE))))"),"")</f>
        <v/>
      </c>
      <c r="BA164" s="140" t="s">
        <v>66</v>
      </c>
      <c r="BB164" s="190"/>
      <c r="BC164" s="196"/>
      <c r="BD164" s="106" t="str">
        <f>IFERROR(__xludf.DUMMYFUNCTION("IF(IFERROR(SEARCH(""&lt;&lt;mechanism to realize the capability&gt;&gt;"",BA164),0)=0,
 ""!! Error !! “Capability&amp;Mechanism” column: Invalid Separator:"" &amp; CHAR(10) &amp; ""Insert separator “&lt;&lt;mechanism to realize the capability&gt;&gt;.”"",
 IF(
  LEN(TRIM(CLEAN(
    INDEX(
 "&amp;"     SPLIT(BA164,""&lt;&lt;mechanism to realize the capability&gt;&gt;"",FALSE,FALSE),
      1
    )
  )))=0,
  ""!! Error !! “Capability&amp;Mechanism” column: No Capability:""  &amp; CHAR(10) &amp; ""Describe Capability before separator."",
  INDEX(
    SPLIT(BA164,""&lt;&lt;mechani"&amp;"sm to realize the capability&gt;&gt;"",FALSE,FALSE),
    1
  )
 )
)
"),"!! Error !! “Capability&amp;Mechanism” column: No Capability:
Describe Capability before separator.")</f>
        <v>!! Error !! “Capability&amp;Mechanism” column: No Capability:
Describe Capability before separator.</v>
      </c>
      <c r="BE164" s="190"/>
      <c r="BF164" s="195"/>
      <c r="BG164" s="42"/>
      <c r="BH164" s="190"/>
      <c r="BI164" s="196"/>
      <c r="BJ164" s="42"/>
      <c r="BK164" s="42"/>
      <c r="BL164" s="203"/>
      <c r="BM164" s="203"/>
      <c r="BN164" s="42"/>
      <c r="BO164" s="42"/>
      <c r="BP164" s="143"/>
      <c r="BQ164" s="143"/>
      <c r="BR164" s="192"/>
      <c r="BS164" s="192"/>
      <c r="BT164" s="192"/>
      <c r="BU164" s="192"/>
      <c r="BV164" s="192"/>
      <c r="BW164" s="192"/>
      <c r="BX164" s="146" t="str">
        <f t="shared" si="8"/>
        <v/>
      </c>
    </row>
    <row r="165">
      <c r="A165" s="106" t="str">
        <f t="shared" si="1"/>
        <v/>
      </c>
      <c r="B165" s="183" t="str">
        <f t="array" ref="B165">IF(ISBLANK($AE165), "-",INDEX(Circuits!A:A,SUMPRODUCT(EXACT($AE165,Circuits!$A:$A)*ROW(Circuits!$A:$A))))</f>
        <v>-</v>
      </c>
      <c r="C165" s="183" t="str">
        <f t="array" ref="C165">IF(ISBLANK($AE165), "-",INDEX(Circuits!B:B,SUMPRODUCT(EXACT($AE165,Circuits!$A:$A)*ROW(Circuits!$A:$A))))</f>
        <v>-</v>
      </c>
      <c r="D165" s="183" t="str">
        <f t="array" ref="D165">IF(ISBLANK($AE165), "-",INDEX(Circuits!C:C,SUMPRODUCT(EXACT($AE165,Circuits!$A:$A)*ROW(Circuits!$A:$A))))</f>
        <v>-</v>
      </c>
      <c r="E165" s="183" t="str">
        <f t="array" ref="E165">IF(ISBLANK($AE165), "-",INDEX(Circuits!D:D,SUMPRODUCT(EXACT($AE165,Circuits!$A:$A)*ROW(Circuits!$A:$A))))</f>
        <v>-</v>
      </c>
      <c r="F165" s="183" t="str">
        <f t="array" ref="F165">IF(ISBLANK($AE165), "-",INDEX(Circuits!E:E,SUMPRODUCT(EXACT($AE165,Circuits!$A:$A)*ROW(Circuits!$A:$A))))</f>
        <v>-</v>
      </c>
      <c r="G165" s="183" t="str">
        <f t="array" ref="G165">IF(ISBLANK($AE165), "-",INDEX(Circuits!F:F,SUMPRODUCT(EXACT($AE165,Circuits!$A:$A)*ROW(Circuits!$A:$A))))</f>
        <v>-</v>
      </c>
      <c r="H165" s="183" t="str">
        <f t="array" ref="H165">IF(ISBLANK($AE165), "-",INDEX(Circuits!G:G,SUMPRODUCT(EXACT($AE165,Circuits!$A:$A)*ROW(Circuits!$A:$A))))</f>
        <v>-</v>
      </c>
      <c r="I165" s="183" t="str">
        <f t="array" ref="I165">IF(ISBLANK($AE165), "-",INDEX(Circuits!H:H,SUMPRODUCT(EXACT($AE165,Circuits!$A:$A)*ROW(Circuits!$A:$A))))</f>
        <v>-</v>
      </c>
      <c r="J165" s="183" t="str">
        <f t="array" ref="J165">IF(ISBLANK($AE165), "-",INDEX(Circuits!I:I,SUMPRODUCT(EXACT($AE165,Circuits!$A:$A)*ROW(Circuits!$A:$A))))</f>
        <v>-</v>
      </c>
      <c r="K165" s="183" t="str">
        <f t="array" ref="K165">IF(ISBLANK($AE165), "-",INDEX(Circuits!J:J,SUMPRODUCT(EXACT($AE165,Circuits!$A:$A)*ROW(Circuits!$A:$A))))</f>
        <v>-</v>
      </c>
      <c r="L165" s="183" t="str">
        <f t="array" ref="L165">IF(ISBLANK($AE165), "-",INDEX(Circuits!K:K,SUMPRODUCT(EXACT($AE165,Circuits!$A:$A)*ROW(Circuits!$A:$A))))</f>
        <v>-</v>
      </c>
      <c r="M165" s="183" t="str">
        <f t="array" ref="M165">IF(ISBLANK($AE165), "-",INDEX(Circuits!L:L,SUMPRODUCT(EXACT($AE165,Circuits!$A:$A)*ROW(Circuits!$A:$A))))</f>
        <v>-</v>
      </c>
      <c r="N165" s="183" t="str">
        <f t="array" ref="N165">IF(ISBLANK($AE165), "-",INDEX(Circuits!M:M,SUMPRODUCT(EXACT($AE165,Circuits!$A:$A)*ROW(Circuits!$A:$A))))</f>
        <v>-</v>
      </c>
      <c r="O165" s="183" t="str">
        <f t="array" ref="O165">IF(ISBLANK($AE165), "-",INDEX(Circuits!N:N,SUMPRODUCT(EXACT($AE165,Circuits!$A:$A)*ROW(Circuits!$A:$A))))</f>
        <v>-</v>
      </c>
      <c r="P165" s="183" t="str">
        <f t="array" ref="P165">IF(ISBLANK($AE165), "-",INDEX(Circuits!O:O,SUMPRODUCT(EXACT($AE165,Circuits!$A:$A)*ROW(Circuits!$A:$A))))</f>
        <v>-</v>
      </c>
      <c r="Q165" s="183" t="str">
        <f t="array" ref="Q165">IF(ISBLANK($AE165), "-",INDEX(Circuits!P:P,SUMPRODUCT(EXACT($AE165,Circuits!$A:$A)*ROW(Circuits!$A:$A))))</f>
        <v>-</v>
      </c>
      <c r="R165" s="183" t="str">
        <f t="array" ref="R165">IF(ISBLANK($AE165), "-",INDEX(Circuits!Q:Q,SUMPRODUCT(EXACT($AE165,Circuits!$A:$A)*ROW(Circuits!$A:$A))))</f>
        <v>-</v>
      </c>
      <c r="S165" s="183" t="str">
        <f t="array" ref="S165">IF(ISBLANK($AE165), "-",INDEX(Circuits!R:R,SUMPRODUCT(EXACT($AE165,Circuits!$A:$A)*ROW(Circuits!$A:$A))))</f>
        <v>-</v>
      </c>
      <c r="T165" s="183" t="str">
        <f t="array" ref="T165">IF(ISBLANK($AE165), "-",INDEX(Circuits!S:S,SUMPRODUCT(EXACT($AE165,Circuits!$A:$A)*ROW(Circuits!$A:$A))))</f>
        <v>-</v>
      </c>
      <c r="U165" s="183" t="str">
        <f t="array" ref="U165">IF(ISBLANK($AE165), "-",INDEX(Circuits!T:T,SUMPRODUCT(EXACT($AE165,Circuits!$A:$A)*ROW(Circuits!$A:$A))))</f>
        <v>-</v>
      </c>
      <c r="V165" s="183" t="str">
        <f t="array" ref="V165">IF(ISBLANK($AE165), "-",INDEX(Circuits!U:U,SUMPRODUCT(EXACT($AE165,Circuits!$A:$A)*ROW(Circuits!$A:$A))))</f>
        <v>-</v>
      </c>
      <c r="W165" s="183" t="str">
        <f t="array" ref="W165">IF(ISBLANK($AE165), "-",INDEX(Circuits!V:V,SUMPRODUCT(EXACT($AE165,Circuits!$A:$A)*ROW(Circuits!$A:$A))))</f>
        <v>-</v>
      </c>
      <c r="X165" s="183" t="str">
        <f t="array" ref="X165">IF(ISBLANK($AE165), "-",INDEX(Circuits!W:W,SUMPRODUCT(EXACT($AE165,Circuits!$A:$A)*ROW(Circuits!$A:$A))))</f>
        <v>-</v>
      </c>
      <c r="Y165" s="183" t="str">
        <f t="array" ref="Y165">IF(ISBLANK($AE165), "-",INDEX(Circuits!X:X,SUMPRODUCT(EXACT($AE165,Circuits!$A:$A)*ROW(Circuits!$A:$A))))</f>
        <v>-</v>
      </c>
      <c r="Z165" s="108" t="str">
        <f>IFERROR(__xludf.DUMMYFUNCTION("IFNA(CONCATENATE(UNIQUE(FILTER(Connections!R:R,Connections!A:A=B165))),""-"")"),"-")</f>
        <v>-</v>
      </c>
      <c r="AA165" s="119" t="str">
        <f t="array" ref="AA165">IF(ISBLANK($AE165), "-",INDEX(Circuits!Y:Y,SUMPRODUCT(EXACT($AE165,Circuits!$A:$A)*ROW(Circuits!$A:$A))))</f>
        <v>-</v>
      </c>
      <c r="AB165" s="121" t="str">
        <f t="array" ref="AB165">IF(ISBLANK($AE165), "-",INDEX(Circuits!Z:Z,SUMPRODUCT(EXACT($AE165,Circuits!$A:$A)*ROW(Circuits!$A:$A))))</f>
        <v>-</v>
      </c>
      <c r="AC165" s="194"/>
      <c r="AD165" s="194"/>
      <c r="AE165" s="40"/>
      <c r="AF165" s="43"/>
      <c r="AG165" s="126" t="str">
        <f>IFERROR(__xludf.DUMMYFUNCTION("IF(ISBLANK(AF165), """", TEXTJOIN(CHAR(10),TRUE,ARRAYFORMULA(IF(ISERROR(SEARCH(SPLIT(AF165, "";""), $Z165)), ""x"", ""-""))))"),"")</f>
        <v/>
      </c>
      <c r="AH165" s="127" t="str">
        <f>IFERROR(__xludf.DUMMYFUNCTION("IF(ISBLANK(AK165), """", TEXTJOIN("";"" &amp; CHAR(10), TRUE, UNIQUE(SPLIT(AK165, "";"" &amp; CHAR(10)), TRUE))&amp;"";"")"),"")</f>
        <v/>
      </c>
      <c r="AI165" s="128" t="str">
        <f>IFERROR(__xludf.DUMMYFUNCTION("IF(ISBLANK(AD165), IF(ISBLANK(AE165),,IFNA(TEXTJOIN("";"" &amp; CHAR(10), TRUE, FILTER(AE:AE, SEARCH(AE165&amp;"";"", AJ:AJ)))&amp;"";"", """")), TEXTJOIN("";"" &amp; CHAR(10), TRUE, UNIQUE(SPLIT(AH165 &amp; "";"" &amp; AH165 &amp; "";"" &amp; AL165, "";"" &amp; CHAR(10)), TRUE, TRUE))&amp;"";"&amp;""")"),"")</f>
        <v/>
      </c>
      <c r="AJ165" s="126" t="str">
        <f>IFERROR(__xludf.DUMMYFUNCTION("IF(AN165="""", """", TEXTJOIN("";"" &amp; CHAR(10), TRUE, UNIQUE(SPLIT(AH165 &amp; "";"" &amp; AH165 &amp; "";"" &amp; AN165, "";"" &amp; CHAR(10)), TRUE, TRUE))&amp;"";"")"),"")</f>
        <v/>
      </c>
      <c r="AK165" s="129" t="str">
        <f>IFERROR(__xludf.DUMMYFUNCTION("IF(ISBLANK(AD165), IF(ISBLANK(AE165),,AE165 &amp; "";""), TEXTJOIN(CHAR(10), TRUE, ARRAYFORMULA(VLOOKUP(SPLIT(AD165, "";"" &amp; CHAR(10)), $AC:$AH, 6, FALSE))))"),"")</f>
        <v/>
      </c>
      <c r="AL165" s="130" t="str">
        <f>IFERROR(__xludf.DUMMYFUNCTION("IF(AM165="""", """", TEXTJOIN("";"" &amp; CHAR(10), TRUE, UNIQUE(SPLIT(AM165, "";"" &amp; CHAR(10)), TRUE))&amp;"";"")"),"")</f>
        <v/>
      </c>
      <c r="AM165" s="130" t="str">
        <f>IFERROR(__xludf.DUMMYFUNCTION("IF(ISBLANK(AD165), """", TEXTJOIN(CHAR(10), TRUE, ARRAYFORMULA(VLOOKUP(SPLIT(AH165, "";"" &amp; CHAR(10)), $AE:$AI, 5, FALSE)), AF165))"),"")</f>
        <v/>
      </c>
      <c r="AN165" s="132" t="str">
        <f>IFERROR(__xludf.DUMMYFUNCTION("IF(ISBLANK(AO165), """", TEXTJOIN("";"" &amp; CHAR(10), TRUE, UNIQUE(SPLIT(AO165, "";"" &amp; CHAR(10)), TRUE))&amp;"";"")"),"")</f>
        <v/>
      </c>
      <c r="AO165" s="134" t="str">
        <f>IFERROR(__xludf.DUMMYFUNCTION("IF(ISBLANK(AD165), AF165, TEXTJOIN(CHAR(10), TRUE, ARRAYFORMULA(VLOOKUP(SPLIT(AD165, "";"" &amp; CHAR(10)), $AC:$AN, 12, FALSE))))"),"")</f>
        <v/>
      </c>
      <c r="AP165" s="130" t="str">
        <f>IF(ISBLANK(AE165),,IF(IFERROR(SEARCH(AE165&amp;";",Circuits!$AO$2),0),TRUE,FALSE))</f>
        <v/>
      </c>
      <c r="AQ165" s="130" t="str">
        <f t="shared" si="2"/>
        <v/>
      </c>
      <c r="AR165" s="130" t="str">
        <f t="shared" si="3"/>
        <v/>
      </c>
      <c r="AS165" s="136" t="str">
        <f>IFERROR(__xludf.DUMMYFUNCTION("IF(AH165="""",,SUM(ARRAYFORMULA(IF(IFERROR(SEARCH(SPLIT(AH165,CHAR(10)),Circuits!$AO$2),0)&gt;0,0,1))))"),"")</f>
        <v/>
      </c>
      <c r="AT165" s="138" t="str">
        <f t="shared" si="4"/>
        <v/>
      </c>
      <c r="AU165" s="138" t="str">
        <f t="shared" si="5"/>
        <v/>
      </c>
      <c r="AV165" s="130" t="str">
        <f>IFERROR(__xludf.DUMMYFUNCTION("IF(AI165="""",,TEXTJOIN("", "",TRUE,ARRAYFORMULA(VLOOKUP(SPLIT(AI165,"";""&amp;CHAR(10)),AE:AT,16,FALSE))))"),"")</f>
        <v/>
      </c>
      <c r="AW165" s="130" t="str">
        <f>IFERROR(__xludf.DUMMYFUNCTION("IF(ISBLANK(BK165),,TEXTJOIN("", "",TRUE,ARRAYFORMULA(VLOOKUP(IFERROR(REGEXEXTRACT(SPLIT(BK165,"";""&amp;CHAR(10)),""\[(.+)\]"")),AE:AT,16,false))))"),"")</f>
        <v/>
      </c>
      <c r="AX165" s="139" t="str">
        <f t="shared" si="6"/>
        <v/>
      </c>
      <c r="AY165" s="139" t="str">
        <f t="shared" si="7"/>
        <v/>
      </c>
      <c r="AZ165" s="106" t="str">
        <f>IFERROR(__xludf.DUMMYFUNCTION("IF(ISBLANK(AD165), BC165, TEXTJOIN(CHAR(10) &amp; CHAR(10), TRUE, ARRAYFORMULA(VLOOKUP(SPLIT(AD165, "";"" &amp; CHAR(10)), $AC:$AY, 23, FALSE))))"),"")</f>
        <v/>
      </c>
      <c r="BA165" s="140" t="s">
        <v>66</v>
      </c>
      <c r="BB165" s="190"/>
      <c r="BC165" s="196"/>
      <c r="BD165" s="106" t="str">
        <f>IFERROR(__xludf.DUMMYFUNCTION("IF(IFERROR(SEARCH(""&lt;&lt;mechanism to realize the capability&gt;&gt;"",BA165),0)=0,
 ""!! Error !! “Capability&amp;Mechanism” column: Invalid Separator:"" &amp; CHAR(10) &amp; ""Insert separator “&lt;&lt;mechanism to realize the capability&gt;&gt;.”"",
 IF(
  LEN(TRIM(CLEAN(
    INDEX(
 "&amp;"     SPLIT(BA165,""&lt;&lt;mechanism to realize the capability&gt;&gt;"",FALSE,FALSE),
      1
    )
  )))=0,
  ""!! Error !! “Capability&amp;Mechanism” column: No Capability:""  &amp; CHAR(10) &amp; ""Describe Capability before separator."",
  INDEX(
    SPLIT(BA165,""&lt;&lt;mechani"&amp;"sm to realize the capability&gt;&gt;"",FALSE,FALSE),
    1
  )
 )
)
"),"!! Error !! “Capability&amp;Mechanism” column: No Capability:
Describe Capability before separator.")</f>
        <v>!! Error !! “Capability&amp;Mechanism” column: No Capability:
Describe Capability before separator.</v>
      </c>
      <c r="BE165" s="190"/>
      <c r="BF165" s="195"/>
      <c r="BG165" s="42"/>
      <c r="BH165" s="190"/>
      <c r="BI165" s="196"/>
      <c r="BJ165" s="42"/>
      <c r="BK165" s="42"/>
      <c r="BL165" s="203"/>
      <c r="BM165" s="203"/>
      <c r="BN165" s="42"/>
      <c r="BO165" s="42"/>
      <c r="BP165" s="143"/>
      <c r="BQ165" s="143"/>
      <c r="BR165" s="192"/>
      <c r="BS165" s="192"/>
      <c r="BT165" s="192"/>
      <c r="BU165" s="192"/>
      <c r="BV165" s="192"/>
      <c r="BW165" s="192"/>
      <c r="BX165" s="146" t="str">
        <f t="shared" si="8"/>
        <v/>
      </c>
    </row>
    <row r="166">
      <c r="A166" s="106" t="str">
        <f t="shared" si="1"/>
        <v/>
      </c>
      <c r="B166" s="183" t="str">
        <f t="array" ref="B166">IF(ISBLANK($AE166), "-",INDEX(Circuits!A:A,SUMPRODUCT(EXACT($AE166,Circuits!$A:$A)*ROW(Circuits!$A:$A))))</f>
        <v>-</v>
      </c>
      <c r="C166" s="183" t="str">
        <f t="array" ref="C166">IF(ISBLANK($AE166), "-",INDEX(Circuits!B:B,SUMPRODUCT(EXACT($AE166,Circuits!$A:$A)*ROW(Circuits!$A:$A))))</f>
        <v>-</v>
      </c>
      <c r="D166" s="183" t="str">
        <f t="array" ref="D166">IF(ISBLANK($AE166), "-",INDEX(Circuits!C:C,SUMPRODUCT(EXACT($AE166,Circuits!$A:$A)*ROW(Circuits!$A:$A))))</f>
        <v>-</v>
      </c>
      <c r="E166" s="183" t="str">
        <f t="array" ref="E166">IF(ISBLANK($AE166), "-",INDEX(Circuits!D:D,SUMPRODUCT(EXACT($AE166,Circuits!$A:$A)*ROW(Circuits!$A:$A))))</f>
        <v>-</v>
      </c>
      <c r="F166" s="183" t="str">
        <f t="array" ref="F166">IF(ISBLANK($AE166), "-",INDEX(Circuits!E:E,SUMPRODUCT(EXACT($AE166,Circuits!$A:$A)*ROW(Circuits!$A:$A))))</f>
        <v>-</v>
      </c>
      <c r="G166" s="183" t="str">
        <f t="array" ref="G166">IF(ISBLANK($AE166), "-",INDEX(Circuits!F:F,SUMPRODUCT(EXACT($AE166,Circuits!$A:$A)*ROW(Circuits!$A:$A))))</f>
        <v>-</v>
      </c>
      <c r="H166" s="183" t="str">
        <f t="array" ref="H166">IF(ISBLANK($AE166), "-",INDEX(Circuits!G:G,SUMPRODUCT(EXACT($AE166,Circuits!$A:$A)*ROW(Circuits!$A:$A))))</f>
        <v>-</v>
      </c>
      <c r="I166" s="183" t="str">
        <f t="array" ref="I166">IF(ISBLANK($AE166), "-",INDEX(Circuits!H:H,SUMPRODUCT(EXACT($AE166,Circuits!$A:$A)*ROW(Circuits!$A:$A))))</f>
        <v>-</v>
      </c>
      <c r="J166" s="183" t="str">
        <f t="array" ref="J166">IF(ISBLANK($AE166), "-",INDEX(Circuits!I:I,SUMPRODUCT(EXACT($AE166,Circuits!$A:$A)*ROW(Circuits!$A:$A))))</f>
        <v>-</v>
      </c>
      <c r="K166" s="183" t="str">
        <f t="array" ref="K166">IF(ISBLANK($AE166), "-",INDEX(Circuits!J:J,SUMPRODUCT(EXACT($AE166,Circuits!$A:$A)*ROW(Circuits!$A:$A))))</f>
        <v>-</v>
      </c>
      <c r="L166" s="183" t="str">
        <f t="array" ref="L166">IF(ISBLANK($AE166), "-",INDEX(Circuits!K:K,SUMPRODUCT(EXACT($AE166,Circuits!$A:$A)*ROW(Circuits!$A:$A))))</f>
        <v>-</v>
      </c>
      <c r="M166" s="183" t="str">
        <f t="array" ref="M166">IF(ISBLANK($AE166), "-",INDEX(Circuits!L:L,SUMPRODUCT(EXACT($AE166,Circuits!$A:$A)*ROW(Circuits!$A:$A))))</f>
        <v>-</v>
      </c>
      <c r="N166" s="183" t="str">
        <f t="array" ref="N166">IF(ISBLANK($AE166), "-",INDEX(Circuits!M:M,SUMPRODUCT(EXACT($AE166,Circuits!$A:$A)*ROW(Circuits!$A:$A))))</f>
        <v>-</v>
      </c>
      <c r="O166" s="183" t="str">
        <f t="array" ref="O166">IF(ISBLANK($AE166), "-",INDEX(Circuits!N:N,SUMPRODUCT(EXACT($AE166,Circuits!$A:$A)*ROW(Circuits!$A:$A))))</f>
        <v>-</v>
      </c>
      <c r="P166" s="183" t="str">
        <f t="array" ref="P166">IF(ISBLANK($AE166), "-",INDEX(Circuits!O:O,SUMPRODUCT(EXACT($AE166,Circuits!$A:$A)*ROW(Circuits!$A:$A))))</f>
        <v>-</v>
      </c>
      <c r="Q166" s="183" t="str">
        <f t="array" ref="Q166">IF(ISBLANK($AE166), "-",INDEX(Circuits!P:P,SUMPRODUCT(EXACT($AE166,Circuits!$A:$A)*ROW(Circuits!$A:$A))))</f>
        <v>-</v>
      </c>
      <c r="R166" s="183" t="str">
        <f t="array" ref="R166">IF(ISBLANK($AE166), "-",INDEX(Circuits!Q:Q,SUMPRODUCT(EXACT($AE166,Circuits!$A:$A)*ROW(Circuits!$A:$A))))</f>
        <v>-</v>
      </c>
      <c r="S166" s="183" t="str">
        <f t="array" ref="S166">IF(ISBLANK($AE166), "-",INDEX(Circuits!R:R,SUMPRODUCT(EXACT($AE166,Circuits!$A:$A)*ROW(Circuits!$A:$A))))</f>
        <v>-</v>
      </c>
      <c r="T166" s="183" t="str">
        <f t="array" ref="T166">IF(ISBLANK($AE166), "-",INDEX(Circuits!S:S,SUMPRODUCT(EXACT($AE166,Circuits!$A:$A)*ROW(Circuits!$A:$A))))</f>
        <v>-</v>
      </c>
      <c r="U166" s="183" t="str">
        <f t="array" ref="U166">IF(ISBLANK($AE166), "-",INDEX(Circuits!T:T,SUMPRODUCT(EXACT($AE166,Circuits!$A:$A)*ROW(Circuits!$A:$A))))</f>
        <v>-</v>
      </c>
      <c r="V166" s="183" t="str">
        <f t="array" ref="V166">IF(ISBLANK($AE166), "-",INDEX(Circuits!U:U,SUMPRODUCT(EXACT($AE166,Circuits!$A:$A)*ROW(Circuits!$A:$A))))</f>
        <v>-</v>
      </c>
      <c r="W166" s="183" t="str">
        <f t="array" ref="W166">IF(ISBLANK($AE166), "-",INDEX(Circuits!V:V,SUMPRODUCT(EXACT($AE166,Circuits!$A:$A)*ROW(Circuits!$A:$A))))</f>
        <v>-</v>
      </c>
      <c r="X166" s="183" t="str">
        <f t="array" ref="X166">IF(ISBLANK($AE166), "-",INDEX(Circuits!W:W,SUMPRODUCT(EXACT($AE166,Circuits!$A:$A)*ROW(Circuits!$A:$A))))</f>
        <v>-</v>
      </c>
      <c r="Y166" s="183" t="str">
        <f t="array" ref="Y166">IF(ISBLANK($AE166), "-",INDEX(Circuits!X:X,SUMPRODUCT(EXACT($AE166,Circuits!$A:$A)*ROW(Circuits!$A:$A))))</f>
        <v>-</v>
      </c>
      <c r="Z166" s="108" t="str">
        <f>IFERROR(__xludf.DUMMYFUNCTION("IFNA(CONCATENATE(UNIQUE(FILTER(Connections!R:R,Connections!A:A=B166))),""-"")"),"-")</f>
        <v>-</v>
      </c>
      <c r="AA166" s="119" t="str">
        <f t="array" ref="AA166">IF(ISBLANK($AE166), "-",INDEX(Circuits!Y:Y,SUMPRODUCT(EXACT($AE166,Circuits!$A:$A)*ROW(Circuits!$A:$A))))</f>
        <v>-</v>
      </c>
      <c r="AB166" s="121" t="str">
        <f t="array" ref="AB166">IF(ISBLANK($AE166), "-",INDEX(Circuits!Z:Z,SUMPRODUCT(EXACT($AE166,Circuits!$A:$A)*ROW(Circuits!$A:$A))))</f>
        <v>-</v>
      </c>
      <c r="AC166" s="194"/>
      <c r="AD166" s="194"/>
      <c r="AE166" s="40"/>
      <c r="AF166" s="43"/>
      <c r="AG166" s="126" t="str">
        <f>IFERROR(__xludf.DUMMYFUNCTION("IF(ISBLANK(AF166), """", TEXTJOIN(CHAR(10),TRUE,ARRAYFORMULA(IF(ISERROR(SEARCH(SPLIT(AF166, "";""), $Z166)), ""x"", ""-""))))"),"")</f>
        <v/>
      </c>
      <c r="AH166" s="127" t="str">
        <f>IFERROR(__xludf.DUMMYFUNCTION("IF(ISBLANK(AK166), """", TEXTJOIN("";"" &amp; CHAR(10), TRUE, UNIQUE(SPLIT(AK166, "";"" &amp; CHAR(10)), TRUE))&amp;"";"")"),"")</f>
        <v/>
      </c>
      <c r="AI166" s="128" t="str">
        <f>IFERROR(__xludf.DUMMYFUNCTION("IF(ISBLANK(AD166), IF(ISBLANK(AE166),,IFNA(TEXTJOIN("";"" &amp; CHAR(10), TRUE, FILTER(AE:AE, SEARCH(AE166&amp;"";"", AJ:AJ)))&amp;"";"", """")), TEXTJOIN("";"" &amp; CHAR(10), TRUE, UNIQUE(SPLIT(AH166 &amp; "";"" &amp; AH166 &amp; "";"" &amp; AL166, "";"" &amp; CHAR(10)), TRUE, TRUE))&amp;"";"&amp;""")"),"")</f>
        <v/>
      </c>
      <c r="AJ166" s="126" t="str">
        <f>IFERROR(__xludf.DUMMYFUNCTION("IF(AN166="""", """", TEXTJOIN("";"" &amp; CHAR(10), TRUE, UNIQUE(SPLIT(AH166 &amp; "";"" &amp; AH166 &amp; "";"" &amp; AN166, "";"" &amp; CHAR(10)), TRUE, TRUE))&amp;"";"")"),"")</f>
        <v/>
      </c>
      <c r="AK166" s="129" t="str">
        <f>IFERROR(__xludf.DUMMYFUNCTION("IF(ISBLANK(AD166), IF(ISBLANK(AE166),,AE166 &amp; "";""), TEXTJOIN(CHAR(10), TRUE, ARRAYFORMULA(VLOOKUP(SPLIT(AD166, "";"" &amp; CHAR(10)), $AC:$AH, 6, FALSE))))"),"")</f>
        <v/>
      </c>
      <c r="AL166" s="130" t="str">
        <f>IFERROR(__xludf.DUMMYFUNCTION("IF(AM166="""", """", TEXTJOIN("";"" &amp; CHAR(10), TRUE, UNIQUE(SPLIT(AM166, "";"" &amp; CHAR(10)), TRUE))&amp;"";"")"),"")</f>
        <v/>
      </c>
      <c r="AM166" s="130" t="str">
        <f>IFERROR(__xludf.DUMMYFUNCTION("IF(ISBLANK(AD166), """", TEXTJOIN(CHAR(10), TRUE, ARRAYFORMULA(VLOOKUP(SPLIT(AH166, "";"" &amp; CHAR(10)), $AE:$AI, 5, FALSE)), AF166))"),"")</f>
        <v/>
      </c>
      <c r="AN166" s="132" t="str">
        <f>IFERROR(__xludf.DUMMYFUNCTION("IF(ISBLANK(AO166), """", TEXTJOIN("";"" &amp; CHAR(10), TRUE, UNIQUE(SPLIT(AO166, "";"" &amp; CHAR(10)), TRUE))&amp;"";"")"),"")</f>
        <v/>
      </c>
      <c r="AO166" s="134" t="str">
        <f>IFERROR(__xludf.DUMMYFUNCTION("IF(ISBLANK(AD166), AF166, TEXTJOIN(CHAR(10), TRUE, ARRAYFORMULA(VLOOKUP(SPLIT(AD166, "";"" &amp; CHAR(10)), $AC:$AN, 12, FALSE))))"),"")</f>
        <v/>
      </c>
      <c r="AP166" s="130" t="str">
        <f>IF(ISBLANK(AE166),,IF(IFERROR(SEARCH(AE166&amp;";",Circuits!$AO$2),0),TRUE,FALSE))</f>
        <v/>
      </c>
      <c r="AQ166" s="130" t="str">
        <f t="shared" si="2"/>
        <v/>
      </c>
      <c r="AR166" s="130" t="str">
        <f t="shared" si="3"/>
        <v/>
      </c>
      <c r="AS166" s="136" t="str">
        <f>IFERROR(__xludf.DUMMYFUNCTION("IF(AH166="""",,SUM(ARRAYFORMULA(IF(IFERROR(SEARCH(SPLIT(AH166,CHAR(10)),Circuits!$AO$2),0)&gt;0,0,1))))"),"")</f>
        <v/>
      </c>
      <c r="AT166" s="138" t="str">
        <f t="shared" si="4"/>
        <v/>
      </c>
      <c r="AU166" s="138" t="str">
        <f t="shared" si="5"/>
        <v/>
      </c>
      <c r="AV166" s="130" t="str">
        <f>IFERROR(__xludf.DUMMYFUNCTION("IF(AI166="""",,TEXTJOIN("", "",TRUE,ARRAYFORMULA(VLOOKUP(SPLIT(AI166,"";""&amp;CHAR(10)),AE:AT,16,FALSE))))"),"")</f>
        <v/>
      </c>
      <c r="AW166" s="130" t="str">
        <f>IFERROR(__xludf.DUMMYFUNCTION("IF(ISBLANK(BK166),,TEXTJOIN("", "",TRUE,ARRAYFORMULA(VLOOKUP(IFERROR(REGEXEXTRACT(SPLIT(BK166,"";""&amp;CHAR(10)),""\[(.+)\]"")),AE:AT,16,false))))"),"")</f>
        <v/>
      </c>
      <c r="AX166" s="139" t="str">
        <f t="shared" si="6"/>
        <v/>
      </c>
      <c r="AY166" s="139" t="str">
        <f t="shared" si="7"/>
        <v/>
      </c>
      <c r="AZ166" s="106" t="str">
        <f>IFERROR(__xludf.DUMMYFUNCTION("IF(ISBLANK(AD166), BC166, TEXTJOIN(CHAR(10) &amp; CHAR(10), TRUE, ARRAYFORMULA(VLOOKUP(SPLIT(AD166, "";"" &amp; CHAR(10)), $AC:$AY, 23, FALSE))))"),"")</f>
        <v/>
      </c>
      <c r="BA166" s="140" t="s">
        <v>66</v>
      </c>
      <c r="BB166" s="190"/>
      <c r="BC166" s="196"/>
      <c r="BD166" s="106" t="str">
        <f>IFERROR(__xludf.DUMMYFUNCTION("IF(IFERROR(SEARCH(""&lt;&lt;mechanism to realize the capability&gt;&gt;"",BA166),0)=0,
 ""!! Error !! “Capability&amp;Mechanism” column: Invalid Separator:"" &amp; CHAR(10) &amp; ""Insert separator “&lt;&lt;mechanism to realize the capability&gt;&gt;.”"",
 IF(
  LEN(TRIM(CLEAN(
    INDEX(
 "&amp;"     SPLIT(BA166,""&lt;&lt;mechanism to realize the capability&gt;&gt;"",FALSE,FALSE),
      1
    )
  )))=0,
  ""!! Error !! “Capability&amp;Mechanism” column: No Capability:""  &amp; CHAR(10) &amp; ""Describe Capability before separator."",
  INDEX(
    SPLIT(BA166,""&lt;&lt;mechani"&amp;"sm to realize the capability&gt;&gt;"",FALSE,FALSE),
    1
  )
 )
)
"),"!! Error !! “Capability&amp;Mechanism” column: No Capability:
Describe Capability before separator.")</f>
        <v>!! Error !! “Capability&amp;Mechanism” column: No Capability:
Describe Capability before separator.</v>
      </c>
      <c r="BE166" s="190"/>
      <c r="BF166" s="195"/>
      <c r="BG166" s="42"/>
      <c r="BH166" s="190"/>
      <c r="BI166" s="196"/>
      <c r="BJ166" s="42"/>
      <c r="BK166" s="42"/>
      <c r="BL166" s="203"/>
      <c r="BM166" s="203"/>
      <c r="BN166" s="42"/>
      <c r="BO166" s="42"/>
      <c r="BP166" s="143"/>
      <c r="BQ166" s="143"/>
      <c r="BR166" s="192"/>
      <c r="BS166" s="192"/>
      <c r="BT166" s="192"/>
      <c r="BU166" s="192"/>
      <c r="BV166" s="192"/>
      <c r="BW166" s="192"/>
      <c r="BX166" s="146" t="str">
        <f t="shared" si="8"/>
        <v/>
      </c>
    </row>
    <row r="167">
      <c r="A167" s="106" t="str">
        <f t="shared" si="1"/>
        <v/>
      </c>
      <c r="B167" s="183" t="str">
        <f t="array" ref="B167">IF(ISBLANK($AE167), "-",INDEX(Circuits!A:A,SUMPRODUCT(EXACT($AE167,Circuits!$A:$A)*ROW(Circuits!$A:$A))))</f>
        <v>-</v>
      </c>
      <c r="C167" s="183" t="str">
        <f t="array" ref="C167">IF(ISBLANK($AE167), "-",INDEX(Circuits!B:B,SUMPRODUCT(EXACT($AE167,Circuits!$A:$A)*ROW(Circuits!$A:$A))))</f>
        <v>-</v>
      </c>
      <c r="D167" s="183" t="str">
        <f t="array" ref="D167">IF(ISBLANK($AE167), "-",INDEX(Circuits!C:C,SUMPRODUCT(EXACT($AE167,Circuits!$A:$A)*ROW(Circuits!$A:$A))))</f>
        <v>-</v>
      </c>
      <c r="E167" s="183" t="str">
        <f t="array" ref="E167">IF(ISBLANK($AE167), "-",INDEX(Circuits!D:D,SUMPRODUCT(EXACT($AE167,Circuits!$A:$A)*ROW(Circuits!$A:$A))))</f>
        <v>-</v>
      </c>
      <c r="F167" s="183" t="str">
        <f t="array" ref="F167">IF(ISBLANK($AE167), "-",INDEX(Circuits!E:E,SUMPRODUCT(EXACT($AE167,Circuits!$A:$A)*ROW(Circuits!$A:$A))))</f>
        <v>-</v>
      </c>
      <c r="G167" s="183" t="str">
        <f t="array" ref="G167">IF(ISBLANK($AE167), "-",INDEX(Circuits!F:F,SUMPRODUCT(EXACT($AE167,Circuits!$A:$A)*ROW(Circuits!$A:$A))))</f>
        <v>-</v>
      </c>
      <c r="H167" s="183" t="str">
        <f t="array" ref="H167">IF(ISBLANK($AE167), "-",INDEX(Circuits!G:G,SUMPRODUCT(EXACT($AE167,Circuits!$A:$A)*ROW(Circuits!$A:$A))))</f>
        <v>-</v>
      </c>
      <c r="I167" s="183" t="str">
        <f t="array" ref="I167">IF(ISBLANK($AE167), "-",INDEX(Circuits!H:H,SUMPRODUCT(EXACT($AE167,Circuits!$A:$A)*ROW(Circuits!$A:$A))))</f>
        <v>-</v>
      </c>
      <c r="J167" s="183" t="str">
        <f t="array" ref="J167">IF(ISBLANK($AE167), "-",INDEX(Circuits!I:I,SUMPRODUCT(EXACT($AE167,Circuits!$A:$A)*ROW(Circuits!$A:$A))))</f>
        <v>-</v>
      </c>
      <c r="K167" s="183" t="str">
        <f t="array" ref="K167">IF(ISBLANK($AE167), "-",INDEX(Circuits!J:J,SUMPRODUCT(EXACT($AE167,Circuits!$A:$A)*ROW(Circuits!$A:$A))))</f>
        <v>-</v>
      </c>
      <c r="L167" s="183" t="str">
        <f t="array" ref="L167">IF(ISBLANK($AE167), "-",INDEX(Circuits!K:K,SUMPRODUCT(EXACT($AE167,Circuits!$A:$A)*ROW(Circuits!$A:$A))))</f>
        <v>-</v>
      </c>
      <c r="M167" s="183" t="str">
        <f t="array" ref="M167">IF(ISBLANK($AE167), "-",INDEX(Circuits!L:L,SUMPRODUCT(EXACT($AE167,Circuits!$A:$A)*ROW(Circuits!$A:$A))))</f>
        <v>-</v>
      </c>
      <c r="N167" s="183" t="str">
        <f t="array" ref="N167">IF(ISBLANK($AE167), "-",INDEX(Circuits!M:M,SUMPRODUCT(EXACT($AE167,Circuits!$A:$A)*ROW(Circuits!$A:$A))))</f>
        <v>-</v>
      </c>
      <c r="O167" s="183" t="str">
        <f t="array" ref="O167">IF(ISBLANK($AE167), "-",INDEX(Circuits!N:N,SUMPRODUCT(EXACT($AE167,Circuits!$A:$A)*ROW(Circuits!$A:$A))))</f>
        <v>-</v>
      </c>
      <c r="P167" s="183" t="str">
        <f t="array" ref="P167">IF(ISBLANK($AE167), "-",INDEX(Circuits!O:O,SUMPRODUCT(EXACT($AE167,Circuits!$A:$A)*ROW(Circuits!$A:$A))))</f>
        <v>-</v>
      </c>
      <c r="Q167" s="183" t="str">
        <f t="array" ref="Q167">IF(ISBLANK($AE167), "-",INDEX(Circuits!P:P,SUMPRODUCT(EXACT($AE167,Circuits!$A:$A)*ROW(Circuits!$A:$A))))</f>
        <v>-</v>
      </c>
      <c r="R167" s="183" t="str">
        <f t="array" ref="R167">IF(ISBLANK($AE167), "-",INDEX(Circuits!Q:Q,SUMPRODUCT(EXACT($AE167,Circuits!$A:$A)*ROW(Circuits!$A:$A))))</f>
        <v>-</v>
      </c>
      <c r="S167" s="183" t="str">
        <f t="array" ref="S167">IF(ISBLANK($AE167), "-",INDEX(Circuits!R:R,SUMPRODUCT(EXACT($AE167,Circuits!$A:$A)*ROW(Circuits!$A:$A))))</f>
        <v>-</v>
      </c>
      <c r="T167" s="183" t="str">
        <f t="array" ref="T167">IF(ISBLANK($AE167), "-",INDEX(Circuits!S:S,SUMPRODUCT(EXACT($AE167,Circuits!$A:$A)*ROW(Circuits!$A:$A))))</f>
        <v>-</v>
      </c>
      <c r="U167" s="183" t="str">
        <f t="array" ref="U167">IF(ISBLANK($AE167), "-",INDEX(Circuits!T:T,SUMPRODUCT(EXACT($AE167,Circuits!$A:$A)*ROW(Circuits!$A:$A))))</f>
        <v>-</v>
      </c>
      <c r="V167" s="183" t="str">
        <f t="array" ref="V167">IF(ISBLANK($AE167), "-",INDEX(Circuits!U:U,SUMPRODUCT(EXACT($AE167,Circuits!$A:$A)*ROW(Circuits!$A:$A))))</f>
        <v>-</v>
      </c>
      <c r="W167" s="183" t="str">
        <f t="array" ref="W167">IF(ISBLANK($AE167), "-",INDEX(Circuits!V:V,SUMPRODUCT(EXACT($AE167,Circuits!$A:$A)*ROW(Circuits!$A:$A))))</f>
        <v>-</v>
      </c>
      <c r="X167" s="183" t="str">
        <f t="array" ref="X167">IF(ISBLANK($AE167), "-",INDEX(Circuits!W:W,SUMPRODUCT(EXACT($AE167,Circuits!$A:$A)*ROW(Circuits!$A:$A))))</f>
        <v>-</v>
      </c>
      <c r="Y167" s="183" t="str">
        <f t="array" ref="Y167">IF(ISBLANK($AE167), "-",INDEX(Circuits!X:X,SUMPRODUCT(EXACT($AE167,Circuits!$A:$A)*ROW(Circuits!$A:$A))))</f>
        <v>-</v>
      </c>
      <c r="Z167" s="108" t="str">
        <f>IFERROR(__xludf.DUMMYFUNCTION("IFNA(CONCATENATE(UNIQUE(FILTER(Connections!R:R,Connections!A:A=B167))),""-"")"),"-")</f>
        <v>-</v>
      </c>
      <c r="AA167" s="119" t="str">
        <f t="array" ref="AA167">IF(ISBLANK($AE167), "-",INDEX(Circuits!Y:Y,SUMPRODUCT(EXACT($AE167,Circuits!$A:$A)*ROW(Circuits!$A:$A))))</f>
        <v>-</v>
      </c>
      <c r="AB167" s="121" t="str">
        <f t="array" ref="AB167">IF(ISBLANK($AE167), "-",INDEX(Circuits!Z:Z,SUMPRODUCT(EXACT($AE167,Circuits!$A:$A)*ROW(Circuits!$A:$A))))</f>
        <v>-</v>
      </c>
      <c r="AC167" s="194"/>
      <c r="AD167" s="194"/>
      <c r="AE167" s="40"/>
      <c r="AF167" s="43"/>
      <c r="AG167" s="126" t="str">
        <f>IFERROR(__xludf.DUMMYFUNCTION("IF(ISBLANK(AF167), """", TEXTJOIN(CHAR(10),TRUE,ARRAYFORMULA(IF(ISERROR(SEARCH(SPLIT(AF167, "";""), $Z167)), ""x"", ""-""))))"),"")</f>
        <v/>
      </c>
      <c r="AH167" s="127" t="str">
        <f>IFERROR(__xludf.DUMMYFUNCTION("IF(ISBLANK(AK167), """", TEXTJOIN("";"" &amp; CHAR(10), TRUE, UNIQUE(SPLIT(AK167, "";"" &amp; CHAR(10)), TRUE))&amp;"";"")"),"")</f>
        <v/>
      </c>
      <c r="AI167" s="128" t="str">
        <f>IFERROR(__xludf.DUMMYFUNCTION("IF(ISBLANK(AD167), IF(ISBLANK(AE167),,IFNA(TEXTJOIN("";"" &amp; CHAR(10), TRUE, FILTER(AE:AE, SEARCH(AE167&amp;"";"", AJ:AJ)))&amp;"";"", """")), TEXTJOIN("";"" &amp; CHAR(10), TRUE, UNIQUE(SPLIT(AH167 &amp; "";"" &amp; AH167 &amp; "";"" &amp; AL167, "";"" &amp; CHAR(10)), TRUE, TRUE))&amp;"";"&amp;""")"),"")</f>
        <v/>
      </c>
      <c r="AJ167" s="126" t="str">
        <f>IFERROR(__xludf.DUMMYFUNCTION("IF(AN167="""", """", TEXTJOIN("";"" &amp; CHAR(10), TRUE, UNIQUE(SPLIT(AH167 &amp; "";"" &amp; AH167 &amp; "";"" &amp; AN167, "";"" &amp; CHAR(10)), TRUE, TRUE))&amp;"";"")"),"")</f>
        <v/>
      </c>
      <c r="AK167" s="129" t="str">
        <f>IFERROR(__xludf.DUMMYFUNCTION("IF(ISBLANK(AD167), IF(ISBLANK(AE167),,AE167 &amp; "";""), TEXTJOIN(CHAR(10), TRUE, ARRAYFORMULA(VLOOKUP(SPLIT(AD167, "";"" &amp; CHAR(10)), $AC:$AH, 6, FALSE))))"),"")</f>
        <v/>
      </c>
      <c r="AL167" s="130" t="str">
        <f>IFERROR(__xludf.DUMMYFUNCTION("IF(AM167="""", """", TEXTJOIN("";"" &amp; CHAR(10), TRUE, UNIQUE(SPLIT(AM167, "";"" &amp; CHAR(10)), TRUE))&amp;"";"")"),"")</f>
        <v/>
      </c>
      <c r="AM167" s="130" t="str">
        <f>IFERROR(__xludf.DUMMYFUNCTION("IF(ISBLANK(AD167), """", TEXTJOIN(CHAR(10), TRUE, ARRAYFORMULA(VLOOKUP(SPLIT(AH167, "";"" &amp; CHAR(10)), $AE:$AI, 5, FALSE)), AF167))"),"")</f>
        <v/>
      </c>
      <c r="AN167" s="132" t="str">
        <f>IFERROR(__xludf.DUMMYFUNCTION("IF(ISBLANK(AO167), """", TEXTJOIN("";"" &amp; CHAR(10), TRUE, UNIQUE(SPLIT(AO167, "";"" &amp; CHAR(10)), TRUE))&amp;"";"")"),"")</f>
        <v/>
      </c>
      <c r="AO167" s="134" t="str">
        <f>IFERROR(__xludf.DUMMYFUNCTION("IF(ISBLANK(AD167), AF167, TEXTJOIN(CHAR(10), TRUE, ARRAYFORMULA(VLOOKUP(SPLIT(AD167, "";"" &amp; CHAR(10)), $AC:$AN, 12, FALSE))))"),"")</f>
        <v/>
      </c>
      <c r="AP167" s="130" t="str">
        <f>IF(ISBLANK(AE167),,IF(IFERROR(SEARCH(AE167&amp;";",Circuits!$AO$2),0),TRUE,FALSE))</f>
        <v/>
      </c>
      <c r="AQ167" s="130" t="str">
        <f t="shared" si="2"/>
        <v/>
      </c>
      <c r="AR167" s="130" t="str">
        <f t="shared" si="3"/>
        <v/>
      </c>
      <c r="AS167" s="136" t="str">
        <f>IFERROR(__xludf.DUMMYFUNCTION("IF(AH167="""",,SUM(ARRAYFORMULA(IF(IFERROR(SEARCH(SPLIT(AH167,CHAR(10)),Circuits!$AO$2),0)&gt;0,0,1))))"),"")</f>
        <v/>
      </c>
      <c r="AT167" s="138" t="str">
        <f t="shared" si="4"/>
        <v/>
      </c>
      <c r="AU167" s="138" t="str">
        <f t="shared" si="5"/>
        <v/>
      </c>
      <c r="AV167" s="130" t="str">
        <f>IFERROR(__xludf.DUMMYFUNCTION("IF(AI167="""",,TEXTJOIN("", "",TRUE,ARRAYFORMULA(VLOOKUP(SPLIT(AI167,"";""&amp;CHAR(10)),AE:AT,16,FALSE))))"),"")</f>
        <v/>
      </c>
      <c r="AW167" s="130" t="str">
        <f>IFERROR(__xludf.DUMMYFUNCTION("IF(ISBLANK(BK167),,TEXTJOIN("", "",TRUE,ARRAYFORMULA(VLOOKUP(IFERROR(REGEXEXTRACT(SPLIT(BK167,"";""&amp;CHAR(10)),""\[(.+)\]"")),AE:AT,16,false))))"),"")</f>
        <v/>
      </c>
      <c r="AX167" s="139" t="str">
        <f t="shared" si="6"/>
        <v/>
      </c>
      <c r="AY167" s="139" t="str">
        <f t="shared" si="7"/>
        <v/>
      </c>
      <c r="AZ167" s="106" t="str">
        <f>IFERROR(__xludf.DUMMYFUNCTION("IF(ISBLANK(AD167), BC167, TEXTJOIN(CHAR(10) &amp; CHAR(10), TRUE, ARRAYFORMULA(VLOOKUP(SPLIT(AD167, "";"" &amp; CHAR(10)), $AC:$AY, 23, FALSE))))"),"")</f>
        <v/>
      </c>
      <c r="BA167" s="140" t="s">
        <v>66</v>
      </c>
      <c r="BB167" s="190"/>
      <c r="BC167" s="196"/>
      <c r="BD167" s="106" t="str">
        <f>IFERROR(__xludf.DUMMYFUNCTION("IF(IFERROR(SEARCH(""&lt;&lt;mechanism to realize the capability&gt;&gt;"",BA167),0)=0,
 ""!! Error !! “Capability&amp;Mechanism” column: Invalid Separator:"" &amp; CHAR(10) &amp; ""Insert separator “&lt;&lt;mechanism to realize the capability&gt;&gt;.”"",
 IF(
  LEN(TRIM(CLEAN(
    INDEX(
 "&amp;"     SPLIT(BA167,""&lt;&lt;mechanism to realize the capability&gt;&gt;"",FALSE,FALSE),
      1
    )
  )))=0,
  ""!! Error !! “Capability&amp;Mechanism” column: No Capability:""  &amp; CHAR(10) &amp; ""Describe Capability before separator."",
  INDEX(
    SPLIT(BA167,""&lt;&lt;mechani"&amp;"sm to realize the capability&gt;&gt;"",FALSE,FALSE),
    1
  )
 )
)
"),"!! Error !! “Capability&amp;Mechanism” column: No Capability:
Describe Capability before separator.")</f>
        <v>!! Error !! “Capability&amp;Mechanism” column: No Capability:
Describe Capability before separator.</v>
      </c>
      <c r="BE167" s="190"/>
      <c r="BF167" s="195"/>
      <c r="BG167" s="42"/>
      <c r="BH167" s="190"/>
      <c r="BI167" s="196"/>
      <c r="BJ167" s="42"/>
      <c r="BK167" s="42"/>
      <c r="BL167" s="203"/>
      <c r="BM167" s="203"/>
      <c r="BN167" s="42"/>
      <c r="BO167" s="42"/>
      <c r="BP167" s="143"/>
      <c r="BQ167" s="143"/>
      <c r="BR167" s="192"/>
      <c r="BS167" s="192"/>
      <c r="BT167" s="192"/>
      <c r="BU167" s="192"/>
      <c r="BV167" s="192"/>
      <c r="BW167" s="192"/>
      <c r="BX167" s="146" t="str">
        <f t="shared" si="8"/>
        <v/>
      </c>
    </row>
    <row r="168">
      <c r="A168" s="106" t="str">
        <f t="shared" si="1"/>
        <v/>
      </c>
      <c r="B168" s="183" t="str">
        <f t="array" ref="B168">IF(ISBLANK($AE168), "-",INDEX(Circuits!A:A,SUMPRODUCT(EXACT($AE168,Circuits!$A:$A)*ROW(Circuits!$A:$A))))</f>
        <v>-</v>
      </c>
      <c r="C168" s="183" t="str">
        <f t="array" ref="C168">IF(ISBLANK($AE168), "-",INDEX(Circuits!B:B,SUMPRODUCT(EXACT($AE168,Circuits!$A:$A)*ROW(Circuits!$A:$A))))</f>
        <v>-</v>
      </c>
      <c r="D168" s="183" t="str">
        <f t="array" ref="D168">IF(ISBLANK($AE168), "-",INDEX(Circuits!C:C,SUMPRODUCT(EXACT($AE168,Circuits!$A:$A)*ROW(Circuits!$A:$A))))</f>
        <v>-</v>
      </c>
      <c r="E168" s="183" t="str">
        <f t="array" ref="E168">IF(ISBLANK($AE168), "-",INDEX(Circuits!D:D,SUMPRODUCT(EXACT($AE168,Circuits!$A:$A)*ROW(Circuits!$A:$A))))</f>
        <v>-</v>
      </c>
      <c r="F168" s="183" t="str">
        <f t="array" ref="F168">IF(ISBLANK($AE168), "-",INDEX(Circuits!E:E,SUMPRODUCT(EXACT($AE168,Circuits!$A:$A)*ROW(Circuits!$A:$A))))</f>
        <v>-</v>
      </c>
      <c r="G168" s="183" t="str">
        <f t="array" ref="G168">IF(ISBLANK($AE168), "-",INDEX(Circuits!F:F,SUMPRODUCT(EXACT($AE168,Circuits!$A:$A)*ROW(Circuits!$A:$A))))</f>
        <v>-</v>
      </c>
      <c r="H168" s="183" t="str">
        <f t="array" ref="H168">IF(ISBLANK($AE168), "-",INDEX(Circuits!G:G,SUMPRODUCT(EXACT($AE168,Circuits!$A:$A)*ROW(Circuits!$A:$A))))</f>
        <v>-</v>
      </c>
      <c r="I168" s="183" t="str">
        <f t="array" ref="I168">IF(ISBLANK($AE168), "-",INDEX(Circuits!H:H,SUMPRODUCT(EXACT($AE168,Circuits!$A:$A)*ROW(Circuits!$A:$A))))</f>
        <v>-</v>
      </c>
      <c r="J168" s="183" t="str">
        <f t="array" ref="J168">IF(ISBLANK($AE168), "-",INDEX(Circuits!I:I,SUMPRODUCT(EXACT($AE168,Circuits!$A:$A)*ROW(Circuits!$A:$A))))</f>
        <v>-</v>
      </c>
      <c r="K168" s="183" t="str">
        <f t="array" ref="K168">IF(ISBLANK($AE168), "-",INDEX(Circuits!J:J,SUMPRODUCT(EXACT($AE168,Circuits!$A:$A)*ROW(Circuits!$A:$A))))</f>
        <v>-</v>
      </c>
      <c r="L168" s="183" t="str">
        <f t="array" ref="L168">IF(ISBLANK($AE168), "-",INDEX(Circuits!K:K,SUMPRODUCT(EXACT($AE168,Circuits!$A:$A)*ROW(Circuits!$A:$A))))</f>
        <v>-</v>
      </c>
      <c r="M168" s="183" t="str">
        <f t="array" ref="M168">IF(ISBLANK($AE168), "-",INDEX(Circuits!L:L,SUMPRODUCT(EXACT($AE168,Circuits!$A:$A)*ROW(Circuits!$A:$A))))</f>
        <v>-</v>
      </c>
      <c r="N168" s="183" t="str">
        <f t="array" ref="N168">IF(ISBLANK($AE168), "-",INDEX(Circuits!M:M,SUMPRODUCT(EXACT($AE168,Circuits!$A:$A)*ROW(Circuits!$A:$A))))</f>
        <v>-</v>
      </c>
      <c r="O168" s="183" t="str">
        <f t="array" ref="O168">IF(ISBLANK($AE168), "-",INDEX(Circuits!N:N,SUMPRODUCT(EXACT($AE168,Circuits!$A:$A)*ROW(Circuits!$A:$A))))</f>
        <v>-</v>
      </c>
      <c r="P168" s="183" t="str">
        <f t="array" ref="P168">IF(ISBLANK($AE168), "-",INDEX(Circuits!O:O,SUMPRODUCT(EXACT($AE168,Circuits!$A:$A)*ROW(Circuits!$A:$A))))</f>
        <v>-</v>
      </c>
      <c r="Q168" s="183" t="str">
        <f t="array" ref="Q168">IF(ISBLANK($AE168), "-",INDEX(Circuits!P:P,SUMPRODUCT(EXACT($AE168,Circuits!$A:$A)*ROW(Circuits!$A:$A))))</f>
        <v>-</v>
      </c>
      <c r="R168" s="183" t="str">
        <f t="array" ref="R168">IF(ISBLANK($AE168), "-",INDEX(Circuits!Q:Q,SUMPRODUCT(EXACT($AE168,Circuits!$A:$A)*ROW(Circuits!$A:$A))))</f>
        <v>-</v>
      </c>
      <c r="S168" s="183" t="str">
        <f t="array" ref="S168">IF(ISBLANK($AE168), "-",INDEX(Circuits!R:R,SUMPRODUCT(EXACT($AE168,Circuits!$A:$A)*ROW(Circuits!$A:$A))))</f>
        <v>-</v>
      </c>
      <c r="T168" s="183" t="str">
        <f t="array" ref="T168">IF(ISBLANK($AE168), "-",INDEX(Circuits!S:S,SUMPRODUCT(EXACT($AE168,Circuits!$A:$A)*ROW(Circuits!$A:$A))))</f>
        <v>-</v>
      </c>
      <c r="U168" s="183" t="str">
        <f t="array" ref="U168">IF(ISBLANK($AE168), "-",INDEX(Circuits!T:T,SUMPRODUCT(EXACT($AE168,Circuits!$A:$A)*ROW(Circuits!$A:$A))))</f>
        <v>-</v>
      </c>
      <c r="V168" s="183" t="str">
        <f t="array" ref="V168">IF(ISBLANK($AE168), "-",INDEX(Circuits!U:U,SUMPRODUCT(EXACT($AE168,Circuits!$A:$A)*ROW(Circuits!$A:$A))))</f>
        <v>-</v>
      </c>
      <c r="W168" s="183" t="str">
        <f t="array" ref="W168">IF(ISBLANK($AE168), "-",INDEX(Circuits!V:V,SUMPRODUCT(EXACT($AE168,Circuits!$A:$A)*ROW(Circuits!$A:$A))))</f>
        <v>-</v>
      </c>
      <c r="X168" s="183" t="str">
        <f t="array" ref="X168">IF(ISBLANK($AE168), "-",INDEX(Circuits!W:W,SUMPRODUCT(EXACT($AE168,Circuits!$A:$A)*ROW(Circuits!$A:$A))))</f>
        <v>-</v>
      </c>
      <c r="Y168" s="183" t="str">
        <f t="array" ref="Y168">IF(ISBLANK($AE168), "-",INDEX(Circuits!X:X,SUMPRODUCT(EXACT($AE168,Circuits!$A:$A)*ROW(Circuits!$A:$A))))</f>
        <v>-</v>
      </c>
      <c r="Z168" s="108" t="str">
        <f>IFERROR(__xludf.DUMMYFUNCTION("IFNA(CONCATENATE(UNIQUE(FILTER(Connections!R:R,Connections!A:A=B168))),""-"")"),"-")</f>
        <v>-</v>
      </c>
      <c r="AA168" s="119" t="str">
        <f t="array" ref="AA168">IF(ISBLANK($AE168), "-",INDEX(Circuits!Y:Y,SUMPRODUCT(EXACT($AE168,Circuits!$A:$A)*ROW(Circuits!$A:$A))))</f>
        <v>-</v>
      </c>
      <c r="AB168" s="121" t="str">
        <f t="array" ref="AB168">IF(ISBLANK($AE168), "-",INDEX(Circuits!Z:Z,SUMPRODUCT(EXACT($AE168,Circuits!$A:$A)*ROW(Circuits!$A:$A))))</f>
        <v>-</v>
      </c>
      <c r="AC168" s="194"/>
      <c r="AD168" s="194"/>
      <c r="AE168" s="40"/>
      <c r="AF168" s="43"/>
      <c r="AG168" s="126" t="str">
        <f>IFERROR(__xludf.DUMMYFUNCTION("IF(ISBLANK(AF168), """", TEXTJOIN(CHAR(10),TRUE,ARRAYFORMULA(IF(ISERROR(SEARCH(SPLIT(AF168, "";""), $Z168)), ""x"", ""-""))))"),"")</f>
        <v/>
      </c>
      <c r="AH168" s="127" t="str">
        <f>IFERROR(__xludf.DUMMYFUNCTION("IF(ISBLANK(AK168), """", TEXTJOIN("";"" &amp; CHAR(10), TRUE, UNIQUE(SPLIT(AK168, "";"" &amp; CHAR(10)), TRUE))&amp;"";"")"),"")</f>
        <v/>
      </c>
      <c r="AI168" s="128" t="str">
        <f>IFERROR(__xludf.DUMMYFUNCTION("IF(ISBLANK(AD168), IF(ISBLANK(AE168),,IFNA(TEXTJOIN("";"" &amp; CHAR(10), TRUE, FILTER(AE:AE, SEARCH(AE168&amp;"";"", AJ:AJ)))&amp;"";"", """")), TEXTJOIN("";"" &amp; CHAR(10), TRUE, UNIQUE(SPLIT(AH168 &amp; "";"" &amp; AH168 &amp; "";"" &amp; AL168, "";"" &amp; CHAR(10)), TRUE, TRUE))&amp;"";"&amp;""")"),"")</f>
        <v/>
      </c>
      <c r="AJ168" s="126" t="str">
        <f>IFERROR(__xludf.DUMMYFUNCTION("IF(AN168="""", """", TEXTJOIN("";"" &amp; CHAR(10), TRUE, UNIQUE(SPLIT(AH168 &amp; "";"" &amp; AH168 &amp; "";"" &amp; AN168, "";"" &amp; CHAR(10)), TRUE, TRUE))&amp;"";"")"),"")</f>
        <v/>
      </c>
      <c r="AK168" s="129" t="str">
        <f>IFERROR(__xludf.DUMMYFUNCTION("IF(ISBLANK(AD168), IF(ISBLANK(AE168),,AE168 &amp; "";""), TEXTJOIN(CHAR(10), TRUE, ARRAYFORMULA(VLOOKUP(SPLIT(AD168, "";"" &amp; CHAR(10)), $AC:$AH, 6, FALSE))))"),"")</f>
        <v/>
      </c>
      <c r="AL168" s="130" t="str">
        <f>IFERROR(__xludf.DUMMYFUNCTION("IF(AM168="""", """", TEXTJOIN("";"" &amp; CHAR(10), TRUE, UNIQUE(SPLIT(AM168, "";"" &amp; CHAR(10)), TRUE))&amp;"";"")"),"")</f>
        <v/>
      </c>
      <c r="AM168" s="130" t="str">
        <f>IFERROR(__xludf.DUMMYFUNCTION("IF(ISBLANK(AD168), """", TEXTJOIN(CHAR(10), TRUE, ARRAYFORMULA(VLOOKUP(SPLIT(AH168, "";"" &amp; CHAR(10)), $AE:$AI, 5, FALSE)), AF168))"),"")</f>
        <v/>
      </c>
      <c r="AN168" s="132" t="str">
        <f>IFERROR(__xludf.DUMMYFUNCTION("IF(ISBLANK(AO168), """", TEXTJOIN("";"" &amp; CHAR(10), TRUE, UNIQUE(SPLIT(AO168, "";"" &amp; CHAR(10)), TRUE))&amp;"";"")"),"")</f>
        <v/>
      </c>
      <c r="AO168" s="134" t="str">
        <f>IFERROR(__xludf.DUMMYFUNCTION("IF(ISBLANK(AD168), AF168, TEXTJOIN(CHAR(10), TRUE, ARRAYFORMULA(VLOOKUP(SPLIT(AD168, "";"" &amp; CHAR(10)), $AC:$AN, 12, FALSE))))"),"")</f>
        <v/>
      </c>
      <c r="AP168" s="130" t="str">
        <f>IF(ISBLANK(AE168),,IF(IFERROR(SEARCH(AE168&amp;";",Circuits!$AO$2),0),TRUE,FALSE))</f>
        <v/>
      </c>
      <c r="AQ168" s="130" t="str">
        <f t="shared" si="2"/>
        <v/>
      </c>
      <c r="AR168" s="130" t="str">
        <f t="shared" si="3"/>
        <v/>
      </c>
      <c r="AS168" s="136" t="str">
        <f>IFERROR(__xludf.DUMMYFUNCTION("IF(AH168="""",,SUM(ARRAYFORMULA(IF(IFERROR(SEARCH(SPLIT(AH168,CHAR(10)),Circuits!$AO$2),0)&gt;0,0,1))))"),"")</f>
        <v/>
      </c>
      <c r="AT168" s="138" t="str">
        <f t="shared" si="4"/>
        <v/>
      </c>
      <c r="AU168" s="138" t="str">
        <f t="shared" si="5"/>
        <v/>
      </c>
      <c r="AV168" s="130" t="str">
        <f>IFERROR(__xludf.DUMMYFUNCTION("IF(AI168="""",,TEXTJOIN("", "",TRUE,ARRAYFORMULA(VLOOKUP(SPLIT(AI168,"";""&amp;CHAR(10)),AE:AT,16,FALSE))))"),"")</f>
        <v/>
      </c>
      <c r="AW168" s="130" t="str">
        <f>IFERROR(__xludf.DUMMYFUNCTION("IF(ISBLANK(BK168),,TEXTJOIN("", "",TRUE,ARRAYFORMULA(VLOOKUP(IFERROR(REGEXEXTRACT(SPLIT(BK168,"";""&amp;CHAR(10)),""\[(.+)\]"")),AE:AT,16,false))))"),"")</f>
        <v/>
      </c>
      <c r="AX168" s="139" t="str">
        <f t="shared" si="6"/>
        <v/>
      </c>
      <c r="AY168" s="139" t="str">
        <f t="shared" si="7"/>
        <v/>
      </c>
      <c r="AZ168" s="106" t="str">
        <f>IFERROR(__xludf.DUMMYFUNCTION("IF(ISBLANK(AD168), BC168, TEXTJOIN(CHAR(10) &amp; CHAR(10), TRUE, ARRAYFORMULA(VLOOKUP(SPLIT(AD168, "";"" &amp; CHAR(10)), $AC:$AY, 23, FALSE))))"),"")</f>
        <v/>
      </c>
      <c r="BA168" s="140" t="s">
        <v>66</v>
      </c>
      <c r="BB168" s="190"/>
      <c r="BC168" s="196"/>
      <c r="BD168" s="106" t="str">
        <f>IFERROR(__xludf.DUMMYFUNCTION("IF(IFERROR(SEARCH(""&lt;&lt;mechanism to realize the capability&gt;&gt;"",BA168),0)=0,
 ""!! Error !! “Capability&amp;Mechanism” column: Invalid Separator:"" &amp; CHAR(10) &amp; ""Insert separator “&lt;&lt;mechanism to realize the capability&gt;&gt;.”"",
 IF(
  LEN(TRIM(CLEAN(
    INDEX(
 "&amp;"     SPLIT(BA168,""&lt;&lt;mechanism to realize the capability&gt;&gt;"",FALSE,FALSE),
      1
    )
  )))=0,
  ""!! Error !! “Capability&amp;Mechanism” column: No Capability:""  &amp; CHAR(10) &amp; ""Describe Capability before separator."",
  INDEX(
    SPLIT(BA168,""&lt;&lt;mechani"&amp;"sm to realize the capability&gt;&gt;"",FALSE,FALSE),
    1
  )
 )
)
"),"!! Error !! “Capability&amp;Mechanism” column: No Capability:
Describe Capability before separator.")</f>
        <v>!! Error !! “Capability&amp;Mechanism” column: No Capability:
Describe Capability before separator.</v>
      </c>
      <c r="BE168" s="190"/>
      <c r="BF168" s="195"/>
      <c r="BG168" s="42"/>
      <c r="BH168" s="190"/>
      <c r="BI168" s="196"/>
      <c r="BJ168" s="42"/>
      <c r="BK168" s="42"/>
      <c r="BL168" s="203"/>
      <c r="BM168" s="203"/>
      <c r="BN168" s="42"/>
      <c r="BO168" s="42"/>
      <c r="BP168" s="143"/>
      <c r="BQ168" s="143"/>
      <c r="BR168" s="192"/>
      <c r="BS168" s="192"/>
      <c r="BT168" s="192"/>
      <c r="BU168" s="192"/>
      <c r="BV168" s="192"/>
      <c r="BW168" s="192"/>
      <c r="BX168" s="146" t="str">
        <f t="shared" si="8"/>
        <v/>
      </c>
    </row>
    <row r="169">
      <c r="A169" s="106" t="str">
        <f t="shared" si="1"/>
        <v/>
      </c>
      <c r="B169" s="183" t="str">
        <f t="array" ref="B169">IF(ISBLANK($AE169), "-",INDEX(Circuits!A:A,SUMPRODUCT(EXACT($AE169,Circuits!$A:$A)*ROW(Circuits!$A:$A))))</f>
        <v>-</v>
      </c>
      <c r="C169" s="183" t="str">
        <f t="array" ref="C169">IF(ISBLANK($AE169), "-",INDEX(Circuits!B:B,SUMPRODUCT(EXACT($AE169,Circuits!$A:$A)*ROW(Circuits!$A:$A))))</f>
        <v>-</v>
      </c>
      <c r="D169" s="183" t="str">
        <f t="array" ref="D169">IF(ISBLANK($AE169), "-",INDEX(Circuits!C:C,SUMPRODUCT(EXACT($AE169,Circuits!$A:$A)*ROW(Circuits!$A:$A))))</f>
        <v>-</v>
      </c>
      <c r="E169" s="183" t="str">
        <f t="array" ref="E169">IF(ISBLANK($AE169), "-",INDEX(Circuits!D:D,SUMPRODUCT(EXACT($AE169,Circuits!$A:$A)*ROW(Circuits!$A:$A))))</f>
        <v>-</v>
      </c>
      <c r="F169" s="183" t="str">
        <f t="array" ref="F169">IF(ISBLANK($AE169), "-",INDEX(Circuits!E:E,SUMPRODUCT(EXACT($AE169,Circuits!$A:$A)*ROW(Circuits!$A:$A))))</f>
        <v>-</v>
      </c>
      <c r="G169" s="183" t="str">
        <f t="array" ref="G169">IF(ISBLANK($AE169), "-",INDEX(Circuits!F:F,SUMPRODUCT(EXACT($AE169,Circuits!$A:$A)*ROW(Circuits!$A:$A))))</f>
        <v>-</v>
      </c>
      <c r="H169" s="183" t="str">
        <f t="array" ref="H169">IF(ISBLANK($AE169), "-",INDEX(Circuits!G:G,SUMPRODUCT(EXACT($AE169,Circuits!$A:$A)*ROW(Circuits!$A:$A))))</f>
        <v>-</v>
      </c>
      <c r="I169" s="183" t="str">
        <f t="array" ref="I169">IF(ISBLANK($AE169), "-",INDEX(Circuits!H:H,SUMPRODUCT(EXACT($AE169,Circuits!$A:$A)*ROW(Circuits!$A:$A))))</f>
        <v>-</v>
      </c>
      <c r="J169" s="183" t="str">
        <f t="array" ref="J169">IF(ISBLANK($AE169), "-",INDEX(Circuits!I:I,SUMPRODUCT(EXACT($AE169,Circuits!$A:$A)*ROW(Circuits!$A:$A))))</f>
        <v>-</v>
      </c>
      <c r="K169" s="183" t="str">
        <f t="array" ref="K169">IF(ISBLANK($AE169), "-",INDEX(Circuits!J:J,SUMPRODUCT(EXACT($AE169,Circuits!$A:$A)*ROW(Circuits!$A:$A))))</f>
        <v>-</v>
      </c>
      <c r="L169" s="183" t="str">
        <f t="array" ref="L169">IF(ISBLANK($AE169), "-",INDEX(Circuits!K:K,SUMPRODUCT(EXACT($AE169,Circuits!$A:$A)*ROW(Circuits!$A:$A))))</f>
        <v>-</v>
      </c>
      <c r="M169" s="183" t="str">
        <f t="array" ref="M169">IF(ISBLANK($AE169), "-",INDEX(Circuits!L:L,SUMPRODUCT(EXACT($AE169,Circuits!$A:$A)*ROW(Circuits!$A:$A))))</f>
        <v>-</v>
      </c>
      <c r="N169" s="183" t="str">
        <f t="array" ref="N169">IF(ISBLANK($AE169), "-",INDEX(Circuits!M:M,SUMPRODUCT(EXACT($AE169,Circuits!$A:$A)*ROW(Circuits!$A:$A))))</f>
        <v>-</v>
      </c>
      <c r="O169" s="183" t="str">
        <f t="array" ref="O169">IF(ISBLANK($AE169), "-",INDEX(Circuits!N:N,SUMPRODUCT(EXACT($AE169,Circuits!$A:$A)*ROW(Circuits!$A:$A))))</f>
        <v>-</v>
      </c>
      <c r="P169" s="183" t="str">
        <f t="array" ref="P169">IF(ISBLANK($AE169), "-",INDEX(Circuits!O:O,SUMPRODUCT(EXACT($AE169,Circuits!$A:$A)*ROW(Circuits!$A:$A))))</f>
        <v>-</v>
      </c>
      <c r="Q169" s="183" t="str">
        <f t="array" ref="Q169">IF(ISBLANK($AE169), "-",INDEX(Circuits!P:P,SUMPRODUCT(EXACT($AE169,Circuits!$A:$A)*ROW(Circuits!$A:$A))))</f>
        <v>-</v>
      </c>
      <c r="R169" s="183" t="str">
        <f t="array" ref="R169">IF(ISBLANK($AE169), "-",INDEX(Circuits!Q:Q,SUMPRODUCT(EXACT($AE169,Circuits!$A:$A)*ROW(Circuits!$A:$A))))</f>
        <v>-</v>
      </c>
      <c r="S169" s="183" t="str">
        <f t="array" ref="S169">IF(ISBLANK($AE169), "-",INDEX(Circuits!R:R,SUMPRODUCT(EXACT($AE169,Circuits!$A:$A)*ROW(Circuits!$A:$A))))</f>
        <v>-</v>
      </c>
      <c r="T169" s="183" t="str">
        <f t="array" ref="T169">IF(ISBLANK($AE169), "-",INDEX(Circuits!S:S,SUMPRODUCT(EXACT($AE169,Circuits!$A:$A)*ROW(Circuits!$A:$A))))</f>
        <v>-</v>
      </c>
      <c r="U169" s="183" t="str">
        <f t="array" ref="U169">IF(ISBLANK($AE169), "-",INDEX(Circuits!T:T,SUMPRODUCT(EXACT($AE169,Circuits!$A:$A)*ROW(Circuits!$A:$A))))</f>
        <v>-</v>
      </c>
      <c r="V169" s="183" t="str">
        <f t="array" ref="V169">IF(ISBLANK($AE169), "-",INDEX(Circuits!U:U,SUMPRODUCT(EXACT($AE169,Circuits!$A:$A)*ROW(Circuits!$A:$A))))</f>
        <v>-</v>
      </c>
      <c r="W169" s="183" t="str">
        <f t="array" ref="W169">IF(ISBLANK($AE169), "-",INDEX(Circuits!V:V,SUMPRODUCT(EXACT($AE169,Circuits!$A:$A)*ROW(Circuits!$A:$A))))</f>
        <v>-</v>
      </c>
      <c r="X169" s="183" t="str">
        <f t="array" ref="X169">IF(ISBLANK($AE169), "-",INDEX(Circuits!W:W,SUMPRODUCT(EXACT($AE169,Circuits!$A:$A)*ROW(Circuits!$A:$A))))</f>
        <v>-</v>
      </c>
      <c r="Y169" s="183" t="str">
        <f t="array" ref="Y169">IF(ISBLANK($AE169), "-",INDEX(Circuits!X:X,SUMPRODUCT(EXACT($AE169,Circuits!$A:$A)*ROW(Circuits!$A:$A))))</f>
        <v>-</v>
      </c>
      <c r="Z169" s="108" t="str">
        <f>IFERROR(__xludf.DUMMYFUNCTION("IFNA(CONCATENATE(UNIQUE(FILTER(Connections!R:R,Connections!A:A=B169))),""-"")"),"-")</f>
        <v>-</v>
      </c>
      <c r="AA169" s="119" t="str">
        <f t="array" ref="AA169">IF(ISBLANK($AE169), "-",INDEX(Circuits!Y:Y,SUMPRODUCT(EXACT($AE169,Circuits!$A:$A)*ROW(Circuits!$A:$A))))</f>
        <v>-</v>
      </c>
      <c r="AB169" s="121" t="str">
        <f t="array" ref="AB169">IF(ISBLANK($AE169), "-",INDEX(Circuits!Z:Z,SUMPRODUCT(EXACT($AE169,Circuits!$A:$A)*ROW(Circuits!$A:$A))))</f>
        <v>-</v>
      </c>
      <c r="AC169" s="194"/>
      <c r="AD169" s="194"/>
      <c r="AE169" s="40"/>
      <c r="AF169" s="43"/>
      <c r="AG169" s="126" t="str">
        <f>IFERROR(__xludf.DUMMYFUNCTION("IF(ISBLANK(AF169), """", TEXTJOIN(CHAR(10),TRUE,ARRAYFORMULA(IF(ISERROR(SEARCH(SPLIT(AF169, "";""), $Z169)), ""x"", ""-""))))"),"")</f>
        <v/>
      </c>
      <c r="AH169" s="127" t="str">
        <f>IFERROR(__xludf.DUMMYFUNCTION("IF(ISBLANK(AK169), """", TEXTJOIN("";"" &amp; CHAR(10), TRUE, UNIQUE(SPLIT(AK169, "";"" &amp; CHAR(10)), TRUE))&amp;"";"")"),"")</f>
        <v/>
      </c>
      <c r="AI169" s="128" t="str">
        <f>IFERROR(__xludf.DUMMYFUNCTION("IF(ISBLANK(AD169), IF(ISBLANK(AE169),,IFNA(TEXTJOIN("";"" &amp; CHAR(10), TRUE, FILTER(AE:AE, SEARCH(AE169&amp;"";"", AJ:AJ)))&amp;"";"", """")), TEXTJOIN("";"" &amp; CHAR(10), TRUE, UNIQUE(SPLIT(AH169 &amp; "";"" &amp; AH169 &amp; "";"" &amp; AL169, "";"" &amp; CHAR(10)), TRUE, TRUE))&amp;"";"&amp;""")"),"")</f>
        <v/>
      </c>
      <c r="AJ169" s="126" t="str">
        <f>IFERROR(__xludf.DUMMYFUNCTION("IF(AN169="""", """", TEXTJOIN("";"" &amp; CHAR(10), TRUE, UNIQUE(SPLIT(AH169 &amp; "";"" &amp; AH169 &amp; "";"" &amp; AN169, "";"" &amp; CHAR(10)), TRUE, TRUE))&amp;"";"")"),"")</f>
        <v/>
      </c>
      <c r="AK169" s="129" t="str">
        <f>IFERROR(__xludf.DUMMYFUNCTION("IF(ISBLANK(AD169), IF(ISBLANK(AE169),,AE169 &amp; "";""), TEXTJOIN(CHAR(10), TRUE, ARRAYFORMULA(VLOOKUP(SPLIT(AD169, "";"" &amp; CHAR(10)), $AC:$AH, 6, FALSE))))"),"")</f>
        <v/>
      </c>
      <c r="AL169" s="130" t="str">
        <f>IFERROR(__xludf.DUMMYFUNCTION("IF(AM169="""", """", TEXTJOIN("";"" &amp; CHAR(10), TRUE, UNIQUE(SPLIT(AM169, "";"" &amp; CHAR(10)), TRUE))&amp;"";"")"),"")</f>
        <v/>
      </c>
      <c r="AM169" s="130" t="str">
        <f>IFERROR(__xludf.DUMMYFUNCTION("IF(ISBLANK(AD169), """", TEXTJOIN(CHAR(10), TRUE, ARRAYFORMULA(VLOOKUP(SPLIT(AH169, "";"" &amp; CHAR(10)), $AE:$AI, 5, FALSE)), AF169))"),"")</f>
        <v/>
      </c>
      <c r="AN169" s="132" t="str">
        <f>IFERROR(__xludf.DUMMYFUNCTION("IF(ISBLANK(AO169), """", TEXTJOIN("";"" &amp; CHAR(10), TRUE, UNIQUE(SPLIT(AO169, "";"" &amp; CHAR(10)), TRUE))&amp;"";"")"),"")</f>
        <v/>
      </c>
      <c r="AO169" s="134" t="str">
        <f>IFERROR(__xludf.DUMMYFUNCTION("IF(ISBLANK(AD169), AF169, TEXTJOIN(CHAR(10), TRUE, ARRAYFORMULA(VLOOKUP(SPLIT(AD169, "";"" &amp; CHAR(10)), $AC:$AN, 12, FALSE))))"),"")</f>
        <v/>
      </c>
      <c r="AP169" s="130" t="str">
        <f>IF(ISBLANK(AE169),,IF(IFERROR(SEARCH(AE169&amp;";",Circuits!$AO$2),0),TRUE,FALSE))</f>
        <v/>
      </c>
      <c r="AQ169" s="130" t="str">
        <f t="shared" si="2"/>
        <v/>
      </c>
      <c r="AR169" s="130" t="str">
        <f t="shared" si="3"/>
        <v/>
      </c>
      <c r="AS169" s="136" t="str">
        <f>IFERROR(__xludf.DUMMYFUNCTION("IF(AH169="""",,SUM(ARRAYFORMULA(IF(IFERROR(SEARCH(SPLIT(AH169,CHAR(10)),Circuits!$AO$2),0)&gt;0,0,1))))"),"")</f>
        <v/>
      </c>
      <c r="AT169" s="138" t="str">
        <f t="shared" si="4"/>
        <v/>
      </c>
      <c r="AU169" s="138" t="str">
        <f t="shared" si="5"/>
        <v/>
      </c>
      <c r="AV169" s="130" t="str">
        <f>IFERROR(__xludf.DUMMYFUNCTION("IF(AI169="""",,TEXTJOIN("", "",TRUE,ARRAYFORMULA(VLOOKUP(SPLIT(AI169,"";""&amp;CHAR(10)),AE:AT,16,FALSE))))"),"")</f>
        <v/>
      </c>
      <c r="AW169" s="130" t="str">
        <f>IFERROR(__xludf.DUMMYFUNCTION("IF(ISBLANK(BK169),,TEXTJOIN("", "",TRUE,ARRAYFORMULA(VLOOKUP(IFERROR(REGEXEXTRACT(SPLIT(BK169,"";""&amp;CHAR(10)),""\[(.+)\]"")),AE:AT,16,false))))"),"")</f>
        <v/>
      </c>
      <c r="AX169" s="139" t="str">
        <f t="shared" si="6"/>
        <v/>
      </c>
      <c r="AY169" s="139" t="str">
        <f t="shared" si="7"/>
        <v/>
      </c>
      <c r="AZ169" s="106" t="str">
        <f>IFERROR(__xludf.DUMMYFUNCTION("IF(ISBLANK(AD169), BC169, TEXTJOIN(CHAR(10) &amp; CHAR(10), TRUE, ARRAYFORMULA(VLOOKUP(SPLIT(AD169, "";"" &amp; CHAR(10)), $AC:$AY, 23, FALSE))))"),"")</f>
        <v/>
      </c>
      <c r="BA169" s="140" t="s">
        <v>66</v>
      </c>
      <c r="BB169" s="190"/>
      <c r="BC169" s="196"/>
      <c r="BD169" s="106" t="str">
        <f>IFERROR(__xludf.DUMMYFUNCTION("IF(IFERROR(SEARCH(""&lt;&lt;mechanism to realize the capability&gt;&gt;"",BA169),0)=0,
 ""!! Error !! “Capability&amp;Mechanism” column: Invalid Separator:"" &amp; CHAR(10) &amp; ""Insert separator “&lt;&lt;mechanism to realize the capability&gt;&gt;.”"",
 IF(
  LEN(TRIM(CLEAN(
    INDEX(
 "&amp;"     SPLIT(BA169,""&lt;&lt;mechanism to realize the capability&gt;&gt;"",FALSE,FALSE),
      1
    )
  )))=0,
  ""!! Error !! “Capability&amp;Mechanism” column: No Capability:""  &amp; CHAR(10) &amp; ""Describe Capability before separator."",
  INDEX(
    SPLIT(BA169,""&lt;&lt;mechani"&amp;"sm to realize the capability&gt;&gt;"",FALSE,FALSE),
    1
  )
 )
)
"),"!! Error !! “Capability&amp;Mechanism” column: No Capability:
Describe Capability before separator.")</f>
        <v>!! Error !! “Capability&amp;Mechanism” column: No Capability:
Describe Capability before separator.</v>
      </c>
      <c r="BE169" s="190"/>
      <c r="BF169" s="195"/>
      <c r="BG169" s="42"/>
      <c r="BH169" s="190"/>
      <c r="BI169" s="196"/>
      <c r="BJ169" s="42"/>
      <c r="BK169" s="42"/>
      <c r="BL169" s="203"/>
      <c r="BM169" s="203"/>
      <c r="BN169" s="42"/>
      <c r="BO169" s="42"/>
      <c r="BP169" s="143"/>
      <c r="BQ169" s="143"/>
      <c r="BR169" s="192"/>
      <c r="BS169" s="192"/>
      <c r="BT169" s="192"/>
      <c r="BU169" s="192"/>
      <c r="BV169" s="192"/>
      <c r="BW169" s="192"/>
      <c r="BX169" s="146" t="str">
        <f t="shared" si="8"/>
        <v/>
      </c>
    </row>
    <row r="170">
      <c r="A170" s="106" t="str">
        <f t="shared" si="1"/>
        <v/>
      </c>
      <c r="B170" s="183" t="str">
        <f t="array" ref="B170">IF(ISBLANK($AE170), "-",INDEX(Circuits!A:A,SUMPRODUCT(EXACT($AE170,Circuits!$A:$A)*ROW(Circuits!$A:$A))))</f>
        <v>-</v>
      </c>
      <c r="C170" s="183" t="str">
        <f t="array" ref="C170">IF(ISBLANK($AE170), "-",INDEX(Circuits!B:B,SUMPRODUCT(EXACT($AE170,Circuits!$A:$A)*ROW(Circuits!$A:$A))))</f>
        <v>-</v>
      </c>
      <c r="D170" s="183" t="str">
        <f t="array" ref="D170">IF(ISBLANK($AE170), "-",INDEX(Circuits!C:C,SUMPRODUCT(EXACT($AE170,Circuits!$A:$A)*ROW(Circuits!$A:$A))))</f>
        <v>-</v>
      </c>
      <c r="E170" s="183" t="str">
        <f t="array" ref="E170">IF(ISBLANK($AE170), "-",INDEX(Circuits!D:D,SUMPRODUCT(EXACT($AE170,Circuits!$A:$A)*ROW(Circuits!$A:$A))))</f>
        <v>-</v>
      </c>
      <c r="F170" s="183" t="str">
        <f t="array" ref="F170">IF(ISBLANK($AE170), "-",INDEX(Circuits!E:E,SUMPRODUCT(EXACT($AE170,Circuits!$A:$A)*ROW(Circuits!$A:$A))))</f>
        <v>-</v>
      </c>
      <c r="G170" s="183" t="str">
        <f t="array" ref="G170">IF(ISBLANK($AE170), "-",INDEX(Circuits!F:F,SUMPRODUCT(EXACT($AE170,Circuits!$A:$A)*ROW(Circuits!$A:$A))))</f>
        <v>-</v>
      </c>
      <c r="H170" s="183" t="str">
        <f t="array" ref="H170">IF(ISBLANK($AE170), "-",INDEX(Circuits!G:G,SUMPRODUCT(EXACT($AE170,Circuits!$A:$A)*ROW(Circuits!$A:$A))))</f>
        <v>-</v>
      </c>
      <c r="I170" s="183" t="str">
        <f t="array" ref="I170">IF(ISBLANK($AE170), "-",INDEX(Circuits!H:H,SUMPRODUCT(EXACT($AE170,Circuits!$A:$A)*ROW(Circuits!$A:$A))))</f>
        <v>-</v>
      </c>
      <c r="J170" s="183" t="str">
        <f t="array" ref="J170">IF(ISBLANK($AE170), "-",INDEX(Circuits!I:I,SUMPRODUCT(EXACT($AE170,Circuits!$A:$A)*ROW(Circuits!$A:$A))))</f>
        <v>-</v>
      </c>
      <c r="K170" s="183" t="str">
        <f t="array" ref="K170">IF(ISBLANK($AE170), "-",INDEX(Circuits!J:J,SUMPRODUCT(EXACT($AE170,Circuits!$A:$A)*ROW(Circuits!$A:$A))))</f>
        <v>-</v>
      </c>
      <c r="L170" s="183" t="str">
        <f t="array" ref="L170">IF(ISBLANK($AE170), "-",INDEX(Circuits!K:K,SUMPRODUCT(EXACT($AE170,Circuits!$A:$A)*ROW(Circuits!$A:$A))))</f>
        <v>-</v>
      </c>
      <c r="M170" s="183" t="str">
        <f t="array" ref="M170">IF(ISBLANK($AE170), "-",INDEX(Circuits!L:L,SUMPRODUCT(EXACT($AE170,Circuits!$A:$A)*ROW(Circuits!$A:$A))))</f>
        <v>-</v>
      </c>
      <c r="N170" s="183" t="str">
        <f t="array" ref="N170">IF(ISBLANK($AE170), "-",INDEX(Circuits!M:M,SUMPRODUCT(EXACT($AE170,Circuits!$A:$A)*ROW(Circuits!$A:$A))))</f>
        <v>-</v>
      </c>
      <c r="O170" s="183" t="str">
        <f t="array" ref="O170">IF(ISBLANK($AE170), "-",INDEX(Circuits!N:N,SUMPRODUCT(EXACT($AE170,Circuits!$A:$A)*ROW(Circuits!$A:$A))))</f>
        <v>-</v>
      </c>
      <c r="P170" s="183" t="str">
        <f t="array" ref="P170">IF(ISBLANK($AE170), "-",INDEX(Circuits!O:O,SUMPRODUCT(EXACT($AE170,Circuits!$A:$A)*ROW(Circuits!$A:$A))))</f>
        <v>-</v>
      </c>
      <c r="Q170" s="183" t="str">
        <f t="array" ref="Q170">IF(ISBLANK($AE170), "-",INDEX(Circuits!P:P,SUMPRODUCT(EXACT($AE170,Circuits!$A:$A)*ROW(Circuits!$A:$A))))</f>
        <v>-</v>
      </c>
      <c r="R170" s="183" t="str">
        <f t="array" ref="R170">IF(ISBLANK($AE170), "-",INDEX(Circuits!Q:Q,SUMPRODUCT(EXACT($AE170,Circuits!$A:$A)*ROW(Circuits!$A:$A))))</f>
        <v>-</v>
      </c>
      <c r="S170" s="183" t="str">
        <f t="array" ref="S170">IF(ISBLANK($AE170), "-",INDEX(Circuits!R:R,SUMPRODUCT(EXACT($AE170,Circuits!$A:$A)*ROW(Circuits!$A:$A))))</f>
        <v>-</v>
      </c>
      <c r="T170" s="183" t="str">
        <f t="array" ref="T170">IF(ISBLANK($AE170), "-",INDEX(Circuits!S:S,SUMPRODUCT(EXACT($AE170,Circuits!$A:$A)*ROW(Circuits!$A:$A))))</f>
        <v>-</v>
      </c>
      <c r="U170" s="183" t="str">
        <f t="array" ref="U170">IF(ISBLANK($AE170), "-",INDEX(Circuits!T:T,SUMPRODUCT(EXACT($AE170,Circuits!$A:$A)*ROW(Circuits!$A:$A))))</f>
        <v>-</v>
      </c>
      <c r="V170" s="183" t="str">
        <f t="array" ref="V170">IF(ISBLANK($AE170), "-",INDEX(Circuits!U:U,SUMPRODUCT(EXACT($AE170,Circuits!$A:$A)*ROW(Circuits!$A:$A))))</f>
        <v>-</v>
      </c>
      <c r="W170" s="183" t="str">
        <f t="array" ref="W170">IF(ISBLANK($AE170), "-",INDEX(Circuits!V:V,SUMPRODUCT(EXACT($AE170,Circuits!$A:$A)*ROW(Circuits!$A:$A))))</f>
        <v>-</v>
      </c>
      <c r="X170" s="183" t="str">
        <f t="array" ref="X170">IF(ISBLANK($AE170), "-",INDEX(Circuits!W:W,SUMPRODUCT(EXACT($AE170,Circuits!$A:$A)*ROW(Circuits!$A:$A))))</f>
        <v>-</v>
      </c>
      <c r="Y170" s="183" t="str">
        <f t="array" ref="Y170">IF(ISBLANK($AE170), "-",INDEX(Circuits!X:X,SUMPRODUCT(EXACT($AE170,Circuits!$A:$A)*ROW(Circuits!$A:$A))))</f>
        <v>-</v>
      </c>
      <c r="Z170" s="108" t="str">
        <f>IFERROR(__xludf.DUMMYFUNCTION("IFNA(CONCATENATE(UNIQUE(FILTER(Connections!R:R,Connections!A:A=B170))),""-"")"),"-")</f>
        <v>-</v>
      </c>
      <c r="AA170" s="119" t="str">
        <f t="array" ref="AA170">IF(ISBLANK($AE170), "-",INDEX(Circuits!Y:Y,SUMPRODUCT(EXACT($AE170,Circuits!$A:$A)*ROW(Circuits!$A:$A))))</f>
        <v>-</v>
      </c>
      <c r="AB170" s="121" t="str">
        <f t="array" ref="AB170">IF(ISBLANK($AE170), "-",INDEX(Circuits!Z:Z,SUMPRODUCT(EXACT($AE170,Circuits!$A:$A)*ROW(Circuits!$A:$A))))</f>
        <v>-</v>
      </c>
      <c r="AC170" s="194"/>
      <c r="AD170" s="194"/>
      <c r="AE170" s="40"/>
      <c r="AF170" s="43"/>
      <c r="AG170" s="126" t="str">
        <f>IFERROR(__xludf.DUMMYFUNCTION("IF(ISBLANK(AF170), """", TEXTJOIN(CHAR(10),TRUE,ARRAYFORMULA(IF(ISERROR(SEARCH(SPLIT(AF170, "";""), $Z170)), ""x"", ""-""))))"),"")</f>
        <v/>
      </c>
      <c r="AH170" s="127" t="str">
        <f>IFERROR(__xludf.DUMMYFUNCTION("IF(ISBLANK(AK170), """", TEXTJOIN("";"" &amp; CHAR(10), TRUE, UNIQUE(SPLIT(AK170, "";"" &amp; CHAR(10)), TRUE))&amp;"";"")"),"")</f>
        <v/>
      </c>
      <c r="AI170" s="128" t="str">
        <f>IFERROR(__xludf.DUMMYFUNCTION("IF(ISBLANK(AD170), IF(ISBLANK(AE170),,IFNA(TEXTJOIN("";"" &amp; CHAR(10), TRUE, FILTER(AE:AE, SEARCH(AE170&amp;"";"", AJ:AJ)))&amp;"";"", """")), TEXTJOIN("";"" &amp; CHAR(10), TRUE, UNIQUE(SPLIT(AH170 &amp; "";"" &amp; AH170 &amp; "";"" &amp; AL170, "";"" &amp; CHAR(10)), TRUE, TRUE))&amp;"";"&amp;""")"),"")</f>
        <v/>
      </c>
      <c r="AJ170" s="126" t="str">
        <f>IFERROR(__xludf.DUMMYFUNCTION("IF(AN170="""", """", TEXTJOIN("";"" &amp; CHAR(10), TRUE, UNIQUE(SPLIT(AH170 &amp; "";"" &amp; AH170 &amp; "";"" &amp; AN170, "";"" &amp; CHAR(10)), TRUE, TRUE))&amp;"";"")"),"")</f>
        <v/>
      </c>
      <c r="AK170" s="129" t="str">
        <f>IFERROR(__xludf.DUMMYFUNCTION("IF(ISBLANK(AD170), IF(ISBLANK(AE170),,AE170 &amp; "";""), TEXTJOIN(CHAR(10), TRUE, ARRAYFORMULA(VLOOKUP(SPLIT(AD170, "";"" &amp; CHAR(10)), $AC:$AH, 6, FALSE))))"),"")</f>
        <v/>
      </c>
      <c r="AL170" s="130" t="str">
        <f>IFERROR(__xludf.DUMMYFUNCTION("IF(AM170="""", """", TEXTJOIN("";"" &amp; CHAR(10), TRUE, UNIQUE(SPLIT(AM170, "";"" &amp; CHAR(10)), TRUE))&amp;"";"")"),"")</f>
        <v/>
      </c>
      <c r="AM170" s="130" t="str">
        <f>IFERROR(__xludf.DUMMYFUNCTION("IF(ISBLANK(AD170), """", TEXTJOIN(CHAR(10), TRUE, ARRAYFORMULA(VLOOKUP(SPLIT(AH170, "";"" &amp; CHAR(10)), $AE:$AI, 5, FALSE)), AF170))"),"")</f>
        <v/>
      </c>
      <c r="AN170" s="132" t="str">
        <f>IFERROR(__xludf.DUMMYFUNCTION("IF(ISBLANK(AO170), """", TEXTJOIN("";"" &amp; CHAR(10), TRUE, UNIQUE(SPLIT(AO170, "";"" &amp; CHAR(10)), TRUE))&amp;"";"")"),"")</f>
        <v/>
      </c>
      <c r="AO170" s="134" t="str">
        <f>IFERROR(__xludf.DUMMYFUNCTION("IF(ISBLANK(AD170), AF170, TEXTJOIN(CHAR(10), TRUE, ARRAYFORMULA(VLOOKUP(SPLIT(AD170, "";"" &amp; CHAR(10)), $AC:$AN, 12, FALSE))))"),"")</f>
        <v/>
      </c>
      <c r="AP170" s="130" t="str">
        <f>IF(ISBLANK(AE170),,IF(IFERROR(SEARCH(AE170&amp;";",Circuits!$AO$2),0),TRUE,FALSE))</f>
        <v/>
      </c>
      <c r="AQ170" s="130" t="str">
        <f t="shared" si="2"/>
        <v/>
      </c>
      <c r="AR170" s="130" t="str">
        <f t="shared" si="3"/>
        <v/>
      </c>
      <c r="AS170" s="136" t="str">
        <f>IFERROR(__xludf.DUMMYFUNCTION("IF(AH170="""",,SUM(ARRAYFORMULA(IF(IFERROR(SEARCH(SPLIT(AH170,CHAR(10)),Circuits!$AO$2),0)&gt;0,0,1))))"),"")</f>
        <v/>
      </c>
      <c r="AT170" s="138" t="str">
        <f t="shared" si="4"/>
        <v/>
      </c>
      <c r="AU170" s="138" t="str">
        <f t="shared" si="5"/>
        <v/>
      </c>
      <c r="AV170" s="130" t="str">
        <f>IFERROR(__xludf.DUMMYFUNCTION("IF(AI170="""",,TEXTJOIN("", "",TRUE,ARRAYFORMULA(VLOOKUP(SPLIT(AI170,"";""&amp;CHAR(10)),AE:AT,16,FALSE))))"),"")</f>
        <v/>
      </c>
      <c r="AW170" s="130" t="str">
        <f>IFERROR(__xludf.DUMMYFUNCTION("IF(ISBLANK(BK170),,TEXTJOIN("", "",TRUE,ARRAYFORMULA(VLOOKUP(IFERROR(REGEXEXTRACT(SPLIT(BK170,"";""&amp;CHAR(10)),""\[(.+)\]"")),AE:AT,16,false))))"),"")</f>
        <v/>
      </c>
      <c r="AX170" s="139" t="str">
        <f t="shared" si="6"/>
        <v/>
      </c>
      <c r="AY170" s="139" t="str">
        <f t="shared" si="7"/>
        <v/>
      </c>
      <c r="AZ170" s="106" t="str">
        <f>IFERROR(__xludf.DUMMYFUNCTION("IF(ISBLANK(AD170), BC170, TEXTJOIN(CHAR(10) &amp; CHAR(10), TRUE, ARRAYFORMULA(VLOOKUP(SPLIT(AD170, "";"" &amp; CHAR(10)), $AC:$AY, 23, FALSE))))"),"")</f>
        <v/>
      </c>
      <c r="BA170" s="140" t="s">
        <v>66</v>
      </c>
      <c r="BB170" s="190"/>
      <c r="BC170" s="196"/>
      <c r="BD170" s="106" t="str">
        <f>IFERROR(__xludf.DUMMYFUNCTION("IF(IFERROR(SEARCH(""&lt;&lt;mechanism to realize the capability&gt;&gt;"",BA170),0)=0,
 ""!! Error !! “Capability&amp;Mechanism” column: Invalid Separator:"" &amp; CHAR(10) &amp; ""Insert separator “&lt;&lt;mechanism to realize the capability&gt;&gt;.”"",
 IF(
  LEN(TRIM(CLEAN(
    INDEX(
 "&amp;"     SPLIT(BA170,""&lt;&lt;mechanism to realize the capability&gt;&gt;"",FALSE,FALSE),
      1
    )
  )))=0,
  ""!! Error !! “Capability&amp;Mechanism” column: No Capability:""  &amp; CHAR(10) &amp; ""Describe Capability before separator."",
  INDEX(
    SPLIT(BA170,""&lt;&lt;mechani"&amp;"sm to realize the capability&gt;&gt;"",FALSE,FALSE),
    1
  )
 )
)
"),"!! Error !! “Capability&amp;Mechanism” column: No Capability:
Describe Capability before separator.")</f>
        <v>!! Error !! “Capability&amp;Mechanism” column: No Capability:
Describe Capability before separator.</v>
      </c>
      <c r="BE170" s="190"/>
      <c r="BF170" s="195"/>
      <c r="BG170" s="42"/>
      <c r="BH170" s="190"/>
      <c r="BI170" s="196"/>
      <c r="BJ170" s="42"/>
      <c r="BK170" s="42"/>
      <c r="BL170" s="203"/>
      <c r="BM170" s="203"/>
      <c r="BN170" s="42"/>
      <c r="BO170" s="42"/>
      <c r="BP170" s="143"/>
      <c r="BQ170" s="143"/>
      <c r="BR170" s="192"/>
      <c r="BS170" s="192"/>
      <c r="BT170" s="192"/>
      <c r="BU170" s="192"/>
      <c r="BV170" s="192"/>
      <c r="BW170" s="192"/>
      <c r="BX170" s="146" t="str">
        <f t="shared" si="8"/>
        <v/>
      </c>
    </row>
    <row r="171">
      <c r="A171" s="106" t="str">
        <f t="shared" si="1"/>
        <v/>
      </c>
      <c r="B171" s="183" t="str">
        <f t="array" ref="B171">IF(ISBLANK($AE171), "-",INDEX(Circuits!A:A,SUMPRODUCT(EXACT($AE171,Circuits!$A:$A)*ROW(Circuits!$A:$A))))</f>
        <v>-</v>
      </c>
      <c r="C171" s="183" t="str">
        <f t="array" ref="C171">IF(ISBLANK($AE171), "-",INDEX(Circuits!B:B,SUMPRODUCT(EXACT($AE171,Circuits!$A:$A)*ROW(Circuits!$A:$A))))</f>
        <v>-</v>
      </c>
      <c r="D171" s="183" t="str">
        <f t="array" ref="D171">IF(ISBLANK($AE171), "-",INDEX(Circuits!C:C,SUMPRODUCT(EXACT($AE171,Circuits!$A:$A)*ROW(Circuits!$A:$A))))</f>
        <v>-</v>
      </c>
      <c r="E171" s="183" t="str">
        <f t="array" ref="E171">IF(ISBLANK($AE171), "-",INDEX(Circuits!D:D,SUMPRODUCT(EXACT($AE171,Circuits!$A:$A)*ROW(Circuits!$A:$A))))</f>
        <v>-</v>
      </c>
      <c r="F171" s="183" t="str">
        <f t="array" ref="F171">IF(ISBLANK($AE171), "-",INDEX(Circuits!E:E,SUMPRODUCT(EXACT($AE171,Circuits!$A:$A)*ROW(Circuits!$A:$A))))</f>
        <v>-</v>
      </c>
      <c r="G171" s="183" t="str">
        <f t="array" ref="G171">IF(ISBLANK($AE171), "-",INDEX(Circuits!F:F,SUMPRODUCT(EXACT($AE171,Circuits!$A:$A)*ROW(Circuits!$A:$A))))</f>
        <v>-</v>
      </c>
      <c r="H171" s="183" t="str">
        <f t="array" ref="H171">IF(ISBLANK($AE171), "-",INDEX(Circuits!G:G,SUMPRODUCT(EXACT($AE171,Circuits!$A:$A)*ROW(Circuits!$A:$A))))</f>
        <v>-</v>
      </c>
      <c r="I171" s="183" t="str">
        <f t="array" ref="I171">IF(ISBLANK($AE171), "-",INDEX(Circuits!H:H,SUMPRODUCT(EXACT($AE171,Circuits!$A:$A)*ROW(Circuits!$A:$A))))</f>
        <v>-</v>
      </c>
      <c r="J171" s="183" t="str">
        <f t="array" ref="J171">IF(ISBLANK($AE171), "-",INDEX(Circuits!I:I,SUMPRODUCT(EXACT($AE171,Circuits!$A:$A)*ROW(Circuits!$A:$A))))</f>
        <v>-</v>
      </c>
      <c r="K171" s="183" t="str">
        <f t="array" ref="K171">IF(ISBLANK($AE171), "-",INDEX(Circuits!J:J,SUMPRODUCT(EXACT($AE171,Circuits!$A:$A)*ROW(Circuits!$A:$A))))</f>
        <v>-</v>
      </c>
      <c r="L171" s="183" t="str">
        <f t="array" ref="L171">IF(ISBLANK($AE171), "-",INDEX(Circuits!K:K,SUMPRODUCT(EXACT($AE171,Circuits!$A:$A)*ROW(Circuits!$A:$A))))</f>
        <v>-</v>
      </c>
      <c r="M171" s="183" t="str">
        <f t="array" ref="M171">IF(ISBLANK($AE171), "-",INDEX(Circuits!L:L,SUMPRODUCT(EXACT($AE171,Circuits!$A:$A)*ROW(Circuits!$A:$A))))</f>
        <v>-</v>
      </c>
      <c r="N171" s="183" t="str">
        <f t="array" ref="N171">IF(ISBLANK($AE171), "-",INDEX(Circuits!M:M,SUMPRODUCT(EXACT($AE171,Circuits!$A:$A)*ROW(Circuits!$A:$A))))</f>
        <v>-</v>
      </c>
      <c r="O171" s="183" t="str">
        <f t="array" ref="O171">IF(ISBLANK($AE171), "-",INDEX(Circuits!N:N,SUMPRODUCT(EXACT($AE171,Circuits!$A:$A)*ROW(Circuits!$A:$A))))</f>
        <v>-</v>
      </c>
      <c r="P171" s="183" t="str">
        <f t="array" ref="P171">IF(ISBLANK($AE171), "-",INDEX(Circuits!O:O,SUMPRODUCT(EXACT($AE171,Circuits!$A:$A)*ROW(Circuits!$A:$A))))</f>
        <v>-</v>
      </c>
      <c r="Q171" s="183" t="str">
        <f t="array" ref="Q171">IF(ISBLANK($AE171), "-",INDEX(Circuits!P:P,SUMPRODUCT(EXACT($AE171,Circuits!$A:$A)*ROW(Circuits!$A:$A))))</f>
        <v>-</v>
      </c>
      <c r="R171" s="183" t="str">
        <f t="array" ref="R171">IF(ISBLANK($AE171), "-",INDEX(Circuits!Q:Q,SUMPRODUCT(EXACT($AE171,Circuits!$A:$A)*ROW(Circuits!$A:$A))))</f>
        <v>-</v>
      </c>
      <c r="S171" s="183" t="str">
        <f t="array" ref="S171">IF(ISBLANK($AE171), "-",INDEX(Circuits!R:R,SUMPRODUCT(EXACT($AE171,Circuits!$A:$A)*ROW(Circuits!$A:$A))))</f>
        <v>-</v>
      </c>
      <c r="T171" s="183" t="str">
        <f t="array" ref="T171">IF(ISBLANK($AE171), "-",INDEX(Circuits!S:S,SUMPRODUCT(EXACT($AE171,Circuits!$A:$A)*ROW(Circuits!$A:$A))))</f>
        <v>-</v>
      </c>
      <c r="U171" s="183" t="str">
        <f t="array" ref="U171">IF(ISBLANK($AE171), "-",INDEX(Circuits!T:T,SUMPRODUCT(EXACT($AE171,Circuits!$A:$A)*ROW(Circuits!$A:$A))))</f>
        <v>-</v>
      </c>
      <c r="V171" s="183" t="str">
        <f t="array" ref="V171">IF(ISBLANK($AE171), "-",INDEX(Circuits!U:U,SUMPRODUCT(EXACT($AE171,Circuits!$A:$A)*ROW(Circuits!$A:$A))))</f>
        <v>-</v>
      </c>
      <c r="W171" s="183" t="str">
        <f t="array" ref="W171">IF(ISBLANK($AE171), "-",INDEX(Circuits!V:V,SUMPRODUCT(EXACT($AE171,Circuits!$A:$A)*ROW(Circuits!$A:$A))))</f>
        <v>-</v>
      </c>
      <c r="X171" s="183" t="str">
        <f t="array" ref="X171">IF(ISBLANK($AE171), "-",INDEX(Circuits!W:W,SUMPRODUCT(EXACT($AE171,Circuits!$A:$A)*ROW(Circuits!$A:$A))))</f>
        <v>-</v>
      </c>
      <c r="Y171" s="183" t="str">
        <f t="array" ref="Y171">IF(ISBLANK($AE171), "-",INDEX(Circuits!X:X,SUMPRODUCT(EXACT($AE171,Circuits!$A:$A)*ROW(Circuits!$A:$A))))</f>
        <v>-</v>
      </c>
      <c r="Z171" s="108" t="str">
        <f>IFERROR(__xludf.DUMMYFUNCTION("IFNA(CONCATENATE(UNIQUE(FILTER(Connections!R:R,Connections!A:A=B171))),""-"")"),"-")</f>
        <v>-</v>
      </c>
      <c r="AA171" s="119" t="str">
        <f t="array" ref="AA171">IF(ISBLANK($AE171), "-",INDEX(Circuits!Y:Y,SUMPRODUCT(EXACT($AE171,Circuits!$A:$A)*ROW(Circuits!$A:$A))))</f>
        <v>-</v>
      </c>
      <c r="AB171" s="121" t="str">
        <f t="array" ref="AB171">IF(ISBLANK($AE171), "-",INDEX(Circuits!Z:Z,SUMPRODUCT(EXACT($AE171,Circuits!$A:$A)*ROW(Circuits!$A:$A))))</f>
        <v>-</v>
      </c>
      <c r="AC171" s="194"/>
      <c r="AD171" s="194"/>
      <c r="AE171" s="40"/>
      <c r="AF171" s="43"/>
      <c r="AG171" s="126" t="str">
        <f>IFERROR(__xludf.DUMMYFUNCTION("IF(ISBLANK(AF171), """", TEXTJOIN(CHAR(10),TRUE,ARRAYFORMULA(IF(ISERROR(SEARCH(SPLIT(AF171, "";""), $Z171)), ""x"", ""-""))))"),"")</f>
        <v/>
      </c>
      <c r="AH171" s="127" t="str">
        <f>IFERROR(__xludf.DUMMYFUNCTION("IF(ISBLANK(AK171), """", TEXTJOIN("";"" &amp; CHAR(10), TRUE, UNIQUE(SPLIT(AK171, "";"" &amp; CHAR(10)), TRUE))&amp;"";"")"),"")</f>
        <v/>
      </c>
      <c r="AI171" s="128" t="str">
        <f>IFERROR(__xludf.DUMMYFUNCTION("IF(ISBLANK(AD171), IF(ISBLANK(AE171),,IFNA(TEXTJOIN("";"" &amp; CHAR(10), TRUE, FILTER(AE:AE, SEARCH(AE171&amp;"";"", AJ:AJ)))&amp;"";"", """")), TEXTJOIN("";"" &amp; CHAR(10), TRUE, UNIQUE(SPLIT(AH171 &amp; "";"" &amp; AH171 &amp; "";"" &amp; AL171, "";"" &amp; CHAR(10)), TRUE, TRUE))&amp;"";"&amp;""")"),"")</f>
        <v/>
      </c>
      <c r="AJ171" s="126" t="str">
        <f>IFERROR(__xludf.DUMMYFUNCTION("IF(AN171="""", """", TEXTJOIN("";"" &amp; CHAR(10), TRUE, UNIQUE(SPLIT(AH171 &amp; "";"" &amp; AH171 &amp; "";"" &amp; AN171, "";"" &amp; CHAR(10)), TRUE, TRUE))&amp;"";"")"),"")</f>
        <v/>
      </c>
      <c r="AK171" s="129" t="str">
        <f>IFERROR(__xludf.DUMMYFUNCTION("IF(ISBLANK(AD171), IF(ISBLANK(AE171),,AE171 &amp; "";""), TEXTJOIN(CHAR(10), TRUE, ARRAYFORMULA(VLOOKUP(SPLIT(AD171, "";"" &amp; CHAR(10)), $AC:$AH, 6, FALSE))))"),"")</f>
        <v/>
      </c>
      <c r="AL171" s="130" t="str">
        <f>IFERROR(__xludf.DUMMYFUNCTION("IF(AM171="""", """", TEXTJOIN("";"" &amp; CHAR(10), TRUE, UNIQUE(SPLIT(AM171, "";"" &amp; CHAR(10)), TRUE))&amp;"";"")"),"")</f>
        <v/>
      </c>
      <c r="AM171" s="130" t="str">
        <f>IFERROR(__xludf.DUMMYFUNCTION("IF(ISBLANK(AD171), """", TEXTJOIN(CHAR(10), TRUE, ARRAYFORMULA(VLOOKUP(SPLIT(AH171, "";"" &amp; CHAR(10)), $AE:$AI, 5, FALSE)), AF171))"),"")</f>
        <v/>
      </c>
      <c r="AN171" s="132" t="str">
        <f>IFERROR(__xludf.DUMMYFUNCTION("IF(ISBLANK(AO171), """", TEXTJOIN("";"" &amp; CHAR(10), TRUE, UNIQUE(SPLIT(AO171, "";"" &amp; CHAR(10)), TRUE))&amp;"";"")"),"")</f>
        <v/>
      </c>
      <c r="AO171" s="134" t="str">
        <f>IFERROR(__xludf.DUMMYFUNCTION("IF(ISBLANK(AD171), AF171, TEXTJOIN(CHAR(10), TRUE, ARRAYFORMULA(VLOOKUP(SPLIT(AD171, "";"" &amp; CHAR(10)), $AC:$AN, 12, FALSE))))"),"")</f>
        <v/>
      </c>
      <c r="AP171" s="130" t="str">
        <f>IF(ISBLANK(AE171),,IF(IFERROR(SEARCH(AE171&amp;";",Circuits!$AO$2),0),TRUE,FALSE))</f>
        <v/>
      </c>
      <c r="AQ171" s="130" t="str">
        <f t="shared" si="2"/>
        <v/>
      </c>
      <c r="AR171" s="130" t="str">
        <f t="shared" si="3"/>
        <v/>
      </c>
      <c r="AS171" s="136" t="str">
        <f>IFERROR(__xludf.DUMMYFUNCTION("IF(AH171="""",,SUM(ARRAYFORMULA(IF(IFERROR(SEARCH(SPLIT(AH171,CHAR(10)),Circuits!$AO$2),0)&gt;0,0,1))))"),"")</f>
        <v/>
      </c>
      <c r="AT171" s="138" t="str">
        <f t="shared" si="4"/>
        <v/>
      </c>
      <c r="AU171" s="138" t="str">
        <f t="shared" si="5"/>
        <v/>
      </c>
      <c r="AV171" s="130" t="str">
        <f>IFERROR(__xludf.DUMMYFUNCTION("IF(AI171="""",,TEXTJOIN("", "",TRUE,ARRAYFORMULA(VLOOKUP(SPLIT(AI171,"";""&amp;CHAR(10)),AE:AT,16,FALSE))))"),"")</f>
        <v/>
      </c>
      <c r="AW171" s="130" t="str">
        <f>IFERROR(__xludf.DUMMYFUNCTION("IF(ISBLANK(BK171),,TEXTJOIN("", "",TRUE,ARRAYFORMULA(VLOOKUP(IFERROR(REGEXEXTRACT(SPLIT(BK171,"";""&amp;CHAR(10)),""\[(.+)\]"")),AE:AT,16,false))))"),"")</f>
        <v/>
      </c>
      <c r="AX171" s="139" t="str">
        <f t="shared" si="6"/>
        <v/>
      </c>
      <c r="AY171" s="139" t="str">
        <f t="shared" si="7"/>
        <v/>
      </c>
      <c r="AZ171" s="106" t="str">
        <f>IFERROR(__xludf.DUMMYFUNCTION("IF(ISBLANK(AD171), BC171, TEXTJOIN(CHAR(10) &amp; CHAR(10), TRUE, ARRAYFORMULA(VLOOKUP(SPLIT(AD171, "";"" &amp; CHAR(10)), $AC:$AY, 23, FALSE))))"),"")</f>
        <v/>
      </c>
      <c r="BA171" s="140" t="s">
        <v>66</v>
      </c>
      <c r="BB171" s="190"/>
      <c r="BC171" s="196"/>
      <c r="BD171" s="106" t="str">
        <f>IFERROR(__xludf.DUMMYFUNCTION("IF(IFERROR(SEARCH(""&lt;&lt;mechanism to realize the capability&gt;&gt;"",BA171),0)=0,
 ""!! Error !! “Capability&amp;Mechanism” column: Invalid Separator:"" &amp; CHAR(10) &amp; ""Insert separator “&lt;&lt;mechanism to realize the capability&gt;&gt;.”"",
 IF(
  LEN(TRIM(CLEAN(
    INDEX(
 "&amp;"     SPLIT(BA171,""&lt;&lt;mechanism to realize the capability&gt;&gt;"",FALSE,FALSE),
      1
    )
  )))=0,
  ""!! Error !! “Capability&amp;Mechanism” column: No Capability:""  &amp; CHAR(10) &amp; ""Describe Capability before separator."",
  INDEX(
    SPLIT(BA171,""&lt;&lt;mechani"&amp;"sm to realize the capability&gt;&gt;"",FALSE,FALSE),
    1
  )
 )
)
"),"!! Error !! “Capability&amp;Mechanism” column: No Capability:
Describe Capability before separator.")</f>
        <v>!! Error !! “Capability&amp;Mechanism” column: No Capability:
Describe Capability before separator.</v>
      </c>
      <c r="BE171" s="190"/>
      <c r="BF171" s="195"/>
      <c r="BG171" s="42"/>
      <c r="BH171" s="190"/>
      <c r="BI171" s="196"/>
      <c r="BJ171" s="42"/>
      <c r="BK171" s="42"/>
      <c r="BL171" s="203"/>
      <c r="BM171" s="203"/>
      <c r="BN171" s="42"/>
      <c r="BO171" s="42"/>
      <c r="BP171" s="143"/>
      <c r="BQ171" s="143"/>
      <c r="BR171" s="192"/>
      <c r="BS171" s="192"/>
      <c r="BT171" s="192"/>
      <c r="BU171" s="192"/>
      <c r="BV171" s="192"/>
      <c r="BW171" s="192"/>
      <c r="BX171" s="146" t="str">
        <f t="shared" si="8"/>
        <v/>
      </c>
    </row>
    <row r="172">
      <c r="A172" s="106" t="str">
        <f t="shared" si="1"/>
        <v/>
      </c>
      <c r="B172" s="183" t="str">
        <f t="array" ref="B172">IF(ISBLANK($AE172), "-",INDEX(Circuits!A:A,SUMPRODUCT(EXACT($AE172,Circuits!$A:$A)*ROW(Circuits!$A:$A))))</f>
        <v>-</v>
      </c>
      <c r="C172" s="183" t="str">
        <f t="array" ref="C172">IF(ISBLANK($AE172), "-",INDEX(Circuits!B:B,SUMPRODUCT(EXACT($AE172,Circuits!$A:$A)*ROW(Circuits!$A:$A))))</f>
        <v>-</v>
      </c>
      <c r="D172" s="183" t="str">
        <f t="array" ref="D172">IF(ISBLANK($AE172), "-",INDEX(Circuits!C:C,SUMPRODUCT(EXACT($AE172,Circuits!$A:$A)*ROW(Circuits!$A:$A))))</f>
        <v>-</v>
      </c>
      <c r="E172" s="183" t="str">
        <f t="array" ref="E172">IF(ISBLANK($AE172), "-",INDEX(Circuits!D:D,SUMPRODUCT(EXACT($AE172,Circuits!$A:$A)*ROW(Circuits!$A:$A))))</f>
        <v>-</v>
      </c>
      <c r="F172" s="183" t="str">
        <f t="array" ref="F172">IF(ISBLANK($AE172), "-",INDEX(Circuits!E:E,SUMPRODUCT(EXACT($AE172,Circuits!$A:$A)*ROW(Circuits!$A:$A))))</f>
        <v>-</v>
      </c>
      <c r="G172" s="183" t="str">
        <f t="array" ref="G172">IF(ISBLANK($AE172), "-",INDEX(Circuits!F:F,SUMPRODUCT(EXACT($AE172,Circuits!$A:$A)*ROW(Circuits!$A:$A))))</f>
        <v>-</v>
      </c>
      <c r="H172" s="183" t="str">
        <f t="array" ref="H172">IF(ISBLANK($AE172), "-",INDEX(Circuits!G:G,SUMPRODUCT(EXACT($AE172,Circuits!$A:$A)*ROW(Circuits!$A:$A))))</f>
        <v>-</v>
      </c>
      <c r="I172" s="183" t="str">
        <f t="array" ref="I172">IF(ISBLANK($AE172), "-",INDEX(Circuits!H:H,SUMPRODUCT(EXACT($AE172,Circuits!$A:$A)*ROW(Circuits!$A:$A))))</f>
        <v>-</v>
      </c>
      <c r="J172" s="183" t="str">
        <f t="array" ref="J172">IF(ISBLANK($AE172), "-",INDEX(Circuits!I:I,SUMPRODUCT(EXACT($AE172,Circuits!$A:$A)*ROW(Circuits!$A:$A))))</f>
        <v>-</v>
      </c>
      <c r="K172" s="183" t="str">
        <f t="array" ref="K172">IF(ISBLANK($AE172), "-",INDEX(Circuits!J:J,SUMPRODUCT(EXACT($AE172,Circuits!$A:$A)*ROW(Circuits!$A:$A))))</f>
        <v>-</v>
      </c>
      <c r="L172" s="183" t="str">
        <f t="array" ref="L172">IF(ISBLANK($AE172), "-",INDEX(Circuits!K:K,SUMPRODUCT(EXACT($AE172,Circuits!$A:$A)*ROW(Circuits!$A:$A))))</f>
        <v>-</v>
      </c>
      <c r="M172" s="183" t="str">
        <f t="array" ref="M172">IF(ISBLANK($AE172), "-",INDEX(Circuits!L:L,SUMPRODUCT(EXACT($AE172,Circuits!$A:$A)*ROW(Circuits!$A:$A))))</f>
        <v>-</v>
      </c>
      <c r="N172" s="183" t="str">
        <f t="array" ref="N172">IF(ISBLANK($AE172), "-",INDEX(Circuits!M:M,SUMPRODUCT(EXACT($AE172,Circuits!$A:$A)*ROW(Circuits!$A:$A))))</f>
        <v>-</v>
      </c>
      <c r="O172" s="183" t="str">
        <f t="array" ref="O172">IF(ISBLANK($AE172), "-",INDEX(Circuits!N:N,SUMPRODUCT(EXACT($AE172,Circuits!$A:$A)*ROW(Circuits!$A:$A))))</f>
        <v>-</v>
      </c>
      <c r="P172" s="183" t="str">
        <f t="array" ref="P172">IF(ISBLANK($AE172), "-",INDEX(Circuits!O:O,SUMPRODUCT(EXACT($AE172,Circuits!$A:$A)*ROW(Circuits!$A:$A))))</f>
        <v>-</v>
      </c>
      <c r="Q172" s="183" t="str">
        <f t="array" ref="Q172">IF(ISBLANK($AE172), "-",INDEX(Circuits!P:P,SUMPRODUCT(EXACT($AE172,Circuits!$A:$A)*ROW(Circuits!$A:$A))))</f>
        <v>-</v>
      </c>
      <c r="R172" s="183" t="str">
        <f t="array" ref="R172">IF(ISBLANK($AE172), "-",INDEX(Circuits!Q:Q,SUMPRODUCT(EXACT($AE172,Circuits!$A:$A)*ROW(Circuits!$A:$A))))</f>
        <v>-</v>
      </c>
      <c r="S172" s="183" t="str">
        <f t="array" ref="S172">IF(ISBLANK($AE172), "-",INDEX(Circuits!R:R,SUMPRODUCT(EXACT($AE172,Circuits!$A:$A)*ROW(Circuits!$A:$A))))</f>
        <v>-</v>
      </c>
      <c r="T172" s="183" t="str">
        <f t="array" ref="T172">IF(ISBLANK($AE172), "-",INDEX(Circuits!S:S,SUMPRODUCT(EXACT($AE172,Circuits!$A:$A)*ROW(Circuits!$A:$A))))</f>
        <v>-</v>
      </c>
      <c r="U172" s="183" t="str">
        <f t="array" ref="U172">IF(ISBLANK($AE172), "-",INDEX(Circuits!T:T,SUMPRODUCT(EXACT($AE172,Circuits!$A:$A)*ROW(Circuits!$A:$A))))</f>
        <v>-</v>
      </c>
      <c r="V172" s="183" t="str">
        <f t="array" ref="V172">IF(ISBLANK($AE172), "-",INDEX(Circuits!U:U,SUMPRODUCT(EXACT($AE172,Circuits!$A:$A)*ROW(Circuits!$A:$A))))</f>
        <v>-</v>
      </c>
      <c r="W172" s="183" t="str">
        <f t="array" ref="W172">IF(ISBLANK($AE172), "-",INDEX(Circuits!V:V,SUMPRODUCT(EXACT($AE172,Circuits!$A:$A)*ROW(Circuits!$A:$A))))</f>
        <v>-</v>
      </c>
      <c r="X172" s="183" t="str">
        <f t="array" ref="X172">IF(ISBLANK($AE172), "-",INDEX(Circuits!W:W,SUMPRODUCT(EXACT($AE172,Circuits!$A:$A)*ROW(Circuits!$A:$A))))</f>
        <v>-</v>
      </c>
      <c r="Y172" s="183" t="str">
        <f t="array" ref="Y172">IF(ISBLANK($AE172), "-",INDEX(Circuits!X:X,SUMPRODUCT(EXACT($AE172,Circuits!$A:$A)*ROW(Circuits!$A:$A))))</f>
        <v>-</v>
      </c>
      <c r="Z172" s="108" t="str">
        <f>IFERROR(__xludf.DUMMYFUNCTION("IFNA(CONCATENATE(UNIQUE(FILTER(Connections!R:R,Connections!A:A=B172))),""-"")"),"-")</f>
        <v>-</v>
      </c>
      <c r="AA172" s="119" t="str">
        <f t="array" ref="AA172">IF(ISBLANK($AE172), "-",INDEX(Circuits!Y:Y,SUMPRODUCT(EXACT($AE172,Circuits!$A:$A)*ROW(Circuits!$A:$A))))</f>
        <v>-</v>
      </c>
      <c r="AB172" s="121" t="str">
        <f t="array" ref="AB172">IF(ISBLANK($AE172), "-",INDEX(Circuits!Z:Z,SUMPRODUCT(EXACT($AE172,Circuits!$A:$A)*ROW(Circuits!$A:$A))))</f>
        <v>-</v>
      </c>
      <c r="AC172" s="194"/>
      <c r="AD172" s="194"/>
      <c r="AE172" s="40"/>
      <c r="AF172" s="43"/>
      <c r="AG172" s="126" t="str">
        <f>IFERROR(__xludf.DUMMYFUNCTION("IF(ISBLANK(AF172), """", TEXTJOIN(CHAR(10),TRUE,ARRAYFORMULA(IF(ISERROR(SEARCH(SPLIT(AF172, "";""), $Z172)), ""x"", ""-""))))"),"")</f>
        <v/>
      </c>
      <c r="AH172" s="127" t="str">
        <f>IFERROR(__xludf.DUMMYFUNCTION("IF(ISBLANK(AK172), """", TEXTJOIN("";"" &amp; CHAR(10), TRUE, UNIQUE(SPLIT(AK172, "";"" &amp; CHAR(10)), TRUE))&amp;"";"")"),"")</f>
        <v/>
      </c>
      <c r="AI172" s="128" t="str">
        <f>IFERROR(__xludf.DUMMYFUNCTION("IF(ISBLANK(AD172), IF(ISBLANK(AE172),,IFNA(TEXTJOIN("";"" &amp; CHAR(10), TRUE, FILTER(AE:AE, SEARCH(AE172&amp;"";"", AJ:AJ)))&amp;"";"", """")), TEXTJOIN("";"" &amp; CHAR(10), TRUE, UNIQUE(SPLIT(AH172 &amp; "";"" &amp; AH172 &amp; "";"" &amp; AL172, "";"" &amp; CHAR(10)), TRUE, TRUE))&amp;"";"&amp;""")"),"")</f>
        <v/>
      </c>
      <c r="AJ172" s="126" t="str">
        <f>IFERROR(__xludf.DUMMYFUNCTION("IF(AN172="""", """", TEXTJOIN("";"" &amp; CHAR(10), TRUE, UNIQUE(SPLIT(AH172 &amp; "";"" &amp; AH172 &amp; "";"" &amp; AN172, "";"" &amp; CHAR(10)), TRUE, TRUE))&amp;"";"")"),"")</f>
        <v/>
      </c>
      <c r="AK172" s="129" t="str">
        <f>IFERROR(__xludf.DUMMYFUNCTION("IF(ISBLANK(AD172), IF(ISBLANK(AE172),,AE172 &amp; "";""), TEXTJOIN(CHAR(10), TRUE, ARRAYFORMULA(VLOOKUP(SPLIT(AD172, "";"" &amp; CHAR(10)), $AC:$AH, 6, FALSE))))"),"")</f>
        <v/>
      </c>
      <c r="AL172" s="130" t="str">
        <f>IFERROR(__xludf.DUMMYFUNCTION("IF(AM172="""", """", TEXTJOIN("";"" &amp; CHAR(10), TRUE, UNIQUE(SPLIT(AM172, "";"" &amp; CHAR(10)), TRUE))&amp;"";"")"),"")</f>
        <v/>
      </c>
      <c r="AM172" s="130" t="str">
        <f>IFERROR(__xludf.DUMMYFUNCTION("IF(ISBLANK(AD172), """", TEXTJOIN(CHAR(10), TRUE, ARRAYFORMULA(VLOOKUP(SPLIT(AH172, "";"" &amp; CHAR(10)), $AE:$AI, 5, FALSE)), AF172))"),"")</f>
        <v/>
      </c>
      <c r="AN172" s="132" t="str">
        <f>IFERROR(__xludf.DUMMYFUNCTION("IF(ISBLANK(AO172), """", TEXTJOIN("";"" &amp; CHAR(10), TRUE, UNIQUE(SPLIT(AO172, "";"" &amp; CHAR(10)), TRUE))&amp;"";"")"),"")</f>
        <v/>
      </c>
      <c r="AO172" s="134" t="str">
        <f>IFERROR(__xludf.DUMMYFUNCTION("IF(ISBLANK(AD172), AF172, TEXTJOIN(CHAR(10), TRUE, ARRAYFORMULA(VLOOKUP(SPLIT(AD172, "";"" &amp; CHAR(10)), $AC:$AN, 12, FALSE))))"),"")</f>
        <v/>
      </c>
      <c r="AP172" s="130" t="str">
        <f>IF(ISBLANK(AE172),,IF(IFERROR(SEARCH(AE172&amp;";",Circuits!$AO$2),0),TRUE,FALSE))</f>
        <v/>
      </c>
      <c r="AQ172" s="130" t="str">
        <f t="shared" si="2"/>
        <v/>
      </c>
      <c r="AR172" s="130" t="str">
        <f t="shared" si="3"/>
        <v/>
      </c>
      <c r="AS172" s="136" t="str">
        <f>IFERROR(__xludf.DUMMYFUNCTION("IF(AH172="""",,SUM(ARRAYFORMULA(IF(IFERROR(SEARCH(SPLIT(AH172,CHAR(10)),Circuits!$AO$2),0)&gt;0,0,1))))"),"")</f>
        <v/>
      </c>
      <c r="AT172" s="138" t="str">
        <f t="shared" si="4"/>
        <v/>
      </c>
      <c r="AU172" s="138" t="str">
        <f t="shared" si="5"/>
        <v/>
      </c>
      <c r="AV172" s="130" t="str">
        <f>IFERROR(__xludf.DUMMYFUNCTION("IF(AI172="""",,TEXTJOIN("", "",TRUE,ARRAYFORMULA(VLOOKUP(SPLIT(AI172,"";""&amp;CHAR(10)),AE:AT,16,FALSE))))"),"")</f>
        <v/>
      </c>
      <c r="AW172" s="130" t="str">
        <f>IFERROR(__xludf.DUMMYFUNCTION("IF(ISBLANK(BK172),,TEXTJOIN("", "",TRUE,ARRAYFORMULA(VLOOKUP(IFERROR(REGEXEXTRACT(SPLIT(BK172,"";""&amp;CHAR(10)),""\[(.+)\]"")),AE:AT,16,false))))"),"")</f>
        <v/>
      </c>
      <c r="AX172" s="139" t="str">
        <f t="shared" si="6"/>
        <v/>
      </c>
      <c r="AY172" s="139" t="str">
        <f t="shared" si="7"/>
        <v/>
      </c>
      <c r="AZ172" s="106" t="str">
        <f>IFERROR(__xludf.DUMMYFUNCTION("IF(ISBLANK(AD172), BC172, TEXTJOIN(CHAR(10) &amp; CHAR(10), TRUE, ARRAYFORMULA(VLOOKUP(SPLIT(AD172, "";"" &amp; CHAR(10)), $AC:$AY, 23, FALSE))))"),"")</f>
        <v/>
      </c>
      <c r="BA172" s="140" t="s">
        <v>66</v>
      </c>
      <c r="BB172" s="190"/>
      <c r="BC172" s="196"/>
      <c r="BD172" s="106" t="str">
        <f>IFERROR(__xludf.DUMMYFUNCTION("IF(IFERROR(SEARCH(""&lt;&lt;mechanism to realize the capability&gt;&gt;"",BA172),0)=0,
 ""!! Error !! “Capability&amp;Mechanism” column: Invalid Separator:"" &amp; CHAR(10) &amp; ""Insert separator “&lt;&lt;mechanism to realize the capability&gt;&gt;.”"",
 IF(
  LEN(TRIM(CLEAN(
    INDEX(
 "&amp;"     SPLIT(BA172,""&lt;&lt;mechanism to realize the capability&gt;&gt;"",FALSE,FALSE),
      1
    )
  )))=0,
  ""!! Error !! “Capability&amp;Mechanism” column: No Capability:""  &amp; CHAR(10) &amp; ""Describe Capability before separator."",
  INDEX(
    SPLIT(BA172,""&lt;&lt;mechani"&amp;"sm to realize the capability&gt;&gt;"",FALSE,FALSE),
    1
  )
 )
)
"),"!! Error !! “Capability&amp;Mechanism” column: No Capability:
Describe Capability before separator.")</f>
        <v>!! Error !! “Capability&amp;Mechanism” column: No Capability:
Describe Capability before separator.</v>
      </c>
      <c r="BE172" s="190"/>
      <c r="BF172" s="195"/>
      <c r="BG172" s="42"/>
      <c r="BH172" s="190"/>
      <c r="BI172" s="196"/>
      <c r="BJ172" s="42"/>
      <c r="BK172" s="42"/>
      <c r="BL172" s="203"/>
      <c r="BM172" s="203"/>
      <c r="BN172" s="42"/>
      <c r="BO172" s="42"/>
      <c r="BP172" s="143"/>
      <c r="BQ172" s="143"/>
      <c r="BR172" s="192"/>
      <c r="BS172" s="192"/>
      <c r="BT172" s="192"/>
      <c r="BU172" s="192"/>
      <c r="BV172" s="192"/>
      <c r="BW172" s="192"/>
      <c r="BX172" s="146" t="str">
        <f t="shared" si="8"/>
        <v/>
      </c>
    </row>
    <row r="173">
      <c r="A173" s="106" t="str">
        <f t="shared" si="1"/>
        <v/>
      </c>
      <c r="B173" s="183" t="str">
        <f t="array" ref="B173">IF(ISBLANK($AE173), "-",INDEX(Circuits!A:A,SUMPRODUCT(EXACT($AE173,Circuits!$A:$A)*ROW(Circuits!$A:$A))))</f>
        <v>-</v>
      </c>
      <c r="C173" s="183" t="str">
        <f t="array" ref="C173">IF(ISBLANK($AE173), "-",INDEX(Circuits!B:B,SUMPRODUCT(EXACT($AE173,Circuits!$A:$A)*ROW(Circuits!$A:$A))))</f>
        <v>-</v>
      </c>
      <c r="D173" s="183" t="str">
        <f t="array" ref="D173">IF(ISBLANK($AE173), "-",INDEX(Circuits!C:C,SUMPRODUCT(EXACT($AE173,Circuits!$A:$A)*ROW(Circuits!$A:$A))))</f>
        <v>-</v>
      </c>
      <c r="E173" s="183" t="str">
        <f t="array" ref="E173">IF(ISBLANK($AE173), "-",INDEX(Circuits!D:D,SUMPRODUCT(EXACT($AE173,Circuits!$A:$A)*ROW(Circuits!$A:$A))))</f>
        <v>-</v>
      </c>
      <c r="F173" s="183" t="str">
        <f t="array" ref="F173">IF(ISBLANK($AE173), "-",INDEX(Circuits!E:E,SUMPRODUCT(EXACT($AE173,Circuits!$A:$A)*ROW(Circuits!$A:$A))))</f>
        <v>-</v>
      </c>
      <c r="G173" s="183" t="str">
        <f t="array" ref="G173">IF(ISBLANK($AE173), "-",INDEX(Circuits!F:F,SUMPRODUCT(EXACT($AE173,Circuits!$A:$A)*ROW(Circuits!$A:$A))))</f>
        <v>-</v>
      </c>
      <c r="H173" s="183" t="str">
        <f t="array" ref="H173">IF(ISBLANK($AE173), "-",INDEX(Circuits!G:G,SUMPRODUCT(EXACT($AE173,Circuits!$A:$A)*ROW(Circuits!$A:$A))))</f>
        <v>-</v>
      </c>
      <c r="I173" s="183" t="str">
        <f t="array" ref="I173">IF(ISBLANK($AE173), "-",INDEX(Circuits!H:H,SUMPRODUCT(EXACT($AE173,Circuits!$A:$A)*ROW(Circuits!$A:$A))))</f>
        <v>-</v>
      </c>
      <c r="J173" s="183" t="str">
        <f t="array" ref="J173">IF(ISBLANK($AE173), "-",INDEX(Circuits!I:I,SUMPRODUCT(EXACT($AE173,Circuits!$A:$A)*ROW(Circuits!$A:$A))))</f>
        <v>-</v>
      </c>
      <c r="K173" s="183" t="str">
        <f t="array" ref="K173">IF(ISBLANK($AE173), "-",INDEX(Circuits!J:J,SUMPRODUCT(EXACT($AE173,Circuits!$A:$A)*ROW(Circuits!$A:$A))))</f>
        <v>-</v>
      </c>
      <c r="L173" s="183" t="str">
        <f t="array" ref="L173">IF(ISBLANK($AE173), "-",INDEX(Circuits!K:K,SUMPRODUCT(EXACT($AE173,Circuits!$A:$A)*ROW(Circuits!$A:$A))))</f>
        <v>-</v>
      </c>
      <c r="M173" s="183" t="str">
        <f t="array" ref="M173">IF(ISBLANK($AE173), "-",INDEX(Circuits!L:L,SUMPRODUCT(EXACT($AE173,Circuits!$A:$A)*ROW(Circuits!$A:$A))))</f>
        <v>-</v>
      </c>
      <c r="N173" s="183" t="str">
        <f t="array" ref="N173">IF(ISBLANK($AE173), "-",INDEX(Circuits!M:M,SUMPRODUCT(EXACT($AE173,Circuits!$A:$A)*ROW(Circuits!$A:$A))))</f>
        <v>-</v>
      </c>
      <c r="O173" s="183" t="str">
        <f t="array" ref="O173">IF(ISBLANK($AE173), "-",INDEX(Circuits!N:N,SUMPRODUCT(EXACT($AE173,Circuits!$A:$A)*ROW(Circuits!$A:$A))))</f>
        <v>-</v>
      </c>
      <c r="P173" s="183" t="str">
        <f t="array" ref="P173">IF(ISBLANK($AE173), "-",INDEX(Circuits!O:O,SUMPRODUCT(EXACT($AE173,Circuits!$A:$A)*ROW(Circuits!$A:$A))))</f>
        <v>-</v>
      </c>
      <c r="Q173" s="183" t="str">
        <f t="array" ref="Q173">IF(ISBLANK($AE173), "-",INDEX(Circuits!P:P,SUMPRODUCT(EXACT($AE173,Circuits!$A:$A)*ROW(Circuits!$A:$A))))</f>
        <v>-</v>
      </c>
      <c r="R173" s="183" t="str">
        <f t="array" ref="R173">IF(ISBLANK($AE173), "-",INDEX(Circuits!Q:Q,SUMPRODUCT(EXACT($AE173,Circuits!$A:$A)*ROW(Circuits!$A:$A))))</f>
        <v>-</v>
      </c>
      <c r="S173" s="183" t="str">
        <f t="array" ref="S173">IF(ISBLANK($AE173), "-",INDEX(Circuits!R:R,SUMPRODUCT(EXACT($AE173,Circuits!$A:$A)*ROW(Circuits!$A:$A))))</f>
        <v>-</v>
      </c>
      <c r="T173" s="183" t="str">
        <f t="array" ref="T173">IF(ISBLANK($AE173), "-",INDEX(Circuits!S:S,SUMPRODUCT(EXACT($AE173,Circuits!$A:$A)*ROW(Circuits!$A:$A))))</f>
        <v>-</v>
      </c>
      <c r="U173" s="183" t="str">
        <f t="array" ref="U173">IF(ISBLANK($AE173), "-",INDEX(Circuits!T:T,SUMPRODUCT(EXACT($AE173,Circuits!$A:$A)*ROW(Circuits!$A:$A))))</f>
        <v>-</v>
      </c>
      <c r="V173" s="183" t="str">
        <f t="array" ref="V173">IF(ISBLANK($AE173), "-",INDEX(Circuits!U:U,SUMPRODUCT(EXACT($AE173,Circuits!$A:$A)*ROW(Circuits!$A:$A))))</f>
        <v>-</v>
      </c>
      <c r="W173" s="183" t="str">
        <f t="array" ref="W173">IF(ISBLANK($AE173), "-",INDEX(Circuits!V:V,SUMPRODUCT(EXACT($AE173,Circuits!$A:$A)*ROW(Circuits!$A:$A))))</f>
        <v>-</v>
      </c>
      <c r="X173" s="183" t="str">
        <f t="array" ref="X173">IF(ISBLANK($AE173), "-",INDEX(Circuits!W:W,SUMPRODUCT(EXACT($AE173,Circuits!$A:$A)*ROW(Circuits!$A:$A))))</f>
        <v>-</v>
      </c>
      <c r="Y173" s="183" t="str">
        <f t="array" ref="Y173">IF(ISBLANK($AE173), "-",INDEX(Circuits!X:X,SUMPRODUCT(EXACT($AE173,Circuits!$A:$A)*ROW(Circuits!$A:$A))))</f>
        <v>-</v>
      </c>
      <c r="Z173" s="108" t="str">
        <f>IFERROR(__xludf.DUMMYFUNCTION("IFNA(CONCATENATE(UNIQUE(FILTER(Connections!R:R,Connections!A:A=B173))),""-"")"),"-")</f>
        <v>-</v>
      </c>
      <c r="AA173" s="119" t="str">
        <f t="array" ref="AA173">IF(ISBLANK($AE173), "-",INDEX(Circuits!Y:Y,SUMPRODUCT(EXACT($AE173,Circuits!$A:$A)*ROW(Circuits!$A:$A))))</f>
        <v>-</v>
      </c>
      <c r="AB173" s="121" t="str">
        <f t="array" ref="AB173">IF(ISBLANK($AE173), "-",INDEX(Circuits!Z:Z,SUMPRODUCT(EXACT($AE173,Circuits!$A:$A)*ROW(Circuits!$A:$A))))</f>
        <v>-</v>
      </c>
      <c r="AC173" s="194"/>
      <c r="AD173" s="194"/>
      <c r="AE173" s="40"/>
      <c r="AF173" s="43"/>
      <c r="AG173" s="126" t="str">
        <f>IFERROR(__xludf.DUMMYFUNCTION("IF(ISBLANK(AF173), """", TEXTJOIN(CHAR(10),TRUE,ARRAYFORMULA(IF(ISERROR(SEARCH(SPLIT(AF173, "";""), $Z173)), ""x"", ""-""))))"),"")</f>
        <v/>
      </c>
      <c r="AH173" s="127" t="str">
        <f>IFERROR(__xludf.DUMMYFUNCTION("IF(ISBLANK(AK173), """", TEXTJOIN("";"" &amp; CHAR(10), TRUE, UNIQUE(SPLIT(AK173, "";"" &amp; CHAR(10)), TRUE))&amp;"";"")"),"")</f>
        <v/>
      </c>
      <c r="AI173" s="128" t="str">
        <f>IFERROR(__xludf.DUMMYFUNCTION("IF(ISBLANK(AD173), IF(ISBLANK(AE173),,IFNA(TEXTJOIN("";"" &amp; CHAR(10), TRUE, FILTER(AE:AE, SEARCH(AE173&amp;"";"", AJ:AJ)))&amp;"";"", """")), TEXTJOIN("";"" &amp; CHAR(10), TRUE, UNIQUE(SPLIT(AH173 &amp; "";"" &amp; AH173 &amp; "";"" &amp; AL173, "";"" &amp; CHAR(10)), TRUE, TRUE))&amp;"";"&amp;""")"),"")</f>
        <v/>
      </c>
      <c r="AJ173" s="126" t="str">
        <f>IFERROR(__xludf.DUMMYFUNCTION("IF(AN173="""", """", TEXTJOIN("";"" &amp; CHAR(10), TRUE, UNIQUE(SPLIT(AH173 &amp; "";"" &amp; AH173 &amp; "";"" &amp; AN173, "";"" &amp; CHAR(10)), TRUE, TRUE))&amp;"";"")"),"")</f>
        <v/>
      </c>
      <c r="AK173" s="129" t="str">
        <f>IFERROR(__xludf.DUMMYFUNCTION("IF(ISBLANK(AD173), IF(ISBLANK(AE173),,AE173 &amp; "";""), TEXTJOIN(CHAR(10), TRUE, ARRAYFORMULA(VLOOKUP(SPLIT(AD173, "";"" &amp; CHAR(10)), $AC:$AH, 6, FALSE))))"),"")</f>
        <v/>
      </c>
      <c r="AL173" s="130" t="str">
        <f>IFERROR(__xludf.DUMMYFUNCTION("IF(AM173="""", """", TEXTJOIN("";"" &amp; CHAR(10), TRUE, UNIQUE(SPLIT(AM173, "";"" &amp; CHAR(10)), TRUE))&amp;"";"")"),"")</f>
        <v/>
      </c>
      <c r="AM173" s="130" t="str">
        <f>IFERROR(__xludf.DUMMYFUNCTION("IF(ISBLANK(AD173), """", TEXTJOIN(CHAR(10), TRUE, ARRAYFORMULA(VLOOKUP(SPLIT(AH173, "";"" &amp; CHAR(10)), $AE:$AI, 5, FALSE)), AF173))"),"")</f>
        <v/>
      </c>
      <c r="AN173" s="132" t="str">
        <f>IFERROR(__xludf.DUMMYFUNCTION("IF(ISBLANK(AO173), """", TEXTJOIN("";"" &amp; CHAR(10), TRUE, UNIQUE(SPLIT(AO173, "";"" &amp; CHAR(10)), TRUE))&amp;"";"")"),"")</f>
        <v/>
      </c>
      <c r="AO173" s="134" t="str">
        <f>IFERROR(__xludf.DUMMYFUNCTION("IF(ISBLANK(AD173), AF173, TEXTJOIN(CHAR(10), TRUE, ARRAYFORMULA(VLOOKUP(SPLIT(AD173, "";"" &amp; CHAR(10)), $AC:$AN, 12, FALSE))))"),"")</f>
        <v/>
      </c>
      <c r="AP173" s="130" t="str">
        <f>IF(ISBLANK(AE173),,IF(IFERROR(SEARCH(AE173&amp;";",Circuits!$AO$2),0),TRUE,FALSE))</f>
        <v/>
      </c>
      <c r="AQ173" s="130" t="str">
        <f t="shared" si="2"/>
        <v/>
      </c>
      <c r="AR173" s="130" t="str">
        <f t="shared" si="3"/>
        <v/>
      </c>
      <c r="AS173" s="136" t="str">
        <f>IFERROR(__xludf.DUMMYFUNCTION("IF(AH173="""",,SUM(ARRAYFORMULA(IF(IFERROR(SEARCH(SPLIT(AH173,CHAR(10)),Circuits!$AO$2),0)&gt;0,0,1))))"),"")</f>
        <v/>
      </c>
      <c r="AT173" s="138" t="str">
        <f t="shared" si="4"/>
        <v/>
      </c>
      <c r="AU173" s="138" t="str">
        <f t="shared" si="5"/>
        <v/>
      </c>
      <c r="AV173" s="130" t="str">
        <f>IFERROR(__xludf.DUMMYFUNCTION("IF(AI173="""",,TEXTJOIN("", "",TRUE,ARRAYFORMULA(VLOOKUP(SPLIT(AI173,"";""&amp;CHAR(10)),AE:AT,16,FALSE))))"),"")</f>
        <v/>
      </c>
      <c r="AW173" s="130" t="str">
        <f>IFERROR(__xludf.DUMMYFUNCTION("IF(ISBLANK(BK173),,TEXTJOIN("", "",TRUE,ARRAYFORMULA(VLOOKUP(IFERROR(REGEXEXTRACT(SPLIT(BK173,"";""&amp;CHAR(10)),""\[(.+)\]"")),AE:AT,16,false))))"),"")</f>
        <v/>
      </c>
      <c r="AX173" s="139" t="str">
        <f t="shared" si="6"/>
        <v/>
      </c>
      <c r="AY173" s="139" t="str">
        <f t="shared" si="7"/>
        <v/>
      </c>
      <c r="AZ173" s="106" t="str">
        <f>IFERROR(__xludf.DUMMYFUNCTION("IF(ISBLANK(AD173), BC173, TEXTJOIN(CHAR(10) &amp; CHAR(10), TRUE, ARRAYFORMULA(VLOOKUP(SPLIT(AD173, "";"" &amp; CHAR(10)), $AC:$AY, 23, FALSE))))"),"")</f>
        <v/>
      </c>
      <c r="BA173" s="140" t="s">
        <v>66</v>
      </c>
      <c r="BB173" s="190"/>
      <c r="BC173" s="196"/>
      <c r="BD173" s="106" t="str">
        <f>IFERROR(__xludf.DUMMYFUNCTION("IF(IFERROR(SEARCH(""&lt;&lt;mechanism to realize the capability&gt;&gt;"",BA173),0)=0,
 ""!! Error !! “Capability&amp;Mechanism” column: Invalid Separator:"" &amp; CHAR(10) &amp; ""Insert separator “&lt;&lt;mechanism to realize the capability&gt;&gt;.”"",
 IF(
  LEN(TRIM(CLEAN(
    INDEX(
 "&amp;"     SPLIT(BA173,""&lt;&lt;mechanism to realize the capability&gt;&gt;"",FALSE,FALSE),
      1
    )
  )))=0,
  ""!! Error !! “Capability&amp;Mechanism” column: No Capability:""  &amp; CHAR(10) &amp; ""Describe Capability before separator."",
  INDEX(
    SPLIT(BA173,""&lt;&lt;mechani"&amp;"sm to realize the capability&gt;&gt;"",FALSE,FALSE),
    1
  )
 )
)
"),"!! Error !! “Capability&amp;Mechanism” column: No Capability:
Describe Capability before separator.")</f>
        <v>!! Error !! “Capability&amp;Mechanism” column: No Capability:
Describe Capability before separator.</v>
      </c>
      <c r="BE173" s="190"/>
      <c r="BF173" s="195"/>
      <c r="BG173" s="42"/>
      <c r="BH173" s="190"/>
      <c r="BI173" s="196"/>
      <c r="BJ173" s="42"/>
      <c r="BK173" s="42"/>
      <c r="BL173" s="203"/>
      <c r="BM173" s="203"/>
      <c r="BN173" s="42"/>
      <c r="BO173" s="42"/>
      <c r="BP173" s="143"/>
      <c r="BQ173" s="143"/>
      <c r="BR173" s="192"/>
      <c r="BS173" s="192"/>
      <c r="BT173" s="192"/>
      <c r="BU173" s="192"/>
      <c r="BV173" s="192"/>
      <c r="BW173" s="192"/>
      <c r="BX173" s="146" t="str">
        <f t="shared" si="8"/>
        <v/>
      </c>
    </row>
    <row r="174">
      <c r="A174" s="106" t="str">
        <f t="shared" si="1"/>
        <v/>
      </c>
      <c r="B174" s="183" t="str">
        <f t="array" ref="B174">IF(ISBLANK($AE174), "-",INDEX(Circuits!A:A,SUMPRODUCT(EXACT($AE174,Circuits!$A:$A)*ROW(Circuits!$A:$A))))</f>
        <v>-</v>
      </c>
      <c r="C174" s="183" t="str">
        <f t="array" ref="C174">IF(ISBLANK($AE174), "-",INDEX(Circuits!B:B,SUMPRODUCT(EXACT($AE174,Circuits!$A:$A)*ROW(Circuits!$A:$A))))</f>
        <v>-</v>
      </c>
      <c r="D174" s="183" t="str">
        <f t="array" ref="D174">IF(ISBLANK($AE174), "-",INDEX(Circuits!C:C,SUMPRODUCT(EXACT($AE174,Circuits!$A:$A)*ROW(Circuits!$A:$A))))</f>
        <v>-</v>
      </c>
      <c r="E174" s="183" t="str">
        <f t="array" ref="E174">IF(ISBLANK($AE174), "-",INDEX(Circuits!D:D,SUMPRODUCT(EXACT($AE174,Circuits!$A:$A)*ROW(Circuits!$A:$A))))</f>
        <v>-</v>
      </c>
      <c r="F174" s="183" t="str">
        <f t="array" ref="F174">IF(ISBLANK($AE174), "-",INDEX(Circuits!E:E,SUMPRODUCT(EXACT($AE174,Circuits!$A:$A)*ROW(Circuits!$A:$A))))</f>
        <v>-</v>
      </c>
      <c r="G174" s="183" t="str">
        <f t="array" ref="G174">IF(ISBLANK($AE174), "-",INDEX(Circuits!F:F,SUMPRODUCT(EXACT($AE174,Circuits!$A:$A)*ROW(Circuits!$A:$A))))</f>
        <v>-</v>
      </c>
      <c r="H174" s="183" t="str">
        <f t="array" ref="H174">IF(ISBLANK($AE174), "-",INDEX(Circuits!G:G,SUMPRODUCT(EXACT($AE174,Circuits!$A:$A)*ROW(Circuits!$A:$A))))</f>
        <v>-</v>
      </c>
      <c r="I174" s="183" t="str">
        <f t="array" ref="I174">IF(ISBLANK($AE174), "-",INDEX(Circuits!H:H,SUMPRODUCT(EXACT($AE174,Circuits!$A:$A)*ROW(Circuits!$A:$A))))</f>
        <v>-</v>
      </c>
      <c r="J174" s="183" t="str">
        <f t="array" ref="J174">IF(ISBLANK($AE174), "-",INDEX(Circuits!I:I,SUMPRODUCT(EXACT($AE174,Circuits!$A:$A)*ROW(Circuits!$A:$A))))</f>
        <v>-</v>
      </c>
      <c r="K174" s="183" t="str">
        <f t="array" ref="K174">IF(ISBLANK($AE174), "-",INDEX(Circuits!J:J,SUMPRODUCT(EXACT($AE174,Circuits!$A:$A)*ROW(Circuits!$A:$A))))</f>
        <v>-</v>
      </c>
      <c r="L174" s="183" t="str">
        <f t="array" ref="L174">IF(ISBLANK($AE174), "-",INDEX(Circuits!K:K,SUMPRODUCT(EXACT($AE174,Circuits!$A:$A)*ROW(Circuits!$A:$A))))</f>
        <v>-</v>
      </c>
      <c r="M174" s="183" t="str">
        <f t="array" ref="M174">IF(ISBLANK($AE174), "-",INDEX(Circuits!L:L,SUMPRODUCT(EXACT($AE174,Circuits!$A:$A)*ROW(Circuits!$A:$A))))</f>
        <v>-</v>
      </c>
      <c r="N174" s="183" t="str">
        <f t="array" ref="N174">IF(ISBLANK($AE174), "-",INDEX(Circuits!M:M,SUMPRODUCT(EXACT($AE174,Circuits!$A:$A)*ROW(Circuits!$A:$A))))</f>
        <v>-</v>
      </c>
      <c r="O174" s="183" t="str">
        <f t="array" ref="O174">IF(ISBLANK($AE174), "-",INDEX(Circuits!N:N,SUMPRODUCT(EXACT($AE174,Circuits!$A:$A)*ROW(Circuits!$A:$A))))</f>
        <v>-</v>
      </c>
      <c r="P174" s="183" t="str">
        <f t="array" ref="P174">IF(ISBLANK($AE174), "-",INDEX(Circuits!O:O,SUMPRODUCT(EXACT($AE174,Circuits!$A:$A)*ROW(Circuits!$A:$A))))</f>
        <v>-</v>
      </c>
      <c r="Q174" s="183" t="str">
        <f t="array" ref="Q174">IF(ISBLANK($AE174), "-",INDEX(Circuits!P:P,SUMPRODUCT(EXACT($AE174,Circuits!$A:$A)*ROW(Circuits!$A:$A))))</f>
        <v>-</v>
      </c>
      <c r="R174" s="183" t="str">
        <f t="array" ref="R174">IF(ISBLANK($AE174), "-",INDEX(Circuits!Q:Q,SUMPRODUCT(EXACT($AE174,Circuits!$A:$A)*ROW(Circuits!$A:$A))))</f>
        <v>-</v>
      </c>
      <c r="S174" s="183" t="str">
        <f t="array" ref="S174">IF(ISBLANK($AE174), "-",INDEX(Circuits!R:R,SUMPRODUCT(EXACT($AE174,Circuits!$A:$A)*ROW(Circuits!$A:$A))))</f>
        <v>-</v>
      </c>
      <c r="T174" s="183" t="str">
        <f t="array" ref="T174">IF(ISBLANK($AE174), "-",INDEX(Circuits!S:S,SUMPRODUCT(EXACT($AE174,Circuits!$A:$A)*ROW(Circuits!$A:$A))))</f>
        <v>-</v>
      </c>
      <c r="U174" s="183" t="str">
        <f t="array" ref="U174">IF(ISBLANK($AE174), "-",INDEX(Circuits!T:T,SUMPRODUCT(EXACT($AE174,Circuits!$A:$A)*ROW(Circuits!$A:$A))))</f>
        <v>-</v>
      </c>
      <c r="V174" s="183" t="str">
        <f t="array" ref="V174">IF(ISBLANK($AE174), "-",INDEX(Circuits!U:U,SUMPRODUCT(EXACT($AE174,Circuits!$A:$A)*ROW(Circuits!$A:$A))))</f>
        <v>-</v>
      </c>
      <c r="W174" s="183" t="str">
        <f t="array" ref="W174">IF(ISBLANK($AE174), "-",INDEX(Circuits!V:V,SUMPRODUCT(EXACT($AE174,Circuits!$A:$A)*ROW(Circuits!$A:$A))))</f>
        <v>-</v>
      </c>
      <c r="X174" s="183" t="str">
        <f t="array" ref="X174">IF(ISBLANK($AE174), "-",INDEX(Circuits!W:W,SUMPRODUCT(EXACT($AE174,Circuits!$A:$A)*ROW(Circuits!$A:$A))))</f>
        <v>-</v>
      </c>
      <c r="Y174" s="183" t="str">
        <f t="array" ref="Y174">IF(ISBLANK($AE174), "-",INDEX(Circuits!X:X,SUMPRODUCT(EXACT($AE174,Circuits!$A:$A)*ROW(Circuits!$A:$A))))</f>
        <v>-</v>
      </c>
      <c r="Z174" s="108" t="str">
        <f>IFERROR(__xludf.DUMMYFUNCTION("IFNA(CONCATENATE(UNIQUE(FILTER(Connections!R:R,Connections!A:A=B174))),""-"")"),"-")</f>
        <v>-</v>
      </c>
      <c r="AA174" s="119" t="str">
        <f t="array" ref="AA174">IF(ISBLANK($AE174), "-",INDEX(Circuits!Y:Y,SUMPRODUCT(EXACT($AE174,Circuits!$A:$A)*ROW(Circuits!$A:$A))))</f>
        <v>-</v>
      </c>
      <c r="AB174" s="121" t="str">
        <f t="array" ref="AB174">IF(ISBLANK($AE174), "-",INDEX(Circuits!Z:Z,SUMPRODUCT(EXACT($AE174,Circuits!$A:$A)*ROW(Circuits!$A:$A))))</f>
        <v>-</v>
      </c>
      <c r="AC174" s="194"/>
      <c r="AD174" s="194"/>
      <c r="AE174" s="40"/>
      <c r="AF174" s="43"/>
      <c r="AG174" s="126" t="str">
        <f>IFERROR(__xludf.DUMMYFUNCTION("IF(ISBLANK(AF174), """", TEXTJOIN(CHAR(10),TRUE,ARRAYFORMULA(IF(ISERROR(SEARCH(SPLIT(AF174, "";""), $Z174)), ""x"", ""-""))))"),"")</f>
        <v/>
      </c>
      <c r="AH174" s="127" t="str">
        <f>IFERROR(__xludf.DUMMYFUNCTION("IF(ISBLANK(AK174), """", TEXTJOIN("";"" &amp; CHAR(10), TRUE, UNIQUE(SPLIT(AK174, "";"" &amp; CHAR(10)), TRUE))&amp;"";"")"),"")</f>
        <v/>
      </c>
      <c r="AI174" s="128" t="str">
        <f>IFERROR(__xludf.DUMMYFUNCTION("IF(ISBLANK(AD174), IF(ISBLANK(AE174),,IFNA(TEXTJOIN("";"" &amp; CHAR(10), TRUE, FILTER(AE:AE, SEARCH(AE174&amp;"";"", AJ:AJ)))&amp;"";"", """")), TEXTJOIN("";"" &amp; CHAR(10), TRUE, UNIQUE(SPLIT(AH174 &amp; "";"" &amp; AH174 &amp; "";"" &amp; AL174, "";"" &amp; CHAR(10)), TRUE, TRUE))&amp;"";"&amp;""")"),"")</f>
        <v/>
      </c>
      <c r="AJ174" s="126" t="str">
        <f>IFERROR(__xludf.DUMMYFUNCTION("IF(AN174="""", """", TEXTJOIN("";"" &amp; CHAR(10), TRUE, UNIQUE(SPLIT(AH174 &amp; "";"" &amp; AH174 &amp; "";"" &amp; AN174, "";"" &amp; CHAR(10)), TRUE, TRUE))&amp;"";"")"),"")</f>
        <v/>
      </c>
      <c r="AK174" s="129" t="str">
        <f>IFERROR(__xludf.DUMMYFUNCTION("IF(ISBLANK(AD174), IF(ISBLANK(AE174),,AE174 &amp; "";""), TEXTJOIN(CHAR(10), TRUE, ARRAYFORMULA(VLOOKUP(SPLIT(AD174, "";"" &amp; CHAR(10)), $AC:$AH, 6, FALSE))))"),"")</f>
        <v/>
      </c>
      <c r="AL174" s="130" t="str">
        <f>IFERROR(__xludf.DUMMYFUNCTION("IF(AM174="""", """", TEXTJOIN("";"" &amp; CHAR(10), TRUE, UNIQUE(SPLIT(AM174, "";"" &amp; CHAR(10)), TRUE))&amp;"";"")"),"")</f>
        <v/>
      </c>
      <c r="AM174" s="130" t="str">
        <f>IFERROR(__xludf.DUMMYFUNCTION("IF(ISBLANK(AD174), """", TEXTJOIN(CHAR(10), TRUE, ARRAYFORMULA(VLOOKUP(SPLIT(AH174, "";"" &amp; CHAR(10)), $AE:$AI, 5, FALSE)), AF174))"),"")</f>
        <v/>
      </c>
      <c r="AN174" s="132" t="str">
        <f>IFERROR(__xludf.DUMMYFUNCTION("IF(ISBLANK(AO174), """", TEXTJOIN("";"" &amp; CHAR(10), TRUE, UNIQUE(SPLIT(AO174, "";"" &amp; CHAR(10)), TRUE))&amp;"";"")"),"")</f>
        <v/>
      </c>
      <c r="AO174" s="134" t="str">
        <f>IFERROR(__xludf.DUMMYFUNCTION("IF(ISBLANK(AD174), AF174, TEXTJOIN(CHAR(10), TRUE, ARRAYFORMULA(VLOOKUP(SPLIT(AD174, "";"" &amp; CHAR(10)), $AC:$AN, 12, FALSE))))"),"")</f>
        <v/>
      </c>
      <c r="AP174" s="130" t="str">
        <f>IF(ISBLANK(AE174),,IF(IFERROR(SEARCH(AE174&amp;";",Circuits!$AO$2),0),TRUE,FALSE))</f>
        <v/>
      </c>
      <c r="AQ174" s="130" t="str">
        <f t="shared" si="2"/>
        <v/>
      </c>
      <c r="AR174" s="130" t="str">
        <f t="shared" si="3"/>
        <v/>
      </c>
      <c r="AS174" s="136" t="str">
        <f>IFERROR(__xludf.DUMMYFUNCTION("IF(AH174="""",,SUM(ARRAYFORMULA(IF(IFERROR(SEARCH(SPLIT(AH174,CHAR(10)),Circuits!$AO$2),0)&gt;0,0,1))))"),"")</f>
        <v/>
      </c>
      <c r="AT174" s="138" t="str">
        <f t="shared" si="4"/>
        <v/>
      </c>
      <c r="AU174" s="138" t="str">
        <f t="shared" si="5"/>
        <v/>
      </c>
      <c r="AV174" s="130" t="str">
        <f>IFERROR(__xludf.DUMMYFUNCTION("IF(AI174="""",,TEXTJOIN("", "",TRUE,ARRAYFORMULA(VLOOKUP(SPLIT(AI174,"";""&amp;CHAR(10)),AE:AT,16,FALSE))))"),"")</f>
        <v/>
      </c>
      <c r="AW174" s="130" t="str">
        <f>IFERROR(__xludf.DUMMYFUNCTION("IF(ISBLANK(BK174),,TEXTJOIN("", "",TRUE,ARRAYFORMULA(VLOOKUP(IFERROR(REGEXEXTRACT(SPLIT(BK174,"";""&amp;CHAR(10)),""\[(.+)\]"")),AE:AT,16,false))))"),"")</f>
        <v/>
      </c>
      <c r="AX174" s="139" t="str">
        <f t="shared" si="6"/>
        <v/>
      </c>
      <c r="AY174" s="139" t="str">
        <f t="shared" si="7"/>
        <v/>
      </c>
      <c r="AZ174" s="106" t="str">
        <f>IFERROR(__xludf.DUMMYFUNCTION("IF(ISBLANK(AD174), BC174, TEXTJOIN(CHAR(10) &amp; CHAR(10), TRUE, ARRAYFORMULA(VLOOKUP(SPLIT(AD174, "";"" &amp; CHAR(10)), $AC:$AY, 23, FALSE))))"),"")</f>
        <v/>
      </c>
      <c r="BA174" s="140" t="s">
        <v>66</v>
      </c>
      <c r="BB174" s="190"/>
      <c r="BC174" s="196"/>
      <c r="BD174" s="106" t="str">
        <f>IFERROR(__xludf.DUMMYFUNCTION("IF(IFERROR(SEARCH(""&lt;&lt;mechanism to realize the capability&gt;&gt;"",BA174),0)=0,
 ""!! Error !! “Capability&amp;Mechanism” column: Invalid Separator:"" &amp; CHAR(10) &amp; ""Insert separator “&lt;&lt;mechanism to realize the capability&gt;&gt;.”"",
 IF(
  LEN(TRIM(CLEAN(
    INDEX(
 "&amp;"     SPLIT(BA174,""&lt;&lt;mechanism to realize the capability&gt;&gt;"",FALSE,FALSE),
      1
    )
  )))=0,
  ""!! Error !! “Capability&amp;Mechanism” column: No Capability:""  &amp; CHAR(10) &amp; ""Describe Capability before separator."",
  INDEX(
    SPLIT(BA174,""&lt;&lt;mechani"&amp;"sm to realize the capability&gt;&gt;"",FALSE,FALSE),
    1
  )
 )
)
"),"!! Error !! “Capability&amp;Mechanism” column: No Capability:
Describe Capability before separator.")</f>
        <v>!! Error !! “Capability&amp;Mechanism” column: No Capability:
Describe Capability before separator.</v>
      </c>
      <c r="BE174" s="190"/>
      <c r="BF174" s="195"/>
      <c r="BG174" s="42"/>
      <c r="BH174" s="190"/>
      <c r="BI174" s="196"/>
      <c r="BJ174" s="42"/>
      <c r="BK174" s="42"/>
      <c r="BL174" s="203"/>
      <c r="BM174" s="203"/>
      <c r="BN174" s="42"/>
      <c r="BO174" s="42"/>
      <c r="BP174" s="143"/>
      <c r="BQ174" s="143"/>
      <c r="BR174" s="192"/>
      <c r="BS174" s="192"/>
      <c r="BT174" s="192"/>
      <c r="BU174" s="192"/>
      <c r="BV174" s="192"/>
      <c r="BW174" s="192"/>
      <c r="BX174" s="146" t="str">
        <f t="shared" si="8"/>
        <v/>
      </c>
    </row>
    <row r="175">
      <c r="A175" s="106" t="str">
        <f t="shared" si="1"/>
        <v/>
      </c>
      <c r="B175" s="183" t="str">
        <f t="array" ref="B175">IF(ISBLANK($AE175), "-",INDEX(Circuits!A:A,SUMPRODUCT(EXACT($AE175,Circuits!$A:$A)*ROW(Circuits!$A:$A))))</f>
        <v>-</v>
      </c>
      <c r="C175" s="183" t="str">
        <f t="array" ref="C175">IF(ISBLANK($AE175), "-",INDEX(Circuits!B:B,SUMPRODUCT(EXACT($AE175,Circuits!$A:$A)*ROW(Circuits!$A:$A))))</f>
        <v>-</v>
      </c>
      <c r="D175" s="183" t="str">
        <f t="array" ref="D175">IF(ISBLANK($AE175), "-",INDEX(Circuits!C:C,SUMPRODUCT(EXACT($AE175,Circuits!$A:$A)*ROW(Circuits!$A:$A))))</f>
        <v>-</v>
      </c>
      <c r="E175" s="183" t="str">
        <f t="array" ref="E175">IF(ISBLANK($AE175), "-",INDEX(Circuits!D:D,SUMPRODUCT(EXACT($AE175,Circuits!$A:$A)*ROW(Circuits!$A:$A))))</f>
        <v>-</v>
      </c>
      <c r="F175" s="183" t="str">
        <f t="array" ref="F175">IF(ISBLANK($AE175), "-",INDEX(Circuits!E:E,SUMPRODUCT(EXACT($AE175,Circuits!$A:$A)*ROW(Circuits!$A:$A))))</f>
        <v>-</v>
      </c>
      <c r="G175" s="183" t="str">
        <f t="array" ref="G175">IF(ISBLANK($AE175), "-",INDEX(Circuits!F:F,SUMPRODUCT(EXACT($AE175,Circuits!$A:$A)*ROW(Circuits!$A:$A))))</f>
        <v>-</v>
      </c>
      <c r="H175" s="183" t="str">
        <f t="array" ref="H175">IF(ISBLANK($AE175), "-",INDEX(Circuits!G:G,SUMPRODUCT(EXACT($AE175,Circuits!$A:$A)*ROW(Circuits!$A:$A))))</f>
        <v>-</v>
      </c>
      <c r="I175" s="183" t="str">
        <f t="array" ref="I175">IF(ISBLANK($AE175), "-",INDEX(Circuits!H:H,SUMPRODUCT(EXACT($AE175,Circuits!$A:$A)*ROW(Circuits!$A:$A))))</f>
        <v>-</v>
      </c>
      <c r="J175" s="183" t="str">
        <f t="array" ref="J175">IF(ISBLANK($AE175), "-",INDEX(Circuits!I:I,SUMPRODUCT(EXACT($AE175,Circuits!$A:$A)*ROW(Circuits!$A:$A))))</f>
        <v>-</v>
      </c>
      <c r="K175" s="183" t="str">
        <f t="array" ref="K175">IF(ISBLANK($AE175), "-",INDEX(Circuits!J:J,SUMPRODUCT(EXACT($AE175,Circuits!$A:$A)*ROW(Circuits!$A:$A))))</f>
        <v>-</v>
      </c>
      <c r="L175" s="183" t="str">
        <f t="array" ref="L175">IF(ISBLANK($AE175), "-",INDEX(Circuits!K:K,SUMPRODUCT(EXACT($AE175,Circuits!$A:$A)*ROW(Circuits!$A:$A))))</f>
        <v>-</v>
      </c>
      <c r="M175" s="183" t="str">
        <f t="array" ref="M175">IF(ISBLANK($AE175), "-",INDEX(Circuits!L:L,SUMPRODUCT(EXACT($AE175,Circuits!$A:$A)*ROW(Circuits!$A:$A))))</f>
        <v>-</v>
      </c>
      <c r="N175" s="183" t="str">
        <f t="array" ref="N175">IF(ISBLANK($AE175), "-",INDEX(Circuits!M:M,SUMPRODUCT(EXACT($AE175,Circuits!$A:$A)*ROW(Circuits!$A:$A))))</f>
        <v>-</v>
      </c>
      <c r="O175" s="183" t="str">
        <f t="array" ref="O175">IF(ISBLANK($AE175), "-",INDEX(Circuits!N:N,SUMPRODUCT(EXACT($AE175,Circuits!$A:$A)*ROW(Circuits!$A:$A))))</f>
        <v>-</v>
      </c>
      <c r="P175" s="183" t="str">
        <f t="array" ref="P175">IF(ISBLANK($AE175), "-",INDEX(Circuits!O:O,SUMPRODUCT(EXACT($AE175,Circuits!$A:$A)*ROW(Circuits!$A:$A))))</f>
        <v>-</v>
      </c>
      <c r="Q175" s="183" t="str">
        <f t="array" ref="Q175">IF(ISBLANK($AE175), "-",INDEX(Circuits!P:P,SUMPRODUCT(EXACT($AE175,Circuits!$A:$A)*ROW(Circuits!$A:$A))))</f>
        <v>-</v>
      </c>
      <c r="R175" s="183" t="str">
        <f t="array" ref="R175">IF(ISBLANK($AE175), "-",INDEX(Circuits!Q:Q,SUMPRODUCT(EXACT($AE175,Circuits!$A:$A)*ROW(Circuits!$A:$A))))</f>
        <v>-</v>
      </c>
      <c r="S175" s="183" t="str">
        <f t="array" ref="S175">IF(ISBLANK($AE175), "-",INDEX(Circuits!R:R,SUMPRODUCT(EXACT($AE175,Circuits!$A:$A)*ROW(Circuits!$A:$A))))</f>
        <v>-</v>
      </c>
      <c r="T175" s="183" t="str">
        <f t="array" ref="T175">IF(ISBLANK($AE175), "-",INDEX(Circuits!S:S,SUMPRODUCT(EXACT($AE175,Circuits!$A:$A)*ROW(Circuits!$A:$A))))</f>
        <v>-</v>
      </c>
      <c r="U175" s="183" t="str">
        <f t="array" ref="U175">IF(ISBLANK($AE175), "-",INDEX(Circuits!T:T,SUMPRODUCT(EXACT($AE175,Circuits!$A:$A)*ROW(Circuits!$A:$A))))</f>
        <v>-</v>
      </c>
      <c r="V175" s="183" t="str">
        <f t="array" ref="V175">IF(ISBLANK($AE175), "-",INDEX(Circuits!U:U,SUMPRODUCT(EXACT($AE175,Circuits!$A:$A)*ROW(Circuits!$A:$A))))</f>
        <v>-</v>
      </c>
      <c r="W175" s="183" t="str">
        <f t="array" ref="W175">IF(ISBLANK($AE175), "-",INDEX(Circuits!V:V,SUMPRODUCT(EXACT($AE175,Circuits!$A:$A)*ROW(Circuits!$A:$A))))</f>
        <v>-</v>
      </c>
      <c r="X175" s="183" t="str">
        <f t="array" ref="X175">IF(ISBLANK($AE175), "-",INDEX(Circuits!W:W,SUMPRODUCT(EXACT($AE175,Circuits!$A:$A)*ROW(Circuits!$A:$A))))</f>
        <v>-</v>
      </c>
      <c r="Y175" s="183" t="str">
        <f t="array" ref="Y175">IF(ISBLANK($AE175), "-",INDEX(Circuits!X:X,SUMPRODUCT(EXACT($AE175,Circuits!$A:$A)*ROW(Circuits!$A:$A))))</f>
        <v>-</v>
      </c>
      <c r="Z175" s="108" t="str">
        <f>IFERROR(__xludf.DUMMYFUNCTION("IFNA(CONCATENATE(UNIQUE(FILTER(Connections!R:R,Connections!A:A=B175))),""-"")"),"-")</f>
        <v>-</v>
      </c>
      <c r="AA175" s="119" t="str">
        <f t="array" ref="AA175">IF(ISBLANK($AE175), "-",INDEX(Circuits!Y:Y,SUMPRODUCT(EXACT($AE175,Circuits!$A:$A)*ROW(Circuits!$A:$A))))</f>
        <v>-</v>
      </c>
      <c r="AB175" s="121" t="str">
        <f t="array" ref="AB175">IF(ISBLANK($AE175), "-",INDEX(Circuits!Z:Z,SUMPRODUCT(EXACT($AE175,Circuits!$A:$A)*ROW(Circuits!$A:$A))))</f>
        <v>-</v>
      </c>
      <c r="AC175" s="194"/>
      <c r="AD175" s="194"/>
      <c r="AE175" s="40"/>
      <c r="AF175" s="43"/>
      <c r="AG175" s="126" t="str">
        <f>IFERROR(__xludf.DUMMYFUNCTION("IF(ISBLANK(AF175), """", TEXTJOIN(CHAR(10),TRUE,ARRAYFORMULA(IF(ISERROR(SEARCH(SPLIT(AF175, "";""), $Z175)), ""x"", ""-""))))"),"")</f>
        <v/>
      </c>
      <c r="AH175" s="127" t="str">
        <f>IFERROR(__xludf.DUMMYFUNCTION("IF(ISBLANK(AK175), """", TEXTJOIN("";"" &amp; CHAR(10), TRUE, UNIQUE(SPLIT(AK175, "";"" &amp; CHAR(10)), TRUE))&amp;"";"")"),"")</f>
        <v/>
      </c>
      <c r="AI175" s="128" t="str">
        <f>IFERROR(__xludf.DUMMYFUNCTION("IF(ISBLANK(AD175), IF(ISBLANK(AE175),,IFNA(TEXTJOIN("";"" &amp; CHAR(10), TRUE, FILTER(AE:AE, SEARCH(AE175&amp;"";"", AJ:AJ)))&amp;"";"", """")), TEXTJOIN("";"" &amp; CHAR(10), TRUE, UNIQUE(SPLIT(AH175 &amp; "";"" &amp; AH175 &amp; "";"" &amp; AL175, "";"" &amp; CHAR(10)), TRUE, TRUE))&amp;"";"&amp;""")"),"")</f>
        <v/>
      </c>
      <c r="AJ175" s="126" t="str">
        <f>IFERROR(__xludf.DUMMYFUNCTION("IF(AN175="""", """", TEXTJOIN("";"" &amp; CHAR(10), TRUE, UNIQUE(SPLIT(AH175 &amp; "";"" &amp; AH175 &amp; "";"" &amp; AN175, "";"" &amp; CHAR(10)), TRUE, TRUE))&amp;"";"")"),"")</f>
        <v/>
      </c>
      <c r="AK175" s="129" t="str">
        <f>IFERROR(__xludf.DUMMYFUNCTION("IF(ISBLANK(AD175), IF(ISBLANK(AE175),,AE175 &amp; "";""), TEXTJOIN(CHAR(10), TRUE, ARRAYFORMULA(VLOOKUP(SPLIT(AD175, "";"" &amp; CHAR(10)), $AC:$AH, 6, FALSE))))"),"")</f>
        <v/>
      </c>
      <c r="AL175" s="130" t="str">
        <f>IFERROR(__xludf.DUMMYFUNCTION("IF(AM175="""", """", TEXTJOIN("";"" &amp; CHAR(10), TRUE, UNIQUE(SPLIT(AM175, "";"" &amp; CHAR(10)), TRUE))&amp;"";"")"),"")</f>
        <v/>
      </c>
      <c r="AM175" s="130" t="str">
        <f>IFERROR(__xludf.DUMMYFUNCTION("IF(ISBLANK(AD175), """", TEXTJOIN(CHAR(10), TRUE, ARRAYFORMULA(VLOOKUP(SPLIT(AH175, "";"" &amp; CHAR(10)), $AE:$AI, 5, FALSE)), AF175))"),"")</f>
        <v/>
      </c>
      <c r="AN175" s="132" t="str">
        <f>IFERROR(__xludf.DUMMYFUNCTION("IF(ISBLANK(AO175), """", TEXTJOIN("";"" &amp; CHAR(10), TRUE, UNIQUE(SPLIT(AO175, "";"" &amp; CHAR(10)), TRUE))&amp;"";"")"),"")</f>
        <v/>
      </c>
      <c r="AO175" s="134" t="str">
        <f>IFERROR(__xludf.DUMMYFUNCTION("IF(ISBLANK(AD175), AF175, TEXTJOIN(CHAR(10), TRUE, ARRAYFORMULA(VLOOKUP(SPLIT(AD175, "";"" &amp; CHAR(10)), $AC:$AN, 12, FALSE))))"),"")</f>
        <v/>
      </c>
      <c r="AP175" s="130" t="str">
        <f>IF(ISBLANK(AE175),,IF(IFERROR(SEARCH(AE175&amp;";",Circuits!$AO$2),0),TRUE,FALSE))</f>
        <v/>
      </c>
      <c r="AQ175" s="130" t="str">
        <f t="shared" si="2"/>
        <v/>
      </c>
      <c r="AR175" s="130" t="str">
        <f t="shared" si="3"/>
        <v/>
      </c>
      <c r="AS175" s="136" t="str">
        <f>IFERROR(__xludf.DUMMYFUNCTION("IF(AH175="""",,SUM(ARRAYFORMULA(IF(IFERROR(SEARCH(SPLIT(AH175,CHAR(10)),Circuits!$AO$2),0)&gt;0,0,1))))"),"")</f>
        <v/>
      </c>
      <c r="AT175" s="138" t="str">
        <f t="shared" si="4"/>
        <v/>
      </c>
      <c r="AU175" s="138" t="str">
        <f t="shared" si="5"/>
        <v/>
      </c>
      <c r="AV175" s="130" t="str">
        <f>IFERROR(__xludf.DUMMYFUNCTION("IF(AI175="""",,TEXTJOIN("", "",TRUE,ARRAYFORMULA(VLOOKUP(SPLIT(AI175,"";""&amp;CHAR(10)),AE:AT,16,FALSE))))"),"")</f>
        <v/>
      </c>
      <c r="AW175" s="130" t="str">
        <f>IFERROR(__xludf.DUMMYFUNCTION("IF(ISBLANK(BK175),,TEXTJOIN("", "",TRUE,ARRAYFORMULA(VLOOKUP(IFERROR(REGEXEXTRACT(SPLIT(BK175,"";""&amp;CHAR(10)),""\[(.+)\]"")),AE:AT,16,false))))"),"")</f>
        <v/>
      </c>
      <c r="AX175" s="139" t="str">
        <f t="shared" si="6"/>
        <v/>
      </c>
      <c r="AY175" s="139" t="str">
        <f t="shared" si="7"/>
        <v/>
      </c>
      <c r="AZ175" s="106" t="str">
        <f>IFERROR(__xludf.DUMMYFUNCTION("IF(ISBLANK(AD175), BC175, TEXTJOIN(CHAR(10) &amp; CHAR(10), TRUE, ARRAYFORMULA(VLOOKUP(SPLIT(AD175, "";"" &amp; CHAR(10)), $AC:$AY, 23, FALSE))))"),"")</f>
        <v/>
      </c>
      <c r="BA175" s="140" t="s">
        <v>66</v>
      </c>
      <c r="BB175" s="190"/>
      <c r="BC175" s="196"/>
      <c r="BD175" s="106" t="str">
        <f>IFERROR(__xludf.DUMMYFUNCTION("IF(IFERROR(SEARCH(""&lt;&lt;mechanism to realize the capability&gt;&gt;"",BA175),0)=0,
 ""!! Error !! “Capability&amp;Mechanism” column: Invalid Separator:"" &amp; CHAR(10) &amp; ""Insert separator “&lt;&lt;mechanism to realize the capability&gt;&gt;.”"",
 IF(
  LEN(TRIM(CLEAN(
    INDEX(
 "&amp;"     SPLIT(BA175,""&lt;&lt;mechanism to realize the capability&gt;&gt;"",FALSE,FALSE),
      1
    )
  )))=0,
  ""!! Error !! “Capability&amp;Mechanism” column: No Capability:""  &amp; CHAR(10) &amp; ""Describe Capability before separator."",
  INDEX(
    SPLIT(BA175,""&lt;&lt;mechani"&amp;"sm to realize the capability&gt;&gt;"",FALSE,FALSE),
    1
  )
 )
)
"),"!! Error !! “Capability&amp;Mechanism” column: No Capability:
Describe Capability before separator.")</f>
        <v>!! Error !! “Capability&amp;Mechanism” column: No Capability:
Describe Capability before separator.</v>
      </c>
      <c r="BE175" s="190"/>
      <c r="BF175" s="195"/>
      <c r="BG175" s="42"/>
      <c r="BH175" s="190"/>
      <c r="BI175" s="196"/>
      <c r="BJ175" s="42"/>
      <c r="BK175" s="42"/>
      <c r="BL175" s="203"/>
      <c r="BM175" s="203"/>
      <c r="BN175" s="42"/>
      <c r="BO175" s="42"/>
      <c r="BP175" s="143"/>
      <c r="BQ175" s="143"/>
      <c r="BR175" s="192"/>
      <c r="BS175" s="192"/>
      <c r="BT175" s="192"/>
      <c r="BU175" s="192"/>
      <c r="BV175" s="192"/>
      <c r="BW175" s="192"/>
      <c r="BX175" s="146" t="str">
        <f t="shared" si="8"/>
        <v/>
      </c>
    </row>
    <row r="176">
      <c r="A176" s="106" t="str">
        <f t="shared" si="1"/>
        <v/>
      </c>
      <c r="B176" s="183" t="str">
        <f t="array" ref="B176">IF(ISBLANK($AE176), "-",INDEX(Circuits!A:A,SUMPRODUCT(EXACT($AE176,Circuits!$A:$A)*ROW(Circuits!$A:$A))))</f>
        <v>-</v>
      </c>
      <c r="C176" s="183" t="str">
        <f t="array" ref="C176">IF(ISBLANK($AE176), "-",INDEX(Circuits!B:B,SUMPRODUCT(EXACT($AE176,Circuits!$A:$A)*ROW(Circuits!$A:$A))))</f>
        <v>-</v>
      </c>
      <c r="D176" s="183" t="str">
        <f t="array" ref="D176">IF(ISBLANK($AE176), "-",INDEX(Circuits!C:C,SUMPRODUCT(EXACT($AE176,Circuits!$A:$A)*ROW(Circuits!$A:$A))))</f>
        <v>-</v>
      </c>
      <c r="E176" s="183" t="str">
        <f t="array" ref="E176">IF(ISBLANK($AE176), "-",INDEX(Circuits!D:D,SUMPRODUCT(EXACT($AE176,Circuits!$A:$A)*ROW(Circuits!$A:$A))))</f>
        <v>-</v>
      </c>
      <c r="F176" s="183" t="str">
        <f t="array" ref="F176">IF(ISBLANK($AE176), "-",INDEX(Circuits!E:E,SUMPRODUCT(EXACT($AE176,Circuits!$A:$A)*ROW(Circuits!$A:$A))))</f>
        <v>-</v>
      </c>
      <c r="G176" s="183" t="str">
        <f t="array" ref="G176">IF(ISBLANK($AE176), "-",INDEX(Circuits!F:F,SUMPRODUCT(EXACT($AE176,Circuits!$A:$A)*ROW(Circuits!$A:$A))))</f>
        <v>-</v>
      </c>
      <c r="H176" s="183" t="str">
        <f t="array" ref="H176">IF(ISBLANK($AE176), "-",INDEX(Circuits!G:G,SUMPRODUCT(EXACT($AE176,Circuits!$A:$A)*ROW(Circuits!$A:$A))))</f>
        <v>-</v>
      </c>
      <c r="I176" s="183" t="str">
        <f t="array" ref="I176">IF(ISBLANK($AE176), "-",INDEX(Circuits!H:H,SUMPRODUCT(EXACT($AE176,Circuits!$A:$A)*ROW(Circuits!$A:$A))))</f>
        <v>-</v>
      </c>
      <c r="J176" s="183" t="str">
        <f t="array" ref="J176">IF(ISBLANK($AE176), "-",INDEX(Circuits!I:I,SUMPRODUCT(EXACT($AE176,Circuits!$A:$A)*ROW(Circuits!$A:$A))))</f>
        <v>-</v>
      </c>
      <c r="K176" s="183" t="str">
        <f t="array" ref="K176">IF(ISBLANK($AE176), "-",INDEX(Circuits!J:J,SUMPRODUCT(EXACT($AE176,Circuits!$A:$A)*ROW(Circuits!$A:$A))))</f>
        <v>-</v>
      </c>
      <c r="L176" s="183" t="str">
        <f t="array" ref="L176">IF(ISBLANK($AE176), "-",INDEX(Circuits!K:K,SUMPRODUCT(EXACT($AE176,Circuits!$A:$A)*ROW(Circuits!$A:$A))))</f>
        <v>-</v>
      </c>
      <c r="M176" s="183" t="str">
        <f t="array" ref="M176">IF(ISBLANK($AE176), "-",INDEX(Circuits!L:L,SUMPRODUCT(EXACT($AE176,Circuits!$A:$A)*ROW(Circuits!$A:$A))))</f>
        <v>-</v>
      </c>
      <c r="N176" s="183" t="str">
        <f t="array" ref="N176">IF(ISBLANK($AE176), "-",INDEX(Circuits!M:M,SUMPRODUCT(EXACT($AE176,Circuits!$A:$A)*ROW(Circuits!$A:$A))))</f>
        <v>-</v>
      </c>
      <c r="O176" s="183" t="str">
        <f t="array" ref="O176">IF(ISBLANK($AE176), "-",INDEX(Circuits!N:N,SUMPRODUCT(EXACT($AE176,Circuits!$A:$A)*ROW(Circuits!$A:$A))))</f>
        <v>-</v>
      </c>
      <c r="P176" s="183" t="str">
        <f t="array" ref="P176">IF(ISBLANK($AE176), "-",INDEX(Circuits!O:O,SUMPRODUCT(EXACT($AE176,Circuits!$A:$A)*ROW(Circuits!$A:$A))))</f>
        <v>-</v>
      </c>
      <c r="Q176" s="183" t="str">
        <f t="array" ref="Q176">IF(ISBLANK($AE176), "-",INDEX(Circuits!P:P,SUMPRODUCT(EXACT($AE176,Circuits!$A:$A)*ROW(Circuits!$A:$A))))</f>
        <v>-</v>
      </c>
      <c r="R176" s="183" t="str">
        <f t="array" ref="R176">IF(ISBLANK($AE176), "-",INDEX(Circuits!Q:Q,SUMPRODUCT(EXACT($AE176,Circuits!$A:$A)*ROW(Circuits!$A:$A))))</f>
        <v>-</v>
      </c>
      <c r="S176" s="183" t="str">
        <f t="array" ref="S176">IF(ISBLANK($AE176), "-",INDEX(Circuits!R:R,SUMPRODUCT(EXACT($AE176,Circuits!$A:$A)*ROW(Circuits!$A:$A))))</f>
        <v>-</v>
      </c>
      <c r="T176" s="183" t="str">
        <f t="array" ref="T176">IF(ISBLANK($AE176), "-",INDEX(Circuits!S:S,SUMPRODUCT(EXACT($AE176,Circuits!$A:$A)*ROW(Circuits!$A:$A))))</f>
        <v>-</v>
      </c>
      <c r="U176" s="183" t="str">
        <f t="array" ref="U176">IF(ISBLANK($AE176), "-",INDEX(Circuits!T:T,SUMPRODUCT(EXACT($AE176,Circuits!$A:$A)*ROW(Circuits!$A:$A))))</f>
        <v>-</v>
      </c>
      <c r="V176" s="183" t="str">
        <f t="array" ref="V176">IF(ISBLANK($AE176), "-",INDEX(Circuits!U:U,SUMPRODUCT(EXACT($AE176,Circuits!$A:$A)*ROW(Circuits!$A:$A))))</f>
        <v>-</v>
      </c>
      <c r="W176" s="183" t="str">
        <f t="array" ref="W176">IF(ISBLANK($AE176), "-",INDEX(Circuits!V:V,SUMPRODUCT(EXACT($AE176,Circuits!$A:$A)*ROW(Circuits!$A:$A))))</f>
        <v>-</v>
      </c>
      <c r="X176" s="183" t="str">
        <f t="array" ref="X176">IF(ISBLANK($AE176), "-",INDEX(Circuits!W:W,SUMPRODUCT(EXACT($AE176,Circuits!$A:$A)*ROW(Circuits!$A:$A))))</f>
        <v>-</v>
      </c>
      <c r="Y176" s="183" t="str">
        <f t="array" ref="Y176">IF(ISBLANK($AE176), "-",INDEX(Circuits!X:X,SUMPRODUCT(EXACT($AE176,Circuits!$A:$A)*ROW(Circuits!$A:$A))))</f>
        <v>-</v>
      </c>
      <c r="Z176" s="108" t="str">
        <f>IFERROR(__xludf.DUMMYFUNCTION("IFNA(CONCATENATE(UNIQUE(FILTER(Connections!R:R,Connections!A:A=B176))),""-"")"),"-")</f>
        <v>-</v>
      </c>
      <c r="AA176" s="119" t="str">
        <f t="array" ref="AA176">IF(ISBLANK($AE176), "-",INDEX(Circuits!Y:Y,SUMPRODUCT(EXACT($AE176,Circuits!$A:$A)*ROW(Circuits!$A:$A))))</f>
        <v>-</v>
      </c>
      <c r="AB176" s="121" t="str">
        <f t="array" ref="AB176">IF(ISBLANK($AE176), "-",INDEX(Circuits!Z:Z,SUMPRODUCT(EXACT($AE176,Circuits!$A:$A)*ROW(Circuits!$A:$A))))</f>
        <v>-</v>
      </c>
      <c r="AC176" s="194"/>
      <c r="AD176" s="194"/>
      <c r="AE176" s="40"/>
      <c r="AF176" s="43"/>
      <c r="AG176" s="126" t="str">
        <f>IFERROR(__xludf.DUMMYFUNCTION("IF(ISBLANK(AF176), """", TEXTJOIN(CHAR(10),TRUE,ARRAYFORMULA(IF(ISERROR(SEARCH(SPLIT(AF176, "";""), $Z176)), ""x"", ""-""))))"),"")</f>
        <v/>
      </c>
      <c r="AH176" s="127" t="str">
        <f>IFERROR(__xludf.DUMMYFUNCTION("IF(ISBLANK(AK176), """", TEXTJOIN("";"" &amp; CHAR(10), TRUE, UNIQUE(SPLIT(AK176, "";"" &amp; CHAR(10)), TRUE))&amp;"";"")"),"")</f>
        <v/>
      </c>
      <c r="AI176" s="128" t="str">
        <f>IFERROR(__xludf.DUMMYFUNCTION("IF(ISBLANK(AD176), IF(ISBLANK(AE176),,IFNA(TEXTJOIN("";"" &amp; CHAR(10), TRUE, FILTER(AE:AE, SEARCH(AE176&amp;"";"", AJ:AJ)))&amp;"";"", """")), TEXTJOIN("";"" &amp; CHAR(10), TRUE, UNIQUE(SPLIT(AH176 &amp; "";"" &amp; AH176 &amp; "";"" &amp; AL176, "";"" &amp; CHAR(10)), TRUE, TRUE))&amp;"";"&amp;""")"),"")</f>
        <v/>
      </c>
      <c r="AJ176" s="126" t="str">
        <f>IFERROR(__xludf.DUMMYFUNCTION("IF(AN176="""", """", TEXTJOIN("";"" &amp; CHAR(10), TRUE, UNIQUE(SPLIT(AH176 &amp; "";"" &amp; AH176 &amp; "";"" &amp; AN176, "";"" &amp; CHAR(10)), TRUE, TRUE))&amp;"";"")"),"")</f>
        <v/>
      </c>
      <c r="AK176" s="129" t="str">
        <f>IFERROR(__xludf.DUMMYFUNCTION("IF(ISBLANK(AD176), IF(ISBLANK(AE176),,AE176 &amp; "";""), TEXTJOIN(CHAR(10), TRUE, ARRAYFORMULA(VLOOKUP(SPLIT(AD176, "";"" &amp; CHAR(10)), $AC:$AH, 6, FALSE))))"),"")</f>
        <v/>
      </c>
      <c r="AL176" s="130" t="str">
        <f>IFERROR(__xludf.DUMMYFUNCTION("IF(AM176="""", """", TEXTJOIN("";"" &amp; CHAR(10), TRUE, UNIQUE(SPLIT(AM176, "";"" &amp; CHAR(10)), TRUE))&amp;"";"")"),"")</f>
        <v/>
      </c>
      <c r="AM176" s="130" t="str">
        <f>IFERROR(__xludf.DUMMYFUNCTION("IF(ISBLANK(AD176), """", TEXTJOIN(CHAR(10), TRUE, ARRAYFORMULA(VLOOKUP(SPLIT(AH176, "";"" &amp; CHAR(10)), $AE:$AI, 5, FALSE)), AF176))"),"")</f>
        <v/>
      </c>
      <c r="AN176" s="132" t="str">
        <f>IFERROR(__xludf.DUMMYFUNCTION("IF(ISBLANK(AO176), """", TEXTJOIN("";"" &amp; CHAR(10), TRUE, UNIQUE(SPLIT(AO176, "";"" &amp; CHAR(10)), TRUE))&amp;"";"")"),"")</f>
        <v/>
      </c>
      <c r="AO176" s="134" t="str">
        <f>IFERROR(__xludf.DUMMYFUNCTION("IF(ISBLANK(AD176), AF176, TEXTJOIN(CHAR(10), TRUE, ARRAYFORMULA(VLOOKUP(SPLIT(AD176, "";"" &amp; CHAR(10)), $AC:$AN, 12, FALSE))))"),"")</f>
        <v/>
      </c>
      <c r="AP176" s="130" t="str">
        <f>IF(ISBLANK(AE176),,IF(IFERROR(SEARCH(AE176&amp;";",Circuits!$AO$2),0),TRUE,FALSE))</f>
        <v/>
      </c>
      <c r="AQ176" s="130" t="str">
        <f t="shared" si="2"/>
        <v/>
      </c>
      <c r="AR176" s="130" t="str">
        <f t="shared" si="3"/>
        <v/>
      </c>
      <c r="AS176" s="136" t="str">
        <f>IFERROR(__xludf.DUMMYFUNCTION("IF(AH176="""",,SUM(ARRAYFORMULA(IF(IFERROR(SEARCH(SPLIT(AH176,CHAR(10)),Circuits!$AO$2),0)&gt;0,0,1))))"),"")</f>
        <v/>
      </c>
      <c r="AT176" s="138" t="str">
        <f t="shared" si="4"/>
        <v/>
      </c>
      <c r="AU176" s="138" t="str">
        <f t="shared" si="5"/>
        <v/>
      </c>
      <c r="AV176" s="130" t="str">
        <f>IFERROR(__xludf.DUMMYFUNCTION("IF(AI176="""",,TEXTJOIN("", "",TRUE,ARRAYFORMULA(VLOOKUP(SPLIT(AI176,"";""&amp;CHAR(10)),AE:AT,16,FALSE))))"),"")</f>
        <v/>
      </c>
      <c r="AW176" s="130" t="str">
        <f>IFERROR(__xludf.DUMMYFUNCTION("IF(ISBLANK(BK176),,TEXTJOIN("", "",TRUE,ARRAYFORMULA(VLOOKUP(IFERROR(REGEXEXTRACT(SPLIT(BK176,"";""&amp;CHAR(10)),""\[(.+)\]"")),AE:AT,16,false))))"),"")</f>
        <v/>
      </c>
      <c r="AX176" s="139" t="str">
        <f t="shared" si="6"/>
        <v/>
      </c>
      <c r="AY176" s="139" t="str">
        <f t="shared" si="7"/>
        <v/>
      </c>
      <c r="AZ176" s="106" t="str">
        <f>IFERROR(__xludf.DUMMYFUNCTION("IF(ISBLANK(AD176), BC176, TEXTJOIN(CHAR(10) &amp; CHAR(10), TRUE, ARRAYFORMULA(VLOOKUP(SPLIT(AD176, "";"" &amp; CHAR(10)), $AC:$AY, 23, FALSE))))"),"")</f>
        <v/>
      </c>
      <c r="BA176" s="140" t="s">
        <v>66</v>
      </c>
      <c r="BB176" s="190"/>
      <c r="BC176" s="196"/>
      <c r="BD176" s="106" t="str">
        <f>IFERROR(__xludf.DUMMYFUNCTION("IF(IFERROR(SEARCH(""&lt;&lt;mechanism to realize the capability&gt;&gt;"",BA176),0)=0,
 ""!! Error !! “Capability&amp;Mechanism” column: Invalid Separator:"" &amp; CHAR(10) &amp; ""Insert separator “&lt;&lt;mechanism to realize the capability&gt;&gt;.”"",
 IF(
  LEN(TRIM(CLEAN(
    INDEX(
 "&amp;"     SPLIT(BA176,""&lt;&lt;mechanism to realize the capability&gt;&gt;"",FALSE,FALSE),
      1
    )
  )))=0,
  ""!! Error !! “Capability&amp;Mechanism” column: No Capability:""  &amp; CHAR(10) &amp; ""Describe Capability before separator."",
  INDEX(
    SPLIT(BA176,""&lt;&lt;mechani"&amp;"sm to realize the capability&gt;&gt;"",FALSE,FALSE),
    1
  )
 )
)
"),"!! Error !! “Capability&amp;Mechanism” column: No Capability:
Describe Capability before separator.")</f>
        <v>!! Error !! “Capability&amp;Mechanism” column: No Capability:
Describe Capability before separator.</v>
      </c>
      <c r="BE176" s="190"/>
      <c r="BF176" s="195"/>
      <c r="BG176" s="42"/>
      <c r="BH176" s="190"/>
      <c r="BI176" s="196"/>
      <c r="BJ176" s="42"/>
      <c r="BK176" s="42"/>
      <c r="BL176" s="203"/>
      <c r="BM176" s="203"/>
      <c r="BN176" s="42"/>
      <c r="BO176" s="42"/>
      <c r="BP176" s="143"/>
      <c r="BQ176" s="143"/>
      <c r="BR176" s="192"/>
      <c r="BS176" s="192"/>
      <c r="BT176" s="192"/>
      <c r="BU176" s="192"/>
      <c r="BV176" s="192"/>
      <c r="BW176" s="192"/>
      <c r="BX176" s="146" t="str">
        <f t="shared" si="8"/>
        <v/>
      </c>
    </row>
    <row r="177">
      <c r="A177" s="106" t="str">
        <f t="shared" si="1"/>
        <v/>
      </c>
      <c r="B177" s="183" t="str">
        <f t="array" ref="B177">IF(ISBLANK($AE177), "-",INDEX(Circuits!A:A,SUMPRODUCT(EXACT($AE177,Circuits!$A:$A)*ROW(Circuits!$A:$A))))</f>
        <v>-</v>
      </c>
      <c r="C177" s="183" t="str">
        <f t="array" ref="C177">IF(ISBLANK($AE177), "-",INDEX(Circuits!B:B,SUMPRODUCT(EXACT($AE177,Circuits!$A:$A)*ROW(Circuits!$A:$A))))</f>
        <v>-</v>
      </c>
      <c r="D177" s="183" t="str">
        <f t="array" ref="D177">IF(ISBLANK($AE177), "-",INDEX(Circuits!C:C,SUMPRODUCT(EXACT($AE177,Circuits!$A:$A)*ROW(Circuits!$A:$A))))</f>
        <v>-</v>
      </c>
      <c r="E177" s="183" t="str">
        <f t="array" ref="E177">IF(ISBLANK($AE177), "-",INDEX(Circuits!D:D,SUMPRODUCT(EXACT($AE177,Circuits!$A:$A)*ROW(Circuits!$A:$A))))</f>
        <v>-</v>
      </c>
      <c r="F177" s="183" t="str">
        <f t="array" ref="F177">IF(ISBLANK($AE177), "-",INDEX(Circuits!E:E,SUMPRODUCT(EXACT($AE177,Circuits!$A:$A)*ROW(Circuits!$A:$A))))</f>
        <v>-</v>
      </c>
      <c r="G177" s="183" t="str">
        <f t="array" ref="G177">IF(ISBLANK($AE177), "-",INDEX(Circuits!F:F,SUMPRODUCT(EXACT($AE177,Circuits!$A:$A)*ROW(Circuits!$A:$A))))</f>
        <v>-</v>
      </c>
      <c r="H177" s="183" t="str">
        <f t="array" ref="H177">IF(ISBLANK($AE177), "-",INDEX(Circuits!G:G,SUMPRODUCT(EXACT($AE177,Circuits!$A:$A)*ROW(Circuits!$A:$A))))</f>
        <v>-</v>
      </c>
      <c r="I177" s="183" t="str">
        <f t="array" ref="I177">IF(ISBLANK($AE177), "-",INDEX(Circuits!H:H,SUMPRODUCT(EXACT($AE177,Circuits!$A:$A)*ROW(Circuits!$A:$A))))</f>
        <v>-</v>
      </c>
      <c r="J177" s="183" t="str">
        <f t="array" ref="J177">IF(ISBLANK($AE177), "-",INDEX(Circuits!I:I,SUMPRODUCT(EXACT($AE177,Circuits!$A:$A)*ROW(Circuits!$A:$A))))</f>
        <v>-</v>
      </c>
      <c r="K177" s="183" t="str">
        <f t="array" ref="K177">IF(ISBLANK($AE177), "-",INDEX(Circuits!J:J,SUMPRODUCT(EXACT($AE177,Circuits!$A:$A)*ROW(Circuits!$A:$A))))</f>
        <v>-</v>
      </c>
      <c r="L177" s="183" t="str">
        <f t="array" ref="L177">IF(ISBLANK($AE177), "-",INDEX(Circuits!K:K,SUMPRODUCT(EXACT($AE177,Circuits!$A:$A)*ROW(Circuits!$A:$A))))</f>
        <v>-</v>
      </c>
      <c r="M177" s="183" t="str">
        <f t="array" ref="M177">IF(ISBLANK($AE177), "-",INDEX(Circuits!L:L,SUMPRODUCT(EXACT($AE177,Circuits!$A:$A)*ROW(Circuits!$A:$A))))</f>
        <v>-</v>
      </c>
      <c r="N177" s="183" t="str">
        <f t="array" ref="N177">IF(ISBLANK($AE177), "-",INDEX(Circuits!M:M,SUMPRODUCT(EXACT($AE177,Circuits!$A:$A)*ROW(Circuits!$A:$A))))</f>
        <v>-</v>
      </c>
      <c r="O177" s="183" t="str">
        <f t="array" ref="O177">IF(ISBLANK($AE177), "-",INDEX(Circuits!N:N,SUMPRODUCT(EXACT($AE177,Circuits!$A:$A)*ROW(Circuits!$A:$A))))</f>
        <v>-</v>
      </c>
      <c r="P177" s="183" t="str">
        <f t="array" ref="P177">IF(ISBLANK($AE177), "-",INDEX(Circuits!O:O,SUMPRODUCT(EXACT($AE177,Circuits!$A:$A)*ROW(Circuits!$A:$A))))</f>
        <v>-</v>
      </c>
      <c r="Q177" s="183" t="str">
        <f t="array" ref="Q177">IF(ISBLANK($AE177), "-",INDEX(Circuits!P:P,SUMPRODUCT(EXACT($AE177,Circuits!$A:$A)*ROW(Circuits!$A:$A))))</f>
        <v>-</v>
      </c>
      <c r="R177" s="183" t="str">
        <f t="array" ref="R177">IF(ISBLANK($AE177), "-",INDEX(Circuits!Q:Q,SUMPRODUCT(EXACT($AE177,Circuits!$A:$A)*ROW(Circuits!$A:$A))))</f>
        <v>-</v>
      </c>
      <c r="S177" s="183" t="str">
        <f t="array" ref="S177">IF(ISBLANK($AE177), "-",INDEX(Circuits!R:R,SUMPRODUCT(EXACT($AE177,Circuits!$A:$A)*ROW(Circuits!$A:$A))))</f>
        <v>-</v>
      </c>
      <c r="T177" s="183" t="str">
        <f t="array" ref="T177">IF(ISBLANK($AE177), "-",INDEX(Circuits!S:S,SUMPRODUCT(EXACT($AE177,Circuits!$A:$A)*ROW(Circuits!$A:$A))))</f>
        <v>-</v>
      </c>
      <c r="U177" s="183" t="str">
        <f t="array" ref="U177">IF(ISBLANK($AE177), "-",INDEX(Circuits!T:T,SUMPRODUCT(EXACT($AE177,Circuits!$A:$A)*ROW(Circuits!$A:$A))))</f>
        <v>-</v>
      </c>
      <c r="V177" s="183" t="str">
        <f t="array" ref="V177">IF(ISBLANK($AE177), "-",INDEX(Circuits!U:U,SUMPRODUCT(EXACT($AE177,Circuits!$A:$A)*ROW(Circuits!$A:$A))))</f>
        <v>-</v>
      </c>
      <c r="W177" s="183" t="str">
        <f t="array" ref="W177">IF(ISBLANK($AE177), "-",INDEX(Circuits!V:V,SUMPRODUCT(EXACT($AE177,Circuits!$A:$A)*ROW(Circuits!$A:$A))))</f>
        <v>-</v>
      </c>
      <c r="X177" s="183" t="str">
        <f t="array" ref="X177">IF(ISBLANK($AE177), "-",INDEX(Circuits!W:W,SUMPRODUCT(EXACT($AE177,Circuits!$A:$A)*ROW(Circuits!$A:$A))))</f>
        <v>-</v>
      </c>
      <c r="Y177" s="183" t="str">
        <f t="array" ref="Y177">IF(ISBLANK($AE177), "-",INDEX(Circuits!X:X,SUMPRODUCT(EXACT($AE177,Circuits!$A:$A)*ROW(Circuits!$A:$A))))</f>
        <v>-</v>
      </c>
      <c r="Z177" s="108" t="str">
        <f>IFERROR(__xludf.DUMMYFUNCTION("IFNA(CONCATENATE(UNIQUE(FILTER(Connections!R:R,Connections!A:A=B177))),""-"")"),"-")</f>
        <v>-</v>
      </c>
      <c r="AA177" s="119" t="str">
        <f t="array" ref="AA177">IF(ISBLANK($AE177), "-",INDEX(Circuits!Y:Y,SUMPRODUCT(EXACT($AE177,Circuits!$A:$A)*ROW(Circuits!$A:$A))))</f>
        <v>-</v>
      </c>
      <c r="AB177" s="121" t="str">
        <f t="array" ref="AB177">IF(ISBLANK($AE177), "-",INDEX(Circuits!Z:Z,SUMPRODUCT(EXACT($AE177,Circuits!$A:$A)*ROW(Circuits!$A:$A))))</f>
        <v>-</v>
      </c>
      <c r="AC177" s="194"/>
      <c r="AD177" s="194"/>
      <c r="AE177" s="40"/>
      <c r="AF177" s="47"/>
      <c r="AG177" s="126" t="str">
        <f>IFERROR(__xludf.DUMMYFUNCTION("IF(ISBLANK(AF177), """", TEXTJOIN(CHAR(10),TRUE,ARRAYFORMULA(IF(ISERROR(SEARCH(SPLIT(AF177, "";""), $Z177)), ""x"", ""-""))))"),"")</f>
        <v/>
      </c>
      <c r="AH177" s="127" t="str">
        <f>IFERROR(__xludf.DUMMYFUNCTION("IF(ISBLANK(AK177), """", TEXTJOIN("";"" &amp; CHAR(10), TRUE, UNIQUE(SPLIT(AK177, "";"" &amp; CHAR(10)), TRUE))&amp;"";"")"),"")</f>
        <v/>
      </c>
      <c r="AI177" s="128" t="str">
        <f>IFERROR(__xludf.DUMMYFUNCTION("IF(ISBLANK(AD177), IF(ISBLANK(AE177),,IFNA(TEXTJOIN("";"" &amp; CHAR(10), TRUE, FILTER(AE:AE, SEARCH(AE177&amp;"";"", AJ:AJ)))&amp;"";"", """")), TEXTJOIN("";"" &amp; CHAR(10), TRUE, UNIQUE(SPLIT(AH177 &amp; "";"" &amp; AH177 &amp; "";"" &amp; AL177, "";"" &amp; CHAR(10)), TRUE, TRUE))&amp;"";"&amp;""")"),"")</f>
        <v/>
      </c>
      <c r="AJ177" s="126" t="str">
        <f>IFERROR(__xludf.DUMMYFUNCTION("IF(AN177="""", """", TEXTJOIN("";"" &amp; CHAR(10), TRUE, UNIQUE(SPLIT(AH177 &amp; "";"" &amp; AH177 &amp; "";"" &amp; AN177, "";"" &amp; CHAR(10)), TRUE, TRUE))&amp;"";"")"),"")</f>
        <v/>
      </c>
      <c r="AK177" s="129" t="str">
        <f>IFERROR(__xludf.DUMMYFUNCTION("IF(ISBLANK(AD177), IF(ISBLANK(AE177),,AE177 &amp; "";""), TEXTJOIN(CHAR(10), TRUE, ARRAYFORMULA(VLOOKUP(SPLIT(AD177, "";"" &amp; CHAR(10)), $AC:$AH, 6, FALSE))))"),"")</f>
        <v/>
      </c>
      <c r="AL177" s="130" t="str">
        <f>IFERROR(__xludf.DUMMYFUNCTION("IF(AM177="""", """", TEXTJOIN("";"" &amp; CHAR(10), TRUE, UNIQUE(SPLIT(AM177, "";"" &amp; CHAR(10)), TRUE))&amp;"";"")"),"")</f>
        <v/>
      </c>
      <c r="AM177" s="130" t="str">
        <f>IFERROR(__xludf.DUMMYFUNCTION("IF(ISBLANK(AD177), """", TEXTJOIN(CHAR(10), TRUE, ARRAYFORMULA(VLOOKUP(SPLIT(AH177, "";"" &amp; CHAR(10)), $AE:$AI, 5, FALSE)), AF177))"),"")</f>
        <v/>
      </c>
      <c r="AN177" s="132" t="str">
        <f>IFERROR(__xludf.DUMMYFUNCTION("IF(ISBLANK(AO177), """", TEXTJOIN("";"" &amp; CHAR(10), TRUE, UNIQUE(SPLIT(AO177, "";"" &amp; CHAR(10)), TRUE))&amp;"";"")"),"")</f>
        <v/>
      </c>
      <c r="AO177" s="134" t="str">
        <f>IFERROR(__xludf.DUMMYFUNCTION("IF(ISBLANK(AD177), AF177, TEXTJOIN(CHAR(10), TRUE, ARRAYFORMULA(VLOOKUP(SPLIT(AD177, "";"" &amp; CHAR(10)), $AC:$AN, 12, FALSE))))"),"")</f>
        <v/>
      </c>
      <c r="AP177" s="130" t="str">
        <f>IF(ISBLANK(AE177),,IF(IFERROR(SEARCH(AE177&amp;";",Circuits!$AO$2),0),TRUE,FALSE))</f>
        <v/>
      </c>
      <c r="AQ177" s="130" t="str">
        <f t="shared" si="2"/>
        <v/>
      </c>
      <c r="AR177" s="130" t="str">
        <f t="shared" si="3"/>
        <v/>
      </c>
      <c r="AS177" s="136" t="str">
        <f>IFERROR(__xludf.DUMMYFUNCTION("IF(AH177="""",,SUM(ARRAYFORMULA(IF(IFERROR(SEARCH(SPLIT(AH177,CHAR(10)),Circuits!$AO$2),0)&gt;0,0,1))))"),"")</f>
        <v/>
      </c>
      <c r="AT177" s="138" t="str">
        <f t="shared" si="4"/>
        <v/>
      </c>
      <c r="AU177" s="138" t="str">
        <f t="shared" si="5"/>
        <v/>
      </c>
      <c r="AV177" s="130" t="str">
        <f>IFERROR(__xludf.DUMMYFUNCTION("IF(AI177="""",,TEXTJOIN("", "",TRUE,ARRAYFORMULA(VLOOKUP(SPLIT(AI177,"";""&amp;CHAR(10)),AE:AT,16,FALSE))))"),"")</f>
        <v/>
      </c>
      <c r="AW177" s="130" t="str">
        <f>IFERROR(__xludf.DUMMYFUNCTION("IF(ISBLANK(BK177),,TEXTJOIN("", "",TRUE,ARRAYFORMULA(VLOOKUP(IFERROR(REGEXEXTRACT(SPLIT(BK177,"";""&amp;CHAR(10)),""\[(.+)\]"")),AE:AT,16,false))))"),"")</f>
        <v/>
      </c>
      <c r="AX177" s="139" t="str">
        <f t="shared" si="6"/>
        <v/>
      </c>
      <c r="AY177" s="139" t="str">
        <f t="shared" si="7"/>
        <v/>
      </c>
      <c r="AZ177" s="106" t="str">
        <f>IFERROR(__xludf.DUMMYFUNCTION("IF(ISBLANK(AD177), BC177, TEXTJOIN(CHAR(10) &amp; CHAR(10), TRUE, ARRAYFORMULA(VLOOKUP(SPLIT(AD177, "";"" &amp; CHAR(10)), $AC:$AY, 23, FALSE))))"),"")</f>
        <v/>
      </c>
      <c r="BA177" s="140" t="s">
        <v>66</v>
      </c>
      <c r="BB177" s="190"/>
      <c r="BC177" s="196"/>
      <c r="BD177" s="106" t="str">
        <f>IFERROR(__xludf.DUMMYFUNCTION("IF(IFERROR(SEARCH(""&lt;&lt;mechanism to realize the capability&gt;&gt;"",BA177),0)=0,
 ""!! Error !! “Capability&amp;Mechanism” column: Invalid Separator:"" &amp; CHAR(10) &amp; ""Insert separator “&lt;&lt;mechanism to realize the capability&gt;&gt;.”"",
 IF(
  LEN(TRIM(CLEAN(
    INDEX(
 "&amp;"     SPLIT(BA177,""&lt;&lt;mechanism to realize the capability&gt;&gt;"",FALSE,FALSE),
      1
    )
  )))=0,
  ""!! Error !! “Capability&amp;Mechanism” column: No Capability:""  &amp; CHAR(10) &amp; ""Describe Capability before separator."",
  INDEX(
    SPLIT(BA177,""&lt;&lt;mechani"&amp;"sm to realize the capability&gt;&gt;"",FALSE,FALSE),
    1
  )
 )
)
"),"!! Error !! “Capability&amp;Mechanism” column: No Capability:
Describe Capability before separator.")</f>
        <v>!! Error !! “Capability&amp;Mechanism” column: No Capability:
Describe Capability before separator.</v>
      </c>
      <c r="BE177" s="190"/>
      <c r="BF177" s="185"/>
      <c r="BG177" s="38"/>
      <c r="BH177" s="190"/>
      <c r="BI177" s="196"/>
      <c r="BJ177" s="38"/>
      <c r="BK177" s="38"/>
      <c r="BL177" s="203"/>
      <c r="BM177" s="203"/>
      <c r="BN177" s="38"/>
      <c r="BO177" s="38"/>
      <c r="BP177" s="143"/>
      <c r="BQ177" s="143"/>
      <c r="BR177" s="192"/>
      <c r="BS177" s="192"/>
      <c r="BT177" s="192"/>
      <c r="BU177" s="192"/>
      <c r="BV177" s="192"/>
      <c r="BW177" s="192"/>
      <c r="BX177" s="146" t="str">
        <f t="shared" si="8"/>
        <v/>
      </c>
    </row>
    <row r="178">
      <c r="A178" s="106" t="str">
        <f t="shared" si="1"/>
        <v/>
      </c>
      <c r="B178" s="183" t="str">
        <f t="array" ref="B178">IF(ISBLANK($AE178), "-",INDEX(Circuits!A:A,SUMPRODUCT(EXACT($AE178,Circuits!$A:$A)*ROW(Circuits!$A:$A))))</f>
        <v>-</v>
      </c>
      <c r="C178" s="183" t="str">
        <f t="array" ref="C178">IF(ISBLANK($AE178), "-",INDEX(Circuits!B:B,SUMPRODUCT(EXACT($AE178,Circuits!$A:$A)*ROW(Circuits!$A:$A))))</f>
        <v>-</v>
      </c>
      <c r="D178" s="183" t="str">
        <f t="array" ref="D178">IF(ISBLANK($AE178), "-",INDEX(Circuits!C:C,SUMPRODUCT(EXACT($AE178,Circuits!$A:$A)*ROW(Circuits!$A:$A))))</f>
        <v>-</v>
      </c>
      <c r="E178" s="183" t="str">
        <f t="array" ref="E178">IF(ISBLANK($AE178), "-",INDEX(Circuits!D:D,SUMPRODUCT(EXACT($AE178,Circuits!$A:$A)*ROW(Circuits!$A:$A))))</f>
        <v>-</v>
      </c>
      <c r="F178" s="183" t="str">
        <f t="array" ref="F178">IF(ISBLANK($AE178), "-",INDEX(Circuits!E:E,SUMPRODUCT(EXACT($AE178,Circuits!$A:$A)*ROW(Circuits!$A:$A))))</f>
        <v>-</v>
      </c>
      <c r="G178" s="183" t="str">
        <f t="array" ref="G178">IF(ISBLANK($AE178), "-",INDEX(Circuits!F:F,SUMPRODUCT(EXACT($AE178,Circuits!$A:$A)*ROW(Circuits!$A:$A))))</f>
        <v>-</v>
      </c>
      <c r="H178" s="183" t="str">
        <f t="array" ref="H178">IF(ISBLANK($AE178), "-",INDEX(Circuits!G:G,SUMPRODUCT(EXACT($AE178,Circuits!$A:$A)*ROW(Circuits!$A:$A))))</f>
        <v>-</v>
      </c>
      <c r="I178" s="183" t="str">
        <f t="array" ref="I178">IF(ISBLANK($AE178), "-",INDEX(Circuits!H:H,SUMPRODUCT(EXACT($AE178,Circuits!$A:$A)*ROW(Circuits!$A:$A))))</f>
        <v>-</v>
      </c>
      <c r="J178" s="183" t="str">
        <f t="array" ref="J178">IF(ISBLANK($AE178), "-",INDEX(Circuits!I:I,SUMPRODUCT(EXACT($AE178,Circuits!$A:$A)*ROW(Circuits!$A:$A))))</f>
        <v>-</v>
      </c>
      <c r="K178" s="183" t="str">
        <f t="array" ref="K178">IF(ISBLANK($AE178), "-",INDEX(Circuits!J:J,SUMPRODUCT(EXACT($AE178,Circuits!$A:$A)*ROW(Circuits!$A:$A))))</f>
        <v>-</v>
      </c>
      <c r="L178" s="183" t="str">
        <f t="array" ref="L178">IF(ISBLANK($AE178), "-",INDEX(Circuits!K:K,SUMPRODUCT(EXACT($AE178,Circuits!$A:$A)*ROW(Circuits!$A:$A))))</f>
        <v>-</v>
      </c>
      <c r="M178" s="183" t="str">
        <f t="array" ref="M178">IF(ISBLANK($AE178), "-",INDEX(Circuits!L:L,SUMPRODUCT(EXACT($AE178,Circuits!$A:$A)*ROW(Circuits!$A:$A))))</f>
        <v>-</v>
      </c>
      <c r="N178" s="183" t="str">
        <f t="array" ref="N178">IF(ISBLANK($AE178), "-",INDEX(Circuits!M:M,SUMPRODUCT(EXACT($AE178,Circuits!$A:$A)*ROW(Circuits!$A:$A))))</f>
        <v>-</v>
      </c>
      <c r="O178" s="183" t="str">
        <f t="array" ref="O178">IF(ISBLANK($AE178), "-",INDEX(Circuits!N:N,SUMPRODUCT(EXACT($AE178,Circuits!$A:$A)*ROW(Circuits!$A:$A))))</f>
        <v>-</v>
      </c>
      <c r="P178" s="183" t="str">
        <f t="array" ref="P178">IF(ISBLANK($AE178), "-",INDEX(Circuits!O:O,SUMPRODUCT(EXACT($AE178,Circuits!$A:$A)*ROW(Circuits!$A:$A))))</f>
        <v>-</v>
      </c>
      <c r="Q178" s="183" t="str">
        <f t="array" ref="Q178">IF(ISBLANK($AE178), "-",INDEX(Circuits!P:P,SUMPRODUCT(EXACT($AE178,Circuits!$A:$A)*ROW(Circuits!$A:$A))))</f>
        <v>-</v>
      </c>
      <c r="R178" s="183" t="str">
        <f t="array" ref="R178">IF(ISBLANK($AE178), "-",INDEX(Circuits!Q:Q,SUMPRODUCT(EXACT($AE178,Circuits!$A:$A)*ROW(Circuits!$A:$A))))</f>
        <v>-</v>
      </c>
      <c r="S178" s="183" t="str">
        <f t="array" ref="S178">IF(ISBLANK($AE178), "-",INDEX(Circuits!R:R,SUMPRODUCT(EXACT($AE178,Circuits!$A:$A)*ROW(Circuits!$A:$A))))</f>
        <v>-</v>
      </c>
      <c r="T178" s="183" t="str">
        <f t="array" ref="T178">IF(ISBLANK($AE178), "-",INDEX(Circuits!S:S,SUMPRODUCT(EXACT($AE178,Circuits!$A:$A)*ROW(Circuits!$A:$A))))</f>
        <v>-</v>
      </c>
      <c r="U178" s="183" t="str">
        <f t="array" ref="U178">IF(ISBLANK($AE178), "-",INDEX(Circuits!T:T,SUMPRODUCT(EXACT($AE178,Circuits!$A:$A)*ROW(Circuits!$A:$A))))</f>
        <v>-</v>
      </c>
      <c r="V178" s="183" t="str">
        <f t="array" ref="V178">IF(ISBLANK($AE178), "-",INDEX(Circuits!U:U,SUMPRODUCT(EXACT($AE178,Circuits!$A:$A)*ROW(Circuits!$A:$A))))</f>
        <v>-</v>
      </c>
      <c r="W178" s="183" t="str">
        <f t="array" ref="W178">IF(ISBLANK($AE178), "-",INDEX(Circuits!V:V,SUMPRODUCT(EXACT($AE178,Circuits!$A:$A)*ROW(Circuits!$A:$A))))</f>
        <v>-</v>
      </c>
      <c r="X178" s="183" t="str">
        <f t="array" ref="X178">IF(ISBLANK($AE178), "-",INDEX(Circuits!W:W,SUMPRODUCT(EXACT($AE178,Circuits!$A:$A)*ROW(Circuits!$A:$A))))</f>
        <v>-</v>
      </c>
      <c r="Y178" s="183" t="str">
        <f t="array" ref="Y178">IF(ISBLANK($AE178), "-",INDEX(Circuits!X:X,SUMPRODUCT(EXACT($AE178,Circuits!$A:$A)*ROW(Circuits!$A:$A))))</f>
        <v>-</v>
      </c>
      <c r="Z178" s="108" t="str">
        <f>IFERROR(__xludf.DUMMYFUNCTION("IFNA(CONCATENATE(UNIQUE(FILTER(Connections!R:R,Connections!A:A=B178))),""-"")"),"-")</f>
        <v>-</v>
      </c>
      <c r="AA178" s="119" t="str">
        <f t="array" ref="AA178">IF(ISBLANK($AE178), "-",INDEX(Circuits!Y:Y,SUMPRODUCT(EXACT($AE178,Circuits!$A:$A)*ROW(Circuits!$A:$A))))</f>
        <v>-</v>
      </c>
      <c r="AB178" s="121" t="str">
        <f t="array" ref="AB178">IF(ISBLANK($AE178), "-",INDEX(Circuits!Z:Z,SUMPRODUCT(EXACT($AE178,Circuits!$A:$A)*ROW(Circuits!$A:$A))))</f>
        <v>-</v>
      </c>
      <c r="AC178" s="194"/>
      <c r="AD178" s="194"/>
      <c r="AE178" s="40"/>
      <c r="AF178" s="47"/>
      <c r="AG178" s="126" t="str">
        <f>IFERROR(__xludf.DUMMYFUNCTION("IF(ISBLANK(AF178), """", TEXTJOIN(CHAR(10),TRUE,ARRAYFORMULA(IF(ISERROR(SEARCH(SPLIT(AF178, "";""), $Z178)), ""x"", ""-""))))"),"")</f>
        <v/>
      </c>
      <c r="AH178" s="127" t="str">
        <f>IFERROR(__xludf.DUMMYFUNCTION("IF(ISBLANK(AK178), """", TEXTJOIN("";"" &amp; CHAR(10), TRUE, UNIQUE(SPLIT(AK178, "";"" &amp; CHAR(10)), TRUE))&amp;"";"")"),"")</f>
        <v/>
      </c>
      <c r="AI178" s="128" t="str">
        <f>IFERROR(__xludf.DUMMYFUNCTION("IF(ISBLANK(AD178), IF(ISBLANK(AE178),,IFNA(TEXTJOIN("";"" &amp; CHAR(10), TRUE, FILTER(AE:AE, SEARCH(AE178&amp;"";"", AJ:AJ)))&amp;"";"", """")), TEXTJOIN("";"" &amp; CHAR(10), TRUE, UNIQUE(SPLIT(AH178 &amp; "";"" &amp; AH178 &amp; "";"" &amp; AL178, "";"" &amp; CHAR(10)), TRUE, TRUE))&amp;"";"&amp;""")"),"")</f>
        <v/>
      </c>
      <c r="AJ178" s="126" t="str">
        <f>IFERROR(__xludf.DUMMYFUNCTION("IF(AN178="""", """", TEXTJOIN("";"" &amp; CHAR(10), TRUE, UNIQUE(SPLIT(AH178 &amp; "";"" &amp; AH178 &amp; "";"" &amp; AN178, "";"" &amp; CHAR(10)), TRUE, TRUE))&amp;"";"")"),"")</f>
        <v/>
      </c>
      <c r="AK178" s="129" t="str">
        <f>IFERROR(__xludf.DUMMYFUNCTION("IF(ISBLANK(AD178), IF(ISBLANK(AE178),,AE178 &amp; "";""), TEXTJOIN(CHAR(10), TRUE, ARRAYFORMULA(VLOOKUP(SPLIT(AD178, "";"" &amp; CHAR(10)), $AC:$AH, 6, FALSE))))"),"")</f>
        <v/>
      </c>
      <c r="AL178" s="130" t="str">
        <f>IFERROR(__xludf.DUMMYFUNCTION("IF(AM178="""", """", TEXTJOIN("";"" &amp; CHAR(10), TRUE, UNIQUE(SPLIT(AM178, "";"" &amp; CHAR(10)), TRUE))&amp;"";"")"),"")</f>
        <v/>
      </c>
      <c r="AM178" s="130" t="str">
        <f>IFERROR(__xludf.DUMMYFUNCTION("IF(ISBLANK(AD178), """", TEXTJOIN(CHAR(10), TRUE, ARRAYFORMULA(VLOOKUP(SPLIT(AH178, "";"" &amp; CHAR(10)), $AE:$AI, 5, FALSE)), AF178))"),"")</f>
        <v/>
      </c>
      <c r="AN178" s="132" t="str">
        <f>IFERROR(__xludf.DUMMYFUNCTION("IF(ISBLANK(AO178), """", TEXTJOIN("";"" &amp; CHAR(10), TRUE, UNIQUE(SPLIT(AO178, "";"" &amp; CHAR(10)), TRUE))&amp;"";"")"),"")</f>
        <v/>
      </c>
      <c r="AO178" s="134" t="str">
        <f>IFERROR(__xludf.DUMMYFUNCTION("IF(ISBLANK(AD178), AF178, TEXTJOIN(CHAR(10), TRUE, ARRAYFORMULA(VLOOKUP(SPLIT(AD178, "";"" &amp; CHAR(10)), $AC:$AN, 12, FALSE))))"),"")</f>
        <v/>
      </c>
      <c r="AP178" s="130" t="str">
        <f>IF(ISBLANK(AE178),,IF(IFERROR(SEARCH(AE178&amp;";",Circuits!$AO$2),0),TRUE,FALSE))</f>
        <v/>
      </c>
      <c r="AQ178" s="130" t="str">
        <f t="shared" si="2"/>
        <v/>
      </c>
      <c r="AR178" s="130" t="str">
        <f t="shared" si="3"/>
        <v/>
      </c>
      <c r="AS178" s="136" t="str">
        <f>IFERROR(__xludf.DUMMYFUNCTION("IF(AH178="""",,SUM(ARRAYFORMULA(IF(IFERROR(SEARCH(SPLIT(AH178,CHAR(10)),Circuits!$AO$2),0)&gt;0,0,1))))"),"")</f>
        <v/>
      </c>
      <c r="AT178" s="138" t="str">
        <f t="shared" si="4"/>
        <v/>
      </c>
      <c r="AU178" s="138" t="str">
        <f t="shared" si="5"/>
        <v/>
      </c>
      <c r="AV178" s="130" t="str">
        <f>IFERROR(__xludf.DUMMYFUNCTION("IF(AI178="""",,TEXTJOIN("", "",TRUE,ARRAYFORMULA(VLOOKUP(SPLIT(AI178,"";""&amp;CHAR(10)),AE:AT,16,FALSE))))"),"")</f>
        <v/>
      </c>
      <c r="AW178" s="130" t="str">
        <f>IFERROR(__xludf.DUMMYFUNCTION("IF(ISBLANK(BK178),,TEXTJOIN("", "",TRUE,ARRAYFORMULA(VLOOKUP(IFERROR(REGEXEXTRACT(SPLIT(BK178,"";""&amp;CHAR(10)),""\[(.+)\]"")),AE:AT,16,false))))"),"")</f>
        <v/>
      </c>
      <c r="AX178" s="139" t="str">
        <f t="shared" si="6"/>
        <v/>
      </c>
      <c r="AY178" s="139" t="str">
        <f t="shared" si="7"/>
        <v/>
      </c>
      <c r="AZ178" s="106" t="str">
        <f>IFERROR(__xludf.DUMMYFUNCTION("IF(ISBLANK(AD178), BC178, TEXTJOIN(CHAR(10) &amp; CHAR(10), TRUE, ARRAYFORMULA(VLOOKUP(SPLIT(AD178, "";"" &amp; CHAR(10)), $AC:$AY, 23, FALSE))))"),"")</f>
        <v/>
      </c>
      <c r="BA178" s="140" t="s">
        <v>66</v>
      </c>
      <c r="BB178" s="190"/>
      <c r="BC178" s="196"/>
      <c r="BD178" s="106" t="str">
        <f>IFERROR(__xludf.DUMMYFUNCTION("IF(IFERROR(SEARCH(""&lt;&lt;mechanism to realize the capability&gt;&gt;"",BA178),0)=0,
 ""!! Error !! “Capability&amp;Mechanism” column: Invalid Separator:"" &amp; CHAR(10) &amp; ""Insert separator “&lt;&lt;mechanism to realize the capability&gt;&gt;.”"",
 IF(
  LEN(TRIM(CLEAN(
    INDEX(
 "&amp;"     SPLIT(BA178,""&lt;&lt;mechanism to realize the capability&gt;&gt;"",FALSE,FALSE),
      1
    )
  )))=0,
  ""!! Error !! “Capability&amp;Mechanism” column: No Capability:""  &amp; CHAR(10) &amp; ""Describe Capability before separator."",
  INDEX(
    SPLIT(BA178,""&lt;&lt;mechani"&amp;"sm to realize the capability&gt;&gt;"",FALSE,FALSE),
    1
  )
 )
)
"),"!! Error !! “Capability&amp;Mechanism” column: No Capability:
Describe Capability before separator.")</f>
        <v>!! Error !! “Capability&amp;Mechanism” column: No Capability:
Describe Capability before separator.</v>
      </c>
      <c r="BE178" s="190"/>
      <c r="BF178" s="185"/>
      <c r="BG178" s="38"/>
      <c r="BH178" s="190"/>
      <c r="BI178" s="196"/>
      <c r="BJ178" s="38"/>
      <c r="BK178" s="38"/>
      <c r="BL178" s="203"/>
      <c r="BM178" s="203"/>
      <c r="BN178" s="38"/>
      <c r="BO178" s="38"/>
      <c r="BP178" s="143"/>
      <c r="BQ178" s="143"/>
      <c r="BR178" s="192"/>
      <c r="BS178" s="192"/>
      <c r="BT178" s="192"/>
      <c r="BU178" s="192"/>
      <c r="BV178" s="192"/>
      <c r="BW178" s="192"/>
      <c r="BX178" s="146" t="str">
        <f t="shared" si="8"/>
        <v/>
      </c>
    </row>
    <row r="179">
      <c r="A179" s="106" t="str">
        <f t="shared" si="1"/>
        <v/>
      </c>
      <c r="B179" s="183" t="str">
        <f t="array" ref="B179">IF(ISBLANK($AE179), "-",INDEX(Circuits!A:A,SUMPRODUCT(EXACT($AE179,Circuits!$A:$A)*ROW(Circuits!$A:$A))))</f>
        <v>-</v>
      </c>
      <c r="C179" s="183" t="str">
        <f t="array" ref="C179">IF(ISBLANK($AE179), "-",INDEX(Circuits!B:B,SUMPRODUCT(EXACT($AE179,Circuits!$A:$A)*ROW(Circuits!$A:$A))))</f>
        <v>-</v>
      </c>
      <c r="D179" s="183" t="str">
        <f t="array" ref="D179">IF(ISBLANK($AE179), "-",INDEX(Circuits!C:C,SUMPRODUCT(EXACT($AE179,Circuits!$A:$A)*ROW(Circuits!$A:$A))))</f>
        <v>-</v>
      </c>
      <c r="E179" s="183" t="str">
        <f t="array" ref="E179">IF(ISBLANK($AE179), "-",INDEX(Circuits!D:D,SUMPRODUCT(EXACT($AE179,Circuits!$A:$A)*ROW(Circuits!$A:$A))))</f>
        <v>-</v>
      </c>
      <c r="F179" s="183" t="str">
        <f t="array" ref="F179">IF(ISBLANK($AE179), "-",INDEX(Circuits!E:E,SUMPRODUCT(EXACT($AE179,Circuits!$A:$A)*ROW(Circuits!$A:$A))))</f>
        <v>-</v>
      </c>
      <c r="G179" s="183" t="str">
        <f t="array" ref="G179">IF(ISBLANK($AE179), "-",INDEX(Circuits!F:F,SUMPRODUCT(EXACT($AE179,Circuits!$A:$A)*ROW(Circuits!$A:$A))))</f>
        <v>-</v>
      </c>
      <c r="H179" s="183" t="str">
        <f t="array" ref="H179">IF(ISBLANK($AE179), "-",INDEX(Circuits!G:G,SUMPRODUCT(EXACT($AE179,Circuits!$A:$A)*ROW(Circuits!$A:$A))))</f>
        <v>-</v>
      </c>
      <c r="I179" s="183" t="str">
        <f t="array" ref="I179">IF(ISBLANK($AE179), "-",INDEX(Circuits!H:H,SUMPRODUCT(EXACT($AE179,Circuits!$A:$A)*ROW(Circuits!$A:$A))))</f>
        <v>-</v>
      </c>
      <c r="J179" s="183" t="str">
        <f t="array" ref="J179">IF(ISBLANK($AE179), "-",INDEX(Circuits!I:I,SUMPRODUCT(EXACT($AE179,Circuits!$A:$A)*ROW(Circuits!$A:$A))))</f>
        <v>-</v>
      </c>
      <c r="K179" s="183" t="str">
        <f t="array" ref="K179">IF(ISBLANK($AE179), "-",INDEX(Circuits!J:J,SUMPRODUCT(EXACT($AE179,Circuits!$A:$A)*ROW(Circuits!$A:$A))))</f>
        <v>-</v>
      </c>
      <c r="L179" s="183" t="str">
        <f t="array" ref="L179">IF(ISBLANK($AE179), "-",INDEX(Circuits!K:K,SUMPRODUCT(EXACT($AE179,Circuits!$A:$A)*ROW(Circuits!$A:$A))))</f>
        <v>-</v>
      </c>
      <c r="M179" s="183" t="str">
        <f t="array" ref="M179">IF(ISBLANK($AE179), "-",INDEX(Circuits!L:L,SUMPRODUCT(EXACT($AE179,Circuits!$A:$A)*ROW(Circuits!$A:$A))))</f>
        <v>-</v>
      </c>
      <c r="N179" s="183" t="str">
        <f t="array" ref="N179">IF(ISBLANK($AE179), "-",INDEX(Circuits!M:M,SUMPRODUCT(EXACT($AE179,Circuits!$A:$A)*ROW(Circuits!$A:$A))))</f>
        <v>-</v>
      </c>
      <c r="O179" s="183" t="str">
        <f t="array" ref="O179">IF(ISBLANK($AE179), "-",INDEX(Circuits!N:N,SUMPRODUCT(EXACT($AE179,Circuits!$A:$A)*ROW(Circuits!$A:$A))))</f>
        <v>-</v>
      </c>
      <c r="P179" s="183" t="str">
        <f t="array" ref="P179">IF(ISBLANK($AE179), "-",INDEX(Circuits!O:O,SUMPRODUCT(EXACT($AE179,Circuits!$A:$A)*ROW(Circuits!$A:$A))))</f>
        <v>-</v>
      </c>
      <c r="Q179" s="183" t="str">
        <f t="array" ref="Q179">IF(ISBLANK($AE179), "-",INDEX(Circuits!P:P,SUMPRODUCT(EXACT($AE179,Circuits!$A:$A)*ROW(Circuits!$A:$A))))</f>
        <v>-</v>
      </c>
      <c r="R179" s="183" t="str">
        <f t="array" ref="R179">IF(ISBLANK($AE179), "-",INDEX(Circuits!Q:Q,SUMPRODUCT(EXACT($AE179,Circuits!$A:$A)*ROW(Circuits!$A:$A))))</f>
        <v>-</v>
      </c>
      <c r="S179" s="183" t="str">
        <f t="array" ref="S179">IF(ISBLANK($AE179), "-",INDEX(Circuits!R:R,SUMPRODUCT(EXACT($AE179,Circuits!$A:$A)*ROW(Circuits!$A:$A))))</f>
        <v>-</v>
      </c>
      <c r="T179" s="183" t="str">
        <f t="array" ref="T179">IF(ISBLANK($AE179), "-",INDEX(Circuits!S:S,SUMPRODUCT(EXACT($AE179,Circuits!$A:$A)*ROW(Circuits!$A:$A))))</f>
        <v>-</v>
      </c>
      <c r="U179" s="183" t="str">
        <f t="array" ref="U179">IF(ISBLANK($AE179), "-",INDEX(Circuits!T:T,SUMPRODUCT(EXACT($AE179,Circuits!$A:$A)*ROW(Circuits!$A:$A))))</f>
        <v>-</v>
      </c>
      <c r="V179" s="183" t="str">
        <f t="array" ref="V179">IF(ISBLANK($AE179), "-",INDEX(Circuits!U:U,SUMPRODUCT(EXACT($AE179,Circuits!$A:$A)*ROW(Circuits!$A:$A))))</f>
        <v>-</v>
      </c>
      <c r="W179" s="183" t="str">
        <f t="array" ref="W179">IF(ISBLANK($AE179), "-",INDEX(Circuits!V:V,SUMPRODUCT(EXACT($AE179,Circuits!$A:$A)*ROW(Circuits!$A:$A))))</f>
        <v>-</v>
      </c>
      <c r="X179" s="183" t="str">
        <f t="array" ref="X179">IF(ISBLANK($AE179), "-",INDEX(Circuits!W:W,SUMPRODUCT(EXACT($AE179,Circuits!$A:$A)*ROW(Circuits!$A:$A))))</f>
        <v>-</v>
      </c>
      <c r="Y179" s="183" t="str">
        <f t="array" ref="Y179">IF(ISBLANK($AE179), "-",INDEX(Circuits!X:X,SUMPRODUCT(EXACT($AE179,Circuits!$A:$A)*ROW(Circuits!$A:$A))))</f>
        <v>-</v>
      </c>
      <c r="Z179" s="108" t="str">
        <f>IFERROR(__xludf.DUMMYFUNCTION("IFNA(CONCATENATE(UNIQUE(FILTER(Connections!R:R,Connections!A:A=B179))),""-"")"),"-")</f>
        <v>-</v>
      </c>
      <c r="AA179" s="119" t="str">
        <f t="array" ref="AA179">IF(ISBLANK($AE179), "-",INDEX(Circuits!Y:Y,SUMPRODUCT(EXACT($AE179,Circuits!$A:$A)*ROW(Circuits!$A:$A))))</f>
        <v>-</v>
      </c>
      <c r="AB179" s="121" t="str">
        <f t="array" ref="AB179">IF(ISBLANK($AE179), "-",INDEX(Circuits!Z:Z,SUMPRODUCT(EXACT($AE179,Circuits!$A:$A)*ROW(Circuits!$A:$A))))</f>
        <v>-</v>
      </c>
      <c r="AC179" s="194"/>
      <c r="AD179" s="194"/>
      <c r="AE179" s="40"/>
      <c r="AF179" s="47"/>
      <c r="AG179" s="126" t="str">
        <f>IFERROR(__xludf.DUMMYFUNCTION("IF(ISBLANK(AF179), """", TEXTJOIN(CHAR(10),TRUE,ARRAYFORMULA(IF(ISERROR(SEARCH(SPLIT(AF179, "";""), $Z179)), ""x"", ""-""))))"),"")</f>
        <v/>
      </c>
      <c r="AH179" s="127" t="str">
        <f>IFERROR(__xludf.DUMMYFUNCTION("IF(ISBLANK(AK179), """", TEXTJOIN("";"" &amp; CHAR(10), TRUE, UNIQUE(SPLIT(AK179, "";"" &amp; CHAR(10)), TRUE))&amp;"";"")"),"")</f>
        <v/>
      </c>
      <c r="AI179" s="128" t="str">
        <f>IFERROR(__xludf.DUMMYFUNCTION("IF(ISBLANK(AD179), IF(ISBLANK(AE179),,IFNA(TEXTJOIN("";"" &amp; CHAR(10), TRUE, FILTER(AE:AE, SEARCH(AE179&amp;"";"", AJ:AJ)))&amp;"";"", """")), TEXTJOIN("";"" &amp; CHAR(10), TRUE, UNIQUE(SPLIT(AH179 &amp; "";"" &amp; AH179 &amp; "";"" &amp; AL179, "";"" &amp; CHAR(10)), TRUE, TRUE))&amp;"";"&amp;""")"),"")</f>
        <v/>
      </c>
      <c r="AJ179" s="126" t="str">
        <f>IFERROR(__xludf.DUMMYFUNCTION("IF(AN179="""", """", TEXTJOIN("";"" &amp; CHAR(10), TRUE, UNIQUE(SPLIT(AH179 &amp; "";"" &amp; AH179 &amp; "";"" &amp; AN179, "";"" &amp; CHAR(10)), TRUE, TRUE))&amp;"";"")"),"")</f>
        <v/>
      </c>
      <c r="AK179" s="129" t="str">
        <f>IFERROR(__xludf.DUMMYFUNCTION("IF(ISBLANK(AD179), IF(ISBLANK(AE179),,AE179 &amp; "";""), TEXTJOIN(CHAR(10), TRUE, ARRAYFORMULA(VLOOKUP(SPLIT(AD179, "";"" &amp; CHAR(10)), $AC:$AH, 6, FALSE))))"),"")</f>
        <v/>
      </c>
      <c r="AL179" s="130" t="str">
        <f>IFERROR(__xludf.DUMMYFUNCTION("IF(AM179="""", """", TEXTJOIN("";"" &amp; CHAR(10), TRUE, UNIQUE(SPLIT(AM179, "";"" &amp; CHAR(10)), TRUE))&amp;"";"")"),"")</f>
        <v/>
      </c>
      <c r="AM179" s="130" t="str">
        <f>IFERROR(__xludf.DUMMYFUNCTION("IF(ISBLANK(AD179), """", TEXTJOIN(CHAR(10), TRUE, ARRAYFORMULA(VLOOKUP(SPLIT(AH179, "";"" &amp; CHAR(10)), $AE:$AI, 5, FALSE)), AF179))"),"")</f>
        <v/>
      </c>
      <c r="AN179" s="132" t="str">
        <f>IFERROR(__xludf.DUMMYFUNCTION("IF(ISBLANK(AO179), """", TEXTJOIN("";"" &amp; CHAR(10), TRUE, UNIQUE(SPLIT(AO179, "";"" &amp; CHAR(10)), TRUE))&amp;"";"")"),"")</f>
        <v/>
      </c>
      <c r="AO179" s="134" t="str">
        <f>IFERROR(__xludf.DUMMYFUNCTION("IF(ISBLANK(AD179), AF179, TEXTJOIN(CHAR(10), TRUE, ARRAYFORMULA(VLOOKUP(SPLIT(AD179, "";"" &amp; CHAR(10)), $AC:$AN, 12, FALSE))))"),"")</f>
        <v/>
      </c>
      <c r="AP179" s="130" t="str">
        <f>IF(ISBLANK(AE179),,IF(IFERROR(SEARCH(AE179&amp;";",Circuits!$AO$2),0),TRUE,FALSE))</f>
        <v/>
      </c>
      <c r="AQ179" s="130" t="str">
        <f t="shared" si="2"/>
        <v/>
      </c>
      <c r="AR179" s="130" t="str">
        <f t="shared" si="3"/>
        <v/>
      </c>
      <c r="AS179" s="136" t="str">
        <f>IFERROR(__xludf.DUMMYFUNCTION("IF(AH179="""",,SUM(ARRAYFORMULA(IF(IFERROR(SEARCH(SPLIT(AH179,CHAR(10)),Circuits!$AO$2),0)&gt;0,0,1))))"),"")</f>
        <v/>
      </c>
      <c r="AT179" s="138" t="str">
        <f t="shared" si="4"/>
        <v/>
      </c>
      <c r="AU179" s="138" t="str">
        <f t="shared" si="5"/>
        <v/>
      </c>
      <c r="AV179" s="130" t="str">
        <f>IFERROR(__xludf.DUMMYFUNCTION("IF(AI179="""",,TEXTJOIN("", "",TRUE,ARRAYFORMULA(VLOOKUP(SPLIT(AI179,"";""&amp;CHAR(10)),AE:AT,16,FALSE))))"),"")</f>
        <v/>
      </c>
      <c r="AW179" s="130" t="str">
        <f>IFERROR(__xludf.DUMMYFUNCTION("IF(ISBLANK(BK179),,TEXTJOIN("", "",TRUE,ARRAYFORMULA(VLOOKUP(IFERROR(REGEXEXTRACT(SPLIT(BK179,"";""&amp;CHAR(10)),""\[(.+)\]"")),AE:AT,16,false))))"),"")</f>
        <v/>
      </c>
      <c r="AX179" s="139" t="str">
        <f t="shared" si="6"/>
        <v/>
      </c>
      <c r="AY179" s="139" t="str">
        <f t="shared" si="7"/>
        <v/>
      </c>
      <c r="AZ179" s="106" t="str">
        <f>IFERROR(__xludf.DUMMYFUNCTION("IF(ISBLANK(AD179), BC179, TEXTJOIN(CHAR(10) &amp; CHAR(10), TRUE, ARRAYFORMULA(VLOOKUP(SPLIT(AD179, "";"" &amp; CHAR(10)), $AC:$AY, 23, FALSE))))"),"")</f>
        <v/>
      </c>
      <c r="BA179" s="140" t="s">
        <v>66</v>
      </c>
      <c r="BB179" s="190"/>
      <c r="BC179" s="196"/>
      <c r="BD179" s="106" t="str">
        <f>IFERROR(__xludf.DUMMYFUNCTION("IF(IFERROR(SEARCH(""&lt;&lt;mechanism to realize the capability&gt;&gt;"",BA179),0)=0,
 ""!! Error !! “Capability&amp;Mechanism” column: Invalid Separator:"" &amp; CHAR(10) &amp; ""Insert separator “&lt;&lt;mechanism to realize the capability&gt;&gt;.”"",
 IF(
  LEN(TRIM(CLEAN(
    INDEX(
 "&amp;"     SPLIT(BA179,""&lt;&lt;mechanism to realize the capability&gt;&gt;"",FALSE,FALSE),
      1
    )
  )))=0,
  ""!! Error !! “Capability&amp;Mechanism” column: No Capability:""  &amp; CHAR(10) &amp; ""Describe Capability before separator."",
  INDEX(
    SPLIT(BA179,""&lt;&lt;mechani"&amp;"sm to realize the capability&gt;&gt;"",FALSE,FALSE),
    1
  )
 )
)
"),"!! Error !! “Capability&amp;Mechanism” column: No Capability:
Describe Capability before separator.")</f>
        <v>!! Error !! “Capability&amp;Mechanism” column: No Capability:
Describe Capability before separator.</v>
      </c>
      <c r="BE179" s="190"/>
      <c r="BF179" s="185"/>
      <c r="BG179" s="38"/>
      <c r="BH179" s="190"/>
      <c r="BI179" s="196"/>
      <c r="BJ179" s="38"/>
      <c r="BK179" s="38"/>
      <c r="BL179" s="203"/>
      <c r="BM179" s="203"/>
      <c r="BN179" s="38"/>
      <c r="BO179" s="38"/>
      <c r="BP179" s="143"/>
      <c r="BQ179" s="143"/>
      <c r="BR179" s="192"/>
      <c r="BS179" s="192"/>
      <c r="BT179" s="192"/>
      <c r="BU179" s="192"/>
      <c r="BV179" s="192"/>
      <c r="BW179" s="192"/>
      <c r="BX179" s="146" t="str">
        <f t="shared" si="8"/>
        <v/>
      </c>
    </row>
    <row r="180">
      <c r="A180" s="106" t="str">
        <f t="shared" si="1"/>
        <v/>
      </c>
      <c r="B180" s="183" t="str">
        <f t="array" ref="B180">IF(ISBLANK($AE180), "-",INDEX(Circuits!A:A,SUMPRODUCT(EXACT($AE180,Circuits!$A:$A)*ROW(Circuits!$A:$A))))</f>
        <v>-</v>
      </c>
      <c r="C180" s="183" t="str">
        <f t="array" ref="C180">IF(ISBLANK($AE180), "-",INDEX(Circuits!B:B,SUMPRODUCT(EXACT($AE180,Circuits!$A:$A)*ROW(Circuits!$A:$A))))</f>
        <v>-</v>
      </c>
      <c r="D180" s="183" t="str">
        <f t="array" ref="D180">IF(ISBLANK($AE180), "-",INDEX(Circuits!C:C,SUMPRODUCT(EXACT($AE180,Circuits!$A:$A)*ROW(Circuits!$A:$A))))</f>
        <v>-</v>
      </c>
      <c r="E180" s="183" t="str">
        <f t="array" ref="E180">IF(ISBLANK($AE180), "-",INDEX(Circuits!D:D,SUMPRODUCT(EXACT($AE180,Circuits!$A:$A)*ROW(Circuits!$A:$A))))</f>
        <v>-</v>
      </c>
      <c r="F180" s="183" t="str">
        <f t="array" ref="F180">IF(ISBLANK($AE180), "-",INDEX(Circuits!E:E,SUMPRODUCT(EXACT($AE180,Circuits!$A:$A)*ROW(Circuits!$A:$A))))</f>
        <v>-</v>
      </c>
      <c r="G180" s="183" t="str">
        <f t="array" ref="G180">IF(ISBLANK($AE180), "-",INDEX(Circuits!F:F,SUMPRODUCT(EXACT($AE180,Circuits!$A:$A)*ROW(Circuits!$A:$A))))</f>
        <v>-</v>
      </c>
      <c r="H180" s="183" t="str">
        <f t="array" ref="H180">IF(ISBLANK($AE180), "-",INDEX(Circuits!G:G,SUMPRODUCT(EXACT($AE180,Circuits!$A:$A)*ROW(Circuits!$A:$A))))</f>
        <v>-</v>
      </c>
      <c r="I180" s="183" t="str">
        <f t="array" ref="I180">IF(ISBLANK($AE180), "-",INDEX(Circuits!H:H,SUMPRODUCT(EXACT($AE180,Circuits!$A:$A)*ROW(Circuits!$A:$A))))</f>
        <v>-</v>
      </c>
      <c r="J180" s="183" t="str">
        <f t="array" ref="J180">IF(ISBLANK($AE180), "-",INDEX(Circuits!I:I,SUMPRODUCT(EXACT($AE180,Circuits!$A:$A)*ROW(Circuits!$A:$A))))</f>
        <v>-</v>
      </c>
      <c r="K180" s="183" t="str">
        <f t="array" ref="K180">IF(ISBLANK($AE180), "-",INDEX(Circuits!J:J,SUMPRODUCT(EXACT($AE180,Circuits!$A:$A)*ROW(Circuits!$A:$A))))</f>
        <v>-</v>
      </c>
      <c r="L180" s="183" t="str">
        <f t="array" ref="L180">IF(ISBLANK($AE180), "-",INDEX(Circuits!K:K,SUMPRODUCT(EXACT($AE180,Circuits!$A:$A)*ROW(Circuits!$A:$A))))</f>
        <v>-</v>
      </c>
      <c r="M180" s="183" t="str">
        <f t="array" ref="M180">IF(ISBLANK($AE180), "-",INDEX(Circuits!L:L,SUMPRODUCT(EXACT($AE180,Circuits!$A:$A)*ROW(Circuits!$A:$A))))</f>
        <v>-</v>
      </c>
      <c r="N180" s="183" t="str">
        <f t="array" ref="N180">IF(ISBLANK($AE180), "-",INDEX(Circuits!M:M,SUMPRODUCT(EXACT($AE180,Circuits!$A:$A)*ROW(Circuits!$A:$A))))</f>
        <v>-</v>
      </c>
      <c r="O180" s="183" t="str">
        <f t="array" ref="O180">IF(ISBLANK($AE180), "-",INDEX(Circuits!N:N,SUMPRODUCT(EXACT($AE180,Circuits!$A:$A)*ROW(Circuits!$A:$A))))</f>
        <v>-</v>
      </c>
      <c r="P180" s="183" t="str">
        <f t="array" ref="P180">IF(ISBLANK($AE180), "-",INDEX(Circuits!O:O,SUMPRODUCT(EXACT($AE180,Circuits!$A:$A)*ROW(Circuits!$A:$A))))</f>
        <v>-</v>
      </c>
      <c r="Q180" s="183" t="str">
        <f t="array" ref="Q180">IF(ISBLANK($AE180), "-",INDEX(Circuits!P:P,SUMPRODUCT(EXACT($AE180,Circuits!$A:$A)*ROW(Circuits!$A:$A))))</f>
        <v>-</v>
      </c>
      <c r="R180" s="183" t="str">
        <f t="array" ref="R180">IF(ISBLANK($AE180), "-",INDEX(Circuits!Q:Q,SUMPRODUCT(EXACT($AE180,Circuits!$A:$A)*ROW(Circuits!$A:$A))))</f>
        <v>-</v>
      </c>
      <c r="S180" s="183" t="str">
        <f t="array" ref="S180">IF(ISBLANK($AE180), "-",INDEX(Circuits!R:R,SUMPRODUCT(EXACT($AE180,Circuits!$A:$A)*ROW(Circuits!$A:$A))))</f>
        <v>-</v>
      </c>
      <c r="T180" s="183" t="str">
        <f t="array" ref="T180">IF(ISBLANK($AE180), "-",INDEX(Circuits!S:S,SUMPRODUCT(EXACT($AE180,Circuits!$A:$A)*ROW(Circuits!$A:$A))))</f>
        <v>-</v>
      </c>
      <c r="U180" s="183" t="str">
        <f t="array" ref="U180">IF(ISBLANK($AE180), "-",INDEX(Circuits!T:T,SUMPRODUCT(EXACT($AE180,Circuits!$A:$A)*ROW(Circuits!$A:$A))))</f>
        <v>-</v>
      </c>
      <c r="V180" s="183" t="str">
        <f t="array" ref="V180">IF(ISBLANK($AE180), "-",INDEX(Circuits!U:U,SUMPRODUCT(EXACT($AE180,Circuits!$A:$A)*ROW(Circuits!$A:$A))))</f>
        <v>-</v>
      </c>
      <c r="W180" s="183" t="str">
        <f t="array" ref="W180">IF(ISBLANK($AE180), "-",INDEX(Circuits!V:V,SUMPRODUCT(EXACT($AE180,Circuits!$A:$A)*ROW(Circuits!$A:$A))))</f>
        <v>-</v>
      </c>
      <c r="X180" s="183" t="str">
        <f t="array" ref="X180">IF(ISBLANK($AE180), "-",INDEX(Circuits!W:W,SUMPRODUCT(EXACT($AE180,Circuits!$A:$A)*ROW(Circuits!$A:$A))))</f>
        <v>-</v>
      </c>
      <c r="Y180" s="183" t="str">
        <f t="array" ref="Y180">IF(ISBLANK($AE180), "-",INDEX(Circuits!X:X,SUMPRODUCT(EXACT($AE180,Circuits!$A:$A)*ROW(Circuits!$A:$A))))</f>
        <v>-</v>
      </c>
      <c r="Z180" s="108" t="str">
        <f>IFERROR(__xludf.DUMMYFUNCTION("IFNA(CONCATENATE(UNIQUE(FILTER(Connections!R:R,Connections!A:A=B180))),""-"")"),"-")</f>
        <v>-</v>
      </c>
      <c r="AA180" s="119" t="str">
        <f t="array" ref="AA180">IF(ISBLANK($AE180), "-",INDEX(Circuits!Y:Y,SUMPRODUCT(EXACT($AE180,Circuits!$A:$A)*ROW(Circuits!$A:$A))))</f>
        <v>-</v>
      </c>
      <c r="AB180" s="121" t="str">
        <f t="array" ref="AB180">IF(ISBLANK($AE180), "-",INDEX(Circuits!Z:Z,SUMPRODUCT(EXACT($AE180,Circuits!$A:$A)*ROW(Circuits!$A:$A))))</f>
        <v>-</v>
      </c>
      <c r="AC180" s="194"/>
      <c r="AD180" s="194"/>
      <c r="AE180" s="40"/>
      <c r="AF180" s="47"/>
      <c r="AG180" s="126" t="str">
        <f>IFERROR(__xludf.DUMMYFUNCTION("IF(ISBLANK(AF180), """", TEXTJOIN(CHAR(10),TRUE,ARRAYFORMULA(IF(ISERROR(SEARCH(SPLIT(AF180, "";""), $Z180)), ""x"", ""-""))))"),"")</f>
        <v/>
      </c>
      <c r="AH180" s="127" t="str">
        <f>IFERROR(__xludf.DUMMYFUNCTION("IF(ISBLANK(AK180), """", TEXTJOIN("";"" &amp; CHAR(10), TRUE, UNIQUE(SPLIT(AK180, "";"" &amp; CHAR(10)), TRUE))&amp;"";"")"),"")</f>
        <v/>
      </c>
      <c r="AI180" s="128" t="str">
        <f>IFERROR(__xludf.DUMMYFUNCTION("IF(ISBLANK(AD180), IF(ISBLANK(AE180),,IFNA(TEXTJOIN("";"" &amp; CHAR(10), TRUE, FILTER(AE:AE, SEARCH(AE180&amp;"";"", AJ:AJ)))&amp;"";"", """")), TEXTJOIN("";"" &amp; CHAR(10), TRUE, UNIQUE(SPLIT(AH180 &amp; "";"" &amp; AH180 &amp; "";"" &amp; AL180, "";"" &amp; CHAR(10)), TRUE, TRUE))&amp;"";"&amp;""")"),"")</f>
        <v/>
      </c>
      <c r="AJ180" s="126" t="str">
        <f>IFERROR(__xludf.DUMMYFUNCTION("IF(AN180="""", """", TEXTJOIN("";"" &amp; CHAR(10), TRUE, UNIQUE(SPLIT(AH180 &amp; "";"" &amp; AH180 &amp; "";"" &amp; AN180, "";"" &amp; CHAR(10)), TRUE, TRUE))&amp;"";"")"),"")</f>
        <v/>
      </c>
      <c r="AK180" s="129" t="str">
        <f>IFERROR(__xludf.DUMMYFUNCTION("IF(ISBLANK(AD180), IF(ISBLANK(AE180),,AE180 &amp; "";""), TEXTJOIN(CHAR(10), TRUE, ARRAYFORMULA(VLOOKUP(SPLIT(AD180, "";"" &amp; CHAR(10)), $AC:$AH, 6, FALSE))))"),"")</f>
        <v/>
      </c>
      <c r="AL180" s="130" t="str">
        <f>IFERROR(__xludf.DUMMYFUNCTION("IF(AM180="""", """", TEXTJOIN("";"" &amp; CHAR(10), TRUE, UNIQUE(SPLIT(AM180, "";"" &amp; CHAR(10)), TRUE))&amp;"";"")"),"")</f>
        <v/>
      </c>
      <c r="AM180" s="130" t="str">
        <f>IFERROR(__xludf.DUMMYFUNCTION("IF(ISBLANK(AD180), """", TEXTJOIN(CHAR(10), TRUE, ARRAYFORMULA(VLOOKUP(SPLIT(AH180, "";"" &amp; CHAR(10)), $AE:$AI, 5, FALSE)), AF180))"),"")</f>
        <v/>
      </c>
      <c r="AN180" s="132" t="str">
        <f>IFERROR(__xludf.DUMMYFUNCTION("IF(ISBLANK(AO180), """", TEXTJOIN("";"" &amp; CHAR(10), TRUE, UNIQUE(SPLIT(AO180, "";"" &amp; CHAR(10)), TRUE))&amp;"";"")"),"")</f>
        <v/>
      </c>
      <c r="AO180" s="134" t="str">
        <f>IFERROR(__xludf.DUMMYFUNCTION("IF(ISBLANK(AD180), AF180, TEXTJOIN(CHAR(10), TRUE, ARRAYFORMULA(VLOOKUP(SPLIT(AD180, "";"" &amp; CHAR(10)), $AC:$AN, 12, FALSE))))"),"")</f>
        <v/>
      </c>
      <c r="AP180" s="130" t="str">
        <f>IF(ISBLANK(AE180),,IF(IFERROR(SEARCH(AE180&amp;";",Circuits!$AO$2),0),TRUE,FALSE))</f>
        <v/>
      </c>
      <c r="AQ180" s="130" t="str">
        <f t="shared" si="2"/>
        <v/>
      </c>
      <c r="AR180" s="130" t="str">
        <f t="shared" si="3"/>
        <v/>
      </c>
      <c r="AS180" s="136" t="str">
        <f>IFERROR(__xludf.DUMMYFUNCTION("IF(AH180="""",,SUM(ARRAYFORMULA(IF(IFERROR(SEARCH(SPLIT(AH180,CHAR(10)),Circuits!$AO$2),0)&gt;0,0,1))))"),"")</f>
        <v/>
      </c>
      <c r="AT180" s="138" t="str">
        <f t="shared" si="4"/>
        <v/>
      </c>
      <c r="AU180" s="138" t="str">
        <f t="shared" si="5"/>
        <v/>
      </c>
      <c r="AV180" s="130" t="str">
        <f>IFERROR(__xludf.DUMMYFUNCTION("IF(AI180="""",,TEXTJOIN("", "",TRUE,ARRAYFORMULA(VLOOKUP(SPLIT(AI180,"";""&amp;CHAR(10)),AE:AT,16,FALSE))))"),"")</f>
        <v/>
      </c>
      <c r="AW180" s="130" t="str">
        <f>IFERROR(__xludf.DUMMYFUNCTION("IF(ISBLANK(BK180),,TEXTJOIN("", "",TRUE,ARRAYFORMULA(VLOOKUP(IFERROR(REGEXEXTRACT(SPLIT(BK180,"";""&amp;CHAR(10)),""\[(.+)\]"")),AE:AT,16,false))))"),"")</f>
        <v/>
      </c>
      <c r="AX180" s="139" t="str">
        <f t="shared" si="6"/>
        <v/>
      </c>
      <c r="AY180" s="139" t="str">
        <f t="shared" si="7"/>
        <v/>
      </c>
      <c r="AZ180" s="106" t="str">
        <f>IFERROR(__xludf.DUMMYFUNCTION("IF(ISBLANK(AD180), BC180, TEXTJOIN(CHAR(10) &amp; CHAR(10), TRUE, ARRAYFORMULA(VLOOKUP(SPLIT(AD180, "";"" &amp; CHAR(10)), $AC:$AY, 23, FALSE))))"),"")</f>
        <v/>
      </c>
      <c r="BA180" s="140" t="s">
        <v>66</v>
      </c>
      <c r="BB180" s="190"/>
      <c r="BC180" s="196"/>
      <c r="BD180" s="106" t="str">
        <f>IFERROR(__xludf.DUMMYFUNCTION("IF(IFERROR(SEARCH(""&lt;&lt;mechanism to realize the capability&gt;&gt;"",BA180),0)=0,
 ""!! Error !! “Capability&amp;Mechanism” column: Invalid Separator:"" &amp; CHAR(10) &amp; ""Insert separator “&lt;&lt;mechanism to realize the capability&gt;&gt;.”"",
 IF(
  LEN(TRIM(CLEAN(
    INDEX(
 "&amp;"     SPLIT(BA180,""&lt;&lt;mechanism to realize the capability&gt;&gt;"",FALSE,FALSE),
      1
    )
  )))=0,
  ""!! Error !! “Capability&amp;Mechanism” column: No Capability:""  &amp; CHAR(10) &amp; ""Describe Capability before separator."",
  INDEX(
    SPLIT(BA180,""&lt;&lt;mechani"&amp;"sm to realize the capability&gt;&gt;"",FALSE,FALSE),
    1
  )
 )
)
"),"!! Error !! “Capability&amp;Mechanism” column: No Capability:
Describe Capability before separator.")</f>
        <v>!! Error !! “Capability&amp;Mechanism” column: No Capability:
Describe Capability before separator.</v>
      </c>
      <c r="BE180" s="190"/>
      <c r="BF180" s="185"/>
      <c r="BG180" s="38"/>
      <c r="BH180" s="190"/>
      <c r="BI180" s="196"/>
      <c r="BJ180" s="38"/>
      <c r="BK180" s="38"/>
      <c r="BL180" s="203"/>
      <c r="BM180" s="203"/>
      <c r="BN180" s="38"/>
      <c r="BO180" s="38"/>
      <c r="BP180" s="143"/>
      <c r="BQ180" s="143"/>
      <c r="BR180" s="192"/>
      <c r="BS180" s="192"/>
      <c r="BT180" s="192"/>
      <c r="BU180" s="192"/>
      <c r="BV180" s="192"/>
      <c r="BW180" s="192"/>
      <c r="BX180" s="146" t="str">
        <f t="shared" si="8"/>
        <v/>
      </c>
    </row>
    <row r="181">
      <c r="A181" s="106" t="str">
        <f t="shared" si="1"/>
        <v/>
      </c>
      <c r="B181" s="183" t="str">
        <f t="array" ref="B181">IF(ISBLANK($AE181), "-",INDEX(Circuits!A:A,SUMPRODUCT(EXACT($AE181,Circuits!$A:$A)*ROW(Circuits!$A:$A))))</f>
        <v>-</v>
      </c>
      <c r="C181" s="183" t="str">
        <f t="array" ref="C181">IF(ISBLANK($AE181), "-",INDEX(Circuits!B:B,SUMPRODUCT(EXACT($AE181,Circuits!$A:$A)*ROW(Circuits!$A:$A))))</f>
        <v>-</v>
      </c>
      <c r="D181" s="183" t="str">
        <f t="array" ref="D181">IF(ISBLANK($AE181), "-",INDEX(Circuits!C:C,SUMPRODUCT(EXACT($AE181,Circuits!$A:$A)*ROW(Circuits!$A:$A))))</f>
        <v>-</v>
      </c>
      <c r="E181" s="183" t="str">
        <f t="array" ref="E181">IF(ISBLANK($AE181), "-",INDEX(Circuits!D:D,SUMPRODUCT(EXACT($AE181,Circuits!$A:$A)*ROW(Circuits!$A:$A))))</f>
        <v>-</v>
      </c>
      <c r="F181" s="183" t="str">
        <f t="array" ref="F181">IF(ISBLANK($AE181), "-",INDEX(Circuits!E:E,SUMPRODUCT(EXACT($AE181,Circuits!$A:$A)*ROW(Circuits!$A:$A))))</f>
        <v>-</v>
      </c>
      <c r="G181" s="183" t="str">
        <f t="array" ref="G181">IF(ISBLANK($AE181), "-",INDEX(Circuits!F:F,SUMPRODUCT(EXACT($AE181,Circuits!$A:$A)*ROW(Circuits!$A:$A))))</f>
        <v>-</v>
      </c>
      <c r="H181" s="183" t="str">
        <f t="array" ref="H181">IF(ISBLANK($AE181), "-",INDEX(Circuits!G:G,SUMPRODUCT(EXACT($AE181,Circuits!$A:$A)*ROW(Circuits!$A:$A))))</f>
        <v>-</v>
      </c>
      <c r="I181" s="183" t="str">
        <f t="array" ref="I181">IF(ISBLANK($AE181), "-",INDEX(Circuits!H:H,SUMPRODUCT(EXACT($AE181,Circuits!$A:$A)*ROW(Circuits!$A:$A))))</f>
        <v>-</v>
      </c>
      <c r="J181" s="183" t="str">
        <f t="array" ref="J181">IF(ISBLANK($AE181), "-",INDEX(Circuits!I:I,SUMPRODUCT(EXACT($AE181,Circuits!$A:$A)*ROW(Circuits!$A:$A))))</f>
        <v>-</v>
      </c>
      <c r="K181" s="183" t="str">
        <f t="array" ref="K181">IF(ISBLANK($AE181), "-",INDEX(Circuits!J:J,SUMPRODUCT(EXACT($AE181,Circuits!$A:$A)*ROW(Circuits!$A:$A))))</f>
        <v>-</v>
      </c>
      <c r="L181" s="183" t="str">
        <f t="array" ref="L181">IF(ISBLANK($AE181), "-",INDEX(Circuits!K:K,SUMPRODUCT(EXACT($AE181,Circuits!$A:$A)*ROW(Circuits!$A:$A))))</f>
        <v>-</v>
      </c>
      <c r="M181" s="183" t="str">
        <f t="array" ref="M181">IF(ISBLANK($AE181), "-",INDEX(Circuits!L:L,SUMPRODUCT(EXACT($AE181,Circuits!$A:$A)*ROW(Circuits!$A:$A))))</f>
        <v>-</v>
      </c>
      <c r="N181" s="183" t="str">
        <f t="array" ref="N181">IF(ISBLANK($AE181), "-",INDEX(Circuits!M:M,SUMPRODUCT(EXACT($AE181,Circuits!$A:$A)*ROW(Circuits!$A:$A))))</f>
        <v>-</v>
      </c>
      <c r="O181" s="183" t="str">
        <f t="array" ref="O181">IF(ISBLANK($AE181), "-",INDEX(Circuits!N:N,SUMPRODUCT(EXACT($AE181,Circuits!$A:$A)*ROW(Circuits!$A:$A))))</f>
        <v>-</v>
      </c>
      <c r="P181" s="183" t="str">
        <f t="array" ref="P181">IF(ISBLANK($AE181), "-",INDEX(Circuits!O:O,SUMPRODUCT(EXACT($AE181,Circuits!$A:$A)*ROW(Circuits!$A:$A))))</f>
        <v>-</v>
      </c>
      <c r="Q181" s="183" t="str">
        <f t="array" ref="Q181">IF(ISBLANK($AE181), "-",INDEX(Circuits!P:P,SUMPRODUCT(EXACT($AE181,Circuits!$A:$A)*ROW(Circuits!$A:$A))))</f>
        <v>-</v>
      </c>
      <c r="R181" s="183" t="str">
        <f t="array" ref="R181">IF(ISBLANK($AE181), "-",INDEX(Circuits!Q:Q,SUMPRODUCT(EXACT($AE181,Circuits!$A:$A)*ROW(Circuits!$A:$A))))</f>
        <v>-</v>
      </c>
      <c r="S181" s="183" t="str">
        <f t="array" ref="S181">IF(ISBLANK($AE181), "-",INDEX(Circuits!R:R,SUMPRODUCT(EXACT($AE181,Circuits!$A:$A)*ROW(Circuits!$A:$A))))</f>
        <v>-</v>
      </c>
      <c r="T181" s="183" t="str">
        <f t="array" ref="T181">IF(ISBLANK($AE181), "-",INDEX(Circuits!S:S,SUMPRODUCT(EXACT($AE181,Circuits!$A:$A)*ROW(Circuits!$A:$A))))</f>
        <v>-</v>
      </c>
      <c r="U181" s="183" t="str">
        <f t="array" ref="U181">IF(ISBLANK($AE181), "-",INDEX(Circuits!T:T,SUMPRODUCT(EXACT($AE181,Circuits!$A:$A)*ROW(Circuits!$A:$A))))</f>
        <v>-</v>
      </c>
      <c r="V181" s="183" t="str">
        <f t="array" ref="V181">IF(ISBLANK($AE181), "-",INDEX(Circuits!U:U,SUMPRODUCT(EXACT($AE181,Circuits!$A:$A)*ROW(Circuits!$A:$A))))</f>
        <v>-</v>
      </c>
      <c r="W181" s="183" t="str">
        <f t="array" ref="W181">IF(ISBLANK($AE181), "-",INDEX(Circuits!V:V,SUMPRODUCT(EXACT($AE181,Circuits!$A:$A)*ROW(Circuits!$A:$A))))</f>
        <v>-</v>
      </c>
      <c r="X181" s="183" t="str">
        <f t="array" ref="X181">IF(ISBLANK($AE181), "-",INDEX(Circuits!W:W,SUMPRODUCT(EXACT($AE181,Circuits!$A:$A)*ROW(Circuits!$A:$A))))</f>
        <v>-</v>
      </c>
      <c r="Y181" s="183" t="str">
        <f t="array" ref="Y181">IF(ISBLANK($AE181), "-",INDEX(Circuits!X:X,SUMPRODUCT(EXACT($AE181,Circuits!$A:$A)*ROW(Circuits!$A:$A))))</f>
        <v>-</v>
      </c>
      <c r="Z181" s="108" t="str">
        <f>IFERROR(__xludf.DUMMYFUNCTION("IFNA(CONCATENATE(UNIQUE(FILTER(Connections!R:R,Connections!A:A=B181))),""-"")"),"-")</f>
        <v>-</v>
      </c>
      <c r="AA181" s="119" t="str">
        <f t="array" ref="AA181">IF(ISBLANK($AE181), "-",INDEX(Circuits!Y:Y,SUMPRODUCT(EXACT($AE181,Circuits!$A:$A)*ROW(Circuits!$A:$A))))</f>
        <v>-</v>
      </c>
      <c r="AB181" s="121" t="str">
        <f t="array" ref="AB181">IF(ISBLANK($AE181), "-",INDEX(Circuits!Z:Z,SUMPRODUCT(EXACT($AE181,Circuits!$A:$A)*ROW(Circuits!$A:$A))))</f>
        <v>-</v>
      </c>
      <c r="AC181" s="194"/>
      <c r="AD181" s="194"/>
      <c r="AE181" s="40"/>
      <c r="AF181" s="43"/>
      <c r="AG181" s="126" t="str">
        <f>IFERROR(__xludf.DUMMYFUNCTION("IF(ISBLANK(AF181), """", TEXTJOIN(CHAR(10),TRUE,ARRAYFORMULA(IF(ISERROR(SEARCH(SPLIT(AF181, "";""), $Z181)), ""x"", ""-""))))"),"")</f>
        <v/>
      </c>
      <c r="AH181" s="127" t="str">
        <f>IFERROR(__xludf.DUMMYFUNCTION("IF(ISBLANK(AK181), """", TEXTJOIN("";"" &amp; CHAR(10), TRUE, UNIQUE(SPLIT(AK181, "";"" &amp; CHAR(10)), TRUE))&amp;"";"")"),"")</f>
        <v/>
      </c>
      <c r="AI181" s="128" t="str">
        <f>IFERROR(__xludf.DUMMYFUNCTION("IF(ISBLANK(AD181), IF(ISBLANK(AE181),,IFNA(TEXTJOIN("";"" &amp; CHAR(10), TRUE, FILTER(AE:AE, SEARCH(AE181&amp;"";"", AJ:AJ)))&amp;"";"", """")), TEXTJOIN("";"" &amp; CHAR(10), TRUE, UNIQUE(SPLIT(AH181 &amp; "";"" &amp; AH181 &amp; "";"" &amp; AL181, "";"" &amp; CHAR(10)), TRUE, TRUE))&amp;"";"&amp;""")"),"")</f>
        <v/>
      </c>
      <c r="AJ181" s="126" t="str">
        <f>IFERROR(__xludf.DUMMYFUNCTION("IF(AN181="""", """", TEXTJOIN("";"" &amp; CHAR(10), TRUE, UNIQUE(SPLIT(AH181 &amp; "";"" &amp; AH181 &amp; "";"" &amp; AN181, "";"" &amp; CHAR(10)), TRUE, TRUE))&amp;"";"")"),"")</f>
        <v/>
      </c>
      <c r="AK181" s="129" t="str">
        <f>IFERROR(__xludf.DUMMYFUNCTION("IF(ISBLANK(AD181), IF(ISBLANK(AE181),,AE181 &amp; "";""), TEXTJOIN(CHAR(10), TRUE, ARRAYFORMULA(VLOOKUP(SPLIT(AD181, "";"" &amp; CHAR(10)), $AC:$AH, 6, FALSE))))"),"")</f>
        <v/>
      </c>
      <c r="AL181" s="130" t="str">
        <f>IFERROR(__xludf.DUMMYFUNCTION("IF(AM181="""", """", TEXTJOIN("";"" &amp; CHAR(10), TRUE, UNIQUE(SPLIT(AM181, "";"" &amp; CHAR(10)), TRUE))&amp;"";"")"),"")</f>
        <v/>
      </c>
      <c r="AM181" s="130" t="str">
        <f>IFERROR(__xludf.DUMMYFUNCTION("IF(ISBLANK(AD181), """", TEXTJOIN(CHAR(10), TRUE, ARRAYFORMULA(VLOOKUP(SPLIT(AH181, "";"" &amp; CHAR(10)), $AE:$AI, 5, FALSE)), AF181))"),"")</f>
        <v/>
      </c>
      <c r="AN181" s="132" t="str">
        <f>IFERROR(__xludf.DUMMYFUNCTION("IF(ISBLANK(AO181), """", TEXTJOIN("";"" &amp; CHAR(10), TRUE, UNIQUE(SPLIT(AO181, "";"" &amp; CHAR(10)), TRUE))&amp;"";"")"),"")</f>
        <v/>
      </c>
      <c r="AO181" s="134" t="str">
        <f>IFERROR(__xludf.DUMMYFUNCTION("IF(ISBLANK(AD181), AF181, TEXTJOIN(CHAR(10), TRUE, ARRAYFORMULA(VLOOKUP(SPLIT(AD181, "";"" &amp; CHAR(10)), $AC:$AN, 12, FALSE))))"),"")</f>
        <v/>
      </c>
      <c r="AP181" s="130" t="str">
        <f>IF(ISBLANK(AE181),,IF(IFERROR(SEARCH(AE181&amp;";",Circuits!$AO$2),0),TRUE,FALSE))</f>
        <v/>
      </c>
      <c r="AQ181" s="130" t="str">
        <f t="shared" si="2"/>
        <v/>
      </c>
      <c r="AR181" s="130" t="str">
        <f t="shared" si="3"/>
        <v/>
      </c>
      <c r="AS181" s="136" t="str">
        <f>IFERROR(__xludf.DUMMYFUNCTION("IF(AH181="""",,SUM(ARRAYFORMULA(IF(IFERROR(SEARCH(SPLIT(AH181,CHAR(10)),Circuits!$AO$2),0)&gt;0,0,1))))"),"")</f>
        <v/>
      </c>
      <c r="AT181" s="138" t="str">
        <f t="shared" si="4"/>
        <v/>
      </c>
      <c r="AU181" s="138" t="str">
        <f t="shared" si="5"/>
        <v/>
      </c>
      <c r="AV181" s="130" t="str">
        <f>IFERROR(__xludf.DUMMYFUNCTION("IF(AI181="""",,TEXTJOIN("", "",TRUE,ARRAYFORMULA(VLOOKUP(SPLIT(AI181,"";""&amp;CHAR(10)),AE:AT,16,FALSE))))"),"")</f>
        <v/>
      </c>
      <c r="AW181" s="130" t="str">
        <f>IFERROR(__xludf.DUMMYFUNCTION("IF(ISBLANK(BK181),,TEXTJOIN("", "",TRUE,ARRAYFORMULA(VLOOKUP(IFERROR(REGEXEXTRACT(SPLIT(BK181,"";""&amp;CHAR(10)),""\[(.+)\]"")),AE:AT,16,false))))"),"")</f>
        <v/>
      </c>
      <c r="AX181" s="139" t="str">
        <f t="shared" si="6"/>
        <v/>
      </c>
      <c r="AY181" s="139" t="str">
        <f t="shared" si="7"/>
        <v/>
      </c>
      <c r="AZ181" s="106" t="str">
        <f>IFERROR(__xludf.DUMMYFUNCTION("IF(ISBLANK(AD181), BC181, TEXTJOIN(CHAR(10) &amp; CHAR(10), TRUE, ARRAYFORMULA(VLOOKUP(SPLIT(AD181, "";"" &amp; CHAR(10)), $AC:$AY, 23, FALSE))))"),"")</f>
        <v/>
      </c>
      <c r="BA181" s="140" t="s">
        <v>66</v>
      </c>
      <c r="BB181" s="190"/>
      <c r="BC181" s="196"/>
      <c r="BD181" s="106" t="str">
        <f>IFERROR(__xludf.DUMMYFUNCTION("IF(IFERROR(SEARCH(""&lt;&lt;mechanism to realize the capability&gt;&gt;"",BA181),0)=0,
 ""!! Error !! “Capability&amp;Mechanism” column: Invalid Separator:"" &amp; CHAR(10) &amp; ""Insert separator “&lt;&lt;mechanism to realize the capability&gt;&gt;.”"",
 IF(
  LEN(TRIM(CLEAN(
    INDEX(
 "&amp;"     SPLIT(BA181,""&lt;&lt;mechanism to realize the capability&gt;&gt;"",FALSE,FALSE),
      1
    )
  )))=0,
  ""!! Error !! “Capability&amp;Mechanism” column: No Capability:""  &amp; CHAR(10) &amp; ""Describe Capability before separator."",
  INDEX(
    SPLIT(BA181,""&lt;&lt;mechani"&amp;"sm to realize the capability&gt;&gt;"",FALSE,FALSE),
    1
  )
 )
)
"),"!! Error !! “Capability&amp;Mechanism” column: No Capability:
Describe Capability before separator.")</f>
        <v>!! Error !! “Capability&amp;Mechanism” column: No Capability:
Describe Capability before separator.</v>
      </c>
      <c r="BE181" s="190"/>
      <c r="BF181" s="185"/>
      <c r="BG181" s="38"/>
      <c r="BH181" s="190"/>
      <c r="BI181" s="196"/>
      <c r="BJ181" s="38"/>
      <c r="BK181" s="38"/>
      <c r="BL181" s="203"/>
      <c r="BM181" s="203"/>
      <c r="BN181" s="38"/>
      <c r="BO181" s="38"/>
      <c r="BP181" s="143"/>
      <c r="BQ181" s="143"/>
      <c r="BR181" s="192"/>
      <c r="BS181" s="192"/>
      <c r="BT181" s="192"/>
      <c r="BU181" s="192"/>
      <c r="BV181" s="192"/>
      <c r="BW181" s="192"/>
      <c r="BX181" s="146" t="str">
        <f t="shared" si="8"/>
        <v/>
      </c>
    </row>
    <row r="182">
      <c r="A182" s="106" t="str">
        <f t="shared" si="1"/>
        <v/>
      </c>
      <c r="B182" s="183" t="str">
        <f t="array" ref="B182">IF(ISBLANK($AE182), "-",INDEX(Circuits!A:A,SUMPRODUCT(EXACT($AE182,Circuits!$A:$A)*ROW(Circuits!$A:$A))))</f>
        <v>-</v>
      </c>
      <c r="C182" s="183" t="str">
        <f t="array" ref="C182">IF(ISBLANK($AE182), "-",INDEX(Circuits!B:B,SUMPRODUCT(EXACT($AE182,Circuits!$A:$A)*ROW(Circuits!$A:$A))))</f>
        <v>-</v>
      </c>
      <c r="D182" s="183" t="str">
        <f t="array" ref="D182">IF(ISBLANK($AE182), "-",INDEX(Circuits!C:C,SUMPRODUCT(EXACT($AE182,Circuits!$A:$A)*ROW(Circuits!$A:$A))))</f>
        <v>-</v>
      </c>
      <c r="E182" s="183" t="str">
        <f t="array" ref="E182">IF(ISBLANK($AE182), "-",INDEX(Circuits!D:D,SUMPRODUCT(EXACT($AE182,Circuits!$A:$A)*ROW(Circuits!$A:$A))))</f>
        <v>-</v>
      </c>
      <c r="F182" s="183" t="str">
        <f t="array" ref="F182">IF(ISBLANK($AE182), "-",INDEX(Circuits!E:E,SUMPRODUCT(EXACT($AE182,Circuits!$A:$A)*ROW(Circuits!$A:$A))))</f>
        <v>-</v>
      </c>
      <c r="G182" s="183" t="str">
        <f t="array" ref="G182">IF(ISBLANK($AE182), "-",INDEX(Circuits!F:F,SUMPRODUCT(EXACT($AE182,Circuits!$A:$A)*ROW(Circuits!$A:$A))))</f>
        <v>-</v>
      </c>
      <c r="H182" s="183" t="str">
        <f t="array" ref="H182">IF(ISBLANK($AE182), "-",INDEX(Circuits!G:G,SUMPRODUCT(EXACT($AE182,Circuits!$A:$A)*ROW(Circuits!$A:$A))))</f>
        <v>-</v>
      </c>
      <c r="I182" s="183" t="str">
        <f t="array" ref="I182">IF(ISBLANK($AE182), "-",INDEX(Circuits!H:H,SUMPRODUCT(EXACT($AE182,Circuits!$A:$A)*ROW(Circuits!$A:$A))))</f>
        <v>-</v>
      </c>
      <c r="J182" s="183" t="str">
        <f t="array" ref="J182">IF(ISBLANK($AE182), "-",INDEX(Circuits!I:I,SUMPRODUCT(EXACT($AE182,Circuits!$A:$A)*ROW(Circuits!$A:$A))))</f>
        <v>-</v>
      </c>
      <c r="K182" s="183" t="str">
        <f t="array" ref="K182">IF(ISBLANK($AE182), "-",INDEX(Circuits!J:J,SUMPRODUCT(EXACT($AE182,Circuits!$A:$A)*ROW(Circuits!$A:$A))))</f>
        <v>-</v>
      </c>
      <c r="L182" s="183" t="str">
        <f t="array" ref="L182">IF(ISBLANK($AE182), "-",INDEX(Circuits!K:K,SUMPRODUCT(EXACT($AE182,Circuits!$A:$A)*ROW(Circuits!$A:$A))))</f>
        <v>-</v>
      </c>
      <c r="M182" s="183" t="str">
        <f t="array" ref="M182">IF(ISBLANK($AE182), "-",INDEX(Circuits!L:L,SUMPRODUCT(EXACT($AE182,Circuits!$A:$A)*ROW(Circuits!$A:$A))))</f>
        <v>-</v>
      </c>
      <c r="N182" s="183" t="str">
        <f t="array" ref="N182">IF(ISBLANK($AE182), "-",INDEX(Circuits!M:M,SUMPRODUCT(EXACT($AE182,Circuits!$A:$A)*ROW(Circuits!$A:$A))))</f>
        <v>-</v>
      </c>
      <c r="O182" s="183" t="str">
        <f t="array" ref="O182">IF(ISBLANK($AE182), "-",INDEX(Circuits!N:N,SUMPRODUCT(EXACT($AE182,Circuits!$A:$A)*ROW(Circuits!$A:$A))))</f>
        <v>-</v>
      </c>
      <c r="P182" s="183" t="str">
        <f t="array" ref="P182">IF(ISBLANK($AE182), "-",INDEX(Circuits!O:O,SUMPRODUCT(EXACT($AE182,Circuits!$A:$A)*ROW(Circuits!$A:$A))))</f>
        <v>-</v>
      </c>
      <c r="Q182" s="183" t="str">
        <f t="array" ref="Q182">IF(ISBLANK($AE182), "-",INDEX(Circuits!P:P,SUMPRODUCT(EXACT($AE182,Circuits!$A:$A)*ROW(Circuits!$A:$A))))</f>
        <v>-</v>
      </c>
      <c r="R182" s="183" t="str">
        <f t="array" ref="R182">IF(ISBLANK($AE182), "-",INDEX(Circuits!Q:Q,SUMPRODUCT(EXACT($AE182,Circuits!$A:$A)*ROW(Circuits!$A:$A))))</f>
        <v>-</v>
      </c>
      <c r="S182" s="183" t="str">
        <f t="array" ref="S182">IF(ISBLANK($AE182), "-",INDEX(Circuits!R:R,SUMPRODUCT(EXACT($AE182,Circuits!$A:$A)*ROW(Circuits!$A:$A))))</f>
        <v>-</v>
      </c>
      <c r="T182" s="183" t="str">
        <f t="array" ref="T182">IF(ISBLANK($AE182), "-",INDEX(Circuits!S:S,SUMPRODUCT(EXACT($AE182,Circuits!$A:$A)*ROW(Circuits!$A:$A))))</f>
        <v>-</v>
      </c>
      <c r="U182" s="183" t="str">
        <f t="array" ref="U182">IF(ISBLANK($AE182), "-",INDEX(Circuits!T:T,SUMPRODUCT(EXACT($AE182,Circuits!$A:$A)*ROW(Circuits!$A:$A))))</f>
        <v>-</v>
      </c>
      <c r="V182" s="183" t="str">
        <f t="array" ref="V182">IF(ISBLANK($AE182), "-",INDEX(Circuits!U:U,SUMPRODUCT(EXACT($AE182,Circuits!$A:$A)*ROW(Circuits!$A:$A))))</f>
        <v>-</v>
      </c>
      <c r="W182" s="183" t="str">
        <f t="array" ref="W182">IF(ISBLANK($AE182), "-",INDEX(Circuits!V:V,SUMPRODUCT(EXACT($AE182,Circuits!$A:$A)*ROW(Circuits!$A:$A))))</f>
        <v>-</v>
      </c>
      <c r="X182" s="183" t="str">
        <f t="array" ref="X182">IF(ISBLANK($AE182), "-",INDEX(Circuits!W:W,SUMPRODUCT(EXACT($AE182,Circuits!$A:$A)*ROW(Circuits!$A:$A))))</f>
        <v>-</v>
      </c>
      <c r="Y182" s="183" t="str">
        <f t="array" ref="Y182">IF(ISBLANK($AE182), "-",INDEX(Circuits!X:X,SUMPRODUCT(EXACT($AE182,Circuits!$A:$A)*ROW(Circuits!$A:$A))))</f>
        <v>-</v>
      </c>
      <c r="Z182" s="108" t="str">
        <f>IFERROR(__xludf.DUMMYFUNCTION("IFNA(CONCATENATE(UNIQUE(FILTER(Connections!R:R,Connections!A:A=B182))),""-"")"),"-")</f>
        <v>-</v>
      </c>
      <c r="AA182" s="119" t="str">
        <f t="array" ref="AA182">IF(ISBLANK($AE182), "-",INDEX(Circuits!Y:Y,SUMPRODUCT(EXACT($AE182,Circuits!$A:$A)*ROW(Circuits!$A:$A))))</f>
        <v>-</v>
      </c>
      <c r="AB182" s="121" t="str">
        <f t="array" ref="AB182">IF(ISBLANK($AE182), "-",INDEX(Circuits!Z:Z,SUMPRODUCT(EXACT($AE182,Circuits!$A:$A)*ROW(Circuits!$A:$A))))</f>
        <v>-</v>
      </c>
      <c r="AC182" s="194"/>
      <c r="AD182" s="194"/>
      <c r="AE182" s="40"/>
      <c r="AF182" s="47"/>
      <c r="AG182" s="126" t="str">
        <f>IFERROR(__xludf.DUMMYFUNCTION("IF(ISBLANK(AF182), """", TEXTJOIN(CHAR(10),TRUE,ARRAYFORMULA(IF(ISERROR(SEARCH(SPLIT(AF182, "";""), $Z182)), ""x"", ""-""))))"),"")</f>
        <v/>
      </c>
      <c r="AH182" s="127" t="str">
        <f>IFERROR(__xludf.DUMMYFUNCTION("IF(ISBLANK(AK182), """", TEXTJOIN("";"" &amp; CHAR(10), TRUE, UNIQUE(SPLIT(AK182, "";"" &amp; CHAR(10)), TRUE))&amp;"";"")"),"")</f>
        <v/>
      </c>
      <c r="AI182" s="128" t="str">
        <f>IFERROR(__xludf.DUMMYFUNCTION("IF(ISBLANK(AD182), IF(ISBLANK(AE182),,IFNA(TEXTJOIN("";"" &amp; CHAR(10), TRUE, FILTER(AE:AE, SEARCH(AE182&amp;"";"", AJ:AJ)))&amp;"";"", """")), TEXTJOIN("";"" &amp; CHAR(10), TRUE, UNIQUE(SPLIT(AH182 &amp; "";"" &amp; AH182 &amp; "";"" &amp; AL182, "";"" &amp; CHAR(10)), TRUE, TRUE))&amp;"";"&amp;""")"),"")</f>
        <v/>
      </c>
      <c r="AJ182" s="126" t="str">
        <f>IFERROR(__xludf.DUMMYFUNCTION("IF(AN182="""", """", TEXTJOIN("";"" &amp; CHAR(10), TRUE, UNIQUE(SPLIT(AH182 &amp; "";"" &amp; AH182 &amp; "";"" &amp; AN182, "";"" &amp; CHAR(10)), TRUE, TRUE))&amp;"";"")"),"")</f>
        <v/>
      </c>
      <c r="AK182" s="129" t="str">
        <f>IFERROR(__xludf.DUMMYFUNCTION("IF(ISBLANK(AD182), IF(ISBLANK(AE182),,AE182 &amp; "";""), TEXTJOIN(CHAR(10), TRUE, ARRAYFORMULA(VLOOKUP(SPLIT(AD182, "";"" &amp; CHAR(10)), $AC:$AH, 6, FALSE))))"),"")</f>
        <v/>
      </c>
      <c r="AL182" s="130" t="str">
        <f>IFERROR(__xludf.DUMMYFUNCTION("IF(AM182="""", """", TEXTJOIN("";"" &amp; CHAR(10), TRUE, UNIQUE(SPLIT(AM182, "";"" &amp; CHAR(10)), TRUE))&amp;"";"")"),"")</f>
        <v/>
      </c>
      <c r="AM182" s="130" t="str">
        <f>IFERROR(__xludf.DUMMYFUNCTION("IF(ISBLANK(AD182), """", TEXTJOIN(CHAR(10), TRUE, ARRAYFORMULA(VLOOKUP(SPLIT(AH182, "";"" &amp; CHAR(10)), $AE:$AI, 5, FALSE)), AF182))"),"")</f>
        <v/>
      </c>
      <c r="AN182" s="132" t="str">
        <f>IFERROR(__xludf.DUMMYFUNCTION("IF(ISBLANK(AO182), """", TEXTJOIN("";"" &amp; CHAR(10), TRUE, UNIQUE(SPLIT(AO182, "";"" &amp; CHAR(10)), TRUE))&amp;"";"")"),"")</f>
        <v/>
      </c>
      <c r="AO182" s="134" t="str">
        <f>IFERROR(__xludf.DUMMYFUNCTION("IF(ISBLANK(AD182), AF182, TEXTJOIN(CHAR(10), TRUE, ARRAYFORMULA(VLOOKUP(SPLIT(AD182, "";"" &amp; CHAR(10)), $AC:$AN, 12, FALSE))))"),"")</f>
        <v/>
      </c>
      <c r="AP182" s="130" t="str">
        <f>IF(ISBLANK(AE182),,IF(IFERROR(SEARCH(AE182&amp;";",Circuits!$AO$2),0),TRUE,FALSE))</f>
        <v/>
      </c>
      <c r="AQ182" s="130" t="str">
        <f t="shared" si="2"/>
        <v/>
      </c>
      <c r="AR182" s="130" t="str">
        <f t="shared" si="3"/>
        <v/>
      </c>
      <c r="AS182" s="136" t="str">
        <f>IFERROR(__xludf.DUMMYFUNCTION("IF(AH182="""",,SUM(ARRAYFORMULA(IF(IFERROR(SEARCH(SPLIT(AH182,CHAR(10)),Circuits!$AO$2),0)&gt;0,0,1))))"),"")</f>
        <v/>
      </c>
      <c r="AT182" s="138" t="str">
        <f t="shared" si="4"/>
        <v/>
      </c>
      <c r="AU182" s="138" t="str">
        <f t="shared" si="5"/>
        <v/>
      </c>
      <c r="AV182" s="130" t="str">
        <f>IFERROR(__xludf.DUMMYFUNCTION("IF(AI182="""",,TEXTJOIN("", "",TRUE,ARRAYFORMULA(VLOOKUP(SPLIT(AI182,"";""&amp;CHAR(10)),AE:AT,16,FALSE))))"),"")</f>
        <v/>
      </c>
      <c r="AW182" s="130" t="str">
        <f>IFERROR(__xludf.DUMMYFUNCTION("IF(ISBLANK(BK182),,TEXTJOIN("", "",TRUE,ARRAYFORMULA(VLOOKUP(IFERROR(REGEXEXTRACT(SPLIT(BK182,"";""&amp;CHAR(10)),""\[(.+)\]"")),AE:AT,16,false))))"),"")</f>
        <v/>
      </c>
      <c r="AX182" s="139" t="str">
        <f t="shared" si="6"/>
        <v/>
      </c>
      <c r="AY182" s="139" t="str">
        <f t="shared" si="7"/>
        <v/>
      </c>
      <c r="AZ182" s="106" t="str">
        <f>IFERROR(__xludf.DUMMYFUNCTION("IF(ISBLANK(AD182), BC182, TEXTJOIN(CHAR(10) &amp; CHAR(10), TRUE, ARRAYFORMULA(VLOOKUP(SPLIT(AD182, "";"" &amp; CHAR(10)), $AC:$AY, 23, FALSE))))"),"")</f>
        <v/>
      </c>
      <c r="BA182" s="140" t="s">
        <v>66</v>
      </c>
      <c r="BB182" s="190"/>
      <c r="BC182" s="196"/>
      <c r="BD182" s="106" t="str">
        <f>IFERROR(__xludf.DUMMYFUNCTION("IF(IFERROR(SEARCH(""&lt;&lt;mechanism to realize the capability&gt;&gt;"",BA182),0)=0,
 ""!! Error !! “Capability&amp;Mechanism” column: Invalid Separator:"" &amp; CHAR(10) &amp; ""Insert separator “&lt;&lt;mechanism to realize the capability&gt;&gt;.”"",
 IF(
  LEN(TRIM(CLEAN(
    INDEX(
 "&amp;"     SPLIT(BA182,""&lt;&lt;mechanism to realize the capability&gt;&gt;"",FALSE,FALSE),
      1
    )
  )))=0,
  ""!! Error !! “Capability&amp;Mechanism” column: No Capability:""  &amp; CHAR(10) &amp; ""Describe Capability before separator."",
  INDEX(
    SPLIT(BA182,""&lt;&lt;mechani"&amp;"sm to realize the capability&gt;&gt;"",FALSE,FALSE),
    1
  )
 )
)
"),"!! Error !! “Capability&amp;Mechanism” column: No Capability:
Describe Capability before separator.")</f>
        <v>!! Error !! “Capability&amp;Mechanism” column: No Capability:
Describe Capability before separator.</v>
      </c>
      <c r="BE182" s="190"/>
      <c r="BF182" s="195"/>
      <c r="BG182" s="42"/>
      <c r="BH182" s="190"/>
      <c r="BI182" s="196"/>
      <c r="BJ182" s="42"/>
      <c r="BK182" s="42"/>
      <c r="BL182" s="203"/>
      <c r="BM182" s="203"/>
      <c r="BN182" s="42"/>
      <c r="BO182" s="42"/>
      <c r="BP182" s="143"/>
      <c r="BQ182" s="143"/>
      <c r="BR182" s="192"/>
      <c r="BS182" s="192"/>
      <c r="BT182" s="192"/>
      <c r="BU182" s="192"/>
      <c r="BV182" s="192"/>
      <c r="BW182" s="192"/>
      <c r="BX182" s="146" t="str">
        <f t="shared" si="8"/>
        <v/>
      </c>
    </row>
    <row r="183">
      <c r="A183" s="106" t="str">
        <f t="shared" si="1"/>
        <v/>
      </c>
      <c r="B183" s="183" t="str">
        <f t="array" ref="B183">IF(ISBLANK($AE183), "-",INDEX(Circuits!A:A,SUMPRODUCT(EXACT($AE183,Circuits!$A:$A)*ROW(Circuits!$A:$A))))</f>
        <v>-</v>
      </c>
      <c r="C183" s="183" t="str">
        <f t="array" ref="C183">IF(ISBLANK($AE183), "-",INDEX(Circuits!B:B,SUMPRODUCT(EXACT($AE183,Circuits!$A:$A)*ROW(Circuits!$A:$A))))</f>
        <v>-</v>
      </c>
      <c r="D183" s="183" t="str">
        <f t="array" ref="D183">IF(ISBLANK($AE183), "-",INDEX(Circuits!C:C,SUMPRODUCT(EXACT($AE183,Circuits!$A:$A)*ROW(Circuits!$A:$A))))</f>
        <v>-</v>
      </c>
      <c r="E183" s="183" t="str">
        <f t="array" ref="E183">IF(ISBLANK($AE183), "-",INDEX(Circuits!D:D,SUMPRODUCT(EXACT($AE183,Circuits!$A:$A)*ROW(Circuits!$A:$A))))</f>
        <v>-</v>
      </c>
      <c r="F183" s="183" t="str">
        <f t="array" ref="F183">IF(ISBLANK($AE183), "-",INDEX(Circuits!E:E,SUMPRODUCT(EXACT($AE183,Circuits!$A:$A)*ROW(Circuits!$A:$A))))</f>
        <v>-</v>
      </c>
      <c r="G183" s="183" t="str">
        <f t="array" ref="G183">IF(ISBLANK($AE183), "-",INDEX(Circuits!F:F,SUMPRODUCT(EXACT($AE183,Circuits!$A:$A)*ROW(Circuits!$A:$A))))</f>
        <v>-</v>
      </c>
      <c r="H183" s="183" t="str">
        <f t="array" ref="H183">IF(ISBLANK($AE183), "-",INDEX(Circuits!G:G,SUMPRODUCT(EXACT($AE183,Circuits!$A:$A)*ROW(Circuits!$A:$A))))</f>
        <v>-</v>
      </c>
      <c r="I183" s="183" t="str">
        <f t="array" ref="I183">IF(ISBLANK($AE183), "-",INDEX(Circuits!H:H,SUMPRODUCT(EXACT($AE183,Circuits!$A:$A)*ROW(Circuits!$A:$A))))</f>
        <v>-</v>
      </c>
      <c r="J183" s="183" t="str">
        <f t="array" ref="J183">IF(ISBLANK($AE183), "-",INDEX(Circuits!I:I,SUMPRODUCT(EXACT($AE183,Circuits!$A:$A)*ROW(Circuits!$A:$A))))</f>
        <v>-</v>
      </c>
      <c r="K183" s="183" t="str">
        <f t="array" ref="K183">IF(ISBLANK($AE183), "-",INDEX(Circuits!J:J,SUMPRODUCT(EXACT($AE183,Circuits!$A:$A)*ROW(Circuits!$A:$A))))</f>
        <v>-</v>
      </c>
      <c r="L183" s="183" t="str">
        <f t="array" ref="L183">IF(ISBLANK($AE183), "-",INDEX(Circuits!K:K,SUMPRODUCT(EXACT($AE183,Circuits!$A:$A)*ROW(Circuits!$A:$A))))</f>
        <v>-</v>
      </c>
      <c r="M183" s="183" t="str">
        <f t="array" ref="M183">IF(ISBLANK($AE183), "-",INDEX(Circuits!L:L,SUMPRODUCT(EXACT($AE183,Circuits!$A:$A)*ROW(Circuits!$A:$A))))</f>
        <v>-</v>
      </c>
      <c r="N183" s="183" t="str">
        <f t="array" ref="N183">IF(ISBLANK($AE183), "-",INDEX(Circuits!M:M,SUMPRODUCT(EXACT($AE183,Circuits!$A:$A)*ROW(Circuits!$A:$A))))</f>
        <v>-</v>
      </c>
      <c r="O183" s="183" t="str">
        <f t="array" ref="O183">IF(ISBLANK($AE183), "-",INDEX(Circuits!N:N,SUMPRODUCT(EXACT($AE183,Circuits!$A:$A)*ROW(Circuits!$A:$A))))</f>
        <v>-</v>
      </c>
      <c r="P183" s="183" t="str">
        <f t="array" ref="P183">IF(ISBLANK($AE183), "-",INDEX(Circuits!O:O,SUMPRODUCT(EXACT($AE183,Circuits!$A:$A)*ROW(Circuits!$A:$A))))</f>
        <v>-</v>
      </c>
      <c r="Q183" s="183" t="str">
        <f t="array" ref="Q183">IF(ISBLANK($AE183), "-",INDEX(Circuits!P:P,SUMPRODUCT(EXACT($AE183,Circuits!$A:$A)*ROW(Circuits!$A:$A))))</f>
        <v>-</v>
      </c>
      <c r="R183" s="183" t="str">
        <f t="array" ref="R183">IF(ISBLANK($AE183), "-",INDEX(Circuits!Q:Q,SUMPRODUCT(EXACT($AE183,Circuits!$A:$A)*ROW(Circuits!$A:$A))))</f>
        <v>-</v>
      </c>
      <c r="S183" s="183" t="str">
        <f t="array" ref="S183">IF(ISBLANK($AE183), "-",INDEX(Circuits!R:R,SUMPRODUCT(EXACT($AE183,Circuits!$A:$A)*ROW(Circuits!$A:$A))))</f>
        <v>-</v>
      </c>
      <c r="T183" s="183" t="str">
        <f t="array" ref="T183">IF(ISBLANK($AE183), "-",INDEX(Circuits!S:S,SUMPRODUCT(EXACT($AE183,Circuits!$A:$A)*ROW(Circuits!$A:$A))))</f>
        <v>-</v>
      </c>
      <c r="U183" s="183" t="str">
        <f t="array" ref="U183">IF(ISBLANK($AE183), "-",INDEX(Circuits!T:T,SUMPRODUCT(EXACT($AE183,Circuits!$A:$A)*ROW(Circuits!$A:$A))))</f>
        <v>-</v>
      </c>
      <c r="V183" s="183" t="str">
        <f t="array" ref="V183">IF(ISBLANK($AE183), "-",INDEX(Circuits!U:U,SUMPRODUCT(EXACT($AE183,Circuits!$A:$A)*ROW(Circuits!$A:$A))))</f>
        <v>-</v>
      </c>
      <c r="W183" s="183" t="str">
        <f t="array" ref="W183">IF(ISBLANK($AE183), "-",INDEX(Circuits!V:V,SUMPRODUCT(EXACT($AE183,Circuits!$A:$A)*ROW(Circuits!$A:$A))))</f>
        <v>-</v>
      </c>
      <c r="X183" s="183" t="str">
        <f t="array" ref="X183">IF(ISBLANK($AE183), "-",INDEX(Circuits!W:W,SUMPRODUCT(EXACT($AE183,Circuits!$A:$A)*ROW(Circuits!$A:$A))))</f>
        <v>-</v>
      </c>
      <c r="Y183" s="183" t="str">
        <f t="array" ref="Y183">IF(ISBLANK($AE183), "-",INDEX(Circuits!X:X,SUMPRODUCT(EXACT($AE183,Circuits!$A:$A)*ROW(Circuits!$A:$A))))</f>
        <v>-</v>
      </c>
      <c r="Z183" s="108" t="str">
        <f>IFERROR(__xludf.DUMMYFUNCTION("IFNA(CONCATENATE(UNIQUE(FILTER(Connections!R:R,Connections!A:A=B183))),""-"")"),"-")</f>
        <v>-</v>
      </c>
      <c r="AA183" s="119" t="str">
        <f t="array" ref="AA183">IF(ISBLANK($AE183), "-",INDEX(Circuits!Y:Y,SUMPRODUCT(EXACT($AE183,Circuits!$A:$A)*ROW(Circuits!$A:$A))))</f>
        <v>-</v>
      </c>
      <c r="AB183" s="121" t="str">
        <f t="array" ref="AB183">IF(ISBLANK($AE183), "-",INDEX(Circuits!Z:Z,SUMPRODUCT(EXACT($AE183,Circuits!$A:$A)*ROW(Circuits!$A:$A))))</f>
        <v>-</v>
      </c>
      <c r="AC183" s="194"/>
      <c r="AD183" s="194"/>
      <c r="AE183" s="45"/>
      <c r="AF183" s="43"/>
      <c r="AG183" s="126" t="str">
        <f>IFERROR(__xludf.DUMMYFUNCTION("IF(ISBLANK(AF183), """", TEXTJOIN(CHAR(10),TRUE,ARRAYFORMULA(IF(ISERROR(SEARCH(SPLIT(AF183, "";""), $Z183)), ""x"", ""-""))))"),"")</f>
        <v/>
      </c>
      <c r="AH183" s="127" t="str">
        <f>IFERROR(__xludf.DUMMYFUNCTION("IF(ISBLANK(AK183), """", TEXTJOIN("";"" &amp; CHAR(10), TRUE, UNIQUE(SPLIT(AK183, "";"" &amp; CHAR(10)), TRUE))&amp;"";"")"),"")</f>
        <v/>
      </c>
      <c r="AI183" s="128" t="str">
        <f>IFERROR(__xludf.DUMMYFUNCTION("IF(ISBLANK(AD183), IF(ISBLANK(AE183),,IFNA(TEXTJOIN("";"" &amp; CHAR(10), TRUE, FILTER(AE:AE, SEARCH(AE183&amp;"";"", AJ:AJ)))&amp;"";"", """")), TEXTJOIN("";"" &amp; CHAR(10), TRUE, UNIQUE(SPLIT(AH183 &amp; "";"" &amp; AH183 &amp; "";"" &amp; AL183, "";"" &amp; CHAR(10)), TRUE, TRUE))&amp;"";"&amp;""")"),"")</f>
        <v/>
      </c>
      <c r="AJ183" s="126" t="str">
        <f>IFERROR(__xludf.DUMMYFUNCTION("IF(AN183="""", """", TEXTJOIN("";"" &amp; CHAR(10), TRUE, UNIQUE(SPLIT(AH183 &amp; "";"" &amp; AH183 &amp; "";"" &amp; AN183, "";"" &amp; CHAR(10)), TRUE, TRUE))&amp;"";"")"),"")</f>
        <v/>
      </c>
      <c r="AK183" s="129" t="str">
        <f>IFERROR(__xludf.DUMMYFUNCTION("IF(ISBLANK(AD183), IF(ISBLANK(AE183),,AE183 &amp; "";""), TEXTJOIN(CHAR(10), TRUE, ARRAYFORMULA(VLOOKUP(SPLIT(AD183, "";"" &amp; CHAR(10)), $AC:$AH, 6, FALSE))))"),"")</f>
        <v/>
      </c>
      <c r="AL183" s="130" t="str">
        <f>IFERROR(__xludf.DUMMYFUNCTION("IF(AM183="""", """", TEXTJOIN("";"" &amp; CHAR(10), TRUE, UNIQUE(SPLIT(AM183, "";"" &amp; CHAR(10)), TRUE))&amp;"";"")"),"")</f>
        <v/>
      </c>
      <c r="AM183" s="130" t="str">
        <f>IFERROR(__xludf.DUMMYFUNCTION("IF(ISBLANK(AD183), """", TEXTJOIN(CHAR(10), TRUE, ARRAYFORMULA(VLOOKUP(SPLIT(AH183, "";"" &amp; CHAR(10)), $AE:$AI, 5, FALSE)), AF183))"),"")</f>
        <v/>
      </c>
      <c r="AN183" s="132" t="str">
        <f>IFERROR(__xludf.DUMMYFUNCTION("IF(ISBLANK(AO183), """", TEXTJOIN("";"" &amp; CHAR(10), TRUE, UNIQUE(SPLIT(AO183, "";"" &amp; CHAR(10)), TRUE))&amp;"";"")"),"")</f>
        <v/>
      </c>
      <c r="AO183" s="134" t="str">
        <f>IFERROR(__xludf.DUMMYFUNCTION("IF(ISBLANK(AD183), AF183, TEXTJOIN(CHAR(10), TRUE, ARRAYFORMULA(VLOOKUP(SPLIT(AD183, "";"" &amp; CHAR(10)), $AC:$AN, 12, FALSE))))"),"")</f>
        <v/>
      </c>
      <c r="AP183" s="130" t="str">
        <f>IF(ISBLANK(AE183),,IF(IFERROR(SEARCH(AE183&amp;";",Circuits!$AO$2),0),TRUE,FALSE))</f>
        <v/>
      </c>
      <c r="AQ183" s="130" t="str">
        <f t="shared" si="2"/>
        <v/>
      </c>
      <c r="AR183" s="130" t="str">
        <f t="shared" si="3"/>
        <v/>
      </c>
      <c r="AS183" s="136" t="str">
        <f>IFERROR(__xludf.DUMMYFUNCTION("IF(AH183="""",,SUM(ARRAYFORMULA(IF(IFERROR(SEARCH(SPLIT(AH183,CHAR(10)),Circuits!$AO$2),0)&gt;0,0,1))))"),"")</f>
        <v/>
      </c>
      <c r="AT183" s="138" t="str">
        <f t="shared" si="4"/>
        <v/>
      </c>
      <c r="AU183" s="138" t="str">
        <f t="shared" si="5"/>
        <v/>
      </c>
      <c r="AV183" s="130" t="str">
        <f>IFERROR(__xludf.DUMMYFUNCTION("IF(AI183="""",,TEXTJOIN("", "",TRUE,ARRAYFORMULA(VLOOKUP(SPLIT(AI183,"";""&amp;CHAR(10)),AE:AT,16,FALSE))))"),"")</f>
        <v/>
      </c>
      <c r="AW183" s="130" t="str">
        <f>IFERROR(__xludf.DUMMYFUNCTION("IF(ISBLANK(BK183),,TEXTJOIN("", "",TRUE,ARRAYFORMULA(VLOOKUP(IFERROR(REGEXEXTRACT(SPLIT(BK183,"";""&amp;CHAR(10)),""\[(.+)\]"")),AE:AT,16,false))))"),"")</f>
        <v/>
      </c>
      <c r="AX183" s="139" t="str">
        <f t="shared" si="6"/>
        <v/>
      </c>
      <c r="AY183" s="139" t="str">
        <f t="shared" si="7"/>
        <v/>
      </c>
      <c r="AZ183" s="106" t="str">
        <f>IFERROR(__xludf.DUMMYFUNCTION("IF(ISBLANK(AD183), BC183, TEXTJOIN(CHAR(10) &amp; CHAR(10), TRUE, ARRAYFORMULA(VLOOKUP(SPLIT(AD183, "";"" &amp; CHAR(10)), $AC:$AY, 23, FALSE))))"),"")</f>
        <v/>
      </c>
      <c r="BA183" s="140" t="s">
        <v>66</v>
      </c>
      <c r="BB183" s="190"/>
      <c r="BC183" s="196"/>
      <c r="BD183" s="106" t="str">
        <f>IFERROR(__xludf.DUMMYFUNCTION("IF(IFERROR(SEARCH(""&lt;&lt;mechanism to realize the capability&gt;&gt;"",BA183),0)=0,
 ""!! Error !! “Capability&amp;Mechanism” column: Invalid Separator:"" &amp; CHAR(10) &amp; ""Insert separator “&lt;&lt;mechanism to realize the capability&gt;&gt;.”"",
 IF(
  LEN(TRIM(CLEAN(
    INDEX(
 "&amp;"     SPLIT(BA183,""&lt;&lt;mechanism to realize the capability&gt;&gt;"",FALSE,FALSE),
      1
    )
  )))=0,
  ""!! Error !! “Capability&amp;Mechanism” column: No Capability:""  &amp; CHAR(10) &amp; ""Describe Capability before separator."",
  INDEX(
    SPLIT(BA183,""&lt;&lt;mechani"&amp;"sm to realize the capability&gt;&gt;"",FALSE,FALSE),
    1
  )
 )
)
"),"!! Error !! “Capability&amp;Mechanism” column: No Capability:
Describe Capability before separator.")</f>
        <v>!! Error !! “Capability&amp;Mechanism” column: No Capability:
Describe Capability before separator.</v>
      </c>
      <c r="BE183" s="190"/>
      <c r="BF183" s="195"/>
      <c r="BG183" s="42"/>
      <c r="BH183" s="190"/>
      <c r="BI183" s="196"/>
      <c r="BJ183" s="42"/>
      <c r="BK183" s="42"/>
      <c r="BL183" s="203"/>
      <c r="BM183" s="203"/>
      <c r="BN183" s="42"/>
      <c r="BO183" s="42"/>
      <c r="BP183" s="143"/>
      <c r="BQ183" s="143"/>
      <c r="BR183" s="192"/>
      <c r="BS183" s="192"/>
      <c r="BT183" s="192"/>
      <c r="BU183" s="192"/>
      <c r="BV183" s="192"/>
      <c r="BW183" s="192"/>
      <c r="BX183" s="146" t="str">
        <f t="shared" si="8"/>
        <v/>
      </c>
    </row>
    <row r="184">
      <c r="A184" s="106" t="str">
        <f t="shared" si="1"/>
        <v/>
      </c>
      <c r="B184" s="183" t="str">
        <f t="array" ref="B184">IF(ISBLANK($AE184), "-",INDEX(Circuits!A:A,SUMPRODUCT(EXACT($AE184,Circuits!$A:$A)*ROW(Circuits!$A:$A))))</f>
        <v>-</v>
      </c>
      <c r="C184" s="183" t="str">
        <f t="array" ref="C184">IF(ISBLANK($AE184), "-",INDEX(Circuits!B:B,SUMPRODUCT(EXACT($AE184,Circuits!$A:$A)*ROW(Circuits!$A:$A))))</f>
        <v>-</v>
      </c>
      <c r="D184" s="183" t="str">
        <f t="array" ref="D184">IF(ISBLANK($AE184), "-",INDEX(Circuits!C:C,SUMPRODUCT(EXACT($AE184,Circuits!$A:$A)*ROW(Circuits!$A:$A))))</f>
        <v>-</v>
      </c>
      <c r="E184" s="183" t="str">
        <f t="array" ref="E184">IF(ISBLANK($AE184), "-",INDEX(Circuits!D:D,SUMPRODUCT(EXACT($AE184,Circuits!$A:$A)*ROW(Circuits!$A:$A))))</f>
        <v>-</v>
      </c>
      <c r="F184" s="183" t="str">
        <f t="array" ref="F184">IF(ISBLANK($AE184), "-",INDEX(Circuits!E:E,SUMPRODUCT(EXACT($AE184,Circuits!$A:$A)*ROW(Circuits!$A:$A))))</f>
        <v>-</v>
      </c>
      <c r="G184" s="183" t="str">
        <f t="array" ref="G184">IF(ISBLANK($AE184), "-",INDEX(Circuits!F:F,SUMPRODUCT(EXACT($AE184,Circuits!$A:$A)*ROW(Circuits!$A:$A))))</f>
        <v>-</v>
      </c>
      <c r="H184" s="183" t="str">
        <f t="array" ref="H184">IF(ISBLANK($AE184), "-",INDEX(Circuits!G:G,SUMPRODUCT(EXACT($AE184,Circuits!$A:$A)*ROW(Circuits!$A:$A))))</f>
        <v>-</v>
      </c>
      <c r="I184" s="183" t="str">
        <f t="array" ref="I184">IF(ISBLANK($AE184), "-",INDEX(Circuits!H:H,SUMPRODUCT(EXACT($AE184,Circuits!$A:$A)*ROW(Circuits!$A:$A))))</f>
        <v>-</v>
      </c>
      <c r="J184" s="183" t="str">
        <f t="array" ref="J184">IF(ISBLANK($AE184), "-",INDEX(Circuits!I:I,SUMPRODUCT(EXACT($AE184,Circuits!$A:$A)*ROW(Circuits!$A:$A))))</f>
        <v>-</v>
      </c>
      <c r="K184" s="183" t="str">
        <f t="array" ref="K184">IF(ISBLANK($AE184), "-",INDEX(Circuits!J:J,SUMPRODUCT(EXACT($AE184,Circuits!$A:$A)*ROW(Circuits!$A:$A))))</f>
        <v>-</v>
      </c>
      <c r="L184" s="183" t="str">
        <f t="array" ref="L184">IF(ISBLANK($AE184), "-",INDEX(Circuits!K:K,SUMPRODUCT(EXACT($AE184,Circuits!$A:$A)*ROW(Circuits!$A:$A))))</f>
        <v>-</v>
      </c>
      <c r="M184" s="183" t="str">
        <f t="array" ref="M184">IF(ISBLANK($AE184), "-",INDEX(Circuits!L:L,SUMPRODUCT(EXACT($AE184,Circuits!$A:$A)*ROW(Circuits!$A:$A))))</f>
        <v>-</v>
      </c>
      <c r="N184" s="183" t="str">
        <f t="array" ref="N184">IF(ISBLANK($AE184), "-",INDEX(Circuits!M:M,SUMPRODUCT(EXACT($AE184,Circuits!$A:$A)*ROW(Circuits!$A:$A))))</f>
        <v>-</v>
      </c>
      <c r="O184" s="183" t="str">
        <f t="array" ref="O184">IF(ISBLANK($AE184), "-",INDEX(Circuits!N:N,SUMPRODUCT(EXACT($AE184,Circuits!$A:$A)*ROW(Circuits!$A:$A))))</f>
        <v>-</v>
      </c>
      <c r="P184" s="183" t="str">
        <f t="array" ref="P184">IF(ISBLANK($AE184), "-",INDEX(Circuits!O:O,SUMPRODUCT(EXACT($AE184,Circuits!$A:$A)*ROW(Circuits!$A:$A))))</f>
        <v>-</v>
      </c>
      <c r="Q184" s="183" t="str">
        <f t="array" ref="Q184">IF(ISBLANK($AE184), "-",INDEX(Circuits!P:P,SUMPRODUCT(EXACT($AE184,Circuits!$A:$A)*ROW(Circuits!$A:$A))))</f>
        <v>-</v>
      </c>
      <c r="R184" s="183" t="str">
        <f t="array" ref="R184">IF(ISBLANK($AE184), "-",INDEX(Circuits!Q:Q,SUMPRODUCT(EXACT($AE184,Circuits!$A:$A)*ROW(Circuits!$A:$A))))</f>
        <v>-</v>
      </c>
      <c r="S184" s="183" t="str">
        <f t="array" ref="S184">IF(ISBLANK($AE184), "-",INDEX(Circuits!R:R,SUMPRODUCT(EXACT($AE184,Circuits!$A:$A)*ROW(Circuits!$A:$A))))</f>
        <v>-</v>
      </c>
      <c r="T184" s="183" t="str">
        <f t="array" ref="T184">IF(ISBLANK($AE184), "-",INDEX(Circuits!S:S,SUMPRODUCT(EXACT($AE184,Circuits!$A:$A)*ROW(Circuits!$A:$A))))</f>
        <v>-</v>
      </c>
      <c r="U184" s="183" t="str">
        <f t="array" ref="U184">IF(ISBLANK($AE184), "-",INDEX(Circuits!T:T,SUMPRODUCT(EXACT($AE184,Circuits!$A:$A)*ROW(Circuits!$A:$A))))</f>
        <v>-</v>
      </c>
      <c r="V184" s="183" t="str">
        <f t="array" ref="V184">IF(ISBLANK($AE184), "-",INDEX(Circuits!U:U,SUMPRODUCT(EXACT($AE184,Circuits!$A:$A)*ROW(Circuits!$A:$A))))</f>
        <v>-</v>
      </c>
      <c r="W184" s="183" t="str">
        <f t="array" ref="W184">IF(ISBLANK($AE184), "-",INDEX(Circuits!V:V,SUMPRODUCT(EXACT($AE184,Circuits!$A:$A)*ROW(Circuits!$A:$A))))</f>
        <v>-</v>
      </c>
      <c r="X184" s="183" t="str">
        <f t="array" ref="X184">IF(ISBLANK($AE184), "-",INDEX(Circuits!W:W,SUMPRODUCT(EXACT($AE184,Circuits!$A:$A)*ROW(Circuits!$A:$A))))</f>
        <v>-</v>
      </c>
      <c r="Y184" s="183" t="str">
        <f t="array" ref="Y184">IF(ISBLANK($AE184), "-",INDEX(Circuits!X:X,SUMPRODUCT(EXACT($AE184,Circuits!$A:$A)*ROW(Circuits!$A:$A))))</f>
        <v>-</v>
      </c>
      <c r="Z184" s="108" t="str">
        <f>IFERROR(__xludf.DUMMYFUNCTION("IFNA(CONCATENATE(UNIQUE(FILTER(Connections!R:R,Connections!A:A=B184))),""-"")"),"-")</f>
        <v>-</v>
      </c>
      <c r="AA184" s="119" t="str">
        <f t="array" ref="AA184">IF(ISBLANK($AE184), "-",INDEX(Circuits!Y:Y,SUMPRODUCT(EXACT($AE184,Circuits!$A:$A)*ROW(Circuits!$A:$A))))</f>
        <v>-</v>
      </c>
      <c r="AB184" s="121" t="str">
        <f t="array" ref="AB184">IF(ISBLANK($AE184), "-",INDEX(Circuits!Z:Z,SUMPRODUCT(EXACT($AE184,Circuits!$A:$A)*ROW(Circuits!$A:$A))))</f>
        <v>-</v>
      </c>
      <c r="AC184" s="194"/>
      <c r="AD184" s="194"/>
      <c r="AE184" s="45"/>
      <c r="AF184" s="43"/>
      <c r="AG184" s="126" t="str">
        <f>IFERROR(__xludf.DUMMYFUNCTION("IF(ISBLANK(AF184), """", TEXTJOIN(CHAR(10),TRUE,ARRAYFORMULA(IF(ISERROR(SEARCH(SPLIT(AF184, "";""), $Z184)), ""x"", ""-""))))"),"")</f>
        <v/>
      </c>
      <c r="AH184" s="127" t="str">
        <f>IFERROR(__xludf.DUMMYFUNCTION("IF(ISBLANK(AK184), """", TEXTJOIN("";"" &amp; CHAR(10), TRUE, UNIQUE(SPLIT(AK184, "";"" &amp; CHAR(10)), TRUE))&amp;"";"")"),"")</f>
        <v/>
      </c>
      <c r="AI184" s="128" t="str">
        <f>IFERROR(__xludf.DUMMYFUNCTION("IF(ISBLANK(AD184), IF(ISBLANK(AE184),,IFNA(TEXTJOIN("";"" &amp; CHAR(10), TRUE, FILTER(AE:AE, SEARCH(AE184&amp;"";"", AJ:AJ)))&amp;"";"", """")), TEXTJOIN("";"" &amp; CHAR(10), TRUE, UNIQUE(SPLIT(AH184 &amp; "";"" &amp; AH184 &amp; "";"" &amp; AL184, "";"" &amp; CHAR(10)), TRUE, TRUE))&amp;"";"&amp;""")"),"")</f>
        <v/>
      </c>
      <c r="AJ184" s="126" t="str">
        <f>IFERROR(__xludf.DUMMYFUNCTION("IF(AN184="""", """", TEXTJOIN("";"" &amp; CHAR(10), TRUE, UNIQUE(SPLIT(AH184 &amp; "";"" &amp; AH184 &amp; "";"" &amp; AN184, "";"" &amp; CHAR(10)), TRUE, TRUE))&amp;"";"")"),"")</f>
        <v/>
      </c>
      <c r="AK184" s="129" t="str">
        <f>IFERROR(__xludf.DUMMYFUNCTION("IF(ISBLANK(AD184), IF(ISBLANK(AE184),,AE184 &amp; "";""), TEXTJOIN(CHAR(10), TRUE, ARRAYFORMULA(VLOOKUP(SPLIT(AD184, "";"" &amp; CHAR(10)), $AC:$AH, 6, FALSE))))"),"")</f>
        <v/>
      </c>
      <c r="AL184" s="130" t="str">
        <f>IFERROR(__xludf.DUMMYFUNCTION("IF(AM184="""", """", TEXTJOIN("";"" &amp; CHAR(10), TRUE, UNIQUE(SPLIT(AM184, "";"" &amp; CHAR(10)), TRUE))&amp;"";"")"),"")</f>
        <v/>
      </c>
      <c r="AM184" s="130" t="str">
        <f>IFERROR(__xludf.DUMMYFUNCTION("IF(ISBLANK(AD184), """", TEXTJOIN(CHAR(10), TRUE, ARRAYFORMULA(VLOOKUP(SPLIT(AH184, "";"" &amp; CHAR(10)), $AE:$AI, 5, FALSE)), AF184))"),"")</f>
        <v/>
      </c>
      <c r="AN184" s="132" t="str">
        <f>IFERROR(__xludf.DUMMYFUNCTION("IF(ISBLANK(AO184), """", TEXTJOIN("";"" &amp; CHAR(10), TRUE, UNIQUE(SPLIT(AO184, "";"" &amp; CHAR(10)), TRUE))&amp;"";"")"),"")</f>
        <v/>
      </c>
      <c r="AO184" s="134" t="str">
        <f>IFERROR(__xludf.DUMMYFUNCTION("IF(ISBLANK(AD184), AF184, TEXTJOIN(CHAR(10), TRUE, ARRAYFORMULA(VLOOKUP(SPLIT(AD184, "";"" &amp; CHAR(10)), $AC:$AN, 12, FALSE))))"),"")</f>
        <v/>
      </c>
      <c r="AP184" s="130" t="str">
        <f>IF(ISBLANK(AE184),,IF(IFERROR(SEARCH(AE184&amp;";",Circuits!$AO$2),0),TRUE,FALSE))</f>
        <v/>
      </c>
      <c r="AQ184" s="130" t="str">
        <f t="shared" si="2"/>
        <v/>
      </c>
      <c r="AR184" s="130" t="str">
        <f t="shared" si="3"/>
        <v/>
      </c>
      <c r="AS184" s="136" t="str">
        <f>IFERROR(__xludf.DUMMYFUNCTION("IF(AH184="""",,SUM(ARRAYFORMULA(IF(IFERROR(SEARCH(SPLIT(AH184,CHAR(10)),Circuits!$AO$2),0)&gt;0,0,1))))"),"")</f>
        <v/>
      </c>
      <c r="AT184" s="138" t="str">
        <f t="shared" si="4"/>
        <v/>
      </c>
      <c r="AU184" s="138" t="str">
        <f t="shared" si="5"/>
        <v/>
      </c>
      <c r="AV184" s="130" t="str">
        <f>IFERROR(__xludf.DUMMYFUNCTION("IF(AI184="""",,TEXTJOIN("", "",TRUE,ARRAYFORMULA(VLOOKUP(SPLIT(AI184,"";""&amp;CHAR(10)),AE:AT,16,FALSE))))"),"")</f>
        <v/>
      </c>
      <c r="AW184" s="130" t="str">
        <f>IFERROR(__xludf.DUMMYFUNCTION("IF(ISBLANK(BK184),,TEXTJOIN("", "",TRUE,ARRAYFORMULA(VLOOKUP(IFERROR(REGEXEXTRACT(SPLIT(BK184,"";""&amp;CHAR(10)),""\[(.+)\]"")),AE:AT,16,false))))"),"")</f>
        <v/>
      </c>
      <c r="AX184" s="139" t="str">
        <f t="shared" si="6"/>
        <v/>
      </c>
      <c r="AY184" s="139" t="str">
        <f t="shared" si="7"/>
        <v/>
      </c>
      <c r="AZ184" s="106" t="str">
        <f>IFERROR(__xludf.DUMMYFUNCTION("IF(ISBLANK(AD184), BC184, TEXTJOIN(CHAR(10) &amp; CHAR(10), TRUE, ARRAYFORMULA(VLOOKUP(SPLIT(AD184, "";"" &amp; CHAR(10)), $AC:$AY, 23, FALSE))))"),"")</f>
        <v/>
      </c>
      <c r="BA184" s="140" t="s">
        <v>66</v>
      </c>
      <c r="BB184" s="190"/>
      <c r="BC184" s="196"/>
      <c r="BD184" s="106" t="str">
        <f>IFERROR(__xludf.DUMMYFUNCTION("IF(IFERROR(SEARCH(""&lt;&lt;mechanism to realize the capability&gt;&gt;"",BA184),0)=0,
 ""!! Error !! “Capability&amp;Mechanism” column: Invalid Separator:"" &amp; CHAR(10) &amp; ""Insert separator “&lt;&lt;mechanism to realize the capability&gt;&gt;.”"",
 IF(
  LEN(TRIM(CLEAN(
    INDEX(
 "&amp;"     SPLIT(BA184,""&lt;&lt;mechanism to realize the capability&gt;&gt;"",FALSE,FALSE),
      1
    )
  )))=0,
  ""!! Error !! “Capability&amp;Mechanism” column: No Capability:""  &amp; CHAR(10) &amp; ""Describe Capability before separator."",
  INDEX(
    SPLIT(BA184,""&lt;&lt;mechani"&amp;"sm to realize the capability&gt;&gt;"",FALSE,FALSE),
    1
  )
 )
)
"),"!! Error !! “Capability&amp;Mechanism” column: No Capability:
Describe Capability before separator.")</f>
        <v>!! Error !! “Capability&amp;Mechanism” column: No Capability:
Describe Capability before separator.</v>
      </c>
      <c r="BE184" s="190"/>
      <c r="BF184" s="195"/>
      <c r="BG184" s="42"/>
      <c r="BH184" s="190"/>
      <c r="BI184" s="196"/>
      <c r="BJ184" s="42"/>
      <c r="BK184" s="42"/>
      <c r="BL184" s="203"/>
      <c r="BM184" s="203"/>
      <c r="BN184" s="42"/>
      <c r="BO184" s="42"/>
      <c r="BP184" s="143"/>
      <c r="BQ184" s="143"/>
      <c r="BR184" s="192"/>
      <c r="BS184" s="192"/>
      <c r="BT184" s="192"/>
      <c r="BU184" s="192"/>
      <c r="BV184" s="192"/>
      <c r="BW184" s="192"/>
      <c r="BX184" s="146" t="str">
        <f t="shared" si="8"/>
        <v/>
      </c>
    </row>
    <row r="185">
      <c r="A185" s="106" t="str">
        <f t="shared" si="1"/>
        <v/>
      </c>
      <c r="B185" s="183" t="str">
        <f t="array" ref="B185">IF(ISBLANK($AE185), "-",INDEX(Circuits!A:A,SUMPRODUCT(EXACT($AE185,Circuits!$A:$A)*ROW(Circuits!$A:$A))))</f>
        <v>-</v>
      </c>
      <c r="C185" s="183" t="str">
        <f t="array" ref="C185">IF(ISBLANK($AE185), "-",INDEX(Circuits!B:B,SUMPRODUCT(EXACT($AE185,Circuits!$A:$A)*ROW(Circuits!$A:$A))))</f>
        <v>-</v>
      </c>
      <c r="D185" s="183" t="str">
        <f t="array" ref="D185">IF(ISBLANK($AE185), "-",INDEX(Circuits!C:C,SUMPRODUCT(EXACT($AE185,Circuits!$A:$A)*ROW(Circuits!$A:$A))))</f>
        <v>-</v>
      </c>
      <c r="E185" s="183" t="str">
        <f t="array" ref="E185">IF(ISBLANK($AE185), "-",INDEX(Circuits!D:D,SUMPRODUCT(EXACT($AE185,Circuits!$A:$A)*ROW(Circuits!$A:$A))))</f>
        <v>-</v>
      </c>
      <c r="F185" s="183" t="str">
        <f t="array" ref="F185">IF(ISBLANK($AE185), "-",INDEX(Circuits!E:E,SUMPRODUCT(EXACT($AE185,Circuits!$A:$A)*ROW(Circuits!$A:$A))))</f>
        <v>-</v>
      </c>
      <c r="G185" s="183" t="str">
        <f t="array" ref="G185">IF(ISBLANK($AE185), "-",INDEX(Circuits!F:F,SUMPRODUCT(EXACT($AE185,Circuits!$A:$A)*ROW(Circuits!$A:$A))))</f>
        <v>-</v>
      </c>
      <c r="H185" s="183" t="str">
        <f t="array" ref="H185">IF(ISBLANK($AE185), "-",INDEX(Circuits!G:G,SUMPRODUCT(EXACT($AE185,Circuits!$A:$A)*ROW(Circuits!$A:$A))))</f>
        <v>-</v>
      </c>
      <c r="I185" s="183" t="str">
        <f t="array" ref="I185">IF(ISBLANK($AE185), "-",INDEX(Circuits!H:H,SUMPRODUCT(EXACT($AE185,Circuits!$A:$A)*ROW(Circuits!$A:$A))))</f>
        <v>-</v>
      </c>
      <c r="J185" s="183" t="str">
        <f t="array" ref="J185">IF(ISBLANK($AE185), "-",INDEX(Circuits!I:I,SUMPRODUCT(EXACT($AE185,Circuits!$A:$A)*ROW(Circuits!$A:$A))))</f>
        <v>-</v>
      </c>
      <c r="K185" s="183" t="str">
        <f t="array" ref="K185">IF(ISBLANK($AE185), "-",INDEX(Circuits!J:J,SUMPRODUCT(EXACT($AE185,Circuits!$A:$A)*ROW(Circuits!$A:$A))))</f>
        <v>-</v>
      </c>
      <c r="L185" s="183" t="str">
        <f t="array" ref="L185">IF(ISBLANK($AE185), "-",INDEX(Circuits!K:K,SUMPRODUCT(EXACT($AE185,Circuits!$A:$A)*ROW(Circuits!$A:$A))))</f>
        <v>-</v>
      </c>
      <c r="M185" s="183" t="str">
        <f t="array" ref="M185">IF(ISBLANK($AE185), "-",INDEX(Circuits!L:L,SUMPRODUCT(EXACT($AE185,Circuits!$A:$A)*ROW(Circuits!$A:$A))))</f>
        <v>-</v>
      </c>
      <c r="N185" s="183" t="str">
        <f t="array" ref="N185">IF(ISBLANK($AE185), "-",INDEX(Circuits!M:M,SUMPRODUCT(EXACT($AE185,Circuits!$A:$A)*ROW(Circuits!$A:$A))))</f>
        <v>-</v>
      </c>
      <c r="O185" s="183" t="str">
        <f t="array" ref="O185">IF(ISBLANK($AE185), "-",INDEX(Circuits!N:N,SUMPRODUCT(EXACT($AE185,Circuits!$A:$A)*ROW(Circuits!$A:$A))))</f>
        <v>-</v>
      </c>
      <c r="P185" s="183" t="str">
        <f t="array" ref="P185">IF(ISBLANK($AE185), "-",INDEX(Circuits!O:O,SUMPRODUCT(EXACT($AE185,Circuits!$A:$A)*ROW(Circuits!$A:$A))))</f>
        <v>-</v>
      </c>
      <c r="Q185" s="183" t="str">
        <f t="array" ref="Q185">IF(ISBLANK($AE185), "-",INDEX(Circuits!P:P,SUMPRODUCT(EXACT($AE185,Circuits!$A:$A)*ROW(Circuits!$A:$A))))</f>
        <v>-</v>
      </c>
      <c r="R185" s="183" t="str">
        <f t="array" ref="R185">IF(ISBLANK($AE185), "-",INDEX(Circuits!Q:Q,SUMPRODUCT(EXACT($AE185,Circuits!$A:$A)*ROW(Circuits!$A:$A))))</f>
        <v>-</v>
      </c>
      <c r="S185" s="183" t="str">
        <f t="array" ref="S185">IF(ISBLANK($AE185), "-",INDEX(Circuits!R:R,SUMPRODUCT(EXACT($AE185,Circuits!$A:$A)*ROW(Circuits!$A:$A))))</f>
        <v>-</v>
      </c>
      <c r="T185" s="183" t="str">
        <f t="array" ref="T185">IF(ISBLANK($AE185), "-",INDEX(Circuits!S:S,SUMPRODUCT(EXACT($AE185,Circuits!$A:$A)*ROW(Circuits!$A:$A))))</f>
        <v>-</v>
      </c>
      <c r="U185" s="183" t="str">
        <f t="array" ref="U185">IF(ISBLANK($AE185), "-",INDEX(Circuits!T:T,SUMPRODUCT(EXACT($AE185,Circuits!$A:$A)*ROW(Circuits!$A:$A))))</f>
        <v>-</v>
      </c>
      <c r="V185" s="183" t="str">
        <f t="array" ref="V185">IF(ISBLANK($AE185), "-",INDEX(Circuits!U:U,SUMPRODUCT(EXACT($AE185,Circuits!$A:$A)*ROW(Circuits!$A:$A))))</f>
        <v>-</v>
      </c>
      <c r="W185" s="183" t="str">
        <f t="array" ref="W185">IF(ISBLANK($AE185), "-",INDEX(Circuits!V:V,SUMPRODUCT(EXACT($AE185,Circuits!$A:$A)*ROW(Circuits!$A:$A))))</f>
        <v>-</v>
      </c>
      <c r="X185" s="183" t="str">
        <f t="array" ref="X185">IF(ISBLANK($AE185), "-",INDEX(Circuits!W:W,SUMPRODUCT(EXACT($AE185,Circuits!$A:$A)*ROW(Circuits!$A:$A))))</f>
        <v>-</v>
      </c>
      <c r="Y185" s="183" t="str">
        <f t="array" ref="Y185">IF(ISBLANK($AE185), "-",INDEX(Circuits!X:X,SUMPRODUCT(EXACT($AE185,Circuits!$A:$A)*ROW(Circuits!$A:$A))))</f>
        <v>-</v>
      </c>
      <c r="Z185" s="108" t="str">
        <f>IFERROR(__xludf.DUMMYFUNCTION("IFNA(CONCATENATE(UNIQUE(FILTER(Connections!R:R,Connections!A:A=B185))),""-"")"),"-")</f>
        <v>-</v>
      </c>
      <c r="AA185" s="119" t="str">
        <f t="array" ref="AA185">IF(ISBLANK($AE185), "-",INDEX(Circuits!Y:Y,SUMPRODUCT(EXACT($AE185,Circuits!$A:$A)*ROW(Circuits!$A:$A))))</f>
        <v>-</v>
      </c>
      <c r="AB185" s="121" t="str">
        <f t="array" ref="AB185">IF(ISBLANK($AE185), "-",INDEX(Circuits!Z:Z,SUMPRODUCT(EXACT($AE185,Circuits!$A:$A)*ROW(Circuits!$A:$A))))</f>
        <v>-</v>
      </c>
      <c r="AC185" s="194"/>
      <c r="AD185" s="194"/>
      <c r="AE185" s="45"/>
      <c r="AF185" s="43"/>
      <c r="AG185" s="126" t="str">
        <f>IFERROR(__xludf.DUMMYFUNCTION("IF(ISBLANK(AF185), """", TEXTJOIN(CHAR(10),TRUE,ARRAYFORMULA(IF(ISERROR(SEARCH(SPLIT(AF185, "";""), $Z185)), ""x"", ""-""))))"),"")</f>
        <v/>
      </c>
      <c r="AH185" s="127" t="str">
        <f>IFERROR(__xludf.DUMMYFUNCTION("IF(ISBLANK(AK185), """", TEXTJOIN("";"" &amp; CHAR(10), TRUE, UNIQUE(SPLIT(AK185, "";"" &amp; CHAR(10)), TRUE))&amp;"";"")"),"")</f>
        <v/>
      </c>
      <c r="AI185" s="128" t="str">
        <f>IFERROR(__xludf.DUMMYFUNCTION("IF(ISBLANK(AD185), IF(ISBLANK(AE185),,IFNA(TEXTJOIN("";"" &amp; CHAR(10), TRUE, FILTER(AE:AE, SEARCH(AE185&amp;"";"", AJ:AJ)))&amp;"";"", """")), TEXTJOIN("";"" &amp; CHAR(10), TRUE, UNIQUE(SPLIT(AH185 &amp; "";"" &amp; AH185 &amp; "";"" &amp; AL185, "";"" &amp; CHAR(10)), TRUE, TRUE))&amp;"";"&amp;""")"),"")</f>
        <v/>
      </c>
      <c r="AJ185" s="126" t="str">
        <f>IFERROR(__xludf.DUMMYFUNCTION("IF(AN185="""", """", TEXTJOIN("";"" &amp; CHAR(10), TRUE, UNIQUE(SPLIT(AH185 &amp; "";"" &amp; AH185 &amp; "";"" &amp; AN185, "";"" &amp; CHAR(10)), TRUE, TRUE))&amp;"";"")"),"")</f>
        <v/>
      </c>
      <c r="AK185" s="129" t="str">
        <f>IFERROR(__xludf.DUMMYFUNCTION("IF(ISBLANK(AD185), IF(ISBLANK(AE185),,AE185 &amp; "";""), TEXTJOIN(CHAR(10), TRUE, ARRAYFORMULA(VLOOKUP(SPLIT(AD185, "";"" &amp; CHAR(10)), $AC:$AH, 6, FALSE))))"),"")</f>
        <v/>
      </c>
      <c r="AL185" s="130" t="str">
        <f>IFERROR(__xludf.DUMMYFUNCTION("IF(AM185="""", """", TEXTJOIN("";"" &amp; CHAR(10), TRUE, UNIQUE(SPLIT(AM185, "";"" &amp; CHAR(10)), TRUE))&amp;"";"")"),"")</f>
        <v/>
      </c>
      <c r="AM185" s="130" t="str">
        <f>IFERROR(__xludf.DUMMYFUNCTION("IF(ISBLANK(AD185), """", TEXTJOIN(CHAR(10), TRUE, ARRAYFORMULA(VLOOKUP(SPLIT(AH185, "";"" &amp; CHAR(10)), $AE:$AI, 5, FALSE)), AF185))"),"")</f>
        <v/>
      </c>
      <c r="AN185" s="132" t="str">
        <f>IFERROR(__xludf.DUMMYFUNCTION("IF(ISBLANK(AO185), """", TEXTJOIN("";"" &amp; CHAR(10), TRUE, UNIQUE(SPLIT(AO185, "";"" &amp; CHAR(10)), TRUE))&amp;"";"")"),"")</f>
        <v/>
      </c>
      <c r="AO185" s="134" t="str">
        <f>IFERROR(__xludf.DUMMYFUNCTION("IF(ISBLANK(AD185), AF185, TEXTJOIN(CHAR(10), TRUE, ARRAYFORMULA(VLOOKUP(SPLIT(AD185, "";"" &amp; CHAR(10)), $AC:$AN, 12, FALSE))))"),"")</f>
        <v/>
      </c>
      <c r="AP185" s="130" t="str">
        <f>IF(ISBLANK(AE185),,IF(IFERROR(SEARCH(AE185&amp;";",Circuits!$AO$2),0),TRUE,FALSE))</f>
        <v/>
      </c>
      <c r="AQ185" s="130" t="str">
        <f t="shared" si="2"/>
        <v/>
      </c>
      <c r="AR185" s="130" t="str">
        <f t="shared" si="3"/>
        <v/>
      </c>
      <c r="AS185" s="136" t="str">
        <f>IFERROR(__xludf.DUMMYFUNCTION("IF(AH185="""",,SUM(ARRAYFORMULA(IF(IFERROR(SEARCH(SPLIT(AH185,CHAR(10)),Circuits!$AO$2),0)&gt;0,0,1))))"),"")</f>
        <v/>
      </c>
      <c r="AT185" s="138" t="str">
        <f t="shared" si="4"/>
        <v/>
      </c>
      <c r="AU185" s="138" t="str">
        <f t="shared" si="5"/>
        <v/>
      </c>
      <c r="AV185" s="130" t="str">
        <f>IFERROR(__xludf.DUMMYFUNCTION("IF(AI185="""",,TEXTJOIN("", "",TRUE,ARRAYFORMULA(VLOOKUP(SPLIT(AI185,"";""&amp;CHAR(10)),AE:AT,16,FALSE))))"),"")</f>
        <v/>
      </c>
      <c r="AW185" s="130" t="str">
        <f>IFERROR(__xludf.DUMMYFUNCTION("IF(ISBLANK(BK185),,TEXTJOIN("", "",TRUE,ARRAYFORMULA(VLOOKUP(IFERROR(REGEXEXTRACT(SPLIT(BK185,"";""&amp;CHAR(10)),""\[(.+)\]"")),AE:AT,16,false))))"),"")</f>
        <v/>
      </c>
      <c r="AX185" s="139" t="str">
        <f t="shared" si="6"/>
        <v/>
      </c>
      <c r="AY185" s="139" t="str">
        <f t="shared" si="7"/>
        <v/>
      </c>
      <c r="AZ185" s="106" t="str">
        <f>IFERROR(__xludf.DUMMYFUNCTION("IF(ISBLANK(AD185), BC185, TEXTJOIN(CHAR(10) &amp; CHAR(10), TRUE, ARRAYFORMULA(VLOOKUP(SPLIT(AD185, "";"" &amp; CHAR(10)), $AC:$AY, 23, FALSE))))"),"")</f>
        <v/>
      </c>
      <c r="BA185" s="140" t="s">
        <v>66</v>
      </c>
      <c r="BB185" s="190"/>
      <c r="BC185" s="196"/>
      <c r="BD185" s="106" t="str">
        <f>IFERROR(__xludf.DUMMYFUNCTION("IF(IFERROR(SEARCH(""&lt;&lt;mechanism to realize the capability&gt;&gt;"",BA185),0)=0,
 ""!! Error !! “Capability&amp;Mechanism” column: Invalid Separator:"" &amp; CHAR(10) &amp; ""Insert separator “&lt;&lt;mechanism to realize the capability&gt;&gt;.”"",
 IF(
  LEN(TRIM(CLEAN(
    INDEX(
 "&amp;"     SPLIT(BA185,""&lt;&lt;mechanism to realize the capability&gt;&gt;"",FALSE,FALSE),
      1
    )
  )))=0,
  ""!! Error !! “Capability&amp;Mechanism” column: No Capability:""  &amp; CHAR(10) &amp; ""Describe Capability before separator."",
  INDEX(
    SPLIT(BA185,""&lt;&lt;mechani"&amp;"sm to realize the capability&gt;&gt;"",FALSE,FALSE),
    1
  )
 )
)
"),"!! Error !! “Capability&amp;Mechanism” column: No Capability:
Describe Capability before separator.")</f>
        <v>!! Error !! “Capability&amp;Mechanism” column: No Capability:
Describe Capability before separator.</v>
      </c>
      <c r="BE185" s="190"/>
      <c r="BF185" s="195"/>
      <c r="BG185" s="42"/>
      <c r="BH185" s="190"/>
      <c r="BI185" s="196"/>
      <c r="BJ185" s="42"/>
      <c r="BK185" s="42"/>
      <c r="BL185" s="203"/>
      <c r="BM185" s="203"/>
      <c r="BN185" s="42"/>
      <c r="BO185" s="42"/>
      <c r="BP185" s="143"/>
      <c r="BQ185" s="143"/>
      <c r="BR185" s="192"/>
      <c r="BS185" s="192"/>
      <c r="BT185" s="192"/>
      <c r="BU185" s="192"/>
      <c r="BV185" s="192"/>
      <c r="BW185" s="192"/>
      <c r="BX185" s="146" t="str">
        <f t="shared" si="8"/>
        <v/>
      </c>
    </row>
    <row r="186">
      <c r="A186" s="106" t="str">
        <f t="shared" si="1"/>
        <v/>
      </c>
      <c r="B186" s="183" t="str">
        <f t="array" ref="B186">IF(ISBLANK($AE186), "-",INDEX(Circuits!A:A,SUMPRODUCT(EXACT($AE186,Circuits!$A:$A)*ROW(Circuits!$A:$A))))</f>
        <v>-</v>
      </c>
      <c r="C186" s="183" t="str">
        <f t="array" ref="C186">IF(ISBLANK($AE186), "-",INDEX(Circuits!B:B,SUMPRODUCT(EXACT($AE186,Circuits!$A:$A)*ROW(Circuits!$A:$A))))</f>
        <v>-</v>
      </c>
      <c r="D186" s="183" t="str">
        <f t="array" ref="D186">IF(ISBLANK($AE186), "-",INDEX(Circuits!C:C,SUMPRODUCT(EXACT($AE186,Circuits!$A:$A)*ROW(Circuits!$A:$A))))</f>
        <v>-</v>
      </c>
      <c r="E186" s="183" t="str">
        <f t="array" ref="E186">IF(ISBLANK($AE186), "-",INDEX(Circuits!D:D,SUMPRODUCT(EXACT($AE186,Circuits!$A:$A)*ROW(Circuits!$A:$A))))</f>
        <v>-</v>
      </c>
      <c r="F186" s="183" t="str">
        <f t="array" ref="F186">IF(ISBLANK($AE186), "-",INDEX(Circuits!E:E,SUMPRODUCT(EXACT($AE186,Circuits!$A:$A)*ROW(Circuits!$A:$A))))</f>
        <v>-</v>
      </c>
      <c r="G186" s="183" t="str">
        <f t="array" ref="G186">IF(ISBLANK($AE186), "-",INDEX(Circuits!F:F,SUMPRODUCT(EXACT($AE186,Circuits!$A:$A)*ROW(Circuits!$A:$A))))</f>
        <v>-</v>
      </c>
      <c r="H186" s="183" t="str">
        <f t="array" ref="H186">IF(ISBLANK($AE186), "-",INDEX(Circuits!G:G,SUMPRODUCT(EXACT($AE186,Circuits!$A:$A)*ROW(Circuits!$A:$A))))</f>
        <v>-</v>
      </c>
      <c r="I186" s="183" t="str">
        <f t="array" ref="I186">IF(ISBLANK($AE186), "-",INDEX(Circuits!H:H,SUMPRODUCT(EXACT($AE186,Circuits!$A:$A)*ROW(Circuits!$A:$A))))</f>
        <v>-</v>
      </c>
      <c r="J186" s="183" t="str">
        <f t="array" ref="J186">IF(ISBLANK($AE186), "-",INDEX(Circuits!I:I,SUMPRODUCT(EXACT($AE186,Circuits!$A:$A)*ROW(Circuits!$A:$A))))</f>
        <v>-</v>
      </c>
      <c r="K186" s="183" t="str">
        <f t="array" ref="K186">IF(ISBLANK($AE186), "-",INDEX(Circuits!J:J,SUMPRODUCT(EXACT($AE186,Circuits!$A:$A)*ROW(Circuits!$A:$A))))</f>
        <v>-</v>
      </c>
      <c r="L186" s="183" t="str">
        <f t="array" ref="L186">IF(ISBLANK($AE186), "-",INDEX(Circuits!K:K,SUMPRODUCT(EXACT($AE186,Circuits!$A:$A)*ROW(Circuits!$A:$A))))</f>
        <v>-</v>
      </c>
      <c r="M186" s="183" t="str">
        <f t="array" ref="M186">IF(ISBLANK($AE186), "-",INDEX(Circuits!L:L,SUMPRODUCT(EXACT($AE186,Circuits!$A:$A)*ROW(Circuits!$A:$A))))</f>
        <v>-</v>
      </c>
      <c r="N186" s="183" t="str">
        <f t="array" ref="N186">IF(ISBLANK($AE186), "-",INDEX(Circuits!M:M,SUMPRODUCT(EXACT($AE186,Circuits!$A:$A)*ROW(Circuits!$A:$A))))</f>
        <v>-</v>
      </c>
      <c r="O186" s="183" t="str">
        <f t="array" ref="O186">IF(ISBLANK($AE186), "-",INDEX(Circuits!N:N,SUMPRODUCT(EXACT($AE186,Circuits!$A:$A)*ROW(Circuits!$A:$A))))</f>
        <v>-</v>
      </c>
      <c r="P186" s="183" t="str">
        <f t="array" ref="P186">IF(ISBLANK($AE186), "-",INDEX(Circuits!O:O,SUMPRODUCT(EXACT($AE186,Circuits!$A:$A)*ROW(Circuits!$A:$A))))</f>
        <v>-</v>
      </c>
      <c r="Q186" s="183" t="str">
        <f t="array" ref="Q186">IF(ISBLANK($AE186), "-",INDEX(Circuits!P:P,SUMPRODUCT(EXACT($AE186,Circuits!$A:$A)*ROW(Circuits!$A:$A))))</f>
        <v>-</v>
      </c>
      <c r="R186" s="183" t="str">
        <f t="array" ref="R186">IF(ISBLANK($AE186), "-",INDEX(Circuits!Q:Q,SUMPRODUCT(EXACT($AE186,Circuits!$A:$A)*ROW(Circuits!$A:$A))))</f>
        <v>-</v>
      </c>
      <c r="S186" s="183" t="str">
        <f t="array" ref="S186">IF(ISBLANK($AE186), "-",INDEX(Circuits!R:R,SUMPRODUCT(EXACT($AE186,Circuits!$A:$A)*ROW(Circuits!$A:$A))))</f>
        <v>-</v>
      </c>
      <c r="T186" s="183" t="str">
        <f t="array" ref="T186">IF(ISBLANK($AE186), "-",INDEX(Circuits!S:S,SUMPRODUCT(EXACT($AE186,Circuits!$A:$A)*ROW(Circuits!$A:$A))))</f>
        <v>-</v>
      </c>
      <c r="U186" s="183" t="str">
        <f t="array" ref="U186">IF(ISBLANK($AE186), "-",INDEX(Circuits!T:T,SUMPRODUCT(EXACT($AE186,Circuits!$A:$A)*ROW(Circuits!$A:$A))))</f>
        <v>-</v>
      </c>
      <c r="V186" s="183" t="str">
        <f t="array" ref="V186">IF(ISBLANK($AE186), "-",INDEX(Circuits!U:U,SUMPRODUCT(EXACT($AE186,Circuits!$A:$A)*ROW(Circuits!$A:$A))))</f>
        <v>-</v>
      </c>
      <c r="W186" s="183" t="str">
        <f t="array" ref="W186">IF(ISBLANK($AE186), "-",INDEX(Circuits!V:V,SUMPRODUCT(EXACT($AE186,Circuits!$A:$A)*ROW(Circuits!$A:$A))))</f>
        <v>-</v>
      </c>
      <c r="X186" s="183" t="str">
        <f t="array" ref="X186">IF(ISBLANK($AE186), "-",INDEX(Circuits!W:W,SUMPRODUCT(EXACT($AE186,Circuits!$A:$A)*ROW(Circuits!$A:$A))))</f>
        <v>-</v>
      </c>
      <c r="Y186" s="183" t="str">
        <f t="array" ref="Y186">IF(ISBLANK($AE186), "-",INDEX(Circuits!X:X,SUMPRODUCT(EXACT($AE186,Circuits!$A:$A)*ROW(Circuits!$A:$A))))</f>
        <v>-</v>
      </c>
      <c r="Z186" s="108" t="str">
        <f>IFERROR(__xludf.DUMMYFUNCTION("IFNA(CONCATENATE(UNIQUE(FILTER(Connections!R:R,Connections!A:A=B186))),""-"")"),"-")</f>
        <v>-</v>
      </c>
      <c r="AA186" s="119" t="str">
        <f t="array" ref="AA186">IF(ISBLANK($AE186), "-",INDEX(Circuits!Y:Y,SUMPRODUCT(EXACT($AE186,Circuits!$A:$A)*ROW(Circuits!$A:$A))))</f>
        <v>-</v>
      </c>
      <c r="AB186" s="121" t="str">
        <f t="array" ref="AB186">IF(ISBLANK($AE186), "-",INDEX(Circuits!Z:Z,SUMPRODUCT(EXACT($AE186,Circuits!$A:$A)*ROW(Circuits!$A:$A))))</f>
        <v>-</v>
      </c>
      <c r="AC186" s="194"/>
      <c r="AD186" s="194"/>
      <c r="AE186" s="45"/>
      <c r="AF186" s="43"/>
      <c r="AG186" s="126" t="str">
        <f>IFERROR(__xludf.DUMMYFUNCTION("IF(ISBLANK(AF186), """", TEXTJOIN(CHAR(10),TRUE,ARRAYFORMULA(IF(ISERROR(SEARCH(SPLIT(AF186, "";""), $Z186)), ""x"", ""-""))))"),"")</f>
        <v/>
      </c>
      <c r="AH186" s="127" t="str">
        <f>IFERROR(__xludf.DUMMYFUNCTION("IF(ISBLANK(AK186), """", TEXTJOIN("";"" &amp; CHAR(10), TRUE, UNIQUE(SPLIT(AK186, "";"" &amp; CHAR(10)), TRUE))&amp;"";"")"),"")</f>
        <v/>
      </c>
      <c r="AI186" s="128" t="str">
        <f>IFERROR(__xludf.DUMMYFUNCTION("IF(ISBLANK(AD186), IF(ISBLANK(AE186),,IFNA(TEXTJOIN("";"" &amp; CHAR(10), TRUE, FILTER(AE:AE, SEARCH(AE186&amp;"";"", AJ:AJ)))&amp;"";"", """")), TEXTJOIN("";"" &amp; CHAR(10), TRUE, UNIQUE(SPLIT(AH186 &amp; "";"" &amp; AH186 &amp; "";"" &amp; AL186, "";"" &amp; CHAR(10)), TRUE, TRUE))&amp;"";"&amp;""")"),"")</f>
        <v/>
      </c>
      <c r="AJ186" s="126" t="str">
        <f>IFERROR(__xludf.DUMMYFUNCTION("IF(AN186="""", """", TEXTJOIN("";"" &amp; CHAR(10), TRUE, UNIQUE(SPLIT(AH186 &amp; "";"" &amp; AH186 &amp; "";"" &amp; AN186, "";"" &amp; CHAR(10)), TRUE, TRUE))&amp;"";"")"),"")</f>
        <v/>
      </c>
      <c r="AK186" s="129" t="str">
        <f>IFERROR(__xludf.DUMMYFUNCTION("IF(ISBLANK(AD186), IF(ISBLANK(AE186),,AE186 &amp; "";""), TEXTJOIN(CHAR(10), TRUE, ARRAYFORMULA(VLOOKUP(SPLIT(AD186, "";"" &amp; CHAR(10)), $AC:$AH, 6, FALSE))))"),"")</f>
        <v/>
      </c>
      <c r="AL186" s="130" t="str">
        <f>IFERROR(__xludf.DUMMYFUNCTION("IF(AM186="""", """", TEXTJOIN("";"" &amp; CHAR(10), TRUE, UNIQUE(SPLIT(AM186, "";"" &amp; CHAR(10)), TRUE))&amp;"";"")"),"")</f>
        <v/>
      </c>
      <c r="AM186" s="130" t="str">
        <f>IFERROR(__xludf.DUMMYFUNCTION("IF(ISBLANK(AD186), """", TEXTJOIN(CHAR(10), TRUE, ARRAYFORMULA(VLOOKUP(SPLIT(AH186, "";"" &amp; CHAR(10)), $AE:$AI, 5, FALSE)), AF186))"),"")</f>
        <v/>
      </c>
      <c r="AN186" s="132" t="str">
        <f>IFERROR(__xludf.DUMMYFUNCTION("IF(ISBLANK(AO186), """", TEXTJOIN("";"" &amp; CHAR(10), TRUE, UNIQUE(SPLIT(AO186, "";"" &amp; CHAR(10)), TRUE))&amp;"";"")"),"")</f>
        <v/>
      </c>
      <c r="AO186" s="134" t="str">
        <f>IFERROR(__xludf.DUMMYFUNCTION("IF(ISBLANK(AD186), AF186, TEXTJOIN(CHAR(10), TRUE, ARRAYFORMULA(VLOOKUP(SPLIT(AD186, "";"" &amp; CHAR(10)), $AC:$AN, 12, FALSE))))"),"")</f>
        <v/>
      </c>
      <c r="AP186" s="130" t="str">
        <f>IF(ISBLANK(AE186),,IF(IFERROR(SEARCH(AE186&amp;";",Circuits!$AO$2),0),TRUE,FALSE))</f>
        <v/>
      </c>
      <c r="AQ186" s="130" t="str">
        <f t="shared" si="2"/>
        <v/>
      </c>
      <c r="AR186" s="130" t="str">
        <f t="shared" si="3"/>
        <v/>
      </c>
      <c r="AS186" s="136" t="str">
        <f>IFERROR(__xludf.DUMMYFUNCTION("IF(AH186="""",,SUM(ARRAYFORMULA(IF(IFERROR(SEARCH(SPLIT(AH186,CHAR(10)),Circuits!$AO$2),0)&gt;0,0,1))))"),"")</f>
        <v/>
      </c>
      <c r="AT186" s="138" t="str">
        <f t="shared" si="4"/>
        <v/>
      </c>
      <c r="AU186" s="138" t="str">
        <f t="shared" si="5"/>
        <v/>
      </c>
      <c r="AV186" s="130" t="str">
        <f>IFERROR(__xludf.DUMMYFUNCTION("IF(AI186="""",,TEXTJOIN("", "",TRUE,ARRAYFORMULA(VLOOKUP(SPLIT(AI186,"";""&amp;CHAR(10)),AE:AT,16,FALSE))))"),"")</f>
        <v/>
      </c>
      <c r="AW186" s="130" t="str">
        <f>IFERROR(__xludf.DUMMYFUNCTION("IF(ISBLANK(BK186),,TEXTJOIN("", "",TRUE,ARRAYFORMULA(VLOOKUP(IFERROR(REGEXEXTRACT(SPLIT(BK186,"";""&amp;CHAR(10)),""\[(.+)\]"")),AE:AT,16,false))))"),"")</f>
        <v/>
      </c>
      <c r="AX186" s="139" t="str">
        <f t="shared" si="6"/>
        <v/>
      </c>
      <c r="AY186" s="139" t="str">
        <f t="shared" si="7"/>
        <v/>
      </c>
      <c r="AZ186" s="106" t="str">
        <f>IFERROR(__xludf.DUMMYFUNCTION("IF(ISBLANK(AD186), BC186, TEXTJOIN(CHAR(10) &amp; CHAR(10), TRUE, ARRAYFORMULA(VLOOKUP(SPLIT(AD186, "";"" &amp; CHAR(10)), $AC:$AY, 23, FALSE))))"),"")</f>
        <v/>
      </c>
      <c r="BA186" s="140" t="s">
        <v>66</v>
      </c>
      <c r="BB186" s="190"/>
      <c r="BC186" s="196"/>
      <c r="BD186" s="106" t="str">
        <f>IFERROR(__xludf.DUMMYFUNCTION("IF(IFERROR(SEARCH(""&lt;&lt;mechanism to realize the capability&gt;&gt;"",BA186),0)=0,
 ""!! Error !! “Capability&amp;Mechanism” column: Invalid Separator:"" &amp; CHAR(10) &amp; ""Insert separator “&lt;&lt;mechanism to realize the capability&gt;&gt;.”"",
 IF(
  LEN(TRIM(CLEAN(
    INDEX(
 "&amp;"     SPLIT(BA186,""&lt;&lt;mechanism to realize the capability&gt;&gt;"",FALSE,FALSE),
      1
    )
  )))=0,
  ""!! Error !! “Capability&amp;Mechanism” column: No Capability:""  &amp; CHAR(10) &amp; ""Describe Capability before separator."",
  INDEX(
    SPLIT(BA186,""&lt;&lt;mechani"&amp;"sm to realize the capability&gt;&gt;"",FALSE,FALSE),
    1
  )
 )
)
"),"!! Error !! “Capability&amp;Mechanism” column: No Capability:
Describe Capability before separator.")</f>
        <v>!! Error !! “Capability&amp;Mechanism” column: No Capability:
Describe Capability before separator.</v>
      </c>
      <c r="BE186" s="190"/>
      <c r="BF186" s="195"/>
      <c r="BG186" s="42"/>
      <c r="BH186" s="190"/>
      <c r="BI186" s="196"/>
      <c r="BJ186" s="42"/>
      <c r="BK186" s="42"/>
      <c r="BL186" s="203"/>
      <c r="BM186" s="203"/>
      <c r="BN186" s="42"/>
      <c r="BO186" s="42"/>
      <c r="BP186" s="143"/>
      <c r="BQ186" s="143"/>
      <c r="BR186" s="192"/>
      <c r="BS186" s="192"/>
      <c r="BT186" s="192"/>
      <c r="BU186" s="192"/>
      <c r="BV186" s="192"/>
      <c r="BW186" s="192"/>
      <c r="BX186" s="146" t="str">
        <f t="shared" si="8"/>
        <v/>
      </c>
    </row>
    <row r="187">
      <c r="A187" s="106" t="str">
        <f t="shared" si="1"/>
        <v/>
      </c>
      <c r="B187" s="183" t="str">
        <f t="array" ref="B187">IF(ISBLANK($AE187), "-",INDEX(Circuits!A:A,SUMPRODUCT(EXACT($AE187,Circuits!$A:$A)*ROW(Circuits!$A:$A))))</f>
        <v>-</v>
      </c>
      <c r="C187" s="183" t="str">
        <f t="array" ref="C187">IF(ISBLANK($AE187), "-",INDEX(Circuits!B:B,SUMPRODUCT(EXACT($AE187,Circuits!$A:$A)*ROW(Circuits!$A:$A))))</f>
        <v>-</v>
      </c>
      <c r="D187" s="183" t="str">
        <f t="array" ref="D187">IF(ISBLANK($AE187), "-",INDEX(Circuits!C:C,SUMPRODUCT(EXACT($AE187,Circuits!$A:$A)*ROW(Circuits!$A:$A))))</f>
        <v>-</v>
      </c>
      <c r="E187" s="183" t="str">
        <f t="array" ref="E187">IF(ISBLANK($AE187), "-",INDEX(Circuits!D:D,SUMPRODUCT(EXACT($AE187,Circuits!$A:$A)*ROW(Circuits!$A:$A))))</f>
        <v>-</v>
      </c>
      <c r="F187" s="183" t="str">
        <f t="array" ref="F187">IF(ISBLANK($AE187), "-",INDEX(Circuits!E:E,SUMPRODUCT(EXACT($AE187,Circuits!$A:$A)*ROW(Circuits!$A:$A))))</f>
        <v>-</v>
      </c>
      <c r="G187" s="183" t="str">
        <f t="array" ref="G187">IF(ISBLANK($AE187), "-",INDEX(Circuits!F:F,SUMPRODUCT(EXACT($AE187,Circuits!$A:$A)*ROW(Circuits!$A:$A))))</f>
        <v>-</v>
      </c>
      <c r="H187" s="183" t="str">
        <f t="array" ref="H187">IF(ISBLANK($AE187), "-",INDEX(Circuits!G:G,SUMPRODUCT(EXACT($AE187,Circuits!$A:$A)*ROW(Circuits!$A:$A))))</f>
        <v>-</v>
      </c>
      <c r="I187" s="183" t="str">
        <f t="array" ref="I187">IF(ISBLANK($AE187), "-",INDEX(Circuits!H:H,SUMPRODUCT(EXACT($AE187,Circuits!$A:$A)*ROW(Circuits!$A:$A))))</f>
        <v>-</v>
      </c>
      <c r="J187" s="183" t="str">
        <f t="array" ref="J187">IF(ISBLANK($AE187), "-",INDEX(Circuits!I:I,SUMPRODUCT(EXACT($AE187,Circuits!$A:$A)*ROW(Circuits!$A:$A))))</f>
        <v>-</v>
      </c>
      <c r="K187" s="183" t="str">
        <f t="array" ref="K187">IF(ISBLANK($AE187), "-",INDEX(Circuits!J:J,SUMPRODUCT(EXACT($AE187,Circuits!$A:$A)*ROW(Circuits!$A:$A))))</f>
        <v>-</v>
      </c>
      <c r="L187" s="183" t="str">
        <f t="array" ref="L187">IF(ISBLANK($AE187), "-",INDEX(Circuits!K:K,SUMPRODUCT(EXACT($AE187,Circuits!$A:$A)*ROW(Circuits!$A:$A))))</f>
        <v>-</v>
      </c>
      <c r="M187" s="183" t="str">
        <f t="array" ref="M187">IF(ISBLANK($AE187), "-",INDEX(Circuits!L:L,SUMPRODUCT(EXACT($AE187,Circuits!$A:$A)*ROW(Circuits!$A:$A))))</f>
        <v>-</v>
      </c>
      <c r="N187" s="183" t="str">
        <f t="array" ref="N187">IF(ISBLANK($AE187), "-",INDEX(Circuits!M:M,SUMPRODUCT(EXACT($AE187,Circuits!$A:$A)*ROW(Circuits!$A:$A))))</f>
        <v>-</v>
      </c>
      <c r="O187" s="183" t="str">
        <f t="array" ref="O187">IF(ISBLANK($AE187), "-",INDEX(Circuits!N:N,SUMPRODUCT(EXACT($AE187,Circuits!$A:$A)*ROW(Circuits!$A:$A))))</f>
        <v>-</v>
      </c>
      <c r="P187" s="183" t="str">
        <f t="array" ref="P187">IF(ISBLANK($AE187), "-",INDEX(Circuits!O:O,SUMPRODUCT(EXACT($AE187,Circuits!$A:$A)*ROW(Circuits!$A:$A))))</f>
        <v>-</v>
      </c>
      <c r="Q187" s="183" t="str">
        <f t="array" ref="Q187">IF(ISBLANK($AE187), "-",INDEX(Circuits!P:P,SUMPRODUCT(EXACT($AE187,Circuits!$A:$A)*ROW(Circuits!$A:$A))))</f>
        <v>-</v>
      </c>
      <c r="R187" s="183" t="str">
        <f t="array" ref="R187">IF(ISBLANK($AE187), "-",INDEX(Circuits!Q:Q,SUMPRODUCT(EXACT($AE187,Circuits!$A:$A)*ROW(Circuits!$A:$A))))</f>
        <v>-</v>
      </c>
      <c r="S187" s="183" t="str">
        <f t="array" ref="S187">IF(ISBLANK($AE187), "-",INDEX(Circuits!R:R,SUMPRODUCT(EXACT($AE187,Circuits!$A:$A)*ROW(Circuits!$A:$A))))</f>
        <v>-</v>
      </c>
      <c r="T187" s="183" t="str">
        <f t="array" ref="T187">IF(ISBLANK($AE187), "-",INDEX(Circuits!S:S,SUMPRODUCT(EXACT($AE187,Circuits!$A:$A)*ROW(Circuits!$A:$A))))</f>
        <v>-</v>
      </c>
      <c r="U187" s="183" t="str">
        <f t="array" ref="U187">IF(ISBLANK($AE187), "-",INDEX(Circuits!T:T,SUMPRODUCT(EXACT($AE187,Circuits!$A:$A)*ROW(Circuits!$A:$A))))</f>
        <v>-</v>
      </c>
      <c r="V187" s="183" t="str">
        <f t="array" ref="V187">IF(ISBLANK($AE187), "-",INDEX(Circuits!U:U,SUMPRODUCT(EXACT($AE187,Circuits!$A:$A)*ROW(Circuits!$A:$A))))</f>
        <v>-</v>
      </c>
      <c r="W187" s="183" t="str">
        <f t="array" ref="W187">IF(ISBLANK($AE187), "-",INDEX(Circuits!V:V,SUMPRODUCT(EXACT($AE187,Circuits!$A:$A)*ROW(Circuits!$A:$A))))</f>
        <v>-</v>
      </c>
      <c r="X187" s="183" t="str">
        <f t="array" ref="X187">IF(ISBLANK($AE187), "-",INDEX(Circuits!W:W,SUMPRODUCT(EXACT($AE187,Circuits!$A:$A)*ROW(Circuits!$A:$A))))</f>
        <v>-</v>
      </c>
      <c r="Y187" s="183" t="str">
        <f t="array" ref="Y187">IF(ISBLANK($AE187), "-",INDEX(Circuits!X:X,SUMPRODUCT(EXACT($AE187,Circuits!$A:$A)*ROW(Circuits!$A:$A))))</f>
        <v>-</v>
      </c>
      <c r="Z187" s="108" t="str">
        <f>IFERROR(__xludf.DUMMYFUNCTION("IFNA(CONCATENATE(UNIQUE(FILTER(Connections!R:R,Connections!A:A=B187))),""-"")"),"-")</f>
        <v>-</v>
      </c>
      <c r="AA187" s="119" t="str">
        <f t="array" ref="AA187">IF(ISBLANK($AE187), "-",INDEX(Circuits!Y:Y,SUMPRODUCT(EXACT($AE187,Circuits!$A:$A)*ROW(Circuits!$A:$A))))</f>
        <v>-</v>
      </c>
      <c r="AB187" s="121" t="str">
        <f t="array" ref="AB187">IF(ISBLANK($AE187), "-",INDEX(Circuits!Z:Z,SUMPRODUCT(EXACT($AE187,Circuits!$A:$A)*ROW(Circuits!$A:$A))))</f>
        <v>-</v>
      </c>
      <c r="AC187" s="194"/>
      <c r="AD187" s="194"/>
      <c r="AE187" s="45"/>
      <c r="AF187" s="43"/>
      <c r="AG187" s="126" t="str">
        <f>IFERROR(__xludf.DUMMYFUNCTION("IF(ISBLANK(AF187), """", TEXTJOIN(CHAR(10),TRUE,ARRAYFORMULA(IF(ISERROR(SEARCH(SPLIT(AF187, "";""), $Z187)), ""x"", ""-""))))"),"")</f>
        <v/>
      </c>
      <c r="AH187" s="127" t="str">
        <f>IFERROR(__xludf.DUMMYFUNCTION("IF(ISBLANK(AK187), """", TEXTJOIN("";"" &amp; CHAR(10), TRUE, UNIQUE(SPLIT(AK187, "";"" &amp; CHAR(10)), TRUE))&amp;"";"")"),"")</f>
        <v/>
      </c>
      <c r="AI187" s="128" t="str">
        <f>IFERROR(__xludf.DUMMYFUNCTION("IF(ISBLANK(AD187), IF(ISBLANK(AE187),,IFNA(TEXTJOIN("";"" &amp; CHAR(10), TRUE, FILTER(AE:AE, SEARCH(AE187&amp;"";"", AJ:AJ)))&amp;"";"", """")), TEXTJOIN("";"" &amp; CHAR(10), TRUE, UNIQUE(SPLIT(AH187 &amp; "";"" &amp; AH187 &amp; "";"" &amp; AL187, "";"" &amp; CHAR(10)), TRUE, TRUE))&amp;"";"&amp;""")"),"")</f>
        <v/>
      </c>
      <c r="AJ187" s="126" t="str">
        <f>IFERROR(__xludf.DUMMYFUNCTION("IF(AN187="""", """", TEXTJOIN("";"" &amp; CHAR(10), TRUE, UNIQUE(SPLIT(AH187 &amp; "";"" &amp; AH187 &amp; "";"" &amp; AN187, "";"" &amp; CHAR(10)), TRUE, TRUE))&amp;"";"")"),"")</f>
        <v/>
      </c>
      <c r="AK187" s="129" t="str">
        <f>IFERROR(__xludf.DUMMYFUNCTION("IF(ISBLANK(AD187), IF(ISBLANK(AE187),,AE187 &amp; "";""), TEXTJOIN(CHAR(10), TRUE, ARRAYFORMULA(VLOOKUP(SPLIT(AD187, "";"" &amp; CHAR(10)), $AC:$AH, 6, FALSE))))"),"")</f>
        <v/>
      </c>
      <c r="AL187" s="130" t="str">
        <f>IFERROR(__xludf.DUMMYFUNCTION("IF(AM187="""", """", TEXTJOIN("";"" &amp; CHAR(10), TRUE, UNIQUE(SPLIT(AM187, "";"" &amp; CHAR(10)), TRUE))&amp;"";"")"),"")</f>
        <v/>
      </c>
      <c r="AM187" s="130" t="str">
        <f>IFERROR(__xludf.DUMMYFUNCTION("IF(ISBLANK(AD187), """", TEXTJOIN(CHAR(10), TRUE, ARRAYFORMULA(VLOOKUP(SPLIT(AH187, "";"" &amp; CHAR(10)), $AE:$AI, 5, FALSE)), AF187))"),"")</f>
        <v/>
      </c>
      <c r="AN187" s="132" t="str">
        <f>IFERROR(__xludf.DUMMYFUNCTION("IF(ISBLANK(AO187), """", TEXTJOIN("";"" &amp; CHAR(10), TRUE, UNIQUE(SPLIT(AO187, "";"" &amp; CHAR(10)), TRUE))&amp;"";"")"),"")</f>
        <v/>
      </c>
      <c r="AO187" s="134" t="str">
        <f>IFERROR(__xludf.DUMMYFUNCTION("IF(ISBLANK(AD187), AF187, TEXTJOIN(CHAR(10), TRUE, ARRAYFORMULA(VLOOKUP(SPLIT(AD187, "";"" &amp; CHAR(10)), $AC:$AN, 12, FALSE))))"),"")</f>
        <v/>
      </c>
      <c r="AP187" s="130" t="str">
        <f>IF(ISBLANK(AE187),,IF(IFERROR(SEARCH(AE187&amp;";",Circuits!$AO$2),0),TRUE,FALSE))</f>
        <v/>
      </c>
      <c r="AQ187" s="130" t="str">
        <f t="shared" si="2"/>
        <v/>
      </c>
      <c r="AR187" s="130" t="str">
        <f t="shared" si="3"/>
        <v/>
      </c>
      <c r="AS187" s="136" t="str">
        <f>IFERROR(__xludf.DUMMYFUNCTION("IF(AH187="""",,SUM(ARRAYFORMULA(IF(IFERROR(SEARCH(SPLIT(AH187,CHAR(10)),Circuits!$AO$2),0)&gt;0,0,1))))"),"")</f>
        <v/>
      </c>
      <c r="AT187" s="138" t="str">
        <f t="shared" si="4"/>
        <v/>
      </c>
      <c r="AU187" s="138" t="str">
        <f t="shared" si="5"/>
        <v/>
      </c>
      <c r="AV187" s="130" t="str">
        <f>IFERROR(__xludf.DUMMYFUNCTION("IF(AI187="""",,TEXTJOIN("", "",TRUE,ARRAYFORMULA(VLOOKUP(SPLIT(AI187,"";""&amp;CHAR(10)),AE:AT,16,FALSE))))"),"")</f>
        <v/>
      </c>
      <c r="AW187" s="130" t="str">
        <f>IFERROR(__xludf.DUMMYFUNCTION("IF(ISBLANK(BK187),,TEXTJOIN("", "",TRUE,ARRAYFORMULA(VLOOKUP(IFERROR(REGEXEXTRACT(SPLIT(BK187,"";""&amp;CHAR(10)),""\[(.+)\]"")),AE:AT,16,false))))"),"")</f>
        <v/>
      </c>
      <c r="AX187" s="139" t="str">
        <f t="shared" si="6"/>
        <v/>
      </c>
      <c r="AY187" s="139" t="str">
        <f t="shared" si="7"/>
        <v/>
      </c>
      <c r="AZ187" s="106" t="str">
        <f>IFERROR(__xludf.DUMMYFUNCTION("IF(ISBLANK(AD187), BC187, TEXTJOIN(CHAR(10) &amp; CHAR(10), TRUE, ARRAYFORMULA(VLOOKUP(SPLIT(AD187, "";"" &amp; CHAR(10)), $AC:$AY, 23, FALSE))))"),"")</f>
        <v/>
      </c>
      <c r="BA187" s="140" t="s">
        <v>66</v>
      </c>
      <c r="BB187" s="190"/>
      <c r="BC187" s="196"/>
      <c r="BD187" s="106" t="str">
        <f>IFERROR(__xludf.DUMMYFUNCTION("IF(IFERROR(SEARCH(""&lt;&lt;mechanism to realize the capability&gt;&gt;"",BA187),0)=0,
 ""!! Error !! “Capability&amp;Mechanism” column: Invalid Separator:"" &amp; CHAR(10) &amp; ""Insert separator “&lt;&lt;mechanism to realize the capability&gt;&gt;.”"",
 IF(
  LEN(TRIM(CLEAN(
    INDEX(
 "&amp;"     SPLIT(BA187,""&lt;&lt;mechanism to realize the capability&gt;&gt;"",FALSE,FALSE),
      1
    )
  )))=0,
  ""!! Error !! “Capability&amp;Mechanism” column: No Capability:""  &amp; CHAR(10) &amp; ""Describe Capability before separator."",
  INDEX(
    SPLIT(BA187,""&lt;&lt;mechani"&amp;"sm to realize the capability&gt;&gt;"",FALSE,FALSE),
    1
  )
 )
)
"),"!! Error !! “Capability&amp;Mechanism” column: No Capability:
Describe Capability before separator.")</f>
        <v>!! Error !! “Capability&amp;Mechanism” column: No Capability:
Describe Capability before separator.</v>
      </c>
      <c r="BE187" s="190"/>
      <c r="BF187" s="195"/>
      <c r="BG187" s="42"/>
      <c r="BH187" s="190"/>
      <c r="BI187" s="196"/>
      <c r="BJ187" s="42"/>
      <c r="BK187" s="42"/>
      <c r="BL187" s="203"/>
      <c r="BM187" s="203"/>
      <c r="BN187" s="42"/>
      <c r="BO187" s="42"/>
      <c r="BP187" s="143"/>
      <c r="BQ187" s="143"/>
      <c r="BR187" s="192"/>
      <c r="BS187" s="192"/>
      <c r="BT187" s="192"/>
      <c r="BU187" s="192"/>
      <c r="BV187" s="192"/>
      <c r="BW187" s="192"/>
      <c r="BX187" s="146" t="str">
        <f t="shared" si="8"/>
        <v/>
      </c>
    </row>
    <row r="188">
      <c r="A188" s="106" t="str">
        <f t="shared" si="1"/>
        <v/>
      </c>
      <c r="B188" s="183" t="str">
        <f t="array" ref="B188">IF(ISBLANK($AE188), "-",INDEX(Circuits!A:A,SUMPRODUCT(EXACT($AE188,Circuits!$A:$A)*ROW(Circuits!$A:$A))))</f>
        <v>-</v>
      </c>
      <c r="C188" s="183" t="str">
        <f t="array" ref="C188">IF(ISBLANK($AE188), "-",INDEX(Circuits!B:B,SUMPRODUCT(EXACT($AE188,Circuits!$A:$A)*ROW(Circuits!$A:$A))))</f>
        <v>-</v>
      </c>
      <c r="D188" s="183" t="str">
        <f t="array" ref="D188">IF(ISBLANK($AE188), "-",INDEX(Circuits!C:C,SUMPRODUCT(EXACT($AE188,Circuits!$A:$A)*ROW(Circuits!$A:$A))))</f>
        <v>-</v>
      </c>
      <c r="E188" s="183" t="str">
        <f t="array" ref="E188">IF(ISBLANK($AE188), "-",INDEX(Circuits!D:D,SUMPRODUCT(EXACT($AE188,Circuits!$A:$A)*ROW(Circuits!$A:$A))))</f>
        <v>-</v>
      </c>
      <c r="F188" s="183" t="str">
        <f t="array" ref="F188">IF(ISBLANK($AE188), "-",INDEX(Circuits!E:E,SUMPRODUCT(EXACT($AE188,Circuits!$A:$A)*ROW(Circuits!$A:$A))))</f>
        <v>-</v>
      </c>
      <c r="G188" s="183" t="str">
        <f t="array" ref="G188">IF(ISBLANK($AE188), "-",INDEX(Circuits!F:F,SUMPRODUCT(EXACT($AE188,Circuits!$A:$A)*ROW(Circuits!$A:$A))))</f>
        <v>-</v>
      </c>
      <c r="H188" s="183" t="str">
        <f t="array" ref="H188">IF(ISBLANK($AE188), "-",INDEX(Circuits!G:G,SUMPRODUCT(EXACT($AE188,Circuits!$A:$A)*ROW(Circuits!$A:$A))))</f>
        <v>-</v>
      </c>
      <c r="I188" s="183" t="str">
        <f t="array" ref="I188">IF(ISBLANK($AE188), "-",INDEX(Circuits!H:H,SUMPRODUCT(EXACT($AE188,Circuits!$A:$A)*ROW(Circuits!$A:$A))))</f>
        <v>-</v>
      </c>
      <c r="J188" s="183" t="str">
        <f t="array" ref="J188">IF(ISBLANK($AE188), "-",INDEX(Circuits!I:I,SUMPRODUCT(EXACT($AE188,Circuits!$A:$A)*ROW(Circuits!$A:$A))))</f>
        <v>-</v>
      </c>
      <c r="K188" s="183" t="str">
        <f t="array" ref="K188">IF(ISBLANK($AE188), "-",INDEX(Circuits!J:J,SUMPRODUCT(EXACT($AE188,Circuits!$A:$A)*ROW(Circuits!$A:$A))))</f>
        <v>-</v>
      </c>
      <c r="L188" s="183" t="str">
        <f t="array" ref="L188">IF(ISBLANK($AE188), "-",INDEX(Circuits!K:K,SUMPRODUCT(EXACT($AE188,Circuits!$A:$A)*ROW(Circuits!$A:$A))))</f>
        <v>-</v>
      </c>
      <c r="M188" s="183" t="str">
        <f t="array" ref="M188">IF(ISBLANK($AE188), "-",INDEX(Circuits!L:L,SUMPRODUCT(EXACT($AE188,Circuits!$A:$A)*ROW(Circuits!$A:$A))))</f>
        <v>-</v>
      </c>
      <c r="N188" s="183" t="str">
        <f t="array" ref="N188">IF(ISBLANK($AE188), "-",INDEX(Circuits!M:M,SUMPRODUCT(EXACT($AE188,Circuits!$A:$A)*ROW(Circuits!$A:$A))))</f>
        <v>-</v>
      </c>
      <c r="O188" s="183" t="str">
        <f t="array" ref="O188">IF(ISBLANK($AE188), "-",INDEX(Circuits!N:N,SUMPRODUCT(EXACT($AE188,Circuits!$A:$A)*ROW(Circuits!$A:$A))))</f>
        <v>-</v>
      </c>
      <c r="P188" s="183" t="str">
        <f t="array" ref="P188">IF(ISBLANK($AE188), "-",INDEX(Circuits!O:O,SUMPRODUCT(EXACT($AE188,Circuits!$A:$A)*ROW(Circuits!$A:$A))))</f>
        <v>-</v>
      </c>
      <c r="Q188" s="183" t="str">
        <f t="array" ref="Q188">IF(ISBLANK($AE188), "-",INDEX(Circuits!P:P,SUMPRODUCT(EXACT($AE188,Circuits!$A:$A)*ROW(Circuits!$A:$A))))</f>
        <v>-</v>
      </c>
      <c r="R188" s="183" t="str">
        <f t="array" ref="R188">IF(ISBLANK($AE188), "-",INDEX(Circuits!Q:Q,SUMPRODUCT(EXACT($AE188,Circuits!$A:$A)*ROW(Circuits!$A:$A))))</f>
        <v>-</v>
      </c>
      <c r="S188" s="183" t="str">
        <f t="array" ref="S188">IF(ISBLANK($AE188), "-",INDEX(Circuits!R:R,SUMPRODUCT(EXACT($AE188,Circuits!$A:$A)*ROW(Circuits!$A:$A))))</f>
        <v>-</v>
      </c>
      <c r="T188" s="183" t="str">
        <f t="array" ref="T188">IF(ISBLANK($AE188), "-",INDEX(Circuits!S:S,SUMPRODUCT(EXACT($AE188,Circuits!$A:$A)*ROW(Circuits!$A:$A))))</f>
        <v>-</v>
      </c>
      <c r="U188" s="183" t="str">
        <f t="array" ref="U188">IF(ISBLANK($AE188), "-",INDEX(Circuits!T:T,SUMPRODUCT(EXACT($AE188,Circuits!$A:$A)*ROW(Circuits!$A:$A))))</f>
        <v>-</v>
      </c>
      <c r="V188" s="183" t="str">
        <f t="array" ref="V188">IF(ISBLANK($AE188), "-",INDEX(Circuits!U:U,SUMPRODUCT(EXACT($AE188,Circuits!$A:$A)*ROW(Circuits!$A:$A))))</f>
        <v>-</v>
      </c>
      <c r="W188" s="183" t="str">
        <f t="array" ref="W188">IF(ISBLANK($AE188), "-",INDEX(Circuits!V:V,SUMPRODUCT(EXACT($AE188,Circuits!$A:$A)*ROW(Circuits!$A:$A))))</f>
        <v>-</v>
      </c>
      <c r="X188" s="183" t="str">
        <f t="array" ref="X188">IF(ISBLANK($AE188), "-",INDEX(Circuits!W:W,SUMPRODUCT(EXACT($AE188,Circuits!$A:$A)*ROW(Circuits!$A:$A))))</f>
        <v>-</v>
      </c>
      <c r="Y188" s="183" t="str">
        <f t="array" ref="Y188">IF(ISBLANK($AE188), "-",INDEX(Circuits!X:X,SUMPRODUCT(EXACT($AE188,Circuits!$A:$A)*ROW(Circuits!$A:$A))))</f>
        <v>-</v>
      </c>
      <c r="Z188" s="108" t="str">
        <f>IFERROR(__xludf.DUMMYFUNCTION("IFNA(CONCATENATE(UNIQUE(FILTER(Connections!R:R,Connections!A:A=B188))),""-"")"),"-")</f>
        <v>-</v>
      </c>
      <c r="AA188" s="119" t="str">
        <f t="array" ref="AA188">IF(ISBLANK($AE188), "-",INDEX(Circuits!Y:Y,SUMPRODUCT(EXACT($AE188,Circuits!$A:$A)*ROW(Circuits!$A:$A))))</f>
        <v>-</v>
      </c>
      <c r="AB188" s="121" t="str">
        <f t="array" ref="AB188">IF(ISBLANK($AE188), "-",INDEX(Circuits!Z:Z,SUMPRODUCT(EXACT($AE188,Circuits!$A:$A)*ROW(Circuits!$A:$A))))</f>
        <v>-</v>
      </c>
      <c r="AC188" s="194"/>
      <c r="AD188" s="194"/>
      <c r="AE188" s="45"/>
      <c r="AF188" s="43"/>
      <c r="AG188" s="126" t="str">
        <f>IFERROR(__xludf.DUMMYFUNCTION("IF(ISBLANK(AF188), """", TEXTJOIN(CHAR(10),TRUE,ARRAYFORMULA(IF(ISERROR(SEARCH(SPLIT(AF188, "";""), $Z188)), ""x"", ""-""))))"),"")</f>
        <v/>
      </c>
      <c r="AH188" s="127" t="str">
        <f>IFERROR(__xludf.DUMMYFUNCTION("IF(ISBLANK(AK188), """", TEXTJOIN("";"" &amp; CHAR(10), TRUE, UNIQUE(SPLIT(AK188, "";"" &amp; CHAR(10)), TRUE))&amp;"";"")"),"")</f>
        <v/>
      </c>
      <c r="AI188" s="128" t="str">
        <f>IFERROR(__xludf.DUMMYFUNCTION("IF(ISBLANK(AD188), IF(ISBLANK(AE188),,IFNA(TEXTJOIN("";"" &amp; CHAR(10), TRUE, FILTER(AE:AE, SEARCH(AE188&amp;"";"", AJ:AJ)))&amp;"";"", """")), TEXTJOIN("";"" &amp; CHAR(10), TRUE, UNIQUE(SPLIT(AH188 &amp; "";"" &amp; AH188 &amp; "";"" &amp; AL188, "";"" &amp; CHAR(10)), TRUE, TRUE))&amp;"";"&amp;""")"),"")</f>
        <v/>
      </c>
      <c r="AJ188" s="126" t="str">
        <f>IFERROR(__xludf.DUMMYFUNCTION("IF(AN188="""", """", TEXTJOIN("";"" &amp; CHAR(10), TRUE, UNIQUE(SPLIT(AH188 &amp; "";"" &amp; AH188 &amp; "";"" &amp; AN188, "";"" &amp; CHAR(10)), TRUE, TRUE))&amp;"";"")"),"")</f>
        <v/>
      </c>
      <c r="AK188" s="129" t="str">
        <f>IFERROR(__xludf.DUMMYFUNCTION("IF(ISBLANK(AD188), IF(ISBLANK(AE188),,AE188 &amp; "";""), TEXTJOIN(CHAR(10), TRUE, ARRAYFORMULA(VLOOKUP(SPLIT(AD188, "";"" &amp; CHAR(10)), $AC:$AH, 6, FALSE))))"),"")</f>
        <v/>
      </c>
      <c r="AL188" s="130" t="str">
        <f>IFERROR(__xludf.DUMMYFUNCTION("IF(AM188="""", """", TEXTJOIN("";"" &amp; CHAR(10), TRUE, UNIQUE(SPLIT(AM188, "";"" &amp; CHAR(10)), TRUE))&amp;"";"")"),"")</f>
        <v/>
      </c>
      <c r="AM188" s="130" t="str">
        <f>IFERROR(__xludf.DUMMYFUNCTION("IF(ISBLANK(AD188), """", TEXTJOIN(CHAR(10), TRUE, ARRAYFORMULA(VLOOKUP(SPLIT(AH188, "";"" &amp; CHAR(10)), $AE:$AI, 5, FALSE)), AF188))"),"")</f>
        <v/>
      </c>
      <c r="AN188" s="132" t="str">
        <f>IFERROR(__xludf.DUMMYFUNCTION("IF(ISBLANK(AO188), """", TEXTJOIN("";"" &amp; CHAR(10), TRUE, UNIQUE(SPLIT(AO188, "";"" &amp; CHAR(10)), TRUE))&amp;"";"")"),"")</f>
        <v/>
      </c>
      <c r="AO188" s="134" t="str">
        <f>IFERROR(__xludf.DUMMYFUNCTION("IF(ISBLANK(AD188), AF188, TEXTJOIN(CHAR(10), TRUE, ARRAYFORMULA(VLOOKUP(SPLIT(AD188, "";"" &amp; CHAR(10)), $AC:$AN, 12, FALSE))))"),"")</f>
        <v/>
      </c>
      <c r="AP188" s="130" t="str">
        <f>IF(ISBLANK(AE188),,IF(IFERROR(SEARCH(AE188&amp;";",Circuits!$AO$2),0),TRUE,FALSE))</f>
        <v/>
      </c>
      <c r="AQ188" s="130" t="str">
        <f t="shared" si="2"/>
        <v/>
      </c>
      <c r="AR188" s="130" t="str">
        <f t="shared" si="3"/>
        <v/>
      </c>
      <c r="AS188" s="136" t="str">
        <f>IFERROR(__xludf.DUMMYFUNCTION("IF(AH188="""",,SUM(ARRAYFORMULA(IF(IFERROR(SEARCH(SPLIT(AH188,CHAR(10)),Circuits!$AO$2),0)&gt;0,0,1))))"),"")</f>
        <v/>
      </c>
      <c r="AT188" s="138" t="str">
        <f t="shared" si="4"/>
        <v/>
      </c>
      <c r="AU188" s="138" t="str">
        <f t="shared" si="5"/>
        <v/>
      </c>
      <c r="AV188" s="130" t="str">
        <f>IFERROR(__xludf.DUMMYFUNCTION("IF(AI188="""",,TEXTJOIN("", "",TRUE,ARRAYFORMULA(VLOOKUP(SPLIT(AI188,"";""&amp;CHAR(10)),AE:AT,16,FALSE))))"),"")</f>
        <v/>
      </c>
      <c r="AW188" s="130" t="str">
        <f>IFERROR(__xludf.DUMMYFUNCTION("IF(ISBLANK(BK188),,TEXTJOIN("", "",TRUE,ARRAYFORMULA(VLOOKUP(IFERROR(REGEXEXTRACT(SPLIT(BK188,"";""&amp;CHAR(10)),""\[(.+)\]"")),AE:AT,16,false))))"),"")</f>
        <v/>
      </c>
      <c r="AX188" s="139" t="str">
        <f t="shared" si="6"/>
        <v/>
      </c>
      <c r="AY188" s="139" t="str">
        <f t="shared" si="7"/>
        <v/>
      </c>
      <c r="AZ188" s="106" t="str">
        <f>IFERROR(__xludf.DUMMYFUNCTION("IF(ISBLANK(AD188), BC188, TEXTJOIN(CHAR(10) &amp; CHAR(10), TRUE, ARRAYFORMULA(VLOOKUP(SPLIT(AD188, "";"" &amp; CHAR(10)), $AC:$AY, 23, FALSE))))"),"")</f>
        <v/>
      </c>
      <c r="BA188" s="140" t="s">
        <v>66</v>
      </c>
      <c r="BB188" s="190"/>
      <c r="BC188" s="196"/>
      <c r="BD188" s="106" t="str">
        <f>IFERROR(__xludf.DUMMYFUNCTION("IF(IFERROR(SEARCH(""&lt;&lt;mechanism to realize the capability&gt;&gt;"",BA188),0)=0,
 ""!! Error !! “Capability&amp;Mechanism” column: Invalid Separator:"" &amp; CHAR(10) &amp; ""Insert separator “&lt;&lt;mechanism to realize the capability&gt;&gt;.”"",
 IF(
  LEN(TRIM(CLEAN(
    INDEX(
 "&amp;"     SPLIT(BA188,""&lt;&lt;mechanism to realize the capability&gt;&gt;"",FALSE,FALSE),
      1
    )
  )))=0,
  ""!! Error !! “Capability&amp;Mechanism” column: No Capability:""  &amp; CHAR(10) &amp; ""Describe Capability before separator."",
  INDEX(
    SPLIT(BA188,""&lt;&lt;mechani"&amp;"sm to realize the capability&gt;&gt;"",FALSE,FALSE),
    1
  )
 )
)
"),"!! Error !! “Capability&amp;Mechanism” column: No Capability:
Describe Capability before separator.")</f>
        <v>!! Error !! “Capability&amp;Mechanism” column: No Capability:
Describe Capability before separator.</v>
      </c>
      <c r="BE188" s="190"/>
      <c r="BF188" s="195"/>
      <c r="BG188" s="42"/>
      <c r="BH188" s="190"/>
      <c r="BI188" s="196"/>
      <c r="BJ188" s="42"/>
      <c r="BK188" s="42"/>
      <c r="BL188" s="203"/>
      <c r="BM188" s="203"/>
      <c r="BN188" s="42"/>
      <c r="BO188" s="42"/>
      <c r="BP188" s="143"/>
      <c r="BQ188" s="143"/>
      <c r="BR188" s="192"/>
      <c r="BS188" s="192"/>
      <c r="BT188" s="192"/>
      <c r="BU188" s="192"/>
      <c r="BV188" s="192"/>
      <c r="BW188" s="192"/>
      <c r="BX188" s="146" t="str">
        <f t="shared" si="8"/>
        <v/>
      </c>
    </row>
    <row r="189">
      <c r="A189" s="106" t="str">
        <f t="shared" si="1"/>
        <v/>
      </c>
      <c r="B189" s="183" t="str">
        <f t="array" ref="B189">IF(ISBLANK($AE189), "-",INDEX(Circuits!A:A,SUMPRODUCT(EXACT($AE189,Circuits!$A:$A)*ROW(Circuits!$A:$A))))</f>
        <v>-</v>
      </c>
      <c r="C189" s="183" t="str">
        <f t="array" ref="C189">IF(ISBLANK($AE189), "-",INDEX(Circuits!B:B,SUMPRODUCT(EXACT($AE189,Circuits!$A:$A)*ROW(Circuits!$A:$A))))</f>
        <v>-</v>
      </c>
      <c r="D189" s="183" t="str">
        <f t="array" ref="D189">IF(ISBLANK($AE189), "-",INDEX(Circuits!C:C,SUMPRODUCT(EXACT($AE189,Circuits!$A:$A)*ROW(Circuits!$A:$A))))</f>
        <v>-</v>
      </c>
      <c r="E189" s="183" t="str">
        <f t="array" ref="E189">IF(ISBLANK($AE189), "-",INDEX(Circuits!D:D,SUMPRODUCT(EXACT($AE189,Circuits!$A:$A)*ROW(Circuits!$A:$A))))</f>
        <v>-</v>
      </c>
      <c r="F189" s="183" t="str">
        <f t="array" ref="F189">IF(ISBLANK($AE189), "-",INDEX(Circuits!E:E,SUMPRODUCT(EXACT($AE189,Circuits!$A:$A)*ROW(Circuits!$A:$A))))</f>
        <v>-</v>
      </c>
      <c r="G189" s="183" t="str">
        <f t="array" ref="G189">IF(ISBLANK($AE189), "-",INDEX(Circuits!F:F,SUMPRODUCT(EXACT($AE189,Circuits!$A:$A)*ROW(Circuits!$A:$A))))</f>
        <v>-</v>
      </c>
      <c r="H189" s="183" t="str">
        <f t="array" ref="H189">IF(ISBLANK($AE189), "-",INDEX(Circuits!G:G,SUMPRODUCT(EXACT($AE189,Circuits!$A:$A)*ROW(Circuits!$A:$A))))</f>
        <v>-</v>
      </c>
      <c r="I189" s="183" t="str">
        <f t="array" ref="I189">IF(ISBLANK($AE189), "-",INDEX(Circuits!H:H,SUMPRODUCT(EXACT($AE189,Circuits!$A:$A)*ROW(Circuits!$A:$A))))</f>
        <v>-</v>
      </c>
      <c r="J189" s="183" t="str">
        <f t="array" ref="J189">IF(ISBLANK($AE189), "-",INDEX(Circuits!I:I,SUMPRODUCT(EXACT($AE189,Circuits!$A:$A)*ROW(Circuits!$A:$A))))</f>
        <v>-</v>
      </c>
      <c r="K189" s="183" t="str">
        <f t="array" ref="K189">IF(ISBLANK($AE189), "-",INDEX(Circuits!J:J,SUMPRODUCT(EXACT($AE189,Circuits!$A:$A)*ROW(Circuits!$A:$A))))</f>
        <v>-</v>
      </c>
      <c r="L189" s="183" t="str">
        <f t="array" ref="L189">IF(ISBLANK($AE189), "-",INDEX(Circuits!K:K,SUMPRODUCT(EXACT($AE189,Circuits!$A:$A)*ROW(Circuits!$A:$A))))</f>
        <v>-</v>
      </c>
      <c r="M189" s="183" t="str">
        <f t="array" ref="M189">IF(ISBLANK($AE189), "-",INDEX(Circuits!L:L,SUMPRODUCT(EXACT($AE189,Circuits!$A:$A)*ROW(Circuits!$A:$A))))</f>
        <v>-</v>
      </c>
      <c r="N189" s="183" t="str">
        <f t="array" ref="N189">IF(ISBLANK($AE189), "-",INDEX(Circuits!M:M,SUMPRODUCT(EXACT($AE189,Circuits!$A:$A)*ROW(Circuits!$A:$A))))</f>
        <v>-</v>
      </c>
      <c r="O189" s="183" t="str">
        <f t="array" ref="O189">IF(ISBLANK($AE189), "-",INDEX(Circuits!N:N,SUMPRODUCT(EXACT($AE189,Circuits!$A:$A)*ROW(Circuits!$A:$A))))</f>
        <v>-</v>
      </c>
      <c r="P189" s="183" t="str">
        <f t="array" ref="P189">IF(ISBLANK($AE189), "-",INDEX(Circuits!O:O,SUMPRODUCT(EXACT($AE189,Circuits!$A:$A)*ROW(Circuits!$A:$A))))</f>
        <v>-</v>
      </c>
      <c r="Q189" s="183" t="str">
        <f t="array" ref="Q189">IF(ISBLANK($AE189), "-",INDEX(Circuits!P:P,SUMPRODUCT(EXACT($AE189,Circuits!$A:$A)*ROW(Circuits!$A:$A))))</f>
        <v>-</v>
      </c>
      <c r="R189" s="183" t="str">
        <f t="array" ref="R189">IF(ISBLANK($AE189), "-",INDEX(Circuits!Q:Q,SUMPRODUCT(EXACT($AE189,Circuits!$A:$A)*ROW(Circuits!$A:$A))))</f>
        <v>-</v>
      </c>
      <c r="S189" s="183" t="str">
        <f t="array" ref="S189">IF(ISBLANK($AE189), "-",INDEX(Circuits!R:R,SUMPRODUCT(EXACT($AE189,Circuits!$A:$A)*ROW(Circuits!$A:$A))))</f>
        <v>-</v>
      </c>
      <c r="T189" s="183" t="str">
        <f t="array" ref="T189">IF(ISBLANK($AE189), "-",INDEX(Circuits!S:S,SUMPRODUCT(EXACT($AE189,Circuits!$A:$A)*ROW(Circuits!$A:$A))))</f>
        <v>-</v>
      </c>
      <c r="U189" s="183" t="str">
        <f t="array" ref="U189">IF(ISBLANK($AE189), "-",INDEX(Circuits!T:T,SUMPRODUCT(EXACT($AE189,Circuits!$A:$A)*ROW(Circuits!$A:$A))))</f>
        <v>-</v>
      </c>
      <c r="V189" s="183" t="str">
        <f t="array" ref="V189">IF(ISBLANK($AE189), "-",INDEX(Circuits!U:U,SUMPRODUCT(EXACT($AE189,Circuits!$A:$A)*ROW(Circuits!$A:$A))))</f>
        <v>-</v>
      </c>
      <c r="W189" s="183" t="str">
        <f t="array" ref="W189">IF(ISBLANK($AE189), "-",INDEX(Circuits!V:V,SUMPRODUCT(EXACT($AE189,Circuits!$A:$A)*ROW(Circuits!$A:$A))))</f>
        <v>-</v>
      </c>
      <c r="X189" s="183" t="str">
        <f t="array" ref="X189">IF(ISBLANK($AE189), "-",INDEX(Circuits!W:W,SUMPRODUCT(EXACT($AE189,Circuits!$A:$A)*ROW(Circuits!$A:$A))))</f>
        <v>-</v>
      </c>
      <c r="Y189" s="183" t="str">
        <f t="array" ref="Y189">IF(ISBLANK($AE189), "-",INDEX(Circuits!X:X,SUMPRODUCT(EXACT($AE189,Circuits!$A:$A)*ROW(Circuits!$A:$A))))</f>
        <v>-</v>
      </c>
      <c r="Z189" s="108" t="str">
        <f>IFERROR(__xludf.DUMMYFUNCTION("IFNA(CONCATENATE(UNIQUE(FILTER(Connections!R:R,Connections!A:A=B189))),""-"")"),"-")</f>
        <v>-</v>
      </c>
      <c r="AA189" s="119" t="str">
        <f t="array" ref="AA189">IF(ISBLANK($AE189), "-",INDEX(Circuits!Y:Y,SUMPRODUCT(EXACT($AE189,Circuits!$A:$A)*ROW(Circuits!$A:$A))))</f>
        <v>-</v>
      </c>
      <c r="AB189" s="121" t="str">
        <f t="array" ref="AB189">IF(ISBLANK($AE189), "-",INDEX(Circuits!Z:Z,SUMPRODUCT(EXACT($AE189,Circuits!$A:$A)*ROW(Circuits!$A:$A))))</f>
        <v>-</v>
      </c>
      <c r="AC189" s="194"/>
      <c r="AD189" s="194"/>
      <c r="AE189" s="45"/>
      <c r="AF189" s="43"/>
      <c r="AG189" s="126" t="str">
        <f>IFERROR(__xludf.DUMMYFUNCTION("IF(ISBLANK(AF189), """", TEXTJOIN(CHAR(10),TRUE,ARRAYFORMULA(IF(ISERROR(SEARCH(SPLIT(AF189, "";""), $Z189)), ""x"", ""-""))))"),"")</f>
        <v/>
      </c>
      <c r="AH189" s="127" t="str">
        <f>IFERROR(__xludf.DUMMYFUNCTION("IF(ISBLANK(AK189), """", TEXTJOIN("";"" &amp; CHAR(10), TRUE, UNIQUE(SPLIT(AK189, "";"" &amp; CHAR(10)), TRUE))&amp;"";"")"),"")</f>
        <v/>
      </c>
      <c r="AI189" s="128" t="str">
        <f>IFERROR(__xludf.DUMMYFUNCTION("IF(ISBLANK(AD189), IF(ISBLANK(AE189),,IFNA(TEXTJOIN("";"" &amp; CHAR(10), TRUE, FILTER(AE:AE, SEARCH(AE189&amp;"";"", AJ:AJ)))&amp;"";"", """")), TEXTJOIN("";"" &amp; CHAR(10), TRUE, UNIQUE(SPLIT(AH189 &amp; "";"" &amp; AH189 &amp; "";"" &amp; AL189, "";"" &amp; CHAR(10)), TRUE, TRUE))&amp;"";"&amp;""")"),"")</f>
        <v/>
      </c>
      <c r="AJ189" s="126" t="str">
        <f>IFERROR(__xludf.DUMMYFUNCTION("IF(AN189="""", """", TEXTJOIN("";"" &amp; CHAR(10), TRUE, UNIQUE(SPLIT(AH189 &amp; "";"" &amp; AH189 &amp; "";"" &amp; AN189, "";"" &amp; CHAR(10)), TRUE, TRUE))&amp;"";"")"),"")</f>
        <v/>
      </c>
      <c r="AK189" s="129" t="str">
        <f>IFERROR(__xludf.DUMMYFUNCTION("IF(ISBLANK(AD189), IF(ISBLANK(AE189),,AE189 &amp; "";""), TEXTJOIN(CHAR(10), TRUE, ARRAYFORMULA(VLOOKUP(SPLIT(AD189, "";"" &amp; CHAR(10)), $AC:$AH, 6, FALSE))))"),"")</f>
        <v/>
      </c>
      <c r="AL189" s="130" t="str">
        <f>IFERROR(__xludf.DUMMYFUNCTION("IF(AM189="""", """", TEXTJOIN("";"" &amp; CHAR(10), TRUE, UNIQUE(SPLIT(AM189, "";"" &amp; CHAR(10)), TRUE))&amp;"";"")"),"")</f>
        <v/>
      </c>
      <c r="AM189" s="130" t="str">
        <f>IFERROR(__xludf.DUMMYFUNCTION("IF(ISBLANK(AD189), """", TEXTJOIN(CHAR(10), TRUE, ARRAYFORMULA(VLOOKUP(SPLIT(AH189, "";"" &amp; CHAR(10)), $AE:$AI, 5, FALSE)), AF189))"),"")</f>
        <v/>
      </c>
      <c r="AN189" s="132" t="str">
        <f>IFERROR(__xludf.DUMMYFUNCTION("IF(ISBLANK(AO189), """", TEXTJOIN("";"" &amp; CHAR(10), TRUE, UNIQUE(SPLIT(AO189, "";"" &amp; CHAR(10)), TRUE))&amp;"";"")"),"")</f>
        <v/>
      </c>
      <c r="AO189" s="134" t="str">
        <f>IFERROR(__xludf.DUMMYFUNCTION("IF(ISBLANK(AD189), AF189, TEXTJOIN(CHAR(10), TRUE, ARRAYFORMULA(VLOOKUP(SPLIT(AD189, "";"" &amp; CHAR(10)), $AC:$AN, 12, FALSE))))"),"")</f>
        <v/>
      </c>
      <c r="AP189" s="130" t="str">
        <f>IF(ISBLANK(AE189),,IF(IFERROR(SEARCH(AE189&amp;";",Circuits!$AO$2),0),TRUE,FALSE))</f>
        <v/>
      </c>
      <c r="AQ189" s="130" t="str">
        <f t="shared" si="2"/>
        <v/>
      </c>
      <c r="AR189" s="130" t="str">
        <f t="shared" si="3"/>
        <v/>
      </c>
      <c r="AS189" s="136" t="str">
        <f>IFERROR(__xludf.DUMMYFUNCTION("IF(AH189="""",,SUM(ARRAYFORMULA(IF(IFERROR(SEARCH(SPLIT(AH189,CHAR(10)),Circuits!$AO$2),0)&gt;0,0,1))))"),"")</f>
        <v/>
      </c>
      <c r="AT189" s="138" t="str">
        <f t="shared" si="4"/>
        <v/>
      </c>
      <c r="AU189" s="138" t="str">
        <f t="shared" si="5"/>
        <v/>
      </c>
      <c r="AV189" s="130" t="str">
        <f>IFERROR(__xludf.DUMMYFUNCTION("IF(AI189="""",,TEXTJOIN("", "",TRUE,ARRAYFORMULA(VLOOKUP(SPLIT(AI189,"";""&amp;CHAR(10)),AE:AT,16,FALSE))))"),"")</f>
        <v/>
      </c>
      <c r="AW189" s="130" t="str">
        <f>IFERROR(__xludf.DUMMYFUNCTION("IF(ISBLANK(BK189),,TEXTJOIN("", "",TRUE,ARRAYFORMULA(VLOOKUP(IFERROR(REGEXEXTRACT(SPLIT(BK189,"";""&amp;CHAR(10)),""\[(.+)\]"")),AE:AT,16,false))))"),"")</f>
        <v/>
      </c>
      <c r="AX189" s="139" t="str">
        <f t="shared" si="6"/>
        <v/>
      </c>
      <c r="AY189" s="139" t="str">
        <f t="shared" si="7"/>
        <v/>
      </c>
      <c r="AZ189" s="106" t="str">
        <f>IFERROR(__xludf.DUMMYFUNCTION("IF(ISBLANK(AD189), BC189, TEXTJOIN(CHAR(10) &amp; CHAR(10), TRUE, ARRAYFORMULA(VLOOKUP(SPLIT(AD189, "";"" &amp; CHAR(10)), $AC:$AY, 23, FALSE))))"),"")</f>
        <v/>
      </c>
      <c r="BA189" s="140" t="s">
        <v>66</v>
      </c>
      <c r="BB189" s="190"/>
      <c r="BC189" s="196"/>
      <c r="BD189" s="106" t="str">
        <f>IFERROR(__xludf.DUMMYFUNCTION("IF(IFERROR(SEARCH(""&lt;&lt;mechanism to realize the capability&gt;&gt;"",BA189),0)=0,
 ""!! Error !! “Capability&amp;Mechanism” column: Invalid Separator:"" &amp; CHAR(10) &amp; ""Insert separator “&lt;&lt;mechanism to realize the capability&gt;&gt;.”"",
 IF(
  LEN(TRIM(CLEAN(
    INDEX(
 "&amp;"     SPLIT(BA189,""&lt;&lt;mechanism to realize the capability&gt;&gt;"",FALSE,FALSE),
      1
    )
  )))=0,
  ""!! Error !! “Capability&amp;Mechanism” column: No Capability:""  &amp; CHAR(10) &amp; ""Describe Capability before separator."",
  INDEX(
    SPLIT(BA189,""&lt;&lt;mechani"&amp;"sm to realize the capability&gt;&gt;"",FALSE,FALSE),
    1
  )
 )
)
"),"!! Error !! “Capability&amp;Mechanism” column: No Capability:
Describe Capability before separator.")</f>
        <v>!! Error !! “Capability&amp;Mechanism” column: No Capability:
Describe Capability before separator.</v>
      </c>
      <c r="BE189" s="190"/>
      <c r="BF189" s="195"/>
      <c r="BG189" s="42"/>
      <c r="BH189" s="190"/>
      <c r="BI189" s="196"/>
      <c r="BJ189" s="42"/>
      <c r="BK189" s="42"/>
      <c r="BL189" s="203"/>
      <c r="BM189" s="203"/>
      <c r="BN189" s="42"/>
      <c r="BO189" s="42"/>
      <c r="BP189" s="143"/>
      <c r="BQ189" s="143"/>
      <c r="BR189" s="192"/>
      <c r="BS189" s="192"/>
      <c r="BT189" s="192"/>
      <c r="BU189" s="192"/>
      <c r="BV189" s="192"/>
      <c r="BW189" s="192"/>
      <c r="BX189" s="146" t="str">
        <f t="shared" si="8"/>
        <v/>
      </c>
    </row>
    <row r="190">
      <c r="A190" s="106" t="str">
        <f t="shared" si="1"/>
        <v/>
      </c>
      <c r="B190" s="183" t="str">
        <f t="array" ref="B190">IF(ISBLANK($AE190), "-",INDEX(Circuits!A:A,SUMPRODUCT(EXACT($AE190,Circuits!$A:$A)*ROW(Circuits!$A:$A))))</f>
        <v>-</v>
      </c>
      <c r="C190" s="183" t="str">
        <f t="array" ref="C190">IF(ISBLANK($AE190), "-",INDEX(Circuits!B:B,SUMPRODUCT(EXACT($AE190,Circuits!$A:$A)*ROW(Circuits!$A:$A))))</f>
        <v>-</v>
      </c>
      <c r="D190" s="183" t="str">
        <f t="array" ref="D190">IF(ISBLANK($AE190), "-",INDEX(Circuits!C:C,SUMPRODUCT(EXACT($AE190,Circuits!$A:$A)*ROW(Circuits!$A:$A))))</f>
        <v>-</v>
      </c>
      <c r="E190" s="183" t="str">
        <f t="array" ref="E190">IF(ISBLANK($AE190), "-",INDEX(Circuits!D:D,SUMPRODUCT(EXACT($AE190,Circuits!$A:$A)*ROW(Circuits!$A:$A))))</f>
        <v>-</v>
      </c>
      <c r="F190" s="183" t="str">
        <f t="array" ref="F190">IF(ISBLANK($AE190), "-",INDEX(Circuits!E:E,SUMPRODUCT(EXACT($AE190,Circuits!$A:$A)*ROW(Circuits!$A:$A))))</f>
        <v>-</v>
      </c>
      <c r="G190" s="183" t="str">
        <f t="array" ref="G190">IF(ISBLANK($AE190), "-",INDEX(Circuits!F:F,SUMPRODUCT(EXACT($AE190,Circuits!$A:$A)*ROW(Circuits!$A:$A))))</f>
        <v>-</v>
      </c>
      <c r="H190" s="183" t="str">
        <f t="array" ref="H190">IF(ISBLANK($AE190), "-",INDEX(Circuits!G:G,SUMPRODUCT(EXACT($AE190,Circuits!$A:$A)*ROW(Circuits!$A:$A))))</f>
        <v>-</v>
      </c>
      <c r="I190" s="183" t="str">
        <f t="array" ref="I190">IF(ISBLANK($AE190), "-",INDEX(Circuits!H:H,SUMPRODUCT(EXACT($AE190,Circuits!$A:$A)*ROW(Circuits!$A:$A))))</f>
        <v>-</v>
      </c>
      <c r="J190" s="183" t="str">
        <f t="array" ref="J190">IF(ISBLANK($AE190), "-",INDEX(Circuits!I:I,SUMPRODUCT(EXACT($AE190,Circuits!$A:$A)*ROW(Circuits!$A:$A))))</f>
        <v>-</v>
      </c>
      <c r="K190" s="183" t="str">
        <f t="array" ref="K190">IF(ISBLANK($AE190), "-",INDEX(Circuits!J:J,SUMPRODUCT(EXACT($AE190,Circuits!$A:$A)*ROW(Circuits!$A:$A))))</f>
        <v>-</v>
      </c>
      <c r="L190" s="183" t="str">
        <f t="array" ref="L190">IF(ISBLANK($AE190), "-",INDEX(Circuits!K:K,SUMPRODUCT(EXACT($AE190,Circuits!$A:$A)*ROW(Circuits!$A:$A))))</f>
        <v>-</v>
      </c>
      <c r="M190" s="183" t="str">
        <f t="array" ref="M190">IF(ISBLANK($AE190), "-",INDEX(Circuits!L:L,SUMPRODUCT(EXACT($AE190,Circuits!$A:$A)*ROW(Circuits!$A:$A))))</f>
        <v>-</v>
      </c>
      <c r="N190" s="183" t="str">
        <f t="array" ref="N190">IF(ISBLANK($AE190), "-",INDEX(Circuits!M:M,SUMPRODUCT(EXACT($AE190,Circuits!$A:$A)*ROW(Circuits!$A:$A))))</f>
        <v>-</v>
      </c>
      <c r="O190" s="183" t="str">
        <f t="array" ref="O190">IF(ISBLANK($AE190), "-",INDEX(Circuits!N:N,SUMPRODUCT(EXACT($AE190,Circuits!$A:$A)*ROW(Circuits!$A:$A))))</f>
        <v>-</v>
      </c>
      <c r="P190" s="183" t="str">
        <f t="array" ref="P190">IF(ISBLANK($AE190), "-",INDEX(Circuits!O:O,SUMPRODUCT(EXACT($AE190,Circuits!$A:$A)*ROW(Circuits!$A:$A))))</f>
        <v>-</v>
      </c>
      <c r="Q190" s="183" t="str">
        <f t="array" ref="Q190">IF(ISBLANK($AE190), "-",INDEX(Circuits!P:P,SUMPRODUCT(EXACT($AE190,Circuits!$A:$A)*ROW(Circuits!$A:$A))))</f>
        <v>-</v>
      </c>
      <c r="R190" s="183" t="str">
        <f t="array" ref="R190">IF(ISBLANK($AE190), "-",INDEX(Circuits!Q:Q,SUMPRODUCT(EXACT($AE190,Circuits!$A:$A)*ROW(Circuits!$A:$A))))</f>
        <v>-</v>
      </c>
      <c r="S190" s="183" t="str">
        <f t="array" ref="S190">IF(ISBLANK($AE190), "-",INDEX(Circuits!R:R,SUMPRODUCT(EXACT($AE190,Circuits!$A:$A)*ROW(Circuits!$A:$A))))</f>
        <v>-</v>
      </c>
      <c r="T190" s="183" t="str">
        <f t="array" ref="T190">IF(ISBLANK($AE190), "-",INDEX(Circuits!S:S,SUMPRODUCT(EXACT($AE190,Circuits!$A:$A)*ROW(Circuits!$A:$A))))</f>
        <v>-</v>
      </c>
      <c r="U190" s="183" t="str">
        <f t="array" ref="U190">IF(ISBLANK($AE190), "-",INDEX(Circuits!T:T,SUMPRODUCT(EXACT($AE190,Circuits!$A:$A)*ROW(Circuits!$A:$A))))</f>
        <v>-</v>
      </c>
      <c r="V190" s="183" t="str">
        <f t="array" ref="V190">IF(ISBLANK($AE190), "-",INDEX(Circuits!U:U,SUMPRODUCT(EXACT($AE190,Circuits!$A:$A)*ROW(Circuits!$A:$A))))</f>
        <v>-</v>
      </c>
      <c r="W190" s="183" t="str">
        <f t="array" ref="W190">IF(ISBLANK($AE190), "-",INDEX(Circuits!V:V,SUMPRODUCT(EXACT($AE190,Circuits!$A:$A)*ROW(Circuits!$A:$A))))</f>
        <v>-</v>
      </c>
      <c r="X190" s="183" t="str">
        <f t="array" ref="X190">IF(ISBLANK($AE190), "-",INDEX(Circuits!W:W,SUMPRODUCT(EXACT($AE190,Circuits!$A:$A)*ROW(Circuits!$A:$A))))</f>
        <v>-</v>
      </c>
      <c r="Y190" s="183" t="str">
        <f t="array" ref="Y190">IF(ISBLANK($AE190), "-",INDEX(Circuits!X:X,SUMPRODUCT(EXACT($AE190,Circuits!$A:$A)*ROW(Circuits!$A:$A))))</f>
        <v>-</v>
      </c>
      <c r="Z190" s="108" t="str">
        <f>IFERROR(__xludf.DUMMYFUNCTION("IFNA(CONCATENATE(UNIQUE(FILTER(Connections!R:R,Connections!A:A=B190))),""-"")"),"-")</f>
        <v>-</v>
      </c>
      <c r="AA190" s="119" t="str">
        <f t="array" ref="AA190">IF(ISBLANK($AE190), "-",INDEX(Circuits!Y:Y,SUMPRODUCT(EXACT($AE190,Circuits!$A:$A)*ROW(Circuits!$A:$A))))</f>
        <v>-</v>
      </c>
      <c r="AB190" s="121" t="str">
        <f t="array" ref="AB190">IF(ISBLANK($AE190), "-",INDEX(Circuits!Z:Z,SUMPRODUCT(EXACT($AE190,Circuits!$A:$A)*ROW(Circuits!$A:$A))))</f>
        <v>-</v>
      </c>
      <c r="AC190" s="194"/>
      <c r="AD190" s="194"/>
      <c r="AE190" s="45"/>
      <c r="AF190" s="43"/>
      <c r="AG190" s="126" t="str">
        <f>IFERROR(__xludf.DUMMYFUNCTION("IF(ISBLANK(AF190), """", TEXTJOIN(CHAR(10),TRUE,ARRAYFORMULA(IF(ISERROR(SEARCH(SPLIT(AF190, "";""), $Z190)), ""x"", ""-""))))"),"")</f>
        <v/>
      </c>
      <c r="AH190" s="127" t="str">
        <f>IFERROR(__xludf.DUMMYFUNCTION("IF(ISBLANK(AK190), """", TEXTJOIN("";"" &amp; CHAR(10), TRUE, UNIQUE(SPLIT(AK190, "";"" &amp; CHAR(10)), TRUE))&amp;"";"")"),"")</f>
        <v/>
      </c>
      <c r="AI190" s="128" t="str">
        <f>IFERROR(__xludf.DUMMYFUNCTION("IF(ISBLANK(AD190), IF(ISBLANK(AE190),,IFNA(TEXTJOIN("";"" &amp; CHAR(10), TRUE, FILTER(AE:AE, SEARCH(AE190&amp;"";"", AJ:AJ)))&amp;"";"", """")), TEXTJOIN("";"" &amp; CHAR(10), TRUE, UNIQUE(SPLIT(AH190 &amp; "";"" &amp; AH190 &amp; "";"" &amp; AL190, "";"" &amp; CHAR(10)), TRUE, TRUE))&amp;"";"&amp;""")"),"")</f>
        <v/>
      </c>
      <c r="AJ190" s="126" t="str">
        <f>IFERROR(__xludf.DUMMYFUNCTION("IF(AN190="""", """", TEXTJOIN("";"" &amp; CHAR(10), TRUE, UNIQUE(SPLIT(AH190 &amp; "";"" &amp; AH190 &amp; "";"" &amp; AN190, "";"" &amp; CHAR(10)), TRUE, TRUE))&amp;"";"")"),"")</f>
        <v/>
      </c>
      <c r="AK190" s="129" t="str">
        <f>IFERROR(__xludf.DUMMYFUNCTION("IF(ISBLANK(AD190), IF(ISBLANK(AE190),,AE190 &amp; "";""), TEXTJOIN(CHAR(10), TRUE, ARRAYFORMULA(VLOOKUP(SPLIT(AD190, "";"" &amp; CHAR(10)), $AC:$AH, 6, FALSE))))"),"")</f>
        <v/>
      </c>
      <c r="AL190" s="130" t="str">
        <f>IFERROR(__xludf.DUMMYFUNCTION("IF(AM190="""", """", TEXTJOIN("";"" &amp; CHAR(10), TRUE, UNIQUE(SPLIT(AM190, "";"" &amp; CHAR(10)), TRUE))&amp;"";"")"),"")</f>
        <v/>
      </c>
      <c r="AM190" s="130" t="str">
        <f>IFERROR(__xludf.DUMMYFUNCTION("IF(ISBLANK(AD190), """", TEXTJOIN(CHAR(10), TRUE, ARRAYFORMULA(VLOOKUP(SPLIT(AH190, "";"" &amp; CHAR(10)), $AE:$AI, 5, FALSE)), AF190))"),"")</f>
        <v/>
      </c>
      <c r="AN190" s="132" t="str">
        <f>IFERROR(__xludf.DUMMYFUNCTION("IF(ISBLANK(AO190), """", TEXTJOIN("";"" &amp; CHAR(10), TRUE, UNIQUE(SPLIT(AO190, "";"" &amp; CHAR(10)), TRUE))&amp;"";"")"),"")</f>
        <v/>
      </c>
      <c r="AO190" s="134" t="str">
        <f>IFERROR(__xludf.DUMMYFUNCTION("IF(ISBLANK(AD190), AF190, TEXTJOIN(CHAR(10), TRUE, ARRAYFORMULA(VLOOKUP(SPLIT(AD190, "";"" &amp; CHAR(10)), $AC:$AN, 12, FALSE))))"),"")</f>
        <v/>
      </c>
      <c r="AP190" s="130" t="str">
        <f>IF(ISBLANK(AE190),,IF(IFERROR(SEARCH(AE190&amp;";",Circuits!$AO$2),0),TRUE,FALSE))</f>
        <v/>
      </c>
      <c r="AQ190" s="130" t="str">
        <f t="shared" si="2"/>
        <v/>
      </c>
      <c r="AR190" s="130" t="str">
        <f t="shared" si="3"/>
        <v/>
      </c>
      <c r="AS190" s="136" t="str">
        <f>IFERROR(__xludf.DUMMYFUNCTION("IF(AH190="""",,SUM(ARRAYFORMULA(IF(IFERROR(SEARCH(SPLIT(AH190,CHAR(10)),Circuits!$AO$2),0)&gt;0,0,1))))"),"")</f>
        <v/>
      </c>
      <c r="AT190" s="138" t="str">
        <f t="shared" si="4"/>
        <v/>
      </c>
      <c r="AU190" s="138" t="str">
        <f t="shared" si="5"/>
        <v/>
      </c>
      <c r="AV190" s="130" t="str">
        <f>IFERROR(__xludf.DUMMYFUNCTION("IF(AI190="""",,TEXTJOIN("", "",TRUE,ARRAYFORMULA(VLOOKUP(SPLIT(AI190,"";""&amp;CHAR(10)),AE:AT,16,FALSE))))"),"")</f>
        <v/>
      </c>
      <c r="AW190" s="130" t="str">
        <f>IFERROR(__xludf.DUMMYFUNCTION("IF(ISBLANK(BK190),,TEXTJOIN("", "",TRUE,ARRAYFORMULA(VLOOKUP(IFERROR(REGEXEXTRACT(SPLIT(BK190,"";""&amp;CHAR(10)),""\[(.+)\]"")),AE:AT,16,false))))"),"")</f>
        <v/>
      </c>
      <c r="AX190" s="139" t="str">
        <f t="shared" si="6"/>
        <v/>
      </c>
      <c r="AY190" s="139" t="str">
        <f t="shared" si="7"/>
        <v/>
      </c>
      <c r="AZ190" s="106" t="str">
        <f>IFERROR(__xludf.DUMMYFUNCTION("IF(ISBLANK(AD190), BC190, TEXTJOIN(CHAR(10) &amp; CHAR(10), TRUE, ARRAYFORMULA(VLOOKUP(SPLIT(AD190, "";"" &amp; CHAR(10)), $AC:$AY, 23, FALSE))))"),"")</f>
        <v/>
      </c>
      <c r="BA190" s="140" t="s">
        <v>66</v>
      </c>
      <c r="BB190" s="190"/>
      <c r="BC190" s="196"/>
      <c r="BD190" s="106" t="str">
        <f>IFERROR(__xludf.DUMMYFUNCTION("IF(IFERROR(SEARCH(""&lt;&lt;mechanism to realize the capability&gt;&gt;"",BA190),0)=0,
 ""!! Error !! “Capability&amp;Mechanism” column: Invalid Separator:"" &amp; CHAR(10) &amp; ""Insert separator “&lt;&lt;mechanism to realize the capability&gt;&gt;.”"",
 IF(
  LEN(TRIM(CLEAN(
    INDEX(
 "&amp;"     SPLIT(BA190,""&lt;&lt;mechanism to realize the capability&gt;&gt;"",FALSE,FALSE),
      1
    )
  )))=0,
  ""!! Error !! “Capability&amp;Mechanism” column: No Capability:""  &amp; CHAR(10) &amp; ""Describe Capability before separator."",
  INDEX(
    SPLIT(BA190,""&lt;&lt;mechani"&amp;"sm to realize the capability&gt;&gt;"",FALSE,FALSE),
    1
  )
 )
)
"),"!! Error !! “Capability&amp;Mechanism” column: No Capability:
Describe Capability before separator.")</f>
        <v>!! Error !! “Capability&amp;Mechanism” column: No Capability:
Describe Capability before separator.</v>
      </c>
      <c r="BE190" s="190"/>
      <c r="BF190" s="195"/>
      <c r="BG190" s="42"/>
      <c r="BH190" s="190"/>
      <c r="BI190" s="196"/>
      <c r="BJ190" s="42"/>
      <c r="BK190" s="42"/>
      <c r="BL190" s="203"/>
      <c r="BM190" s="203"/>
      <c r="BN190" s="42"/>
      <c r="BO190" s="42"/>
      <c r="BP190" s="143"/>
      <c r="BQ190" s="143"/>
      <c r="BR190" s="192"/>
      <c r="BS190" s="192"/>
      <c r="BT190" s="192"/>
      <c r="BU190" s="192"/>
      <c r="BV190" s="192"/>
      <c r="BW190" s="192"/>
      <c r="BX190" s="146" t="str">
        <f t="shared" si="8"/>
        <v/>
      </c>
    </row>
    <row r="191">
      <c r="A191" s="106" t="str">
        <f t="shared" si="1"/>
        <v/>
      </c>
      <c r="B191" s="183" t="str">
        <f t="array" ref="B191">IF(ISBLANK($AE191), "-",INDEX(Circuits!A:A,SUMPRODUCT(EXACT($AE191,Circuits!$A:$A)*ROW(Circuits!$A:$A))))</f>
        <v>-</v>
      </c>
      <c r="C191" s="183" t="str">
        <f t="array" ref="C191">IF(ISBLANK($AE191), "-",INDEX(Circuits!B:B,SUMPRODUCT(EXACT($AE191,Circuits!$A:$A)*ROW(Circuits!$A:$A))))</f>
        <v>-</v>
      </c>
      <c r="D191" s="183" t="str">
        <f t="array" ref="D191">IF(ISBLANK($AE191), "-",INDEX(Circuits!C:C,SUMPRODUCT(EXACT($AE191,Circuits!$A:$A)*ROW(Circuits!$A:$A))))</f>
        <v>-</v>
      </c>
      <c r="E191" s="183" t="str">
        <f t="array" ref="E191">IF(ISBLANK($AE191), "-",INDEX(Circuits!D:D,SUMPRODUCT(EXACT($AE191,Circuits!$A:$A)*ROW(Circuits!$A:$A))))</f>
        <v>-</v>
      </c>
      <c r="F191" s="183" t="str">
        <f t="array" ref="F191">IF(ISBLANK($AE191), "-",INDEX(Circuits!E:E,SUMPRODUCT(EXACT($AE191,Circuits!$A:$A)*ROW(Circuits!$A:$A))))</f>
        <v>-</v>
      </c>
      <c r="G191" s="183" t="str">
        <f t="array" ref="G191">IF(ISBLANK($AE191), "-",INDEX(Circuits!F:F,SUMPRODUCT(EXACT($AE191,Circuits!$A:$A)*ROW(Circuits!$A:$A))))</f>
        <v>-</v>
      </c>
      <c r="H191" s="183" t="str">
        <f t="array" ref="H191">IF(ISBLANK($AE191), "-",INDEX(Circuits!G:G,SUMPRODUCT(EXACT($AE191,Circuits!$A:$A)*ROW(Circuits!$A:$A))))</f>
        <v>-</v>
      </c>
      <c r="I191" s="183" t="str">
        <f t="array" ref="I191">IF(ISBLANK($AE191), "-",INDEX(Circuits!H:H,SUMPRODUCT(EXACT($AE191,Circuits!$A:$A)*ROW(Circuits!$A:$A))))</f>
        <v>-</v>
      </c>
      <c r="J191" s="183" t="str">
        <f t="array" ref="J191">IF(ISBLANK($AE191), "-",INDEX(Circuits!I:I,SUMPRODUCT(EXACT($AE191,Circuits!$A:$A)*ROW(Circuits!$A:$A))))</f>
        <v>-</v>
      </c>
      <c r="K191" s="183" t="str">
        <f t="array" ref="K191">IF(ISBLANK($AE191), "-",INDEX(Circuits!J:J,SUMPRODUCT(EXACT($AE191,Circuits!$A:$A)*ROW(Circuits!$A:$A))))</f>
        <v>-</v>
      </c>
      <c r="L191" s="183" t="str">
        <f t="array" ref="L191">IF(ISBLANK($AE191), "-",INDEX(Circuits!K:K,SUMPRODUCT(EXACT($AE191,Circuits!$A:$A)*ROW(Circuits!$A:$A))))</f>
        <v>-</v>
      </c>
      <c r="M191" s="183" t="str">
        <f t="array" ref="M191">IF(ISBLANK($AE191), "-",INDEX(Circuits!L:L,SUMPRODUCT(EXACT($AE191,Circuits!$A:$A)*ROW(Circuits!$A:$A))))</f>
        <v>-</v>
      </c>
      <c r="N191" s="183" t="str">
        <f t="array" ref="N191">IF(ISBLANK($AE191), "-",INDEX(Circuits!M:M,SUMPRODUCT(EXACT($AE191,Circuits!$A:$A)*ROW(Circuits!$A:$A))))</f>
        <v>-</v>
      </c>
      <c r="O191" s="183" t="str">
        <f t="array" ref="O191">IF(ISBLANK($AE191), "-",INDEX(Circuits!N:N,SUMPRODUCT(EXACT($AE191,Circuits!$A:$A)*ROW(Circuits!$A:$A))))</f>
        <v>-</v>
      </c>
      <c r="P191" s="183" t="str">
        <f t="array" ref="P191">IF(ISBLANK($AE191), "-",INDEX(Circuits!O:O,SUMPRODUCT(EXACT($AE191,Circuits!$A:$A)*ROW(Circuits!$A:$A))))</f>
        <v>-</v>
      </c>
      <c r="Q191" s="183" t="str">
        <f t="array" ref="Q191">IF(ISBLANK($AE191), "-",INDEX(Circuits!P:P,SUMPRODUCT(EXACT($AE191,Circuits!$A:$A)*ROW(Circuits!$A:$A))))</f>
        <v>-</v>
      </c>
      <c r="R191" s="183" t="str">
        <f t="array" ref="R191">IF(ISBLANK($AE191), "-",INDEX(Circuits!Q:Q,SUMPRODUCT(EXACT($AE191,Circuits!$A:$A)*ROW(Circuits!$A:$A))))</f>
        <v>-</v>
      </c>
      <c r="S191" s="183" t="str">
        <f t="array" ref="S191">IF(ISBLANK($AE191), "-",INDEX(Circuits!R:R,SUMPRODUCT(EXACT($AE191,Circuits!$A:$A)*ROW(Circuits!$A:$A))))</f>
        <v>-</v>
      </c>
      <c r="T191" s="183" t="str">
        <f t="array" ref="T191">IF(ISBLANK($AE191), "-",INDEX(Circuits!S:S,SUMPRODUCT(EXACT($AE191,Circuits!$A:$A)*ROW(Circuits!$A:$A))))</f>
        <v>-</v>
      </c>
      <c r="U191" s="183" t="str">
        <f t="array" ref="U191">IF(ISBLANK($AE191), "-",INDEX(Circuits!T:T,SUMPRODUCT(EXACT($AE191,Circuits!$A:$A)*ROW(Circuits!$A:$A))))</f>
        <v>-</v>
      </c>
      <c r="V191" s="183" t="str">
        <f t="array" ref="V191">IF(ISBLANK($AE191), "-",INDEX(Circuits!U:U,SUMPRODUCT(EXACT($AE191,Circuits!$A:$A)*ROW(Circuits!$A:$A))))</f>
        <v>-</v>
      </c>
      <c r="W191" s="183" t="str">
        <f t="array" ref="W191">IF(ISBLANK($AE191), "-",INDEX(Circuits!V:V,SUMPRODUCT(EXACT($AE191,Circuits!$A:$A)*ROW(Circuits!$A:$A))))</f>
        <v>-</v>
      </c>
      <c r="X191" s="183" t="str">
        <f t="array" ref="X191">IF(ISBLANK($AE191), "-",INDEX(Circuits!W:W,SUMPRODUCT(EXACT($AE191,Circuits!$A:$A)*ROW(Circuits!$A:$A))))</f>
        <v>-</v>
      </c>
      <c r="Y191" s="183" t="str">
        <f t="array" ref="Y191">IF(ISBLANK($AE191), "-",INDEX(Circuits!X:X,SUMPRODUCT(EXACT($AE191,Circuits!$A:$A)*ROW(Circuits!$A:$A))))</f>
        <v>-</v>
      </c>
      <c r="Z191" s="108" t="str">
        <f>IFERROR(__xludf.DUMMYFUNCTION("IFNA(CONCATENATE(UNIQUE(FILTER(Connections!R:R,Connections!A:A=B191))),""-"")"),"-")</f>
        <v>-</v>
      </c>
      <c r="AA191" s="119" t="str">
        <f t="array" ref="AA191">IF(ISBLANK($AE191), "-",INDEX(Circuits!Y:Y,SUMPRODUCT(EXACT($AE191,Circuits!$A:$A)*ROW(Circuits!$A:$A))))</f>
        <v>-</v>
      </c>
      <c r="AB191" s="121" t="str">
        <f t="array" ref="AB191">IF(ISBLANK($AE191), "-",INDEX(Circuits!Z:Z,SUMPRODUCT(EXACT($AE191,Circuits!$A:$A)*ROW(Circuits!$A:$A))))</f>
        <v>-</v>
      </c>
      <c r="AC191" s="194"/>
      <c r="AD191" s="194"/>
      <c r="AE191" s="45"/>
      <c r="AF191" s="43"/>
      <c r="AG191" s="126" t="str">
        <f>IFERROR(__xludf.DUMMYFUNCTION("IF(ISBLANK(AF191), """", TEXTJOIN(CHAR(10),TRUE,ARRAYFORMULA(IF(ISERROR(SEARCH(SPLIT(AF191, "";""), $Z191)), ""x"", ""-""))))"),"")</f>
        <v/>
      </c>
      <c r="AH191" s="127" t="str">
        <f>IFERROR(__xludf.DUMMYFUNCTION("IF(ISBLANK(AK191), """", TEXTJOIN("";"" &amp; CHAR(10), TRUE, UNIQUE(SPLIT(AK191, "";"" &amp; CHAR(10)), TRUE))&amp;"";"")"),"")</f>
        <v/>
      </c>
      <c r="AI191" s="128" t="str">
        <f>IFERROR(__xludf.DUMMYFUNCTION("IF(ISBLANK(AD191), IF(ISBLANK(AE191),,IFNA(TEXTJOIN("";"" &amp; CHAR(10), TRUE, FILTER(AE:AE, SEARCH(AE191&amp;"";"", AJ:AJ)))&amp;"";"", """")), TEXTJOIN("";"" &amp; CHAR(10), TRUE, UNIQUE(SPLIT(AH191 &amp; "";"" &amp; AH191 &amp; "";"" &amp; AL191, "";"" &amp; CHAR(10)), TRUE, TRUE))&amp;"";"&amp;""")"),"")</f>
        <v/>
      </c>
      <c r="AJ191" s="126" t="str">
        <f>IFERROR(__xludf.DUMMYFUNCTION("IF(AN191="""", """", TEXTJOIN("";"" &amp; CHAR(10), TRUE, UNIQUE(SPLIT(AH191 &amp; "";"" &amp; AH191 &amp; "";"" &amp; AN191, "";"" &amp; CHAR(10)), TRUE, TRUE))&amp;"";"")"),"")</f>
        <v/>
      </c>
      <c r="AK191" s="129" t="str">
        <f>IFERROR(__xludf.DUMMYFUNCTION("IF(ISBLANK(AD191), IF(ISBLANK(AE191),,AE191 &amp; "";""), TEXTJOIN(CHAR(10), TRUE, ARRAYFORMULA(VLOOKUP(SPLIT(AD191, "";"" &amp; CHAR(10)), $AC:$AH, 6, FALSE))))"),"")</f>
        <v/>
      </c>
      <c r="AL191" s="130" t="str">
        <f>IFERROR(__xludf.DUMMYFUNCTION("IF(AM191="""", """", TEXTJOIN("";"" &amp; CHAR(10), TRUE, UNIQUE(SPLIT(AM191, "";"" &amp; CHAR(10)), TRUE))&amp;"";"")"),"")</f>
        <v/>
      </c>
      <c r="AM191" s="130" t="str">
        <f>IFERROR(__xludf.DUMMYFUNCTION("IF(ISBLANK(AD191), """", TEXTJOIN(CHAR(10), TRUE, ARRAYFORMULA(VLOOKUP(SPLIT(AH191, "";"" &amp; CHAR(10)), $AE:$AI, 5, FALSE)), AF191))"),"")</f>
        <v/>
      </c>
      <c r="AN191" s="132" t="str">
        <f>IFERROR(__xludf.DUMMYFUNCTION("IF(ISBLANK(AO191), """", TEXTJOIN("";"" &amp; CHAR(10), TRUE, UNIQUE(SPLIT(AO191, "";"" &amp; CHAR(10)), TRUE))&amp;"";"")"),"")</f>
        <v/>
      </c>
      <c r="AO191" s="134" t="str">
        <f>IFERROR(__xludf.DUMMYFUNCTION("IF(ISBLANK(AD191), AF191, TEXTJOIN(CHAR(10), TRUE, ARRAYFORMULA(VLOOKUP(SPLIT(AD191, "";"" &amp; CHAR(10)), $AC:$AN, 12, FALSE))))"),"")</f>
        <v/>
      </c>
      <c r="AP191" s="130" t="str">
        <f>IF(ISBLANK(AE191),,IF(IFERROR(SEARCH(AE191&amp;";",Circuits!$AO$2),0),TRUE,FALSE))</f>
        <v/>
      </c>
      <c r="AQ191" s="130" t="str">
        <f t="shared" si="2"/>
        <v/>
      </c>
      <c r="AR191" s="130" t="str">
        <f t="shared" si="3"/>
        <v/>
      </c>
      <c r="AS191" s="136" t="str">
        <f>IFERROR(__xludf.DUMMYFUNCTION("IF(AH191="""",,SUM(ARRAYFORMULA(IF(IFERROR(SEARCH(SPLIT(AH191,CHAR(10)),Circuits!$AO$2),0)&gt;0,0,1))))"),"")</f>
        <v/>
      </c>
      <c r="AT191" s="138" t="str">
        <f t="shared" si="4"/>
        <v/>
      </c>
      <c r="AU191" s="138" t="str">
        <f t="shared" si="5"/>
        <v/>
      </c>
      <c r="AV191" s="130" t="str">
        <f>IFERROR(__xludf.DUMMYFUNCTION("IF(AI191="""",,TEXTJOIN("", "",TRUE,ARRAYFORMULA(VLOOKUP(SPLIT(AI191,"";""&amp;CHAR(10)),AE:AT,16,FALSE))))"),"")</f>
        <v/>
      </c>
      <c r="AW191" s="130" t="str">
        <f>IFERROR(__xludf.DUMMYFUNCTION("IF(ISBLANK(BK191),,TEXTJOIN("", "",TRUE,ARRAYFORMULA(VLOOKUP(IFERROR(REGEXEXTRACT(SPLIT(BK191,"";""&amp;CHAR(10)),""\[(.+)\]"")),AE:AT,16,false))))"),"")</f>
        <v/>
      </c>
      <c r="AX191" s="139" t="str">
        <f t="shared" si="6"/>
        <v/>
      </c>
      <c r="AY191" s="139" t="str">
        <f t="shared" si="7"/>
        <v/>
      </c>
      <c r="AZ191" s="106" t="str">
        <f>IFERROR(__xludf.DUMMYFUNCTION("IF(ISBLANK(AD191), BC191, TEXTJOIN(CHAR(10) &amp; CHAR(10), TRUE, ARRAYFORMULA(VLOOKUP(SPLIT(AD191, "";"" &amp; CHAR(10)), $AC:$AY, 23, FALSE))))"),"")</f>
        <v/>
      </c>
      <c r="BA191" s="140" t="s">
        <v>66</v>
      </c>
      <c r="BB191" s="190"/>
      <c r="BC191" s="196"/>
      <c r="BD191" s="106" t="str">
        <f>IFERROR(__xludf.DUMMYFUNCTION("IF(IFERROR(SEARCH(""&lt;&lt;mechanism to realize the capability&gt;&gt;"",BA191),0)=0,
 ""!! Error !! “Capability&amp;Mechanism” column: Invalid Separator:"" &amp; CHAR(10) &amp; ""Insert separator “&lt;&lt;mechanism to realize the capability&gt;&gt;.”"",
 IF(
  LEN(TRIM(CLEAN(
    INDEX(
 "&amp;"     SPLIT(BA191,""&lt;&lt;mechanism to realize the capability&gt;&gt;"",FALSE,FALSE),
      1
    )
  )))=0,
  ""!! Error !! “Capability&amp;Mechanism” column: No Capability:""  &amp; CHAR(10) &amp; ""Describe Capability before separator."",
  INDEX(
    SPLIT(BA191,""&lt;&lt;mechani"&amp;"sm to realize the capability&gt;&gt;"",FALSE,FALSE),
    1
  )
 )
)
"),"!! Error !! “Capability&amp;Mechanism” column: No Capability:
Describe Capability before separator.")</f>
        <v>!! Error !! “Capability&amp;Mechanism” column: No Capability:
Describe Capability before separator.</v>
      </c>
      <c r="BE191" s="190"/>
      <c r="BF191" s="195"/>
      <c r="BG191" s="42"/>
      <c r="BH191" s="190"/>
      <c r="BI191" s="196"/>
      <c r="BJ191" s="42"/>
      <c r="BK191" s="42"/>
      <c r="BL191" s="203"/>
      <c r="BM191" s="203"/>
      <c r="BN191" s="42"/>
      <c r="BO191" s="42"/>
      <c r="BP191" s="143"/>
      <c r="BQ191" s="143"/>
      <c r="BR191" s="192"/>
      <c r="BS191" s="192"/>
      <c r="BT191" s="192"/>
      <c r="BU191" s="192"/>
      <c r="BV191" s="192"/>
      <c r="BW191" s="192"/>
      <c r="BX191" s="146" t="str">
        <f t="shared" si="8"/>
        <v/>
      </c>
    </row>
    <row r="192">
      <c r="A192" s="106" t="str">
        <f t="shared" si="1"/>
        <v/>
      </c>
      <c r="B192" s="183" t="str">
        <f t="array" ref="B192">IF(ISBLANK($AE192), "-",INDEX(Circuits!A:A,SUMPRODUCT(EXACT($AE192,Circuits!$A:$A)*ROW(Circuits!$A:$A))))</f>
        <v>-</v>
      </c>
      <c r="C192" s="183" t="str">
        <f t="array" ref="C192">IF(ISBLANK($AE192), "-",INDEX(Circuits!B:B,SUMPRODUCT(EXACT($AE192,Circuits!$A:$A)*ROW(Circuits!$A:$A))))</f>
        <v>-</v>
      </c>
      <c r="D192" s="183" t="str">
        <f t="array" ref="D192">IF(ISBLANK($AE192), "-",INDEX(Circuits!C:C,SUMPRODUCT(EXACT($AE192,Circuits!$A:$A)*ROW(Circuits!$A:$A))))</f>
        <v>-</v>
      </c>
      <c r="E192" s="183" t="str">
        <f t="array" ref="E192">IF(ISBLANK($AE192), "-",INDEX(Circuits!D:D,SUMPRODUCT(EXACT($AE192,Circuits!$A:$A)*ROW(Circuits!$A:$A))))</f>
        <v>-</v>
      </c>
      <c r="F192" s="183" t="str">
        <f t="array" ref="F192">IF(ISBLANK($AE192), "-",INDEX(Circuits!E:E,SUMPRODUCT(EXACT($AE192,Circuits!$A:$A)*ROW(Circuits!$A:$A))))</f>
        <v>-</v>
      </c>
      <c r="G192" s="183" t="str">
        <f t="array" ref="G192">IF(ISBLANK($AE192), "-",INDEX(Circuits!F:F,SUMPRODUCT(EXACT($AE192,Circuits!$A:$A)*ROW(Circuits!$A:$A))))</f>
        <v>-</v>
      </c>
      <c r="H192" s="183" t="str">
        <f t="array" ref="H192">IF(ISBLANK($AE192), "-",INDEX(Circuits!G:G,SUMPRODUCT(EXACT($AE192,Circuits!$A:$A)*ROW(Circuits!$A:$A))))</f>
        <v>-</v>
      </c>
      <c r="I192" s="183" t="str">
        <f t="array" ref="I192">IF(ISBLANK($AE192), "-",INDEX(Circuits!H:H,SUMPRODUCT(EXACT($AE192,Circuits!$A:$A)*ROW(Circuits!$A:$A))))</f>
        <v>-</v>
      </c>
      <c r="J192" s="183" t="str">
        <f t="array" ref="J192">IF(ISBLANK($AE192), "-",INDEX(Circuits!I:I,SUMPRODUCT(EXACT($AE192,Circuits!$A:$A)*ROW(Circuits!$A:$A))))</f>
        <v>-</v>
      </c>
      <c r="K192" s="183" t="str">
        <f t="array" ref="K192">IF(ISBLANK($AE192), "-",INDEX(Circuits!J:J,SUMPRODUCT(EXACT($AE192,Circuits!$A:$A)*ROW(Circuits!$A:$A))))</f>
        <v>-</v>
      </c>
      <c r="L192" s="183" t="str">
        <f t="array" ref="L192">IF(ISBLANK($AE192), "-",INDEX(Circuits!K:K,SUMPRODUCT(EXACT($AE192,Circuits!$A:$A)*ROW(Circuits!$A:$A))))</f>
        <v>-</v>
      </c>
      <c r="M192" s="183" t="str">
        <f t="array" ref="M192">IF(ISBLANK($AE192), "-",INDEX(Circuits!L:L,SUMPRODUCT(EXACT($AE192,Circuits!$A:$A)*ROW(Circuits!$A:$A))))</f>
        <v>-</v>
      </c>
      <c r="N192" s="183" t="str">
        <f t="array" ref="N192">IF(ISBLANK($AE192), "-",INDEX(Circuits!M:M,SUMPRODUCT(EXACT($AE192,Circuits!$A:$A)*ROW(Circuits!$A:$A))))</f>
        <v>-</v>
      </c>
      <c r="O192" s="183" t="str">
        <f t="array" ref="O192">IF(ISBLANK($AE192), "-",INDEX(Circuits!N:N,SUMPRODUCT(EXACT($AE192,Circuits!$A:$A)*ROW(Circuits!$A:$A))))</f>
        <v>-</v>
      </c>
      <c r="P192" s="183" t="str">
        <f t="array" ref="P192">IF(ISBLANK($AE192), "-",INDEX(Circuits!O:O,SUMPRODUCT(EXACT($AE192,Circuits!$A:$A)*ROW(Circuits!$A:$A))))</f>
        <v>-</v>
      </c>
      <c r="Q192" s="183" t="str">
        <f t="array" ref="Q192">IF(ISBLANK($AE192), "-",INDEX(Circuits!P:P,SUMPRODUCT(EXACT($AE192,Circuits!$A:$A)*ROW(Circuits!$A:$A))))</f>
        <v>-</v>
      </c>
      <c r="R192" s="183" t="str">
        <f t="array" ref="R192">IF(ISBLANK($AE192), "-",INDEX(Circuits!Q:Q,SUMPRODUCT(EXACT($AE192,Circuits!$A:$A)*ROW(Circuits!$A:$A))))</f>
        <v>-</v>
      </c>
      <c r="S192" s="183" t="str">
        <f t="array" ref="S192">IF(ISBLANK($AE192), "-",INDEX(Circuits!R:R,SUMPRODUCT(EXACT($AE192,Circuits!$A:$A)*ROW(Circuits!$A:$A))))</f>
        <v>-</v>
      </c>
      <c r="T192" s="183" t="str">
        <f t="array" ref="T192">IF(ISBLANK($AE192), "-",INDEX(Circuits!S:S,SUMPRODUCT(EXACT($AE192,Circuits!$A:$A)*ROW(Circuits!$A:$A))))</f>
        <v>-</v>
      </c>
      <c r="U192" s="183" t="str">
        <f t="array" ref="U192">IF(ISBLANK($AE192), "-",INDEX(Circuits!T:T,SUMPRODUCT(EXACT($AE192,Circuits!$A:$A)*ROW(Circuits!$A:$A))))</f>
        <v>-</v>
      </c>
      <c r="V192" s="183" t="str">
        <f t="array" ref="V192">IF(ISBLANK($AE192), "-",INDEX(Circuits!U:U,SUMPRODUCT(EXACT($AE192,Circuits!$A:$A)*ROW(Circuits!$A:$A))))</f>
        <v>-</v>
      </c>
      <c r="W192" s="183" t="str">
        <f t="array" ref="W192">IF(ISBLANK($AE192), "-",INDEX(Circuits!V:V,SUMPRODUCT(EXACT($AE192,Circuits!$A:$A)*ROW(Circuits!$A:$A))))</f>
        <v>-</v>
      </c>
      <c r="X192" s="183" t="str">
        <f t="array" ref="X192">IF(ISBLANK($AE192), "-",INDEX(Circuits!W:W,SUMPRODUCT(EXACT($AE192,Circuits!$A:$A)*ROW(Circuits!$A:$A))))</f>
        <v>-</v>
      </c>
      <c r="Y192" s="183" t="str">
        <f t="array" ref="Y192">IF(ISBLANK($AE192), "-",INDEX(Circuits!X:X,SUMPRODUCT(EXACT($AE192,Circuits!$A:$A)*ROW(Circuits!$A:$A))))</f>
        <v>-</v>
      </c>
      <c r="Z192" s="108" t="str">
        <f>IFERROR(__xludf.DUMMYFUNCTION("IFNA(CONCATENATE(UNIQUE(FILTER(Connections!R:R,Connections!A:A=B192))),""-"")"),"-")</f>
        <v>-</v>
      </c>
      <c r="AA192" s="119" t="str">
        <f t="array" ref="AA192">IF(ISBLANK($AE192), "-",INDEX(Circuits!Y:Y,SUMPRODUCT(EXACT($AE192,Circuits!$A:$A)*ROW(Circuits!$A:$A))))</f>
        <v>-</v>
      </c>
      <c r="AB192" s="121" t="str">
        <f t="array" ref="AB192">IF(ISBLANK($AE192), "-",INDEX(Circuits!Z:Z,SUMPRODUCT(EXACT($AE192,Circuits!$A:$A)*ROW(Circuits!$A:$A))))</f>
        <v>-</v>
      </c>
      <c r="AC192" s="194"/>
      <c r="AD192" s="194"/>
      <c r="AE192" s="45"/>
      <c r="AF192" s="43"/>
      <c r="AG192" s="126" t="str">
        <f>IFERROR(__xludf.DUMMYFUNCTION("IF(ISBLANK(AF192), """", TEXTJOIN(CHAR(10),TRUE,ARRAYFORMULA(IF(ISERROR(SEARCH(SPLIT(AF192, "";""), $Z192)), ""x"", ""-""))))"),"")</f>
        <v/>
      </c>
      <c r="AH192" s="127" t="str">
        <f>IFERROR(__xludf.DUMMYFUNCTION("IF(ISBLANK(AK192), """", TEXTJOIN("";"" &amp; CHAR(10), TRUE, UNIQUE(SPLIT(AK192, "";"" &amp; CHAR(10)), TRUE))&amp;"";"")"),"")</f>
        <v/>
      </c>
      <c r="AI192" s="128" t="str">
        <f>IFERROR(__xludf.DUMMYFUNCTION("IF(ISBLANK(AD192), IF(ISBLANK(AE192),,IFNA(TEXTJOIN("";"" &amp; CHAR(10), TRUE, FILTER(AE:AE, SEARCH(AE192&amp;"";"", AJ:AJ)))&amp;"";"", """")), TEXTJOIN("";"" &amp; CHAR(10), TRUE, UNIQUE(SPLIT(AH192 &amp; "";"" &amp; AH192 &amp; "";"" &amp; AL192, "";"" &amp; CHAR(10)), TRUE, TRUE))&amp;"";"&amp;""")"),"")</f>
        <v/>
      </c>
      <c r="AJ192" s="126" t="str">
        <f>IFERROR(__xludf.DUMMYFUNCTION("IF(AN192="""", """", TEXTJOIN("";"" &amp; CHAR(10), TRUE, UNIQUE(SPLIT(AH192 &amp; "";"" &amp; AH192 &amp; "";"" &amp; AN192, "";"" &amp; CHAR(10)), TRUE, TRUE))&amp;"";"")"),"")</f>
        <v/>
      </c>
      <c r="AK192" s="129" t="str">
        <f>IFERROR(__xludf.DUMMYFUNCTION("IF(ISBLANK(AD192), IF(ISBLANK(AE192),,AE192 &amp; "";""), TEXTJOIN(CHAR(10), TRUE, ARRAYFORMULA(VLOOKUP(SPLIT(AD192, "";"" &amp; CHAR(10)), $AC:$AH, 6, FALSE))))"),"")</f>
        <v/>
      </c>
      <c r="AL192" s="130" t="str">
        <f>IFERROR(__xludf.DUMMYFUNCTION("IF(AM192="""", """", TEXTJOIN("";"" &amp; CHAR(10), TRUE, UNIQUE(SPLIT(AM192, "";"" &amp; CHAR(10)), TRUE))&amp;"";"")"),"")</f>
        <v/>
      </c>
      <c r="AM192" s="130" t="str">
        <f>IFERROR(__xludf.DUMMYFUNCTION("IF(ISBLANK(AD192), """", TEXTJOIN(CHAR(10), TRUE, ARRAYFORMULA(VLOOKUP(SPLIT(AH192, "";"" &amp; CHAR(10)), $AE:$AI, 5, FALSE)), AF192))"),"")</f>
        <v/>
      </c>
      <c r="AN192" s="132" t="str">
        <f>IFERROR(__xludf.DUMMYFUNCTION("IF(ISBLANK(AO192), """", TEXTJOIN("";"" &amp; CHAR(10), TRUE, UNIQUE(SPLIT(AO192, "";"" &amp; CHAR(10)), TRUE))&amp;"";"")"),"")</f>
        <v/>
      </c>
      <c r="AO192" s="134" t="str">
        <f>IFERROR(__xludf.DUMMYFUNCTION("IF(ISBLANK(AD192), AF192, TEXTJOIN(CHAR(10), TRUE, ARRAYFORMULA(VLOOKUP(SPLIT(AD192, "";"" &amp; CHAR(10)), $AC:$AN, 12, FALSE))))"),"")</f>
        <v/>
      </c>
      <c r="AP192" s="130" t="str">
        <f>IF(ISBLANK(AE192),,IF(IFERROR(SEARCH(AE192&amp;";",Circuits!$AO$2),0),TRUE,FALSE))</f>
        <v/>
      </c>
      <c r="AQ192" s="130" t="str">
        <f t="shared" si="2"/>
        <v/>
      </c>
      <c r="AR192" s="130" t="str">
        <f t="shared" si="3"/>
        <v/>
      </c>
      <c r="AS192" s="136" t="str">
        <f>IFERROR(__xludf.DUMMYFUNCTION("IF(AH192="""",,SUM(ARRAYFORMULA(IF(IFERROR(SEARCH(SPLIT(AH192,CHAR(10)),Circuits!$AO$2),0)&gt;0,0,1))))"),"")</f>
        <v/>
      </c>
      <c r="AT192" s="138" t="str">
        <f t="shared" si="4"/>
        <v/>
      </c>
      <c r="AU192" s="138" t="str">
        <f t="shared" si="5"/>
        <v/>
      </c>
      <c r="AV192" s="130" t="str">
        <f>IFERROR(__xludf.DUMMYFUNCTION("IF(AI192="""",,TEXTJOIN("", "",TRUE,ARRAYFORMULA(VLOOKUP(SPLIT(AI192,"";""&amp;CHAR(10)),AE:AT,16,FALSE))))"),"")</f>
        <v/>
      </c>
      <c r="AW192" s="130" t="str">
        <f>IFERROR(__xludf.DUMMYFUNCTION("IF(ISBLANK(BK192),,TEXTJOIN("", "",TRUE,ARRAYFORMULA(VLOOKUP(IFERROR(REGEXEXTRACT(SPLIT(BK192,"";""&amp;CHAR(10)),""\[(.+)\]"")),AE:AT,16,false))))"),"")</f>
        <v/>
      </c>
      <c r="AX192" s="139" t="str">
        <f t="shared" si="6"/>
        <v/>
      </c>
      <c r="AY192" s="139" t="str">
        <f t="shared" si="7"/>
        <v/>
      </c>
      <c r="AZ192" s="106" t="str">
        <f>IFERROR(__xludf.DUMMYFUNCTION("IF(ISBLANK(AD192), BC192, TEXTJOIN(CHAR(10) &amp; CHAR(10), TRUE, ARRAYFORMULA(VLOOKUP(SPLIT(AD192, "";"" &amp; CHAR(10)), $AC:$AY, 23, FALSE))))"),"")</f>
        <v/>
      </c>
      <c r="BA192" s="140" t="s">
        <v>66</v>
      </c>
      <c r="BB192" s="190"/>
      <c r="BC192" s="196"/>
      <c r="BD192" s="106" t="str">
        <f>IFERROR(__xludf.DUMMYFUNCTION("IF(IFERROR(SEARCH(""&lt;&lt;mechanism to realize the capability&gt;&gt;"",BA192),0)=0,
 ""!! Error !! “Capability&amp;Mechanism” column: Invalid Separator:"" &amp; CHAR(10) &amp; ""Insert separator “&lt;&lt;mechanism to realize the capability&gt;&gt;.”"",
 IF(
  LEN(TRIM(CLEAN(
    INDEX(
 "&amp;"     SPLIT(BA192,""&lt;&lt;mechanism to realize the capability&gt;&gt;"",FALSE,FALSE),
      1
    )
  )))=0,
  ""!! Error !! “Capability&amp;Mechanism” column: No Capability:""  &amp; CHAR(10) &amp; ""Describe Capability before separator."",
  INDEX(
    SPLIT(BA192,""&lt;&lt;mechani"&amp;"sm to realize the capability&gt;&gt;"",FALSE,FALSE),
    1
  )
 )
)
"),"!! Error !! “Capability&amp;Mechanism” column: No Capability:
Describe Capability before separator.")</f>
        <v>!! Error !! “Capability&amp;Mechanism” column: No Capability:
Describe Capability before separator.</v>
      </c>
      <c r="BE192" s="190"/>
      <c r="BF192" s="195"/>
      <c r="BG192" s="42"/>
      <c r="BH192" s="190"/>
      <c r="BI192" s="196"/>
      <c r="BJ192" s="42"/>
      <c r="BK192" s="42"/>
      <c r="BL192" s="203"/>
      <c r="BM192" s="203"/>
      <c r="BN192" s="42"/>
      <c r="BO192" s="42"/>
      <c r="BP192" s="143"/>
      <c r="BQ192" s="143"/>
      <c r="BR192" s="192"/>
      <c r="BS192" s="192"/>
      <c r="BT192" s="192"/>
      <c r="BU192" s="192"/>
      <c r="BV192" s="192"/>
      <c r="BW192" s="192"/>
      <c r="BX192" s="146" t="str">
        <f t="shared" si="8"/>
        <v/>
      </c>
    </row>
    <row r="193">
      <c r="A193" s="106" t="str">
        <f t="shared" si="1"/>
        <v/>
      </c>
      <c r="B193" s="183" t="str">
        <f t="array" ref="B193">IF(ISBLANK($AE193), "-",INDEX(Circuits!A:A,SUMPRODUCT(EXACT($AE193,Circuits!$A:$A)*ROW(Circuits!$A:$A))))</f>
        <v>-</v>
      </c>
      <c r="C193" s="183" t="str">
        <f t="array" ref="C193">IF(ISBLANK($AE193), "-",INDEX(Circuits!B:B,SUMPRODUCT(EXACT($AE193,Circuits!$A:$A)*ROW(Circuits!$A:$A))))</f>
        <v>-</v>
      </c>
      <c r="D193" s="183" t="str">
        <f t="array" ref="D193">IF(ISBLANK($AE193), "-",INDEX(Circuits!C:C,SUMPRODUCT(EXACT($AE193,Circuits!$A:$A)*ROW(Circuits!$A:$A))))</f>
        <v>-</v>
      </c>
      <c r="E193" s="183" t="str">
        <f t="array" ref="E193">IF(ISBLANK($AE193), "-",INDEX(Circuits!D:D,SUMPRODUCT(EXACT($AE193,Circuits!$A:$A)*ROW(Circuits!$A:$A))))</f>
        <v>-</v>
      </c>
      <c r="F193" s="183" t="str">
        <f t="array" ref="F193">IF(ISBLANK($AE193), "-",INDEX(Circuits!E:E,SUMPRODUCT(EXACT($AE193,Circuits!$A:$A)*ROW(Circuits!$A:$A))))</f>
        <v>-</v>
      </c>
      <c r="G193" s="183" t="str">
        <f t="array" ref="G193">IF(ISBLANK($AE193), "-",INDEX(Circuits!F:F,SUMPRODUCT(EXACT($AE193,Circuits!$A:$A)*ROW(Circuits!$A:$A))))</f>
        <v>-</v>
      </c>
      <c r="H193" s="183" t="str">
        <f t="array" ref="H193">IF(ISBLANK($AE193), "-",INDEX(Circuits!G:G,SUMPRODUCT(EXACT($AE193,Circuits!$A:$A)*ROW(Circuits!$A:$A))))</f>
        <v>-</v>
      </c>
      <c r="I193" s="183" t="str">
        <f t="array" ref="I193">IF(ISBLANK($AE193), "-",INDEX(Circuits!H:H,SUMPRODUCT(EXACT($AE193,Circuits!$A:$A)*ROW(Circuits!$A:$A))))</f>
        <v>-</v>
      </c>
      <c r="J193" s="183" t="str">
        <f t="array" ref="J193">IF(ISBLANK($AE193), "-",INDEX(Circuits!I:I,SUMPRODUCT(EXACT($AE193,Circuits!$A:$A)*ROW(Circuits!$A:$A))))</f>
        <v>-</v>
      </c>
      <c r="K193" s="183" t="str">
        <f t="array" ref="K193">IF(ISBLANK($AE193), "-",INDEX(Circuits!J:J,SUMPRODUCT(EXACT($AE193,Circuits!$A:$A)*ROW(Circuits!$A:$A))))</f>
        <v>-</v>
      </c>
      <c r="L193" s="183" t="str">
        <f t="array" ref="L193">IF(ISBLANK($AE193), "-",INDEX(Circuits!K:K,SUMPRODUCT(EXACT($AE193,Circuits!$A:$A)*ROW(Circuits!$A:$A))))</f>
        <v>-</v>
      </c>
      <c r="M193" s="183" t="str">
        <f t="array" ref="M193">IF(ISBLANK($AE193), "-",INDEX(Circuits!L:L,SUMPRODUCT(EXACT($AE193,Circuits!$A:$A)*ROW(Circuits!$A:$A))))</f>
        <v>-</v>
      </c>
      <c r="N193" s="183" t="str">
        <f t="array" ref="N193">IF(ISBLANK($AE193), "-",INDEX(Circuits!M:M,SUMPRODUCT(EXACT($AE193,Circuits!$A:$A)*ROW(Circuits!$A:$A))))</f>
        <v>-</v>
      </c>
      <c r="O193" s="183" t="str">
        <f t="array" ref="O193">IF(ISBLANK($AE193), "-",INDEX(Circuits!N:N,SUMPRODUCT(EXACT($AE193,Circuits!$A:$A)*ROW(Circuits!$A:$A))))</f>
        <v>-</v>
      </c>
      <c r="P193" s="183" t="str">
        <f t="array" ref="P193">IF(ISBLANK($AE193), "-",INDEX(Circuits!O:O,SUMPRODUCT(EXACT($AE193,Circuits!$A:$A)*ROW(Circuits!$A:$A))))</f>
        <v>-</v>
      </c>
      <c r="Q193" s="183" t="str">
        <f t="array" ref="Q193">IF(ISBLANK($AE193), "-",INDEX(Circuits!P:P,SUMPRODUCT(EXACT($AE193,Circuits!$A:$A)*ROW(Circuits!$A:$A))))</f>
        <v>-</v>
      </c>
      <c r="R193" s="183" t="str">
        <f t="array" ref="R193">IF(ISBLANK($AE193), "-",INDEX(Circuits!Q:Q,SUMPRODUCT(EXACT($AE193,Circuits!$A:$A)*ROW(Circuits!$A:$A))))</f>
        <v>-</v>
      </c>
      <c r="S193" s="183" t="str">
        <f t="array" ref="S193">IF(ISBLANK($AE193), "-",INDEX(Circuits!R:R,SUMPRODUCT(EXACT($AE193,Circuits!$A:$A)*ROW(Circuits!$A:$A))))</f>
        <v>-</v>
      </c>
      <c r="T193" s="183" t="str">
        <f t="array" ref="T193">IF(ISBLANK($AE193), "-",INDEX(Circuits!S:S,SUMPRODUCT(EXACT($AE193,Circuits!$A:$A)*ROW(Circuits!$A:$A))))</f>
        <v>-</v>
      </c>
      <c r="U193" s="183" t="str">
        <f t="array" ref="U193">IF(ISBLANK($AE193), "-",INDEX(Circuits!T:T,SUMPRODUCT(EXACT($AE193,Circuits!$A:$A)*ROW(Circuits!$A:$A))))</f>
        <v>-</v>
      </c>
      <c r="V193" s="183" t="str">
        <f t="array" ref="V193">IF(ISBLANK($AE193), "-",INDEX(Circuits!U:U,SUMPRODUCT(EXACT($AE193,Circuits!$A:$A)*ROW(Circuits!$A:$A))))</f>
        <v>-</v>
      </c>
      <c r="W193" s="183" t="str">
        <f t="array" ref="W193">IF(ISBLANK($AE193), "-",INDEX(Circuits!V:V,SUMPRODUCT(EXACT($AE193,Circuits!$A:$A)*ROW(Circuits!$A:$A))))</f>
        <v>-</v>
      </c>
      <c r="X193" s="183" t="str">
        <f t="array" ref="X193">IF(ISBLANK($AE193), "-",INDEX(Circuits!W:W,SUMPRODUCT(EXACT($AE193,Circuits!$A:$A)*ROW(Circuits!$A:$A))))</f>
        <v>-</v>
      </c>
      <c r="Y193" s="183" t="str">
        <f t="array" ref="Y193">IF(ISBLANK($AE193), "-",INDEX(Circuits!X:X,SUMPRODUCT(EXACT($AE193,Circuits!$A:$A)*ROW(Circuits!$A:$A))))</f>
        <v>-</v>
      </c>
      <c r="Z193" s="108" t="str">
        <f>IFERROR(__xludf.DUMMYFUNCTION("IFNA(CONCATENATE(UNIQUE(FILTER(Connections!R:R,Connections!A:A=B193))),""-"")"),"-")</f>
        <v>-</v>
      </c>
      <c r="AA193" s="119" t="str">
        <f t="array" ref="AA193">IF(ISBLANK($AE193), "-",INDEX(Circuits!Y:Y,SUMPRODUCT(EXACT($AE193,Circuits!$A:$A)*ROW(Circuits!$A:$A))))</f>
        <v>-</v>
      </c>
      <c r="AB193" s="121" t="str">
        <f t="array" ref="AB193">IF(ISBLANK($AE193), "-",INDEX(Circuits!Z:Z,SUMPRODUCT(EXACT($AE193,Circuits!$A:$A)*ROW(Circuits!$A:$A))))</f>
        <v>-</v>
      </c>
      <c r="AC193" s="194"/>
      <c r="AD193" s="194"/>
      <c r="AE193" s="45"/>
      <c r="AF193" s="43"/>
      <c r="AG193" s="126" t="str">
        <f>IFERROR(__xludf.DUMMYFUNCTION("IF(ISBLANK(AF193), """", TEXTJOIN(CHAR(10),TRUE,ARRAYFORMULA(IF(ISERROR(SEARCH(SPLIT(AF193, "";""), $Z193)), ""x"", ""-""))))"),"")</f>
        <v/>
      </c>
      <c r="AH193" s="127" t="str">
        <f>IFERROR(__xludf.DUMMYFUNCTION("IF(ISBLANK(AK193), """", TEXTJOIN("";"" &amp; CHAR(10), TRUE, UNIQUE(SPLIT(AK193, "";"" &amp; CHAR(10)), TRUE))&amp;"";"")"),"")</f>
        <v/>
      </c>
      <c r="AI193" s="128" t="str">
        <f>IFERROR(__xludf.DUMMYFUNCTION("IF(ISBLANK(AD193), IF(ISBLANK(AE193),,IFNA(TEXTJOIN("";"" &amp; CHAR(10), TRUE, FILTER(AE:AE, SEARCH(AE193&amp;"";"", AJ:AJ)))&amp;"";"", """")), TEXTJOIN("";"" &amp; CHAR(10), TRUE, UNIQUE(SPLIT(AH193 &amp; "";"" &amp; AH193 &amp; "";"" &amp; AL193, "";"" &amp; CHAR(10)), TRUE, TRUE))&amp;"";"&amp;""")"),"")</f>
        <v/>
      </c>
      <c r="AJ193" s="126" t="str">
        <f>IFERROR(__xludf.DUMMYFUNCTION("IF(AN193="""", """", TEXTJOIN("";"" &amp; CHAR(10), TRUE, UNIQUE(SPLIT(AH193 &amp; "";"" &amp; AH193 &amp; "";"" &amp; AN193, "";"" &amp; CHAR(10)), TRUE, TRUE))&amp;"";"")"),"")</f>
        <v/>
      </c>
      <c r="AK193" s="129" t="str">
        <f>IFERROR(__xludf.DUMMYFUNCTION("IF(ISBLANK(AD193), IF(ISBLANK(AE193),,AE193 &amp; "";""), TEXTJOIN(CHAR(10), TRUE, ARRAYFORMULA(VLOOKUP(SPLIT(AD193, "";"" &amp; CHAR(10)), $AC:$AH, 6, FALSE))))"),"")</f>
        <v/>
      </c>
      <c r="AL193" s="130" t="str">
        <f>IFERROR(__xludf.DUMMYFUNCTION("IF(AM193="""", """", TEXTJOIN("";"" &amp; CHAR(10), TRUE, UNIQUE(SPLIT(AM193, "";"" &amp; CHAR(10)), TRUE))&amp;"";"")"),"")</f>
        <v/>
      </c>
      <c r="AM193" s="130" t="str">
        <f>IFERROR(__xludf.DUMMYFUNCTION("IF(ISBLANK(AD193), """", TEXTJOIN(CHAR(10), TRUE, ARRAYFORMULA(VLOOKUP(SPLIT(AH193, "";"" &amp; CHAR(10)), $AE:$AI, 5, FALSE)), AF193))"),"")</f>
        <v/>
      </c>
      <c r="AN193" s="132" t="str">
        <f>IFERROR(__xludf.DUMMYFUNCTION("IF(ISBLANK(AO193), """", TEXTJOIN("";"" &amp; CHAR(10), TRUE, UNIQUE(SPLIT(AO193, "";"" &amp; CHAR(10)), TRUE))&amp;"";"")"),"")</f>
        <v/>
      </c>
      <c r="AO193" s="134" t="str">
        <f>IFERROR(__xludf.DUMMYFUNCTION("IF(ISBLANK(AD193), AF193, TEXTJOIN(CHAR(10), TRUE, ARRAYFORMULA(VLOOKUP(SPLIT(AD193, "";"" &amp; CHAR(10)), $AC:$AN, 12, FALSE))))"),"")</f>
        <v/>
      </c>
      <c r="AP193" s="130" t="str">
        <f>IF(ISBLANK(AE193),,IF(IFERROR(SEARCH(AE193&amp;";",Circuits!$AO$2),0),TRUE,FALSE))</f>
        <v/>
      </c>
      <c r="AQ193" s="130" t="str">
        <f t="shared" si="2"/>
        <v/>
      </c>
      <c r="AR193" s="130" t="str">
        <f t="shared" si="3"/>
        <v/>
      </c>
      <c r="AS193" s="136" t="str">
        <f>IFERROR(__xludf.DUMMYFUNCTION("IF(AH193="""",,SUM(ARRAYFORMULA(IF(IFERROR(SEARCH(SPLIT(AH193,CHAR(10)),Circuits!$AO$2),0)&gt;0,0,1))))"),"")</f>
        <v/>
      </c>
      <c r="AT193" s="138" t="str">
        <f t="shared" si="4"/>
        <v/>
      </c>
      <c r="AU193" s="138" t="str">
        <f t="shared" si="5"/>
        <v/>
      </c>
      <c r="AV193" s="130" t="str">
        <f>IFERROR(__xludf.DUMMYFUNCTION("IF(AI193="""",,TEXTJOIN("", "",TRUE,ARRAYFORMULA(VLOOKUP(SPLIT(AI193,"";""&amp;CHAR(10)),AE:AT,16,FALSE))))"),"")</f>
        <v/>
      </c>
      <c r="AW193" s="130" t="str">
        <f>IFERROR(__xludf.DUMMYFUNCTION("IF(ISBLANK(BK193),,TEXTJOIN("", "",TRUE,ARRAYFORMULA(VLOOKUP(IFERROR(REGEXEXTRACT(SPLIT(BK193,"";""&amp;CHAR(10)),""\[(.+)\]"")),AE:AT,16,false))))"),"")</f>
        <v/>
      </c>
      <c r="AX193" s="139" t="str">
        <f t="shared" si="6"/>
        <v/>
      </c>
      <c r="AY193" s="139" t="str">
        <f t="shared" si="7"/>
        <v/>
      </c>
      <c r="AZ193" s="106" t="str">
        <f>IFERROR(__xludf.DUMMYFUNCTION("IF(ISBLANK(AD193), BC193, TEXTJOIN(CHAR(10) &amp; CHAR(10), TRUE, ARRAYFORMULA(VLOOKUP(SPLIT(AD193, "";"" &amp; CHAR(10)), $AC:$AY, 23, FALSE))))"),"")</f>
        <v/>
      </c>
      <c r="BA193" s="140" t="s">
        <v>66</v>
      </c>
      <c r="BB193" s="190"/>
      <c r="BC193" s="196"/>
      <c r="BD193" s="106" t="str">
        <f>IFERROR(__xludf.DUMMYFUNCTION("IF(IFERROR(SEARCH(""&lt;&lt;mechanism to realize the capability&gt;&gt;"",BA193),0)=0,
 ""!! Error !! “Capability&amp;Mechanism” column: Invalid Separator:"" &amp; CHAR(10) &amp; ""Insert separator “&lt;&lt;mechanism to realize the capability&gt;&gt;.”"",
 IF(
  LEN(TRIM(CLEAN(
    INDEX(
 "&amp;"     SPLIT(BA193,""&lt;&lt;mechanism to realize the capability&gt;&gt;"",FALSE,FALSE),
      1
    )
  )))=0,
  ""!! Error !! “Capability&amp;Mechanism” column: No Capability:""  &amp; CHAR(10) &amp; ""Describe Capability before separator."",
  INDEX(
    SPLIT(BA193,""&lt;&lt;mechani"&amp;"sm to realize the capability&gt;&gt;"",FALSE,FALSE),
    1
  )
 )
)
"),"!! Error !! “Capability&amp;Mechanism” column: No Capability:
Describe Capability before separator.")</f>
        <v>!! Error !! “Capability&amp;Mechanism” column: No Capability:
Describe Capability before separator.</v>
      </c>
      <c r="BE193" s="190"/>
      <c r="BF193" s="195"/>
      <c r="BG193" s="42"/>
      <c r="BH193" s="190"/>
      <c r="BI193" s="196"/>
      <c r="BJ193" s="42"/>
      <c r="BK193" s="42"/>
      <c r="BL193" s="203"/>
      <c r="BM193" s="203"/>
      <c r="BN193" s="42"/>
      <c r="BO193" s="42"/>
      <c r="BP193" s="143"/>
      <c r="BQ193" s="143"/>
      <c r="BR193" s="192"/>
      <c r="BS193" s="192"/>
      <c r="BT193" s="192"/>
      <c r="BU193" s="192"/>
      <c r="BV193" s="192"/>
      <c r="BW193" s="192"/>
      <c r="BX193" s="146" t="str">
        <f t="shared" si="8"/>
        <v/>
      </c>
    </row>
    <row r="194">
      <c r="A194" s="106" t="str">
        <f t="shared" si="1"/>
        <v/>
      </c>
      <c r="B194" s="183" t="str">
        <f t="array" ref="B194">IF(ISBLANK($AE194), "-",INDEX(Circuits!A:A,SUMPRODUCT(EXACT($AE194,Circuits!$A:$A)*ROW(Circuits!$A:$A))))</f>
        <v>-</v>
      </c>
      <c r="C194" s="183" t="str">
        <f t="array" ref="C194">IF(ISBLANK($AE194), "-",INDEX(Circuits!B:B,SUMPRODUCT(EXACT($AE194,Circuits!$A:$A)*ROW(Circuits!$A:$A))))</f>
        <v>-</v>
      </c>
      <c r="D194" s="183" t="str">
        <f t="array" ref="D194">IF(ISBLANK($AE194), "-",INDEX(Circuits!C:C,SUMPRODUCT(EXACT($AE194,Circuits!$A:$A)*ROW(Circuits!$A:$A))))</f>
        <v>-</v>
      </c>
      <c r="E194" s="183" t="str">
        <f t="array" ref="E194">IF(ISBLANK($AE194), "-",INDEX(Circuits!D:D,SUMPRODUCT(EXACT($AE194,Circuits!$A:$A)*ROW(Circuits!$A:$A))))</f>
        <v>-</v>
      </c>
      <c r="F194" s="183" t="str">
        <f t="array" ref="F194">IF(ISBLANK($AE194), "-",INDEX(Circuits!E:E,SUMPRODUCT(EXACT($AE194,Circuits!$A:$A)*ROW(Circuits!$A:$A))))</f>
        <v>-</v>
      </c>
      <c r="G194" s="183" t="str">
        <f t="array" ref="G194">IF(ISBLANK($AE194), "-",INDEX(Circuits!F:F,SUMPRODUCT(EXACT($AE194,Circuits!$A:$A)*ROW(Circuits!$A:$A))))</f>
        <v>-</v>
      </c>
      <c r="H194" s="183" t="str">
        <f t="array" ref="H194">IF(ISBLANK($AE194), "-",INDEX(Circuits!G:G,SUMPRODUCT(EXACT($AE194,Circuits!$A:$A)*ROW(Circuits!$A:$A))))</f>
        <v>-</v>
      </c>
      <c r="I194" s="183" t="str">
        <f t="array" ref="I194">IF(ISBLANK($AE194), "-",INDEX(Circuits!H:H,SUMPRODUCT(EXACT($AE194,Circuits!$A:$A)*ROW(Circuits!$A:$A))))</f>
        <v>-</v>
      </c>
      <c r="J194" s="183" t="str">
        <f t="array" ref="J194">IF(ISBLANK($AE194), "-",INDEX(Circuits!I:I,SUMPRODUCT(EXACT($AE194,Circuits!$A:$A)*ROW(Circuits!$A:$A))))</f>
        <v>-</v>
      </c>
      <c r="K194" s="183" t="str">
        <f t="array" ref="K194">IF(ISBLANK($AE194), "-",INDEX(Circuits!J:J,SUMPRODUCT(EXACT($AE194,Circuits!$A:$A)*ROW(Circuits!$A:$A))))</f>
        <v>-</v>
      </c>
      <c r="L194" s="183" t="str">
        <f t="array" ref="L194">IF(ISBLANK($AE194), "-",INDEX(Circuits!K:K,SUMPRODUCT(EXACT($AE194,Circuits!$A:$A)*ROW(Circuits!$A:$A))))</f>
        <v>-</v>
      </c>
      <c r="M194" s="183" t="str">
        <f t="array" ref="M194">IF(ISBLANK($AE194), "-",INDEX(Circuits!L:L,SUMPRODUCT(EXACT($AE194,Circuits!$A:$A)*ROW(Circuits!$A:$A))))</f>
        <v>-</v>
      </c>
      <c r="N194" s="183" t="str">
        <f t="array" ref="N194">IF(ISBLANK($AE194), "-",INDEX(Circuits!M:M,SUMPRODUCT(EXACT($AE194,Circuits!$A:$A)*ROW(Circuits!$A:$A))))</f>
        <v>-</v>
      </c>
      <c r="O194" s="183" t="str">
        <f t="array" ref="O194">IF(ISBLANK($AE194), "-",INDEX(Circuits!N:N,SUMPRODUCT(EXACT($AE194,Circuits!$A:$A)*ROW(Circuits!$A:$A))))</f>
        <v>-</v>
      </c>
      <c r="P194" s="183" t="str">
        <f t="array" ref="P194">IF(ISBLANK($AE194), "-",INDEX(Circuits!O:O,SUMPRODUCT(EXACT($AE194,Circuits!$A:$A)*ROW(Circuits!$A:$A))))</f>
        <v>-</v>
      </c>
      <c r="Q194" s="183" t="str">
        <f t="array" ref="Q194">IF(ISBLANK($AE194), "-",INDEX(Circuits!P:P,SUMPRODUCT(EXACT($AE194,Circuits!$A:$A)*ROW(Circuits!$A:$A))))</f>
        <v>-</v>
      </c>
      <c r="R194" s="183" t="str">
        <f t="array" ref="R194">IF(ISBLANK($AE194), "-",INDEX(Circuits!Q:Q,SUMPRODUCT(EXACT($AE194,Circuits!$A:$A)*ROW(Circuits!$A:$A))))</f>
        <v>-</v>
      </c>
      <c r="S194" s="183" t="str">
        <f t="array" ref="S194">IF(ISBLANK($AE194), "-",INDEX(Circuits!R:R,SUMPRODUCT(EXACT($AE194,Circuits!$A:$A)*ROW(Circuits!$A:$A))))</f>
        <v>-</v>
      </c>
      <c r="T194" s="183" t="str">
        <f t="array" ref="T194">IF(ISBLANK($AE194), "-",INDEX(Circuits!S:S,SUMPRODUCT(EXACT($AE194,Circuits!$A:$A)*ROW(Circuits!$A:$A))))</f>
        <v>-</v>
      </c>
      <c r="U194" s="183" t="str">
        <f t="array" ref="U194">IF(ISBLANK($AE194), "-",INDEX(Circuits!T:T,SUMPRODUCT(EXACT($AE194,Circuits!$A:$A)*ROW(Circuits!$A:$A))))</f>
        <v>-</v>
      </c>
      <c r="V194" s="183" t="str">
        <f t="array" ref="V194">IF(ISBLANK($AE194), "-",INDEX(Circuits!U:U,SUMPRODUCT(EXACT($AE194,Circuits!$A:$A)*ROW(Circuits!$A:$A))))</f>
        <v>-</v>
      </c>
      <c r="W194" s="183" t="str">
        <f t="array" ref="W194">IF(ISBLANK($AE194), "-",INDEX(Circuits!V:V,SUMPRODUCT(EXACT($AE194,Circuits!$A:$A)*ROW(Circuits!$A:$A))))</f>
        <v>-</v>
      </c>
      <c r="X194" s="183" t="str">
        <f t="array" ref="X194">IF(ISBLANK($AE194), "-",INDEX(Circuits!W:W,SUMPRODUCT(EXACT($AE194,Circuits!$A:$A)*ROW(Circuits!$A:$A))))</f>
        <v>-</v>
      </c>
      <c r="Y194" s="183" t="str">
        <f t="array" ref="Y194">IF(ISBLANK($AE194), "-",INDEX(Circuits!X:X,SUMPRODUCT(EXACT($AE194,Circuits!$A:$A)*ROW(Circuits!$A:$A))))</f>
        <v>-</v>
      </c>
      <c r="Z194" s="108" t="str">
        <f>IFERROR(__xludf.DUMMYFUNCTION("IFNA(CONCATENATE(UNIQUE(FILTER(Connections!R:R,Connections!A:A=B194))),""-"")"),"-")</f>
        <v>-</v>
      </c>
      <c r="AA194" s="119" t="str">
        <f t="array" ref="AA194">IF(ISBLANK($AE194), "-",INDEX(Circuits!Y:Y,SUMPRODUCT(EXACT($AE194,Circuits!$A:$A)*ROW(Circuits!$A:$A))))</f>
        <v>-</v>
      </c>
      <c r="AB194" s="121" t="str">
        <f t="array" ref="AB194">IF(ISBLANK($AE194), "-",INDEX(Circuits!Z:Z,SUMPRODUCT(EXACT($AE194,Circuits!$A:$A)*ROW(Circuits!$A:$A))))</f>
        <v>-</v>
      </c>
      <c r="AC194" s="194"/>
      <c r="AD194" s="194"/>
      <c r="AE194" s="45"/>
      <c r="AF194" s="43"/>
      <c r="AG194" s="126" t="str">
        <f>IFERROR(__xludf.DUMMYFUNCTION("IF(ISBLANK(AF194), """", TEXTJOIN(CHAR(10),TRUE,ARRAYFORMULA(IF(ISERROR(SEARCH(SPLIT(AF194, "";""), $Z194)), ""x"", ""-""))))"),"")</f>
        <v/>
      </c>
      <c r="AH194" s="127" t="str">
        <f>IFERROR(__xludf.DUMMYFUNCTION("IF(ISBLANK(AK194), """", TEXTJOIN("";"" &amp; CHAR(10), TRUE, UNIQUE(SPLIT(AK194, "";"" &amp; CHAR(10)), TRUE))&amp;"";"")"),"")</f>
        <v/>
      </c>
      <c r="AI194" s="128" t="str">
        <f>IFERROR(__xludf.DUMMYFUNCTION("IF(ISBLANK(AD194), IF(ISBLANK(AE194),,IFNA(TEXTJOIN("";"" &amp; CHAR(10), TRUE, FILTER(AE:AE, SEARCH(AE194&amp;"";"", AJ:AJ)))&amp;"";"", """")), TEXTJOIN("";"" &amp; CHAR(10), TRUE, UNIQUE(SPLIT(AH194 &amp; "";"" &amp; AH194 &amp; "";"" &amp; AL194, "";"" &amp; CHAR(10)), TRUE, TRUE))&amp;"";"&amp;""")"),"")</f>
        <v/>
      </c>
      <c r="AJ194" s="126" t="str">
        <f>IFERROR(__xludf.DUMMYFUNCTION("IF(AN194="""", """", TEXTJOIN("";"" &amp; CHAR(10), TRUE, UNIQUE(SPLIT(AH194 &amp; "";"" &amp; AH194 &amp; "";"" &amp; AN194, "";"" &amp; CHAR(10)), TRUE, TRUE))&amp;"";"")"),"")</f>
        <v/>
      </c>
      <c r="AK194" s="129" t="str">
        <f>IFERROR(__xludf.DUMMYFUNCTION("IF(ISBLANK(AD194), IF(ISBLANK(AE194),,AE194 &amp; "";""), TEXTJOIN(CHAR(10), TRUE, ARRAYFORMULA(VLOOKUP(SPLIT(AD194, "";"" &amp; CHAR(10)), $AC:$AH, 6, FALSE))))"),"")</f>
        <v/>
      </c>
      <c r="AL194" s="130" t="str">
        <f>IFERROR(__xludf.DUMMYFUNCTION("IF(AM194="""", """", TEXTJOIN("";"" &amp; CHAR(10), TRUE, UNIQUE(SPLIT(AM194, "";"" &amp; CHAR(10)), TRUE))&amp;"";"")"),"")</f>
        <v/>
      </c>
      <c r="AM194" s="130" t="str">
        <f>IFERROR(__xludf.DUMMYFUNCTION("IF(ISBLANK(AD194), """", TEXTJOIN(CHAR(10), TRUE, ARRAYFORMULA(VLOOKUP(SPLIT(AH194, "";"" &amp; CHAR(10)), $AE:$AI, 5, FALSE)), AF194))"),"")</f>
        <v/>
      </c>
      <c r="AN194" s="132" t="str">
        <f>IFERROR(__xludf.DUMMYFUNCTION("IF(ISBLANK(AO194), """", TEXTJOIN("";"" &amp; CHAR(10), TRUE, UNIQUE(SPLIT(AO194, "";"" &amp; CHAR(10)), TRUE))&amp;"";"")"),"")</f>
        <v/>
      </c>
      <c r="AO194" s="134" t="str">
        <f>IFERROR(__xludf.DUMMYFUNCTION("IF(ISBLANK(AD194), AF194, TEXTJOIN(CHAR(10), TRUE, ARRAYFORMULA(VLOOKUP(SPLIT(AD194, "";"" &amp; CHAR(10)), $AC:$AN, 12, FALSE))))"),"")</f>
        <v/>
      </c>
      <c r="AP194" s="130" t="str">
        <f>IF(ISBLANK(AE194),,IF(IFERROR(SEARCH(AE194&amp;";",Circuits!$AO$2),0),TRUE,FALSE))</f>
        <v/>
      </c>
      <c r="AQ194" s="130" t="str">
        <f t="shared" si="2"/>
        <v/>
      </c>
      <c r="AR194" s="130" t="str">
        <f t="shared" si="3"/>
        <v/>
      </c>
      <c r="AS194" s="136" t="str">
        <f>IFERROR(__xludf.DUMMYFUNCTION("IF(AH194="""",,SUM(ARRAYFORMULA(IF(IFERROR(SEARCH(SPLIT(AH194,CHAR(10)),Circuits!$AO$2),0)&gt;0,0,1))))"),"")</f>
        <v/>
      </c>
      <c r="AT194" s="138" t="str">
        <f t="shared" si="4"/>
        <v/>
      </c>
      <c r="AU194" s="138" t="str">
        <f t="shared" si="5"/>
        <v/>
      </c>
      <c r="AV194" s="130" t="str">
        <f>IFERROR(__xludf.DUMMYFUNCTION("IF(AI194="""",,TEXTJOIN("", "",TRUE,ARRAYFORMULA(VLOOKUP(SPLIT(AI194,"";""&amp;CHAR(10)),AE:AT,16,FALSE))))"),"")</f>
        <v/>
      </c>
      <c r="AW194" s="130" t="str">
        <f>IFERROR(__xludf.DUMMYFUNCTION("IF(ISBLANK(BK194),,TEXTJOIN("", "",TRUE,ARRAYFORMULA(VLOOKUP(IFERROR(REGEXEXTRACT(SPLIT(BK194,"";""&amp;CHAR(10)),""\[(.+)\]"")),AE:AT,16,false))))"),"")</f>
        <v/>
      </c>
      <c r="AX194" s="139" t="str">
        <f t="shared" si="6"/>
        <v/>
      </c>
      <c r="AY194" s="139" t="str">
        <f t="shared" si="7"/>
        <v/>
      </c>
      <c r="AZ194" s="106" t="str">
        <f>IFERROR(__xludf.DUMMYFUNCTION("IF(ISBLANK(AD194), BC194, TEXTJOIN(CHAR(10) &amp; CHAR(10), TRUE, ARRAYFORMULA(VLOOKUP(SPLIT(AD194, "";"" &amp; CHAR(10)), $AC:$AY, 23, FALSE))))"),"")</f>
        <v/>
      </c>
      <c r="BA194" s="140" t="s">
        <v>66</v>
      </c>
      <c r="BB194" s="190"/>
      <c r="BC194" s="196"/>
      <c r="BD194" s="106" t="str">
        <f>IFERROR(__xludf.DUMMYFUNCTION("IF(IFERROR(SEARCH(""&lt;&lt;mechanism to realize the capability&gt;&gt;"",BA194),0)=0,
 ""!! Error !! “Capability&amp;Mechanism” column: Invalid Separator:"" &amp; CHAR(10) &amp; ""Insert separator “&lt;&lt;mechanism to realize the capability&gt;&gt;.”"",
 IF(
  LEN(TRIM(CLEAN(
    INDEX(
 "&amp;"     SPLIT(BA194,""&lt;&lt;mechanism to realize the capability&gt;&gt;"",FALSE,FALSE),
      1
    )
  )))=0,
  ""!! Error !! “Capability&amp;Mechanism” column: No Capability:""  &amp; CHAR(10) &amp; ""Describe Capability before separator."",
  INDEX(
    SPLIT(BA194,""&lt;&lt;mechani"&amp;"sm to realize the capability&gt;&gt;"",FALSE,FALSE),
    1
  )
 )
)
"),"!! Error !! “Capability&amp;Mechanism” column: No Capability:
Describe Capability before separator.")</f>
        <v>!! Error !! “Capability&amp;Mechanism” column: No Capability:
Describe Capability before separator.</v>
      </c>
      <c r="BE194" s="190"/>
      <c r="BF194" s="195"/>
      <c r="BG194" s="42"/>
      <c r="BH194" s="190"/>
      <c r="BI194" s="196"/>
      <c r="BJ194" s="42"/>
      <c r="BK194" s="42"/>
      <c r="BL194" s="203"/>
      <c r="BM194" s="203"/>
      <c r="BN194" s="42"/>
      <c r="BO194" s="42"/>
      <c r="BP194" s="143"/>
      <c r="BQ194" s="143"/>
      <c r="BR194" s="192"/>
      <c r="BS194" s="192"/>
      <c r="BT194" s="192"/>
      <c r="BU194" s="192"/>
      <c r="BV194" s="192"/>
      <c r="BW194" s="192"/>
      <c r="BX194" s="146" t="str">
        <f t="shared" si="8"/>
        <v/>
      </c>
    </row>
    <row r="195">
      <c r="A195" s="106" t="str">
        <f t="shared" si="1"/>
        <v/>
      </c>
      <c r="B195" s="183" t="str">
        <f t="array" ref="B195">IF(ISBLANK($AE195), "-",INDEX(Circuits!A:A,SUMPRODUCT(EXACT($AE195,Circuits!$A:$A)*ROW(Circuits!$A:$A))))</f>
        <v>-</v>
      </c>
      <c r="C195" s="183" t="str">
        <f t="array" ref="C195">IF(ISBLANK($AE195), "-",INDEX(Circuits!B:B,SUMPRODUCT(EXACT($AE195,Circuits!$A:$A)*ROW(Circuits!$A:$A))))</f>
        <v>-</v>
      </c>
      <c r="D195" s="183" t="str">
        <f t="array" ref="D195">IF(ISBLANK($AE195), "-",INDEX(Circuits!C:C,SUMPRODUCT(EXACT($AE195,Circuits!$A:$A)*ROW(Circuits!$A:$A))))</f>
        <v>-</v>
      </c>
      <c r="E195" s="183" t="str">
        <f t="array" ref="E195">IF(ISBLANK($AE195), "-",INDEX(Circuits!D:D,SUMPRODUCT(EXACT($AE195,Circuits!$A:$A)*ROW(Circuits!$A:$A))))</f>
        <v>-</v>
      </c>
      <c r="F195" s="183" t="str">
        <f t="array" ref="F195">IF(ISBLANK($AE195), "-",INDEX(Circuits!E:E,SUMPRODUCT(EXACT($AE195,Circuits!$A:$A)*ROW(Circuits!$A:$A))))</f>
        <v>-</v>
      </c>
      <c r="G195" s="183" t="str">
        <f t="array" ref="G195">IF(ISBLANK($AE195), "-",INDEX(Circuits!F:F,SUMPRODUCT(EXACT($AE195,Circuits!$A:$A)*ROW(Circuits!$A:$A))))</f>
        <v>-</v>
      </c>
      <c r="H195" s="183" t="str">
        <f t="array" ref="H195">IF(ISBLANK($AE195), "-",INDEX(Circuits!G:G,SUMPRODUCT(EXACT($AE195,Circuits!$A:$A)*ROW(Circuits!$A:$A))))</f>
        <v>-</v>
      </c>
      <c r="I195" s="183" t="str">
        <f t="array" ref="I195">IF(ISBLANK($AE195), "-",INDEX(Circuits!H:H,SUMPRODUCT(EXACT($AE195,Circuits!$A:$A)*ROW(Circuits!$A:$A))))</f>
        <v>-</v>
      </c>
      <c r="J195" s="183" t="str">
        <f t="array" ref="J195">IF(ISBLANK($AE195), "-",INDEX(Circuits!I:I,SUMPRODUCT(EXACT($AE195,Circuits!$A:$A)*ROW(Circuits!$A:$A))))</f>
        <v>-</v>
      </c>
      <c r="K195" s="183" t="str">
        <f t="array" ref="K195">IF(ISBLANK($AE195), "-",INDEX(Circuits!J:J,SUMPRODUCT(EXACT($AE195,Circuits!$A:$A)*ROW(Circuits!$A:$A))))</f>
        <v>-</v>
      </c>
      <c r="L195" s="183" t="str">
        <f t="array" ref="L195">IF(ISBLANK($AE195), "-",INDEX(Circuits!K:K,SUMPRODUCT(EXACT($AE195,Circuits!$A:$A)*ROW(Circuits!$A:$A))))</f>
        <v>-</v>
      </c>
      <c r="M195" s="183" t="str">
        <f t="array" ref="M195">IF(ISBLANK($AE195), "-",INDEX(Circuits!L:L,SUMPRODUCT(EXACT($AE195,Circuits!$A:$A)*ROW(Circuits!$A:$A))))</f>
        <v>-</v>
      </c>
      <c r="N195" s="183" t="str">
        <f t="array" ref="N195">IF(ISBLANK($AE195), "-",INDEX(Circuits!M:M,SUMPRODUCT(EXACT($AE195,Circuits!$A:$A)*ROW(Circuits!$A:$A))))</f>
        <v>-</v>
      </c>
      <c r="O195" s="183" t="str">
        <f t="array" ref="O195">IF(ISBLANK($AE195), "-",INDEX(Circuits!N:N,SUMPRODUCT(EXACT($AE195,Circuits!$A:$A)*ROW(Circuits!$A:$A))))</f>
        <v>-</v>
      </c>
      <c r="P195" s="183" t="str">
        <f t="array" ref="P195">IF(ISBLANK($AE195), "-",INDEX(Circuits!O:O,SUMPRODUCT(EXACT($AE195,Circuits!$A:$A)*ROW(Circuits!$A:$A))))</f>
        <v>-</v>
      </c>
      <c r="Q195" s="183" t="str">
        <f t="array" ref="Q195">IF(ISBLANK($AE195), "-",INDEX(Circuits!P:P,SUMPRODUCT(EXACT($AE195,Circuits!$A:$A)*ROW(Circuits!$A:$A))))</f>
        <v>-</v>
      </c>
      <c r="R195" s="183" t="str">
        <f t="array" ref="R195">IF(ISBLANK($AE195), "-",INDEX(Circuits!Q:Q,SUMPRODUCT(EXACT($AE195,Circuits!$A:$A)*ROW(Circuits!$A:$A))))</f>
        <v>-</v>
      </c>
      <c r="S195" s="183" t="str">
        <f t="array" ref="S195">IF(ISBLANK($AE195), "-",INDEX(Circuits!R:R,SUMPRODUCT(EXACT($AE195,Circuits!$A:$A)*ROW(Circuits!$A:$A))))</f>
        <v>-</v>
      </c>
      <c r="T195" s="183" t="str">
        <f t="array" ref="T195">IF(ISBLANK($AE195), "-",INDEX(Circuits!S:S,SUMPRODUCT(EXACT($AE195,Circuits!$A:$A)*ROW(Circuits!$A:$A))))</f>
        <v>-</v>
      </c>
      <c r="U195" s="183" t="str">
        <f t="array" ref="U195">IF(ISBLANK($AE195), "-",INDEX(Circuits!T:T,SUMPRODUCT(EXACT($AE195,Circuits!$A:$A)*ROW(Circuits!$A:$A))))</f>
        <v>-</v>
      </c>
      <c r="V195" s="183" t="str">
        <f t="array" ref="V195">IF(ISBLANK($AE195), "-",INDEX(Circuits!U:U,SUMPRODUCT(EXACT($AE195,Circuits!$A:$A)*ROW(Circuits!$A:$A))))</f>
        <v>-</v>
      </c>
      <c r="W195" s="183" t="str">
        <f t="array" ref="W195">IF(ISBLANK($AE195), "-",INDEX(Circuits!V:V,SUMPRODUCT(EXACT($AE195,Circuits!$A:$A)*ROW(Circuits!$A:$A))))</f>
        <v>-</v>
      </c>
      <c r="X195" s="183" t="str">
        <f t="array" ref="X195">IF(ISBLANK($AE195), "-",INDEX(Circuits!W:W,SUMPRODUCT(EXACT($AE195,Circuits!$A:$A)*ROW(Circuits!$A:$A))))</f>
        <v>-</v>
      </c>
      <c r="Y195" s="183" t="str">
        <f t="array" ref="Y195">IF(ISBLANK($AE195), "-",INDEX(Circuits!X:X,SUMPRODUCT(EXACT($AE195,Circuits!$A:$A)*ROW(Circuits!$A:$A))))</f>
        <v>-</v>
      </c>
      <c r="Z195" s="108" t="str">
        <f>IFERROR(__xludf.DUMMYFUNCTION("IFNA(CONCATENATE(UNIQUE(FILTER(Connections!R:R,Connections!A:A=B195))),""-"")"),"-")</f>
        <v>-</v>
      </c>
      <c r="AA195" s="119" t="str">
        <f t="array" ref="AA195">IF(ISBLANK($AE195), "-",INDEX(Circuits!Y:Y,SUMPRODUCT(EXACT($AE195,Circuits!$A:$A)*ROW(Circuits!$A:$A))))</f>
        <v>-</v>
      </c>
      <c r="AB195" s="121" t="str">
        <f t="array" ref="AB195">IF(ISBLANK($AE195), "-",INDEX(Circuits!Z:Z,SUMPRODUCT(EXACT($AE195,Circuits!$A:$A)*ROW(Circuits!$A:$A))))</f>
        <v>-</v>
      </c>
      <c r="AC195" s="194"/>
      <c r="AD195" s="194"/>
      <c r="AE195" s="45"/>
      <c r="AF195" s="43"/>
      <c r="AG195" s="126" t="str">
        <f>IFERROR(__xludf.DUMMYFUNCTION("IF(ISBLANK(AF195), """", TEXTJOIN(CHAR(10),TRUE,ARRAYFORMULA(IF(ISERROR(SEARCH(SPLIT(AF195, "";""), $Z195)), ""x"", ""-""))))"),"")</f>
        <v/>
      </c>
      <c r="AH195" s="127" t="str">
        <f>IFERROR(__xludf.DUMMYFUNCTION("IF(ISBLANK(AK195), """", TEXTJOIN("";"" &amp; CHAR(10), TRUE, UNIQUE(SPLIT(AK195, "";"" &amp; CHAR(10)), TRUE))&amp;"";"")"),"")</f>
        <v/>
      </c>
      <c r="AI195" s="128" t="str">
        <f>IFERROR(__xludf.DUMMYFUNCTION("IF(ISBLANK(AD195), IF(ISBLANK(AE195),,IFNA(TEXTJOIN("";"" &amp; CHAR(10), TRUE, FILTER(AE:AE, SEARCH(AE195&amp;"";"", AJ:AJ)))&amp;"";"", """")), TEXTJOIN("";"" &amp; CHAR(10), TRUE, UNIQUE(SPLIT(AH195 &amp; "";"" &amp; AH195 &amp; "";"" &amp; AL195, "";"" &amp; CHAR(10)), TRUE, TRUE))&amp;"";"&amp;""")"),"")</f>
        <v/>
      </c>
      <c r="AJ195" s="126" t="str">
        <f>IFERROR(__xludf.DUMMYFUNCTION("IF(AN195="""", """", TEXTJOIN("";"" &amp; CHAR(10), TRUE, UNIQUE(SPLIT(AH195 &amp; "";"" &amp; AH195 &amp; "";"" &amp; AN195, "";"" &amp; CHAR(10)), TRUE, TRUE))&amp;"";"")"),"")</f>
        <v/>
      </c>
      <c r="AK195" s="129" t="str">
        <f>IFERROR(__xludf.DUMMYFUNCTION("IF(ISBLANK(AD195), IF(ISBLANK(AE195),,AE195 &amp; "";""), TEXTJOIN(CHAR(10), TRUE, ARRAYFORMULA(VLOOKUP(SPLIT(AD195, "";"" &amp; CHAR(10)), $AC:$AH, 6, FALSE))))"),"")</f>
        <v/>
      </c>
      <c r="AL195" s="130" t="str">
        <f>IFERROR(__xludf.DUMMYFUNCTION("IF(AM195="""", """", TEXTJOIN("";"" &amp; CHAR(10), TRUE, UNIQUE(SPLIT(AM195, "";"" &amp; CHAR(10)), TRUE))&amp;"";"")"),"")</f>
        <v/>
      </c>
      <c r="AM195" s="130" t="str">
        <f>IFERROR(__xludf.DUMMYFUNCTION("IF(ISBLANK(AD195), """", TEXTJOIN(CHAR(10), TRUE, ARRAYFORMULA(VLOOKUP(SPLIT(AH195, "";"" &amp; CHAR(10)), $AE:$AI, 5, FALSE)), AF195))"),"")</f>
        <v/>
      </c>
      <c r="AN195" s="132" t="str">
        <f>IFERROR(__xludf.DUMMYFUNCTION("IF(ISBLANK(AO195), """", TEXTJOIN("";"" &amp; CHAR(10), TRUE, UNIQUE(SPLIT(AO195, "";"" &amp; CHAR(10)), TRUE))&amp;"";"")"),"")</f>
        <v/>
      </c>
      <c r="AO195" s="134" t="str">
        <f>IFERROR(__xludf.DUMMYFUNCTION("IF(ISBLANK(AD195), AF195, TEXTJOIN(CHAR(10), TRUE, ARRAYFORMULA(VLOOKUP(SPLIT(AD195, "";"" &amp; CHAR(10)), $AC:$AN, 12, FALSE))))"),"")</f>
        <v/>
      </c>
      <c r="AP195" s="130" t="str">
        <f>IF(ISBLANK(AE195),,IF(IFERROR(SEARCH(AE195&amp;";",Circuits!$AO$2),0),TRUE,FALSE))</f>
        <v/>
      </c>
      <c r="AQ195" s="130" t="str">
        <f t="shared" si="2"/>
        <v/>
      </c>
      <c r="AR195" s="130" t="str">
        <f t="shared" si="3"/>
        <v/>
      </c>
      <c r="AS195" s="136" t="str">
        <f>IFERROR(__xludf.DUMMYFUNCTION("IF(AH195="""",,SUM(ARRAYFORMULA(IF(IFERROR(SEARCH(SPLIT(AH195,CHAR(10)),Circuits!$AO$2),0)&gt;0,0,1))))"),"")</f>
        <v/>
      </c>
      <c r="AT195" s="138" t="str">
        <f t="shared" si="4"/>
        <v/>
      </c>
      <c r="AU195" s="138" t="str">
        <f t="shared" si="5"/>
        <v/>
      </c>
      <c r="AV195" s="130" t="str">
        <f>IFERROR(__xludf.DUMMYFUNCTION("IF(AI195="""",,TEXTJOIN("", "",TRUE,ARRAYFORMULA(VLOOKUP(SPLIT(AI195,"";""&amp;CHAR(10)),AE:AT,16,FALSE))))"),"")</f>
        <v/>
      </c>
      <c r="AW195" s="130" t="str">
        <f>IFERROR(__xludf.DUMMYFUNCTION("IF(ISBLANK(BK195),,TEXTJOIN("", "",TRUE,ARRAYFORMULA(VLOOKUP(IFERROR(REGEXEXTRACT(SPLIT(BK195,"";""&amp;CHAR(10)),""\[(.+)\]"")),AE:AT,16,false))))"),"")</f>
        <v/>
      </c>
      <c r="AX195" s="139" t="str">
        <f t="shared" si="6"/>
        <v/>
      </c>
      <c r="AY195" s="139" t="str">
        <f t="shared" si="7"/>
        <v/>
      </c>
      <c r="AZ195" s="106" t="str">
        <f>IFERROR(__xludf.DUMMYFUNCTION("IF(ISBLANK(AD195), BC195, TEXTJOIN(CHAR(10) &amp; CHAR(10), TRUE, ARRAYFORMULA(VLOOKUP(SPLIT(AD195, "";"" &amp; CHAR(10)), $AC:$AY, 23, FALSE))))"),"")</f>
        <v/>
      </c>
      <c r="BA195" s="140" t="s">
        <v>66</v>
      </c>
      <c r="BB195" s="190"/>
      <c r="BC195" s="196"/>
      <c r="BD195" s="106" t="str">
        <f>IFERROR(__xludf.DUMMYFUNCTION("IF(IFERROR(SEARCH(""&lt;&lt;mechanism to realize the capability&gt;&gt;"",BA195),0)=0,
 ""!! Error !! “Capability&amp;Mechanism” column: Invalid Separator:"" &amp; CHAR(10) &amp; ""Insert separator “&lt;&lt;mechanism to realize the capability&gt;&gt;.”"",
 IF(
  LEN(TRIM(CLEAN(
    INDEX(
 "&amp;"     SPLIT(BA195,""&lt;&lt;mechanism to realize the capability&gt;&gt;"",FALSE,FALSE),
      1
    )
  )))=0,
  ""!! Error !! “Capability&amp;Mechanism” column: No Capability:""  &amp; CHAR(10) &amp; ""Describe Capability before separator."",
  INDEX(
    SPLIT(BA195,""&lt;&lt;mechani"&amp;"sm to realize the capability&gt;&gt;"",FALSE,FALSE),
    1
  )
 )
)
"),"!! Error !! “Capability&amp;Mechanism” column: No Capability:
Describe Capability before separator.")</f>
        <v>!! Error !! “Capability&amp;Mechanism” column: No Capability:
Describe Capability before separator.</v>
      </c>
      <c r="BE195" s="190"/>
      <c r="BF195" s="195"/>
      <c r="BG195" s="42"/>
      <c r="BH195" s="190"/>
      <c r="BI195" s="196"/>
      <c r="BJ195" s="42"/>
      <c r="BK195" s="42"/>
      <c r="BL195" s="203"/>
      <c r="BM195" s="203"/>
      <c r="BN195" s="42"/>
      <c r="BO195" s="42"/>
      <c r="BP195" s="143"/>
      <c r="BQ195" s="143"/>
      <c r="BR195" s="192"/>
      <c r="BS195" s="192"/>
      <c r="BT195" s="192"/>
      <c r="BU195" s="192"/>
      <c r="BV195" s="192"/>
      <c r="BW195" s="192"/>
      <c r="BX195" s="146" t="str">
        <f t="shared" si="8"/>
        <v/>
      </c>
    </row>
    <row r="196">
      <c r="A196" s="106" t="str">
        <f t="shared" si="1"/>
        <v/>
      </c>
      <c r="B196" s="183" t="str">
        <f t="array" ref="B196">IF(ISBLANK($AE196), "-",INDEX(Circuits!A:A,SUMPRODUCT(EXACT($AE196,Circuits!$A:$A)*ROW(Circuits!$A:$A))))</f>
        <v>-</v>
      </c>
      <c r="C196" s="183" t="str">
        <f t="array" ref="C196">IF(ISBLANK($AE196), "-",INDEX(Circuits!B:B,SUMPRODUCT(EXACT($AE196,Circuits!$A:$A)*ROW(Circuits!$A:$A))))</f>
        <v>-</v>
      </c>
      <c r="D196" s="183" t="str">
        <f t="array" ref="D196">IF(ISBLANK($AE196), "-",INDEX(Circuits!C:C,SUMPRODUCT(EXACT($AE196,Circuits!$A:$A)*ROW(Circuits!$A:$A))))</f>
        <v>-</v>
      </c>
      <c r="E196" s="183" t="str">
        <f t="array" ref="E196">IF(ISBLANK($AE196), "-",INDEX(Circuits!D:D,SUMPRODUCT(EXACT($AE196,Circuits!$A:$A)*ROW(Circuits!$A:$A))))</f>
        <v>-</v>
      </c>
      <c r="F196" s="183" t="str">
        <f t="array" ref="F196">IF(ISBLANK($AE196), "-",INDEX(Circuits!E:E,SUMPRODUCT(EXACT($AE196,Circuits!$A:$A)*ROW(Circuits!$A:$A))))</f>
        <v>-</v>
      </c>
      <c r="G196" s="183" t="str">
        <f t="array" ref="G196">IF(ISBLANK($AE196), "-",INDEX(Circuits!F:F,SUMPRODUCT(EXACT($AE196,Circuits!$A:$A)*ROW(Circuits!$A:$A))))</f>
        <v>-</v>
      </c>
      <c r="H196" s="183" t="str">
        <f t="array" ref="H196">IF(ISBLANK($AE196), "-",INDEX(Circuits!G:G,SUMPRODUCT(EXACT($AE196,Circuits!$A:$A)*ROW(Circuits!$A:$A))))</f>
        <v>-</v>
      </c>
      <c r="I196" s="183" t="str">
        <f t="array" ref="I196">IF(ISBLANK($AE196), "-",INDEX(Circuits!H:H,SUMPRODUCT(EXACT($AE196,Circuits!$A:$A)*ROW(Circuits!$A:$A))))</f>
        <v>-</v>
      </c>
      <c r="J196" s="183" t="str">
        <f t="array" ref="J196">IF(ISBLANK($AE196), "-",INDEX(Circuits!I:I,SUMPRODUCT(EXACT($AE196,Circuits!$A:$A)*ROW(Circuits!$A:$A))))</f>
        <v>-</v>
      </c>
      <c r="K196" s="183" t="str">
        <f t="array" ref="K196">IF(ISBLANK($AE196), "-",INDEX(Circuits!J:J,SUMPRODUCT(EXACT($AE196,Circuits!$A:$A)*ROW(Circuits!$A:$A))))</f>
        <v>-</v>
      </c>
      <c r="L196" s="183" t="str">
        <f t="array" ref="L196">IF(ISBLANK($AE196), "-",INDEX(Circuits!K:K,SUMPRODUCT(EXACT($AE196,Circuits!$A:$A)*ROW(Circuits!$A:$A))))</f>
        <v>-</v>
      </c>
      <c r="M196" s="183" t="str">
        <f t="array" ref="M196">IF(ISBLANK($AE196), "-",INDEX(Circuits!L:L,SUMPRODUCT(EXACT($AE196,Circuits!$A:$A)*ROW(Circuits!$A:$A))))</f>
        <v>-</v>
      </c>
      <c r="N196" s="183" t="str">
        <f t="array" ref="N196">IF(ISBLANK($AE196), "-",INDEX(Circuits!M:M,SUMPRODUCT(EXACT($AE196,Circuits!$A:$A)*ROW(Circuits!$A:$A))))</f>
        <v>-</v>
      </c>
      <c r="O196" s="183" t="str">
        <f t="array" ref="O196">IF(ISBLANK($AE196), "-",INDEX(Circuits!N:N,SUMPRODUCT(EXACT($AE196,Circuits!$A:$A)*ROW(Circuits!$A:$A))))</f>
        <v>-</v>
      </c>
      <c r="P196" s="183" t="str">
        <f t="array" ref="P196">IF(ISBLANK($AE196), "-",INDEX(Circuits!O:O,SUMPRODUCT(EXACT($AE196,Circuits!$A:$A)*ROW(Circuits!$A:$A))))</f>
        <v>-</v>
      </c>
      <c r="Q196" s="183" t="str">
        <f t="array" ref="Q196">IF(ISBLANK($AE196), "-",INDEX(Circuits!P:P,SUMPRODUCT(EXACT($AE196,Circuits!$A:$A)*ROW(Circuits!$A:$A))))</f>
        <v>-</v>
      </c>
      <c r="R196" s="183" t="str">
        <f t="array" ref="R196">IF(ISBLANK($AE196), "-",INDEX(Circuits!Q:Q,SUMPRODUCT(EXACT($AE196,Circuits!$A:$A)*ROW(Circuits!$A:$A))))</f>
        <v>-</v>
      </c>
      <c r="S196" s="183" t="str">
        <f t="array" ref="S196">IF(ISBLANK($AE196), "-",INDEX(Circuits!R:R,SUMPRODUCT(EXACT($AE196,Circuits!$A:$A)*ROW(Circuits!$A:$A))))</f>
        <v>-</v>
      </c>
      <c r="T196" s="183" t="str">
        <f t="array" ref="T196">IF(ISBLANK($AE196), "-",INDEX(Circuits!S:S,SUMPRODUCT(EXACT($AE196,Circuits!$A:$A)*ROW(Circuits!$A:$A))))</f>
        <v>-</v>
      </c>
      <c r="U196" s="183" t="str">
        <f t="array" ref="U196">IF(ISBLANK($AE196), "-",INDEX(Circuits!T:T,SUMPRODUCT(EXACT($AE196,Circuits!$A:$A)*ROW(Circuits!$A:$A))))</f>
        <v>-</v>
      </c>
      <c r="V196" s="183" t="str">
        <f t="array" ref="V196">IF(ISBLANK($AE196), "-",INDEX(Circuits!U:U,SUMPRODUCT(EXACT($AE196,Circuits!$A:$A)*ROW(Circuits!$A:$A))))</f>
        <v>-</v>
      </c>
      <c r="W196" s="183" t="str">
        <f t="array" ref="W196">IF(ISBLANK($AE196), "-",INDEX(Circuits!V:V,SUMPRODUCT(EXACT($AE196,Circuits!$A:$A)*ROW(Circuits!$A:$A))))</f>
        <v>-</v>
      </c>
      <c r="X196" s="183" t="str">
        <f t="array" ref="X196">IF(ISBLANK($AE196), "-",INDEX(Circuits!W:W,SUMPRODUCT(EXACT($AE196,Circuits!$A:$A)*ROW(Circuits!$A:$A))))</f>
        <v>-</v>
      </c>
      <c r="Y196" s="183" t="str">
        <f t="array" ref="Y196">IF(ISBLANK($AE196), "-",INDEX(Circuits!X:X,SUMPRODUCT(EXACT($AE196,Circuits!$A:$A)*ROW(Circuits!$A:$A))))</f>
        <v>-</v>
      </c>
      <c r="Z196" s="108" t="str">
        <f>IFERROR(__xludf.DUMMYFUNCTION("IFNA(CONCATENATE(UNIQUE(FILTER(Connections!R:R,Connections!A:A=B196))),""-"")"),"-")</f>
        <v>-</v>
      </c>
      <c r="AA196" s="119" t="str">
        <f t="array" ref="AA196">IF(ISBLANK($AE196), "-",INDEX(Circuits!Y:Y,SUMPRODUCT(EXACT($AE196,Circuits!$A:$A)*ROW(Circuits!$A:$A))))</f>
        <v>-</v>
      </c>
      <c r="AB196" s="121" t="str">
        <f t="array" ref="AB196">IF(ISBLANK($AE196), "-",INDEX(Circuits!Z:Z,SUMPRODUCT(EXACT($AE196,Circuits!$A:$A)*ROW(Circuits!$A:$A))))</f>
        <v>-</v>
      </c>
      <c r="AC196" s="194"/>
      <c r="AD196" s="194"/>
      <c r="AE196" s="45"/>
      <c r="AF196" s="43"/>
      <c r="AG196" s="126" t="str">
        <f>IFERROR(__xludf.DUMMYFUNCTION("IF(ISBLANK(AF196), """", TEXTJOIN(CHAR(10),TRUE,ARRAYFORMULA(IF(ISERROR(SEARCH(SPLIT(AF196, "";""), $Z196)), ""x"", ""-""))))"),"")</f>
        <v/>
      </c>
      <c r="AH196" s="127" t="str">
        <f>IFERROR(__xludf.DUMMYFUNCTION("IF(ISBLANK(AK196), """", TEXTJOIN("";"" &amp; CHAR(10), TRUE, UNIQUE(SPLIT(AK196, "";"" &amp; CHAR(10)), TRUE))&amp;"";"")"),"")</f>
        <v/>
      </c>
      <c r="AI196" s="128" t="str">
        <f>IFERROR(__xludf.DUMMYFUNCTION("IF(ISBLANK(AD196), IF(ISBLANK(AE196),,IFNA(TEXTJOIN("";"" &amp; CHAR(10), TRUE, FILTER(AE:AE, SEARCH(AE196&amp;"";"", AJ:AJ)))&amp;"";"", """")), TEXTJOIN("";"" &amp; CHAR(10), TRUE, UNIQUE(SPLIT(AH196 &amp; "";"" &amp; AH196 &amp; "";"" &amp; AL196, "";"" &amp; CHAR(10)), TRUE, TRUE))&amp;"";"&amp;""")"),"")</f>
        <v/>
      </c>
      <c r="AJ196" s="126" t="str">
        <f>IFERROR(__xludf.DUMMYFUNCTION("IF(AN196="""", """", TEXTJOIN("";"" &amp; CHAR(10), TRUE, UNIQUE(SPLIT(AH196 &amp; "";"" &amp; AH196 &amp; "";"" &amp; AN196, "";"" &amp; CHAR(10)), TRUE, TRUE))&amp;"";"")"),"")</f>
        <v/>
      </c>
      <c r="AK196" s="129" t="str">
        <f>IFERROR(__xludf.DUMMYFUNCTION("IF(ISBLANK(AD196), IF(ISBLANK(AE196),,AE196 &amp; "";""), TEXTJOIN(CHAR(10), TRUE, ARRAYFORMULA(VLOOKUP(SPLIT(AD196, "";"" &amp; CHAR(10)), $AC:$AH, 6, FALSE))))"),"")</f>
        <v/>
      </c>
      <c r="AL196" s="130" t="str">
        <f>IFERROR(__xludf.DUMMYFUNCTION("IF(AM196="""", """", TEXTJOIN("";"" &amp; CHAR(10), TRUE, UNIQUE(SPLIT(AM196, "";"" &amp; CHAR(10)), TRUE))&amp;"";"")"),"")</f>
        <v/>
      </c>
      <c r="AM196" s="130" t="str">
        <f>IFERROR(__xludf.DUMMYFUNCTION("IF(ISBLANK(AD196), """", TEXTJOIN(CHAR(10), TRUE, ARRAYFORMULA(VLOOKUP(SPLIT(AH196, "";"" &amp; CHAR(10)), $AE:$AI, 5, FALSE)), AF196))"),"")</f>
        <v/>
      </c>
      <c r="AN196" s="132" t="str">
        <f>IFERROR(__xludf.DUMMYFUNCTION("IF(ISBLANK(AO196), """", TEXTJOIN("";"" &amp; CHAR(10), TRUE, UNIQUE(SPLIT(AO196, "";"" &amp; CHAR(10)), TRUE))&amp;"";"")"),"")</f>
        <v/>
      </c>
      <c r="AO196" s="134" t="str">
        <f>IFERROR(__xludf.DUMMYFUNCTION("IF(ISBLANK(AD196), AF196, TEXTJOIN(CHAR(10), TRUE, ARRAYFORMULA(VLOOKUP(SPLIT(AD196, "";"" &amp; CHAR(10)), $AC:$AN, 12, FALSE))))"),"")</f>
        <v/>
      </c>
      <c r="AP196" s="130" t="str">
        <f>IF(ISBLANK(AE196),,IF(IFERROR(SEARCH(AE196&amp;";",Circuits!$AO$2),0),TRUE,FALSE))</f>
        <v/>
      </c>
      <c r="AQ196" s="130" t="str">
        <f t="shared" si="2"/>
        <v/>
      </c>
      <c r="AR196" s="130" t="str">
        <f t="shared" si="3"/>
        <v/>
      </c>
      <c r="AS196" s="136" t="str">
        <f>IFERROR(__xludf.DUMMYFUNCTION("IF(AH196="""",,SUM(ARRAYFORMULA(IF(IFERROR(SEARCH(SPLIT(AH196,CHAR(10)),Circuits!$AO$2),0)&gt;0,0,1))))"),"")</f>
        <v/>
      </c>
      <c r="AT196" s="138" t="str">
        <f t="shared" si="4"/>
        <v/>
      </c>
      <c r="AU196" s="138" t="str">
        <f t="shared" si="5"/>
        <v/>
      </c>
      <c r="AV196" s="130" t="str">
        <f>IFERROR(__xludf.DUMMYFUNCTION("IF(AI196="""",,TEXTJOIN("", "",TRUE,ARRAYFORMULA(VLOOKUP(SPLIT(AI196,"";""&amp;CHAR(10)),AE:AT,16,FALSE))))"),"")</f>
        <v/>
      </c>
      <c r="AW196" s="130" t="str">
        <f>IFERROR(__xludf.DUMMYFUNCTION("IF(ISBLANK(BK196),,TEXTJOIN("", "",TRUE,ARRAYFORMULA(VLOOKUP(IFERROR(REGEXEXTRACT(SPLIT(BK196,"";""&amp;CHAR(10)),""\[(.+)\]"")),AE:AT,16,false))))"),"")</f>
        <v/>
      </c>
      <c r="AX196" s="139" t="str">
        <f t="shared" si="6"/>
        <v/>
      </c>
      <c r="AY196" s="139" t="str">
        <f t="shared" si="7"/>
        <v/>
      </c>
      <c r="AZ196" s="106" t="str">
        <f>IFERROR(__xludf.DUMMYFUNCTION("IF(ISBLANK(AD196), BC196, TEXTJOIN(CHAR(10) &amp; CHAR(10), TRUE, ARRAYFORMULA(VLOOKUP(SPLIT(AD196, "";"" &amp; CHAR(10)), $AC:$AY, 23, FALSE))))"),"")</f>
        <v/>
      </c>
      <c r="BA196" s="140" t="s">
        <v>66</v>
      </c>
      <c r="BB196" s="190"/>
      <c r="BC196" s="196"/>
      <c r="BD196" s="106" t="str">
        <f>IFERROR(__xludf.DUMMYFUNCTION("IF(IFERROR(SEARCH(""&lt;&lt;mechanism to realize the capability&gt;&gt;"",BA196),0)=0,
 ""!! Error !! “Capability&amp;Mechanism” column: Invalid Separator:"" &amp; CHAR(10) &amp; ""Insert separator “&lt;&lt;mechanism to realize the capability&gt;&gt;.”"",
 IF(
  LEN(TRIM(CLEAN(
    INDEX(
 "&amp;"     SPLIT(BA196,""&lt;&lt;mechanism to realize the capability&gt;&gt;"",FALSE,FALSE),
      1
    )
  )))=0,
  ""!! Error !! “Capability&amp;Mechanism” column: No Capability:""  &amp; CHAR(10) &amp; ""Describe Capability before separator."",
  INDEX(
    SPLIT(BA196,""&lt;&lt;mechani"&amp;"sm to realize the capability&gt;&gt;"",FALSE,FALSE),
    1
  )
 )
)
"),"!! Error !! “Capability&amp;Mechanism” column: No Capability:
Describe Capability before separator.")</f>
        <v>!! Error !! “Capability&amp;Mechanism” column: No Capability:
Describe Capability before separator.</v>
      </c>
      <c r="BE196" s="190"/>
      <c r="BF196" s="195"/>
      <c r="BG196" s="42"/>
      <c r="BH196" s="190"/>
      <c r="BI196" s="196"/>
      <c r="BJ196" s="42"/>
      <c r="BK196" s="42"/>
      <c r="BL196" s="203"/>
      <c r="BM196" s="203"/>
      <c r="BN196" s="42"/>
      <c r="BO196" s="42"/>
      <c r="BP196" s="143"/>
      <c r="BQ196" s="143"/>
      <c r="BR196" s="192"/>
      <c r="BS196" s="192"/>
      <c r="BT196" s="192"/>
      <c r="BU196" s="192"/>
      <c r="BV196" s="192"/>
      <c r="BW196" s="192"/>
      <c r="BX196" s="146" t="str">
        <f t="shared" si="8"/>
        <v/>
      </c>
    </row>
    <row r="197">
      <c r="A197" s="106" t="str">
        <f t="shared" si="1"/>
        <v/>
      </c>
      <c r="B197" s="183" t="str">
        <f t="array" ref="B197">IF(ISBLANK($AE197), "-",INDEX(Circuits!A:A,SUMPRODUCT(EXACT($AE197,Circuits!$A:$A)*ROW(Circuits!$A:$A))))</f>
        <v>-</v>
      </c>
      <c r="C197" s="183" t="str">
        <f t="array" ref="C197">IF(ISBLANK($AE197), "-",INDEX(Circuits!B:B,SUMPRODUCT(EXACT($AE197,Circuits!$A:$A)*ROW(Circuits!$A:$A))))</f>
        <v>-</v>
      </c>
      <c r="D197" s="183" t="str">
        <f t="array" ref="D197">IF(ISBLANK($AE197), "-",INDEX(Circuits!C:C,SUMPRODUCT(EXACT($AE197,Circuits!$A:$A)*ROW(Circuits!$A:$A))))</f>
        <v>-</v>
      </c>
      <c r="E197" s="183" t="str">
        <f t="array" ref="E197">IF(ISBLANK($AE197), "-",INDEX(Circuits!D:D,SUMPRODUCT(EXACT($AE197,Circuits!$A:$A)*ROW(Circuits!$A:$A))))</f>
        <v>-</v>
      </c>
      <c r="F197" s="183" t="str">
        <f t="array" ref="F197">IF(ISBLANK($AE197), "-",INDEX(Circuits!E:E,SUMPRODUCT(EXACT($AE197,Circuits!$A:$A)*ROW(Circuits!$A:$A))))</f>
        <v>-</v>
      </c>
      <c r="G197" s="183" t="str">
        <f t="array" ref="G197">IF(ISBLANK($AE197), "-",INDEX(Circuits!F:F,SUMPRODUCT(EXACT($AE197,Circuits!$A:$A)*ROW(Circuits!$A:$A))))</f>
        <v>-</v>
      </c>
      <c r="H197" s="183" t="str">
        <f t="array" ref="H197">IF(ISBLANK($AE197), "-",INDEX(Circuits!G:G,SUMPRODUCT(EXACT($AE197,Circuits!$A:$A)*ROW(Circuits!$A:$A))))</f>
        <v>-</v>
      </c>
      <c r="I197" s="183" t="str">
        <f t="array" ref="I197">IF(ISBLANK($AE197), "-",INDEX(Circuits!H:H,SUMPRODUCT(EXACT($AE197,Circuits!$A:$A)*ROW(Circuits!$A:$A))))</f>
        <v>-</v>
      </c>
      <c r="J197" s="183" t="str">
        <f t="array" ref="J197">IF(ISBLANK($AE197), "-",INDEX(Circuits!I:I,SUMPRODUCT(EXACT($AE197,Circuits!$A:$A)*ROW(Circuits!$A:$A))))</f>
        <v>-</v>
      </c>
      <c r="K197" s="183" t="str">
        <f t="array" ref="K197">IF(ISBLANK($AE197), "-",INDEX(Circuits!J:J,SUMPRODUCT(EXACT($AE197,Circuits!$A:$A)*ROW(Circuits!$A:$A))))</f>
        <v>-</v>
      </c>
      <c r="L197" s="183" t="str">
        <f t="array" ref="L197">IF(ISBLANK($AE197), "-",INDEX(Circuits!K:K,SUMPRODUCT(EXACT($AE197,Circuits!$A:$A)*ROW(Circuits!$A:$A))))</f>
        <v>-</v>
      </c>
      <c r="M197" s="183" t="str">
        <f t="array" ref="M197">IF(ISBLANK($AE197), "-",INDEX(Circuits!L:L,SUMPRODUCT(EXACT($AE197,Circuits!$A:$A)*ROW(Circuits!$A:$A))))</f>
        <v>-</v>
      </c>
      <c r="N197" s="183" t="str">
        <f t="array" ref="N197">IF(ISBLANK($AE197), "-",INDEX(Circuits!M:M,SUMPRODUCT(EXACT($AE197,Circuits!$A:$A)*ROW(Circuits!$A:$A))))</f>
        <v>-</v>
      </c>
      <c r="O197" s="183" t="str">
        <f t="array" ref="O197">IF(ISBLANK($AE197), "-",INDEX(Circuits!N:N,SUMPRODUCT(EXACT($AE197,Circuits!$A:$A)*ROW(Circuits!$A:$A))))</f>
        <v>-</v>
      </c>
      <c r="P197" s="183" t="str">
        <f t="array" ref="P197">IF(ISBLANK($AE197), "-",INDEX(Circuits!O:O,SUMPRODUCT(EXACT($AE197,Circuits!$A:$A)*ROW(Circuits!$A:$A))))</f>
        <v>-</v>
      </c>
      <c r="Q197" s="183" t="str">
        <f t="array" ref="Q197">IF(ISBLANK($AE197), "-",INDEX(Circuits!P:P,SUMPRODUCT(EXACT($AE197,Circuits!$A:$A)*ROW(Circuits!$A:$A))))</f>
        <v>-</v>
      </c>
      <c r="R197" s="183" t="str">
        <f t="array" ref="R197">IF(ISBLANK($AE197), "-",INDEX(Circuits!Q:Q,SUMPRODUCT(EXACT($AE197,Circuits!$A:$A)*ROW(Circuits!$A:$A))))</f>
        <v>-</v>
      </c>
      <c r="S197" s="183" t="str">
        <f t="array" ref="S197">IF(ISBLANK($AE197), "-",INDEX(Circuits!R:R,SUMPRODUCT(EXACT($AE197,Circuits!$A:$A)*ROW(Circuits!$A:$A))))</f>
        <v>-</v>
      </c>
      <c r="T197" s="183" t="str">
        <f t="array" ref="T197">IF(ISBLANK($AE197), "-",INDEX(Circuits!S:S,SUMPRODUCT(EXACT($AE197,Circuits!$A:$A)*ROW(Circuits!$A:$A))))</f>
        <v>-</v>
      </c>
      <c r="U197" s="183" t="str">
        <f t="array" ref="U197">IF(ISBLANK($AE197), "-",INDEX(Circuits!T:T,SUMPRODUCT(EXACT($AE197,Circuits!$A:$A)*ROW(Circuits!$A:$A))))</f>
        <v>-</v>
      </c>
      <c r="V197" s="183" t="str">
        <f t="array" ref="V197">IF(ISBLANK($AE197), "-",INDEX(Circuits!U:U,SUMPRODUCT(EXACT($AE197,Circuits!$A:$A)*ROW(Circuits!$A:$A))))</f>
        <v>-</v>
      </c>
      <c r="W197" s="183" t="str">
        <f t="array" ref="W197">IF(ISBLANK($AE197), "-",INDEX(Circuits!V:V,SUMPRODUCT(EXACT($AE197,Circuits!$A:$A)*ROW(Circuits!$A:$A))))</f>
        <v>-</v>
      </c>
      <c r="X197" s="183" t="str">
        <f t="array" ref="X197">IF(ISBLANK($AE197), "-",INDEX(Circuits!W:W,SUMPRODUCT(EXACT($AE197,Circuits!$A:$A)*ROW(Circuits!$A:$A))))</f>
        <v>-</v>
      </c>
      <c r="Y197" s="183" t="str">
        <f t="array" ref="Y197">IF(ISBLANK($AE197), "-",INDEX(Circuits!X:X,SUMPRODUCT(EXACT($AE197,Circuits!$A:$A)*ROW(Circuits!$A:$A))))</f>
        <v>-</v>
      </c>
      <c r="Z197" s="108" t="str">
        <f>IFERROR(__xludf.DUMMYFUNCTION("IFNA(CONCATENATE(UNIQUE(FILTER(Connections!R:R,Connections!A:A=B197))),""-"")"),"-")</f>
        <v>-</v>
      </c>
      <c r="AA197" s="119" t="str">
        <f t="array" ref="AA197">IF(ISBLANK($AE197), "-",INDEX(Circuits!Y:Y,SUMPRODUCT(EXACT($AE197,Circuits!$A:$A)*ROW(Circuits!$A:$A))))</f>
        <v>-</v>
      </c>
      <c r="AB197" s="121" t="str">
        <f t="array" ref="AB197">IF(ISBLANK($AE197), "-",INDEX(Circuits!Z:Z,SUMPRODUCT(EXACT($AE197,Circuits!$A:$A)*ROW(Circuits!$A:$A))))</f>
        <v>-</v>
      </c>
      <c r="AC197" s="194"/>
      <c r="AD197" s="194"/>
      <c r="AE197" s="45"/>
      <c r="AF197" s="43"/>
      <c r="AG197" s="126" t="str">
        <f>IFERROR(__xludf.DUMMYFUNCTION("IF(ISBLANK(AF197), """", TEXTJOIN(CHAR(10),TRUE,ARRAYFORMULA(IF(ISERROR(SEARCH(SPLIT(AF197, "";""), $Z197)), ""x"", ""-""))))"),"")</f>
        <v/>
      </c>
      <c r="AH197" s="127" t="str">
        <f>IFERROR(__xludf.DUMMYFUNCTION("IF(ISBLANK(AK197), """", TEXTJOIN("";"" &amp; CHAR(10), TRUE, UNIQUE(SPLIT(AK197, "";"" &amp; CHAR(10)), TRUE))&amp;"";"")"),"")</f>
        <v/>
      </c>
      <c r="AI197" s="128" t="str">
        <f>IFERROR(__xludf.DUMMYFUNCTION("IF(ISBLANK(AD197), IF(ISBLANK(AE197),,IFNA(TEXTJOIN("";"" &amp; CHAR(10), TRUE, FILTER(AE:AE, SEARCH(AE197&amp;"";"", AJ:AJ)))&amp;"";"", """")), TEXTJOIN("";"" &amp; CHAR(10), TRUE, UNIQUE(SPLIT(AH197 &amp; "";"" &amp; AH197 &amp; "";"" &amp; AL197, "";"" &amp; CHAR(10)), TRUE, TRUE))&amp;"";"&amp;""")"),"")</f>
        <v/>
      </c>
      <c r="AJ197" s="126" t="str">
        <f>IFERROR(__xludf.DUMMYFUNCTION("IF(AN197="""", """", TEXTJOIN("";"" &amp; CHAR(10), TRUE, UNIQUE(SPLIT(AH197 &amp; "";"" &amp; AH197 &amp; "";"" &amp; AN197, "";"" &amp; CHAR(10)), TRUE, TRUE))&amp;"";"")"),"")</f>
        <v/>
      </c>
      <c r="AK197" s="129" t="str">
        <f>IFERROR(__xludf.DUMMYFUNCTION("IF(ISBLANK(AD197), IF(ISBLANK(AE197),,AE197 &amp; "";""), TEXTJOIN(CHAR(10), TRUE, ARRAYFORMULA(VLOOKUP(SPLIT(AD197, "";"" &amp; CHAR(10)), $AC:$AH, 6, FALSE))))"),"")</f>
        <v/>
      </c>
      <c r="AL197" s="130" t="str">
        <f>IFERROR(__xludf.DUMMYFUNCTION("IF(AM197="""", """", TEXTJOIN("";"" &amp; CHAR(10), TRUE, UNIQUE(SPLIT(AM197, "";"" &amp; CHAR(10)), TRUE))&amp;"";"")"),"")</f>
        <v/>
      </c>
      <c r="AM197" s="130" t="str">
        <f>IFERROR(__xludf.DUMMYFUNCTION("IF(ISBLANK(AD197), """", TEXTJOIN(CHAR(10), TRUE, ARRAYFORMULA(VLOOKUP(SPLIT(AH197, "";"" &amp; CHAR(10)), $AE:$AI, 5, FALSE)), AF197))"),"")</f>
        <v/>
      </c>
      <c r="AN197" s="132" t="str">
        <f>IFERROR(__xludf.DUMMYFUNCTION("IF(ISBLANK(AO197), """", TEXTJOIN("";"" &amp; CHAR(10), TRUE, UNIQUE(SPLIT(AO197, "";"" &amp; CHAR(10)), TRUE))&amp;"";"")"),"")</f>
        <v/>
      </c>
      <c r="AO197" s="134" t="str">
        <f>IFERROR(__xludf.DUMMYFUNCTION("IF(ISBLANK(AD197), AF197, TEXTJOIN(CHAR(10), TRUE, ARRAYFORMULA(VLOOKUP(SPLIT(AD197, "";"" &amp; CHAR(10)), $AC:$AN, 12, FALSE))))"),"")</f>
        <v/>
      </c>
      <c r="AP197" s="130" t="str">
        <f>IF(ISBLANK(AE197),,IF(IFERROR(SEARCH(AE197&amp;";",Circuits!$AO$2),0),TRUE,FALSE))</f>
        <v/>
      </c>
      <c r="AQ197" s="130" t="str">
        <f t="shared" si="2"/>
        <v/>
      </c>
      <c r="AR197" s="130" t="str">
        <f t="shared" si="3"/>
        <v/>
      </c>
      <c r="AS197" s="136" t="str">
        <f>IFERROR(__xludf.DUMMYFUNCTION("IF(AH197="""",,SUM(ARRAYFORMULA(IF(IFERROR(SEARCH(SPLIT(AH197,CHAR(10)),Circuits!$AO$2),0)&gt;0,0,1))))"),"")</f>
        <v/>
      </c>
      <c r="AT197" s="138" t="str">
        <f t="shared" si="4"/>
        <v/>
      </c>
      <c r="AU197" s="138" t="str">
        <f t="shared" si="5"/>
        <v/>
      </c>
      <c r="AV197" s="130" t="str">
        <f>IFERROR(__xludf.DUMMYFUNCTION("IF(AI197="""",,TEXTJOIN("", "",TRUE,ARRAYFORMULA(VLOOKUP(SPLIT(AI197,"";""&amp;CHAR(10)),AE:AT,16,FALSE))))"),"")</f>
        <v/>
      </c>
      <c r="AW197" s="130" t="str">
        <f>IFERROR(__xludf.DUMMYFUNCTION("IF(ISBLANK(BK197),,TEXTJOIN("", "",TRUE,ARRAYFORMULA(VLOOKUP(IFERROR(REGEXEXTRACT(SPLIT(BK197,"";""&amp;CHAR(10)),""\[(.+)\]"")),AE:AT,16,false))))"),"")</f>
        <v/>
      </c>
      <c r="AX197" s="139" t="str">
        <f t="shared" si="6"/>
        <v/>
      </c>
      <c r="AY197" s="139" t="str">
        <f t="shared" si="7"/>
        <v/>
      </c>
      <c r="AZ197" s="106" t="str">
        <f>IFERROR(__xludf.DUMMYFUNCTION("IF(ISBLANK(AD197), BC197, TEXTJOIN(CHAR(10) &amp; CHAR(10), TRUE, ARRAYFORMULA(VLOOKUP(SPLIT(AD197, "";"" &amp; CHAR(10)), $AC:$AY, 23, FALSE))))"),"")</f>
        <v/>
      </c>
      <c r="BA197" s="140" t="s">
        <v>66</v>
      </c>
      <c r="BB197" s="190"/>
      <c r="BC197" s="196"/>
      <c r="BD197" s="106" t="str">
        <f>IFERROR(__xludf.DUMMYFUNCTION("IF(IFERROR(SEARCH(""&lt;&lt;mechanism to realize the capability&gt;&gt;"",BA197),0)=0,
 ""!! Error !! “Capability&amp;Mechanism” column: Invalid Separator:"" &amp; CHAR(10) &amp; ""Insert separator “&lt;&lt;mechanism to realize the capability&gt;&gt;.”"",
 IF(
  LEN(TRIM(CLEAN(
    INDEX(
 "&amp;"     SPLIT(BA197,""&lt;&lt;mechanism to realize the capability&gt;&gt;"",FALSE,FALSE),
      1
    )
  )))=0,
  ""!! Error !! “Capability&amp;Mechanism” column: No Capability:""  &amp; CHAR(10) &amp; ""Describe Capability before separator."",
  INDEX(
    SPLIT(BA197,""&lt;&lt;mechani"&amp;"sm to realize the capability&gt;&gt;"",FALSE,FALSE),
    1
  )
 )
)
"),"!! Error !! “Capability&amp;Mechanism” column: No Capability:
Describe Capability before separator.")</f>
        <v>!! Error !! “Capability&amp;Mechanism” column: No Capability:
Describe Capability before separator.</v>
      </c>
      <c r="BE197" s="190"/>
      <c r="BF197" s="195"/>
      <c r="BG197" s="42"/>
      <c r="BH197" s="190"/>
      <c r="BI197" s="196"/>
      <c r="BJ197" s="42"/>
      <c r="BK197" s="42"/>
      <c r="BL197" s="203"/>
      <c r="BM197" s="203"/>
      <c r="BN197" s="42"/>
      <c r="BO197" s="42"/>
      <c r="BP197" s="143"/>
      <c r="BQ197" s="143"/>
      <c r="BR197" s="192"/>
      <c r="BS197" s="192"/>
      <c r="BT197" s="192"/>
      <c r="BU197" s="192"/>
      <c r="BV197" s="192"/>
      <c r="BW197" s="192"/>
      <c r="BX197" s="146" t="str">
        <f t="shared" si="8"/>
        <v/>
      </c>
    </row>
    <row r="198">
      <c r="A198" s="106" t="str">
        <f t="shared" si="1"/>
        <v/>
      </c>
      <c r="B198" s="183" t="str">
        <f t="array" ref="B198">IF(ISBLANK($AE198), "-",INDEX(Circuits!A:A,SUMPRODUCT(EXACT($AE198,Circuits!$A:$A)*ROW(Circuits!$A:$A))))</f>
        <v>-</v>
      </c>
      <c r="C198" s="183" t="str">
        <f t="array" ref="C198">IF(ISBLANK($AE198), "-",INDEX(Circuits!B:B,SUMPRODUCT(EXACT($AE198,Circuits!$A:$A)*ROW(Circuits!$A:$A))))</f>
        <v>-</v>
      </c>
      <c r="D198" s="183" t="str">
        <f t="array" ref="D198">IF(ISBLANK($AE198), "-",INDEX(Circuits!C:C,SUMPRODUCT(EXACT($AE198,Circuits!$A:$A)*ROW(Circuits!$A:$A))))</f>
        <v>-</v>
      </c>
      <c r="E198" s="183" t="str">
        <f t="array" ref="E198">IF(ISBLANK($AE198), "-",INDEX(Circuits!D:D,SUMPRODUCT(EXACT($AE198,Circuits!$A:$A)*ROW(Circuits!$A:$A))))</f>
        <v>-</v>
      </c>
      <c r="F198" s="183" t="str">
        <f t="array" ref="F198">IF(ISBLANK($AE198), "-",INDEX(Circuits!E:E,SUMPRODUCT(EXACT($AE198,Circuits!$A:$A)*ROW(Circuits!$A:$A))))</f>
        <v>-</v>
      </c>
      <c r="G198" s="183" t="str">
        <f t="array" ref="G198">IF(ISBLANK($AE198), "-",INDEX(Circuits!F:F,SUMPRODUCT(EXACT($AE198,Circuits!$A:$A)*ROW(Circuits!$A:$A))))</f>
        <v>-</v>
      </c>
      <c r="H198" s="183" t="str">
        <f t="array" ref="H198">IF(ISBLANK($AE198), "-",INDEX(Circuits!G:G,SUMPRODUCT(EXACT($AE198,Circuits!$A:$A)*ROW(Circuits!$A:$A))))</f>
        <v>-</v>
      </c>
      <c r="I198" s="183" t="str">
        <f t="array" ref="I198">IF(ISBLANK($AE198), "-",INDEX(Circuits!H:H,SUMPRODUCT(EXACT($AE198,Circuits!$A:$A)*ROW(Circuits!$A:$A))))</f>
        <v>-</v>
      </c>
      <c r="J198" s="183" t="str">
        <f t="array" ref="J198">IF(ISBLANK($AE198), "-",INDEX(Circuits!I:I,SUMPRODUCT(EXACT($AE198,Circuits!$A:$A)*ROW(Circuits!$A:$A))))</f>
        <v>-</v>
      </c>
      <c r="K198" s="183" t="str">
        <f t="array" ref="K198">IF(ISBLANK($AE198), "-",INDEX(Circuits!J:J,SUMPRODUCT(EXACT($AE198,Circuits!$A:$A)*ROW(Circuits!$A:$A))))</f>
        <v>-</v>
      </c>
      <c r="L198" s="183" t="str">
        <f t="array" ref="L198">IF(ISBLANK($AE198), "-",INDEX(Circuits!K:K,SUMPRODUCT(EXACT($AE198,Circuits!$A:$A)*ROW(Circuits!$A:$A))))</f>
        <v>-</v>
      </c>
      <c r="M198" s="183" t="str">
        <f t="array" ref="M198">IF(ISBLANK($AE198), "-",INDEX(Circuits!L:L,SUMPRODUCT(EXACT($AE198,Circuits!$A:$A)*ROW(Circuits!$A:$A))))</f>
        <v>-</v>
      </c>
      <c r="N198" s="183" t="str">
        <f t="array" ref="N198">IF(ISBLANK($AE198), "-",INDEX(Circuits!M:M,SUMPRODUCT(EXACT($AE198,Circuits!$A:$A)*ROW(Circuits!$A:$A))))</f>
        <v>-</v>
      </c>
      <c r="O198" s="183" t="str">
        <f t="array" ref="O198">IF(ISBLANK($AE198), "-",INDEX(Circuits!N:N,SUMPRODUCT(EXACT($AE198,Circuits!$A:$A)*ROW(Circuits!$A:$A))))</f>
        <v>-</v>
      </c>
      <c r="P198" s="183" t="str">
        <f t="array" ref="P198">IF(ISBLANK($AE198), "-",INDEX(Circuits!O:O,SUMPRODUCT(EXACT($AE198,Circuits!$A:$A)*ROW(Circuits!$A:$A))))</f>
        <v>-</v>
      </c>
      <c r="Q198" s="183" t="str">
        <f t="array" ref="Q198">IF(ISBLANK($AE198), "-",INDEX(Circuits!P:P,SUMPRODUCT(EXACT($AE198,Circuits!$A:$A)*ROW(Circuits!$A:$A))))</f>
        <v>-</v>
      </c>
      <c r="R198" s="183" t="str">
        <f t="array" ref="R198">IF(ISBLANK($AE198), "-",INDEX(Circuits!Q:Q,SUMPRODUCT(EXACT($AE198,Circuits!$A:$A)*ROW(Circuits!$A:$A))))</f>
        <v>-</v>
      </c>
      <c r="S198" s="183" t="str">
        <f t="array" ref="S198">IF(ISBLANK($AE198), "-",INDEX(Circuits!R:R,SUMPRODUCT(EXACT($AE198,Circuits!$A:$A)*ROW(Circuits!$A:$A))))</f>
        <v>-</v>
      </c>
      <c r="T198" s="183" t="str">
        <f t="array" ref="T198">IF(ISBLANK($AE198), "-",INDEX(Circuits!S:S,SUMPRODUCT(EXACT($AE198,Circuits!$A:$A)*ROW(Circuits!$A:$A))))</f>
        <v>-</v>
      </c>
      <c r="U198" s="183" t="str">
        <f t="array" ref="U198">IF(ISBLANK($AE198), "-",INDEX(Circuits!T:T,SUMPRODUCT(EXACT($AE198,Circuits!$A:$A)*ROW(Circuits!$A:$A))))</f>
        <v>-</v>
      </c>
      <c r="V198" s="183" t="str">
        <f t="array" ref="V198">IF(ISBLANK($AE198), "-",INDEX(Circuits!U:U,SUMPRODUCT(EXACT($AE198,Circuits!$A:$A)*ROW(Circuits!$A:$A))))</f>
        <v>-</v>
      </c>
      <c r="W198" s="183" t="str">
        <f t="array" ref="W198">IF(ISBLANK($AE198), "-",INDEX(Circuits!V:V,SUMPRODUCT(EXACT($AE198,Circuits!$A:$A)*ROW(Circuits!$A:$A))))</f>
        <v>-</v>
      </c>
      <c r="X198" s="183" t="str">
        <f t="array" ref="X198">IF(ISBLANK($AE198), "-",INDEX(Circuits!W:W,SUMPRODUCT(EXACT($AE198,Circuits!$A:$A)*ROW(Circuits!$A:$A))))</f>
        <v>-</v>
      </c>
      <c r="Y198" s="183" t="str">
        <f t="array" ref="Y198">IF(ISBLANK($AE198), "-",INDEX(Circuits!X:X,SUMPRODUCT(EXACT($AE198,Circuits!$A:$A)*ROW(Circuits!$A:$A))))</f>
        <v>-</v>
      </c>
      <c r="Z198" s="108" t="str">
        <f>IFERROR(__xludf.DUMMYFUNCTION("IFNA(CONCATENATE(UNIQUE(FILTER(Connections!R:R,Connections!A:A=B198))),""-"")"),"-")</f>
        <v>-</v>
      </c>
      <c r="AA198" s="119" t="str">
        <f t="array" ref="AA198">IF(ISBLANK($AE198), "-",INDEX(Circuits!Y:Y,SUMPRODUCT(EXACT($AE198,Circuits!$A:$A)*ROW(Circuits!$A:$A))))</f>
        <v>-</v>
      </c>
      <c r="AB198" s="121" t="str">
        <f t="array" ref="AB198">IF(ISBLANK($AE198), "-",INDEX(Circuits!Z:Z,SUMPRODUCT(EXACT($AE198,Circuits!$A:$A)*ROW(Circuits!$A:$A))))</f>
        <v>-</v>
      </c>
      <c r="AC198" s="194"/>
      <c r="AD198" s="194"/>
      <c r="AE198" s="45"/>
      <c r="AF198" s="43"/>
      <c r="AG198" s="126" t="str">
        <f>IFERROR(__xludf.DUMMYFUNCTION("IF(ISBLANK(AF198), """", TEXTJOIN(CHAR(10),TRUE,ARRAYFORMULA(IF(ISERROR(SEARCH(SPLIT(AF198, "";""), $Z198)), ""x"", ""-""))))"),"")</f>
        <v/>
      </c>
      <c r="AH198" s="127" t="str">
        <f>IFERROR(__xludf.DUMMYFUNCTION("IF(ISBLANK(AK198), """", TEXTJOIN("";"" &amp; CHAR(10), TRUE, UNIQUE(SPLIT(AK198, "";"" &amp; CHAR(10)), TRUE))&amp;"";"")"),"")</f>
        <v/>
      </c>
      <c r="AI198" s="128" t="str">
        <f>IFERROR(__xludf.DUMMYFUNCTION("IF(ISBLANK(AD198), IF(ISBLANK(AE198),,IFNA(TEXTJOIN("";"" &amp; CHAR(10), TRUE, FILTER(AE:AE, SEARCH(AE198&amp;"";"", AJ:AJ)))&amp;"";"", """")), TEXTJOIN("";"" &amp; CHAR(10), TRUE, UNIQUE(SPLIT(AH198 &amp; "";"" &amp; AH198 &amp; "";"" &amp; AL198, "";"" &amp; CHAR(10)), TRUE, TRUE))&amp;"";"&amp;""")"),"")</f>
        <v/>
      </c>
      <c r="AJ198" s="126" t="str">
        <f>IFERROR(__xludf.DUMMYFUNCTION("IF(AN198="""", """", TEXTJOIN("";"" &amp; CHAR(10), TRUE, UNIQUE(SPLIT(AH198 &amp; "";"" &amp; AH198 &amp; "";"" &amp; AN198, "";"" &amp; CHAR(10)), TRUE, TRUE))&amp;"";"")"),"")</f>
        <v/>
      </c>
      <c r="AK198" s="129" t="str">
        <f>IFERROR(__xludf.DUMMYFUNCTION("IF(ISBLANK(AD198), IF(ISBLANK(AE198),,AE198 &amp; "";""), TEXTJOIN(CHAR(10), TRUE, ARRAYFORMULA(VLOOKUP(SPLIT(AD198, "";"" &amp; CHAR(10)), $AC:$AH, 6, FALSE))))"),"")</f>
        <v/>
      </c>
      <c r="AL198" s="130" t="str">
        <f>IFERROR(__xludf.DUMMYFUNCTION("IF(AM198="""", """", TEXTJOIN("";"" &amp; CHAR(10), TRUE, UNIQUE(SPLIT(AM198, "";"" &amp; CHAR(10)), TRUE))&amp;"";"")"),"")</f>
        <v/>
      </c>
      <c r="AM198" s="130" t="str">
        <f>IFERROR(__xludf.DUMMYFUNCTION("IF(ISBLANK(AD198), """", TEXTJOIN(CHAR(10), TRUE, ARRAYFORMULA(VLOOKUP(SPLIT(AH198, "";"" &amp; CHAR(10)), $AE:$AI, 5, FALSE)), AF198))"),"")</f>
        <v/>
      </c>
      <c r="AN198" s="132" t="str">
        <f>IFERROR(__xludf.DUMMYFUNCTION("IF(ISBLANK(AO198), """", TEXTJOIN("";"" &amp; CHAR(10), TRUE, UNIQUE(SPLIT(AO198, "";"" &amp; CHAR(10)), TRUE))&amp;"";"")"),"")</f>
        <v/>
      </c>
      <c r="AO198" s="134" t="str">
        <f>IFERROR(__xludf.DUMMYFUNCTION("IF(ISBLANK(AD198), AF198, TEXTJOIN(CHAR(10), TRUE, ARRAYFORMULA(VLOOKUP(SPLIT(AD198, "";"" &amp; CHAR(10)), $AC:$AN, 12, FALSE))))"),"")</f>
        <v/>
      </c>
      <c r="AP198" s="130" t="str">
        <f>IF(ISBLANK(AE198),,IF(IFERROR(SEARCH(AE198&amp;";",Circuits!$AO$2),0),TRUE,FALSE))</f>
        <v/>
      </c>
      <c r="AQ198" s="130" t="str">
        <f t="shared" si="2"/>
        <v/>
      </c>
      <c r="AR198" s="130" t="str">
        <f t="shared" si="3"/>
        <v/>
      </c>
      <c r="AS198" s="136" t="str">
        <f>IFERROR(__xludf.DUMMYFUNCTION("IF(AH198="""",,SUM(ARRAYFORMULA(IF(IFERROR(SEARCH(SPLIT(AH198,CHAR(10)),Circuits!$AO$2),0)&gt;0,0,1))))"),"")</f>
        <v/>
      </c>
      <c r="AT198" s="138" t="str">
        <f t="shared" si="4"/>
        <v/>
      </c>
      <c r="AU198" s="138" t="str">
        <f t="shared" si="5"/>
        <v/>
      </c>
      <c r="AV198" s="130" t="str">
        <f>IFERROR(__xludf.DUMMYFUNCTION("IF(AI198="""",,TEXTJOIN("", "",TRUE,ARRAYFORMULA(VLOOKUP(SPLIT(AI198,"";""&amp;CHAR(10)),AE:AT,16,FALSE))))"),"")</f>
        <v/>
      </c>
      <c r="AW198" s="130" t="str">
        <f>IFERROR(__xludf.DUMMYFUNCTION("IF(ISBLANK(BK198),,TEXTJOIN("", "",TRUE,ARRAYFORMULA(VLOOKUP(IFERROR(REGEXEXTRACT(SPLIT(BK198,"";""&amp;CHAR(10)),""\[(.+)\]"")),AE:AT,16,false))))"),"")</f>
        <v/>
      </c>
      <c r="AX198" s="139" t="str">
        <f t="shared" si="6"/>
        <v/>
      </c>
      <c r="AY198" s="139" t="str">
        <f t="shared" si="7"/>
        <v/>
      </c>
      <c r="AZ198" s="106" t="str">
        <f>IFERROR(__xludf.DUMMYFUNCTION("IF(ISBLANK(AD198), BC198, TEXTJOIN(CHAR(10) &amp; CHAR(10), TRUE, ARRAYFORMULA(VLOOKUP(SPLIT(AD198, "";"" &amp; CHAR(10)), $AC:$AY, 23, FALSE))))"),"")</f>
        <v/>
      </c>
      <c r="BA198" s="140" t="s">
        <v>66</v>
      </c>
      <c r="BB198" s="190"/>
      <c r="BC198" s="196"/>
      <c r="BD198" s="106" t="str">
        <f>IFERROR(__xludf.DUMMYFUNCTION("IF(IFERROR(SEARCH(""&lt;&lt;mechanism to realize the capability&gt;&gt;"",BA198),0)=0,
 ""!! Error !! “Capability&amp;Mechanism” column: Invalid Separator:"" &amp; CHAR(10) &amp; ""Insert separator “&lt;&lt;mechanism to realize the capability&gt;&gt;.”"",
 IF(
  LEN(TRIM(CLEAN(
    INDEX(
 "&amp;"     SPLIT(BA198,""&lt;&lt;mechanism to realize the capability&gt;&gt;"",FALSE,FALSE),
      1
    )
  )))=0,
  ""!! Error !! “Capability&amp;Mechanism” column: No Capability:""  &amp; CHAR(10) &amp; ""Describe Capability before separator."",
  INDEX(
    SPLIT(BA198,""&lt;&lt;mechani"&amp;"sm to realize the capability&gt;&gt;"",FALSE,FALSE),
    1
  )
 )
)
"),"!! Error !! “Capability&amp;Mechanism” column: No Capability:
Describe Capability before separator.")</f>
        <v>!! Error !! “Capability&amp;Mechanism” column: No Capability:
Describe Capability before separator.</v>
      </c>
      <c r="BE198" s="190"/>
      <c r="BF198" s="195"/>
      <c r="BG198" s="42"/>
      <c r="BH198" s="190"/>
      <c r="BI198" s="196"/>
      <c r="BJ198" s="42"/>
      <c r="BK198" s="42"/>
      <c r="BL198" s="203"/>
      <c r="BM198" s="203"/>
      <c r="BN198" s="42"/>
      <c r="BO198" s="42"/>
      <c r="BP198" s="143"/>
      <c r="BQ198" s="143"/>
      <c r="BR198" s="192"/>
      <c r="BS198" s="192"/>
      <c r="BT198" s="192"/>
      <c r="BU198" s="192"/>
      <c r="BV198" s="192"/>
      <c r="BW198" s="192"/>
      <c r="BX198" s="146" t="str">
        <f t="shared" si="8"/>
        <v/>
      </c>
    </row>
  </sheetData>
  <customSheetViews>
    <customSheetView guid="{3E088E2B-C53F-4771-9549-36E2E6ED4CF1}" filter="1" showAutoFilter="1">
      <autoFilter ref="$A$1:$BX$198">
        <filterColumn colId="31">
          <filters/>
        </filterColumn>
      </autoFilter>
    </customSheetView>
    <customSheetView guid="{684C8613-A990-465D-8BA3-F1A3BAB3C46A}" filter="1" showAutoFilter="1">
      <autoFilter ref="$BM$1:$BM$198">
        <filterColumn colId="0">
          <filters/>
        </filterColumn>
      </autoFilter>
    </customSheetView>
    <customSheetView guid="{6A346567-8EF9-453A-A34D-612935F97A7A}" filter="1" showAutoFilter="1">
      <autoFilter ref="$B$1:$BM$1">
        <filterColumn colId="63">
          <filters/>
        </filterColumn>
      </autoFilter>
    </customSheetView>
  </customSheetViews>
  <conditionalFormatting sqref="A1:M1 Q1:AB1 AE1">
    <cfRule type="colorScale" priority="1">
      <colorScale>
        <cfvo type="min"/>
        <cfvo type="max"/>
        <color rgb="FF57BB8A"/>
        <color rgb="FFFFFFFF"/>
      </colorScale>
    </cfRule>
  </conditionalFormatting>
  <dataValidations>
    <dataValidation type="list" allowBlank="1" sqref="AE2:AE198">
      <formula1>Circuits!$A:$A</formula1>
    </dataValidation>
    <dataValidation type="custom" allowBlank="1" showDropDown="1" showInputMessage="1" showErrorMessage="1" prompt="数式 =ISBLANK($AD2) を満たす値を入力してください" sqref="BC2:BC198">
      <formula1>ISBLANK($AD2)</formula1>
    </dataValidation>
    <dataValidation type="custom" allowBlank="1" showDropDown="1" sqref="BW2:BW198">
      <formula1>OR(NOT(ISERROR(DATEVALUE(BW2))), AND(ISNUMBER(BW2), LEFT(CELL("format", BW2))="D"))</formula1>
    </dataValidation>
    <dataValidation type="list" allowBlank="1" sqref="BR2:BS198">
      <formula1>AdminOnly!$AG:$AG</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8.0"/>
  </cols>
  <sheetData>
    <row r="1">
      <c r="A1" s="206" t="s">
        <v>67</v>
      </c>
    </row>
    <row r="3">
      <c r="A3" s="207" t="s">
        <v>68</v>
      </c>
      <c r="B3" s="208" t="s">
        <v>69</v>
      </c>
      <c r="C3" s="209" t="str">
        <f>myFRGUrl()</f>
        <v>https://docs.google.com/spreadsheets/d/1l3pDJaEAmQWwdQi0rcSETjBqeL1Q4AmMtEug90yJ1Fg/edit?gid=603839439#gid=603839439</v>
      </c>
      <c r="D3" s="210"/>
      <c r="E3" s="210"/>
      <c r="F3" s="210"/>
      <c r="G3" s="210"/>
      <c r="H3" s="210"/>
      <c r="I3" s="210"/>
      <c r="J3" s="210"/>
      <c r="K3" s="211"/>
    </row>
    <row r="4">
      <c r="A4" s="212"/>
      <c r="B4" s="208" t="s">
        <v>70</v>
      </c>
      <c r="C4" s="213" t="s">
        <v>71</v>
      </c>
      <c r="D4" s="210"/>
      <c r="E4" s="210"/>
      <c r="F4" s="210"/>
      <c r="G4" s="210"/>
      <c r="H4" s="210"/>
      <c r="I4" s="210"/>
      <c r="J4" s="210"/>
      <c r="K4" s="211"/>
    </row>
    <row r="7">
      <c r="B7" s="17"/>
    </row>
  </sheetData>
  <mergeCells count="1">
    <mergeCell ref="A3:A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9.75"/>
  </cols>
  <sheetData>
    <row r="1">
      <c r="A1" s="214" t="s">
        <v>72</v>
      </c>
    </row>
    <row r="2">
      <c r="A2" s="11" t="s">
        <v>73</v>
      </c>
    </row>
    <row r="3">
      <c r="A3" s="215" t="s">
        <v>74</v>
      </c>
    </row>
    <row r="6">
      <c r="A6" s="214" t="s">
        <v>75</v>
      </c>
    </row>
    <row r="7">
      <c r="A7" s="11" t="s">
        <v>76</v>
      </c>
    </row>
    <row r="8">
      <c r="A8" s="216" t="s">
        <v>77</v>
      </c>
    </row>
  </sheetData>
  <hyperlinks>
    <hyperlink r:id="rId1" location="gid=906811205" ref="A3"/>
    <hyperlink r:id="rId2" ref="A8"/>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3" max="24" width="26.88"/>
    <col customWidth="1" min="26" max="26" width="13.5"/>
    <col customWidth="1" min="30" max="33" width="23.63"/>
  </cols>
  <sheetData>
    <row r="1">
      <c r="A1" s="217" t="str">
        <f>IFERROR(__xludf.DUMMYFUNCTION("IMPORTRANGE(Settings!$A$2,""Journals!A1:C50"")"),"Journal names")</f>
        <v>Journal names</v>
      </c>
      <c r="B1" s="218" t="str">
        <f>IFERROR(__xludf.DUMMYFUNCTION("""COMPUTED_VALUE"""),"Contribution rate")</f>
        <v>Contribution rate</v>
      </c>
      <c r="C1" s="218"/>
      <c r="E1" s="217" t="str">
        <f>IFERROR(__xludf.DUMMYFUNCTION("IMPORTRANGE(Settings!$A$2,""Lit.Types!A1:C50"")"),"Literature type")</f>
        <v>Literature type</v>
      </c>
      <c r="F1" s="218" t="str">
        <f>IFERROR(__xludf.DUMMYFUNCTION("""COMPUTED_VALUE"""),"Contribution rate")</f>
        <v>Contribution rate</v>
      </c>
      <c r="G1" s="218"/>
      <c r="H1" s="217" t="str">
        <f>IFERROR(__xludf.DUMMYFUNCTION("IMPORTRANGE(Settings!$A$2,""Taxa!A1:E50"")"),"Common Name")</f>
        <v>Common Name</v>
      </c>
      <c r="I1" s="218" t="str">
        <f>IFERROR(__xludf.DUMMYFUNCTION("""COMPUTED_VALUE"""),"NCBI:txid")</f>
        <v>NCBI:txid</v>
      </c>
      <c r="J1" s="218" t="str">
        <f>IFERROR(__xludf.DUMMYFUNCTION("""COMPUTED_VALUE"""),"Name")</f>
        <v>Name</v>
      </c>
      <c r="K1" s="218" t="str">
        <f>IFERROR(__xludf.DUMMYFUNCTION("""COMPUTED_VALUE"""),"Contribution rate")</f>
        <v>Contribution rate</v>
      </c>
      <c r="L1" s="218"/>
      <c r="M1" s="217" t="str">
        <f>IFERROR(__xludf.DUMMYFUNCTION("IMPORTRANGE(Settings!$A$2,""Methods!A1:C50"")"),"Measurement method")</f>
        <v>Measurement method</v>
      </c>
      <c r="N1" s="218" t="str">
        <f>IFERROR(__xludf.DUMMYFUNCTION("""COMPUTED_VALUE"""),"Contribution rate")</f>
        <v>Contribution rate</v>
      </c>
      <c r="O1" s="218"/>
      <c r="P1" s="218" t="str">
        <f>IFERROR(__xludf.DUMMYFUNCTION("IMPORTRANGE(Settings!$A$2,""Transmitter!A1:A10"")"),"Transmitter")</f>
        <v>Transmitter</v>
      </c>
      <c r="R1" s="218" t="str">
        <f>IFERROR(__xludf.DUMMYFUNCTION("IMPORTRANGE(Settings!$A$2,""Modulation Type!A1:A10"")"),"Modulation Type")</f>
        <v>Modulation Type</v>
      </c>
      <c r="T1" s="218" t="str">
        <f>IFERROR(__xludf.DUMMYFUNCTION("IMPORTRANGE(Settings!$A$2,""Source of ID!A1:A10"")"),"Source of ID")</f>
        <v>Source of ID</v>
      </c>
      <c r="U1" s="218" t="str">
        <f>IFERROR(__xludf.DUMMYFUNCTION("IMPORTRANGE(Settings!$A$2,""Source of ID!A1:A10"")"),"Source of ID")</f>
        <v>Source of ID</v>
      </c>
      <c r="W1" s="219" t="s">
        <v>78</v>
      </c>
      <c r="X1" s="219" t="s">
        <v>79</v>
      </c>
      <c r="Z1" s="219" t="s">
        <v>39</v>
      </c>
      <c r="AB1" s="219" t="s">
        <v>80</v>
      </c>
      <c r="AD1" s="220" t="str">
        <f>IFERROR(__xludf.DUMMYFUNCTION("IMPORTRANGE(Settings!$A$7,""References!I:I"")"),"Options")</f>
        <v>Options</v>
      </c>
      <c r="AE1" s="220" t="str">
        <f>IFERROR(__xludf.DUMMYFUNCTION("IMPORTRANGE(Settings!$A$7,""'Circuits'!I:I"")"),"Options")</f>
        <v>Options</v>
      </c>
      <c r="AF1" s="220" t="str">
        <f>IFERROR(__xludf.DUMMYFUNCTION("IMPORTRANGE(Settings!$A$7,""'Connections'!I:I"")"),"Options")</f>
        <v>Options</v>
      </c>
      <c r="AG1" s="220" t="str">
        <f>IFERROR(__xludf.DUMMYFUNCTION("IMPORTRANGE(Settings!$A$7,""FRG!I:I"")"),"Options")</f>
        <v>Options</v>
      </c>
      <c r="AJ1" s="219" t="s">
        <v>23</v>
      </c>
    </row>
    <row r="2">
      <c r="A2" s="218" t="str">
        <f>IFERROR(__xludf.DUMMYFUNCTION("""COMPUTED_VALUE"""),"-")</f>
        <v>-</v>
      </c>
      <c r="B2" s="221">
        <f>IFERROR(__xludf.DUMMYFUNCTION("""COMPUTED_VALUE"""),1.0)</f>
        <v>1</v>
      </c>
      <c r="C2" s="218"/>
      <c r="E2" s="218" t="str">
        <f>IFERROR(__xludf.DUMMYFUNCTION("""COMPUTED_VALUE"""),"Experimental results")</f>
        <v>Experimental results</v>
      </c>
      <c r="F2" s="222">
        <f>IFERROR(__xludf.DUMMYFUNCTION("""COMPUTED_VALUE"""),1.0)</f>
        <v>1</v>
      </c>
      <c r="G2" s="218"/>
      <c r="H2" s="218" t="str">
        <f>IFERROR(__xludf.DUMMYFUNCTION("""COMPUTED_VALUE"""),"Mouse")</f>
        <v>Mouse</v>
      </c>
      <c r="I2" s="218">
        <f>IFERROR(__xludf.DUMMYFUNCTION("""COMPUTED_VALUE"""),10090.0)</f>
        <v>10090</v>
      </c>
      <c r="J2" s="218" t="str">
        <f>IFERROR(__xludf.DUMMYFUNCTION("""COMPUTED_VALUE"""),"Mus musculus")</f>
        <v>Mus musculus</v>
      </c>
      <c r="K2" s="221">
        <f>IFERROR(__xludf.DUMMYFUNCTION("""COMPUTED_VALUE"""),0.5)</f>
        <v>0.5</v>
      </c>
      <c r="L2" s="218"/>
      <c r="M2" s="218" t="str">
        <f>IFERROR(__xludf.DUMMYFUNCTION("""COMPUTED_VALUE"""),"Retrograde Trans-synaptic tracing")</f>
        <v>Retrograde Trans-synaptic tracing</v>
      </c>
      <c r="N2" s="222">
        <f>IFERROR(__xludf.DUMMYFUNCTION("""COMPUTED_VALUE"""),1.0)</f>
        <v>1</v>
      </c>
      <c r="O2" s="218"/>
      <c r="P2" s="218" t="str">
        <f>IFERROR(__xludf.DUMMYFUNCTION("""COMPUTED_VALUE"""),"Acetylcholine")</f>
        <v>Acetylcholine</v>
      </c>
      <c r="R2" s="218" t="str">
        <f>IFERROR(__xludf.DUMMYFUNCTION("""COMPUTED_VALUE"""),"Excitatory")</f>
        <v>Excitatory</v>
      </c>
      <c r="T2" s="218" t="str">
        <f>IFERROR(__xludf.DUMMYFUNCTION("""COMPUTED_VALUE"""),"collection")</f>
        <v>collection</v>
      </c>
      <c r="U2" s="218" t="str">
        <f>IFERROR(__xludf.DUMMYFUNCTION("""COMPUTED_VALUE"""),"collection")</f>
        <v>collection</v>
      </c>
      <c r="W2" s="223" t="s">
        <v>81</v>
      </c>
      <c r="X2" s="219" t="s">
        <v>82</v>
      </c>
      <c r="Z2" s="219" t="s">
        <v>83</v>
      </c>
      <c r="AB2" s="219" t="s">
        <v>84</v>
      </c>
      <c r="AD2" s="224" t="str">
        <f>IFERROR(__xludf.DUMMYFUNCTION("""COMPUTED_VALUE"""),"")</f>
        <v/>
      </c>
      <c r="AE2" s="224" t="str">
        <f>IFERROR(__xludf.DUMMYFUNCTION("""COMPUTED_VALUE"""),"")</f>
        <v/>
      </c>
      <c r="AF2" s="224" t="str">
        <f>IFERROR(__xludf.DUMMYFUNCTION("""COMPUTED_VALUE"""),"")</f>
        <v/>
      </c>
      <c r="AG2" s="224" t="str">
        <f>IFERROR(__xludf.DUMMYFUNCTION("""COMPUTED_VALUE"""),"")</f>
        <v/>
      </c>
      <c r="AJ2" s="225" t="str">
        <f>IFERROR(__xludf.DUMMYFUNCTION("SORT(UNIQUE(FILTER(Circuits!A:A, Circuits!U:U=TRUE)))"),"3N_IO")</f>
        <v>3N_IO</v>
      </c>
    </row>
    <row r="3">
      <c r="A3" s="218" t="str">
        <f>IFERROR(__xludf.DUMMYFUNCTION("""COMPUTED_VALUE"""),"{eLife}")</f>
        <v>{eLife}</v>
      </c>
      <c r="B3" s="221">
        <f>IFERROR(__xludf.DUMMYFUNCTION("""COMPUTED_VALUE"""),0.95)</f>
        <v>0.95</v>
      </c>
      <c r="C3" s="218"/>
      <c r="E3" s="218" t="str">
        <f>IFERROR(__xludf.DUMMYFUNCTION("""COMPUTED_VALUE"""),"Meta review")</f>
        <v>Meta review</v>
      </c>
      <c r="F3" s="222">
        <f>IFERROR(__xludf.DUMMYFUNCTION("""COMPUTED_VALUE"""),0.9)</f>
        <v>0.9</v>
      </c>
      <c r="G3" s="218"/>
      <c r="H3" s="218" t="str">
        <f>IFERROR(__xludf.DUMMYFUNCTION("""COMPUTED_VALUE"""),"Rat")</f>
        <v>Rat</v>
      </c>
      <c r="I3" s="218">
        <f>IFERROR(__xludf.DUMMYFUNCTION("""COMPUTED_VALUE"""),10116.0)</f>
        <v>10116</v>
      </c>
      <c r="J3" s="218" t="str">
        <f>IFERROR(__xludf.DUMMYFUNCTION("""COMPUTED_VALUE"""),"Rattus norvegicus")</f>
        <v>Rattus norvegicus</v>
      </c>
      <c r="K3" s="221">
        <f>IFERROR(__xludf.DUMMYFUNCTION("""COMPUTED_VALUE"""),0.6)</f>
        <v>0.6</v>
      </c>
      <c r="L3" s="218"/>
      <c r="M3" s="218" t="str">
        <f>IFERROR(__xludf.DUMMYFUNCTION("""COMPUTED_VALUE"""),"Axonal tracing")</f>
        <v>Axonal tracing</v>
      </c>
      <c r="N3" s="222">
        <f>IFERROR(__xludf.DUMMYFUNCTION("""COMPUTED_VALUE"""),0.95)</f>
        <v>0.95</v>
      </c>
      <c r="O3" s="218"/>
      <c r="P3" s="218" t="str">
        <f>IFERROR(__xludf.DUMMYFUNCTION("""COMPUTED_VALUE"""),"Dopamine")</f>
        <v>Dopamine</v>
      </c>
      <c r="R3" s="218" t="str">
        <f>IFERROR(__xludf.DUMMYFUNCTION("""COMPUTED_VALUE"""),"Inhibitory")</f>
        <v>Inhibitory</v>
      </c>
      <c r="T3" s="218" t="str">
        <f>IFERROR(__xludf.DUMMYFUNCTION("""COMPUTED_VALUE"""),"makeshift")</f>
        <v>makeshift</v>
      </c>
      <c r="U3" s="218" t="str">
        <f>IFERROR(__xludf.DUMMYFUNCTION("""COMPUTED_VALUE"""),"makeshift")</f>
        <v>makeshift</v>
      </c>
      <c r="W3" s="219" t="s">
        <v>85</v>
      </c>
      <c r="X3" s="226" t="s">
        <v>86</v>
      </c>
      <c r="Z3" s="219" t="s">
        <v>87</v>
      </c>
      <c r="AB3" s="219" t="s">
        <v>88</v>
      </c>
      <c r="AD3" s="224" t="str">
        <f>IFERROR(__xludf.DUMMYFUNCTION("""COMPUTED_VALUE"""),"")</f>
        <v/>
      </c>
      <c r="AE3" s="224" t="str">
        <f>IFERROR(__xludf.DUMMYFUNCTION("""COMPUTED_VALUE"""),"")</f>
        <v/>
      </c>
      <c r="AF3" s="224" t="str">
        <f>IFERROR(__xludf.DUMMYFUNCTION("""COMPUTED_VALUE"""),"")</f>
        <v/>
      </c>
      <c r="AG3" s="224" t="str">
        <f>IFERROR(__xludf.DUMMYFUNCTION("""COMPUTED_VALUE"""),"")</f>
        <v/>
      </c>
      <c r="AJ3" s="225" t="str">
        <f>IFERROR(__xludf.DUMMYFUNCTION("""COMPUTED_VALUE"""),"3N_IR")</f>
        <v>3N_IR</v>
      </c>
    </row>
    <row r="4">
      <c r="A4" s="218" t="str">
        <f>IFERROR(__xludf.DUMMYFUNCTION("""COMPUTED_VALUE"""),"{PLoS} {ONE}")</f>
        <v>{PLoS} {ONE}</v>
      </c>
      <c r="B4" s="221">
        <f>IFERROR(__xludf.DUMMYFUNCTION("""COMPUTED_VALUE"""),0.95)</f>
        <v>0.95</v>
      </c>
      <c r="C4" s="218"/>
      <c r="E4" s="218" t="str">
        <f>IFERROR(__xludf.DUMMYFUNCTION("""COMPUTED_VALUE"""),"Textbook")</f>
        <v>Textbook</v>
      </c>
      <c r="F4" s="222">
        <f>IFERROR(__xludf.DUMMYFUNCTION("""COMPUTED_VALUE"""),0.9)</f>
        <v>0.9</v>
      </c>
      <c r="G4" s="218"/>
      <c r="H4" s="218" t="str">
        <f>IFERROR(__xludf.DUMMYFUNCTION("""COMPUTED_VALUE"""),"Cat")</f>
        <v>Cat</v>
      </c>
      <c r="I4" s="218">
        <f>IFERROR(__xludf.DUMMYFUNCTION("""COMPUTED_VALUE"""),1758.0)</f>
        <v>1758</v>
      </c>
      <c r="J4" s="218" t="str">
        <f>IFERROR(__xludf.DUMMYFUNCTION("""COMPUTED_VALUE"""),"Felis catus")</f>
        <v>Felis catus</v>
      </c>
      <c r="K4" s="221">
        <f>IFERROR(__xludf.DUMMYFUNCTION("""COMPUTED_VALUE"""),0.7)</f>
        <v>0.7</v>
      </c>
      <c r="L4" s="218"/>
      <c r="M4" s="218" t="str">
        <f>IFERROR(__xludf.DUMMYFUNCTION("""COMPUTED_VALUE"""),"DW-MRI")</f>
        <v>DW-MRI</v>
      </c>
      <c r="N4" s="222">
        <f>IFERROR(__xludf.DUMMYFUNCTION("""COMPUTED_VALUE"""),0.8)</f>
        <v>0.8</v>
      </c>
      <c r="O4" s="218"/>
      <c r="P4" s="218" t="str">
        <f>IFERROR(__xludf.DUMMYFUNCTION("""COMPUTED_VALUE"""),"GABA")</f>
        <v>GABA</v>
      </c>
      <c r="R4" s="218" t="str">
        <f>IFERROR(__xludf.DUMMYFUNCTION("""COMPUTED_VALUE"""),"Modulatory")</f>
        <v>Modulatory</v>
      </c>
      <c r="T4" s="218" t="str">
        <f>IFERROR(__xludf.DUMMYFUNCTION("""COMPUTED_VALUE"""),"DHBA")</f>
        <v>DHBA</v>
      </c>
      <c r="U4" s="218" t="str">
        <f>IFERROR(__xludf.DUMMYFUNCTION("""COMPUTED_VALUE"""),"DHBA")</f>
        <v>DHBA</v>
      </c>
      <c r="W4" s="219" t="s">
        <v>89</v>
      </c>
      <c r="X4" s="219" t="s">
        <v>90</v>
      </c>
      <c r="Z4" s="219" t="s">
        <v>91</v>
      </c>
      <c r="AB4" s="219" t="s">
        <v>92</v>
      </c>
      <c r="AD4" s="224" t="str">
        <f>IFERROR(__xludf.DUMMYFUNCTION("""COMPUTED_VALUE"""),"")</f>
        <v/>
      </c>
      <c r="AE4" s="224" t="str">
        <f>IFERROR(__xludf.DUMMYFUNCTION("""COMPUTED_VALUE"""),"")</f>
        <v/>
      </c>
      <c r="AF4" s="224" t="str">
        <f>IFERROR(__xludf.DUMMYFUNCTION("""COMPUTED_VALUE"""),"")</f>
        <v/>
      </c>
      <c r="AG4" s="224" t="str">
        <f>IFERROR(__xludf.DUMMYFUNCTION("""COMPUTED_VALUE"""),"")</f>
        <v/>
      </c>
      <c r="AJ4" s="225" t="str">
        <f>IFERROR(__xludf.DUMMYFUNCTION("""COMPUTED_VALUE"""),"3N_MR")</f>
        <v>3N_MR</v>
      </c>
    </row>
    <row r="5">
      <c r="A5" s="218" t="str">
        <f>IFERROR(__xludf.DUMMYFUNCTION("""COMPUTED_VALUE"""),"Annual Review of Neuroscience")</f>
        <v>Annual Review of Neuroscience</v>
      </c>
      <c r="B5" s="221">
        <f>IFERROR(__xludf.DUMMYFUNCTION("""COMPUTED_VALUE"""),0.95)</f>
        <v>0.95</v>
      </c>
      <c r="C5" s="218"/>
      <c r="E5" s="218" t="str">
        <f>IFERROR(__xludf.DUMMYFUNCTION("""COMPUTED_VALUE"""),"Systematic review")</f>
        <v>Systematic review</v>
      </c>
      <c r="F5" s="222">
        <f>IFERROR(__xludf.DUMMYFUNCTION("""COMPUTED_VALUE"""),0.9)</f>
        <v>0.9</v>
      </c>
      <c r="G5" s="218"/>
      <c r="H5" s="218" t="str">
        <f>IFERROR(__xludf.DUMMYFUNCTION("""COMPUTED_VALUE"""),"Marmoset")</f>
        <v>Marmoset</v>
      </c>
      <c r="I5" s="218">
        <f>IFERROR(__xludf.DUMMYFUNCTION("""COMPUTED_VALUE"""),9483.0)</f>
        <v>9483</v>
      </c>
      <c r="J5" s="218" t="str">
        <f>IFERROR(__xludf.DUMMYFUNCTION("""COMPUTED_VALUE"""),"Callithrix jacchus")</f>
        <v>Callithrix jacchus</v>
      </c>
      <c r="K5" s="221">
        <f>IFERROR(__xludf.DUMMYFUNCTION("""COMPUTED_VALUE"""),0.8)</f>
        <v>0.8</v>
      </c>
      <c r="L5" s="218"/>
      <c r="M5" s="218" t="str">
        <f>IFERROR(__xludf.DUMMYFUNCTION("""COMPUTED_VALUE"""),"fMRI")</f>
        <v>fMRI</v>
      </c>
      <c r="N5" s="222">
        <f>IFERROR(__xludf.DUMMYFUNCTION("""COMPUTED_VALUE"""),0.7)</f>
        <v>0.7</v>
      </c>
      <c r="O5" s="218"/>
      <c r="P5" s="218" t="str">
        <f>IFERROR(__xludf.DUMMYFUNCTION("""COMPUTED_VALUE"""),"Glutamate")</f>
        <v>Glutamate</v>
      </c>
      <c r="R5" s="218"/>
      <c r="T5" s="218" t="str">
        <f>IFERROR(__xludf.DUMMYFUNCTION("""COMPUTED_VALUE"""),"MBA")</f>
        <v>MBA</v>
      </c>
      <c r="U5" s="218" t="str">
        <f>IFERROR(__xludf.DUMMYFUNCTION("""COMPUTED_VALUE"""),"MBA")</f>
        <v>MBA</v>
      </c>
      <c r="W5" s="219" t="s">
        <v>93</v>
      </c>
      <c r="X5" s="219" t="s">
        <v>94</v>
      </c>
      <c r="Z5" s="219" t="s">
        <v>95</v>
      </c>
      <c r="AD5" s="224" t="str">
        <f>IFERROR(__xludf.DUMMYFUNCTION("""COMPUTED_VALUE"""),"")</f>
        <v/>
      </c>
      <c r="AE5" s="224" t="str">
        <f>IFERROR(__xludf.DUMMYFUNCTION("""COMPUTED_VALUE"""),"[104:Circuit ID] There is suspicion that an existing Circuit is being represented by a different name (semantic duplication).")</f>
        <v>[104:Circuit ID] There is suspicion that an existing Circuit is being represented by a different name (semantic duplication).</v>
      </c>
      <c r="AF5" s="224" t="str">
        <f>IFERROR(__xludf.DUMMYFUNCTION("""COMPUTED_VALUE"""),"")</f>
        <v/>
      </c>
      <c r="AG5" s="224" t="str">
        <f>IFERROR(__xludf.DUMMYFUNCTION("""COMPUTED_VALUE"""),"[404:Node ID] Does not match the Node ID described in the FRG drawing.")</f>
        <v>[404:Node ID] Does not match the Node ID described in the FRG drawing.</v>
      </c>
      <c r="AJ5" s="225" t="str">
        <f>IFERROR(__xludf.DUMMYFUNCTION("""COMPUTED_VALUE"""),"3N_SR")</f>
        <v>3N_SR</v>
      </c>
    </row>
    <row r="6">
      <c r="A6" s="218" t="str">
        <f>IFERROR(__xludf.DUMMYFUNCTION("""COMPUTED_VALUE"""),"Behavioral and Brain Functions")</f>
        <v>Behavioral and Brain Functions</v>
      </c>
      <c r="B6" s="221">
        <f>IFERROR(__xludf.DUMMYFUNCTION("""COMPUTED_VALUE"""),0.95)</f>
        <v>0.95</v>
      </c>
      <c r="C6" s="218"/>
      <c r="E6" s="218" t="str">
        <f>IFERROR(__xludf.DUMMYFUNCTION("""COMPUTED_VALUE"""),"Review")</f>
        <v>Review</v>
      </c>
      <c r="F6" s="222">
        <f>IFERROR(__xludf.DUMMYFUNCTION("""COMPUTED_VALUE"""),0.8)</f>
        <v>0.8</v>
      </c>
      <c r="G6" s="218"/>
      <c r="H6" s="218" t="str">
        <f>IFERROR(__xludf.DUMMYFUNCTION("""COMPUTED_VALUE"""),"Macaque")</f>
        <v>Macaque</v>
      </c>
      <c r="I6" s="218">
        <f>IFERROR(__xludf.DUMMYFUNCTION("""COMPUTED_VALUE"""),9539.0)</f>
        <v>9539</v>
      </c>
      <c r="J6" s="218" t="str">
        <f>IFERROR(__xludf.DUMMYFUNCTION("""COMPUTED_VALUE"""),"Macaca")</f>
        <v>Macaca</v>
      </c>
      <c r="K6" s="221">
        <f>IFERROR(__xludf.DUMMYFUNCTION("""COMPUTED_VALUE"""),0.9)</f>
        <v>0.9</v>
      </c>
      <c r="L6" s="218"/>
      <c r="M6" s="218" t="str">
        <f>IFERROR(__xludf.DUMMYFUNCTION("""COMPUTED_VALUE"""),"Electro physiology")</f>
        <v>Electro physiology</v>
      </c>
      <c r="N6" s="222">
        <f>IFERROR(__xludf.DUMMYFUNCTION("""COMPUTED_VALUE"""),0.4)</f>
        <v>0.4</v>
      </c>
      <c r="O6" s="218"/>
      <c r="P6" s="218" t="str">
        <f>IFERROR(__xludf.DUMMYFUNCTION("""COMPUTED_VALUE"""),"Glycine")</f>
        <v>Glycine</v>
      </c>
      <c r="R6" s="218"/>
      <c r="T6" s="218" t="str">
        <f>IFERROR(__xludf.DUMMYFUNCTION("""COMPUTED_VALUE"""),"UBERON")</f>
        <v>UBERON</v>
      </c>
      <c r="U6" s="218" t="str">
        <f>IFERROR(__xludf.DUMMYFUNCTION("""COMPUTED_VALUE"""),"UBERON")</f>
        <v>UBERON</v>
      </c>
      <c r="W6" s="226" t="s">
        <v>96</v>
      </c>
      <c r="X6" s="219" t="s">
        <v>97</v>
      </c>
      <c r="Z6" s="219" t="s">
        <v>98</v>
      </c>
      <c r="AD6" s="224" t="str">
        <f>IFERROR(__xludf.DUMMYFUNCTION("""COMPUTED_VALUE"""),"")</f>
        <v/>
      </c>
      <c r="AE6" s="224" t="str">
        <f>IFERROR(__xludf.DUMMYFUNCTION("""COMPUTED_VALUE"""),"")</f>
        <v/>
      </c>
      <c r="AF6" s="224" t="str">
        <f>IFERROR(__xludf.DUMMYFUNCTION("""COMPUTED_VALUE"""),"")</f>
        <v/>
      </c>
      <c r="AG6" s="224" t="str">
        <f>IFERROR(__xludf.DUMMYFUNCTION("""COMPUTED_VALUE"""),"")</f>
        <v/>
      </c>
      <c r="AJ6" s="225" t="str">
        <f>IFERROR(__xludf.DUMMYFUNCTION("""COMPUTED_VALUE"""),"4N")</f>
        <v>4N</v>
      </c>
    </row>
    <row r="7">
      <c r="A7" s="218" t="str">
        <f>IFERROR(__xludf.DUMMYFUNCTION("""COMPUTED_VALUE"""),"Biological Psychiatry")</f>
        <v>Biological Psychiatry</v>
      </c>
      <c r="B7" s="221">
        <f>IFERROR(__xludf.DUMMYFUNCTION("""COMPUTED_VALUE"""),0.95)</f>
        <v>0.95</v>
      </c>
      <c r="C7" s="218"/>
      <c r="E7" s="218" t="str">
        <f>IFERROR(__xludf.DUMMYFUNCTION("""COMPUTED_VALUE"""),"Modeling")</f>
        <v>Modeling</v>
      </c>
      <c r="F7" s="222">
        <f>IFERROR(__xludf.DUMMYFUNCTION("""COMPUTED_VALUE"""),0.5)</f>
        <v>0.5</v>
      </c>
      <c r="G7" s="218"/>
      <c r="H7" s="218" t="str">
        <f>IFERROR(__xludf.DUMMYFUNCTION("""COMPUTED_VALUE"""),"Human")</f>
        <v>Human</v>
      </c>
      <c r="I7" s="218">
        <f>IFERROR(__xludf.DUMMYFUNCTION("""COMPUTED_VALUE"""),9606.0)</f>
        <v>9606</v>
      </c>
      <c r="J7" s="218" t="str">
        <f>IFERROR(__xludf.DUMMYFUNCTION("""COMPUTED_VALUE"""),"Homo sapiens")</f>
        <v>Homo sapiens</v>
      </c>
      <c r="K7" s="221">
        <f>IFERROR(__xludf.DUMMYFUNCTION("""COMPUTED_VALUE"""),1.0)</f>
        <v>1</v>
      </c>
      <c r="L7" s="218"/>
      <c r="M7" s="218" t="str">
        <f>IFERROR(__xludf.DUMMYFUNCTION("""COMPUTED_VALUE"""),"Optogenetic")</f>
        <v>Optogenetic</v>
      </c>
      <c r="N7" s="222">
        <f>IFERROR(__xludf.DUMMYFUNCTION("""COMPUTED_VALUE"""),0.3)</f>
        <v>0.3</v>
      </c>
      <c r="O7" s="218"/>
      <c r="P7" s="218" t="str">
        <f>IFERROR(__xludf.DUMMYFUNCTION("""COMPUTED_VALUE"""),"Serotonin")</f>
        <v>Serotonin</v>
      </c>
      <c r="R7" s="218"/>
      <c r="T7" s="218"/>
      <c r="U7" s="218"/>
      <c r="W7" s="226" t="s">
        <v>99</v>
      </c>
      <c r="X7" s="226" t="s">
        <v>100</v>
      </c>
      <c r="AD7" s="224" t="str">
        <f>IFERROR(__xludf.DUMMYFUNCTION("""COMPUTED_VALUE"""),"")</f>
        <v/>
      </c>
      <c r="AE7" s="224" t="str">
        <f>IFERROR(__xludf.DUMMYFUNCTION("""COMPUTED_VALUE"""),"")</f>
        <v/>
      </c>
      <c r="AF7" s="224" t="str">
        <f>IFERROR(__xludf.DUMMYFUNCTION("""COMPUTED_VALUE"""),"")</f>
        <v/>
      </c>
      <c r="AG7" s="224" t="str">
        <f>IFERROR(__xludf.DUMMYFUNCTION("""COMPUTED_VALUE"""),"")</f>
        <v/>
      </c>
      <c r="AJ7" s="225" t="str">
        <f>IFERROR(__xludf.DUMMYFUNCTION("""COMPUTED_VALUE"""),"8Ve")</f>
        <v>8Ve</v>
      </c>
    </row>
    <row r="8">
      <c r="A8" s="218" t="str">
        <f>IFERROR(__xludf.DUMMYFUNCTION("""COMPUTED_VALUE"""),"Brain and Language")</f>
        <v>Brain and Language</v>
      </c>
      <c r="B8" s="221">
        <f>IFERROR(__xludf.DUMMYFUNCTION("""COMPUTED_VALUE"""),0.95)</f>
        <v>0.95</v>
      </c>
      <c r="C8" s="218"/>
      <c r="E8" s="218" t="str">
        <f>IFERROR(__xludf.DUMMYFUNCTION("""COMPUTED_VALUE"""),"Simulation")</f>
        <v>Simulation</v>
      </c>
      <c r="F8" s="222">
        <f>IFERROR(__xludf.DUMMYFUNCTION("""COMPUTED_VALUE"""),0.5)</f>
        <v>0.5</v>
      </c>
      <c r="G8" s="218"/>
      <c r="H8" s="218" t="str">
        <f>IFERROR(__xludf.DUMMYFUNCTION("""COMPUTED_VALUE"""),"(Mixed)")</f>
        <v>(Mixed)</v>
      </c>
      <c r="I8" s="218"/>
      <c r="J8" s="218"/>
      <c r="K8" s="221">
        <f>IFERROR(__xludf.DUMMYFUNCTION("""COMPUTED_VALUE"""),0.0)</f>
        <v>0</v>
      </c>
      <c r="L8" s="218"/>
      <c r="M8" s="218" t="str">
        <f>IFERROR(__xludf.DUMMYFUNCTION("""COMPUTED_VALUE"""),"Immunohistochemistry(neurobiotin)")</f>
        <v>Immunohistochemistry(neurobiotin)</v>
      </c>
      <c r="N8" s="222">
        <f>IFERROR(__xludf.DUMMYFUNCTION("""COMPUTED_VALUE"""),0.8)</f>
        <v>0.8</v>
      </c>
      <c r="O8" s="218"/>
      <c r="P8" s="218"/>
      <c r="R8" s="218"/>
      <c r="T8" s="218"/>
      <c r="U8" s="218"/>
      <c r="X8" s="226" t="s">
        <v>99</v>
      </c>
      <c r="AD8" s="224" t="str">
        <f>IFERROR(__xludf.DUMMYFUNCTION("""COMPUTED_VALUE"""),"")</f>
        <v/>
      </c>
      <c r="AE8" s="224" t="str">
        <f>IFERROR(__xludf.DUMMYFUNCTION("""COMPUTED_VALUE"""),"")</f>
        <v/>
      </c>
      <c r="AF8" s="224" t="str">
        <f>IFERROR(__xludf.DUMMYFUNCTION("""COMPUTED_VALUE"""),"")</f>
        <v/>
      </c>
      <c r="AG8" s="224" t="str">
        <f>IFERROR(__xludf.DUMMYFUNCTION("""COMPUTED_VALUE"""),"")</f>
        <v/>
      </c>
      <c r="AJ8" s="225" t="str">
        <f>IFERROR(__xludf.DUMMYFUNCTION("""COMPUTED_VALUE"""),"8Ve-p")</f>
        <v>8Ve-p</v>
      </c>
    </row>
    <row r="9">
      <c r="A9" s="218" t="str">
        <f>IFERROR(__xludf.DUMMYFUNCTION("""COMPUTED_VALUE"""),"Brain and Neuroscience Advances")</f>
        <v>Brain and Neuroscience Advances</v>
      </c>
      <c r="B9" s="221">
        <f>IFERROR(__xludf.DUMMYFUNCTION("""COMPUTED_VALUE"""),0.95)</f>
        <v>0.95</v>
      </c>
      <c r="C9" s="218"/>
      <c r="E9" s="218" t="str">
        <f>IFERROR(__xludf.DUMMYFUNCTION("""COMPUTED_VALUE"""),"Hypothesis")</f>
        <v>Hypothesis</v>
      </c>
      <c r="F9" s="222">
        <f>IFERROR(__xludf.DUMMYFUNCTION("""COMPUTED_VALUE"""),0.5)</f>
        <v>0.5</v>
      </c>
      <c r="G9" s="218"/>
      <c r="H9" s="218" t="str">
        <f>IFERROR(__xludf.DUMMYFUNCTION("""COMPUTED_VALUE"""),"Rodent")</f>
        <v>Rodent</v>
      </c>
      <c r="I9" s="218"/>
      <c r="J9" s="218" t="str">
        <f>IFERROR(__xludf.DUMMYFUNCTION("""COMPUTED_VALUE"""),"Rodent")</f>
        <v>Rodent</v>
      </c>
      <c r="K9" s="221">
        <f>IFERROR(__xludf.DUMMYFUNCTION("""COMPUTED_VALUE"""),0.5)</f>
        <v>0.5</v>
      </c>
      <c r="L9" s="218"/>
      <c r="M9" s="218" t="str">
        <f>IFERROR(__xludf.DUMMYFUNCTION("""COMPUTED_VALUE"""),"Various tracing")</f>
        <v>Various tracing</v>
      </c>
      <c r="N9" s="222">
        <f>IFERROR(__xludf.DUMMYFUNCTION("""COMPUTED_VALUE"""),0.9)</f>
        <v>0.9</v>
      </c>
      <c r="O9" s="218"/>
      <c r="P9" s="218"/>
      <c r="R9" s="218"/>
      <c r="T9" s="218"/>
      <c r="U9" s="218"/>
      <c r="AD9" s="224" t="str">
        <f>IFERROR(__xludf.DUMMYFUNCTION("""COMPUTED_VALUE"""),"")</f>
        <v/>
      </c>
      <c r="AE9" s="224" t="str">
        <f>IFERROR(__xludf.DUMMYFUNCTION("""COMPUTED_VALUE"""),"")</f>
        <v/>
      </c>
      <c r="AF9" s="224" t="str">
        <f>IFERROR(__xludf.DUMMYFUNCTION("""COMPUTED_VALUE"""),"")</f>
        <v/>
      </c>
      <c r="AG9" s="224" t="str">
        <f>IFERROR(__xludf.DUMMYFUNCTION("""COMPUTED_VALUE"""),"")</f>
        <v/>
      </c>
      <c r="AJ9" s="225" t="str">
        <f>IFERROR(__xludf.DUMMYFUNCTION("""COMPUTED_VALUE"""),"A32.L5PT")</f>
        <v>A32.L5PT</v>
      </c>
    </row>
    <row r="10">
      <c r="A10" s="218" t="str">
        <f>IFERROR(__xludf.DUMMYFUNCTION("""COMPUTED_VALUE"""),"Brain Research")</f>
        <v>Brain Research</v>
      </c>
      <c r="B10" s="221">
        <f>IFERROR(__xludf.DUMMYFUNCTION("""COMPUTED_VALUE"""),0.95)</f>
        <v>0.95</v>
      </c>
      <c r="C10" s="218"/>
      <c r="E10" s="218" t="str">
        <f>IFERROR(__xludf.DUMMYFUNCTION("""COMPUTED_VALUE"""),"Data description")</f>
        <v>Data description</v>
      </c>
      <c r="F10" s="222">
        <f>IFERROR(__xludf.DUMMYFUNCTION("""COMPUTED_VALUE"""),1.0)</f>
        <v>1</v>
      </c>
      <c r="G10" s="218"/>
      <c r="H10" s="218" t="str">
        <f>IFERROR(__xludf.DUMMYFUNCTION("""COMPUTED_VALUE"""),"Rabbit")</f>
        <v>Rabbit</v>
      </c>
      <c r="I10" s="218"/>
      <c r="J10" s="218"/>
      <c r="K10" s="221">
        <f>IFERROR(__xludf.DUMMYFUNCTION("""COMPUTED_VALUE"""),0.9)</f>
        <v>0.9</v>
      </c>
      <c r="L10" s="218"/>
      <c r="M10" s="218" t="str">
        <f>IFERROR(__xludf.DUMMYFUNCTION("""COMPUTED_VALUE"""),"SILPP estimation")</f>
        <v>SILPP estimation</v>
      </c>
      <c r="N10" s="222">
        <f>IFERROR(__xludf.DUMMYFUNCTION("""COMPUTED_VALUE"""),0.6)</f>
        <v>0.6</v>
      </c>
      <c r="O10" s="218"/>
      <c r="P10" s="218"/>
      <c r="R10" s="218"/>
      <c r="T10" s="218"/>
      <c r="U10" s="218"/>
      <c r="AD10" s="224" t="str">
        <f>IFERROR(__xludf.DUMMYFUNCTION("""COMPUTED_VALUE"""),"")</f>
        <v/>
      </c>
      <c r="AE10" s="224" t="str">
        <f>IFERROR(__xludf.DUMMYFUNCTION("""COMPUTED_VALUE"""),"")</f>
        <v/>
      </c>
      <c r="AF10" s="224" t="str">
        <f>IFERROR(__xludf.DUMMYFUNCTION("""COMPUTED_VALUE"""),"")</f>
        <v/>
      </c>
      <c r="AG10" s="224" t="str">
        <f>IFERROR(__xludf.DUMMYFUNCTION("""COMPUTED_VALUE"""),"")</f>
        <v/>
      </c>
      <c r="AJ10" s="225" t="str">
        <f>IFERROR(__xludf.DUMMYFUNCTION("""COMPUTED_VALUE"""),"A35_uc1")</f>
        <v>A35_uc1</v>
      </c>
    </row>
    <row r="11">
      <c r="A11" s="218" t="str">
        <f>IFERROR(__xludf.DUMMYFUNCTION("""COMPUTED_VALUE"""),"Brain Sciences")</f>
        <v>Brain Sciences</v>
      </c>
      <c r="B11" s="221">
        <f>IFERROR(__xludf.DUMMYFUNCTION("""COMPUTED_VALUE"""),0.95)</f>
        <v>0.95</v>
      </c>
      <c r="C11" s="218"/>
      <c r="E11" s="218" t="str">
        <f>IFERROR(__xludf.DUMMYFUNCTION("""COMPUTED_VALUE"""),"Insight")</f>
        <v>Insight</v>
      </c>
      <c r="F11" s="222">
        <f>IFERROR(__xludf.DUMMYFUNCTION("""COMPUTED_VALUE"""),0.5)</f>
        <v>0.5</v>
      </c>
      <c r="G11" s="218"/>
      <c r="H11" s="218" t="str">
        <f>IFERROR(__xludf.DUMMYFUNCTION("""COMPUTED_VALUE"""),"(No description)")</f>
        <v>(No description)</v>
      </c>
      <c r="I11" s="218"/>
      <c r="J11" s="218"/>
      <c r="K11" s="221">
        <f>IFERROR(__xludf.DUMMYFUNCTION("""COMPUTED_VALUE"""),0.2)</f>
        <v>0.2</v>
      </c>
      <c r="L11" s="218"/>
      <c r="M11" s="218" t="str">
        <f>IFERROR(__xludf.DUMMYFUNCTION("""COMPUTED_VALUE"""),"Neuronal Tract Tracing")</f>
        <v>Neuronal Tract Tracing</v>
      </c>
      <c r="N11" s="222">
        <f>IFERROR(__xludf.DUMMYFUNCTION("""COMPUTED_VALUE"""),0.6)</f>
        <v>0.6</v>
      </c>
      <c r="O11" s="218"/>
      <c r="T11" s="218" t="str">
        <f t="shared" ref="T11:T223" si="1">CONCATENATE("[", U11,"]")</f>
        <v>[(no BibTex)]</v>
      </c>
      <c r="U11" s="218" t="str">
        <f t="array" ref="U11:U152">UNIQUE( SORT(References!A:A))</f>
        <v>(no BibTex)</v>
      </c>
      <c r="AD11" s="224" t="str">
        <f>IFERROR(__xludf.DUMMYFUNCTION("""COMPUTED_VALUE"""),"")</f>
        <v/>
      </c>
      <c r="AE11" s="224" t="str">
        <f>IFERROR(__xludf.DUMMYFUNCTION("""COMPUTED_VALUE"""),"")</f>
        <v/>
      </c>
      <c r="AF11" s="224" t="str">
        <f>IFERROR(__xludf.DUMMYFUNCTION("""COMPUTED_VALUE"""),"")</f>
        <v/>
      </c>
      <c r="AG11" s="224" t="str">
        <f>IFERROR(__xludf.DUMMYFUNCTION("""COMPUTED_VALUE"""),"")</f>
        <v/>
      </c>
      <c r="AJ11" s="225" t="str">
        <f>IFERROR(__xludf.DUMMYFUNCTION("""COMPUTED_VALUE"""),"A35_uc2")</f>
        <v>A35_uc2</v>
      </c>
    </row>
    <row r="12">
      <c r="A12" s="218" t="str">
        <f>IFERROR(__xludf.DUMMYFUNCTION("""COMPUTED_VALUE"""),"Brain Structure and Function")</f>
        <v>Brain Structure and Function</v>
      </c>
      <c r="B12" s="221">
        <f>IFERROR(__xludf.DUMMYFUNCTION("""COMPUTED_VALUE"""),0.95)</f>
        <v>0.95</v>
      </c>
      <c r="C12" s="218"/>
      <c r="E12" s="218" t="str">
        <f>IFERROR(__xludf.DUMMYFUNCTION("""COMPUTED_VALUE"""),"Opinion")</f>
        <v>Opinion</v>
      </c>
      <c r="F12" s="222">
        <f>IFERROR(__xludf.DUMMYFUNCTION("""COMPUTED_VALUE"""),0.5)</f>
        <v>0.5</v>
      </c>
      <c r="G12" s="218"/>
      <c r="H12" s="218" t="str">
        <f>IFERROR(__xludf.DUMMYFUNCTION("""COMPUTED_VALUE"""),"(Reserve Items)")</f>
        <v>(Reserve Items)</v>
      </c>
      <c r="I12" s="218"/>
      <c r="J12" s="218"/>
      <c r="K12" s="218"/>
      <c r="L12" s="218"/>
      <c r="M12" s="218" t="str">
        <f>IFERROR(__xludf.DUMMYFUNCTION("""COMPUTED_VALUE"""),"Retrograde tracing")</f>
        <v>Retrograde tracing</v>
      </c>
      <c r="N12" s="222">
        <f>IFERROR(__xludf.DUMMYFUNCTION("""COMPUTED_VALUE"""),0.6)</f>
        <v>0.6</v>
      </c>
      <c r="O12" s="218"/>
      <c r="T12" s="218" t="str">
        <f t="shared" si="1"/>
        <v>[Amaral, 1991]</v>
      </c>
      <c r="U12" s="218" t="s">
        <v>101</v>
      </c>
      <c r="AD12" s="224" t="str">
        <f>IFERROR(__xludf.DUMMYFUNCTION("""COMPUTED_VALUE"""),"")</f>
        <v/>
      </c>
      <c r="AE12" s="224" t="str">
        <f>IFERROR(__xludf.DUMMYFUNCTION("""COMPUTED_VALUE"""),"")</f>
        <v/>
      </c>
      <c r="AF12" s="224" t="str">
        <f>IFERROR(__xludf.DUMMYFUNCTION("""COMPUTED_VALUE"""),"")</f>
        <v/>
      </c>
      <c r="AG12" s="224" t="str">
        <f>IFERROR(__xludf.DUMMYFUNCTION("""COMPUTED_VALUE"""),"")</f>
        <v/>
      </c>
      <c r="AJ12" s="225" t="str">
        <f>IFERROR(__xludf.DUMMYFUNCTION("""COMPUTED_VALUE"""),"A46.L5PT")</f>
        <v>A46.L5PT</v>
      </c>
    </row>
    <row r="13">
      <c r="A13" s="218" t="str">
        <f>IFERROR(__xludf.DUMMYFUNCTION("""COMPUTED_VALUE"""),"Cell")</f>
        <v>Cell</v>
      </c>
      <c r="B13" s="221">
        <f>IFERROR(__xludf.DUMMYFUNCTION("""COMPUTED_VALUE"""),0.95)</f>
        <v>0.95</v>
      </c>
      <c r="C13" s="218"/>
      <c r="E13" s="218" t="str">
        <f>IFERROR(__xludf.DUMMYFUNCTION("""COMPUTED_VALUE"""),"(Reserve Items)")</f>
        <v>(Reserve Items)</v>
      </c>
      <c r="F13" s="218"/>
      <c r="G13" s="218"/>
      <c r="H13" s="218" t="str">
        <f>IFERROR(__xludf.DUMMYFUNCTION("""COMPUTED_VALUE"""),"Ref:")</f>
        <v>Ref:</v>
      </c>
      <c r="I13" s="227" t="str">
        <f>IFERROR(__xludf.DUMMYFUNCTION("""COMPUTED_VALUE"""),"https://www.ncbi.nlm.nih.gov/Taxonomy/Browser/wwwtax.cgi")</f>
        <v>https://www.ncbi.nlm.nih.gov/Taxonomy/Browser/wwwtax.cgi</v>
      </c>
      <c r="J13" s="218"/>
      <c r="K13" s="218"/>
      <c r="L13" s="218"/>
      <c r="M13" s="218" t="str">
        <f>IFERROR(__xludf.DUMMYFUNCTION("""COMPUTED_VALUE"""),"Anterograde Trans-synaptic tracing")</f>
        <v>Anterograde Trans-synaptic tracing</v>
      </c>
      <c r="N13" s="222">
        <f>IFERROR(__xludf.DUMMYFUNCTION("""COMPUTED_VALUE"""),0.6)</f>
        <v>0.6</v>
      </c>
      <c r="O13" s="218"/>
      <c r="T13" s="218" t="str">
        <f t="shared" si="1"/>
        <v>[Andersen, 2006]</v>
      </c>
      <c r="U13" s="218" t="s">
        <v>102</v>
      </c>
      <c r="AD13" s="224" t="str">
        <f>IFERROR(__xludf.DUMMYFUNCTION("""COMPUTED_VALUE"""),"")</f>
        <v/>
      </c>
      <c r="AE13" s="224" t="str">
        <f>IFERROR(__xludf.DUMMYFUNCTION("""COMPUTED_VALUE"""),"")</f>
        <v/>
      </c>
      <c r="AF13" s="224" t="str">
        <f>IFERROR(__xludf.DUMMYFUNCTION("""COMPUTED_VALUE"""),"")</f>
        <v/>
      </c>
      <c r="AG13" s="224" t="str">
        <f>IFERROR(__xludf.DUMMYFUNCTION("""COMPUTED_VALUE"""),"[412:Subnodes] Does not match the Node ID described in the FRG drawing.")</f>
        <v>[412:Subnodes] Does not match the Node ID described in the FRG drawing.</v>
      </c>
      <c r="AJ13" s="225" t="str">
        <f>IFERROR(__xludf.DUMMYFUNCTION("""COMPUTED_VALUE"""),"A6ld.L5PT")</f>
        <v>A6ld.L5PT</v>
      </c>
    </row>
    <row r="14">
      <c r="A14" s="218" t="str">
        <f>IFERROR(__xludf.DUMMYFUNCTION("""COMPUTED_VALUE"""),"Cell Reports")</f>
        <v>Cell Reports</v>
      </c>
      <c r="B14" s="221">
        <f>IFERROR(__xludf.DUMMYFUNCTION("""COMPUTED_VALUE"""),0.95)</f>
        <v>0.95</v>
      </c>
      <c r="C14" s="218"/>
      <c r="E14" s="218" t="str">
        <f>IFERROR(__xludf.DUMMYFUNCTION("""COMPUTED_VALUE"""),"(Reserve Items)")</f>
        <v>(Reserve Items)</v>
      </c>
      <c r="F14" s="218"/>
      <c r="G14" s="218"/>
      <c r="H14" s="218"/>
      <c r="I14" s="218"/>
      <c r="J14" s="218"/>
      <c r="K14" s="218"/>
      <c r="L14" s="218"/>
      <c r="M14" s="218" t="str">
        <f>IFERROR(__xludf.DUMMYFUNCTION("""COMPUTED_VALUE"""),"CRACM")</f>
        <v>CRACM</v>
      </c>
      <c r="N14" s="222">
        <f>IFERROR(__xludf.DUMMYFUNCTION("""COMPUTED_VALUE"""),0.6)</f>
        <v>0.6</v>
      </c>
      <c r="O14" s="227" t="str">
        <f>IFERROR(__xludf.DUMMYFUNCTION("""COMPUTED_VALUE"""),"CRACM (CHANNELRHODOPSIN-2-ASSISTED CIRCUIT MAPPING)( https://www.mightexbio.com/what-is-cracm/)")</f>
        <v>CRACM (CHANNELRHODOPSIN-2-ASSISTED CIRCUIT MAPPING)( https://www.mightexbio.com/what-is-cracm/)</v>
      </c>
      <c r="T14" s="218" t="str">
        <f t="shared" si="1"/>
        <v>[Ango, 2019]</v>
      </c>
      <c r="U14" s="218" t="s">
        <v>103</v>
      </c>
      <c r="AD14" s="224" t="str">
        <f>IFERROR(__xludf.DUMMYFUNCTION("""COMPUTED_VALUE"""),"")</f>
        <v/>
      </c>
      <c r="AE14" s="224" t="str">
        <f>IFERROR(__xludf.DUMMYFUNCTION("""COMPUTED_VALUE"""),"")</f>
        <v/>
      </c>
      <c r="AF14" s="224" t="str">
        <f>IFERROR(__xludf.DUMMYFUNCTION("""COMPUTED_VALUE"""),"")</f>
        <v/>
      </c>
      <c r="AG14" s="224" t="str">
        <f>IFERROR(__xludf.DUMMYFUNCTION("""COMPUTED_VALUE"""),"[413:Subnodes] When comparing the FRG diagram with its dependent Subnodes, there are discrepancies in the listed Subnodes.")</f>
        <v>[413:Subnodes] When comparing the FRG diagram with its dependent Subnodes, there are discrepancies in the listed Subnodes.</v>
      </c>
      <c r="AJ14" s="225" t="str">
        <f>IFERROR(__xludf.DUMMYFUNCTION("""COMPUTED_VALUE"""),"A8.L5PT")</f>
        <v>A8.L5PT</v>
      </c>
    </row>
    <row r="15">
      <c r="A15" s="218" t="str">
        <f>IFERROR(__xludf.DUMMYFUNCTION("""COMPUTED_VALUE"""),"Cerebellum {\&amp;}amp$\mathsemicolon$ Ataxias")</f>
        <v>Cerebellum {\&amp;}amp$\mathsemicolon$ Ataxias</v>
      </c>
      <c r="B15" s="221">
        <f>IFERROR(__xludf.DUMMYFUNCTION("""COMPUTED_VALUE"""),0.95)</f>
        <v>0.95</v>
      </c>
      <c r="C15" s="218"/>
      <c r="E15" s="218"/>
      <c r="F15" s="218"/>
      <c r="G15" s="218"/>
      <c r="H15" s="218"/>
      <c r="I15" s="218"/>
      <c r="J15" s="218"/>
      <c r="K15" s="218"/>
      <c r="L15" s="218"/>
      <c r="M15" s="218" t="str">
        <f>IFERROR(__xludf.DUMMYFUNCTION("""COMPUTED_VALUE"""),"Anatomical connection in a secondary source")</f>
        <v>Anatomical connection in a secondary source</v>
      </c>
      <c r="N15" s="218">
        <f>IFERROR(__xludf.DUMMYFUNCTION("""COMPUTED_VALUE"""),0.5)</f>
        <v>0.5</v>
      </c>
      <c r="O15" s="218"/>
      <c r="T15" s="218" t="str">
        <f t="shared" si="1"/>
        <v>[Apps, 2018]</v>
      </c>
      <c r="U15" s="218" t="s">
        <v>104</v>
      </c>
      <c r="AD15" s="224" t="str">
        <f>IFERROR(__xludf.DUMMYFUNCTION("""COMPUTED_VALUE"""),"")</f>
        <v/>
      </c>
      <c r="AE15" s="224" t="str">
        <f>IFERROR(__xludf.DUMMYFUNCTION("""COMPUTED_VALUE"""),"")</f>
        <v/>
      </c>
      <c r="AF15" s="224" t="str">
        <f>IFERROR(__xludf.DUMMYFUNCTION("""COMPUTED_VALUE"""),"")</f>
        <v/>
      </c>
      <c r="AG15" s="224" t="str">
        <f>IFERROR(__xludf.DUMMYFUNCTION("""COMPUTED_VALUE"""),"")</f>
        <v/>
      </c>
      <c r="AJ15" s="225" t="str">
        <f>IFERROR(__xludf.DUMMYFUNCTION("""COMPUTED_VALUE"""),"A9.L5PT")</f>
        <v>A9.L5PT</v>
      </c>
    </row>
    <row r="16">
      <c r="A16" s="218" t="str">
        <f>IFERROR(__xludf.DUMMYFUNCTION("""COMPUTED_VALUE"""),"Cerebral Cortex")</f>
        <v>Cerebral Cortex</v>
      </c>
      <c r="B16" s="221">
        <f>IFERROR(__xludf.DUMMYFUNCTION("""COMPUTED_VALUE"""),0.95)</f>
        <v>0.95</v>
      </c>
      <c r="C16" s="218"/>
      <c r="E16" s="218"/>
      <c r="F16" s="218"/>
      <c r="G16" s="218"/>
      <c r="H16" s="218"/>
      <c r="I16" s="218"/>
      <c r="J16" s="218"/>
      <c r="K16" s="218"/>
      <c r="L16" s="218"/>
      <c r="M16" s="218" t="str">
        <f>IFERROR(__xludf.DUMMYFUNCTION("""COMPUTED_VALUE"""),"Functional connection in a secondary source")</f>
        <v>Functional connection in a secondary source</v>
      </c>
      <c r="N16" s="218">
        <f>IFERROR(__xludf.DUMMYFUNCTION("""COMPUTED_VALUE"""),0.1)</f>
        <v>0.1</v>
      </c>
      <c r="O16" s="218"/>
      <c r="T16" s="218" t="str">
        <f t="shared" si="1"/>
        <v>[Baker, 2018]</v>
      </c>
      <c r="U16" s="218" t="s">
        <v>105</v>
      </c>
      <c r="AD16" s="224" t="str">
        <f>IFERROR(__xludf.DUMMYFUNCTION("""COMPUTED_VALUE"""),"")</f>
        <v/>
      </c>
      <c r="AE16" s="224" t="str">
        <f>IFERROR(__xludf.DUMMYFUNCTION("""COMPUTED_VALUE"""),"")</f>
        <v/>
      </c>
      <c r="AF16" s="224" t="str">
        <f>IFERROR(__xludf.DUMMYFUNCTION("""COMPUTED_VALUE"""),"")</f>
        <v/>
      </c>
      <c r="AG16" s="224" t="str">
        <f>IFERROR(__xludf.DUMMYFUNCTION("""COMPUTED_VALUE"""),"")</f>
        <v/>
      </c>
      <c r="AJ16" s="225" t="str">
        <f>IFERROR(__xludf.DUMMYFUNCTION("""COMPUTED_VALUE"""),"AIN")</f>
        <v>AIN</v>
      </c>
    </row>
    <row r="17">
      <c r="A17" s="218" t="str">
        <f>IFERROR(__xludf.DUMMYFUNCTION("""COMPUTED_VALUE"""),"Cortex")</f>
        <v>Cortex</v>
      </c>
      <c r="B17" s="221">
        <f>IFERROR(__xludf.DUMMYFUNCTION("""COMPUTED_VALUE"""),0.95)</f>
        <v>0.95</v>
      </c>
      <c r="C17" s="218"/>
      <c r="E17" s="218"/>
      <c r="F17" s="218"/>
      <c r="G17" s="218"/>
      <c r="H17" s="218"/>
      <c r="I17" s="218"/>
      <c r="J17" s="218"/>
      <c r="K17" s="218"/>
      <c r="L17" s="218"/>
      <c r="M17" s="218" t="str">
        <f>IFERROR(__xludf.DUMMYFUNCTION("""COMPUTED_VALUE"""),"(No description)")</f>
        <v>(No description)</v>
      </c>
      <c r="N17" s="218">
        <f>IFERROR(__xludf.DUMMYFUNCTION("""COMPUTED_VALUE"""),0.1)</f>
        <v>0.1</v>
      </c>
      <c r="O17" s="218"/>
      <c r="T17" s="218" t="str">
        <f t="shared" si="1"/>
        <v>[Barmack, 2000]</v>
      </c>
      <c r="U17" s="218" t="s">
        <v>106</v>
      </c>
      <c r="AD17" s="224" t="str">
        <f>IFERROR(__xludf.DUMMYFUNCTION("""COMPUTED_VALUE"""),"")</f>
        <v/>
      </c>
      <c r="AE17" s="224" t="str">
        <f>IFERROR(__xludf.DUMMYFUNCTION("""COMPUTED_VALUE"""),"")</f>
        <v/>
      </c>
      <c r="AF17" s="224" t="str">
        <f>IFERROR(__xludf.DUMMYFUNCTION("""COMPUTED_VALUE"""),"")</f>
        <v/>
      </c>
      <c r="AG17" s="224" t="str">
        <f>IFERROR(__xludf.DUMMYFUNCTION("""COMPUTED_VALUE"""),"")</f>
        <v/>
      </c>
      <c r="AJ17" s="225" t="str">
        <f>IFERROR(__xludf.DUMMYFUNCTION("""COMPUTED_VALUE"""),"aRF")</f>
        <v>aRF</v>
      </c>
    </row>
    <row r="18">
      <c r="A18" s="218" t="str">
        <f>IFERROR(__xludf.DUMMYFUNCTION("""COMPUTED_VALUE"""),"Current Biology")</f>
        <v>Current Biology</v>
      </c>
      <c r="B18" s="221">
        <f>IFERROR(__xludf.DUMMYFUNCTION("""COMPUTED_VALUE"""),0.95)</f>
        <v>0.95</v>
      </c>
      <c r="C18" s="218"/>
      <c r="E18" s="218"/>
      <c r="F18" s="218"/>
      <c r="G18" s="218"/>
      <c r="H18" s="218"/>
      <c r="I18" s="218"/>
      <c r="J18" s="218"/>
      <c r="K18" s="218"/>
      <c r="L18" s="218"/>
      <c r="M18" s="218" t="str">
        <f>IFERROR(__xludf.DUMMYFUNCTION("""COMPUTED_VALUE"""),"Mixed")</f>
        <v>Mixed</v>
      </c>
      <c r="N18" s="218">
        <f>IFERROR(__xludf.DUMMYFUNCTION("""COMPUTED_VALUE"""),0.3)</f>
        <v>0.3</v>
      </c>
      <c r="O18" s="218"/>
      <c r="T18" s="218" t="str">
        <f t="shared" si="1"/>
        <v>[Basile, 2021]</v>
      </c>
      <c r="U18" s="218" t="s">
        <v>107</v>
      </c>
      <c r="AD18" s="224" t="str">
        <f>IFERROR(__xludf.DUMMYFUNCTION("""COMPUTED_VALUE"""),"")</f>
        <v/>
      </c>
      <c r="AE18" s="224" t="str">
        <f>IFERROR(__xludf.DUMMYFUNCTION("""COMPUTED_VALUE"""),"")</f>
        <v/>
      </c>
      <c r="AF18" s="224" t="str">
        <f>IFERROR(__xludf.DUMMYFUNCTION("""COMPUTED_VALUE"""),"")</f>
        <v/>
      </c>
      <c r="AG18" s="224" t="str">
        <f>IFERROR(__xludf.DUMMYFUNCTION("""COMPUTED_VALUE"""),"")</f>
        <v/>
      </c>
      <c r="AJ18" s="225" t="str">
        <f>IFERROR(__xludf.DUMMYFUNCTION("""COMPUTED_VALUE"""),"CA1_distal")</f>
        <v>CA1_distal</v>
      </c>
    </row>
    <row r="19">
      <c r="A19" s="218" t="str">
        <f>IFERROR(__xludf.DUMMYFUNCTION("""COMPUTED_VALUE"""),"Current Opinion in Behavioral Sciences")</f>
        <v>Current Opinion in Behavioral Sciences</v>
      </c>
      <c r="B19" s="221">
        <f>IFERROR(__xludf.DUMMYFUNCTION("""COMPUTED_VALUE"""),0.95)</f>
        <v>0.95</v>
      </c>
      <c r="C19" s="218"/>
      <c r="E19" s="218"/>
      <c r="F19" s="218"/>
      <c r="G19" s="218"/>
      <c r="H19" s="218"/>
      <c r="I19" s="218"/>
      <c r="J19" s="218"/>
      <c r="K19" s="218"/>
      <c r="L19" s="218"/>
      <c r="M19" s="218" t="str">
        <f>IFERROR(__xludf.DUMMYFUNCTION("""COMPUTED_VALUE"""),"Unsurveyed secondary source")</f>
        <v>Unsurveyed secondary source</v>
      </c>
      <c r="N19" s="218">
        <f>IFERROR(__xludf.DUMMYFUNCTION("""COMPUTED_VALUE"""),0.1)</f>
        <v>0.1</v>
      </c>
      <c r="O19" s="218"/>
      <c r="T19" s="218" t="str">
        <f t="shared" si="1"/>
        <v>[Behrendt, 2013]</v>
      </c>
      <c r="U19" s="218" t="s">
        <v>108</v>
      </c>
      <c r="AD19" s="224" t="str">
        <f>IFERROR(__xludf.DUMMYFUNCTION("""COMPUTED_VALUE"""),"")</f>
        <v/>
      </c>
      <c r="AE19" s="224" t="str">
        <f>IFERROR(__xludf.DUMMYFUNCTION("""COMPUTED_VALUE"""),"")</f>
        <v/>
      </c>
      <c r="AF19" s="224" t="str">
        <f>IFERROR(__xludf.DUMMYFUNCTION("""COMPUTED_VALUE"""),"")</f>
        <v/>
      </c>
      <c r="AG19" s="224" t="str">
        <f>IFERROR(__xludf.DUMMYFUNCTION("""COMPUTED_VALUE"""),"")</f>
        <v/>
      </c>
      <c r="AJ19" s="225" t="str">
        <f>IFERROR(__xludf.DUMMYFUNCTION("""COMPUTED_VALUE"""),"CA1_proximal")</f>
        <v>CA1_proximal</v>
      </c>
    </row>
    <row r="20">
      <c r="A20" s="218" t="str">
        <f>IFERROR(__xludf.DUMMYFUNCTION("""COMPUTED_VALUE"""),"Current Opinion in Neurobiology")</f>
        <v>Current Opinion in Neurobiology</v>
      </c>
      <c r="B20" s="221">
        <f>IFERROR(__xludf.DUMMYFUNCTION("""COMPUTED_VALUE"""),0.95)</f>
        <v>0.95</v>
      </c>
      <c r="C20" s="218"/>
      <c r="E20" s="218"/>
      <c r="F20" s="218"/>
      <c r="G20" s="218"/>
      <c r="H20" s="218"/>
      <c r="I20" s="218"/>
      <c r="J20" s="218"/>
      <c r="K20" s="218"/>
      <c r="L20" s="218"/>
      <c r="M20" s="218" t="str">
        <f>IFERROR(__xludf.DUMMYFUNCTION("""COMPUTED_VALUE"""),"Hypothetical")</f>
        <v>Hypothetical</v>
      </c>
      <c r="N20" s="218">
        <f>IFERROR(__xludf.DUMMYFUNCTION("""COMPUTED_VALUE"""),0.1)</f>
        <v>0.1</v>
      </c>
      <c r="O20" s="218"/>
      <c r="T20" s="218" t="str">
        <f t="shared" si="1"/>
        <v>[Benarroch, 2008]</v>
      </c>
      <c r="U20" s="218" t="s">
        <v>109</v>
      </c>
      <c r="AD20" s="224" t="str">
        <f>IFERROR(__xludf.DUMMYFUNCTION("""COMPUTED_VALUE"""),"")</f>
        <v/>
      </c>
      <c r="AE20" s="224" t="str">
        <f>IFERROR(__xludf.DUMMYFUNCTION("""COMPUTED_VALUE"""),"")</f>
        <v/>
      </c>
      <c r="AF20" s="224" t="str">
        <f>IFERROR(__xludf.DUMMYFUNCTION("""COMPUTED_VALUE"""),"")</f>
        <v/>
      </c>
      <c r="AG20" s="224" t="str">
        <f>IFERROR(__xludf.DUMMYFUNCTION("""COMPUTED_VALUE"""),"")</f>
        <v/>
      </c>
      <c r="AJ20" s="225" t="str">
        <f>IFERROR(__xludf.DUMMYFUNCTION("""COMPUTED_VALUE"""),"CBLg")</f>
        <v>CBLg</v>
      </c>
    </row>
    <row r="21">
      <c r="A21" s="218" t="str">
        <f>IFERROR(__xludf.DUMMYFUNCTION("""COMPUTED_VALUE"""),"eneuro")</f>
        <v>eneuro</v>
      </c>
      <c r="B21" s="221">
        <f>IFERROR(__xludf.DUMMYFUNCTION("""COMPUTED_VALUE"""),0.95)</f>
        <v>0.95</v>
      </c>
      <c r="C21" s="218"/>
      <c r="E21" s="218"/>
      <c r="F21" s="218"/>
      <c r="G21" s="218"/>
      <c r="H21" s="218"/>
      <c r="I21" s="218"/>
      <c r="J21" s="218"/>
      <c r="K21" s="218"/>
      <c r="L21" s="218"/>
      <c r="M21" s="218" t="str">
        <f>IFERROR(__xludf.DUMMYFUNCTION("""COMPUTED_VALUE"""),"Anterograde tracing")</f>
        <v>Anterograde tracing</v>
      </c>
      <c r="N21" s="218">
        <f>IFERROR(__xludf.DUMMYFUNCTION("""COMPUTED_VALUE"""),0.95)</f>
        <v>0.95</v>
      </c>
      <c r="O21" s="218"/>
      <c r="T21" s="218" t="str">
        <f t="shared" si="1"/>
        <v>[Bohne, 2019]</v>
      </c>
      <c r="U21" s="218" t="s">
        <v>110</v>
      </c>
      <c r="AD21" s="224" t="str">
        <f>IFERROR(__xludf.DUMMYFUNCTION("""COMPUTED_VALUE"""),"")</f>
        <v/>
      </c>
      <c r="AE21" s="224" t="str">
        <f>IFERROR(__xludf.DUMMYFUNCTION("""COMPUTED_VALUE"""),"")</f>
        <v/>
      </c>
      <c r="AF21" s="224" t="str">
        <f>IFERROR(__xludf.DUMMYFUNCTION("""COMPUTED_VALUE"""),"")</f>
        <v/>
      </c>
      <c r="AG21" s="224" t="str">
        <f>IFERROR(__xludf.DUMMYFUNCTION("""COMPUTED_VALUE"""),"")</f>
        <v/>
      </c>
      <c r="AJ21" s="225" t="str">
        <f>IFERROR(__xludf.DUMMYFUNCTION("""COMPUTED_VALUE"""),"CBLp")</f>
        <v>CBLp</v>
      </c>
    </row>
    <row r="22">
      <c r="A22" s="218" t="str">
        <f>IFERROR(__xludf.DUMMYFUNCTION("""COMPUTED_VALUE"""),"Equilibrium Research")</f>
        <v>Equilibrium Research</v>
      </c>
      <c r="B22" s="221">
        <f>IFERROR(__xludf.DUMMYFUNCTION("""COMPUTED_VALUE"""),0.95)</f>
        <v>0.95</v>
      </c>
      <c r="C22" s="218"/>
      <c r="E22" s="218"/>
      <c r="F22" s="218"/>
      <c r="G22" s="218"/>
      <c r="H22" s="218"/>
      <c r="I22" s="218"/>
      <c r="J22" s="218"/>
      <c r="K22" s="218"/>
      <c r="L22" s="218"/>
      <c r="M22" s="218" t="str">
        <f>IFERROR(__xludf.DUMMYFUNCTION("""COMPUTED_VALUE"""),"Single cell tracing")</f>
        <v>Single cell tracing</v>
      </c>
      <c r="N22" s="218">
        <f>IFERROR(__xludf.DUMMYFUNCTION("""COMPUTED_VALUE"""),0.95)</f>
        <v>0.95</v>
      </c>
      <c r="O22" s="218"/>
      <c r="T22" s="218" t="str">
        <f t="shared" si="1"/>
        <v>[Bolam, 2010]</v>
      </c>
      <c r="U22" s="218" t="s">
        <v>111</v>
      </c>
      <c r="AD22" s="224" t="str">
        <f>IFERROR(__xludf.DUMMYFUNCTION("""COMPUTED_VALUE"""),"")</f>
        <v/>
      </c>
      <c r="AE22" s="224" t="str">
        <f>IFERROR(__xludf.DUMMYFUNCTION("""COMPUTED_VALUE"""),"")</f>
        <v/>
      </c>
      <c r="AF22" s="224" t="str">
        <f>IFERROR(__xludf.DUMMYFUNCTION("""COMPUTED_VALUE"""),"")</f>
        <v/>
      </c>
      <c r="AG22" s="224" t="str">
        <f>IFERROR(__xludf.DUMMYFUNCTION("""COMPUTED_VALUE"""),"")</f>
        <v/>
      </c>
      <c r="AJ22" s="225" t="str">
        <f>IFERROR(__xludf.DUMMYFUNCTION("""COMPUTED_VALUE"""),"CBPVg")</f>
        <v>CBPVg</v>
      </c>
    </row>
    <row r="23">
      <c r="A23" s="218" t="str">
        <f>IFERROR(__xludf.DUMMYFUNCTION("""COMPUTED_VALUE"""),"European Journal of Neuroscience")</f>
        <v>European Journal of Neuroscience</v>
      </c>
      <c r="B23" s="221">
        <f>IFERROR(__xludf.DUMMYFUNCTION("""COMPUTED_VALUE"""),0.95)</f>
        <v>0.95</v>
      </c>
      <c r="C23" s="218"/>
      <c r="E23" s="218"/>
      <c r="F23" s="218"/>
      <c r="G23" s="218"/>
      <c r="H23" s="218"/>
      <c r="I23" s="218"/>
      <c r="J23" s="218"/>
      <c r="K23" s="218"/>
      <c r="L23" s="218"/>
      <c r="M23" s="218" t="str">
        <f>IFERROR(__xludf.DUMMYFUNCTION("""COMPUTED_VALUE"""),"(Reserve Items)")</f>
        <v>(Reserve Items)</v>
      </c>
      <c r="N23" s="218"/>
      <c r="O23" s="218"/>
      <c r="T23" s="218" t="str">
        <f t="shared" si="1"/>
        <v>[Bonjean, 2012]</v>
      </c>
      <c r="U23" s="218" t="s">
        <v>112</v>
      </c>
      <c r="AD23" s="224" t="str">
        <f>IFERROR(__xludf.DUMMYFUNCTION("""COMPUTED_VALUE"""),"")</f>
        <v/>
      </c>
      <c r="AE23" s="224" t="str">
        <f>IFERROR(__xludf.DUMMYFUNCTION("""COMPUTED_VALUE"""),"")</f>
        <v/>
      </c>
      <c r="AF23" s="224" t="str">
        <f>IFERROR(__xludf.DUMMYFUNCTION("""COMPUTED_VALUE"""),"")</f>
        <v/>
      </c>
      <c r="AG23" s="224" t="str">
        <f>IFERROR(__xludf.DUMMYFUNCTION("""COMPUTED_VALUE"""),"[422:Circuit ID] The Circuit ID does not match the one described in the BIF Image.")</f>
        <v>[422:Circuit ID] The Circuit ID does not match the one described in the BIF Image.</v>
      </c>
      <c r="AJ23" s="225" t="str">
        <f>IFERROR(__xludf.DUMMYFUNCTION("""COMPUTED_VALUE"""),"CBPVp")</f>
        <v>CBPVp</v>
      </c>
    </row>
    <row r="24">
      <c r="A24" s="218" t="str">
        <f>IFERROR(__xludf.DUMMYFUNCTION("""COMPUTED_VALUE"""),"Experimental Brain Research")</f>
        <v>Experimental Brain Research</v>
      </c>
      <c r="B24" s="221">
        <f>IFERROR(__xludf.DUMMYFUNCTION("""COMPUTED_VALUE"""),0.95)</f>
        <v>0.95</v>
      </c>
      <c r="C24" s="218"/>
      <c r="E24" s="218"/>
      <c r="F24" s="218"/>
      <c r="G24" s="218"/>
      <c r="H24" s="218"/>
      <c r="I24" s="218"/>
      <c r="J24" s="218"/>
      <c r="K24" s="218"/>
      <c r="L24" s="218"/>
      <c r="M24" s="218"/>
      <c r="N24" s="218"/>
      <c r="O24" s="218"/>
      <c r="T24" s="218" t="str">
        <f t="shared" si="1"/>
        <v>[Bradfield, 2013]</v>
      </c>
      <c r="U24" s="218" t="s">
        <v>113</v>
      </c>
      <c r="AD24" s="224" t="str">
        <f>IFERROR(__xludf.DUMMYFUNCTION("""COMPUTED_VALUE"""),"")</f>
        <v/>
      </c>
      <c r="AE24" s="224" t="str">
        <f>IFERROR(__xludf.DUMMYFUNCTION("""COMPUTED_VALUE"""),"")</f>
        <v/>
      </c>
      <c r="AF24" s="224" t="str">
        <f>IFERROR(__xludf.DUMMYFUNCTION("""COMPUTED_VALUE"""),"")</f>
        <v/>
      </c>
      <c r="AG24" s="224" t="str">
        <f>IFERROR(__xludf.DUMMYFUNCTION("""COMPUTED_VALUE"""),"[423:Circuit ID] Not all of the Uniform Circuits described in the BIF Image are being used.")</f>
        <v>[423:Circuit ID] Not all of the Uniform Circuits described in the BIF Image are being used.</v>
      </c>
      <c r="AJ24" s="225" t="str">
        <f>IFERROR(__xludf.DUMMYFUNCTION("""COMPUTED_VALUE"""),"CBVg")</f>
        <v>CBVg</v>
      </c>
    </row>
    <row r="25">
      <c r="A25" s="218" t="str">
        <f>IFERROR(__xludf.DUMMYFUNCTION("""COMPUTED_VALUE"""),"Experimental Neurology")</f>
        <v>Experimental Neurology</v>
      </c>
      <c r="B25" s="221">
        <f>IFERROR(__xludf.DUMMYFUNCTION("""COMPUTED_VALUE"""),0.95)</f>
        <v>0.95</v>
      </c>
      <c r="C25" s="218"/>
      <c r="E25" s="218"/>
      <c r="F25" s="218"/>
      <c r="G25" s="218"/>
      <c r="H25" s="218"/>
      <c r="I25" s="218"/>
      <c r="J25" s="218"/>
      <c r="K25" s="218"/>
      <c r="L25" s="218"/>
      <c r="M25" s="218"/>
      <c r="N25" s="218"/>
      <c r="O25" s="218"/>
      <c r="T25" s="218" t="str">
        <f t="shared" si="1"/>
        <v>[Brun, 2002]</v>
      </c>
      <c r="U25" s="218" t="s">
        <v>114</v>
      </c>
      <c r="AD25" s="224" t="str">
        <f>IFERROR(__xludf.DUMMYFUNCTION("""COMPUTED_VALUE"""),"")</f>
        <v/>
      </c>
      <c r="AE25" s="224" t="str">
        <f>IFERROR(__xludf.DUMMYFUNCTION("""COMPUTED_VALUE"""),"")</f>
        <v/>
      </c>
      <c r="AF25" s="224" t="str">
        <f>IFERROR(__xludf.DUMMYFUNCTION("""COMPUTED_VALUE"""),"")</f>
        <v/>
      </c>
      <c r="AG25" s="224" t="str">
        <f>IFERROR(__xludf.DUMMYFUNCTION("""COMPUTED_VALUE"""),"")</f>
        <v/>
      </c>
      <c r="AJ25" s="225" t="str">
        <f>IFERROR(__xludf.DUMMYFUNCTION("""COMPUTED_VALUE"""),"CBVp")</f>
        <v>CBVp</v>
      </c>
    </row>
    <row r="26">
      <c r="A26" s="218" t="str">
        <f>IFERROR(__xludf.DUMMYFUNCTION("""COMPUTED_VALUE"""),"Folia morphologica")</f>
        <v>Folia morphologica</v>
      </c>
      <c r="B26" s="221">
        <f>IFERROR(__xludf.DUMMYFUNCTION("""COMPUTED_VALUE"""),0.95)</f>
        <v>0.95</v>
      </c>
      <c r="C26" s="218"/>
      <c r="E26" s="218"/>
      <c r="F26" s="218"/>
      <c r="G26" s="218"/>
      <c r="H26" s="218"/>
      <c r="I26" s="218"/>
      <c r="J26" s="218"/>
      <c r="K26" s="218"/>
      <c r="L26" s="218"/>
      <c r="M26" s="218"/>
      <c r="N26" s="218"/>
      <c r="O26" s="218"/>
      <c r="T26" s="218" t="str">
        <f t="shared" si="1"/>
        <v>[Bubb, 2017]</v>
      </c>
      <c r="U26" s="218" t="s">
        <v>115</v>
      </c>
      <c r="AD26" s="224" t="str">
        <f>IFERROR(__xludf.DUMMYFUNCTION("""COMPUTED_VALUE"""),"")</f>
        <v/>
      </c>
      <c r="AE26" s="224" t="str">
        <f>IFERROR(__xludf.DUMMYFUNCTION("""COMPUTED_VALUE"""),"")</f>
        <v/>
      </c>
      <c r="AF26" s="224" t="str">
        <f>IFERROR(__xludf.DUMMYFUNCTION("""COMPUTED_VALUE"""),"")</f>
        <v/>
      </c>
      <c r="AG26" s="224" t="str">
        <f>IFERROR(__xludf.DUMMYFUNCTION("""COMPUTED_VALUE"""),"")</f>
        <v/>
      </c>
      <c r="AJ26" s="225" t="str">
        <f>IFERROR(__xludf.DUMMYFUNCTION("""COMPUTED_VALUE"""),"cSCI")</f>
        <v>cSCI</v>
      </c>
    </row>
    <row r="27">
      <c r="A27" s="218" t="str">
        <f>IFERROR(__xludf.DUMMYFUNCTION("""COMPUTED_VALUE"""),"Frontiers in Computational Neuroscience")</f>
        <v>Frontiers in Computational Neuroscience</v>
      </c>
      <c r="B27" s="221">
        <f>IFERROR(__xludf.DUMMYFUNCTION("""COMPUTED_VALUE"""),0.95)</f>
        <v>0.95</v>
      </c>
      <c r="C27" s="218"/>
      <c r="E27" s="218"/>
      <c r="F27" s="218"/>
      <c r="G27" s="218"/>
      <c r="H27" s="218"/>
      <c r="I27" s="218"/>
      <c r="J27" s="218"/>
      <c r="K27" s="218"/>
      <c r="L27" s="218"/>
      <c r="M27" s="218"/>
      <c r="N27" s="218"/>
      <c r="O27" s="218"/>
      <c r="T27" s="218" t="str">
        <f t="shared" si="1"/>
        <v>[Burne, 1981]</v>
      </c>
      <c r="U27" s="218" t="s">
        <v>116</v>
      </c>
      <c r="AD27" s="224" t="str">
        <f>IFERROR(__xludf.DUMMYFUNCTION("""COMPUTED_VALUE"""),"")</f>
        <v/>
      </c>
      <c r="AE27" s="224" t="str">
        <f>IFERROR(__xludf.DUMMYFUNCTION("""COMPUTED_VALUE"""),"")</f>
        <v/>
      </c>
      <c r="AF27" s="224" t="str">
        <f>IFERROR(__xludf.DUMMYFUNCTION("""COMPUTED_VALUE"""),"")</f>
        <v/>
      </c>
      <c r="AG27" s="224" t="str">
        <f>IFERROR(__xludf.DUMMYFUNCTION("""COMPUTED_VALUE"""),"")</f>
        <v/>
      </c>
      <c r="AJ27" s="225" t="str">
        <f>IFERROR(__xludf.DUMMYFUNCTION("""COMPUTED_VALUE"""),"cSCS")</f>
        <v>cSCS</v>
      </c>
    </row>
    <row r="28">
      <c r="A28" s="218" t="str">
        <f>IFERROR(__xludf.DUMMYFUNCTION("""COMPUTED_VALUE"""),"Frontiers in Neural Circuits")</f>
        <v>Frontiers in Neural Circuits</v>
      </c>
      <c r="B28" s="221">
        <f>IFERROR(__xludf.DUMMYFUNCTION("""COMPUTED_VALUE"""),0.95)</f>
        <v>0.95</v>
      </c>
      <c r="C28" s="218"/>
      <c r="E28" s="218"/>
      <c r="F28" s="218"/>
      <c r="G28" s="218"/>
      <c r="H28" s="218"/>
      <c r="I28" s="218"/>
      <c r="J28" s="218"/>
      <c r="K28" s="218"/>
      <c r="L28" s="218"/>
      <c r="M28" s="218"/>
      <c r="N28" s="218"/>
      <c r="O28" s="218"/>
      <c r="T28" s="218" t="str">
        <f t="shared" si="1"/>
        <v>[Carcaud, 2017]</v>
      </c>
      <c r="U28" s="218" t="s">
        <v>117</v>
      </c>
      <c r="AD28" s="224" t="str">
        <f>IFERROR(__xludf.DUMMYFUNCTION("""COMPUTED_VALUE"""),"")</f>
        <v/>
      </c>
      <c r="AE28" s="224" t="str">
        <f>IFERROR(__xludf.DUMMYFUNCTION("""COMPUTED_VALUE"""),"")</f>
        <v/>
      </c>
      <c r="AF28" s="224" t="str">
        <f>IFERROR(__xludf.DUMMYFUNCTION("""COMPUTED_VALUE"""),"")</f>
        <v/>
      </c>
      <c r="AG28" s="224" t="str">
        <f>IFERROR(__xludf.DUMMYFUNCTION("""COMPUTED_VALUE"""),"")</f>
        <v/>
      </c>
      <c r="AJ28" s="225" t="str">
        <f>IFERROR(__xludf.DUMMYFUNCTION("""COMPUTED_VALUE"""),"Cx.L2_3aIT")</f>
        <v>Cx.L2_3aIT</v>
      </c>
    </row>
    <row r="29">
      <c r="A29" s="218" t="str">
        <f>IFERROR(__xludf.DUMMYFUNCTION("""COMPUTED_VALUE"""),"Frontiers in Neuroanatomy")</f>
        <v>Frontiers in Neuroanatomy</v>
      </c>
      <c r="B29" s="221">
        <f>IFERROR(__xludf.DUMMYFUNCTION("""COMPUTED_VALUE"""),0.95)</f>
        <v>0.95</v>
      </c>
      <c r="C29" s="218"/>
      <c r="E29" s="218"/>
      <c r="F29" s="218"/>
      <c r="G29" s="218"/>
      <c r="H29" s="218"/>
      <c r="I29" s="218"/>
      <c r="J29" s="218"/>
      <c r="K29" s="218"/>
      <c r="L29" s="218"/>
      <c r="M29" s="218"/>
      <c r="N29" s="218"/>
      <c r="O29" s="218"/>
      <c r="T29" s="218" t="str">
        <f t="shared" si="1"/>
        <v>[Chevaleyre, 2010]</v>
      </c>
      <c r="U29" s="218" t="s">
        <v>118</v>
      </c>
      <c r="AD29" s="224" t="str">
        <f>IFERROR(__xludf.DUMMYFUNCTION("""COMPUTED_VALUE"""),"[28:(dummy)] -")</f>
        <v>[28:(dummy)] -</v>
      </c>
      <c r="AE29" s="224" t="str">
        <f>IFERROR(__xludf.DUMMYFUNCTION("""COMPUTED_VALUE"""),"")</f>
        <v/>
      </c>
      <c r="AF29" s="224" t="str">
        <f>IFERROR(__xludf.DUMMYFUNCTION("""COMPUTED_VALUE"""),"")</f>
        <v/>
      </c>
      <c r="AG29" s="224" t="str">
        <f>IFERROR(__xludf.DUMMYFUNCTION("""COMPUTED_VALUE"""),"")</f>
        <v/>
      </c>
      <c r="AJ29" s="225" t="str">
        <f>IFERROR(__xludf.DUMMYFUNCTION("""COMPUTED_VALUE"""),"Cx.L3bIT")</f>
        <v>Cx.L3bIT</v>
      </c>
    </row>
    <row r="30">
      <c r="A30" s="218" t="str">
        <f>IFERROR(__xludf.DUMMYFUNCTION("""COMPUTED_VALUE"""),"Frontiers in Neurology")</f>
        <v>Frontiers in Neurology</v>
      </c>
      <c r="B30" s="221">
        <f>IFERROR(__xludf.DUMMYFUNCTION("""COMPUTED_VALUE"""),0.95)</f>
        <v>0.95</v>
      </c>
      <c r="C30" s="218"/>
      <c r="E30" s="218"/>
      <c r="F30" s="218"/>
      <c r="G30" s="218"/>
      <c r="H30" s="218"/>
      <c r="I30" s="218"/>
      <c r="J30" s="218"/>
      <c r="K30" s="218"/>
      <c r="L30" s="218"/>
      <c r="M30" s="218"/>
      <c r="N30" s="218"/>
      <c r="O30" s="218"/>
      <c r="T30" s="218" t="str">
        <f t="shared" si="1"/>
        <v>[Chiang, 2019]</v>
      </c>
      <c r="U30" s="218" t="s">
        <v>119</v>
      </c>
      <c r="AD30" s="224" t="str">
        <f>IFERROR(__xludf.DUMMYFUNCTION("""COMPUTED_VALUE"""),"")</f>
        <v/>
      </c>
      <c r="AE30" s="224" t="str">
        <f>IFERROR(__xludf.DUMMYFUNCTION("""COMPUTED_VALUE"""),"")</f>
        <v/>
      </c>
      <c r="AF30" s="224" t="str">
        <f>IFERROR(__xludf.DUMMYFUNCTION("""COMPUTED_VALUE"""),"")</f>
        <v/>
      </c>
      <c r="AG30" s="224" t="str">
        <f>IFERROR(__xludf.DUMMYFUNCTION("""COMPUTED_VALUE"""),"")</f>
        <v/>
      </c>
      <c r="AJ30" s="225" t="str">
        <f>IFERROR(__xludf.DUMMYFUNCTION("""COMPUTED_VALUE"""),"Cx.L4PY")</f>
        <v>Cx.L4PY</v>
      </c>
    </row>
    <row r="31">
      <c r="A31" s="218" t="str">
        <f>IFERROR(__xludf.DUMMYFUNCTION("""COMPUTED_VALUE"""),"Frontiers in Psychology")</f>
        <v>Frontiers in Psychology</v>
      </c>
      <c r="B31" s="221">
        <f>IFERROR(__xludf.DUMMYFUNCTION("""COMPUTED_VALUE"""),0.95)</f>
        <v>0.95</v>
      </c>
      <c r="C31" s="218"/>
      <c r="E31" s="218"/>
      <c r="F31" s="218"/>
      <c r="G31" s="218"/>
      <c r="H31" s="218"/>
      <c r="I31" s="218"/>
      <c r="J31" s="218"/>
      <c r="K31" s="218"/>
      <c r="L31" s="218"/>
      <c r="M31" s="218"/>
      <c r="N31" s="218"/>
      <c r="O31" s="218"/>
      <c r="T31" s="218" t="str">
        <f t="shared" si="1"/>
        <v>[Clascá, 2012]</v>
      </c>
      <c r="U31" s="218" t="s">
        <v>120</v>
      </c>
      <c r="AD31" s="224" t="str">
        <f>IFERROR(__xludf.DUMMYFUNCTION("""COMPUTED_VALUE"""),"")</f>
        <v/>
      </c>
      <c r="AE31" s="224" t="str">
        <f>IFERROR(__xludf.DUMMYFUNCTION("""COMPUTED_VALUE"""),"")</f>
        <v/>
      </c>
      <c r="AF31" s="224" t="str">
        <f>IFERROR(__xludf.DUMMYFUNCTION("""COMPUTED_VALUE"""),"")</f>
        <v/>
      </c>
      <c r="AG31" s="224" t="str">
        <f>IFERROR(__xludf.DUMMYFUNCTION("""COMPUTED_VALUE"""),"")</f>
        <v/>
      </c>
      <c r="AJ31" s="225" t="str">
        <f>IFERROR(__xludf.DUMMYFUNCTION("""COMPUTED_VALUE"""),"Cx.L4ST")</f>
        <v>Cx.L4ST</v>
      </c>
    </row>
    <row r="32">
      <c r="A32" s="218" t="str">
        <f>IFERROR(__xludf.DUMMYFUNCTION("""COMPUTED_VALUE"""),"Frontiers in Systems Neuroscience")</f>
        <v>Frontiers in Systems Neuroscience</v>
      </c>
      <c r="B32" s="221">
        <f>IFERROR(__xludf.DUMMYFUNCTION("""COMPUTED_VALUE"""),0.95)</f>
        <v>0.95</v>
      </c>
      <c r="C32" s="218"/>
      <c r="E32" s="218"/>
      <c r="F32" s="218"/>
      <c r="G32" s="218"/>
      <c r="H32" s="218"/>
      <c r="I32" s="218"/>
      <c r="J32" s="218"/>
      <c r="K32" s="218"/>
      <c r="L32" s="218"/>
      <c r="M32" s="218"/>
      <c r="N32" s="218"/>
      <c r="O32" s="218"/>
      <c r="T32" s="218" t="str">
        <f t="shared" si="1"/>
        <v>[Cohen, 1984]</v>
      </c>
      <c r="U32" s="218" t="s">
        <v>121</v>
      </c>
      <c r="AD32" s="224" t="str">
        <f>IFERROR(__xludf.DUMMYFUNCTION("""COMPUTED_VALUE"""),"")</f>
        <v/>
      </c>
      <c r="AE32" s="224" t="str">
        <f>IFERROR(__xludf.DUMMYFUNCTION("""COMPUTED_VALUE"""),"")</f>
        <v/>
      </c>
      <c r="AF32" s="224" t="str">
        <f>IFERROR(__xludf.DUMMYFUNCTION("""COMPUTED_VALUE"""),"")</f>
        <v/>
      </c>
      <c r="AG32" s="224" t="str">
        <f>IFERROR(__xludf.DUMMYFUNCTION("""COMPUTED_VALUE"""),"")</f>
        <v/>
      </c>
      <c r="AJ32" s="225" t="str">
        <f>IFERROR(__xludf.DUMMYFUNCTION("""COMPUTED_VALUE"""),"Cx.L5IN")</f>
        <v>Cx.L5IN</v>
      </c>
    </row>
    <row r="33">
      <c r="A33" s="218" t="str">
        <f>IFERROR(__xludf.DUMMYFUNCTION("""COMPUTED_VALUE"""),"Genome Biology")</f>
        <v>Genome Biology</v>
      </c>
      <c r="B33" s="221">
        <f>IFERROR(__xludf.DUMMYFUNCTION("""COMPUTED_VALUE"""),0.95)</f>
        <v>0.95</v>
      </c>
      <c r="C33" s="218"/>
      <c r="E33" s="218"/>
      <c r="F33" s="218"/>
      <c r="G33" s="218"/>
      <c r="H33" s="218"/>
      <c r="I33" s="218"/>
      <c r="J33" s="218"/>
      <c r="K33" s="218"/>
      <c r="L33" s="218"/>
      <c r="M33" s="218"/>
      <c r="N33" s="218"/>
      <c r="O33" s="218"/>
      <c r="T33" s="218" t="str">
        <f t="shared" si="1"/>
        <v>[Coudé, 2018]</v>
      </c>
      <c r="U33" s="218" t="s">
        <v>122</v>
      </c>
      <c r="AD33" s="224" t="str">
        <f>IFERROR(__xludf.DUMMYFUNCTION("""COMPUTED_VALUE"""),"")</f>
        <v/>
      </c>
      <c r="AE33" s="224" t="str">
        <f>IFERROR(__xludf.DUMMYFUNCTION("""COMPUTED_VALUE"""),"")</f>
        <v/>
      </c>
      <c r="AF33" s="224" t="str">
        <f>IFERROR(__xludf.DUMMYFUNCTION("""COMPUTED_VALUE"""),"")</f>
        <v/>
      </c>
      <c r="AG33" s="224" t="str">
        <f>IFERROR(__xludf.DUMMYFUNCTION("""COMPUTED_VALUE"""),"[432:Projected Circuits] The output destination Circuit ID does not match the one described in the BIF Image.")</f>
        <v>[432:Projected Circuits] The output destination Circuit ID does not match the one described in the BIF Image.</v>
      </c>
      <c r="AJ33" s="225" t="str">
        <f>IFERROR(__xludf.DUMMYFUNCTION("""COMPUTED_VALUE"""),"Cx.L5IT")</f>
        <v>Cx.L5IT</v>
      </c>
    </row>
    <row r="34">
      <c r="A34" s="218" t="str">
        <f>IFERROR(__xludf.DUMMYFUNCTION("""COMPUTED_VALUE"""),"Handbook of Brain Microcircuits")</f>
        <v>Handbook of Brain Microcircuits</v>
      </c>
      <c r="B34" s="221">
        <f>IFERROR(__xludf.DUMMYFUNCTION("""COMPUTED_VALUE"""),0.95)</f>
        <v>0.95</v>
      </c>
      <c r="C34" s="218"/>
      <c r="E34" s="218"/>
      <c r="F34" s="218"/>
      <c r="G34" s="218"/>
      <c r="H34" s="218"/>
      <c r="I34" s="218"/>
      <c r="J34" s="218"/>
      <c r="K34" s="218"/>
      <c r="L34" s="218"/>
      <c r="M34" s="218"/>
      <c r="N34" s="218"/>
      <c r="O34" s="218"/>
      <c r="T34" s="218" t="str">
        <f t="shared" si="1"/>
        <v>[Crittenden, 2011]</v>
      </c>
      <c r="U34" s="218" t="s">
        <v>123</v>
      </c>
      <c r="AD34" s="224" t="str">
        <f>IFERROR(__xludf.DUMMYFUNCTION("""COMPUTED_VALUE"""),"")</f>
        <v/>
      </c>
      <c r="AE34" s="224" t="str">
        <f>IFERROR(__xludf.DUMMYFUNCTION("""COMPUTED_VALUE"""),"")</f>
        <v/>
      </c>
      <c r="AF34" s="224" t="str">
        <f>IFERROR(__xludf.DUMMYFUNCTION("""COMPUTED_VALUE"""),"")</f>
        <v/>
      </c>
      <c r="AG34" s="224" t="str">
        <f>IFERROR(__xludf.DUMMYFUNCTION("""COMPUTED_VALUE"""),"")</f>
        <v/>
      </c>
      <c r="AJ34" s="225" t="str">
        <f>IFERROR(__xludf.DUMMYFUNCTION("""COMPUTED_VALUE"""),"Cx.L5PT")</f>
        <v>Cx.L5PT</v>
      </c>
    </row>
    <row r="35">
      <c r="A35" s="218" t="str">
        <f>IFERROR(__xludf.DUMMYFUNCTION("""COMPUTED_VALUE"""),"Hippocampus")</f>
        <v>Hippocampus</v>
      </c>
      <c r="B35" s="221">
        <f>IFERROR(__xludf.DUMMYFUNCTION("""COMPUTED_VALUE"""),0.95)</f>
        <v>0.95</v>
      </c>
      <c r="C35" s="218"/>
      <c r="E35" s="218"/>
      <c r="F35" s="218"/>
      <c r="G35" s="218"/>
      <c r="H35" s="218"/>
      <c r="I35" s="218"/>
      <c r="J35" s="218"/>
      <c r="K35" s="218"/>
      <c r="L35" s="218"/>
      <c r="M35" s="218"/>
      <c r="N35" s="218"/>
      <c r="O35" s="218"/>
      <c r="T35" s="218" t="str">
        <f t="shared" si="1"/>
        <v>[Cromer, 2007]</v>
      </c>
      <c r="U35" s="218" t="s">
        <v>124</v>
      </c>
      <c r="AD35" s="224" t="str">
        <f>IFERROR(__xludf.DUMMYFUNCTION("""COMPUTED_VALUE"""),"")</f>
        <v/>
      </c>
      <c r="AE35" s="224" t="str">
        <f>IFERROR(__xludf.DUMMYFUNCTION("""COMPUTED_VALUE"""),"")</f>
        <v/>
      </c>
      <c r="AF35" s="224" t="str">
        <f>IFERROR(__xludf.DUMMYFUNCTION("""COMPUTED_VALUE"""),"")</f>
        <v/>
      </c>
      <c r="AG35" s="224" t="str">
        <f>IFERROR(__xludf.DUMMYFUNCTION("""COMPUTED_VALUE"""),"")</f>
        <v/>
      </c>
      <c r="AJ35" s="225" t="str">
        <f>IFERROR(__xludf.DUMMYFUNCTION("""COMPUTED_VALUE"""),"Cx.L6CLA")</f>
        <v>Cx.L6CLA</v>
      </c>
    </row>
    <row r="36">
      <c r="A36" s="218" t="str">
        <f>IFERROR(__xludf.DUMMYFUNCTION("""COMPUTED_VALUE"""),"Journal of Cognitive Neuroscience")</f>
        <v>Journal of Cognitive Neuroscience</v>
      </c>
      <c r="B36" s="221">
        <f>IFERROR(__xludf.DUMMYFUNCTION("""COMPUTED_VALUE"""),0.95)</f>
        <v>0.95</v>
      </c>
      <c r="C36" s="218"/>
      <c r="E36" s="218"/>
      <c r="F36" s="218"/>
      <c r="G36" s="218"/>
      <c r="H36" s="218"/>
      <c r="I36" s="218"/>
      <c r="J36" s="218"/>
      <c r="K36" s="218"/>
      <c r="L36" s="218"/>
      <c r="M36" s="218"/>
      <c r="N36" s="218"/>
      <c r="O36" s="218"/>
      <c r="T36" s="218" t="str">
        <f t="shared" si="1"/>
        <v>[Crosson, 2013]</v>
      </c>
      <c r="U36" s="218" t="s">
        <v>125</v>
      </c>
      <c r="AD36" s="224" t="str">
        <f>IFERROR(__xludf.DUMMYFUNCTION("""COMPUTED_VALUE"""),"")</f>
        <v/>
      </c>
      <c r="AE36" s="224" t="str">
        <f>IFERROR(__xludf.DUMMYFUNCTION("""COMPUTED_VALUE"""),"")</f>
        <v/>
      </c>
      <c r="AF36" s="224" t="str">
        <f>IFERROR(__xludf.DUMMYFUNCTION("""COMPUTED_VALUE"""),"")</f>
        <v/>
      </c>
      <c r="AG36" s="224" t="str">
        <f>IFERROR(__xludf.DUMMYFUNCTION("""COMPUTED_VALUE"""),"")</f>
        <v/>
      </c>
      <c r="AJ36" s="225" t="str">
        <f>IFERROR(__xludf.DUMMYFUNCTION("""COMPUTED_VALUE"""),"Cx.L6CT")</f>
        <v>Cx.L6CT</v>
      </c>
    </row>
    <row r="37">
      <c r="A37" s="218" t="str">
        <f>IFERROR(__xludf.DUMMYFUNCTION("""COMPUTED_VALUE"""),"Journal of Comparative Neurology")</f>
        <v>Journal of Comparative Neurology</v>
      </c>
      <c r="B37" s="221">
        <f>IFERROR(__xludf.DUMMYFUNCTION("""COMPUTED_VALUE"""),0.95)</f>
        <v>0.95</v>
      </c>
      <c r="C37" s="218"/>
      <c r="E37" s="218"/>
      <c r="F37" s="218"/>
      <c r="G37" s="218"/>
      <c r="H37" s="218"/>
      <c r="I37" s="218"/>
      <c r="J37" s="218"/>
      <c r="K37" s="218"/>
      <c r="L37" s="218"/>
      <c r="M37" s="218"/>
      <c r="N37" s="218"/>
      <c r="O37" s="218"/>
      <c r="T37" s="218" t="str">
        <f t="shared" si="1"/>
        <v>[D’Angelo, 2013]</v>
      </c>
      <c r="U37" s="218" t="s">
        <v>126</v>
      </c>
      <c r="AD37" s="224" t="str">
        <f>IFERROR(__xludf.DUMMYFUNCTION("""COMPUTED_VALUE"""),"")</f>
        <v/>
      </c>
      <c r="AE37" s="224" t="str">
        <f>IFERROR(__xludf.DUMMYFUNCTION("""COMPUTED_VALUE"""),"")</f>
        <v/>
      </c>
      <c r="AF37" s="224" t="str">
        <f>IFERROR(__xludf.DUMMYFUNCTION("""COMPUTED_VALUE"""),"")</f>
        <v/>
      </c>
      <c r="AG37" s="224" t="str">
        <f>IFERROR(__xludf.DUMMYFUNCTION("""COMPUTED_VALUE"""),"")</f>
        <v/>
      </c>
      <c r="AJ37" s="225" t="str">
        <f>IFERROR(__xludf.DUMMYFUNCTION("""COMPUTED_VALUE"""),"Cx.L6IN")</f>
        <v>Cx.L6IN</v>
      </c>
    </row>
    <row r="38">
      <c r="A38" s="218" t="str">
        <f>IFERROR(__xludf.DUMMYFUNCTION("""COMPUTED_VALUE"""),"Journal of Neurophysiology")</f>
        <v>Journal of Neurophysiology</v>
      </c>
      <c r="B38" s="221">
        <f>IFERROR(__xludf.DUMMYFUNCTION("""COMPUTED_VALUE"""),0.95)</f>
        <v>0.95</v>
      </c>
      <c r="C38" s="218"/>
      <c r="E38" s="218"/>
      <c r="F38" s="218"/>
      <c r="G38" s="218"/>
      <c r="H38" s="218"/>
      <c r="I38" s="218"/>
      <c r="J38" s="218"/>
      <c r="K38" s="218"/>
      <c r="L38" s="218"/>
      <c r="M38" s="218"/>
      <c r="N38" s="218"/>
      <c r="O38" s="218"/>
      <c r="T38" s="218" t="str">
        <f t="shared" si="1"/>
        <v>[De Zeeuw, 2021]</v>
      </c>
      <c r="U38" s="218" t="s">
        <v>127</v>
      </c>
      <c r="AD38" s="224" t="str">
        <f>IFERROR(__xludf.DUMMYFUNCTION("""COMPUTED_VALUE"""),"")</f>
        <v/>
      </c>
      <c r="AE38" s="224" t="str">
        <f>IFERROR(__xludf.DUMMYFUNCTION("""COMPUTED_VALUE"""),"")</f>
        <v/>
      </c>
      <c r="AF38" s="224" t="str">
        <f>IFERROR(__xludf.DUMMYFUNCTION("""COMPUTED_VALUE"""),"")</f>
        <v/>
      </c>
      <c r="AG38" s="224" t="str">
        <f>IFERROR(__xludf.DUMMYFUNCTION("""COMPUTED_VALUE"""),"")</f>
        <v/>
      </c>
      <c r="AJ38" s="225" t="str">
        <f>IFERROR(__xludf.DUMMYFUNCTION("""COMPUTED_VALUE"""),"Cx.L6IT")</f>
        <v>Cx.L6IT</v>
      </c>
    </row>
    <row r="39">
      <c r="A39" s="218" t="str">
        <f>IFERROR(__xludf.DUMMYFUNCTION("""COMPUTED_VALUE"""),"Journal of Neuroscience")</f>
        <v>Journal of Neuroscience</v>
      </c>
      <c r="B39" s="221">
        <f>IFERROR(__xludf.DUMMYFUNCTION("""COMPUTED_VALUE"""),0.95)</f>
        <v>0.95</v>
      </c>
      <c r="C39" s="218"/>
      <c r="E39" s="218"/>
      <c r="F39" s="218"/>
      <c r="G39" s="218"/>
      <c r="H39" s="218"/>
      <c r="I39" s="218"/>
      <c r="J39" s="218"/>
      <c r="K39" s="218"/>
      <c r="L39" s="218"/>
      <c r="M39" s="218"/>
      <c r="N39" s="218"/>
      <c r="O39" s="218"/>
      <c r="T39" s="218" t="str">
        <f t="shared" si="1"/>
        <v>[Doig, 2017]</v>
      </c>
      <c r="U39" s="218" t="s">
        <v>128</v>
      </c>
      <c r="AD39" s="224" t="str">
        <f>IFERROR(__xludf.DUMMYFUNCTION("""COMPUTED_VALUE"""),"")</f>
        <v/>
      </c>
      <c r="AE39" s="224" t="str">
        <f>IFERROR(__xludf.DUMMYFUNCTION("""COMPUTED_VALUE"""),"")</f>
        <v/>
      </c>
      <c r="AF39" s="224" t="str">
        <f>IFERROR(__xludf.DUMMYFUNCTION("""COMPUTED_VALUE"""),"")</f>
        <v/>
      </c>
      <c r="AG39" s="224" t="str">
        <f>IFERROR(__xludf.DUMMYFUNCTION("""COMPUTED_VALUE"""),"")</f>
        <v/>
      </c>
      <c r="AJ39" s="225" t="str">
        <f>IFERROR(__xludf.DUMMYFUNCTION("""COMPUTED_VALUE"""),"dcMRF")</f>
        <v>dcMRF</v>
      </c>
    </row>
    <row r="40">
      <c r="A40" s="218" t="str">
        <f>IFERROR(__xludf.DUMMYFUNCTION("""COMPUTED_VALUE"""),"Journal of Research on Adolescence")</f>
        <v>Journal of Research on Adolescence</v>
      </c>
      <c r="B40" s="221">
        <f>IFERROR(__xludf.DUMMYFUNCTION("""COMPUTED_VALUE"""),0.95)</f>
        <v>0.95</v>
      </c>
      <c r="C40" s="218"/>
      <c r="E40" s="218"/>
      <c r="F40" s="218"/>
      <c r="G40" s="218"/>
      <c r="H40" s="218"/>
      <c r="I40" s="218"/>
      <c r="J40" s="218"/>
      <c r="K40" s="218"/>
      <c r="L40" s="218"/>
      <c r="M40" s="218"/>
      <c r="N40" s="218"/>
      <c r="O40" s="218"/>
      <c r="T40" s="218" t="str">
        <f t="shared" si="1"/>
        <v>[Economo, 2018]</v>
      </c>
      <c r="U40" s="218" t="s">
        <v>129</v>
      </c>
      <c r="AD40" s="224" t="str">
        <f>IFERROR(__xludf.DUMMYFUNCTION("""COMPUTED_VALUE"""),"")</f>
        <v/>
      </c>
      <c r="AE40" s="224" t="str">
        <f>IFERROR(__xludf.DUMMYFUNCTION("""COMPUTED_VALUE"""),"")</f>
        <v/>
      </c>
      <c r="AF40" s="224" t="str">
        <f>IFERROR(__xludf.DUMMYFUNCTION("""COMPUTED_VALUE"""),"")</f>
        <v/>
      </c>
      <c r="AG40" s="224" t="str">
        <f>IFERROR(__xludf.DUMMYFUNCTION("""COMPUTED_VALUE"""),"")</f>
        <v/>
      </c>
      <c r="AJ40" s="225" t="str">
        <f>IFERROR(__xludf.DUMMYFUNCTION("""COMPUTED_VALUE"""),"DLPN")</f>
        <v>DLPN</v>
      </c>
    </row>
    <row r="41">
      <c r="A41" s="218" t="str">
        <f>IFERROR(__xludf.DUMMYFUNCTION("""COMPUTED_VALUE"""),"Learning {\&amp;}amp$\mathsemicolon$ Memory")</f>
        <v>Learning {\&amp;}amp$\mathsemicolon$ Memory</v>
      </c>
      <c r="B41" s="221">
        <f>IFERROR(__xludf.DUMMYFUNCTION("""COMPUTED_VALUE"""),0.95)</f>
        <v>0.95</v>
      </c>
      <c r="C41" s="218"/>
      <c r="E41" s="218"/>
      <c r="F41" s="218"/>
      <c r="G41" s="218"/>
      <c r="H41" s="218"/>
      <c r="I41" s="218"/>
      <c r="J41" s="218"/>
      <c r="K41" s="218"/>
      <c r="L41" s="218"/>
      <c r="M41" s="218"/>
      <c r="N41" s="218"/>
      <c r="O41" s="218"/>
      <c r="T41" s="218" t="str">
        <f t="shared" si="1"/>
        <v>[Fan, 2016]</v>
      </c>
      <c r="U41" s="218" t="s">
        <v>130</v>
      </c>
      <c r="AD41" s="224" t="str">
        <f>IFERROR(__xludf.DUMMYFUNCTION("""COMPUTED_VALUE"""),"")</f>
        <v/>
      </c>
      <c r="AE41" s="224" t="str">
        <f>IFERROR(__xludf.DUMMYFUNCTION("""COMPUTED_VALUE"""),"")</f>
        <v/>
      </c>
      <c r="AF41" s="224" t="str">
        <f>IFERROR(__xludf.DUMMYFUNCTION("""COMPUTED_VALUE"""),"")</f>
        <v/>
      </c>
      <c r="AG41" s="224" t="str">
        <f>IFERROR(__xludf.DUMMYFUNCTION("""COMPUTED_VALUE"""),"")</f>
        <v/>
      </c>
      <c r="AJ41" s="225" t="str">
        <f>IFERROR(__xludf.DUMMYFUNCTION("""COMPUTED_VALUE"""),"DTNO")</f>
        <v>DTNO</v>
      </c>
    </row>
    <row r="42">
      <c r="A42" s="218" t="str">
        <f>IFERROR(__xludf.DUMMYFUNCTION("""COMPUTED_VALUE"""),"Nature")</f>
        <v>Nature</v>
      </c>
      <c r="B42" s="221">
        <f>IFERROR(__xludf.DUMMYFUNCTION("""COMPUTED_VALUE"""),0.95)</f>
        <v>0.95</v>
      </c>
      <c r="C42" s="218"/>
      <c r="E42" s="218"/>
      <c r="F42" s="218"/>
      <c r="G42" s="218"/>
      <c r="H42" s="218"/>
      <c r="I42" s="218"/>
      <c r="J42" s="218"/>
      <c r="K42" s="218"/>
      <c r="L42" s="218"/>
      <c r="M42" s="218"/>
      <c r="N42" s="218"/>
      <c r="O42" s="218"/>
      <c r="T42" s="218" t="str">
        <f t="shared" si="1"/>
        <v>[Fiore, 2015]</v>
      </c>
      <c r="U42" s="218" t="s">
        <v>131</v>
      </c>
      <c r="AD42" s="224" t="str">
        <f>IFERROR(__xludf.DUMMYFUNCTION("""COMPUTED_VALUE"""),"")</f>
        <v/>
      </c>
      <c r="AE42" s="224" t="str">
        <f>IFERROR(__xludf.DUMMYFUNCTION("""COMPUTED_VALUE"""),"")</f>
        <v/>
      </c>
      <c r="AF42" s="224" t="str">
        <f>IFERROR(__xludf.DUMMYFUNCTION("""COMPUTED_VALUE"""),"")</f>
        <v/>
      </c>
      <c r="AG42" s="224" t="str">
        <f>IFERROR(__xludf.DUMMYFUNCTION("""COMPUTED_VALUE"""),"")</f>
        <v/>
      </c>
      <c r="AJ42" s="225" t="str">
        <f>IFERROR(__xludf.DUMMYFUNCTION("""COMPUTED_VALUE"""),"eRF")</f>
        <v>eRF</v>
      </c>
    </row>
    <row r="43">
      <c r="A43" s="218" t="str">
        <f>IFERROR(__xludf.DUMMYFUNCTION("""COMPUTED_VALUE"""),"Nature Communications")</f>
        <v>Nature Communications</v>
      </c>
      <c r="B43" s="221">
        <f>IFERROR(__xludf.DUMMYFUNCTION("""COMPUTED_VALUE"""),0.95)</f>
        <v>0.95</v>
      </c>
      <c r="C43" s="218"/>
      <c r="E43" s="218"/>
      <c r="F43" s="218"/>
      <c r="G43" s="218"/>
      <c r="H43" s="218"/>
      <c r="I43" s="218"/>
      <c r="J43" s="218"/>
      <c r="K43" s="218"/>
      <c r="L43" s="218"/>
      <c r="M43" s="218"/>
      <c r="N43" s="218"/>
      <c r="O43" s="218"/>
      <c r="T43" s="218" t="str">
        <f t="shared" si="1"/>
        <v>[Frank, 2006]</v>
      </c>
      <c r="U43" s="218" t="s">
        <v>132</v>
      </c>
      <c r="AD43" s="224" t="str">
        <f>IFERROR(__xludf.DUMMYFUNCTION("""COMPUTED_VALUE"""),"")</f>
        <v/>
      </c>
      <c r="AE43" s="224" t="str">
        <f>IFERROR(__xludf.DUMMYFUNCTION("""COMPUTED_VALUE"""),"")</f>
        <v/>
      </c>
      <c r="AF43" s="224" t="str">
        <f>IFERROR(__xludf.DUMMYFUNCTION("""COMPUTED_VALUE"""),"")</f>
        <v/>
      </c>
      <c r="AG43" s="224" t="str">
        <f>IFERROR(__xludf.DUMMYFUNCTION("""COMPUTED_VALUE"""),"")</f>
        <v/>
      </c>
      <c r="AJ43" s="225" t="str">
        <f>IFERROR(__xludf.DUMMYFUNCTION("""COMPUTED_VALUE"""),"F2")</f>
        <v>F2</v>
      </c>
    </row>
    <row r="44">
      <c r="A44" s="218" t="str">
        <f>IFERROR(__xludf.DUMMYFUNCTION("""COMPUTED_VALUE"""),"Nature Neuroscience")</f>
        <v>Nature Neuroscience</v>
      </c>
      <c r="B44" s="221">
        <f>IFERROR(__xludf.DUMMYFUNCTION("""COMPUTED_VALUE"""),0.95)</f>
        <v>0.95</v>
      </c>
      <c r="C44" s="218"/>
      <c r="E44" s="218"/>
      <c r="F44" s="218"/>
      <c r="G44" s="218"/>
      <c r="H44" s="218"/>
      <c r="I44" s="218"/>
      <c r="J44" s="218"/>
      <c r="K44" s="218"/>
      <c r="L44" s="218"/>
      <c r="M44" s="218"/>
      <c r="N44" s="218"/>
      <c r="O44" s="218"/>
      <c r="T44" s="218" t="str">
        <f t="shared" si="1"/>
        <v>[Fujita, 2020]</v>
      </c>
      <c r="U44" s="218" t="s">
        <v>133</v>
      </c>
      <c r="AD44" s="224" t="str">
        <f>IFERROR(__xludf.DUMMYFUNCTION("""COMPUTED_VALUE"""),"")</f>
        <v/>
      </c>
      <c r="AE44" s="224" t="str">
        <f>IFERROR(__xludf.DUMMYFUNCTION("""COMPUTED_VALUE"""),"[143:Physiological Data] The description of Physiological Data is not an Index to data (URLs, drawings in papers, etc.).")</f>
        <v>[143:Physiological Data] The description of Physiological Data is not an Index to data (URLs, drawings in papers, etc.).</v>
      </c>
      <c r="AF44" s="224" t="str">
        <f>IFERROR(__xludf.DUMMYFUNCTION("""COMPUTED_VALUE"""),"")</f>
        <v/>
      </c>
      <c r="AG44" s="224" t="str">
        <f>IFERROR(__xludf.DUMMYFUNCTION("""COMPUTED_VALUE"""),"")</f>
        <v/>
      </c>
      <c r="AJ44" s="225" t="str">
        <f>IFERROR(__xludf.DUMMYFUNCTION("""COMPUTED_VALUE"""),"FasNO")</f>
        <v>FasNO</v>
      </c>
    </row>
    <row r="45">
      <c r="A45" s="218" t="str">
        <f>IFERROR(__xludf.DUMMYFUNCTION("""COMPUTED_VALUE"""),"Nature Reviews Neuroscience")</f>
        <v>Nature Reviews Neuroscience</v>
      </c>
      <c r="B45" s="221">
        <f>IFERROR(__xludf.DUMMYFUNCTION("""COMPUTED_VALUE"""),0.95)</f>
        <v>0.95</v>
      </c>
      <c r="C45" s="218"/>
      <c r="E45" s="218"/>
      <c r="F45" s="218"/>
      <c r="G45" s="218"/>
      <c r="H45" s="218"/>
      <c r="I45" s="218"/>
      <c r="J45" s="218"/>
      <c r="K45" s="218"/>
      <c r="L45" s="218"/>
      <c r="M45" s="218"/>
      <c r="N45" s="218"/>
      <c r="O45" s="218"/>
      <c r="T45" s="218" t="str">
        <f t="shared" si="1"/>
        <v>[Fukawa, 2020]</v>
      </c>
      <c r="U45" s="218" t="s">
        <v>134</v>
      </c>
      <c r="AD45" s="224" t="str">
        <f>IFERROR(__xludf.DUMMYFUNCTION("""COMPUTED_VALUE"""),"")</f>
        <v/>
      </c>
      <c r="AE45" s="224" t="str">
        <f>IFERROR(__xludf.DUMMYFUNCTION("""COMPUTED_VALUE"""),"")</f>
        <v/>
      </c>
      <c r="AF45" s="224" t="str">
        <f>IFERROR(__xludf.DUMMYFUNCTION("""COMPUTED_VALUE"""),"")</f>
        <v/>
      </c>
      <c r="AG45" s="224" t="str">
        <f>IFERROR(__xludf.DUMMYFUNCTION("""COMPUTED_VALUE"""),"")</f>
        <v/>
      </c>
      <c r="AJ45" s="225" t="str">
        <f>IFERROR(__xludf.DUMMYFUNCTION("""COMPUTED_VALUE"""),"FF_l")</f>
        <v>FF_l</v>
      </c>
    </row>
    <row r="46">
      <c r="A46" s="218" t="str">
        <f>IFERROR(__xludf.DUMMYFUNCTION("""COMPUTED_VALUE"""),"Neural Networks")</f>
        <v>Neural Networks</v>
      </c>
      <c r="B46" s="221">
        <f>IFERROR(__xludf.DUMMYFUNCTION("""COMPUTED_VALUE"""),0.95)</f>
        <v>0.95</v>
      </c>
      <c r="C46" s="218"/>
      <c r="E46" s="218"/>
      <c r="F46" s="218"/>
      <c r="G46" s="218"/>
      <c r="H46" s="218"/>
      <c r="I46" s="218"/>
      <c r="J46" s="218"/>
      <c r="K46" s="218"/>
      <c r="L46" s="218"/>
      <c r="M46" s="218"/>
      <c r="N46" s="218"/>
      <c r="O46" s="218"/>
      <c r="T46" s="218" t="str">
        <f t="shared" si="1"/>
        <v>[Galvan, 2015]</v>
      </c>
      <c r="U46" s="218" t="s">
        <v>135</v>
      </c>
      <c r="AD46" s="224" t="str">
        <f>IFERROR(__xludf.DUMMYFUNCTION("""COMPUTED_VALUE"""),"")</f>
        <v/>
      </c>
      <c r="AE46" s="224" t="str">
        <f>IFERROR(__xludf.DUMMYFUNCTION("""COMPUTED_VALUE"""),"")</f>
        <v/>
      </c>
      <c r="AF46" s="224" t="str">
        <f>IFERROR(__xludf.DUMMYFUNCTION("""COMPUTED_VALUE"""),"")</f>
        <v/>
      </c>
      <c r="AG46" s="224" t="str">
        <f>IFERROR(__xludf.DUMMYFUNCTION("""COMPUTED_VALUE"""),"")</f>
        <v/>
      </c>
      <c r="AJ46" s="225" t="str">
        <f>IFERROR(__xludf.DUMMYFUNCTION("""COMPUTED_VALUE"""),"FF_r")</f>
        <v>FF_r</v>
      </c>
    </row>
    <row r="47">
      <c r="A47" s="218" t="str">
        <f>IFERROR(__xludf.DUMMYFUNCTION("""COMPUTED_VALUE"""),"Neural Plasticity")</f>
        <v>Neural Plasticity</v>
      </c>
      <c r="B47" s="221">
        <f>IFERROR(__xludf.DUMMYFUNCTION("""COMPUTED_VALUE"""),0.95)</f>
        <v>0.95</v>
      </c>
      <c r="C47" s="218"/>
      <c r="E47" s="218"/>
      <c r="F47" s="218"/>
      <c r="G47" s="218"/>
      <c r="H47" s="218"/>
      <c r="I47" s="218"/>
      <c r="J47" s="218"/>
      <c r="K47" s="218"/>
      <c r="L47" s="218"/>
      <c r="M47" s="218"/>
      <c r="N47" s="218"/>
      <c r="O47" s="218"/>
      <c r="T47" s="218" t="str">
        <f t="shared" si="1"/>
        <v>[Gou, 2019]</v>
      </c>
      <c r="U47" s="218" t="s">
        <v>136</v>
      </c>
      <c r="AD47" s="224" t="str">
        <f>IFERROR(__xludf.DUMMYFUNCTION("""COMPUTED_VALUE"""),"")</f>
        <v/>
      </c>
      <c r="AE47" s="224" t="str">
        <f>IFERROR(__xludf.DUMMYFUNCTION("""COMPUTED_VALUE"""),"")</f>
        <v/>
      </c>
      <c r="AF47" s="224" t="str">
        <f>IFERROR(__xludf.DUMMYFUNCTION("""COMPUTED_VALUE"""),"")</f>
        <v/>
      </c>
      <c r="AG47" s="224" t="str">
        <f>IFERROR(__xludf.DUMMYFUNCTION("""COMPUTED_VALUE"""),"")</f>
        <v/>
      </c>
      <c r="AJ47" s="225" t="str">
        <f>IFERROR(__xludf.DUMMYFUNCTION("""COMPUTED_VALUE"""),"FNCbg")</f>
        <v>FNCbg</v>
      </c>
    </row>
    <row r="48">
      <c r="A48" s="218" t="str">
        <f>IFERROR(__xludf.DUMMYFUNCTION("""COMPUTED_VALUE"""),"Neurology")</f>
        <v>Neurology</v>
      </c>
      <c r="B48" s="221">
        <f>IFERROR(__xludf.DUMMYFUNCTION("""COMPUTED_VALUE"""),0.95)</f>
        <v>0.95</v>
      </c>
      <c r="C48" s="218"/>
      <c r="E48" s="218"/>
      <c r="F48" s="218"/>
      <c r="G48" s="218"/>
      <c r="H48" s="218"/>
      <c r="I48" s="218"/>
      <c r="J48" s="218"/>
      <c r="K48" s="218"/>
      <c r="L48" s="218"/>
      <c r="M48" s="218"/>
      <c r="N48" s="218"/>
      <c r="O48" s="218"/>
      <c r="T48" s="218" t="str">
        <f t="shared" si="1"/>
        <v>[Guo, 2020]</v>
      </c>
      <c r="U48" s="218" t="s">
        <v>137</v>
      </c>
      <c r="AD48" s="224" t="str">
        <f>IFERROR(__xludf.DUMMYFUNCTION("""COMPUTED_VALUE"""),"")</f>
        <v/>
      </c>
      <c r="AE48" s="224" t="str">
        <f>IFERROR(__xludf.DUMMYFUNCTION("""COMPUTED_VALUE"""),"")</f>
        <v/>
      </c>
      <c r="AF48" s="224" t="str">
        <f>IFERROR(__xludf.DUMMYFUNCTION("""COMPUTED_VALUE"""),"")</f>
        <v/>
      </c>
      <c r="AG48" s="224" t="str">
        <f>IFERROR(__xludf.DUMMYFUNCTION("""COMPUTED_VALUE"""),"")</f>
        <v/>
      </c>
      <c r="AJ48" s="225" t="str">
        <f>IFERROR(__xludf.DUMMYFUNCTION("""COMPUTED_VALUE"""),"FNCbp")</f>
        <v>FNCbp</v>
      </c>
    </row>
    <row r="49">
      <c r="A49" s="218" t="str">
        <f>IFERROR(__xludf.DUMMYFUNCTION("""COMPUTED_VALUE"""),"Neuron")</f>
        <v>Neuron</v>
      </c>
      <c r="B49" s="221">
        <f>IFERROR(__xludf.DUMMYFUNCTION("""COMPUTED_VALUE"""),0.95)</f>
        <v>0.95</v>
      </c>
      <c r="C49" s="218"/>
      <c r="E49" s="218"/>
      <c r="F49" s="218"/>
      <c r="G49" s="218"/>
      <c r="H49" s="218"/>
      <c r="I49" s="218"/>
      <c r="J49" s="218"/>
      <c r="K49" s="218"/>
      <c r="L49" s="218"/>
      <c r="M49" s="218"/>
      <c r="N49" s="218"/>
      <c r="O49" s="218"/>
      <c r="T49" s="218" t="str">
        <f t="shared" si="1"/>
        <v>[Habas, 2019]</v>
      </c>
      <c r="U49" s="218" t="s">
        <v>138</v>
      </c>
      <c r="AD49" s="224" t="str">
        <f>IFERROR(__xludf.DUMMYFUNCTION("""COMPUTED_VALUE"""),"")</f>
        <v/>
      </c>
      <c r="AE49" s="224" t="str">
        <f>IFERROR(__xludf.DUMMYFUNCTION("""COMPUTED_VALUE"""),"")</f>
        <v/>
      </c>
      <c r="AF49" s="224" t="str">
        <f>IFERROR(__xludf.DUMMYFUNCTION("""COMPUTED_VALUE"""),"")</f>
        <v/>
      </c>
      <c r="AG49" s="224" t="str">
        <f>IFERROR(__xludf.DUMMYFUNCTION("""COMPUTED_VALUE"""),"")</f>
        <v/>
      </c>
      <c r="AJ49" s="225" t="str">
        <f>IFERROR(__xludf.DUMMYFUNCTION("""COMPUTED_VALUE"""),"GPe")</f>
        <v>GPe</v>
      </c>
    </row>
    <row r="50">
      <c r="A50" s="218" t="str">
        <f>IFERROR(__xludf.DUMMYFUNCTION("""COMPUTED_VALUE"""),"Neuroscience")</f>
        <v>Neuroscience</v>
      </c>
      <c r="B50" s="221">
        <f>IFERROR(__xludf.DUMMYFUNCTION("""COMPUTED_VALUE"""),0.95)</f>
        <v>0.95</v>
      </c>
      <c r="C50" s="218"/>
      <c r="E50" s="218"/>
      <c r="F50" s="218"/>
      <c r="G50" s="218"/>
      <c r="H50" s="218"/>
      <c r="I50" s="218"/>
      <c r="J50" s="218"/>
      <c r="K50" s="218"/>
      <c r="L50" s="218"/>
      <c r="M50" s="218"/>
      <c r="N50" s="218"/>
      <c r="O50" s="218"/>
      <c r="T50" s="218" t="str">
        <f t="shared" si="1"/>
        <v>[Harris, 2015]</v>
      </c>
      <c r="U50" s="218" t="s">
        <v>139</v>
      </c>
      <c r="AD50" s="224" t="str">
        <f>IFERROR(__xludf.DUMMYFUNCTION("""COMPUTED_VALUE"""),"")</f>
        <v/>
      </c>
      <c r="AE50" s="224" t="str">
        <f>IFERROR(__xludf.DUMMYFUNCTION("""COMPUTED_VALUE"""),"")</f>
        <v/>
      </c>
      <c r="AF50" s="224" t="str">
        <f>IFERROR(__xludf.DUMMYFUNCTION("""COMPUTED_VALUE"""),"")</f>
        <v/>
      </c>
      <c r="AG50" s="224" t="str">
        <f>IFERROR(__xludf.DUMMYFUNCTION("""COMPUTED_VALUE"""),"")</f>
        <v/>
      </c>
      <c r="AJ50" s="225" t="str">
        <f>IFERROR(__xludf.DUMMYFUNCTION("""COMPUTED_VALUE"""),"InC1_l")</f>
        <v>InC1_l</v>
      </c>
    </row>
    <row r="51">
      <c r="T51" s="218" t="str">
        <f t="shared" si="1"/>
        <v>[Haynes, 2013]</v>
      </c>
      <c r="U51" s="218" t="s">
        <v>140</v>
      </c>
      <c r="AD51" s="224" t="str">
        <f>IFERROR(__xludf.DUMMYFUNCTION("""COMPUTED_VALUE"""),"")</f>
        <v/>
      </c>
      <c r="AE51" s="224" t="str">
        <f>IFERROR(__xludf.DUMMYFUNCTION("""COMPUTED_VALUE"""),"")</f>
        <v/>
      </c>
      <c r="AF51" s="224" t="str">
        <f>IFERROR(__xludf.DUMMYFUNCTION("""COMPUTED_VALUE"""),"")</f>
        <v/>
      </c>
      <c r="AG51" s="224" t="str">
        <f>IFERROR(__xludf.DUMMYFUNCTION("""COMPUTED_VALUE"""),"")</f>
        <v/>
      </c>
      <c r="AJ51" s="225" t="str">
        <f>IFERROR(__xludf.DUMMYFUNCTION("""COMPUTED_VALUE"""),"InC1_r")</f>
        <v>InC1_r</v>
      </c>
    </row>
    <row r="52">
      <c r="T52" s="218" t="str">
        <f t="shared" si="1"/>
        <v>[Hikosaka, 2000]</v>
      </c>
      <c r="U52" s="218" t="s">
        <v>141</v>
      </c>
      <c r="AD52" s="224" t="str">
        <f>IFERROR(__xludf.DUMMYFUNCTION("""COMPUTED_VALUE"""),"")</f>
        <v/>
      </c>
      <c r="AE52" s="224" t="str">
        <f>IFERROR(__xludf.DUMMYFUNCTION("""COMPUTED_VALUE"""),"")</f>
        <v/>
      </c>
      <c r="AF52" s="224" t="str">
        <f>IFERROR(__xludf.DUMMYFUNCTION("""COMPUTED_VALUE"""),"")</f>
        <v/>
      </c>
      <c r="AG52" s="224" t="str">
        <f>IFERROR(__xludf.DUMMYFUNCTION("""COMPUTED_VALUE"""),"")</f>
        <v/>
      </c>
      <c r="AJ52" s="225" t="str">
        <f>IFERROR(__xludf.DUMMYFUNCTION("""COMPUTED_VALUE"""),"InC2_l")</f>
        <v>InC2_l</v>
      </c>
    </row>
    <row r="53">
      <c r="T53" s="218" t="str">
        <f t="shared" si="1"/>
        <v>[Hikosaka, 2007]</v>
      </c>
      <c r="U53" s="218" t="s">
        <v>142</v>
      </c>
      <c r="AD53" s="224" t="str">
        <f>IFERROR(__xludf.DUMMYFUNCTION("""COMPUTED_VALUE"""),"")</f>
        <v/>
      </c>
      <c r="AE53" s="224" t="str">
        <f>IFERROR(__xludf.DUMMYFUNCTION("""COMPUTED_VALUE"""),"")</f>
        <v/>
      </c>
      <c r="AF53" s="224" t="str">
        <f>IFERROR(__xludf.DUMMYFUNCTION("""COMPUTED_VALUE"""),"")</f>
        <v/>
      </c>
      <c r="AG53" s="224" t="str">
        <f>IFERROR(__xludf.DUMMYFUNCTION("""COMPUTED_VALUE"""),"")</f>
        <v/>
      </c>
      <c r="AJ53" s="225" t="str">
        <f>IFERROR(__xludf.DUMMYFUNCTION("""COMPUTED_VALUE"""),"InC2_r")</f>
        <v>InC2_r</v>
      </c>
    </row>
    <row r="54">
      <c r="T54" s="218" t="str">
        <f t="shared" si="1"/>
        <v>[Ito, 1977]</v>
      </c>
      <c r="U54" s="218" t="s">
        <v>143</v>
      </c>
      <c r="AD54" s="224" t="str">
        <f>IFERROR(__xludf.DUMMYFUNCTION("""COMPUTED_VALUE"""),"")</f>
        <v/>
      </c>
      <c r="AE54" s="224" t="str">
        <f>IFERROR(__xludf.DUMMYFUNCTION("""COMPUTED_VALUE"""),"")</f>
        <v/>
      </c>
      <c r="AF54" s="224" t="str">
        <f>IFERROR(__xludf.DUMMYFUNCTION("""COMPUTED_VALUE"""),"")</f>
        <v/>
      </c>
      <c r="AG54" s="224" t="str">
        <f>IFERROR(__xludf.DUMMYFUNCTION("""COMPUTED_VALUE"""),"[453:Capability&amp;Mechanism] The input uniform circuit is not shown in the mechanism description.")</f>
        <v>[453:Capability&amp;Mechanism] The input uniform circuit is not shown in the mechanism description.</v>
      </c>
      <c r="AJ54" s="225" t="str">
        <f>IFERROR(__xludf.DUMMYFUNCTION("""COMPUTED_VALUE"""),"InPNO")</f>
        <v>InPNO</v>
      </c>
    </row>
    <row r="55">
      <c r="T55" s="218" t="str">
        <f t="shared" si="1"/>
        <v>[Izawa, 2007]</v>
      </c>
      <c r="U55" s="218" t="s">
        <v>144</v>
      </c>
      <c r="AD55" s="224" t="str">
        <f>IFERROR(__xludf.DUMMYFUNCTION("""COMPUTED_VALUE"""),"")</f>
        <v/>
      </c>
      <c r="AE55" s="224" t="str">
        <f>IFERROR(__xludf.DUMMYFUNCTION("""COMPUTED_VALUE"""),"")</f>
        <v/>
      </c>
      <c r="AF55" s="224" t="str">
        <f>IFERROR(__xludf.DUMMYFUNCTION("""COMPUTED_VALUE"""),"")</f>
        <v/>
      </c>
      <c r="AG55" s="224" t="str">
        <f>IFERROR(__xludf.DUMMYFUNCTION("""COMPUTED_VALUE"""),"[454:Capability&amp;Mechanism] The output uniform circuit is not shown in the mechanism description.")</f>
        <v>[454:Capability&amp;Mechanism] The output uniform circuit is not shown in the mechanism description.</v>
      </c>
      <c r="AJ55" s="225" t="str">
        <f>IFERROR(__xludf.DUMMYFUNCTION("""COMPUTED_VALUE"""),"IOA")</f>
        <v>IOA</v>
      </c>
    </row>
    <row r="56">
      <c r="T56" s="218" t="str">
        <f t="shared" si="1"/>
        <v>[Janak, 2015]</v>
      </c>
      <c r="U56" s="218" t="s">
        <v>145</v>
      </c>
      <c r="AD56" s="224" t="str">
        <f>IFERROR(__xludf.DUMMYFUNCTION("""COMPUTED_VALUE"""),"")</f>
        <v/>
      </c>
      <c r="AE56" s="224" t="str">
        <f>IFERROR(__xludf.DUMMYFUNCTION("""COMPUTED_VALUE"""),"")</f>
        <v/>
      </c>
      <c r="AF56" s="224" t="str">
        <f>IFERROR(__xludf.DUMMYFUNCTION("""COMPUTED_VALUE"""),"")</f>
        <v/>
      </c>
      <c r="AG56" s="224" t="str">
        <f>IFERROR(__xludf.DUMMYFUNCTION("""COMPUTED_VALUE"""),"[455:Capability&amp;Mechanism] The explanation of Mechanism does not explain how to achieve Capjob.")</f>
        <v>[455:Capability&amp;Mechanism] The explanation of Mechanism does not explain how to achieve Capjob.</v>
      </c>
      <c r="AJ56" s="225" t="str">
        <f>IFERROR(__xludf.DUMMYFUNCTION("""COMPUTED_VALUE"""),"IOB")</f>
        <v>IOB</v>
      </c>
    </row>
    <row r="57">
      <c r="T57" s="218" t="str">
        <f t="shared" si="1"/>
        <v>[Jasmin, 2019]</v>
      </c>
      <c r="U57" s="218" t="s">
        <v>146</v>
      </c>
      <c r="AD57" s="224" t="str">
        <f>IFERROR(__xludf.DUMMYFUNCTION("""COMPUTED_VALUE"""),"")</f>
        <v/>
      </c>
      <c r="AE57" s="224" t="str">
        <f>IFERROR(__xludf.DUMMYFUNCTION("""COMPUTED_VALUE"""),"")</f>
        <v/>
      </c>
      <c r="AF57" s="224" t="str">
        <f>IFERROR(__xludf.DUMMYFUNCTION("""COMPUTED_VALUE"""),"")</f>
        <v/>
      </c>
      <c r="AG57" s="224" t="str">
        <f>IFERROR(__xludf.DUMMYFUNCTION("""COMPUTED_VALUE"""),"[456:Capability&amp;Mechanism] The explanations included in ""Mechanism"" do not cover all the content included in ""Implementation.""")</f>
        <v>[456:Capability&amp;Mechanism] The explanations included in "Mechanism" do not cover all the content included in "Implementation."</v>
      </c>
      <c r="AJ57" s="225" t="str">
        <f>IFERROR(__xludf.DUMMYFUNCTION("""COMPUTED_VALUE"""),"IOBe")</f>
        <v>IOBe</v>
      </c>
    </row>
    <row r="58">
      <c r="T58" s="218" t="str">
        <f t="shared" si="1"/>
        <v>[Jimsheleishvili, 2020-rf]</v>
      </c>
      <c r="U58" s="218" t="s">
        <v>147</v>
      </c>
      <c r="AD58" s="224" t="str">
        <f>IFERROR(__xludf.DUMMYFUNCTION("""COMPUTED_VALUE"""),"")</f>
        <v/>
      </c>
      <c r="AE58" s="224" t="str">
        <f>IFERROR(__xludf.DUMMYFUNCTION("""COMPUTED_VALUE"""),"")</f>
        <v/>
      </c>
      <c r="AF58" s="224" t="str">
        <f>IFERROR(__xludf.DUMMYFUNCTION("""COMPUTED_VALUE"""),"")</f>
        <v/>
      </c>
      <c r="AG58" s="224" t="str">
        <f>IFERROR(__xludf.DUMMYFUNCTION("""COMPUTED_VALUE"""),"[457:Capability&amp;Mechanism] The explanation in Mechanism does not include the (computational) sequential relationship regarding the processing of the content in Implementation.")</f>
        <v>[457:Capability&amp;Mechanism] The explanation in Mechanism does not include the (computational) sequential relationship regarding the processing of the content in Implementation.</v>
      </c>
      <c r="AJ58" s="225" t="str">
        <f>IFERROR(__xludf.DUMMYFUNCTION("""COMPUTED_VALUE"""),"IOC")</f>
        <v>IOC</v>
      </c>
    </row>
    <row r="59">
      <c r="T59" s="218" t="str">
        <f t="shared" si="1"/>
        <v>[Jones, 1998]</v>
      </c>
      <c r="U59" s="218" t="s">
        <v>148</v>
      </c>
      <c r="AD59" s="224" t="str">
        <f>IFERROR(__xludf.DUMMYFUNCTION("""COMPUTED_VALUE"""),"")</f>
        <v/>
      </c>
      <c r="AE59" s="224" t="str">
        <f>IFERROR(__xludf.DUMMYFUNCTION("""COMPUTED_VALUE"""),"")</f>
        <v/>
      </c>
      <c r="AF59" s="224" t="str">
        <f>IFERROR(__xludf.DUMMYFUNCTION("""COMPUTED_VALUE"""),"")</f>
        <v/>
      </c>
      <c r="AG59" s="224" t="str">
        <f>IFERROR(__xludf.DUMMYFUNCTION("""COMPUTED_VALUE"""),"[458:Capability&amp;Mechanism] The output semantics are described.")</f>
        <v>[458:Capability&amp;Mechanism] The output semantics are described.</v>
      </c>
      <c r="AJ59" s="225" t="str">
        <f>IFERROR(__xludf.DUMMYFUNCTION("""COMPUTED_VALUE"""),"IOD")</f>
        <v>IOD</v>
      </c>
    </row>
    <row r="60">
      <c r="T60" s="218" t="str">
        <f t="shared" si="1"/>
        <v>[Ju, 2018]</v>
      </c>
      <c r="U60" s="218" t="s">
        <v>149</v>
      </c>
      <c r="AD60" s="224" t="str">
        <f>IFERROR(__xludf.DUMMYFUNCTION("""COMPUTED_VALUE"""),"")</f>
        <v/>
      </c>
      <c r="AE60" s="224" t="str">
        <f>IFERROR(__xludf.DUMMYFUNCTION("""COMPUTED_VALUE"""),"")</f>
        <v/>
      </c>
      <c r="AF60" s="224" t="str">
        <f>IFERROR(__xludf.DUMMYFUNCTION("""COMPUTED_VALUE"""),"")</f>
        <v/>
      </c>
      <c r="AG60" s="224" t="str">
        <f>IFERROR(__xludf.DUMMYFUNCTION("""COMPUTED_VALUE"""),"[459:Capability&amp;Mechanism] The mechanism is not a combination of lower-level mechanisms.")</f>
        <v>[459:Capability&amp;Mechanism] The mechanism is not a combination of lower-level mechanisms.</v>
      </c>
      <c r="AJ60" s="225" t="str">
        <f>IFERROR(__xludf.DUMMYFUNCTION("""COMPUTED_VALUE"""),"IODC")</f>
        <v>IODC</v>
      </c>
    </row>
    <row r="61">
      <c r="T61" s="218" t="str">
        <f t="shared" si="1"/>
        <v>[Kaas, 2000]</v>
      </c>
      <c r="U61" s="218" t="s">
        <v>150</v>
      </c>
      <c r="AD61" s="224" t="str">
        <f>IFERROR(__xludf.DUMMYFUNCTION("""COMPUTED_VALUE"""),"")</f>
        <v/>
      </c>
      <c r="AE61" s="224" t="str">
        <f>IFERROR(__xludf.DUMMYFUNCTION("""COMPUTED_VALUE"""),"")</f>
        <v/>
      </c>
      <c r="AF61" s="224" t="str">
        <f>IFERROR(__xludf.DUMMYFUNCTION("""COMPUTED_VALUE"""),"")</f>
        <v/>
      </c>
      <c r="AG61" s="224" t="str">
        <f>IFERROR(__xludf.DUMMYFUNCTION("""COMPUTED_VALUE"""),"")</f>
        <v/>
      </c>
      <c r="AJ61" s="225" t="str">
        <f>IFERROR(__xludf.DUMMYFUNCTION("""COMPUTED_VALUE"""),"IODM")</f>
        <v>IODM</v>
      </c>
    </row>
    <row r="62">
      <c r="T62" s="218" t="str">
        <f t="shared" si="1"/>
        <v>[Kahan, 2012]</v>
      </c>
      <c r="U62" s="218" t="s">
        <v>151</v>
      </c>
      <c r="AD62" s="224" t="str">
        <f>IFERROR(__xludf.DUMMYFUNCTION("""COMPUTED_VALUE"""),"")</f>
        <v/>
      </c>
      <c r="AE62" s="224" t="str">
        <f>IFERROR(__xludf.DUMMYFUNCTION("""COMPUTED_VALUE"""),"")</f>
        <v/>
      </c>
      <c r="AF62" s="224" t="str">
        <f>IFERROR(__xludf.DUMMYFUNCTION("""COMPUTED_VALUE"""),"")</f>
        <v/>
      </c>
      <c r="AG62" s="224" t="str">
        <f>IFERROR(__xludf.DUMMYFUNCTION("""COMPUTED_VALUE"""),"")</f>
        <v/>
      </c>
      <c r="AJ62" s="225" t="str">
        <f>IFERROR(__xludf.DUMMYFUNCTION("""COMPUTED_VALUE"""),"IODT")</f>
        <v>IODT</v>
      </c>
    </row>
    <row r="63">
      <c r="T63" s="218" t="str">
        <f t="shared" si="1"/>
        <v>[Kaneko, 1997]</v>
      </c>
      <c r="U63" s="218" t="s">
        <v>152</v>
      </c>
      <c r="AD63" s="224" t="str">
        <f>IFERROR(__xludf.DUMMYFUNCTION("""COMPUTED_VALUE"""),"")</f>
        <v/>
      </c>
      <c r="AE63" s="224" t="str">
        <f>IFERROR(__xludf.DUMMYFUNCTION("""COMPUTED_VALUE"""),"")</f>
        <v/>
      </c>
      <c r="AF63" s="224" t="str">
        <f>IFERROR(__xludf.DUMMYFUNCTION("""COMPUTED_VALUE"""),"")</f>
        <v/>
      </c>
      <c r="AG63" s="224" t="str">
        <f>IFERROR(__xludf.DUMMYFUNCTION("""COMPUTED_VALUE"""),"[462:Implementation of Uniform Circuit] The implementation's input/output does not match the interface's input/output.")</f>
        <v>[462:Implementation of Uniform Circuit] The implementation's input/output does not match the interface's input/output.</v>
      </c>
      <c r="AJ63" s="225" t="str">
        <f>IFERROR(__xludf.DUMMYFUNCTION("""COMPUTED_VALUE"""),"IOFas")</f>
        <v>IOFas</v>
      </c>
    </row>
    <row r="64">
      <c r="T64" s="218" t="str">
        <f t="shared" si="1"/>
        <v>[Kaneko, 2013]</v>
      </c>
      <c r="U64" s="218" t="s">
        <v>153</v>
      </c>
      <c r="AD64" s="224" t="str">
        <f>IFERROR(__xludf.DUMMYFUNCTION("""COMPUTED_VALUE"""),"")</f>
        <v/>
      </c>
      <c r="AE64" s="224" t="str">
        <f>IFERROR(__xludf.DUMMYFUNCTION("""COMPUTED_VALUE"""),"")</f>
        <v/>
      </c>
      <c r="AF64" s="224" t="str">
        <f>IFERROR(__xludf.DUMMYFUNCTION("""COMPUTED_VALUE"""),"")</f>
        <v/>
      </c>
      <c r="AG64" s="224" t="str">
        <f>IFERROR(__xludf.DUMMYFUNCTION("""COMPUTED_VALUE"""),"")</f>
        <v/>
      </c>
      <c r="AJ64" s="225" t="str">
        <f>IFERROR(__xludf.DUMMYFUNCTION("""COMPUTED_VALUE"""),"IOInP")</f>
        <v>IOInP</v>
      </c>
    </row>
    <row r="65">
      <c r="T65" s="218" t="str">
        <f t="shared" si="1"/>
        <v>[Kesner, 2007]</v>
      </c>
      <c r="U65" s="218" t="s">
        <v>154</v>
      </c>
      <c r="AD65" s="224" t="str">
        <f>IFERROR(__xludf.DUMMYFUNCTION("""COMPUTED_VALUE"""),"")</f>
        <v/>
      </c>
      <c r="AE65" s="224" t="str">
        <f>IFERROR(__xludf.DUMMYFUNCTION("""COMPUTED_VALUE"""),"")</f>
        <v/>
      </c>
      <c r="AF65" s="224" t="str">
        <f>IFERROR(__xludf.DUMMYFUNCTION("""COMPUTED_VALUE"""),"")</f>
        <v/>
      </c>
      <c r="AG65" s="224" t="str">
        <f>IFERROR(__xludf.DUMMYFUNCTION("""COMPUTED_VALUE"""),"")</f>
        <v/>
      </c>
      <c r="AJ65" s="225" t="str">
        <f>IFERROR(__xludf.DUMMYFUNCTION("""COMPUTED_VALUE"""),"IOK")</f>
        <v>IOK</v>
      </c>
    </row>
    <row r="66">
      <c r="T66" s="218" t="str">
        <f t="shared" si="1"/>
        <v>[Kheradmand, 2011]</v>
      </c>
      <c r="U66" s="218" t="s">
        <v>155</v>
      </c>
      <c r="AD66" s="224" t="str">
        <f>IFERROR(__xludf.DUMMYFUNCTION("""COMPUTED_VALUE"""),"")</f>
        <v/>
      </c>
      <c r="AE66" s="224" t="str">
        <f>IFERROR(__xludf.DUMMYFUNCTION("""COMPUTED_VALUE"""),"")</f>
        <v/>
      </c>
      <c r="AF66" s="224" t="str">
        <f>IFERROR(__xludf.DUMMYFUNCTION("""COMPUTED_VALUE"""),"")</f>
        <v/>
      </c>
      <c r="AG66" s="224" t="str">
        <f>IFERROR(__xludf.DUMMYFUNCTION("""COMPUTED_VALUE"""),"")</f>
        <v/>
      </c>
      <c r="AJ66" s="225" t="str">
        <f>IFERROR(__xludf.DUMMYFUNCTION("""COMPUTED_VALUE"""),"IOPr")</f>
        <v>IOPr</v>
      </c>
    </row>
    <row r="67">
      <c r="T67" s="218" t="str">
        <f t="shared" si="1"/>
        <v>[Klink, 1997]</v>
      </c>
      <c r="U67" s="218" t="s">
        <v>156</v>
      </c>
      <c r="AD67" s="224" t="str">
        <f>IFERROR(__xludf.DUMMYFUNCTION("""COMPUTED_VALUE"""),"")</f>
        <v/>
      </c>
      <c r="AE67" s="224" t="str">
        <f>IFERROR(__xludf.DUMMYFUNCTION("""COMPUTED_VALUE"""),"")</f>
        <v/>
      </c>
      <c r="AF67" s="224" t="str">
        <f>IFERROR(__xludf.DUMMYFUNCTION("""COMPUTED_VALUE"""),"")</f>
        <v/>
      </c>
      <c r="AG67" s="224" t="str">
        <f>IFERROR(__xludf.DUMMYFUNCTION("""COMPUTED_VALUE"""),"")</f>
        <v/>
      </c>
      <c r="AJ67" s="225" t="str">
        <f>IFERROR(__xludf.DUMMYFUNCTION("""COMPUTED_VALUE"""),"IOVeN")</f>
        <v>IOVeN</v>
      </c>
    </row>
    <row r="68">
      <c r="T68" s="218" t="str">
        <f t="shared" si="1"/>
        <v>[Knierim, 2014]</v>
      </c>
      <c r="U68" s="218" t="s">
        <v>157</v>
      </c>
      <c r="AD68" s="224" t="str">
        <f>IFERROR(__xludf.DUMMYFUNCTION("""COMPUTED_VALUE"""),"")</f>
        <v/>
      </c>
      <c r="AE68" s="224" t="str">
        <f>IFERROR(__xludf.DUMMYFUNCTION("""COMPUTED_VALUE"""),"")</f>
        <v/>
      </c>
      <c r="AF68" s="224" t="str">
        <f>IFERROR(__xludf.DUMMYFUNCTION("""COMPUTED_VALUE"""),"")</f>
        <v/>
      </c>
      <c r="AG68" s="224" t="str">
        <f>IFERROR(__xludf.DUMMYFUNCTION("""COMPUTED_VALUE"""),"")</f>
        <v/>
      </c>
      <c r="AJ68" s="225" t="str">
        <f>IFERROR(__xludf.DUMMYFUNCTION("""COMPUTED_VALUE"""),"IOVL")</f>
        <v>IOVL</v>
      </c>
    </row>
    <row r="69">
      <c r="T69" s="218" t="str">
        <f t="shared" si="1"/>
        <v>[Knierim, 2015]</v>
      </c>
      <c r="U69" s="218" t="s">
        <v>158</v>
      </c>
      <c r="AD69" s="224" t="str">
        <f>IFERROR(__xludf.DUMMYFUNCTION("""COMPUTED_VALUE"""),"")</f>
        <v/>
      </c>
      <c r="AE69" s="224" t="str">
        <f>IFERROR(__xludf.DUMMYFUNCTION("""COMPUTED_VALUE"""),"")</f>
        <v/>
      </c>
      <c r="AF69" s="224" t="str">
        <f>IFERROR(__xludf.DUMMYFUNCTION("""COMPUTED_VALUE"""),"")</f>
        <v/>
      </c>
      <c r="AG69" s="224" t="str">
        <f>IFERROR(__xludf.DUMMYFUNCTION("""COMPUTED_VALUE"""),"")</f>
        <v/>
      </c>
      <c r="AJ69" s="225" t="str">
        <f>IFERROR(__xludf.DUMMYFUNCTION("""COMPUTED_VALUE"""),"LEC_deep_uc1")</f>
        <v>LEC_deep_uc1</v>
      </c>
    </row>
    <row r="70">
      <c r="T70" s="218" t="str">
        <f t="shared" si="1"/>
        <v>[Knierim, 2021]</v>
      </c>
      <c r="U70" s="218" t="s">
        <v>159</v>
      </c>
      <c r="AD70" s="224" t="str">
        <f>IFERROR(__xludf.DUMMYFUNCTION("""COMPUTED_VALUE"""),"")</f>
        <v/>
      </c>
      <c r="AE70" s="224" t="str">
        <f>IFERROR(__xludf.DUMMYFUNCTION("""COMPUTED_VALUE"""),"")</f>
        <v/>
      </c>
      <c r="AF70" s="224" t="str">
        <f>IFERROR(__xludf.DUMMYFUNCTION("""COMPUTED_VALUE"""),"")</f>
        <v/>
      </c>
      <c r="AG70" s="224" t="str">
        <f>IFERROR(__xludf.DUMMYFUNCTION("""COMPUTED_VALUE"""),"")</f>
        <v/>
      </c>
      <c r="AJ70" s="225" t="str">
        <f>IFERROR(__xludf.DUMMYFUNCTION("""COMPUTED_VALUE"""),"LEC_II")</f>
        <v>LEC_II</v>
      </c>
    </row>
    <row r="71">
      <c r="T71" s="218" t="str">
        <f t="shared" si="1"/>
        <v>[Koban, 2021]</v>
      </c>
      <c r="U71" s="218" t="s">
        <v>160</v>
      </c>
      <c r="AD71" s="224" t="str">
        <f>IFERROR(__xludf.DUMMYFUNCTION("""COMPUTED_VALUE"""),"")</f>
        <v/>
      </c>
      <c r="AE71" s="224" t="str">
        <f>IFERROR(__xludf.DUMMYFUNCTION("""COMPUTED_VALUE"""),"[170:Circuit ID] The circuit (Circuit ID) added to the Circuits sheet is not being displayed on the BIF image.")</f>
        <v>[170:Circuit ID] The circuit (Circuit ID) added to the Circuits sheet is not being displayed on the BIF image.</v>
      </c>
      <c r="AF71" s="224" t="str">
        <f>IFERROR(__xludf.DUMMYFUNCTION("""COMPUTED_VALUE"""),"")</f>
        <v/>
      </c>
      <c r="AG71" s="224" t="str">
        <f>IFERROR(__xludf.DUMMYFUNCTION("""COMPUTED_VALUE"""),"[470:Capability] Other CapEmployment models besides Motif are being used.")</f>
        <v>[470:Capability] Other CapEmployment models besides Motif are being used.</v>
      </c>
      <c r="AJ71" s="225" t="str">
        <f>IFERROR(__xludf.DUMMYFUNCTION("""COMPUTED_VALUE"""),"LEC_III")</f>
        <v>LEC_III</v>
      </c>
    </row>
    <row r="72">
      <c r="T72" s="218" t="str">
        <f t="shared" si="1"/>
        <v>[Kohara, 2013]</v>
      </c>
      <c r="U72" s="218" t="s">
        <v>161</v>
      </c>
      <c r="AD72" s="224" t="str">
        <f>IFERROR(__xludf.DUMMYFUNCTION("""COMPUTED_VALUE"""),"")</f>
        <v/>
      </c>
      <c r="AE72" s="224" t="str">
        <f>IFERROR(__xludf.DUMMYFUNCTION("""COMPUTED_VALUE"""),"[171:Circuit ID] The circuit (Circuit ID) depicted in the BIF image is not listed in any column of the Circuits sheet.")</f>
        <v>[171:Circuit ID] The circuit (Circuit ID) depicted in the BIF image is not listed in any column of the Circuits sheet.</v>
      </c>
      <c r="AF72" s="224" t="str">
        <f>IFERROR(__xludf.DUMMYFUNCTION("""COMPUTED_VALUE"""),"")</f>
        <v/>
      </c>
      <c r="AG72" s="224" t="str">
        <f>IFERROR(__xludf.DUMMYFUNCTION("""COMPUTED_VALUE"""),"[471:Capability] The output semantics are described.")</f>
        <v>[471:Capability] The output semantics are described.</v>
      </c>
      <c r="AJ72" s="225" t="str">
        <f>IFERROR(__xludf.DUMMYFUNCTION("""COMPUTED_VALUE"""),"M1C.L5PT")</f>
        <v>M1C.L5PT</v>
      </c>
    </row>
    <row r="73">
      <c r="T73" s="218" t="str">
        <f t="shared" si="1"/>
        <v>[Kojima, 2018]</v>
      </c>
      <c r="U73" s="218" t="s">
        <v>162</v>
      </c>
      <c r="AD73" s="224" t="str">
        <f>IFERROR(__xludf.DUMMYFUNCTION("""COMPUTED_VALUE"""),"")</f>
        <v/>
      </c>
      <c r="AE73" s="224" t="str">
        <f>IFERROR(__xludf.DUMMYFUNCTION("""COMPUTED_VALUE"""),"")</f>
        <v/>
      </c>
      <c r="AF73" s="224" t="str">
        <f>IFERROR(__xludf.DUMMYFUNCTION("""COMPUTED_VALUE"""),"")</f>
        <v/>
      </c>
      <c r="AG73" s="224" t="str">
        <f>IFERROR(__xludf.DUMMYFUNCTION("""COMPUTED_VALUE"""),"[472:Capability] Even if you enter the output semantics information into Capability, it doesn't become a requirement.")</f>
        <v>[472:Capability] Even if you enter the output semantics information into Capability, it doesn't become a requirement.</v>
      </c>
      <c r="AJ73" s="225" t="str">
        <f>IFERROR(__xludf.DUMMYFUNCTION("""COMPUTED_VALUE"""),"M1hf.L5PT")</f>
        <v>M1hf.L5PT</v>
      </c>
    </row>
    <row r="74">
      <c r="T74" s="218" t="str">
        <f t="shared" si="1"/>
        <v>[Kojima, 2021]</v>
      </c>
      <c r="U74" s="218" t="s">
        <v>163</v>
      </c>
      <c r="AD74" s="224" t="str">
        <f>IFERROR(__xludf.DUMMYFUNCTION("""COMPUTED_VALUE"""),"")</f>
        <v/>
      </c>
      <c r="AE74" s="224" t="str">
        <f>IFERROR(__xludf.DUMMYFUNCTION("""COMPUTED_VALUE"""),"")</f>
        <v/>
      </c>
      <c r="AF74" s="224" t="str">
        <f>IFERROR(__xludf.DUMMYFUNCTION("""COMPUTED_VALUE"""),"[273:Pointers on literature] The sentence described within this ""Pointers on literature"" cell could not be found in the literature specified by the Reference ID.")</f>
        <v>[273:Pointers on literature] The sentence described within this "Pointers on literature" cell could not be found in the literature specified by the Reference ID.</v>
      </c>
      <c r="AG74" s="224" t="str">
        <f>IFERROR(__xludf.DUMMYFUNCTION("""COMPUTED_VALUE"""),"")</f>
        <v/>
      </c>
      <c r="AJ74" s="225" t="str">
        <f>IFERROR(__xludf.DUMMYFUNCTION("""COMPUTED_VALUE"""),"M1lm.L5PT")</f>
        <v>M1lm.L5PT</v>
      </c>
    </row>
    <row r="75">
      <c r="T75" s="218" t="str">
        <f t="shared" si="1"/>
        <v>[Krack, 2010]</v>
      </c>
      <c r="U75" s="218" t="s">
        <v>164</v>
      </c>
      <c r="AD75" s="224" t="str">
        <f>IFERROR(__xludf.DUMMYFUNCTION("""COMPUTED_VALUE"""),"")</f>
        <v/>
      </c>
      <c r="AE75" s="224" t="str">
        <f>IFERROR(__xludf.DUMMYFUNCTION("""COMPUTED_VALUE"""),"")</f>
        <v/>
      </c>
      <c r="AF75" s="224" t="str">
        <f>IFERROR(__xludf.DUMMYFUNCTION("""COMPUTED_VALUE"""),"[274:Pointers on literature] Depending on the sentences written within this Pointers on literature cell, the existence of the connection represented in this record cannot be guaranteed.")</f>
        <v>[274:Pointers on literature] Depending on the sentences written within this Pointers on literature cell, the existence of the connection represented in this record cannot be guaranteed.</v>
      </c>
      <c r="AG75" s="224" t="str">
        <f>IFERROR(__xludf.DUMMYFUNCTION("""COMPUTED_VALUE"""),"")</f>
        <v/>
      </c>
      <c r="AJ75" s="225" t="str">
        <f>IFERROR(__xludf.DUMMYFUNCTION("""COMPUTED_VALUE"""),"M1ul.L5PT")</f>
        <v>M1ul.L5PT</v>
      </c>
    </row>
    <row r="76">
      <c r="T76" s="218" t="str">
        <f t="shared" si="1"/>
        <v>[Krueger, 2019]</v>
      </c>
      <c r="U76" s="218" t="s">
        <v>165</v>
      </c>
      <c r="AD76" s="224" t="str">
        <f>IFERROR(__xludf.DUMMYFUNCTION("""COMPUTED_VALUE"""),"")</f>
        <v/>
      </c>
      <c r="AE76" s="224" t="str">
        <f>IFERROR(__xludf.DUMMYFUNCTION("""COMPUTED_VALUE"""),"")</f>
        <v/>
      </c>
      <c r="AF76" s="224" t="str">
        <f>IFERROR(__xludf.DUMMYFUNCTION("""COMPUTED_VALUE"""),"")</f>
        <v/>
      </c>
      <c r="AG76" s="224" t="str">
        <f>IFERROR(__xludf.DUMMYFUNCTION("""COMPUTED_VALUE"""),"")</f>
        <v/>
      </c>
      <c r="AJ76" s="225" t="str">
        <f>IFERROR(__xludf.DUMMYFUNCTION("""COMPUTED_VALUE"""),"MEC_II")</f>
        <v>MEC_II</v>
      </c>
    </row>
    <row r="77">
      <c r="T77" s="218" t="str">
        <f t="shared" si="1"/>
        <v>[Lee, 2007]</v>
      </c>
      <c r="U77" s="218" t="s">
        <v>166</v>
      </c>
      <c r="AD77" s="224" t="str">
        <f>IFERROR(__xludf.DUMMYFUNCTION("""COMPUTED_VALUE"""),"")</f>
        <v/>
      </c>
      <c r="AE77" s="224" t="str">
        <f>IFERROR(__xludf.DUMMYFUNCTION("""COMPUTED_VALUE"""),"")</f>
        <v/>
      </c>
      <c r="AF77" s="224" t="str">
        <f>IFERROR(__xludf.DUMMYFUNCTION("""COMPUTED_VALUE"""),"")</f>
        <v/>
      </c>
      <c r="AG77" s="224" t="str">
        <f>IFERROR(__xludf.DUMMYFUNCTION("""COMPUTED_VALUE"""),"")</f>
        <v/>
      </c>
      <c r="AJ77" s="225" t="str">
        <f>IFERROR(__xludf.DUMMYFUNCTION("""COMPUTED_VALUE"""),"MEC_III")</f>
        <v>MEC_III</v>
      </c>
    </row>
    <row r="78">
      <c r="T78" s="218" t="str">
        <f t="shared" si="1"/>
        <v>[Lemieux, 2014]</v>
      </c>
      <c r="U78" s="218" t="s">
        <v>167</v>
      </c>
      <c r="AD78" s="224" t="str">
        <f>IFERROR(__xludf.DUMMYFUNCTION("""COMPUTED_VALUE"""),"")</f>
        <v/>
      </c>
      <c r="AE78" s="224" t="str">
        <f>IFERROR(__xludf.DUMMYFUNCTION("""COMPUTED_VALUE"""),"")</f>
        <v/>
      </c>
      <c r="AF78" s="224" t="str">
        <f>IFERROR(__xludf.DUMMYFUNCTION("""COMPUTED_VALUE"""),"")</f>
        <v/>
      </c>
      <c r="AG78" s="224" t="str">
        <f>IFERROR(__xludf.DUMMYFUNCTION("""COMPUTED_VALUE"""),"")</f>
        <v/>
      </c>
      <c r="AJ78" s="225" t="str">
        <f>IFERROR(__xludf.DUMMYFUNCTION("""COMPUTED_VALUE"""),"MNs")</f>
        <v>MNs</v>
      </c>
    </row>
    <row r="79">
      <c r="T79" s="218" t="str">
        <f t="shared" si="1"/>
        <v>[Llins, 2002]</v>
      </c>
      <c r="U79" s="218" t="s">
        <v>168</v>
      </c>
      <c r="AD79" s="224" t="str">
        <f>IFERROR(__xludf.DUMMYFUNCTION("""COMPUTED_VALUE"""),"")</f>
        <v/>
      </c>
      <c r="AE79" s="224" t="str">
        <f>IFERROR(__xludf.DUMMYFUNCTION("""COMPUTED_VALUE"""),"")</f>
        <v/>
      </c>
      <c r="AF79" s="224" t="str">
        <f>IFERROR(__xludf.DUMMYFUNCTION("""COMPUTED_VALUE"""),"")</f>
        <v/>
      </c>
      <c r="AG79" s="224" t="str">
        <f>IFERROR(__xludf.DUMMYFUNCTION("""COMPUTED_VALUE"""),"")</f>
        <v/>
      </c>
      <c r="AJ79" s="225" t="str">
        <f>IFERROR(__xludf.DUMMYFUNCTION("""COMPUTED_VALUE"""),"MVeMC")</f>
        <v>MVeMC</v>
      </c>
    </row>
    <row r="80">
      <c r="T80" s="218" t="str">
        <f t="shared" si="1"/>
        <v>[Llorens-Martín, 2014]</v>
      </c>
      <c r="U80" s="218" t="s">
        <v>169</v>
      </c>
      <c r="AD80" s="224" t="str">
        <f>IFERROR(__xludf.DUMMYFUNCTION("""COMPUTED_VALUE"""),"")</f>
        <v/>
      </c>
      <c r="AE80" s="224" t="str">
        <f>IFERROR(__xludf.DUMMYFUNCTION("""COMPUTED_VALUE"""),"")</f>
        <v/>
      </c>
      <c r="AF80" s="224" t="str">
        <f>IFERROR(__xludf.DUMMYFUNCTION("""COMPUTED_VALUE"""),"[279:Pointers on figure] Depending on the drawing specified in ""Pointers on figure"" within the document specified by the Reference ID, the existence of the connection represented in this record cannot be guaranteed.")</f>
        <v>[279:Pointers on figure] Depending on the drawing specified in "Pointers on figure" within the document specified by the Reference ID, the existence of the connection represented in this record cannot be guaranteed.</v>
      </c>
      <c r="AG80" s="224" t="str">
        <f>IFERROR(__xludf.DUMMYFUNCTION("""COMPUTED_VALUE"""),"")</f>
        <v/>
      </c>
      <c r="AJ80" s="225" t="str">
        <f>IFERROR(__xludf.DUMMYFUNCTION("""COMPUTED_VALUE"""),"MVEPC")</f>
        <v>MVEPC</v>
      </c>
    </row>
    <row r="81">
      <c r="T81" s="218" t="str">
        <f t="shared" si="1"/>
        <v>[Lu, 2012]</v>
      </c>
      <c r="U81" s="218" t="s">
        <v>170</v>
      </c>
      <c r="AD81" s="224" t="str">
        <f>IFERROR(__xludf.DUMMYFUNCTION("""COMPUTED_VALUE"""),"")</f>
        <v/>
      </c>
      <c r="AE81" s="224" t="str">
        <f>IFERROR(__xludf.DUMMYFUNCTION("""COMPUTED_VALUE"""),"")</f>
        <v/>
      </c>
      <c r="AF81" s="224" t="str">
        <f>IFERROR(__xludf.DUMMYFUNCTION("""COMPUTED_VALUE"""),"")</f>
        <v/>
      </c>
      <c r="AG81" s="224" t="str">
        <f>IFERROR(__xludf.DUMMYFUNCTION("""COMPUTED_VALUE"""),"")</f>
        <v/>
      </c>
      <c r="AJ81" s="225" t="str">
        <f>IFERROR(__xludf.DUMMYFUNCTION("""COMPUTED_VALUE"""),"PaS_uc1")</f>
        <v>PaS_uc1</v>
      </c>
    </row>
    <row r="82">
      <c r="T82" s="218" t="str">
        <f t="shared" si="1"/>
        <v>[Luo, 2018]</v>
      </c>
      <c r="U82" s="218" t="s">
        <v>171</v>
      </c>
      <c r="AD82" s="224" t="str">
        <f>IFERROR(__xludf.DUMMYFUNCTION("""COMPUTED_VALUE"""),"")</f>
        <v/>
      </c>
      <c r="AE82" s="224" t="str">
        <f>IFERROR(__xludf.DUMMYFUNCTION("""COMPUTED_VALUE"""),"")</f>
        <v/>
      </c>
      <c r="AF82" s="224" t="str">
        <f>IFERROR(__xludf.DUMMYFUNCTION("""COMPUTED_VALUE"""),"")</f>
        <v/>
      </c>
      <c r="AG82" s="224" t="str">
        <f>IFERROR(__xludf.DUMMYFUNCTION("""COMPUTED_VALUE"""),"")</f>
        <v/>
      </c>
      <c r="AJ82" s="225" t="str">
        <f>IFERROR(__xludf.DUMMYFUNCTION("""COMPUTED_VALUE"""),"PoFC.L5")</f>
        <v>PoFC.L5</v>
      </c>
    </row>
    <row r="83">
      <c r="T83" s="218" t="str">
        <f t="shared" si="1"/>
        <v>[Majka, 2020]</v>
      </c>
      <c r="U83" s="218" t="s">
        <v>172</v>
      </c>
      <c r="AD83" s="224" t="str">
        <f>IFERROR(__xludf.DUMMYFUNCTION("""COMPUTED_VALUE"""),"")</f>
        <v/>
      </c>
      <c r="AE83" s="224" t="str">
        <f>IFERROR(__xludf.DUMMYFUNCTION("""COMPUTED_VALUE"""),"")</f>
        <v/>
      </c>
      <c r="AF83" s="224" t="str">
        <f>IFERROR(__xludf.DUMMYFUNCTION("""COMPUTED_VALUE"""),"")</f>
        <v/>
      </c>
      <c r="AG83" s="224" t="str">
        <f>IFERROR(__xludf.DUMMYFUNCTION("""COMPUTED_VALUE"""),"")</f>
        <v/>
      </c>
      <c r="AJ83" s="225" t="str">
        <f>IFERROR(__xludf.DUMMYFUNCTION("""COMPUTED_VALUE"""),"PPMRF_l")</f>
        <v>PPMRF_l</v>
      </c>
    </row>
    <row r="84">
      <c r="T84" s="218" t="str">
        <f t="shared" si="1"/>
        <v>[Markov, 2013]</v>
      </c>
      <c r="U84" s="218" t="s">
        <v>173</v>
      </c>
      <c r="AD84" s="224" t="str">
        <f>IFERROR(__xludf.DUMMYFUNCTION("""COMPUTED_VALUE"""),"")</f>
        <v/>
      </c>
      <c r="AE84" s="224" t="str">
        <f>IFERROR(__xludf.DUMMYFUNCTION("""COMPUTED_VALUE"""),"")</f>
        <v/>
      </c>
      <c r="AF84" s="224" t="str">
        <f>IFERROR(__xludf.DUMMYFUNCTION("""COMPUTED_VALUE"""),"")</f>
        <v/>
      </c>
      <c r="AG84" s="224" t="str">
        <f>IFERROR(__xludf.DUMMYFUNCTION("""COMPUTED_VALUE"""),"")</f>
        <v/>
      </c>
      <c r="AJ84" s="225" t="str">
        <f>IFERROR(__xludf.DUMMYFUNCTION("""COMPUTED_VALUE"""),"PPMRF_r")</f>
        <v>PPMRF_r</v>
      </c>
    </row>
    <row r="85">
      <c r="T85" s="218" t="str">
        <f t="shared" si="1"/>
        <v>[Matsuno, 2016]</v>
      </c>
      <c r="U85" s="218" t="s">
        <v>174</v>
      </c>
      <c r="AD85" s="224" t="str">
        <f>IFERROR(__xludf.DUMMYFUNCTION("""COMPUTED_VALUE"""),"")</f>
        <v/>
      </c>
      <c r="AE85" s="224" t="str">
        <f>IFERROR(__xludf.DUMMYFUNCTION("""COMPUTED_VALUE"""),"")</f>
        <v/>
      </c>
      <c r="AF85" s="224" t="str">
        <f>IFERROR(__xludf.DUMMYFUNCTION("""COMPUTED_VALUE"""),"")</f>
        <v/>
      </c>
      <c r="AG85" s="224" t="str">
        <f>IFERROR(__xludf.DUMMYFUNCTION("""COMPUTED_VALUE"""),"")</f>
        <v/>
      </c>
      <c r="AJ85" s="225" t="str">
        <f>IFERROR(__xludf.DUMMYFUNCTION("""COMPUTED_VALUE"""),"PPRF_l")</f>
        <v>PPRF_l</v>
      </c>
    </row>
    <row r="86">
      <c r="T86" s="218" t="str">
        <f t="shared" si="1"/>
        <v>[May, 2019]</v>
      </c>
      <c r="U86" s="218" t="s">
        <v>175</v>
      </c>
      <c r="AD86" s="224" t="str">
        <f>IFERROR(__xludf.DUMMYFUNCTION("""COMPUTED_VALUE"""),"")</f>
        <v/>
      </c>
      <c r="AE86" s="224" t="str">
        <f>IFERROR(__xludf.DUMMYFUNCTION("""COMPUTED_VALUE"""),"")</f>
        <v/>
      </c>
      <c r="AF86" s="224" t="str">
        <f>IFERROR(__xludf.DUMMYFUNCTION("""COMPUTED_VALUE"""),"")</f>
        <v/>
      </c>
      <c r="AG86" s="224" t="str">
        <f>IFERROR(__xludf.DUMMYFUNCTION("""COMPUTED_VALUE"""),"")</f>
        <v/>
      </c>
      <c r="AJ86" s="225" t="str">
        <f>IFERROR(__xludf.DUMMYFUNCTION("""COMPUTED_VALUE"""),"PPRF_r")</f>
        <v>PPRF_r</v>
      </c>
    </row>
    <row r="87">
      <c r="T87" s="218" t="str">
        <f t="shared" si="1"/>
        <v>[McNaughton, 1977]</v>
      </c>
      <c r="U87" s="218" t="s">
        <v>176</v>
      </c>
      <c r="AD87" s="224" t="str">
        <f>IFERROR(__xludf.DUMMYFUNCTION("""COMPUTED_VALUE"""),"")</f>
        <v/>
      </c>
      <c r="AE87" s="224" t="str">
        <f>IFERROR(__xludf.DUMMYFUNCTION("""COMPUTED_VALUE"""),"")</f>
        <v/>
      </c>
      <c r="AF87" s="224" t="str">
        <f>IFERROR(__xludf.DUMMYFUNCTION("""COMPUTED_VALUE"""),"")</f>
        <v/>
      </c>
      <c r="AG87" s="224" t="str">
        <f>IFERROR(__xludf.DUMMYFUNCTION("""COMPUTED_VALUE"""),"")</f>
        <v/>
      </c>
      <c r="AJ87" s="225" t="str">
        <f>IFERROR(__xludf.DUMMYFUNCTION("""COMPUTED_VALUE"""),"PrH")</f>
        <v>PrH</v>
      </c>
    </row>
    <row r="88">
      <c r="T88" s="218" t="str">
        <f t="shared" si="1"/>
        <v>[Missal, 2000]</v>
      </c>
      <c r="U88" s="218" t="s">
        <v>177</v>
      </c>
      <c r="AD88" s="224" t="str">
        <f>IFERROR(__xludf.DUMMYFUNCTION("""COMPUTED_VALUE"""),"")</f>
        <v/>
      </c>
      <c r="AE88" s="224" t="str">
        <f>IFERROR(__xludf.DUMMYFUNCTION("""COMPUTED_VALUE"""),"")</f>
        <v/>
      </c>
      <c r="AF88" s="224" t="str">
        <f>IFERROR(__xludf.DUMMYFUNCTION("""COMPUTED_VALUE"""),"")</f>
        <v/>
      </c>
      <c r="AG88" s="224" t="str">
        <f>IFERROR(__xludf.DUMMYFUNCTION("""COMPUTED_VALUE"""),"")</f>
        <v/>
      </c>
      <c r="AJ88" s="225" t="str">
        <f>IFERROR(__xludf.DUMMYFUNCTION("""COMPUTED_VALUE"""),"PrS_uc1")</f>
        <v>PrS_uc1</v>
      </c>
    </row>
    <row r="89">
      <c r="T89" s="218" t="str">
        <f t="shared" si="1"/>
        <v>[Mitchell, 2015]</v>
      </c>
      <c r="U89" s="218" t="s">
        <v>178</v>
      </c>
      <c r="AD89" s="224" t="str">
        <f>IFERROR(__xludf.DUMMYFUNCTION("""COMPUTED_VALUE"""),"")</f>
        <v/>
      </c>
      <c r="AE89" s="224" t="str">
        <f>IFERROR(__xludf.DUMMYFUNCTION("""COMPUTED_VALUE"""),"")</f>
        <v/>
      </c>
      <c r="AF89" s="224" t="str">
        <f>IFERROR(__xludf.DUMMYFUNCTION("""COMPUTED_VALUE"""),"")</f>
        <v/>
      </c>
      <c r="AG89" s="224" t="str">
        <f>IFERROR(__xludf.DUMMYFUNCTION("""COMPUTED_VALUE"""),"")</f>
        <v/>
      </c>
      <c r="AJ89" s="225" t="str">
        <f>IFERROR(__xludf.DUMMYFUNCTION("""COMPUTED_VALUE"""),"RIP")</f>
        <v>RIP</v>
      </c>
    </row>
    <row r="90">
      <c r="T90" s="218" t="str">
        <f t="shared" si="1"/>
        <v>[Miyachi, 2006]</v>
      </c>
      <c r="U90" s="218" t="s">
        <v>179</v>
      </c>
      <c r="AD90" s="224" t="str">
        <f>IFERROR(__xludf.DUMMYFUNCTION("""COMPUTED_VALUE"""),"")</f>
        <v/>
      </c>
      <c r="AE90" s="224" t="str">
        <f>IFERROR(__xludf.DUMMYFUNCTION("""COMPUTED_VALUE"""),"")</f>
        <v/>
      </c>
      <c r="AF90" s="224" t="str">
        <f>IFERROR(__xludf.DUMMYFUNCTION("""COMPUTED_VALUE"""),"")</f>
        <v/>
      </c>
      <c r="AG90" s="224" t="str">
        <f>IFERROR(__xludf.DUMMYFUNCTION("""COMPUTED_VALUE"""),"")</f>
        <v/>
      </c>
      <c r="AJ90" s="225" t="str">
        <f>IFERROR(__xludf.DUMMYFUNCTION("""COMPUTED_VALUE"""),"RNmc")</f>
        <v>RNmc</v>
      </c>
    </row>
    <row r="91">
      <c r="T91" s="218" t="str">
        <f t="shared" si="1"/>
        <v>[Miyamoto, 2021]</v>
      </c>
      <c r="U91" s="218" t="s">
        <v>180</v>
      </c>
      <c r="AD91" s="224" t="str">
        <f>IFERROR(__xludf.DUMMYFUNCTION("""COMPUTED_VALUE"""),"")</f>
        <v/>
      </c>
      <c r="AE91" s="224" t="str">
        <f>IFERROR(__xludf.DUMMYFUNCTION("""COMPUTED_VALUE"""),"")</f>
        <v/>
      </c>
      <c r="AF91" s="224" t="str">
        <f>IFERROR(__xludf.DUMMYFUNCTION("""COMPUTED_VALUE"""),"")</f>
        <v/>
      </c>
      <c r="AG91" s="224" t="str">
        <f>IFERROR(__xludf.DUMMYFUNCTION("""COMPUTED_VALUE"""),"")</f>
        <v/>
      </c>
      <c r="AJ91" s="225" t="str">
        <f>IFERROR(__xludf.DUMMYFUNCTION("""COMPUTED_VALUE"""),"RNpc")</f>
        <v>RNpc</v>
      </c>
    </row>
    <row r="92">
      <c r="T92" s="218" t="str">
        <f t="shared" si="1"/>
        <v>[Monakow, 1978]</v>
      </c>
      <c r="U92" s="218" t="s">
        <v>181</v>
      </c>
      <c r="AD92" s="224" t="str">
        <f>IFERROR(__xludf.DUMMYFUNCTION("""COMPUTED_VALUE"""),"")</f>
        <v/>
      </c>
      <c r="AE92" s="224" t="str">
        <f>IFERROR(__xludf.DUMMYFUNCTION("""COMPUTED_VALUE"""),"")</f>
        <v/>
      </c>
      <c r="AF92" s="224" t="str">
        <f>IFERROR(__xludf.DUMMYFUNCTION("""COMPUTED_VALUE"""),"")</f>
        <v/>
      </c>
      <c r="AG92" s="224" t="str">
        <f>IFERROR(__xludf.DUMMYFUNCTION("""COMPUTED_VALUE"""),"")</f>
        <v/>
      </c>
      <c r="AJ92" s="225" t="str">
        <f>IFERROR(__xludf.DUMMYFUNCTION("""COMPUTED_VALUE"""),"RSC_uc1")</f>
        <v>RSC_uc1</v>
      </c>
    </row>
    <row r="93">
      <c r="T93" s="218" t="str">
        <f t="shared" si="1"/>
        <v>[Moser, 2010]</v>
      </c>
      <c r="U93" s="218" t="s">
        <v>182</v>
      </c>
      <c r="AD93" s="224" t="str">
        <f>IFERROR(__xludf.DUMMYFUNCTION("""COMPUTED_VALUE"""),"")</f>
        <v/>
      </c>
      <c r="AE93" s="224" t="str">
        <f>IFERROR(__xludf.DUMMYFUNCTION("""COMPUTED_VALUE"""),"")</f>
        <v/>
      </c>
      <c r="AF93" s="224" t="str">
        <f>IFERROR(__xludf.DUMMYFUNCTION("""COMPUTED_VALUE"""),"")</f>
        <v/>
      </c>
      <c r="AG93" s="224" t="str">
        <f>IFERROR(__xludf.DUMMYFUNCTION("""COMPUTED_VALUE"""),"")</f>
        <v/>
      </c>
      <c r="AJ93" s="225" t="str">
        <f>IFERROR(__xludf.DUMMYFUNCTION("""COMPUTED_VALUE"""),"rSCI")</f>
        <v>rSCI</v>
      </c>
    </row>
    <row r="94">
      <c r="T94" s="218" t="str">
        <f t="shared" si="1"/>
        <v>[Mungall, 2012]</v>
      </c>
      <c r="U94" s="218" t="s">
        <v>183</v>
      </c>
      <c r="AD94" s="224" t="str">
        <f>IFERROR(__xludf.DUMMYFUNCTION("""COMPUTED_VALUE"""),"")</f>
        <v/>
      </c>
      <c r="AE94" s="224" t="str">
        <f>IFERROR(__xludf.DUMMYFUNCTION("""COMPUTED_VALUE"""),"")</f>
        <v/>
      </c>
      <c r="AF94" s="224" t="str">
        <f>IFERROR(__xludf.DUMMYFUNCTION("""COMPUTED_VALUE"""),"")</f>
        <v/>
      </c>
      <c r="AG94" s="224" t="str">
        <f>IFERROR(__xludf.DUMMYFUNCTION("""COMPUTED_VALUE"""),"")</f>
        <v/>
      </c>
      <c r="AJ94" s="225" t="str">
        <f>IFERROR(__xludf.DUMMYFUNCTION("""COMPUTED_VALUE"""),"rSCS")</f>
        <v>rSCS</v>
      </c>
    </row>
    <row r="95">
      <c r="T95" s="218" t="str">
        <f t="shared" si="1"/>
        <v>[Munoz, 1993]</v>
      </c>
      <c r="U95" s="218" t="s">
        <v>184</v>
      </c>
      <c r="AD95" s="224" t="str">
        <f>IFERROR(__xludf.DUMMYFUNCTION("""COMPUTED_VALUE"""),"")</f>
        <v/>
      </c>
      <c r="AE95" s="224" t="str">
        <f>IFERROR(__xludf.DUMMYFUNCTION("""COMPUTED_VALUE"""),"")</f>
        <v/>
      </c>
      <c r="AF95" s="224" t="str">
        <f>IFERROR(__xludf.DUMMYFUNCTION("""COMPUTED_VALUE"""),"")</f>
        <v/>
      </c>
      <c r="AG95" s="224" t="str">
        <f>IFERROR(__xludf.DUMMYFUNCTION("""COMPUTED_VALUE"""),"")</f>
        <v/>
      </c>
      <c r="AJ95" s="225" t="str">
        <f>IFERROR(__xludf.DUMMYFUNCTION("""COMPUTED_VALUE"""),"RTg")</f>
        <v>RTg</v>
      </c>
    </row>
    <row r="96">
      <c r="T96" s="218" t="str">
        <f t="shared" si="1"/>
        <v>[Noda, 1990]</v>
      </c>
      <c r="U96" s="218" t="s">
        <v>185</v>
      </c>
      <c r="AD96" s="224" t="str">
        <f>IFERROR(__xludf.DUMMYFUNCTION("""COMPUTED_VALUE"""),"")</f>
        <v/>
      </c>
      <c r="AE96" s="224" t="str">
        <f>IFERROR(__xludf.DUMMYFUNCTION("""COMPUTED_VALUE"""),"")</f>
        <v/>
      </c>
      <c r="AF96" s="224" t="str">
        <f>IFERROR(__xludf.DUMMYFUNCTION("""COMPUTED_VALUE"""),"")</f>
        <v/>
      </c>
      <c r="AG96" s="224" t="str">
        <f>IFERROR(__xludf.DUMMYFUNCTION("""COMPUTED_VALUE"""),"")</f>
        <v/>
      </c>
      <c r="AJ96" s="225" t="str">
        <f>IFERROR(__xludf.DUMMYFUNCTION("""COMPUTED_VALUE"""),"S_distal")</f>
        <v>S_distal</v>
      </c>
    </row>
    <row r="97">
      <c r="T97" s="218" t="str">
        <f t="shared" si="1"/>
        <v>[Ohara, 2018]</v>
      </c>
      <c r="U97" s="218" t="s">
        <v>186</v>
      </c>
      <c r="AD97" s="224" t="str">
        <f>IFERROR(__xludf.DUMMYFUNCTION("""COMPUTED_VALUE"""),"")</f>
        <v/>
      </c>
      <c r="AE97" s="224" t="str">
        <f>IFERROR(__xludf.DUMMYFUNCTION("""COMPUTED_VALUE"""),"")</f>
        <v/>
      </c>
      <c r="AF97" s="224" t="str">
        <f>IFERROR(__xludf.DUMMYFUNCTION("""COMPUTED_VALUE"""),"")</f>
        <v/>
      </c>
      <c r="AG97" s="224" t="str">
        <f>IFERROR(__xludf.DUMMYFUNCTION("""COMPUTED_VALUE"""),"")</f>
        <v/>
      </c>
      <c r="AJ97" s="225" t="str">
        <f>IFERROR(__xludf.DUMMYFUNCTION("""COMPUTED_VALUE"""),"S_proximal")</f>
        <v>S_proximal</v>
      </c>
    </row>
    <row r="98">
      <c r="T98" s="218" t="str">
        <f t="shared" si="1"/>
        <v>[OKeefe, 1976]</v>
      </c>
      <c r="U98" s="218" t="s">
        <v>187</v>
      </c>
      <c r="AD98" s="224" t="str">
        <f>IFERROR(__xludf.DUMMYFUNCTION("""COMPUTED_VALUE"""),"")</f>
        <v/>
      </c>
      <c r="AE98" s="224" t="str">
        <f>IFERROR(__xludf.DUMMYFUNCTION("""COMPUTED_VALUE"""),"")</f>
        <v/>
      </c>
      <c r="AF98" s="224" t="str">
        <f>IFERROR(__xludf.DUMMYFUNCTION("""COMPUTED_VALUE"""),"")</f>
        <v/>
      </c>
      <c r="AG98" s="224" t="str">
        <f>IFERROR(__xludf.DUMMYFUNCTION("""COMPUTED_VALUE"""),"")</f>
        <v/>
      </c>
      <c r="AJ98" s="225" t="str">
        <f>IFERROR(__xludf.DUMMYFUNCTION("""COMPUTED_VALUE"""),"STHld")</f>
        <v>STHld</v>
      </c>
    </row>
    <row r="99">
      <c r="T99" s="218" t="str">
        <f t="shared" si="1"/>
        <v>[OReilly, 2012-ne]</v>
      </c>
      <c r="U99" s="218" t="s">
        <v>188</v>
      </c>
      <c r="AD99" s="224" t="str">
        <f>IFERROR(__xludf.DUMMYFUNCTION("""COMPUTED_VALUE"""),"")</f>
        <v/>
      </c>
      <c r="AE99" s="224" t="str">
        <f>IFERROR(__xludf.DUMMYFUNCTION("""COMPUTED_VALUE"""),"")</f>
        <v/>
      </c>
      <c r="AF99" s="224" t="str">
        <f>IFERROR(__xludf.DUMMYFUNCTION("""COMPUTED_VALUE"""),"")</f>
        <v/>
      </c>
      <c r="AG99" s="224" t="str">
        <f>IFERROR(__xludf.DUMMYFUNCTION("""COMPUTED_VALUE"""),"")</f>
        <v/>
      </c>
      <c r="AJ99" s="225" t="str">
        <f>IFERROR(__xludf.DUMMYFUNCTION("""COMPUTED_VALUE"""),"STHlv")</f>
        <v>STHlv</v>
      </c>
    </row>
    <row r="100">
      <c r="T100" s="218" t="str">
        <f t="shared" si="1"/>
        <v>[Pascual, 2013]</v>
      </c>
      <c r="U100" s="218" t="s">
        <v>189</v>
      </c>
      <c r="AD100" s="224" t="str">
        <f>IFERROR(__xludf.DUMMYFUNCTION("""COMPUTED_VALUE"""),"")</f>
        <v/>
      </c>
      <c r="AE100" s="224" t="str">
        <f>IFERROR(__xludf.DUMMYFUNCTION("""COMPUTED_VALUE"""),"")</f>
        <v/>
      </c>
      <c r="AF100" s="224" t="str">
        <f>IFERROR(__xludf.DUMMYFUNCTION("""COMPUTED_VALUE"""),"")</f>
        <v/>
      </c>
      <c r="AG100" s="224" t="str">
        <f>IFERROR(__xludf.DUMMYFUNCTION("""COMPUTED_VALUE"""),"")</f>
        <v/>
      </c>
      <c r="AJ100" s="225" t="str">
        <f>IFERROR(__xludf.DUMMYFUNCTION("""COMPUTED_VALUE"""),"STHm")</f>
        <v>STHm</v>
      </c>
    </row>
    <row r="101">
      <c r="T101" s="218" t="str">
        <f t="shared" si="1"/>
        <v>[Passingham, 2012]</v>
      </c>
      <c r="U101" s="218" t="s">
        <v>190</v>
      </c>
      <c r="AD101" s="224" t="str">
        <f>IFERROR(__xludf.DUMMYFUNCTION("""COMPUTED_VALUE"""),"")</f>
        <v/>
      </c>
      <c r="AE101" s="224"/>
      <c r="AF101" s="224" t="str">
        <f>IFERROR(__xludf.DUMMYFUNCTION("""COMPUTED_VALUE"""),"")</f>
        <v/>
      </c>
      <c r="AG101" s="224" t="str">
        <f>IFERROR(__xludf.DUMMYFUNCTION("""COMPUTED_VALUE"""),"")</f>
        <v/>
      </c>
      <c r="AJ101" s="225" t="str">
        <f>IFERROR(__xludf.DUMMYFUNCTION("""COMPUTED_VALUE"""),"STR_matrix")</f>
        <v>STR_matrix</v>
      </c>
    </row>
    <row r="102">
      <c r="T102" s="218" t="str">
        <f t="shared" si="1"/>
        <v>[Paxinos, 2012]</v>
      </c>
      <c r="U102" s="218" t="s">
        <v>191</v>
      </c>
      <c r="AD102" s="224" t="str">
        <f>IFERROR(__xludf.DUMMYFUNCTION("""COMPUTED_VALUE"""),"")</f>
        <v/>
      </c>
      <c r="AE102" s="224"/>
      <c r="AF102" s="224" t="str">
        <f>IFERROR(__xludf.DUMMYFUNCTION("""COMPUTED_VALUE"""),"")</f>
        <v/>
      </c>
      <c r="AG102" s="224" t="str">
        <f>IFERROR(__xludf.DUMMYFUNCTION("""COMPUTED_VALUE"""),"")</f>
        <v/>
      </c>
      <c r="AJ102" s="225" t="str">
        <f>IFERROR(__xludf.DUMMYFUNCTION("""COMPUTED_VALUE"""),"STR_patch")</f>
        <v>STR_patch</v>
      </c>
    </row>
    <row r="103">
      <c r="T103" s="218" t="str">
        <f t="shared" si="1"/>
        <v>[PereiradeVasconcelos, 2015]</v>
      </c>
      <c r="U103" s="218" t="s">
        <v>192</v>
      </c>
      <c r="AD103" s="224" t="str">
        <f>IFERROR(__xludf.DUMMYFUNCTION("""COMPUTED_VALUE"""),"")</f>
        <v/>
      </c>
      <c r="AE103" s="224"/>
      <c r="AF103" s="224" t="str">
        <f>IFERROR(__xludf.DUMMYFUNCTION("""COMPUTED_VALUE"""),"")</f>
        <v/>
      </c>
      <c r="AG103" s="224" t="str">
        <f>IFERROR(__xludf.DUMMYFUNCTION("""COMPUTED_VALUE"""),"")</f>
        <v/>
      </c>
      <c r="AJ103" s="225" t="str">
        <f>IFERROR(__xludf.DUMMYFUNCTION("""COMPUTED_VALUE"""),"TRN_core")</f>
        <v>TRN_core</v>
      </c>
    </row>
    <row r="104">
      <c r="T104" s="218" t="str">
        <f t="shared" si="1"/>
        <v>[Petrides, 2012]</v>
      </c>
      <c r="U104" s="218" t="s">
        <v>193</v>
      </c>
      <c r="AD104" s="224" t="str">
        <f>IFERROR(__xludf.DUMMYFUNCTION("""COMPUTED_VALUE"""),"")</f>
        <v/>
      </c>
      <c r="AE104" s="224"/>
      <c r="AF104" s="224" t="str">
        <f>IFERROR(__xludf.DUMMYFUNCTION("""COMPUTED_VALUE"""),"")</f>
        <v/>
      </c>
      <c r="AG104" s="224" t="str">
        <f>IFERROR(__xludf.DUMMYFUNCTION("""COMPUTED_VALUE"""),"")</f>
        <v/>
      </c>
      <c r="AJ104" s="225" t="str">
        <f>IFERROR(__xludf.DUMMYFUNCTION("""COMPUTED_VALUE"""),"TRN_IL")</f>
        <v>TRN_IL</v>
      </c>
    </row>
    <row r="105">
      <c r="T105" s="218" t="str">
        <f t="shared" si="1"/>
        <v>[Piantoni, 2016]</v>
      </c>
      <c r="U105" s="218" t="s">
        <v>194</v>
      </c>
      <c r="AD105" s="224" t="str">
        <f>IFERROR(__xludf.DUMMYFUNCTION("""COMPUTED_VALUE"""),"")</f>
        <v/>
      </c>
      <c r="AE105" s="224"/>
      <c r="AF105" s="224" t="str">
        <f>IFERROR(__xludf.DUMMYFUNCTION("""COMPUTED_VALUE"""),"")</f>
        <v/>
      </c>
      <c r="AG105" s="224" t="str">
        <f>IFERROR(__xludf.DUMMYFUNCTION("""COMPUTED_VALUE"""),"")</f>
        <v/>
      </c>
      <c r="AJ105" s="225" t="str">
        <f>IFERROR(__xludf.DUMMYFUNCTION("""COMPUTED_VALUE"""),"TRN_matrix")</f>
        <v>TRN_matrix</v>
      </c>
    </row>
    <row r="106">
      <c r="T106" s="218" t="str">
        <f t="shared" si="1"/>
        <v>[Pierce, 2020]</v>
      </c>
      <c r="U106" s="218" t="s">
        <v>195</v>
      </c>
      <c r="AD106" s="224" t="str">
        <f>IFERROR(__xludf.DUMMYFUNCTION("""COMPUTED_VALUE"""),"")</f>
        <v/>
      </c>
      <c r="AE106" s="224"/>
      <c r="AF106" s="224" t="str">
        <f>IFERROR(__xludf.DUMMYFUNCTION("""COMPUTED_VALUE"""),"")</f>
        <v/>
      </c>
      <c r="AG106" s="224" t="str">
        <f>IFERROR(__xludf.DUMMYFUNCTION("""COMPUTED_VALUE"""),"")</f>
        <v/>
      </c>
      <c r="AJ106" s="225" t="str">
        <f>IFERROR(__xludf.DUMMYFUNCTION("""COMPUTED_VALUE"""),"VA_core")</f>
        <v>VA_core</v>
      </c>
    </row>
    <row r="107">
      <c r="T107" s="218" t="str">
        <f t="shared" si="1"/>
        <v>[Pitkänen, 2000]</v>
      </c>
      <c r="U107" s="218" t="s">
        <v>196</v>
      </c>
      <c r="AD107" s="224" t="str">
        <f>IFERROR(__xludf.DUMMYFUNCTION("""COMPUTED_VALUE"""),"")</f>
        <v/>
      </c>
      <c r="AE107" s="224"/>
      <c r="AF107" s="224" t="str">
        <f>IFERROR(__xludf.DUMMYFUNCTION("""COMPUTED_VALUE"""),"")</f>
        <v/>
      </c>
      <c r="AG107" s="224" t="str">
        <f>IFERROR(__xludf.DUMMYFUNCTION("""COMPUTED_VALUE"""),"")</f>
        <v/>
      </c>
      <c r="AJ107" s="225" t="str">
        <f>IFERROR(__xludf.DUMMYFUNCTION("""COMPUTED_VALUE"""),"VA_matrix")</f>
        <v>VA_matrix</v>
      </c>
    </row>
    <row r="108">
      <c r="T108" s="218" t="str">
        <f t="shared" si="1"/>
        <v>[Quinet, 2020]</v>
      </c>
      <c r="U108" s="218" t="s">
        <v>197</v>
      </c>
      <c r="AD108" s="224" t="str">
        <f>IFERROR(__xludf.DUMMYFUNCTION("""COMPUTED_VALUE"""),"")</f>
        <v/>
      </c>
      <c r="AE108" s="224"/>
      <c r="AF108" s="224" t="str">
        <f>IFERROR(__xludf.DUMMYFUNCTION("""COMPUTED_VALUE"""),"")</f>
        <v/>
      </c>
      <c r="AG108" s="224" t="str">
        <f>IFERROR(__xludf.DUMMYFUNCTION("""COMPUTED_VALUE"""),"")</f>
        <v/>
      </c>
      <c r="AJ108" s="225" t="str">
        <f>IFERROR(__xludf.DUMMYFUNCTION("""COMPUTED_VALUE"""),"vcMRF")</f>
        <v>vcMRF</v>
      </c>
    </row>
    <row r="109">
      <c r="T109" s="218" t="str">
        <f t="shared" si="1"/>
        <v>[Rajakumar, 1993]</v>
      </c>
      <c r="U109" s="218" t="s">
        <v>198</v>
      </c>
      <c r="AD109" s="224" t="str">
        <f>IFERROR(__xludf.DUMMYFUNCTION("""COMPUTED_VALUE"""),"")</f>
        <v/>
      </c>
      <c r="AE109" s="224"/>
      <c r="AF109" s="224" t="str">
        <f>IFERROR(__xludf.DUMMYFUNCTION("""COMPUTED_VALUE"""),"[310:Sender Circuit ID (sCID) / Receiver Circuit ID (rCID)] The connection added to the Connections sheet is not being displayed on the BIF image.")</f>
        <v>[310:Sender Circuit ID (sCID) / Receiver Circuit ID (rCID)] The connection added to the Connections sheet is not being displayed on the BIF image.</v>
      </c>
      <c r="AG109" s="224" t="str">
        <f>IFERROR(__xludf.DUMMYFUNCTION("""COMPUTED_VALUE"""),"")</f>
        <v/>
      </c>
      <c r="AJ109" s="225" t="str">
        <f>IFERROR(__xludf.DUMMYFUNCTION("""COMPUTED_VALUE"""),"VeN")</f>
        <v>VeN</v>
      </c>
    </row>
    <row r="110">
      <c r="T110" s="218" t="str">
        <f t="shared" si="1"/>
        <v>[Ralph, 2016]</v>
      </c>
      <c r="U110" s="218" t="s">
        <v>199</v>
      </c>
      <c r="AD110" s="224" t="str">
        <f>IFERROR(__xludf.DUMMYFUNCTION("""COMPUTED_VALUE"""),"")</f>
        <v/>
      </c>
      <c r="AE110" s="224"/>
      <c r="AF110" s="224" t="str">
        <f>IFERROR(__xludf.DUMMYFUNCTION("""COMPUTED_VALUE"""),"[311:Sender Circuit ID (sCID) / Receiver Circuit ID (rCID)] The connection depicted in the BIF image is not listed in any column of the Connections sheet.")</f>
        <v>[311:Sender Circuit ID (sCID) / Receiver Circuit ID (rCID)] The connection depicted in the BIF image is not listed in any column of the Connections sheet.</v>
      </c>
      <c r="AG110" s="224" t="str">
        <f>IFERROR(__xludf.DUMMYFUNCTION("""COMPUTED_VALUE"""),"")</f>
        <v/>
      </c>
      <c r="AJ110" s="225" t="str">
        <f>IFERROR(__xludf.DUMMYFUNCTION("""COMPUTED_VALUE"""),"VG")</f>
        <v>VG</v>
      </c>
    </row>
    <row r="111">
      <c r="T111" s="218" t="str">
        <f t="shared" si="1"/>
        <v>[Reference ID]</v>
      </c>
      <c r="U111" s="218" t="s">
        <v>200</v>
      </c>
      <c r="AD111" s="224" t="str">
        <f>IFERROR(__xludf.DUMMYFUNCTION("""COMPUTED_VALUE"""),"")</f>
        <v/>
      </c>
      <c r="AE111" s="224"/>
      <c r="AF111" s="224" t="str">
        <f>IFERROR(__xludf.DUMMYFUNCTION("""COMPUTED_VALUE"""),"")</f>
        <v/>
      </c>
      <c r="AG111" s="224" t="str">
        <f>IFERROR(__xludf.DUMMYFUNCTION("""COMPUTED_VALUE"""),"")</f>
        <v/>
      </c>
      <c r="AJ111" s="225" t="str">
        <f>IFERROR(__xludf.DUMMYFUNCTION("""COMPUTED_VALUE"""),"VISpor_uc1")</f>
        <v>VISpor_uc1</v>
      </c>
    </row>
    <row r="112">
      <c r="T112" s="218" t="str">
        <f t="shared" si="1"/>
        <v>[Robertson, 1998]</v>
      </c>
      <c r="U112" s="218" t="s">
        <v>201</v>
      </c>
      <c r="AD112" s="224" t="str">
        <f>IFERROR(__xludf.DUMMYFUNCTION("""COMPUTED_VALUE"""),"")</f>
        <v/>
      </c>
      <c r="AE112" s="224"/>
      <c r="AF112" s="224" t="str">
        <f>IFERROR(__xludf.DUMMYFUNCTION("""COMPUTED_VALUE"""),"")</f>
        <v/>
      </c>
      <c r="AG112" s="224" t="str">
        <f>IFERROR(__xludf.DUMMYFUNCTION("""COMPUTED_VALUE"""),"[511:Requirements Realization by Interface] No prior examples or theories have been presented.")</f>
        <v>[511:Requirements Realization by Interface] No prior examples or theories have been presented.</v>
      </c>
      <c r="AJ112" s="225" t="str">
        <f>IFERROR(__xludf.DUMMYFUNCTION("""COMPUTED_VALUE"""),"VISpor_uc2")</f>
        <v>VISpor_uc2</v>
      </c>
    </row>
    <row r="113">
      <c r="T113" s="218" t="str">
        <f t="shared" si="1"/>
        <v>[Robinson, 1972]</v>
      </c>
      <c r="U113" s="218" t="s">
        <v>202</v>
      </c>
      <c r="AD113" s="224" t="str">
        <f>IFERROR(__xludf.DUMMYFUNCTION("""COMPUTED_VALUE"""),"")</f>
        <v/>
      </c>
      <c r="AE113" s="224"/>
      <c r="AF113" s="224" t="str">
        <f>IFERROR(__xludf.DUMMYFUNCTION("""COMPUTED_VALUE"""),"")</f>
        <v/>
      </c>
      <c r="AG113" s="224" t="str">
        <f>IFERROR(__xludf.DUMMYFUNCTION("""COMPUTED_VALUE"""),"[512:Requirements Realization by Interface] The Uniform Circuit for the inputs listed in the Interface section does not exactly match the Uniform Circuit for the inputs listed in the Requirements section.")</f>
        <v>[512:Requirements Realization by Interface] The Uniform Circuit for the inputs listed in the Interface section does not exactly match the Uniform Circuit for the inputs listed in the Requirements section.</v>
      </c>
      <c r="AJ113" s="225" t="str">
        <f>IFERROR(__xludf.DUMMYFUNCTION("""COMPUTED_VALUE"""),"VL_core")</f>
        <v>VL_core</v>
      </c>
    </row>
    <row r="114">
      <c r="T114" s="218" t="str">
        <f t="shared" si="1"/>
        <v>[Rodrigo, 2018]</v>
      </c>
      <c r="U114" s="218" t="s">
        <v>203</v>
      </c>
      <c r="AD114" s="224" t="str">
        <f>IFERROR(__xludf.DUMMYFUNCTION("""COMPUTED_VALUE"""),"")</f>
        <v/>
      </c>
      <c r="AE114" s="224"/>
      <c r="AF114" s="224" t="str">
        <f>IFERROR(__xludf.DUMMYFUNCTION("""COMPUTED_VALUE"""),"")</f>
        <v/>
      </c>
      <c r="AG114" s="224" t="str">
        <f>IFERROR(__xludf.DUMMYFUNCTION("""COMPUTED_VALUE"""),"[513:Requirements Realization by Interface] The Uniform Circuit for the output described in Requirements is not included in the Uniform Circuit for the output described in Interface.")</f>
        <v>[513:Requirements Realization by Interface] The Uniform Circuit for the output described in Requirements is not included in the Uniform Circuit for the output described in Interface.</v>
      </c>
      <c r="AJ114" s="225" t="str">
        <f>IFERROR(__xludf.DUMMYFUNCTION("""COMPUTED_VALUE"""),"VL_matrix")</f>
        <v>VL_matrix</v>
      </c>
    </row>
    <row r="115">
      <c r="T115" s="218" t="str">
        <f t="shared" si="1"/>
        <v>[Rodriguez, 2004]</v>
      </c>
      <c r="U115" s="218" t="s">
        <v>204</v>
      </c>
      <c r="AD115" s="224" t="str">
        <f>IFERROR(__xludf.DUMMYFUNCTION("""COMPUTED_VALUE"""),"")</f>
        <v/>
      </c>
      <c r="AE115" s="224"/>
      <c r="AF115" s="224" t="str">
        <f>IFERROR(__xludf.DUMMYFUNCTION("""COMPUTED_VALUE"""),"")</f>
        <v/>
      </c>
      <c r="AG115" s="224" t="str">
        <f>IFERROR(__xludf.DUMMYFUNCTION("""COMPUTED_VALUE"""),"[514:Requirements Realization by Interface] The descriptions of the output semantics for each input and output, as written in ""Requirements realization by interface,"" do not match the descriptions of the output semantics for the relevant Uniform Circuit"&amp;"s.")</f>
        <v>[514:Requirements Realization by Interface] The descriptions of the output semantics for each input and output, as written in "Requirements realization by interface," do not match the descriptions of the output semantics for the relevant Uniform Circuits.</v>
      </c>
    </row>
    <row r="116">
      <c r="T116" s="218" t="str">
        <f t="shared" si="1"/>
        <v>[Rogers, 2013]</v>
      </c>
      <c r="U116" s="218" t="s">
        <v>205</v>
      </c>
      <c r="AD116" s="224" t="str">
        <f>IFERROR(__xludf.DUMMYFUNCTION("""COMPUTED_VALUE"""),"")</f>
        <v/>
      </c>
      <c r="AE116" s="224"/>
      <c r="AF116" s="224" t="str">
        <f>IFERROR(__xludf.DUMMYFUNCTION("""COMPUTED_VALUE"""),"")</f>
        <v/>
      </c>
      <c r="AG116" s="224" t="str">
        <f>IFERROR(__xludf.DUMMYFUNCTION("""COMPUTED_VALUE"""),"[515:Requirements Realization by Interface] The input and output content described in ""Requirements realization by interface"" does not match the description in ""Requirements"".")</f>
        <v>[515:Requirements Realization by Interface] The input and output content described in "Requirements realization by interface" does not match the description in "Requirements".</v>
      </c>
    </row>
    <row r="117">
      <c r="T117" s="218" t="str">
        <f t="shared" si="1"/>
        <v>[Rolls, 1998]</v>
      </c>
      <c r="U117" s="218" t="s">
        <v>206</v>
      </c>
      <c r="AD117" s="224" t="str">
        <f>IFERROR(__xludf.DUMMYFUNCTION("""COMPUTED_VALUE"""),"")</f>
        <v/>
      </c>
      <c r="AE117" s="224"/>
      <c r="AF117" s="224" t="str">
        <f>IFERROR(__xludf.DUMMYFUNCTION("""COMPUTED_VALUE"""),"")</f>
        <v/>
      </c>
      <c r="AG117" s="224" t="str">
        <f>IFERROR(__xludf.DUMMYFUNCTION("""COMPUTED_VALUE"""),"")</f>
        <v/>
      </c>
    </row>
    <row r="118">
      <c r="T118" s="218" t="str">
        <f t="shared" si="1"/>
        <v>[Rolls, 2007]</v>
      </c>
      <c r="U118" s="218" t="s">
        <v>207</v>
      </c>
      <c r="AD118" s="224" t="str">
        <f>IFERROR(__xludf.DUMMYFUNCTION("""COMPUTED_VALUE"""),"")</f>
        <v/>
      </c>
      <c r="AE118" s="224"/>
      <c r="AF118" s="224" t="str">
        <f>IFERROR(__xludf.DUMMYFUNCTION("""COMPUTED_VALUE"""),"")</f>
        <v/>
      </c>
      <c r="AG118" s="224" t="str">
        <f>IFERROR(__xludf.DUMMYFUNCTION("""COMPUTED_VALUE"""),"")</f>
        <v/>
      </c>
    </row>
    <row r="119">
      <c r="T119" s="218" t="str">
        <f t="shared" si="1"/>
        <v>[Rolls, 2013]</v>
      </c>
      <c r="U119" s="218" t="s">
        <v>208</v>
      </c>
      <c r="AD119" s="224" t="str">
        <f>IFERROR(__xludf.DUMMYFUNCTION("""COMPUTED_VALUE"""),"")</f>
        <v/>
      </c>
      <c r="AE119" s="224"/>
      <c r="AF119" s="224" t="str">
        <f>IFERROR(__xludf.DUMMYFUNCTION("""COMPUTED_VALUE"""),"")</f>
        <v/>
      </c>
      <c r="AG119" s="224" t="str">
        <f>IFERROR(__xludf.DUMMYFUNCTION("""COMPUTED_VALUE"""),"")</f>
        <v/>
      </c>
    </row>
    <row r="120">
      <c r="T120" s="218" t="str">
        <f t="shared" si="1"/>
        <v>[Romanski, 2009]</v>
      </c>
      <c r="U120" s="218" t="s">
        <v>209</v>
      </c>
      <c r="AD120" s="224" t="str">
        <f>IFERROR(__xludf.DUMMYFUNCTION("""COMPUTED_VALUE"""),"")</f>
        <v/>
      </c>
      <c r="AE120" s="224"/>
      <c r="AF120" s="224" t="str">
        <f>IFERROR(__xludf.DUMMYFUNCTION("""COMPUTED_VALUE"""),"")</f>
        <v/>
      </c>
      <c r="AG120" s="224" t="str">
        <f>IFERROR(__xludf.DUMMYFUNCTION("""COMPUTED_VALUE"""),"")</f>
        <v/>
      </c>
    </row>
    <row r="121">
      <c r="T121" s="218" t="str">
        <f t="shared" si="1"/>
        <v>[Rondi-Reig, 2014]</v>
      </c>
      <c r="U121" s="218" t="s">
        <v>210</v>
      </c>
      <c r="AD121" s="224" t="str">
        <f>IFERROR(__xludf.DUMMYFUNCTION("""COMPUTED_VALUE"""),"")</f>
        <v/>
      </c>
      <c r="AE121" s="224"/>
      <c r="AF121" s="224" t="str">
        <f>IFERROR(__xludf.DUMMYFUNCTION("""COMPUTED_VALUE"""),"")</f>
        <v/>
      </c>
      <c r="AG121" s="224" t="str">
        <f>IFERROR(__xludf.DUMMYFUNCTION("""COMPUTED_VALUE"""),"")</f>
        <v/>
      </c>
    </row>
    <row r="122">
      <c r="T122" s="218" t="str">
        <f t="shared" si="1"/>
        <v>[Rowland, 2013]</v>
      </c>
      <c r="U122" s="218" t="s">
        <v>211</v>
      </c>
      <c r="AD122" s="224" t="str">
        <f>IFERROR(__xludf.DUMMYFUNCTION("""COMPUTED_VALUE"""),"")</f>
        <v/>
      </c>
      <c r="AE122" s="224"/>
      <c r="AF122" s="224" t="str">
        <f>IFERROR(__xludf.DUMMYFUNCTION("""COMPUTED_VALUE"""),"")</f>
        <v/>
      </c>
      <c r="AG122" s="224" t="str">
        <f>IFERROR(__xludf.DUMMYFUNCTION("""COMPUTED_VALUE"""),"")</f>
        <v/>
      </c>
    </row>
    <row r="123">
      <c r="T123" s="218" t="str">
        <f t="shared" si="1"/>
        <v>[Saga, 2017]</v>
      </c>
      <c r="U123" s="218" t="s">
        <v>212</v>
      </c>
      <c r="AD123" s="224" t="str">
        <f>IFERROR(__xludf.DUMMYFUNCTION("""COMPUTED_VALUE"""),"")</f>
        <v/>
      </c>
      <c r="AE123" s="224"/>
      <c r="AF123" s="224" t="str">
        <f>IFERROR(__xludf.DUMMYFUNCTION("""COMPUTED_VALUE"""),"")</f>
        <v/>
      </c>
      <c r="AG123" s="224" t="str">
        <f>IFERROR(__xludf.DUMMYFUNCTION("""COMPUTED_VALUE"""),"")</f>
        <v/>
      </c>
    </row>
    <row r="124">
      <c r="T124" s="218" t="str">
        <f t="shared" si="1"/>
        <v>[Schnyder, 1985]</v>
      </c>
      <c r="U124" s="218" t="s">
        <v>213</v>
      </c>
      <c r="AD124" s="224" t="str">
        <f>IFERROR(__xludf.DUMMYFUNCTION("""COMPUTED_VALUE"""),"")</f>
        <v/>
      </c>
      <c r="AE124" s="224"/>
      <c r="AF124" s="224" t="str">
        <f>IFERROR(__xludf.DUMMYFUNCTION("""COMPUTED_VALUE"""),"")</f>
        <v/>
      </c>
      <c r="AG124" s="224" t="str">
        <f>IFERROR(__xludf.DUMMYFUNCTION("""COMPUTED_VALUE"""),"")</f>
        <v/>
      </c>
    </row>
    <row r="125">
      <c r="T125" s="218" t="str">
        <f t="shared" si="1"/>
        <v>[Scott, 2017]</v>
      </c>
      <c r="U125" s="218" t="s">
        <v>214</v>
      </c>
      <c r="AD125" s="224" t="str">
        <f>IFERROR(__xludf.DUMMYFUNCTION("""COMPUTED_VALUE"""),"")</f>
        <v/>
      </c>
      <c r="AE125" s="224"/>
      <c r="AF125" s="224" t="str">
        <f>IFERROR(__xludf.DUMMYFUNCTION("""COMPUTED_VALUE"""),"")</f>
        <v/>
      </c>
      <c r="AG125" s="224" t="str">
        <f>IFERROR(__xludf.DUMMYFUNCTION("""COMPUTED_VALUE"""),"")</f>
        <v/>
      </c>
    </row>
    <row r="126">
      <c r="T126" s="218" t="str">
        <f t="shared" si="1"/>
        <v>[Shepherd, 2013]</v>
      </c>
      <c r="U126" s="218" t="s">
        <v>215</v>
      </c>
      <c r="AD126" s="224" t="str">
        <f>IFERROR(__xludf.DUMMYFUNCTION("""COMPUTED_VALUE"""),"")</f>
        <v/>
      </c>
      <c r="AE126" s="224"/>
      <c r="AF126" s="224" t="str">
        <f>IFERROR(__xludf.DUMMYFUNCTION("""COMPUTED_VALUE"""),"")</f>
        <v/>
      </c>
      <c r="AG126" s="224" t="str">
        <f>IFERROR(__xludf.DUMMYFUNCTION("""COMPUTED_VALUE"""),"")</f>
        <v/>
      </c>
    </row>
    <row r="127">
      <c r="T127" s="218" t="str">
        <f t="shared" si="1"/>
        <v>[Shepherd, 2017]</v>
      </c>
      <c r="U127" s="218" t="s">
        <v>216</v>
      </c>
      <c r="AD127" s="224" t="str">
        <f>IFERROR(__xludf.DUMMYFUNCTION("""COMPUTED_VALUE"""),"")</f>
        <v/>
      </c>
      <c r="AE127" s="224"/>
      <c r="AF127" s="224" t="str">
        <f>IFERROR(__xludf.DUMMYFUNCTION("""COMPUTED_VALUE"""),"")</f>
        <v/>
      </c>
      <c r="AG127" s="224" t="str">
        <f>IFERROR(__xludf.DUMMYFUNCTION("""COMPUTED_VALUE"""),"")</f>
        <v/>
      </c>
    </row>
    <row r="128">
      <c r="T128" s="218" t="str">
        <f t="shared" si="1"/>
        <v>[Shin, 2011]</v>
      </c>
      <c r="U128" s="218" t="s">
        <v>217</v>
      </c>
      <c r="AD128" s="224" t="str">
        <f>IFERROR(__xludf.DUMMYFUNCTION("""COMPUTED_VALUE"""),"")</f>
        <v/>
      </c>
      <c r="AE128" s="224"/>
      <c r="AF128" s="224" t="str">
        <f>IFERROR(__xludf.DUMMYFUNCTION("""COMPUTED_VALUE"""),"")</f>
        <v/>
      </c>
      <c r="AG128" s="224" t="str">
        <f>IFERROR(__xludf.DUMMYFUNCTION("""COMPUTED_VALUE"""),"")</f>
        <v/>
      </c>
    </row>
    <row r="129">
      <c r="T129" s="218" t="str">
        <f t="shared" si="1"/>
        <v>[Shook, 1990]</v>
      </c>
      <c r="U129" s="218" t="s">
        <v>218</v>
      </c>
      <c r="AD129" s="224" t="str">
        <f>IFERROR(__xludf.DUMMYFUNCTION("""COMPUTED_VALUE"""),"")</f>
        <v/>
      </c>
      <c r="AE129" s="224"/>
      <c r="AF129" s="224" t="str">
        <f>IFERROR(__xludf.DUMMYFUNCTION("""COMPUTED_VALUE"""),"")</f>
        <v/>
      </c>
      <c r="AG129" s="224" t="str">
        <f>IFERROR(__xludf.DUMMYFUNCTION("""COMPUTED_VALUE"""),"")</f>
        <v/>
      </c>
    </row>
    <row r="130">
      <c r="T130" s="218" t="str">
        <f t="shared" si="1"/>
        <v>[Smith, 2011]</v>
      </c>
      <c r="U130" s="218" t="s">
        <v>219</v>
      </c>
      <c r="AD130" s="224" t="str">
        <f>IFERROR(__xludf.DUMMYFUNCTION("""COMPUTED_VALUE"""),"")</f>
        <v/>
      </c>
      <c r="AE130" s="224"/>
      <c r="AF130" s="224" t="str">
        <f>IFERROR(__xludf.DUMMYFUNCTION("""COMPUTED_VALUE"""),"")</f>
        <v/>
      </c>
      <c r="AG130" s="224" t="str">
        <f>IFERROR(__xludf.DUMMYFUNCTION("""COMPUTED_VALUE"""),"")</f>
        <v/>
      </c>
    </row>
    <row r="131">
      <c r="T131" s="218" t="str">
        <f t="shared" si="1"/>
        <v>[Solari, 2011]</v>
      </c>
      <c r="U131" s="218" t="s">
        <v>220</v>
      </c>
      <c r="AD131" s="224" t="str">
        <f>IFERROR(__xludf.DUMMYFUNCTION("""COMPUTED_VALUE"""),"")</f>
        <v/>
      </c>
      <c r="AE131" s="224"/>
      <c r="AF131" s="224" t="str">
        <f>IFERROR(__xludf.DUMMYFUNCTION("""COMPUTED_VALUE"""),"")</f>
        <v/>
      </c>
      <c r="AG131" s="224" t="str">
        <f>IFERROR(__xludf.DUMMYFUNCTION("""COMPUTED_VALUE"""),"")</f>
        <v/>
      </c>
    </row>
    <row r="132">
      <c r="T132" s="218" t="str">
        <f t="shared" si="1"/>
        <v>[Sugiuchi, 2011]</v>
      </c>
      <c r="U132" s="218" t="s">
        <v>221</v>
      </c>
      <c r="AD132" s="224" t="str">
        <f>IFERROR(__xludf.DUMMYFUNCTION("""COMPUTED_VALUE"""),"")</f>
        <v/>
      </c>
      <c r="AE132" s="224"/>
      <c r="AF132" s="224" t="str">
        <f>IFERROR(__xludf.DUMMYFUNCTION("""COMPUTED_VALUE"""),"")</f>
        <v/>
      </c>
      <c r="AG132" s="224" t="str">
        <f>IFERROR(__xludf.DUMMYFUNCTION("""COMPUTED_VALUE"""),"")</f>
        <v/>
      </c>
    </row>
    <row r="133">
      <c r="T133" s="218" t="str">
        <f t="shared" si="1"/>
        <v>[Sugiuchi, 2013]</v>
      </c>
      <c r="U133" s="218" t="s">
        <v>222</v>
      </c>
      <c r="AD133" s="224" t="str">
        <f>IFERROR(__xludf.DUMMYFUNCTION("""COMPUTED_VALUE"""),"")</f>
        <v/>
      </c>
      <c r="AE133" s="224"/>
      <c r="AF133" s="224" t="str">
        <f>IFERROR(__xludf.DUMMYFUNCTION("""COMPUTED_VALUE"""),"")</f>
        <v/>
      </c>
      <c r="AG133" s="224" t="str">
        <f>IFERROR(__xludf.DUMMYFUNCTION("""COMPUTED_VALUE"""),"")</f>
        <v/>
      </c>
    </row>
    <row r="134">
      <c r="T134" s="218" t="str">
        <f t="shared" si="1"/>
        <v>[Takahashi, 2018]</v>
      </c>
      <c r="U134" s="218" t="s">
        <v>223</v>
      </c>
      <c r="AD134" s="224" t="str">
        <f>IFERROR(__xludf.DUMMYFUNCTION("""COMPUTED_VALUE"""),"")</f>
        <v/>
      </c>
      <c r="AE134" s="224"/>
      <c r="AF134" s="224" t="str">
        <f>IFERROR(__xludf.DUMMYFUNCTION("""COMPUTED_VALUE"""),"")</f>
        <v/>
      </c>
      <c r="AG134" s="224" t="str">
        <f>IFERROR(__xludf.DUMMYFUNCTION("""COMPUTED_VALUE"""),"")</f>
        <v/>
      </c>
    </row>
    <row r="135">
      <c r="T135" s="218" t="str">
        <f t="shared" si="1"/>
        <v>[Takahashi, 2021]</v>
      </c>
      <c r="U135" s="218" t="s">
        <v>224</v>
      </c>
      <c r="AD135" s="224" t="str">
        <f>IFERROR(__xludf.DUMMYFUNCTION("""COMPUTED_VALUE"""),"")</f>
        <v/>
      </c>
      <c r="AE135" s="224"/>
      <c r="AF135" s="224" t="str">
        <f>IFERROR(__xludf.DUMMYFUNCTION("""COMPUTED_VALUE"""),"")</f>
        <v/>
      </c>
      <c r="AG135" s="224" t="str">
        <f>IFERROR(__xludf.DUMMYFUNCTION("""COMPUTED_VALUE"""),"")</f>
        <v/>
      </c>
    </row>
    <row r="136">
      <c r="T136" s="218" t="str">
        <f t="shared" si="1"/>
        <v>[Tamamaki, 1993]</v>
      </c>
      <c r="U136" s="218" t="s">
        <v>225</v>
      </c>
      <c r="AD136" s="224" t="str">
        <f>IFERROR(__xludf.DUMMYFUNCTION("""COMPUTED_VALUE"""),"")</f>
        <v/>
      </c>
      <c r="AE136" s="224"/>
      <c r="AF136" s="224" t="str">
        <f>IFERROR(__xludf.DUMMYFUNCTION("""COMPUTED_VALUE"""),"")</f>
        <v/>
      </c>
      <c r="AG136" s="224" t="str">
        <f>IFERROR(__xludf.DUMMYFUNCTION("""COMPUTED_VALUE"""),"")</f>
        <v/>
      </c>
    </row>
    <row r="137">
      <c r="T137" s="218" t="str">
        <f t="shared" si="1"/>
        <v>[Tanji, 2008]</v>
      </c>
      <c r="U137" s="218" t="s">
        <v>226</v>
      </c>
      <c r="AD137" s="224" t="str">
        <f>IFERROR(__xludf.DUMMYFUNCTION("""COMPUTED_VALUE"""),"")</f>
        <v/>
      </c>
      <c r="AE137" s="224"/>
      <c r="AF137" s="224" t="str">
        <f>IFERROR(__xludf.DUMMYFUNCTION("""COMPUTED_VALUE"""),"")</f>
        <v/>
      </c>
      <c r="AG137" s="224" t="str">
        <f>IFERROR(__xludf.DUMMYFUNCTION("""COMPUTED_VALUE"""),"")</f>
        <v/>
      </c>
    </row>
    <row r="138">
      <c r="T138" s="218" t="str">
        <f t="shared" si="1"/>
        <v>[Verwer, 1997]</v>
      </c>
      <c r="U138" s="218" t="s">
        <v>227</v>
      </c>
      <c r="AD138" s="224" t="str">
        <f>IFERROR(__xludf.DUMMYFUNCTION("""COMPUTED_VALUE"""),"")</f>
        <v/>
      </c>
      <c r="AE138" s="224"/>
      <c r="AF138" s="224" t="str">
        <f>IFERROR(__xludf.DUMMYFUNCTION("""COMPUTED_VALUE"""),"")</f>
        <v/>
      </c>
      <c r="AG138" s="224" t="str">
        <f>IFERROR(__xludf.DUMMYFUNCTION("""COMPUTED_VALUE"""),"")</f>
        <v/>
      </c>
    </row>
    <row r="139">
      <c r="T139" s="218" t="str">
        <f t="shared" si="1"/>
        <v>[Wagner, 2020]</v>
      </c>
      <c r="U139" s="218" t="s">
        <v>228</v>
      </c>
      <c r="AD139" s="224" t="str">
        <f>IFERROR(__xludf.DUMMYFUNCTION("""COMPUTED_VALUE"""),"")</f>
        <v/>
      </c>
      <c r="AE139" s="224"/>
      <c r="AF139" s="224" t="str">
        <f>IFERROR(__xludf.DUMMYFUNCTION("""COMPUTED_VALUE"""),"")</f>
        <v/>
      </c>
      <c r="AG139" s="224" t="str">
        <f>IFERROR(__xludf.DUMMYFUNCTION("""COMPUTED_VALUE"""),"")</f>
        <v/>
      </c>
    </row>
    <row r="140">
      <c r="T140" s="218" t="str">
        <f t="shared" si="1"/>
        <v>[Wang, 2013]</v>
      </c>
      <c r="U140" s="218" t="s">
        <v>229</v>
      </c>
      <c r="AD140" s="224" t="str">
        <f>IFERROR(__xludf.DUMMYFUNCTION("""COMPUTED_VALUE"""),"")</f>
        <v/>
      </c>
      <c r="AE140" s="224"/>
      <c r="AF140" s="224" t="str">
        <f>IFERROR(__xludf.DUMMYFUNCTION("""COMPUTED_VALUE"""),"")</f>
        <v/>
      </c>
      <c r="AG140" s="224" t="str">
        <f>IFERROR(__xludf.DUMMYFUNCTION("""COMPUTED_VALUE"""),"")</f>
        <v/>
      </c>
    </row>
    <row r="141">
      <c r="T141" s="218" t="str">
        <f t="shared" si="1"/>
        <v>[Wang, 2020]</v>
      </c>
      <c r="U141" s="218" t="s">
        <v>230</v>
      </c>
      <c r="AD141" s="224" t="str">
        <f>IFERROR(__xludf.DUMMYFUNCTION("""COMPUTED_VALUE"""),"")</f>
        <v/>
      </c>
      <c r="AE141" s="224"/>
      <c r="AF141" s="224" t="str">
        <f>IFERROR(__xludf.DUMMYFUNCTION("""COMPUTED_VALUE"""),"")</f>
        <v/>
      </c>
      <c r="AG141" s="224" t="str">
        <f>IFERROR(__xludf.DUMMYFUNCTION("""COMPUTED_VALUE"""),"")</f>
        <v/>
      </c>
    </row>
    <row r="142">
      <c r="T142" s="218" t="str">
        <f t="shared" si="1"/>
        <v>[Wang, 2021]</v>
      </c>
      <c r="U142" s="218" t="s">
        <v>231</v>
      </c>
      <c r="AD142" s="224" t="str">
        <f>IFERROR(__xludf.DUMMYFUNCTION("""COMPUTED_VALUE"""),"")</f>
        <v/>
      </c>
      <c r="AE142" s="224"/>
      <c r="AF142" s="224" t="str">
        <f>IFERROR(__xludf.DUMMYFUNCTION("""COMPUTED_VALUE"""),"")</f>
        <v/>
      </c>
      <c r="AG142" s="224" t="str">
        <f>IFERROR(__xludf.DUMMYFUNCTION("""COMPUTED_VALUE"""),"")</f>
        <v/>
      </c>
    </row>
    <row r="143">
      <c r="T143" s="218" t="str">
        <f t="shared" si="1"/>
        <v>[Wei, 2016]</v>
      </c>
      <c r="U143" s="218" t="s">
        <v>232</v>
      </c>
      <c r="AD143" s="224" t="str">
        <f>IFERROR(__xludf.DUMMYFUNCTION("""COMPUTED_VALUE"""),"")</f>
        <v/>
      </c>
      <c r="AE143" s="224"/>
      <c r="AF143" s="224" t="str">
        <f>IFERROR(__xludf.DUMMYFUNCTION("""COMPUTED_VALUE"""),"")</f>
        <v/>
      </c>
      <c r="AG143" s="224" t="str">
        <f>IFERROR(__xludf.DUMMYFUNCTION("""COMPUTED_VALUE"""),"[542:Requirements] The output parameters are not described.")</f>
        <v>[542:Requirements] The output parameters are not described.</v>
      </c>
    </row>
    <row r="144">
      <c r="T144" s="218" t="str">
        <f t="shared" si="1"/>
        <v>[White, 2017]</v>
      </c>
      <c r="U144" s="218" t="s">
        <v>233</v>
      </c>
      <c r="AD144" s="224" t="str">
        <f>IFERROR(__xludf.DUMMYFUNCTION("""COMPUTED_VALUE"""),"")</f>
        <v/>
      </c>
      <c r="AE144" s="224"/>
      <c r="AF144" s="224" t="str">
        <f>IFERROR(__xludf.DUMMYFUNCTION("""COMPUTED_VALUE"""),"")</f>
        <v/>
      </c>
      <c r="AG144" s="224" t="str">
        <f>IFERROR(__xludf.DUMMYFUNCTION("""COMPUTED_VALUE"""),"")</f>
        <v/>
      </c>
    </row>
    <row r="145">
      <c r="T145" s="218" t="str">
        <f t="shared" si="1"/>
        <v>[Witter, 2000]</v>
      </c>
      <c r="U145" s="218" t="s">
        <v>234</v>
      </c>
      <c r="AD145" s="224" t="str">
        <f>IFERROR(__xludf.DUMMYFUNCTION("""COMPUTED_VALUE"""),"")</f>
        <v/>
      </c>
      <c r="AE145" s="224"/>
      <c r="AF145" s="224" t="str">
        <f>IFERROR(__xludf.DUMMYFUNCTION("""COMPUTED_VALUE"""),"")</f>
        <v/>
      </c>
      <c r="AG145" s="224" t="str">
        <f>IFERROR(__xludf.DUMMYFUNCTION("""COMPUTED_VALUE"""),"")</f>
        <v/>
      </c>
    </row>
    <row r="146">
      <c r="T146" s="218" t="str">
        <f t="shared" si="1"/>
        <v>[Wolpert, 1998]</v>
      </c>
      <c r="U146" s="218" t="s">
        <v>235</v>
      </c>
      <c r="AD146" s="224" t="str">
        <f>IFERROR(__xludf.DUMMYFUNCTION("""COMPUTED_VALUE"""),"")</f>
        <v/>
      </c>
      <c r="AE146" s="224"/>
      <c r="AF146" s="224" t="str">
        <f>IFERROR(__xludf.DUMMYFUNCTION("""COMPUTED_VALUE"""),"")</f>
        <v/>
      </c>
      <c r="AG146" s="224" t="str">
        <f>IFERROR(__xludf.DUMMYFUNCTION("""COMPUTED_VALUE"""),"")</f>
        <v/>
      </c>
    </row>
    <row r="147">
      <c r="T147" s="218" t="str">
        <f t="shared" si="1"/>
        <v>[Yamakawa, 2020]</v>
      </c>
      <c r="U147" s="218" t="s">
        <v>236</v>
      </c>
      <c r="AD147" s="224" t="str">
        <f>IFERROR(__xludf.DUMMYFUNCTION("""COMPUTED_VALUE"""),"")</f>
        <v/>
      </c>
      <c r="AE147" s="224"/>
      <c r="AF147" s="224" t="str">
        <f>IFERROR(__xludf.DUMMYFUNCTION("""COMPUTED_VALUE"""),"")</f>
        <v/>
      </c>
      <c r="AG147" s="224" t="str">
        <f>IFERROR(__xludf.DUMMYFUNCTION("""COMPUTED_VALUE"""),"")</f>
        <v/>
      </c>
    </row>
    <row r="148">
      <c r="T148" s="218" t="str">
        <f t="shared" si="1"/>
        <v>[Yamakawa, 2020a]</v>
      </c>
      <c r="U148" s="218" t="s">
        <v>237</v>
      </c>
      <c r="AD148" s="224" t="str">
        <f>IFERROR(__xludf.DUMMYFUNCTION("""COMPUTED_VALUE"""),"")</f>
        <v/>
      </c>
      <c r="AE148" s="224"/>
      <c r="AF148" s="224" t="str">
        <f>IFERROR(__xludf.DUMMYFUNCTION("""COMPUTED_VALUE"""),"")</f>
        <v/>
      </c>
      <c r="AG148" s="224" t="str">
        <f>IFERROR(__xludf.DUMMYFUNCTION("""COMPUTED_VALUE"""),"")</f>
        <v/>
      </c>
    </row>
    <row r="149">
      <c r="T149" s="218" t="str">
        <f t="shared" si="1"/>
        <v>[Zhang, 2016]</v>
      </c>
      <c r="U149" s="218" t="s">
        <v>238</v>
      </c>
      <c r="AD149" s="224" t="str">
        <f>IFERROR(__xludf.DUMMYFUNCTION("""COMPUTED_VALUE"""),"")</f>
        <v/>
      </c>
      <c r="AE149" s="224"/>
      <c r="AF149" s="224" t="str">
        <f>IFERROR(__xludf.DUMMYFUNCTION("""COMPUTED_VALUE"""),"")</f>
        <v/>
      </c>
      <c r="AG149" s="224" t="str">
        <f>IFERROR(__xludf.DUMMYFUNCTION("""COMPUTED_VALUE"""),"")</f>
        <v/>
      </c>
    </row>
    <row r="150">
      <c r="T150" s="218" t="str">
        <f t="shared" si="1"/>
        <v>[Zhang, 2019]</v>
      </c>
      <c r="U150" s="218" t="s">
        <v>239</v>
      </c>
      <c r="AD150" s="224" t="str">
        <f>IFERROR(__xludf.DUMMYFUNCTION("""COMPUTED_VALUE"""),"")</f>
        <v/>
      </c>
      <c r="AE150" s="224"/>
      <c r="AF150" s="224" t="str">
        <f>IFERROR(__xludf.DUMMYFUNCTION("""COMPUTED_VALUE"""),"")</f>
        <v/>
      </c>
      <c r="AG150" s="224" t="str">
        <f>IFERROR(__xludf.DUMMYFUNCTION("""COMPUTED_VALUE"""),"")</f>
        <v/>
      </c>
    </row>
    <row r="151">
      <c r="T151" s="218" t="str">
        <f t="shared" si="1"/>
        <v>[Zhaoping, 2016]</v>
      </c>
      <c r="U151" s="218" t="s">
        <v>240</v>
      </c>
      <c r="AD151" s="224" t="str">
        <f>IFERROR(__xludf.DUMMYFUNCTION("""COMPUTED_VALUE"""),"")</f>
        <v/>
      </c>
      <c r="AE151" s="224"/>
      <c r="AF151" s="224" t="str">
        <f>IFERROR(__xludf.DUMMYFUNCTION("""COMPUTED_VALUE"""),"")</f>
        <v/>
      </c>
      <c r="AG151" s="224" t="str">
        <f>IFERROR(__xludf.DUMMYFUNCTION("""COMPUTED_VALUE"""),"")</f>
        <v/>
      </c>
    </row>
    <row r="152">
      <c r="T152" s="218" t="str">
        <f t="shared" si="1"/>
        <v>[]</v>
      </c>
      <c r="U152" s="218"/>
      <c r="AD152" s="224" t="str">
        <f>IFERROR(__xludf.DUMMYFUNCTION("""COMPUTED_VALUE"""),"")</f>
        <v/>
      </c>
      <c r="AE152" s="224"/>
      <c r="AF152" s="224" t="str">
        <f>IFERROR(__xludf.DUMMYFUNCTION("""COMPUTED_VALUE"""),"")</f>
        <v/>
      </c>
      <c r="AG152" s="224" t="str">
        <f>IFERROR(__xludf.DUMMYFUNCTION("""COMPUTED_VALUE"""),"")</f>
        <v/>
      </c>
    </row>
    <row r="153">
      <c r="T153" s="218" t="str">
        <f t="shared" si="1"/>
        <v>[]</v>
      </c>
      <c r="AD153" s="224" t="str">
        <f>IFERROR(__xludf.DUMMYFUNCTION("""COMPUTED_VALUE"""),"")</f>
        <v/>
      </c>
      <c r="AE153" s="224"/>
      <c r="AF153" s="224" t="str">
        <f>IFERROR(__xludf.DUMMYFUNCTION("""COMPUTED_VALUE"""),"")</f>
        <v/>
      </c>
      <c r="AG153" s="224" t="str">
        <f>IFERROR(__xludf.DUMMYFUNCTION("""COMPUTED_VALUE"""),"")</f>
        <v/>
      </c>
    </row>
    <row r="154">
      <c r="T154" s="218" t="str">
        <f t="shared" si="1"/>
        <v>[]</v>
      </c>
      <c r="AD154" s="224" t="str">
        <f>IFERROR(__xludf.DUMMYFUNCTION("""COMPUTED_VALUE"""),"")</f>
        <v/>
      </c>
      <c r="AE154" s="224"/>
      <c r="AF154" s="224" t="str">
        <f>IFERROR(__xludf.DUMMYFUNCTION("""COMPUTED_VALUE"""),"")</f>
        <v/>
      </c>
      <c r="AG154" s="224" t="str">
        <f>IFERROR(__xludf.DUMMYFUNCTION("""COMPUTED_VALUE"""),"")</f>
        <v/>
      </c>
    </row>
    <row r="155">
      <c r="T155" s="218" t="str">
        <f t="shared" si="1"/>
        <v>[]</v>
      </c>
      <c r="AD155" s="224" t="str">
        <f>IFERROR(__xludf.DUMMYFUNCTION("""COMPUTED_VALUE"""),"")</f>
        <v/>
      </c>
      <c r="AE155" s="224"/>
      <c r="AF155" s="224" t="str">
        <f>IFERROR(__xludf.DUMMYFUNCTION("""COMPUTED_VALUE"""),"")</f>
        <v/>
      </c>
      <c r="AG155" s="224" t="str">
        <f>IFERROR(__xludf.DUMMYFUNCTION("""COMPUTED_VALUE"""),"")</f>
        <v/>
      </c>
    </row>
    <row r="156">
      <c r="T156" s="218" t="str">
        <f t="shared" si="1"/>
        <v>[]</v>
      </c>
      <c r="AD156" s="224" t="str">
        <f>IFERROR(__xludf.DUMMYFUNCTION("""COMPUTED_VALUE"""),"")</f>
        <v/>
      </c>
      <c r="AE156" s="224"/>
      <c r="AF156" s="224" t="str">
        <f>IFERROR(__xludf.DUMMYFUNCTION("""COMPUTED_VALUE"""),"")</f>
        <v/>
      </c>
      <c r="AG156" s="224" t="str">
        <f>IFERROR(__xludf.DUMMYFUNCTION("""COMPUTED_VALUE"""),"")</f>
        <v/>
      </c>
    </row>
    <row r="157">
      <c r="T157" s="218" t="str">
        <f t="shared" si="1"/>
        <v>[]</v>
      </c>
      <c r="AD157" s="224" t="str">
        <f>IFERROR(__xludf.DUMMYFUNCTION("""COMPUTED_VALUE"""),"")</f>
        <v/>
      </c>
      <c r="AE157" s="224"/>
      <c r="AF157" s="224" t="str">
        <f>IFERROR(__xludf.DUMMYFUNCTION("""COMPUTED_VALUE"""),"")</f>
        <v/>
      </c>
      <c r="AG157" s="224" t="str">
        <f>IFERROR(__xludf.DUMMYFUNCTION("""COMPUTED_VALUE"""),"")</f>
        <v/>
      </c>
    </row>
    <row r="158">
      <c r="T158" s="218" t="str">
        <f t="shared" si="1"/>
        <v>[]</v>
      </c>
      <c r="AD158" s="224" t="str">
        <f>IFERROR(__xludf.DUMMYFUNCTION("""COMPUTED_VALUE"""),"")</f>
        <v/>
      </c>
      <c r="AE158" s="224"/>
      <c r="AF158" s="224" t="str">
        <f>IFERROR(__xludf.DUMMYFUNCTION("""COMPUTED_VALUE"""),"")</f>
        <v/>
      </c>
      <c r="AG158" s="224" t="str">
        <f>IFERROR(__xludf.DUMMYFUNCTION("""COMPUTED_VALUE"""),"")</f>
        <v/>
      </c>
    </row>
    <row r="159">
      <c r="T159" s="218" t="str">
        <f t="shared" si="1"/>
        <v>[]</v>
      </c>
      <c r="AD159" s="224" t="str">
        <f>IFERROR(__xludf.DUMMYFUNCTION("""COMPUTED_VALUE"""),"")</f>
        <v/>
      </c>
      <c r="AE159" s="224"/>
      <c r="AF159" s="224" t="str">
        <f>IFERROR(__xludf.DUMMYFUNCTION("""COMPUTED_VALUE"""),"")</f>
        <v/>
      </c>
      <c r="AG159" s="224" t="str">
        <f>IFERROR(__xludf.DUMMYFUNCTION("""COMPUTED_VALUE"""),"")</f>
        <v/>
      </c>
    </row>
    <row r="160">
      <c r="T160" s="218" t="str">
        <f t="shared" si="1"/>
        <v>[]</v>
      </c>
      <c r="AD160" s="224" t="str">
        <f>IFERROR(__xludf.DUMMYFUNCTION("""COMPUTED_VALUE"""),"")</f>
        <v/>
      </c>
      <c r="AE160" s="224"/>
      <c r="AF160" s="224" t="str">
        <f>IFERROR(__xludf.DUMMYFUNCTION("""COMPUTED_VALUE"""),"")</f>
        <v/>
      </c>
      <c r="AG160" s="224" t="str">
        <f>IFERROR(__xludf.DUMMYFUNCTION("""COMPUTED_VALUE"""),"")</f>
        <v/>
      </c>
    </row>
    <row r="161">
      <c r="T161" s="218" t="str">
        <f t="shared" si="1"/>
        <v>[]</v>
      </c>
      <c r="AD161" s="224" t="str">
        <f>IFERROR(__xludf.DUMMYFUNCTION("""COMPUTED_VALUE"""),"")</f>
        <v/>
      </c>
      <c r="AE161" s="224"/>
      <c r="AF161" s="224" t="str">
        <f>IFERROR(__xludf.DUMMYFUNCTION("""COMPUTED_VALUE"""),"")</f>
        <v/>
      </c>
      <c r="AG161" s="224" t="str">
        <f>IFERROR(__xludf.DUMMYFUNCTION("""COMPUTED_VALUE"""),"")</f>
        <v/>
      </c>
    </row>
    <row r="162">
      <c r="T162" s="218" t="str">
        <f t="shared" si="1"/>
        <v>[]</v>
      </c>
      <c r="AD162" s="224" t="str">
        <f>IFERROR(__xludf.DUMMYFUNCTION("""COMPUTED_VALUE"""),"")</f>
        <v/>
      </c>
      <c r="AE162" s="224"/>
      <c r="AF162" s="224" t="str">
        <f>IFERROR(__xludf.DUMMYFUNCTION("""COMPUTED_VALUE"""),"")</f>
        <v/>
      </c>
      <c r="AG162" s="224" t="str">
        <f>IFERROR(__xludf.DUMMYFUNCTION("""COMPUTED_VALUE"""),"")</f>
        <v/>
      </c>
    </row>
    <row r="163">
      <c r="T163" s="218" t="str">
        <f t="shared" si="1"/>
        <v>[]</v>
      </c>
      <c r="AD163" s="224" t="str">
        <f>IFERROR(__xludf.DUMMYFUNCTION("""COMPUTED_VALUE"""),"")</f>
        <v/>
      </c>
      <c r="AE163" s="224"/>
      <c r="AF163" s="224" t="str">
        <f>IFERROR(__xludf.DUMMYFUNCTION("""COMPUTED_VALUE"""),"")</f>
        <v/>
      </c>
      <c r="AG163" s="224" t="str">
        <f>IFERROR(__xludf.DUMMYFUNCTION("""COMPUTED_VALUE"""),"")</f>
        <v/>
      </c>
    </row>
    <row r="164">
      <c r="T164" s="218" t="str">
        <f t="shared" si="1"/>
        <v>[]</v>
      </c>
      <c r="AD164" s="224" t="str">
        <f>IFERROR(__xludf.DUMMYFUNCTION("""COMPUTED_VALUE"""),"")</f>
        <v/>
      </c>
      <c r="AE164" s="224"/>
      <c r="AF164" s="224" t="str">
        <f>IFERROR(__xludf.DUMMYFUNCTION("""COMPUTED_VALUE"""),"")</f>
        <v/>
      </c>
      <c r="AG164" s="224" t="str">
        <f>IFERROR(__xludf.DUMMYFUNCTION("""COMPUTED_VALUE"""),"")</f>
        <v/>
      </c>
    </row>
    <row r="165">
      <c r="T165" s="218" t="str">
        <f t="shared" si="1"/>
        <v>[]</v>
      </c>
      <c r="AD165" s="224" t="str">
        <f>IFERROR(__xludf.DUMMYFUNCTION("""COMPUTED_VALUE"""),"")</f>
        <v/>
      </c>
      <c r="AE165" s="224"/>
      <c r="AF165" s="224" t="str">
        <f>IFERROR(__xludf.DUMMYFUNCTION("""COMPUTED_VALUE"""),"")</f>
        <v/>
      </c>
      <c r="AG165" s="224" t="str">
        <f>IFERROR(__xludf.DUMMYFUNCTION("""COMPUTED_VALUE"""),"[564:Output Semantics] Compared to output semantics from the same Uniform Circuit, the meaning is more generalized.")</f>
        <v>[564:Output Semantics] Compared to output semantics from the same Uniform Circuit, the meaning is more generalized.</v>
      </c>
    </row>
    <row r="166">
      <c r="T166" s="218" t="str">
        <f t="shared" si="1"/>
        <v>[]</v>
      </c>
      <c r="AD166" s="224" t="str">
        <f>IFERROR(__xludf.DUMMYFUNCTION("""COMPUTED_VALUE"""),"")</f>
        <v/>
      </c>
      <c r="AE166" s="224"/>
      <c r="AF166" s="224" t="str">
        <f>IFERROR(__xludf.DUMMYFUNCTION("""COMPUTED_VALUE"""),"")</f>
        <v/>
      </c>
      <c r="AG166" s="224" t="str">
        <f>IFERROR(__xludf.DUMMYFUNCTION("""COMPUTED_VALUE"""),"")</f>
        <v/>
      </c>
    </row>
    <row r="167">
      <c r="T167" s="218" t="str">
        <f t="shared" si="1"/>
        <v>[]</v>
      </c>
      <c r="AD167" s="224" t="str">
        <f>IFERROR(__xludf.DUMMYFUNCTION("""COMPUTED_VALUE"""),"")</f>
        <v/>
      </c>
      <c r="AE167" s="224"/>
      <c r="AF167" s="224" t="str">
        <f>IFERROR(__xludf.DUMMYFUNCTION("""COMPUTED_VALUE"""),"")</f>
        <v/>
      </c>
      <c r="AG167" s="224" t="str">
        <f>IFERROR(__xludf.DUMMYFUNCTION("""COMPUTED_VALUE"""),"")</f>
        <v/>
      </c>
    </row>
    <row r="168">
      <c r="T168" s="218" t="str">
        <f t="shared" si="1"/>
        <v>[]</v>
      </c>
      <c r="AD168" s="224" t="str">
        <f>IFERROR(__xludf.DUMMYFUNCTION("""COMPUTED_VALUE"""),"")</f>
        <v/>
      </c>
      <c r="AE168" s="224"/>
      <c r="AF168" s="224" t="str">
        <f>IFERROR(__xludf.DUMMYFUNCTION("""COMPUTED_VALUE"""),"")</f>
        <v/>
      </c>
      <c r="AG168" s="224" t="str">
        <f>IFERROR(__xludf.DUMMYFUNCTION("""COMPUTED_VALUE"""),"")</f>
        <v/>
      </c>
    </row>
    <row r="169">
      <c r="T169" s="218" t="str">
        <f t="shared" si="1"/>
        <v>[]</v>
      </c>
      <c r="AD169" s="224" t="str">
        <f>IFERROR(__xludf.DUMMYFUNCTION("""COMPUTED_VALUE"""),"")</f>
        <v/>
      </c>
      <c r="AE169" s="224"/>
      <c r="AF169" s="224" t="str">
        <f>IFERROR(__xludf.DUMMYFUNCTION("""COMPUTED_VALUE"""),"")</f>
        <v/>
      </c>
      <c r="AG169" s="224" t="str">
        <f>IFERROR(__xludf.DUMMYFUNCTION("""COMPUTED_VALUE"""),"")</f>
        <v/>
      </c>
    </row>
    <row r="170">
      <c r="T170" s="218" t="str">
        <f t="shared" si="1"/>
        <v>[]</v>
      </c>
      <c r="AD170" s="224" t="str">
        <f>IFERROR(__xludf.DUMMYFUNCTION("""COMPUTED_VALUE"""),"")</f>
        <v/>
      </c>
      <c r="AE170" s="224"/>
      <c r="AF170" s="224" t="str">
        <f>IFERROR(__xludf.DUMMYFUNCTION("""COMPUTED_VALUE"""),"")</f>
        <v/>
      </c>
      <c r="AG170" s="224" t="str">
        <f>IFERROR(__xludf.DUMMYFUNCTION("""COMPUTED_VALUE"""),"")</f>
        <v/>
      </c>
    </row>
    <row r="171">
      <c r="T171" s="218" t="str">
        <f t="shared" si="1"/>
        <v>[]</v>
      </c>
      <c r="AD171" s="224" t="str">
        <f>IFERROR(__xludf.DUMMYFUNCTION("""COMPUTED_VALUE"""),"")</f>
        <v/>
      </c>
      <c r="AE171" s="224"/>
      <c r="AF171" s="224" t="str">
        <f>IFERROR(__xludf.DUMMYFUNCTION("""COMPUTED_VALUE"""),"")</f>
        <v/>
      </c>
      <c r="AG171" s="224" t="str">
        <f>IFERROR(__xludf.DUMMYFUNCTION("""COMPUTED_VALUE"""),"")</f>
        <v/>
      </c>
    </row>
    <row r="172">
      <c r="T172" s="218" t="str">
        <f t="shared" si="1"/>
        <v>[]</v>
      </c>
      <c r="AD172" s="224" t="str">
        <f>IFERROR(__xludf.DUMMYFUNCTION("""COMPUTED_VALUE"""),"")</f>
        <v/>
      </c>
      <c r="AE172" s="224"/>
      <c r="AF172" s="224" t="str">
        <f>IFERROR(__xludf.DUMMYFUNCTION("""COMPUTED_VALUE"""),"")</f>
        <v/>
      </c>
      <c r="AG172" s="224" t="str">
        <f>IFERROR(__xludf.DUMMYFUNCTION("""COMPUTED_VALUE"""),"")</f>
        <v/>
      </c>
    </row>
    <row r="173">
      <c r="T173" s="218" t="str">
        <f t="shared" si="1"/>
        <v>[]</v>
      </c>
      <c r="AD173" s="224" t="str">
        <f>IFERROR(__xludf.DUMMYFUNCTION("""COMPUTED_VALUE"""),"")</f>
        <v/>
      </c>
      <c r="AE173" s="224"/>
      <c r="AF173" s="224" t="str">
        <f>IFERROR(__xludf.DUMMYFUNCTION("""COMPUTED_VALUE"""),"")</f>
        <v/>
      </c>
      <c r="AG173" s="224" t="str">
        <f>IFERROR(__xludf.DUMMYFUNCTION("""COMPUTED_VALUE"""),"")</f>
        <v/>
      </c>
    </row>
    <row r="174">
      <c r="T174" s="218" t="str">
        <f t="shared" si="1"/>
        <v>[]</v>
      </c>
      <c r="AD174" s="224" t="str">
        <f>IFERROR(__xludf.DUMMYFUNCTION("""COMPUTED_VALUE"""),"")</f>
        <v/>
      </c>
      <c r="AE174" s="224"/>
      <c r="AF174" s="224" t="str">
        <f>IFERROR(__xludf.DUMMYFUNCTION("""COMPUTED_VALUE"""),"")</f>
        <v/>
      </c>
      <c r="AG174" s="224" t="str">
        <f>IFERROR(__xludf.DUMMYFUNCTION("""COMPUTED_VALUE"""),"")</f>
        <v/>
      </c>
    </row>
    <row r="175">
      <c r="T175" s="218" t="str">
        <f t="shared" si="1"/>
        <v>[]</v>
      </c>
      <c r="AD175" s="224" t="str">
        <f>IFERROR(__xludf.DUMMYFUNCTION("""COMPUTED_VALUE"""),"")</f>
        <v/>
      </c>
      <c r="AE175" s="224"/>
      <c r="AF175" s="224" t="str">
        <f>IFERROR(__xludf.DUMMYFUNCTION("""COMPUTED_VALUE"""),"")</f>
        <v/>
      </c>
      <c r="AG175" s="224" t="str">
        <f>IFERROR(__xludf.DUMMYFUNCTION("""COMPUTED_VALUE"""),"")</f>
        <v/>
      </c>
    </row>
    <row r="176">
      <c r="T176" s="218" t="str">
        <f t="shared" si="1"/>
        <v>[]</v>
      </c>
      <c r="AD176" s="224" t="str">
        <f>IFERROR(__xludf.DUMMYFUNCTION("""COMPUTED_VALUE"""),"")</f>
        <v/>
      </c>
      <c r="AE176" s="224"/>
      <c r="AF176" s="224" t="str">
        <f>IFERROR(__xludf.DUMMYFUNCTION("""COMPUTED_VALUE"""),"")</f>
        <v/>
      </c>
      <c r="AG176" s="224" t="str">
        <f>IFERROR(__xludf.DUMMYFUNCTION("""COMPUTED_VALUE"""),"")</f>
        <v/>
      </c>
    </row>
    <row r="177">
      <c r="T177" s="218" t="str">
        <f t="shared" si="1"/>
        <v>[]</v>
      </c>
      <c r="AD177" s="224" t="str">
        <f>IFERROR(__xludf.DUMMYFUNCTION("""COMPUTED_VALUE"""),"")</f>
        <v/>
      </c>
      <c r="AE177" s="224"/>
      <c r="AF177" s="224" t="str">
        <f>IFERROR(__xludf.DUMMYFUNCTION("""COMPUTED_VALUE"""),"")</f>
        <v/>
      </c>
      <c r="AG177" s="224" t="str">
        <f>IFERROR(__xludf.DUMMYFUNCTION("""COMPUTED_VALUE"""),"")</f>
        <v/>
      </c>
    </row>
    <row r="178">
      <c r="T178" s="218" t="str">
        <f t="shared" si="1"/>
        <v>[]</v>
      </c>
      <c r="AD178" s="224" t="str">
        <f>IFERROR(__xludf.DUMMYFUNCTION("""COMPUTED_VALUE"""),"")</f>
        <v/>
      </c>
      <c r="AE178" s="224"/>
      <c r="AF178" s="224" t="str">
        <f>IFERROR(__xludf.DUMMYFUNCTION("""COMPUTED_VALUE"""),"")</f>
        <v/>
      </c>
      <c r="AG178" s="224" t="str">
        <f>IFERROR(__xludf.DUMMYFUNCTION("""COMPUTED_VALUE"""),"")</f>
        <v/>
      </c>
    </row>
    <row r="179">
      <c r="T179" s="218" t="str">
        <f t="shared" si="1"/>
        <v>[]</v>
      </c>
      <c r="AD179" s="224" t="str">
        <f>IFERROR(__xludf.DUMMYFUNCTION("""COMPUTED_VALUE"""),"")</f>
        <v/>
      </c>
      <c r="AE179" s="224"/>
      <c r="AF179" s="224" t="str">
        <f>IFERROR(__xludf.DUMMYFUNCTION("""COMPUTED_VALUE"""),"")</f>
        <v/>
      </c>
      <c r="AG179" s="224" t="str">
        <f>IFERROR(__xludf.DUMMYFUNCTION("""COMPUTED_VALUE"""),"")</f>
        <v/>
      </c>
    </row>
    <row r="180">
      <c r="T180" s="218" t="str">
        <f t="shared" si="1"/>
        <v>[]</v>
      </c>
      <c r="AD180" s="224" t="str">
        <f>IFERROR(__xludf.DUMMYFUNCTION("""COMPUTED_VALUE"""),"")</f>
        <v/>
      </c>
      <c r="AE180" s="224"/>
      <c r="AF180" s="224" t="str">
        <f>IFERROR(__xludf.DUMMYFUNCTION("""COMPUTED_VALUE"""),"")</f>
        <v/>
      </c>
      <c r="AG180" s="224" t="str">
        <f>IFERROR(__xludf.DUMMYFUNCTION("""COMPUTED_VALUE"""),"")</f>
        <v/>
      </c>
    </row>
    <row r="181">
      <c r="T181" s="218" t="str">
        <f t="shared" si="1"/>
        <v>[]</v>
      </c>
      <c r="AD181" s="224" t="str">
        <f>IFERROR(__xludf.DUMMYFUNCTION("""COMPUTED_VALUE"""),"")</f>
        <v/>
      </c>
      <c r="AE181" s="224"/>
      <c r="AF181" s="224" t="str">
        <f>IFERROR(__xludf.DUMMYFUNCTION("""COMPUTED_VALUE"""),"")</f>
        <v/>
      </c>
      <c r="AG181" s="224" t="str">
        <f>IFERROR(__xludf.DUMMYFUNCTION("""COMPUTED_VALUE"""),"")</f>
        <v/>
      </c>
    </row>
    <row r="182">
      <c r="T182" s="218" t="str">
        <f t="shared" si="1"/>
        <v>[]</v>
      </c>
      <c r="AD182" s="224" t="str">
        <f>IFERROR(__xludf.DUMMYFUNCTION("""COMPUTED_VALUE"""),"")</f>
        <v/>
      </c>
      <c r="AE182" s="224"/>
      <c r="AF182" s="224" t="str">
        <f>IFERROR(__xludf.DUMMYFUNCTION("""COMPUTED_VALUE"""),"")</f>
        <v/>
      </c>
      <c r="AG182" s="224" t="str">
        <f>IFERROR(__xludf.DUMMYFUNCTION("""COMPUTED_VALUE"""),"")</f>
        <v/>
      </c>
    </row>
    <row r="183">
      <c r="T183" s="218" t="str">
        <f t="shared" si="1"/>
        <v>[]</v>
      </c>
      <c r="AD183" s="224" t="str">
        <f>IFERROR(__xludf.DUMMYFUNCTION("""COMPUTED_VALUE"""),"")</f>
        <v/>
      </c>
      <c r="AE183" s="224"/>
      <c r="AF183" s="224" t="str">
        <f>IFERROR(__xludf.DUMMYFUNCTION("""COMPUTED_VALUE"""),"")</f>
        <v/>
      </c>
      <c r="AG183" s="224" t="str">
        <f>IFERROR(__xludf.DUMMYFUNCTION("""COMPUTED_VALUE"""),"")</f>
        <v/>
      </c>
    </row>
    <row r="184">
      <c r="T184" s="218" t="str">
        <f t="shared" si="1"/>
        <v>[]</v>
      </c>
      <c r="AD184" s="224" t="str">
        <f>IFERROR(__xludf.DUMMYFUNCTION("""COMPUTED_VALUE"""),"")</f>
        <v/>
      </c>
      <c r="AE184" s="224"/>
      <c r="AF184" s="224" t="str">
        <f>IFERROR(__xludf.DUMMYFUNCTION("""COMPUTED_VALUE"""),"")</f>
        <v/>
      </c>
      <c r="AG184" s="224" t="str">
        <f>IFERROR(__xludf.DUMMYFUNCTION("""COMPUTED_VALUE"""),"")</f>
        <v/>
      </c>
    </row>
    <row r="185">
      <c r="T185" s="218" t="str">
        <f t="shared" si="1"/>
        <v>[]</v>
      </c>
      <c r="AD185" s="224" t="str">
        <f>IFERROR(__xludf.DUMMYFUNCTION("""COMPUTED_VALUE"""),"")</f>
        <v/>
      </c>
      <c r="AE185" s="224"/>
      <c r="AF185" s="224" t="str">
        <f>IFERROR(__xludf.DUMMYFUNCTION("""COMPUTED_VALUE"""),"")</f>
        <v/>
      </c>
      <c r="AG185" s="224" t="str">
        <f>IFERROR(__xludf.DUMMYFUNCTION("""COMPUTED_VALUE"""),"")</f>
        <v/>
      </c>
    </row>
    <row r="186">
      <c r="T186" s="218" t="str">
        <f t="shared" si="1"/>
        <v>[]</v>
      </c>
      <c r="AD186" s="224" t="str">
        <f>IFERROR(__xludf.DUMMYFUNCTION("""COMPUTED_VALUE"""),"")</f>
        <v/>
      </c>
      <c r="AE186" s="224"/>
      <c r="AF186" s="224" t="str">
        <f>IFERROR(__xludf.DUMMYFUNCTION("""COMPUTED_VALUE"""),"")</f>
        <v/>
      </c>
      <c r="AG186" s="224" t="str">
        <f>IFERROR(__xludf.DUMMYFUNCTION("""COMPUTED_VALUE"""),"")</f>
        <v/>
      </c>
    </row>
    <row r="187">
      <c r="T187" s="218" t="str">
        <f t="shared" si="1"/>
        <v>[]</v>
      </c>
      <c r="AD187" s="224" t="str">
        <f>IFERROR(__xludf.DUMMYFUNCTION("""COMPUTED_VALUE"""),"")</f>
        <v/>
      </c>
      <c r="AE187" s="224"/>
      <c r="AF187" s="224" t="str">
        <f>IFERROR(__xludf.DUMMYFUNCTION("""COMPUTED_VALUE"""),"")</f>
        <v/>
      </c>
      <c r="AG187" s="224" t="str">
        <f>IFERROR(__xludf.DUMMYFUNCTION("""COMPUTED_VALUE"""),"")</f>
        <v/>
      </c>
    </row>
    <row r="188">
      <c r="T188" s="218" t="str">
        <f t="shared" si="1"/>
        <v>[]</v>
      </c>
      <c r="AD188" s="224" t="str">
        <f>IFERROR(__xludf.DUMMYFUNCTION("""COMPUTED_VALUE"""),"")</f>
        <v/>
      </c>
      <c r="AE188" s="224"/>
      <c r="AF188" s="224" t="str">
        <f>IFERROR(__xludf.DUMMYFUNCTION("""COMPUTED_VALUE"""),"")</f>
        <v/>
      </c>
      <c r="AG188" s="224" t="str">
        <f>IFERROR(__xludf.DUMMYFUNCTION("""COMPUTED_VALUE"""),"")</f>
        <v/>
      </c>
    </row>
    <row r="189">
      <c r="T189" s="218" t="str">
        <f t="shared" si="1"/>
        <v>[]</v>
      </c>
      <c r="AD189" s="224" t="str">
        <f>IFERROR(__xludf.DUMMYFUNCTION("""COMPUTED_VALUE"""),"")</f>
        <v/>
      </c>
      <c r="AE189" s="224"/>
      <c r="AF189" s="224" t="str">
        <f>IFERROR(__xludf.DUMMYFUNCTION("""COMPUTED_VALUE"""),"")</f>
        <v/>
      </c>
      <c r="AG189" s="224" t="str">
        <f>IFERROR(__xludf.DUMMYFUNCTION("""COMPUTED_VALUE"""),"")</f>
        <v/>
      </c>
    </row>
    <row r="190">
      <c r="T190" s="218" t="str">
        <f t="shared" si="1"/>
        <v>[]</v>
      </c>
      <c r="AD190" s="224" t="str">
        <f>IFERROR(__xludf.DUMMYFUNCTION("""COMPUTED_VALUE"""),"")</f>
        <v/>
      </c>
      <c r="AE190" s="224"/>
      <c r="AF190" s="224" t="str">
        <f>IFERROR(__xludf.DUMMYFUNCTION("""COMPUTED_VALUE"""),"")</f>
        <v/>
      </c>
      <c r="AG190" s="224" t="str">
        <f>IFERROR(__xludf.DUMMYFUNCTION("""COMPUTED_VALUE"""),"")</f>
        <v/>
      </c>
    </row>
    <row r="191">
      <c r="T191" s="218" t="str">
        <f t="shared" si="1"/>
        <v>[]</v>
      </c>
      <c r="AD191" s="224" t="str">
        <f>IFERROR(__xludf.DUMMYFUNCTION("""COMPUTED_VALUE"""),"")</f>
        <v/>
      </c>
      <c r="AE191" s="224"/>
      <c r="AF191" s="224" t="str">
        <f>IFERROR(__xludf.DUMMYFUNCTION("""COMPUTED_VALUE"""),"")</f>
        <v/>
      </c>
      <c r="AG191" s="224" t="str">
        <f>IFERROR(__xludf.DUMMYFUNCTION("""COMPUTED_VALUE"""),"")</f>
        <v/>
      </c>
    </row>
    <row r="192">
      <c r="T192" s="218" t="str">
        <f t="shared" si="1"/>
        <v>[]</v>
      </c>
      <c r="AD192" s="224" t="str">
        <f>IFERROR(__xludf.DUMMYFUNCTION("""COMPUTED_VALUE"""),"")</f>
        <v/>
      </c>
      <c r="AE192" s="224"/>
      <c r="AF192" s="224" t="str">
        <f>IFERROR(__xludf.DUMMYFUNCTION("""COMPUTED_VALUE"""),"")</f>
        <v/>
      </c>
      <c r="AG192" s="224" t="str">
        <f>IFERROR(__xludf.DUMMYFUNCTION("""COMPUTED_VALUE"""),"")</f>
        <v/>
      </c>
    </row>
    <row r="193">
      <c r="T193" s="218" t="str">
        <f t="shared" si="1"/>
        <v>[]</v>
      </c>
      <c r="AD193" s="224" t="str">
        <f>IFERROR(__xludf.DUMMYFUNCTION("""COMPUTED_VALUE"""),"")</f>
        <v/>
      </c>
      <c r="AE193" s="224"/>
      <c r="AF193" s="224" t="str">
        <f>IFERROR(__xludf.DUMMYFUNCTION("""COMPUTED_VALUE"""),"")</f>
        <v/>
      </c>
      <c r="AG193" s="224" t="str">
        <f>IFERROR(__xludf.DUMMYFUNCTION("""COMPUTED_VALUE"""),"")</f>
        <v/>
      </c>
    </row>
    <row r="194">
      <c r="T194" s="218" t="str">
        <f t="shared" si="1"/>
        <v>[]</v>
      </c>
      <c r="AD194" s="224" t="str">
        <f>IFERROR(__xludf.DUMMYFUNCTION("""COMPUTED_VALUE"""),"")</f>
        <v/>
      </c>
      <c r="AE194" s="224"/>
      <c r="AF194" s="224" t="str">
        <f>IFERROR(__xludf.DUMMYFUNCTION("""COMPUTED_VALUE"""),"")</f>
        <v/>
      </c>
      <c r="AG194" s="224" t="str">
        <f>IFERROR(__xludf.DUMMYFUNCTION("""COMPUTED_VALUE"""),"")</f>
        <v/>
      </c>
    </row>
    <row r="195">
      <c r="T195" s="218" t="str">
        <f t="shared" si="1"/>
        <v>[]</v>
      </c>
      <c r="AD195" s="224" t="str">
        <f>IFERROR(__xludf.DUMMYFUNCTION("""COMPUTED_VALUE"""),"")</f>
        <v/>
      </c>
      <c r="AE195" s="224"/>
      <c r="AF195" s="224" t="str">
        <f>IFERROR(__xludf.DUMMYFUNCTION("""COMPUTED_VALUE"""),"")</f>
        <v/>
      </c>
      <c r="AG195" s="224" t="str">
        <f>IFERROR(__xludf.DUMMYFUNCTION("""COMPUTED_VALUE"""),"")</f>
        <v/>
      </c>
    </row>
    <row r="196">
      <c r="T196" s="218" t="str">
        <f t="shared" si="1"/>
        <v>[]</v>
      </c>
      <c r="AD196" s="224" t="str">
        <f>IFERROR(__xludf.DUMMYFUNCTION("""COMPUTED_VALUE"""),"")</f>
        <v/>
      </c>
      <c r="AE196" s="224"/>
      <c r="AF196" s="224" t="str">
        <f>IFERROR(__xludf.DUMMYFUNCTION("""COMPUTED_VALUE"""),"")</f>
        <v/>
      </c>
      <c r="AG196" s="224" t="str">
        <f>IFERROR(__xludf.DUMMYFUNCTION("""COMPUTED_VALUE"""),"")</f>
        <v/>
      </c>
    </row>
    <row r="197">
      <c r="T197" s="218" t="str">
        <f t="shared" si="1"/>
        <v>[]</v>
      </c>
      <c r="AD197" s="224" t="str">
        <f>IFERROR(__xludf.DUMMYFUNCTION("""COMPUTED_VALUE"""),"")</f>
        <v/>
      </c>
      <c r="AE197" s="224"/>
      <c r="AF197" s="224" t="str">
        <f>IFERROR(__xludf.DUMMYFUNCTION("""COMPUTED_VALUE"""),"")</f>
        <v/>
      </c>
      <c r="AG197" s="224" t="str">
        <f>IFERROR(__xludf.DUMMYFUNCTION("""COMPUTED_VALUE"""),"")</f>
        <v/>
      </c>
    </row>
    <row r="198">
      <c r="T198" s="218" t="str">
        <f t="shared" si="1"/>
        <v>[]</v>
      </c>
      <c r="AD198" s="224" t="str">
        <f>IFERROR(__xludf.DUMMYFUNCTION("""COMPUTED_VALUE"""),"")</f>
        <v/>
      </c>
      <c r="AE198" s="224"/>
      <c r="AF198" s="224" t="str">
        <f>IFERROR(__xludf.DUMMYFUNCTION("""COMPUTED_VALUE"""),"")</f>
        <v/>
      </c>
      <c r="AG198" s="224" t="str">
        <f>IFERROR(__xludf.DUMMYFUNCTION("""COMPUTED_VALUE"""),"")</f>
        <v/>
      </c>
    </row>
    <row r="199">
      <c r="T199" s="218" t="str">
        <f t="shared" si="1"/>
        <v>[]</v>
      </c>
      <c r="AD199" s="224" t="str">
        <f>IFERROR(__xludf.DUMMYFUNCTION("""COMPUTED_VALUE"""),"")</f>
        <v/>
      </c>
      <c r="AE199" s="224"/>
      <c r="AF199" s="224" t="str">
        <f>IFERROR(__xludf.DUMMYFUNCTION("""COMPUTED_VALUE"""),"")</f>
        <v/>
      </c>
      <c r="AG199" s="224" t="str">
        <f>IFERROR(__xludf.DUMMYFUNCTION("""COMPUTED_VALUE"""),"")</f>
        <v/>
      </c>
    </row>
    <row r="200">
      <c r="T200" s="218" t="str">
        <f t="shared" si="1"/>
        <v>[]</v>
      </c>
      <c r="AD200" s="224" t="str">
        <f>IFERROR(__xludf.DUMMYFUNCTION("""COMPUTED_VALUE"""),"")</f>
        <v/>
      </c>
      <c r="AE200" s="224"/>
      <c r="AF200" s="224" t="str">
        <f>IFERROR(__xludf.DUMMYFUNCTION("""COMPUTED_VALUE"""),"")</f>
        <v/>
      </c>
      <c r="AG200" s="224" t="str">
        <f>IFERROR(__xludf.DUMMYFUNCTION("""COMPUTED_VALUE"""),"")</f>
        <v/>
      </c>
    </row>
    <row r="201">
      <c r="T201" s="218" t="str">
        <f t="shared" si="1"/>
        <v>[]</v>
      </c>
      <c r="AD201" s="224" t="str">
        <f>IFERROR(__xludf.DUMMYFUNCTION("""COMPUTED_VALUE"""),"")</f>
        <v/>
      </c>
      <c r="AE201" s="224"/>
      <c r="AF201" s="224" t="str">
        <f>IFERROR(__xludf.DUMMYFUNCTION("""COMPUTED_VALUE"""),"")</f>
        <v/>
      </c>
      <c r="AG201" s="224" t="str">
        <f>IFERROR(__xludf.DUMMYFUNCTION("""COMPUTED_VALUE"""),"")</f>
        <v/>
      </c>
    </row>
    <row r="202">
      <c r="T202" s="218" t="str">
        <f t="shared" si="1"/>
        <v>[]</v>
      </c>
      <c r="AD202" s="224" t="str">
        <f>IFERROR(__xludf.DUMMYFUNCTION("""COMPUTED_VALUE"""),"")</f>
        <v/>
      </c>
      <c r="AE202" s="224"/>
      <c r="AF202" s="224" t="str">
        <f>IFERROR(__xludf.DUMMYFUNCTION("""COMPUTED_VALUE"""),"")</f>
        <v/>
      </c>
      <c r="AG202" s="224" t="str">
        <f>IFERROR(__xludf.DUMMYFUNCTION("""COMPUTED_VALUE"""),"")</f>
        <v/>
      </c>
    </row>
    <row r="203">
      <c r="T203" s="218" t="str">
        <f t="shared" si="1"/>
        <v>[]</v>
      </c>
      <c r="AD203" s="224" t="str">
        <f>IFERROR(__xludf.DUMMYFUNCTION("""COMPUTED_VALUE"""),"")</f>
        <v/>
      </c>
      <c r="AE203" s="224"/>
      <c r="AF203" s="224" t="str">
        <f>IFERROR(__xludf.DUMMYFUNCTION("""COMPUTED_VALUE"""),"")</f>
        <v/>
      </c>
      <c r="AG203" s="224" t="str">
        <f>IFERROR(__xludf.DUMMYFUNCTION("""COMPUTED_VALUE"""),"")</f>
        <v/>
      </c>
    </row>
    <row r="204">
      <c r="T204" s="218" t="str">
        <f t="shared" si="1"/>
        <v>[]</v>
      </c>
      <c r="AD204" s="224" t="str">
        <f>IFERROR(__xludf.DUMMYFUNCTION("""COMPUTED_VALUE"""),"")</f>
        <v/>
      </c>
      <c r="AE204" s="224"/>
      <c r="AF204" s="224" t="str">
        <f>IFERROR(__xludf.DUMMYFUNCTION("""COMPUTED_VALUE"""),"")</f>
        <v/>
      </c>
      <c r="AG204" s="224" t="str">
        <f>IFERROR(__xludf.DUMMYFUNCTION("""COMPUTED_VALUE"""),"")</f>
        <v/>
      </c>
    </row>
    <row r="205">
      <c r="T205" s="218" t="str">
        <f t="shared" si="1"/>
        <v>[]</v>
      </c>
      <c r="AD205" s="224" t="str">
        <f>IFERROR(__xludf.DUMMYFUNCTION("""COMPUTED_VALUE"""),"")</f>
        <v/>
      </c>
      <c r="AE205" s="224"/>
      <c r="AF205" s="224" t="str">
        <f>IFERROR(__xludf.DUMMYFUNCTION("""COMPUTED_VALUE"""),"")</f>
        <v/>
      </c>
      <c r="AG205" s="224" t="str">
        <f>IFERROR(__xludf.DUMMYFUNCTION("""COMPUTED_VALUE"""),"")</f>
        <v/>
      </c>
    </row>
    <row r="206">
      <c r="T206" s="218" t="str">
        <f t="shared" si="1"/>
        <v>[]</v>
      </c>
      <c r="AD206" s="224" t="str">
        <f>IFERROR(__xludf.DUMMYFUNCTION("""COMPUTED_VALUE"""),"")</f>
        <v/>
      </c>
      <c r="AE206" s="224"/>
      <c r="AF206" s="224" t="str">
        <f>IFERROR(__xludf.DUMMYFUNCTION("""COMPUTED_VALUE"""),"")</f>
        <v/>
      </c>
      <c r="AG206" s="224" t="str">
        <f>IFERROR(__xludf.DUMMYFUNCTION("""COMPUTED_VALUE"""),"")</f>
        <v/>
      </c>
    </row>
    <row r="207">
      <c r="T207" s="218" t="str">
        <f t="shared" si="1"/>
        <v>[]</v>
      </c>
      <c r="AD207" s="224" t="str">
        <f>IFERROR(__xludf.DUMMYFUNCTION("""COMPUTED_VALUE"""),"")</f>
        <v/>
      </c>
      <c r="AE207" s="224"/>
      <c r="AF207" s="224" t="str">
        <f>IFERROR(__xludf.DUMMYFUNCTION("""COMPUTED_VALUE"""),"")</f>
        <v/>
      </c>
      <c r="AG207" s="224" t="str">
        <f>IFERROR(__xludf.DUMMYFUNCTION("""COMPUTED_VALUE"""),"")</f>
        <v/>
      </c>
    </row>
    <row r="208">
      <c r="T208" s="218" t="str">
        <f t="shared" si="1"/>
        <v>[]</v>
      </c>
      <c r="AD208" s="224" t="str">
        <f>IFERROR(__xludf.DUMMYFUNCTION("""COMPUTED_VALUE"""),"")</f>
        <v/>
      </c>
      <c r="AE208" s="224"/>
      <c r="AF208" s="224" t="str">
        <f>IFERROR(__xludf.DUMMYFUNCTION("""COMPUTED_VALUE"""),"")</f>
        <v/>
      </c>
      <c r="AG208" s="224" t="str">
        <f>IFERROR(__xludf.DUMMYFUNCTION("""COMPUTED_VALUE"""),"")</f>
        <v/>
      </c>
    </row>
    <row r="209">
      <c r="T209" s="218" t="str">
        <f t="shared" si="1"/>
        <v>[]</v>
      </c>
      <c r="AD209" s="224" t="str">
        <f>IFERROR(__xludf.DUMMYFUNCTION("""COMPUTED_VALUE"""),"")</f>
        <v/>
      </c>
      <c r="AE209" s="224"/>
      <c r="AF209" s="224" t="str">
        <f>IFERROR(__xludf.DUMMYFUNCTION("""COMPUTED_VALUE"""),"")</f>
        <v/>
      </c>
      <c r="AG209" s="224" t="str">
        <f>IFERROR(__xludf.DUMMYFUNCTION("""COMPUTED_VALUE"""),"")</f>
        <v/>
      </c>
    </row>
    <row r="210">
      <c r="T210" s="218" t="str">
        <f t="shared" si="1"/>
        <v>[]</v>
      </c>
      <c r="AD210" s="224" t="str">
        <f>IFERROR(__xludf.DUMMYFUNCTION("""COMPUTED_VALUE"""),"")</f>
        <v/>
      </c>
      <c r="AE210" s="224"/>
      <c r="AF210" s="224" t="str">
        <f>IFERROR(__xludf.DUMMYFUNCTION("""COMPUTED_VALUE"""),"")</f>
        <v/>
      </c>
      <c r="AG210" s="224" t="str">
        <f>IFERROR(__xludf.DUMMYFUNCTION("""COMPUTED_VALUE"""),"")</f>
        <v/>
      </c>
    </row>
    <row r="211">
      <c r="T211" s="218" t="str">
        <f t="shared" si="1"/>
        <v>[]</v>
      </c>
      <c r="AD211" s="224" t="str">
        <f>IFERROR(__xludf.DUMMYFUNCTION("""COMPUTED_VALUE"""),"")</f>
        <v/>
      </c>
      <c r="AE211" s="224"/>
      <c r="AF211" s="224" t="str">
        <f>IFERROR(__xludf.DUMMYFUNCTION("""COMPUTED_VALUE"""),"")</f>
        <v/>
      </c>
      <c r="AG211" s="224" t="str">
        <f>IFERROR(__xludf.DUMMYFUNCTION("""COMPUTED_VALUE"""),"")</f>
        <v/>
      </c>
    </row>
    <row r="212">
      <c r="T212" s="218" t="str">
        <f t="shared" si="1"/>
        <v>[]</v>
      </c>
      <c r="AD212" s="224" t="str">
        <f>IFERROR(__xludf.DUMMYFUNCTION("""COMPUTED_VALUE"""),"")</f>
        <v/>
      </c>
      <c r="AE212" s="224"/>
      <c r="AF212" s="224" t="str">
        <f>IFERROR(__xludf.DUMMYFUNCTION("""COMPUTED_VALUE"""),"")</f>
        <v/>
      </c>
      <c r="AG212" s="224" t="str">
        <f>IFERROR(__xludf.DUMMYFUNCTION("""COMPUTED_VALUE"""),"")</f>
        <v/>
      </c>
    </row>
    <row r="213">
      <c r="T213" s="218" t="str">
        <f t="shared" si="1"/>
        <v>[]</v>
      </c>
      <c r="AD213" s="224" t="str">
        <f>IFERROR(__xludf.DUMMYFUNCTION("""COMPUTED_VALUE"""),"")</f>
        <v/>
      </c>
      <c r="AE213" s="224"/>
      <c r="AF213" s="224" t="str">
        <f>IFERROR(__xludf.DUMMYFUNCTION("""COMPUTED_VALUE"""),"")</f>
        <v/>
      </c>
      <c r="AG213" s="224" t="str">
        <f>IFERROR(__xludf.DUMMYFUNCTION("""COMPUTED_VALUE"""),"")</f>
        <v/>
      </c>
    </row>
    <row r="214">
      <c r="T214" s="218" t="str">
        <f t="shared" si="1"/>
        <v>[]</v>
      </c>
      <c r="AD214" s="224" t="str">
        <f>IFERROR(__xludf.DUMMYFUNCTION("""COMPUTED_VALUE"""),"")</f>
        <v/>
      </c>
      <c r="AE214" s="224"/>
      <c r="AF214" s="224" t="str">
        <f>IFERROR(__xludf.DUMMYFUNCTION("""COMPUTED_VALUE"""),"")</f>
        <v/>
      </c>
      <c r="AG214" s="224" t="str">
        <f>IFERROR(__xludf.DUMMYFUNCTION("""COMPUTED_VALUE"""),"")</f>
        <v/>
      </c>
    </row>
    <row r="215">
      <c r="T215" s="218" t="str">
        <f t="shared" si="1"/>
        <v>[]</v>
      </c>
      <c r="AD215" s="224" t="str">
        <f>IFERROR(__xludf.DUMMYFUNCTION("""COMPUTED_VALUE"""),"")</f>
        <v/>
      </c>
      <c r="AE215" s="224"/>
      <c r="AF215" s="224" t="str">
        <f>IFERROR(__xludf.DUMMYFUNCTION("""COMPUTED_VALUE"""),"")</f>
        <v/>
      </c>
      <c r="AG215" s="224" t="str">
        <f>IFERROR(__xludf.DUMMYFUNCTION("""COMPUTED_VALUE"""),"")</f>
        <v/>
      </c>
    </row>
    <row r="216">
      <c r="T216" s="218" t="str">
        <f t="shared" si="1"/>
        <v>[]</v>
      </c>
      <c r="AD216" s="224" t="str">
        <f>IFERROR(__xludf.DUMMYFUNCTION("""COMPUTED_VALUE"""),"")</f>
        <v/>
      </c>
      <c r="AE216" s="224"/>
      <c r="AF216" s="224" t="str">
        <f>IFERROR(__xludf.DUMMYFUNCTION("""COMPUTED_VALUE"""),"")</f>
        <v/>
      </c>
      <c r="AG216" s="224" t="str">
        <f>IFERROR(__xludf.DUMMYFUNCTION("""COMPUTED_VALUE"""),"")</f>
        <v/>
      </c>
    </row>
    <row r="217">
      <c r="T217" s="218" t="str">
        <f t="shared" si="1"/>
        <v>[]</v>
      </c>
      <c r="AD217" s="224" t="str">
        <f>IFERROR(__xludf.DUMMYFUNCTION("""COMPUTED_VALUE"""),"")</f>
        <v/>
      </c>
      <c r="AE217" s="224"/>
      <c r="AF217" s="224" t="str">
        <f>IFERROR(__xludf.DUMMYFUNCTION("""COMPUTED_VALUE"""),"")</f>
        <v/>
      </c>
      <c r="AG217" s="224" t="str">
        <f>IFERROR(__xludf.DUMMYFUNCTION("""COMPUTED_VALUE"""),"")</f>
        <v/>
      </c>
    </row>
    <row r="218">
      <c r="T218" s="218" t="str">
        <f t="shared" si="1"/>
        <v>[]</v>
      </c>
      <c r="AD218" s="224" t="str">
        <f>IFERROR(__xludf.DUMMYFUNCTION("""COMPUTED_VALUE"""),"")</f>
        <v/>
      </c>
      <c r="AE218" s="224"/>
      <c r="AF218" s="224" t="str">
        <f>IFERROR(__xludf.DUMMYFUNCTION("""COMPUTED_VALUE"""),"")</f>
        <v/>
      </c>
      <c r="AG218" s="224" t="str">
        <f>IFERROR(__xludf.DUMMYFUNCTION("""COMPUTED_VALUE"""),"")</f>
        <v/>
      </c>
    </row>
    <row r="219">
      <c r="T219" s="218" t="str">
        <f t="shared" si="1"/>
        <v>[]</v>
      </c>
      <c r="AD219" s="224" t="str">
        <f>IFERROR(__xludf.DUMMYFUNCTION("""COMPUTED_VALUE"""),"")</f>
        <v/>
      </c>
      <c r="AE219" s="224"/>
      <c r="AF219" s="224" t="str">
        <f>IFERROR(__xludf.DUMMYFUNCTION("""COMPUTED_VALUE"""),"")</f>
        <v/>
      </c>
      <c r="AG219" s="224" t="str">
        <f>IFERROR(__xludf.DUMMYFUNCTION("""COMPUTED_VALUE"""),"")</f>
        <v/>
      </c>
    </row>
    <row r="220">
      <c r="T220" s="218" t="str">
        <f t="shared" si="1"/>
        <v>[]</v>
      </c>
      <c r="AD220" s="224" t="str">
        <f>IFERROR(__xludf.DUMMYFUNCTION("""COMPUTED_VALUE"""),"")</f>
        <v/>
      </c>
      <c r="AE220" s="224"/>
      <c r="AF220" s="224" t="str">
        <f>IFERROR(__xludf.DUMMYFUNCTION("""COMPUTED_VALUE"""),"")</f>
        <v/>
      </c>
      <c r="AG220" s="224" t="str">
        <f>IFERROR(__xludf.DUMMYFUNCTION("""COMPUTED_VALUE"""),"")</f>
        <v/>
      </c>
    </row>
    <row r="221">
      <c r="T221" s="218" t="str">
        <f t="shared" si="1"/>
        <v>[]</v>
      </c>
      <c r="AD221" s="224" t="str">
        <f>IFERROR(__xludf.DUMMYFUNCTION("""COMPUTED_VALUE"""),"")</f>
        <v/>
      </c>
      <c r="AE221" s="224"/>
      <c r="AF221" s="224" t="str">
        <f>IFERROR(__xludf.DUMMYFUNCTION("""COMPUTED_VALUE"""),"")</f>
        <v/>
      </c>
      <c r="AG221" s="224" t="str">
        <f>IFERROR(__xludf.DUMMYFUNCTION("""COMPUTED_VALUE"""),"")</f>
        <v/>
      </c>
    </row>
    <row r="222">
      <c r="T222" s="218" t="str">
        <f t="shared" si="1"/>
        <v>[]</v>
      </c>
      <c r="AD222" s="224" t="str">
        <f>IFERROR(__xludf.DUMMYFUNCTION("""COMPUTED_VALUE"""),"")</f>
        <v/>
      </c>
      <c r="AE222" s="224"/>
      <c r="AF222" s="224" t="str">
        <f>IFERROR(__xludf.DUMMYFUNCTION("""COMPUTED_VALUE"""),"")</f>
        <v/>
      </c>
      <c r="AG222" s="224" t="str">
        <f>IFERROR(__xludf.DUMMYFUNCTION("""COMPUTED_VALUE"""),"")</f>
        <v/>
      </c>
    </row>
    <row r="223">
      <c r="T223" s="218" t="str">
        <f t="shared" si="1"/>
        <v>[]</v>
      </c>
      <c r="AD223" s="224" t="str">
        <f>IFERROR(__xludf.DUMMYFUNCTION("""COMPUTED_VALUE"""),"")</f>
        <v/>
      </c>
      <c r="AE223" s="224"/>
      <c r="AF223" s="224" t="str">
        <f>IFERROR(__xludf.DUMMYFUNCTION("""COMPUTED_VALUE"""),"")</f>
        <v/>
      </c>
      <c r="AG223" s="224" t="str">
        <f>IFERROR(__xludf.DUMMYFUNCTION("""COMPUTED_VALUE"""),"")</f>
        <v/>
      </c>
    </row>
    <row r="224">
      <c r="AD224" s="224" t="str">
        <f>IFERROR(__xludf.DUMMYFUNCTION("""COMPUTED_VALUE"""),"")</f>
        <v/>
      </c>
      <c r="AE224" s="224"/>
      <c r="AF224" s="224" t="str">
        <f>IFERROR(__xludf.DUMMYFUNCTION("""COMPUTED_VALUE"""),"")</f>
        <v/>
      </c>
      <c r="AG224" s="224" t="str">
        <f>IFERROR(__xludf.DUMMYFUNCTION("""COMPUTED_VALUE"""),"")</f>
        <v/>
      </c>
    </row>
    <row r="225">
      <c r="AD225" s="224" t="str">
        <f>IFERROR(__xludf.DUMMYFUNCTION("""COMPUTED_VALUE"""),"")</f>
        <v/>
      </c>
      <c r="AE225" s="224"/>
      <c r="AF225" s="224" t="str">
        <f>IFERROR(__xludf.DUMMYFUNCTION("""COMPUTED_VALUE"""),"")</f>
        <v/>
      </c>
      <c r="AG225" s="224" t="str">
        <f>IFERROR(__xludf.DUMMYFUNCTION("""COMPUTED_VALUE"""),"")</f>
        <v/>
      </c>
    </row>
    <row r="226">
      <c r="AD226" s="224" t="str">
        <f>IFERROR(__xludf.DUMMYFUNCTION("""COMPUTED_VALUE"""),"")</f>
        <v/>
      </c>
      <c r="AE226" s="224"/>
      <c r="AF226" s="224" t="str">
        <f>IFERROR(__xludf.DUMMYFUNCTION("""COMPUTED_VALUE"""),"")</f>
        <v/>
      </c>
      <c r="AG226" s="224" t="str">
        <f>IFERROR(__xludf.DUMMYFUNCTION("""COMPUTED_VALUE"""),"")</f>
        <v/>
      </c>
    </row>
    <row r="227">
      <c r="AD227" s="224" t="str">
        <f>IFERROR(__xludf.DUMMYFUNCTION("""COMPUTED_VALUE"""),"")</f>
        <v/>
      </c>
      <c r="AE227" s="224"/>
      <c r="AF227" s="224" t="str">
        <f>IFERROR(__xludf.DUMMYFUNCTION("""COMPUTED_VALUE"""),"")</f>
        <v/>
      </c>
      <c r="AG227" s="224" t="str">
        <f>IFERROR(__xludf.DUMMYFUNCTION("""COMPUTED_VALUE"""),"")</f>
        <v/>
      </c>
    </row>
    <row r="228">
      <c r="AD228" s="224" t="str">
        <f>IFERROR(__xludf.DUMMYFUNCTION("""COMPUTED_VALUE"""),"")</f>
        <v/>
      </c>
      <c r="AE228" s="224"/>
      <c r="AF228" s="224" t="str">
        <f>IFERROR(__xludf.DUMMYFUNCTION("""COMPUTED_VALUE"""),"")</f>
        <v/>
      </c>
      <c r="AG228" s="224" t="str">
        <f>IFERROR(__xludf.DUMMYFUNCTION("""COMPUTED_VALUE"""),"")</f>
        <v/>
      </c>
    </row>
    <row r="229">
      <c r="AD229" s="224" t="str">
        <f>IFERROR(__xludf.DUMMYFUNCTION("""COMPUTED_VALUE"""),"")</f>
        <v/>
      </c>
      <c r="AE229" s="224"/>
      <c r="AF229" s="224" t="str">
        <f>IFERROR(__xludf.DUMMYFUNCTION("""COMPUTED_VALUE"""),"")</f>
        <v/>
      </c>
      <c r="AG229" s="224" t="str">
        <f>IFERROR(__xludf.DUMMYFUNCTION("""COMPUTED_VALUE"""),"")</f>
        <v/>
      </c>
    </row>
    <row r="230">
      <c r="AD230" s="224" t="str">
        <f>IFERROR(__xludf.DUMMYFUNCTION("""COMPUTED_VALUE"""),"")</f>
        <v/>
      </c>
      <c r="AE230" s="224"/>
      <c r="AF230" s="224" t="str">
        <f>IFERROR(__xludf.DUMMYFUNCTION("""COMPUTED_VALUE"""),"")</f>
        <v/>
      </c>
      <c r="AG230" s="224" t="str">
        <f>IFERROR(__xludf.DUMMYFUNCTION("""COMPUTED_VALUE"""),"")</f>
        <v/>
      </c>
    </row>
    <row r="231">
      <c r="AD231" s="224" t="str">
        <f>IFERROR(__xludf.DUMMYFUNCTION("""COMPUTED_VALUE"""),"")</f>
        <v/>
      </c>
      <c r="AE231" s="224"/>
      <c r="AF231" s="224" t="str">
        <f>IFERROR(__xludf.DUMMYFUNCTION("""COMPUTED_VALUE"""),"")</f>
        <v/>
      </c>
      <c r="AG231" s="224" t="str">
        <f>IFERROR(__xludf.DUMMYFUNCTION("""COMPUTED_VALUE"""),"")</f>
        <v/>
      </c>
    </row>
    <row r="232">
      <c r="AD232" s="224" t="str">
        <f>IFERROR(__xludf.DUMMYFUNCTION("""COMPUTED_VALUE"""),"")</f>
        <v/>
      </c>
      <c r="AE232" s="224"/>
      <c r="AF232" s="224" t="str">
        <f>IFERROR(__xludf.DUMMYFUNCTION("""COMPUTED_VALUE"""),"")</f>
        <v/>
      </c>
      <c r="AG232" s="224" t="str">
        <f>IFERROR(__xludf.DUMMYFUNCTION("""COMPUTED_VALUE"""),"")</f>
        <v/>
      </c>
    </row>
    <row r="233">
      <c r="AD233" s="224" t="str">
        <f>IFERROR(__xludf.DUMMYFUNCTION("""COMPUTED_VALUE"""),"")</f>
        <v/>
      </c>
      <c r="AE233" s="224"/>
      <c r="AF233" s="224" t="str">
        <f>IFERROR(__xludf.DUMMYFUNCTION("""COMPUTED_VALUE"""),"")</f>
        <v/>
      </c>
      <c r="AG233" s="224" t="str">
        <f>IFERROR(__xludf.DUMMYFUNCTION("""COMPUTED_VALUE"""),"")</f>
        <v/>
      </c>
    </row>
    <row r="234">
      <c r="AD234" s="224" t="str">
        <f>IFERROR(__xludf.DUMMYFUNCTION("""COMPUTED_VALUE"""),"")</f>
        <v/>
      </c>
      <c r="AE234" s="224"/>
      <c r="AF234" s="224" t="str">
        <f>IFERROR(__xludf.DUMMYFUNCTION("""COMPUTED_VALUE"""),"")</f>
        <v/>
      </c>
      <c r="AG234" s="224" t="str">
        <f>IFERROR(__xludf.DUMMYFUNCTION("""COMPUTED_VALUE"""),"")</f>
        <v/>
      </c>
    </row>
    <row r="235">
      <c r="AD235" s="224" t="str">
        <f>IFERROR(__xludf.DUMMYFUNCTION("""COMPUTED_VALUE"""),"")</f>
        <v/>
      </c>
      <c r="AE235" s="224"/>
      <c r="AF235" s="224" t="str">
        <f>IFERROR(__xludf.DUMMYFUNCTION("""COMPUTED_VALUE"""),"")</f>
        <v/>
      </c>
      <c r="AG235" s="224" t="str">
        <f>IFERROR(__xludf.DUMMYFUNCTION("""COMPUTED_VALUE"""),"")</f>
        <v/>
      </c>
    </row>
    <row r="236">
      <c r="AD236" s="224" t="str">
        <f>IFERROR(__xludf.DUMMYFUNCTION("""COMPUTED_VALUE"""),"")</f>
        <v/>
      </c>
      <c r="AE236" s="224"/>
      <c r="AF236" s="224" t="str">
        <f>IFERROR(__xludf.DUMMYFUNCTION("""COMPUTED_VALUE"""),"")</f>
        <v/>
      </c>
      <c r="AG236" s="224" t="str">
        <f>IFERROR(__xludf.DUMMYFUNCTION("""COMPUTED_VALUE"""),"")</f>
        <v/>
      </c>
    </row>
    <row r="237">
      <c r="AD237" s="224" t="str">
        <f>IFERROR(__xludf.DUMMYFUNCTION("""COMPUTED_VALUE"""),"")</f>
        <v/>
      </c>
      <c r="AE237" s="224"/>
      <c r="AF237" s="224" t="str">
        <f>IFERROR(__xludf.DUMMYFUNCTION("""COMPUTED_VALUE"""),"")</f>
        <v/>
      </c>
      <c r="AG237" s="224" t="str">
        <f>IFERROR(__xludf.DUMMYFUNCTION("""COMPUTED_VALUE"""),"")</f>
        <v/>
      </c>
    </row>
    <row r="238">
      <c r="AD238" s="224" t="str">
        <f>IFERROR(__xludf.DUMMYFUNCTION("""COMPUTED_VALUE"""),"")</f>
        <v/>
      </c>
      <c r="AE238" s="224"/>
      <c r="AF238" s="224" t="str">
        <f>IFERROR(__xludf.DUMMYFUNCTION("""COMPUTED_VALUE"""),"")</f>
        <v/>
      </c>
      <c r="AG238" s="224" t="str">
        <f>IFERROR(__xludf.DUMMYFUNCTION("""COMPUTED_VALUE"""),"")</f>
        <v/>
      </c>
    </row>
    <row r="239">
      <c r="AD239" s="224" t="str">
        <f>IFERROR(__xludf.DUMMYFUNCTION("""COMPUTED_VALUE"""),"")</f>
        <v/>
      </c>
      <c r="AE239" s="224"/>
      <c r="AF239" s="224" t="str">
        <f>IFERROR(__xludf.DUMMYFUNCTION("""COMPUTED_VALUE"""),"")</f>
        <v/>
      </c>
      <c r="AG239" s="224" t="str">
        <f>IFERROR(__xludf.DUMMYFUNCTION("""COMPUTED_VALUE"""),"")</f>
        <v/>
      </c>
    </row>
    <row r="240">
      <c r="AD240" s="224" t="str">
        <f>IFERROR(__xludf.DUMMYFUNCTION("""COMPUTED_VALUE"""),"")</f>
        <v/>
      </c>
      <c r="AE240" s="224"/>
      <c r="AF240" s="224" t="str">
        <f>IFERROR(__xludf.DUMMYFUNCTION("""COMPUTED_VALUE"""),"")</f>
        <v/>
      </c>
      <c r="AG240" s="224" t="str">
        <f>IFERROR(__xludf.DUMMYFUNCTION("""COMPUTED_VALUE"""),"")</f>
        <v/>
      </c>
    </row>
    <row r="241">
      <c r="AD241" s="224" t="str">
        <f>IFERROR(__xludf.DUMMYFUNCTION("""COMPUTED_VALUE"""),"")</f>
        <v/>
      </c>
      <c r="AE241" s="224"/>
      <c r="AF241" s="224" t="str">
        <f>IFERROR(__xludf.DUMMYFUNCTION("""COMPUTED_VALUE"""),"")</f>
        <v/>
      </c>
      <c r="AG241" s="224" t="str">
        <f>IFERROR(__xludf.DUMMYFUNCTION("""COMPUTED_VALUE"""),"")</f>
        <v/>
      </c>
    </row>
    <row r="242">
      <c r="AD242" s="224" t="str">
        <f>IFERROR(__xludf.DUMMYFUNCTION("""COMPUTED_VALUE"""),"")</f>
        <v/>
      </c>
      <c r="AE242" s="224"/>
      <c r="AF242" s="224" t="str">
        <f>IFERROR(__xludf.DUMMYFUNCTION("""COMPUTED_VALUE"""),"")</f>
        <v/>
      </c>
      <c r="AG242" s="224" t="str">
        <f>IFERROR(__xludf.DUMMYFUNCTION("""COMPUTED_VALUE"""),"")</f>
        <v/>
      </c>
    </row>
    <row r="243">
      <c r="AD243" s="224" t="str">
        <f>IFERROR(__xludf.DUMMYFUNCTION("""COMPUTED_VALUE"""),"")</f>
        <v/>
      </c>
      <c r="AE243" s="224"/>
      <c r="AF243" s="224" t="str">
        <f>IFERROR(__xludf.DUMMYFUNCTION("""COMPUTED_VALUE"""),"")</f>
        <v/>
      </c>
      <c r="AG243" s="224" t="str">
        <f>IFERROR(__xludf.DUMMYFUNCTION("""COMPUTED_VALUE"""),"")</f>
        <v/>
      </c>
    </row>
    <row r="244">
      <c r="AD244" s="224" t="str">
        <f>IFERROR(__xludf.DUMMYFUNCTION("""COMPUTED_VALUE"""),"")</f>
        <v/>
      </c>
      <c r="AE244" s="224"/>
      <c r="AF244" s="224" t="str">
        <f>IFERROR(__xludf.DUMMYFUNCTION("""COMPUTED_VALUE"""),"")</f>
        <v/>
      </c>
      <c r="AG244" s="224" t="str">
        <f>IFERROR(__xludf.DUMMYFUNCTION("""COMPUTED_VALUE"""),"")</f>
        <v/>
      </c>
    </row>
    <row r="245">
      <c r="AD245" s="224" t="str">
        <f>IFERROR(__xludf.DUMMYFUNCTION("""COMPUTED_VALUE"""),"")</f>
        <v/>
      </c>
      <c r="AE245" s="224"/>
      <c r="AF245" s="224" t="str">
        <f>IFERROR(__xludf.DUMMYFUNCTION("""COMPUTED_VALUE"""),"")</f>
        <v/>
      </c>
      <c r="AG245" s="224" t="str">
        <f>IFERROR(__xludf.DUMMYFUNCTION("""COMPUTED_VALUE"""),"")</f>
        <v/>
      </c>
    </row>
    <row r="246">
      <c r="AD246" s="224" t="str">
        <f>IFERROR(__xludf.DUMMYFUNCTION("""COMPUTED_VALUE"""),"")</f>
        <v/>
      </c>
      <c r="AE246" s="224"/>
      <c r="AF246" s="224" t="str">
        <f>IFERROR(__xludf.DUMMYFUNCTION("""COMPUTED_VALUE"""),"")</f>
        <v/>
      </c>
      <c r="AG246" s="224" t="str">
        <f>IFERROR(__xludf.DUMMYFUNCTION("""COMPUTED_VALUE"""),"")</f>
        <v/>
      </c>
    </row>
    <row r="247">
      <c r="AD247" s="224" t="str">
        <f>IFERROR(__xludf.DUMMYFUNCTION("""COMPUTED_VALUE"""),"")</f>
        <v/>
      </c>
      <c r="AE247" s="224"/>
      <c r="AF247" s="224" t="str">
        <f>IFERROR(__xludf.DUMMYFUNCTION("""COMPUTED_VALUE"""),"")</f>
        <v/>
      </c>
      <c r="AG247" s="224" t="str">
        <f>IFERROR(__xludf.DUMMYFUNCTION("""COMPUTED_VALUE"""),"")</f>
        <v/>
      </c>
    </row>
    <row r="248">
      <c r="AD248" s="224" t="str">
        <f>IFERROR(__xludf.DUMMYFUNCTION("""COMPUTED_VALUE"""),"")</f>
        <v/>
      </c>
      <c r="AE248" s="224"/>
      <c r="AF248" s="224" t="str">
        <f>IFERROR(__xludf.DUMMYFUNCTION("""COMPUTED_VALUE"""),"")</f>
        <v/>
      </c>
      <c r="AG248" s="224" t="str">
        <f>IFERROR(__xludf.DUMMYFUNCTION("""COMPUTED_VALUE"""),"")</f>
        <v/>
      </c>
    </row>
    <row r="249">
      <c r="AD249" s="224" t="str">
        <f>IFERROR(__xludf.DUMMYFUNCTION("""COMPUTED_VALUE"""),"")</f>
        <v/>
      </c>
      <c r="AE249" s="224"/>
      <c r="AF249" s="224" t="str">
        <f>IFERROR(__xludf.DUMMYFUNCTION("""COMPUTED_VALUE"""),"")</f>
        <v/>
      </c>
      <c r="AG249" s="224" t="str">
        <f>IFERROR(__xludf.DUMMYFUNCTION("""COMPUTED_VALUE"""),"")</f>
        <v/>
      </c>
    </row>
    <row r="250">
      <c r="AD250" s="224" t="str">
        <f>IFERROR(__xludf.DUMMYFUNCTION("""COMPUTED_VALUE"""),"")</f>
        <v/>
      </c>
      <c r="AE250" s="224"/>
      <c r="AF250" s="224" t="str">
        <f>IFERROR(__xludf.DUMMYFUNCTION("""COMPUTED_VALUE"""),"")</f>
        <v/>
      </c>
      <c r="AG250" s="224" t="str">
        <f>IFERROR(__xludf.DUMMYFUNCTION("""COMPUTED_VALUE"""),"")</f>
        <v/>
      </c>
    </row>
    <row r="251">
      <c r="AD251" s="224" t="str">
        <f>IFERROR(__xludf.DUMMYFUNCTION("""COMPUTED_VALUE"""),"")</f>
        <v/>
      </c>
      <c r="AE251" s="224"/>
      <c r="AF251" s="224" t="str">
        <f>IFERROR(__xludf.DUMMYFUNCTION("""COMPUTED_VALUE"""),"")</f>
        <v/>
      </c>
      <c r="AG251" s="224" t="str">
        <f>IFERROR(__xludf.DUMMYFUNCTION("""COMPUTED_VALUE"""),"")</f>
        <v/>
      </c>
    </row>
    <row r="252">
      <c r="AD252" s="224" t="str">
        <f>IFERROR(__xludf.DUMMYFUNCTION("""COMPUTED_VALUE"""),"")</f>
        <v/>
      </c>
      <c r="AE252" s="224"/>
      <c r="AF252" s="224" t="str">
        <f>IFERROR(__xludf.DUMMYFUNCTION("""COMPUTED_VALUE"""),"")</f>
        <v/>
      </c>
      <c r="AG252" s="224" t="str">
        <f>IFERROR(__xludf.DUMMYFUNCTION("""COMPUTED_VALUE"""),"")</f>
        <v/>
      </c>
    </row>
    <row r="253">
      <c r="AD253" s="224" t="str">
        <f>IFERROR(__xludf.DUMMYFUNCTION("""COMPUTED_VALUE"""),"")</f>
        <v/>
      </c>
      <c r="AE253" s="224"/>
      <c r="AF253" s="224" t="str">
        <f>IFERROR(__xludf.DUMMYFUNCTION("""COMPUTED_VALUE"""),"")</f>
        <v/>
      </c>
      <c r="AG253" s="224" t="str">
        <f>IFERROR(__xludf.DUMMYFUNCTION("""COMPUTED_VALUE"""),"")</f>
        <v/>
      </c>
    </row>
    <row r="254">
      <c r="AD254" s="224" t="str">
        <f>IFERROR(__xludf.DUMMYFUNCTION("""COMPUTED_VALUE"""),"")</f>
        <v/>
      </c>
      <c r="AE254" s="224"/>
      <c r="AF254" s="224" t="str">
        <f>IFERROR(__xludf.DUMMYFUNCTION("""COMPUTED_VALUE"""),"")</f>
        <v/>
      </c>
      <c r="AG254" s="224" t="str">
        <f>IFERROR(__xludf.DUMMYFUNCTION("""COMPUTED_VALUE"""),"")</f>
        <v/>
      </c>
    </row>
    <row r="255">
      <c r="AD255" s="224" t="str">
        <f>IFERROR(__xludf.DUMMYFUNCTION("""COMPUTED_VALUE"""),"")</f>
        <v/>
      </c>
      <c r="AE255" s="224"/>
      <c r="AF255" s="224" t="str">
        <f>IFERROR(__xludf.DUMMYFUNCTION("""COMPUTED_VALUE"""),"")</f>
        <v/>
      </c>
      <c r="AG255" s="224" t="str">
        <f>IFERROR(__xludf.DUMMYFUNCTION("""COMPUTED_VALUE"""),"")</f>
        <v/>
      </c>
    </row>
    <row r="256">
      <c r="AD256" s="224" t="str">
        <f>IFERROR(__xludf.DUMMYFUNCTION("""COMPUTED_VALUE"""),"")</f>
        <v/>
      </c>
      <c r="AE256" s="224"/>
      <c r="AF256" s="224" t="str">
        <f>IFERROR(__xludf.DUMMYFUNCTION("""COMPUTED_VALUE"""),"")</f>
        <v/>
      </c>
      <c r="AG256" s="224" t="str">
        <f>IFERROR(__xludf.DUMMYFUNCTION("""COMPUTED_VALUE"""),"")</f>
        <v/>
      </c>
    </row>
    <row r="257">
      <c r="AD257" s="224" t="str">
        <f>IFERROR(__xludf.DUMMYFUNCTION("""COMPUTED_VALUE"""),"")</f>
        <v/>
      </c>
      <c r="AE257" s="224"/>
      <c r="AF257" s="224" t="str">
        <f>IFERROR(__xludf.DUMMYFUNCTION("""COMPUTED_VALUE"""),"")</f>
        <v/>
      </c>
      <c r="AG257" s="224" t="str">
        <f>IFERROR(__xludf.DUMMYFUNCTION("""COMPUTED_VALUE"""),"")</f>
        <v/>
      </c>
    </row>
    <row r="258">
      <c r="AD258" s="224" t="str">
        <f>IFERROR(__xludf.DUMMYFUNCTION("""COMPUTED_VALUE"""),"")</f>
        <v/>
      </c>
      <c r="AE258" s="224"/>
      <c r="AF258" s="224" t="str">
        <f>IFERROR(__xludf.DUMMYFUNCTION("""COMPUTED_VALUE"""),"")</f>
        <v/>
      </c>
      <c r="AG258" s="224" t="str">
        <f>IFERROR(__xludf.DUMMYFUNCTION("""COMPUTED_VALUE"""),"")</f>
        <v/>
      </c>
    </row>
    <row r="259">
      <c r="AD259" s="224" t="str">
        <f>IFERROR(__xludf.DUMMYFUNCTION("""COMPUTED_VALUE"""),"")</f>
        <v/>
      </c>
      <c r="AE259" s="224"/>
      <c r="AF259" s="224" t="str">
        <f>IFERROR(__xludf.DUMMYFUNCTION("""COMPUTED_VALUE"""),"")</f>
        <v/>
      </c>
      <c r="AG259" s="224" t="str">
        <f>IFERROR(__xludf.DUMMYFUNCTION("""COMPUTED_VALUE"""),"")</f>
        <v/>
      </c>
    </row>
    <row r="260">
      <c r="AD260" s="224" t="str">
        <f>IFERROR(__xludf.DUMMYFUNCTION("""COMPUTED_VALUE"""),"")</f>
        <v/>
      </c>
      <c r="AE260" s="224"/>
      <c r="AF260" s="224" t="str">
        <f>IFERROR(__xludf.DUMMYFUNCTION("""COMPUTED_VALUE"""),"")</f>
        <v/>
      </c>
      <c r="AG260" s="224" t="str">
        <f>IFERROR(__xludf.DUMMYFUNCTION("""COMPUTED_VALUE"""),"")</f>
        <v/>
      </c>
    </row>
    <row r="261">
      <c r="AD261" s="224" t="str">
        <f>IFERROR(__xludf.DUMMYFUNCTION("""COMPUTED_VALUE"""),"")</f>
        <v/>
      </c>
      <c r="AE261" s="224"/>
      <c r="AF261" s="224" t="str">
        <f>IFERROR(__xludf.DUMMYFUNCTION("""COMPUTED_VALUE"""),"")</f>
        <v/>
      </c>
      <c r="AG261" s="224" t="str">
        <f>IFERROR(__xludf.DUMMYFUNCTION("""COMPUTED_VALUE"""),"")</f>
        <v/>
      </c>
    </row>
    <row r="262">
      <c r="AD262" s="224" t="str">
        <f>IFERROR(__xludf.DUMMYFUNCTION("""COMPUTED_VALUE"""),"")</f>
        <v/>
      </c>
      <c r="AE262" s="224"/>
      <c r="AF262" s="224" t="str">
        <f>IFERROR(__xludf.DUMMYFUNCTION("""COMPUTED_VALUE"""),"")</f>
        <v/>
      </c>
      <c r="AG262" s="224" t="str">
        <f>IFERROR(__xludf.DUMMYFUNCTION("""COMPUTED_VALUE"""),"")</f>
        <v/>
      </c>
    </row>
    <row r="263">
      <c r="AD263" s="224" t="str">
        <f>IFERROR(__xludf.DUMMYFUNCTION("""COMPUTED_VALUE"""),"")</f>
        <v/>
      </c>
      <c r="AE263" s="224"/>
      <c r="AF263" s="224" t="str">
        <f>IFERROR(__xludf.DUMMYFUNCTION("""COMPUTED_VALUE"""),"")</f>
        <v/>
      </c>
      <c r="AG263" s="224" t="str">
        <f>IFERROR(__xludf.DUMMYFUNCTION("""COMPUTED_VALUE"""),"")</f>
        <v/>
      </c>
    </row>
    <row r="264">
      <c r="AD264" s="224" t="str">
        <f>IFERROR(__xludf.DUMMYFUNCTION("""COMPUTED_VALUE"""),"")</f>
        <v/>
      </c>
      <c r="AE264" s="224"/>
      <c r="AF264" s="224" t="str">
        <f>IFERROR(__xludf.DUMMYFUNCTION("""COMPUTED_VALUE"""),"")</f>
        <v/>
      </c>
      <c r="AG264" s="224" t="str">
        <f>IFERROR(__xludf.DUMMYFUNCTION("""COMPUTED_VALUE"""),"")</f>
        <v/>
      </c>
    </row>
    <row r="265">
      <c r="AD265" s="224" t="str">
        <f>IFERROR(__xludf.DUMMYFUNCTION("""COMPUTED_VALUE"""),"")</f>
        <v/>
      </c>
      <c r="AE265" s="224"/>
      <c r="AF265" s="224" t="str">
        <f>IFERROR(__xludf.DUMMYFUNCTION("""COMPUTED_VALUE"""),"")</f>
        <v/>
      </c>
      <c r="AG265" s="224" t="str">
        <f>IFERROR(__xludf.DUMMYFUNCTION("""COMPUTED_VALUE"""),"")</f>
        <v/>
      </c>
    </row>
    <row r="266">
      <c r="AD266" s="224" t="str">
        <f>IFERROR(__xludf.DUMMYFUNCTION("""COMPUTED_VALUE"""),"")</f>
        <v/>
      </c>
      <c r="AE266" s="224"/>
      <c r="AF266" s="224" t="str">
        <f>IFERROR(__xludf.DUMMYFUNCTION("""COMPUTED_VALUE"""),"")</f>
        <v/>
      </c>
      <c r="AG266" s="224" t="str">
        <f>IFERROR(__xludf.DUMMYFUNCTION("""COMPUTED_VALUE"""),"")</f>
        <v/>
      </c>
    </row>
    <row r="267">
      <c r="AD267" s="224" t="str">
        <f>IFERROR(__xludf.DUMMYFUNCTION("""COMPUTED_VALUE"""),"")</f>
        <v/>
      </c>
      <c r="AE267" s="224"/>
      <c r="AF267" s="224" t="str">
        <f>IFERROR(__xludf.DUMMYFUNCTION("""COMPUTED_VALUE"""),"")</f>
        <v/>
      </c>
      <c r="AG267" s="224" t="str">
        <f>IFERROR(__xludf.DUMMYFUNCTION("""COMPUTED_VALUE"""),"")</f>
        <v/>
      </c>
    </row>
    <row r="268">
      <c r="AD268" s="224" t="str">
        <f>IFERROR(__xludf.DUMMYFUNCTION("""COMPUTED_VALUE"""),"")</f>
        <v/>
      </c>
      <c r="AE268" s="224"/>
      <c r="AF268" s="224" t="str">
        <f>IFERROR(__xludf.DUMMYFUNCTION("""COMPUTED_VALUE"""),"")</f>
        <v/>
      </c>
      <c r="AG268" s="224" t="str">
        <f>IFERROR(__xludf.DUMMYFUNCTION("""COMPUTED_VALUE"""),"")</f>
        <v/>
      </c>
    </row>
    <row r="269">
      <c r="AD269" s="224" t="str">
        <f>IFERROR(__xludf.DUMMYFUNCTION("""COMPUTED_VALUE"""),"")</f>
        <v/>
      </c>
      <c r="AE269" s="224"/>
      <c r="AF269" s="224" t="str">
        <f>IFERROR(__xludf.DUMMYFUNCTION("""COMPUTED_VALUE"""),"")</f>
        <v/>
      </c>
      <c r="AG269" s="224" t="str">
        <f>IFERROR(__xludf.DUMMYFUNCTION("""COMPUTED_VALUE"""),"")</f>
        <v/>
      </c>
    </row>
    <row r="270">
      <c r="AD270" s="224" t="str">
        <f>IFERROR(__xludf.DUMMYFUNCTION("""COMPUTED_VALUE"""),"")</f>
        <v/>
      </c>
      <c r="AE270" s="224"/>
      <c r="AF270" s="224" t="str">
        <f>IFERROR(__xludf.DUMMYFUNCTION("""COMPUTED_VALUE"""),"")</f>
        <v/>
      </c>
      <c r="AG270" s="224" t="str">
        <f>IFERROR(__xludf.DUMMYFUNCTION("""COMPUTED_VALUE"""),"")</f>
        <v/>
      </c>
    </row>
    <row r="271">
      <c r="AD271" s="224" t="str">
        <f>IFERROR(__xludf.DUMMYFUNCTION("""COMPUTED_VALUE"""),"")</f>
        <v/>
      </c>
      <c r="AE271" s="224"/>
      <c r="AF271" s="224" t="str">
        <f>IFERROR(__xludf.DUMMYFUNCTION("""COMPUTED_VALUE"""),"")</f>
        <v/>
      </c>
      <c r="AG271" s="224" t="str">
        <f>IFERROR(__xludf.DUMMYFUNCTION("""COMPUTED_VALUE"""),"")</f>
        <v/>
      </c>
    </row>
    <row r="272">
      <c r="AD272" s="224" t="str">
        <f>IFERROR(__xludf.DUMMYFUNCTION("""COMPUTED_VALUE"""),"")</f>
        <v/>
      </c>
      <c r="AE272" s="224"/>
      <c r="AF272" s="224" t="str">
        <f>IFERROR(__xludf.DUMMYFUNCTION("""COMPUTED_VALUE"""),"")</f>
        <v/>
      </c>
      <c r="AG272" s="224" t="str">
        <f>IFERROR(__xludf.DUMMYFUNCTION("""COMPUTED_VALUE"""),"")</f>
        <v/>
      </c>
    </row>
    <row r="273">
      <c r="AD273" s="224" t="str">
        <f>IFERROR(__xludf.DUMMYFUNCTION("""COMPUTED_VALUE"""),"")</f>
        <v/>
      </c>
      <c r="AE273" s="224"/>
      <c r="AF273" s="224" t="str">
        <f>IFERROR(__xludf.DUMMYFUNCTION("""COMPUTED_VALUE"""),"")</f>
        <v/>
      </c>
      <c r="AG273" s="224" t="str">
        <f>IFERROR(__xludf.DUMMYFUNCTION("""COMPUTED_VALUE"""),"")</f>
        <v/>
      </c>
    </row>
    <row r="274">
      <c r="AD274" s="224" t="str">
        <f>IFERROR(__xludf.DUMMYFUNCTION("""COMPUTED_VALUE"""),"")</f>
        <v/>
      </c>
      <c r="AE274" s="224"/>
      <c r="AF274" s="224" t="str">
        <f>IFERROR(__xludf.DUMMYFUNCTION("""COMPUTED_VALUE"""),"")</f>
        <v/>
      </c>
      <c r="AG274" s="224" t="str">
        <f>IFERROR(__xludf.DUMMYFUNCTION("""COMPUTED_VALUE"""),"")</f>
        <v/>
      </c>
    </row>
    <row r="275">
      <c r="AD275" s="224" t="str">
        <f>IFERROR(__xludf.DUMMYFUNCTION("""COMPUTED_VALUE"""),"")</f>
        <v/>
      </c>
      <c r="AE275" s="224"/>
      <c r="AF275" s="224" t="str">
        <f>IFERROR(__xludf.DUMMYFUNCTION("""COMPUTED_VALUE"""),"")</f>
        <v/>
      </c>
      <c r="AG275" s="224" t="str">
        <f>IFERROR(__xludf.DUMMYFUNCTION("""COMPUTED_VALUE"""),"")</f>
        <v/>
      </c>
    </row>
    <row r="276">
      <c r="AD276" s="224" t="str">
        <f>IFERROR(__xludf.DUMMYFUNCTION("""COMPUTED_VALUE"""),"")</f>
        <v/>
      </c>
      <c r="AE276" s="224"/>
      <c r="AF276" s="224" t="str">
        <f>IFERROR(__xludf.DUMMYFUNCTION("""COMPUTED_VALUE"""),"")</f>
        <v/>
      </c>
      <c r="AG276" s="224" t="str">
        <f>IFERROR(__xludf.DUMMYFUNCTION("""COMPUTED_VALUE"""),"")</f>
        <v/>
      </c>
    </row>
    <row r="277">
      <c r="AD277" s="224" t="str">
        <f>IFERROR(__xludf.DUMMYFUNCTION("""COMPUTED_VALUE"""),"")</f>
        <v/>
      </c>
      <c r="AE277" s="224"/>
      <c r="AF277" s="224" t="str">
        <f>IFERROR(__xludf.DUMMYFUNCTION("""COMPUTED_VALUE"""),"")</f>
        <v/>
      </c>
      <c r="AG277" s="224" t="str">
        <f>IFERROR(__xludf.DUMMYFUNCTION("""COMPUTED_VALUE"""),"")</f>
        <v/>
      </c>
    </row>
    <row r="278">
      <c r="AD278" s="224" t="str">
        <f>IFERROR(__xludf.DUMMYFUNCTION("""COMPUTED_VALUE"""),"")</f>
        <v/>
      </c>
      <c r="AE278" s="224"/>
      <c r="AF278" s="224" t="str">
        <f>IFERROR(__xludf.DUMMYFUNCTION("""COMPUTED_VALUE"""),"")</f>
        <v/>
      </c>
      <c r="AG278" s="224" t="str">
        <f>IFERROR(__xludf.DUMMYFUNCTION("""COMPUTED_VALUE"""),"")</f>
        <v/>
      </c>
    </row>
    <row r="279">
      <c r="AD279" s="224" t="str">
        <f>IFERROR(__xludf.DUMMYFUNCTION("""COMPUTED_VALUE"""),"")</f>
        <v/>
      </c>
      <c r="AE279" s="224"/>
      <c r="AF279" s="224" t="str">
        <f>IFERROR(__xludf.DUMMYFUNCTION("""COMPUTED_VALUE"""),"")</f>
        <v/>
      </c>
      <c r="AG279" s="224" t="str">
        <f>IFERROR(__xludf.DUMMYFUNCTION("""COMPUTED_VALUE"""),"")</f>
        <v/>
      </c>
    </row>
    <row r="280">
      <c r="AD280" s="224" t="str">
        <f>IFERROR(__xludf.DUMMYFUNCTION("""COMPUTED_VALUE"""),"")</f>
        <v/>
      </c>
      <c r="AE280" s="224"/>
      <c r="AF280" s="224" t="str">
        <f>IFERROR(__xludf.DUMMYFUNCTION("""COMPUTED_VALUE"""),"")</f>
        <v/>
      </c>
      <c r="AG280" s="224" t="str">
        <f>IFERROR(__xludf.DUMMYFUNCTION("""COMPUTED_VALUE"""),"")</f>
        <v/>
      </c>
    </row>
    <row r="281">
      <c r="AD281" s="224" t="str">
        <f>IFERROR(__xludf.DUMMYFUNCTION("""COMPUTED_VALUE"""),"")</f>
        <v/>
      </c>
      <c r="AE281" s="224"/>
      <c r="AF281" s="224" t="str">
        <f>IFERROR(__xludf.DUMMYFUNCTION("""COMPUTED_VALUE"""),"")</f>
        <v/>
      </c>
      <c r="AG281" s="224" t="str">
        <f>IFERROR(__xludf.DUMMYFUNCTION("""COMPUTED_VALUE"""),"")</f>
        <v/>
      </c>
    </row>
    <row r="282">
      <c r="AD282" s="224" t="str">
        <f>IFERROR(__xludf.DUMMYFUNCTION("""COMPUTED_VALUE"""),"")</f>
        <v/>
      </c>
      <c r="AE282" s="224"/>
      <c r="AF282" s="224" t="str">
        <f>IFERROR(__xludf.DUMMYFUNCTION("""COMPUTED_VALUE"""),"")</f>
        <v/>
      </c>
      <c r="AG282" s="224" t="str">
        <f>IFERROR(__xludf.DUMMYFUNCTION("""COMPUTED_VALUE"""),"")</f>
        <v/>
      </c>
    </row>
    <row r="283">
      <c r="AD283" s="224" t="str">
        <f>IFERROR(__xludf.DUMMYFUNCTION("""COMPUTED_VALUE"""),"")</f>
        <v/>
      </c>
      <c r="AE283" s="224"/>
      <c r="AF283" s="224" t="str">
        <f>IFERROR(__xludf.DUMMYFUNCTION("""COMPUTED_VALUE"""),"")</f>
        <v/>
      </c>
      <c r="AG283" s="224" t="str">
        <f>IFERROR(__xludf.DUMMYFUNCTION("""COMPUTED_VALUE"""),"")</f>
        <v/>
      </c>
    </row>
    <row r="284">
      <c r="AD284" s="224" t="str">
        <f>IFERROR(__xludf.DUMMYFUNCTION("""COMPUTED_VALUE"""),"")</f>
        <v/>
      </c>
      <c r="AE284" s="224"/>
      <c r="AF284" s="224" t="str">
        <f>IFERROR(__xludf.DUMMYFUNCTION("""COMPUTED_VALUE"""),"")</f>
        <v/>
      </c>
      <c r="AG284" s="224" t="str">
        <f>IFERROR(__xludf.DUMMYFUNCTION("""COMPUTED_VALUE"""),"")</f>
        <v/>
      </c>
    </row>
    <row r="285">
      <c r="AD285" s="224" t="str">
        <f>IFERROR(__xludf.DUMMYFUNCTION("""COMPUTED_VALUE"""),"")</f>
        <v/>
      </c>
      <c r="AE285" s="224"/>
      <c r="AF285" s="224" t="str">
        <f>IFERROR(__xludf.DUMMYFUNCTION("""COMPUTED_VALUE"""),"")</f>
        <v/>
      </c>
      <c r="AG285" s="224" t="str">
        <f>IFERROR(__xludf.DUMMYFUNCTION("""COMPUTED_VALUE"""),"")</f>
        <v/>
      </c>
    </row>
    <row r="286">
      <c r="AD286" s="224" t="str">
        <f>IFERROR(__xludf.DUMMYFUNCTION("""COMPUTED_VALUE"""),"")</f>
        <v/>
      </c>
      <c r="AE286" s="224"/>
      <c r="AF286" s="224" t="str">
        <f>IFERROR(__xludf.DUMMYFUNCTION("""COMPUTED_VALUE"""),"")</f>
        <v/>
      </c>
      <c r="AG286" s="224" t="str">
        <f>IFERROR(__xludf.DUMMYFUNCTION("""COMPUTED_VALUE"""),"")</f>
        <v/>
      </c>
    </row>
    <row r="287">
      <c r="AD287" s="224" t="str">
        <f>IFERROR(__xludf.DUMMYFUNCTION("""COMPUTED_VALUE"""),"")</f>
        <v/>
      </c>
      <c r="AE287" s="224"/>
      <c r="AF287" s="224" t="str">
        <f>IFERROR(__xludf.DUMMYFUNCTION("""COMPUTED_VALUE"""),"")</f>
        <v/>
      </c>
      <c r="AG287" s="224" t="str">
        <f>IFERROR(__xludf.DUMMYFUNCTION("""COMPUTED_VALUE"""),"")</f>
        <v/>
      </c>
    </row>
    <row r="288">
      <c r="AD288" s="224" t="str">
        <f>IFERROR(__xludf.DUMMYFUNCTION("""COMPUTED_VALUE"""),"")</f>
        <v/>
      </c>
      <c r="AE288" s="224"/>
      <c r="AF288" s="224" t="str">
        <f>IFERROR(__xludf.DUMMYFUNCTION("""COMPUTED_VALUE"""),"")</f>
        <v/>
      </c>
      <c r="AG288" s="224" t="str">
        <f>IFERROR(__xludf.DUMMYFUNCTION("""COMPUTED_VALUE"""),"")</f>
        <v/>
      </c>
    </row>
    <row r="289">
      <c r="AD289" s="224" t="str">
        <f>IFERROR(__xludf.DUMMYFUNCTION("""COMPUTED_VALUE"""),"")</f>
        <v/>
      </c>
      <c r="AE289" s="224"/>
      <c r="AF289" s="224" t="str">
        <f>IFERROR(__xludf.DUMMYFUNCTION("""COMPUTED_VALUE"""),"")</f>
        <v/>
      </c>
      <c r="AG289" s="224" t="str">
        <f>IFERROR(__xludf.DUMMYFUNCTION("""COMPUTED_VALUE"""),"")</f>
        <v/>
      </c>
    </row>
    <row r="290">
      <c r="AD290" s="224" t="str">
        <f>IFERROR(__xludf.DUMMYFUNCTION("""COMPUTED_VALUE"""),"")</f>
        <v/>
      </c>
      <c r="AE290" s="224"/>
      <c r="AF290" s="224" t="str">
        <f>IFERROR(__xludf.DUMMYFUNCTION("""COMPUTED_VALUE"""),"")</f>
        <v/>
      </c>
      <c r="AG290" s="224" t="str">
        <f>IFERROR(__xludf.DUMMYFUNCTION("""COMPUTED_VALUE"""),"")</f>
        <v/>
      </c>
    </row>
    <row r="291">
      <c r="AD291" s="224" t="str">
        <f>IFERROR(__xludf.DUMMYFUNCTION("""COMPUTED_VALUE"""),"")</f>
        <v/>
      </c>
      <c r="AE291" s="224"/>
      <c r="AF291" s="224" t="str">
        <f>IFERROR(__xludf.DUMMYFUNCTION("""COMPUTED_VALUE"""),"")</f>
        <v/>
      </c>
      <c r="AG291" s="224" t="str">
        <f>IFERROR(__xludf.DUMMYFUNCTION("""COMPUTED_VALUE"""),"")</f>
        <v/>
      </c>
    </row>
    <row r="292">
      <c r="AD292" s="224" t="str">
        <f>IFERROR(__xludf.DUMMYFUNCTION("""COMPUTED_VALUE"""),"")</f>
        <v/>
      </c>
      <c r="AE292" s="224"/>
      <c r="AF292" s="224" t="str">
        <f>IFERROR(__xludf.DUMMYFUNCTION("""COMPUTED_VALUE"""),"")</f>
        <v/>
      </c>
      <c r="AG292" s="224" t="str">
        <f>IFERROR(__xludf.DUMMYFUNCTION("""COMPUTED_VALUE"""),"")</f>
        <v/>
      </c>
    </row>
    <row r="293">
      <c r="AD293" s="224" t="str">
        <f>IFERROR(__xludf.DUMMYFUNCTION("""COMPUTED_VALUE"""),"")</f>
        <v/>
      </c>
      <c r="AE293" s="224"/>
      <c r="AF293" s="224" t="str">
        <f>IFERROR(__xludf.DUMMYFUNCTION("""COMPUTED_VALUE"""),"")</f>
        <v/>
      </c>
      <c r="AG293" s="224" t="str">
        <f>IFERROR(__xludf.DUMMYFUNCTION("""COMPUTED_VALUE"""),"")</f>
        <v/>
      </c>
    </row>
    <row r="294">
      <c r="AD294" s="224" t="str">
        <f>IFERROR(__xludf.DUMMYFUNCTION("""COMPUTED_VALUE"""),"")</f>
        <v/>
      </c>
      <c r="AE294" s="224"/>
      <c r="AF294" s="224" t="str">
        <f>IFERROR(__xludf.DUMMYFUNCTION("""COMPUTED_VALUE"""),"")</f>
        <v/>
      </c>
      <c r="AG294" s="224" t="str">
        <f>IFERROR(__xludf.DUMMYFUNCTION("""COMPUTED_VALUE"""),"")</f>
        <v/>
      </c>
    </row>
    <row r="295">
      <c r="AD295" s="224" t="str">
        <f>IFERROR(__xludf.DUMMYFUNCTION("""COMPUTED_VALUE"""),"")</f>
        <v/>
      </c>
      <c r="AE295" s="224"/>
      <c r="AF295" s="224" t="str">
        <f>IFERROR(__xludf.DUMMYFUNCTION("""COMPUTED_VALUE"""),"")</f>
        <v/>
      </c>
      <c r="AG295" s="224" t="str">
        <f>IFERROR(__xludf.DUMMYFUNCTION("""COMPUTED_VALUE"""),"")</f>
        <v/>
      </c>
    </row>
    <row r="296">
      <c r="AD296" s="224" t="str">
        <f>IFERROR(__xludf.DUMMYFUNCTION("""COMPUTED_VALUE"""),"")</f>
        <v/>
      </c>
      <c r="AE296" s="224"/>
      <c r="AF296" s="224" t="str">
        <f>IFERROR(__xludf.DUMMYFUNCTION("""COMPUTED_VALUE"""),"")</f>
        <v/>
      </c>
      <c r="AG296" s="224" t="str">
        <f>IFERROR(__xludf.DUMMYFUNCTION("""COMPUTED_VALUE"""),"")</f>
        <v/>
      </c>
    </row>
    <row r="297">
      <c r="AD297" s="224" t="str">
        <f>IFERROR(__xludf.DUMMYFUNCTION("""COMPUTED_VALUE"""),"")</f>
        <v/>
      </c>
      <c r="AE297" s="224"/>
      <c r="AF297" s="224" t="str">
        <f>IFERROR(__xludf.DUMMYFUNCTION("""COMPUTED_VALUE"""),"")</f>
        <v/>
      </c>
      <c r="AG297" s="224" t="str">
        <f>IFERROR(__xludf.DUMMYFUNCTION("""COMPUTED_VALUE"""),"")</f>
        <v/>
      </c>
    </row>
    <row r="298">
      <c r="AD298" s="224" t="str">
        <f>IFERROR(__xludf.DUMMYFUNCTION("""COMPUTED_VALUE"""),"")</f>
        <v/>
      </c>
      <c r="AE298" s="224"/>
      <c r="AF298" s="224" t="str">
        <f>IFERROR(__xludf.DUMMYFUNCTION("""COMPUTED_VALUE"""),"")</f>
        <v/>
      </c>
      <c r="AG298" s="224" t="str">
        <f>IFERROR(__xludf.DUMMYFUNCTION("""COMPUTED_VALUE"""),"")</f>
        <v/>
      </c>
    </row>
    <row r="299">
      <c r="AD299" s="224" t="str">
        <f>IFERROR(__xludf.DUMMYFUNCTION("""COMPUTED_VALUE"""),"")</f>
        <v/>
      </c>
      <c r="AE299" s="224"/>
      <c r="AF299" s="224" t="str">
        <f>IFERROR(__xludf.DUMMYFUNCTION("""COMPUTED_VALUE"""),"")</f>
        <v/>
      </c>
      <c r="AG299" s="224" t="str">
        <f>IFERROR(__xludf.DUMMYFUNCTION("""COMPUTED_VALUE"""),"")</f>
        <v/>
      </c>
    </row>
    <row r="300">
      <c r="AD300" s="224" t="str">
        <f>IFERROR(__xludf.DUMMYFUNCTION("""COMPUTED_VALUE"""),"")</f>
        <v/>
      </c>
      <c r="AE300" s="224"/>
      <c r="AF300" s="224" t="str">
        <f>IFERROR(__xludf.DUMMYFUNCTION("""COMPUTED_VALUE"""),"")</f>
        <v/>
      </c>
      <c r="AG300" s="224" t="str">
        <f>IFERROR(__xludf.DUMMYFUNCTION("""COMPUTED_VALUE"""),"")</f>
        <v/>
      </c>
    </row>
    <row r="301">
      <c r="AD301" s="224" t="str">
        <f>IFERROR(__xludf.DUMMYFUNCTION("""COMPUTED_VALUE"""),"")</f>
        <v/>
      </c>
      <c r="AE301" s="224"/>
      <c r="AF301" s="224" t="str">
        <f>IFERROR(__xludf.DUMMYFUNCTION("""COMPUTED_VALUE"""),"")</f>
        <v/>
      </c>
      <c r="AG301" s="224" t="str">
        <f>IFERROR(__xludf.DUMMYFUNCTION("""COMPUTED_VALUE"""),"")</f>
        <v/>
      </c>
    </row>
    <row r="302">
      <c r="AD302" s="224" t="str">
        <f>IFERROR(__xludf.DUMMYFUNCTION("""COMPUTED_VALUE"""),"")</f>
        <v/>
      </c>
      <c r="AE302" s="224"/>
      <c r="AF302" s="224" t="str">
        <f>IFERROR(__xludf.DUMMYFUNCTION("""COMPUTED_VALUE"""),"")</f>
        <v/>
      </c>
      <c r="AG302" s="224" t="str">
        <f>IFERROR(__xludf.DUMMYFUNCTION("""COMPUTED_VALUE"""),"")</f>
        <v/>
      </c>
    </row>
    <row r="303">
      <c r="AD303" s="224" t="str">
        <f>IFERROR(__xludf.DUMMYFUNCTION("""COMPUTED_VALUE"""),"")</f>
        <v/>
      </c>
      <c r="AE303" s="224"/>
      <c r="AF303" s="224" t="str">
        <f>IFERROR(__xludf.DUMMYFUNCTION("""COMPUTED_VALUE"""),"")</f>
        <v/>
      </c>
      <c r="AG303" s="224" t="str">
        <f>IFERROR(__xludf.DUMMYFUNCTION("""COMPUTED_VALUE"""),"")</f>
        <v/>
      </c>
    </row>
    <row r="304">
      <c r="AD304" s="224" t="str">
        <f>IFERROR(__xludf.DUMMYFUNCTION("""COMPUTED_VALUE"""),"")</f>
        <v/>
      </c>
      <c r="AE304" s="224"/>
      <c r="AF304" s="224" t="str">
        <f>IFERROR(__xludf.DUMMYFUNCTION("""COMPUTED_VALUE"""),"")</f>
        <v/>
      </c>
      <c r="AG304" s="224" t="str">
        <f>IFERROR(__xludf.DUMMYFUNCTION("""COMPUTED_VALUE"""),"")</f>
        <v/>
      </c>
    </row>
    <row r="305">
      <c r="AD305" s="224" t="str">
        <f>IFERROR(__xludf.DUMMYFUNCTION("""COMPUTED_VALUE"""),"")</f>
        <v/>
      </c>
      <c r="AE305" s="224"/>
      <c r="AF305" s="224" t="str">
        <f>IFERROR(__xludf.DUMMYFUNCTION("""COMPUTED_VALUE"""),"")</f>
        <v/>
      </c>
      <c r="AG305" s="224" t="str">
        <f>IFERROR(__xludf.DUMMYFUNCTION("""COMPUTED_VALUE"""),"")</f>
        <v/>
      </c>
    </row>
    <row r="306">
      <c r="AD306" s="224" t="str">
        <f>IFERROR(__xludf.DUMMYFUNCTION("""COMPUTED_VALUE"""),"")</f>
        <v/>
      </c>
      <c r="AE306" s="224"/>
      <c r="AF306" s="224" t="str">
        <f>IFERROR(__xludf.DUMMYFUNCTION("""COMPUTED_VALUE"""),"")</f>
        <v/>
      </c>
      <c r="AG306" s="224" t="str">
        <f>IFERROR(__xludf.DUMMYFUNCTION("""COMPUTED_VALUE"""),"")</f>
        <v/>
      </c>
    </row>
    <row r="307">
      <c r="AD307" s="224" t="str">
        <f>IFERROR(__xludf.DUMMYFUNCTION("""COMPUTED_VALUE"""),"")</f>
        <v/>
      </c>
      <c r="AE307" s="224"/>
      <c r="AF307" s="224" t="str">
        <f>IFERROR(__xludf.DUMMYFUNCTION("""COMPUTED_VALUE"""),"")</f>
        <v/>
      </c>
      <c r="AG307" s="224" t="str">
        <f>IFERROR(__xludf.DUMMYFUNCTION("""COMPUTED_VALUE"""),"")</f>
        <v/>
      </c>
    </row>
    <row r="308">
      <c r="AD308" s="224" t="str">
        <f>IFERROR(__xludf.DUMMYFUNCTION("""COMPUTED_VALUE"""),"")</f>
        <v/>
      </c>
      <c r="AE308" s="224"/>
      <c r="AF308" s="224" t="str">
        <f>IFERROR(__xludf.DUMMYFUNCTION("""COMPUTED_VALUE"""),"")</f>
        <v/>
      </c>
      <c r="AG308" s="224" t="str">
        <f>IFERROR(__xludf.DUMMYFUNCTION("""COMPUTED_VALUE"""),"")</f>
        <v/>
      </c>
    </row>
    <row r="309">
      <c r="AD309" s="224" t="str">
        <f>IFERROR(__xludf.DUMMYFUNCTION("""COMPUTED_VALUE"""),"")</f>
        <v/>
      </c>
      <c r="AE309" s="224"/>
      <c r="AF309" s="224" t="str">
        <f>IFERROR(__xludf.DUMMYFUNCTION("""COMPUTED_VALUE"""),"")</f>
        <v/>
      </c>
      <c r="AG309" s="224" t="str">
        <f>IFERROR(__xludf.DUMMYFUNCTION("""COMPUTED_VALUE"""),"")</f>
        <v/>
      </c>
    </row>
    <row r="310">
      <c r="AD310" s="224" t="str">
        <f>IFERROR(__xludf.DUMMYFUNCTION("""COMPUTED_VALUE"""),"")</f>
        <v/>
      </c>
      <c r="AE310" s="224"/>
      <c r="AF310" s="224" t="str">
        <f>IFERROR(__xludf.DUMMYFUNCTION("""COMPUTED_VALUE"""),"")</f>
        <v/>
      </c>
      <c r="AG310" s="224" t="str">
        <f>IFERROR(__xludf.DUMMYFUNCTION("""COMPUTED_VALUE"""),"")</f>
        <v/>
      </c>
    </row>
    <row r="311">
      <c r="AD311" s="224" t="str">
        <f>IFERROR(__xludf.DUMMYFUNCTION("""COMPUTED_VALUE"""),"")</f>
        <v/>
      </c>
      <c r="AE311" s="224"/>
      <c r="AF311" s="224" t="str">
        <f>IFERROR(__xludf.DUMMYFUNCTION("""COMPUTED_VALUE"""),"")</f>
        <v/>
      </c>
      <c r="AG311" s="224" t="str">
        <f>IFERROR(__xludf.DUMMYFUNCTION("""COMPUTED_VALUE"""),"")</f>
        <v/>
      </c>
    </row>
    <row r="312">
      <c r="AD312" s="224" t="str">
        <f>IFERROR(__xludf.DUMMYFUNCTION("""COMPUTED_VALUE"""),"")</f>
        <v/>
      </c>
      <c r="AE312" s="224"/>
      <c r="AF312" s="224" t="str">
        <f>IFERROR(__xludf.DUMMYFUNCTION("""COMPUTED_VALUE"""),"")</f>
        <v/>
      </c>
      <c r="AG312" s="224" t="str">
        <f>IFERROR(__xludf.DUMMYFUNCTION("""COMPUTED_VALUE"""),"")</f>
        <v/>
      </c>
    </row>
    <row r="313">
      <c r="AD313" s="224" t="str">
        <f>IFERROR(__xludf.DUMMYFUNCTION("""COMPUTED_VALUE"""),"")</f>
        <v/>
      </c>
      <c r="AE313" s="224"/>
      <c r="AF313" s="224" t="str">
        <f>IFERROR(__xludf.DUMMYFUNCTION("""COMPUTED_VALUE"""),"")</f>
        <v/>
      </c>
      <c r="AG313" s="224" t="str">
        <f>IFERROR(__xludf.DUMMYFUNCTION("""COMPUTED_VALUE"""),"")</f>
        <v/>
      </c>
    </row>
    <row r="314">
      <c r="AD314" s="224" t="str">
        <f>IFERROR(__xludf.DUMMYFUNCTION("""COMPUTED_VALUE"""),"")</f>
        <v/>
      </c>
      <c r="AE314" s="224"/>
      <c r="AF314" s="224" t="str">
        <f>IFERROR(__xludf.DUMMYFUNCTION("""COMPUTED_VALUE"""),"")</f>
        <v/>
      </c>
      <c r="AG314" s="224" t="str">
        <f>IFERROR(__xludf.DUMMYFUNCTION("""COMPUTED_VALUE"""),"")</f>
        <v/>
      </c>
    </row>
    <row r="315">
      <c r="AD315" s="224" t="str">
        <f>IFERROR(__xludf.DUMMYFUNCTION("""COMPUTED_VALUE"""),"")</f>
        <v/>
      </c>
      <c r="AE315" s="224"/>
      <c r="AF315" s="224" t="str">
        <f>IFERROR(__xludf.DUMMYFUNCTION("""COMPUTED_VALUE"""),"")</f>
        <v/>
      </c>
      <c r="AG315" s="224" t="str">
        <f>IFERROR(__xludf.DUMMYFUNCTION("""COMPUTED_VALUE"""),"")</f>
        <v/>
      </c>
    </row>
    <row r="316">
      <c r="AD316" s="224" t="str">
        <f>IFERROR(__xludf.DUMMYFUNCTION("""COMPUTED_VALUE"""),"")</f>
        <v/>
      </c>
      <c r="AE316" s="224"/>
      <c r="AF316" s="224" t="str">
        <f>IFERROR(__xludf.DUMMYFUNCTION("""COMPUTED_VALUE"""),"")</f>
        <v/>
      </c>
      <c r="AG316" s="224" t="str">
        <f>IFERROR(__xludf.DUMMYFUNCTION("""COMPUTED_VALUE"""),"")</f>
        <v/>
      </c>
    </row>
    <row r="317">
      <c r="AD317" s="224" t="str">
        <f>IFERROR(__xludf.DUMMYFUNCTION("""COMPUTED_VALUE"""),"")</f>
        <v/>
      </c>
      <c r="AE317" s="224"/>
      <c r="AF317" s="224" t="str">
        <f>IFERROR(__xludf.DUMMYFUNCTION("""COMPUTED_VALUE"""),"")</f>
        <v/>
      </c>
      <c r="AG317" s="224" t="str">
        <f>IFERROR(__xludf.DUMMYFUNCTION("""COMPUTED_VALUE"""),"")</f>
        <v/>
      </c>
    </row>
    <row r="318">
      <c r="AD318" s="224" t="str">
        <f>IFERROR(__xludf.DUMMYFUNCTION("""COMPUTED_VALUE"""),"")</f>
        <v/>
      </c>
      <c r="AE318" s="224"/>
      <c r="AF318" s="224" t="str">
        <f>IFERROR(__xludf.DUMMYFUNCTION("""COMPUTED_VALUE"""),"")</f>
        <v/>
      </c>
      <c r="AG318" s="224" t="str">
        <f>IFERROR(__xludf.DUMMYFUNCTION("""COMPUTED_VALUE"""),"")</f>
        <v/>
      </c>
    </row>
    <row r="319">
      <c r="AD319" s="224" t="str">
        <f>IFERROR(__xludf.DUMMYFUNCTION("""COMPUTED_VALUE"""),"")</f>
        <v/>
      </c>
      <c r="AE319" s="224"/>
      <c r="AF319" s="224" t="str">
        <f>IFERROR(__xludf.DUMMYFUNCTION("""COMPUTED_VALUE"""),"")</f>
        <v/>
      </c>
      <c r="AG319" s="224" t="str">
        <f>IFERROR(__xludf.DUMMYFUNCTION("""COMPUTED_VALUE"""),"")</f>
        <v/>
      </c>
    </row>
    <row r="320">
      <c r="AD320" s="224" t="str">
        <f>IFERROR(__xludf.DUMMYFUNCTION("""COMPUTED_VALUE"""),"")</f>
        <v/>
      </c>
      <c r="AE320" s="224"/>
      <c r="AF320" s="224" t="str">
        <f>IFERROR(__xludf.DUMMYFUNCTION("""COMPUTED_VALUE"""),"")</f>
        <v/>
      </c>
      <c r="AG320" s="224" t="str">
        <f>IFERROR(__xludf.DUMMYFUNCTION("""COMPUTED_VALUE"""),"")</f>
        <v/>
      </c>
    </row>
    <row r="321">
      <c r="AD321" s="224" t="str">
        <f>IFERROR(__xludf.DUMMYFUNCTION("""COMPUTED_VALUE"""),"")</f>
        <v/>
      </c>
      <c r="AE321" s="224"/>
      <c r="AF321" s="224" t="str">
        <f>IFERROR(__xludf.DUMMYFUNCTION("""COMPUTED_VALUE"""),"")</f>
        <v/>
      </c>
      <c r="AG321" s="224" t="str">
        <f>IFERROR(__xludf.DUMMYFUNCTION("""COMPUTED_VALUE"""),"")</f>
        <v/>
      </c>
    </row>
    <row r="322">
      <c r="AD322" s="224" t="str">
        <f>IFERROR(__xludf.DUMMYFUNCTION("""COMPUTED_VALUE"""),"")</f>
        <v/>
      </c>
      <c r="AE322" s="224"/>
      <c r="AF322" s="224" t="str">
        <f>IFERROR(__xludf.DUMMYFUNCTION("""COMPUTED_VALUE"""),"")</f>
        <v/>
      </c>
      <c r="AG322" s="224" t="str">
        <f>IFERROR(__xludf.DUMMYFUNCTION("""COMPUTED_VALUE"""),"")</f>
        <v/>
      </c>
    </row>
    <row r="323">
      <c r="AD323" s="224" t="str">
        <f>IFERROR(__xludf.DUMMYFUNCTION("""COMPUTED_VALUE"""),"")</f>
        <v/>
      </c>
      <c r="AE323" s="224"/>
      <c r="AF323" s="224" t="str">
        <f>IFERROR(__xludf.DUMMYFUNCTION("""COMPUTED_VALUE"""),"")</f>
        <v/>
      </c>
      <c r="AG323" s="224" t="str">
        <f>IFERROR(__xludf.DUMMYFUNCTION("""COMPUTED_VALUE"""),"")</f>
        <v/>
      </c>
    </row>
    <row r="324">
      <c r="AD324" s="224" t="str">
        <f>IFERROR(__xludf.DUMMYFUNCTION("""COMPUTED_VALUE"""),"")</f>
        <v/>
      </c>
      <c r="AE324" s="224"/>
      <c r="AF324" s="224" t="str">
        <f>IFERROR(__xludf.DUMMYFUNCTION("""COMPUTED_VALUE"""),"")</f>
        <v/>
      </c>
      <c r="AG324" s="224" t="str">
        <f>IFERROR(__xludf.DUMMYFUNCTION("""COMPUTED_VALUE"""),"")</f>
        <v/>
      </c>
    </row>
    <row r="325">
      <c r="AD325" s="224" t="str">
        <f>IFERROR(__xludf.DUMMYFUNCTION("""COMPUTED_VALUE"""),"")</f>
        <v/>
      </c>
      <c r="AE325" s="224"/>
      <c r="AF325" s="224" t="str">
        <f>IFERROR(__xludf.DUMMYFUNCTION("""COMPUTED_VALUE"""),"")</f>
        <v/>
      </c>
      <c r="AG325" s="224" t="str">
        <f>IFERROR(__xludf.DUMMYFUNCTION("""COMPUTED_VALUE"""),"")</f>
        <v/>
      </c>
    </row>
    <row r="326">
      <c r="AD326" s="224" t="str">
        <f>IFERROR(__xludf.DUMMYFUNCTION("""COMPUTED_VALUE"""),"")</f>
        <v/>
      </c>
      <c r="AE326" s="224"/>
      <c r="AF326" s="224" t="str">
        <f>IFERROR(__xludf.DUMMYFUNCTION("""COMPUTED_VALUE"""),"")</f>
        <v/>
      </c>
      <c r="AG326" s="224" t="str">
        <f>IFERROR(__xludf.DUMMYFUNCTION("""COMPUTED_VALUE"""),"")</f>
        <v/>
      </c>
    </row>
    <row r="327">
      <c r="AD327" s="224" t="str">
        <f>IFERROR(__xludf.DUMMYFUNCTION("""COMPUTED_VALUE"""),"")</f>
        <v/>
      </c>
      <c r="AE327" s="224"/>
      <c r="AF327" s="224" t="str">
        <f>IFERROR(__xludf.DUMMYFUNCTION("""COMPUTED_VALUE"""),"")</f>
        <v/>
      </c>
      <c r="AG327" s="224" t="str">
        <f>IFERROR(__xludf.DUMMYFUNCTION("""COMPUTED_VALUE"""),"")</f>
        <v/>
      </c>
    </row>
    <row r="328">
      <c r="AD328" s="224" t="str">
        <f>IFERROR(__xludf.DUMMYFUNCTION("""COMPUTED_VALUE"""),"")</f>
        <v/>
      </c>
      <c r="AE328" s="224"/>
      <c r="AF328" s="224" t="str">
        <f>IFERROR(__xludf.DUMMYFUNCTION("""COMPUTED_VALUE"""),"")</f>
        <v/>
      </c>
      <c r="AG328" s="224" t="str">
        <f>IFERROR(__xludf.DUMMYFUNCTION("""COMPUTED_VALUE"""),"")</f>
        <v/>
      </c>
    </row>
    <row r="329">
      <c r="AD329" s="224" t="str">
        <f>IFERROR(__xludf.DUMMYFUNCTION("""COMPUTED_VALUE"""),"")</f>
        <v/>
      </c>
      <c r="AE329" s="224"/>
      <c r="AF329" s="224" t="str">
        <f>IFERROR(__xludf.DUMMYFUNCTION("""COMPUTED_VALUE"""),"")</f>
        <v/>
      </c>
      <c r="AG329" s="224" t="str">
        <f>IFERROR(__xludf.DUMMYFUNCTION("""COMPUTED_VALUE"""),"")</f>
        <v/>
      </c>
    </row>
    <row r="330">
      <c r="AD330" s="224" t="str">
        <f>IFERROR(__xludf.DUMMYFUNCTION("""COMPUTED_VALUE"""),"")</f>
        <v/>
      </c>
      <c r="AE330" s="224"/>
      <c r="AF330" s="224" t="str">
        <f>IFERROR(__xludf.DUMMYFUNCTION("""COMPUTED_VALUE"""),"")</f>
        <v/>
      </c>
      <c r="AG330" s="224" t="str">
        <f>IFERROR(__xludf.DUMMYFUNCTION("""COMPUTED_VALUE"""),"")</f>
        <v/>
      </c>
    </row>
    <row r="331">
      <c r="AD331" s="224" t="str">
        <f>IFERROR(__xludf.DUMMYFUNCTION("""COMPUTED_VALUE"""),"")</f>
        <v/>
      </c>
      <c r="AE331" s="224"/>
      <c r="AF331" s="224" t="str">
        <f>IFERROR(__xludf.DUMMYFUNCTION("""COMPUTED_VALUE"""),"")</f>
        <v/>
      </c>
      <c r="AG331" s="224" t="str">
        <f>IFERROR(__xludf.DUMMYFUNCTION("""COMPUTED_VALUE"""),"")</f>
        <v/>
      </c>
    </row>
    <row r="332">
      <c r="AD332" s="224" t="str">
        <f>IFERROR(__xludf.DUMMYFUNCTION("""COMPUTED_VALUE"""),"")</f>
        <v/>
      </c>
      <c r="AE332" s="224"/>
      <c r="AF332" s="224" t="str">
        <f>IFERROR(__xludf.DUMMYFUNCTION("""COMPUTED_VALUE"""),"")</f>
        <v/>
      </c>
      <c r="AG332" s="224" t="str">
        <f>IFERROR(__xludf.DUMMYFUNCTION("""COMPUTED_VALUE"""),"")</f>
        <v/>
      </c>
    </row>
    <row r="333">
      <c r="AD333" s="224" t="str">
        <f>IFERROR(__xludf.DUMMYFUNCTION("""COMPUTED_VALUE"""),"")</f>
        <v/>
      </c>
      <c r="AE333" s="224"/>
      <c r="AF333" s="224" t="str">
        <f>IFERROR(__xludf.DUMMYFUNCTION("""COMPUTED_VALUE"""),"")</f>
        <v/>
      </c>
      <c r="AG333" s="224" t="str">
        <f>IFERROR(__xludf.DUMMYFUNCTION("""COMPUTED_VALUE"""),"")</f>
        <v/>
      </c>
    </row>
    <row r="334">
      <c r="AD334" s="224" t="str">
        <f>IFERROR(__xludf.DUMMYFUNCTION("""COMPUTED_VALUE"""),"")</f>
        <v/>
      </c>
      <c r="AE334" s="224"/>
      <c r="AF334" s="224" t="str">
        <f>IFERROR(__xludf.DUMMYFUNCTION("""COMPUTED_VALUE"""),"")</f>
        <v/>
      </c>
      <c r="AG334" s="224" t="str">
        <f>IFERROR(__xludf.DUMMYFUNCTION("""COMPUTED_VALUE"""),"")</f>
        <v/>
      </c>
    </row>
    <row r="335">
      <c r="AD335" s="224" t="str">
        <f>IFERROR(__xludf.DUMMYFUNCTION("""COMPUTED_VALUE"""),"")</f>
        <v/>
      </c>
      <c r="AE335" s="224"/>
      <c r="AF335" s="224" t="str">
        <f>IFERROR(__xludf.DUMMYFUNCTION("""COMPUTED_VALUE"""),"")</f>
        <v/>
      </c>
      <c r="AG335" s="224" t="str">
        <f>IFERROR(__xludf.DUMMYFUNCTION("""COMPUTED_VALUE"""),"")</f>
        <v/>
      </c>
    </row>
    <row r="336">
      <c r="AD336" s="224" t="str">
        <f>IFERROR(__xludf.DUMMYFUNCTION("""COMPUTED_VALUE"""),"")</f>
        <v/>
      </c>
      <c r="AE336" s="224"/>
      <c r="AF336" s="224" t="str">
        <f>IFERROR(__xludf.DUMMYFUNCTION("""COMPUTED_VALUE"""),"")</f>
        <v/>
      </c>
      <c r="AG336" s="224" t="str">
        <f>IFERROR(__xludf.DUMMYFUNCTION("""COMPUTED_VALUE"""),"")</f>
        <v/>
      </c>
    </row>
    <row r="337">
      <c r="AD337" s="224" t="str">
        <f>IFERROR(__xludf.DUMMYFUNCTION("""COMPUTED_VALUE"""),"")</f>
        <v/>
      </c>
      <c r="AE337" s="224"/>
      <c r="AF337" s="224" t="str">
        <f>IFERROR(__xludf.DUMMYFUNCTION("""COMPUTED_VALUE"""),"")</f>
        <v/>
      </c>
      <c r="AG337" s="224" t="str">
        <f>IFERROR(__xludf.DUMMYFUNCTION("""COMPUTED_VALUE"""),"")</f>
        <v/>
      </c>
    </row>
    <row r="338">
      <c r="AD338" s="224" t="str">
        <f>IFERROR(__xludf.DUMMYFUNCTION("""COMPUTED_VALUE"""),"")</f>
        <v/>
      </c>
      <c r="AE338" s="224"/>
      <c r="AF338" s="224" t="str">
        <f>IFERROR(__xludf.DUMMYFUNCTION("""COMPUTED_VALUE"""),"")</f>
        <v/>
      </c>
      <c r="AG338" s="224" t="str">
        <f>IFERROR(__xludf.DUMMYFUNCTION("""COMPUTED_VALUE"""),"")</f>
        <v/>
      </c>
    </row>
    <row r="339">
      <c r="AD339" s="224" t="str">
        <f>IFERROR(__xludf.DUMMYFUNCTION("""COMPUTED_VALUE"""),"")</f>
        <v/>
      </c>
      <c r="AE339" s="224"/>
      <c r="AF339" s="224" t="str">
        <f>IFERROR(__xludf.DUMMYFUNCTION("""COMPUTED_VALUE"""),"")</f>
        <v/>
      </c>
      <c r="AG339" s="224" t="str">
        <f>IFERROR(__xludf.DUMMYFUNCTION("""COMPUTED_VALUE"""),"")</f>
        <v/>
      </c>
    </row>
    <row r="340">
      <c r="AD340" s="224" t="str">
        <f>IFERROR(__xludf.DUMMYFUNCTION("""COMPUTED_VALUE"""),"")</f>
        <v/>
      </c>
      <c r="AE340" s="224"/>
      <c r="AF340" s="224" t="str">
        <f>IFERROR(__xludf.DUMMYFUNCTION("""COMPUTED_VALUE"""),"")</f>
        <v/>
      </c>
      <c r="AG340" s="224" t="str">
        <f>IFERROR(__xludf.DUMMYFUNCTION("""COMPUTED_VALUE"""),"")</f>
        <v/>
      </c>
    </row>
    <row r="341">
      <c r="AD341" s="224" t="str">
        <f>IFERROR(__xludf.DUMMYFUNCTION("""COMPUTED_VALUE"""),"")</f>
        <v/>
      </c>
      <c r="AE341" s="224"/>
      <c r="AF341" s="224" t="str">
        <f>IFERROR(__xludf.DUMMYFUNCTION("""COMPUTED_VALUE"""),"")</f>
        <v/>
      </c>
      <c r="AG341" s="224" t="str">
        <f>IFERROR(__xludf.DUMMYFUNCTION("""COMPUTED_VALUE"""),"")</f>
        <v/>
      </c>
    </row>
    <row r="342">
      <c r="AD342" s="224" t="str">
        <f>IFERROR(__xludf.DUMMYFUNCTION("""COMPUTED_VALUE"""),"")</f>
        <v/>
      </c>
      <c r="AE342" s="224"/>
      <c r="AF342" s="224" t="str">
        <f>IFERROR(__xludf.DUMMYFUNCTION("""COMPUTED_VALUE"""),"")</f>
        <v/>
      </c>
      <c r="AG342" s="224" t="str">
        <f>IFERROR(__xludf.DUMMYFUNCTION("""COMPUTED_VALUE"""),"")</f>
        <v/>
      </c>
    </row>
    <row r="343">
      <c r="AD343" s="224" t="str">
        <f>IFERROR(__xludf.DUMMYFUNCTION("""COMPUTED_VALUE"""),"")</f>
        <v/>
      </c>
      <c r="AE343" s="224"/>
      <c r="AF343" s="224" t="str">
        <f>IFERROR(__xludf.DUMMYFUNCTION("""COMPUTED_VALUE"""),"")</f>
        <v/>
      </c>
      <c r="AG343" s="224" t="str">
        <f>IFERROR(__xludf.DUMMYFUNCTION("""COMPUTED_VALUE"""),"")</f>
        <v/>
      </c>
    </row>
    <row r="344">
      <c r="AD344" s="224" t="str">
        <f>IFERROR(__xludf.DUMMYFUNCTION("""COMPUTED_VALUE"""),"")</f>
        <v/>
      </c>
      <c r="AE344" s="224"/>
      <c r="AF344" s="224" t="str">
        <f>IFERROR(__xludf.DUMMYFUNCTION("""COMPUTED_VALUE"""),"")</f>
        <v/>
      </c>
      <c r="AG344" s="224" t="str">
        <f>IFERROR(__xludf.DUMMYFUNCTION("""COMPUTED_VALUE"""),"")</f>
        <v/>
      </c>
    </row>
    <row r="345">
      <c r="AD345" s="224" t="str">
        <f>IFERROR(__xludf.DUMMYFUNCTION("""COMPUTED_VALUE"""),"")</f>
        <v/>
      </c>
      <c r="AE345" s="224"/>
      <c r="AF345" s="224" t="str">
        <f>IFERROR(__xludf.DUMMYFUNCTION("""COMPUTED_VALUE"""),"")</f>
        <v/>
      </c>
      <c r="AG345" s="224" t="str">
        <f>IFERROR(__xludf.DUMMYFUNCTION("""COMPUTED_VALUE"""),"")</f>
        <v/>
      </c>
    </row>
    <row r="346">
      <c r="AD346" s="224" t="str">
        <f>IFERROR(__xludf.DUMMYFUNCTION("""COMPUTED_VALUE"""),"")</f>
        <v/>
      </c>
      <c r="AE346" s="224"/>
      <c r="AF346" s="224" t="str">
        <f>IFERROR(__xludf.DUMMYFUNCTION("""COMPUTED_VALUE"""),"")</f>
        <v/>
      </c>
      <c r="AG346" s="224" t="str">
        <f>IFERROR(__xludf.DUMMYFUNCTION("""COMPUTED_VALUE"""),"")</f>
        <v/>
      </c>
    </row>
    <row r="347">
      <c r="AD347" s="224" t="str">
        <f>IFERROR(__xludf.DUMMYFUNCTION("""COMPUTED_VALUE"""),"")</f>
        <v/>
      </c>
      <c r="AE347" s="224"/>
      <c r="AF347" s="224" t="str">
        <f>IFERROR(__xludf.DUMMYFUNCTION("""COMPUTED_VALUE"""),"")</f>
        <v/>
      </c>
      <c r="AG347" s="224" t="str">
        <f>IFERROR(__xludf.DUMMYFUNCTION("""COMPUTED_VALUE"""),"")</f>
        <v/>
      </c>
    </row>
    <row r="348">
      <c r="AD348" s="224" t="str">
        <f>IFERROR(__xludf.DUMMYFUNCTION("""COMPUTED_VALUE"""),"")</f>
        <v/>
      </c>
      <c r="AE348" s="224"/>
      <c r="AF348" s="224" t="str">
        <f>IFERROR(__xludf.DUMMYFUNCTION("""COMPUTED_VALUE"""),"")</f>
        <v/>
      </c>
      <c r="AG348" s="224" t="str">
        <f>IFERROR(__xludf.DUMMYFUNCTION("""COMPUTED_VALUE"""),"")</f>
        <v/>
      </c>
    </row>
    <row r="349">
      <c r="AD349" s="224" t="str">
        <f>IFERROR(__xludf.DUMMYFUNCTION("""COMPUTED_VALUE"""),"")</f>
        <v/>
      </c>
      <c r="AE349" s="224"/>
      <c r="AF349" s="224" t="str">
        <f>IFERROR(__xludf.DUMMYFUNCTION("""COMPUTED_VALUE"""),"")</f>
        <v/>
      </c>
      <c r="AG349" s="224" t="str">
        <f>IFERROR(__xludf.DUMMYFUNCTION("""COMPUTED_VALUE"""),"")</f>
        <v/>
      </c>
    </row>
    <row r="350">
      <c r="AD350" s="224" t="str">
        <f>IFERROR(__xludf.DUMMYFUNCTION("""COMPUTED_VALUE"""),"")</f>
        <v/>
      </c>
      <c r="AE350" s="224"/>
      <c r="AF350" s="224" t="str">
        <f>IFERROR(__xludf.DUMMYFUNCTION("""COMPUTED_VALUE"""),"")</f>
        <v/>
      </c>
      <c r="AG350" s="224" t="str">
        <f>IFERROR(__xludf.DUMMYFUNCTION("""COMPUTED_VALUE"""),"")</f>
        <v/>
      </c>
    </row>
    <row r="351">
      <c r="AD351" s="224" t="str">
        <f>IFERROR(__xludf.DUMMYFUNCTION("""COMPUTED_VALUE"""),"")</f>
        <v/>
      </c>
      <c r="AE351" s="224"/>
      <c r="AF351" s="224" t="str">
        <f>IFERROR(__xludf.DUMMYFUNCTION("""COMPUTED_VALUE"""),"")</f>
        <v/>
      </c>
      <c r="AG351" s="224" t="str">
        <f>IFERROR(__xludf.DUMMYFUNCTION("""COMPUTED_VALUE"""),"")</f>
        <v/>
      </c>
    </row>
    <row r="352">
      <c r="AD352" s="224" t="str">
        <f>IFERROR(__xludf.DUMMYFUNCTION("""COMPUTED_VALUE"""),"")</f>
        <v/>
      </c>
      <c r="AE352" s="224"/>
      <c r="AF352" s="224" t="str">
        <f>IFERROR(__xludf.DUMMYFUNCTION("""COMPUTED_VALUE"""),"")</f>
        <v/>
      </c>
      <c r="AG352" s="224" t="str">
        <f>IFERROR(__xludf.DUMMYFUNCTION("""COMPUTED_VALUE"""),"")</f>
        <v/>
      </c>
    </row>
    <row r="353">
      <c r="AD353" s="224" t="str">
        <f>IFERROR(__xludf.DUMMYFUNCTION("""COMPUTED_VALUE"""),"")</f>
        <v/>
      </c>
      <c r="AE353" s="224"/>
      <c r="AF353" s="224" t="str">
        <f>IFERROR(__xludf.DUMMYFUNCTION("""COMPUTED_VALUE"""),"")</f>
        <v/>
      </c>
      <c r="AG353" s="224" t="str">
        <f>IFERROR(__xludf.DUMMYFUNCTION("""COMPUTED_VALUE"""),"")</f>
        <v/>
      </c>
    </row>
    <row r="354">
      <c r="AD354" s="224" t="str">
        <f>IFERROR(__xludf.DUMMYFUNCTION("""COMPUTED_VALUE"""),"")</f>
        <v/>
      </c>
      <c r="AE354" s="224"/>
      <c r="AF354" s="224" t="str">
        <f>IFERROR(__xludf.DUMMYFUNCTION("""COMPUTED_VALUE"""),"")</f>
        <v/>
      </c>
      <c r="AG354" s="224" t="str">
        <f>IFERROR(__xludf.DUMMYFUNCTION("""COMPUTED_VALUE"""),"")</f>
        <v/>
      </c>
    </row>
    <row r="355">
      <c r="AD355" s="224" t="str">
        <f>IFERROR(__xludf.DUMMYFUNCTION("""COMPUTED_VALUE"""),"")</f>
        <v/>
      </c>
      <c r="AE355" s="224"/>
      <c r="AF355" s="224" t="str">
        <f>IFERROR(__xludf.DUMMYFUNCTION("""COMPUTED_VALUE"""),"")</f>
        <v/>
      </c>
      <c r="AG355" s="224" t="str">
        <f>IFERROR(__xludf.DUMMYFUNCTION("""COMPUTED_VALUE"""),"")</f>
        <v/>
      </c>
    </row>
    <row r="356">
      <c r="AD356" s="224" t="str">
        <f>IFERROR(__xludf.DUMMYFUNCTION("""COMPUTED_VALUE"""),"")</f>
        <v/>
      </c>
      <c r="AE356" s="224"/>
      <c r="AF356" s="224" t="str">
        <f>IFERROR(__xludf.DUMMYFUNCTION("""COMPUTED_VALUE"""),"")</f>
        <v/>
      </c>
      <c r="AG356" s="224" t="str">
        <f>IFERROR(__xludf.DUMMYFUNCTION("""COMPUTED_VALUE"""),"")</f>
        <v/>
      </c>
    </row>
    <row r="357">
      <c r="AD357" s="224" t="str">
        <f>IFERROR(__xludf.DUMMYFUNCTION("""COMPUTED_VALUE"""),"")</f>
        <v/>
      </c>
      <c r="AE357" s="224"/>
      <c r="AF357" s="224" t="str">
        <f>IFERROR(__xludf.DUMMYFUNCTION("""COMPUTED_VALUE"""),"")</f>
        <v/>
      </c>
      <c r="AG357" s="224" t="str">
        <f>IFERROR(__xludf.DUMMYFUNCTION("""COMPUTED_VALUE"""),"")</f>
        <v/>
      </c>
    </row>
    <row r="358">
      <c r="AD358" s="224" t="str">
        <f>IFERROR(__xludf.DUMMYFUNCTION("""COMPUTED_VALUE"""),"")</f>
        <v/>
      </c>
      <c r="AE358" s="224"/>
      <c r="AF358" s="224" t="str">
        <f>IFERROR(__xludf.DUMMYFUNCTION("""COMPUTED_VALUE"""),"")</f>
        <v/>
      </c>
      <c r="AG358" s="224" t="str">
        <f>IFERROR(__xludf.DUMMYFUNCTION("""COMPUTED_VALUE"""),"")</f>
        <v/>
      </c>
    </row>
    <row r="359">
      <c r="AD359" s="224" t="str">
        <f>IFERROR(__xludf.DUMMYFUNCTION("""COMPUTED_VALUE"""),"")</f>
        <v/>
      </c>
      <c r="AE359" s="224"/>
      <c r="AF359" s="224" t="str">
        <f>IFERROR(__xludf.DUMMYFUNCTION("""COMPUTED_VALUE"""),"")</f>
        <v/>
      </c>
      <c r="AG359" s="224" t="str">
        <f>IFERROR(__xludf.DUMMYFUNCTION("""COMPUTED_VALUE"""),"")</f>
        <v/>
      </c>
    </row>
    <row r="360">
      <c r="AD360" s="224" t="str">
        <f>IFERROR(__xludf.DUMMYFUNCTION("""COMPUTED_VALUE"""),"")</f>
        <v/>
      </c>
      <c r="AE360" s="224"/>
      <c r="AF360" s="224" t="str">
        <f>IFERROR(__xludf.DUMMYFUNCTION("""COMPUTED_VALUE"""),"")</f>
        <v/>
      </c>
      <c r="AG360" s="224" t="str">
        <f>IFERROR(__xludf.DUMMYFUNCTION("""COMPUTED_VALUE"""),"")</f>
        <v/>
      </c>
    </row>
    <row r="361">
      <c r="AD361" s="224" t="str">
        <f>IFERROR(__xludf.DUMMYFUNCTION("""COMPUTED_VALUE"""),"")</f>
        <v/>
      </c>
      <c r="AE361" s="224"/>
      <c r="AF361" s="224" t="str">
        <f>IFERROR(__xludf.DUMMYFUNCTION("""COMPUTED_VALUE"""),"")</f>
        <v/>
      </c>
      <c r="AG361" s="224" t="str">
        <f>IFERROR(__xludf.DUMMYFUNCTION("""COMPUTED_VALUE"""),"")</f>
        <v/>
      </c>
    </row>
    <row r="362">
      <c r="AD362" s="224" t="str">
        <f>IFERROR(__xludf.DUMMYFUNCTION("""COMPUTED_VALUE"""),"")</f>
        <v/>
      </c>
      <c r="AE362" s="224"/>
      <c r="AF362" s="224" t="str">
        <f>IFERROR(__xludf.DUMMYFUNCTION("""COMPUTED_VALUE"""),"")</f>
        <v/>
      </c>
      <c r="AG362" s="224" t="str">
        <f>IFERROR(__xludf.DUMMYFUNCTION("""COMPUTED_VALUE"""),"")</f>
        <v/>
      </c>
    </row>
    <row r="363">
      <c r="AD363" s="224" t="str">
        <f>IFERROR(__xludf.DUMMYFUNCTION("""COMPUTED_VALUE"""),"")</f>
        <v/>
      </c>
      <c r="AE363" s="224"/>
      <c r="AF363" s="224" t="str">
        <f>IFERROR(__xludf.DUMMYFUNCTION("""COMPUTED_VALUE"""),"")</f>
        <v/>
      </c>
      <c r="AG363" s="224" t="str">
        <f>IFERROR(__xludf.DUMMYFUNCTION("""COMPUTED_VALUE"""),"")</f>
        <v/>
      </c>
    </row>
    <row r="364">
      <c r="AD364" s="224" t="str">
        <f>IFERROR(__xludf.DUMMYFUNCTION("""COMPUTED_VALUE"""),"")</f>
        <v/>
      </c>
      <c r="AE364" s="224"/>
      <c r="AF364" s="224" t="str">
        <f>IFERROR(__xludf.DUMMYFUNCTION("""COMPUTED_VALUE"""),"")</f>
        <v/>
      </c>
      <c r="AG364" s="224" t="str">
        <f>IFERROR(__xludf.DUMMYFUNCTION("""COMPUTED_VALUE"""),"")</f>
        <v/>
      </c>
    </row>
    <row r="365">
      <c r="AD365" s="224" t="str">
        <f>IFERROR(__xludf.DUMMYFUNCTION("""COMPUTED_VALUE"""),"")</f>
        <v/>
      </c>
      <c r="AE365" s="224"/>
      <c r="AF365" s="224" t="str">
        <f>IFERROR(__xludf.DUMMYFUNCTION("""COMPUTED_VALUE"""),"")</f>
        <v/>
      </c>
      <c r="AG365" s="224" t="str">
        <f>IFERROR(__xludf.DUMMYFUNCTION("""COMPUTED_VALUE"""),"")</f>
        <v/>
      </c>
    </row>
    <row r="366">
      <c r="AD366" s="224" t="str">
        <f>IFERROR(__xludf.DUMMYFUNCTION("""COMPUTED_VALUE"""),"")</f>
        <v/>
      </c>
      <c r="AE366" s="224"/>
      <c r="AF366" s="224" t="str">
        <f>IFERROR(__xludf.DUMMYFUNCTION("""COMPUTED_VALUE"""),"")</f>
        <v/>
      </c>
      <c r="AG366" s="224" t="str">
        <f>IFERROR(__xludf.DUMMYFUNCTION("""COMPUTED_VALUE"""),"")</f>
        <v/>
      </c>
    </row>
    <row r="367">
      <c r="AD367" s="224" t="str">
        <f>IFERROR(__xludf.DUMMYFUNCTION("""COMPUTED_VALUE"""),"")</f>
        <v/>
      </c>
      <c r="AE367" s="224"/>
      <c r="AF367" s="224" t="str">
        <f>IFERROR(__xludf.DUMMYFUNCTION("""COMPUTED_VALUE"""),"")</f>
        <v/>
      </c>
      <c r="AG367" s="224" t="str">
        <f>IFERROR(__xludf.DUMMYFUNCTION("""COMPUTED_VALUE"""),"")</f>
        <v/>
      </c>
    </row>
    <row r="368">
      <c r="AD368" s="224" t="str">
        <f>IFERROR(__xludf.DUMMYFUNCTION("""COMPUTED_VALUE"""),"")</f>
        <v/>
      </c>
      <c r="AE368" s="224"/>
      <c r="AF368" s="224" t="str">
        <f>IFERROR(__xludf.DUMMYFUNCTION("""COMPUTED_VALUE"""),"")</f>
        <v/>
      </c>
      <c r="AG368" s="224" t="str">
        <f>IFERROR(__xludf.DUMMYFUNCTION("""COMPUTED_VALUE"""),"")</f>
        <v/>
      </c>
    </row>
    <row r="369">
      <c r="AD369" s="224" t="str">
        <f>IFERROR(__xludf.DUMMYFUNCTION("""COMPUTED_VALUE"""),"")</f>
        <v/>
      </c>
      <c r="AE369" s="224"/>
      <c r="AF369" s="224" t="str">
        <f>IFERROR(__xludf.DUMMYFUNCTION("""COMPUTED_VALUE"""),"")</f>
        <v/>
      </c>
      <c r="AG369" s="224" t="str">
        <f>IFERROR(__xludf.DUMMYFUNCTION("""COMPUTED_VALUE"""),"")</f>
        <v/>
      </c>
    </row>
    <row r="370">
      <c r="AD370" s="224" t="str">
        <f>IFERROR(__xludf.DUMMYFUNCTION("""COMPUTED_VALUE"""),"")</f>
        <v/>
      </c>
      <c r="AE370" s="224"/>
      <c r="AF370" s="224" t="str">
        <f>IFERROR(__xludf.DUMMYFUNCTION("""COMPUTED_VALUE"""),"")</f>
        <v/>
      </c>
      <c r="AG370" s="224" t="str">
        <f>IFERROR(__xludf.DUMMYFUNCTION("""COMPUTED_VALUE"""),"")</f>
        <v/>
      </c>
    </row>
    <row r="371">
      <c r="AD371" s="224" t="str">
        <f>IFERROR(__xludf.DUMMYFUNCTION("""COMPUTED_VALUE"""),"")</f>
        <v/>
      </c>
      <c r="AE371" s="224"/>
      <c r="AF371" s="224" t="str">
        <f>IFERROR(__xludf.DUMMYFUNCTION("""COMPUTED_VALUE"""),"")</f>
        <v/>
      </c>
      <c r="AG371" s="224" t="str">
        <f>IFERROR(__xludf.DUMMYFUNCTION("""COMPUTED_VALUE"""),"")</f>
        <v/>
      </c>
    </row>
    <row r="372">
      <c r="AD372" s="224" t="str">
        <f>IFERROR(__xludf.DUMMYFUNCTION("""COMPUTED_VALUE"""),"")</f>
        <v/>
      </c>
      <c r="AE372" s="224"/>
      <c r="AF372" s="224" t="str">
        <f>IFERROR(__xludf.DUMMYFUNCTION("""COMPUTED_VALUE"""),"")</f>
        <v/>
      </c>
      <c r="AG372" s="224" t="str">
        <f>IFERROR(__xludf.DUMMYFUNCTION("""COMPUTED_VALUE"""),"")</f>
        <v/>
      </c>
    </row>
    <row r="373">
      <c r="AD373" s="224" t="str">
        <f>IFERROR(__xludf.DUMMYFUNCTION("""COMPUTED_VALUE"""),"")</f>
        <v/>
      </c>
      <c r="AE373" s="224"/>
      <c r="AF373" s="224" t="str">
        <f>IFERROR(__xludf.DUMMYFUNCTION("""COMPUTED_VALUE"""),"")</f>
        <v/>
      </c>
      <c r="AG373" s="224" t="str">
        <f>IFERROR(__xludf.DUMMYFUNCTION("""COMPUTED_VALUE"""),"")</f>
        <v/>
      </c>
    </row>
    <row r="374">
      <c r="AD374" s="224" t="str">
        <f>IFERROR(__xludf.DUMMYFUNCTION("""COMPUTED_VALUE"""),"")</f>
        <v/>
      </c>
      <c r="AE374" s="224"/>
      <c r="AF374" s="224" t="str">
        <f>IFERROR(__xludf.DUMMYFUNCTION("""COMPUTED_VALUE"""),"")</f>
        <v/>
      </c>
      <c r="AG374" s="224" t="str">
        <f>IFERROR(__xludf.DUMMYFUNCTION("""COMPUTED_VALUE"""),"")</f>
        <v/>
      </c>
    </row>
    <row r="375">
      <c r="AD375" s="224" t="str">
        <f>IFERROR(__xludf.DUMMYFUNCTION("""COMPUTED_VALUE"""),"")</f>
        <v/>
      </c>
      <c r="AE375" s="224"/>
      <c r="AF375" s="224" t="str">
        <f>IFERROR(__xludf.DUMMYFUNCTION("""COMPUTED_VALUE"""),"")</f>
        <v/>
      </c>
      <c r="AG375" s="224" t="str">
        <f>IFERROR(__xludf.DUMMYFUNCTION("""COMPUTED_VALUE"""),"")</f>
        <v/>
      </c>
    </row>
    <row r="376">
      <c r="AD376" s="224" t="str">
        <f>IFERROR(__xludf.DUMMYFUNCTION("""COMPUTED_VALUE"""),"")</f>
        <v/>
      </c>
      <c r="AE376" s="224"/>
      <c r="AF376" s="224" t="str">
        <f>IFERROR(__xludf.DUMMYFUNCTION("""COMPUTED_VALUE"""),"")</f>
        <v/>
      </c>
      <c r="AG376" s="224" t="str">
        <f>IFERROR(__xludf.DUMMYFUNCTION("""COMPUTED_VALUE"""),"")</f>
        <v/>
      </c>
    </row>
    <row r="377">
      <c r="AD377" s="224" t="str">
        <f>IFERROR(__xludf.DUMMYFUNCTION("""COMPUTED_VALUE"""),"")</f>
        <v/>
      </c>
      <c r="AE377" s="224"/>
      <c r="AF377" s="224" t="str">
        <f>IFERROR(__xludf.DUMMYFUNCTION("""COMPUTED_VALUE"""),"")</f>
        <v/>
      </c>
      <c r="AG377" s="224" t="str">
        <f>IFERROR(__xludf.DUMMYFUNCTION("""COMPUTED_VALUE"""),"")</f>
        <v/>
      </c>
    </row>
    <row r="378">
      <c r="AD378" s="224" t="str">
        <f>IFERROR(__xludf.DUMMYFUNCTION("""COMPUTED_VALUE"""),"")</f>
        <v/>
      </c>
      <c r="AE378" s="224"/>
      <c r="AF378" s="224" t="str">
        <f>IFERROR(__xludf.DUMMYFUNCTION("""COMPUTED_VALUE"""),"")</f>
        <v/>
      </c>
      <c r="AG378" s="224" t="str">
        <f>IFERROR(__xludf.DUMMYFUNCTION("""COMPUTED_VALUE"""),"")</f>
        <v/>
      </c>
    </row>
    <row r="379">
      <c r="AD379" s="224" t="str">
        <f>IFERROR(__xludf.DUMMYFUNCTION("""COMPUTED_VALUE"""),"")</f>
        <v/>
      </c>
      <c r="AE379" s="224"/>
      <c r="AF379" s="224" t="str">
        <f>IFERROR(__xludf.DUMMYFUNCTION("""COMPUTED_VALUE"""),"")</f>
        <v/>
      </c>
      <c r="AG379" s="224" t="str">
        <f>IFERROR(__xludf.DUMMYFUNCTION("""COMPUTED_VALUE"""),"")</f>
        <v/>
      </c>
    </row>
    <row r="380">
      <c r="AD380" s="224" t="str">
        <f>IFERROR(__xludf.DUMMYFUNCTION("""COMPUTED_VALUE"""),"")</f>
        <v/>
      </c>
      <c r="AE380" s="224"/>
      <c r="AF380" s="224" t="str">
        <f>IFERROR(__xludf.DUMMYFUNCTION("""COMPUTED_VALUE"""),"")</f>
        <v/>
      </c>
      <c r="AG380" s="224" t="str">
        <f>IFERROR(__xludf.DUMMYFUNCTION("""COMPUTED_VALUE"""),"")</f>
        <v/>
      </c>
    </row>
    <row r="381">
      <c r="AD381" s="224" t="str">
        <f>IFERROR(__xludf.DUMMYFUNCTION("""COMPUTED_VALUE"""),"")</f>
        <v/>
      </c>
      <c r="AE381" s="224"/>
      <c r="AF381" s="224" t="str">
        <f>IFERROR(__xludf.DUMMYFUNCTION("""COMPUTED_VALUE"""),"")</f>
        <v/>
      </c>
      <c r="AG381" s="224" t="str">
        <f>IFERROR(__xludf.DUMMYFUNCTION("""COMPUTED_VALUE"""),"")</f>
        <v/>
      </c>
    </row>
    <row r="382">
      <c r="AD382" s="224" t="str">
        <f>IFERROR(__xludf.DUMMYFUNCTION("""COMPUTED_VALUE"""),"")</f>
        <v/>
      </c>
      <c r="AE382" s="224"/>
      <c r="AF382" s="224" t="str">
        <f>IFERROR(__xludf.DUMMYFUNCTION("""COMPUTED_VALUE"""),"")</f>
        <v/>
      </c>
      <c r="AG382" s="224" t="str">
        <f>IFERROR(__xludf.DUMMYFUNCTION("""COMPUTED_VALUE"""),"")</f>
        <v/>
      </c>
    </row>
    <row r="383">
      <c r="AD383" s="224" t="str">
        <f>IFERROR(__xludf.DUMMYFUNCTION("""COMPUTED_VALUE"""),"")</f>
        <v/>
      </c>
      <c r="AE383" s="224"/>
      <c r="AF383" s="224" t="str">
        <f>IFERROR(__xludf.DUMMYFUNCTION("""COMPUTED_VALUE"""),"")</f>
        <v/>
      </c>
      <c r="AG383" s="224" t="str">
        <f>IFERROR(__xludf.DUMMYFUNCTION("""COMPUTED_VALUE"""),"")</f>
        <v/>
      </c>
    </row>
    <row r="384">
      <c r="AD384" s="224" t="str">
        <f>IFERROR(__xludf.DUMMYFUNCTION("""COMPUTED_VALUE"""),"")</f>
        <v/>
      </c>
      <c r="AE384" s="224"/>
      <c r="AF384" s="224" t="str">
        <f>IFERROR(__xludf.DUMMYFUNCTION("""COMPUTED_VALUE"""),"")</f>
        <v/>
      </c>
      <c r="AG384" s="224" t="str">
        <f>IFERROR(__xludf.DUMMYFUNCTION("""COMPUTED_VALUE"""),"")</f>
        <v/>
      </c>
    </row>
    <row r="385">
      <c r="AD385" s="224" t="str">
        <f>IFERROR(__xludf.DUMMYFUNCTION("""COMPUTED_VALUE"""),"")</f>
        <v/>
      </c>
      <c r="AE385" s="224"/>
      <c r="AF385" s="224" t="str">
        <f>IFERROR(__xludf.DUMMYFUNCTION("""COMPUTED_VALUE"""),"")</f>
        <v/>
      </c>
      <c r="AG385" s="224" t="str">
        <f>IFERROR(__xludf.DUMMYFUNCTION("""COMPUTED_VALUE"""),"")</f>
        <v/>
      </c>
    </row>
    <row r="386">
      <c r="AD386" s="224" t="str">
        <f>IFERROR(__xludf.DUMMYFUNCTION("""COMPUTED_VALUE"""),"")</f>
        <v/>
      </c>
      <c r="AE386" s="224"/>
      <c r="AF386" s="224" t="str">
        <f>IFERROR(__xludf.DUMMYFUNCTION("""COMPUTED_VALUE"""),"")</f>
        <v/>
      </c>
      <c r="AG386" s="224" t="str">
        <f>IFERROR(__xludf.DUMMYFUNCTION("""COMPUTED_VALUE"""),"")</f>
        <v/>
      </c>
    </row>
    <row r="387">
      <c r="AD387" s="224" t="str">
        <f>IFERROR(__xludf.DUMMYFUNCTION("""COMPUTED_VALUE"""),"")</f>
        <v/>
      </c>
      <c r="AE387" s="224"/>
      <c r="AF387" s="224" t="str">
        <f>IFERROR(__xludf.DUMMYFUNCTION("""COMPUTED_VALUE"""),"")</f>
        <v/>
      </c>
      <c r="AG387" s="224" t="str">
        <f>IFERROR(__xludf.DUMMYFUNCTION("""COMPUTED_VALUE"""),"")</f>
        <v/>
      </c>
    </row>
    <row r="388">
      <c r="AD388" s="224" t="str">
        <f>IFERROR(__xludf.DUMMYFUNCTION("""COMPUTED_VALUE"""),"")</f>
        <v/>
      </c>
      <c r="AE388" s="224"/>
      <c r="AF388" s="224" t="str">
        <f>IFERROR(__xludf.DUMMYFUNCTION("""COMPUTED_VALUE"""),"")</f>
        <v/>
      </c>
      <c r="AG388" s="224" t="str">
        <f>IFERROR(__xludf.DUMMYFUNCTION("""COMPUTED_VALUE"""),"")</f>
        <v/>
      </c>
    </row>
    <row r="389">
      <c r="AD389" s="224" t="str">
        <f>IFERROR(__xludf.DUMMYFUNCTION("""COMPUTED_VALUE"""),"")</f>
        <v/>
      </c>
      <c r="AE389" s="224"/>
      <c r="AF389" s="224" t="str">
        <f>IFERROR(__xludf.DUMMYFUNCTION("""COMPUTED_VALUE"""),"")</f>
        <v/>
      </c>
      <c r="AG389" s="224" t="str">
        <f>IFERROR(__xludf.DUMMYFUNCTION("""COMPUTED_VALUE"""),"")</f>
        <v/>
      </c>
    </row>
    <row r="390">
      <c r="AD390" s="224" t="str">
        <f>IFERROR(__xludf.DUMMYFUNCTION("""COMPUTED_VALUE"""),"")</f>
        <v/>
      </c>
      <c r="AE390" s="224"/>
      <c r="AF390" s="224" t="str">
        <f>IFERROR(__xludf.DUMMYFUNCTION("""COMPUTED_VALUE"""),"")</f>
        <v/>
      </c>
      <c r="AG390" s="224" t="str">
        <f>IFERROR(__xludf.DUMMYFUNCTION("""COMPUTED_VALUE"""),"")</f>
        <v/>
      </c>
    </row>
    <row r="391">
      <c r="AD391" s="224" t="str">
        <f>IFERROR(__xludf.DUMMYFUNCTION("""COMPUTED_VALUE"""),"")</f>
        <v/>
      </c>
      <c r="AE391" s="224"/>
      <c r="AF391" s="224" t="str">
        <f>IFERROR(__xludf.DUMMYFUNCTION("""COMPUTED_VALUE"""),"")</f>
        <v/>
      </c>
      <c r="AG391" s="224" t="str">
        <f>IFERROR(__xludf.DUMMYFUNCTION("""COMPUTED_VALUE"""),"")</f>
        <v/>
      </c>
    </row>
    <row r="392">
      <c r="AD392" s="224" t="str">
        <f>IFERROR(__xludf.DUMMYFUNCTION("""COMPUTED_VALUE"""),"")</f>
        <v/>
      </c>
      <c r="AE392" s="224"/>
      <c r="AF392" s="224" t="str">
        <f>IFERROR(__xludf.DUMMYFUNCTION("""COMPUTED_VALUE"""),"")</f>
        <v/>
      </c>
      <c r="AG392" s="224" t="str">
        <f>IFERROR(__xludf.DUMMYFUNCTION("""COMPUTED_VALUE"""),"")</f>
        <v/>
      </c>
    </row>
    <row r="393">
      <c r="AD393" s="224" t="str">
        <f>IFERROR(__xludf.DUMMYFUNCTION("""COMPUTED_VALUE"""),"")</f>
        <v/>
      </c>
      <c r="AE393" s="224"/>
      <c r="AF393" s="224" t="str">
        <f>IFERROR(__xludf.DUMMYFUNCTION("""COMPUTED_VALUE"""),"")</f>
        <v/>
      </c>
      <c r="AG393" s="224" t="str">
        <f>IFERROR(__xludf.DUMMYFUNCTION("""COMPUTED_VALUE"""),"")</f>
        <v/>
      </c>
    </row>
    <row r="394">
      <c r="AD394" s="224" t="str">
        <f>IFERROR(__xludf.DUMMYFUNCTION("""COMPUTED_VALUE"""),"")</f>
        <v/>
      </c>
      <c r="AE394" s="224"/>
      <c r="AF394" s="224" t="str">
        <f>IFERROR(__xludf.DUMMYFUNCTION("""COMPUTED_VALUE"""),"")</f>
        <v/>
      </c>
      <c r="AG394" s="224" t="str">
        <f>IFERROR(__xludf.DUMMYFUNCTION("""COMPUTED_VALUE"""),"")</f>
        <v/>
      </c>
    </row>
    <row r="395">
      <c r="AD395" s="224" t="str">
        <f>IFERROR(__xludf.DUMMYFUNCTION("""COMPUTED_VALUE"""),"")</f>
        <v/>
      </c>
      <c r="AE395" s="224"/>
      <c r="AF395" s="224" t="str">
        <f>IFERROR(__xludf.DUMMYFUNCTION("""COMPUTED_VALUE"""),"")</f>
        <v/>
      </c>
      <c r="AG395" s="224" t="str">
        <f>IFERROR(__xludf.DUMMYFUNCTION("""COMPUTED_VALUE"""),"")</f>
        <v/>
      </c>
    </row>
    <row r="396">
      <c r="AD396" s="224" t="str">
        <f>IFERROR(__xludf.DUMMYFUNCTION("""COMPUTED_VALUE"""),"")</f>
        <v/>
      </c>
      <c r="AE396" s="224"/>
      <c r="AF396" s="224" t="str">
        <f>IFERROR(__xludf.DUMMYFUNCTION("""COMPUTED_VALUE"""),"")</f>
        <v/>
      </c>
      <c r="AG396" s="224" t="str">
        <f>IFERROR(__xludf.DUMMYFUNCTION("""COMPUTED_VALUE"""),"")</f>
        <v/>
      </c>
    </row>
    <row r="397">
      <c r="AD397" s="224" t="str">
        <f>IFERROR(__xludf.DUMMYFUNCTION("""COMPUTED_VALUE"""),"")</f>
        <v/>
      </c>
      <c r="AE397" s="224"/>
      <c r="AF397" s="224" t="str">
        <f>IFERROR(__xludf.DUMMYFUNCTION("""COMPUTED_VALUE"""),"")</f>
        <v/>
      </c>
      <c r="AG397" s="224" t="str">
        <f>IFERROR(__xludf.DUMMYFUNCTION("""COMPUTED_VALUE"""),"")</f>
        <v/>
      </c>
    </row>
    <row r="398">
      <c r="AD398" s="224" t="str">
        <f>IFERROR(__xludf.DUMMYFUNCTION("""COMPUTED_VALUE"""),"")</f>
        <v/>
      </c>
      <c r="AE398" s="224"/>
      <c r="AF398" s="224" t="str">
        <f>IFERROR(__xludf.DUMMYFUNCTION("""COMPUTED_VALUE"""),"")</f>
        <v/>
      </c>
      <c r="AG398" s="224" t="str">
        <f>IFERROR(__xludf.DUMMYFUNCTION("""COMPUTED_VALUE"""),"")</f>
        <v/>
      </c>
    </row>
    <row r="399">
      <c r="AD399" s="224" t="str">
        <f>IFERROR(__xludf.DUMMYFUNCTION("""COMPUTED_VALUE"""),"")</f>
        <v/>
      </c>
      <c r="AE399" s="224"/>
      <c r="AF399" s="224" t="str">
        <f>IFERROR(__xludf.DUMMYFUNCTION("""COMPUTED_VALUE"""),"")</f>
        <v/>
      </c>
      <c r="AG399" s="224" t="str">
        <f>IFERROR(__xludf.DUMMYFUNCTION("""COMPUTED_VALUE"""),"")</f>
        <v/>
      </c>
    </row>
    <row r="400">
      <c r="AD400" s="224" t="str">
        <f>IFERROR(__xludf.DUMMYFUNCTION("""COMPUTED_VALUE"""),"")</f>
        <v/>
      </c>
      <c r="AE400" s="224"/>
      <c r="AF400" s="224" t="str">
        <f>IFERROR(__xludf.DUMMYFUNCTION("""COMPUTED_VALUE"""),"")</f>
        <v/>
      </c>
      <c r="AG400" s="224" t="str">
        <f>IFERROR(__xludf.DUMMYFUNCTION("""COMPUTED_VALUE"""),"")</f>
        <v/>
      </c>
    </row>
    <row r="401">
      <c r="AD401" s="224" t="str">
        <f>IFERROR(__xludf.DUMMYFUNCTION("""COMPUTED_VALUE"""),"")</f>
        <v/>
      </c>
      <c r="AE401" s="224"/>
      <c r="AF401" s="224" t="str">
        <f>IFERROR(__xludf.DUMMYFUNCTION("""COMPUTED_VALUE"""),"")</f>
        <v/>
      </c>
      <c r="AG401" s="224" t="str">
        <f>IFERROR(__xludf.DUMMYFUNCTION("""COMPUTED_VALUE"""),"")</f>
        <v/>
      </c>
    </row>
    <row r="402">
      <c r="AD402" s="224" t="str">
        <f>IFERROR(__xludf.DUMMYFUNCTION("""COMPUTED_VALUE"""),"")</f>
        <v/>
      </c>
      <c r="AE402" s="224"/>
      <c r="AF402" s="224" t="str">
        <f>IFERROR(__xludf.DUMMYFUNCTION("""COMPUTED_VALUE"""),"")</f>
        <v/>
      </c>
      <c r="AG402" s="224" t="str">
        <f>IFERROR(__xludf.DUMMYFUNCTION("""COMPUTED_VALUE"""),"")</f>
        <v/>
      </c>
    </row>
    <row r="403">
      <c r="AD403" s="224" t="str">
        <f>IFERROR(__xludf.DUMMYFUNCTION("""COMPUTED_VALUE"""),"")</f>
        <v/>
      </c>
      <c r="AE403" s="224"/>
      <c r="AF403" s="224" t="str">
        <f>IFERROR(__xludf.DUMMYFUNCTION("""COMPUTED_VALUE"""),"")</f>
        <v/>
      </c>
      <c r="AG403" s="224" t="str">
        <f>IFERROR(__xludf.DUMMYFUNCTION("""COMPUTED_VALUE"""),"")</f>
        <v/>
      </c>
    </row>
    <row r="404">
      <c r="AD404" s="224" t="str">
        <f>IFERROR(__xludf.DUMMYFUNCTION("""COMPUTED_VALUE"""),"")</f>
        <v/>
      </c>
      <c r="AE404" s="224"/>
      <c r="AF404" s="224" t="str">
        <f>IFERROR(__xludf.DUMMYFUNCTION("""COMPUTED_VALUE"""),"")</f>
        <v/>
      </c>
      <c r="AG404" s="224" t="str">
        <f>IFERROR(__xludf.DUMMYFUNCTION("""COMPUTED_VALUE"""),"")</f>
        <v/>
      </c>
    </row>
    <row r="405">
      <c r="AD405" s="224" t="str">
        <f>IFERROR(__xludf.DUMMYFUNCTION("""COMPUTED_VALUE"""),"")</f>
        <v/>
      </c>
      <c r="AE405" s="224"/>
      <c r="AF405" s="224" t="str">
        <f>IFERROR(__xludf.DUMMYFUNCTION("""COMPUTED_VALUE"""),"")</f>
        <v/>
      </c>
      <c r="AG405" s="224" t="str">
        <f>IFERROR(__xludf.DUMMYFUNCTION("""COMPUTED_VALUE"""),"")</f>
        <v/>
      </c>
    </row>
    <row r="406">
      <c r="AD406" s="224" t="str">
        <f>IFERROR(__xludf.DUMMYFUNCTION("""COMPUTED_VALUE"""),"")</f>
        <v/>
      </c>
      <c r="AE406" s="224"/>
      <c r="AF406" s="224" t="str">
        <f>IFERROR(__xludf.DUMMYFUNCTION("""COMPUTED_VALUE"""),"")</f>
        <v/>
      </c>
      <c r="AG406" s="224" t="str">
        <f>IFERROR(__xludf.DUMMYFUNCTION("""COMPUTED_VALUE"""),"")</f>
        <v/>
      </c>
    </row>
    <row r="407">
      <c r="AD407" s="224" t="str">
        <f>IFERROR(__xludf.DUMMYFUNCTION("""COMPUTED_VALUE"""),"")</f>
        <v/>
      </c>
      <c r="AE407" s="224"/>
      <c r="AF407" s="224" t="str">
        <f>IFERROR(__xludf.DUMMYFUNCTION("""COMPUTED_VALUE"""),"")</f>
        <v/>
      </c>
      <c r="AG407" s="224" t="str">
        <f>IFERROR(__xludf.DUMMYFUNCTION("""COMPUTED_VALUE"""),"")</f>
        <v/>
      </c>
    </row>
    <row r="408">
      <c r="AD408" s="224" t="str">
        <f>IFERROR(__xludf.DUMMYFUNCTION("""COMPUTED_VALUE"""),"")</f>
        <v/>
      </c>
      <c r="AE408" s="224"/>
      <c r="AF408" s="224" t="str">
        <f>IFERROR(__xludf.DUMMYFUNCTION("""COMPUTED_VALUE"""),"")</f>
        <v/>
      </c>
      <c r="AG408" s="224" t="str">
        <f>IFERROR(__xludf.DUMMYFUNCTION("""COMPUTED_VALUE"""),"")</f>
        <v/>
      </c>
    </row>
    <row r="409">
      <c r="AD409" s="224" t="str">
        <f>IFERROR(__xludf.DUMMYFUNCTION("""COMPUTED_VALUE"""),"")</f>
        <v/>
      </c>
      <c r="AE409" s="224"/>
      <c r="AF409" s="224" t="str">
        <f>IFERROR(__xludf.DUMMYFUNCTION("""COMPUTED_VALUE"""),"")</f>
        <v/>
      </c>
      <c r="AG409" s="224" t="str">
        <f>IFERROR(__xludf.DUMMYFUNCTION("""COMPUTED_VALUE"""),"")</f>
        <v/>
      </c>
    </row>
    <row r="410">
      <c r="AD410" s="224" t="str">
        <f>IFERROR(__xludf.DUMMYFUNCTION("""COMPUTED_VALUE"""),"")</f>
        <v/>
      </c>
      <c r="AE410" s="224"/>
      <c r="AF410" s="224" t="str">
        <f>IFERROR(__xludf.DUMMYFUNCTION("""COMPUTED_VALUE"""),"")</f>
        <v/>
      </c>
      <c r="AG410" s="224" t="str">
        <f>IFERROR(__xludf.DUMMYFUNCTION("""COMPUTED_VALUE"""),"")</f>
        <v/>
      </c>
    </row>
    <row r="411">
      <c r="AD411" s="224" t="str">
        <f>IFERROR(__xludf.DUMMYFUNCTION("""COMPUTED_VALUE"""),"")</f>
        <v/>
      </c>
      <c r="AE411" s="224"/>
      <c r="AF411" s="224" t="str">
        <f>IFERROR(__xludf.DUMMYFUNCTION("""COMPUTED_VALUE"""),"")</f>
        <v/>
      </c>
      <c r="AG411" s="224" t="str">
        <f>IFERROR(__xludf.DUMMYFUNCTION("""COMPUTED_VALUE"""),"")</f>
        <v/>
      </c>
    </row>
    <row r="412">
      <c r="AD412" s="224" t="str">
        <f>IFERROR(__xludf.DUMMYFUNCTION("""COMPUTED_VALUE"""),"")</f>
        <v/>
      </c>
      <c r="AE412" s="224"/>
      <c r="AF412" s="224" t="str">
        <f>IFERROR(__xludf.DUMMYFUNCTION("""COMPUTED_VALUE"""),"")</f>
        <v/>
      </c>
      <c r="AG412" s="224" t="str">
        <f>IFERROR(__xludf.DUMMYFUNCTION("""COMPUTED_VALUE"""),"")</f>
        <v/>
      </c>
    </row>
    <row r="413">
      <c r="AD413" s="224" t="str">
        <f>IFERROR(__xludf.DUMMYFUNCTION("""COMPUTED_VALUE"""),"")</f>
        <v/>
      </c>
      <c r="AE413" s="224"/>
      <c r="AF413" s="224" t="str">
        <f>IFERROR(__xludf.DUMMYFUNCTION("""COMPUTED_VALUE"""),"")</f>
        <v/>
      </c>
      <c r="AG413" s="224" t="str">
        <f>IFERROR(__xludf.DUMMYFUNCTION("""COMPUTED_VALUE"""),"")</f>
        <v/>
      </c>
    </row>
    <row r="414">
      <c r="AD414" s="224" t="str">
        <f>IFERROR(__xludf.DUMMYFUNCTION("""COMPUTED_VALUE"""),"")</f>
        <v/>
      </c>
      <c r="AE414" s="224"/>
      <c r="AF414" s="224" t="str">
        <f>IFERROR(__xludf.DUMMYFUNCTION("""COMPUTED_VALUE"""),"")</f>
        <v/>
      </c>
      <c r="AG414" s="224" t="str">
        <f>IFERROR(__xludf.DUMMYFUNCTION("""COMPUTED_VALUE"""),"")</f>
        <v/>
      </c>
    </row>
    <row r="415">
      <c r="AD415" s="224" t="str">
        <f>IFERROR(__xludf.DUMMYFUNCTION("""COMPUTED_VALUE"""),"")</f>
        <v/>
      </c>
      <c r="AE415" s="224"/>
      <c r="AF415" s="224" t="str">
        <f>IFERROR(__xludf.DUMMYFUNCTION("""COMPUTED_VALUE"""),"")</f>
        <v/>
      </c>
      <c r="AG415" s="224" t="str">
        <f>IFERROR(__xludf.DUMMYFUNCTION("""COMPUTED_VALUE"""),"")</f>
        <v/>
      </c>
    </row>
    <row r="416">
      <c r="AD416" s="224" t="str">
        <f>IFERROR(__xludf.DUMMYFUNCTION("""COMPUTED_VALUE"""),"")</f>
        <v/>
      </c>
      <c r="AE416" s="224"/>
      <c r="AF416" s="224" t="str">
        <f>IFERROR(__xludf.DUMMYFUNCTION("""COMPUTED_VALUE"""),"")</f>
        <v/>
      </c>
      <c r="AG416" s="224" t="str">
        <f>IFERROR(__xludf.DUMMYFUNCTION("""COMPUTED_VALUE"""),"")</f>
        <v/>
      </c>
    </row>
    <row r="417">
      <c r="AD417" s="224" t="str">
        <f>IFERROR(__xludf.DUMMYFUNCTION("""COMPUTED_VALUE"""),"")</f>
        <v/>
      </c>
      <c r="AE417" s="224"/>
      <c r="AF417" s="224" t="str">
        <f>IFERROR(__xludf.DUMMYFUNCTION("""COMPUTED_VALUE"""),"")</f>
        <v/>
      </c>
      <c r="AG417" s="224" t="str">
        <f>IFERROR(__xludf.DUMMYFUNCTION("""COMPUTED_VALUE"""),"")</f>
        <v/>
      </c>
    </row>
    <row r="418">
      <c r="AD418" s="224" t="str">
        <f>IFERROR(__xludf.DUMMYFUNCTION("""COMPUTED_VALUE"""),"")</f>
        <v/>
      </c>
      <c r="AE418" s="224"/>
      <c r="AF418" s="224" t="str">
        <f>IFERROR(__xludf.DUMMYFUNCTION("""COMPUTED_VALUE"""),"")</f>
        <v/>
      </c>
      <c r="AG418" s="224" t="str">
        <f>IFERROR(__xludf.DUMMYFUNCTION("""COMPUTED_VALUE"""),"")</f>
        <v/>
      </c>
    </row>
    <row r="419">
      <c r="AD419" s="224" t="str">
        <f>IFERROR(__xludf.DUMMYFUNCTION("""COMPUTED_VALUE"""),"")</f>
        <v/>
      </c>
      <c r="AE419" s="224"/>
      <c r="AF419" s="224" t="str">
        <f>IFERROR(__xludf.DUMMYFUNCTION("""COMPUTED_VALUE"""),"")</f>
        <v/>
      </c>
      <c r="AG419" s="224" t="str">
        <f>IFERROR(__xludf.DUMMYFUNCTION("""COMPUTED_VALUE"""),"")</f>
        <v/>
      </c>
    </row>
    <row r="420">
      <c r="AD420" s="224" t="str">
        <f>IFERROR(__xludf.DUMMYFUNCTION("""COMPUTED_VALUE"""),"")</f>
        <v/>
      </c>
      <c r="AE420" s="224"/>
      <c r="AF420" s="224" t="str">
        <f>IFERROR(__xludf.DUMMYFUNCTION("""COMPUTED_VALUE"""),"")</f>
        <v/>
      </c>
      <c r="AG420" s="224" t="str">
        <f>IFERROR(__xludf.DUMMYFUNCTION("""COMPUTED_VALUE"""),"")</f>
        <v/>
      </c>
    </row>
    <row r="421">
      <c r="AD421" s="224" t="str">
        <f>IFERROR(__xludf.DUMMYFUNCTION("""COMPUTED_VALUE"""),"")</f>
        <v/>
      </c>
      <c r="AE421" s="224"/>
      <c r="AF421" s="224" t="str">
        <f>IFERROR(__xludf.DUMMYFUNCTION("""COMPUTED_VALUE"""),"")</f>
        <v/>
      </c>
      <c r="AG421" s="224" t="str">
        <f>IFERROR(__xludf.DUMMYFUNCTION("""COMPUTED_VALUE"""),"")</f>
        <v/>
      </c>
    </row>
    <row r="422">
      <c r="AD422" s="224" t="str">
        <f>IFERROR(__xludf.DUMMYFUNCTION("""COMPUTED_VALUE"""),"")</f>
        <v/>
      </c>
      <c r="AE422" s="224"/>
      <c r="AF422" s="224" t="str">
        <f>IFERROR(__xludf.DUMMYFUNCTION("""COMPUTED_VALUE"""),"")</f>
        <v/>
      </c>
      <c r="AG422" s="224" t="str">
        <f>IFERROR(__xludf.DUMMYFUNCTION("""COMPUTED_VALUE"""),"")</f>
        <v/>
      </c>
    </row>
    <row r="423">
      <c r="AD423" s="224" t="str">
        <f>IFERROR(__xludf.DUMMYFUNCTION("""COMPUTED_VALUE"""),"")</f>
        <v/>
      </c>
      <c r="AE423" s="224"/>
      <c r="AF423" s="224" t="str">
        <f>IFERROR(__xludf.DUMMYFUNCTION("""COMPUTED_VALUE"""),"")</f>
        <v/>
      </c>
      <c r="AG423" s="224" t="str">
        <f>IFERROR(__xludf.DUMMYFUNCTION("""COMPUTED_VALUE"""),"")</f>
        <v/>
      </c>
    </row>
    <row r="424">
      <c r="AD424" s="224" t="str">
        <f>IFERROR(__xludf.DUMMYFUNCTION("""COMPUTED_VALUE"""),"")</f>
        <v/>
      </c>
      <c r="AE424" s="224"/>
      <c r="AF424" s="224" t="str">
        <f>IFERROR(__xludf.DUMMYFUNCTION("""COMPUTED_VALUE"""),"")</f>
        <v/>
      </c>
      <c r="AG424" s="224" t="str">
        <f>IFERROR(__xludf.DUMMYFUNCTION("""COMPUTED_VALUE"""),"")</f>
        <v/>
      </c>
    </row>
    <row r="425">
      <c r="AD425" s="224" t="str">
        <f>IFERROR(__xludf.DUMMYFUNCTION("""COMPUTED_VALUE"""),"")</f>
        <v/>
      </c>
      <c r="AE425" s="224"/>
      <c r="AF425" s="224" t="str">
        <f>IFERROR(__xludf.DUMMYFUNCTION("""COMPUTED_VALUE"""),"")</f>
        <v/>
      </c>
      <c r="AG425" s="224" t="str">
        <f>IFERROR(__xludf.DUMMYFUNCTION("""COMPUTED_VALUE"""),"")</f>
        <v/>
      </c>
    </row>
    <row r="426">
      <c r="AD426" s="224" t="str">
        <f>IFERROR(__xludf.DUMMYFUNCTION("""COMPUTED_VALUE"""),"")</f>
        <v/>
      </c>
      <c r="AE426" s="224"/>
      <c r="AF426" s="224" t="str">
        <f>IFERROR(__xludf.DUMMYFUNCTION("""COMPUTED_VALUE"""),"")</f>
        <v/>
      </c>
      <c r="AG426" s="224" t="str">
        <f>IFERROR(__xludf.DUMMYFUNCTION("""COMPUTED_VALUE"""),"")</f>
        <v/>
      </c>
    </row>
    <row r="427">
      <c r="AD427" s="224" t="str">
        <f>IFERROR(__xludf.DUMMYFUNCTION("""COMPUTED_VALUE"""),"")</f>
        <v/>
      </c>
      <c r="AE427" s="224"/>
      <c r="AF427" s="224" t="str">
        <f>IFERROR(__xludf.DUMMYFUNCTION("""COMPUTED_VALUE"""),"")</f>
        <v/>
      </c>
      <c r="AG427" s="224" t="str">
        <f>IFERROR(__xludf.DUMMYFUNCTION("""COMPUTED_VALUE"""),"")</f>
        <v/>
      </c>
    </row>
    <row r="428">
      <c r="AD428" s="224" t="str">
        <f>IFERROR(__xludf.DUMMYFUNCTION("""COMPUTED_VALUE"""),"")</f>
        <v/>
      </c>
      <c r="AE428" s="224"/>
      <c r="AF428" s="224" t="str">
        <f>IFERROR(__xludf.DUMMYFUNCTION("""COMPUTED_VALUE"""),"")</f>
        <v/>
      </c>
      <c r="AG428" s="224" t="str">
        <f>IFERROR(__xludf.DUMMYFUNCTION("""COMPUTED_VALUE"""),"")</f>
        <v/>
      </c>
    </row>
    <row r="429">
      <c r="AD429" s="224" t="str">
        <f>IFERROR(__xludf.DUMMYFUNCTION("""COMPUTED_VALUE"""),"")</f>
        <v/>
      </c>
      <c r="AE429" s="224"/>
      <c r="AF429" s="224" t="str">
        <f>IFERROR(__xludf.DUMMYFUNCTION("""COMPUTED_VALUE"""),"")</f>
        <v/>
      </c>
      <c r="AG429" s="224" t="str">
        <f>IFERROR(__xludf.DUMMYFUNCTION("""COMPUTED_VALUE"""),"")</f>
        <v/>
      </c>
    </row>
    <row r="430">
      <c r="AD430" s="224" t="str">
        <f>IFERROR(__xludf.DUMMYFUNCTION("""COMPUTED_VALUE"""),"")</f>
        <v/>
      </c>
      <c r="AE430" s="224"/>
      <c r="AF430" s="224" t="str">
        <f>IFERROR(__xludf.DUMMYFUNCTION("""COMPUTED_VALUE"""),"")</f>
        <v/>
      </c>
      <c r="AG430" s="224" t="str">
        <f>IFERROR(__xludf.DUMMYFUNCTION("""COMPUTED_VALUE"""),"")</f>
        <v/>
      </c>
    </row>
    <row r="431">
      <c r="AD431" s="224" t="str">
        <f>IFERROR(__xludf.DUMMYFUNCTION("""COMPUTED_VALUE"""),"")</f>
        <v/>
      </c>
      <c r="AE431" s="224"/>
      <c r="AF431" s="224" t="str">
        <f>IFERROR(__xludf.DUMMYFUNCTION("""COMPUTED_VALUE"""),"")</f>
        <v/>
      </c>
      <c r="AG431" s="224" t="str">
        <f>IFERROR(__xludf.DUMMYFUNCTION("""COMPUTED_VALUE"""),"")</f>
        <v/>
      </c>
    </row>
    <row r="432">
      <c r="AD432" s="224" t="str">
        <f>IFERROR(__xludf.DUMMYFUNCTION("""COMPUTED_VALUE"""),"")</f>
        <v/>
      </c>
      <c r="AE432" s="224"/>
      <c r="AF432" s="224" t="str">
        <f>IFERROR(__xludf.DUMMYFUNCTION("""COMPUTED_VALUE"""),"")</f>
        <v/>
      </c>
      <c r="AG432" s="224" t="str">
        <f>IFERROR(__xludf.DUMMYFUNCTION("""COMPUTED_VALUE"""),"")</f>
        <v/>
      </c>
    </row>
    <row r="433">
      <c r="AD433" s="224" t="str">
        <f>IFERROR(__xludf.DUMMYFUNCTION("""COMPUTED_VALUE"""),"")</f>
        <v/>
      </c>
      <c r="AE433" s="224"/>
      <c r="AF433" s="224" t="str">
        <f>IFERROR(__xludf.DUMMYFUNCTION("""COMPUTED_VALUE"""),"")</f>
        <v/>
      </c>
      <c r="AG433" s="224" t="str">
        <f>IFERROR(__xludf.DUMMYFUNCTION("""COMPUTED_VALUE"""),"")</f>
        <v/>
      </c>
    </row>
    <row r="434">
      <c r="AD434" s="224" t="str">
        <f>IFERROR(__xludf.DUMMYFUNCTION("""COMPUTED_VALUE"""),"")</f>
        <v/>
      </c>
      <c r="AE434" s="224"/>
      <c r="AF434" s="224" t="str">
        <f>IFERROR(__xludf.DUMMYFUNCTION("""COMPUTED_VALUE"""),"")</f>
        <v/>
      </c>
      <c r="AG434" s="224" t="str">
        <f>IFERROR(__xludf.DUMMYFUNCTION("""COMPUTED_VALUE"""),"")</f>
        <v/>
      </c>
    </row>
    <row r="435">
      <c r="AD435" s="224" t="str">
        <f>IFERROR(__xludf.DUMMYFUNCTION("""COMPUTED_VALUE"""),"")</f>
        <v/>
      </c>
      <c r="AE435" s="224"/>
      <c r="AF435" s="224" t="str">
        <f>IFERROR(__xludf.DUMMYFUNCTION("""COMPUTED_VALUE"""),"")</f>
        <v/>
      </c>
      <c r="AG435" s="224" t="str">
        <f>IFERROR(__xludf.DUMMYFUNCTION("""COMPUTED_VALUE"""),"")</f>
        <v/>
      </c>
    </row>
    <row r="436">
      <c r="AD436" s="224" t="str">
        <f>IFERROR(__xludf.DUMMYFUNCTION("""COMPUTED_VALUE"""),"")</f>
        <v/>
      </c>
      <c r="AE436" s="224"/>
      <c r="AF436" s="224" t="str">
        <f>IFERROR(__xludf.DUMMYFUNCTION("""COMPUTED_VALUE"""),"")</f>
        <v/>
      </c>
      <c r="AG436" s="224" t="str">
        <f>IFERROR(__xludf.DUMMYFUNCTION("""COMPUTED_VALUE"""),"")</f>
        <v/>
      </c>
    </row>
    <row r="437">
      <c r="AD437" s="224" t="str">
        <f>IFERROR(__xludf.DUMMYFUNCTION("""COMPUTED_VALUE"""),"")</f>
        <v/>
      </c>
      <c r="AE437" s="224"/>
      <c r="AF437" s="224" t="str">
        <f>IFERROR(__xludf.DUMMYFUNCTION("""COMPUTED_VALUE"""),"")</f>
        <v/>
      </c>
      <c r="AG437" s="224" t="str">
        <f>IFERROR(__xludf.DUMMYFUNCTION("""COMPUTED_VALUE"""),"")</f>
        <v/>
      </c>
    </row>
    <row r="438">
      <c r="AD438" s="224" t="str">
        <f>IFERROR(__xludf.DUMMYFUNCTION("""COMPUTED_VALUE"""),"")</f>
        <v/>
      </c>
      <c r="AE438" s="224"/>
      <c r="AF438" s="224" t="str">
        <f>IFERROR(__xludf.DUMMYFUNCTION("""COMPUTED_VALUE"""),"")</f>
        <v/>
      </c>
      <c r="AG438" s="224" t="str">
        <f>IFERROR(__xludf.DUMMYFUNCTION("""COMPUTED_VALUE"""),"")</f>
        <v/>
      </c>
    </row>
    <row r="439">
      <c r="AD439" s="224" t="str">
        <f>IFERROR(__xludf.DUMMYFUNCTION("""COMPUTED_VALUE"""),"")</f>
        <v/>
      </c>
      <c r="AE439" s="224"/>
      <c r="AF439" s="224" t="str">
        <f>IFERROR(__xludf.DUMMYFUNCTION("""COMPUTED_VALUE"""),"")</f>
        <v/>
      </c>
      <c r="AG439" s="224" t="str">
        <f>IFERROR(__xludf.DUMMYFUNCTION("""COMPUTED_VALUE"""),"")</f>
        <v/>
      </c>
    </row>
    <row r="440">
      <c r="AD440" s="224" t="str">
        <f>IFERROR(__xludf.DUMMYFUNCTION("""COMPUTED_VALUE"""),"")</f>
        <v/>
      </c>
      <c r="AE440" s="224"/>
      <c r="AF440" s="224" t="str">
        <f>IFERROR(__xludf.DUMMYFUNCTION("""COMPUTED_VALUE"""),"")</f>
        <v/>
      </c>
      <c r="AG440" s="224" t="str">
        <f>IFERROR(__xludf.DUMMYFUNCTION("""COMPUTED_VALUE"""),"")</f>
        <v/>
      </c>
    </row>
    <row r="441">
      <c r="AD441" s="224" t="str">
        <f>IFERROR(__xludf.DUMMYFUNCTION("""COMPUTED_VALUE"""),"")</f>
        <v/>
      </c>
      <c r="AE441" s="224"/>
      <c r="AF441" s="224" t="str">
        <f>IFERROR(__xludf.DUMMYFUNCTION("""COMPUTED_VALUE"""),"")</f>
        <v/>
      </c>
      <c r="AG441" s="224" t="str">
        <f>IFERROR(__xludf.DUMMYFUNCTION("""COMPUTED_VALUE"""),"")</f>
        <v/>
      </c>
    </row>
    <row r="442">
      <c r="AD442" s="224" t="str">
        <f>IFERROR(__xludf.DUMMYFUNCTION("""COMPUTED_VALUE"""),"")</f>
        <v/>
      </c>
      <c r="AE442" s="224"/>
      <c r="AF442" s="224" t="str">
        <f>IFERROR(__xludf.DUMMYFUNCTION("""COMPUTED_VALUE"""),"")</f>
        <v/>
      </c>
      <c r="AG442" s="224" t="str">
        <f>IFERROR(__xludf.DUMMYFUNCTION("""COMPUTED_VALUE"""),"")</f>
        <v/>
      </c>
    </row>
    <row r="443">
      <c r="AD443" s="224" t="str">
        <f>IFERROR(__xludf.DUMMYFUNCTION("""COMPUTED_VALUE"""),"")</f>
        <v/>
      </c>
      <c r="AE443" s="224"/>
      <c r="AF443" s="224" t="str">
        <f>IFERROR(__xludf.DUMMYFUNCTION("""COMPUTED_VALUE"""),"")</f>
        <v/>
      </c>
      <c r="AG443" s="224" t="str">
        <f>IFERROR(__xludf.DUMMYFUNCTION("""COMPUTED_VALUE"""),"")</f>
        <v/>
      </c>
    </row>
    <row r="444">
      <c r="AD444" s="224" t="str">
        <f>IFERROR(__xludf.DUMMYFUNCTION("""COMPUTED_VALUE"""),"")</f>
        <v/>
      </c>
      <c r="AE444" s="224"/>
      <c r="AF444" s="224" t="str">
        <f>IFERROR(__xludf.DUMMYFUNCTION("""COMPUTED_VALUE"""),"")</f>
        <v/>
      </c>
      <c r="AG444" s="224" t="str">
        <f>IFERROR(__xludf.DUMMYFUNCTION("""COMPUTED_VALUE"""),"")</f>
        <v/>
      </c>
    </row>
    <row r="445">
      <c r="AD445" s="224" t="str">
        <f>IFERROR(__xludf.DUMMYFUNCTION("""COMPUTED_VALUE"""),"")</f>
        <v/>
      </c>
      <c r="AE445" s="224"/>
      <c r="AF445" s="224" t="str">
        <f>IFERROR(__xludf.DUMMYFUNCTION("""COMPUTED_VALUE"""),"")</f>
        <v/>
      </c>
      <c r="AG445" s="224" t="str">
        <f>IFERROR(__xludf.DUMMYFUNCTION("""COMPUTED_VALUE"""),"")</f>
        <v/>
      </c>
    </row>
    <row r="446">
      <c r="AD446" s="224" t="str">
        <f>IFERROR(__xludf.DUMMYFUNCTION("""COMPUTED_VALUE"""),"")</f>
        <v/>
      </c>
      <c r="AE446" s="224"/>
      <c r="AF446" s="224" t="str">
        <f>IFERROR(__xludf.DUMMYFUNCTION("""COMPUTED_VALUE"""),"")</f>
        <v/>
      </c>
      <c r="AG446" s="224" t="str">
        <f>IFERROR(__xludf.DUMMYFUNCTION("""COMPUTED_VALUE"""),"")</f>
        <v/>
      </c>
    </row>
    <row r="447">
      <c r="AD447" s="224" t="str">
        <f>IFERROR(__xludf.DUMMYFUNCTION("""COMPUTED_VALUE"""),"")</f>
        <v/>
      </c>
      <c r="AE447" s="224"/>
      <c r="AF447" s="224" t="str">
        <f>IFERROR(__xludf.DUMMYFUNCTION("""COMPUTED_VALUE"""),"")</f>
        <v/>
      </c>
      <c r="AG447" s="224" t="str">
        <f>IFERROR(__xludf.DUMMYFUNCTION("""COMPUTED_VALUE"""),"")</f>
        <v/>
      </c>
    </row>
    <row r="448">
      <c r="AD448" s="224" t="str">
        <f>IFERROR(__xludf.DUMMYFUNCTION("""COMPUTED_VALUE"""),"")</f>
        <v/>
      </c>
      <c r="AE448" s="224"/>
      <c r="AF448" s="224" t="str">
        <f>IFERROR(__xludf.DUMMYFUNCTION("""COMPUTED_VALUE"""),"")</f>
        <v/>
      </c>
      <c r="AG448" s="224" t="str">
        <f>IFERROR(__xludf.DUMMYFUNCTION("""COMPUTED_VALUE"""),"")</f>
        <v/>
      </c>
    </row>
    <row r="449">
      <c r="AD449" s="224" t="str">
        <f>IFERROR(__xludf.DUMMYFUNCTION("""COMPUTED_VALUE"""),"")</f>
        <v/>
      </c>
      <c r="AE449" s="224"/>
      <c r="AF449" s="224" t="str">
        <f>IFERROR(__xludf.DUMMYFUNCTION("""COMPUTED_VALUE"""),"")</f>
        <v/>
      </c>
      <c r="AG449" s="224" t="str">
        <f>IFERROR(__xludf.DUMMYFUNCTION("""COMPUTED_VALUE"""),"")</f>
        <v/>
      </c>
    </row>
    <row r="450">
      <c r="AD450" s="224" t="str">
        <f>IFERROR(__xludf.DUMMYFUNCTION("""COMPUTED_VALUE"""),"")</f>
        <v/>
      </c>
      <c r="AE450" s="224"/>
      <c r="AF450" s="224" t="str">
        <f>IFERROR(__xludf.DUMMYFUNCTION("""COMPUTED_VALUE"""),"")</f>
        <v/>
      </c>
      <c r="AG450" s="224" t="str">
        <f>IFERROR(__xludf.DUMMYFUNCTION("""COMPUTED_VALUE"""),"")</f>
        <v/>
      </c>
    </row>
    <row r="451">
      <c r="AD451" s="224" t="str">
        <f>IFERROR(__xludf.DUMMYFUNCTION("""COMPUTED_VALUE"""),"")</f>
        <v/>
      </c>
      <c r="AE451" s="224"/>
      <c r="AF451" s="224" t="str">
        <f>IFERROR(__xludf.DUMMYFUNCTION("""COMPUTED_VALUE"""),"")</f>
        <v/>
      </c>
      <c r="AG451" s="224" t="str">
        <f>IFERROR(__xludf.DUMMYFUNCTION("""COMPUTED_VALUE"""),"")</f>
        <v/>
      </c>
    </row>
    <row r="452">
      <c r="AD452" s="224" t="str">
        <f>IFERROR(__xludf.DUMMYFUNCTION("""COMPUTED_VALUE"""),"")</f>
        <v/>
      </c>
      <c r="AE452" s="224"/>
      <c r="AF452" s="224" t="str">
        <f>IFERROR(__xludf.DUMMYFUNCTION("""COMPUTED_VALUE"""),"")</f>
        <v/>
      </c>
      <c r="AG452" s="224" t="str">
        <f>IFERROR(__xludf.DUMMYFUNCTION("""COMPUTED_VALUE"""),"")</f>
        <v/>
      </c>
    </row>
    <row r="453">
      <c r="AD453" s="224" t="str">
        <f>IFERROR(__xludf.DUMMYFUNCTION("""COMPUTED_VALUE"""),"")</f>
        <v/>
      </c>
      <c r="AE453" s="224"/>
      <c r="AF453" s="224" t="str">
        <f>IFERROR(__xludf.DUMMYFUNCTION("""COMPUTED_VALUE"""),"")</f>
        <v/>
      </c>
      <c r="AG453" s="224" t="str">
        <f>IFERROR(__xludf.DUMMYFUNCTION("""COMPUTED_VALUE"""),"")</f>
        <v/>
      </c>
    </row>
    <row r="454">
      <c r="AD454" s="224" t="str">
        <f>IFERROR(__xludf.DUMMYFUNCTION("""COMPUTED_VALUE"""),"")</f>
        <v/>
      </c>
      <c r="AE454" s="224"/>
      <c r="AF454" s="224" t="str">
        <f>IFERROR(__xludf.DUMMYFUNCTION("""COMPUTED_VALUE"""),"")</f>
        <v/>
      </c>
      <c r="AG454" s="224" t="str">
        <f>IFERROR(__xludf.DUMMYFUNCTION("""COMPUTED_VALUE"""),"")</f>
        <v/>
      </c>
    </row>
    <row r="455">
      <c r="AD455" s="224" t="str">
        <f>IFERROR(__xludf.DUMMYFUNCTION("""COMPUTED_VALUE"""),"")</f>
        <v/>
      </c>
      <c r="AE455" s="224"/>
      <c r="AF455" s="224" t="str">
        <f>IFERROR(__xludf.DUMMYFUNCTION("""COMPUTED_VALUE"""),"")</f>
        <v/>
      </c>
      <c r="AG455" s="224" t="str">
        <f>IFERROR(__xludf.DUMMYFUNCTION("""COMPUTED_VALUE"""),"")</f>
        <v/>
      </c>
    </row>
    <row r="456">
      <c r="AD456" s="224" t="str">
        <f>IFERROR(__xludf.DUMMYFUNCTION("""COMPUTED_VALUE"""),"")</f>
        <v/>
      </c>
      <c r="AE456" s="224"/>
      <c r="AF456" s="224" t="str">
        <f>IFERROR(__xludf.DUMMYFUNCTION("""COMPUTED_VALUE"""),"")</f>
        <v/>
      </c>
      <c r="AG456" s="224" t="str">
        <f>IFERROR(__xludf.DUMMYFUNCTION("""COMPUTED_VALUE"""),"")</f>
        <v/>
      </c>
    </row>
    <row r="457">
      <c r="AD457" s="224" t="str">
        <f>IFERROR(__xludf.DUMMYFUNCTION("""COMPUTED_VALUE"""),"")</f>
        <v/>
      </c>
      <c r="AE457" s="224"/>
      <c r="AF457" s="224" t="str">
        <f>IFERROR(__xludf.DUMMYFUNCTION("""COMPUTED_VALUE"""),"")</f>
        <v/>
      </c>
      <c r="AG457" s="224" t="str">
        <f>IFERROR(__xludf.DUMMYFUNCTION("""COMPUTED_VALUE"""),"")</f>
        <v/>
      </c>
    </row>
    <row r="458">
      <c r="AD458" s="224" t="str">
        <f>IFERROR(__xludf.DUMMYFUNCTION("""COMPUTED_VALUE"""),"")</f>
        <v/>
      </c>
      <c r="AE458" s="224"/>
      <c r="AF458" s="224" t="str">
        <f>IFERROR(__xludf.DUMMYFUNCTION("""COMPUTED_VALUE"""),"")</f>
        <v/>
      </c>
      <c r="AG458" s="224" t="str">
        <f>IFERROR(__xludf.DUMMYFUNCTION("""COMPUTED_VALUE"""),"")</f>
        <v/>
      </c>
    </row>
    <row r="459">
      <c r="AD459" s="224" t="str">
        <f>IFERROR(__xludf.DUMMYFUNCTION("""COMPUTED_VALUE"""),"")</f>
        <v/>
      </c>
      <c r="AE459" s="224"/>
      <c r="AF459" s="224" t="str">
        <f>IFERROR(__xludf.DUMMYFUNCTION("""COMPUTED_VALUE"""),"")</f>
        <v/>
      </c>
      <c r="AG459" s="224" t="str">
        <f>IFERROR(__xludf.DUMMYFUNCTION("""COMPUTED_VALUE"""),"")</f>
        <v/>
      </c>
    </row>
    <row r="460">
      <c r="AD460" s="224" t="str">
        <f>IFERROR(__xludf.DUMMYFUNCTION("""COMPUTED_VALUE"""),"")</f>
        <v/>
      </c>
      <c r="AE460" s="224"/>
      <c r="AF460" s="224" t="str">
        <f>IFERROR(__xludf.DUMMYFUNCTION("""COMPUTED_VALUE"""),"")</f>
        <v/>
      </c>
      <c r="AG460" s="224" t="str">
        <f>IFERROR(__xludf.DUMMYFUNCTION("""COMPUTED_VALUE"""),"")</f>
        <v/>
      </c>
    </row>
    <row r="461">
      <c r="AD461" s="224" t="str">
        <f>IFERROR(__xludf.DUMMYFUNCTION("""COMPUTED_VALUE"""),"")</f>
        <v/>
      </c>
      <c r="AE461" s="224"/>
      <c r="AF461" s="224" t="str">
        <f>IFERROR(__xludf.DUMMYFUNCTION("""COMPUTED_VALUE"""),"")</f>
        <v/>
      </c>
      <c r="AG461" s="224" t="str">
        <f>IFERROR(__xludf.DUMMYFUNCTION("""COMPUTED_VALUE"""),"")</f>
        <v/>
      </c>
    </row>
    <row r="462">
      <c r="AD462" s="224" t="str">
        <f>IFERROR(__xludf.DUMMYFUNCTION("""COMPUTED_VALUE"""),"")</f>
        <v/>
      </c>
      <c r="AE462" s="224"/>
      <c r="AF462" s="224" t="str">
        <f>IFERROR(__xludf.DUMMYFUNCTION("""COMPUTED_VALUE"""),"")</f>
        <v/>
      </c>
      <c r="AG462" s="224" t="str">
        <f>IFERROR(__xludf.DUMMYFUNCTION("""COMPUTED_VALUE"""),"")</f>
        <v/>
      </c>
    </row>
    <row r="463">
      <c r="AD463" s="224" t="str">
        <f>IFERROR(__xludf.DUMMYFUNCTION("""COMPUTED_VALUE"""),"")</f>
        <v/>
      </c>
      <c r="AE463" s="224"/>
      <c r="AF463" s="224" t="str">
        <f>IFERROR(__xludf.DUMMYFUNCTION("""COMPUTED_VALUE"""),"")</f>
        <v/>
      </c>
      <c r="AG463" s="224" t="str">
        <f>IFERROR(__xludf.DUMMYFUNCTION("""COMPUTED_VALUE"""),"")</f>
        <v/>
      </c>
    </row>
    <row r="464">
      <c r="AD464" s="224" t="str">
        <f>IFERROR(__xludf.DUMMYFUNCTION("""COMPUTED_VALUE"""),"")</f>
        <v/>
      </c>
      <c r="AE464" s="224"/>
      <c r="AF464" s="224" t="str">
        <f>IFERROR(__xludf.DUMMYFUNCTION("""COMPUTED_VALUE"""),"")</f>
        <v/>
      </c>
      <c r="AG464" s="224" t="str">
        <f>IFERROR(__xludf.DUMMYFUNCTION("""COMPUTED_VALUE"""),"")</f>
        <v/>
      </c>
    </row>
    <row r="465">
      <c r="AD465" s="224" t="str">
        <f>IFERROR(__xludf.DUMMYFUNCTION("""COMPUTED_VALUE"""),"")</f>
        <v/>
      </c>
      <c r="AE465" s="224"/>
      <c r="AF465" s="224" t="str">
        <f>IFERROR(__xludf.DUMMYFUNCTION("""COMPUTED_VALUE"""),"")</f>
        <v/>
      </c>
      <c r="AG465" s="224" t="str">
        <f>IFERROR(__xludf.DUMMYFUNCTION("""COMPUTED_VALUE"""),"")</f>
        <v/>
      </c>
    </row>
    <row r="466">
      <c r="AD466" s="224" t="str">
        <f>IFERROR(__xludf.DUMMYFUNCTION("""COMPUTED_VALUE"""),"")</f>
        <v/>
      </c>
      <c r="AE466" s="224"/>
      <c r="AF466" s="224" t="str">
        <f>IFERROR(__xludf.DUMMYFUNCTION("""COMPUTED_VALUE"""),"")</f>
        <v/>
      </c>
      <c r="AG466" s="224" t="str">
        <f>IFERROR(__xludf.DUMMYFUNCTION("""COMPUTED_VALUE"""),"")</f>
        <v/>
      </c>
    </row>
    <row r="467">
      <c r="AD467" s="224" t="str">
        <f>IFERROR(__xludf.DUMMYFUNCTION("""COMPUTED_VALUE"""),"")</f>
        <v/>
      </c>
      <c r="AE467" s="224"/>
      <c r="AF467" s="224" t="str">
        <f>IFERROR(__xludf.DUMMYFUNCTION("""COMPUTED_VALUE"""),"")</f>
        <v/>
      </c>
      <c r="AG467" s="224" t="str">
        <f>IFERROR(__xludf.DUMMYFUNCTION("""COMPUTED_VALUE"""),"")</f>
        <v/>
      </c>
    </row>
    <row r="468">
      <c r="AD468" s="224" t="str">
        <f>IFERROR(__xludf.DUMMYFUNCTION("""COMPUTED_VALUE"""),"")</f>
        <v/>
      </c>
      <c r="AE468" s="224"/>
      <c r="AF468" s="224" t="str">
        <f>IFERROR(__xludf.DUMMYFUNCTION("""COMPUTED_VALUE"""),"")</f>
        <v/>
      </c>
      <c r="AG468" s="224" t="str">
        <f>IFERROR(__xludf.DUMMYFUNCTION("""COMPUTED_VALUE"""),"")</f>
        <v/>
      </c>
    </row>
    <row r="469">
      <c r="AD469" s="224" t="str">
        <f>IFERROR(__xludf.DUMMYFUNCTION("""COMPUTED_VALUE"""),"")</f>
        <v/>
      </c>
      <c r="AE469" s="224"/>
      <c r="AF469" s="224" t="str">
        <f>IFERROR(__xludf.DUMMYFUNCTION("""COMPUTED_VALUE"""),"")</f>
        <v/>
      </c>
      <c r="AG469" s="224" t="str">
        <f>IFERROR(__xludf.DUMMYFUNCTION("""COMPUTED_VALUE"""),"")</f>
        <v/>
      </c>
    </row>
    <row r="470">
      <c r="AD470" s="224" t="str">
        <f>IFERROR(__xludf.DUMMYFUNCTION("""COMPUTED_VALUE"""),"")</f>
        <v/>
      </c>
      <c r="AE470" s="224"/>
      <c r="AF470" s="224" t="str">
        <f>IFERROR(__xludf.DUMMYFUNCTION("""COMPUTED_VALUE"""),"")</f>
        <v/>
      </c>
      <c r="AG470" s="224" t="str">
        <f>IFERROR(__xludf.DUMMYFUNCTION("""COMPUTED_VALUE"""),"")</f>
        <v/>
      </c>
    </row>
    <row r="471">
      <c r="AD471" s="224" t="str">
        <f>IFERROR(__xludf.DUMMYFUNCTION("""COMPUTED_VALUE"""),"")</f>
        <v/>
      </c>
      <c r="AE471" s="224"/>
      <c r="AF471" s="224" t="str">
        <f>IFERROR(__xludf.DUMMYFUNCTION("""COMPUTED_VALUE"""),"")</f>
        <v/>
      </c>
      <c r="AG471" s="224" t="str">
        <f>IFERROR(__xludf.DUMMYFUNCTION("""COMPUTED_VALUE"""),"")</f>
        <v/>
      </c>
    </row>
    <row r="472">
      <c r="AD472" s="224" t="str">
        <f>IFERROR(__xludf.DUMMYFUNCTION("""COMPUTED_VALUE"""),"")</f>
        <v/>
      </c>
      <c r="AE472" s="224"/>
      <c r="AF472" s="224" t="str">
        <f>IFERROR(__xludf.DUMMYFUNCTION("""COMPUTED_VALUE"""),"")</f>
        <v/>
      </c>
      <c r="AG472" s="224" t="str">
        <f>IFERROR(__xludf.DUMMYFUNCTION("""COMPUTED_VALUE"""),"")</f>
        <v/>
      </c>
    </row>
    <row r="473">
      <c r="AD473" s="224" t="str">
        <f>IFERROR(__xludf.DUMMYFUNCTION("""COMPUTED_VALUE"""),"")</f>
        <v/>
      </c>
      <c r="AE473" s="224"/>
      <c r="AF473" s="224" t="str">
        <f>IFERROR(__xludf.DUMMYFUNCTION("""COMPUTED_VALUE"""),"")</f>
        <v/>
      </c>
      <c r="AG473" s="224" t="str">
        <f>IFERROR(__xludf.DUMMYFUNCTION("""COMPUTED_VALUE"""),"")</f>
        <v/>
      </c>
    </row>
    <row r="474">
      <c r="AD474" s="224" t="str">
        <f>IFERROR(__xludf.DUMMYFUNCTION("""COMPUTED_VALUE"""),"")</f>
        <v/>
      </c>
      <c r="AE474" s="224"/>
      <c r="AF474" s="224" t="str">
        <f>IFERROR(__xludf.DUMMYFUNCTION("""COMPUTED_VALUE"""),"")</f>
        <v/>
      </c>
      <c r="AG474" s="224" t="str">
        <f>IFERROR(__xludf.DUMMYFUNCTION("""COMPUTED_VALUE"""),"")</f>
        <v/>
      </c>
    </row>
    <row r="475">
      <c r="AD475" s="224" t="str">
        <f>IFERROR(__xludf.DUMMYFUNCTION("""COMPUTED_VALUE"""),"")</f>
        <v/>
      </c>
      <c r="AE475" s="224"/>
      <c r="AF475" s="224" t="str">
        <f>IFERROR(__xludf.DUMMYFUNCTION("""COMPUTED_VALUE"""),"")</f>
        <v/>
      </c>
      <c r="AG475" s="224" t="str">
        <f>IFERROR(__xludf.DUMMYFUNCTION("""COMPUTED_VALUE"""),"")</f>
        <v/>
      </c>
    </row>
    <row r="476">
      <c r="AD476" s="224" t="str">
        <f>IFERROR(__xludf.DUMMYFUNCTION("""COMPUTED_VALUE"""),"")</f>
        <v/>
      </c>
      <c r="AE476" s="224"/>
      <c r="AF476" s="224" t="str">
        <f>IFERROR(__xludf.DUMMYFUNCTION("""COMPUTED_VALUE"""),"")</f>
        <v/>
      </c>
      <c r="AG476" s="224" t="str">
        <f>IFERROR(__xludf.DUMMYFUNCTION("""COMPUTED_VALUE"""),"")</f>
        <v/>
      </c>
    </row>
    <row r="477">
      <c r="AD477" s="224" t="str">
        <f>IFERROR(__xludf.DUMMYFUNCTION("""COMPUTED_VALUE"""),"")</f>
        <v/>
      </c>
      <c r="AE477" s="224"/>
      <c r="AF477" s="224" t="str">
        <f>IFERROR(__xludf.DUMMYFUNCTION("""COMPUTED_VALUE"""),"")</f>
        <v/>
      </c>
      <c r="AG477" s="224" t="str">
        <f>IFERROR(__xludf.DUMMYFUNCTION("""COMPUTED_VALUE"""),"")</f>
        <v/>
      </c>
    </row>
    <row r="478">
      <c r="AD478" s="224" t="str">
        <f>IFERROR(__xludf.DUMMYFUNCTION("""COMPUTED_VALUE"""),"")</f>
        <v/>
      </c>
      <c r="AE478" s="224"/>
      <c r="AF478" s="224" t="str">
        <f>IFERROR(__xludf.DUMMYFUNCTION("""COMPUTED_VALUE"""),"")</f>
        <v/>
      </c>
      <c r="AG478" s="224" t="str">
        <f>IFERROR(__xludf.DUMMYFUNCTION("""COMPUTED_VALUE"""),"")</f>
        <v/>
      </c>
    </row>
    <row r="479">
      <c r="AD479" s="224" t="str">
        <f>IFERROR(__xludf.DUMMYFUNCTION("""COMPUTED_VALUE"""),"")</f>
        <v/>
      </c>
      <c r="AE479" s="224"/>
      <c r="AF479" s="224" t="str">
        <f>IFERROR(__xludf.DUMMYFUNCTION("""COMPUTED_VALUE"""),"")</f>
        <v/>
      </c>
      <c r="AG479" s="224" t="str">
        <f>IFERROR(__xludf.DUMMYFUNCTION("""COMPUTED_VALUE"""),"")</f>
        <v/>
      </c>
    </row>
    <row r="480">
      <c r="AD480" s="224" t="str">
        <f>IFERROR(__xludf.DUMMYFUNCTION("""COMPUTED_VALUE"""),"")</f>
        <v/>
      </c>
      <c r="AE480" s="224"/>
      <c r="AF480" s="224" t="str">
        <f>IFERROR(__xludf.DUMMYFUNCTION("""COMPUTED_VALUE"""),"")</f>
        <v/>
      </c>
      <c r="AG480" s="224" t="str">
        <f>IFERROR(__xludf.DUMMYFUNCTION("""COMPUTED_VALUE"""),"")</f>
        <v/>
      </c>
    </row>
    <row r="481">
      <c r="AD481" s="224" t="str">
        <f>IFERROR(__xludf.DUMMYFUNCTION("""COMPUTED_VALUE"""),"")</f>
        <v/>
      </c>
      <c r="AE481" s="224"/>
      <c r="AF481" s="224" t="str">
        <f>IFERROR(__xludf.DUMMYFUNCTION("""COMPUTED_VALUE"""),"")</f>
        <v/>
      </c>
      <c r="AG481" s="224" t="str">
        <f>IFERROR(__xludf.DUMMYFUNCTION("""COMPUTED_VALUE"""),"")</f>
        <v/>
      </c>
    </row>
    <row r="482">
      <c r="AD482" s="224" t="str">
        <f>IFERROR(__xludf.DUMMYFUNCTION("""COMPUTED_VALUE"""),"")</f>
        <v/>
      </c>
      <c r="AE482" s="224"/>
      <c r="AF482" s="224" t="str">
        <f>IFERROR(__xludf.DUMMYFUNCTION("""COMPUTED_VALUE"""),"")</f>
        <v/>
      </c>
      <c r="AG482" s="224" t="str">
        <f>IFERROR(__xludf.DUMMYFUNCTION("""COMPUTED_VALUE"""),"")</f>
        <v/>
      </c>
    </row>
    <row r="483">
      <c r="AD483" s="224" t="str">
        <f>IFERROR(__xludf.DUMMYFUNCTION("""COMPUTED_VALUE"""),"")</f>
        <v/>
      </c>
      <c r="AE483" s="224"/>
      <c r="AF483" s="224" t="str">
        <f>IFERROR(__xludf.DUMMYFUNCTION("""COMPUTED_VALUE"""),"")</f>
        <v/>
      </c>
      <c r="AG483" s="224" t="str">
        <f>IFERROR(__xludf.DUMMYFUNCTION("""COMPUTED_VALUE"""),"")</f>
        <v/>
      </c>
    </row>
    <row r="484">
      <c r="AD484" s="224" t="str">
        <f>IFERROR(__xludf.DUMMYFUNCTION("""COMPUTED_VALUE"""),"")</f>
        <v/>
      </c>
      <c r="AE484" s="224"/>
      <c r="AF484" s="224" t="str">
        <f>IFERROR(__xludf.DUMMYFUNCTION("""COMPUTED_VALUE"""),"")</f>
        <v/>
      </c>
      <c r="AG484" s="224" t="str">
        <f>IFERROR(__xludf.DUMMYFUNCTION("""COMPUTED_VALUE"""),"")</f>
        <v/>
      </c>
    </row>
    <row r="485">
      <c r="AD485" s="224" t="str">
        <f>IFERROR(__xludf.DUMMYFUNCTION("""COMPUTED_VALUE"""),"")</f>
        <v/>
      </c>
      <c r="AE485" s="224"/>
      <c r="AF485" s="224" t="str">
        <f>IFERROR(__xludf.DUMMYFUNCTION("""COMPUTED_VALUE"""),"")</f>
        <v/>
      </c>
      <c r="AG485" s="224" t="str">
        <f>IFERROR(__xludf.DUMMYFUNCTION("""COMPUTED_VALUE"""),"")</f>
        <v/>
      </c>
    </row>
    <row r="486">
      <c r="AD486" s="224" t="str">
        <f>IFERROR(__xludf.DUMMYFUNCTION("""COMPUTED_VALUE"""),"")</f>
        <v/>
      </c>
      <c r="AE486" s="224"/>
      <c r="AF486" s="224" t="str">
        <f>IFERROR(__xludf.DUMMYFUNCTION("""COMPUTED_VALUE"""),"")</f>
        <v/>
      </c>
      <c r="AG486" s="224" t="str">
        <f>IFERROR(__xludf.DUMMYFUNCTION("""COMPUTED_VALUE"""),"")</f>
        <v/>
      </c>
    </row>
    <row r="487">
      <c r="AD487" s="224" t="str">
        <f>IFERROR(__xludf.DUMMYFUNCTION("""COMPUTED_VALUE"""),"")</f>
        <v/>
      </c>
      <c r="AE487" s="224"/>
      <c r="AF487" s="224" t="str">
        <f>IFERROR(__xludf.DUMMYFUNCTION("""COMPUTED_VALUE"""),"")</f>
        <v/>
      </c>
      <c r="AG487" s="224" t="str">
        <f>IFERROR(__xludf.DUMMYFUNCTION("""COMPUTED_VALUE"""),"")</f>
        <v/>
      </c>
    </row>
    <row r="488">
      <c r="AD488" s="224" t="str">
        <f>IFERROR(__xludf.DUMMYFUNCTION("""COMPUTED_VALUE"""),"")</f>
        <v/>
      </c>
      <c r="AE488" s="224"/>
      <c r="AF488" s="224" t="str">
        <f>IFERROR(__xludf.DUMMYFUNCTION("""COMPUTED_VALUE"""),"")</f>
        <v/>
      </c>
      <c r="AG488" s="224" t="str">
        <f>IFERROR(__xludf.DUMMYFUNCTION("""COMPUTED_VALUE"""),"")</f>
        <v/>
      </c>
    </row>
    <row r="489">
      <c r="AD489" s="224" t="str">
        <f>IFERROR(__xludf.DUMMYFUNCTION("""COMPUTED_VALUE"""),"")</f>
        <v/>
      </c>
      <c r="AE489" s="224"/>
      <c r="AF489" s="224" t="str">
        <f>IFERROR(__xludf.DUMMYFUNCTION("""COMPUTED_VALUE"""),"")</f>
        <v/>
      </c>
      <c r="AG489" s="224" t="str">
        <f>IFERROR(__xludf.DUMMYFUNCTION("""COMPUTED_VALUE"""),"")</f>
        <v/>
      </c>
    </row>
    <row r="490">
      <c r="AD490" s="224" t="str">
        <f>IFERROR(__xludf.DUMMYFUNCTION("""COMPUTED_VALUE"""),"")</f>
        <v/>
      </c>
      <c r="AE490" s="224"/>
      <c r="AF490" s="224" t="str">
        <f>IFERROR(__xludf.DUMMYFUNCTION("""COMPUTED_VALUE"""),"")</f>
        <v/>
      </c>
      <c r="AG490" s="224" t="str">
        <f>IFERROR(__xludf.DUMMYFUNCTION("""COMPUTED_VALUE"""),"")</f>
        <v/>
      </c>
    </row>
    <row r="491">
      <c r="AD491" s="224" t="str">
        <f>IFERROR(__xludf.DUMMYFUNCTION("""COMPUTED_VALUE"""),"")</f>
        <v/>
      </c>
      <c r="AE491" s="224"/>
      <c r="AF491" s="224" t="str">
        <f>IFERROR(__xludf.DUMMYFUNCTION("""COMPUTED_VALUE"""),"")</f>
        <v/>
      </c>
      <c r="AG491" s="224" t="str">
        <f>IFERROR(__xludf.DUMMYFUNCTION("""COMPUTED_VALUE"""),"")</f>
        <v/>
      </c>
    </row>
    <row r="492">
      <c r="AD492" s="224" t="str">
        <f>IFERROR(__xludf.DUMMYFUNCTION("""COMPUTED_VALUE"""),"")</f>
        <v/>
      </c>
      <c r="AE492" s="224"/>
      <c r="AF492" s="224" t="str">
        <f>IFERROR(__xludf.DUMMYFUNCTION("""COMPUTED_VALUE"""),"")</f>
        <v/>
      </c>
      <c r="AG492" s="224" t="str">
        <f>IFERROR(__xludf.DUMMYFUNCTION("""COMPUTED_VALUE"""),"")</f>
        <v/>
      </c>
    </row>
    <row r="493">
      <c r="AD493" s="224" t="str">
        <f>IFERROR(__xludf.DUMMYFUNCTION("""COMPUTED_VALUE"""),"")</f>
        <v/>
      </c>
      <c r="AE493" s="224"/>
      <c r="AF493" s="224" t="str">
        <f>IFERROR(__xludf.DUMMYFUNCTION("""COMPUTED_VALUE"""),"")</f>
        <v/>
      </c>
      <c r="AG493" s="224" t="str">
        <f>IFERROR(__xludf.DUMMYFUNCTION("""COMPUTED_VALUE"""),"")</f>
        <v/>
      </c>
    </row>
    <row r="494">
      <c r="AD494" s="224" t="str">
        <f>IFERROR(__xludf.DUMMYFUNCTION("""COMPUTED_VALUE"""),"")</f>
        <v/>
      </c>
      <c r="AE494" s="224"/>
      <c r="AF494" s="224" t="str">
        <f>IFERROR(__xludf.DUMMYFUNCTION("""COMPUTED_VALUE"""),"")</f>
        <v/>
      </c>
      <c r="AG494" s="224" t="str">
        <f>IFERROR(__xludf.DUMMYFUNCTION("""COMPUTED_VALUE"""),"")</f>
        <v/>
      </c>
    </row>
    <row r="495">
      <c r="AD495" s="224" t="str">
        <f>IFERROR(__xludf.DUMMYFUNCTION("""COMPUTED_VALUE"""),"")</f>
        <v/>
      </c>
      <c r="AE495" s="224"/>
      <c r="AF495" s="224" t="str">
        <f>IFERROR(__xludf.DUMMYFUNCTION("""COMPUTED_VALUE"""),"")</f>
        <v/>
      </c>
      <c r="AG495" s="224" t="str">
        <f>IFERROR(__xludf.DUMMYFUNCTION("""COMPUTED_VALUE"""),"")</f>
        <v/>
      </c>
    </row>
    <row r="496">
      <c r="AD496" s="224" t="str">
        <f>IFERROR(__xludf.DUMMYFUNCTION("""COMPUTED_VALUE"""),"")</f>
        <v/>
      </c>
      <c r="AE496" s="224"/>
      <c r="AF496" s="224" t="str">
        <f>IFERROR(__xludf.DUMMYFUNCTION("""COMPUTED_VALUE"""),"")</f>
        <v/>
      </c>
      <c r="AG496" s="224" t="str">
        <f>IFERROR(__xludf.DUMMYFUNCTION("""COMPUTED_VALUE"""),"")</f>
        <v/>
      </c>
    </row>
    <row r="497">
      <c r="AD497" s="224" t="str">
        <f>IFERROR(__xludf.DUMMYFUNCTION("""COMPUTED_VALUE"""),"")</f>
        <v/>
      </c>
      <c r="AE497" s="224"/>
      <c r="AF497" s="224" t="str">
        <f>IFERROR(__xludf.DUMMYFUNCTION("""COMPUTED_VALUE"""),"")</f>
        <v/>
      </c>
      <c r="AG497" s="224" t="str">
        <f>IFERROR(__xludf.DUMMYFUNCTION("""COMPUTED_VALUE"""),"")</f>
        <v/>
      </c>
    </row>
    <row r="498">
      <c r="AD498" s="224" t="str">
        <f>IFERROR(__xludf.DUMMYFUNCTION("""COMPUTED_VALUE"""),"")</f>
        <v/>
      </c>
      <c r="AE498" s="224"/>
      <c r="AF498" s="224" t="str">
        <f>IFERROR(__xludf.DUMMYFUNCTION("""COMPUTED_VALUE"""),"")</f>
        <v/>
      </c>
      <c r="AG498" s="224" t="str">
        <f>IFERROR(__xludf.DUMMYFUNCTION("""COMPUTED_VALUE"""),"")</f>
        <v/>
      </c>
    </row>
    <row r="499">
      <c r="AD499" s="224" t="str">
        <f>IFERROR(__xludf.DUMMYFUNCTION("""COMPUTED_VALUE"""),"")</f>
        <v/>
      </c>
      <c r="AE499" s="224"/>
      <c r="AF499" s="224" t="str">
        <f>IFERROR(__xludf.DUMMYFUNCTION("""COMPUTED_VALUE"""),"")</f>
        <v/>
      </c>
      <c r="AG499" s="224" t="str">
        <f>IFERROR(__xludf.DUMMYFUNCTION("""COMPUTED_VALUE"""),"")</f>
        <v/>
      </c>
    </row>
    <row r="500">
      <c r="AD500" s="224" t="str">
        <f>IFERROR(__xludf.DUMMYFUNCTION("""COMPUTED_VALUE"""),"")</f>
        <v/>
      </c>
      <c r="AE500" s="224"/>
      <c r="AF500" s="224" t="str">
        <f>IFERROR(__xludf.DUMMYFUNCTION("""COMPUTED_VALUE"""),"")</f>
        <v/>
      </c>
      <c r="AG500" s="224" t="str">
        <f>IFERROR(__xludf.DUMMYFUNCTION("""COMPUTED_VALUE"""),"")</f>
        <v/>
      </c>
    </row>
    <row r="501">
      <c r="AD501" s="224" t="str">
        <f>IFERROR(__xludf.DUMMYFUNCTION("""COMPUTED_VALUE"""),"")</f>
        <v/>
      </c>
      <c r="AE501" s="224"/>
      <c r="AF501" s="224" t="str">
        <f>IFERROR(__xludf.DUMMYFUNCTION("""COMPUTED_VALUE"""),"")</f>
        <v/>
      </c>
      <c r="AG501" s="224" t="str">
        <f>IFERROR(__xludf.DUMMYFUNCTION("""COMPUTED_VALUE"""),"")</f>
        <v/>
      </c>
    </row>
    <row r="502">
      <c r="AD502" s="224" t="str">
        <f>IFERROR(__xludf.DUMMYFUNCTION("""COMPUTED_VALUE"""),"")</f>
        <v/>
      </c>
      <c r="AE502" s="224"/>
      <c r="AF502" s="224" t="str">
        <f>IFERROR(__xludf.DUMMYFUNCTION("""COMPUTED_VALUE"""),"")</f>
        <v/>
      </c>
      <c r="AG502" s="224" t="str">
        <f>IFERROR(__xludf.DUMMYFUNCTION("""COMPUTED_VALUE"""),"")</f>
        <v/>
      </c>
    </row>
    <row r="503">
      <c r="AD503" s="224" t="str">
        <f>IFERROR(__xludf.DUMMYFUNCTION("""COMPUTED_VALUE"""),"")</f>
        <v/>
      </c>
      <c r="AE503" s="224"/>
      <c r="AF503" s="224" t="str">
        <f>IFERROR(__xludf.DUMMYFUNCTION("""COMPUTED_VALUE"""),"")</f>
        <v/>
      </c>
      <c r="AG503" s="224" t="str">
        <f>IFERROR(__xludf.DUMMYFUNCTION("""COMPUTED_VALUE"""),"")</f>
        <v/>
      </c>
    </row>
    <row r="504">
      <c r="AD504" s="224" t="str">
        <f>IFERROR(__xludf.DUMMYFUNCTION("""COMPUTED_VALUE"""),"")</f>
        <v/>
      </c>
      <c r="AE504" s="224"/>
      <c r="AF504" s="224" t="str">
        <f>IFERROR(__xludf.DUMMYFUNCTION("""COMPUTED_VALUE"""),"")</f>
        <v/>
      </c>
      <c r="AG504" s="224" t="str">
        <f>IFERROR(__xludf.DUMMYFUNCTION("""COMPUTED_VALUE"""),"")</f>
        <v/>
      </c>
    </row>
    <row r="505">
      <c r="AD505" s="224" t="str">
        <f>IFERROR(__xludf.DUMMYFUNCTION("""COMPUTED_VALUE"""),"")</f>
        <v/>
      </c>
      <c r="AE505" s="224"/>
      <c r="AF505" s="224" t="str">
        <f>IFERROR(__xludf.DUMMYFUNCTION("""COMPUTED_VALUE"""),"")</f>
        <v/>
      </c>
      <c r="AG505" s="224" t="str">
        <f>IFERROR(__xludf.DUMMYFUNCTION("""COMPUTED_VALUE"""),"")</f>
        <v/>
      </c>
    </row>
    <row r="506">
      <c r="AD506" s="224" t="str">
        <f>IFERROR(__xludf.DUMMYFUNCTION("""COMPUTED_VALUE"""),"")</f>
        <v/>
      </c>
      <c r="AE506" s="224"/>
      <c r="AF506" s="224" t="str">
        <f>IFERROR(__xludf.DUMMYFUNCTION("""COMPUTED_VALUE"""),"")</f>
        <v/>
      </c>
      <c r="AG506" s="224" t="str">
        <f>IFERROR(__xludf.DUMMYFUNCTION("""COMPUTED_VALUE"""),"")</f>
        <v/>
      </c>
    </row>
    <row r="507">
      <c r="AD507" s="224" t="str">
        <f>IFERROR(__xludf.DUMMYFUNCTION("""COMPUTED_VALUE"""),"")</f>
        <v/>
      </c>
      <c r="AE507" s="224"/>
      <c r="AF507" s="224" t="str">
        <f>IFERROR(__xludf.DUMMYFUNCTION("""COMPUTED_VALUE"""),"")</f>
        <v/>
      </c>
      <c r="AG507" s="224" t="str">
        <f>IFERROR(__xludf.DUMMYFUNCTION("""COMPUTED_VALUE"""),"")</f>
        <v/>
      </c>
    </row>
    <row r="508">
      <c r="AD508" s="224" t="str">
        <f>IFERROR(__xludf.DUMMYFUNCTION("""COMPUTED_VALUE"""),"")</f>
        <v/>
      </c>
      <c r="AE508" s="224"/>
      <c r="AF508" s="224" t="str">
        <f>IFERROR(__xludf.DUMMYFUNCTION("""COMPUTED_VALUE"""),"")</f>
        <v/>
      </c>
      <c r="AG508" s="224" t="str">
        <f>IFERROR(__xludf.DUMMYFUNCTION("""COMPUTED_VALUE"""),"")</f>
        <v/>
      </c>
    </row>
    <row r="509">
      <c r="AD509" s="224" t="str">
        <f>IFERROR(__xludf.DUMMYFUNCTION("""COMPUTED_VALUE"""),"")</f>
        <v/>
      </c>
      <c r="AE509" s="224"/>
      <c r="AF509" s="224" t="str">
        <f>IFERROR(__xludf.DUMMYFUNCTION("""COMPUTED_VALUE"""),"")</f>
        <v/>
      </c>
      <c r="AG509" s="224" t="str">
        <f>IFERROR(__xludf.DUMMYFUNCTION("""COMPUTED_VALUE"""),"")</f>
        <v/>
      </c>
    </row>
    <row r="510">
      <c r="AD510" s="224" t="str">
        <f>IFERROR(__xludf.DUMMYFUNCTION("""COMPUTED_VALUE"""),"")</f>
        <v/>
      </c>
      <c r="AE510" s="224"/>
      <c r="AF510" s="224" t="str">
        <f>IFERROR(__xludf.DUMMYFUNCTION("""COMPUTED_VALUE"""),"")</f>
        <v/>
      </c>
      <c r="AG510" s="224" t="str">
        <f>IFERROR(__xludf.DUMMYFUNCTION("""COMPUTED_VALUE"""),"")</f>
        <v/>
      </c>
    </row>
    <row r="511">
      <c r="AD511" s="224" t="str">
        <f>IFERROR(__xludf.DUMMYFUNCTION("""COMPUTED_VALUE"""),"")</f>
        <v/>
      </c>
      <c r="AE511" s="224"/>
      <c r="AF511" s="224" t="str">
        <f>IFERROR(__xludf.DUMMYFUNCTION("""COMPUTED_VALUE"""),"")</f>
        <v/>
      </c>
      <c r="AG511" s="224" t="str">
        <f>IFERROR(__xludf.DUMMYFUNCTION("""COMPUTED_VALUE"""),"")</f>
        <v/>
      </c>
    </row>
    <row r="512">
      <c r="AD512" s="224" t="str">
        <f>IFERROR(__xludf.DUMMYFUNCTION("""COMPUTED_VALUE"""),"")</f>
        <v/>
      </c>
      <c r="AE512" s="224"/>
      <c r="AF512" s="224" t="str">
        <f>IFERROR(__xludf.DUMMYFUNCTION("""COMPUTED_VALUE"""),"")</f>
        <v/>
      </c>
      <c r="AG512" s="224" t="str">
        <f>IFERROR(__xludf.DUMMYFUNCTION("""COMPUTED_VALUE"""),"")</f>
        <v/>
      </c>
    </row>
    <row r="513">
      <c r="AD513" s="224" t="str">
        <f>IFERROR(__xludf.DUMMYFUNCTION("""COMPUTED_VALUE"""),"")</f>
        <v/>
      </c>
      <c r="AE513" s="224"/>
      <c r="AF513" s="224" t="str">
        <f>IFERROR(__xludf.DUMMYFUNCTION("""COMPUTED_VALUE"""),"")</f>
        <v/>
      </c>
      <c r="AG513" s="224" t="str">
        <f>IFERROR(__xludf.DUMMYFUNCTION("""COMPUTED_VALUE"""),"")</f>
        <v/>
      </c>
    </row>
    <row r="514">
      <c r="AD514" s="224" t="str">
        <f>IFERROR(__xludf.DUMMYFUNCTION("""COMPUTED_VALUE"""),"")</f>
        <v/>
      </c>
      <c r="AE514" s="224"/>
      <c r="AF514" s="224" t="str">
        <f>IFERROR(__xludf.DUMMYFUNCTION("""COMPUTED_VALUE"""),"")</f>
        <v/>
      </c>
      <c r="AG514" s="224" t="str">
        <f>IFERROR(__xludf.DUMMYFUNCTION("""COMPUTED_VALUE"""),"")</f>
        <v/>
      </c>
    </row>
    <row r="515">
      <c r="AD515" s="224" t="str">
        <f>IFERROR(__xludf.DUMMYFUNCTION("""COMPUTED_VALUE"""),"")</f>
        <v/>
      </c>
      <c r="AE515" s="224"/>
      <c r="AF515" s="224" t="str">
        <f>IFERROR(__xludf.DUMMYFUNCTION("""COMPUTED_VALUE"""),"")</f>
        <v/>
      </c>
      <c r="AG515" s="224" t="str">
        <f>IFERROR(__xludf.DUMMYFUNCTION("""COMPUTED_VALUE"""),"")</f>
        <v/>
      </c>
    </row>
    <row r="516">
      <c r="AD516" s="224" t="str">
        <f>IFERROR(__xludf.DUMMYFUNCTION("""COMPUTED_VALUE"""),"")</f>
        <v/>
      </c>
      <c r="AE516" s="224"/>
      <c r="AF516" s="224" t="str">
        <f>IFERROR(__xludf.DUMMYFUNCTION("""COMPUTED_VALUE"""),"")</f>
        <v/>
      </c>
      <c r="AG516" s="224" t="str">
        <f>IFERROR(__xludf.DUMMYFUNCTION("""COMPUTED_VALUE"""),"")</f>
        <v/>
      </c>
    </row>
    <row r="517">
      <c r="AD517" s="224" t="str">
        <f>IFERROR(__xludf.DUMMYFUNCTION("""COMPUTED_VALUE"""),"")</f>
        <v/>
      </c>
      <c r="AE517" s="224"/>
      <c r="AF517" s="224" t="str">
        <f>IFERROR(__xludf.DUMMYFUNCTION("""COMPUTED_VALUE"""),"")</f>
        <v/>
      </c>
      <c r="AG517" s="224" t="str">
        <f>IFERROR(__xludf.DUMMYFUNCTION("""COMPUTED_VALUE"""),"")</f>
        <v/>
      </c>
    </row>
    <row r="518">
      <c r="AD518" s="224" t="str">
        <f>IFERROR(__xludf.DUMMYFUNCTION("""COMPUTED_VALUE"""),"")</f>
        <v/>
      </c>
      <c r="AE518" s="224"/>
      <c r="AF518" s="224" t="str">
        <f>IFERROR(__xludf.DUMMYFUNCTION("""COMPUTED_VALUE"""),"")</f>
        <v/>
      </c>
      <c r="AG518" s="224" t="str">
        <f>IFERROR(__xludf.DUMMYFUNCTION("""COMPUTED_VALUE"""),"")</f>
        <v/>
      </c>
    </row>
    <row r="519">
      <c r="AD519" s="224" t="str">
        <f>IFERROR(__xludf.DUMMYFUNCTION("""COMPUTED_VALUE"""),"")</f>
        <v/>
      </c>
      <c r="AE519" s="224"/>
      <c r="AF519" s="224" t="str">
        <f>IFERROR(__xludf.DUMMYFUNCTION("""COMPUTED_VALUE"""),"")</f>
        <v/>
      </c>
      <c r="AG519" s="224" t="str">
        <f>IFERROR(__xludf.DUMMYFUNCTION("""COMPUTED_VALUE"""),"")</f>
        <v/>
      </c>
    </row>
    <row r="520">
      <c r="AD520" s="224" t="str">
        <f>IFERROR(__xludf.DUMMYFUNCTION("""COMPUTED_VALUE"""),"")</f>
        <v/>
      </c>
      <c r="AE520" s="224"/>
      <c r="AF520" s="224" t="str">
        <f>IFERROR(__xludf.DUMMYFUNCTION("""COMPUTED_VALUE"""),"")</f>
        <v/>
      </c>
      <c r="AG520" s="224" t="str">
        <f>IFERROR(__xludf.DUMMYFUNCTION("""COMPUTED_VALUE"""),"")</f>
        <v/>
      </c>
    </row>
    <row r="521">
      <c r="AD521" s="224" t="str">
        <f>IFERROR(__xludf.DUMMYFUNCTION("""COMPUTED_VALUE"""),"")</f>
        <v/>
      </c>
      <c r="AE521" s="224"/>
      <c r="AF521" s="224" t="str">
        <f>IFERROR(__xludf.DUMMYFUNCTION("""COMPUTED_VALUE"""),"")</f>
        <v/>
      </c>
      <c r="AG521" s="224" t="str">
        <f>IFERROR(__xludf.DUMMYFUNCTION("""COMPUTED_VALUE"""),"")</f>
        <v/>
      </c>
    </row>
    <row r="522">
      <c r="AD522" s="224" t="str">
        <f>IFERROR(__xludf.DUMMYFUNCTION("""COMPUTED_VALUE"""),"")</f>
        <v/>
      </c>
      <c r="AE522" s="224"/>
      <c r="AF522" s="224" t="str">
        <f>IFERROR(__xludf.DUMMYFUNCTION("""COMPUTED_VALUE"""),"")</f>
        <v/>
      </c>
      <c r="AG522" s="224" t="str">
        <f>IFERROR(__xludf.DUMMYFUNCTION("""COMPUTED_VALUE"""),"")</f>
        <v/>
      </c>
    </row>
    <row r="523">
      <c r="AD523" s="224" t="str">
        <f>IFERROR(__xludf.DUMMYFUNCTION("""COMPUTED_VALUE"""),"")</f>
        <v/>
      </c>
      <c r="AE523" s="224"/>
      <c r="AF523" s="224" t="str">
        <f>IFERROR(__xludf.DUMMYFUNCTION("""COMPUTED_VALUE"""),"")</f>
        <v/>
      </c>
      <c r="AG523" s="224" t="str">
        <f>IFERROR(__xludf.DUMMYFUNCTION("""COMPUTED_VALUE"""),"")</f>
        <v/>
      </c>
    </row>
    <row r="524">
      <c r="AD524" s="224" t="str">
        <f>IFERROR(__xludf.DUMMYFUNCTION("""COMPUTED_VALUE"""),"")</f>
        <v/>
      </c>
      <c r="AE524" s="224"/>
      <c r="AF524" s="224" t="str">
        <f>IFERROR(__xludf.DUMMYFUNCTION("""COMPUTED_VALUE"""),"")</f>
        <v/>
      </c>
      <c r="AG524" s="224" t="str">
        <f>IFERROR(__xludf.DUMMYFUNCTION("""COMPUTED_VALUE"""),"")</f>
        <v/>
      </c>
    </row>
    <row r="525">
      <c r="AD525" s="224" t="str">
        <f>IFERROR(__xludf.DUMMYFUNCTION("""COMPUTED_VALUE"""),"")</f>
        <v/>
      </c>
      <c r="AE525" s="224"/>
      <c r="AF525" s="224" t="str">
        <f>IFERROR(__xludf.DUMMYFUNCTION("""COMPUTED_VALUE"""),"")</f>
        <v/>
      </c>
      <c r="AG525" s="224" t="str">
        <f>IFERROR(__xludf.DUMMYFUNCTION("""COMPUTED_VALUE"""),"")</f>
        <v/>
      </c>
    </row>
    <row r="526">
      <c r="AD526" s="224" t="str">
        <f>IFERROR(__xludf.DUMMYFUNCTION("""COMPUTED_VALUE"""),"")</f>
        <v/>
      </c>
      <c r="AE526" s="224"/>
      <c r="AF526" s="224" t="str">
        <f>IFERROR(__xludf.DUMMYFUNCTION("""COMPUTED_VALUE"""),"")</f>
        <v/>
      </c>
      <c r="AG526" s="224" t="str">
        <f>IFERROR(__xludf.DUMMYFUNCTION("""COMPUTED_VALUE"""),"")</f>
        <v/>
      </c>
    </row>
    <row r="527">
      <c r="AD527" s="224" t="str">
        <f>IFERROR(__xludf.DUMMYFUNCTION("""COMPUTED_VALUE"""),"")</f>
        <v/>
      </c>
      <c r="AE527" s="224"/>
      <c r="AF527" s="224" t="str">
        <f>IFERROR(__xludf.DUMMYFUNCTION("""COMPUTED_VALUE"""),"")</f>
        <v/>
      </c>
      <c r="AG527" s="224" t="str">
        <f>IFERROR(__xludf.DUMMYFUNCTION("""COMPUTED_VALUE"""),"")</f>
        <v/>
      </c>
    </row>
    <row r="528">
      <c r="AD528" s="224" t="str">
        <f>IFERROR(__xludf.DUMMYFUNCTION("""COMPUTED_VALUE"""),"")</f>
        <v/>
      </c>
      <c r="AE528" s="224"/>
      <c r="AF528" s="224" t="str">
        <f>IFERROR(__xludf.DUMMYFUNCTION("""COMPUTED_VALUE"""),"")</f>
        <v/>
      </c>
      <c r="AG528" s="224" t="str">
        <f>IFERROR(__xludf.DUMMYFUNCTION("""COMPUTED_VALUE"""),"")</f>
        <v/>
      </c>
    </row>
    <row r="529">
      <c r="AD529" s="224" t="str">
        <f>IFERROR(__xludf.DUMMYFUNCTION("""COMPUTED_VALUE"""),"")</f>
        <v/>
      </c>
      <c r="AE529" s="224"/>
      <c r="AF529" s="224" t="str">
        <f>IFERROR(__xludf.DUMMYFUNCTION("""COMPUTED_VALUE"""),"")</f>
        <v/>
      </c>
      <c r="AG529" s="224" t="str">
        <f>IFERROR(__xludf.DUMMYFUNCTION("""COMPUTED_VALUE"""),"")</f>
        <v/>
      </c>
    </row>
    <row r="530">
      <c r="AD530" s="224" t="str">
        <f>IFERROR(__xludf.DUMMYFUNCTION("""COMPUTED_VALUE"""),"")</f>
        <v/>
      </c>
      <c r="AE530" s="224"/>
      <c r="AF530" s="224" t="str">
        <f>IFERROR(__xludf.DUMMYFUNCTION("""COMPUTED_VALUE"""),"")</f>
        <v/>
      </c>
      <c r="AG530" s="224" t="str">
        <f>IFERROR(__xludf.DUMMYFUNCTION("""COMPUTED_VALUE"""),"")</f>
        <v/>
      </c>
    </row>
    <row r="531">
      <c r="AD531" s="224" t="str">
        <f>IFERROR(__xludf.DUMMYFUNCTION("""COMPUTED_VALUE"""),"")</f>
        <v/>
      </c>
      <c r="AE531" s="224"/>
      <c r="AF531" s="224" t="str">
        <f>IFERROR(__xludf.DUMMYFUNCTION("""COMPUTED_VALUE"""),"")</f>
        <v/>
      </c>
      <c r="AG531" s="224" t="str">
        <f>IFERROR(__xludf.DUMMYFUNCTION("""COMPUTED_VALUE"""),"")</f>
        <v/>
      </c>
    </row>
    <row r="532">
      <c r="AD532" s="224" t="str">
        <f>IFERROR(__xludf.DUMMYFUNCTION("""COMPUTED_VALUE"""),"")</f>
        <v/>
      </c>
      <c r="AE532" s="224"/>
      <c r="AF532" s="224" t="str">
        <f>IFERROR(__xludf.DUMMYFUNCTION("""COMPUTED_VALUE"""),"")</f>
        <v/>
      </c>
      <c r="AG532" s="224" t="str">
        <f>IFERROR(__xludf.DUMMYFUNCTION("""COMPUTED_VALUE"""),"")</f>
        <v/>
      </c>
    </row>
    <row r="533">
      <c r="AD533" s="224" t="str">
        <f>IFERROR(__xludf.DUMMYFUNCTION("""COMPUTED_VALUE"""),"")</f>
        <v/>
      </c>
      <c r="AE533" s="224"/>
      <c r="AF533" s="224" t="str">
        <f>IFERROR(__xludf.DUMMYFUNCTION("""COMPUTED_VALUE"""),"")</f>
        <v/>
      </c>
      <c r="AG533" s="224" t="str">
        <f>IFERROR(__xludf.DUMMYFUNCTION("""COMPUTED_VALUE"""),"")</f>
        <v/>
      </c>
    </row>
    <row r="534">
      <c r="AD534" s="224" t="str">
        <f>IFERROR(__xludf.DUMMYFUNCTION("""COMPUTED_VALUE"""),"")</f>
        <v/>
      </c>
      <c r="AE534" s="224"/>
      <c r="AF534" s="224" t="str">
        <f>IFERROR(__xludf.DUMMYFUNCTION("""COMPUTED_VALUE"""),"")</f>
        <v/>
      </c>
      <c r="AG534" s="224" t="str">
        <f>IFERROR(__xludf.DUMMYFUNCTION("""COMPUTED_VALUE"""),"")</f>
        <v/>
      </c>
    </row>
    <row r="535">
      <c r="AD535" s="224" t="str">
        <f>IFERROR(__xludf.DUMMYFUNCTION("""COMPUTED_VALUE"""),"")</f>
        <v/>
      </c>
      <c r="AE535" s="224"/>
      <c r="AF535" s="224" t="str">
        <f>IFERROR(__xludf.DUMMYFUNCTION("""COMPUTED_VALUE"""),"")</f>
        <v/>
      </c>
      <c r="AG535" s="224" t="str">
        <f>IFERROR(__xludf.DUMMYFUNCTION("""COMPUTED_VALUE"""),"")</f>
        <v/>
      </c>
    </row>
    <row r="536">
      <c r="AD536" s="224" t="str">
        <f>IFERROR(__xludf.DUMMYFUNCTION("""COMPUTED_VALUE"""),"")</f>
        <v/>
      </c>
      <c r="AE536" s="224"/>
      <c r="AF536" s="224" t="str">
        <f>IFERROR(__xludf.DUMMYFUNCTION("""COMPUTED_VALUE"""),"")</f>
        <v/>
      </c>
      <c r="AG536" s="224" t="str">
        <f>IFERROR(__xludf.DUMMYFUNCTION("""COMPUTED_VALUE"""),"")</f>
        <v/>
      </c>
    </row>
    <row r="537">
      <c r="AD537" s="224" t="str">
        <f>IFERROR(__xludf.DUMMYFUNCTION("""COMPUTED_VALUE"""),"")</f>
        <v/>
      </c>
      <c r="AE537" s="224"/>
      <c r="AF537" s="224" t="str">
        <f>IFERROR(__xludf.DUMMYFUNCTION("""COMPUTED_VALUE"""),"")</f>
        <v/>
      </c>
      <c r="AG537" s="224" t="str">
        <f>IFERROR(__xludf.DUMMYFUNCTION("""COMPUTED_VALUE"""),"")</f>
        <v/>
      </c>
    </row>
    <row r="538">
      <c r="AD538" s="224" t="str">
        <f>IFERROR(__xludf.DUMMYFUNCTION("""COMPUTED_VALUE"""),"")</f>
        <v/>
      </c>
      <c r="AE538" s="224"/>
      <c r="AF538" s="224" t="str">
        <f>IFERROR(__xludf.DUMMYFUNCTION("""COMPUTED_VALUE"""),"")</f>
        <v/>
      </c>
      <c r="AG538" s="224" t="str">
        <f>IFERROR(__xludf.DUMMYFUNCTION("""COMPUTED_VALUE"""),"")</f>
        <v/>
      </c>
    </row>
    <row r="539">
      <c r="AD539" s="224" t="str">
        <f>IFERROR(__xludf.DUMMYFUNCTION("""COMPUTED_VALUE"""),"")</f>
        <v/>
      </c>
      <c r="AE539" s="224"/>
      <c r="AF539" s="224" t="str">
        <f>IFERROR(__xludf.DUMMYFUNCTION("""COMPUTED_VALUE"""),"")</f>
        <v/>
      </c>
      <c r="AG539" s="224" t="str">
        <f>IFERROR(__xludf.DUMMYFUNCTION("""COMPUTED_VALUE"""),"")</f>
        <v/>
      </c>
    </row>
    <row r="540">
      <c r="AD540" s="224" t="str">
        <f>IFERROR(__xludf.DUMMYFUNCTION("""COMPUTED_VALUE"""),"")</f>
        <v/>
      </c>
      <c r="AE540" s="224"/>
      <c r="AF540" s="224" t="str">
        <f>IFERROR(__xludf.DUMMYFUNCTION("""COMPUTED_VALUE"""),"")</f>
        <v/>
      </c>
      <c r="AG540" s="224" t="str">
        <f>IFERROR(__xludf.DUMMYFUNCTION("""COMPUTED_VALUE"""),"")</f>
        <v/>
      </c>
    </row>
    <row r="541">
      <c r="AD541" s="224" t="str">
        <f>IFERROR(__xludf.DUMMYFUNCTION("""COMPUTED_VALUE"""),"")</f>
        <v/>
      </c>
      <c r="AE541" s="224"/>
      <c r="AF541" s="224" t="str">
        <f>IFERROR(__xludf.DUMMYFUNCTION("""COMPUTED_VALUE"""),"")</f>
        <v/>
      </c>
      <c r="AG541" s="224" t="str">
        <f>IFERROR(__xludf.DUMMYFUNCTION("""COMPUTED_VALUE"""),"")</f>
        <v/>
      </c>
    </row>
    <row r="542">
      <c r="AD542" s="224" t="str">
        <f>IFERROR(__xludf.DUMMYFUNCTION("""COMPUTED_VALUE"""),"")</f>
        <v/>
      </c>
      <c r="AE542" s="224"/>
      <c r="AF542" s="224" t="str">
        <f>IFERROR(__xludf.DUMMYFUNCTION("""COMPUTED_VALUE"""),"")</f>
        <v/>
      </c>
      <c r="AG542" s="224" t="str">
        <f>IFERROR(__xludf.DUMMYFUNCTION("""COMPUTED_VALUE"""),"")</f>
        <v/>
      </c>
    </row>
    <row r="543">
      <c r="AD543" s="224" t="str">
        <f>IFERROR(__xludf.DUMMYFUNCTION("""COMPUTED_VALUE"""),"")</f>
        <v/>
      </c>
      <c r="AE543" s="224"/>
      <c r="AF543" s="224" t="str">
        <f>IFERROR(__xludf.DUMMYFUNCTION("""COMPUTED_VALUE"""),"")</f>
        <v/>
      </c>
      <c r="AG543" s="224" t="str">
        <f>IFERROR(__xludf.DUMMYFUNCTION("""COMPUTED_VALUE"""),"")</f>
        <v/>
      </c>
    </row>
    <row r="544">
      <c r="AD544" s="224" t="str">
        <f>IFERROR(__xludf.DUMMYFUNCTION("""COMPUTED_VALUE"""),"")</f>
        <v/>
      </c>
      <c r="AE544" s="224"/>
      <c r="AF544" s="224" t="str">
        <f>IFERROR(__xludf.DUMMYFUNCTION("""COMPUTED_VALUE"""),"")</f>
        <v/>
      </c>
      <c r="AG544" s="224" t="str">
        <f>IFERROR(__xludf.DUMMYFUNCTION("""COMPUTED_VALUE"""),"")</f>
        <v/>
      </c>
    </row>
    <row r="545">
      <c r="AD545" s="224" t="str">
        <f>IFERROR(__xludf.DUMMYFUNCTION("""COMPUTED_VALUE"""),"")</f>
        <v/>
      </c>
      <c r="AE545" s="224"/>
      <c r="AF545" s="224" t="str">
        <f>IFERROR(__xludf.DUMMYFUNCTION("""COMPUTED_VALUE"""),"")</f>
        <v/>
      </c>
      <c r="AG545" s="224" t="str">
        <f>IFERROR(__xludf.DUMMYFUNCTION("""COMPUTED_VALUE"""),"")</f>
        <v/>
      </c>
    </row>
    <row r="546">
      <c r="AD546" s="224" t="str">
        <f>IFERROR(__xludf.DUMMYFUNCTION("""COMPUTED_VALUE"""),"")</f>
        <v/>
      </c>
      <c r="AE546" s="224"/>
      <c r="AF546" s="224" t="str">
        <f>IFERROR(__xludf.DUMMYFUNCTION("""COMPUTED_VALUE"""),"")</f>
        <v/>
      </c>
      <c r="AG546" s="224" t="str">
        <f>IFERROR(__xludf.DUMMYFUNCTION("""COMPUTED_VALUE"""),"")</f>
        <v/>
      </c>
    </row>
    <row r="547">
      <c r="AD547" s="224" t="str">
        <f>IFERROR(__xludf.DUMMYFUNCTION("""COMPUTED_VALUE"""),"")</f>
        <v/>
      </c>
      <c r="AE547" s="224"/>
      <c r="AF547" s="224" t="str">
        <f>IFERROR(__xludf.DUMMYFUNCTION("""COMPUTED_VALUE"""),"")</f>
        <v/>
      </c>
      <c r="AG547" s="224" t="str">
        <f>IFERROR(__xludf.DUMMYFUNCTION("""COMPUTED_VALUE"""),"")</f>
        <v/>
      </c>
    </row>
    <row r="548">
      <c r="AD548" s="224" t="str">
        <f>IFERROR(__xludf.DUMMYFUNCTION("""COMPUTED_VALUE"""),"")</f>
        <v/>
      </c>
      <c r="AE548" s="224"/>
      <c r="AF548" s="224" t="str">
        <f>IFERROR(__xludf.DUMMYFUNCTION("""COMPUTED_VALUE"""),"")</f>
        <v/>
      </c>
      <c r="AG548" s="224" t="str">
        <f>IFERROR(__xludf.DUMMYFUNCTION("""COMPUTED_VALUE"""),"")</f>
        <v/>
      </c>
    </row>
    <row r="549">
      <c r="AD549" s="224" t="str">
        <f>IFERROR(__xludf.DUMMYFUNCTION("""COMPUTED_VALUE"""),"")</f>
        <v/>
      </c>
      <c r="AE549" s="224"/>
      <c r="AF549" s="224" t="str">
        <f>IFERROR(__xludf.DUMMYFUNCTION("""COMPUTED_VALUE"""),"")</f>
        <v/>
      </c>
      <c r="AG549" s="224" t="str">
        <f>IFERROR(__xludf.DUMMYFUNCTION("""COMPUTED_VALUE"""),"")</f>
        <v/>
      </c>
    </row>
    <row r="550">
      <c r="AD550" s="224" t="str">
        <f>IFERROR(__xludf.DUMMYFUNCTION("""COMPUTED_VALUE"""),"")</f>
        <v/>
      </c>
      <c r="AE550" s="224"/>
      <c r="AF550" s="224" t="str">
        <f>IFERROR(__xludf.DUMMYFUNCTION("""COMPUTED_VALUE"""),"")</f>
        <v/>
      </c>
      <c r="AG550" s="224" t="str">
        <f>IFERROR(__xludf.DUMMYFUNCTION("""COMPUTED_VALUE"""),"")</f>
        <v/>
      </c>
    </row>
    <row r="551">
      <c r="AD551" s="224" t="str">
        <f>IFERROR(__xludf.DUMMYFUNCTION("""COMPUTED_VALUE"""),"")</f>
        <v/>
      </c>
      <c r="AE551" s="224"/>
      <c r="AF551" s="224" t="str">
        <f>IFERROR(__xludf.DUMMYFUNCTION("""COMPUTED_VALUE"""),"")</f>
        <v/>
      </c>
      <c r="AG551" s="224" t="str">
        <f>IFERROR(__xludf.DUMMYFUNCTION("""COMPUTED_VALUE"""),"")</f>
        <v/>
      </c>
    </row>
    <row r="552">
      <c r="AD552" s="224" t="str">
        <f>IFERROR(__xludf.DUMMYFUNCTION("""COMPUTED_VALUE"""),"")</f>
        <v/>
      </c>
      <c r="AE552" s="224"/>
      <c r="AF552" s="224" t="str">
        <f>IFERROR(__xludf.DUMMYFUNCTION("""COMPUTED_VALUE"""),"")</f>
        <v/>
      </c>
      <c r="AG552" s="224" t="str">
        <f>IFERROR(__xludf.DUMMYFUNCTION("""COMPUTED_VALUE"""),"")</f>
        <v/>
      </c>
    </row>
    <row r="553">
      <c r="AD553" s="224" t="str">
        <f>IFERROR(__xludf.DUMMYFUNCTION("""COMPUTED_VALUE"""),"")</f>
        <v/>
      </c>
      <c r="AE553" s="224"/>
      <c r="AF553" s="224" t="str">
        <f>IFERROR(__xludf.DUMMYFUNCTION("""COMPUTED_VALUE"""),"")</f>
        <v/>
      </c>
      <c r="AG553" s="224" t="str">
        <f>IFERROR(__xludf.DUMMYFUNCTION("""COMPUTED_VALUE"""),"")</f>
        <v/>
      </c>
    </row>
    <row r="554">
      <c r="AD554" s="224" t="str">
        <f>IFERROR(__xludf.DUMMYFUNCTION("""COMPUTED_VALUE"""),"")</f>
        <v/>
      </c>
      <c r="AE554" s="224"/>
      <c r="AF554" s="224" t="str">
        <f>IFERROR(__xludf.DUMMYFUNCTION("""COMPUTED_VALUE"""),"")</f>
        <v/>
      </c>
      <c r="AG554" s="224" t="str">
        <f>IFERROR(__xludf.DUMMYFUNCTION("""COMPUTED_VALUE"""),"")</f>
        <v/>
      </c>
    </row>
    <row r="555">
      <c r="AD555" s="224" t="str">
        <f>IFERROR(__xludf.DUMMYFUNCTION("""COMPUTED_VALUE"""),"")</f>
        <v/>
      </c>
      <c r="AE555" s="224"/>
      <c r="AF555" s="224" t="str">
        <f>IFERROR(__xludf.DUMMYFUNCTION("""COMPUTED_VALUE"""),"")</f>
        <v/>
      </c>
      <c r="AG555" s="224" t="str">
        <f>IFERROR(__xludf.DUMMYFUNCTION("""COMPUTED_VALUE"""),"")</f>
        <v/>
      </c>
    </row>
    <row r="556">
      <c r="AD556" s="224" t="str">
        <f>IFERROR(__xludf.DUMMYFUNCTION("""COMPUTED_VALUE"""),"")</f>
        <v/>
      </c>
      <c r="AE556" s="224"/>
      <c r="AF556" s="224" t="str">
        <f>IFERROR(__xludf.DUMMYFUNCTION("""COMPUTED_VALUE"""),"")</f>
        <v/>
      </c>
      <c r="AG556" s="224" t="str">
        <f>IFERROR(__xludf.DUMMYFUNCTION("""COMPUTED_VALUE"""),"")</f>
        <v/>
      </c>
    </row>
    <row r="557">
      <c r="AD557" s="224" t="str">
        <f>IFERROR(__xludf.DUMMYFUNCTION("""COMPUTED_VALUE"""),"")</f>
        <v/>
      </c>
      <c r="AE557" s="224"/>
      <c r="AF557" s="224" t="str">
        <f>IFERROR(__xludf.DUMMYFUNCTION("""COMPUTED_VALUE"""),"")</f>
        <v/>
      </c>
      <c r="AG557" s="224" t="str">
        <f>IFERROR(__xludf.DUMMYFUNCTION("""COMPUTED_VALUE"""),"")</f>
        <v/>
      </c>
    </row>
    <row r="558">
      <c r="AD558" s="224" t="str">
        <f>IFERROR(__xludf.DUMMYFUNCTION("""COMPUTED_VALUE"""),"")</f>
        <v/>
      </c>
      <c r="AE558" s="224"/>
      <c r="AF558" s="224" t="str">
        <f>IFERROR(__xludf.DUMMYFUNCTION("""COMPUTED_VALUE"""),"")</f>
        <v/>
      </c>
      <c r="AG558" s="224" t="str">
        <f>IFERROR(__xludf.DUMMYFUNCTION("""COMPUTED_VALUE"""),"")</f>
        <v/>
      </c>
    </row>
    <row r="559">
      <c r="AD559" s="224" t="str">
        <f>IFERROR(__xludf.DUMMYFUNCTION("""COMPUTED_VALUE"""),"")</f>
        <v/>
      </c>
      <c r="AE559" s="224"/>
      <c r="AF559" s="224" t="str">
        <f>IFERROR(__xludf.DUMMYFUNCTION("""COMPUTED_VALUE"""),"")</f>
        <v/>
      </c>
      <c r="AG559" s="224" t="str">
        <f>IFERROR(__xludf.DUMMYFUNCTION("""COMPUTED_VALUE"""),"")</f>
        <v/>
      </c>
    </row>
    <row r="560">
      <c r="AD560" s="224" t="str">
        <f>IFERROR(__xludf.DUMMYFUNCTION("""COMPUTED_VALUE"""),"")</f>
        <v/>
      </c>
      <c r="AE560" s="224"/>
      <c r="AF560" s="224" t="str">
        <f>IFERROR(__xludf.DUMMYFUNCTION("""COMPUTED_VALUE"""),"")</f>
        <v/>
      </c>
      <c r="AG560" s="224" t="str">
        <f>IFERROR(__xludf.DUMMYFUNCTION("""COMPUTED_VALUE"""),"")</f>
        <v/>
      </c>
    </row>
    <row r="561">
      <c r="AD561" s="224" t="str">
        <f>IFERROR(__xludf.DUMMYFUNCTION("""COMPUTED_VALUE"""),"")</f>
        <v/>
      </c>
      <c r="AE561" s="224"/>
      <c r="AF561" s="224" t="str">
        <f>IFERROR(__xludf.DUMMYFUNCTION("""COMPUTED_VALUE"""),"")</f>
        <v/>
      </c>
      <c r="AG561" s="224" t="str">
        <f>IFERROR(__xludf.DUMMYFUNCTION("""COMPUTED_VALUE"""),"")</f>
        <v/>
      </c>
    </row>
    <row r="562">
      <c r="AD562" s="224" t="str">
        <f>IFERROR(__xludf.DUMMYFUNCTION("""COMPUTED_VALUE"""),"")</f>
        <v/>
      </c>
      <c r="AE562" s="224"/>
      <c r="AF562" s="224" t="str">
        <f>IFERROR(__xludf.DUMMYFUNCTION("""COMPUTED_VALUE"""),"")</f>
        <v/>
      </c>
      <c r="AG562" s="224" t="str">
        <f>IFERROR(__xludf.DUMMYFUNCTION("""COMPUTED_VALUE"""),"")</f>
        <v/>
      </c>
    </row>
    <row r="563">
      <c r="AD563" s="224" t="str">
        <f>IFERROR(__xludf.DUMMYFUNCTION("""COMPUTED_VALUE"""),"")</f>
        <v/>
      </c>
      <c r="AE563" s="224"/>
      <c r="AF563" s="224" t="str">
        <f>IFERROR(__xludf.DUMMYFUNCTION("""COMPUTED_VALUE"""),"")</f>
        <v/>
      </c>
      <c r="AG563" s="224" t="str">
        <f>IFERROR(__xludf.DUMMYFUNCTION("""COMPUTED_VALUE"""),"")</f>
        <v/>
      </c>
    </row>
    <row r="564">
      <c r="AD564" s="224" t="str">
        <f>IFERROR(__xludf.DUMMYFUNCTION("""COMPUTED_VALUE"""),"")</f>
        <v/>
      </c>
      <c r="AE564" s="224"/>
      <c r="AF564" s="224" t="str">
        <f>IFERROR(__xludf.DUMMYFUNCTION("""COMPUTED_VALUE"""),"")</f>
        <v/>
      </c>
      <c r="AG564" s="224" t="str">
        <f>IFERROR(__xludf.DUMMYFUNCTION("""COMPUTED_VALUE"""),"")</f>
        <v/>
      </c>
    </row>
    <row r="565">
      <c r="AD565" s="224" t="str">
        <f>IFERROR(__xludf.DUMMYFUNCTION("""COMPUTED_VALUE"""),"")</f>
        <v/>
      </c>
      <c r="AE565" s="224"/>
      <c r="AF565" s="224" t="str">
        <f>IFERROR(__xludf.DUMMYFUNCTION("""COMPUTED_VALUE"""),"")</f>
        <v/>
      </c>
      <c r="AG565" s="224" t="str">
        <f>IFERROR(__xludf.DUMMYFUNCTION("""COMPUTED_VALUE"""),"")</f>
        <v/>
      </c>
    </row>
    <row r="566">
      <c r="AD566" s="224" t="str">
        <f>IFERROR(__xludf.DUMMYFUNCTION("""COMPUTED_VALUE"""),"")</f>
        <v/>
      </c>
      <c r="AE566" s="224"/>
      <c r="AF566" s="224" t="str">
        <f>IFERROR(__xludf.DUMMYFUNCTION("""COMPUTED_VALUE"""),"")</f>
        <v/>
      </c>
      <c r="AG566" s="224" t="str">
        <f>IFERROR(__xludf.DUMMYFUNCTION("""COMPUTED_VALUE"""),"")</f>
        <v/>
      </c>
    </row>
    <row r="567">
      <c r="AD567" s="224" t="str">
        <f>IFERROR(__xludf.DUMMYFUNCTION("""COMPUTED_VALUE"""),"")</f>
        <v/>
      </c>
      <c r="AE567" s="224"/>
      <c r="AF567" s="224" t="str">
        <f>IFERROR(__xludf.DUMMYFUNCTION("""COMPUTED_VALUE"""),"")</f>
        <v/>
      </c>
      <c r="AG567" s="224" t="str">
        <f>IFERROR(__xludf.DUMMYFUNCTION("""COMPUTED_VALUE"""),"")</f>
        <v/>
      </c>
    </row>
    <row r="568">
      <c r="AD568" s="224" t="str">
        <f>IFERROR(__xludf.DUMMYFUNCTION("""COMPUTED_VALUE"""),"")</f>
        <v/>
      </c>
      <c r="AE568" s="224"/>
      <c r="AF568" s="224" t="str">
        <f>IFERROR(__xludf.DUMMYFUNCTION("""COMPUTED_VALUE"""),"")</f>
        <v/>
      </c>
      <c r="AG568" s="224" t="str">
        <f>IFERROR(__xludf.DUMMYFUNCTION("""COMPUTED_VALUE"""),"")</f>
        <v/>
      </c>
    </row>
    <row r="569">
      <c r="AD569" s="224" t="str">
        <f>IFERROR(__xludf.DUMMYFUNCTION("""COMPUTED_VALUE"""),"")</f>
        <v/>
      </c>
      <c r="AE569" s="224"/>
      <c r="AF569" s="224" t="str">
        <f>IFERROR(__xludf.DUMMYFUNCTION("""COMPUTED_VALUE"""),"")</f>
        <v/>
      </c>
      <c r="AG569" s="224" t="str">
        <f>IFERROR(__xludf.DUMMYFUNCTION("""COMPUTED_VALUE"""),"")</f>
        <v/>
      </c>
    </row>
    <row r="570">
      <c r="AD570" s="224" t="str">
        <f>IFERROR(__xludf.DUMMYFUNCTION("""COMPUTED_VALUE"""),"")</f>
        <v/>
      </c>
      <c r="AE570" s="224"/>
      <c r="AF570" s="224" t="str">
        <f>IFERROR(__xludf.DUMMYFUNCTION("""COMPUTED_VALUE"""),"")</f>
        <v/>
      </c>
      <c r="AG570" s="224" t="str">
        <f>IFERROR(__xludf.DUMMYFUNCTION("""COMPUTED_VALUE"""),"")</f>
        <v/>
      </c>
    </row>
    <row r="571">
      <c r="AD571" s="224" t="str">
        <f>IFERROR(__xludf.DUMMYFUNCTION("""COMPUTED_VALUE"""),"")</f>
        <v/>
      </c>
      <c r="AE571" s="224"/>
      <c r="AF571" s="224" t="str">
        <f>IFERROR(__xludf.DUMMYFUNCTION("""COMPUTED_VALUE"""),"")</f>
        <v/>
      </c>
      <c r="AG571" s="224" t="str">
        <f>IFERROR(__xludf.DUMMYFUNCTION("""COMPUTED_VALUE"""),"")</f>
        <v/>
      </c>
    </row>
    <row r="572">
      <c r="AD572" s="224" t="str">
        <f>IFERROR(__xludf.DUMMYFUNCTION("""COMPUTED_VALUE"""),"")</f>
        <v/>
      </c>
      <c r="AE572" s="224"/>
      <c r="AF572" s="224" t="str">
        <f>IFERROR(__xludf.DUMMYFUNCTION("""COMPUTED_VALUE"""),"")</f>
        <v/>
      </c>
      <c r="AG572" s="224" t="str">
        <f>IFERROR(__xludf.DUMMYFUNCTION("""COMPUTED_VALUE"""),"")</f>
        <v/>
      </c>
    </row>
    <row r="573">
      <c r="AD573" s="224" t="str">
        <f>IFERROR(__xludf.DUMMYFUNCTION("""COMPUTED_VALUE"""),"")</f>
        <v/>
      </c>
      <c r="AE573" s="224"/>
      <c r="AF573" s="224" t="str">
        <f>IFERROR(__xludf.DUMMYFUNCTION("""COMPUTED_VALUE"""),"")</f>
        <v/>
      </c>
      <c r="AG573" s="224" t="str">
        <f>IFERROR(__xludf.DUMMYFUNCTION("""COMPUTED_VALUE"""),"")</f>
        <v/>
      </c>
    </row>
    <row r="574">
      <c r="AD574" s="224" t="str">
        <f>IFERROR(__xludf.DUMMYFUNCTION("""COMPUTED_VALUE"""),"")</f>
        <v/>
      </c>
      <c r="AE574" s="224"/>
      <c r="AF574" s="224" t="str">
        <f>IFERROR(__xludf.DUMMYFUNCTION("""COMPUTED_VALUE"""),"")</f>
        <v/>
      </c>
      <c r="AG574" s="224" t="str">
        <f>IFERROR(__xludf.DUMMYFUNCTION("""COMPUTED_VALUE"""),"")</f>
        <v/>
      </c>
    </row>
    <row r="575">
      <c r="AD575" s="224" t="str">
        <f>IFERROR(__xludf.DUMMYFUNCTION("""COMPUTED_VALUE"""),"")</f>
        <v/>
      </c>
      <c r="AE575" s="224"/>
      <c r="AF575" s="224" t="str">
        <f>IFERROR(__xludf.DUMMYFUNCTION("""COMPUTED_VALUE"""),"")</f>
        <v/>
      </c>
      <c r="AG575" s="224" t="str">
        <f>IFERROR(__xludf.DUMMYFUNCTION("""COMPUTED_VALUE"""),"")</f>
        <v/>
      </c>
    </row>
    <row r="576">
      <c r="AD576" s="224" t="str">
        <f>IFERROR(__xludf.DUMMYFUNCTION("""COMPUTED_VALUE"""),"")</f>
        <v/>
      </c>
      <c r="AE576" s="224"/>
      <c r="AF576" s="224" t="str">
        <f>IFERROR(__xludf.DUMMYFUNCTION("""COMPUTED_VALUE"""),"")</f>
        <v/>
      </c>
      <c r="AG576" s="224" t="str">
        <f>IFERROR(__xludf.DUMMYFUNCTION("""COMPUTED_VALUE"""),"")</f>
        <v/>
      </c>
    </row>
    <row r="577">
      <c r="AD577" s="224" t="str">
        <f>IFERROR(__xludf.DUMMYFUNCTION("""COMPUTED_VALUE"""),"")</f>
        <v/>
      </c>
      <c r="AE577" s="224"/>
      <c r="AF577" s="224" t="str">
        <f>IFERROR(__xludf.DUMMYFUNCTION("""COMPUTED_VALUE"""),"")</f>
        <v/>
      </c>
      <c r="AG577" s="224" t="str">
        <f>IFERROR(__xludf.DUMMYFUNCTION("""COMPUTED_VALUE"""),"")</f>
        <v/>
      </c>
    </row>
    <row r="578">
      <c r="AD578" s="224" t="str">
        <f>IFERROR(__xludf.DUMMYFUNCTION("""COMPUTED_VALUE"""),"")</f>
        <v/>
      </c>
      <c r="AE578" s="224"/>
      <c r="AF578" s="224" t="str">
        <f>IFERROR(__xludf.DUMMYFUNCTION("""COMPUTED_VALUE"""),"")</f>
        <v/>
      </c>
      <c r="AG578" s="224" t="str">
        <f>IFERROR(__xludf.DUMMYFUNCTION("""COMPUTED_VALUE"""),"")</f>
        <v/>
      </c>
    </row>
    <row r="579">
      <c r="AD579" s="224" t="str">
        <f>IFERROR(__xludf.DUMMYFUNCTION("""COMPUTED_VALUE"""),"")</f>
        <v/>
      </c>
      <c r="AE579" s="224"/>
      <c r="AF579" s="224" t="str">
        <f>IFERROR(__xludf.DUMMYFUNCTION("""COMPUTED_VALUE"""),"")</f>
        <v/>
      </c>
      <c r="AG579" s="224" t="str">
        <f>IFERROR(__xludf.DUMMYFUNCTION("""COMPUTED_VALUE"""),"")</f>
        <v/>
      </c>
    </row>
    <row r="580">
      <c r="AD580" s="224" t="str">
        <f>IFERROR(__xludf.DUMMYFUNCTION("""COMPUTED_VALUE"""),"")</f>
        <v/>
      </c>
      <c r="AE580" s="224"/>
      <c r="AF580" s="224" t="str">
        <f>IFERROR(__xludf.DUMMYFUNCTION("""COMPUTED_VALUE"""),"")</f>
        <v/>
      </c>
      <c r="AG580" s="224" t="str">
        <f>IFERROR(__xludf.DUMMYFUNCTION("""COMPUTED_VALUE"""),"")</f>
        <v/>
      </c>
    </row>
    <row r="581">
      <c r="AD581" s="224" t="str">
        <f>IFERROR(__xludf.DUMMYFUNCTION("""COMPUTED_VALUE"""),"")</f>
        <v/>
      </c>
      <c r="AE581" s="224"/>
      <c r="AF581" s="224" t="str">
        <f>IFERROR(__xludf.DUMMYFUNCTION("""COMPUTED_VALUE"""),"")</f>
        <v/>
      </c>
      <c r="AG581" s="224" t="str">
        <f>IFERROR(__xludf.DUMMYFUNCTION("""COMPUTED_VALUE"""),"")</f>
        <v/>
      </c>
    </row>
    <row r="582">
      <c r="AD582" s="224" t="str">
        <f>IFERROR(__xludf.DUMMYFUNCTION("""COMPUTED_VALUE"""),"")</f>
        <v/>
      </c>
      <c r="AE582" s="224"/>
      <c r="AF582" s="224" t="str">
        <f>IFERROR(__xludf.DUMMYFUNCTION("""COMPUTED_VALUE"""),"")</f>
        <v/>
      </c>
      <c r="AG582" s="224" t="str">
        <f>IFERROR(__xludf.DUMMYFUNCTION("""COMPUTED_VALUE"""),"")</f>
        <v/>
      </c>
    </row>
    <row r="583">
      <c r="AD583" s="224" t="str">
        <f>IFERROR(__xludf.DUMMYFUNCTION("""COMPUTED_VALUE"""),"")</f>
        <v/>
      </c>
      <c r="AE583" s="224"/>
      <c r="AF583" s="224" t="str">
        <f>IFERROR(__xludf.DUMMYFUNCTION("""COMPUTED_VALUE"""),"")</f>
        <v/>
      </c>
      <c r="AG583" s="224" t="str">
        <f>IFERROR(__xludf.DUMMYFUNCTION("""COMPUTED_VALUE"""),"")</f>
        <v/>
      </c>
    </row>
    <row r="584">
      <c r="AD584" s="224" t="str">
        <f>IFERROR(__xludf.DUMMYFUNCTION("""COMPUTED_VALUE"""),"")</f>
        <v/>
      </c>
      <c r="AE584" s="224"/>
      <c r="AF584" s="224" t="str">
        <f>IFERROR(__xludf.DUMMYFUNCTION("""COMPUTED_VALUE"""),"")</f>
        <v/>
      </c>
      <c r="AG584" s="224" t="str">
        <f>IFERROR(__xludf.DUMMYFUNCTION("""COMPUTED_VALUE"""),"")</f>
        <v/>
      </c>
    </row>
    <row r="585">
      <c r="AD585" s="224" t="str">
        <f>IFERROR(__xludf.DUMMYFUNCTION("""COMPUTED_VALUE"""),"")</f>
        <v/>
      </c>
      <c r="AE585" s="224"/>
      <c r="AF585" s="224" t="str">
        <f>IFERROR(__xludf.DUMMYFUNCTION("""COMPUTED_VALUE"""),"")</f>
        <v/>
      </c>
      <c r="AG585" s="224" t="str">
        <f>IFERROR(__xludf.DUMMYFUNCTION("""COMPUTED_VALUE"""),"")</f>
        <v/>
      </c>
    </row>
    <row r="586">
      <c r="AD586" s="224" t="str">
        <f>IFERROR(__xludf.DUMMYFUNCTION("""COMPUTED_VALUE"""),"")</f>
        <v/>
      </c>
      <c r="AE586" s="224"/>
      <c r="AF586" s="224" t="str">
        <f>IFERROR(__xludf.DUMMYFUNCTION("""COMPUTED_VALUE"""),"")</f>
        <v/>
      </c>
      <c r="AG586" s="224" t="str">
        <f>IFERROR(__xludf.DUMMYFUNCTION("""COMPUTED_VALUE"""),"")</f>
        <v/>
      </c>
    </row>
    <row r="587">
      <c r="AD587" s="224" t="str">
        <f>IFERROR(__xludf.DUMMYFUNCTION("""COMPUTED_VALUE"""),"")</f>
        <v/>
      </c>
      <c r="AE587" s="224"/>
      <c r="AF587" s="224" t="str">
        <f>IFERROR(__xludf.DUMMYFUNCTION("""COMPUTED_VALUE"""),"")</f>
        <v/>
      </c>
      <c r="AG587" s="224" t="str">
        <f>IFERROR(__xludf.DUMMYFUNCTION("""COMPUTED_VALUE"""),"")</f>
        <v/>
      </c>
    </row>
    <row r="588">
      <c r="AD588" s="224" t="str">
        <f>IFERROR(__xludf.DUMMYFUNCTION("""COMPUTED_VALUE"""),"")</f>
        <v/>
      </c>
      <c r="AE588" s="224"/>
      <c r="AF588" s="224" t="str">
        <f>IFERROR(__xludf.DUMMYFUNCTION("""COMPUTED_VALUE"""),"")</f>
        <v/>
      </c>
      <c r="AG588" s="224" t="str">
        <f>IFERROR(__xludf.DUMMYFUNCTION("""COMPUTED_VALUE"""),"")</f>
        <v/>
      </c>
    </row>
    <row r="589">
      <c r="AD589" s="224" t="str">
        <f>IFERROR(__xludf.DUMMYFUNCTION("""COMPUTED_VALUE"""),"")</f>
        <v/>
      </c>
      <c r="AE589" s="224"/>
      <c r="AF589" s="224" t="str">
        <f>IFERROR(__xludf.DUMMYFUNCTION("""COMPUTED_VALUE"""),"")</f>
        <v/>
      </c>
      <c r="AG589" s="224" t="str">
        <f>IFERROR(__xludf.DUMMYFUNCTION("""COMPUTED_VALUE"""),"")</f>
        <v/>
      </c>
    </row>
    <row r="590">
      <c r="AD590" s="224" t="str">
        <f>IFERROR(__xludf.DUMMYFUNCTION("""COMPUTED_VALUE"""),"")</f>
        <v/>
      </c>
      <c r="AE590" s="224"/>
      <c r="AF590" s="224" t="str">
        <f>IFERROR(__xludf.DUMMYFUNCTION("""COMPUTED_VALUE"""),"")</f>
        <v/>
      </c>
      <c r="AG590" s="224" t="str">
        <f>IFERROR(__xludf.DUMMYFUNCTION("""COMPUTED_VALUE"""),"")</f>
        <v/>
      </c>
    </row>
    <row r="591">
      <c r="AD591" s="224" t="str">
        <f>IFERROR(__xludf.DUMMYFUNCTION("""COMPUTED_VALUE"""),"")</f>
        <v/>
      </c>
      <c r="AE591" s="224"/>
      <c r="AF591" s="224" t="str">
        <f>IFERROR(__xludf.DUMMYFUNCTION("""COMPUTED_VALUE"""),"")</f>
        <v/>
      </c>
      <c r="AG591" s="224" t="str">
        <f>IFERROR(__xludf.DUMMYFUNCTION("""COMPUTED_VALUE"""),"")</f>
        <v/>
      </c>
    </row>
    <row r="592">
      <c r="AD592" s="224" t="str">
        <f>IFERROR(__xludf.DUMMYFUNCTION("""COMPUTED_VALUE"""),"")</f>
        <v/>
      </c>
      <c r="AE592" s="224"/>
      <c r="AF592" s="224" t="str">
        <f>IFERROR(__xludf.DUMMYFUNCTION("""COMPUTED_VALUE"""),"")</f>
        <v/>
      </c>
      <c r="AG592" s="224" t="str">
        <f>IFERROR(__xludf.DUMMYFUNCTION("""COMPUTED_VALUE"""),"")</f>
        <v/>
      </c>
    </row>
    <row r="593">
      <c r="AD593" s="224" t="str">
        <f>IFERROR(__xludf.DUMMYFUNCTION("""COMPUTED_VALUE"""),"")</f>
        <v/>
      </c>
      <c r="AE593" s="224"/>
      <c r="AF593" s="224" t="str">
        <f>IFERROR(__xludf.DUMMYFUNCTION("""COMPUTED_VALUE"""),"")</f>
        <v/>
      </c>
      <c r="AG593" s="224" t="str">
        <f>IFERROR(__xludf.DUMMYFUNCTION("""COMPUTED_VALUE"""),"")</f>
        <v/>
      </c>
    </row>
    <row r="594">
      <c r="AD594" s="224" t="str">
        <f>IFERROR(__xludf.DUMMYFUNCTION("""COMPUTED_VALUE"""),"")</f>
        <v/>
      </c>
      <c r="AE594" s="224"/>
      <c r="AF594" s="224" t="str">
        <f>IFERROR(__xludf.DUMMYFUNCTION("""COMPUTED_VALUE"""),"")</f>
        <v/>
      </c>
      <c r="AG594" s="224" t="str">
        <f>IFERROR(__xludf.DUMMYFUNCTION("""COMPUTED_VALUE"""),"")</f>
        <v/>
      </c>
    </row>
    <row r="595">
      <c r="AD595" s="224" t="str">
        <f>IFERROR(__xludf.DUMMYFUNCTION("""COMPUTED_VALUE"""),"")</f>
        <v/>
      </c>
      <c r="AE595" s="224"/>
      <c r="AF595" s="224" t="str">
        <f>IFERROR(__xludf.DUMMYFUNCTION("""COMPUTED_VALUE"""),"")</f>
        <v/>
      </c>
      <c r="AG595" s="224" t="str">
        <f>IFERROR(__xludf.DUMMYFUNCTION("""COMPUTED_VALUE"""),"")</f>
        <v/>
      </c>
    </row>
    <row r="596">
      <c r="AD596" s="224" t="str">
        <f>IFERROR(__xludf.DUMMYFUNCTION("""COMPUTED_VALUE"""),"")</f>
        <v/>
      </c>
      <c r="AE596" s="224"/>
      <c r="AF596" s="224" t="str">
        <f>IFERROR(__xludf.DUMMYFUNCTION("""COMPUTED_VALUE"""),"")</f>
        <v/>
      </c>
      <c r="AG596" s="224" t="str">
        <f>IFERROR(__xludf.DUMMYFUNCTION("""COMPUTED_VALUE"""),"")</f>
        <v/>
      </c>
    </row>
    <row r="597">
      <c r="AD597" s="224" t="str">
        <f>IFERROR(__xludf.DUMMYFUNCTION("""COMPUTED_VALUE"""),"")</f>
        <v/>
      </c>
      <c r="AE597" s="224"/>
      <c r="AF597" s="224" t="str">
        <f>IFERROR(__xludf.DUMMYFUNCTION("""COMPUTED_VALUE"""),"")</f>
        <v/>
      </c>
      <c r="AG597" s="224" t="str">
        <f>IFERROR(__xludf.DUMMYFUNCTION("""COMPUTED_VALUE"""),"")</f>
        <v/>
      </c>
    </row>
    <row r="598">
      <c r="AD598" s="224" t="str">
        <f>IFERROR(__xludf.DUMMYFUNCTION("""COMPUTED_VALUE"""),"")</f>
        <v/>
      </c>
      <c r="AE598" s="224"/>
      <c r="AF598" s="224" t="str">
        <f>IFERROR(__xludf.DUMMYFUNCTION("""COMPUTED_VALUE"""),"")</f>
        <v/>
      </c>
      <c r="AG598" s="224" t="str">
        <f>IFERROR(__xludf.DUMMYFUNCTION("""COMPUTED_VALUE"""),"")</f>
        <v/>
      </c>
    </row>
    <row r="599">
      <c r="AD599" s="224" t="str">
        <f>IFERROR(__xludf.DUMMYFUNCTION("""COMPUTED_VALUE"""),"")</f>
        <v/>
      </c>
      <c r="AE599" s="224"/>
      <c r="AF599" s="224" t="str">
        <f>IFERROR(__xludf.DUMMYFUNCTION("""COMPUTED_VALUE"""),"")</f>
        <v/>
      </c>
      <c r="AG599" s="224" t="str">
        <f>IFERROR(__xludf.DUMMYFUNCTION("""COMPUTED_VALUE"""),"")</f>
        <v/>
      </c>
    </row>
    <row r="600">
      <c r="AD600" s="224" t="str">
        <f>IFERROR(__xludf.DUMMYFUNCTION("""COMPUTED_VALUE"""),"")</f>
        <v/>
      </c>
      <c r="AE600" s="224"/>
      <c r="AF600" s="224" t="str">
        <f>IFERROR(__xludf.DUMMYFUNCTION("""COMPUTED_VALUE"""),"")</f>
        <v/>
      </c>
      <c r="AG600" s="224" t="str">
        <f>IFERROR(__xludf.DUMMYFUNCTION("""COMPUTED_VALUE"""),"")</f>
        <v/>
      </c>
    </row>
    <row r="601">
      <c r="AD601" s="224" t="str">
        <f>IFERROR(__xludf.DUMMYFUNCTION("""COMPUTED_VALUE"""),"")</f>
        <v/>
      </c>
      <c r="AE601" s="224"/>
      <c r="AF601" s="224" t="str">
        <f>IFERROR(__xludf.DUMMYFUNCTION("""COMPUTED_VALUE"""),"")</f>
        <v/>
      </c>
      <c r="AG601" s="224" t="str">
        <f>IFERROR(__xludf.DUMMYFUNCTION("""COMPUTED_VALUE"""),"")</f>
        <v/>
      </c>
    </row>
    <row r="602">
      <c r="AD602" s="224" t="str">
        <f>IFERROR(__xludf.DUMMYFUNCTION("""COMPUTED_VALUE"""),"")</f>
        <v/>
      </c>
      <c r="AE602" s="224"/>
      <c r="AF602" s="224" t="str">
        <f>IFERROR(__xludf.DUMMYFUNCTION("""COMPUTED_VALUE"""),"")</f>
        <v/>
      </c>
      <c r="AG602" s="224" t="str">
        <f>IFERROR(__xludf.DUMMYFUNCTION("""COMPUTED_VALUE"""),"")</f>
        <v/>
      </c>
    </row>
    <row r="603">
      <c r="AD603" s="224" t="str">
        <f>IFERROR(__xludf.DUMMYFUNCTION("""COMPUTED_VALUE"""),"")</f>
        <v/>
      </c>
      <c r="AE603" s="224"/>
      <c r="AF603" s="224" t="str">
        <f>IFERROR(__xludf.DUMMYFUNCTION("""COMPUTED_VALUE"""),"")</f>
        <v/>
      </c>
      <c r="AG603" s="224" t="str">
        <f>IFERROR(__xludf.DUMMYFUNCTION("""COMPUTED_VALUE"""),"")</f>
        <v/>
      </c>
    </row>
    <row r="604">
      <c r="AD604" s="224" t="str">
        <f>IFERROR(__xludf.DUMMYFUNCTION("""COMPUTED_VALUE"""),"")</f>
        <v/>
      </c>
      <c r="AE604" s="224"/>
      <c r="AF604" s="224" t="str">
        <f>IFERROR(__xludf.DUMMYFUNCTION("""COMPUTED_VALUE"""),"")</f>
        <v/>
      </c>
      <c r="AG604" s="224" t="str">
        <f>IFERROR(__xludf.DUMMYFUNCTION("""COMPUTED_VALUE"""),"")</f>
        <v/>
      </c>
    </row>
    <row r="605">
      <c r="AD605" s="224" t="str">
        <f>IFERROR(__xludf.DUMMYFUNCTION("""COMPUTED_VALUE"""),"")</f>
        <v/>
      </c>
      <c r="AE605" s="224"/>
      <c r="AF605" s="224" t="str">
        <f>IFERROR(__xludf.DUMMYFUNCTION("""COMPUTED_VALUE"""),"")</f>
        <v/>
      </c>
      <c r="AG605" s="224" t="str">
        <f>IFERROR(__xludf.DUMMYFUNCTION("""COMPUTED_VALUE"""),"")</f>
        <v/>
      </c>
    </row>
    <row r="606">
      <c r="AD606" s="224" t="str">
        <f>IFERROR(__xludf.DUMMYFUNCTION("""COMPUTED_VALUE"""),"")</f>
        <v/>
      </c>
      <c r="AE606" s="224"/>
      <c r="AF606" s="224" t="str">
        <f>IFERROR(__xludf.DUMMYFUNCTION("""COMPUTED_VALUE"""),"")</f>
        <v/>
      </c>
      <c r="AG606" s="224" t="str">
        <f>IFERROR(__xludf.DUMMYFUNCTION("""COMPUTED_VALUE"""),"")</f>
        <v/>
      </c>
    </row>
    <row r="607">
      <c r="AD607" s="224" t="str">
        <f>IFERROR(__xludf.DUMMYFUNCTION("""COMPUTED_VALUE"""),"")</f>
        <v/>
      </c>
      <c r="AE607" s="224"/>
      <c r="AF607" s="224" t="str">
        <f>IFERROR(__xludf.DUMMYFUNCTION("""COMPUTED_VALUE"""),"")</f>
        <v/>
      </c>
      <c r="AG607" s="224" t="str">
        <f>IFERROR(__xludf.DUMMYFUNCTION("""COMPUTED_VALUE"""),"")</f>
        <v/>
      </c>
    </row>
    <row r="608">
      <c r="AD608" s="224" t="str">
        <f>IFERROR(__xludf.DUMMYFUNCTION("""COMPUTED_VALUE"""),"")</f>
        <v/>
      </c>
      <c r="AE608" s="224"/>
      <c r="AF608" s="224" t="str">
        <f>IFERROR(__xludf.DUMMYFUNCTION("""COMPUTED_VALUE"""),"")</f>
        <v/>
      </c>
      <c r="AG608" s="224" t="str">
        <f>IFERROR(__xludf.DUMMYFUNCTION("""COMPUTED_VALUE"""),"")</f>
        <v/>
      </c>
    </row>
    <row r="609">
      <c r="AD609" s="224" t="str">
        <f>IFERROR(__xludf.DUMMYFUNCTION("""COMPUTED_VALUE"""),"")</f>
        <v/>
      </c>
      <c r="AE609" s="224"/>
      <c r="AF609" s="224" t="str">
        <f>IFERROR(__xludf.DUMMYFUNCTION("""COMPUTED_VALUE"""),"")</f>
        <v/>
      </c>
      <c r="AG609" s="224" t="str">
        <f>IFERROR(__xludf.DUMMYFUNCTION("""COMPUTED_VALUE"""),"")</f>
        <v/>
      </c>
    </row>
    <row r="610">
      <c r="AD610" s="224" t="str">
        <f>IFERROR(__xludf.DUMMYFUNCTION("""COMPUTED_VALUE"""),"")</f>
        <v/>
      </c>
      <c r="AE610" s="224"/>
      <c r="AF610" s="224" t="str">
        <f>IFERROR(__xludf.DUMMYFUNCTION("""COMPUTED_VALUE"""),"")</f>
        <v/>
      </c>
      <c r="AG610" s="224" t="str">
        <f>IFERROR(__xludf.DUMMYFUNCTION("""COMPUTED_VALUE"""),"")</f>
        <v/>
      </c>
    </row>
    <row r="611">
      <c r="AD611" s="224" t="str">
        <f>IFERROR(__xludf.DUMMYFUNCTION("""COMPUTED_VALUE"""),"")</f>
        <v/>
      </c>
      <c r="AE611" s="224"/>
      <c r="AF611" s="224" t="str">
        <f>IFERROR(__xludf.DUMMYFUNCTION("""COMPUTED_VALUE"""),"")</f>
        <v/>
      </c>
      <c r="AG611" s="224" t="str">
        <f>IFERROR(__xludf.DUMMYFUNCTION("""COMPUTED_VALUE"""),"")</f>
        <v/>
      </c>
    </row>
    <row r="612">
      <c r="AD612" s="224" t="str">
        <f>IFERROR(__xludf.DUMMYFUNCTION("""COMPUTED_VALUE"""),"")</f>
        <v/>
      </c>
      <c r="AE612" s="224"/>
      <c r="AF612" s="224" t="str">
        <f>IFERROR(__xludf.DUMMYFUNCTION("""COMPUTED_VALUE"""),"")</f>
        <v/>
      </c>
      <c r="AG612" s="224" t="str">
        <f>IFERROR(__xludf.DUMMYFUNCTION("""COMPUTED_VALUE"""),"")</f>
        <v/>
      </c>
    </row>
    <row r="613">
      <c r="AD613" s="224" t="str">
        <f>IFERROR(__xludf.DUMMYFUNCTION("""COMPUTED_VALUE"""),"")</f>
        <v/>
      </c>
      <c r="AE613" s="224"/>
      <c r="AF613" s="224" t="str">
        <f>IFERROR(__xludf.DUMMYFUNCTION("""COMPUTED_VALUE"""),"")</f>
        <v/>
      </c>
      <c r="AG613" s="224" t="str">
        <f>IFERROR(__xludf.DUMMYFUNCTION("""COMPUTED_VALUE"""),"")</f>
        <v/>
      </c>
    </row>
    <row r="614">
      <c r="AD614" s="224" t="str">
        <f>IFERROR(__xludf.DUMMYFUNCTION("""COMPUTED_VALUE"""),"")</f>
        <v/>
      </c>
      <c r="AE614" s="224"/>
      <c r="AF614" s="224" t="str">
        <f>IFERROR(__xludf.DUMMYFUNCTION("""COMPUTED_VALUE"""),"")</f>
        <v/>
      </c>
      <c r="AG614" s="224" t="str">
        <f>IFERROR(__xludf.DUMMYFUNCTION("""COMPUTED_VALUE"""),"")</f>
        <v/>
      </c>
    </row>
    <row r="615">
      <c r="AD615" s="224" t="str">
        <f>IFERROR(__xludf.DUMMYFUNCTION("""COMPUTED_VALUE"""),"")</f>
        <v/>
      </c>
      <c r="AE615" s="224"/>
      <c r="AF615" s="224" t="str">
        <f>IFERROR(__xludf.DUMMYFUNCTION("""COMPUTED_VALUE"""),"")</f>
        <v/>
      </c>
      <c r="AG615" s="224" t="str">
        <f>IFERROR(__xludf.DUMMYFUNCTION("""COMPUTED_VALUE"""),"")</f>
        <v/>
      </c>
    </row>
    <row r="616">
      <c r="AD616" s="224" t="str">
        <f>IFERROR(__xludf.DUMMYFUNCTION("""COMPUTED_VALUE"""),"")</f>
        <v/>
      </c>
      <c r="AE616" s="224"/>
      <c r="AF616" s="224" t="str">
        <f>IFERROR(__xludf.DUMMYFUNCTION("""COMPUTED_VALUE"""),"")</f>
        <v/>
      </c>
      <c r="AG616" s="224" t="str">
        <f>IFERROR(__xludf.DUMMYFUNCTION("""COMPUTED_VALUE"""),"")</f>
        <v/>
      </c>
    </row>
    <row r="617">
      <c r="AD617" s="224" t="str">
        <f>IFERROR(__xludf.DUMMYFUNCTION("""COMPUTED_VALUE"""),"")</f>
        <v/>
      </c>
      <c r="AE617" s="224"/>
      <c r="AF617" s="224" t="str">
        <f>IFERROR(__xludf.DUMMYFUNCTION("""COMPUTED_VALUE"""),"")</f>
        <v/>
      </c>
      <c r="AG617" s="224" t="str">
        <f>IFERROR(__xludf.DUMMYFUNCTION("""COMPUTED_VALUE"""),"")</f>
        <v/>
      </c>
    </row>
    <row r="618">
      <c r="AD618" s="224" t="str">
        <f>IFERROR(__xludf.DUMMYFUNCTION("""COMPUTED_VALUE"""),"")</f>
        <v/>
      </c>
      <c r="AE618" s="224"/>
      <c r="AF618" s="224" t="str">
        <f>IFERROR(__xludf.DUMMYFUNCTION("""COMPUTED_VALUE"""),"")</f>
        <v/>
      </c>
      <c r="AG618" s="224" t="str">
        <f>IFERROR(__xludf.DUMMYFUNCTION("""COMPUTED_VALUE"""),"")</f>
        <v/>
      </c>
    </row>
    <row r="619">
      <c r="AD619" s="224" t="str">
        <f>IFERROR(__xludf.DUMMYFUNCTION("""COMPUTED_VALUE"""),"")</f>
        <v/>
      </c>
      <c r="AE619" s="224"/>
      <c r="AF619" s="224" t="str">
        <f>IFERROR(__xludf.DUMMYFUNCTION("""COMPUTED_VALUE"""),"")</f>
        <v/>
      </c>
      <c r="AG619" s="224" t="str">
        <f>IFERROR(__xludf.DUMMYFUNCTION("""COMPUTED_VALUE"""),"")</f>
        <v/>
      </c>
    </row>
    <row r="620">
      <c r="AD620" s="224" t="str">
        <f>IFERROR(__xludf.DUMMYFUNCTION("""COMPUTED_VALUE"""),"")</f>
        <v/>
      </c>
      <c r="AE620" s="224"/>
      <c r="AF620" s="224" t="str">
        <f>IFERROR(__xludf.DUMMYFUNCTION("""COMPUTED_VALUE"""),"")</f>
        <v/>
      </c>
      <c r="AG620" s="224" t="str">
        <f>IFERROR(__xludf.DUMMYFUNCTION("""COMPUTED_VALUE"""),"")</f>
        <v/>
      </c>
    </row>
    <row r="621">
      <c r="AD621" s="224" t="str">
        <f>IFERROR(__xludf.DUMMYFUNCTION("""COMPUTED_VALUE"""),"")</f>
        <v/>
      </c>
      <c r="AE621" s="224"/>
      <c r="AF621" s="224" t="str">
        <f>IFERROR(__xludf.DUMMYFUNCTION("""COMPUTED_VALUE"""),"")</f>
        <v/>
      </c>
      <c r="AG621" s="224" t="str">
        <f>IFERROR(__xludf.DUMMYFUNCTION("""COMPUTED_VALUE"""),"")</f>
        <v/>
      </c>
    </row>
    <row r="622">
      <c r="AD622" s="224" t="str">
        <f>IFERROR(__xludf.DUMMYFUNCTION("""COMPUTED_VALUE"""),"")</f>
        <v/>
      </c>
      <c r="AE622" s="224"/>
      <c r="AF622" s="224" t="str">
        <f>IFERROR(__xludf.DUMMYFUNCTION("""COMPUTED_VALUE"""),"")</f>
        <v/>
      </c>
      <c r="AG622" s="224" t="str">
        <f>IFERROR(__xludf.DUMMYFUNCTION("""COMPUTED_VALUE"""),"")</f>
        <v/>
      </c>
    </row>
    <row r="623">
      <c r="AD623" s="224" t="str">
        <f>IFERROR(__xludf.DUMMYFUNCTION("""COMPUTED_VALUE"""),"")</f>
        <v/>
      </c>
      <c r="AE623" s="224"/>
      <c r="AF623" s="224" t="str">
        <f>IFERROR(__xludf.DUMMYFUNCTION("""COMPUTED_VALUE"""),"")</f>
        <v/>
      </c>
      <c r="AG623" s="224" t="str">
        <f>IFERROR(__xludf.DUMMYFUNCTION("""COMPUTED_VALUE"""),"")</f>
        <v/>
      </c>
    </row>
    <row r="624">
      <c r="AD624" s="224" t="str">
        <f>IFERROR(__xludf.DUMMYFUNCTION("""COMPUTED_VALUE"""),"")</f>
        <v/>
      </c>
      <c r="AE624" s="224"/>
      <c r="AF624" s="224" t="str">
        <f>IFERROR(__xludf.DUMMYFUNCTION("""COMPUTED_VALUE"""),"")</f>
        <v/>
      </c>
      <c r="AG624" s="224" t="str">
        <f>IFERROR(__xludf.DUMMYFUNCTION("""COMPUTED_VALUE"""),"")</f>
        <v/>
      </c>
    </row>
    <row r="625">
      <c r="AD625" s="224" t="str">
        <f>IFERROR(__xludf.DUMMYFUNCTION("""COMPUTED_VALUE"""),"")</f>
        <v/>
      </c>
      <c r="AE625" s="224"/>
      <c r="AF625" s="224" t="str">
        <f>IFERROR(__xludf.DUMMYFUNCTION("""COMPUTED_VALUE"""),"")</f>
        <v/>
      </c>
      <c r="AG625" s="224" t="str">
        <f>IFERROR(__xludf.DUMMYFUNCTION("""COMPUTED_VALUE"""),"")</f>
        <v/>
      </c>
    </row>
    <row r="626">
      <c r="AD626" s="224" t="str">
        <f>IFERROR(__xludf.DUMMYFUNCTION("""COMPUTED_VALUE"""),"")</f>
        <v/>
      </c>
      <c r="AE626" s="224"/>
      <c r="AF626" s="224" t="str">
        <f>IFERROR(__xludf.DUMMYFUNCTION("""COMPUTED_VALUE"""),"")</f>
        <v/>
      </c>
      <c r="AG626" s="224" t="str">
        <f>IFERROR(__xludf.DUMMYFUNCTION("""COMPUTED_VALUE"""),"")</f>
        <v/>
      </c>
    </row>
    <row r="627">
      <c r="AD627" s="224" t="str">
        <f>IFERROR(__xludf.DUMMYFUNCTION("""COMPUTED_VALUE"""),"")</f>
        <v/>
      </c>
      <c r="AE627" s="224"/>
      <c r="AF627" s="224" t="str">
        <f>IFERROR(__xludf.DUMMYFUNCTION("""COMPUTED_VALUE"""),"")</f>
        <v/>
      </c>
      <c r="AG627" s="224" t="str">
        <f>IFERROR(__xludf.DUMMYFUNCTION("""COMPUTED_VALUE"""),"")</f>
        <v/>
      </c>
    </row>
    <row r="628">
      <c r="AD628" s="224" t="str">
        <f>IFERROR(__xludf.DUMMYFUNCTION("""COMPUTED_VALUE"""),"")</f>
        <v/>
      </c>
      <c r="AE628" s="224"/>
      <c r="AF628" s="224" t="str">
        <f>IFERROR(__xludf.DUMMYFUNCTION("""COMPUTED_VALUE"""),"")</f>
        <v/>
      </c>
      <c r="AG628" s="224" t="str">
        <f>IFERROR(__xludf.DUMMYFUNCTION("""COMPUTED_VALUE"""),"")</f>
        <v/>
      </c>
    </row>
    <row r="629">
      <c r="AD629" s="224" t="str">
        <f>IFERROR(__xludf.DUMMYFUNCTION("""COMPUTED_VALUE"""),"")</f>
        <v/>
      </c>
      <c r="AE629" s="224"/>
      <c r="AF629" s="224" t="str">
        <f>IFERROR(__xludf.DUMMYFUNCTION("""COMPUTED_VALUE"""),"")</f>
        <v/>
      </c>
      <c r="AG629" s="224" t="str">
        <f>IFERROR(__xludf.DUMMYFUNCTION("""COMPUTED_VALUE"""),"")</f>
        <v/>
      </c>
    </row>
    <row r="630">
      <c r="AD630" s="224" t="str">
        <f>IFERROR(__xludf.DUMMYFUNCTION("""COMPUTED_VALUE"""),"")</f>
        <v/>
      </c>
      <c r="AE630" s="224"/>
      <c r="AF630" s="224" t="str">
        <f>IFERROR(__xludf.DUMMYFUNCTION("""COMPUTED_VALUE"""),"")</f>
        <v/>
      </c>
      <c r="AG630" s="224" t="str">
        <f>IFERROR(__xludf.DUMMYFUNCTION("""COMPUTED_VALUE"""),"")</f>
        <v/>
      </c>
    </row>
    <row r="631">
      <c r="AD631" s="224" t="str">
        <f>IFERROR(__xludf.DUMMYFUNCTION("""COMPUTED_VALUE"""),"")</f>
        <v/>
      </c>
      <c r="AE631" s="224"/>
      <c r="AF631" s="224" t="str">
        <f>IFERROR(__xludf.DUMMYFUNCTION("""COMPUTED_VALUE"""),"")</f>
        <v/>
      </c>
      <c r="AG631" s="224" t="str">
        <f>IFERROR(__xludf.DUMMYFUNCTION("""COMPUTED_VALUE"""),"")</f>
        <v/>
      </c>
    </row>
    <row r="632">
      <c r="AD632" s="224" t="str">
        <f>IFERROR(__xludf.DUMMYFUNCTION("""COMPUTED_VALUE"""),"")</f>
        <v/>
      </c>
      <c r="AE632" s="224"/>
      <c r="AF632" s="224" t="str">
        <f>IFERROR(__xludf.DUMMYFUNCTION("""COMPUTED_VALUE"""),"")</f>
        <v/>
      </c>
      <c r="AG632" s="224" t="str">
        <f>IFERROR(__xludf.DUMMYFUNCTION("""COMPUTED_VALUE"""),"")</f>
        <v/>
      </c>
    </row>
    <row r="633">
      <c r="AD633" s="224" t="str">
        <f>IFERROR(__xludf.DUMMYFUNCTION("""COMPUTED_VALUE"""),"")</f>
        <v/>
      </c>
      <c r="AE633" s="224"/>
      <c r="AF633" s="224" t="str">
        <f>IFERROR(__xludf.DUMMYFUNCTION("""COMPUTED_VALUE"""),"")</f>
        <v/>
      </c>
      <c r="AG633" s="224" t="str">
        <f>IFERROR(__xludf.DUMMYFUNCTION("""COMPUTED_VALUE"""),"")</f>
        <v/>
      </c>
    </row>
    <row r="634">
      <c r="AD634" s="224" t="str">
        <f>IFERROR(__xludf.DUMMYFUNCTION("""COMPUTED_VALUE"""),"")</f>
        <v/>
      </c>
      <c r="AE634" s="224"/>
      <c r="AF634" s="224" t="str">
        <f>IFERROR(__xludf.DUMMYFUNCTION("""COMPUTED_VALUE"""),"")</f>
        <v/>
      </c>
      <c r="AG634" s="224" t="str">
        <f>IFERROR(__xludf.DUMMYFUNCTION("""COMPUTED_VALUE"""),"")</f>
        <v/>
      </c>
    </row>
    <row r="635">
      <c r="AD635" s="224" t="str">
        <f>IFERROR(__xludf.DUMMYFUNCTION("""COMPUTED_VALUE"""),"")</f>
        <v/>
      </c>
      <c r="AE635" s="224"/>
      <c r="AF635" s="224" t="str">
        <f>IFERROR(__xludf.DUMMYFUNCTION("""COMPUTED_VALUE"""),"")</f>
        <v/>
      </c>
      <c r="AG635" s="224" t="str">
        <f>IFERROR(__xludf.DUMMYFUNCTION("""COMPUTED_VALUE"""),"")</f>
        <v/>
      </c>
    </row>
    <row r="636">
      <c r="AD636" s="224" t="str">
        <f>IFERROR(__xludf.DUMMYFUNCTION("""COMPUTED_VALUE"""),"")</f>
        <v/>
      </c>
      <c r="AE636" s="224"/>
      <c r="AF636" s="224" t="str">
        <f>IFERROR(__xludf.DUMMYFUNCTION("""COMPUTED_VALUE"""),"")</f>
        <v/>
      </c>
      <c r="AG636" s="224" t="str">
        <f>IFERROR(__xludf.DUMMYFUNCTION("""COMPUTED_VALUE"""),"")</f>
        <v/>
      </c>
    </row>
    <row r="637">
      <c r="AD637" s="224" t="str">
        <f>IFERROR(__xludf.DUMMYFUNCTION("""COMPUTED_VALUE"""),"")</f>
        <v/>
      </c>
      <c r="AE637" s="224"/>
      <c r="AF637" s="224" t="str">
        <f>IFERROR(__xludf.DUMMYFUNCTION("""COMPUTED_VALUE"""),"")</f>
        <v/>
      </c>
      <c r="AG637" s="224" t="str">
        <f>IFERROR(__xludf.DUMMYFUNCTION("""COMPUTED_VALUE"""),"")</f>
        <v/>
      </c>
    </row>
    <row r="638">
      <c r="AD638" s="224" t="str">
        <f>IFERROR(__xludf.DUMMYFUNCTION("""COMPUTED_VALUE"""),"")</f>
        <v/>
      </c>
      <c r="AE638" s="224"/>
      <c r="AF638" s="224" t="str">
        <f>IFERROR(__xludf.DUMMYFUNCTION("""COMPUTED_VALUE"""),"")</f>
        <v/>
      </c>
      <c r="AG638" s="224" t="str">
        <f>IFERROR(__xludf.DUMMYFUNCTION("""COMPUTED_VALUE"""),"")</f>
        <v/>
      </c>
    </row>
    <row r="639">
      <c r="AD639" s="224" t="str">
        <f>IFERROR(__xludf.DUMMYFUNCTION("""COMPUTED_VALUE"""),"")</f>
        <v/>
      </c>
      <c r="AE639" s="224"/>
      <c r="AF639" s="224" t="str">
        <f>IFERROR(__xludf.DUMMYFUNCTION("""COMPUTED_VALUE"""),"")</f>
        <v/>
      </c>
      <c r="AG639" s="224" t="str">
        <f>IFERROR(__xludf.DUMMYFUNCTION("""COMPUTED_VALUE"""),"")</f>
        <v/>
      </c>
    </row>
    <row r="640">
      <c r="AD640" s="224" t="str">
        <f>IFERROR(__xludf.DUMMYFUNCTION("""COMPUTED_VALUE"""),"")</f>
        <v/>
      </c>
      <c r="AE640" s="224"/>
      <c r="AF640" s="224" t="str">
        <f>IFERROR(__xludf.DUMMYFUNCTION("""COMPUTED_VALUE"""),"")</f>
        <v/>
      </c>
      <c r="AG640" s="224" t="str">
        <f>IFERROR(__xludf.DUMMYFUNCTION("""COMPUTED_VALUE"""),"")</f>
        <v/>
      </c>
    </row>
    <row r="641">
      <c r="AD641" s="224" t="str">
        <f>IFERROR(__xludf.DUMMYFUNCTION("""COMPUTED_VALUE"""),"")</f>
        <v/>
      </c>
      <c r="AE641" s="224"/>
      <c r="AF641" s="224" t="str">
        <f>IFERROR(__xludf.DUMMYFUNCTION("""COMPUTED_VALUE"""),"")</f>
        <v/>
      </c>
      <c r="AG641" s="224" t="str">
        <f>IFERROR(__xludf.DUMMYFUNCTION("""COMPUTED_VALUE"""),"")</f>
        <v/>
      </c>
    </row>
    <row r="642">
      <c r="AD642" s="224" t="str">
        <f>IFERROR(__xludf.DUMMYFUNCTION("""COMPUTED_VALUE"""),"")</f>
        <v/>
      </c>
      <c r="AE642" s="224"/>
      <c r="AF642" s="224" t="str">
        <f>IFERROR(__xludf.DUMMYFUNCTION("""COMPUTED_VALUE"""),"")</f>
        <v/>
      </c>
      <c r="AG642" s="224" t="str">
        <f>IFERROR(__xludf.DUMMYFUNCTION("""COMPUTED_VALUE"""),"")</f>
        <v/>
      </c>
    </row>
    <row r="643">
      <c r="AD643" s="224" t="str">
        <f>IFERROR(__xludf.DUMMYFUNCTION("""COMPUTED_VALUE"""),"")</f>
        <v/>
      </c>
      <c r="AE643" s="224"/>
      <c r="AF643" s="224" t="str">
        <f>IFERROR(__xludf.DUMMYFUNCTION("""COMPUTED_VALUE"""),"")</f>
        <v/>
      </c>
      <c r="AG643" s="224" t="str">
        <f>IFERROR(__xludf.DUMMYFUNCTION("""COMPUTED_VALUE"""),"")</f>
        <v/>
      </c>
    </row>
    <row r="644">
      <c r="AD644" s="224" t="str">
        <f>IFERROR(__xludf.DUMMYFUNCTION("""COMPUTED_VALUE"""),"")</f>
        <v/>
      </c>
      <c r="AE644" s="224"/>
      <c r="AF644" s="224" t="str">
        <f>IFERROR(__xludf.DUMMYFUNCTION("""COMPUTED_VALUE"""),"")</f>
        <v/>
      </c>
      <c r="AG644" s="224" t="str">
        <f>IFERROR(__xludf.DUMMYFUNCTION("""COMPUTED_VALUE"""),"")</f>
        <v/>
      </c>
    </row>
    <row r="645">
      <c r="AD645" s="224" t="str">
        <f>IFERROR(__xludf.DUMMYFUNCTION("""COMPUTED_VALUE"""),"")</f>
        <v/>
      </c>
      <c r="AE645" s="224"/>
      <c r="AF645" s="224" t="str">
        <f>IFERROR(__xludf.DUMMYFUNCTION("""COMPUTED_VALUE"""),"")</f>
        <v/>
      </c>
      <c r="AG645" s="224" t="str">
        <f>IFERROR(__xludf.DUMMYFUNCTION("""COMPUTED_VALUE"""),"")</f>
        <v/>
      </c>
    </row>
    <row r="646">
      <c r="AD646" s="224" t="str">
        <f>IFERROR(__xludf.DUMMYFUNCTION("""COMPUTED_VALUE"""),"")</f>
        <v/>
      </c>
      <c r="AE646" s="224"/>
      <c r="AF646" s="224" t="str">
        <f>IFERROR(__xludf.DUMMYFUNCTION("""COMPUTED_VALUE"""),"")</f>
        <v/>
      </c>
      <c r="AG646" s="224" t="str">
        <f>IFERROR(__xludf.DUMMYFUNCTION("""COMPUTED_VALUE"""),"")</f>
        <v/>
      </c>
    </row>
    <row r="647">
      <c r="AD647" s="224" t="str">
        <f>IFERROR(__xludf.DUMMYFUNCTION("""COMPUTED_VALUE"""),"")</f>
        <v/>
      </c>
      <c r="AE647" s="224"/>
      <c r="AF647" s="224" t="str">
        <f>IFERROR(__xludf.DUMMYFUNCTION("""COMPUTED_VALUE"""),"")</f>
        <v/>
      </c>
      <c r="AG647" s="224" t="str">
        <f>IFERROR(__xludf.DUMMYFUNCTION("""COMPUTED_VALUE"""),"")</f>
        <v/>
      </c>
    </row>
    <row r="648">
      <c r="AD648" s="224" t="str">
        <f>IFERROR(__xludf.DUMMYFUNCTION("""COMPUTED_VALUE"""),"")</f>
        <v/>
      </c>
      <c r="AE648" s="224"/>
      <c r="AF648" s="224" t="str">
        <f>IFERROR(__xludf.DUMMYFUNCTION("""COMPUTED_VALUE"""),"")</f>
        <v/>
      </c>
      <c r="AG648" s="224" t="str">
        <f>IFERROR(__xludf.DUMMYFUNCTION("""COMPUTED_VALUE"""),"")</f>
        <v/>
      </c>
    </row>
    <row r="649">
      <c r="AD649" s="224" t="str">
        <f>IFERROR(__xludf.DUMMYFUNCTION("""COMPUTED_VALUE"""),"")</f>
        <v/>
      </c>
      <c r="AE649" s="224"/>
      <c r="AF649" s="224" t="str">
        <f>IFERROR(__xludf.DUMMYFUNCTION("""COMPUTED_VALUE"""),"")</f>
        <v/>
      </c>
      <c r="AG649" s="224" t="str">
        <f>IFERROR(__xludf.DUMMYFUNCTION("""COMPUTED_VALUE"""),"")</f>
        <v/>
      </c>
    </row>
    <row r="650">
      <c r="AD650" s="224" t="str">
        <f>IFERROR(__xludf.DUMMYFUNCTION("""COMPUTED_VALUE"""),"")</f>
        <v/>
      </c>
      <c r="AE650" s="224"/>
      <c r="AF650" s="224" t="str">
        <f>IFERROR(__xludf.DUMMYFUNCTION("""COMPUTED_VALUE"""),"")</f>
        <v/>
      </c>
      <c r="AG650" s="224" t="str">
        <f>IFERROR(__xludf.DUMMYFUNCTION("""COMPUTED_VALUE"""),"")</f>
        <v/>
      </c>
    </row>
    <row r="651">
      <c r="AD651" s="224" t="str">
        <f>IFERROR(__xludf.DUMMYFUNCTION("""COMPUTED_VALUE"""),"")</f>
        <v/>
      </c>
      <c r="AE651" s="224"/>
      <c r="AF651" s="224" t="str">
        <f>IFERROR(__xludf.DUMMYFUNCTION("""COMPUTED_VALUE"""),"")</f>
        <v/>
      </c>
      <c r="AG651" s="224" t="str">
        <f>IFERROR(__xludf.DUMMYFUNCTION("""COMPUTED_VALUE"""),"")</f>
        <v/>
      </c>
    </row>
    <row r="652">
      <c r="AD652" s="224" t="str">
        <f>IFERROR(__xludf.DUMMYFUNCTION("""COMPUTED_VALUE"""),"")</f>
        <v/>
      </c>
      <c r="AE652" s="224"/>
      <c r="AF652" s="224" t="str">
        <f>IFERROR(__xludf.DUMMYFUNCTION("""COMPUTED_VALUE"""),"")</f>
        <v/>
      </c>
      <c r="AG652" s="224" t="str">
        <f>IFERROR(__xludf.DUMMYFUNCTION("""COMPUTED_VALUE"""),"")</f>
        <v/>
      </c>
    </row>
    <row r="653">
      <c r="AD653" s="224" t="str">
        <f>IFERROR(__xludf.DUMMYFUNCTION("""COMPUTED_VALUE"""),"")</f>
        <v/>
      </c>
      <c r="AE653" s="224"/>
      <c r="AF653" s="224" t="str">
        <f>IFERROR(__xludf.DUMMYFUNCTION("""COMPUTED_VALUE"""),"")</f>
        <v/>
      </c>
      <c r="AG653" s="224" t="str">
        <f>IFERROR(__xludf.DUMMYFUNCTION("""COMPUTED_VALUE"""),"")</f>
        <v/>
      </c>
    </row>
    <row r="654">
      <c r="AD654" s="224" t="str">
        <f>IFERROR(__xludf.DUMMYFUNCTION("""COMPUTED_VALUE"""),"")</f>
        <v/>
      </c>
      <c r="AE654" s="224"/>
      <c r="AF654" s="224" t="str">
        <f>IFERROR(__xludf.DUMMYFUNCTION("""COMPUTED_VALUE"""),"")</f>
        <v/>
      </c>
      <c r="AG654" s="224" t="str">
        <f>IFERROR(__xludf.DUMMYFUNCTION("""COMPUTED_VALUE"""),"")</f>
        <v/>
      </c>
    </row>
    <row r="655">
      <c r="AD655" s="224" t="str">
        <f>IFERROR(__xludf.DUMMYFUNCTION("""COMPUTED_VALUE"""),"")</f>
        <v/>
      </c>
      <c r="AE655" s="224"/>
      <c r="AF655" s="224" t="str">
        <f>IFERROR(__xludf.DUMMYFUNCTION("""COMPUTED_VALUE"""),"")</f>
        <v/>
      </c>
      <c r="AG655" s="224" t="str">
        <f>IFERROR(__xludf.DUMMYFUNCTION("""COMPUTED_VALUE"""),"")</f>
        <v/>
      </c>
    </row>
    <row r="656">
      <c r="AD656" s="224" t="str">
        <f>IFERROR(__xludf.DUMMYFUNCTION("""COMPUTED_VALUE"""),"")</f>
        <v/>
      </c>
      <c r="AE656" s="224"/>
      <c r="AF656" s="224" t="str">
        <f>IFERROR(__xludf.DUMMYFUNCTION("""COMPUTED_VALUE"""),"")</f>
        <v/>
      </c>
      <c r="AG656" s="224" t="str">
        <f>IFERROR(__xludf.DUMMYFUNCTION("""COMPUTED_VALUE"""),"")</f>
        <v/>
      </c>
    </row>
    <row r="657">
      <c r="AD657" s="224" t="str">
        <f>IFERROR(__xludf.DUMMYFUNCTION("""COMPUTED_VALUE"""),"")</f>
        <v/>
      </c>
      <c r="AE657" s="224"/>
      <c r="AF657" s="224" t="str">
        <f>IFERROR(__xludf.DUMMYFUNCTION("""COMPUTED_VALUE"""),"")</f>
        <v/>
      </c>
      <c r="AG657" s="224" t="str">
        <f>IFERROR(__xludf.DUMMYFUNCTION("""COMPUTED_VALUE"""),"")</f>
        <v/>
      </c>
    </row>
    <row r="658">
      <c r="AD658" s="224" t="str">
        <f>IFERROR(__xludf.DUMMYFUNCTION("""COMPUTED_VALUE"""),"")</f>
        <v/>
      </c>
      <c r="AE658" s="224"/>
      <c r="AF658" s="224" t="str">
        <f>IFERROR(__xludf.DUMMYFUNCTION("""COMPUTED_VALUE"""),"")</f>
        <v/>
      </c>
      <c r="AG658" s="224" t="str">
        <f>IFERROR(__xludf.DUMMYFUNCTION("""COMPUTED_VALUE"""),"")</f>
        <v/>
      </c>
    </row>
    <row r="659">
      <c r="AD659" s="224" t="str">
        <f>IFERROR(__xludf.DUMMYFUNCTION("""COMPUTED_VALUE"""),"")</f>
        <v/>
      </c>
      <c r="AE659" s="224"/>
      <c r="AF659" s="224" t="str">
        <f>IFERROR(__xludf.DUMMYFUNCTION("""COMPUTED_VALUE"""),"")</f>
        <v/>
      </c>
      <c r="AG659" s="224" t="str">
        <f>IFERROR(__xludf.DUMMYFUNCTION("""COMPUTED_VALUE"""),"")</f>
        <v/>
      </c>
    </row>
    <row r="660">
      <c r="AD660" s="224" t="str">
        <f>IFERROR(__xludf.DUMMYFUNCTION("""COMPUTED_VALUE"""),"")</f>
        <v/>
      </c>
      <c r="AE660" s="224"/>
      <c r="AF660" s="224" t="str">
        <f>IFERROR(__xludf.DUMMYFUNCTION("""COMPUTED_VALUE"""),"")</f>
        <v/>
      </c>
      <c r="AG660" s="224" t="str">
        <f>IFERROR(__xludf.DUMMYFUNCTION("""COMPUTED_VALUE"""),"")</f>
        <v/>
      </c>
    </row>
    <row r="661">
      <c r="AD661" s="224" t="str">
        <f>IFERROR(__xludf.DUMMYFUNCTION("""COMPUTED_VALUE"""),"")</f>
        <v/>
      </c>
      <c r="AE661" s="224"/>
      <c r="AF661" s="224" t="str">
        <f>IFERROR(__xludf.DUMMYFUNCTION("""COMPUTED_VALUE"""),"")</f>
        <v/>
      </c>
      <c r="AG661" s="224" t="str">
        <f>IFERROR(__xludf.DUMMYFUNCTION("""COMPUTED_VALUE"""),"")</f>
        <v/>
      </c>
    </row>
    <row r="662">
      <c r="AD662" s="224" t="str">
        <f>IFERROR(__xludf.DUMMYFUNCTION("""COMPUTED_VALUE"""),"")</f>
        <v/>
      </c>
      <c r="AE662" s="224"/>
      <c r="AF662" s="224" t="str">
        <f>IFERROR(__xludf.DUMMYFUNCTION("""COMPUTED_VALUE"""),"")</f>
        <v/>
      </c>
      <c r="AG662" s="224" t="str">
        <f>IFERROR(__xludf.DUMMYFUNCTION("""COMPUTED_VALUE"""),"")</f>
        <v/>
      </c>
    </row>
    <row r="663">
      <c r="AD663" s="224" t="str">
        <f>IFERROR(__xludf.DUMMYFUNCTION("""COMPUTED_VALUE"""),"")</f>
        <v/>
      </c>
      <c r="AE663" s="224"/>
      <c r="AF663" s="224" t="str">
        <f>IFERROR(__xludf.DUMMYFUNCTION("""COMPUTED_VALUE"""),"")</f>
        <v/>
      </c>
      <c r="AG663" s="224" t="str">
        <f>IFERROR(__xludf.DUMMYFUNCTION("""COMPUTED_VALUE"""),"")</f>
        <v/>
      </c>
    </row>
    <row r="664">
      <c r="AD664" s="224" t="str">
        <f>IFERROR(__xludf.DUMMYFUNCTION("""COMPUTED_VALUE"""),"")</f>
        <v/>
      </c>
      <c r="AE664" s="224"/>
      <c r="AF664" s="224" t="str">
        <f>IFERROR(__xludf.DUMMYFUNCTION("""COMPUTED_VALUE"""),"")</f>
        <v/>
      </c>
      <c r="AG664" s="224" t="str">
        <f>IFERROR(__xludf.DUMMYFUNCTION("""COMPUTED_VALUE"""),"")</f>
        <v/>
      </c>
    </row>
    <row r="665">
      <c r="AD665" s="224" t="str">
        <f>IFERROR(__xludf.DUMMYFUNCTION("""COMPUTED_VALUE"""),"")</f>
        <v/>
      </c>
      <c r="AE665" s="224"/>
      <c r="AF665" s="224" t="str">
        <f>IFERROR(__xludf.DUMMYFUNCTION("""COMPUTED_VALUE"""),"")</f>
        <v/>
      </c>
      <c r="AG665" s="224" t="str">
        <f>IFERROR(__xludf.DUMMYFUNCTION("""COMPUTED_VALUE"""),"")</f>
        <v/>
      </c>
    </row>
    <row r="666">
      <c r="AD666" s="224" t="str">
        <f>IFERROR(__xludf.DUMMYFUNCTION("""COMPUTED_VALUE"""),"")</f>
        <v/>
      </c>
      <c r="AE666" s="224"/>
      <c r="AF666" s="224" t="str">
        <f>IFERROR(__xludf.DUMMYFUNCTION("""COMPUTED_VALUE"""),"")</f>
        <v/>
      </c>
      <c r="AG666" s="224" t="str">
        <f>IFERROR(__xludf.DUMMYFUNCTION("""COMPUTED_VALUE"""),"")</f>
        <v/>
      </c>
    </row>
    <row r="667">
      <c r="AD667" s="224" t="str">
        <f>IFERROR(__xludf.DUMMYFUNCTION("""COMPUTED_VALUE"""),"")</f>
        <v/>
      </c>
      <c r="AE667" s="224"/>
      <c r="AF667" s="224" t="str">
        <f>IFERROR(__xludf.DUMMYFUNCTION("""COMPUTED_VALUE"""),"")</f>
        <v/>
      </c>
      <c r="AG667" s="224" t="str">
        <f>IFERROR(__xludf.DUMMYFUNCTION("""COMPUTED_VALUE"""),"")</f>
        <v/>
      </c>
    </row>
    <row r="668">
      <c r="AD668" s="224" t="str">
        <f>IFERROR(__xludf.DUMMYFUNCTION("""COMPUTED_VALUE"""),"")</f>
        <v/>
      </c>
      <c r="AE668" s="224"/>
      <c r="AF668" s="224" t="str">
        <f>IFERROR(__xludf.DUMMYFUNCTION("""COMPUTED_VALUE"""),"")</f>
        <v/>
      </c>
      <c r="AG668" s="224" t="str">
        <f>IFERROR(__xludf.DUMMYFUNCTION("""COMPUTED_VALUE"""),"")</f>
        <v/>
      </c>
    </row>
    <row r="669">
      <c r="AD669" s="224" t="str">
        <f>IFERROR(__xludf.DUMMYFUNCTION("""COMPUTED_VALUE"""),"")</f>
        <v/>
      </c>
      <c r="AE669" s="224"/>
      <c r="AF669" s="224" t="str">
        <f>IFERROR(__xludf.DUMMYFUNCTION("""COMPUTED_VALUE"""),"")</f>
        <v/>
      </c>
      <c r="AG669" s="224" t="str">
        <f>IFERROR(__xludf.DUMMYFUNCTION("""COMPUTED_VALUE"""),"")</f>
        <v/>
      </c>
    </row>
    <row r="670">
      <c r="AD670" s="224" t="str">
        <f>IFERROR(__xludf.DUMMYFUNCTION("""COMPUTED_VALUE"""),"")</f>
        <v/>
      </c>
      <c r="AE670" s="224"/>
      <c r="AF670" s="224" t="str">
        <f>IFERROR(__xludf.DUMMYFUNCTION("""COMPUTED_VALUE"""),"")</f>
        <v/>
      </c>
      <c r="AG670" s="224" t="str">
        <f>IFERROR(__xludf.DUMMYFUNCTION("""COMPUTED_VALUE"""),"")</f>
        <v/>
      </c>
    </row>
    <row r="671">
      <c r="AD671" s="224" t="str">
        <f>IFERROR(__xludf.DUMMYFUNCTION("""COMPUTED_VALUE"""),"")</f>
        <v/>
      </c>
      <c r="AE671" s="224"/>
      <c r="AF671" s="224" t="str">
        <f>IFERROR(__xludf.DUMMYFUNCTION("""COMPUTED_VALUE"""),"")</f>
        <v/>
      </c>
      <c r="AG671" s="224" t="str">
        <f>IFERROR(__xludf.DUMMYFUNCTION("""COMPUTED_VALUE"""),"")</f>
        <v/>
      </c>
    </row>
    <row r="672">
      <c r="AD672" s="224" t="str">
        <f>IFERROR(__xludf.DUMMYFUNCTION("""COMPUTED_VALUE"""),"")</f>
        <v/>
      </c>
      <c r="AE672" s="224"/>
      <c r="AF672" s="224" t="str">
        <f>IFERROR(__xludf.DUMMYFUNCTION("""COMPUTED_VALUE"""),"")</f>
        <v/>
      </c>
      <c r="AG672" s="224" t="str">
        <f>IFERROR(__xludf.DUMMYFUNCTION("""COMPUTED_VALUE"""),"")</f>
        <v/>
      </c>
    </row>
    <row r="673">
      <c r="AD673" s="224" t="str">
        <f>IFERROR(__xludf.DUMMYFUNCTION("""COMPUTED_VALUE"""),"")</f>
        <v/>
      </c>
      <c r="AE673" s="224"/>
      <c r="AF673" s="224" t="str">
        <f>IFERROR(__xludf.DUMMYFUNCTION("""COMPUTED_VALUE"""),"")</f>
        <v/>
      </c>
      <c r="AG673" s="224" t="str">
        <f>IFERROR(__xludf.DUMMYFUNCTION("""COMPUTED_VALUE"""),"")</f>
        <v/>
      </c>
    </row>
    <row r="674">
      <c r="AD674" s="224" t="str">
        <f>IFERROR(__xludf.DUMMYFUNCTION("""COMPUTED_VALUE"""),"")</f>
        <v/>
      </c>
      <c r="AE674" s="224"/>
      <c r="AF674" s="224" t="str">
        <f>IFERROR(__xludf.DUMMYFUNCTION("""COMPUTED_VALUE"""),"")</f>
        <v/>
      </c>
      <c r="AG674" s="224" t="str">
        <f>IFERROR(__xludf.DUMMYFUNCTION("""COMPUTED_VALUE"""),"")</f>
        <v/>
      </c>
    </row>
    <row r="675">
      <c r="AD675" s="224" t="str">
        <f>IFERROR(__xludf.DUMMYFUNCTION("""COMPUTED_VALUE"""),"")</f>
        <v/>
      </c>
      <c r="AE675" s="224"/>
      <c r="AF675" s="224" t="str">
        <f>IFERROR(__xludf.DUMMYFUNCTION("""COMPUTED_VALUE"""),"")</f>
        <v/>
      </c>
      <c r="AG675" s="224" t="str">
        <f>IFERROR(__xludf.DUMMYFUNCTION("""COMPUTED_VALUE"""),"")</f>
        <v/>
      </c>
    </row>
    <row r="676">
      <c r="AD676" s="224" t="str">
        <f>IFERROR(__xludf.DUMMYFUNCTION("""COMPUTED_VALUE"""),"")</f>
        <v/>
      </c>
      <c r="AE676" s="224"/>
      <c r="AF676" s="224" t="str">
        <f>IFERROR(__xludf.DUMMYFUNCTION("""COMPUTED_VALUE"""),"")</f>
        <v/>
      </c>
      <c r="AG676" s="224" t="str">
        <f>IFERROR(__xludf.DUMMYFUNCTION("""COMPUTED_VALUE"""),"")</f>
        <v/>
      </c>
    </row>
    <row r="677">
      <c r="AD677" s="224" t="str">
        <f>IFERROR(__xludf.DUMMYFUNCTION("""COMPUTED_VALUE"""),"")</f>
        <v/>
      </c>
      <c r="AE677" s="224"/>
      <c r="AF677" s="224" t="str">
        <f>IFERROR(__xludf.DUMMYFUNCTION("""COMPUTED_VALUE"""),"")</f>
        <v/>
      </c>
      <c r="AG677" s="224" t="str">
        <f>IFERROR(__xludf.DUMMYFUNCTION("""COMPUTED_VALUE"""),"")</f>
        <v/>
      </c>
    </row>
    <row r="678">
      <c r="AD678" s="224" t="str">
        <f>IFERROR(__xludf.DUMMYFUNCTION("""COMPUTED_VALUE"""),"")</f>
        <v/>
      </c>
      <c r="AE678" s="224"/>
      <c r="AF678" s="224" t="str">
        <f>IFERROR(__xludf.DUMMYFUNCTION("""COMPUTED_VALUE"""),"")</f>
        <v/>
      </c>
      <c r="AG678" s="224" t="str">
        <f>IFERROR(__xludf.DUMMYFUNCTION("""COMPUTED_VALUE"""),"")</f>
        <v/>
      </c>
    </row>
    <row r="679">
      <c r="AD679" s="224" t="str">
        <f>IFERROR(__xludf.DUMMYFUNCTION("""COMPUTED_VALUE"""),"")</f>
        <v/>
      </c>
      <c r="AE679" s="224"/>
      <c r="AF679" s="224" t="str">
        <f>IFERROR(__xludf.DUMMYFUNCTION("""COMPUTED_VALUE"""),"")</f>
        <v/>
      </c>
      <c r="AG679" s="224" t="str">
        <f>IFERROR(__xludf.DUMMYFUNCTION("""COMPUTED_VALUE"""),"")</f>
        <v/>
      </c>
    </row>
    <row r="680">
      <c r="AD680" s="224" t="str">
        <f>IFERROR(__xludf.DUMMYFUNCTION("""COMPUTED_VALUE"""),"")</f>
        <v/>
      </c>
      <c r="AE680" s="224"/>
      <c r="AF680" s="224" t="str">
        <f>IFERROR(__xludf.DUMMYFUNCTION("""COMPUTED_VALUE"""),"")</f>
        <v/>
      </c>
      <c r="AG680" s="224" t="str">
        <f>IFERROR(__xludf.DUMMYFUNCTION("""COMPUTED_VALUE"""),"")</f>
        <v/>
      </c>
    </row>
    <row r="681">
      <c r="AD681" s="224" t="str">
        <f>IFERROR(__xludf.DUMMYFUNCTION("""COMPUTED_VALUE"""),"")</f>
        <v/>
      </c>
      <c r="AE681" s="224"/>
      <c r="AF681" s="224" t="str">
        <f>IFERROR(__xludf.DUMMYFUNCTION("""COMPUTED_VALUE"""),"")</f>
        <v/>
      </c>
      <c r="AG681" s="224" t="str">
        <f>IFERROR(__xludf.DUMMYFUNCTION("""COMPUTED_VALUE"""),"")</f>
        <v/>
      </c>
    </row>
    <row r="682">
      <c r="AD682" s="224" t="str">
        <f>IFERROR(__xludf.DUMMYFUNCTION("""COMPUTED_VALUE"""),"")</f>
        <v/>
      </c>
      <c r="AE682" s="224"/>
      <c r="AF682" s="224" t="str">
        <f>IFERROR(__xludf.DUMMYFUNCTION("""COMPUTED_VALUE"""),"")</f>
        <v/>
      </c>
      <c r="AG682" s="224" t="str">
        <f>IFERROR(__xludf.DUMMYFUNCTION("""COMPUTED_VALUE"""),"")</f>
        <v/>
      </c>
    </row>
    <row r="683">
      <c r="AD683" s="224" t="str">
        <f>IFERROR(__xludf.DUMMYFUNCTION("""COMPUTED_VALUE"""),"")</f>
        <v/>
      </c>
      <c r="AE683" s="224"/>
      <c r="AF683" s="224" t="str">
        <f>IFERROR(__xludf.DUMMYFUNCTION("""COMPUTED_VALUE"""),"")</f>
        <v/>
      </c>
      <c r="AG683" s="224" t="str">
        <f>IFERROR(__xludf.DUMMYFUNCTION("""COMPUTED_VALUE"""),"")</f>
        <v/>
      </c>
    </row>
    <row r="684">
      <c r="AD684" s="224" t="str">
        <f>IFERROR(__xludf.DUMMYFUNCTION("""COMPUTED_VALUE"""),"")</f>
        <v/>
      </c>
      <c r="AE684" s="224"/>
      <c r="AF684" s="224" t="str">
        <f>IFERROR(__xludf.DUMMYFUNCTION("""COMPUTED_VALUE"""),"")</f>
        <v/>
      </c>
      <c r="AG684" s="224" t="str">
        <f>IFERROR(__xludf.DUMMYFUNCTION("""COMPUTED_VALUE"""),"")</f>
        <v/>
      </c>
    </row>
    <row r="685">
      <c r="AD685" s="224" t="str">
        <f>IFERROR(__xludf.DUMMYFUNCTION("""COMPUTED_VALUE"""),"")</f>
        <v/>
      </c>
      <c r="AE685" s="224"/>
      <c r="AF685" s="224" t="str">
        <f>IFERROR(__xludf.DUMMYFUNCTION("""COMPUTED_VALUE"""),"")</f>
        <v/>
      </c>
      <c r="AG685" s="224" t="str">
        <f>IFERROR(__xludf.DUMMYFUNCTION("""COMPUTED_VALUE"""),"")</f>
        <v/>
      </c>
    </row>
    <row r="686">
      <c r="AD686" s="224" t="str">
        <f>IFERROR(__xludf.DUMMYFUNCTION("""COMPUTED_VALUE"""),"")</f>
        <v/>
      </c>
      <c r="AE686" s="224"/>
      <c r="AF686" s="224" t="str">
        <f>IFERROR(__xludf.DUMMYFUNCTION("""COMPUTED_VALUE"""),"")</f>
        <v/>
      </c>
      <c r="AG686" s="224" t="str">
        <f>IFERROR(__xludf.DUMMYFUNCTION("""COMPUTED_VALUE"""),"")</f>
        <v/>
      </c>
    </row>
    <row r="687">
      <c r="AD687" s="224" t="str">
        <f>IFERROR(__xludf.DUMMYFUNCTION("""COMPUTED_VALUE"""),"")</f>
        <v/>
      </c>
      <c r="AE687" s="224"/>
      <c r="AF687" s="224" t="str">
        <f>IFERROR(__xludf.DUMMYFUNCTION("""COMPUTED_VALUE"""),"")</f>
        <v/>
      </c>
      <c r="AG687" s="224" t="str">
        <f>IFERROR(__xludf.DUMMYFUNCTION("""COMPUTED_VALUE"""),"")</f>
        <v/>
      </c>
    </row>
    <row r="688">
      <c r="AD688" s="224" t="str">
        <f>IFERROR(__xludf.DUMMYFUNCTION("""COMPUTED_VALUE"""),"")</f>
        <v/>
      </c>
      <c r="AE688" s="224"/>
      <c r="AF688" s="224" t="str">
        <f>IFERROR(__xludf.DUMMYFUNCTION("""COMPUTED_VALUE"""),"")</f>
        <v/>
      </c>
      <c r="AG688" s="224" t="str">
        <f>IFERROR(__xludf.DUMMYFUNCTION("""COMPUTED_VALUE"""),"")</f>
        <v/>
      </c>
    </row>
    <row r="689">
      <c r="AD689" s="224" t="str">
        <f>IFERROR(__xludf.DUMMYFUNCTION("""COMPUTED_VALUE"""),"")</f>
        <v/>
      </c>
      <c r="AE689" s="224"/>
      <c r="AF689" s="224" t="str">
        <f>IFERROR(__xludf.DUMMYFUNCTION("""COMPUTED_VALUE"""),"")</f>
        <v/>
      </c>
      <c r="AG689" s="224" t="str">
        <f>IFERROR(__xludf.DUMMYFUNCTION("""COMPUTED_VALUE"""),"")</f>
        <v/>
      </c>
    </row>
    <row r="690">
      <c r="AD690" s="224" t="str">
        <f>IFERROR(__xludf.DUMMYFUNCTION("""COMPUTED_VALUE"""),"")</f>
        <v/>
      </c>
      <c r="AE690" s="224"/>
      <c r="AF690" s="224" t="str">
        <f>IFERROR(__xludf.DUMMYFUNCTION("""COMPUTED_VALUE"""),"")</f>
        <v/>
      </c>
      <c r="AG690" s="224" t="str">
        <f>IFERROR(__xludf.DUMMYFUNCTION("""COMPUTED_VALUE"""),"")</f>
        <v/>
      </c>
    </row>
    <row r="691">
      <c r="AD691" s="224" t="str">
        <f>IFERROR(__xludf.DUMMYFUNCTION("""COMPUTED_VALUE"""),"")</f>
        <v/>
      </c>
      <c r="AE691" s="224"/>
      <c r="AF691" s="224" t="str">
        <f>IFERROR(__xludf.DUMMYFUNCTION("""COMPUTED_VALUE"""),"")</f>
        <v/>
      </c>
      <c r="AG691" s="224" t="str">
        <f>IFERROR(__xludf.DUMMYFUNCTION("""COMPUTED_VALUE"""),"")</f>
        <v/>
      </c>
    </row>
    <row r="692">
      <c r="AD692" s="224" t="str">
        <f>IFERROR(__xludf.DUMMYFUNCTION("""COMPUTED_VALUE"""),"")</f>
        <v/>
      </c>
      <c r="AE692" s="224"/>
      <c r="AF692" s="224" t="str">
        <f>IFERROR(__xludf.DUMMYFUNCTION("""COMPUTED_VALUE"""),"")</f>
        <v/>
      </c>
      <c r="AG692" s="224" t="str">
        <f>IFERROR(__xludf.DUMMYFUNCTION("""COMPUTED_VALUE"""),"")</f>
        <v/>
      </c>
    </row>
    <row r="693">
      <c r="AD693" s="224" t="str">
        <f>IFERROR(__xludf.DUMMYFUNCTION("""COMPUTED_VALUE"""),"")</f>
        <v/>
      </c>
      <c r="AE693" s="224"/>
      <c r="AF693" s="224" t="str">
        <f>IFERROR(__xludf.DUMMYFUNCTION("""COMPUTED_VALUE"""),"")</f>
        <v/>
      </c>
      <c r="AG693" s="224" t="str">
        <f>IFERROR(__xludf.DUMMYFUNCTION("""COMPUTED_VALUE"""),"")</f>
        <v/>
      </c>
    </row>
    <row r="694">
      <c r="AD694" s="224" t="str">
        <f>IFERROR(__xludf.DUMMYFUNCTION("""COMPUTED_VALUE"""),"")</f>
        <v/>
      </c>
      <c r="AE694" s="224"/>
      <c r="AF694" s="224" t="str">
        <f>IFERROR(__xludf.DUMMYFUNCTION("""COMPUTED_VALUE"""),"")</f>
        <v/>
      </c>
      <c r="AG694" s="224" t="str">
        <f>IFERROR(__xludf.DUMMYFUNCTION("""COMPUTED_VALUE"""),"")</f>
        <v/>
      </c>
    </row>
    <row r="695">
      <c r="AD695" s="224" t="str">
        <f>IFERROR(__xludf.DUMMYFUNCTION("""COMPUTED_VALUE"""),"")</f>
        <v/>
      </c>
      <c r="AE695" s="224"/>
      <c r="AF695" s="224" t="str">
        <f>IFERROR(__xludf.DUMMYFUNCTION("""COMPUTED_VALUE"""),"")</f>
        <v/>
      </c>
      <c r="AG695" s="224" t="str">
        <f>IFERROR(__xludf.DUMMYFUNCTION("""COMPUTED_VALUE"""),"")</f>
        <v/>
      </c>
    </row>
    <row r="696">
      <c r="AD696" s="224" t="str">
        <f>IFERROR(__xludf.DUMMYFUNCTION("""COMPUTED_VALUE"""),"")</f>
        <v/>
      </c>
      <c r="AE696" s="224"/>
      <c r="AF696" s="224" t="str">
        <f>IFERROR(__xludf.DUMMYFUNCTION("""COMPUTED_VALUE"""),"")</f>
        <v/>
      </c>
      <c r="AG696" s="224" t="str">
        <f>IFERROR(__xludf.DUMMYFUNCTION("""COMPUTED_VALUE"""),"")</f>
        <v/>
      </c>
    </row>
    <row r="697">
      <c r="AD697" s="224" t="str">
        <f>IFERROR(__xludf.DUMMYFUNCTION("""COMPUTED_VALUE"""),"")</f>
        <v/>
      </c>
      <c r="AE697" s="224"/>
      <c r="AF697" s="224" t="str">
        <f>IFERROR(__xludf.DUMMYFUNCTION("""COMPUTED_VALUE"""),"")</f>
        <v/>
      </c>
      <c r="AG697" s="224" t="str">
        <f>IFERROR(__xludf.DUMMYFUNCTION("""COMPUTED_VALUE"""),"")</f>
        <v/>
      </c>
    </row>
    <row r="698">
      <c r="AD698" s="224" t="str">
        <f>IFERROR(__xludf.DUMMYFUNCTION("""COMPUTED_VALUE"""),"")</f>
        <v/>
      </c>
      <c r="AE698" s="224"/>
      <c r="AF698" s="224" t="str">
        <f>IFERROR(__xludf.DUMMYFUNCTION("""COMPUTED_VALUE"""),"")</f>
        <v/>
      </c>
      <c r="AG698" s="224" t="str">
        <f>IFERROR(__xludf.DUMMYFUNCTION("""COMPUTED_VALUE"""),"")</f>
        <v/>
      </c>
    </row>
    <row r="699">
      <c r="AD699" s="224" t="str">
        <f>IFERROR(__xludf.DUMMYFUNCTION("""COMPUTED_VALUE"""),"")</f>
        <v/>
      </c>
      <c r="AE699" s="224"/>
      <c r="AF699" s="224" t="str">
        <f>IFERROR(__xludf.DUMMYFUNCTION("""COMPUTED_VALUE"""),"")</f>
        <v/>
      </c>
      <c r="AG699" s="224" t="str">
        <f>IFERROR(__xludf.DUMMYFUNCTION("""COMPUTED_VALUE"""),"")</f>
        <v/>
      </c>
    </row>
    <row r="700">
      <c r="AD700" s="224" t="str">
        <f>IFERROR(__xludf.DUMMYFUNCTION("""COMPUTED_VALUE"""),"")</f>
        <v/>
      </c>
      <c r="AE700" s="224"/>
      <c r="AF700" s="224" t="str">
        <f>IFERROR(__xludf.DUMMYFUNCTION("""COMPUTED_VALUE"""),"")</f>
        <v/>
      </c>
      <c r="AG700" s="224" t="str">
        <f>IFERROR(__xludf.DUMMYFUNCTION("""COMPUTED_VALUE"""),"")</f>
        <v/>
      </c>
    </row>
    <row r="701">
      <c r="AD701" s="224" t="str">
        <f>IFERROR(__xludf.DUMMYFUNCTION("""COMPUTED_VALUE"""),"")</f>
        <v/>
      </c>
      <c r="AE701" s="224"/>
      <c r="AF701" s="224" t="str">
        <f>IFERROR(__xludf.DUMMYFUNCTION("""COMPUTED_VALUE"""),"")</f>
        <v/>
      </c>
      <c r="AG701" s="224" t="str">
        <f>IFERROR(__xludf.DUMMYFUNCTION("""COMPUTED_VALUE"""),"")</f>
        <v/>
      </c>
    </row>
    <row r="702">
      <c r="AD702" s="224" t="str">
        <f>IFERROR(__xludf.DUMMYFUNCTION("""COMPUTED_VALUE"""),"")</f>
        <v/>
      </c>
      <c r="AE702" s="224"/>
      <c r="AF702" s="224" t="str">
        <f>IFERROR(__xludf.DUMMYFUNCTION("""COMPUTED_VALUE"""),"")</f>
        <v/>
      </c>
      <c r="AG702" s="224" t="str">
        <f>IFERROR(__xludf.DUMMYFUNCTION("""COMPUTED_VALUE"""),"")</f>
        <v/>
      </c>
    </row>
    <row r="703">
      <c r="AD703" s="224" t="str">
        <f>IFERROR(__xludf.DUMMYFUNCTION("""COMPUTED_VALUE"""),"")</f>
        <v/>
      </c>
      <c r="AE703" s="224"/>
      <c r="AF703" s="224" t="str">
        <f>IFERROR(__xludf.DUMMYFUNCTION("""COMPUTED_VALUE"""),"")</f>
        <v/>
      </c>
      <c r="AG703" s="224" t="str">
        <f>IFERROR(__xludf.DUMMYFUNCTION("""COMPUTED_VALUE"""),"")</f>
        <v/>
      </c>
    </row>
    <row r="704">
      <c r="AD704" s="224" t="str">
        <f>IFERROR(__xludf.DUMMYFUNCTION("""COMPUTED_VALUE"""),"")</f>
        <v/>
      </c>
      <c r="AE704" s="224"/>
      <c r="AF704" s="224" t="str">
        <f>IFERROR(__xludf.DUMMYFUNCTION("""COMPUTED_VALUE"""),"")</f>
        <v/>
      </c>
      <c r="AG704" s="224" t="str">
        <f>IFERROR(__xludf.DUMMYFUNCTION("""COMPUTED_VALUE"""),"")</f>
        <v/>
      </c>
    </row>
    <row r="705">
      <c r="AD705" s="224" t="str">
        <f>IFERROR(__xludf.DUMMYFUNCTION("""COMPUTED_VALUE"""),"")</f>
        <v/>
      </c>
      <c r="AE705" s="224"/>
      <c r="AF705" s="224" t="str">
        <f>IFERROR(__xludf.DUMMYFUNCTION("""COMPUTED_VALUE"""),"")</f>
        <v/>
      </c>
      <c r="AG705" s="224" t="str">
        <f>IFERROR(__xludf.DUMMYFUNCTION("""COMPUTED_VALUE"""),"")</f>
        <v/>
      </c>
    </row>
    <row r="706">
      <c r="AD706" s="224" t="str">
        <f>IFERROR(__xludf.DUMMYFUNCTION("""COMPUTED_VALUE"""),"")</f>
        <v/>
      </c>
      <c r="AE706" s="224"/>
      <c r="AF706" s="224" t="str">
        <f>IFERROR(__xludf.DUMMYFUNCTION("""COMPUTED_VALUE"""),"")</f>
        <v/>
      </c>
      <c r="AG706" s="224" t="str">
        <f>IFERROR(__xludf.DUMMYFUNCTION("""COMPUTED_VALUE"""),"")</f>
        <v/>
      </c>
    </row>
    <row r="707">
      <c r="AD707" s="224" t="str">
        <f>IFERROR(__xludf.DUMMYFUNCTION("""COMPUTED_VALUE"""),"")</f>
        <v/>
      </c>
      <c r="AE707" s="224"/>
      <c r="AF707" s="224" t="str">
        <f>IFERROR(__xludf.DUMMYFUNCTION("""COMPUTED_VALUE"""),"")</f>
        <v/>
      </c>
      <c r="AG707" s="224" t="str">
        <f>IFERROR(__xludf.DUMMYFUNCTION("""COMPUTED_VALUE"""),"")</f>
        <v/>
      </c>
    </row>
    <row r="708">
      <c r="AD708" s="224" t="str">
        <f>IFERROR(__xludf.DUMMYFUNCTION("""COMPUTED_VALUE"""),"")</f>
        <v/>
      </c>
      <c r="AE708" s="224"/>
      <c r="AF708" s="224" t="str">
        <f>IFERROR(__xludf.DUMMYFUNCTION("""COMPUTED_VALUE"""),"")</f>
        <v/>
      </c>
      <c r="AG708" s="224" t="str">
        <f>IFERROR(__xludf.DUMMYFUNCTION("""COMPUTED_VALUE"""),"")</f>
        <v/>
      </c>
    </row>
    <row r="709">
      <c r="AD709" s="224" t="str">
        <f>IFERROR(__xludf.DUMMYFUNCTION("""COMPUTED_VALUE"""),"")</f>
        <v/>
      </c>
      <c r="AE709" s="224"/>
      <c r="AF709" s="224" t="str">
        <f>IFERROR(__xludf.DUMMYFUNCTION("""COMPUTED_VALUE"""),"")</f>
        <v/>
      </c>
      <c r="AG709" s="224" t="str">
        <f>IFERROR(__xludf.DUMMYFUNCTION("""COMPUTED_VALUE"""),"")</f>
        <v/>
      </c>
    </row>
    <row r="710">
      <c r="AD710" s="224" t="str">
        <f>IFERROR(__xludf.DUMMYFUNCTION("""COMPUTED_VALUE"""),"")</f>
        <v/>
      </c>
      <c r="AE710" s="224"/>
      <c r="AF710" s="224" t="str">
        <f>IFERROR(__xludf.DUMMYFUNCTION("""COMPUTED_VALUE"""),"")</f>
        <v/>
      </c>
      <c r="AG710" s="224" t="str">
        <f>IFERROR(__xludf.DUMMYFUNCTION("""COMPUTED_VALUE"""),"")</f>
        <v/>
      </c>
    </row>
    <row r="711">
      <c r="AD711" s="224" t="str">
        <f>IFERROR(__xludf.DUMMYFUNCTION("""COMPUTED_VALUE"""),"")</f>
        <v/>
      </c>
      <c r="AE711" s="224"/>
      <c r="AF711" s="224" t="str">
        <f>IFERROR(__xludf.DUMMYFUNCTION("""COMPUTED_VALUE"""),"")</f>
        <v/>
      </c>
      <c r="AG711" s="224" t="str">
        <f>IFERROR(__xludf.DUMMYFUNCTION("""COMPUTED_VALUE"""),"")</f>
        <v/>
      </c>
    </row>
    <row r="712">
      <c r="AD712" s="224" t="str">
        <f>IFERROR(__xludf.DUMMYFUNCTION("""COMPUTED_VALUE"""),"")</f>
        <v/>
      </c>
      <c r="AE712" s="224"/>
      <c r="AF712" s="224" t="str">
        <f>IFERROR(__xludf.DUMMYFUNCTION("""COMPUTED_VALUE"""),"")</f>
        <v/>
      </c>
      <c r="AG712" s="224" t="str">
        <f>IFERROR(__xludf.DUMMYFUNCTION("""COMPUTED_VALUE"""),"")</f>
        <v/>
      </c>
    </row>
    <row r="713">
      <c r="AD713" s="224" t="str">
        <f>IFERROR(__xludf.DUMMYFUNCTION("""COMPUTED_VALUE"""),"")</f>
        <v/>
      </c>
      <c r="AE713" s="224"/>
      <c r="AF713" s="224" t="str">
        <f>IFERROR(__xludf.DUMMYFUNCTION("""COMPUTED_VALUE"""),"")</f>
        <v/>
      </c>
      <c r="AG713" s="224" t="str">
        <f>IFERROR(__xludf.DUMMYFUNCTION("""COMPUTED_VALUE"""),"")</f>
        <v/>
      </c>
    </row>
    <row r="714">
      <c r="AD714" s="224" t="str">
        <f>IFERROR(__xludf.DUMMYFUNCTION("""COMPUTED_VALUE"""),"")</f>
        <v/>
      </c>
      <c r="AE714" s="224"/>
      <c r="AF714" s="224" t="str">
        <f>IFERROR(__xludf.DUMMYFUNCTION("""COMPUTED_VALUE"""),"")</f>
        <v/>
      </c>
      <c r="AG714" s="224" t="str">
        <f>IFERROR(__xludf.DUMMYFUNCTION("""COMPUTED_VALUE"""),"")</f>
        <v/>
      </c>
    </row>
    <row r="715">
      <c r="AD715" s="224" t="str">
        <f>IFERROR(__xludf.DUMMYFUNCTION("""COMPUTED_VALUE"""),"")</f>
        <v/>
      </c>
      <c r="AE715" s="224"/>
      <c r="AF715" s="224" t="str">
        <f>IFERROR(__xludf.DUMMYFUNCTION("""COMPUTED_VALUE"""),"")</f>
        <v/>
      </c>
      <c r="AG715" s="224" t="str">
        <f>IFERROR(__xludf.DUMMYFUNCTION("""COMPUTED_VALUE"""),"")</f>
        <v/>
      </c>
    </row>
    <row r="716">
      <c r="AD716" s="224" t="str">
        <f>IFERROR(__xludf.DUMMYFUNCTION("""COMPUTED_VALUE"""),"")</f>
        <v/>
      </c>
      <c r="AE716" s="224"/>
      <c r="AF716" s="224" t="str">
        <f>IFERROR(__xludf.DUMMYFUNCTION("""COMPUTED_VALUE"""),"")</f>
        <v/>
      </c>
      <c r="AG716" s="224" t="str">
        <f>IFERROR(__xludf.DUMMYFUNCTION("""COMPUTED_VALUE"""),"")</f>
        <v/>
      </c>
    </row>
    <row r="717">
      <c r="AD717" s="224" t="str">
        <f>IFERROR(__xludf.DUMMYFUNCTION("""COMPUTED_VALUE"""),"")</f>
        <v/>
      </c>
      <c r="AE717" s="224"/>
      <c r="AF717" s="224" t="str">
        <f>IFERROR(__xludf.DUMMYFUNCTION("""COMPUTED_VALUE"""),"")</f>
        <v/>
      </c>
      <c r="AG717" s="224" t="str">
        <f>IFERROR(__xludf.DUMMYFUNCTION("""COMPUTED_VALUE"""),"")</f>
        <v/>
      </c>
    </row>
    <row r="718">
      <c r="AD718" s="224" t="str">
        <f>IFERROR(__xludf.DUMMYFUNCTION("""COMPUTED_VALUE"""),"")</f>
        <v/>
      </c>
      <c r="AE718" s="224"/>
      <c r="AF718" s="224" t="str">
        <f>IFERROR(__xludf.DUMMYFUNCTION("""COMPUTED_VALUE"""),"")</f>
        <v/>
      </c>
      <c r="AG718" s="224" t="str">
        <f>IFERROR(__xludf.DUMMYFUNCTION("""COMPUTED_VALUE"""),"")</f>
        <v/>
      </c>
    </row>
    <row r="719">
      <c r="AD719" s="224" t="str">
        <f>IFERROR(__xludf.DUMMYFUNCTION("""COMPUTED_VALUE"""),"")</f>
        <v/>
      </c>
      <c r="AE719" s="224"/>
      <c r="AF719" s="224" t="str">
        <f>IFERROR(__xludf.DUMMYFUNCTION("""COMPUTED_VALUE"""),"")</f>
        <v/>
      </c>
      <c r="AG719" s="224" t="str">
        <f>IFERROR(__xludf.DUMMYFUNCTION("""COMPUTED_VALUE"""),"")</f>
        <v/>
      </c>
    </row>
    <row r="720">
      <c r="AD720" s="224" t="str">
        <f>IFERROR(__xludf.DUMMYFUNCTION("""COMPUTED_VALUE"""),"")</f>
        <v/>
      </c>
      <c r="AE720" s="224"/>
      <c r="AF720" s="224" t="str">
        <f>IFERROR(__xludf.DUMMYFUNCTION("""COMPUTED_VALUE"""),"")</f>
        <v/>
      </c>
      <c r="AG720" s="224" t="str">
        <f>IFERROR(__xludf.DUMMYFUNCTION("""COMPUTED_VALUE"""),"")</f>
        <v/>
      </c>
    </row>
    <row r="721">
      <c r="AD721" s="224" t="str">
        <f>IFERROR(__xludf.DUMMYFUNCTION("""COMPUTED_VALUE"""),"")</f>
        <v/>
      </c>
      <c r="AE721" s="224"/>
      <c r="AF721" s="224" t="str">
        <f>IFERROR(__xludf.DUMMYFUNCTION("""COMPUTED_VALUE"""),"")</f>
        <v/>
      </c>
      <c r="AG721" s="224" t="str">
        <f>IFERROR(__xludf.DUMMYFUNCTION("""COMPUTED_VALUE"""),"")</f>
        <v/>
      </c>
    </row>
    <row r="722">
      <c r="AD722" s="224" t="str">
        <f>IFERROR(__xludf.DUMMYFUNCTION("""COMPUTED_VALUE"""),"")</f>
        <v/>
      </c>
      <c r="AE722" s="224"/>
      <c r="AF722" s="224" t="str">
        <f>IFERROR(__xludf.DUMMYFUNCTION("""COMPUTED_VALUE"""),"")</f>
        <v/>
      </c>
      <c r="AG722" s="224" t="str">
        <f>IFERROR(__xludf.DUMMYFUNCTION("""COMPUTED_VALUE"""),"")</f>
        <v/>
      </c>
    </row>
    <row r="723">
      <c r="AD723" s="224" t="str">
        <f>IFERROR(__xludf.DUMMYFUNCTION("""COMPUTED_VALUE"""),"")</f>
        <v/>
      </c>
      <c r="AE723" s="224"/>
      <c r="AF723" s="224" t="str">
        <f>IFERROR(__xludf.DUMMYFUNCTION("""COMPUTED_VALUE"""),"")</f>
        <v/>
      </c>
      <c r="AG723" s="224" t="str">
        <f>IFERROR(__xludf.DUMMYFUNCTION("""COMPUTED_VALUE"""),"")</f>
        <v/>
      </c>
    </row>
    <row r="724">
      <c r="AD724" s="224" t="str">
        <f>IFERROR(__xludf.DUMMYFUNCTION("""COMPUTED_VALUE"""),"")</f>
        <v/>
      </c>
      <c r="AE724" s="224"/>
      <c r="AF724" s="224" t="str">
        <f>IFERROR(__xludf.DUMMYFUNCTION("""COMPUTED_VALUE"""),"")</f>
        <v/>
      </c>
      <c r="AG724" s="224" t="str">
        <f>IFERROR(__xludf.DUMMYFUNCTION("""COMPUTED_VALUE"""),"")</f>
        <v/>
      </c>
    </row>
    <row r="725">
      <c r="AD725" s="224" t="str">
        <f>IFERROR(__xludf.DUMMYFUNCTION("""COMPUTED_VALUE"""),"")</f>
        <v/>
      </c>
      <c r="AE725" s="224"/>
      <c r="AF725" s="224" t="str">
        <f>IFERROR(__xludf.DUMMYFUNCTION("""COMPUTED_VALUE"""),"")</f>
        <v/>
      </c>
      <c r="AG725" s="224" t="str">
        <f>IFERROR(__xludf.DUMMYFUNCTION("""COMPUTED_VALUE"""),"")</f>
        <v/>
      </c>
    </row>
    <row r="726">
      <c r="AD726" s="224" t="str">
        <f>IFERROR(__xludf.DUMMYFUNCTION("""COMPUTED_VALUE"""),"")</f>
        <v/>
      </c>
      <c r="AE726" s="224"/>
      <c r="AF726" s="224" t="str">
        <f>IFERROR(__xludf.DUMMYFUNCTION("""COMPUTED_VALUE"""),"")</f>
        <v/>
      </c>
      <c r="AG726" s="224" t="str">
        <f>IFERROR(__xludf.DUMMYFUNCTION("""COMPUTED_VALUE"""),"")</f>
        <v/>
      </c>
    </row>
    <row r="727">
      <c r="AD727" s="224" t="str">
        <f>IFERROR(__xludf.DUMMYFUNCTION("""COMPUTED_VALUE"""),"")</f>
        <v/>
      </c>
      <c r="AE727" s="224"/>
      <c r="AF727" s="224" t="str">
        <f>IFERROR(__xludf.DUMMYFUNCTION("""COMPUTED_VALUE"""),"")</f>
        <v/>
      </c>
      <c r="AG727" s="224" t="str">
        <f>IFERROR(__xludf.DUMMYFUNCTION("""COMPUTED_VALUE"""),"")</f>
        <v/>
      </c>
    </row>
    <row r="728">
      <c r="AD728" s="224" t="str">
        <f>IFERROR(__xludf.DUMMYFUNCTION("""COMPUTED_VALUE"""),"")</f>
        <v/>
      </c>
      <c r="AE728" s="224"/>
      <c r="AF728" s="224" t="str">
        <f>IFERROR(__xludf.DUMMYFUNCTION("""COMPUTED_VALUE"""),"")</f>
        <v/>
      </c>
      <c r="AG728" s="224" t="str">
        <f>IFERROR(__xludf.DUMMYFUNCTION("""COMPUTED_VALUE"""),"")</f>
        <v/>
      </c>
    </row>
    <row r="729">
      <c r="AD729" s="224" t="str">
        <f>IFERROR(__xludf.DUMMYFUNCTION("""COMPUTED_VALUE"""),"")</f>
        <v/>
      </c>
      <c r="AE729" s="224"/>
      <c r="AF729" s="224" t="str">
        <f>IFERROR(__xludf.DUMMYFUNCTION("""COMPUTED_VALUE"""),"")</f>
        <v/>
      </c>
      <c r="AG729" s="224" t="str">
        <f>IFERROR(__xludf.DUMMYFUNCTION("""COMPUTED_VALUE"""),"")</f>
        <v/>
      </c>
    </row>
    <row r="730">
      <c r="AD730" s="224" t="str">
        <f>IFERROR(__xludf.DUMMYFUNCTION("""COMPUTED_VALUE"""),"")</f>
        <v/>
      </c>
      <c r="AE730" s="224"/>
      <c r="AF730" s="224" t="str">
        <f>IFERROR(__xludf.DUMMYFUNCTION("""COMPUTED_VALUE"""),"")</f>
        <v/>
      </c>
      <c r="AG730" s="224" t="str">
        <f>IFERROR(__xludf.DUMMYFUNCTION("""COMPUTED_VALUE"""),"")</f>
        <v/>
      </c>
    </row>
    <row r="731">
      <c r="AD731" s="224" t="str">
        <f>IFERROR(__xludf.DUMMYFUNCTION("""COMPUTED_VALUE"""),"")</f>
        <v/>
      </c>
      <c r="AE731" s="224"/>
      <c r="AF731" s="224" t="str">
        <f>IFERROR(__xludf.DUMMYFUNCTION("""COMPUTED_VALUE"""),"")</f>
        <v/>
      </c>
      <c r="AG731" s="224" t="str">
        <f>IFERROR(__xludf.DUMMYFUNCTION("""COMPUTED_VALUE"""),"")</f>
        <v/>
      </c>
    </row>
    <row r="732">
      <c r="AD732" s="224" t="str">
        <f>IFERROR(__xludf.DUMMYFUNCTION("""COMPUTED_VALUE"""),"")</f>
        <v/>
      </c>
      <c r="AE732" s="224"/>
      <c r="AF732" s="224" t="str">
        <f>IFERROR(__xludf.DUMMYFUNCTION("""COMPUTED_VALUE"""),"")</f>
        <v/>
      </c>
      <c r="AG732" s="224" t="str">
        <f>IFERROR(__xludf.DUMMYFUNCTION("""COMPUTED_VALUE"""),"")</f>
        <v/>
      </c>
    </row>
    <row r="733">
      <c r="AD733" s="224" t="str">
        <f>IFERROR(__xludf.DUMMYFUNCTION("""COMPUTED_VALUE"""),"")</f>
        <v/>
      </c>
      <c r="AE733" s="224"/>
      <c r="AF733" s="224" t="str">
        <f>IFERROR(__xludf.DUMMYFUNCTION("""COMPUTED_VALUE"""),"")</f>
        <v/>
      </c>
      <c r="AG733" s="224" t="str">
        <f>IFERROR(__xludf.DUMMYFUNCTION("""COMPUTED_VALUE"""),"")</f>
        <v/>
      </c>
    </row>
    <row r="734">
      <c r="AD734" s="224" t="str">
        <f>IFERROR(__xludf.DUMMYFUNCTION("""COMPUTED_VALUE"""),"")</f>
        <v/>
      </c>
      <c r="AE734" s="224"/>
      <c r="AF734" s="224" t="str">
        <f>IFERROR(__xludf.DUMMYFUNCTION("""COMPUTED_VALUE"""),"")</f>
        <v/>
      </c>
      <c r="AG734" s="224" t="str">
        <f>IFERROR(__xludf.DUMMYFUNCTION("""COMPUTED_VALUE"""),"")</f>
        <v/>
      </c>
    </row>
    <row r="735">
      <c r="AD735" s="224" t="str">
        <f>IFERROR(__xludf.DUMMYFUNCTION("""COMPUTED_VALUE"""),"")</f>
        <v/>
      </c>
      <c r="AE735" s="224"/>
      <c r="AF735" s="224" t="str">
        <f>IFERROR(__xludf.DUMMYFUNCTION("""COMPUTED_VALUE"""),"")</f>
        <v/>
      </c>
      <c r="AG735" s="224" t="str">
        <f>IFERROR(__xludf.DUMMYFUNCTION("""COMPUTED_VALUE"""),"")</f>
        <v/>
      </c>
    </row>
    <row r="736">
      <c r="AD736" s="224" t="str">
        <f>IFERROR(__xludf.DUMMYFUNCTION("""COMPUTED_VALUE"""),"")</f>
        <v/>
      </c>
      <c r="AE736" s="224"/>
      <c r="AF736" s="224" t="str">
        <f>IFERROR(__xludf.DUMMYFUNCTION("""COMPUTED_VALUE"""),"")</f>
        <v/>
      </c>
      <c r="AG736" s="224" t="str">
        <f>IFERROR(__xludf.DUMMYFUNCTION("""COMPUTED_VALUE"""),"")</f>
        <v/>
      </c>
    </row>
    <row r="737">
      <c r="AD737" s="224" t="str">
        <f>IFERROR(__xludf.DUMMYFUNCTION("""COMPUTED_VALUE"""),"")</f>
        <v/>
      </c>
      <c r="AE737" s="224"/>
      <c r="AF737" s="224" t="str">
        <f>IFERROR(__xludf.DUMMYFUNCTION("""COMPUTED_VALUE"""),"")</f>
        <v/>
      </c>
      <c r="AG737" s="224" t="str">
        <f>IFERROR(__xludf.DUMMYFUNCTION("""COMPUTED_VALUE"""),"")</f>
        <v/>
      </c>
    </row>
    <row r="738">
      <c r="AD738" s="224" t="str">
        <f>IFERROR(__xludf.DUMMYFUNCTION("""COMPUTED_VALUE"""),"")</f>
        <v/>
      </c>
      <c r="AE738" s="224"/>
      <c r="AF738" s="224" t="str">
        <f>IFERROR(__xludf.DUMMYFUNCTION("""COMPUTED_VALUE"""),"")</f>
        <v/>
      </c>
      <c r="AG738" s="224" t="str">
        <f>IFERROR(__xludf.DUMMYFUNCTION("""COMPUTED_VALUE"""),"")</f>
        <v/>
      </c>
    </row>
    <row r="739">
      <c r="AD739" s="224" t="str">
        <f>IFERROR(__xludf.DUMMYFUNCTION("""COMPUTED_VALUE"""),"")</f>
        <v/>
      </c>
      <c r="AE739" s="224"/>
      <c r="AF739" s="224" t="str">
        <f>IFERROR(__xludf.DUMMYFUNCTION("""COMPUTED_VALUE"""),"")</f>
        <v/>
      </c>
      <c r="AG739" s="224" t="str">
        <f>IFERROR(__xludf.DUMMYFUNCTION("""COMPUTED_VALUE"""),"")</f>
        <v/>
      </c>
    </row>
    <row r="740">
      <c r="AD740" s="224" t="str">
        <f>IFERROR(__xludf.DUMMYFUNCTION("""COMPUTED_VALUE"""),"")</f>
        <v/>
      </c>
      <c r="AE740" s="224"/>
      <c r="AF740" s="224" t="str">
        <f>IFERROR(__xludf.DUMMYFUNCTION("""COMPUTED_VALUE"""),"")</f>
        <v/>
      </c>
      <c r="AG740" s="224" t="str">
        <f>IFERROR(__xludf.DUMMYFUNCTION("""COMPUTED_VALUE"""),"")</f>
        <v/>
      </c>
    </row>
    <row r="741">
      <c r="AD741" s="224" t="str">
        <f>IFERROR(__xludf.DUMMYFUNCTION("""COMPUTED_VALUE"""),"")</f>
        <v/>
      </c>
      <c r="AE741" s="224"/>
      <c r="AF741" s="224" t="str">
        <f>IFERROR(__xludf.DUMMYFUNCTION("""COMPUTED_VALUE"""),"")</f>
        <v/>
      </c>
      <c r="AG741" s="224" t="str">
        <f>IFERROR(__xludf.DUMMYFUNCTION("""COMPUTED_VALUE"""),"")</f>
        <v/>
      </c>
    </row>
    <row r="742">
      <c r="AD742" s="224" t="str">
        <f>IFERROR(__xludf.DUMMYFUNCTION("""COMPUTED_VALUE"""),"")</f>
        <v/>
      </c>
      <c r="AE742" s="224"/>
      <c r="AF742" s="224" t="str">
        <f>IFERROR(__xludf.DUMMYFUNCTION("""COMPUTED_VALUE"""),"")</f>
        <v/>
      </c>
      <c r="AG742" s="224" t="str">
        <f>IFERROR(__xludf.DUMMYFUNCTION("""COMPUTED_VALUE"""),"")</f>
        <v/>
      </c>
    </row>
    <row r="743">
      <c r="AD743" s="224" t="str">
        <f>IFERROR(__xludf.DUMMYFUNCTION("""COMPUTED_VALUE"""),"")</f>
        <v/>
      </c>
      <c r="AE743" s="224"/>
      <c r="AF743" s="224" t="str">
        <f>IFERROR(__xludf.DUMMYFUNCTION("""COMPUTED_VALUE"""),"")</f>
        <v/>
      </c>
      <c r="AG743" s="224" t="str">
        <f>IFERROR(__xludf.DUMMYFUNCTION("""COMPUTED_VALUE"""),"")</f>
        <v/>
      </c>
    </row>
    <row r="744">
      <c r="AD744" s="224" t="str">
        <f>IFERROR(__xludf.DUMMYFUNCTION("""COMPUTED_VALUE"""),"")</f>
        <v/>
      </c>
      <c r="AE744" s="224"/>
      <c r="AF744" s="224" t="str">
        <f>IFERROR(__xludf.DUMMYFUNCTION("""COMPUTED_VALUE"""),"")</f>
        <v/>
      </c>
      <c r="AG744" s="224" t="str">
        <f>IFERROR(__xludf.DUMMYFUNCTION("""COMPUTED_VALUE"""),"")</f>
        <v/>
      </c>
    </row>
    <row r="745">
      <c r="AD745" s="224" t="str">
        <f>IFERROR(__xludf.DUMMYFUNCTION("""COMPUTED_VALUE"""),"")</f>
        <v/>
      </c>
      <c r="AE745" s="224"/>
      <c r="AF745" s="224" t="str">
        <f>IFERROR(__xludf.DUMMYFUNCTION("""COMPUTED_VALUE"""),"")</f>
        <v/>
      </c>
      <c r="AG745" s="224" t="str">
        <f>IFERROR(__xludf.DUMMYFUNCTION("""COMPUTED_VALUE"""),"")</f>
        <v/>
      </c>
    </row>
    <row r="746">
      <c r="AD746" s="224" t="str">
        <f>IFERROR(__xludf.DUMMYFUNCTION("""COMPUTED_VALUE"""),"")</f>
        <v/>
      </c>
      <c r="AE746" s="224"/>
      <c r="AF746" s="224" t="str">
        <f>IFERROR(__xludf.DUMMYFUNCTION("""COMPUTED_VALUE"""),"")</f>
        <v/>
      </c>
      <c r="AG746" s="224" t="str">
        <f>IFERROR(__xludf.DUMMYFUNCTION("""COMPUTED_VALUE"""),"")</f>
        <v/>
      </c>
    </row>
    <row r="747">
      <c r="AD747" s="224" t="str">
        <f>IFERROR(__xludf.DUMMYFUNCTION("""COMPUTED_VALUE"""),"")</f>
        <v/>
      </c>
      <c r="AE747" s="224"/>
      <c r="AF747" s="224" t="str">
        <f>IFERROR(__xludf.DUMMYFUNCTION("""COMPUTED_VALUE"""),"")</f>
        <v/>
      </c>
      <c r="AG747" s="224" t="str">
        <f>IFERROR(__xludf.DUMMYFUNCTION("""COMPUTED_VALUE"""),"")</f>
        <v/>
      </c>
    </row>
    <row r="748">
      <c r="AD748" s="224" t="str">
        <f>IFERROR(__xludf.DUMMYFUNCTION("""COMPUTED_VALUE"""),"")</f>
        <v/>
      </c>
      <c r="AE748" s="224"/>
      <c r="AF748" s="224" t="str">
        <f>IFERROR(__xludf.DUMMYFUNCTION("""COMPUTED_VALUE"""),"")</f>
        <v/>
      </c>
      <c r="AG748" s="224" t="str">
        <f>IFERROR(__xludf.DUMMYFUNCTION("""COMPUTED_VALUE"""),"")</f>
        <v/>
      </c>
    </row>
    <row r="749">
      <c r="AD749" s="224" t="str">
        <f>IFERROR(__xludf.DUMMYFUNCTION("""COMPUTED_VALUE"""),"")</f>
        <v/>
      </c>
      <c r="AE749" s="224"/>
      <c r="AF749" s="224" t="str">
        <f>IFERROR(__xludf.DUMMYFUNCTION("""COMPUTED_VALUE"""),"")</f>
        <v/>
      </c>
      <c r="AG749" s="224" t="str">
        <f>IFERROR(__xludf.DUMMYFUNCTION("""COMPUTED_VALUE"""),"")</f>
        <v/>
      </c>
    </row>
    <row r="750">
      <c r="AD750" s="224" t="str">
        <f>IFERROR(__xludf.DUMMYFUNCTION("""COMPUTED_VALUE"""),"")</f>
        <v/>
      </c>
      <c r="AE750" s="224"/>
      <c r="AF750" s="224" t="str">
        <f>IFERROR(__xludf.DUMMYFUNCTION("""COMPUTED_VALUE"""),"")</f>
        <v/>
      </c>
      <c r="AG750" s="224" t="str">
        <f>IFERROR(__xludf.DUMMYFUNCTION("""COMPUTED_VALUE"""),"")</f>
        <v/>
      </c>
    </row>
    <row r="751">
      <c r="AD751" s="224" t="str">
        <f>IFERROR(__xludf.DUMMYFUNCTION("""COMPUTED_VALUE"""),"")</f>
        <v/>
      </c>
      <c r="AE751" s="224"/>
      <c r="AF751" s="224" t="str">
        <f>IFERROR(__xludf.DUMMYFUNCTION("""COMPUTED_VALUE"""),"")</f>
        <v/>
      </c>
      <c r="AG751" s="224" t="str">
        <f>IFERROR(__xludf.DUMMYFUNCTION("""COMPUTED_VALUE"""),"")</f>
        <v/>
      </c>
    </row>
    <row r="752">
      <c r="AD752" s="224" t="str">
        <f>IFERROR(__xludf.DUMMYFUNCTION("""COMPUTED_VALUE"""),"")</f>
        <v/>
      </c>
      <c r="AE752" s="224"/>
      <c r="AF752" s="224" t="str">
        <f>IFERROR(__xludf.DUMMYFUNCTION("""COMPUTED_VALUE"""),"")</f>
        <v/>
      </c>
      <c r="AG752" s="224" t="str">
        <f>IFERROR(__xludf.DUMMYFUNCTION("""COMPUTED_VALUE"""),"")</f>
        <v/>
      </c>
    </row>
    <row r="753">
      <c r="AD753" s="224" t="str">
        <f>IFERROR(__xludf.DUMMYFUNCTION("""COMPUTED_VALUE"""),"")</f>
        <v/>
      </c>
      <c r="AE753" s="224"/>
      <c r="AF753" s="224" t="str">
        <f>IFERROR(__xludf.DUMMYFUNCTION("""COMPUTED_VALUE"""),"")</f>
        <v/>
      </c>
      <c r="AG753" s="224" t="str">
        <f>IFERROR(__xludf.DUMMYFUNCTION("""COMPUTED_VALUE"""),"")</f>
        <v/>
      </c>
    </row>
    <row r="754">
      <c r="AD754" s="224" t="str">
        <f>IFERROR(__xludf.DUMMYFUNCTION("""COMPUTED_VALUE"""),"")</f>
        <v/>
      </c>
      <c r="AE754" s="224"/>
      <c r="AF754" s="224" t="str">
        <f>IFERROR(__xludf.DUMMYFUNCTION("""COMPUTED_VALUE"""),"")</f>
        <v/>
      </c>
      <c r="AG754" s="224" t="str">
        <f>IFERROR(__xludf.DUMMYFUNCTION("""COMPUTED_VALUE"""),"")</f>
        <v/>
      </c>
    </row>
    <row r="755">
      <c r="AD755" s="224" t="str">
        <f>IFERROR(__xludf.DUMMYFUNCTION("""COMPUTED_VALUE"""),"")</f>
        <v/>
      </c>
      <c r="AE755" s="224"/>
      <c r="AF755" s="224" t="str">
        <f>IFERROR(__xludf.DUMMYFUNCTION("""COMPUTED_VALUE"""),"")</f>
        <v/>
      </c>
      <c r="AG755" s="224" t="str">
        <f>IFERROR(__xludf.DUMMYFUNCTION("""COMPUTED_VALUE"""),"")</f>
        <v/>
      </c>
    </row>
    <row r="756">
      <c r="AD756" s="224" t="str">
        <f>IFERROR(__xludf.DUMMYFUNCTION("""COMPUTED_VALUE"""),"")</f>
        <v/>
      </c>
      <c r="AE756" s="224"/>
      <c r="AF756" s="224" t="str">
        <f>IFERROR(__xludf.DUMMYFUNCTION("""COMPUTED_VALUE"""),"")</f>
        <v/>
      </c>
      <c r="AG756" s="224" t="str">
        <f>IFERROR(__xludf.DUMMYFUNCTION("""COMPUTED_VALUE"""),"")</f>
        <v/>
      </c>
    </row>
    <row r="757">
      <c r="AD757" s="224" t="str">
        <f>IFERROR(__xludf.DUMMYFUNCTION("""COMPUTED_VALUE"""),"")</f>
        <v/>
      </c>
      <c r="AE757" s="224"/>
      <c r="AF757" s="224" t="str">
        <f>IFERROR(__xludf.DUMMYFUNCTION("""COMPUTED_VALUE"""),"")</f>
        <v/>
      </c>
      <c r="AG757" s="224" t="str">
        <f>IFERROR(__xludf.DUMMYFUNCTION("""COMPUTED_VALUE"""),"")</f>
        <v/>
      </c>
    </row>
    <row r="758">
      <c r="AD758" s="224" t="str">
        <f>IFERROR(__xludf.DUMMYFUNCTION("""COMPUTED_VALUE"""),"")</f>
        <v/>
      </c>
      <c r="AE758" s="224"/>
      <c r="AF758" s="224" t="str">
        <f>IFERROR(__xludf.DUMMYFUNCTION("""COMPUTED_VALUE"""),"")</f>
        <v/>
      </c>
      <c r="AG758" s="224" t="str">
        <f>IFERROR(__xludf.DUMMYFUNCTION("""COMPUTED_VALUE"""),"")</f>
        <v/>
      </c>
    </row>
    <row r="759">
      <c r="AD759" s="224" t="str">
        <f>IFERROR(__xludf.DUMMYFUNCTION("""COMPUTED_VALUE"""),"")</f>
        <v/>
      </c>
      <c r="AE759" s="224"/>
      <c r="AF759" s="224" t="str">
        <f>IFERROR(__xludf.DUMMYFUNCTION("""COMPUTED_VALUE"""),"")</f>
        <v/>
      </c>
      <c r="AG759" s="224" t="str">
        <f>IFERROR(__xludf.DUMMYFUNCTION("""COMPUTED_VALUE"""),"")</f>
        <v/>
      </c>
    </row>
    <row r="760">
      <c r="AD760" s="224" t="str">
        <f>IFERROR(__xludf.DUMMYFUNCTION("""COMPUTED_VALUE"""),"")</f>
        <v/>
      </c>
      <c r="AE760" s="224"/>
      <c r="AF760" s="224" t="str">
        <f>IFERROR(__xludf.DUMMYFUNCTION("""COMPUTED_VALUE"""),"")</f>
        <v/>
      </c>
      <c r="AG760" s="224" t="str">
        <f>IFERROR(__xludf.DUMMYFUNCTION("""COMPUTED_VALUE"""),"")</f>
        <v/>
      </c>
    </row>
    <row r="761">
      <c r="AD761" s="224" t="str">
        <f>IFERROR(__xludf.DUMMYFUNCTION("""COMPUTED_VALUE"""),"")</f>
        <v/>
      </c>
      <c r="AE761" s="224"/>
      <c r="AF761" s="224" t="str">
        <f>IFERROR(__xludf.DUMMYFUNCTION("""COMPUTED_VALUE"""),"")</f>
        <v/>
      </c>
      <c r="AG761" s="224" t="str">
        <f>IFERROR(__xludf.DUMMYFUNCTION("""COMPUTED_VALUE"""),"")</f>
        <v/>
      </c>
    </row>
    <row r="762">
      <c r="AD762" s="224" t="str">
        <f>IFERROR(__xludf.DUMMYFUNCTION("""COMPUTED_VALUE"""),"")</f>
        <v/>
      </c>
      <c r="AE762" s="224"/>
      <c r="AF762" s="224" t="str">
        <f>IFERROR(__xludf.DUMMYFUNCTION("""COMPUTED_VALUE"""),"")</f>
        <v/>
      </c>
      <c r="AG762" s="224" t="str">
        <f>IFERROR(__xludf.DUMMYFUNCTION("""COMPUTED_VALUE"""),"")</f>
        <v/>
      </c>
    </row>
    <row r="763">
      <c r="AD763" s="224" t="str">
        <f>IFERROR(__xludf.DUMMYFUNCTION("""COMPUTED_VALUE"""),"")</f>
        <v/>
      </c>
      <c r="AE763" s="224"/>
      <c r="AF763" s="224" t="str">
        <f>IFERROR(__xludf.DUMMYFUNCTION("""COMPUTED_VALUE"""),"")</f>
        <v/>
      </c>
      <c r="AG763" s="224" t="str">
        <f>IFERROR(__xludf.DUMMYFUNCTION("""COMPUTED_VALUE"""),"")</f>
        <v/>
      </c>
    </row>
    <row r="764">
      <c r="AD764" s="224" t="str">
        <f>IFERROR(__xludf.DUMMYFUNCTION("""COMPUTED_VALUE"""),"")</f>
        <v/>
      </c>
      <c r="AE764" s="224"/>
      <c r="AF764" s="224" t="str">
        <f>IFERROR(__xludf.DUMMYFUNCTION("""COMPUTED_VALUE"""),"")</f>
        <v/>
      </c>
      <c r="AG764" s="224" t="str">
        <f>IFERROR(__xludf.DUMMYFUNCTION("""COMPUTED_VALUE"""),"")</f>
        <v/>
      </c>
    </row>
    <row r="765">
      <c r="AD765" s="224" t="str">
        <f>IFERROR(__xludf.DUMMYFUNCTION("""COMPUTED_VALUE"""),"")</f>
        <v/>
      </c>
      <c r="AE765" s="224"/>
      <c r="AF765" s="224" t="str">
        <f>IFERROR(__xludf.DUMMYFUNCTION("""COMPUTED_VALUE"""),"")</f>
        <v/>
      </c>
      <c r="AG765" s="224" t="str">
        <f>IFERROR(__xludf.DUMMYFUNCTION("""COMPUTED_VALUE"""),"")</f>
        <v/>
      </c>
    </row>
    <row r="766">
      <c r="AD766" s="224" t="str">
        <f>IFERROR(__xludf.DUMMYFUNCTION("""COMPUTED_VALUE"""),"")</f>
        <v/>
      </c>
      <c r="AE766" s="224"/>
      <c r="AF766" s="224" t="str">
        <f>IFERROR(__xludf.DUMMYFUNCTION("""COMPUTED_VALUE"""),"")</f>
        <v/>
      </c>
      <c r="AG766" s="224" t="str">
        <f>IFERROR(__xludf.DUMMYFUNCTION("""COMPUTED_VALUE"""),"")</f>
        <v/>
      </c>
    </row>
    <row r="767">
      <c r="AD767" s="224" t="str">
        <f>IFERROR(__xludf.DUMMYFUNCTION("""COMPUTED_VALUE"""),"")</f>
        <v/>
      </c>
      <c r="AE767" s="224"/>
      <c r="AF767" s="224" t="str">
        <f>IFERROR(__xludf.DUMMYFUNCTION("""COMPUTED_VALUE"""),"")</f>
        <v/>
      </c>
      <c r="AG767" s="224" t="str">
        <f>IFERROR(__xludf.DUMMYFUNCTION("""COMPUTED_VALUE"""),"")</f>
        <v/>
      </c>
    </row>
    <row r="768">
      <c r="AD768" s="224" t="str">
        <f>IFERROR(__xludf.DUMMYFUNCTION("""COMPUTED_VALUE"""),"")</f>
        <v/>
      </c>
      <c r="AE768" s="224"/>
      <c r="AF768" s="224" t="str">
        <f>IFERROR(__xludf.DUMMYFUNCTION("""COMPUTED_VALUE"""),"")</f>
        <v/>
      </c>
      <c r="AG768" s="224" t="str">
        <f>IFERROR(__xludf.DUMMYFUNCTION("""COMPUTED_VALUE"""),"")</f>
        <v/>
      </c>
    </row>
    <row r="769">
      <c r="AD769" s="224" t="str">
        <f>IFERROR(__xludf.DUMMYFUNCTION("""COMPUTED_VALUE"""),"")</f>
        <v/>
      </c>
      <c r="AE769" s="224"/>
      <c r="AF769" s="224" t="str">
        <f>IFERROR(__xludf.DUMMYFUNCTION("""COMPUTED_VALUE"""),"")</f>
        <v/>
      </c>
      <c r="AG769" s="224" t="str">
        <f>IFERROR(__xludf.DUMMYFUNCTION("""COMPUTED_VALUE"""),"")</f>
        <v/>
      </c>
    </row>
    <row r="770">
      <c r="AD770" s="224" t="str">
        <f>IFERROR(__xludf.DUMMYFUNCTION("""COMPUTED_VALUE"""),"")</f>
        <v/>
      </c>
      <c r="AE770" s="224"/>
      <c r="AF770" s="224" t="str">
        <f>IFERROR(__xludf.DUMMYFUNCTION("""COMPUTED_VALUE"""),"")</f>
        <v/>
      </c>
      <c r="AG770" s="224" t="str">
        <f>IFERROR(__xludf.DUMMYFUNCTION("""COMPUTED_VALUE"""),"")</f>
        <v/>
      </c>
    </row>
    <row r="771">
      <c r="AD771" s="224" t="str">
        <f>IFERROR(__xludf.DUMMYFUNCTION("""COMPUTED_VALUE"""),"")</f>
        <v/>
      </c>
      <c r="AE771" s="224"/>
      <c r="AF771" s="224" t="str">
        <f>IFERROR(__xludf.DUMMYFUNCTION("""COMPUTED_VALUE"""),"")</f>
        <v/>
      </c>
      <c r="AG771" s="224" t="str">
        <f>IFERROR(__xludf.DUMMYFUNCTION("""COMPUTED_VALUE"""),"")</f>
        <v/>
      </c>
    </row>
    <row r="772">
      <c r="AD772" s="224" t="str">
        <f>IFERROR(__xludf.DUMMYFUNCTION("""COMPUTED_VALUE"""),"")</f>
        <v/>
      </c>
      <c r="AE772" s="224"/>
      <c r="AF772" s="224" t="str">
        <f>IFERROR(__xludf.DUMMYFUNCTION("""COMPUTED_VALUE"""),"")</f>
        <v/>
      </c>
      <c r="AG772" s="224" t="str">
        <f>IFERROR(__xludf.DUMMYFUNCTION("""COMPUTED_VALUE"""),"")</f>
        <v/>
      </c>
    </row>
    <row r="773">
      <c r="AD773" s="224" t="str">
        <f>IFERROR(__xludf.DUMMYFUNCTION("""COMPUTED_VALUE"""),"")</f>
        <v/>
      </c>
      <c r="AE773" s="224"/>
      <c r="AF773" s="224" t="str">
        <f>IFERROR(__xludf.DUMMYFUNCTION("""COMPUTED_VALUE"""),"")</f>
        <v/>
      </c>
      <c r="AG773" s="224" t="str">
        <f>IFERROR(__xludf.DUMMYFUNCTION("""COMPUTED_VALUE"""),"")</f>
        <v/>
      </c>
    </row>
    <row r="774">
      <c r="AD774" s="224" t="str">
        <f>IFERROR(__xludf.DUMMYFUNCTION("""COMPUTED_VALUE"""),"")</f>
        <v/>
      </c>
      <c r="AE774" s="224"/>
      <c r="AF774" s="224" t="str">
        <f>IFERROR(__xludf.DUMMYFUNCTION("""COMPUTED_VALUE"""),"")</f>
        <v/>
      </c>
      <c r="AG774" s="224" t="str">
        <f>IFERROR(__xludf.DUMMYFUNCTION("""COMPUTED_VALUE"""),"")</f>
        <v/>
      </c>
    </row>
    <row r="775">
      <c r="AD775" s="224" t="str">
        <f>IFERROR(__xludf.DUMMYFUNCTION("""COMPUTED_VALUE"""),"")</f>
        <v/>
      </c>
      <c r="AE775" s="224"/>
      <c r="AF775" s="224" t="str">
        <f>IFERROR(__xludf.DUMMYFUNCTION("""COMPUTED_VALUE"""),"")</f>
        <v/>
      </c>
      <c r="AG775" s="224" t="str">
        <f>IFERROR(__xludf.DUMMYFUNCTION("""COMPUTED_VALUE"""),"")</f>
        <v/>
      </c>
    </row>
    <row r="776">
      <c r="AD776" s="224" t="str">
        <f>IFERROR(__xludf.DUMMYFUNCTION("""COMPUTED_VALUE"""),"")</f>
        <v/>
      </c>
      <c r="AE776" s="224"/>
      <c r="AF776" s="224" t="str">
        <f>IFERROR(__xludf.DUMMYFUNCTION("""COMPUTED_VALUE"""),"")</f>
        <v/>
      </c>
      <c r="AG776" s="224" t="str">
        <f>IFERROR(__xludf.DUMMYFUNCTION("""COMPUTED_VALUE"""),"")</f>
        <v/>
      </c>
    </row>
    <row r="777">
      <c r="AD777" s="224" t="str">
        <f>IFERROR(__xludf.DUMMYFUNCTION("""COMPUTED_VALUE"""),"")</f>
        <v/>
      </c>
      <c r="AE777" s="224"/>
      <c r="AF777" s="224" t="str">
        <f>IFERROR(__xludf.DUMMYFUNCTION("""COMPUTED_VALUE"""),"")</f>
        <v/>
      </c>
      <c r="AG777" s="224" t="str">
        <f>IFERROR(__xludf.DUMMYFUNCTION("""COMPUTED_VALUE"""),"")</f>
        <v/>
      </c>
    </row>
    <row r="778">
      <c r="AD778" s="224" t="str">
        <f>IFERROR(__xludf.DUMMYFUNCTION("""COMPUTED_VALUE"""),"")</f>
        <v/>
      </c>
      <c r="AE778" s="224"/>
      <c r="AF778" s="224" t="str">
        <f>IFERROR(__xludf.DUMMYFUNCTION("""COMPUTED_VALUE"""),"")</f>
        <v/>
      </c>
      <c r="AG778" s="224" t="str">
        <f>IFERROR(__xludf.DUMMYFUNCTION("""COMPUTED_VALUE"""),"")</f>
        <v/>
      </c>
    </row>
    <row r="779">
      <c r="AD779" s="224" t="str">
        <f>IFERROR(__xludf.DUMMYFUNCTION("""COMPUTED_VALUE"""),"")</f>
        <v/>
      </c>
      <c r="AE779" s="224"/>
      <c r="AF779" s="224" t="str">
        <f>IFERROR(__xludf.DUMMYFUNCTION("""COMPUTED_VALUE"""),"")</f>
        <v/>
      </c>
      <c r="AG779" s="224" t="str">
        <f>IFERROR(__xludf.DUMMYFUNCTION("""COMPUTED_VALUE"""),"")</f>
        <v/>
      </c>
    </row>
    <row r="780">
      <c r="AD780" s="224" t="str">
        <f>IFERROR(__xludf.DUMMYFUNCTION("""COMPUTED_VALUE"""),"")</f>
        <v/>
      </c>
      <c r="AE780" s="224"/>
      <c r="AF780" s="224" t="str">
        <f>IFERROR(__xludf.DUMMYFUNCTION("""COMPUTED_VALUE"""),"")</f>
        <v/>
      </c>
      <c r="AG780" s="224" t="str">
        <f>IFERROR(__xludf.DUMMYFUNCTION("""COMPUTED_VALUE"""),"")</f>
        <v/>
      </c>
    </row>
    <row r="781">
      <c r="AD781" s="224" t="str">
        <f>IFERROR(__xludf.DUMMYFUNCTION("""COMPUTED_VALUE"""),"")</f>
        <v/>
      </c>
      <c r="AE781" s="224"/>
      <c r="AF781" s="224" t="str">
        <f>IFERROR(__xludf.DUMMYFUNCTION("""COMPUTED_VALUE"""),"")</f>
        <v/>
      </c>
      <c r="AG781" s="224" t="str">
        <f>IFERROR(__xludf.DUMMYFUNCTION("""COMPUTED_VALUE"""),"")</f>
        <v/>
      </c>
    </row>
    <row r="782">
      <c r="AD782" s="224" t="str">
        <f>IFERROR(__xludf.DUMMYFUNCTION("""COMPUTED_VALUE"""),"")</f>
        <v/>
      </c>
      <c r="AE782" s="224"/>
      <c r="AF782" s="224" t="str">
        <f>IFERROR(__xludf.DUMMYFUNCTION("""COMPUTED_VALUE"""),"")</f>
        <v/>
      </c>
      <c r="AG782" s="224" t="str">
        <f>IFERROR(__xludf.DUMMYFUNCTION("""COMPUTED_VALUE"""),"")</f>
        <v/>
      </c>
    </row>
    <row r="783">
      <c r="AD783" s="224" t="str">
        <f>IFERROR(__xludf.DUMMYFUNCTION("""COMPUTED_VALUE"""),"")</f>
        <v/>
      </c>
      <c r="AE783" s="224"/>
      <c r="AF783" s="224" t="str">
        <f>IFERROR(__xludf.DUMMYFUNCTION("""COMPUTED_VALUE"""),"")</f>
        <v/>
      </c>
      <c r="AG783" s="224" t="str">
        <f>IFERROR(__xludf.DUMMYFUNCTION("""COMPUTED_VALUE"""),"")</f>
        <v/>
      </c>
    </row>
    <row r="784">
      <c r="AD784" s="224" t="str">
        <f>IFERROR(__xludf.DUMMYFUNCTION("""COMPUTED_VALUE"""),"")</f>
        <v/>
      </c>
      <c r="AE784" s="224"/>
      <c r="AF784" s="224" t="str">
        <f>IFERROR(__xludf.DUMMYFUNCTION("""COMPUTED_VALUE"""),"")</f>
        <v/>
      </c>
      <c r="AG784" s="224" t="str">
        <f>IFERROR(__xludf.DUMMYFUNCTION("""COMPUTED_VALUE"""),"")</f>
        <v/>
      </c>
    </row>
    <row r="785">
      <c r="AD785" s="224" t="str">
        <f>IFERROR(__xludf.DUMMYFUNCTION("""COMPUTED_VALUE"""),"")</f>
        <v/>
      </c>
      <c r="AE785" s="224"/>
      <c r="AF785" s="224" t="str">
        <f>IFERROR(__xludf.DUMMYFUNCTION("""COMPUTED_VALUE"""),"")</f>
        <v/>
      </c>
      <c r="AG785" s="224" t="str">
        <f>IFERROR(__xludf.DUMMYFUNCTION("""COMPUTED_VALUE"""),"")</f>
        <v/>
      </c>
    </row>
    <row r="786">
      <c r="AD786" s="224" t="str">
        <f>IFERROR(__xludf.DUMMYFUNCTION("""COMPUTED_VALUE"""),"")</f>
        <v/>
      </c>
      <c r="AE786" s="224"/>
      <c r="AF786" s="224" t="str">
        <f>IFERROR(__xludf.DUMMYFUNCTION("""COMPUTED_VALUE"""),"")</f>
        <v/>
      </c>
      <c r="AG786" s="224" t="str">
        <f>IFERROR(__xludf.DUMMYFUNCTION("""COMPUTED_VALUE"""),"")</f>
        <v/>
      </c>
    </row>
    <row r="787">
      <c r="AD787" s="224" t="str">
        <f>IFERROR(__xludf.DUMMYFUNCTION("""COMPUTED_VALUE"""),"")</f>
        <v/>
      </c>
      <c r="AE787" s="224"/>
      <c r="AF787" s="224" t="str">
        <f>IFERROR(__xludf.DUMMYFUNCTION("""COMPUTED_VALUE"""),"")</f>
        <v/>
      </c>
      <c r="AG787" s="224" t="str">
        <f>IFERROR(__xludf.DUMMYFUNCTION("""COMPUTED_VALUE"""),"")</f>
        <v/>
      </c>
    </row>
    <row r="788">
      <c r="AD788" s="224" t="str">
        <f>IFERROR(__xludf.DUMMYFUNCTION("""COMPUTED_VALUE"""),"")</f>
        <v/>
      </c>
      <c r="AE788" s="224"/>
      <c r="AF788" s="224" t="str">
        <f>IFERROR(__xludf.DUMMYFUNCTION("""COMPUTED_VALUE"""),"")</f>
        <v/>
      </c>
      <c r="AG788" s="224" t="str">
        <f>IFERROR(__xludf.DUMMYFUNCTION("""COMPUTED_VALUE"""),"")</f>
        <v/>
      </c>
    </row>
    <row r="789">
      <c r="AD789" s="224" t="str">
        <f>IFERROR(__xludf.DUMMYFUNCTION("""COMPUTED_VALUE"""),"")</f>
        <v/>
      </c>
      <c r="AE789" s="224"/>
      <c r="AF789" s="224" t="str">
        <f>IFERROR(__xludf.DUMMYFUNCTION("""COMPUTED_VALUE"""),"")</f>
        <v/>
      </c>
      <c r="AG789" s="224" t="str">
        <f>IFERROR(__xludf.DUMMYFUNCTION("""COMPUTED_VALUE"""),"")</f>
        <v/>
      </c>
    </row>
    <row r="790">
      <c r="AD790" s="224" t="str">
        <f>IFERROR(__xludf.DUMMYFUNCTION("""COMPUTED_VALUE"""),"")</f>
        <v/>
      </c>
      <c r="AE790" s="224"/>
      <c r="AF790" s="224" t="str">
        <f>IFERROR(__xludf.DUMMYFUNCTION("""COMPUTED_VALUE"""),"")</f>
        <v/>
      </c>
      <c r="AG790" s="224" t="str">
        <f>IFERROR(__xludf.DUMMYFUNCTION("""COMPUTED_VALUE"""),"")</f>
        <v/>
      </c>
    </row>
    <row r="791">
      <c r="AD791" s="224" t="str">
        <f>IFERROR(__xludf.DUMMYFUNCTION("""COMPUTED_VALUE"""),"")</f>
        <v/>
      </c>
      <c r="AE791" s="224"/>
      <c r="AF791" s="224" t="str">
        <f>IFERROR(__xludf.DUMMYFUNCTION("""COMPUTED_VALUE"""),"")</f>
        <v/>
      </c>
      <c r="AG791" s="224" t="str">
        <f>IFERROR(__xludf.DUMMYFUNCTION("""COMPUTED_VALUE"""),"")</f>
        <v/>
      </c>
    </row>
    <row r="792">
      <c r="AD792" s="224" t="str">
        <f>IFERROR(__xludf.DUMMYFUNCTION("""COMPUTED_VALUE"""),"")</f>
        <v/>
      </c>
      <c r="AE792" s="224"/>
      <c r="AF792" s="224" t="str">
        <f>IFERROR(__xludf.DUMMYFUNCTION("""COMPUTED_VALUE"""),"")</f>
        <v/>
      </c>
      <c r="AG792" s="224" t="str">
        <f>IFERROR(__xludf.DUMMYFUNCTION("""COMPUTED_VALUE"""),"")</f>
        <v/>
      </c>
    </row>
    <row r="793">
      <c r="AD793" s="224" t="str">
        <f>IFERROR(__xludf.DUMMYFUNCTION("""COMPUTED_VALUE"""),"")</f>
        <v/>
      </c>
      <c r="AE793" s="224"/>
      <c r="AF793" s="224" t="str">
        <f>IFERROR(__xludf.DUMMYFUNCTION("""COMPUTED_VALUE"""),"")</f>
        <v/>
      </c>
      <c r="AG793" s="224" t="str">
        <f>IFERROR(__xludf.DUMMYFUNCTION("""COMPUTED_VALUE"""),"")</f>
        <v/>
      </c>
    </row>
    <row r="794">
      <c r="AD794" s="224" t="str">
        <f>IFERROR(__xludf.DUMMYFUNCTION("""COMPUTED_VALUE"""),"")</f>
        <v/>
      </c>
      <c r="AE794" s="224"/>
      <c r="AF794" s="224" t="str">
        <f>IFERROR(__xludf.DUMMYFUNCTION("""COMPUTED_VALUE"""),"")</f>
        <v/>
      </c>
      <c r="AG794" s="224" t="str">
        <f>IFERROR(__xludf.DUMMYFUNCTION("""COMPUTED_VALUE"""),"")</f>
        <v/>
      </c>
    </row>
    <row r="795">
      <c r="AD795" s="224" t="str">
        <f>IFERROR(__xludf.DUMMYFUNCTION("""COMPUTED_VALUE"""),"")</f>
        <v/>
      </c>
      <c r="AE795" s="224"/>
      <c r="AF795" s="224" t="str">
        <f>IFERROR(__xludf.DUMMYFUNCTION("""COMPUTED_VALUE"""),"")</f>
        <v/>
      </c>
      <c r="AG795" s="224" t="str">
        <f>IFERROR(__xludf.DUMMYFUNCTION("""COMPUTED_VALUE"""),"")</f>
        <v/>
      </c>
    </row>
    <row r="796">
      <c r="AD796" s="224" t="str">
        <f>IFERROR(__xludf.DUMMYFUNCTION("""COMPUTED_VALUE"""),"")</f>
        <v/>
      </c>
      <c r="AE796" s="224"/>
      <c r="AF796" s="224" t="str">
        <f>IFERROR(__xludf.DUMMYFUNCTION("""COMPUTED_VALUE"""),"")</f>
        <v/>
      </c>
      <c r="AG796" s="224" t="str">
        <f>IFERROR(__xludf.DUMMYFUNCTION("""COMPUTED_VALUE"""),"")</f>
        <v/>
      </c>
    </row>
    <row r="797">
      <c r="AD797" s="224" t="str">
        <f>IFERROR(__xludf.DUMMYFUNCTION("""COMPUTED_VALUE"""),"")</f>
        <v/>
      </c>
      <c r="AE797" s="224"/>
      <c r="AF797" s="224" t="str">
        <f>IFERROR(__xludf.DUMMYFUNCTION("""COMPUTED_VALUE"""),"")</f>
        <v/>
      </c>
      <c r="AG797" s="224" t="str">
        <f>IFERROR(__xludf.DUMMYFUNCTION("""COMPUTED_VALUE"""),"")</f>
        <v/>
      </c>
    </row>
    <row r="798">
      <c r="AD798" s="224" t="str">
        <f>IFERROR(__xludf.DUMMYFUNCTION("""COMPUTED_VALUE"""),"")</f>
        <v/>
      </c>
      <c r="AE798" s="224"/>
      <c r="AF798" s="224" t="str">
        <f>IFERROR(__xludf.DUMMYFUNCTION("""COMPUTED_VALUE"""),"")</f>
        <v/>
      </c>
      <c r="AG798" s="224" t="str">
        <f>IFERROR(__xludf.DUMMYFUNCTION("""COMPUTED_VALUE"""),"")</f>
        <v/>
      </c>
    </row>
    <row r="799">
      <c r="AD799" s="224" t="str">
        <f>IFERROR(__xludf.DUMMYFUNCTION("""COMPUTED_VALUE"""),"")</f>
        <v/>
      </c>
      <c r="AE799" s="224"/>
      <c r="AF799" s="224" t="str">
        <f>IFERROR(__xludf.DUMMYFUNCTION("""COMPUTED_VALUE"""),"")</f>
        <v/>
      </c>
      <c r="AG799" s="224" t="str">
        <f>IFERROR(__xludf.DUMMYFUNCTION("""COMPUTED_VALUE"""),"")</f>
        <v/>
      </c>
    </row>
    <row r="800">
      <c r="AD800" s="224" t="str">
        <f>IFERROR(__xludf.DUMMYFUNCTION("""COMPUTED_VALUE"""),"")</f>
        <v/>
      </c>
      <c r="AE800" s="224"/>
      <c r="AF800" s="224" t="str">
        <f>IFERROR(__xludf.DUMMYFUNCTION("""COMPUTED_VALUE"""),"")</f>
        <v/>
      </c>
      <c r="AG800" s="224" t="str">
        <f>IFERROR(__xludf.DUMMYFUNCTION("""COMPUTED_VALUE"""),"")</f>
        <v/>
      </c>
    </row>
    <row r="801">
      <c r="AD801" s="224" t="str">
        <f>IFERROR(__xludf.DUMMYFUNCTION("""COMPUTED_VALUE"""),"")</f>
        <v/>
      </c>
      <c r="AE801" s="224"/>
      <c r="AF801" s="224" t="str">
        <f>IFERROR(__xludf.DUMMYFUNCTION("""COMPUTED_VALUE"""),"")</f>
        <v/>
      </c>
      <c r="AG801" s="224" t="str">
        <f>IFERROR(__xludf.DUMMYFUNCTION("""COMPUTED_VALUE"""),"")</f>
        <v/>
      </c>
    </row>
    <row r="802">
      <c r="AD802" s="224" t="str">
        <f>IFERROR(__xludf.DUMMYFUNCTION("""COMPUTED_VALUE"""),"")</f>
        <v/>
      </c>
      <c r="AE802" s="224"/>
      <c r="AF802" s="224" t="str">
        <f>IFERROR(__xludf.DUMMYFUNCTION("""COMPUTED_VALUE"""),"")</f>
        <v/>
      </c>
      <c r="AG802" s="224" t="str">
        <f>IFERROR(__xludf.DUMMYFUNCTION("""COMPUTED_VALUE"""),"")</f>
        <v/>
      </c>
    </row>
    <row r="803">
      <c r="AD803" s="224" t="str">
        <f>IFERROR(__xludf.DUMMYFUNCTION("""COMPUTED_VALUE"""),"")</f>
        <v/>
      </c>
      <c r="AE803" s="224"/>
      <c r="AF803" s="224" t="str">
        <f>IFERROR(__xludf.DUMMYFUNCTION("""COMPUTED_VALUE"""),"")</f>
        <v/>
      </c>
      <c r="AG803" s="224" t="str">
        <f>IFERROR(__xludf.DUMMYFUNCTION("""COMPUTED_VALUE"""),"")</f>
        <v/>
      </c>
    </row>
    <row r="804">
      <c r="AD804" s="224" t="str">
        <f>IFERROR(__xludf.DUMMYFUNCTION("""COMPUTED_VALUE"""),"")</f>
        <v/>
      </c>
      <c r="AE804" s="224"/>
      <c r="AF804" s="224" t="str">
        <f>IFERROR(__xludf.DUMMYFUNCTION("""COMPUTED_VALUE"""),"")</f>
        <v/>
      </c>
      <c r="AG804" s="224" t="str">
        <f>IFERROR(__xludf.DUMMYFUNCTION("""COMPUTED_VALUE"""),"")</f>
        <v/>
      </c>
    </row>
    <row r="805">
      <c r="AD805" s="224" t="str">
        <f>IFERROR(__xludf.DUMMYFUNCTION("""COMPUTED_VALUE"""),"")</f>
        <v/>
      </c>
      <c r="AE805" s="224"/>
      <c r="AF805" s="224" t="str">
        <f>IFERROR(__xludf.DUMMYFUNCTION("""COMPUTED_VALUE"""),"")</f>
        <v/>
      </c>
      <c r="AG805" s="224" t="str">
        <f>IFERROR(__xludf.DUMMYFUNCTION("""COMPUTED_VALUE"""),"")</f>
        <v/>
      </c>
    </row>
    <row r="806">
      <c r="AD806" s="224" t="str">
        <f>IFERROR(__xludf.DUMMYFUNCTION("""COMPUTED_VALUE"""),"")</f>
        <v/>
      </c>
      <c r="AE806" s="224"/>
      <c r="AF806" s="224" t="str">
        <f>IFERROR(__xludf.DUMMYFUNCTION("""COMPUTED_VALUE"""),"")</f>
        <v/>
      </c>
      <c r="AG806" s="224" t="str">
        <f>IFERROR(__xludf.DUMMYFUNCTION("""COMPUTED_VALUE"""),"")</f>
        <v/>
      </c>
    </row>
    <row r="807">
      <c r="AD807" s="224" t="str">
        <f>IFERROR(__xludf.DUMMYFUNCTION("""COMPUTED_VALUE"""),"")</f>
        <v/>
      </c>
      <c r="AE807" s="224"/>
      <c r="AF807" s="224" t="str">
        <f>IFERROR(__xludf.DUMMYFUNCTION("""COMPUTED_VALUE"""),"")</f>
        <v/>
      </c>
      <c r="AG807" s="224" t="str">
        <f>IFERROR(__xludf.DUMMYFUNCTION("""COMPUTED_VALUE"""),"")</f>
        <v/>
      </c>
    </row>
    <row r="808">
      <c r="AD808" s="224" t="str">
        <f>IFERROR(__xludf.DUMMYFUNCTION("""COMPUTED_VALUE"""),"")</f>
        <v/>
      </c>
      <c r="AE808" s="224"/>
      <c r="AF808" s="224" t="str">
        <f>IFERROR(__xludf.DUMMYFUNCTION("""COMPUTED_VALUE"""),"")</f>
        <v/>
      </c>
      <c r="AG808" s="224" t="str">
        <f>IFERROR(__xludf.DUMMYFUNCTION("""COMPUTED_VALUE"""),"")</f>
        <v/>
      </c>
    </row>
    <row r="809">
      <c r="AD809" s="224" t="str">
        <f>IFERROR(__xludf.DUMMYFUNCTION("""COMPUTED_VALUE"""),"")</f>
        <v/>
      </c>
      <c r="AE809" s="224"/>
      <c r="AF809" s="224" t="str">
        <f>IFERROR(__xludf.DUMMYFUNCTION("""COMPUTED_VALUE"""),"")</f>
        <v/>
      </c>
      <c r="AG809" s="224" t="str">
        <f>IFERROR(__xludf.DUMMYFUNCTION("""COMPUTED_VALUE"""),"")</f>
        <v/>
      </c>
    </row>
    <row r="810">
      <c r="AD810" s="224" t="str">
        <f>IFERROR(__xludf.DUMMYFUNCTION("""COMPUTED_VALUE"""),"")</f>
        <v/>
      </c>
      <c r="AE810" s="224"/>
      <c r="AF810" s="224" t="str">
        <f>IFERROR(__xludf.DUMMYFUNCTION("""COMPUTED_VALUE"""),"")</f>
        <v/>
      </c>
      <c r="AG810" s="224" t="str">
        <f>IFERROR(__xludf.DUMMYFUNCTION("""COMPUTED_VALUE"""),"")</f>
        <v/>
      </c>
    </row>
    <row r="811">
      <c r="AD811" s="224" t="str">
        <f>IFERROR(__xludf.DUMMYFUNCTION("""COMPUTED_VALUE"""),"")</f>
        <v/>
      </c>
      <c r="AE811" s="224"/>
      <c r="AF811" s="224" t="str">
        <f>IFERROR(__xludf.DUMMYFUNCTION("""COMPUTED_VALUE"""),"")</f>
        <v/>
      </c>
      <c r="AG811" s="224" t="str">
        <f>IFERROR(__xludf.DUMMYFUNCTION("""COMPUTED_VALUE"""),"")</f>
        <v/>
      </c>
    </row>
    <row r="812">
      <c r="AD812" s="224" t="str">
        <f>IFERROR(__xludf.DUMMYFUNCTION("""COMPUTED_VALUE"""),"")</f>
        <v/>
      </c>
      <c r="AE812" s="224"/>
      <c r="AF812" s="224" t="str">
        <f>IFERROR(__xludf.DUMMYFUNCTION("""COMPUTED_VALUE"""),"")</f>
        <v/>
      </c>
      <c r="AG812" s="224" t="str">
        <f>IFERROR(__xludf.DUMMYFUNCTION("""COMPUTED_VALUE"""),"")</f>
        <v/>
      </c>
    </row>
    <row r="813">
      <c r="AD813" s="224" t="str">
        <f>IFERROR(__xludf.DUMMYFUNCTION("""COMPUTED_VALUE"""),"")</f>
        <v/>
      </c>
      <c r="AE813" s="224"/>
      <c r="AF813" s="224" t="str">
        <f>IFERROR(__xludf.DUMMYFUNCTION("""COMPUTED_VALUE"""),"")</f>
        <v/>
      </c>
      <c r="AG813" s="224" t="str">
        <f>IFERROR(__xludf.DUMMYFUNCTION("""COMPUTED_VALUE"""),"")</f>
        <v/>
      </c>
    </row>
    <row r="814">
      <c r="AD814" s="224" t="str">
        <f>IFERROR(__xludf.DUMMYFUNCTION("""COMPUTED_VALUE"""),"")</f>
        <v/>
      </c>
      <c r="AE814" s="224"/>
      <c r="AF814" s="224" t="str">
        <f>IFERROR(__xludf.DUMMYFUNCTION("""COMPUTED_VALUE"""),"")</f>
        <v/>
      </c>
      <c r="AG814" s="224" t="str">
        <f>IFERROR(__xludf.DUMMYFUNCTION("""COMPUTED_VALUE"""),"")</f>
        <v/>
      </c>
    </row>
    <row r="815">
      <c r="AD815" s="224" t="str">
        <f>IFERROR(__xludf.DUMMYFUNCTION("""COMPUTED_VALUE"""),"")</f>
        <v/>
      </c>
      <c r="AE815" s="224"/>
      <c r="AF815" s="224" t="str">
        <f>IFERROR(__xludf.DUMMYFUNCTION("""COMPUTED_VALUE"""),"")</f>
        <v/>
      </c>
      <c r="AG815" s="224" t="str">
        <f>IFERROR(__xludf.DUMMYFUNCTION("""COMPUTED_VALUE"""),"")</f>
        <v/>
      </c>
    </row>
    <row r="816">
      <c r="AD816" s="224" t="str">
        <f>IFERROR(__xludf.DUMMYFUNCTION("""COMPUTED_VALUE"""),"")</f>
        <v/>
      </c>
      <c r="AE816" s="224"/>
      <c r="AF816" s="224" t="str">
        <f>IFERROR(__xludf.DUMMYFUNCTION("""COMPUTED_VALUE"""),"")</f>
        <v/>
      </c>
      <c r="AG816" s="224" t="str">
        <f>IFERROR(__xludf.DUMMYFUNCTION("""COMPUTED_VALUE"""),"")</f>
        <v/>
      </c>
    </row>
    <row r="817">
      <c r="AD817" s="224" t="str">
        <f>IFERROR(__xludf.DUMMYFUNCTION("""COMPUTED_VALUE"""),"")</f>
        <v/>
      </c>
      <c r="AE817" s="224"/>
      <c r="AF817" s="224" t="str">
        <f>IFERROR(__xludf.DUMMYFUNCTION("""COMPUTED_VALUE"""),"")</f>
        <v/>
      </c>
      <c r="AG817" s="224" t="str">
        <f>IFERROR(__xludf.DUMMYFUNCTION("""COMPUTED_VALUE"""),"")</f>
        <v/>
      </c>
    </row>
    <row r="818">
      <c r="AD818" s="224" t="str">
        <f>IFERROR(__xludf.DUMMYFUNCTION("""COMPUTED_VALUE"""),"")</f>
        <v/>
      </c>
      <c r="AE818" s="224"/>
      <c r="AF818" s="224" t="str">
        <f>IFERROR(__xludf.DUMMYFUNCTION("""COMPUTED_VALUE"""),"")</f>
        <v/>
      </c>
      <c r="AG818" s="224" t="str">
        <f>IFERROR(__xludf.DUMMYFUNCTION("""COMPUTED_VALUE"""),"")</f>
        <v/>
      </c>
    </row>
    <row r="819">
      <c r="AD819" s="224" t="str">
        <f>IFERROR(__xludf.DUMMYFUNCTION("""COMPUTED_VALUE"""),"")</f>
        <v/>
      </c>
      <c r="AE819" s="224"/>
      <c r="AF819" s="224" t="str">
        <f>IFERROR(__xludf.DUMMYFUNCTION("""COMPUTED_VALUE"""),"")</f>
        <v/>
      </c>
      <c r="AG819" s="224" t="str">
        <f>IFERROR(__xludf.DUMMYFUNCTION("""COMPUTED_VALUE"""),"")</f>
        <v/>
      </c>
    </row>
    <row r="820">
      <c r="AD820" s="224" t="str">
        <f>IFERROR(__xludf.DUMMYFUNCTION("""COMPUTED_VALUE"""),"")</f>
        <v/>
      </c>
      <c r="AE820" s="224"/>
      <c r="AF820" s="224" t="str">
        <f>IFERROR(__xludf.DUMMYFUNCTION("""COMPUTED_VALUE"""),"")</f>
        <v/>
      </c>
      <c r="AG820" s="224" t="str">
        <f>IFERROR(__xludf.DUMMYFUNCTION("""COMPUTED_VALUE"""),"")</f>
        <v/>
      </c>
    </row>
    <row r="821">
      <c r="AD821" s="224" t="str">
        <f>IFERROR(__xludf.DUMMYFUNCTION("""COMPUTED_VALUE"""),"")</f>
        <v/>
      </c>
      <c r="AE821" s="224"/>
      <c r="AF821" s="224" t="str">
        <f>IFERROR(__xludf.DUMMYFUNCTION("""COMPUTED_VALUE"""),"")</f>
        <v/>
      </c>
      <c r="AG821" s="224" t="str">
        <f>IFERROR(__xludf.DUMMYFUNCTION("""COMPUTED_VALUE"""),"")</f>
        <v/>
      </c>
    </row>
    <row r="822">
      <c r="AD822" s="224" t="str">
        <f>IFERROR(__xludf.DUMMYFUNCTION("""COMPUTED_VALUE"""),"")</f>
        <v/>
      </c>
      <c r="AE822" s="224"/>
      <c r="AF822" s="224" t="str">
        <f>IFERROR(__xludf.DUMMYFUNCTION("""COMPUTED_VALUE"""),"")</f>
        <v/>
      </c>
      <c r="AG822" s="224" t="str">
        <f>IFERROR(__xludf.DUMMYFUNCTION("""COMPUTED_VALUE"""),"")</f>
        <v/>
      </c>
    </row>
    <row r="823">
      <c r="AD823" s="224" t="str">
        <f>IFERROR(__xludf.DUMMYFUNCTION("""COMPUTED_VALUE"""),"")</f>
        <v/>
      </c>
      <c r="AE823" s="224"/>
      <c r="AF823" s="224" t="str">
        <f>IFERROR(__xludf.DUMMYFUNCTION("""COMPUTED_VALUE"""),"")</f>
        <v/>
      </c>
      <c r="AG823" s="224" t="str">
        <f>IFERROR(__xludf.DUMMYFUNCTION("""COMPUTED_VALUE"""),"")</f>
        <v/>
      </c>
    </row>
    <row r="824">
      <c r="AD824" s="224" t="str">
        <f>IFERROR(__xludf.DUMMYFUNCTION("""COMPUTED_VALUE"""),"")</f>
        <v/>
      </c>
      <c r="AE824" s="224"/>
      <c r="AF824" s="224" t="str">
        <f>IFERROR(__xludf.DUMMYFUNCTION("""COMPUTED_VALUE"""),"")</f>
        <v/>
      </c>
      <c r="AG824" s="224" t="str">
        <f>IFERROR(__xludf.DUMMYFUNCTION("""COMPUTED_VALUE"""),"")</f>
        <v/>
      </c>
    </row>
    <row r="825">
      <c r="AD825" s="224" t="str">
        <f>IFERROR(__xludf.DUMMYFUNCTION("""COMPUTED_VALUE"""),"")</f>
        <v/>
      </c>
      <c r="AE825" s="224"/>
      <c r="AF825" s="224" t="str">
        <f>IFERROR(__xludf.DUMMYFUNCTION("""COMPUTED_VALUE"""),"")</f>
        <v/>
      </c>
      <c r="AG825" s="224" t="str">
        <f>IFERROR(__xludf.DUMMYFUNCTION("""COMPUTED_VALUE"""),"")</f>
        <v/>
      </c>
    </row>
    <row r="826">
      <c r="AD826" s="224" t="str">
        <f>IFERROR(__xludf.DUMMYFUNCTION("""COMPUTED_VALUE"""),"")</f>
        <v/>
      </c>
      <c r="AE826" s="224"/>
      <c r="AF826" s="224" t="str">
        <f>IFERROR(__xludf.DUMMYFUNCTION("""COMPUTED_VALUE"""),"")</f>
        <v/>
      </c>
      <c r="AG826" s="224" t="str">
        <f>IFERROR(__xludf.DUMMYFUNCTION("""COMPUTED_VALUE"""),"")</f>
        <v/>
      </c>
    </row>
    <row r="827">
      <c r="AD827" s="224" t="str">
        <f>IFERROR(__xludf.DUMMYFUNCTION("""COMPUTED_VALUE"""),"")</f>
        <v/>
      </c>
      <c r="AE827" s="224"/>
      <c r="AF827" s="224" t="str">
        <f>IFERROR(__xludf.DUMMYFUNCTION("""COMPUTED_VALUE"""),"")</f>
        <v/>
      </c>
      <c r="AG827" s="224" t="str">
        <f>IFERROR(__xludf.DUMMYFUNCTION("""COMPUTED_VALUE"""),"")</f>
        <v/>
      </c>
    </row>
    <row r="828">
      <c r="AD828" s="224" t="str">
        <f>IFERROR(__xludf.DUMMYFUNCTION("""COMPUTED_VALUE"""),"")</f>
        <v/>
      </c>
      <c r="AE828" s="224"/>
      <c r="AF828" s="224" t="str">
        <f>IFERROR(__xludf.DUMMYFUNCTION("""COMPUTED_VALUE"""),"")</f>
        <v/>
      </c>
      <c r="AG828" s="224" t="str">
        <f>IFERROR(__xludf.DUMMYFUNCTION("""COMPUTED_VALUE"""),"")</f>
        <v/>
      </c>
    </row>
    <row r="829">
      <c r="AD829" s="224" t="str">
        <f>IFERROR(__xludf.DUMMYFUNCTION("""COMPUTED_VALUE"""),"")</f>
        <v/>
      </c>
      <c r="AE829" s="224"/>
      <c r="AF829" s="224" t="str">
        <f>IFERROR(__xludf.DUMMYFUNCTION("""COMPUTED_VALUE"""),"")</f>
        <v/>
      </c>
      <c r="AG829" s="224" t="str">
        <f>IFERROR(__xludf.DUMMYFUNCTION("""COMPUTED_VALUE"""),"")</f>
        <v/>
      </c>
    </row>
    <row r="830">
      <c r="AD830" s="224" t="str">
        <f>IFERROR(__xludf.DUMMYFUNCTION("""COMPUTED_VALUE"""),"")</f>
        <v/>
      </c>
      <c r="AE830" s="224"/>
      <c r="AF830" s="224" t="str">
        <f>IFERROR(__xludf.DUMMYFUNCTION("""COMPUTED_VALUE"""),"")</f>
        <v/>
      </c>
      <c r="AG830" s="224" t="str">
        <f>IFERROR(__xludf.DUMMYFUNCTION("""COMPUTED_VALUE"""),"")</f>
        <v/>
      </c>
    </row>
    <row r="831">
      <c r="AD831" s="224" t="str">
        <f>IFERROR(__xludf.DUMMYFUNCTION("""COMPUTED_VALUE"""),"")</f>
        <v/>
      </c>
      <c r="AE831" s="224"/>
      <c r="AF831" s="224" t="str">
        <f>IFERROR(__xludf.DUMMYFUNCTION("""COMPUTED_VALUE"""),"")</f>
        <v/>
      </c>
      <c r="AG831" s="224" t="str">
        <f>IFERROR(__xludf.DUMMYFUNCTION("""COMPUTED_VALUE"""),"")</f>
        <v/>
      </c>
    </row>
    <row r="832">
      <c r="AD832" s="224" t="str">
        <f>IFERROR(__xludf.DUMMYFUNCTION("""COMPUTED_VALUE"""),"")</f>
        <v/>
      </c>
      <c r="AE832" s="224"/>
      <c r="AF832" s="224" t="str">
        <f>IFERROR(__xludf.DUMMYFUNCTION("""COMPUTED_VALUE"""),"")</f>
        <v/>
      </c>
      <c r="AG832" s="224" t="str">
        <f>IFERROR(__xludf.DUMMYFUNCTION("""COMPUTED_VALUE"""),"")</f>
        <v/>
      </c>
    </row>
    <row r="833">
      <c r="AD833" s="224" t="str">
        <f>IFERROR(__xludf.DUMMYFUNCTION("""COMPUTED_VALUE"""),"")</f>
        <v/>
      </c>
      <c r="AE833" s="224"/>
      <c r="AF833" s="224" t="str">
        <f>IFERROR(__xludf.DUMMYFUNCTION("""COMPUTED_VALUE"""),"")</f>
        <v/>
      </c>
      <c r="AG833" s="224" t="str">
        <f>IFERROR(__xludf.DUMMYFUNCTION("""COMPUTED_VALUE"""),"")</f>
        <v/>
      </c>
    </row>
    <row r="834">
      <c r="AD834" s="224" t="str">
        <f>IFERROR(__xludf.DUMMYFUNCTION("""COMPUTED_VALUE"""),"")</f>
        <v/>
      </c>
      <c r="AE834" s="224"/>
      <c r="AF834" s="224" t="str">
        <f>IFERROR(__xludf.DUMMYFUNCTION("""COMPUTED_VALUE"""),"")</f>
        <v/>
      </c>
      <c r="AG834" s="224" t="str">
        <f>IFERROR(__xludf.DUMMYFUNCTION("""COMPUTED_VALUE"""),"")</f>
        <v/>
      </c>
    </row>
    <row r="835">
      <c r="AD835" s="224" t="str">
        <f>IFERROR(__xludf.DUMMYFUNCTION("""COMPUTED_VALUE"""),"")</f>
        <v/>
      </c>
      <c r="AE835" s="224"/>
      <c r="AF835" s="224" t="str">
        <f>IFERROR(__xludf.DUMMYFUNCTION("""COMPUTED_VALUE"""),"")</f>
        <v/>
      </c>
      <c r="AG835" s="224" t="str">
        <f>IFERROR(__xludf.DUMMYFUNCTION("""COMPUTED_VALUE"""),"")</f>
        <v/>
      </c>
    </row>
    <row r="836">
      <c r="AD836" s="224" t="str">
        <f>IFERROR(__xludf.DUMMYFUNCTION("""COMPUTED_VALUE"""),"")</f>
        <v/>
      </c>
      <c r="AE836" s="224"/>
      <c r="AF836" s="224" t="str">
        <f>IFERROR(__xludf.DUMMYFUNCTION("""COMPUTED_VALUE"""),"")</f>
        <v/>
      </c>
      <c r="AG836" s="224" t="str">
        <f>IFERROR(__xludf.DUMMYFUNCTION("""COMPUTED_VALUE"""),"")</f>
        <v/>
      </c>
    </row>
    <row r="837">
      <c r="AD837" s="224" t="str">
        <f>IFERROR(__xludf.DUMMYFUNCTION("""COMPUTED_VALUE"""),"")</f>
        <v/>
      </c>
      <c r="AE837" s="224"/>
      <c r="AF837" s="224" t="str">
        <f>IFERROR(__xludf.DUMMYFUNCTION("""COMPUTED_VALUE"""),"")</f>
        <v/>
      </c>
      <c r="AG837" s="224" t="str">
        <f>IFERROR(__xludf.DUMMYFUNCTION("""COMPUTED_VALUE"""),"")</f>
        <v/>
      </c>
    </row>
    <row r="838">
      <c r="AD838" s="224" t="str">
        <f>IFERROR(__xludf.DUMMYFUNCTION("""COMPUTED_VALUE"""),"")</f>
        <v/>
      </c>
      <c r="AE838" s="224"/>
      <c r="AF838" s="224" t="str">
        <f>IFERROR(__xludf.DUMMYFUNCTION("""COMPUTED_VALUE"""),"")</f>
        <v/>
      </c>
      <c r="AG838" s="224" t="str">
        <f>IFERROR(__xludf.DUMMYFUNCTION("""COMPUTED_VALUE"""),"")</f>
        <v/>
      </c>
    </row>
    <row r="839">
      <c r="AD839" s="224" t="str">
        <f>IFERROR(__xludf.DUMMYFUNCTION("""COMPUTED_VALUE"""),"")</f>
        <v/>
      </c>
      <c r="AE839" s="224"/>
      <c r="AF839" s="224" t="str">
        <f>IFERROR(__xludf.DUMMYFUNCTION("""COMPUTED_VALUE"""),"")</f>
        <v/>
      </c>
      <c r="AG839" s="224" t="str">
        <f>IFERROR(__xludf.DUMMYFUNCTION("""COMPUTED_VALUE"""),"")</f>
        <v/>
      </c>
    </row>
    <row r="840">
      <c r="AD840" s="224" t="str">
        <f>IFERROR(__xludf.DUMMYFUNCTION("""COMPUTED_VALUE"""),"")</f>
        <v/>
      </c>
      <c r="AE840" s="224"/>
      <c r="AF840" s="224" t="str">
        <f>IFERROR(__xludf.DUMMYFUNCTION("""COMPUTED_VALUE"""),"")</f>
        <v/>
      </c>
      <c r="AG840" s="224" t="str">
        <f>IFERROR(__xludf.DUMMYFUNCTION("""COMPUTED_VALUE"""),"")</f>
        <v/>
      </c>
    </row>
    <row r="841">
      <c r="AD841" s="224" t="str">
        <f>IFERROR(__xludf.DUMMYFUNCTION("""COMPUTED_VALUE"""),"")</f>
        <v/>
      </c>
      <c r="AE841" s="224"/>
      <c r="AF841" s="224" t="str">
        <f>IFERROR(__xludf.DUMMYFUNCTION("""COMPUTED_VALUE"""),"")</f>
        <v/>
      </c>
      <c r="AG841" s="224" t="str">
        <f>IFERROR(__xludf.DUMMYFUNCTION("""COMPUTED_VALUE"""),"")</f>
        <v/>
      </c>
    </row>
    <row r="842">
      <c r="AD842" s="224" t="str">
        <f>IFERROR(__xludf.DUMMYFUNCTION("""COMPUTED_VALUE"""),"")</f>
        <v/>
      </c>
      <c r="AE842" s="224"/>
      <c r="AF842" s="224" t="str">
        <f>IFERROR(__xludf.DUMMYFUNCTION("""COMPUTED_VALUE"""),"")</f>
        <v/>
      </c>
      <c r="AG842" s="224" t="str">
        <f>IFERROR(__xludf.DUMMYFUNCTION("""COMPUTED_VALUE"""),"")</f>
        <v/>
      </c>
    </row>
    <row r="843">
      <c r="AD843" s="224" t="str">
        <f>IFERROR(__xludf.DUMMYFUNCTION("""COMPUTED_VALUE"""),"")</f>
        <v/>
      </c>
      <c r="AE843" s="224"/>
      <c r="AF843" s="224" t="str">
        <f>IFERROR(__xludf.DUMMYFUNCTION("""COMPUTED_VALUE"""),"")</f>
        <v/>
      </c>
      <c r="AG843" s="224" t="str">
        <f>IFERROR(__xludf.DUMMYFUNCTION("""COMPUTED_VALUE"""),"")</f>
        <v/>
      </c>
    </row>
    <row r="844">
      <c r="AD844" s="224" t="str">
        <f>IFERROR(__xludf.DUMMYFUNCTION("""COMPUTED_VALUE"""),"")</f>
        <v/>
      </c>
      <c r="AE844" s="224"/>
      <c r="AF844" s="224" t="str">
        <f>IFERROR(__xludf.DUMMYFUNCTION("""COMPUTED_VALUE"""),"")</f>
        <v/>
      </c>
      <c r="AG844" s="224" t="str">
        <f>IFERROR(__xludf.DUMMYFUNCTION("""COMPUTED_VALUE"""),"")</f>
        <v/>
      </c>
    </row>
    <row r="845">
      <c r="AD845" s="224" t="str">
        <f>IFERROR(__xludf.DUMMYFUNCTION("""COMPUTED_VALUE"""),"")</f>
        <v/>
      </c>
      <c r="AE845" s="224"/>
      <c r="AF845" s="224" t="str">
        <f>IFERROR(__xludf.DUMMYFUNCTION("""COMPUTED_VALUE"""),"")</f>
        <v/>
      </c>
      <c r="AG845" s="224" t="str">
        <f>IFERROR(__xludf.DUMMYFUNCTION("""COMPUTED_VALUE"""),"")</f>
        <v/>
      </c>
    </row>
    <row r="846">
      <c r="AD846" s="224" t="str">
        <f>IFERROR(__xludf.DUMMYFUNCTION("""COMPUTED_VALUE"""),"")</f>
        <v/>
      </c>
      <c r="AE846" s="224"/>
      <c r="AF846" s="224" t="str">
        <f>IFERROR(__xludf.DUMMYFUNCTION("""COMPUTED_VALUE"""),"")</f>
        <v/>
      </c>
      <c r="AG846" s="224" t="str">
        <f>IFERROR(__xludf.DUMMYFUNCTION("""COMPUTED_VALUE"""),"")</f>
        <v/>
      </c>
    </row>
    <row r="847">
      <c r="AD847" s="224" t="str">
        <f>IFERROR(__xludf.DUMMYFUNCTION("""COMPUTED_VALUE"""),"")</f>
        <v/>
      </c>
      <c r="AE847" s="224"/>
      <c r="AF847" s="224" t="str">
        <f>IFERROR(__xludf.DUMMYFUNCTION("""COMPUTED_VALUE"""),"")</f>
        <v/>
      </c>
      <c r="AG847" s="224" t="str">
        <f>IFERROR(__xludf.DUMMYFUNCTION("""COMPUTED_VALUE"""),"")</f>
        <v/>
      </c>
    </row>
    <row r="848">
      <c r="AD848" s="224" t="str">
        <f>IFERROR(__xludf.DUMMYFUNCTION("""COMPUTED_VALUE"""),"")</f>
        <v/>
      </c>
      <c r="AE848" s="224"/>
      <c r="AF848" s="224" t="str">
        <f>IFERROR(__xludf.DUMMYFUNCTION("""COMPUTED_VALUE"""),"")</f>
        <v/>
      </c>
      <c r="AG848" s="224" t="str">
        <f>IFERROR(__xludf.DUMMYFUNCTION("""COMPUTED_VALUE"""),"")</f>
        <v/>
      </c>
    </row>
    <row r="849">
      <c r="AD849" s="224" t="str">
        <f>IFERROR(__xludf.DUMMYFUNCTION("""COMPUTED_VALUE"""),"")</f>
        <v/>
      </c>
      <c r="AE849" s="224"/>
      <c r="AF849" s="224" t="str">
        <f>IFERROR(__xludf.DUMMYFUNCTION("""COMPUTED_VALUE"""),"")</f>
        <v/>
      </c>
      <c r="AG849" s="224" t="str">
        <f>IFERROR(__xludf.DUMMYFUNCTION("""COMPUTED_VALUE"""),"")</f>
        <v/>
      </c>
    </row>
    <row r="850">
      <c r="AD850" s="224" t="str">
        <f>IFERROR(__xludf.DUMMYFUNCTION("""COMPUTED_VALUE"""),"")</f>
        <v/>
      </c>
      <c r="AE850" s="224"/>
      <c r="AF850" s="224" t="str">
        <f>IFERROR(__xludf.DUMMYFUNCTION("""COMPUTED_VALUE"""),"")</f>
        <v/>
      </c>
      <c r="AG850" s="224" t="str">
        <f>IFERROR(__xludf.DUMMYFUNCTION("""COMPUTED_VALUE"""),"")</f>
        <v/>
      </c>
    </row>
    <row r="851">
      <c r="AD851" s="224" t="str">
        <f>IFERROR(__xludf.DUMMYFUNCTION("""COMPUTED_VALUE"""),"")</f>
        <v/>
      </c>
      <c r="AE851" s="224"/>
      <c r="AF851" s="224" t="str">
        <f>IFERROR(__xludf.DUMMYFUNCTION("""COMPUTED_VALUE"""),"")</f>
        <v/>
      </c>
      <c r="AG851" s="224" t="str">
        <f>IFERROR(__xludf.DUMMYFUNCTION("""COMPUTED_VALUE"""),"")</f>
        <v/>
      </c>
    </row>
    <row r="852">
      <c r="AD852" s="224" t="str">
        <f>IFERROR(__xludf.DUMMYFUNCTION("""COMPUTED_VALUE"""),"")</f>
        <v/>
      </c>
      <c r="AE852" s="224"/>
      <c r="AF852" s="224" t="str">
        <f>IFERROR(__xludf.DUMMYFUNCTION("""COMPUTED_VALUE"""),"")</f>
        <v/>
      </c>
      <c r="AG852" s="224" t="str">
        <f>IFERROR(__xludf.DUMMYFUNCTION("""COMPUTED_VALUE"""),"")</f>
        <v/>
      </c>
    </row>
    <row r="853">
      <c r="AD853" s="224" t="str">
        <f>IFERROR(__xludf.DUMMYFUNCTION("""COMPUTED_VALUE"""),"")</f>
        <v/>
      </c>
      <c r="AE853" s="224"/>
      <c r="AF853" s="224" t="str">
        <f>IFERROR(__xludf.DUMMYFUNCTION("""COMPUTED_VALUE"""),"")</f>
        <v/>
      </c>
      <c r="AG853" s="224" t="str">
        <f>IFERROR(__xludf.DUMMYFUNCTION("""COMPUTED_VALUE"""),"")</f>
        <v/>
      </c>
    </row>
    <row r="854">
      <c r="AD854" s="224" t="str">
        <f>IFERROR(__xludf.DUMMYFUNCTION("""COMPUTED_VALUE"""),"")</f>
        <v/>
      </c>
      <c r="AE854" s="224"/>
      <c r="AF854" s="224" t="str">
        <f>IFERROR(__xludf.DUMMYFUNCTION("""COMPUTED_VALUE"""),"")</f>
        <v/>
      </c>
      <c r="AG854" s="224" t="str">
        <f>IFERROR(__xludf.DUMMYFUNCTION("""COMPUTED_VALUE"""),"")</f>
        <v/>
      </c>
    </row>
    <row r="855">
      <c r="AD855" s="224" t="str">
        <f>IFERROR(__xludf.DUMMYFUNCTION("""COMPUTED_VALUE"""),"")</f>
        <v/>
      </c>
      <c r="AE855" s="224"/>
      <c r="AF855" s="224" t="str">
        <f>IFERROR(__xludf.DUMMYFUNCTION("""COMPUTED_VALUE"""),"")</f>
        <v/>
      </c>
      <c r="AG855" s="224" t="str">
        <f>IFERROR(__xludf.DUMMYFUNCTION("""COMPUTED_VALUE"""),"")</f>
        <v/>
      </c>
    </row>
    <row r="856">
      <c r="AD856" s="224" t="str">
        <f>IFERROR(__xludf.DUMMYFUNCTION("""COMPUTED_VALUE"""),"")</f>
        <v/>
      </c>
      <c r="AE856" s="224"/>
      <c r="AF856" s="224" t="str">
        <f>IFERROR(__xludf.DUMMYFUNCTION("""COMPUTED_VALUE"""),"")</f>
        <v/>
      </c>
      <c r="AG856" s="224" t="str">
        <f>IFERROR(__xludf.DUMMYFUNCTION("""COMPUTED_VALUE"""),"")</f>
        <v/>
      </c>
    </row>
    <row r="857">
      <c r="AD857" s="224" t="str">
        <f>IFERROR(__xludf.DUMMYFUNCTION("""COMPUTED_VALUE"""),"")</f>
        <v/>
      </c>
      <c r="AE857" s="224"/>
      <c r="AF857" s="224" t="str">
        <f>IFERROR(__xludf.DUMMYFUNCTION("""COMPUTED_VALUE"""),"")</f>
        <v/>
      </c>
      <c r="AG857" s="224" t="str">
        <f>IFERROR(__xludf.DUMMYFUNCTION("""COMPUTED_VALUE"""),"")</f>
        <v/>
      </c>
    </row>
    <row r="858">
      <c r="AD858" s="224" t="str">
        <f>IFERROR(__xludf.DUMMYFUNCTION("""COMPUTED_VALUE"""),"")</f>
        <v/>
      </c>
      <c r="AE858" s="224"/>
      <c r="AF858" s="224" t="str">
        <f>IFERROR(__xludf.DUMMYFUNCTION("""COMPUTED_VALUE"""),"")</f>
        <v/>
      </c>
      <c r="AG858" s="224" t="str">
        <f>IFERROR(__xludf.DUMMYFUNCTION("""COMPUTED_VALUE"""),"")</f>
        <v/>
      </c>
    </row>
    <row r="859">
      <c r="AD859" s="224" t="str">
        <f>IFERROR(__xludf.DUMMYFUNCTION("""COMPUTED_VALUE"""),"")</f>
        <v/>
      </c>
      <c r="AE859" s="224"/>
      <c r="AF859" s="224" t="str">
        <f>IFERROR(__xludf.DUMMYFUNCTION("""COMPUTED_VALUE"""),"")</f>
        <v/>
      </c>
      <c r="AG859" s="224" t="str">
        <f>IFERROR(__xludf.DUMMYFUNCTION("""COMPUTED_VALUE"""),"")</f>
        <v/>
      </c>
    </row>
    <row r="860">
      <c r="AD860" s="224" t="str">
        <f>IFERROR(__xludf.DUMMYFUNCTION("""COMPUTED_VALUE"""),"")</f>
        <v/>
      </c>
      <c r="AE860" s="224"/>
      <c r="AF860" s="224" t="str">
        <f>IFERROR(__xludf.DUMMYFUNCTION("""COMPUTED_VALUE"""),"")</f>
        <v/>
      </c>
      <c r="AG860" s="224" t="str">
        <f>IFERROR(__xludf.DUMMYFUNCTION("""COMPUTED_VALUE"""),"")</f>
        <v/>
      </c>
    </row>
    <row r="861">
      <c r="AD861" s="224" t="str">
        <f>IFERROR(__xludf.DUMMYFUNCTION("""COMPUTED_VALUE"""),"")</f>
        <v/>
      </c>
      <c r="AE861" s="224"/>
      <c r="AF861" s="224" t="str">
        <f>IFERROR(__xludf.DUMMYFUNCTION("""COMPUTED_VALUE"""),"")</f>
        <v/>
      </c>
      <c r="AG861" s="224" t="str">
        <f>IFERROR(__xludf.DUMMYFUNCTION("""COMPUTED_VALUE"""),"")</f>
        <v/>
      </c>
    </row>
    <row r="862">
      <c r="AD862" s="224" t="str">
        <f>IFERROR(__xludf.DUMMYFUNCTION("""COMPUTED_VALUE"""),"")</f>
        <v/>
      </c>
      <c r="AE862" s="224"/>
      <c r="AF862" s="224" t="str">
        <f>IFERROR(__xludf.DUMMYFUNCTION("""COMPUTED_VALUE"""),"")</f>
        <v/>
      </c>
      <c r="AG862" s="224" t="str">
        <f>IFERROR(__xludf.DUMMYFUNCTION("""COMPUTED_VALUE"""),"")</f>
        <v/>
      </c>
    </row>
    <row r="863">
      <c r="AD863" s="224" t="str">
        <f>IFERROR(__xludf.DUMMYFUNCTION("""COMPUTED_VALUE"""),"")</f>
        <v/>
      </c>
      <c r="AE863" s="224"/>
      <c r="AF863" s="224" t="str">
        <f>IFERROR(__xludf.DUMMYFUNCTION("""COMPUTED_VALUE"""),"")</f>
        <v/>
      </c>
      <c r="AG863" s="224" t="str">
        <f>IFERROR(__xludf.DUMMYFUNCTION("""COMPUTED_VALUE"""),"")</f>
        <v/>
      </c>
    </row>
    <row r="864">
      <c r="AD864" s="224" t="str">
        <f>IFERROR(__xludf.DUMMYFUNCTION("""COMPUTED_VALUE"""),"")</f>
        <v/>
      </c>
      <c r="AE864" s="224"/>
      <c r="AF864" s="224" t="str">
        <f>IFERROR(__xludf.DUMMYFUNCTION("""COMPUTED_VALUE"""),"")</f>
        <v/>
      </c>
      <c r="AG864" s="224" t="str">
        <f>IFERROR(__xludf.DUMMYFUNCTION("""COMPUTED_VALUE"""),"")</f>
        <v/>
      </c>
    </row>
    <row r="865">
      <c r="AD865" s="224" t="str">
        <f>IFERROR(__xludf.DUMMYFUNCTION("""COMPUTED_VALUE"""),"")</f>
        <v/>
      </c>
      <c r="AE865" s="224"/>
      <c r="AF865" s="224" t="str">
        <f>IFERROR(__xludf.DUMMYFUNCTION("""COMPUTED_VALUE"""),"")</f>
        <v/>
      </c>
      <c r="AG865" s="224" t="str">
        <f>IFERROR(__xludf.DUMMYFUNCTION("""COMPUTED_VALUE"""),"")</f>
        <v/>
      </c>
    </row>
    <row r="866">
      <c r="AD866" s="224" t="str">
        <f>IFERROR(__xludf.DUMMYFUNCTION("""COMPUTED_VALUE"""),"")</f>
        <v/>
      </c>
      <c r="AE866" s="224"/>
      <c r="AF866" s="224" t="str">
        <f>IFERROR(__xludf.DUMMYFUNCTION("""COMPUTED_VALUE"""),"")</f>
        <v/>
      </c>
      <c r="AG866" s="224" t="str">
        <f>IFERROR(__xludf.DUMMYFUNCTION("""COMPUTED_VALUE"""),"")</f>
        <v/>
      </c>
    </row>
    <row r="867">
      <c r="AD867" s="224" t="str">
        <f>IFERROR(__xludf.DUMMYFUNCTION("""COMPUTED_VALUE"""),"")</f>
        <v/>
      </c>
      <c r="AE867" s="224"/>
      <c r="AF867" s="224" t="str">
        <f>IFERROR(__xludf.DUMMYFUNCTION("""COMPUTED_VALUE"""),"")</f>
        <v/>
      </c>
      <c r="AG867" s="224" t="str">
        <f>IFERROR(__xludf.DUMMYFUNCTION("""COMPUTED_VALUE"""),"")</f>
        <v/>
      </c>
    </row>
    <row r="868">
      <c r="AD868" s="224" t="str">
        <f>IFERROR(__xludf.DUMMYFUNCTION("""COMPUTED_VALUE"""),"")</f>
        <v/>
      </c>
      <c r="AE868" s="224"/>
      <c r="AF868" s="224" t="str">
        <f>IFERROR(__xludf.DUMMYFUNCTION("""COMPUTED_VALUE"""),"")</f>
        <v/>
      </c>
      <c r="AG868" s="224" t="str">
        <f>IFERROR(__xludf.DUMMYFUNCTION("""COMPUTED_VALUE"""),"")</f>
        <v/>
      </c>
    </row>
    <row r="869">
      <c r="AD869" s="224" t="str">
        <f>IFERROR(__xludf.DUMMYFUNCTION("""COMPUTED_VALUE"""),"")</f>
        <v/>
      </c>
      <c r="AE869" s="224"/>
      <c r="AF869" s="224" t="str">
        <f>IFERROR(__xludf.DUMMYFUNCTION("""COMPUTED_VALUE"""),"")</f>
        <v/>
      </c>
      <c r="AG869" s="224" t="str">
        <f>IFERROR(__xludf.DUMMYFUNCTION("""COMPUTED_VALUE"""),"")</f>
        <v/>
      </c>
    </row>
    <row r="870">
      <c r="AD870" s="224" t="str">
        <f>IFERROR(__xludf.DUMMYFUNCTION("""COMPUTED_VALUE"""),"")</f>
        <v/>
      </c>
      <c r="AE870" s="224"/>
      <c r="AF870" s="224" t="str">
        <f>IFERROR(__xludf.DUMMYFUNCTION("""COMPUTED_VALUE"""),"")</f>
        <v/>
      </c>
      <c r="AG870" s="224" t="str">
        <f>IFERROR(__xludf.DUMMYFUNCTION("""COMPUTED_VALUE"""),"")</f>
        <v/>
      </c>
    </row>
    <row r="871">
      <c r="AD871" s="224" t="str">
        <f>IFERROR(__xludf.DUMMYFUNCTION("""COMPUTED_VALUE"""),"")</f>
        <v/>
      </c>
      <c r="AE871" s="224"/>
      <c r="AF871" s="224" t="str">
        <f>IFERROR(__xludf.DUMMYFUNCTION("""COMPUTED_VALUE"""),"")</f>
        <v/>
      </c>
      <c r="AG871" s="224" t="str">
        <f>IFERROR(__xludf.DUMMYFUNCTION("""COMPUTED_VALUE"""),"")</f>
        <v/>
      </c>
    </row>
    <row r="872">
      <c r="AD872" s="224" t="str">
        <f>IFERROR(__xludf.DUMMYFUNCTION("""COMPUTED_VALUE"""),"")</f>
        <v/>
      </c>
      <c r="AE872" s="224"/>
      <c r="AF872" s="224" t="str">
        <f>IFERROR(__xludf.DUMMYFUNCTION("""COMPUTED_VALUE"""),"")</f>
        <v/>
      </c>
      <c r="AG872" s="224" t="str">
        <f>IFERROR(__xludf.DUMMYFUNCTION("""COMPUTED_VALUE"""),"")</f>
        <v/>
      </c>
    </row>
    <row r="873">
      <c r="AD873" s="224" t="str">
        <f>IFERROR(__xludf.DUMMYFUNCTION("""COMPUTED_VALUE"""),"")</f>
        <v/>
      </c>
      <c r="AE873" s="224"/>
      <c r="AF873" s="224" t="str">
        <f>IFERROR(__xludf.DUMMYFUNCTION("""COMPUTED_VALUE"""),"")</f>
        <v/>
      </c>
      <c r="AG873" s="224" t="str">
        <f>IFERROR(__xludf.DUMMYFUNCTION("""COMPUTED_VALUE"""),"")</f>
        <v/>
      </c>
    </row>
    <row r="874">
      <c r="AD874" s="224" t="str">
        <f>IFERROR(__xludf.DUMMYFUNCTION("""COMPUTED_VALUE"""),"")</f>
        <v/>
      </c>
      <c r="AE874" s="224"/>
      <c r="AF874" s="224" t="str">
        <f>IFERROR(__xludf.DUMMYFUNCTION("""COMPUTED_VALUE"""),"")</f>
        <v/>
      </c>
      <c r="AG874" s="224" t="str">
        <f>IFERROR(__xludf.DUMMYFUNCTION("""COMPUTED_VALUE"""),"")</f>
        <v/>
      </c>
    </row>
    <row r="875">
      <c r="AD875" s="224" t="str">
        <f>IFERROR(__xludf.DUMMYFUNCTION("""COMPUTED_VALUE"""),"")</f>
        <v/>
      </c>
      <c r="AE875" s="224"/>
      <c r="AF875" s="224" t="str">
        <f>IFERROR(__xludf.DUMMYFUNCTION("""COMPUTED_VALUE"""),"")</f>
        <v/>
      </c>
      <c r="AG875" s="224" t="str">
        <f>IFERROR(__xludf.DUMMYFUNCTION("""COMPUTED_VALUE"""),"")</f>
        <v/>
      </c>
    </row>
    <row r="876">
      <c r="AD876" s="224" t="str">
        <f>IFERROR(__xludf.DUMMYFUNCTION("""COMPUTED_VALUE"""),"")</f>
        <v/>
      </c>
      <c r="AE876" s="224"/>
      <c r="AF876" s="224" t="str">
        <f>IFERROR(__xludf.DUMMYFUNCTION("""COMPUTED_VALUE"""),"")</f>
        <v/>
      </c>
      <c r="AG876" s="224" t="str">
        <f>IFERROR(__xludf.DUMMYFUNCTION("""COMPUTED_VALUE"""),"")</f>
        <v/>
      </c>
    </row>
    <row r="877">
      <c r="AD877" s="224" t="str">
        <f>IFERROR(__xludf.DUMMYFUNCTION("""COMPUTED_VALUE"""),"")</f>
        <v/>
      </c>
      <c r="AE877" s="224"/>
      <c r="AF877" s="224" t="str">
        <f>IFERROR(__xludf.DUMMYFUNCTION("""COMPUTED_VALUE"""),"")</f>
        <v/>
      </c>
      <c r="AG877" s="224" t="str">
        <f>IFERROR(__xludf.DUMMYFUNCTION("""COMPUTED_VALUE"""),"")</f>
        <v/>
      </c>
    </row>
    <row r="878">
      <c r="AD878" s="224" t="str">
        <f>IFERROR(__xludf.DUMMYFUNCTION("""COMPUTED_VALUE"""),"")</f>
        <v/>
      </c>
      <c r="AE878" s="224"/>
      <c r="AF878" s="224" t="str">
        <f>IFERROR(__xludf.DUMMYFUNCTION("""COMPUTED_VALUE"""),"")</f>
        <v/>
      </c>
      <c r="AG878" s="224" t="str">
        <f>IFERROR(__xludf.DUMMYFUNCTION("""COMPUTED_VALUE"""),"")</f>
        <v/>
      </c>
    </row>
    <row r="879">
      <c r="AD879" s="224" t="str">
        <f>IFERROR(__xludf.DUMMYFUNCTION("""COMPUTED_VALUE"""),"")</f>
        <v/>
      </c>
      <c r="AE879" s="224"/>
      <c r="AF879" s="224" t="str">
        <f>IFERROR(__xludf.DUMMYFUNCTION("""COMPUTED_VALUE"""),"")</f>
        <v/>
      </c>
      <c r="AG879" s="224" t="str">
        <f>IFERROR(__xludf.DUMMYFUNCTION("""COMPUTED_VALUE"""),"")</f>
        <v/>
      </c>
    </row>
    <row r="880">
      <c r="AD880" s="224" t="str">
        <f>IFERROR(__xludf.DUMMYFUNCTION("""COMPUTED_VALUE"""),"")</f>
        <v/>
      </c>
      <c r="AE880" s="224"/>
      <c r="AF880" s="224" t="str">
        <f>IFERROR(__xludf.DUMMYFUNCTION("""COMPUTED_VALUE"""),"")</f>
        <v/>
      </c>
      <c r="AG880" s="224" t="str">
        <f>IFERROR(__xludf.DUMMYFUNCTION("""COMPUTED_VALUE"""),"")</f>
        <v/>
      </c>
    </row>
    <row r="881">
      <c r="AD881" s="224" t="str">
        <f>IFERROR(__xludf.DUMMYFUNCTION("""COMPUTED_VALUE"""),"")</f>
        <v/>
      </c>
      <c r="AE881" s="224"/>
      <c r="AF881" s="224" t="str">
        <f>IFERROR(__xludf.DUMMYFUNCTION("""COMPUTED_VALUE"""),"")</f>
        <v/>
      </c>
      <c r="AG881" s="224" t="str">
        <f>IFERROR(__xludf.DUMMYFUNCTION("""COMPUTED_VALUE"""),"")</f>
        <v/>
      </c>
    </row>
    <row r="882">
      <c r="AD882" s="224" t="str">
        <f>IFERROR(__xludf.DUMMYFUNCTION("""COMPUTED_VALUE"""),"")</f>
        <v/>
      </c>
      <c r="AE882" s="224"/>
      <c r="AF882" s="224" t="str">
        <f>IFERROR(__xludf.DUMMYFUNCTION("""COMPUTED_VALUE"""),"")</f>
        <v/>
      </c>
      <c r="AG882" s="224" t="str">
        <f>IFERROR(__xludf.DUMMYFUNCTION("""COMPUTED_VALUE"""),"")</f>
        <v/>
      </c>
    </row>
    <row r="883">
      <c r="AD883" s="224" t="str">
        <f>IFERROR(__xludf.DUMMYFUNCTION("""COMPUTED_VALUE"""),"")</f>
        <v/>
      </c>
      <c r="AE883" s="224"/>
      <c r="AF883" s="224" t="str">
        <f>IFERROR(__xludf.DUMMYFUNCTION("""COMPUTED_VALUE"""),"")</f>
        <v/>
      </c>
      <c r="AG883" s="224" t="str">
        <f>IFERROR(__xludf.DUMMYFUNCTION("""COMPUTED_VALUE"""),"")</f>
        <v/>
      </c>
    </row>
    <row r="884">
      <c r="AD884" s="224" t="str">
        <f>IFERROR(__xludf.DUMMYFUNCTION("""COMPUTED_VALUE"""),"")</f>
        <v/>
      </c>
      <c r="AE884" s="224"/>
      <c r="AF884" s="224" t="str">
        <f>IFERROR(__xludf.DUMMYFUNCTION("""COMPUTED_VALUE"""),"")</f>
        <v/>
      </c>
      <c r="AG884" s="224" t="str">
        <f>IFERROR(__xludf.DUMMYFUNCTION("""COMPUTED_VALUE"""),"")</f>
        <v/>
      </c>
    </row>
    <row r="885">
      <c r="AD885" s="224" t="str">
        <f>IFERROR(__xludf.DUMMYFUNCTION("""COMPUTED_VALUE"""),"")</f>
        <v/>
      </c>
      <c r="AE885" s="224"/>
      <c r="AF885" s="224" t="str">
        <f>IFERROR(__xludf.DUMMYFUNCTION("""COMPUTED_VALUE"""),"")</f>
        <v/>
      </c>
      <c r="AG885" s="224" t="str">
        <f>IFERROR(__xludf.DUMMYFUNCTION("""COMPUTED_VALUE"""),"")</f>
        <v/>
      </c>
    </row>
    <row r="886">
      <c r="AD886" s="224" t="str">
        <f>IFERROR(__xludf.DUMMYFUNCTION("""COMPUTED_VALUE"""),"")</f>
        <v/>
      </c>
      <c r="AE886" s="224"/>
      <c r="AF886" s="224" t="str">
        <f>IFERROR(__xludf.DUMMYFUNCTION("""COMPUTED_VALUE"""),"")</f>
        <v/>
      </c>
      <c r="AG886" s="224" t="str">
        <f>IFERROR(__xludf.DUMMYFUNCTION("""COMPUTED_VALUE"""),"")</f>
        <v/>
      </c>
    </row>
    <row r="887">
      <c r="AD887" s="224" t="str">
        <f>IFERROR(__xludf.DUMMYFUNCTION("""COMPUTED_VALUE"""),"")</f>
        <v/>
      </c>
      <c r="AE887" s="224"/>
      <c r="AF887" s="224" t="str">
        <f>IFERROR(__xludf.DUMMYFUNCTION("""COMPUTED_VALUE"""),"")</f>
        <v/>
      </c>
      <c r="AG887" s="224" t="str">
        <f>IFERROR(__xludf.DUMMYFUNCTION("""COMPUTED_VALUE"""),"")</f>
        <v/>
      </c>
    </row>
    <row r="888">
      <c r="AD888" s="224" t="str">
        <f>IFERROR(__xludf.DUMMYFUNCTION("""COMPUTED_VALUE"""),"")</f>
        <v/>
      </c>
      <c r="AE888" s="224"/>
      <c r="AF888" s="224" t="str">
        <f>IFERROR(__xludf.DUMMYFUNCTION("""COMPUTED_VALUE"""),"")</f>
        <v/>
      </c>
      <c r="AG888" s="224" t="str">
        <f>IFERROR(__xludf.DUMMYFUNCTION("""COMPUTED_VALUE"""),"")</f>
        <v/>
      </c>
    </row>
    <row r="889">
      <c r="AD889" s="224" t="str">
        <f>IFERROR(__xludf.DUMMYFUNCTION("""COMPUTED_VALUE"""),"")</f>
        <v/>
      </c>
      <c r="AE889" s="224"/>
      <c r="AF889" s="224" t="str">
        <f>IFERROR(__xludf.DUMMYFUNCTION("""COMPUTED_VALUE"""),"")</f>
        <v/>
      </c>
      <c r="AG889" s="224" t="str">
        <f>IFERROR(__xludf.DUMMYFUNCTION("""COMPUTED_VALUE"""),"")</f>
        <v/>
      </c>
    </row>
    <row r="890">
      <c r="AD890" s="224" t="str">
        <f>IFERROR(__xludf.DUMMYFUNCTION("""COMPUTED_VALUE"""),"")</f>
        <v/>
      </c>
      <c r="AE890" s="224"/>
      <c r="AF890" s="224" t="str">
        <f>IFERROR(__xludf.DUMMYFUNCTION("""COMPUTED_VALUE"""),"")</f>
        <v/>
      </c>
      <c r="AG890" s="224" t="str">
        <f>IFERROR(__xludf.DUMMYFUNCTION("""COMPUTED_VALUE"""),"")</f>
        <v/>
      </c>
    </row>
    <row r="891">
      <c r="AD891" s="224" t="str">
        <f>IFERROR(__xludf.DUMMYFUNCTION("""COMPUTED_VALUE"""),"")</f>
        <v/>
      </c>
      <c r="AE891" s="224"/>
      <c r="AF891" s="224" t="str">
        <f>IFERROR(__xludf.DUMMYFUNCTION("""COMPUTED_VALUE"""),"")</f>
        <v/>
      </c>
      <c r="AG891" s="224" t="str">
        <f>IFERROR(__xludf.DUMMYFUNCTION("""COMPUTED_VALUE"""),"")</f>
        <v/>
      </c>
    </row>
    <row r="892">
      <c r="AD892" s="224" t="str">
        <f>IFERROR(__xludf.DUMMYFUNCTION("""COMPUTED_VALUE"""),"")</f>
        <v/>
      </c>
      <c r="AE892" s="224"/>
      <c r="AF892" s="224" t="str">
        <f>IFERROR(__xludf.DUMMYFUNCTION("""COMPUTED_VALUE"""),"")</f>
        <v/>
      </c>
      <c r="AG892" s="224" t="str">
        <f>IFERROR(__xludf.DUMMYFUNCTION("""COMPUTED_VALUE"""),"")</f>
        <v/>
      </c>
    </row>
    <row r="893">
      <c r="AD893" s="224" t="str">
        <f>IFERROR(__xludf.DUMMYFUNCTION("""COMPUTED_VALUE"""),"")</f>
        <v/>
      </c>
      <c r="AE893" s="224"/>
      <c r="AF893" s="224" t="str">
        <f>IFERROR(__xludf.DUMMYFUNCTION("""COMPUTED_VALUE"""),"")</f>
        <v/>
      </c>
      <c r="AG893" s="224" t="str">
        <f>IFERROR(__xludf.DUMMYFUNCTION("""COMPUTED_VALUE"""),"")</f>
        <v/>
      </c>
    </row>
    <row r="894">
      <c r="AD894" s="224" t="str">
        <f>IFERROR(__xludf.DUMMYFUNCTION("""COMPUTED_VALUE"""),"")</f>
        <v/>
      </c>
      <c r="AE894" s="224"/>
      <c r="AF894" s="224" t="str">
        <f>IFERROR(__xludf.DUMMYFUNCTION("""COMPUTED_VALUE"""),"")</f>
        <v/>
      </c>
      <c r="AG894" s="224" t="str">
        <f>IFERROR(__xludf.DUMMYFUNCTION("""COMPUTED_VALUE"""),"")</f>
        <v/>
      </c>
    </row>
    <row r="895">
      <c r="AD895" s="224" t="str">
        <f>IFERROR(__xludf.DUMMYFUNCTION("""COMPUTED_VALUE"""),"")</f>
        <v/>
      </c>
      <c r="AE895" s="224"/>
      <c r="AF895" s="224" t="str">
        <f>IFERROR(__xludf.DUMMYFUNCTION("""COMPUTED_VALUE"""),"")</f>
        <v/>
      </c>
      <c r="AG895" s="224" t="str">
        <f>IFERROR(__xludf.DUMMYFUNCTION("""COMPUTED_VALUE"""),"")</f>
        <v/>
      </c>
    </row>
    <row r="896">
      <c r="AD896" s="224" t="str">
        <f>IFERROR(__xludf.DUMMYFUNCTION("""COMPUTED_VALUE"""),"")</f>
        <v/>
      </c>
      <c r="AE896" s="224"/>
      <c r="AF896" s="224" t="str">
        <f>IFERROR(__xludf.DUMMYFUNCTION("""COMPUTED_VALUE"""),"")</f>
        <v/>
      </c>
      <c r="AG896" s="224" t="str">
        <f>IFERROR(__xludf.DUMMYFUNCTION("""COMPUTED_VALUE"""),"")</f>
        <v/>
      </c>
    </row>
    <row r="897">
      <c r="AD897" s="224" t="str">
        <f>IFERROR(__xludf.DUMMYFUNCTION("""COMPUTED_VALUE"""),"")</f>
        <v/>
      </c>
      <c r="AE897" s="224"/>
      <c r="AF897" s="224" t="str">
        <f>IFERROR(__xludf.DUMMYFUNCTION("""COMPUTED_VALUE"""),"")</f>
        <v/>
      </c>
      <c r="AG897" s="224" t="str">
        <f>IFERROR(__xludf.DUMMYFUNCTION("""COMPUTED_VALUE"""),"")</f>
        <v/>
      </c>
    </row>
    <row r="898">
      <c r="AD898" s="224" t="str">
        <f>IFERROR(__xludf.DUMMYFUNCTION("""COMPUTED_VALUE"""),"")</f>
        <v/>
      </c>
      <c r="AE898" s="224"/>
      <c r="AF898" s="224" t="str">
        <f>IFERROR(__xludf.DUMMYFUNCTION("""COMPUTED_VALUE"""),"")</f>
        <v/>
      </c>
      <c r="AG898" s="224" t="str">
        <f>IFERROR(__xludf.DUMMYFUNCTION("""COMPUTED_VALUE"""),"")</f>
        <v/>
      </c>
    </row>
    <row r="899">
      <c r="AD899" s="224" t="str">
        <f>IFERROR(__xludf.DUMMYFUNCTION("""COMPUTED_VALUE"""),"")</f>
        <v/>
      </c>
      <c r="AE899" s="224"/>
      <c r="AF899" s="224" t="str">
        <f>IFERROR(__xludf.DUMMYFUNCTION("""COMPUTED_VALUE"""),"")</f>
        <v/>
      </c>
      <c r="AG899" s="224" t="str">
        <f>IFERROR(__xludf.DUMMYFUNCTION("""COMPUTED_VALUE"""),"")</f>
        <v/>
      </c>
    </row>
    <row r="900">
      <c r="AD900" s="224" t="str">
        <f>IFERROR(__xludf.DUMMYFUNCTION("""COMPUTED_VALUE"""),"")</f>
        <v/>
      </c>
      <c r="AE900" s="224"/>
      <c r="AF900" s="224" t="str">
        <f>IFERROR(__xludf.DUMMYFUNCTION("""COMPUTED_VALUE"""),"")</f>
        <v/>
      </c>
      <c r="AG900" s="224" t="str">
        <f>IFERROR(__xludf.DUMMYFUNCTION("""COMPUTED_VALUE"""),"")</f>
        <v/>
      </c>
    </row>
    <row r="901">
      <c r="AD901" s="224" t="str">
        <f>IFERROR(__xludf.DUMMYFUNCTION("""COMPUTED_VALUE"""),"")</f>
        <v/>
      </c>
      <c r="AE901" s="224"/>
      <c r="AF901" s="224" t="str">
        <f>IFERROR(__xludf.DUMMYFUNCTION("""COMPUTED_VALUE"""),"")</f>
        <v/>
      </c>
      <c r="AG901" s="224" t="str">
        <f>IFERROR(__xludf.DUMMYFUNCTION("""COMPUTED_VALUE"""),"")</f>
        <v/>
      </c>
    </row>
    <row r="902">
      <c r="AD902" s="224" t="str">
        <f>IFERROR(__xludf.DUMMYFUNCTION("""COMPUTED_VALUE"""),"")</f>
        <v/>
      </c>
      <c r="AE902" s="224"/>
      <c r="AF902" s="224" t="str">
        <f>IFERROR(__xludf.DUMMYFUNCTION("""COMPUTED_VALUE"""),"")</f>
        <v/>
      </c>
      <c r="AG902" s="224" t="str">
        <f>IFERROR(__xludf.DUMMYFUNCTION("""COMPUTED_VALUE"""),"")</f>
        <v/>
      </c>
    </row>
    <row r="903">
      <c r="AD903" s="224" t="str">
        <f>IFERROR(__xludf.DUMMYFUNCTION("""COMPUTED_VALUE"""),"")</f>
        <v/>
      </c>
      <c r="AE903" s="224"/>
      <c r="AF903" s="224" t="str">
        <f>IFERROR(__xludf.DUMMYFUNCTION("""COMPUTED_VALUE"""),"")</f>
        <v/>
      </c>
      <c r="AG903" s="224" t="str">
        <f>IFERROR(__xludf.DUMMYFUNCTION("""COMPUTED_VALUE"""),"")</f>
        <v/>
      </c>
    </row>
    <row r="904">
      <c r="AD904" s="224" t="str">
        <f>IFERROR(__xludf.DUMMYFUNCTION("""COMPUTED_VALUE"""),"")</f>
        <v/>
      </c>
      <c r="AE904" s="224"/>
      <c r="AF904" s="224" t="str">
        <f>IFERROR(__xludf.DUMMYFUNCTION("""COMPUTED_VALUE"""),"")</f>
        <v/>
      </c>
      <c r="AG904" s="224" t="str">
        <f>IFERROR(__xludf.DUMMYFUNCTION("""COMPUTED_VALUE"""),"")</f>
        <v/>
      </c>
    </row>
    <row r="905">
      <c r="AD905" s="224" t="str">
        <f>IFERROR(__xludf.DUMMYFUNCTION("""COMPUTED_VALUE"""),"")</f>
        <v/>
      </c>
      <c r="AE905" s="224"/>
      <c r="AF905" s="224" t="str">
        <f>IFERROR(__xludf.DUMMYFUNCTION("""COMPUTED_VALUE"""),"")</f>
        <v/>
      </c>
      <c r="AG905" s="224" t="str">
        <f>IFERROR(__xludf.DUMMYFUNCTION("""COMPUTED_VALUE"""),"")</f>
        <v/>
      </c>
    </row>
    <row r="906">
      <c r="AD906" s="224" t="str">
        <f>IFERROR(__xludf.DUMMYFUNCTION("""COMPUTED_VALUE"""),"")</f>
        <v/>
      </c>
      <c r="AE906" s="224"/>
      <c r="AF906" s="224" t="str">
        <f>IFERROR(__xludf.DUMMYFUNCTION("""COMPUTED_VALUE"""),"")</f>
        <v/>
      </c>
      <c r="AG906" s="224" t="str">
        <f>IFERROR(__xludf.DUMMYFUNCTION("""COMPUTED_VALUE"""),"")</f>
        <v/>
      </c>
    </row>
    <row r="907">
      <c r="AD907" s="224" t="str">
        <f>IFERROR(__xludf.DUMMYFUNCTION("""COMPUTED_VALUE"""),"")</f>
        <v/>
      </c>
      <c r="AE907" s="224"/>
      <c r="AF907" s="224" t="str">
        <f>IFERROR(__xludf.DUMMYFUNCTION("""COMPUTED_VALUE"""),"")</f>
        <v/>
      </c>
      <c r="AG907" s="224" t="str">
        <f>IFERROR(__xludf.DUMMYFUNCTION("""COMPUTED_VALUE"""),"")</f>
        <v/>
      </c>
    </row>
    <row r="908">
      <c r="AD908" s="224" t="str">
        <f>IFERROR(__xludf.DUMMYFUNCTION("""COMPUTED_VALUE"""),"")</f>
        <v/>
      </c>
      <c r="AE908" s="224"/>
      <c r="AF908" s="224" t="str">
        <f>IFERROR(__xludf.DUMMYFUNCTION("""COMPUTED_VALUE"""),"")</f>
        <v/>
      </c>
      <c r="AG908" s="224" t="str">
        <f>IFERROR(__xludf.DUMMYFUNCTION("""COMPUTED_VALUE"""),"")</f>
        <v/>
      </c>
    </row>
    <row r="909">
      <c r="AD909" s="224" t="str">
        <f>IFERROR(__xludf.DUMMYFUNCTION("""COMPUTED_VALUE"""),"")</f>
        <v/>
      </c>
      <c r="AE909" s="224"/>
      <c r="AF909" s="224" t="str">
        <f>IFERROR(__xludf.DUMMYFUNCTION("""COMPUTED_VALUE"""),"")</f>
        <v/>
      </c>
      <c r="AG909" s="224" t="str">
        <f>IFERROR(__xludf.DUMMYFUNCTION("""COMPUTED_VALUE"""),"")</f>
        <v/>
      </c>
    </row>
    <row r="910">
      <c r="AD910" s="224" t="str">
        <f>IFERROR(__xludf.DUMMYFUNCTION("""COMPUTED_VALUE"""),"")</f>
        <v/>
      </c>
      <c r="AE910" s="224"/>
      <c r="AF910" s="224" t="str">
        <f>IFERROR(__xludf.DUMMYFUNCTION("""COMPUTED_VALUE"""),"")</f>
        <v/>
      </c>
      <c r="AG910" s="224" t="str">
        <f>IFERROR(__xludf.DUMMYFUNCTION("""COMPUTED_VALUE"""),"")</f>
        <v/>
      </c>
    </row>
    <row r="911">
      <c r="AD911" s="224" t="str">
        <f>IFERROR(__xludf.DUMMYFUNCTION("""COMPUTED_VALUE"""),"")</f>
        <v/>
      </c>
      <c r="AE911" s="224"/>
      <c r="AF911" s="224" t="str">
        <f>IFERROR(__xludf.DUMMYFUNCTION("""COMPUTED_VALUE"""),"")</f>
        <v/>
      </c>
      <c r="AG911" s="224" t="str">
        <f>IFERROR(__xludf.DUMMYFUNCTION("""COMPUTED_VALUE"""),"")</f>
        <v/>
      </c>
    </row>
    <row r="912">
      <c r="AD912" s="224" t="str">
        <f>IFERROR(__xludf.DUMMYFUNCTION("""COMPUTED_VALUE"""),"")</f>
        <v/>
      </c>
      <c r="AE912" s="224"/>
      <c r="AF912" s="224" t="str">
        <f>IFERROR(__xludf.DUMMYFUNCTION("""COMPUTED_VALUE"""),"")</f>
        <v/>
      </c>
      <c r="AG912" s="224" t="str">
        <f>IFERROR(__xludf.DUMMYFUNCTION("""COMPUTED_VALUE"""),"")</f>
        <v/>
      </c>
    </row>
    <row r="913">
      <c r="AD913" s="224" t="str">
        <f>IFERROR(__xludf.DUMMYFUNCTION("""COMPUTED_VALUE"""),"")</f>
        <v/>
      </c>
      <c r="AE913" s="224"/>
      <c r="AF913" s="224" t="str">
        <f>IFERROR(__xludf.DUMMYFUNCTION("""COMPUTED_VALUE"""),"")</f>
        <v/>
      </c>
      <c r="AG913" s="224" t="str">
        <f>IFERROR(__xludf.DUMMYFUNCTION("""COMPUTED_VALUE"""),"")</f>
        <v/>
      </c>
    </row>
    <row r="914">
      <c r="AD914" s="224" t="str">
        <f>IFERROR(__xludf.DUMMYFUNCTION("""COMPUTED_VALUE"""),"")</f>
        <v/>
      </c>
      <c r="AE914" s="224"/>
      <c r="AF914" s="224" t="str">
        <f>IFERROR(__xludf.DUMMYFUNCTION("""COMPUTED_VALUE"""),"")</f>
        <v/>
      </c>
      <c r="AG914" s="224" t="str">
        <f>IFERROR(__xludf.DUMMYFUNCTION("""COMPUTED_VALUE"""),"")</f>
        <v/>
      </c>
    </row>
    <row r="915">
      <c r="AD915" s="224" t="str">
        <f>IFERROR(__xludf.DUMMYFUNCTION("""COMPUTED_VALUE"""),"")</f>
        <v/>
      </c>
      <c r="AE915" s="224"/>
      <c r="AF915" s="224" t="str">
        <f>IFERROR(__xludf.DUMMYFUNCTION("""COMPUTED_VALUE"""),"")</f>
        <v/>
      </c>
      <c r="AG915" s="224" t="str">
        <f>IFERROR(__xludf.DUMMYFUNCTION("""COMPUTED_VALUE"""),"")</f>
        <v/>
      </c>
    </row>
    <row r="916">
      <c r="AD916" s="224" t="str">
        <f>IFERROR(__xludf.DUMMYFUNCTION("""COMPUTED_VALUE"""),"")</f>
        <v/>
      </c>
      <c r="AE916" s="224"/>
      <c r="AF916" s="224" t="str">
        <f>IFERROR(__xludf.DUMMYFUNCTION("""COMPUTED_VALUE"""),"")</f>
        <v/>
      </c>
      <c r="AG916" s="224" t="str">
        <f>IFERROR(__xludf.DUMMYFUNCTION("""COMPUTED_VALUE"""),"")</f>
        <v/>
      </c>
    </row>
    <row r="917">
      <c r="AD917" s="224" t="str">
        <f>IFERROR(__xludf.DUMMYFUNCTION("""COMPUTED_VALUE"""),"")</f>
        <v/>
      </c>
      <c r="AE917" s="224"/>
      <c r="AF917" s="224" t="str">
        <f>IFERROR(__xludf.DUMMYFUNCTION("""COMPUTED_VALUE"""),"")</f>
        <v/>
      </c>
      <c r="AG917" s="224" t="str">
        <f>IFERROR(__xludf.DUMMYFUNCTION("""COMPUTED_VALUE"""),"")</f>
        <v/>
      </c>
    </row>
    <row r="918">
      <c r="AD918" s="224" t="str">
        <f>IFERROR(__xludf.DUMMYFUNCTION("""COMPUTED_VALUE"""),"")</f>
        <v/>
      </c>
      <c r="AE918" s="224"/>
      <c r="AF918" s="224" t="str">
        <f>IFERROR(__xludf.DUMMYFUNCTION("""COMPUTED_VALUE"""),"")</f>
        <v/>
      </c>
      <c r="AG918" s="224" t="str">
        <f>IFERROR(__xludf.DUMMYFUNCTION("""COMPUTED_VALUE"""),"")</f>
        <v/>
      </c>
    </row>
    <row r="919">
      <c r="AD919" s="224" t="str">
        <f>IFERROR(__xludf.DUMMYFUNCTION("""COMPUTED_VALUE"""),"")</f>
        <v/>
      </c>
      <c r="AE919" s="224"/>
      <c r="AF919" s="224" t="str">
        <f>IFERROR(__xludf.DUMMYFUNCTION("""COMPUTED_VALUE"""),"")</f>
        <v/>
      </c>
      <c r="AG919" s="224" t="str">
        <f>IFERROR(__xludf.DUMMYFUNCTION("""COMPUTED_VALUE"""),"")</f>
        <v/>
      </c>
    </row>
    <row r="920">
      <c r="AD920" s="224" t="str">
        <f>IFERROR(__xludf.DUMMYFUNCTION("""COMPUTED_VALUE"""),"")</f>
        <v/>
      </c>
      <c r="AE920" s="224"/>
      <c r="AF920" s="224" t="str">
        <f>IFERROR(__xludf.DUMMYFUNCTION("""COMPUTED_VALUE"""),"")</f>
        <v/>
      </c>
      <c r="AG920" s="224" t="str">
        <f>IFERROR(__xludf.DUMMYFUNCTION("""COMPUTED_VALUE"""),"")</f>
        <v/>
      </c>
    </row>
    <row r="921">
      <c r="AD921" s="224" t="str">
        <f>IFERROR(__xludf.DUMMYFUNCTION("""COMPUTED_VALUE"""),"")</f>
        <v/>
      </c>
      <c r="AE921" s="224"/>
      <c r="AF921" s="224" t="str">
        <f>IFERROR(__xludf.DUMMYFUNCTION("""COMPUTED_VALUE"""),"")</f>
        <v/>
      </c>
      <c r="AG921" s="224" t="str">
        <f>IFERROR(__xludf.DUMMYFUNCTION("""COMPUTED_VALUE"""),"")</f>
        <v/>
      </c>
    </row>
    <row r="922">
      <c r="AD922" s="224" t="str">
        <f>IFERROR(__xludf.DUMMYFUNCTION("""COMPUTED_VALUE"""),"")</f>
        <v/>
      </c>
      <c r="AE922" s="224"/>
      <c r="AF922" s="224" t="str">
        <f>IFERROR(__xludf.DUMMYFUNCTION("""COMPUTED_VALUE"""),"")</f>
        <v/>
      </c>
      <c r="AG922" s="224" t="str">
        <f>IFERROR(__xludf.DUMMYFUNCTION("""COMPUTED_VALUE"""),"")</f>
        <v/>
      </c>
    </row>
    <row r="923">
      <c r="AD923" s="224" t="str">
        <f>IFERROR(__xludf.DUMMYFUNCTION("""COMPUTED_VALUE"""),"")</f>
        <v/>
      </c>
      <c r="AE923" s="224"/>
      <c r="AF923" s="224" t="str">
        <f>IFERROR(__xludf.DUMMYFUNCTION("""COMPUTED_VALUE"""),"")</f>
        <v/>
      </c>
      <c r="AG923" s="224" t="str">
        <f>IFERROR(__xludf.DUMMYFUNCTION("""COMPUTED_VALUE"""),"")</f>
        <v/>
      </c>
    </row>
    <row r="924">
      <c r="AD924" s="224" t="str">
        <f>IFERROR(__xludf.DUMMYFUNCTION("""COMPUTED_VALUE"""),"")</f>
        <v/>
      </c>
      <c r="AE924" s="224"/>
      <c r="AF924" s="224" t="str">
        <f>IFERROR(__xludf.DUMMYFUNCTION("""COMPUTED_VALUE"""),"")</f>
        <v/>
      </c>
      <c r="AG924" s="224" t="str">
        <f>IFERROR(__xludf.DUMMYFUNCTION("""COMPUTED_VALUE"""),"")</f>
        <v/>
      </c>
    </row>
    <row r="925">
      <c r="AD925" s="224" t="str">
        <f>IFERROR(__xludf.DUMMYFUNCTION("""COMPUTED_VALUE"""),"")</f>
        <v/>
      </c>
      <c r="AE925" s="224"/>
      <c r="AF925" s="224" t="str">
        <f>IFERROR(__xludf.DUMMYFUNCTION("""COMPUTED_VALUE"""),"")</f>
        <v/>
      </c>
      <c r="AG925" s="224" t="str">
        <f>IFERROR(__xludf.DUMMYFUNCTION("""COMPUTED_VALUE"""),"")</f>
        <v/>
      </c>
    </row>
    <row r="926">
      <c r="AD926" s="224" t="str">
        <f>IFERROR(__xludf.DUMMYFUNCTION("""COMPUTED_VALUE"""),"")</f>
        <v/>
      </c>
      <c r="AE926" s="224"/>
      <c r="AF926" s="224" t="str">
        <f>IFERROR(__xludf.DUMMYFUNCTION("""COMPUTED_VALUE"""),"")</f>
        <v/>
      </c>
      <c r="AG926" s="224" t="str">
        <f>IFERROR(__xludf.DUMMYFUNCTION("""COMPUTED_VALUE"""),"")</f>
        <v/>
      </c>
    </row>
    <row r="927">
      <c r="AD927" s="224" t="str">
        <f>IFERROR(__xludf.DUMMYFUNCTION("""COMPUTED_VALUE"""),"")</f>
        <v/>
      </c>
      <c r="AE927" s="224"/>
      <c r="AF927" s="224" t="str">
        <f>IFERROR(__xludf.DUMMYFUNCTION("""COMPUTED_VALUE"""),"")</f>
        <v/>
      </c>
      <c r="AG927" s="224" t="str">
        <f>IFERROR(__xludf.DUMMYFUNCTION("""COMPUTED_VALUE"""),"")</f>
        <v/>
      </c>
    </row>
    <row r="928">
      <c r="AD928" s="224" t="str">
        <f>IFERROR(__xludf.DUMMYFUNCTION("""COMPUTED_VALUE"""),"")</f>
        <v/>
      </c>
      <c r="AE928" s="224"/>
      <c r="AF928" s="224" t="str">
        <f>IFERROR(__xludf.DUMMYFUNCTION("""COMPUTED_VALUE"""),"")</f>
        <v/>
      </c>
      <c r="AG928" s="224" t="str">
        <f>IFERROR(__xludf.DUMMYFUNCTION("""COMPUTED_VALUE"""),"")</f>
        <v/>
      </c>
    </row>
    <row r="929">
      <c r="AD929" s="224" t="str">
        <f>IFERROR(__xludf.DUMMYFUNCTION("""COMPUTED_VALUE"""),"")</f>
        <v/>
      </c>
      <c r="AE929" s="224"/>
      <c r="AF929" s="224" t="str">
        <f>IFERROR(__xludf.DUMMYFUNCTION("""COMPUTED_VALUE"""),"")</f>
        <v/>
      </c>
      <c r="AG929" s="224" t="str">
        <f>IFERROR(__xludf.DUMMYFUNCTION("""COMPUTED_VALUE"""),"")</f>
        <v/>
      </c>
    </row>
    <row r="930">
      <c r="AD930" s="224" t="str">
        <f>IFERROR(__xludf.DUMMYFUNCTION("""COMPUTED_VALUE"""),"")</f>
        <v/>
      </c>
      <c r="AE930" s="224"/>
      <c r="AF930" s="224" t="str">
        <f>IFERROR(__xludf.DUMMYFUNCTION("""COMPUTED_VALUE"""),"")</f>
        <v/>
      </c>
      <c r="AG930" s="224" t="str">
        <f>IFERROR(__xludf.DUMMYFUNCTION("""COMPUTED_VALUE"""),"")</f>
        <v/>
      </c>
    </row>
    <row r="931">
      <c r="AD931" s="224" t="str">
        <f>IFERROR(__xludf.DUMMYFUNCTION("""COMPUTED_VALUE"""),"")</f>
        <v/>
      </c>
      <c r="AE931" s="224"/>
      <c r="AF931" s="224" t="str">
        <f>IFERROR(__xludf.DUMMYFUNCTION("""COMPUTED_VALUE"""),"")</f>
        <v/>
      </c>
      <c r="AG931" s="224" t="str">
        <f>IFERROR(__xludf.DUMMYFUNCTION("""COMPUTED_VALUE"""),"")</f>
        <v/>
      </c>
    </row>
    <row r="932">
      <c r="AD932" s="224" t="str">
        <f>IFERROR(__xludf.DUMMYFUNCTION("""COMPUTED_VALUE"""),"")</f>
        <v/>
      </c>
      <c r="AE932" s="224"/>
      <c r="AF932" s="224" t="str">
        <f>IFERROR(__xludf.DUMMYFUNCTION("""COMPUTED_VALUE"""),"")</f>
        <v/>
      </c>
      <c r="AG932" s="224" t="str">
        <f>IFERROR(__xludf.DUMMYFUNCTION("""COMPUTED_VALUE"""),"")</f>
        <v/>
      </c>
    </row>
    <row r="933">
      <c r="AD933" s="224" t="str">
        <f>IFERROR(__xludf.DUMMYFUNCTION("""COMPUTED_VALUE"""),"")</f>
        <v/>
      </c>
      <c r="AE933" s="224"/>
      <c r="AF933" s="224" t="str">
        <f>IFERROR(__xludf.DUMMYFUNCTION("""COMPUTED_VALUE"""),"")</f>
        <v/>
      </c>
      <c r="AG933" s="224" t="str">
        <f>IFERROR(__xludf.DUMMYFUNCTION("""COMPUTED_VALUE"""),"")</f>
        <v/>
      </c>
    </row>
    <row r="934">
      <c r="AD934" s="224" t="str">
        <f>IFERROR(__xludf.DUMMYFUNCTION("""COMPUTED_VALUE"""),"")</f>
        <v/>
      </c>
      <c r="AE934" s="224"/>
      <c r="AF934" s="224" t="str">
        <f>IFERROR(__xludf.DUMMYFUNCTION("""COMPUTED_VALUE"""),"")</f>
        <v/>
      </c>
      <c r="AG934" s="224" t="str">
        <f>IFERROR(__xludf.DUMMYFUNCTION("""COMPUTED_VALUE"""),"")</f>
        <v/>
      </c>
    </row>
    <row r="935">
      <c r="AD935" s="224" t="str">
        <f>IFERROR(__xludf.DUMMYFUNCTION("""COMPUTED_VALUE"""),"")</f>
        <v/>
      </c>
      <c r="AE935" s="224"/>
      <c r="AF935" s="224" t="str">
        <f>IFERROR(__xludf.DUMMYFUNCTION("""COMPUTED_VALUE"""),"")</f>
        <v/>
      </c>
      <c r="AG935" s="224" t="str">
        <f>IFERROR(__xludf.DUMMYFUNCTION("""COMPUTED_VALUE"""),"")</f>
        <v/>
      </c>
    </row>
    <row r="936">
      <c r="AD936" s="224" t="str">
        <f>IFERROR(__xludf.DUMMYFUNCTION("""COMPUTED_VALUE"""),"")</f>
        <v/>
      </c>
      <c r="AE936" s="224"/>
      <c r="AF936" s="224" t="str">
        <f>IFERROR(__xludf.DUMMYFUNCTION("""COMPUTED_VALUE"""),"")</f>
        <v/>
      </c>
      <c r="AG936" s="224" t="str">
        <f>IFERROR(__xludf.DUMMYFUNCTION("""COMPUTED_VALUE"""),"")</f>
        <v/>
      </c>
    </row>
    <row r="937">
      <c r="AD937" s="224" t="str">
        <f>IFERROR(__xludf.DUMMYFUNCTION("""COMPUTED_VALUE"""),"")</f>
        <v/>
      </c>
      <c r="AE937" s="224"/>
      <c r="AF937" s="224" t="str">
        <f>IFERROR(__xludf.DUMMYFUNCTION("""COMPUTED_VALUE"""),"")</f>
        <v/>
      </c>
      <c r="AG937" s="224" t="str">
        <f>IFERROR(__xludf.DUMMYFUNCTION("""COMPUTED_VALUE"""),"")</f>
        <v/>
      </c>
    </row>
    <row r="938">
      <c r="AD938" s="224" t="str">
        <f>IFERROR(__xludf.DUMMYFUNCTION("""COMPUTED_VALUE"""),"")</f>
        <v/>
      </c>
      <c r="AE938" s="224"/>
      <c r="AF938" s="224" t="str">
        <f>IFERROR(__xludf.DUMMYFUNCTION("""COMPUTED_VALUE"""),"")</f>
        <v/>
      </c>
      <c r="AG938" s="224" t="str">
        <f>IFERROR(__xludf.DUMMYFUNCTION("""COMPUTED_VALUE"""),"")</f>
        <v/>
      </c>
    </row>
    <row r="939">
      <c r="AD939" s="224" t="str">
        <f>IFERROR(__xludf.DUMMYFUNCTION("""COMPUTED_VALUE"""),"")</f>
        <v/>
      </c>
      <c r="AE939" s="224"/>
      <c r="AF939" s="224" t="str">
        <f>IFERROR(__xludf.DUMMYFUNCTION("""COMPUTED_VALUE"""),"")</f>
        <v/>
      </c>
      <c r="AG939" s="224" t="str">
        <f>IFERROR(__xludf.DUMMYFUNCTION("""COMPUTED_VALUE"""),"")</f>
        <v/>
      </c>
    </row>
    <row r="940">
      <c r="AD940" s="224" t="str">
        <f>IFERROR(__xludf.DUMMYFUNCTION("""COMPUTED_VALUE"""),"")</f>
        <v/>
      </c>
      <c r="AE940" s="224"/>
      <c r="AF940" s="224" t="str">
        <f>IFERROR(__xludf.DUMMYFUNCTION("""COMPUTED_VALUE"""),"")</f>
        <v/>
      </c>
      <c r="AG940" s="224" t="str">
        <f>IFERROR(__xludf.DUMMYFUNCTION("""COMPUTED_VALUE"""),"")</f>
        <v/>
      </c>
    </row>
    <row r="941">
      <c r="AD941" s="224" t="str">
        <f>IFERROR(__xludf.DUMMYFUNCTION("""COMPUTED_VALUE"""),"")</f>
        <v/>
      </c>
      <c r="AE941" s="224"/>
      <c r="AF941" s="224" t="str">
        <f>IFERROR(__xludf.DUMMYFUNCTION("""COMPUTED_VALUE"""),"")</f>
        <v/>
      </c>
      <c r="AG941" s="224" t="str">
        <f>IFERROR(__xludf.DUMMYFUNCTION("""COMPUTED_VALUE"""),"")</f>
        <v/>
      </c>
    </row>
    <row r="942">
      <c r="AD942" s="224" t="str">
        <f>IFERROR(__xludf.DUMMYFUNCTION("""COMPUTED_VALUE"""),"")</f>
        <v/>
      </c>
      <c r="AE942" s="224"/>
      <c r="AF942" s="224" t="str">
        <f>IFERROR(__xludf.DUMMYFUNCTION("""COMPUTED_VALUE"""),"")</f>
        <v/>
      </c>
      <c r="AG942" s="224" t="str">
        <f>IFERROR(__xludf.DUMMYFUNCTION("""COMPUTED_VALUE"""),"")</f>
        <v/>
      </c>
    </row>
    <row r="943">
      <c r="AD943" s="224" t="str">
        <f>IFERROR(__xludf.DUMMYFUNCTION("""COMPUTED_VALUE"""),"")</f>
        <v/>
      </c>
      <c r="AE943" s="224"/>
      <c r="AF943" s="224" t="str">
        <f>IFERROR(__xludf.DUMMYFUNCTION("""COMPUTED_VALUE"""),"")</f>
        <v/>
      </c>
      <c r="AG943" s="224" t="str">
        <f>IFERROR(__xludf.DUMMYFUNCTION("""COMPUTED_VALUE"""),"")</f>
        <v/>
      </c>
    </row>
    <row r="944">
      <c r="AD944" s="224" t="str">
        <f>IFERROR(__xludf.DUMMYFUNCTION("""COMPUTED_VALUE"""),"")</f>
        <v/>
      </c>
      <c r="AE944" s="224"/>
      <c r="AF944" s="224" t="str">
        <f>IFERROR(__xludf.DUMMYFUNCTION("""COMPUTED_VALUE"""),"")</f>
        <v/>
      </c>
      <c r="AG944" s="224" t="str">
        <f>IFERROR(__xludf.DUMMYFUNCTION("""COMPUTED_VALUE"""),"")</f>
        <v/>
      </c>
    </row>
    <row r="945">
      <c r="AD945" s="224" t="str">
        <f>IFERROR(__xludf.DUMMYFUNCTION("""COMPUTED_VALUE"""),"")</f>
        <v/>
      </c>
      <c r="AE945" s="224"/>
      <c r="AF945" s="224" t="str">
        <f>IFERROR(__xludf.DUMMYFUNCTION("""COMPUTED_VALUE"""),"")</f>
        <v/>
      </c>
      <c r="AG945" s="224" t="str">
        <f>IFERROR(__xludf.DUMMYFUNCTION("""COMPUTED_VALUE"""),"")</f>
        <v/>
      </c>
    </row>
    <row r="946">
      <c r="AD946" s="224" t="str">
        <f>IFERROR(__xludf.DUMMYFUNCTION("""COMPUTED_VALUE"""),"")</f>
        <v/>
      </c>
      <c r="AE946" s="224"/>
      <c r="AF946" s="224" t="str">
        <f>IFERROR(__xludf.DUMMYFUNCTION("""COMPUTED_VALUE"""),"")</f>
        <v/>
      </c>
      <c r="AG946" s="224" t="str">
        <f>IFERROR(__xludf.DUMMYFUNCTION("""COMPUTED_VALUE"""),"")</f>
        <v/>
      </c>
    </row>
    <row r="947">
      <c r="AD947" s="224" t="str">
        <f>IFERROR(__xludf.DUMMYFUNCTION("""COMPUTED_VALUE"""),"")</f>
        <v/>
      </c>
      <c r="AE947" s="224"/>
      <c r="AF947" s="224" t="str">
        <f>IFERROR(__xludf.DUMMYFUNCTION("""COMPUTED_VALUE"""),"")</f>
        <v/>
      </c>
      <c r="AG947" s="224" t="str">
        <f>IFERROR(__xludf.DUMMYFUNCTION("""COMPUTED_VALUE"""),"")</f>
        <v/>
      </c>
    </row>
    <row r="948">
      <c r="AD948" s="224" t="str">
        <f>IFERROR(__xludf.DUMMYFUNCTION("""COMPUTED_VALUE"""),"")</f>
        <v/>
      </c>
      <c r="AE948" s="224"/>
      <c r="AF948" s="224" t="str">
        <f>IFERROR(__xludf.DUMMYFUNCTION("""COMPUTED_VALUE"""),"")</f>
        <v/>
      </c>
      <c r="AG948" s="224" t="str">
        <f>IFERROR(__xludf.DUMMYFUNCTION("""COMPUTED_VALUE"""),"")</f>
        <v/>
      </c>
    </row>
    <row r="949">
      <c r="AD949" s="224" t="str">
        <f>IFERROR(__xludf.DUMMYFUNCTION("""COMPUTED_VALUE"""),"")</f>
        <v/>
      </c>
      <c r="AE949" s="224"/>
      <c r="AF949" s="224" t="str">
        <f>IFERROR(__xludf.DUMMYFUNCTION("""COMPUTED_VALUE"""),"")</f>
        <v/>
      </c>
      <c r="AG949" s="224" t="str">
        <f>IFERROR(__xludf.DUMMYFUNCTION("""COMPUTED_VALUE"""),"")</f>
        <v/>
      </c>
    </row>
    <row r="950">
      <c r="AD950" s="224" t="str">
        <f>IFERROR(__xludf.DUMMYFUNCTION("""COMPUTED_VALUE"""),"")</f>
        <v/>
      </c>
      <c r="AE950" s="224"/>
      <c r="AF950" s="224" t="str">
        <f>IFERROR(__xludf.DUMMYFUNCTION("""COMPUTED_VALUE"""),"")</f>
        <v/>
      </c>
      <c r="AG950" s="224" t="str">
        <f>IFERROR(__xludf.DUMMYFUNCTION("""COMPUTED_VALUE"""),"")</f>
        <v/>
      </c>
    </row>
    <row r="951">
      <c r="AD951" s="224" t="str">
        <f>IFERROR(__xludf.DUMMYFUNCTION("""COMPUTED_VALUE"""),"")</f>
        <v/>
      </c>
      <c r="AE951" s="224"/>
      <c r="AF951" s="224" t="str">
        <f>IFERROR(__xludf.DUMMYFUNCTION("""COMPUTED_VALUE"""),"")</f>
        <v/>
      </c>
      <c r="AG951" s="224" t="str">
        <f>IFERROR(__xludf.DUMMYFUNCTION("""COMPUTED_VALUE"""),"")</f>
        <v/>
      </c>
    </row>
    <row r="952">
      <c r="AD952" s="224" t="str">
        <f>IFERROR(__xludf.DUMMYFUNCTION("""COMPUTED_VALUE"""),"")</f>
        <v/>
      </c>
      <c r="AE952" s="224"/>
      <c r="AF952" s="224" t="str">
        <f>IFERROR(__xludf.DUMMYFUNCTION("""COMPUTED_VALUE"""),"")</f>
        <v/>
      </c>
      <c r="AG952" s="224" t="str">
        <f>IFERROR(__xludf.DUMMYFUNCTION("""COMPUTED_VALUE"""),"")</f>
        <v/>
      </c>
    </row>
    <row r="953">
      <c r="AD953" s="224" t="str">
        <f>IFERROR(__xludf.DUMMYFUNCTION("""COMPUTED_VALUE"""),"")</f>
        <v/>
      </c>
      <c r="AE953" s="224"/>
      <c r="AF953" s="224" t="str">
        <f>IFERROR(__xludf.DUMMYFUNCTION("""COMPUTED_VALUE"""),"")</f>
        <v/>
      </c>
      <c r="AG953" s="224" t="str">
        <f>IFERROR(__xludf.DUMMYFUNCTION("""COMPUTED_VALUE"""),"")</f>
        <v/>
      </c>
    </row>
    <row r="954">
      <c r="AD954" s="224" t="str">
        <f>IFERROR(__xludf.DUMMYFUNCTION("""COMPUTED_VALUE"""),"")</f>
        <v/>
      </c>
      <c r="AE954" s="224"/>
      <c r="AF954" s="224" t="str">
        <f>IFERROR(__xludf.DUMMYFUNCTION("""COMPUTED_VALUE"""),"")</f>
        <v/>
      </c>
      <c r="AG954" s="224" t="str">
        <f>IFERROR(__xludf.DUMMYFUNCTION("""COMPUTED_VALUE"""),"")</f>
        <v/>
      </c>
    </row>
    <row r="955">
      <c r="AD955" s="224" t="str">
        <f>IFERROR(__xludf.DUMMYFUNCTION("""COMPUTED_VALUE"""),"")</f>
        <v/>
      </c>
      <c r="AE955" s="224"/>
      <c r="AF955" s="224" t="str">
        <f>IFERROR(__xludf.DUMMYFUNCTION("""COMPUTED_VALUE"""),"")</f>
        <v/>
      </c>
      <c r="AG955" s="224" t="str">
        <f>IFERROR(__xludf.DUMMYFUNCTION("""COMPUTED_VALUE"""),"")</f>
        <v/>
      </c>
    </row>
    <row r="956">
      <c r="AD956" s="224" t="str">
        <f>IFERROR(__xludf.DUMMYFUNCTION("""COMPUTED_VALUE"""),"")</f>
        <v/>
      </c>
      <c r="AE956" s="224"/>
      <c r="AF956" s="224" t="str">
        <f>IFERROR(__xludf.DUMMYFUNCTION("""COMPUTED_VALUE"""),"")</f>
        <v/>
      </c>
      <c r="AG956" s="224" t="str">
        <f>IFERROR(__xludf.DUMMYFUNCTION("""COMPUTED_VALUE"""),"")</f>
        <v/>
      </c>
    </row>
    <row r="957">
      <c r="AD957" s="224" t="str">
        <f>IFERROR(__xludf.DUMMYFUNCTION("""COMPUTED_VALUE"""),"")</f>
        <v/>
      </c>
      <c r="AE957" s="224"/>
      <c r="AF957" s="224" t="str">
        <f>IFERROR(__xludf.DUMMYFUNCTION("""COMPUTED_VALUE"""),"")</f>
        <v/>
      </c>
      <c r="AG957" s="224" t="str">
        <f>IFERROR(__xludf.DUMMYFUNCTION("""COMPUTED_VALUE"""),"")</f>
        <v/>
      </c>
    </row>
    <row r="958">
      <c r="AD958" s="224" t="str">
        <f>IFERROR(__xludf.DUMMYFUNCTION("""COMPUTED_VALUE"""),"")</f>
        <v/>
      </c>
      <c r="AE958" s="224"/>
      <c r="AF958" s="224" t="str">
        <f>IFERROR(__xludf.DUMMYFUNCTION("""COMPUTED_VALUE"""),"")</f>
        <v/>
      </c>
      <c r="AG958" s="224" t="str">
        <f>IFERROR(__xludf.DUMMYFUNCTION("""COMPUTED_VALUE"""),"")</f>
        <v/>
      </c>
    </row>
    <row r="959">
      <c r="AD959" s="224" t="str">
        <f>IFERROR(__xludf.DUMMYFUNCTION("""COMPUTED_VALUE"""),"")</f>
        <v/>
      </c>
      <c r="AE959" s="224"/>
      <c r="AF959" s="224" t="str">
        <f>IFERROR(__xludf.DUMMYFUNCTION("""COMPUTED_VALUE"""),"")</f>
        <v/>
      </c>
      <c r="AG959" s="224" t="str">
        <f>IFERROR(__xludf.DUMMYFUNCTION("""COMPUTED_VALUE"""),"")</f>
        <v/>
      </c>
    </row>
    <row r="960">
      <c r="AD960" s="224" t="str">
        <f>IFERROR(__xludf.DUMMYFUNCTION("""COMPUTED_VALUE"""),"")</f>
        <v/>
      </c>
      <c r="AE960" s="224"/>
      <c r="AF960" s="224" t="str">
        <f>IFERROR(__xludf.DUMMYFUNCTION("""COMPUTED_VALUE"""),"")</f>
        <v/>
      </c>
      <c r="AG960" s="224" t="str">
        <f>IFERROR(__xludf.DUMMYFUNCTION("""COMPUTED_VALUE"""),"")</f>
        <v/>
      </c>
    </row>
    <row r="961">
      <c r="AD961" s="224" t="str">
        <f>IFERROR(__xludf.DUMMYFUNCTION("""COMPUTED_VALUE"""),"")</f>
        <v/>
      </c>
      <c r="AE961" s="224"/>
      <c r="AF961" s="224" t="str">
        <f>IFERROR(__xludf.DUMMYFUNCTION("""COMPUTED_VALUE"""),"")</f>
        <v/>
      </c>
      <c r="AG961" s="224" t="str">
        <f>IFERROR(__xludf.DUMMYFUNCTION("""COMPUTED_VALUE"""),"")</f>
        <v/>
      </c>
    </row>
    <row r="962">
      <c r="AD962" s="224" t="str">
        <f>IFERROR(__xludf.DUMMYFUNCTION("""COMPUTED_VALUE"""),"")</f>
        <v/>
      </c>
      <c r="AE962" s="224"/>
      <c r="AF962" s="224" t="str">
        <f>IFERROR(__xludf.DUMMYFUNCTION("""COMPUTED_VALUE"""),"")</f>
        <v/>
      </c>
      <c r="AG962" s="224" t="str">
        <f>IFERROR(__xludf.DUMMYFUNCTION("""COMPUTED_VALUE"""),"")</f>
        <v/>
      </c>
    </row>
    <row r="963">
      <c r="AD963" s="224" t="str">
        <f>IFERROR(__xludf.DUMMYFUNCTION("""COMPUTED_VALUE"""),"")</f>
        <v/>
      </c>
      <c r="AE963" s="224"/>
      <c r="AF963" s="224" t="str">
        <f>IFERROR(__xludf.DUMMYFUNCTION("""COMPUTED_VALUE"""),"")</f>
        <v/>
      </c>
      <c r="AG963" s="224" t="str">
        <f>IFERROR(__xludf.DUMMYFUNCTION("""COMPUTED_VALUE"""),"")</f>
        <v/>
      </c>
    </row>
    <row r="964">
      <c r="AD964" s="224" t="str">
        <f>IFERROR(__xludf.DUMMYFUNCTION("""COMPUTED_VALUE"""),"")</f>
        <v/>
      </c>
      <c r="AE964" s="224"/>
      <c r="AF964" s="224" t="str">
        <f>IFERROR(__xludf.DUMMYFUNCTION("""COMPUTED_VALUE"""),"")</f>
        <v/>
      </c>
      <c r="AG964" s="224" t="str">
        <f>IFERROR(__xludf.DUMMYFUNCTION("""COMPUTED_VALUE"""),"")</f>
        <v/>
      </c>
    </row>
    <row r="965">
      <c r="AD965" s="224" t="str">
        <f>IFERROR(__xludf.DUMMYFUNCTION("""COMPUTED_VALUE"""),"")</f>
        <v/>
      </c>
      <c r="AE965" s="224"/>
      <c r="AF965" s="224" t="str">
        <f>IFERROR(__xludf.DUMMYFUNCTION("""COMPUTED_VALUE"""),"")</f>
        <v/>
      </c>
      <c r="AG965" s="224" t="str">
        <f>IFERROR(__xludf.DUMMYFUNCTION("""COMPUTED_VALUE"""),"")</f>
        <v/>
      </c>
    </row>
    <row r="966">
      <c r="AD966" s="224" t="str">
        <f>IFERROR(__xludf.DUMMYFUNCTION("""COMPUTED_VALUE"""),"")</f>
        <v/>
      </c>
      <c r="AE966" s="224"/>
      <c r="AF966" s="224" t="str">
        <f>IFERROR(__xludf.DUMMYFUNCTION("""COMPUTED_VALUE"""),"")</f>
        <v/>
      </c>
      <c r="AG966" s="224" t="str">
        <f>IFERROR(__xludf.DUMMYFUNCTION("""COMPUTED_VALUE"""),"")</f>
        <v/>
      </c>
    </row>
    <row r="967">
      <c r="AD967" s="224" t="str">
        <f>IFERROR(__xludf.DUMMYFUNCTION("""COMPUTED_VALUE"""),"")</f>
        <v/>
      </c>
      <c r="AE967" s="224"/>
      <c r="AF967" s="224" t="str">
        <f>IFERROR(__xludf.DUMMYFUNCTION("""COMPUTED_VALUE"""),"")</f>
        <v/>
      </c>
      <c r="AG967" s="224" t="str">
        <f>IFERROR(__xludf.DUMMYFUNCTION("""COMPUTED_VALUE"""),"")</f>
        <v/>
      </c>
    </row>
    <row r="968">
      <c r="AD968" s="224" t="str">
        <f>IFERROR(__xludf.DUMMYFUNCTION("""COMPUTED_VALUE"""),"")</f>
        <v/>
      </c>
      <c r="AE968" s="224"/>
      <c r="AF968" s="224" t="str">
        <f>IFERROR(__xludf.DUMMYFUNCTION("""COMPUTED_VALUE"""),"")</f>
        <v/>
      </c>
      <c r="AG968" s="224" t="str">
        <f>IFERROR(__xludf.DUMMYFUNCTION("""COMPUTED_VALUE"""),"")</f>
        <v/>
      </c>
    </row>
    <row r="969">
      <c r="AD969" s="224" t="str">
        <f>IFERROR(__xludf.DUMMYFUNCTION("""COMPUTED_VALUE"""),"")</f>
        <v/>
      </c>
      <c r="AE969" s="224"/>
      <c r="AF969" s="224" t="str">
        <f>IFERROR(__xludf.DUMMYFUNCTION("""COMPUTED_VALUE"""),"")</f>
        <v/>
      </c>
      <c r="AG969" s="224" t="str">
        <f>IFERROR(__xludf.DUMMYFUNCTION("""COMPUTED_VALUE"""),"")</f>
        <v/>
      </c>
    </row>
    <row r="970">
      <c r="AD970" s="224" t="str">
        <f>IFERROR(__xludf.DUMMYFUNCTION("""COMPUTED_VALUE"""),"")</f>
        <v/>
      </c>
      <c r="AE970" s="224"/>
      <c r="AF970" s="224" t="str">
        <f>IFERROR(__xludf.DUMMYFUNCTION("""COMPUTED_VALUE"""),"")</f>
        <v/>
      </c>
      <c r="AG970" s="224" t="str">
        <f>IFERROR(__xludf.DUMMYFUNCTION("""COMPUTED_VALUE"""),"")</f>
        <v/>
      </c>
    </row>
    <row r="971">
      <c r="AD971" s="224" t="str">
        <f>IFERROR(__xludf.DUMMYFUNCTION("""COMPUTED_VALUE"""),"")</f>
        <v/>
      </c>
      <c r="AE971" s="224"/>
      <c r="AF971" s="224" t="str">
        <f>IFERROR(__xludf.DUMMYFUNCTION("""COMPUTED_VALUE"""),"")</f>
        <v/>
      </c>
      <c r="AG971" s="224" t="str">
        <f>IFERROR(__xludf.DUMMYFUNCTION("""COMPUTED_VALUE"""),"")</f>
        <v/>
      </c>
    </row>
    <row r="972">
      <c r="AD972" s="224" t="str">
        <f>IFERROR(__xludf.DUMMYFUNCTION("""COMPUTED_VALUE"""),"")</f>
        <v/>
      </c>
      <c r="AE972" s="224"/>
      <c r="AF972" s="224" t="str">
        <f>IFERROR(__xludf.DUMMYFUNCTION("""COMPUTED_VALUE"""),"")</f>
        <v/>
      </c>
      <c r="AG972" s="224" t="str">
        <f>IFERROR(__xludf.DUMMYFUNCTION("""COMPUTED_VALUE"""),"")</f>
        <v/>
      </c>
    </row>
    <row r="973">
      <c r="AD973" s="224" t="str">
        <f>IFERROR(__xludf.DUMMYFUNCTION("""COMPUTED_VALUE"""),"")</f>
        <v/>
      </c>
      <c r="AE973" s="224"/>
      <c r="AF973" s="224" t="str">
        <f>IFERROR(__xludf.DUMMYFUNCTION("""COMPUTED_VALUE"""),"")</f>
        <v/>
      </c>
      <c r="AG973" s="224" t="str">
        <f>IFERROR(__xludf.DUMMYFUNCTION("""COMPUTED_VALUE"""),"")</f>
        <v/>
      </c>
    </row>
    <row r="974">
      <c r="AD974" s="224" t="str">
        <f>IFERROR(__xludf.DUMMYFUNCTION("""COMPUTED_VALUE"""),"")</f>
        <v/>
      </c>
      <c r="AE974" s="224"/>
      <c r="AF974" s="224" t="str">
        <f>IFERROR(__xludf.DUMMYFUNCTION("""COMPUTED_VALUE"""),"")</f>
        <v/>
      </c>
      <c r="AG974" s="224" t="str">
        <f>IFERROR(__xludf.DUMMYFUNCTION("""COMPUTED_VALUE"""),"")</f>
        <v/>
      </c>
    </row>
    <row r="975">
      <c r="AD975" s="224" t="str">
        <f>IFERROR(__xludf.DUMMYFUNCTION("""COMPUTED_VALUE"""),"")</f>
        <v/>
      </c>
      <c r="AE975" s="224"/>
      <c r="AF975" s="224" t="str">
        <f>IFERROR(__xludf.DUMMYFUNCTION("""COMPUTED_VALUE"""),"")</f>
        <v/>
      </c>
      <c r="AG975" s="224" t="str">
        <f>IFERROR(__xludf.DUMMYFUNCTION("""COMPUTED_VALUE"""),"")</f>
        <v/>
      </c>
    </row>
    <row r="976">
      <c r="AD976" s="224" t="str">
        <f>IFERROR(__xludf.DUMMYFUNCTION("""COMPUTED_VALUE"""),"")</f>
        <v/>
      </c>
      <c r="AE976" s="224"/>
      <c r="AF976" s="224" t="str">
        <f>IFERROR(__xludf.DUMMYFUNCTION("""COMPUTED_VALUE"""),"")</f>
        <v/>
      </c>
      <c r="AG976" s="224" t="str">
        <f>IFERROR(__xludf.DUMMYFUNCTION("""COMPUTED_VALUE"""),"")</f>
        <v/>
      </c>
    </row>
    <row r="977">
      <c r="AD977" s="224" t="str">
        <f>IFERROR(__xludf.DUMMYFUNCTION("""COMPUTED_VALUE"""),"")</f>
        <v/>
      </c>
      <c r="AE977" s="224"/>
      <c r="AF977" s="224" t="str">
        <f>IFERROR(__xludf.DUMMYFUNCTION("""COMPUTED_VALUE"""),"")</f>
        <v/>
      </c>
      <c r="AG977" s="224" t="str">
        <f>IFERROR(__xludf.DUMMYFUNCTION("""COMPUTED_VALUE"""),"")</f>
        <v/>
      </c>
    </row>
    <row r="978">
      <c r="AD978" s="224" t="str">
        <f>IFERROR(__xludf.DUMMYFUNCTION("""COMPUTED_VALUE"""),"")</f>
        <v/>
      </c>
      <c r="AE978" s="224"/>
      <c r="AF978" s="224" t="str">
        <f>IFERROR(__xludf.DUMMYFUNCTION("""COMPUTED_VALUE"""),"")</f>
        <v/>
      </c>
      <c r="AG978" s="224" t="str">
        <f>IFERROR(__xludf.DUMMYFUNCTION("""COMPUTED_VALUE"""),"")</f>
        <v/>
      </c>
    </row>
    <row r="979">
      <c r="AD979" s="224" t="str">
        <f>IFERROR(__xludf.DUMMYFUNCTION("""COMPUTED_VALUE"""),"")</f>
        <v/>
      </c>
      <c r="AE979" s="224"/>
      <c r="AF979" s="224" t="str">
        <f>IFERROR(__xludf.DUMMYFUNCTION("""COMPUTED_VALUE"""),"")</f>
        <v/>
      </c>
      <c r="AG979" s="224" t="str">
        <f>IFERROR(__xludf.DUMMYFUNCTION("""COMPUTED_VALUE"""),"")</f>
        <v/>
      </c>
    </row>
    <row r="980">
      <c r="AD980" s="224" t="str">
        <f>IFERROR(__xludf.DUMMYFUNCTION("""COMPUTED_VALUE"""),"")</f>
        <v/>
      </c>
      <c r="AE980" s="224"/>
      <c r="AF980" s="224" t="str">
        <f>IFERROR(__xludf.DUMMYFUNCTION("""COMPUTED_VALUE"""),"")</f>
        <v/>
      </c>
      <c r="AG980" s="224" t="str">
        <f>IFERROR(__xludf.DUMMYFUNCTION("""COMPUTED_VALUE"""),"")</f>
        <v/>
      </c>
    </row>
    <row r="981">
      <c r="AD981" s="224" t="str">
        <f>IFERROR(__xludf.DUMMYFUNCTION("""COMPUTED_VALUE"""),"")</f>
        <v/>
      </c>
      <c r="AE981" s="224"/>
      <c r="AF981" s="224" t="str">
        <f>IFERROR(__xludf.DUMMYFUNCTION("""COMPUTED_VALUE"""),"")</f>
        <v/>
      </c>
      <c r="AG981" s="224" t="str">
        <f>IFERROR(__xludf.DUMMYFUNCTION("""COMPUTED_VALUE"""),"")</f>
        <v/>
      </c>
    </row>
    <row r="982">
      <c r="AD982" s="224" t="str">
        <f>IFERROR(__xludf.DUMMYFUNCTION("""COMPUTED_VALUE"""),"")</f>
        <v/>
      </c>
      <c r="AE982" s="224"/>
      <c r="AF982" s="224" t="str">
        <f>IFERROR(__xludf.DUMMYFUNCTION("""COMPUTED_VALUE"""),"")</f>
        <v/>
      </c>
      <c r="AG982" s="224" t="str">
        <f>IFERROR(__xludf.DUMMYFUNCTION("""COMPUTED_VALUE"""),"")</f>
        <v/>
      </c>
    </row>
    <row r="983">
      <c r="AD983" s="224" t="str">
        <f>IFERROR(__xludf.DUMMYFUNCTION("""COMPUTED_VALUE"""),"")</f>
        <v/>
      </c>
      <c r="AE983" s="224"/>
      <c r="AF983" s="224" t="str">
        <f>IFERROR(__xludf.DUMMYFUNCTION("""COMPUTED_VALUE"""),"")</f>
        <v/>
      </c>
      <c r="AG983" s="224" t="str">
        <f>IFERROR(__xludf.DUMMYFUNCTION("""COMPUTED_VALUE"""),"")</f>
        <v/>
      </c>
    </row>
    <row r="984">
      <c r="AD984" s="224" t="str">
        <f>IFERROR(__xludf.DUMMYFUNCTION("""COMPUTED_VALUE"""),"")</f>
        <v/>
      </c>
      <c r="AE984" s="224"/>
      <c r="AF984" s="224" t="str">
        <f>IFERROR(__xludf.DUMMYFUNCTION("""COMPUTED_VALUE"""),"")</f>
        <v/>
      </c>
      <c r="AG984" s="224" t="str">
        <f>IFERROR(__xludf.DUMMYFUNCTION("""COMPUTED_VALUE"""),"")</f>
        <v/>
      </c>
    </row>
    <row r="985">
      <c r="AD985" s="224" t="str">
        <f>IFERROR(__xludf.DUMMYFUNCTION("""COMPUTED_VALUE"""),"")</f>
        <v/>
      </c>
      <c r="AE985" s="224"/>
      <c r="AF985" s="224" t="str">
        <f>IFERROR(__xludf.DUMMYFUNCTION("""COMPUTED_VALUE"""),"")</f>
        <v/>
      </c>
      <c r="AG985" s="224" t="str">
        <f>IFERROR(__xludf.DUMMYFUNCTION("""COMPUTED_VALUE"""),"")</f>
        <v/>
      </c>
    </row>
    <row r="986">
      <c r="AD986" s="224" t="str">
        <f>IFERROR(__xludf.DUMMYFUNCTION("""COMPUTED_VALUE"""),"")</f>
        <v/>
      </c>
      <c r="AE986" s="224"/>
      <c r="AF986" s="224" t="str">
        <f>IFERROR(__xludf.DUMMYFUNCTION("""COMPUTED_VALUE"""),"")</f>
        <v/>
      </c>
      <c r="AG986" s="224" t="str">
        <f>IFERROR(__xludf.DUMMYFUNCTION("""COMPUTED_VALUE"""),"")</f>
        <v/>
      </c>
    </row>
    <row r="987">
      <c r="AD987" s="224" t="str">
        <f>IFERROR(__xludf.DUMMYFUNCTION("""COMPUTED_VALUE"""),"")</f>
        <v/>
      </c>
      <c r="AE987" s="224"/>
      <c r="AF987" s="224" t="str">
        <f>IFERROR(__xludf.DUMMYFUNCTION("""COMPUTED_VALUE"""),"")</f>
        <v/>
      </c>
      <c r="AG987" s="224" t="str">
        <f>IFERROR(__xludf.DUMMYFUNCTION("""COMPUTED_VALUE"""),"")</f>
        <v/>
      </c>
    </row>
    <row r="988">
      <c r="AD988" s="224" t="str">
        <f>IFERROR(__xludf.DUMMYFUNCTION("""COMPUTED_VALUE"""),"")</f>
        <v/>
      </c>
      <c r="AE988" s="224"/>
      <c r="AF988" s="224" t="str">
        <f>IFERROR(__xludf.DUMMYFUNCTION("""COMPUTED_VALUE"""),"")</f>
        <v/>
      </c>
      <c r="AG988" s="224" t="str">
        <f>IFERROR(__xludf.DUMMYFUNCTION("""COMPUTED_VALUE"""),"")</f>
        <v/>
      </c>
    </row>
    <row r="989">
      <c r="AD989" s="224" t="str">
        <f>IFERROR(__xludf.DUMMYFUNCTION("""COMPUTED_VALUE"""),"")</f>
        <v/>
      </c>
      <c r="AE989" s="224"/>
      <c r="AF989" s="224" t="str">
        <f>IFERROR(__xludf.DUMMYFUNCTION("""COMPUTED_VALUE"""),"")</f>
        <v/>
      </c>
      <c r="AG989" s="224" t="str">
        <f>IFERROR(__xludf.DUMMYFUNCTION("""COMPUTED_VALUE"""),"")</f>
        <v/>
      </c>
    </row>
    <row r="990">
      <c r="AD990" s="224" t="str">
        <f>IFERROR(__xludf.DUMMYFUNCTION("""COMPUTED_VALUE"""),"")</f>
        <v/>
      </c>
      <c r="AE990" s="224"/>
      <c r="AF990" s="224" t="str">
        <f>IFERROR(__xludf.DUMMYFUNCTION("""COMPUTED_VALUE"""),"")</f>
        <v/>
      </c>
      <c r="AG990" s="224" t="str">
        <f>IFERROR(__xludf.DUMMYFUNCTION("""COMPUTED_VALUE"""),"")</f>
        <v/>
      </c>
    </row>
    <row r="991">
      <c r="AD991" s="224" t="str">
        <f>IFERROR(__xludf.DUMMYFUNCTION("""COMPUTED_VALUE"""),"")</f>
        <v/>
      </c>
      <c r="AE991" s="224"/>
      <c r="AF991" s="224" t="str">
        <f>IFERROR(__xludf.DUMMYFUNCTION("""COMPUTED_VALUE"""),"")</f>
        <v/>
      </c>
      <c r="AG991" s="224" t="str">
        <f>IFERROR(__xludf.DUMMYFUNCTION("""COMPUTED_VALUE"""),"")</f>
        <v/>
      </c>
    </row>
    <row r="992">
      <c r="AD992" s="224" t="str">
        <f>IFERROR(__xludf.DUMMYFUNCTION("""COMPUTED_VALUE"""),"")</f>
        <v/>
      </c>
      <c r="AE992" s="224"/>
      <c r="AF992" s="224" t="str">
        <f>IFERROR(__xludf.DUMMYFUNCTION("""COMPUTED_VALUE"""),"")</f>
        <v/>
      </c>
      <c r="AG992" s="224" t="str">
        <f>IFERROR(__xludf.DUMMYFUNCTION("""COMPUTED_VALUE"""),"")</f>
        <v/>
      </c>
    </row>
    <row r="993">
      <c r="AD993" s="224" t="str">
        <f>IFERROR(__xludf.DUMMYFUNCTION("""COMPUTED_VALUE"""),"")</f>
        <v/>
      </c>
      <c r="AE993" s="224"/>
      <c r="AF993" s="224" t="str">
        <f>IFERROR(__xludf.DUMMYFUNCTION("""COMPUTED_VALUE"""),"")</f>
        <v/>
      </c>
      <c r="AG993" s="224" t="str">
        <f>IFERROR(__xludf.DUMMYFUNCTION("""COMPUTED_VALUE"""),"")</f>
        <v/>
      </c>
    </row>
    <row r="994">
      <c r="AD994" s="224" t="str">
        <f>IFERROR(__xludf.DUMMYFUNCTION("""COMPUTED_VALUE"""),"")</f>
        <v/>
      </c>
      <c r="AE994" s="224"/>
      <c r="AF994" s="224" t="str">
        <f>IFERROR(__xludf.DUMMYFUNCTION("""COMPUTED_VALUE"""),"")</f>
        <v/>
      </c>
      <c r="AG994" s="224" t="str">
        <f>IFERROR(__xludf.DUMMYFUNCTION("""COMPUTED_VALUE"""),"")</f>
        <v/>
      </c>
    </row>
    <row r="995">
      <c r="AD995" s="224" t="str">
        <f>IFERROR(__xludf.DUMMYFUNCTION("""COMPUTED_VALUE"""),"")</f>
        <v/>
      </c>
      <c r="AE995" s="224"/>
      <c r="AF995" s="224" t="str">
        <f>IFERROR(__xludf.DUMMYFUNCTION("""COMPUTED_VALUE"""),"")</f>
        <v/>
      </c>
      <c r="AG995" s="224" t="str">
        <f>IFERROR(__xludf.DUMMYFUNCTION("""COMPUTED_VALUE"""),"")</f>
        <v/>
      </c>
    </row>
    <row r="996">
      <c r="AD996" s="224" t="str">
        <f>IFERROR(__xludf.DUMMYFUNCTION("""COMPUTED_VALUE"""),"")</f>
        <v/>
      </c>
      <c r="AE996" s="224"/>
      <c r="AF996" s="224" t="str">
        <f>IFERROR(__xludf.DUMMYFUNCTION("""COMPUTED_VALUE"""),"")</f>
        <v/>
      </c>
      <c r="AG996" s="224" t="str">
        <f>IFERROR(__xludf.DUMMYFUNCTION("""COMPUTED_VALUE"""),"")</f>
        <v/>
      </c>
    </row>
    <row r="997">
      <c r="AD997" s="224" t="str">
        <f>IFERROR(__xludf.DUMMYFUNCTION("""COMPUTED_VALUE"""),"")</f>
        <v/>
      </c>
      <c r="AE997" s="224"/>
      <c r="AF997" s="224" t="str">
        <f>IFERROR(__xludf.DUMMYFUNCTION("""COMPUTED_VALUE"""),"")</f>
        <v/>
      </c>
      <c r="AG997" s="224" t="str">
        <f>IFERROR(__xludf.DUMMYFUNCTION("""COMPUTED_VALUE"""),"")</f>
        <v/>
      </c>
    </row>
    <row r="998">
      <c r="AD998" s="224" t="str">
        <f>IFERROR(__xludf.DUMMYFUNCTION("""COMPUTED_VALUE"""),"")</f>
        <v/>
      </c>
      <c r="AE998" s="224"/>
      <c r="AF998" s="224" t="str">
        <f>IFERROR(__xludf.DUMMYFUNCTION("""COMPUTED_VALUE"""),"")</f>
        <v/>
      </c>
      <c r="AG998" s="224" t="str">
        <f>IFERROR(__xludf.DUMMYFUNCTION("""COMPUTED_VALUE"""),"")</f>
        <v/>
      </c>
    </row>
    <row r="999">
      <c r="AD999" s="224" t="str">
        <f>IFERROR(__xludf.DUMMYFUNCTION("""COMPUTED_VALUE"""),"")</f>
        <v/>
      </c>
      <c r="AE999" s="224"/>
      <c r="AF999" s="224" t="str">
        <f>IFERROR(__xludf.DUMMYFUNCTION("""COMPUTED_VALUE"""),"")</f>
        <v/>
      </c>
      <c r="AG999" s="224" t="str">
        <f>IFERROR(__xludf.DUMMYFUNCTION("""COMPUTED_VALUE"""),"")</f>
        <v/>
      </c>
    </row>
    <row r="1000">
      <c r="AD1000" s="224" t="str">
        <f>IFERROR(__xludf.DUMMYFUNCTION("""COMPUTED_VALUE"""),"")</f>
        <v/>
      </c>
      <c r="AE1000" s="224"/>
      <c r="AF1000" s="224" t="str">
        <f>IFERROR(__xludf.DUMMYFUNCTION("""COMPUTED_VALUE"""),"")</f>
        <v/>
      </c>
      <c r="AG1000" s="224" t="str">
        <f>IFERROR(__xludf.DUMMYFUNCTION("""COMPUTED_VALUE"""),"")</f>
        <v/>
      </c>
    </row>
    <row r="1001">
      <c r="AD1001" s="224"/>
      <c r="AE1001" s="224"/>
      <c r="AF1001" s="224"/>
      <c r="AG1001" s="224"/>
    </row>
    <row r="1002">
      <c r="AD1002" s="224"/>
      <c r="AE1002" s="224"/>
      <c r="AF1002" s="224"/>
      <c r="AG1002" s="224"/>
    </row>
    <row r="1003">
      <c r="AD1003" s="224"/>
      <c r="AE1003" s="224"/>
      <c r="AF1003" s="224"/>
      <c r="AG1003" s="224"/>
    </row>
    <row r="1004">
      <c r="AD1004" s="224"/>
      <c r="AE1004" s="224"/>
      <c r="AF1004" s="224"/>
      <c r="AG1004" s="224"/>
    </row>
    <row r="1005">
      <c r="AD1005" s="224"/>
      <c r="AE1005" s="224"/>
      <c r="AF1005" s="224"/>
      <c r="AG1005" s="224"/>
    </row>
    <row r="1006">
      <c r="AD1006" s="224"/>
      <c r="AE1006" s="224"/>
      <c r="AF1006" s="224"/>
      <c r="AG1006" s="224"/>
    </row>
    <row r="1007">
      <c r="AD1007" s="224"/>
      <c r="AE1007" s="224"/>
      <c r="AF1007" s="224"/>
      <c r="AG1007" s="224"/>
    </row>
    <row r="1008">
      <c r="AD1008" s="224"/>
      <c r="AE1008" s="224"/>
      <c r="AF1008" s="224"/>
      <c r="AG1008" s="224"/>
    </row>
    <row r="1009">
      <c r="AD1009" s="224"/>
      <c r="AE1009" s="224"/>
      <c r="AF1009" s="224"/>
      <c r="AG1009" s="224"/>
    </row>
    <row r="1010">
      <c r="AD1010" s="224"/>
      <c r="AE1010" s="224"/>
      <c r="AF1010" s="224"/>
      <c r="AG1010" s="224"/>
    </row>
    <row r="1011">
      <c r="AD1011" s="224"/>
      <c r="AE1011" s="224"/>
      <c r="AF1011" s="224"/>
      <c r="AG1011" s="224"/>
    </row>
    <row r="1012">
      <c r="AD1012" s="224"/>
      <c r="AE1012" s="224"/>
      <c r="AF1012" s="224"/>
      <c r="AG1012" s="224"/>
    </row>
    <row r="1013">
      <c r="AD1013" s="224"/>
      <c r="AE1013" s="224"/>
      <c r="AF1013" s="224"/>
      <c r="AG1013" s="224"/>
    </row>
    <row r="1014">
      <c r="AD1014" s="224"/>
      <c r="AE1014" s="224"/>
      <c r="AF1014" s="224"/>
      <c r="AG1014" s="224"/>
    </row>
    <row r="1015">
      <c r="AD1015" s="224"/>
      <c r="AE1015" s="224"/>
      <c r="AF1015" s="224"/>
      <c r="AG1015" s="224"/>
    </row>
    <row r="1016">
      <c r="AD1016" s="224"/>
      <c r="AE1016" s="224"/>
      <c r="AF1016" s="224"/>
      <c r="AG1016" s="224"/>
    </row>
    <row r="1017">
      <c r="AD1017" s="224"/>
      <c r="AE1017" s="224"/>
      <c r="AF1017" s="224"/>
      <c r="AG1017" s="224"/>
    </row>
    <row r="1018">
      <c r="AD1018" s="224"/>
      <c r="AE1018" s="224"/>
      <c r="AF1018" s="224"/>
      <c r="AG1018" s="224"/>
    </row>
    <row r="1019">
      <c r="AD1019" s="224"/>
      <c r="AE1019" s="224"/>
      <c r="AF1019" s="224"/>
      <c r="AG1019" s="224"/>
    </row>
    <row r="1020">
      <c r="AD1020" s="224"/>
      <c r="AE1020" s="224"/>
      <c r="AF1020" s="224"/>
      <c r="AG1020" s="224"/>
    </row>
    <row r="1021">
      <c r="AD1021" s="224"/>
      <c r="AE1021" s="224"/>
      <c r="AF1021" s="224"/>
      <c r="AG1021" s="224"/>
    </row>
    <row r="1022">
      <c r="AD1022" s="224"/>
      <c r="AE1022" s="224"/>
      <c r="AF1022" s="224"/>
      <c r="AG1022" s="224"/>
    </row>
    <row r="1023">
      <c r="AD1023" s="224"/>
      <c r="AE1023" s="224"/>
      <c r="AF1023" s="224"/>
      <c r="AG1023" s="224"/>
    </row>
    <row r="1024">
      <c r="AD1024" s="224"/>
      <c r="AE1024" s="224"/>
      <c r="AF1024" s="224"/>
      <c r="AG1024" s="224"/>
    </row>
    <row r="1025">
      <c r="AD1025" s="224"/>
      <c r="AE1025" s="224"/>
      <c r="AF1025" s="224"/>
      <c r="AG1025" s="224"/>
    </row>
    <row r="1026">
      <c r="AD1026" s="224"/>
      <c r="AE1026" s="224"/>
      <c r="AF1026" s="224"/>
      <c r="AG1026" s="224"/>
    </row>
    <row r="1027">
      <c r="AD1027" s="224"/>
      <c r="AE1027" s="224"/>
      <c r="AF1027" s="224"/>
      <c r="AG1027" s="224"/>
    </row>
    <row r="1028">
      <c r="AD1028" s="224"/>
      <c r="AE1028" s="224"/>
      <c r="AF1028" s="224"/>
      <c r="AG1028" s="224"/>
    </row>
    <row r="1029">
      <c r="AD1029" s="224"/>
      <c r="AE1029" s="224"/>
      <c r="AF1029" s="224"/>
      <c r="AG1029" s="224"/>
    </row>
    <row r="1030">
      <c r="AD1030" s="224"/>
      <c r="AE1030" s="224"/>
      <c r="AF1030" s="224"/>
      <c r="AG1030" s="224"/>
    </row>
    <row r="1031">
      <c r="AD1031" s="224"/>
      <c r="AE1031" s="224"/>
      <c r="AF1031" s="224"/>
      <c r="AG1031" s="224"/>
    </row>
    <row r="1032">
      <c r="AD1032" s="224"/>
      <c r="AE1032" s="224"/>
      <c r="AF1032" s="224"/>
      <c r="AG1032" s="224"/>
    </row>
    <row r="1033">
      <c r="AD1033" s="224"/>
      <c r="AE1033" s="224"/>
      <c r="AF1033" s="224"/>
      <c r="AG1033" s="224"/>
    </row>
    <row r="1034">
      <c r="AD1034" s="224"/>
      <c r="AE1034" s="224"/>
      <c r="AF1034" s="224"/>
      <c r="AG1034" s="224"/>
    </row>
    <row r="1035">
      <c r="AD1035" s="224"/>
      <c r="AE1035" s="224"/>
      <c r="AF1035" s="224"/>
      <c r="AG1035" s="224"/>
    </row>
    <row r="1036">
      <c r="AD1036" s="224"/>
      <c r="AE1036" s="224"/>
      <c r="AF1036" s="224"/>
      <c r="AG1036" s="224"/>
    </row>
    <row r="1037">
      <c r="AD1037" s="224"/>
      <c r="AE1037" s="224"/>
      <c r="AF1037" s="224"/>
      <c r="AG1037" s="224"/>
    </row>
    <row r="1038">
      <c r="AD1038" s="224"/>
      <c r="AE1038" s="224"/>
      <c r="AF1038" s="224"/>
      <c r="AG1038" s="224"/>
    </row>
    <row r="1039">
      <c r="AD1039" s="224"/>
      <c r="AE1039" s="224"/>
      <c r="AF1039" s="224"/>
      <c r="AG1039" s="224"/>
    </row>
    <row r="1040">
      <c r="AD1040" s="224"/>
      <c r="AE1040" s="224"/>
      <c r="AF1040" s="224"/>
      <c r="AG1040" s="224"/>
    </row>
    <row r="1041">
      <c r="AD1041" s="224"/>
      <c r="AE1041" s="224"/>
      <c r="AF1041" s="224"/>
      <c r="AG1041" s="224"/>
    </row>
    <row r="1042">
      <c r="AD1042" s="224"/>
      <c r="AE1042" s="224"/>
      <c r="AF1042" s="224"/>
      <c r="AG1042" s="224"/>
    </row>
    <row r="1043">
      <c r="AD1043" s="224"/>
      <c r="AE1043" s="224"/>
      <c r="AF1043" s="224"/>
      <c r="AG1043" s="224"/>
    </row>
    <row r="1044">
      <c r="AD1044" s="224"/>
      <c r="AE1044" s="224"/>
      <c r="AF1044" s="224"/>
      <c r="AG1044" s="224"/>
    </row>
    <row r="1045">
      <c r="AD1045" s="224"/>
      <c r="AE1045" s="224"/>
      <c r="AF1045" s="224"/>
      <c r="AG1045" s="224"/>
    </row>
    <row r="1046">
      <c r="AD1046" s="224"/>
      <c r="AE1046" s="224"/>
      <c r="AF1046" s="224"/>
      <c r="AG1046" s="224"/>
    </row>
    <row r="1047">
      <c r="AD1047" s="224"/>
      <c r="AE1047" s="224"/>
      <c r="AF1047" s="224"/>
      <c r="AG1047" s="224"/>
    </row>
    <row r="1048">
      <c r="AD1048" s="224"/>
      <c r="AE1048" s="224"/>
      <c r="AF1048" s="224"/>
      <c r="AG1048" s="224"/>
    </row>
    <row r="1049">
      <c r="AD1049" s="224"/>
      <c r="AE1049" s="224"/>
      <c r="AF1049" s="224"/>
      <c r="AG1049" s="224"/>
    </row>
    <row r="1050">
      <c r="AD1050" s="224"/>
      <c r="AE1050" s="224"/>
      <c r="AF1050" s="224"/>
      <c r="AG1050" s="224"/>
    </row>
    <row r="1051">
      <c r="AD1051" s="224"/>
      <c r="AE1051" s="224"/>
      <c r="AF1051" s="224"/>
      <c r="AG1051" s="224"/>
    </row>
    <row r="1052">
      <c r="AD1052" s="224"/>
      <c r="AE1052" s="224"/>
      <c r="AF1052" s="224"/>
      <c r="AG1052" s="224"/>
    </row>
    <row r="1053">
      <c r="AD1053" s="224"/>
      <c r="AE1053" s="224"/>
      <c r="AF1053" s="224"/>
      <c r="AG1053" s="224"/>
    </row>
    <row r="1054">
      <c r="AD1054" s="224"/>
      <c r="AE1054" s="224"/>
      <c r="AF1054" s="224"/>
      <c r="AG1054" s="224"/>
    </row>
    <row r="1055">
      <c r="AD1055" s="224"/>
      <c r="AE1055" s="224"/>
      <c r="AF1055" s="224"/>
      <c r="AG1055" s="224"/>
    </row>
    <row r="1056">
      <c r="AD1056" s="224"/>
      <c r="AE1056" s="224"/>
      <c r="AF1056" s="224"/>
      <c r="AG1056" s="224"/>
    </row>
    <row r="1057">
      <c r="AD1057" s="224"/>
      <c r="AE1057" s="224"/>
      <c r="AF1057" s="224"/>
      <c r="AG1057" s="224"/>
    </row>
    <row r="1058">
      <c r="AD1058" s="224"/>
      <c r="AE1058" s="224"/>
      <c r="AF1058" s="224"/>
      <c r="AG1058" s="224"/>
    </row>
    <row r="1059">
      <c r="AD1059" s="224"/>
      <c r="AE1059" s="224"/>
      <c r="AF1059" s="224"/>
      <c r="AG1059" s="224"/>
    </row>
    <row r="1060">
      <c r="AD1060" s="224"/>
      <c r="AE1060" s="224"/>
      <c r="AF1060" s="224"/>
      <c r="AG1060" s="224"/>
    </row>
    <row r="1061">
      <c r="AD1061" s="224"/>
      <c r="AE1061" s="224"/>
      <c r="AF1061" s="224"/>
      <c r="AG1061" s="224"/>
    </row>
    <row r="1062">
      <c r="AD1062" s="224"/>
      <c r="AE1062" s="224"/>
      <c r="AF1062" s="224"/>
      <c r="AG1062" s="224"/>
    </row>
    <row r="1063">
      <c r="AD1063" s="224"/>
      <c r="AE1063" s="224"/>
      <c r="AF1063" s="224"/>
      <c r="AG1063" s="224"/>
    </row>
    <row r="1064">
      <c r="AD1064" s="224"/>
      <c r="AE1064" s="224"/>
      <c r="AF1064" s="224"/>
      <c r="AG1064" s="224"/>
    </row>
    <row r="1065">
      <c r="AD1065" s="224"/>
      <c r="AE1065" s="224"/>
      <c r="AF1065" s="224"/>
      <c r="AG1065" s="224"/>
    </row>
    <row r="1066">
      <c r="AD1066" s="224"/>
      <c r="AE1066" s="224"/>
      <c r="AF1066" s="224"/>
      <c r="AG1066" s="224"/>
    </row>
    <row r="1067">
      <c r="AD1067" s="224"/>
      <c r="AE1067" s="224"/>
      <c r="AF1067" s="224"/>
      <c r="AG1067" s="224"/>
    </row>
    <row r="1068">
      <c r="AD1068" s="224"/>
      <c r="AE1068" s="224"/>
      <c r="AF1068" s="224"/>
      <c r="AG1068" s="224"/>
    </row>
    <row r="1069">
      <c r="AD1069" s="224"/>
      <c r="AE1069" s="224"/>
      <c r="AF1069" s="224"/>
      <c r="AG1069" s="224"/>
    </row>
    <row r="1070">
      <c r="AD1070" s="224"/>
      <c r="AE1070" s="224"/>
      <c r="AF1070" s="224"/>
      <c r="AG1070" s="224"/>
    </row>
    <row r="1071">
      <c r="AD1071" s="224"/>
      <c r="AE1071" s="224"/>
      <c r="AF1071" s="224"/>
      <c r="AG1071" s="224"/>
    </row>
    <row r="1072">
      <c r="AD1072" s="224"/>
      <c r="AE1072" s="224"/>
      <c r="AF1072" s="224"/>
      <c r="AG1072" s="224"/>
    </row>
    <row r="1073">
      <c r="AD1073" s="224"/>
      <c r="AE1073" s="224"/>
      <c r="AF1073" s="224"/>
      <c r="AG1073" s="224"/>
    </row>
    <row r="1074">
      <c r="AD1074" s="224"/>
      <c r="AE1074" s="224"/>
      <c r="AF1074" s="224"/>
      <c r="AG1074" s="224"/>
    </row>
    <row r="1075">
      <c r="AD1075" s="224"/>
      <c r="AE1075" s="224"/>
      <c r="AF1075" s="224"/>
      <c r="AG1075" s="224"/>
    </row>
    <row r="1076">
      <c r="AD1076" s="224"/>
      <c r="AE1076" s="224"/>
      <c r="AF1076" s="224"/>
      <c r="AG1076" s="224"/>
    </row>
    <row r="1077">
      <c r="AD1077" s="224"/>
      <c r="AE1077" s="224"/>
      <c r="AF1077" s="224"/>
      <c r="AG1077" s="224"/>
    </row>
    <row r="1078">
      <c r="AD1078" s="224"/>
      <c r="AE1078" s="224"/>
      <c r="AF1078" s="224"/>
      <c r="AG1078" s="224"/>
    </row>
    <row r="1079">
      <c r="AD1079" s="224"/>
      <c r="AE1079" s="224"/>
      <c r="AF1079" s="224"/>
      <c r="AG1079" s="224"/>
    </row>
    <row r="1080">
      <c r="AD1080" s="224"/>
      <c r="AE1080" s="224"/>
      <c r="AF1080" s="224"/>
      <c r="AG1080" s="224"/>
    </row>
    <row r="1081">
      <c r="AD1081" s="224"/>
      <c r="AE1081" s="224"/>
      <c r="AF1081" s="224"/>
      <c r="AG1081" s="224"/>
    </row>
    <row r="1082">
      <c r="AD1082" s="224"/>
      <c r="AE1082" s="224"/>
      <c r="AF1082" s="224"/>
      <c r="AG1082" s="224"/>
    </row>
    <row r="1083">
      <c r="AD1083" s="224"/>
      <c r="AE1083" s="224"/>
      <c r="AF1083" s="224"/>
      <c r="AG1083" s="224"/>
    </row>
    <row r="1084">
      <c r="AD1084" s="224"/>
      <c r="AE1084" s="224"/>
      <c r="AF1084" s="224"/>
      <c r="AG1084" s="224"/>
    </row>
    <row r="1085">
      <c r="AD1085" s="224"/>
      <c r="AE1085" s="224"/>
      <c r="AF1085" s="224"/>
      <c r="AG1085" s="224"/>
    </row>
    <row r="1086">
      <c r="AD1086" s="224"/>
      <c r="AE1086" s="224"/>
      <c r="AF1086" s="224"/>
      <c r="AG1086" s="224"/>
    </row>
    <row r="1087">
      <c r="AD1087" s="224"/>
      <c r="AE1087" s="224"/>
      <c r="AF1087" s="224"/>
      <c r="AG1087" s="224"/>
    </row>
    <row r="1088">
      <c r="AD1088" s="224"/>
      <c r="AE1088" s="224"/>
      <c r="AF1088" s="224"/>
      <c r="AG1088" s="224"/>
    </row>
    <row r="1089">
      <c r="AD1089" s="224"/>
      <c r="AE1089" s="224"/>
      <c r="AF1089" s="224"/>
      <c r="AG1089" s="224"/>
    </row>
    <row r="1090">
      <c r="AD1090" s="224"/>
      <c r="AE1090" s="224"/>
      <c r="AF1090" s="224"/>
      <c r="AG1090" s="224"/>
    </row>
    <row r="1091">
      <c r="AD1091" s="224"/>
      <c r="AE1091" s="224"/>
      <c r="AF1091" s="224"/>
      <c r="AG1091" s="224"/>
    </row>
    <row r="1092">
      <c r="AD1092" s="224"/>
      <c r="AE1092" s="224"/>
      <c r="AF1092" s="224"/>
      <c r="AG1092" s="224"/>
    </row>
    <row r="1093">
      <c r="AD1093" s="224"/>
      <c r="AE1093" s="224"/>
      <c r="AF1093" s="224"/>
      <c r="AG1093" s="224"/>
    </row>
    <row r="1094">
      <c r="AD1094" s="224"/>
      <c r="AE1094" s="224"/>
      <c r="AF1094" s="224"/>
      <c r="AG1094" s="224"/>
    </row>
    <row r="1095">
      <c r="AD1095" s="224"/>
      <c r="AE1095" s="224"/>
      <c r="AF1095" s="224"/>
      <c r="AG1095" s="224"/>
    </row>
    <row r="1096">
      <c r="AD1096" s="224"/>
      <c r="AE1096" s="224"/>
      <c r="AF1096" s="224"/>
      <c r="AG1096" s="224"/>
    </row>
    <row r="1097">
      <c r="AD1097" s="224"/>
      <c r="AE1097" s="224"/>
      <c r="AF1097" s="224"/>
      <c r="AG1097" s="224"/>
    </row>
    <row r="1098">
      <c r="AD1098" s="224"/>
      <c r="AE1098" s="224"/>
      <c r="AF1098" s="224"/>
      <c r="AG1098" s="224"/>
    </row>
    <row r="1099">
      <c r="AD1099" s="224"/>
      <c r="AE1099" s="224"/>
      <c r="AF1099" s="224"/>
      <c r="AG1099" s="224"/>
    </row>
    <row r="1100">
      <c r="AD1100" s="224"/>
      <c r="AE1100" s="224"/>
      <c r="AF1100" s="224"/>
      <c r="AG1100" s="224"/>
    </row>
    <row r="1101">
      <c r="AD1101" s="224"/>
      <c r="AE1101" s="224"/>
      <c r="AF1101" s="224"/>
      <c r="AG1101" s="224"/>
    </row>
    <row r="1102">
      <c r="AD1102" s="224"/>
      <c r="AE1102" s="224"/>
      <c r="AF1102" s="224"/>
      <c r="AG1102" s="224"/>
    </row>
    <row r="1103">
      <c r="AD1103" s="224"/>
      <c r="AE1103" s="224"/>
      <c r="AF1103" s="224"/>
      <c r="AG1103" s="224"/>
    </row>
    <row r="1104">
      <c r="AD1104" s="224"/>
      <c r="AE1104" s="224"/>
      <c r="AF1104" s="224"/>
      <c r="AG1104" s="224"/>
    </row>
    <row r="1105">
      <c r="AD1105" s="224"/>
      <c r="AE1105" s="224"/>
      <c r="AF1105" s="224"/>
      <c r="AG1105" s="224"/>
    </row>
    <row r="1106">
      <c r="AD1106" s="224"/>
      <c r="AE1106" s="224"/>
      <c r="AF1106" s="224"/>
      <c r="AG1106" s="224"/>
    </row>
    <row r="1107">
      <c r="AD1107" s="224"/>
      <c r="AE1107" s="224"/>
      <c r="AF1107" s="224"/>
      <c r="AG1107" s="224"/>
    </row>
    <row r="1108">
      <c r="AD1108" s="224"/>
      <c r="AE1108" s="224"/>
      <c r="AF1108" s="224"/>
      <c r="AG1108" s="224"/>
    </row>
    <row r="1109">
      <c r="AD1109" s="224"/>
      <c r="AE1109" s="224"/>
      <c r="AF1109" s="224"/>
      <c r="AG1109" s="224"/>
    </row>
    <row r="1110">
      <c r="AD1110" s="224"/>
      <c r="AE1110" s="224"/>
      <c r="AF1110" s="224"/>
      <c r="AG1110" s="224"/>
    </row>
    <row r="1111">
      <c r="AD1111" s="224"/>
      <c r="AE1111" s="224"/>
      <c r="AF1111" s="224"/>
      <c r="AG1111" s="224"/>
    </row>
    <row r="1112">
      <c r="AD1112" s="224"/>
      <c r="AE1112" s="224"/>
      <c r="AF1112" s="224"/>
      <c r="AG1112" s="224"/>
    </row>
    <row r="1113">
      <c r="AD1113" s="224"/>
      <c r="AE1113" s="224"/>
      <c r="AF1113" s="224"/>
      <c r="AG1113" s="224"/>
    </row>
    <row r="1114">
      <c r="AD1114" s="224"/>
      <c r="AE1114" s="224"/>
      <c r="AF1114" s="224"/>
      <c r="AG1114" s="224"/>
    </row>
    <row r="1115">
      <c r="AD1115" s="224"/>
      <c r="AE1115" s="224"/>
      <c r="AF1115" s="224"/>
      <c r="AG1115" s="224"/>
    </row>
    <row r="1116">
      <c r="AD1116" s="224"/>
      <c r="AE1116" s="224"/>
      <c r="AF1116" s="224"/>
      <c r="AG1116" s="224"/>
    </row>
    <row r="1117">
      <c r="AD1117" s="224"/>
      <c r="AE1117" s="224"/>
      <c r="AF1117" s="224"/>
      <c r="AG1117" s="224"/>
    </row>
    <row r="1118">
      <c r="AD1118" s="224"/>
      <c r="AE1118" s="224"/>
      <c r="AF1118" s="224"/>
      <c r="AG1118" s="224"/>
    </row>
    <row r="1119">
      <c r="AD1119" s="224"/>
      <c r="AE1119" s="224"/>
      <c r="AF1119" s="224"/>
      <c r="AG1119" s="224"/>
    </row>
    <row r="1120">
      <c r="AD1120" s="224"/>
      <c r="AE1120" s="224"/>
      <c r="AF1120" s="224"/>
      <c r="AG1120" s="224"/>
    </row>
    <row r="1121">
      <c r="AD1121" s="224"/>
      <c r="AE1121" s="224"/>
      <c r="AF1121" s="224"/>
      <c r="AG1121" s="224"/>
    </row>
    <row r="1122">
      <c r="AD1122" s="224"/>
      <c r="AE1122" s="224"/>
      <c r="AF1122" s="224"/>
      <c r="AG1122" s="224"/>
    </row>
    <row r="1123">
      <c r="AD1123" s="224"/>
      <c r="AE1123" s="224"/>
      <c r="AF1123" s="224"/>
      <c r="AG1123" s="224"/>
    </row>
    <row r="1124">
      <c r="AD1124" s="224"/>
      <c r="AE1124" s="224"/>
      <c r="AF1124" s="224"/>
      <c r="AG1124" s="224"/>
    </row>
    <row r="1125">
      <c r="AD1125" s="224"/>
      <c r="AE1125" s="224"/>
      <c r="AF1125" s="224"/>
      <c r="AG1125" s="224"/>
    </row>
    <row r="1126">
      <c r="AD1126" s="224"/>
      <c r="AE1126" s="224"/>
      <c r="AF1126" s="224"/>
      <c r="AG1126" s="224"/>
    </row>
    <row r="1127">
      <c r="AD1127" s="224"/>
      <c r="AE1127" s="224"/>
      <c r="AF1127" s="224"/>
      <c r="AG1127" s="224"/>
    </row>
    <row r="1128">
      <c r="AD1128" s="224"/>
      <c r="AE1128" s="224"/>
      <c r="AF1128" s="224"/>
      <c r="AG1128" s="224"/>
    </row>
    <row r="1129">
      <c r="AD1129" s="224"/>
      <c r="AE1129" s="224"/>
      <c r="AF1129" s="224"/>
      <c r="AG1129" s="224"/>
    </row>
    <row r="1130">
      <c r="AD1130" s="224"/>
      <c r="AE1130" s="224"/>
      <c r="AF1130" s="224"/>
      <c r="AG1130" s="224"/>
    </row>
    <row r="1131">
      <c r="AD1131" s="224"/>
      <c r="AE1131" s="224"/>
      <c r="AF1131" s="224"/>
      <c r="AG1131" s="224"/>
    </row>
    <row r="1132">
      <c r="AD1132" s="224"/>
      <c r="AE1132" s="224"/>
      <c r="AF1132" s="224"/>
      <c r="AG1132" s="224"/>
    </row>
    <row r="1133">
      <c r="AD1133" s="224"/>
      <c r="AE1133" s="224"/>
      <c r="AF1133" s="224"/>
      <c r="AG1133" s="224"/>
    </row>
    <row r="1134">
      <c r="AD1134" s="224"/>
      <c r="AE1134" s="224"/>
      <c r="AF1134" s="224"/>
      <c r="AG1134" s="224"/>
    </row>
    <row r="1135">
      <c r="AD1135" s="224"/>
      <c r="AE1135" s="224"/>
      <c r="AF1135" s="224"/>
      <c r="AG1135" s="224"/>
    </row>
    <row r="1136">
      <c r="AD1136" s="224"/>
      <c r="AE1136" s="224"/>
      <c r="AF1136" s="224"/>
      <c r="AG1136" s="224"/>
    </row>
    <row r="1137">
      <c r="AD1137" s="224"/>
      <c r="AE1137" s="224"/>
      <c r="AF1137" s="224"/>
      <c r="AG1137" s="224"/>
    </row>
    <row r="1138">
      <c r="AD1138" s="224"/>
      <c r="AE1138" s="224"/>
      <c r="AF1138" s="224"/>
      <c r="AG1138" s="224"/>
    </row>
    <row r="1139">
      <c r="AD1139" s="224"/>
      <c r="AE1139" s="224"/>
      <c r="AF1139" s="224"/>
      <c r="AG1139" s="224"/>
    </row>
    <row r="1140">
      <c r="AD1140" s="224"/>
      <c r="AE1140" s="224"/>
      <c r="AF1140" s="224"/>
      <c r="AG1140" s="224"/>
    </row>
    <row r="1141">
      <c r="AD1141" s="224"/>
      <c r="AE1141" s="224"/>
      <c r="AF1141" s="224"/>
      <c r="AG1141" s="224"/>
    </row>
    <row r="1142">
      <c r="AD1142" s="224"/>
      <c r="AE1142" s="224"/>
      <c r="AF1142" s="224"/>
      <c r="AG1142" s="224"/>
    </row>
    <row r="1143">
      <c r="AD1143" s="224"/>
      <c r="AE1143" s="224"/>
      <c r="AF1143" s="224"/>
      <c r="AG1143" s="224"/>
    </row>
    <row r="1144">
      <c r="AD1144" s="224"/>
      <c r="AE1144" s="224"/>
      <c r="AF1144" s="224"/>
      <c r="AG1144" s="224"/>
    </row>
    <row r="1145">
      <c r="AD1145" s="224"/>
      <c r="AE1145" s="224"/>
      <c r="AF1145" s="224"/>
      <c r="AG1145" s="224"/>
    </row>
    <row r="1146">
      <c r="AD1146" s="224"/>
      <c r="AE1146" s="224"/>
      <c r="AF1146" s="224"/>
      <c r="AG1146" s="224"/>
    </row>
    <row r="1147">
      <c r="AD1147" s="224"/>
      <c r="AE1147" s="224"/>
      <c r="AF1147" s="224"/>
      <c r="AG1147" s="224"/>
    </row>
    <row r="1148">
      <c r="AD1148" s="224"/>
      <c r="AE1148" s="224"/>
      <c r="AF1148" s="224"/>
      <c r="AG1148" s="224"/>
    </row>
    <row r="1149">
      <c r="AD1149" s="224"/>
      <c r="AE1149" s="224"/>
      <c r="AF1149" s="224"/>
      <c r="AG1149" s="224"/>
    </row>
    <row r="1150">
      <c r="AD1150" s="224"/>
      <c r="AE1150" s="224"/>
      <c r="AF1150" s="224"/>
      <c r="AG1150" s="224"/>
    </row>
    <row r="1151">
      <c r="AD1151" s="224"/>
      <c r="AE1151" s="224"/>
      <c r="AF1151" s="224"/>
      <c r="AG1151" s="224"/>
    </row>
    <row r="1152">
      <c r="AD1152" s="224"/>
      <c r="AE1152" s="224"/>
      <c r="AF1152" s="224"/>
      <c r="AG1152" s="224"/>
    </row>
    <row r="1153">
      <c r="AD1153" s="224"/>
      <c r="AE1153" s="224"/>
      <c r="AF1153" s="224"/>
      <c r="AG1153" s="224"/>
    </row>
    <row r="1154">
      <c r="AD1154" s="224"/>
      <c r="AE1154" s="224"/>
      <c r="AF1154" s="224"/>
      <c r="AG1154" s="224"/>
    </row>
    <row r="1155">
      <c r="AD1155" s="224"/>
      <c r="AE1155" s="224"/>
      <c r="AF1155" s="224"/>
      <c r="AG1155" s="224"/>
    </row>
    <row r="1156">
      <c r="AD1156" s="224"/>
      <c r="AE1156" s="224"/>
      <c r="AF1156" s="224"/>
      <c r="AG1156" s="224"/>
    </row>
    <row r="1157">
      <c r="AD1157" s="224"/>
      <c r="AE1157" s="224"/>
      <c r="AF1157" s="224"/>
      <c r="AG1157" s="224"/>
    </row>
    <row r="1158">
      <c r="AD1158" s="224"/>
      <c r="AE1158" s="224"/>
      <c r="AF1158" s="224"/>
      <c r="AG1158" s="224"/>
    </row>
    <row r="1159">
      <c r="AD1159" s="224"/>
      <c r="AE1159" s="224"/>
      <c r="AF1159" s="224"/>
      <c r="AG1159" s="224"/>
    </row>
    <row r="1160">
      <c r="AD1160" s="224"/>
      <c r="AE1160" s="224"/>
      <c r="AF1160" s="224"/>
      <c r="AG1160" s="224"/>
    </row>
    <row r="1161">
      <c r="AD1161" s="224"/>
      <c r="AE1161" s="224"/>
      <c r="AF1161" s="224"/>
      <c r="AG1161" s="224"/>
    </row>
    <row r="1162">
      <c r="AD1162" s="224"/>
      <c r="AE1162" s="224"/>
      <c r="AF1162" s="224"/>
      <c r="AG1162" s="224"/>
    </row>
    <row r="1163">
      <c r="AD1163" s="224"/>
      <c r="AE1163" s="224"/>
      <c r="AF1163" s="224"/>
      <c r="AG1163" s="224"/>
    </row>
    <row r="1164">
      <c r="AD1164" s="224"/>
      <c r="AE1164" s="224"/>
      <c r="AF1164" s="224"/>
      <c r="AG1164" s="224"/>
    </row>
    <row r="1165">
      <c r="AD1165" s="224"/>
      <c r="AE1165" s="224"/>
      <c r="AF1165" s="224"/>
      <c r="AG1165" s="224"/>
    </row>
    <row r="1166">
      <c r="AD1166" s="224"/>
      <c r="AE1166" s="224"/>
      <c r="AF1166" s="224"/>
      <c r="AG1166" s="224"/>
    </row>
    <row r="1167">
      <c r="AD1167" s="224"/>
      <c r="AE1167" s="224"/>
      <c r="AF1167" s="224"/>
      <c r="AG1167" s="224"/>
    </row>
    <row r="1168">
      <c r="AD1168" s="224"/>
      <c r="AE1168" s="224"/>
      <c r="AF1168" s="224"/>
      <c r="AG1168" s="224"/>
    </row>
    <row r="1169">
      <c r="AD1169" s="224"/>
      <c r="AE1169" s="224"/>
      <c r="AF1169" s="224"/>
      <c r="AG1169" s="224"/>
    </row>
    <row r="1170">
      <c r="AD1170" s="224"/>
      <c r="AE1170" s="224"/>
      <c r="AF1170" s="224"/>
      <c r="AG1170" s="224"/>
    </row>
    <row r="1171">
      <c r="AD1171" s="224"/>
      <c r="AE1171" s="224"/>
      <c r="AF1171" s="224"/>
      <c r="AG1171" s="224"/>
    </row>
    <row r="1172">
      <c r="AD1172" s="224"/>
      <c r="AE1172" s="224"/>
      <c r="AF1172" s="224"/>
      <c r="AG1172" s="224"/>
    </row>
    <row r="1173">
      <c r="AD1173" s="224"/>
      <c r="AE1173" s="224"/>
      <c r="AF1173" s="224"/>
      <c r="AG1173" s="224"/>
    </row>
    <row r="1174">
      <c r="AD1174" s="224"/>
      <c r="AE1174" s="224"/>
      <c r="AF1174" s="224"/>
      <c r="AG1174" s="224"/>
    </row>
    <row r="1175">
      <c r="AD1175" s="224"/>
      <c r="AE1175" s="224"/>
      <c r="AF1175" s="224"/>
      <c r="AG1175" s="224"/>
    </row>
    <row r="1176">
      <c r="AD1176" s="224"/>
      <c r="AE1176" s="224"/>
      <c r="AF1176" s="224"/>
      <c r="AG1176" s="224"/>
    </row>
    <row r="1177">
      <c r="AD1177" s="224"/>
      <c r="AE1177" s="224"/>
      <c r="AF1177" s="224"/>
      <c r="AG1177" s="224"/>
    </row>
    <row r="1178">
      <c r="AD1178" s="224"/>
      <c r="AE1178" s="224"/>
      <c r="AF1178" s="224"/>
      <c r="AG1178" s="224"/>
    </row>
    <row r="1179">
      <c r="AD1179" s="224"/>
      <c r="AE1179" s="224"/>
      <c r="AF1179" s="224"/>
      <c r="AG1179" s="224"/>
    </row>
    <row r="1180">
      <c r="AD1180" s="224"/>
      <c r="AE1180" s="224"/>
      <c r="AF1180" s="224"/>
      <c r="AG1180" s="224"/>
    </row>
    <row r="1181">
      <c r="AD1181" s="224"/>
      <c r="AE1181" s="224"/>
      <c r="AF1181" s="224"/>
      <c r="AG1181" s="224"/>
    </row>
    <row r="1182">
      <c r="AD1182" s="224"/>
      <c r="AE1182" s="224"/>
      <c r="AF1182" s="224"/>
      <c r="AG1182" s="224"/>
    </row>
    <row r="1183">
      <c r="AD1183" s="224"/>
      <c r="AE1183" s="224"/>
      <c r="AF1183" s="224"/>
      <c r="AG1183" s="224"/>
    </row>
    <row r="1184">
      <c r="AD1184" s="224"/>
      <c r="AE1184" s="224"/>
      <c r="AF1184" s="224"/>
      <c r="AG1184" s="224"/>
    </row>
    <row r="1185">
      <c r="AD1185" s="224"/>
      <c r="AE1185" s="224"/>
      <c r="AF1185" s="224"/>
      <c r="AG1185" s="224"/>
    </row>
    <row r="1186">
      <c r="AD1186" s="224"/>
      <c r="AE1186" s="224"/>
      <c r="AF1186" s="224"/>
      <c r="AG1186" s="224"/>
    </row>
    <row r="1187">
      <c r="AD1187" s="224"/>
      <c r="AE1187" s="224"/>
      <c r="AF1187" s="224"/>
      <c r="AG1187" s="224"/>
    </row>
    <row r="1188">
      <c r="AD1188" s="224"/>
      <c r="AE1188" s="224"/>
      <c r="AF1188" s="224"/>
      <c r="AG1188" s="224"/>
    </row>
    <row r="1189">
      <c r="AD1189" s="224"/>
      <c r="AE1189" s="224"/>
      <c r="AF1189" s="224"/>
      <c r="AG1189" s="224"/>
    </row>
    <row r="1190">
      <c r="AD1190" s="224"/>
      <c r="AE1190" s="224"/>
      <c r="AF1190" s="224"/>
      <c r="AG1190" s="224"/>
    </row>
    <row r="1191">
      <c r="AD1191" s="224"/>
      <c r="AE1191" s="224"/>
      <c r="AF1191" s="224"/>
      <c r="AG1191" s="224"/>
    </row>
    <row r="1192">
      <c r="AD1192" s="224"/>
      <c r="AE1192" s="224"/>
      <c r="AF1192" s="224"/>
      <c r="AG1192" s="224"/>
    </row>
    <row r="1193">
      <c r="AD1193" s="224"/>
      <c r="AE1193" s="224"/>
      <c r="AF1193" s="224"/>
      <c r="AG1193" s="224"/>
    </row>
    <row r="1194">
      <c r="AD1194" s="224"/>
      <c r="AE1194" s="224"/>
      <c r="AF1194" s="224"/>
      <c r="AG1194" s="224"/>
    </row>
    <row r="1195">
      <c r="AD1195" s="224"/>
      <c r="AE1195" s="224"/>
      <c r="AF1195" s="224"/>
      <c r="AG1195" s="224"/>
    </row>
    <row r="1196">
      <c r="AD1196" s="224"/>
      <c r="AE1196" s="224"/>
      <c r="AF1196" s="224"/>
      <c r="AG1196" s="224"/>
    </row>
    <row r="1197">
      <c r="AD1197" s="224"/>
      <c r="AE1197" s="224"/>
      <c r="AF1197" s="224"/>
      <c r="AG1197" s="224"/>
    </row>
    <row r="1198">
      <c r="AD1198" s="224"/>
      <c r="AE1198" s="224"/>
      <c r="AF1198" s="224"/>
      <c r="AG1198" s="224"/>
    </row>
    <row r="1199">
      <c r="AD1199" s="224"/>
      <c r="AE1199" s="224"/>
      <c r="AF1199" s="224"/>
      <c r="AG1199" s="224"/>
    </row>
    <row r="1200">
      <c r="AD1200" s="224"/>
      <c r="AE1200" s="224"/>
      <c r="AF1200" s="224"/>
      <c r="AG1200" s="224"/>
    </row>
    <row r="1201">
      <c r="AD1201" s="224"/>
      <c r="AE1201" s="224"/>
      <c r="AF1201" s="224"/>
      <c r="AG1201" s="224"/>
    </row>
    <row r="1202">
      <c r="AD1202" s="224"/>
      <c r="AE1202" s="224"/>
      <c r="AF1202" s="224"/>
      <c r="AG1202" s="224"/>
    </row>
    <row r="1203">
      <c r="AD1203" s="224"/>
      <c r="AE1203" s="224"/>
      <c r="AF1203" s="224"/>
      <c r="AG1203" s="224"/>
    </row>
    <row r="1204">
      <c r="AD1204" s="224"/>
      <c r="AE1204" s="224"/>
      <c r="AF1204" s="224"/>
      <c r="AG1204" s="224"/>
    </row>
    <row r="1205">
      <c r="AD1205" s="224"/>
      <c r="AE1205" s="224"/>
      <c r="AF1205" s="224"/>
      <c r="AG1205" s="224"/>
    </row>
    <row r="1206">
      <c r="AD1206" s="224"/>
      <c r="AE1206" s="224"/>
      <c r="AF1206" s="224"/>
      <c r="AG1206" s="224"/>
    </row>
    <row r="1207">
      <c r="AD1207" s="224"/>
      <c r="AE1207" s="224"/>
      <c r="AF1207" s="224"/>
      <c r="AG1207" s="224"/>
    </row>
    <row r="1208">
      <c r="AD1208" s="224"/>
      <c r="AE1208" s="224"/>
      <c r="AF1208" s="224"/>
      <c r="AG1208" s="224"/>
    </row>
    <row r="1209">
      <c r="AD1209" s="224"/>
      <c r="AE1209" s="224"/>
      <c r="AF1209" s="224"/>
      <c r="AG1209" s="224"/>
    </row>
    <row r="1210">
      <c r="AD1210" s="224"/>
      <c r="AE1210" s="224"/>
      <c r="AF1210" s="224"/>
      <c r="AG1210" s="224"/>
    </row>
    <row r="1211">
      <c r="AD1211" s="224"/>
      <c r="AE1211" s="224"/>
      <c r="AF1211" s="224"/>
      <c r="AG1211" s="224"/>
    </row>
    <row r="1212">
      <c r="AD1212" s="224"/>
      <c r="AE1212" s="224"/>
      <c r="AF1212" s="224"/>
      <c r="AG1212" s="224"/>
    </row>
    <row r="1213">
      <c r="AD1213" s="224"/>
      <c r="AE1213" s="224"/>
      <c r="AF1213" s="224"/>
      <c r="AG1213" s="224"/>
    </row>
    <row r="1214">
      <c r="AD1214" s="224"/>
      <c r="AE1214" s="224"/>
      <c r="AF1214" s="224"/>
      <c r="AG1214" s="224"/>
    </row>
    <row r="1215">
      <c r="AD1215" s="224"/>
      <c r="AE1215" s="224"/>
      <c r="AF1215" s="224"/>
      <c r="AG1215" s="224"/>
    </row>
    <row r="1216">
      <c r="AD1216" s="224"/>
      <c r="AE1216" s="224"/>
      <c r="AF1216" s="224"/>
      <c r="AG1216" s="224"/>
    </row>
    <row r="1217">
      <c r="AD1217" s="224"/>
      <c r="AE1217" s="224"/>
      <c r="AF1217" s="224"/>
      <c r="AG1217" s="224"/>
    </row>
    <row r="1218">
      <c r="AD1218" s="224"/>
      <c r="AE1218" s="224"/>
      <c r="AF1218" s="224"/>
      <c r="AG1218" s="224"/>
    </row>
    <row r="1219">
      <c r="AD1219" s="224"/>
      <c r="AE1219" s="224"/>
      <c r="AF1219" s="224"/>
      <c r="AG1219" s="224"/>
    </row>
    <row r="1220">
      <c r="AD1220" s="224"/>
      <c r="AE1220" s="224"/>
      <c r="AF1220" s="224"/>
      <c r="AG1220" s="224"/>
    </row>
    <row r="1221">
      <c r="AD1221" s="224"/>
      <c r="AE1221" s="224"/>
      <c r="AF1221" s="224"/>
      <c r="AG1221" s="224"/>
    </row>
    <row r="1222">
      <c r="AD1222" s="224"/>
      <c r="AE1222" s="224"/>
      <c r="AF1222" s="224"/>
      <c r="AG1222" s="224"/>
    </row>
    <row r="1223">
      <c r="AD1223" s="224"/>
      <c r="AE1223" s="224"/>
      <c r="AF1223" s="224"/>
      <c r="AG1223" s="224"/>
    </row>
    <row r="1224">
      <c r="AD1224" s="224"/>
      <c r="AE1224" s="224"/>
      <c r="AF1224" s="224"/>
      <c r="AG1224" s="224"/>
    </row>
    <row r="1225">
      <c r="AD1225" s="224"/>
      <c r="AE1225" s="224"/>
      <c r="AF1225" s="224"/>
      <c r="AG1225" s="224"/>
    </row>
    <row r="1226">
      <c r="AD1226" s="224"/>
      <c r="AE1226" s="224"/>
      <c r="AF1226" s="224"/>
      <c r="AG1226" s="224"/>
    </row>
    <row r="1227">
      <c r="AD1227" s="224"/>
      <c r="AE1227" s="224"/>
      <c r="AF1227" s="224"/>
      <c r="AG1227" s="224"/>
    </row>
    <row r="1228">
      <c r="AD1228" s="224"/>
      <c r="AE1228" s="224"/>
      <c r="AF1228" s="224"/>
      <c r="AG1228" s="224"/>
    </row>
    <row r="1229">
      <c r="AD1229" s="224"/>
      <c r="AE1229" s="224"/>
      <c r="AF1229" s="224"/>
      <c r="AG1229" s="224"/>
    </row>
    <row r="1230">
      <c r="AD1230" s="224"/>
      <c r="AE1230" s="224"/>
      <c r="AF1230" s="224"/>
      <c r="AG1230" s="224"/>
    </row>
    <row r="1231">
      <c r="AD1231" s="224"/>
      <c r="AE1231" s="224"/>
      <c r="AF1231" s="224"/>
      <c r="AG1231" s="224"/>
    </row>
    <row r="1232">
      <c r="AD1232" s="224"/>
      <c r="AE1232" s="224"/>
      <c r="AF1232" s="224"/>
      <c r="AG1232" s="224"/>
    </row>
    <row r="1233">
      <c r="AD1233" s="224"/>
      <c r="AE1233" s="224"/>
      <c r="AF1233" s="224"/>
      <c r="AG1233" s="224"/>
    </row>
    <row r="1234">
      <c r="AD1234" s="224"/>
      <c r="AE1234" s="224"/>
      <c r="AF1234" s="224"/>
      <c r="AG1234" s="224"/>
    </row>
    <row r="1235">
      <c r="AD1235" s="224"/>
      <c r="AE1235" s="224"/>
      <c r="AF1235" s="224"/>
      <c r="AG1235" s="224"/>
    </row>
    <row r="1236">
      <c r="AD1236" s="224"/>
      <c r="AE1236" s="224"/>
      <c r="AF1236" s="224"/>
      <c r="AG1236" s="224"/>
    </row>
    <row r="1237">
      <c r="AD1237" s="224"/>
      <c r="AE1237" s="224"/>
      <c r="AF1237" s="224"/>
      <c r="AG1237" s="224"/>
    </row>
    <row r="1238">
      <c r="AD1238" s="224"/>
      <c r="AE1238" s="224"/>
      <c r="AF1238" s="224"/>
      <c r="AG1238" s="224"/>
    </row>
    <row r="1239">
      <c r="AD1239" s="224"/>
      <c r="AE1239" s="224"/>
      <c r="AF1239" s="224"/>
      <c r="AG1239" s="224"/>
    </row>
    <row r="1240">
      <c r="AD1240" s="224"/>
      <c r="AE1240" s="224"/>
      <c r="AF1240" s="224"/>
      <c r="AG1240" s="224"/>
    </row>
    <row r="1241">
      <c r="AD1241" s="224"/>
      <c r="AE1241" s="224"/>
      <c r="AF1241" s="224"/>
      <c r="AG1241" s="224"/>
    </row>
    <row r="1242">
      <c r="AD1242" s="224"/>
      <c r="AE1242" s="224"/>
      <c r="AF1242" s="224"/>
      <c r="AG1242" s="224"/>
    </row>
    <row r="1243">
      <c r="AD1243" s="224"/>
      <c r="AE1243" s="224"/>
      <c r="AF1243" s="224"/>
      <c r="AG1243" s="224"/>
    </row>
    <row r="1244">
      <c r="AD1244" s="224"/>
      <c r="AE1244" s="224"/>
      <c r="AF1244" s="224"/>
      <c r="AG1244" s="224"/>
    </row>
    <row r="1245">
      <c r="AD1245" s="224"/>
      <c r="AE1245" s="224"/>
      <c r="AF1245" s="224"/>
      <c r="AG1245" s="224"/>
    </row>
    <row r="1246">
      <c r="AD1246" s="224"/>
      <c r="AE1246" s="224"/>
      <c r="AF1246" s="224"/>
      <c r="AG1246" s="224"/>
    </row>
    <row r="1247">
      <c r="AD1247" s="224"/>
      <c r="AE1247" s="224"/>
      <c r="AF1247" s="224"/>
      <c r="AG1247" s="224"/>
    </row>
    <row r="1248">
      <c r="AD1248" s="224"/>
      <c r="AE1248" s="224"/>
      <c r="AF1248" s="224"/>
      <c r="AG1248" s="224"/>
    </row>
    <row r="1249">
      <c r="AD1249" s="224"/>
      <c r="AE1249" s="224"/>
      <c r="AF1249" s="224"/>
      <c r="AG1249" s="224"/>
    </row>
    <row r="1250">
      <c r="AD1250" s="224"/>
      <c r="AE1250" s="224"/>
      <c r="AF1250" s="224"/>
      <c r="AG1250" s="224"/>
    </row>
    <row r="1251">
      <c r="AD1251" s="224"/>
      <c r="AE1251" s="224"/>
      <c r="AF1251" s="224"/>
      <c r="AG1251" s="224"/>
    </row>
    <row r="1252">
      <c r="AD1252" s="224"/>
      <c r="AE1252" s="224"/>
      <c r="AF1252" s="224"/>
      <c r="AG1252" s="224"/>
    </row>
    <row r="1253">
      <c r="AD1253" s="224"/>
      <c r="AE1253" s="224"/>
      <c r="AF1253" s="224"/>
      <c r="AG1253" s="224"/>
    </row>
    <row r="1254">
      <c r="AD1254" s="224"/>
      <c r="AE1254" s="224"/>
      <c r="AF1254" s="224"/>
      <c r="AG1254" s="224"/>
    </row>
    <row r="1255">
      <c r="AD1255" s="224"/>
      <c r="AE1255" s="224"/>
      <c r="AF1255" s="224"/>
      <c r="AG1255" s="224"/>
    </row>
    <row r="1256">
      <c r="AD1256" s="224"/>
      <c r="AE1256" s="224"/>
      <c r="AF1256" s="224"/>
      <c r="AG1256" s="224"/>
    </row>
    <row r="1257">
      <c r="AD1257" s="224"/>
      <c r="AE1257" s="224"/>
      <c r="AF1257" s="224"/>
      <c r="AG1257" s="224"/>
    </row>
    <row r="1258">
      <c r="AD1258" s="224"/>
      <c r="AE1258" s="224"/>
      <c r="AF1258" s="224"/>
      <c r="AG1258" s="224"/>
    </row>
    <row r="1259">
      <c r="AD1259" s="224"/>
      <c r="AE1259" s="224"/>
      <c r="AF1259" s="224"/>
      <c r="AG1259" s="224"/>
    </row>
    <row r="1260">
      <c r="AD1260" s="224"/>
      <c r="AE1260" s="224"/>
      <c r="AF1260" s="224"/>
      <c r="AG1260" s="224"/>
    </row>
    <row r="1261">
      <c r="AD1261" s="224"/>
      <c r="AE1261" s="224"/>
      <c r="AF1261" s="224"/>
      <c r="AG1261" s="224"/>
    </row>
    <row r="1262">
      <c r="AD1262" s="224"/>
      <c r="AE1262" s="224"/>
      <c r="AF1262" s="224"/>
      <c r="AG1262" s="224"/>
    </row>
    <row r="1263">
      <c r="AD1263" s="224"/>
      <c r="AE1263" s="224"/>
      <c r="AF1263" s="224"/>
      <c r="AG1263" s="224"/>
    </row>
    <row r="1264">
      <c r="AD1264" s="224"/>
      <c r="AE1264" s="224"/>
      <c r="AF1264" s="224"/>
      <c r="AG1264" s="224"/>
    </row>
    <row r="1265">
      <c r="AD1265" s="224"/>
      <c r="AE1265" s="224"/>
      <c r="AF1265" s="224"/>
      <c r="AG1265" s="224"/>
    </row>
    <row r="1266">
      <c r="AD1266" s="224"/>
      <c r="AE1266" s="224"/>
      <c r="AF1266" s="224"/>
      <c r="AG1266" s="224"/>
    </row>
    <row r="1267">
      <c r="AD1267" s="224"/>
      <c r="AE1267" s="224"/>
      <c r="AF1267" s="224"/>
      <c r="AG1267" s="224"/>
    </row>
    <row r="1268">
      <c r="AD1268" s="224"/>
      <c r="AE1268" s="224"/>
      <c r="AF1268" s="224"/>
      <c r="AG1268" s="224"/>
    </row>
    <row r="1269">
      <c r="AD1269" s="224"/>
      <c r="AE1269" s="224"/>
      <c r="AF1269" s="224"/>
      <c r="AG1269" s="224"/>
    </row>
    <row r="1270">
      <c r="AD1270" s="224"/>
      <c r="AE1270" s="224"/>
      <c r="AF1270" s="224"/>
      <c r="AG1270" s="224"/>
    </row>
    <row r="1271">
      <c r="AD1271" s="224"/>
      <c r="AE1271" s="224"/>
      <c r="AF1271" s="224"/>
      <c r="AG1271" s="224"/>
    </row>
    <row r="1272">
      <c r="AD1272" s="224"/>
      <c r="AE1272" s="224"/>
      <c r="AF1272" s="224"/>
      <c r="AG1272" s="224"/>
    </row>
    <row r="1273">
      <c r="AD1273" s="224"/>
      <c r="AE1273" s="224"/>
      <c r="AF1273" s="224"/>
      <c r="AG1273" s="224"/>
    </row>
    <row r="1274">
      <c r="AD1274" s="224"/>
      <c r="AE1274" s="224"/>
      <c r="AF1274" s="224"/>
      <c r="AG1274" s="224"/>
    </row>
    <row r="1275">
      <c r="AD1275" s="224"/>
      <c r="AE1275" s="224"/>
      <c r="AF1275" s="224"/>
      <c r="AG1275" s="224"/>
    </row>
    <row r="1276">
      <c r="AD1276" s="224"/>
      <c r="AE1276" s="224"/>
      <c r="AF1276" s="224"/>
      <c r="AG1276" s="224"/>
    </row>
    <row r="1277">
      <c r="AD1277" s="224"/>
      <c r="AE1277" s="224"/>
      <c r="AF1277" s="224"/>
      <c r="AG1277" s="224"/>
    </row>
    <row r="1278">
      <c r="AD1278" s="224"/>
      <c r="AE1278" s="224"/>
      <c r="AF1278" s="224"/>
      <c r="AG1278" s="224"/>
    </row>
    <row r="1279">
      <c r="AD1279" s="224"/>
      <c r="AE1279" s="224"/>
      <c r="AF1279" s="224"/>
      <c r="AG1279" s="224"/>
    </row>
    <row r="1280">
      <c r="AD1280" s="224"/>
      <c r="AE1280" s="224"/>
      <c r="AF1280" s="224"/>
      <c r="AG1280" s="224"/>
    </row>
    <row r="1281">
      <c r="AD1281" s="224"/>
      <c r="AE1281" s="224"/>
      <c r="AF1281" s="224"/>
      <c r="AG1281" s="224"/>
    </row>
    <row r="1282">
      <c r="AD1282" s="224"/>
      <c r="AE1282" s="224"/>
      <c r="AF1282" s="224"/>
      <c r="AG1282" s="224"/>
    </row>
    <row r="1283">
      <c r="AD1283" s="224"/>
      <c r="AE1283" s="224"/>
      <c r="AF1283" s="224"/>
      <c r="AG1283" s="224"/>
    </row>
    <row r="1284">
      <c r="AD1284" s="224"/>
      <c r="AE1284" s="224"/>
      <c r="AF1284" s="224"/>
      <c r="AG1284" s="224"/>
    </row>
    <row r="1285">
      <c r="AD1285" s="224"/>
      <c r="AE1285" s="224"/>
      <c r="AF1285" s="224"/>
      <c r="AG1285" s="224"/>
    </row>
    <row r="1286">
      <c r="AD1286" s="224"/>
      <c r="AE1286" s="224"/>
      <c r="AF1286" s="224"/>
      <c r="AG1286" s="224"/>
    </row>
    <row r="1287">
      <c r="AD1287" s="224"/>
      <c r="AE1287" s="224"/>
      <c r="AF1287" s="224"/>
      <c r="AG1287" s="224"/>
    </row>
    <row r="1288">
      <c r="AD1288" s="224"/>
      <c r="AE1288" s="224"/>
      <c r="AF1288" s="224"/>
      <c r="AG1288" s="224"/>
    </row>
    <row r="1289">
      <c r="AD1289" s="224"/>
      <c r="AE1289" s="224"/>
      <c r="AF1289" s="224"/>
      <c r="AG1289" s="224"/>
    </row>
    <row r="1290">
      <c r="AD1290" s="224"/>
      <c r="AE1290" s="224"/>
      <c r="AF1290" s="224"/>
      <c r="AG1290" s="224"/>
    </row>
    <row r="1291">
      <c r="AD1291" s="224"/>
      <c r="AE1291" s="224"/>
      <c r="AF1291" s="224"/>
      <c r="AG1291" s="224"/>
    </row>
    <row r="1292">
      <c r="AD1292" s="224"/>
      <c r="AE1292" s="224"/>
      <c r="AF1292" s="224"/>
      <c r="AG1292" s="224"/>
    </row>
    <row r="1293">
      <c r="AD1293" s="224"/>
      <c r="AE1293" s="224"/>
      <c r="AF1293" s="224"/>
      <c r="AG1293" s="224"/>
    </row>
    <row r="1294">
      <c r="AD1294" s="224"/>
      <c r="AE1294" s="224"/>
      <c r="AF1294" s="224"/>
      <c r="AG1294" s="224"/>
    </row>
    <row r="1295">
      <c r="AD1295" s="224"/>
      <c r="AE1295" s="224"/>
      <c r="AF1295" s="224"/>
      <c r="AG1295" s="224"/>
    </row>
    <row r="1296">
      <c r="AD1296" s="224"/>
      <c r="AE1296" s="224"/>
      <c r="AF1296" s="224"/>
      <c r="AG1296" s="224"/>
    </row>
    <row r="1297">
      <c r="AD1297" s="224"/>
      <c r="AE1297" s="224"/>
      <c r="AF1297" s="224"/>
      <c r="AG1297" s="224"/>
    </row>
    <row r="1298">
      <c r="AD1298" s="224"/>
      <c r="AE1298" s="224"/>
      <c r="AF1298" s="224"/>
      <c r="AG1298" s="224"/>
    </row>
    <row r="1299">
      <c r="AD1299" s="224"/>
      <c r="AE1299" s="224"/>
      <c r="AF1299" s="224"/>
      <c r="AG1299" s="224"/>
    </row>
    <row r="1300">
      <c r="AD1300" s="224"/>
      <c r="AE1300" s="224"/>
      <c r="AF1300" s="224"/>
      <c r="AG1300" s="224"/>
    </row>
    <row r="1301">
      <c r="AD1301" s="224"/>
      <c r="AE1301" s="224"/>
      <c r="AF1301" s="224"/>
      <c r="AG1301" s="224"/>
    </row>
    <row r="1302">
      <c r="AD1302" s="224"/>
      <c r="AE1302" s="224"/>
      <c r="AF1302" s="224"/>
      <c r="AG1302" s="224"/>
    </row>
    <row r="1303">
      <c r="AD1303" s="224"/>
      <c r="AE1303" s="224"/>
      <c r="AF1303" s="224"/>
      <c r="AG1303" s="224"/>
    </row>
    <row r="1304">
      <c r="AD1304" s="224"/>
      <c r="AE1304" s="224"/>
      <c r="AF1304" s="224"/>
      <c r="AG1304" s="224"/>
    </row>
    <row r="1305">
      <c r="AD1305" s="224"/>
      <c r="AE1305" s="224"/>
      <c r="AF1305" s="224"/>
      <c r="AG1305" s="224"/>
    </row>
    <row r="1306">
      <c r="AD1306" s="224"/>
      <c r="AE1306" s="224"/>
      <c r="AF1306" s="224"/>
      <c r="AG1306" s="224"/>
    </row>
    <row r="1307">
      <c r="AD1307" s="224"/>
      <c r="AE1307" s="224"/>
      <c r="AF1307" s="224"/>
      <c r="AG1307" s="224"/>
    </row>
    <row r="1308">
      <c r="AD1308" s="224"/>
      <c r="AE1308" s="224"/>
      <c r="AF1308" s="224"/>
      <c r="AG1308" s="224"/>
    </row>
    <row r="1309">
      <c r="AD1309" s="224"/>
      <c r="AE1309" s="224"/>
      <c r="AF1309" s="224"/>
      <c r="AG1309" s="224"/>
    </row>
    <row r="1310">
      <c r="AD1310" s="224"/>
      <c r="AE1310" s="224"/>
      <c r="AF1310" s="224"/>
      <c r="AG1310" s="224"/>
    </row>
    <row r="1311">
      <c r="AD1311" s="224"/>
      <c r="AE1311" s="224"/>
      <c r="AF1311" s="224"/>
      <c r="AG1311" s="224"/>
    </row>
    <row r="1312">
      <c r="AD1312" s="224"/>
      <c r="AE1312" s="224"/>
      <c r="AF1312" s="224"/>
      <c r="AG1312" s="224"/>
    </row>
    <row r="1313">
      <c r="AD1313" s="224"/>
      <c r="AE1313" s="224"/>
      <c r="AF1313" s="224"/>
      <c r="AG1313" s="224"/>
    </row>
    <row r="1314">
      <c r="AD1314" s="224"/>
      <c r="AE1314" s="224"/>
      <c r="AF1314" s="224"/>
      <c r="AG1314" s="224"/>
    </row>
    <row r="1315">
      <c r="AD1315" s="224"/>
      <c r="AE1315" s="224"/>
      <c r="AF1315" s="224"/>
      <c r="AG1315" s="224"/>
    </row>
    <row r="1316">
      <c r="AD1316" s="224"/>
      <c r="AE1316" s="224"/>
      <c r="AF1316" s="224"/>
      <c r="AG1316" s="224"/>
    </row>
    <row r="1317">
      <c r="AD1317" s="224"/>
      <c r="AE1317" s="224"/>
      <c r="AF1317" s="224"/>
      <c r="AG1317" s="224"/>
    </row>
    <row r="1318">
      <c r="AD1318" s="224"/>
      <c r="AE1318" s="224"/>
      <c r="AF1318" s="224"/>
      <c r="AG1318" s="224"/>
    </row>
    <row r="1319">
      <c r="AD1319" s="224"/>
      <c r="AE1319" s="224"/>
      <c r="AF1319" s="224"/>
      <c r="AG1319" s="224"/>
    </row>
    <row r="1320">
      <c r="AD1320" s="224"/>
      <c r="AE1320" s="224"/>
      <c r="AF1320" s="224"/>
      <c r="AG1320" s="224"/>
    </row>
    <row r="1321">
      <c r="AD1321" s="224"/>
      <c r="AE1321" s="224"/>
      <c r="AF1321" s="224"/>
      <c r="AG1321" s="224"/>
    </row>
    <row r="1322">
      <c r="AD1322" s="224"/>
      <c r="AE1322" s="224"/>
      <c r="AF1322" s="224"/>
      <c r="AG1322" s="224"/>
    </row>
    <row r="1323">
      <c r="AD1323" s="224"/>
      <c r="AE1323" s="224"/>
      <c r="AF1323" s="224"/>
      <c r="AG1323" s="224"/>
    </row>
    <row r="1324">
      <c r="AD1324" s="224"/>
      <c r="AE1324" s="224"/>
      <c r="AF1324" s="224"/>
      <c r="AG1324" s="224"/>
    </row>
    <row r="1325">
      <c r="AD1325" s="224"/>
      <c r="AE1325" s="224"/>
      <c r="AF1325" s="224"/>
      <c r="AG1325" s="224"/>
    </row>
    <row r="1326">
      <c r="AD1326" s="224"/>
      <c r="AE1326" s="224"/>
      <c r="AF1326" s="224"/>
      <c r="AG1326" s="224"/>
    </row>
    <row r="1327">
      <c r="AD1327" s="224"/>
      <c r="AE1327" s="224"/>
      <c r="AF1327" s="224"/>
      <c r="AG1327" s="224"/>
    </row>
    <row r="1328">
      <c r="AD1328" s="224"/>
      <c r="AE1328" s="224"/>
      <c r="AF1328" s="224"/>
      <c r="AG1328" s="224"/>
    </row>
    <row r="1329">
      <c r="AD1329" s="224"/>
      <c r="AE1329" s="224"/>
      <c r="AF1329" s="224"/>
      <c r="AG1329" s="224"/>
    </row>
    <row r="1330">
      <c r="AD1330" s="224"/>
      <c r="AE1330" s="224"/>
      <c r="AF1330" s="224"/>
      <c r="AG1330" s="224"/>
    </row>
    <row r="1331">
      <c r="AD1331" s="224"/>
      <c r="AE1331" s="224"/>
      <c r="AF1331" s="224"/>
      <c r="AG1331" s="224"/>
    </row>
    <row r="1332">
      <c r="AD1332" s="224"/>
      <c r="AE1332" s="224"/>
      <c r="AF1332" s="224"/>
      <c r="AG1332" s="224"/>
    </row>
    <row r="1333">
      <c r="AD1333" s="224"/>
      <c r="AE1333" s="224"/>
      <c r="AF1333" s="224"/>
      <c r="AG1333" s="224"/>
    </row>
    <row r="1334">
      <c r="AD1334" s="224"/>
      <c r="AE1334" s="224"/>
      <c r="AF1334" s="224"/>
      <c r="AG1334" s="224"/>
    </row>
    <row r="1335">
      <c r="AD1335" s="224"/>
      <c r="AE1335" s="224"/>
      <c r="AF1335" s="224"/>
      <c r="AG1335" s="224"/>
    </row>
    <row r="1336">
      <c r="AD1336" s="224"/>
      <c r="AE1336" s="224"/>
      <c r="AF1336" s="224"/>
      <c r="AG1336" s="224"/>
    </row>
    <row r="1337">
      <c r="AD1337" s="224"/>
      <c r="AE1337" s="224"/>
      <c r="AF1337" s="224"/>
      <c r="AG1337" s="224"/>
    </row>
    <row r="1338">
      <c r="AD1338" s="224"/>
      <c r="AE1338" s="224"/>
      <c r="AF1338" s="224"/>
      <c r="AG1338" s="224"/>
    </row>
    <row r="1339">
      <c r="AD1339" s="224"/>
      <c r="AE1339" s="224"/>
      <c r="AF1339" s="224"/>
      <c r="AG1339" s="224"/>
    </row>
    <row r="1340">
      <c r="AD1340" s="224"/>
      <c r="AE1340" s="224"/>
      <c r="AF1340" s="224"/>
      <c r="AG1340" s="224"/>
    </row>
    <row r="1341">
      <c r="AD1341" s="224"/>
      <c r="AE1341" s="224"/>
      <c r="AF1341" s="224"/>
      <c r="AG1341" s="224"/>
    </row>
    <row r="1342">
      <c r="AD1342" s="224"/>
      <c r="AE1342" s="224"/>
      <c r="AF1342" s="224"/>
      <c r="AG1342" s="224"/>
    </row>
    <row r="1343">
      <c r="AD1343" s="224"/>
      <c r="AE1343" s="224"/>
      <c r="AF1343" s="224"/>
      <c r="AG1343" s="224"/>
    </row>
    <row r="1344">
      <c r="AD1344" s="224"/>
      <c r="AE1344" s="224"/>
      <c r="AF1344" s="224"/>
      <c r="AG1344" s="224"/>
    </row>
    <row r="1345">
      <c r="AD1345" s="224"/>
      <c r="AE1345" s="224"/>
      <c r="AF1345" s="224"/>
      <c r="AG1345" s="224"/>
    </row>
    <row r="1346">
      <c r="AD1346" s="224"/>
      <c r="AE1346" s="224"/>
      <c r="AF1346" s="224"/>
      <c r="AG1346" s="224"/>
    </row>
    <row r="1347">
      <c r="AD1347" s="224"/>
      <c r="AE1347" s="224"/>
      <c r="AF1347" s="224"/>
      <c r="AG1347" s="224"/>
    </row>
    <row r="1348">
      <c r="AD1348" s="224"/>
      <c r="AE1348" s="224"/>
      <c r="AF1348" s="224"/>
      <c r="AG1348" s="224"/>
    </row>
    <row r="1349">
      <c r="AD1349" s="224"/>
      <c r="AE1349" s="224"/>
      <c r="AF1349" s="224"/>
      <c r="AG1349" s="224"/>
    </row>
    <row r="1350">
      <c r="AD1350" s="224"/>
      <c r="AE1350" s="224"/>
      <c r="AF1350" s="224"/>
      <c r="AG1350" s="224"/>
    </row>
    <row r="1351">
      <c r="AD1351" s="224"/>
      <c r="AE1351" s="224"/>
      <c r="AF1351" s="224"/>
      <c r="AG1351" s="224"/>
    </row>
    <row r="1352">
      <c r="AD1352" s="224"/>
      <c r="AE1352" s="224"/>
      <c r="AF1352" s="224"/>
      <c r="AG1352" s="224"/>
    </row>
    <row r="1353">
      <c r="AD1353" s="224"/>
      <c r="AE1353" s="224"/>
      <c r="AF1353" s="224"/>
      <c r="AG1353" s="224"/>
    </row>
    <row r="1354">
      <c r="AD1354" s="224"/>
      <c r="AE1354" s="224"/>
      <c r="AF1354" s="224"/>
      <c r="AG1354" s="224"/>
    </row>
    <row r="1355">
      <c r="AD1355" s="224"/>
      <c r="AE1355" s="224"/>
      <c r="AF1355" s="224"/>
      <c r="AG1355" s="224"/>
    </row>
    <row r="1356">
      <c r="AD1356" s="224"/>
      <c r="AE1356" s="224"/>
      <c r="AF1356" s="224"/>
      <c r="AG1356" s="224"/>
    </row>
    <row r="1357">
      <c r="AD1357" s="224"/>
      <c r="AE1357" s="224"/>
      <c r="AF1357" s="224"/>
      <c r="AG1357" s="224"/>
    </row>
    <row r="1358">
      <c r="AD1358" s="224"/>
      <c r="AE1358" s="224"/>
      <c r="AF1358" s="224"/>
      <c r="AG1358" s="224"/>
    </row>
    <row r="1359">
      <c r="AD1359" s="224"/>
      <c r="AE1359" s="224"/>
      <c r="AF1359" s="224"/>
      <c r="AG1359" s="224"/>
    </row>
    <row r="1360">
      <c r="AD1360" s="224"/>
      <c r="AE1360" s="224"/>
      <c r="AF1360" s="224"/>
      <c r="AG1360" s="224"/>
    </row>
    <row r="1361">
      <c r="AD1361" s="224"/>
      <c r="AE1361" s="224"/>
      <c r="AF1361" s="224"/>
      <c r="AG1361" s="224"/>
    </row>
    <row r="1362">
      <c r="AD1362" s="224"/>
      <c r="AE1362" s="224"/>
      <c r="AF1362" s="224"/>
      <c r="AG1362" s="224"/>
    </row>
    <row r="1363">
      <c r="AD1363" s="224"/>
      <c r="AE1363" s="224"/>
      <c r="AF1363" s="224"/>
      <c r="AG1363" s="224"/>
    </row>
    <row r="1364">
      <c r="AD1364" s="224"/>
      <c r="AE1364" s="224"/>
      <c r="AF1364" s="224"/>
      <c r="AG1364" s="224"/>
    </row>
    <row r="1365">
      <c r="AD1365" s="224"/>
      <c r="AE1365" s="224"/>
      <c r="AF1365" s="224"/>
      <c r="AG1365" s="224"/>
    </row>
    <row r="1366">
      <c r="AD1366" s="224"/>
      <c r="AE1366" s="224"/>
      <c r="AF1366" s="224"/>
      <c r="AG1366" s="224"/>
    </row>
    <row r="1367">
      <c r="AD1367" s="224"/>
      <c r="AE1367" s="224"/>
      <c r="AF1367" s="224"/>
      <c r="AG1367" s="224"/>
    </row>
    <row r="1368">
      <c r="AD1368" s="224"/>
      <c r="AE1368" s="224"/>
      <c r="AF1368" s="224"/>
      <c r="AG1368" s="224"/>
    </row>
    <row r="1369">
      <c r="AD1369" s="224"/>
      <c r="AE1369" s="224"/>
      <c r="AF1369" s="224"/>
      <c r="AG1369" s="224"/>
    </row>
    <row r="1370">
      <c r="AD1370" s="224"/>
      <c r="AE1370" s="224"/>
      <c r="AF1370" s="224"/>
      <c r="AG1370" s="224"/>
    </row>
    <row r="1371">
      <c r="AD1371" s="224"/>
      <c r="AE1371" s="224"/>
      <c r="AF1371" s="224"/>
      <c r="AG1371" s="224"/>
    </row>
    <row r="1372">
      <c r="AD1372" s="224"/>
      <c r="AE1372" s="224"/>
      <c r="AF1372" s="224"/>
      <c r="AG1372" s="224"/>
    </row>
    <row r="1373">
      <c r="AD1373" s="224"/>
      <c r="AE1373" s="224"/>
      <c r="AF1373" s="224"/>
      <c r="AG1373" s="224"/>
    </row>
    <row r="1374">
      <c r="AD1374" s="224"/>
      <c r="AE1374" s="224"/>
      <c r="AF1374" s="224"/>
      <c r="AG1374" s="224"/>
    </row>
    <row r="1375">
      <c r="AD1375" s="224"/>
      <c r="AE1375" s="224"/>
      <c r="AF1375" s="224"/>
      <c r="AG1375" s="224"/>
    </row>
    <row r="1376">
      <c r="AD1376" s="224"/>
      <c r="AE1376" s="224"/>
      <c r="AF1376" s="224"/>
      <c r="AG1376" s="224"/>
    </row>
    <row r="1377">
      <c r="AD1377" s="224"/>
      <c r="AE1377" s="224"/>
      <c r="AF1377" s="224"/>
      <c r="AG1377" s="224"/>
    </row>
    <row r="1378">
      <c r="AD1378" s="224"/>
      <c r="AE1378" s="224"/>
      <c r="AF1378" s="224"/>
      <c r="AG1378" s="224"/>
    </row>
    <row r="1379">
      <c r="AD1379" s="224"/>
      <c r="AE1379" s="224"/>
      <c r="AF1379" s="224"/>
      <c r="AG1379" s="224"/>
    </row>
    <row r="1380">
      <c r="AD1380" s="224"/>
      <c r="AE1380" s="224"/>
      <c r="AF1380" s="224"/>
      <c r="AG1380" s="224"/>
    </row>
    <row r="1381">
      <c r="AD1381" s="224"/>
      <c r="AE1381" s="224"/>
      <c r="AF1381" s="224"/>
      <c r="AG1381" s="224"/>
    </row>
    <row r="1382">
      <c r="AD1382" s="224"/>
      <c r="AE1382" s="224"/>
      <c r="AF1382" s="224"/>
      <c r="AG1382" s="224"/>
    </row>
    <row r="1383">
      <c r="AD1383" s="224"/>
      <c r="AE1383" s="224"/>
      <c r="AF1383" s="224"/>
      <c r="AG1383" s="224"/>
    </row>
    <row r="1384">
      <c r="AD1384" s="224"/>
      <c r="AE1384" s="224"/>
      <c r="AF1384" s="224"/>
      <c r="AG1384" s="224"/>
    </row>
    <row r="1385">
      <c r="AD1385" s="224"/>
      <c r="AE1385" s="224"/>
      <c r="AF1385" s="224"/>
      <c r="AG1385" s="224"/>
    </row>
    <row r="1386">
      <c r="AD1386" s="224"/>
      <c r="AE1386" s="224"/>
      <c r="AF1386" s="224"/>
      <c r="AG1386" s="224"/>
    </row>
    <row r="1387">
      <c r="AD1387" s="224"/>
      <c r="AE1387" s="224"/>
      <c r="AF1387" s="224"/>
      <c r="AG1387" s="224"/>
    </row>
    <row r="1388">
      <c r="AD1388" s="224"/>
      <c r="AE1388" s="224"/>
      <c r="AF1388" s="224"/>
      <c r="AG1388" s="224"/>
    </row>
    <row r="1389">
      <c r="AD1389" s="224"/>
      <c r="AE1389" s="224"/>
      <c r="AF1389" s="224"/>
      <c r="AG1389" s="224"/>
    </row>
    <row r="1390">
      <c r="AD1390" s="224"/>
      <c r="AE1390" s="224"/>
      <c r="AF1390" s="224"/>
      <c r="AG1390" s="224"/>
    </row>
    <row r="1391">
      <c r="AD1391" s="224"/>
      <c r="AE1391" s="224"/>
      <c r="AF1391" s="224"/>
      <c r="AG1391" s="224"/>
    </row>
    <row r="1392">
      <c r="AD1392" s="224"/>
      <c r="AE1392" s="224"/>
      <c r="AF1392" s="224"/>
      <c r="AG1392" s="224"/>
    </row>
    <row r="1393">
      <c r="AD1393" s="224"/>
      <c r="AE1393" s="224"/>
      <c r="AF1393" s="224"/>
      <c r="AG1393" s="224"/>
    </row>
    <row r="1394">
      <c r="AD1394" s="224"/>
      <c r="AE1394" s="224"/>
      <c r="AF1394" s="224"/>
      <c r="AG1394" s="224"/>
    </row>
    <row r="1395">
      <c r="AD1395" s="224"/>
      <c r="AE1395" s="224"/>
      <c r="AF1395" s="224"/>
      <c r="AG1395" s="224"/>
    </row>
    <row r="1396">
      <c r="AD1396" s="224"/>
      <c r="AE1396" s="224"/>
      <c r="AF1396" s="224"/>
      <c r="AG1396" s="224"/>
    </row>
    <row r="1397">
      <c r="AD1397" s="224"/>
      <c r="AE1397" s="224"/>
      <c r="AF1397" s="224"/>
      <c r="AG1397" s="224"/>
    </row>
    <row r="1398">
      <c r="AD1398" s="224"/>
      <c r="AE1398" s="224"/>
      <c r="AF1398" s="224"/>
      <c r="AG1398" s="224"/>
    </row>
    <row r="1399">
      <c r="AD1399" s="224"/>
      <c r="AE1399" s="224"/>
      <c r="AF1399" s="224"/>
      <c r="AG1399" s="224"/>
    </row>
    <row r="1400">
      <c r="AD1400" s="224"/>
      <c r="AE1400" s="224"/>
      <c r="AF1400" s="224"/>
      <c r="AG1400" s="224"/>
    </row>
    <row r="1401">
      <c r="AD1401" s="224"/>
      <c r="AE1401" s="224"/>
      <c r="AF1401" s="224"/>
      <c r="AG1401" s="224"/>
    </row>
    <row r="1402">
      <c r="AD1402" s="224"/>
      <c r="AE1402" s="224"/>
      <c r="AF1402" s="224"/>
      <c r="AG1402" s="224"/>
    </row>
    <row r="1403">
      <c r="AD1403" s="224"/>
      <c r="AE1403" s="224"/>
      <c r="AF1403" s="224"/>
      <c r="AG1403" s="224"/>
    </row>
    <row r="1404">
      <c r="AD1404" s="224"/>
      <c r="AE1404" s="224"/>
      <c r="AF1404" s="224"/>
      <c r="AG1404" s="224"/>
    </row>
    <row r="1405">
      <c r="AD1405" s="224"/>
      <c r="AE1405" s="224"/>
      <c r="AF1405" s="224"/>
      <c r="AG1405" s="224"/>
    </row>
    <row r="1406">
      <c r="AD1406" s="224"/>
      <c r="AE1406" s="224"/>
      <c r="AF1406" s="224"/>
      <c r="AG1406" s="224"/>
    </row>
    <row r="1407">
      <c r="AD1407" s="224"/>
      <c r="AE1407" s="224"/>
      <c r="AF1407" s="224"/>
      <c r="AG1407" s="224"/>
    </row>
    <row r="1408">
      <c r="AD1408" s="224"/>
      <c r="AE1408" s="224"/>
      <c r="AF1408" s="224"/>
      <c r="AG1408" s="224"/>
    </row>
    <row r="1409">
      <c r="AD1409" s="224"/>
      <c r="AE1409" s="224"/>
      <c r="AF1409" s="224"/>
      <c r="AG1409" s="224"/>
    </row>
    <row r="1410">
      <c r="AD1410" s="224"/>
      <c r="AE1410" s="224"/>
      <c r="AF1410" s="224"/>
      <c r="AG1410" s="224"/>
    </row>
    <row r="1411">
      <c r="AD1411" s="224"/>
      <c r="AE1411" s="224"/>
      <c r="AF1411" s="224"/>
      <c r="AG1411" s="224"/>
    </row>
    <row r="1412">
      <c r="AD1412" s="224"/>
      <c r="AE1412" s="224"/>
      <c r="AF1412" s="224"/>
      <c r="AG1412" s="224"/>
    </row>
    <row r="1413">
      <c r="AD1413" s="224"/>
      <c r="AE1413" s="224"/>
      <c r="AF1413" s="224"/>
      <c r="AG1413" s="224"/>
    </row>
    <row r="1414">
      <c r="AD1414" s="224"/>
      <c r="AE1414" s="224"/>
      <c r="AF1414" s="224"/>
      <c r="AG1414" s="224"/>
    </row>
    <row r="1415">
      <c r="AD1415" s="224"/>
      <c r="AE1415" s="224"/>
      <c r="AF1415" s="224"/>
      <c r="AG1415" s="224"/>
    </row>
    <row r="1416">
      <c r="AD1416" s="224"/>
      <c r="AE1416" s="224"/>
      <c r="AF1416" s="224"/>
      <c r="AG1416" s="224"/>
    </row>
    <row r="1417">
      <c r="AD1417" s="224"/>
      <c r="AE1417" s="224"/>
      <c r="AF1417" s="224"/>
      <c r="AG1417" s="224"/>
    </row>
    <row r="1418">
      <c r="AD1418" s="224"/>
      <c r="AE1418" s="224"/>
      <c r="AF1418" s="224"/>
      <c r="AG1418" s="224"/>
    </row>
    <row r="1419">
      <c r="AD1419" s="224"/>
      <c r="AE1419" s="224"/>
      <c r="AF1419" s="224"/>
      <c r="AG1419" s="224"/>
    </row>
    <row r="1420">
      <c r="AD1420" s="224"/>
      <c r="AE1420" s="224"/>
      <c r="AF1420" s="224"/>
      <c r="AG1420" s="224"/>
    </row>
    <row r="1421">
      <c r="AD1421" s="224"/>
      <c r="AE1421" s="224"/>
      <c r="AF1421" s="224"/>
      <c r="AG1421" s="224"/>
    </row>
    <row r="1422">
      <c r="AD1422" s="224"/>
      <c r="AE1422" s="224"/>
      <c r="AF1422" s="224"/>
      <c r="AG1422" s="224"/>
    </row>
    <row r="1423">
      <c r="AD1423" s="224"/>
      <c r="AE1423" s="224"/>
      <c r="AF1423" s="224"/>
      <c r="AG1423" s="224"/>
    </row>
    <row r="1424">
      <c r="AD1424" s="224"/>
      <c r="AE1424" s="224"/>
      <c r="AF1424" s="224"/>
      <c r="AG1424" s="224"/>
    </row>
    <row r="1425">
      <c r="AD1425" s="224"/>
      <c r="AE1425" s="224"/>
      <c r="AF1425" s="224"/>
      <c r="AG1425" s="224"/>
    </row>
    <row r="1426">
      <c r="AD1426" s="224"/>
      <c r="AE1426" s="224"/>
      <c r="AF1426" s="224"/>
      <c r="AG1426" s="224"/>
    </row>
    <row r="1427">
      <c r="AD1427" s="224"/>
      <c r="AE1427" s="224"/>
      <c r="AF1427" s="224"/>
      <c r="AG1427" s="224"/>
    </row>
    <row r="1428">
      <c r="AD1428" s="224"/>
      <c r="AE1428" s="224"/>
      <c r="AF1428" s="224"/>
      <c r="AG1428" s="224"/>
    </row>
    <row r="1429">
      <c r="AD1429" s="224"/>
      <c r="AE1429" s="224"/>
      <c r="AF1429" s="224"/>
      <c r="AG1429" s="224"/>
    </row>
    <row r="1430">
      <c r="AD1430" s="224"/>
      <c r="AE1430" s="224"/>
      <c r="AF1430" s="224"/>
      <c r="AG1430" s="224"/>
    </row>
    <row r="1431">
      <c r="AD1431" s="224"/>
      <c r="AE1431" s="224"/>
      <c r="AF1431" s="224"/>
      <c r="AG1431" s="224"/>
    </row>
    <row r="1432">
      <c r="AD1432" s="224"/>
      <c r="AE1432" s="224"/>
      <c r="AF1432" s="224"/>
      <c r="AG1432" s="224"/>
    </row>
    <row r="1433">
      <c r="AD1433" s="224"/>
      <c r="AE1433" s="224"/>
      <c r="AF1433" s="224"/>
      <c r="AG1433" s="224"/>
    </row>
    <row r="1434">
      <c r="AD1434" s="224"/>
      <c r="AE1434" s="224"/>
      <c r="AF1434" s="224"/>
      <c r="AG1434" s="224"/>
    </row>
    <row r="1435">
      <c r="AD1435" s="224"/>
      <c r="AE1435" s="224"/>
      <c r="AF1435" s="224"/>
      <c r="AG1435" s="224"/>
    </row>
    <row r="1436">
      <c r="AD1436" s="224"/>
      <c r="AE1436" s="224"/>
      <c r="AF1436" s="224"/>
      <c r="AG1436" s="224"/>
    </row>
    <row r="1437">
      <c r="AD1437" s="224"/>
      <c r="AE1437" s="224"/>
      <c r="AF1437" s="224"/>
      <c r="AG1437" s="224"/>
    </row>
    <row r="1438">
      <c r="AD1438" s="224"/>
      <c r="AE1438" s="224"/>
      <c r="AF1438" s="224"/>
      <c r="AG1438" s="224"/>
    </row>
    <row r="1439">
      <c r="AD1439" s="224"/>
      <c r="AE1439" s="224"/>
      <c r="AF1439" s="224"/>
      <c r="AG1439" s="224"/>
    </row>
    <row r="1440">
      <c r="AD1440" s="224"/>
      <c r="AE1440" s="224"/>
      <c r="AF1440" s="224"/>
      <c r="AG1440" s="224"/>
    </row>
    <row r="1441">
      <c r="AD1441" s="224"/>
      <c r="AE1441" s="224"/>
      <c r="AF1441" s="224"/>
      <c r="AG1441" s="224"/>
    </row>
    <row r="1442">
      <c r="AD1442" s="224"/>
      <c r="AE1442" s="224"/>
      <c r="AF1442" s="224"/>
      <c r="AG1442" s="224"/>
    </row>
    <row r="1443">
      <c r="AD1443" s="224"/>
      <c r="AE1443" s="224"/>
      <c r="AF1443" s="224"/>
      <c r="AG1443" s="224"/>
    </row>
    <row r="1444">
      <c r="AD1444" s="224"/>
      <c r="AE1444" s="224"/>
      <c r="AF1444" s="224"/>
      <c r="AG1444" s="224"/>
    </row>
    <row r="1445">
      <c r="AD1445" s="224"/>
      <c r="AE1445" s="224"/>
      <c r="AF1445" s="224"/>
      <c r="AG1445" s="224"/>
    </row>
    <row r="1446">
      <c r="AD1446" s="224"/>
      <c r="AE1446" s="224"/>
      <c r="AF1446" s="224"/>
      <c r="AG1446" s="224"/>
    </row>
    <row r="1447">
      <c r="AD1447" s="224"/>
      <c r="AE1447" s="224"/>
      <c r="AF1447" s="224"/>
      <c r="AG1447" s="224"/>
    </row>
    <row r="1448">
      <c r="AD1448" s="224"/>
      <c r="AE1448" s="224"/>
      <c r="AF1448" s="224"/>
      <c r="AG1448" s="224"/>
    </row>
    <row r="1449">
      <c r="AD1449" s="224"/>
      <c r="AE1449" s="224"/>
      <c r="AF1449" s="224"/>
      <c r="AG1449" s="224"/>
    </row>
    <row r="1450">
      <c r="AD1450" s="224"/>
      <c r="AE1450" s="224"/>
      <c r="AF1450" s="224"/>
      <c r="AG1450" s="224"/>
    </row>
    <row r="1451">
      <c r="AD1451" s="224"/>
      <c r="AE1451" s="224"/>
      <c r="AF1451" s="224"/>
      <c r="AG1451" s="224"/>
    </row>
    <row r="1452">
      <c r="AD1452" s="224"/>
      <c r="AE1452" s="224"/>
      <c r="AF1452" s="224"/>
      <c r="AG1452" s="224"/>
    </row>
    <row r="1453">
      <c r="AD1453" s="224"/>
      <c r="AE1453" s="224"/>
      <c r="AF1453" s="224"/>
      <c r="AG1453" s="224"/>
    </row>
    <row r="1454">
      <c r="AD1454" s="224"/>
      <c r="AE1454" s="224"/>
      <c r="AF1454" s="224"/>
      <c r="AG1454" s="224"/>
    </row>
    <row r="1455">
      <c r="AD1455" s="224"/>
      <c r="AE1455" s="224"/>
      <c r="AF1455" s="224"/>
      <c r="AG1455" s="224"/>
    </row>
    <row r="1456">
      <c r="AD1456" s="224"/>
      <c r="AE1456" s="224"/>
      <c r="AF1456" s="224"/>
      <c r="AG1456" s="224"/>
    </row>
    <row r="1457">
      <c r="AD1457" s="224"/>
      <c r="AE1457" s="224"/>
      <c r="AF1457" s="224"/>
      <c r="AG1457" s="224"/>
    </row>
    <row r="1458">
      <c r="AD1458" s="224"/>
      <c r="AE1458" s="224"/>
      <c r="AF1458" s="224"/>
      <c r="AG1458" s="224"/>
    </row>
    <row r="1459">
      <c r="AD1459" s="224"/>
      <c r="AE1459" s="224"/>
      <c r="AF1459" s="224"/>
      <c r="AG1459" s="224"/>
    </row>
    <row r="1460">
      <c r="AD1460" s="224"/>
      <c r="AE1460" s="224"/>
      <c r="AF1460" s="224"/>
      <c r="AG1460" s="224"/>
    </row>
    <row r="1461">
      <c r="AD1461" s="224"/>
      <c r="AE1461" s="224"/>
      <c r="AF1461" s="224"/>
      <c r="AG1461" s="224"/>
    </row>
    <row r="1462">
      <c r="AD1462" s="224"/>
      <c r="AE1462" s="224"/>
      <c r="AF1462" s="224"/>
      <c r="AG1462" s="224"/>
    </row>
    <row r="1463">
      <c r="AD1463" s="224"/>
      <c r="AE1463" s="224"/>
      <c r="AF1463" s="224"/>
      <c r="AG1463" s="224"/>
    </row>
    <row r="1464">
      <c r="AD1464" s="224"/>
      <c r="AE1464" s="224"/>
      <c r="AF1464" s="224"/>
      <c r="AG1464" s="224"/>
    </row>
    <row r="1465">
      <c r="AD1465" s="224"/>
      <c r="AE1465" s="224"/>
      <c r="AF1465" s="224"/>
      <c r="AG1465" s="224"/>
    </row>
    <row r="1466">
      <c r="AD1466" s="224"/>
      <c r="AE1466" s="224"/>
      <c r="AF1466" s="224"/>
      <c r="AG1466" s="224"/>
    </row>
    <row r="1467">
      <c r="AD1467" s="224"/>
      <c r="AE1467" s="224"/>
      <c r="AF1467" s="224"/>
      <c r="AG1467" s="224"/>
    </row>
    <row r="1468">
      <c r="AD1468" s="224"/>
      <c r="AE1468" s="224"/>
      <c r="AF1468" s="224"/>
      <c r="AG1468" s="224"/>
    </row>
    <row r="1469">
      <c r="AD1469" s="224"/>
      <c r="AE1469" s="224"/>
      <c r="AF1469" s="224"/>
      <c r="AG1469" s="224"/>
    </row>
    <row r="1470">
      <c r="AD1470" s="224"/>
      <c r="AE1470" s="224"/>
      <c r="AF1470" s="224"/>
      <c r="AG1470" s="224"/>
    </row>
    <row r="1471">
      <c r="AD1471" s="224"/>
      <c r="AE1471" s="224"/>
      <c r="AF1471" s="224"/>
      <c r="AG1471" s="224"/>
    </row>
    <row r="1472">
      <c r="AD1472" s="224"/>
      <c r="AE1472" s="224"/>
      <c r="AF1472" s="224"/>
      <c r="AG1472" s="224"/>
    </row>
    <row r="1473">
      <c r="AD1473" s="224"/>
      <c r="AE1473" s="224"/>
      <c r="AF1473" s="224"/>
      <c r="AG1473" s="224"/>
    </row>
    <row r="1474">
      <c r="AD1474" s="224"/>
      <c r="AE1474" s="224"/>
      <c r="AF1474" s="224"/>
      <c r="AG1474" s="224"/>
    </row>
    <row r="1475">
      <c r="AD1475" s="224"/>
      <c r="AE1475" s="224"/>
      <c r="AF1475" s="224"/>
      <c r="AG1475" s="224"/>
    </row>
    <row r="1476">
      <c r="AD1476" s="224"/>
      <c r="AE1476" s="224"/>
      <c r="AF1476" s="224"/>
      <c r="AG1476" s="224"/>
    </row>
    <row r="1477">
      <c r="AD1477" s="224"/>
      <c r="AE1477" s="224"/>
      <c r="AF1477" s="224"/>
      <c r="AG1477" s="224"/>
    </row>
    <row r="1478">
      <c r="AD1478" s="224"/>
      <c r="AE1478" s="224"/>
      <c r="AF1478" s="224"/>
      <c r="AG1478" s="224"/>
    </row>
    <row r="1479">
      <c r="AD1479" s="224"/>
      <c r="AE1479" s="224"/>
      <c r="AF1479" s="224"/>
      <c r="AG1479" s="224"/>
    </row>
    <row r="1480">
      <c r="AD1480" s="224"/>
      <c r="AE1480" s="224"/>
      <c r="AF1480" s="224"/>
      <c r="AG1480" s="224"/>
    </row>
    <row r="1481">
      <c r="AD1481" s="224"/>
      <c r="AE1481" s="224"/>
      <c r="AF1481" s="224"/>
      <c r="AG1481" s="224"/>
    </row>
    <row r="1482">
      <c r="AD1482" s="224"/>
      <c r="AE1482" s="224"/>
      <c r="AF1482" s="224"/>
      <c r="AG1482" s="224"/>
    </row>
    <row r="1483">
      <c r="AD1483" s="224"/>
      <c r="AE1483" s="224"/>
      <c r="AF1483" s="224"/>
      <c r="AG1483" s="224"/>
    </row>
    <row r="1484">
      <c r="AD1484" s="224"/>
      <c r="AE1484" s="224"/>
      <c r="AF1484" s="224"/>
      <c r="AG1484" s="224"/>
    </row>
    <row r="1485">
      <c r="AD1485" s="224"/>
      <c r="AE1485" s="224"/>
      <c r="AF1485" s="224"/>
      <c r="AG1485" s="224"/>
    </row>
    <row r="1486">
      <c r="AD1486" s="224"/>
      <c r="AE1486" s="224"/>
      <c r="AF1486" s="224"/>
      <c r="AG1486" s="224"/>
    </row>
    <row r="1487">
      <c r="AD1487" s="224"/>
      <c r="AE1487" s="224"/>
      <c r="AF1487" s="224"/>
      <c r="AG1487" s="224"/>
    </row>
    <row r="1488">
      <c r="AD1488" s="224"/>
      <c r="AE1488" s="224"/>
      <c r="AF1488" s="224"/>
      <c r="AG1488" s="224"/>
    </row>
    <row r="1489">
      <c r="AD1489" s="224"/>
      <c r="AE1489" s="224"/>
      <c r="AF1489" s="224"/>
      <c r="AG1489" s="224"/>
    </row>
    <row r="1490">
      <c r="AD1490" s="224"/>
      <c r="AE1490" s="224"/>
      <c r="AF1490" s="224"/>
      <c r="AG1490" s="224"/>
    </row>
    <row r="1491">
      <c r="AD1491" s="224"/>
      <c r="AE1491" s="224"/>
      <c r="AF1491" s="224"/>
      <c r="AG1491" s="224"/>
    </row>
    <row r="1492">
      <c r="AD1492" s="224"/>
      <c r="AE1492" s="224"/>
      <c r="AF1492" s="224"/>
      <c r="AG1492" s="224"/>
    </row>
    <row r="1493">
      <c r="AD1493" s="224"/>
      <c r="AE1493" s="224"/>
      <c r="AF1493" s="224"/>
      <c r="AG1493" s="224"/>
    </row>
    <row r="1494">
      <c r="AD1494" s="224"/>
      <c r="AE1494" s="224"/>
      <c r="AF1494" s="224"/>
      <c r="AG1494" s="224"/>
    </row>
    <row r="1495">
      <c r="AD1495" s="224"/>
      <c r="AE1495" s="224"/>
      <c r="AF1495" s="224"/>
      <c r="AG1495" s="224"/>
    </row>
    <row r="1496">
      <c r="AD1496" s="224"/>
      <c r="AE1496" s="224"/>
      <c r="AF1496" s="224"/>
      <c r="AG1496" s="224"/>
    </row>
    <row r="1497">
      <c r="AD1497" s="224"/>
      <c r="AE1497" s="224"/>
      <c r="AF1497" s="224"/>
      <c r="AG1497" s="224"/>
    </row>
    <row r="1498">
      <c r="AD1498" s="224"/>
      <c r="AE1498" s="224"/>
      <c r="AF1498" s="224"/>
      <c r="AG1498" s="224"/>
    </row>
    <row r="1499">
      <c r="AD1499" s="224"/>
      <c r="AE1499" s="224"/>
      <c r="AF1499" s="224"/>
      <c r="AG1499" s="224"/>
    </row>
    <row r="1500">
      <c r="AD1500" s="224"/>
      <c r="AE1500" s="224"/>
      <c r="AF1500" s="224"/>
      <c r="AG1500" s="224"/>
    </row>
    <row r="1501">
      <c r="AD1501" s="224"/>
      <c r="AE1501" s="224"/>
      <c r="AF1501" s="224"/>
      <c r="AG1501" s="224"/>
    </row>
    <row r="1502">
      <c r="AD1502" s="224"/>
      <c r="AE1502" s="224"/>
      <c r="AF1502" s="224"/>
      <c r="AG1502" s="224"/>
    </row>
    <row r="1503">
      <c r="AD1503" s="224"/>
      <c r="AE1503" s="224"/>
      <c r="AF1503" s="224"/>
      <c r="AG1503" s="224"/>
    </row>
    <row r="1504">
      <c r="AD1504" s="224"/>
      <c r="AE1504" s="224"/>
      <c r="AF1504" s="224"/>
      <c r="AG1504" s="224"/>
    </row>
    <row r="1505">
      <c r="AD1505" s="224"/>
      <c r="AE1505" s="224"/>
      <c r="AF1505" s="224"/>
      <c r="AG1505" s="224"/>
    </row>
    <row r="1506">
      <c r="AD1506" s="224"/>
      <c r="AE1506" s="224"/>
      <c r="AF1506" s="224"/>
      <c r="AG1506" s="224"/>
    </row>
    <row r="1507">
      <c r="AD1507" s="224"/>
      <c r="AE1507" s="224"/>
      <c r="AF1507" s="224"/>
      <c r="AG1507" s="224"/>
    </row>
    <row r="1508">
      <c r="AD1508" s="224"/>
      <c r="AE1508" s="224"/>
      <c r="AF1508" s="224"/>
      <c r="AG1508" s="224"/>
    </row>
    <row r="1509">
      <c r="AD1509" s="224"/>
      <c r="AE1509" s="224"/>
      <c r="AF1509" s="224"/>
      <c r="AG1509" s="224"/>
    </row>
    <row r="1510">
      <c r="AD1510" s="224"/>
      <c r="AE1510" s="224"/>
      <c r="AF1510" s="224"/>
      <c r="AG1510" s="224"/>
    </row>
    <row r="1511">
      <c r="AD1511" s="224"/>
      <c r="AE1511" s="224"/>
      <c r="AF1511" s="224"/>
      <c r="AG1511" s="224"/>
    </row>
    <row r="1512">
      <c r="AD1512" s="224"/>
      <c r="AE1512" s="224"/>
      <c r="AF1512" s="224"/>
      <c r="AG1512" s="224"/>
    </row>
    <row r="1513">
      <c r="AD1513" s="224"/>
      <c r="AE1513" s="224"/>
      <c r="AF1513" s="224"/>
      <c r="AG1513" s="224"/>
    </row>
    <row r="1514">
      <c r="AD1514" s="224"/>
      <c r="AE1514" s="224"/>
      <c r="AF1514" s="224"/>
      <c r="AG1514" s="224"/>
    </row>
    <row r="1515">
      <c r="AD1515" s="224"/>
      <c r="AE1515" s="224"/>
      <c r="AF1515" s="224"/>
      <c r="AG1515" s="224"/>
    </row>
    <row r="1516">
      <c r="AD1516" s="224"/>
      <c r="AE1516" s="224"/>
      <c r="AF1516" s="224"/>
      <c r="AG1516" s="224"/>
    </row>
    <row r="1517">
      <c r="AD1517" s="224"/>
      <c r="AE1517" s="224"/>
      <c r="AF1517" s="224"/>
      <c r="AG1517" s="224"/>
    </row>
    <row r="1518">
      <c r="AD1518" s="224"/>
      <c r="AE1518" s="224"/>
      <c r="AF1518" s="224"/>
      <c r="AG1518" s="224"/>
    </row>
    <row r="1519">
      <c r="AD1519" s="224"/>
      <c r="AE1519" s="224"/>
      <c r="AF1519" s="224"/>
      <c r="AG1519" s="224"/>
    </row>
    <row r="1520">
      <c r="AD1520" s="224"/>
      <c r="AE1520" s="224"/>
      <c r="AF1520" s="224"/>
      <c r="AG1520" s="224"/>
    </row>
    <row r="1521">
      <c r="AD1521" s="224"/>
      <c r="AE1521" s="224"/>
      <c r="AF1521" s="224"/>
      <c r="AG1521" s="224"/>
    </row>
    <row r="1522">
      <c r="AD1522" s="224"/>
      <c r="AE1522" s="224"/>
      <c r="AF1522" s="224"/>
      <c r="AG1522" s="224"/>
    </row>
    <row r="1523">
      <c r="AD1523" s="224"/>
      <c r="AE1523" s="224"/>
      <c r="AF1523" s="224"/>
      <c r="AG1523" s="224"/>
    </row>
    <row r="1524">
      <c r="AD1524" s="224"/>
      <c r="AE1524" s="224"/>
      <c r="AF1524" s="224"/>
      <c r="AG1524" s="224"/>
    </row>
    <row r="1525">
      <c r="AD1525" s="224"/>
      <c r="AE1525" s="224"/>
      <c r="AF1525" s="224"/>
      <c r="AG1525" s="224"/>
    </row>
    <row r="1526">
      <c r="AD1526" s="224"/>
      <c r="AE1526" s="224"/>
      <c r="AF1526" s="224"/>
      <c r="AG1526" s="224"/>
    </row>
    <row r="1527">
      <c r="AD1527" s="224"/>
      <c r="AE1527" s="224"/>
      <c r="AF1527" s="224"/>
      <c r="AG1527" s="224"/>
    </row>
    <row r="1528">
      <c r="AD1528" s="224"/>
      <c r="AE1528" s="224"/>
      <c r="AF1528" s="224"/>
      <c r="AG1528" s="224"/>
    </row>
    <row r="1529">
      <c r="AD1529" s="224"/>
      <c r="AE1529" s="224"/>
      <c r="AF1529" s="224"/>
      <c r="AG1529" s="224"/>
    </row>
    <row r="1530">
      <c r="AD1530" s="224"/>
      <c r="AE1530" s="224"/>
      <c r="AF1530" s="224"/>
      <c r="AG1530" s="224"/>
    </row>
    <row r="1531">
      <c r="AD1531" s="224"/>
      <c r="AE1531" s="224"/>
      <c r="AF1531" s="224"/>
      <c r="AG1531" s="224"/>
    </row>
    <row r="1532">
      <c r="AD1532" s="224"/>
      <c r="AE1532" s="224"/>
      <c r="AF1532" s="224"/>
      <c r="AG1532" s="224"/>
    </row>
    <row r="1533">
      <c r="AD1533" s="224"/>
      <c r="AE1533" s="224"/>
      <c r="AF1533" s="224"/>
      <c r="AG1533" s="224"/>
    </row>
    <row r="1534">
      <c r="AD1534" s="224"/>
      <c r="AE1534" s="224"/>
      <c r="AF1534" s="224"/>
      <c r="AG1534" s="224"/>
    </row>
    <row r="1535">
      <c r="AD1535" s="224"/>
      <c r="AE1535" s="224"/>
      <c r="AF1535" s="224"/>
      <c r="AG1535" s="224"/>
    </row>
    <row r="1536">
      <c r="AD1536" s="224"/>
      <c r="AE1536" s="224"/>
      <c r="AF1536" s="224"/>
      <c r="AG1536" s="224"/>
    </row>
    <row r="1537">
      <c r="AD1537" s="224"/>
      <c r="AE1537" s="224"/>
      <c r="AF1537" s="224"/>
      <c r="AG1537" s="224"/>
    </row>
    <row r="1538">
      <c r="AD1538" s="224"/>
      <c r="AE1538" s="224"/>
      <c r="AF1538" s="224"/>
      <c r="AG1538" s="224"/>
    </row>
    <row r="1539">
      <c r="AD1539" s="224"/>
      <c r="AE1539" s="224"/>
      <c r="AF1539" s="224"/>
      <c r="AG1539" s="224"/>
    </row>
    <row r="1540">
      <c r="AD1540" s="224"/>
      <c r="AE1540" s="224"/>
      <c r="AF1540" s="224"/>
      <c r="AG1540" s="224"/>
    </row>
    <row r="1541">
      <c r="AD1541" s="224"/>
      <c r="AE1541" s="224"/>
      <c r="AF1541" s="224"/>
      <c r="AG1541" s="224"/>
    </row>
    <row r="1542">
      <c r="AD1542" s="224"/>
      <c r="AE1542" s="224"/>
      <c r="AF1542" s="224"/>
      <c r="AG1542" s="224"/>
    </row>
    <row r="1543">
      <c r="AD1543" s="224"/>
      <c r="AE1543" s="224"/>
      <c r="AF1543" s="224"/>
      <c r="AG1543" s="224"/>
    </row>
    <row r="1544">
      <c r="AD1544" s="224"/>
      <c r="AE1544" s="224"/>
      <c r="AF1544" s="224"/>
      <c r="AG1544" s="224"/>
    </row>
    <row r="1545">
      <c r="AD1545" s="224"/>
      <c r="AE1545" s="224"/>
      <c r="AF1545" s="224"/>
      <c r="AG1545" s="224"/>
    </row>
    <row r="1546">
      <c r="AD1546" s="224"/>
      <c r="AE1546" s="224"/>
      <c r="AF1546" s="224"/>
      <c r="AG1546" s="224"/>
    </row>
    <row r="1547">
      <c r="AD1547" s="224"/>
      <c r="AE1547" s="224"/>
      <c r="AF1547" s="224"/>
      <c r="AG1547" s="224"/>
    </row>
    <row r="1548">
      <c r="AD1548" s="224"/>
      <c r="AE1548" s="224"/>
      <c r="AF1548" s="224"/>
      <c r="AG1548" s="224"/>
    </row>
    <row r="1549">
      <c r="AD1549" s="224"/>
      <c r="AE1549" s="224"/>
      <c r="AF1549" s="224"/>
      <c r="AG1549" s="224"/>
    </row>
    <row r="1550">
      <c r="AD1550" s="224"/>
      <c r="AE1550" s="224"/>
      <c r="AF1550" s="224"/>
      <c r="AG1550" s="224"/>
    </row>
    <row r="1551">
      <c r="AD1551" s="224"/>
      <c r="AE1551" s="224"/>
      <c r="AF1551" s="224"/>
      <c r="AG1551" s="224"/>
    </row>
    <row r="1552">
      <c r="AD1552" s="224"/>
      <c r="AE1552" s="224"/>
      <c r="AF1552" s="224"/>
      <c r="AG1552" s="224"/>
    </row>
    <row r="1553">
      <c r="AD1553" s="224"/>
      <c r="AE1553" s="224"/>
      <c r="AF1553" s="224"/>
      <c r="AG1553" s="224"/>
    </row>
    <row r="1554">
      <c r="AD1554" s="224"/>
      <c r="AE1554" s="224"/>
      <c r="AF1554" s="224"/>
      <c r="AG1554" s="224"/>
    </row>
    <row r="1555">
      <c r="AD1555" s="224"/>
      <c r="AE1555" s="224"/>
      <c r="AF1555" s="224"/>
      <c r="AG1555" s="224"/>
    </row>
    <row r="1556">
      <c r="AD1556" s="224"/>
      <c r="AE1556" s="224"/>
      <c r="AF1556" s="224"/>
      <c r="AG1556" s="224"/>
    </row>
    <row r="1557">
      <c r="AD1557" s="224"/>
      <c r="AE1557" s="224"/>
      <c r="AF1557" s="224"/>
      <c r="AG1557" s="224"/>
    </row>
    <row r="1558">
      <c r="AD1558" s="224"/>
      <c r="AE1558" s="224"/>
      <c r="AF1558" s="224"/>
      <c r="AG1558" s="224"/>
    </row>
    <row r="1559">
      <c r="AD1559" s="224"/>
      <c r="AE1559" s="224"/>
      <c r="AF1559" s="224"/>
      <c r="AG1559" s="224"/>
    </row>
    <row r="1560">
      <c r="AD1560" s="224"/>
      <c r="AE1560" s="224"/>
      <c r="AF1560" s="224"/>
      <c r="AG1560" s="224"/>
    </row>
    <row r="1561">
      <c r="AD1561" s="224"/>
      <c r="AE1561" s="224"/>
      <c r="AF1561" s="224"/>
      <c r="AG1561" s="224"/>
    </row>
    <row r="1562">
      <c r="AD1562" s="224"/>
      <c r="AE1562" s="224"/>
      <c r="AF1562" s="224"/>
      <c r="AG1562" s="224"/>
    </row>
    <row r="1563">
      <c r="AD1563" s="224"/>
      <c r="AE1563" s="224"/>
      <c r="AF1563" s="224"/>
      <c r="AG1563" s="224"/>
    </row>
    <row r="1564">
      <c r="AD1564" s="224"/>
      <c r="AE1564" s="224"/>
      <c r="AF1564" s="224"/>
      <c r="AG1564" s="224"/>
    </row>
    <row r="1565">
      <c r="AD1565" s="224"/>
      <c r="AE1565" s="224"/>
      <c r="AF1565" s="224"/>
      <c r="AG1565" s="224"/>
    </row>
    <row r="1566">
      <c r="AD1566" s="224"/>
      <c r="AE1566" s="224"/>
      <c r="AF1566" s="224"/>
      <c r="AG1566" s="224"/>
    </row>
    <row r="1567">
      <c r="AD1567" s="224"/>
      <c r="AE1567" s="224"/>
      <c r="AF1567" s="224"/>
      <c r="AG1567" s="224"/>
    </row>
    <row r="1568">
      <c r="AD1568" s="224"/>
      <c r="AE1568" s="224"/>
      <c r="AF1568" s="224"/>
      <c r="AG1568" s="224"/>
    </row>
    <row r="1569">
      <c r="AD1569" s="224"/>
      <c r="AE1569" s="224"/>
      <c r="AF1569" s="224"/>
      <c r="AG1569" s="224"/>
    </row>
    <row r="1570">
      <c r="AD1570" s="224"/>
      <c r="AE1570" s="224"/>
      <c r="AF1570" s="224"/>
      <c r="AG1570" s="224"/>
    </row>
    <row r="1571">
      <c r="AD1571" s="224"/>
      <c r="AE1571" s="224"/>
      <c r="AF1571" s="224"/>
      <c r="AG1571" s="224"/>
    </row>
    <row r="1572">
      <c r="AD1572" s="224"/>
      <c r="AE1572" s="224"/>
      <c r="AF1572" s="224"/>
      <c r="AG1572" s="224"/>
    </row>
    <row r="1573">
      <c r="AD1573" s="224"/>
      <c r="AE1573" s="224"/>
      <c r="AF1573" s="224"/>
      <c r="AG1573" s="224"/>
    </row>
    <row r="1574">
      <c r="AD1574" s="224"/>
      <c r="AE1574" s="224"/>
      <c r="AF1574" s="224"/>
      <c r="AG1574" s="224"/>
    </row>
    <row r="1575">
      <c r="AD1575" s="224"/>
      <c r="AE1575" s="224"/>
      <c r="AF1575" s="224"/>
      <c r="AG1575" s="224"/>
    </row>
    <row r="1576">
      <c r="AD1576" s="224"/>
      <c r="AE1576" s="224"/>
      <c r="AF1576" s="224"/>
      <c r="AG1576" s="224"/>
    </row>
    <row r="1577">
      <c r="AD1577" s="224"/>
      <c r="AE1577" s="224"/>
      <c r="AF1577" s="224"/>
      <c r="AG1577" s="224"/>
    </row>
    <row r="1578">
      <c r="AD1578" s="224"/>
      <c r="AE1578" s="224"/>
      <c r="AF1578" s="224"/>
      <c r="AG1578" s="224"/>
    </row>
    <row r="1579">
      <c r="AD1579" s="224"/>
      <c r="AE1579" s="224"/>
      <c r="AF1579" s="224"/>
      <c r="AG1579" s="224"/>
    </row>
    <row r="1580">
      <c r="AD1580" s="224"/>
      <c r="AE1580" s="224"/>
      <c r="AF1580" s="224"/>
      <c r="AG1580" s="224"/>
    </row>
    <row r="1581">
      <c r="AD1581" s="224"/>
      <c r="AE1581" s="224"/>
      <c r="AF1581" s="224"/>
      <c r="AG1581" s="224"/>
    </row>
    <row r="1582">
      <c r="AD1582" s="224"/>
      <c r="AE1582" s="224"/>
      <c r="AF1582" s="224"/>
      <c r="AG1582" s="224"/>
    </row>
    <row r="1583">
      <c r="AD1583" s="224"/>
      <c r="AE1583" s="224"/>
      <c r="AF1583" s="224"/>
      <c r="AG1583" s="224"/>
    </row>
    <row r="1584">
      <c r="AD1584" s="224"/>
      <c r="AE1584" s="224"/>
      <c r="AF1584" s="224"/>
      <c r="AG1584" s="224"/>
    </row>
    <row r="1585">
      <c r="AD1585" s="224"/>
      <c r="AE1585" s="224"/>
      <c r="AF1585" s="224"/>
      <c r="AG1585" s="224"/>
    </row>
    <row r="1586">
      <c r="AD1586" s="224"/>
      <c r="AE1586" s="224"/>
      <c r="AF1586" s="224"/>
      <c r="AG1586" s="224"/>
    </row>
    <row r="1587">
      <c r="AD1587" s="224"/>
      <c r="AE1587" s="224"/>
      <c r="AF1587" s="224"/>
      <c r="AG1587" s="224"/>
    </row>
    <row r="1588">
      <c r="AD1588" s="224"/>
      <c r="AE1588" s="224"/>
      <c r="AF1588" s="224"/>
      <c r="AG1588" s="224"/>
    </row>
    <row r="1589">
      <c r="AD1589" s="224"/>
      <c r="AE1589" s="224"/>
      <c r="AF1589" s="224"/>
      <c r="AG1589" s="224"/>
    </row>
    <row r="1590">
      <c r="AD1590" s="224"/>
      <c r="AE1590" s="224"/>
      <c r="AF1590" s="224"/>
      <c r="AG1590" s="224"/>
    </row>
    <row r="1591">
      <c r="AD1591" s="224"/>
      <c r="AE1591" s="224"/>
      <c r="AF1591" s="224"/>
      <c r="AG1591" s="224"/>
    </row>
    <row r="1592">
      <c r="AD1592" s="224"/>
      <c r="AE1592" s="224"/>
      <c r="AF1592" s="224"/>
      <c r="AG1592" s="224"/>
    </row>
    <row r="1593">
      <c r="AD1593" s="224"/>
      <c r="AE1593" s="224"/>
      <c r="AF1593" s="224"/>
      <c r="AG1593" s="224"/>
    </row>
    <row r="1594">
      <c r="AD1594" s="224"/>
      <c r="AE1594" s="224"/>
      <c r="AF1594" s="224"/>
      <c r="AG1594" s="224"/>
    </row>
    <row r="1595">
      <c r="AD1595" s="224"/>
      <c r="AE1595" s="224"/>
      <c r="AF1595" s="224"/>
      <c r="AG1595" s="224"/>
    </row>
    <row r="1596">
      <c r="AD1596" s="224"/>
      <c r="AE1596" s="224"/>
      <c r="AF1596" s="224"/>
      <c r="AG1596" s="224"/>
    </row>
    <row r="1597">
      <c r="AD1597" s="224"/>
      <c r="AE1597" s="224"/>
      <c r="AF1597" s="224"/>
      <c r="AG1597" s="224"/>
    </row>
    <row r="1598">
      <c r="AD1598" s="224"/>
      <c r="AE1598" s="224"/>
      <c r="AF1598" s="224"/>
      <c r="AG1598" s="224"/>
    </row>
    <row r="1599">
      <c r="AD1599" s="224"/>
      <c r="AE1599" s="224"/>
      <c r="AF1599" s="224"/>
      <c r="AG1599" s="224"/>
    </row>
    <row r="1600">
      <c r="AD1600" s="224"/>
      <c r="AE1600" s="224"/>
      <c r="AF1600" s="224"/>
      <c r="AG1600" s="224"/>
    </row>
    <row r="1601">
      <c r="AD1601" s="224"/>
      <c r="AE1601" s="224"/>
      <c r="AF1601" s="224"/>
      <c r="AG1601" s="224"/>
    </row>
    <row r="1602">
      <c r="AD1602" s="224"/>
      <c r="AE1602" s="224"/>
      <c r="AF1602" s="224"/>
      <c r="AG1602" s="224"/>
    </row>
    <row r="1603">
      <c r="AD1603" s="224"/>
      <c r="AE1603" s="224"/>
      <c r="AF1603" s="224"/>
      <c r="AG1603" s="224"/>
    </row>
    <row r="1604">
      <c r="AD1604" s="224"/>
      <c r="AE1604" s="224"/>
      <c r="AF1604" s="224"/>
      <c r="AG1604" s="224"/>
    </row>
    <row r="1605">
      <c r="AD1605" s="224"/>
      <c r="AE1605" s="224"/>
      <c r="AF1605" s="224"/>
      <c r="AG1605" s="224"/>
    </row>
    <row r="1606">
      <c r="AD1606" s="224"/>
      <c r="AE1606" s="224"/>
      <c r="AF1606" s="224"/>
      <c r="AG1606" s="224"/>
    </row>
    <row r="1607">
      <c r="AD1607" s="224"/>
      <c r="AE1607" s="224"/>
      <c r="AF1607" s="224"/>
      <c r="AG1607" s="224"/>
    </row>
    <row r="1608">
      <c r="AD1608" s="224"/>
      <c r="AE1608" s="224"/>
      <c r="AF1608" s="224"/>
      <c r="AG1608" s="224"/>
    </row>
    <row r="1609">
      <c r="AD1609" s="224"/>
      <c r="AE1609" s="224"/>
      <c r="AF1609" s="224"/>
      <c r="AG1609" s="224"/>
    </row>
    <row r="1610">
      <c r="AD1610" s="224"/>
      <c r="AE1610" s="224"/>
      <c r="AF1610" s="224"/>
      <c r="AG1610" s="224"/>
    </row>
    <row r="1611">
      <c r="AD1611" s="224"/>
      <c r="AE1611" s="224"/>
      <c r="AF1611" s="224"/>
      <c r="AG1611" s="224"/>
    </row>
    <row r="1612">
      <c r="AD1612" s="224"/>
      <c r="AE1612" s="224"/>
      <c r="AF1612" s="224"/>
      <c r="AG1612" s="224"/>
    </row>
    <row r="1613">
      <c r="AD1613" s="224"/>
      <c r="AE1613" s="224"/>
      <c r="AF1613" s="224"/>
      <c r="AG1613" s="224"/>
    </row>
    <row r="1614">
      <c r="AD1614" s="224"/>
      <c r="AE1614" s="224"/>
      <c r="AF1614" s="224"/>
      <c r="AG1614" s="224"/>
    </row>
    <row r="1615">
      <c r="AD1615" s="224"/>
      <c r="AE1615" s="224"/>
      <c r="AF1615" s="224"/>
      <c r="AG1615" s="224"/>
    </row>
    <row r="1616">
      <c r="AD1616" s="224"/>
      <c r="AE1616" s="224"/>
      <c r="AF1616" s="224"/>
      <c r="AG1616" s="224"/>
    </row>
    <row r="1617">
      <c r="AD1617" s="224"/>
      <c r="AE1617" s="224"/>
      <c r="AF1617" s="224"/>
      <c r="AG1617" s="224"/>
    </row>
    <row r="1618">
      <c r="AD1618" s="224"/>
      <c r="AE1618" s="224"/>
      <c r="AF1618" s="224"/>
      <c r="AG1618" s="224"/>
    </row>
    <row r="1619">
      <c r="AD1619" s="224"/>
      <c r="AE1619" s="224"/>
      <c r="AF1619" s="224"/>
      <c r="AG1619" s="224"/>
    </row>
    <row r="1620">
      <c r="AD1620" s="224"/>
      <c r="AE1620" s="224"/>
      <c r="AF1620" s="224"/>
      <c r="AG1620" s="224"/>
    </row>
    <row r="1621">
      <c r="AD1621" s="224"/>
      <c r="AE1621" s="224"/>
      <c r="AF1621" s="224"/>
      <c r="AG1621" s="224"/>
    </row>
    <row r="1622">
      <c r="AD1622" s="224"/>
      <c r="AE1622" s="224"/>
      <c r="AF1622" s="224"/>
      <c r="AG1622" s="224"/>
    </row>
    <row r="1623">
      <c r="AD1623" s="224"/>
      <c r="AE1623" s="224"/>
      <c r="AF1623" s="224"/>
      <c r="AG1623" s="224"/>
    </row>
    <row r="1624">
      <c r="AD1624" s="224"/>
      <c r="AE1624" s="224"/>
      <c r="AF1624" s="224"/>
      <c r="AG1624" s="224"/>
    </row>
    <row r="1625">
      <c r="AD1625" s="224"/>
      <c r="AE1625" s="224"/>
      <c r="AF1625" s="224"/>
      <c r="AG1625" s="224"/>
    </row>
    <row r="1626">
      <c r="AD1626" s="224"/>
      <c r="AE1626" s="224"/>
      <c r="AF1626" s="224"/>
      <c r="AG1626" s="224"/>
    </row>
    <row r="1627">
      <c r="AD1627" s="224"/>
      <c r="AE1627" s="224"/>
      <c r="AF1627" s="224"/>
      <c r="AG1627" s="224"/>
    </row>
    <row r="1628">
      <c r="AD1628" s="224"/>
      <c r="AE1628" s="224"/>
      <c r="AF1628" s="224"/>
      <c r="AG1628" s="224"/>
    </row>
    <row r="1629">
      <c r="AD1629" s="224"/>
      <c r="AE1629" s="224"/>
      <c r="AF1629" s="224"/>
      <c r="AG1629" s="224"/>
    </row>
    <row r="1630">
      <c r="AD1630" s="224"/>
      <c r="AE1630" s="224"/>
      <c r="AF1630" s="224"/>
      <c r="AG1630" s="224"/>
    </row>
    <row r="1631">
      <c r="AD1631" s="224"/>
      <c r="AE1631" s="224"/>
      <c r="AF1631" s="224"/>
      <c r="AG1631" s="224"/>
    </row>
    <row r="1632">
      <c r="AD1632" s="224"/>
      <c r="AE1632" s="224"/>
      <c r="AF1632" s="224"/>
      <c r="AG1632" s="224"/>
    </row>
    <row r="1633">
      <c r="AD1633" s="224"/>
      <c r="AE1633" s="224"/>
      <c r="AF1633" s="224"/>
      <c r="AG1633" s="224"/>
    </row>
    <row r="1634">
      <c r="AD1634" s="224"/>
      <c r="AE1634" s="224"/>
      <c r="AF1634" s="224"/>
      <c r="AG1634" s="224"/>
    </row>
    <row r="1635">
      <c r="AD1635" s="224"/>
      <c r="AE1635" s="224"/>
      <c r="AF1635" s="224"/>
      <c r="AG1635" s="224"/>
    </row>
    <row r="1636">
      <c r="AD1636" s="224"/>
      <c r="AE1636" s="224"/>
      <c r="AF1636" s="224"/>
      <c r="AG1636" s="224"/>
    </row>
    <row r="1637">
      <c r="AD1637" s="224"/>
      <c r="AE1637" s="224"/>
      <c r="AF1637" s="224"/>
      <c r="AG1637" s="224"/>
    </row>
    <row r="1638">
      <c r="AD1638" s="224"/>
      <c r="AE1638" s="224"/>
      <c r="AF1638" s="224"/>
      <c r="AG1638" s="224"/>
    </row>
    <row r="1639">
      <c r="AD1639" s="224"/>
      <c r="AE1639" s="224"/>
      <c r="AF1639" s="224"/>
      <c r="AG1639" s="224"/>
    </row>
    <row r="1640">
      <c r="AD1640" s="224"/>
      <c r="AE1640" s="224"/>
      <c r="AF1640" s="224"/>
      <c r="AG1640" s="224"/>
    </row>
    <row r="1641">
      <c r="AD1641" s="224"/>
      <c r="AE1641" s="224"/>
      <c r="AF1641" s="224"/>
      <c r="AG1641" s="224"/>
    </row>
    <row r="1642">
      <c r="AD1642" s="224"/>
      <c r="AE1642" s="224"/>
      <c r="AF1642" s="224"/>
      <c r="AG1642" s="224"/>
    </row>
    <row r="1643">
      <c r="AD1643" s="224"/>
      <c r="AE1643" s="224"/>
      <c r="AF1643" s="224"/>
      <c r="AG1643" s="224"/>
    </row>
    <row r="1644">
      <c r="AD1644" s="224"/>
      <c r="AE1644" s="224"/>
      <c r="AF1644" s="224"/>
      <c r="AG1644" s="224"/>
    </row>
    <row r="1645">
      <c r="AD1645" s="224"/>
      <c r="AE1645" s="224"/>
      <c r="AF1645" s="224"/>
      <c r="AG1645" s="224"/>
    </row>
    <row r="1646">
      <c r="AD1646" s="224"/>
      <c r="AE1646" s="224"/>
      <c r="AF1646" s="224"/>
      <c r="AG1646" s="224"/>
    </row>
    <row r="1647">
      <c r="AD1647" s="224"/>
      <c r="AE1647" s="224"/>
      <c r="AF1647" s="224"/>
      <c r="AG1647" s="224"/>
    </row>
    <row r="1648">
      <c r="AD1648" s="224"/>
      <c r="AE1648" s="224"/>
      <c r="AF1648" s="224"/>
      <c r="AG1648" s="224"/>
    </row>
    <row r="1649">
      <c r="AD1649" s="224"/>
      <c r="AE1649" s="224"/>
      <c r="AF1649" s="224"/>
      <c r="AG1649" s="224"/>
    </row>
    <row r="1650">
      <c r="AD1650" s="224"/>
      <c r="AE1650" s="224"/>
      <c r="AF1650" s="224"/>
      <c r="AG1650" s="224"/>
    </row>
    <row r="1651">
      <c r="AD1651" s="224"/>
      <c r="AE1651" s="224"/>
      <c r="AF1651" s="224"/>
      <c r="AG1651" s="224"/>
    </row>
    <row r="1652">
      <c r="AD1652" s="224"/>
      <c r="AE1652" s="224"/>
      <c r="AF1652" s="224"/>
      <c r="AG1652" s="224"/>
    </row>
    <row r="1653">
      <c r="AD1653" s="224"/>
      <c r="AE1653" s="224"/>
      <c r="AF1653" s="224"/>
      <c r="AG1653" s="224"/>
    </row>
    <row r="1654">
      <c r="AD1654" s="224"/>
      <c r="AE1654" s="224"/>
      <c r="AF1654" s="224"/>
      <c r="AG1654" s="224"/>
    </row>
    <row r="1655">
      <c r="AD1655" s="224"/>
      <c r="AE1655" s="224"/>
      <c r="AF1655" s="224"/>
      <c r="AG1655" s="224"/>
    </row>
    <row r="1656">
      <c r="AD1656" s="224"/>
      <c r="AE1656" s="224"/>
      <c r="AF1656" s="224"/>
      <c r="AG1656" s="224"/>
    </row>
    <row r="1657">
      <c r="AD1657" s="224"/>
      <c r="AE1657" s="224"/>
      <c r="AF1657" s="224"/>
      <c r="AG1657" s="224"/>
    </row>
    <row r="1658">
      <c r="AD1658" s="224"/>
      <c r="AE1658" s="224"/>
      <c r="AF1658" s="224"/>
      <c r="AG1658" s="224"/>
    </row>
    <row r="1659">
      <c r="AD1659" s="224"/>
      <c r="AE1659" s="224"/>
      <c r="AF1659" s="224"/>
      <c r="AG1659" s="224"/>
    </row>
    <row r="1660">
      <c r="AD1660" s="224"/>
      <c r="AE1660" s="224"/>
      <c r="AF1660" s="224"/>
      <c r="AG1660" s="224"/>
    </row>
    <row r="1661">
      <c r="AD1661" s="224"/>
      <c r="AE1661" s="224"/>
      <c r="AF1661" s="224"/>
      <c r="AG1661" s="224"/>
    </row>
    <row r="1662">
      <c r="AD1662" s="224"/>
      <c r="AE1662" s="224"/>
      <c r="AF1662" s="224"/>
      <c r="AG1662" s="224"/>
    </row>
    <row r="1663">
      <c r="AD1663" s="224"/>
      <c r="AE1663" s="224"/>
      <c r="AF1663" s="224"/>
      <c r="AG1663" s="224"/>
    </row>
    <row r="1664">
      <c r="AD1664" s="224"/>
      <c r="AE1664" s="224"/>
      <c r="AF1664" s="224"/>
      <c r="AG1664" s="224"/>
    </row>
    <row r="1665">
      <c r="AD1665" s="224"/>
      <c r="AE1665" s="224"/>
      <c r="AF1665" s="224"/>
      <c r="AG1665" s="224"/>
    </row>
    <row r="1666">
      <c r="AD1666" s="224"/>
      <c r="AE1666" s="224"/>
      <c r="AF1666" s="224"/>
      <c r="AG1666" s="224"/>
    </row>
    <row r="1667">
      <c r="AD1667" s="224"/>
      <c r="AE1667" s="224"/>
      <c r="AF1667" s="224"/>
      <c r="AG1667" s="224"/>
    </row>
    <row r="1668">
      <c r="AD1668" s="224"/>
      <c r="AE1668" s="224"/>
      <c r="AF1668" s="224"/>
      <c r="AG1668" s="224"/>
    </row>
    <row r="1669">
      <c r="AD1669" s="224"/>
      <c r="AE1669" s="224"/>
      <c r="AF1669" s="224"/>
      <c r="AG1669" s="224"/>
    </row>
    <row r="1670">
      <c r="AD1670" s="224"/>
      <c r="AE1670" s="224"/>
      <c r="AF1670" s="224"/>
      <c r="AG1670" s="224"/>
    </row>
    <row r="1671">
      <c r="AD1671" s="224"/>
      <c r="AE1671" s="224"/>
      <c r="AF1671" s="224"/>
      <c r="AG1671" s="224"/>
    </row>
    <row r="1672">
      <c r="AD1672" s="224"/>
      <c r="AE1672" s="224"/>
      <c r="AF1672" s="224"/>
      <c r="AG1672" s="224"/>
    </row>
    <row r="1673">
      <c r="AD1673" s="224"/>
      <c r="AE1673" s="224"/>
      <c r="AF1673" s="224"/>
      <c r="AG1673" s="224"/>
    </row>
    <row r="1674">
      <c r="AD1674" s="224"/>
      <c r="AE1674" s="224"/>
      <c r="AF1674" s="224"/>
      <c r="AG1674" s="224"/>
    </row>
    <row r="1675">
      <c r="AD1675" s="224"/>
      <c r="AE1675" s="224"/>
      <c r="AF1675" s="224"/>
      <c r="AG1675" s="224"/>
    </row>
    <row r="1676">
      <c r="AD1676" s="224"/>
      <c r="AE1676" s="224"/>
      <c r="AF1676" s="224"/>
      <c r="AG1676" s="224"/>
    </row>
    <row r="1677">
      <c r="AD1677" s="224"/>
      <c r="AE1677" s="224"/>
      <c r="AF1677" s="224"/>
      <c r="AG1677" s="224"/>
    </row>
    <row r="1678">
      <c r="AD1678" s="224"/>
      <c r="AE1678" s="224"/>
      <c r="AF1678" s="224"/>
      <c r="AG1678" s="224"/>
    </row>
    <row r="1679">
      <c r="AD1679" s="224"/>
      <c r="AE1679" s="224"/>
      <c r="AF1679" s="224"/>
      <c r="AG1679" s="224"/>
    </row>
    <row r="1680">
      <c r="AD1680" s="224"/>
      <c r="AE1680" s="224"/>
      <c r="AF1680" s="224"/>
      <c r="AG1680" s="224"/>
    </row>
    <row r="1681">
      <c r="AD1681" s="224"/>
      <c r="AE1681" s="224"/>
      <c r="AF1681" s="224"/>
      <c r="AG1681" s="224"/>
    </row>
    <row r="1682">
      <c r="AD1682" s="224"/>
      <c r="AE1682" s="224"/>
      <c r="AF1682" s="224"/>
      <c r="AG1682" s="224"/>
    </row>
    <row r="1683">
      <c r="AD1683" s="224"/>
      <c r="AE1683" s="224"/>
      <c r="AF1683" s="224"/>
      <c r="AG1683" s="224"/>
    </row>
    <row r="1684">
      <c r="AD1684" s="224"/>
      <c r="AE1684" s="224"/>
      <c r="AF1684" s="224"/>
      <c r="AG1684" s="224"/>
    </row>
    <row r="1685">
      <c r="AD1685" s="224"/>
      <c r="AE1685" s="224"/>
      <c r="AF1685" s="224"/>
      <c r="AG1685" s="224"/>
    </row>
    <row r="1686">
      <c r="AD1686" s="224"/>
      <c r="AE1686" s="224"/>
      <c r="AF1686" s="224"/>
      <c r="AG1686" s="224"/>
    </row>
    <row r="1687">
      <c r="AD1687" s="224"/>
      <c r="AE1687" s="224"/>
      <c r="AF1687" s="224"/>
      <c r="AG1687" s="224"/>
    </row>
    <row r="1688">
      <c r="AD1688" s="224"/>
      <c r="AE1688" s="224"/>
      <c r="AF1688" s="224"/>
      <c r="AG1688" s="224"/>
    </row>
    <row r="1689">
      <c r="AD1689" s="224"/>
      <c r="AE1689" s="224"/>
      <c r="AF1689" s="224"/>
      <c r="AG1689" s="224"/>
    </row>
    <row r="1690">
      <c r="AD1690" s="224"/>
      <c r="AE1690" s="224"/>
      <c r="AF1690" s="224"/>
      <c r="AG1690" s="224"/>
    </row>
    <row r="1691">
      <c r="AD1691" s="224"/>
      <c r="AE1691" s="224"/>
      <c r="AF1691" s="224"/>
      <c r="AG1691" s="224"/>
    </row>
    <row r="1692">
      <c r="AD1692" s="224"/>
      <c r="AE1692" s="224"/>
      <c r="AF1692" s="224"/>
      <c r="AG1692" s="224"/>
    </row>
    <row r="1693">
      <c r="AD1693" s="224"/>
      <c r="AE1693" s="224"/>
      <c r="AF1693" s="224"/>
      <c r="AG1693" s="224"/>
    </row>
    <row r="1694">
      <c r="AD1694" s="224"/>
      <c r="AE1694" s="224"/>
      <c r="AF1694" s="224"/>
      <c r="AG1694" s="224"/>
    </row>
    <row r="1695">
      <c r="AD1695" s="224"/>
      <c r="AE1695" s="224"/>
      <c r="AF1695" s="224"/>
      <c r="AG1695" s="224"/>
    </row>
    <row r="1696">
      <c r="AD1696" s="224"/>
      <c r="AE1696" s="224"/>
      <c r="AF1696" s="224"/>
      <c r="AG1696" s="224"/>
    </row>
    <row r="1697">
      <c r="AD1697" s="224"/>
      <c r="AE1697" s="224"/>
      <c r="AF1697" s="224"/>
      <c r="AG1697" s="224"/>
    </row>
    <row r="1698">
      <c r="AD1698" s="224"/>
      <c r="AE1698" s="224"/>
      <c r="AF1698" s="224"/>
      <c r="AG1698" s="224"/>
    </row>
    <row r="1699">
      <c r="AD1699" s="224"/>
      <c r="AE1699" s="224"/>
      <c r="AF1699" s="224"/>
      <c r="AG1699" s="224"/>
    </row>
    <row r="1700">
      <c r="AD1700" s="224"/>
      <c r="AE1700" s="224"/>
      <c r="AF1700" s="224"/>
      <c r="AG1700" s="224"/>
    </row>
    <row r="1701">
      <c r="AD1701" s="224"/>
      <c r="AE1701" s="224"/>
      <c r="AF1701" s="224"/>
      <c r="AG1701" s="224"/>
    </row>
    <row r="1702">
      <c r="AD1702" s="224"/>
      <c r="AE1702" s="224"/>
      <c r="AF1702" s="224"/>
      <c r="AG1702" s="224"/>
    </row>
    <row r="1703">
      <c r="AD1703" s="224"/>
      <c r="AE1703" s="224"/>
      <c r="AF1703" s="224"/>
      <c r="AG1703" s="224"/>
    </row>
    <row r="1704">
      <c r="AD1704" s="224"/>
      <c r="AE1704" s="224"/>
      <c r="AF1704" s="224"/>
      <c r="AG1704" s="224"/>
    </row>
    <row r="1705">
      <c r="AD1705" s="224"/>
      <c r="AE1705" s="224"/>
      <c r="AF1705" s="224"/>
      <c r="AG1705" s="224"/>
    </row>
    <row r="1706">
      <c r="AD1706" s="224"/>
      <c r="AE1706" s="224"/>
      <c r="AF1706" s="224"/>
      <c r="AG1706" s="224"/>
    </row>
    <row r="1707">
      <c r="AD1707" s="224"/>
      <c r="AE1707" s="224"/>
      <c r="AF1707" s="224"/>
      <c r="AG1707" s="224"/>
    </row>
    <row r="1708">
      <c r="AD1708" s="224"/>
      <c r="AE1708" s="224"/>
      <c r="AF1708" s="224"/>
      <c r="AG1708" s="224"/>
    </row>
    <row r="1709">
      <c r="AD1709" s="224"/>
      <c r="AE1709" s="224"/>
      <c r="AF1709" s="224"/>
      <c r="AG1709" s="224"/>
    </row>
    <row r="1710">
      <c r="AD1710" s="224"/>
      <c r="AE1710" s="224"/>
      <c r="AF1710" s="224"/>
      <c r="AG1710" s="224"/>
    </row>
    <row r="1711">
      <c r="AD1711" s="224"/>
      <c r="AE1711" s="224"/>
      <c r="AF1711" s="224"/>
      <c r="AG1711" s="224"/>
    </row>
    <row r="1712">
      <c r="AD1712" s="224"/>
      <c r="AE1712" s="224"/>
      <c r="AF1712" s="224"/>
      <c r="AG1712" s="224"/>
    </row>
    <row r="1713">
      <c r="AD1713" s="224"/>
      <c r="AE1713" s="224"/>
      <c r="AF1713" s="224"/>
      <c r="AG1713" s="224"/>
    </row>
    <row r="1714">
      <c r="AD1714" s="224"/>
      <c r="AE1714" s="224"/>
      <c r="AF1714" s="224"/>
      <c r="AG1714" s="224"/>
    </row>
    <row r="1715">
      <c r="AD1715" s="224"/>
      <c r="AE1715" s="224"/>
      <c r="AF1715" s="224"/>
      <c r="AG1715" s="224"/>
    </row>
    <row r="1716">
      <c r="AD1716" s="224"/>
      <c r="AE1716" s="224"/>
      <c r="AF1716" s="224"/>
      <c r="AG1716" s="224"/>
    </row>
    <row r="1717">
      <c r="AD1717" s="224"/>
      <c r="AE1717" s="224"/>
      <c r="AF1717" s="224"/>
      <c r="AG1717" s="224"/>
    </row>
    <row r="1718">
      <c r="AD1718" s="224"/>
      <c r="AE1718" s="224"/>
      <c r="AF1718" s="224"/>
      <c r="AG1718" s="224"/>
    </row>
    <row r="1719">
      <c r="AD1719" s="224"/>
      <c r="AE1719" s="224"/>
      <c r="AF1719" s="224"/>
      <c r="AG1719" s="224"/>
    </row>
    <row r="1720">
      <c r="AD1720" s="224"/>
      <c r="AE1720" s="224"/>
      <c r="AF1720" s="224"/>
      <c r="AG1720" s="224"/>
    </row>
    <row r="1721">
      <c r="AD1721" s="224"/>
      <c r="AE1721" s="224"/>
      <c r="AF1721" s="224"/>
      <c r="AG1721" s="224"/>
    </row>
    <row r="1722">
      <c r="AD1722" s="224"/>
      <c r="AE1722" s="224"/>
      <c r="AF1722" s="224"/>
      <c r="AG1722" s="224"/>
    </row>
    <row r="1723">
      <c r="AD1723" s="224"/>
      <c r="AE1723" s="224"/>
      <c r="AF1723" s="224"/>
      <c r="AG1723" s="224"/>
    </row>
    <row r="1724">
      <c r="AD1724" s="224"/>
      <c r="AE1724" s="224"/>
      <c r="AF1724" s="224"/>
      <c r="AG1724" s="224"/>
    </row>
    <row r="1725">
      <c r="AD1725" s="224"/>
      <c r="AE1725" s="224"/>
      <c r="AF1725" s="224"/>
      <c r="AG1725" s="224"/>
    </row>
    <row r="1726">
      <c r="AD1726" s="224"/>
      <c r="AE1726" s="224"/>
      <c r="AF1726" s="224"/>
      <c r="AG1726" s="224"/>
    </row>
    <row r="1727">
      <c r="AD1727" s="224"/>
      <c r="AE1727" s="224"/>
      <c r="AF1727" s="224"/>
      <c r="AG1727" s="224"/>
    </row>
    <row r="1728">
      <c r="AD1728" s="224"/>
      <c r="AE1728" s="224"/>
      <c r="AF1728" s="224"/>
      <c r="AG1728" s="224"/>
    </row>
    <row r="1729">
      <c r="AD1729" s="224"/>
      <c r="AE1729" s="224"/>
      <c r="AF1729" s="224"/>
      <c r="AG1729" s="224"/>
    </row>
    <row r="1730">
      <c r="AD1730" s="224"/>
      <c r="AE1730" s="224"/>
      <c r="AF1730" s="224"/>
      <c r="AG1730" s="224"/>
    </row>
    <row r="1731">
      <c r="AD1731" s="224"/>
      <c r="AE1731" s="224"/>
      <c r="AF1731" s="224"/>
      <c r="AG1731" s="224"/>
    </row>
    <row r="1732">
      <c r="AD1732" s="224"/>
      <c r="AE1732" s="224"/>
      <c r="AF1732" s="224"/>
      <c r="AG1732" s="224"/>
    </row>
    <row r="1733">
      <c r="AD1733" s="224"/>
      <c r="AE1733" s="224"/>
      <c r="AF1733" s="224"/>
      <c r="AG1733" s="224"/>
    </row>
    <row r="1734">
      <c r="AD1734" s="224"/>
      <c r="AE1734" s="224"/>
      <c r="AF1734" s="224"/>
      <c r="AG1734" s="224"/>
    </row>
    <row r="1735">
      <c r="AD1735" s="224"/>
      <c r="AE1735" s="224"/>
      <c r="AF1735" s="224"/>
      <c r="AG1735" s="224"/>
    </row>
    <row r="1736">
      <c r="AD1736" s="224"/>
      <c r="AE1736" s="224"/>
      <c r="AF1736" s="224"/>
      <c r="AG1736" s="224"/>
    </row>
    <row r="1737">
      <c r="AD1737" s="224"/>
      <c r="AE1737" s="224"/>
      <c r="AF1737" s="224"/>
      <c r="AG1737" s="224"/>
    </row>
    <row r="1738">
      <c r="AD1738" s="224"/>
      <c r="AE1738" s="224"/>
      <c r="AF1738" s="224"/>
      <c r="AG1738" s="224"/>
    </row>
    <row r="1739">
      <c r="AD1739" s="224"/>
      <c r="AE1739" s="224"/>
      <c r="AF1739" s="224"/>
      <c r="AG1739" s="224"/>
    </row>
    <row r="1740">
      <c r="AD1740" s="224"/>
      <c r="AE1740" s="224"/>
      <c r="AF1740" s="224"/>
      <c r="AG1740" s="224"/>
    </row>
    <row r="1741">
      <c r="AD1741" s="224"/>
      <c r="AE1741" s="224"/>
      <c r="AF1741" s="224"/>
      <c r="AG1741" s="224"/>
    </row>
    <row r="1742">
      <c r="AD1742" s="224"/>
      <c r="AE1742" s="224"/>
      <c r="AF1742" s="224"/>
      <c r="AG1742" s="224"/>
    </row>
    <row r="1743">
      <c r="AD1743" s="224"/>
      <c r="AE1743" s="224"/>
      <c r="AF1743" s="224"/>
      <c r="AG1743" s="224"/>
    </row>
    <row r="1744">
      <c r="AD1744" s="224"/>
      <c r="AE1744" s="224"/>
      <c r="AF1744" s="224"/>
      <c r="AG1744" s="224"/>
    </row>
    <row r="1745">
      <c r="AD1745" s="224"/>
      <c r="AE1745" s="224"/>
      <c r="AF1745" s="224"/>
      <c r="AG1745" s="224"/>
    </row>
    <row r="1746">
      <c r="AD1746" s="224"/>
      <c r="AE1746" s="224"/>
      <c r="AF1746" s="224"/>
      <c r="AG1746" s="224"/>
    </row>
    <row r="1747">
      <c r="AD1747" s="224"/>
      <c r="AE1747" s="224"/>
      <c r="AF1747" s="224"/>
      <c r="AG1747" s="224"/>
    </row>
    <row r="1748">
      <c r="AD1748" s="224"/>
      <c r="AE1748" s="224"/>
      <c r="AF1748" s="224"/>
      <c r="AG1748" s="224"/>
    </row>
    <row r="1749">
      <c r="AD1749" s="224"/>
      <c r="AE1749" s="224"/>
      <c r="AF1749" s="224"/>
      <c r="AG1749" s="224"/>
    </row>
    <row r="1750">
      <c r="AD1750" s="224"/>
      <c r="AE1750" s="224"/>
      <c r="AF1750" s="224"/>
      <c r="AG1750" s="224"/>
    </row>
    <row r="1751">
      <c r="AD1751" s="224"/>
      <c r="AE1751" s="224"/>
      <c r="AF1751" s="224"/>
      <c r="AG1751" s="224"/>
    </row>
    <row r="1752">
      <c r="AD1752" s="224"/>
      <c r="AE1752" s="224"/>
      <c r="AF1752" s="224"/>
      <c r="AG1752" s="224"/>
    </row>
    <row r="1753">
      <c r="AD1753" s="224"/>
      <c r="AE1753" s="224"/>
      <c r="AF1753" s="224"/>
      <c r="AG1753" s="224"/>
    </row>
    <row r="1754">
      <c r="AD1754" s="224"/>
      <c r="AE1754" s="224"/>
      <c r="AF1754" s="224"/>
      <c r="AG1754" s="224"/>
    </row>
    <row r="1755">
      <c r="AD1755" s="224"/>
      <c r="AE1755" s="224"/>
      <c r="AF1755" s="224"/>
      <c r="AG1755" s="224"/>
    </row>
    <row r="1756">
      <c r="AD1756" s="224"/>
      <c r="AE1756" s="224"/>
      <c r="AF1756" s="224"/>
      <c r="AG1756" s="224"/>
    </row>
    <row r="1757">
      <c r="AD1757" s="224"/>
      <c r="AE1757" s="224"/>
      <c r="AF1757" s="224"/>
      <c r="AG1757" s="224"/>
    </row>
    <row r="1758">
      <c r="AD1758" s="224"/>
      <c r="AE1758" s="224"/>
      <c r="AF1758" s="224"/>
      <c r="AG1758" s="224"/>
    </row>
    <row r="1759">
      <c r="AD1759" s="224"/>
      <c r="AE1759" s="224"/>
      <c r="AF1759" s="224"/>
      <c r="AG1759" s="224"/>
    </row>
    <row r="1760">
      <c r="AD1760" s="224"/>
      <c r="AE1760" s="224"/>
      <c r="AF1760" s="224"/>
      <c r="AG1760" s="224"/>
    </row>
    <row r="1761">
      <c r="AD1761" s="224"/>
      <c r="AE1761" s="224"/>
      <c r="AF1761" s="224"/>
      <c r="AG1761" s="224"/>
    </row>
    <row r="1762">
      <c r="AD1762" s="224"/>
      <c r="AE1762" s="224"/>
      <c r="AF1762" s="224"/>
      <c r="AG1762" s="224"/>
    </row>
    <row r="1763">
      <c r="AD1763" s="224"/>
      <c r="AE1763" s="224"/>
      <c r="AF1763" s="224"/>
      <c r="AG1763" s="224"/>
    </row>
    <row r="1764">
      <c r="AD1764" s="224"/>
      <c r="AE1764" s="224"/>
      <c r="AF1764" s="224"/>
      <c r="AG1764" s="224"/>
    </row>
    <row r="1765">
      <c r="AD1765" s="224"/>
      <c r="AE1765" s="224"/>
      <c r="AF1765" s="224"/>
      <c r="AG1765" s="224"/>
    </row>
    <row r="1766">
      <c r="AD1766" s="224"/>
      <c r="AE1766" s="224"/>
      <c r="AF1766" s="224"/>
      <c r="AG1766" s="224"/>
    </row>
    <row r="1767">
      <c r="AD1767" s="224"/>
      <c r="AE1767" s="224"/>
      <c r="AF1767" s="224"/>
      <c r="AG1767" s="224"/>
    </row>
    <row r="1768">
      <c r="AD1768" s="224"/>
      <c r="AE1768" s="224"/>
      <c r="AF1768" s="224"/>
      <c r="AG1768" s="224"/>
    </row>
    <row r="1769">
      <c r="AD1769" s="224"/>
      <c r="AE1769" s="224"/>
      <c r="AF1769" s="224"/>
      <c r="AG1769" s="224"/>
    </row>
    <row r="1770">
      <c r="AD1770" s="224"/>
      <c r="AE1770" s="224"/>
      <c r="AF1770" s="224"/>
      <c r="AG1770" s="224"/>
    </row>
    <row r="1771">
      <c r="AD1771" s="224"/>
      <c r="AE1771" s="224"/>
      <c r="AF1771" s="224"/>
      <c r="AG1771" s="224"/>
    </row>
    <row r="1772">
      <c r="AD1772" s="224"/>
      <c r="AE1772" s="224"/>
      <c r="AF1772" s="224"/>
      <c r="AG1772" s="224"/>
    </row>
    <row r="1773">
      <c r="AD1773" s="224"/>
      <c r="AE1773" s="224"/>
      <c r="AF1773" s="224"/>
      <c r="AG1773" s="224"/>
    </row>
    <row r="1774">
      <c r="AD1774" s="224"/>
      <c r="AE1774" s="224"/>
      <c r="AF1774" s="224"/>
      <c r="AG1774" s="224"/>
    </row>
    <row r="1775">
      <c r="AD1775" s="224"/>
      <c r="AE1775" s="224"/>
      <c r="AF1775" s="224"/>
      <c r="AG1775" s="224"/>
    </row>
    <row r="1776">
      <c r="AD1776" s="224"/>
      <c r="AE1776" s="224"/>
      <c r="AF1776" s="224"/>
      <c r="AG1776" s="224"/>
    </row>
    <row r="1777">
      <c r="AD1777" s="224"/>
      <c r="AE1777" s="224"/>
      <c r="AF1777" s="224"/>
      <c r="AG1777" s="224"/>
    </row>
    <row r="1778">
      <c r="AD1778" s="224"/>
      <c r="AE1778" s="224"/>
      <c r="AF1778" s="224"/>
      <c r="AG1778" s="224"/>
    </row>
    <row r="1779">
      <c r="AD1779" s="224"/>
      <c r="AE1779" s="224"/>
      <c r="AF1779" s="224"/>
      <c r="AG1779" s="224"/>
    </row>
    <row r="1780">
      <c r="AD1780" s="224"/>
      <c r="AE1780" s="224"/>
      <c r="AF1780" s="224"/>
      <c r="AG1780" s="224"/>
    </row>
    <row r="1781">
      <c r="AD1781" s="224"/>
      <c r="AE1781" s="224"/>
      <c r="AF1781" s="224"/>
      <c r="AG1781" s="224"/>
    </row>
    <row r="1782">
      <c r="AD1782" s="224"/>
      <c r="AE1782" s="224"/>
      <c r="AF1782" s="224"/>
      <c r="AG1782" s="224"/>
    </row>
    <row r="1783">
      <c r="AD1783" s="224"/>
      <c r="AE1783" s="224"/>
      <c r="AF1783" s="224"/>
      <c r="AG1783" s="224"/>
    </row>
    <row r="1784">
      <c r="AD1784" s="224"/>
      <c r="AE1784" s="224"/>
      <c r="AF1784" s="224"/>
      <c r="AG1784" s="224"/>
    </row>
    <row r="1785">
      <c r="AD1785" s="224"/>
      <c r="AE1785" s="224"/>
      <c r="AF1785" s="224"/>
      <c r="AG1785" s="224"/>
    </row>
    <row r="1786">
      <c r="AD1786" s="224"/>
      <c r="AE1786" s="224"/>
      <c r="AF1786" s="224"/>
      <c r="AG1786" s="224"/>
    </row>
    <row r="1787">
      <c r="AD1787" s="224"/>
      <c r="AE1787" s="224"/>
      <c r="AF1787" s="224"/>
      <c r="AG1787" s="224"/>
    </row>
    <row r="1788">
      <c r="AD1788" s="224"/>
      <c r="AE1788" s="224"/>
      <c r="AF1788" s="224"/>
      <c r="AG1788" s="224"/>
    </row>
    <row r="1789">
      <c r="AD1789" s="224"/>
      <c r="AE1789" s="224"/>
      <c r="AF1789" s="224"/>
      <c r="AG1789" s="224"/>
    </row>
    <row r="1790">
      <c r="AD1790" s="224"/>
      <c r="AE1790" s="224"/>
      <c r="AF1790" s="224"/>
      <c r="AG1790" s="224"/>
    </row>
    <row r="1791">
      <c r="AD1791" s="224"/>
      <c r="AE1791" s="224"/>
      <c r="AF1791" s="224"/>
      <c r="AG1791" s="224"/>
    </row>
    <row r="1792">
      <c r="AD1792" s="224"/>
      <c r="AE1792" s="224"/>
      <c r="AF1792" s="224"/>
      <c r="AG1792" s="224"/>
    </row>
    <row r="1793">
      <c r="AD1793" s="224"/>
      <c r="AE1793" s="224"/>
      <c r="AF1793" s="224"/>
      <c r="AG1793" s="224"/>
    </row>
    <row r="1794">
      <c r="AD1794" s="224"/>
      <c r="AE1794" s="224"/>
      <c r="AF1794" s="224"/>
      <c r="AG1794" s="224"/>
    </row>
    <row r="1795">
      <c r="AD1795" s="224"/>
      <c r="AE1795" s="224"/>
      <c r="AF1795" s="224"/>
      <c r="AG1795" s="224"/>
    </row>
    <row r="1796">
      <c r="AD1796" s="224"/>
      <c r="AE1796" s="224"/>
      <c r="AF1796" s="224"/>
      <c r="AG1796" s="224"/>
    </row>
    <row r="1797">
      <c r="AD1797" s="224"/>
      <c r="AE1797" s="224"/>
      <c r="AF1797" s="224"/>
      <c r="AG1797" s="224"/>
    </row>
    <row r="1798">
      <c r="AD1798" s="224"/>
      <c r="AE1798" s="224"/>
      <c r="AF1798" s="224"/>
      <c r="AG1798" s="224"/>
    </row>
    <row r="1799">
      <c r="AD1799" s="224"/>
      <c r="AE1799" s="224"/>
      <c r="AF1799" s="224"/>
      <c r="AG1799" s="224"/>
    </row>
    <row r="1800">
      <c r="AD1800" s="224"/>
      <c r="AE1800" s="224"/>
      <c r="AF1800" s="224"/>
      <c r="AG1800" s="224"/>
    </row>
    <row r="1801">
      <c r="AD1801" s="224"/>
      <c r="AE1801" s="224"/>
      <c r="AF1801" s="224"/>
      <c r="AG1801" s="224"/>
    </row>
    <row r="1802">
      <c r="AD1802" s="224"/>
      <c r="AE1802" s="224"/>
      <c r="AF1802" s="224"/>
      <c r="AG1802" s="224"/>
    </row>
    <row r="1803">
      <c r="AD1803" s="224"/>
      <c r="AE1803" s="224"/>
      <c r="AF1803" s="224"/>
      <c r="AG1803" s="224"/>
    </row>
    <row r="1804">
      <c r="AD1804" s="224"/>
      <c r="AE1804" s="224"/>
      <c r="AF1804" s="224"/>
      <c r="AG1804" s="224"/>
    </row>
    <row r="1805">
      <c r="AD1805" s="224"/>
      <c r="AE1805" s="224"/>
      <c r="AF1805" s="224"/>
      <c r="AG1805" s="224"/>
    </row>
    <row r="1806">
      <c r="AD1806" s="224"/>
      <c r="AE1806" s="224"/>
      <c r="AF1806" s="224"/>
      <c r="AG1806" s="224"/>
    </row>
    <row r="1807">
      <c r="AD1807" s="224"/>
      <c r="AE1807" s="224"/>
      <c r="AF1807" s="224"/>
      <c r="AG1807" s="224"/>
    </row>
    <row r="1808">
      <c r="AD1808" s="224"/>
      <c r="AE1808" s="224"/>
      <c r="AF1808" s="224"/>
      <c r="AG1808" s="224"/>
    </row>
    <row r="1809">
      <c r="AD1809" s="224"/>
      <c r="AE1809" s="224"/>
      <c r="AF1809" s="224"/>
      <c r="AG1809" s="224"/>
    </row>
    <row r="1810">
      <c r="AD1810" s="224"/>
      <c r="AE1810" s="224"/>
      <c r="AF1810" s="224"/>
      <c r="AG1810" s="224"/>
    </row>
    <row r="1811">
      <c r="AD1811" s="224"/>
      <c r="AE1811" s="224"/>
      <c r="AF1811" s="224"/>
      <c r="AG1811" s="224"/>
    </row>
    <row r="1812">
      <c r="AD1812" s="224"/>
      <c r="AE1812" s="224"/>
      <c r="AF1812" s="224"/>
      <c r="AG1812" s="224"/>
    </row>
    <row r="1813">
      <c r="AD1813" s="224"/>
      <c r="AE1813" s="224"/>
      <c r="AF1813" s="224"/>
      <c r="AG1813" s="224"/>
    </row>
    <row r="1814">
      <c r="AD1814" s="224"/>
      <c r="AE1814" s="224"/>
      <c r="AF1814" s="224"/>
      <c r="AG1814" s="224"/>
    </row>
    <row r="1815">
      <c r="AD1815" s="224"/>
      <c r="AE1815" s="224"/>
      <c r="AF1815" s="224"/>
      <c r="AG1815" s="224"/>
    </row>
    <row r="1816">
      <c r="AD1816" s="224"/>
      <c r="AE1816" s="224"/>
      <c r="AF1816" s="224"/>
      <c r="AG1816" s="224"/>
    </row>
    <row r="1817">
      <c r="AD1817" s="224"/>
      <c r="AE1817" s="224"/>
      <c r="AF1817" s="224"/>
      <c r="AG1817" s="224"/>
    </row>
    <row r="1818">
      <c r="AD1818" s="224"/>
      <c r="AE1818" s="224"/>
      <c r="AF1818" s="224"/>
      <c r="AG1818" s="224"/>
    </row>
    <row r="1819">
      <c r="AD1819" s="224"/>
      <c r="AE1819" s="224"/>
      <c r="AF1819" s="224"/>
      <c r="AG1819" s="224"/>
    </row>
    <row r="1820">
      <c r="AD1820" s="224"/>
      <c r="AE1820" s="224"/>
      <c r="AF1820" s="224"/>
      <c r="AG1820" s="224"/>
    </row>
    <row r="1821">
      <c r="AD1821" s="224"/>
      <c r="AE1821" s="224"/>
      <c r="AF1821" s="224"/>
      <c r="AG1821" s="224"/>
    </row>
    <row r="1822">
      <c r="AD1822" s="224"/>
      <c r="AE1822" s="224"/>
      <c r="AF1822" s="224"/>
      <c r="AG1822" s="224"/>
    </row>
    <row r="1823">
      <c r="AD1823" s="224"/>
      <c r="AE1823" s="224"/>
      <c r="AF1823" s="224"/>
      <c r="AG1823" s="224"/>
    </row>
    <row r="1824">
      <c r="AD1824" s="224"/>
      <c r="AE1824" s="224"/>
      <c r="AF1824" s="224"/>
      <c r="AG1824" s="224"/>
    </row>
    <row r="1825">
      <c r="AD1825" s="224"/>
      <c r="AE1825" s="224"/>
      <c r="AF1825" s="224"/>
      <c r="AG1825" s="224"/>
    </row>
    <row r="1826">
      <c r="AD1826" s="224"/>
      <c r="AE1826" s="224"/>
      <c r="AF1826" s="224"/>
      <c r="AG1826" s="224"/>
    </row>
    <row r="1827">
      <c r="AD1827" s="224"/>
      <c r="AE1827" s="224"/>
      <c r="AF1827" s="224"/>
      <c r="AG1827" s="224"/>
    </row>
    <row r="1828">
      <c r="AD1828" s="224"/>
      <c r="AE1828" s="224"/>
      <c r="AF1828" s="224"/>
      <c r="AG1828" s="224"/>
    </row>
    <row r="1829">
      <c r="AD1829" s="224"/>
      <c r="AE1829" s="224"/>
      <c r="AF1829" s="224"/>
      <c r="AG1829" s="224"/>
    </row>
    <row r="1830">
      <c r="AD1830" s="224"/>
      <c r="AE1830" s="224"/>
      <c r="AF1830" s="224"/>
      <c r="AG1830" s="224"/>
    </row>
    <row r="1831">
      <c r="AD1831" s="224"/>
      <c r="AE1831" s="224"/>
      <c r="AF1831" s="224"/>
      <c r="AG1831" s="224"/>
    </row>
    <row r="1832">
      <c r="AD1832" s="224"/>
      <c r="AE1832" s="224"/>
      <c r="AF1832" s="224"/>
      <c r="AG1832" s="224"/>
    </row>
    <row r="1833">
      <c r="AD1833" s="224"/>
      <c r="AE1833" s="224"/>
      <c r="AF1833" s="224"/>
      <c r="AG1833" s="224"/>
    </row>
    <row r="1834">
      <c r="AD1834" s="224"/>
      <c r="AE1834" s="224"/>
      <c r="AF1834" s="224"/>
      <c r="AG1834" s="224"/>
    </row>
    <row r="1835">
      <c r="AD1835" s="224"/>
      <c r="AE1835" s="224"/>
      <c r="AF1835" s="224"/>
      <c r="AG1835" s="224"/>
    </row>
    <row r="1836">
      <c r="AD1836" s="224"/>
      <c r="AE1836" s="224"/>
      <c r="AF1836" s="224"/>
      <c r="AG1836" s="224"/>
    </row>
    <row r="1837">
      <c r="AD1837" s="224"/>
      <c r="AE1837" s="224"/>
      <c r="AF1837" s="224"/>
      <c r="AG1837" s="224"/>
    </row>
    <row r="1838">
      <c r="AD1838" s="224"/>
      <c r="AE1838" s="224"/>
      <c r="AF1838" s="224"/>
      <c r="AG1838" s="224"/>
    </row>
    <row r="1839">
      <c r="AD1839" s="224"/>
      <c r="AE1839" s="224"/>
      <c r="AF1839" s="224"/>
      <c r="AG1839" s="224"/>
    </row>
    <row r="1840">
      <c r="AD1840" s="224"/>
      <c r="AE1840" s="224"/>
      <c r="AF1840" s="224"/>
      <c r="AG1840" s="224"/>
    </row>
    <row r="1841">
      <c r="AD1841" s="224"/>
      <c r="AE1841" s="224"/>
      <c r="AF1841" s="224"/>
      <c r="AG1841" s="224"/>
    </row>
    <row r="1842">
      <c r="AD1842" s="224"/>
      <c r="AE1842" s="224"/>
      <c r="AF1842" s="224"/>
      <c r="AG1842" s="224"/>
    </row>
    <row r="1843">
      <c r="AD1843" s="224"/>
      <c r="AE1843" s="224"/>
      <c r="AF1843" s="224"/>
      <c r="AG1843" s="224"/>
    </row>
    <row r="1844">
      <c r="AD1844" s="224"/>
      <c r="AE1844" s="224"/>
      <c r="AF1844" s="224"/>
      <c r="AG1844" s="224"/>
    </row>
    <row r="1845">
      <c r="AD1845" s="224"/>
      <c r="AE1845" s="224"/>
      <c r="AF1845" s="224"/>
      <c r="AG1845" s="224"/>
    </row>
    <row r="1846">
      <c r="AD1846" s="224"/>
      <c r="AE1846" s="224"/>
      <c r="AF1846" s="224"/>
      <c r="AG1846" s="224"/>
    </row>
    <row r="1847">
      <c r="AD1847" s="224"/>
      <c r="AE1847" s="224"/>
      <c r="AF1847" s="224"/>
      <c r="AG1847" s="224"/>
    </row>
    <row r="1848">
      <c r="AD1848" s="224"/>
      <c r="AE1848" s="224"/>
      <c r="AF1848" s="224"/>
      <c r="AG1848" s="224"/>
    </row>
    <row r="1849">
      <c r="AD1849" s="224"/>
      <c r="AE1849" s="224"/>
      <c r="AF1849" s="224"/>
      <c r="AG1849" s="224"/>
    </row>
    <row r="1850">
      <c r="AD1850" s="224"/>
      <c r="AE1850" s="224"/>
      <c r="AF1850" s="224"/>
      <c r="AG1850" s="224"/>
    </row>
    <row r="1851">
      <c r="AD1851" s="224"/>
      <c r="AE1851" s="224"/>
      <c r="AF1851" s="224"/>
      <c r="AG1851" s="224"/>
    </row>
    <row r="1852">
      <c r="AD1852" s="224"/>
      <c r="AE1852" s="224"/>
      <c r="AF1852" s="224"/>
      <c r="AG1852" s="224"/>
    </row>
    <row r="1853">
      <c r="AD1853" s="224"/>
      <c r="AE1853" s="224"/>
      <c r="AF1853" s="224"/>
      <c r="AG1853" s="224"/>
    </row>
    <row r="1854">
      <c r="AD1854" s="224"/>
      <c r="AE1854" s="224"/>
      <c r="AF1854" s="224"/>
      <c r="AG1854" s="224"/>
    </row>
    <row r="1855">
      <c r="AD1855" s="224"/>
      <c r="AE1855" s="224"/>
      <c r="AF1855" s="224"/>
      <c r="AG1855" s="224"/>
    </row>
    <row r="1856">
      <c r="AD1856" s="224"/>
      <c r="AE1856" s="224"/>
      <c r="AF1856" s="224"/>
      <c r="AG1856" s="224"/>
    </row>
    <row r="1857">
      <c r="AD1857" s="224"/>
      <c r="AE1857" s="224"/>
      <c r="AF1857" s="224"/>
      <c r="AG1857" s="224"/>
    </row>
    <row r="1858">
      <c r="AD1858" s="224"/>
      <c r="AE1858" s="224"/>
      <c r="AF1858" s="224"/>
      <c r="AG1858" s="224"/>
    </row>
    <row r="1859">
      <c r="AD1859" s="224"/>
      <c r="AE1859" s="224"/>
      <c r="AF1859" s="224"/>
      <c r="AG1859" s="224"/>
    </row>
    <row r="1860">
      <c r="AD1860" s="224"/>
      <c r="AE1860" s="224"/>
      <c r="AF1860" s="224"/>
      <c r="AG1860" s="224"/>
    </row>
    <row r="1861">
      <c r="AD1861" s="224"/>
      <c r="AE1861" s="224"/>
      <c r="AF1861" s="224"/>
      <c r="AG1861" s="224"/>
    </row>
    <row r="1862">
      <c r="AD1862" s="224"/>
      <c r="AE1862" s="224"/>
      <c r="AF1862" s="224"/>
      <c r="AG1862" s="224"/>
    </row>
    <row r="1863">
      <c r="AD1863" s="224"/>
      <c r="AE1863" s="224"/>
      <c r="AF1863" s="224"/>
      <c r="AG1863" s="224"/>
    </row>
    <row r="1864">
      <c r="AD1864" s="224"/>
      <c r="AE1864" s="224"/>
      <c r="AF1864" s="224"/>
      <c r="AG1864" s="224"/>
    </row>
    <row r="1865">
      <c r="AD1865" s="224"/>
      <c r="AE1865" s="224"/>
      <c r="AF1865" s="224"/>
      <c r="AG1865" s="224"/>
    </row>
    <row r="1866">
      <c r="AD1866" s="224"/>
      <c r="AE1866" s="224"/>
      <c r="AF1866" s="224"/>
      <c r="AG1866" s="224"/>
    </row>
    <row r="1867">
      <c r="AD1867" s="224"/>
      <c r="AE1867" s="224"/>
      <c r="AF1867" s="224"/>
      <c r="AG1867" s="224"/>
    </row>
    <row r="1868">
      <c r="AD1868" s="224"/>
      <c r="AE1868" s="224"/>
      <c r="AF1868" s="224"/>
      <c r="AG1868" s="224"/>
    </row>
    <row r="1869">
      <c r="AD1869" s="224"/>
      <c r="AE1869" s="224"/>
      <c r="AF1869" s="224"/>
      <c r="AG1869" s="224"/>
    </row>
    <row r="1870">
      <c r="AD1870" s="224"/>
      <c r="AE1870" s="224"/>
      <c r="AF1870" s="224"/>
      <c r="AG1870" s="224"/>
    </row>
    <row r="1871">
      <c r="AD1871" s="224"/>
      <c r="AE1871" s="224"/>
      <c r="AF1871" s="224"/>
      <c r="AG1871" s="224"/>
    </row>
    <row r="1872">
      <c r="AD1872" s="224"/>
      <c r="AE1872" s="224"/>
      <c r="AF1872" s="224"/>
      <c r="AG1872" s="224"/>
    </row>
    <row r="1873">
      <c r="AD1873" s="224"/>
      <c r="AE1873" s="224"/>
      <c r="AF1873" s="224"/>
      <c r="AG1873" s="224"/>
    </row>
    <row r="1874">
      <c r="AD1874" s="224"/>
      <c r="AE1874" s="224"/>
      <c r="AF1874" s="224"/>
      <c r="AG1874" s="224"/>
    </row>
    <row r="1875">
      <c r="AD1875" s="224"/>
      <c r="AE1875" s="224"/>
      <c r="AF1875" s="224"/>
      <c r="AG1875" s="224"/>
    </row>
    <row r="1876">
      <c r="AD1876" s="224"/>
      <c r="AE1876" s="224"/>
      <c r="AF1876" s="224"/>
      <c r="AG1876" s="224"/>
    </row>
    <row r="1877">
      <c r="AD1877" s="224"/>
      <c r="AE1877" s="224"/>
      <c r="AF1877" s="224"/>
      <c r="AG1877" s="224"/>
    </row>
    <row r="1878">
      <c r="AD1878" s="224"/>
      <c r="AE1878" s="224"/>
      <c r="AF1878" s="224"/>
      <c r="AG1878" s="224"/>
    </row>
    <row r="1879">
      <c r="AD1879" s="224"/>
      <c r="AE1879" s="224"/>
      <c r="AF1879" s="224"/>
      <c r="AG1879" s="224"/>
    </row>
    <row r="1880">
      <c r="AD1880" s="224"/>
      <c r="AE1880" s="224"/>
      <c r="AF1880" s="224"/>
      <c r="AG1880" s="224"/>
    </row>
    <row r="1881">
      <c r="AD1881" s="224"/>
      <c r="AE1881" s="224"/>
      <c r="AF1881" s="224"/>
      <c r="AG1881" s="224"/>
    </row>
    <row r="1882">
      <c r="AD1882" s="224"/>
      <c r="AE1882" s="224"/>
      <c r="AF1882" s="224"/>
      <c r="AG1882" s="224"/>
    </row>
    <row r="1883">
      <c r="AD1883" s="224"/>
      <c r="AE1883" s="224"/>
      <c r="AF1883" s="224"/>
      <c r="AG1883" s="224"/>
    </row>
    <row r="1884">
      <c r="AD1884" s="224"/>
      <c r="AE1884" s="224"/>
      <c r="AF1884" s="224"/>
      <c r="AG1884" s="224"/>
    </row>
    <row r="1885">
      <c r="AD1885" s="224"/>
      <c r="AE1885" s="224"/>
      <c r="AF1885" s="224"/>
      <c r="AG1885" s="224"/>
    </row>
    <row r="1886">
      <c r="AD1886" s="224"/>
      <c r="AE1886" s="224"/>
      <c r="AF1886" s="224"/>
      <c r="AG1886" s="224"/>
    </row>
    <row r="1887">
      <c r="AD1887" s="224"/>
      <c r="AE1887" s="224"/>
      <c r="AF1887" s="224"/>
      <c r="AG1887" s="224"/>
    </row>
    <row r="1888">
      <c r="AD1888" s="224"/>
      <c r="AE1888" s="224"/>
      <c r="AF1888" s="224"/>
      <c r="AG1888" s="224"/>
    </row>
    <row r="1889">
      <c r="AD1889" s="224"/>
      <c r="AE1889" s="224"/>
      <c r="AF1889" s="224"/>
      <c r="AG1889" s="224"/>
    </row>
    <row r="1890">
      <c r="AD1890" s="224"/>
      <c r="AE1890" s="224"/>
      <c r="AF1890" s="224"/>
      <c r="AG1890" s="224"/>
    </row>
    <row r="1891">
      <c r="AD1891" s="224"/>
      <c r="AE1891" s="224"/>
      <c r="AF1891" s="224"/>
      <c r="AG1891" s="224"/>
    </row>
    <row r="1892">
      <c r="AD1892" s="224"/>
      <c r="AE1892" s="224"/>
      <c r="AF1892" s="224"/>
      <c r="AG1892" s="224"/>
    </row>
    <row r="1893">
      <c r="AD1893" s="224"/>
      <c r="AE1893" s="224"/>
      <c r="AF1893" s="224"/>
      <c r="AG1893" s="224"/>
    </row>
    <row r="1894">
      <c r="AD1894" s="224"/>
      <c r="AE1894" s="224"/>
      <c r="AF1894" s="224"/>
      <c r="AG1894" s="224"/>
    </row>
    <row r="1895">
      <c r="AD1895" s="224"/>
      <c r="AE1895" s="224"/>
      <c r="AF1895" s="224"/>
      <c r="AG1895" s="224"/>
    </row>
    <row r="1896">
      <c r="AD1896" s="224"/>
      <c r="AE1896" s="224"/>
      <c r="AF1896" s="224"/>
      <c r="AG1896" s="224"/>
    </row>
    <row r="1897">
      <c r="AD1897" s="224"/>
      <c r="AE1897" s="224"/>
      <c r="AF1897" s="224"/>
      <c r="AG1897" s="224"/>
    </row>
    <row r="1898">
      <c r="AD1898" s="224"/>
      <c r="AE1898" s="224"/>
      <c r="AF1898" s="224"/>
      <c r="AG1898" s="224"/>
    </row>
    <row r="1899">
      <c r="AD1899" s="224"/>
      <c r="AE1899" s="224"/>
      <c r="AF1899" s="224"/>
      <c r="AG1899" s="224"/>
    </row>
    <row r="1900">
      <c r="AD1900" s="224"/>
      <c r="AE1900" s="224"/>
      <c r="AF1900" s="224"/>
      <c r="AG1900" s="224"/>
    </row>
    <row r="1901">
      <c r="AD1901" s="224"/>
      <c r="AE1901" s="224"/>
      <c r="AF1901" s="224"/>
      <c r="AG1901" s="224"/>
    </row>
    <row r="1902">
      <c r="AD1902" s="224"/>
      <c r="AE1902" s="224"/>
      <c r="AF1902" s="224"/>
      <c r="AG1902" s="224"/>
    </row>
    <row r="1903">
      <c r="AD1903" s="224"/>
      <c r="AE1903" s="224"/>
      <c r="AF1903" s="224"/>
      <c r="AG1903" s="224"/>
    </row>
    <row r="1904">
      <c r="AD1904" s="224"/>
      <c r="AE1904" s="224"/>
      <c r="AF1904" s="224"/>
      <c r="AG1904" s="224"/>
    </row>
    <row r="1905">
      <c r="AD1905" s="224"/>
      <c r="AE1905" s="224"/>
      <c r="AF1905" s="224"/>
      <c r="AG1905" s="224"/>
    </row>
    <row r="1906">
      <c r="AD1906" s="224"/>
      <c r="AE1906" s="224"/>
      <c r="AF1906" s="224"/>
      <c r="AG1906" s="224"/>
    </row>
    <row r="1907">
      <c r="AD1907" s="224"/>
      <c r="AE1907" s="224"/>
      <c r="AF1907" s="224"/>
      <c r="AG1907" s="224"/>
    </row>
    <row r="1908">
      <c r="AD1908" s="224"/>
      <c r="AE1908" s="224"/>
      <c r="AF1908" s="224"/>
      <c r="AG1908" s="224"/>
    </row>
    <row r="1909">
      <c r="AD1909" s="224"/>
      <c r="AE1909" s="224"/>
      <c r="AF1909" s="224"/>
      <c r="AG1909" s="224"/>
    </row>
    <row r="1910">
      <c r="AD1910" s="224"/>
      <c r="AE1910" s="224"/>
      <c r="AF1910" s="224"/>
      <c r="AG1910" s="224"/>
    </row>
    <row r="1911">
      <c r="AD1911" s="224"/>
      <c r="AE1911" s="224"/>
      <c r="AF1911" s="224"/>
      <c r="AG1911" s="224"/>
    </row>
    <row r="1912">
      <c r="AD1912" s="224"/>
      <c r="AE1912" s="224"/>
      <c r="AF1912" s="224"/>
      <c r="AG1912" s="224"/>
    </row>
    <row r="1913">
      <c r="AD1913" s="224"/>
      <c r="AE1913" s="224"/>
      <c r="AF1913" s="224"/>
      <c r="AG1913" s="224"/>
    </row>
    <row r="1914">
      <c r="AD1914" s="224"/>
      <c r="AE1914" s="224"/>
      <c r="AF1914" s="224"/>
      <c r="AG1914" s="224"/>
    </row>
    <row r="1915">
      <c r="AD1915" s="224"/>
      <c r="AE1915" s="224"/>
      <c r="AF1915" s="224"/>
      <c r="AG1915" s="224"/>
    </row>
    <row r="1916">
      <c r="AD1916" s="224"/>
      <c r="AE1916" s="224"/>
      <c r="AF1916" s="224"/>
      <c r="AG1916" s="224"/>
    </row>
    <row r="1917">
      <c r="AD1917" s="224"/>
      <c r="AE1917" s="224"/>
      <c r="AF1917" s="224"/>
      <c r="AG1917" s="224"/>
    </row>
    <row r="1918">
      <c r="AD1918" s="224"/>
      <c r="AE1918" s="224"/>
      <c r="AF1918" s="224"/>
      <c r="AG1918" s="224"/>
    </row>
    <row r="1919">
      <c r="AD1919" s="224"/>
      <c r="AE1919" s="224"/>
      <c r="AF1919" s="224"/>
      <c r="AG1919" s="224"/>
    </row>
    <row r="1920">
      <c r="AD1920" s="224"/>
      <c r="AE1920" s="224"/>
      <c r="AF1920" s="224"/>
      <c r="AG1920" s="224"/>
    </row>
    <row r="1921">
      <c r="AD1921" s="224"/>
      <c r="AE1921" s="224"/>
      <c r="AF1921" s="224"/>
      <c r="AG1921" s="224"/>
    </row>
    <row r="1922">
      <c r="AD1922" s="224"/>
      <c r="AE1922" s="224"/>
      <c r="AF1922" s="224"/>
      <c r="AG1922" s="224"/>
    </row>
    <row r="1923">
      <c r="AD1923" s="224"/>
      <c r="AE1923" s="224"/>
      <c r="AF1923" s="224"/>
      <c r="AG1923" s="224"/>
    </row>
    <row r="1924">
      <c r="AD1924" s="224"/>
      <c r="AE1924" s="224"/>
      <c r="AF1924" s="224"/>
      <c r="AG1924" s="224"/>
    </row>
    <row r="1925">
      <c r="AD1925" s="224"/>
      <c r="AE1925" s="224"/>
      <c r="AF1925" s="224"/>
      <c r="AG1925" s="224"/>
    </row>
    <row r="1926">
      <c r="AD1926" s="224"/>
      <c r="AE1926" s="224"/>
      <c r="AF1926" s="224"/>
      <c r="AG1926" s="224"/>
    </row>
    <row r="1927">
      <c r="AD1927" s="224"/>
      <c r="AE1927" s="224"/>
      <c r="AF1927" s="224"/>
      <c r="AG1927" s="224"/>
    </row>
    <row r="1928">
      <c r="AD1928" s="224"/>
      <c r="AE1928" s="224"/>
      <c r="AF1928" s="224"/>
      <c r="AG1928" s="224"/>
    </row>
    <row r="1929">
      <c r="AD1929" s="224"/>
      <c r="AE1929" s="224"/>
      <c r="AF1929" s="224"/>
      <c r="AG1929" s="224"/>
    </row>
    <row r="1930">
      <c r="AD1930" s="224"/>
      <c r="AE1930" s="224"/>
      <c r="AF1930" s="224"/>
      <c r="AG1930" s="224"/>
    </row>
    <row r="1931">
      <c r="AD1931" s="224"/>
      <c r="AE1931" s="224"/>
      <c r="AF1931" s="224"/>
      <c r="AG1931" s="224"/>
    </row>
    <row r="1932">
      <c r="AD1932" s="224"/>
      <c r="AE1932" s="224"/>
      <c r="AF1932" s="224"/>
      <c r="AG1932" s="224"/>
    </row>
    <row r="1933">
      <c r="AD1933" s="224"/>
      <c r="AE1933" s="224"/>
      <c r="AF1933" s="224"/>
      <c r="AG1933" s="224"/>
    </row>
    <row r="1934">
      <c r="AD1934" s="224"/>
      <c r="AE1934" s="224"/>
      <c r="AF1934" s="224"/>
      <c r="AG1934" s="224"/>
    </row>
    <row r="1935">
      <c r="AD1935" s="224"/>
      <c r="AE1935" s="224"/>
      <c r="AF1935" s="224"/>
      <c r="AG1935" s="224"/>
    </row>
    <row r="1936">
      <c r="AD1936" s="224"/>
      <c r="AE1936" s="224"/>
      <c r="AF1936" s="224"/>
      <c r="AG1936" s="224"/>
    </row>
    <row r="1937">
      <c r="AD1937" s="224"/>
      <c r="AE1937" s="224"/>
      <c r="AF1937" s="224"/>
      <c r="AG1937" s="224"/>
    </row>
    <row r="1938">
      <c r="AD1938" s="224"/>
      <c r="AE1938" s="224"/>
      <c r="AF1938" s="224"/>
      <c r="AG1938" s="224"/>
    </row>
    <row r="1939">
      <c r="AD1939" s="224"/>
      <c r="AE1939" s="224"/>
      <c r="AF1939" s="224"/>
      <c r="AG1939" s="224"/>
    </row>
    <row r="1940">
      <c r="AD1940" s="224"/>
      <c r="AE1940" s="224"/>
      <c r="AF1940" s="224"/>
      <c r="AG1940" s="224"/>
    </row>
    <row r="1941">
      <c r="AD1941" s="224"/>
      <c r="AE1941" s="224"/>
      <c r="AF1941" s="224"/>
      <c r="AG1941" s="224"/>
    </row>
    <row r="1942">
      <c r="AD1942" s="224"/>
      <c r="AE1942" s="224"/>
      <c r="AF1942" s="224"/>
      <c r="AG1942" s="224"/>
    </row>
    <row r="1943">
      <c r="AD1943" s="224"/>
      <c r="AE1943" s="224"/>
      <c r="AF1943" s="224"/>
      <c r="AG1943" s="224"/>
    </row>
    <row r="1944">
      <c r="AD1944" s="224"/>
      <c r="AE1944" s="224"/>
      <c r="AF1944" s="224"/>
      <c r="AG1944" s="224"/>
    </row>
    <row r="1945">
      <c r="AD1945" s="224"/>
      <c r="AE1945" s="224"/>
      <c r="AF1945" s="224"/>
      <c r="AG1945" s="224"/>
    </row>
    <row r="1946">
      <c r="AD1946" s="224"/>
      <c r="AE1946" s="224"/>
      <c r="AF1946" s="224"/>
      <c r="AG1946" s="224"/>
    </row>
    <row r="1947">
      <c r="AD1947" s="224"/>
      <c r="AE1947" s="224"/>
      <c r="AF1947" s="224"/>
      <c r="AG1947" s="224"/>
    </row>
    <row r="1948">
      <c r="AD1948" s="224"/>
      <c r="AE1948" s="224"/>
      <c r="AF1948" s="224"/>
      <c r="AG1948" s="224"/>
    </row>
    <row r="1949">
      <c r="AD1949" s="224"/>
      <c r="AE1949" s="224"/>
      <c r="AF1949" s="224"/>
      <c r="AG1949" s="224"/>
    </row>
    <row r="1950">
      <c r="AD1950" s="224"/>
      <c r="AE1950" s="224"/>
      <c r="AF1950" s="224"/>
      <c r="AG1950" s="224"/>
    </row>
    <row r="1951">
      <c r="AD1951" s="224"/>
      <c r="AE1951" s="224"/>
      <c r="AF1951" s="224"/>
      <c r="AG1951" s="224"/>
    </row>
    <row r="1952">
      <c r="AD1952" s="224"/>
      <c r="AE1952" s="224"/>
      <c r="AF1952" s="224"/>
      <c r="AG1952" s="224"/>
    </row>
    <row r="1953">
      <c r="AD1953" s="224"/>
      <c r="AE1953" s="224"/>
      <c r="AF1953" s="224"/>
      <c r="AG1953" s="224"/>
    </row>
    <row r="1954">
      <c r="AD1954" s="224"/>
      <c r="AE1954" s="224"/>
      <c r="AF1954" s="224"/>
      <c r="AG1954" s="224"/>
    </row>
    <row r="1955">
      <c r="AD1955" s="224"/>
      <c r="AE1955" s="224"/>
      <c r="AF1955" s="224"/>
      <c r="AG1955" s="224"/>
    </row>
    <row r="1956">
      <c r="AD1956" s="224"/>
      <c r="AE1956" s="224"/>
      <c r="AF1956" s="224"/>
      <c r="AG1956" s="224"/>
    </row>
    <row r="1957">
      <c r="AD1957" s="224"/>
      <c r="AE1957" s="224"/>
      <c r="AF1957" s="224"/>
      <c r="AG1957" s="224"/>
    </row>
    <row r="1958">
      <c r="AD1958" s="224"/>
      <c r="AE1958" s="224"/>
      <c r="AF1958" s="224"/>
      <c r="AG1958" s="224"/>
    </row>
    <row r="1959">
      <c r="AD1959" s="224"/>
      <c r="AE1959" s="224"/>
      <c r="AF1959" s="224"/>
      <c r="AG1959" s="224"/>
    </row>
    <row r="1960">
      <c r="AD1960" s="224"/>
      <c r="AE1960" s="224"/>
      <c r="AF1960" s="224"/>
      <c r="AG1960" s="224"/>
    </row>
    <row r="1961">
      <c r="AD1961" s="224"/>
      <c r="AE1961" s="224"/>
      <c r="AF1961" s="224"/>
      <c r="AG1961" s="224"/>
    </row>
    <row r="1962">
      <c r="AD1962" s="224"/>
      <c r="AE1962" s="224"/>
      <c r="AF1962" s="224"/>
      <c r="AG1962" s="224"/>
    </row>
    <row r="1963">
      <c r="AD1963" s="224"/>
      <c r="AE1963" s="224"/>
      <c r="AF1963" s="224"/>
      <c r="AG1963" s="224"/>
    </row>
    <row r="1964">
      <c r="AD1964" s="224"/>
      <c r="AE1964" s="224"/>
      <c r="AF1964" s="224"/>
      <c r="AG1964" s="224"/>
    </row>
    <row r="1965">
      <c r="AD1965" s="224"/>
      <c r="AE1965" s="224"/>
      <c r="AF1965" s="224"/>
      <c r="AG1965" s="224"/>
    </row>
    <row r="1966">
      <c r="AD1966" s="224"/>
      <c r="AE1966" s="224"/>
      <c r="AF1966" s="224"/>
      <c r="AG1966" s="224"/>
    </row>
    <row r="1967">
      <c r="AD1967" s="224"/>
      <c r="AE1967" s="224"/>
      <c r="AF1967" s="224"/>
      <c r="AG1967" s="224"/>
    </row>
    <row r="1968">
      <c r="AD1968" s="224"/>
      <c r="AE1968" s="224"/>
      <c r="AF1968" s="224"/>
      <c r="AG1968" s="224"/>
    </row>
    <row r="1969">
      <c r="AD1969" s="224"/>
      <c r="AE1969" s="224"/>
      <c r="AF1969" s="224"/>
      <c r="AG1969" s="224"/>
    </row>
    <row r="1970">
      <c r="AD1970" s="224"/>
      <c r="AE1970" s="224"/>
      <c r="AF1970" s="224"/>
      <c r="AG1970" s="224"/>
    </row>
    <row r="1971">
      <c r="AD1971" s="224"/>
      <c r="AE1971" s="224"/>
      <c r="AF1971" s="224"/>
      <c r="AG1971" s="224"/>
    </row>
    <row r="1972">
      <c r="AD1972" s="224"/>
      <c r="AE1972" s="224"/>
      <c r="AF1972" s="224"/>
      <c r="AG1972" s="224"/>
    </row>
    <row r="1973">
      <c r="AD1973" s="224"/>
      <c r="AE1973" s="224"/>
      <c r="AF1973" s="224"/>
      <c r="AG1973" s="224"/>
    </row>
    <row r="1974">
      <c r="AD1974" s="224"/>
      <c r="AE1974" s="224"/>
      <c r="AF1974" s="224"/>
      <c r="AG1974" s="224"/>
    </row>
    <row r="1975">
      <c r="AD1975" s="224"/>
      <c r="AE1975" s="224"/>
      <c r="AF1975" s="224"/>
      <c r="AG1975" s="224"/>
    </row>
    <row r="1976">
      <c r="AD1976" s="224"/>
      <c r="AE1976" s="224"/>
      <c r="AF1976" s="224"/>
      <c r="AG1976" s="224"/>
    </row>
    <row r="1977">
      <c r="AD1977" s="224"/>
      <c r="AE1977" s="224"/>
      <c r="AF1977" s="224"/>
      <c r="AG1977" s="224"/>
    </row>
    <row r="1978">
      <c r="AD1978" s="224"/>
      <c r="AE1978" s="224"/>
      <c r="AF1978" s="224"/>
      <c r="AG1978" s="224"/>
    </row>
    <row r="1979">
      <c r="AD1979" s="224"/>
      <c r="AE1979" s="224"/>
      <c r="AF1979" s="224"/>
      <c r="AG1979" s="224"/>
    </row>
    <row r="1980">
      <c r="AD1980" s="224"/>
      <c r="AE1980" s="224"/>
      <c r="AF1980" s="224"/>
      <c r="AG1980" s="224"/>
    </row>
    <row r="1981">
      <c r="AD1981" s="224"/>
      <c r="AE1981" s="224"/>
      <c r="AF1981" s="224"/>
      <c r="AG1981" s="224"/>
    </row>
    <row r="1982">
      <c r="AD1982" s="224"/>
      <c r="AE1982" s="224"/>
      <c r="AF1982" s="224"/>
      <c r="AG1982" s="224"/>
    </row>
    <row r="1983">
      <c r="AD1983" s="224"/>
      <c r="AE1983" s="224"/>
      <c r="AF1983" s="224"/>
      <c r="AG1983" s="224"/>
    </row>
    <row r="1984">
      <c r="AD1984" s="224"/>
      <c r="AE1984" s="224"/>
      <c r="AF1984" s="224"/>
      <c r="AG1984" s="224"/>
    </row>
    <row r="1985">
      <c r="AD1985" s="224"/>
      <c r="AE1985" s="224"/>
      <c r="AF1985" s="224"/>
      <c r="AG1985" s="224"/>
    </row>
    <row r="1986">
      <c r="AD1986" s="224"/>
      <c r="AE1986" s="224"/>
      <c r="AF1986" s="224"/>
      <c r="AG1986" s="224"/>
    </row>
    <row r="1987">
      <c r="AD1987" s="224"/>
      <c r="AE1987" s="224"/>
      <c r="AF1987" s="224"/>
      <c r="AG1987" s="224"/>
    </row>
    <row r="1988">
      <c r="AD1988" s="224"/>
      <c r="AE1988" s="224"/>
      <c r="AF1988" s="224"/>
      <c r="AG1988" s="224"/>
    </row>
    <row r="1989">
      <c r="AD1989" s="224"/>
      <c r="AE1989" s="224"/>
      <c r="AF1989" s="224"/>
      <c r="AG1989" s="224"/>
    </row>
    <row r="1990">
      <c r="AD1990" s="224"/>
      <c r="AE1990" s="224"/>
      <c r="AF1990" s="224"/>
      <c r="AG1990" s="224"/>
    </row>
    <row r="1991">
      <c r="AD1991" s="224"/>
      <c r="AE1991" s="224"/>
      <c r="AF1991" s="224"/>
      <c r="AG1991" s="224"/>
    </row>
    <row r="1992">
      <c r="AD1992" s="224"/>
      <c r="AE1992" s="224"/>
      <c r="AF1992" s="224"/>
      <c r="AG1992" s="224"/>
    </row>
    <row r="1993">
      <c r="AD1993" s="224"/>
      <c r="AE1993" s="224"/>
      <c r="AF1993" s="224"/>
      <c r="AG1993" s="224"/>
    </row>
    <row r="1994">
      <c r="AD1994" s="224"/>
      <c r="AE1994" s="224"/>
      <c r="AF1994" s="224"/>
      <c r="AG1994" s="224"/>
    </row>
    <row r="1995">
      <c r="AD1995" s="224"/>
      <c r="AE1995" s="224"/>
      <c r="AF1995" s="224"/>
      <c r="AG1995" s="224"/>
    </row>
    <row r="1996">
      <c r="AD1996" s="224"/>
      <c r="AE1996" s="224"/>
      <c r="AF1996" s="224"/>
      <c r="AG1996" s="224"/>
    </row>
    <row r="1997">
      <c r="AD1997" s="224"/>
      <c r="AE1997" s="224"/>
      <c r="AF1997" s="224"/>
      <c r="AG1997" s="224"/>
    </row>
    <row r="1998">
      <c r="AD1998" s="224"/>
      <c r="AE1998" s="224"/>
      <c r="AF1998" s="224"/>
      <c r="AG1998" s="224"/>
    </row>
    <row r="1999">
      <c r="AD1999" s="224"/>
      <c r="AE1999" s="224"/>
      <c r="AF1999" s="224"/>
      <c r="AG1999" s="224"/>
    </row>
    <row r="2000">
      <c r="AD2000" s="224"/>
      <c r="AE2000" s="224"/>
      <c r="AF2000" s="224"/>
      <c r="AG2000" s="224"/>
    </row>
    <row r="2001">
      <c r="AD2001" s="224"/>
      <c r="AE2001" s="224"/>
      <c r="AF2001" s="224"/>
      <c r="AG2001" s="224"/>
    </row>
    <row r="2002">
      <c r="AD2002" s="224"/>
      <c r="AE2002" s="224"/>
      <c r="AF2002" s="224"/>
      <c r="AG2002" s="224"/>
    </row>
    <row r="2003">
      <c r="AD2003" s="224"/>
      <c r="AE2003" s="224"/>
      <c r="AF2003" s="224"/>
      <c r="AG2003" s="224"/>
    </row>
    <row r="2004">
      <c r="AD2004" s="224"/>
      <c r="AE2004" s="224"/>
      <c r="AF2004" s="224"/>
      <c r="AG2004" s="224"/>
    </row>
    <row r="2005">
      <c r="AD2005" s="224"/>
      <c r="AE2005" s="224"/>
      <c r="AF2005" s="224"/>
      <c r="AG2005" s="224"/>
    </row>
    <row r="2006">
      <c r="AD2006" s="224"/>
      <c r="AE2006" s="224"/>
      <c r="AF2006" s="224"/>
      <c r="AG2006" s="224"/>
    </row>
    <row r="2007">
      <c r="AD2007" s="224"/>
      <c r="AE2007" s="224"/>
      <c r="AF2007" s="224"/>
      <c r="AG2007" s="224"/>
    </row>
    <row r="2008">
      <c r="AD2008" s="224"/>
      <c r="AE2008" s="224"/>
      <c r="AF2008" s="224"/>
      <c r="AG2008" s="224"/>
    </row>
    <row r="2009">
      <c r="AD2009" s="224"/>
      <c r="AE2009" s="224"/>
      <c r="AF2009" s="224"/>
      <c r="AG2009" s="224"/>
    </row>
    <row r="2010">
      <c r="AD2010" s="224"/>
      <c r="AE2010" s="224"/>
      <c r="AF2010" s="224"/>
      <c r="AG2010" s="224"/>
    </row>
    <row r="2011">
      <c r="AD2011" s="224"/>
      <c r="AE2011" s="224"/>
      <c r="AF2011" s="224"/>
      <c r="AG2011" s="224"/>
    </row>
    <row r="2012">
      <c r="AD2012" s="224"/>
      <c r="AE2012" s="224"/>
      <c r="AF2012" s="224"/>
      <c r="AG2012" s="224"/>
    </row>
    <row r="2013">
      <c r="AD2013" s="224"/>
      <c r="AE2013" s="224"/>
      <c r="AF2013" s="224"/>
      <c r="AG2013" s="224"/>
    </row>
    <row r="2014">
      <c r="AD2014" s="224"/>
      <c r="AE2014" s="224"/>
      <c r="AF2014" s="224"/>
      <c r="AG2014" s="224"/>
    </row>
    <row r="2015">
      <c r="AD2015" s="224"/>
      <c r="AE2015" s="224"/>
      <c r="AF2015" s="224"/>
      <c r="AG2015" s="224"/>
    </row>
    <row r="2016">
      <c r="AD2016" s="224"/>
      <c r="AE2016" s="224"/>
      <c r="AF2016" s="224"/>
      <c r="AG2016" s="224"/>
    </row>
    <row r="2017">
      <c r="AD2017" s="224"/>
      <c r="AE2017" s="224"/>
      <c r="AF2017" s="224"/>
      <c r="AG2017" s="224"/>
    </row>
    <row r="2018">
      <c r="AD2018" s="224"/>
      <c r="AE2018" s="224"/>
      <c r="AF2018" s="224"/>
      <c r="AG2018" s="224"/>
    </row>
    <row r="2019">
      <c r="AD2019" s="224"/>
      <c r="AE2019" s="224"/>
      <c r="AF2019" s="224"/>
      <c r="AG2019" s="224"/>
    </row>
    <row r="2020">
      <c r="AD2020" s="224"/>
      <c r="AE2020" s="224"/>
      <c r="AF2020" s="224"/>
      <c r="AG2020" s="224"/>
    </row>
    <row r="2021">
      <c r="AD2021" s="224"/>
      <c r="AE2021" s="224"/>
      <c r="AF2021" s="224"/>
      <c r="AG2021" s="224"/>
    </row>
    <row r="2022">
      <c r="AD2022" s="224"/>
      <c r="AE2022" s="224"/>
      <c r="AF2022" s="224"/>
      <c r="AG2022" s="224"/>
    </row>
    <row r="2023">
      <c r="AD2023" s="224"/>
      <c r="AE2023" s="224"/>
      <c r="AF2023" s="224"/>
      <c r="AG2023" s="224"/>
    </row>
    <row r="2024">
      <c r="AD2024" s="224"/>
      <c r="AE2024" s="224"/>
      <c r="AF2024" s="224"/>
      <c r="AG2024" s="224"/>
    </row>
    <row r="2025">
      <c r="AD2025" s="224"/>
      <c r="AE2025" s="224"/>
      <c r="AF2025" s="224"/>
      <c r="AG2025" s="224"/>
    </row>
    <row r="2026">
      <c r="AD2026" s="224"/>
      <c r="AE2026" s="224"/>
      <c r="AF2026" s="224"/>
      <c r="AG2026" s="224"/>
    </row>
    <row r="2027">
      <c r="AD2027" s="224"/>
      <c r="AE2027" s="224"/>
      <c r="AF2027" s="224"/>
      <c r="AG2027" s="224"/>
    </row>
    <row r="2028">
      <c r="AD2028" s="224"/>
      <c r="AE2028" s="224"/>
      <c r="AF2028" s="224"/>
      <c r="AG2028" s="224"/>
    </row>
    <row r="2029">
      <c r="AD2029" s="224"/>
      <c r="AE2029" s="224"/>
      <c r="AF2029" s="224"/>
      <c r="AG2029" s="224"/>
    </row>
    <row r="2030">
      <c r="AD2030" s="224"/>
      <c r="AE2030" s="224"/>
      <c r="AF2030" s="224"/>
      <c r="AG2030" s="224"/>
    </row>
    <row r="2031">
      <c r="AD2031" s="224"/>
      <c r="AE2031" s="224"/>
      <c r="AF2031" s="224"/>
      <c r="AG2031" s="224"/>
    </row>
    <row r="2032">
      <c r="AD2032" s="224"/>
      <c r="AE2032" s="224"/>
      <c r="AF2032" s="224"/>
      <c r="AG2032" s="224"/>
    </row>
    <row r="2033">
      <c r="AD2033" s="224"/>
      <c r="AE2033" s="224"/>
      <c r="AF2033" s="224"/>
      <c r="AG2033" s="224"/>
    </row>
    <row r="2034">
      <c r="AD2034" s="224"/>
      <c r="AE2034" s="224"/>
      <c r="AF2034" s="224"/>
      <c r="AG2034" s="224"/>
    </row>
    <row r="2035">
      <c r="AD2035" s="224"/>
      <c r="AE2035" s="224"/>
      <c r="AF2035" s="224"/>
      <c r="AG2035" s="224"/>
    </row>
    <row r="2036">
      <c r="AD2036" s="224"/>
      <c r="AE2036" s="224"/>
      <c r="AF2036" s="224"/>
      <c r="AG2036" s="224"/>
    </row>
    <row r="2037">
      <c r="AD2037" s="224"/>
      <c r="AE2037" s="224"/>
      <c r="AF2037" s="224"/>
      <c r="AG2037" s="224"/>
    </row>
    <row r="2038">
      <c r="AD2038" s="224"/>
      <c r="AE2038" s="224"/>
      <c r="AF2038" s="224"/>
      <c r="AG2038" s="224"/>
    </row>
    <row r="2039">
      <c r="AD2039" s="224"/>
      <c r="AE2039" s="224"/>
      <c r="AF2039" s="224"/>
      <c r="AG2039" s="224"/>
    </row>
    <row r="2040">
      <c r="AD2040" s="224"/>
      <c r="AE2040" s="224"/>
      <c r="AF2040" s="224"/>
      <c r="AG2040" s="224"/>
    </row>
    <row r="2041">
      <c r="AD2041" s="224"/>
      <c r="AE2041" s="224"/>
      <c r="AF2041" s="224"/>
      <c r="AG2041" s="224"/>
    </row>
    <row r="2042">
      <c r="AD2042" s="224"/>
      <c r="AE2042" s="224"/>
      <c r="AF2042" s="224"/>
      <c r="AG2042" s="224"/>
    </row>
    <row r="2043">
      <c r="AD2043" s="224"/>
      <c r="AE2043" s="224"/>
      <c r="AF2043" s="224"/>
      <c r="AG2043" s="224"/>
    </row>
    <row r="2044">
      <c r="AD2044" s="224"/>
      <c r="AE2044" s="224"/>
      <c r="AF2044" s="224"/>
      <c r="AG2044" s="224"/>
    </row>
    <row r="2045">
      <c r="AD2045" s="224"/>
      <c r="AE2045" s="224"/>
      <c r="AF2045" s="224"/>
      <c r="AG2045" s="224"/>
    </row>
    <row r="2046">
      <c r="AD2046" s="224"/>
      <c r="AE2046" s="224"/>
      <c r="AF2046" s="224"/>
      <c r="AG2046" s="224"/>
    </row>
    <row r="2047">
      <c r="AD2047" s="224"/>
      <c r="AE2047" s="224"/>
      <c r="AF2047" s="224"/>
      <c r="AG2047" s="224"/>
    </row>
    <row r="2048">
      <c r="AD2048" s="224"/>
      <c r="AE2048" s="224"/>
      <c r="AF2048" s="224"/>
      <c r="AG2048" s="224"/>
    </row>
    <row r="2049">
      <c r="AD2049" s="224"/>
      <c r="AE2049" s="224"/>
      <c r="AF2049" s="224"/>
      <c r="AG2049" s="224"/>
    </row>
    <row r="2050">
      <c r="AD2050" s="224"/>
      <c r="AE2050" s="224"/>
      <c r="AF2050" s="224"/>
      <c r="AG2050" s="224"/>
    </row>
    <row r="2051">
      <c r="AD2051" s="224"/>
      <c r="AE2051" s="224"/>
      <c r="AF2051" s="224"/>
      <c r="AG2051" s="224"/>
    </row>
    <row r="2052">
      <c r="AD2052" s="224"/>
      <c r="AE2052" s="224"/>
      <c r="AF2052" s="224"/>
      <c r="AG2052" s="224"/>
    </row>
    <row r="2053">
      <c r="AD2053" s="224"/>
      <c r="AE2053" s="224"/>
      <c r="AF2053" s="224"/>
      <c r="AG2053" s="224"/>
    </row>
    <row r="2054">
      <c r="AD2054" s="224"/>
      <c r="AE2054" s="224"/>
      <c r="AF2054" s="224"/>
      <c r="AG2054" s="224"/>
    </row>
    <row r="2055">
      <c r="AD2055" s="224"/>
      <c r="AE2055" s="224"/>
      <c r="AF2055" s="224"/>
      <c r="AG2055" s="224"/>
    </row>
    <row r="2056">
      <c r="AD2056" s="224"/>
      <c r="AE2056" s="224"/>
      <c r="AF2056" s="224"/>
      <c r="AG2056" s="224"/>
    </row>
    <row r="2057">
      <c r="AD2057" s="224"/>
      <c r="AE2057" s="224"/>
      <c r="AF2057" s="224"/>
      <c r="AG2057" s="224"/>
    </row>
    <row r="2058">
      <c r="AD2058" s="224"/>
      <c r="AE2058" s="224"/>
      <c r="AF2058" s="224"/>
      <c r="AG2058" s="224"/>
    </row>
    <row r="2059">
      <c r="AD2059" s="224"/>
      <c r="AE2059" s="224"/>
      <c r="AF2059" s="224"/>
      <c r="AG2059" s="224"/>
    </row>
    <row r="2060">
      <c r="AD2060" s="224"/>
      <c r="AE2060" s="224"/>
      <c r="AF2060" s="224"/>
      <c r="AG2060" s="224"/>
    </row>
    <row r="2061">
      <c r="AD2061" s="224"/>
      <c r="AE2061" s="224"/>
      <c r="AF2061" s="224"/>
      <c r="AG2061" s="224"/>
    </row>
    <row r="2062">
      <c r="AD2062" s="224"/>
      <c r="AE2062" s="224"/>
      <c r="AF2062" s="224"/>
      <c r="AG2062" s="224"/>
    </row>
    <row r="2063">
      <c r="AD2063" s="224"/>
      <c r="AE2063" s="224"/>
      <c r="AF2063" s="224"/>
      <c r="AG2063" s="224"/>
    </row>
    <row r="2064">
      <c r="AD2064" s="224"/>
      <c r="AE2064" s="224"/>
      <c r="AF2064" s="224"/>
      <c r="AG2064" s="224"/>
    </row>
    <row r="2065">
      <c r="AD2065" s="224"/>
      <c r="AE2065" s="224"/>
      <c r="AF2065" s="224"/>
      <c r="AG2065" s="224"/>
    </row>
    <row r="2066">
      <c r="AD2066" s="224"/>
      <c r="AE2066" s="224"/>
      <c r="AF2066" s="224"/>
      <c r="AG2066" s="224"/>
    </row>
    <row r="2067">
      <c r="AD2067" s="224"/>
      <c r="AE2067" s="224"/>
      <c r="AF2067" s="224"/>
      <c r="AG2067" s="224"/>
    </row>
    <row r="2068">
      <c r="AD2068" s="224"/>
      <c r="AE2068" s="224"/>
      <c r="AF2068" s="224"/>
      <c r="AG2068" s="224"/>
    </row>
    <row r="2069">
      <c r="AD2069" s="224"/>
      <c r="AE2069" s="224"/>
      <c r="AF2069" s="224"/>
      <c r="AG2069" s="224"/>
    </row>
    <row r="2070">
      <c r="AD2070" s="224"/>
      <c r="AE2070" s="224"/>
      <c r="AF2070" s="224"/>
      <c r="AG2070" s="224"/>
    </row>
    <row r="2071">
      <c r="AD2071" s="224"/>
      <c r="AE2071" s="224"/>
      <c r="AF2071" s="224"/>
      <c r="AG2071" s="224"/>
    </row>
    <row r="2072">
      <c r="AD2072" s="224"/>
      <c r="AE2072" s="224"/>
      <c r="AF2072" s="224"/>
      <c r="AG2072" s="224"/>
    </row>
    <row r="2073">
      <c r="AD2073" s="224"/>
      <c r="AE2073" s="224"/>
      <c r="AF2073" s="224"/>
      <c r="AG2073" s="224"/>
    </row>
    <row r="2074">
      <c r="AD2074" s="224"/>
      <c r="AE2074" s="224"/>
      <c r="AF2074" s="224"/>
      <c r="AG2074" s="224"/>
    </row>
    <row r="2075">
      <c r="AD2075" s="224"/>
      <c r="AE2075" s="224"/>
      <c r="AF2075" s="224"/>
      <c r="AG2075" s="224"/>
    </row>
    <row r="2076">
      <c r="AD2076" s="224"/>
      <c r="AE2076" s="224"/>
      <c r="AF2076" s="224"/>
      <c r="AG2076" s="224"/>
    </row>
    <row r="2077">
      <c r="AD2077" s="224"/>
      <c r="AE2077" s="224"/>
      <c r="AF2077" s="224"/>
      <c r="AG2077" s="224"/>
    </row>
    <row r="2078">
      <c r="AD2078" s="224"/>
      <c r="AE2078" s="224"/>
      <c r="AF2078" s="224"/>
      <c r="AG2078" s="224"/>
    </row>
    <row r="2079">
      <c r="AD2079" s="224"/>
      <c r="AE2079" s="224"/>
      <c r="AF2079" s="224"/>
      <c r="AG2079" s="224"/>
    </row>
    <row r="2080">
      <c r="AD2080" s="224"/>
      <c r="AE2080" s="224"/>
      <c r="AF2080" s="224"/>
      <c r="AG2080" s="224"/>
    </row>
    <row r="2081">
      <c r="AD2081" s="224"/>
      <c r="AE2081" s="224"/>
      <c r="AF2081" s="224"/>
      <c r="AG2081" s="224"/>
    </row>
    <row r="2082">
      <c r="AD2082" s="224"/>
      <c r="AE2082" s="224"/>
      <c r="AF2082" s="224"/>
      <c r="AG2082" s="224"/>
    </row>
    <row r="2083">
      <c r="AD2083" s="224"/>
      <c r="AE2083" s="224"/>
      <c r="AF2083" s="224"/>
      <c r="AG2083" s="224"/>
    </row>
    <row r="2084">
      <c r="AD2084" s="224"/>
      <c r="AE2084" s="224"/>
      <c r="AF2084" s="224"/>
      <c r="AG2084" s="224"/>
    </row>
    <row r="2085">
      <c r="AD2085" s="224"/>
      <c r="AE2085" s="224"/>
      <c r="AF2085" s="224"/>
      <c r="AG2085" s="224"/>
    </row>
    <row r="2086">
      <c r="AD2086" s="224"/>
      <c r="AE2086" s="224"/>
      <c r="AF2086" s="224"/>
      <c r="AG2086" s="224"/>
    </row>
    <row r="2087">
      <c r="AD2087" s="224"/>
      <c r="AE2087" s="224"/>
      <c r="AF2087" s="224"/>
      <c r="AG2087" s="224"/>
    </row>
    <row r="2088">
      <c r="AD2088" s="224"/>
      <c r="AE2088" s="224"/>
      <c r="AF2088" s="224"/>
      <c r="AG2088" s="224"/>
    </row>
    <row r="2089">
      <c r="AD2089" s="224"/>
      <c r="AE2089" s="224"/>
      <c r="AF2089" s="224"/>
      <c r="AG2089" s="224"/>
    </row>
    <row r="2090">
      <c r="AD2090" s="224"/>
      <c r="AE2090" s="224"/>
      <c r="AF2090" s="224"/>
      <c r="AG2090" s="224"/>
    </row>
    <row r="2091">
      <c r="AD2091" s="224"/>
      <c r="AE2091" s="224"/>
      <c r="AF2091" s="224"/>
      <c r="AG2091" s="224"/>
    </row>
    <row r="2092">
      <c r="AD2092" s="224"/>
      <c r="AE2092" s="224"/>
      <c r="AF2092" s="224"/>
      <c r="AG2092" s="224"/>
    </row>
    <row r="2093">
      <c r="AD2093" s="224"/>
      <c r="AE2093" s="224"/>
      <c r="AF2093" s="224"/>
      <c r="AG2093" s="224"/>
    </row>
    <row r="2094">
      <c r="AD2094" s="224"/>
      <c r="AE2094" s="224"/>
      <c r="AF2094" s="224"/>
      <c r="AG2094" s="224"/>
    </row>
    <row r="2095">
      <c r="AD2095" s="224"/>
      <c r="AE2095" s="224"/>
      <c r="AF2095" s="224"/>
      <c r="AG2095" s="224"/>
    </row>
    <row r="2096">
      <c r="AD2096" s="224"/>
      <c r="AE2096" s="224"/>
      <c r="AF2096" s="224"/>
      <c r="AG2096" s="224"/>
    </row>
    <row r="2097">
      <c r="AD2097" s="224"/>
      <c r="AE2097" s="224"/>
      <c r="AF2097" s="224"/>
      <c r="AG2097" s="224"/>
    </row>
    <row r="2098">
      <c r="AD2098" s="224"/>
      <c r="AE2098" s="224"/>
      <c r="AF2098" s="224"/>
      <c r="AG2098" s="224"/>
    </row>
    <row r="2099">
      <c r="AD2099" s="224"/>
      <c r="AE2099" s="224"/>
      <c r="AF2099" s="224"/>
      <c r="AG2099" s="224"/>
    </row>
    <row r="2100">
      <c r="AD2100" s="224"/>
      <c r="AE2100" s="224"/>
      <c r="AF2100" s="224"/>
      <c r="AG2100" s="224"/>
    </row>
    <row r="2101">
      <c r="AD2101" s="224"/>
      <c r="AE2101" s="224"/>
      <c r="AF2101" s="224"/>
      <c r="AG2101" s="224"/>
    </row>
    <row r="2102">
      <c r="AD2102" s="224"/>
      <c r="AE2102" s="224"/>
      <c r="AF2102" s="224"/>
      <c r="AG2102" s="224"/>
    </row>
    <row r="2103">
      <c r="AD2103" s="224"/>
      <c r="AE2103" s="224"/>
      <c r="AF2103" s="224"/>
      <c r="AG2103" s="224"/>
    </row>
    <row r="2104">
      <c r="AD2104" s="224"/>
      <c r="AE2104" s="224"/>
      <c r="AF2104" s="224"/>
      <c r="AG2104" s="224"/>
    </row>
    <row r="2105">
      <c r="AD2105" s="224"/>
      <c r="AE2105" s="224"/>
      <c r="AF2105" s="224"/>
      <c r="AG2105" s="224"/>
    </row>
    <row r="2106">
      <c r="AD2106" s="224"/>
      <c r="AE2106" s="224"/>
      <c r="AF2106" s="224"/>
      <c r="AG2106" s="224"/>
    </row>
    <row r="2107">
      <c r="AD2107" s="224"/>
      <c r="AE2107" s="224"/>
      <c r="AF2107" s="224"/>
      <c r="AG2107" s="224"/>
    </row>
    <row r="2108">
      <c r="AD2108" s="224"/>
      <c r="AE2108" s="224"/>
      <c r="AF2108" s="224"/>
      <c r="AG2108" s="224"/>
    </row>
    <row r="2109">
      <c r="AD2109" s="224"/>
      <c r="AE2109" s="224"/>
      <c r="AF2109" s="224"/>
      <c r="AG2109" s="224"/>
    </row>
    <row r="2110">
      <c r="AD2110" s="224"/>
      <c r="AE2110" s="224"/>
      <c r="AF2110" s="224"/>
      <c r="AG2110" s="224"/>
    </row>
    <row r="2111">
      <c r="AD2111" s="224"/>
      <c r="AE2111" s="224"/>
      <c r="AF2111" s="224"/>
      <c r="AG2111" s="224"/>
    </row>
    <row r="2112">
      <c r="AD2112" s="224"/>
      <c r="AE2112" s="224"/>
      <c r="AF2112" s="224"/>
      <c r="AG2112" s="224"/>
    </row>
    <row r="2113">
      <c r="AD2113" s="224"/>
      <c r="AE2113" s="224"/>
      <c r="AF2113" s="224"/>
      <c r="AG2113" s="224"/>
    </row>
    <row r="2114">
      <c r="AD2114" s="224"/>
      <c r="AE2114" s="224"/>
      <c r="AF2114" s="224"/>
      <c r="AG2114" s="224"/>
    </row>
    <row r="2115">
      <c r="AD2115" s="224"/>
      <c r="AE2115" s="224"/>
      <c r="AF2115" s="224"/>
      <c r="AG2115" s="224"/>
    </row>
    <row r="2116">
      <c r="AD2116" s="224"/>
      <c r="AE2116" s="224"/>
      <c r="AF2116" s="224"/>
      <c r="AG2116" s="224"/>
    </row>
    <row r="2117">
      <c r="AD2117" s="224"/>
      <c r="AE2117" s="224"/>
      <c r="AF2117" s="224"/>
      <c r="AG2117" s="224"/>
    </row>
    <row r="2118">
      <c r="AD2118" s="224"/>
      <c r="AE2118" s="224"/>
      <c r="AF2118" s="224"/>
      <c r="AG2118" s="224"/>
    </row>
    <row r="2119">
      <c r="AD2119" s="224"/>
      <c r="AE2119" s="224"/>
      <c r="AF2119" s="224"/>
      <c r="AG2119" s="224"/>
    </row>
    <row r="2120">
      <c r="AD2120" s="224"/>
      <c r="AE2120" s="224"/>
      <c r="AF2120" s="224"/>
      <c r="AG2120" s="224"/>
    </row>
    <row r="2121">
      <c r="AD2121" s="224"/>
      <c r="AE2121" s="224"/>
      <c r="AF2121" s="224"/>
      <c r="AG2121" s="224"/>
    </row>
    <row r="2122">
      <c r="AD2122" s="224"/>
      <c r="AE2122" s="224"/>
      <c r="AF2122" s="224"/>
      <c r="AG2122" s="224"/>
    </row>
    <row r="2123">
      <c r="AD2123" s="224"/>
      <c r="AE2123" s="224"/>
      <c r="AF2123" s="224"/>
      <c r="AG2123" s="224"/>
    </row>
    <row r="2124">
      <c r="AD2124" s="224"/>
      <c r="AE2124" s="224"/>
      <c r="AF2124" s="224"/>
      <c r="AG2124" s="224"/>
    </row>
    <row r="2125">
      <c r="AD2125" s="224"/>
      <c r="AE2125" s="224"/>
      <c r="AF2125" s="224"/>
      <c r="AG2125" s="224"/>
    </row>
    <row r="2126">
      <c r="AD2126" s="224"/>
      <c r="AE2126" s="224"/>
      <c r="AF2126" s="224"/>
      <c r="AG2126" s="224"/>
    </row>
    <row r="2127">
      <c r="AD2127" s="224"/>
      <c r="AE2127" s="224"/>
      <c r="AF2127" s="224"/>
      <c r="AG2127" s="224"/>
    </row>
    <row r="2128">
      <c r="AD2128" s="224"/>
      <c r="AE2128" s="224"/>
      <c r="AF2128" s="224"/>
      <c r="AG2128" s="224"/>
    </row>
    <row r="2129">
      <c r="AD2129" s="224"/>
      <c r="AE2129" s="224"/>
      <c r="AF2129" s="224"/>
      <c r="AG2129" s="224"/>
    </row>
    <row r="2130">
      <c r="AD2130" s="224"/>
      <c r="AE2130" s="224"/>
      <c r="AF2130" s="224"/>
      <c r="AG2130" s="224"/>
    </row>
    <row r="2131">
      <c r="AD2131" s="224"/>
      <c r="AE2131" s="224"/>
      <c r="AF2131" s="224"/>
      <c r="AG2131" s="224"/>
    </row>
    <row r="2132">
      <c r="AD2132" s="224"/>
      <c r="AE2132" s="224"/>
      <c r="AF2132" s="224"/>
      <c r="AG2132" s="224"/>
    </row>
    <row r="2133">
      <c r="AD2133" s="224"/>
      <c r="AE2133" s="224"/>
      <c r="AF2133" s="224"/>
      <c r="AG2133" s="224"/>
    </row>
    <row r="2134">
      <c r="AD2134" s="224"/>
      <c r="AE2134" s="224"/>
      <c r="AF2134" s="224"/>
      <c r="AG2134" s="224"/>
    </row>
    <row r="2135">
      <c r="AD2135" s="224"/>
      <c r="AE2135" s="224"/>
      <c r="AF2135" s="224"/>
      <c r="AG2135" s="224"/>
    </row>
    <row r="2136">
      <c r="AD2136" s="224"/>
      <c r="AE2136" s="224"/>
      <c r="AF2136" s="224"/>
      <c r="AG2136" s="224"/>
    </row>
    <row r="2137">
      <c r="AD2137" s="224"/>
      <c r="AE2137" s="224"/>
      <c r="AF2137" s="224"/>
      <c r="AG2137" s="224"/>
    </row>
    <row r="2138">
      <c r="AD2138" s="224"/>
      <c r="AE2138" s="224"/>
      <c r="AF2138" s="224"/>
      <c r="AG2138" s="224"/>
    </row>
    <row r="2139">
      <c r="AD2139" s="224"/>
      <c r="AE2139" s="224"/>
      <c r="AF2139" s="224"/>
      <c r="AG2139" s="224"/>
    </row>
    <row r="2140">
      <c r="AD2140" s="224"/>
      <c r="AE2140" s="224"/>
      <c r="AF2140" s="224"/>
      <c r="AG2140" s="224"/>
    </row>
    <row r="2141">
      <c r="AD2141" s="224"/>
      <c r="AE2141" s="224"/>
      <c r="AF2141" s="224"/>
      <c r="AG2141" s="224"/>
    </row>
    <row r="2142">
      <c r="AD2142" s="224"/>
      <c r="AE2142" s="224"/>
      <c r="AF2142" s="224"/>
      <c r="AG2142" s="224"/>
    </row>
    <row r="2143">
      <c r="AD2143" s="224"/>
      <c r="AE2143" s="224"/>
      <c r="AF2143" s="224"/>
      <c r="AG2143" s="224"/>
    </row>
    <row r="2144">
      <c r="AD2144" s="224"/>
      <c r="AE2144" s="224"/>
      <c r="AF2144" s="224"/>
      <c r="AG2144" s="224"/>
    </row>
    <row r="2145">
      <c r="AD2145" s="224"/>
      <c r="AE2145" s="224"/>
      <c r="AF2145" s="224"/>
      <c r="AG2145" s="224"/>
    </row>
    <row r="2146">
      <c r="AD2146" s="224"/>
      <c r="AE2146" s="224"/>
      <c r="AF2146" s="224"/>
      <c r="AG2146" s="224"/>
    </row>
    <row r="2147">
      <c r="AD2147" s="224"/>
      <c r="AE2147" s="224"/>
      <c r="AF2147" s="224"/>
      <c r="AG2147" s="224"/>
    </row>
    <row r="2148">
      <c r="AD2148" s="224"/>
      <c r="AE2148" s="224"/>
      <c r="AF2148" s="224"/>
      <c r="AG2148" s="224"/>
    </row>
    <row r="2149">
      <c r="AD2149" s="224"/>
      <c r="AE2149" s="224"/>
      <c r="AF2149" s="224"/>
      <c r="AG2149" s="224"/>
    </row>
    <row r="2150">
      <c r="AD2150" s="224"/>
      <c r="AE2150" s="224"/>
      <c r="AF2150" s="224"/>
      <c r="AG2150" s="224"/>
    </row>
    <row r="2151">
      <c r="AD2151" s="224"/>
      <c r="AE2151" s="224"/>
      <c r="AF2151" s="224"/>
      <c r="AG2151" s="224"/>
    </row>
    <row r="2152">
      <c r="AD2152" s="224"/>
      <c r="AE2152" s="224"/>
      <c r="AF2152" s="224"/>
      <c r="AG2152" s="224"/>
    </row>
    <row r="2153">
      <c r="AD2153" s="224"/>
      <c r="AE2153" s="224"/>
      <c r="AF2153" s="224"/>
      <c r="AG2153" s="224"/>
    </row>
    <row r="2154">
      <c r="AD2154" s="224"/>
      <c r="AE2154" s="224"/>
      <c r="AF2154" s="224"/>
      <c r="AG2154" s="224"/>
    </row>
    <row r="2155">
      <c r="AD2155" s="224"/>
      <c r="AE2155" s="224"/>
      <c r="AF2155" s="224"/>
      <c r="AG2155" s="224"/>
    </row>
    <row r="2156">
      <c r="AD2156" s="224"/>
      <c r="AE2156" s="224"/>
      <c r="AF2156" s="224"/>
      <c r="AG2156" s="224"/>
    </row>
    <row r="2157">
      <c r="AD2157" s="224"/>
      <c r="AE2157" s="224"/>
      <c r="AF2157" s="224"/>
      <c r="AG2157" s="224"/>
    </row>
    <row r="2158">
      <c r="AD2158" s="224"/>
      <c r="AE2158" s="224"/>
      <c r="AF2158" s="224"/>
      <c r="AG2158" s="224"/>
    </row>
    <row r="2159">
      <c r="AD2159" s="224"/>
      <c r="AE2159" s="224"/>
      <c r="AF2159" s="224"/>
      <c r="AG2159" s="224"/>
    </row>
    <row r="2160">
      <c r="AD2160" s="224"/>
      <c r="AE2160" s="224"/>
      <c r="AF2160" s="224"/>
      <c r="AG2160" s="224"/>
    </row>
    <row r="2161">
      <c r="AD2161" s="224"/>
      <c r="AE2161" s="224"/>
      <c r="AF2161" s="224"/>
      <c r="AG2161" s="224"/>
    </row>
    <row r="2162">
      <c r="AD2162" s="224"/>
      <c r="AE2162" s="224"/>
      <c r="AF2162" s="224"/>
      <c r="AG2162" s="224"/>
    </row>
    <row r="2163">
      <c r="AD2163" s="224"/>
      <c r="AE2163" s="224"/>
      <c r="AF2163" s="224"/>
      <c r="AG2163" s="224"/>
    </row>
    <row r="2164">
      <c r="AD2164" s="224"/>
      <c r="AE2164" s="224"/>
      <c r="AF2164" s="224"/>
      <c r="AG2164" s="224"/>
    </row>
    <row r="2165">
      <c r="AD2165" s="224"/>
      <c r="AE2165" s="224"/>
      <c r="AF2165" s="224"/>
      <c r="AG2165" s="224"/>
    </row>
    <row r="2166">
      <c r="AD2166" s="224"/>
      <c r="AE2166" s="224"/>
      <c r="AF2166" s="224"/>
      <c r="AG2166" s="224"/>
    </row>
    <row r="2167">
      <c r="AD2167" s="224"/>
      <c r="AE2167" s="224"/>
      <c r="AF2167" s="224"/>
      <c r="AG2167" s="224"/>
    </row>
    <row r="2168">
      <c r="AD2168" s="224"/>
      <c r="AE2168" s="224"/>
      <c r="AF2168" s="224"/>
      <c r="AG2168" s="224"/>
    </row>
    <row r="2169">
      <c r="AD2169" s="224"/>
      <c r="AE2169" s="224"/>
      <c r="AF2169" s="224"/>
      <c r="AG2169" s="224"/>
    </row>
    <row r="2170">
      <c r="AD2170" s="224"/>
      <c r="AE2170" s="224"/>
      <c r="AF2170" s="224"/>
      <c r="AG2170" s="224"/>
    </row>
    <row r="2171">
      <c r="AD2171" s="224"/>
      <c r="AE2171" s="224"/>
      <c r="AF2171" s="224"/>
      <c r="AG2171" s="224"/>
    </row>
    <row r="2172">
      <c r="AD2172" s="224"/>
      <c r="AE2172" s="224"/>
      <c r="AF2172" s="224"/>
      <c r="AG2172" s="224"/>
    </row>
    <row r="2173">
      <c r="AD2173" s="224"/>
      <c r="AE2173" s="224"/>
      <c r="AF2173" s="224"/>
      <c r="AG2173" s="224"/>
    </row>
    <row r="2174">
      <c r="AD2174" s="224"/>
      <c r="AE2174" s="224"/>
      <c r="AF2174" s="224"/>
      <c r="AG2174" s="224"/>
    </row>
    <row r="2175">
      <c r="AD2175" s="224"/>
      <c r="AE2175" s="224"/>
      <c r="AF2175" s="224"/>
      <c r="AG2175" s="224"/>
    </row>
    <row r="2176">
      <c r="AD2176" s="224"/>
      <c r="AE2176" s="224"/>
      <c r="AF2176" s="224"/>
      <c r="AG2176" s="224"/>
    </row>
    <row r="2177">
      <c r="AD2177" s="224"/>
      <c r="AE2177" s="224"/>
      <c r="AF2177" s="224"/>
      <c r="AG2177" s="224"/>
    </row>
    <row r="2178">
      <c r="AD2178" s="224"/>
      <c r="AE2178" s="224"/>
      <c r="AF2178" s="224"/>
      <c r="AG2178" s="224"/>
    </row>
    <row r="2179">
      <c r="AD2179" s="224"/>
      <c r="AE2179" s="224"/>
      <c r="AF2179" s="224"/>
      <c r="AG2179" s="224"/>
    </row>
    <row r="2180">
      <c r="AD2180" s="224"/>
      <c r="AE2180" s="224"/>
      <c r="AF2180" s="224"/>
      <c r="AG2180" s="224"/>
    </row>
    <row r="2181">
      <c r="AD2181" s="224"/>
      <c r="AE2181" s="224"/>
      <c r="AF2181" s="224"/>
      <c r="AG2181" s="224"/>
    </row>
    <row r="2182">
      <c r="AD2182" s="224"/>
      <c r="AE2182" s="224"/>
      <c r="AF2182" s="224"/>
      <c r="AG2182" s="224"/>
    </row>
    <row r="2183">
      <c r="AD2183" s="224"/>
      <c r="AE2183" s="224"/>
      <c r="AF2183" s="224"/>
      <c r="AG2183" s="224"/>
    </row>
    <row r="2184">
      <c r="AD2184" s="224"/>
      <c r="AE2184" s="224"/>
      <c r="AF2184" s="224"/>
      <c r="AG2184" s="224"/>
    </row>
    <row r="2185">
      <c r="AD2185" s="224"/>
      <c r="AE2185" s="224"/>
      <c r="AF2185" s="224"/>
      <c r="AG2185" s="224"/>
    </row>
    <row r="2186">
      <c r="AD2186" s="224"/>
      <c r="AE2186" s="224"/>
      <c r="AF2186" s="224"/>
      <c r="AG2186" s="224"/>
    </row>
    <row r="2187">
      <c r="AD2187" s="224"/>
      <c r="AE2187" s="224"/>
      <c r="AF2187" s="224"/>
      <c r="AG2187" s="224"/>
    </row>
    <row r="2188">
      <c r="AD2188" s="224"/>
      <c r="AE2188" s="224"/>
      <c r="AF2188" s="224"/>
      <c r="AG2188" s="224"/>
    </row>
    <row r="2189">
      <c r="AD2189" s="224"/>
      <c r="AE2189" s="224"/>
      <c r="AF2189" s="224"/>
      <c r="AG2189" s="224"/>
    </row>
    <row r="2190">
      <c r="AD2190" s="224"/>
      <c r="AE2190" s="224"/>
      <c r="AF2190" s="224"/>
      <c r="AG2190" s="224"/>
    </row>
    <row r="2191">
      <c r="AD2191" s="224"/>
      <c r="AE2191" s="224"/>
      <c r="AF2191" s="224"/>
      <c r="AG2191" s="224"/>
    </row>
    <row r="2192">
      <c r="AD2192" s="224"/>
      <c r="AE2192" s="224"/>
      <c r="AF2192" s="224"/>
      <c r="AG2192" s="224"/>
    </row>
    <row r="2193">
      <c r="AD2193" s="224"/>
      <c r="AE2193" s="224"/>
      <c r="AF2193" s="224"/>
      <c r="AG2193" s="224"/>
    </row>
    <row r="2194">
      <c r="AD2194" s="224"/>
      <c r="AE2194" s="224"/>
      <c r="AF2194" s="224"/>
      <c r="AG2194" s="224"/>
    </row>
    <row r="2195">
      <c r="AD2195" s="224"/>
      <c r="AE2195" s="224"/>
      <c r="AF2195" s="224"/>
      <c r="AG2195" s="224"/>
    </row>
    <row r="2196">
      <c r="AD2196" s="224"/>
      <c r="AE2196" s="224"/>
      <c r="AF2196" s="224"/>
      <c r="AG2196" s="224"/>
    </row>
    <row r="2197">
      <c r="AD2197" s="224"/>
      <c r="AE2197" s="224"/>
      <c r="AF2197" s="224"/>
      <c r="AG2197" s="224"/>
    </row>
    <row r="2198">
      <c r="AD2198" s="224"/>
      <c r="AE2198" s="224"/>
      <c r="AF2198" s="224"/>
      <c r="AG2198" s="224"/>
    </row>
    <row r="2199">
      <c r="AD2199" s="224"/>
      <c r="AE2199" s="224"/>
      <c r="AF2199" s="224"/>
      <c r="AG2199" s="224"/>
    </row>
    <row r="2200">
      <c r="AD2200" s="224"/>
      <c r="AE2200" s="224"/>
      <c r="AF2200" s="224"/>
      <c r="AG2200" s="224"/>
    </row>
    <row r="2201">
      <c r="AD2201" s="224"/>
      <c r="AE2201" s="224"/>
      <c r="AF2201" s="224"/>
      <c r="AG2201" s="224"/>
    </row>
    <row r="2202">
      <c r="AD2202" s="224"/>
      <c r="AE2202" s="224"/>
      <c r="AF2202" s="224"/>
      <c r="AG2202" s="224"/>
    </row>
    <row r="2203">
      <c r="AD2203" s="224"/>
      <c r="AE2203" s="224"/>
      <c r="AF2203" s="224"/>
      <c r="AG2203" s="224"/>
    </row>
    <row r="2204">
      <c r="AD2204" s="224"/>
      <c r="AE2204" s="224"/>
      <c r="AF2204" s="224"/>
      <c r="AG2204" s="224"/>
    </row>
    <row r="2205">
      <c r="AD2205" s="224"/>
      <c r="AE2205" s="224"/>
      <c r="AF2205" s="224"/>
      <c r="AG2205" s="224"/>
    </row>
    <row r="2206">
      <c r="AD2206" s="224"/>
      <c r="AE2206" s="224"/>
      <c r="AF2206" s="224"/>
      <c r="AG2206" s="224"/>
    </row>
    <row r="2207">
      <c r="AD2207" s="224"/>
      <c r="AE2207" s="224"/>
      <c r="AF2207" s="224"/>
      <c r="AG2207" s="224"/>
    </row>
    <row r="2208">
      <c r="AD2208" s="224"/>
      <c r="AE2208" s="224"/>
      <c r="AF2208" s="224"/>
      <c r="AG2208" s="224"/>
    </row>
    <row r="2209">
      <c r="AD2209" s="224"/>
      <c r="AE2209" s="224"/>
      <c r="AF2209" s="224"/>
      <c r="AG2209" s="224"/>
    </row>
    <row r="2210">
      <c r="AD2210" s="224"/>
      <c r="AE2210" s="224"/>
      <c r="AF2210" s="224"/>
      <c r="AG2210" s="224"/>
    </row>
    <row r="2211">
      <c r="AD2211" s="224"/>
      <c r="AE2211" s="224"/>
      <c r="AF2211" s="224"/>
      <c r="AG2211" s="224"/>
    </row>
    <row r="2212">
      <c r="AD2212" s="224"/>
      <c r="AE2212" s="224"/>
      <c r="AF2212" s="224"/>
      <c r="AG2212" s="224"/>
    </row>
    <row r="2213">
      <c r="AD2213" s="224"/>
      <c r="AE2213" s="224"/>
      <c r="AF2213" s="224"/>
      <c r="AG2213" s="224"/>
    </row>
    <row r="2214">
      <c r="AD2214" s="224"/>
      <c r="AE2214" s="224"/>
      <c r="AF2214" s="224"/>
      <c r="AG2214" s="224"/>
    </row>
    <row r="2215">
      <c r="AD2215" s="224"/>
      <c r="AE2215" s="224"/>
      <c r="AF2215" s="224"/>
      <c r="AG2215" s="224"/>
    </row>
    <row r="2216">
      <c r="AD2216" s="224"/>
      <c r="AE2216" s="224"/>
      <c r="AF2216" s="224"/>
      <c r="AG2216" s="224"/>
    </row>
    <row r="2217">
      <c r="AD2217" s="224"/>
      <c r="AE2217" s="224"/>
      <c r="AF2217" s="224"/>
      <c r="AG2217" s="224"/>
    </row>
    <row r="2218">
      <c r="AD2218" s="224"/>
      <c r="AE2218" s="224"/>
      <c r="AF2218" s="224"/>
      <c r="AG2218" s="224"/>
    </row>
    <row r="2219">
      <c r="AD2219" s="224"/>
      <c r="AE2219" s="224"/>
      <c r="AF2219" s="224"/>
      <c r="AG2219" s="224"/>
    </row>
    <row r="2220">
      <c r="AD2220" s="224"/>
      <c r="AE2220" s="224"/>
      <c r="AF2220" s="224"/>
      <c r="AG2220" s="224"/>
    </row>
    <row r="2221">
      <c r="AD2221" s="224"/>
      <c r="AE2221" s="224"/>
      <c r="AF2221" s="224"/>
      <c r="AG2221" s="224"/>
    </row>
    <row r="2222">
      <c r="AD2222" s="224"/>
      <c r="AE2222" s="224"/>
      <c r="AF2222" s="224"/>
      <c r="AG2222" s="224"/>
    </row>
    <row r="2223">
      <c r="AD2223" s="224"/>
      <c r="AE2223" s="224"/>
      <c r="AF2223" s="224"/>
      <c r="AG2223" s="224"/>
    </row>
    <row r="2224">
      <c r="AD2224" s="224"/>
      <c r="AE2224" s="224"/>
      <c r="AF2224" s="224"/>
      <c r="AG2224" s="224"/>
    </row>
    <row r="2225">
      <c r="AD2225" s="224"/>
      <c r="AE2225" s="224"/>
      <c r="AF2225" s="224"/>
      <c r="AG2225" s="224"/>
    </row>
    <row r="2226">
      <c r="AD2226" s="224"/>
      <c r="AE2226" s="224"/>
      <c r="AF2226" s="224"/>
      <c r="AG2226" s="224"/>
    </row>
    <row r="2227">
      <c r="AD2227" s="224"/>
      <c r="AE2227" s="224"/>
      <c r="AF2227" s="224"/>
      <c r="AG2227" s="224"/>
    </row>
    <row r="2228">
      <c r="AD2228" s="224"/>
      <c r="AE2228" s="224"/>
      <c r="AF2228" s="224"/>
      <c r="AG2228" s="224"/>
    </row>
    <row r="2229">
      <c r="AD2229" s="224"/>
      <c r="AE2229" s="224"/>
      <c r="AF2229" s="224"/>
      <c r="AG2229" s="224"/>
    </row>
    <row r="2230">
      <c r="AD2230" s="224"/>
      <c r="AE2230" s="224"/>
      <c r="AF2230" s="224"/>
      <c r="AG2230" s="224"/>
    </row>
    <row r="2231">
      <c r="AD2231" s="224"/>
      <c r="AE2231" s="224"/>
      <c r="AF2231" s="224"/>
      <c r="AG2231" s="224"/>
    </row>
    <row r="2232">
      <c r="AD2232" s="224"/>
      <c r="AE2232" s="224"/>
      <c r="AF2232" s="224"/>
      <c r="AG2232" s="224"/>
    </row>
    <row r="2233">
      <c r="AD2233" s="224"/>
      <c r="AE2233" s="224"/>
      <c r="AF2233" s="224"/>
      <c r="AG2233" s="224"/>
    </row>
    <row r="2234">
      <c r="AD2234" s="224"/>
      <c r="AE2234" s="224"/>
      <c r="AF2234" s="224"/>
      <c r="AG2234" s="224"/>
    </row>
    <row r="2235">
      <c r="AD2235" s="224"/>
      <c r="AE2235" s="224"/>
      <c r="AF2235" s="224"/>
      <c r="AG2235" s="224"/>
    </row>
    <row r="2236">
      <c r="AD2236" s="224"/>
      <c r="AE2236" s="224"/>
      <c r="AF2236" s="224"/>
      <c r="AG2236" s="224"/>
    </row>
    <row r="2237">
      <c r="AD2237" s="224"/>
      <c r="AE2237" s="224"/>
      <c r="AF2237" s="224"/>
      <c r="AG2237" s="224"/>
    </row>
    <row r="2238">
      <c r="AD2238" s="224"/>
      <c r="AE2238" s="224"/>
      <c r="AF2238" s="224"/>
      <c r="AG2238" s="224"/>
    </row>
    <row r="2239">
      <c r="AD2239" s="224"/>
      <c r="AE2239" s="224"/>
      <c r="AF2239" s="224"/>
      <c r="AG2239" s="224"/>
    </row>
    <row r="2240">
      <c r="AD2240" s="224"/>
      <c r="AE2240" s="224"/>
      <c r="AF2240" s="224"/>
      <c r="AG2240" s="224"/>
    </row>
    <row r="2241">
      <c r="AD2241" s="224"/>
      <c r="AE2241" s="224"/>
      <c r="AF2241" s="224"/>
      <c r="AG2241" s="224"/>
    </row>
    <row r="2242">
      <c r="AD2242" s="224"/>
      <c r="AE2242" s="224"/>
      <c r="AF2242" s="224"/>
      <c r="AG2242" s="224"/>
    </row>
    <row r="2243">
      <c r="AD2243" s="224"/>
      <c r="AE2243" s="224"/>
      <c r="AF2243" s="224"/>
      <c r="AG2243" s="224"/>
    </row>
    <row r="2244">
      <c r="AD2244" s="224"/>
      <c r="AE2244" s="224"/>
      <c r="AF2244" s="224"/>
      <c r="AG2244" s="224"/>
    </row>
    <row r="2245">
      <c r="AD2245" s="224"/>
      <c r="AE2245" s="224"/>
      <c r="AF2245" s="224"/>
      <c r="AG2245" s="224"/>
    </row>
    <row r="2246">
      <c r="AD2246" s="224"/>
      <c r="AE2246" s="224"/>
      <c r="AF2246" s="224"/>
      <c r="AG2246" s="224"/>
    </row>
    <row r="2247">
      <c r="AD2247" s="224"/>
      <c r="AE2247" s="224"/>
      <c r="AF2247" s="224"/>
      <c r="AG2247" s="224"/>
    </row>
    <row r="2248">
      <c r="AD2248" s="224"/>
      <c r="AE2248" s="224"/>
      <c r="AF2248" s="224"/>
      <c r="AG2248" s="224"/>
    </row>
    <row r="2249">
      <c r="AD2249" s="224"/>
      <c r="AE2249" s="224"/>
      <c r="AF2249" s="224"/>
      <c r="AG2249" s="224"/>
    </row>
    <row r="2250">
      <c r="AD2250" s="224"/>
      <c r="AE2250" s="224"/>
      <c r="AF2250" s="224"/>
      <c r="AG2250" s="224"/>
    </row>
    <row r="2251">
      <c r="AD2251" s="224"/>
      <c r="AE2251" s="224"/>
      <c r="AF2251" s="224"/>
      <c r="AG2251" s="224"/>
    </row>
    <row r="2252">
      <c r="AD2252" s="224"/>
      <c r="AE2252" s="224"/>
      <c r="AF2252" s="224"/>
      <c r="AG2252" s="224"/>
    </row>
    <row r="2253">
      <c r="AD2253" s="224"/>
      <c r="AE2253" s="224"/>
      <c r="AF2253" s="224"/>
      <c r="AG2253" s="224"/>
    </row>
    <row r="2254">
      <c r="AD2254" s="224"/>
      <c r="AE2254" s="224"/>
      <c r="AF2254" s="224"/>
      <c r="AG2254" s="224"/>
    </row>
    <row r="2255">
      <c r="AD2255" s="224"/>
      <c r="AE2255" s="224"/>
      <c r="AF2255" s="224"/>
      <c r="AG2255" s="224"/>
    </row>
    <row r="2256">
      <c r="AD2256" s="224"/>
      <c r="AE2256" s="224"/>
      <c r="AF2256" s="224"/>
      <c r="AG2256" s="224"/>
    </row>
    <row r="2257">
      <c r="AD2257" s="224"/>
      <c r="AE2257" s="224"/>
      <c r="AF2257" s="224"/>
      <c r="AG2257" s="224"/>
    </row>
    <row r="2258">
      <c r="AD2258" s="224"/>
      <c r="AE2258" s="224"/>
      <c r="AF2258" s="224"/>
      <c r="AG2258" s="224"/>
    </row>
    <row r="2259">
      <c r="AD2259" s="224"/>
      <c r="AE2259" s="224"/>
      <c r="AF2259" s="224"/>
      <c r="AG2259" s="224"/>
    </row>
    <row r="2260">
      <c r="AD2260" s="224"/>
      <c r="AE2260" s="224"/>
      <c r="AF2260" s="224"/>
      <c r="AG2260" s="224"/>
    </row>
    <row r="2261">
      <c r="AD2261" s="224"/>
      <c r="AE2261" s="224"/>
      <c r="AF2261" s="224"/>
      <c r="AG2261" s="224"/>
    </row>
    <row r="2262">
      <c r="AD2262" s="224"/>
      <c r="AE2262" s="224"/>
      <c r="AF2262" s="224"/>
      <c r="AG2262" s="224"/>
    </row>
    <row r="2263">
      <c r="AD2263" s="224"/>
      <c r="AE2263" s="224"/>
      <c r="AF2263" s="224"/>
      <c r="AG2263" s="224"/>
    </row>
    <row r="2264">
      <c r="AD2264" s="224"/>
      <c r="AE2264" s="224"/>
      <c r="AF2264" s="224"/>
      <c r="AG2264" s="224"/>
    </row>
    <row r="2265">
      <c r="AD2265" s="224"/>
      <c r="AE2265" s="224"/>
      <c r="AF2265" s="224"/>
      <c r="AG2265" s="224"/>
    </row>
    <row r="2266">
      <c r="AD2266" s="224"/>
      <c r="AE2266" s="224"/>
      <c r="AF2266" s="224"/>
      <c r="AG2266" s="224"/>
    </row>
    <row r="2267">
      <c r="AD2267" s="224"/>
      <c r="AE2267" s="224"/>
      <c r="AF2267" s="224"/>
      <c r="AG2267" s="224"/>
    </row>
    <row r="2268">
      <c r="AD2268" s="224"/>
      <c r="AE2268" s="224"/>
      <c r="AF2268" s="224"/>
      <c r="AG2268" s="224"/>
    </row>
    <row r="2269">
      <c r="AD2269" s="224"/>
      <c r="AE2269" s="224"/>
      <c r="AF2269" s="224"/>
      <c r="AG2269" s="224"/>
    </row>
    <row r="2270">
      <c r="AD2270" s="224"/>
      <c r="AE2270" s="224"/>
      <c r="AF2270" s="224"/>
      <c r="AG2270" s="224"/>
    </row>
    <row r="2271">
      <c r="AD2271" s="224"/>
      <c r="AE2271" s="224"/>
      <c r="AF2271" s="224"/>
      <c r="AG2271" s="224"/>
    </row>
    <row r="2272">
      <c r="AD2272" s="224"/>
      <c r="AE2272" s="224"/>
      <c r="AF2272" s="224"/>
      <c r="AG2272" s="224"/>
    </row>
    <row r="2273">
      <c r="AD2273" s="224"/>
      <c r="AE2273" s="224"/>
      <c r="AF2273" s="224"/>
      <c r="AG2273" s="224"/>
    </row>
    <row r="2274">
      <c r="AD2274" s="224"/>
      <c r="AE2274" s="224"/>
      <c r="AF2274" s="224"/>
      <c r="AG2274" s="224"/>
    </row>
    <row r="2275">
      <c r="AD2275" s="224"/>
      <c r="AE2275" s="224"/>
      <c r="AF2275" s="224"/>
      <c r="AG2275" s="224"/>
    </row>
    <row r="2276">
      <c r="AD2276" s="224"/>
      <c r="AE2276" s="224"/>
      <c r="AF2276" s="224"/>
      <c r="AG2276" s="224"/>
    </row>
    <row r="2277">
      <c r="AD2277" s="224"/>
      <c r="AE2277" s="224"/>
      <c r="AF2277" s="224"/>
      <c r="AG2277" s="224"/>
    </row>
    <row r="2278">
      <c r="AD2278" s="224"/>
      <c r="AE2278" s="224"/>
      <c r="AF2278" s="224"/>
      <c r="AG2278" s="224"/>
    </row>
    <row r="2279">
      <c r="AD2279" s="224"/>
      <c r="AE2279" s="224"/>
      <c r="AF2279" s="224"/>
      <c r="AG2279" s="224"/>
    </row>
    <row r="2280">
      <c r="AD2280" s="224"/>
      <c r="AE2280" s="224"/>
      <c r="AF2280" s="224"/>
      <c r="AG2280" s="224"/>
    </row>
    <row r="2281">
      <c r="AD2281" s="224"/>
      <c r="AE2281" s="224"/>
      <c r="AF2281" s="224"/>
      <c r="AG2281" s="224"/>
    </row>
    <row r="2282">
      <c r="AD2282" s="224"/>
      <c r="AE2282" s="224"/>
      <c r="AF2282" s="224"/>
      <c r="AG2282" s="224"/>
    </row>
    <row r="2283">
      <c r="AD2283" s="224"/>
      <c r="AE2283" s="224"/>
      <c r="AF2283" s="224"/>
      <c r="AG2283" s="224"/>
    </row>
    <row r="2284">
      <c r="AD2284" s="224"/>
      <c r="AE2284" s="224"/>
      <c r="AF2284" s="224"/>
      <c r="AG2284" s="224"/>
    </row>
    <row r="2285">
      <c r="AD2285" s="224"/>
      <c r="AE2285" s="224"/>
      <c r="AF2285" s="224"/>
      <c r="AG2285" s="224"/>
    </row>
    <row r="2286">
      <c r="AD2286" s="224"/>
      <c r="AE2286" s="224"/>
      <c r="AF2286" s="224"/>
      <c r="AG2286" s="224"/>
    </row>
    <row r="2287">
      <c r="AD2287" s="224"/>
      <c r="AE2287" s="224"/>
      <c r="AF2287" s="224"/>
      <c r="AG2287" s="224"/>
    </row>
    <row r="2288">
      <c r="AD2288" s="224"/>
      <c r="AE2288" s="224"/>
      <c r="AF2288" s="224"/>
      <c r="AG2288" s="224"/>
    </row>
    <row r="2289">
      <c r="AD2289" s="224"/>
      <c r="AE2289" s="224"/>
      <c r="AF2289" s="224"/>
      <c r="AG2289" s="224"/>
    </row>
    <row r="2290">
      <c r="AD2290" s="224"/>
      <c r="AE2290" s="224"/>
      <c r="AF2290" s="224"/>
      <c r="AG2290" s="224"/>
    </row>
    <row r="2291">
      <c r="AD2291" s="224"/>
      <c r="AE2291" s="224"/>
      <c r="AF2291" s="224"/>
      <c r="AG2291" s="224"/>
    </row>
    <row r="2292">
      <c r="AD2292" s="224"/>
      <c r="AE2292" s="224"/>
      <c r="AF2292" s="224"/>
      <c r="AG2292" s="224"/>
    </row>
    <row r="2293">
      <c r="AD2293" s="224"/>
      <c r="AE2293" s="224"/>
      <c r="AF2293" s="224"/>
      <c r="AG2293" s="224"/>
    </row>
    <row r="2294">
      <c r="AD2294" s="224"/>
      <c r="AE2294" s="224"/>
      <c r="AF2294" s="224"/>
      <c r="AG2294" s="224"/>
    </row>
    <row r="2295">
      <c r="AD2295" s="224"/>
      <c r="AE2295" s="224"/>
      <c r="AF2295" s="224"/>
      <c r="AG2295" s="224"/>
    </row>
    <row r="2296">
      <c r="AD2296" s="224"/>
      <c r="AE2296" s="224"/>
      <c r="AF2296" s="224"/>
      <c r="AG2296" s="224"/>
    </row>
    <row r="2297">
      <c r="AD2297" s="224"/>
      <c r="AE2297" s="224"/>
      <c r="AF2297" s="224"/>
      <c r="AG2297" s="224"/>
    </row>
    <row r="2298">
      <c r="AD2298" s="224"/>
      <c r="AE2298" s="224"/>
      <c r="AF2298" s="224"/>
      <c r="AG2298" s="224"/>
    </row>
    <row r="2299">
      <c r="AD2299" s="224"/>
      <c r="AE2299" s="224"/>
      <c r="AF2299" s="224"/>
      <c r="AG2299" s="224"/>
    </row>
    <row r="2300">
      <c r="AD2300" s="224"/>
      <c r="AE2300" s="224"/>
      <c r="AF2300" s="224"/>
      <c r="AG2300" s="224"/>
    </row>
    <row r="2301">
      <c r="AD2301" s="224"/>
      <c r="AE2301" s="224"/>
      <c r="AF2301" s="224"/>
      <c r="AG2301" s="224"/>
    </row>
    <row r="2302">
      <c r="AD2302" s="224"/>
      <c r="AE2302" s="224"/>
      <c r="AF2302" s="224"/>
      <c r="AG2302" s="224"/>
    </row>
    <row r="2303">
      <c r="AD2303" s="224"/>
      <c r="AE2303" s="224"/>
      <c r="AF2303" s="224"/>
      <c r="AG2303" s="224"/>
    </row>
    <row r="2304">
      <c r="AD2304" s="224"/>
      <c r="AE2304" s="224"/>
      <c r="AF2304" s="224"/>
      <c r="AG2304" s="224"/>
    </row>
    <row r="2305">
      <c r="AD2305" s="224"/>
      <c r="AE2305" s="224"/>
      <c r="AF2305" s="224"/>
      <c r="AG2305" s="224"/>
    </row>
    <row r="2306">
      <c r="AD2306" s="224"/>
      <c r="AE2306" s="224"/>
      <c r="AF2306" s="224"/>
      <c r="AG2306" s="224"/>
    </row>
    <row r="2307">
      <c r="AD2307" s="224"/>
      <c r="AE2307" s="224"/>
      <c r="AF2307" s="224"/>
      <c r="AG2307" s="224"/>
    </row>
    <row r="2308">
      <c r="AD2308" s="224"/>
      <c r="AE2308" s="224"/>
      <c r="AF2308" s="224"/>
      <c r="AG2308" s="224"/>
    </row>
    <row r="2309">
      <c r="AD2309" s="224"/>
      <c r="AE2309" s="224"/>
      <c r="AF2309" s="224"/>
      <c r="AG2309" s="224"/>
    </row>
    <row r="2310">
      <c r="AD2310" s="224"/>
      <c r="AE2310" s="224"/>
      <c r="AF2310" s="224"/>
      <c r="AG2310" s="224"/>
    </row>
    <row r="2311">
      <c r="AD2311" s="224"/>
      <c r="AE2311" s="224"/>
      <c r="AF2311" s="224"/>
      <c r="AG2311" s="224"/>
    </row>
    <row r="2312">
      <c r="AD2312" s="224"/>
      <c r="AE2312" s="224"/>
      <c r="AF2312" s="224"/>
      <c r="AG2312" s="224"/>
    </row>
    <row r="2313">
      <c r="AD2313" s="224"/>
      <c r="AE2313" s="224"/>
      <c r="AF2313" s="224"/>
      <c r="AG2313" s="224"/>
    </row>
    <row r="2314">
      <c r="AD2314" s="224"/>
      <c r="AE2314" s="224"/>
      <c r="AF2314" s="224"/>
      <c r="AG2314" s="224"/>
    </row>
    <row r="2315">
      <c r="AD2315" s="224"/>
      <c r="AE2315" s="224"/>
      <c r="AF2315" s="224"/>
      <c r="AG2315" s="224"/>
    </row>
    <row r="2316">
      <c r="AD2316" s="224"/>
      <c r="AE2316" s="224"/>
      <c r="AF2316" s="224"/>
      <c r="AG2316" s="224"/>
    </row>
    <row r="2317">
      <c r="AD2317" s="224"/>
      <c r="AE2317" s="224"/>
      <c r="AF2317" s="224"/>
      <c r="AG2317" s="224"/>
    </row>
    <row r="2318">
      <c r="AD2318" s="224"/>
      <c r="AE2318" s="224"/>
      <c r="AF2318" s="224"/>
      <c r="AG2318" s="224"/>
    </row>
    <row r="2319">
      <c r="AD2319" s="224"/>
      <c r="AE2319" s="224"/>
      <c r="AF2319" s="224"/>
      <c r="AG2319" s="224"/>
    </row>
    <row r="2320">
      <c r="AD2320" s="224"/>
      <c r="AE2320" s="224"/>
      <c r="AF2320" s="224"/>
      <c r="AG2320" s="224"/>
    </row>
    <row r="2321">
      <c r="AD2321" s="224"/>
      <c r="AE2321" s="224"/>
      <c r="AF2321" s="224"/>
      <c r="AG2321" s="224"/>
    </row>
    <row r="2322">
      <c r="AD2322" s="224"/>
      <c r="AE2322" s="224"/>
      <c r="AF2322" s="224"/>
      <c r="AG2322" s="224"/>
    </row>
    <row r="2323">
      <c r="AD2323" s="224"/>
      <c r="AE2323" s="224"/>
      <c r="AF2323" s="224"/>
      <c r="AG2323" s="224"/>
    </row>
    <row r="2324">
      <c r="AD2324" s="224"/>
      <c r="AE2324" s="224"/>
      <c r="AF2324" s="224"/>
      <c r="AG2324" s="224"/>
    </row>
    <row r="2325">
      <c r="AD2325" s="224"/>
      <c r="AE2325" s="224"/>
      <c r="AF2325" s="224"/>
      <c r="AG2325" s="224"/>
    </row>
    <row r="2326">
      <c r="AD2326" s="224"/>
      <c r="AE2326" s="224"/>
      <c r="AF2326" s="224"/>
      <c r="AG2326" s="224"/>
    </row>
    <row r="2327">
      <c r="AD2327" s="224"/>
      <c r="AE2327" s="224"/>
      <c r="AF2327" s="224"/>
      <c r="AG2327" s="224"/>
    </row>
    <row r="2328">
      <c r="AD2328" s="224"/>
      <c r="AE2328" s="224"/>
      <c r="AF2328" s="224"/>
      <c r="AG2328" s="224"/>
    </row>
    <row r="2329">
      <c r="AD2329" s="224"/>
      <c r="AE2329" s="224"/>
      <c r="AF2329" s="224"/>
      <c r="AG2329" s="224"/>
    </row>
    <row r="2330">
      <c r="AD2330" s="224"/>
      <c r="AE2330" s="224"/>
      <c r="AF2330" s="224"/>
      <c r="AG2330" s="224"/>
    </row>
    <row r="2331">
      <c r="AD2331" s="224"/>
      <c r="AE2331" s="224"/>
      <c r="AF2331" s="224"/>
      <c r="AG2331" s="224"/>
    </row>
    <row r="2332">
      <c r="AD2332" s="224"/>
      <c r="AE2332" s="224"/>
      <c r="AF2332" s="224"/>
      <c r="AG2332" s="224"/>
    </row>
    <row r="2333">
      <c r="AD2333" s="224"/>
      <c r="AE2333" s="224"/>
      <c r="AF2333" s="224"/>
      <c r="AG2333" s="224"/>
    </row>
    <row r="2334">
      <c r="AD2334" s="224"/>
      <c r="AE2334" s="224"/>
      <c r="AF2334" s="224"/>
      <c r="AG2334" s="224"/>
    </row>
    <row r="2335">
      <c r="AD2335" s="224"/>
      <c r="AE2335" s="224"/>
      <c r="AF2335" s="224"/>
      <c r="AG2335" s="224"/>
    </row>
    <row r="2336">
      <c r="AD2336" s="224"/>
      <c r="AE2336" s="224"/>
      <c r="AF2336" s="224"/>
      <c r="AG2336" s="224"/>
    </row>
    <row r="2337">
      <c r="AD2337" s="224"/>
      <c r="AE2337" s="224"/>
      <c r="AF2337" s="224"/>
      <c r="AG2337" s="224"/>
    </row>
    <row r="2338">
      <c r="AD2338" s="224"/>
      <c r="AE2338" s="224"/>
      <c r="AF2338" s="224"/>
      <c r="AG2338" s="224"/>
    </row>
    <row r="2339">
      <c r="AD2339" s="224"/>
      <c r="AE2339" s="224"/>
      <c r="AF2339" s="224"/>
      <c r="AG2339" s="224"/>
    </row>
    <row r="2340">
      <c r="AD2340" s="224"/>
      <c r="AE2340" s="224"/>
      <c r="AF2340" s="224"/>
      <c r="AG2340" s="224"/>
    </row>
    <row r="2341">
      <c r="AD2341" s="224"/>
      <c r="AE2341" s="224"/>
      <c r="AF2341" s="224"/>
      <c r="AG2341" s="224"/>
    </row>
    <row r="2342">
      <c r="AD2342" s="224"/>
      <c r="AE2342" s="224"/>
      <c r="AF2342" s="224"/>
      <c r="AG2342" s="224"/>
    </row>
    <row r="2343">
      <c r="AD2343" s="224"/>
      <c r="AE2343" s="224"/>
      <c r="AF2343" s="224"/>
      <c r="AG2343" s="224"/>
    </row>
    <row r="2344">
      <c r="AD2344" s="224"/>
      <c r="AE2344" s="224"/>
      <c r="AF2344" s="224"/>
      <c r="AG2344" s="224"/>
    </row>
    <row r="2345">
      <c r="AD2345" s="224"/>
      <c r="AE2345" s="224"/>
      <c r="AF2345" s="224"/>
      <c r="AG2345" s="224"/>
    </row>
    <row r="2346">
      <c r="AD2346" s="224"/>
      <c r="AE2346" s="224"/>
      <c r="AF2346" s="224"/>
      <c r="AG2346" s="224"/>
    </row>
    <row r="2347">
      <c r="AD2347" s="224"/>
      <c r="AE2347" s="224"/>
      <c r="AF2347" s="224"/>
      <c r="AG2347" s="224"/>
    </row>
    <row r="2348">
      <c r="AD2348" s="224"/>
      <c r="AE2348" s="224"/>
      <c r="AF2348" s="224"/>
      <c r="AG2348" s="224"/>
    </row>
    <row r="2349">
      <c r="AD2349" s="224"/>
      <c r="AE2349" s="224"/>
      <c r="AF2349" s="224"/>
      <c r="AG2349" s="224"/>
    </row>
    <row r="2350">
      <c r="AD2350" s="224"/>
      <c r="AE2350" s="224"/>
      <c r="AF2350" s="224"/>
      <c r="AG2350" s="224"/>
    </row>
    <row r="2351">
      <c r="AD2351" s="224"/>
      <c r="AE2351" s="224"/>
      <c r="AF2351" s="224"/>
      <c r="AG2351" s="224"/>
    </row>
    <row r="2352">
      <c r="AD2352" s="224"/>
      <c r="AE2352" s="224"/>
      <c r="AF2352" s="224"/>
      <c r="AG2352" s="224"/>
    </row>
    <row r="2353">
      <c r="AD2353" s="224"/>
      <c r="AE2353" s="224"/>
      <c r="AF2353" s="224"/>
      <c r="AG2353" s="224"/>
    </row>
    <row r="2354">
      <c r="AD2354" s="224"/>
      <c r="AE2354" s="224"/>
      <c r="AF2354" s="224"/>
      <c r="AG2354" s="224"/>
    </row>
    <row r="2355">
      <c r="AD2355" s="224"/>
      <c r="AE2355" s="224"/>
      <c r="AF2355" s="224"/>
      <c r="AG2355" s="224"/>
    </row>
    <row r="2356">
      <c r="AD2356" s="224"/>
      <c r="AE2356" s="224"/>
      <c r="AF2356" s="224"/>
      <c r="AG2356" s="224"/>
    </row>
    <row r="2357">
      <c r="AD2357" s="224"/>
      <c r="AE2357" s="224"/>
      <c r="AF2357" s="224"/>
      <c r="AG2357" s="224"/>
    </row>
    <row r="2358">
      <c r="AD2358" s="224"/>
      <c r="AE2358" s="224"/>
      <c r="AF2358" s="224"/>
      <c r="AG2358" s="224"/>
    </row>
    <row r="2359">
      <c r="AD2359" s="224"/>
      <c r="AE2359" s="224"/>
      <c r="AF2359" s="224"/>
      <c r="AG2359" s="224"/>
    </row>
    <row r="2360">
      <c r="AD2360" s="224"/>
      <c r="AE2360" s="224"/>
      <c r="AF2360" s="224"/>
      <c r="AG2360" s="224"/>
    </row>
    <row r="2361">
      <c r="AD2361" s="224"/>
      <c r="AE2361" s="224"/>
      <c r="AF2361" s="224"/>
      <c r="AG2361" s="224"/>
    </row>
    <row r="2362">
      <c r="AD2362" s="224"/>
      <c r="AE2362" s="224"/>
      <c r="AF2362" s="224"/>
      <c r="AG2362" s="224"/>
    </row>
    <row r="2363">
      <c r="AD2363" s="224"/>
      <c r="AE2363" s="224"/>
      <c r="AF2363" s="224"/>
      <c r="AG2363" s="224"/>
    </row>
    <row r="2364">
      <c r="AD2364" s="224"/>
      <c r="AE2364" s="224"/>
      <c r="AF2364" s="224"/>
      <c r="AG2364" s="224"/>
    </row>
    <row r="2365">
      <c r="AD2365" s="224"/>
      <c r="AE2365" s="224"/>
      <c r="AF2365" s="224"/>
      <c r="AG2365" s="224"/>
    </row>
    <row r="2366">
      <c r="AD2366" s="224"/>
      <c r="AE2366" s="224"/>
      <c r="AF2366" s="224"/>
      <c r="AG2366" s="224"/>
    </row>
    <row r="2367">
      <c r="AD2367" s="224"/>
      <c r="AE2367" s="224"/>
      <c r="AF2367" s="224"/>
      <c r="AG2367" s="224"/>
    </row>
    <row r="2368">
      <c r="AD2368" s="224"/>
      <c r="AE2368" s="224"/>
      <c r="AF2368" s="224"/>
      <c r="AG2368" s="224"/>
    </row>
    <row r="2369">
      <c r="AD2369" s="224"/>
      <c r="AE2369" s="224"/>
      <c r="AF2369" s="224"/>
      <c r="AG2369" s="224"/>
    </row>
    <row r="2370">
      <c r="AD2370" s="224"/>
      <c r="AE2370" s="224"/>
      <c r="AF2370" s="224"/>
      <c r="AG2370" s="224"/>
    </row>
    <row r="2371">
      <c r="AD2371" s="224"/>
      <c r="AE2371" s="224"/>
      <c r="AF2371" s="224"/>
      <c r="AG2371" s="224"/>
    </row>
    <row r="2372">
      <c r="AD2372" s="224"/>
      <c r="AE2372" s="224"/>
      <c r="AF2372" s="224"/>
      <c r="AG2372" s="224"/>
    </row>
    <row r="2373">
      <c r="AD2373" s="224"/>
      <c r="AE2373" s="224"/>
      <c r="AF2373" s="224"/>
      <c r="AG2373" s="224"/>
    </row>
    <row r="2374">
      <c r="AD2374" s="224"/>
      <c r="AE2374" s="224"/>
      <c r="AF2374" s="224"/>
      <c r="AG2374" s="224"/>
    </row>
    <row r="2375">
      <c r="AD2375" s="224"/>
      <c r="AE2375" s="224"/>
      <c r="AF2375" s="224"/>
      <c r="AG2375" s="224"/>
    </row>
    <row r="2376">
      <c r="AD2376" s="224"/>
      <c r="AE2376" s="224"/>
      <c r="AF2376" s="224"/>
      <c r="AG2376" s="224"/>
    </row>
    <row r="2377">
      <c r="AD2377" s="224"/>
      <c r="AE2377" s="224"/>
      <c r="AF2377" s="224"/>
      <c r="AG2377" s="224"/>
    </row>
    <row r="2378">
      <c r="AD2378" s="224"/>
      <c r="AE2378" s="224"/>
      <c r="AF2378" s="224"/>
      <c r="AG2378" s="224"/>
    </row>
    <row r="2379">
      <c r="AD2379" s="224"/>
      <c r="AE2379" s="224"/>
      <c r="AF2379" s="224"/>
      <c r="AG2379" s="224"/>
    </row>
    <row r="2380">
      <c r="AD2380" s="224"/>
      <c r="AE2380" s="224"/>
      <c r="AF2380" s="224"/>
      <c r="AG2380" s="224"/>
    </row>
    <row r="2381">
      <c r="AD2381" s="224"/>
      <c r="AE2381" s="224"/>
      <c r="AF2381" s="224"/>
      <c r="AG2381" s="224"/>
    </row>
    <row r="2382">
      <c r="AD2382" s="224"/>
      <c r="AE2382" s="224"/>
      <c r="AF2382" s="224"/>
      <c r="AG2382" s="224"/>
    </row>
    <row r="2383">
      <c r="AD2383" s="224"/>
      <c r="AE2383" s="224"/>
      <c r="AF2383" s="224"/>
      <c r="AG2383" s="224"/>
    </row>
    <row r="2384">
      <c r="AD2384" s="224"/>
      <c r="AE2384" s="224"/>
      <c r="AF2384" s="224"/>
      <c r="AG2384" s="224"/>
    </row>
    <row r="2385">
      <c r="AD2385" s="224"/>
      <c r="AE2385" s="224"/>
      <c r="AF2385" s="224"/>
      <c r="AG2385" s="224"/>
    </row>
    <row r="2386">
      <c r="AD2386" s="224"/>
      <c r="AE2386" s="224"/>
      <c r="AF2386" s="224"/>
      <c r="AG2386" s="224"/>
    </row>
    <row r="2387">
      <c r="AD2387" s="224"/>
      <c r="AE2387" s="224"/>
      <c r="AF2387" s="224"/>
      <c r="AG2387" s="224"/>
    </row>
    <row r="2388">
      <c r="AD2388" s="224"/>
      <c r="AE2388" s="224"/>
      <c r="AF2388" s="224"/>
      <c r="AG2388" s="224"/>
    </row>
    <row r="2389">
      <c r="AD2389" s="224"/>
      <c r="AE2389" s="224"/>
      <c r="AF2389" s="224"/>
      <c r="AG2389" s="224"/>
    </row>
    <row r="2390">
      <c r="AD2390" s="224"/>
      <c r="AE2390" s="224"/>
      <c r="AF2390" s="224"/>
      <c r="AG2390" s="224"/>
    </row>
    <row r="2391">
      <c r="AD2391" s="224"/>
      <c r="AE2391" s="224"/>
      <c r="AF2391" s="224"/>
      <c r="AG2391" s="224"/>
    </row>
    <row r="2392">
      <c r="AD2392" s="224"/>
      <c r="AE2392" s="224"/>
      <c r="AF2392" s="224"/>
      <c r="AG2392" s="224"/>
    </row>
    <row r="2393">
      <c r="AD2393" s="224"/>
      <c r="AE2393" s="224"/>
      <c r="AF2393" s="224"/>
      <c r="AG2393" s="224"/>
    </row>
    <row r="2394">
      <c r="AD2394" s="224"/>
      <c r="AE2394" s="224"/>
      <c r="AF2394" s="224"/>
      <c r="AG2394" s="224"/>
    </row>
    <row r="2395">
      <c r="AD2395" s="224"/>
      <c r="AE2395" s="224"/>
      <c r="AF2395" s="224"/>
      <c r="AG2395" s="224"/>
    </row>
    <row r="2396">
      <c r="AD2396" s="224"/>
      <c r="AE2396" s="224"/>
      <c r="AF2396" s="224"/>
      <c r="AG2396" s="224"/>
    </row>
    <row r="2397">
      <c r="AD2397" s="224"/>
      <c r="AE2397" s="224"/>
      <c r="AF2397" s="224"/>
      <c r="AG2397" s="224"/>
    </row>
    <row r="2398">
      <c r="AD2398" s="224"/>
      <c r="AE2398" s="224"/>
      <c r="AF2398" s="224"/>
      <c r="AG2398" s="224"/>
    </row>
    <row r="2399">
      <c r="AD2399" s="224"/>
      <c r="AE2399" s="224"/>
      <c r="AF2399" s="224"/>
      <c r="AG2399" s="224"/>
    </row>
    <row r="2400">
      <c r="AD2400" s="224"/>
      <c r="AE2400" s="224"/>
      <c r="AF2400" s="224"/>
      <c r="AG2400" s="224"/>
    </row>
    <row r="2401">
      <c r="AD2401" s="224"/>
      <c r="AE2401" s="224"/>
      <c r="AF2401" s="224"/>
      <c r="AG2401" s="224"/>
    </row>
    <row r="2402">
      <c r="AD2402" s="224"/>
      <c r="AE2402" s="224"/>
      <c r="AF2402" s="224"/>
      <c r="AG2402" s="224"/>
    </row>
    <row r="2403">
      <c r="AD2403" s="224"/>
      <c r="AE2403" s="224"/>
      <c r="AF2403" s="224"/>
      <c r="AG2403" s="224"/>
    </row>
    <row r="2404">
      <c r="AD2404" s="224"/>
      <c r="AE2404" s="224"/>
      <c r="AF2404" s="224"/>
      <c r="AG2404" s="224"/>
    </row>
    <row r="2405">
      <c r="AD2405" s="224"/>
      <c r="AE2405" s="224"/>
      <c r="AF2405" s="224"/>
      <c r="AG2405" s="224"/>
    </row>
    <row r="2406">
      <c r="AD2406" s="224"/>
      <c r="AE2406" s="224"/>
      <c r="AF2406" s="224"/>
      <c r="AG2406" s="224"/>
    </row>
    <row r="2407">
      <c r="AD2407" s="224"/>
      <c r="AE2407" s="224"/>
      <c r="AF2407" s="224"/>
      <c r="AG2407" s="224"/>
    </row>
    <row r="2408">
      <c r="AD2408" s="224"/>
      <c r="AE2408" s="224"/>
      <c r="AF2408" s="224"/>
      <c r="AG2408" s="224"/>
    </row>
    <row r="2409">
      <c r="AD2409" s="224"/>
      <c r="AE2409" s="224"/>
      <c r="AF2409" s="224"/>
      <c r="AG2409" s="224"/>
    </row>
    <row r="2410">
      <c r="AD2410" s="224"/>
      <c r="AE2410" s="224"/>
      <c r="AF2410" s="224"/>
      <c r="AG2410" s="224"/>
    </row>
    <row r="2411">
      <c r="AD2411" s="224"/>
      <c r="AE2411" s="224"/>
      <c r="AF2411" s="224"/>
      <c r="AG2411" s="224"/>
    </row>
    <row r="2412">
      <c r="AD2412" s="224"/>
      <c r="AE2412" s="224"/>
      <c r="AF2412" s="224"/>
      <c r="AG2412" s="224"/>
    </row>
    <row r="2413">
      <c r="AD2413" s="224"/>
      <c r="AE2413" s="224"/>
      <c r="AF2413" s="224"/>
      <c r="AG2413" s="224"/>
    </row>
    <row r="2414">
      <c r="AD2414" s="224"/>
      <c r="AE2414" s="224"/>
      <c r="AF2414" s="224"/>
      <c r="AG2414" s="224"/>
    </row>
    <row r="2415">
      <c r="AD2415" s="224"/>
      <c r="AE2415" s="224"/>
      <c r="AF2415" s="224"/>
      <c r="AG2415" s="224"/>
    </row>
    <row r="2416">
      <c r="AD2416" s="224"/>
      <c r="AE2416" s="224"/>
      <c r="AF2416" s="224"/>
      <c r="AG2416" s="224"/>
    </row>
    <row r="2417">
      <c r="AD2417" s="224"/>
      <c r="AE2417" s="224"/>
      <c r="AF2417" s="224"/>
      <c r="AG2417" s="224"/>
    </row>
    <row r="2418">
      <c r="AD2418" s="224"/>
      <c r="AE2418" s="224"/>
      <c r="AF2418" s="224"/>
      <c r="AG2418" s="224"/>
    </row>
    <row r="2419">
      <c r="AD2419" s="224"/>
      <c r="AE2419" s="224"/>
      <c r="AF2419" s="224"/>
      <c r="AG2419" s="224"/>
    </row>
    <row r="2420">
      <c r="AD2420" s="224"/>
      <c r="AE2420" s="224"/>
      <c r="AF2420" s="224"/>
      <c r="AG2420" s="224"/>
    </row>
    <row r="2421">
      <c r="AD2421" s="224"/>
      <c r="AE2421" s="224"/>
      <c r="AF2421" s="224"/>
      <c r="AG2421" s="224"/>
    </row>
    <row r="2422">
      <c r="AD2422" s="224"/>
      <c r="AE2422" s="224"/>
      <c r="AF2422" s="224"/>
      <c r="AG2422" s="224"/>
    </row>
    <row r="2423">
      <c r="AD2423" s="224"/>
      <c r="AE2423" s="224"/>
      <c r="AF2423" s="224"/>
      <c r="AG2423" s="224"/>
    </row>
    <row r="2424">
      <c r="AD2424" s="224"/>
      <c r="AE2424" s="224"/>
      <c r="AF2424" s="224"/>
      <c r="AG2424" s="224"/>
    </row>
    <row r="2425">
      <c r="AD2425" s="224"/>
      <c r="AE2425" s="224"/>
      <c r="AF2425" s="224"/>
      <c r="AG2425" s="224"/>
    </row>
    <row r="2426">
      <c r="AD2426" s="224"/>
      <c r="AE2426" s="224"/>
      <c r="AF2426" s="224"/>
      <c r="AG2426" s="224"/>
    </row>
    <row r="2427">
      <c r="AD2427" s="224"/>
      <c r="AE2427" s="224"/>
      <c r="AF2427" s="224"/>
      <c r="AG2427" s="224"/>
    </row>
    <row r="2428">
      <c r="AD2428" s="224"/>
      <c r="AE2428" s="224"/>
      <c r="AF2428" s="224"/>
      <c r="AG2428" s="224"/>
    </row>
    <row r="2429">
      <c r="AD2429" s="224"/>
      <c r="AE2429" s="224"/>
      <c r="AF2429" s="224"/>
      <c r="AG2429" s="224"/>
    </row>
    <row r="2430">
      <c r="AD2430" s="224"/>
      <c r="AE2430" s="224"/>
      <c r="AF2430" s="224"/>
      <c r="AG2430" s="224"/>
    </row>
    <row r="2431">
      <c r="AD2431" s="224"/>
      <c r="AE2431" s="224"/>
      <c r="AF2431" s="224"/>
      <c r="AG2431" s="224"/>
    </row>
    <row r="2432">
      <c r="AD2432" s="224"/>
      <c r="AE2432" s="224"/>
      <c r="AF2432" s="224"/>
      <c r="AG2432" s="224"/>
    </row>
    <row r="2433">
      <c r="AD2433" s="224"/>
      <c r="AE2433" s="224"/>
      <c r="AF2433" s="224"/>
      <c r="AG2433" s="224"/>
    </row>
    <row r="2434">
      <c r="AD2434" s="224"/>
      <c r="AE2434" s="224"/>
      <c r="AF2434" s="224"/>
      <c r="AG2434" s="224"/>
    </row>
    <row r="2435">
      <c r="AD2435" s="224"/>
      <c r="AE2435" s="224"/>
      <c r="AF2435" s="224"/>
      <c r="AG2435" s="224"/>
    </row>
    <row r="2436">
      <c r="AD2436" s="224"/>
      <c r="AE2436" s="224"/>
      <c r="AF2436" s="224"/>
      <c r="AG2436" s="224"/>
    </row>
    <row r="2437">
      <c r="AD2437" s="224"/>
      <c r="AE2437" s="224"/>
      <c r="AF2437" s="224"/>
      <c r="AG2437" s="224"/>
    </row>
    <row r="2438">
      <c r="AD2438" s="224"/>
      <c r="AE2438" s="224"/>
      <c r="AF2438" s="224"/>
      <c r="AG2438" s="224"/>
    </row>
    <row r="2439">
      <c r="AD2439" s="224"/>
      <c r="AE2439" s="224"/>
      <c r="AF2439" s="224"/>
      <c r="AG2439" s="224"/>
    </row>
    <row r="2440">
      <c r="AD2440" s="224"/>
      <c r="AE2440" s="224"/>
      <c r="AF2440" s="224"/>
      <c r="AG2440" s="224"/>
    </row>
    <row r="2441">
      <c r="AD2441" s="224"/>
      <c r="AE2441" s="224"/>
      <c r="AF2441" s="224"/>
      <c r="AG2441" s="224"/>
    </row>
    <row r="2442">
      <c r="AD2442" s="224"/>
      <c r="AE2442" s="224"/>
      <c r="AF2442" s="224"/>
      <c r="AG2442" s="224"/>
    </row>
    <row r="2443">
      <c r="AD2443" s="224"/>
      <c r="AE2443" s="224"/>
      <c r="AF2443" s="224"/>
      <c r="AG2443" s="224"/>
    </row>
    <row r="2444">
      <c r="AD2444" s="224"/>
      <c r="AE2444" s="224"/>
      <c r="AF2444" s="224"/>
      <c r="AG2444" s="224"/>
    </row>
    <row r="2445">
      <c r="AD2445" s="224"/>
      <c r="AE2445" s="224"/>
      <c r="AF2445" s="224"/>
      <c r="AG2445" s="224"/>
    </row>
    <row r="2446">
      <c r="AD2446" s="224"/>
      <c r="AE2446" s="224"/>
      <c r="AF2446" s="224"/>
      <c r="AG2446" s="224"/>
    </row>
    <row r="2447">
      <c r="AD2447" s="224"/>
      <c r="AE2447" s="224"/>
      <c r="AF2447" s="224"/>
      <c r="AG2447" s="224"/>
    </row>
    <row r="2448">
      <c r="AD2448" s="224"/>
      <c r="AE2448" s="224"/>
      <c r="AF2448" s="224"/>
      <c r="AG2448" s="224"/>
    </row>
    <row r="2449">
      <c r="AD2449" s="224"/>
      <c r="AE2449" s="224"/>
      <c r="AF2449" s="224"/>
      <c r="AG2449" s="224"/>
    </row>
    <row r="2450">
      <c r="AD2450" s="224"/>
      <c r="AE2450" s="224"/>
      <c r="AF2450" s="224"/>
      <c r="AG2450" s="224"/>
    </row>
    <row r="2451">
      <c r="AD2451" s="224"/>
      <c r="AE2451" s="224"/>
      <c r="AF2451" s="224"/>
      <c r="AG2451" s="224"/>
    </row>
    <row r="2452">
      <c r="AD2452" s="224"/>
      <c r="AE2452" s="224"/>
      <c r="AF2452" s="224"/>
      <c r="AG2452" s="224"/>
    </row>
    <row r="2453">
      <c r="AD2453" s="224"/>
      <c r="AE2453" s="224"/>
      <c r="AF2453" s="224"/>
      <c r="AG2453" s="224"/>
    </row>
    <row r="2454">
      <c r="AD2454" s="224"/>
      <c r="AE2454" s="224"/>
      <c r="AF2454" s="224"/>
      <c r="AG2454" s="224"/>
    </row>
    <row r="2455">
      <c r="AD2455" s="224"/>
      <c r="AE2455" s="224"/>
      <c r="AF2455" s="224"/>
      <c r="AG2455" s="224"/>
    </row>
    <row r="2456">
      <c r="AD2456" s="224"/>
      <c r="AE2456" s="224"/>
      <c r="AF2456" s="224"/>
      <c r="AG2456" s="224"/>
    </row>
    <row r="2457">
      <c r="AD2457" s="224"/>
      <c r="AE2457" s="224"/>
      <c r="AF2457" s="224"/>
      <c r="AG2457" s="224"/>
    </row>
    <row r="2458">
      <c r="AD2458" s="224"/>
      <c r="AE2458" s="224"/>
      <c r="AF2458" s="224"/>
      <c r="AG2458" s="224"/>
    </row>
    <row r="2459">
      <c r="AD2459" s="224"/>
      <c r="AE2459" s="224"/>
      <c r="AF2459" s="224"/>
      <c r="AG2459" s="224"/>
    </row>
    <row r="2460">
      <c r="AD2460" s="224"/>
      <c r="AE2460" s="224"/>
      <c r="AF2460" s="224"/>
      <c r="AG2460" s="224"/>
    </row>
    <row r="2461">
      <c r="AD2461" s="224"/>
      <c r="AE2461" s="224"/>
      <c r="AF2461" s="224"/>
      <c r="AG2461" s="224"/>
    </row>
    <row r="2462">
      <c r="AD2462" s="224"/>
      <c r="AE2462" s="224"/>
      <c r="AF2462" s="224"/>
      <c r="AG2462" s="224"/>
    </row>
    <row r="2463">
      <c r="AD2463" s="224"/>
      <c r="AE2463" s="224"/>
      <c r="AF2463" s="224"/>
      <c r="AG2463" s="224"/>
    </row>
    <row r="2464">
      <c r="AD2464" s="224"/>
      <c r="AE2464" s="224"/>
      <c r="AF2464" s="224"/>
      <c r="AG2464" s="224"/>
    </row>
    <row r="2465">
      <c r="AD2465" s="224"/>
      <c r="AE2465" s="224"/>
      <c r="AF2465" s="224"/>
      <c r="AG2465" s="224"/>
    </row>
    <row r="2466">
      <c r="AD2466" s="224"/>
      <c r="AE2466" s="224"/>
      <c r="AF2466" s="224"/>
      <c r="AG2466" s="224"/>
    </row>
    <row r="2467">
      <c r="AD2467" s="224"/>
      <c r="AE2467" s="224"/>
      <c r="AF2467" s="224"/>
      <c r="AG2467" s="224"/>
    </row>
    <row r="2468">
      <c r="AD2468" s="224"/>
      <c r="AE2468" s="224"/>
      <c r="AF2468" s="224"/>
      <c r="AG2468" s="224"/>
    </row>
    <row r="2469">
      <c r="AD2469" s="224"/>
      <c r="AE2469" s="224"/>
      <c r="AF2469" s="224"/>
      <c r="AG2469" s="224"/>
    </row>
    <row r="2470">
      <c r="AD2470" s="224"/>
      <c r="AE2470" s="224"/>
      <c r="AF2470" s="224"/>
      <c r="AG2470" s="224"/>
    </row>
    <row r="2471">
      <c r="AD2471" s="224"/>
      <c r="AE2471" s="224"/>
      <c r="AF2471" s="224"/>
      <c r="AG2471" s="224"/>
    </row>
    <row r="2472">
      <c r="AD2472" s="224"/>
      <c r="AE2472" s="224"/>
      <c r="AF2472" s="224"/>
      <c r="AG2472" s="224"/>
    </row>
    <row r="2473">
      <c r="AD2473" s="224"/>
      <c r="AE2473" s="224"/>
      <c r="AF2473" s="224"/>
      <c r="AG2473" s="224"/>
    </row>
    <row r="2474">
      <c r="AD2474" s="224"/>
      <c r="AE2474" s="224"/>
      <c r="AF2474" s="224"/>
      <c r="AG2474" s="224"/>
    </row>
    <row r="2475">
      <c r="AD2475" s="224"/>
      <c r="AE2475" s="224"/>
      <c r="AF2475" s="224"/>
      <c r="AG2475" s="224"/>
    </row>
    <row r="2476">
      <c r="AD2476" s="224"/>
      <c r="AE2476" s="224"/>
      <c r="AF2476" s="224"/>
      <c r="AG2476" s="224"/>
    </row>
    <row r="2477">
      <c r="AD2477" s="224"/>
      <c r="AE2477" s="224"/>
      <c r="AF2477" s="224"/>
      <c r="AG2477" s="224"/>
    </row>
    <row r="2478">
      <c r="AD2478" s="224"/>
      <c r="AE2478" s="224"/>
      <c r="AF2478" s="224"/>
      <c r="AG2478" s="224"/>
    </row>
    <row r="2479">
      <c r="AD2479" s="224"/>
      <c r="AE2479" s="224"/>
      <c r="AF2479" s="224"/>
      <c r="AG2479" s="224"/>
    </row>
    <row r="2480">
      <c r="AD2480" s="224"/>
      <c r="AE2480" s="224"/>
      <c r="AF2480" s="224"/>
      <c r="AG2480" s="224"/>
    </row>
    <row r="2481">
      <c r="AD2481" s="224"/>
      <c r="AE2481" s="224"/>
      <c r="AF2481" s="224"/>
      <c r="AG2481" s="224"/>
    </row>
    <row r="2482">
      <c r="AD2482" s="224"/>
      <c r="AE2482" s="224"/>
      <c r="AF2482" s="224"/>
      <c r="AG2482" s="224"/>
    </row>
    <row r="2483">
      <c r="AD2483" s="224"/>
      <c r="AE2483" s="224"/>
      <c r="AF2483" s="224"/>
      <c r="AG2483" s="224"/>
    </row>
    <row r="2484">
      <c r="AD2484" s="224"/>
      <c r="AE2484" s="224"/>
      <c r="AF2484" s="224"/>
      <c r="AG2484" s="224"/>
    </row>
    <row r="2485">
      <c r="AD2485" s="224"/>
      <c r="AE2485" s="224"/>
      <c r="AF2485" s="224"/>
      <c r="AG2485" s="224"/>
    </row>
    <row r="2486">
      <c r="AD2486" s="224"/>
      <c r="AE2486" s="224"/>
      <c r="AF2486" s="224"/>
      <c r="AG2486" s="224"/>
    </row>
    <row r="2487">
      <c r="AD2487" s="224"/>
      <c r="AE2487" s="224"/>
      <c r="AF2487" s="224"/>
      <c r="AG2487" s="224"/>
    </row>
    <row r="2488">
      <c r="AD2488" s="224"/>
      <c r="AE2488" s="224"/>
      <c r="AF2488" s="224"/>
      <c r="AG2488" s="224"/>
    </row>
    <row r="2489">
      <c r="AD2489" s="224"/>
      <c r="AE2489" s="224"/>
      <c r="AF2489" s="224"/>
      <c r="AG2489" s="224"/>
    </row>
    <row r="2490">
      <c r="AD2490" s="224"/>
      <c r="AE2490" s="224"/>
      <c r="AF2490" s="224"/>
      <c r="AG2490" s="224"/>
    </row>
    <row r="2491">
      <c r="AD2491" s="224"/>
      <c r="AE2491" s="224"/>
      <c r="AF2491" s="224"/>
      <c r="AG2491" s="224"/>
    </row>
    <row r="2492">
      <c r="AD2492" s="224"/>
      <c r="AE2492" s="224"/>
      <c r="AF2492" s="224"/>
      <c r="AG2492" s="224"/>
    </row>
    <row r="2493">
      <c r="AD2493" s="224"/>
      <c r="AE2493" s="224"/>
      <c r="AF2493" s="224"/>
      <c r="AG2493" s="224"/>
    </row>
    <row r="2494">
      <c r="AD2494" s="224"/>
      <c r="AE2494" s="224"/>
      <c r="AF2494" s="224"/>
      <c r="AG2494" s="224"/>
    </row>
    <row r="2495">
      <c r="AD2495" s="224"/>
      <c r="AE2495" s="224"/>
      <c r="AF2495" s="224"/>
      <c r="AG2495" s="224"/>
    </row>
    <row r="2496">
      <c r="AD2496" s="224"/>
      <c r="AE2496" s="224"/>
      <c r="AF2496" s="224"/>
      <c r="AG2496" s="224"/>
    </row>
    <row r="2497">
      <c r="AD2497" s="224"/>
      <c r="AE2497" s="224"/>
      <c r="AF2497" s="224"/>
      <c r="AG2497" s="224"/>
    </row>
    <row r="2498">
      <c r="AD2498" s="224"/>
      <c r="AE2498" s="224"/>
      <c r="AF2498" s="224"/>
      <c r="AG2498" s="224"/>
    </row>
    <row r="2499">
      <c r="AD2499" s="224"/>
      <c r="AE2499" s="224"/>
      <c r="AF2499" s="224"/>
      <c r="AG2499" s="224"/>
    </row>
    <row r="2500">
      <c r="AD2500" s="224"/>
      <c r="AE2500" s="224"/>
      <c r="AF2500" s="224"/>
      <c r="AG2500" s="224"/>
    </row>
    <row r="2501">
      <c r="AD2501" s="224"/>
      <c r="AE2501" s="224"/>
      <c r="AF2501" s="224"/>
      <c r="AG2501" s="224"/>
    </row>
    <row r="2502">
      <c r="AD2502" s="224"/>
      <c r="AE2502" s="224"/>
      <c r="AF2502" s="224"/>
      <c r="AG2502" s="224"/>
    </row>
    <row r="2503">
      <c r="AD2503" s="224"/>
      <c r="AE2503" s="224"/>
      <c r="AF2503" s="224"/>
      <c r="AG2503" s="224"/>
    </row>
    <row r="2504">
      <c r="AD2504" s="224"/>
      <c r="AE2504" s="224"/>
      <c r="AF2504" s="224"/>
      <c r="AG2504" s="224"/>
    </row>
    <row r="2505">
      <c r="AD2505" s="224"/>
      <c r="AE2505" s="224"/>
      <c r="AF2505" s="224"/>
      <c r="AG2505" s="224"/>
    </row>
    <row r="2506">
      <c r="AD2506" s="224"/>
      <c r="AE2506" s="224"/>
      <c r="AF2506" s="224"/>
      <c r="AG2506" s="224"/>
    </row>
    <row r="2507">
      <c r="AD2507" s="224"/>
      <c r="AE2507" s="224"/>
      <c r="AF2507" s="224"/>
      <c r="AG2507" s="224"/>
    </row>
    <row r="2508">
      <c r="AD2508" s="224"/>
      <c r="AE2508" s="224"/>
      <c r="AF2508" s="224"/>
      <c r="AG2508" s="224"/>
    </row>
    <row r="2509">
      <c r="AD2509" s="224"/>
      <c r="AE2509" s="224"/>
      <c r="AF2509" s="224"/>
      <c r="AG2509" s="224"/>
    </row>
    <row r="2510">
      <c r="AD2510" s="224"/>
      <c r="AE2510" s="224"/>
      <c r="AF2510" s="224"/>
      <c r="AG2510" s="224"/>
    </row>
    <row r="2511">
      <c r="AD2511" s="224"/>
      <c r="AE2511" s="224"/>
      <c r="AF2511" s="224"/>
      <c r="AG2511" s="224"/>
    </row>
    <row r="2512">
      <c r="AD2512" s="224"/>
      <c r="AE2512" s="224"/>
      <c r="AF2512" s="224"/>
      <c r="AG2512" s="224"/>
    </row>
    <row r="2513">
      <c r="AD2513" s="224"/>
      <c r="AE2513" s="224"/>
      <c r="AF2513" s="224"/>
      <c r="AG2513" s="224"/>
    </row>
    <row r="2514">
      <c r="AD2514" s="224"/>
      <c r="AE2514" s="224"/>
      <c r="AF2514" s="224"/>
      <c r="AG2514" s="224"/>
    </row>
    <row r="2515">
      <c r="AD2515" s="224"/>
      <c r="AE2515" s="224"/>
      <c r="AF2515" s="224"/>
      <c r="AG2515" s="224"/>
    </row>
    <row r="2516">
      <c r="AD2516" s="224"/>
      <c r="AE2516" s="224"/>
      <c r="AF2516" s="224"/>
      <c r="AG2516" s="224"/>
    </row>
    <row r="2517">
      <c r="AD2517" s="224"/>
      <c r="AE2517" s="224"/>
      <c r="AF2517" s="224"/>
      <c r="AG2517" s="224"/>
    </row>
    <row r="2518">
      <c r="AD2518" s="224"/>
      <c r="AE2518" s="224"/>
      <c r="AF2518" s="224"/>
      <c r="AG2518" s="224"/>
    </row>
    <row r="2519">
      <c r="AD2519" s="224"/>
      <c r="AE2519" s="224"/>
      <c r="AF2519" s="224"/>
      <c r="AG2519" s="224"/>
    </row>
    <row r="2520">
      <c r="AD2520" s="224"/>
      <c r="AE2520" s="224"/>
      <c r="AF2520" s="224"/>
      <c r="AG2520" s="224"/>
    </row>
    <row r="2521">
      <c r="AD2521" s="224"/>
      <c r="AE2521" s="224"/>
      <c r="AF2521" s="224"/>
      <c r="AG2521" s="224"/>
    </row>
    <row r="2522">
      <c r="AD2522" s="224"/>
      <c r="AE2522" s="224"/>
      <c r="AF2522" s="224"/>
      <c r="AG2522" s="224"/>
    </row>
    <row r="2523">
      <c r="AD2523" s="224"/>
      <c r="AE2523" s="224"/>
      <c r="AF2523" s="224"/>
      <c r="AG2523" s="224"/>
    </row>
    <row r="2524">
      <c r="AD2524" s="224"/>
      <c r="AE2524" s="224"/>
      <c r="AF2524" s="224"/>
      <c r="AG2524" s="224"/>
    </row>
    <row r="2525">
      <c r="AD2525" s="224"/>
      <c r="AE2525" s="224"/>
      <c r="AF2525" s="224"/>
      <c r="AG2525" s="224"/>
    </row>
    <row r="2526">
      <c r="AD2526" s="224"/>
      <c r="AE2526" s="224"/>
      <c r="AF2526" s="224"/>
      <c r="AG2526" s="224"/>
    </row>
    <row r="2527">
      <c r="AD2527" s="224"/>
      <c r="AE2527" s="224"/>
      <c r="AF2527" s="224"/>
      <c r="AG2527" s="224"/>
    </row>
    <row r="2528">
      <c r="AD2528" s="224"/>
      <c r="AE2528" s="224"/>
      <c r="AF2528" s="224"/>
      <c r="AG2528" s="224"/>
    </row>
    <row r="2529">
      <c r="AD2529" s="224"/>
      <c r="AE2529" s="224"/>
      <c r="AF2529" s="224"/>
      <c r="AG2529" s="224"/>
    </row>
    <row r="2530">
      <c r="AD2530" s="224"/>
      <c r="AE2530" s="224"/>
      <c r="AF2530" s="224"/>
      <c r="AG2530" s="224"/>
    </row>
    <row r="2531">
      <c r="AD2531" s="224"/>
      <c r="AE2531" s="224"/>
      <c r="AF2531" s="224"/>
      <c r="AG2531" s="224"/>
    </row>
    <row r="2532">
      <c r="AD2532" s="224"/>
      <c r="AE2532" s="224"/>
      <c r="AF2532" s="224"/>
      <c r="AG2532" s="224"/>
    </row>
    <row r="2533">
      <c r="AD2533" s="224"/>
      <c r="AE2533" s="224"/>
      <c r="AF2533" s="224"/>
      <c r="AG2533" s="224"/>
    </row>
    <row r="2534">
      <c r="AD2534" s="224"/>
      <c r="AE2534" s="224"/>
      <c r="AF2534" s="224"/>
      <c r="AG2534" s="224"/>
    </row>
    <row r="2535">
      <c r="AD2535" s="224"/>
      <c r="AE2535" s="224"/>
      <c r="AF2535" s="224"/>
      <c r="AG2535" s="224"/>
    </row>
    <row r="2536">
      <c r="AD2536" s="224"/>
      <c r="AE2536" s="224"/>
      <c r="AF2536" s="224"/>
      <c r="AG2536" s="224"/>
    </row>
    <row r="2537">
      <c r="AD2537" s="224"/>
      <c r="AE2537" s="224"/>
      <c r="AF2537" s="224"/>
      <c r="AG2537" s="224"/>
    </row>
    <row r="2538">
      <c r="AD2538" s="224"/>
      <c r="AE2538" s="224"/>
      <c r="AF2538" s="224"/>
      <c r="AG2538" s="224"/>
    </row>
    <row r="2539">
      <c r="AD2539" s="224"/>
      <c r="AE2539" s="224"/>
      <c r="AF2539" s="224"/>
      <c r="AG2539" s="224"/>
    </row>
    <row r="2540">
      <c r="AD2540" s="224"/>
      <c r="AE2540" s="224"/>
      <c r="AF2540" s="224"/>
      <c r="AG2540" s="224"/>
    </row>
    <row r="2541">
      <c r="AD2541" s="224"/>
      <c r="AE2541" s="224"/>
      <c r="AF2541" s="224"/>
      <c r="AG2541" s="224"/>
    </row>
    <row r="2542">
      <c r="AD2542" s="224"/>
      <c r="AE2542" s="224"/>
      <c r="AF2542" s="224"/>
      <c r="AG2542" s="224"/>
    </row>
    <row r="2543">
      <c r="AD2543" s="224"/>
      <c r="AE2543" s="224"/>
      <c r="AF2543" s="224"/>
      <c r="AG2543" s="224"/>
    </row>
    <row r="2544">
      <c r="AD2544" s="224"/>
      <c r="AE2544" s="224"/>
      <c r="AF2544" s="224"/>
      <c r="AG2544" s="224"/>
    </row>
    <row r="2545">
      <c r="AD2545" s="224"/>
      <c r="AE2545" s="224"/>
      <c r="AF2545" s="224"/>
      <c r="AG2545" s="224"/>
    </row>
    <row r="2546">
      <c r="AD2546" s="224"/>
      <c r="AE2546" s="224"/>
      <c r="AF2546" s="224"/>
      <c r="AG2546" s="224"/>
    </row>
    <row r="2547">
      <c r="AD2547" s="224"/>
      <c r="AE2547" s="224"/>
      <c r="AF2547" s="224"/>
      <c r="AG2547" s="224"/>
    </row>
    <row r="2548">
      <c r="AD2548" s="224"/>
      <c r="AE2548" s="224"/>
      <c r="AF2548" s="224"/>
      <c r="AG2548" s="224"/>
    </row>
    <row r="2549">
      <c r="AD2549" s="224"/>
      <c r="AE2549" s="224"/>
      <c r="AF2549" s="224"/>
      <c r="AG2549" s="224"/>
    </row>
    <row r="2550">
      <c r="AD2550" s="224"/>
      <c r="AE2550" s="224"/>
      <c r="AF2550" s="224"/>
      <c r="AG2550" s="224"/>
    </row>
    <row r="2551">
      <c r="AD2551" s="224"/>
      <c r="AE2551" s="224"/>
      <c r="AF2551" s="224"/>
      <c r="AG2551" s="224"/>
    </row>
    <row r="2552">
      <c r="AD2552" s="224"/>
      <c r="AE2552" s="224"/>
      <c r="AF2552" s="224"/>
      <c r="AG2552" s="224"/>
    </row>
    <row r="2553">
      <c r="AD2553" s="224"/>
      <c r="AE2553" s="224"/>
      <c r="AF2553" s="224"/>
      <c r="AG2553" s="224"/>
    </row>
    <row r="2554">
      <c r="AD2554" s="224"/>
      <c r="AE2554" s="224"/>
      <c r="AF2554" s="224"/>
      <c r="AG2554" s="224"/>
    </row>
    <row r="2555">
      <c r="AD2555" s="224"/>
      <c r="AE2555" s="224"/>
      <c r="AF2555" s="224"/>
      <c r="AG2555" s="224"/>
    </row>
    <row r="2556">
      <c r="AD2556" s="224"/>
      <c r="AE2556" s="224"/>
      <c r="AF2556" s="224"/>
      <c r="AG2556" s="224"/>
    </row>
    <row r="2557">
      <c r="AD2557" s="224"/>
      <c r="AE2557" s="224"/>
      <c r="AF2557" s="224"/>
      <c r="AG2557" s="224"/>
    </row>
    <row r="2558">
      <c r="AD2558" s="224"/>
      <c r="AE2558" s="224"/>
      <c r="AF2558" s="224"/>
      <c r="AG2558" s="224"/>
    </row>
    <row r="2559">
      <c r="AD2559" s="224"/>
      <c r="AE2559" s="224"/>
      <c r="AF2559" s="224"/>
      <c r="AG2559" s="224"/>
    </row>
    <row r="2560">
      <c r="AD2560" s="224"/>
      <c r="AE2560" s="224"/>
      <c r="AF2560" s="224"/>
      <c r="AG2560" s="224"/>
    </row>
    <row r="2561">
      <c r="AD2561" s="224"/>
      <c r="AE2561" s="224"/>
      <c r="AF2561" s="224"/>
      <c r="AG2561" s="224"/>
    </row>
    <row r="2562">
      <c r="AD2562" s="224"/>
      <c r="AE2562" s="224"/>
      <c r="AF2562" s="224"/>
      <c r="AG2562" s="224"/>
    </row>
    <row r="2563">
      <c r="AD2563" s="224"/>
      <c r="AE2563" s="224"/>
      <c r="AF2563" s="224"/>
      <c r="AG2563" s="224"/>
    </row>
    <row r="2564">
      <c r="AD2564" s="224"/>
      <c r="AE2564" s="224"/>
      <c r="AF2564" s="224"/>
      <c r="AG2564" s="224"/>
    </row>
    <row r="2565">
      <c r="AD2565" s="224"/>
      <c r="AE2565" s="224"/>
      <c r="AF2565" s="224"/>
      <c r="AG2565" s="224"/>
    </row>
    <row r="2566">
      <c r="AD2566" s="224"/>
      <c r="AE2566" s="224"/>
      <c r="AF2566" s="224"/>
      <c r="AG2566" s="224"/>
    </row>
    <row r="2567">
      <c r="AD2567" s="224"/>
      <c r="AE2567" s="224"/>
      <c r="AF2567" s="224"/>
      <c r="AG2567" s="224"/>
    </row>
    <row r="2568">
      <c r="AD2568" s="224"/>
      <c r="AE2568" s="224"/>
      <c r="AF2568" s="224"/>
      <c r="AG2568" s="224"/>
    </row>
    <row r="2569">
      <c r="AD2569" s="224"/>
      <c r="AE2569" s="224"/>
      <c r="AF2569" s="224"/>
      <c r="AG2569" s="224"/>
    </row>
    <row r="2570">
      <c r="AD2570" s="224"/>
      <c r="AE2570" s="224"/>
      <c r="AF2570" s="224"/>
      <c r="AG2570" s="224"/>
    </row>
    <row r="2571">
      <c r="AD2571" s="224"/>
      <c r="AE2571" s="224"/>
      <c r="AF2571" s="224"/>
      <c r="AG2571" s="224"/>
    </row>
    <row r="2572">
      <c r="AD2572" s="224"/>
      <c r="AE2572" s="224"/>
      <c r="AF2572" s="224"/>
      <c r="AG2572" s="224"/>
    </row>
    <row r="2573">
      <c r="AD2573" s="224"/>
      <c r="AE2573" s="224"/>
      <c r="AF2573" s="224"/>
      <c r="AG2573" s="224"/>
    </row>
    <row r="2574">
      <c r="AD2574" s="224"/>
      <c r="AE2574" s="224"/>
      <c r="AF2574" s="224"/>
      <c r="AG2574" s="224"/>
    </row>
    <row r="2575">
      <c r="AD2575" s="224"/>
      <c r="AE2575" s="224"/>
      <c r="AF2575" s="224"/>
      <c r="AG2575" s="224"/>
    </row>
    <row r="2576">
      <c r="AD2576" s="224"/>
      <c r="AE2576" s="224"/>
      <c r="AF2576" s="224"/>
      <c r="AG2576" s="224"/>
    </row>
    <row r="2577">
      <c r="AD2577" s="224"/>
      <c r="AE2577" s="224"/>
      <c r="AF2577" s="224"/>
      <c r="AG2577" s="224"/>
    </row>
    <row r="2578">
      <c r="AD2578" s="224"/>
      <c r="AE2578" s="224"/>
      <c r="AF2578" s="224"/>
      <c r="AG2578" s="224"/>
    </row>
    <row r="2579">
      <c r="AD2579" s="224"/>
      <c r="AE2579" s="224"/>
      <c r="AF2579" s="224"/>
      <c r="AG2579" s="224"/>
    </row>
    <row r="2580">
      <c r="AD2580" s="224"/>
      <c r="AE2580" s="224"/>
      <c r="AF2580" s="224"/>
      <c r="AG2580" s="224"/>
    </row>
    <row r="2581">
      <c r="AD2581" s="224"/>
      <c r="AE2581" s="224"/>
      <c r="AF2581" s="224"/>
      <c r="AG2581" s="224"/>
    </row>
    <row r="2582">
      <c r="AD2582" s="224"/>
      <c r="AE2582" s="224"/>
      <c r="AF2582" s="224"/>
      <c r="AG2582" s="224"/>
    </row>
    <row r="2583">
      <c r="AD2583" s="224"/>
      <c r="AE2583" s="224"/>
      <c r="AF2583" s="224"/>
      <c r="AG2583" s="224"/>
    </row>
    <row r="2584">
      <c r="AD2584" s="224"/>
      <c r="AE2584" s="224"/>
      <c r="AF2584" s="224"/>
      <c r="AG2584" s="224"/>
    </row>
    <row r="2585">
      <c r="AD2585" s="224"/>
      <c r="AE2585" s="224"/>
      <c r="AF2585" s="224"/>
      <c r="AG2585" s="224"/>
    </row>
    <row r="2586">
      <c r="AD2586" s="224"/>
      <c r="AE2586" s="224"/>
      <c r="AF2586" s="224"/>
      <c r="AG2586" s="224"/>
    </row>
    <row r="2587">
      <c r="AD2587" s="224"/>
      <c r="AE2587" s="224"/>
      <c r="AF2587" s="224"/>
      <c r="AG2587" s="224"/>
    </row>
    <row r="2588">
      <c r="AD2588" s="224"/>
      <c r="AE2588" s="224"/>
      <c r="AF2588" s="224"/>
      <c r="AG2588" s="224"/>
    </row>
    <row r="2589">
      <c r="AD2589" s="224"/>
      <c r="AE2589" s="224"/>
      <c r="AF2589" s="224"/>
      <c r="AG2589" s="224"/>
    </row>
    <row r="2590">
      <c r="AD2590" s="224"/>
      <c r="AE2590" s="224"/>
      <c r="AF2590" s="224"/>
      <c r="AG2590" s="224"/>
    </row>
    <row r="2591">
      <c r="AD2591" s="224"/>
      <c r="AE2591" s="224"/>
      <c r="AF2591" s="224"/>
      <c r="AG2591" s="224"/>
    </row>
    <row r="2592">
      <c r="AD2592" s="224"/>
      <c r="AE2592" s="224"/>
      <c r="AF2592" s="224"/>
      <c r="AG2592" s="224"/>
    </row>
    <row r="2593">
      <c r="AD2593" s="224"/>
      <c r="AE2593" s="224"/>
      <c r="AF2593" s="224"/>
      <c r="AG2593" s="224"/>
    </row>
    <row r="2594">
      <c r="AD2594" s="224"/>
      <c r="AE2594" s="224"/>
      <c r="AF2594" s="224"/>
      <c r="AG2594" s="224"/>
    </row>
    <row r="2595">
      <c r="AD2595" s="224"/>
      <c r="AE2595" s="224"/>
      <c r="AF2595" s="224"/>
      <c r="AG2595" s="224"/>
    </row>
    <row r="2596">
      <c r="AD2596" s="224"/>
      <c r="AE2596" s="224"/>
      <c r="AF2596" s="224"/>
      <c r="AG2596" s="224"/>
    </row>
    <row r="2597">
      <c r="AD2597" s="224"/>
      <c r="AE2597" s="224"/>
      <c r="AF2597" s="224"/>
      <c r="AG2597" s="224"/>
    </row>
    <row r="2598">
      <c r="AD2598" s="224"/>
      <c r="AE2598" s="224"/>
      <c r="AF2598" s="224"/>
      <c r="AG2598" s="224"/>
    </row>
    <row r="2599">
      <c r="AD2599" s="224"/>
      <c r="AE2599" s="224"/>
      <c r="AF2599" s="224"/>
      <c r="AG2599" s="224"/>
    </row>
    <row r="2600">
      <c r="AD2600" s="224"/>
      <c r="AE2600" s="224"/>
      <c r="AF2600" s="224"/>
      <c r="AG2600" s="224"/>
    </row>
    <row r="2601">
      <c r="AD2601" s="224"/>
      <c r="AE2601" s="224"/>
      <c r="AF2601" s="224"/>
      <c r="AG2601" s="224"/>
    </row>
    <row r="2602">
      <c r="AD2602" s="224"/>
      <c r="AE2602" s="224"/>
      <c r="AF2602" s="224"/>
      <c r="AG2602" s="224"/>
    </row>
    <row r="2603">
      <c r="AD2603" s="224"/>
      <c r="AE2603" s="224"/>
      <c r="AF2603" s="224"/>
      <c r="AG2603" s="224"/>
    </row>
    <row r="2604">
      <c r="AD2604" s="224"/>
      <c r="AE2604" s="224"/>
      <c r="AF2604" s="224"/>
      <c r="AG2604" s="224"/>
    </row>
    <row r="2605">
      <c r="AD2605" s="224"/>
      <c r="AE2605" s="224"/>
      <c r="AF2605" s="224"/>
      <c r="AG2605" s="224"/>
    </row>
    <row r="2606">
      <c r="AD2606" s="224"/>
      <c r="AE2606" s="224"/>
      <c r="AF2606" s="224"/>
      <c r="AG2606" s="224"/>
    </row>
    <row r="2607">
      <c r="AD2607" s="224"/>
      <c r="AE2607" s="224"/>
      <c r="AF2607" s="224"/>
      <c r="AG2607" s="224"/>
    </row>
    <row r="2608">
      <c r="AD2608" s="224"/>
      <c r="AE2608" s="224"/>
      <c r="AF2608" s="224"/>
      <c r="AG2608" s="224"/>
    </row>
    <row r="2609">
      <c r="AD2609" s="224"/>
      <c r="AE2609" s="224"/>
      <c r="AF2609" s="224"/>
      <c r="AG2609" s="224"/>
    </row>
    <row r="2610">
      <c r="AD2610" s="224"/>
      <c r="AE2610" s="224"/>
      <c r="AF2610" s="224"/>
      <c r="AG2610" s="224"/>
    </row>
    <row r="2611">
      <c r="AD2611" s="224"/>
      <c r="AE2611" s="224"/>
      <c r="AF2611" s="224"/>
      <c r="AG2611" s="224"/>
    </row>
    <row r="2612">
      <c r="AD2612" s="224"/>
      <c r="AE2612" s="224"/>
      <c r="AF2612" s="224"/>
      <c r="AG2612" s="224"/>
    </row>
    <row r="2613">
      <c r="AD2613" s="224"/>
      <c r="AE2613" s="224"/>
      <c r="AF2613" s="224"/>
      <c r="AG2613" s="224"/>
    </row>
    <row r="2614">
      <c r="AD2614" s="224"/>
      <c r="AE2614" s="224"/>
      <c r="AF2614" s="224"/>
      <c r="AG2614" s="224"/>
    </row>
    <row r="2615">
      <c r="AD2615" s="224"/>
      <c r="AE2615" s="224"/>
      <c r="AF2615" s="224"/>
      <c r="AG2615" s="224"/>
    </row>
    <row r="2616">
      <c r="AD2616" s="224"/>
      <c r="AE2616" s="224"/>
      <c r="AF2616" s="224"/>
      <c r="AG2616" s="224"/>
    </row>
    <row r="2617">
      <c r="AD2617" s="224"/>
      <c r="AE2617" s="224"/>
      <c r="AF2617" s="224"/>
      <c r="AG2617" s="224"/>
    </row>
    <row r="2618">
      <c r="AD2618" s="224"/>
      <c r="AE2618" s="224"/>
      <c r="AF2618" s="224"/>
      <c r="AG2618" s="224"/>
    </row>
    <row r="2619">
      <c r="AD2619" s="224"/>
      <c r="AE2619" s="224"/>
      <c r="AF2619" s="224"/>
      <c r="AG2619" s="224"/>
    </row>
    <row r="2620">
      <c r="AD2620" s="224"/>
      <c r="AE2620" s="224"/>
      <c r="AF2620" s="224"/>
      <c r="AG2620" s="224"/>
    </row>
    <row r="2621">
      <c r="AD2621" s="224"/>
      <c r="AE2621" s="224"/>
      <c r="AF2621" s="224"/>
      <c r="AG2621" s="224"/>
    </row>
    <row r="2622">
      <c r="AD2622" s="224"/>
      <c r="AE2622" s="224"/>
      <c r="AF2622" s="224"/>
      <c r="AG2622" s="224"/>
    </row>
    <row r="2623">
      <c r="AD2623" s="224"/>
      <c r="AE2623" s="224"/>
      <c r="AF2623" s="224"/>
      <c r="AG2623" s="224"/>
    </row>
    <row r="2624">
      <c r="AD2624" s="224"/>
      <c r="AE2624" s="224"/>
      <c r="AF2624" s="224"/>
      <c r="AG2624" s="224"/>
    </row>
    <row r="2625">
      <c r="AD2625" s="224"/>
      <c r="AE2625" s="224"/>
      <c r="AF2625" s="224"/>
      <c r="AG2625" s="224"/>
    </row>
    <row r="2626">
      <c r="AD2626" s="224"/>
      <c r="AE2626" s="224"/>
      <c r="AF2626" s="224"/>
      <c r="AG2626" s="224"/>
    </row>
    <row r="2627">
      <c r="AD2627" s="224"/>
      <c r="AE2627" s="224"/>
      <c r="AF2627" s="224"/>
      <c r="AG2627" s="224"/>
    </row>
    <row r="2628">
      <c r="AD2628" s="224"/>
      <c r="AE2628" s="224"/>
      <c r="AF2628" s="224"/>
      <c r="AG2628" s="224"/>
    </row>
    <row r="2629">
      <c r="AD2629" s="224"/>
      <c r="AE2629" s="224"/>
      <c r="AF2629" s="224"/>
      <c r="AG2629" s="224"/>
    </row>
    <row r="2630">
      <c r="AD2630" s="224"/>
      <c r="AE2630" s="224"/>
      <c r="AF2630" s="224"/>
      <c r="AG2630" s="224"/>
    </row>
    <row r="2631">
      <c r="AD2631" s="224"/>
      <c r="AE2631" s="224"/>
      <c r="AF2631" s="224"/>
      <c r="AG2631" s="224"/>
    </row>
    <row r="2632">
      <c r="AD2632" s="224"/>
      <c r="AE2632" s="224"/>
      <c r="AF2632" s="224"/>
      <c r="AG2632" s="224"/>
    </row>
    <row r="2633">
      <c r="AD2633" s="224"/>
      <c r="AE2633" s="224"/>
      <c r="AF2633" s="224"/>
      <c r="AG2633" s="224"/>
    </row>
    <row r="2634">
      <c r="AD2634" s="224"/>
      <c r="AE2634" s="224"/>
      <c r="AF2634" s="224"/>
      <c r="AG2634" s="224"/>
    </row>
    <row r="2635">
      <c r="AD2635" s="224"/>
      <c r="AE2635" s="224"/>
      <c r="AF2635" s="224"/>
      <c r="AG2635" s="224"/>
    </row>
    <row r="2636">
      <c r="AD2636" s="224"/>
      <c r="AE2636" s="224"/>
      <c r="AF2636" s="224"/>
      <c r="AG2636" s="224"/>
    </row>
    <row r="2637">
      <c r="AD2637" s="224"/>
      <c r="AE2637" s="224"/>
      <c r="AF2637" s="224"/>
      <c r="AG2637" s="224"/>
    </row>
    <row r="2638">
      <c r="AD2638" s="224"/>
      <c r="AE2638" s="224"/>
      <c r="AF2638" s="224"/>
      <c r="AG2638" s="224"/>
    </row>
    <row r="2639">
      <c r="AD2639" s="224"/>
      <c r="AE2639" s="224"/>
      <c r="AF2639" s="224"/>
      <c r="AG2639" s="224"/>
    </row>
    <row r="2640">
      <c r="AD2640" s="224"/>
      <c r="AE2640" s="224"/>
      <c r="AF2640" s="224"/>
      <c r="AG2640" s="224"/>
    </row>
    <row r="2641">
      <c r="AD2641" s="224"/>
      <c r="AE2641" s="224"/>
      <c r="AF2641" s="224"/>
      <c r="AG2641" s="224"/>
    </row>
    <row r="2642">
      <c r="AD2642" s="224"/>
      <c r="AE2642" s="224"/>
      <c r="AF2642" s="224"/>
      <c r="AG2642" s="224"/>
    </row>
    <row r="2643">
      <c r="AD2643" s="224"/>
      <c r="AE2643" s="224"/>
      <c r="AF2643" s="224"/>
      <c r="AG2643" s="224"/>
    </row>
    <row r="2644">
      <c r="AD2644" s="224"/>
      <c r="AE2644" s="224"/>
      <c r="AF2644" s="224"/>
      <c r="AG2644" s="224"/>
    </row>
    <row r="2645">
      <c r="AD2645" s="224"/>
      <c r="AE2645" s="224"/>
      <c r="AF2645" s="224"/>
      <c r="AG2645" s="224"/>
    </row>
    <row r="2646">
      <c r="AD2646" s="224"/>
      <c r="AE2646" s="224"/>
      <c r="AF2646" s="224"/>
      <c r="AG2646" s="224"/>
    </row>
    <row r="2647">
      <c r="AD2647" s="224"/>
      <c r="AE2647" s="224"/>
      <c r="AF2647" s="224"/>
      <c r="AG2647" s="224"/>
    </row>
    <row r="2648">
      <c r="AD2648" s="224"/>
      <c r="AE2648" s="224"/>
      <c r="AF2648" s="224"/>
      <c r="AG2648" s="224"/>
    </row>
    <row r="2649">
      <c r="AD2649" s="224"/>
      <c r="AE2649" s="224"/>
      <c r="AF2649" s="224"/>
      <c r="AG2649" s="224"/>
    </row>
    <row r="2650">
      <c r="AD2650" s="224"/>
      <c r="AE2650" s="224"/>
      <c r="AF2650" s="224"/>
      <c r="AG2650" s="224"/>
    </row>
    <row r="2651">
      <c r="AD2651" s="224"/>
      <c r="AE2651" s="224"/>
      <c r="AF2651" s="224"/>
      <c r="AG2651" s="224"/>
    </row>
    <row r="2652">
      <c r="AD2652" s="224"/>
      <c r="AE2652" s="224"/>
      <c r="AF2652" s="224"/>
      <c r="AG2652" s="224"/>
    </row>
    <row r="2653">
      <c r="AD2653" s="224"/>
      <c r="AE2653" s="224"/>
      <c r="AF2653" s="224"/>
      <c r="AG2653" s="224"/>
    </row>
    <row r="2654">
      <c r="AD2654" s="224"/>
      <c r="AE2654" s="224"/>
      <c r="AF2654" s="224"/>
      <c r="AG2654" s="224"/>
    </row>
    <row r="2655">
      <c r="AD2655" s="224"/>
      <c r="AE2655" s="224"/>
      <c r="AF2655" s="224"/>
      <c r="AG2655" s="224"/>
    </row>
    <row r="2656">
      <c r="AD2656" s="224"/>
      <c r="AE2656" s="224"/>
      <c r="AF2656" s="224"/>
      <c r="AG2656" s="224"/>
    </row>
    <row r="2657">
      <c r="AD2657" s="224"/>
      <c r="AE2657" s="224"/>
      <c r="AF2657" s="224"/>
      <c r="AG2657" s="224"/>
    </row>
    <row r="2658">
      <c r="AD2658" s="224"/>
      <c r="AE2658" s="224"/>
      <c r="AF2658" s="224"/>
      <c r="AG2658" s="224"/>
    </row>
    <row r="2659">
      <c r="AD2659" s="224"/>
      <c r="AE2659" s="224"/>
      <c r="AF2659" s="224"/>
      <c r="AG2659" s="224"/>
    </row>
    <row r="2660">
      <c r="AD2660" s="224"/>
      <c r="AE2660" s="224"/>
      <c r="AF2660" s="224"/>
      <c r="AG2660" s="224"/>
    </row>
    <row r="2661">
      <c r="AD2661" s="224"/>
      <c r="AE2661" s="224"/>
      <c r="AF2661" s="224"/>
      <c r="AG2661" s="224"/>
    </row>
    <row r="2662">
      <c r="AD2662" s="224"/>
      <c r="AE2662" s="224"/>
      <c r="AF2662" s="224"/>
      <c r="AG2662" s="224"/>
    </row>
    <row r="2663">
      <c r="AD2663" s="224"/>
      <c r="AE2663" s="224"/>
      <c r="AF2663" s="224"/>
      <c r="AG2663" s="224"/>
    </row>
    <row r="2664">
      <c r="AD2664" s="224"/>
      <c r="AE2664" s="224"/>
      <c r="AF2664" s="224"/>
      <c r="AG2664" s="224"/>
    </row>
    <row r="2665">
      <c r="AD2665" s="224"/>
      <c r="AE2665" s="224"/>
      <c r="AF2665" s="224"/>
      <c r="AG2665" s="224"/>
    </row>
    <row r="2666">
      <c r="AD2666" s="224"/>
      <c r="AE2666" s="224"/>
      <c r="AF2666" s="224"/>
      <c r="AG2666" s="224"/>
    </row>
    <row r="2667">
      <c r="AD2667" s="224"/>
      <c r="AE2667" s="224"/>
      <c r="AF2667" s="224"/>
      <c r="AG2667" s="224"/>
    </row>
    <row r="2668">
      <c r="AD2668" s="224"/>
      <c r="AE2668" s="224"/>
      <c r="AF2668" s="224"/>
      <c r="AG2668" s="224"/>
    </row>
    <row r="2669">
      <c r="AD2669" s="224"/>
      <c r="AE2669" s="224"/>
      <c r="AF2669" s="224"/>
      <c r="AG2669" s="224"/>
    </row>
    <row r="2670">
      <c r="AD2670" s="224"/>
      <c r="AE2670" s="224"/>
      <c r="AF2670" s="224"/>
      <c r="AG2670" s="224"/>
    </row>
    <row r="2671">
      <c r="AD2671" s="224"/>
      <c r="AE2671" s="224"/>
      <c r="AF2671" s="224"/>
      <c r="AG2671" s="224"/>
    </row>
    <row r="2672">
      <c r="AD2672" s="224"/>
      <c r="AE2672" s="224"/>
      <c r="AF2672" s="224"/>
      <c r="AG2672" s="224"/>
    </row>
    <row r="2673">
      <c r="AD2673" s="224"/>
      <c r="AE2673" s="224"/>
      <c r="AF2673" s="224"/>
      <c r="AG2673" s="224"/>
    </row>
    <row r="2674">
      <c r="AD2674" s="224"/>
      <c r="AE2674" s="224"/>
      <c r="AF2674" s="224"/>
      <c r="AG2674" s="224"/>
    </row>
    <row r="2675">
      <c r="AD2675" s="224"/>
      <c r="AE2675" s="224"/>
      <c r="AF2675" s="224"/>
      <c r="AG2675" s="224"/>
    </row>
    <row r="2676">
      <c r="AD2676" s="224"/>
      <c r="AE2676" s="224"/>
      <c r="AF2676" s="224"/>
      <c r="AG2676" s="224"/>
    </row>
    <row r="2677">
      <c r="AD2677" s="224"/>
      <c r="AE2677" s="224"/>
      <c r="AF2677" s="224"/>
      <c r="AG2677" s="224"/>
    </row>
    <row r="2678">
      <c r="AD2678" s="224"/>
      <c r="AE2678" s="224"/>
      <c r="AF2678" s="224"/>
      <c r="AG2678" s="224"/>
    </row>
    <row r="2679">
      <c r="AD2679" s="224"/>
      <c r="AE2679" s="224"/>
      <c r="AF2679" s="224"/>
      <c r="AG2679" s="224"/>
    </row>
    <row r="2680">
      <c r="AD2680" s="224"/>
      <c r="AE2680" s="224"/>
      <c r="AF2680" s="224"/>
      <c r="AG2680" s="224"/>
    </row>
    <row r="2681">
      <c r="AD2681" s="224"/>
      <c r="AE2681" s="224"/>
      <c r="AF2681" s="224"/>
      <c r="AG2681" s="224"/>
    </row>
    <row r="2682">
      <c r="AD2682" s="224"/>
      <c r="AE2682" s="224"/>
      <c r="AF2682" s="224"/>
      <c r="AG2682" s="224"/>
    </row>
    <row r="2683">
      <c r="AD2683" s="224"/>
      <c r="AE2683" s="224"/>
      <c r="AF2683" s="224"/>
      <c r="AG2683" s="224"/>
    </row>
    <row r="2684">
      <c r="AD2684" s="224"/>
      <c r="AE2684" s="224"/>
      <c r="AF2684" s="224"/>
      <c r="AG2684" s="224"/>
    </row>
    <row r="2685">
      <c r="AD2685" s="224"/>
      <c r="AE2685" s="224"/>
      <c r="AF2685" s="224"/>
      <c r="AG2685" s="224"/>
    </row>
    <row r="2686">
      <c r="AD2686" s="224"/>
      <c r="AE2686" s="224"/>
      <c r="AF2686" s="224"/>
      <c r="AG2686" s="224"/>
    </row>
    <row r="2687">
      <c r="AD2687" s="224"/>
      <c r="AE2687" s="224"/>
      <c r="AF2687" s="224"/>
      <c r="AG2687" s="224"/>
    </row>
    <row r="2688">
      <c r="AD2688" s="224"/>
      <c r="AE2688" s="224"/>
      <c r="AF2688" s="224"/>
      <c r="AG2688" s="224"/>
    </row>
    <row r="2689">
      <c r="AD2689" s="224"/>
      <c r="AE2689" s="224"/>
      <c r="AF2689" s="224"/>
      <c r="AG2689" s="224"/>
    </row>
    <row r="2690">
      <c r="AD2690" s="224"/>
      <c r="AE2690" s="224"/>
      <c r="AF2690" s="224"/>
      <c r="AG2690" s="224"/>
    </row>
    <row r="2691">
      <c r="AD2691" s="224"/>
      <c r="AE2691" s="224"/>
      <c r="AF2691" s="224"/>
      <c r="AG2691" s="224"/>
    </row>
    <row r="2692">
      <c r="AD2692" s="224"/>
      <c r="AE2692" s="224"/>
      <c r="AF2692" s="224"/>
      <c r="AG2692" s="224"/>
    </row>
    <row r="2693">
      <c r="AD2693" s="224"/>
      <c r="AE2693" s="224"/>
      <c r="AF2693" s="224"/>
      <c r="AG2693" s="224"/>
    </row>
    <row r="2694">
      <c r="AD2694" s="224"/>
      <c r="AE2694" s="224"/>
      <c r="AF2694" s="224"/>
      <c r="AG2694" s="224"/>
    </row>
    <row r="2695">
      <c r="AD2695" s="224"/>
      <c r="AE2695" s="224"/>
      <c r="AF2695" s="224"/>
      <c r="AG2695" s="224"/>
    </row>
    <row r="2696">
      <c r="AD2696" s="224"/>
      <c r="AE2696" s="224"/>
      <c r="AF2696" s="224"/>
      <c r="AG2696" s="224"/>
    </row>
    <row r="2697">
      <c r="AD2697" s="224"/>
      <c r="AE2697" s="224"/>
      <c r="AF2697" s="224"/>
      <c r="AG2697" s="224"/>
    </row>
    <row r="2698">
      <c r="AD2698" s="224"/>
      <c r="AE2698" s="224"/>
      <c r="AF2698" s="224"/>
      <c r="AG2698" s="224"/>
    </row>
    <row r="2699">
      <c r="AD2699" s="224"/>
      <c r="AE2699" s="224"/>
      <c r="AF2699" s="224"/>
      <c r="AG2699" s="224"/>
    </row>
    <row r="2700">
      <c r="AD2700" s="224"/>
      <c r="AE2700" s="224"/>
      <c r="AF2700" s="224"/>
      <c r="AG2700" s="224"/>
    </row>
    <row r="2701">
      <c r="AD2701" s="224"/>
      <c r="AE2701" s="224"/>
      <c r="AF2701" s="224"/>
      <c r="AG2701" s="224"/>
    </row>
    <row r="2702">
      <c r="AD2702" s="224"/>
      <c r="AE2702" s="224"/>
      <c r="AF2702" s="224"/>
      <c r="AG2702" s="224"/>
    </row>
    <row r="2703">
      <c r="AD2703" s="224"/>
      <c r="AE2703" s="224"/>
      <c r="AF2703" s="224"/>
      <c r="AG2703" s="224"/>
    </row>
    <row r="2704">
      <c r="AD2704" s="224"/>
      <c r="AE2704" s="224"/>
      <c r="AF2704" s="224"/>
      <c r="AG2704" s="224"/>
    </row>
    <row r="2705">
      <c r="AD2705" s="224"/>
      <c r="AE2705" s="224"/>
      <c r="AF2705" s="224"/>
      <c r="AG2705" s="224"/>
    </row>
    <row r="2706">
      <c r="AD2706" s="224"/>
      <c r="AE2706" s="224"/>
      <c r="AF2706" s="224"/>
      <c r="AG2706" s="224"/>
    </row>
    <row r="2707">
      <c r="AD2707" s="224"/>
      <c r="AE2707" s="224"/>
      <c r="AF2707" s="224"/>
      <c r="AG2707" s="224"/>
    </row>
    <row r="2708">
      <c r="AD2708" s="224"/>
      <c r="AE2708" s="224"/>
      <c r="AF2708" s="224"/>
      <c r="AG2708" s="224"/>
    </row>
    <row r="2709">
      <c r="AD2709" s="224"/>
      <c r="AE2709" s="224"/>
      <c r="AF2709" s="224"/>
      <c r="AG2709" s="224"/>
    </row>
    <row r="2710">
      <c r="AD2710" s="224"/>
      <c r="AE2710" s="224"/>
      <c r="AF2710" s="224"/>
      <c r="AG2710" s="224"/>
    </row>
    <row r="2711">
      <c r="AD2711" s="224"/>
      <c r="AE2711" s="224"/>
      <c r="AF2711" s="224"/>
      <c r="AG2711" s="224"/>
    </row>
    <row r="2712">
      <c r="AD2712" s="224"/>
      <c r="AE2712" s="224"/>
      <c r="AF2712" s="224"/>
      <c r="AG2712" s="224"/>
    </row>
    <row r="2713">
      <c r="AD2713" s="224"/>
      <c r="AE2713" s="224"/>
      <c r="AF2713" s="224"/>
      <c r="AG2713" s="224"/>
    </row>
    <row r="2714">
      <c r="AD2714" s="224"/>
      <c r="AE2714" s="224"/>
      <c r="AF2714" s="224"/>
      <c r="AG2714" s="224"/>
    </row>
    <row r="2715">
      <c r="AD2715" s="224"/>
      <c r="AE2715" s="224"/>
      <c r="AF2715" s="224"/>
      <c r="AG2715" s="224"/>
    </row>
    <row r="2716">
      <c r="AD2716" s="224"/>
      <c r="AE2716" s="224"/>
      <c r="AF2716" s="224"/>
      <c r="AG2716" s="224"/>
    </row>
    <row r="2717">
      <c r="AD2717" s="224"/>
      <c r="AE2717" s="224"/>
      <c r="AF2717" s="224"/>
      <c r="AG2717" s="224"/>
    </row>
    <row r="2718">
      <c r="AD2718" s="224"/>
      <c r="AE2718" s="224"/>
      <c r="AF2718" s="224"/>
      <c r="AG2718" s="224"/>
    </row>
    <row r="2719">
      <c r="AD2719" s="224"/>
      <c r="AE2719" s="224"/>
      <c r="AF2719" s="224"/>
      <c r="AG2719" s="224"/>
    </row>
    <row r="2720">
      <c r="AD2720" s="224"/>
      <c r="AE2720" s="224"/>
      <c r="AF2720" s="224"/>
      <c r="AG2720" s="224"/>
    </row>
    <row r="2721">
      <c r="AD2721" s="224"/>
      <c r="AE2721" s="224"/>
      <c r="AF2721" s="224"/>
      <c r="AG2721" s="224"/>
    </row>
    <row r="2722">
      <c r="AD2722" s="224"/>
      <c r="AE2722" s="224"/>
      <c r="AF2722" s="224"/>
      <c r="AG2722" s="224"/>
    </row>
    <row r="2723">
      <c r="AD2723" s="224"/>
      <c r="AE2723" s="224"/>
      <c r="AF2723" s="224"/>
      <c r="AG2723" s="224"/>
    </row>
    <row r="2724">
      <c r="AD2724" s="224"/>
      <c r="AE2724" s="224"/>
      <c r="AF2724" s="224"/>
      <c r="AG2724" s="224"/>
    </row>
    <row r="2725">
      <c r="AD2725" s="224"/>
      <c r="AE2725" s="224"/>
      <c r="AF2725" s="224"/>
      <c r="AG2725" s="224"/>
    </row>
    <row r="2726">
      <c r="AD2726" s="224"/>
      <c r="AE2726" s="224"/>
      <c r="AF2726" s="224"/>
      <c r="AG2726" s="224"/>
    </row>
    <row r="2727">
      <c r="AD2727" s="224"/>
      <c r="AE2727" s="224"/>
      <c r="AF2727" s="224"/>
      <c r="AG2727" s="224"/>
    </row>
    <row r="2728">
      <c r="AD2728" s="224"/>
      <c r="AE2728" s="224"/>
      <c r="AF2728" s="224"/>
      <c r="AG2728" s="224"/>
    </row>
    <row r="2729">
      <c r="AD2729" s="224"/>
      <c r="AE2729" s="224"/>
      <c r="AF2729" s="224"/>
      <c r="AG2729" s="224"/>
    </row>
    <row r="2730">
      <c r="AD2730" s="224"/>
      <c r="AE2730" s="224"/>
      <c r="AF2730" s="224"/>
      <c r="AG2730" s="224"/>
    </row>
    <row r="2731">
      <c r="AD2731" s="224"/>
      <c r="AE2731" s="224"/>
      <c r="AF2731" s="224"/>
      <c r="AG2731" s="224"/>
    </row>
    <row r="2732">
      <c r="AD2732" s="224"/>
      <c r="AE2732" s="224"/>
      <c r="AF2732" s="224"/>
      <c r="AG2732" s="224"/>
    </row>
    <row r="2733">
      <c r="AD2733" s="224"/>
      <c r="AE2733" s="224"/>
      <c r="AF2733" s="224"/>
      <c r="AG2733" s="224"/>
    </row>
    <row r="2734">
      <c r="AD2734" s="224"/>
      <c r="AE2734" s="224"/>
      <c r="AF2734" s="224"/>
      <c r="AG2734" s="224"/>
    </row>
    <row r="2735">
      <c r="AD2735" s="224"/>
      <c r="AE2735" s="224"/>
      <c r="AF2735" s="224"/>
      <c r="AG2735" s="224"/>
    </row>
    <row r="2736">
      <c r="AD2736" s="224"/>
      <c r="AE2736" s="224"/>
      <c r="AF2736" s="224"/>
      <c r="AG2736" s="224"/>
    </row>
    <row r="2737">
      <c r="AD2737" s="224"/>
      <c r="AE2737" s="224"/>
      <c r="AF2737" s="224"/>
      <c r="AG2737" s="224"/>
    </row>
    <row r="2738">
      <c r="AD2738" s="224"/>
      <c r="AE2738" s="224"/>
      <c r="AF2738" s="224"/>
      <c r="AG2738" s="224"/>
    </row>
    <row r="2739">
      <c r="AD2739" s="224"/>
      <c r="AE2739" s="224"/>
      <c r="AF2739" s="224"/>
      <c r="AG2739" s="224"/>
    </row>
    <row r="2740">
      <c r="AD2740" s="224"/>
      <c r="AE2740" s="224"/>
      <c r="AF2740" s="224"/>
      <c r="AG2740" s="224"/>
    </row>
    <row r="2741">
      <c r="AD2741" s="224"/>
      <c r="AE2741" s="224"/>
      <c r="AF2741" s="224"/>
      <c r="AG2741" s="224"/>
    </row>
    <row r="2742">
      <c r="AD2742" s="224"/>
      <c r="AE2742" s="224"/>
      <c r="AF2742" s="224"/>
      <c r="AG2742" s="224"/>
    </row>
    <row r="2743">
      <c r="AD2743" s="224"/>
      <c r="AE2743" s="224"/>
      <c r="AF2743" s="224"/>
      <c r="AG2743" s="224"/>
    </row>
    <row r="2744">
      <c r="AD2744" s="224"/>
      <c r="AE2744" s="224"/>
      <c r="AF2744" s="224"/>
      <c r="AG2744" s="224"/>
    </row>
    <row r="2745">
      <c r="AD2745" s="224"/>
      <c r="AE2745" s="224"/>
      <c r="AF2745" s="224"/>
      <c r="AG2745" s="224"/>
    </row>
    <row r="2746">
      <c r="AD2746" s="224"/>
      <c r="AE2746" s="224"/>
      <c r="AF2746" s="224"/>
      <c r="AG2746" s="224"/>
    </row>
    <row r="2747">
      <c r="AD2747" s="224"/>
      <c r="AE2747" s="224"/>
      <c r="AF2747" s="224"/>
      <c r="AG2747" s="224"/>
    </row>
    <row r="2748">
      <c r="AD2748" s="224"/>
      <c r="AE2748" s="224"/>
      <c r="AF2748" s="224"/>
      <c r="AG2748" s="224"/>
    </row>
    <row r="2749">
      <c r="AD2749" s="224"/>
      <c r="AE2749" s="224"/>
      <c r="AF2749" s="224"/>
      <c r="AG2749" s="224"/>
    </row>
    <row r="2750">
      <c r="AD2750" s="224"/>
      <c r="AE2750" s="224"/>
      <c r="AF2750" s="224"/>
      <c r="AG2750" s="224"/>
    </row>
    <row r="2751">
      <c r="AD2751" s="224"/>
      <c r="AE2751" s="224"/>
      <c r="AF2751" s="224"/>
      <c r="AG2751" s="224"/>
    </row>
    <row r="2752">
      <c r="AD2752" s="224"/>
      <c r="AE2752" s="224"/>
      <c r="AF2752" s="224"/>
      <c r="AG2752" s="224"/>
    </row>
    <row r="2753">
      <c r="AD2753" s="224"/>
      <c r="AE2753" s="224"/>
      <c r="AF2753" s="224"/>
      <c r="AG2753" s="224"/>
    </row>
    <row r="2754">
      <c r="AD2754" s="224"/>
      <c r="AE2754" s="224"/>
      <c r="AF2754" s="224"/>
      <c r="AG2754" s="224"/>
    </row>
    <row r="2755">
      <c r="AD2755" s="224"/>
      <c r="AE2755" s="224"/>
      <c r="AF2755" s="224"/>
      <c r="AG2755" s="224"/>
    </row>
    <row r="2756">
      <c r="AD2756" s="224"/>
      <c r="AE2756" s="224"/>
      <c r="AF2756" s="224"/>
      <c r="AG2756" s="224"/>
    </row>
    <row r="2757">
      <c r="AD2757" s="224"/>
      <c r="AE2757" s="224"/>
      <c r="AF2757" s="224"/>
      <c r="AG2757" s="224"/>
    </row>
    <row r="2758">
      <c r="AD2758" s="224"/>
      <c r="AE2758" s="224"/>
      <c r="AF2758" s="224"/>
      <c r="AG2758" s="224"/>
    </row>
    <row r="2759">
      <c r="AD2759" s="224"/>
      <c r="AE2759" s="224"/>
      <c r="AF2759" s="224"/>
      <c r="AG2759" s="224"/>
    </row>
    <row r="2760">
      <c r="AD2760" s="224"/>
      <c r="AE2760" s="224"/>
      <c r="AF2760" s="224"/>
      <c r="AG2760" s="224"/>
    </row>
    <row r="2761">
      <c r="AD2761" s="224"/>
      <c r="AE2761" s="224"/>
      <c r="AF2761" s="224"/>
      <c r="AG2761" s="224"/>
    </row>
    <row r="2762">
      <c r="AD2762" s="224"/>
      <c r="AE2762" s="224"/>
      <c r="AF2762" s="224"/>
      <c r="AG2762" s="224"/>
    </row>
    <row r="2763">
      <c r="AD2763" s="224"/>
      <c r="AE2763" s="224"/>
      <c r="AF2763" s="224"/>
      <c r="AG2763" s="224"/>
    </row>
    <row r="2764">
      <c r="AD2764" s="224"/>
      <c r="AE2764" s="224"/>
      <c r="AF2764" s="224"/>
      <c r="AG2764" s="224"/>
    </row>
    <row r="2765">
      <c r="AD2765" s="224"/>
      <c r="AE2765" s="224"/>
      <c r="AF2765" s="224"/>
      <c r="AG2765" s="224"/>
    </row>
    <row r="2766">
      <c r="AD2766" s="224"/>
      <c r="AE2766" s="224"/>
      <c r="AF2766" s="224"/>
      <c r="AG2766" s="224"/>
    </row>
    <row r="2767">
      <c r="AD2767" s="224"/>
      <c r="AE2767" s="224"/>
      <c r="AF2767" s="224"/>
      <c r="AG2767" s="224"/>
    </row>
    <row r="2768">
      <c r="AD2768" s="224"/>
      <c r="AE2768" s="224"/>
      <c r="AF2768" s="224"/>
      <c r="AG2768" s="224"/>
    </row>
    <row r="2769">
      <c r="AD2769" s="224"/>
      <c r="AE2769" s="224"/>
      <c r="AF2769" s="224"/>
      <c r="AG2769" s="224"/>
    </row>
    <row r="2770">
      <c r="AD2770" s="224"/>
      <c r="AE2770" s="224"/>
      <c r="AF2770" s="224"/>
      <c r="AG2770" s="224"/>
    </row>
    <row r="2771">
      <c r="AD2771" s="224"/>
      <c r="AE2771" s="224"/>
      <c r="AF2771" s="224"/>
      <c r="AG2771" s="224"/>
    </row>
    <row r="2772">
      <c r="AD2772" s="224"/>
      <c r="AE2772" s="224"/>
      <c r="AF2772" s="224"/>
      <c r="AG2772" s="224"/>
    </row>
    <row r="2773">
      <c r="AD2773" s="224"/>
      <c r="AE2773" s="224"/>
      <c r="AF2773" s="224"/>
      <c r="AG2773" s="224"/>
    </row>
    <row r="2774">
      <c r="AD2774" s="224"/>
      <c r="AE2774" s="224"/>
      <c r="AF2774" s="224"/>
      <c r="AG2774" s="224"/>
    </row>
    <row r="2775">
      <c r="AD2775" s="224"/>
      <c r="AE2775" s="224"/>
      <c r="AF2775" s="224"/>
      <c r="AG2775" s="224"/>
    </row>
    <row r="2776">
      <c r="AD2776" s="224"/>
      <c r="AE2776" s="224"/>
      <c r="AF2776" s="224"/>
      <c r="AG2776" s="224"/>
    </row>
    <row r="2777">
      <c r="AD2777" s="224"/>
      <c r="AE2777" s="224"/>
      <c r="AF2777" s="224"/>
      <c r="AG2777" s="224"/>
    </row>
    <row r="2778">
      <c r="AD2778" s="224"/>
      <c r="AE2778" s="224"/>
      <c r="AF2778" s="224"/>
      <c r="AG2778" s="224"/>
    </row>
    <row r="2779">
      <c r="AD2779" s="224"/>
      <c r="AE2779" s="224"/>
      <c r="AF2779" s="224"/>
      <c r="AG2779" s="224"/>
    </row>
    <row r="2780">
      <c r="AD2780" s="224"/>
      <c r="AE2780" s="224"/>
      <c r="AF2780" s="224"/>
      <c r="AG2780" s="224"/>
    </row>
    <row r="2781">
      <c r="AD2781" s="224"/>
      <c r="AE2781" s="224"/>
      <c r="AF2781" s="224"/>
      <c r="AG2781" s="224"/>
    </row>
    <row r="2782">
      <c r="AD2782" s="224"/>
      <c r="AE2782" s="224"/>
      <c r="AF2782" s="224"/>
      <c r="AG2782" s="224"/>
    </row>
    <row r="2783">
      <c r="AD2783" s="224"/>
      <c r="AE2783" s="224"/>
      <c r="AF2783" s="224"/>
      <c r="AG2783" s="224"/>
    </row>
    <row r="2784">
      <c r="AD2784" s="224"/>
      <c r="AE2784" s="224"/>
      <c r="AF2784" s="224"/>
      <c r="AG2784" s="224"/>
    </row>
    <row r="2785">
      <c r="AD2785" s="224"/>
      <c r="AE2785" s="224"/>
      <c r="AF2785" s="224"/>
      <c r="AG2785" s="224"/>
    </row>
    <row r="2786">
      <c r="AD2786" s="224"/>
      <c r="AE2786" s="224"/>
      <c r="AF2786" s="224"/>
      <c r="AG2786" s="224"/>
    </row>
    <row r="2787">
      <c r="AD2787" s="224"/>
      <c r="AE2787" s="224"/>
      <c r="AF2787" s="224"/>
      <c r="AG2787" s="224"/>
    </row>
    <row r="2788">
      <c r="AD2788" s="224"/>
      <c r="AE2788" s="224"/>
      <c r="AF2788" s="224"/>
      <c r="AG2788" s="224"/>
    </row>
    <row r="2789">
      <c r="AD2789" s="224"/>
      <c r="AE2789" s="224"/>
      <c r="AF2789" s="224"/>
      <c r="AG2789" s="224"/>
    </row>
    <row r="2790">
      <c r="AD2790" s="224"/>
      <c r="AE2790" s="224"/>
      <c r="AF2790" s="224"/>
      <c r="AG2790" s="224"/>
    </row>
    <row r="2791">
      <c r="AD2791" s="224"/>
      <c r="AE2791" s="224"/>
      <c r="AF2791" s="224"/>
      <c r="AG2791" s="224"/>
    </row>
    <row r="2792">
      <c r="AD2792" s="224"/>
      <c r="AE2792" s="224"/>
      <c r="AF2792" s="224"/>
      <c r="AG2792" s="224"/>
    </row>
    <row r="2793">
      <c r="AD2793" s="224"/>
      <c r="AE2793" s="224"/>
      <c r="AF2793" s="224"/>
      <c r="AG2793" s="224"/>
    </row>
    <row r="2794">
      <c r="AD2794" s="224"/>
      <c r="AE2794" s="224"/>
      <c r="AF2794" s="224"/>
      <c r="AG2794" s="224"/>
    </row>
    <row r="2795">
      <c r="AD2795" s="224"/>
      <c r="AE2795" s="224"/>
      <c r="AF2795" s="224"/>
      <c r="AG2795" s="224"/>
    </row>
    <row r="2796">
      <c r="AD2796" s="224"/>
      <c r="AE2796" s="224"/>
      <c r="AF2796" s="224"/>
      <c r="AG2796" s="224"/>
    </row>
    <row r="2797">
      <c r="AD2797" s="224"/>
      <c r="AE2797" s="224"/>
      <c r="AF2797" s="224"/>
      <c r="AG2797" s="224"/>
    </row>
    <row r="2798">
      <c r="AD2798" s="224"/>
      <c r="AE2798" s="224"/>
      <c r="AF2798" s="224"/>
      <c r="AG2798" s="224"/>
    </row>
    <row r="2799">
      <c r="AD2799" s="224"/>
      <c r="AE2799" s="224"/>
      <c r="AF2799" s="224"/>
      <c r="AG2799" s="224"/>
    </row>
    <row r="2800">
      <c r="AD2800" s="224"/>
      <c r="AE2800" s="224"/>
      <c r="AF2800" s="224"/>
      <c r="AG2800" s="224"/>
    </row>
    <row r="2801">
      <c r="AD2801" s="224"/>
      <c r="AE2801" s="224"/>
      <c r="AF2801" s="224"/>
      <c r="AG2801" s="224"/>
    </row>
    <row r="2802">
      <c r="AD2802" s="224"/>
      <c r="AE2802" s="224"/>
      <c r="AF2802" s="224"/>
      <c r="AG2802" s="224"/>
    </row>
    <row r="2803">
      <c r="AD2803" s="224"/>
      <c r="AE2803" s="224"/>
      <c r="AF2803" s="224"/>
      <c r="AG2803" s="224"/>
    </row>
    <row r="2804">
      <c r="AD2804" s="224"/>
      <c r="AE2804" s="224"/>
      <c r="AF2804" s="224"/>
      <c r="AG2804" s="224"/>
    </row>
    <row r="2805">
      <c r="AD2805" s="224"/>
      <c r="AE2805" s="224"/>
      <c r="AF2805" s="224"/>
      <c r="AG2805" s="224"/>
    </row>
    <row r="2806">
      <c r="AD2806" s="224"/>
      <c r="AE2806" s="224"/>
      <c r="AF2806" s="224"/>
      <c r="AG2806" s="224"/>
    </row>
    <row r="2807">
      <c r="AD2807" s="224"/>
      <c r="AE2807" s="224"/>
      <c r="AF2807" s="224"/>
      <c r="AG2807" s="224"/>
    </row>
    <row r="2808">
      <c r="AD2808" s="224"/>
      <c r="AE2808" s="224"/>
      <c r="AF2808" s="224"/>
      <c r="AG2808" s="224"/>
    </row>
    <row r="2809">
      <c r="AD2809" s="224"/>
      <c r="AE2809" s="224"/>
      <c r="AF2809" s="224"/>
      <c r="AG2809" s="224"/>
    </row>
    <row r="2810">
      <c r="AD2810" s="224"/>
      <c r="AE2810" s="224"/>
      <c r="AF2810" s="224"/>
      <c r="AG2810" s="224"/>
    </row>
    <row r="2811">
      <c r="AD2811" s="224"/>
      <c r="AE2811" s="224"/>
      <c r="AF2811" s="224"/>
      <c r="AG2811" s="224"/>
    </row>
    <row r="2812">
      <c r="AD2812" s="224"/>
      <c r="AE2812" s="224"/>
      <c r="AF2812" s="224"/>
      <c r="AG2812" s="224"/>
    </row>
    <row r="2813">
      <c r="AD2813" s="224"/>
      <c r="AE2813" s="224"/>
      <c r="AF2813" s="224"/>
      <c r="AG2813" s="224"/>
    </row>
    <row r="2814">
      <c r="AD2814" s="224"/>
      <c r="AE2814" s="224"/>
      <c r="AF2814" s="224"/>
      <c r="AG2814" s="224"/>
    </row>
    <row r="2815">
      <c r="AD2815" s="224"/>
      <c r="AE2815" s="224"/>
      <c r="AF2815" s="224"/>
      <c r="AG2815" s="224"/>
    </row>
    <row r="2816">
      <c r="AD2816" s="224"/>
      <c r="AE2816" s="224"/>
      <c r="AF2816" s="224"/>
      <c r="AG2816" s="224"/>
    </row>
    <row r="2817">
      <c r="AD2817" s="224"/>
      <c r="AE2817" s="224"/>
      <c r="AF2817" s="224"/>
      <c r="AG2817" s="224"/>
    </row>
    <row r="2818">
      <c r="AD2818" s="224"/>
      <c r="AE2818" s="224"/>
      <c r="AF2818" s="224"/>
      <c r="AG2818" s="224"/>
    </row>
    <row r="2819">
      <c r="AD2819" s="224"/>
      <c r="AE2819" s="224"/>
      <c r="AF2819" s="224"/>
      <c r="AG2819" s="224"/>
    </row>
    <row r="2820">
      <c r="AD2820" s="224"/>
      <c r="AE2820" s="224"/>
      <c r="AF2820" s="224"/>
      <c r="AG2820" s="224"/>
    </row>
    <row r="2821">
      <c r="AD2821" s="224"/>
      <c r="AE2821" s="224"/>
      <c r="AF2821" s="224"/>
      <c r="AG2821" s="224"/>
    </row>
    <row r="2822">
      <c r="AD2822" s="224"/>
      <c r="AE2822" s="224"/>
      <c r="AF2822" s="224"/>
      <c r="AG2822" s="224"/>
    </row>
    <row r="2823">
      <c r="AD2823" s="224"/>
      <c r="AE2823" s="224"/>
      <c r="AF2823" s="224"/>
      <c r="AG2823" s="224"/>
    </row>
    <row r="2824">
      <c r="AD2824" s="224"/>
      <c r="AE2824" s="224"/>
      <c r="AF2824" s="224"/>
      <c r="AG2824" s="224"/>
    </row>
    <row r="2825">
      <c r="AD2825" s="224"/>
      <c r="AE2825" s="224"/>
      <c r="AF2825" s="224"/>
      <c r="AG2825" s="224"/>
    </row>
    <row r="2826">
      <c r="AD2826" s="224"/>
      <c r="AE2826" s="224"/>
      <c r="AF2826" s="224"/>
      <c r="AG2826" s="224"/>
    </row>
    <row r="2827">
      <c r="AD2827" s="224"/>
      <c r="AE2827" s="224"/>
      <c r="AF2827" s="224"/>
      <c r="AG2827" s="224"/>
    </row>
    <row r="2828">
      <c r="AD2828" s="224"/>
      <c r="AE2828" s="224"/>
      <c r="AF2828" s="224"/>
      <c r="AG2828" s="224"/>
    </row>
    <row r="2829">
      <c r="AD2829" s="224"/>
      <c r="AE2829" s="224"/>
      <c r="AF2829" s="224"/>
      <c r="AG2829" s="224"/>
    </row>
    <row r="2830">
      <c r="AD2830" s="224"/>
      <c r="AE2830" s="224"/>
      <c r="AF2830" s="224"/>
      <c r="AG2830" s="224"/>
    </row>
    <row r="2831">
      <c r="AD2831" s="224"/>
      <c r="AE2831" s="224"/>
      <c r="AF2831" s="224"/>
      <c r="AG2831" s="224"/>
    </row>
    <row r="2832">
      <c r="AD2832" s="224"/>
      <c r="AE2832" s="224"/>
      <c r="AF2832" s="224"/>
      <c r="AG2832" s="224"/>
    </row>
    <row r="2833">
      <c r="AD2833" s="224"/>
      <c r="AE2833" s="224"/>
      <c r="AF2833" s="224"/>
      <c r="AG2833" s="224"/>
    </row>
    <row r="2834">
      <c r="AD2834" s="224"/>
      <c r="AE2834" s="224"/>
      <c r="AF2834" s="224"/>
      <c r="AG2834" s="224"/>
    </row>
    <row r="2835">
      <c r="AD2835" s="224"/>
      <c r="AE2835" s="224"/>
      <c r="AF2835" s="224"/>
      <c r="AG2835" s="224"/>
    </row>
    <row r="2836">
      <c r="AD2836" s="224"/>
      <c r="AE2836" s="224"/>
      <c r="AF2836" s="224"/>
      <c r="AG2836" s="224"/>
    </row>
    <row r="2837">
      <c r="AD2837" s="224"/>
      <c r="AE2837" s="224"/>
      <c r="AF2837" s="224"/>
      <c r="AG2837" s="224"/>
    </row>
    <row r="2838">
      <c r="AD2838" s="224"/>
      <c r="AE2838" s="224"/>
      <c r="AF2838" s="224"/>
      <c r="AG2838" s="224"/>
    </row>
    <row r="2839">
      <c r="AD2839" s="224"/>
      <c r="AE2839" s="224"/>
      <c r="AF2839" s="224"/>
      <c r="AG2839" s="224"/>
    </row>
    <row r="2840">
      <c r="AD2840" s="224"/>
      <c r="AE2840" s="224"/>
      <c r="AF2840" s="224"/>
      <c r="AG2840" s="224"/>
    </row>
    <row r="2841">
      <c r="AD2841" s="224"/>
      <c r="AE2841" s="224"/>
      <c r="AF2841" s="224"/>
      <c r="AG2841" s="224"/>
    </row>
    <row r="2842">
      <c r="AD2842" s="224"/>
      <c r="AE2842" s="224"/>
      <c r="AF2842" s="224"/>
      <c r="AG2842" s="224"/>
    </row>
    <row r="2843">
      <c r="AD2843" s="224"/>
      <c r="AE2843" s="224"/>
      <c r="AF2843" s="224"/>
      <c r="AG2843" s="224"/>
    </row>
    <row r="2844">
      <c r="AD2844" s="224"/>
      <c r="AE2844" s="224"/>
      <c r="AF2844" s="224"/>
      <c r="AG2844" s="224"/>
    </row>
    <row r="2845">
      <c r="AD2845" s="224"/>
      <c r="AE2845" s="224"/>
      <c r="AF2845" s="224"/>
      <c r="AG2845" s="224"/>
    </row>
    <row r="2846">
      <c r="AD2846" s="224"/>
      <c r="AE2846" s="224"/>
      <c r="AF2846" s="224"/>
      <c r="AG2846" s="224"/>
    </row>
    <row r="2847">
      <c r="AD2847" s="224"/>
      <c r="AE2847" s="224"/>
      <c r="AF2847" s="224"/>
      <c r="AG2847" s="224"/>
    </row>
    <row r="2848">
      <c r="AD2848" s="224"/>
      <c r="AE2848" s="224"/>
      <c r="AF2848" s="224"/>
      <c r="AG2848" s="224"/>
    </row>
    <row r="2849">
      <c r="AD2849" s="224"/>
      <c r="AE2849" s="224"/>
      <c r="AF2849" s="224"/>
      <c r="AG2849" s="224"/>
    </row>
    <row r="2850">
      <c r="AD2850" s="224"/>
      <c r="AE2850" s="224"/>
      <c r="AF2850" s="224"/>
      <c r="AG2850" s="224"/>
    </row>
    <row r="2851">
      <c r="AD2851" s="224"/>
      <c r="AE2851" s="224"/>
      <c r="AF2851" s="224"/>
      <c r="AG2851" s="224"/>
    </row>
    <row r="2852">
      <c r="AD2852" s="224"/>
      <c r="AE2852" s="224"/>
      <c r="AF2852" s="224"/>
      <c r="AG2852" s="224"/>
    </row>
    <row r="2853">
      <c r="AD2853" s="224"/>
      <c r="AE2853" s="224"/>
      <c r="AF2853" s="224"/>
      <c r="AG2853" s="224"/>
    </row>
    <row r="2854">
      <c r="AD2854" s="224"/>
      <c r="AE2854" s="224"/>
      <c r="AF2854" s="224"/>
      <c r="AG2854" s="224"/>
    </row>
    <row r="2855">
      <c r="AD2855" s="224"/>
      <c r="AE2855" s="224"/>
      <c r="AF2855" s="224"/>
      <c r="AG2855" s="224"/>
    </row>
    <row r="2856">
      <c r="AD2856" s="224"/>
      <c r="AE2856" s="224"/>
      <c r="AF2856" s="224"/>
      <c r="AG2856" s="224"/>
    </row>
    <row r="2857">
      <c r="AD2857" s="224"/>
      <c r="AE2857" s="224"/>
      <c r="AF2857" s="224"/>
      <c r="AG2857" s="224"/>
    </row>
    <row r="2858">
      <c r="AD2858" s="224"/>
      <c r="AE2858" s="224"/>
      <c r="AF2858" s="224"/>
      <c r="AG2858" s="224"/>
    </row>
    <row r="2859">
      <c r="AD2859" s="224"/>
      <c r="AE2859" s="224"/>
      <c r="AF2859" s="224"/>
      <c r="AG2859" s="224"/>
    </row>
    <row r="2860">
      <c r="AD2860" s="224"/>
      <c r="AE2860" s="224"/>
      <c r="AF2860" s="224"/>
      <c r="AG2860" s="224"/>
    </row>
    <row r="2861">
      <c r="AD2861" s="224"/>
      <c r="AE2861" s="224"/>
      <c r="AF2861" s="224"/>
      <c r="AG2861" s="224"/>
    </row>
    <row r="2862">
      <c r="AD2862" s="224"/>
      <c r="AE2862" s="224"/>
      <c r="AF2862" s="224"/>
      <c r="AG2862" s="224"/>
    </row>
    <row r="2863">
      <c r="AD2863" s="224"/>
      <c r="AE2863" s="224"/>
      <c r="AF2863" s="224"/>
      <c r="AG2863" s="224"/>
    </row>
    <row r="2864">
      <c r="AD2864" s="224"/>
      <c r="AE2864" s="224"/>
      <c r="AF2864" s="224"/>
      <c r="AG2864" s="224"/>
    </row>
    <row r="2865">
      <c r="AD2865" s="224"/>
      <c r="AE2865" s="224"/>
      <c r="AF2865" s="224"/>
      <c r="AG2865" s="224"/>
    </row>
    <row r="2866">
      <c r="AD2866" s="224"/>
      <c r="AE2866" s="224"/>
      <c r="AF2866" s="224"/>
      <c r="AG2866" s="224"/>
    </row>
    <row r="2867">
      <c r="AD2867" s="224"/>
      <c r="AE2867" s="224"/>
      <c r="AF2867" s="224"/>
      <c r="AG2867" s="224"/>
    </row>
    <row r="2868">
      <c r="AD2868" s="224"/>
      <c r="AE2868" s="224"/>
      <c r="AF2868" s="224"/>
      <c r="AG2868" s="224"/>
    </row>
    <row r="2869">
      <c r="AD2869" s="224"/>
      <c r="AE2869" s="224"/>
      <c r="AF2869" s="224"/>
      <c r="AG2869" s="224"/>
    </row>
    <row r="2870">
      <c r="AD2870" s="224"/>
      <c r="AE2870" s="224"/>
      <c r="AF2870" s="224"/>
      <c r="AG2870" s="224"/>
    </row>
    <row r="2871">
      <c r="AD2871" s="224"/>
      <c r="AE2871" s="224"/>
      <c r="AF2871" s="224"/>
      <c r="AG2871" s="224"/>
    </row>
    <row r="2872">
      <c r="AD2872" s="224"/>
      <c r="AE2872" s="224"/>
      <c r="AF2872" s="224"/>
      <c r="AG2872" s="224"/>
    </row>
    <row r="2873">
      <c r="AD2873" s="224"/>
      <c r="AE2873" s="224"/>
      <c r="AF2873" s="224"/>
      <c r="AG2873" s="224"/>
    </row>
    <row r="2874">
      <c r="AD2874" s="224"/>
      <c r="AE2874" s="224"/>
      <c r="AF2874" s="224"/>
      <c r="AG2874" s="224"/>
    </row>
    <row r="2875">
      <c r="AD2875" s="224"/>
      <c r="AE2875" s="224"/>
      <c r="AF2875" s="224"/>
      <c r="AG2875" s="224"/>
    </row>
    <row r="2876">
      <c r="AD2876" s="224"/>
      <c r="AE2876" s="224"/>
      <c r="AF2876" s="224"/>
      <c r="AG2876" s="224"/>
    </row>
    <row r="2877">
      <c r="AD2877" s="224"/>
      <c r="AE2877" s="224"/>
      <c r="AF2877" s="224"/>
      <c r="AG2877" s="224"/>
    </row>
    <row r="2878">
      <c r="AD2878" s="224"/>
      <c r="AE2878" s="224"/>
      <c r="AF2878" s="224"/>
      <c r="AG2878" s="224"/>
    </row>
    <row r="2879">
      <c r="AD2879" s="224"/>
      <c r="AE2879" s="224"/>
      <c r="AF2879" s="224"/>
      <c r="AG2879" s="224"/>
    </row>
    <row r="2880">
      <c r="AD2880" s="224"/>
      <c r="AE2880" s="224"/>
      <c r="AF2880" s="224"/>
      <c r="AG2880" s="224"/>
    </row>
    <row r="2881">
      <c r="AD2881" s="224"/>
      <c r="AE2881" s="224"/>
      <c r="AF2881" s="224"/>
      <c r="AG2881" s="224"/>
    </row>
    <row r="2882">
      <c r="AD2882" s="224"/>
      <c r="AE2882" s="224"/>
      <c r="AF2882" s="224"/>
      <c r="AG2882" s="224"/>
    </row>
    <row r="2883">
      <c r="AD2883" s="224"/>
      <c r="AE2883" s="224"/>
      <c r="AF2883" s="224"/>
      <c r="AG2883" s="224"/>
    </row>
    <row r="2884">
      <c r="AD2884" s="224"/>
      <c r="AE2884" s="224"/>
      <c r="AF2884" s="224"/>
      <c r="AG2884" s="224"/>
    </row>
    <row r="2885">
      <c r="AD2885" s="224"/>
      <c r="AE2885" s="224"/>
      <c r="AF2885" s="224"/>
      <c r="AG2885" s="224"/>
    </row>
    <row r="2886">
      <c r="AD2886" s="224"/>
      <c r="AE2886" s="224"/>
      <c r="AF2886" s="224"/>
      <c r="AG2886" s="224"/>
    </row>
    <row r="2887">
      <c r="AD2887" s="224"/>
      <c r="AE2887" s="224"/>
      <c r="AF2887" s="224"/>
      <c r="AG2887" s="224"/>
    </row>
    <row r="2888">
      <c r="AD2888" s="224"/>
      <c r="AE2888" s="224"/>
      <c r="AF2888" s="224"/>
      <c r="AG2888" s="224"/>
    </row>
    <row r="2889">
      <c r="AD2889" s="224"/>
      <c r="AE2889" s="224"/>
      <c r="AF2889" s="224"/>
      <c r="AG2889" s="224"/>
    </row>
    <row r="2890">
      <c r="AD2890" s="224"/>
      <c r="AE2890" s="224"/>
      <c r="AF2890" s="224"/>
      <c r="AG2890" s="224"/>
    </row>
    <row r="2891">
      <c r="AD2891" s="224"/>
      <c r="AE2891" s="224"/>
      <c r="AF2891" s="224"/>
      <c r="AG2891" s="224"/>
    </row>
    <row r="2892">
      <c r="AD2892" s="224"/>
      <c r="AE2892" s="224"/>
      <c r="AF2892" s="224"/>
      <c r="AG2892" s="224"/>
    </row>
    <row r="2893">
      <c r="AD2893" s="224"/>
      <c r="AE2893" s="224"/>
      <c r="AF2893" s="224"/>
      <c r="AG2893" s="224"/>
    </row>
    <row r="2894">
      <c r="AD2894" s="224"/>
      <c r="AE2894" s="224"/>
      <c r="AF2894" s="224"/>
      <c r="AG2894" s="224"/>
    </row>
    <row r="2895">
      <c r="AD2895" s="224"/>
      <c r="AE2895" s="224"/>
      <c r="AF2895" s="224"/>
      <c r="AG2895" s="224"/>
    </row>
    <row r="2896">
      <c r="AD2896" s="224"/>
      <c r="AE2896" s="224"/>
      <c r="AF2896" s="224"/>
      <c r="AG2896" s="224"/>
    </row>
    <row r="2897">
      <c r="AD2897" s="224"/>
      <c r="AE2897" s="224"/>
      <c r="AF2897" s="224"/>
      <c r="AG2897" s="224"/>
    </row>
    <row r="2898">
      <c r="AD2898" s="224"/>
      <c r="AE2898" s="224"/>
      <c r="AF2898" s="224"/>
      <c r="AG2898" s="224"/>
    </row>
    <row r="2899">
      <c r="AD2899" s="224"/>
      <c r="AE2899" s="224"/>
      <c r="AF2899" s="224"/>
      <c r="AG2899" s="224"/>
    </row>
    <row r="2900">
      <c r="AD2900" s="224"/>
      <c r="AE2900" s="224"/>
      <c r="AF2900" s="224"/>
      <c r="AG2900" s="224"/>
    </row>
    <row r="2901">
      <c r="AD2901" s="224"/>
      <c r="AE2901" s="224"/>
      <c r="AF2901" s="224"/>
      <c r="AG2901" s="224"/>
    </row>
    <row r="2902">
      <c r="AD2902" s="224"/>
      <c r="AE2902" s="224"/>
      <c r="AF2902" s="224"/>
      <c r="AG2902" s="224"/>
    </row>
    <row r="2903">
      <c r="AD2903" s="224"/>
      <c r="AE2903" s="224"/>
      <c r="AF2903" s="224"/>
      <c r="AG2903" s="224"/>
    </row>
    <row r="2904">
      <c r="AD2904" s="224"/>
      <c r="AE2904" s="224"/>
      <c r="AF2904" s="224"/>
      <c r="AG2904" s="224"/>
    </row>
    <row r="2905">
      <c r="AD2905" s="224"/>
      <c r="AE2905" s="224"/>
      <c r="AF2905" s="224"/>
      <c r="AG2905" s="224"/>
    </row>
    <row r="2906">
      <c r="AD2906" s="224"/>
      <c r="AE2906" s="224"/>
      <c r="AF2906" s="224"/>
      <c r="AG2906" s="224"/>
    </row>
    <row r="2907">
      <c r="AD2907" s="224"/>
      <c r="AE2907" s="224"/>
      <c r="AF2907" s="224"/>
      <c r="AG2907" s="224"/>
    </row>
    <row r="2908">
      <c r="AD2908" s="224"/>
      <c r="AE2908" s="224"/>
      <c r="AF2908" s="224"/>
      <c r="AG2908" s="224"/>
    </row>
    <row r="2909">
      <c r="AD2909" s="224"/>
      <c r="AE2909" s="224"/>
      <c r="AF2909" s="224"/>
      <c r="AG2909" s="224"/>
    </row>
    <row r="2910">
      <c r="AD2910" s="224"/>
      <c r="AE2910" s="224"/>
      <c r="AF2910" s="224"/>
      <c r="AG2910" s="224"/>
    </row>
    <row r="2911">
      <c r="AD2911" s="224"/>
      <c r="AE2911" s="224"/>
      <c r="AF2911" s="224"/>
      <c r="AG2911" s="224"/>
    </row>
    <row r="2912">
      <c r="AD2912" s="224"/>
      <c r="AE2912" s="224"/>
      <c r="AF2912" s="224"/>
      <c r="AG2912" s="224"/>
    </row>
    <row r="2913">
      <c r="AD2913" s="224"/>
      <c r="AE2913" s="224"/>
      <c r="AF2913" s="224"/>
      <c r="AG2913" s="224"/>
    </row>
    <row r="2914">
      <c r="AD2914" s="224"/>
      <c r="AE2914" s="224"/>
      <c r="AF2914" s="224"/>
      <c r="AG2914" s="224"/>
    </row>
    <row r="2915">
      <c r="AD2915" s="224"/>
      <c r="AE2915" s="224"/>
      <c r="AF2915" s="224"/>
      <c r="AG2915" s="224"/>
    </row>
    <row r="2916">
      <c r="AD2916" s="224"/>
      <c r="AE2916" s="224"/>
      <c r="AF2916" s="224"/>
      <c r="AG2916" s="224"/>
    </row>
    <row r="2917">
      <c r="AD2917" s="224"/>
      <c r="AE2917" s="224"/>
      <c r="AF2917" s="224"/>
      <c r="AG2917" s="224"/>
    </row>
    <row r="2918">
      <c r="AD2918" s="224"/>
      <c r="AE2918" s="224"/>
      <c r="AF2918" s="224"/>
      <c r="AG2918" s="224"/>
    </row>
    <row r="2919">
      <c r="AD2919" s="224"/>
      <c r="AE2919" s="224"/>
      <c r="AF2919" s="224"/>
      <c r="AG2919" s="224"/>
    </row>
    <row r="2920">
      <c r="AD2920" s="224"/>
      <c r="AE2920" s="224"/>
      <c r="AF2920" s="224"/>
      <c r="AG2920" s="224"/>
    </row>
    <row r="2921">
      <c r="AD2921" s="224"/>
      <c r="AE2921" s="224"/>
      <c r="AF2921" s="224"/>
      <c r="AG2921" s="224"/>
    </row>
    <row r="2922">
      <c r="AD2922" s="224"/>
      <c r="AE2922" s="224"/>
      <c r="AF2922" s="224"/>
      <c r="AG2922" s="224"/>
    </row>
    <row r="2923">
      <c r="AD2923" s="224"/>
      <c r="AE2923" s="224"/>
      <c r="AF2923" s="224"/>
      <c r="AG2923" s="224"/>
    </row>
    <row r="2924">
      <c r="AD2924" s="224"/>
      <c r="AE2924" s="224"/>
      <c r="AF2924" s="224"/>
      <c r="AG2924" s="224"/>
    </row>
    <row r="2925">
      <c r="AD2925" s="224"/>
      <c r="AE2925" s="224"/>
      <c r="AF2925" s="224"/>
      <c r="AG2925" s="224"/>
    </row>
    <row r="2926">
      <c r="AD2926" s="224"/>
      <c r="AE2926" s="224"/>
      <c r="AF2926" s="224"/>
      <c r="AG2926" s="224"/>
    </row>
    <row r="2927">
      <c r="AD2927" s="224"/>
      <c r="AE2927" s="224"/>
      <c r="AF2927" s="224"/>
      <c r="AG2927" s="224"/>
    </row>
    <row r="2928">
      <c r="AD2928" s="224"/>
      <c r="AE2928" s="224"/>
      <c r="AF2928" s="224"/>
      <c r="AG2928" s="224"/>
    </row>
    <row r="2929">
      <c r="AD2929" s="224"/>
      <c r="AE2929" s="224"/>
      <c r="AF2929" s="224"/>
      <c r="AG2929" s="224"/>
    </row>
    <row r="2930">
      <c r="AD2930" s="224"/>
      <c r="AE2930" s="224"/>
      <c r="AF2930" s="224"/>
      <c r="AG2930" s="224"/>
    </row>
    <row r="2931">
      <c r="AD2931" s="224"/>
      <c r="AE2931" s="224"/>
      <c r="AF2931" s="224"/>
      <c r="AG2931" s="224"/>
    </row>
    <row r="2932">
      <c r="AD2932" s="224"/>
      <c r="AE2932" s="224"/>
      <c r="AF2932" s="224"/>
      <c r="AG2932" s="224"/>
    </row>
    <row r="2933">
      <c r="AD2933" s="224"/>
      <c r="AE2933" s="224"/>
      <c r="AF2933" s="224"/>
      <c r="AG2933" s="224"/>
    </row>
    <row r="2934">
      <c r="AD2934" s="224"/>
      <c r="AE2934" s="224"/>
      <c r="AF2934" s="224"/>
      <c r="AG2934" s="224"/>
    </row>
    <row r="2935">
      <c r="AD2935" s="224"/>
      <c r="AE2935" s="224"/>
      <c r="AF2935" s="224"/>
      <c r="AG2935" s="224"/>
    </row>
    <row r="2936">
      <c r="AD2936" s="224"/>
      <c r="AE2936" s="224"/>
      <c r="AF2936" s="224"/>
      <c r="AG2936" s="224"/>
    </row>
    <row r="2937">
      <c r="AD2937" s="224"/>
      <c r="AE2937" s="224"/>
      <c r="AF2937" s="224"/>
      <c r="AG2937" s="224"/>
    </row>
    <row r="2938">
      <c r="AD2938" s="224"/>
      <c r="AE2938" s="224"/>
      <c r="AF2938" s="224"/>
      <c r="AG2938" s="224"/>
    </row>
    <row r="2939">
      <c r="AD2939" s="224"/>
      <c r="AE2939" s="224"/>
      <c r="AF2939" s="224"/>
      <c r="AG2939" s="224"/>
    </row>
    <row r="2940">
      <c r="AD2940" s="224"/>
      <c r="AE2940" s="224"/>
      <c r="AF2940" s="224"/>
      <c r="AG2940" s="224"/>
    </row>
    <row r="2941">
      <c r="AD2941" s="224"/>
      <c r="AE2941" s="224"/>
      <c r="AF2941" s="224"/>
      <c r="AG2941" s="224"/>
    </row>
    <row r="2942">
      <c r="AD2942" s="224"/>
      <c r="AE2942" s="224"/>
      <c r="AF2942" s="224"/>
      <c r="AG2942" s="224"/>
    </row>
    <row r="2943">
      <c r="AD2943" s="224"/>
      <c r="AE2943" s="224"/>
      <c r="AF2943" s="224"/>
      <c r="AG2943" s="224"/>
    </row>
    <row r="2944">
      <c r="AD2944" s="224"/>
      <c r="AE2944" s="224"/>
      <c r="AF2944" s="224"/>
      <c r="AG2944" s="224"/>
    </row>
    <row r="2945">
      <c r="AD2945" s="224"/>
      <c r="AE2945" s="224"/>
      <c r="AF2945" s="224"/>
      <c r="AG2945" s="224"/>
    </row>
    <row r="2946">
      <c r="AD2946" s="224"/>
      <c r="AE2946" s="224"/>
      <c r="AF2946" s="224"/>
      <c r="AG2946" s="224"/>
    </row>
    <row r="2947">
      <c r="AD2947" s="224"/>
      <c r="AE2947" s="224"/>
      <c r="AF2947" s="224"/>
      <c r="AG2947" s="224"/>
    </row>
    <row r="2948">
      <c r="AD2948" s="224"/>
      <c r="AE2948" s="224"/>
      <c r="AF2948" s="224"/>
      <c r="AG2948" s="224"/>
    </row>
    <row r="2949">
      <c r="AD2949" s="224"/>
      <c r="AE2949" s="224"/>
      <c r="AF2949" s="224"/>
      <c r="AG2949" s="224"/>
    </row>
    <row r="2950">
      <c r="AD2950" s="224"/>
      <c r="AE2950" s="224"/>
      <c r="AF2950" s="224"/>
      <c r="AG2950" s="224"/>
    </row>
    <row r="2951">
      <c r="AD2951" s="224"/>
      <c r="AE2951" s="224"/>
      <c r="AF2951" s="224"/>
      <c r="AG2951" s="224"/>
    </row>
    <row r="2952">
      <c r="AD2952" s="224"/>
      <c r="AE2952" s="224"/>
      <c r="AF2952" s="224"/>
      <c r="AG2952" s="224"/>
    </row>
    <row r="2953">
      <c r="AD2953" s="224"/>
      <c r="AE2953" s="224"/>
      <c r="AF2953" s="224"/>
      <c r="AG2953" s="224"/>
    </row>
    <row r="2954">
      <c r="AD2954" s="224"/>
      <c r="AE2954" s="224"/>
      <c r="AF2954" s="224"/>
      <c r="AG2954" s="224"/>
    </row>
    <row r="2955">
      <c r="AD2955" s="224"/>
      <c r="AE2955" s="224"/>
      <c r="AF2955" s="224"/>
      <c r="AG2955" s="224"/>
    </row>
    <row r="2956">
      <c r="AD2956" s="224"/>
      <c r="AE2956" s="224"/>
      <c r="AF2956" s="224"/>
      <c r="AG2956" s="224"/>
    </row>
    <row r="2957">
      <c r="AD2957" s="224"/>
      <c r="AE2957" s="224"/>
      <c r="AF2957" s="224"/>
      <c r="AG2957" s="224"/>
    </row>
    <row r="2958">
      <c r="AD2958" s="224"/>
      <c r="AE2958" s="224"/>
      <c r="AF2958" s="224"/>
      <c r="AG2958" s="224"/>
    </row>
    <row r="2959">
      <c r="AD2959" s="224"/>
      <c r="AE2959" s="224"/>
      <c r="AF2959" s="224"/>
      <c r="AG2959" s="224"/>
    </row>
    <row r="2960">
      <c r="AD2960" s="224"/>
      <c r="AE2960" s="224"/>
      <c r="AF2960" s="224"/>
      <c r="AG2960" s="224"/>
    </row>
    <row r="2961">
      <c r="AD2961" s="224"/>
      <c r="AE2961" s="224"/>
      <c r="AF2961" s="224"/>
      <c r="AG2961" s="224"/>
    </row>
    <row r="2962">
      <c r="AD2962" s="224"/>
      <c r="AE2962" s="224"/>
      <c r="AF2962" s="224"/>
      <c r="AG2962" s="224"/>
    </row>
    <row r="2963">
      <c r="AD2963" s="224"/>
      <c r="AE2963" s="224"/>
      <c r="AF2963" s="224"/>
      <c r="AG2963" s="224"/>
    </row>
    <row r="2964">
      <c r="AD2964" s="224"/>
      <c r="AE2964" s="224"/>
      <c r="AF2964" s="224"/>
      <c r="AG2964" s="224"/>
    </row>
    <row r="2965">
      <c r="AD2965" s="224"/>
      <c r="AE2965" s="224"/>
      <c r="AF2965" s="224"/>
      <c r="AG2965" s="224"/>
    </row>
    <row r="2966">
      <c r="AD2966" s="224"/>
      <c r="AE2966" s="224"/>
      <c r="AF2966" s="224"/>
      <c r="AG2966" s="224"/>
    </row>
    <row r="2967">
      <c r="AD2967" s="224"/>
      <c r="AE2967" s="224"/>
      <c r="AF2967" s="224"/>
      <c r="AG2967" s="224"/>
    </row>
    <row r="2968">
      <c r="AD2968" s="224"/>
      <c r="AE2968" s="224"/>
      <c r="AF2968" s="224"/>
      <c r="AG2968" s="224"/>
    </row>
    <row r="2969">
      <c r="AD2969" s="224"/>
      <c r="AE2969" s="224"/>
      <c r="AF2969" s="224"/>
      <c r="AG2969" s="224"/>
    </row>
    <row r="2970">
      <c r="AD2970" s="224"/>
      <c r="AE2970" s="224"/>
      <c r="AF2970" s="224"/>
      <c r="AG2970" s="224"/>
    </row>
    <row r="2971">
      <c r="AD2971" s="224"/>
      <c r="AE2971" s="224"/>
      <c r="AF2971" s="224"/>
      <c r="AG2971" s="224"/>
    </row>
    <row r="2972">
      <c r="AD2972" s="224"/>
      <c r="AE2972" s="224"/>
      <c r="AF2972" s="224"/>
      <c r="AG2972" s="224"/>
    </row>
    <row r="2973">
      <c r="AD2973" s="224"/>
      <c r="AE2973" s="224"/>
      <c r="AF2973" s="224"/>
      <c r="AG2973" s="224"/>
    </row>
    <row r="2974">
      <c r="AD2974" s="224"/>
      <c r="AE2974" s="224"/>
      <c r="AF2974" s="224"/>
      <c r="AG2974" s="224"/>
    </row>
    <row r="2975">
      <c r="AD2975" s="224"/>
      <c r="AE2975" s="224"/>
      <c r="AF2975" s="224"/>
      <c r="AG2975" s="224"/>
    </row>
    <row r="2976">
      <c r="AD2976" s="224"/>
      <c r="AE2976" s="224"/>
      <c r="AF2976" s="224"/>
      <c r="AG2976" s="224"/>
    </row>
    <row r="2977">
      <c r="AD2977" s="224"/>
      <c r="AE2977" s="224"/>
      <c r="AF2977" s="224"/>
      <c r="AG2977" s="224"/>
    </row>
    <row r="2978">
      <c r="AD2978" s="224"/>
      <c r="AE2978" s="224"/>
      <c r="AF2978" s="224"/>
      <c r="AG2978" s="224"/>
    </row>
    <row r="2979">
      <c r="AD2979" s="224"/>
      <c r="AE2979" s="224"/>
      <c r="AF2979" s="224"/>
      <c r="AG2979" s="224"/>
    </row>
    <row r="2980">
      <c r="AD2980" s="224"/>
      <c r="AE2980" s="224"/>
      <c r="AF2980" s="224"/>
      <c r="AG2980" s="224"/>
    </row>
    <row r="2981">
      <c r="AD2981" s="224"/>
      <c r="AE2981" s="224"/>
      <c r="AF2981" s="224"/>
      <c r="AG2981" s="224"/>
    </row>
    <row r="2982">
      <c r="AD2982" s="224"/>
      <c r="AE2982" s="224"/>
      <c r="AF2982" s="224"/>
      <c r="AG2982" s="224"/>
    </row>
    <row r="2983">
      <c r="AD2983" s="224"/>
      <c r="AE2983" s="224"/>
      <c r="AF2983" s="224"/>
      <c r="AG2983" s="224"/>
    </row>
    <row r="2984">
      <c r="AD2984" s="224"/>
      <c r="AE2984" s="224"/>
      <c r="AF2984" s="224"/>
      <c r="AG2984" s="224"/>
    </row>
    <row r="2985">
      <c r="AD2985" s="224"/>
      <c r="AE2985" s="224"/>
      <c r="AF2985" s="224"/>
      <c r="AG2985" s="224"/>
    </row>
    <row r="2986">
      <c r="AD2986" s="224"/>
      <c r="AE2986" s="224"/>
      <c r="AF2986" s="224"/>
      <c r="AG2986" s="224"/>
    </row>
    <row r="2987">
      <c r="AD2987" s="224"/>
      <c r="AE2987" s="224"/>
      <c r="AF2987" s="224"/>
      <c r="AG2987" s="224"/>
    </row>
    <row r="2988">
      <c r="AD2988" s="224"/>
      <c r="AE2988" s="224"/>
      <c r="AF2988" s="224"/>
      <c r="AG2988" s="224"/>
    </row>
    <row r="2989">
      <c r="AD2989" s="224"/>
      <c r="AE2989" s="224"/>
      <c r="AF2989" s="224"/>
      <c r="AG2989" s="224"/>
    </row>
    <row r="2990">
      <c r="AD2990" s="224"/>
      <c r="AE2990" s="224"/>
      <c r="AF2990" s="224"/>
      <c r="AG2990" s="224"/>
    </row>
    <row r="2991">
      <c r="AD2991" s="224"/>
      <c r="AE2991" s="224"/>
      <c r="AF2991" s="224"/>
      <c r="AG2991" s="224"/>
    </row>
    <row r="2992">
      <c r="AD2992" s="224"/>
      <c r="AE2992" s="224"/>
      <c r="AF2992" s="224"/>
      <c r="AG2992" s="224"/>
    </row>
    <row r="2993">
      <c r="AD2993" s="224"/>
      <c r="AE2993" s="224"/>
      <c r="AF2993" s="224"/>
      <c r="AG2993" s="224"/>
    </row>
    <row r="2994">
      <c r="AD2994" s="224"/>
      <c r="AE2994" s="224"/>
      <c r="AF2994" s="224"/>
      <c r="AG2994" s="224"/>
    </row>
    <row r="2995">
      <c r="AD2995" s="224"/>
      <c r="AE2995" s="224"/>
      <c r="AF2995" s="224"/>
      <c r="AG2995" s="224"/>
    </row>
    <row r="2996">
      <c r="AD2996" s="224"/>
      <c r="AE2996" s="224"/>
      <c r="AF2996" s="224"/>
      <c r="AG2996" s="224"/>
    </row>
    <row r="2997">
      <c r="AD2997" s="224"/>
      <c r="AE2997" s="224"/>
      <c r="AF2997" s="224"/>
      <c r="AG2997" s="224"/>
    </row>
    <row r="2998">
      <c r="AD2998" s="224"/>
      <c r="AE2998" s="224"/>
      <c r="AF2998" s="224"/>
      <c r="AG2998" s="224"/>
    </row>
    <row r="2999">
      <c r="AD2999" s="224"/>
      <c r="AE2999" s="224"/>
      <c r="AF2999" s="224"/>
      <c r="AG2999" s="224"/>
    </row>
    <row r="3000">
      <c r="AD3000" s="224"/>
      <c r="AE3000" s="224"/>
      <c r="AF3000" s="224"/>
      <c r="AG3000" s="224"/>
    </row>
    <row r="3001">
      <c r="AD3001" s="224"/>
      <c r="AE3001" s="224"/>
      <c r="AF3001" s="224"/>
      <c r="AG3001" s="224"/>
    </row>
    <row r="3002">
      <c r="AD3002" s="224"/>
      <c r="AE3002" s="224"/>
      <c r="AF3002" s="224"/>
      <c r="AG3002" s="224"/>
    </row>
    <row r="3003">
      <c r="AD3003" s="224"/>
      <c r="AE3003" s="224"/>
      <c r="AF3003" s="224"/>
      <c r="AG3003" s="224"/>
    </row>
    <row r="3004">
      <c r="AD3004" s="224"/>
      <c r="AE3004" s="224"/>
      <c r="AF3004" s="224"/>
      <c r="AG3004" s="224"/>
    </row>
    <row r="3005">
      <c r="AD3005" s="224"/>
      <c r="AE3005" s="224"/>
      <c r="AF3005" s="224"/>
      <c r="AG3005" s="224"/>
    </row>
    <row r="3006">
      <c r="AD3006" s="224"/>
      <c r="AE3006" s="224"/>
      <c r="AF3006" s="224"/>
      <c r="AG3006" s="224"/>
    </row>
    <row r="3007">
      <c r="AD3007" s="224"/>
      <c r="AE3007" s="224"/>
      <c r="AF3007" s="224"/>
      <c r="AG3007" s="224"/>
    </row>
    <row r="3008">
      <c r="AD3008" s="224"/>
      <c r="AE3008" s="224"/>
      <c r="AF3008" s="224"/>
      <c r="AG3008" s="224"/>
    </row>
    <row r="3009">
      <c r="AD3009" s="224"/>
      <c r="AE3009" s="224"/>
      <c r="AF3009" s="224"/>
      <c r="AG3009" s="224"/>
    </row>
    <row r="3010">
      <c r="AD3010" s="224"/>
      <c r="AE3010" s="224"/>
      <c r="AF3010" s="224"/>
      <c r="AG3010" s="224"/>
    </row>
    <row r="3011">
      <c r="AD3011" s="224"/>
      <c r="AE3011" s="224"/>
      <c r="AF3011" s="224"/>
      <c r="AG3011" s="224"/>
    </row>
    <row r="3012">
      <c r="AD3012" s="224"/>
      <c r="AE3012" s="224"/>
      <c r="AF3012" s="224"/>
      <c r="AG3012" s="224"/>
    </row>
    <row r="3013">
      <c r="AD3013" s="224"/>
      <c r="AE3013" s="224"/>
      <c r="AF3013" s="224"/>
      <c r="AG3013" s="224"/>
    </row>
    <row r="3014">
      <c r="AD3014" s="224"/>
      <c r="AE3014" s="224"/>
      <c r="AF3014" s="224"/>
      <c r="AG3014" s="224"/>
    </row>
    <row r="3015">
      <c r="AD3015" s="224"/>
      <c r="AE3015" s="224"/>
      <c r="AF3015" s="224"/>
      <c r="AG3015" s="224"/>
    </row>
    <row r="3016">
      <c r="AD3016" s="224"/>
      <c r="AE3016" s="224"/>
      <c r="AF3016" s="224"/>
      <c r="AG3016" s="224"/>
    </row>
    <row r="3017">
      <c r="AD3017" s="224"/>
      <c r="AE3017" s="224"/>
      <c r="AF3017" s="224"/>
      <c r="AG3017" s="224"/>
    </row>
    <row r="3018">
      <c r="AD3018" s="224"/>
      <c r="AE3018" s="224"/>
      <c r="AF3018" s="224"/>
      <c r="AG3018" s="224"/>
    </row>
    <row r="3019">
      <c r="AD3019" s="224"/>
      <c r="AE3019" s="224"/>
      <c r="AF3019" s="224"/>
      <c r="AG3019" s="224"/>
    </row>
    <row r="3020">
      <c r="AD3020" s="224"/>
      <c r="AE3020" s="224"/>
      <c r="AF3020" s="224"/>
      <c r="AG3020" s="224"/>
    </row>
    <row r="3021">
      <c r="AD3021" s="224"/>
      <c r="AE3021" s="224"/>
      <c r="AF3021" s="224"/>
      <c r="AG3021" s="224"/>
    </row>
    <row r="3022">
      <c r="AD3022" s="224"/>
      <c r="AE3022" s="224"/>
      <c r="AF3022" s="224"/>
      <c r="AG3022" s="224"/>
    </row>
    <row r="3023">
      <c r="AD3023" s="224"/>
      <c r="AE3023" s="224"/>
      <c r="AF3023" s="224"/>
      <c r="AG3023" s="224"/>
    </row>
    <row r="3024">
      <c r="AD3024" s="224"/>
      <c r="AE3024" s="224"/>
      <c r="AF3024" s="224"/>
      <c r="AG3024" s="224"/>
    </row>
    <row r="3025">
      <c r="AD3025" s="224"/>
      <c r="AE3025" s="224"/>
      <c r="AF3025" s="224"/>
      <c r="AG3025" s="224"/>
    </row>
    <row r="3026">
      <c r="AD3026" s="224"/>
      <c r="AE3026" s="224"/>
      <c r="AF3026" s="224"/>
      <c r="AG3026" s="224"/>
    </row>
    <row r="3027">
      <c r="AD3027" s="224"/>
      <c r="AE3027" s="224"/>
      <c r="AF3027" s="224"/>
      <c r="AG3027" s="224"/>
    </row>
    <row r="3028">
      <c r="AD3028" s="224"/>
      <c r="AE3028" s="224"/>
      <c r="AF3028" s="224"/>
      <c r="AG3028" s="224"/>
    </row>
    <row r="3029">
      <c r="AD3029" s="224"/>
      <c r="AE3029" s="224"/>
      <c r="AF3029" s="224"/>
      <c r="AG3029" s="224"/>
    </row>
    <row r="3030">
      <c r="AD3030" s="224"/>
      <c r="AE3030" s="224"/>
      <c r="AF3030" s="224"/>
      <c r="AG3030" s="224"/>
    </row>
    <row r="3031">
      <c r="AD3031" s="224"/>
      <c r="AE3031" s="224"/>
      <c r="AF3031" s="224"/>
      <c r="AG3031" s="224"/>
    </row>
    <row r="3032">
      <c r="AD3032" s="224"/>
      <c r="AE3032" s="224"/>
      <c r="AF3032" s="224"/>
      <c r="AG3032" s="224"/>
    </row>
    <row r="3033">
      <c r="AD3033" s="224"/>
      <c r="AE3033" s="224"/>
      <c r="AF3033" s="224"/>
      <c r="AG3033" s="224"/>
    </row>
    <row r="3034">
      <c r="AD3034" s="224"/>
      <c r="AE3034" s="224"/>
      <c r="AF3034" s="224"/>
      <c r="AG3034" s="224"/>
    </row>
    <row r="3035">
      <c r="AD3035" s="224"/>
      <c r="AE3035" s="224"/>
      <c r="AF3035" s="224"/>
      <c r="AG3035" s="224"/>
    </row>
    <row r="3036">
      <c r="AD3036" s="224"/>
      <c r="AE3036" s="224"/>
      <c r="AF3036" s="224"/>
      <c r="AG3036" s="224"/>
    </row>
    <row r="3037">
      <c r="AD3037" s="224"/>
      <c r="AE3037" s="224"/>
      <c r="AF3037" s="224"/>
      <c r="AG3037" s="224"/>
    </row>
    <row r="3038">
      <c r="AD3038" s="224"/>
      <c r="AE3038" s="224"/>
      <c r="AF3038" s="224"/>
      <c r="AG3038" s="224"/>
    </row>
    <row r="3039">
      <c r="AD3039" s="224"/>
      <c r="AE3039" s="224"/>
      <c r="AF3039" s="224"/>
      <c r="AG3039" s="224"/>
    </row>
    <row r="3040">
      <c r="AD3040" s="224"/>
      <c r="AE3040" s="224"/>
      <c r="AF3040" s="224"/>
      <c r="AG3040" s="224"/>
    </row>
    <row r="3041">
      <c r="AD3041" s="224"/>
      <c r="AE3041" s="224"/>
      <c r="AF3041" s="224"/>
      <c r="AG3041" s="224"/>
    </row>
    <row r="3042">
      <c r="AD3042" s="224"/>
      <c r="AE3042" s="224"/>
      <c r="AF3042" s="224"/>
      <c r="AG3042" s="224"/>
    </row>
    <row r="3043">
      <c r="AD3043" s="224"/>
      <c r="AE3043" s="224"/>
      <c r="AF3043" s="224"/>
      <c r="AG3043" s="224"/>
    </row>
    <row r="3044">
      <c r="AD3044" s="224"/>
      <c r="AE3044" s="224"/>
      <c r="AF3044" s="224"/>
      <c r="AG3044" s="224"/>
    </row>
    <row r="3045">
      <c r="AD3045" s="224"/>
      <c r="AE3045" s="224"/>
      <c r="AF3045" s="224"/>
      <c r="AG3045" s="224"/>
    </row>
    <row r="3046">
      <c r="AD3046" s="224"/>
      <c r="AE3046" s="224"/>
      <c r="AF3046" s="224"/>
      <c r="AG3046" s="224"/>
    </row>
    <row r="3047">
      <c r="AD3047" s="224"/>
      <c r="AE3047" s="224"/>
      <c r="AF3047" s="224"/>
      <c r="AG3047" s="224"/>
    </row>
    <row r="3048">
      <c r="AD3048" s="224"/>
      <c r="AE3048" s="224"/>
      <c r="AF3048" s="224"/>
      <c r="AG3048" s="224"/>
    </row>
    <row r="3049">
      <c r="AD3049" s="224"/>
      <c r="AE3049" s="224"/>
      <c r="AF3049" s="224"/>
      <c r="AG3049" s="224"/>
    </row>
    <row r="3050">
      <c r="AD3050" s="224"/>
      <c r="AE3050" s="224"/>
      <c r="AF3050" s="224"/>
      <c r="AG3050" s="224"/>
    </row>
    <row r="3051">
      <c r="AD3051" s="224"/>
      <c r="AE3051" s="224"/>
      <c r="AF3051" s="224"/>
      <c r="AG3051" s="224"/>
    </row>
    <row r="3052">
      <c r="AD3052" s="224"/>
      <c r="AE3052" s="224"/>
      <c r="AF3052" s="224"/>
      <c r="AG3052" s="224"/>
    </row>
    <row r="3053">
      <c r="AD3053" s="224"/>
      <c r="AE3053" s="224"/>
      <c r="AF3053" s="224"/>
      <c r="AG3053" s="224"/>
    </row>
    <row r="3054">
      <c r="AD3054" s="224"/>
      <c r="AE3054" s="224"/>
      <c r="AF3054" s="224"/>
      <c r="AG3054" s="224"/>
    </row>
    <row r="3055">
      <c r="AD3055" s="224"/>
      <c r="AE3055" s="224"/>
      <c r="AF3055" s="224"/>
      <c r="AG3055" s="224"/>
    </row>
    <row r="3056">
      <c r="AD3056" s="224"/>
      <c r="AE3056" s="224"/>
      <c r="AF3056" s="224"/>
      <c r="AG3056" s="224"/>
    </row>
    <row r="3057">
      <c r="AD3057" s="224"/>
      <c r="AE3057" s="224"/>
      <c r="AF3057" s="224"/>
      <c r="AG3057" s="224"/>
    </row>
    <row r="3058">
      <c r="AD3058" s="224"/>
      <c r="AE3058" s="224"/>
      <c r="AF3058" s="224"/>
      <c r="AG3058" s="224"/>
    </row>
    <row r="3059">
      <c r="AD3059" s="224"/>
      <c r="AE3059" s="224"/>
      <c r="AF3059" s="224"/>
      <c r="AG3059" s="224"/>
    </row>
    <row r="3060">
      <c r="AD3060" s="224"/>
      <c r="AE3060" s="224"/>
      <c r="AF3060" s="224"/>
      <c r="AG3060" s="224"/>
    </row>
    <row r="3061">
      <c r="AD3061" s="224"/>
      <c r="AE3061" s="224"/>
      <c r="AF3061" s="224"/>
      <c r="AG3061" s="224"/>
    </row>
    <row r="3062">
      <c r="AD3062" s="224"/>
      <c r="AE3062" s="224"/>
      <c r="AF3062" s="224"/>
      <c r="AG3062" s="224"/>
    </row>
    <row r="3063">
      <c r="AD3063" s="224"/>
      <c r="AE3063" s="224"/>
      <c r="AF3063" s="224"/>
      <c r="AG3063" s="224"/>
    </row>
    <row r="3064">
      <c r="AD3064" s="224"/>
      <c r="AE3064" s="224"/>
      <c r="AF3064" s="224"/>
      <c r="AG3064" s="224"/>
    </row>
    <row r="3065">
      <c r="AD3065" s="224"/>
      <c r="AE3065" s="224"/>
      <c r="AF3065" s="224"/>
      <c r="AG3065" s="224"/>
    </row>
    <row r="3066">
      <c r="AD3066" s="224"/>
      <c r="AE3066" s="224"/>
      <c r="AF3066" s="224"/>
      <c r="AG3066" s="224"/>
    </row>
    <row r="3067">
      <c r="AD3067" s="224"/>
      <c r="AE3067" s="224"/>
      <c r="AF3067" s="224"/>
      <c r="AG3067" s="224"/>
    </row>
    <row r="3068">
      <c r="AD3068" s="224"/>
      <c r="AE3068" s="224"/>
      <c r="AF3068" s="224"/>
      <c r="AG3068" s="224"/>
    </row>
    <row r="3069">
      <c r="AD3069" s="224"/>
      <c r="AE3069" s="224"/>
      <c r="AF3069" s="224"/>
      <c r="AG3069" s="224"/>
    </row>
    <row r="3070">
      <c r="AD3070" s="224"/>
      <c r="AE3070" s="224"/>
      <c r="AF3070" s="224"/>
      <c r="AG3070" s="224"/>
    </row>
    <row r="3071">
      <c r="AD3071" s="224"/>
      <c r="AE3071" s="224"/>
      <c r="AF3071" s="224"/>
      <c r="AG3071" s="224"/>
    </row>
    <row r="3072">
      <c r="AD3072" s="224"/>
      <c r="AE3072" s="224"/>
      <c r="AF3072" s="224"/>
      <c r="AG3072" s="224"/>
    </row>
    <row r="3073">
      <c r="AD3073" s="224"/>
      <c r="AE3073" s="224"/>
      <c r="AF3073" s="224"/>
      <c r="AG3073" s="224"/>
    </row>
    <row r="3074">
      <c r="AD3074" s="224"/>
      <c r="AE3074" s="224"/>
      <c r="AF3074" s="224"/>
      <c r="AG3074" s="224"/>
    </row>
    <row r="3075">
      <c r="AD3075" s="224"/>
      <c r="AE3075" s="224"/>
      <c r="AF3075" s="224"/>
      <c r="AG3075" s="224"/>
    </row>
    <row r="3076">
      <c r="AD3076" s="224"/>
      <c r="AE3076" s="224"/>
      <c r="AF3076" s="224"/>
      <c r="AG3076" s="224"/>
    </row>
    <row r="3077">
      <c r="AD3077" s="224"/>
      <c r="AE3077" s="224"/>
      <c r="AF3077" s="224"/>
      <c r="AG3077" s="224"/>
    </row>
    <row r="3078">
      <c r="AD3078" s="224"/>
      <c r="AE3078" s="224"/>
      <c r="AF3078" s="224"/>
      <c r="AG3078" s="224"/>
    </row>
    <row r="3079">
      <c r="AD3079" s="224"/>
      <c r="AE3079" s="224"/>
      <c r="AF3079" s="224"/>
      <c r="AG3079" s="224"/>
    </row>
    <row r="3080">
      <c r="AD3080" s="224"/>
      <c r="AE3080" s="224"/>
      <c r="AF3080" s="224"/>
      <c r="AG3080" s="224"/>
    </row>
    <row r="3081">
      <c r="AD3081" s="224"/>
      <c r="AE3081" s="224"/>
      <c r="AF3081" s="224"/>
      <c r="AG3081" s="224"/>
    </row>
    <row r="3082">
      <c r="AD3082" s="224"/>
      <c r="AE3082" s="224"/>
      <c r="AF3082" s="224"/>
      <c r="AG3082" s="224"/>
    </row>
    <row r="3083">
      <c r="AD3083" s="224"/>
      <c r="AE3083" s="224"/>
      <c r="AF3083" s="224"/>
      <c r="AG3083" s="224"/>
    </row>
    <row r="3084">
      <c r="AD3084" s="224"/>
      <c r="AE3084" s="224"/>
      <c r="AF3084" s="224"/>
      <c r="AG3084" s="224"/>
    </row>
    <row r="3085">
      <c r="AD3085" s="224"/>
      <c r="AE3085" s="224"/>
      <c r="AF3085" s="224"/>
      <c r="AG3085" s="224"/>
    </row>
    <row r="3086">
      <c r="AD3086" s="224"/>
      <c r="AE3086" s="224"/>
      <c r="AF3086" s="224"/>
      <c r="AG3086" s="224"/>
    </row>
    <row r="3087">
      <c r="AD3087" s="224"/>
      <c r="AE3087" s="224"/>
      <c r="AF3087" s="224"/>
      <c r="AG3087" s="224"/>
    </row>
    <row r="3088">
      <c r="AD3088" s="224"/>
      <c r="AE3088" s="224"/>
      <c r="AF3088" s="224"/>
      <c r="AG3088" s="224"/>
    </row>
    <row r="3089">
      <c r="AD3089" s="224"/>
      <c r="AE3089" s="224"/>
      <c r="AF3089" s="224"/>
      <c r="AG3089" s="224"/>
    </row>
    <row r="3090">
      <c r="AD3090" s="224"/>
      <c r="AE3090" s="224"/>
      <c r="AF3090" s="224"/>
      <c r="AG3090" s="224"/>
    </row>
    <row r="3091">
      <c r="AD3091" s="224"/>
      <c r="AE3091" s="224"/>
      <c r="AF3091" s="224"/>
      <c r="AG3091" s="224"/>
    </row>
    <row r="3092">
      <c r="AD3092" s="224"/>
      <c r="AE3092" s="224"/>
      <c r="AF3092" s="224"/>
      <c r="AG3092" s="224"/>
    </row>
    <row r="3093">
      <c r="AD3093" s="224"/>
      <c r="AE3093" s="224"/>
      <c r="AF3093" s="224"/>
      <c r="AG3093" s="224"/>
    </row>
    <row r="3094">
      <c r="AD3094" s="224"/>
      <c r="AE3094" s="224"/>
      <c r="AF3094" s="224"/>
      <c r="AG3094" s="224"/>
    </row>
    <row r="3095">
      <c r="AD3095" s="224"/>
      <c r="AE3095" s="224"/>
      <c r="AF3095" s="224"/>
      <c r="AG3095" s="224"/>
    </row>
    <row r="3096">
      <c r="AD3096" s="224"/>
      <c r="AE3096" s="224"/>
      <c r="AF3096" s="224"/>
      <c r="AG3096" s="224"/>
    </row>
    <row r="3097">
      <c r="AD3097" s="224"/>
      <c r="AE3097" s="224"/>
      <c r="AF3097" s="224"/>
      <c r="AG3097" s="224"/>
    </row>
    <row r="3098">
      <c r="AD3098" s="224"/>
      <c r="AE3098" s="224"/>
      <c r="AF3098" s="224"/>
      <c r="AG3098" s="224"/>
    </row>
    <row r="3099">
      <c r="AD3099" s="224"/>
      <c r="AE3099" s="224"/>
      <c r="AF3099" s="224"/>
      <c r="AG3099" s="224"/>
    </row>
    <row r="3100">
      <c r="AD3100" s="224"/>
      <c r="AE3100" s="224"/>
      <c r="AF3100" s="224"/>
      <c r="AG3100" s="224"/>
    </row>
    <row r="3101">
      <c r="AD3101" s="224"/>
      <c r="AE3101" s="224"/>
      <c r="AF3101" s="224"/>
      <c r="AG3101" s="224"/>
    </row>
    <row r="3102">
      <c r="AD3102" s="224"/>
      <c r="AE3102" s="224"/>
      <c r="AF3102" s="224"/>
      <c r="AG3102" s="224"/>
    </row>
    <row r="3103">
      <c r="AD3103" s="224"/>
      <c r="AE3103" s="224"/>
      <c r="AF3103" s="224"/>
      <c r="AG3103" s="224"/>
    </row>
    <row r="3104">
      <c r="AD3104" s="224"/>
      <c r="AE3104" s="224"/>
      <c r="AF3104" s="224"/>
      <c r="AG3104" s="224"/>
    </row>
    <row r="3105">
      <c r="AD3105" s="224"/>
      <c r="AE3105" s="224"/>
      <c r="AF3105" s="224"/>
      <c r="AG3105" s="224"/>
    </row>
    <row r="3106">
      <c r="AD3106" s="224"/>
      <c r="AE3106" s="224"/>
      <c r="AF3106" s="224"/>
      <c r="AG3106" s="224"/>
    </row>
    <row r="3107">
      <c r="AD3107" s="224"/>
      <c r="AE3107" s="224"/>
      <c r="AF3107" s="224"/>
      <c r="AG3107" s="224"/>
    </row>
    <row r="3108">
      <c r="AD3108" s="224"/>
      <c r="AE3108" s="224"/>
      <c r="AF3108" s="224"/>
      <c r="AG3108" s="224"/>
    </row>
    <row r="3109">
      <c r="AD3109" s="224"/>
      <c r="AE3109" s="224"/>
      <c r="AF3109" s="224"/>
      <c r="AG3109" s="224"/>
    </row>
    <row r="3110">
      <c r="AD3110" s="224"/>
      <c r="AE3110" s="224"/>
      <c r="AF3110" s="224"/>
      <c r="AG3110" s="224"/>
    </row>
    <row r="3111">
      <c r="AD3111" s="224"/>
      <c r="AE3111" s="224"/>
      <c r="AF3111" s="224"/>
      <c r="AG3111" s="224"/>
    </row>
    <row r="3112">
      <c r="AD3112" s="224"/>
      <c r="AE3112" s="224"/>
      <c r="AF3112" s="224"/>
      <c r="AG3112" s="224"/>
    </row>
    <row r="3113">
      <c r="AD3113" s="224"/>
      <c r="AE3113" s="224"/>
      <c r="AF3113" s="224"/>
      <c r="AG3113" s="224"/>
    </row>
    <row r="3114">
      <c r="AD3114" s="224"/>
      <c r="AE3114" s="224"/>
      <c r="AF3114" s="224"/>
      <c r="AG3114" s="224"/>
    </row>
    <row r="3115">
      <c r="AD3115" s="224"/>
      <c r="AE3115" s="224"/>
      <c r="AF3115" s="224"/>
      <c r="AG3115" s="224"/>
    </row>
    <row r="3116">
      <c r="AD3116" s="224"/>
      <c r="AE3116" s="224"/>
      <c r="AF3116" s="224"/>
      <c r="AG3116" s="224"/>
    </row>
    <row r="3117">
      <c r="AD3117" s="224"/>
      <c r="AE3117" s="224"/>
      <c r="AF3117" s="224"/>
      <c r="AG3117" s="224"/>
    </row>
    <row r="3118">
      <c r="AD3118" s="224"/>
      <c r="AE3118" s="224"/>
      <c r="AF3118" s="224"/>
      <c r="AG3118" s="224"/>
    </row>
    <row r="3119">
      <c r="AD3119" s="224"/>
      <c r="AE3119" s="224"/>
      <c r="AF3119" s="224"/>
      <c r="AG3119" s="224"/>
    </row>
    <row r="3120">
      <c r="AD3120" s="224"/>
      <c r="AE3120" s="224"/>
      <c r="AF3120" s="224"/>
      <c r="AG3120" s="224"/>
    </row>
    <row r="3121">
      <c r="AD3121" s="224"/>
      <c r="AE3121" s="224"/>
      <c r="AF3121" s="224"/>
      <c r="AG3121" s="224"/>
    </row>
    <row r="3122">
      <c r="AD3122" s="224"/>
      <c r="AE3122" s="224"/>
      <c r="AF3122" s="224"/>
      <c r="AG3122" s="224"/>
    </row>
    <row r="3123">
      <c r="AD3123" s="224"/>
      <c r="AE3123" s="224"/>
      <c r="AF3123" s="224"/>
      <c r="AG3123" s="224"/>
    </row>
    <row r="3124">
      <c r="AD3124" s="224"/>
      <c r="AE3124" s="224"/>
      <c r="AF3124" s="224"/>
      <c r="AG3124" s="224"/>
    </row>
    <row r="3125">
      <c r="AD3125" s="224"/>
      <c r="AE3125" s="224"/>
      <c r="AF3125" s="224"/>
      <c r="AG3125" s="224"/>
    </row>
    <row r="3126">
      <c r="AD3126" s="224"/>
      <c r="AE3126" s="224"/>
      <c r="AF3126" s="224"/>
      <c r="AG3126" s="224"/>
    </row>
    <row r="3127">
      <c r="AD3127" s="224"/>
      <c r="AE3127" s="224"/>
      <c r="AF3127" s="224"/>
      <c r="AG3127" s="224"/>
    </row>
    <row r="3128">
      <c r="AD3128" s="224"/>
      <c r="AE3128" s="224"/>
      <c r="AF3128" s="224"/>
      <c r="AG3128" s="224"/>
    </row>
    <row r="3129">
      <c r="AD3129" s="224"/>
      <c r="AE3129" s="224"/>
      <c r="AF3129" s="224"/>
      <c r="AG3129" s="224"/>
    </row>
    <row r="3130">
      <c r="AD3130" s="224"/>
      <c r="AE3130" s="224"/>
      <c r="AF3130" s="224"/>
      <c r="AG3130" s="224"/>
    </row>
    <row r="3131">
      <c r="AD3131" s="224"/>
      <c r="AE3131" s="224"/>
      <c r="AF3131" s="224"/>
      <c r="AG3131" s="224"/>
    </row>
    <row r="3132">
      <c r="AD3132" s="224"/>
      <c r="AE3132" s="224"/>
      <c r="AF3132" s="224"/>
      <c r="AG3132" s="224"/>
    </row>
    <row r="3133">
      <c r="AD3133" s="224"/>
      <c r="AE3133" s="224"/>
      <c r="AF3133" s="224"/>
      <c r="AG3133" s="224"/>
    </row>
    <row r="3134">
      <c r="AD3134" s="224"/>
      <c r="AE3134" s="224"/>
      <c r="AF3134" s="224"/>
      <c r="AG3134" s="224"/>
    </row>
    <row r="3135">
      <c r="AD3135" s="224"/>
      <c r="AE3135" s="224"/>
      <c r="AF3135" s="224"/>
      <c r="AG3135" s="224"/>
    </row>
    <row r="3136">
      <c r="AD3136" s="224"/>
      <c r="AE3136" s="224"/>
      <c r="AF3136" s="224"/>
      <c r="AG3136" s="224"/>
    </row>
    <row r="3137">
      <c r="AD3137" s="224"/>
      <c r="AE3137" s="224"/>
      <c r="AF3137" s="224"/>
      <c r="AG3137" s="224"/>
    </row>
    <row r="3138">
      <c r="AD3138" s="224"/>
      <c r="AE3138" s="224"/>
      <c r="AF3138" s="224"/>
      <c r="AG3138" s="224"/>
    </row>
    <row r="3139">
      <c r="AD3139" s="224"/>
      <c r="AE3139" s="224"/>
      <c r="AF3139" s="224"/>
      <c r="AG3139" s="224"/>
    </row>
    <row r="3140">
      <c r="AD3140" s="224"/>
      <c r="AE3140" s="224"/>
      <c r="AF3140" s="224"/>
      <c r="AG3140" s="224"/>
    </row>
    <row r="3141">
      <c r="AD3141" s="224"/>
      <c r="AE3141" s="224"/>
      <c r="AF3141" s="224"/>
      <c r="AG3141" s="224"/>
    </row>
    <row r="3142">
      <c r="AD3142" s="224"/>
      <c r="AE3142" s="224"/>
      <c r="AF3142" s="224"/>
      <c r="AG3142" s="224"/>
    </row>
    <row r="3143">
      <c r="AD3143" s="224"/>
      <c r="AE3143" s="224"/>
      <c r="AF3143" s="224"/>
      <c r="AG3143" s="224"/>
    </row>
    <row r="3144">
      <c r="AD3144" s="224"/>
      <c r="AE3144" s="224"/>
      <c r="AF3144" s="224"/>
      <c r="AG3144" s="224"/>
    </row>
    <row r="3145">
      <c r="AD3145" s="224"/>
      <c r="AE3145" s="224"/>
      <c r="AF3145" s="224"/>
      <c r="AG3145" s="224"/>
    </row>
    <row r="3146">
      <c r="AD3146" s="224"/>
      <c r="AE3146" s="224"/>
      <c r="AF3146" s="224"/>
      <c r="AG3146" s="224"/>
    </row>
    <row r="3147">
      <c r="AD3147" s="224"/>
      <c r="AE3147" s="224"/>
      <c r="AF3147" s="224"/>
      <c r="AG3147" s="224"/>
    </row>
    <row r="3148">
      <c r="AD3148" s="224"/>
      <c r="AE3148" s="224"/>
      <c r="AF3148" s="224"/>
      <c r="AG3148" s="224"/>
    </row>
    <row r="3149">
      <c r="AD3149" s="224"/>
      <c r="AE3149" s="224"/>
      <c r="AF3149" s="224"/>
      <c r="AG3149" s="224"/>
    </row>
    <row r="3150">
      <c r="AD3150" s="224"/>
      <c r="AE3150" s="224"/>
      <c r="AF3150" s="224"/>
      <c r="AG3150" s="224"/>
    </row>
    <row r="3151">
      <c r="AD3151" s="224"/>
      <c r="AE3151" s="224"/>
      <c r="AF3151" s="224"/>
      <c r="AG3151" s="224"/>
    </row>
    <row r="3152">
      <c r="AD3152" s="224"/>
      <c r="AE3152" s="224"/>
      <c r="AF3152" s="224"/>
      <c r="AG3152" s="224"/>
    </row>
    <row r="3153">
      <c r="AD3153" s="224"/>
      <c r="AE3153" s="224"/>
      <c r="AF3153" s="224"/>
      <c r="AG3153" s="224"/>
    </row>
    <row r="3154">
      <c r="AD3154" s="224"/>
      <c r="AE3154" s="224"/>
      <c r="AF3154" s="224"/>
      <c r="AG3154" s="224"/>
    </row>
    <row r="3155">
      <c r="AD3155" s="224"/>
      <c r="AE3155" s="224"/>
      <c r="AF3155" s="224"/>
      <c r="AG3155" s="224"/>
    </row>
    <row r="3156">
      <c r="AD3156" s="224"/>
      <c r="AE3156" s="224"/>
      <c r="AF3156" s="224"/>
      <c r="AG3156" s="224"/>
    </row>
    <row r="3157">
      <c r="AD3157" s="224"/>
      <c r="AE3157" s="224"/>
      <c r="AF3157" s="224"/>
      <c r="AG3157" s="224"/>
    </row>
    <row r="3158">
      <c r="AD3158" s="224"/>
      <c r="AE3158" s="224"/>
      <c r="AF3158" s="224"/>
      <c r="AG3158" s="224"/>
    </row>
    <row r="3159">
      <c r="AD3159" s="224"/>
      <c r="AE3159" s="224"/>
      <c r="AF3159" s="224"/>
      <c r="AG3159" s="224"/>
    </row>
    <row r="3160">
      <c r="AD3160" s="224"/>
      <c r="AE3160" s="224"/>
      <c r="AF3160" s="224"/>
      <c r="AG3160" s="224"/>
    </row>
    <row r="3161">
      <c r="AD3161" s="224"/>
      <c r="AE3161" s="224"/>
      <c r="AF3161" s="224"/>
      <c r="AG3161" s="224"/>
    </row>
    <row r="3162">
      <c r="AD3162" s="224"/>
      <c r="AE3162" s="224"/>
      <c r="AF3162" s="224"/>
      <c r="AG3162" s="224"/>
    </row>
    <row r="3163">
      <c r="AD3163" s="224"/>
      <c r="AE3163" s="224"/>
      <c r="AF3163" s="224"/>
      <c r="AG3163" s="224"/>
    </row>
    <row r="3164">
      <c r="AD3164" s="224"/>
      <c r="AE3164" s="224"/>
      <c r="AF3164" s="224"/>
      <c r="AG3164" s="224"/>
    </row>
    <row r="3165">
      <c r="AD3165" s="224"/>
      <c r="AE3165" s="224"/>
      <c r="AF3165" s="224"/>
      <c r="AG3165" s="224"/>
    </row>
    <row r="3166">
      <c r="AD3166" s="224"/>
      <c r="AE3166" s="224"/>
      <c r="AF3166" s="224"/>
      <c r="AG3166" s="224"/>
    </row>
    <row r="3167">
      <c r="AD3167" s="224"/>
      <c r="AE3167" s="224"/>
      <c r="AF3167" s="224"/>
      <c r="AG3167" s="224"/>
    </row>
    <row r="3168">
      <c r="AD3168" s="224"/>
      <c r="AE3168" s="224"/>
      <c r="AF3168" s="224"/>
      <c r="AG3168" s="224"/>
    </row>
    <row r="3169">
      <c r="AD3169" s="224"/>
      <c r="AE3169" s="224"/>
      <c r="AF3169" s="224"/>
      <c r="AG3169" s="224"/>
    </row>
    <row r="3170">
      <c r="AD3170" s="224"/>
      <c r="AE3170" s="224"/>
      <c r="AF3170" s="224"/>
      <c r="AG3170" s="224"/>
    </row>
    <row r="3171">
      <c r="AD3171" s="224"/>
      <c r="AE3171" s="224"/>
      <c r="AF3171" s="224"/>
      <c r="AG3171" s="224"/>
    </row>
    <row r="3172">
      <c r="AD3172" s="224"/>
      <c r="AE3172" s="224"/>
      <c r="AF3172" s="224"/>
      <c r="AG3172" s="224"/>
    </row>
    <row r="3173">
      <c r="AD3173" s="224"/>
      <c r="AE3173" s="224"/>
      <c r="AF3173" s="224"/>
      <c r="AG3173" s="224"/>
    </row>
    <row r="3174">
      <c r="AD3174" s="224"/>
      <c r="AE3174" s="224"/>
      <c r="AF3174" s="224"/>
      <c r="AG3174" s="224"/>
    </row>
    <row r="3175">
      <c r="AD3175" s="224"/>
      <c r="AE3175" s="224"/>
      <c r="AF3175" s="224"/>
      <c r="AG3175" s="224"/>
    </row>
    <row r="3176">
      <c r="AD3176" s="224"/>
      <c r="AE3176" s="224"/>
      <c r="AF3176" s="224"/>
      <c r="AG3176" s="224"/>
    </row>
    <row r="3177">
      <c r="AD3177" s="224"/>
      <c r="AE3177" s="224"/>
      <c r="AF3177" s="224"/>
      <c r="AG3177" s="224"/>
    </row>
    <row r="3178">
      <c r="AD3178" s="224"/>
      <c r="AE3178" s="224"/>
      <c r="AF3178" s="224"/>
      <c r="AG3178" s="224"/>
    </row>
    <row r="3179">
      <c r="AD3179" s="224"/>
      <c r="AE3179" s="224"/>
      <c r="AF3179" s="224"/>
      <c r="AG3179" s="224"/>
    </row>
    <row r="3180">
      <c r="AD3180" s="224"/>
      <c r="AE3180" s="224"/>
      <c r="AF3180" s="224"/>
      <c r="AG3180" s="224"/>
    </row>
    <row r="3181">
      <c r="AD3181" s="224"/>
      <c r="AE3181" s="224"/>
      <c r="AF3181" s="224"/>
      <c r="AG3181" s="224"/>
    </row>
    <row r="3182">
      <c r="AD3182" s="224"/>
      <c r="AE3182" s="224"/>
      <c r="AF3182" s="224"/>
      <c r="AG3182" s="224"/>
    </row>
    <row r="3183">
      <c r="AD3183" s="224"/>
      <c r="AE3183" s="224"/>
      <c r="AF3183" s="224"/>
      <c r="AG3183" s="224"/>
    </row>
    <row r="3184">
      <c r="AD3184" s="224"/>
      <c r="AE3184" s="224"/>
      <c r="AF3184" s="224"/>
      <c r="AG3184" s="224"/>
    </row>
    <row r="3185">
      <c r="AD3185" s="224"/>
      <c r="AE3185" s="224"/>
      <c r="AF3185" s="224"/>
      <c r="AG3185" s="224"/>
    </row>
    <row r="3186">
      <c r="AD3186" s="224"/>
      <c r="AE3186" s="224"/>
      <c r="AF3186" s="224"/>
      <c r="AG3186" s="224"/>
    </row>
    <row r="3187">
      <c r="AD3187" s="224"/>
      <c r="AE3187" s="224"/>
      <c r="AF3187" s="224"/>
      <c r="AG3187" s="224"/>
    </row>
    <row r="3188">
      <c r="AD3188" s="224"/>
      <c r="AE3188" s="224"/>
      <c r="AF3188" s="224"/>
      <c r="AG3188" s="224"/>
    </row>
    <row r="3189">
      <c r="AD3189" s="224"/>
      <c r="AE3189" s="224"/>
      <c r="AF3189" s="224"/>
      <c r="AG3189" s="224"/>
    </row>
    <row r="3190">
      <c r="AD3190" s="224"/>
      <c r="AE3190" s="224"/>
      <c r="AF3190" s="224"/>
      <c r="AG3190" s="224"/>
    </row>
    <row r="3191">
      <c r="AD3191" s="224"/>
      <c r="AE3191" s="224"/>
      <c r="AF3191" s="224"/>
      <c r="AG3191" s="224"/>
    </row>
    <row r="3192">
      <c r="AD3192" s="224"/>
      <c r="AE3192" s="224"/>
      <c r="AF3192" s="224"/>
      <c r="AG3192" s="224"/>
    </row>
    <row r="3193">
      <c r="AD3193" s="224"/>
      <c r="AE3193" s="224"/>
      <c r="AF3193" s="224"/>
      <c r="AG3193" s="224"/>
    </row>
    <row r="3194">
      <c r="AD3194" s="224"/>
      <c r="AE3194" s="224"/>
      <c r="AF3194" s="224"/>
      <c r="AG3194" s="224"/>
    </row>
    <row r="3195">
      <c r="AD3195" s="224"/>
      <c r="AE3195" s="224"/>
      <c r="AF3195" s="224"/>
      <c r="AG3195" s="224"/>
    </row>
    <row r="3196">
      <c r="AD3196" s="224"/>
      <c r="AE3196" s="224"/>
      <c r="AF3196" s="224"/>
      <c r="AG3196" s="224"/>
    </row>
    <row r="3197">
      <c r="AD3197" s="224"/>
      <c r="AE3197" s="224"/>
      <c r="AF3197" s="224"/>
      <c r="AG3197" s="224"/>
    </row>
    <row r="3198">
      <c r="AD3198" s="224"/>
      <c r="AE3198" s="224"/>
      <c r="AF3198" s="224"/>
      <c r="AG3198" s="224"/>
    </row>
    <row r="3199">
      <c r="AD3199" s="224"/>
      <c r="AE3199" s="224"/>
      <c r="AF3199" s="224"/>
      <c r="AG3199" s="224"/>
    </row>
    <row r="3200">
      <c r="AD3200" s="224"/>
      <c r="AE3200" s="224"/>
      <c r="AF3200" s="224"/>
      <c r="AG3200" s="224"/>
    </row>
    <row r="3201">
      <c r="AD3201" s="224"/>
      <c r="AE3201" s="224"/>
      <c r="AF3201" s="224"/>
      <c r="AG3201" s="224"/>
    </row>
    <row r="3202">
      <c r="AD3202" s="224"/>
      <c r="AE3202" s="224"/>
      <c r="AF3202" s="224"/>
      <c r="AG3202" s="224"/>
    </row>
    <row r="3203">
      <c r="AD3203" s="224"/>
      <c r="AE3203" s="224"/>
      <c r="AF3203" s="224"/>
      <c r="AG3203" s="224"/>
    </row>
    <row r="3204">
      <c r="AD3204" s="224"/>
      <c r="AE3204" s="224"/>
      <c r="AF3204" s="224"/>
      <c r="AG3204" s="224"/>
    </row>
    <row r="3205">
      <c r="AD3205" s="224"/>
      <c r="AE3205" s="224"/>
      <c r="AF3205" s="224"/>
      <c r="AG3205" s="224"/>
    </row>
    <row r="3206">
      <c r="AD3206" s="224"/>
      <c r="AE3206" s="224"/>
      <c r="AF3206" s="224"/>
      <c r="AG3206" s="224"/>
    </row>
    <row r="3207">
      <c r="AD3207" s="224"/>
      <c r="AE3207" s="224"/>
      <c r="AF3207" s="224"/>
      <c r="AG3207" s="224"/>
    </row>
    <row r="3208">
      <c r="AD3208" s="224"/>
      <c r="AE3208" s="224"/>
      <c r="AF3208" s="224"/>
      <c r="AG3208" s="224"/>
    </row>
    <row r="3209">
      <c r="AD3209" s="224"/>
      <c r="AE3209" s="224"/>
      <c r="AF3209" s="224"/>
      <c r="AG3209" s="224"/>
    </row>
    <row r="3210">
      <c r="AD3210" s="224"/>
      <c r="AE3210" s="224"/>
      <c r="AF3210" s="224"/>
      <c r="AG3210" s="224"/>
    </row>
    <row r="3211">
      <c r="AD3211" s="224"/>
      <c r="AE3211" s="224"/>
      <c r="AF3211" s="224"/>
      <c r="AG3211" s="224"/>
    </row>
    <row r="3212">
      <c r="AD3212" s="224"/>
      <c r="AE3212" s="224"/>
      <c r="AF3212" s="224"/>
      <c r="AG3212" s="224"/>
    </row>
    <row r="3213">
      <c r="AD3213" s="224"/>
      <c r="AE3213" s="224"/>
      <c r="AF3213" s="224"/>
      <c r="AG3213" s="224"/>
    </row>
    <row r="3214">
      <c r="AD3214" s="224"/>
      <c r="AE3214" s="224"/>
      <c r="AF3214" s="224"/>
      <c r="AG3214" s="224"/>
    </row>
    <row r="3215">
      <c r="AD3215" s="224"/>
      <c r="AE3215" s="224"/>
      <c r="AF3215" s="224"/>
      <c r="AG3215" s="224"/>
    </row>
    <row r="3216">
      <c r="AD3216" s="224"/>
      <c r="AE3216" s="224"/>
      <c r="AF3216" s="224"/>
      <c r="AG3216" s="224"/>
    </row>
    <row r="3217">
      <c r="AD3217" s="224"/>
      <c r="AE3217" s="224"/>
      <c r="AF3217" s="224"/>
      <c r="AG3217" s="224"/>
    </row>
    <row r="3218">
      <c r="AD3218" s="224"/>
      <c r="AE3218" s="224"/>
      <c r="AF3218" s="224"/>
      <c r="AG3218" s="224"/>
    </row>
    <row r="3219">
      <c r="AD3219" s="224"/>
      <c r="AE3219" s="224"/>
      <c r="AF3219" s="224"/>
      <c r="AG3219" s="224"/>
    </row>
    <row r="3220">
      <c r="AD3220" s="224"/>
      <c r="AE3220" s="224"/>
      <c r="AF3220" s="224"/>
      <c r="AG3220" s="224"/>
    </row>
    <row r="3221">
      <c r="AD3221" s="224"/>
      <c r="AE3221" s="224"/>
      <c r="AF3221" s="224"/>
      <c r="AG3221" s="224"/>
    </row>
    <row r="3222">
      <c r="AD3222" s="224"/>
      <c r="AE3222" s="224"/>
      <c r="AF3222" s="224"/>
      <c r="AG3222" s="224"/>
    </row>
    <row r="3223">
      <c r="AD3223" s="224"/>
      <c r="AE3223" s="224"/>
      <c r="AF3223" s="224"/>
      <c r="AG3223" s="224"/>
    </row>
    <row r="3224">
      <c r="AD3224" s="224"/>
      <c r="AE3224" s="224"/>
      <c r="AF3224" s="224"/>
      <c r="AG3224" s="224"/>
    </row>
    <row r="3225">
      <c r="AD3225" s="224"/>
      <c r="AE3225" s="224"/>
      <c r="AF3225" s="224"/>
      <c r="AG3225" s="224"/>
    </row>
    <row r="3226">
      <c r="AD3226" s="224"/>
      <c r="AE3226" s="224"/>
      <c r="AF3226" s="224"/>
      <c r="AG3226" s="224"/>
    </row>
    <row r="3227">
      <c r="AD3227" s="224"/>
      <c r="AE3227" s="224"/>
      <c r="AF3227" s="224"/>
      <c r="AG3227" s="224"/>
    </row>
    <row r="3228">
      <c r="AD3228" s="224"/>
      <c r="AE3228" s="224"/>
      <c r="AF3228" s="224"/>
      <c r="AG3228" s="224"/>
    </row>
    <row r="3229">
      <c r="AD3229" s="224"/>
      <c r="AE3229" s="224"/>
      <c r="AF3229" s="224"/>
      <c r="AG3229" s="224"/>
    </row>
    <row r="3230">
      <c r="AD3230" s="224"/>
      <c r="AE3230" s="224"/>
      <c r="AF3230" s="224"/>
      <c r="AG3230" s="224"/>
    </row>
    <row r="3231">
      <c r="AD3231" s="224"/>
      <c r="AE3231" s="224"/>
      <c r="AF3231" s="224"/>
      <c r="AG3231" s="224"/>
    </row>
    <row r="3232">
      <c r="AD3232" s="224"/>
      <c r="AE3232" s="224"/>
      <c r="AF3232" s="224"/>
      <c r="AG3232" s="224"/>
    </row>
    <row r="3233">
      <c r="AD3233" s="224"/>
      <c r="AE3233" s="224"/>
      <c r="AF3233" s="224"/>
      <c r="AG3233" s="224"/>
    </row>
    <row r="3234">
      <c r="AD3234" s="224"/>
      <c r="AE3234" s="224"/>
      <c r="AF3234" s="224"/>
      <c r="AG3234" s="224"/>
    </row>
    <row r="3235">
      <c r="AD3235" s="224"/>
      <c r="AE3235" s="224"/>
      <c r="AF3235" s="224"/>
      <c r="AG3235" s="224"/>
    </row>
    <row r="3236">
      <c r="AD3236" s="224"/>
      <c r="AE3236" s="224"/>
      <c r="AF3236" s="224"/>
      <c r="AG3236" s="224"/>
    </row>
    <row r="3237">
      <c r="AD3237" s="224"/>
      <c r="AE3237" s="224"/>
      <c r="AF3237" s="224"/>
      <c r="AG3237" s="224"/>
    </row>
    <row r="3238">
      <c r="AD3238" s="224"/>
      <c r="AE3238" s="224"/>
      <c r="AF3238" s="224"/>
      <c r="AG3238" s="224"/>
    </row>
    <row r="3239">
      <c r="AD3239" s="224"/>
      <c r="AE3239" s="224"/>
      <c r="AF3239" s="224"/>
      <c r="AG3239" s="224"/>
    </row>
    <row r="3240">
      <c r="AD3240" s="224"/>
      <c r="AE3240" s="224"/>
      <c r="AF3240" s="224"/>
      <c r="AG3240" s="224"/>
    </row>
    <row r="3241">
      <c r="AD3241" s="224"/>
      <c r="AE3241" s="224"/>
      <c r="AF3241" s="224"/>
      <c r="AG3241" s="224"/>
    </row>
    <row r="3242">
      <c r="AD3242" s="224"/>
      <c r="AE3242" s="224"/>
      <c r="AF3242" s="224"/>
      <c r="AG3242" s="224"/>
    </row>
    <row r="3243">
      <c r="AD3243" s="224"/>
      <c r="AE3243" s="224"/>
      <c r="AF3243" s="224"/>
      <c r="AG3243" s="224"/>
    </row>
    <row r="3244">
      <c r="AD3244" s="224"/>
      <c r="AE3244" s="224"/>
      <c r="AF3244" s="224"/>
      <c r="AG3244" s="224"/>
    </row>
    <row r="3245">
      <c r="AD3245" s="224"/>
      <c r="AE3245" s="224"/>
      <c r="AF3245" s="224"/>
      <c r="AG3245" s="224"/>
    </row>
    <row r="3246">
      <c r="AD3246" s="224"/>
      <c r="AE3246" s="224"/>
      <c r="AF3246" s="224"/>
      <c r="AG3246" s="224"/>
    </row>
    <row r="3247">
      <c r="AD3247" s="224"/>
      <c r="AE3247" s="224"/>
      <c r="AF3247" s="224"/>
      <c r="AG3247" s="224"/>
    </row>
    <row r="3248">
      <c r="AD3248" s="224"/>
      <c r="AE3248" s="224"/>
      <c r="AF3248" s="224"/>
      <c r="AG3248" s="224"/>
    </row>
    <row r="3249">
      <c r="AD3249" s="224"/>
      <c r="AE3249" s="224"/>
      <c r="AF3249" s="224"/>
      <c r="AG3249" s="224"/>
    </row>
    <row r="3250">
      <c r="AD3250" s="224"/>
      <c r="AE3250" s="224"/>
      <c r="AF3250" s="224"/>
      <c r="AG3250" s="224"/>
    </row>
    <row r="3251">
      <c r="AD3251" s="224"/>
      <c r="AE3251" s="224"/>
      <c r="AF3251" s="224"/>
      <c r="AG3251" s="224"/>
    </row>
    <row r="3252">
      <c r="AD3252" s="224"/>
      <c r="AE3252" s="224"/>
      <c r="AF3252" s="224"/>
      <c r="AG3252" s="224"/>
    </row>
    <row r="3253">
      <c r="AD3253" s="224"/>
      <c r="AE3253" s="224"/>
      <c r="AF3253" s="224"/>
      <c r="AG3253" s="224"/>
    </row>
    <row r="3254">
      <c r="AD3254" s="224"/>
      <c r="AE3254" s="224"/>
      <c r="AF3254" s="224"/>
      <c r="AG3254" s="224"/>
    </row>
    <row r="3255">
      <c r="AD3255" s="224"/>
      <c r="AE3255" s="224"/>
      <c r="AF3255" s="224"/>
      <c r="AG3255" s="224"/>
    </row>
    <row r="3256">
      <c r="AD3256" s="224"/>
      <c r="AE3256" s="224"/>
      <c r="AF3256" s="224"/>
      <c r="AG3256" s="224"/>
    </row>
    <row r="3257">
      <c r="AD3257" s="224"/>
      <c r="AE3257" s="224"/>
      <c r="AF3257" s="224"/>
      <c r="AG3257" s="224"/>
    </row>
    <row r="3258">
      <c r="AD3258" s="224"/>
      <c r="AE3258" s="224"/>
      <c r="AF3258" s="224"/>
      <c r="AG3258" s="224"/>
    </row>
    <row r="3259">
      <c r="AD3259" s="224"/>
      <c r="AE3259" s="224"/>
      <c r="AF3259" s="224"/>
      <c r="AG3259" s="224"/>
    </row>
    <row r="3260">
      <c r="AD3260" s="224"/>
      <c r="AE3260" s="224"/>
      <c r="AF3260" s="224"/>
      <c r="AG3260" s="224"/>
    </row>
    <row r="3261">
      <c r="AD3261" s="224"/>
      <c r="AE3261" s="224"/>
      <c r="AF3261" s="224"/>
      <c r="AG3261" s="224"/>
    </row>
    <row r="3262">
      <c r="AD3262" s="224"/>
      <c r="AE3262" s="224"/>
      <c r="AF3262" s="224"/>
      <c r="AG3262" s="224"/>
    </row>
    <row r="3263">
      <c r="AD3263" s="224"/>
      <c r="AE3263" s="224"/>
      <c r="AF3263" s="224"/>
      <c r="AG3263" s="224"/>
    </row>
    <row r="3264">
      <c r="AD3264" s="224"/>
      <c r="AE3264" s="224"/>
      <c r="AF3264" s="224"/>
      <c r="AG3264" s="224"/>
    </row>
    <row r="3265">
      <c r="AD3265" s="224"/>
      <c r="AE3265" s="224"/>
      <c r="AF3265" s="224"/>
      <c r="AG3265" s="224"/>
    </row>
    <row r="3266">
      <c r="AD3266" s="224"/>
      <c r="AE3266" s="224"/>
      <c r="AF3266" s="224"/>
      <c r="AG3266" s="224"/>
    </row>
    <row r="3267">
      <c r="AD3267" s="224"/>
      <c r="AE3267" s="224"/>
      <c r="AF3267" s="224"/>
      <c r="AG3267" s="224"/>
    </row>
    <row r="3268">
      <c r="AD3268" s="224"/>
      <c r="AE3268" s="224"/>
      <c r="AF3268" s="224"/>
      <c r="AG3268" s="224"/>
    </row>
    <row r="3269">
      <c r="AD3269" s="224"/>
      <c r="AE3269" s="224"/>
      <c r="AF3269" s="224"/>
      <c r="AG3269" s="224"/>
    </row>
    <row r="3270">
      <c r="AD3270" s="224"/>
      <c r="AE3270" s="224"/>
      <c r="AF3270" s="224"/>
      <c r="AG3270" s="224"/>
    </row>
    <row r="3271">
      <c r="AD3271" s="224"/>
      <c r="AE3271" s="224"/>
      <c r="AF3271" s="224"/>
      <c r="AG3271" s="224"/>
    </row>
    <row r="3272">
      <c r="AD3272" s="224"/>
      <c r="AE3272" s="224"/>
      <c r="AF3272" s="224"/>
      <c r="AG3272" s="224"/>
    </row>
    <row r="3273">
      <c r="AD3273" s="224"/>
      <c r="AE3273" s="224"/>
      <c r="AF3273" s="224"/>
      <c r="AG3273" s="224"/>
    </row>
    <row r="3274">
      <c r="AD3274" s="224"/>
      <c r="AE3274" s="224"/>
      <c r="AF3274" s="224"/>
      <c r="AG3274" s="224"/>
    </row>
    <row r="3275">
      <c r="AD3275" s="224"/>
      <c r="AE3275" s="224"/>
      <c r="AF3275" s="224"/>
      <c r="AG3275" s="224"/>
    </row>
    <row r="3276">
      <c r="AD3276" s="224"/>
      <c r="AE3276" s="224"/>
      <c r="AF3276" s="224"/>
      <c r="AG3276" s="224"/>
    </row>
    <row r="3277">
      <c r="AD3277" s="224"/>
      <c r="AE3277" s="224"/>
      <c r="AF3277" s="224"/>
      <c r="AG3277" s="224"/>
    </row>
    <row r="3278">
      <c r="AD3278" s="224"/>
      <c r="AE3278" s="224"/>
      <c r="AF3278" s="224"/>
      <c r="AG3278" s="224"/>
    </row>
    <row r="3279">
      <c r="AD3279" s="224"/>
      <c r="AE3279" s="224"/>
      <c r="AF3279" s="224"/>
      <c r="AG3279" s="224"/>
    </row>
    <row r="3280">
      <c r="AD3280" s="224"/>
      <c r="AE3280" s="224"/>
      <c r="AF3280" s="224"/>
      <c r="AG3280" s="224"/>
    </row>
    <row r="3281">
      <c r="AD3281" s="224"/>
      <c r="AE3281" s="224"/>
      <c r="AF3281" s="224"/>
      <c r="AG3281" s="224"/>
    </row>
    <row r="3282">
      <c r="AD3282" s="224"/>
      <c r="AE3282" s="224"/>
      <c r="AF3282" s="224"/>
      <c r="AG3282" s="224"/>
    </row>
    <row r="3283">
      <c r="AD3283" s="224"/>
      <c r="AE3283" s="224"/>
      <c r="AF3283" s="224"/>
      <c r="AG3283" s="224"/>
    </row>
    <row r="3284">
      <c r="AD3284" s="224"/>
      <c r="AE3284" s="224"/>
      <c r="AF3284" s="224"/>
      <c r="AG3284" s="224"/>
    </row>
    <row r="3285">
      <c r="AD3285" s="224"/>
      <c r="AE3285" s="224"/>
      <c r="AF3285" s="224"/>
      <c r="AG3285" s="224"/>
    </row>
    <row r="3286">
      <c r="AD3286" s="224"/>
      <c r="AE3286" s="224"/>
      <c r="AF3286" s="224"/>
      <c r="AG3286" s="224"/>
    </row>
    <row r="3287">
      <c r="AD3287" s="224"/>
      <c r="AE3287" s="224"/>
      <c r="AF3287" s="224"/>
      <c r="AG3287" s="224"/>
    </row>
    <row r="3288">
      <c r="AD3288" s="224"/>
      <c r="AE3288" s="224"/>
      <c r="AF3288" s="224"/>
      <c r="AG3288" s="224"/>
    </row>
    <row r="3289">
      <c r="AD3289" s="224"/>
      <c r="AE3289" s="224"/>
      <c r="AF3289" s="224"/>
      <c r="AG3289" s="224"/>
    </row>
    <row r="3290">
      <c r="AD3290" s="224"/>
      <c r="AE3290" s="224"/>
      <c r="AF3290" s="224"/>
      <c r="AG3290" s="224"/>
    </row>
    <row r="3291">
      <c r="AD3291" s="224"/>
      <c r="AE3291" s="224"/>
      <c r="AF3291" s="224"/>
      <c r="AG3291" s="224"/>
    </row>
    <row r="3292">
      <c r="AD3292" s="224"/>
      <c r="AE3292" s="224"/>
      <c r="AF3292" s="224"/>
      <c r="AG3292" s="224"/>
    </row>
    <row r="3293">
      <c r="AD3293" s="224"/>
      <c r="AE3293" s="224"/>
      <c r="AF3293" s="224"/>
      <c r="AG3293" s="224"/>
    </row>
    <row r="3294">
      <c r="AD3294" s="224"/>
      <c r="AE3294" s="224"/>
      <c r="AF3294" s="224"/>
      <c r="AG3294" s="224"/>
    </row>
    <row r="3295">
      <c r="AD3295" s="224"/>
      <c r="AE3295" s="224"/>
      <c r="AF3295" s="224"/>
      <c r="AG3295" s="224"/>
    </row>
    <row r="3296">
      <c r="AD3296" s="224"/>
      <c r="AE3296" s="224"/>
      <c r="AF3296" s="224"/>
      <c r="AG3296" s="224"/>
    </row>
    <row r="3297">
      <c r="AD3297" s="224"/>
      <c r="AE3297" s="224"/>
      <c r="AF3297" s="224"/>
      <c r="AG3297" s="224"/>
    </row>
    <row r="3298">
      <c r="AD3298" s="224"/>
      <c r="AE3298" s="224"/>
      <c r="AF3298" s="224"/>
      <c r="AG3298" s="224"/>
    </row>
    <row r="3299">
      <c r="AD3299" s="224"/>
      <c r="AE3299" s="224"/>
      <c r="AF3299" s="224"/>
      <c r="AG3299" s="224"/>
    </row>
    <row r="3300">
      <c r="AD3300" s="224"/>
      <c r="AE3300" s="224"/>
      <c r="AF3300" s="224"/>
      <c r="AG3300" s="224"/>
    </row>
    <row r="3301">
      <c r="AD3301" s="224"/>
      <c r="AE3301" s="224"/>
      <c r="AF3301" s="224"/>
      <c r="AG3301" s="224"/>
    </row>
    <row r="3302">
      <c r="AD3302" s="224"/>
      <c r="AE3302" s="224"/>
      <c r="AF3302" s="224"/>
      <c r="AG3302" s="224"/>
    </row>
    <row r="3303">
      <c r="AD3303" s="224"/>
      <c r="AE3303" s="224"/>
      <c r="AF3303" s="224"/>
      <c r="AG3303" s="224"/>
    </row>
    <row r="3304">
      <c r="AD3304" s="224"/>
      <c r="AE3304" s="224"/>
      <c r="AF3304" s="224"/>
      <c r="AG3304" s="224"/>
    </row>
    <row r="3305">
      <c r="AD3305" s="224"/>
      <c r="AE3305" s="224"/>
      <c r="AF3305" s="224"/>
      <c r="AG3305" s="224"/>
    </row>
    <row r="3306">
      <c r="AD3306" s="224"/>
      <c r="AE3306" s="224"/>
      <c r="AF3306" s="224"/>
      <c r="AG3306" s="224"/>
    </row>
    <row r="3307">
      <c r="AD3307" s="224"/>
      <c r="AE3307" s="224"/>
      <c r="AF3307" s="224"/>
      <c r="AG3307" s="224"/>
    </row>
    <row r="3308">
      <c r="AD3308" s="224"/>
      <c r="AE3308" s="224"/>
      <c r="AF3308" s="224"/>
      <c r="AG3308" s="224"/>
    </row>
    <row r="3309">
      <c r="AD3309" s="224"/>
      <c r="AE3309" s="224"/>
      <c r="AF3309" s="224"/>
      <c r="AG3309" s="224"/>
    </row>
    <row r="3310">
      <c r="AD3310" s="224"/>
      <c r="AE3310" s="224"/>
      <c r="AF3310" s="224"/>
      <c r="AG3310" s="224"/>
    </row>
    <row r="3311">
      <c r="AD3311" s="224"/>
      <c r="AE3311" s="224"/>
      <c r="AF3311" s="224"/>
      <c r="AG3311" s="224"/>
    </row>
    <row r="3312">
      <c r="AD3312" s="224"/>
      <c r="AE3312" s="224"/>
      <c r="AF3312" s="224"/>
      <c r="AG3312" s="224"/>
    </row>
    <row r="3313">
      <c r="AD3313" s="224"/>
      <c r="AE3313" s="224"/>
      <c r="AF3313" s="224"/>
      <c r="AG3313" s="224"/>
    </row>
    <row r="3314">
      <c r="AD3314" s="224"/>
      <c r="AE3314" s="224"/>
      <c r="AF3314" s="224"/>
      <c r="AG3314" s="224"/>
    </row>
    <row r="3315">
      <c r="AD3315" s="224"/>
      <c r="AE3315" s="224"/>
      <c r="AF3315" s="224"/>
      <c r="AG3315" s="224"/>
    </row>
    <row r="3316">
      <c r="AD3316" s="224"/>
      <c r="AE3316" s="224"/>
      <c r="AF3316" s="224"/>
      <c r="AG3316" s="224"/>
    </row>
    <row r="3317">
      <c r="AD3317" s="224"/>
      <c r="AE3317" s="224"/>
      <c r="AF3317" s="224"/>
      <c r="AG3317" s="224"/>
    </row>
    <row r="3318">
      <c r="AD3318" s="224"/>
      <c r="AE3318" s="224"/>
      <c r="AF3318" s="224"/>
      <c r="AG3318" s="224"/>
    </row>
    <row r="3319">
      <c r="AD3319" s="224"/>
      <c r="AE3319" s="224"/>
      <c r="AF3319" s="224"/>
      <c r="AG3319" s="224"/>
    </row>
    <row r="3320">
      <c r="AD3320" s="224"/>
      <c r="AE3320" s="224"/>
      <c r="AF3320" s="224"/>
      <c r="AG3320" s="224"/>
    </row>
    <row r="3321">
      <c r="AD3321" s="224"/>
      <c r="AE3321" s="224"/>
      <c r="AF3321" s="224"/>
      <c r="AG3321" s="224"/>
    </row>
    <row r="3322">
      <c r="AD3322" s="224"/>
      <c r="AE3322" s="224"/>
      <c r="AF3322" s="224"/>
      <c r="AG3322" s="224"/>
    </row>
    <row r="3323">
      <c r="AD3323" s="224"/>
      <c r="AE3323" s="224"/>
      <c r="AF3323" s="224"/>
      <c r="AG3323" s="224"/>
    </row>
    <row r="3324">
      <c r="AD3324" s="224"/>
      <c r="AE3324" s="224"/>
      <c r="AF3324" s="224"/>
      <c r="AG3324" s="224"/>
    </row>
    <row r="3325">
      <c r="AD3325" s="224"/>
      <c r="AE3325" s="224"/>
      <c r="AF3325" s="224"/>
      <c r="AG3325" s="224"/>
    </row>
    <row r="3326">
      <c r="AD3326" s="224"/>
      <c r="AE3326" s="224"/>
      <c r="AF3326" s="224"/>
      <c r="AG3326" s="224"/>
    </row>
    <row r="3327">
      <c r="AD3327" s="224"/>
      <c r="AE3327" s="224"/>
      <c r="AF3327" s="224"/>
      <c r="AG3327" s="224"/>
    </row>
    <row r="3328">
      <c r="AD3328" s="224"/>
      <c r="AE3328" s="224"/>
      <c r="AF3328" s="224"/>
      <c r="AG3328" s="224"/>
    </row>
    <row r="3329">
      <c r="AD3329" s="224"/>
      <c r="AE3329" s="224"/>
      <c r="AF3329" s="224"/>
      <c r="AG3329" s="224"/>
    </row>
    <row r="3330">
      <c r="AD3330" s="224"/>
      <c r="AE3330" s="224"/>
      <c r="AF3330" s="224"/>
      <c r="AG3330" s="224"/>
    </row>
    <row r="3331">
      <c r="AD3331" s="224"/>
      <c r="AE3331" s="224"/>
      <c r="AF3331" s="224"/>
      <c r="AG3331" s="224"/>
    </row>
    <row r="3332">
      <c r="AD3332" s="224"/>
      <c r="AE3332" s="224"/>
      <c r="AF3332" s="224"/>
      <c r="AG3332" s="224"/>
    </row>
    <row r="3333">
      <c r="AD3333" s="224"/>
      <c r="AE3333" s="224"/>
      <c r="AF3333" s="224"/>
      <c r="AG3333" s="224"/>
    </row>
    <row r="3334">
      <c r="AD3334" s="224"/>
      <c r="AE3334" s="224"/>
      <c r="AF3334" s="224"/>
      <c r="AG3334" s="224"/>
    </row>
    <row r="3335">
      <c r="AD3335" s="224"/>
      <c r="AE3335" s="224"/>
      <c r="AF3335" s="224"/>
      <c r="AG3335" s="224"/>
    </row>
    <row r="3336">
      <c r="AD3336" s="224"/>
      <c r="AE3336" s="224"/>
      <c r="AF3336" s="224"/>
      <c r="AG3336" s="224"/>
    </row>
    <row r="3337">
      <c r="AD3337" s="224"/>
      <c r="AE3337" s="224"/>
      <c r="AF3337" s="224"/>
      <c r="AG3337" s="224"/>
    </row>
    <row r="3338">
      <c r="AD3338" s="224"/>
      <c r="AE3338" s="224"/>
      <c r="AF3338" s="224"/>
      <c r="AG3338" s="224"/>
    </row>
    <row r="3339">
      <c r="AD3339" s="224"/>
      <c r="AE3339" s="224"/>
      <c r="AF3339" s="224"/>
      <c r="AG3339" s="224"/>
    </row>
    <row r="3340">
      <c r="AD3340" s="224"/>
      <c r="AE3340" s="224"/>
      <c r="AF3340" s="224"/>
      <c r="AG3340" s="224"/>
    </row>
    <row r="3341">
      <c r="AD3341" s="224"/>
      <c r="AE3341" s="224"/>
      <c r="AF3341" s="224"/>
      <c r="AG3341" s="224"/>
    </row>
    <row r="3342">
      <c r="AD3342" s="224"/>
      <c r="AE3342" s="224"/>
      <c r="AF3342" s="224"/>
      <c r="AG3342" s="224"/>
    </row>
    <row r="3343">
      <c r="AD3343" s="224"/>
      <c r="AE3343" s="224"/>
      <c r="AF3343" s="224"/>
      <c r="AG3343" s="224"/>
    </row>
    <row r="3344">
      <c r="AD3344" s="224"/>
      <c r="AE3344" s="224"/>
      <c r="AF3344" s="224"/>
      <c r="AG3344" s="224"/>
    </row>
    <row r="3345">
      <c r="AD3345" s="224"/>
      <c r="AE3345" s="224"/>
      <c r="AF3345" s="224"/>
      <c r="AG3345" s="224"/>
    </row>
    <row r="3346">
      <c r="AD3346" s="224"/>
      <c r="AE3346" s="224"/>
      <c r="AF3346" s="224"/>
      <c r="AG3346" s="224"/>
    </row>
    <row r="3347">
      <c r="AD3347" s="224"/>
      <c r="AE3347" s="224"/>
      <c r="AF3347" s="224"/>
      <c r="AG3347" s="224"/>
    </row>
    <row r="3348">
      <c r="AD3348" s="224"/>
      <c r="AE3348" s="224"/>
      <c r="AF3348" s="224"/>
      <c r="AG3348" s="224"/>
    </row>
    <row r="3349">
      <c r="AD3349" s="224"/>
      <c r="AE3349" s="224"/>
      <c r="AF3349" s="224"/>
      <c r="AG3349" s="224"/>
    </row>
    <row r="3350">
      <c r="AD3350" s="224"/>
      <c r="AE3350" s="224"/>
      <c r="AF3350" s="224"/>
      <c r="AG3350" s="224"/>
    </row>
    <row r="3351">
      <c r="AD3351" s="224"/>
      <c r="AE3351" s="224"/>
      <c r="AF3351" s="224"/>
      <c r="AG3351" s="224"/>
    </row>
    <row r="3352">
      <c r="AD3352" s="224"/>
      <c r="AE3352" s="224"/>
      <c r="AF3352" s="224"/>
      <c r="AG3352" s="224"/>
    </row>
    <row r="3353">
      <c r="AD3353" s="224"/>
      <c r="AE3353" s="224"/>
      <c r="AF3353" s="224"/>
      <c r="AG3353" s="224"/>
    </row>
    <row r="3354">
      <c r="AD3354" s="224"/>
      <c r="AE3354" s="224"/>
      <c r="AF3354" s="224"/>
      <c r="AG3354" s="224"/>
    </row>
    <row r="3355">
      <c r="AD3355" s="224"/>
      <c r="AE3355" s="224"/>
      <c r="AF3355" s="224"/>
      <c r="AG3355" s="224"/>
    </row>
    <row r="3356">
      <c r="AD3356" s="224"/>
      <c r="AE3356" s="224"/>
      <c r="AF3356" s="224"/>
      <c r="AG3356" s="224"/>
    </row>
    <row r="3357">
      <c r="AD3357" s="224"/>
      <c r="AE3357" s="224"/>
      <c r="AF3357" s="224"/>
      <c r="AG3357" s="224"/>
    </row>
    <row r="3358">
      <c r="AD3358" s="224"/>
      <c r="AE3358" s="224"/>
      <c r="AF3358" s="224"/>
      <c r="AG3358" s="224"/>
    </row>
    <row r="3359">
      <c r="AD3359" s="224"/>
      <c r="AE3359" s="224"/>
      <c r="AF3359" s="224"/>
      <c r="AG3359" s="224"/>
    </row>
    <row r="3360">
      <c r="AD3360" s="224"/>
      <c r="AE3360" s="224"/>
      <c r="AF3360" s="224"/>
      <c r="AG3360" s="224"/>
    </row>
    <row r="3361">
      <c r="AD3361" s="224"/>
      <c r="AE3361" s="224"/>
      <c r="AF3361" s="224"/>
      <c r="AG3361" s="224"/>
    </row>
    <row r="3362">
      <c r="AD3362" s="224"/>
      <c r="AE3362" s="224"/>
      <c r="AF3362" s="224"/>
      <c r="AG3362" s="224"/>
    </row>
    <row r="3363">
      <c r="AD3363" s="224"/>
      <c r="AE3363" s="224"/>
      <c r="AF3363" s="224"/>
      <c r="AG3363" s="224"/>
    </row>
    <row r="3364">
      <c r="AD3364" s="224"/>
      <c r="AE3364" s="224"/>
      <c r="AF3364" s="224"/>
      <c r="AG3364" s="224"/>
    </row>
    <row r="3365">
      <c r="AD3365" s="224"/>
      <c r="AE3365" s="224"/>
      <c r="AF3365" s="224"/>
      <c r="AG3365" s="224"/>
    </row>
    <row r="3366">
      <c r="AD3366" s="224"/>
      <c r="AE3366" s="224"/>
      <c r="AF3366" s="224"/>
      <c r="AG3366" s="224"/>
    </row>
    <row r="3367">
      <c r="AD3367" s="224"/>
      <c r="AE3367" s="224"/>
      <c r="AF3367" s="224"/>
      <c r="AG3367" s="224"/>
    </row>
    <row r="3368">
      <c r="AD3368" s="224"/>
      <c r="AE3368" s="224"/>
      <c r="AF3368" s="224"/>
      <c r="AG3368" s="224"/>
    </row>
    <row r="3369">
      <c r="AD3369" s="224"/>
      <c r="AE3369" s="224"/>
      <c r="AF3369" s="224"/>
      <c r="AG3369" s="224"/>
    </row>
    <row r="3370">
      <c r="AD3370" s="224"/>
      <c r="AE3370" s="224"/>
      <c r="AF3370" s="224"/>
      <c r="AG3370" s="224"/>
    </row>
    <row r="3371">
      <c r="AD3371" s="224"/>
      <c r="AE3371" s="224"/>
      <c r="AF3371" s="224"/>
      <c r="AG3371" s="224"/>
    </row>
    <row r="3372">
      <c r="AD3372" s="224"/>
      <c r="AE3372" s="224"/>
      <c r="AF3372" s="224"/>
      <c r="AG3372" s="224"/>
    </row>
    <row r="3373">
      <c r="AD3373" s="224"/>
      <c r="AE3373" s="224"/>
      <c r="AF3373" s="224"/>
      <c r="AG3373" s="224"/>
    </row>
    <row r="3374">
      <c r="AD3374" s="224"/>
      <c r="AE3374" s="224"/>
      <c r="AF3374" s="224"/>
      <c r="AG3374" s="224"/>
    </row>
    <row r="3375">
      <c r="AD3375" s="224"/>
      <c r="AE3375" s="224"/>
      <c r="AF3375" s="224"/>
      <c r="AG3375" s="224"/>
    </row>
    <row r="3376">
      <c r="AD3376" s="224"/>
      <c r="AE3376" s="224"/>
      <c r="AF3376" s="224"/>
      <c r="AG3376" s="224"/>
    </row>
    <row r="3377">
      <c r="AD3377" s="224"/>
      <c r="AE3377" s="224"/>
      <c r="AF3377" s="224"/>
      <c r="AG3377" s="224"/>
    </row>
    <row r="3378">
      <c r="AD3378" s="224"/>
      <c r="AE3378" s="224"/>
      <c r="AF3378" s="224"/>
      <c r="AG3378" s="224"/>
    </row>
    <row r="3379">
      <c r="AD3379" s="224"/>
      <c r="AE3379" s="224"/>
      <c r="AF3379" s="224"/>
      <c r="AG3379" s="224"/>
    </row>
    <row r="3380">
      <c r="AD3380" s="224"/>
      <c r="AE3380" s="224"/>
      <c r="AF3380" s="224"/>
      <c r="AG3380" s="224"/>
    </row>
    <row r="3381">
      <c r="AD3381" s="224"/>
      <c r="AE3381" s="224"/>
      <c r="AF3381" s="224"/>
      <c r="AG3381" s="224"/>
    </row>
    <row r="3382">
      <c r="AD3382" s="224"/>
      <c r="AE3382" s="224"/>
      <c r="AF3382" s="224"/>
      <c r="AG3382" s="224"/>
    </row>
    <row r="3383">
      <c r="AD3383" s="224"/>
      <c r="AE3383" s="224"/>
      <c r="AF3383" s="224"/>
      <c r="AG3383" s="224"/>
    </row>
    <row r="3384">
      <c r="AD3384" s="224"/>
      <c r="AE3384" s="224"/>
      <c r="AF3384" s="224"/>
      <c r="AG3384" s="224"/>
    </row>
    <row r="3385">
      <c r="AD3385" s="224"/>
      <c r="AE3385" s="224"/>
      <c r="AF3385" s="224"/>
      <c r="AG3385" s="224"/>
    </row>
    <row r="3386">
      <c r="AD3386" s="224"/>
      <c r="AE3386" s="224"/>
      <c r="AF3386" s="224"/>
      <c r="AG3386" s="224"/>
    </row>
    <row r="3387">
      <c r="AD3387" s="224"/>
      <c r="AE3387" s="224"/>
      <c r="AF3387" s="224"/>
      <c r="AG3387" s="224"/>
    </row>
    <row r="3388">
      <c r="AD3388" s="224"/>
      <c r="AE3388" s="224"/>
      <c r="AF3388" s="224"/>
      <c r="AG3388" s="224"/>
    </row>
    <row r="3389">
      <c r="AD3389" s="224"/>
      <c r="AE3389" s="224"/>
      <c r="AF3389" s="224"/>
      <c r="AG3389" s="224"/>
    </row>
    <row r="3390">
      <c r="AD3390" s="224"/>
      <c r="AE3390" s="224"/>
      <c r="AF3390" s="224"/>
      <c r="AG3390" s="224"/>
    </row>
    <row r="3391">
      <c r="AD3391" s="224"/>
      <c r="AE3391" s="224"/>
      <c r="AF3391" s="224"/>
      <c r="AG3391" s="224"/>
    </row>
    <row r="3392">
      <c r="AD3392" s="224"/>
      <c r="AE3392" s="224"/>
      <c r="AF3392" s="224"/>
      <c r="AG3392" s="224"/>
    </row>
    <row r="3393">
      <c r="AD3393" s="224"/>
      <c r="AE3393" s="224"/>
      <c r="AF3393" s="224"/>
      <c r="AG3393" s="224"/>
    </row>
    <row r="3394">
      <c r="AD3394" s="224"/>
      <c r="AE3394" s="224"/>
      <c r="AF3394" s="224"/>
      <c r="AG3394" s="224"/>
    </row>
    <row r="3395">
      <c r="AD3395" s="224"/>
      <c r="AE3395" s="224"/>
      <c r="AF3395" s="224"/>
      <c r="AG3395" s="224"/>
    </row>
    <row r="3396">
      <c r="AD3396" s="224"/>
      <c r="AE3396" s="224"/>
      <c r="AF3396" s="224"/>
      <c r="AG3396" s="224"/>
    </row>
    <row r="3397">
      <c r="AD3397" s="224"/>
      <c r="AE3397" s="224"/>
      <c r="AF3397" s="224"/>
      <c r="AG3397" s="224"/>
    </row>
    <row r="3398">
      <c r="AD3398" s="224"/>
      <c r="AE3398" s="224"/>
      <c r="AF3398" s="224"/>
      <c r="AG3398" s="224"/>
    </row>
    <row r="3399">
      <c r="AD3399" s="224"/>
      <c r="AE3399" s="224"/>
      <c r="AF3399" s="224"/>
      <c r="AG3399" s="224"/>
    </row>
    <row r="3400">
      <c r="AD3400" s="224"/>
      <c r="AE3400" s="224"/>
      <c r="AF3400" s="224"/>
      <c r="AG3400" s="224"/>
    </row>
    <row r="3401">
      <c r="AD3401" s="224"/>
      <c r="AE3401" s="224"/>
      <c r="AF3401" s="224"/>
      <c r="AG3401" s="224"/>
    </row>
    <row r="3402">
      <c r="AD3402" s="224"/>
      <c r="AE3402" s="224"/>
      <c r="AF3402" s="224"/>
      <c r="AG3402" s="224"/>
    </row>
    <row r="3403">
      <c r="AD3403" s="224"/>
      <c r="AE3403" s="224"/>
      <c r="AF3403" s="224"/>
      <c r="AG3403" s="224"/>
    </row>
    <row r="3404">
      <c r="AD3404" s="224"/>
      <c r="AE3404" s="224"/>
      <c r="AF3404" s="224"/>
      <c r="AG3404" s="224"/>
    </row>
    <row r="3405">
      <c r="AD3405" s="224"/>
      <c r="AE3405" s="224"/>
      <c r="AF3405" s="224"/>
      <c r="AG3405" s="224"/>
    </row>
    <row r="3406">
      <c r="AD3406" s="224"/>
      <c r="AE3406" s="224"/>
      <c r="AF3406" s="224"/>
      <c r="AG3406" s="224"/>
    </row>
    <row r="3407">
      <c r="AD3407" s="224"/>
      <c r="AE3407" s="224"/>
      <c r="AF3407" s="224"/>
      <c r="AG3407" s="224"/>
    </row>
    <row r="3408">
      <c r="AD3408" s="224"/>
      <c r="AE3408" s="224"/>
      <c r="AF3408" s="224"/>
      <c r="AG3408" s="224"/>
    </row>
    <row r="3409">
      <c r="AD3409" s="224"/>
      <c r="AE3409" s="224"/>
      <c r="AF3409" s="224"/>
      <c r="AG3409" s="224"/>
    </row>
    <row r="3410">
      <c r="AD3410" s="224"/>
      <c r="AE3410" s="224"/>
      <c r="AF3410" s="224"/>
      <c r="AG3410" s="224"/>
    </row>
    <row r="3411">
      <c r="AD3411" s="224"/>
      <c r="AE3411" s="224"/>
      <c r="AF3411" s="224"/>
      <c r="AG3411" s="224"/>
    </row>
    <row r="3412">
      <c r="AD3412" s="224"/>
      <c r="AE3412" s="224"/>
      <c r="AF3412" s="224"/>
      <c r="AG3412" s="224"/>
    </row>
    <row r="3413">
      <c r="AD3413" s="224"/>
      <c r="AE3413" s="224"/>
      <c r="AF3413" s="224"/>
      <c r="AG3413" s="224"/>
    </row>
    <row r="3414">
      <c r="AD3414" s="224"/>
      <c r="AE3414" s="224"/>
      <c r="AF3414" s="224"/>
      <c r="AG3414" s="224"/>
    </row>
    <row r="3415">
      <c r="AD3415" s="224"/>
      <c r="AE3415" s="224"/>
      <c r="AF3415" s="224"/>
      <c r="AG3415" s="224"/>
    </row>
    <row r="3416">
      <c r="AD3416" s="224"/>
      <c r="AE3416" s="224"/>
      <c r="AF3416" s="224"/>
      <c r="AG3416" s="224"/>
    </row>
    <row r="3417">
      <c r="AD3417" s="224"/>
      <c r="AE3417" s="224"/>
      <c r="AF3417" s="224"/>
      <c r="AG3417" s="224"/>
    </row>
    <row r="3418">
      <c r="AD3418" s="224"/>
      <c r="AE3418" s="224"/>
      <c r="AF3418" s="224"/>
      <c r="AG3418" s="224"/>
    </row>
    <row r="3419">
      <c r="AD3419" s="224"/>
      <c r="AE3419" s="224"/>
      <c r="AF3419" s="224"/>
      <c r="AG3419" s="224"/>
    </row>
    <row r="3420">
      <c r="AD3420" s="224"/>
      <c r="AE3420" s="224"/>
      <c r="AF3420" s="224"/>
      <c r="AG3420" s="224"/>
    </row>
    <row r="3421">
      <c r="AD3421" s="224"/>
      <c r="AE3421" s="224"/>
      <c r="AF3421" s="224"/>
      <c r="AG3421" s="224"/>
    </row>
    <row r="3422">
      <c r="AD3422" s="224"/>
      <c r="AE3422" s="224"/>
      <c r="AF3422" s="224"/>
      <c r="AG3422" s="224"/>
    </row>
    <row r="3423">
      <c r="AD3423" s="224"/>
      <c r="AE3423" s="224"/>
      <c r="AF3423" s="224"/>
      <c r="AG3423" s="224"/>
    </row>
    <row r="3424">
      <c r="AD3424" s="224"/>
      <c r="AE3424" s="224"/>
      <c r="AF3424" s="224"/>
      <c r="AG3424" s="224"/>
    </row>
    <row r="3425">
      <c r="AD3425" s="224"/>
      <c r="AE3425" s="224"/>
      <c r="AF3425" s="224"/>
      <c r="AG3425" s="224"/>
    </row>
    <row r="3426">
      <c r="AD3426" s="224"/>
      <c r="AE3426" s="224"/>
      <c r="AF3426" s="224"/>
      <c r="AG3426" s="224"/>
    </row>
    <row r="3427">
      <c r="AD3427" s="224"/>
      <c r="AE3427" s="224"/>
      <c r="AF3427" s="224"/>
      <c r="AG3427" s="224"/>
    </row>
    <row r="3428">
      <c r="AD3428" s="224"/>
      <c r="AE3428" s="224"/>
      <c r="AF3428" s="224"/>
      <c r="AG3428" s="224"/>
    </row>
    <row r="3429">
      <c r="AD3429" s="224"/>
      <c r="AE3429" s="224"/>
      <c r="AF3429" s="224"/>
      <c r="AG3429" s="224"/>
    </row>
    <row r="3430">
      <c r="AD3430" s="224"/>
      <c r="AE3430" s="224"/>
      <c r="AF3430" s="224"/>
      <c r="AG3430" s="224"/>
    </row>
    <row r="3431">
      <c r="AD3431" s="224"/>
      <c r="AE3431" s="224"/>
      <c r="AF3431" s="224"/>
      <c r="AG3431" s="224"/>
    </row>
    <row r="3432">
      <c r="AD3432" s="224"/>
      <c r="AE3432" s="224"/>
      <c r="AF3432" s="224"/>
      <c r="AG3432" s="224"/>
    </row>
    <row r="3433">
      <c r="AD3433" s="224"/>
      <c r="AE3433" s="224"/>
      <c r="AF3433" s="224"/>
      <c r="AG3433" s="224"/>
    </row>
    <row r="3434">
      <c r="AD3434" s="224"/>
      <c r="AE3434" s="224"/>
      <c r="AF3434" s="224"/>
      <c r="AG3434" s="224"/>
    </row>
    <row r="3435">
      <c r="AD3435" s="224"/>
      <c r="AE3435" s="224"/>
      <c r="AF3435" s="224"/>
      <c r="AG3435" s="224"/>
    </row>
    <row r="3436">
      <c r="AD3436" s="224"/>
      <c r="AE3436" s="224"/>
      <c r="AF3436" s="224"/>
      <c r="AG3436" s="224"/>
    </row>
    <row r="3437">
      <c r="AD3437" s="224"/>
      <c r="AE3437" s="224"/>
      <c r="AF3437" s="224"/>
      <c r="AG3437" s="224"/>
    </row>
    <row r="3438">
      <c r="AD3438" s="224"/>
      <c r="AE3438" s="224"/>
      <c r="AF3438" s="224"/>
      <c r="AG3438" s="224"/>
    </row>
    <row r="3439">
      <c r="AD3439" s="224"/>
      <c r="AE3439" s="224"/>
      <c r="AF3439" s="224"/>
      <c r="AG3439" s="224"/>
    </row>
    <row r="3440">
      <c r="AD3440" s="224"/>
      <c r="AE3440" s="224"/>
      <c r="AF3440" s="224"/>
      <c r="AG3440" s="224"/>
    </row>
    <row r="3441">
      <c r="AD3441" s="224"/>
      <c r="AE3441" s="224"/>
      <c r="AF3441" s="224"/>
      <c r="AG3441" s="224"/>
    </row>
    <row r="3442">
      <c r="AD3442" s="224"/>
      <c r="AE3442" s="224"/>
      <c r="AF3442" s="224"/>
      <c r="AG3442" s="224"/>
    </row>
    <row r="3443">
      <c r="AD3443" s="224"/>
      <c r="AE3443" s="224"/>
      <c r="AF3443" s="224"/>
      <c r="AG3443" s="224"/>
    </row>
    <row r="3444">
      <c r="AD3444" s="224"/>
      <c r="AE3444" s="224"/>
      <c r="AF3444" s="224"/>
      <c r="AG3444" s="224"/>
    </row>
    <row r="3445">
      <c r="AD3445" s="224"/>
      <c r="AE3445" s="224"/>
      <c r="AF3445" s="224"/>
      <c r="AG3445" s="224"/>
    </row>
    <row r="3446">
      <c r="AD3446" s="224"/>
      <c r="AE3446" s="224"/>
      <c r="AF3446" s="224"/>
      <c r="AG3446" s="224"/>
    </row>
    <row r="3447">
      <c r="AD3447" s="224"/>
      <c r="AE3447" s="224"/>
      <c r="AF3447" s="224"/>
      <c r="AG3447" s="224"/>
    </row>
    <row r="3448">
      <c r="AD3448" s="224"/>
      <c r="AE3448" s="224"/>
      <c r="AF3448" s="224"/>
      <c r="AG3448" s="224"/>
    </row>
    <row r="3449">
      <c r="AD3449" s="224"/>
      <c r="AE3449" s="224"/>
      <c r="AF3449" s="224"/>
      <c r="AG3449" s="224"/>
    </row>
    <row r="3450">
      <c r="AD3450" s="224"/>
      <c r="AE3450" s="224"/>
      <c r="AF3450" s="224"/>
      <c r="AG3450" s="224"/>
    </row>
    <row r="3451">
      <c r="AD3451" s="224"/>
      <c r="AE3451" s="224"/>
      <c r="AF3451" s="224"/>
      <c r="AG3451" s="224"/>
    </row>
    <row r="3452">
      <c r="AD3452" s="224"/>
      <c r="AE3452" s="224"/>
      <c r="AF3452" s="224"/>
      <c r="AG3452" s="224"/>
    </row>
    <row r="3453">
      <c r="AD3453" s="224"/>
      <c r="AE3453" s="224"/>
      <c r="AF3453" s="224"/>
      <c r="AG3453" s="224"/>
    </row>
    <row r="3454">
      <c r="AD3454" s="224"/>
      <c r="AE3454" s="224"/>
      <c r="AF3454" s="224"/>
      <c r="AG3454" s="224"/>
    </row>
    <row r="3455">
      <c r="AD3455" s="224"/>
      <c r="AE3455" s="224"/>
      <c r="AF3455" s="224"/>
      <c r="AG3455" s="224"/>
    </row>
    <row r="3456">
      <c r="AD3456" s="224"/>
      <c r="AE3456" s="224"/>
      <c r="AF3456" s="224"/>
      <c r="AG3456" s="224"/>
    </row>
    <row r="3457">
      <c r="AD3457" s="224"/>
      <c r="AE3457" s="224"/>
      <c r="AF3457" s="224"/>
      <c r="AG3457" s="224"/>
    </row>
    <row r="3458">
      <c r="AD3458" s="224"/>
      <c r="AE3458" s="224"/>
      <c r="AF3458" s="224"/>
      <c r="AG3458" s="224"/>
    </row>
    <row r="3459">
      <c r="AD3459" s="224"/>
      <c r="AE3459" s="224"/>
      <c r="AF3459" s="224"/>
      <c r="AG3459" s="224"/>
    </row>
    <row r="3460">
      <c r="AD3460" s="224"/>
      <c r="AE3460" s="224"/>
      <c r="AF3460" s="224"/>
      <c r="AG3460" s="224"/>
    </row>
    <row r="3461">
      <c r="AD3461" s="224"/>
      <c r="AE3461" s="224"/>
      <c r="AF3461" s="224"/>
      <c r="AG3461" s="224"/>
    </row>
    <row r="3462">
      <c r="AD3462" s="224"/>
      <c r="AE3462" s="224"/>
      <c r="AF3462" s="224"/>
      <c r="AG3462" s="224"/>
    </row>
    <row r="3463">
      <c r="AD3463" s="224"/>
      <c r="AE3463" s="224"/>
      <c r="AF3463" s="224"/>
      <c r="AG3463" s="224"/>
    </row>
    <row r="3464">
      <c r="AD3464" s="224"/>
      <c r="AE3464" s="224"/>
      <c r="AF3464" s="224"/>
      <c r="AG3464" s="224"/>
    </row>
    <row r="3465">
      <c r="AD3465" s="224"/>
      <c r="AE3465" s="224"/>
      <c r="AF3465" s="224"/>
      <c r="AG3465" s="224"/>
    </row>
    <row r="3466">
      <c r="AD3466" s="224"/>
      <c r="AE3466" s="224"/>
      <c r="AF3466" s="224"/>
      <c r="AG3466" s="224"/>
    </row>
    <row r="3467">
      <c r="AD3467" s="224"/>
      <c r="AE3467" s="224"/>
      <c r="AF3467" s="224"/>
      <c r="AG3467" s="224"/>
    </row>
    <row r="3468">
      <c r="AD3468" s="224"/>
      <c r="AE3468" s="224"/>
      <c r="AF3468" s="224"/>
      <c r="AG3468" s="224"/>
    </row>
    <row r="3469">
      <c r="AD3469" s="224"/>
      <c r="AE3469" s="224"/>
      <c r="AF3469" s="224"/>
      <c r="AG3469" s="224"/>
    </row>
    <row r="3470">
      <c r="AD3470" s="224"/>
      <c r="AE3470" s="224"/>
      <c r="AF3470" s="224"/>
      <c r="AG3470" s="224"/>
    </row>
    <row r="3471">
      <c r="AD3471" s="224"/>
      <c r="AE3471" s="224"/>
      <c r="AF3471" s="224"/>
      <c r="AG3471" s="224"/>
    </row>
    <row r="3472">
      <c r="AD3472" s="224"/>
      <c r="AE3472" s="224"/>
      <c r="AF3472" s="224"/>
      <c r="AG3472" s="224"/>
    </row>
    <row r="3473">
      <c r="AD3473" s="224"/>
      <c r="AE3473" s="224"/>
      <c r="AF3473" s="224"/>
      <c r="AG3473" s="224"/>
    </row>
    <row r="3474">
      <c r="AD3474" s="224"/>
      <c r="AE3474" s="224"/>
      <c r="AF3474" s="224"/>
      <c r="AG3474" s="224"/>
    </row>
    <row r="3475">
      <c r="AD3475" s="224"/>
      <c r="AE3475" s="224"/>
      <c r="AF3475" s="224"/>
      <c r="AG3475" s="224"/>
    </row>
    <row r="3476">
      <c r="AD3476" s="224"/>
      <c r="AE3476" s="224"/>
      <c r="AF3476" s="224"/>
      <c r="AG3476" s="224"/>
    </row>
    <row r="3477">
      <c r="AD3477" s="224"/>
      <c r="AE3477" s="224"/>
      <c r="AF3477" s="224"/>
      <c r="AG3477" s="224"/>
    </row>
    <row r="3478">
      <c r="AD3478" s="224"/>
      <c r="AE3478" s="224"/>
      <c r="AF3478" s="224"/>
      <c r="AG3478" s="224"/>
    </row>
    <row r="3479">
      <c r="AD3479" s="224"/>
      <c r="AE3479" s="224"/>
      <c r="AF3479" s="224"/>
      <c r="AG3479" s="224"/>
    </row>
    <row r="3480">
      <c r="AD3480" s="224"/>
      <c r="AE3480" s="224"/>
      <c r="AF3480" s="224"/>
      <c r="AG3480" s="224"/>
    </row>
    <row r="3481">
      <c r="AD3481" s="224"/>
      <c r="AE3481" s="224"/>
      <c r="AF3481" s="224"/>
      <c r="AG3481" s="224"/>
    </row>
    <row r="3482">
      <c r="AD3482" s="224"/>
      <c r="AE3482" s="224"/>
      <c r="AF3482" s="224"/>
      <c r="AG3482" s="224"/>
    </row>
    <row r="3483">
      <c r="AD3483" s="224"/>
      <c r="AE3483" s="224"/>
      <c r="AF3483" s="224"/>
      <c r="AG3483" s="224"/>
    </row>
    <row r="3484">
      <c r="AD3484" s="224"/>
      <c r="AE3484" s="224"/>
      <c r="AF3484" s="224"/>
      <c r="AG3484" s="224"/>
    </row>
    <row r="3485">
      <c r="AD3485" s="224"/>
      <c r="AE3485" s="224"/>
      <c r="AF3485" s="224"/>
      <c r="AG3485" s="224"/>
    </row>
    <row r="3486">
      <c r="AD3486" s="224"/>
      <c r="AE3486" s="224"/>
      <c r="AF3486" s="224"/>
      <c r="AG3486" s="224"/>
    </row>
    <row r="3487">
      <c r="AD3487" s="224"/>
      <c r="AE3487" s="224"/>
      <c r="AF3487" s="224"/>
      <c r="AG3487" s="224"/>
    </row>
    <row r="3488">
      <c r="AD3488" s="224"/>
      <c r="AE3488" s="224"/>
      <c r="AF3488" s="224"/>
      <c r="AG3488" s="224"/>
    </row>
    <row r="3489">
      <c r="AD3489" s="224"/>
      <c r="AE3489" s="224"/>
      <c r="AF3489" s="224"/>
      <c r="AG3489" s="224"/>
    </row>
    <row r="3490">
      <c r="AD3490" s="224"/>
      <c r="AE3490" s="224"/>
      <c r="AF3490" s="224"/>
      <c r="AG3490" s="224"/>
    </row>
    <row r="3491">
      <c r="AD3491" s="224"/>
      <c r="AE3491" s="224"/>
      <c r="AF3491" s="224"/>
      <c r="AG3491" s="224"/>
    </row>
    <row r="3492">
      <c r="AD3492" s="224"/>
      <c r="AE3492" s="224"/>
      <c r="AF3492" s="224"/>
      <c r="AG3492" s="224"/>
    </row>
    <row r="3493">
      <c r="AD3493" s="224"/>
      <c r="AE3493" s="224"/>
      <c r="AF3493" s="224"/>
      <c r="AG3493" s="224"/>
    </row>
    <row r="3494">
      <c r="AD3494" s="224"/>
      <c r="AE3494" s="224"/>
      <c r="AF3494" s="224"/>
      <c r="AG3494" s="224"/>
    </row>
    <row r="3495">
      <c r="AD3495" s="224"/>
      <c r="AE3495" s="224"/>
      <c r="AF3495" s="224"/>
      <c r="AG3495" s="224"/>
    </row>
    <row r="3496">
      <c r="AD3496" s="224"/>
      <c r="AE3496" s="224"/>
      <c r="AF3496" s="224"/>
      <c r="AG3496" s="224"/>
    </row>
    <row r="3497">
      <c r="AD3497" s="224"/>
      <c r="AE3497" s="224"/>
      <c r="AF3497" s="224"/>
      <c r="AG3497" s="224"/>
    </row>
    <row r="3498">
      <c r="AD3498" s="224"/>
      <c r="AE3498" s="224"/>
      <c r="AF3498" s="224"/>
      <c r="AG3498" s="224"/>
    </row>
    <row r="3499">
      <c r="AD3499" s="224"/>
      <c r="AE3499" s="224"/>
      <c r="AF3499" s="224"/>
      <c r="AG3499" s="224"/>
    </row>
    <row r="3500">
      <c r="AD3500" s="224"/>
      <c r="AE3500" s="224"/>
      <c r="AF3500" s="224"/>
      <c r="AG3500" s="224"/>
    </row>
    <row r="3501">
      <c r="AD3501" s="224"/>
      <c r="AE3501" s="224"/>
      <c r="AF3501" s="224"/>
      <c r="AG3501" s="224"/>
    </row>
    <row r="3502">
      <c r="AD3502" s="224"/>
      <c r="AE3502" s="224"/>
      <c r="AF3502" s="224"/>
      <c r="AG3502" s="224"/>
    </row>
    <row r="3503">
      <c r="AD3503" s="224"/>
      <c r="AE3503" s="224"/>
      <c r="AF3503" s="224"/>
      <c r="AG3503" s="224"/>
    </row>
    <row r="3504">
      <c r="AD3504" s="224"/>
      <c r="AE3504" s="224"/>
      <c r="AF3504" s="224"/>
      <c r="AG3504" s="224"/>
    </row>
    <row r="3505">
      <c r="AD3505" s="224"/>
      <c r="AE3505" s="224"/>
      <c r="AF3505" s="224"/>
      <c r="AG3505" s="224"/>
    </row>
    <row r="3506">
      <c r="AD3506" s="224"/>
      <c r="AE3506" s="224"/>
      <c r="AF3506" s="224"/>
      <c r="AG3506" s="224"/>
    </row>
    <row r="3507">
      <c r="AD3507" s="224"/>
      <c r="AE3507" s="224"/>
      <c r="AF3507" s="224"/>
      <c r="AG3507" s="224"/>
    </row>
    <row r="3508">
      <c r="AD3508" s="224"/>
      <c r="AE3508" s="224"/>
      <c r="AF3508" s="224"/>
      <c r="AG3508" s="224"/>
    </row>
    <row r="3509">
      <c r="AD3509" s="224"/>
      <c r="AE3509" s="224"/>
      <c r="AF3509" s="224"/>
      <c r="AG3509" s="224"/>
    </row>
    <row r="3510">
      <c r="AD3510" s="224"/>
      <c r="AE3510" s="224"/>
      <c r="AF3510" s="224"/>
      <c r="AG3510" s="224"/>
    </row>
    <row r="3511">
      <c r="AD3511" s="224"/>
      <c r="AE3511" s="224"/>
      <c r="AF3511" s="224"/>
      <c r="AG3511" s="224"/>
    </row>
    <row r="3512">
      <c r="AD3512" s="224"/>
      <c r="AE3512" s="224"/>
      <c r="AF3512" s="224"/>
      <c r="AG3512" s="224"/>
    </row>
    <row r="3513">
      <c r="AD3513" s="224"/>
      <c r="AE3513" s="224"/>
      <c r="AF3513" s="224"/>
      <c r="AG3513" s="224"/>
    </row>
    <row r="3514">
      <c r="AD3514" s="224"/>
      <c r="AE3514" s="224"/>
      <c r="AF3514" s="224"/>
      <c r="AG3514" s="224"/>
    </row>
    <row r="3515">
      <c r="AD3515" s="224"/>
      <c r="AE3515" s="224"/>
      <c r="AF3515" s="224"/>
      <c r="AG3515" s="224"/>
    </row>
    <row r="3516">
      <c r="AD3516" s="224"/>
      <c r="AE3516" s="224"/>
      <c r="AF3516" s="224"/>
      <c r="AG3516" s="224"/>
    </row>
    <row r="3517">
      <c r="AD3517" s="224"/>
      <c r="AE3517" s="224"/>
      <c r="AF3517" s="224"/>
      <c r="AG3517" s="224"/>
    </row>
    <row r="3518">
      <c r="AD3518" s="224"/>
      <c r="AE3518" s="224"/>
      <c r="AF3518" s="224"/>
      <c r="AG3518" s="224"/>
    </row>
    <row r="3519">
      <c r="AD3519" s="224"/>
      <c r="AE3519" s="224"/>
      <c r="AF3519" s="224"/>
      <c r="AG3519" s="224"/>
    </row>
    <row r="3520">
      <c r="AD3520" s="224"/>
      <c r="AE3520" s="224"/>
      <c r="AF3520" s="224"/>
      <c r="AG3520" s="224"/>
    </row>
    <row r="3521">
      <c r="AD3521" s="224"/>
      <c r="AE3521" s="224"/>
      <c r="AF3521" s="224"/>
      <c r="AG3521" s="224"/>
    </row>
    <row r="3522">
      <c r="AD3522" s="224"/>
      <c r="AE3522" s="224"/>
      <c r="AF3522" s="224"/>
      <c r="AG3522" s="224"/>
    </row>
    <row r="3523">
      <c r="AD3523" s="224"/>
      <c r="AE3523" s="224"/>
      <c r="AF3523" s="224"/>
      <c r="AG3523" s="224"/>
    </row>
    <row r="3524">
      <c r="AD3524" s="224"/>
      <c r="AE3524" s="224"/>
      <c r="AF3524" s="224"/>
      <c r="AG3524" s="224"/>
    </row>
    <row r="3525">
      <c r="AD3525" s="224"/>
      <c r="AE3525" s="224"/>
      <c r="AF3525" s="224"/>
      <c r="AG3525" s="224"/>
    </row>
    <row r="3526">
      <c r="AD3526" s="224"/>
      <c r="AE3526" s="224"/>
      <c r="AF3526" s="224"/>
      <c r="AG3526" s="224"/>
    </row>
    <row r="3527">
      <c r="AD3527" s="224"/>
      <c r="AE3527" s="224"/>
      <c r="AF3527" s="224"/>
      <c r="AG3527" s="224"/>
    </row>
    <row r="3528">
      <c r="AD3528" s="224"/>
      <c r="AE3528" s="224"/>
      <c r="AF3528" s="224"/>
      <c r="AG3528" s="224"/>
    </row>
    <row r="3529">
      <c r="AD3529" s="224"/>
      <c r="AE3529" s="224"/>
      <c r="AF3529" s="224"/>
      <c r="AG3529" s="224"/>
    </row>
    <row r="3530">
      <c r="AD3530" s="224"/>
      <c r="AE3530" s="224"/>
      <c r="AF3530" s="224"/>
      <c r="AG3530" s="224"/>
    </row>
    <row r="3531">
      <c r="AD3531" s="224"/>
      <c r="AE3531" s="224"/>
      <c r="AF3531" s="224"/>
      <c r="AG3531" s="224"/>
    </row>
    <row r="3532">
      <c r="AD3532" s="224"/>
      <c r="AE3532" s="224"/>
      <c r="AF3532" s="224"/>
      <c r="AG3532" s="224"/>
    </row>
    <row r="3533">
      <c r="AD3533" s="224"/>
      <c r="AE3533" s="224"/>
      <c r="AF3533" s="224"/>
      <c r="AG3533" s="224"/>
    </row>
    <row r="3534">
      <c r="AD3534" s="224"/>
      <c r="AE3534" s="224"/>
      <c r="AF3534" s="224"/>
      <c r="AG3534" s="224"/>
    </row>
    <row r="3535">
      <c r="AD3535" s="224"/>
      <c r="AE3535" s="224"/>
      <c r="AF3535" s="224"/>
      <c r="AG3535" s="224"/>
    </row>
    <row r="3536">
      <c r="AD3536" s="224"/>
      <c r="AE3536" s="224"/>
      <c r="AF3536" s="224"/>
      <c r="AG3536" s="224"/>
    </row>
    <row r="3537">
      <c r="AD3537" s="224"/>
      <c r="AE3537" s="224"/>
      <c r="AF3537" s="224"/>
      <c r="AG3537" s="224"/>
    </row>
    <row r="3538">
      <c r="AD3538" s="224"/>
      <c r="AE3538" s="224"/>
      <c r="AF3538" s="224"/>
      <c r="AG3538" s="224"/>
    </row>
    <row r="3539">
      <c r="AD3539" s="224"/>
      <c r="AE3539" s="224"/>
      <c r="AF3539" s="224"/>
      <c r="AG3539" s="224"/>
    </row>
    <row r="3540">
      <c r="AD3540" s="224"/>
      <c r="AE3540" s="224"/>
      <c r="AF3540" s="224"/>
      <c r="AG3540" s="224"/>
    </row>
    <row r="3541">
      <c r="AD3541" s="224"/>
      <c r="AE3541" s="224"/>
      <c r="AF3541" s="224"/>
      <c r="AG3541" s="224"/>
    </row>
    <row r="3542">
      <c r="AD3542" s="224"/>
      <c r="AE3542" s="224"/>
      <c r="AF3542" s="224"/>
      <c r="AG3542" s="224"/>
    </row>
    <row r="3543">
      <c r="AD3543" s="224"/>
      <c r="AE3543" s="224"/>
      <c r="AF3543" s="224"/>
      <c r="AG3543" s="224"/>
    </row>
    <row r="3544">
      <c r="AD3544" s="224"/>
      <c r="AE3544" s="224"/>
      <c r="AF3544" s="224"/>
      <c r="AG3544" s="224"/>
    </row>
    <row r="3545">
      <c r="AD3545" s="224"/>
      <c r="AE3545" s="224"/>
      <c r="AF3545" s="224"/>
      <c r="AG3545" s="224"/>
    </row>
    <row r="3546">
      <c r="AD3546" s="224"/>
      <c r="AE3546" s="224"/>
      <c r="AF3546" s="224"/>
      <c r="AG3546" s="224"/>
    </row>
    <row r="3547">
      <c r="AD3547" s="224"/>
      <c r="AE3547" s="224"/>
      <c r="AF3547" s="224"/>
      <c r="AG3547" s="224"/>
    </row>
    <row r="3548">
      <c r="AD3548" s="224"/>
      <c r="AE3548" s="224"/>
      <c r="AF3548" s="224"/>
      <c r="AG3548" s="224"/>
    </row>
    <row r="3549">
      <c r="AD3549" s="224"/>
      <c r="AE3549" s="224"/>
      <c r="AF3549" s="224"/>
      <c r="AG3549" s="224"/>
    </row>
    <row r="3550">
      <c r="AD3550" s="224"/>
      <c r="AE3550" s="224"/>
      <c r="AF3550" s="224"/>
      <c r="AG3550" s="224"/>
    </row>
    <row r="3551">
      <c r="AD3551" s="224"/>
      <c r="AE3551" s="224"/>
      <c r="AF3551" s="224"/>
      <c r="AG3551" s="224"/>
    </row>
    <row r="3552">
      <c r="AD3552" s="224"/>
      <c r="AE3552" s="224"/>
      <c r="AF3552" s="224"/>
      <c r="AG3552" s="224"/>
    </row>
    <row r="3553">
      <c r="AD3553" s="224"/>
      <c r="AE3553" s="224"/>
      <c r="AF3553" s="224"/>
      <c r="AG3553" s="224"/>
    </row>
    <row r="3554">
      <c r="AD3554" s="224"/>
      <c r="AE3554" s="224"/>
      <c r="AF3554" s="224"/>
      <c r="AG3554" s="224"/>
    </row>
    <row r="3555">
      <c r="AD3555" s="224"/>
      <c r="AE3555" s="224"/>
      <c r="AF3555" s="224"/>
      <c r="AG3555" s="224"/>
    </row>
    <row r="3556">
      <c r="AD3556" s="224"/>
      <c r="AE3556" s="224"/>
      <c r="AF3556" s="224"/>
      <c r="AG3556" s="224"/>
    </row>
    <row r="3557">
      <c r="AD3557" s="224"/>
      <c r="AE3557" s="224"/>
      <c r="AF3557" s="224"/>
      <c r="AG3557" s="224"/>
    </row>
    <row r="3558">
      <c r="AD3558" s="224"/>
      <c r="AE3558" s="224"/>
      <c r="AF3558" s="224"/>
      <c r="AG3558" s="224"/>
    </row>
    <row r="3559">
      <c r="AD3559" s="224"/>
      <c r="AE3559" s="224"/>
      <c r="AF3559" s="224"/>
      <c r="AG3559" s="224"/>
    </row>
    <row r="3560">
      <c r="AD3560" s="224"/>
      <c r="AE3560" s="224"/>
      <c r="AF3560" s="224"/>
      <c r="AG3560" s="224"/>
    </row>
    <row r="3561">
      <c r="AD3561" s="224"/>
      <c r="AE3561" s="224"/>
      <c r="AF3561" s="224"/>
      <c r="AG3561" s="224"/>
    </row>
    <row r="3562">
      <c r="AD3562" s="224"/>
      <c r="AE3562" s="224"/>
      <c r="AF3562" s="224"/>
      <c r="AG3562" s="224"/>
    </row>
    <row r="3563">
      <c r="AD3563" s="224"/>
      <c r="AE3563" s="224"/>
      <c r="AF3563" s="224"/>
      <c r="AG3563" s="224"/>
    </row>
    <row r="3564">
      <c r="AD3564" s="224"/>
      <c r="AE3564" s="224"/>
      <c r="AF3564" s="224"/>
      <c r="AG3564" s="224"/>
    </row>
    <row r="3565">
      <c r="AD3565" s="224"/>
      <c r="AE3565" s="224"/>
      <c r="AF3565" s="224"/>
      <c r="AG3565" s="224"/>
    </row>
    <row r="3566">
      <c r="AD3566" s="224"/>
      <c r="AE3566" s="224"/>
      <c r="AF3566" s="224"/>
      <c r="AG3566" s="224"/>
    </row>
    <row r="3567">
      <c r="AD3567" s="224"/>
      <c r="AE3567" s="224"/>
      <c r="AF3567" s="224"/>
      <c r="AG3567" s="224"/>
    </row>
    <row r="3568">
      <c r="AD3568" s="224"/>
      <c r="AE3568" s="224"/>
      <c r="AF3568" s="224"/>
      <c r="AG3568" s="224"/>
    </row>
    <row r="3569">
      <c r="AD3569" s="224"/>
      <c r="AE3569" s="224"/>
      <c r="AF3569" s="224"/>
      <c r="AG3569" s="224"/>
    </row>
    <row r="3570">
      <c r="AD3570" s="224"/>
      <c r="AE3570" s="224"/>
      <c r="AF3570" s="224"/>
      <c r="AG3570" s="224"/>
    </row>
    <row r="3571">
      <c r="AD3571" s="224"/>
      <c r="AE3571" s="224"/>
      <c r="AF3571" s="224"/>
      <c r="AG3571" s="224"/>
    </row>
    <row r="3572">
      <c r="AD3572" s="224"/>
      <c r="AE3572" s="224"/>
      <c r="AF3572" s="224"/>
      <c r="AG3572" s="224"/>
    </row>
    <row r="3573">
      <c r="AD3573" s="224"/>
      <c r="AE3573" s="224"/>
      <c r="AF3573" s="224"/>
      <c r="AG3573" s="224"/>
    </row>
    <row r="3574">
      <c r="AD3574" s="224"/>
      <c r="AE3574" s="224"/>
      <c r="AF3574" s="224"/>
      <c r="AG3574" s="224"/>
    </row>
    <row r="3575">
      <c r="AD3575" s="224"/>
      <c r="AE3575" s="224"/>
      <c r="AF3575" s="224"/>
      <c r="AG3575" s="224"/>
    </row>
    <row r="3576">
      <c r="AD3576" s="224"/>
      <c r="AE3576" s="224"/>
      <c r="AF3576" s="224"/>
      <c r="AG3576" s="224"/>
    </row>
    <row r="3577">
      <c r="AD3577" s="224"/>
      <c r="AE3577" s="224"/>
      <c r="AF3577" s="224"/>
      <c r="AG3577" s="224"/>
    </row>
    <row r="3578">
      <c r="AD3578" s="224"/>
      <c r="AE3578" s="224"/>
      <c r="AF3578" s="224"/>
      <c r="AG3578" s="224"/>
    </row>
    <row r="3579">
      <c r="AD3579" s="224"/>
      <c r="AE3579" s="224"/>
      <c r="AF3579" s="224"/>
      <c r="AG3579" s="224"/>
    </row>
    <row r="3580">
      <c r="AD3580" s="224"/>
      <c r="AE3580" s="224"/>
      <c r="AF3580" s="224"/>
      <c r="AG3580" s="224"/>
    </row>
    <row r="3581">
      <c r="AD3581" s="224"/>
      <c r="AE3581" s="224"/>
      <c r="AF3581" s="224"/>
      <c r="AG3581" s="224"/>
    </row>
    <row r="3582">
      <c r="AD3582" s="224"/>
      <c r="AE3582" s="224"/>
      <c r="AF3582" s="224"/>
      <c r="AG3582" s="224"/>
    </row>
    <row r="3583">
      <c r="AD3583" s="224"/>
      <c r="AE3583" s="224"/>
      <c r="AF3583" s="224"/>
      <c r="AG3583" s="224"/>
    </row>
    <row r="3584">
      <c r="AD3584" s="224"/>
      <c r="AE3584" s="224"/>
      <c r="AF3584" s="224"/>
      <c r="AG3584" s="224"/>
    </row>
    <row r="3585">
      <c r="AD3585" s="224"/>
      <c r="AE3585" s="224"/>
      <c r="AF3585" s="224"/>
      <c r="AG3585" s="224"/>
    </row>
    <row r="3586">
      <c r="AD3586" s="224"/>
      <c r="AE3586" s="224"/>
      <c r="AF3586" s="224"/>
      <c r="AG3586" s="224"/>
    </row>
    <row r="3587">
      <c r="AD3587" s="224"/>
      <c r="AE3587" s="224"/>
      <c r="AF3587" s="224"/>
      <c r="AG3587" s="224"/>
    </row>
    <row r="3588">
      <c r="AD3588" s="224"/>
      <c r="AE3588" s="224"/>
      <c r="AF3588" s="224"/>
      <c r="AG3588" s="224"/>
    </row>
    <row r="3589">
      <c r="AD3589" s="224"/>
      <c r="AE3589" s="224"/>
      <c r="AF3589" s="224"/>
      <c r="AG3589" s="224"/>
    </row>
    <row r="3590">
      <c r="AD3590" s="224"/>
      <c r="AE3590" s="224"/>
      <c r="AF3590" s="224"/>
      <c r="AG3590" s="224"/>
    </row>
    <row r="3591">
      <c r="AD3591" s="224"/>
      <c r="AE3591" s="224"/>
      <c r="AF3591" s="224"/>
      <c r="AG3591" s="224"/>
    </row>
    <row r="3592">
      <c r="AD3592" s="224"/>
      <c r="AE3592" s="224"/>
      <c r="AF3592" s="224"/>
      <c r="AG3592" s="224"/>
    </row>
    <row r="3593">
      <c r="AD3593" s="224"/>
      <c r="AE3593" s="224"/>
      <c r="AF3593" s="224"/>
      <c r="AG3593" s="224"/>
    </row>
    <row r="3594">
      <c r="AD3594" s="224"/>
      <c r="AE3594" s="224"/>
      <c r="AF3594" s="224"/>
      <c r="AG3594" s="224"/>
    </row>
    <row r="3595">
      <c r="AD3595" s="224"/>
      <c r="AE3595" s="224"/>
      <c r="AF3595" s="224"/>
      <c r="AG3595" s="224"/>
    </row>
    <row r="3596">
      <c r="AD3596" s="224"/>
      <c r="AE3596" s="224"/>
      <c r="AF3596" s="224"/>
      <c r="AG3596" s="224"/>
    </row>
    <row r="3597">
      <c r="AD3597" s="224"/>
      <c r="AE3597" s="224"/>
      <c r="AF3597" s="224"/>
      <c r="AG3597" s="224"/>
    </row>
    <row r="3598">
      <c r="AD3598" s="224"/>
      <c r="AE3598" s="224"/>
      <c r="AF3598" s="224"/>
      <c r="AG3598" s="224"/>
    </row>
    <row r="3599">
      <c r="AD3599" s="224"/>
      <c r="AE3599" s="224"/>
      <c r="AF3599" s="224"/>
      <c r="AG3599" s="224"/>
    </row>
    <row r="3600">
      <c r="AD3600" s="224"/>
      <c r="AE3600" s="224"/>
      <c r="AF3600" s="224"/>
      <c r="AG3600" s="224"/>
    </row>
    <row r="3601">
      <c r="AD3601" s="224"/>
      <c r="AE3601" s="224"/>
      <c r="AF3601" s="224"/>
      <c r="AG3601" s="224"/>
    </row>
    <row r="3602">
      <c r="AD3602" s="224"/>
      <c r="AE3602" s="224"/>
      <c r="AF3602" s="224"/>
      <c r="AG3602" s="224"/>
    </row>
    <row r="3603">
      <c r="AD3603" s="224"/>
      <c r="AE3603" s="224"/>
      <c r="AF3603" s="224"/>
      <c r="AG3603" s="224"/>
    </row>
    <row r="3604">
      <c r="AD3604" s="224"/>
      <c r="AE3604" s="224"/>
      <c r="AF3604" s="224"/>
      <c r="AG3604" s="224"/>
    </row>
    <row r="3605">
      <c r="AD3605" s="224"/>
      <c r="AE3605" s="224"/>
      <c r="AF3605" s="224"/>
      <c r="AG3605" s="224"/>
    </row>
    <row r="3606">
      <c r="AD3606" s="224"/>
      <c r="AE3606" s="224"/>
      <c r="AF3606" s="224"/>
      <c r="AG3606" s="224"/>
    </row>
    <row r="3607">
      <c r="AD3607" s="224"/>
      <c r="AE3607" s="224"/>
      <c r="AF3607" s="224"/>
      <c r="AG3607" s="224"/>
    </row>
    <row r="3608">
      <c r="AD3608" s="224"/>
      <c r="AE3608" s="224"/>
      <c r="AF3608" s="224"/>
      <c r="AG3608" s="224"/>
    </row>
    <row r="3609">
      <c r="AD3609" s="224"/>
      <c r="AE3609" s="224"/>
      <c r="AF3609" s="224"/>
      <c r="AG3609" s="224"/>
    </row>
    <row r="3610">
      <c r="AD3610" s="224"/>
      <c r="AE3610" s="224"/>
      <c r="AF3610" s="224"/>
      <c r="AG3610" s="224"/>
    </row>
    <row r="3611">
      <c r="AD3611" s="224"/>
      <c r="AE3611" s="224"/>
      <c r="AF3611" s="224"/>
      <c r="AG3611" s="224"/>
    </row>
    <row r="3612">
      <c r="AD3612" s="224"/>
      <c r="AE3612" s="224"/>
      <c r="AF3612" s="224"/>
      <c r="AG3612" s="224"/>
    </row>
    <row r="3613">
      <c r="AD3613" s="224"/>
      <c r="AE3613" s="224"/>
      <c r="AF3613" s="224"/>
      <c r="AG3613" s="224"/>
    </row>
    <row r="3614">
      <c r="AD3614" s="224"/>
      <c r="AE3614" s="224"/>
      <c r="AF3614" s="224"/>
      <c r="AG3614" s="224"/>
    </row>
    <row r="3615">
      <c r="AD3615" s="224"/>
      <c r="AE3615" s="224"/>
      <c r="AF3615" s="224"/>
      <c r="AG3615" s="224"/>
    </row>
    <row r="3616">
      <c r="AD3616" s="224"/>
      <c r="AE3616" s="224"/>
      <c r="AF3616" s="224"/>
      <c r="AG3616" s="224"/>
    </row>
    <row r="3617">
      <c r="AD3617" s="224"/>
      <c r="AE3617" s="224"/>
      <c r="AF3617" s="224"/>
      <c r="AG3617" s="224"/>
    </row>
    <row r="3618">
      <c r="AD3618" s="224"/>
      <c r="AE3618" s="224"/>
      <c r="AF3618" s="224"/>
      <c r="AG3618" s="224"/>
    </row>
    <row r="3619">
      <c r="AD3619" s="224"/>
      <c r="AE3619" s="224"/>
      <c r="AF3619" s="224"/>
      <c r="AG3619" s="224"/>
    </row>
    <row r="3620">
      <c r="AD3620" s="224"/>
      <c r="AE3620" s="224"/>
      <c r="AF3620" s="224"/>
      <c r="AG3620" s="224"/>
    </row>
    <row r="3621">
      <c r="AD3621" s="224"/>
      <c r="AE3621" s="224"/>
      <c r="AF3621" s="224"/>
      <c r="AG3621" s="224"/>
    </row>
    <row r="3622">
      <c r="AD3622" s="224"/>
      <c r="AE3622" s="224"/>
      <c r="AF3622" s="224"/>
      <c r="AG3622" s="224"/>
    </row>
    <row r="3623">
      <c r="AD3623" s="224"/>
      <c r="AE3623" s="224"/>
      <c r="AF3623" s="224"/>
      <c r="AG3623" s="224"/>
    </row>
    <row r="3624">
      <c r="AD3624" s="224"/>
      <c r="AE3624" s="224"/>
      <c r="AF3624" s="224"/>
      <c r="AG3624" s="224"/>
    </row>
    <row r="3625">
      <c r="AD3625" s="224"/>
      <c r="AE3625" s="224"/>
      <c r="AF3625" s="224"/>
      <c r="AG3625" s="224"/>
    </row>
    <row r="3626">
      <c r="AD3626" s="224"/>
      <c r="AE3626" s="224"/>
      <c r="AF3626" s="224"/>
      <c r="AG3626" s="224"/>
    </row>
    <row r="3627">
      <c r="AD3627" s="224"/>
      <c r="AE3627" s="224"/>
      <c r="AF3627" s="224"/>
      <c r="AG3627" s="224"/>
    </row>
    <row r="3628">
      <c r="AD3628" s="224"/>
      <c r="AE3628" s="224"/>
      <c r="AF3628" s="224"/>
      <c r="AG3628" s="224"/>
    </row>
    <row r="3629">
      <c r="AD3629" s="224"/>
      <c r="AE3629" s="224"/>
      <c r="AF3629" s="224"/>
      <c r="AG3629" s="224"/>
    </row>
    <row r="3630">
      <c r="AD3630" s="224"/>
      <c r="AE3630" s="224"/>
      <c r="AF3630" s="224"/>
      <c r="AG3630" s="224"/>
    </row>
    <row r="3631">
      <c r="AD3631" s="224"/>
      <c r="AE3631" s="224"/>
      <c r="AF3631" s="224"/>
      <c r="AG3631" s="224"/>
    </row>
    <row r="3632">
      <c r="AD3632" s="224"/>
      <c r="AE3632" s="224"/>
      <c r="AF3632" s="224"/>
      <c r="AG3632" s="224"/>
    </row>
    <row r="3633">
      <c r="AD3633" s="224"/>
      <c r="AE3633" s="224"/>
      <c r="AF3633" s="224"/>
      <c r="AG3633" s="224"/>
    </row>
    <row r="3634">
      <c r="AD3634" s="224"/>
      <c r="AE3634" s="224"/>
      <c r="AF3634" s="224"/>
      <c r="AG3634" s="224"/>
    </row>
    <row r="3635">
      <c r="AD3635" s="224"/>
      <c r="AE3635" s="224"/>
      <c r="AF3635" s="224"/>
      <c r="AG3635" s="224"/>
    </row>
    <row r="3636">
      <c r="AD3636" s="224"/>
      <c r="AE3636" s="224"/>
      <c r="AF3636" s="224"/>
      <c r="AG3636" s="224"/>
    </row>
    <row r="3637">
      <c r="AD3637" s="224"/>
      <c r="AE3637" s="224"/>
      <c r="AF3637" s="224"/>
      <c r="AG3637" s="224"/>
    </row>
    <row r="3638">
      <c r="AD3638" s="224"/>
      <c r="AE3638" s="224"/>
      <c r="AF3638" s="224"/>
      <c r="AG3638" s="224"/>
    </row>
    <row r="3639">
      <c r="AD3639" s="224"/>
      <c r="AE3639" s="224"/>
      <c r="AF3639" s="224"/>
      <c r="AG3639" s="224"/>
    </row>
    <row r="3640">
      <c r="AD3640" s="224"/>
      <c r="AE3640" s="224"/>
      <c r="AF3640" s="224"/>
      <c r="AG3640" s="224"/>
    </row>
    <row r="3641">
      <c r="AD3641" s="224"/>
      <c r="AE3641" s="224"/>
      <c r="AF3641" s="224"/>
      <c r="AG3641" s="224"/>
    </row>
    <row r="3642">
      <c r="AD3642" s="224"/>
      <c r="AE3642" s="224"/>
      <c r="AF3642" s="224"/>
      <c r="AG3642" s="224"/>
    </row>
    <row r="3643">
      <c r="AD3643" s="224"/>
      <c r="AE3643" s="224"/>
      <c r="AF3643" s="224"/>
      <c r="AG3643" s="224"/>
    </row>
    <row r="3644">
      <c r="AD3644" s="224"/>
      <c r="AE3644" s="224"/>
      <c r="AF3644" s="224"/>
      <c r="AG3644" s="224"/>
    </row>
    <row r="3645">
      <c r="AD3645" s="224"/>
      <c r="AE3645" s="224"/>
      <c r="AF3645" s="224"/>
      <c r="AG3645" s="224"/>
    </row>
    <row r="3646">
      <c r="AD3646" s="224"/>
      <c r="AE3646" s="224"/>
      <c r="AF3646" s="224"/>
      <c r="AG3646" s="224"/>
    </row>
    <row r="3647">
      <c r="AD3647" s="224"/>
      <c r="AE3647" s="224"/>
      <c r="AF3647" s="224"/>
      <c r="AG3647" s="224"/>
    </row>
    <row r="3648">
      <c r="AD3648" s="224"/>
      <c r="AE3648" s="224"/>
      <c r="AF3648" s="224"/>
      <c r="AG3648" s="224"/>
    </row>
    <row r="3649">
      <c r="AD3649" s="224"/>
      <c r="AE3649" s="224"/>
      <c r="AF3649" s="224"/>
      <c r="AG3649" s="224"/>
    </row>
    <row r="3650">
      <c r="AD3650" s="224"/>
      <c r="AE3650" s="224"/>
      <c r="AF3650" s="224"/>
      <c r="AG3650" s="224"/>
    </row>
    <row r="3651">
      <c r="AD3651" s="224"/>
      <c r="AE3651" s="224"/>
      <c r="AF3651" s="224"/>
      <c r="AG3651" s="224"/>
    </row>
    <row r="3652">
      <c r="AD3652" s="224"/>
      <c r="AE3652" s="224"/>
      <c r="AF3652" s="224"/>
      <c r="AG3652" s="224"/>
    </row>
    <row r="3653">
      <c r="AD3653" s="224"/>
      <c r="AE3653" s="224"/>
      <c r="AF3653" s="224"/>
      <c r="AG3653" s="224"/>
    </row>
    <row r="3654">
      <c r="AD3654" s="224"/>
      <c r="AE3654" s="224"/>
      <c r="AF3654" s="224"/>
      <c r="AG3654" s="224"/>
    </row>
    <row r="3655">
      <c r="AD3655" s="224"/>
      <c r="AE3655" s="224"/>
      <c r="AF3655" s="224"/>
      <c r="AG3655" s="224"/>
    </row>
    <row r="3656">
      <c r="AD3656" s="224"/>
      <c r="AE3656" s="224"/>
      <c r="AF3656" s="224"/>
      <c r="AG3656" s="224"/>
    </row>
    <row r="3657">
      <c r="AD3657" s="224"/>
      <c r="AE3657" s="224"/>
      <c r="AF3657" s="224"/>
      <c r="AG3657" s="224"/>
    </row>
    <row r="3658">
      <c r="AD3658" s="224"/>
      <c r="AE3658" s="224"/>
      <c r="AF3658" s="224"/>
      <c r="AG3658" s="224"/>
    </row>
    <row r="3659">
      <c r="AD3659" s="224"/>
      <c r="AE3659" s="224"/>
      <c r="AF3659" s="224"/>
      <c r="AG3659" s="224"/>
    </row>
    <row r="3660">
      <c r="AD3660" s="224"/>
      <c r="AE3660" s="224"/>
      <c r="AF3660" s="224"/>
      <c r="AG3660" s="224"/>
    </row>
    <row r="3661">
      <c r="AD3661" s="224"/>
      <c r="AE3661" s="224"/>
      <c r="AF3661" s="224"/>
      <c r="AG3661" s="224"/>
    </row>
    <row r="3662">
      <c r="AD3662" s="224"/>
      <c r="AE3662" s="224"/>
      <c r="AF3662" s="224"/>
      <c r="AG3662" s="224"/>
    </row>
    <row r="3663">
      <c r="AD3663" s="224"/>
      <c r="AE3663" s="224"/>
      <c r="AF3663" s="224"/>
      <c r="AG3663" s="224"/>
    </row>
    <row r="3664">
      <c r="AD3664" s="224"/>
      <c r="AE3664" s="224"/>
      <c r="AF3664" s="224"/>
      <c r="AG3664" s="224"/>
    </row>
    <row r="3665">
      <c r="AD3665" s="224"/>
      <c r="AE3665" s="224"/>
      <c r="AF3665" s="224"/>
      <c r="AG3665" s="224"/>
    </row>
    <row r="3666">
      <c r="AD3666" s="224"/>
      <c r="AE3666" s="224"/>
      <c r="AF3666" s="224"/>
      <c r="AG3666" s="224"/>
    </row>
    <row r="3667">
      <c r="AD3667" s="224"/>
      <c r="AE3667" s="224"/>
      <c r="AF3667" s="224"/>
      <c r="AG3667" s="224"/>
    </row>
    <row r="3668">
      <c r="AD3668" s="224"/>
      <c r="AE3668" s="224"/>
      <c r="AF3668" s="224"/>
      <c r="AG3668" s="224"/>
    </row>
    <row r="3669">
      <c r="AD3669" s="224"/>
      <c r="AE3669" s="224"/>
      <c r="AF3669" s="224"/>
      <c r="AG3669" s="224"/>
    </row>
    <row r="3670">
      <c r="AD3670" s="224"/>
      <c r="AE3670" s="224"/>
      <c r="AF3670" s="224"/>
      <c r="AG3670" s="224"/>
    </row>
    <row r="3671">
      <c r="AD3671" s="224"/>
      <c r="AE3671" s="224"/>
      <c r="AF3671" s="224"/>
      <c r="AG3671" s="224"/>
    </row>
    <row r="3672">
      <c r="AD3672" s="224"/>
      <c r="AE3672" s="224"/>
      <c r="AF3672" s="224"/>
      <c r="AG3672" s="224"/>
    </row>
    <row r="3673">
      <c r="AD3673" s="224"/>
      <c r="AE3673" s="224"/>
      <c r="AF3673" s="224"/>
      <c r="AG3673" s="224"/>
    </row>
    <row r="3674">
      <c r="AD3674" s="224"/>
      <c r="AE3674" s="224"/>
      <c r="AF3674" s="224"/>
      <c r="AG3674" s="224"/>
    </row>
    <row r="3675">
      <c r="AD3675" s="224"/>
      <c r="AE3675" s="224"/>
      <c r="AF3675" s="224"/>
      <c r="AG3675" s="224"/>
    </row>
    <row r="3676">
      <c r="AD3676" s="224"/>
      <c r="AE3676" s="224"/>
      <c r="AF3676" s="224"/>
      <c r="AG3676" s="224"/>
    </row>
    <row r="3677">
      <c r="AD3677" s="224"/>
      <c r="AE3677" s="224"/>
      <c r="AF3677" s="224"/>
      <c r="AG3677" s="224"/>
    </row>
    <row r="3678">
      <c r="AD3678" s="224"/>
      <c r="AE3678" s="224"/>
      <c r="AF3678" s="224"/>
      <c r="AG3678" s="224"/>
    </row>
    <row r="3679">
      <c r="AD3679" s="224"/>
      <c r="AE3679" s="224"/>
      <c r="AF3679" s="224"/>
      <c r="AG3679" s="224"/>
    </row>
    <row r="3680">
      <c r="AD3680" s="224"/>
      <c r="AE3680" s="224"/>
      <c r="AF3680" s="224"/>
      <c r="AG3680" s="224"/>
    </row>
    <row r="3681">
      <c r="AD3681" s="224"/>
      <c r="AE3681" s="224"/>
      <c r="AF3681" s="224"/>
      <c r="AG3681" s="224"/>
    </row>
    <row r="3682">
      <c r="AD3682" s="224"/>
      <c r="AE3682" s="224"/>
      <c r="AF3682" s="224"/>
      <c r="AG3682" s="224"/>
    </row>
    <row r="3683">
      <c r="AD3683" s="224"/>
      <c r="AE3683" s="224"/>
      <c r="AF3683" s="224"/>
      <c r="AG3683" s="224"/>
    </row>
    <row r="3684">
      <c r="AD3684" s="224"/>
      <c r="AE3684" s="224"/>
      <c r="AF3684" s="224"/>
      <c r="AG3684" s="224"/>
    </row>
    <row r="3685">
      <c r="AD3685" s="224"/>
      <c r="AE3685" s="224"/>
      <c r="AF3685" s="224"/>
      <c r="AG3685" s="224"/>
    </row>
    <row r="3686">
      <c r="AD3686" s="224"/>
      <c r="AE3686" s="224"/>
      <c r="AF3686" s="224"/>
      <c r="AG3686" s="224"/>
    </row>
    <row r="3687">
      <c r="AD3687" s="224"/>
      <c r="AE3687" s="224"/>
      <c r="AF3687" s="224"/>
      <c r="AG3687" s="224"/>
    </row>
    <row r="3688">
      <c r="AD3688" s="224"/>
      <c r="AE3688" s="224"/>
      <c r="AF3688" s="224"/>
      <c r="AG3688" s="224"/>
    </row>
    <row r="3689">
      <c r="AD3689" s="224"/>
      <c r="AE3689" s="224"/>
      <c r="AF3689" s="224"/>
      <c r="AG3689" s="224"/>
    </row>
    <row r="3690">
      <c r="AD3690" s="224"/>
      <c r="AE3690" s="224"/>
      <c r="AF3690" s="224"/>
      <c r="AG3690" s="224"/>
    </row>
    <row r="3691">
      <c r="AD3691" s="224"/>
      <c r="AE3691" s="224"/>
      <c r="AF3691" s="224"/>
      <c r="AG3691" s="224"/>
    </row>
    <row r="3692">
      <c r="AD3692" s="224"/>
      <c r="AE3692" s="224"/>
      <c r="AF3692" s="224"/>
      <c r="AG3692" s="224"/>
    </row>
    <row r="3693">
      <c r="AD3693" s="224"/>
      <c r="AE3693" s="224"/>
      <c r="AF3693" s="224"/>
      <c r="AG3693" s="224"/>
    </row>
    <row r="3694">
      <c r="AD3694" s="224"/>
      <c r="AE3694" s="224"/>
      <c r="AF3694" s="224"/>
      <c r="AG3694" s="224"/>
    </row>
    <row r="3695">
      <c r="AD3695" s="224"/>
      <c r="AE3695" s="224"/>
      <c r="AF3695" s="224"/>
      <c r="AG3695" s="224"/>
    </row>
    <row r="3696">
      <c r="AD3696" s="224"/>
      <c r="AE3696" s="224"/>
      <c r="AF3696" s="224"/>
      <c r="AG3696" s="224"/>
    </row>
    <row r="3697">
      <c r="AD3697" s="224"/>
      <c r="AE3697" s="224"/>
      <c r="AF3697" s="224"/>
      <c r="AG3697" s="224"/>
    </row>
    <row r="3698">
      <c r="AD3698" s="224"/>
      <c r="AE3698" s="224"/>
      <c r="AF3698" s="224"/>
      <c r="AG3698" s="224"/>
    </row>
    <row r="3699">
      <c r="AD3699" s="224"/>
      <c r="AE3699" s="224"/>
      <c r="AF3699" s="224"/>
      <c r="AG3699" s="224"/>
    </row>
    <row r="3700">
      <c r="AD3700" s="224"/>
      <c r="AE3700" s="224"/>
      <c r="AF3700" s="224"/>
      <c r="AG3700" s="224"/>
    </row>
    <row r="3701">
      <c r="AD3701" s="224"/>
      <c r="AE3701" s="224"/>
      <c r="AF3701" s="224"/>
      <c r="AG3701" s="224"/>
    </row>
    <row r="3702">
      <c r="AD3702" s="224"/>
      <c r="AE3702" s="224"/>
      <c r="AF3702" s="224"/>
      <c r="AG3702" s="224"/>
    </row>
    <row r="3703">
      <c r="AD3703" s="224"/>
      <c r="AE3703" s="224"/>
      <c r="AF3703" s="224"/>
      <c r="AG3703" s="224"/>
    </row>
    <row r="3704">
      <c r="AD3704" s="224"/>
      <c r="AE3704" s="224"/>
      <c r="AF3704" s="224"/>
      <c r="AG3704" s="224"/>
    </row>
    <row r="3705">
      <c r="AD3705" s="224"/>
      <c r="AE3705" s="224"/>
      <c r="AF3705" s="224"/>
      <c r="AG3705" s="224"/>
    </row>
    <row r="3706">
      <c r="AD3706" s="224"/>
      <c r="AE3706" s="224"/>
      <c r="AF3706" s="224"/>
      <c r="AG3706" s="224"/>
    </row>
    <row r="3707">
      <c r="AD3707" s="224"/>
      <c r="AE3707" s="224"/>
      <c r="AF3707" s="224"/>
      <c r="AG3707" s="224"/>
    </row>
    <row r="3708">
      <c r="AD3708" s="224"/>
      <c r="AE3708" s="224"/>
      <c r="AF3708" s="224"/>
      <c r="AG3708" s="224"/>
    </row>
    <row r="3709">
      <c r="AD3709" s="224"/>
      <c r="AE3709" s="224"/>
      <c r="AF3709" s="224"/>
      <c r="AG3709" s="224"/>
    </row>
    <row r="3710">
      <c r="AD3710" s="224"/>
      <c r="AE3710" s="224"/>
      <c r="AF3710" s="224"/>
      <c r="AG3710" s="224"/>
    </row>
    <row r="3711">
      <c r="AD3711" s="224"/>
      <c r="AE3711" s="224"/>
      <c r="AF3711" s="224"/>
      <c r="AG3711" s="224"/>
    </row>
    <row r="3712">
      <c r="AD3712" s="224"/>
      <c r="AE3712" s="224"/>
      <c r="AF3712" s="224"/>
      <c r="AG3712" s="224"/>
    </row>
    <row r="3713">
      <c r="AD3713" s="224"/>
      <c r="AE3713" s="224"/>
      <c r="AF3713" s="224"/>
      <c r="AG3713" s="224"/>
    </row>
    <row r="3714">
      <c r="AD3714" s="224"/>
      <c r="AE3714" s="224"/>
      <c r="AF3714" s="224"/>
      <c r="AG3714" s="224"/>
    </row>
    <row r="3715">
      <c r="AD3715" s="224"/>
      <c r="AE3715" s="224"/>
      <c r="AF3715" s="224"/>
      <c r="AG3715" s="224"/>
    </row>
    <row r="3716">
      <c r="AD3716" s="224"/>
      <c r="AE3716" s="224"/>
      <c r="AF3716" s="224"/>
      <c r="AG3716" s="224"/>
    </row>
    <row r="3717">
      <c r="AD3717" s="224"/>
      <c r="AE3717" s="224"/>
      <c r="AF3717" s="224"/>
      <c r="AG3717" s="224"/>
    </row>
    <row r="3718">
      <c r="AD3718" s="224"/>
      <c r="AE3718" s="224"/>
      <c r="AF3718" s="224"/>
      <c r="AG3718" s="224"/>
    </row>
    <row r="3719">
      <c r="AD3719" s="224"/>
      <c r="AE3719" s="224"/>
      <c r="AF3719" s="224"/>
      <c r="AG3719" s="224"/>
    </row>
    <row r="3720">
      <c r="AD3720" s="224"/>
      <c r="AE3720" s="224"/>
      <c r="AF3720" s="224"/>
      <c r="AG3720" s="224"/>
    </row>
    <row r="3721">
      <c r="AD3721" s="224"/>
      <c r="AE3721" s="224"/>
      <c r="AF3721" s="224"/>
      <c r="AG3721" s="224"/>
    </row>
    <row r="3722">
      <c r="AD3722" s="224"/>
      <c r="AE3722" s="224"/>
      <c r="AF3722" s="224"/>
      <c r="AG3722" s="224"/>
    </row>
    <row r="3723">
      <c r="AD3723" s="224"/>
      <c r="AE3723" s="224"/>
      <c r="AF3723" s="224"/>
      <c r="AG3723" s="224"/>
    </row>
    <row r="3724">
      <c r="AD3724" s="224"/>
      <c r="AE3724" s="224"/>
      <c r="AF3724" s="224"/>
      <c r="AG3724" s="224"/>
    </row>
    <row r="3725">
      <c r="AD3725" s="224"/>
      <c r="AE3725" s="224"/>
      <c r="AF3725" s="224"/>
      <c r="AG3725" s="224"/>
    </row>
    <row r="3726">
      <c r="AD3726" s="224"/>
      <c r="AE3726" s="224"/>
      <c r="AF3726" s="224"/>
      <c r="AG3726" s="224"/>
    </row>
    <row r="3727">
      <c r="AD3727" s="224"/>
      <c r="AE3727" s="224"/>
      <c r="AF3727" s="224"/>
      <c r="AG3727" s="224"/>
    </row>
    <row r="3728">
      <c r="AD3728" s="224"/>
      <c r="AE3728" s="224"/>
      <c r="AF3728" s="224"/>
      <c r="AG3728" s="224"/>
    </row>
    <row r="3729">
      <c r="AD3729" s="224"/>
      <c r="AE3729" s="224"/>
      <c r="AF3729" s="224"/>
      <c r="AG3729" s="224"/>
    </row>
    <row r="3730">
      <c r="AD3730" s="224"/>
      <c r="AE3730" s="224"/>
      <c r="AF3730" s="224"/>
      <c r="AG3730" s="224"/>
    </row>
    <row r="3731">
      <c r="AD3731" s="224"/>
      <c r="AE3731" s="224"/>
      <c r="AF3731" s="224"/>
      <c r="AG3731" s="224"/>
    </row>
    <row r="3732">
      <c r="AD3732" s="224"/>
      <c r="AE3732" s="224"/>
      <c r="AF3732" s="224"/>
      <c r="AG3732" s="224"/>
    </row>
    <row r="3733">
      <c r="AD3733" s="224"/>
      <c r="AE3733" s="224"/>
      <c r="AF3733" s="224"/>
      <c r="AG3733" s="224"/>
    </row>
    <row r="3734">
      <c r="AD3734" s="224"/>
      <c r="AE3734" s="224"/>
      <c r="AF3734" s="224"/>
      <c r="AG3734" s="224"/>
    </row>
    <row r="3735">
      <c r="AD3735" s="224"/>
      <c r="AE3735" s="224"/>
      <c r="AF3735" s="224"/>
      <c r="AG3735" s="224"/>
    </row>
    <row r="3736">
      <c r="AD3736" s="224"/>
      <c r="AE3736" s="224"/>
      <c r="AF3736" s="224"/>
      <c r="AG3736" s="224"/>
    </row>
    <row r="3737">
      <c r="AD3737" s="224"/>
      <c r="AE3737" s="224"/>
      <c r="AF3737" s="224"/>
      <c r="AG3737" s="224"/>
    </row>
    <row r="3738">
      <c r="AD3738" s="224"/>
      <c r="AE3738" s="224"/>
      <c r="AF3738" s="224"/>
      <c r="AG3738" s="224"/>
    </row>
    <row r="3739">
      <c r="AD3739" s="224"/>
      <c r="AE3739" s="224"/>
      <c r="AF3739" s="224"/>
      <c r="AG3739" s="224"/>
    </row>
    <row r="3740">
      <c r="AD3740" s="224"/>
      <c r="AE3740" s="224"/>
      <c r="AF3740" s="224"/>
      <c r="AG3740" s="224"/>
    </row>
    <row r="3741">
      <c r="AD3741" s="224"/>
      <c r="AE3741" s="224"/>
      <c r="AF3741" s="224"/>
      <c r="AG3741" s="224"/>
    </row>
    <row r="3742">
      <c r="AD3742" s="224"/>
      <c r="AE3742" s="224"/>
      <c r="AF3742" s="224"/>
      <c r="AG3742" s="224"/>
    </row>
    <row r="3743">
      <c r="AD3743" s="224"/>
      <c r="AE3743" s="224"/>
      <c r="AF3743" s="224"/>
      <c r="AG3743" s="224"/>
    </row>
    <row r="3744">
      <c r="AD3744" s="224"/>
      <c r="AE3744" s="224"/>
      <c r="AF3744" s="224"/>
      <c r="AG3744" s="224"/>
    </row>
    <row r="3745">
      <c r="AD3745" s="224"/>
      <c r="AE3745" s="224"/>
      <c r="AF3745" s="224"/>
      <c r="AG3745" s="224"/>
    </row>
    <row r="3746">
      <c r="AD3746" s="224"/>
      <c r="AE3746" s="224"/>
      <c r="AF3746" s="224"/>
      <c r="AG3746" s="224"/>
    </row>
    <row r="3747">
      <c r="AD3747" s="224"/>
      <c r="AE3747" s="224"/>
      <c r="AF3747" s="224"/>
      <c r="AG3747" s="224"/>
    </row>
    <row r="3748">
      <c r="AD3748" s="224"/>
      <c r="AE3748" s="224"/>
      <c r="AF3748" s="224"/>
      <c r="AG3748" s="224"/>
    </row>
    <row r="3749">
      <c r="AD3749" s="224"/>
      <c r="AE3749" s="224"/>
      <c r="AF3749" s="224"/>
      <c r="AG3749" s="224"/>
    </row>
    <row r="3750">
      <c r="AD3750" s="224"/>
      <c r="AE3750" s="224"/>
      <c r="AF3750" s="224"/>
      <c r="AG3750" s="224"/>
    </row>
    <row r="3751">
      <c r="AD3751" s="224"/>
      <c r="AE3751" s="224"/>
      <c r="AF3751" s="224"/>
      <c r="AG3751" s="224"/>
    </row>
    <row r="3752">
      <c r="AD3752" s="224"/>
      <c r="AE3752" s="224"/>
      <c r="AF3752" s="224"/>
      <c r="AG3752" s="224"/>
    </row>
    <row r="3753">
      <c r="AD3753" s="224"/>
      <c r="AE3753" s="224"/>
      <c r="AF3753" s="224"/>
      <c r="AG3753" s="224"/>
    </row>
    <row r="3754">
      <c r="AD3754" s="224"/>
      <c r="AE3754" s="224"/>
      <c r="AF3754" s="224"/>
      <c r="AG3754" s="224"/>
    </row>
    <row r="3755">
      <c r="AD3755" s="224"/>
      <c r="AE3755" s="224"/>
      <c r="AF3755" s="224"/>
      <c r="AG3755" s="224"/>
    </row>
    <row r="3756">
      <c r="AD3756" s="224"/>
      <c r="AE3756" s="224"/>
      <c r="AF3756" s="224"/>
      <c r="AG3756" s="224"/>
    </row>
    <row r="3757">
      <c r="AD3757" s="224"/>
      <c r="AE3757" s="224"/>
      <c r="AF3757" s="224"/>
      <c r="AG3757" s="224"/>
    </row>
    <row r="3758">
      <c r="AD3758" s="224"/>
      <c r="AE3758" s="224"/>
      <c r="AF3758" s="224"/>
      <c r="AG3758" s="224"/>
    </row>
    <row r="3759">
      <c r="AD3759" s="224"/>
      <c r="AE3759" s="224"/>
      <c r="AF3759" s="224"/>
      <c r="AG3759" s="224"/>
    </row>
    <row r="3760">
      <c r="AD3760" s="224"/>
      <c r="AE3760" s="224"/>
      <c r="AF3760" s="224"/>
      <c r="AG3760" s="224"/>
    </row>
    <row r="3761">
      <c r="AD3761" s="224"/>
      <c r="AE3761" s="224"/>
      <c r="AF3761" s="224"/>
      <c r="AG3761" s="224"/>
    </row>
    <row r="3762">
      <c r="AD3762" s="224"/>
      <c r="AE3762" s="224"/>
      <c r="AF3762" s="224"/>
      <c r="AG3762" s="224"/>
    </row>
    <row r="3763">
      <c r="AD3763" s="224"/>
      <c r="AE3763" s="224"/>
      <c r="AF3763" s="224"/>
      <c r="AG3763" s="224"/>
    </row>
    <row r="3764">
      <c r="AD3764" s="224"/>
      <c r="AE3764" s="224"/>
      <c r="AF3764" s="224"/>
      <c r="AG3764" s="224"/>
    </row>
    <row r="3765">
      <c r="AD3765" s="224"/>
      <c r="AE3765" s="224"/>
      <c r="AF3765" s="224"/>
      <c r="AG3765" s="224"/>
    </row>
    <row r="3766">
      <c r="AD3766" s="224"/>
      <c r="AE3766" s="224"/>
      <c r="AF3766" s="224"/>
      <c r="AG3766" s="224"/>
    </row>
    <row r="3767">
      <c r="AD3767" s="224"/>
      <c r="AE3767" s="224"/>
      <c r="AF3767" s="224"/>
      <c r="AG3767" s="224"/>
    </row>
    <row r="3768">
      <c r="AD3768" s="224"/>
      <c r="AE3768" s="224"/>
      <c r="AF3768" s="224"/>
      <c r="AG3768" s="224"/>
    </row>
    <row r="3769">
      <c r="AD3769" s="224"/>
      <c r="AE3769" s="224"/>
      <c r="AF3769" s="224"/>
      <c r="AG3769" s="224"/>
    </row>
    <row r="3770">
      <c r="AD3770" s="224"/>
      <c r="AE3770" s="224"/>
      <c r="AF3770" s="224"/>
      <c r="AG3770" s="224"/>
    </row>
    <row r="3771">
      <c r="AD3771" s="224"/>
      <c r="AE3771" s="224"/>
      <c r="AF3771" s="224"/>
      <c r="AG3771" s="224"/>
    </row>
    <row r="3772">
      <c r="AD3772" s="224"/>
      <c r="AE3772" s="224"/>
      <c r="AF3772" s="224"/>
      <c r="AG3772" s="224"/>
    </row>
    <row r="3773">
      <c r="AD3773" s="224"/>
      <c r="AE3773" s="224"/>
      <c r="AF3773" s="224"/>
      <c r="AG3773" s="224"/>
    </row>
    <row r="3774">
      <c r="AD3774" s="224"/>
      <c r="AE3774" s="224"/>
      <c r="AF3774" s="224"/>
      <c r="AG3774" s="224"/>
    </row>
    <row r="3775">
      <c r="AD3775" s="224"/>
      <c r="AE3775" s="224"/>
      <c r="AF3775" s="224"/>
      <c r="AG3775" s="224"/>
    </row>
    <row r="3776">
      <c r="AD3776" s="224"/>
      <c r="AE3776" s="224"/>
      <c r="AF3776" s="224"/>
      <c r="AG3776" s="224"/>
    </row>
    <row r="3777">
      <c r="AD3777" s="224"/>
      <c r="AE3777" s="224"/>
      <c r="AF3777" s="224"/>
      <c r="AG3777" s="224"/>
    </row>
    <row r="3778">
      <c r="AD3778" s="224"/>
      <c r="AE3778" s="224"/>
      <c r="AF3778" s="224"/>
      <c r="AG3778" s="224"/>
    </row>
    <row r="3779">
      <c r="AD3779" s="224"/>
      <c r="AE3779" s="224"/>
      <c r="AF3779" s="224"/>
      <c r="AG3779" s="224"/>
    </row>
    <row r="3780">
      <c r="AD3780" s="224"/>
      <c r="AE3780" s="224"/>
      <c r="AF3780" s="224"/>
      <c r="AG3780" s="224"/>
    </row>
    <row r="3781">
      <c r="AD3781" s="224"/>
      <c r="AE3781" s="224"/>
      <c r="AF3781" s="224"/>
      <c r="AG3781" s="224"/>
    </row>
    <row r="3782">
      <c r="AD3782" s="224"/>
      <c r="AE3782" s="224"/>
      <c r="AF3782" s="224"/>
      <c r="AG3782" s="224"/>
    </row>
    <row r="3783">
      <c r="AD3783" s="224"/>
      <c r="AE3783" s="224"/>
      <c r="AF3783" s="224"/>
      <c r="AG3783" s="224"/>
    </row>
    <row r="3784">
      <c r="AD3784" s="224"/>
      <c r="AE3784" s="224"/>
      <c r="AF3784" s="224"/>
      <c r="AG3784" s="224"/>
    </row>
    <row r="3785">
      <c r="AD3785" s="224"/>
      <c r="AE3785" s="224"/>
      <c r="AF3785" s="224"/>
      <c r="AG3785" s="224"/>
    </row>
    <row r="3786">
      <c r="AD3786" s="224"/>
      <c r="AE3786" s="224"/>
      <c r="AF3786" s="224"/>
      <c r="AG3786" s="224"/>
    </row>
    <row r="3787">
      <c r="AD3787" s="224"/>
      <c r="AE3787" s="224"/>
      <c r="AF3787" s="224"/>
      <c r="AG3787" s="224"/>
    </row>
    <row r="3788">
      <c r="AD3788" s="224"/>
      <c r="AE3788" s="224"/>
      <c r="AF3788" s="224"/>
      <c r="AG3788" s="224"/>
    </row>
    <row r="3789">
      <c r="AD3789" s="224"/>
      <c r="AE3789" s="224"/>
      <c r="AF3789" s="224"/>
      <c r="AG3789" s="224"/>
    </row>
    <row r="3790">
      <c r="AD3790" s="224"/>
      <c r="AE3790" s="224"/>
      <c r="AF3790" s="224"/>
      <c r="AG3790" s="224"/>
    </row>
    <row r="3791">
      <c r="AD3791" s="224"/>
      <c r="AE3791" s="224"/>
      <c r="AF3791" s="224"/>
      <c r="AG3791" s="224"/>
    </row>
    <row r="3792">
      <c r="AD3792" s="224"/>
      <c r="AE3792" s="224"/>
      <c r="AF3792" s="224"/>
      <c r="AG3792" s="224"/>
    </row>
    <row r="3793">
      <c r="AD3793" s="224"/>
      <c r="AE3793" s="224"/>
      <c r="AF3793" s="224"/>
      <c r="AG3793" s="224"/>
    </row>
    <row r="3794">
      <c r="AD3794" s="224"/>
      <c r="AE3794" s="224"/>
      <c r="AF3794" s="224"/>
      <c r="AG3794" s="224"/>
    </row>
    <row r="3795">
      <c r="AD3795" s="224"/>
      <c r="AE3795" s="224"/>
      <c r="AF3795" s="224"/>
      <c r="AG3795" s="224"/>
    </row>
    <row r="3796">
      <c r="AD3796" s="224"/>
      <c r="AE3796" s="224"/>
      <c r="AF3796" s="224"/>
      <c r="AG3796" s="224"/>
    </row>
    <row r="3797">
      <c r="AD3797" s="224"/>
      <c r="AE3797" s="224"/>
      <c r="AF3797" s="224"/>
      <c r="AG3797" s="224"/>
    </row>
    <row r="3798">
      <c r="AD3798" s="224"/>
      <c r="AE3798" s="224"/>
      <c r="AF3798" s="224"/>
      <c r="AG3798" s="224"/>
    </row>
    <row r="3799">
      <c r="AD3799" s="224"/>
      <c r="AE3799" s="224"/>
      <c r="AF3799" s="224"/>
      <c r="AG3799" s="224"/>
    </row>
    <row r="3800">
      <c r="AD3800" s="224"/>
      <c r="AE3800" s="224"/>
      <c r="AF3800" s="224"/>
      <c r="AG3800" s="224"/>
    </row>
    <row r="3801">
      <c r="AD3801" s="224"/>
      <c r="AE3801" s="224"/>
      <c r="AF3801" s="224"/>
      <c r="AG3801" s="224"/>
    </row>
    <row r="3802">
      <c r="AD3802" s="224"/>
      <c r="AE3802" s="224"/>
      <c r="AF3802" s="224"/>
      <c r="AG3802" s="224"/>
    </row>
    <row r="3803">
      <c r="AD3803" s="224"/>
      <c r="AE3803" s="224"/>
      <c r="AF3803" s="224"/>
      <c r="AG3803" s="224"/>
    </row>
    <row r="3804">
      <c r="AD3804" s="224"/>
      <c r="AE3804" s="224"/>
      <c r="AF3804" s="224"/>
      <c r="AG3804" s="224"/>
    </row>
    <row r="3805">
      <c r="AD3805" s="224"/>
      <c r="AE3805" s="224"/>
      <c r="AF3805" s="224"/>
      <c r="AG3805" s="224"/>
    </row>
    <row r="3806">
      <c r="AD3806" s="224"/>
      <c r="AE3806" s="224"/>
      <c r="AF3806" s="224"/>
      <c r="AG3806" s="224"/>
    </row>
    <row r="3807">
      <c r="AD3807" s="224"/>
      <c r="AE3807" s="224"/>
      <c r="AF3807" s="224"/>
      <c r="AG3807" s="224"/>
    </row>
    <row r="3808">
      <c r="AD3808" s="224"/>
      <c r="AE3808" s="224"/>
      <c r="AF3808" s="224"/>
      <c r="AG3808" s="224"/>
    </row>
    <row r="3809">
      <c r="AD3809" s="224"/>
      <c r="AE3809" s="224"/>
      <c r="AF3809" s="224"/>
      <c r="AG3809" s="224"/>
    </row>
    <row r="3810">
      <c r="AD3810" s="224"/>
      <c r="AE3810" s="224"/>
      <c r="AF3810" s="224"/>
      <c r="AG3810" s="224"/>
    </row>
    <row r="3811">
      <c r="AD3811" s="224"/>
      <c r="AE3811" s="224"/>
      <c r="AF3811" s="224"/>
      <c r="AG3811" s="224"/>
    </row>
    <row r="3812">
      <c r="AD3812" s="224"/>
      <c r="AE3812" s="224"/>
      <c r="AF3812" s="224"/>
      <c r="AG3812" s="224"/>
    </row>
    <row r="3813">
      <c r="AD3813" s="224"/>
      <c r="AE3813" s="224"/>
      <c r="AF3813" s="224"/>
      <c r="AG3813" s="224"/>
    </row>
    <row r="3814">
      <c r="AD3814" s="224"/>
      <c r="AE3814" s="224"/>
      <c r="AF3814" s="224"/>
      <c r="AG3814" s="224"/>
    </row>
    <row r="3815">
      <c r="AD3815" s="224"/>
      <c r="AE3815" s="224"/>
      <c r="AF3815" s="224"/>
      <c r="AG3815" s="224"/>
    </row>
    <row r="3816">
      <c r="AD3816" s="224"/>
      <c r="AE3816" s="224"/>
      <c r="AF3816" s="224"/>
      <c r="AG3816" s="224"/>
    </row>
    <row r="3817">
      <c r="AD3817" s="224"/>
      <c r="AE3817" s="224"/>
      <c r="AF3817" s="224"/>
      <c r="AG3817" s="224"/>
    </row>
    <row r="3818">
      <c r="AD3818" s="224"/>
      <c r="AE3818" s="224"/>
      <c r="AF3818" s="224"/>
      <c r="AG3818" s="224"/>
    </row>
    <row r="3819">
      <c r="AD3819" s="224"/>
      <c r="AE3819" s="224"/>
      <c r="AF3819" s="224"/>
      <c r="AG3819" s="224"/>
    </row>
    <row r="3820">
      <c r="AD3820" s="224"/>
      <c r="AE3820" s="224"/>
      <c r="AF3820" s="224"/>
      <c r="AG3820" s="224"/>
    </row>
    <row r="3821">
      <c r="AD3821" s="224"/>
      <c r="AE3821" s="224"/>
      <c r="AF3821" s="224"/>
      <c r="AG3821" s="224"/>
    </row>
    <row r="3822">
      <c r="AD3822" s="224"/>
      <c r="AE3822" s="224"/>
      <c r="AF3822" s="224"/>
      <c r="AG3822" s="224"/>
    </row>
    <row r="3823">
      <c r="AD3823" s="224"/>
      <c r="AE3823" s="224"/>
      <c r="AF3823" s="224"/>
      <c r="AG3823" s="224"/>
    </row>
    <row r="3824">
      <c r="AD3824" s="224"/>
      <c r="AE3824" s="224"/>
      <c r="AF3824" s="224"/>
      <c r="AG3824" s="224"/>
    </row>
    <row r="3825">
      <c r="AD3825" s="224"/>
      <c r="AE3825" s="224"/>
      <c r="AF3825" s="224"/>
      <c r="AG3825" s="224"/>
    </row>
    <row r="3826">
      <c r="AD3826" s="224"/>
      <c r="AE3826" s="224"/>
      <c r="AF3826" s="224"/>
      <c r="AG3826" s="224"/>
    </row>
    <row r="3827">
      <c r="AD3827" s="224"/>
      <c r="AE3827" s="224"/>
      <c r="AF3827" s="224"/>
      <c r="AG3827" s="224"/>
    </row>
    <row r="3828">
      <c r="AD3828" s="224"/>
      <c r="AE3828" s="224"/>
      <c r="AF3828" s="224"/>
      <c r="AG3828" s="224"/>
    </row>
    <row r="3829">
      <c r="AD3829" s="224"/>
      <c r="AE3829" s="224"/>
      <c r="AF3829" s="224"/>
      <c r="AG3829" s="224"/>
    </row>
    <row r="3830">
      <c r="AD3830" s="224"/>
      <c r="AE3830" s="224"/>
      <c r="AF3830" s="224"/>
      <c r="AG3830" s="224"/>
    </row>
    <row r="3831">
      <c r="AD3831" s="224"/>
      <c r="AE3831" s="224"/>
      <c r="AF3831" s="224"/>
      <c r="AG3831" s="224"/>
    </row>
    <row r="3832">
      <c r="AD3832" s="224"/>
      <c r="AE3832" s="224"/>
      <c r="AF3832" s="224"/>
      <c r="AG3832" s="224"/>
    </row>
    <row r="3833">
      <c r="AD3833" s="224"/>
      <c r="AE3833" s="224"/>
      <c r="AF3833" s="224"/>
      <c r="AG3833" s="224"/>
    </row>
    <row r="3834">
      <c r="AD3834" s="224"/>
      <c r="AE3834" s="224"/>
      <c r="AF3834" s="224"/>
      <c r="AG3834" s="224"/>
    </row>
    <row r="3835">
      <c r="AD3835" s="224"/>
      <c r="AE3835" s="224"/>
      <c r="AF3835" s="224"/>
      <c r="AG3835" s="224"/>
    </row>
    <row r="3836">
      <c r="AD3836" s="224"/>
      <c r="AE3836" s="224"/>
      <c r="AF3836" s="224"/>
      <c r="AG3836" s="224"/>
    </row>
    <row r="3837">
      <c r="AD3837" s="224"/>
      <c r="AE3837" s="224"/>
      <c r="AF3837" s="224"/>
      <c r="AG3837" s="224"/>
    </row>
    <row r="3838">
      <c r="AD3838" s="224"/>
      <c r="AE3838" s="224"/>
      <c r="AF3838" s="224"/>
      <c r="AG3838" s="224"/>
    </row>
    <row r="3839">
      <c r="AD3839" s="224"/>
      <c r="AE3839" s="224"/>
      <c r="AF3839" s="224"/>
      <c r="AG3839" s="224"/>
    </row>
    <row r="3840">
      <c r="AD3840" s="224"/>
      <c r="AE3840" s="224"/>
      <c r="AF3840" s="224"/>
      <c r="AG3840" s="224"/>
    </row>
    <row r="3841">
      <c r="AD3841" s="224"/>
      <c r="AE3841" s="224"/>
      <c r="AF3841" s="224"/>
      <c r="AG3841" s="224"/>
    </row>
    <row r="3842">
      <c r="AD3842" s="224"/>
      <c r="AE3842" s="224"/>
      <c r="AF3842" s="224"/>
      <c r="AG3842" s="224"/>
    </row>
    <row r="3843">
      <c r="AD3843" s="224"/>
      <c r="AE3843" s="224"/>
      <c r="AF3843" s="224"/>
      <c r="AG3843" s="224"/>
    </row>
    <row r="3844">
      <c r="AD3844" s="224"/>
      <c r="AE3844" s="224"/>
      <c r="AF3844" s="224"/>
      <c r="AG3844" s="224"/>
    </row>
    <row r="3845">
      <c r="AD3845" s="224"/>
      <c r="AE3845" s="224"/>
      <c r="AF3845" s="224"/>
      <c r="AG3845" s="224"/>
    </row>
    <row r="3846">
      <c r="AD3846" s="224"/>
      <c r="AE3846" s="224"/>
      <c r="AF3846" s="224"/>
      <c r="AG3846" s="224"/>
    </row>
    <row r="3847">
      <c r="AD3847" s="224"/>
      <c r="AE3847" s="224"/>
      <c r="AF3847" s="224"/>
      <c r="AG3847" s="224"/>
    </row>
    <row r="3848">
      <c r="AD3848" s="224"/>
      <c r="AE3848" s="224"/>
      <c r="AF3848" s="224"/>
      <c r="AG3848" s="224"/>
    </row>
    <row r="3849">
      <c r="AD3849" s="224"/>
      <c r="AE3849" s="224"/>
      <c r="AF3849" s="224"/>
      <c r="AG3849" s="224"/>
    </row>
    <row r="3850">
      <c r="AD3850" s="224"/>
      <c r="AE3850" s="224"/>
      <c r="AF3850" s="224"/>
      <c r="AG3850" s="224"/>
    </row>
    <row r="3851">
      <c r="AD3851" s="224"/>
      <c r="AE3851" s="224"/>
      <c r="AF3851" s="224"/>
      <c r="AG3851" s="224"/>
    </row>
    <row r="3852">
      <c r="AD3852" s="224"/>
      <c r="AE3852" s="224"/>
      <c r="AF3852" s="224"/>
      <c r="AG3852" s="224"/>
    </row>
    <row r="3853">
      <c r="AD3853" s="224"/>
      <c r="AE3853" s="224"/>
      <c r="AF3853" s="224"/>
      <c r="AG3853" s="224"/>
    </row>
    <row r="3854">
      <c r="AD3854" s="224"/>
      <c r="AE3854" s="224"/>
      <c r="AF3854" s="224"/>
      <c r="AG3854" s="224"/>
    </row>
    <row r="3855">
      <c r="AD3855" s="224"/>
      <c r="AE3855" s="224"/>
      <c r="AF3855" s="224"/>
      <c r="AG3855" s="224"/>
    </row>
    <row r="3856">
      <c r="AD3856" s="224"/>
      <c r="AE3856" s="224"/>
      <c r="AF3856" s="224"/>
      <c r="AG3856" s="224"/>
    </row>
    <row r="3857">
      <c r="AD3857" s="224"/>
      <c r="AE3857" s="224"/>
      <c r="AF3857" s="224"/>
      <c r="AG3857" s="224"/>
    </row>
    <row r="3858">
      <c r="AD3858" s="224"/>
      <c r="AE3858" s="224"/>
      <c r="AF3858" s="224"/>
      <c r="AG3858" s="224"/>
    </row>
    <row r="3859">
      <c r="AD3859" s="224"/>
      <c r="AE3859" s="224"/>
      <c r="AF3859" s="224"/>
      <c r="AG3859" s="224"/>
    </row>
    <row r="3860">
      <c r="AD3860" s="224"/>
      <c r="AE3860" s="224"/>
      <c r="AF3860" s="224"/>
      <c r="AG3860" s="224"/>
    </row>
    <row r="3861">
      <c r="AD3861" s="224"/>
      <c r="AE3861" s="224"/>
      <c r="AF3861" s="224"/>
      <c r="AG3861" s="224"/>
    </row>
    <row r="3862">
      <c r="AD3862" s="224"/>
      <c r="AE3862" s="224"/>
      <c r="AF3862" s="224"/>
      <c r="AG3862" s="224"/>
    </row>
    <row r="3863">
      <c r="AD3863" s="224"/>
      <c r="AE3863" s="224"/>
      <c r="AF3863" s="224"/>
      <c r="AG3863" s="224"/>
    </row>
    <row r="3864">
      <c r="AD3864" s="224"/>
      <c r="AE3864" s="224"/>
      <c r="AF3864" s="224"/>
      <c r="AG3864" s="224"/>
    </row>
    <row r="3865">
      <c r="AD3865" s="224"/>
      <c r="AE3865" s="224"/>
      <c r="AF3865" s="224"/>
      <c r="AG3865" s="224"/>
    </row>
    <row r="3866">
      <c r="AD3866" s="224"/>
      <c r="AE3866" s="224"/>
      <c r="AF3866" s="224"/>
      <c r="AG3866" s="224"/>
    </row>
    <row r="3867">
      <c r="AD3867" s="224"/>
      <c r="AE3867" s="224"/>
      <c r="AF3867" s="224"/>
      <c r="AG3867" s="224"/>
    </row>
    <row r="3868">
      <c r="AD3868" s="224"/>
      <c r="AE3868" s="224"/>
      <c r="AF3868" s="224"/>
      <c r="AG3868" s="224"/>
    </row>
    <row r="3869">
      <c r="AD3869" s="224"/>
      <c r="AE3869" s="224"/>
      <c r="AF3869" s="224"/>
      <c r="AG3869" s="224"/>
    </row>
    <row r="3870">
      <c r="AD3870" s="224"/>
      <c r="AE3870" s="224"/>
      <c r="AF3870" s="224"/>
      <c r="AG3870" s="224"/>
    </row>
    <row r="3871">
      <c r="AD3871" s="224"/>
      <c r="AE3871" s="224"/>
      <c r="AF3871" s="224"/>
      <c r="AG3871" s="224"/>
    </row>
    <row r="3872">
      <c r="AD3872" s="224"/>
      <c r="AE3872" s="224"/>
      <c r="AF3872" s="224"/>
      <c r="AG3872" s="224"/>
    </row>
    <row r="3873">
      <c r="AD3873" s="224"/>
      <c r="AE3873" s="224"/>
      <c r="AF3873" s="224"/>
      <c r="AG3873" s="224"/>
    </row>
    <row r="3874">
      <c r="AD3874" s="224"/>
      <c r="AE3874" s="224"/>
      <c r="AF3874" s="224"/>
      <c r="AG3874" s="224"/>
    </row>
    <row r="3875">
      <c r="AD3875" s="224"/>
      <c r="AE3875" s="224"/>
      <c r="AF3875" s="224"/>
      <c r="AG3875" s="224"/>
    </row>
    <row r="3876">
      <c r="AD3876" s="224"/>
      <c r="AE3876" s="224"/>
      <c r="AF3876" s="224"/>
      <c r="AG3876" s="224"/>
    </row>
    <row r="3877">
      <c r="AD3877" s="224"/>
      <c r="AE3877" s="224"/>
      <c r="AF3877" s="224"/>
      <c r="AG3877" s="224"/>
    </row>
    <row r="3878">
      <c r="AD3878" s="224"/>
      <c r="AE3878" s="224"/>
      <c r="AF3878" s="224"/>
      <c r="AG3878" s="224"/>
    </row>
    <row r="3879">
      <c r="AD3879" s="224"/>
      <c r="AE3879" s="224"/>
      <c r="AF3879" s="224"/>
      <c r="AG3879" s="224"/>
    </row>
    <row r="3880">
      <c r="AD3880" s="224"/>
      <c r="AE3880" s="224"/>
      <c r="AF3880" s="224"/>
      <c r="AG3880" s="224"/>
    </row>
    <row r="3881">
      <c r="AD3881" s="224"/>
      <c r="AE3881" s="224"/>
      <c r="AF3881" s="224"/>
      <c r="AG3881" s="224"/>
    </row>
    <row r="3882">
      <c r="AD3882" s="224"/>
      <c r="AE3882" s="224"/>
      <c r="AF3882" s="224"/>
      <c r="AG3882" s="224"/>
    </row>
    <row r="3883">
      <c r="AD3883" s="224"/>
      <c r="AE3883" s="224"/>
      <c r="AF3883" s="224"/>
      <c r="AG3883" s="224"/>
    </row>
    <row r="3884">
      <c r="AD3884" s="224"/>
      <c r="AE3884" s="224"/>
      <c r="AF3884" s="224"/>
      <c r="AG3884" s="224"/>
    </row>
    <row r="3885">
      <c r="AD3885" s="224"/>
      <c r="AE3885" s="224"/>
      <c r="AF3885" s="224"/>
      <c r="AG3885" s="224"/>
    </row>
    <row r="3886">
      <c r="AD3886" s="224"/>
      <c r="AE3886" s="224"/>
      <c r="AF3886" s="224"/>
      <c r="AG3886" s="224"/>
    </row>
    <row r="3887">
      <c r="AD3887" s="224"/>
      <c r="AE3887" s="224"/>
      <c r="AF3887" s="224"/>
      <c r="AG3887" s="224"/>
    </row>
    <row r="3888">
      <c r="AD3888" s="224"/>
      <c r="AE3888" s="224"/>
      <c r="AF3888" s="224"/>
      <c r="AG3888" s="224"/>
    </row>
    <row r="3889">
      <c r="AD3889" s="224"/>
      <c r="AE3889" s="224"/>
      <c r="AF3889" s="224"/>
      <c r="AG3889" s="224"/>
    </row>
    <row r="3890">
      <c r="AD3890" s="224"/>
      <c r="AE3890" s="224"/>
      <c r="AF3890" s="224"/>
      <c r="AG3890" s="224"/>
    </row>
    <row r="3891">
      <c r="AD3891" s="224"/>
      <c r="AE3891" s="224"/>
      <c r="AF3891" s="224"/>
      <c r="AG3891" s="224"/>
    </row>
    <row r="3892">
      <c r="AD3892" s="224"/>
      <c r="AE3892" s="224"/>
      <c r="AF3892" s="224"/>
      <c r="AG3892" s="224"/>
    </row>
    <row r="3893">
      <c r="AD3893" s="224"/>
      <c r="AE3893" s="224"/>
      <c r="AF3893" s="224"/>
      <c r="AG3893" s="224"/>
    </row>
    <row r="3894">
      <c r="AD3894" s="224"/>
      <c r="AE3894" s="224"/>
      <c r="AF3894" s="224"/>
      <c r="AG3894" s="224"/>
    </row>
    <row r="3895">
      <c r="AD3895" s="224"/>
      <c r="AE3895" s="224"/>
      <c r="AF3895" s="224"/>
      <c r="AG3895" s="224"/>
    </row>
    <row r="3896">
      <c r="AD3896" s="224"/>
      <c r="AE3896" s="224"/>
      <c r="AF3896" s="224"/>
      <c r="AG3896" s="224"/>
    </row>
    <row r="3897">
      <c r="AD3897" s="224"/>
      <c r="AE3897" s="224"/>
      <c r="AF3897" s="224"/>
      <c r="AG3897" s="224"/>
    </row>
    <row r="3898">
      <c r="AD3898" s="224"/>
      <c r="AE3898" s="224"/>
      <c r="AF3898" s="224"/>
      <c r="AG3898" s="224"/>
    </row>
    <row r="3899">
      <c r="AD3899" s="224"/>
      <c r="AE3899" s="224"/>
      <c r="AF3899" s="224"/>
      <c r="AG3899" s="224"/>
    </row>
    <row r="3900">
      <c r="AD3900" s="224"/>
      <c r="AE3900" s="224"/>
      <c r="AF3900" s="224"/>
      <c r="AG3900" s="224"/>
    </row>
    <row r="3901">
      <c r="AD3901" s="224"/>
      <c r="AE3901" s="224"/>
      <c r="AF3901" s="224"/>
      <c r="AG3901" s="224"/>
    </row>
    <row r="3902">
      <c r="AD3902" s="224"/>
      <c r="AE3902" s="224"/>
      <c r="AF3902" s="224"/>
      <c r="AG3902" s="224"/>
    </row>
    <row r="3903">
      <c r="AD3903" s="224"/>
      <c r="AE3903" s="224"/>
      <c r="AF3903" s="224"/>
      <c r="AG3903" s="224"/>
    </row>
    <row r="3904">
      <c r="AD3904" s="224"/>
      <c r="AE3904" s="224"/>
      <c r="AF3904" s="224"/>
      <c r="AG3904" s="224"/>
    </row>
    <row r="3905">
      <c r="AD3905" s="224"/>
      <c r="AE3905" s="224"/>
      <c r="AF3905" s="224"/>
      <c r="AG3905" s="224"/>
    </row>
    <row r="3906">
      <c r="AD3906" s="224"/>
      <c r="AE3906" s="224"/>
      <c r="AF3906" s="224"/>
      <c r="AG3906" s="224"/>
    </row>
    <row r="3907">
      <c r="AD3907" s="224"/>
      <c r="AE3907" s="224"/>
      <c r="AF3907" s="224"/>
      <c r="AG3907" s="224"/>
    </row>
    <row r="3908">
      <c r="AD3908" s="224"/>
      <c r="AE3908" s="224"/>
      <c r="AF3908" s="224"/>
      <c r="AG3908" s="224"/>
    </row>
    <row r="3909">
      <c r="AD3909" s="224"/>
      <c r="AE3909" s="224"/>
      <c r="AF3909" s="224"/>
      <c r="AG3909" s="224"/>
    </row>
    <row r="3910">
      <c r="AD3910" s="224"/>
      <c r="AE3910" s="224"/>
      <c r="AF3910" s="224"/>
      <c r="AG3910" s="224"/>
    </row>
    <row r="3911">
      <c r="AD3911" s="224"/>
      <c r="AE3911" s="224"/>
      <c r="AF3911" s="224"/>
      <c r="AG3911" s="224"/>
    </row>
    <row r="3912">
      <c r="AD3912" s="224"/>
      <c r="AE3912" s="224"/>
      <c r="AF3912" s="224"/>
      <c r="AG3912" s="224"/>
    </row>
    <row r="3913">
      <c r="AD3913" s="224"/>
      <c r="AE3913" s="224"/>
      <c r="AF3913" s="224"/>
      <c r="AG3913" s="224"/>
    </row>
    <row r="3914">
      <c r="AD3914" s="224"/>
      <c r="AE3914" s="224"/>
      <c r="AF3914" s="224"/>
      <c r="AG3914" s="224"/>
    </row>
    <row r="3915">
      <c r="AD3915" s="224"/>
      <c r="AE3915" s="224"/>
      <c r="AF3915" s="224"/>
      <c r="AG3915" s="224"/>
    </row>
    <row r="3916">
      <c r="AD3916" s="224"/>
      <c r="AE3916" s="224"/>
      <c r="AF3916" s="224"/>
      <c r="AG3916" s="224"/>
    </row>
    <row r="3917">
      <c r="AD3917" s="224"/>
      <c r="AE3917" s="224"/>
      <c r="AF3917" s="224"/>
      <c r="AG3917" s="224"/>
    </row>
    <row r="3918">
      <c r="AD3918" s="224"/>
      <c r="AE3918" s="224"/>
      <c r="AF3918" s="224"/>
      <c r="AG3918" s="224"/>
    </row>
    <row r="3919">
      <c r="AD3919" s="224"/>
      <c r="AE3919" s="224"/>
      <c r="AF3919" s="224"/>
      <c r="AG3919" s="224"/>
    </row>
    <row r="3920">
      <c r="AD3920" s="224"/>
      <c r="AE3920" s="224"/>
      <c r="AF3920" s="224"/>
      <c r="AG3920" s="224"/>
    </row>
    <row r="3921">
      <c r="AD3921" s="224"/>
      <c r="AE3921" s="224"/>
      <c r="AF3921" s="224"/>
      <c r="AG3921" s="224"/>
    </row>
    <row r="3922">
      <c r="AD3922" s="224"/>
      <c r="AE3922" s="224"/>
      <c r="AF3922" s="224"/>
      <c r="AG3922" s="224"/>
    </row>
    <row r="3923">
      <c r="AD3923" s="224"/>
      <c r="AE3923" s="224"/>
      <c r="AF3923" s="224"/>
      <c r="AG3923" s="224"/>
    </row>
    <row r="3924">
      <c r="AD3924" s="224"/>
      <c r="AE3924" s="224"/>
      <c r="AF3924" s="224"/>
      <c r="AG3924" s="224"/>
    </row>
    <row r="3925">
      <c r="AD3925" s="224"/>
      <c r="AE3925" s="224"/>
      <c r="AF3925" s="224"/>
      <c r="AG3925" s="224"/>
    </row>
    <row r="3926">
      <c r="AD3926" s="224"/>
      <c r="AE3926" s="224"/>
      <c r="AF3926" s="224"/>
      <c r="AG3926" s="224"/>
    </row>
    <row r="3927">
      <c r="AD3927" s="224"/>
      <c r="AE3927" s="224"/>
      <c r="AF3927" s="224"/>
      <c r="AG3927" s="224"/>
    </row>
    <row r="3928">
      <c r="AD3928" s="224"/>
      <c r="AE3928" s="224"/>
      <c r="AF3928" s="224"/>
      <c r="AG3928" s="224"/>
    </row>
    <row r="3929">
      <c r="AD3929" s="224"/>
      <c r="AE3929" s="224"/>
      <c r="AF3929" s="224"/>
      <c r="AG3929" s="224"/>
    </row>
    <row r="3930">
      <c r="AD3930" s="224"/>
      <c r="AE3930" s="224"/>
      <c r="AF3930" s="224"/>
      <c r="AG3930" s="224"/>
    </row>
    <row r="3931">
      <c r="AD3931" s="224"/>
      <c r="AE3931" s="224"/>
      <c r="AF3931" s="224"/>
      <c r="AG3931" s="224"/>
    </row>
    <row r="3932">
      <c r="AD3932" s="224"/>
      <c r="AE3932" s="224"/>
      <c r="AF3932" s="224"/>
      <c r="AG3932" s="224"/>
    </row>
    <row r="3933">
      <c r="AD3933" s="224"/>
      <c r="AE3933" s="224"/>
      <c r="AF3933" s="224"/>
      <c r="AG3933" s="224"/>
    </row>
    <row r="3934">
      <c r="AD3934" s="224"/>
      <c r="AE3934" s="224"/>
      <c r="AF3934" s="224"/>
      <c r="AG3934" s="224"/>
    </row>
    <row r="3935">
      <c r="AD3935" s="224"/>
      <c r="AE3935" s="224"/>
      <c r="AF3935" s="224"/>
      <c r="AG3935" s="224"/>
    </row>
    <row r="3936">
      <c r="AD3936" s="224"/>
      <c r="AE3936" s="224"/>
      <c r="AF3936" s="224"/>
      <c r="AG3936" s="224"/>
    </row>
    <row r="3937">
      <c r="AD3937" s="224"/>
      <c r="AE3937" s="224"/>
      <c r="AF3937" s="224"/>
      <c r="AG3937" s="224"/>
    </row>
    <row r="3938">
      <c r="AD3938" s="224"/>
      <c r="AE3938" s="224"/>
      <c r="AF3938" s="224"/>
      <c r="AG3938" s="224"/>
    </row>
    <row r="3939">
      <c r="AD3939" s="224"/>
      <c r="AE3939" s="224"/>
      <c r="AF3939" s="224"/>
      <c r="AG3939" s="224"/>
    </row>
    <row r="3940">
      <c r="AD3940" s="224"/>
      <c r="AE3940" s="224"/>
      <c r="AF3940" s="224"/>
      <c r="AG3940" s="224"/>
    </row>
    <row r="3941">
      <c r="AD3941" s="224"/>
      <c r="AE3941" s="224"/>
      <c r="AF3941" s="224"/>
      <c r="AG3941" s="224"/>
    </row>
    <row r="3942">
      <c r="AD3942" s="224"/>
      <c r="AE3942" s="224"/>
      <c r="AF3942" s="224"/>
      <c r="AG3942" s="224"/>
    </row>
    <row r="3943">
      <c r="AD3943" s="224"/>
      <c r="AE3943" s="224"/>
      <c r="AF3943" s="224"/>
      <c r="AG3943" s="224"/>
    </row>
    <row r="3944">
      <c r="AD3944" s="224"/>
      <c r="AE3944" s="224"/>
      <c r="AF3944" s="224"/>
      <c r="AG3944" s="224"/>
    </row>
    <row r="3945">
      <c r="AD3945" s="224"/>
      <c r="AE3945" s="224"/>
      <c r="AF3945" s="224"/>
      <c r="AG3945" s="224"/>
    </row>
    <row r="3946">
      <c r="AD3946" s="224"/>
      <c r="AE3946" s="224"/>
      <c r="AF3946" s="224"/>
      <c r="AG3946" s="224"/>
    </row>
    <row r="3947">
      <c r="AD3947" s="224"/>
      <c r="AE3947" s="224"/>
      <c r="AF3947" s="224"/>
      <c r="AG3947" s="224"/>
    </row>
    <row r="3948">
      <c r="AD3948" s="224"/>
      <c r="AE3948" s="224"/>
      <c r="AF3948" s="224"/>
      <c r="AG3948" s="224"/>
    </row>
    <row r="3949">
      <c r="AD3949" s="224"/>
      <c r="AE3949" s="224"/>
      <c r="AF3949" s="224"/>
      <c r="AG3949" s="224"/>
    </row>
    <row r="3950">
      <c r="AD3950" s="224"/>
      <c r="AE3950" s="224"/>
      <c r="AF3950" s="224"/>
      <c r="AG3950" s="224"/>
    </row>
    <row r="3951">
      <c r="AD3951" s="224"/>
      <c r="AE3951" s="224"/>
      <c r="AF3951" s="224"/>
      <c r="AG3951" s="224"/>
    </row>
    <row r="3952">
      <c r="AD3952" s="224"/>
      <c r="AE3952" s="224"/>
      <c r="AF3952" s="224"/>
      <c r="AG3952" s="224"/>
    </row>
    <row r="3953">
      <c r="AD3953" s="224"/>
      <c r="AE3953" s="224"/>
      <c r="AF3953" s="224"/>
      <c r="AG3953" s="224"/>
    </row>
    <row r="3954">
      <c r="AD3954" s="224"/>
      <c r="AE3954" s="224"/>
      <c r="AF3954" s="224"/>
      <c r="AG3954" s="224"/>
    </row>
    <row r="3955">
      <c r="AD3955" s="224"/>
      <c r="AE3955" s="224"/>
      <c r="AF3955" s="224"/>
      <c r="AG3955" s="224"/>
    </row>
    <row r="3956">
      <c r="AD3956" s="224"/>
      <c r="AE3956" s="224"/>
      <c r="AF3956" s="224"/>
      <c r="AG3956" s="224"/>
    </row>
    <row r="3957">
      <c r="AD3957" s="224"/>
      <c r="AE3957" s="224"/>
      <c r="AF3957" s="224"/>
      <c r="AG3957" s="224"/>
    </row>
    <row r="3958">
      <c r="AD3958" s="224"/>
      <c r="AE3958" s="224"/>
      <c r="AF3958" s="224"/>
      <c r="AG3958" s="224"/>
    </row>
    <row r="3959">
      <c r="AD3959" s="224"/>
      <c r="AE3959" s="224"/>
      <c r="AF3959" s="224"/>
      <c r="AG3959" s="224"/>
    </row>
    <row r="3960">
      <c r="AD3960" s="224"/>
      <c r="AE3960" s="224"/>
      <c r="AF3960" s="224"/>
      <c r="AG3960" s="224"/>
    </row>
    <row r="3961">
      <c r="AD3961" s="224"/>
      <c r="AE3961" s="224"/>
      <c r="AF3961" s="224"/>
      <c r="AG3961" s="224"/>
    </row>
    <row r="3962">
      <c r="AD3962" s="224"/>
      <c r="AE3962" s="224"/>
      <c r="AF3962" s="224"/>
      <c r="AG3962" s="224"/>
    </row>
    <row r="3963">
      <c r="AD3963" s="224"/>
      <c r="AE3963" s="224"/>
      <c r="AF3963" s="224"/>
      <c r="AG3963" s="224"/>
    </row>
    <row r="3964">
      <c r="AD3964" s="224"/>
      <c r="AE3964" s="224"/>
      <c r="AF3964" s="224"/>
      <c r="AG3964" s="224"/>
    </row>
    <row r="3965">
      <c r="AD3965" s="224"/>
      <c r="AE3965" s="224"/>
      <c r="AF3965" s="224"/>
      <c r="AG3965" s="224"/>
    </row>
    <row r="3966">
      <c r="AD3966" s="224"/>
      <c r="AE3966" s="224"/>
      <c r="AF3966" s="224"/>
      <c r="AG3966" s="224"/>
    </row>
    <row r="3967">
      <c r="AD3967" s="224"/>
      <c r="AE3967" s="224"/>
      <c r="AF3967" s="224"/>
      <c r="AG3967" s="224"/>
    </row>
    <row r="3968">
      <c r="AD3968" s="224"/>
      <c r="AE3968" s="224"/>
      <c r="AF3968" s="224"/>
      <c r="AG3968" s="224"/>
    </row>
    <row r="3969">
      <c r="AD3969" s="224"/>
      <c r="AE3969" s="224"/>
      <c r="AF3969" s="224"/>
      <c r="AG3969" s="224"/>
    </row>
    <row r="3970">
      <c r="AD3970" s="224"/>
      <c r="AE3970" s="224"/>
      <c r="AF3970" s="224"/>
      <c r="AG3970" s="224"/>
    </row>
    <row r="3971">
      <c r="AD3971" s="224"/>
      <c r="AE3971" s="224"/>
      <c r="AF3971" s="224"/>
      <c r="AG3971" s="224"/>
    </row>
    <row r="3972">
      <c r="AD3972" s="224"/>
      <c r="AE3972" s="224"/>
      <c r="AF3972" s="224"/>
      <c r="AG3972" s="224"/>
    </row>
    <row r="3973">
      <c r="AD3973" s="224"/>
      <c r="AE3973" s="224"/>
      <c r="AF3973" s="224"/>
      <c r="AG3973" s="224"/>
    </row>
    <row r="3974">
      <c r="AD3974" s="224"/>
      <c r="AE3974" s="224"/>
      <c r="AF3974" s="224"/>
      <c r="AG3974" s="224"/>
    </row>
    <row r="3975">
      <c r="AD3975" s="224"/>
      <c r="AE3975" s="224"/>
      <c r="AF3975" s="224"/>
      <c r="AG3975" s="224"/>
    </row>
    <row r="3976">
      <c r="AD3976" s="224"/>
      <c r="AE3976" s="224"/>
      <c r="AF3976" s="224"/>
      <c r="AG3976" s="224"/>
    </row>
    <row r="3977">
      <c r="AD3977" s="224"/>
      <c r="AE3977" s="224"/>
      <c r="AF3977" s="224"/>
      <c r="AG3977" s="224"/>
    </row>
    <row r="3978">
      <c r="AD3978" s="224"/>
      <c r="AE3978" s="224"/>
      <c r="AF3978" s="224"/>
      <c r="AG3978" s="224"/>
    </row>
    <row r="3979">
      <c r="AD3979" s="224"/>
      <c r="AE3979" s="224"/>
      <c r="AF3979" s="224"/>
      <c r="AG3979" s="224"/>
    </row>
    <row r="3980">
      <c r="AD3980" s="224"/>
      <c r="AE3980" s="224"/>
      <c r="AF3980" s="224"/>
      <c r="AG3980" s="224"/>
    </row>
    <row r="3981">
      <c r="AD3981" s="224"/>
      <c r="AE3981" s="224"/>
      <c r="AF3981" s="224"/>
      <c r="AG3981" s="224"/>
    </row>
    <row r="3982">
      <c r="AD3982" s="224"/>
      <c r="AE3982" s="224"/>
      <c r="AF3982" s="224"/>
      <c r="AG3982" s="224"/>
    </row>
    <row r="3983">
      <c r="AD3983" s="224"/>
      <c r="AE3983" s="224"/>
      <c r="AF3983" s="224"/>
      <c r="AG3983" s="224"/>
    </row>
    <row r="3984">
      <c r="AD3984" s="224"/>
      <c r="AE3984" s="224"/>
      <c r="AF3984" s="224"/>
      <c r="AG3984" s="224"/>
    </row>
    <row r="3985">
      <c r="AD3985" s="224"/>
      <c r="AE3985" s="224"/>
      <c r="AF3985" s="224"/>
      <c r="AG3985" s="224"/>
    </row>
    <row r="3986">
      <c r="AD3986" s="224"/>
      <c r="AE3986" s="224"/>
      <c r="AF3986" s="224"/>
      <c r="AG3986" s="224"/>
    </row>
    <row r="3987">
      <c r="AD3987" s="224"/>
      <c r="AE3987" s="224"/>
      <c r="AF3987" s="224"/>
      <c r="AG3987" s="224"/>
    </row>
    <row r="3988">
      <c r="AD3988" s="224"/>
      <c r="AE3988" s="224"/>
      <c r="AF3988" s="224"/>
      <c r="AG3988" s="224"/>
    </row>
    <row r="3989">
      <c r="AD3989" s="224"/>
      <c r="AE3989" s="224"/>
      <c r="AF3989" s="224"/>
      <c r="AG3989" s="224"/>
    </row>
    <row r="3990">
      <c r="AD3990" s="224"/>
      <c r="AE3990" s="224"/>
      <c r="AF3990" s="224"/>
      <c r="AG3990" s="224"/>
    </row>
    <row r="3991">
      <c r="AD3991" s="224"/>
      <c r="AE3991" s="224"/>
      <c r="AF3991" s="224"/>
      <c r="AG3991" s="224"/>
    </row>
    <row r="3992">
      <c r="AD3992" s="224"/>
      <c r="AE3992" s="224"/>
      <c r="AF3992" s="224"/>
      <c r="AG3992" s="224"/>
    </row>
    <row r="3993">
      <c r="AD3993" s="224"/>
      <c r="AE3993" s="224"/>
      <c r="AF3993" s="224"/>
      <c r="AG3993" s="224"/>
    </row>
    <row r="3994">
      <c r="AD3994" s="224"/>
      <c r="AE3994" s="224"/>
      <c r="AF3994" s="224"/>
      <c r="AG3994" s="224"/>
    </row>
    <row r="3995">
      <c r="AD3995" s="224"/>
      <c r="AE3995" s="224"/>
      <c r="AF3995" s="224"/>
      <c r="AG3995" s="224"/>
    </row>
    <row r="3996">
      <c r="AD3996" s="224"/>
      <c r="AE3996" s="224"/>
      <c r="AF3996" s="224"/>
      <c r="AG3996" s="224"/>
    </row>
    <row r="3997">
      <c r="AD3997" s="224"/>
      <c r="AE3997" s="224"/>
      <c r="AF3997" s="224"/>
      <c r="AG3997" s="224"/>
    </row>
    <row r="3998">
      <c r="AD3998" s="224"/>
      <c r="AE3998" s="224"/>
      <c r="AF3998" s="224"/>
      <c r="AG3998" s="224"/>
    </row>
    <row r="3999">
      <c r="AD3999" s="224"/>
      <c r="AE3999" s="224"/>
      <c r="AF3999" s="224"/>
      <c r="AG3999" s="224"/>
    </row>
    <row r="4000">
      <c r="AD4000" s="224"/>
      <c r="AE4000" s="224"/>
      <c r="AF4000" s="224"/>
      <c r="AG4000" s="224"/>
    </row>
    <row r="4001">
      <c r="AD4001" s="224"/>
      <c r="AE4001" s="224"/>
      <c r="AF4001" s="224"/>
      <c r="AG4001" s="224"/>
    </row>
    <row r="4002">
      <c r="AD4002" s="224"/>
      <c r="AE4002" s="224"/>
      <c r="AF4002" s="224"/>
      <c r="AG4002" s="224"/>
    </row>
    <row r="4003">
      <c r="AD4003" s="224"/>
      <c r="AE4003" s="224"/>
      <c r="AF4003" s="224"/>
      <c r="AG4003" s="224"/>
    </row>
    <row r="4004">
      <c r="AD4004" s="224"/>
      <c r="AE4004" s="224"/>
      <c r="AF4004" s="224"/>
      <c r="AG4004" s="224"/>
    </row>
    <row r="4005">
      <c r="AD4005" s="224"/>
      <c r="AE4005" s="224"/>
      <c r="AF4005" s="224"/>
      <c r="AG4005" s="224"/>
    </row>
    <row r="4006">
      <c r="AD4006" s="224"/>
      <c r="AE4006" s="224"/>
      <c r="AF4006" s="224"/>
      <c r="AG4006" s="224"/>
    </row>
    <row r="4007">
      <c r="AD4007" s="224"/>
      <c r="AE4007" s="224"/>
      <c r="AF4007" s="224"/>
      <c r="AG4007" s="224"/>
    </row>
    <row r="4008">
      <c r="AD4008" s="224"/>
      <c r="AE4008" s="224"/>
      <c r="AF4008" s="224"/>
      <c r="AG4008" s="224"/>
    </row>
    <row r="4009">
      <c r="AD4009" s="224"/>
      <c r="AE4009" s="224"/>
      <c r="AF4009" s="224"/>
      <c r="AG4009" s="224"/>
    </row>
    <row r="4010">
      <c r="AD4010" s="224"/>
      <c r="AE4010" s="224"/>
      <c r="AF4010" s="224"/>
      <c r="AG4010" s="224"/>
    </row>
    <row r="4011">
      <c r="AD4011" s="224"/>
      <c r="AE4011" s="224"/>
      <c r="AF4011" s="224"/>
      <c r="AG4011" s="224"/>
    </row>
    <row r="4012">
      <c r="AD4012" s="224"/>
      <c r="AE4012" s="224"/>
      <c r="AF4012" s="224"/>
      <c r="AG4012" s="224"/>
    </row>
    <row r="4013">
      <c r="AD4013" s="224"/>
      <c r="AE4013" s="224"/>
      <c r="AF4013" s="224"/>
      <c r="AG4013" s="224"/>
    </row>
    <row r="4014">
      <c r="AD4014" s="224"/>
      <c r="AE4014" s="224"/>
      <c r="AF4014" s="224"/>
      <c r="AG4014" s="224"/>
    </row>
    <row r="4015">
      <c r="AD4015" s="224"/>
      <c r="AE4015" s="224"/>
      <c r="AF4015" s="224"/>
      <c r="AG4015" s="224"/>
    </row>
    <row r="4016">
      <c r="AD4016" s="224"/>
      <c r="AE4016" s="224"/>
      <c r="AF4016" s="224"/>
      <c r="AG4016" s="224"/>
    </row>
    <row r="4017">
      <c r="AD4017" s="224"/>
      <c r="AE4017" s="224"/>
      <c r="AF4017" s="224"/>
      <c r="AG4017" s="224"/>
    </row>
    <row r="4018">
      <c r="AD4018" s="224"/>
      <c r="AE4018" s="224"/>
      <c r="AF4018" s="224"/>
      <c r="AG4018" s="224"/>
    </row>
    <row r="4019">
      <c r="AD4019" s="224"/>
      <c r="AE4019" s="224"/>
      <c r="AF4019" s="224"/>
      <c r="AG4019" s="224"/>
    </row>
    <row r="4020">
      <c r="AD4020" s="224"/>
      <c r="AE4020" s="224"/>
      <c r="AF4020" s="224"/>
      <c r="AG4020" s="224"/>
    </row>
    <row r="4021">
      <c r="AD4021" s="224"/>
      <c r="AE4021" s="224"/>
      <c r="AF4021" s="224"/>
      <c r="AG4021" s="224"/>
    </row>
    <row r="4022">
      <c r="AD4022" s="224"/>
      <c r="AE4022" s="224"/>
      <c r="AF4022" s="224"/>
      <c r="AG4022" s="224"/>
    </row>
    <row r="4023">
      <c r="AD4023" s="224"/>
      <c r="AE4023" s="224"/>
      <c r="AF4023" s="224"/>
      <c r="AG4023" s="224"/>
    </row>
    <row r="4024">
      <c r="AD4024" s="224"/>
      <c r="AE4024" s="224"/>
      <c r="AF4024" s="224"/>
      <c r="AG4024" s="224"/>
    </row>
    <row r="4025">
      <c r="AD4025" s="224"/>
      <c r="AE4025" s="224"/>
      <c r="AF4025" s="224"/>
      <c r="AG4025" s="224"/>
    </row>
    <row r="4026">
      <c r="AD4026" s="224"/>
      <c r="AE4026" s="224"/>
      <c r="AF4026" s="224"/>
      <c r="AG4026" s="224"/>
    </row>
    <row r="4027">
      <c r="AD4027" s="224"/>
      <c r="AE4027" s="224"/>
      <c r="AF4027" s="224"/>
      <c r="AG4027" s="224"/>
    </row>
    <row r="4028">
      <c r="AD4028" s="224"/>
      <c r="AE4028" s="224"/>
      <c r="AF4028" s="224"/>
      <c r="AG4028" s="224"/>
    </row>
    <row r="4029">
      <c r="AD4029" s="224"/>
      <c r="AE4029" s="224"/>
      <c r="AF4029" s="224"/>
      <c r="AG4029" s="224"/>
    </row>
    <row r="4030">
      <c r="AD4030" s="224"/>
      <c r="AE4030" s="224"/>
      <c r="AF4030" s="224"/>
      <c r="AG4030" s="224"/>
    </row>
    <row r="4031">
      <c r="AD4031" s="224"/>
      <c r="AE4031" s="224"/>
      <c r="AF4031" s="224"/>
      <c r="AG4031" s="224"/>
    </row>
    <row r="4032">
      <c r="AD4032" s="224"/>
      <c r="AE4032" s="224"/>
      <c r="AF4032" s="224"/>
      <c r="AG4032" s="224"/>
    </row>
    <row r="4033">
      <c r="AD4033" s="224"/>
      <c r="AE4033" s="224"/>
      <c r="AF4033" s="224"/>
      <c r="AG4033" s="224"/>
    </row>
    <row r="4034">
      <c r="AD4034" s="224"/>
      <c r="AE4034" s="224"/>
      <c r="AF4034" s="224"/>
      <c r="AG4034" s="224"/>
    </row>
    <row r="4035">
      <c r="AD4035" s="224"/>
      <c r="AE4035" s="224"/>
      <c r="AF4035" s="224"/>
      <c r="AG4035" s="224"/>
    </row>
    <row r="4036">
      <c r="AD4036" s="224"/>
      <c r="AE4036" s="224"/>
      <c r="AF4036" s="224"/>
      <c r="AG4036" s="224"/>
    </row>
    <row r="4037">
      <c r="AD4037" s="224"/>
      <c r="AE4037" s="224"/>
      <c r="AF4037" s="224"/>
      <c r="AG4037" s="224"/>
    </row>
    <row r="4038">
      <c r="AD4038" s="224"/>
      <c r="AE4038" s="224"/>
      <c r="AF4038" s="224"/>
      <c r="AG4038" s="224"/>
    </row>
    <row r="4039">
      <c r="AD4039" s="224"/>
      <c r="AE4039" s="224"/>
      <c r="AF4039" s="224"/>
      <c r="AG4039" s="224"/>
    </row>
    <row r="4040">
      <c r="AD4040" s="224"/>
      <c r="AE4040" s="224"/>
      <c r="AF4040" s="224"/>
      <c r="AG4040" s="224"/>
    </row>
    <row r="4041">
      <c r="AD4041" s="224"/>
      <c r="AE4041" s="224"/>
      <c r="AF4041" s="224"/>
      <c r="AG4041" s="224"/>
    </row>
    <row r="4042">
      <c r="AD4042" s="224"/>
      <c r="AE4042" s="224"/>
      <c r="AF4042" s="224"/>
      <c r="AG4042" s="224"/>
    </row>
    <row r="4043">
      <c r="AD4043" s="224"/>
      <c r="AE4043" s="224"/>
      <c r="AF4043" s="224"/>
      <c r="AG4043" s="224"/>
    </row>
    <row r="4044">
      <c r="AD4044" s="224"/>
      <c r="AE4044" s="224"/>
      <c r="AF4044" s="224"/>
      <c r="AG4044" s="224"/>
    </row>
    <row r="4045">
      <c r="AD4045" s="224"/>
      <c r="AE4045" s="224"/>
      <c r="AF4045" s="224"/>
      <c r="AG4045" s="224"/>
    </row>
    <row r="4046">
      <c r="AD4046" s="224"/>
      <c r="AE4046" s="224"/>
      <c r="AF4046" s="224"/>
      <c r="AG4046" s="224"/>
    </row>
    <row r="4047">
      <c r="AD4047" s="224"/>
      <c r="AE4047" s="224"/>
      <c r="AF4047" s="224"/>
      <c r="AG4047" s="224"/>
    </row>
    <row r="4048">
      <c r="AD4048" s="224"/>
      <c r="AE4048" s="224"/>
      <c r="AF4048" s="224"/>
      <c r="AG4048" s="224"/>
    </row>
    <row r="4049">
      <c r="AD4049" s="224"/>
      <c r="AE4049" s="224"/>
      <c r="AF4049" s="224"/>
      <c r="AG4049" s="224"/>
    </row>
    <row r="4050">
      <c r="AD4050" s="224"/>
      <c r="AE4050" s="224"/>
      <c r="AF4050" s="224"/>
      <c r="AG4050" s="224"/>
    </row>
    <row r="4051">
      <c r="AD4051" s="224"/>
      <c r="AE4051" s="224"/>
      <c r="AF4051" s="224"/>
      <c r="AG4051" s="224"/>
    </row>
    <row r="4052">
      <c r="AD4052" s="224"/>
      <c r="AE4052" s="224"/>
      <c r="AF4052" s="224"/>
      <c r="AG4052" s="224"/>
    </row>
    <row r="4053">
      <c r="AD4053" s="224"/>
      <c r="AE4053" s="224"/>
      <c r="AF4053" s="224"/>
      <c r="AG4053" s="224"/>
    </row>
    <row r="4054">
      <c r="AD4054" s="224"/>
      <c r="AE4054" s="224"/>
      <c r="AF4054" s="224"/>
      <c r="AG4054" s="224"/>
    </row>
    <row r="4055">
      <c r="AD4055" s="224"/>
      <c r="AE4055" s="224"/>
      <c r="AF4055" s="224"/>
      <c r="AG4055" s="224"/>
    </row>
    <row r="4056">
      <c r="AD4056" s="224"/>
      <c r="AE4056" s="224"/>
      <c r="AF4056" s="224"/>
      <c r="AG4056" s="224"/>
    </row>
    <row r="4057">
      <c r="AD4057" s="224"/>
      <c r="AE4057" s="224"/>
      <c r="AF4057" s="224"/>
      <c r="AG4057" s="224"/>
    </row>
    <row r="4058">
      <c r="AD4058" s="224"/>
      <c r="AE4058" s="224"/>
      <c r="AF4058" s="224"/>
      <c r="AG4058" s="224"/>
    </row>
    <row r="4059">
      <c r="AD4059" s="224"/>
      <c r="AE4059" s="224"/>
      <c r="AF4059" s="224"/>
      <c r="AG4059" s="224"/>
    </row>
    <row r="4060">
      <c r="AD4060" s="224"/>
      <c r="AE4060" s="224"/>
      <c r="AF4060" s="224"/>
      <c r="AG4060" s="224"/>
    </row>
    <row r="4061">
      <c r="AD4061" s="224"/>
      <c r="AE4061" s="224"/>
      <c r="AF4061" s="224"/>
      <c r="AG4061" s="224"/>
    </row>
    <row r="4062">
      <c r="AD4062" s="224"/>
      <c r="AE4062" s="224"/>
      <c r="AF4062" s="224"/>
      <c r="AG4062" s="224"/>
    </row>
    <row r="4063">
      <c r="AD4063" s="224"/>
      <c r="AE4063" s="224"/>
      <c r="AF4063" s="224"/>
      <c r="AG4063" s="224"/>
    </row>
    <row r="4064">
      <c r="AD4064" s="224"/>
      <c r="AE4064" s="224"/>
      <c r="AF4064" s="224"/>
      <c r="AG4064" s="224"/>
    </row>
    <row r="4065">
      <c r="AD4065" s="224"/>
      <c r="AE4065" s="224"/>
      <c r="AF4065" s="224"/>
      <c r="AG4065" s="224"/>
    </row>
    <row r="4066">
      <c r="AD4066" s="224"/>
      <c r="AE4066" s="224"/>
      <c r="AF4066" s="224"/>
      <c r="AG4066" s="224"/>
    </row>
    <row r="4067">
      <c r="AD4067" s="224"/>
      <c r="AE4067" s="224"/>
      <c r="AF4067" s="224"/>
      <c r="AG4067" s="224"/>
    </row>
    <row r="4068">
      <c r="AD4068" s="224"/>
      <c r="AE4068" s="224"/>
      <c r="AF4068" s="224"/>
      <c r="AG4068" s="224"/>
    </row>
    <row r="4069">
      <c r="AD4069" s="224"/>
      <c r="AE4069" s="224"/>
      <c r="AF4069" s="224"/>
      <c r="AG4069" s="224"/>
    </row>
    <row r="4070">
      <c r="AD4070" s="224"/>
      <c r="AE4070" s="224"/>
      <c r="AF4070" s="224"/>
      <c r="AG4070" s="224"/>
    </row>
    <row r="4071">
      <c r="AD4071" s="224"/>
      <c r="AE4071" s="224"/>
      <c r="AF4071" s="224"/>
      <c r="AG4071" s="224"/>
    </row>
    <row r="4072">
      <c r="AD4072" s="224"/>
      <c r="AE4072" s="224"/>
      <c r="AF4072" s="224"/>
      <c r="AG4072" s="224"/>
    </row>
    <row r="4073">
      <c r="AD4073" s="224"/>
      <c r="AE4073" s="224"/>
      <c r="AF4073" s="224"/>
      <c r="AG4073" s="224"/>
    </row>
    <row r="4074">
      <c r="AD4074" s="224"/>
      <c r="AE4074" s="224"/>
      <c r="AF4074" s="224"/>
      <c r="AG4074" s="224"/>
    </row>
    <row r="4075">
      <c r="AD4075" s="224"/>
      <c r="AE4075" s="224"/>
      <c r="AF4075" s="224"/>
      <c r="AG4075" s="224"/>
    </row>
    <row r="4076">
      <c r="AD4076" s="224"/>
      <c r="AE4076" s="224"/>
      <c r="AF4076" s="224"/>
      <c r="AG4076" s="224"/>
    </row>
  </sheetData>
  <hyperlinks>
    <hyperlink r:id="rId1" ref="I13"/>
    <hyperlink r:id="rId2" ref="O14"/>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25.13"/>
    <col customWidth="1" min="22" max="22" width="142.0"/>
    <col customWidth="1" min="24" max="24" width="31.0"/>
  </cols>
  <sheetData>
    <row r="1">
      <c r="A1" s="228" t="s">
        <v>241</v>
      </c>
      <c r="B1" s="228"/>
      <c r="C1" s="228"/>
      <c r="D1" s="228"/>
      <c r="E1" s="228"/>
      <c r="F1" s="228"/>
      <c r="G1" s="229"/>
      <c r="H1" s="230"/>
      <c r="I1" s="230"/>
      <c r="J1" s="230"/>
      <c r="K1" s="230"/>
      <c r="L1" s="230"/>
      <c r="M1" s="230"/>
      <c r="N1" s="230"/>
      <c r="O1" s="230"/>
      <c r="P1" s="230"/>
      <c r="Q1" s="230"/>
      <c r="R1" s="230"/>
      <c r="S1" s="229"/>
      <c r="T1" s="229"/>
      <c r="U1" s="229"/>
      <c r="V1" s="231" t="s">
        <v>242</v>
      </c>
      <c r="W1" s="229" t="str">
        <f t="shared" ref="W1:W999" si="1">IF(ISBLANK(V1),,CHAR(10))</f>
        <v>
</v>
      </c>
      <c r="X1" s="232" t="s">
        <v>243</v>
      </c>
      <c r="Y1" s="229"/>
      <c r="Z1" s="229"/>
      <c r="AA1" s="229"/>
      <c r="AB1" s="229"/>
      <c r="AC1" s="229"/>
      <c r="AD1" s="229"/>
      <c r="AE1" s="229"/>
      <c r="AF1" s="229"/>
      <c r="AG1" s="229"/>
      <c r="AH1" s="229"/>
    </row>
    <row r="2">
      <c r="A2" s="228" t="s">
        <v>244</v>
      </c>
      <c r="B2" s="228"/>
      <c r="C2" s="228"/>
      <c r="D2" s="228"/>
      <c r="E2" s="228"/>
      <c r="F2" s="228"/>
      <c r="G2" s="229"/>
      <c r="H2" s="230"/>
      <c r="I2" s="230"/>
      <c r="J2" s="230"/>
      <c r="K2" s="230"/>
      <c r="L2" s="230"/>
      <c r="M2" s="230"/>
      <c r="N2" s="230"/>
      <c r="O2" s="230"/>
      <c r="P2" s="230"/>
      <c r="Q2" s="230"/>
      <c r="R2" s="230"/>
      <c r="S2" s="229"/>
      <c r="T2" s="229"/>
      <c r="U2" s="229"/>
      <c r="V2" s="231" t="s">
        <v>245</v>
      </c>
      <c r="W2" s="229" t="str">
        <f t="shared" si="1"/>
        <v>
</v>
      </c>
      <c r="X2" s="233"/>
      <c r="Y2" s="229"/>
      <c r="Z2" s="229"/>
      <c r="AA2" s="229"/>
      <c r="AB2" s="229"/>
      <c r="AC2" s="229"/>
      <c r="AD2" s="229"/>
      <c r="AE2" s="229"/>
      <c r="AF2" s="229"/>
      <c r="AG2" s="229"/>
      <c r="AH2" s="229"/>
    </row>
    <row r="3">
      <c r="B3" s="228"/>
      <c r="C3" s="228"/>
      <c r="D3" s="228"/>
      <c r="E3" s="228"/>
      <c r="F3" s="228"/>
      <c r="G3" s="229"/>
      <c r="H3" s="230"/>
      <c r="I3" s="230"/>
      <c r="J3" s="230"/>
      <c r="K3" s="230"/>
      <c r="L3" s="230"/>
      <c r="M3" s="230"/>
      <c r="N3" s="230"/>
      <c r="O3" s="230"/>
      <c r="P3" s="230"/>
      <c r="Q3" s="230"/>
      <c r="R3" s="230"/>
      <c r="S3" s="229"/>
      <c r="T3" s="229"/>
      <c r="U3" s="229"/>
      <c r="V3" s="231" t="s">
        <v>246</v>
      </c>
      <c r="W3" s="229" t="str">
        <f t="shared" si="1"/>
        <v>
</v>
      </c>
      <c r="X3" s="229"/>
      <c r="Y3" s="229"/>
      <c r="Z3" s="229"/>
      <c r="AA3" s="229"/>
      <c r="AB3" s="229"/>
      <c r="AC3" s="229"/>
      <c r="AD3" s="229"/>
      <c r="AE3" s="229"/>
      <c r="AF3" s="229"/>
      <c r="AG3" s="229"/>
      <c r="AH3" s="229"/>
    </row>
    <row r="4">
      <c r="A4" s="228"/>
      <c r="B4" s="228"/>
      <c r="C4" s="228"/>
      <c r="D4" s="228"/>
      <c r="E4" s="228"/>
      <c r="F4" s="228"/>
      <c r="G4" s="229"/>
      <c r="H4" s="230"/>
      <c r="I4" s="230"/>
      <c r="J4" s="230"/>
      <c r="K4" s="230"/>
      <c r="L4" s="230"/>
      <c r="M4" s="230"/>
      <c r="N4" s="230"/>
      <c r="O4" s="230"/>
      <c r="P4" s="230"/>
      <c r="Q4" s="230"/>
      <c r="R4" s="230"/>
      <c r="S4" s="229"/>
      <c r="T4" s="229"/>
      <c r="U4" s="229"/>
      <c r="V4" s="231" t="s">
        <v>247</v>
      </c>
      <c r="W4" s="229" t="str">
        <f t="shared" si="1"/>
        <v>
</v>
      </c>
      <c r="X4" s="229"/>
      <c r="Y4" s="229"/>
      <c r="Z4" s="229"/>
      <c r="AA4" s="229"/>
      <c r="AB4" s="229"/>
      <c r="AC4" s="229"/>
      <c r="AD4" s="229"/>
      <c r="AE4" s="229"/>
      <c r="AF4" s="229"/>
      <c r="AG4" s="229"/>
      <c r="AH4" s="229"/>
    </row>
    <row r="5">
      <c r="A5" s="230"/>
      <c r="B5" s="230"/>
      <c r="C5" s="230"/>
      <c r="D5" s="230"/>
      <c r="E5" s="230"/>
      <c r="F5" s="230"/>
      <c r="G5" s="229"/>
      <c r="H5" s="230"/>
      <c r="I5" s="230"/>
      <c r="J5" s="230"/>
      <c r="K5" s="230"/>
      <c r="L5" s="230"/>
      <c r="M5" s="230"/>
      <c r="N5" s="230"/>
      <c r="O5" s="230"/>
      <c r="P5" s="230"/>
      <c r="Q5" s="230"/>
      <c r="R5" s="230"/>
      <c r="S5" s="229"/>
      <c r="T5" s="229"/>
      <c r="U5" s="229"/>
      <c r="V5" s="231" t="s">
        <v>248</v>
      </c>
      <c r="W5" s="229" t="str">
        <f t="shared" si="1"/>
        <v>
</v>
      </c>
      <c r="X5" s="229"/>
      <c r="Y5" s="229"/>
      <c r="Z5" s="229"/>
      <c r="AA5" s="229"/>
      <c r="AB5" s="229"/>
      <c r="AC5" s="229"/>
      <c r="AD5" s="229"/>
      <c r="AE5" s="229"/>
      <c r="AF5" s="229"/>
      <c r="AG5" s="229"/>
      <c r="AH5" s="229"/>
    </row>
    <row r="6">
      <c r="A6" s="230"/>
      <c r="B6" s="230"/>
      <c r="C6" s="230"/>
      <c r="D6" s="230"/>
      <c r="E6" s="230"/>
      <c r="F6" s="230"/>
      <c r="G6" s="229"/>
      <c r="H6" s="230"/>
      <c r="I6" s="230"/>
      <c r="J6" s="230"/>
      <c r="K6" s="230"/>
      <c r="L6" s="230"/>
      <c r="M6" s="230"/>
      <c r="N6" s="230"/>
      <c r="O6" s="230"/>
      <c r="P6" s="230"/>
      <c r="Q6" s="230"/>
      <c r="R6" s="230"/>
      <c r="S6" s="229"/>
      <c r="T6" s="229"/>
      <c r="U6" s="229"/>
      <c r="V6" s="231" t="s">
        <v>249</v>
      </c>
      <c r="W6" s="229" t="str">
        <f t="shared" si="1"/>
        <v>
</v>
      </c>
      <c r="X6" s="229"/>
      <c r="Y6" s="229"/>
      <c r="Z6" s="229"/>
      <c r="AA6" s="229"/>
      <c r="AB6" s="229"/>
      <c r="AC6" s="229"/>
      <c r="AD6" s="229"/>
      <c r="AE6" s="229"/>
      <c r="AF6" s="229"/>
      <c r="AG6" s="229"/>
      <c r="AH6" s="229"/>
    </row>
    <row r="7">
      <c r="A7" s="230"/>
      <c r="B7" s="230"/>
      <c r="C7" s="230"/>
      <c r="D7" s="230"/>
      <c r="E7" s="230"/>
      <c r="F7" s="230"/>
      <c r="G7" s="229"/>
      <c r="H7" s="230"/>
      <c r="I7" s="230"/>
      <c r="J7" s="230"/>
      <c r="K7" s="230"/>
      <c r="L7" s="230"/>
      <c r="M7" s="230"/>
      <c r="N7" s="230"/>
      <c r="O7" s="230"/>
      <c r="P7" s="230"/>
      <c r="Q7" s="230"/>
      <c r="R7" s="230"/>
      <c r="S7" s="229"/>
      <c r="T7" s="229"/>
      <c r="U7" s="229"/>
      <c r="V7" s="231" t="s">
        <v>245</v>
      </c>
      <c r="W7" s="229" t="str">
        <f t="shared" si="1"/>
        <v>
</v>
      </c>
      <c r="X7" s="229"/>
      <c r="Y7" s="229"/>
      <c r="Z7" s="229"/>
      <c r="AA7" s="229"/>
      <c r="AB7" s="229"/>
      <c r="AC7" s="229"/>
      <c r="AD7" s="229"/>
      <c r="AE7" s="229"/>
      <c r="AF7" s="229"/>
      <c r="AG7" s="229"/>
      <c r="AH7" s="229"/>
    </row>
    <row r="8">
      <c r="A8" s="230"/>
      <c r="B8" s="230"/>
      <c r="C8" s="230"/>
      <c r="D8" s="230"/>
      <c r="E8" s="230"/>
      <c r="F8" s="230"/>
      <c r="G8" s="229"/>
      <c r="H8" s="230"/>
      <c r="I8" s="230"/>
      <c r="J8" s="230"/>
      <c r="K8" s="230"/>
      <c r="L8" s="230"/>
      <c r="M8" s="230"/>
      <c r="N8" s="230"/>
      <c r="O8" s="230"/>
      <c r="P8" s="230"/>
      <c r="Q8" s="230"/>
      <c r="R8" s="230"/>
      <c r="S8" s="229"/>
      <c r="T8" s="229"/>
      <c r="U8" s="229"/>
      <c r="V8" s="234" t="s">
        <v>250</v>
      </c>
      <c r="W8" s="229" t="str">
        <f t="shared" si="1"/>
        <v>
</v>
      </c>
      <c r="X8" s="229"/>
      <c r="Y8" s="229"/>
      <c r="Z8" s="229"/>
      <c r="AA8" s="229"/>
      <c r="AB8" s="229"/>
      <c r="AC8" s="229"/>
      <c r="AD8" s="229"/>
      <c r="AE8" s="229"/>
      <c r="AF8" s="229"/>
      <c r="AG8" s="229"/>
      <c r="AH8" s="229"/>
    </row>
    <row r="9">
      <c r="A9" s="230"/>
      <c r="B9" s="230"/>
      <c r="C9" s="230"/>
      <c r="D9" s="230"/>
      <c r="E9" s="230"/>
      <c r="F9" s="230"/>
      <c r="G9" s="229"/>
      <c r="H9" s="230"/>
      <c r="I9" s="230"/>
      <c r="J9" s="230"/>
      <c r="K9" s="230"/>
      <c r="L9" s="230"/>
      <c r="M9" s="230"/>
      <c r="N9" s="230"/>
      <c r="O9" s="230"/>
      <c r="P9" s="230"/>
      <c r="Q9" s="230"/>
      <c r="R9" s="230"/>
      <c r="S9" s="229"/>
      <c r="T9" s="229"/>
      <c r="U9" s="229"/>
      <c r="V9" s="234" t="s">
        <v>251</v>
      </c>
      <c r="W9" s="229" t="str">
        <f t="shared" si="1"/>
        <v>
</v>
      </c>
      <c r="X9" s="229"/>
      <c r="Y9" s="229"/>
      <c r="Z9" s="229"/>
      <c r="AA9" s="229"/>
      <c r="AB9" s="229"/>
      <c r="AC9" s="229"/>
      <c r="AD9" s="229"/>
      <c r="AE9" s="229"/>
      <c r="AF9" s="229"/>
      <c r="AG9" s="229"/>
      <c r="AH9" s="229"/>
    </row>
    <row r="10">
      <c r="A10" s="230"/>
      <c r="B10" s="230"/>
      <c r="C10" s="230"/>
      <c r="D10" s="230"/>
      <c r="E10" s="230"/>
      <c r="F10" s="230"/>
      <c r="G10" s="229"/>
      <c r="H10" s="230"/>
      <c r="I10" s="230"/>
      <c r="J10" s="230"/>
      <c r="K10" s="230"/>
      <c r="L10" s="230"/>
      <c r="M10" s="230"/>
      <c r="N10" s="230"/>
      <c r="O10" s="230"/>
      <c r="P10" s="230"/>
      <c r="Q10" s="230"/>
      <c r="R10" s="230"/>
      <c r="S10" s="229"/>
      <c r="T10" s="229"/>
      <c r="U10" s="229"/>
      <c r="V10" s="234" t="s">
        <v>252</v>
      </c>
      <c r="W10" s="229" t="str">
        <f t="shared" si="1"/>
        <v>
</v>
      </c>
      <c r="X10" s="229"/>
      <c r="Y10" s="229"/>
      <c r="Z10" s="229"/>
      <c r="AA10" s="229"/>
      <c r="AB10" s="229"/>
      <c r="AC10" s="229"/>
      <c r="AD10" s="229"/>
      <c r="AE10" s="229"/>
      <c r="AF10" s="229"/>
      <c r="AG10" s="229"/>
      <c r="AH10" s="229"/>
    </row>
    <row r="11">
      <c r="A11" s="230"/>
      <c r="B11" s="230"/>
      <c r="C11" s="230"/>
      <c r="D11" s="230"/>
      <c r="E11" s="230"/>
      <c r="F11" s="230"/>
      <c r="G11" s="229"/>
      <c r="H11" s="230"/>
      <c r="I11" s="230"/>
      <c r="J11" s="230"/>
      <c r="K11" s="230"/>
      <c r="L11" s="230"/>
      <c r="M11" s="230"/>
      <c r="N11" s="230"/>
      <c r="O11" s="230"/>
      <c r="P11" s="230"/>
      <c r="Q11" s="230"/>
      <c r="R11" s="230"/>
      <c r="S11" s="229"/>
      <c r="T11" s="229"/>
      <c r="U11" s="229"/>
      <c r="V11" s="234" t="s">
        <v>253</v>
      </c>
      <c r="W11" s="229" t="str">
        <f t="shared" si="1"/>
        <v>
</v>
      </c>
      <c r="X11" s="229"/>
      <c r="Y11" s="229"/>
      <c r="Z11" s="229"/>
      <c r="AA11" s="229"/>
      <c r="AB11" s="229"/>
      <c r="AC11" s="229"/>
      <c r="AD11" s="229"/>
      <c r="AE11" s="229"/>
      <c r="AF11" s="229"/>
      <c r="AG11" s="229"/>
      <c r="AH11" s="229"/>
    </row>
    <row r="12">
      <c r="A12" s="230"/>
      <c r="B12" s="230"/>
      <c r="C12" s="230"/>
      <c r="D12" s="230"/>
      <c r="E12" s="230"/>
      <c r="F12" s="230"/>
      <c r="G12" s="229"/>
      <c r="H12" s="230"/>
      <c r="I12" s="230"/>
      <c r="J12" s="230"/>
      <c r="K12" s="230"/>
      <c r="L12" s="230"/>
      <c r="M12" s="230"/>
      <c r="N12" s="230"/>
      <c r="O12" s="230"/>
      <c r="P12" s="230"/>
      <c r="Q12" s="230"/>
      <c r="R12" s="230"/>
      <c r="S12" s="229"/>
      <c r="T12" s="229"/>
      <c r="U12" s="229"/>
      <c r="V12" s="234" t="s">
        <v>254</v>
      </c>
      <c r="W12" s="229" t="str">
        <f t="shared" si="1"/>
        <v>
</v>
      </c>
      <c r="X12" s="229"/>
      <c r="Y12" s="229"/>
      <c r="Z12" s="229"/>
      <c r="AA12" s="229"/>
      <c r="AB12" s="229"/>
      <c r="AC12" s="229"/>
      <c r="AD12" s="229"/>
      <c r="AE12" s="229"/>
      <c r="AF12" s="229"/>
      <c r="AG12" s="229"/>
      <c r="AH12" s="229"/>
    </row>
    <row r="13">
      <c r="A13" s="230"/>
      <c r="B13" s="230"/>
      <c r="C13" s="230"/>
      <c r="D13" s="230"/>
      <c r="E13" s="230"/>
      <c r="F13" s="230"/>
      <c r="G13" s="229"/>
      <c r="H13" s="230"/>
      <c r="I13" s="230"/>
      <c r="J13" s="230"/>
      <c r="K13" s="230"/>
      <c r="L13" s="230"/>
      <c r="M13" s="230"/>
      <c r="N13" s="230"/>
      <c r="O13" s="230"/>
      <c r="P13" s="230"/>
      <c r="Q13" s="230"/>
      <c r="R13" s="230"/>
      <c r="S13" s="229"/>
      <c r="T13" s="229"/>
      <c r="U13" s="229"/>
      <c r="V13" s="231" t="s">
        <v>245</v>
      </c>
      <c r="W13" s="229" t="str">
        <f t="shared" si="1"/>
        <v>
</v>
      </c>
      <c r="X13" s="229"/>
      <c r="Y13" s="229"/>
      <c r="Z13" s="229"/>
      <c r="AA13" s="229"/>
      <c r="AB13" s="229"/>
      <c r="AC13" s="229"/>
      <c r="AD13" s="229"/>
      <c r="AE13" s="229"/>
      <c r="AF13" s="229"/>
      <c r="AG13" s="229"/>
      <c r="AH13" s="229"/>
    </row>
    <row r="14">
      <c r="A14" s="230"/>
      <c r="B14" s="230"/>
      <c r="C14" s="230"/>
      <c r="D14" s="230"/>
      <c r="E14" s="230"/>
      <c r="F14" s="230"/>
      <c r="G14" s="229"/>
      <c r="H14" s="230"/>
      <c r="I14" s="230"/>
      <c r="J14" s="230"/>
      <c r="K14" s="230"/>
      <c r="L14" s="230"/>
      <c r="M14" s="230"/>
      <c r="N14" s="230"/>
      <c r="O14" s="230"/>
      <c r="P14" s="230"/>
      <c r="Q14" s="230"/>
      <c r="R14" s="230"/>
      <c r="S14" s="229"/>
      <c r="T14" s="229"/>
      <c r="U14" s="229"/>
      <c r="V14" s="231" t="s">
        <v>255</v>
      </c>
      <c r="W14" s="229" t="str">
        <f t="shared" si="1"/>
        <v>
</v>
      </c>
      <c r="X14" s="229"/>
      <c r="Y14" s="229"/>
      <c r="Z14" s="229"/>
      <c r="AA14" s="229"/>
      <c r="AB14" s="229"/>
      <c r="AC14" s="229"/>
      <c r="AD14" s="229"/>
      <c r="AE14" s="229"/>
      <c r="AF14" s="229"/>
      <c r="AG14" s="229"/>
      <c r="AH14" s="229"/>
    </row>
    <row r="15">
      <c r="A15" s="230"/>
      <c r="B15" s="230"/>
      <c r="C15" s="230"/>
      <c r="D15" s="230"/>
      <c r="E15" s="230"/>
      <c r="F15" s="230"/>
      <c r="G15" s="229"/>
      <c r="H15" s="230"/>
      <c r="I15" s="230"/>
      <c r="J15" s="230"/>
      <c r="K15" s="230"/>
      <c r="L15" s="230"/>
      <c r="M15" s="230"/>
      <c r="N15" s="230"/>
      <c r="O15" s="230"/>
      <c r="P15" s="230"/>
      <c r="Q15" s="230"/>
      <c r="R15" s="230"/>
      <c r="S15" s="229"/>
      <c r="T15" s="229"/>
      <c r="U15" s="229"/>
      <c r="V15" s="231" t="s">
        <v>245</v>
      </c>
      <c r="W15" s="229" t="str">
        <f t="shared" si="1"/>
        <v>
</v>
      </c>
      <c r="X15" s="229"/>
      <c r="Y15" s="229"/>
      <c r="Z15" s="229"/>
      <c r="AA15" s="229"/>
      <c r="AB15" s="229"/>
      <c r="AC15" s="229"/>
      <c r="AD15" s="229"/>
      <c r="AE15" s="229"/>
      <c r="AF15" s="229"/>
      <c r="AG15" s="229"/>
      <c r="AH15" s="229"/>
    </row>
    <row r="16">
      <c r="A16" s="42" t="s">
        <v>256</v>
      </c>
      <c r="B16" s="42" t="s">
        <v>257</v>
      </c>
      <c r="C16" s="42" t="s">
        <v>258</v>
      </c>
      <c r="D16" s="42" t="s">
        <v>259</v>
      </c>
      <c r="E16" s="42" t="s">
        <v>260</v>
      </c>
      <c r="F16" s="42" t="s">
        <v>261</v>
      </c>
      <c r="G16" s="229"/>
      <c r="H16" s="38" t="s">
        <v>262</v>
      </c>
      <c r="I16" s="38" t="s">
        <v>263</v>
      </c>
      <c r="J16" s="38" t="s">
        <v>264</v>
      </c>
      <c r="K16" s="235" t="s">
        <v>265</v>
      </c>
      <c r="L16" s="235" t="s">
        <v>266</v>
      </c>
      <c r="M16" s="235" t="s">
        <v>267</v>
      </c>
      <c r="N16" s="235" t="s">
        <v>268</v>
      </c>
      <c r="O16" s="235" t="s">
        <v>269</v>
      </c>
      <c r="P16" s="38" t="s">
        <v>270</v>
      </c>
      <c r="Q16" s="38" t="s">
        <v>271</v>
      </c>
      <c r="R16" s="235" t="s">
        <v>272</v>
      </c>
      <c r="S16" s="50" t="s">
        <v>273</v>
      </c>
      <c r="T16" s="50" t="s">
        <v>274</v>
      </c>
      <c r="U16" s="229"/>
      <c r="V16" s="236" t="str">
        <f>IFERROR(__xludf.DUMMYFUNCTION("IF(ISBLANK(H16),,JOIN("","",H16:T16))"),"P1_Circuit_ID,P6_Receiver_Circuits,P3_Modulation_Type,relationExcitatory,relationInhibitory,relationModulatory,relationMisc,relationBlank,P2_Input_Output,P7_Uniform,nodeshape,P4_Transmitter,P5_Size")</f>
        <v>P1_Circuit_ID,P6_Receiver_Circuits,P3_Modulation_Type,relationExcitatory,relationInhibitory,relationModulatory,relationMisc,relationBlank,P2_Input_Output,P7_Uniform,nodeshape,P4_Transmitter,P5_Size</v>
      </c>
      <c r="W16" s="229" t="str">
        <f t="shared" si="1"/>
        <v>
</v>
      </c>
      <c r="X16" s="229"/>
      <c r="Y16" s="229"/>
      <c r="Z16" s="229"/>
      <c r="AA16" s="229"/>
      <c r="AB16" s="229"/>
      <c r="AC16" s="229"/>
      <c r="AD16" s="229"/>
      <c r="AE16" s="229"/>
      <c r="AF16" s="229"/>
      <c r="AG16" s="229"/>
      <c r="AH16" s="229"/>
    </row>
    <row r="17">
      <c r="A17" s="218" t="str">
        <f>IFERROR(__xludf.DUMMYFUNCTION("FILTER(Connections!A:F,IFNA(MATCH(Connections!A:A,SPLIT(Circuits!$S$2,"";""&amp;CHAR(10)),0),0)+IFNA(MATCH(Connections!D:D,SPLIT(Circuits!$S$2,"";""&amp;CHAR(10)),0),0))"),"#N/A")</f>
        <v>#N/A</v>
      </c>
      <c r="H17" s="237" t="str">
        <f>IFERROR(__xludf.DUMMYFUNCTION("TRANSPOSE(UNIQUE(SPLIT(JOIN("";"",A17:A999,D17:D999),"";""),TRUE))"),"#N/A")</f>
        <v>#N/A</v>
      </c>
      <c r="I17" s="237" t="str">
        <f>IFERROR(__xludf.DUMMYFUNCTION("IF(ISBLANK(H17),,IFNA(""""""""&amp;JOIN("","",INDEX(FILTER(A:D,A:A=H17),0,4))&amp;"""""""",))"),"")</f>
        <v/>
      </c>
      <c r="J17" s="237" t="str">
        <f>IF(ISBLANK(H17),,IFNA(VLOOKUP(H17, Circuits!A:W, 23, FALSE),))</f>
        <v/>
      </c>
      <c r="K17" s="238" t="str">
        <f t="shared" ref="K17:K999" si="2">IF($J17="Excitatory",$I17,)</f>
        <v/>
      </c>
      <c r="L17" s="238" t="str">
        <f t="shared" ref="L17:L999" si="3">IF($J17="Inhibitory",$I17,)</f>
        <v/>
      </c>
      <c r="M17" s="238" t="str">
        <f t="shared" ref="M17:M999" si="4">IF($J17="Modulatory",$I17,)</f>
        <v/>
      </c>
      <c r="N17" s="238" t="str">
        <f t="shared" ref="N17:N999" si="5">IF(IF(ISBLANK(K17),0,1)+IF(ISBLANK(L17),0,1)+IF(ISBLANK(M17),0,1)+IF(ISBLANK(O17),0,1),,I17)</f>
        <v/>
      </c>
      <c r="O17" s="238" t="str">
        <f t="shared" ref="O17:O999" si="6">IF(ISBLANK($J17),$I17,)</f>
        <v/>
      </c>
      <c r="P17" s="237" t="str">
        <f>IFERROR(__xludf.DUMMYFUNCTION("IF(ISBLANK(H17),,IF(IFNA(MATCH(H17,SPLIT(Circuits!$S$2,"";""&amp;CHAR(10)),0),0),FALSE,TRUE))"),"#VALUE!")</f>
        <v>#VALUE!</v>
      </c>
      <c r="Q17" s="237" t="str">
        <f>IF(ISBLANK(H17),,IFNA(VLOOKUP(H17, Circuits!A:U, 21, FALSE),))</f>
        <v/>
      </c>
      <c r="R17" s="238" t="str">
        <f t="shared" ref="R17:R999" si="7">IF(P17,"input or output",IF(ISBLANK(Q17),,IF(Q17,"Uniform","Not Uniform")))</f>
        <v>#VALUE!</v>
      </c>
      <c r="S17" s="237" t="str">
        <f>IF(ISBLANK(H17),,IFNA(VLOOKUP(H17, Circuits!A:V, 22, FALSE),))</f>
        <v/>
      </c>
      <c r="T17" s="237" t="str">
        <f>IF(ISBLANK(H17),,IFNA(VLOOKUP(H17, Circuits!A:X, 24, FALSE),))</f>
        <v/>
      </c>
      <c r="V17" s="236" t="str">
        <f>IFERROR(__xludf.DUMMYFUNCTION("IF(ISBLANK(H17),,JOIN("","",H17:T17))"),"#N/A")</f>
        <v>#N/A</v>
      </c>
      <c r="W17" s="229" t="str">
        <f t="shared" si="1"/>
        <v>
</v>
      </c>
    </row>
    <row r="18">
      <c r="H18" s="237"/>
      <c r="I18" s="237" t="str">
        <f>IFERROR(__xludf.DUMMYFUNCTION("IF(ISBLANK(H18),,IFNA(""""""""&amp;JOIN("","",INDEX(FILTER(A:D,A:A=H18),0,4))&amp;"""""""",))"),"")</f>
        <v/>
      </c>
      <c r="J18" s="237" t="str">
        <f>IF(ISBLANK(H18),,IFNA(VLOOKUP(H18, Circuits!A:W, 23, FALSE),))</f>
        <v/>
      </c>
      <c r="K18" s="238" t="str">
        <f t="shared" si="2"/>
        <v/>
      </c>
      <c r="L18" s="238" t="str">
        <f t="shared" si="3"/>
        <v/>
      </c>
      <c r="M18" s="238" t="str">
        <f t="shared" si="4"/>
        <v/>
      </c>
      <c r="N18" s="238" t="str">
        <f t="shared" si="5"/>
        <v/>
      </c>
      <c r="O18" s="238" t="str">
        <f t="shared" si="6"/>
        <v/>
      </c>
      <c r="P18" s="237" t="str">
        <f>IFERROR(__xludf.DUMMYFUNCTION("IF(ISBLANK(H18),,IF(IFNA(MATCH(H18,SPLIT(Circuits!$S$2,"";""&amp;CHAR(10)),0),0),FALSE,TRUE))"),"")</f>
        <v/>
      </c>
      <c r="Q18" s="237" t="str">
        <f>IF(ISBLANK(H18),,IFNA(VLOOKUP(H18, Circuits!A:U, 21, FALSE),))</f>
        <v/>
      </c>
      <c r="R18" s="238" t="str">
        <f t="shared" si="7"/>
        <v/>
      </c>
      <c r="S18" s="237" t="str">
        <f>IF(ISBLANK(H18),,IFNA(VLOOKUP(H18, Circuits!A:V, 22, FALSE),))</f>
        <v/>
      </c>
      <c r="T18" s="237" t="str">
        <f>IF(ISBLANK(H18),,IFNA(VLOOKUP(H18, Circuits!A:X, 24, FALSE),))</f>
        <v/>
      </c>
      <c r="V18" s="236" t="str">
        <f>IFERROR(__xludf.DUMMYFUNCTION("IF(ISBLANK(H18),,JOIN("","",H18:T18))"),"")</f>
        <v/>
      </c>
      <c r="W18" s="229" t="str">
        <f t="shared" si="1"/>
        <v/>
      </c>
    </row>
    <row r="19">
      <c r="H19" s="237"/>
      <c r="I19" s="237" t="str">
        <f>IFERROR(__xludf.DUMMYFUNCTION("IF(ISBLANK(H19),,IFNA(""""""""&amp;JOIN("","",INDEX(FILTER(A:D,A:A=H19),0,4))&amp;"""""""",))"),"")</f>
        <v/>
      </c>
      <c r="J19" s="237" t="str">
        <f>IF(ISBLANK(H19),,IFNA(VLOOKUP(H19, Circuits!A:W, 23, FALSE),))</f>
        <v/>
      </c>
      <c r="K19" s="238" t="str">
        <f t="shared" si="2"/>
        <v/>
      </c>
      <c r="L19" s="238" t="str">
        <f t="shared" si="3"/>
        <v/>
      </c>
      <c r="M19" s="238" t="str">
        <f t="shared" si="4"/>
        <v/>
      </c>
      <c r="N19" s="238" t="str">
        <f t="shared" si="5"/>
        <v/>
      </c>
      <c r="O19" s="238" t="str">
        <f t="shared" si="6"/>
        <v/>
      </c>
      <c r="P19" s="237" t="str">
        <f>IFERROR(__xludf.DUMMYFUNCTION("IF(ISBLANK(H19),,IF(IFNA(MATCH(H19,SPLIT(Circuits!$S$2,"";""&amp;CHAR(10)),0),0),FALSE,TRUE))"),"")</f>
        <v/>
      </c>
      <c r="Q19" s="237" t="str">
        <f>IF(ISBLANK(H19),,IFNA(VLOOKUP(H19, Circuits!A:U, 21, FALSE),))</f>
        <v/>
      </c>
      <c r="R19" s="238" t="str">
        <f t="shared" si="7"/>
        <v/>
      </c>
      <c r="S19" s="237" t="str">
        <f>IF(ISBLANK(H19),,IFNA(VLOOKUP(H19, Circuits!A:V, 22, FALSE),))</f>
        <v/>
      </c>
      <c r="T19" s="237" t="str">
        <f>IF(ISBLANK(H19),,IFNA(VLOOKUP(H19, Circuits!A:X, 24, FALSE),))</f>
        <v/>
      </c>
      <c r="V19" s="236" t="str">
        <f>IFERROR(__xludf.DUMMYFUNCTION("IF(ISBLANK(H19),,JOIN("","",H19:T19))"),"")</f>
        <v/>
      </c>
      <c r="W19" s="229" t="str">
        <f t="shared" si="1"/>
        <v/>
      </c>
    </row>
    <row r="20">
      <c r="H20" s="237"/>
      <c r="I20" s="237" t="str">
        <f>IFERROR(__xludf.DUMMYFUNCTION("IF(ISBLANK(H20),,IFNA(""""""""&amp;JOIN("","",INDEX(FILTER(A:D,A:A=H20),0,4))&amp;"""""""",))"),"")</f>
        <v/>
      </c>
      <c r="J20" s="237" t="str">
        <f>IF(ISBLANK(H20),,IFNA(VLOOKUP(H20, Circuits!A:W, 23, FALSE),))</f>
        <v/>
      </c>
      <c r="K20" s="238" t="str">
        <f t="shared" si="2"/>
        <v/>
      </c>
      <c r="L20" s="238" t="str">
        <f t="shared" si="3"/>
        <v/>
      </c>
      <c r="M20" s="238" t="str">
        <f t="shared" si="4"/>
        <v/>
      </c>
      <c r="N20" s="238" t="str">
        <f t="shared" si="5"/>
        <v/>
      </c>
      <c r="O20" s="238" t="str">
        <f t="shared" si="6"/>
        <v/>
      </c>
      <c r="P20" s="237" t="str">
        <f>IFERROR(__xludf.DUMMYFUNCTION("IF(ISBLANK(H20),,IF(IFNA(MATCH(H20,SPLIT(Circuits!$S$2,"";""&amp;CHAR(10)),0),0),FALSE,TRUE))"),"")</f>
        <v/>
      </c>
      <c r="Q20" s="237" t="str">
        <f>IF(ISBLANK(H20),,IFNA(VLOOKUP(H20, Circuits!A:U, 21, FALSE),))</f>
        <v/>
      </c>
      <c r="R20" s="238" t="str">
        <f t="shared" si="7"/>
        <v/>
      </c>
      <c r="S20" s="237" t="str">
        <f>IF(ISBLANK(H20),,IFNA(VLOOKUP(H20, Circuits!A:V, 22, FALSE),))</f>
        <v/>
      </c>
      <c r="T20" s="237" t="str">
        <f>IF(ISBLANK(H20),,IFNA(VLOOKUP(H20, Circuits!A:X, 24, FALSE),))</f>
        <v/>
      </c>
      <c r="V20" s="236" t="str">
        <f>IFERROR(__xludf.DUMMYFUNCTION("IF(ISBLANK(H20),,JOIN("","",H20:T20))"),"")</f>
        <v/>
      </c>
      <c r="W20" s="229" t="str">
        <f t="shared" si="1"/>
        <v/>
      </c>
    </row>
    <row r="21">
      <c r="H21" s="237"/>
      <c r="I21" s="237" t="str">
        <f>IFERROR(__xludf.DUMMYFUNCTION("IF(ISBLANK(H21),,IFNA(""""""""&amp;JOIN("","",INDEX(FILTER(A:D,A:A=H21),0,4))&amp;"""""""",))"),"")</f>
        <v/>
      </c>
      <c r="J21" s="237" t="str">
        <f>IF(ISBLANK(H21),,IFNA(VLOOKUP(H21, Circuits!A:W, 23, FALSE),))</f>
        <v/>
      </c>
      <c r="K21" s="238" t="str">
        <f t="shared" si="2"/>
        <v/>
      </c>
      <c r="L21" s="238" t="str">
        <f t="shared" si="3"/>
        <v/>
      </c>
      <c r="M21" s="238" t="str">
        <f t="shared" si="4"/>
        <v/>
      </c>
      <c r="N21" s="238" t="str">
        <f t="shared" si="5"/>
        <v/>
      </c>
      <c r="O21" s="238" t="str">
        <f t="shared" si="6"/>
        <v/>
      </c>
      <c r="P21" s="237" t="str">
        <f>IFERROR(__xludf.DUMMYFUNCTION("IF(ISBLANK(H21),,IF(IFNA(MATCH(H21,SPLIT(Circuits!$S$2,"";""&amp;CHAR(10)),0),0),FALSE,TRUE))"),"")</f>
        <v/>
      </c>
      <c r="Q21" s="237" t="str">
        <f>IF(ISBLANK(H21),,IFNA(VLOOKUP(H21, Circuits!A:U, 21, FALSE),))</f>
        <v/>
      </c>
      <c r="R21" s="238" t="str">
        <f t="shared" si="7"/>
        <v/>
      </c>
      <c r="S21" s="237" t="str">
        <f>IF(ISBLANK(H21),,IFNA(VLOOKUP(H21, Circuits!A:V, 22, FALSE),))</f>
        <v/>
      </c>
      <c r="T21" s="237" t="str">
        <f>IF(ISBLANK(H21),,IFNA(VLOOKUP(H21, Circuits!A:X, 24, FALSE),))</f>
        <v/>
      </c>
      <c r="V21" s="236" t="str">
        <f>IFERROR(__xludf.DUMMYFUNCTION("IF(ISBLANK(H21),,JOIN("","",H21:T21))"),"")</f>
        <v/>
      </c>
      <c r="W21" s="229" t="str">
        <f t="shared" si="1"/>
        <v/>
      </c>
    </row>
    <row r="22">
      <c r="H22" s="237"/>
      <c r="I22" s="237" t="str">
        <f>IFERROR(__xludf.DUMMYFUNCTION("IF(ISBLANK(H22),,IFNA(""""""""&amp;JOIN("","",INDEX(FILTER(A:D,A:A=H22),0,4))&amp;"""""""",))"),"")</f>
        <v/>
      </c>
      <c r="J22" s="237" t="str">
        <f>IF(ISBLANK(H22),,IFNA(VLOOKUP(H22, Circuits!A:W, 23, FALSE),))</f>
        <v/>
      </c>
      <c r="K22" s="238" t="str">
        <f t="shared" si="2"/>
        <v/>
      </c>
      <c r="L22" s="238" t="str">
        <f t="shared" si="3"/>
        <v/>
      </c>
      <c r="M22" s="238" t="str">
        <f t="shared" si="4"/>
        <v/>
      </c>
      <c r="N22" s="238" t="str">
        <f t="shared" si="5"/>
        <v/>
      </c>
      <c r="O22" s="238" t="str">
        <f t="shared" si="6"/>
        <v/>
      </c>
      <c r="P22" s="237" t="str">
        <f>IFERROR(__xludf.DUMMYFUNCTION("IF(ISBLANK(H22),,IF(IFNA(MATCH(H22,SPLIT(Circuits!$S$2,"";""&amp;CHAR(10)),0),0),FALSE,TRUE))"),"")</f>
        <v/>
      </c>
      <c r="Q22" s="237" t="str">
        <f>IF(ISBLANK(H22),,IFNA(VLOOKUP(H22, Circuits!A:U, 21, FALSE),))</f>
        <v/>
      </c>
      <c r="R22" s="238" t="str">
        <f t="shared" si="7"/>
        <v/>
      </c>
      <c r="S22" s="237" t="str">
        <f>IF(ISBLANK(H22),,IFNA(VLOOKUP(H22, Circuits!A:V, 22, FALSE),))</f>
        <v/>
      </c>
      <c r="T22" s="237" t="str">
        <f>IF(ISBLANK(H22),,IFNA(VLOOKUP(H22, Circuits!A:X, 24, FALSE),))</f>
        <v/>
      </c>
      <c r="V22" s="236" t="str">
        <f>IFERROR(__xludf.DUMMYFUNCTION("IF(ISBLANK(H22),,JOIN("","",H22:T22))"),"")</f>
        <v/>
      </c>
      <c r="W22" s="229" t="str">
        <f t="shared" si="1"/>
        <v/>
      </c>
    </row>
    <row r="23">
      <c r="H23" s="237"/>
      <c r="I23" s="237" t="str">
        <f>IFERROR(__xludf.DUMMYFUNCTION("IF(ISBLANK(H23),,IFNA(""""""""&amp;JOIN("","",INDEX(FILTER(A:D,A:A=H23),0,4))&amp;"""""""",))"),"")</f>
        <v/>
      </c>
      <c r="J23" s="237" t="str">
        <f>IF(ISBLANK(H23),,IFNA(VLOOKUP(H23, Circuits!A:W, 23, FALSE),))</f>
        <v/>
      </c>
      <c r="K23" s="238" t="str">
        <f t="shared" si="2"/>
        <v/>
      </c>
      <c r="L23" s="238" t="str">
        <f t="shared" si="3"/>
        <v/>
      </c>
      <c r="M23" s="238" t="str">
        <f t="shared" si="4"/>
        <v/>
      </c>
      <c r="N23" s="238" t="str">
        <f t="shared" si="5"/>
        <v/>
      </c>
      <c r="O23" s="238" t="str">
        <f t="shared" si="6"/>
        <v/>
      </c>
      <c r="P23" s="237" t="str">
        <f>IFERROR(__xludf.DUMMYFUNCTION("IF(ISBLANK(H23),,IF(IFNA(MATCH(H23,SPLIT(Circuits!$S$2,"";""&amp;CHAR(10)),0),0),FALSE,TRUE))"),"")</f>
        <v/>
      </c>
      <c r="Q23" s="237" t="str">
        <f>IF(ISBLANK(H23),,IFNA(VLOOKUP(H23, Circuits!A:U, 21, FALSE),))</f>
        <v/>
      </c>
      <c r="R23" s="238" t="str">
        <f t="shared" si="7"/>
        <v/>
      </c>
      <c r="S23" s="237" t="str">
        <f>IF(ISBLANK(H23),,IFNA(VLOOKUP(H23, Circuits!A:V, 22, FALSE),))</f>
        <v/>
      </c>
      <c r="T23" s="237" t="str">
        <f>IF(ISBLANK(H23),,IFNA(VLOOKUP(H23, Circuits!A:X, 24, FALSE),))</f>
        <v/>
      </c>
      <c r="V23" s="236" t="str">
        <f>IFERROR(__xludf.DUMMYFUNCTION("IF(ISBLANK(H23),,JOIN("","",H23:T23))"),"")</f>
        <v/>
      </c>
      <c r="W23" s="229" t="str">
        <f t="shared" si="1"/>
        <v/>
      </c>
    </row>
    <row r="24">
      <c r="H24" s="237"/>
      <c r="I24" s="237" t="str">
        <f>IFERROR(__xludf.DUMMYFUNCTION("IF(ISBLANK(H24),,IFNA(""""""""&amp;JOIN("","",INDEX(FILTER(A:D,A:A=H24),0,4))&amp;"""""""",))"),"")</f>
        <v/>
      </c>
      <c r="J24" s="237" t="str">
        <f>IF(ISBLANK(H24),,IFNA(VLOOKUP(H24, Circuits!A:W, 23, FALSE),))</f>
        <v/>
      </c>
      <c r="K24" s="238" t="str">
        <f t="shared" si="2"/>
        <v/>
      </c>
      <c r="L24" s="238" t="str">
        <f t="shared" si="3"/>
        <v/>
      </c>
      <c r="M24" s="238" t="str">
        <f t="shared" si="4"/>
        <v/>
      </c>
      <c r="N24" s="238" t="str">
        <f t="shared" si="5"/>
        <v/>
      </c>
      <c r="O24" s="238" t="str">
        <f t="shared" si="6"/>
        <v/>
      </c>
      <c r="P24" s="237" t="str">
        <f>IFERROR(__xludf.DUMMYFUNCTION("IF(ISBLANK(H24),,IF(IFNA(MATCH(H24,SPLIT(Circuits!$S$2,"";""&amp;CHAR(10)),0),0),FALSE,TRUE))"),"")</f>
        <v/>
      </c>
      <c r="Q24" s="237" t="str">
        <f>IF(ISBLANK(H24),,IFNA(VLOOKUP(H24, Circuits!A:U, 21, FALSE),))</f>
        <v/>
      </c>
      <c r="R24" s="238" t="str">
        <f t="shared" si="7"/>
        <v/>
      </c>
      <c r="S24" s="237" t="str">
        <f>IF(ISBLANK(H24),,IFNA(VLOOKUP(H24, Circuits!A:V, 22, FALSE),))</f>
        <v/>
      </c>
      <c r="T24" s="237" t="str">
        <f>IF(ISBLANK(H24),,IFNA(VLOOKUP(H24, Circuits!A:X, 24, FALSE),))</f>
        <v/>
      </c>
      <c r="V24" s="236" t="str">
        <f>IFERROR(__xludf.DUMMYFUNCTION("IF(ISBLANK(H24),,JOIN("","",H24:T24))"),"")</f>
        <v/>
      </c>
      <c r="W24" s="229" t="str">
        <f t="shared" si="1"/>
        <v/>
      </c>
    </row>
    <row r="25">
      <c r="H25" s="237"/>
      <c r="I25" s="237" t="str">
        <f>IFERROR(__xludf.DUMMYFUNCTION("IF(ISBLANK(H25),,IFNA(""""""""&amp;JOIN("","",INDEX(FILTER(A:D,A:A=H25),0,4))&amp;"""""""",))"),"")</f>
        <v/>
      </c>
      <c r="J25" s="237" t="str">
        <f>IF(ISBLANK(H25),,IFNA(VLOOKUP(H25, Circuits!A:W, 23, FALSE),))</f>
        <v/>
      </c>
      <c r="K25" s="238" t="str">
        <f t="shared" si="2"/>
        <v/>
      </c>
      <c r="L25" s="238" t="str">
        <f t="shared" si="3"/>
        <v/>
      </c>
      <c r="M25" s="238" t="str">
        <f t="shared" si="4"/>
        <v/>
      </c>
      <c r="N25" s="238" t="str">
        <f t="shared" si="5"/>
        <v/>
      </c>
      <c r="O25" s="238" t="str">
        <f t="shared" si="6"/>
        <v/>
      </c>
      <c r="P25" s="237" t="str">
        <f>IFERROR(__xludf.DUMMYFUNCTION("IF(ISBLANK(H25),,IF(IFNA(MATCH(H25,SPLIT(Circuits!$S$2,"";""&amp;CHAR(10)),0),0),FALSE,TRUE))"),"")</f>
        <v/>
      </c>
      <c r="Q25" s="237" t="str">
        <f>IF(ISBLANK(H25),,IFNA(VLOOKUP(H25, Circuits!A:U, 21, FALSE),))</f>
        <v/>
      </c>
      <c r="R25" s="238" t="str">
        <f t="shared" si="7"/>
        <v/>
      </c>
      <c r="S25" s="237" t="str">
        <f>IF(ISBLANK(H25),,IFNA(VLOOKUP(H25, Circuits!A:V, 22, FALSE),))</f>
        <v/>
      </c>
      <c r="T25" s="237" t="str">
        <f>IF(ISBLANK(H25),,IFNA(VLOOKUP(H25, Circuits!A:X, 24, FALSE),))</f>
        <v/>
      </c>
      <c r="V25" s="236" t="str">
        <f>IFERROR(__xludf.DUMMYFUNCTION("IF(ISBLANK(H25),,JOIN("","",H25:T25))"),"")</f>
        <v/>
      </c>
      <c r="W25" s="229" t="str">
        <f t="shared" si="1"/>
        <v/>
      </c>
    </row>
    <row r="26">
      <c r="H26" s="237"/>
      <c r="I26" s="237" t="str">
        <f>IFERROR(__xludf.DUMMYFUNCTION("IF(ISBLANK(H26),,IFNA(""""""""&amp;JOIN("","",INDEX(FILTER(A:D,A:A=H26),0,4))&amp;"""""""",))"),"")</f>
        <v/>
      </c>
      <c r="J26" s="237" t="str">
        <f>IF(ISBLANK(H26),,IFNA(VLOOKUP(H26, Circuits!A:W, 23, FALSE),))</f>
        <v/>
      </c>
      <c r="K26" s="238" t="str">
        <f t="shared" si="2"/>
        <v/>
      </c>
      <c r="L26" s="238" t="str">
        <f t="shared" si="3"/>
        <v/>
      </c>
      <c r="M26" s="238" t="str">
        <f t="shared" si="4"/>
        <v/>
      </c>
      <c r="N26" s="238" t="str">
        <f t="shared" si="5"/>
        <v/>
      </c>
      <c r="O26" s="238" t="str">
        <f t="shared" si="6"/>
        <v/>
      </c>
      <c r="P26" s="237" t="str">
        <f>IFERROR(__xludf.DUMMYFUNCTION("IF(ISBLANK(H26),,IF(IFNA(MATCH(H26,SPLIT(Circuits!$S$2,"";""&amp;CHAR(10)),0),0),FALSE,TRUE))"),"")</f>
        <v/>
      </c>
      <c r="Q26" s="237" t="str">
        <f>IF(ISBLANK(H26),,IFNA(VLOOKUP(H26, Circuits!A:U, 21, FALSE),))</f>
        <v/>
      </c>
      <c r="R26" s="238" t="str">
        <f t="shared" si="7"/>
        <v/>
      </c>
      <c r="S26" s="237" t="str">
        <f>IF(ISBLANK(H26),,IFNA(VLOOKUP(H26, Circuits!A:V, 22, FALSE),))</f>
        <v/>
      </c>
      <c r="T26" s="237" t="str">
        <f>IF(ISBLANK(H26),,IFNA(VLOOKUP(H26, Circuits!A:X, 24, FALSE),))</f>
        <v/>
      </c>
      <c r="V26" s="236" t="str">
        <f>IFERROR(__xludf.DUMMYFUNCTION("IF(ISBLANK(H26),,JOIN("","",H26:T26))"),"")</f>
        <v/>
      </c>
      <c r="W26" s="229" t="str">
        <f t="shared" si="1"/>
        <v/>
      </c>
    </row>
    <row r="27">
      <c r="H27" s="237"/>
      <c r="I27" s="237" t="str">
        <f>IFERROR(__xludf.DUMMYFUNCTION("IF(ISBLANK(H27),,IFNA(""""""""&amp;JOIN("","",INDEX(FILTER(A:D,A:A=H27),0,4))&amp;"""""""",))"),"")</f>
        <v/>
      </c>
      <c r="J27" s="237" t="str">
        <f>IF(ISBLANK(H27),,IFNA(VLOOKUP(H27, Circuits!A:W, 23, FALSE),))</f>
        <v/>
      </c>
      <c r="K27" s="238" t="str">
        <f t="shared" si="2"/>
        <v/>
      </c>
      <c r="L27" s="238" t="str">
        <f t="shared" si="3"/>
        <v/>
      </c>
      <c r="M27" s="238" t="str">
        <f t="shared" si="4"/>
        <v/>
      </c>
      <c r="N27" s="238" t="str">
        <f t="shared" si="5"/>
        <v/>
      </c>
      <c r="O27" s="238" t="str">
        <f t="shared" si="6"/>
        <v/>
      </c>
      <c r="P27" s="237" t="str">
        <f>IFERROR(__xludf.DUMMYFUNCTION("IF(ISBLANK(H27),,IF(IFNA(MATCH(H27,SPLIT(Circuits!$S$2,"";""&amp;CHAR(10)),0),0),FALSE,TRUE))"),"")</f>
        <v/>
      </c>
      <c r="Q27" s="237" t="str">
        <f>IF(ISBLANK(H27),,IFNA(VLOOKUP(H27, Circuits!A:U, 21, FALSE),))</f>
        <v/>
      </c>
      <c r="R27" s="238" t="str">
        <f t="shared" si="7"/>
        <v/>
      </c>
      <c r="S27" s="237" t="str">
        <f>IF(ISBLANK(H27),,IFNA(VLOOKUP(H27, Circuits!A:V, 22, FALSE),))</f>
        <v/>
      </c>
      <c r="T27" s="237" t="str">
        <f>IF(ISBLANK(H27),,IFNA(VLOOKUP(H27, Circuits!A:X, 24, FALSE),))</f>
        <v/>
      </c>
      <c r="V27" s="236" t="str">
        <f>IFERROR(__xludf.DUMMYFUNCTION("IF(ISBLANK(H27),,JOIN("","",H27:T27))"),"")</f>
        <v/>
      </c>
      <c r="W27" s="229" t="str">
        <f t="shared" si="1"/>
        <v/>
      </c>
    </row>
    <row r="28">
      <c r="H28" s="237"/>
      <c r="I28" s="237" t="str">
        <f>IFERROR(__xludf.DUMMYFUNCTION("IF(ISBLANK(H28),,IFNA(""""""""&amp;JOIN("","",INDEX(FILTER(A:D,A:A=H28),0,4))&amp;"""""""",))"),"")</f>
        <v/>
      </c>
      <c r="J28" s="237" t="str">
        <f>IF(ISBLANK(H28),,IFNA(VLOOKUP(H28, Circuits!A:W, 23, FALSE),))</f>
        <v/>
      </c>
      <c r="K28" s="238" t="str">
        <f t="shared" si="2"/>
        <v/>
      </c>
      <c r="L28" s="238" t="str">
        <f t="shared" si="3"/>
        <v/>
      </c>
      <c r="M28" s="238" t="str">
        <f t="shared" si="4"/>
        <v/>
      </c>
      <c r="N28" s="238" t="str">
        <f t="shared" si="5"/>
        <v/>
      </c>
      <c r="O28" s="238" t="str">
        <f t="shared" si="6"/>
        <v/>
      </c>
      <c r="P28" s="237" t="str">
        <f>IFERROR(__xludf.DUMMYFUNCTION("IF(ISBLANK(H28),,IF(IFNA(MATCH(H28,SPLIT(Circuits!$S$2,"";""&amp;CHAR(10)),0),0),FALSE,TRUE))"),"")</f>
        <v/>
      </c>
      <c r="Q28" s="237" t="str">
        <f>IF(ISBLANK(H28),,IFNA(VLOOKUP(H28, Circuits!A:U, 21, FALSE),))</f>
        <v/>
      </c>
      <c r="R28" s="238" t="str">
        <f t="shared" si="7"/>
        <v/>
      </c>
      <c r="S28" s="237" t="str">
        <f>IF(ISBLANK(H28),,IFNA(VLOOKUP(H28, Circuits!A:V, 22, FALSE),))</f>
        <v/>
      </c>
      <c r="T28" s="237" t="str">
        <f>IF(ISBLANK(H28),,IFNA(VLOOKUP(H28, Circuits!A:X, 24, FALSE),))</f>
        <v/>
      </c>
      <c r="V28" s="236" t="str">
        <f>IFERROR(__xludf.DUMMYFUNCTION("IF(ISBLANK(H28),,JOIN("","",H28:T28))"),"")</f>
        <v/>
      </c>
      <c r="W28" s="229" t="str">
        <f t="shared" si="1"/>
        <v/>
      </c>
    </row>
    <row r="29">
      <c r="H29" s="237"/>
      <c r="I29" s="237" t="str">
        <f>IFERROR(__xludf.DUMMYFUNCTION("IF(ISBLANK(H29),,IFNA(""""""""&amp;JOIN("","",INDEX(FILTER(A:D,A:A=H29),0,4))&amp;"""""""",))"),"")</f>
        <v/>
      </c>
      <c r="J29" s="237" t="str">
        <f>IF(ISBLANK(H29),,IFNA(VLOOKUP(H29, Circuits!A:W, 23, FALSE),))</f>
        <v/>
      </c>
      <c r="K29" s="238" t="str">
        <f t="shared" si="2"/>
        <v/>
      </c>
      <c r="L29" s="238" t="str">
        <f t="shared" si="3"/>
        <v/>
      </c>
      <c r="M29" s="238" t="str">
        <f t="shared" si="4"/>
        <v/>
      </c>
      <c r="N29" s="238" t="str">
        <f t="shared" si="5"/>
        <v/>
      </c>
      <c r="O29" s="238" t="str">
        <f t="shared" si="6"/>
        <v/>
      </c>
      <c r="P29" s="237" t="str">
        <f>IFERROR(__xludf.DUMMYFUNCTION("IF(ISBLANK(H29),,IF(IFNA(MATCH(H29,SPLIT(Circuits!$S$2,"";""&amp;CHAR(10)),0),0),FALSE,TRUE))"),"")</f>
        <v/>
      </c>
      <c r="Q29" s="237" t="str">
        <f>IF(ISBLANK(H29),,IFNA(VLOOKUP(H29, Circuits!A:U, 21, FALSE),))</f>
        <v/>
      </c>
      <c r="R29" s="238" t="str">
        <f t="shared" si="7"/>
        <v/>
      </c>
      <c r="S29" s="237" t="str">
        <f>IF(ISBLANK(H29),,IFNA(VLOOKUP(H29, Circuits!A:V, 22, FALSE),))</f>
        <v/>
      </c>
      <c r="T29" s="237" t="str">
        <f>IF(ISBLANK(H29),,IFNA(VLOOKUP(H29, Circuits!A:X, 24, FALSE),))</f>
        <v/>
      </c>
      <c r="V29" s="236" t="str">
        <f>IFERROR(__xludf.DUMMYFUNCTION("IF(ISBLANK(H29),,JOIN("","",H29:T29))"),"")</f>
        <v/>
      </c>
      <c r="W29" s="229" t="str">
        <f t="shared" si="1"/>
        <v/>
      </c>
    </row>
    <row r="30">
      <c r="H30" s="237"/>
      <c r="I30" s="237" t="str">
        <f>IFERROR(__xludf.DUMMYFUNCTION("IF(ISBLANK(H30),,IFNA(""""""""&amp;JOIN("","",INDEX(FILTER(A:D,A:A=H30),0,4))&amp;"""""""",))"),"")</f>
        <v/>
      </c>
      <c r="J30" s="237" t="str">
        <f>IF(ISBLANK(H30),,IFNA(VLOOKUP(H30, Circuits!A:W, 23, FALSE),))</f>
        <v/>
      </c>
      <c r="K30" s="238" t="str">
        <f t="shared" si="2"/>
        <v/>
      </c>
      <c r="L30" s="238" t="str">
        <f t="shared" si="3"/>
        <v/>
      </c>
      <c r="M30" s="238" t="str">
        <f t="shared" si="4"/>
        <v/>
      </c>
      <c r="N30" s="238" t="str">
        <f t="shared" si="5"/>
        <v/>
      </c>
      <c r="O30" s="238" t="str">
        <f t="shared" si="6"/>
        <v/>
      </c>
      <c r="P30" s="237" t="str">
        <f>IFERROR(__xludf.DUMMYFUNCTION("IF(ISBLANK(H30),,IF(IFNA(MATCH(H30,SPLIT(Circuits!$S$2,"";""&amp;CHAR(10)),0),0),FALSE,TRUE))"),"")</f>
        <v/>
      </c>
      <c r="Q30" s="237" t="str">
        <f>IF(ISBLANK(H30),,IFNA(VLOOKUP(H30, Circuits!A:U, 21, FALSE),))</f>
        <v/>
      </c>
      <c r="R30" s="238" t="str">
        <f t="shared" si="7"/>
        <v/>
      </c>
      <c r="S30" s="237" t="str">
        <f>IF(ISBLANK(H30),,IFNA(VLOOKUP(H30, Circuits!A:V, 22, FALSE),))</f>
        <v/>
      </c>
      <c r="T30" s="237" t="str">
        <f>IF(ISBLANK(H30),,IFNA(VLOOKUP(H30, Circuits!A:X, 24, FALSE),))</f>
        <v/>
      </c>
      <c r="V30" s="236" t="str">
        <f>IFERROR(__xludf.DUMMYFUNCTION("IF(ISBLANK(H30),,JOIN("","",H30:T30))"),"")</f>
        <v/>
      </c>
      <c r="W30" s="229" t="str">
        <f t="shared" si="1"/>
        <v/>
      </c>
    </row>
    <row r="31">
      <c r="H31" s="237"/>
      <c r="I31" s="237" t="str">
        <f>IFERROR(__xludf.DUMMYFUNCTION("IF(ISBLANK(H31),,IFNA(""""""""&amp;JOIN("","",INDEX(FILTER(A:D,A:A=H31),0,4))&amp;"""""""",))"),"")</f>
        <v/>
      </c>
      <c r="J31" s="237" t="str">
        <f>IF(ISBLANK(H31),,IFNA(VLOOKUP(H31, Circuits!A:W, 23, FALSE),))</f>
        <v/>
      </c>
      <c r="K31" s="238" t="str">
        <f t="shared" si="2"/>
        <v/>
      </c>
      <c r="L31" s="238" t="str">
        <f t="shared" si="3"/>
        <v/>
      </c>
      <c r="M31" s="238" t="str">
        <f t="shared" si="4"/>
        <v/>
      </c>
      <c r="N31" s="238" t="str">
        <f t="shared" si="5"/>
        <v/>
      </c>
      <c r="O31" s="238" t="str">
        <f t="shared" si="6"/>
        <v/>
      </c>
      <c r="P31" s="237" t="str">
        <f>IFERROR(__xludf.DUMMYFUNCTION("IF(ISBLANK(H31),,IF(IFNA(MATCH(H31,SPLIT(Circuits!$S$2,"";""&amp;CHAR(10)),0),0),FALSE,TRUE))"),"")</f>
        <v/>
      </c>
      <c r="Q31" s="237" t="str">
        <f>IF(ISBLANK(H31),,IFNA(VLOOKUP(H31, Circuits!A:U, 21, FALSE),))</f>
        <v/>
      </c>
      <c r="R31" s="238" t="str">
        <f t="shared" si="7"/>
        <v/>
      </c>
      <c r="S31" s="237" t="str">
        <f>IF(ISBLANK(H31),,IFNA(VLOOKUP(H31, Circuits!A:V, 22, FALSE),))</f>
        <v/>
      </c>
      <c r="T31" s="237" t="str">
        <f>IF(ISBLANK(H31),,IFNA(VLOOKUP(H31, Circuits!A:X, 24, FALSE),))</f>
        <v/>
      </c>
      <c r="V31" s="236" t="str">
        <f>IFERROR(__xludf.DUMMYFUNCTION("IF(ISBLANK(H31),,JOIN("","",H31:T31))"),"")</f>
        <v/>
      </c>
      <c r="W31" s="229" t="str">
        <f t="shared" si="1"/>
        <v/>
      </c>
    </row>
    <row r="32">
      <c r="H32" s="237"/>
      <c r="I32" s="237" t="str">
        <f>IFERROR(__xludf.DUMMYFUNCTION("IF(ISBLANK(H32),,IFNA(""""""""&amp;JOIN("","",INDEX(FILTER(A:D,A:A=H32),0,4))&amp;"""""""",))"),"")</f>
        <v/>
      </c>
      <c r="J32" s="237" t="str">
        <f>IF(ISBLANK(H32),,IFNA(VLOOKUP(H32, Circuits!A:W, 23, FALSE),))</f>
        <v/>
      </c>
      <c r="K32" s="238" t="str">
        <f t="shared" si="2"/>
        <v/>
      </c>
      <c r="L32" s="238" t="str">
        <f t="shared" si="3"/>
        <v/>
      </c>
      <c r="M32" s="238" t="str">
        <f t="shared" si="4"/>
        <v/>
      </c>
      <c r="N32" s="238" t="str">
        <f t="shared" si="5"/>
        <v/>
      </c>
      <c r="O32" s="238" t="str">
        <f t="shared" si="6"/>
        <v/>
      </c>
      <c r="P32" s="237" t="str">
        <f>IFERROR(__xludf.DUMMYFUNCTION("IF(ISBLANK(H32),,IF(IFNA(MATCH(H32,SPLIT(Circuits!$S$2,"";""&amp;CHAR(10)),0),0),FALSE,TRUE))"),"")</f>
        <v/>
      </c>
      <c r="Q32" s="237" t="str">
        <f>IF(ISBLANK(H32),,IFNA(VLOOKUP(H32, Circuits!A:U, 21, FALSE),))</f>
        <v/>
      </c>
      <c r="R32" s="238" t="str">
        <f t="shared" si="7"/>
        <v/>
      </c>
      <c r="S32" s="237" t="str">
        <f>IF(ISBLANK(H32),,IFNA(VLOOKUP(H32, Circuits!A:V, 22, FALSE),))</f>
        <v/>
      </c>
      <c r="T32" s="237" t="str">
        <f>IF(ISBLANK(H32),,IFNA(VLOOKUP(H32, Circuits!A:X, 24, FALSE),))</f>
        <v/>
      </c>
      <c r="V32" s="236" t="str">
        <f>IFERROR(__xludf.DUMMYFUNCTION("IF(ISBLANK(H32),,JOIN("","",H32:T32))"),"")</f>
        <v/>
      </c>
      <c r="W32" s="229" t="str">
        <f t="shared" si="1"/>
        <v/>
      </c>
    </row>
    <row r="33">
      <c r="H33" s="237"/>
      <c r="I33" s="237" t="str">
        <f>IFERROR(__xludf.DUMMYFUNCTION("IF(ISBLANK(H33),,IFNA(""""""""&amp;JOIN("","",INDEX(FILTER(A:D,A:A=H33),0,4))&amp;"""""""",))"),"")</f>
        <v/>
      </c>
      <c r="J33" s="237" t="str">
        <f>IF(ISBLANK(H33),,IFNA(VLOOKUP(H33, Circuits!A:W, 23, FALSE),))</f>
        <v/>
      </c>
      <c r="K33" s="238" t="str">
        <f t="shared" si="2"/>
        <v/>
      </c>
      <c r="L33" s="238" t="str">
        <f t="shared" si="3"/>
        <v/>
      </c>
      <c r="M33" s="238" t="str">
        <f t="shared" si="4"/>
        <v/>
      </c>
      <c r="N33" s="238" t="str">
        <f t="shared" si="5"/>
        <v/>
      </c>
      <c r="O33" s="238" t="str">
        <f t="shared" si="6"/>
        <v/>
      </c>
      <c r="P33" s="237" t="str">
        <f>IFERROR(__xludf.DUMMYFUNCTION("IF(ISBLANK(H33),,IF(IFNA(MATCH(H33,SPLIT(Circuits!$S$2,"";""&amp;CHAR(10)),0),0),FALSE,TRUE))"),"")</f>
        <v/>
      </c>
      <c r="Q33" s="237" t="str">
        <f>IF(ISBLANK(H33),,IFNA(VLOOKUP(H33, Circuits!A:U, 21, FALSE),))</f>
        <v/>
      </c>
      <c r="R33" s="238" t="str">
        <f t="shared" si="7"/>
        <v/>
      </c>
      <c r="S33" s="237" t="str">
        <f>IF(ISBLANK(H33),,IFNA(VLOOKUP(H33, Circuits!A:V, 22, FALSE),))</f>
        <v/>
      </c>
      <c r="T33" s="237" t="str">
        <f>IF(ISBLANK(H33),,IFNA(VLOOKUP(H33, Circuits!A:X, 24, FALSE),))</f>
        <v/>
      </c>
      <c r="V33" s="236" t="str">
        <f>IFERROR(__xludf.DUMMYFUNCTION("IF(ISBLANK(H33),,JOIN("","",H33:T33))"),"")</f>
        <v/>
      </c>
      <c r="W33" s="229" t="str">
        <f t="shared" si="1"/>
        <v/>
      </c>
    </row>
    <row r="34">
      <c r="H34" s="237"/>
      <c r="I34" s="237" t="str">
        <f>IFERROR(__xludf.DUMMYFUNCTION("IF(ISBLANK(H34),,IFNA(""""""""&amp;JOIN("","",INDEX(FILTER(A:D,A:A=H34),0,4))&amp;"""""""",))"),"")</f>
        <v/>
      </c>
      <c r="J34" s="237" t="str">
        <f>IF(ISBLANK(H34),,IFNA(VLOOKUP(H34, Circuits!A:W, 23, FALSE),))</f>
        <v/>
      </c>
      <c r="K34" s="238" t="str">
        <f t="shared" si="2"/>
        <v/>
      </c>
      <c r="L34" s="238" t="str">
        <f t="shared" si="3"/>
        <v/>
      </c>
      <c r="M34" s="238" t="str">
        <f t="shared" si="4"/>
        <v/>
      </c>
      <c r="N34" s="238" t="str">
        <f t="shared" si="5"/>
        <v/>
      </c>
      <c r="O34" s="238" t="str">
        <f t="shared" si="6"/>
        <v/>
      </c>
      <c r="P34" s="237" t="str">
        <f>IFERROR(__xludf.DUMMYFUNCTION("IF(ISBLANK(H34),,IF(IFNA(MATCH(H34,SPLIT(Circuits!$S$2,"";""&amp;CHAR(10)),0),0),FALSE,TRUE))"),"")</f>
        <v/>
      </c>
      <c r="Q34" s="237" t="str">
        <f>IF(ISBLANK(H34),,IFNA(VLOOKUP(H34, Circuits!A:U, 21, FALSE),))</f>
        <v/>
      </c>
      <c r="R34" s="238" t="str">
        <f t="shared" si="7"/>
        <v/>
      </c>
      <c r="S34" s="237" t="str">
        <f>IF(ISBLANK(H34),,IFNA(VLOOKUP(H34, Circuits!A:V, 22, FALSE),))</f>
        <v/>
      </c>
      <c r="T34" s="237" t="str">
        <f>IF(ISBLANK(H34),,IFNA(VLOOKUP(H34, Circuits!A:X, 24, FALSE),))</f>
        <v/>
      </c>
      <c r="V34" s="236" t="str">
        <f>IFERROR(__xludf.DUMMYFUNCTION("IF(ISBLANK(H34),,JOIN("","",H34:T34))"),"")</f>
        <v/>
      </c>
      <c r="W34" s="229" t="str">
        <f t="shared" si="1"/>
        <v/>
      </c>
    </row>
    <row r="35">
      <c r="H35" s="237"/>
      <c r="I35" s="237" t="str">
        <f>IFERROR(__xludf.DUMMYFUNCTION("IF(ISBLANK(H35),,IFNA(""""""""&amp;JOIN("","",INDEX(FILTER(A:D,A:A=H35),0,4))&amp;"""""""",))"),"")</f>
        <v/>
      </c>
      <c r="J35" s="237" t="str">
        <f>IF(ISBLANK(H35),,IFNA(VLOOKUP(H35, Circuits!A:W, 23, FALSE),))</f>
        <v/>
      </c>
      <c r="K35" s="238" t="str">
        <f t="shared" si="2"/>
        <v/>
      </c>
      <c r="L35" s="238" t="str">
        <f t="shared" si="3"/>
        <v/>
      </c>
      <c r="M35" s="238" t="str">
        <f t="shared" si="4"/>
        <v/>
      </c>
      <c r="N35" s="238" t="str">
        <f t="shared" si="5"/>
        <v/>
      </c>
      <c r="O35" s="238" t="str">
        <f t="shared" si="6"/>
        <v/>
      </c>
      <c r="P35" s="237" t="str">
        <f>IFERROR(__xludf.DUMMYFUNCTION("IF(ISBLANK(H35),,IF(IFNA(MATCH(H35,SPLIT(Circuits!$S$2,"";""&amp;CHAR(10)),0),0),FALSE,TRUE))"),"")</f>
        <v/>
      </c>
      <c r="Q35" s="237" t="str">
        <f>IF(ISBLANK(H35),,IFNA(VLOOKUP(H35, Circuits!A:U, 21, FALSE),))</f>
        <v/>
      </c>
      <c r="R35" s="238" t="str">
        <f t="shared" si="7"/>
        <v/>
      </c>
      <c r="S35" s="237" t="str">
        <f>IF(ISBLANK(H35),,IFNA(VLOOKUP(H35, Circuits!A:V, 22, FALSE),))</f>
        <v/>
      </c>
      <c r="T35" s="237" t="str">
        <f>IF(ISBLANK(H35),,IFNA(VLOOKUP(H35, Circuits!A:X, 24, FALSE),))</f>
        <v/>
      </c>
      <c r="V35" s="236" t="str">
        <f>IFERROR(__xludf.DUMMYFUNCTION("IF(ISBLANK(H35),,JOIN("","",H35:T35))"),"")</f>
        <v/>
      </c>
      <c r="W35" s="229" t="str">
        <f t="shared" si="1"/>
        <v/>
      </c>
    </row>
    <row r="36">
      <c r="H36" s="237"/>
      <c r="I36" s="237" t="str">
        <f>IFERROR(__xludf.DUMMYFUNCTION("IF(ISBLANK(H36),,IFNA(""""""""&amp;JOIN("","",INDEX(FILTER(A:D,A:A=H36),0,4))&amp;"""""""",))"),"")</f>
        <v/>
      </c>
      <c r="J36" s="237" t="str">
        <f>IF(ISBLANK(H36),,IFNA(VLOOKUP(H36, Circuits!A:W, 23, FALSE),))</f>
        <v/>
      </c>
      <c r="K36" s="238" t="str">
        <f t="shared" si="2"/>
        <v/>
      </c>
      <c r="L36" s="238" t="str">
        <f t="shared" si="3"/>
        <v/>
      </c>
      <c r="M36" s="238" t="str">
        <f t="shared" si="4"/>
        <v/>
      </c>
      <c r="N36" s="238" t="str">
        <f t="shared" si="5"/>
        <v/>
      </c>
      <c r="O36" s="238" t="str">
        <f t="shared" si="6"/>
        <v/>
      </c>
      <c r="P36" s="237" t="str">
        <f>IFERROR(__xludf.DUMMYFUNCTION("IF(ISBLANK(H36),,IF(IFNA(MATCH(H36,SPLIT(Circuits!$S$2,"";""&amp;CHAR(10)),0),0),FALSE,TRUE))"),"")</f>
        <v/>
      </c>
      <c r="Q36" s="237" t="str">
        <f>IF(ISBLANK(H36),,IFNA(VLOOKUP(H36, Circuits!A:U, 21, FALSE),))</f>
        <v/>
      </c>
      <c r="R36" s="238" t="str">
        <f t="shared" si="7"/>
        <v/>
      </c>
      <c r="S36" s="237" t="str">
        <f>IF(ISBLANK(H36),,IFNA(VLOOKUP(H36, Circuits!A:V, 22, FALSE),))</f>
        <v/>
      </c>
      <c r="T36" s="237" t="str">
        <f>IF(ISBLANK(H36),,IFNA(VLOOKUP(H36, Circuits!A:X, 24, FALSE),))</f>
        <v/>
      </c>
      <c r="V36" s="236" t="str">
        <f>IFERROR(__xludf.DUMMYFUNCTION("IF(ISBLANK(H36),,JOIN("","",H36:T36))"),"")</f>
        <v/>
      </c>
      <c r="W36" s="229" t="str">
        <f t="shared" si="1"/>
        <v/>
      </c>
    </row>
    <row r="37">
      <c r="H37" s="237"/>
      <c r="I37" s="237" t="str">
        <f>IFERROR(__xludf.DUMMYFUNCTION("IF(ISBLANK(H37),,IFNA(""""""""&amp;JOIN("","",INDEX(FILTER(A:D,A:A=H37),0,4))&amp;"""""""",))"),"")</f>
        <v/>
      </c>
      <c r="J37" s="237" t="str">
        <f>IF(ISBLANK(H37),,IFNA(VLOOKUP(H37, Circuits!A:W, 23, FALSE),))</f>
        <v/>
      </c>
      <c r="K37" s="238" t="str">
        <f t="shared" si="2"/>
        <v/>
      </c>
      <c r="L37" s="238" t="str">
        <f t="shared" si="3"/>
        <v/>
      </c>
      <c r="M37" s="238" t="str">
        <f t="shared" si="4"/>
        <v/>
      </c>
      <c r="N37" s="238" t="str">
        <f t="shared" si="5"/>
        <v/>
      </c>
      <c r="O37" s="238" t="str">
        <f t="shared" si="6"/>
        <v/>
      </c>
      <c r="P37" s="237" t="str">
        <f>IFERROR(__xludf.DUMMYFUNCTION("IF(ISBLANK(H37),,IF(IFNA(MATCH(H37,SPLIT(Circuits!$S$2,"";""&amp;CHAR(10)),0),0),FALSE,TRUE))"),"")</f>
        <v/>
      </c>
      <c r="Q37" s="237" t="str">
        <f>IF(ISBLANK(H37),,IFNA(VLOOKUP(H37, Circuits!A:U, 21, FALSE),))</f>
        <v/>
      </c>
      <c r="R37" s="238" t="str">
        <f t="shared" si="7"/>
        <v/>
      </c>
      <c r="S37" s="237" t="str">
        <f>IF(ISBLANK(H37),,IFNA(VLOOKUP(H37, Circuits!A:V, 22, FALSE),))</f>
        <v/>
      </c>
      <c r="T37" s="237" t="str">
        <f>IF(ISBLANK(H37),,IFNA(VLOOKUP(H37, Circuits!A:X, 24, FALSE),))</f>
        <v/>
      </c>
      <c r="V37" s="236" t="str">
        <f>IFERROR(__xludf.DUMMYFUNCTION("IF(ISBLANK(H37),,JOIN("","",H37:T37))"),"")</f>
        <v/>
      </c>
      <c r="W37" s="229" t="str">
        <f t="shared" si="1"/>
        <v/>
      </c>
    </row>
    <row r="38">
      <c r="H38" s="237"/>
      <c r="I38" s="237" t="str">
        <f>IFERROR(__xludf.DUMMYFUNCTION("IF(ISBLANK(H38),,IFNA(""""""""&amp;JOIN("","",INDEX(FILTER(A:D,A:A=H38),0,4))&amp;"""""""",))"),"")</f>
        <v/>
      </c>
      <c r="J38" s="237" t="str">
        <f>IF(ISBLANK(H38),,IFNA(VLOOKUP(H38, Circuits!A:W, 23, FALSE),))</f>
        <v/>
      </c>
      <c r="K38" s="238" t="str">
        <f t="shared" si="2"/>
        <v/>
      </c>
      <c r="L38" s="238" t="str">
        <f t="shared" si="3"/>
        <v/>
      </c>
      <c r="M38" s="238" t="str">
        <f t="shared" si="4"/>
        <v/>
      </c>
      <c r="N38" s="238" t="str">
        <f t="shared" si="5"/>
        <v/>
      </c>
      <c r="O38" s="238" t="str">
        <f t="shared" si="6"/>
        <v/>
      </c>
      <c r="P38" s="237" t="str">
        <f>IFERROR(__xludf.DUMMYFUNCTION("IF(ISBLANK(H38),,IF(IFNA(MATCH(H38,SPLIT(Circuits!$S$2,"";""&amp;CHAR(10)),0),0),FALSE,TRUE))"),"")</f>
        <v/>
      </c>
      <c r="Q38" s="237" t="str">
        <f>IF(ISBLANK(H38),,IFNA(VLOOKUP(H38, Circuits!A:U, 21, FALSE),))</f>
        <v/>
      </c>
      <c r="R38" s="238" t="str">
        <f t="shared" si="7"/>
        <v/>
      </c>
      <c r="S38" s="237" t="str">
        <f>IF(ISBLANK(H38),,IFNA(VLOOKUP(H38, Circuits!A:V, 22, FALSE),))</f>
        <v/>
      </c>
      <c r="T38" s="237" t="str">
        <f>IF(ISBLANK(H38),,IFNA(VLOOKUP(H38, Circuits!A:X, 24, FALSE),))</f>
        <v/>
      </c>
      <c r="V38" s="236" t="str">
        <f>IFERROR(__xludf.DUMMYFUNCTION("IF(ISBLANK(H38),,JOIN("","",H38:T38))"),"")</f>
        <v/>
      </c>
      <c r="W38" s="229" t="str">
        <f t="shared" si="1"/>
        <v/>
      </c>
    </row>
    <row r="39">
      <c r="H39" s="237"/>
      <c r="I39" s="237" t="str">
        <f>IFERROR(__xludf.DUMMYFUNCTION("IF(ISBLANK(H39),,IFNA(""""""""&amp;JOIN("","",INDEX(FILTER(A:D,A:A=H39),0,4))&amp;"""""""",))"),"")</f>
        <v/>
      </c>
      <c r="J39" s="237" t="str">
        <f>IF(ISBLANK(H39),,IFNA(VLOOKUP(H39, Circuits!A:W, 23, FALSE),))</f>
        <v/>
      </c>
      <c r="K39" s="238" t="str">
        <f t="shared" si="2"/>
        <v/>
      </c>
      <c r="L39" s="238" t="str">
        <f t="shared" si="3"/>
        <v/>
      </c>
      <c r="M39" s="238" t="str">
        <f t="shared" si="4"/>
        <v/>
      </c>
      <c r="N39" s="238" t="str">
        <f t="shared" si="5"/>
        <v/>
      </c>
      <c r="O39" s="238" t="str">
        <f t="shared" si="6"/>
        <v/>
      </c>
      <c r="P39" s="237" t="str">
        <f>IFERROR(__xludf.DUMMYFUNCTION("IF(ISBLANK(H39),,IF(IFNA(MATCH(H39,SPLIT(Circuits!$S$2,"";""&amp;CHAR(10)),0),0),FALSE,TRUE))"),"")</f>
        <v/>
      </c>
      <c r="Q39" s="237" t="str">
        <f>IF(ISBLANK(H39),,IFNA(VLOOKUP(H39, Circuits!A:U, 21, FALSE),))</f>
        <v/>
      </c>
      <c r="R39" s="238" t="str">
        <f t="shared" si="7"/>
        <v/>
      </c>
      <c r="S39" s="237" t="str">
        <f>IF(ISBLANK(H39),,IFNA(VLOOKUP(H39, Circuits!A:V, 22, FALSE),))</f>
        <v/>
      </c>
      <c r="T39" s="237" t="str">
        <f>IF(ISBLANK(H39),,IFNA(VLOOKUP(H39, Circuits!A:X, 24, FALSE),))</f>
        <v/>
      </c>
      <c r="V39" s="236" t="str">
        <f>IFERROR(__xludf.DUMMYFUNCTION("IF(ISBLANK(H39),,JOIN("","",H39:T39))"),"")</f>
        <v/>
      </c>
      <c r="W39" s="229" t="str">
        <f t="shared" si="1"/>
        <v/>
      </c>
    </row>
    <row r="40">
      <c r="H40" s="237"/>
      <c r="I40" s="237" t="str">
        <f>IFERROR(__xludf.DUMMYFUNCTION("IF(ISBLANK(H40),,IFNA(""""""""&amp;JOIN("","",INDEX(FILTER(A:D,A:A=H40),0,4))&amp;"""""""",))"),"")</f>
        <v/>
      </c>
      <c r="J40" s="237" t="str">
        <f>IF(ISBLANK(H40),,IFNA(VLOOKUP(H40, Circuits!A:W, 23, FALSE),))</f>
        <v/>
      </c>
      <c r="K40" s="238" t="str">
        <f t="shared" si="2"/>
        <v/>
      </c>
      <c r="L40" s="238" t="str">
        <f t="shared" si="3"/>
        <v/>
      </c>
      <c r="M40" s="238" t="str">
        <f t="shared" si="4"/>
        <v/>
      </c>
      <c r="N40" s="238" t="str">
        <f t="shared" si="5"/>
        <v/>
      </c>
      <c r="O40" s="238" t="str">
        <f t="shared" si="6"/>
        <v/>
      </c>
      <c r="P40" s="237" t="str">
        <f>IFERROR(__xludf.DUMMYFUNCTION("IF(ISBLANK(H40),,IF(IFNA(MATCH(H40,SPLIT(Circuits!$S$2,"";""&amp;CHAR(10)),0),0),FALSE,TRUE))"),"")</f>
        <v/>
      </c>
      <c r="Q40" s="237" t="str">
        <f>IF(ISBLANK(H40),,IFNA(VLOOKUP(H40, Circuits!A:U, 21, FALSE),))</f>
        <v/>
      </c>
      <c r="R40" s="238" t="str">
        <f t="shared" si="7"/>
        <v/>
      </c>
      <c r="S40" s="237" t="str">
        <f>IF(ISBLANK(H40),,IFNA(VLOOKUP(H40, Circuits!A:V, 22, FALSE),))</f>
        <v/>
      </c>
      <c r="T40" s="237" t="str">
        <f>IF(ISBLANK(H40),,IFNA(VLOOKUP(H40, Circuits!A:X, 24, FALSE),))</f>
        <v/>
      </c>
      <c r="V40" s="236" t="str">
        <f>IFERROR(__xludf.DUMMYFUNCTION("IF(ISBLANK(H40),,JOIN("","",H40:T40))"),"")</f>
        <v/>
      </c>
      <c r="W40" s="229" t="str">
        <f t="shared" si="1"/>
        <v/>
      </c>
    </row>
    <row r="41">
      <c r="H41" s="237"/>
      <c r="I41" s="237" t="str">
        <f>IFERROR(__xludf.DUMMYFUNCTION("IF(ISBLANK(H41),,IFNA(""""""""&amp;JOIN("","",INDEX(FILTER(A:D,A:A=H41),0,4))&amp;"""""""",))"),"")</f>
        <v/>
      </c>
      <c r="J41" s="237" t="str">
        <f>IF(ISBLANK(H41),,IFNA(VLOOKUP(H41, Circuits!A:W, 23, FALSE),))</f>
        <v/>
      </c>
      <c r="K41" s="238" t="str">
        <f t="shared" si="2"/>
        <v/>
      </c>
      <c r="L41" s="238" t="str">
        <f t="shared" si="3"/>
        <v/>
      </c>
      <c r="M41" s="238" t="str">
        <f t="shared" si="4"/>
        <v/>
      </c>
      <c r="N41" s="238" t="str">
        <f t="shared" si="5"/>
        <v/>
      </c>
      <c r="O41" s="238" t="str">
        <f t="shared" si="6"/>
        <v/>
      </c>
      <c r="P41" s="237" t="str">
        <f>IFERROR(__xludf.DUMMYFUNCTION("IF(ISBLANK(H41),,IF(IFNA(MATCH(H41,SPLIT(Circuits!$S$2,"";""&amp;CHAR(10)),0),0),FALSE,TRUE))"),"")</f>
        <v/>
      </c>
      <c r="Q41" s="237" t="str">
        <f>IF(ISBLANK(H41),,IFNA(VLOOKUP(H41, Circuits!A:U, 21, FALSE),))</f>
        <v/>
      </c>
      <c r="R41" s="238" t="str">
        <f t="shared" si="7"/>
        <v/>
      </c>
      <c r="S41" s="237" t="str">
        <f>IF(ISBLANK(H41),,IFNA(VLOOKUP(H41, Circuits!A:V, 22, FALSE),))</f>
        <v/>
      </c>
      <c r="T41" s="237" t="str">
        <f>IF(ISBLANK(H41),,IFNA(VLOOKUP(H41, Circuits!A:X, 24, FALSE),))</f>
        <v/>
      </c>
      <c r="V41" s="236" t="str">
        <f>IFERROR(__xludf.DUMMYFUNCTION("IF(ISBLANK(H41),,JOIN("","",H41:T41))"),"")</f>
        <v/>
      </c>
      <c r="W41" s="229" t="str">
        <f t="shared" si="1"/>
        <v/>
      </c>
    </row>
    <row r="42">
      <c r="H42" s="237"/>
      <c r="I42" s="237" t="str">
        <f>IFERROR(__xludf.DUMMYFUNCTION("IF(ISBLANK(H42),,IFNA(""""""""&amp;JOIN("","",INDEX(FILTER(A:D,A:A=H42),0,4))&amp;"""""""",))"),"")</f>
        <v/>
      </c>
      <c r="J42" s="237" t="str">
        <f>IF(ISBLANK(H42),,IFNA(VLOOKUP(H42, Circuits!A:W, 23, FALSE),))</f>
        <v/>
      </c>
      <c r="K42" s="238" t="str">
        <f t="shared" si="2"/>
        <v/>
      </c>
      <c r="L42" s="238" t="str">
        <f t="shared" si="3"/>
        <v/>
      </c>
      <c r="M42" s="238" t="str">
        <f t="shared" si="4"/>
        <v/>
      </c>
      <c r="N42" s="238" t="str">
        <f t="shared" si="5"/>
        <v/>
      </c>
      <c r="O42" s="238" t="str">
        <f t="shared" si="6"/>
        <v/>
      </c>
      <c r="P42" s="237" t="str">
        <f>IFERROR(__xludf.DUMMYFUNCTION("IF(ISBLANK(H42),,IF(IFNA(MATCH(H42,SPLIT(Circuits!$S$2,"";""&amp;CHAR(10)),0),0),FALSE,TRUE))"),"")</f>
        <v/>
      </c>
      <c r="Q42" s="237" t="str">
        <f>IF(ISBLANK(H42),,IFNA(VLOOKUP(H42, Circuits!A:U, 21, FALSE),))</f>
        <v/>
      </c>
      <c r="R42" s="238" t="str">
        <f t="shared" si="7"/>
        <v/>
      </c>
      <c r="S42" s="237" t="str">
        <f>IF(ISBLANK(H42),,IFNA(VLOOKUP(H42, Circuits!A:V, 22, FALSE),))</f>
        <v/>
      </c>
      <c r="T42" s="237" t="str">
        <f>IF(ISBLANK(H42),,IFNA(VLOOKUP(H42, Circuits!A:X, 24, FALSE),))</f>
        <v/>
      </c>
      <c r="V42" s="236" t="str">
        <f>IFERROR(__xludf.DUMMYFUNCTION("IF(ISBLANK(H42),,JOIN("","",H42:T42))"),"")</f>
        <v/>
      </c>
      <c r="W42" s="229" t="str">
        <f t="shared" si="1"/>
        <v/>
      </c>
    </row>
    <row r="43">
      <c r="H43" s="237"/>
      <c r="I43" s="237" t="str">
        <f>IFERROR(__xludf.DUMMYFUNCTION("IF(ISBLANK(H43),,IFNA(""""""""&amp;JOIN("","",INDEX(FILTER(A:D,A:A=H43),0,4))&amp;"""""""",))"),"")</f>
        <v/>
      </c>
      <c r="J43" s="237" t="str">
        <f>IF(ISBLANK(H43),,IFNA(VLOOKUP(H43, Circuits!A:W, 23, FALSE),))</f>
        <v/>
      </c>
      <c r="K43" s="238" t="str">
        <f t="shared" si="2"/>
        <v/>
      </c>
      <c r="L43" s="238" t="str">
        <f t="shared" si="3"/>
        <v/>
      </c>
      <c r="M43" s="238" t="str">
        <f t="shared" si="4"/>
        <v/>
      </c>
      <c r="N43" s="238" t="str">
        <f t="shared" si="5"/>
        <v/>
      </c>
      <c r="O43" s="238" t="str">
        <f t="shared" si="6"/>
        <v/>
      </c>
      <c r="P43" s="237" t="str">
        <f>IFERROR(__xludf.DUMMYFUNCTION("IF(ISBLANK(H43),,IF(IFNA(MATCH(H43,SPLIT(Circuits!$S$2,"";""&amp;CHAR(10)),0),0),FALSE,TRUE))"),"")</f>
        <v/>
      </c>
      <c r="Q43" s="237" t="str">
        <f>IF(ISBLANK(H43),,IFNA(VLOOKUP(H43, Circuits!A:U, 21, FALSE),))</f>
        <v/>
      </c>
      <c r="R43" s="238" t="str">
        <f t="shared" si="7"/>
        <v/>
      </c>
      <c r="S43" s="237" t="str">
        <f>IF(ISBLANK(H43),,IFNA(VLOOKUP(H43, Circuits!A:V, 22, FALSE),))</f>
        <v/>
      </c>
      <c r="T43" s="237" t="str">
        <f>IF(ISBLANK(H43),,IFNA(VLOOKUP(H43, Circuits!A:X, 24, FALSE),))</f>
        <v/>
      </c>
      <c r="V43" s="236" t="str">
        <f>IFERROR(__xludf.DUMMYFUNCTION("IF(ISBLANK(H43),,JOIN("","",H43:T43))"),"")</f>
        <v/>
      </c>
      <c r="W43" s="229" t="str">
        <f t="shared" si="1"/>
        <v/>
      </c>
    </row>
    <row r="44">
      <c r="H44" s="237"/>
      <c r="I44" s="237" t="str">
        <f>IFERROR(__xludf.DUMMYFUNCTION("IF(ISBLANK(H44),,IFNA(""""""""&amp;JOIN("","",INDEX(FILTER(A:D,A:A=H44),0,4))&amp;"""""""",))"),"")</f>
        <v/>
      </c>
      <c r="J44" s="237" t="str">
        <f>IF(ISBLANK(H44),,IFNA(VLOOKUP(H44, Circuits!A:W, 23, FALSE),))</f>
        <v/>
      </c>
      <c r="K44" s="238" t="str">
        <f t="shared" si="2"/>
        <v/>
      </c>
      <c r="L44" s="238" t="str">
        <f t="shared" si="3"/>
        <v/>
      </c>
      <c r="M44" s="238" t="str">
        <f t="shared" si="4"/>
        <v/>
      </c>
      <c r="N44" s="238" t="str">
        <f t="shared" si="5"/>
        <v/>
      </c>
      <c r="O44" s="238" t="str">
        <f t="shared" si="6"/>
        <v/>
      </c>
      <c r="P44" s="237" t="str">
        <f>IFERROR(__xludf.DUMMYFUNCTION("IF(ISBLANK(H44),,IF(IFNA(MATCH(H44,SPLIT(Circuits!$S$2,"";""&amp;CHAR(10)),0),0),FALSE,TRUE))"),"")</f>
        <v/>
      </c>
      <c r="Q44" s="237" t="str">
        <f>IF(ISBLANK(H44),,IFNA(VLOOKUP(H44, Circuits!A:U, 21, FALSE),))</f>
        <v/>
      </c>
      <c r="R44" s="238" t="str">
        <f t="shared" si="7"/>
        <v/>
      </c>
      <c r="S44" s="237" t="str">
        <f>IF(ISBLANK(H44),,IFNA(VLOOKUP(H44, Circuits!A:V, 22, FALSE),))</f>
        <v/>
      </c>
      <c r="T44" s="237" t="str">
        <f>IF(ISBLANK(H44),,IFNA(VLOOKUP(H44, Circuits!A:X, 24, FALSE),))</f>
        <v/>
      </c>
      <c r="V44" s="236" t="str">
        <f>IFERROR(__xludf.DUMMYFUNCTION("IF(ISBLANK(H44),,JOIN("","",H44:T44))"),"")</f>
        <v/>
      </c>
      <c r="W44" s="229" t="str">
        <f t="shared" si="1"/>
        <v/>
      </c>
    </row>
    <row r="45">
      <c r="H45" s="237"/>
      <c r="I45" s="237" t="str">
        <f>IFERROR(__xludf.DUMMYFUNCTION("IF(ISBLANK(H45),,IFNA(""""""""&amp;JOIN("","",INDEX(FILTER(A:D,A:A=H45),0,4))&amp;"""""""",))"),"")</f>
        <v/>
      </c>
      <c r="J45" s="237" t="str">
        <f>IF(ISBLANK(H45),,IFNA(VLOOKUP(H45, Circuits!A:W, 23, FALSE),))</f>
        <v/>
      </c>
      <c r="K45" s="238" t="str">
        <f t="shared" si="2"/>
        <v/>
      </c>
      <c r="L45" s="238" t="str">
        <f t="shared" si="3"/>
        <v/>
      </c>
      <c r="M45" s="238" t="str">
        <f t="shared" si="4"/>
        <v/>
      </c>
      <c r="N45" s="238" t="str">
        <f t="shared" si="5"/>
        <v/>
      </c>
      <c r="O45" s="238" t="str">
        <f t="shared" si="6"/>
        <v/>
      </c>
      <c r="P45" s="237" t="str">
        <f>IFERROR(__xludf.DUMMYFUNCTION("IF(ISBLANK(H45),,IF(IFNA(MATCH(H45,SPLIT(Circuits!$S$2,"";""&amp;CHAR(10)),0),0),FALSE,TRUE))"),"")</f>
        <v/>
      </c>
      <c r="Q45" s="237" t="str">
        <f>IF(ISBLANK(H45),,IFNA(VLOOKUP(H45, Circuits!A:U, 21, FALSE),))</f>
        <v/>
      </c>
      <c r="R45" s="238" t="str">
        <f t="shared" si="7"/>
        <v/>
      </c>
      <c r="S45" s="237" t="str">
        <f>IF(ISBLANK(H45),,IFNA(VLOOKUP(H45, Circuits!A:V, 22, FALSE),))</f>
        <v/>
      </c>
      <c r="T45" s="237" t="str">
        <f>IF(ISBLANK(H45),,IFNA(VLOOKUP(H45, Circuits!A:X, 24, FALSE),))</f>
        <v/>
      </c>
      <c r="V45" s="236" t="str">
        <f>IFERROR(__xludf.DUMMYFUNCTION("IF(ISBLANK(H45),,JOIN("","",H45:T45))"),"")</f>
        <v/>
      </c>
      <c r="W45" s="229" t="str">
        <f t="shared" si="1"/>
        <v/>
      </c>
    </row>
    <row r="46">
      <c r="H46" s="237"/>
      <c r="I46" s="237" t="str">
        <f>IFERROR(__xludf.DUMMYFUNCTION("IF(ISBLANK(H46),,IFNA(""""""""&amp;JOIN("","",INDEX(FILTER(A:D,A:A=H46),0,4))&amp;"""""""",))"),"")</f>
        <v/>
      </c>
      <c r="J46" s="237" t="str">
        <f>IF(ISBLANK(H46),,IFNA(VLOOKUP(H46, Circuits!A:W, 23, FALSE),))</f>
        <v/>
      </c>
      <c r="K46" s="238" t="str">
        <f t="shared" si="2"/>
        <v/>
      </c>
      <c r="L46" s="238" t="str">
        <f t="shared" si="3"/>
        <v/>
      </c>
      <c r="M46" s="238" t="str">
        <f t="shared" si="4"/>
        <v/>
      </c>
      <c r="N46" s="238" t="str">
        <f t="shared" si="5"/>
        <v/>
      </c>
      <c r="O46" s="238" t="str">
        <f t="shared" si="6"/>
        <v/>
      </c>
      <c r="P46" s="237" t="str">
        <f>IFERROR(__xludf.DUMMYFUNCTION("IF(ISBLANK(H46),,IF(IFNA(MATCH(H46,SPLIT(Circuits!$S$2,"";""&amp;CHAR(10)),0),0),FALSE,TRUE))"),"")</f>
        <v/>
      </c>
      <c r="Q46" s="237" t="str">
        <f>IF(ISBLANK(H46),,IFNA(VLOOKUP(H46, Circuits!A:U, 21, FALSE),))</f>
        <v/>
      </c>
      <c r="R46" s="238" t="str">
        <f t="shared" si="7"/>
        <v/>
      </c>
      <c r="S46" s="237" t="str">
        <f>IF(ISBLANK(H46),,IFNA(VLOOKUP(H46, Circuits!A:V, 22, FALSE),))</f>
        <v/>
      </c>
      <c r="T46" s="237" t="str">
        <f>IF(ISBLANK(H46),,IFNA(VLOOKUP(H46, Circuits!A:X, 24, FALSE),))</f>
        <v/>
      </c>
      <c r="V46" s="236" t="str">
        <f>IFERROR(__xludf.DUMMYFUNCTION("IF(ISBLANK(H46),,JOIN("","",H46:T46))"),"")</f>
        <v/>
      </c>
      <c r="W46" s="229" t="str">
        <f t="shared" si="1"/>
        <v/>
      </c>
    </row>
    <row r="47">
      <c r="H47" s="237"/>
      <c r="I47" s="237" t="str">
        <f>IFERROR(__xludf.DUMMYFUNCTION("IF(ISBLANK(H47),,IFNA(""""""""&amp;JOIN("","",INDEX(FILTER(A:D,A:A=H47),0,4))&amp;"""""""",))"),"")</f>
        <v/>
      </c>
      <c r="J47" s="237" t="str">
        <f>IF(ISBLANK(H47),,IFNA(VLOOKUP(H47, Circuits!A:W, 23, FALSE),))</f>
        <v/>
      </c>
      <c r="K47" s="238" t="str">
        <f t="shared" si="2"/>
        <v/>
      </c>
      <c r="L47" s="238" t="str">
        <f t="shared" si="3"/>
        <v/>
      </c>
      <c r="M47" s="238" t="str">
        <f t="shared" si="4"/>
        <v/>
      </c>
      <c r="N47" s="238" t="str">
        <f t="shared" si="5"/>
        <v/>
      </c>
      <c r="O47" s="238" t="str">
        <f t="shared" si="6"/>
        <v/>
      </c>
      <c r="P47" s="237" t="str">
        <f>IFERROR(__xludf.DUMMYFUNCTION("IF(ISBLANK(H47),,IF(IFNA(MATCH(H47,SPLIT(Circuits!$S$2,"";""&amp;CHAR(10)),0),0),FALSE,TRUE))"),"")</f>
        <v/>
      </c>
      <c r="Q47" s="237" t="str">
        <f>IF(ISBLANK(H47),,IFNA(VLOOKUP(H47, Circuits!A:U, 21, FALSE),))</f>
        <v/>
      </c>
      <c r="R47" s="238" t="str">
        <f t="shared" si="7"/>
        <v/>
      </c>
      <c r="S47" s="237" t="str">
        <f>IF(ISBLANK(H47),,IFNA(VLOOKUP(H47, Circuits!A:V, 22, FALSE),))</f>
        <v/>
      </c>
      <c r="T47" s="237" t="str">
        <f>IF(ISBLANK(H47),,IFNA(VLOOKUP(H47, Circuits!A:X, 24, FALSE),))</f>
        <v/>
      </c>
      <c r="V47" s="236" t="str">
        <f>IFERROR(__xludf.DUMMYFUNCTION("IF(ISBLANK(H47),,JOIN("","",H47:T47))"),"")</f>
        <v/>
      </c>
      <c r="W47" s="229" t="str">
        <f t="shared" si="1"/>
        <v/>
      </c>
    </row>
    <row r="48">
      <c r="H48" s="237"/>
      <c r="I48" s="237" t="str">
        <f>IFERROR(__xludf.DUMMYFUNCTION("IF(ISBLANK(H48),,IFNA(""""""""&amp;JOIN("","",INDEX(FILTER(A:D,A:A=H48),0,4))&amp;"""""""",))"),"")</f>
        <v/>
      </c>
      <c r="J48" s="237" t="str">
        <f>IF(ISBLANK(H48),,IFNA(VLOOKUP(H48, Circuits!A:W, 23, FALSE),))</f>
        <v/>
      </c>
      <c r="K48" s="238" t="str">
        <f t="shared" si="2"/>
        <v/>
      </c>
      <c r="L48" s="238" t="str">
        <f t="shared" si="3"/>
        <v/>
      </c>
      <c r="M48" s="238" t="str">
        <f t="shared" si="4"/>
        <v/>
      </c>
      <c r="N48" s="238" t="str">
        <f t="shared" si="5"/>
        <v/>
      </c>
      <c r="O48" s="238" t="str">
        <f t="shared" si="6"/>
        <v/>
      </c>
      <c r="P48" s="237" t="str">
        <f>IFERROR(__xludf.DUMMYFUNCTION("IF(ISBLANK(H48),,IF(IFNA(MATCH(H48,SPLIT(Circuits!$S$2,"";""&amp;CHAR(10)),0),0),FALSE,TRUE))"),"")</f>
        <v/>
      </c>
      <c r="Q48" s="237" t="str">
        <f>IF(ISBLANK(H48),,IFNA(VLOOKUP(H48, Circuits!A:U, 21, FALSE),))</f>
        <v/>
      </c>
      <c r="R48" s="238" t="str">
        <f t="shared" si="7"/>
        <v/>
      </c>
      <c r="S48" s="237" t="str">
        <f>IF(ISBLANK(H48),,IFNA(VLOOKUP(H48, Circuits!A:V, 22, FALSE),))</f>
        <v/>
      </c>
      <c r="T48" s="237" t="str">
        <f>IF(ISBLANK(H48),,IFNA(VLOOKUP(H48, Circuits!A:X, 24, FALSE),))</f>
        <v/>
      </c>
      <c r="V48" s="236" t="str">
        <f>IFERROR(__xludf.DUMMYFUNCTION("IF(ISBLANK(H48),,JOIN("","",H48:T48))"),"")</f>
        <v/>
      </c>
      <c r="W48" s="229" t="str">
        <f t="shared" si="1"/>
        <v/>
      </c>
    </row>
    <row r="49">
      <c r="H49" s="237"/>
      <c r="I49" s="237" t="str">
        <f>IFERROR(__xludf.DUMMYFUNCTION("IF(ISBLANK(H49),,IFNA(""""""""&amp;JOIN("","",INDEX(FILTER(A:D,A:A=H49),0,4))&amp;"""""""",))"),"")</f>
        <v/>
      </c>
      <c r="J49" s="237" t="str">
        <f>IF(ISBLANK(H49),,IFNA(VLOOKUP(H49, Circuits!A:W, 23, FALSE),))</f>
        <v/>
      </c>
      <c r="K49" s="238" t="str">
        <f t="shared" si="2"/>
        <v/>
      </c>
      <c r="L49" s="238" t="str">
        <f t="shared" si="3"/>
        <v/>
      </c>
      <c r="M49" s="238" t="str">
        <f t="shared" si="4"/>
        <v/>
      </c>
      <c r="N49" s="238" t="str">
        <f t="shared" si="5"/>
        <v/>
      </c>
      <c r="O49" s="238" t="str">
        <f t="shared" si="6"/>
        <v/>
      </c>
      <c r="P49" s="237" t="str">
        <f>IFERROR(__xludf.DUMMYFUNCTION("IF(ISBLANK(H49),,IF(IFNA(MATCH(H49,SPLIT(Circuits!$S$2,"";""&amp;CHAR(10)),0),0),FALSE,TRUE))"),"")</f>
        <v/>
      </c>
      <c r="Q49" s="237" t="str">
        <f>IF(ISBLANK(H49),,IFNA(VLOOKUP(H49, Circuits!A:U, 21, FALSE),))</f>
        <v/>
      </c>
      <c r="R49" s="238" t="str">
        <f t="shared" si="7"/>
        <v/>
      </c>
      <c r="S49" s="237" t="str">
        <f>IF(ISBLANK(H49),,IFNA(VLOOKUP(H49, Circuits!A:V, 22, FALSE),))</f>
        <v/>
      </c>
      <c r="T49" s="237" t="str">
        <f>IF(ISBLANK(H49),,IFNA(VLOOKUP(H49, Circuits!A:X, 24, FALSE),))</f>
        <v/>
      </c>
      <c r="V49" s="236" t="str">
        <f>IFERROR(__xludf.DUMMYFUNCTION("IF(ISBLANK(H49),,JOIN("","",H49:T49))"),"")</f>
        <v/>
      </c>
      <c r="W49" s="229" t="str">
        <f t="shared" si="1"/>
        <v/>
      </c>
    </row>
    <row r="50">
      <c r="H50" s="237"/>
      <c r="I50" s="237" t="str">
        <f>IFERROR(__xludf.DUMMYFUNCTION("IF(ISBLANK(H50),,IFNA(""""""""&amp;JOIN("","",INDEX(FILTER(A:D,A:A=H50),0,4))&amp;"""""""",))"),"")</f>
        <v/>
      </c>
      <c r="J50" s="237" t="str">
        <f>IF(ISBLANK(H50),,IFNA(VLOOKUP(H50, Circuits!A:W, 23, FALSE),))</f>
        <v/>
      </c>
      <c r="K50" s="238" t="str">
        <f t="shared" si="2"/>
        <v/>
      </c>
      <c r="L50" s="238" t="str">
        <f t="shared" si="3"/>
        <v/>
      </c>
      <c r="M50" s="238" t="str">
        <f t="shared" si="4"/>
        <v/>
      </c>
      <c r="N50" s="238" t="str">
        <f t="shared" si="5"/>
        <v/>
      </c>
      <c r="O50" s="238" t="str">
        <f t="shared" si="6"/>
        <v/>
      </c>
      <c r="P50" s="237" t="str">
        <f>IFERROR(__xludf.DUMMYFUNCTION("IF(ISBLANK(H50),,IF(IFNA(MATCH(H50,SPLIT(Circuits!$S$2,"";""&amp;CHAR(10)),0),0),FALSE,TRUE))"),"")</f>
        <v/>
      </c>
      <c r="Q50" s="237" t="str">
        <f>IF(ISBLANK(H50),,IFNA(VLOOKUP(H50, Circuits!A:U, 21, FALSE),))</f>
        <v/>
      </c>
      <c r="R50" s="238" t="str">
        <f t="shared" si="7"/>
        <v/>
      </c>
      <c r="S50" s="237" t="str">
        <f>IF(ISBLANK(H50),,IFNA(VLOOKUP(H50, Circuits!A:V, 22, FALSE),))</f>
        <v/>
      </c>
      <c r="T50" s="237" t="str">
        <f>IF(ISBLANK(H50),,IFNA(VLOOKUP(H50, Circuits!A:X, 24, FALSE),))</f>
        <v/>
      </c>
      <c r="V50" s="236" t="str">
        <f>IFERROR(__xludf.DUMMYFUNCTION("IF(ISBLANK(H50),,JOIN("","",H50:T50))"),"")</f>
        <v/>
      </c>
      <c r="W50" s="229" t="str">
        <f t="shared" si="1"/>
        <v/>
      </c>
    </row>
    <row r="51">
      <c r="H51" s="237"/>
      <c r="I51" s="237" t="str">
        <f>IFERROR(__xludf.DUMMYFUNCTION("IF(ISBLANK(H51),,IFNA(""""""""&amp;JOIN("","",INDEX(FILTER(A:D,A:A=H51),0,4))&amp;"""""""",))"),"")</f>
        <v/>
      </c>
      <c r="J51" s="237" t="str">
        <f>IF(ISBLANK(H51),,IFNA(VLOOKUP(H51, Circuits!A:W, 23, FALSE),))</f>
        <v/>
      </c>
      <c r="K51" s="238" t="str">
        <f t="shared" si="2"/>
        <v/>
      </c>
      <c r="L51" s="238" t="str">
        <f t="shared" si="3"/>
        <v/>
      </c>
      <c r="M51" s="238" t="str">
        <f t="shared" si="4"/>
        <v/>
      </c>
      <c r="N51" s="238" t="str">
        <f t="shared" si="5"/>
        <v/>
      </c>
      <c r="O51" s="238" t="str">
        <f t="shared" si="6"/>
        <v/>
      </c>
      <c r="P51" s="237" t="str">
        <f>IFERROR(__xludf.DUMMYFUNCTION("IF(ISBLANK(H51),,IF(IFNA(MATCH(H51,SPLIT(Circuits!$S$2,"";""&amp;CHAR(10)),0),0),FALSE,TRUE))"),"")</f>
        <v/>
      </c>
      <c r="Q51" s="237" t="str">
        <f>IF(ISBLANK(H51),,IFNA(VLOOKUP(H51, Circuits!A:U, 21, FALSE),))</f>
        <v/>
      </c>
      <c r="R51" s="238" t="str">
        <f t="shared" si="7"/>
        <v/>
      </c>
      <c r="S51" s="237" t="str">
        <f>IF(ISBLANK(H51),,IFNA(VLOOKUP(H51, Circuits!A:V, 22, FALSE),))</f>
        <v/>
      </c>
      <c r="T51" s="237" t="str">
        <f>IF(ISBLANK(H51),,IFNA(VLOOKUP(H51, Circuits!A:X, 24, FALSE),))</f>
        <v/>
      </c>
      <c r="V51" s="236" t="str">
        <f>IFERROR(__xludf.DUMMYFUNCTION("IF(ISBLANK(H51),,JOIN("","",H51:T51))"),"")</f>
        <v/>
      </c>
      <c r="W51" s="229" t="str">
        <f t="shared" si="1"/>
        <v/>
      </c>
    </row>
    <row r="52">
      <c r="H52" s="237"/>
      <c r="I52" s="237" t="str">
        <f>IFERROR(__xludf.DUMMYFUNCTION("IF(ISBLANK(H52),,IFNA(""""""""&amp;JOIN("","",INDEX(FILTER(A:D,A:A=H52),0,4))&amp;"""""""",))"),"")</f>
        <v/>
      </c>
      <c r="J52" s="237" t="str">
        <f>IF(ISBLANK(H52),,IFNA(VLOOKUP(H52, Circuits!A:W, 23, FALSE),))</f>
        <v/>
      </c>
      <c r="K52" s="238" t="str">
        <f t="shared" si="2"/>
        <v/>
      </c>
      <c r="L52" s="238" t="str">
        <f t="shared" si="3"/>
        <v/>
      </c>
      <c r="M52" s="238" t="str">
        <f t="shared" si="4"/>
        <v/>
      </c>
      <c r="N52" s="238" t="str">
        <f t="shared" si="5"/>
        <v/>
      </c>
      <c r="O52" s="238" t="str">
        <f t="shared" si="6"/>
        <v/>
      </c>
      <c r="P52" s="237" t="str">
        <f>IFERROR(__xludf.DUMMYFUNCTION("IF(ISBLANK(H52),,IF(IFNA(MATCH(H52,SPLIT(Circuits!$S$2,"";""&amp;CHAR(10)),0),0),FALSE,TRUE))"),"")</f>
        <v/>
      </c>
      <c r="Q52" s="237" t="str">
        <f>IF(ISBLANK(H52),,IFNA(VLOOKUP(H52, Circuits!A:U, 21, FALSE),))</f>
        <v/>
      </c>
      <c r="R52" s="238" t="str">
        <f t="shared" si="7"/>
        <v/>
      </c>
      <c r="S52" s="237" t="str">
        <f>IF(ISBLANK(H52),,IFNA(VLOOKUP(H52, Circuits!A:V, 22, FALSE),))</f>
        <v/>
      </c>
      <c r="T52" s="237" t="str">
        <f>IF(ISBLANK(H52),,IFNA(VLOOKUP(H52, Circuits!A:X, 24, FALSE),))</f>
        <v/>
      </c>
      <c r="V52" s="236" t="str">
        <f>IFERROR(__xludf.DUMMYFUNCTION("IF(ISBLANK(H52),,JOIN("","",H52:T52))"),"")</f>
        <v/>
      </c>
      <c r="W52" s="229" t="str">
        <f t="shared" si="1"/>
        <v/>
      </c>
    </row>
    <row r="53">
      <c r="H53" s="237"/>
      <c r="I53" s="237" t="str">
        <f>IFERROR(__xludf.DUMMYFUNCTION("IF(ISBLANK(H53),,IFNA(""""""""&amp;JOIN("","",INDEX(FILTER(A:D,A:A=H53),0,4))&amp;"""""""",))"),"")</f>
        <v/>
      </c>
      <c r="J53" s="237" t="str">
        <f>IF(ISBLANK(H53),,IFNA(VLOOKUP(H53, Circuits!A:W, 23, FALSE),))</f>
        <v/>
      </c>
      <c r="K53" s="238" t="str">
        <f t="shared" si="2"/>
        <v/>
      </c>
      <c r="L53" s="238" t="str">
        <f t="shared" si="3"/>
        <v/>
      </c>
      <c r="M53" s="238" t="str">
        <f t="shared" si="4"/>
        <v/>
      </c>
      <c r="N53" s="238" t="str">
        <f t="shared" si="5"/>
        <v/>
      </c>
      <c r="O53" s="238" t="str">
        <f t="shared" si="6"/>
        <v/>
      </c>
      <c r="P53" s="237" t="str">
        <f>IFERROR(__xludf.DUMMYFUNCTION("IF(ISBLANK(H53),,IF(IFNA(MATCH(H53,SPLIT(Circuits!$S$2,"";""&amp;CHAR(10)),0),0),FALSE,TRUE))"),"")</f>
        <v/>
      </c>
      <c r="Q53" s="237" t="str">
        <f>IF(ISBLANK(H53),,IFNA(VLOOKUP(H53, Circuits!A:U, 21, FALSE),))</f>
        <v/>
      </c>
      <c r="R53" s="238" t="str">
        <f t="shared" si="7"/>
        <v/>
      </c>
      <c r="S53" s="237" t="str">
        <f>IF(ISBLANK(H53),,IFNA(VLOOKUP(H53, Circuits!A:V, 22, FALSE),))</f>
        <v/>
      </c>
      <c r="T53" s="237" t="str">
        <f>IF(ISBLANK(H53),,IFNA(VLOOKUP(H53, Circuits!A:X, 24, FALSE),))</f>
        <v/>
      </c>
      <c r="V53" s="236" t="str">
        <f>IFERROR(__xludf.DUMMYFUNCTION("IF(ISBLANK(H53),,JOIN("","",H53:T53))"),"")</f>
        <v/>
      </c>
      <c r="W53" s="229" t="str">
        <f t="shared" si="1"/>
        <v/>
      </c>
    </row>
    <row r="54">
      <c r="H54" s="237"/>
      <c r="I54" s="237" t="str">
        <f>IFERROR(__xludf.DUMMYFUNCTION("IF(ISBLANK(H54),,IFNA(""""""""&amp;JOIN("","",INDEX(FILTER(A:D,A:A=H54),0,4))&amp;"""""""",))"),"")</f>
        <v/>
      </c>
      <c r="J54" s="237" t="str">
        <f>IF(ISBLANK(H54),,IFNA(VLOOKUP(H54, Circuits!A:W, 23, FALSE),))</f>
        <v/>
      </c>
      <c r="K54" s="238" t="str">
        <f t="shared" si="2"/>
        <v/>
      </c>
      <c r="L54" s="238" t="str">
        <f t="shared" si="3"/>
        <v/>
      </c>
      <c r="M54" s="238" t="str">
        <f t="shared" si="4"/>
        <v/>
      </c>
      <c r="N54" s="238" t="str">
        <f t="shared" si="5"/>
        <v/>
      </c>
      <c r="O54" s="238" t="str">
        <f t="shared" si="6"/>
        <v/>
      </c>
      <c r="P54" s="237" t="str">
        <f>IFERROR(__xludf.DUMMYFUNCTION("IF(ISBLANK(H54),,IF(IFNA(MATCH(H54,SPLIT(Circuits!$S$2,"";""&amp;CHAR(10)),0),0),FALSE,TRUE))"),"")</f>
        <v/>
      </c>
      <c r="Q54" s="237" t="str">
        <f>IF(ISBLANK(H54),,IFNA(VLOOKUP(H54, Circuits!A:U, 21, FALSE),))</f>
        <v/>
      </c>
      <c r="R54" s="238" t="str">
        <f t="shared" si="7"/>
        <v/>
      </c>
      <c r="S54" s="237" t="str">
        <f>IF(ISBLANK(H54),,IFNA(VLOOKUP(H54, Circuits!A:V, 22, FALSE),))</f>
        <v/>
      </c>
      <c r="T54" s="237" t="str">
        <f>IF(ISBLANK(H54),,IFNA(VLOOKUP(H54, Circuits!A:X, 24, FALSE),))</f>
        <v/>
      </c>
      <c r="V54" s="236" t="str">
        <f>IFERROR(__xludf.DUMMYFUNCTION("IF(ISBLANK(H54),,JOIN("","",H54:T54))"),"")</f>
        <v/>
      </c>
      <c r="W54" s="229" t="str">
        <f t="shared" si="1"/>
        <v/>
      </c>
    </row>
    <row r="55">
      <c r="H55" s="237"/>
      <c r="I55" s="237" t="str">
        <f>IFERROR(__xludf.DUMMYFUNCTION("IF(ISBLANK(H55),,IFNA(""""""""&amp;JOIN("","",INDEX(FILTER(A:D,A:A=H55),0,4))&amp;"""""""",))"),"")</f>
        <v/>
      </c>
      <c r="J55" s="237" t="str">
        <f>IF(ISBLANK(H55),,IFNA(VLOOKUP(H55, Circuits!A:W, 23, FALSE),))</f>
        <v/>
      </c>
      <c r="K55" s="238" t="str">
        <f t="shared" si="2"/>
        <v/>
      </c>
      <c r="L55" s="238" t="str">
        <f t="shared" si="3"/>
        <v/>
      </c>
      <c r="M55" s="238" t="str">
        <f t="shared" si="4"/>
        <v/>
      </c>
      <c r="N55" s="238" t="str">
        <f t="shared" si="5"/>
        <v/>
      </c>
      <c r="O55" s="238" t="str">
        <f t="shared" si="6"/>
        <v/>
      </c>
      <c r="P55" s="237" t="str">
        <f>IFERROR(__xludf.DUMMYFUNCTION("IF(ISBLANK(H55),,IF(IFNA(MATCH(H55,SPLIT(Circuits!$S$2,"";""&amp;CHAR(10)),0),0),FALSE,TRUE))"),"")</f>
        <v/>
      </c>
      <c r="Q55" s="237" t="str">
        <f>IF(ISBLANK(H55),,IFNA(VLOOKUP(H55, Circuits!A:U, 21, FALSE),))</f>
        <v/>
      </c>
      <c r="R55" s="238" t="str">
        <f t="shared" si="7"/>
        <v/>
      </c>
      <c r="S55" s="237" t="str">
        <f>IF(ISBLANK(H55),,IFNA(VLOOKUP(H55, Circuits!A:V, 22, FALSE),))</f>
        <v/>
      </c>
      <c r="T55" s="237" t="str">
        <f>IF(ISBLANK(H55),,IFNA(VLOOKUP(H55, Circuits!A:X, 24, FALSE),))</f>
        <v/>
      </c>
      <c r="V55" s="236" t="str">
        <f>IFERROR(__xludf.DUMMYFUNCTION("IF(ISBLANK(H55),,JOIN("","",H55:T55))"),"")</f>
        <v/>
      </c>
      <c r="W55" s="229" t="str">
        <f t="shared" si="1"/>
        <v/>
      </c>
    </row>
    <row r="56">
      <c r="H56" s="237"/>
      <c r="I56" s="237" t="str">
        <f>IFERROR(__xludf.DUMMYFUNCTION("IF(ISBLANK(H56),,IFNA(""""""""&amp;JOIN("","",INDEX(FILTER(A:D,A:A=H56),0,4))&amp;"""""""",))"),"")</f>
        <v/>
      </c>
      <c r="J56" s="237" t="str">
        <f>IF(ISBLANK(H56),,IFNA(VLOOKUP(H56, Circuits!A:W, 23, FALSE),))</f>
        <v/>
      </c>
      <c r="K56" s="238" t="str">
        <f t="shared" si="2"/>
        <v/>
      </c>
      <c r="L56" s="238" t="str">
        <f t="shared" si="3"/>
        <v/>
      </c>
      <c r="M56" s="238" t="str">
        <f t="shared" si="4"/>
        <v/>
      </c>
      <c r="N56" s="238" t="str">
        <f t="shared" si="5"/>
        <v/>
      </c>
      <c r="O56" s="238" t="str">
        <f t="shared" si="6"/>
        <v/>
      </c>
      <c r="P56" s="237" t="str">
        <f>IFERROR(__xludf.DUMMYFUNCTION("IF(ISBLANK(H56),,IF(IFNA(MATCH(H56,SPLIT(Circuits!$S$2,"";""&amp;CHAR(10)),0),0),FALSE,TRUE))"),"")</f>
        <v/>
      </c>
      <c r="Q56" s="237" t="str">
        <f>IF(ISBLANK(H56),,IFNA(VLOOKUP(H56, Circuits!A:U, 21, FALSE),))</f>
        <v/>
      </c>
      <c r="R56" s="238" t="str">
        <f t="shared" si="7"/>
        <v/>
      </c>
      <c r="S56" s="237" t="str">
        <f>IF(ISBLANK(H56),,IFNA(VLOOKUP(H56, Circuits!A:V, 22, FALSE),))</f>
        <v/>
      </c>
      <c r="T56" s="237" t="str">
        <f>IF(ISBLANK(H56),,IFNA(VLOOKUP(H56, Circuits!A:X, 24, FALSE),))</f>
        <v/>
      </c>
      <c r="V56" s="236" t="str">
        <f>IFERROR(__xludf.DUMMYFUNCTION("IF(ISBLANK(H56),,JOIN("","",H56:T56))"),"")</f>
        <v/>
      </c>
      <c r="W56" s="229" t="str">
        <f t="shared" si="1"/>
        <v/>
      </c>
    </row>
    <row r="57">
      <c r="H57" s="237"/>
      <c r="I57" s="237" t="str">
        <f>IFERROR(__xludf.DUMMYFUNCTION("IF(ISBLANK(H57),,IFNA(""""""""&amp;JOIN("","",INDEX(FILTER(A:D,A:A=H57),0,4))&amp;"""""""",))"),"")</f>
        <v/>
      </c>
      <c r="J57" s="237" t="str">
        <f>IF(ISBLANK(H57),,IFNA(VLOOKUP(H57, Circuits!A:W, 23, FALSE),))</f>
        <v/>
      </c>
      <c r="K57" s="238" t="str">
        <f t="shared" si="2"/>
        <v/>
      </c>
      <c r="L57" s="238" t="str">
        <f t="shared" si="3"/>
        <v/>
      </c>
      <c r="M57" s="238" t="str">
        <f t="shared" si="4"/>
        <v/>
      </c>
      <c r="N57" s="238" t="str">
        <f t="shared" si="5"/>
        <v/>
      </c>
      <c r="O57" s="238" t="str">
        <f t="shared" si="6"/>
        <v/>
      </c>
      <c r="P57" s="237" t="str">
        <f>IFERROR(__xludf.DUMMYFUNCTION("IF(ISBLANK(H57),,IF(IFNA(MATCH(H57,SPLIT(Circuits!$S$2,"";""&amp;CHAR(10)),0),0),FALSE,TRUE))"),"")</f>
        <v/>
      </c>
      <c r="Q57" s="237" t="str">
        <f>IF(ISBLANK(H57),,IFNA(VLOOKUP(H57, Circuits!A:U, 21, FALSE),))</f>
        <v/>
      </c>
      <c r="R57" s="238" t="str">
        <f t="shared" si="7"/>
        <v/>
      </c>
      <c r="S57" s="237" t="str">
        <f>IF(ISBLANK(H57),,IFNA(VLOOKUP(H57, Circuits!A:V, 22, FALSE),))</f>
        <v/>
      </c>
      <c r="T57" s="237" t="str">
        <f>IF(ISBLANK(H57),,IFNA(VLOOKUP(H57, Circuits!A:X, 24, FALSE),))</f>
        <v/>
      </c>
      <c r="V57" s="236" t="str">
        <f>IFERROR(__xludf.DUMMYFUNCTION("IF(ISBLANK(H57),,JOIN("","",H57:T57))"),"")</f>
        <v/>
      </c>
      <c r="W57" s="229" t="str">
        <f t="shared" si="1"/>
        <v/>
      </c>
    </row>
    <row r="58">
      <c r="H58" s="237"/>
      <c r="I58" s="237" t="str">
        <f>IFERROR(__xludf.DUMMYFUNCTION("IF(ISBLANK(H58),,IFNA(""""""""&amp;JOIN("","",INDEX(FILTER(A:D,A:A=H58),0,4))&amp;"""""""",))"),"")</f>
        <v/>
      </c>
      <c r="J58" s="237" t="str">
        <f>IF(ISBLANK(H58),,IFNA(VLOOKUP(H58, Circuits!A:W, 23, FALSE),))</f>
        <v/>
      </c>
      <c r="K58" s="238" t="str">
        <f t="shared" si="2"/>
        <v/>
      </c>
      <c r="L58" s="238" t="str">
        <f t="shared" si="3"/>
        <v/>
      </c>
      <c r="M58" s="238" t="str">
        <f t="shared" si="4"/>
        <v/>
      </c>
      <c r="N58" s="238" t="str">
        <f t="shared" si="5"/>
        <v/>
      </c>
      <c r="O58" s="238" t="str">
        <f t="shared" si="6"/>
        <v/>
      </c>
      <c r="P58" s="237" t="str">
        <f>IFERROR(__xludf.DUMMYFUNCTION("IF(ISBLANK(H58),,IF(IFNA(MATCH(H58,SPLIT(Circuits!$S$2,"";""&amp;CHAR(10)),0),0),FALSE,TRUE))"),"")</f>
        <v/>
      </c>
      <c r="Q58" s="237" t="str">
        <f>IF(ISBLANK(H58),,IFNA(VLOOKUP(H58, Circuits!A:U, 21, FALSE),))</f>
        <v/>
      </c>
      <c r="R58" s="238" t="str">
        <f t="shared" si="7"/>
        <v/>
      </c>
      <c r="S58" s="237" t="str">
        <f>IF(ISBLANK(H58),,IFNA(VLOOKUP(H58, Circuits!A:V, 22, FALSE),))</f>
        <v/>
      </c>
      <c r="T58" s="237" t="str">
        <f>IF(ISBLANK(H58),,IFNA(VLOOKUP(H58, Circuits!A:X, 24, FALSE),))</f>
        <v/>
      </c>
      <c r="V58" s="236" t="str">
        <f>IFERROR(__xludf.DUMMYFUNCTION("IF(ISBLANK(H58),,JOIN("","",H58:T58))"),"")</f>
        <v/>
      </c>
      <c r="W58" s="229" t="str">
        <f t="shared" si="1"/>
        <v/>
      </c>
    </row>
    <row r="59">
      <c r="H59" s="237"/>
      <c r="I59" s="237" t="str">
        <f>IFERROR(__xludf.DUMMYFUNCTION("IF(ISBLANK(H59),,IFNA(""""""""&amp;JOIN("","",INDEX(FILTER(A:D,A:A=H59),0,4))&amp;"""""""",))"),"")</f>
        <v/>
      </c>
      <c r="J59" s="237" t="str">
        <f>IF(ISBLANK(H59),,IFNA(VLOOKUP(H59, Circuits!A:W, 23, FALSE),))</f>
        <v/>
      </c>
      <c r="K59" s="238" t="str">
        <f t="shared" si="2"/>
        <v/>
      </c>
      <c r="L59" s="238" t="str">
        <f t="shared" si="3"/>
        <v/>
      </c>
      <c r="M59" s="238" t="str">
        <f t="shared" si="4"/>
        <v/>
      </c>
      <c r="N59" s="238" t="str">
        <f t="shared" si="5"/>
        <v/>
      </c>
      <c r="O59" s="238" t="str">
        <f t="shared" si="6"/>
        <v/>
      </c>
      <c r="P59" s="237" t="str">
        <f>IFERROR(__xludf.DUMMYFUNCTION("IF(ISBLANK(H59),,IF(IFNA(MATCH(H59,SPLIT(Circuits!$S$2,"";""&amp;CHAR(10)),0),0),FALSE,TRUE))"),"")</f>
        <v/>
      </c>
      <c r="Q59" s="237" t="str">
        <f>IF(ISBLANK(H59),,IFNA(VLOOKUP(H59, Circuits!A:U, 21, FALSE),))</f>
        <v/>
      </c>
      <c r="R59" s="238" t="str">
        <f t="shared" si="7"/>
        <v/>
      </c>
      <c r="S59" s="237" t="str">
        <f>IF(ISBLANK(H59),,IFNA(VLOOKUP(H59, Circuits!A:V, 22, FALSE),))</f>
        <v/>
      </c>
      <c r="T59" s="237" t="str">
        <f>IF(ISBLANK(H59),,IFNA(VLOOKUP(H59, Circuits!A:X, 24, FALSE),))</f>
        <v/>
      </c>
      <c r="V59" s="236" t="str">
        <f>IFERROR(__xludf.DUMMYFUNCTION("IF(ISBLANK(H59),,JOIN("","",H59:T59))"),"")</f>
        <v/>
      </c>
      <c r="W59" s="229" t="str">
        <f t="shared" si="1"/>
        <v/>
      </c>
    </row>
    <row r="60">
      <c r="H60" s="237"/>
      <c r="I60" s="237" t="str">
        <f>IFERROR(__xludf.DUMMYFUNCTION("IF(ISBLANK(H60),,IFNA(""""""""&amp;JOIN("","",INDEX(FILTER(A:D,A:A=H60),0,4))&amp;"""""""",))"),"")</f>
        <v/>
      </c>
      <c r="J60" s="237" t="str">
        <f>IF(ISBLANK(H60),,IFNA(VLOOKUP(H60, Circuits!A:W, 23, FALSE),))</f>
        <v/>
      </c>
      <c r="K60" s="238" t="str">
        <f t="shared" si="2"/>
        <v/>
      </c>
      <c r="L60" s="238" t="str">
        <f t="shared" si="3"/>
        <v/>
      </c>
      <c r="M60" s="238" t="str">
        <f t="shared" si="4"/>
        <v/>
      </c>
      <c r="N60" s="238" t="str">
        <f t="shared" si="5"/>
        <v/>
      </c>
      <c r="O60" s="238" t="str">
        <f t="shared" si="6"/>
        <v/>
      </c>
      <c r="P60" s="237" t="str">
        <f>IFERROR(__xludf.DUMMYFUNCTION("IF(ISBLANK(H60),,IF(IFNA(MATCH(H60,SPLIT(Circuits!$S$2,"";""&amp;CHAR(10)),0),0),FALSE,TRUE))"),"")</f>
        <v/>
      </c>
      <c r="Q60" s="237" t="str">
        <f>IF(ISBLANK(H60),,IFNA(VLOOKUP(H60, Circuits!A:U, 21, FALSE),))</f>
        <v/>
      </c>
      <c r="R60" s="238" t="str">
        <f t="shared" si="7"/>
        <v/>
      </c>
      <c r="S60" s="237" t="str">
        <f>IF(ISBLANK(H60),,IFNA(VLOOKUP(H60, Circuits!A:V, 22, FALSE),))</f>
        <v/>
      </c>
      <c r="T60" s="237" t="str">
        <f>IF(ISBLANK(H60),,IFNA(VLOOKUP(H60, Circuits!A:X, 24, FALSE),))</f>
        <v/>
      </c>
      <c r="V60" s="236" t="str">
        <f>IFERROR(__xludf.DUMMYFUNCTION("IF(ISBLANK(H60),,JOIN("","",H60:T60))"),"")</f>
        <v/>
      </c>
      <c r="W60" s="229" t="str">
        <f t="shared" si="1"/>
        <v/>
      </c>
    </row>
    <row r="61">
      <c r="H61" s="237"/>
      <c r="I61" s="237" t="str">
        <f>IFERROR(__xludf.DUMMYFUNCTION("IF(ISBLANK(H61),,IFNA(""""""""&amp;JOIN("","",INDEX(FILTER(A:D,A:A=H61),0,4))&amp;"""""""",))"),"")</f>
        <v/>
      </c>
      <c r="J61" s="237" t="str">
        <f>IF(ISBLANK(H61),,IFNA(VLOOKUP(H61, Circuits!A:W, 23, FALSE),))</f>
        <v/>
      </c>
      <c r="K61" s="238" t="str">
        <f t="shared" si="2"/>
        <v/>
      </c>
      <c r="L61" s="238" t="str">
        <f t="shared" si="3"/>
        <v/>
      </c>
      <c r="M61" s="238" t="str">
        <f t="shared" si="4"/>
        <v/>
      </c>
      <c r="N61" s="238" t="str">
        <f t="shared" si="5"/>
        <v/>
      </c>
      <c r="O61" s="238" t="str">
        <f t="shared" si="6"/>
        <v/>
      </c>
      <c r="P61" s="237" t="str">
        <f>IFERROR(__xludf.DUMMYFUNCTION("IF(ISBLANK(H61),,IF(IFNA(MATCH(H61,SPLIT(Circuits!$S$2,"";""&amp;CHAR(10)),0),0),FALSE,TRUE))"),"")</f>
        <v/>
      </c>
      <c r="Q61" s="237" t="str">
        <f>IF(ISBLANK(H61),,IFNA(VLOOKUP(H61, Circuits!A:U, 21, FALSE),))</f>
        <v/>
      </c>
      <c r="R61" s="238" t="str">
        <f t="shared" si="7"/>
        <v/>
      </c>
      <c r="S61" s="237" t="str">
        <f>IF(ISBLANK(H61),,IFNA(VLOOKUP(H61, Circuits!A:V, 22, FALSE),))</f>
        <v/>
      </c>
      <c r="T61" s="237" t="str">
        <f>IF(ISBLANK(H61),,IFNA(VLOOKUP(H61, Circuits!A:X, 24, FALSE),))</f>
        <v/>
      </c>
      <c r="V61" s="236" t="str">
        <f>IFERROR(__xludf.DUMMYFUNCTION("IF(ISBLANK(H61),,JOIN("","",H61:T61))"),"")</f>
        <v/>
      </c>
      <c r="W61" s="229" t="str">
        <f t="shared" si="1"/>
        <v/>
      </c>
    </row>
    <row r="62">
      <c r="H62" s="237"/>
      <c r="I62" s="237" t="str">
        <f>IFERROR(__xludf.DUMMYFUNCTION("IF(ISBLANK(H62),,IFNA(""""""""&amp;JOIN("","",INDEX(FILTER(A:D,A:A=H62),0,4))&amp;"""""""",))"),"")</f>
        <v/>
      </c>
      <c r="J62" s="237" t="str">
        <f>IF(ISBLANK(H62),,IFNA(VLOOKUP(H62, Circuits!A:W, 23, FALSE),))</f>
        <v/>
      </c>
      <c r="K62" s="238" t="str">
        <f t="shared" si="2"/>
        <v/>
      </c>
      <c r="L62" s="238" t="str">
        <f t="shared" si="3"/>
        <v/>
      </c>
      <c r="M62" s="238" t="str">
        <f t="shared" si="4"/>
        <v/>
      </c>
      <c r="N62" s="238" t="str">
        <f t="shared" si="5"/>
        <v/>
      </c>
      <c r="O62" s="238" t="str">
        <f t="shared" si="6"/>
        <v/>
      </c>
      <c r="P62" s="237" t="str">
        <f>IFERROR(__xludf.DUMMYFUNCTION("IF(ISBLANK(H62),,IF(IFNA(MATCH(H62,SPLIT(Circuits!$S$2,"";""&amp;CHAR(10)),0),0),FALSE,TRUE))"),"")</f>
        <v/>
      </c>
      <c r="Q62" s="237" t="str">
        <f>IF(ISBLANK(H62),,IFNA(VLOOKUP(H62, Circuits!A:U, 21, FALSE),))</f>
        <v/>
      </c>
      <c r="R62" s="238" t="str">
        <f t="shared" si="7"/>
        <v/>
      </c>
      <c r="S62" s="237" t="str">
        <f>IF(ISBLANK(H62),,IFNA(VLOOKUP(H62, Circuits!A:V, 22, FALSE),))</f>
        <v/>
      </c>
      <c r="T62" s="237" t="str">
        <f>IF(ISBLANK(H62),,IFNA(VLOOKUP(H62, Circuits!A:X, 24, FALSE),))</f>
        <v/>
      </c>
      <c r="V62" s="236" t="str">
        <f>IFERROR(__xludf.DUMMYFUNCTION("IF(ISBLANK(H62),,JOIN("","",H62:T62))"),"")</f>
        <v/>
      </c>
      <c r="W62" s="229" t="str">
        <f t="shared" si="1"/>
        <v/>
      </c>
    </row>
    <row r="63">
      <c r="H63" s="237"/>
      <c r="I63" s="237" t="str">
        <f>IFERROR(__xludf.DUMMYFUNCTION("IF(ISBLANK(H63),,IFNA(""""""""&amp;JOIN("","",INDEX(FILTER(A:D,A:A=H63),0,4))&amp;"""""""",))"),"")</f>
        <v/>
      </c>
      <c r="J63" s="237" t="str">
        <f>IF(ISBLANK(H63),,IFNA(VLOOKUP(H63, Circuits!A:W, 23, FALSE),))</f>
        <v/>
      </c>
      <c r="K63" s="238" t="str">
        <f t="shared" si="2"/>
        <v/>
      </c>
      <c r="L63" s="238" t="str">
        <f t="shared" si="3"/>
        <v/>
      </c>
      <c r="M63" s="238" t="str">
        <f t="shared" si="4"/>
        <v/>
      </c>
      <c r="N63" s="238" t="str">
        <f t="shared" si="5"/>
        <v/>
      </c>
      <c r="O63" s="238" t="str">
        <f t="shared" si="6"/>
        <v/>
      </c>
      <c r="P63" s="237" t="str">
        <f>IFERROR(__xludf.DUMMYFUNCTION("IF(ISBLANK(H63),,IF(IFNA(MATCH(H63,SPLIT(Circuits!$S$2,"";""&amp;CHAR(10)),0),0),FALSE,TRUE))"),"")</f>
        <v/>
      </c>
      <c r="Q63" s="237" t="str">
        <f>IF(ISBLANK(H63),,IFNA(VLOOKUP(H63, Circuits!A:U, 21, FALSE),))</f>
        <v/>
      </c>
      <c r="R63" s="238" t="str">
        <f t="shared" si="7"/>
        <v/>
      </c>
      <c r="S63" s="237" t="str">
        <f>IF(ISBLANK(H63),,IFNA(VLOOKUP(H63, Circuits!A:V, 22, FALSE),))</f>
        <v/>
      </c>
      <c r="T63" s="237" t="str">
        <f>IF(ISBLANK(H63),,IFNA(VLOOKUP(H63, Circuits!A:X, 24, FALSE),))</f>
        <v/>
      </c>
      <c r="V63" s="236" t="str">
        <f>IFERROR(__xludf.DUMMYFUNCTION("IF(ISBLANK(H63),,JOIN("","",H63:T63))"),"")</f>
        <v/>
      </c>
      <c r="W63" s="229" t="str">
        <f t="shared" si="1"/>
        <v/>
      </c>
    </row>
    <row r="64">
      <c r="H64" s="237"/>
      <c r="I64" s="237" t="str">
        <f>IFERROR(__xludf.DUMMYFUNCTION("IF(ISBLANK(H64),,IFNA(""""""""&amp;JOIN("","",INDEX(FILTER(A:D,A:A=H64),0,4))&amp;"""""""",))"),"")</f>
        <v/>
      </c>
      <c r="J64" s="237" t="str">
        <f>IF(ISBLANK(H64),,IFNA(VLOOKUP(H64, Circuits!A:W, 23, FALSE),))</f>
        <v/>
      </c>
      <c r="K64" s="238" t="str">
        <f t="shared" si="2"/>
        <v/>
      </c>
      <c r="L64" s="238" t="str">
        <f t="shared" si="3"/>
        <v/>
      </c>
      <c r="M64" s="238" t="str">
        <f t="shared" si="4"/>
        <v/>
      </c>
      <c r="N64" s="238" t="str">
        <f t="shared" si="5"/>
        <v/>
      </c>
      <c r="O64" s="238" t="str">
        <f t="shared" si="6"/>
        <v/>
      </c>
      <c r="P64" s="237" t="str">
        <f>IFERROR(__xludf.DUMMYFUNCTION("IF(ISBLANK(H64),,IF(IFNA(MATCH(H64,SPLIT(Circuits!$S$2,"";""&amp;CHAR(10)),0),0),FALSE,TRUE))"),"")</f>
        <v/>
      </c>
      <c r="Q64" s="237" t="str">
        <f>IF(ISBLANK(H64),,IFNA(VLOOKUP(H64, Circuits!A:U, 21, FALSE),))</f>
        <v/>
      </c>
      <c r="R64" s="238" t="str">
        <f t="shared" si="7"/>
        <v/>
      </c>
      <c r="S64" s="237" t="str">
        <f>IF(ISBLANK(H64),,IFNA(VLOOKUP(H64, Circuits!A:V, 22, FALSE),))</f>
        <v/>
      </c>
      <c r="T64" s="237" t="str">
        <f>IF(ISBLANK(H64),,IFNA(VLOOKUP(H64, Circuits!A:X, 24, FALSE),))</f>
        <v/>
      </c>
      <c r="V64" s="236" t="str">
        <f>IFERROR(__xludf.DUMMYFUNCTION("IF(ISBLANK(H64),,JOIN("","",H64:T64))"),"")</f>
        <v/>
      </c>
      <c r="W64" s="229" t="str">
        <f t="shared" si="1"/>
        <v/>
      </c>
    </row>
    <row r="65">
      <c r="H65" s="237"/>
      <c r="I65" s="237" t="str">
        <f>IFERROR(__xludf.DUMMYFUNCTION("IF(ISBLANK(H65),,IFNA(""""""""&amp;JOIN("","",INDEX(FILTER(A:D,A:A=H65),0,4))&amp;"""""""",))"),"")</f>
        <v/>
      </c>
      <c r="J65" s="237" t="str">
        <f>IF(ISBLANK(H65),,IFNA(VLOOKUP(H65, Circuits!A:W, 23, FALSE),))</f>
        <v/>
      </c>
      <c r="K65" s="238" t="str">
        <f t="shared" si="2"/>
        <v/>
      </c>
      <c r="L65" s="238" t="str">
        <f t="shared" si="3"/>
        <v/>
      </c>
      <c r="M65" s="238" t="str">
        <f t="shared" si="4"/>
        <v/>
      </c>
      <c r="N65" s="238" t="str">
        <f t="shared" si="5"/>
        <v/>
      </c>
      <c r="O65" s="238" t="str">
        <f t="shared" si="6"/>
        <v/>
      </c>
      <c r="P65" s="237" t="str">
        <f>IFERROR(__xludf.DUMMYFUNCTION("IF(ISBLANK(H65),,IF(IFNA(MATCH(H65,SPLIT(Circuits!$S$2,"";""&amp;CHAR(10)),0),0),FALSE,TRUE))"),"")</f>
        <v/>
      </c>
      <c r="Q65" s="237" t="str">
        <f>IF(ISBLANK(H65),,IFNA(VLOOKUP(H65, Circuits!A:U, 21, FALSE),))</f>
        <v/>
      </c>
      <c r="R65" s="238" t="str">
        <f t="shared" si="7"/>
        <v/>
      </c>
      <c r="S65" s="237" t="str">
        <f>IF(ISBLANK(H65),,IFNA(VLOOKUP(H65, Circuits!A:V, 22, FALSE),))</f>
        <v/>
      </c>
      <c r="T65" s="237" t="str">
        <f>IF(ISBLANK(H65),,IFNA(VLOOKUP(H65, Circuits!A:X, 24, FALSE),))</f>
        <v/>
      </c>
      <c r="V65" s="236" t="str">
        <f>IFERROR(__xludf.DUMMYFUNCTION("IF(ISBLANK(H65),,JOIN("","",H65:T65))"),"")</f>
        <v/>
      </c>
      <c r="W65" s="229" t="str">
        <f t="shared" si="1"/>
        <v/>
      </c>
    </row>
    <row r="66">
      <c r="H66" s="237"/>
      <c r="I66" s="237" t="str">
        <f>IFERROR(__xludf.DUMMYFUNCTION("IF(ISBLANK(H66),,IFNA(""""""""&amp;JOIN("","",INDEX(FILTER(A:D,A:A=H66),0,4))&amp;"""""""",))"),"")</f>
        <v/>
      </c>
      <c r="J66" s="237" t="str">
        <f>IF(ISBLANK(H66),,IFNA(VLOOKUP(H66, Circuits!A:W, 23, FALSE),))</f>
        <v/>
      </c>
      <c r="K66" s="238" t="str">
        <f t="shared" si="2"/>
        <v/>
      </c>
      <c r="L66" s="238" t="str">
        <f t="shared" si="3"/>
        <v/>
      </c>
      <c r="M66" s="238" t="str">
        <f t="shared" si="4"/>
        <v/>
      </c>
      <c r="N66" s="238" t="str">
        <f t="shared" si="5"/>
        <v/>
      </c>
      <c r="O66" s="238" t="str">
        <f t="shared" si="6"/>
        <v/>
      </c>
      <c r="P66" s="237" t="str">
        <f>IFERROR(__xludf.DUMMYFUNCTION("IF(ISBLANK(H66),,IF(IFNA(MATCH(H66,SPLIT(Circuits!$S$2,"";""&amp;CHAR(10)),0),0),FALSE,TRUE))"),"")</f>
        <v/>
      </c>
      <c r="Q66" s="237" t="str">
        <f>IF(ISBLANK(H66),,IFNA(VLOOKUP(H66, Circuits!A:U, 21, FALSE),))</f>
        <v/>
      </c>
      <c r="R66" s="238" t="str">
        <f t="shared" si="7"/>
        <v/>
      </c>
      <c r="S66" s="237" t="str">
        <f>IF(ISBLANK(H66),,IFNA(VLOOKUP(H66, Circuits!A:V, 22, FALSE),))</f>
        <v/>
      </c>
      <c r="T66" s="237" t="str">
        <f>IF(ISBLANK(H66),,IFNA(VLOOKUP(H66, Circuits!A:X, 24, FALSE),))</f>
        <v/>
      </c>
      <c r="V66" s="236" t="str">
        <f>IFERROR(__xludf.DUMMYFUNCTION("IF(ISBLANK(H66),,JOIN("","",H66:T66))"),"")</f>
        <v/>
      </c>
      <c r="W66" s="229" t="str">
        <f t="shared" si="1"/>
        <v/>
      </c>
    </row>
    <row r="67">
      <c r="H67" s="237"/>
      <c r="I67" s="237" t="str">
        <f>IFERROR(__xludf.DUMMYFUNCTION("IF(ISBLANK(H67),,IFNA(""""""""&amp;JOIN("","",INDEX(FILTER(A:D,A:A=H67),0,4))&amp;"""""""",))"),"")</f>
        <v/>
      </c>
      <c r="J67" s="237" t="str">
        <f>IF(ISBLANK(H67),,IFNA(VLOOKUP(H67, Circuits!A:W, 23, FALSE),))</f>
        <v/>
      </c>
      <c r="K67" s="238" t="str">
        <f t="shared" si="2"/>
        <v/>
      </c>
      <c r="L67" s="238" t="str">
        <f t="shared" si="3"/>
        <v/>
      </c>
      <c r="M67" s="238" t="str">
        <f t="shared" si="4"/>
        <v/>
      </c>
      <c r="N67" s="238" t="str">
        <f t="shared" si="5"/>
        <v/>
      </c>
      <c r="O67" s="238" t="str">
        <f t="shared" si="6"/>
        <v/>
      </c>
      <c r="P67" s="237" t="str">
        <f>IFERROR(__xludf.DUMMYFUNCTION("IF(ISBLANK(H67),,IF(IFNA(MATCH(H67,SPLIT(Circuits!$S$2,"";""&amp;CHAR(10)),0),0),FALSE,TRUE))"),"")</f>
        <v/>
      </c>
      <c r="Q67" s="237" t="str">
        <f>IF(ISBLANK(H67),,IFNA(VLOOKUP(H67, Circuits!A:U, 21, FALSE),))</f>
        <v/>
      </c>
      <c r="R67" s="238" t="str">
        <f t="shared" si="7"/>
        <v/>
      </c>
      <c r="S67" s="237" t="str">
        <f>IF(ISBLANK(H67),,IFNA(VLOOKUP(H67, Circuits!A:V, 22, FALSE),))</f>
        <v/>
      </c>
      <c r="T67" s="237" t="str">
        <f>IF(ISBLANK(H67),,IFNA(VLOOKUP(H67, Circuits!A:X, 24, FALSE),))</f>
        <v/>
      </c>
      <c r="V67" s="236" t="str">
        <f>IFERROR(__xludf.DUMMYFUNCTION("IF(ISBLANK(H67),,JOIN("","",H67:T67))"),"")</f>
        <v/>
      </c>
      <c r="W67" s="229" t="str">
        <f t="shared" si="1"/>
        <v/>
      </c>
    </row>
    <row r="68">
      <c r="H68" s="237"/>
      <c r="I68" s="237" t="str">
        <f>IFERROR(__xludf.DUMMYFUNCTION("IF(ISBLANK(H68),,IFNA(""""""""&amp;JOIN("","",INDEX(FILTER(A:D,A:A=H68),0,4))&amp;"""""""",))"),"")</f>
        <v/>
      </c>
      <c r="J68" s="237" t="str">
        <f>IF(ISBLANK(H68),,IFNA(VLOOKUP(H68, Circuits!A:W, 23, FALSE),))</f>
        <v/>
      </c>
      <c r="K68" s="238" t="str">
        <f t="shared" si="2"/>
        <v/>
      </c>
      <c r="L68" s="238" t="str">
        <f t="shared" si="3"/>
        <v/>
      </c>
      <c r="M68" s="238" t="str">
        <f t="shared" si="4"/>
        <v/>
      </c>
      <c r="N68" s="238" t="str">
        <f t="shared" si="5"/>
        <v/>
      </c>
      <c r="O68" s="238" t="str">
        <f t="shared" si="6"/>
        <v/>
      </c>
      <c r="P68" s="237" t="str">
        <f>IFERROR(__xludf.DUMMYFUNCTION("IF(ISBLANK(H68),,IF(IFNA(MATCH(H68,SPLIT(Circuits!$S$2,"";""&amp;CHAR(10)),0),0),FALSE,TRUE))"),"")</f>
        <v/>
      </c>
      <c r="Q68" s="237" t="str">
        <f>IF(ISBLANK(H68),,IFNA(VLOOKUP(H68, Circuits!A:U, 21, FALSE),))</f>
        <v/>
      </c>
      <c r="R68" s="238" t="str">
        <f t="shared" si="7"/>
        <v/>
      </c>
      <c r="S68" s="237" t="str">
        <f>IF(ISBLANK(H68),,IFNA(VLOOKUP(H68, Circuits!A:V, 22, FALSE),))</f>
        <v/>
      </c>
      <c r="T68" s="237" t="str">
        <f>IF(ISBLANK(H68),,IFNA(VLOOKUP(H68, Circuits!A:X, 24, FALSE),))</f>
        <v/>
      </c>
      <c r="V68" s="236" t="str">
        <f>IFERROR(__xludf.DUMMYFUNCTION("IF(ISBLANK(H68),,JOIN("","",H68:T68))"),"")</f>
        <v/>
      </c>
      <c r="W68" s="229" t="str">
        <f t="shared" si="1"/>
        <v/>
      </c>
    </row>
    <row r="69">
      <c r="H69" s="237"/>
      <c r="I69" s="237" t="str">
        <f>IFERROR(__xludf.DUMMYFUNCTION("IF(ISBLANK(H69),,IFNA(""""""""&amp;JOIN("","",INDEX(FILTER(A:D,A:A=H69),0,4))&amp;"""""""",))"),"")</f>
        <v/>
      </c>
      <c r="J69" s="237" t="str">
        <f>IF(ISBLANK(H69),,IFNA(VLOOKUP(H69, Circuits!A:W, 23, FALSE),))</f>
        <v/>
      </c>
      <c r="K69" s="238" t="str">
        <f t="shared" si="2"/>
        <v/>
      </c>
      <c r="L69" s="238" t="str">
        <f t="shared" si="3"/>
        <v/>
      </c>
      <c r="M69" s="238" t="str">
        <f t="shared" si="4"/>
        <v/>
      </c>
      <c r="N69" s="238" t="str">
        <f t="shared" si="5"/>
        <v/>
      </c>
      <c r="O69" s="238" t="str">
        <f t="shared" si="6"/>
        <v/>
      </c>
      <c r="P69" s="237" t="str">
        <f>IFERROR(__xludf.DUMMYFUNCTION("IF(ISBLANK(H69),,IF(IFNA(MATCH(H69,SPLIT(Circuits!$S$2,"";""&amp;CHAR(10)),0),0),FALSE,TRUE))"),"")</f>
        <v/>
      </c>
      <c r="Q69" s="237" t="str">
        <f>IF(ISBLANK(H69),,IFNA(VLOOKUP(H69, Circuits!A:U, 21, FALSE),))</f>
        <v/>
      </c>
      <c r="R69" s="238" t="str">
        <f t="shared" si="7"/>
        <v/>
      </c>
      <c r="S69" s="237" t="str">
        <f>IF(ISBLANK(H69),,IFNA(VLOOKUP(H69, Circuits!A:V, 22, FALSE),))</f>
        <v/>
      </c>
      <c r="T69" s="237" t="str">
        <f>IF(ISBLANK(H69),,IFNA(VLOOKUP(H69, Circuits!A:X, 24, FALSE),))</f>
        <v/>
      </c>
      <c r="V69" s="236" t="str">
        <f>IFERROR(__xludf.DUMMYFUNCTION("IF(ISBLANK(H69),,JOIN("","",H69:T69))"),"")</f>
        <v/>
      </c>
      <c r="W69" s="229" t="str">
        <f t="shared" si="1"/>
        <v/>
      </c>
    </row>
    <row r="70">
      <c r="H70" s="237"/>
      <c r="I70" s="237" t="str">
        <f>IFERROR(__xludf.DUMMYFUNCTION("IF(ISBLANK(H70),,IFNA(""""""""&amp;JOIN("","",INDEX(FILTER(A:D,A:A=H70),0,4))&amp;"""""""",))"),"")</f>
        <v/>
      </c>
      <c r="J70" s="237" t="str">
        <f>IF(ISBLANK(H70),,IFNA(VLOOKUP(H70, Circuits!A:W, 23, FALSE),))</f>
        <v/>
      </c>
      <c r="K70" s="238" t="str">
        <f t="shared" si="2"/>
        <v/>
      </c>
      <c r="L70" s="238" t="str">
        <f t="shared" si="3"/>
        <v/>
      </c>
      <c r="M70" s="238" t="str">
        <f t="shared" si="4"/>
        <v/>
      </c>
      <c r="N70" s="238" t="str">
        <f t="shared" si="5"/>
        <v/>
      </c>
      <c r="O70" s="238" t="str">
        <f t="shared" si="6"/>
        <v/>
      </c>
      <c r="P70" s="237" t="str">
        <f>IFERROR(__xludf.DUMMYFUNCTION("IF(ISBLANK(H70),,IF(IFNA(MATCH(H70,SPLIT(Circuits!$S$2,"";""&amp;CHAR(10)),0),0),FALSE,TRUE))"),"")</f>
        <v/>
      </c>
      <c r="Q70" s="237" t="str">
        <f>IF(ISBLANK(H70),,IFNA(VLOOKUP(H70, Circuits!A:U, 21, FALSE),))</f>
        <v/>
      </c>
      <c r="R70" s="238" t="str">
        <f t="shared" si="7"/>
        <v/>
      </c>
      <c r="S70" s="237" t="str">
        <f>IF(ISBLANK(H70),,IFNA(VLOOKUP(H70, Circuits!A:V, 22, FALSE),))</f>
        <v/>
      </c>
      <c r="T70" s="237" t="str">
        <f>IF(ISBLANK(H70),,IFNA(VLOOKUP(H70, Circuits!A:X, 24, FALSE),))</f>
        <v/>
      </c>
      <c r="V70" s="236" t="str">
        <f>IFERROR(__xludf.DUMMYFUNCTION("IF(ISBLANK(H70),,JOIN("","",H70:T70))"),"")</f>
        <v/>
      </c>
      <c r="W70" s="229" t="str">
        <f t="shared" si="1"/>
        <v/>
      </c>
    </row>
    <row r="71">
      <c r="H71" s="237"/>
      <c r="I71" s="237" t="str">
        <f>IFERROR(__xludf.DUMMYFUNCTION("IF(ISBLANK(H71),,IFNA(""""""""&amp;JOIN("","",INDEX(FILTER(A:D,A:A=H71),0,4))&amp;"""""""",))"),"")</f>
        <v/>
      </c>
      <c r="J71" s="237" t="str">
        <f>IF(ISBLANK(H71),,IFNA(VLOOKUP(H71, Circuits!A:W, 23, FALSE),))</f>
        <v/>
      </c>
      <c r="K71" s="238" t="str">
        <f t="shared" si="2"/>
        <v/>
      </c>
      <c r="L71" s="238" t="str">
        <f t="shared" si="3"/>
        <v/>
      </c>
      <c r="M71" s="238" t="str">
        <f t="shared" si="4"/>
        <v/>
      </c>
      <c r="N71" s="238" t="str">
        <f t="shared" si="5"/>
        <v/>
      </c>
      <c r="O71" s="238" t="str">
        <f t="shared" si="6"/>
        <v/>
      </c>
      <c r="P71" s="237" t="str">
        <f>IFERROR(__xludf.DUMMYFUNCTION("IF(ISBLANK(H71),,IF(IFNA(MATCH(H71,SPLIT(Circuits!$S$2,"";""&amp;CHAR(10)),0),0),FALSE,TRUE))"),"")</f>
        <v/>
      </c>
      <c r="Q71" s="237" t="str">
        <f>IF(ISBLANK(H71),,IFNA(VLOOKUP(H71, Circuits!A:U, 21, FALSE),))</f>
        <v/>
      </c>
      <c r="R71" s="238" t="str">
        <f t="shared" si="7"/>
        <v/>
      </c>
      <c r="S71" s="237" t="str">
        <f>IF(ISBLANK(H71),,IFNA(VLOOKUP(H71, Circuits!A:V, 22, FALSE),))</f>
        <v/>
      </c>
      <c r="T71" s="237" t="str">
        <f>IF(ISBLANK(H71),,IFNA(VLOOKUP(H71, Circuits!A:X, 24, FALSE),))</f>
        <v/>
      </c>
      <c r="V71" s="236" t="str">
        <f>IFERROR(__xludf.DUMMYFUNCTION("IF(ISBLANK(H71),,JOIN("","",H71:T71))"),"")</f>
        <v/>
      </c>
      <c r="W71" s="229" t="str">
        <f t="shared" si="1"/>
        <v/>
      </c>
    </row>
    <row r="72">
      <c r="H72" s="237"/>
      <c r="I72" s="237" t="str">
        <f>IFERROR(__xludf.DUMMYFUNCTION("IF(ISBLANK(H72),,IFNA(""""""""&amp;JOIN("","",INDEX(FILTER(A:D,A:A=H72),0,4))&amp;"""""""",))"),"")</f>
        <v/>
      </c>
      <c r="J72" s="237" t="str">
        <f>IF(ISBLANK(H72),,IFNA(VLOOKUP(H72, Circuits!A:W, 23, FALSE),))</f>
        <v/>
      </c>
      <c r="K72" s="238" t="str">
        <f t="shared" si="2"/>
        <v/>
      </c>
      <c r="L72" s="238" t="str">
        <f t="shared" si="3"/>
        <v/>
      </c>
      <c r="M72" s="238" t="str">
        <f t="shared" si="4"/>
        <v/>
      </c>
      <c r="N72" s="238" t="str">
        <f t="shared" si="5"/>
        <v/>
      </c>
      <c r="O72" s="238" t="str">
        <f t="shared" si="6"/>
        <v/>
      </c>
      <c r="P72" s="237" t="str">
        <f>IFERROR(__xludf.DUMMYFUNCTION("IF(ISBLANK(H72),,IF(IFNA(MATCH(H72,SPLIT(Circuits!$S$2,"";""&amp;CHAR(10)),0),0),FALSE,TRUE))"),"")</f>
        <v/>
      </c>
      <c r="Q72" s="237" t="str">
        <f>IF(ISBLANK(H72),,IFNA(VLOOKUP(H72, Circuits!A:U, 21, FALSE),))</f>
        <v/>
      </c>
      <c r="R72" s="238" t="str">
        <f t="shared" si="7"/>
        <v/>
      </c>
      <c r="S72" s="237" t="str">
        <f>IF(ISBLANK(H72),,IFNA(VLOOKUP(H72, Circuits!A:V, 22, FALSE),))</f>
        <v/>
      </c>
      <c r="T72" s="237" t="str">
        <f>IF(ISBLANK(H72),,IFNA(VLOOKUP(H72, Circuits!A:X, 24, FALSE),))</f>
        <v/>
      </c>
      <c r="V72" s="236" t="str">
        <f>IFERROR(__xludf.DUMMYFUNCTION("IF(ISBLANK(H72),,JOIN("","",H72:T72))"),"")</f>
        <v/>
      </c>
      <c r="W72" s="229" t="str">
        <f t="shared" si="1"/>
        <v/>
      </c>
    </row>
    <row r="73">
      <c r="H73" s="237"/>
      <c r="I73" s="237" t="str">
        <f>IFERROR(__xludf.DUMMYFUNCTION("IF(ISBLANK(H73),,IFNA(""""""""&amp;JOIN("","",INDEX(FILTER(A:D,A:A=H73),0,4))&amp;"""""""",))"),"")</f>
        <v/>
      </c>
      <c r="J73" s="237" t="str">
        <f>IF(ISBLANK(H73),,IFNA(VLOOKUP(H73, Circuits!A:W, 23, FALSE),))</f>
        <v/>
      </c>
      <c r="K73" s="238" t="str">
        <f t="shared" si="2"/>
        <v/>
      </c>
      <c r="L73" s="238" t="str">
        <f t="shared" si="3"/>
        <v/>
      </c>
      <c r="M73" s="238" t="str">
        <f t="shared" si="4"/>
        <v/>
      </c>
      <c r="N73" s="238" t="str">
        <f t="shared" si="5"/>
        <v/>
      </c>
      <c r="O73" s="238" t="str">
        <f t="shared" si="6"/>
        <v/>
      </c>
      <c r="P73" s="237" t="str">
        <f>IFERROR(__xludf.DUMMYFUNCTION("IF(ISBLANK(H73),,IF(IFNA(MATCH(H73,SPLIT(Circuits!$S$2,"";""&amp;CHAR(10)),0),0),FALSE,TRUE))"),"")</f>
        <v/>
      </c>
      <c r="Q73" s="237" t="str">
        <f>IF(ISBLANK(H73),,IFNA(VLOOKUP(H73, Circuits!A:U, 21, FALSE),))</f>
        <v/>
      </c>
      <c r="R73" s="238" t="str">
        <f t="shared" si="7"/>
        <v/>
      </c>
      <c r="S73" s="237" t="str">
        <f>IF(ISBLANK(H73),,IFNA(VLOOKUP(H73, Circuits!A:V, 22, FALSE),))</f>
        <v/>
      </c>
      <c r="T73" s="237" t="str">
        <f>IF(ISBLANK(H73),,IFNA(VLOOKUP(H73, Circuits!A:X, 24, FALSE),))</f>
        <v/>
      </c>
      <c r="V73" s="236" t="str">
        <f>IFERROR(__xludf.DUMMYFUNCTION("IF(ISBLANK(H73),,JOIN("","",H73:T73))"),"")</f>
        <v/>
      </c>
      <c r="W73" s="229" t="str">
        <f t="shared" si="1"/>
        <v/>
      </c>
    </row>
    <row r="74">
      <c r="H74" s="237"/>
      <c r="I74" s="237" t="str">
        <f>IFERROR(__xludf.DUMMYFUNCTION("IF(ISBLANK(H74),,IFNA(""""""""&amp;JOIN("","",INDEX(FILTER(A:D,A:A=H74),0,4))&amp;"""""""",))"),"")</f>
        <v/>
      </c>
      <c r="J74" s="237" t="str">
        <f>IF(ISBLANK(H74),,IFNA(VLOOKUP(H74, Circuits!A:W, 23, FALSE),))</f>
        <v/>
      </c>
      <c r="K74" s="238" t="str">
        <f t="shared" si="2"/>
        <v/>
      </c>
      <c r="L74" s="238" t="str">
        <f t="shared" si="3"/>
        <v/>
      </c>
      <c r="M74" s="238" t="str">
        <f t="shared" si="4"/>
        <v/>
      </c>
      <c r="N74" s="238" t="str">
        <f t="shared" si="5"/>
        <v/>
      </c>
      <c r="O74" s="238" t="str">
        <f t="shared" si="6"/>
        <v/>
      </c>
      <c r="P74" s="237" t="str">
        <f>IFERROR(__xludf.DUMMYFUNCTION("IF(ISBLANK(H74),,IF(IFNA(MATCH(H74,SPLIT(Circuits!$S$2,"";""&amp;CHAR(10)),0),0),FALSE,TRUE))"),"")</f>
        <v/>
      </c>
      <c r="Q74" s="237" t="str">
        <f>IF(ISBLANK(H74),,IFNA(VLOOKUP(H74, Circuits!A:U, 21, FALSE),))</f>
        <v/>
      </c>
      <c r="R74" s="238" t="str">
        <f t="shared" si="7"/>
        <v/>
      </c>
      <c r="S74" s="237" t="str">
        <f>IF(ISBLANK(H74),,IFNA(VLOOKUP(H74, Circuits!A:V, 22, FALSE),))</f>
        <v/>
      </c>
      <c r="T74" s="237" t="str">
        <f>IF(ISBLANK(H74),,IFNA(VLOOKUP(H74, Circuits!A:X, 24, FALSE),))</f>
        <v/>
      </c>
      <c r="V74" s="236" t="str">
        <f>IFERROR(__xludf.DUMMYFUNCTION("IF(ISBLANK(H74),,JOIN("","",H74:T74))"),"")</f>
        <v/>
      </c>
      <c r="W74" s="229" t="str">
        <f t="shared" si="1"/>
        <v/>
      </c>
    </row>
    <row r="75">
      <c r="H75" s="237"/>
      <c r="I75" s="237" t="str">
        <f>IFERROR(__xludf.DUMMYFUNCTION("IF(ISBLANK(H75),,IFNA(""""""""&amp;JOIN("","",INDEX(FILTER(A:D,A:A=H75),0,4))&amp;"""""""",))"),"")</f>
        <v/>
      </c>
      <c r="J75" s="237" t="str">
        <f>IF(ISBLANK(H75),,IFNA(VLOOKUP(H75, Circuits!A:W, 23, FALSE),))</f>
        <v/>
      </c>
      <c r="K75" s="238" t="str">
        <f t="shared" si="2"/>
        <v/>
      </c>
      <c r="L75" s="238" t="str">
        <f t="shared" si="3"/>
        <v/>
      </c>
      <c r="M75" s="238" t="str">
        <f t="shared" si="4"/>
        <v/>
      </c>
      <c r="N75" s="238" t="str">
        <f t="shared" si="5"/>
        <v/>
      </c>
      <c r="O75" s="238" t="str">
        <f t="shared" si="6"/>
        <v/>
      </c>
      <c r="P75" s="237" t="str">
        <f>IFERROR(__xludf.DUMMYFUNCTION("IF(ISBLANK(H75),,IF(IFNA(MATCH(H75,SPLIT(Circuits!$S$2,"";""&amp;CHAR(10)),0),0),FALSE,TRUE))"),"")</f>
        <v/>
      </c>
      <c r="Q75" s="237" t="str">
        <f>IF(ISBLANK(H75),,IFNA(VLOOKUP(H75, Circuits!A:U, 21, FALSE),))</f>
        <v/>
      </c>
      <c r="R75" s="238" t="str">
        <f t="shared" si="7"/>
        <v/>
      </c>
      <c r="S75" s="237" t="str">
        <f>IF(ISBLANK(H75),,IFNA(VLOOKUP(H75, Circuits!A:V, 22, FALSE),))</f>
        <v/>
      </c>
      <c r="T75" s="237" t="str">
        <f>IF(ISBLANK(H75),,IFNA(VLOOKUP(H75, Circuits!A:X, 24, FALSE),))</f>
        <v/>
      </c>
      <c r="V75" s="236" t="str">
        <f>IFERROR(__xludf.DUMMYFUNCTION("IF(ISBLANK(H75),,JOIN("","",H75:T75))"),"")</f>
        <v/>
      </c>
      <c r="W75" s="229" t="str">
        <f t="shared" si="1"/>
        <v/>
      </c>
    </row>
    <row r="76">
      <c r="H76" s="237"/>
      <c r="I76" s="237" t="str">
        <f>IFERROR(__xludf.DUMMYFUNCTION("IF(ISBLANK(H76),,IFNA(""""""""&amp;JOIN("","",INDEX(FILTER(A:D,A:A=H76),0,4))&amp;"""""""",))"),"")</f>
        <v/>
      </c>
      <c r="J76" s="237" t="str">
        <f>IF(ISBLANK(H76),,IFNA(VLOOKUP(H76, Circuits!A:W, 23, FALSE),))</f>
        <v/>
      </c>
      <c r="K76" s="238" t="str">
        <f t="shared" si="2"/>
        <v/>
      </c>
      <c r="L76" s="238" t="str">
        <f t="shared" si="3"/>
        <v/>
      </c>
      <c r="M76" s="238" t="str">
        <f t="shared" si="4"/>
        <v/>
      </c>
      <c r="N76" s="238" t="str">
        <f t="shared" si="5"/>
        <v/>
      </c>
      <c r="O76" s="238" t="str">
        <f t="shared" si="6"/>
        <v/>
      </c>
      <c r="P76" s="237" t="str">
        <f>IFERROR(__xludf.DUMMYFUNCTION("IF(ISBLANK(H76),,IF(IFNA(MATCH(H76,SPLIT(Circuits!$S$2,"";""&amp;CHAR(10)),0),0),FALSE,TRUE))"),"")</f>
        <v/>
      </c>
      <c r="Q76" s="237" t="str">
        <f>IF(ISBLANK(H76),,IFNA(VLOOKUP(H76, Circuits!A:U, 21, FALSE),))</f>
        <v/>
      </c>
      <c r="R76" s="238" t="str">
        <f t="shared" si="7"/>
        <v/>
      </c>
      <c r="S76" s="237" t="str">
        <f>IF(ISBLANK(H76),,IFNA(VLOOKUP(H76, Circuits!A:V, 22, FALSE),))</f>
        <v/>
      </c>
      <c r="T76" s="237" t="str">
        <f>IF(ISBLANK(H76),,IFNA(VLOOKUP(H76, Circuits!A:X, 24, FALSE),))</f>
        <v/>
      </c>
      <c r="V76" s="236" t="str">
        <f>IFERROR(__xludf.DUMMYFUNCTION("IF(ISBLANK(H76),,JOIN("","",H76:T76))"),"")</f>
        <v/>
      </c>
      <c r="W76" s="229" t="str">
        <f t="shared" si="1"/>
        <v/>
      </c>
    </row>
    <row r="77">
      <c r="H77" s="237"/>
      <c r="I77" s="237" t="str">
        <f>IFERROR(__xludf.DUMMYFUNCTION("IF(ISBLANK(H77),,IFNA(""""""""&amp;JOIN("","",INDEX(FILTER(A:D,A:A=H77),0,4))&amp;"""""""",))"),"")</f>
        <v/>
      </c>
      <c r="J77" s="237" t="str">
        <f>IF(ISBLANK(H77),,IFNA(VLOOKUP(H77, Circuits!A:W, 23, FALSE),))</f>
        <v/>
      </c>
      <c r="K77" s="238" t="str">
        <f t="shared" si="2"/>
        <v/>
      </c>
      <c r="L77" s="238" t="str">
        <f t="shared" si="3"/>
        <v/>
      </c>
      <c r="M77" s="238" t="str">
        <f t="shared" si="4"/>
        <v/>
      </c>
      <c r="N77" s="238" t="str">
        <f t="shared" si="5"/>
        <v/>
      </c>
      <c r="O77" s="238" t="str">
        <f t="shared" si="6"/>
        <v/>
      </c>
      <c r="P77" s="237" t="str">
        <f>IFERROR(__xludf.DUMMYFUNCTION("IF(ISBLANK(H77),,IF(IFNA(MATCH(H77,SPLIT(Circuits!$S$2,"";""&amp;CHAR(10)),0),0),FALSE,TRUE))"),"")</f>
        <v/>
      </c>
      <c r="Q77" s="237" t="str">
        <f>IF(ISBLANK(H77),,IFNA(VLOOKUP(H77, Circuits!A:U, 21, FALSE),))</f>
        <v/>
      </c>
      <c r="R77" s="238" t="str">
        <f t="shared" si="7"/>
        <v/>
      </c>
      <c r="S77" s="237" t="str">
        <f>IF(ISBLANK(H77),,IFNA(VLOOKUP(H77, Circuits!A:V, 22, FALSE),))</f>
        <v/>
      </c>
      <c r="T77" s="237" t="str">
        <f>IF(ISBLANK(H77),,IFNA(VLOOKUP(H77, Circuits!A:X, 24, FALSE),))</f>
        <v/>
      </c>
      <c r="V77" s="236" t="str">
        <f>IFERROR(__xludf.DUMMYFUNCTION("IF(ISBLANK(H77),,JOIN("","",H77:T77))"),"")</f>
        <v/>
      </c>
      <c r="W77" s="229" t="str">
        <f t="shared" si="1"/>
        <v/>
      </c>
    </row>
    <row r="78">
      <c r="H78" s="237"/>
      <c r="I78" s="237" t="str">
        <f>IFERROR(__xludf.DUMMYFUNCTION("IF(ISBLANK(H78),,IFNA(""""""""&amp;JOIN("","",INDEX(FILTER(A:D,A:A=H78),0,4))&amp;"""""""",))"),"")</f>
        <v/>
      </c>
      <c r="J78" s="237" t="str">
        <f>IF(ISBLANK(H78),,IFNA(VLOOKUP(H78, Circuits!A:W, 23, FALSE),))</f>
        <v/>
      </c>
      <c r="K78" s="238" t="str">
        <f t="shared" si="2"/>
        <v/>
      </c>
      <c r="L78" s="238" t="str">
        <f t="shared" si="3"/>
        <v/>
      </c>
      <c r="M78" s="238" t="str">
        <f t="shared" si="4"/>
        <v/>
      </c>
      <c r="N78" s="238" t="str">
        <f t="shared" si="5"/>
        <v/>
      </c>
      <c r="O78" s="238" t="str">
        <f t="shared" si="6"/>
        <v/>
      </c>
      <c r="P78" s="237" t="str">
        <f>IFERROR(__xludf.DUMMYFUNCTION("IF(ISBLANK(H78),,IF(IFNA(MATCH(H78,SPLIT(Circuits!$S$2,"";""&amp;CHAR(10)),0),0),FALSE,TRUE))"),"")</f>
        <v/>
      </c>
      <c r="Q78" s="237" t="str">
        <f>IF(ISBLANK(H78),,IFNA(VLOOKUP(H78, Circuits!A:U, 21, FALSE),))</f>
        <v/>
      </c>
      <c r="R78" s="238" t="str">
        <f t="shared" si="7"/>
        <v/>
      </c>
      <c r="S78" s="237" t="str">
        <f>IF(ISBLANK(H78),,IFNA(VLOOKUP(H78, Circuits!A:V, 22, FALSE),))</f>
        <v/>
      </c>
      <c r="T78" s="237" t="str">
        <f>IF(ISBLANK(H78),,IFNA(VLOOKUP(H78, Circuits!A:X, 24, FALSE),))</f>
        <v/>
      </c>
      <c r="V78" s="236" t="str">
        <f>IFERROR(__xludf.DUMMYFUNCTION("IF(ISBLANK(H78),,JOIN("","",H78:T78))"),"")</f>
        <v/>
      </c>
      <c r="W78" s="229" t="str">
        <f t="shared" si="1"/>
        <v/>
      </c>
    </row>
    <row r="79">
      <c r="H79" s="237"/>
      <c r="I79" s="237" t="str">
        <f>IFERROR(__xludf.DUMMYFUNCTION("IF(ISBLANK(H79),,IFNA(""""""""&amp;JOIN("","",INDEX(FILTER(A:D,A:A=H79),0,4))&amp;"""""""",))"),"")</f>
        <v/>
      </c>
      <c r="J79" s="237" t="str">
        <f>IF(ISBLANK(H79),,IFNA(VLOOKUP(H79, Circuits!A:W, 23, FALSE),))</f>
        <v/>
      </c>
      <c r="K79" s="238" t="str">
        <f t="shared" si="2"/>
        <v/>
      </c>
      <c r="L79" s="238" t="str">
        <f t="shared" si="3"/>
        <v/>
      </c>
      <c r="M79" s="238" t="str">
        <f t="shared" si="4"/>
        <v/>
      </c>
      <c r="N79" s="238" t="str">
        <f t="shared" si="5"/>
        <v/>
      </c>
      <c r="O79" s="238" t="str">
        <f t="shared" si="6"/>
        <v/>
      </c>
      <c r="P79" s="237" t="str">
        <f>IFERROR(__xludf.DUMMYFUNCTION("IF(ISBLANK(H79),,IF(IFNA(MATCH(H79,SPLIT(Circuits!$S$2,"";""&amp;CHAR(10)),0),0),FALSE,TRUE))"),"")</f>
        <v/>
      </c>
      <c r="Q79" s="237" t="str">
        <f>IF(ISBLANK(H79),,IFNA(VLOOKUP(H79, Circuits!A:U, 21, FALSE),))</f>
        <v/>
      </c>
      <c r="R79" s="238" t="str">
        <f t="shared" si="7"/>
        <v/>
      </c>
      <c r="S79" s="237" t="str">
        <f>IF(ISBLANK(H79),,IFNA(VLOOKUP(H79, Circuits!A:V, 22, FALSE),))</f>
        <v/>
      </c>
      <c r="T79" s="237" t="str">
        <f>IF(ISBLANK(H79),,IFNA(VLOOKUP(H79, Circuits!A:X, 24, FALSE),))</f>
        <v/>
      </c>
      <c r="V79" s="236" t="str">
        <f>IFERROR(__xludf.DUMMYFUNCTION("IF(ISBLANK(H79),,JOIN("","",H79:T79))"),"")</f>
        <v/>
      </c>
      <c r="W79" s="229" t="str">
        <f t="shared" si="1"/>
        <v/>
      </c>
    </row>
    <row r="80">
      <c r="H80" s="237"/>
      <c r="I80" s="237" t="str">
        <f>IFERROR(__xludf.DUMMYFUNCTION("IF(ISBLANK(H80),,IFNA(""""""""&amp;JOIN("","",INDEX(FILTER(A:D,A:A=H80),0,4))&amp;"""""""",))"),"")</f>
        <v/>
      </c>
      <c r="J80" s="237" t="str">
        <f>IF(ISBLANK(H80),,IFNA(VLOOKUP(H80, Circuits!A:W, 23, FALSE),))</f>
        <v/>
      </c>
      <c r="K80" s="238" t="str">
        <f t="shared" si="2"/>
        <v/>
      </c>
      <c r="L80" s="238" t="str">
        <f t="shared" si="3"/>
        <v/>
      </c>
      <c r="M80" s="238" t="str">
        <f t="shared" si="4"/>
        <v/>
      </c>
      <c r="N80" s="238" t="str">
        <f t="shared" si="5"/>
        <v/>
      </c>
      <c r="O80" s="238" t="str">
        <f t="shared" si="6"/>
        <v/>
      </c>
      <c r="P80" s="237" t="str">
        <f>IFERROR(__xludf.DUMMYFUNCTION("IF(ISBLANK(H80),,IF(IFNA(MATCH(H80,SPLIT(Circuits!$S$2,"";""&amp;CHAR(10)),0),0),FALSE,TRUE))"),"")</f>
        <v/>
      </c>
      <c r="Q80" s="237" t="str">
        <f>IF(ISBLANK(H80),,IFNA(VLOOKUP(H80, Circuits!A:U, 21, FALSE),))</f>
        <v/>
      </c>
      <c r="R80" s="238" t="str">
        <f t="shared" si="7"/>
        <v/>
      </c>
      <c r="S80" s="237" t="str">
        <f>IF(ISBLANK(H80),,IFNA(VLOOKUP(H80, Circuits!A:V, 22, FALSE),))</f>
        <v/>
      </c>
      <c r="T80" s="237" t="str">
        <f>IF(ISBLANK(H80),,IFNA(VLOOKUP(H80, Circuits!A:X, 24, FALSE),))</f>
        <v/>
      </c>
      <c r="V80" s="236" t="str">
        <f>IFERROR(__xludf.DUMMYFUNCTION("IF(ISBLANK(H80),,JOIN("","",H80:T80))"),"")</f>
        <v/>
      </c>
      <c r="W80" s="229" t="str">
        <f t="shared" si="1"/>
        <v/>
      </c>
    </row>
    <row r="81">
      <c r="H81" s="237"/>
      <c r="I81" s="237" t="str">
        <f>IFERROR(__xludf.DUMMYFUNCTION("IF(ISBLANK(H81),,IFNA(""""""""&amp;JOIN("","",INDEX(FILTER(A:D,A:A=H81),0,4))&amp;"""""""",))"),"")</f>
        <v/>
      </c>
      <c r="J81" s="237" t="str">
        <f>IF(ISBLANK(H81),,IFNA(VLOOKUP(H81, Circuits!A:W, 23, FALSE),))</f>
        <v/>
      </c>
      <c r="K81" s="238" t="str">
        <f t="shared" si="2"/>
        <v/>
      </c>
      <c r="L81" s="238" t="str">
        <f t="shared" si="3"/>
        <v/>
      </c>
      <c r="M81" s="238" t="str">
        <f t="shared" si="4"/>
        <v/>
      </c>
      <c r="N81" s="238" t="str">
        <f t="shared" si="5"/>
        <v/>
      </c>
      <c r="O81" s="238" t="str">
        <f t="shared" si="6"/>
        <v/>
      </c>
      <c r="P81" s="237" t="str">
        <f>IFERROR(__xludf.DUMMYFUNCTION("IF(ISBLANK(H81),,IF(IFNA(MATCH(H81,SPLIT(Circuits!$S$2,"";""&amp;CHAR(10)),0),0),FALSE,TRUE))"),"")</f>
        <v/>
      </c>
      <c r="Q81" s="237" t="str">
        <f>IF(ISBLANK(H81),,IFNA(VLOOKUP(H81, Circuits!A:U, 21, FALSE),))</f>
        <v/>
      </c>
      <c r="R81" s="238" t="str">
        <f t="shared" si="7"/>
        <v/>
      </c>
      <c r="S81" s="237" t="str">
        <f>IF(ISBLANK(H81),,IFNA(VLOOKUP(H81, Circuits!A:V, 22, FALSE),))</f>
        <v/>
      </c>
      <c r="T81" s="237" t="str">
        <f>IF(ISBLANK(H81),,IFNA(VLOOKUP(H81, Circuits!A:X, 24, FALSE),))</f>
        <v/>
      </c>
      <c r="V81" s="236" t="str">
        <f>IFERROR(__xludf.DUMMYFUNCTION("IF(ISBLANK(H81),,JOIN("","",H81:T81))"),"")</f>
        <v/>
      </c>
      <c r="W81" s="229" t="str">
        <f t="shared" si="1"/>
        <v/>
      </c>
    </row>
    <row r="82">
      <c r="H82" s="237"/>
      <c r="I82" s="237" t="str">
        <f>IFERROR(__xludf.DUMMYFUNCTION("IF(ISBLANK(H82),,IFNA(""""""""&amp;JOIN("","",INDEX(FILTER(A:D,A:A=H82),0,4))&amp;"""""""",))"),"")</f>
        <v/>
      </c>
      <c r="J82" s="237" t="str">
        <f>IF(ISBLANK(H82),,IFNA(VLOOKUP(H82, Circuits!A:W, 23, FALSE),))</f>
        <v/>
      </c>
      <c r="K82" s="238" t="str">
        <f t="shared" si="2"/>
        <v/>
      </c>
      <c r="L82" s="238" t="str">
        <f t="shared" si="3"/>
        <v/>
      </c>
      <c r="M82" s="238" t="str">
        <f t="shared" si="4"/>
        <v/>
      </c>
      <c r="N82" s="238" t="str">
        <f t="shared" si="5"/>
        <v/>
      </c>
      <c r="O82" s="238" t="str">
        <f t="shared" si="6"/>
        <v/>
      </c>
      <c r="P82" s="237" t="str">
        <f>IFERROR(__xludf.DUMMYFUNCTION("IF(ISBLANK(H82),,IF(IFNA(MATCH(H82,SPLIT(Circuits!$S$2,"";""&amp;CHAR(10)),0),0),FALSE,TRUE))"),"")</f>
        <v/>
      </c>
      <c r="Q82" s="237" t="str">
        <f>IF(ISBLANK(H82),,IFNA(VLOOKUP(H82, Circuits!A:U, 21, FALSE),))</f>
        <v/>
      </c>
      <c r="R82" s="238" t="str">
        <f t="shared" si="7"/>
        <v/>
      </c>
      <c r="S82" s="237" t="str">
        <f>IF(ISBLANK(H82),,IFNA(VLOOKUP(H82, Circuits!A:V, 22, FALSE),))</f>
        <v/>
      </c>
      <c r="T82" s="237" t="str">
        <f>IF(ISBLANK(H82),,IFNA(VLOOKUP(H82, Circuits!A:X, 24, FALSE),))</f>
        <v/>
      </c>
      <c r="V82" s="236" t="str">
        <f>IFERROR(__xludf.DUMMYFUNCTION("IF(ISBLANK(H82),,JOIN("","",H82:T82))"),"")</f>
        <v/>
      </c>
      <c r="W82" s="229" t="str">
        <f t="shared" si="1"/>
        <v/>
      </c>
    </row>
    <row r="83">
      <c r="H83" s="237"/>
      <c r="I83" s="237" t="str">
        <f>IFERROR(__xludf.DUMMYFUNCTION("IF(ISBLANK(H83),,IFNA(""""""""&amp;JOIN("","",INDEX(FILTER(A:D,A:A=H83),0,4))&amp;"""""""",))"),"")</f>
        <v/>
      </c>
      <c r="J83" s="237" t="str">
        <f>IF(ISBLANK(H83),,IFNA(VLOOKUP(H83, Circuits!A:W, 23, FALSE),))</f>
        <v/>
      </c>
      <c r="K83" s="238" t="str">
        <f t="shared" si="2"/>
        <v/>
      </c>
      <c r="L83" s="238" t="str">
        <f t="shared" si="3"/>
        <v/>
      </c>
      <c r="M83" s="238" t="str">
        <f t="shared" si="4"/>
        <v/>
      </c>
      <c r="N83" s="238" t="str">
        <f t="shared" si="5"/>
        <v/>
      </c>
      <c r="O83" s="238" t="str">
        <f t="shared" si="6"/>
        <v/>
      </c>
      <c r="P83" s="237" t="str">
        <f>IFERROR(__xludf.DUMMYFUNCTION("IF(ISBLANK(H83),,IF(IFNA(MATCH(H83,SPLIT(Circuits!$S$2,"";""&amp;CHAR(10)),0),0),FALSE,TRUE))"),"")</f>
        <v/>
      </c>
      <c r="Q83" s="237" t="str">
        <f>IF(ISBLANK(H83),,IFNA(VLOOKUP(H83, Circuits!A:U, 21, FALSE),))</f>
        <v/>
      </c>
      <c r="R83" s="238" t="str">
        <f t="shared" si="7"/>
        <v/>
      </c>
      <c r="S83" s="237" t="str">
        <f>IF(ISBLANK(H83),,IFNA(VLOOKUP(H83, Circuits!A:V, 22, FALSE),))</f>
        <v/>
      </c>
      <c r="T83" s="237" t="str">
        <f>IF(ISBLANK(H83),,IFNA(VLOOKUP(H83, Circuits!A:X, 24, FALSE),))</f>
        <v/>
      </c>
      <c r="V83" s="236" t="str">
        <f>IFERROR(__xludf.DUMMYFUNCTION("IF(ISBLANK(H83),,JOIN("","",H83:T83))"),"")</f>
        <v/>
      </c>
      <c r="W83" s="229" t="str">
        <f t="shared" si="1"/>
        <v/>
      </c>
    </row>
    <row r="84">
      <c r="H84" s="237"/>
      <c r="I84" s="237" t="str">
        <f>IFERROR(__xludf.DUMMYFUNCTION("IF(ISBLANK(H84),,IFNA(""""""""&amp;JOIN("","",INDEX(FILTER(A:D,A:A=H84),0,4))&amp;"""""""",))"),"")</f>
        <v/>
      </c>
      <c r="J84" s="237" t="str">
        <f>IF(ISBLANK(H84),,IFNA(VLOOKUP(H84, Circuits!A:W, 23, FALSE),))</f>
        <v/>
      </c>
      <c r="K84" s="238" t="str">
        <f t="shared" si="2"/>
        <v/>
      </c>
      <c r="L84" s="238" t="str">
        <f t="shared" si="3"/>
        <v/>
      </c>
      <c r="M84" s="238" t="str">
        <f t="shared" si="4"/>
        <v/>
      </c>
      <c r="N84" s="238" t="str">
        <f t="shared" si="5"/>
        <v/>
      </c>
      <c r="O84" s="238" t="str">
        <f t="shared" si="6"/>
        <v/>
      </c>
      <c r="P84" s="237" t="str">
        <f>IFERROR(__xludf.DUMMYFUNCTION("IF(ISBLANK(H84),,IF(IFNA(MATCH(H84,SPLIT(Circuits!$S$2,"";""&amp;CHAR(10)),0),0),FALSE,TRUE))"),"")</f>
        <v/>
      </c>
      <c r="Q84" s="237" t="str">
        <f>IF(ISBLANK(H84),,IFNA(VLOOKUP(H84, Circuits!A:U, 21, FALSE),))</f>
        <v/>
      </c>
      <c r="R84" s="238" t="str">
        <f t="shared" si="7"/>
        <v/>
      </c>
      <c r="S84" s="237" t="str">
        <f>IF(ISBLANK(H84),,IFNA(VLOOKUP(H84, Circuits!A:V, 22, FALSE),))</f>
        <v/>
      </c>
      <c r="T84" s="237" t="str">
        <f>IF(ISBLANK(H84),,IFNA(VLOOKUP(H84, Circuits!A:X, 24, FALSE),))</f>
        <v/>
      </c>
      <c r="V84" s="236" t="str">
        <f>IFERROR(__xludf.DUMMYFUNCTION("IF(ISBLANK(H84),,JOIN("","",H84:T84))"),"")</f>
        <v/>
      </c>
      <c r="W84" s="229" t="str">
        <f t="shared" si="1"/>
        <v/>
      </c>
    </row>
    <row r="85">
      <c r="H85" s="237"/>
      <c r="I85" s="237" t="str">
        <f>IFERROR(__xludf.DUMMYFUNCTION("IF(ISBLANK(H85),,IFNA(""""""""&amp;JOIN("","",INDEX(FILTER(A:D,A:A=H85),0,4))&amp;"""""""",))"),"")</f>
        <v/>
      </c>
      <c r="J85" s="237" t="str">
        <f>IF(ISBLANK(H85),,IFNA(VLOOKUP(H85, Circuits!A:W, 23, FALSE),))</f>
        <v/>
      </c>
      <c r="K85" s="238" t="str">
        <f t="shared" si="2"/>
        <v/>
      </c>
      <c r="L85" s="238" t="str">
        <f t="shared" si="3"/>
        <v/>
      </c>
      <c r="M85" s="238" t="str">
        <f t="shared" si="4"/>
        <v/>
      </c>
      <c r="N85" s="238" t="str">
        <f t="shared" si="5"/>
        <v/>
      </c>
      <c r="O85" s="238" t="str">
        <f t="shared" si="6"/>
        <v/>
      </c>
      <c r="P85" s="237" t="str">
        <f>IFERROR(__xludf.DUMMYFUNCTION("IF(ISBLANK(H85),,IF(IFNA(MATCH(H85,SPLIT(Circuits!$S$2,"";""&amp;CHAR(10)),0),0),FALSE,TRUE))"),"")</f>
        <v/>
      </c>
      <c r="Q85" s="237" t="str">
        <f>IF(ISBLANK(H85),,IFNA(VLOOKUP(H85, Circuits!A:U, 21, FALSE),))</f>
        <v/>
      </c>
      <c r="R85" s="238" t="str">
        <f t="shared" si="7"/>
        <v/>
      </c>
      <c r="S85" s="237" t="str">
        <f>IF(ISBLANK(H85),,IFNA(VLOOKUP(H85, Circuits!A:V, 22, FALSE),))</f>
        <v/>
      </c>
      <c r="T85" s="237" t="str">
        <f>IF(ISBLANK(H85),,IFNA(VLOOKUP(H85, Circuits!A:X, 24, FALSE),))</f>
        <v/>
      </c>
      <c r="V85" s="236" t="str">
        <f>IFERROR(__xludf.DUMMYFUNCTION("IF(ISBLANK(H85),,JOIN("","",H85:T85))"),"")</f>
        <v/>
      </c>
      <c r="W85" s="229" t="str">
        <f t="shared" si="1"/>
        <v/>
      </c>
    </row>
    <row r="86">
      <c r="H86" s="237"/>
      <c r="I86" s="237" t="str">
        <f>IFERROR(__xludf.DUMMYFUNCTION("IF(ISBLANK(H86),,IFNA(""""""""&amp;JOIN("","",INDEX(FILTER(A:D,A:A=H86),0,4))&amp;"""""""",))"),"")</f>
        <v/>
      </c>
      <c r="J86" s="237" t="str">
        <f>IF(ISBLANK(H86),,IFNA(VLOOKUP(H86, Circuits!A:W, 23, FALSE),))</f>
        <v/>
      </c>
      <c r="K86" s="238" t="str">
        <f t="shared" si="2"/>
        <v/>
      </c>
      <c r="L86" s="238" t="str">
        <f t="shared" si="3"/>
        <v/>
      </c>
      <c r="M86" s="238" t="str">
        <f t="shared" si="4"/>
        <v/>
      </c>
      <c r="N86" s="238" t="str">
        <f t="shared" si="5"/>
        <v/>
      </c>
      <c r="O86" s="238" t="str">
        <f t="shared" si="6"/>
        <v/>
      </c>
      <c r="P86" s="237" t="str">
        <f>IFERROR(__xludf.DUMMYFUNCTION("IF(ISBLANK(H86),,IF(IFNA(MATCH(H86,SPLIT(Circuits!$S$2,"";""&amp;CHAR(10)),0),0),FALSE,TRUE))"),"")</f>
        <v/>
      </c>
      <c r="Q86" s="237" t="str">
        <f>IF(ISBLANK(H86),,IFNA(VLOOKUP(H86, Circuits!A:U, 21, FALSE),))</f>
        <v/>
      </c>
      <c r="R86" s="238" t="str">
        <f t="shared" si="7"/>
        <v/>
      </c>
      <c r="S86" s="237" t="str">
        <f>IF(ISBLANK(H86),,IFNA(VLOOKUP(H86, Circuits!A:V, 22, FALSE),))</f>
        <v/>
      </c>
      <c r="T86" s="237" t="str">
        <f>IF(ISBLANK(H86),,IFNA(VLOOKUP(H86, Circuits!A:X, 24, FALSE),))</f>
        <v/>
      </c>
      <c r="V86" s="236" t="str">
        <f>IFERROR(__xludf.DUMMYFUNCTION("IF(ISBLANK(H86),,JOIN("","",H86:T86))"),"")</f>
        <v/>
      </c>
      <c r="W86" s="229" t="str">
        <f t="shared" si="1"/>
        <v/>
      </c>
    </row>
    <row r="87">
      <c r="H87" s="237"/>
      <c r="I87" s="237" t="str">
        <f>IFERROR(__xludf.DUMMYFUNCTION("IF(ISBLANK(H87),,IFNA(""""""""&amp;JOIN("","",INDEX(FILTER(A:D,A:A=H87),0,4))&amp;"""""""",))"),"")</f>
        <v/>
      </c>
      <c r="J87" s="237" t="str">
        <f>IF(ISBLANK(H87),,IFNA(VLOOKUP(H87, Circuits!A:W, 23, FALSE),))</f>
        <v/>
      </c>
      <c r="K87" s="238" t="str">
        <f t="shared" si="2"/>
        <v/>
      </c>
      <c r="L87" s="238" t="str">
        <f t="shared" si="3"/>
        <v/>
      </c>
      <c r="M87" s="238" t="str">
        <f t="shared" si="4"/>
        <v/>
      </c>
      <c r="N87" s="238" t="str">
        <f t="shared" si="5"/>
        <v/>
      </c>
      <c r="O87" s="238" t="str">
        <f t="shared" si="6"/>
        <v/>
      </c>
      <c r="P87" s="237" t="str">
        <f>IFERROR(__xludf.DUMMYFUNCTION("IF(ISBLANK(H87),,IF(IFNA(MATCH(H87,SPLIT(Circuits!$S$2,"";""&amp;CHAR(10)),0),0),FALSE,TRUE))"),"")</f>
        <v/>
      </c>
      <c r="Q87" s="237" t="str">
        <f>IF(ISBLANK(H87),,IFNA(VLOOKUP(H87, Circuits!A:U, 21, FALSE),))</f>
        <v/>
      </c>
      <c r="R87" s="238" t="str">
        <f t="shared" si="7"/>
        <v/>
      </c>
      <c r="S87" s="237" t="str">
        <f>IF(ISBLANK(H87),,IFNA(VLOOKUP(H87, Circuits!A:V, 22, FALSE),))</f>
        <v/>
      </c>
      <c r="T87" s="237" t="str">
        <f>IF(ISBLANK(H87),,IFNA(VLOOKUP(H87, Circuits!A:X, 24, FALSE),))</f>
        <v/>
      </c>
      <c r="V87" s="236" t="str">
        <f>IFERROR(__xludf.DUMMYFUNCTION("IF(ISBLANK(H87),,JOIN("","",H87:T87))"),"")</f>
        <v/>
      </c>
      <c r="W87" s="229" t="str">
        <f t="shared" si="1"/>
        <v/>
      </c>
    </row>
    <row r="88">
      <c r="H88" s="237"/>
      <c r="I88" s="237" t="str">
        <f>IFERROR(__xludf.DUMMYFUNCTION("IF(ISBLANK(H88),,IFNA(""""""""&amp;JOIN("","",INDEX(FILTER(A:D,A:A=H88),0,4))&amp;"""""""",))"),"")</f>
        <v/>
      </c>
      <c r="J88" s="237" t="str">
        <f>IF(ISBLANK(H88),,IFNA(VLOOKUP(H88, Circuits!A:W, 23, FALSE),))</f>
        <v/>
      </c>
      <c r="K88" s="238" t="str">
        <f t="shared" si="2"/>
        <v/>
      </c>
      <c r="L88" s="238" t="str">
        <f t="shared" si="3"/>
        <v/>
      </c>
      <c r="M88" s="238" t="str">
        <f t="shared" si="4"/>
        <v/>
      </c>
      <c r="N88" s="238" t="str">
        <f t="shared" si="5"/>
        <v/>
      </c>
      <c r="O88" s="238" t="str">
        <f t="shared" si="6"/>
        <v/>
      </c>
      <c r="P88" s="237" t="str">
        <f>IFERROR(__xludf.DUMMYFUNCTION("IF(ISBLANK(H88),,IF(IFNA(MATCH(H88,SPLIT(Circuits!$S$2,"";""&amp;CHAR(10)),0),0),FALSE,TRUE))"),"")</f>
        <v/>
      </c>
      <c r="Q88" s="237" t="str">
        <f>IF(ISBLANK(H88),,IFNA(VLOOKUP(H88, Circuits!A:U, 21, FALSE),))</f>
        <v/>
      </c>
      <c r="R88" s="238" t="str">
        <f t="shared" si="7"/>
        <v/>
      </c>
      <c r="S88" s="237" t="str">
        <f>IF(ISBLANK(H88),,IFNA(VLOOKUP(H88, Circuits!A:V, 22, FALSE),))</f>
        <v/>
      </c>
      <c r="T88" s="237" t="str">
        <f>IF(ISBLANK(H88),,IFNA(VLOOKUP(H88, Circuits!A:X, 24, FALSE),))</f>
        <v/>
      </c>
      <c r="V88" s="236" t="str">
        <f>IFERROR(__xludf.DUMMYFUNCTION("IF(ISBLANK(H88),,JOIN("","",H88:T88))"),"")</f>
        <v/>
      </c>
      <c r="W88" s="229" t="str">
        <f t="shared" si="1"/>
        <v/>
      </c>
    </row>
    <row r="89">
      <c r="H89" s="237"/>
      <c r="I89" s="237" t="str">
        <f>IFERROR(__xludf.DUMMYFUNCTION("IF(ISBLANK(H89),,IFNA(""""""""&amp;JOIN("","",INDEX(FILTER(A:D,A:A=H89),0,4))&amp;"""""""",))"),"")</f>
        <v/>
      </c>
      <c r="J89" s="237" t="str">
        <f>IF(ISBLANK(H89),,IFNA(VLOOKUP(H89, Circuits!A:W, 23, FALSE),))</f>
        <v/>
      </c>
      <c r="K89" s="238" t="str">
        <f t="shared" si="2"/>
        <v/>
      </c>
      <c r="L89" s="238" t="str">
        <f t="shared" si="3"/>
        <v/>
      </c>
      <c r="M89" s="238" t="str">
        <f t="shared" si="4"/>
        <v/>
      </c>
      <c r="N89" s="238" t="str">
        <f t="shared" si="5"/>
        <v/>
      </c>
      <c r="O89" s="238" t="str">
        <f t="shared" si="6"/>
        <v/>
      </c>
      <c r="P89" s="237" t="str">
        <f>IFERROR(__xludf.DUMMYFUNCTION("IF(ISBLANK(H89),,IF(IFNA(MATCH(H89,SPLIT(Circuits!$S$2,"";""&amp;CHAR(10)),0),0),FALSE,TRUE))"),"")</f>
        <v/>
      </c>
      <c r="Q89" s="237" t="str">
        <f>IF(ISBLANK(H89),,IFNA(VLOOKUP(H89, Circuits!A:U, 21, FALSE),))</f>
        <v/>
      </c>
      <c r="R89" s="238" t="str">
        <f t="shared" si="7"/>
        <v/>
      </c>
      <c r="S89" s="237" t="str">
        <f>IF(ISBLANK(H89),,IFNA(VLOOKUP(H89, Circuits!A:V, 22, FALSE),))</f>
        <v/>
      </c>
      <c r="T89" s="237" t="str">
        <f>IF(ISBLANK(H89),,IFNA(VLOOKUP(H89, Circuits!A:X, 24, FALSE),))</f>
        <v/>
      </c>
      <c r="V89" s="236" t="str">
        <f>IFERROR(__xludf.DUMMYFUNCTION("IF(ISBLANK(H89),,JOIN("","",H89:T89))"),"")</f>
        <v/>
      </c>
      <c r="W89" s="229" t="str">
        <f t="shared" si="1"/>
        <v/>
      </c>
    </row>
    <row r="90">
      <c r="H90" s="237"/>
      <c r="I90" s="237" t="str">
        <f>IFERROR(__xludf.DUMMYFUNCTION("IF(ISBLANK(H90),,IFNA(""""""""&amp;JOIN("","",INDEX(FILTER(A:D,A:A=H90),0,4))&amp;"""""""",))"),"")</f>
        <v/>
      </c>
      <c r="J90" s="237" t="str">
        <f>IF(ISBLANK(H90),,IFNA(VLOOKUP(H90, Circuits!A:W, 23, FALSE),))</f>
        <v/>
      </c>
      <c r="K90" s="238" t="str">
        <f t="shared" si="2"/>
        <v/>
      </c>
      <c r="L90" s="238" t="str">
        <f t="shared" si="3"/>
        <v/>
      </c>
      <c r="M90" s="238" t="str">
        <f t="shared" si="4"/>
        <v/>
      </c>
      <c r="N90" s="238" t="str">
        <f t="shared" si="5"/>
        <v/>
      </c>
      <c r="O90" s="238" t="str">
        <f t="shared" si="6"/>
        <v/>
      </c>
      <c r="P90" s="237" t="str">
        <f>IFERROR(__xludf.DUMMYFUNCTION("IF(ISBLANK(H90),,IF(IFNA(MATCH(H90,SPLIT(Circuits!$S$2,"";""&amp;CHAR(10)),0),0),FALSE,TRUE))"),"")</f>
        <v/>
      </c>
      <c r="Q90" s="237" t="str">
        <f>IF(ISBLANK(H90),,IFNA(VLOOKUP(H90, Circuits!A:U, 21, FALSE),))</f>
        <v/>
      </c>
      <c r="R90" s="238" t="str">
        <f t="shared" si="7"/>
        <v/>
      </c>
      <c r="S90" s="237" t="str">
        <f>IF(ISBLANK(H90),,IFNA(VLOOKUP(H90, Circuits!A:V, 22, FALSE),))</f>
        <v/>
      </c>
      <c r="T90" s="237" t="str">
        <f>IF(ISBLANK(H90),,IFNA(VLOOKUP(H90, Circuits!A:X, 24, FALSE),))</f>
        <v/>
      </c>
      <c r="V90" s="236" t="str">
        <f>IFERROR(__xludf.DUMMYFUNCTION("IF(ISBLANK(H90),,JOIN("","",H90:T90))"),"")</f>
        <v/>
      </c>
      <c r="W90" s="229" t="str">
        <f t="shared" si="1"/>
        <v/>
      </c>
    </row>
    <row r="91">
      <c r="H91" s="237"/>
      <c r="I91" s="237" t="str">
        <f>IFERROR(__xludf.DUMMYFUNCTION("IF(ISBLANK(H91),,IFNA(""""""""&amp;JOIN("","",INDEX(FILTER(A:D,A:A=H91),0,4))&amp;"""""""",))"),"")</f>
        <v/>
      </c>
      <c r="J91" s="237" t="str">
        <f>IF(ISBLANK(H91),,IFNA(VLOOKUP(H91, Circuits!A:W, 23, FALSE),))</f>
        <v/>
      </c>
      <c r="K91" s="238" t="str">
        <f t="shared" si="2"/>
        <v/>
      </c>
      <c r="L91" s="238" t="str">
        <f t="shared" si="3"/>
        <v/>
      </c>
      <c r="M91" s="238" t="str">
        <f t="shared" si="4"/>
        <v/>
      </c>
      <c r="N91" s="238" t="str">
        <f t="shared" si="5"/>
        <v/>
      </c>
      <c r="O91" s="238" t="str">
        <f t="shared" si="6"/>
        <v/>
      </c>
      <c r="P91" s="237" t="str">
        <f>IFERROR(__xludf.DUMMYFUNCTION("IF(ISBLANK(H91),,IF(IFNA(MATCH(H91,SPLIT(Circuits!$S$2,"";""&amp;CHAR(10)),0),0),FALSE,TRUE))"),"")</f>
        <v/>
      </c>
      <c r="Q91" s="237" t="str">
        <f>IF(ISBLANK(H91),,IFNA(VLOOKUP(H91, Circuits!A:U, 21, FALSE),))</f>
        <v/>
      </c>
      <c r="R91" s="238" t="str">
        <f t="shared" si="7"/>
        <v/>
      </c>
      <c r="S91" s="237" t="str">
        <f>IF(ISBLANK(H91),,IFNA(VLOOKUP(H91, Circuits!A:V, 22, FALSE),))</f>
        <v/>
      </c>
      <c r="T91" s="237" t="str">
        <f>IF(ISBLANK(H91),,IFNA(VLOOKUP(H91, Circuits!A:X, 24, FALSE),))</f>
        <v/>
      </c>
      <c r="V91" s="236" t="str">
        <f>IFERROR(__xludf.DUMMYFUNCTION("IF(ISBLANK(H91),,JOIN("","",H91:T91))"),"")</f>
        <v/>
      </c>
      <c r="W91" s="229" t="str">
        <f t="shared" si="1"/>
        <v/>
      </c>
    </row>
    <row r="92">
      <c r="H92" s="237"/>
      <c r="I92" s="237" t="str">
        <f>IFERROR(__xludf.DUMMYFUNCTION("IF(ISBLANK(H92),,IFNA(""""""""&amp;JOIN("","",INDEX(FILTER(A:D,A:A=H92),0,4))&amp;"""""""",))"),"")</f>
        <v/>
      </c>
      <c r="J92" s="237" t="str">
        <f>IF(ISBLANK(H92),,IFNA(VLOOKUP(H92, Circuits!A:W, 23, FALSE),))</f>
        <v/>
      </c>
      <c r="K92" s="238" t="str">
        <f t="shared" si="2"/>
        <v/>
      </c>
      <c r="L92" s="238" t="str">
        <f t="shared" si="3"/>
        <v/>
      </c>
      <c r="M92" s="238" t="str">
        <f t="shared" si="4"/>
        <v/>
      </c>
      <c r="N92" s="238" t="str">
        <f t="shared" si="5"/>
        <v/>
      </c>
      <c r="O92" s="238" t="str">
        <f t="shared" si="6"/>
        <v/>
      </c>
      <c r="P92" s="237" t="str">
        <f>IFERROR(__xludf.DUMMYFUNCTION("IF(ISBLANK(H92),,IF(IFNA(MATCH(H92,SPLIT(Circuits!$S$2,"";""&amp;CHAR(10)),0),0),FALSE,TRUE))"),"")</f>
        <v/>
      </c>
      <c r="Q92" s="237" t="str">
        <f>IF(ISBLANK(H92),,IFNA(VLOOKUP(H92, Circuits!A:U, 21, FALSE),))</f>
        <v/>
      </c>
      <c r="R92" s="238" t="str">
        <f t="shared" si="7"/>
        <v/>
      </c>
      <c r="S92" s="237" t="str">
        <f>IF(ISBLANK(H92),,IFNA(VLOOKUP(H92, Circuits!A:V, 22, FALSE),))</f>
        <v/>
      </c>
      <c r="T92" s="237" t="str">
        <f>IF(ISBLANK(H92),,IFNA(VLOOKUP(H92, Circuits!A:X, 24, FALSE),))</f>
        <v/>
      </c>
      <c r="V92" s="236" t="str">
        <f>IFERROR(__xludf.DUMMYFUNCTION("IF(ISBLANK(H92),,JOIN("","",H92:T92))"),"")</f>
        <v/>
      </c>
      <c r="W92" s="229" t="str">
        <f t="shared" si="1"/>
        <v/>
      </c>
    </row>
    <row r="93">
      <c r="H93" s="237"/>
      <c r="I93" s="237" t="str">
        <f>IFERROR(__xludf.DUMMYFUNCTION("IF(ISBLANK(H93),,IFNA(""""""""&amp;JOIN("","",INDEX(FILTER(A:D,A:A=H93),0,4))&amp;"""""""",))"),"")</f>
        <v/>
      </c>
      <c r="J93" s="237" t="str">
        <f>IF(ISBLANK(H93),,IFNA(VLOOKUP(H93, Circuits!A:W, 23, FALSE),))</f>
        <v/>
      </c>
      <c r="K93" s="238" t="str">
        <f t="shared" si="2"/>
        <v/>
      </c>
      <c r="L93" s="238" t="str">
        <f t="shared" si="3"/>
        <v/>
      </c>
      <c r="M93" s="238" t="str">
        <f t="shared" si="4"/>
        <v/>
      </c>
      <c r="N93" s="238" t="str">
        <f t="shared" si="5"/>
        <v/>
      </c>
      <c r="O93" s="238" t="str">
        <f t="shared" si="6"/>
        <v/>
      </c>
      <c r="P93" s="237" t="str">
        <f>IFERROR(__xludf.DUMMYFUNCTION("IF(ISBLANK(H93),,IF(IFNA(MATCH(H93,SPLIT(Circuits!$S$2,"";""&amp;CHAR(10)),0),0),FALSE,TRUE))"),"")</f>
        <v/>
      </c>
      <c r="Q93" s="237" t="str">
        <f>IF(ISBLANK(H93),,IFNA(VLOOKUP(H93, Circuits!A:U, 21, FALSE),))</f>
        <v/>
      </c>
      <c r="R93" s="238" t="str">
        <f t="shared" si="7"/>
        <v/>
      </c>
      <c r="S93" s="237" t="str">
        <f>IF(ISBLANK(H93),,IFNA(VLOOKUP(H93, Circuits!A:V, 22, FALSE),))</f>
        <v/>
      </c>
      <c r="T93" s="237" t="str">
        <f>IF(ISBLANK(H93),,IFNA(VLOOKUP(H93, Circuits!A:X, 24, FALSE),))</f>
        <v/>
      </c>
      <c r="V93" s="236" t="str">
        <f>IFERROR(__xludf.DUMMYFUNCTION("IF(ISBLANK(H93),,JOIN("","",H93:T93))"),"")</f>
        <v/>
      </c>
      <c r="W93" s="229" t="str">
        <f t="shared" si="1"/>
        <v/>
      </c>
    </row>
    <row r="94">
      <c r="H94" s="237"/>
      <c r="I94" s="237" t="str">
        <f>IFERROR(__xludf.DUMMYFUNCTION("IF(ISBLANK(H94),,IFNA(""""""""&amp;JOIN("","",INDEX(FILTER(A:D,A:A=H94),0,4))&amp;"""""""",))"),"")</f>
        <v/>
      </c>
      <c r="J94" s="237" t="str">
        <f>IF(ISBLANK(H94),,IFNA(VLOOKUP(H94, Circuits!A:W, 23, FALSE),))</f>
        <v/>
      </c>
      <c r="K94" s="238" t="str">
        <f t="shared" si="2"/>
        <v/>
      </c>
      <c r="L94" s="238" t="str">
        <f t="shared" si="3"/>
        <v/>
      </c>
      <c r="M94" s="238" t="str">
        <f t="shared" si="4"/>
        <v/>
      </c>
      <c r="N94" s="238" t="str">
        <f t="shared" si="5"/>
        <v/>
      </c>
      <c r="O94" s="238" t="str">
        <f t="shared" si="6"/>
        <v/>
      </c>
      <c r="P94" s="237" t="str">
        <f>IFERROR(__xludf.DUMMYFUNCTION("IF(ISBLANK(H94),,IF(IFNA(MATCH(H94,SPLIT(Circuits!$S$2,"";""&amp;CHAR(10)),0),0),FALSE,TRUE))"),"")</f>
        <v/>
      </c>
      <c r="Q94" s="237" t="str">
        <f>IF(ISBLANK(H94),,IFNA(VLOOKUP(H94, Circuits!A:U, 21, FALSE),))</f>
        <v/>
      </c>
      <c r="R94" s="238" t="str">
        <f t="shared" si="7"/>
        <v/>
      </c>
      <c r="S94" s="237" t="str">
        <f>IF(ISBLANK(H94),,IFNA(VLOOKUP(H94, Circuits!A:V, 22, FALSE),))</f>
        <v/>
      </c>
      <c r="T94" s="237" t="str">
        <f>IF(ISBLANK(H94),,IFNA(VLOOKUP(H94, Circuits!A:X, 24, FALSE),))</f>
        <v/>
      </c>
      <c r="V94" s="236" t="str">
        <f>IFERROR(__xludf.DUMMYFUNCTION("IF(ISBLANK(H94),,JOIN("","",H94:T94))"),"")</f>
        <v/>
      </c>
      <c r="W94" s="229" t="str">
        <f t="shared" si="1"/>
        <v/>
      </c>
    </row>
    <row r="95">
      <c r="H95" s="237"/>
      <c r="I95" s="237" t="str">
        <f>IFERROR(__xludf.DUMMYFUNCTION("IF(ISBLANK(H95),,IFNA(""""""""&amp;JOIN("","",INDEX(FILTER(A:D,A:A=H95),0,4))&amp;"""""""",))"),"")</f>
        <v/>
      </c>
      <c r="J95" s="237" t="str">
        <f>IF(ISBLANK(H95),,IFNA(VLOOKUP(H95, Circuits!A:W, 23, FALSE),))</f>
        <v/>
      </c>
      <c r="K95" s="238" t="str">
        <f t="shared" si="2"/>
        <v/>
      </c>
      <c r="L95" s="238" t="str">
        <f t="shared" si="3"/>
        <v/>
      </c>
      <c r="M95" s="238" t="str">
        <f t="shared" si="4"/>
        <v/>
      </c>
      <c r="N95" s="238" t="str">
        <f t="shared" si="5"/>
        <v/>
      </c>
      <c r="O95" s="238" t="str">
        <f t="shared" si="6"/>
        <v/>
      </c>
      <c r="P95" s="237" t="str">
        <f>IFERROR(__xludf.DUMMYFUNCTION("IF(ISBLANK(H95),,IF(IFNA(MATCH(H95,SPLIT(Circuits!$S$2,"";""&amp;CHAR(10)),0),0),FALSE,TRUE))"),"")</f>
        <v/>
      </c>
      <c r="Q95" s="237" t="str">
        <f>IF(ISBLANK(H95),,IFNA(VLOOKUP(H95, Circuits!A:U, 21, FALSE),))</f>
        <v/>
      </c>
      <c r="R95" s="238" t="str">
        <f t="shared" si="7"/>
        <v/>
      </c>
      <c r="S95" s="237" t="str">
        <f>IF(ISBLANK(H95),,IFNA(VLOOKUP(H95, Circuits!A:V, 22, FALSE),))</f>
        <v/>
      </c>
      <c r="T95" s="237" t="str">
        <f>IF(ISBLANK(H95),,IFNA(VLOOKUP(H95, Circuits!A:X, 24, FALSE),))</f>
        <v/>
      </c>
      <c r="V95" s="236" t="str">
        <f>IFERROR(__xludf.DUMMYFUNCTION("IF(ISBLANK(H95),,JOIN("","",H95:T95))"),"")</f>
        <v/>
      </c>
      <c r="W95" s="229" t="str">
        <f t="shared" si="1"/>
        <v/>
      </c>
    </row>
    <row r="96">
      <c r="H96" s="237"/>
      <c r="I96" s="237" t="str">
        <f>IFERROR(__xludf.DUMMYFUNCTION("IF(ISBLANK(H96),,IFNA(""""""""&amp;JOIN("","",INDEX(FILTER(A:D,A:A=H96),0,4))&amp;"""""""",))"),"")</f>
        <v/>
      </c>
      <c r="J96" s="237" t="str">
        <f>IF(ISBLANK(H96),,IFNA(VLOOKUP(H96, Circuits!A:W, 23, FALSE),))</f>
        <v/>
      </c>
      <c r="K96" s="238" t="str">
        <f t="shared" si="2"/>
        <v/>
      </c>
      <c r="L96" s="238" t="str">
        <f t="shared" si="3"/>
        <v/>
      </c>
      <c r="M96" s="238" t="str">
        <f t="shared" si="4"/>
        <v/>
      </c>
      <c r="N96" s="238" t="str">
        <f t="shared" si="5"/>
        <v/>
      </c>
      <c r="O96" s="238" t="str">
        <f t="shared" si="6"/>
        <v/>
      </c>
      <c r="P96" s="237" t="str">
        <f>IFERROR(__xludf.DUMMYFUNCTION("IF(ISBLANK(H96),,IF(IFNA(MATCH(H96,SPLIT(Circuits!$S$2,"";""&amp;CHAR(10)),0),0),FALSE,TRUE))"),"")</f>
        <v/>
      </c>
      <c r="Q96" s="237" t="str">
        <f>IF(ISBLANK(H96),,IFNA(VLOOKUP(H96, Circuits!A:U, 21, FALSE),))</f>
        <v/>
      </c>
      <c r="R96" s="238" t="str">
        <f t="shared" si="7"/>
        <v/>
      </c>
      <c r="S96" s="237" t="str">
        <f>IF(ISBLANK(H96),,IFNA(VLOOKUP(H96, Circuits!A:V, 22, FALSE),))</f>
        <v/>
      </c>
      <c r="T96" s="237" t="str">
        <f>IF(ISBLANK(H96),,IFNA(VLOOKUP(H96, Circuits!A:X, 24, FALSE),))</f>
        <v/>
      </c>
      <c r="V96" s="236" t="str">
        <f>IFERROR(__xludf.DUMMYFUNCTION("IF(ISBLANK(H96),,JOIN("","",H96:T96))"),"")</f>
        <v/>
      </c>
      <c r="W96" s="229" t="str">
        <f t="shared" si="1"/>
        <v/>
      </c>
    </row>
    <row r="97">
      <c r="H97" s="237"/>
      <c r="I97" s="237" t="str">
        <f>IFERROR(__xludf.DUMMYFUNCTION("IF(ISBLANK(H97),,IFNA(""""""""&amp;JOIN("","",INDEX(FILTER(A:D,A:A=H97),0,4))&amp;"""""""",))"),"")</f>
        <v/>
      </c>
      <c r="J97" s="237" t="str">
        <f>IF(ISBLANK(H97),,IFNA(VLOOKUP(H97, Circuits!A:W, 23, FALSE),))</f>
        <v/>
      </c>
      <c r="K97" s="238" t="str">
        <f t="shared" si="2"/>
        <v/>
      </c>
      <c r="L97" s="238" t="str">
        <f t="shared" si="3"/>
        <v/>
      </c>
      <c r="M97" s="238" t="str">
        <f t="shared" si="4"/>
        <v/>
      </c>
      <c r="N97" s="238" t="str">
        <f t="shared" si="5"/>
        <v/>
      </c>
      <c r="O97" s="238" t="str">
        <f t="shared" si="6"/>
        <v/>
      </c>
      <c r="P97" s="237" t="str">
        <f>IFERROR(__xludf.DUMMYFUNCTION("IF(ISBLANK(H97),,IF(IFNA(MATCH(H97,SPLIT(Circuits!$S$2,"";""&amp;CHAR(10)),0),0),FALSE,TRUE))"),"")</f>
        <v/>
      </c>
      <c r="Q97" s="237" t="str">
        <f>IF(ISBLANK(H97),,IFNA(VLOOKUP(H97, Circuits!A:U, 21, FALSE),))</f>
        <v/>
      </c>
      <c r="R97" s="238" t="str">
        <f t="shared" si="7"/>
        <v/>
      </c>
      <c r="S97" s="237" t="str">
        <f>IF(ISBLANK(H97),,IFNA(VLOOKUP(H97, Circuits!A:V, 22, FALSE),))</f>
        <v/>
      </c>
      <c r="T97" s="237" t="str">
        <f>IF(ISBLANK(H97),,IFNA(VLOOKUP(H97, Circuits!A:X, 24, FALSE),))</f>
        <v/>
      </c>
      <c r="V97" s="236" t="str">
        <f>IFERROR(__xludf.DUMMYFUNCTION("IF(ISBLANK(H97),,JOIN("","",H97:T97))"),"")</f>
        <v/>
      </c>
      <c r="W97" s="229" t="str">
        <f t="shared" si="1"/>
        <v/>
      </c>
    </row>
    <row r="98">
      <c r="H98" s="237"/>
      <c r="I98" s="237" t="str">
        <f>IFERROR(__xludf.DUMMYFUNCTION("IF(ISBLANK(H98),,IFNA(""""""""&amp;JOIN("","",INDEX(FILTER(A:D,A:A=H98),0,4))&amp;"""""""",))"),"")</f>
        <v/>
      </c>
      <c r="J98" s="237" t="str">
        <f>IF(ISBLANK(H98),,IFNA(VLOOKUP(H98, Circuits!A:W, 23, FALSE),))</f>
        <v/>
      </c>
      <c r="K98" s="238" t="str">
        <f t="shared" si="2"/>
        <v/>
      </c>
      <c r="L98" s="238" t="str">
        <f t="shared" si="3"/>
        <v/>
      </c>
      <c r="M98" s="238" t="str">
        <f t="shared" si="4"/>
        <v/>
      </c>
      <c r="N98" s="238" t="str">
        <f t="shared" si="5"/>
        <v/>
      </c>
      <c r="O98" s="238" t="str">
        <f t="shared" si="6"/>
        <v/>
      </c>
      <c r="P98" s="237" t="str">
        <f>IFERROR(__xludf.DUMMYFUNCTION("IF(ISBLANK(H98),,IF(IFNA(MATCH(H98,SPLIT(Circuits!$S$2,"";""&amp;CHAR(10)),0),0),FALSE,TRUE))"),"")</f>
        <v/>
      </c>
      <c r="Q98" s="237" t="str">
        <f>IF(ISBLANK(H98),,IFNA(VLOOKUP(H98, Circuits!A:U, 21, FALSE),))</f>
        <v/>
      </c>
      <c r="R98" s="238" t="str">
        <f t="shared" si="7"/>
        <v/>
      </c>
      <c r="S98" s="237" t="str">
        <f>IF(ISBLANK(H98),,IFNA(VLOOKUP(H98, Circuits!A:V, 22, FALSE),))</f>
        <v/>
      </c>
      <c r="T98" s="237" t="str">
        <f>IF(ISBLANK(H98),,IFNA(VLOOKUP(H98, Circuits!A:X, 24, FALSE),))</f>
        <v/>
      </c>
      <c r="V98" s="236" t="str">
        <f>IFERROR(__xludf.DUMMYFUNCTION("IF(ISBLANK(H98),,JOIN("","",H98:T98))"),"")</f>
        <v/>
      </c>
      <c r="W98" s="229" t="str">
        <f t="shared" si="1"/>
        <v/>
      </c>
    </row>
    <row r="99">
      <c r="H99" s="237"/>
      <c r="I99" s="237" t="str">
        <f>IFERROR(__xludf.DUMMYFUNCTION("IF(ISBLANK(H99),,IFNA(""""""""&amp;JOIN("","",INDEX(FILTER(A:D,A:A=H99),0,4))&amp;"""""""",))"),"")</f>
        <v/>
      </c>
      <c r="J99" s="237" t="str">
        <f>IF(ISBLANK(H99),,IFNA(VLOOKUP(H99, Circuits!A:W, 23, FALSE),))</f>
        <v/>
      </c>
      <c r="K99" s="238" t="str">
        <f t="shared" si="2"/>
        <v/>
      </c>
      <c r="L99" s="238" t="str">
        <f t="shared" si="3"/>
        <v/>
      </c>
      <c r="M99" s="238" t="str">
        <f t="shared" si="4"/>
        <v/>
      </c>
      <c r="N99" s="238" t="str">
        <f t="shared" si="5"/>
        <v/>
      </c>
      <c r="O99" s="238" t="str">
        <f t="shared" si="6"/>
        <v/>
      </c>
      <c r="P99" s="237" t="str">
        <f>IFERROR(__xludf.DUMMYFUNCTION("IF(ISBLANK(H99),,IF(IFNA(MATCH(H99,SPLIT(Circuits!$S$2,"";""&amp;CHAR(10)),0),0),FALSE,TRUE))"),"")</f>
        <v/>
      </c>
      <c r="Q99" s="237" t="str">
        <f>IF(ISBLANK(H99),,IFNA(VLOOKUP(H99, Circuits!A:U, 21, FALSE),))</f>
        <v/>
      </c>
      <c r="R99" s="238" t="str">
        <f t="shared" si="7"/>
        <v/>
      </c>
      <c r="S99" s="237" t="str">
        <f>IF(ISBLANK(H99),,IFNA(VLOOKUP(H99, Circuits!A:V, 22, FALSE),))</f>
        <v/>
      </c>
      <c r="T99" s="237" t="str">
        <f>IF(ISBLANK(H99),,IFNA(VLOOKUP(H99, Circuits!A:X, 24, FALSE),))</f>
        <v/>
      </c>
      <c r="V99" s="236" t="str">
        <f>IFERROR(__xludf.DUMMYFUNCTION("IF(ISBLANK(H99),,JOIN("","",H99:T99))"),"")</f>
        <v/>
      </c>
      <c r="W99" s="229" t="str">
        <f t="shared" si="1"/>
        <v/>
      </c>
    </row>
    <row r="100">
      <c r="H100" s="237"/>
      <c r="I100" s="237" t="str">
        <f>IFERROR(__xludf.DUMMYFUNCTION("IF(ISBLANK(H100),,IFNA(""""""""&amp;JOIN("","",INDEX(FILTER(A:D,A:A=H100),0,4))&amp;"""""""",))"),"")</f>
        <v/>
      </c>
      <c r="J100" s="237" t="str">
        <f>IF(ISBLANK(H100),,IFNA(VLOOKUP(H100, Circuits!A:W, 23, FALSE),))</f>
        <v/>
      </c>
      <c r="K100" s="238" t="str">
        <f t="shared" si="2"/>
        <v/>
      </c>
      <c r="L100" s="238" t="str">
        <f t="shared" si="3"/>
        <v/>
      </c>
      <c r="M100" s="238" t="str">
        <f t="shared" si="4"/>
        <v/>
      </c>
      <c r="N100" s="238" t="str">
        <f t="shared" si="5"/>
        <v/>
      </c>
      <c r="O100" s="238" t="str">
        <f t="shared" si="6"/>
        <v/>
      </c>
      <c r="P100" s="237" t="str">
        <f>IFERROR(__xludf.DUMMYFUNCTION("IF(ISBLANK(H100),,IF(IFNA(MATCH(H100,SPLIT(Circuits!$S$2,"";""&amp;CHAR(10)),0),0),FALSE,TRUE))"),"")</f>
        <v/>
      </c>
      <c r="Q100" s="237" t="str">
        <f>IF(ISBLANK(H100),,IFNA(VLOOKUP(H100, Circuits!A:U, 21, FALSE),))</f>
        <v/>
      </c>
      <c r="R100" s="238" t="str">
        <f t="shared" si="7"/>
        <v/>
      </c>
      <c r="S100" s="237" t="str">
        <f>IF(ISBLANK(H100),,IFNA(VLOOKUP(H100, Circuits!A:V, 22, FALSE),))</f>
        <v/>
      </c>
      <c r="T100" s="237" t="str">
        <f>IF(ISBLANK(H100),,IFNA(VLOOKUP(H100, Circuits!A:X, 24, FALSE),))</f>
        <v/>
      </c>
      <c r="V100" s="236" t="str">
        <f>IFERROR(__xludf.DUMMYFUNCTION("IF(ISBLANK(H100),,JOIN("","",H100:T100))"),"")</f>
        <v/>
      </c>
      <c r="W100" s="229" t="str">
        <f t="shared" si="1"/>
        <v/>
      </c>
    </row>
    <row r="101">
      <c r="H101" s="237"/>
      <c r="I101" s="237" t="str">
        <f>IFERROR(__xludf.DUMMYFUNCTION("IF(ISBLANK(H101),,IFNA(""""""""&amp;JOIN("","",INDEX(FILTER(A:D,A:A=H101),0,4))&amp;"""""""",))"),"")</f>
        <v/>
      </c>
      <c r="J101" s="237" t="str">
        <f>IF(ISBLANK(H101),,IFNA(VLOOKUP(H101, Circuits!A:W, 23, FALSE),))</f>
        <v/>
      </c>
      <c r="K101" s="238" t="str">
        <f t="shared" si="2"/>
        <v/>
      </c>
      <c r="L101" s="238" t="str">
        <f t="shared" si="3"/>
        <v/>
      </c>
      <c r="M101" s="238" t="str">
        <f t="shared" si="4"/>
        <v/>
      </c>
      <c r="N101" s="238" t="str">
        <f t="shared" si="5"/>
        <v/>
      </c>
      <c r="O101" s="238" t="str">
        <f t="shared" si="6"/>
        <v/>
      </c>
      <c r="P101" s="237" t="str">
        <f>IFERROR(__xludf.DUMMYFUNCTION("IF(ISBLANK(H101),,IF(IFNA(MATCH(H101,SPLIT(Circuits!$S$2,"";""&amp;CHAR(10)),0),0),FALSE,TRUE))"),"")</f>
        <v/>
      </c>
      <c r="Q101" s="237" t="str">
        <f>IF(ISBLANK(H101),,IFNA(VLOOKUP(H101, Circuits!A:U, 21, FALSE),))</f>
        <v/>
      </c>
      <c r="R101" s="238" t="str">
        <f t="shared" si="7"/>
        <v/>
      </c>
      <c r="S101" s="237" t="str">
        <f>IF(ISBLANK(H101),,IFNA(VLOOKUP(H101, Circuits!A:V, 22, FALSE),))</f>
        <v/>
      </c>
      <c r="T101" s="237" t="str">
        <f>IF(ISBLANK(H101),,IFNA(VLOOKUP(H101, Circuits!A:X, 24, FALSE),))</f>
        <v/>
      </c>
      <c r="V101" s="236" t="str">
        <f>IFERROR(__xludf.DUMMYFUNCTION("IF(ISBLANK(H101),,JOIN("","",H101:T101))"),"")</f>
        <v/>
      </c>
      <c r="W101" s="229" t="str">
        <f t="shared" si="1"/>
        <v/>
      </c>
    </row>
    <row r="102">
      <c r="H102" s="237"/>
      <c r="I102" s="237" t="str">
        <f>IFERROR(__xludf.DUMMYFUNCTION("IF(ISBLANK(H102),,IFNA(""""""""&amp;JOIN("","",INDEX(FILTER(A:D,A:A=H102),0,4))&amp;"""""""",))"),"")</f>
        <v/>
      </c>
      <c r="J102" s="237" t="str">
        <f>IF(ISBLANK(H102),,IFNA(VLOOKUP(H102, Circuits!A:W, 23, FALSE),))</f>
        <v/>
      </c>
      <c r="K102" s="238" t="str">
        <f t="shared" si="2"/>
        <v/>
      </c>
      <c r="L102" s="238" t="str">
        <f t="shared" si="3"/>
        <v/>
      </c>
      <c r="M102" s="238" t="str">
        <f t="shared" si="4"/>
        <v/>
      </c>
      <c r="N102" s="238" t="str">
        <f t="shared" si="5"/>
        <v/>
      </c>
      <c r="O102" s="238" t="str">
        <f t="shared" si="6"/>
        <v/>
      </c>
      <c r="P102" s="237" t="str">
        <f>IFERROR(__xludf.DUMMYFUNCTION("IF(ISBLANK(H102),,IF(IFNA(MATCH(H102,SPLIT(Circuits!$S$2,"";""&amp;CHAR(10)),0),0),FALSE,TRUE))"),"")</f>
        <v/>
      </c>
      <c r="Q102" s="237" t="str">
        <f>IF(ISBLANK(H102),,IFNA(VLOOKUP(H102, Circuits!A:U, 21, FALSE),))</f>
        <v/>
      </c>
      <c r="R102" s="238" t="str">
        <f t="shared" si="7"/>
        <v/>
      </c>
      <c r="S102" s="237" t="str">
        <f>IF(ISBLANK(H102),,IFNA(VLOOKUP(H102, Circuits!A:V, 22, FALSE),))</f>
        <v/>
      </c>
      <c r="T102" s="237" t="str">
        <f>IF(ISBLANK(H102),,IFNA(VLOOKUP(H102, Circuits!A:X, 24, FALSE),))</f>
        <v/>
      </c>
      <c r="V102" s="236" t="str">
        <f>IFERROR(__xludf.DUMMYFUNCTION("IF(ISBLANK(H102),,JOIN("","",H102:T102))"),"")</f>
        <v/>
      </c>
      <c r="W102" s="229" t="str">
        <f t="shared" si="1"/>
        <v/>
      </c>
    </row>
    <row r="103">
      <c r="H103" s="237"/>
      <c r="I103" s="237" t="str">
        <f>IFERROR(__xludf.DUMMYFUNCTION("IF(ISBLANK(H103),,IFNA(""""""""&amp;JOIN("","",INDEX(FILTER(A:D,A:A=H103),0,4))&amp;"""""""",))"),"")</f>
        <v/>
      </c>
      <c r="J103" s="237" t="str">
        <f>IF(ISBLANK(H103),,IFNA(VLOOKUP(H103, Circuits!A:W, 23, FALSE),))</f>
        <v/>
      </c>
      <c r="K103" s="238" t="str">
        <f t="shared" si="2"/>
        <v/>
      </c>
      <c r="L103" s="238" t="str">
        <f t="shared" si="3"/>
        <v/>
      </c>
      <c r="M103" s="238" t="str">
        <f t="shared" si="4"/>
        <v/>
      </c>
      <c r="N103" s="238" t="str">
        <f t="shared" si="5"/>
        <v/>
      </c>
      <c r="O103" s="238" t="str">
        <f t="shared" si="6"/>
        <v/>
      </c>
      <c r="P103" s="237" t="str">
        <f>IFERROR(__xludf.DUMMYFUNCTION("IF(ISBLANK(H103),,IF(IFNA(MATCH(H103,SPLIT(Circuits!$S$2,"";""&amp;CHAR(10)),0),0),FALSE,TRUE))"),"")</f>
        <v/>
      </c>
      <c r="Q103" s="237" t="str">
        <f>IF(ISBLANK(H103),,IFNA(VLOOKUP(H103, Circuits!A:U, 21, FALSE),))</f>
        <v/>
      </c>
      <c r="R103" s="238" t="str">
        <f t="shared" si="7"/>
        <v/>
      </c>
      <c r="S103" s="237" t="str">
        <f>IF(ISBLANK(H103),,IFNA(VLOOKUP(H103, Circuits!A:V, 22, FALSE),))</f>
        <v/>
      </c>
      <c r="T103" s="237" t="str">
        <f>IF(ISBLANK(H103),,IFNA(VLOOKUP(H103, Circuits!A:X, 24, FALSE),))</f>
        <v/>
      </c>
      <c r="V103" s="236" t="str">
        <f>IFERROR(__xludf.DUMMYFUNCTION("IF(ISBLANK(H103),,JOIN("","",H103:T103))"),"")</f>
        <v/>
      </c>
      <c r="W103" s="229" t="str">
        <f t="shared" si="1"/>
        <v/>
      </c>
    </row>
    <row r="104">
      <c r="H104" s="237"/>
      <c r="I104" s="237" t="str">
        <f>IFERROR(__xludf.DUMMYFUNCTION("IF(ISBLANK(H104),,IFNA(""""""""&amp;JOIN("","",INDEX(FILTER(A:D,A:A=H104),0,4))&amp;"""""""",))"),"")</f>
        <v/>
      </c>
      <c r="J104" s="237" t="str">
        <f>IF(ISBLANK(H104),,IFNA(VLOOKUP(H104, Circuits!A:W, 23, FALSE),))</f>
        <v/>
      </c>
      <c r="K104" s="238" t="str">
        <f t="shared" si="2"/>
        <v/>
      </c>
      <c r="L104" s="238" t="str">
        <f t="shared" si="3"/>
        <v/>
      </c>
      <c r="M104" s="238" t="str">
        <f t="shared" si="4"/>
        <v/>
      </c>
      <c r="N104" s="238" t="str">
        <f t="shared" si="5"/>
        <v/>
      </c>
      <c r="O104" s="238" t="str">
        <f t="shared" si="6"/>
        <v/>
      </c>
      <c r="P104" s="237" t="str">
        <f>IFERROR(__xludf.DUMMYFUNCTION("IF(ISBLANK(H104),,IF(IFNA(MATCH(H104,SPLIT(Circuits!$S$2,"";""&amp;CHAR(10)),0),0),FALSE,TRUE))"),"")</f>
        <v/>
      </c>
      <c r="Q104" s="237" t="str">
        <f>IF(ISBLANK(H104),,IFNA(VLOOKUP(H104, Circuits!A:U, 21, FALSE),))</f>
        <v/>
      </c>
      <c r="R104" s="238" t="str">
        <f t="shared" si="7"/>
        <v/>
      </c>
      <c r="S104" s="237" t="str">
        <f>IF(ISBLANK(H104),,IFNA(VLOOKUP(H104, Circuits!A:V, 22, FALSE),))</f>
        <v/>
      </c>
      <c r="T104" s="237" t="str">
        <f>IF(ISBLANK(H104),,IFNA(VLOOKUP(H104, Circuits!A:X, 24, FALSE),))</f>
        <v/>
      </c>
      <c r="V104" s="236" t="str">
        <f>IFERROR(__xludf.DUMMYFUNCTION("IF(ISBLANK(H104),,JOIN("","",H104:T104))"),"")</f>
        <v/>
      </c>
      <c r="W104" s="229" t="str">
        <f t="shared" si="1"/>
        <v/>
      </c>
    </row>
    <row r="105">
      <c r="H105" s="237"/>
      <c r="I105" s="237" t="str">
        <f>IFERROR(__xludf.DUMMYFUNCTION("IF(ISBLANK(H105),,IFNA(""""""""&amp;JOIN("","",INDEX(FILTER(A:D,A:A=H105),0,4))&amp;"""""""",))"),"")</f>
        <v/>
      </c>
      <c r="J105" s="237" t="str">
        <f>IF(ISBLANK(H105),,IFNA(VLOOKUP(H105, Circuits!A:W, 23, FALSE),))</f>
        <v/>
      </c>
      <c r="K105" s="238" t="str">
        <f t="shared" si="2"/>
        <v/>
      </c>
      <c r="L105" s="238" t="str">
        <f t="shared" si="3"/>
        <v/>
      </c>
      <c r="M105" s="238" t="str">
        <f t="shared" si="4"/>
        <v/>
      </c>
      <c r="N105" s="238" t="str">
        <f t="shared" si="5"/>
        <v/>
      </c>
      <c r="O105" s="238" t="str">
        <f t="shared" si="6"/>
        <v/>
      </c>
      <c r="P105" s="237" t="str">
        <f>IFERROR(__xludf.DUMMYFUNCTION("IF(ISBLANK(H105),,IF(IFNA(MATCH(H105,SPLIT(Circuits!$S$2,"";""&amp;CHAR(10)),0),0),FALSE,TRUE))"),"")</f>
        <v/>
      </c>
      <c r="Q105" s="237" t="str">
        <f>IF(ISBLANK(H105),,IFNA(VLOOKUP(H105, Circuits!A:U, 21, FALSE),))</f>
        <v/>
      </c>
      <c r="R105" s="238" t="str">
        <f t="shared" si="7"/>
        <v/>
      </c>
      <c r="S105" s="237" t="str">
        <f>IF(ISBLANK(H105),,IFNA(VLOOKUP(H105, Circuits!A:V, 22, FALSE),))</f>
        <v/>
      </c>
      <c r="T105" s="237" t="str">
        <f>IF(ISBLANK(H105),,IFNA(VLOOKUP(H105, Circuits!A:X, 24, FALSE),))</f>
        <v/>
      </c>
      <c r="V105" s="236" t="str">
        <f>IFERROR(__xludf.DUMMYFUNCTION("IF(ISBLANK(H105),,JOIN("","",H105:T105))"),"")</f>
        <v/>
      </c>
      <c r="W105" s="229" t="str">
        <f t="shared" si="1"/>
        <v/>
      </c>
    </row>
    <row r="106">
      <c r="H106" s="237"/>
      <c r="I106" s="237" t="str">
        <f>IFERROR(__xludf.DUMMYFUNCTION("IF(ISBLANK(H106),,IFNA(""""""""&amp;JOIN("","",INDEX(FILTER(A:D,A:A=H106),0,4))&amp;"""""""",))"),"")</f>
        <v/>
      </c>
      <c r="J106" s="237" t="str">
        <f>IF(ISBLANK(H106),,IFNA(VLOOKUP(H106, Circuits!A:W, 23, FALSE),))</f>
        <v/>
      </c>
      <c r="K106" s="238" t="str">
        <f t="shared" si="2"/>
        <v/>
      </c>
      <c r="L106" s="238" t="str">
        <f t="shared" si="3"/>
        <v/>
      </c>
      <c r="M106" s="238" t="str">
        <f t="shared" si="4"/>
        <v/>
      </c>
      <c r="N106" s="238" t="str">
        <f t="shared" si="5"/>
        <v/>
      </c>
      <c r="O106" s="238" t="str">
        <f t="shared" si="6"/>
        <v/>
      </c>
      <c r="P106" s="237" t="str">
        <f>IFERROR(__xludf.DUMMYFUNCTION("IF(ISBLANK(H106),,IF(IFNA(MATCH(H106,SPLIT(Circuits!$S$2,"";""&amp;CHAR(10)),0),0),FALSE,TRUE))"),"")</f>
        <v/>
      </c>
      <c r="Q106" s="237" t="str">
        <f>IF(ISBLANK(H106),,IFNA(VLOOKUP(H106, Circuits!A:U, 21, FALSE),))</f>
        <v/>
      </c>
      <c r="R106" s="238" t="str">
        <f t="shared" si="7"/>
        <v/>
      </c>
      <c r="S106" s="237" t="str">
        <f>IF(ISBLANK(H106),,IFNA(VLOOKUP(H106, Circuits!A:V, 22, FALSE),))</f>
        <v/>
      </c>
      <c r="T106" s="237" t="str">
        <f>IF(ISBLANK(H106),,IFNA(VLOOKUP(H106, Circuits!A:X, 24, FALSE),))</f>
        <v/>
      </c>
      <c r="V106" s="236" t="str">
        <f>IFERROR(__xludf.DUMMYFUNCTION("IF(ISBLANK(H106),,JOIN("","",H106:T106))"),"")</f>
        <v/>
      </c>
      <c r="W106" s="229" t="str">
        <f t="shared" si="1"/>
        <v/>
      </c>
    </row>
    <row r="107">
      <c r="H107" s="237"/>
      <c r="I107" s="237" t="str">
        <f>IFERROR(__xludf.DUMMYFUNCTION("IF(ISBLANK(H107),,IFNA(""""""""&amp;JOIN("","",INDEX(FILTER(A:D,A:A=H107),0,4))&amp;"""""""",))"),"")</f>
        <v/>
      </c>
      <c r="J107" s="237" t="str">
        <f>IF(ISBLANK(H107),,IFNA(VLOOKUP(H107, Circuits!A:W, 23, FALSE),))</f>
        <v/>
      </c>
      <c r="K107" s="238" t="str">
        <f t="shared" si="2"/>
        <v/>
      </c>
      <c r="L107" s="238" t="str">
        <f t="shared" si="3"/>
        <v/>
      </c>
      <c r="M107" s="238" t="str">
        <f t="shared" si="4"/>
        <v/>
      </c>
      <c r="N107" s="238" t="str">
        <f t="shared" si="5"/>
        <v/>
      </c>
      <c r="O107" s="238" t="str">
        <f t="shared" si="6"/>
        <v/>
      </c>
      <c r="P107" s="237" t="str">
        <f>IFERROR(__xludf.DUMMYFUNCTION("IF(ISBLANK(H107),,IF(IFNA(MATCH(H107,SPLIT(Circuits!$S$2,"";""&amp;CHAR(10)),0),0),FALSE,TRUE))"),"")</f>
        <v/>
      </c>
      <c r="Q107" s="237" t="str">
        <f>IF(ISBLANK(H107),,IFNA(VLOOKUP(H107, Circuits!A:U, 21, FALSE),))</f>
        <v/>
      </c>
      <c r="R107" s="238" t="str">
        <f t="shared" si="7"/>
        <v/>
      </c>
      <c r="S107" s="237" t="str">
        <f>IF(ISBLANK(H107),,IFNA(VLOOKUP(H107, Circuits!A:V, 22, FALSE),))</f>
        <v/>
      </c>
      <c r="T107" s="237" t="str">
        <f>IF(ISBLANK(H107),,IFNA(VLOOKUP(H107, Circuits!A:X, 24, FALSE),))</f>
        <v/>
      </c>
      <c r="V107" s="236" t="str">
        <f>IFERROR(__xludf.DUMMYFUNCTION("IF(ISBLANK(H107),,JOIN("","",H107:T107))"),"")</f>
        <v/>
      </c>
      <c r="W107" s="229" t="str">
        <f t="shared" si="1"/>
        <v/>
      </c>
    </row>
    <row r="108">
      <c r="H108" s="237"/>
      <c r="I108" s="237" t="str">
        <f>IFERROR(__xludf.DUMMYFUNCTION("IF(ISBLANK(H108),,IFNA(""""""""&amp;JOIN("","",INDEX(FILTER(A:D,A:A=H108),0,4))&amp;"""""""",))"),"")</f>
        <v/>
      </c>
      <c r="J108" s="237" t="str">
        <f>IF(ISBLANK(H108),,IFNA(VLOOKUP(H108, Circuits!A:W, 23, FALSE),))</f>
        <v/>
      </c>
      <c r="K108" s="238" t="str">
        <f t="shared" si="2"/>
        <v/>
      </c>
      <c r="L108" s="238" t="str">
        <f t="shared" si="3"/>
        <v/>
      </c>
      <c r="M108" s="238" t="str">
        <f t="shared" si="4"/>
        <v/>
      </c>
      <c r="N108" s="238" t="str">
        <f t="shared" si="5"/>
        <v/>
      </c>
      <c r="O108" s="238" t="str">
        <f t="shared" si="6"/>
        <v/>
      </c>
      <c r="P108" s="237" t="str">
        <f>IFERROR(__xludf.DUMMYFUNCTION("IF(ISBLANK(H108),,IF(IFNA(MATCH(H108,SPLIT(Circuits!$S$2,"";""&amp;CHAR(10)),0),0),FALSE,TRUE))"),"")</f>
        <v/>
      </c>
      <c r="Q108" s="237" t="str">
        <f>IF(ISBLANK(H108),,IFNA(VLOOKUP(H108, Circuits!A:U, 21, FALSE),))</f>
        <v/>
      </c>
      <c r="R108" s="238" t="str">
        <f t="shared" si="7"/>
        <v/>
      </c>
      <c r="S108" s="237" t="str">
        <f>IF(ISBLANK(H108),,IFNA(VLOOKUP(H108, Circuits!A:V, 22, FALSE),))</f>
        <v/>
      </c>
      <c r="T108" s="237" t="str">
        <f>IF(ISBLANK(H108),,IFNA(VLOOKUP(H108, Circuits!A:X, 24, FALSE),))</f>
        <v/>
      </c>
      <c r="V108" s="236" t="str">
        <f>IFERROR(__xludf.DUMMYFUNCTION("IF(ISBLANK(H108),,JOIN("","",H108:T108))"),"")</f>
        <v/>
      </c>
      <c r="W108" s="229" t="str">
        <f t="shared" si="1"/>
        <v/>
      </c>
    </row>
    <row r="109">
      <c r="H109" s="237"/>
      <c r="I109" s="237" t="str">
        <f>IFERROR(__xludf.DUMMYFUNCTION("IF(ISBLANK(H109),,IFNA(""""""""&amp;JOIN("","",INDEX(FILTER(A:D,A:A=H109),0,4))&amp;"""""""",))"),"")</f>
        <v/>
      </c>
      <c r="J109" s="237" t="str">
        <f>IF(ISBLANK(H109),,IFNA(VLOOKUP(H109, Circuits!A:W, 23, FALSE),))</f>
        <v/>
      </c>
      <c r="K109" s="238" t="str">
        <f t="shared" si="2"/>
        <v/>
      </c>
      <c r="L109" s="238" t="str">
        <f t="shared" si="3"/>
        <v/>
      </c>
      <c r="M109" s="238" t="str">
        <f t="shared" si="4"/>
        <v/>
      </c>
      <c r="N109" s="238" t="str">
        <f t="shared" si="5"/>
        <v/>
      </c>
      <c r="O109" s="238" t="str">
        <f t="shared" si="6"/>
        <v/>
      </c>
      <c r="P109" s="237" t="str">
        <f>IFERROR(__xludf.DUMMYFUNCTION("IF(ISBLANK(H109),,IF(IFNA(MATCH(H109,SPLIT(Circuits!$S$2,"";""&amp;CHAR(10)),0),0),FALSE,TRUE))"),"")</f>
        <v/>
      </c>
      <c r="Q109" s="237" t="str">
        <f>IF(ISBLANK(H109),,IFNA(VLOOKUP(H109, Circuits!A:U, 21, FALSE),))</f>
        <v/>
      </c>
      <c r="R109" s="238" t="str">
        <f t="shared" si="7"/>
        <v/>
      </c>
      <c r="S109" s="237" t="str">
        <f>IF(ISBLANK(H109),,IFNA(VLOOKUP(H109, Circuits!A:V, 22, FALSE),))</f>
        <v/>
      </c>
      <c r="T109" s="237" t="str">
        <f>IF(ISBLANK(H109),,IFNA(VLOOKUP(H109, Circuits!A:X, 24, FALSE),))</f>
        <v/>
      </c>
      <c r="V109" s="236" t="str">
        <f>IFERROR(__xludf.DUMMYFUNCTION("IF(ISBLANK(H109),,JOIN("","",H109:T109))"),"")</f>
        <v/>
      </c>
      <c r="W109" s="229" t="str">
        <f t="shared" si="1"/>
        <v/>
      </c>
    </row>
    <row r="110">
      <c r="H110" s="237"/>
      <c r="I110" s="237" t="str">
        <f>IFERROR(__xludf.DUMMYFUNCTION("IF(ISBLANK(H110),,IFNA(""""""""&amp;JOIN("","",INDEX(FILTER(A:D,A:A=H110),0,4))&amp;"""""""",))"),"")</f>
        <v/>
      </c>
      <c r="J110" s="237" t="str">
        <f>IF(ISBLANK(H110),,IFNA(VLOOKUP(H110, Circuits!A:W, 23, FALSE),))</f>
        <v/>
      </c>
      <c r="K110" s="238" t="str">
        <f t="shared" si="2"/>
        <v/>
      </c>
      <c r="L110" s="238" t="str">
        <f t="shared" si="3"/>
        <v/>
      </c>
      <c r="M110" s="238" t="str">
        <f t="shared" si="4"/>
        <v/>
      </c>
      <c r="N110" s="238" t="str">
        <f t="shared" si="5"/>
        <v/>
      </c>
      <c r="O110" s="238" t="str">
        <f t="shared" si="6"/>
        <v/>
      </c>
      <c r="P110" s="237" t="str">
        <f>IFERROR(__xludf.DUMMYFUNCTION("IF(ISBLANK(H110),,IF(IFNA(MATCH(H110,SPLIT(Circuits!$S$2,"";""&amp;CHAR(10)),0),0),FALSE,TRUE))"),"")</f>
        <v/>
      </c>
      <c r="Q110" s="237" t="str">
        <f>IF(ISBLANK(H110),,IFNA(VLOOKUP(H110, Circuits!A:U, 21, FALSE),))</f>
        <v/>
      </c>
      <c r="R110" s="238" t="str">
        <f t="shared" si="7"/>
        <v/>
      </c>
      <c r="S110" s="237" t="str">
        <f>IF(ISBLANK(H110),,IFNA(VLOOKUP(H110, Circuits!A:V, 22, FALSE),))</f>
        <v/>
      </c>
      <c r="T110" s="237" t="str">
        <f>IF(ISBLANK(H110),,IFNA(VLOOKUP(H110, Circuits!A:X, 24, FALSE),))</f>
        <v/>
      </c>
      <c r="V110" s="236" t="str">
        <f>IFERROR(__xludf.DUMMYFUNCTION("IF(ISBLANK(H110),,JOIN("","",H110:T110))"),"")</f>
        <v/>
      </c>
      <c r="W110" s="229" t="str">
        <f t="shared" si="1"/>
        <v/>
      </c>
    </row>
    <row r="111">
      <c r="H111" s="237"/>
      <c r="I111" s="237" t="str">
        <f>IFERROR(__xludf.DUMMYFUNCTION("IF(ISBLANK(H111),,IFNA(""""""""&amp;JOIN("","",INDEX(FILTER(A:D,A:A=H111),0,4))&amp;"""""""",))"),"")</f>
        <v/>
      </c>
      <c r="J111" s="237" t="str">
        <f>IF(ISBLANK(H111),,IFNA(VLOOKUP(H111, Circuits!A:W, 23, FALSE),))</f>
        <v/>
      </c>
      <c r="K111" s="238" t="str">
        <f t="shared" si="2"/>
        <v/>
      </c>
      <c r="L111" s="238" t="str">
        <f t="shared" si="3"/>
        <v/>
      </c>
      <c r="M111" s="238" t="str">
        <f t="shared" si="4"/>
        <v/>
      </c>
      <c r="N111" s="238" t="str">
        <f t="shared" si="5"/>
        <v/>
      </c>
      <c r="O111" s="238" t="str">
        <f t="shared" si="6"/>
        <v/>
      </c>
      <c r="P111" s="237" t="str">
        <f>IFERROR(__xludf.DUMMYFUNCTION("IF(ISBLANK(H111),,IF(IFNA(MATCH(H111,SPLIT(Circuits!$S$2,"";""&amp;CHAR(10)),0),0),FALSE,TRUE))"),"")</f>
        <v/>
      </c>
      <c r="Q111" s="237" t="str">
        <f>IF(ISBLANK(H111),,IFNA(VLOOKUP(H111, Circuits!A:U, 21, FALSE),))</f>
        <v/>
      </c>
      <c r="R111" s="238" t="str">
        <f t="shared" si="7"/>
        <v/>
      </c>
      <c r="S111" s="237" t="str">
        <f>IF(ISBLANK(H111),,IFNA(VLOOKUP(H111, Circuits!A:V, 22, FALSE),))</f>
        <v/>
      </c>
      <c r="T111" s="237" t="str">
        <f>IF(ISBLANK(H111),,IFNA(VLOOKUP(H111, Circuits!A:X, 24, FALSE),))</f>
        <v/>
      </c>
      <c r="V111" s="236" t="str">
        <f>IFERROR(__xludf.DUMMYFUNCTION("IF(ISBLANK(H111),,JOIN("","",H111:T111))"),"")</f>
        <v/>
      </c>
      <c r="W111" s="229" t="str">
        <f t="shared" si="1"/>
        <v/>
      </c>
    </row>
    <row r="112">
      <c r="H112" s="237"/>
      <c r="I112" s="237" t="str">
        <f>IFERROR(__xludf.DUMMYFUNCTION("IF(ISBLANK(H112),,IFNA(""""""""&amp;JOIN("","",INDEX(FILTER(A:D,A:A=H112),0,4))&amp;"""""""",))"),"")</f>
        <v/>
      </c>
      <c r="J112" s="237" t="str">
        <f>IF(ISBLANK(H112),,IFNA(VLOOKUP(H112, Circuits!A:W, 23, FALSE),))</f>
        <v/>
      </c>
      <c r="K112" s="238" t="str">
        <f t="shared" si="2"/>
        <v/>
      </c>
      <c r="L112" s="238" t="str">
        <f t="shared" si="3"/>
        <v/>
      </c>
      <c r="M112" s="238" t="str">
        <f t="shared" si="4"/>
        <v/>
      </c>
      <c r="N112" s="238" t="str">
        <f t="shared" si="5"/>
        <v/>
      </c>
      <c r="O112" s="238" t="str">
        <f t="shared" si="6"/>
        <v/>
      </c>
      <c r="P112" s="237" t="str">
        <f>IFERROR(__xludf.DUMMYFUNCTION("IF(ISBLANK(H112),,IF(IFNA(MATCH(H112,SPLIT(Circuits!$S$2,"";""&amp;CHAR(10)),0),0),FALSE,TRUE))"),"")</f>
        <v/>
      </c>
      <c r="Q112" s="237" t="str">
        <f>IF(ISBLANK(H112),,IFNA(VLOOKUP(H112, Circuits!A:U, 21, FALSE),))</f>
        <v/>
      </c>
      <c r="R112" s="238" t="str">
        <f t="shared" si="7"/>
        <v/>
      </c>
      <c r="S112" s="237" t="str">
        <f>IF(ISBLANK(H112),,IFNA(VLOOKUP(H112, Circuits!A:V, 22, FALSE),))</f>
        <v/>
      </c>
      <c r="T112" s="237" t="str">
        <f>IF(ISBLANK(H112),,IFNA(VLOOKUP(H112, Circuits!A:X, 24, FALSE),))</f>
        <v/>
      </c>
      <c r="V112" s="236" t="str">
        <f>IFERROR(__xludf.DUMMYFUNCTION("IF(ISBLANK(H112),,JOIN("","",H112:T112))"),"")</f>
        <v/>
      </c>
      <c r="W112" s="229" t="str">
        <f t="shared" si="1"/>
        <v/>
      </c>
    </row>
    <row r="113">
      <c r="H113" s="237"/>
      <c r="I113" s="237" t="str">
        <f>IFERROR(__xludf.DUMMYFUNCTION("IF(ISBLANK(H113),,IFNA(""""""""&amp;JOIN("","",INDEX(FILTER(A:D,A:A=H113),0,4))&amp;"""""""",))"),"")</f>
        <v/>
      </c>
      <c r="J113" s="237" t="str">
        <f>IF(ISBLANK(H113),,IFNA(VLOOKUP(H113, Circuits!A:W, 23, FALSE),))</f>
        <v/>
      </c>
      <c r="K113" s="238" t="str">
        <f t="shared" si="2"/>
        <v/>
      </c>
      <c r="L113" s="238" t="str">
        <f t="shared" si="3"/>
        <v/>
      </c>
      <c r="M113" s="238" t="str">
        <f t="shared" si="4"/>
        <v/>
      </c>
      <c r="N113" s="238" t="str">
        <f t="shared" si="5"/>
        <v/>
      </c>
      <c r="O113" s="238" t="str">
        <f t="shared" si="6"/>
        <v/>
      </c>
      <c r="P113" s="237" t="str">
        <f>IFERROR(__xludf.DUMMYFUNCTION("IF(ISBLANK(H113),,IF(IFNA(MATCH(H113,SPLIT(Circuits!$S$2,"";""&amp;CHAR(10)),0),0),FALSE,TRUE))"),"")</f>
        <v/>
      </c>
      <c r="Q113" s="237" t="str">
        <f>IF(ISBLANK(H113),,IFNA(VLOOKUP(H113, Circuits!A:U, 21, FALSE),))</f>
        <v/>
      </c>
      <c r="R113" s="238" t="str">
        <f t="shared" si="7"/>
        <v/>
      </c>
      <c r="S113" s="237" t="str">
        <f>IF(ISBLANK(H113),,IFNA(VLOOKUP(H113, Circuits!A:V, 22, FALSE),))</f>
        <v/>
      </c>
      <c r="T113" s="237" t="str">
        <f>IF(ISBLANK(H113),,IFNA(VLOOKUP(H113, Circuits!A:X, 24, FALSE),))</f>
        <v/>
      </c>
      <c r="V113" s="236" t="str">
        <f>IFERROR(__xludf.DUMMYFUNCTION("IF(ISBLANK(H113),,JOIN("","",H113:T113))"),"")</f>
        <v/>
      </c>
      <c r="W113" s="229" t="str">
        <f t="shared" si="1"/>
        <v/>
      </c>
    </row>
    <row r="114">
      <c r="H114" s="237"/>
      <c r="I114" s="237" t="str">
        <f>IFERROR(__xludf.DUMMYFUNCTION("IF(ISBLANK(H114),,IFNA(""""""""&amp;JOIN("","",INDEX(FILTER(A:D,A:A=H114),0,4))&amp;"""""""",))"),"")</f>
        <v/>
      </c>
      <c r="J114" s="237" t="str">
        <f>IF(ISBLANK(H114),,IFNA(VLOOKUP(H114, Circuits!A:W, 23, FALSE),))</f>
        <v/>
      </c>
      <c r="K114" s="238" t="str">
        <f t="shared" si="2"/>
        <v/>
      </c>
      <c r="L114" s="238" t="str">
        <f t="shared" si="3"/>
        <v/>
      </c>
      <c r="M114" s="238" t="str">
        <f t="shared" si="4"/>
        <v/>
      </c>
      <c r="N114" s="238" t="str">
        <f t="shared" si="5"/>
        <v/>
      </c>
      <c r="O114" s="238" t="str">
        <f t="shared" si="6"/>
        <v/>
      </c>
      <c r="P114" s="237" t="str">
        <f>IFERROR(__xludf.DUMMYFUNCTION("IF(ISBLANK(H114),,IF(IFNA(MATCH(H114,SPLIT(Circuits!$S$2,"";""&amp;CHAR(10)),0),0),FALSE,TRUE))"),"")</f>
        <v/>
      </c>
      <c r="Q114" s="237" t="str">
        <f>IF(ISBLANK(H114),,IFNA(VLOOKUP(H114, Circuits!A:U, 21, FALSE),))</f>
        <v/>
      </c>
      <c r="R114" s="238" t="str">
        <f t="shared" si="7"/>
        <v/>
      </c>
      <c r="S114" s="237" t="str">
        <f>IF(ISBLANK(H114),,IFNA(VLOOKUP(H114, Circuits!A:V, 22, FALSE),))</f>
        <v/>
      </c>
      <c r="T114" s="237" t="str">
        <f>IF(ISBLANK(H114),,IFNA(VLOOKUP(H114, Circuits!A:X, 24, FALSE),))</f>
        <v/>
      </c>
      <c r="V114" s="236" t="str">
        <f>IFERROR(__xludf.DUMMYFUNCTION("IF(ISBLANK(H114),,JOIN("","",H114:T114))"),"")</f>
        <v/>
      </c>
      <c r="W114" s="229" t="str">
        <f t="shared" si="1"/>
        <v/>
      </c>
    </row>
    <row r="115">
      <c r="H115" s="237"/>
      <c r="I115" s="237" t="str">
        <f>IFERROR(__xludf.DUMMYFUNCTION("IF(ISBLANK(H115),,IFNA(""""""""&amp;JOIN("","",INDEX(FILTER(A:D,A:A=H115),0,4))&amp;"""""""",))"),"")</f>
        <v/>
      </c>
      <c r="J115" s="237" t="str">
        <f>IF(ISBLANK(H115),,IFNA(VLOOKUP(H115, Circuits!A:W, 23, FALSE),))</f>
        <v/>
      </c>
      <c r="K115" s="238" t="str">
        <f t="shared" si="2"/>
        <v/>
      </c>
      <c r="L115" s="238" t="str">
        <f t="shared" si="3"/>
        <v/>
      </c>
      <c r="M115" s="238" t="str">
        <f t="shared" si="4"/>
        <v/>
      </c>
      <c r="N115" s="238" t="str">
        <f t="shared" si="5"/>
        <v/>
      </c>
      <c r="O115" s="238" t="str">
        <f t="shared" si="6"/>
        <v/>
      </c>
      <c r="P115" s="237" t="str">
        <f>IFERROR(__xludf.DUMMYFUNCTION("IF(ISBLANK(H115),,IF(IFNA(MATCH(H115,SPLIT(Circuits!$S$2,"";""&amp;CHAR(10)),0),0),FALSE,TRUE))"),"")</f>
        <v/>
      </c>
      <c r="Q115" s="237" t="str">
        <f>IF(ISBLANK(H115),,IFNA(VLOOKUP(H115, Circuits!A:U, 21, FALSE),))</f>
        <v/>
      </c>
      <c r="R115" s="238" t="str">
        <f t="shared" si="7"/>
        <v/>
      </c>
      <c r="S115" s="237" t="str">
        <f>IF(ISBLANK(H115),,IFNA(VLOOKUP(H115, Circuits!A:V, 22, FALSE),))</f>
        <v/>
      </c>
      <c r="T115" s="237" t="str">
        <f>IF(ISBLANK(H115),,IFNA(VLOOKUP(H115, Circuits!A:X, 24, FALSE),))</f>
        <v/>
      </c>
      <c r="V115" s="236" t="str">
        <f>IFERROR(__xludf.DUMMYFUNCTION("IF(ISBLANK(H115),,JOIN("","",H115:T115))"),"")</f>
        <v/>
      </c>
      <c r="W115" s="229" t="str">
        <f t="shared" si="1"/>
        <v/>
      </c>
    </row>
    <row r="116">
      <c r="H116" s="237"/>
      <c r="I116" s="237" t="str">
        <f>IFERROR(__xludf.DUMMYFUNCTION("IF(ISBLANK(H116),,IFNA(""""""""&amp;JOIN("","",INDEX(FILTER(A:D,A:A=H116),0,4))&amp;"""""""",))"),"")</f>
        <v/>
      </c>
      <c r="J116" s="237" t="str">
        <f>IF(ISBLANK(H116),,IFNA(VLOOKUP(H116, Circuits!A:W, 23, FALSE),))</f>
        <v/>
      </c>
      <c r="K116" s="238" t="str">
        <f t="shared" si="2"/>
        <v/>
      </c>
      <c r="L116" s="238" t="str">
        <f t="shared" si="3"/>
        <v/>
      </c>
      <c r="M116" s="238" t="str">
        <f t="shared" si="4"/>
        <v/>
      </c>
      <c r="N116" s="238" t="str">
        <f t="shared" si="5"/>
        <v/>
      </c>
      <c r="O116" s="238" t="str">
        <f t="shared" si="6"/>
        <v/>
      </c>
      <c r="P116" s="237" t="str">
        <f>IFERROR(__xludf.DUMMYFUNCTION("IF(ISBLANK(H116),,IF(IFNA(MATCH(H116,SPLIT(Circuits!$S$2,"";""&amp;CHAR(10)),0),0),FALSE,TRUE))"),"")</f>
        <v/>
      </c>
      <c r="Q116" s="237" t="str">
        <f>IF(ISBLANK(H116),,IFNA(VLOOKUP(H116, Circuits!A:U, 21, FALSE),))</f>
        <v/>
      </c>
      <c r="R116" s="238" t="str">
        <f t="shared" si="7"/>
        <v/>
      </c>
      <c r="S116" s="237" t="str">
        <f>IF(ISBLANK(H116),,IFNA(VLOOKUP(H116, Circuits!A:V, 22, FALSE),))</f>
        <v/>
      </c>
      <c r="T116" s="237" t="str">
        <f>IF(ISBLANK(H116),,IFNA(VLOOKUP(H116, Circuits!A:X, 24, FALSE),))</f>
        <v/>
      </c>
      <c r="V116" s="236" t="str">
        <f>IFERROR(__xludf.DUMMYFUNCTION("IF(ISBLANK(H116),,JOIN("","",H116:T116))"),"")</f>
        <v/>
      </c>
      <c r="W116" s="229" t="str">
        <f t="shared" si="1"/>
        <v/>
      </c>
    </row>
    <row r="117">
      <c r="H117" s="237"/>
      <c r="I117" s="237" t="str">
        <f>IFERROR(__xludf.DUMMYFUNCTION("IF(ISBLANK(H117),,IFNA(""""""""&amp;JOIN("","",INDEX(FILTER(A:D,A:A=H117),0,4))&amp;"""""""",))"),"")</f>
        <v/>
      </c>
      <c r="J117" s="237" t="str">
        <f>IF(ISBLANK(H117),,IFNA(VLOOKUP(H117, Circuits!A:W, 23, FALSE),))</f>
        <v/>
      </c>
      <c r="K117" s="238" t="str">
        <f t="shared" si="2"/>
        <v/>
      </c>
      <c r="L117" s="238" t="str">
        <f t="shared" si="3"/>
        <v/>
      </c>
      <c r="M117" s="238" t="str">
        <f t="shared" si="4"/>
        <v/>
      </c>
      <c r="N117" s="238" t="str">
        <f t="shared" si="5"/>
        <v/>
      </c>
      <c r="O117" s="238" t="str">
        <f t="shared" si="6"/>
        <v/>
      </c>
      <c r="P117" s="237" t="str">
        <f>IFERROR(__xludf.DUMMYFUNCTION("IF(ISBLANK(H117),,IF(IFNA(MATCH(H117,SPLIT(Circuits!$S$2,"";""&amp;CHAR(10)),0),0),FALSE,TRUE))"),"")</f>
        <v/>
      </c>
      <c r="Q117" s="237" t="str">
        <f>IF(ISBLANK(H117),,IFNA(VLOOKUP(H117, Circuits!A:U, 21, FALSE),))</f>
        <v/>
      </c>
      <c r="R117" s="238" t="str">
        <f t="shared" si="7"/>
        <v/>
      </c>
      <c r="S117" s="237" t="str">
        <f>IF(ISBLANK(H117),,IFNA(VLOOKUP(H117, Circuits!A:V, 22, FALSE),))</f>
        <v/>
      </c>
      <c r="T117" s="237" t="str">
        <f>IF(ISBLANK(H117),,IFNA(VLOOKUP(H117, Circuits!A:X, 24, FALSE),))</f>
        <v/>
      </c>
      <c r="V117" s="236" t="str">
        <f>IFERROR(__xludf.DUMMYFUNCTION("IF(ISBLANK(H117),,JOIN("","",H117:T117))"),"")</f>
        <v/>
      </c>
      <c r="W117" s="229" t="str">
        <f t="shared" si="1"/>
        <v/>
      </c>
    </row>
    <row r="118">
      <c r="H118" s="237"/>
      <c r="I118" s="237" t="str">
        <f>IFERROR(__xludf.DUMMYFUNCTION("IF(ISBLANK(H118),,IFNA(""""""""&amp;JOIN("","",INDEX(FILTER(A:D,A:A=H118),0,4))&amp;"""""""",))"),"")</f>
        <v/>
      </c>
      <c r="J118" s="237" t="str">
        <f>IF(ISBLANK(H118),,IFNA(VLOOKUP(H118, Circuits!A:W, 23, FALSE),))</f>
        <v/>
      </c>
      <c r="K118" s="238" t="str">
        <f t="shared" si="2"/>
        <v/>
      </c>
      <c r="L118" s="238" t="str">
        <f t="shared" si="3"/>
        <v/>
      </c>
      <c r="M118" s="238" t="str">
        <f t="shared" si="4"/>
        <v/>
      </c>
      <c r="N118" s="238" t="str">
        <f t="shared" si="5"/>
        <v/>
      </c>
      <c r="O118" s="238" t="str">
        <f t="shared" si="6"/>
        <v/>
      </c>
      <c r="P118" s="237" t="str">
        <f>IFERROR(__xludf.DUMMYFUNCTION("IF(ISBLANK(H118),,IF(IFNA(MATCH(H118,SPLIT(Circuits!$S$2,"";""&amp;CHAR(10)),0),0),FALSE,TRUE))"),"")</f>
        <v/>
      </c>
      <c r="Q118" s="237" t="str">
        <f>IF(ISBLANK(H118),,IFNA(VLOOKUP(H118, Circuits!A:U, 21, FALSE),))</f>
        <v/>
      </c>
      <c r="R118" s="238" t="str">
        <f t="shared" si="7"/>
        <v/>
      </c>
      <c r="S118" s="237" t="str">
        <f>IF(ISBLANK(H118),,IFNA(VLOOKUP(H118, Circuits!A:V, 22, FALSE),))</f>
        <v/>
      </c>
      <c r="T118" s="237" t="str">
        <f>IF(ISBLANK(H118),,IFNA(VLOOKUP(H118, Circuits!A:X, 24, FALSE),))</f>
        <v/>
      </c>
      <c r="V118" s="236" t="str">
        <f>IFERROR(__xludf.DUMMYFUNCTION("IF(ISBLANK(H118),,JOIN("","",H118:T118))"),"")</f>
        <v/>
      </c>
      <c r="W118" s="229" t="str">
        <f t="shared" si="1"/>
        <v/>
      </c>
    </row>
    <row r="119">
      <c r="H119" s="237"/>
      <c r="I119" s="237" t="str">
        <f>IFERROR(__xludf.DUMMYFUNCTION("IF(ISBLANK(H119),,IFNA(""""""""&amp;JOIN("","",INDEX(FILTER(A:D,A:A=H119),0,4))&amp;"""""""",))"),"")</f>
        <v/>
      </c>
      <c r="J119" s="237" t="str">
        <f>IF(ISBLANK(H119),,IFNA(VLOOKUP(H119, Circuits!A:W, 23, FALSE),))</f>
        <v/>
      </c>
      <c r="K119" s="238" t="str">
        <f t="shared" si="2"/>
        <v/>
      </c>
      <c r="L119" s="238" t="str">
        <f t="shared" si="3"/>
        <v/>
      </c>
      <c r="M119" s="238" t="str">
        <f t="shared" si="4"/>
        <v/>
      </c>
      <c r="N119" s="238" t="str">
        <f t="shared" si="5"/>
        <v/>
      </c>
      <c r="O119" s="238" t="str">
        <f t="shared" si="6"/>
        <v/>
      </c>
      <c r="P119" s="237" t="str">
        <f>IFERROR(__xludf.DUMMYFUNCTION("IF(ISBLANK(H119),,IF(IFNA(MATCH(H119,SPLIT(Circuits!$S$2,"";""&amp;CHAR(10)),0),0),FALSE,TRUE))"),"")</f>
        <v/>
      </c>
      <c r="Q119" s="237" t="str">
        <f>IF(ISBLANK(H119),,IFNA(VLOOKUP(H119, Circuits!A:U, 21, FALSE),))</f>
        <v/>
      </c>
      <c r="R119" s="238" t="str">
        <f t="shared" si="7"/>
        <v/>
      </c>
      <c r="S119" s="237" t="str">
        <f>IF(ISBLANK(H119),,IFNA(VLOOKUP(H119, Circuits!A:V, 22, FALSE),))</f>
        <v/>
      </c>
      <c r="T119" s="237" t="str">
        <f>IF(ISBLANK(H119),,IFNA(VLOOKUP(H119, Circuits!A:X, 24, FALSE),))</f>
        <v/>
      </c>
      <c r="V119" s="236" t="str">
        <f>IFERROR(__xludf.DUMMYFUNCTION("IF(ISBLANK(H119),,JOIN("","",H119:T119))"),"")</f>
        <v/>
      </c>
      <c r="W119" s="229" t="str">
        <f t="shared" si="1"/>
        <v/>
      </c>
    </row>
    <row r="120">
      <c r="H120" s="237"/>
      <c r="I120" s="237" t="str">
        <f>IFERROR(__xludf.DUMMYFUNCTION("IF(ISBLANK(H120),,IFNA(""""""""&amp;JOIN("","",INDEX(FILTER(A:D,A:A=H120),0,4))&amp;"""""""",))"),"")</f>
        <v/>
      </c>
      <c r="J120" s="237" t="str">
        <f>IF(ISBLANK(H120),,IFNA(VLOOKUP(H120, Circuits!A:W, 23, FALSE),))</f>
        <v/>
      </c>
      <c r="K120" s="238" t="str">
        <f t="shared" si="2"/>
        <v/>
      </c>
      <c r="L120" s="238" t="str">
        <f t="shared" si="3"/>
        <v/>
      </c>
      <c r="M120" s="238" t="str">
        <f t="shared" si="4"/>
        <v/>
      </c>
      <c r="N120" s="238" t="str">
        <f t="shared" si="5"/>
        <v/>
      </c>
      <c r="O120" s="238" t="str">
        <f t="shared" si="6"/>
        <v/>
      </c>
      <c r="P120" s="237" t="str">
        <f>IFERROR(__xludf.DUMMYFUNCTION("IF(ISBLANK(H120),,IF(IFNA(MATCH(H120,SPLIT(Circuits!$S$2,"";""&amp;CHAR(10)),0),0),FALSE,TRUE))"),"")</f>
        <v/>
      </c>
      <c r="Q120" s="237" t="str">
        <f>IF(ISBLANK(H120),,IFNA(VLOOKUP(H120, Circuits!A:U, 21, FALSE),))</f>
        <v/>
      </c>
      <c r="R120" s="238" t="str">
        <f t="shared" si="7"/>
        <v/>
      </c>
      <c r="S120" s="237" t="str">
        <f>IF(ISBLANK(H120),,IFNA(VLOOKUP(H120, Circuits!A:V, 22, FALSE),))</f>
        <v/>
      </c>
      <c r="T120" s="237" t="str">
        <f>IF(ISBLANK(H120),,IFNA(VLOOKUP(H120, Circuits!A:X, 24, FALSE),))</f>
        <v/>
      </c>
      <c r="V120" s="236" t="str">
        <f>IFERROR(__xludf.DUMMYFUNCTION("IF(ISBLANK(H120),,JOIN("","",H120:T120))"),"")</f>
        <v/>
      </c>
      <c r="W120" s="229" t="str">
        <f t="shared" si="1"/>
        <v/>
      </c>
    </row>
    <row r="121">
      <c r="H121" s="237"/>
      <c r="I121" s="237" t="str">
        <f>IFERROR(__xludf.DUMMYFUNCTION("IF(ISBLANK(H121),,IFNA(""""""""&amp;JOIN("","",INDEX(FILTER(A:D,A:A=H121),0,4))&amp;"""""""",))"),"")</f>
        <v/>
      </c>
      <c r="J121" s="237" t="str">
        <f>IF(ISBLANK(H121),,IFNA(VLOOKUP(H121, Circuits!A:W, 23, FALSE),))</f>
        <v/>
      </c>
      <c r="K121" s="238" t="str">
        <f t="shared" si="2"/>
        <v/>
      </c>
      <c r="L121" s="238" t="str">
        <f t="shared" si="3"/>
        <v/>
      </c>
      <c r="M121" s="238" t="str">
        <f t="shared" si="4"/>
        <v/>
      </c>
      <c r="N121" s="238" t="str">
        <f t="shared" si="5"/>
        <v/>
      </c>
      <c r="O121" s="238" t="str">
        <f t="shared" si="6"/>
        <v/>
      </c>
      <c r="P121" s="237" t="str">
        <f>IFERROR(__xludf.DUMMYFUNCTION("IF(ISBLANK(H121),,IF(IFNA(MATCH(H121,SPLIT(Circuits!$S$2,"";""&amp;CHAR(10)),0),0),FALSE,TRUE))"),"")</f>
        <v/>
      </c>
      <c r="Q121" s="237" t="str">
        <f>IF(ISBLANK(H121),,IFNA(VLOOKUP(H121, Circuits!A:U, 21, FALSE),))</f>
        <v/>
      </c>
      <c r="R121" s="238" t="str">
        <f t="shared" si="7"/>
        <v/>
      </c>
      <c r="S121" s="237" t="str">
        <f>IF(ISBLANK(H121),,IFNA(VLOOKUP(H121, Circuits!A:V, 22, FALSE),))</f>
        <v/>
      </c>
      <c r="T121" s="237" t="str">
        <f>IF(ISBLANK(H121),,IFNA(VLOOKUP(H121, Circuits!A:X, 24, FALSE),))</f>
        <v/>
      </c>
      <c r="V121" s="236" t="str">
        <f>IFERROR(__xludf.DUMMYFUNCTION("IF(ISBLANK(H121),,JOIN("","",H121:T121))"),"")</f>
        <v/>
      </c>
      <c r="W121" s="229" t="str">
        <f t="shared" si="1"/>
        <v/>
      </c>
    </row>
    <row r="122">
      <c r="H122" s="237"/>
      <c r="I122" s="237" t="str">
        <f>IFERROR(__xludf.DUMMYFUNCTION("IF(ISBLANK(H122),,IFNA(""""""""&amp;JOIN("","",INDEX(FILTER(A:D,A:A=H122),0,4))&amp;"""""""",))"),"")</f>
        <v/>
      </c>
      <c r="J122" s="237" t="str">
        <f>IF(ISBLANK(H122),,IFNA(VLOOKUP(H122, Circuits!A:W, 23, FALSE),))</f>
        <v/>
      </c>
      <c r="K122" s="238" t="str">
        <f t="shared" si="2"/>
        <v/>
      </c>
      <c r="L122" s="238" t="str">
        <f t="shared" si="3"/>
        <v/>
      </c>
      <c r="M122" s="238" t="str">
        <f t="shared" si="4"/>
        <v/>
      </c>
      <c r="N122" s="238" t="str">
        <f t="shared" si="5"/>
        <v/>
      </c>
      <c r="O122" s="238" t="str">
        <f t="shared" si="6"/>
        <v/>
      </c>
      <c r="P122" s="237" t="str">
        <f>IFERROR(__xludf.DUMMYFUNCTION("IF(ISBLANK(H122),,IF(IFNA(MATCH(H122,SPLIT(Circuits!$S$2,"";""&amp;CHAR(10)),0),0),FALSE,TRUE))"),"")</f>
        <v/>
      </c>
      <c r="Q122" s="237" t="str">
        <f>IF(ISBLANK(H122),,IFNA(VLOOKUP(H122, Circuits!A:U, 21, FALSE),))</f>
        <v/>
      </c>
      <c r="R122" s="238" t="str">
        <f t="shared" si="7"/>
        <v/>
      </c>
      <c r="S122" s="237" t="str">
        <f>IF(ISBLANK(H122),,IFNA(VLOOKUP(H122, Circuits!A:V, 22, FALSE),))</f>
        <v/>
      </c>
      <c r="T122" s="237" t="str">
        <f>IF(ISBLANK(H122),,IFNA(VLOOKUP(H122, Circuits!A:X, 24, FALSE),))</f>
        <v/>
      </c>
      <c r="V122" s="236" t="str">
        <f>IFERROR(__xludf.DUMMYFUNCTION("IF(ISBLANK(H122),,JOIN("","",H122:T122))"),"")</f>
        <v/>
      </c>
      <c r="W122" s="229" t="str">
        <f t="shared" si="1"/>
        <v/>
      </c>
    </row>
    <row r="123">
      <c r="H123" s="237"/>
      <c r="I123" s="237" t="str">
        <f>IFERROR(__xludf.DUMMYFUNCTION("IF(ISBLANK(H123),,IFNA(""""""""&amp;JOIN("","",INDEX(FILTER(A:D,A:A=H123),0,4))&amp;"""""""",))"),"")</f>
        <v/>
      </c>
      <c r="J123" s="237" t="str">
        <f>IF(ISBLANK(H123),,IFNA(VLOOKUP(H123, Circuits!A:W, 23, FALSE),))</f>
        <v/>
      </c>
      <c r="K123" s="238" t="str">
        <f t="shared" si="2"/>
        <v/>
      </c>
      <c r="L123" s="238" t="str">
        <f t="shared" si="3"/>
        <v/>
      </c>
      <c r="M123" s="238" t="str">
        <f t="shared" si="4"/>
        <v/>
      </c>
      <c r="N123" s="238" t="str">
        <f t="shared" si="5"/>
        <v/>
      </c>
      <c r="O123" s="238" t="str">
        <f t="shared" si="6"/>
        <v/>
      </c>
      <c r="P123" s="237" t="str">
        <f>IFERROR(__xludf.DUMMYFUNCTION("IF(ISBLANK(H123),,IF(IFNA(MATCH(H123,SPLIT(Circuits!$S$2,"";""&amp;CHAR(10)),0),0),FALSE,TRUE))"),"")</f>
        <v/>
      </c>
      <c r="Q123" s="237" t="str">
        <f>IF(ISBLANK(H123),,IFNA(VLOOKUP(H123, Circuits!A:U, 21, FALSE),))</f>
        <v/>
      </c>
      <c r="R123" s="238" t="str">
        <f t="shared" si="7"/>
        <v/>
      </c>
      <c r="S123" s="237" t="str">
        <f>IF(ISBLANK(H123),,IFNA(VLOOKUP(H123, Circuits!A:V, 22, FALSE),))</f>
        <v/>
      </c>
      <c r="T123" s="237" t="str">
        <f>IF(ISBLANK(H123),,IFNA(VLOOKUP(H123, Circuits!A:X, 24, FALSE),))</f>
        <v/>
      </c>
      <c r="V123" s="236" t="str">
        <f>IFERROR(__xludf.DUMMYFUNCTION("IF(ISBLANK(H123),,JOIN("","",H123:T123))"),"")</f>
        <v/>
      </c>
      <c r="W123" s="229" t="str">
        <f t="shared" si="1"/>
        <v/>
      </c>
    </row>
    <row r="124">
      <c r="H124" s="237"/>
      <c r="I124" s="237" t="str">
        <f>IFERROR(__xludf.DUMMYFUNCTION("IF(ISBLANK(H124),,IFNA(""""""""&amp;JOIN("","",INDEX(FILTER(A:D,A:A=H124),0,4))&amp;"""""""",))"),"")</f>
        <v/>
      </c>
      <c r="J124" s="237" t="str">
        <f>IF(ISBLANK(H124),,IFNA(VLOOKUP(H124, Circuits!A:W, 23, FALSE),))</f>
        <v/>
      </c>
      <c r="K124" s="238" t="str">
        <f t="shared" si="2"/>
        <v/>
      </c>
      <c r="L124" s="238" t="str">
        <f t="shared" si="3"/>
        <v/>
      </c>
      <c r="M124" s="238" t="str">
        <f t="shared" si="4"/>
        <v/>
      </c>
      <c r="N124" s="238" t="str">
        <f t="shared" si="5"/>
        <v/>
      </c>
      <c r="O124" s="238" t="str">
        <f t="shared" si="6"/>
        <v/>
      </c>
      <c r="P124" s="237" t="str">
        <f>IFERROR(__xludf.DUMMYFUNCTION("IF(ISBLANK(H124),,IF(IFNA(MATCH(H124,SPLIT(Circuits!$S$2,"";""&amp;CHAR(10)),0),0),FALSE,TRUE))"),"")</f>
        <v/>
      </c>
      <c r="Q124" s="237" t="str">
        <f>IF(ISBLANK(H124),,IFNA(VLOOKUP(H124, Circuits!A:U, 21, FALSE),))</f>
        <v/>
      </c>
      <c r="R124" s="238" t="str">
        <f t="shared" si="7"/>
        <v/>
      </c>
      <c r="S124" s="237" t="str">
        <f>IF(ISBLANK(H124),,IFNA(VLOOKUP(H124, Circuits!A:V, 22, FALSE),))</f>
        <v/>
      </c>
      <c r="T124" s="237" t="str">
        <f>IF(ISBLANK(H124),,IFNA(VLOOKUP(H124, Circuits!A:X, 24, FALSE),))</f>
        <v/>
      </c>
      <c r="V124" s="236" t="str">
        <f>IFERROR(__xludf.DUMMYFUNCTION("IF(ISBLANK(H124),,JOIN("","",H124:T124))"),"")</f>
        <v/>
      </c>
      <c r="W124" s="229" t="str">
        <f t="shared" si="1"/>
        <v/>
      </c>
    </row>
    <row r="125">
      <c r="H125" s="237"/>
      <c r="I125" s="237" t="str">
        <f>IFERROR(__xludf.DUMMYFUNCTION("IF(ISBLANK(H125),,IFNA(""""""""&amp;JOIN("","",INDEX(FILTER(A:D,A:A=H125),0,4))&amp;"""""""",))"),"")</f>
        <v/>
      </c>
      <c r="J125" s="237" t="str">
        <f>IF(ISBLANK(H125),,IFNA(VLOOKUP(H125, Circuits!A:W, 23, FALSE),))</f>
        <v/>
      </c>
      <c r="K125" s="238" t="str">
        <f t="shared" si="2"/>
        <v/>
      </c>
      <c r="L125" s="238" t="str">
        <f t="shared" si="3"/>
        <v/>
      </c>
      <c r="M125" s="238" t="str">
        <f t="shared" si="4"/>
        <v/>
      </c>
      <c r="N125" s="238" t="str">
        <f t="shared" si="5"/>
        <v/>
      </c>
      <c r="O125" s="238" t="str">
        <f t="shared" si="6"/>
        <v/>
      </c>
      <c r="P125" s="237" t="str">
        <f>IFERROR(__xludf.DUMMYFUNCTION("IF(ISBLANK(H125),,IF(IFNA(MATCH(H125,SPLIT(Circuits!$S$2,"";""&amp;CHAR(10)),0),0),FALSE,TRUE))"),"")</f>
        <v/>
      </c>
      <c r="Q125" s="237" t="str">
        <f>IF(ISBLANK(H125),,IFNA(VLOOKUP(H125, Circuits!A:U, 21, FALSE),))</f>
        <v/>
      </c>
      <c r="R125" s="238" t="str">
        <f t="shared" si="7"/>
        <v/>
      </c>
      <c r="S125" s="237" t="str">
        <f>IF(ISBLANK(H125),,IFNA(VLOOKUP(H125, Circuits!A:V, 22, FALSE),))</f>
        <v/>
      </c>
      <c r="T125" s="237" t="str">
        <f>IF(ISBLANK(H125),,IFNA(VLOOKUP(H125, Circuits!A:X, 24, FALSE),))</f>
        <v/>
      </c>
      <c r="V125" s="236" t="str">
        <f>IFERROR(__xludf.DUMMYFUNCTION("IF(ISBLANK(H125),,JOIN("","",H125:T125))"),"")</f>
        <v/>
      </c>
      <c r="W125" s="229" t="str">
        <f t="shared" si="1"/>
        <v/>
      </c>
    </row>
    <row r="126">
      <c r="H126" s="237"/>
      <c r="I126" s="237" t="str">
        <f>IFERROR(__xludf.DUMMYFUNCTION("IF(ISBLANK(H126),,IFNA(""""""""&amp;JOIN("","",INDEX(FILTER(A:D,A:A=H126),0,4))&amp;"""""""",))"),"")</f>
        <v/>
      </c>
      <c r="J126" s="237" t="str">
        <f>IF(ISBLANK(H126),,IFNA(VLOOKUP(H126, Circuits!A:W, 23, FALSE),))</f>
        <v/>
      </c>
      <c r="K126" s="238" t="str">
        <f t="shared" si="2"/>
        <v/>
      </c>
      <c r="L126" s="238" t="str">
        <f t="shared" si="3"/>
        <v/>
      </c>
      <c r="M126" s="238" t="str">
        <f t="shared" si="4"/>
        <v/>
      </c>
      <c r="N126" s="238" t="str">
        <f t="shared" si="5"/>
        <v/>
      </c>
      <c r="O126" s="238" t="str">
        <f t="shared" si="6"/>
        <v/>
      </c>
      <c r="P126" s="237" t="str">
        <f>IFERROR(__xludf.DUMMYFUNCTION("IF(ISBLANK(H126),,IF(IFNA(MATCH(H126,SPLIT(Circuits!$S$2,"";""&amp;CHAR(10)),0),0),FALSE,TRUE))"),"")</f>
        <v/>
      </c>
      <c r="Q126" s="237" t="str">
        <f>IF(ISBLANK(H126),,IFNA(VLOOKUP(H126, Circuits!A:U, 21, FALSE),))</f>
        <v/>
      </c>
      <c r="R126" s="238" t="str">
        <f t="shared" si="7"/>
        <v/>
      </c>
      <c r="S126" s="237" t="str">
        <f>IF(ISBLANK(H126),,IFNA(VLOOKUP(H126, Circuits!A:V, 22, FALSE),))</f>
        <v/>
      </c>
      <c r="T126" s="237" t="str">
        <f>IF(ISBLANK(H126),,IFNA(VLOOKUP(H126, Circuits!A:X, 24, FALSE),))</f>
        <v/>
      </c>
      <c r="V126" s="236" t="str">
        <f>IFERROR(__xludf.DUMMYFUNCTION("IF(ISBLANK(H126),,JOIN("","",H126:T126))"),"")</f>
        <v/>
      </c>
      <c r="W126" s="229" t="str">
        <f t="shared" si="1"/>
        <v/>
      </c>
    </row>
    <row r="127">
      <c r="H127" s="237"/>
      <c r="I127" s="237" t="str">
        <f>IFERROR(__xludf.DUMMYFUNCTION("IF(ISBLANK(H127),,IFNA(""""""""&amp;JOIN("","",INDEX(FILTER(A:D,A:A=H127),0,4))&amp;"""""""",))"),"")</f>
        <v/>
      </c>
      <c r="J127" s="237" t="str">
        <f>IF(ISBLANK(H127),,IFNA(VLOOKUP(H127, Circuits!A:W, 23, FALSE),))</f>
        <v/>
      </c>
      <c r="K127" s="238" t="str">
        <f t="shared" si="2"/>
        <v/>
      </c>
      <c r="L127" s="238" t="str">
        <f t="shared" si="3"/>
        <v/>
      </c>
      <c r="M127" s="238" t="str">
        <f t="shared" si="4"/>
        <v/>
      </c>
      <c r="N127" s="238" t="str">
        <f t="shared" si="5"/>
        <v/>
      </c>
      <c r="O127" s="238" t="str">
        <f t="shared" si="6"/>
        <v/>
      </c>
      <c r="P127" s="237" t="str">
        <f>IFERROR(__xludf.DUMMYFUNCTION("IF(ISBLANK(H127),,IF(IFNA(MATCH(H127,SPLIT(Circuits!$S$2,"";""&amp;CHAR(10)),0),0),FALSE,TRUE))"),"")</f>
        <v/>
      </c>
      <c r="Q127" s="237" t="str">
        <f>IF(ISBLANK(H127),,IFNA(VLOOKUP(H127, Circuits!A:U, 21, FALSE),))</f>
        <v/>
      </c>
      <c r="R127" s="238" t="str">
        <f t="shared" si="7"/>
        <v/>
      </c>
      <c r="S127" s="237" t="str">
        <f>IF(ISBLANK(H127),,IFNA(VLOOKUP(H127, Circuits!A:V, 22, FALSE),))</f>
        <v/>
      </c>
      <c r="T127" s="237" t="str">
        <f>IF(ISBLANK(H127),,IFNA(VLOOKUP(H127, Circuits!A:X, 24, FALSE),))</f>
        <v/>
      </c>
      <c r="V127" s="236" t="str">
        <f>IFERROR(__xludf.DUMMYFUNCTION("IF(ISBLANK(H127),,JOIN("","",H127:T127))"),"")</f>
        <v/>
      </c>
      <c r="W127" s="229" t="str">
        <f t="shared" si="1"/>
        <v/>
      </c>
    </row>
    <row r="128">
      <c r="H128" s="237"/>
      <c r="I128" s="237" t="str">
        <f>IFERROR(__xludf.DUMMYFUNCTION("IF(ISBLANK(H128),,IFNA(""""""""&amp;JOIN("","",INDEX(FILTER(A:D,A:A=H128),0,4))&amp;"""""""",))"),"")</f>
        <v/>
      </c>
      <c r="J128" s="237" t="str">
        <f>IF(ISBLANK(H128),,IFNA(VLOOKUP(H128, Circuits!A:W, 23, FALSE),))</f>
        <v/>
      </c>
      <c r="K128" s="238" t="str">
        <f t="shared" si="2"/>
        <v/>
      </c>
      <c r="L128" s="238" t="str">
        <f t="shared" si="3"/>
        <v/>
      </c>
      <c r="M128" s="238" t="str">
        <f t="shared" si="4"/>
        <v/>
      </c>
      <c r="N128" s="238" t="str">
        <f t="shared" si="5"/>
        <v/>
      </c>
      <c r="O128" s="238" t="str">
        <f t="shared" si="6"/>
        <v/>
      </c>
      <c r="P128" s="237" t="str">
        <f>IFERROR(__xludf.DUMMYFUNCTION("IF(ISBLANK(H128),,IF(IFNA(MATCH(H128,SPLIT(Circuits!$S$2,"";""&amp;CHAR(10)),0),0),FALSE,TRUE))"),"")</f>
        <v/>
      </c>
      <c r="Q128" s="237" t="str">
        <f>IF(ISBLANK(H128),,IFNA(VLOOKUP(H128, Circuits!A:U, 21, FALSE),))</f>
        <v/>
      </c>
      <c r="R128" s="238" t="str">
        <f t="shared" si="7"/>
        <v/>
      </c>
      <c r="S128" s="237" t="str">
        <f>IF(ISBLANK(H128),,IFNA(VLOOKUP(H128, Circuits!A:V, 22, FALSE),))</f>
        <v/>
      </c>
      <c r="T128" s="237" t="str">
        <f>IF(ISBLANK(H128),,IFNA(VLOOKUP(H128, Circuits!A:X, 24, FALSE),))</f>
        <v/>
      </c>
      <c r="V128" s="236" t="str">
        <f>IFERROR(__xludf.DUMMYFUNCTION("IF(ISBLANK(H128),,JOIN("","",H128:T128))"),"")</f>
        <v/>
      </c>
      <c r="W128" s="229" t="str">
        <f t="shared" si="1"/>
        <v/>
      </c>
    </row>
    <row r="129">
      <c r="H129" s="237"/>
      <c r="I129" s="237" t="str">
        <f>IFERROR(__xludf.DUMMYFUNCTION("IF(ISBLANK(H129),,IFNA(""""""""&amp;JOIN("","",INDEX(FILTER(A:D,A:A=H129),0,4))&amp;"""""""",))"),"")</f>
        <v/>
      </c>
      <c r="J129" s="237" t="str">
        <f>IF(ISBLANK(H129),,IFNA(VLOOKUP(H129, Circuits!A:W, 23, FALSE),))</f>
        <v/>
      </c>
      <c r="K129" s="238" t="str">
        <f t="shared" si="2"/>
        <v/>
      </c>
      <c r="L129" s="238" t="str">
        <f t="shared" si="3"/>
        <v/>
      </c>
      <c r="M129" s="238" t="str">
        <f t="shared" si="4"/>
        <v/>
      </c>
      <c r="N129" s="238" t="str">
        <f t="shared" si="5"/>
        <v/>
      </c>
      <c r="O129" s="238" t="str">
        <f t="shared" si="6"/>
        <v/>
      </c>
      <c r="P129" s="237" t="str">
        <f>IFERROR(__xludf.DUMMYFUNCTION("IF(ISBLANK(H129),,IF(IFNA(MATCH(H129,SPLIT(Circuits!$S$2,"";""&amp;CHAR(10)),0),0),FALSE,TRUE))"),"")</f>
        <v/>
      </c>
      <c r="Q129" s="237" t="str">
        <f>IF(ISBLANK(H129),,IFNA(VLOOKUP(H129, Circuits!A:U, 21, FALSE),))</f>
        <v/>
      </c>
      <c r="R129" s="238" t="str">
        <f t="shared" si="7"/>
        <v/>
      </c>
      <c r="S129" s="237" t="str">
        <f>IF(ISBLANK(H129),,IFNA(VLOOKUP(H129, Circuits!A:V, 22, FALSE),))</f>
        <v/>
      </c>
      <c r="T129" s="237" t="str">
        <f>IF(ISBLANK(H129),,IFNA(VLOOKUP(H129, Circuits!A:X, 24, FALSE),))</f>
        <v/>
      </c>
      <c r="V129" s="236" t="str">
        <f>IFERROR(__xludf.DUMMYFUNCTION("IF(ISBLANK(H129),,JOIN("","",H129:T129))"),"")</f>
        <v/>
      </c>
      <c r="W129" s="229" t="str">
        <f t="shared" si="1"/>
        <v/>
      </c>
    </row>
    <row r="130">
      <c r="H130" s="237"/>
      <c r="I130" s="237" t="str">
        <f>IFERROR(__xludf.DUMMYFUNCTION("IF(ISBLANK(H130),,IFNA(""""""""&amp;JOIN("","",INDEX(FILTER(A:D,A:A=H130),0,4))&amp;"""""""",))"),"")</f>
        <v/>
      </c>
      <c r="J130" s="237" t="str">
        <f>IF(ISBLANK(H130),,IFNA(VLOOKUP(H130, Circuits!A:W, 23, FALSE),))</f>
        <v/>
      </c>
      <c r="K130" s="238" t="str">
        <f t="shared" si="2"/>
        <v/>
      </c>
      <c r="L130" s="238" t="str">
        <f t="shared" si="3"/>
        <v/>
      </c>
      <c r="M130" s="238" t="str">
        <f t="shared" si="4"/>
        <v/>
      </c>
      <c r="N130" s="238" t="str">
        <f t="shared" si="5"/>
        <v/>
      </c>
      <c r="O130" s="238" t="str">
        <f t="shared" si="6"/>
        <v/>
      </c>
      <c r="P130" s="237" t="str">
        <f>IFERROR(__xludf.DUMMYFUNCTION("IF(ISBLANK(H130),,IF(IFNA(MATCH(H130,SPLIT(Circuits!$S$2,"";""&amp;CHAR(10)),0),0),FALSE,TRUE))"),"")</f>
        <v/>
      </c>
      <c r="Q130" s="237" t="str">
        <f>IF(ISBLANK(H130),,IFNA(VLOOKUP(H130, Circuits!A:U, 21, FALSE),))</f>
        <v/>
      </c>
      <c r="R130" s="238" t="str">
        <f t="shared" si="7"/>
        <v/>
      </c>
      <c r="S130" s="237" t="str">
        <f>IF(ISBLANK(H130),,IFNA(VLOOKUP(H130, Circuits!A:V, 22, FALSE),))</f>
        <v/>
      </c>
      <c r="T130" s="237" t="str">
        <f>IF(ISBLANK(H130),,IFNA(VLOOKUP(H130, Circuits!A:X, 24, FALSE),))</f>
        <v/>
      </c>
      <c r="V130" s="236" t="str">
        <f>IFERROR(__xludf.DUMMYFUNCTION("IF(ISBLANK(H130),,JOIN("","",H130:T130))"),"")</f>
        <v/>
      </c>
      <c r="W130" s="229" t="str">
        <f t="shared" si="1"/>
        <v/>
      </c>
    </row>
    <row r="131">
      <c r="H131" s="237"/>
      <c r="I131" s="237" t="str">
        <f>IFERROR(__xludf.DUMMYFUNCTION("IF(ISBLANK(H131),,IFNA(""""""""&amp;JOIN("","",INDEX(FILTER(A:D,A:A=H131),0,4))&amp;"""""""",))"),"")</f>
        <v/>
      </c>
      <c r="J131" s="237" t="str">
        <f>IF(ISBLANK(H131),,IFNA(VLOOKUP(H131, Circuits!A:W, 23, FALSE),))</f>
        <v/>
      </c>
      <c r="K131" s="238" t="str">
        <f t="shared" si="2"/>
        <v/>
      </c>
      <c r="L131" s="238" t="str">
        <f t="shared" si="3"/>
        <v/>
      </c>
      <c r="M131" s="238" t="str">
        <f t="shared" si="4"/>
        <v/>
      </c>
      <c r="N131" s="238" t="str">
        <f t="shared" si="5"/>
        <v/>
      </c>
      <c r="O131" s="238" t="str">
        <f t="shared" si="6"/>
        <v/>
      </c>
      <c r="P131" s="237" t="str">
        <f>IFERROR(__xludf.DUMMYFUNCTION("IF(ISBLANK(H131),,IF(IFNA(MATCH(H131,SPLIT(Circuits!$S$2,"";""&amp;CHAR(10)),0),0),FALSE,TRUE))"),"")</f>
        <v/>
      </c>
      <c r="Q131" s="237" t="str">
        <f>IF(ISBLANK(H131),,IFNA(VLOOKUP(H131, Circuits!A:U, 21, FALSE),))</f>
        <v/>
      </c>
      <c r="R131" s="238" t="str">
        <f t="shared" si="7"/>
        <v/>
      </c>
      <c r="S131" s="237" t="str">
        <f>IF(ISBLANK(H131),,IFNA(VLOOKUP(H131, Circuits!A:V, 22, FALSE),))</f>
        <v/>
      </c>
      <c r="T131" s="237" t="str">
        <f>IF(ISBLANK(H131),,IFNA(VLOOKUP(H131, Circuits!A:X, 24, FALSE),))</f>
        <v/>
      </c>
      <c r="V131" s="236" t="str">
        <f>IFERROR(__xludf.DUMMYFUNCTION("IF(ISBLANK(H131),,JOIN("","",H131:T131))"),"")</f>
        <v/>
      </c>
      <c r="W131" s="229" t="str">
        <f t="shared" si="1"/>
        <v/>
      </c>
    </row>
    <row r="132">
      <c r="H132" s="237"/>
      <c r="I132" s="237" t="str">
        <f>IFERROR(__xludf.DUMMYFUNCTION("IF(ISBLANK(H132),,IFNA(""""""""&amp;JOIN("","",INDEX(FILTER(A:D,A:A=H132),0,4))&amp;"""""""",))"),"")</f>
        <v/>
      </c>
      <c r="J132" s="237" t="str">
        <f>IF(ISBLANK(H132),,IFNA(VLOOKUP(H132, Circuits!A:W, 23, FALSE),))</f>
        <v/>
      </c>
      <c r="K132" s="238" t="str">
        <f t="shared" si="2"/>
        <v/>
      </c>
      <c r="L132" s="238" t="str">
        <f t="shared" si="3"/>
        <v/>
      </c>
      <c r="M132" s="238" t="str">
        <f t="shared" si="4"/>
        <v/>
      </c>
      <c r="N132" s="238" t="str">
        <f t="shared" si="5"/>
        <v/>
      </c>
      <c r="O132" s="238" t="str">
        <f t="shared" si="6"/>
        <v/>
      </c>
      <c r="P132" s="237" t="str">
        <f>IFERROR(__xludf.DUMMYFUNCTION("IF(ISBLANK(H132),,IF(IFNA(MATCH(H132,SPLIT(Circuits!$S$2,"";""&amp;CHAR(10)),0),0),FALSE,TRUE))"),"")</f>
        <v/>
      </c>
      <c r="Q132" s="237" t="str">
        <f>IF(ISBLANK(H132),,IFNA(VLOOKUP(H132, Circuits!A:U, 21, FALSE),))</f>
        <v/>
      </c>
      <c r="R132" s="238" t="str">
        <f t="shared" si="7"/>
        <v/>
      </c>
      <c r="S132" s="237" t="str">
        <f>IF(ISBLANK(H132),,IFNA(VLOOKUP(H132, Circuits!A:V, 22, FALSE),))</f>
        <v/>
      </c>
      <c r="T132" s="237" t="str">
        <f>IF(ISBLANK(H132),,IFNA(VLOOKUP(H132, Circuits!A:X, 24, FALSE),))</f>
        <v/>
      </c>
      <c r="V132" s="236" t="str">
        <f>IFERROR(__xludf.DUMMYFUNCTION("IF(ISBLANK(H132),,JOIN("","",H132:T132))"),"")</f>
        <v/>
      </c>
      <c r="W132" s="229" t="str">
        <f t="shared" si="1"/>
        <v/>
      </c>
    </row>
    <row r="133">
      <c r="H133" s="237"/>
      <c r="I133" s="237" t="str">
        <f>IFERROR(__xludf.DUMMYFUNCTION("IF(ISBLANK(H133),,IFNA(""""""""&amp;JOIN("","",INDEX(FILTER(A:D,A:A=H133),0,4))&amp;"""""""",))"),"")</f>
        <v/>
      </c>
      <c r="J133" s="237" t="str">
        <f>IF(ISBLANK(H133),,IFNA(VLOOKUP(H133, Circuits!A:W, 23, FALSE),))</f>
        <v/>
      </c>
      <c r="K133" s="238" t="str">
        <f t="shared" si="2"/>
        <v/>
      </c>
      <c r="L133" s="238" t="str">
        <f t="shared" si="3"/>
        <v/>
      </c>
      <c r="M133" s="238" t="str">
        <f t="shared" si="4"/>
        <v/>
      </c>
      <c r="N133" s="238" t="str">
        <f t="shared" si="5"/>
        <v/>
      </c>
      <c r="O133" s="238" t="str">
        <f t="shared" si="6"/>
        <v/>
      </c>
      <c r="P133" s="237" t="str">
        <f>IFERROR(__xludf.DUMMYFUNCTION("IF(ISBLANK(H133),,IF(IFNA(MATCH(H133,SPLIT(Circuits!$S$2,"";""&amp;CHAR(10)),0),0),FALSE,TRUE))"),"")</f>
        <v/>
      </c>
      <c r="Q133" s="237" t="str">
        <f>IF(ISBLANK(H133),,IFNA(VLOOKUP(H133, Circuits!A:U, 21, FALSE),))</f>
        <v/>
      </c>
      <c r="R133" s="238" t="str">
        <f t="shared" si="7"/>
        <v/>
      </c>
      <c r="S133" s="237" t="str">
        <f>IF(ISBLANK(H133),,IFNA(VLOOKUP(H133, Circuits!A:V, 22, FALSE),))</f>
        <v/>
      </c>
      <c r="T133" s="237" t="str">
        <f>IF(ISBLANK(H133),,IFNA(VLOOKUP(H133, Circuits!A:X, 24, FALSE),))</f>
        <v/>
      </c>
      <c r="V133" s="236" t="str">
        <f>IFERROR(__xludf.DUMMYFUNCTION("IF(ISBLANK(H133),,JOIN("","",H133:T133))"),"")</f>
        <v/>
      </c>
      <c r="W133" s="229" t="str">
        <f t="shared" si="1"/>
        <v/>
      </c>
    </row>
    <row r="134">
      <c r="H134" s="237"/>
      <c r="I134" s="237" t="str">
        <f>IFERROR(__xludf.DUMMYFUNCTION("IF(ISBLANK(H134),,IFNA(""""""""&amp;JOIN("","",INDEX(FILTER(A:D,A:A=H134),0,4))&amp;"""""""",))"),"")</f>
        <v/>
      </c>
      <c r="J134" s="237" t="str">
        <f>IF(ISBLANK(H134),,IFNA(VLOOKUP(H134, Circuits!A:W, 23, FALSE),))</f>
        <v/>
      </c>
      <c r="K134" s="238" t="str">
        <f t="shared" si="2"/>
        <v/>
      </c>
      <c r="L134" s="238" t="str">
        <f t="shared" si="3"/>
        <v/>
      </c>
      <c r="M134" s="238" t="str">
        <f t="shared" si="4"/>
        <v/>
      </c>
      <c r="N134" s="238" t="str">
        <f t="shared" si="5"/>
        <v/>
      </c>
      <c r="O134" s="238" t="str">
        <f t="shared" si="6"/>
        <v/>
      </c>
      <c r="P134" s="237" t="str">
        <f>IFERROR(__xludf.DUMMYFUNCTION("IF(ISBLANK(H134),,IF(IFNA(MATCH(H134,SPLIT(Circuits!$S$2,"";""&amp;CHAR(10)),0),0),FALSE,TRUE))"),"")</f>
        <v/>
      </c>
      <c r="Q134" s="237" t="str">
        <f>IF(ISBLANK(H134),,IFNA(VLOOKUP(H134, Circuits!A:U, 21, FALSE),))</f>
        <v/>
      </c>
      <c r="R134" s="238" t="str">
        <f t="shared" si="7"/>
        <v/>
      </c>
      <c r="S134" s="237" t="str">
        <f>IF(ISBLANK(H134),,IFNA(VLOOKUP(H134, Circuits!A:V, 22, FALSE),))</f>
        <v/>
      </c>
      <c r="T134" s="237" t="str">
        <f>IF(ISBLANK(H134),,IFNA(VLOOKUP(H134, Circuits!A:X, 24, FALSE),))</f>
        <v/>
      </c>
      <c r="V134" s="236" t="str">
        <f>IFERROR(__xludf.DUMMYFUNCTION("IF(ISBLANK(H134),,JOIN("","",H134:T134))"),"")</f>
        <v/>
      </c>
      <c r="W134" s="229" t="str">
        <f t="shared" si="1"/>
        <v/>
      </c>
    </row>
    <row r="135">
      <c r="H135" s="237"/>
      <c r="I135" s="237" t="str">
        <f>IFERROR(__xludf.DUMMYFUNCTION("IF(ISBLANK(H135),,IFNA(""""""""&amp;JOIN("","",INDEX(FILTER(A:D,A:A=H135),0,4))&amp;"""""""",))"),"")</f>
        <v/>
      </c>
      <c r="J135" s="237" t="str">
        <f>IF(ISBLANK(H135),,IFNA(VLOOKUP(H135, Circuits!A:W, 23, FALSE),))</f>
        <v/>
      </c>
      <c r="K135" s="238" t="str">
        <f t="shared" si="2"/>
        <v/>
      </c>
      <c r="L135" s="238" t="str">
        <f t="shared" si="3"/>
        <v/>
      </c>
      <c r="M135" s="238" t="str">
        <f t="shared" si="4"/>
        <v/>
      </c>
      <c r="N135" s="238" t="str">
        <f t="shared" si="5"/>
        <v/>
      </c>
      <c r="O135" s="238" t="str">
        <f t="shared" si="6"/>
        <v/>
      </c>
      <c r="P135" s="237" t="str">
        <f>IFERROR(__xludf.DUMMYFUNCTION("IF(ISBLANK(H135),,IF(IFNA(MATCH(H135,SPLIT(Circuits!$S$2,"";""&amp;CHAR(10)),0),0),FALSE,TRUE))"),"")</f>
        <v/>
      </c>
      <c r="Q135" s="237" t="str">
        <f>IF(ISBLANK(H135),,IFNA(VLOOKUP(H135, Circuits!A:U, 21, FALSE),))</f>
        <v/>
      </c>
      <c r="R135" s="238" t="str">
        <f t="shared" si="7"/>
        <v/>
      </c>
      <c r="S135" s="237" t="str">
        <f>IF(ISBLANK(H135),,IFNA(VLOOKUP(H135, Circuits!A:V, 22, FALSE),))</f>
        <v/>
      </c>
      <c r="T135" s="237" t="str">
        <f>IF(ISBLANK(H135),,IFNA(VLOOKUP(H135, Circuits!A:X, 24, FALSE),))</f>
        <v/>
      </c>
      <c r="V135" s="236" t="str">
        <f>IFERROR(__xludf.DUMMYFUNCTION("IF(ISBLANK(H135),,JOIN("","",H135:T135))"),"")</f>
        <v/>
      </c>
      <c r="W135" s="229" t="str">
        <f t="shared" si="1"/>
        <v/>
      </c>
    </row>
    <row r="136">
      <c r="H136" s="237"/>
      <c r="I136" s="237" t="str">
        <f>IFERROR(__xludf.DUMMYFUNCTION("IF(ISBLANK(H136),,IFNA(""""""""&amp;JOIN("","",INDEX(FILTER(A:D,A:A=H136),0,4))&amp;"""""""",))"),"")</f>
        <v/>
      </c>
      <c r="J136" s="237" t="str">
        <f>IF(ISBLANK(H136),,IFNA(VLOOKUP(H136, Circuits!A:W, 23, FALSE),))</f>
        <v/>
      </c>
      <c r="K136" s="238" t="str">
        <f t="shared" si="2"/>
        <v/>
      </c>
      <c r="L136" s="238" t="str">
        <f t="shared" si="3"/>
        <v/>
      </c>
      <c r="M136" s="238" t="str">
        <f t="shared" si="4"/>
        <v/>
      </c>
      <c r="N136" s="238" t="str">
        <f t="shared" si="5"/>
        <v/>
      </c>
      <c r="O136" s="238" t="str">
        <f t="shared" si="6"/>
        <v/>
      </c>
      <c r="P136" s="237" t="str">
        <f>IFERROR(__xludf.DUMMYFUNCTION("IF(ISBLANK(H136),,IF(IFNA(MATCH(H136,SPLIT(Circuits!$S$2,"";""&amp;CHAR(10)),0),0),FALSE,TRUE))"),"")</f>
        <v/>
      </c>
      <c r="Q136" s="237" t="str">
        <f>IF(ISBLANK(H136),,IFNA(VLOOKUP(H136, Circuits!A:U, 21, FALSE),))</f>
        <v/>
      </c>
      <c r="R136" s="238" t="str">
        <f t="shared" si="7"/>
        <v/>
      </c>
      <c r="S136" s="237" t="str">
        <f>IF(ISBLANK(H136),,IFNA(VLOOKUP(H136, Circuits!A:V, 22, FALSE),))</f>
        <v/>
      </c>
      <c r="T136" s="237" t="str">
        <f>IF(ISBLANK(H136),,IFNA(VLOOKUP(H136, Circuits!A:X, 24, FALSE),))</f>
        <v/>
      </c>
      <c r="V136" s="236" t="str">
        <f>IFERROR(__xludf.DUMMYFUNCTION("IF(ISBLANK(H136),,JOIN("","",H136:T136))"),"")</f>
        <v/>
      </c>
      <c r="W136" s="229" t="str">
        <f t="shared" si="1"/>
        <v/>
      </c>
    </row>
    <row r="137">
      <c r="H137" s="237"/>
      <c r="I137" s="237" t="str">
        <f>IFERROR(__xludf.DUMMYFUNCTION("IF(ISBLANK(H137),,IFNA(""""""""&amp;JOIN("","",INDEX(FILTER(A:D,A:A=H137),0,4))&amp;"""""""",))"),"")</f>
        <v/>
      </c>
      <c r="J137" s="237" t="str">
        <f>IF(ISBLANK(H137),,IFNA(VLOOKUP(H137, Circuits!A:W, 23, FALSE),))</f>
        <v/>
      </c>
      <c r="K137" s="238" t="str">
        <f t="shared" si="2"/>
        <v/>
      </c>
      <c r="L137" s="238" t="str">
        <f t="shared" si="3"/>
        <v/>
      </c>
      <c r="M137" s="238" t="str">
        <f t="shared" si="4"/>
        <v/>
      </c>
      <c r="N137" s="238" t="str">
        <f t="shared" si="5"/>
        <v/>
      </c>
      <c r="O137" s="238" t="str">
        <f t="shared" si="6"/>
        <v/>
      </c>
      <c r="P137" s="237" t="str">
        <f>IFERROR(__xludf.DUMMYFUNCTION("IF(ISBLANK(H137),,IF(IFNA(MATCH(H137,SPLIT(Circuits!$S$2,"";""&amp;CHAR(10)),0),0),FALSE,TRUE))"),"")</f>
        <v/>
      </c>
      <c r="Q137" s="237" t="str">
        <f>IF(ISBLANK(H137),,IFNA(VLOOKUP(H137, Circuits!A:U, 21, FALSE),))</f>
        <v/>
      </c>
      <c r="R137" s="238" t="str">
        <f t="shared" si="7"/>
        <v/>
      </c>
      <c r="S137" s="237" t="str">
        <f>IF(ISBLANK(H137),,IFNA(VLOOKUP(H137, Circuits!A:V, 22, FALSE),))</f>
        <v/>
      </c>
      <c r="T137" s="237" t="str">
        <f>IF(ISBLANK(H137),,IFNA(VLOOKUP(H137, Circuits!A:X, 24, FALSE),))</f>
        <v/>
      </c>
      <c r="V137" s="236" t="str">
        <f>IFERROR(__xludf.DUMMYFUNCTION("IF(ISBLANK(H137),,JOIN("","",H137:T137))"),"")</f>
        <v/>
      </c>
      <c r="W137" s="229" t="str">
        <f t="shared" si="1"/>
        <v/>
      </c>
    </row>
    <row r="138">
      <c r="H138" s="237"/>
      <c r="I138" s="237" t="str">
        <f>IFERROR(__xludf.DUMMYFUNCTION("IF(ISBLANK(H138),,IFNA(""""""""&amp;JOIN("","",INDEX(FILTER(A:D,A:A=H138),0,4))&amp;"""""""",))"),"")</f>
        <v/>
      </c>
      <c r="J138" s="237" t="str">
        <f>IF(ISBLANK(H138),,IFNA(VLOOKUP(H138, Circuits!A:W, 23, FALSE),))</f>
        <v/>
      </c>
      <c r="K138" s="238" t="str">
        <f t="shared" si="2"/>
        <v/>
      </c>
      <c r="L138" s="238" t="str">
        <f t="shared" si="3"/>
        <v/>
      </c>
      <c r="M138" s="238" t="str">
        <f t="shared" si="4"/>
        <v/>
      </c>
      <c r="N138" s="238" t="str">
        <f t="shared" si="5"/>
        <v/>
      </c>
      <c r="O138" s="238" t="str">
        <f t="shared" si="6"/>
        <v/>
      </c>
      <c r="P138" s="237" t="str">
        <f>IFERROR(__xludf.DUMMYFUNCTION("IF(ISBLANK(H138),,IF(IFNA(MATCH(H138,SPLIT(Circuits!$S$2,"";""&amp;CHAR(10)),0),0),FALSE,TRUE))"),"")</f>
        <v/>
      </c>
      <c r="Q138" s="237" t="str">
        <f>IF(ISBLANK(H138),,IFNA(VLOOKUP(H138, Circuits!A:U, 21, FALSE),))</f>
        <v/>
      </c>
      <c r="R138" s="238" t="str">
        <f t="shared" si="7"/>
        <v/>
      </c>
      <c r="S138" s="237" t="str">
        <f>IF(ISBLANK(H138),,IFNA(VLOOKUP(H138, Circuits!A:V, 22, FALSE),))</f>
        <v/>
      </c>
      <c r="T138" s="237" t="str">
        <f>IF(ISBLANK(H138),,IFNA(VLOOKUP(H138, Circuits!A:X, 24, FALSE),))</f>
        <v/>
      </c>
      <c r="V138" s="236" t="str">
        <f>IFERROR(__xludf.DUMMYFUNCTION("IF(ISBLANK(H138),,JOIN("","",H138:T138))"),"")</f>
        <v/>
      </c>
      <c r="W138" s="229" t="str">
        <f t="shared" si="1"/>
        <v/>
      </c>
    </row>
    <row r="139">
      <c r="H139" s="237"/>
      <c r="I139" s="237" t="str">
        <f>IFERROR(__xludf.DUMMYFUNCTION("IF(ISBLANK(H139),,IFNA(""""""""&amp;JOIN("","",INDEX(FILTER(A:D,A:A=H139),0,4))&amp;"""""""",))"),"")</f>
        <v/>
      </c>
      <c r="J139" s="237" t="str">
        <f>IF(ISBLANK(H139),,IFNA(VLOOKUP(H139, Circuits!A:W, 23, FALSE),))</f>
        <v/>
      </c>
      <c r="K139" s="238" t="str">
        <f t="shared" si="2"/>
        <v/>
      </c>
      <c r="L139" s="238" t="str">
        <f t="shared" si="3"/>
        <v/>
      </c>
      <c r="M139" s="238" t="str">
        <f t="shared" si="4"/>
        <v/>
      </c>
      <c r="N139" s="238" t="str">
        <f t="shared" si="5"/>
        <v/>
      </c>
      <c r="O139" s="238" t="str">
        <f t="shared" si="6"/>
        <v/>
      </c>
      <c r="P139" s="237" t="str">
        <f>IFERROR(__xludf.DUMMYFUNCTION("IF(ISBLANK(H139),,IF(IFNA(MATCH(H139,SPLIT(Circuits!$S$2,"";""&amp;CHAR(10)),0),0),FALSE,TRUE))"),"")</f>
        <v/>
      </c>
      <c r="Q139" s="237" t="str">
        <f>IF(ISBLANK(H139),,IFNA(VLOOKUP(H139, Circuits!A:U, 21, FALSE),))</f>
        <v/>
      </c>
      <c r="R139" s="238" t="str">
        <f t="shared" si="7"/>
        <v/>
      </c>
      <c r="S139" s="237" t="str">
        <f>IF(ISBLANK(H139),,IFNA(VLOOKUP(H139, Circuits!A:V, 22, FALSE),))</f>
        <v/>
      </c>
      <c r="T139" s="237" t="str">
        <f>IF(ISBLANK(H139),,IFNA(VLOOKUP(H139, Circuits!A:X, 24, FALSE),))</f>
        <v/>
      </c>
      <c r="V139" s="236" t="str">
        <f>IFERROR(__xludf.DUMMYFUNCTION("IF(ISBLANK(H139),,JOIN("","",H139:T139))"),"")</f>
        <v/>
      </c>
      <c r="W139" s="229" t="str">
        <f t="shared" si="1"/>
        <v/>
      </c>
    </row>
    <row r="140">
      <c r="H140" s="237"/>
      <c r="I140" s="237" t="str">
        <f>IFERROR(__xludf.DUMMYFUNCTION("IF(ISBLANK(H140),,IFNA(""""""""&amp;JOIN("","",INDEX(FILTER(A:D,A:A=H140),0,4))&amp;"""""""",))"),"")</f>
        <v/>
      </c>
      <c r="J140" s="237" t="str">
        <f>IF(ISBLANK(H140),,IFNA(VLOOKUP(H140, Circuits!A:W, 23, FALSE),))</f>
        <v/>
      </c>
      <c r="K140" s="238" t="str">
        <f t="shared" si="2"/>
        <v/>
      </c>
      <c r="L140" s="238" t="str">
        <f t="shared" si="3"/>
        <v/>
      </c>
      <c r="M140" s="238" t="str">
        <f t="shared" si="4"/>
        <v/>
      </c>
      <c r="N140" s="238" t="str">
        <f t="shared" si="5"/>
        <v/>
      </c>
      <c r="O140" s="238" t="str">
        <f t="shared" si="6"/>
        <v/>
      </c>
      <c r="P140" s="237" t="str">
        <f>IFERROR(__xludf.DUMMYFUNCTION("IF(ISBLANK(H140),,IF(IFNA(MATCH(H140,SPLIT(Circuits!$S$2,"";""&amp;CHAR(10)),0),0),FALSE,TRUE))"),"")</f>
        <v/>
      </c>
      <c r="Q140" s="237" t="str">
        <f>IF(ISBLANK(H140),,IFNA(VLOOKUP(H140, Circuits!A:U, 21, FALSE),))</f>
        <v/>
      </c>
      <c r="R140" s="238" t="str">
        <f t="shared" si="7"/>
        <v/>
      </c>
      <c r="S140" s="237" t="str">
        <f>IF(ISBLANK(H140),,IFNA(VLOOKUP(H140, Circuits!A:V, 22, FALSE),))</f>
        <v/>
      </c>
      <c r="T140" s="237" t="str">
        <f>IF(ISBLANK(H140),,IFNA(VLOOKUP(H140, Circuits!A:X, 24, FALSE),))</f>
        <v/>
      </c>
      <c r="V140" s="236" t="str">
        <f>IFERROR(__xludf.DUMMYFUNCTION("IF(ISBLANK(H140),,JOIN("","",H140:T140))"),"")</f>
        <v/>
      </c>
      <c r="W140" s="229" t="str">
        <f t="shared" si="1"/>
        <v/>
      </c>
    </row>
    <row r="141">
      <c r="H141" s="237"/>
      <c r="I141" s="237" t="str">
        <f>IFERROR(__xludf.DUMMYFUNCTION("IF(ISBLANK(H141),,IFNA(""""""""&amp;JOIN("","",INDEX(FILTER(A:D,A:A=H141),0,4))&amp;"""""""",))"),"")</f>
        <v/>
      </c>
      <c r="J141" s="237" t="str">
        <f>IF(ISBLANK(H141),,IFNA(VLOOKUP(H141, Circuits!A:W, 23, FALSE),))</f>
        <v/>
      </c>
      <c r="K141" s="238" t="str">
        <f t="shared" si="2"/>
        <v/>
      </c>
      <c r="L141" s="238" t="str">
        <f t="shared" si="3"/>
        <v/>
      </c>
      <c r="M141" s="238" t="str">
        <f t="shared" si="4"/>
        <v/>
      </c>
      <c r="N141" s="238" t="str">
        <f t="shared" si="5"/>
        <v/>
      </c>
      <c r="O141" s="238" t="str">
        <f t="shared" si="6"/>
        <v/>
      </c>
      <c r="P141" s="237" t="str">
        <f>IFERROR(__xludf.DUMMYFUNCTION("IF(ISBLANK(H141),,IF(IFNA(MATCH(H141,SPLIT(Circuits!$S$2,"";""&amp;CHAR(10)),0),0),FALSE,TRUE))"),"")</f>
        <v/>
      </c>
      <c r="Q141" s="237" t="str">
        <f>IF(ISBLANK(H141),,IFNA(VLOOKUP(H141, Circuits!A:U, 21, FALSE),))</f>
        <v/>
      </c>
      <c r="R141" s="238" t="str">
        <f t="shared" si="7"/>
        <v/>
      </c>
      <c r="S141" s="237" t="str">
        <f>IF(ISBLANK(H141),,IFNA(VLOOKUP(H141, Circuits!A:V, 22, FALSE),))</f>
        <v/>
      </c>
      <c r="T141" s="237" t="str">
        <f>IF(ISBLANK(H141),,IFNA(VLOOKUP(H141, Circuits!A:X, 24, FALSE),))</f>
        <v/>
      </c>
      <c r="V141" s="236" t="str">
        <f>IFERROR(__xludf.DUMMYFUNCTION("IF(ISBLANK(H141),,JOIN("","",H141:T141))"),"")</f>
        <v/>
      </c>
      <c r="W141" s="229" t="str">
        <f t="shared" si="1"/>
        <v/>
      </c>
    </row>
    <row r="142">
      <c r="H142" s="237"/>
      <c r="I142" s="237" t="str">
        <f>IFERROR(__xludf.DUMMYFUNCTION("IF(ISBLANK(H142),,IFNA(""""""""&amp;JOIN("","",INDEX(FILTER(A:D,A:A=H142),0,4))&amp;"""""""",))"),"")</f>
        <v/>
      </c>
      <c r="J142" s="237" t="str">
        <f>IF(ISBLANK(H142),,IFNA(VLOOKUP(H142, Circuits!A:W, 23, FALSE),))</f>
        <v/>
      </c>
      <c r="K142" s="238" t="str">
        <f t="shared" si="2"/>
        <v/>
      </c>
      <c r="L142" s="238" t="str">
        <f t="shared" si="3"/>
        <v/>
      </c>
      <c r="M142" s="238" t="str">
        <f t="shared" si="4"/>
        <v/>
      </c>
      <c r="N142" s="238" t="str">
        <f t="shared" si="5"/>
        <v/>
      </c>
      <c r="O142" s="238" t="str">
        <f t="shared" si="6"/>
        <v/>
      </c>
      <c r="P142" s="237" t="str">
        <f>IFERROR(__xludf.DUMMYFUNCTION("IF(ISBLANK(H142),,IF(IFNA(MATCH(H142,SPLIT(Circuits!$S$2,"";""&amp;CHAR(10)),0),0),FALSE,TRUE))"),"")</f>
        <v/>
      </c>
      <c r="Q142" s="237" t="str">
        <f>IF(ISBLANK(H142),,IFNA(VLOOKUP(H142, Circuits!A:U, 21, FALSE),))</f>
        <v/>
      </c>
      <c r="R142" s="238" t="str">
        <f t="shared" si="7"/>
        <v/>
      </c>
      <c r="S142" s="237" t="str">
        <f>IF(ISBLANK(H142),,IFNA(VLOOKUP(H142, Circuits!A:V, 22, FALSE),))</f>
        <v/>
      </c>
      <c r="T142" s="237" t="str">
        <f>IF(ISBLANK(H142),,IFNA(VLOOKUP(H142, Circuits!A:X, 24, FALSE),))</f>
        <v/>
      </c>
      <c r="V142" s="236" t="str">
        <f>IFERROR(__xludf.DUMMYFUNCTION("IF(ISBLANK(H142),,JOIN("","",H142:T142))"),"")</f>
        <v/>
      </c>
      <c r="W142" s="229" t="str">
        <f t="shared" si="1"/>
        <v/>
      </c>
    </row>
    <row r="143">
      <c r="H143" s="237"/>
      <c r="I143" s="237" t="str">
        <f>IFERROR(__xludf.DUMMYFUNCTION("IF(ISBLANK(H143),,IFNA(""""""""&amp;JOIN("","",INDEX(FILTER(A:D,A:A=H143),0,4))&amp;"""""""",))"),"")</f>
        <v/>
      </c>
      <c r="J143" s="237" t="str">
        <f>IF(ISBLANK(H143),,IFNA(VLOOKUP(H143, Circuits!A:W, 23, FALSE),))</f>
        <v/>
      </c>
      <c r="K143" s="238" t="str">
        <f t="shared" si="2"/>
        <v/>
      </c>
      <c r="L143" s="238" t="str">
        <f t="shared" si="3"/>
        <v/>
      </c>
      <c r="M143" s="238" t="str">
        <f t="shared" si="4"/>
        <v/>
      </c>
      <c r="N143" s="238" t="str">
        <f t="shared" si="5"/>
        <v/>
      </c>
      <c r="O143" s="238" t="str">
        <f t="shared" si="6"/>
        <v/>
      </c>
      <c r="P143" s="237" t="str">
        <f>IFERROR(__xludf.DUMMYFUNCTION("IF(ISBLANK(H143),,IF(IFNA(MATCH(H143,SPLIT(Circuits!$S$2,"";""&amp;CHAR(10)),0),0),FALSE,TRUE))"),"")</f>
        <v/>
      </c>
      <c r="Q143" s="237" t="str">
        <f>IF(ISBLANK(H143),,IFNA(VLOOKUP(H143, Circuits!A:U, 21, FALSE),))</f>
        <v/>
      </c>
      <c r="R143" s="238" t="str">
        <f t="shared" si="7"/>
        <v/>
      </c>
      <c r="S143" s="237" t="str">
        <f>IF(ISBLANK(H143),,IFNA(VLOOKUP(H143, Circuits!A:V, 22, FALSE),))</f>
        <v/>
      </c>
      <c r="T143" s="237" t="str">
        <f>IF(ISBLANK(H143),,IFNA(VLOOKUP(H143, Circuits!A:X, 24, FALSE),))</f>
        <v/>
      </c>
      <c r="V143" s="236" t="str">
        <f>IFERROR(__xludf.DUMMYFUNCTION("IF(ISBLANK(H143),,JOIN("","",H143:T143))"),"")</f>
        <v/>
      </c>
      <c r="W143" s="229" t="str">
        <f t="shared" si="1"/>
        <v/>
      </c>
    </row>
    <row r="144">
      <c r="H144" s="237"/>
      <c r="I144" s="237" t="str">
        <f>IFERROR(__xludf.DUMMYFUNCTION("IF(ISBLANK(H144),,IFNA(""""""""&amp;JOIN("","",INDEX(FILTER(A:D,A:A=H144),0,4))&amp;"""""""",))"),"")</f>
        <v/>
      </c>
      <c r="J144" s="237" t="str">
        <f>IF(ISBLANK(H144),,IFNA(VLOOKUP(H144, Circuits!A:W, 23, FALSE),))</f>
        <v/>
      </c>
      <c r="K144" s="238" t="str">
        <f t="shared" si="2"/>
        <v/>
      </c>
      <c r="L144" s="238" t="str">
        <f t="shared" si="3"/>
        <v/>
      </c>
      <c r="M144" s="238" t="str">
        <f t="shared" si="4"/>
        <v/>
      </c>
      <c r="N144" s="238" t="str">
        <f t="shared" si="5"/>
        <v/>
      </c>
      <c r="O144" s="238" t="str">
        <f t="shared" si="6"/>
        <v/>
      </c>
      <c r="P144" s="237" t="str">
        <f>IFERROR(__xludf.DUMMYFUNCTION("IF(ISBLANK(H144),,IF(IFNA(MATCH(H144,SPLIT(Circuits!$S$2,"";""&amp;CHAR(10)),0),0),FALSE,TRUE))"),"")</f>
        <v/>
      </c>
      <c r="Q144" s="237" t="str">
        <f>IF(ISBLANK(H144),,IFNA(VLOOKUP(H144, Circuits!A:U, 21, FALSE),))</f>
        <v/>
      </c>
      <c r="R144" s="238" t="str">
        <f t="shared" si="7"/>
        <v/>
      </c>
      <c r="S144" s="237" t="str">
        <f>IF(ISBLANK(H144),,IFNA(VLOOKUP(H144, Circuits!A:V, 22, FALSE),))</f>
        <v/>
      </c>
      <c r="T144" s="237" t="str">
        <f>IF(ISBLANK(H144),,IFNA(VLOOKUP(H144, Circuits!A:X, 24, FALSE),))</f>
        <v/>
      </c>
      <c r="V144" s="236" t="str">
        <f>IFERROR(__xludf.DUMMYFUNCTION("IF(ISBLANK(H144),,JOIN("","",H144:T144))"),"")</f>
        <v/>
      </c>
      <c r="W144" s="229" t="str">
        <f t="shared" si="1"/>
        <v/>
      </c>
    </row>
    <row r="145">
      <c r="H145" s="237"/>
      <c r="I145" s="237" t="str">
        <f>IFERROR(__xludf.DUMMYFUNCTION("IF(ISBLANK(H145),,IFNA(""""""""&amp;JOIN("","",INDEX(FILTER(A:D,A:A=H145),0,4))&amp;"""""""",))"),"")</f>
        <v/>
      </c>
      <c r="J145" s="237" t="str">
        <f>IF(ISBLANK(H145),,IFNA(VLOOKUP(H145, Circuits!A:W, 23, FALSE),))</f>
        <v/>
      </c>
      <c r="K145" s="238" t="str">
        <f t="shared" si="2"/>
        <v/>
      </c>
      <c r="L145" s="238" t="str">
        <f t="shared" si="3"/>
        <v/>
      </c>
      <c r="M145" s="238" t="str">
        <f t="shared" si="4"/>
        <v/>
      </c>
      <c r="N145" s="238" t="str">
        <f t="shared" si="5"/>
        <v/>
      </c>
      <c r="O145" s="238" t="str">
        <f t="shared" si="6"/>
        <v/>
      </c>
      <c r="P145" s="237" t="str">
        <f>IFERROR(__xludf.DUMMYFUNCTION("IF(ISBLANK(H145),,IF(IFNA(MATCH(H145,SPLIT(Circuits!$S$2,"";""&amp;CHAR(10)),0),0),FALSE,TRUE))"),"")</f>
        <v/>
      </c>
      <c r="Q145" s="237" t="str">
        <f>IF(ISBLANK(H145),,IFNA(VLOOKUP(H145, Circuits!A:U, 21, FALSE),))</f>
        <v/>
      </c>
      <c r="R145" s="238" t="str">
        <f t="shared" si="7"/>
        <v/>
      </c>
      <c r="S145" s="237" t="str">
        <f>IF(ISBLANK(H145),,IFNA(VLOOKUP(H145, Circuits!A:V, 22, FALSE),))</f>
        <v/>
      </c>
      <c r="T145" s="237" t="str">
        <f>IF(ISBLANK(H145),,IFNA(VLOOKUP(H145, Circuits!A:X, 24, FALSE),))</f>
        <v/>
      </c>
      <c r="V145" s="236" t="str">
        <f>IFERROR(__xludf.DUMMYFUNCTION("IF(ISBLANK(H145),,JOIN("","",H145:T145))"),"")</f>
        <v/>
      </c>
      <c r="W145" s="229" t="str">
        <f t="shared" si="1"/>
        <v/>
      </c>
    </row>
    <row r="146">
      <c r="H146" s="237"/>
      <c r="I146" s="237" t="str">
        <f>IFERROR(__xludf.DUMMYFUNCTION("IF(ISBLANK(H146),,IFNA(""""""""&amp;JOIN("","",INDEX(FILTER(A:D,A:A=H146),0,4))&amp;"""""""",))"),"")</f>
        <v/>
      </c>
      <c r="J146" s="237" t="str">
        <f>IF(ISBLANK(H146),,IFNA(VLOOKUP(H146, Circuits!A:W, 23, FALSE),))</f>
        <v/>
      </c>
      <c r="K146" s="238" t="str">
        <f t="shared" si="2"/>
        <v/>
      </c>
      <c r="L146" s="238" t="str">
        <f t="shared" si="3"/>
        <v/>
      </c>
      <c r="M146" s="238" t="str">
        <f t="shared" si="4"/>
        <v/>
      </c>
      <c r="N146" s="238" t="str">
        <f t="shared" si="5"/>
        <v/>
      </c>
      <c r="O146" s="238" t="str">
        <f t="shared" si="6"/>
        <v/>
      </c>
      <c r="P146" s="237" t="str">
        <f>IFERROR(__xludf.DUMMYFUNCTION("IF(ISBLANK(H146),,IF(IFNA(MATCH(H146,SPLIT(Circuits!$S$2,"";""&amp;CHAR(10)),0),0),FALSE,TRUE))"),"")</f>
        <v/>
      </c>
      <c r="Q146" s="237" t="str">
        <f>IF(ISBLANK(H146),,IFNA(VLOOKUP(H146, Circuits!A:U, 21, FALSE),))</f>
        <v/>
      </c>
      <c r="R146" s="238" t="str">
        <f t="shared" si="7"/>
        <v/>
      </c>
      <c r="S146" s="237" t="str">
        <f>IF(ISBLANK(H146),,IFNA(VLOOKUP(H146, Circuits!A:V, 22, FALSE),))</f>
        <v/>
      </c>
      <c r="T146" s="237" t="str">
        <f>IF(ISBLANK(H146),,IFNA(VLOOKUP(H146, Circuits!A:X, 24, FALSE),))</f>
        <v/>
      </c>
      <c r="V146" s="236" t="str">
        <f>IFERROR(__xludf.DUMMYFUNCTION("IF(ISBLANK(H146),,JOIN("","",H146:T146))"),"")</f>
        <v/>
      </c>
      <c r="W146" s="229" t="str">
        <f t="shared" si="1"/>
        <v/>
      </c>
    </row>
    <row r="147">
      <c r="H147" s="237"/>
      <c r="I147" s="237" t="str">
        <f>IFERROR(__xludf.DUMMYFUNCTION("IF(ISBLANK(H147),,IFNA(""""""""&amp;JOIN("","",INDEX(FILTER(A:D,A:A=H147),0,4))&amp;"""""""",))"),"")</f>
        <v/>
      </c>
      <c r="J147" s="237" t="str">
        <f>IF(ISBLANK(H147),,IFNA(VLOOKUP(H147, Circuits!A:W, 23, FALSE),))</f>
        <v/>
      </c>
      <c r="K147" s="238" t="str">
        <f t="shared" si="2"/>
        <v/>
      </c>
      <c r="L147" s="238" t="str">
        <f t="shared" si="3"/>
        <v/>
      </c>
      <c r="M147" s="238" t="str">
        <f t="shared" si="4"/>
        <v/>
      </c>
      <c r="N147" s="238" t="str">
        <f t="shared" si="5"/>
        <v/>
      </c>
      <c r="O147" s="238" t="str">
        <f t="shared" si="6"/>
        <v/>
      </c>
      <c r="P147" s="237" t="str">
        <f>IFERROR(__xludf.DUMMYFUNCTION("IF(ISBLANK(H147),,IF(IFNA(MATCH(H147,SPLIT(Circuits!$S$2,"";""&amp;CHAR(10)),0),0),FALSE,TRUE))"),"")</f>
        <v/>
      </c>
      <c r="Q147" s="237" t="str">
        <f>IF(ISBLANK(H147),,IFNA(VLOOKUP(H147, Circuits!A:U, 21, FALSE),))</f>
        <v/>
      </c>
      <c r="R147" s="238" t="str">
        <f t="shared" si="7"/>
        <v/>
      </c>
      <c r="S147" s="237" t="str">
        <f>IF(ISBLANK(H147),,IFNA(VLOOKUP(H147, Circuits!A:V, 22, FALSE),))</f>
        <v/>
      </c>
      <c r="T147" s="237" t="str">
        <f>IF(ISBLANK(H147),,IFNA(VLOOKUP(H147, Circuits!A:X, 24, FALSE),))</f>
        <v/>
      </c>
      <c r="V147" s="236" t="str">
        <f>IFERROR(__xludf.DUMMYFUNCTION("IF(ISBLANK(H147),,JOIN("","",H147:T147))"),"")</f>
        <v/>
      </c>
      <c r="W147" s="229" t="str">
        <f t="shared" si="1"/>
        <v/>
      </c>
    </row>
    <row r="148">
      <c r="H148" s="237"/>
      <c r="I148" s="237" t="str">
        <f>IFERROR(__xludf.DUMMYFUNCTION("IF(ISBLANK(H148),,IFNA(""""""""&amp;JOIN("","",INDEX(FILTER(A:D,A:A=H148),0,4))&amp;"""""""",))"),"")</f>
        <v/>
      </c>
      <c r="J148" s="237" t="str">
        <f>IF(ISBLANK(H148),,IFNA(VLOOKUP(H148, Circuits!A:W, 23, FALSE),))</f>
        <v/>
      </c>
      <c r="K148" s="238" t="str">
        <f t="shared" si="2"/>
        <v/>
      </c>
      <c r="L148" s="238" t="str">
        <f t="shared" si="3"/>
        <v/>
      </c>
      <c r="M148" s="238" t="str">
        <f t="shared" si="4"/>
        <v/>
      </c>
      <c r="N148" s="238" t="str">
        <f t="shared" si="5"/>
        <v/>
      </c>
      <c r="O148" s="238" t="str">
        <f t="shared" si="6"/>
        <v/>
      </c>
      <c r="P148" s="237" t="str">
        <f>IFERROR(__xludf.DUMMYFUNCTION("IF(ISBLANK(H148),,IF(IFNA(MATCH(H148,SPLIT(Circuits!$S$2,"";""&amp;CHAR(10)),0),0),FALSE,TRUE))"),"")</f>
        <v/>
      </c>
      <c r="Q148" s="237" t="str">
        <f>IF(ISBLANK(H148),,IFNA(VLOOKUP(H148, Circuits!A:U, 21, FALSE),))</f>
        <v/>
      </c>
      <c r="R148" s="238" t="str">
        <f t="shared" si="7"/>
        <v/>
      </c>
      <c r="S148" s="237" t="str">
        <f>IF(ISBLANK(H148),,IFNA(VLOOKUP(H148, Circuits!A:V, 22, FALSE),))</f>
        <v/>
      </c>
      <c r="T148" s="237" t="str">
        <f>IF(ISBLANK(H148),,IFNA(VLOOKUP(H148, Circuits!A:X, 24, FALSE),))</f>
        <v/>
      </c>
      <c r="V148" s="236" t="str">
        <f>IFERROR(__xludf.DUMMYFUNCTION("IF(ISBLANK(H148),,JOIN("","",H148:T148))"),"")</f>
        <v/>
      </c>
      <c r="W148" s="229" t="str">
        <f t="shared" si="1"/>
        <v/>
      </c>
    </row>
    <row r="149">
      <c r="H149" s="237"/>
      <c r="I149" s="237" t="str">
        <f>IFERROR(__xludf.DUMMYFUNCTION("IF(ISBLANK(H149),,IFNA(""""""""&amp;JOIN("","",INDEX(FILTER(A:D,A:A=H149),0,4))&amp;"""""""",))"),"")</f>
        <v/>
      </c>
      <c r="J149" s="237" t="str">
        <f>IF(ISBLANK(H149),,IFNA(VLOOKUP(H149, Circuits!A:W, 23, FALSE),))</f>
        <v/>
      </c>
      <c r="K149" s="238" t="str">
        <f t="shared" si="2"/>
        <v/>
      </c>
      <c r="L149" s="238" t="str">
        <f t="shared" si="3"/>
        <v/>
      </c>
      <c r="M149" s="238" t="str">
        <f t="shared" si="4"/>
        <v/>
      </c>
      <c r="N149" s="238" t="str">
        <f t="shared" si="5"/>
        <v/>
      </c>
      <c r="O149" s="238" t="str">
        <f t="shared" si="6"/>
        <v/>
      </c>
      <c r="P149" s="237" t="str">
        <f>IFERROR(__xludf.DUMMYFUNCTION("IF(ISBLANK(H149),,IF(IFNA(MATCH(H149,SPLIT(Circuits!$S$2,"";""&amp;CHAR(10)),0),0),FALSE,TRUE))"),"")</f>
        <v/>
      </c>
      <c r="Q149" s="237" t="str">
        <f>IF(ISBLANK(H149),,IFNA(VLOOKUP(H149, Circuits!A:U, 21, FALSE),))</f>
        <v/>
      </c>
      <c r="R149" s="238" t="str">
        <f t="shared" si="7"/>
        <v/>
      </c>
      <c r="S149" s="237" t="str">
        <f>IF(ISBLANK(H149),,IFNA(VLOOKUP(H149, Circuits!A:V, 22, FALSE),))</f>
        <v/>
      </c>
      <c r="T149" s="237" t="str">
        <f>IF(ISBLANK(H149),,IFNA(VLOOKUP(H149, Circuits!A:X, 24, FALSE),))</f>
        <v/>
      </c>
      <c r="V149" s="236" t="str">
        <f>IFERROR(__xludf.DUMMYFUNCTION("IF(ISBLANK(H149),,JOIN("","",H149:T149))"),"")</f>
        <v/>
      </c>
      <c r="W149" s="229" t="str">
        <f t="shared" si="1"/>
        <v/>
      </c>
    </row>
    <row r="150">
      <c r="H150" s="237"/>
      <c r="I150" s="237" t="str">
        <f>IFERROR(__xludf.DUMMYFUNCTION("IF(ISBLANK(H150),,IFNA(""""""""&amp;JOIN("","",INDEX(FILTER(A:D,A:A=H150),0,4))&amp;"""""""",))"),"")</f>
        <v/>
      </c>
      <c r="J150" s="237" t="str">
        <f>IF(ISBLANK(H150),,IFNA(VLOOKUP(H150, Circuits!A:W, 23, FALSE),))</f>
        <v/>
      </c>
      <c r="K150" s="238" t="str">
        <f t="shared" si="2"/>
        <v/>
      </c>
      <c r="L150" s="238" t="str">
        <f t="shared" si="3"/>
        <v/>
      </c>
      <c r="M150" s="238" t="str">
        <f t="shared" si="4"/>
        <v/>
      </c>
      <c r="N150" s="238" t="str">
        <f t="shared" si="5"/>
        <v/>
      </c>
      <c r="O150" s="238" t="str">
        <f t="shared" si="6"/>
        <v/>
      </c>
      <c r="P150" s="237" t="str">
        <f>IFERROR(__xludf.DUMMYFUNCTION("IF(ISBLANK(H150),,IF(IFNA(MATCH(H150,SPLIT(Circuits!$S$2,"";""&amp;CHAR(10)),0),0),FALSE,TRUE))"),"")</f>
        <v/>
      </c>
      <c r="Q150" s="237" t="str">
        <f>IF(ISBLANK(H150),,IFNA(VLOOKUP(H150, Circuits!A:U, 21, FALSE),))</f>
        <v/>
      </c>
      <c r="R150" s="238" t="str">
        <f t="shared" si="7"/>
        <v/>
      </c>
      <c r="S150" s="237" t="str">
        <f>IF(ISBLANK(H150),,IFNA(VLOOKUP(H150, Circuits!A:V, 22, FALSE),))</f>
        <v/>
      </c>
      <c r="T150" s="237" t="str">
        <f>IF(ISBLANK(H150),,IFNA(VLOOKUP(H150, Circuits!A:X, 24, FALSE),))</f>
        <v/>
      </c>
      <c r="V150" s="236" t="str">
        <f>IFERROR(__xludf.DUMMYFUNCTION("IF(ISBLANK(H150),,JOIN("","",H150:T150))"),"")</f>
        <v/>
      </c>
      <c r="W150" s="229" t="str">
        <f t="shared" si="1"/>
        <v/>
      </c>
    </row>
    <row r="151">
      <c r="H151" s="237"/>
      <c r="I151" s="237" t="str">
        <f>IFERROR(__xludf.DUMMYFUNCTION("IF(ISBLANK(H151),,IFNA(""""""""&amp;JOIN("","",INDEX(FILTER(A:D,A:A=H151),0,4))&amp;"""""""",))"),"")</f>
        <v/>
      </c>
      <c r="J151" s="237" t="str">
        <f>IF(ISBLANK(H151),,IFNA(VLOOKUP(H151, Circuits!A:W, 23, FALSE),))</f>
        <v/>
      </c>
      <c r="K151" s="238" t="str">
        <f t="shared" si="2"/>
        <v/>
      </c>
      <c r="L151" s="238" t="str">
        <f t="shared" si="3"/>
        <v/>
      </c>
      <c r="M151" s="238" t="str">
        <f t="shared" si="4"/>
        <v/>
      </c>
      <c r="N151" s="238" t="str">
        <f t="shared" si="5"/>
        <v/>
      </c>
      <c r="O151" s="238" t="str">
        <f t="shared" si="6"/>
        <v/>
      </c>
      <c r="P151" s="237" t="str">
        <f>IFERROR(__xludf.DUMMYFUNCTION("IF(ISBLANK(H151),,IF(IFNA(MATCH(H151,SPLIT(Circuits!$S$2,"";""&amp;CHAR(10)),0),0),FALSE,TRUE))"),"")</f>
        <v/>
      </c>
      <c r="Q151" s="237" t="str">
        <f>IF(ISBLANK(H151),,IFNA(VLOOKUP(H151, Circuits!A:U, 21, FALSE),))</f>
        <v/>
      </c>
      <c r="R151" s="238" t="str">
        <f t="shared" si="7"/>
        <v/>
      </c>
      <c r="S151" s="237" t="str">
        <f>IF(ISBLANK(H151),,IFNA(VLOOKUP(H151, Circuits!A:V, 22, FALSE),))</f>
        <v/>
      </c>
      <c r="T151" s="237" t="str">
        <f>IF(ISBLANK(H151),,IFNA(VLOOKUP(H151, Circuits!A:X, 24, FALSE),))</f>
        <v/>
      </c>
      <c r="V151" s="236" t="str">
        <f>IFERROR(__xludf.DUMMYFUNCTION("IF(ISBLANK(H151),,JOIN("","",H151:T151))"),"")</f>
        <v/>
      </c>
      <c r="W151" s="229" t="str">
        <f t="shared" si="1"/>
        <v/>
      </c>
    </row>
    <row r="152">
      <c r="H152" s="237"/>
      <c r="I152" s="237" t="str">
        <f>IFERROR(__xludf.DUMMYFUNCTION("IF(ISBLANK(H152),,IFNA(""""""""&amp;JOIN("","",INDEX(FILTER(A:D,A:A=H152),0,4))&amp;"""""""",))"),"")</f>
        <v/>
      </c>
      <c r="J152" s="237" t="str">
        <f>IF(ISBLANK(H152),,IFNA(VLOOKUP(H152, Circuits!A:W, 23, FALSE),))</f>
        <v/>
      </c>
      <c r="K152" s="238" t="str">
        <f t="shared" si="2"/>
        <v/>
      </c>
      <c r="L152" s="238" t="str">
        <f t="shared" si="3"/>
        <v/>
      </c>
      <c r="M152" s="238" t="str">
        <f t="shared" si="4"/>
        <v/>
      </c>
      <c r="N152" s="238" t="str">
        <f t="shared" si="5"/>
        <v/>
      </c>
      <c r="O152" s="238" t="str">
        <f t="shared" si="6"/>
        <v/>
      </c>
      <c r="P152" s="237" t="str">
        <f>IFERROR(__xludf.DUMMYFUNCTION("IF(ISBLANK(H152),,IF(IFNA(MATCH(H152,SPLIT(Circuits!$S$2,"";""&amp;CHAR(10)),0),0),FALSE,TRUE))"),"")</f>
        <v/>
      </c>
      <c r="Q152" s="237" t="str">
        <f>IF(ISBLANK(H152),,IFNA(VLOOKUP(H152, Circuits!A:U, 21, FALSE),))</f>
        <v/>
      </c>
      <c r="R152" s="238" t="str">
        <f t="shared" si="7"/>
        <v/>
      </c>
      <c r="S152" s="237" t="str">
        <f>IF(ISBLANK(H152),,IFNA(VLOOKUP(H152, Circuits!A:V, 22, FALSE),))</f>
        <v/>
      </c>
      <c r="T152" s="237" t="str">
        <f>IF(ISBLANK(H152),,IFNA(VLOOKUP(H152, Circuits!A:X, 24, FALSE),))</f>
        <v/>
      </c>
      <c r="V152" s="236" t="str">
        <f>IFERROR(__xludf.DUMMYFUNCTION("IF(ISBLANK(H152),,JOIN("","",H152:T152))"),"")</f>
        <v/>
      </c>
      <c r="W152" s="229" t="str">
        <f t="shared" si="1"/>
        <v/>
      </c>
    </row>
    <row r="153">
      <c r="H153" s="237"/>
      <c r="I153" s="237" t="str">
        <f>IFERROR(__xludf.DUMMYFUNCTION("IF(ISBLANK(H153),,IFNA(""""""""&amp;JOIN("","",INDEX(FILTER(A:D,A:A=H153),0,4))&amp;"""""""",))"),"")</f>
        <v/>
      </c>
      <c r="J153" s="237" t="str">
        <f>IF(ISBLANK(H153),,IFNA(VLOOKUP(H153, Circuits!A:W, 23, FALSE),))</f>
        <v/>
      </c>
      <c r="K153" s="238" t="str">
        <f t="shared" si="2"/>
        <v/>
      </c>
      <c r="L153" s="238" t="str">
        <f t="shared" si="3"/>
        <v/>
      </c>
      <c r="M153" s="238" t="str">
        <f t="shared" si="4"/>
        <v/>
      </c>
      <c r="N153" s="238" t="str">
        <f t="shared" si="5"/>
        <v/>
      </c>
      <c r="O153" s="238" t="str">
        <f t="shared" si="6"/>
        <v/>
      </c>
      <c r="P153" s="237" t="str">
        <f>IFERROR(__xludf.DUMMYFUNCTION("IF(ISBLANK(H153),,IF(IFNA(MATCH(H153,SPLIT(Circuits!$S$2,"";""&amp;CHAR(10)),0),0),FALSE,TRUE))"),"")</f>
        <v/>
      </c>
      <c r="Q153" s="237" t="str">
        <f>IF(ISBLANK(H153),,IFNA(VLOOKUP(H153, Circuits!A:U, 21, FALSE),))</f>
        <v/>
      </c>
      <c r="R153" s="238" t="str">
        <f t="shared" si="7"/>
        <v/>
      </c>
      <c r="S153" s="237" t="str">
        <f>IF(ISBLANK(H153),,IFNA(VLOOKUP(H153, Circuits!A:V, 22, FALSE),))</f>
        <v/>
      </c>
      <c r="T153" s="237" t="str">
        <f>IF(ISBLANK(H153),,IFNA(VLOOKUP(H153, Circuits!A:X, 24, FALSE),))</f>
        <v/>
      </c>
      <c r="V153" s="236" t="str">
        <f>IFERROR(__xludf.DUMMYFUNCTION("IF(ISBLANK(H153),,JOIN("","",H153:T153))"),"")</f>
        <v/>
      </c>
      <c r="W153" s="229" t="str">
        <f t="shared" si="1"/>
        <v/>
      </c>
    </row>
    <row r="154">
      <c r="H154" s="237"/>
      <c r="I154" s="237" t="str">
        <f>IFERROR(__xludf.DUMMYFUNCTION("IF(ISBLANK(H154),,IFNA(""""""""&amp;JOIN("","",INDEX(FILTER(A:D,A:A=H154),0,4))&amp;"""""""",))"),"")</f>
        <v/>
      </c>
      <c r="J154" s="237" t="str">
        <f>IF(ISBLANK(H154),,IFNA(VLOOKUP(H154, Circuits!A:W, 23, FALSE),))</f>
        <v/>
      </c>
      <c r="K154" s="238" t="str">
        <f t="shared" si="2"/>
        <v/>
      </c>
      <c r="L154" s="238" t="str">
        <f t="shared" si="3"/>
        <v/>
      </c>
      <c r="M154" s="238" t="str">
        <f t="shared" si="4"/>
        <v/>
      </c>
      <c r="N154" s="238" t="str">
        <f t="shared" si="5"/>
        <v/>
      </c>
      <c r="O154" s="238" t="str">
        <f t="shared" si="6"/>
        <v/>
      </c>
      <c r="P154" s="237" t="str">
        <f>IFERROR(__xludf.DUMMYFUNCTION("IF(ISBLANK(H154),,IF(IFNA(MATCH(H154,SPLIT(Circuits!$S$2,"";""&amp;CHAR(10)),0),0),FALSE,TRUE))"),"")</f>
        <v/>
      </c>
      <c r="Q154" s="237" t="str">
        <f>IF(ISBLANK(H154),,IFNA(VLOOKUP(H154, Circuits!A:U, 21, FALSE),))</f>
        <v/>
      </c>
      <c r="R154" s="238" t="str">
        <f t="shared" si="7"/>
        <v/>
      </c>
      <c r="S154" s="237" t="str">
        <f>IF(ISBLANK(H154),,IFNA(VLOOKUP(H154, Circuits!A:V, 22, FALSE),))</f>
        <v/>
      </c>
      <c r="T154" s="237" t="str">
        <f>IF(ISBLANK(H154),,IFNA(VLOOKUP(H154, Circuits!A:X, 24, FALSE),))</f>
        <v/>
      </c>
      <c r="V154" s="236" t="str">
        <f>IFERROR(__xludf.DUMMYFUNCTION("IF(ISBLANK(H154),,JOIN("","",H154:T154))"),"")</f>
        <v/>
      </c>
      <c r="W154" s="229" t="str">
        <f t="shared" si="1"/>
        <v/>
      </c>
    </row>
    <row r="155">
      <c r="H155" s="237"/>
      <c r="I155" s="237" t="str">
        <f>IFERROR(__xludf.DUMMYFUNCTION("IF(ISBLANK(H155),,IFNA(""""""""&amp;JOIN("","",INDEX(FILTER(A:D,A:A=H155),0,4))&amp;"""""""",))"),"")</f>
        <v/>
      </c>
      <c r="J155" s="237" t="str">
        <f>IF(ISBLANK(H155),,IFNA(VLOOKUP(H155, Circuits!A:W, 23, FALSE),))</f>
        <v/>
      </c>
      <c r="K155" s="238" t="str">
        <f t="shared" si="2"/>
        <v/>
      </c>
      <c r="L155" s="238" t="str">
        <f t="shared" si="3"/>
        <v/>
      </c>
      <c r="M155" s="238" t="str">
        <f t="shared" si="4"/>
        <v/>
      </c>
      <c r="N155" s="238" t="str">
        <f t="shared" si="5"/>
        <v/>
      </c>
      <c r="O155" s="238" t="str">
        <f t="shared" si="6"/>
        <v/>
      </c>
      <c r="P155" s="237" t="str">
        <f>IFERROR(__xludf.DUMMYFUNCTION("IF(ISBLANK(H155),,IF(IFNA(MATCH(H155,SPLIT(Circuits!$S$2,"";""&amp;CHAR(10)),0),0),FALSE,TRUE))"),"")</f>
        <v/>
      </c>
      <c r="Q155" s="237" t="str">
        <f>IF(ISBLANK(H155),,IFNA(VLOOKUP(H155, Circuits!A:U, 21, FALSE),))</f>
        <v/>
      </c>
      <c r="R155" s="238" t="str">
        <f t="shared" si="7"/>
        <v/>
      </c>
      <c r="S155" s="237" t="str">
        <f>IF(ISBLANK(H155),,IFNA(VLOOKUP(H155, Circuits!A:V, 22, FALSE),))</f>
        <v/>
      </c>
      <c r="T155" s="237" t="str">
        <f>IF(ISBLANK(H155),,IFNA(VLOOKUP(H155, Circuits!A:X, 24, FALSE),))</f>
        <v/>
      </c>
      <c r="V155" s="236" t="str">
        <f>IFERROR(__xludf.DUMMYFUNCTION("IF(ISBLANK(H155),,JOIN("","",H155:T155))"),"")</f>
        <v/>
      </c>
      <c r="W155" s="229" t="str">
        <f t="shared" si="1"/>
        <v/>
      </c>
    </row>
    <row r="156">
      <c r="H156" s="237"/>
      <c r="I156" s="237" t="str">
        <f>IFERROR(__xludf.DUMMYFUNCTION("IF(ISBLANK(H156),,IFNA(""""""""&amp;JOIN("","",INDEX(FILTER(A:D,A:A=H156),0,4))&amp;"""""""",))"),"")</f>
        <v/>
      </c>
      <c r="J156" s="237" t="str">
        <f>IF(ISBLANK(H156),,IFNA(VLOOKUP(H156, Circuits!A:W, 23, FALSE),))</f>
        <v/>
      </c>
      <c r="K156" s="238" t="str">
        <f t="shared" si="2"/>
        <v/>
      </c>
      <c r="L156" s="238" t="str">
        <f t="shared" si="3"/>
        <v/>
      </c>
      <c r="M156" s="238" t="str">
        <f t="shared" si="4"/>
        <v/>
      </c>
      <c r="N156" s="238" t="str">
        <f t="shared" si="5"/>
        <v/>
      </c>
      <c r="O156" s="238" t="str">
        <f t="shared" si="6"/>
        <v/>
      </c>
      <c r="P156" s="237" t="str">
        <f>IFERROR(__xludf.DUMMYFUNCTION("IF(ISBLANK(H156),,IF(IFNA(MATCH(H156,SPLIT(Circuits!$S$2,"";""&amp;CHAR(10)),0),0),FALSE,TRUE))"),"")</f>
        <v/>
      </c>
      <c r="Q156" s="237" t="str">
        <f>IF(ISBLANK(H156),,IFNA(VLOOKUP(H156, Circuits!A:U, 21, FALSE),))</f>
        <v/>
      </c>
      <c r="R156" s="238" t="str">
        <f t="shared" si="7"/>
        <v/>
      </c>
      <c r="S156" s="237" t="str">
        <f>IF(ISBLANK(H156),,IFNA(VLOOKUP(H156, Circuits!A:V, 22, FALSE),))</f>
        <v/>
      </c>
      <c r="T156" s="237" t="str">
        <f>IF(ISBLANK(H156),,IFNA(VLOOKUP(H156, Circuits!A:X, 24, FALSE),))</f>
        <v/>
      </c>
      <c r="V156" s="236" t="str">
        <f>IFERROR(__xludf.DUMMYFUNCTION("IF(ISBLANK(H156),,JOIN("","",H156:T156))"),"")</f>
        <v/>
      </c>
      <c r="W156" s="229" t="str">
        <f t="shared" si="1"/>
        <v/>
      </c>
    </row>
    <row r="157">
      <c r="H157" s="237"/>
      <c r="I157" s="237" t="str">
        <f>IFERROR(__xludf.DUMMYFUNCTION("IF(ISBLANK(H157),,IFNA(""""""""&amp;JOIN("","",INDEX(FILTER(A:D,A:A=H157),0,4))&amp;"""""""",))"),"")</f>
        <v/>
      </c>
      <c r="J157" s="237" t="str">
        <f>IF(ISBLANK(H157),,IFNA(VLOOKUP(H157, Circuits!A:W, 23, FALSE),))</f>
        <v/>
      </c>
      <c r="K157" s="238" t="str">
        <f t="shared" si="2"/>
        <v/>
      </c>
      <c r="L157" s="238" t="str">
        <f t="shared" si="3"/>
        <v/>
      </c>
      <c r="M157" s="238" t="str">
        <f t="shared" si="4"/>
        <v/>
      </c>
      <c r="N157" s="238" t="str">
        <f t="shared" si="5"/>
        <v/>
      </c>
      <c r="O157" s="238" t="str">
        <f t="shared" si="6"/>
        <v/>
      </c>
      <c r="P157" s="237" t="str">
        <f>IFERROR(__xludf.DUMMYFUNCTION("IF(ISBLANK(H157),,IF(IFNA(MATCH(H157,SPLIT(Circuits!$S$2,"";""&amp;CHAR(10)),0),0),FALSE,TRUE))"),"")</f>
        <v/>
      </c>
      <c r="Q157" s="237" t="str">
        <f>IF(ISBLANK(H157),,IFNA(VLOOKUP(H157, Circuits!A:U, 21, FALSE),))</f>
        <v/>
      </c>
      <c r="R157" s="238" t="str">
        <f t="shared" si="7"/>
        <v/>
      </c>
      <c r="S157" s="237" t="str">
        <f>IF(ISBLANK(H157),,IFNA(VLOOKUP(H157, Circuits!A:V, 22, FALSE),))</f>
        <v/>
      </c>
      <c r="T157" s="237" t="str">
        <f>IF(ISBLANK(H157),,IFNA(VLOOKUP(H157, Circuits!A:X, 24, FALSE),))</f>
        <v/>
      </c>
      <c r="V157" s="236" t="str">
        <f>IFERROR(__xludf.DUMMYFUNCTION("IF(ISBLANK(H157),,JOIN("","",H157:T157))"),"")</f>
        <v/>
      </c>
      <c r="W157" s="229" t="str">
        <f t="shared" si="1"/>
        <v/>
      </c>
    </row>
    <row r="158">
      <c r="H158" s="237"/>
      <c r="I158" s="237" t="str">
        <f>IFERROR(__xludf.DUMMYFUNCTION("IF(ISBLANK(H158),,IFNA(""""""""&amp;JOIN("","",INDEX(FILTER(A:D,A:A=H158),0,4))&amp;"""""""",))"),"")</f>
        <v/>
      </c>
      <c r="J158" s="237" t="str">
        <f>IF(ISBLANK(H158),,IFNA(VLOOKUP(H158, Circuits!A:W, 23, FALSE),))</f>
        <v/>
      </c>
      <c r="K158" s="238" t="str">
        <f t="shared" si="2"/>
        <v/>
      </c>
      <c r="L158" s="238" t="str">
        <f t="shared" si="3"/>
        <v/>
      </c>
      <c r="M158" s="238" t="str">
        <f t="shared" si="4"/>
        <v/>
      </c>
      <c r="N158" s="238" t="str">
        <f t="shared" si="5"/>
        <v/>
      </c>
      <c r="O158" s="238" t="str">
        <f t="shared" si="6"/>
        <v/>
      </c>
      <c r="P158" s="237" t="str">
        <f>IFERROR(__xludf.DUMMYFUNCTION("IF(ISBLANK(H158),,IF(IFNA(MATCH(H158,SPLIT(Circuits!$S$2,"";""&amp;CHAR(10)),0),0),FALSE,TRUE))"),"")</f>
        <v/>
      </c>
      <c r="Q158" s="237" t="str">
        <f>IF(ISBLANK(H158),,IFNA(VLOOKUP(H158, Circuits!A:U, 21, FALSE),))</f>
        <v/>
      </c>
      <c r="R158" s="238" t="str">
        <f t="shared" si="7"/>
        <v/>
      </c>
      <c r="S158" s="237" t="str">
        <f>IF(ISBLANK(H158),,IFNA(VLOOKUP(H158, Circuits!A:V, 22, FALSE),))</f>
        <v/>
      </c>
      <c r="T158" s="237" t="str">
        <f>IF(ISBLANK(H158),,IFNA(VLOOKUP(H158, Circuits!A:X, 24, FALSE),))</f>
        <v/>
      </c>
      <c r="V158" s="236" t="str">
        <f>IFERROR(__xludf.DUMMYFUNCTION("IF(ISBLANK(H158),,JOIN("","",H158:T158))"),"")</f>
        <v/>
      </c>
      <c r="W158" s="229" t="str">
        <f t="shared" si="1"/>
        <v/>
      </c>
    </row>
    <row r="159">
      <c r="H159" s="237"/>
      <c r="I159" s="237" t="str">
        <f>IFERROR(__xludf.DUMMYFUNCTION("IF(ISBLANK(H159),,IFNA(""""""""&amp;JOIN("","",INDEX(FILTER(A:D,A:A=H159),0,4))&amp;"""""""",))"),"")</f>
        <v/>
      </c>
      <c r="J159" s="237" t="str">
        <f>IF(ISBLANK(H159),,IFNA(VLOOKUP(H159, Circuits!A:W, 23, FALSE),))</f>
        <v/>
      </c>
      <c r="K159" s="238" t="str">
        <f t="shared" si="2"/>
        <v/>
      </c>
      <c r="L159" s="238" t="str">
        <f t="shared" si="3"/>
        <v/>
      </c>
      <c r="M159" s="238" t="str">
        <f t="shared" si="4"/>
        <v/>
      </c>
      <c r="N159" s="238" t="str">
        <f t="shared" si="5"/>
        <v/>
      </c>
      <c r="O159" s="238" t="str">
        <f t="shared" si="6"/>
        <v/>
      </c>
      <c r="P159" s="237" t="str">
        <f>IFERROR(__xludf.DUMMYFUNCTION("IF(ISBLANK(H159),,IF(IFNA(MATCH(H159,SPLIT(Circuits!$S$2,"";""&amp;CHAR(10)),0),0),FALSE,TRUE))"),"")</f>
        <v/>
      </c>
      <c r="Q159" s="237" t="str">
        <f>IF(ISBLANK(H159),,IFNA(VLOOKUP(H159, Circuits!A:U, 21, FALSE),))</f>
        <v/>
      </c>
      <c r="R159" s="238" t="str">
        <f t="shared" si="7"/>
        <v/>
      </c>
      <c r="S159" s="237" t="str">
        <f>IF(ISBLANK(H159),,IFNA(VLOOKUP(H159, Circuits!A:V, 22, FALSE),))</f>
        <v/>
      </c>
      <c r="T159" s="237" t="str">
        <f>IF(ISBLANK(H159),,IFNA(VLOOKUP(H159, Circuits!A:X, 24, FALSE),))</f>
        <v/>
      </c>
      <c r="V159" s="236" t="str">
        <f>IFERROR(__xludf.DUMMYFUNCTION("IF(ISBLANK(H159),,JOIN("","",H159:T159))"),"")</f>
        <v/>
      </c>
      <c r="W159" s="229" t="str">
        <f t="shared" si="1"/>
        <v/>
      </c>
    </row>
    <row r="160">
      <c r="H160" s="237"/>
      <c r="I160" s="237" t="str">
        <f>IFERROR(__xludf.DUMMYFUNCTION("IF(ISBLANK(H160),,IFNA(""""""""&amp;JOIN("","",INDEX(FILTER(A:D,A:A=H160),0,4))&amp;"""""""",))"),"")</f>
        <v/>
      </c>
      <c r="J160" s="237" t="str">
        <f>IF(ISBLANK(H160),,IFNA(VLOOKUP(H160, Circuits!A:W, 23, FALSE),))</f>
        <v/>
      </c>
      <c r="K160" s="238" t="str">
        <f t="shared" si="2"/>
        <v/>
      </c>
      <c r="L160" s="238" t="str">
        <f t="shared" si="3"/>
        <v/>
      </c>
      <c r="M160" s="238" t="str">
        <f t="shared" si="4"/>
        <v/>
      </c>
      <c r="N160" s="238" t="str">
        <f t="shared" si="5"/>
        <v/>
      </c>
      <c r="O160" s="238" t="str">
        <f t="shared" si="6"/>
        <v/>
      </c>
      <c r="P160" s="237" t="str">
        <f>IFERROR(__xludf.DUMMYFUNCTION("IF(ISBLANK(H160),,IF(IFNA(MATCH(H160,SPLIT(Circuits!$S$2,"";""&amp;CHAR(10)),0),0),FALSE,TRUE))"),"")</f>
        <v/>
      </c>
      <c r="Q160" s="237" t="str">
        <f>IF(ISBLANK(H160),,IFNA(VLOOKUP(H160, Circuits!A:U, 21, FALSE),))</f>
        <v/>
      </c>
      <c r="R160" s="238" t="str">
        <f t="shared" si="7"/>
        <v/>
      </c>
      <c r="S160" s="237" t="str">
        <f>IF(ISBLANK(H160),,IFNA(VLOOKUP(H160, Circuits!A:V, 22, FALSE),))</f>
        <v/>
      </c>
      <c r="T160" s="237" t="str">
        <f>IF(ISBLANK(H160),,IFNA(VLOOKUP(H160, Circuits!A:X, 24, FALSE),))</f>
        <v/>
      </c>
      <c r="V160" s="236" t="str">
        <f>IFERROR(__xludf.DUMMYFUNCTION("IF(ISBLANK(H160),,JOIN("","",H160:T160))"),"")</f>
        <v/>
      </c>
      <c r="W160" s="229" t="str">
        <f t="shared" si="1"/>
        <v/>
      </c>
    </row>
    <row r="161">
      <c r="H161" s="237"/>
      <c r="I161" s="237" t="str">
        <f>IFERROR(__xludf.DUMMYFUNCTION("IF(ISBLANK(H161),,IFNA(""""""""&amp;JOIN("","",INDEX(FILTER(A:D,A:A=H161),0,4))&amp;"""""""",))"),"")</f>
        <v/>
      </c>
      <c r="J161" s="237" t="str">
        <f>IF(ISBLANK(H161),,IFNA(VLOOKUP(H161, Circuits!A:W, 23, FALSE),))</f>
        <v/>
      </c>
      <c r="K161" s="238" t="str">
        <f t="shared" si="2"/>
        <v/>
      </c>
      <c r="L161" s="238" t="str">
        <f t="shared" si="3"/>
        <v/>
      </c>
      <c r="M161" s="238" t="str">
        <f t="shared" si="4"/>
        <v/>
      </c>
      <c r="N161" s="238" t="str">
        <f t="shared" si="5"/>
        <v/>
      </c>
      <c r="O161" s="238" t="str">
        <f t="shared" si="6"/>
        <v/>
      </c>
      <c r="P161" s="237" t="str">
        <f>IFERROR(__xludf.DUMMYFUNCTION("IF(ISBLANK(H161),,IF(IFNA(MATCH(H161,SPLIT(Circuits!$S$2,"";""&amp;CHAR(10)),0),0),FALSE,TRUE))"),"")</f>
        <v/>
      </c>
      <c r="Q161" s="237" t="str">
        <f>IF(ISBLANK(H161),,IFNA(VLOOKUP(H161, Circuits!A:U, 21, FALSE),))</f>
        <v/>
      </c>
      <c r="R161" s="238" t="str">
        <f t="shared" si="7"/>
        <v/>
      </c>
      <c r="S161" s="237" t="str">
        <f>IF(ISBLANK(H161),,IFNA(VLOOKUP(H161, Circuits!A:V, 22, FALSE),))</f>
        <v/>
      </c>
      <c r="T161" s="237" t="str">
        <f>IF(ISBLANK(H161),,IFNA(VLOOKUP(H161, Circuits!A:X, 24, FALSE),))</f>
        <v/>
      </c>
      <c r="V161" s="236" t="str">
        <f>IFERROR(__xludf.DUMMYFUNCTION("IF(ISBLANK(H161),,JOIN("","",H161:T161))"),"")</f>
        <v/>
      </c>
      <c r="W161" s="229" t="str">
        <f t="shared" si="1"/>
        <v/>
      </c>
    </row>
    <row r="162">
      <c r="H162" s="237"/>
      <c r="I162" s="237" t="str">
        <f>IFERROR(__xludf.DUMMYFUNCTION("IF(ISBLANK(H162),,IFNA(""""""""&amp;JOIN("","",INDEX(FILTER(A:D,A:A=H162),0,4))&amp;"""""""",))"),"")</f>
        <v/>
      </c>
      <c r="J162" s="237" t="str">
        <f>IF(ISBLANK(H162),,IFNA(VLOOKUP(H162, Circuits!A:W, 23, FALSE),))</f>
        <v/>
      </c>
      <c r="K162" s="238" t="str">
        <f t="shared" si="2"/>
        <v/>
      </c>
      <c r="L162" s="238" t="str">
        <f t="shared" si="3"/>
        <v/>
      </c>
      <c r="M162" s="238" t="str">
        <f t="shared" si="4"/>
        <v/>
      </c>
      <c r="N162" s="238" t="str">
        <f t="shared" si="5"/>
        <v/>
      </c>
      <c r="O162" s="238" t="str">
        <f t="shared" si="6"/>
        <v/>
      </c>
      <c r="P162" s="237" t="str">
        <f>IFERROR(__xludf.DUMMYFUNCTION("IF(ISBLANK(H162),,IF(IFNA(MATCH(H162,SPLIT(Circuits!$S$2,"";""&amp;CHAR(10)),0),0),FALSE,TRUE))"),"")</f>
        <v/>
      </c>
      <c r="Q162" s="237" t="str">
        <f>IF(ISBLANK(H162),,IFNA(VLOOKUP(H162, Circuits!A:U, 21, FALSE),))</f>
        <v/>
      </c>
      <c r="R162" s="238" t="str">
        <f t="shared" si="7"/>
        <v/>
      </c>
      <c r="S162" s="237" t="str">
        <f>IF(ISBLANK(H162),,IFNA(VLOOKUP(H162, Circuits!A:V, 22, FALSE),))</f>
        <v/>
      </c>
      <c r="T162" s="237" t="str">
        <f>IF(ISBLANK(H162),,IFNA(VLOOKUP(H162, Circuits!A:X, 24, FALSE),))</f>
        <v/>
      </c>
      <c r="V162" s="236" t="str">
        <f>IFERROR(__xludf.DUMMYFUNCTION("IF(ISBLANK(H162),,JOIN("","",H162:T162))"),"")</f>
        <v/>
      </c>
      <c r="W162" s="229" t="str">
        <f t="shared" si="1"/>
        <v/>
      </c>
    </row>
    <row r="163">
      <c r="H163" s="237"/>
      <c r="I163" s="237" t="str">
        <f>IFERROR(__xludf.DUMMYFUNCTION("IF(ISBLANK(H163),,IFNA(""""""""&amp;JOIN("","",INDEX(FILTER(A:D,A:A=H163),0,4))&amp;"""""""",))"),"")</f>
        <v/>
      </c>
      <c r="J163" s="237" t="str">
        <f>IF(ISBLANK(H163),,IFNA(VLOOKUP(H163, Circuits!A:W, 23, FALSE),))</f>
        <v/>
      </c>
      <c r="K163" s="238" t="str">
        <f t="shared" si="2"/>
        <v/>
      </c>
      <c r="L163" s="238" t="str">
        <f t="shared" si="3"/>
        <v/>
      </c>
      <c r="M163" s="238" t="str">
        <f t="shared" si="4"/>
        <v/>
      </c>
      <c r="N163" s="238" t="str">
        <f t="shared" si="5"/>
        <v/>
      </c>
      <c r="O163" s="238" t="str">
        <f t="shared" si="6"/>
        <v/>
      </c>
      <c r="P163" s="237" t="str">
        <f>IFERROR(__xludf.DUMMYFUNCTION("IF(ISBLANK(H163),,IF(IFNA(MATCH(H163,SPLIT(Circuits!$S$2,"";""&amp;CHAR(10)),0),0),FALSE,TRUE))"),"")</f>
        <v/>
      </c>
      <c r="Q163" s="237" t="str">
        <f>IF(ISBLANK(H163),,IFNA(VLOOKUP(H163, Circuits!A:U, 21, FALSE),))</f>
        <v/>
      </c>
      <c r="R163" s="238" t="str">
        <f t="shared" si="7"/>
        <v/>
      </c>
      <c r="S163" s="237" t="str">
        <f>IF(ISBLANK(H163),,IFNA(VLOOKUP(H163, Circuits!A:V, 22, FALSE),))</f>
        <v/>
      </c>
      <c r="T163" s="237" t="str">
        <f>IF(ISBLANK(H163),,IFNA(VLOOKUP(H163, Circuits!A:X, 24, FALSE),))</f>
        <v/>
      </c>
      <c r="V163" s="236" t="str">
        <f>IFERROR(__xludf.DUMMYFUNCTION("IF(ISBLANK(H163),,JOIN("","",H163:T163))"),"")</f>
        <v/>
      </c>
      <c r="W163" s="229" t="str">
        <f t="shared" si="1"/>
        <v/>
      </c>
    </row>
    <row r="164">
      <c r="H164" s="237"/>
      <c r="I164" s="237" t="str">
        <f>IFERROR(__xludf.DUMMYFUNCTION("IF(ISBLANK(H164),,IFNA(""""""""&amp;JOIN("","",INDEX(FILTER(A:D,A:A=H164),0,4))&amp;"""""""",))"),"")</f>
        <v/>
      </c>
      <c r="J164" s="237" t="str">
        <f>IF(ISBLANK(H164),,IFNA(VLOOKUP(H164, Circuits!A:W, 23, FALSE),))</f>
        <v/>
      </c>
      <c r="K164" s="238" t="str">
        <f t="shared" si="2"/>
        <v/>
      </c>
      <c r="L164" s="238" t="str">
        <f t="shared" si="3"/>
        <v/>
      </c>
      <c r="M164" s="238" t="str">
        <f t="shared" si="4"/>
        <v/>
      </c>
      <c r="N164" s="238" t="str">
        <f t="shared" si="5"/>
        <v/>
      </c>
      <c r="O164" s="238" t="str">
        <f t="shared" si="6"/>
        <v/>
      </c>
      <c r="P164" s="237" t="str">
        <f>IFERROR(__xludf.DUMMYFUNCTION("IF(ISBLANK(H164),,IF(IFNA(MATCH(H164,SPLIT(Circuits!$S$2,"";""&amp;CHAR(10)),0),0),FALSE,TRUE))"),"")</f>
        <v/>
      </c>
      <c r="Q164" s="237" t="str">
        <f>IF(ISBLANK(H164),,IFNA(VLOOKUP(H164, Circuits!A:U, 21, FALSE),))</f>
        <v/>
      </c>
      <c r="R164" s="238" t="str">
        <f t="shared" si="7"/>
        <v/>
      </c>
      <c r="S164" s="237" t="str">
        <f>IF(ISBLANK(H164),,IFNA(VLOOKUP(H164, Circuits!A:V, 22, FALSE),))</f>
        <v/>
      </c>
      <c r="T164" s="237" t="str">
        <f>IF(ISBLANK(H164),,IFNA(VLOOKUP(H164, Circuits!A:X, 24, FALSE),))</f>
        <v/>
      </c>
      <c r="V164" s="236" t="str">
        <f>IFERROR(__xludf.DUMMYFUNCTION("IF(ISBLANK(H164),,JOIN("","",H164:T164))"),"")</f>
        <v/>
      </c>
      <c r="W164" s="229" t="str">
        <f t="shared" si="1"/>
        <v/>
      </c>
    </row>
    <row r="165">
      <c r="H165" s="237"/>
      <c r="I165" s="237" t="str">
        <f>IFERROR(__xludf.DUMMYFUNCTION("IF(ISBLANK(H165),,IFNA(""""""""&amp;JOIN("","",INDEX(FILTER(A:D,A:A=H165),0,4))&amp;"""""""",))"),"")</f>
        <v/>
      </c>
      <c r="J165" s="237" t="str">
        <f>IF(ISBLANK(H165),,IFNA(VLOOKUP(H165, Circuits!A:W, 23, FALSE),))</f>
        <v/>
      </c>
      <c r="K165" s="238" t="str">
        <f t="shared" si="2"/>
        <v/>
      </c>
      <c r="L165" s="238" t="str">
        <f t="shared" si="3"/>
        <v/>
      </c>
      <c r="M165" s="238" t="str">
        <f t="shared" si="4"/>
        <v/>
      </c>
      <c r="N165" s="238" t="str">
        <f t="shared" si="5"/>
        <v/>
      </c>
      <c r="O165" s="238" t="str">
        <f t="shared" si="6"/>
        <v/>
      </c>
      <c r="P165" s="237" t="str">
        <f>IFERROR(__xludf.DUMMYFUNCTION("IF(ISBLANK(H165),,IF(IFNA(MATCH(H165,SPLIT(Circuits!$S$2,"";""&amp;CHAR(10)),0),0),FALSE,TRUE))"),"")</f>
        <v/>
      </c>
      <c r="Q165" s="237" t="str">
        <f>IF(ISBLANK(H165),,IFNA(VLOOKUP(H165, Circuits!A:U, 21, FALSE),))</f>
        <v/>
      </c>
      <c r="R165" s="238" t="str">
        <f t="shared" si="7"/>
        <v/>
      </c>
      <c r="S165" s="237" t="str">
        <f>IF(ISBLANK(H165),,IFNA(VLOOKUP(H165, Circuits!A:V, 22, FALSE),))</f>
        <v/>
      </c>
      <c r="T165" s="237" t="str">
        <f>IF(ISBLANK(H165),,IFNA(VLOOKUP(H165, Circuits!A:X, 24, FALSE),))</f>
        <v/>
      </c>
      <c r="V165" s="236" t="str">
        <f>IFERROR(__xludf.DUMMYFUNCTION("IF(ISBLANK(H165),,JOIN("","",H165:T165))"),"")</f>
        <v/>
      </c>
      <c r="W165" s="229" t="str">
        <f t="shared" si="1"/>
        <v/>
      </c>
    </row>
    <row r="166">
      <c r="H166" s="237"/>
      <c r="I166" s="237" t="str">
        <f>IFERROR(__xludf.DUMMYFUNCTION("IF(ISBLANK(H166),,IFNA(""""""""&amp;JOIN("","",INDEX(FILTER(A:D,A:A=H166),0,4))&amp;"""""""",))"),"")</f>
        <v/>
      </c>
      <c r="J166" s="237" t="str">
        <f>IF(ISBLANK(H166),,IFNA(VLOOKUP(H166, Circuits!A:W, 23, FALSE),))</f>
        <v/>
      </c>
      <c r="K166" s="238" t="str">
        <f t="shared" si="2"/>
        <v/>
      </c>
      <c r="L166" s="238" t="str">
        <f t="shared" si="3"/>
        <v/>
      </c>
      <c r="M166" s="238" t="str">
        <f t="shared" si="4"/>
        <v/>
      </c>
      <c r="N166" s="238" t="str">
        <f t="shared" si="5"/>
        <v/>
      </c>
      <c r="O166" s="238" t="str">
        <f t="shared" si="6"/>
        <v/>
      </c>
      <c r="P166" s="237" t="str">
        <f>IFERROR(__xludf.DUMMYFUNCTION("IF(ISBLANK(H166),,IF(IFNA(MATCH(H166,SPLIT(Circuits!$S$2,"";""&amp;CHAR(10)),0),0),FALSE,TRUE))"),"")</f>
        <v/>
      </c>
      <c r="Q166" s="237" t="str">
        <f>IF(ISBLANK(H166),,IFNA(VLOOKUP(H166, Circuits!A:U, 21, FALSE),))</f>
        <v/>
      </c>
      <c r="R166" s="238" t="str">
        <f t="shared" si="7"/>
        <v/>
      </c>
      <c r="S166" s="237" t="str">
        <f>IF(ISBLANK(H166),,IFNA(VLOOKUP(H166, Circuits!A:V, 22, FALSE),))</f>
        <v/>
      </c>
      <c r="T166" s="237" t="str">
        <f>IF(ISBLANK(H166),,IFNA(VLOOKUP(H166, Circuits!A:X, 24, FALSE),))</f>
        <v/>
      </c>
      <c r="V166" s="236" t="str">
        <f>IFERROR(__xludf.DUMMYFUNCTION("IF(ISBLANK(H166),,JOIN("","",H166:T166))"),"")</f>
        <v/>
      </c>
      <c r="W166" s="229" t="str">
        <f t="shared" si="1"/>
        <v/>
      </c>
    </row>
    <row r="167">
      <c r="H167" s="237"/>
      <c r="I167" s="237" t="str">
        <f>IFERROR(__xludf.DUMMYFUNCTION("IF(ISBLANK(H167),,IFNA(""""""""&amp;JOIN("","",INDEX(FILTER(A:D,A:A=H167),0,4))&amp;"""""""",))"),"")</f>
        <v/>
      </c>
      <c r="J167" s="237" t="str">
        <f>IF(ISBLANK(H167),,IFNA(VLOOKUP(H167, Circuits!A:W, 23, FALSE),))</f>
        <v/>
      </c>
      <c r="K167" s="238" t="str">
        <f t="shared" si="2"/>
        <v/>
      </c>
      <c r="L167" s="238" t="str">
        <f t="shared" si="3"/>
        <v/>
      </c>
      <c r="M167" s="238" t="str">
        <f t="shared" si="4"/>
        <v/>
      </c>
      <c r="N167" s="238" t="str">
        <f t="shared" si="5"/>
        <v/>
      </c>
      <c r="O167" s="238" t="str">
        <f t="shared" si="6"/>
        <v/>
      </c>
      <c r="P167" s="237" t="str">
        <f>IFERROR(__xludf.DUMMYFUNCTION("IF(ISBLANK(H167),,IF(IFNA(MATCH(H167,SPLIT(Circuits!$S$2,"";""&amp;CHAR(10)),0),0),FALSE,TRUE))"),"")</f>
        <v/>
      </c>
      <c r="Q167" s="237" t="str">
        <f>IF(ISBLANK(H167),,IFNA(VLOOKUP(H167, Circuits!A:U, 21, FALSE),))</f>
        <v/>
      </c>
      <c r="R167" s="238" t="str">
        <f t="shared" si="7"/>
        <v/>
      </c>
      <c r="S167" s="237" t="str">
        <f>IF(ISBLANK(H167),,IFNA(VLOOKUP(H167, Circuits!A:V, 22, FALSE),))</f>
        <v/>
      </c>
      <c r="T167" s="237" t="str">
        <f>IF(ISBLANK(H167),,IFNA(VLOOKUP(H167, Circuits!A:X, 24, FALSE),))</f>
        <v/>
      </c>
      <c r="V167" s="236" t="str">
        <f>IFERROR(__xludf.DUMMYFUNCTION("IF(ISBLANK(H167),,JOIN("","",H167:T167))"),"")</f>
        <v/>
      </c>
      <c r="W167" s="229" t="str">
        <f t="shared" si="1"/>
        <v/>
      </c>
    </row>
    <row r="168">
      <c r="H168" s="237"/>
      <c r="I168" s="237" t="str">
        <f>IFERROR(__xludf.DUMMYFUNCTION("IF(ISBLANK(H168),,IFNA(""""""""&amp;JOIN("","",INDEX(FILTER(A:D,A:A=H168),0,4))&amp;"""""""",))"),"")</f>
        <v/>
      </c>
      <c r="J168" s="237" t="str">
        <f>IF(ISBLANK(H168),,IFNA(VLOOKUP(H168, Circuits!A:W, 23, FALSE),))</f>
        <v/>
      </c>
      <c r="K168" s="238" t="str">
        <f t="shared" si="2"/>
        <v/>
      </c>
      <c r="L168" s="238" t="str">
        <f t="shared" si="3"/>
        <v/>
      </c>
      <c r="M168" s="238" t="str">
        <f t="shared" si="4"/>
        <v/>
      </c>
      <c r="N168" s="238" t="str">
        <f t="shared" si="5"/>
        <v/>
      </c>
      <c r="O168" s="238" t="str">
        <f t="shared" si="6"/>
        <v/>
      </c>
      <c r="P168" s="237" t="str">
        <f>IFERROR(__xludf.DUMMYFUNCTION("IF(ISBLANK(H168),,IF(IFNA(MATCH(H168,SPLIT(Circuits!$S$2,"";""&amp;CHAR(10)),0),0),FALSE,TRUE))"),"")</f>
        <v/>
      </c>
      <c r="Q168" s="237" t="str">
        <f>IF(ISBLANK(H168),,IFNA(VLOOKUP(H168, Circuits!A:U, 21, FALSE),))</f>
        <v/>
      </c>
      <c r="R168" s="238" t="str">
        <f t="shared" si="7"/>
        <v/>
      </c>
      <c r="S168" s="237" t="str">
        <f>IF(ISBLANK(H168),,IFNA(VLOOKUP(H168, Circuits!A:V, 22, FALSE),))</f>
        <v/>
      </c>
      <c r="T168" s="237" t="str">
        <f>IF(ISBLANK(H168),,IFNA(VLOOKUP(H168, Circuits!A:X, 24, FALSE),))</f>
        <v/>
      </c>
      <c r="V168" s="236" t="str">
        <f>IFERROR(__xludf.DUMMYFUNCTION("IF(ISBLANK(H168),,JOIN("","",H168:T168))"),"")</f>
        <v/>
      </c>
      <c r="W168" s="229" t="str">
        <f t="shared" si="1"/>
        <v/>
      </c>
    </row>
    <row r="169">
      <c r="H169" s="237"/>
      <c r="I169" s="237" t="str">
        <f>IFERROR(__xludf.DUMMYFUNCTION("IF(ISBLANK(H169),,IFNA(""""""""&amp;JOIN("","",INDEX(FILTER(A:D,A:A=H169),0,4))&amp;"""""""",))"),"")</f>
        <v/>
      </c>
      <c r="J169" s="237" t="str">
        <f>IF(ISBLANK(H169),,IFNA(VLOOKUP(H169, Circuits!A:W, 23, FALSE),))</f>
        <v/>
      </c>
      <c r="K169" s="238" t="str">
        <f t="shared" si="2"/>
        <v/>
      </c>
      <c r="L169" s="238" t="str">
        <f t="shared" si="3"/>
        <v/>
      </c>
      <c r="M169" s="238" t="str">
        <f t="shared" si="4"/>
        <v/>
      </c>
      <c r="N169" s="238" t="str">
        <f t="shared" si="5"/>
        <v/>
      </c>
      <c r="O169" s="238" t="str">
        <f t="shared" si="6"/>
        <v/>
      </c>
      <c r="P169" s="237" t="str">
        <f>IFERROR(__xludf.DUMMYFUNCTION("IF(ISBLANK(H169),,IF(IFNA(MATCH(H169,SPLIT(Circuits!$S$2,"";""&amp;CHAR(10)),0),0),FALSE,TRUE))"),"")</f>
        <v/>
      </c>
      <c r="Q169" s="237" t="str">
        <f>IF(ISBLANK(H169),,IFNA(VLOOKUP(H169, Circuits!A:U, 21, FALSE),))</f>
        <v/>
      </c>
      <c r="R169" s="238" t="str">
        <f t="shared" si="7"/>
        <v/>
      </c>
      <c r="S169" s="237" t="str">
        <f>IF(ISBLANK(H169),,IFNA(VLOOKUP(H169, Circuits!A:V, 22, FALSE),))</f>
        <v/>
      </c>
      <c r="T169" s="237" t="str">
        <f>IF(ISBLANK(H169),,IFNA(VLOOKUP(H169, Circuits!A:X, 24, FALSE),))</f>
        <v/>
      </c>
      <c r="V169" s="236" t="str">
        <f>IFERROR(__xludf.DUMMYFUNCTION("IF(ISBLANK(H169),,JOIN("","",H169:T169))"),"")</f>
        <v/>
      </c>
      <c r="W169" s="229" t="str">
        <f t="shared" si="1"/>
        <v/>
      </c>
    </row>
    <row r="170">
      <c r="H170" s="237"/>
      <c r="I170" s="237" t="str">
        <f>IFERROR(__xludf.DUMMYFUNCTION("IF(ISBLANK(H170),,IFNA(""""""""&amp;JOIN("","",INDEX(FILTER(A:D,A:A=H170),0,4))&amp;"""""""",))"),"")</f>
        <v/>
      </c>
      <c r="J170" s="237" t="str">
        <f>IF(ISBLANK(H170),,IFNA(VLOOKUP(H170, Circuits!A:W, 23, FALSE),))</f>
        <v/>
      </c>
      <c r="K170" s="238" t="str">
        <f t="shared" si="2"/>
        <v/>
      </c>
      <c r="L170" s="238" t="str">
        <f t="shared" si="3"/>
        <v/>
      </c>
      <c r="M170" s="238" t="str">
        <f t="shared" si="4"/>
        <v/>
      </c>
      <c r="N170" s="238" t="str">
        <f t="shared" si="5"/>
        <v/>
      </c>
      <c r="O170" s="238" t="str">
        <f t="shared" si="6"/>
        <v/>
      </c>
      <c r="P170" s="237" t="str">
        <f>IFERROR(__xludf.DUMMYFUNCTION("IF(ISBLANK(H170),,IF(IFNA(MATCH(H170,SPLIT(Circuits!$S$2,"";""&amp;CHAR(10)),0),0),FALSE,TRUE))"),"")</f>
        <v/>
      </c>
      <c r="Q170" s="237" t="str">
        <f>IF(ISBLANK(H170),,IFNA(VLOOKUP(H170, Circuits!A:U, 21, FALSE),))</f>
        <v/>
      </c>
      <c r="R170" s="238" t="str">
        <f t="shared" si="7"/>
        <v/>
      </c>
      <c r="S170" s="237" t="str">
        <f>IF(ISBLANK(H170),,IFNA(VLOOKUP(H170, Circuits!A:V, 22, FALSE),))</f>
        <v/>
      </c>
      <c r="T170" s="237" t="str">
        <f>IF(ISBLANK(H170),,IFNA(VLOOKUP(H170, Circuits!A:X, 24, FALSE),))</f>
        <v/>
      </c>
      <c r="V170" s="236" t="str">
        <f>IFERROR(__xludf.DUMMYFUNCTION("IF(ISBLANK(H170),,JOIN("","",H170:T170))"),"")</f>
        <v/>
      </c>
      <c r="W170" s="229" t="str">
        <f t="shared" si="1"/>
        <v/>
      </c>
    </row>
    <row r="171">
      <c r="H171" s="237"/>
      <c r="I171" s="237" t="str">
        <f>IFERROR(__xludf.DUMMYFUNCTION("IF(ISBLANK(H171),,IFNA(""""""""&amp;JOIN("","",INDEX(FILTER(A:D,A:A=H171),0,4))&amp;"""""""",))"),"")</f>
        <v/>
      </c>
      <c r="J171" s="237" t="str">
        <f>IF(ISBLANK(H171),,IFNA(VLOOKUP(H171, Circuits!A:W, 23, FALSE),))</f>
        <v/>
      </c>
      <c r="K171" s="238" t="str">
        <f t="shared" si="2"/>
        <v/>
      </c>
      <c r="L171" s="238" t="str">
        <f t="shared" si="3"/>
        <v/>
      </c>
      <c r="M171" s="238" t="str">
        <f t="shared" si="4"/>
        <v/>
      </c>
      <c r="N171" s="238" t="str">
        <f t="shared" si="5"/>
        <v/>
      </c>
      <c r="O171" s="238" t="str">
        <f t="shared" si="6"/>
        <v/>
      </c>
      <c r="P171" s="237" t="str">
        <f>IFERROR(__xludf.DUMMYFUNCTION("IF(ISBLANK(H171),,IF(IFNA(MATCH(H171,SPLIT(Circuits!$S$2,"";""&amp;CHAR(10)),0),0),FALSE,TRUE))"),"")</f>
        <v/>
      </c>
      <c r="Q171" s="237" t="str">
        <f>IF(ISBLANK(H171),,IFNA(VLOOKUP(H171, Circuits!A:U, 21, FALSE),))</f>
        <v/>
      </c>
      <c r="R171" s="238" t="str">
        <f t="shared" si="7"/>
        <v/>
      </c>
      <c r="S171" s="237" t="str">
        <f>IF(ISBLANK(H171),,IFNA(VLOOKUP(H171, Circuits!A:V, 22, FALSE),))</f>
        <v/>
      </c>
      <c r="T171" s="237" t="str">
        <f>IF(ISBLANK(H171),,IFNA(VLOOKUP(H171, Circuits!A:X, 24, FALSE),))</f>
        <v/>
      </c>
      <c r="V171" s="236" t="str">
        <f>IFERROR(__xludf.DUMMYFUNCTION("IF(ISBLANK(H171),,JOIN("","",H171:T171))"),"")</f>
        <v/>
      </c>
      <c r="W171" s="229" t="str">
        <f t="shared" si="1"/>
        <v/>
      </c>
    </row>
    <row r="172">
      <c r="H172" s="237"/>
      <c r="I172" s="237" t="str">
        <f>IFERROR(__xludf.DUMMYFUNCTION("IF(ISBLANK(H172),,IFNA(""""""""&amp;JOIN("","",INDEX(FILTER(A:D,A:A=H172),0,4))&amp;"""""""",))"),"")</f>
        <v/>
      </c>
      <c r="J172" s="237" t="str">
        <f>IF(ISBLANK(H172),,IFNA(VLOOKUP(H172, Circuits!A:W, 23, FALSE),))</f>
        <v/>
      </c>
      <c r="K172" s="238" t="str">
        <f t="shared" si="2"/>
        <v/>
      </c>
      <c r="L172" s="238" t="str">
        <f t="shared" si="3"/>
        <v/>
      </c>
      <c r="M172" s="238" t="str">
        <f t="shared" si="4"/>
        <v/>
      </c>
      <c r="N172" s="238" t="str">
        <f t="shared" si="5"/>
        <v/>
      </c>
      <c r="O172" s="238" t="str">
        <f t="shared" si="6"/>
        <v/>
      </c>
      <c r="P172" s="237" t="str">
        <f>IFERROR(__xludf.DUMMYFUNCTION("IF(ISBLANK(H172),,IF(IFNA(MATCH(H172,SPLIT(Circuits!$S$2,"";""&amp;CHAR(10)),0),0),FALSE,TRUE))"),"")</f>
        <v/>
      </c>
      <c r="Q172" s="237" t="str">
        <f>IF(ISBLANK(H172),,IFNA(VLOOKUP(H172, Circuits!A:U, 21, FALSE),))</f>
        <v/>
      </c>
      <c r="R172" s="238" t="str">
        <f t="shared" si="7"/>
        <v/>
      </c>
      <c r="S172" s="237" t="str">
        <f>IF(ISBLANK(H172),,IFNA(VLOOKUP(H172, Circuits!A:V, 22, FALSE),))</f>
        <v/>
      </c>
      <c r="T172" s="237" t="str">
        <f>IF(ISBLANK(H172),,IFNA(VLOOKUP(H172, Circuits!A:X, 24, FALSE),))</f>
        <v/>
      </c>
      <c r="V172" s="236" t="str">
        <f>IFERROR(__xludf.DUMMYFUNCTION("IF(ISBLANK(H172),,JOIN("","",H172:T172))"),"")</f>
        <v/>
      </c>
      <c r="W172" s="229" t="str">
        <f t="shared" si="1"/>
        <v/>
      </c>
    </row>
    <row r="173">
      <c r="H173" s="237"/>
      <c r="I173" s="237" t="str">
        <f>IFERROR(__xludf.DUMMYFUNCTION("IF(ISBLANK(H173),,IFNA(""""""""&amp;JOIN("","",INDEX(FILTER(A:D,A:A=H173),0,4))&amp;"""""""",))"),"")</f>
        <v/>
      </c>
      <c r="J173" s="237" t="str">
        <f>IF(ISBLANK(H173),,IFNA(VLOOKUP(H173, Circuits!A:W, 23, FALSE),))</f>
        <v/>
      </c>
      <c r="K173" s="238" t="str">
        <f t="shared" si="2"/>
        <v/>
      </c>
      <c r="L173" s="238" t="str">
        <f t="shared" si="3"/>
        <v/>
      </c>
      <c r="M173" s="238" t="str">
        <f t="shared" si="4"/>
        <v/>
      </c>
      <c r="N173" s="238" t="str">
        <f t="shared" si="5"/>
        <v/>
      </c>
      <c r="O173" s="238" t="str">
        <f t="shared" si="6"/>
        <v/>
      </c>
      <c r="P173" s="237" t="str">
        <f>IFERROR(__xludf.DUMMYFUNCTION("IF(ISBLANK(H173),,IF(IFNA(MATCH(H173,SPLIT(Circuits!$S$2,"";""&amp;CHAR(10)),0),0),FALSE,TRUE))"),"")</f>
        <v/>
      </c>
      <c r="Q173" s="237" t="str">
        <f>IF(ISBLANK(H173),,IFNA(VLOOKUP(H173, Circuits!A:U, 21, FALSE),))</f>
        <v/>
      </c>
      <c r="R173" s="238" t="str">
        <f t="shared" si="7"/>
        <v/>
      </c>
      <c r="S173" s="237" t="str">
        <f>IF(ISBLANK(H173),,IFNA(VLOOKUP(H173, Circuits!A:V, 22, FALSE),))</f>
        <v/>
      </c>
      <c r="T173" s="237" t="str">
        <f>IF(ISBLANK(H173),,IFNA(VLOOKUP(H173, Circuits!A:X, 24, FALSE),))</f>
        <v/>
      </c>
      <c r="V173" s="236" t="str">
        <f>IFERROR(__xludf.DUMMYFUNCTION("IF(ISBLANK(H173),,JOIN("","",H173:T173))"),"")</f>
        <v/>
      </c>
      <c r="W173" s="229" t="str">
        <f t="shared" si="1"/>
        <v/>
      </c>
    </row>
    <row r="174">
      <c r="H174" s="237"/>
      <c r="I174" s="237" t="str">
        <f>IFERROR(__xludf.DUMMYFUNCTION("IF(ISBLANK(H174),,IFNA(""""""""&amp;JOIN("","",INDEX(FILTER(A:D,A:A=H174),0,4))&amp;"""""""",))"),"")</f>
        <v/>
      </c>
      <c r="J174" s="237" t="str">
        <f>IF(ISBLANK(H174),,IFNA(VLOOKUP(H174, Circuits!A:W, 23, FALSE),))</f>
        <v/>
      </c>
      <c r="K174" s="238" t="str">
        <f t="shared" si="2"/>
        <v/>
      </c>
      <c r="L174" s="238" t="str">
        <f t="shared" si="3"/>
        <v/>
      </c>
      <c r="M174" s="238" t="str">
        <f t="shared" si="4"/>
        <v/>
      </c>
      <c r="N174" s="238" t="str">
        <f t="shared" si="5"/>
        <v/>
      </c>
      <c r="O174" s="238" t="str">
        <f t="shared" si="6"/>
        <v/>
      </c>
      <c r="P174" s="237" t="str">
        <f>IFERROR(__xludf.DUMMYFUNCTION("IF(ISBLANK(H174),,IF(IFNA(MATCH(H174,SPLIT(Circuits!$S$2,"";""&amp;CHAR(10)),0),0),FALSE,TRUE))"),"")</f>
        <v/>
      </c>
      <c r="Q174" s="237" t="str">
        <f>IF(ISBLANK(H174),,IFNA(VLOOKUP(H174, Circuits!A:U, 21, FALSE),))</f>
        <v/>
      </c>
      <c r="R174" s="238" t="str">
        <f t="shared" si="7"/>
        <v/>
      </c>
      <c r="S174" s="237" t="str">
        <f>IF(ISBLANK(H174),,IFNA(VLOOKUP(H174, Circuits!A:V, 22, FALSE),))</f>
        <v/>
      </c>
      <c r="T174" s="237" t="str">
        <f>IF(ISBLANK(H174),,IFNA(VLOOKUP(H174, Circuits!A:X, 24, FALSE),))</f>
        <v/>
      </c>
      <c r="V174" s="236" t="str">
        <f>IFERROR(__xludf.DUMMYFUNCTION("IF(ISBLANK(H174),,JOIN("","",H174:T174))"),"")</f>
        <v/>
      </c>
      <c r="W174" s="229" t="str">
        <f t="shared" si="1"/>
        <v/>
      </c>
    </row>
    <row r="175">
      <c r="H175" s="237"/>
      <c r="I175" s="237" t="str">
        <f>IFERROR(__xludf.DUMMYFUNCTION("IF(ISBLANK(H175),,IFNA(""""""""&amp;JOIN("","",INDEX(FILTER(A:D,A:A=H175),0,4))&amp;"""""""",))"),"")</f>
        <v/>
      </c>
      <c r="J175" s="237" t="str">
        <f>IF(ISBLANK(H175),,IFNA(VLOOKUP(H175, Circuits!A:W, 23, FALSE),))</f>
        <v/>
      </c>
      <c r="K175" s="238" t="str">
        <f t="shared" si="2"/>
        <v/>
      </c>
      <c r="L175" s="238" t="str">
        <f t="shared" si="3"/>
        <v/>
      </c>
      <c r="M175" s="238" t="str">
        <f t="shared" si="4"/>
        <v/>
      </c>
      <c r="N175" s="238" t="str">
        <f t="shared" si="5"/>
        <v/>
      </c>
      <c r="O175" s="238" t="str">
        <f t="shared" si="6"/>
        <v/>
      </c>
      <c r="P175" s="237" t="str">
        <f>IFERROR(__xludf.DUMMYFUNCTION("IF(ISBLANK(H175),,IF(IFNA(MATCH(H175,SPLIT(Circuits!$S$2,"";""&amp;CHAR(10)),0),0),FALSE,TRUE))"),"")</f>
        <v/>
      </c>
      <c r="Q175" s="237" t="str">
        <f>IF(ISBLANK(H175),,IFNA(VLOOKUP(H175, Circuits!A:U, 21, FALSE),))</f>
        <v/>
      </c>
      <c r="R175" s="238" t="str">
        <f t="shared" si="7"/>
        <v/>
      </c>
      <c r="S175" s="237" t="str">
        <f>IF(ISBLANK(H175),,IFNA(VLOOKUP(H175, Circuits!A:V, 22, FALSE),))</f>
        <v/>
      </c>
      <c r="T175" s="237" t="str">
        <f>IF(ISBLANK(H175),,IFNA(VLOOKUP(H175, Circuits!A:X, 24, FALSE),))</f>
        <v/>
      </c>
      <c r="V175" s="236" t="str">
        <f>IFERROR(__xludf.DUMMYFUNCTION("IF(ISBLANK(H175),,JOIN("","",H175:T175))"),"")</f>
        <v/>
      </c>
      <c r="W175" s="229" t="str">
        <f t="shared" si="1"/>
        <v/>
      </c>
    </row>
    <row r="176">
      <c r="H176" s="237"/>
      <c r="I176" s="237" t="str">
        <f>IFERROR(__xludf.DUMMYFUNCTION("IF(ISBLANK(H176),,IFNA(""""""""&amp;JOIN("","",INDEX(FILTER(A:D,A:A=H176),0,4))&amp;"""""""",))"),"")</f>
        <v/>
      </c>
      <c r="J176" s="237" t="str">
        <f>IF(ISBLANK(H176),,IFNA(VLOOKUP(H176, Circuits!A:W, 23, FALSE),))</f>
        <v/>
      </c>
      <c r="K176" s="238" t="str">
        <f t="shared" si="2"/>
        <v/>
      </c>
      <c r="L176" s="238" t="str">
        <f t="shared" si="3"/>
        <v/>
      </c>
      <c r="M176" s="238" t="str">
        <f t="shared" si="4"/>
        <v/>
      </c>
      <c r="N176" s="238" t="str">
        <f t="shared" si="5"/>
        <v/>
      </c>
      <c r="O176" s="238" t="str">
        <f t="shared" si="6"/>
        <v/>
      </c>
      <c r="P176" s="237" t="str">
        <f>IFERROR(__xludf.DUMMYFUNCTION("IF(ISBLANK(H176),,IF(IFNA(MATCH(H176,SPLIT(Circuits!$S$2,"";""&amp;CHAR(10)),0),0),FALSE,TRUE))"),"")</f>
        <v/>
      </c>
      <c r="Q176" s="237" t="str">
        <f>IF(ISBLANK(H176),,IFNA(VLOOKUP(H176, Circuits!A:U, 21, FALSE),))</f>
        <v/>
      </c>
      <c r="R176" s="238" t="str">
        <f t="shared" si="7"/>
        <v/>
      </c>
      <c r="S176" s="237" t="str">
        <f>IF(ISBLANK(H176),,IFNA(VLOOKUP(H176, Circuits!A:V, 22, FALSE),))</f>
        <v/>
      </c>
      <c r="T176" s="237" t="str">
        <f>IF(ISBLANK(H176),,IFNA(VLOOKUP(H176, Circuits!A:X, 24, FALSE),))</f>
        <v/>
      </c>
      <c r="V176" s="236" t="str">
        <f>IFERROR(__xludf.DUMMYFUNCTION("IF(ISBLANK(H176),,JOIN("","",H176:T176))"),"")</f>
        <v/>
      </c>
      <c r="W176" s="229" t="str">
        <f t="shared" si="1"/>
        <v/>
      </c>
    </row>
    <row r="177">
      <c r="H177" s="237"/>
      <c r="I177" s="237" t="str">
        <f>IFERROR(__xludf.DUMMYFUNCTION("IF(ISBLANK(H177),,IFNA(""""""""&amp;JOIN("","",INDEX(FILTER(A:D,A:A=H177),0,4))&amp;"""""""",))"),"")</f>
        <v/>
      </c>
      <c r="J177" s="237" t="str">
        <f>IF(ISBLANK(H177),,IFNA(VLOOKUP(H177, Circuits!A:W, 23, FALSE),))</f>
        <v/>
      </c>
      <c r="K177" s="238" t="str">
        <f t="shared" si="2"/>
        <v/>
      </c>
      <c r="L177" s="238" t="str">
        <f t="shared" si="3"/>
        <v/>
      </c>
      <c r="M177" s="238" t="str">
        <f t="shared" si="4"/>
        <v/>
      </c>
      <c r="N177" s="238" t="str">
        <f t="shared" si="5"/>
        <v/>
      </c>
      <c r="O177" s="238" t="str">
        <f t="shared" si="6"/>
        <v/>
      </c>
      <c r="P177" s="237" t="str">
        <f>IFERROR(__xludf.DUMMYFUNCTION("IF(ISBLANK(H177),,IF(IFNA(MATCH(H177,SPLIT(Circuits!$S$2,"";""&amp;CHAR(10)),0),0),FALSE,TRUE))"),"")</f>
        <v/>
      </c>
      <c r="Q177" s="237" t="str">
        <f>IF(ISBLANK(H177),,IFNA(VLOOKUP(H177, Circuits!A:U, 21, FALSE),))</f>
        <v/>
      </c>
      <c r="R177" s="238" t="str">
        <f t="shared" si="7"/>
        <v/>
      </c>
      <c r="S177" s="237" t="str">
        <f>IF(ISBLANK(H177),,IFNA(VLOOKUP(H177, Circuits!A:V, 22, FALSE),))</f>
        <v/>
      </c>
      <c r="T177" s="237" t="str">
        <f>IF(ISBLANK(H177),,IFNA(VLOOKUP(H177, Circuits!A:X, 24, FALSE),))</f>
        <v/>
      </c>
      <c r="V177" s="236" t="str">
        <f>IFERROR(__xludf.DUMMYFUNCTION("IF(ISBLANK(H177),,JOIN("","",H177:T177))"),"")</f>
        <v/>
      </c>
      <c r="W177" s="229" t="str">
        <f t="shared" si="1"/>
        <v/>
      </c>
    </row>
    <row r="178">
      <c r="H178" s="237"/>
      <c r="I178" s="237" t="str">
        <f>IFERROR(__xludf.DUMMYFUNCTION("IF(ISBLANK(H178),,IFNA(""""""""&amp;JOIN("","",INDEX(FILTER(A:D,A:A=H178),0,4))&amp;"""""""",))"),"")</f>
        <v/>
      </c>
      <c r="J178" s="237" t="str">
        <f>IF(ISBLANK(H178),,IFNA(VLOOKUP(H178, Circuits!A:W, 23, FALSE),))</f>
        <v/>
      </c>
      <c r="K178" s="238" t="str">
        <f t="shared" si="2"/>
        <v/>
      </c>
      <c r="L178" s="238" t="str">
        <f t="shared" si="3"/>
        <v/>
      </c>
      <c r="M178" s="238" t="str">
        <f t="shared" si="4"/>
        <v/>
      </c>
      <c r="N178" s="238" t="str">
        <f t="shared" si="5"/>
        <v/>
      </c>
      <c r="O178" s="238" t="str">
        <f t="shared" si="6"/>
        <v/>
      </c>
      <c r="P178" s="237" t="str">
        <f>IFERROR(__xludf.DUMMYFUNCTION("IF(ISBLANK(H178),,IF(IFNA(MATCH(H178,SPLIT(Circuits!$S$2,"";""&amp;CHAR(10)),0),0),FALSE,TRUE))"),"")</f>
        <v/>
      </c>
      <c r="Q178" s="237" t="str">
        <f>IF(ISBLANK(H178),,IFNA(VLOOKUP(H178, Circuits!A:U, 21, FALSE),))</f>
        <v/>
      </c>
      <c r="R178" s="238" t="str">
        <f t="shared" si="7"/>
        <v/>
      </c>
      <c r="S178" s="237" t="str">
        <f>IF(ISBLANK(H178),,IFNA(VLOOKUP(H178, Circuits!A:V, 22, FALSE),))</f>
        <v/>
      </c>
      <c r="T178" s="237" t="str">
        <f>IF(ISBLANK(H178),,IFNA(VLOOKUP(H178, Circuits!A:X, 24, FALSE),))</f>
        <v/>
      </c>
      <c r="V178" s="236" t="str">
        <f>IFERROR(__xludf.DUMMYFUNCTION("IF(ISBLANK(H178),,JOIN("","",H178:T178))"),"")</f>
        <v/>
      </c>
      <c r="W178" s="229" t="str">
        <f t="shared" si="1"/>
        <v/>
      </c>
    </row>
    <row r="179">
      <c r="H179" s="237"/>
      <c r="I179" s="237" t="str">
        <f>IFERROR(__xludf.DUMMYFUNCTION("IF(ISBLANK(H179),,IFNA(""""""""&amp;JOIN("","",INDEX(FILTER(A:D,A:A=H179),0,4))&amp;"""""""",))"),"")</f>
        <v/>
      </c>
      <c r="J179" s="237" t="str">
        <f>IF(ISBLANK(H179),,IFNA(VLOOKUP(H179, Circuits!A:W, 23, FALSE),))</f>
        <v/>
      </c>
      <c r="K179" s="238" t="str">
        <f t="shared" si="2"/>
        <v/>
      </c>
      <c r="L179" s="238" t="str">
        <f t="shared" si="3"/>
        <v/>
      </c>
      <c r="M179" s="238" t="str">
        <f t="shared" si="4"/>
        <v/>
      </c>
      <c r="N179" s="238" t="str">
        <f t="shared" si="5"/>
        <v/>
      </c>
      <c r="O179" s="238" t="str">
        <f t="shared" si="6"/>
        <v/>
      </c>
      <c r="P179" s="237" t="str">
        <f>IFERROR(__xludf.DUMMYFUNCTION("IF(ISBLANK(H179),,IF(IFNA(MATCH(H179,SPLIT(Circuits!$S$2,"";""&amp;CHAR(10)),0),0),FALSE,TRUE))"),"")</f>
        <v/>
      </c>
      <c r="Q179" s="237" t="str">
        <f>IF(ISBLANK(H179),,IFNA(VLOOKUP(H179, Circuits!A:U, 21, FALSE),))</f>
        <v/>
      </c>
      <c r="R179" s="238" t="str">
        <f t="shared" si="7"/>
        <v/>
      </c>
      <c r="S179" s="237" t="str">
        <f>IF(ISBLANK(H179),,IFNA(VLOOKUP(H179, Circuits!A:V, 22, FALSE),))</f>
        <v/>
      </c>
      <c r="T179" s="237" t="str">
        <f>IF(ISBLANK(H179),,IFNA(VLOOKUP(H179, Circuits!A:X, 24, FALSE),))</f>
        <v/>
      </c>
      <c r="V179" s="236" t="str">
        <f>IFERROR(__xludf.DUMMYFUNCTION("IF(ISBLANK(H179),,JOIN("","",H179:T179))"),"")</f>
        <v/>
      </c>
      <c r="W179" s="229" t="str">
        <f t="shared" si="1"/>
        <v/>
      </c>
    </row>
    <row r="180">
      <c r="H180" s="237"/>
      <c r="I180" s="237" t="str">
        <f>IFERROR(__xludf.DUMMYFUNCTION("IF(ISBLANK(H180),,IFNA(""""""""&amp;JOIN("","",INDEX(FILTER(A:D,A:A=H180),0,4))&amp;"""""""",))"),"")</f>
        <v/>
      </c>
      <c r="J180" s="237" t="str">
        <f>IF(ISBLANK(H180),,IFNA(VLOOKUP(H180, Circuits!A:W, 23, FALSE),))</f>
        <v/>
      </c>
      <c r="K180" s="238" t="str">
        <f t="shared" si="2"/>
        <v/>
      </c>
      <c r="L180" s="238" t="str">
        <f t="shared" si="3"/>
        <v/>
      </c>
      <c r="M180" s="238" t="str">
        <f t="shared" si="4"/>
        <v/>
      </c>
      <c r="N180" s="238" t="str">
        <f t="shared" si="5"/>
        <v/>
      </c>
      <c r="O180" s="238" t="str">
        <f t="shared" si="6"/>
        <v/>
      </c>
      <c r="P180" s="237" t="str">
        <f>IFERROR(__xludf.DUMMYFUNCTION("IF(ISBLANK(H180),,IF(IFNA(MATCH(H180,SPLIT(Circuits!$S$2,"";""&amp;CHAR(10)),0),0),FALSE,TRUE))"),"")</f>
        <v/>
      </c>
      <c r="Q180" s="237" t="str">
        <f>IF(ISBLANK(H180),,IFNA(VLOOKUP(H180, Circuits!A:U, 21, FALSE),))</f>
        <v/>
      </c>
      <c r="R180" s="238" t="str">
        <f t="shared" si="7"/>
        <v/>
      </c>
      <c r="S180" s="237" t="str">
        <f>IF(ISBLANK(H180),,IFNA(VLOOKUP(H180, Circuits!A:V, 22, FALSE),))</f>
        <v/>
      </c>
      <c r="T180" s="237" t="str">
        <f>IF(ISBLANK(H180),,IFNA(VLOOKUP(H180, Circuits!A:X, 24, FALSE),))</f>
        <v/>
      </c>
      <c r="V180" s="236" t="str">
        <f>IFERROR(__xludf.DUMMYFUNCTION("IF(ISBLANK(H180),,JOIN("","",H180:T180))"),"")</f>
        <v/>
      </c>
      <c r="W180" s="229" t="str">
        <f t="shared" si="1"/>
        <v/>
      </c>
    </row>
    <row r="181">
      <c r="H181" s="237"/>
      <c r="I181" s="237" t="str">
        <f>IFERROR(__xludf.DUMMYFUNCTION("IF(ISBLANK(H181),,IFNA(""""""""&amp;JOIN("","",INDEX(FILTER(A:D,A:A=H181),0,4))&amp;"""""""",))"),"")</f>
        <v/>
      </c>
      <c r="J181" s="237" t="str">
        <f>IF(ISBLANK(H181),,IFNA(VLOOKUP(H181, Circuits!A:W, 23, FALSE),))</f>
        <v/>
      </c>
      <c r="K181" s="238" t="str">
        <f t="shared" si="2"/>
        <v/>
      </c>
      <c r="L181" s="238" t="str">
        <f t="shared" si="3"/>
        <v/>
      </c>
      <c r="M181" s="238" t="str">
        <f t="shared" si="4"/>
        <v/>
      </c>
      <c r="N181" s="238" t="str">
        <f t="shared" si="5"/>
        <v/>
      </c>
      <c r="O181" s="238" t="str">
        <f t="shared" si="6"/>
        <v/>
      </c>
      <c r="P181" s="237" t="str">
        <f>IFERROR(__xludf.DUMMYFUNCTION("IF(ISBLANK(H181),,IF(IFNA(MATCH(H181,SPLIT(Circuits!$S$2,"";""&amp;CHAR(10)),0),0),FALSE,TRUE))"),"")</f>
        <v/>
      </c>
      <c r="Q181" s="237" t="str">
        <f>IF(ISBLANK(H181),,IFNA(VLOOKUP(H181, Circuits!A:U, 21, FALSE),))</f>
        <v/>
      </c>
      <c r="R181" s="238" t="str">
        <f t="shared" si="7"/>
        <v/>
      </c>
      <c r="S181" s="237" t="str">
        <f>IF(ISBLANK(H181),,IFNA(VLOOKUP(H181, Circuits!A:V, 22, FALSE),))</f>
        <v/>
      </c>
      <c r="T181" s="237" t="str">
        <f>IF(ISBLANK(H181),,IFNA(VLOOKUP(H181, Circuits!A:X, 24, FALSE),))</f>
        <v/>
      </c>
      <c r="V181" s="236" t="str">
        <f>IFERROR(__xludf.DUMMYFUNCTION("IF(ISBLANK(H181),,JOIN("","",H181:T181))"),"")</f>
        <v/>
      </c>
      <c r="W181" s="229" t="str">
        <f t="shared" si="1"/>
        <v/>
      </c>
    </row>
    <row r="182">
      <c r="H182" s="237"/>
      <c r="I182" s="237" t="str">
        <f>IFERROR(__xludf.DUMMYFUNCTION("IF(ISBLANK(H182),,IFNA(""""""""&amp;JOIN("","",INDEX(FILTER(A:D,A:A=H182),0,4))&amp;"""""""",))"),"")</f>
        <v/>
      </c>
      <c r="J182" s="237" t="str">
        <f>IF(ISBLANK(H182),,IFNA(VLOOKUP(H182, Circuits!A:W, 23, FALSE),))</f>
        <v/>
      </c>
      <c r="K182" s="238" t="str">
        <f t="shared" si="2"/>
        <v/>
      </c>
      <c r="L182" s="238" t="str">
        <f t="shared" si="3"/>
        <v/>
      </c>
      <c r="M182" s="238" t="str">
        <f t="shared" si="4"/>
        <v/>
      </c>
      <c r="N182" s="238" t="str">
        <f t="shared" si="5"/>
        <v/>
      </c>
      <c r="O182" s="238" t="str">
        <f t="shared" si="6"/>
        <v/>
      </c>
      <c r="P182" s="237" t="str">
        <f>IFERROR(__xludf.DUMMYFUNCTION("IF(ISBLANK(H182),,IF(IFNA(MATCH(H182,SPLIT(Circuits!$S$2,"";""&amp;CHAR(10)),0),0),FALSE,TRUE))"),"")</f>
        <v/>
      </c>
      <c r="Q182" s="237" t="str">
        <f>IF(ISBLANK(H182),,IFNA(VLOOKUP(H182, Circuits!A:U, 21, FALSE),))</f>
        <v/>
      </c>
      <c r="R182" s="238" t="str">
        <f t="shared" si="7"/>
        <v/>
      </c>
      <c r="S182" s="237" t="str">
        <f>IF(ISBLANK(H182),,IFNA(VLOOKUP(H182, Circuits!A:V, 22, FALSE),))</f>
        <v/>
      </c>
      <c r="T182" s="237" t="str">
        <f>IF(ISBLANK(H182),,IFNA(VLOOKUP(H182, Circuits!A:X, 24, FALSE),))</f>
        <v/>
      </c>
      <c r="V182" s="236" t="str">
        <f>IFERROR(__xludf.DUMMYFUNCTION("IF(ISBLANK(H182),,JOIN("","",H182:T182))"),"")</f>
        <v/>
      </c>
      <c r="W182" s="229" t="str">
        <f t="shared" si="1"/>
        <v/>
      </c>
    </row>
    <row r="183">
      <c r="H183" s="237"/>
      <c r="I183" s="237" t="str">
        <f>IFERROR(__xludf.DUMMYFUNCTION("IF(ISBLANK(H183),,IFNA(""""""""&amp;JOIN("","",INDEX(FILTER(A:D,A:A=H183),0,4))&amp;"""""""",))"),"")</f>
        <v/>
      </c>
      <c r="J183" s="237" t="str">
        <f>IF(ISBLANK(H183),,IFNA(VLOOKUP(H183, Circuits!A:W, 23, FALSE),))</f>
        <v/>
      </c>
      <c r="K183" s="238" t="str">
        <f t="shared" si="2"/>
        <v/>
      </c>
      <c r="L183" s="238" t="str">
        <f t="shared" si="3"/>
        <v/>
      </c>
      <c r="M183" s="238" t="str">
        <f t="shared" si="4"/>
        <v/>
      </c>
      <c r="N183" s="238" t="str">
        <f t="shared" si="5"/>
        <v/>
      </c>
      <c r="O183" s="238" t="str">
        <f t="shared" si="6"/>
        <v/>
      </c>
      <c r="P183" s="237" t="str">
        <f>IFERROR(__xludf.DUMMYFUNCTION("IF(ISBLANK(H183),,IF(IFNA(MATCH(H183,SPLIT(Circuits!$S$2,"";""&amp;CHAR(10)),0),0),FALSE,TRUE))"),"")</f>
        <v/>
      </c>
      <c r="Q183" s="237" t="str">
        <f>IF(ISBLANK(H183),,IFNA(VLOOKUP(H183, Circuits!A:U, 21, FALSE),))</f>
        <v/>
      </c>
      <c r="R183" s="238" t="str">
        <f t="shared" si="7"/>
        <v/>
      </c>
      <c r="S183" s="237" t="str">
        <f>IF(ISBLANK(H183),,IFNA(VLOOKUP(H183, Circuits!A:V, 22, FALSE),))</f>
        <v/>
      </c>
      <c r="T183" s="237" t="str">
        <f>IF(ISBLANK(H183),,IFNA(VLOOKUP(H183, Circuits!A:X, 24, FALSE),))</f>
        <v/>
      </c>
      <c r="V183" s="236" t="str">
        <f>IFERROR(__xludf.DUMMYFUNCTION("IF(ISBLANK(H183),,JOIN("","",H183:T183))"),"")</f>
        <v/>
      </c>
      <c r="W183" s="229" t="str">
        <f t="shared" si="1"/>
        <v/>
      </c>
    </row>
    <row r="184">
      <c r="H184" s="237"/>
      <c r="I184" s="237" t="str">
        <f>IFERROR(__xludf.DUMMYFUNCTION("IF(ISBLANK(H184),,IFNA(""""""""&amp;JOIN("","",INDEX(FILTER(A:D,A:A=H184),0,4))&amp;"""""""",))"),"")</f>
        <v/>
      </c>
      <c r="J184" s="237" t="str">
        <f>IF(ISBLANK(H184),,IFNA(VLOOKUP(H184, Circuits!A:W, 23, FALSE),))</f>
        <v/>
      </c>
      <c r="K184" s="238" t="str">
        <f t="shared" si="2"/>
        <v/>
      </c>
      <c r="L184" s="238" t="str">
        <f t="shared" si="3"/>
        <v/>
      </c>
      <c r="M184" s="238" t="str">
        <f t="shared" si="4"/>
        <v/>
      </c>
      <c r="N184" s="238" t="str">
        <f t="shared" si="5"/>
        <v/>
      </c>
      <c r="O184" s="238" t="str">
        <f t="shared" si="6"/>
        <v/>
      </c>
      <c r="P184" s="237" t="str">
        <f>IFERROR(__xludf.DUMMYFUNCTION("IF(ISBLANK(H184),,IF(IFNA(MATCH(H184,SPLIT(Circuits!$S$2,"";""&amp;CHAR(10)),0),0),FALSE,TRUE))"),"")</f>
        <v/>
      </c>
      <c r="Q184" s="237" t="str">
        <f>IF(ISBLANK(H184),,IFNA(VLOOKUP(H184, Circuits!A:U, 21, FALSE),))</f>
        <v/>
      </c>
      <c r="R184" s="238" t="str">
        <f t="shared" si="7"/>
        <v/>
      </c>
      <c r="S184" s="237" t="str">
        <f>IF(ISBLANK(H184),,IFNA(VLOOKUP(H184, Circuits!A:V, 22, FALSE),))</f>
        <v/>
      </c>
      <c r="T184" s="237" t="str">
        <f>IF(ISBLANK(H184),,IFNA(VLOOKUP(H184, Circuits!A:X, 24, FALSE),))</f>
        <v/>
      </c>
      <c r="V184" s="236" t="str">
        <f>IFERROR(__xludf.DUMMYFUNCTION("IF(ISBLANK(H184),,JOIN("","",H184:T184))"),"")</f>
        <v/>
      </c>
      <c r="W184" s="229" t="str">
        <f t="shared" si="1"/>
        <v/>
      </c>
    </row>
    <row r="185">
      <c r="H185" s="237"/>
      <c r="I185" s="237" t="str">
        <f>IFERROR(__xludf.DUMMYFUNCTION("IF(ISBLANK(H185),,IFNA(""""""""&amp;JOIN("","",INDEX(FILTER(A:D,A:A=H185),0,4))&amp;"""""""",))"),"")</f>
        <v/>
      </c>
      <c r="J185" s="237" t="str">
        <f>IF(ISBLANK(H185),,IFNA(VLOOKUP(H185, Circuits!A:W, 23, FALSE),))</f>
        <v/>
      </c>
      <c r="K185" s="238" t="str">
        <f t="shared" si="2"/>
        <v/>
      </c>
      <c r="L185" s="238" t="str">
        <f t="shared" si="3"/>
        <v/>
      </c>
      <c r="M185" s="238" t="str">
        <f t="shared" si="4"/>
        <v/>
      </c>
      <c r="N185" s="238" t="str">
        <f t="shared" si="5"/>
        <v/>
      </c>
      <c r="O185" s="238" t="str">
        <f t="shared" si="6"/>
        <v/>
      </c>
      <c r="P185" s="237" t="str">
        <f>IFERROR(__xludf.DUMMYFUNCTION("IF(ISBLANK(H185),,IF(IFNA(MATCH(H185,SPLIT(Circuits!$S$2,"";""&amp;CHAR(10)),0),0),FALSE,TRUE))"),"")</f>
        <v/>
      </c>
      <c r="Q185" s="237" t="str">
        <f>IF(ISBLANK(H185),,IFNA(VLOOKUP(H185, Circuits!A:U, 21, FALSE),))</f>
        <v/>
      </c>
      <c r="R185" s="238" t="str">
        <f t="shared" si="7"/>
        <v/>
      </c>
      <c r="S185" s="237" t="str">
        <f>IF(ISBLANK(H185),,IFNA(VLOOKUP(H185, Circuits!A:V, 22, FALSE),))</f>
        <v/>
      </c>
      <c r="T185" s="237" t="str">
        <f>IF(ISBLANK(H185),,IFNA(VLOOKUP(H185, Circuits!A:X, 24, FALSE),))</f>
        <v/>
      </c>
      <c r="V185" s="236" t="str">
        <f>IFERROR(__xludf.DUMMYFUNCTION("IF(ISBLANK(H185),,JOIN("","",H185:T185))"),"")</f>
        <v/>
      </c>
      <c r="W185" s="229" t="str">
        <f t="shared" si="1"/>
        <v/>
      </c>
    </row>
    <row r="186">
      <c r="H186" s="237"/>
      <c r="I186" s="237" t="str">
        <f>IFERROR(__xludf.DUMMYFUNCTION("IF(ISBLANK(H186),,IFNA(""""""""&amp;JOIN("","",INDEX(FILTER(A:D,A:A=H186),0,4))&amp;"""""""",))"),"")</f>
        <v/>
      </c>
      <c r="J186" s="237" t="str">
        <f>IF(ISBLANK(H186),,IFNA(VLOOKUP(H186, Circuits!A:W, 23, FALSE),))</f>
        <v/>
      </c>
      <c r="K186" s="238" t="str">
        <f t="shared" si="2"/>
        <v/>
      </c>
      <c r="L186" s="238" t="str">
        <f t="shared" si="3"/>
        <v/>
      </c>
      <c r="M186" s="238" t="str">
        <f t="shared" si="4"/>
        <v/>
      </c>
      <c r="N186" s="238" t="str">
        <f t="shared" si="5"/>
        <v/>
      </c>
      <c r="O186" s="238" t="str">
        <f t="shared" si="6"/>
        <v/>
      </c>
      <c r="P186" s="237" t="str">
        <f>IFERROR(__xludf.DUMMYFUNCTION("IF(ISBLANK(H186),,IF(IFNA(MATCH(H186,SPLIT(Circuits!$S$2,"";""&amp;CHAR(10)),0),0),FALSE,TRUE))"),"")</f>
        <v/>
      </c>
      <c r="Q186" s="237" t="str">
        <f>IF(ISBLANK(H186),,IFNA(VLOOKUP(H186, Circuits!A:U, 21, FALSE),))</f>
        <v/>
      </c>
      <c r="R186" s="238" t="str">
        <f t="shared" si="7"/>
        <v/>
      </c>
      <c r="S186" s="237" t="str">
        <f>IF(ISBLANK(H186),,IFNA(VLOOKUP(H186, Circuits!A:V, 22, FALSE),))</f>
        <v/>
      </c>
      <c r="T186" s="237" t="str">
        <f>IF(ISBLANK(H186),,IFNA(VLOOKUP(H186, Circuits!A:X, 24, FALSE),))</f>
        <v/>
      </c>
      <c r="V186" s="236" t="str">
        <f>IFERROR(__xludf.DUMMYFUNCTION("IF(ISBLANK(H186),,JOIN("","",H186:T186))"),"")</f>
        <v/>
      </c>
      <c r="W186" s="229" t="str">
        <f t="shared" si="1"/>
        <v/>
      </c>
    </row>
    <row r="187">
      <c r="H187" s="237"/>
      <c r="I187" s="237" t="str">
        <f>IFERROR(__xludf.DUMMYFUNCTION("IF(ISBLANK(H187),,IFNA(""""""""&amp;JOIN("","",INDEX(FILTER(A:D,A:A=H187),0,4))&amp;"""""""",))"),"")</f>
        <v/>
      </c>
      <c r="J187" s="237" t="str">
        <f>IF(ISBLANK(H187),,IFNA(VLOOKUP(H187, Circuits!A:W, 23, FALSE),))</f>
        <v/>
      </c>
      <c r="K187" s="238" t="str">
        <f t="shared" si="2"/>
        <v/>
      </c>
      <c r="L187" s="238" t="str">
        <f t="shared" si="3"/>
        <v/>
      </c>
      <c r="M187" s="238" t="str">
        <f t="shared" si="4"/>
        <v/>
      </c>
      <c r="N187" s="238" t="str">
        <f t="shared" si="5"/>
        <v/>
      </c>
      <c r="O187" s="238" t="str">
        <f t="shared" si="6"/>
        <v/>
      </c>
      <c r="P187" s="237" t="str">
        <f>IFERROR(__xludf.DUMMYFUNCTION("IF(ISBLANK(H187),,IF(IFNA(MATCH(H187,SPLIT(Circuits!$S$2,"";""&amp;CHAR(10)),0),0),FALSE,TRUE))"),"")</f>
        <v/>
      </c>
      <c r="Q187" s="237" t="str">
        <f>IF(ISBLANK(H187),,IFNA(VLOOKUP(H187, Circuits!A:U, 21, FALSE),))</f>
        <v/>
      </c>
      <c r="R187" s="238" t="str">
        <f t="shared" si="7"/>
        <v/>
      </c>
      <c r="S187" s="237" t="str">
        <f>IF(ISBLANK(H187),,IFNA(VLOOKUP(H187, Circuits!A:V, 22, FALSE),))</f>
        <v/>
      </c>
      <c r="T187" s="237" t="str">
        <f>IF(ISBLANK(H187),,IFNA(VLOOKUP(H187, Circuits!A:X, 24, FALSE),))</f>
        <v/>
      </c>
      <c r="V187" s="236" t="str">
        <f>IFERROR(__xludf.DUMMYFUNCTION("IF(ISBLANK(H187),,JOIN("","",H187:T187))"),"")</f>
        <v/>
      </c>
      <c r="W187" s="229" t="str">
        <f t="shared" si="1"/>
        <v/>
      </c>
    </row>
    <row r="188">
      <c r="H188" s="237"/>
      <c r="I188" s="237" t="str">
        <f>IFERROR(__xludf.DUMMYFUNCTION("IF(ISBLANK(H188),,IFNA(""""""""&amp;JOIN("","",INDEX(FILTER(A:D,A:A=H188),0,4))&amp;"""""""",))"),"")</f>
        <v/>
      </c>
      <c r="J188" s="237" t="str">
        <f>IF(ISBLANK(H188),,IFNA(VLOOKUP(H188, Circuits!A:W, 23, FALSE),))</f>
        <v/>
      </c>
      <c r="K188" s="238" t="str">
        <f t="shared" si="2"/>
        <v/>
      </c>
      <c r="L188" s="238" t="str">
        <f t="shared" si="3"/>
        <v/>
      </c>
      <c r="M188" s="238" t="str">
        <f t="shared" si="4"/>
        <v/>
      </c>
      <c r="N188" s="238" t="str">
        <f t="shared" si="5"/>
        <v/>
      </c>
      <c r="O188" s="238" t="str">
        <f t="shared" si="6"/>
        <v/>
      </c>
      <c r="P188" s="237" t="str">
        <f>IFERROR(__xludf.DUMMYFUNCTION("IF(ISBLANK(H188),,IF(IFNA(MATCH(H188,SPLIT(Circuits!$S$2,"";""&amp;CHAR(10)),0),0),FALSE,TRUE))"),"")</f>
        <v/>
      </c>
      <c r="Q188" s="237" t="str">
        <f>IF(ISBLANK(H188),,IFNA(VLOOKUP(H188, Circuits!A:U, 21, FALSE),))</f>
        <v/>
      </c>
      <c r="R188" s="238" t="str">
        <f t="shared" si="7"/>
        <v/>
      </c>
      <c r="S188" s="237" t="str">
        <f>IF(ISBLANK(H188),,IFNA(VLOOKUP(H188, Circuits!A:V, 22, FALSE),))</f>
        <v/>
      </c>
      <c r="T188" s="237" t="str">
        <f>IF(ISBLANK(H188),,IFNA(VLOOKUP(H188, Circuits!A:X, 24, FALSE),))</f>
        <v/>
      </c>
      <c r="V188" s="236" t="str">
        <f>IFERROR(__xludf.DUMMYFUNCTION("IF(ISBLANK(H188),,JOIN("","",H188:T188))"),"")</f>
        <v/>
      </c>
      <c r="W188" s="229" t="str">
        <f t="shared" si="1"/>
        <v/>
      </c>
    </row>
    <row r="189">
      <c r="H189" s="237"/>
      <c r="I189" s="237" t="str">
        <f>IFERROR(__xludf.DUMMYFUNCTION("IF(ISBLANK(H189),,IFNA(""""""""&amp;JOIN("","",INDEX(FILTER(A:D,A:A=H189),0,4))&amp;"""""""",))"),"")</f>
        <v/>
      </c>
      <c r="J189" s="237" t="str">
        <f>IF(ISBLANK(H189),,IFNA(VLOOKUP(H189, Circuits!A:W, 23, FALSE),))</f>
        <v/>
      </c>
      <c r="K189" s="238" t="str">
        <f t="shared" si="2"/>
        <v/>
      </c>
      <c r="L189" s="238" t="str">
        <f t="shared" si="3"/>
        <v/>
      </c>
      <c r="M189" s="238" t="str">
        <f t="shared" si="4"/>
        <v/>
      </c>
      <c r="N189" s="238" t="str">
        <f t="shared" si="5"/>
        <v/>
      </c>
      <c r="O189" s="238" t="str">
        <f t="shared" si="6"/>
        <v/>
      </c>
      <c r="P189" s="237" t="str">
        <f>IFERROR(__xludf.DUMMYFUNCTION("IF(ISBLANK(H189),,IF(IFNA(MATCH(H189,SPLIT(Circuits!$S$2,"";""&amp;CHAR(10)),0),0),FALSE,TRUE))"),"")</f>
        <v/>
      </c>
      <c r="Q189" s="237" t="str">
        <f>IF(ISBLANK(H189),,IFNA(VLOOKUP(H189, Circuits!A:U, 21, FALSE),))</f>
        <v/>
      </c>
      <c r="R189" s="238" t="str">
        <f t="shared" si="7"/>
        <v/>
      </c>
      <c r="S189" s="237" t="str">
        <f>IF(ISBLANK(H189),,IFNA(VLOOKUP(H189, Circuits!A:V, 22, FALSE),))</f>
        <v/>
      </c>
      <c r="T189" s="237" t="str">
        <f>IF(ISBLANK(H189),,IFNA(VLOOKUP(H189, Circuits!A:X, 24, FALSE),))</f>
        <v/>
      </c>
      <c r="V189" s="236" t="str">
        <f>IFERROR(__xludf.DUMMYFUNCTION("IF(ISBLANK(H189),,JOIN("","",H189:T189))"),"")</f>
        <v/>
      </c>
      <c r="W189" s="229" t="str">
        <f t="shared" si="1"/>
        <v/>
      </c>
    </row>
    <row r="190">
      <c r="H190" s="237"/>
      <c r="I190" s="237" t="str">
        <f>IFERROR(__xludf.DUMMYFUNCTION("IF(ISBLANK(H190),,IFNA(""""""""&amp;JOIN("","",INDEX(FILTER(A:D,A:A=H190),0,4))&amp;"""""""",))"),"")</f>
        <v/>
      </c>
      <c r="J190" s="237" t="str">
        <f>IF(ISBLANK(H190),,IFNA(VLOOKUP(H190, Circuits!A:W, 23, FALSE),))</f>
        <v/>
      </c>
      <c r="K190" s="238" t="str">
        <f t="shared" si="2"/>
        <v/>
      </c>
      <c r="L190" s="238" t="str">
        <f t="shared" si="3"/>
        <v/>
      </c>
      <c r="M190" s="238" t="str">
        <f t="shared" si="4"/>
        <v/>
      </c>
      <c r="N190" s="238" t="str">
        <f t="shared" si="5"/>
        <v/>
      </c>
      <c r="O190" s="238" t="str">
        <f t="shared" si="6"/>
        <v/>
      </c>
      <c r="P190" s="237" t="str">
        <f>IFERROR(__xludf.DUMMYFUNCTION("IF(ISBLANK(H190),,IF(IFNA(MATCH(H190,SPLIT(Circuits!$S$2,"";""&amp;CHAR(10)),0),0),FALSE,TRUE))"),"")</f>
        <v/>
      </c>
      <c r="Q190" s="237" t="str">
        <f>IF(ISBLANK(H190),,IFNA(VLOOKUP(H190, Circuits!A:U, 21, FALSE),))</f>
        <v/>
      </c>
      <c r="R190" s="238" t="str">
        <f t="shared" si="7"/>
        <v/>
      </c>
      <c r="S190" s="237" t="str">
        <f>IF(ISBLANK(H190),,IFNA(VLOOKUP(H190, Circuits!A:V, 22, FALSE),))</f>
        <v/>
      </c>
      <c r="T190" s="237" t="str">
        <f>IF(ISBLANK(H190),,IFNA(VLOOKUP(H190, Circuits!A:X, 24, FALSE),))</f>
        <v/>
      </c>
      <c r="V190" s="236" t="str">
        <f>IFERROR(__xludf.DUMMYFUNCTION("IF(ISBLANK(H190),,JOIN("","",H190:T190))"),"")</f>
        <v/>
      </c>
      <c r="W190" s="229" t="str">
        <f t="shared" si="1"/>
        <v/>
      </c>
    </row>
    <row r="191">
      <c r="H191" s="237"/>
      <c r="I191" s="237" t="str">
        <f>IFERROR(__xludf.DUMMYFUNCTION("IF(ISBLANK(H191),,IFNA(""""""""&amp;JOIN("","",INDEX(FILTER(A:D,A:A=H191),0,4))&amp;"""""""",))"),"")</f>
        <v/>
      </c>
      <c r="J191" s="237" t="str">
        <f>IF(ISBLANK(H191),,IFNA(VLOOKUP(H191, Circuits!A:W, 23, FALSE),))</f>
        <v/>
      </c>
      <c r="K191" s="238" t="str">
        <f t="shared" si="2"/>
        <v/>
      </c>
      <c r="L191" s="238" t="str">
        <f t="shared" si="3"/>
        <v/>
      </c>
      <c r="M191" s="238" t="str">
        <f t="shared" si="4"/>
        <v/>
      </c>
      <c r="N191" s="238" t="str">
        <f t="shared" si="5"/>
        <v/>
      </c>
      <c r="O191" s="238" t="str">
        <f t="shared" si="6"/>
        <v/>
      </c>
      <c r="P191" s="237" t="str">
        <f>IFERROR(__xludf.DUMMYFUNCTION("IF(ISBLANK(H191),,IF(IFNA(MATCH(H191,SPLIT(Circuits!$S$2,"";""&amp;CHAR(10)),0),0),FALSE,TRUE))"),"")</f>
        <v/>
      </c>
      <c r="Q191" s="237" t="str">
        <f>IF(ISBLANK(H191),,IFNA(VLOOKUP(H191, Circuits!A:U, 21, FALSE),))</f>
        <v/>
      </c>
      <c r="R191" s="238" t="str">
        <f t="shared" si="7"/>
        <v/>
      </c>
      <c r="S191" s="237" t="str">
        <f>IF(ISBLANK(H191),,IFNA(VLOOKUP(H191, Circuits!A:V, 22, FALSE),))</f>
        <v/>
      </c>
      <c r="T191" s="237" t="str">
        <f>IF(ISBLANK(H191),,IFNA(VLOOKUP(H191, Circuits!A:X, 24, FALSE),))</f>
        <v/>
      </c>
      <c r="V191" s="236" t="str">
        <f>IFERROR(__xludf.DUMMYFUNCTION("IF(ISBLANK(H191),,JOIN("","",H191:T191))"),"")</f>
        <v/>
      </c>
      <c r="W191" s="229" t="str">
        <f t="shared" si="1"/>
        <v/>
      </c>
    </row>
    <row r="192">
      <c r="H192" s="237"/>
      <c r="I192" s="237" t="str">
        <f>IFERROR(__xludf.DUMMYFUNCTION("IF(ISBLANK(H192),,IFNA(""""""""&amp;JOIN("","",INDEX(FILTER(A:D,A:A=H192),0,4))&amp;"""""""",))"),"")</f>
        <v/>
      </c>
      <c r="J192" s="237" t="str">
        <f>IF(ISBLANK(H192),,IFNA(VLOOKUP(H192, Circuits!A:W, 23, FALSE),))</f>
        <v/>
      </c>
      <c r="K192" s="238" t="str">
        <f t="shared" si="2"/>
        <v/>
      </c>
      <c r="L192" s="238" t="str">
        <f t="shared" si="3"/>
        <v/>
      </c>
      <c r="M192" s="238" t="str">
        <f t="shared" si="4"/>
        <v/>
      </c>
      <c r="N192" s="238" t="str">
        <f t="shared" si="5"/>
        <v/>
      </c>
      <c r="O192" s="238" t="str">
        <f t="shared" si="6"/>
        <v/>
      </c>
      <c r="P192" s="237" t="str">
        <f>IFERROR(__xludf.DUMMYFUNCTION("IF(ISBLANK(H192),,IF(IFNA(MATCH(H192,SPLIT(Circuits!$S$2,"";""&amp;CHAR(10)),0),0),FALSE,TRUE))"),"")</f>
        <v/>
      </c>
      <c r="Q192" s="237" t="str">
        <f>IF(ISBLANK(H192),,IFNA(VLOOKUP(H192, Circuits!A:U, 21, FALSE),))</f>
        <v/>
      </c>
      <c r="R192" s="238" t="str">
        <f t="shared" si="7"/>
        <v/>
      </c>
      <c r="S192" s="237" t="str">
        <f>IF(ISBLANK(H192),,IFNA(VLOOKUP(H192, Circuits!A:V, 22, FALSE),))</f>
        <v/>
      </c>
      <c r="T192" s="237" t="str">
        <f>IF(ISBLANK(H192),,IFNA(VLOOKUP(H192, Circuits!A:X, 24, FALSE),))</f>
        <v/>
      </c>
      <c r="V192" s="236" t="str">
        <f>IFERROR(__xludf.DUMMYFUNCTION("IF(ISBLANK(H192),,JOIN("","",H192:T192))"),"")</f>
        <v/>
      </c>
      <c r="W192" s="229" t="str">
        <f t="shared" si="1"/>
        <v/>
      </c>
    </row>
    <row r="193">
      <c r="H193" s="237"/>
      <c r="I193" s="237" t="str">
        <f>IFERROR(__xludf.DUMMYFUNCTION("IF(ISBLANK(H193),,IFNA(""""""""&amp;JOIN("","",INDEX(FILTER(A:D,A:A=H193),0,4))&amp;"""""""",))"),"")</f>
        <v/>
      </c>
      <c r="J193" s="237" t="str">
        <f>IF(ISBLANK(H193),,IFNA(VLOOKUP(H193, Circuits!A:W, 23, FALSE),))</f>
        <v/>
      </c>
      <c r="K193" s="238" t="str">
        <f t="shared" si="2"/>
        <v/>
      </c>
      <c r="L193" s="238" t="str">
        <f t="shared" si="3"/>
        <v/>
      </c>
      <c r="M193" s="238" t="str">
        <f t="shared" si="4"/>
        <v/>
      </c>
      <c r="N193" s="238" t="str">
        <f t="shared" si="5"/>
        <v/>
      </c>
      <c r="O193" s="238" t="str">
        <f t="shared" si="6"/>
        <v/>
      </c>
      <c r="P193" s="237" t="str">
        <f>IFERROR(__xludf.DUMMYFUNCTION("IF(ISBLANK(H193),,IF(IFNA(MATCH(H193,SPLIT(Circuits!$S$2,"";""&amp;CHAR(10)),0),0),FALSE,TRUE))"),"")</f>
        <v/>
      </c>
      <c r="Q193" s="237" t="str">
        <f>IF(ISBLANK(H193),,IFNA(VLOOKUP(H193, Circuits!A:U, 21, FALSE),))</f>
        <v/>
      </c>
      <c r="R193" s="238" t="str">
        <f t="shared" si="7"/>
        <v/>
      </c>
      <c r="S193" s="237" t="str">
        <f>IF(ISBLANK(H193),,IFNA(VLOOKUP(H193, Circuits!A:V, 22, FALSE),))</f>
        <v/>
      </c>
      <c r="T193" s="237" t="str">
        <f>IF(ISBLANK(H193),,IFNA(VLOOKUP(H193, Circuits!A:X, 24, FALSE),))</f>
        <v/>
      </c>
      <c r="V193" s="236" t="str">
        <f>IFERROR(__xludf.DUMMYFUNCTION("IF(ISBLANK(H193),,JOIN("","",H193:T193))"),"")</f>
        <v/>
      </c>
      <c r="W193" s="229" t="str">
        <f t="shared" si="1"/>
        <v/>
      </c>
    </row>
    <row r="194">
      <c r="H194" s="237"/>
      <c r="I194" s="237" t="str">
        <f>IFERROR(__xludf.DUMMYFUNCTION("IF(ISBLANK(H194),,IFNA(""""""""&amp;JOIN("","",INDEX(FILTER(A:D,A:A=H194),0,4))&amp;"""""""",))"),"")</f>
        <v/>
      </c>
      <c r="J194" s="237" t="str">
        <f>IF(ISBLANK(H194),,IFNA(VLOOKUP(H194, Circuits!A:W, 23, FALSE),))</f>
        <v/>
      </c>
      <c r="K194" s="238" t="str">
        <f t="shared" si="2"/>
        <v/>
      </c>
      <c r="L194" s="238" t="str">
        <f t="shared" si="3"/>
        <v/>
      </c>
      <c r="M194" s="238" t="str">
        <f t="shared" si="4"/>
        <v/>
      </c>
      <c r="N194" s="238" t="str">
        <f t="shared" si="5"/>
        <v/>
      </c>
      <c r="O194" s="238" t="str">
        <f t="shared" si="6"/>
        <v/>
      </c>
      <c r="P194" s="237" t="str">
        <f>IFERROR(__xludf.DUMMYFUNCTION("IF(ISBLANK(H194),,IF(IFNA(MATCH(H194,SPLIT(Circuits!$S$2,"";""&amp;CHAR(10)),0),0),FALSE,TRUE))"),"")</f>
        <v/>
      </c>
      <c r="Q194" s="237" t="str">
        <f>IF(ISBLANK(H194),,IFNA(VLOOKUP(H194, Circuits!A:U, 21, FALSE),))</f>
        <v/>
      </c>
      <c r="R194" s="238" t="str">
        <f t="shared" si="7"/>
        <v/>
      </c>
      <c r="S194" s="237" t="str">
        <f>IF(ISBLANK(H194),,IFNA(VLOOKUP(H194, Circuits!A:V, 22, FALSE),))</f>
        <v/>
      </c>
      <c r="T194" s="237" t="str">
        <f>IF(ISBLANK(H194),,IFNA(VLOOKUP(H194, Circuits!A:X, 24, FALSE),))</f>
        <v/>
      </c>
      <c r="V194" s="236" t="str">
        <f>IFERROR(__xludf.DUMMYFUNCTION("IF(ISBLANK(H194),,JOIN("","",H194:T194))"),"")</f>
        <v/>
      </c>
      <c r="W194" s="229" t="str">
        <f t="shared" si="1"/>
        <v/>
      </c>
    </row>
    <row r="195">
      <c r="H195" s="237"/>
      <c r="I195" s="237" t="str">
        <f>IFERROR(__xludf.DUMMYFUNCTION("IF(ISBLANK(H195),,IFNA(""""""""&amp;JOIN("","",INDEX(FILTER(A:D,A:A=H195),0,4))&amp;"""""""",))"),"")</f>
        <v/>
      </c>
      <c r="J195" s="237" t="str">
        <f>IF(ISBLANK(H195),,IFNA(VLOOKUP(H195, Circuits!A:W, 23, FALSE),))</f>
        <v/>
      </c>
      <c r="K195" s="238" t="str">
        <f t="shared" si="2"/>
        <v/>
      </c>
      <c r="L195" s="238" t="str">
        <f t="shared" si="3"/>
        <v/>
      </c>
      <c r="M195" s="238" t="str">
        <f t="shared" si="4"/>
        <v/>
      </c>
      <c r="N195" s="238" t="str">
        <f t="shared" si="5"/>
        <v/>
      </c>
      <c r="O195" s="238" t="str">
        <f t="shared" si="6"/>
        <v/>
      </c>
      <c r="P195" s="237" t="str">
        <f>IFERROR(__xludf.DUMMYFUNCTION("IF(ISBLANK(H195),,IF(IFNA(MATCH(H195,SPLIT(Circuits!$S$2,"";""&amp;CHAR(10)),0),0),FALSE,TRUE))"),"")</f>
        <v/>
      </c>
      <c r="Q195" s="237" t="str">
        <f>IF(ISBLANK(H195),,IFNA(VLOOKUP(H195, Circuits!A:U, 21, FALSE),))</f>
        <v/>
      </c>
      <c r="R195" s="238" t="str">
        <f t="shared" si="7"/>
        <v/>
      </c>
      <c r="S195" s="237" t="str">
        <f>IF(ISBLANK(H195),,IFNA(VLOOKUP(H195, Circuits!A:V, 22, FALSE),))</f>
        <v/>
      </c>
      <c r="T195" s="237" t="str">
        <f>IF(ISBLANK(H195),,IFNA(VLOOKUP(H195, Circuits!A:X, 24, FALSE),))</f>
        <v/>
      </c>
      <c r="V195" s="236" t="str">
        <f>IFERROR(__xludf.DUMMYFUNCTION("IF(ISBLANK(H195),,JOIN("","",H195:T195))"),"")</f>
        <v/>
      </c>
      <c r="W195" s="229" t="str">
        <f t="shared" si="1"/>
        <v/>
      </c>
    </row>
    <row r="196">
      <c r="H196" s="237"/>
      <c r="I196" s="237" t="str">
        <f>IFERROR(__xludf.DUMMYFUNCTION("IF(ISBLANK(H196),,IFNA(""""""""&amp;JOIN("","",INDEX(FILTER(A:D,A:A=H196),0,4))&amp;"""""""",))"),"")</f>
        <v/>
      </c>
      <c r="J196" s="237" t="str">
        <f>IF(ISBLANK(H196),,IFNA(VLOOKUP(H196, Circuits!A:W, 23, FALSE),))</f>
        <v/>
      </c>
      <c r="K196" s="238" t="str">
        <f t="shared" si="2"/>
        <v/>
      </c>
      <c r="L196" s="238" t="str">
        <f t="shared" si="3"/>
        <v/>
      </c>
      <c r="M196" s="238" t="str">
        <f t="shared" si="4"/>
        <v/>
      </c>
      <c r="N196" s="238" t="str">
        <f t="shared" si="5"/>
        <v/>
      </c>
      <c r="O196" s="238" t="str">
        <f t="shared" si="6"/>
        <v/>
      </c>
      <c r="P196" s="237" t="str">
        <f>IFERROR(__xludf.DUMMYFUNCTION("IF(ISBLANK(H196),,IF(IFNA(MATCH(H196,SPLIT(Circuits!$S$2,"";""&amp;CHAR(10)),0),0),FALSE,TRUE))"),"")</f>
        <v/>
      </c>
      <c r="Q196" s="237" t="str">
        <f>IF(ISBLANK(H196),,IFNA(VLOOKUP(H196, Circuits!A:U, 21, FALSE),))</f>
        <v/>
      </c>
      <c r="R196" s="238" t="str">
        <f t="shared" si="7"/>
        <v/>
      </c>
      <c r="S196" s="237" t="str">
        <f>IF(ISBLANK(H196),,IFNA(VLOOKUP(H196, Circuits!A:V, 22, FALSE),))</f>
        <v/>
      </c>
      <c r="T196" s="237" t="str">
        <f>IF(ISBLANK(H196),,IFNA(VLOOKUP(H196, Circuits!A:X, 24, FALSE),))</f>
        <v/>
      </c>
      <c r="V196" s="236" t="str">
        <f>IFERROR(__xludf.DUMMYFUNCTION("IF(ISBLANK(H196),,JOIN("","",H196:T196))"),"")</f>
        <v/>
      </c>
      <c r="W196" s="229" t="str">
        <f t="shared" si="1"/>
        <v/>
      </c>
    </row>
    <row r="197">
      <c r="H197" s="237"/>
      <c r="I197" s="237" t="str">
        <f>IFERROR(__xludf.DUMMYFUNCTION("IF(ISBLANK(H197),,IFNA(""""""""&amp;JOIN("","",INDEX(FILTER(A:D,A:A=H197),0,4))&amp;"""""""",))"),"")</f>
        <v/>
      </c>
      <c r="J197" s="237" t="str">
        <f>IF(ISBLANK(H197),,IFNA(VLOOKUP(H197, Circuits!A:W, 23, FALSE),))</f>
        <v/>
      </c>
      <c r="K197" s="238" t="str">
        <f t="shared" si="2"/>
        <v/>
      </c>
      <c r="L197" s="238" t="str">
        <f t="shared" si="3"/>
        <v/>
      </c>
      <c r="M197" s="238" t="str">
        <f t="shared" si="4"/>
        <v/>
      </c>
      <c r="N197" s="238" t="str">
        <f t="shared" si="5"/>
        <v/>
      </c>
      <c r="O197" s="238" t="str">
        <f t="shared" si="6"/>
        <v/>
      </c>
      <c r="P197" s="237" t="str">
        <f>IFERROR(__xludf.DUMMYFUNCTION("IF(ISBLANK(H197),,IF(IFNA(MATCH(H197,SPLIT(Circuits!$S$2,"";""&amp;CHAR(10)),0),0),FALSE,TRUE))"),"")</f>
        <v/>
      </c>
      <c r="Q197" s="237" t="str">
        <f>IF(ISBLANK(H197),,IFNA(VLOOKUP(H197, Circuits!A:U, 21, FALSE),))</f>
        <v/>
      </c>
      <c r="R197" s="238" t="str">
        <f t="shared" si="7"/>
        <v/>
      </c>
      <c r="S197" s="237" t="str">
        <f>IF(ISBLANK(H197),,IFNA(VLOOKUP(H197, Circuits!A:V, 22, FALSE),))</f>
        <v/>
      </c>
      <c r="T197" s="237" t="str">
        <f>IF(ISBLANK(H197),,IFNA(VLOOKUP(H197, Circuits!A:X, 24, FALSE),))</f>
        <v/>
      </c>
      <c r="V197" s="236" t="str">
        <f>IFERROR(__xludf.DUMMYFUNCTION("IF(ISBLANK(H197),,JOIN("","",H197:T197))"),"")</f>
        <v/>
      </c>
      <c r="W197" s="229" t="str">
        <f t="shared" si="1"/>
        <v/>
      </c>
    </row>
    <row r="198">
      <c r="H198" s="237"/>
      <c r="I198" s="237" t="str">
        <f>IFERROR(__xludf.DUMMYFUNCTION("IF(ISBLANK(H198),,IFNA(""""""""&amp;JOIN("","",INDEX(FILTER(A:D,A:A=H198),0,4))&amp;"""""""",))"),"")</f>
        <v/>
      </c>
      <c r="J198" s="237" t="str">
        <f>IF(ISBLANK(H198),,IFNA(VLOOKUP(H198, Circuits!A:W, 23, FALSE),))</f>
        <v/>
      </c>
      <c r="K198" s="238" t="str">
        <f t="shared" si="2"/>
        <v/>
      </c>
      <c r="L198" s="238" t="str">
        <f t="shared" si="3"/>
        <v/>
      </c>
      <c r="M198" s="238" t="str">
        <f t="shared" si="4"/>
        <v/>
      </c>
      <c r="N198" s="238" t="str">
        <f t="shared" si="5"/>
        <v/>
      </c>
      <c r="O198" s="238" t="str">
        <f t="shared" si="6"/>
        <v/>
      </c>
      <c r="P198" s="237" t="str">
        <f>IFERROR(__xludf.DUMMYFUNCTION("IF(ISBLANK(H198),,IF(IFNA(MATCH(H198,SPLIT(Circuits!$S$2,"";""&amp;CHAR(10)),0),0),FALSE,TRUE))"),"")</f>
        <v/>
      </c>
      <c r="Q198" s="237" t="str">
        <f>IF(ISBLANK(H198),,IFNA(VLOOKUP(H198, Circuits!A:U, 21, FALSE),))</f>
        <v/>
      </c>
      <c r="R198" s="238" t="str">
        <f t="shared" si="7"/>
        <v/>
      </c>
      <c r="S198" s="237" t="str">
        <f>IF(ISBLANK(H198),,IFNA(VLOOKUP(H198, Circuits!A:V, 22, FALSE),))</f>
        <v/>
      </c>
      <c r="T198" s="237" t="str">
        <f>IF(ISBLANK(H198),,IFNA(VLOOKUP(H198, Circuits!A:X, 24, FALSE),))</f>
        <v/>
      </c>
      <c r="V198" s="236" t="str">
        <f>IFERROR(__xludf.DUMMYFUNCTION("IF(ISBLANK(H198),,JOIN("","",H198:T198))"),"")</f>
        <v/>
      </c>
      <c r="W198" s="229" t="str">
        <f t="shared" si="1"/>
        <v/>
      </c>
    </row>
    <row r="199">
      <c r="H199" s="237"/>
      <c r="I199" s="237" t="str">
        <f>IFERROR(__xludf.DUMMYFUNCTION("IF(ISBLANK(H199),,IFNA(""""""""&amp;JOIN("","",INDEX(FILTER(A:D,A:A=H199),0,4))&amp;"""""""",))"),"")</f>
        <v/>
      </c>
      <c r="J199" s="237" t="str">
        <f>IF(ISBLANK(H199),,IFNA(VLOOKUP(H199, Circuits!A:W, 23, FALSE),))</f>
        <v/>
      </c>
      <c r="K199" s="238" t="str">
        <f t="shared" si="2"/>
        <v/>
      </c>
      <c r="L199" s="238" t="str">
        <f t="shared" si="3"/>
        <v/>
      </c>
      <c r="M199" s="238" t="str">
        <f t="shared" si="4"/>
        <v/>
      </c>
      <c r="N199" s="238" t="str">
        <f t="shared" si="5"/>
        <v/>
      </c>
      <c r="O199" s="238" t="str">
        <f t="shared" si="6"/>
        <v/>
      </c>
      <c r="P199" s="237" t="str">
        <f>IFERROR(__xludf.DUMMYFUNCTION("IF(ISBLANK(H199),,IF(IFNA(MATCH(H199,SPLIT(Circuits!$S$2,"";""&amp;CHAR(10)),0),0),FALSE,TRUE))"),"")</f>
        <v/>
      </c>
      <c r="Q199" s="237" t="str">
        <f>IF(ISBLANK(H199),,IFNA(VLOOKUP(H199, Circuits!A:U, 21, FALSE),))</f>
        <v/>
      </c>
      <c r="R199" s="238" t="str">
        <f t="shared" si="7"/>
        <v/>
      </c>
      <c r="S199" s="237" t="str">
        <f>IF(ISBLANK(H199),,IFNA(VLOOKUP(H199, Circuits!A:V, 22, FALSE),))</f>
        <v/>
      </c>
      <c r="T199" s="237" t="str">
        <f>IF(ISBLANK(H199),,IFNA(VLOOKUP(H199, Circuits!A:X, 24, FALSE),))</f>
        <v/>
      </c>
      <c r="V199" s="236" t="str">
        <f>IFERROR(__xludf.DUMMYFUNCTION("IF(ISBLANK(H199),,JOIN("","",H199:T199))"),"")</f>
        <v/>
      </c>
      <c r="W199" s="229" t="str">
        <f t="shared" si="1"/>
        <v/>
      </c>
    </row>
    <row r="200">
      <c r="H200" s="237"/>
      <c r="I200" s="237" t="str">
        <f>IFERROR(__xludf.DUMMYFUNCTION("IF(ISBLANK(H200),,IFNA(""""""""&amp;JOIN("","",INDEX(FILTER(A:D,A:A=H200),0,4))&amp;"""""""",))"),"")</f>
        <v/>
      </c>
      <c r="J200" s="237" t="str">
        <f>IF(ISBLANK(H200),,IFNA(VLOOKUP(H200, Circuits!A:W, 23, FALSE),))</f>
        <v/>
      </c>
      <c r="K200" s="238" t="str">
        <f t="shared" si="2"/>
        <v/>
      </c>
      <c r="L200" s="238" t="str">
        <f t="shared" si="3"/>
        <v/>
      </c>
      <c r="M200" s="238" t="str">
        <f t="shared" si="4"/>
        <v/>
      </c>
      <c r="N200" s="238" t="str">
        <f t="shared" si="5"/>
        <v/>
      </c>
      <c r="O200" s="238" t="str">
        <f t="shared" si="6"/>
        <v/>
      </c>
      <c r="P200" s="237" t="str">
        <f>IFERROR(__xludf.DUMMYFUNCTION("IF(ISBLANK(H200),,IF(IFNA(MATCH(H200,SPLIT(Circuits!$S$2,"";""&amp;CHAR(10)),0),0),FALSE,TRUE))"),"")</f>
        <v/>
      </c>
      <c r="Q200" s="237" t="str">
        <f>IF(ISBLANK(H200),,IFNA(VLOOKUP(H200, Circuits!A:U, 21, FALSE),))</f>
        <v/>
      </c>
      <c r="R200" s="238" t="str">
        <f t="shared" si="7"/>
        <v/>
      </c>
      <c r="S200" s="237" t="str">
        <f>IF(ISBLANK(H200),,IFNA(VLOOKUP(H200, Circuits!A:V, 22, FALSE),))</f>
        <v/>
      </c>
      <c r="T200" s="237" t="str">
        <f>IF(ISBLANK(H200),,IFNA(VLOOKUP(H200, Circuits!A:X, 24, FALSE),))</f>
        <v/>
      </c>
      <c r="V200" s="236" t="str">
        <f>IFERROR(__xludf.DUMMYFUNCTION("IF(ISBLANK(H200),,JOIN("","",H200:T200))"),"")</f>
        <v/>
      </c>
      <c r="W200" s="229" t="str">
        <f t="shared" si="1"/>
        <v/>
      </c>
    </row>
    <row r="201">
      <c r="H201" s="237"/>
      <c r="I201" s="237" t="str">
        <f>IFERROR(__xludf.DUMMYFUNCTION("IF(ISBLANK(H201),,IFNA(""""""""&amp;JOIN("","",INDEX(FILTER(A:D,A:A=H201),0,4))&amp;"""""""",))"),"")</f>
        <v/>
      </c>
      <c r="J201" s="237" t="str">
        <f>IF(ISBLANK(H201),,IFNA(VLOOKUP(H201, Circuits!A:W, 23, FALSE),))</f>
        <v/>
      </c>
      <c r="K201" s="238" t="str">
        <f t="shared" si="2"/>
        <v/>
      </c>
      <c r="L201" s="238" t="str">
        <f t="shared" si="3"/>
        <v/>
      </c>
      <c r="M201" s="238" t="str">
        <f t="shared" si="4"/>
        <v/>
      </c>
      <c r="N201" s="238" t="str">
        <f t="shared" si="5"/>
        <v/>
      </c>
      <c r="O201" s="238" t="str">
        <f t="shared" si="6"/>
        <v/>
      </c>
      <c r="P201" s="237" t="str">
        <f>IFERROR(__xludf.DUMMYFUNCTION("IF(ISBLANK(H201),,IF(IFNA(MATCH(H201,SPLIT(Circuits!$S$2,"";""&amp;CHAR(10)),0),0),FALSE,TRUE))"),"")</f>
        <v/>
      </c>
      <c r="Q201" s="237" t="str">
        <f>IF(ISBLANK(H201),,IFNA(VLOOKUP(H201, Circuits!A:U, 21, FALSE),))</f>
        <v/>
      </c>
      <c r="R201" s="238" t="str">
        <f t="shared" si="7"/>
        <v/>
      </c>
      <c r="S201" s="237" t="str">
        <f>IF(ISBLANK(H201),,IFNA(VLOOKUP(H201, Circuits!A:V, 22, FALSE),))</f>
        <v/>
      </c>
      <c r="T201" s="237" t="str">
        <f>IF(ISBLANK(H201),,IFNA(VLOOKUP(H201, Circuits!A:X, 24, FALSE),))</f>
        <v/>
      </c>
      <c r="V201" s="236" t="str">
        <f>IFERROR(__xludf.DUMMYFUNCTION("IF(ISBLANK(H201),,JOIN("","",H201:T201))"),"")</f>
        <v/>
      </c>
      <c r="W201" s="229" t="str">
        <f t="shared" si="1"/>
        <v/>
      </c>
    </row>
    <row r="202">
      <c r="H202" s="237"/>
      <c r="I202" s="237" t="str">
        <f>IFERROR(__xludf.DUMMYFUNCTION("IF(ISBLANK(H202),,IFNA(""""""""&amp;JOIN("","",INDEX(FILTER(A:D,A:A=H202),0,4))&amp;"""""""",))"),"")</f>
        <v/>
      </c>
      <c r="J202" s="237" t="str">
        <f>IF(ISBLANK(H202),,IFNA(VLOOKUP(H202, Circuits!A:W, 23, FALSE),))</f>
        <v/>
      </c>
      <c r="K202" s="238" t="str">
        <f t="shared" si="2"/>
        <v/>
      </c>
      <c r="L202" s="238" t="str">
        <f t="shared" si="3"/>
        <v/>
      </c>
      <c r="M202" s="238" t="str">
        <f t="shared" si="4"/>
        <v/>
      </c>
      <c r="N202" s="238" t="str">
        <f t="shared" si="5"/>
        <v/>
      </c>
      <c r="O202" s="238" t="str">
        <f t="shared" si="6"/>
        <v/>
      </c>
      <c r="P202" s="237" t="str">
        <f>IFERROR(__xludf.DUMMYFUNCTION("IF(ISBLANK(H202),,IF(IFNA(MATCH(H202,SPLIT(Circuits!$S$2,"";""&amp;CHAR(10)),0),0),FALSE,TRUE))"),"")</f>
        <v/>
      </c>
      <c r="Q202" s="237" t="str">
        <f>IF(ISBLANK(H202),,IFNA(VLOOKUP(H202, Circuits!A:U, 21, FALSE),))</f>
        <v/>
      </c>
      <c r="R202" s="238" t="str">
        <f t="shared" si="7"/>
        <v/>
      </c>
      <c r="S202" s="237" t="str">
        <f>IF(ISBLANK(H202),,IFNA(VLOOKUP(H202, Circuits!A:V, 22, FALSE),))</f>
        <v/>
      </c>
      <c r="T202" s="237" t="str">
        <f>IF(ISBLANK(H202),,IFNA(VLOOKUP(H202, Circuits!A:X, 24, FALSE),))</f>
        <v/>
      </c>
      <c r="V202" s="236" t="str">
        <f>IFERROR(__xludf.DUMMYFUNCTION("IF(ISBLANK(H202),,JOIN("","",H202:T202))"),"")</f>
        <v/>
      </c>
      <c r="W202" s="229" t="str">
        <f t="shared" si="1"/>
        <v/>
      </c>
    </row>
    <row r="203">
      <c r="H203" s="237"/>
      <c r="I203" s="237" t="str">
        <f>IFERROR(__xludf.DUMMYFUNCTION("IF(ISBLANK(H203),,IFNA(""""""""&amp;JOIN("","",INDEX(FILTER(A:D,A:A=H203),0,4))&amp;"""""""",))"),"")</f>
        <v/>
      </c>
      <c r="J203" s="237" t="str">
        <f>IF(ISBLANK(H203),,IFNA(VLOOKUP(H203, Circuits!A:W, 23, FALSE),))</f>
        <v/>
      </c>
      <c r="K203" s="238" t="str">
        <f t="shared" si="2"/>
        <v/>
      </c>
      <c r="L203" s="238" t="str">
        <f t="shared" si="3"/>
        <v/>
      </c>
      <c r="M203" s="238" t="str">
        <f t="shared" si="4"/>
        <v/>
      </c>
      <c r="N203" s="238" t="str">
        <f t="shared" si="5"/>
        <v/>
      </c>
      <c r="O203" s="238" t="str">
        <f t="shared" si="6"/>
        <v/>
      </c>
      <c r="P203" s="237" t="str">
        <f>IFERROR(__xludf.DUMMYFUNCTION("IF(ISBLANK(H203),,IF(IFNA(MATCH(H203,SPLIT(Circuits!$S$2,"";""&amp;CHAR(10)),0),0),FALSE,TRUE))"),"")</f>
        <v/>
      </c>
      <c r="Q203" s="237" t="str">
        <f>IF(ISBLANK(H203),,IFNA(VLOOKUP(H203, Circuits!A:U, 21, FALSE),))</f>
        <v/>
      </c>
      <c r="R203" s="238" t="str">
        <f t="shared" si="7"/>
        <v/>
      </c>
      <c r="S203" s="237" t="str">
        <f>IF(ISBLANK(H203),,IFNA(VLOOKUP(H203, Circuits!A:V, 22, FALSE),))</f>
        <v/>
      </c>
      <c r="T203" s="237" t="str">
        <f>IF(ISBLANK(H203),,IFNA(VLOOKUP(H203, Circuits!A:X, 24, FALSE),))</f>
        <v/>
      </c>
      <c r="V203" s="236" t="str">
        <f>IFERROR(__xludf.DUMMYFUNCTION("IF(ISBLANK(H203),,JOIN("","",H203:T203))"),"")</f>
        <v/>
      </c>
      <c r="W203" s="229" t="str">
        <f t="shared" si="1"/>
        <v/>
      </c>
    </row>
    <row r="204">
      <c r="H204" s="237"/>
      <c r="I204" s="237" t="str">
        <f>IFERROR(__xludf.DUMMYFUNCTION("IF(ISBLANK(H204),,IFNA(""""""""&amp;JOIN("","",INDEX(FILTER(A:D,A:A=H204),0,4))&amp;"""""""",))"),"")</f>
        <v/>
      </c>
      <c r="J204" s="237" t="str">
        <f>IF(ISBLANK(H204),,IFNA(VLOOKUP(H204, Circuits!A:W, 23, FALSE),))</f>
        <v/>
      </c>
      <c r="K204" s="238" t="str">
        <f t="shared" si="2"/>
        <v/>
      </c>
      <c r="L204" s="238" t="str">
        <f t="shared" si="3"/>
        <v/>
      </c>
      <c r="M204" s="238" t="str">
        <f t="shared" si="4"/>
        <v/>
      </c>
      <c r="N204" s="238" t="str">
        <f t="shared" si="5"/>
        <v/>
      </c>
      <c r="O204" s="238" t="str">
        <f t="shared" si="6"/>
        <v/>
      </c>
      <c r="P204" s="237" t="str">
        <f>IFERROR(__xludf.DUMMYFUNCTION("IF(ISBLANK(H204),,IF(IFNA(MATCH(H204,SPLIT(Circuits!$S$2,"";""&amp;CHAR(10)),0),0),FALSE,TRUE))"),"")</f>
        <v/>
      </c>
      <c r="Q204" s="237" t="str">
        <f>IF(ISBLANK(H204),,IFNA(VLOOKUP(H204, Circuits!A:U, 21, FALSE),))</f>
        <v/>
      </c>
      <c r="R204" s="238" t="str">
        <f t="shared" si="7"/>
        <v/>
      </c>
      <c r="S204" s="237" t="str">
        <f>IF(ISBLANK(H204),,IFNA(VLOOKUP(H204, Circuits!A:V, 22, FALSE),))</f>
        <v/>
      </c>
      <c r="T204" s="237" t="str">
        <f>IF(ISBLANK(H204),,IFNA(VLOOKUP(H204, Circuits!A:X, 24, FALSE),))</f>
        <v/>
      </c>
      <c r="V204" s="236" t="str">
        <f>IFERROR(__xludf.DUMMYFUNCTION("IF(ISBLANK(H204),,JOIN("","",H204:T204))"),"")</f>
        <v/>
      </c>
      <c r="W204" s="229" t="str">
        <f t="shared" si="1"/>
        <v/>
      </c>
    </row>
    <row r="205">
      <c r="H205" s="237"/>
      <c r="I205" s="237" t="str">
        <f>IFERROR(__xludf.DUMMYFUNCTION("IF(ISBLANK(H205),,IFNA(""""""""&amp;JOIN("","",INDEX(FILTER(A:D,A:A=H205),0,4))&amp;"""""""",))"),"")</f>
        <v/>
      </c>
      <c r="J205" s="237" t="str">
        <f>IF(ISBLANK(H205),,IFNA(VLOOKUP(H205, Circuits!A:W, 23, FALSE),))</f>
        <v/>
      </c>
      <c r="K205" s="238" t="str">
        <f t="shared" si="2"/>
        <v/>
      </c>
      <c r="L205" s="238" t="str">
        <f t="shared" si="3"/>
        <v/>
      </c>
      <c r="M205" s="238" t="str">
        <f t="shared" si="4"/>
        <v/>
      </c>
      <c r="N205" s="238" t="str">
        <f t="shared" si="5"/>
        <v/>
      </c>
      <c r="O205" s="238" t="str">
        <f t="shared" si="6"/>
        <v/>
      </c>
      <c r="P205" s="237" t="str">
        <f>IFERROR(__xludf.DUMMYFUNCTION("IF(ISBLANK(H205),,IF(IFNA(MATCH(H205,SPLIT(Circuits!$S$2,"";""&amp;CHAR(10)),0),0),FALSE,TRUE))"),"")</f>
        <v/>
      </c>
      <c r="Q205" s="237" t="str">
        <f>IF(ISBLANK(H205),,IFNA(VLOOKUP(H205, Circuits!A:U, 21, FALSE),))</f>
        <v/>
      </c>
      <c r="R205" s="238" t="str">
        <f t="shared" si="7"/>
        <v/>
      </c>
      <c r="S205" s="237" t="str">
        <f>IF(ISBLANK(H205),,IFNA(VLOOKUP(H205, Circuits!A:V, 22, FALSE),))</f>
        <v/>
      </c>
      <c r="T205" s="237" t="str">
        <f>IF(ISBLANK(H205),,IFNA(VLOOKUP(H205, Circuits!A:X, 24, FALSE),))</f>
        <v/>
      </c>
      <c r="V205" s="236" t="str">
        <f>IFERROR(__xludf.DUMMYFUNCTION("IF(ISBLANK(H205),,JOIN("","",H205:T205))"),"")</f>
        <v/>
      </c>
      <c r="W205" s="229" t="str">
        <f t="shared" si="1"/>
        <v/>
      </c>
    </row>
    <row r="206">
      <c r="H206" s="237"/>
      <c r="I206" s="237" t="str">
        <f>IFERROR(__xludf.DUMMYFUNCTION("IF(ISBLANK(H206),,IFNA(""""""""&amp;JOIN("","",INDEX(FILTER(A:D,A:A=H206),0,4))&amp;"""""""",))"),"")</f>
        <v/>
      </c>
      <c r="J206" s="237" t="str">
        <f>IF(ISBLANK(H206),,IFNA(VLOOKUP(H206, Circuits!A:W, 23, FALSE),))</f>
        <v/>
      </c>
      <c r="K206" s="238" t="str">
        <f t="shared" si="2"/>
        <v/>
      </c>
      <c r="L206" s="238" t="str">
        <f t="shared" si="3"/>
        <v/>
      </c>
      <c r="M206" s="238" t="str">
        <f t="shared" si="4"/>
        <v/>
      </c>
      <c r="N206" s="238" t="str">
        <f t="shared" si="5"/>
        <v/>
      </c>
      <c r="O206" s="238" t="str">
        <f t="shared" si="6"/>
        <v/>
      </c>
      <c r="P206" s="237" t="str">
        <f>IFERROR(__xludf.DUMMYFUNCTION("IF(ISBLANK(H206),,IF(IFNA(MATCH(H206,SPLIT(Circuits!$S$2,"";""&amp;CHAR(10)),0),0),FALSE,TRUE))"),"")</f>
        <v/>
      </c>
      <c r="Q206" s="237" t="str">
        <f>IF(ISBLANK(H206),,IFNA(VLOOKUP(H206, Circuits!A:U, 21, FALSE),))</f>
        <v/>
      </c>
      <c r="R206" s="238" t="str">
        <f t="shared" si="7"/>
        <v/>
      </c>
      <c r="S206" s="237" t="str">
        <f>IF(ISBLANK(H206),,IFNA(VLOOKUP(H206, Circuits!A:V, 22, FALSE),))</f>
        <v/>
      </c>
      <c r="T206" s="237" t="str">
        <f>IF(ISBLANK(H206),,IFNA(VLOOKUP(H206, Circuits!A:X, 24, FALSE),))</f>
        <v/>
      </c>
      <c r="V206" s="236" t="str">
        <f>IFERROR(__xludf.DUMMYFUNCTION("IF(ISBLANK(H206),,JOIN("","",H206:T206))"),"")</f>
        <v/>
      </c>
      <c r="W206" s="229" t="str">
        <f t="shared" si="1"/>
        <v/>
      </c>
    </row>
    <row r="207">
      <c r="H207" s="237"/>
      <c r="I207" s="237" t="str">
        <f>IFERROR(__xludf.DUMMYFUNCTION("IF(ISBLANK(H207),,IFNA(""""""""&amp;JOIN("","",INDEX(FILTER(A:D,A:A=H207),0,4))&amp;"""""""",))"),"")</f>
        <v/>
      </c>
      <c r="J207" s="237" t="str">
        <f>IF(ISBLANK(H207),,IFNA(VLOOKUP(H207, Circuits!A:W, 23, FALSE),))</f>
        <v/>
      </c>
      <c r="K207" s="238" t="str">
        <f t="shared" si="2"/>
        <v/>
      </c>
      <c r="L207" s="238" t="str">
        <f t="shared" si="3"/>
        <v/>
      </c>
      <c r="M207" s="238" t="str">
        <f t="shared" si="4"/>
        <v/>
      </c>
      <c r="N207" s="238" t="str">
        <f t="shared" si="5"/>
        <v/>
      </c>
      <c r="O207" s="238" t="str">
        <f t="shared" si="6"/>
        <v/>
      </c>
      <c r="P207" s="237" t="str">
        <f>IFERROR(__xludf.DUMMYFUNCTION("IF(ISBLANK(H207),,IF(IFNA(MATCH(H207,SPLIT(Circuits!$S$2,"";""&amp;CHAR(10)),0),0),FALSE,TRUE))"),"")</f>
        <v/>
      </c>
      <c r="Q207" s="237" t="str">
        <f>IF(ISBLANK(H207),,IFNA(VLOOKUP(H207, Circuits!A:U, 21, FALSE),))</f>
        <v/>
      </c>
      <c r="R207" s="238" t="str">
        <f t="shared" si="7"/>
        <v/>
      </c>
      <c r="S207" s="237" t="str">
        <f>IF(ISBLANK(H207),,IFNA(VLOOKUP(H207, Circuits!A:V, 22, FALSE),))</f>
        <v/>
      </c>
      <c r="T207" s="237" t="str">
        <f>IF(ISBLANK(H207),,IFNA(VLOOKUP(H207, Circuits!A:X, 24, FALSE),))</f>
        <v/>
      </c>
      <c r="V207" s="236" t="str">
        <f>IFERROR(__xludf.DUMMYFUNCTION("IF(ISBLANK(H207),,JOIN("","",H207:T207))"),"")</f>
        <v/>
      </c>
      <c r="W207" s="229" t="str">
        <f t="shared" si="1"/>
        <v/>
      </c>
    </row>
    <row r="208">
      <c r="H208" s="237"/>
      <c r="I208" s="237" t="str">
        <f>IFERROR(__xludf.DUMMYFUNCTION("IF(ISBLANK(H208),,IFNA(""""""""&amp;JOIN("","",INDEX(FILTER(A:D,A:A=H208),0,4))&amp;"""""""",))"),"")</f>
        <v/>
      </c>
      <c r="J208" s="237" t="str">
        <f>IF(ISBLANK(H208),,IFNA(VLOOKUP(H208, Circuits!A:W, 23, FALSE),))</f>
        <v/>
      </c>
      <c r="K208" s="238" t="str">
        <f t="shared" si="2"/>
        <v/>
      </c>
      <c r="L208" s="238" t="str">
        <f t="shared" si="3"/>
        <v/>
      </c>
      <c r="M208" s="238" t="str">
        <f t="shared" si="4"/>
        <v/>
      </c>
      <c r="N208" s="238" t="str">
        <f t="shared" si="5"/>
        <v/>
      </c>
      <c r="O208" s="238" t="str">
        <f t="shared" si="6"/>
        <v/>
      </c>
      <c r="P208" s="237" t="str">
        <f>IFERROR(__xludf.DUMMYFUNCTION("IF(ISBLANK(H208),,IF(IFNA(MATCH(H208,SPLIT(Circuits!$S$2,"";""&amp;CHAR(10)),0),0),FALSE,TRUE))"),"")</f>
        <v/>
      </c>
      <c r="Q208" s="237" t="str">
        <f>IF(ISBLANK(H208),,IFNA(VLOOKUP(H208, Circuits!A:U, 21, FALSE),))</f>
        <v/>
      </c>
      <c r="R208" s="238" t="str">
        <f t="shared" si="7"/>
        <v/>
      </c>
      <c r="S208" s="237" t="str">
        <f>IF(ISBLANK(H208),,IFNA(VLOOKUP(H208, Circuits!A:V, 22, FALSE),))</f>
        <v/>
      </c>
      <c r="T208" s="237" t="str">
        <f>IF(ISBLANK(H208),,IFNA(VLOOKUP(H208, Circuits!A:X, 24, FALSE),))</f>
        <v/>
      </c>
      <c r="V208" s="236" t="str">
        <f>IFERROR(__xludf.DUMMYFUNCTION("IF(ISBLANK(H208),,JOIN("","",H208:T208))"),"")</f>
        <v/>
      </c>
      <c r="W208" s="229" t="str">
        <f t="shared" si="1"/>
        <v/>
      </c>
    </row>
    <row r="209">
      <c r="H209" s="237"/>
      <c r="I209" s="237" t="str">
        <f>IFERROR(__xludf.DUMMYFUNCTION("IF(ISBLANK(H209),,IFNA(""""""""&amp;JOIN("","",INDEX(FILTER(A:D,A:A=H209),0,4))&amp;"""""""",))"),"")</f>
        <v/>
      </c>
      <c r="J209" s="237" t="str">
        <f>IF(ISBLANK(H209),,IFNA(VLOOKUP(H209, Circuits!A:W, 23, FALSE),))</f>
        <v/>
      </c>
      <c r="K209" s="238" t="str">
        <f t="shared" si="2"/>
        <v/>
      </c>
      <c r="L209" s="238" t="str">
        <f t="shared" si="3"/>
        <v/>
      </c>
      <c r="M209" s="238" t="str">
        <f t="shared" si="4"/>
        <v/>
      </c>
      <c r="N209" s="238" t="str">
        <f t="shared" si="5"/>
        <v/>
      </c>
      <c r="O209" s="238" t="str">
        <f t="shared" si="6"/>
        <v/>
      </c>
      <c r="P209" s="237" t="str">
        <f>IFERROR(__xludf.DUMMYFUNCTION("IF(ISBLANK(H209),,IF(IFNA(MATCH(H209,SPLIT(Circuits!$S$2,"";""&amp;CHAR(10)),0),0),FALSE,TRUE))"),"")</f>
        <v/>
      </c>
      <c r="Q209" s="237" t="str">
        <f>IF(ISBLANK(H209),,IFNA(VLOOKUP(H209, Circuits!A:U, 21, FALSE),))</f>
        <v/>
      </c>
      <c r="R209" s="238" t="str">
        <f t="shared" si="7"/>
        <v/>
      </c>
      <c r="S209" s="237" t="str">
        <f>IF(ISBLANK(H209),,IFNA(VLOOKUP(H209, Circuits!A:V, 22, FALSE),))</f>
        <v/>
      </c>
      <c r="T209" s="237" t="str">
        <f>IF(ISBLANK(H209),,IFNA(VLOOKUP(H209, Circuits!A:X, 24, FALSE),))</f>
        <v/>
      </c>
      <c r="V209" s="236" t="str">
        <f>IFERROR(__xludf.DUMMYFUNCTION("IF(ISBLANK(H209),,JOIN("","",H209:T209))"),"")</f>
        <v/>
      </c>
      <c r="W209" s="229" t="str">
        <f t="shared" si="1"/>
        <v/>
      </c>
    </row>
    <row r="210">
      <c r="H210" s="237"/>
      <c r="I210" s="237" t="str">
        <f>IFERROR(__xludf.DUMMYFUNCTION("IF(ISBLANK(H210),,IFNA(""""""""&amp;JOIN("","",INDEX(FILTER(A:D,A:A=H210),0,4))&amp;"""""""",))"),"")</f>
        <v/>
      </c>
      <c r="J210" s="237" t="str">
        <f>IF(ISBLANK(H210),,IFNA(VLOOKUP(H210, Circuits!A:W, 23, FALSE),))</f>
        <v/>
      </c>
      <c r="K210" s="238" t="str">
        <f t="shared" si="2"/>
        <v/>
      </c>
      <c r="L210" s="238" t="str">
        <f t="shared" si="3"/>
        <v/>
      </c>
      <c r="M210" s="238" t="str">
        <f t="shared" si="4"/>
        <v/>
      </c>
      <c r="N210" s="238" t="str">
        <f t="shared" si="5"/>
        <v/>
      </c>
      <c r="O210" s="238" t="str">
        <f t="shared" si="6"/>
        <v/>
      </c>
      <c r="P210" s="237" t="str">
        <f>IFERROR(__xludf.DUMMYFUNCTION("IF(ISBLANK(H210),,IF(IFNA(MATCH(H210,SPLIT(Circuits!$S$2,"";""&amp;CHAR(10)),0),0),FALSE,TRUE))"),"")</f>
        <v/>
      </c>
      <c r="Q210" s="237" t="str">
        <f>IF(ISBLANK(H210),,IFNA(VLOOKUP(H210, Circuits!A:U, 21, FALSE),))</f>
        <v/>
      </c>
      <c r="R210" s="238" t="str">
        <f t="shared" si="7"/>
        <v/>
      </c>
      <c r="S210" s="237" t="str">
        <f>IF(ISBLANK(H210),,IFNA(VLOOKUP(H210, Circuits!A:V, 22, FALSE),))</f>
        <v/>
      </c>
      <c r="T210" s="237" t="str">
        <f>IF(ISBLANK(H210),,IFNA(VLOOKUP(H210, Circuits!A:X, 24, FALSE),))</f>
        <v/>
      </c>
      <c r="V210" s="236" t="str">
        <f>IFERROR(__xludf.DUMMYFUNCTION("IF(ISBLANK(H210),,JOIN("","",H210:T210))"),"")</f>
        <v/>
      </c>
      <c r="W210" s="229" t="str">
        <f t="shared" si="1"/>
        <v/>
      </c>
    </row>
    <row r="211">
      <c r="H211" s="237"/>
      <c r="I211" s="237" t="str">
        <f>IFERROR(__xludf.DUMMYFUNCTION("IF(ISBLANK(H211),,IFNA(""""""""&amp;JOIN("","",INDEX(FILTER(A:D,A:A=H211),0,4))&amp;"""""""",))"),"")</f>
        <v/>
      </c>
      <c r="J211" s="237" t="str">
        <f>IF(ISBLANK(H211),,IFNA(VLOOKUP(H211, Circuits!A:W, 23, FALSE),))</f>
        <v/>
      </c>
      <c r="K211" s="238" t="str">
        <f t="shared" si="2"/>
        <v/>
      </c>
      <c r="L211" s="238" t="str">
        <f t="shared" si="3"/>
        <v/>
      </c>
      <c r="M211" s="238" t="str">
        <f t="shared" si="4"/>
        <v/>
      </c>
      <c r="N211" s="238" t="str">
        <f t="shared" si="5"/>
        <v/>
      </c>
      <c r="O211" s="238" t="str">
        <f t="shared" si="6"/>
        <v/>
      </c>
      <c r="P211" s="237" t="str">
        <f>IFERROR(__xludf.DUMMYFUNCTION("IF(ISBLANK(H211),,IF(IFNA(MATCH(H211,SPLIT(Circuits!$S$2,"";""&amp;CHAR(10)),0),0),FALSE,TRUE))"),"")</f>
        <v/>
      </c>
      <c r="Q211" s="237" t="str">
        <f>IF(ISBLANK(H211),,IFNA(VLOOKUP(H211, Circuits!A:U, 21, FALSE),))</f>
        <v/>
      </c>
      <c r="R211" s="238" t="str">
        <f t="shared" si="7"/>
        <v/>
      </c>
      <c r="S211" s="237" t="str">
        <f>IF(ISBLANK(H211),,IFNA(VLOOKUP(H211, Circuits!A:V, 22, FALSE),))</f>
        <v/>
      </c>
      <c r="T211" s="237" t="str">
        <f>IF(ISBLANK(H211),,IFNA(VLOOKUP(H211, Circuits!A:X, 24, FALSE),))</f>
        <v/>
      </c>
      <c r="V211" s="236" t="str">
        <f>IFERROR(__xludf.DUMMYFUNCTION("IF(ISBLANK(H211),,JOIN("","",H211:T211))"),"")</f>
        <v/>
      </c>
      <c r="W211" s="229" t="str">
        <f t="shared" si="1"/>
        <v/>
      </c>
    </row>
    <row r="212">
      <c r="H212" s="237"/>
      <c r="I212" s="237" t="str">
        <f>IFERROR(__xludf.DUMMYFUNCTION("IF(ISBLANK(H212),,IFNA(""""""""&amp;JOIN("","",INDEX(FILTER(A:D,A:A=H212),0,4))&amp;"""""""",))"),"")</f>
        <v/>
      </c>
      <c r="J212" s="237" t="str">
        <f>IF(ISBLANK(H212),,IFNA(VLOOKUP(H212, Circuits!A:W, 23, FALSE),))</f>
        <v/>
      </c>
      <c r="K212" s="238" t="str">
        <f t="shared" si="2"/>
        <v/>
      </c>
      <c r="L212" s="238" t="str">
        <f t="shared" si="3"/>
        <v/>
      </c>
      <c r="M212" s="238" t="str">
        <f t="shared" si="4"/>
        <v/>
      </c>
      <c r="N212" s="238" t="str">
        <f t="shared" si="5"/>
        <v/>
      </c>
      <c r="O212" s="238" t="str">
        <f t="shared" si="6"/>
        <v/>
      </c>
      <c r="P212" s="237" t="str">
        <f>IFERROR(__xludf.DUMMYFUNCTION("IF(ISBLANK(H212),,IF(IFNA(MATCH(H212,SPLIT(Circuits!$S$2,"";""&amp;CHAR(10)),0),0),FALSE,TRUE))"),"")</f>
        <v/>
      </c>
      <c r="Q212" s="237" t="str">
        <f>IF(ISBLANK(H212),,IFNA(VLOOKUP(H212, Circuits!A:U, 21, FALSE),))</f>
        <v/>
      </c>
      <c r="R212" s="238" t="str">
        <f t="shared" si="7"/>
        <v/>
      </c>
      <c r="S212" s="237" t="str">
        <f>IF(ISBLANK(H212),,IFNA(VLOOKUP(H212, Circuits!A:V, 22, FALSE),))</f>
        <v/>
      </c>
      <c r="T212" s="237" t="str">
        <f>IF(ISBLANK(H212),,IFNA(VLOOKUP(H212, Circuits!A:X, 24, FALSE),))</f>
        <v/>
      </c>
      <c r="V212" s="236" t="str">
        <f>IFERROR(__xludf.DUMMYFUNCTION("IF(ISBLANK(H212),,JOIN("","",H212:T212))"),"")</f>
        <v/>
      </c>
      <c r="W212" s="229" t="str">
        <f t="shared" si="1"/>
        <v/>
      </c>
    </row>
    <row r="213">
      <c r="H213" s="237"/>
      <c r="I213" s="237" t="str">
        <f>IFERROR(__xludf.DUMMYFUNCTION("IF(ISBLANK(H213),,IFNA(""""""""&amp;JOIN("","",INDEX(FILTER(A:D,A:A=H213),0,4))&amp;"""""""",))"),"")</f>
        <v/>
      </c>
      <c r="J213" s="237" t="str">
        <f>IF(ISBLANK(H213),,IFNA(VLOOKUP(H213, Circuits!A:W, 23, FALSE),))</f>
        <v/>
      </c>
      <c r="K213" s="238" t="str">
        <f t="shared" si="2"/>
        <v/>
      </c>
      <c r="L213" s="238" t="str">
        <f t="shared" si="3"/>
        <v/>
      </c>
      <c r="M213" s="238" t="str">
        <f t="shared" si="4"/>
        <v/>
      </c>
      <c r="N213" s="238" t="str">
        <f t="shared" si="5"/>
        <v/>
      </c>
      <c r="O213" s="238" t="str">
        <f t="shared" si="6"/>
        <v/>
      </c>
      <c r="P213" s="237" t="str">
        <f>IFERROR(__xludf.DUMMYFUNCTION("IF(ISBLANK(H213),,IF(IFNA(MATCH(H213,SPLIT(Circuits!$S$2,"";""&amp;CHAR(10)),0),0),FALSE,TRUE))"),"")</f>
        <v/>
      </c>
      <c r="Q213" s="237" t="str">
        <f>IF(ISBLANK(H213),,IFNA(VLOOKUP(H213, Circuits!A:U, 21, FALSE),))</f>
        <v/>
      </c>
      <c r="R213" s="238" t="str">
        <f t="shared" si="7"/>
        <v/>
      </c>
      <c r="S213" s="237" t="str">
        <f>IF(ISBLANK(H213),,IFNA(VLOOKUP(H213, Circuits!A:V, 22, FALSE),))</f>
        <v/>
      </c>
      <c r="T213" s="237" t="str">
        <f>IF(ISBLANK(H213),,IFNA(VLOOKUP(H213, Circuits!A:X, 24, FALSE),))</f>
        <v/>
      </c>
      <c r="V213" s="236" t="str">
        <f>IFERROR(__xludf.DUMMYFUNCTION("IF(ISBLANK(H213),,JOIN("","",H213:T213))"),"")</f>
        <v/>
      </c>
      <c r="W213" s="229" t="str">
        <f t="shared" si="1"/>
        <v/>
      </c>
    </row>
    <row r="214">
      <c r="H214" s="237"/>
      <c r="I214" s="237" t="str">
        <f>IFERROR(__xludf.DUMMYFUNCTION("IF(ISBLANK(H214),,IFNA(""""""""&amp;JOIN("","",INDEX(FILTER(A:D,A:A=H214),0,4))&amp;"""""""",))"),"")</f>
        <v/>
      </c>
      <c r="J214" s="237" t="str">
        <f>IF(ISBLANK(H214),,IFNA(VLOOKUP(H214, Circuits!A:W, 23, FALSE),))</f>
        <v/>
      </c>
      <c r="K214" s="238" t="str">
        <f t="shared" si="2"/>
        <v/>
      </c>
      <c r="L214" s="238" t="str">
        <f t="shared" si="3"/>
        <v/>
      </c>
      <c r="M214" s="238" t="str">
        <f t="shared" si="4"/>
        <v/>
      </c>
      <c r="N214" s="238" t="str">
        <f t="shared" si="5"/>
        <v/>
      </c>
      <c r="O214" s="238" t="str">
        <f t="shared" si="6"/>
        <v/>
      </c>
      <c r="P214" s="237" t="str">
        <f>IFERROR(__xludf.DUMMYFUNCTION("IF(ISBLANK(H214),,IF(IFNA(MATCH(H214,SPLIT(Circuits!$S$2,"";""&amp;CHAR(10)),0),0),FALSE,TRUE))"),"")</f>
        <v/>
      </c>
      <c r="Q214" s="237" t="str">
        <f>IF(ISBLANK(H214),,IFNA(VLOOKUP(H214, Circuits!A:U, 21, FALSE),))</f>
        <v/>
      </c>
      <c r="R214" s="238" t="str">
        <f t="shared" si="7"/>
        <v/>
      </c>
      <c r="S214" s="237" t="str">
        <f>IF(ISBLANK(H214),,IFNA(VLOOKUP(H214, Circuits!A:V, 22, FALSE),))</f>
        <v/>
      </c>
      <c r="T214" s="237" t="str">
        <f>IF(ISBLANK(H214),,IFNA(VLOOKUP(H214, Circuits!A:X, 24, FALSE),))</f>
        <v/>
      </c>
      <c r="V214" s="236" t="str">
        <f>IFERROR(__xludf.DUMMYFUNCTION("IF(ISBLANK(H214),,JOIN("","",H214:T214))"),"")</f>
        <v/>
      </c>
      <c r="W214" s="229" t="str">
        <f t="shared" si="1"/>
        <v/>
      </c>
    </row>
    <row r="215">
      <c r="H215" s="237"/>
      <c r="I215" s="237" t="str">
        <f>IFERROR(__xludf.DUMMYFUNCTION("IF(ISBLANK(H215),,IFNA(""""""""&amp;JOIN("","",INDEX(FILTER(A:D,A:A=H215),0,4))&amp;"""""""",))"),"")</f>
        <v/>
      </c>
      <c r="J215" s="237" t="str">
        <f>IF(ISBLANK(H215),,IFNA(VLOOKUP(H215, Circuits!A:W, 23, FALSE),))</f>
        <v/>
      </c>
      <c r="K215" s="238" t="str">
        <f t="shared" si="2"/>
        <v/>
      </c>
      <c r="L215" s="238" t="str">
        <f t="shared" si="3"/>
        <v/>
      </c>
      <c r="M215" s="238" t="str">
        <f t="shared" si="4"/>
        <v/>
      </c>
      <c r="N215" s="238" t="str">
        <f t="shared" si="5"/>
        <v/>
      </c>
      <c r="O215" s="238" t="str">
        <f t="shared" si="6"/>
        <v/>
      </c>
      <c r="P215" s="237" t="str">
        <f>IFERROR(__xludf.DUMMYFUNCTION("IF(ISBLANK(H215),,IF(IFNA(MATCH(H215,SPLIT(Circuits!$S$2,"";""&amp;CHAR(10)),0),0),FALSE,TRUE))"),"")</f>
        <v/>
      </c>
      <c r="Q215" s="237" t="str">
        <f>IF(ISBLANK(H215),,IFNA(VLOOKUP(H215, Circuits!A:U, 21, FALSE),))</f>
        <v/>
      </c>
      <c r="R215" s="238" t="str">
        <f t="shared" si="7"/>
        <v/>
      </c>
      <c r="S215" s="237" t="str">
        <f>IF(ISBLANK(H215),,IFNA(VLOOKUP(H215, Circuits!A:V, 22, FALSE),))</f>
        <v/>
      </c>
      <c r="T215" s="237" t="str">
        <f>IF(ISBLANK(H215),,IFNA(VLOOKUP(H215, Circuits!A:X, 24, FALSE),))</f>
        <v/>
      </c>
      <c r="V215" s="236" t="str">
        <f>IFERROR(__xludf.DUMMYFUNCTION("IF(ISBLANK(H215),,JOIN("","",H215:T215))"),"")</f>
        <v/>
      </c>
      <c r="W215" s="229" t="str">
        <f t="shared" si="1"/>
        <v/>
      </c>
    </row>
    <row r="216">
      <c r="H216" s="237"/>
      <c r="I216" s="237" t="str">
        <f>IFERROR(__xludf.DUMMYFUNCTION("IF(ISBLANK(H216),,IFNA(""""""""&amp;JOIN("","",INDEX(FILTER(A:D,A:A=H216),0,4))&amp;"""""""",))"),"")</f>
        <v/>
      </c>
      <c r="J216" s="237" t="str">
        <f>IF(ISBLANK(H216),,IFNA(VLOOKUP(H216, Circuits!A:W, 23, FALSE),))</f>
        <v/>
      </c>
      <c r="K216" s="238" t="str">
        <f t="shared" si="2"/>
        <v/>
      </c>
      <c r="L216" s="238" t="str">
        <f t="shared" si="3"/>
        <v/>
      </c>
      <c r="M216" s="238" t="str">
        <f t="shared" si="4"/>
        <v/>
      </c>
      <c r="N216" s="238" t="str">
        <f t="shared" si="5"/>
        <v/>
      </c>
      <c r="O216" s="238" t="str">
        <f t="shared" si="6"/>
        <v/>
      </c>
      <c r="P216" s="237" t="str">
        <f>IFERROR(__xludf.DUMMYFUNCTION("IF(ISBLANK(H216),,IF(IFNA(MATCH(H216,SPLIT(Circuits!$S$2,"";""&amp;CHAR(10)),0),0),FALSE,TRUE))"),"")</f>
        <v/>
      </c>
      <c r="Q216" s="237" t="str">
        <f>IF(ISBLANK(H216),,IFNA(VLOOKUP(H216, Circuits!A:U, 21, FALSE),))</f>
        <v/>
      </c>
      <c r="R216" s="238" t="str">
        <f t="shared" si="7"/>
        <v/>
      </c>
      <c r="S216" s="237" t="str">
        <f>IF(ISBLANK(H216),,IFNA(VLOOKUP(H216, Circuits!A:V, 22, FALSE),))</f>
        <v/>
      </c>
      <c r="T216" s="237" t="str">
        <f>IF(ISBLANK(H216),,IFNA(VLOOKUP(H216, Circuits!A:X, 24, FALSE),))</f>
        <v/>
      </c>
      <c r="V216" s="236" t="str">
        <f>IFERROR(__xludf.DUMMYFUNCTION("IF(ISBLANK(H216),,JOIN("","",H216:T216))"),"")</f>
        <v/>
      </c>
      <c r="W216" s="229" t="str">
        <f t="shared" si="1"/>
        <v/>
      </c>
    </row>
    <row r="217">
      <c r="H217" s="237"/>
      <c r="I217" s="237" t="str">
        <f>IFERROR(__xludf.DUMMYFUNCTION("IF(ISBLANK(H217),,IFNA(""""""""&amp;JOIN("","",INDEX(FILTER(A:D,A:A=H217),0,4))&amp;"""""""",))"),"")</f>
        <v/>
      </c>
      <c r="J217" s="237" t="str">
        <f>IF(ISBLANK(H217),,IFNA(VLOOKUP(H217, Circuits!A:W, 23, FALSE),))</f>
        <v/>
      </c>
      <c r="K217" s="238" t="str">
        <f t="shared" si="2"/>
        <v/>
      </c>
      <c r="L217" s="238" t="str">
        <f t="shared" si="3"/>
        <v/>
      </c>
      <c r="M217" s="238" t="str">
        <f t="shared" si="4"/>
        <v/>
      </c>
      <c r="N217" s="238" t="str">
        <f t="shared" si="5"/>
        <v/>
      </c>
      <c r="O217" s="238" t="str">
        <f t="shared" si="6"/>
        <v/>
      </c>
      <c r="P217" s="237" t="str">
        <f>IFERROR(__xludf.DUMMYFUNCTION("IF(ISBLANK(H217),,IF(IFNA(MATCH(H217,SPLIT(Circuits!$S$2,"";""&amp;CHAR(10)),0),0),FALSE,TRUE))"),"")</f>
        <v/>
      </c>
      <c r="Q217" s="237" t="str">
        <f>IF(ISBLANK(H217),,IFNA(VLOOKUP(H217, Circuits!A:U, 21, FALSE),))</f>
        <v/>
      </c>
      <c r="R217" s="238" t="str">
        <f t="shared" si="7"/>
        <v/>
      </c>
      <c r="S217" s="237" t="str">
        <f>IF(ISBLANK(H217),,IFNA(VLOOKUP(H217, Circuits!A:V, 22, FALSE),))</f>
        <v/>
      </c>
      <c r="T217" s="237" t="str">
        <f>IF(ISBLANK(H217),,IFNA(VLOOKUP(H217, Circuits!A:X, 24, FALSE),))</f>
        <v/>
      </c>
      <c r="V217" s="236" t="str">
        <f>IFERROR(__xludf.DUMMYFUNCTION("IF(ISBLANK(H217),,JOIN("","",H217:T217))"),"")</f>
        <v/>
      </c>
      <c r="W217" s="229" t="str">
        <f t="shared" si="1"/>
        <v/>
      </c>
    </row>
    <row r="218">
      <c r="H218" s="237"/>
      <c r="I218" s="237" t="str">
        <f>IFERROR(__xludf.DUMMYFUNCTION("IF(ISBLANK(H218),,IFNA(""""""""&amp;JOIN("","",INDEX(FILTER(A:D,A:A=H218),0,4))&amp;"""""""",))"),"")</f>
        <v/>
      </c>
      <c r="J218" s="237" t="str">
        <f>IF(ISBLANK(H218),,IFNA(VLOOKUP(H218, Circuits!A:W, 23, FALSE),))</f>
        <v/>
      </c>
      <c r="K218" s="238" t="str">
        <f t="shared" si="2"/>
        <v/>
      </c>
      <c r="L218" s="238" t="str">
        <f t="shared" si="3"/>
        <v/>
      </c>
      <c r="M218" s="238" t="str">
        <f t="shared" si="4"/>
        <v/>
      </c>
      <c r="N218" s="238" t="str">
        <f t="shared" si="5"/>
        <v/>
      </c>
      <c r="O218" s="238" t="str">
        <f t="shared" si="6"/>
        <v/>
      </c>
      <c r="P218" s="237" t="str">
        <f>IFERROR(__xludf.DUMMYFUNCTION("IF(ISBLANK(H218),,IF(IFNA(MATCH(H218,SPLIT(Circuits!$S$2,"";""&amp;CHAR(10)),0),0),FALSE,TRUE))"),"")</f>
        <v/>
      </c>
      <c r="Q218" s="237" t="str">
        <f>IF(ISBLANK(H218),,IFNA(VLOOKUP(H218, Circuits!A:U, 21, FALSE),))</f>
        <v/>
      </c>
      <c r="R218" s="238" t="str">
        <f t="shared" si="7"/>
        <v/>
      </c>
      <c r="S218" s="237" t="str">
        <f>IF(ISBLANK(H218),,IFNA(VLOOKUP(H218, Circuits!A:V, 22, FALSE),))</f>
        <v/>
      </c>
      <c r="T218" s="237" t="str">
        <f>IF(ISBLANK(H218),,IFNA(VLOOKUP(H218, Circuits!A:X, 24, FALSE),))</f>
        <v/>
      </c>
      <c r="V218" s="236" t="str">
        <f>IFERROR(__xludf.DUMMYFUNCTION("IF(ISBLANK(H218),,JOIN("","",H218:T218))"),"")</f>
        <v/>
      </c>
      <c r="W218" s="229" t="str">
        <f t="shared" si="1"/>
        <v/>
      </c>
    </row>
    <row r="219">
      <c r="H219" s="237"/>
      <c r="I219" s="237" t="str">
        <f>IFERROR(__xludf.DUMMYFUNCTION("IF(ISBLANK(H219),,IFNA(""""""""&amp;JOIN("","",INDEX(FILTER(A:D,A:A=H219),0,4))&amp;"""""""",))"),"")</f>
        <v/>
      </c>
      <c r="J219" s="237" t="str">
        <f>IF(ISBLANK(H219),,IFNA(VLOOKUP(H219, Circuits!A:W, 23, FALSE),))</f>
        <v/>
      </c>
      <c r="K219" s="238" t="str">
        <f t="shared" si="2"/>
        <v/>
      </c>
      <c r="L219" s="238" t="str">
        <f t="shared" si="3"/>
        <v/>
      </c>
      <c r="M219" s="238" t="str">
        <f t="shared" si="4"/>
        <v/>
      </c>
      <c r="N219" s="238" t="str">
        <f t="shared" si="5"/>
        <v/>
      </c>
      <c r="O219" s="238" t="str">
        <f t="shared" si="6"/>
        <v/>
      </c>
      <c r="P219" s="237" t="str">
        <f>IFERROR(__xludf.DUMMYFUNCTION("IF(ISBLANK(H219),,IF(IFNA(MATCH(H219,SPLIT(Circuits!$S$2,"";""&amp;CHAR(10)),0),0),FALSE,TRUE))"),"")</f>
        <v/>
      </c>
      <c r="Q219" s="237" t="str">
        <f>IF(ISBLANK(H219),,IFNA(VLOOKUP(H219, Circuits!A:U, 21, FALSE),))</f>
        <v/>
      </c>
      <c r="R219" s="238" t="str">
        <f t="shared" si="7"/>
        <v/>
      </c>
      <c r="S219" s="237" t="str">
        <f>IF(ISBLANK(H219),,IFNA(VLOOKUP(H219, Circuits!A:V, 22, FALSE),))</f>
        <v/>
      </c>
      <c r="T219" s="237" t="str">
        <f>IF(ISBLANK(H219),,IFNA(VLOOKUP(H219, Circuits!A:X, 24, FALSE),))</f>
        <v/>
      </c>
      <c r="V219" s="236" t="str">
        <f>IFERROR(__xludf.DUMMYFUNCTION("IF(ISBLANK(H219),,JOIN("","",H219:T219))"),"")</f>
        <v/>
      </c>
      <c r="W219" s="229" t="str">
        <f t="shared" si="1"/>
        <v/>
      </c>
    </row>
    <row r="220">
      <c r="H220" s="237"/>
      <c r="I220" s="237" t="str">
        <f>IFERROR(__xludf.DUMMYFUNCTION("IF(ISBLANK(H220),,IFNA(""""""""&amp;JOIN("","",INDEX(FILTER(A:D,A:A=H220),0,4))&amp;"""""""",))"),"")</f>
        <v/>
      </c>
      <c r="J220" s="237" t="str">
        <f>IF(ISBLANK(H220),,IFNA(VLOOKUP(H220, Circuits!A:W, 23, FALSE),))</f>
        <v/>
      </c>
      <c r="K220" s="238" t="str">
        <f t="shared" si="2"/>
        <v/>
      </c>
      <c r="L220" s="238" t="str">
        <f t="shared" si="3"/>
        <v/>
      </c>
      <c r="M220" s="238" t="str">
        <f t="shared" si="4"/>
        <v/>
      </c>
      <c r="N220" s="238" t="str">
        <f t="shared" si="5"/>
        <v/>
      </c>
      <c r="O220" s="238" t="str">
        <f t="shared" si="6"/>
        <v/>
      </c>
      <c r="P220" s="237" t="str">
        <f>IFERROR(__xludf.DUMMYFUNCTION("IF(ISBLANK(H220),,IF(IFNA(MATCH(H220,SPLIT(Circuits!$S$2,"";""&amp;CHAR(10)),0),0),FALSE,TRUE))"),"")</f>
        <v/>
      </c>
      <c r="Q220" s="237" t="str">
        <f>IF(ISBLANK(H220),,IFNA(VLOOKUP(H220, Circuits!A:U, 21, FALSE),))</f>
        <v/>
      </c>
      <c r="R220" s="238" t="str">
        <f t="shared" si="7"/>
        <v/>
      </c>
      <c r="S220" s="237" t="str">
        <f>IF(ISBLANK(H220),,IFNA(VLOOKUP(H220, Circuits!A:V, 22, FALSE),))</f>
        <v/>
      </c>
      <c r="T220" s="237" t="str">
        <f>IF(ISBLANK(H220),,IFNA(VLOOKUP(H220, Circuits!A:X, 24, FALSE),))</f>
        <v/>
      </c>
      <c r="V220" s="236" t="str">
        <f>IFERROR(__xludf.DUMMYFUNCTION("IF(ISBLANK(H220),,JOIN("","",H220:T220))"),"")</f>
        <v/>
      </c>
      <c r="W220" s="229" t="str">
        <f t="shared" si="1"/>
        <v/>
      </c>
    </row>
    <row r="221">
      <c r="H221" s="237"/>
      <c r="I221" s="237" t="str">
        <f>IFERROR(__xludf.DUMMYFUNCTION("IF(ISBLANK(H221),,IFNA(""""""""&amp;JOIN("","",INDEX(FILTER(A:D,A:A=H221),0,4))&amp;"""""""",))"),"")</f>
        <v/>
      </c>
      <c r="J221" s="237" t="str">
        <f>IF(ISBLANK(H221),,IFNA(VLOOKUP(H221, Circuits!A:W, 23, FALSE),))</f>
        <v/>
      </c>
      <c r="K221" s="238" t="str">
        <f t="shared" si="2"/>
        <v/>
      </c>
      <c r="L221" s="238" t="str">
        <f t="shared" si="3"/>
        <v/>
      </c>
      <c r="M221" s="238" t="str">
        <f t="shared" si="4"/>
        <v/>
      </c>
      <c r="N221" s="238" t="str">
        <f t="shared" si="5"/>
        <v/>
      </c>
      <c r="O221" s="238" t="str">
        <f t="shared" si="6"/>
        <v/>
      </c>
      <c r="P221" s="237" t="str">
        <f>IFERROR(__xludf.DUMMYFUNCTION("IF(ISBLANK(H221),,IF(IFNA(MATCH(H221,SPLIT(Circuits!$S$2,"";""&amp;CHAR(10)),0),0),FALSE,TRUE))"),"")</f>
        <v/>
      </c>
      <c r="Q221" s="237" t="str">
        <f>IF(ISBLANK(H221),,IFNA(VLOOKUP(H221, Circuits!A:U, 21, FALSE),))</f>
        <v/>
      </c>
      <c r="R221" s="238" t="str">
        <f t="shared" si="7"/>
        <v/>
      </c>
      <c r="S221" s="237" t="str">
        <f>IF(ISBLANK(H221),,IFNA(VLOOKUP(H221, Circuits!A:V, 22, FALSE),))</f>
        <v/>
      </c>
      <c r="T221" s="237" t="str">
        <f>IF(ISBLANK(H221),,IFNA(VLOOKUP(H221, Circuits!A:X, 24, FALSE),))</f>
        <v/>
      </c>
      <c r="V221" s="236" t="str">
        <f>IFERROR(__xludf.DUMMYFUNCTION("IF(ISBLANK(H221),,JOIN("","",H221:T221))"),"")</f>
        <v/>
      </c>
      <c r="W221" s="229" t="str">
        <f t="shared" si="1"/>
        <v/>
      </c>
    </row>
    <row r="222">
      <c r="H222" s="237"/>
      <c r="I222" s="237" t="str">
        <f>IFERROR(__xludf.DUMMYFUNCTION("IF(ISBLANK(H222),,IFNA(""""""""&amp;JOIN("","",INDEX(FILTER(A:D,A:A=H222),0,4))&amp;"""""""",))"),"")</f>
        <v/>
      </c>
      <c r="J222" s="237" t="str">
        <f>IF(ISBLANK(H222),,IFNA(VLOOKUP(H222, Circuits!A:W, 23, FALSE),))</f>
        <v/>
      </c>
      <c r="K222" s="238" t="str">
        <f t="shared" si="2"/>
        <v/>
      </c>
      <c r="L222" s="238" t="str">
        <f t="shared" si="3"/>
        <v/>
      </c>
      <c r="M222" s="238" t="str">
        <f t="shared" si="4"/>
        <v/>
      </c>
      <c r="N222" s="238" t="str">
        <f t="shared" si="5"/>
        <v/>
      </c>
      <c r="O222" s="238" t="str">
        <f t="shared" si="6"/>
        <v/>
      </c>
      <c r="P222" s="237" t="str">
        <f>IFERROR(__xludf.DUMMYFUNCTION("IF(ISBLANK(H222),,IF(IFNA(MATCH(H222,SPLIT(Circuits!$S$2,"";""&amp;CHAR(10)),0),0),FALSE,TRUE))"),"")</f>
        <v/>
      </c>
      <c r="Q222" s="237" t="str">
        <f>IF(ISBLANK(H222),,IFNA(VLOOKUP(H222, Circuits!A:U, 21, FALSE),))</f>
        <v/>
      </c>
      <c r="R222" s="238" t="str">
        <f t="shared" si="7"/>
        <v/>
      </c>
      <c r="S222" s="237" t="str">
        <f>IF(ISBLANK(H222),,IFNA(VLOOKUP(H222, Circuits!A:V, 22, FALSE),))</f>
        <v/>
      </c>
      <c r="T222" s="237" t="str">
        <f>IF(ISBLANK(H222),,IFNA(VLOOKUP(H222, Circuits!A:X, 24, FALSE),))</f>
        <v/>
      </c>
      <c r="V222" s="236" t="str">
        <f>IFERROR(__xludf.DUMMYFUNCTION("IF(ISBLANK(H222),,JOIN("","",H222:T222))"),"")</f>
        <v/>
      </c>
      <c r="W222" s="229" t="str">
        <f t="shared" si="1"/>
        <v/>
      </c>
    </row>
    <row r="223">
      <c r="H223" s="237"/>
      <c r="I223" s="237" t="str">
        <f>IFERROR(__xludf.DUMMYFUNCTION("IF(ISBLANK(H223),,IFNA(""""""""&amp;JOIN("","",INDEX(FILTER(A:D,A:A=H223),0,4))&amp;"""""""",))"),"")</f>
        <v/>
      </c>
      <c r="J223" s="237" t="str">
        <f>IF(ISBLANK(H223),,IFNA(VLOOKUP(H223, Circuits!A:W, 23, FALSE),))</f>
        <v/>
      </c>
      <c r="K223" s="238" t="str">
        <f t="shared" si="2"/>
        <v/>
      </c>
      <c r="L223" s="238" t="str">
        <f t="shared" si="3"/>
        <v/>
      </c>
      <c r="M223" s="238" t="str">
        <f t="shared" si="4"/>
        <v/>
      </c>
      <c r="N223" s="238" t="str">
        <f t="shared" si="5"/>
        <v/>
      </c>
      <c r="O223" s="238" t="str">
        <f t="shared" si="6"/>
        <v/>
      </c>
      <c r="P223" s="237" t="str">
        <f>IFERROR(__xludf.DUMMYFUNCTION("IF(ISBLANK(H223),,IF(IFNA(MATCH(H223,SPLIT(Circuits!$S$2,"";""&amp;CHAR(10)),0),0),FALSE,TRUE))"),"")</f>
        <v/>
      </c>
      <c r="Q223" s="237" t="str">
        <f>IF(ISBLANK(H223),,IFNA(VLOOKUP(H223, Circuits!A:U, 21, FALSE),))</f>
        <v/>
      </c>
      <c r="R223" s="238" t="str">
        <f t="shared" si="7"/>
        <v/>
      </c>
      <c r="S223" s="237" t="str">
        <f>IF(ISBLANK(H223),,IFNA(VLOOKUP(H223, Circuits!A:V, 22, FALSE),))</f>
        <v/>
      </c>
      <c r="T223" s="237" t="str">
        <f>IF(ISBLANK(H223),,IFNA(VLOOKUP(H223, Circuits!A:X, 24, FALSE),))</f>
        <v/>
      </c>
      <c r="V223" s="236" t="str">
        <f>IFERROR(__xludf.DUMMYFUNCTION("IF(ISBLANK(H223),,JOIN("","",H223:T223))"),"")</f>
        <v/>
      </c>
      <c r="W223" s="229" t="str">
        <f t="shared" si="1"/>
        <v/>
      </c>
    </row>
    <row r="224">
      <c r="H224" s="237"/>
      <c r="I224" s="237" t="str">
        <f>IFERROR(__xludf.DUMMYFUNCTION("IF(ISBLANK(H224),,IFNA(""""""""&amp;JOIN("","",INDEX(FILTER(A:D,A:A=H224),0,4))&amp;"""""""",))"),"")</f>
        <v/>
      </c>
      <c r="J224" s="237" t="str">
        <f>IF(ISBLANK(H224),,IFNA(VLOOKUP(H224, Circuits!A:W, 23, FALSE),))</f>
        <v/>
      </c>
      <c r="K224" s="238" t="str">
        <f t="shared" si="2"/>
        <v/>
      </c>
      <c r="L224" s="238" t="str">
        <f t="shared" si="3"/>
        <v/>
      </c>
      <c r="M224" s="238" t="str">
        <f t="shared" si="4"/>
        <v/>
      </c>
      <c r="N224" s="238" t="str">
        <f t="shared" si="5"/>
        <v/>
      </c>
      <c r="O224" s="238" t="str">
        <f t="shared" si="6"/>
        <v/>
      </c>
      <c r="P224" s="237" t="str">
        <f>IFERROR(__xludf.DUMMYFUNCTION("IF(ISBLANK(H224),,IF(IFNA(MATCH(H224,SPLIT(Circuits!$S$2,"";""&amp;CHAR(10)),0),0),FALSE,TRUE))"),"")</f>
        <v/>
      </c>
      <c r="Q224" s="237" t="str">
        <f>IF(ISBLANK(H224),,IFNA(VLOOKUP(H224, Circuits!A:U, 21, FALSE),))</f>
        <v/>
      </c>
      <c r="R224" s="238" t="str">
        <f t="shared" si="7"/>
        <v/>
      </c>
      <c r="S224" s="237" t="str">
        <f>IF(ISBLANK(H224),,IFNA(VLOOKUP(H224, Circuits!A:V, 22, FALSE),))</f>
        <v/>
      </c>
      <c r="T224" s="237" t="str">
        <f>IF(ISBLANK(H224),,IFNA(VLOOKUP(H224, Circuits!A:X, 24, FALSE),))</f>
        <v/>
      </c>
      <c r="V224" s="236" t="str">
        <f>IFERROR(__xludf.DUMMYFUNCTION("IF(ISBLANK(H224),,JOIN("","",H224:T224))"),"")</f>
        <v/>
      </c>
      <c r="W224" s="229" t="str">
        <f t="shared" si="1"/>
        <v/>
      </c>
    </row>
    <row r="225">
      <c r="H225" s="237"/>
      <c r="I225" s="237" t="str">
        <f>IFERROR(__xludf.DUMMYFUNCTION("IF(ISBLANK(H225),,IFNA(""""""""&amp;JOIN("","",INDEX(FILTER(A:D,A:A=H225),0,4))&amp;"""""""",))"),"")</f>
        <v/>
      </c>
      <c r="J225" s="237" t="str">
        <f>IF(ISBLANK(H225),,IFNA(VLOOKUP(H225, Circuits!A:W, 23, FALSE),))</f>
        <v/>
      </c>
      <c r="K225" s="238" t="str">
        <f t="shared" si="2"/>
        <v/>
      </c>
      <c r="L225" s="238" t="str">
        <f t="shared" si="3"/>
        <v/>
      </c>
      <c r="M225" s="238" t="str">
        <f t="shared" si="4"/>
        <v/>
      </c>
      <c r="N225" s="238" t="str">
        <f t="shared" si="5"/>
        <v/>
      </c>
      <c r="O225" s="238" t="str">
        <f t="shared" si="6"/>
        <v/>
      </c>
      <c r="P225" s="237" t="str">
        <f>IFERROR(__xludf.DUMMYFUNCTION("IF(ISBLANK(H225),,IF(IFNA(MATCH(H225,SPLIT(Circuits!$S$2,"";""&amp;CHAR(10)),0),0),FALSE,TRUE))"),"")</f>
        <v/>
      </c>
      <c r="Q225" s="237" t="str">
        <f>IF(ISBLANK(H225),,IFNA(VLOOKUP(H225, Circuits!A:U, 21, FALSE),))</f>
        <v/>
      </c>
      <c r="R225" s="238" t="str">
        <f t="shared" si="7"/>
        <v/>
      </c>
      <c r="S225" s="237" t="str">
        <f>IF(ISBLANK(H225),,IFNA(VLOOKUP(H225, Circuits!A:V, 22, FALSE),))</f>
        <v/>
      </c>
      <c r="T225" s="237" t="str">
        <f>IF(ISBLANK(H225),,IFNA(VLOOKUP(H225, Circuits!A:X, 24, FALSE),))</f>
        <v/>
      </c>
      <c r="V225" s="236" t="str">
        <f>IFERROR(__xludf.DUMMYFUNCTION("IF(ISBLANK(H225),,JOIN("","",H225:T225))"),"")</f>
        <v/>
      </c>
      <c r="W225" s="229" t="str">
        <f t="shared" si="1"/>
        <v/>
      </c>
    </row>
    <row r="226">
      <c r="H226" s="237"/>
      <c r="I226" s="237" t="str">
        <f>IFERROR(__xludf.DUMMYFUNCTION("IF(ISBLANK(H226),,IFNA(""""""""&amp;JOIN("","",INDEX(FILTER(A:D,A:A=H226),0,4))&amp;"""""""",))"),"")</f>
        <v/>
      </c>
      <c r="J226" s="237" t="str">
        <f>IF(ISBLANK(H226),,IFNA(VLOOKUP(H226, Circuits!A:W, 23, FALSE),))</f>
        <v/>
      </c>
      <c r="K226" s="238" t="str">
        <f t="shared" si="2"/>
        <v/>
      </c>
      <c r="L226" s="238" t="str">
        <f t="shared" si="3"/>
        <v/>
      </c>
      <c r="M226" s="238" t="str">
        <f t="shared" si="4"/>
        <v/>
      </c>
      <c r="N226" s="238" t="str">
        <f t="shared" si="5"/>
        <v/>
      </c>
      <c r="O226" s="238" t="str">
        <f t="shared" si="6"/>
        <v/>
      </c>
      <c r="P226" s="237" t="str">
        <f>IFERROR(__xludf.DUMMYFUNCTION("IF(ISBLANK(H226),,IF(IFNA(MATCH(H226,SPLIT(Circuits!$S$2,"";""&amp;CHAR(10)),0),0),FALSE,TRUE))"),"")</f>
        <v/>
      </c>
      <c r="Q226" s="237" t="str">
        <f>IF(ISBLANK(H226),,IFNA(VLOOKUP(H226, Circuits!A:U, 21, FALSE),))</f>
        <v/>
      </c>
      <c r="R226" s="238" t="str">
        <f t="shared" si="7"/>
        <v/>
      </c>
      <c r="S226" s="237" t="str">
        <f>IF(ISBLANK(H226),,IFNA(VLOOKUP(H226, Circuits!A:V, 22, FALSE),))</f>
        <v/>
      </c>
      <c r="T226" s="237" t="str">
        <f>IF(ISBLANK(H226),,IFNA(VLOOKUP(H226, Circuits!A:X, 24, FALSE),))</f>
        <v/>
      </c>
      <c r="V226" s="236" t="str">
        <f>IFERROR(__xludf.DUMMYFUNCTION("IF(ISBLANK(H226),,JOIN("","",H226:T226))"),"")</f>
        <v/>
      </c>
      <c r="W226" s="229" t="str">
        <f t="shared" si="1"/>
        <v/>
      </c>
    </row>
    <row r="227">
      <c r="H227" s="237"/>
      <c r="I227" s="237" t="str">
        <f>IFERROR(__xludf.DUMMYFUNCTION("IF(ISBLANK(H227),,IFNA(""""""""&amp;JOIN("","",INDEX(FILTER(A:D,A:A=H227),0,4))&amp;"""""""",))"),"")</f>
        <v/>
      </c>
      <c r="J227" s="237" t="str">
        <f>IF(ISBLANK(H227),,IFNA(VLOOKUP(H227, Circuits!A:W, 23, FALSE),))</f>
        <v/>
      </c>
      <c r="K227" s="238" t="str">
        <f t="shared" si="2"/>
        <v/>
      </c>
      <c r="L227" s="238" t="str">
        <f t="shared" si="3"/>
        <v/>
      </c>
      <c r="M227" s="238" t="str">
        <f t="shared" si="4"/>
        <v/>
      </c>
      <c r="N227" s="238" t="str">
        <f t="shared" si="5"/>
        <v/>
      </c>
      <c r="O227" s="238" t="str">
        <f t="shared" si="6"/>
        <v/>
      </c>
      <c r="P227" s="237" t="str">
        <f>IFERROR(__xludf.DUMMYFUNCTION("IF(ISBLANK(H227),,IF(IFNA(MATCH(H227,SPLIT(Circuits!$S$2,"";""&amp;CHAR(10)),0),0),FALSE,TRUE))"),"")</f>
        <v/>
      </c>
      <c r="Q227" s="237" t="str">
        <f>IF(ISBLANK(H227),,IFNA(VLOOKUP(H227, Circuits!A:U, 21, FALSE),))</f>
        <v/>
      </c>
      <c r="R227" s="238" t="str">
        <f t="shared" si="7"/>
        <v/>
      </c>
      <c r="S227" s="237" t="str">
        <f>IF(ISBLANK(H227),,IFNA(VLOOKUP(H227, Circuits!A:V, 22, FALSE),))</f>
        <v/>
      </c>
      <c r="T227" s="237" t="str">
        <f>IF(ISBLANK(H227),,IFNA(VLOOKUP(H227, Circuits!A:X, 24, FALSE),))</f>
        <v/>
      </c>
      <c r="V227" s="236" t="str">
        <f>IFERROR(__xludf.DUMMYFUNCTION("IF(ISBLANK(H227),,JOIN("","",H227:T227))"),"")</f>
        <v/>
      </c>
      <c r="W227" s="229" t="str">
        <f t="shared" si="1"/>
        <v/>
      </c>
    </row>
    <row r="228">
      <c r="H228" s="237"/>
      <c r="I228" s="237" t="str">
        <f>IFERROR(__xludf.DUMMYFUNCTION("IF(ISBLANK(H228),,IFNA(""""""""&amp;JOIN("","",INDEX(FILTER(A:D,A:A=H228),0,4))&amp;"""""""",))"),"")</f>
        <v/>
      </c>
      <c r="J228" s="237" t="str">
        <f>IF(ISBLANK(H228),,IFNA(VLOOKUP(H228, Circuits!A:W, 23, FALSE),))</f>
        <v/>
      </c>
      <c r="K228" s="238" t="str">
        <f t="shared" si="2"/>
        <v/>
      </c>
      <c r="L228" s="238" t="str">
        <f t="shared" si="3"/>
        <v/>
      </c>
      <c r="M228" s="238" t="str">
        <f t="shared" si="4"/>
        <v/>
      </c>
      <c r="N228" s="238" t="str">
        <f t="shared" si="5"/>
        <v/>
      </c>
      <c r="O228" s="238" t="str">
        <f t="shared" si="6"/>
        <v/>
      </c>
      <c r="P228" s="237" t="str">
        <f>IFERROR(__xludf.DUMMYFUNCTION("IF(ISBLANK(H228),,IF(IFNA(MATCH(H228,SPLIT(Circuits!$S$2,"";""&amp;CHAR(10)),0),0),FALSE,TRUE))"),"")</f>
        <v/>
      </c>
      <c r="Q228" s="237" t="str">
        <f>IF(ISBLANK(H228),,IFNA(VLOOKUP(H228, Circuits!A:U, 21, FALSE),))</f>
        <v/>
      </c>
      <c r="R228" s="238" t="str">
        <f t="shared" si="7"/>
        <v/>
      </c>
      <c r="S228" s="237" t="str">
        <f>IF(ISBLANK(H228),,IFNA(VLOOKUP(H228, Circuits!A:V, 22, FALSE),))</f>
        <v/>
      </c>
      <c r="T228" s="237" t="str">
        <f>IF(ISBLANK(H228),,IFNA(VLOOKUP(H228, Circuits!A:X, 24, FALSE),))</f>
        <v/>
      </c>
      <c r="V228" s="236" t="str">
        <f>IFERROR(__xludf.DUMMYFUNCTION("IF(ISBLANK(H228),,JOIN("","",H228:T228))"),"")</f>
        <v/>
      </c>
      <c r="W228" s="229" t="str">
        <f t="shared" si="1"/>
        <v/>
      </c>
    </row>
    <row r="229">
      <c r="H229" s="237"/>
      <c r="I229" s="237" t="str">
        <f>IFERROR(__xludf.DUMMYFUNCTION("IF(ISBLANK(H229),,IFNA(""""""""&amp;JOIN("","",INDEX(FILTER(A:D,A:A=H229),0,4))&amp;"""""""",))"),"")</f>
        <v/>
      </c>
      <c r="J229" s="237" t="str">
        <f>IF(ISBLANK(H229),,IFNA(VLOOKUP(H229, Circuits!A:W, 23, FALSE),))</f>
        <v/>
      </c>
      <c r="K229" s="238" t="str">
        <f t="shared" si="2"/>
        <v/>
      </c>
      <c r="L229" s="238" t="str">
        <f t="shared" si="3"/>
        <v/>
      </c>
      <c r="M229" s="238" t="str">
        <f t="shared" si="4"/>
        <v/>
      </c>
      <c r="N229" s="238" t="str">
        <f t="shared" si="5"/>
        <v/>
      </c>
      <c r="O229" s="238" t="str">
        <f t="shared" si="6"/>
        <v/>
      </c>
      <c r="P229" s="237" t="str">
        <f>IFERROR(__xludf.DUMMYFUNCTION("IF(ISBLANK(H229),,IF(IFNA(MATCH(H229,SPLIT(Circuits!$S$2,"";""&amp;CHAR(10)),0),0),FALSE,TRUE))"),"")</f>
        <v/>
      </c>
      <c r="Q229" s="237" t="str">
        <f>IF(ISBLANK(H229),,IFNA(VLOOKUP(H229, Circuits!A:U, 21, FALSE),))</f>
        <v/>
      </c>
      <c r="R229" s="238" t="str">
        <f t="shared" si="7"/>
        <v/>
      </c>
      <c r="S229" s="237" t="str">
        <f>IF(ISBLANK(H229),,IFNA(VLOOKUP(H229, Circuits!A:V, 22, FALSE),))</f>
        <v/>
      </c>
      <c r="T229" s="237" t="str">
        <f>IF(ISBLANK(H229),,IFNA(VLOOKUP(H229, Circuits!A:X, 24, FALSE),))</f>
        <v/>
      </c>
      <c r="V229" s="236" t="str">
        <f>IFERROR(__xludf.DUMMYFUNCTION("IF(ISBLANK(H229),,JOIN("","",H229:T229))"),"")</f>
        <v/>
      </c>
      <c r="W229" s="229" t="str">
        <f t="shared" si="1"/>
        <v/>
      </c>
    </row>
    <row r="230">
      <c r="H230" s="237"/>
      <c r="I230" s="237" t="str">
        <f>IFERROR(__xludf.DUMMYFUNCTION("IF(ISBLANK(H230),,IFNA(""""""""&amp;JOIN("","",INDEX(FILTER(A:D,A:A=H230),0,4))&amp;"""""""",))"),"")</f>
        <v/>
      </c>
      <c r="J230" s="237" t="str">
        <f>IF(ISBLANK(H230),,IFNA(VLOOKUP(H230, Circuits!A:W, 23, FALSE),))</f>
        <v/>
      </c>
      <c r="K230" s="238" t="str">
        <f t="shared" si="2"/>
        <v/>
      </c>
      <c r="L230" s="238" t="str">
        <f t="shared" si="3"/>
        <v/>
      </c>
      <c r="M230" s="238" t="str">
        <f t="shared" si="4"/>
        <v/>
      </c>
      <c r="N230" s="238" t="str">
        <f t="shared" si="5"/>
        <v/>
      </c>
      <c r="O230" s="238" t="str">
        <f t="shared" si="6"/>
        <v/>
      </c>
      <c r="P230" s="237" t="str">
        <f>IFERROR(__xludf.DUMMYFUNCTION("IF(ISBLANK(H230),,IF(IFNA(MATCH(H230,SPLIT(Circuits!$S$2,"";""&amp;CHAR(10)),0),0),FALSE,TRUE))"),"")</f>
        <v/>
      </c>
      <c r="Q230" s="237" t="str">
        <f>IF(ISBLANK(H230),,IFNA(VLOOKUP(H230, Circuits!A:U, 21, FALSE),))</f>
        <v/>
      </c>
      <c r="R230" s="238" t="str">
        <f t="shared" si="7"/>
        <v/>
      </c>
      <c r="S230" s="237" t="str">
        <f>IF(ISBLANK(H230),,IFNA(VLOOKUP(H230, Circuits!A:V, 22, FALSE),))</f>
        <v/>
      </c>
      <c r="T230" s="237" t="str">
        <f>IF(ISBLANK(H230),,IFNA(VLOOKUP(H230, Circuits!A:X, 24, FALSE),))</f>
        <v/>
      </c>
      <c r="V230" s="236" t="str">
        <f>IFERROR(__xludf.DUMMYFUNCTION("IF(ISBLANK(H230),,JOIN("","",H230:T230))"),"")</f>
        <v/>
      </c>
      <c r="W230" s="229" t="str">
        <f t="shared" si="1"/>
        <v/>
      </c>
    </row>
    <row r="231">
      <c r="H231" s="237"/>
      <c r="I231" s="237" t="str">
        <f>IFERROR(__xludf.DUMMYFUNCTION("IF(ISBLANK(H231),,IFNA(""""""""&amp;JOIN("","",INDEX(FILTER(A:D,A:A=H231),0,4))&amp;"""""""",))"),"")</f>
        <v/>
      </c>
      <c r="J231" s="237" t="str">
        <f>IF(ISBLANK(H231),,IFNA(VLOOKUP(H231, Circuits!A:W, 23, FALSE),))</f>
        <v/>
      </c>
      <c r="K231" s="238" t="str">
        <f t="shared" si="2"/>
        <v/>
      </c>
      <c r="L231" s="238" t="str">
        <f t="shared" si="3"/>
        <v/>
      </c>
      <c r="M231" s="238" t="str">
        <f t="shared" si="4"/>
        <v/>
      </c>
      <c r="N231" s="238" t="str">
        <f t="shared" si="5"/>
        <v/>
      </c>
      <c r="O231" s="238" t="str">
        <f t="shared" si="6"/>
        <v/>
      </c>
      <c r="P231" s="237" t="str">
        <f>IFERROR(__xludf.DUMMYFUNCTION("IF(ISBLANK(H231),,IF(IFNA(MATCH(H231,SPLIT(Circuits!$S$2,"";""&amp;CHAR(10)),0),0),FALSE,TRUE))"),"")</f>
        <v/>
      </c>
      <c r="Q231" s="237" t="str">
        <f>IF(ISBLANK(H231),,IFNA(VLOOKUP(H231, Circuits!A:U, 21, FALSE),))</f>
        <v/>
      </c>
      <c r="R231" s="238" t="str">
        <f t="shared" si="7"/>
        <v/>
      </c>
      <c r="S231" s="237" t="str">
        <f>IF(ISBLANK(H231),,IFNA(VLOOKUP(H231, Circuits!A:V, 22, FALSE),))</f>
        <v/>
      </c>
      <c r="T231" s="237" t="str">
        <f>IF(ISBLANK(H231),,IFNA(VLOOKUP(H231, Circuits!A:X, 24, FALSE),))</f>
        <v/>
      </c>
      <c r="V231" s="236" t="str">
        <f>IFERROR(__xludf.DUMMYFUNCTION("IF(ISBLANK(H231),,JOIN("","",H231:T231))"),"")</f>
        <v/>
      </c>
      <c r="W231" s="229" t="str">
        <f t="shared" si="1"/>
        <v/>
      </c>
    </row>
    <row r="232">
      <c r="H232" s="237"/>
      <c r="I232" s="237" t="str">
        <f>IFERROR(__xludf.DUMMYFUNCTION("IF(ISBLANK(H232),,IFNA(""""""""&amp;JOIN("","",INDEX(FILTER(A:D,A:A=H232),0,4))&amp;"""""""",))"),"")</f>
        <v/>
      </c>
      <c r="J232" s="237" t="str">
        <f>IF(ISBLANK(H232),,IFNA(VLOOKUP(H232, Circuits!A:W, 23, FALSE),))</f>
        <v/>
      </c>
      <c r="K232" s="238" t="str">
        <f t="shared" si="2"/>
        <v/>
      </c>
      <c r="L232" s="238" t="str">
        <f t="shared" si="3"/>
        <v/>
      </c>
      <c r="M232" s="238" t="str">
        <f t="shared" si="4"/>
        <v/>
      </c>
      <c r="N232" s="238" t="str">
        <f t="shared" si="5"/>
        <v/>
      </c>
      <c r="O232" s="238" t="str">
        <f t="shared" si="6"/>
        <v/>
      </c>
      <c r="P232" s="237" t="str">
        <f>IFERROR(__xludf.DUMMYFUNCTION("IF(ISBLANK(H232),,IF(IFNA(MATCH(H232,SPLIT(Circuits!$S$2,"";""&amp;CHAR(10)),0),0),FALSE,TRUE))"),"")</f>
        <v/>
      </c>
      <c r="Q232" s="237" t="str">
        <f>IF(ISBLANK(H232),,IFNA(VLOOKUP(H232, Circuits!A:U, 21, FALSE),))</f>
        <v/>
      </c>
      <c r="R232" s="238" t="str">
        <f t="shared" si="7"/>
        <v/>
      </c>
      <c r="S232" s="237" t="str">
        <f>IF(ISBLANK(H232),,IFNA(VLOOKUP(H232, Circuits!A:V, 22, FALSE),))</f>
        <v/>
      </c>
      <c r="T232" s="237" t="str">
        <f>IF(ISBLANK(H232),,IFNA(VLOOKUP(H232, Circuits!A:X, 24, FALSE),))</f>
        <v/>
      </c>
      <c r="V232" s="236" t="str">
        <f>IFERROR(__xludf.DUMMYFUNCTION("IF(ISBLANK(H232),,JOIN("","",H232:T232))"),"")</f>
        <v/>
      </c>
      <c r="W232" s="229" t="str">
        <f t="shared" si="1"/>
        <v/>
      </c>
    </row>
    <row r="233">
      <c r="H233" s="237"/>
      <c r="I233" s="237" t="str">
        <f>IFERROR(__xludf.DUMMYFUNCTION("IF(ISBLANK(H233),,IFNA(""""""""&amp;JOIN("","",INDEX(FILTER(A:D,A:A=H233),0,4))&amp;"""""""",))"),"")</f>
        <v/>
      </c>
      <c r="J233" s="237" t="str">
        <f>IF(ISBLANK(H233),,IFNA(VLOOKUP(H233, Circuits!A:W, 23, FALSE),))</f>
        <v/>
      </c>
      <c r="K233" s="238" t="str">
        <f t="shared" si="2"/>
        <v/>
      </c>
      <c r="L233" s="238" t="str">
        <f t="shared" si="3"/>
        <v/>
      </c>
      <c r="M233" s="238" t="str">
        <f t="shared" si="4"/>
        <v/>
      </c>
      <c r="N233" s="238" t="str">
        <f t="shared" si="5"/>
        <v/>
      </c>
      <c r="O233" s="238" t="str">
        <f t="shared" si="6"/>
        <v/>
      </c>
      <c r="P233" s="237" t="str">
        <f>IFERROR(__xludf.DUMMYFUNCTION("IF(ISBLANK(H233),,IF(IFNA(MATCH(H233,SPLIT(Circuits!$S$2,"";""&amp;CHAR(10)),0),0),FALSE,TRUE))"),"")</f>
        <v/>
      </c>
      <c r="Q233" s="237" t="str">
        <f>IF(ISBLANK(H233),,IFNA(VLOOKUP(H233, Circuits!A:U, 21, FALSE),))</f>
        <v/>
      </c>
      <c r="R233" s="238" t="str">
        <f t="shared" si="7"/>
        <v/>
      </c>
      <c r="S233" s="237" t="str">
        <f>IF(ISBLANK(H233),,IFNA(VLOOKUP(H233, Circuits!A:V, 22, FALSE),))</f>
        <v/>
      </c>
      <c r="T233" s="237" t="str">
        <f>IF(ISBLANK(H233),,IFNA(VLOOKUP(H233, Circuits!A:X, 24, FALSE),))</f>
        <v/>
      </c>
      <c r="V233" s="236" t="str">
        <f>IFERROR(__xludf.DUMMYFUNCTION("IF(ISBLANK(H233),,JOIN("","",H233:T233))"),"")</f>
        <v/>
      </c>
      <c r="W233" s="229" t="str">
        <f t="shared" si="1"/>
        <v/>
      </c>
    </row>
    <row r="234">
      <c r="H234" s="237"/>
      <c r="I234" s="237" t="str">
        <f>IFERROR(__xludf.DUMMYFUNCTION("IF(ISBLANK(H234),,IFNA(""""""""&amp;JOIN("","",INDEX(FILTER(A:D,A:A=H234),0,4))&amp;"""""""",))"),"")</f>
        <v/>
      </c>
      <c r="J234" s="237" t="str">
        <f>IF(ISBLANK(H234),,IFNA(VLOOKUP(H234, Circuits!A:W, 23, FALSE),))</f>
        <v/>
      </c>
      <c r="K234" s="238" t="str">
        <f t="shared" si="2"/>
        <v/>
      </c>
      <c r="L234" s="238" t="str">
        <f t="shared" si="3"/>
        <v/>
      </c>
      <c r="M234" s="238" t="str">
        <f t="shared" si="4"/>
        <v/>
      </c>
      <c r="N234" s="238" t="str">
        <f t="shared" si="5"/>
        <v/>
      </c>
      <c r="O234" s="238" t="str">
        <f t="shared" si="6"/>
        <v/>
      </c>
      <c r="P234" s="237" t="str">
        <f>IFERROR(__xludf.DUMMYFUNCTION("IF(ISBLANK(H234),,IF(IFNA(MATCH(H234,SPLIT(Circuits!$S$2,"";""&amp;CHAR(10)),0),0),FALSE,TRUE))"),"")</f>
        <v/>
      </c>
      <c r="Q234" s="237" t="str">
        <f>IF(ISBLANK(H234),,IFNA(VLOOKUP(H234, Circuits!A:U, 21, FALSE),))</f>
        <v/>
      </c>
      <c r="R234" s="238" t="str">
        <f t="shared" si="7"/>
        <v/>
      </c>
      <c r="S234" s="237" t="str">
        <f>IF(ISBLANK(H234),,IFNA(VLOOKUP(H234, Circuits!A:V, 22, FALSE),))</f>
        <v/>
      </c>
      <c r="T234" s="237" t="str">
        <f>IF(ISBLANK(H234),,IFNA(VLOOKUP(H234, Circuits!A:X, 24, FALSE),))</f>
        <v/>
      </c>
      <c r="V234" s="236" t="str">
        <f>IFERROR(__xludf.DUMMYFUNCTION("IF(ISBLANK(H234),,JOIN("","",H234:T234))"),"")</f>
        <v/>
      </c>
      <c r="W234" s="229" t="str">
        <f t="shared" si="1"/>
        <v/>
      </c>
    </row>
    <row r="235">
      <c r="H235" s="237"/>
      <c r="I235" s="237" t="str">
        <f>IFERROR(__xludf.DUMMYFUNCTION("IF(ISBLANK(H235),,IFNA(""""""""&amp;JOIN("","",INDEX(FILTER(A:D,A:A=H235),0,4))&amp;"""""""",))"),"")</f>
        <v/>
      </c>
      <c r="J235" s="237" t="str">
        <f>IF(ISBLANK(H235),,IFNA(VLOOKUP(H235, Circuits!A:W, 23, FALSE),))</f>
        <v/>
      </c>
      <c r="K235" s="238" t="str">
        <f t="shared" si="2"/>
        <v/>
      </c>
      <c r="L235" s="238" t="str">
        <f t="shared" si="3"/>
        <v/>
      </c>
      <c r="M235" s="238" t="str">
        <f t="shared" si="4"/>
        <v/>
      </c>
      <c r="N235" s="238" t="str">
        <f t="shared" si="5"/>
        <v/>
      </c>
      <c r="O235" s="238" t="str">
        <f t="shared" si="6"/>
        <v/>
      </c>
      <c r="P235" s="237" t="str">
        <f>IFERROR(__xludf.DUMMYFUNCTION("IF(ISBLANK(H235),,IF(IFNA(MATCH(H235,SPLIT(Circuits!$S$2,"";""&amp;CHAR(10)),0),0),FALSE,TRUE))"),"")</f>
        <v/>
      </c>
      <c r="Q235" s="237" t="str">
        <f>IF(ISBLANK(H235),,IFNA(VLOOKUP(H235, Circuits!A:U, 21, FALSE),))</f>
        <v/>
      </c>
      <c r="R235" s="238" t="str">
        <f t="shared" si="7"/>
        <v/>
      </c>
      <c r="S235" s="237" t="str">
        <f>IF(ISBLANK(H235),,IFNA(VLOOKUP(H235, Circuits!A:V, 22, FALSE),))</f>
        <v/>
      </c>
      <c r="T235" s="237" t="str">
        <f>IF(ISBLANK(H235),,IFNA(VLOOKUP(H235, Circuits!A:X, 24, FALSE),))</f>
        <v/>
      </c>
      <c r="V235" s="236" t="str">
        <f>IFERROR(__xludf.DUMMYFUNCTION("IF(ISBLANK(H235),,JOIN("","",H235:T235))"),"")</f>
        <v/>
      </c>
      <c r="W235" s="229" t="str">
        <f t="shared" si="1"/>
        <v/>
      </c>
    </row>
    <row r="236">
      <c r="H236" s="237"/>
      <c r="I236" s="237" t="str">
        <f>IFERROR(__xludf.DUMMYFUNCTION("IF(ISBLANK(H236),,IFNA(""""""""&amp;JOIN("","",INDEX(FILTER(A:D,A:A=H236),0,4))&amp;"""""""",))"),"")</f>
        <v/>
      </c>
      <c r="J236" s="237" t="str">
        <f>IF(ISBLANK(H236),,IFNA(VLOOKUP(H236, Circuits!A:W, 23, FALSE),))</f>
        <v/>
      </c>
      <c r="K236" s="238" t="str">
        <f t="shared" si="2"/>
        <v/>
      </c>
      <c r="L236" s="238" t="str">
        <f t="shared" si="3"/>
        <v/>
      </c>
      <c r="M236" s="238" t="str">
        <f t="shared" si="4"/>
        <v/>
      </c>
      <c r="N236" s="238" t="str">
        <f t="shared" si="5"/>
        <v/>
      </c>
      <c r="O236" s="238" t="str">
        <f t="shared" si="6"/>
        <v/>
      </c>
      <c r="P236" s="237" t="str">
        <f>IFERROR(__xludf.DUMMYFUNCTION("IF(ISBLANK(H236),,IF(IFNA(MATCH(H236,SPLIT(Circuits!$S$2,"";""&amp;CHAR(10)),0),0),FALSE,TRUE))"),"")</f>
        <v/>
      </c>
      <c r="Q236" s="237" t="str">
        <f>IF(ISBLANK(H236),,IFNA(VLOOKUP(H236, Circuits!A:U, 21, FALSE),))</f>
        <v/>
      </c>
      <c r="R236" s="238" t="str">
        <f t="shared" si="7"/>
        <v/>
      </c>
      <c r="S236" s="237" t="str">
        <f>IF(ISBLANK(H236),,IFNA(VLOOKUP(H236, Circuits!A:V, 22, FALSE),))</f>
        <v/>
      </c>
      <c r="T236" s="237" t="str">
        <f>IF(ISBLANK(H236),,IFNA(VLOOKUP(H236, Circuits!A:X, 24, FALSE),))</f>
        <v/>
      </c>
      <c r="V236" s="236" t="str">
        <f>IFERROR(__xludf.DUMMYFUNCTION("IF(ISBLANK(H236),,JOIN("","",H236:T236))"),"")</f>
        <v/>
      </c>
      <c r="W236" s="229" t="str">
        <f t="shared" si="1"/>
        <v/>
      </c>
    </row>
    <row r="237">
      <c r="H237" s="237"/>
      <c r="I237" s="237" t="str">
        <f>IFERROR(__xludf.DUMMYFUNCTION("IF(ISBLANK(H237),,IFNA(""""""""&amp;JOIN("","",INDEX(FILTER(A:D,A:A=H237),0,4))&amp;"""""""",))"),"")</f>
        <v/>
      </c>
      <c r="J237" s="237" t="str">
        <f>IF(ISBLANK(H237),,IFNA(VLOOKUP(H237, Circuits!A:W, 23, FALSE),))</f>
        <v/>
      </c>
      <c r="K237" s="238" t="str">
        <f t="shared" si="2"/>
        <v/>
      </c>
      <c r="L237" s="238" t="str">
        <f t="shared" si="3"/>
        <v/>
      </c>
      <c r="M237" s="238" t="str">
        <f t="shared" si="4"/>
        <v/>
      </c>
      <c r="N237" s="238" t="str">
        <f t="shared" si="5"/>
        <v/>
      </c>
      <c r="O237" s="238" t="str">
        <f t="shared" si="6"/>
        <v/>
      </c>
      <c r="P237" s="237" t="str">
        <f>IFERROR(__xludf.DUMMYFUNCTION("IF(ISBLANK(H237),,IF(IFNA(MATCH(H237,SPLIT(Circuits!$S$2,"";""&amp;CHAR(10)),0),0),FALSE,TRUE))"),"")</f>
        <v/>
      </c>
      <c r="Q237" s="237" t="str">
        <f>IF(ISBLANK(H237),,IFNA(VLOOKUP(H237, Circuits!A:U, 21, FALSE),))</f>
        <v/>
      </c>
      <c r="R237" s="238" t="str">
        <f t="shared" si="7"/>
        <v/>
      </c>
      <c r="S237" s="237" t="str">
        <f>IF(ISBLANK(H237),,IFNA(VLOOKUP(H237, Circuits!A:V, 22, FALSE),))</f>
        <v/>
      </c>
      <c r="T237" s="237" t="str">
        <f>IF(ISBLANK(H237),,IFNA(VLOOKUP(H237, Circuits!A:X, 24, FALSE),))</f>
        <v/>
      </c>
      <c r="V237" s="236" t="str">
        <f>IFERROR(__xludf.DUMMYFUNCTION("IF(ISBLANK(H237),,JOIN("","",H237:T237))"),"")</f>
        <v/>
      </c>
      <c r="W237" s="229" t="str">
        <f t="shared" si="1"/>
        <v/>
      </c>
    </row>
    <row r="238">
      <c r="H238" s="237"/>
      <c r="I238" s="237" t="str">
        <f>IFERROR(__xludf.DUMMYFUNCTION("IF(ISBLANK(H238),,IFNA(""""""""&amp;JOIN("","",INDEX(FILTER(A:D,A:A=H238),0,4))&amp;"""""""",))"),"")</f>
        <v/>
      </c>
      <c r="J238" s="237" t="str">
        <f>IF(ISBLANK(H238),,IFNA(VLOOKUP(H238, Circuits!A:W, 23, FALSE),))</f>
        <v/>
      </c>
      <c r="K238" s="238" t="str">
        <f t="shared" si="2"/>
        <v/>
      </c>
      <c r="L238" s="238" t="str">
        <f t="shared" si="3"/>
        <v/>
      </c>
      <c r="M238" s="238" t="str">
        <f t="shared" si="4"/>
        <v/>
      </c>
      <c r="N238" s="238" t="str">
        <f t="shared" si="5"/>
        <v/>
      </c>
      <c r="O238" s="238" t="str">
        <f t="shared" si="6"/>
        <v/>
      </c>
      <c r="P238" s="237" t="str">
        <f>IFERROR(__xludf.DUMMYFUNCTION("IF(ISBLANK(H238),,IF(IFNA(MATCH(H238,SPLIT(Circuits!$S$2,"";""&amp;CHAR(10)),0),0),FALSE,TRUE))"),"")</f>
        <v/>
      </c>
      <c r="Q238" s="237" t="str">
        <f>IF(ISBLANK(H238),,IFNA(VLOOKUP(H238, Circuits!A:U, 21, FALSE),))</f>
        <v/>
      </c>
      <c r="R238" s="238" t="str">
        <f t="shared" si="7"/>
        <v/>
      </c>
      <c r="S238" s="237" t="str">
        <f>IF(ISBLANK(H238),,IFNA(VLOOKUP(H238, Circuits!A:V, 22, FALSE),))</f>
        <v/>
      </c>
      <c r="T238" s="237" t="str">
        <f>IF(ISBLANK(H238),,IFNA(VLOOKUP(H238, Circuits!A:X, 24, FALSE),))</f>
        <v/>
      </c>
      <c r="V238" s="236" t="str">
        <f>IFERROR(__xludf.DUMMYFUNCTION("IF(ISBLANK(H238),,JOIN("","",H238:T238))"),"")</f>
        <v/>
      </c>
      <c r="W238" s="229" t="str">
        <f t="shared" si="1"/>
        <v/>
      </c>
    </row>
    <row r="239">
      <c r="H239" s="237"/>
      <c r="I239" s="237" t="str">
        <f>IFERROR(__xludf.DUMMYFUNCTION("IF(ISBLANK(H239),,IFNA(""""""""&amp;JOIN("","",INDEX(FILTER(A:D,A:A=H239),0,4))&amp;"""""""",))"),"")</f>
        <v/>
      </c>
      <c r="J239" s="237" t="str">
        <f>IF(ISBLANK(H239),,IFNA(VLOOKUP(H239, Circuits!A:W, 23, FALSE),))</f>
        <v/>
      </c>
      <c r="K239" s="238" t="str">
        <f t="shared" si="2"/>
        <v/>
      </c>
      <c r="L239" s="238" t="str">
        <f t="shared" si="3"/>
        <v/>
      </c>
      <c r="M239" s="238" t="str">
        <f t="shared" si="4"/>
        <v/>
      </c>
      <c r="N239" s="238" t="str">
        <f t="shared" si="5"/>
        <v/>
      </c>
      <c r="O239" s="238" t="str">
        <f t="shared" si="6"/>
        <v/>
      </c>
      <c r="P239" s="237" t="str">
        <f>IFERROR(__xludf.DUMMYFUNCTION("IF(ISBLANK(H239),,IF(IFNA(MATCH(H239,SPLIT(Circuits!$S$2,"";""&amp;CHAR(10)),0),0),FALSE,TRUE))"),"")</f>
        <v/>
      </c>
      <c r="Q239" s="237" t="str">
        <f>IF(ISBLANK(H239),,IFNA(VLOOKUP(H239, Circuits!A:U, 21, FALSE),))</f>
        <v/>
      </c>
      <c r="R239" s="238" t="str">
        <f t="shared" si="7"/>
        <v/>
      </c>
      <c r="S239" s="237" t="str">
        <f>IF(ISBLANK(H239),,IFNA(VLOOKUP(H239, Circuits!A:V, 22, FALSE),))</f>
        <v/>
      </c>
      <c r="T239" s="237" t="str">
        <f>IF(ISBLANK(H239),,IFNA(VLOOKUP(H239, Circuits!A:X, 24, FALSE),))</f>
        <v/>
      </c>
      <c r="V239" s="236" t="str">
        <f>IFERROR(__xludf.DUMMYFUNCTION("IF(ISBLANK(H239),,JOIN("","",H239:T239))"),"")</f>
        <v/>
      </c>
      <c r="W239" s="229" t="str">
        <f t="shared" si="1"/>
        <v/>
      </c>
    </row>
    <row r="240">
      <c r="H240" s="237"/>
      <c r="I240" s="237" t="str">
        <f>IFERROR(__xludf.DUMMYFUNCTION("IF(ISBLANK(H240),,IFNA(""""""""&amp;JOIN("","",INDEX(FILTER(A:D,A:A=H240),0,4))&amp;"""""""",))"),"")</f>
        <v/>
      </c>
      <c r="J240" s="237" t="str">
        <f>IF(ISBLANK(H240),,IFNA(VLOOKUP(H240, Circuits!A:W, 23, FALSE),))</f>
        <v/>
      </c>
      <c r="K240" s="238" t="str">
        <f t="shared" si="2"/>
        <v/>
      </c>
      <c r="L240" s="238" t="str">
        <f t="shared" si="3"/>
        <v/>
      </c>
      <c r="M240" s="238" t="str">
        <f t="shared" si="4"/>
        <v/>
      </c>
      <c r="N240" s="238" t="str">
        <f t="shared" si="5"/>
        <v/>
      </c>
      <c r="O240" s="238" t="str">
        <f t="shared" si="6"/>
        <v/>
      </c>
      <c r="P240" s="237" t="str">
        <f>IFERROR(__xludf.DUMMYFUNCTION("IF(ISBLANK(H240),,IF(IFNA(MATCH(H240,SPLIT(Circuits!$S$2,"";""&amp;CHAR(10)),0),0),FALSE,TRUE))"),"")</f>
        <v/>
      </c>
      <c r="Q240" s="237" t="str">
        <f>IF(ISBLANK(H240),,IFNA(VLOOKUP(H240, Circuits!A:U, 21, FALSE),))</f>
        <v/>
      </c>
      <c r="R240" s="238" t="str">
        <f t="shared" si="7"/>
        <v/>
      </c>
      <c r="S240" s="237" t="str">
        <f>IF(ISBLANK(H240),,IFNA(VLOOKUP(H240, Circuits!A:V, 22, FALSE),))</f>
        <v/>
      </c>
      <c r="T240" s="237" t="str">
        <f>IF(ISBLANK(H240),,IFNA(VLOOKUP(H240, Circuits!A:X, 24, FALSE),))</f>
        <v/>
      </c>
      <c r="V240" s="236" t="str">
        <f>IFERROR(__xludf.DUMMYFUNCTION("IF(ISBLANK(H240),,JOIN("","",H240:T240))"),"")</f>
        <v/>
      </c>
      <c r="W240" s="229" t="str">
        <f t="shared" si="1"/>
        <v/>
      </c>
    </row>
    <row r="241">
      <c r="H241" s="237"/>
      <c r="I241" s="237" t="str">
        <f>IFERROR(__xludf.DUMMYFUNCTION("IF(ISBLANK(H241),,IFNA(""""""""&amp;JOIN("","",INDEX(FILTER(A:D,A:A=H241),0,4))&amp;"""""""",))"),"")</f>
        <v/>
      </c>
      <c r="J241" s="237" t="str">
        <f>IF(ISBLANK(H241),,IFNA(VLOOKUP(H241, Circuits!A:W, 23, FALSE),))</f>
        <v/>
      </c>
      <c r="K241" s="238" t="str">
        <f t="shared" si="2"/>
        <v/>
      </c>
      <c r="L241" s="238" t="str">
        <f t="shared" si="3"/>
        <v/>
      </c>
      <c r="M241" s="238" t="str">
        <f t="shared" si="4"/>
        <v/>
      </c>
      <c r="N241" s="238" t="str">
        <f t="shared" si="5"/>
        <v/>
      </c>
      <c r="O241" s="238" t="str">
        <f t="shared" si="6"/>
        <v/>
      </c>
      <c r="P241" s="237" t="str">
        <f>IFERROR(__xludf.DUMMYFUNCTION("IF(ISBLANK(H241),,IF(IFNA(MATCH(H241,SPLIT(Circuits!$S$2,"";""&amp;CHAR(10)),0),0),FALSE,TRUE))"),"")</f>
        <v/>
      </c>
      <c r="Q241" s="237" t="str">
        <f>IF(ISBLANK(H241),,IFNA(VLOOKUP(H241, Circuits!A:U, 21, FALSE),))</f>
        <v/>
      </c>
      <c r="R241" s="238" t="str">
        <f t="shared" si="7"/>
        <v/>
      </c>
      <c r="S241" s="237" t="str">
        <f>IF(ISBLANK(H241),,IFNA(VLOOKUP(H241, Circuits!A:V, 22, FALSE),))</f>
        <v/>
      </c>
      <c r="T241" s="237" t="str">
        <f>IF(ISBLANK(H241),,IFNA(VLOOKUP(H241, Circuits!A:X, 24, FALSE),))</f>
        <v/>
      </c>
      <c r="V241" s="236" t="str">
        <f>IFERROR(__xludf.DUMMYFUNCTION("IF(ISBLANK(H241),,JOIN("","",H241:T241))"),"")</f>
        <v/>
      </c>
      <c r="W241" s="229" t="str">
        <f t="shared" si="1"/>
        <v/>
      </c>
    </row>
    <row r="242">
      <c r="H242" s="237"/>
      <c r="I242" s="237" t="str">
        <f>IFERROR(__xludf.DUMMYFUNCTION("IF(ISBLANK(H242),,IFNA(""""""""&amp;JOIN("","",INDEX(FILTER(A:D,A:A=H242),0,4))&amp;"""""""",))"),"")</f>
        <v/>
      </c>
      <c r="J242" s="237" t="str">
        <f>IF(ISBLANK(H242),,IFNA(VLOOKUP(H242, Circuits!A:W, 23, FALSE),))</f>
        <v/>
      </c>
      <c r="K242" s="238" t="str">
        <f t="shared" si="2"/>
        <v/>
      </c>
      <c r="L242" s="238" t="str">
        <f t="shared" si="3"/>
        <v/>
      </c>
      <c r="M242" s="238" t="str">
        <f t="shared" si="4"/>
        <v/>
      </c>
      <c r="N242" s="238" t="str">
        <f t="shared" si="5"/>
        <v/>
      </c>
      <c r="O242" s="238" t="str">
        <f t="shared" si="6"/>
        <v/>
      </c>
      <c r="P242" s="237" t="str">
        <f>IFERROR(__xludf.DUMMYFUNCTION("IF(ISBLANK(H242),,IF(IFNA(MATCH(H242,SPLIT(Circuits!$S$2,"";""&amp;CHAR(10)),0),0),FALSE,TRUE))"),"")</f>
        <v/>
      </c>
      <c r="Q242" s="237" t="str">
        <f>IF(ISBLANK(H242),,IFNA(VLOOKUP(H242, Circuits!A:U, 21, FALSE),))</f>
        <v/>
      </c>
      <c r="R242" s="238" t="str">
        <f t="shared" si="7"/>
        <v/>
      </c>
      <c r="S242" s="237" t="str">
        <f>IF(ISBLANK(H242),,IFNA(VLOOKUP(H242, Circuits!A:V, 22, FALSE),))</f>
        <v/>
      </c>
      <c r="T242" s="237" t="str">
        <f>IF(ISBLANK(H242),,IFNA(VLOOKUP(H242, Circuits!A:X, 24, FALSE),))</f>
        <v/>
      </c>
      <c r="V242" s="236" t="str">
        <f>IFERROR(__xludf.DUMMYFUNCTION("IF(ISBLANK(H242),,JOIN("","",H242:T242))"),"")</f>
        <v/>
      </c>
      <c r="W242" s="229" t="str">
        <f t="shared" si="1"/>
        <v/>
      </c>
    </row>
    <row r="243">
      <c r="H243" s="237"/>
      <c r="I243" s="237" t="str">
        <f>IFERROR(__xludf.DUMMYFUNCTION("IF(ISBLANK(H243),,IFNA(""""""""&amp;JOIN("","",INDEX(FILTER(A:D,A:A=H243),0,4))&amp;"""""""",))"),"")</f>
        <v/>
      </c>
      <c r="J243" s="237" t="str">
        <f>IF(ISBLANK(H243),,IFNA(VLOOKUP(H243, Circuits!A:W, 23, FALSE),))</f>
        <v/>
      </c>
      <c r="K243" s="238" t="str">
        <f t="shared" si="2"/>
        <v/>
      </c>
      <c r="L243" s="238" t="str">
        <f t="shared" si="3"/>
        <v/>
      </c>
      <c r="M243" s="238" t="str">
        <f t="shared" si="4"/>
        <v/>
      </c>
      <c r="N243" s="238" t="str">
        <f t="shared" si="5"/>
        <v/>
      </c>
      <c r="O243" s="238" t="str">
        <f t="shared" si="6"/>
        <v/>
      </c>
      <c r="P243" s="237" t="str">
        <f>IFERROR(__xludf.DUMMYFUNCTION("IF(ISBLANK(H243),,IF(IFNA(MATCH(H243,SPLIT(Circuits!$S$2,"";""&amp;CHAR(10)),0),0),FALSE,TRUE))"),"")</f>
        <v/>
      </c>
      <c r="Q243" s="237" t="str">
        <f>IF(ISBLANK(H243),,IFNA(VLOOKUP(H243, Circuits!A:U, 21, FALSE),))</f>
        <v/>
      </c>
      <c r="R243" s="238" t="str">
        <f t="shared" si="7"/>
        <v/>
      </c>
      <c r="S243" s="237" t="str">
        <f>IF(ISBLANK(H243),,IFNA(VLOOKUP(H243, Circuits!A:V, 22, FALSE),))</f>
        <v/>
      </c>
      <c r="T243" s="237" t="str">
        <f>IF(ISBLANK(H243),,IFNA(VLOOKUP(H243, Circuits!A:X, 24, FALSE),))</f>
        <v/>
      </c>
      <c r="V243" s="236" t="str">
        <f>IFERROR(__xludf.DUMMYFUNCTION("IF(ISBLANK(H243),,JOIN("","",H243:T243))"),"")</f>
        <v/>
      </c>
      <c r="W243" s="229" t="str">
        <f t="shared" si="1"/>
        <v/>
      </c>
    </row>
    <row r="244">
      <c r="H244" s="237"/>
      <c r="I244" s="237" t="str">
        <f>IFERROR(__xludf.DUMMYFUNCTION("IF(ISBLANK(H244),,IFNA(""""""""&amp;JOIN("","",INDEX(FILTER(A:D,A:A=H244),0,4))&amp;"""""""",))"),"")</f>
        <v/>
      </c>
      <c r="J244" s="237" t="str">
        <f>IF(ISBLANK(H244),,IFNA(VLOOKUP(H244, Circuits!A:W, 23, FALSE),))</f>
        <v/>
      </c>
      <c r="K244" s="238" t="str">
        <f t="shared" si="2"/>
        <v/>
      </c>
      <c r="L244" s="238" t="str">
        <f t="shared" si="3"/>
        <v/>
      </c>
      <c r="M244" s="238" t="str">
        <f t="shared" si="4"/>
        <v/>
      </c>
      <c r="N244" s="238" t="str">
        <f t="shared" si="5"/>
        <v/>
      </c>
      <c r="O244" s="238" t="str">
        <f t="shared" si="6"/>
        <v/>
      </c>
      <c r="P244" s="237" t="str">
        <f>IFERROR(__xludf.DUMMYFUNCTION("IF(ISBLANK(H244),,IF(IFNA(MATCH(H244,SPLIT(Circuits!$S$2,"";""&amp;CHAR(10)),0),0),FALSE,TRUE))"),"")</f>
        <v/>
      </c>
      <c r="Q244" s="237" t="str">
        <f>IF(ISBLANK(H244),,IFNA(VLOOKUP(H244, Circuits!A:U, 21, FALSE),))</f>
        <v/>
      </c>
      <c r="R244" s="238" t="str">
        <f t="shared" si="7"/>
        <v/>
      </c>
      <c r="S244" s="237" t="str">
        <f>IF(ISBLANK(H244),,IFNA(VLOOKUP(H244, Circuits!A:V, 22, FALSE),))</f>
        <v/>
      </c>
      <c r="T244" s="237" t="str">
        <f>IF(ISBLANK(H244),,IFNA(VLOOKUP(H244, Circuits!A:X, 24, FALSE),))</f>
        <v/>
      </c>
      <c r="V244" s="236" t="str">
        <f>IFERROR(__xludf.DUMMYFUNCTION("IF(ISBLANK(H244),,JOIN("","",H244:T244))"),"")</f>
        <v/>
      </c>
      <c r="W244" s="229" t="str">
        <f t="shared" si="1"/>
        <v/>
      </c>
    </row>
    <row r="245">
      <c r="H245" s="237"/>
      <c r="I245" s="237" t="str">
        <f>IFERROR(__xludf.DUMMYFUNCTION("IF(ISBLANK(H245),,IFNA(""""""""&amp;JOIN("","",INDEX(FILTER(A:D,A:A=H245),0,4))&amp;"""""""",))"),"")</f>
        <v/>
      </c>
      <c r="J245" s="237" t="str">
        <f>IF(ISBLANK(H245),,IFNA(VLOOKUP(H245, Circuits!A:W, 23, FALSE),))</f>
        <v/>
      </c>
      <c r="K245" s="238" t="str">
        <f t="shared" si="2"/>
        <v/>
      </c>
      <c r="L245" s="238" t="str">
        <f t="shared" si="3"/>
        <v/>
      </c>
      <c r="M245" s="238" t="str">
        <f t="shared" si="4"/>
        <v/>
      </c>
      <c r="N245" s="238" t="str">
        <f t="shared" si="5"/>
        <v/>
      </c>
      <c r="O245" s="238" t="str">
        <f t="shared" si="6"/>
        <v/>
      </c>
      <c r="P245" s="237" t="str">
        <f>IFERROR(__xludf.DUMMYFUNCTION("IF(ISBLANK(H245),,IF(IFNA(MATCH(H245,SPLIT(Circuits!$S$2,"";""&amp;CHAR(10)),0),0),FALSE,TRUE))"),"")</f>
        <v/>
      </c>
      <c r="Q245" s="237" t="str">
        <f>IF(ISBLANK(H245),,IFNA(VLOOKUP(H245, Circuits!A:U, 21, FALSE),))</f>
        <v/>
      </c>
      <c r="R245" s="238" t="str">
        <f t="shared" si="7"/>
        <v/>
      </c>
      <c r="S245" s="237" t="str">
        <f>IF(ISBLANK(H245),,IFNA(VLOOKUP(H245, Circuits!A:V, 22, FALSE),))</f>
        <v/>
      </c>
      <c r="T245" s="237" t="str">
        <f>IF(ISBLANK(H245),,IFNA(VLOOKUP(H245, Circuits!A:X, 24, FALSE),))</f>
        <v/>
      </c>
      <c r="V245" s="236" t="str">
        <f>IFERROR(__xludf.DUMMYFUNCTION("IF(ISBLANK(H245),,JOIN("","",H245:T245))"),"")</f>
        <v/>
      </c>
      <c r="W245" s="229" t="str">
        <f t="shared" si="1"/>
        <v/>
      </c>
    </row>
    <row r="246">
      <c r="H246" s="237"/>
      <c r="I246" s="237" t="str">
        <f>IFERROR(__xludf.DUMMYFUNCTION("IF(ISBLANK(H246),,IFNA(""""""""&amp;JOIN("","",INDEX(FILTER(A:D,A:A=H246),0,4))&amp;"""""""",))"),"")</f>
        <v/>
      </c>
      <c r="J246" s="237" t="str">
        <f>IF(ISBLANK(H246),,IFNA(VLOOKUP(H246, Circuits!A:W, 23, FALSE),))</f>
        <v/>
      </c>
      <c r="K246" s="238" t="str">
        <f t="shared" si="2"/>
        <v/>
      </c>
      <c r="L246" s="238" t="str">
        <f t="shared" si="3"/>
        <v/>
      </c>
      <c r="M246" s="238" t="str">
        <f t="shared" si="4"/>
        <v/>
      </c>
      <c r="N246" s="238" t="str">
        <f t="shared" si="5"/>
        <v/>
      </c>
      <c r="O246" s="238" t="str">
        <f t="shared" si="6"/>
        <v/>
      </c>
      <c r="P246" s="237" t="str">
        <f>IFERROR(__xludf.DUMMYFUNCTION("IF(ISBLANK(H246),,IF(IFNA(MATCH(H246,SPLIT(Circuits!$S$2,"";""&amp;CHAR(10)),0),0),FALSE,TRUE))"),"")</f>
        <v/>
      </c>
      <c r="Q246" s="237" t="str">
        <f>IF(ISBLANK(H246),,IFNA(VLOOKUP(H246, Circuits!A:U, 21, FALSE),))</f>
        <v/>
      </c>
      <c r="R246" s="238" t="str">
        <f t="shared" si="7"/>
        <v/>
      </c>
      <c r="S246" s="237" t="str">
        <f>IF(ISBLANK(H246),,IFNA(VLOOKUP(H246, Circuits!A:V, 22, FALSE),))</f>
        <v/>
      </c>
      <c r="T246" s="237" t="str">
        <f>IF(ISBLANK(H246),,IFNA(VLOOKUP(H246, Circuits!A:X, 24, FALSE),))</f>
        <v/>
      </c>
      <c r="V246" s="236" t="str">
        <f>IFERROR(__xludf.DUMMYFUNCTION("IF(ISBLANK(H246),,JOIN("","",H246:T246))"),"")</f>
        <v/>
      </c>
      <c r="W246" s="229" t="str">
        <f t="shared" si="1"/>
        <v/>
      </c>
    </row>
    <row r="247">
      <c r="H247" s="237"/>
      <c r="I247" s="237" t="str">
        <f>IFERROR(__xludf.DUMMYFUNCTION("IF(ISBLANK(H247),,IFNA(""""""""&amp;JOIN("","",INDEX(FILTER(A:D,A:A=H247),0,4))&amp;"""""""",))"),"")</f>
        <v/>
      </c>
      <c r="J247" s="237" t="str">
        <f>IF(ISBLANK(H247),,IFNA(VLOOKUP(H247, Circuits!A:W, 23, FALSE),))</f>
        <v/>
      </c>
      <c r="K247" s="238" t="str">
        <f t="shared" si="2"/>
        <v/>
      </c>
      <c r="L247" s="238" t="str">
        <f t="shared" si="3"/>
        <v/>
      </c>
      <c r="M247" s="238" t="str">
        <f t="shared" si="4"/>
        <v/>
      </c>
      <c r="N247" s="238" t="str">
        <f t="shared" si="5"/>
        <v/>
      </c>
      <c r="O247" s="238" t="str">
        <f t="shared" si="6"/>
        <v/>
      </c>
      <c r="P247" s="237" t="str">
        <f>IFERROR(__xludf.DUMMYFUNCTION("IF(ISBLANK(H247),,IF(IFNA(MATCH(H247,SPLIT(Circuits!$S$2,"";""&amp;CHAR(10)),0),0),FALSE,TRUE))"),"")</f>
        <v/>
      </c>
      <c r="Q247" s="237" t="str">
        <f>IF(ISBLANK(H247),,IFNA(VLOOKUP(H247, Circuits!A:U, 21, FALSE),))</f>
        <v/>
      </c>
      <c r="R247" s="238" t="str">
        <f t="shared" si="7"/>
        <v/>
      </c>
      <c r="S247" s="237" t="str">
        <f>IF(ISBLANK(H247),,IFNA(VLOOKUP(H247, Circuits!A:V, 22, FALSE),))</f>
        <v/>
      </c>
      <c r="T247" s="237" t="str">
        <f>IF(ISBLANK(H247),,IFNA(VLOOKUP(H247, Circuits!A:X, 24, FALSE),))</f>
        <v/>
      </c>
      <c r="V247" s="236" t="str">
        <f>IFERROR(__xludf.DUMMYFUNCTION("IF(ISBLANK(H247),,JOIN("","",H247:T247))"),"")</f>
        <v/>
      </c>
      <c r="W247" s="229" t="str">
        <f t="shared" si="1"/>
        <v/>
      </c>
    </row>
    <row r="248">
      <c r="H248" s="237"/>
      <c r="I248" s="237" t="str">
        <f>IFERROR(__xludf.DUMMYFUNCTION("IF(ISBLANK(H248),,IFNA(""""""""&amp;JOIN("","",INDEX(FILTER(A:D,A:A=H248),0,4))&amp;"""""""",))"),"")</f>
        <v/>
      </c>
      <c r="J248" s="237" t="str">
        <f>IF(ISBLANK(H248),,IFNA(VLOOKUP(H248, Circuits!A:W, 23, FALSE),))</f>
        <v/>
      </c>
      <c r="K248" s="238" t="str">
        <f t="shared" si="2"/>
        <v/>
      </c>
      <c r="L248" s="238" t="str">
        <f t="shared" si="3"/>
        <v/>
      </c>
      <c r="M248" s="238" t="str">
        <f t="shared" si="4"/>
        <v/>
      </c>
      <c r="N248" s="238" t="str">
        <f t="shared" si="5"/>
        <v/>
      </c>
      <c r="O248" s="238" t="str">
        <f t="shared" si="6"/>
        <v/>
      </c>
      <c r="P248" s="237" t="str">
        <f>IFERROR(__xludf.DUMMYFUNCTION("IF(ISBLANK(H248),,IF(IFNA(MATCH(H248,SPLIT(Circuits!$S$2,"";""&amp;CHAR(10)),0),0),FALSE,TRUE))"),"")</f>
        <v/>
      </c>
      <c r="Q248" s="237" t="str">
        <f>IF(ISBLANK(H248),,IFNA(VLOOKUP(H248, Circuits!A:U, 21, FALSE),))</f>
        <v/>
      </c>
      <c r="R248" s="238" t="str">
        <f t="shared" si="7"/>
        <v/>
      </c>
      <c r="S248" s="237" t="str">
        <f>IF(ISBLANK(H248),,IFNA(VLOOKUP(H248, Circuits!A:V, 22, FALSE),))</f>
        <v/>
      </c>
      <c r="T248" s="237" t="str">
        <f>IF(ISBLANK(H248),,IFNA(VLOOKUP(H248, Circuits!A:X, 24, FALSE),))</f>
        <v/>
      </c>
      <c r="V248" s="236" t="str">
        <f>IFERROR(__xludf.DUMMYFUNCTION("IF(ISBLANK(H248),,JOIN("","",H248:T248))"),"")</f>
        <v/>
      </c>
      <c r="W248" s="229" t="str">
        <f t="shared" si="1"/>
        <v/>
      </c>
    </row>
    <row r="249">
      <c r="H249" s="237"/>
      <c r="I249" s="237" t="str">
        <f>IFERROR(__xludf.DUMMYFUNCTION("IF(ISBLANK(H249),,IFNA(""""""""&amp;JOIN("","",INDEX(FILTER(A:D,A:A=H249),0,4))&amp;"""""""",))"),"")</f>
        <v/>
      </c>
      <c r="J249" s="237" t="str">
        <f>IF(ISBLANK(H249),,IFNA(VLOOKUP(H249, Circuits!A:W, 23, FALSE),))</f>
        <v/>
      </c>
      <c r="K249" s="238" t="str">
        <f t="shared" si="2"/>
        <v/>
      </c>
      <c r="L249" s="238" t="str">
        <f t="shared" si="3"/>
        <v/>
      </c>
      <c r="M249" s="238" t="str">
        <f t="shared" si="4"/>
        <v/>
      </c>
      <c r="N249" s="238" t="str">
        <f t="shared" si="5"/>
        <v/>
      </c>
      <c r="O249" s="238" t="str">
        <f t="shared" si="6"/>
        <v/>
      </c>
      <c r="P249" s="237" t="str">
        <f>IFERROR(__xludf.DUMMYFUNCTION("IF(ISBLANK(H249),,IF(IFNA(MATCH(H249,SPLIT(Circuits!$S$2,"";""&amp;CHAR(10)),0),0),FALSE,TRUE))"),"")</f>
        <v/>
      </c>
      <c r="Q249" s="237" t="str">
        <f>IF(ISBLANK(H249),,IFNA(VLOOKUP(H249, Circuits!A:U, 21, FALSE),))</f>
        <v/>
      </c>
      <c r="R249" s="238" t="str">
        <f t="shared" si="7"/>
        <v/>
      </c>
      <c r="S249" s="237" t="str">
        <f>IF(ISBLANK(H249),,IFNA(VLOOKUP(H249, Circuits!A:V, 22, FALSE),))</f>
        <v/>
      </c>
      <c r="T249" s="237" t="str">
        <f>IF(ISBLANK(H249),,IFNA(VLOOKUP(H249, Circuits!A:X, 24, FALSE),))</f>
        <v/>
      </c>
      <c r="V249" s="236" t="str">
        <f>IFERROR(__xludf.DUMMYFUNCTION("IF(ISBLANK(H249),,JOIN("","",H249:T249))"),"")</f>
        <v/>
      </c>
      <c r="W249" s="229" t="str">
        <f t="shared" si="1"/>
        <v/>
      </c>
    </row>
    <row r="250">
      <c r="H250" s="237"/>
      <c r="I250" s="237" t="str">
        <f>IFERROR(__xludf.DUMMYFUNCTION("IF(ISBLANK(H250),,IFNA(""""""""&amp;JOIN("","",INDEX(FILTER(A:D,A:A=H250),0,4))&amp;"""""""",))"),"")</f>
        <v/>
      </c>
      <c r="J250" s="237" t="str">
        <f>IF(ISBLANK(H250),,IFNA(VLOOKUP(H250, Circuits!A:W, 23, FALSE),))</f>
        <v/>
      </c>
      <c r="K250" s="238" t="str">
        <f t="shared" si="2"/>
        <v/>
      </c>
      <c r="L250" s="238" t="str">
        <f t="shared" si="3"/>
        <v/>
      </c>
      <c r="M250" s="238" t="str">
        <f t="shared" si="4"/>
        <v/>
      </c>
      <c r="N250" s="238" t="str">
        <f t="shared" si="5"/>
        <v/>
      </c>
      <c r="O250" s="238" t="str">
        <f t="shared" si="6"/>
        <v/>
      </c>
      <c r="P250" s="237" t="str">
        <f>IFERROR(__xludf.DUMMYFUNCTION("IF(ISBLANK(H250),,IF(IFNA(MATCH(H250,SPLIT(Circuits!$S$2,"";""&amp;CHAR(10)),0),0),FALSE,TRUE))"),"")</f>
        <v/>
      </c>
      <c r="Q250" s="237" t="str">
        <f>IF(ISBLANK(H250),,IFNA(VLOOKUP(H250, Circuits!A:U, 21, FALSE),))</f>
        <v/>
      </c>
      <c r="R250" s="238" t="str">
        <f t="shared" si="7"/>
        <v/>
      </c>
      <c r="S250" s="237" t="str">
        <f>IF(ISBLANK(H250),,IFNA(VLOOKUP(H250, Circuits!A:V, 22, FALSE),))</f>
        <v/>
      </c>
      <c r="T250" s="237" t="str">
        <f>IF(ISBLANK(H250),,IFNA(VLOOKUP(H250, Circuits!A:X, 24, FALSE),))</f>
        <v/>
      </c>
      <c r="V250" s="236" t="str">
        <f>IFERROR(__xludf.DUMMYFUNCTION("IF(ISBLANK(H250),,JOIN("","",H250:T250))"),"")</f>
        <v/>
      </c>
      <c r="W250" s="229" t="str">
        <f t="shared" si="1"/>
        <v/>
      </c>
    </row>
    <row r="251">
      <c r="H251" s="237"/>
      <c r="I251" s="237" t="str">
        <f>IFERROR(__xludf.DUMMYFUNCTION("IF(ISBLANK(H251),,IFNA(""""""""&amp;JOIN("","",INDEX(FILTER(A:D,A:A=H251),0,4))&amp;"""""""",))"),"")</f>
        <v/>
      </c>
      <c r="J251" s="237" t="str">
        <f>IF(ISBLANK(H251),,IFNA(VLOOKUP(H251, Circuits!A:W, 23, FALSE),))</f>
        <v/>
      </c>
      <c r="K251" s="238" t="str">
        <f t="shared" si="2"/>
        <v/>
      </c>
      <c r="L251" s="238" t="str">
        <f t="shared" si="3"/>
        <v/>
      </c>
      <c r="M251" s="238" t="str">
        <f t="shared" si="4"/>
        <v/>
      </c>
      <c r="N251" s="238" t="str">
        <f t="shared" si="5"/>
        <v/>
      </c>
      <c r="O251" s="238" t="str">
        <f t="shared" si="6"/>
        <v/>
      </c>
      <c r="P251" s="237" t="str">
        <f>IFERROR(__xludf.DUMMYFUNCTION("IF(ISBLANK(H251),,IF(IFNA(MATCH(H251,SPLIT(Circuits!$S$2,"";""&amp;CHAR(10)),0),0),FALSE,TRUE))"),"")</f>
        <v/>
      </c>
      <c r="Q251" s="237" t="str">
        <f>IF(ISBLANK(H251),,IFNA(VLOOKUP(H251, Circuits!A:U, 21, FALSE),))</f>
        <v/>
      </c>
      <c r="R251" s="238" t="str">
        <f t="shared" si="7"/>
        <v/>
      </c>
      <c r="S251" s="237" t="str">
        <f>IF(ISBLANK(H251),,IFNA(VLOOKUP(H251, Circuits!A:V, 22, FALSE),))</f>
        <v/>
      </c>
      <c r="T251" s="237" t="str">
        <f>IF(ISBLANK(H251),,IFNA(VLOOKUP(H251, Circuits!A:X, 24, FALSE),))</f>
        <v/>
      </c>
      <c r="V251" s="236" t="str">
        <f>IFERROR(__xludf.DUMMYFUNCTION("IF(ISBLANK(H251),,JOIN("","",H251:T251))"),"")</f>
        <v/>
      </c>
      <c r="W251" s="229" t="str">
        <f t="shared" si="1"/>
        <v/>
      </c>
    </row>
    <row r="252">
      <c r="H252" s="237"/>
      <c r="I252" s="237" t="str">
        <f>IFERROR(__xludf.DUMMYFUNCTION("IF(ISBLANK(H252),,IFNA(""""""""&amp;JOIN("","",INDEX(FILTER(A:D,A:A=H252),0,4))&amp;"""""""",))"),"")</f>
        <v/>
      </c>
      <c r="J252" s="237" t="str">
        <f>IF(ISBLANK(H252),,IFNA(VLOOKUP(H252, Circuits!A:W, 23, FALSE),))</f>
        <v/>
      </c>
      <c r="K252" s="238" t="str">
        <f t="shared" si="2"/>
        <v/>
      </c>
      <c r="L252" s="238" t="str">
        <f t="shared" si="3"/>
        <v/>
      </c>
      <c r="M252" s="238" t="str">
        <f t="shared" si="4"/>
        <v/>
      </c>
      <c r="N252" s="238" t="str">
        <f t="shared" si="5"/>
        <v/>
      </c>
      <c r="O252" s="238" t="str">
        <f t="shared" si="6"/>
        <v/>
      </c>
      <c r="P252" s="237" t="str">
        <f>IFERROR(__xludf.DUMMYFUNCTION("IF(ISBLANK(H252),,IF(IFNA(MATCH(H252,SPLIT(Circuits!$S$2,"";""&amp;CHAR(10)),0),0),FALSE,TRUE))"),"")</f>
        <v/>
      </c>
      <c r="Q252" s="237" t="str">
        <f>IF(ISBLANK(H252),,IFNA(VLOOKUP(H252, Circuits!A:U, 21, FALSE),))</f>
        <v/>
      </c>
      <c r="R252" s="238" t="str">
        <f t="shared" si="7"/>
        <v/>
      </c>
      <c r="S252" s="237" t="str">
        <f>IF(ISBLANK(H252),,IFNA(VLOOKUP(H252, Circuits!A:V, 22, FALSE),))</f>
        <v/>
      </c>
      <c r="T252" s="237" t="str">
        <f>IF(ISBLANK(H252),,IFNA(VLOOKUP(H252, Circuits!A:X, 24, FALSE),))</f>
        <v/>
      </c>
      <c r="V252" s="236" t="str">
        <f>IFERROR(__xludf.DUMMYFUNCTION("IF(ISBLANK(H252),,JOIN("","",H252:T252))"),"")</f>
        <v/>
      </c>
      <c r="W252" s="229" t="str">
        <f t="shared" si="1"/>
        <v/>
      </c>
    </row>
    <row r="253">
      <c r="H253" s="237"/>
      <c r="I253" s="237" t="str">
        <f>IFERROR(__xludf.DUMMYFUNCTION("IF(ISBLANK(H253),,IFNA(""""""""&amp;JOIN("","",INDEX(FILTER(A:D,A:A=H253),0,4))&amp;"""""""",))"),"")</f>
        <v/>
      </c>
      <c r="J253" s="237" t="str">
        <f>IF(ISBLANK(H253),,IFNA(VLOOKUP(H253, Circuits!A:W, 23, FALSE),))</f>
        <v/>
      </c>
      <c r="K253" s="238" t="str">
        <f t="shared" si="2"/>
        <v/>
      </c>
      <c r="L253" s="238" t="str">
        <f t="shared" si="3"/>
        <v/>
      </c>
      <c r="M253" s="238" t="str">
        <f t="shared" si="4"/>
        <v/>
      </c>
      <c r="N253" s="238" t="str">
        <f t="shared" si="5"/>
        <v/>
      </c>
      <c r="O253" s="238" t="str">
        <f t="shared" si="6"/>
        <v/>
      </c>
      <c r="P253" s="237" t="str">
        <f>IFERROR(__xludf.DUMMYFUNCTION("IF(ISBLANK(H253),,IF(IFNA(MATCH(H253,SPLIT(Circuits!$S$2,"";""&amp;CHAR(10)),0),0),FALSE,TRUE))"),"")</f>
        <v/>
      </c>
      <c r="Q253" s="237" t="str">
        <f>IF(ISBLANK(H253),,IFNA(VLOOKUP(H253, Circuits!A:U, 21, FALSE),))</f>
        <v/>
      </c>
      <c r="R253" s="238" t="str">
        <f t="shared" si="7"/>
        <v/>
      </c>
      <c r="S253" s="237" t="str">
        <f>IF(ISBLANK(H253),,IFNA(VLOOKUP(H253, Circuits!A:V, 22, FALSE),))</f>
        <v/>
      </c>
      <c r="T253" s="237" t="str">
        <f>IF(ISBLANK(H253),,IFNA(VLOOKUP(H253, Circuits!A:X, 24, FALSE),))</f>
        <v/>
      </c>
      <c r="V253" s="236" t="str">
        <f>IFERROR(__xludf.DUMMYFUNCTION("IF(ISBLANK(H253),,JOIN("","",H253:T253))"),"")</f>
        <v/>
      </c>
      <c r="W253" s="229" t="str">
        <f t="shared" si="1"/>
        <v/>
      </c>
    </row>
    <row r="254">
      <c r="H254" s="237"/>
      <c r="I254" s="237" t="str">
        <f>IFERROR(__xludf.DUMMYFUNCTION("IF(ISBLANK(H254),,IFNA(""""""""&amp;JOIN("","",INDEX(FILTER(A:D,A:A=H254),0,4))&amp;"""""""",))"),"")</f>
        <v/>
      </c>
      <c r="J254" s="237" t="str">
        <f>IF(ISBLANK(H254),,IFNA(VLOOKUP(H254, Circuits!A:W, 23, FALSE),))</f>
        <v/>
      </c>
      <c r="K254" s="238" t="str">
        <f t="shared" si="2"/>
        <v/>
      </c>
      <c r="L254" s="238" t="str">
        <f t="shared" si="3"/>
        <v/>
      </c>
      <c r="M254" s="238" t="str">
        <f t="shared" si="4"/>
        <v/>
      </c>
      <c r="N254" s="238" t="str">
        <f t="shared" si="5"/>
        <v/>
      </c>
      <c r="O254" s="238" t="str">
        <f t="shared" si="6"/>
        <v/>
      </c>
      <c r="P254" s="237" t="str">
        <f>IFERROR(__xludf.DUMMYFUNCTION("IF(ISBLANK(H254),,IF(IFNA(MATCH(H254,SPLIT(Circuits!$S$2,"";""&amp;CHAR(10)),0),0),FALSE,TRUE))"),"")</f>
        <v/>
      </c>
      <c r="Q254" s="237" t="str">
        <f>IF(ISBLANK(H254),,IFNA(VLOOKUP(H254, Circuits!A:U, 21, FALSE),))</f>
        <v/>
      </c>
      <c r="R254" s="238" t="str">
        <f t="shared" si="7"/>
        <v/>
      </c>
      <c r="S254" s="237" t="str">
        <f>IF(ISBLANK(H254),,IFNA(VLOOKUP(H254, Circuits!A:V, 22, FALSE),))</f>
        <v/>
      </c>
      <c r="T254" s="237" t="str">
        <f>IF(ISBLANK(H254),,IFNA(VLOOKUP(H254, Circuits!A:X, 24, FALSE),))</f>
        <v/>
      </c>
      <c r="V254" s="236" t="str">
        <f>IFERROR(__xludf.DUMMYFUNCTION("IF(ISBLANK(H254),,JOIN("","",H254:T254))"),"")</f>
        <v/>
      </c>
      <c r="W254" s="229" t="str">
        <f t="shared" si="1"/>
        <v/>
      </c>
    </row>
    <row r="255">
      <c r="H255" s="237"/>
      <c r="I255" s="237" t="str">
        <f>IFERROR(__xludf.DUMMYFUNCTION("IF(ISBLANK(H255),,IFNA(""""""""&amp;JOIN("","",INDEX(FILTER(A:D,A:A=H255),0,4))&amp;"""""""",))"),"")</f>
        <v/>
      </c>
      <c r="J255" s="237" t="str">
        <f>IF(ISBLANK(H255),,IFNA(VLOOKUP(H255, Circuits!A:W, 23, FALSE),))</f>
        <v/>
      </c>
      <c r="K255" s="238" t="str">
        <f t="shared" si="2"/>
        <v/>
      </c>
      <c r="L255" s="238" t="str">
        <f t="shared" si="3"/>
        <v/>
      </c>
      <c r="M255" s="238" t="str">
        <f t="shared" si="4"/>
        <v/>
      </c>
      <c r="N255" s="238" t="str">
        <f t="shared" si="5"/>
        <v/>
      </c>
      <c r="O255" s="238" t="str">
        <f t="shared" si="6"/>
        <v/>
      </c>
      <c r="P255" s="237" t="str">
        <f>IFERROR(__xludf.DUMMYFUNCTION("IF(ISBLANK(H255),,IF(IFNA(MATCH(H255,SPLIT(Circuits!$S$2,"";""&amp;CHAR(10)),0),0),FALSE,TRUE))"),"")</f>
        <v/>
      </c>
      <c r="Q255" s="237" t="str">
        <f>IF(ISBLANK(H255),,IFNA(VLOOKUP(H255, Circuits!A:U, 21, FALSE),))</f>
        <v/>
      </c>
      <c r="R255" s="238" t="str">
        <f t="shared" si="7"/>
        <v/>
      </c>
      <c r="S255" s="237" t="str">
        <f>IF(ISBLANK(H255),,IFNA(VLOOKUP(H255, Circuits!A:V, 22, FALSE),))</f>
        <v/>
      </c>
      <c r="T255" s="237" t="str">
        <f>IF(ISBLANK(H255),,IFNA(VLOOKUP(H255, Circuits!A:X, 24, FALSE),))</f>
        <v/>
      </c>
      <c r="V255" s="236" t="str">
        <f>IFERROR(__xludf.DUMMYFUNCTION("IF(ISBLANK(H255),,JOIN("","",H255:T255))"),"")</f>
        <v/>
      </c>
      <c r="W255" s="229" t="str">
        <f t="shared" si="1"/>
        <v/>
      </c>
    </row>
    <row r="256">
      <c r="H256" s="237"/>
      <c r="I256" s="237" t="str">
        <f>IFERROR(__xludf.DUMMYFUNCTION("IF(ISBLANK(H256),,IFNA(""""""""&amp;JOIN("","",INDEX(FILTER(A:D,A:A=H256),0,4))&amp;"""""""",))"),"")</f>
        <v/>
      </c>
      <c r="J256" s="237" t="str">
        <f>IF(ISBLANK(H256),,IFNA(VLOOKUP(H256, Circuits!A:W, 23, FALSE),))</f>
        <v/>
      </c>
      <c r="K256" s="238" t="str">
        <f t="shared" si="2"/>
        <v/>
      </c>
      <c r="L256" s="238" t="str">
        <f t="shared" si="3"/>
        <v/>
      </c>
      <c r="M256" s="238" t="str">
        <f t="shared" si="4"/>
        <v/>
      </c>
      <c r="N256" s="238" t="str">
        <f t="shared" si="5"/>
        <v/>
      </c>
      <c r="O256" s="238" t="str">
        <f t="shared" si="6"/>
        <v/>
      </c>
      <c r="P256" s="237" t="str">
        <f>IFERROR(__xludf.DUMMYFUNCTION("IF(ISBLANK(H256),,IF(IFNA(MATCH(H256,SPLIT(Circuits!$S$2,"";""&amp;CHAR(10)),0),0),FALSE,TRUE))"),"")</f>
        <v/>
      </c>
      <c r="Q256" s="237" t="str">
        <f>IF(ISBLANK(H256),,IFNA(VLOOKUP(H256, Circuits!A:U, 21, FALSE),))</f>
        <v/>
      </c>
      <c r="R256" s="238" t="str">
        <f t="shared" si="7"/>
        <v/>
      </c>
      <c r="S256" s="237" t="str">
        <f>IF(ISBLANK(H256),,IFNA(VLOOKUP(H256, Circuits!A:V, 22, FALSE),))</f>
        <v/>
      </c>
      <c r="T256" s="237" t="str">
        <f>IF(ISBLANK(H256),,IFNA(VLOOKUP(H256, Circuits!A:X, 24, FALSE),))</f>
        <v/>
      </c>
      <c r="V256" s="236" t="str">
        <f>IFERROR(__xludf.DUMMYFUNCTION("IF(ISBLANK(H256),,JOIN("","",H256:T256))"),"")</f>
        <v/>
      </c>
      <c r="W256" s="229" t="str">
        <f t="shared" si="1"/>
        <v/>
      </c>
    </row>
    <row r="257">
      <c r="H257" s="237"/>
      <c r="I257" s="237" t="str">
        <f>IFERROR(__xludf.DUMMYFUNCTION("IF(ISBLANK(H257),,IFNA(""""""""&amp;JOIN("","",INDEX(FILTER(A:D,A:A=H257),0,4))&amp;"""""""",))"),"")</f>
        <v/>
      </c>
      <c r="J257" s="237" t="str">
        <f>IF(ISBLANK(H257),,IFNA(VLOOKUP(H257, Circuits!A:W, 23, FALSE),))</f>
        <v/>
      </c>
      <c r="K257" s="238" t="str">
        <f t="shared" si="2"/>
        <v/>
      </c>
      <c r="L257" s="238" t="str">
        <f t="shared" si="3"/>
        <v/>
      </c>
      <c r="M257" s="238" t="str">
        <f t="shared" si="4"/>
        <v/>
      </c>
      <c r="N257" s="238" t="str">
        <f t="shared" si="5"/>
        <v/>
      </c>
      <c r="O257" s="238" t="str">
        <f t="shared" si="6"/>
        <v/>
      </c>
      <c r="P257" s="237" t="str">
        <f>IFERROR(__xludf.DUMMYFUNCTION("IF(ISBLANK(H257),,IF(IFNA(MATCH(H257,SPLIT(Circuits!$S$2,"";""&amp;CHAR(10)),0),0),FALSE,TRUE))"),"")</f>
        <v/>
      </c>
      <c r="Q257" s="237" t="str">
        <f>IF(ISBLANK(H257),,IFNA(VLOOKUP(H257, Circuits!A:U, 21, FALSE),))</f>
        <v/>
      </c>
      <c r="R257" s="238" t="str">
        <f t="shared" si="7"/>
        <v/>
      </c>
      <c r="S257" s="237" t="str">
        <f>IF(ISBLANK(H257),,IFNA(VLOOKUP(H257, Circuits!A:V, 22, FALSE),))</f>
        <v/>
      </c>
      <c r="T257" s="237" t="str">
        <f>IF(ISBLANK(H257),,IFNA(VLOOKUP(H257, Circuits!A:X, 24, FALSE),))</f>
        <v/>
      </c>
      <c r="V257" s="236" t="str">
        <f>IFERROR(__xludf.DUMMYFUNCTION("IF(ISBLANK(H257),,JOIN("","",H257:T257))"),"")</f>
        <v/>
      </c>
      <c r="W257" s="229" t="str">
        <f t="shared" si="1"/>
        <v/>
      </c>
    </row>
    <row r="258">
      <c r="H258" s="237"/>
      <c r="I258" s="237" t="str">
        <f>IFERROR(__xludf.DUMMYFUNCTION("IF(ISBLANK(H258),,IFNA(""""""""&amp;JOIN("","",INDEX(FILTER(A:D,A:A=H258),0,4))&amp;"""""""",))"),"")</f>
        <v/>
      </c>
      <c r="J258" s="237" t="str">
        <f>IF(ISBLANK(H258),,IFNA(VLOOKUP(H258, Circuits!A:W, 23, FALSE),))</f>
        <v/>
      </c>
      <c r="K258" s="238" t="str">
        <f t="shared" si="2"/>
        <v/>
      </c>
      <c r="L258" s="238" t="str">
        <f t="shared" si="3"/>
        <v/>
      </c>
      <c r="M258" s="238" t="str">
        <f t="shared" si="4"/>
        <v/>
      </c>
      <c r="N258" s="238" t="str">
        <f t="shared" si="5"/>
        <v/>
      </c>
      <c r="O258" s="238" t="str">
        <f t="shared" si="6"/>
        <v/>
      </c>
      <c r="P258" s="237" t="str">
        <f>IFERROR(__xludf.DUMMYFUNCTION("IF(ISBLANK(H258),,IF(IFNA(MATCH(H258,SPLIT(Circuits!$S$2,"";""&amp;CHAR(10)),0),0),FALSE,TRUE))"),"")</f>
        <v/>
      </c>
      <c r="Q258" s="237" t="str">
        <f>IF(ISBLANK(H258),,IFNA(VLOOKUP(H258, Circuits!A:U, 21, FALSE),))</f>
        <v/>
      </c>
      <c r="R258" s="238" t="str">
        <f t="shared" si="7"/>
        <v/>
      </c>
      <c r="S258" s="237" t="str">
        <f>IF(ISBLANK(H258),,IFNA(VLOOKUP(H258, Circuits!A:V, 22, FALSE),))</f>
        <v/>
      </c>
      <c r="T258" s="237" t="str">
        <f>IF(ISBLANK(H258),,IFNA(VLOOKUP(H258, Circuits!A:X, 24, FALSE),))</f>
        <v/>
      </c>
      <c r="V258" s="236" t="str">
        <f>IFERROR(__xludf.DUMMYFUNCTION("IF(ISBLANK(H258),,JOIN("","",H258:T258))"),"")</f>
        <v/>
      </c>
      <c r="W258" s="229" t="str">
        <f t="shared" si="1"/>
        <v/>
      </c>
    </row>
    <row r="259">
      <c r="H259" s="237"/>
      <c r="I259" s="237" t="str">
        <f>IFERROR(__xludf.DUMMYFUNCTION("IF(ISBLANK(H259),,IFNA(""""""""&amp;JOIN("","",INDEX(FILTER(A:D,A:A=H259),0,4))&amp;"""""""",))"),"")</f>
        <v/>
      </c>
      <c r="J259" s="237" t="str">
        <f>IF(ISBLANK(H259),,IFNA(VLOOKUP(H259, Circuits!A:W, 23, FALSE),))</f>
        <v/>
      </c>
      <c r="K259" s="238" t="str">
        <f t="shared" si="2"/>
        <v/>
      </c>
      <c r="L259" s="238" t="str">
        <f t="shared" si="3"/>
        <v/>
      </c>
      <c r="M259" s="238" t="str">
        <f t="shared" si="4"/>
        <v/>
      </c>
      <c r="N259" s="238" t="str">
        <f t="shared" si="5"/>
        <v/>
      </c>
      <c r="O259" s="238" t="str">
        <f t="shared" si="6"/>
        <v/>
      </c>
      <c r="P259" s="237" t="str">
        <f>IFERROR(__xludf.DUMMYFUNCTION("IF(ISBLANK(H259),,IF(IFNA(MATCH(H259,SPLIT(Circuits!$S$2,"";""&amp;CHAR(10)),0),0),FALSE,TRUE))"),"")</f>
        <v/>
      </c>
      <c r="Q259" s="237" t="str">
        <f>IF(ISBLANK(H259),,IFNA(VLOOKUP(H259, Circuits!A:U, 21, FALSE),))</f>
        <v/>
      </c>
      <c r="R259" s="238" t="str">
        <f t="shared" si="7"/>
        <v/>
      </c>
      <c r="S259" s="237" t="str">
        <f>IF(ISBLANK(H259),,IFNA(VLOOKUP(H259, Circuits!A:V, 22, FALSE),))</f>
        <v/>
      </c>
      <c r="T259" s="237" t="str">
        <f>IF(ISBLANK(H259),,IFNA(VLOOKUP(H259, Circuits!A:X, 24, FALSE),))</f>
        <v/>
      </c>
      <c r="V259" s="236" t="str">
        <f>IFERROR(__xludf.DUMMYFUNCTION("IF(ISBLANK(H259),,JOIN("","",H259:T259))"),"")</f>
        <v/>
      </c>
      <c r="W259" s="229" t="str">
        <f t="shared" si="1"/>
        <v/>
      </c>
    </row>
    <row r="260">
      <c r="H260" s="237"/>
      <c r="I260" s="237" t="str">
        <f>IFERROR(__xludf.DUMMYFUNCTION("IF(ISBLANK(H260),,IFNA(""""""""&amp;JOIN("","",INDEX(FILTER(A:D,A:A=H260),0,4))&amp;"""""""",))"),"")</f>
        <v/>
      </c>
      <c r="J260" s="237" t="str">
        <f>IF(ISBLANK(H260),,IFNA(VLOOKUP(H260, Circuits!A:W, 23, FALSE),))</f>
        <v/>
      </c>
      <c r="K260" s="238" t="str">
        <f t="shared" si="2"/>
        <v/>
      </c>
      <c r="L260" s="238" t="str">
        <f t="shared" si="3"/>
        <v/>
      </c>
      <c r="M260" s="238" t="str">
        <f t="shared" si="4"/>
        <v/>
      </c>
      <c r="N260" s="238" t="str">
        <f t="shared" si="5"/>
        <v/>
      </c>
      <c r="O260" s="238" t="str">
        <f t="shared" si="6"/>
        <v/>
      </c>
      <c r="P260" s="237" t="str">
        <f>IFERROR(__xludf.DUMMYFUNCTION("IF(ISBLANK(H260),,IF(IFNA(MATCH(H260,SPLIT(Circuits!$S$2,"";""&amp;CHAR(10)),0),0),FALSE,TRUE))"),"")</f>
        <v/>
      </c>
      <c r="Q260" s="237" t="str">
        <f>IF(ISBLANK(H260),,IFNA(VLOOKUP(H260, Circuits!A:U, 21, FALSE),))</f>
        <v/>
      </c>
      <c r="R260" s="238" t="str">
        <f t="shared" si="7"/>
        <v/>
      </c>
      <c r="S260" s="237" t="str">
        <f>IF(ISBLANK(H260),,IFNA(VLOOKUP(H260, Circuits!A:V, 22, FALSE),))</f>
        <v/>
      </c>
      <c r="T260" s="237" t="str">
        <f>IF(ISBLANK(H260),,IFNA(VLOOKUP(H260, Circuits!A:X, 24, FALSE),))</f>
        <v/>
      </c>
      <c r="V260" s="236" t="str">
        <f>IFERROR(__xludf.DUMMYFUNCTION("IF(ISBLANK(H260),,JOIN("","",H260:T260))"),"")</f>
        <v/>
      </c>
      <c r="W260" s="229" t="str">
        <f t="shared" si="1"/>
        <v/>
      </c>
    </row>
    <row r="261">
      <c r="H261" s="237"/>
      <c r="I261" s="237" t="str">
        <f>IFERROR(__xludf.DUMMYFUNCTION("IF(ISBLANK(H261),,IFNA(""""""""&amp;JOIN("","",INDEX(FILTER(A:D,A:A=H261),0,4))&amp;"""""""",))"),"")</f>
        <v/>
      </c>
      <c r="J261" s="237" t="str">
        <f>IF(ISBLANK(H261),,IFNA(VLOOKUP(H261, Circuits!A:W, 23, FALSE),))</f>
        <v/>
      </c>
      <c r="K261" s="238" t="str">
        <f t="shared" si="2"/>
        <v/>
      </c>
      <c r="L261" s="238" t="str">
        <f t="shared" si="3"/>
        <v/>
      </c>
      <c r="M261" s="238" t="str">
        <f t="shared" si="4"/>
        <v/>
      </c>
      <c r="N261" s="238" t="str">
        <f t="shared" si="5"/>
        <v/>
      </c>
      <c r="O261" s="238" t="str">
        <f t="shared" si="6"/>
        <v/>
      </c>
      <c r="P261" s="237" t="str">
        <f>IFERROR(__xludf.DUMMYFUNCTION("IF(ISBLANK(H261),,IF(IFNA(MATCH(H261,SPLIT(Circuits!$S$2,"";""&amp;CHAR(10)),0),0),FALSE,TRUE))"),"")</f>
        <v/>
      </c>
      <c r="Q261" s="237" t="str">
        <f>IF(ISBLANK(H261),,IFNA(VLOOKUP(H261, Circuits!A:U, 21, FALSE),))</f>
        <v/>
      </c>
      <c r="R261" s="238" t="str">
        <f t="shared" si="7"/>
        <v/>
      </c>
      <c r="S261" s="237" t="str">
        <f>IF(ISBLANK(H261),,IFNA(VLOOKUP(H261, Circuits!A:V, 22, FALSE),))</f>
        <v/>
      </c>
      <c r="T261" s="237" t="str">
        <f>IF(ISBLANK(H261),,IFNA(VLOOKUP(H261, Circuits!A:X, 24, FALSE),))</f>
        <v/>
      </c>
      <c r="V261" s="236" t="str">
        <f>IFERROR(__xludf.DUMMYFUNCTION("IF(ISBLANK(H261),,JOIN("","",H261:T261))"),"")</f>
        <v/>
      </c>
      <c r="W261" s="229" t="str">
        <f t="shared" si="1"/>
        <v/>
      </c>
    </row>
    <row r="262">
      <c r="H262" s="237"/>
      <c r="I262" s="237" t="str">
        <f>IFERROR(__xludf.DUMMYFUNCTION("IF(ISBLANK(H262),,IFNA(""""""""&amp;JOIN("","",INDEX(FILTER(A:D,A:A=H262),0,4))&amp;"""""""",))"),"")</f>
        <v/>
      </c>
      <c r="J262" s="237" t="str">
        <f>IF(ISBLANK(H262),,IFNA(VLOOKUP(H262, Circuits!A:W, 23, FALSE),))</f>
        <v/>
      </c>
      <c r="K262" s="238" t="str">
        <f t="shared" si="2"/>
        <v/>
      </c>
      <c r="L262" s="238" t="str">
        <f t="shared" si="3"/>
        <v/>
      </c>
      <c r="M262" s="238" t="str">
        <f t="shared" si="4"/>
        <v/>
      </c>
      <c r="N262" s="238" t="str">
        <f t="shared" si="5"/>
        <v/>
      </c>
      <c r="O262" s="238" t="str">
        <f t="shared" si="6"/>
        <v/>
      </c>
      <c r="P262" s="237" t="str">
        <f>IFERROR(__xludf.DUMMYFUNCTION("IF(ISBLANK(H262),,IF(IFNA(MATCH(H262,SPLIT(Circuits!$S$2,"";""&amp;CHAR(10)),0),0),FALSE,TRUE))"),"")</f>
        <v/>
      </c>
      <c r="Q262" s="237" t="str">
        <f>IF(ISBLANK(H262),,IFNA(VLOOKUP(H262, Circuits!A:U, 21, FALSE),))</f>
        <v/>
      </c>
      <c r="R262" s="238" t="str">
        <f t="shared" si="7"/>
        <v/>
      </c>
      <c r="S262" s="237" t="str">
        <f>IF(ISBLANK(H262),,IFNA(VLOOKUP(H262, Circuits!A:V, 22, FALSE),))</f>
        <v/>
      </c>
      <c r="T262" s="237" t="str">
        <f>IF(ISBLANK(H262),,IFNA(VLOOKUP(H262, Circuits!A:X, 24, FALSE),))</f>
        <v/>
      </c>
      <c r="V262" s="236" t="str">
        <f>IFERROR(__xludf.DUMMYFUNCTION("IF(ISBLANK(H262),,JOIN("","",H262:T262))"),"")</f>
        <v/>
      </c>
      <c r="W262" s="229" t="str">
        <f t="shared" si="1"/>
        <v/>
      </c>
    </row>
    <row r="263">
      <c r="H263" s="237"/>
      <c r="I263" s="237" t="str">
        <f>IFERROR(__xludf.DUMMYFUNCTION("IF(ISBLANK(H263),,IFNA(""""""""&amp;JOIN("","",INDEX(FILTER(A:D,A:A=H263),0,4))&amp;"""""""",))"),"")</f>
        <v/>
      </c>
      <c r="J263" s="237" t="str">
        <f>IF(ISBLANK(H263),,IFNA(VLOOKUP(H263, Circuits!A:W, 23, FALSE),))</f>
        <v/>
      </c>
      <c r="K263" s="238" t="str">
        <f t="shared" si="2"/>
        <v/>
      </c>
      <c r="L263" s="238" t="str">
        <f t="shared" si="3"/>
        <v/>
      </c>
      <c r="M263" s="238" t="str">
        <f t="shared" si="4"/>
        <v/>
      </c>
      <c r="N263" s="238" t="str">
        <f t="shared" si="5"/>
        <v/>
      </c>
      <c r="O263" s="238" t="str">
        <f t="shared" si="6"/>
        <v/>
      </c>
      <c r="P263" s="237" t="str">
        <f>IFERROR(__xludf.DUMMYFUNCTION("IF(ISBLANK(H263),,IF(IFNA(MATCH(H263,SPLIT(Circuits!$S$2,"";""&amp;CHAR(10)),0),0),FALSE,TRUE))"),"")</f>
        <v/>
      </c>
      <c r="Q263" s="237" t="str">
        <f>IF(ISBLANK(H263),,IFNA(VLOOKUP(H263, Circuits!A:U, 21, FALSE),))</f>
        <v/>
      </c>
      <c r="R263" s="238" t="str">
        <f t="shared" si="7"/>
        <v/>
      </c>
      <c r="S263" s="237" t="str">
        <f>IF(ISBLANK(H263),,IFNA(VLOOKUP(H263, Circuits!A:V, 22, FALSE),))</f>
        <v/>
      </c>
      <c r="T263" s="237" t="str">
        <f>IF(ISBLANK(H263),,IFNA(VLOOKUP(H263, Circuits!A:X, 24, FALSE),))</f>
        <v/>
      </c>
      <c r="V263" s="236" t="str">
        <f>IFERROR(__xludf.DUMMYFUNCTION("IF(ISBLANK(H263),,JOIN("","",H263:T263))"),"")</f>
        <v/>
      </c>
      <c r="W263" s="229" t="str">
        <f t="shared" si="1"/>
        <v/>
      </c>
    </row>
    <row r="264">
      <c r="H264" s="237"/>
      <c r="I264" s="237" t="str">
        <f>IFERROR(__xludf.DUMMYFUNCTION("IF(ISBLANK(H264),,IFNA(""""""""&amp;JOIN("","",INDEX(FILTER(A:D,A:A=H264),0,4))&amp;"""""""",))"),"")</f>
        <v/>
      </c>
      <c r="J264" s="237" t="str">
        <f>IF(ISBLANK(H264),,IFNA(VLOOKUP(H264, Circuits!A:W, 23, FALSE),))</f>
        <v/>
      </c>
      <c r="K264" s="238" t="str">
        <f t="shared" si="2"/>
        <v/>
      </c>
      <c r="L264" s="238" t="str">
        <f t="shared" si="3"/>
        <v/>
      </c>
      <c r="M264" s="238" t="str">
        <f t="shared" si="4"/>
        <v/>
      </c>
      <c r="N264" s="238" t="str">
        <f t="shared" si="5"/>
        <v/>
      </c>
      <c r="O264" s="238" t="str">
        <f t="shared" si="6"/>
        <v/>
      </c>
      <c r="P264" s="237" t="str">
        <f>IFERROR(__xludf.DUMMYFUNCTION("IF(ISBLANK(H264),,IF(IFNA(MATCH(H264,SPLIT(Circuits!$S$2,"";""&amp;CHAR(10)),0),0),FALSE,TRUE))"),"")</f>
        <v/>
      </c>
      <c r="Q264" s="237" t="str">
        <f>IF(ISBLANK(H264),,IFNA(VLOOKUP(H264, Circuits!A:U, 21, FALSE),))</f>
        <v/>
      </c>
      <c r="R264" s="238" t="str">
        <f t="shared" si="7"/>
        <v/>
      </c>
      <c r="S264" s="237" t="str">
        <f>IF(ISBLANK(H264),,IFNA(VLOOKUP(H264, Circuits!A:V, 22, FALSE),))</f>
        <v/>
      </c>
      <c r="T264" s="237" t="str">
        <f>IF(ISBLANK(H264),,IFNA(VLOOKUP(H264, Circuits!A:X, 24, FALSE),))</f>
        <v/>
      </c>
      <c r="V264" s="236" t="str">
        <f>IFERROR(__xludf.DUMMYFUNCTION("IF(ISBLANK(H264),,JOIN("","",H264:T264))"),"")</f>
        <v/>
      </c>
      <c r="W264" s="229" t="str">
        <f t="shared" si="1"/>
        <v/>
      </c>
    </row>
    <row r="265">
      <c r="H265" s="237"/>
      <c r="I265" s="237" t="str">
        <f>IFERROR(__xludf.DUMMYFUNCTION("IF(ISBLANK(H265),,IFNA(""""""""&amp;JOIN("","",INDEX(FILTER(A:D,A:A=H265),0,4))&amp;"""""""",))"),"")</f>
        <v/>
      </c>
      <c r="J265" s="237" t="str">
        <f>IF(ISBLANK(H265),,IFNA(VLOOKUP(H265, Circuits!A:W, 23, FALSE),))</f>
        <v/>
      </c>
      <c r="K265" s="238" t="str">
        <f t="shared" si="2"/>
        <v/>
      </c>
      <c r="L265" s="238" t="str">
        <f t="shared" si="3"/>
        <v/>
      </c>
      <c r="M265" s="238" t="str">
        <f t="shared" si="4"/>
        <v/>
      </c>
      <c r="N265" s="238" t="str">
        <f t="shared" si="5"/>
        <v/>
      </c>
      <c r="O265" s="238" t="str">
        <f t="shared" si="6"/>
        <v/>
      </c>
      <c r="P265" s="237" t="str">
        <f>IFERROR(__xludf.DUMMYFUNCTION("IF(ISBLANK(H265),,IF(IFNA(MATCH(H265,SPLIT(Circuits!$S$2,"";""&amp;CHAR(10)),0),0),FALSE,TRUE))"),"")</f>
        <v/>
      </c>
      <c r="Q265" s="237" t="str">
        <f>IF(ISBLANK(H265),,IFNA(VLOOKUP(H265, Circuits!A:U, 21, FALSE),))</f>
        <v/>
      </c>
      <c r="R265" s="238" t="str">
        <f t="shared" si="7"/>
        <v/>
      </c>
      <c r="S265" s="237" t="str">
        <f>IF(ISBLANK(H265),,IFNA(VLOOKUP(H265, Circuits!A:V, 22, FALSE),))</f>
        <v/>
      </c>
      <c r="T265" s="237" t="str">
        <f>IF(ISBLANK(H265),,IFNA(VLOOKUP(H265, Circuits!A:X, 24, FALSE),))</f>
        <v/>
      </c>
      <c r="V265" s="236" t="str">
        <f>IFERROR(__xludf.DUMMYFUNCTION("IF(ISBLANK(H265),,JOIN("","",H265:T265))"),"")</f>
        <v/>
      </c>
      <c r="W265" s="229" t="str">
        <f t="shared" si="1"/>
        <v/>
      </c>
    </row>
    <row r="266">
      <c r="H266" s="237"/>
      <c r="I266" s="237" t="str">
        <f>IFERROR(__xludf.DUMMYFUNCTION("IF(ISBLANK(H266),,IFNA(""""""""&amp;JOIN("","",INDEX(FILTER(A:D,A:A=H266),0,4))&amp;"""""""",))"),"")</f>
        <v/>
      </c>
      <c r="J266" s="237" t="str">
        <f>IF(ISBLANK(H266),,IFNA(VLOOKUP(H266, Circuits!A:W, 23, FALSE),))</f>
        <v/>
      </c>
      <c r="K266" s="238" t="str">
        <f t="shared" si="2"/>
        <v/>
      </c>
      <c r="L266" s="238" t="str">
        <f t="shared" si="3"/>
        <v/>
      </c>
      <c r="M266" s="238" t="str">
        <f t="shared" si="4"/>
        <v/>
      </c>
      <c r="N266" s="238" t="str">
        <f t="shared" si="5"/>
        <v/>
      </c>
      <c r="O266" s="238" t="str">
        <f t="shared" si="6"/>
        <v/>
      </c>
      <c r="P266" s="237" t="str">
        <f>IFERROR(__xludf.DUMMYFUNCTION("IF(ISBLANK(H266),,IF(IFNA(MATCH(H266,SPLIT(Circuits!$S$2,"";""&amp;CHAR(10)),0),0),FALSE,TRUE))"),"")</f>
        <v/>
      </c>
      <c r="Q266" s="237" t="str">
        <f>IF(ISBLANK(H266),,IFNA(VLOOKUP(H266, Circuits!A:U, 21, FALSE),))</f>
        <v/>
      </c>
      <c r="R266" s="238" t="str">
        <f t="shared" si="7"/>
        <v/>
      </c>
      <c r="S266" s="237" t="str">
        <f>IF(ISBLANK(H266),,IFNA(VLOOKUP(H266, Circuits!A:V, 22, FALSE),))</f>
        <v/>
      </c>
      <c r="T266" s="237" t="str">
        <f>IF(ISBLANK(H266),,IFNA(VLOOKUP(H266, Circuits!A:X, 24, FALSE),))</f>
        <v/>
      </c>
      <c r="V266" s="236" t="str">
        <f>IFERROR(__xludf.DUMMYFUNCTION("IF(ISBLANK(H266),,JOIN("","",H266:T266))"),"")</f>
        <v/>
      </c>
      <c r="W266" s="229" t="str">
        <f t="shared" si="1"/>
        <v/>
      </c>
    </row>
    <row r="267">
      <c r="H267" s="237"/>
      <c r="I267" s="237" t="str">
        <f>IFERROR(__xludf.DUMMYFUNCTION("IF(ISBLANK(H267),,IFNA(""""""""&amp;JOIN("","",INDEX(FILTER(A:D,A:A=H267),0,4))&amp;"""""""",))"),"")</f>
        <v/>
      </c>
      <c r="J267" s="237" t="str">
        <f>IF(ISBLANK(H267),,IFNA(VLOOKUP(H267, Circuits!A:W, 23, FALSE),))</f>
        <v/>
      </c>
      <c r="K267" s="238" t="str">
        <f t="shared" si="2"/>
        <v/>
      </c>
      <c r="L267" s="238" t="str">
        <f t="shared" si="3"/>
        <v/>
      </c>
      <c r="M267" s="238" t="str">
        <f t="shared" si="4"/>
        <v/>
      </c>
      <c r="N267" s="238" t="str">
        <f t="shared" si="5"/>
        <v/>
      </c>
      <c r="O267" s="238" t="str">
        <f t="shared" si="6"/>
        <v/>
      </c>
      <c r="P267" s="237" t="str">
        <f>IFERROR(__xludf.DUMMYFUNCTION("IF(ISBLANK(H267),,IF(IFNA(MATCH(H267,SPLIT(Circuits!$S$2,"";""&amp;CHAR(10)),0),0),FALSE,TRUE))"),"")</f>
        <v/>
      </c>
      <c r="Q267" s="237" t="str">
        <f>IF(ISBLANK(H267),,IFNA(VLOOKUP(H267, Circuits!A:U, 21, FALSE),))</f>
        <v/>
      </c>
      <c r="R267" s="238" t="str">
        <f t="shared" si="7"/>
        <v/>
      </c>
      <c r="S267" s="237" t="str">
        <f>IF(ISBLANK(H267),,IFNA(VLOOKUP(H267, Circuits!A:V, 22, FALSE),))</f>
        <v/>
      </c>
      <c r="T267" s="237" t="str">
        <f>IF(ISBLANK(H267),,IFNA(VLOOKUP(H267, Circuits!A:X, 24, FALSE),))</f>
        <v/>
      </c>
      <c r="V267" s="236" t="str">
        <f>IFERROR(__xludf.DUMMYFUNCTION("IF(ISBLANK(H267),,JOIN("","",H267:T267))"),"")</f>
        <v/>
      </c>
      <c r="W267" s="229" t="str">
        <f t="shared" si="1"/>
        <v/>
      </c>
    </row>
    <row r="268">
      <c r="H268" s="237"/>
      <c r="I268" s="237" t="str">
        <f>IFERROR(__xludf.DUMMYFUNCTION("IF(ISBLANK(H268),,IFNA(""""""""&amp;JOIN("","",INDEX(FILTER(A:D,A:A=H268),0,4))&amp;"""""""",))"),"")</f>
        <v/>
      </c>
      <c r="J268" s="237" t="str">
        <f>IF(ISBLANK(H268),,IFNA(VLOOKUP(H268, Circuits!A:W, 23, FALSE),))</f>
        <v/>
      </c>
      <c r="K268" s="238" t="str">
        <f t="shared" si="2"/>
        <v/>
      </c>
      <c r="L268" s="238" t="str">
        <f t="shared" si="3"/>
        <v/>
      </c>
      <c r="M268" s="238" t="str">
        <f t="shared" si="4"/>
        <v/>
      </c>
      <c r="N268" s="238" t="str">
        <f t="shared" si="5"/>
        <v/>
      </c>
      <c r="O268" s="238" t="str">
        <f t="shared" si="6"/>
        <v/>
      </c>
      <c r="P268" s="237" t="str">
        <f>IFERROR(__xludf.DUMMYFUNCTION("IF(ISBLANK(H268),,IF(IFNA(MATCH(H268,SPLIT(Circuits!$S$2,"";""&amp;CHAR(10)),0),0),FALSE,TRUE))"),"")</f>
        <v/>
      </c>
      <c r="Q268" s="237" t="str">
        <f>IF(ISBLANK(H268),,IFNA(VLOOKUP(H268, Circuits!A:U, 21, FALSE),))</f>
        <v/>
      </c>
      <c r="R268" s="238" t="str">
        <f t="shared" si="7"/>
        <v/>
      </c>
      <c r="S268" s="237" t="str">
        <f>IF(ISBLANK(H268),,IFNA(VLOOKUP(H268, Circuits!A:V, 22, FALSE),))</f>
        <v/>
      </c>
      <c r="T268" s="237" t="str">
        <f>IF(ISBLANK(H268),,IFNA(VLOOKUP(H268, Circuits!A:X, 24, FALSE),))</f>
        <v/>
      </c>
      <c r="V268" s="236" t="str">
        <f>IFERROR(__xludf.DUMMYFUNCTION("IF(ISBLANK(H268),,JOIN("","",H268:T268))"),"")</f>
        <v/>
      </c>
      <c r="W268" s="229" t="str">
        <f t="shared" si="1"/>
        <v/>
      </c>
    </row>
    <row r="269">
      <c r="H269" s="237"/>
      <c r="I269" s="237" t="str">
        <f>IFERROR(__xludf.DUMMYFUNCTION("IF(ISBLANK(H269),,IFNA(""""""""&amp;JOIN("","",INDEX(FILTER(A:D,A:A=H269),0,4))&amp;"""""""",))"),"")</f>
        <v/>
      </c>
      <c r="J269" s="237" t="str">
        <f>IF(ISBLANK(H269),,IFNA(VLOOKUP(H269, Circuits!A:W, 23, FALSE),))</f>
        <v/>
      </c>
      <c r="K269" s="238" t="str">
        <f t="shared" si="2"/>
        <v/>
      </c>
      <c r="L269" s="238" t="str">
        <f t="shared" si="3"/>
        <v/>
      </c>
      <c r="M269" s="238" t="str">
        <f t="shared" si="4"/>
        <v/>
      </c>
      <c r="N269" s="238" t="str">
        <f t="shared" si="5"/>
        <v/>
      </c>
      <c r="O269" s="238" t="str">
        <f t="shared" si="6"/>
        <v/>
      </c>
      <c r="P269" s="237" t="str">
        <f>IFERROR(__xludf.DUMMYFUNCTION("IF(ISBLANK(H269),,IF(IFNA(MATCH(H269,SPLIT(Circuits!$S$2,"";""&amp;CHAR(10)),0),0),FALSE,TRUE))"),"")</f>
        <v/>
      </c>
      <c r="Q269" s="237" t="str">
        <f>IF(ISBLANK(H269),,IFNA(VLOOKUP(H269, Circuits!A:U, 21, FALSE),))</f>
        <v/>
      </c>
      <c r="R269" s="238" t="str">
        <f t="shared" si="7"/>
        <v/>
      </c>
      <c r="S269" s="237" t="str">
        <f>IF(ISBLANK(H269),,IFNA(VLOOKUP(H269, Circuits!A:V, 22, FALSE),))</f>
        <v/>
      </c>
      <c r="T269" s="237" t="str">
        <f>IF(ISBLANK(H269),,IFNA(VLOOKUP(H269, Circuits!A:X, 24, FALSE),))</f>
        <v/>
      </c>
      <c r="V269" s="236" t="str">
        <f>IFERROR(__xludf.DUMMYFUNCTION("IF(ISBLANK(H269),,JOIN("","",H269:T269))"),"")</f>
        <v/>
      </c>
      <c r="W269" s="229" t="str">
        <f t="shared" si="1"/>
        <v/>
      </c>
    </row>
    <row r="270">
      <c r="H270" s="237"/>
      <c r="I270" s="237" t="str">
        <f>IFERROR(__xludf.DUMMYFUNCTION("IF(ISBLANK(H270),,IFNA(""""""""&amp;JOIN("","",INDEX(FILTER(A:D,A:A=H270),0,4))&amp;"""""""",))"),"")</f>
        <v/>
      </c>
      <c r="J270" s="237" t="str">
        <f>IF(ISBLANK(H270),,IFNA(VLOOKUP(H270, Circuits!A:W, 23, FALSE),))</f>
        <v/>
      </c>
      <c r="K270" s="238" t="str">
        <f t="shared" si="2"/>
        <v/>
      </c>
      <c r="L270" s="238" t="str">
        <f t="shared" si="3"/>
        <v/>
      </c>
      <c r="M270" s="238" t="str">
        <f t="shared" si="4"/>
        <v/>
      </c>
      <c r="N270" s="238" t="str">
        <f t="shared" si="5"/>
        <v/>
      </c>
      <c r="O270" s="238" t="str">
        <f t="shared" si="6"/>
        <v/>
      </c>
      <c r="P270" s="237" t="str">
        <f>IFERROR(__xludf.DUMMYFUNCTION("IF(ISBLANK(H270),,IF(IFNA(MATCH(H270,SPLIT(Circuits!$S$2,"";""&amp;CHAR(10)),0),0),FALSE,TRUE))"),"")</f>
        <v/>
      </c>
      <c r="Q270" s="237" t="str">
        <f>IF(ISBLANK(H270),,IFNA(VLOOKUP(H270, Circuits!A:U, 21, FALSE),))</f>
        <v/>
      </c>
      <c r="R270" s="238" t="str">
        <f t="shared" si="7"/>
        <v/>
      </c>
      <c r="S270" s="237" t="str">
        <f>IF(ISBLANK(H270),,IFNA(VLOOKUP(H270, Circuits!A:V, 22, FALSE),))</f>
        <v/>
      </c>
      <c r="T270" s="237" t="str">
        <f>IF(ISBLANK(H270),,IFNA(VLOOKUP(H270, Circuits!A:X, 24, FALSE),))</f>
        <v/>
      </c>
      <c r="V270" s="236" t="str">
        <f>IFERROR(__xludf.DUMMYFUNCTION("IF(ISBLANK(H270),,JOIN("","",H270:T270))"),"")</f>
        <v/>
      </c>
      <c r="W270" s="229" t="str">
        <f t="shared" si="1"/>
        <v/>
      </c>
    </row>
    <row r="271">
      <c r="H271" s="237"/>
      <c r="I271" s="237" t="str">
        <f>IFERROR(__xludf.DUMMYFUNCTION("IF(ISBLANK(H271),,IFNA(""""""""&amp;JOIN("","",INDEX(FILTER(A:D,A:A=H271),0,4))&amp;"""""""",))"),"")</f>
        <v/>
      </c>
      <c r="J271" s="237" t="str">
        <f>IF(ISBLANK(H271),,IFNA(VLOOKUP(H271, Circuits!A:W, 23, FALSE),))</f>
        <v/>
      </c>
      <c r="K271" s="238" t="str">
        <f t="shared" si="2"/>
        <v/>
      </c>
      <c r="L271" s="238" t="str">
        <f t="shared" si="3"/>
        <v/>
      </c>
      <c r="M271" s="238" t="str">
        <f t="shared" si="4"/>
        <v/>
      </c>
      <c r="N271" s="238" t="str">
        <f t="shared" si="5"/>
        <v/>
      </c>
      <c r="O271" s="238" t="str">
        <f t="shared" si="6"/>
        <v/>
      </c>
      <c r="P271" s="237" t="str">
        <f>IFERROR(__xludf.DUMMYFUNCTION("IF(ISBLANK(H271),,IF(IFNA(MATCH(H271,SPLIT(Circuits!$S$2,"";""&amp;CHAR(10)),0),0),FALSE,TRUE))"),"")</f>
        <v/>
      </c>
      <c r="Q271" s="237" t="str">
        <f>IF(ISBLANK(H271),,IFNA(VLOOKUP(H271, Circuits!A:U, 21, FALSE),))</f>
        <v/>
      </c>
      <c r="R271" s="238" t="str">
        <f t="shared" si="7"/>
        <v/>
      </c>
      <c r="S271" s="237" t="str">
        <f>IF(ISBLANK(H271),,IFNA(VLOOKUP(H271, Circuits!A:V, 22, FALSE),))</f>
        <v/>
      </c>
      <c r="T271" s="237" t="str">
        <f>IF(ISBLANK(H271),,IFNA(VLOOKUP(H271, Circuits!A:X, 24, FALSE),))</f>
        <v/>
      </c>
      <c r="V271" s="236" t="str">
        <f>IFERROR(__xludf.DUMMYFUNCTION("IF(ISBLANK(H271),,JOIN("","",H271:T271))"),"")</f>
        <v/>
      </c>
      <c r="W271" s="229" t="str">
        <f t="shared" si="1"/>
        <v/>
      </c>
    </row>
    <row r="272">
      <c r="H272" s="237"/>
      <c r="I272" s="237" t="str">
        <f>IFERROR(__xludf.DUMMYFUNCTION("IF(ISBLANK(H272),,IFNA(""""""""&amp;JOIN("","",INDEX(FILTER(A:D,A:A=H272),0,4))&amp;"""""""",))"),"")</f>
        <v/>
      </c>
      <c r="J272" s="237" t="str">
        <f>IF(ISBLANK(H272),,IFNA(VLOOKUP(H272, Circuits!A:W, 23, FALSE),))</f>
        <v/>
      </c>
      <c r="K272" s="238" t="str">
        <f t="shared" si="2"/>
        <v/>
      </c>
      <c r="L272" s="238" t="str">
        <f t="shared" si="3"/>
        <v/>
      </c>
      <c r="M272" s="238" t="str">
        <f t="shared" si="4"/>
        <v/>
      </c>
      <c r="N272" s="238" t="str">
        <f t="shared" si="5"/>
        <v/>
      </c>
      <c r="O272" s="238" t="str">
        <f t="shared" si="6"/>
        <v/>
      </c>
      <c r="P272" s="237" t="str">
        <f>IFERROR(__xludf.DUMMYFUNCTION("IF(ISBLANK(H272),,IF(IFNA(MATCH(H272,SPLIT(Circuits!$S$2,"";""&amp;CHAR(10)),0),0),FALSE,TRUE))"),"")</f>
        <v/>
      </c>
      <c r="Q272" s="237" t="str">
        <f>IF(ISBLANK(H272),,IFNA(VLOOKUP(H272, Circuits!A:U, 21, FALSE),))</f>
        <v/>
      </c>
      <c r="R272" s="238" t="str">
        <f t="shared" si="7"/>
        <v/>
      </c>
      <c r="S272" s="237" t="str">
        <f>IF(ISBLANK(H272),,IFNA(VLOOKUP(H272, Circuits!A:V, 22, FALSE),))</f>
        <v/>
      </c>
      <c r="T272" s="237" t="str">
        <f>IF(ISBLANK(H272),,IFNA(VLOOKUP(H272, Circuits!A:X, 24, FALSE),))</f>
        <v/>
      </c>
      <c r="V272" s="236" t="str">
        <f>IFERROR(__xludf.DUMMYFUNCTION("IF(ISBLANK(H272),,JOIN("","",H272:T272))"),"")</f>
        <v/>
      </c>
      <c r="W272" s="229" t="str">
        <f t="shared" si="1"/>
        <v/>
      </c>
    </row>
    <row r="273">
      <c r="H273" s="237"/>
      <c r="I273" s="237" t="str">
        <f>IFERROR(__xludf.DUMMYFUNCTION("IF(ISBLANK(H273),,IFNA(""""""""&amp;JOIN("","",INDEX(FILTER(A:D,A:A=H273),0,4))&amp;"""""""",))"),"")</f>
        <v/>
      </c>
      <c r="J273" s="237" t="str">
        <f>IF(ISBLANK(H273),,IFNA(VLOOKUP(H273, Circuits!A:W, 23, FALSE),))</f>
        <v/>
      </c>
      <c r="K273" s="238" t="str">
        <f t="shared" si="2"/>
        <v/>
      </c>
      <c r="L273" s="238" t="str">
        <f t="shared" si="3"/>
        <v/>
      </c>
      <c r="M273" s="238" t="str">
        <f t="shared" si="4"/>
        <v/>
      </c>
      <c r="N273" s="238" t="str">
        <f t="shared" si="5"/>
        <v/>
      </c>
      <c r="O273" s="238" t="str">
        <f t="shared" si="6"/>
        <v/>
      </c>
      <c r="P273" s="237" t="str">
        <f>IFERROR(__xludf.DUMMYFUNCTION("IF(ISBLANK(H273),,IF(IFNA(MATCH(H273,SPLIT(Circuits!$S$2,"";""&amp;CHAR(10)),0),0),FALSE,TRUE))"),"")</f>
        <v/>
      </c>
      <c r="Q273" s="237" t="str">
        <f>IF(ISBLANK(H273),,IFNA(VLOOKUP(H273, Circuits!A:U, 21, FALSE),))</f>
        <v/>
      </c>
      <c r="R273" s="238" t="str">
        <f t="shared" si="7"/>
        <v/>
      </c>
      <c r="S273" s="237" t="str">
        <f>IF(ISBLANK(H273),,IFNA(VLOOKUP(H273, Circuits!A:V, 22, FALSE),))</f>
        <v/>
      </c>
      <c r="T273" s="237" t="str">
        <f>IF(ISBLANK(H273),,IFNA(VLOOKUP(H273, Circuits!A:X, 24, FALSE),))</f>
        <v/>
      </c>
      <c r="V273" s="236" t="str">
        <f>IFERROR(__xludf.DUMMYFUNCTION("IF(ISBLANK(H273),,JOIN("","",H273:T273))"),"")</f>
        <v/>
      </c>
      <c r="W273" s="229" t="str">
        <f t="shared" si="1"/>
        <v/>
      </c>
    </row>
    <row r="274">
      <c r="H274" s="237"/>
      <c r="I274" s="237" t="str">
        <f>IFERROR(__xludf.DUMMYFUNCTION("IF(ISBLANK(H274),,IFNA(""""""""&amp;JOIN("","",INDEX(FILTER(A:D,A:A=H274),0,4))&amp;"""""""",))"),"")</f>
        <v/>
      </c>
      <c r="J274" s="237" t="str">
        <f>IF(ISBLANK(H274),,IFNA(VLOOKUP(H274, Circuits!A:W, 23, FALSE),))</f>
        <v/>
      </c>
      <c r="K274" s="238" t="str">
        <f t="shared" si="2"/>
        <v/>
      </c>
      <c r="L274" s="238" t="str">
        <f t="shared" si="3"/>
        <v/>
      </c>
      <c r="M274" s="238" t="str">
        <f t="shared" si="4"/>
        <v/>
      </c>
      <c r="N274" s="238" t="str">
        <f t="shared" si="5"/>
        <v/>
      </c>
      <c r="O274" s="238" t="str">
        <f t="shared" si="6"/>
        <v/>
      </c>
      <c r="P274" s="237" t="str">
        <f>IFERROR(__xludf.DUMMYFUNCTION("IF(ISBLANK(H274),,IF(IFNA(MATCH(H274,SPLIT(Circuits!$S$2,"";""&amp;CHAR(10)),0),0),FALSE,TRUE))"),"")</f>
        <v/>
      </c>
      <c r="Q274" s="237" t="str">
        <f>IF(ISBLANK(H274),,IFNA(VLOOKUP(H274, Circuits!A:U, 21, FALSE),))</f>
        <v/>
      </c>
      <c r="R274" s="238" t="str">
        <f t="shared" si="7"/>
        <v/>
      </c>
      <c r="S274" s="237" t="str">
        <f>IF(ISBLANK(H274),,IFNA(VLOOKUP(H274, Circuits!A:V, 22, FALSE),))</f>
        <v/>
      </c>
      <c r="T274" s="237" t="str">
        <f>IF(ISBLANK(H274),,IFNA(VLOOKUP(H274, Circuits!A:X, 24, FALSE),))</f>
        <v/>
      </c>
      <c r="V274" s="236" t="str">
        <f>IFERROR(__xludf.DUMMYFUNCTION("IF(ISBLANK(H274),,JOIN("","",H274:T274))"),"")</f>
        <v/>
      </c>
      <c r="W274" s="229" t="str">
        <f t="shared" si="1"/>
        <v/>
      </c>
    </row>
    <row r="275">
      <c r="H275" s="237"/>
      <c r="I275" s="237" t="str">
        <f>IFERROR(__xludf.DUMMYFUNCTION("IF(ISBLANK(H275),,IFNA(""""""""&amp;JOIN("","",INDEX(FILTER(A:D,A:A=H275),0,4))&amp;"""""""",))"),"")</f>
        <v/>
      </c>
      <c r="J275" s="237" t="str">
        <f>IF(ISBLANK(H275),,IFNA(VLOOKUP(H275, Circuits!A:W, 23, FALSE),))</f>
        <v/>
      </c>
      <c r="K275" s="238" t="str">
        <f t="shared" si="2"/>
        <v/>
      </c>
      <c r="L275" s="238" t="str">
        <f t="shared" si="3"/>
        <v/>
      </c>
      <c r="M275" s="238" t="str">
        <f t="shared" si="4"/>
        <v/>
      </c>
      <c r="N275" s="238" t="str">
        <f t="shared" si="5"/>
        <v/>
      </c>
      <c r="O275" s="238" t="str">
        <f t="shared" si="6"/>
        <v/>
      </c>
      <c r="P275" s="237" t="str">
        <f>IFERROR(__xludf.DUMMYFUNCTION("IF(ISBLANK(H275),,IF(IFNA(MATCH(H275,SPLIT(Circuits!$S$2,"";""&amp;CHAR(10)),0),0),FALSE,TRUE))"),"")</f>
        <v/>
      </c>
      <c r="Q275" s="237" t="str">
        <f>IF(ISBLANK(H275),,IFNA(VLOOKUP(H275, Circuits!A:U, 21, FALSE),))</f>
        <v/>
      </c>
      <c r="R275" s="238" t="str">
        <f t="shared" si="7"/>
        <v/>
      </c>
      <c r="S275" s="237" t="str">
        <f>IF(ISBLANK(H275),,IFNA(VLOOKUP(H275, Circuits!A:V, 22, FALSE),))</f>
        <v/>
      </c>
      <c r="T275" s="237" t="str">
        <f>IF(ISBLANK(H275),,IFNA(VLOOKUP(H275, Circuits!A:X, 24, FALSE),))</f>
        <v/>
      </c>
      <c r="V275" s="236" t="str">
        <f>IFERROR(__xludf.DUMMYFUNCTION("IF(ISBLANK(H275),,JOIN("","",H275:T275))"),"")</f>
        <v/>
      </c>
      <c r="W275" s="229" t="str">
        <f t="shared" si="1"/>
        <v/>
      </c>
    </row>
    <row r="276">
      <c r="H276" s="237"/>
      <c r="I276" s="237" t="str">
        <f>IFERROR(__xludf.DUMMYFUNCTION("IF(ISBLANK(H276),,IFNA(""""""""&amp;JOIN("","",INDEX(FILTER(A:D,A:A=H276),0,4))&amp;"""""""",))"),"")</f>
        <v/>
      </c>
      <c r="J276" s="237" t="str">
        <f>IF(ISBLANK(H276),,IFNA(VLOOKUP(H276, Circuits!A:W, 23, FALSE),))</f>
        <v/>
      </c>
      <c r="K276" s="238" t="str">
        <f t="shared" si="2"/>
        <v/>
      </c>
      <c r="L276" s="238" t="str">
        <f t="shared" si="3"/>
        <v/>
      </c>
      <c r="M276" s="238" t="str">
        <f t="shared" si="4"/>
        <v/>
      </c>
      <c r="N276" s="238" t="str">
        <f t="shared" si="5"/>
        <v/>
      </c>
      <c r="O276" s="238" t="str">
        <f t="shared" si="6"/>
        <v/>
      </c>
      <c r="P276" s="237" t="str">
        <f>IFERROR(__xludf.DUMMYFUNCTION("IF(ISBLANK(H276),,IF(IFNA(MATCH(H276,SPLIT(Circuits!$S$2,"";""&amp;CHAR(10)),0),0),FALSE,TRUE))"),"")</f>
        <v/>
      </c>
      <c r="Q276" s="237" t="str">
        <f>IF(ISBLANK(H276),,IFNA(VLOOKUP(H276, Circuits!A:U, 21, FALSE),))</f>
        <v/>
      </c>
      <c r="R276" s="238" t="str">
        <f t="shared" si="7"/>
        <v/>
      </c>
      <c r="S276" s="237" t="str">
        <f>IF(ISBLANK(H276),,IFNA(VLOOKUP(H276, Circuits!A:V, 22, FALSE),))</f>
        <v/>
      </c>
      <c r="T276" s="237" t="str">
        <f>IF(ISBLANK(H276),,IFNA(VLOOKUP(H276, Circuits!A:X, 24, FALSE),))</f>
        <v/>
      </c>
      <c r="V276" s="236" t="str">
        <f>IFERROR(__xludf.DUMMYFUNCTION("IF(ISBLANK(H276),,JOIN("","",H276:T276))"),"")</f>
        <v/>
      </c>
      <c r="W276" s="229" t="str">
        <f t="shared" si="1"/>
        <v/>
      </c>
    </row>
    <row r="277">
      <c r="H277" s="237"/>
      <c r="I277" s="237" t="str">
        <f>IFERROR(__xludf.DUMMYFUNCTION("IF(ISBLANK(H277),,IFNA(""""""""&amp;JOIN("","",INDEX(FILTER(A:D,A:A=H277),0,4))&amp;"""""""",))"),"")</f>
        <v/>
      </c>
      <c r="J277" s="237" t="str">
        <f>IF(ISBLANK(H277),,IFNA(VLOOKUP(H277, Circuits!A:W, 23, FALSE),))</f>
        <v/>
      </c>
      <c r="K277" s="238" t="str">
        <f t="shared" si="2"/>
        <v/>
      </c>
      <c r="L277" s="238" t="str">
        <f t="shared" si="3"/>
        <v/>
      </c>
      <c r="M277" s="238" t="str">
        <f t="shared" si="4"/>
        <v/>
      </c>
      <c r="N277" s="238" t="str">
        <f t="shared" si="5"/>
        <v/>
      </c>
      <c r="O277" s="238" t="str">
        <f t="shared" si="6"/>
        <v/>
      </c>
      <c r="P277" s="237" t="str">
        <f>IFERROR(__xludf.DUMMYFUNCTION("IF(ISBLANK(H277),,IF(IFNA(MATCH(H277,SPLIT(Circuits!$S$2,"";""&amp;CHAR(10)),0),0),FALSE,TRUE))"),"")</f>
        <v/>
      </c>
      <c r="Q277" s="237" t="str">
        <f>IF(ISBLANK(H277),,IFNA(VLOOKUP(H277, Circuits!A:U, 21, FALSE),))</f>
        <v/>
      </c>
      <c r="R277" s="238" t="str">
        <f t="shared" si="7"/>
        <v/>
      </c>
      <c r="S277" s="237" t="str">
        <f>IF(ISBLANK(H277),,IFNA(VLOOKUP(H277, Circuits!A:V, 22, FALSE),))</f>
        <v/>
      </c>
      <c r="T277" s="237" t="str">
        <f>IF(ISBLANK(H277),,IFNA(VLOOKUP(H277, Circuits!A:X, 24, FALSE),))</f>
        <v/>
      </c>
      <c r="V277" s="236" t="str">
        <f>IFERROR(__xludf.DUMMYFUNCTION("IF(ISBLANK(H277),,JOIN("","",H277:T277))"),"")</f>
        <v/>
      </c>
      <c r="W277" s="229" t="str">
        <f t="shared" si="1"/>
        <v/>
      </c>
    </row>
    <row r="278">
      <c r="H278" s="237"/>
      <c r="I278" s="237" t="str">
        <f>IFERROR(__xludf.DUMMYFUNCTION("IF(ISBLANK(H278),,IFNA(""""""""&amp;JOIN("","",INDEX(FILTER(A:D,A:A=H278),0,4))&amp;"""""""",))"),"")</f>
        <v/>
      </c>
      <c r="J278" s="237" t="str">
        <f>IF(ISBLANK(H278),,IFNA(VLOOKUP(H278, Circuits!A:W, 23, FALSE),))</f>
        <v/>
      </c>
      <c r="K278" s="238" t="str">
        <f t="shared" si="2"/>
        <v/>
      </c>
      <c r="L278" s="238" t="str">
        <f t="shared" si="3"/>
        <v/>
      </c>
      <c r="M278" s="238" t="str">
        <f t="shared" si="4"/>
        <v/>
      </c>
      <c r="N278" s="238" t="str">
        <f t="shared" si="5"/>
        <v/>
      </c>
      <c r="O278" s="238" t="str">
        <f t="shared" si="6"/>
        <v/>
      </c>
      <c r="P278" s="237" t="str">
        <f>IFERROR(__xludf.DUMMYFUNCTION("IF(ISBLANK(H278),,IF(IFNA(MATCH(H278,SPLIT(Circuits!$S$2,"";""&amp;CHAR(10)),0),0),FALSE,TRUE))"),"")</f>
        <v/>
      </c>
      <c r="Q278" s="237" t="str">
        <f>IF(ISBLANK(H278),,IFNA(VLOOKUP(H278, Circuits!A:U, 21, FALSE),))</f>
        <v/>
      </c>
      <c r="R278" s="238" t="str">
        <f t="shared" si="7"/>
        <v/>
      </c>
      <c r="S278" s="237" t="str">
        <f>IF(ISBLANK(H278),,IFNA(VLOOKUP(H278, Circuits!A:V, 22, FALSE),))</f>
        <v/>
      </c>
      <c r="T278" s="237" t="str">
        <f>IF(ISBLANK(H278),,IFNA(VLOOKUP(H278, Circuits!A:X, 24, FALSE),))</f>
        <v/>
      </c>
      <c r="V278" s="236" t="str">
        <f>IFERROR(__xludf.DUMMYFUNCTION("IF(ISBLANK(H278),,JOIN("","",H278:T278))"),"")</f>
        <v/>
      </c>
      <c r="W278" s="229" t="str">
        <f t="shared" si="1"/>
        <v/>
      </c>
    </row>
    <row r="279">
      <c r="H279" s="237"/>
      <c r="I279" s="237" t="str">
        <f>IFERROR(__xludf.DUMMYFUNCTION("IF(ISBLANK(H279),,IFNA(""""""""&amp;JOIN("","",INDEX(FILTER(A:D,A:A=H279),0,4))&amp;"""""""",))"),"")</f>
        <v/>
      </c>
      <c r="J279" s="237" t="str">
        <f>IF(ISBLANK(H279),,IFNA(VLOOKUP(H279, Circuits!A:W, 23, FALSE),))</f>
        <v/>
      </c>
      <c r="K279" s="238" t="str">
        <f t="shared" si="2"/>
        <v/>
      </c>
      <c r="L279" s="238" t="str">
        <f t="shared" si="3"/>
        <v/>
      </c>
      <c r="M279" s="238" t="str">
        <f t="shared" si="4"/>
        <v/>
      </c>
      <c r="N279" s="238" t="str">
        <f t="shared" si="5"/>
        <v/>
      </c>
      <c r="O279" s="238" t="str">
        <f t="shared" si="6"/>
        <v/>
      </c>
      <c r="P279" s="237" t="str">
        <f>IFERROR(__xludf.DUMMYFUNCTION("IF(ISBLANK(H279),,IF(IFNA(MATCH(H279,SPLIT(Circuits!$S$2,"";""&amp;CHAR(10)),0),0),FALSE,TRUE))"),"")</f>
        <v/>
      </c>
      <c r="Q279" s="237" t="str">
        <f>IF(ISBLANK(H279),,IFNA(VLOOKUP(H279, Circuits!A:U, 21, FALSE),))</f>
        <v/>
      </c>
      <c r="R279" s="238" t="str">
        <f t="shared" si="7"/>
        <v/>
      </c>
      <c r="S279" s="237" t="str">
        <f>IF(ISBLANK(H279),,IFNA(VLOOKUP(H279, Circuits!A:V, 22, FALSE),))</f>
        <v/>
      </c>
      <c r="T279" s="237" t="str">
        <f>IF(ISBLANK(H279),,IFNA(VLOOKUP(H279, Circuits!A:X, 24, FALSE),))</f>
        <v/>
      </c>
      <c r="V279" s="236" t="str">
        <f>IFERROR(__xludf.DUMMYFUNCTION("IF(ISBLANK(H279),,JOIN("","",H279:T279))"),"")</f>
        <v/>
      </c>
      <c r="W279" s="229" t="str">
        <f t="shared" si="1"/>
        <v/>
      </c>
    </row>
    <row r="280">
      <c r="H280" s="237"/>
      <c r="I280" s="237" t="str">
        <f>IFERROR(__xludf.DUMMYFUNCTION("IF(ISBLANK(H280),,IFNA(""""""""&amp;JOIN("","",INDEX(FILTER(A:D,A:A=H280),0,4))&amp;"""""""",))"),"")</f>
        <v/>
      </c>
      <c r="J280" s="237" t="str">
        <f>IF(ISBLANK(H280),,IFNA(VLOOKUP(H280, Circuits!A:W, 23, FALSE),))</f>
        <v/>
      </c>
      <c r="K280" s="238" t="str">
        <f t="shared" si="2"/>
        <v/>
      </c>
      <c r="L280" s="238" t="str">
        <f t="shared" si="3"/>
        <v/>
      </c>
      <c r="M280" s="238" t="str">
        <f t="shared" si="4"/>
        <v/>
      </c>
      <c r="N280" s="238" t="str">
        <f t="shared" si="5"/>
        <v/>
      </c>
      <c r="O280" s="238" t="str">
        <f t="shared" si="6"/>
        <v/>
      </c>
      <c r="P280" s="237" t="str">
        <f>IFERROR(__xludf.DUMMYFUNCTION("IF(ISBLANK(H280),,IF(IFNA(MATCH(H280,SPLIT(Circuits!$S$2,"";""&amp;CHAR(10)),0),0),FALSE,TRUE))"),"")</f>
        <v/>
      </c>
      <c r="Q280" s="237" t="str">
        <f>IF(ISBLANK(H280),,IFNA(VLOOKUP(H280, Circuits!A:U, 21, FALSE),))</f>
        <v/>
      </c>
      <c r="R280" s="238" t="str">
        <f t="shared" si="7"/>
        <v/>
      </c>
      <c r="S280" s="237" t="str">
        <f>IF(ISBLANK(H280),,IFNA(VLOOKUP(H280, Circuits!A:V, 22, FALSE),))</f>
        <v/>
      </c>
      <c r="T280" s="237" t="str">
        <f>IF(ISBLANK(H280),,IFNA(VLOOKUP(H280, Circuits!A:X, 24, FALSE),))</f>
        <v/>
      </c>
      <c r="V280" s="236" t="str">
        <f>IFERROR(__xludf.DUMMYFUNCTION("IF(ISBLANK(H280),,JOIN("","",H280:T280))"),"")</f>
        <v/>
      </c>
      <c r="W280" s="229" t="str">
        <f t="shared" si="1"/>
        <v/>
      </c>
    </row>
    <row r="281">
      <c r="H281" s="237"/>
      <c r="I281" s="237" t="str">
        <f>IFERROR(__xludf.DUMMYFUNCTION("IF(ISBLANK(H281),,IFNA(""""""""&amp;JOIN("","",INDEX(FILTER(A:D,A:A=H281),0,4))&amp;"""""""",))"),"")</f>
        <v/>
      </c>
      <c r="J281" s="237" t="str">
        <f>IF(ISBLANK(H281),,IFNA(VLOOKUP(H281, Circuits!A:W, 23, FALSE),))</f>
        <v/>
      </c>
      <c r="K281" s="238" t="str">
        <f t="shared" si="2"/>
        <v/>
      </c>
      <c r="L281" s="238" t="str">
        <f t="shared" si="3"/>
        <v/>
      </c>
      <c r="M281" s="238" t="str">
        <f t="shared" si="4"/>
        <v/>
      </c>
      <c r="N281" s="238" t="str">
        <f t="shared" si="5"/>
        <v/>
      </c>
      <c r="O281" s="238" t="str">
        <f t="shared" si="6"/>
        <v/>
      </c>
      <c r="P281" s="237" t="str">
        <f>IFERROR(__xludf.DUMMYFUNCTION("IF(ISBLANK(H281),,IF(IFNA(MATCH(H281,SPLIT(Circuits!$S$2,"";""&amp;CHAR(10)),0),0),FALSE,TRUE))"),"")</f>
        <v/>
      </c>
      <c r="Q281" s="237" t="str">
        <f>IF(ISBLANK(H281),,IFNA(VLOOKUP(H281, Circuits!A:U, 21, FALSE),))</f>
        <v/>
      </c>
      <c r="R281" s="238" t="str">
        <f t="shared" si="7"/>
        <v/>
      </c>
      <c r="S281" s="237" t="str">
        <f>IF(ISBLANK(H281),,IFNA(VLOOKUP(H281, Circuits!A:V, 22, FALSE),))</f>
        <v/>
      </c>
      <c r="T281" s="237" t="str">
        <f>IF(ISBLANK(H281),,IFNA(VLOOKUP(H281, Circuits!A:X, 24, FALSE),))</f>
        <v/>
      </c>
      <c r="V281" s="236" t="str">
        <f>IFERROR(__xludf.DUMMYFUNCTION("IF(ISBLANK(H281),,JOIN("","",H281:T281))"),"")</f>
        <v/>
      </c>
      <c r="W281" s="229" t="str">
        <f t="shared" si="1"/>
        <v/>
      </c>
    </row>
    <row r="282">
      <c r="H282" s="237"/>
      <c r="I282" s="237" t="str">
        <f>IFERROR(__xludf.DUMMYFUNCTION("IF(ISBLANK(H282),,IFNA(""""""""&amp;JOIN("","",INDEX(FILTER(A:D,A:A=H282),0,4))&amp;"""""""",))"),"")</f>
        <v/>
      </c>
      <c r="J282" s="237" t="str">
        <f>IF(ISBLANK(H282),,IFNA(VLOOKUP(H282, Circuits!A:W, 23, FALSE),))</f>
        <v/>
      </c>
      <c r="K282" s="238" t="str">
        <f t="shared" si="2"/>
        <v/>
      </c>
      <c r="L282" s="238" t="str">
        <f t="shared" si="3"/>
        <v/>
      </c>
      <c r="M282" s="238" t="str">
        <f t="shared" si="4"/>
        <v/>
      </c>
      <c r="N282" s="238" t="str">
        <f t="shared" si="5"/>
        <v/>
      </c>
      <c r="O282" s="238" t="str">
        <f t="shared" si="6"/>
        <v/>
      </c>
      <c r="P282" s="237" t="str">
        <f>IFERROR(__xludf.DUMMYFUNCTION("IF(ISBLANK(H282),,IF(IFNA(MATCH(H282,SPLIT(Circuits!$S$2,"";""&amp;CHAR(10)),0),0),FALSE,TRUE))"),"")</f>
        <v/>
      </c>
      <c r="Q282" s="237" t="str">
        <f>IF(ISBLANK(H282),,IFNA(VLOOKUP(H282, Circuits!A:U, 21, FALSE),))</f>
        <v/>
      </c>
      <c r="R282" s="238" t="str">
        <f t="shared" si="7"/>
        <v/>
      </c>
      <c r="S282" s="237" t="str">
        <f>IF(ISBLANK(H282),,IFNA(VLOOKUP(H282, Circuits!A:V, 22, FALSE),))</f>
        <v/>
      </c>
      <c r="T282" s="237" t="str">
        <f>IF(ISBLANK(H282),,IFNA(VLOOKUP(H282, Circuits!A:X, 24, FALSE),))</f>
        <v/>
      </c>
      <c r="V282" s="236" t="str">
        <f>IFERROR(__xludf.DUMMYFUNCTION("IF(ISBLANK(H282),,JOIN("","",H282:T282))"),"")</f>
        <v/>
      </c>
      <c r="W282" s="229" t="str">
        <f t="shared" si="1"/>
        <v/>
      </c>
    </row>
    <row r="283">
      <c r="H283" s="237"/>
      <c r="I283" s="237" t="str">
        <f>IFERROR(__xludf.DUMMYFUNCTION("IF(ISBLANK(H283),,IFNA(""""""""&amp;JOIN("","",INDEX(FILTER(A:D,A:A=H283),0,4))&amp;"""""""",))"),"")</f>
        <v/>
      </c>
      <c r="J283" s="237" t="str">
        <f>IF(ISBLANK(H283),,IFNA(VLOOKUP(H283, Circuits!A:W, 23, FALSE),))</f>
        <v/>
      </c>
      <c r="K283" s="238" t="str">
        <f t="shared" si="2"/>
        <v/>
      </c>
      <c r="L283" s="238" t="str">
        <f t="shared" si="3"/>
        <v/>
      </c>
      <c r="M283" s="238" t="str">
        <f t="shared" si="4"/>
        <v/>
      </c>
      <c r="N283" s="238" t="str">
        <f t="shared" si="5"/>
        <v/>
      </c>
      <c r="O283" s="238" t="str">
        <f t="shared" si="6"/>
        <v/>
      </c>
      <c r="P283" s="237" t="str">
        <f>IFERROR(__xludf.DUMMYFUNCTION("IF(ISBLANK(H283),,IF(IFNA(MATCH(H283,SPLIT(Circuits!$S$2,"";""&amp;CHAR(10)),0),0),FALSE,TRUE))"),"")</f>
        <v/>
      </c>
      <c r="Q283" s="237" t="str">
        <f>IF(ISBLANK(H283),,IFNA(VLOOKUP(H283, Circuits!A:U, 21, FALSE),))</f>
        <v/>
      </c>
      <c r="R283" s="238" t="str">
        <f t="shared" si="7"/>
        <v/>
      </c>
      <c r="S283" s="237" t="str">
        <f>IF(ISBLANK(H283),,IFNA(VLOOKUP(H283, Circuits!A:V, 22, FALSE),))</f>
        <v/>
      </c>
      <c r="T283" s="237" t="str">
        <f>IF(ISBLANK(H283),,IFNA(VLOOKUP(H283, Circuits!A:X, 24, FALSE),))</f>
        <v/>
      </c>
      <c r="V283" s="236" t="str">
        <f>IFERROR(__xludf.DUMMYFUNCTION("IF(ISBLANK(H283),,JOIN("","",H283:T283))"),"")</f>
        <v/>
      </c>
      <c r="W283" s="229" t="str">
        <f t="shared" si="1"/>
        <v/>
      </c>
    </row>
    <row r="284">
      <c r="H284" s="237"/>
      <c r="I284" s="237" t="str">
        <f>IFERROR(__xludf.DUMMYFUNCTION("IF(ISBLANK(H284),,IFNA(""""""""&amp;JOIN("","",INDEX(FILTER(A:D,A:A=H284),0,4))&amp;"""""""",))"),"")</f>
        <v/>
      </c>
      <c r="J284" s="237" t="str">
        <f>IF(ISBLANK(H284),,IFNA(VLOOKUP(H284, Circuits!A:W, 23, FALSE),))</f>
        <v/>
      </c>
      <c r="K284" s="238" t="str">
        <f t="shared" si="2"/>
        <v/>
      </c>
      <c r="L284" s="238" t="str">
        <f t="shared" si="3"/>
        <v/>
      </c>
      <c r="M284" s="238" t="str">
        <f t="shared" si="4"/>
        <v/>
      </c>
      <c r="N284" s="238" t="str">
        <f t="shared" si="5"/>
        <v/>
      </c>
      <c r="O284" s="238" t="str">
        <f t="shared" si="6"/>
        <v/>
      </c>
      <c r="P284" s="237" t="str">
        <f>IFERROR(__xludf.DUMMYFUNCTION("IF(ISBLANK(H284),,IF(IFNA(MATCH(H284,SPLIT(Circuits!$S$2,"";""&amp;CHAR(10)),0),0),FALSE,TRUE))"),"")</f>
        <v/>
      </c>
      <c r="Q284" s="237" t="str">
        <f>IF(ISBLANK(H284),,IFNA(VLOOKUP(H284, Circuits!A:U, 21, FALSE),))</f>
        <v/>
      </c>
      <c r="R284" s="238" t="str">
        <f t="shared" si="7"/>
        <v/>
      </c>
      <c r="S284" s="237" t="str">
        <f>IF(ISBLANK(H284),,IFNA(VLOOKUP(H284, Circuits!A:V, 22, FALSE),))</f>
        <v/>
      </c>
      <c r="T284" s="237" t="str">
        <f>IF(ISBLANK(H284),,IFNA(VLOOKUP(H284, Circuits!A:X, 24, FALSE),))</f>
        <v/>
      </c>
      <c r="V284" s="236" t="str">
        <f>IFERROR(__xludf.DUMMYFUNCTION("IF(ISBLANK(H284),,JOIN("","",H284:T284))"),"")</f>
        <v/>
      </c>
      <c r="W284" s="229" t="str">
        <f t="shared" si="1"/>
        <v/>
      </c>
    </row>
    <row r="285">
      <c r="H285" s="237"/>
      <c r="I285" s="237" t="str">
        <f>IFERROR(__xludf.DUMMYFUNCTION("IF(ISBLANK(H285),,IFNA(""""""""&amp;JOIN("","",INDEX(FILTER(A:D,A:A=H285),0,4))&amp;"""""""",))"),"")</f>
        <v/>
      </c>
      <c r="J285" s="237" t="str">
        <f>IF(ISBLANK(H285),,IFNA(VLOOKUP(H285, Circuits!A:W, 23, FALSE),))</f>
        <v/>
      </c>
      <c r="K285" s="238" t="str">
        <f t="shared" si="2"/>
        <v/>
      </c>
      <c r="L285" s="238" t="str">
        <f t="shared" si="3"/>
        <v/>
      </c>
      <c r="M285" s="238" t="str">
        <f t="shared" si="4"/>
        <v/>
      </c>
      <c r="N285" s="238" t="str">
        <f t="shared" si="5"/>
        <v/>
      </c>
      <c r="O285" s="238" t="str">
        <f t="shared" si="6"/>
        <v/>
      </c>
      <c r="P285" s="237" t="str">
        <f>IFERROR(__xludf.DUMMYFUNCTION("IF(ISBLANK(H285),,IF(IFNA(MATCH(H285,SPLIT(Circuits!$S$2,"";""&amp;CHAR(10)),0),0),FALSE,TRUE))"),"")</f>
        <v/>
      </c>
      <c r="Q285" s="237" t="str">
        <f>IF(ISBLANK(H285),,IFNA(VLOOKUP(H285, Circuits!A:U, 21, FALSE),))</f>
        <v/>
      </c>
      <c r="R285" s="238" t="str">
        <f t="shared" si="7"/>
        <v/>
      </c>
      <c r="S285" s="237" t="str">
        <f>IF(ISBLANK(H285),,IFNA(VLOOKUP(H285, Circuits!A:V, 22, FALSE),))</f>
        <v/>
      </c>
      <c r="T285" s="237" t="str">
        <f>IF(ISBLANK(H285),,IFNA(VLOOKUP(H285, Circuits!A:X, 24, FALSE),))</f>
        <v/>
      </c>
      <c r="V285" s="236" t="str">
        <f>IFERROR(__xludf.DUMMYFUNCTION("IF(ISBLANK(H285),,JOIN("","",H285:T285))"),"")</f>
        <v/>
      </c>
      <c r="W285" s="229" t="str">
        <f t="shared" si="1"/>
        <v/>
      </c>
    </row>
    <row r="286">
      <c r="H286" s="237"/>
      <c r="I286" s="237" t="str">
        <f>IFERROR(__xludf.DUMMYFUNCTION("IF(ISBLANK(H286),,IFNA(""""""""&amp;JOIN("","",INDEX(FILTER(A:D,A:A=H286),0,4))&amp;"""""""",))"),"")</f>
        <v/>
      </c>
      <c r="J286" s="237" t="str">
        <f>IF(ISBLANK(H286),,IFNA(VLOOKUP(H286, Circuits!A:W, 23, FALSE),))</f>
        <v/>
      </c>
      <c r="K286" s="238" t="str">
        <f t="shared" si="2"/>
        <v/>
      </c>
      <c r="L286" s="238" t="str">
        <f t="shared" si="3"/>
        <v/>
      </c>
      <c r="M286" s="238" t="str">
        <f t="shared" si="4"/>
        <v/>
      </c>
      <c r="N286" s="238" t="str">
        <f t="shared" si="5"/>
        <v/>
      </c>
      <c r="O286" s="238" t="str">
        <f t="shared" si="6"/>
        <v/>
      </c>
      <c r="P286" s="237" t="str">
        <f>IFERROR(__xludf.DUMMYFUNCTION("IF(ISBLANK(H286),,IF(IFNA(MATCH(H286,SPLIT(Circuits!$S$2,"";""&amp;CHAR(10)),0),0),FALSE,TRUE))"),"")</f>
        <v/>
      </c>
      <c r="Q286" s="237" t="str">
        <f>IF(ISBLANK(H286),,IFNA(VLOOKUP(H286, Circuits!A:U, 21, FALSE),))</f>
        <v/>
      </c>
      <c r="R286" s="238" t="str">
        <f t="shared" si="7"/>
        <v/>
      </c>
      <c r="S286" s="237" t="str">
        <f>IF(ISBLANK(H286),,IFNA(VLOOKUP(H286, Circuits!A:V, 22, FALSE),))</f>
        <v/>
      </c>
      <c r="T286" s="237" t="str">
        <f>IF(ISBLANK(H286),,IFNA(VLOOKUP(H286, Circuits!A:X, 24, FALSE),))</f>
        <v/>
      </c>
      <c r="V286" s="236" t="str">
        <f>IFERROR(__xludf.DUMMYFUNCTION("IF(ISBLANK(H286),,JOIN("","",H286:T286))"),"")</f>
        <v/>
      </c>
      <c r="W286" s="229" t="str">
        <f t="shared" si="1"/>
        <v/>
      </c>
    </row>
    <row r="287">
      <c r="H287" s="237"/>
      <c r="I287" s="237" t="str">
        <f>IFERROR(__xludf.DUMMYFUNCTION("IF(ISBLANK(H287),,IFNA(""""""""&amp;JOIN("","",INDEX(FILTER(A:D,A:A=H287),0,4))&amp;"""""""",))"),"")</f>
        <v/>
      </c>
      <c r="J287" s="237" t="str">
        <f>IF(ISBLANK(H287),,IFNA(VLOOKUP(H287, Circuits!A:W, 23, FALSE),))</f>
        <v/>
      </c>
      <c r="K287" s="238" t="str">
        <f t="shared" si="2"/>
        <v/>
      </c>
      <c r="L287" s="238" t="str">
        <f t="shared" si="3"/>
        <v/>
      </c>
      <c r="M287" s="238" t="str">
        <f t="shared" si="4"/>
        <v/>
      </c>
      <c r="N287" s="238" t="str">
        <f t="shared" si="5"/>
        <v/>
      </c>
      <c r="O287" s="238" t="str">
        <f t="shared" si="6"/>
        <v/>
      </c>
      <c r="P287" s="237" t="str">
        <f>IFERROR(__xludf.DUMMYFUNCTION("IF(ISBLANK(H287),,IF(IFNA(MATCH(H287,SPLIT(Circuits!$S$2,"";""&amp;CHAR(10)),0),0),FALSE,TRUE))"),"")</f>
        <v/>
      </c>
      <c r="Q287" s="237" t="str">
        <f>IF(ISBLANK(H287),,IFNA(VLOOKUP(H287, Circuits!A:U, 21, FALSE),))</f>
        <v/>
      </c>
      <c r="R287" s="238" t="str">
        <f t="shared" si="7"/>
        <v/>
      </c>
      <c r="S287" s="237" t="str">
        <f>IF(ISBLANK(H287),,IFNA(VLOOKUP(H287, Circuits!A:V, 22, FALSE),))</f>
        <v/>
      </c>
      <c r="T287" s="237" t="str">
        <f>IF(ISBLANK(H287),,IFNA(VLOOKUP(H287, Circuits!A:X, 24, FALSE),))</f>
        <v/>
      </c>
      <c r="V287" s="236" t="str">
        <f>IFERROR(__xludf.DUMMYFUNCTION("IF(ISBLANK(H287),,JOIN("","",H287:T287))"),"")</f>
        <v/>
      </c>
      <c r="W287" s="229" t="str">
        <f t="shared" si="1"/>
        <v/>
      </c>
    </row>
    <row r="288">
      <c r="H288" s="237"/>
      <c r="I288" s="237" t="str">
        <f>IFERROR(__xludf.DUMMYFUNCTION("IF(ISBLANK(H288),,IFNA(""""""""&amp;JOIN("","",INDEX(FILTER(A:D,A:A=H288),0,4))&amp;"""""""",))"),"")</f>
        <v/>
      </c>
      <c r="J288" s="237" t="str">
        <f>IF(ISBLANK(H288),,IFNA(VLOOKUP(H288, Circuits!A:W, 23, FALSE),))</f>
        <v/>
      </c>
      <c r="K288" s="238" t="str">
        <f t="shared" si="2"/>
        <v/>
      </c>
      <c r="L288" s="238" t="str">
        <f t="shared" si="3"/>
        <v/>
      </c>
      <c r="M288" s="238" t="str">
        <f t="shared" si="4"/>
        <v/>
      </c>
      <c r="N288" s="238" t="str">
        <f t="shared" si="5"/>
        <v/>
      </c>
      <c r="O288" s="238" t="str">
        <f t="shared" si="6"/>
        <v/>
      </c>
      <c r="P288" s="237" t="str">
        <f>IFERROR(__xludf.DUMMYFUNCTION("IF(ISBLANK(H288),,IF(IFNA(MATCH(H288,SPLIT(Circuits!$S$2,"";""&amp;CHAR(10)),0),0),FALSE,TRUE))"),"")</f>
        <v/>
      </c>
      <c r="Q288" s="237" t="str">
        <f>IF(ISBLANK(H288),,IFNA(VLOOKUP(H288, Circuits!A:U, 21, FALSE),))</f>
        <v/>
      </c>
      <c r="R288" s="238" t="str">
        <f t="shared" si="7"/>
        <v/>
      </c>
      <c r="S288" s="237" t="str">
        <f>IF(ISBLANK(H288),,IFNA(VLOOKUP(H288, Circuits!A:V, 22, FALSE),))</f>
        <v/>
      </c>
      <c r="T288" s="237" t="str">
        <f>IF(ISBLANK(H288),,IFNA(VLOOKUP(H288, Circuits!A:X, 24, FALSE),))</f>
        <v/>
      </c>
      <c r="V288" s="236" t="str">
        <f>IFERROR(__xludf.DUMMYFUNCTION("IF(ISBLANK(H288),,JOIN("","",H288:T288))"),"")</f>
        <v/>
      </c>
      <c r="W288" s="229" t="str">
        <f t="shared" si="1"/>
        <v/>
      </c>
    </row>
    <row r="289">
      <c r="H289" s="237"/>
      <c r="I289" s="237" t="str">
        <f>IFERROR(__xludf.DUMMYFUNCTION("IF(ISBLANK(H289),,IFNA(""""""""&amp;JOIN("","",INDEX(FILTER(A:D,A:A=H289),0,4))&amp;"""""""",))"),"")</f>
        <v/>
      </c>
      <c r="J289" s="237" t="str">
        <f>IF(ISBLANK(H289),,IFNA(VLOOKUP(H289, Circuits!A:W, 23, FALSE),))</f>
        <v/>
      </c>
      <c r="K289" s="238" t="str">
        <f t="shared" si="2"/>
        <v/>
      </c>
      <c r="L289" s="238" t="str">
        <f t="shared" si="3"/>
        <v/>
      </c>
      <c r="M289" s="238" t="str">
        <f t="shared" si="4"/>
        <v/>
      </c>
      <c r="N289" s="238" t="str">
        <f t="shared" si="5"/>
        <v/>
      </c>
      <c r="O289" s="238" t="str">
        <f t="shared" si="6"/>
        <v/>
      </c>
      <c r="P289" s="237" t="str">
        <f>IFERROR(__xludf.DUMMYFUNCTION("IF(ISBLANK(H289),,IF(IFNA(MATCH(H289,SPLIT(Circuits!$S$2,"";""&amp;CHAR(10)),0),0),FALSE,TRUE))"),"")</f>
        <v/>
      </c>
      <c r="Q289" s="237" t="str">
        <f>IF(ISBLANK(H289),,IFNA(VLOOKUP(H289, Circuits!A:U, 21, FALSE),))</f>
        <v/>
      </c>
      <c r="R289" s="238" t="str">
        <f t="shared" si="7"/>
        <v/>
      </c>
      <c r="S289" s="237" t="str">
        <f>IF(ISBLANK(H289),,IFNA(VLOOKUP(H289, Circuits!A:V, 22, FALSE),))</f>
        <v/>
      </c>
      <c r="T289" s="237" t="str">
        <f>IF(ISBLANK(H289),,IFNA(VLOOKUP(H289, Circuits!A:X, 24, FALSE),))</f>
        <v/>
      </c>
      <c r="V289" s="236" t="str">
        <f>IFERROR(__xludf.DUMMYFUNCTION("IF(ISBLANK(H289),,JOIN("","",H289:T289))"),"")</f>
        <v/>
      </c>
      <c r="W289" s="229" t="str">
        <f t="shared" si="1"/>
        <v/>
      </c>
    </row>
    <row r="290">
      <c r="H290" s="237"/>
      <c r="I290" s="237" t="str">
        <f>IFERROR(__xludf.DUMMYFUNCTION("IF(ISBLANK(H290),,IFNA(""""""""&amp;JOIN("","",INDEX(FILTER(A:D,A:A=H290),0,4))&amp;"""""""",))"),"")</f>
        <v/>
      </c>
      <c r="J290" s="237" t="str">
        <f>IF(ISBLANK(H290),,IFNA(VLOOKUP(H290, Circuits!A:W, 23, FALSE),))</f>
        <v/>
      </c>
      <c r="K290" s="238" t="str">
        <f t="shared" si="2"/>
        <v/>
      </c>
      <c r="L290" s="238" t="str">
        <f t="shared" si="3"/>
        <v/>
      </c>
      <c r="M290" s="238" t="str">
        <f t="shared" si="4"/>
        <v/>
      </c>
      <c r="N290" s="238" t="str">
        <f t="shared" si="5"/>
        <v/>
      </c>
      <c r="O290" s="238" t="str">
        <f t="shared" si="6"/>
        <v/>
      </c>
      <c r="P290" s="237" t="str">
        <f>IFERROR(__xludf.DUMMYFUNCTION("IF(ISBLANK(H290),,IF(IFNA(MATCH(H290,SPLIT(Circuits!$S$2,"";""&amp;CHAR(10)),0),0),FALSE,TRUE))"),"")</f>
        <v/>
      </c>
      <c r="Q290" s="237" t="str">
        <f>IF(ISBLANK(H290),,IFNA(VLOOKUP(H290, Circuits!A:U, 21, FALSE),))</f>
        <v/>
      </c>
      <c r="R290" s="238" t="str">
        <f t="shared" si="7"/>
        <v/>
      </c>
      <c r="S290" s="237" t="str">
        <f>IF(ISBLANK(H290),,IFNA(VLOOKUP(H290, Circuits!A:V, 22, FALSE),))</f>
        <v/>
      </c>
      <c r="T290" s="237" t="str">
        <f>IF(ISBLANK(H290),,IFNA(VLOOKUP(H290, Circuits!A:X, 24, FALSE),))</f>
        <v/>
      </c>
      <c r="V290" s="236" t="str">
        <f>IFERROR(__xludf.DUMMYFUNCTION("IF(ISBLANK(H290),,JOIN("","",H290:T290))"),"")</f>
        <v/>
      </c>
      <c r="W290" s="229" t="str">
        <f t="shared" si="1"/>
        <v/>
      </c>
    </row>
    <row r="291">
      <c r="H291" s="237"/>
      <c r="I291" s="237" t="str">
        <f>IFERROR(__xludf.DUMMYFUNCTION("IF(ISBLANK(H291),,IFNA(""""""""&amp;JOIN("","",INDEX(FILTER(A:D,A:A=H291),0,4))&amp;"""""""",))"),"")</f>
        <v/>
      </c>
      <c r="J291" s="237" t="str">
        <f>IF(ISBLANK(H291),,IFNA(VLOOKUP(H291, Circuits!A:W, 23, FALSE),))</f>
        <v/>
      </c>
      <c r="K291" s="238" t="str">
        <f t="shared" si="2"/>
        <v/>
      </c>
      <c r="L291" s="238" t="str">
        <f t="shared" si="3"/>
        <v/>
      </c>
      <c r="M291" s="238" t="str">
        <f t="shared" si="4"/>
        <v/>
      </c>
      <c r="N291" s="238" t="str">
        <f t="shared" si="5"/>
        <v/>
      </c>
      <c r="O291" s="238" t="str">
        <f t="shared" si="6"/>
        <v/>
      </c>
      <c r="P291" s="237" t="str">
        <f>IFERROR(__xludf.DUMMYFUNCTION("IF(ISBLANK(H291),,IF(IFNA(MATCH(H291,SPLIT(Circuits!$S$2,"";""&amp;CHAR(10)),0),0),FALSE,TRUE))"),"")</f>
        <v/>
      </c>
      <c r="Q291" s="237" t="str">
        <f>IF(ISBLANK(H291),,IFNA(VLOOKUP(H291, Circuits!A:U, 21, FALSE),))</f>
        <v/>
      </c>
      <c r="R291" s="238" t="str">
        <f t="shared" si="7"/>
        <v/>
      </c>
      <c r="S291" s="237" t="str">
        <f>IF(ISBLANK(H291),,IFNA(VLOOKUP(H291, Circuits!A:V, 22, FALSE),))</f>
        <v/>
      </c>
      <c r="T291" s="237" t="str">
        <f>IF(ISBLANK(H291),,IFNA(VLOOKUP(H291, Circuits!A:X, 24, FALSE),))</f>
        <v/>
      </c>
      <c r="V291" s="236" t="str">
        <f>IFERROR(__xludf.DUMMYFUNCTION("IF(ISBLANK(H291),,JOIN("","",H291:T291))"),"")</f>
        <v/>
      </c>
      <c r="W291" s="229" t="str">
        <f t="shared" si="1"/>
        <v/>
      </c>
    </row>
    <row r="292">
      <c r="H292" s="237"/>
      <c r="I292" s="237" t="str">
        <f>IFERROR(__xludf.DUMMYFUNCTION("IF(ISBLANK(H292),,IFNA(""""""""&amp;JOIN("","",INDEX(FILTER(A:D,A:A=H292),0,4))&amp;"""""""",))"),"")</f>
        <v/>
      </c>
      <c r="J292" s="237" t="str">
        <f>IF(ISBLANK(H292),,IFNA(VLOOKUP(H292, Circuits!A:W, 23, FALSE),))</f>
        <v/>
      </c>
      <c r="K292" s="238" t="str">
        <f t="shared" si="2"/>
        <v/>
      </c>
      <c r="L292" s="238" t="str">
        <f t="shared" si="3"/>
        <v/>
      </c>
      <c r="M292" s="238" t="str">
        <f t="shared" si="4"/>
        <v/>
      </c>
      <c r="N292" s="238" t="str">
        <f t="shared" si="5"/>
        <v/>
      </c>
      <c r="O292" s="238" t="str">
        <f t="shared" si="6"/>
        <v/>
      </c>
      <c r="P292" s="237" t="str">
        <f>IFERROR(__xludf.DUMMYFUNCTION("IF(ISBLANK(H292),,IF(IFNA(MATCH(H292,SPLIT(Circuits!$S$2,"";""&amp;CHAR(10)),0),0),FALSE,TRUE))"),"")</f>
        <v/>
      </c>
      <c r="Q292" s="237" t="str">
        <f>IF(ISBLANK(H292),,IFNA(VLOOKUP(H292, Circuits!A:U, 21, FALSE),))</f>
        <v/>
      </c>
      <c r="R292" s="238" t="str">
        <f t="shared" si="7"/>
        <v/>
      </c>
      <c r="S292" s="237" t="str">
        <f>IF(ISBLANK(H292),,IFNA(VLOOKUP(H292, Circuits!A:V, 22, FALSE),))</f>
        <v/>
      </c>
      <c r="T292" s="237" t="str">
        <f>IF(ISBLANK(H292),,IFNA(VLOOKUP(H292, Circuits!A:X, 24, FALSE),))</f>
        <v/>
      </c>
      <c r="V292" s="236" t="str">
        <f>IFERROR(__xludf.DUMMYFUNCTION("IF(ISBLANK(H292),,JOIN("","",H292:T292))"),"")</f>
        <v/>
      </c>
      <c r="W292" s="229" t="str">
        <f t="shared" si="1"/>
        <v/>
      </c>
    </row>
    <row r="293">
      <c r="H293" s="237"/>
      <c r="I293" s="237" t="str">
        <f>IFERROR(__xludf.DUMMYFUNCTION("IF(ISBLANK(H293),,IFNA(""""""""&amp;JOIN("","",INDEX(FILTER(A:D,A:A=H293),0,4))&amp;"""""""",))"),"")</f>
        <v/>
      </c>
      <c r="J293" s="237" t="str">
        <f>IF(ISBLANK(H293),,IFNA(VLOOKUP(H293, Circuits!A:W, 23, FALSE),))</f>
        <v/>
      </c>
      <c r="K293" s="238" t="str">
        <f t="shared" si="2"/>
        <v/>
      </c>
      <c r="L293" s="238" t="str">
        <f t="shared" si="3"/>
        <v/>
      </c>
      <c r="M293" s="238" t="str">
        <f t="shared" si="4"/>
        <v/>
      </c>
      <c r="N293" s="238" t="str">
        <f t="shared" si="5"/>
        <v/>
      </c>
      <c r="O293" s="238" t="str">
        <f t="shared" si="6"/>
        <v/>
      </c>
      <c r="P293" s="237" t="str">
        <f>IFERROR(__xludf.DUMMYFUNCTION("IF(ISBLANK(H293),,IF(IFNA(MATCH(H293,SPLIT(Circuits!$S$2,"";""&amp;CHAR(10)),0),0),FALSE,TRUE))"),"")</f>
        <v/>
      </c>
      <c r="Q293" s="237" t="str">
        <f>IF(ISBLANK(H293),,IFNA(VLOOKUP(H293, Circuits!A:U, 21, FALSE),))</f>
        <v/>
      </c>
      <c r="R293" s="238" t="str">
        <f t="shared" si="7"/>
        <v/>
      </c>
      <c r="S293" s="237" t="str">
        <f>IF(ISBLANK(H293),,IFNA(VLOOKUP(H293, Circuits!A:V, 22, FALSE),))</f>
        <v/>
      </c>
      <c r="T293" s="237" t="str">
        <f>IF(ISBLANK(H293),,IFNA(VLOOKUP(H293, Circuits!A:X, 24, FALSE),))</f>
        <v/>
      </c>
      <c r="V293" s="236" t="str">
        <f>IFERROR(__xludf.DUMMYFUNCTION("IF(ISBLANK(H293),,JOIN("","",H293:T293))"),"")</f>
        <v/>
      </c>
      <c r="W293" s="229" t="str">
        <f t="shared" si="1"/>
        <v/>
      </c>
    </row>
    <row r="294">
      <c r="H294" s="237"/>
      <c r="I294" s="237" t="str">
        <f>IFERROR(__xludf.DUMMYFUNCTION("IF(ISBLANK(H294),,IFNA(""""""""&amp;JOIN("","",INDEX(FILTER(A:D,A:A=H294),0,4))&amp;"""""""",))"),"")</f>
        <v/>
      </c>
      <c r="J294" s="237" t="str">
        <f>IF(ISBLANK(H294),,IFNA(VLOOKUP(H294, Circuits!A:W, 23, FALSE),))</f>
        <v/>
      </c>
      <c r="K294" s="238" t="str">
        <f t="shared" si="2"/>
        <v/>
      </c>
      <c r="L294" s="238" t="str">
        <f t="shared" si="3"/>
        <v/>
      </c>
      <c r="M294" s="238" t="str">
        <f t="shared" si="4"/>
        <v/>
      </c>
      <c r="N294" s="238" t="str">
        <f t="shared" si="5"/>
        <v/>
      </c>
      <c r="O294" s="238" t="str">
        <f t="shared" si="6"/>
        <v/>
      </c>
      <c r="P294" s="237" t="str">
        <f>IFERROR(__xludf.DUMMYFUNCTION("IF(ISBLANK(H294),,IF(IFNA(MATCH(H294,SPLIT(Circuits!$S$2,"";""&amp;CHAR(10)),0),0),FALSE,TRUE))"),"")</f>
        <v/>
      </c>
      <c r="Q294" s="237" t="str">
        <f>IF(ISBLANK(H294),,IFNA(VLOOKUP(H294, Circuits!A:U, 21, FALSE),))</f>
        <v/>
      </c>
      <c r="R294" s="238" t="str">
        <f t="shared" si="7"/>
        <v/>
      </c>
      <c r="S294" s="237" t="str">
        <f>IF(ISBLANK(H294),,IFNA(VLOOKUP(H294, Circuits!A:V, 22, FALSE),))</f>
        <v/>
      </c>
      <c r="T294" s="237" t="str">
        <f>IF(ISBLANK(H294),,IFNA(VLOOKUP(H294, Circuits!A:X, 24, FALSE),))</f>
        <v/>
      </c>
      <c r="V294" s="236" t="str">
        <f>IFERROR(__xludf.DUMMYFUNCTION("IF(ISBLANK(H294),,JOIN("","",H294:T294))"),"")</f>
        <v/>
      </c>
      <c r="W294" s="229" t="str">
        <f t="shared" si="1"/>
        <v/>
      </c>
    </row>
    <row r="295">
      <c r="H295" s="237"/>
      <c r="I295" s="237" t="str">
        <f>IFERROR(__xludf.DUMMYFUNCTION("IF(ISBLANK(H295),,IFNA(""""""""&amp;JOIN("","",INDEX(FILTER(A:D,A:A=H295),0,4))&amp;"""""""",))"),"")</f>
        <v/>
      </c>
      <c r="J295" s="237" t="str">
        <f>IF(ISBLANK(H295),,IFNA(VLOOKUP(H295, Circuits!A:W, 23, FALSE),))</f>
        <v/>
      </c>
      <c r="K295" s="238" t="str">
        <f t="shared" si="2"/>
        <v/>
      </c>
      <c r="L295" s="238" t="str">
        <f t="shared" si="3"/>
        <v/>
      </c>
      <c r="M295" s="238" t="str">
        <f t="shared" si="4"/>
        <v/>
      </c>
      <c r="N295" s="238" t="str">
        <f t="shared" si="5"/>
        <v/>
      </c>
      <c r="O295" s="238" t="str">
        <f t="shared" si="6"/>
        <v/>
      </c>
      <c r="P295" s="237" t="str">
        <f>IFERROR(__xludf.DUMMYFUNCTION("IF(ISBLANK(H295),,IF(IFNA(MATCH(H295,SPLIT(Circuits!$S$2,"";""&amp;CHAR(10)),0),0),FALSE,TRUE))"),"")</f>
        <v/>
      </c>
      <c r="Q295" s="237" t="str">
        <f>IF(ISBLANK(H295),,IFNA(VLOOKUP(H295, Circuits!A:U, 21, FALSE),))</f>
        <v/>
      </c>
      <c r="R295" s="238" t="str">
        <f t="shared" si="7"/>
        <v/>
      </c>
      <c r="S295" s="237" t="str">
        <f>IF(ISBLANK(H295),,IFNA(VLOOKUP(H295, Circuits!A:V, 22, FALSE),))</f>
        <v/>
      </c>
      <c r="T295" s="237" t="str">
        <f>IF(ISBLANK(H295),,IFNA(VLOOKUP(H295, Circuits!A:X, 24, FALSE),))</f>
        <v/>
      </c>
      <c r="V295" s="236" t="str">
        <f>IFERROR(__xludf.DUMMYFUNCTION("IF(ISBLANK(H295),,JOIN("","",H295:T295))"),"")</f>
        <v/>
      </c>
      <c r="W295" s="229" t="str">
        <f t="shared" si="1"/>
        <v/>
      </c>
    </row>
    <row r="296">
      <c r="H296" s="237"/>
      <c r="I296" s="237" t="str">
        <f>IFERROR(__xludf.DUMMYFUNCTION("IF(ISBLANK(H296),,IFNA(""""""""&amp;JOIN("","",INDEX(FILTER(A:D,A:A=H296),0,4))&amp;"""""""",))"),"")</f>
        <v/>
      </c>
      <c r="J296" s="237" t="str">
        <f>IF(ISBLANK(H296),,IFNA(VLOOKUP(H296, Circuits!A:W, 23, FALSE),))</f>
        <v/>
      </c>
      <c r="K296" s="238" t="str">
        <f t="shared" si="2"/>
        <v/>
      </c>
      <c r="L296" s="238" t="str">
        <f t="shared" si="3"/>
        <v/>
      </c>
      <c r="M296" s="238" t="str">
        <f t="shared" si="4"/>
        <v/>
      </c>
      <c r="N296" s="238" t="str">
        <f t="shared" si="5"/>
        <v/>
      </c>
      <c r="O296" s="238" t="str">
        <f t="shared" si="6"/>
        <v/>
      </c>
      <c r="P296" s="237" t="str">
        <f>IFERROR(__xludf.DUMMYFUNCTION("IF(ISBLANK(H296),,IF(IFNA(MATCH(H296,SPLIT(Circuits!$S$2,"";""&amp;CHAR(10)),0),0),FALSE,TRUE))"),"")</f>
        <v/>
      </c>
      <c r="Q296" s="237" t="str">
        <f>IF(ISBLANK(H296),,IFNA(VLOOKUP(H296, Circuits!A:U, 21, FALSE),))</f>
        <v/>
      </c>
      <c r="R296" s="238" t="str">
        <f t="shared" si="7"/>
        <v/>
      </c>
      <c r="S296" s="237" t="str">
        <f>IF(ISBLANK(H296),,IFNA(VLOOKUP(H296, Circuits!A:V, 22, FALSE),))</f>
        <v/>
      </c>
      <c r="T296" s="237" t="str">
        <f>IF(ISBLANK(H296),,IFNA(VLOOKUP(H296, Circuits!A:X, 24, FALSE),))</f>
        <v/>
      </c>
      <c r="V296" s="236" t="str">
        <f>IFERROR(__xludf.DUMMYFUNCTION("IF(ISBLANK(H296),,JOIN("","",H296:T296))"),"")</f>
        <v/>
      </c>
      <c r="W296" s="229" t="str">
        <f t="shared" si="1"/>
        <v/>
      </c>
    </row>
    <row r="297">
      <c r="H297" s="237"/>
      <c r="I297" s="237" t="str">
        <f>IFERROR(__xludf.DUMMYFUNCTION("IF(ISBLANK(H297),,IFNA(""""""""&amp;JOIN("","",INDEX(FILTER(A:D,A:A=H297),0,4))&amp;"""""""",))"),"")</f>
        <v/>
      </c>
      <c r="J297" s="237" t="str">
        <f>IF(ISBLANK(H297),,IFNA(VLOOKUP(H297, Circuits!A:W, 23, FALSE),))</f>
        <v/>
      </c>
      <c r="K297" s="238" t="str">
        <f t="shared" si="2"/>
        <v/>
      </c>
      <c r="L297" s="238" t="str">
        <f t="shared" si="3"/>
        <v/>
      </c>
      <c r="M297" s="238" t="str">
        <f t="shared" si="4"/>
        <v/>
      </c>
      <c r="N297" s="238" t="str">
        <f t="shared" si="5"/>
        <v/>
      </c>
      <c r="O297" s="238" t="str">
        <f t="shared" si="6"/>
        <v/>
      </c>
      <c r="P297" s="237" t="str">
        <f>IFERROR(__xludf.DUMMYFUNCTION("IF(ISBLANK(H297),,IF(IFNA(MATCH(H297,SPLIT(Circuits!$S$2,"";""&amp;CHAR(10)),0),0),FALSE,TRUE))"),"")</f>
        <v/>
      </c>
      <c r="Q297" s="237" t="str">
        <f>IF(ISBLANK(H297),,IFNA(VLOOKUP(H297, Circuits!A:U, 21, FALSE),))</f>
        <v/>
      </c>
      <c r="R297" s="238" t="str">
        <f t="shared" si="7"/>
        <v/>
      </c>
      <c r="S297" s="237" t="str">
        <f>IF(ISBLANK(H297),,IFNA(VLOOKUP(H297, Circuits!A:V, 22, FALSE),))</f>
        <v/>
      </c>
      <c r="T297" s="237" t="str">
        <f>IF(ISBLANK(H297),,IFNA(VLOOKUP(H297, Circuits!A:X, 24, FALSE),))</f>
        <v/>
      </c>
      <c r="V297" s="236" t="str">
        <f>IFERROR(__xludf.DUMMYFUNCTION("IF(ISBLANK(H297),,JOIN("","",H297:T297))"),"")</f>
        <v/>
      </c>
      <c r="W297" s="229" t="str">
        <f t="shared" si="1"/>
        <v/>
      </c>
    </row>
    <row r="298">
      <c r="H298" s="237"/>
      <c r="I298" s="237" t="str">
        <f>IFERROR(__xludf.DUMMYFUNCTION("IF(ISBLANK(H298),,IFNA(""""""""&amp;JOIN("","",INDEX(FILTER(A:D,A:A=H298),0,4))&amp;"""""""",))"),"")</f>
        <v/>
      </c>
      <c r="J298" s="237" t="str">
        <f>IF(ISBLANK(H298),,IFNA(VLOOKUP(H298, Circuits!A:W, 23, FALSE),))</f>
        <v/>
      </c>
      <c r="K298" s="238" t="str">
        <f t="shared" si="2"/>
        <v/>
      </c>
      <c r="L298" s="238" t="str">
        <f t="shared" si="3"/>
        <v/>
      </c>
      <c r="M298" s="238" t="str">
        <f t="shared" si="4"/>
        <v/>
      </c>
      <c r="N298" s="238" t="str">
        <f t="shared" si="5"/>
        <v/>
      </c>
      <c r="O298" s="238" t="str">
        <f t="shared" si="6"/>
        <v/>
      </c>
      <c r="P298" s="237" t="str">
        <f>IFERROR(__xludf.DUMMYFUNCTION("IF(ISBLANK(H298),,IF(IFNA(MATCH(H298,SPLIT(Circuits!$S$2,"";""&amp;CHAR(10)),0),0),FALSE,TRUE))"),"")</f>
        <v/>
      </c>
      <c r="Q298" s="237" t="str">
        <f>IF(ISBLANK(H298),,IFNA(VLOOKUP(H298, Circuits!A:U, 21, FALSE),))</f>
        <v/>
      </c>
      <c r="R298" s="238" t="str">
        <f t="shared" si="7"/>
        <v/>
      </c>
      <c r="S298" s="237" t="str">
        <f>IF(ISBLANK(H298),,IFNA(VLOOKUP(H298, Circuits!A:V, 22, FALSE),))</f>
        <v/>
      </c>
      <c r="T298" s="237" t="str">
        <f>IF(ISBLANK(H298),,IFNA(VLOOKUP(H298, Circuits!A:X, 24, FALSE),))</f>
        <v/>
      </c>
      <c r="V298" s="236" t="str">
        <f>IFERROR(__xludf.DUMMYFUNCTION("IF(ISBLANK(H298),,JOIN("","",H298:T298))"),"")</f>
        <v/>
      </c>
      <c r="W298" s="229" t="str">
        <f t="shared" si="1"/>
        <v/>
      </c>
    </row>
    <row r="299">
      <c r="H299" s="237"/>
      <c r="I299" s="237" t="str">
        <f>IFERROR(__xludf.DUMMYFUNCTION("IF(ISBLANK(H299),,IFNA(""""""""&amp;JOIN("","",INDEX(FILTER(A:D,A:A=H299),0,4))&amp;"""""""",))"),"")</f>
        <v/>
      </c>
      <c r="J299" s="237" t="str">
        <f>IF(ISBLANK(H299),,IFNA(VLOOKUP(H299, Circuits!A:W, 23, FALSE),))</f>
        <v/>
      </c>
      <c r="K299" s="238" t="str">
        <f t="shared" si="2"/>
        <v/>
      </c>
      <c r="L299" s="238" t="str">
        <f t="shared" si="3"/>
        <v/>
      </c>
      <c r="M299" s="238" t="str">
        <f t="shared" si="4"/>
        <v/>
      </c>
      <c r="N299" s="238" t="str">
        <f t="shared" si="5"/>
        <v/>
      </c>
      <c r="O299" s="238" t="str">
        <f t="shared" si="6"/>
        <v/>
      </c>
      <c r="P299" s="237" t="str">
        <f>IFERROR(__xludf.DUMMYFUNCTION("IF(ISBLANK(H299),,IF(IFNA(MATCH(H299,SPLIT(Circuits!$S$2,"";""&amp;CHAR(10)),0),0),FALSE,TRUE))"),"")</f>
        <v/>
      </c>
      <c r="Q299" s="237" t="str">
        <f>IF(ISBLANK(H299),,IFNA(VLOOKUP(H299, Circuits!A:U, 21, FALSE),))</f>
        <v/>
      </c>
      <c r="R299" s="238" t="str">
        <f t="shared" si="7"/>
        <v/>
      </c>
      <c r="S299" s="237" t="str">
        <f>IF(ISBLANK(H299),,IFNA(VLOOKUP(H299, Circuits!A:V, 22, FALSE),))</f>
        <v/>
      </c>
      <c r="T299" s="237" t="str">
        <f>IF(ISBLANK(H299),,IFNA(VLOOKUP(H299, Circuits!A:X, 24, FALSE),))</f>
        <v/>
      </c>
      <c r="V299" s="236" t="str">
        <f>IFERROR(__xludf.DUMMYFUNCTION("IF(ISBLANK(H299),,JOIN("","",H299:T299))"),"")</f>
        <v/>
      </c>
      <c r="W299" s="229" t="str">
        <f t="shared" si="1"/>
        <v/>
      </c>
    </row>
    <row r="300">
      <c r="H300" s="237"/>
      <c r="I300" s="237" t="str">
        <f>IFERROR(__xludf.DUMMYFUNCTION("IF(ISBLANK(H300),,IFNA(""""""""&amp;JOIN("","",INDEX(FILTER(A:D,A:A=H300),0,4))&amp;"""""""",))"),"")</f>
        <v/>
      </c>
      <c r="J300" s="237" t="str">
        <f>IF(ISBLANK(H300),,IFNA(VLOOKUP(H300, Circuits!A:W, 23, FALSE),))</f>
        <v/>
      </c>
      <c r="K300" s="238" t="str">
        <f t="shared" si="2"/>
        <v/>
      </c>
      <c r="L300" s="238" t="str">
        <f t="shared" si="3"/>
        <v/>
      </c>
      <c r="M300" s="238" t="str">
        <f t="shared" si="4"/>
        <v/>
      </c>
      <c r="N300" s="238" t="str">
        <f t="shared" si="5"/>
        <v/>
      </c>
      <c r="O300" s="238" t="str">
        <f t="shared" si="6"/>
        <v/>
      </c>
      <c r="P300" s="237" t="str">
        <f>IFERROR(__xludf.DUMMYFUNCTION("IF(ISBLANK(H300),,IF(IFNA(MATCH(H300,SPLIT(Circuits!$S$2,"";""&amp;CHAR(10)),0),0),FALSE,TRUE))"),"")</f>
        <v/>
      </c>
      <c r="Q300" s="237" t="str">
        <f>IF(ISBLANK(H300),,IFNA(VLOOKUP(H300, Circuits!A:U, 21, FALSE),))</f>
        <v/>
      </c>
      <c r="R300" s="238" t="str">
        <f t="shared" si="7"/>
        <v/>
      </c>
      <c r="S300" s="237" t="str">
        <f>IF(ISBLANK(H300),,IFNA(VLOOKUP(H300, Circuits!A:V, 22, FALSE),))</f>
        <v/>
      </c>
      <c r="T300" s="237" t="str">
        <f>IF(ISBLANK(H300),,IFNA(VLOOKUP(H300, Circuits!A:X, 24, FALSE),))</f>
        <v/>
      </c>
      <c r="V300" s="236" t="str">
        <f>IFERROR(__xludf.DUMMYFUNCTION("IF(ISBLANK(H300),,JOIN("","",H300:T300))"),"")</f>
        <v/>
      </c>
      <c r="W300" s="229" t="str">
        <f t="shared" si="1"/>
        <v/>
      </c>
    </row>
    <row r="301">
      <c r="H301" s="237"/>
      <c r="I301" s="237" t="str">
        <f>IFERROR(__xludf.DUMMYFUNCTION("IF(ISBLANK(H301),,IFNA(""""""""&amp;JOIN("","",INDEX(FILTER(A:D,A:A=H301),0,4))&amp;"""""""",))"),"")</f>
        <v/>
      </c>
      <c r="J301" s="237" t="str">
        <f>IF(ISBLANK(H301),,IFNA(VLOOKUP(H301, Circuits!A:W, 23, FALSE),))</f>
        <v/>
      </c>
      <c r="K301" s="238" t="str">
        <f t="shared" si="2"/>
        <v/>
      </c>
      <c r="L301" s="238" t="str">
        <f t="shared" si="3"/>
        <v/>
      </c>
      <c r="M301" s="238" t="str">
        <f t="shared" si="4"/>
        <v/>
      </c>
      <c r="N301" s="238" t="str">
        <f t="shared" si="5"/>
        <v/>
      </c>
      <c r="O301" s="238" t="str">
        <f t="shared" si="6"/>
        <v/>
      </c>
      <c r="P301" s="237" t="str">
        <f>IFERROR(__xludf.DUMMYFUNCTION("IF(ISBLANK(H301),,IF(IFNA(MATCH(H301,SPLIT(Circuits!$S$2,"";""&amp;CHAR(10)),0),0),FALSE,TRUE))"),"")</f>
        <v/>
      </c>
      <c r="Q301" s="237" t="str">
        <f>IF(ISBLANK(H301),,IFNA(VLOOKUP(H301, Circuits!A:U, 21, FALSE),))</f>
        <v/>
      </c>
      <c r="R301" s="238" t="str">
        <f t="shared" si="7"/>
        <v/>
      </c>
      <c r="S301" s="237" t="str">
        <f>IF(ISBLANK(H301),,IFNA(VLOOKUP(H301, Circuits!A:V, 22, FALSE),))</f>
        <v/>
      </c>
      <c r="T301" s="237" t="str">
        <f>IF(ISBLANK(H301),,IFNA(VLOOKUP(H301, Circuits!A:X, 24, FALSE),))</f>
        <v/>
      </c>
      <c r="V301" s="236" t="str">
        <f>IFERROR(__xludf.DUMMYFUNCTION("IF(ISBLANK(H301),,JOIN("","",H301:T301))"),"")</f>
        <v/>
      </c>
      <c r="W301" s="229" t="str">
        <f t="shared" si="1"/>
        <v/>
      </c>
    </row>
    <row r="302">
      <c r="H302" s="237"/>
      <c r="I302" s="237" t="str">
        <f>IFERROR(__xludf.DUMMYFUNCTION("IF(ISBLANK(H302),,IFNA(""""""""&amp;JOIN("","",INDEX(FILTER(A:D,A:A=H302),0,4))&amp;"""""""",))"),"")</f>
        <v/>
      </c>
      <c r="J302" s="237" t="str">
        <f>IF(ISBLANK(H302),,IFNA(VLOOKUP(H302, Circuits!A:W, 23, FALSE),))</f>
        <v/>
      </c>
      <c r="K302" s="238" t="str">
        <f t="shared" si="2"/>
        <v/>
      </c>
      <c r="L302" s="238" t="str">
        <f t="shared" si="3"/>
        <v/>
      </c>
      <c r="M302" s="238" t="str">
        <f t="shared" si="4"/>
        <v/>
      </c>
      <c r="N302" s="238" t="str">
        <f t="shared" si="5"/>
        <v/>
      </c>
      <c r="O302" s="238" t="str">
        <f t="shared" si="6"/>
        <v/>
      </c>
      <c r="P302" s="237" t="str">
        <f>IFERROR(__xludf.DUMMYFUNCTION("IF(ISBLANK(H302),,IF(IFNA(MATCH(H302,SPLIT(Circuits!$S$2,"";""&amp;CHAR(10)),0),0),FALSE,TRUE))"),"")</f>
        <v/>
      </c>
      <c r="Q302" s="237" t="str">
        <f>IF(ISBLANK(H302),,IFNA(VLOOKUP(H302, Circuits!A:U, 21, FALSE),))</f>
        <v/>
      </c>
      <c r="R302" s="238" t="str">
        <f t="shared" si="7"/>
        <v/>
      </c>
      <c r="S302" s="237" t="str">
        <f>IF(ISBLANK(H302),,IFNA(VLOOKUP(H302, Circuits!A:V, 22, FALSE),))</f>
        <v/>
      </c>
      <c r="T302" s="237" t="str">
        <f>IF(ISBLANK(H302),,IFNA(VLOOKUP(H302, Circuits!A:X, 24, FALSE),))</f>
        <v/>
      </c>
      <c r="V302" s="236" t="str">
        <f>IFERROR(__xludf.DUMMYFUNCTION("IF(ISBLANK(H302),,JOIN("","",H302:T302))"),"")</f>
        <v/>
      </c>
      <c r="W302" s="229" t="str">
        <f t="shared" si="1"/>
        <v/>
      </c>
    </row>
    <row r="303">
      <c r="H303" s="237"/>
      <c r="I303" s="237" t="str">
        <f>IFERROR(__xludf.DUMMYFUNCTION("IF(ISBLANK(H303),,IFNA(""""""""&amp;JOIN("","",INDEX(FILTER(A:D,A:A=H303),0,4))&amp;"""""""",))"),"")</f>
        <v/>
      </c>
      <c r="J303" s="237" t="str">
        <f>IF(ISBLANK(H303),,IFNA(VLOOKUP(H303, Circuits!A:W, 23, FALSE),))</f>
        <v/>
      </c>
      <c r="K303" s="238" t="str">
        <f t="shared" si="2"/>
        <v/>
      </c>
      <c r="L303" s="238" t="str">
        <f t="shared" si="3"/>
        <v/>
      </c>
      <c r="M303" s="238" t="str">
        <f t="shared" si="4"/>
        <v/>
      </c>
      <c r="N303" s="238" t="str">
        <f t="shared" si="5"/>
        <v/>
      </c>
      <c r="O303" s="238" t="str">
        <f t="shared" si="6"/>
        <v/>
      </c>
      <c r="P303" s="237" t="str">
        <f>IFERROR(__xludf.DUMMYFUNCTION("IF(ISBLANK(H303),,IF(IFNA(MATCH(H303,SPLIT(Circuits!$S$2,"";""&amp;CHAR(10)),0),0),FALSE,TRUE))"),"")</f>
        <v/>
      </c>
      <c r="Q303" s="237" t="str">
        <f>IF(ISBLANK(H303),,IFNA(VLOOKUP(H303, Circuits!A:U, 21, FALSE),))</f>
        <v/>
      </c>
      <c r="R303" s="238" t="str">
        <f t="shared" si="7"/>
        <v/>
      </c>
      <c r="S303" s="237" t="str">
        <f>IF(ISBLANK(H303),,IFNA(VLOOKUP(H303, Circuits!A:V, 22, FALSE),))</f>
        <v/>
      </c>
      <c r="T303" s="237" t="str">
        <f>IF(ISBLANK(H303),,IFNA(VLOOKUP(H303, Circuits!A:X, 24, FALSE),))</f>
        <v/>
      </c>
      <c r="V303" s="236" t="str">
        <f>IFERROR(__xludf.DUMMYFUNCTION("IF(ISBLANK(H303),,JOIN("","",H303:T303))"),"")</f>
        <v/>
      </c>
      <c r="W303" s="229" t="str">
        <f t="shared" si="1"/>
        <v/>
      </c>
    </row>
    <row r="304">
      <c r="H304" s="237"/>
      <c r="I304" s="237" t="str">
        <f>IFERROR(__xludf.DUMMYFUNCTION("IF(ISBLANK(H304),,IFNA(""""""""&amp;JOIN("","",INDEX(FILTER(A:D,A:A=H304),0,4))&amp;"""""""",))"),"")</f>
        <v/>
      </c>
      <c r="J304" s="237" t="str">
        <f>IF(ISBLANK(H304),,IFNA(VLOOKUP(H304, Circuits!A:W, 23, FALSE),))</f>
        <v/>
      </c>
      <c r="K304" s="238" t="str">
        <f t="shared" si="2"/>
        <v/>
      </c>
      <c r="L304" s="238" t="str">
        <f t="shared" si="3"/>
        <v/>
      </c>
      <c r="M304" s="238" t="str">
        <f t="shared" si="4"/>
        <v/>
      </c>
      <c r="N304" s="238" t="str">
        <f t="shared" si="5"/>
        <v/>
      </c>
      <c r="O304" s="238" t="str">
        <f t="shared" si="6"/>
        <v/>
      </c>
      <c r="P304" s="237" t="str">
        <f>IFERROR(__xludf.DUMMYFUNCTION("IF(ISBLANK(H304),,IF(IFNA(MATCH(H304,SPLIT(Circuits!$S$2,"";""&amp;CHAR(10)),0),0),FALSE,TRUE))"),"")</f>
        <v/>
      </c>
      <c r="Q304" s="237" t="str">
        <f>IF(ISBLANK(H304),,IFNA(VLOOKUP(H304, Circuits!A:U, 21, FALSE),))</f>
        <v/>
      </c>
      <c r="R304" s="238" t="str">
        <f t="shared" si="7"/>
        <v/>
      </c>
      <c r="S304" s="237" t="str">
        <f>IF(ISBLANK(H304),,IFNA(VLOOKUP(H304, Circuits!A:V, 22, FALSE),))</f>
        <v/>
      </c>
      <c r="T304" s="237" t="str">
        <f>IF(ISBLANK(H304),,IFNA(VLOOKUP(H304, Circuits!A:X, 24, FALSE),))</f>
        <v/>
      </c>
      <c r="V304" s="236" t="str">
        <f>IFERROR(__xludf.DUMMYFUNCTION("IF(ISBLANK(H304),,JOIN("","",H304:T304))"),"")</f>
        <v/>
      </c>
      <c r="W304" s="229" t="str">
        <f t="shared" si="1"/>
        <v/>
      </c>
    </row>
    <row r="305">
      <c r="H305" s="237"/>
      <c r="I305" s="237" t="str">
        <f>IFERROR(__xludf.DUMMYFUNCTION("IF(ISBLANK(H305),,IFNA(""""""""&amp;JOIN("","",INDEX(FILTER(A:D,A:A=H305),0,4))&amp;"""""""",))"),"")</f>
        <v/>
      </c>
      <c r="J305" s="237" t="str">
        <f>IF(ISBLANK(H305),,IFNA(VLOOKUP(H305, Circuits!A:W, 23, FALSE),))</f>
        <v/>
      </c>
      <c r="K305" s="238" t="str">
        <f t="shared" si="2"/>
        <v/>
      </c>
      <c r="L305" s="238" t="str">
        <f t="shared" si="3"/>
        <v/>
      </c>
      <c r="M305" s="238" t="str">
        <f t="shared" si="4"/>
        <v/>
      </c>
      <c r="N305" s="238" t="str">
        <f t="shared" si="5"/>
        <v/>
      </c>
      <c r="O305" s="238" t="str">
        <f t="shared" si="6"/>
        <v/>
      </c>
      <c r="P305" s="237" t="str">
        <f>IFERROR(__xludf.DUMMYFUNCTION("IF(ISBLANK(H305),,IF(IFNA(MATCH(H305,SPLIT(Circuits!$S$2,"";""&amp;CHAR(10)),0),0),FALSE,TRUE))"),"")</f>
        <v/>
      </c>
      <c r="Q305" s="237" t="str">
        <f>IF(ISBLANK(H305),,IFNA(VLOOKUP(H305, Circuits!A:U, 21, FALSE),))</f>
        <v/>
      </c>
      <c r="R305" s="238" t="str">
        <f t="shared" si="7"/>
        <v/>
      </c>
      <c r="S305" s="237" t="str">
        <f>IF(ISBLANK(H305),,IFNA(VLOOKUP(H305, Circuits!A:V, 22, FALSE),))</f>
        <v/>
      </c>
      <c r="T305" s="237" t="str">
        <f>IF(ISBLANK(H305),,IFNA(VLOOKUP(H305, Circuits!A:X, 24, FALSE),))</f>
        <v/>
      </c>
      <c r="V305" s="236" t="str">
        <f>IFERROR(__xludf.DUMMYFUNCTION("IF(ISBLANK(H305),,JOIN("","",H305:T305))"),"")</f>
        <v/>
      </c>
      <c r="W305" s="229" t="str">
        <f t="shared" si="1"/>
        <v/>
      </c>
    </row>
    <row r="306">
      <c r="H306" s="237"/>
      <c r="I306" s="237" t="str">
        <f>IFERROR(__xludf.DUMMYFUNCTION("IF(ISBLANK(H306),,IFNA(""""""""&amp;JOIN("","",INDEX(FILTER(A:D,A:A=H306),0,4))&amp;"""""""",))"),"")</f>
        <v/>
      </c>
      <c r="J306" s="237" t="str">
        <f>IF(ISBLANK(H306),,IFNA(VLOOKUP(H306, Circuits!A:W, 23, FALSE),))</f>
        <v/>
      </c>
      <c r="K306" s="238" t="str">
        <f t="shared" si="2"/>
        <v/>
      </c>
      <c r="L306" s="238" t="str">
        <f t="shared" si="3"/>
        <v/>
      </c>
      <c r="M306" s="238" t="str">
        <f t="shared" si="4"/>
        <v/>
      </c>
      <c r="N306" s="238" t="str">
        <f t="shared" si="5"/>
        <v/>
      </c>
      <c r="O306" s="238" t="str">
        <f t="shared" si="6"/>
        <v/>
      </c>
      <c r="P306" s="237" t="str">
        <f>IFERROR(__xludf.DUMMYFUNCTION("IF(ISBLANK(H306),,IF(IFNA(MATCH(H306,SPLIT(Circuits!$S$2,"";""&amp;CHAR(10)),0),0),FALSE,TRUE))"),"")</f>
        <v/>
      </c>
      <c r="Q306" s="237" t="str">
        <f>IF(ISBLANK(H306),,IFNA(VLOOKUP(H306, Circuits!A:U, 21, FALSE),))</f>
        <v/>
      </c>
      <c r="R306" s="238" t="str">
        <f t="shared" si="7"/>
        <v/>
      </c>
      <c r="S306" s="237" t="str">
        <f>IF(ISBLANK(H306),,IFNA(VLOOKUP(H306, Circuits!A:V, 22, FALSE),))</f>
        <v/>
      </c>
      <c r="T306" s="237" t="str">
        <f>IF(ISBLANK(H306),,IFNA(VLOOKUP(H306, Circuits!A:X, 24, FALSE),))</f>
        <v/>
      </c>
      <c r="V306" s="236" t="str">
        <f>IFERROR(__xludf.DUMMYFUNCTION("IF(ISBLANK(H306),,JOIN("","",H306:T306))"),"")</f>
        <v/>
      </c>
      <c r="W306" s="229" t="str">
        <f t="shared" si="1"/>
        <v/>
      </c>
    </row>
    <row r="307">
      <c r="H307" s="237"/>
      <c r="I307" s="237" t="str">
        <f>IFERROR(__xludf.DUMMYFUNCTION("IF(ISBLANK(H307),,IFNA(""""""""&amp;JOIN("","",INDEX(FILTER(A:D,A:A=H307),0,4))&amp;"""""""",))"),"")</f>
        <v/>
      </c>
      <c r="J307" s="237" t="str">
        <f>IF(ISBLANK(H307),,IFNA(VLOOKUP(H307, Circuits!A:W, 23, FALSE),))</f>
        <v/>
      </c>
      <c r="K307" s="238" t="str">
        <f t="shared" si="2"/>
        <v/>
      </c>
      <c r="L307" s="238" t="str">
        <f t="shared" si="3"/>
        <v/>
      </c>
      <c r="M307" s="238" t="str">
        <f t="shared" si="4"/>
        <v/>
      </c>
      <c r="N307" s="238" t="str">
        <f t="shared" si="5"/>
        <v/>
      </c>
      <c r="O307" s="238" t="str">
        <f t="shared" si="6"/>
        <v/>
      </c>
      <c r="P307" s="237" t="str">
        <f>IFERROR(__xludf.DUMMYFUNCTION("IF(ISBLANK(H307),,IF(IFNA(MATCH(H307,SPLIT(Circuits!$S$2,"";""&amp;CHAR(10)),0),0),FALSE,TRUE))"),"")</f>
        <v/>
      </c>
      <c r="Q307" s="237" t="str">
        <f>IF(ISBLANK(H307),,IFNA(VLOOKUP(H307, Circuits!A:U, 21, FALSE),))</f>
        <v/>
      </c>
      <c r="R307" s="238" t="str">
        <f t="shared" si="7"/>
        <v/>
      </c>
      <c r="S307" s="237" t="str">
        <f>IF(ISBLANK(H307),,IFNA(VLOOKUP(H307, Circuits!A:V, 22, FALSE),))</f>
        <v/>
      </c>
      <c r="T307" s="237" t="str">
        <f>IF(ISBLANK(H307),,IFNA(VLOOKUP(H307, Circuits!A:X, 24, FALSE),))</f>
        <v/>
      </c>
      <c r="V307" s="236" t="str">
        <f>IFERROR(__xludf.DUMMYFUNCTION("IF(ISBLANK(H307),,JOIN("","",H307:T307))"),"")</f>
        <v/>
      </c>
      <c r="W307" s="229" t="str">
        <f t="shared" si="1"/>
        <v/>
      </c>
    </row>
    <row r="308">
      <c r="H308" s="237"/>
      <c r="I308" s="237" t="str">
        <f>IFERROR(__xludf.DUMMYFUNCTION("IF(ISBLANK(H308),,IFNA(""""""""&amp;JOIN("","",INDEX(FILTER(A:D,A:A=H308),0,4))&amp;"""""""",))"),"")</f>
        <v/>
      </c>
      <c r="J308" s="237" t="str">
        <f>IF(ISBLANK(H308),,IFNA(VLOOKUP(H308, Circuits!A:W, 23, FALSE),))</f>
        <v/>
      </c>
      <c r="K308" s="238" t="str">
        <f t="shared" si="2"/>
        <v/>
      </c>
      <c r="L308" s="238" t="str">
        <f t="shared" si="3"/>
        <v/>
      </c>
      <c r="M308" s="238" t="str">
        <f t="shared" si="4"/>
        <v/>
      </c>
      <c r="N308" s="238" t="str">
        <f t="shared" si="5"/>
        <v/>
      </c>
      <c r="O308" s="238" t="str">
        <f t="shared" si="6"/>
        <v/>
      </c>
      <c r="P308" s="237" t="str">
        <f>IFERROR(__xludf.DUMMYFUNCTION("IF(ISBLANK(H308),,IF(IFNA(MATCH(H308,SPLIT(Circuits!$S$2,"";""&amp;CHAR(10)),0),0),FALSE,TRUE))"),"")</f>
        <v/>
      </c>
      <c r="Q308" s="237" t="str">
        <f>IF(ISBLANK(H308),,IFNA(VLOOKUP(H308, Circuits!A:U, 21, FALSE),))</f>
        <v/>
      </c>
      <c r="R308" s="238" t="str">
        <f t="shared" si="7"/>
        <v/>
      </c>
      <c r="S308" s="237" t="str">
        <f>IF(ISBLANK(H308),,IFNA(VLOOKUP(H308, Circuits!A:V, 22, FALSE),))</f>
        <v/>
      </c>
      <c r="T308" s="237" t="str">
        <f>IF(ISBLANK(H308),,IFNA(VLOOKUP(H308, Circuits!A:X, 24, FALSE),))</f>
        <v/>
      </c>
      <c r="V308" s="236" t="str">
        <f>IFERROR(__xludf.DUMMYFUNCTION("IF(ISBLANK(H308),,JOIN("","",H308:T308))"),"")</f>
        <v/>
      </c>
      <c r="W308" s="229" t="str">
        <f t="shared" si="1"/>
        <v/>
      </c>
    </row>
    <row r="309">
      <c r="H309" s="237"/>
      <c r="I309" s="237" t="str">
        <f>IFERROR(__xludf.DUMMYFUNCTION("IF(ISBLANK(H309),,IFNA(""""""""&amp;JOIN("","",INDEX(FILTER(A:D,A:A=H309),0,4))&amp;"""""""",))"),"")</f>
        <v/>
      </c>
      <c r="J309" s="237" t="str">
        <f>IF(ISBLANK(H309),,IFNA(VLOOKUP(H309, Circuits!A:W, 23, FALSE),))</f>
        <v/>
      </c>
      <c r="K309" s="238" t="str">
        <f t="shared" si="2"/>
        <v/>
      </c>
      <c r="L309" s="238" t="str">
        <f t="shared" si="3"/>
        <v/>
      </c>
      <c r="M309" s="238" t="str">
        <f t="shared" si="4"/>
        <v/>
      </c>
      <c r="N309" s="238" t="str">
        <f t="shared" si="5"/>
        <v/>
      </c>
      <c r="O309" s="238" t="str">
        <f t="shared" si="6"/>
        <v/>
      </c>
      <c r="P309" s="237" t="str">
        <f>IFERROR(__xludf.DUMMYFUNCTION("IF(ISBLANK(H309),,IF(IFNA(MATCH(H309,SPLIT(Circuits!$S$2,"";""&amp;CHAR(10)),0),0),FALSE,TRUE))"),"")</f>
        <v/>
      </c>
      <c r="Q309" s="237" t="str">
        <f>IF(ISBLANK(H309),,IFNA(VLOOKUP(H309, Circuits!A:U, 21, FALSE),))</f>
        <v/>
      </c>
      <c r="R309" s="238" t="str">
        <f t="shared" si="7"/>
        <v/>
      </c>
      <c r="S309" s="237" t="str">
        <f>IF(ISBLANK(H309),,IFNA(VLOOKUP(H309, Circuits!A:V, 22, FALSE),))</f>
        <v/>
      </c>
      <c r="T309" s="237" t="str">
        <f>IF(ISBLANK(H309),,IFNA(VLOOKUP(H309, Circuits!A:X, 24, FALSE),))</f>
        <v/>
      </c>
      <c r="V309" s="236" t="str">
        <f>IFERROR(__xludf.DUMMYFUNCTION("IF(ISBLANK(H309),,JOIN("","",H309:T309))"),"")</f>
        <v/>
      </c>
      <c r="W309" s="229" t="str">
        <f t="shared" si="1"/>
        <v/>
      </c>
    </row>
    <row r="310">
      <c r="H310" s="237"/>
      <c r="I310" s="237" t="str">
        <f>IFERROR(__xludf.DUMMYFUNCTION("IF(ISBLANK(H310),,IFNA(""""""""&amp;JOIN("","",INDEX(FILTER(A:D,A:A=H310),0,4))&amp;"""""""",))"),"")</f>
        <v/>
      </c>
      <c r="J310" s="237" t="str">
        <f>IF(ISBLANK(H310),,IFNA(VLOOKUP(H310, Circuits!A:W, 23, FALSE),))</f>
        <v/>
      </c>
      <c r="K310" s="238" t="str">
        <f t="shared" si="2"/>
        <v/>
      </c>
      <c r="L310" s="238" t="str">
        <f t="shared" si="3"/>
        <v/>
      </c>
      <c r="M310" s="238" t="str">
        <f t="shared" si="4"/>
        <v/>
      </c>
      <c r="N310" s="238" t="str">
        <f t="shared" si="5"/>
        <v/>
      </c>
      <c r="O310" s="238" t="str">
        <f t="shared" si="6"/>
        <v/>
      </c>
      <c r="P310" s="237" t="str">
        <f>IFERROR(__xludf.DUMMYFUNCTION("IF(ISBLANK(H310),,IF(IFNA(MATCH(H310,SPLIT(Circuits!$S$2,"";""&amp;CHAR(10)),0),0),FALSE,TRUE))"),"")</f>
        <v/>
      </c>
      <c r="Q310" s="237" t="str">
        <f>IF(ISBLANK(H310),,IFNA(VLOOKUP(H310, Circuits!A:U, 21, FALSE),))</f>
        <v/>
      </c>
      <c r="R310" s="238" t="str">
        <f t="shared" si="7"/>
        <v/>
      </c>
      <c r="S310" s="237" t="str">
        <f>IF(ISBLANK(H310),,IFNA(VLOOKUP(H310, Circuits!A:V, 22, FALSE),))</f>
        <v/>
      </c>
      <c r="T310" s="237" t="str">
        <f>IF(ISBLANK(H310),,IFNA(VLOOKUP(H310, Circuits!A:X, 24, FALSE),))</f>
        <v/>
      </c>
      <c r="V310" s="236" t="str">
        <f>IFERROR(__xludf.DUMMYFUNCTION("IF(ISBLANK(H310),,JOIN("","",H310:T310))"),"")</f>
        <v/>
      </c>
      <c r="W310" s="229" t="str">
        <f t="shared" si="1"/>
        <v/>
      </c>
    </row>
    <row r="311">
      <c r="H311" s="237"/>
      <c r="I311" s="237" t="str">
        <f>IFERROR(__xludf.DUMMYFUNCTION("IF(ISBLANK(H311),,IFNA(""""""""&amp;JOIN("","",INDEX(FILTER(A:D,A:A=H311),0,4))&amp;"""""""",))"),"")</f>
        <v/>
      </c>
      <c r="J311" s="237" t="str">
        <f>IF(ISBLANK(H311),,IFNA(VLOOKUP(H311, Circuits!A:W, 23, FALSE),))</f>
        <v/>
      </c>
      <c r="K311" s="238" t="str">
        <f t="shared" si="2"/>
        <v/>
      </c>
      <c r="L311" s="238" t="str">
        <f t="shared" si="3"/>
        <v/>
      </c>
      <c r="M311" s="238" t="str">
        <f t="shared" si="4"/>
        <v/>
      </c>
      <c r="N311" s="238" t="str">
        <f t="shared" si="5"/>
        <v/>
      </c>
      <c r="O311" s="238" t="str">
        <f t="shared" si="6"/>
        <v/>
      </c>
      <c r="P311" s="237" t="str">
        <f>IFERROR(__xludf.DUMMYFUNCTION("IF(ISBLANK(H311),,IF(IFNA(MATCH(H311,SPLIT(Circuits!$S$2,"";""&amp;CHAR(10)),0),0),FALSE,TRUE))"),"")</f>
        <v/>
      </c>
      <c r="Q311" s="237" t="str">
        <f>IF(ISBLANK(H311),,IFNA(VLOOKUP(H311, Circuits!A:U, 21, FALSE),))</f>
        <v/>
      </c>
      <c r="R311" s="238" t="str">
        <f t="shared" si="7"/>
        <v/>
      </c>
      <c r="S311" s="237" t="str">
        <f>IF(ISBLANK(H311),,IFNA(VLOOKUP(H311, Circuits!A:V, 22, FALSE),))</f>
        <v/>
      </c>
      <c r="T311" s="237" t="str">
        <f>IF(ISBLANK(H311),,IFNA(VLOOKUP(H311, Circuits!A:X, 24, FALSE),))</f>
        <v/>
      </c>
      <c r="V311" s="236" t="str">
        <f>IFERROR(__xludf.DUMMYFUNCTION("IF(ISBLANK(H311),,JOIN("","",H311:T311))"),"")</f>
        <v/>
      </c>
      <c r="W311" s="229" t="str">
        <f t="shared" si="1"/>
        <v/>
      </c>
    </row>
    <row r="312">
      <c r="H312" s="237"/>
      <c r="I312" s="237" t="str">
        <f>IFERROR(__xludf.DUMMYFUNCTION("IF(ISBLANK(H312),,IFNA(""""""""&amp;JOIN("","",INDEX(FILTER(A:D,A:A=H312),0,4))&amp;"""""""",))"),"")</f>
        <v/>
      </c>
      <c r="J312" s="237" t="str">
        <f>IF(ISBLANK(H312),,IFNA(VLOOKUP(H312, Circuits!A:W, 23, FALSE),))</f>
        <v/>
      </c>
      <c r="K312" s="238" t="str">
        <f t="shared" si="2"/>
        <v/>
      </c>
      <c r="L312" s="238" t="str">
        <f t="shared" si="3"/>
        <v/>
      </c>
      <c r="M312" s="238" t="str">
        <f t="shared" si="4"/>
        <v/>
      </c>
      <c r="N312" s="238" t="str">
        <f t="shared" si="5"/>
        <v/>
      </c>
      <c r="O312" s="238" t="str">
        <f t="shared" si="6"/>
        <v/>
      </c>
      <c r="P312" s="237" t="str">
        <f>IFERROR(__xludf.DUMMYFUNCTION("IF(ISBLANK(H312),,IF(IFNA(MATCH(H312,SPLIT(Circuits!$S$2,"";""&amp;CHAR(10)),0),0),FALSE,TRUE))"),"")</f>
        <v/>
      </c>
      <c r="Q312" s="237" t="str">
        <f>IF(ISBLANK(H312),,IFNA(VLOOKUP(H312, Circuits!A:U, 21, FALSE),))</f>
        <v/>
      </c>
      <c r="R312" s="238" t="str">
        <f t="shared" si="7"/>
        <v/>
      </c>
      <c r="S312" s="237" t="str">
        <f>IF(ISBLANK(H312),,IFNA(VLOOKUP(H312, Circuits!A:V, 22, FALSE),))</f>
        <v/>
      </c>
      <c r="T312" s="237" t="str">
        <f>IF(ISBLANK(H312),,IFNA(VLOOKUP(H312, Circuits!A:X, 24, FALSE),))</f>
        <v/>
      </c>
      <c r="V312" s="236" t="str">
        <f>IFERROR(__xludf.DUMMYFUNCTION("IF(ISBLANK(H312),,JOIN("","",H312:T312))"),"")</f>
        <v/>
      </c>
      <c r="W312" s="229" t="str">
        <f t="shared" si="1"/>
        <v/>
      </c>
    </row>
    <row r="313">
      <c r="H313" s="237"/>
      <c r="I313" s="237" t="str">
        <f>IFERROR(__xludf.DUMMYFUNCTION("IF(ISBLANK(H313),,IFNA(""""""""&amp;JOIN("","",INDEX(FILTER(A:D,A:A=H313),0,4))&amp;"""""""",))"),"")</f>
        <v/>
      </c>
      <c r="J313" s="237" t="str">
        <f>IF(ISBLANK(H313),,IFNA(VLOOKUP(H313, Circuits!A:W, 23, FALSE),))</f>
        <v/>
      </c>
      <c r="K313" s="238" t="str">
        <f t="shared" si="2"/>
        <v/>
      </c>
      <c r="L313" s="238" t="str">
        <f t="shared" si="3"/>
        <v/>
      </c>
      <c r="M313" s="238" t="str">
        <f t="shared" si="4"/>
        <v/>
      </c>
      <c r="N313" s="238" t="str">
        <f t="shared" si="5"/>
        <v/>
      </c>
      <c r="O313" s="238" t="str">
        <f t="shared" si="6"/>
        <v/>
      </c>
      <c r="P313" s="237" t="str">
        <f>IFERROR(__xludf.DUMMYFUNCTION("IF(ISBLANK(H313),,IF(IFNA(MATCH(H313,SPLIT(Circuits!$S$2,"";""&amp;CHAR(10)),0),0),FALSE,TRUE))"),"")</f>
        <v/>
      </c>
      <c r="Q313" s="237" t="str">
        <f>IF(ISBLANK(H313),,IFNA(VLOOKUP(H313, Circuits!A:U, 21, FALSE),))</f>
        <v/>
      </c>
      <c r="R313" s="238" t="str">
        <f t="shared" si="7"/>
        <v/>
      </c>
      <c r="S313" s="237" t="str">
        <f>IF(ISBLANK(H313),,IFNA(VLOOKUP(H313, Circuits!A:V, 22, FALSE),))</f>
        <v/>
      </c>
      <c r="T313" s="237" t="str">
        <f>IF(ISBLANK(H313),,IFNA(VLOOKUP(H313, Circuits!A:X, 24, FALSE),))</f>
        <v/>
      </c>
      <c r="V313" s="236" t="str">
        <f>IFERROR(__xludf.DUMMYFUNCTION("IF(ISBLANK(H313),,JOIN("","",H313:T313))"),"")</f>
        <v/>
      </c>
      <c r="W313" s="229" t="str">
        <f t="shared" si="1"/>
        <v/>
      </c>
    </row>
    <row r="314">
      <c r="H314" s="237"/>
      <c r="I314" s="237" t="str">
        <f>IFERROR(__xludf.DUMMYFUNCTION("IF(ISBLANK(H314),,IFNA(""""""""&amp;JOIN("","",INDEX(FILTER(A:D,A:A=H314),0,4))&amp;"""""""",))"),"")</f>
        <v/>
      </c>
      <c r="J314" s="237" t="str">
        <f>IF(ISBLANK(H314),,IFNA(VLOOKUP(H314, Circuits!A:W, 23, FALSE),))</f>
        <v/>
      </c>
      <c r="K314" s="238" t="str">
        <f t="shared" si="2"/>
        <v/>
      </c>
      <c r="L314" s="238" t="str">
        <f t="shared" si="3"/>
        <v/>
      </c>
      <c r="M314" s="238" t="str">
        <f t="shared" si="4"/>
        <v/>
      </c>
      <c r="N314" s="238" t="str">
        <f t="shared" si="5"/>
        <v/>
      </c>
      <c r="O314" s="238" t="str">
        <f t="shared" si="6"/>
        <v/>
      </c>
      <c r="P314" s="237" t="str">
        <f>IFERROR(__xludf.DUMMYFUNCTION("IF(ISBLANK(H314),,IF(IFNA(MATCH(H314,SPLIT(Circuits!$S$2,"";""&amp;CHAR(10)),0),0),FALSE,TRUE))"),"")</f>
        <v/>
      </c>
      <c r="Q314" s="237" t="str">
        <f>IF(ISBLANK(H314),,IFNA(VLOOKUP(H314, Circuits!A:U, 21, FALSE),))</f>
        <v/>
      </c>
      <c r="R314" s="238" t="str">
        <f t="shared" si="7"/>
        <v/>
      </c>
      <c r="S314" s="237" t="str">
        <f>IF(ISBLANK(H314),,IFNA(VLOOKUP(H314, Circuits!A:V, 22, FALSE),))</f>
        <v/>
      </c>
      <c r="T314" s="237" t="str">
        <f>IF(ISBLANK(H314),,IFNA(VLOOKUP(H314, Circuits!A:X, 24, FALSE),))</f>
        <v/>
      </c>
      <c r="V314" s="236" t="str">
        <f>IFERROR(__xludf.DUMMYFUNCTION("IF(ISBLANK(H314),,JOIN("","",H314:T314))"),"")</f>
        <v/>
      </c>
      <c r="W314" s="229" t="str">
        <f t="shared" si="1"/>
        <v/>
      </c>
    </row>
    <row r="315">
      <c r="H315" s="237"/>
      <c r="I315" s="237" t="str">
        <f>IFERROR(__xludf.DUMMYFUNCTION("IF(ISBLANK(H315),,IFNA(""""""""&amp;JOIN("","",INDEX(FILTER(A:D,A:A=H315),0,4))&amp;"""""""",))"),"")</f>
        <v/>
      </c>
      <c r="J315" s="237" t="str">
        <f>IF(ISBLANK(H315),,IFNA(VLOOKUP(H315, Circuits!A:W, 23, FALSE),))</f>
        <v/>
      </c>
      <c r="K315" s="238" t="str">
        <f t="shared" si="2"/>
        <v/>
      </c>
      <c r="L315" s="238" t="str">
        <f t="shared" si="3"/>
        <v/>
      </c>
      <c r="M315" s="238" t="str">
        <f t="shared" si="4"/>
        <v/>
      </c>
      <c r="N315" s="238" t="str">
        <f t="shared" si="5"/>
        <v/>
      </c>
      <c r="O315" s="238" t="str">
        <f t="shared" si="6"/>
        <v/>
      </c>
      <c r="P315" s="237" t="str">
        <f>IFERROR(__xludf.DUMMYFUNCTION("IF(ISBLANK(H315),,IF(IFNA(MATCH(H315,SPLIT(Circuits!$S$2,"";""&amp;CHAR(10)),0),0),FALSE,TRUE))"),"")</f>
        <v/>
      </c>
      <c r="Q315" s="237" t="str">
        <f>IF(ISBLANK(H315),,IFNA(VLOOKUP(H315, Circuits!A:U, 21, FALSE),))</f>
        <v/>
      </c>
      <c r="R315" s="238" t="str">
        <f t="shared" si="7"/>
        <v/>
      </c>
      <c r="S315" s="237" t="str">
        <f>IF(ISBLANK(H315),,IFNA(VLOOKUP(H315, Circuits!A:V, 22, FALSE),))</f>
        <v/>
      </c>
      <c r="T315" s="237" t="str">
        <f>IF(ISBLANK(H315),,IFNA(VLOOKUP(H315, Circuits!A:X, 24, FALSE),))</f>
        <v/>
      </c>
      <c r="V315" s="236" t="str">
        <f>IFERROR(__xludf.DUMMYFUNCTION("IF(ISBLANK(H315),,JOIN("","",H315:T315))"),"")</f>
        <v/>
      </c>
      <c r="W315" s="229" t="str">
        <f t="shared" si="1"/>
        <v/>
      </c>
    </row>
    <row r="316">
      <c r="H316" s="237"/>
      <c r="I316" s="237" t="str">
        <f>IFERROR(__xludf.DUMMYFUNCTION("IF(ISBLANK(H316),,IFNA(""""""""&amp;JOIN("","",INDEX(FILTER(A:D,A:A=H316),0,4))&amp;"""""""",))"),"")</f>
        <v/>
      </c>
      <c r="J316" s="237" t="str">
        <f>IF(ISBLANK(H316),,IFNA(VLOOKUP(H316, Circuits!A:W, 23, FALSE),))</f>
        <v/>
      </c>
      <c r="K316" s="238" t="str">
        <f t="shared" si="2"/>
        <v/>
      </c>
      <c r="L316" s="238" t="str">
        <f t="shared" si="3"/>
        <v/>
      </c>
      <c r="M316" s="238" t="str">
        <f t="shared" si="4"/>
        <v/>
      </c>
      <c r="N316" s="238" t="str">
        <f t="shared" si="5"/>
        <v/>
      </c>
      <c r="O316" s="238" t="str">
        <f t="shared" si="6"/>
        <v/>
      </c>
      <c r="P316" s="237" t="str">
        <f>IFERROR(__xludf.DUMMYFUNCTION("IF(ISBLANK(H316),,IF(IFNA(MATCH(H316,SPLIT(Circuits!$S$2,"";""&amp;CHAR(10)),0),0),FALSE,TRUE))"),"")</f>
        <v/>
      </c>
      <c r="Q316" s="237" t="str">
        <f>IF(ISBLANK(H316),,IFNA(VLOOKUP(H316, Circuits!A:U, 21, FALSE),))</f>
        <v/>
      </c>
      <c r="R316" s="238" t="str">
        <f t="shared" si="7"/>
        <v/>
      </c>
      <c r="S316" s="237" t="str">
        <f>IF(ISBLANK(H316),,IFNA(VLOOKUP(H316, Circuits!A:V, 22, FALSE),))</f>
        <v/>
      </c>
      <c r="T316" s="237" t="str">
        <f>IF(ISBLANK(H316),,IFNA(VLOOKUP(H316, Circuits!A:X, 24, FALSE),))</f>
        <v/>
      </c>
      <c r="V316" s="236" t="str">
        <f>IFERROR(__xludf.DUMMYFUNCTION("IF(ISBLANK(H316),,JOIN("","",H316:T316))"),"")</f>
        <v/>
      </c>
      <c r="W316" s="229" t="str">
        <f t="shared" si="1"/>
        <v/>
      </c>
    </row>
    <row r="317">
      <c r="H317" s="237"/>
      <c r="I317" s="237" t="str">
        <f>IFERROR(__xludf.DUMMYFUNCTION("IF(ISBLANK(H317),,IFNA(""""""""&amp;JOIN("","",INDEX(FILTER(A:D,A:A=H317),0,4))&amp;"""""""",))"),"")</f>
        <v/>
      </c>
      <c r="J317" s="237" t="str">
        <f>IF(ISBLANK(H317),,IFNA(VLOOKUP(H317, Circuits!A:W, 23, FALSE),))</f>
        <v/>
      </c>
      <c r="K317" s="238" t="str">
        <f t="shared" si="2"/>
        <v/>
      </c>
      <c r="L317" s="238" t="str">
        <f t="shared" si="3"/>
        <v/>
      </c>
      <c r="M317" s="238" t="str">
        <f t="shared" si="4"/>
        <v/>
      </c>
      <c r="N317" s="238" t="str">
        <f t="shared" si="5"/>
        <v/>
      </c>
      <c r="O317" s="238" t="str">
        <f t="shared" si="6"/>
        <v/>
      </c>
      <c r="P317" s="237" t="str">
        <f>IFERROR(__xludf.DUMMYFUNCTION("IF(ISBLANK(H317),,IF(IFNA(MATCH(H317,SPLIT(Circuits!$S$2,"";""&amp;CHAR(10)),0),0),FALSE,TRUE))"),"")</f>
        <v/>
      </c>
      <c r="Q317" s="237" t="str">
        <f>IF(ISBLANK(H317),,IFNA(VLOOKUP(H317, Circuits!A:U, 21, FALSE),))</f>
        <v/>
      </c>
      <c r="R317" s="238" t="str">
        <f t="shared" si="7"/>
        <v/>
      </c>
      <c r="S317" s="237" t="str">
        <f>IF(ISBLANK(H317),,IFNA(VLOOKUP(H317, Circuits!A:V, 22, FALSE),))</f>
        <v/>
      </c>
      <c r="T317" s="237" t="str">
        <f>IF(ISBLANK(H317),,IFNA(VLOOKUP(H317, Circuits!A:X, 24, FALSE),))</f>
        <v/>
      </c>
      <c r="V317" s="236" t="str">
        <f>IFERROR(__xludf.DUMMYFUNCTION("IF(ISBLANK(H317),,JOIN("","",H317:T317))"),"")</f>
        <v/>
      </c>
      <c r="W317" s="229" t="str">
        <f t="shared" si="1"/>
        <v/>
      </c>
    </row>
    <row r="318">
      <c r="H318" s="237"/>
      <c r="I318" s="237" t="str">
        <f>IFERROR(__xludf.DUMMYFUNCTION("IF(ISBLANK(H318),,IFNA(""""""""&amp;JOIN("","",INDEX(FILTER(A:D,A:A=H318),0,4))&amp;"""""""",))"),"")</f>
        <v/>
      </c>
      <c r="J318" s="237" t="str">
        <f>IF(ISBLANK(H318),,IFNA(VLOOKUP(H318, Circuits!A:W, 23, FALSE),))</f>
        <v/>
      </c>
      <c r="K318" s="238" t="str">
        <f t="shared" si="2"/>
        <v/>
      </c>
      <c r="L318" s="238" t="str">
        <f t="shared" si="3"/>
        <v/>
      </c>
      <c r="M318" s="238" t="str">
        <f t="shared" si="4"/>
        <v/>
      </c>
      <c r="N318" s="238" t="str">
        <f t="shared" si="5"/>
        <v/>
      </c>
      <c r="O318" s="238" t="str">
        <f t="shared" si="6"/>
        <v/>
      </c>
      <c r="P318" s="237" t="str">
        <f>IFERROR(__xludf.DUMMYFUNCTION("IF(ISBLANK(H318),,IF(IFNA(MATCH(H318,SPLIT(Circuits!$S$2,"";""&amp;CHAR(10)),0),0),FALSE,TRUE))"),"")</f>
        <v/>
      </c>
      <c r="Q318" s="237" t="str">
        <f>IF(ISBLANK(H318),,IFNA(VLOOKUP(H318, Circuits!A:U, 21, FALSE),))</f>
        <v/>
      </c>
      <c r="R318" s="238" t="str">
        <f t="shared" si="7"/>
        <v/>
      </c>
      <c r="S318" s="237" t="str">
        <f>IF(ISBLANK(H318),,IFNA(VLOOKUP(H318, Circuits!A:V, 22, FALSE),))</f>
        <v/>
      </c>
      <c r="T318" s="237" t="str">
        <f>IF(ISBLANK(H318),,IFNA(VLOOKUP(H318, Circuits!A:X, 24, FALSE),))</f>
        <v/>
      </c>
      <c r="V318" s="236" t="str">
        <f>IFERROR(__xludf.DUMMYFUNCTION("IF(ISBLANK(H318),,JOIN("","",H318:T318))"),"")</f>
        <v/>
      </c>
      <c r="W318" s="229" t="str">
        <f t="shared" si="1"/>
        <v/>
      </c>
    </row>
    <row r="319">
      <c r="H319" s="237"/>
      <c r="I319" s="237" t="str">
        <f>IFERROR(__xludf.DUMMYFUNCTION("IF(ISBLANK(H319),,IFNA(""""""""&amp;JOIN("","",INDEX(FILTER(A:D,A:A=H319),0,4))&amp;"""""""",))"),"")</f>
        <v/>
      </c>
      <c r="J319" s="237" t="str">
        <f>IF(ISBLANK(H319),,IFNA(VLOOKUP(H319, Circuits!A:W, 23, FALSE),))</f>
        <v/>
      </c>
      <c r="K319" s="238" t="str">
        <f t="shared" si="2"/>
        <v/>
      </c>
      <c r="L319" s="238" t="str">
        <f t="shared" si="3"/>
        <v/>
      </c>
      <c r="M319" s="238" t="str">
        <f t="shared" si="4"/>
        <v/>
      </c>
      <c r="N319" s="238" t="str">
        <f t="shared" si="5"/>
        <v/>
      </c>
      <c r="O319" s="238" t="str">
        <f t="shared" si="6"/>
        <v/>
      </c>
      <c r="P319" s="237" t="str">
        <f>IFERROR(__xludf.DUMMYFUNCTION("IF(ISBLANK(H319),,IF(IFNA(MATCH(H319,SPLIT(Circuits!$S$2,"";""&amp;CHAR(10)),0),0),FALSE,TRUE))"),"")</f>
        <v/>
      </c>
      <c r="Q319" s="237" t="str">
        <f>IF(ISBLANK(H319),,IFNA(VLOOKUP(H319, Circuits!A:U, 21, FALSE),))</f>
        <v/>
      </c>
      <c r="R319" s="238" t="str">
        <f t="shared" si="7"/>
        <v/>
      </c>
      <c r="S319" s="237" t="str">
        <f>IF(ISBLANK(H319),,IFNA(VLOOKUP(H319, Circuits!A:V, 22, FALSE),))</f>
        <v/>
      </c>
      <c r="T319" s="237" t="str">
        <f>IF(ISBLANK(H319),,IFNA(VLOOKUP(H319, Circuits!A:X, 24, FALSE),))</f>
        <v/>
      </c>
      <c r="V319" s="236" t="str">
        <f>IFERROR(__xludf.DUMMYFUNCTION("IF(ISBLANK(H319),,JOIN("","",H319:T319))"),"")</f>
        <v/>
      </c>
      <c r="W319" s="229" t="str">
        <f t="shared" si="1"/>
        <v/>
      </c>
    </row>
    <row r="320">
      <c r="H320" s="237"/>
      <c r="I320" s="237" t="str">
        <f>IFERROR(__xludf.DUMMYFUNCTION("IF(ISBLANK(H320),,IFNA(""""""""&amp;JOIN("","",INDEX(FILTER(A:D,A:A=H320),0,4))&amp;"""""""",))"),"")</f>
        <v/>
      </c>
      <c r="J320" s="237" t="str">
        <f>IF(ISBLANK(H320),,IFNA(VLOOKUP(H320, Circuits!A:W, 23, FALSE),))</f>
        <v/>
      </c>
      <c r="K320" s="238" t="str">
        <f t="shared" si="2"/>
        <v/>
      </c>
      <c r="L320" s="238" t="str">
        <f t="shared" si="3"/>
        <v/>
      </c>
      <c r="M320" s="238" t="str">
        <f t="shared" si="4"/>
        <v/>
      </c>
      <c r="N320" s="238" t="str">
        <f t="shared" si="5"/>
        <v/>
      </c>
      <c r="O320" s="238" t="str">
        <f t="shared" si="6"/>
        <v/>
      </c>
      <c r="P320" s="237" t="str">
        <f>IFERROR(__xludf.DUMMYFUNCTION("IF(ISBLANK(H320),,IF(IFNA(MATCH(H320,SPLIT(Circuits!$S$2,"";""&amp;CHAR(10)),0),0),FALSE,TRUE))"),"")</f>
        <v/>
      </c>
      <c r="Q320" s="237" t="str">
        <f>IF(ISBLANK(H320),,IFNA(VLOOKUP(H320, Circuits!A:U, 21, FALSE),))</f>
        <v/>
      </c>
      <c r="R320" s="238" t="str">
        <f t="shared" si="7"/>
        <v/>
      </c>
      <c r="S320" s="237" t="str">
        <f>IF(ISBLANK(H320),,IFNA(VLOOKUP(H320, Circuits!A:V, 22, FALSE),))</f>
        <v/>
      </c>
      <c r="T320" s="237" t="str">
        <f>IF(ISBLANK(H320),,IFNA(VLOOKUP(H320, Circuits!A:X, 24, FALSE),))</f>
        <v/>
      </c>
      <c r="V320" s="236" t="str">
        <f>IFERROR(__xludf.DUMMYFUNCTION("IF(ISBLANK(H320),,JOIN("","",H320:T320))"),"")</f>
        <v/>
      </c>
      <c r="W320" s="229" t="str">
        <f t="shared" si="1"/>
        <v/>
      </c>
    </row>
    <row r="321">
      <c r="H321" s="237"/>
      <c r="I321" s="237" t="str">
        <f>IFERROR(__xludf.DUMMYFUNCTION("IF(ISBLANK(H321),,IFNA(""""""""&amp;JOIN("","",INDEX(FILTER(A:D,A:A=H321),0,4))&amp;"""""""",))"),"")</f>
        <v/>
      </c>
      <c r="J321" s="237" t="str">
        <f>IF(ISBLANK(H321),,IFNA(VLOOKUP(H321, Circuits!A:W, 23, FALSE),))</f>
        <v/>
      </c>
      <c r="K321" s="238" t="str">
        <f t="shared" si="2"/>
        <v/>
      </c>
      <c r="L321" s="238" t="str">
        <f t="shared" si="3"/>
        <v/>
      </c>
      <c r="M321" s="238" t="str">
        <f t="shared" si="4"/>
        <v/>
      </c>
      <c r="N321" s="238" t="str">
        <f t="shared" si="5"/>
        <v/>
      </c>
      <c r="O321" s="238" t="str">
        <f t="shared" si="6"/>
        <v/>
      </c>
      <c r="P321" s="237" t="str">
        <f>IFERROR(__xludf.DUMMYFUNCTION("IF(ISBLANK(H321),,IF(IFNA(MATCH(H321,SPLIT(Circuits!$S$2,"";""&amp;CHAR(10)),0),0),FALSE,TRUE))"),"")</f>
        <v/>
      </c>
      <c r="Q321" s="237" t="str">
        <f>IF(ISBLANK(H321),,IFNA(VLOOKUP(H321, Circuits!A:U, 21, FALSE),))</f>
        <v/>
      </c>
      <c r="R321" s="238" t="str">
        <f t="shared" si="7"/>
        <v/>
      </c>
      <c r="S321" s="237" t="str">
        <f>IF(ISBLANK(H321),,IFNA(VLOOKUP(H321, Circuits!A:V, 22, FALSE),))</f>
        <v/>
      </c>
      <c r="T321" s="237" t="str">
        <f>IF(ISBLANK(H321),,IFNA(VLOOKUP(H321, Circuits!A:X, 24, FALSE),))</f>
        <v/>
      </c>
      <c r="V321" s="236" t="str">
        <f>IFERROR(__xludf.DUMMYFUNCTION("IF(ISBLANK(H321),,JOIN("","",H321:T321))"),"")</f>
        <v/>
      </c>
      <c r="W321" s="229" t="str">
        <f t="shared" si="1"/>
        <v/>
      </c>
    </row>
    <row r="322">
      <c r="H322" s="237"/>
      <c r="I322" s="237" t="str">
        <f>IFERROR(__xludf.DUMMYFUNCTION("IF(ISBLANK(H322),,IFNA(""""""""&amp;JOIN("","",INDEX(FILTER(A:D,A:A=H322),0,4))&amp;"""""""",))"),"")</f>
        <v/>
      </c>
      <c r="J322" s="237" t="str">
        <f>IF(ISBLANK(H322),,IFNA(VLOOKUP(H322, Circuits!A:W, 23, FALSE),))</f>
        <v/>
      </c>
      <c r="K322" s="238" t="str">
        <f t="shared" si="2"/>
        <v/>
      </c>
      <c r="L322" s="238" t="str">
        <f t="shared" si="3"/>
        <v/>
      </c>
      <c r="M322" s="238" t="str">
        <f t="shared" si="4"/>
        <v/>
      </c>
      <c r="N322" s="238" t="str">
        <f t="shared" si="5"/>
        <v/>
      </c>
      <c r="O322" s="238" t="str">
        <f t="shared" si="6"/>
        <v/>
      </c>
      <c r="P322" s="237" t="str">
        <f>IFERROR(__xludf.DUMMYFUNCTION("IF(ISBLANK(H322),,IF(IFNA(MATCH(H322,SPLIT(Circuits!$S$2,"";""&amp;CHAR(10)),0),0),FALSE,TRUE))"),"")</f>
        <v/>
      </c>
      <c r="Q322" s="237" t="str">
        <f>IF(ISBLANK(H322),,IFNA(VLOOKUP(H322, Circuits!A:U, 21, FALSE),))</f>
        <v/>
      </c>
      <c r="R322" s="238" t="str">
        <f t="shared" si="7"/>
        <v/>
      </c>
      <c r="S322" s="237" t="str">
        <f>IF(ISBLANK(H322),,IFNA(VLOOKUP(H322, Circuits!A:V, 22, FALSE),))</f>
        <v/>
      </c>
      <c r="T322" s="237" t="str">
        <f>IF(ISBLANK(H322),,IFNA(VLOOKUP(H322, Circuits!A:X, 24, FALSE),))</f>
        <v/>
      </c>
      <c r="V322" s="236" t="str">
        <f>IFERROR(__xludf.DUMMYFUNCTION("IF(ISBLANK(H322),,JOIN("","",H322:T322))"),"")</f>
        <v/>
      </c>
      <c r="W322" s="229" t="str">
        <f t="shared" si="1"/>
        <v/>
      </c>
    </row>
    <row r="323">
      <c r="H323" s="237"/>
      <c r="I323" s="237" t="str">
        <f>IFERROR(__xludf.DUMMYFUNCTION("IF(ISBLANK(H323),,IFNA(""""""""&amp;JOIN("","",INDEX(FILTER(A:D,A:A=H323),0,4))&amp;"""""""",))"),"")</f>
        <v/>
      </c>
      <c r="J323" s="237" t="str">
        <f>IF(ISBLANK(H323),,IFNA(VLOOKUP(H323, Circuits!A:W, 23, FALSE),))</f>
        <v/>
      </c>
      <c r="K323" s="238" t="str">
        <f t="shared" si="2"/>
        <v/>
      </c>
      <c r="L323" s="238" t="str">
        <f t="shared" si="3"/>
        <v/>
      </c>
      <c r="M323" s="238" t="str">
        <f t="shared" si="4"/>
        <v/>
      </c>
      <c r="N323" s="238" t="str">
        <f t="shared" si="5"/>
        <v/>
      </c>
      <c r="O323" s="238" t="str">
        <f t="shared" si="6"/>
        <v/>
      </c>
      <c r="P323" s="237" t="str">
        <f>IFERROR(__xludf.DUMMYFUNCTION("IF(ISBLANK(H323),,IF(IFNA(MATCH(H323,SPLIT(Circuits!$S$2,"";""&amp;CHAR(10)),0),0),FALSE,TRUE))"),"")</f>
        <v/>
      </c>
      <c r="Q323" s="237" t="str">
        <f>IF(ISBLANK(H323),,IFNA(VLOOKUP(H323, Circuits!A:U, 21, FALSE),))</f>
        <v/>
      </c>
      <c r="R323" s="238" t="str">
        <f t="shared" si="7"/>
        <v/>
      </c>
      <c r="S323" s="237" t="str">
        <f>IF(ISBLANK(H323),,IFNA(VLOOKUP(H323, Circuits!A:V, 22, FALSE),))</f>
        <v/>
      </c>
      <c r="T323" s="237" t="str">
        <f>IF(ISBLANK(H323),,IFNA(VLOOKUP(H323, Circuits!A:X, 24, FALSE),))</f>
        <v/>
      </c>
      <c r="V323" s="236" t="str">
        <f>IFERROR(__xludf.DUMMYFUNCTION("IF(ISBLANK(H323),,JOIN("","",H323:T323))"),"")</f>
        <v/>
      </c>
      <c r="W323" s="229" t="str">
        <f t="shared" si="1"/>
        <v/>
      </c>
    </row>
    <row r="324">
      <c r="H324" s="237"/>
      <c r="I324" s="237" t="str">
        <f>IFERROR(__xludf.DUMMYFUNCTION("IF(ISBLANK(H324),,IFNA(""""""""&amp;JOIN("","",INDEX(FILTER(A:D,A:A=H324),0,4))&amp;"""""""",))"),"")</f>
        <v/>
      </c>
      <c r="J324" s="237" t="str">
        <f>IF(ISBLANK(H324),,IFNA(VLOOKUP(H324, Circuits!A:W, 23, FALSE),))</f>
        <v/>
      </c>
      <c r="K324" s="238" t="str">
        <f t="shared" si="2"/>
        <v/>
      </c>
      <c r="L324" s="238" t="str">
        <f t="shared" si="3"/>
        <v/>
      </c>
      <c r="M324" s="238" t="str">
        <f t="shared" si="4"/>
        <v/>
      </c>
      <c r="N324" s="238" t="str">
        <f t="shared" si="5"/>
        <v/>
      </c>
      <c r="O324" s="238" t="str">
        <f t="shared" si="6"/>
        <v/>
      </c>
      <c r="P324" s="237" t="str">
        <f>IFERROR(__xludf.DUMMYFUNCTION("IF(ISBLANK(H324),,IF(IFNA(MATCH(H324,SPLIT(Circuits!$S$2,"";""&amp;CHAR(10)),0),0),FALSE,TRUE))"),"")</f>
        <v/>
      </c>
      <c r="Q324" s="237" t="str">
        <f>IF(ISBLANK(H324),,IFNA(VLOOKUP(H324, Circuits!A:U, 21, FALSE),))</f>
        <v/>
      </c>
      <c r="R324" s="238" t="str">
        <f t="shared" si="7"/>
        <v/>
      </c>
      <c r="S324" s="237" t="str">
        <f>IF(ISBLANK(H324),,IFNA(VLOOKUP(H324, Circuits!A:V, 22, FALSE),))</f>
        <v/>
      </c>
      <c r="T324" s="237" t="str">
        <f>IF(ISBLANK(H324),,IFNA(VLOOKUP(H324, Circuits!A:X, 24, FALSE),))</f>
        <v/>
      </c>
      <c r="V324" s="236" t="str">
        <f>IFERROR(__xludf.DUMMYFUNCTION("IF(ISBLANK(H324),,JOIN("","",H324:T324))"),"")</f>
        <v/>
      </c>
      <c r="W324" s="229" t="str">
        <f t="shared" si="1"/>
        <v/>
      </c>
    </row>
    <row r="325">
      <c r="H325" s="237"/>
      <c r="I325" s="237" t="str">
        <f>IFERROR(__xludf.DUMMYFUNCTION("IF(ISBLANK(H325),,IFNA(""""""""&amp;JOIN("","",INDEX(FILTER(A:D,A:A=H325),0,4))&amp;"""""""",))"),"")</f>
        <v/>
      </c>
      <c r="J325" s="237" t="str">
        <f>IF(ISBLANK(H325),,IFNA(VLOOKUP(H325, Circuits!A:W, 23, FALSE),))</f>
        <v/>
      </c>
      <c r="K325" s="238" t="str">
        <f t="shared" si="2"/>
        <v/>
      </c>
      <c r="L325" s="238" t="str">
        <f t="shared" si="3"/>
        <v/>
      </c>
      <c r="M325" s="238" t="str">
        <f t="shared" si="4"/>
        <v/>
      </c>
      <c r="N325" s="238" t="str">
        <f t="shared" si="5"/>
        <v/>
      </c>
      <c r="O325" s="238" t="str">
        <f t="shared" si="6"/>
        <v/>
      </c>
      <c r="P325" s="237" t="str">
        <f>IFERROR(__xludf.DUMMYFUNCTION("IF(ISBLANK(H325),,IF(IFNA(MATCH(H325,SPLIT(Circuits!$S$2,"";""&amp;CHAR(10)),0),0),FALSE,TRUE))"),"")</f>
        <v/>
      </c>
      <c r="Q325" s="237" t="str">
        <f>IF(ISBLANK(H325),,IFNA(VLOOKUP(H325, Circuits!A:U, 21, FALSE),))</f>
        <v/>
      </c>
      <c r="R325" s="238" t="str">
        <f t="shared" si="7"/>
        <v/>
      </c>
      <c r="S325" s="237" t="str">
        <f>IF(ISBLANK(H325),,IFNA(VLOOKUP(H325, Circuits!A:V, 22, FALSE),))</f>
        <v/>
      </c>
      <c r="T325" s="237" t="str">
        <f>IF(ISBLANK(H325),,IFNA(VLOOKUP(H325, Circuits!A:X, 24, FALSE),))</f>
        <v/>
      </c>
      <c r="V325" s="236" t="str">
        <f>IFERROR(__xludf.DUMMYFUNCTION("IF(ISBLANK(H325),,JOIN("","",H325:T325))"),"")</f>
        <v/>
      </c>
      <c r="W325" s="229" t="str">
        <f t="shared" si="1"/>
        <v/>
      </c>
    </row>
    <row r="326">
      <c r="H326" s="237"/>
      <c r="I326" s="237" t="str">
        <f>IFERROR(__xludf.DUMMYFUNCTION("IF(ISBLANK(H326),,IFNA(""""""""&amp;JOIN("","",INDEX(FILTER(A:D,A:A=H326),0,4))&amp;"""""""",))"),"")</f>
        <v/>
      </c>
      <c r="J326" s="237" t="str">
        <f>IF(ISBLANK(H326),,IFNA(VLOOKUP(H326, Circuits!A:W, 23, FALSE),))</f>
        <v/>
      </c>
      <c r="K326" s="238" t="str">
        <f t="shared" si="2"/>
        <v/>
      </c>
      <c r="L326" s="238" t="str">
        <f t="shared" si="3"/>
        <v/>
      </c>
      <c r="M326" s="238" t="str">
        <f t="shared" si="4"/>
        <v/>
      </c>
      <c r="N326" s="238" t="str">
        <f t="shared" si="5"/>
        <v/>
      </c>
      <c r="O326" s="238" t="str">
        <f t="shared" si="6"/>
        <v/>
      </c>
      <c r="P326" s="237" t="str">
        <f>IFERROR(__xludf.DUMMYFUNCTION("IF(ISBLANK(H326),,IF(IFNA(MATCH(H326,SPLIT(Circuits!$S$2,"";""&amp;CHAR(10)),0),0),FALSE,TRUE))"),"")</f>
        <v/>
      </c>
      <c r="Q326" s="237" t="str">
        <f>IF(ISBLANK(H326),,IFNA(VLOOKUP(H326, Circuits!A:U, 21, FALSE),))</f>
        <v/>
      </c>
      <c r="R326" s="238" t="str">
        <f t="shared" si="7"/>
        <v/>
      </c>
      <c r="S326" s="237" t="str">
        <f>IF(ISBLANK(H326),,IFNA(VLOOKUP(H326, Circuits!A:V, 22, FALSE),))</f>
        <v/>
      </c>
      <c r="T326" s="237" t="str">
        <f>IF(ISBLANK(H326),,IFNA(VLOOKUP(H326, Circuits!A:X, 24, FALSE),))</f>
        <v/>
      </c>
      <c r="V326" s="236" t="str">
        <f>IFERROR(__xludf.DUMMYFUNCTION("IF(ISBLANK(H326),,JOIN("","",H326:T326))"),"")</f>
        <v/>
      </c>
      <c r="W326" s="229" t="str">
        <f t="shared" si="1"/>
        <v/>
      </c>
    </row>
    <row r="327">
      <c r="H327" s="237"/>
      <c r="I327" s="237" t="str">
        <f>IFERROR(__xludf.DUMMYFUNCTION("IF(ISBLANK(H327),,IFNA(""""""""&amp;JOIN("","",INDEX(FILTER(A:D,A:A=H327),0,4))&amp;"""""""",))"),"")</f>
        <v/>
      </c>
      <c r="J327" s="237" t="str">
        <f>IF(ISBLANK(H327),,IFNA(VLOOKUP(H327, Circuits!A:W, 23, FALSE),))</f>
        <v/>
      </c>
      <c r="K327" s="238" t="str">
        <f t="shared" si="2"/>
        <v/>
      </c>
      <c r="L327" s="238" t="str">
        <f t="shared" si="3"/>
        <v/>
      </c>
      <c r="M327" s="238" t="str">
        <f t="shared" si="4"/>
        <v/>
      </c>
      <c r="N327" s="238" t="str">
        <f t="shared" si="5"/>
        <v/>
      </c>
      <c r="O327" s="238" t="str">
        <f t="shared" si="6"/>
        <v/>
      </c>
      <c r="P327" s="237" t="str">
        <f>IFERROR(__xludf.DUMMYFUNCTION("IF(ISBLANK(H327),,IF(IFNA(MATCH(H327,SPLIT(Circuits!$S$2,"";""&amp;CHAR(10)),0),0),FALSE,TRUE))"),"")</f>
        <v/>
      </c>
      <c r="Q327" s="237" t="str">
        <f>IF(ISBLANK(H327),,IFNA(VLOOKUP(H327, Circuits!A:U, 21, FALSE),))</f>
        <v/>
      </c>
      <c r="R327" s="238" t="str">
        <f t="shared" si="7"/>
        <v/>
      </c>
      <c r="S327" s="237" t="str">
        <f>IF(ISBLANK(H327),,IFNA(VLOOKUP(H327, Circuits!A:V, 22, FALSE),))</f>
        <v/>
      </c>
      <c r="T327" s="237" t="str">
        <f>IF(ISBLANK(H327),,IFNA(VLOOKUP(H327, Circuits!A:X, 24, FALSE),))</f>
        <v/>
      </c>
      <c r="V327" s="236" t="str">
        <f>IFERROR(__xludf.DUMMYFUNCTION("IF(ISBLANK(H327),,JOIN("","",H327:T327))"),"")</f>
        <v/>
      </c>
      <c r="W327" s="229" t="str">
        <f t="shared" si="1"/>
        <v/>
      </c>
    </row>
    <row r="328">
      <c r="H328" s="237"/>
      <c r="I328" s="237" t="str">
        <f>IFERROR(__xludf.DUMMYFUNCTION("IF(ISBLANK(H328),,IFNA(""""""""&amp;JOIN("","",INDEX(FILTER(A:D,A:A=H328),0,4))&amp;"""""""",))"),"")</f>
        <v/>
      </c>
      <c r="J328" s="237" t="str">
        <f>IF(ISBLANK(H328),,IFNA(VLOOKUP(H328, Circuits!A:W, 23, FALSE),))</f>
        <v/>
      </c>
      <c r="K328" s="238" t="str">
        <f t="shared" si="2"/>
        <v/>
      </c>
      <c r="L328" s="238" t="str">
        <f t="shared" si="3"/>
        <v/>
      </c>
      <c r="M328" s="238" t="str">
        <f t="shared" si="4"/>
        <v/>
      </c>
      <c r="N328" s="238" t="str">
        <f t="shared" si="5"/>
        <v/>
      </c>
      <c r="O328" s="238" t="str">
        <f t="shared" si="6"/>
        <v/>
      </c>
      <c r="P328" s="237" t="str">
        <f>IFERROR(__xludf.DUMMYFUNCTION("IF(ISBLANK(H328),,IF(IFNA(MATCH(H328,SPLIT(Circuits!$S$2,"";""&amp;CHAR(10)),0),0),FALSE,TRUE))"),"")</f>
        <v/>
      </c>
      <c r="Q328" s="237" t="str">
        <f>IF(ISBLANK(H328),,IFNA(VLOOKUP(H328, Circuits!A:U, 21, FALSE),))</f>
        <v/>
      </c>
      <c r="R328" s="238" t="str">
        <f t="shared" si="7"/>
        <v/>
      </c>
      <c r="S328" s="237" t="str">
        <f>IF(ISBLANK(H328),,IFNA(VLOOKUP(H328, Circuits!A:V, 22, FALSE),))</f>
        <v/>
      </c>
      <c r="T328" s="237" t="str">
        <f>IF(ISBLANK(H328),,IFNA(VLOOKUP(H328, Circuits!A:X, 24, FALSE),))</f>
        <v/>
      </c>
      <c r="V328" s="236" t="str">
        <f>IFERROR(__xludf.DUMMYFUNCTION("IF(ISBLANK(H328),,JOIN("","",H328:T328))"),"")</f>
        <v/>
      </c>
      <c r="W328" s="229" t="str">
        <f t="shared" si="1"/>
        <v/>
      </c>
    </row>
    <row r="329">
      <c r="H329" s="237"/>
      <c r="I329" s="237" t="str">
        <f>IFERROR(__xludf.DUMMYFUNCTION("IF(ISBLANK(H329),,IFNA(""""""""&amp;JOIN("","",INDEX(FILTER(A:D,A:A=H329),0,4))&amp;"""""""",))"),"")</f>
        <v/>
      </c>
      <c r="J329" s="237" t="str">
        <f>IF(ISBLANK(H329),,IFNA(VLOOKUP(H329, Circuits!A:W, 23, FALSE),))</f>
        <v/>
      </c>
      <c r="K329" s="238" t="str">
        <f t="shared" si="2"/>
        <v/>
      </c>
      <c r="L329" s="238" t="str">
        <f t="shared" si="3"/>
        <v/>
      </c>
      <c r="M329" s="238" t="str">
        <f t="shared" si="4"/>
        <v/>
      </c>
      <c r="N329" s="238" t="str">
        <f t="shared" si="5"/>
        <v/>
      </c>
      <c r="O329" s="238" t="str">
        <f t="shared" si="6"/>
        <v/>
      </c>
      <c r="P329" s="237" t="str">
        <f>IFERROR(__xludf.DUMMYFUNCTION("IF(ISBLANK(H329),,IF(IFNA(MATCH(H329,SPLIT(Circuits!$S$2,"";""&amp;CHAR(10)),0),0),FALSE,TRUE))"),"")</f>
        <v/>
      </c>
      <c r="Q329" s="237" t="str">
        <f>IF(ISBLANK(H329),,IFNA(VLOOKUP(H329, Circuits!A:U, 21, FALSE),))</f>
        <v/>
      </c>
      <c r="R329" s="238" t="str">
        <f t="shared" si="7"/>
        <v/>
      </c>
      <c r="S329" s="237" t="str">
        <f>IF(ISBLANK(H329),,IFNA(VLOOKUP(H329, Circuits!A:V, 22, FALSE),))</f>
        <v/>
      </c>
      <c r="T329" s="237" t="str">
        <f>IF(ISBLANK(H329),,IFNA(VLOOKUP(H329, Circuits!A:X, 24, FALSE),))</f>
        <v/>
      </c>
      <c r="V329" s="236" t="str">
        <f>IFERROR(__xludf.DUMMYFUNCTION("IF(ISBLANK(H329),,JOIN("","",H329:T329))"),"")</f>
        <v/>
      </c>
      <c r="W329" s="229" t="str">
        <f t="shared" si="1"/>
        <v/>
      </c>
    </row>
    <row r="330">
      <c r="H330" s="237"/>
      <c r="I330" s="237" t="str">
        <f>IFERROR(__xludf.DUMMYFUNCTION("IF(ISBLANK(H330),,IFNA(""""""""&amp;JOIN("","",INDEX(FILTER(A:D,A:A=H330),0,4))&amp;"""""""",))"),"")</f>
        <v/>
      </c>
      <c r="J330" s="237" t="str">
        <f>IF(ISBLANK(H330),,IFNA(VLOOKUP(H330, Circuits!A:W, 23, FALSE),))</f>
        <v/>
      </c>
      <c r="K330" s="238" t="str">
        <f t="shared" si="2"/>
        <v/>
      </c>
      <c r="L330" s="238" t="str">
        <f t="shared" si="3"/>
        <v/>
      </c>
      <c r="M330" s="238" t="str">
        <f t="shared" si="4"/>
        <v/>
      </c>
      <c r="N330" s="238" t="str">
        <f t="shared" si="5"/>
        <v/>
      </c>
      <c r="O330" s="238" t="str">
        <f t="shared" si="6"/>
        <v/>
      </c>
      <c r="P330" s="237" t="str">
        <f>IFERROR(__xludf.DUMMYFUNCTION("IF(ISBLANK(H330),,IF(IFNA(MATCH(H330,SPLIT(Circuits!$S$2,"";""&amp;CHAR(10)),0),0),FALSE,TRUE))"),"")</f>
        <v/>
      </c>
      <c r="Q330" s="237" t="str">
        <f>IF(ISBLANK(H330),,IFNA(VLOOKUP(H330, Circuits!A:U, 21, FALSE),))</f>
        <v/>
      </c>
      <c r="R330" s="238" t="str">
        <f t="shared" si="7"/>
        <v/>
      </c>
      <c r="S330" s="237" t="str">
        <f>IF(ISBLANK(H330),,IFNA(VLOOKUP(H330, Circuits!A:V, 22, FALSE),))</f>
        <v/>
      </c>
      <c r="T330" s="237" t="str">
        <f>IF(ISBLANK(H330),,IFNA(VLOOKUP(H330, Circuits!A:X, 24, FALSE),))</f>
        <v/>
      </c>
      <c r="V330" s="236" t="str">
        <f>IFERROR(__xludf.DUMMYFUNCTION("IF(ISBLANK(H330),,JOIN("","",H330:T330))"),"")</f>
        <v/>
      </c>
      <c r="W330" s="229" t="str">
        <f t="shared" si="1"/>
        <v/>
      </c>
    </row>
    <row r="331">
      <c r="H331" s="237"/>
      <c r="I331" s="237" t="str">
        <f>IFERROR(__xludf.DUMMYFUNCTION("IF(ISBLANK(H331),,IFNA(""""""""&amp;JOIN("","",INDEX(FILTER(A:D,A:A=H331),0,4))&amp;"""""""",))"),"")</f>
        <v/>
      </c>
      <c r="J331" s="237" t="str">
        <f>IF(ISBLANK(H331),,IFNA(VLOOKUP(H331, Circuits!A:W, 23, FALSE),))</f>
        <v/>
      </c>
      <c r="K331" s="238" t="str">
        <f t="shared" si="2"/>
        <v/>
      </c>
      <c r="L331" s="238" t="str">
        <f t="shared" si="3"/>
        <v/>
      </c>
      <c r="M331" s="238" t="str">
        <f t="shared" si="4"/>
        <v/>
      </c>
      <c r="N331" s="238" t="str">
        <f t="shared" si="5"/>
        <v/>
      </c>
      <c r="O331" s="238" t="str">
        <f t="shared" si="6"/>
        <v/>
      </c>
      <c r="P331" s="237" t="str">
        <f>IFERROR(__xludf.DUMMYFUNCTION("IF(ISBLANK(H331),,IF(IFNA(MATCH(H331,SPLIT(Circuits!$S$2,"";""&amp;CHAR(10)),0),0),FALSE,TRUE))"),"")</f>
        <v/>
      </c>
      <c r="Q331" s="237" t="str">
        <f>IF(ISBLANK(H331),,IFNA(VLOOKUP(H331, Circuits!A:U, 21, FALSE),))</f>
        <v/>
      </c>
      <c r="R331" s="238" t="str">
        <f t="shared" si="7"/>
        <v/>
      </c>
      <c r="S331" s="237" t="str">
        <f>IF(ISBLANK(H331),,IFNA(VLOOKUP(H331, Circuits!A:V, 22, FALSE),))</f>
        <v/>
      </c>
      <c r="T331" s="237" t="str">
        <f>IF(ISBLANK(H331),,IFNA(VLOOKUP(H331, Circuits!A:X, 24, FALSE),))</f>
        <v/>
      </c>
      <c r="V331" s="236" t="str">
        <f>IFERROR(__xludf.DUMMYFUNCTION("IF(ISBLANK(H331),,JOIN("","",H331:T331))"),"")</f>
        <v/>
      </c>
      <c r="W331" s="229" t="str">
        <f t="shared" si="1"/>
        <v/>
      </c>
    </row>
    <row r="332">
      <c r="H332" s="237"/>
      <c r="I332" s="237" t="str">
        <f>IFERROR(__xludf.DUMMYFUNCTION("IF(ISBLANK(H332),,IFNA(""""""""&amp;JOIN("","",INDEX(FILTER(A:D,A:A=H332),0,4))&amp;"""""""",))"),"")</f>
        <v/>
      </c>
      <c r="J332" s="237" t="str">
        <f>IF(ISBLANK(H332),,IFNA(VLOOKUP(H332, Circuits!A:W, 23, FALSE),))</f>
        <v/>
      </c>
      <c r="K332" s="238" t="str">
        <f t="shared" si="2"/>
        <v/>
      </c>
      <c r="L332" s="238" t="str">
        <f t="shared" si="3"/>
        <v/>
      </c>
      <c r="M332" s="238" t="str">
        <f t="shared" si="4"/>
        <v/>
      </c>
      <c r="N332" s="238" t="str">
        <f t="shared" si="5"/>
        <v/>
      </c>
      <c r="O332" s="238" t="str">
        <f t="shared" si="6"/>
        <v/>
      </c>
      <c r="P332" s="237" t="str">
        <f>IFERROR(__xludf.DUMMYFUNCTION("IF(ISBLANK(H332),,IF(IFNA(MATCH(H332,SPLIT(Circuits!$S$2,"";""&amp;CHAR(10)),0),0),FALSE,TRUE))"),"")</f>
        <v/>
      </c>
      <c r="Q332" s="237" t="str">
        <f>IF(ISBLANK(H332),,IFNA(VLOOKUP(H332, Circuits!A:U, 21, FALSE),))</f>
        <v/>
      </c>
      <c r="R332" s="238" t="str">
        <f t="shared" si="7"/>
        <v/>
      </c>
      <c r="S332" s="237" t="str">
        <f>IF(ISBLANK(H332),,IFNA(VLOOKUP(H332, Circuits!A:V, 22, FALSE),))</f>
        <v/>
      </c>
      <c r="T332" s="237" t="str">
        <f>IF(ISBLANK(H332),,IFNA(VLOOKUP(H332, Circuits!A:X, 24, FALSE),))</f>
        <v/>
      </c>
      <c r="V332" s="236" t="str">
        <f>IFERROR(__xludf.DUMMYFUNCTION("IF(ISBLANK(H332),,JOIN("","",H332:T332))"),"")</f>
        <v/>
      </c>
      <c r="W332" s="229" t="str">
        <f t="shared" si="1"/>
        <v/>
      </c>
    </row>
    <row r="333">
      <c r="H333" s="237"/>
      <c r="I333" s="237" t="str">
        <f>IFERROR(__xludf.DUMMYFUNCTION("IF(ISBLANK(H333),,IFNA(""""""""&amp;JOIN("","",INDEX(FILTER(A:D,A:A=H333),0,4))&amp;"""""""",))"),"")</f>
        <v/>
      </c>
      <c r="J333" s="237" t="str">
        <f>IF(ISBLANK(H333),,IFNA(VLOOKUP(H333, Circuits!A:W, 23, FALSE),))</f>
        <v/>
      </c>
      <c r="K333" s="238" t="str">
        <f t="shared" si="2"/>
        <v/>
      </c>
      <c r="L333" s="238" t="str">
        <f t="shared" si="3"/>
        <v/>
      </c>
      <c r="M333" s="238" t="str">
        <f t="shared" si="4"/>
        <v/>
      </c>
      <c r="N333" s="238" t="str">
        <f t="shared" si="5"/>
        <v/>
      </c>
      <c r="O333" s="238" t="str">
        <f t="shared" si="6"/>
        <v/>
      </c>
      <c r="P333" s="237" t="str">
        <f>IFERROR(__xludf.DUMMYFUNCTION("IF(ISBLANK(H333),,IF(IFNA(MATCH(H333,SPLIT(Circuits!$S$2,"";""&amp;CHAR(10)),0),0),FALSE,TRUE))"),"")</f>
        <v/>
      </c>
      <c r="Q333" s="237" t="str">
        <f>IF(ISBLANK(H333),,IFNA(VLOOKUP(H333, Circuits!A:U, 21, FALSE),))</f>
        <v/>
      </c>
      <c r="R333" s="238" t="str">
        <f t="shared" si="7"/>
        <v/>
      </c>
      <c r="S333" s="237" t="str">
        <f>IF(ISBLANK(H333),,IFNA(VLOOKUP(H333, Circuits!A:V, 22, FALSE),))</f>
        <v/>
      </c>
      <c r="T333" s="237" t="str">
        <f>IF(ISBLANK(H333),,IFNA(VLOOKUP(H333, Circuits!A:X, 24, FALSE),))</f>
        <v/>
      </c>
      <c r="V333" s="236" t="str">
        <f>IFERROR(__xludf.DUMMYFUNCTION("IF(ISBLANK(H333),,JOIN("","",H333:T333))"),"")</f>
        <v/>
      </c>
      <c r="W333" s="229" t="str">
        <f t="shared" si="1"/>
        <v/>
      </c>
    </row>
    <row r="334">
      <c r="H334" s="237"/>
      <c r="I334" s="237" t="str">
        <f>IFERROR(__xludf.DUMMYFUNCTION("IF(ISBLANK(H334),,IFNA(""""""""&amp;JOIN("","",INDEX(FILTER(A:D,A:A=H334),0,4))&amp;"""""""",))"),"")</f>
        <v/>
      </c>
      <c r="J334" s="237" t="str">
        <f>IF(ISBLANK(H334),,IFNA(VLOOKUP(H334, Circuits!A:W, 23, FALSE),))</f>
        <v/>
      </c>
      <c r="K334" s="238" t="str">
        <f t="shared" si="2"/>
        <v/>
      </c>
      <c r="L334" s="238" t="str">
        <f t="shared" si="3"/>
        <v/>
      </c>
      <c r="M334" s="238" t="str">
        <f t="shared" si="4"/>
        <v/>
      </c>
      <c r="N334" s="238" t="str">
        <f t="shared" si="5"/>
        <v/>
      </c>
      <c r="O334" s="238" t="str">
        <f t="shared" si="6"/>
        <v/>
      </c>
      <c r="P334" s="237" t="str">
        <f>IFERROR(__xludf.DUMMYFUNCTION("IF(ISBLANK(H334),,IF(IFNA(MATCH(H334,SPLIT(Circuits!$S$2,"";""&amp;CHAR(10)),0),0),FALSE,TRUE))"),"")</f>
        <v/>
      </c>
      <c r="Q334" s="237" t="str">
        <f>IF(ISBLANK(H334),,IFNA(VLOOKUP(H334, Circuits!A:U, 21, FALSE),))</f>
        <v/>
      </c>
      <c r="R334" s="238" t="str">
        <f t="shared" si="7"/>
        <v/>
      </c>
      <c r="S334" s="237" t="str">
        <f>IF(ISBLANK(H334),,IFNA(VLOOKUP(H334, Circuits!A:V, 22, FALSE),))</f>
        <v/>
      </c>
      <c r="T334" s="237" t="str">
        <f>IF(ISBLANK(H334),,IFNA(VLOOKUP(H334, Circuits!A:X, 24, FALSE),))</f>
        <v/>
      </c>
      <c r="V334" s="236" t="str">
        <f>IFERROR(__xludf.DUMMYFUNCTION("IF(ISBLANK(H334),,JOIN("","",H334:T334))"),"")</f>
        <v/>
      </c>
      <c r="W334" s="229" t="str">
        <f t="shared" si="1"/>
        <v/>
      </c>
    </row>
    <row r="335">
      <c r="H335" s="237"/>
      <c r="I335" s="237" t="str">
        <f>IFERROR(__xludf.DUMMYFUNCTION("IF(ISBLANK(H335),,IFNA(""""""""&amp;JOIN("","",INDEX(FILTER(A:D,A:A=H335),0,4))&amp;"""""""",))"),"")</f>
        <v/>
      </c>
      <c r="J335" s="237" t="str">
        <f>IF(ISBLANK(H335),,IFNA(VLOOKUP(H335, Circuits!A:W, 23, FALSE),))</f>
        <v/>
      </c>
      <c r="K335" s="238" t="str">
        <f t="shared" si="2"/>
        <v/>
      </c>
      <c r="L335" s="238" t="str">
        <f t="shared" si="3"/>
        <v/>
      </c>
      <c r="M335" s="238" t="str">
        <f t="shared" si="4"/>
        <v/>
      </c>
      <c r="N335" s="238" t="str">
        <f t="shared" si="5"/>
        <v/>
      </c>
      <c r="O335" s="238" t="str">
        <f t="shared" si="6"/>
        <v/>
      </c>
      <c r="P335" s="237" t="str">
        <f>IFERROR(__xludf.DUMMYFUNCTION("IF(ISBLANK(H335),,IF(IFNA(MATCH(H335,SPLIT(Circuits!$S$2,"";""&amp;CHAR(10)),0),0),FALSE,TRUE))"),"")</f>
        <v/>
      </c>
      <c r="Q335" s="237" t="str">
        <f>IF(ISBLANK(H335),,IFNA(VLOOKUP(H335, Circuits!A:U, 21, FALSE),))</f>
        <v/>
      </c>
      <c r="R335" s="238" t="str">
        <f t="shared" si="7"/>
        <v/>
      </c>
      <c r="S335" s="237" t="str">
        <f>IF(ISBLANK(H335),,IFNA(VLOOKUP(H335, Circuits!A:V, 22, FALSE),))</f>
        <v/>
      </c>
      <c r="T335" s="237" t="str">
        <f>IF(ISBLANK(H335),,IFNA(VLOOKUP(H335, Circuits!A:X, 24, FALSE),))</f>
        <v/>
      </c>
      <c r="V335" s="236" t="str">
        <f>IFERROR(__xludf.DUMMYFUNCTION("IF(ISBLANK(H335),,JOIN("","",H335:T335))"),"")</f>
        <v/>
      </c>
      <c r="W335" s="229" t="str">
        <f t="shared" si="1"/>
        <v/>
      </c>
    </row>
    <row r="336">
      <c r="H336" s="237"/>
      <c r="I336" s="237" t="str">
        <f>IFERROR(__xludf.DUMMYFUNCTION("IF(ISBLANK(H336),,IFNA(""""""""&amp;JOIN("","",INDEX(FILTER(A:D,A:A=H336),0,4))&amp;"""""""",))"),"")</f>
        <v/>
      </c>
      <c r="J336" s="237" t="str">
        <f>IF(ISBLANK(H336),,IFNA(VLOOKUP(H336, Circuits!A:W, 23, FALSE),))</f>
        <v/>
      </c>
      <c r="K336" s="238" t="str">
        <f t="shared" si="2"/>
        <v/>
      </c>
      <c r="L336" s="238" t="str">
        <f t="shared" si="3"/>
        <v/>
      </c>
      <c r="M336" s="238" t="str">
        <f t="shared" si="4"/>
        <v/>
      </c>
      <c r="N336" s="238" t="str">
        <f t="shared" si="5"/>
        <v/>
      </c>
      <c r="O336" s="238" t="str">
        <f t="shared" si="6"/>
        <v/>
      </c>
      <c r="P336" s="237" t="str">
        <f>IFERROR(__xludf.DUMMYFUNCTION("IF(ISBLANK(H336),,IF(IFNA(MATCH(H336,SPLIT(Circuits!$S$2,"";""&amp;CHAR(10)),0),0),FALSE,TRUE))"),"")</f>
        <v/>
      </c>
      <c r="Q336" s="237" t="str">
        <f>IF(ISBLANK(H336),,IFNA(VLOOKUP(H336, Circuits!A:U, 21, FALSE),))</f>
        <v/>
      </c>
      <c r="R336" s="238" t="str">
        <f t="shared" si="7"/>
        <v/>
      </c>
      <c r="S336" s="237" t="str">
        <f>IF(ISBLANK(H336),,IFNA(VLOOKUP(H336, Circuits!A:V, 22, FALSE),))</f>
        <v/>
      </c>
      <c r="T336" s="237" t="str">
        <f>IF(ISBLANK(H336),,IFNA(VLOOKUP(H336, Circuits!A:X, 24, FALSE),))</f>
        <v/>
      </c>
      <c r="V336" s="236" t="str">
        <f>IFERROR(__xludf.DUMMYFUNCTION("IF(ISBLANK(H336),,JOIN("","",H336:T336))"),"")</f>
        <v/>
      </c>
      <c r="W336" s="229" t="str">
        <f t="shared" si="1"/>
        <v/>
      </c>
    </row>
    <row r="337">
      <c r="H337" s="237"/>
      <c r="I337" s="237" t="str">
        <f>IFERROR(__xludf.DUMMYFUNCTION("IF(ISBLANK(H337),,IFNA(""""""""&amp;JOIN("","",INDEX(FILTER(A:D,A:A=H337),0,4))&amp;"""""""",))"),"")</f>
        <v/>
      </c>
      <c r="J337" s="237" t="str">
        <f>IF(ISBLANK(H337),,IFNA(VLOOKUP(H337, Circuits!A:W, 23, FALSE),))</f>
        <v/>
      </c>
      <c r="K337" s="238" t="str">
        <f t="shared" si="2"/>
        <v/>
      </c>
      <c r="L337" s="238" t="str">
        <f t="shared" si="3"/>
        <v/>
      </c>
      <c r="M337" s="238" t="str">
        <f t="shared" si="4"/>
        <v/>
      </c>
      <c r="N337" s="238" t="str">
        <f t="shared" si="5"/>
        <v/>
      </c>
      <c r="O337" s="238" t="str">
        <f t="shared" si="6"/>
        <v/>
      </c>
      <c r="P337" s="237" t="str">
        <f>IFERROR(__xludf.DUMMYFUNCTION("IF(ISBLANK(H337),,IF(IFNA(MATCH(H337,SPLIT(Circuits!$S$2,"";""&amp;CHAR(10)),0),0),FALSE,TRUE))"),"")</f>
        <v/>
      </c>
      <c r="Q337" s="237" t="str">
        <f>IF(ISBLANK(H337),,IFNA(VLOOKUP(H337, Circuits!A:U, 21, FALSE),))</f>
        <v/>
      </c>
      <c r="R337" s="238" t="str">
        <f t="shared" si="7"/>
        <v/>
      </c>
      <c r="S337" s="237" t="str">
        <f>IF(ISBLANK(H337),,IFNA(VLOOKUP(H337, Circuits!A:V, 22, FALSE),))</f>
        <v/>
      </c>
      <c r="T337" s="237" t="str">
        <f>IF(ISBLANK(H337),,IFNA(VLOOKUP(H337, Circuits!A:X, 24, FALSE),))</f>
        <v/>
      </c>
      <c r="V337" s="236" t="str">
        <f>IFERROR(__xludf.DUMMYFUNCTION("IF(ISBLANK(H337),,JOIN("","",H337:T337))"),"")</f>
        <v/>
      </c>
      <c r="W337" s="229" t="str">
        <f t="shared" si="1"/>
        <v/>
      </c>
    </row>
    <row r="338">
      <c r="H338" s="237"/>
      <c r="I338" s="237" t="str">
        <f>IFERROR(__xludf.DUMMYFUNCTION("IF(ISBLANK(H338),,IFNA(""""""""&amp;JOIN("","",INDEX(FILTER(A:D,A:A=H338),0,4))&amp;"""""""",))"),"")</f>
        <v/>
      </c>
      <c r="J338" s="237" t="str">
        <f>IF(ISBLANK(H338),,IFNA(VLOOKUP(H338, Circuits!A:W, 23, FALSE),))</f>
        <v/>
      </c>
      <c r="K338" s="238" t="str">
        <f t="shared" si="2"/>
        <v/>
      </c>
      <c r="L338" s="238" t="str">
        <f t="shared" si="3"/>
        <v/>
      </c>
      <c r="M338" s="238" t="str">
        <f t="shared" si="4"/>
        <v/>
      </c>
      <c r="N338" s="238" t="str">
        <f t="shared" si="5"/>
        <v/>
      </c>
      <c r="O338" s="238" t="str">
        <f t="shared" si="6"/>
        <v/>
      </c>
      <c r="P338" s="237" t="str">
        <f>IFERROR(__xludf.DUMMYFUNCTION("IF(ISBLANK(H338),,IF(IFNA(MATCH(H338,SPLIT(Circuits!$S$2,"";""&amp;CHAR(10)),0),0),FALSE,TRUE))"),"")</f>
        <v/>
      </c>
      <c r="Q338" s="237" t="str">
        <f>IF(ISBLANK(H338),,IFNA(VLOOKUP(H338, Circuits!A:U, 21, FALSE),))</f>
        <v/>
      </c>
      <c r="R338" s="238" t="str">
        <f t="shared" si="7"/>
        <v/>
      </c>
      <c r="S338" s="237" t="str">
        <f>IF(ISBLANK(H338),,IFNA(VLOOKUP(H338, Circuits!A:V, 22, FALSE),))</f>
        <v/>
      </c>
      <c r="T338" s="237" t="str">
        <f>IF(ISBLANK(H338),,IFNA(VLOOKUP(H338, Circuits!A:X, 24, FALSE),))</f>
        <v/>
      </c>
      <c r="V338" s="236" t="str">
        <f>IFERROR(__xludf.DUMMYFUNCTION("IF(ISBLANK(H338),,JOIN("","",H338:T338))"),"")</f>
        <v/>
      </c>
      <c r="W338" s="229" t="str">
        <f t="shared" si="1"/>
        <v/>
      </c>
    </row>
    <row r="339">
      <c r="H339" s="237"/>
      <c r="I339" s="237" t="str">
        <f>IFERROR(__xludf.DUMMYFUNCTION("IF(ISBLANK(H339),,IFNA(""""""""&amp;JOIN("","",INDEX(FILTER(A:D,A:A=H339),0,4))&amp;"""""""",))"),"")</f>
        <v/>
      </c>
      <c r="J339" s="237" t="str">
        <f>IF(ISBLANK(H339),,IFNA(VLOOKUP(H339, Circuits!A:W, 23, FALSE),))</f>
        <v/>
      </c>
      <c r="K339" s="238" t="str">
        <f t="shared" si="2"/>
        <v/>
      </c>
      <c r="L339" s="238" t="str">
        <f t="shared" si="3"/>
        <v/>
      </c>
      <c r="M339" s="238" t="str">
        <f t="shared" si="4"/>
        <v/>
      </c>
      <c r="N339" s="238" t="str">
        <f t="shared" si="5"/>
        <v/>
      </c>
      <c r="O339" s="238" t="str">
        <f t="shared" si="6"/>
        <v/>
      </c>
      <c r="P339" s="237" t="str">
        <f>IFERROR(__xludf.DUMMYFUNCTION("IF(ISBLANK(H339),,IF(IFNA(MATCH(H339,SPLIT(Circuits!$S$2,"";""&amp;CHAR(10)),0),0),FALSE,TRUE))"),"")</f>
        <v/>
      </c>
      <c r="Q339" s="237" t="str">
        <f>IF(ISBLANK(H339),,IFNA(VLOOKUP(H339, Circuits!A:U, 21, FALSE),))</f>
        <v/>
      </c>
      <c r="R339" s="238" t="str">
        <f t="shared" si="7"/>
        <v/>
      </c>
      <c r="S339" s="237" t="str">
        <f>IF(ISBLANK(H339),,IFNA(VLOOKUP(H339, Circuits!A:V, 22, FALSE),))</f>
        <v/>
      </c>
      <c r="T339" s="237" t="str">
        <f>IF(ISBLANK(H339),,IFNA(VLOOKUP(H339, Circuits!A:X, 24, FALSE),))</f>
        <v/>
      </c>
      <c r="V339" s="236" t="str">
        <f>IFERROR(__xludf.DUMMYFUNCTION("IF(ISBLANK(H339),,JOIN("","",H339:T339))"),"")</f>
        <v/>
      </c>
      <c r="W339" s="229" t="str">
        <f t="shared" si="1"/>
        <v/>
      </c>
    </row>
    <row r="340">
      <c r="H340" s="237"/>
      <c r="I340" s="237" t="str">
        <f>IFERROR(__xludf.DUMMYFUNCTION("IF(ISBLANK(H340),,IFNA(""""""""&amp;JOIN("","",INDEX(FILTER(A:D,A:A=H340),0,4))&amp;"""""""",))"),"")</f>
        <v/>
      </c>
      <c r="J340" s="237" t="str">
        <f>IF(ISBLANK(H340),,IFNA(VLOOKUP(H340, Circuits!A:W, 23, FALSE),))</f>
        <v/>
      </c>
      <c r="K340" s="238" t="str">
        <f t="shared" si="2"/>
        <v/>
      </c>
      <c r="L340" s="238" t="str">
        <f t="shared" si="3"/>
        <v/>
      </c>
      <c r="M340" s="238" t="str">
        <f t="shared" si="4"/>
        <v/>
      </c>
      <c r="N340" s="238" t="str">
        <f t="shared" si="5"/>
        <v/>
      </c>
      <c r="O340" s="238" t="str">
        <f t="shared" si="6"/>
        <v/>
      </c>
      <c r="P340" s="237" t="str">
        <f>IFERROR(__xludf.DUMMYFUNCTION("IF(ISBLANK(H340),,IF(IFNA(MATCH(H340,SPLIT(Circuits!$S$2,"";""&amp;CHAR(10)),0),0),FALSE,TRUE))"),"")</f>
        <v/>
      </c>
      <c r="Q340" s="237" t="str">
        <f>IF(ISBLANK(H340),,IFNA(VLOOKUP(H340, Circuits!A:U, 21, FALSE),))</f>
        <v/>
      </c>
      <c r="R340" s="238" t="str">
        <f t="shared" si="7"/>
        <v/>
      </c>
      <c r="S340" s="237" t="str">
        <f>IF(ISBLANK(H340),,IFNA(VLOOKUP(H340, Circuits!A:V, 22, FALSE),))</f>
        <v/>
      </c>
      <c r="T340" s="237" t="str">
        <f>IF(ISBLANK(H340),,IFNA(VLOOKUP(H340, Circuits!A:X, 24, FALSE),))</f>
        <v/>
      </c>
      <c r="V340" s="236" t="str">
        <f>IFERROR(__xludf.DUMMYFUNCTION("IF(ISBLANK(H340),,JOIN("","",H340:T340))"),"")</f>
        <v/>
      </c>
      <c r="W340" s="229" t="str">
        <f t="shared" si="1"/>
        <v/>
      </c>
    </row>
    <row r="341">
      <c r="H341" s="237"/>
      <c r="I341" s="237" t="str">
        <f>IFERROR(__xludf.DUMMYFUNCTION("IF(ISBLANK(H341),,IFNA(""""""""&amp;JOIN("","",INDEX(FILTER(A:D,A:A=H341),0,4))&amp;"""""""",))"),"")</f>
        <v/>
      </c>
      <c r="J341" s="237" t="str">
        <f>IF(ISBLANK(H341),,IFNA(VLOOKUP(H341, Circuits!A:W, 23, FALSE),))</f>
        <v/>
      </c>
      <c r="K341" s="238" t="str">
        <f t="shared" si="2"/>
        <v/>
      </c>
      <c r="L341" s="238" t="str">
        <f t="shared" si="3"/>
        <v/>
      </c>
      <c r="M341" s="238" t="str">
        <f t="shared" si="4"/>
        <v/>
      </c>
      <c r="N341" s="238" t="str">
        <f t="shared" si="5"/>
        <v/>
      </c>
      <c r="O341" s="238" t="str">
        <f t="shared" si="6"/>
        <v/>
      </c>
      <c r="P341" s="237" t="str">
        <f>IFERROR(__xludf.DUMMYFUNCTION("IF(ISBLANK(H341),,IF(IFNA(MATCH(H341,SPLIT(Circuits!$S$2,"";""&amp;CHAR(10)),0),0),FALSE,TRUE))"),"")</f>
        <v/>
      </c>
      <c r="Q341" s="237" t="str">
        <f>IF(ISBLANK(H341),,IFNA(VLOOKUP(H341, Circuits!A:U, 21, FALSE),))</f>
        <v/>
      </c>
      <c r="R341" s="238" t="str">
        <f t="shared" si="7"/>
        <v/>
      </c>
      <c r="S341" s="237" t="str">
        <f>IF(ISBLANK(H341),,IFNA(VLOOKUP(H341, Circuits!A:V, 22, FALSE),))</f>
        <v/>
      </c>
      <c r="T341" s="237" t="str">
        <f>IF(ISBLANK(H341),,IFNA(VLOOKUP(H341, Circuits!A:X, 24, FALSE),))</f>
        <v/>
      </c>
      <c r="V341" s="236" t="str">
        <f>IFERROR(__xludf.DUMMYFUNCTION("IF(ISBLANK(H341),,JOIN("","",H341:T341))"),"")</f>
        <v/>
      </c>
      <c r="W341" s="229" t="str">
        <f t="shared" si="1"/>
        <v/>
      </c>
    </row>
    <row r="342">
      <c r="H342" s="237"/>
      <c r="I342" s="237" t="str">
        <f>IFERROR(__xludf.DUMMYFUNCTION("IF(ISBLANK(H342),,IFNA(""""""""&amp;JOIN("","",INDEX(FILTER(A:D,A:A=H342),0,4))&amp;"""""""",))"),"")</f>
        <v/>
      </c>
      <c r="J342" s="237" t="str">
        <f>IF(ISBLANK(H342),,IFNA(VLOOKUP(H342, Circuits!A:W, 23, FALSE),))</f>
        <v/>
      </c>
      <c r="K342" s="238" t="str">
        <f t="shared" si="2"/>
        <v/>
      </c>
      <c r="L342" s="238" t="str">
        <f t="shared" si="3"/>
        <v/>
      </c>
      <c r="M342" s="238" t="str">
        <f t="shared" si="4"/>
        <v/>
      </c>
      <c r="N342" s="238" t="str">
        <f t="shared" si="5"/>
        <v/>
      </c>
      <c r="O342" s="238" t="str">
        <f t="shared" si="6"/>
        <v/>
      </c>
      <c r="P342" s="237" t="str">
        <f>IFERROR(__xludf.DUMMYFUNCTION("IF(ISBLANK(H342),,IF(IFNA(MATCH(H342,SPLIT(Circuits!$S$2,"";""&amp;CHAR(10)),0),0),FALSE,TRUE))"),"")</f>
        <v/>
      </c>
      <c r="Q342" s="237" t="str">
        <f>IF(ISBLANK(H342),,IFNA(VLOOKUP(H342, Circuits!A:U, 21, FALSE),))</f>
        <v/>
      </c>
      <c r="R342" s="238" t="str">
        <f t="shared" si="7"/>
        <v/>
      </c>
      <c r="S342" s="237" t="str">
        <f>IF(ISBLANK(H342),,IFNA(VLOOKUP(H342, Circuits!A:V, 22, FALSE),))</f>
        <v/>
      </c>
      <c r="T342" s="237" t="str">
        <f>IF(ISBLANK(H342),,IFNA(VLOOKUP(H342, Circuits!A:X, 24, FALSE),))</f>
        <v/>
      </c>
      <c r="V342" s="236" t="str">
        <f>IFERROR(__xludf.DUMMYFUNCTION("IF(ISBLANK(H342),,JOIN("","",H342:T342))"),"")</f>
        <v/>
      </c>
      <c r="W342" s="229" t="str">
        <f t="shared" si="1"/>
        <v/>
      </c>
    </row>
    <row r="343">
      <c r="H343" s="237"/>
      <c r="I343" s="237" t="str">
        <f>IFERROR(__xludf.DUMMYFUNCTION("IF(ISBLANK(H343),,IFNA(""""""""&amp;JOIN("","",INDEX(FILTER(A:D,A:A=H343),0,4))&amp;"""""""",))"),"")</f>
        <v/>
      </c>
      <c r="J343" s="237" t="str">
        <f>IF(ISBLANK(H343),,IFNA(VLOOKUP(H343, Circuits!A:W, 23, FALSE),))</f>
        <v/>
      </c>
      <c r="K343" s="238" t="str">
        <f t="shared" si="2"/>
        <v/>
      </c>
      <c r="L343" s="238" t="str">
        <f t="shared" si="3"/>
        <v/>
      </c>
      <c r="M343" s="238" t="str">
        <f t="shared" si="4"/>
        <v/>
      </c>
      <c r="N343" s="238" t="str">
        <f t="shared" si="5"/>
        <v/>
      </c>
      <c r="O343" s="238" t="str">
        <f t="shared" si="6"/>
        <v/>
      </c>
      <c r="P343" s="237" t="str">
        <f>IFERROR(__xludf.DUMMYFUNCTION("IF(ISBLANK(H343),,IF(IFNA(MATCH(H343,SPLIT(Circuits!$S$2,"";""&amp;CHAR(10)),0),0),FALSE,TRUE))"),"")</f>
        <v/>
      </c>
      <c r="Q343" s="237" t="str">
        <f>IF(ISBLANK(H343),,IFNA(VLOOKUP(H343, Circuits!A:U, 21, FALSE),))</f>
        <v/>
      </c>
      <c r="R343" s="238" t="str">
        <f t="shared" si="7"/>
        <v/>
      </c>
      <c r="S343" s="237" t="str">
        <f>IF(ISBLANK(H343),,IFNA(VLOOKUP(H343, Circuits!A:V, 22, FALSE),))</f>
        <v/>
      </c>
      <c r="T343" s="237" t="str">
        <f>IF(ISBLANK(H343),,IFNA(VLOOKUP(H343, Circuits!A:X, 24, FALSE),))</f>
        <v/>
      </c>
      <c r="V343" s="236" t="str">
        <f>IFERROR(__xludf.DUMMYFUNCTION("IF(ISBLANK(H343),,JOIN("","",H343:T343))"),"")</f>
        <v/>
      </c>
      <c r="W343" s="229" t="str">
        <f t="shared" si="1"/>
        <v/>
      </c>
    </row>
    <row r="344">
      <c r="H344" s="237"/>
      <c r="I344" s="237" t="str">
        <f>IFERROR(__xludf.DUMMYFUNCTION("IF(ISBLANK(H344),,IFNA(""""""""&amp;JOIN("","",INDEX(FILTER(A:D,A:A=H344),0,4))&amp;"""""""",))"),"")</f>
        <v/>
      </c>
      <c r="J344" s="237" t="str">
        <f>IF(ISBLANK(H344),,IFNA(VLOOKUP(H344, Circuits!A:W, 23, FALSE),))</f>
        <v/>
      </c>
      <c r="K344" s="238" t="str">
        <f t="shared" si="2"/>
        <v/>
      </c>
      <c r="L344" s="238" t="str">
        <f t="shared" si="3"/>
        <v/>
      </c>
      <c r="M344" s="238" t="str">
        <f t="shared" si="4"/>
        <v/>
      </c>
      <c r="N344" s="238" t="str">
        <f t="shared" si="5"/>
        <v/>
      </c>
      <c r="O344" s="238" t="str">
        <f t="shared" si="6"/>
        <v/>
      </c>
      <c r="P344" s="237" t="str">
        <f>IFERROR(__xludf.DUMMYFUNCTION("IF(ISBLANK(H344),,IF(IFNA(MATCH(H344,SPLIT(Circuits!$S$2,"";""&amp;CHAR(10)),0),0),FALSE,TRUE))"),"")</f>
        <v/>
      </c>
      <c r="Q344" s="237" t="str">
        <f>IF(ISBLANK(H344),,IFNA(VLOOKUP(H344, Circuits!A:U, 21, FALSE),))</f>
        <v/>
      </c>
      <c r="R344" s="238" t="str">
        <f t="shared" si="7"/>
        <v/>
      </c>
      <c r="S344" s="237" t="str">
        <f>IF(ISBLANK(H344),,IFNA(VLOOKUP(H344, Circuits!A:V, 22, FALSE),))</f>
        <v/>
      </c>
      <c r="T344" s="237" t="str">
        <f>IF(ISBLANK(H344),,IFNA(VLOOKUP(H344, Circuits!A:X, 24, FALSE),))</f>
        <v/>
      </c>
      <c r="V344" s="236" t="str">
        <f>IFERROR(__xludf.DUMMYFUNCTION("IF(ISBLANK(H344),,JOIN("","",H344:T344))"),"")</f>
        <v/>
      </c>
      <c r="W344" s="229" t="str">
        <f t="shared" si="1"/>
        <v/>
      </c>
    </row>
    <row r="345">
      <c r="H345" s="237"/>
      <c r="I345" s="237" t="str">
        <f>IFERROR(__xludf.DUMMYFUNCTION("IF(ISBLANK(H345),,IFNA(""""""""&amp;JOIN("","",INDEX(FILTER(A:D,A:A=H345),0,4))&amp;"""""""",))"),"")</f>
        <v/>
      </c>
      <c r="J345" s="237" t="str">
        <f>IF(ISBLANK(H345),,IFNA(VLOOKUP(H345, Circuits!A:W, 23, FALSE),))</f>
        <v/>
      </c>
      <c r="K345" s="238" t="str">
        <f t="shared" si="2"/>
        <v/>
      </c>
      <c r="L345" s="238" t="str">
        <f t="shared" si="3"/>
        <v/>
      </c>
      <c r="M345" s="238" t="str">
        <f t="shared" si="4"/>
        <v/>
      </c>
      <c r="N345" s="238" t="str">
        <f t="shared" si="5"/>
        <v/>
      </c>
      <c r="O345" s="238" t="str">
        <f t="shared" si="6"/>
        <v/>
      </c>
      <c r="P345" s="237" t="str">
        <f>IFERROR(__xludf.DUMMYFUNCTION("IF(ISBLANK(H345),,IF(IFNA(MATCH(H345,SPLIT(Circuits!$S$2,"";""&amp;CHAR(10)),0),0),FALSE,TRUE))"),"")</f>
        <v/>
      </c>
      <c r="Q345" s="237" t="str">
        <f>IF(ISBLANK(H345),,IFNA(VLOOKUP(H345, Circuits!A:U, 21, FALSE),))</f>
        <v/>
      </c>
      <c r="R345" s="238" t="str">
        <f t="shared" si="7"/>
        <v/>
      </c>
      <c r="S345" s="237" t="str">
        <f>IF(ISBLANK(H345),,IFNA(VLOOKUP(H345, Circuits!A:V, 22, FALSE),))</f>
        <v/>
      </c>
      <c r="T345" s="237" t="str">
        <f>IF(ISBLANK(H345),,IFNA(VLOOKUP(H345, Circuits!A:X, 24, FALSE),))</f>
        <v/>
      </c>
      <c r="V345" s="236" t="str">
        <f>IFERROR(__xludf.DUMMYFUNCTION("IF(ISBLANK(H345),,JOIN("","",H345:T345))"),"")</f>
        <v/>
      </c>
      <c r="W345" s="229" t="str">
        <f t="shared" si="1"/>
        <v/>
      </c>
    </row>
    <row r="346">
      <c r="H346" s="237"/>
      <c r="I346" s="237" t="str">
        <f>IFERROR(__xludf.DUMMYFUNCTION("IF(ISBLANK(H346),,IFNA(""""""""&amp;JOIN("","",INDEX(FILTER(A:D,A:A=H346),0,4))&amp;"""""""",))"),"")</f>
        <v/>
      </c>
      <c r="J346" s="237" t="str">
        <f>IF(ISBLANK(H346),,IFNA(VLOOKUP(H346, Circuits!A:W, 23, FALSE),))</f>
        <v/>
      </c>
      <c r="K346" s="238" t="str">
        <f t="shared" si="2"/>
        <v/>
      </c>
      <c r="L346" s="238" t="str">
        <f t="shared" si="3"/>
        <v/>
      </c>
      <c r="M346" s="238" t="str">
        <f t="shared" si="4"/>
        <v/>
      </c>
      <c r="N346" s="238" t="str">
        <f t="shared" si="5"/>
        <v/>
      </c>
      <c r="O346" s="238" t="str">
        <f t="shared" si="6"/>
        <v/>
      </c>
      <c r="P346" s="237" t="str">
        <f>IFERROR(__xludf.DUMMYFUNCTION("IF(ISBLANK(H346),,IF(IFNA(MATCH(H346,SPLIT(Circuits!$S$2,"";""&amp;CHAR(10)),0),0),FALSE,TRUE))"),"")</f>
        <v/>
      </c>
      <c r="Q346" s="237" t="str">
        <f>IF(ISBLANK(H346),,IFNA(VLOOKUP(H346, Circuits!A:U, 21, FALSE),))</f>
        <v/>
      </c>
      <c r="R346" s="238" t="str">
        <f t="shared" si="7"/>
        <v/>
      </c>
      <c r="S346" s="237" t="str">
        <f>IF(ISBLANK(H346),,IFNA(VLOOKUP(H346, Circuits!A:V, 22, FALSE),))</f>
        <v/>
      </c>
      <c r="T346" s="237" t="str">
        <f>IF(ISBLANK(H346),,IFNA(VLOOKUP(H346, Circuits!A:X, 24, FALSE),))</f>
        <v/>
      </c>
      <c r="V346" s="236" t="str">
        <f>IFERROR(__xludf.DUMMYFUNCTION("IF(ISBLANK(H346),,JOIN("","",H346:T346))"),"")</f>
        <v/>
      </c>
      <c r="W346" s="229" t="str">
        <f t="shared" si="1"/>
        <v/>
      </c>
    </row>
    <row r="347">
      <c r="H347" s="237"/>
      <c r="I347" s="237" t="str">
        <f>IFERROR(__xludf.DUMMYFUNCTION("IF(ISBLANK(H347),,IFNA(""""""""&amp;JOIN("","",INDEX(FILTER(A:D,A:A=H347),0,4))&amp;"""""""",))"),"")</f>
        <v/>
      </c>
      <c r="J347" s="237" t="str">
        <f>IF(ISBLANK(H347),,IFNA(VLOOKUP(H347, Circuits!A:W, 23, FALSE),))</f>
        <v/>
      </c>
      <c r="K347" s="238" t="str">
        <f t="shared" si="2"/>
        <v/>
      </c>
      <c r="L347" s="238" t="str">
        <f t="shared" si="3"/>
        <v/>
      </c>
      <c r="M347" s="238" t="str">
        <f t="shared" si="4"/>
        <v/>
      </c>
      <c r="N347" s="238" t="str">
        <f t="shared" si="5"/>
        <v/>
      </c>
      <c r="O347" s="238" t="str">
        <f t="shared" si="6"/>
        <v/>
      </c>
      <c r="P347" s="237" t="str">
        <f>IFERROR(__xludf.DUMMYFUNCTION("IF(ISBLANK(H347),,IF(IFNA(MATCH(H347,SPLIT(Circuits!$S$2,"";""&amp;CHAR(10)),0),0),FALSE,TRUE))"),"")</f>
        <v/>
      </c>
      <c r="Q347" s="237" t="str">
        <f>IF(ISBLANK(H347),,IFNA(VLOOKUP(H347, Circuits!A:U, 21, FALSE),))</f>
        <v/>
      </c>
      <c r="R347" s="238" t="str">
        <f t="shared" si="7"/>
        <v/>
      </c>
      <c r="S347" s="237" t="str">
        <f>IF(ISBLANK(H347),,IFNA(VLOOKUP(H347, Circuits!A:V, 22, FALSE),))</f>
        <v/>
      </c>
      <c r="T347" s="237" t="str">
        <f>IF(ISBLANK(H347),,IFNA(VLOOKUP(H347, Circuits!A:X, 24, FALSE),))</f>
        <v/>
      </c>
      <c r="V347" s="236" t="str">
        <f>IFERROR(__xludf.DUMMYFUNCTION("IF(ISBLANK(H347),,JOIN("","",H347:T347))"),"")</f>
        <v/>
      </c>
      <c r="W347" s="229" t="str">
        <f t="shared" si="1"/>
        <v/>
      </c>
    </row>
    <row r="348">
      <c r="H348" s="237"/>
      <c r="I348" s="237" t="str">
        <f>IFERROR(__xludf.DUMMYFUNCTION("IF(ISBLANK(H348),,IFNA(""""""""&amp;JOIN("","",INDEX(FILTER(A:D,A:A=H348),0,4))&amp;"""""""",))"),"")</f>
        <v/>
      </c>
      <c r="J348" s="237" t="str">
        <f>IF(ISBLANK(H348),,IFNA(VLOOKUP(H348, Circuits!A:W, 23, FALSE),))</f>
        <v/>
      </c>
      <c r="K348" s="238" t="str">
        <f t="shared" si="2"/>
        <v/>
      </c>
      <c r="L348" s="238" t="str">
        <f t="shared" si="3"/>
        <v/>
      </c>
      <c r="M348" s="238" t="str">
        <f t="shared" si="4"/>
        <v/>
      </c>
      <c r="N348" s="238" t="str">
        <f t="shared" si="5"/>
        <v/>
      </c>
      <c r="O348" s="238" t="str">
        <f t="shared" si="6"/>
        <v/>
      </c>
      <c r="P348" s="237" t="str">
        <f>IFERROR(__xludf.DUMMYFUNCTION("IF(ISBLANK(H348),,IF(IFNA(MATCH(H348,SPLIT(Circuits!$S$2,"";""&amp;CHAR(10)),0),0),FALSE,TRUE))"),"")</f>
        <v/>
      </c>
      <c r="Q348" s="237" t="str">
        <f>IF(ISBLANK(H348),,IFNA(VLOOKUP(H348, Circuits!A:U, 21, FALSE),))</f>
        <v/>
      </c>
      <c r="R348" s="238" t="str">
        <f t="shared" si="7"/>
        <v/>
      </c>
      <c r="S348" s="237" t="str">
        <f>IF(ISBLANK(H348),,IFNA(VLOOKUP(H348, Circuits!A:V, 22, FALSE),))</f>
        <v/>
      </c>
      <c r="T348" s="237" t="str">
        <f>IF(ISBLANK(H348),,IFNA(VLOOKUP(H348, Circuits!A:X, 24, FALSE),))</f>
        <v/>
      </c>
      <c r="V348" s="236" t="str">
        <f>IFERROR(__xludf.DUMMYFUNCTION("IF(ISBLANK(H348),,JOIN("","",H348:T348))"),"")</f>
        <v/>
      </c>
      <c r="W348" s="229" t="str">
        <f t="shared" si="1"/>
        <v/>
      </c>
    </row>
    <row r="349">
      <c r="H349" s="237"/>
      <c r="I349" s="237" t="str">
        <f>IFERROR(__xludf.DUMMYFUNCTION("IF(ISBLANK(H349),,IFNA(""""""""&amp;JOIN("","",INDEX(FILTER(A:D,A:A=H349),0,4))&amp;"""""""",))"),"")</f>
        <v/>
      </c>
      <c r="J349" s="237" t="str">
        <f>IF(ISBLANK(H349),,IFNA(VLOOKUP(H349, Circuits!A:W, 23, FALSE),))</f>
        <v/>
      </c>
      <c r="K349" s="238" t="str">
        <f t="shared" si="2"/>
        <v/>
      </c>
      <c r="L349" s="238" t="str">
        <f t="shared" si="3"/>
        <v/>
      </c>
      <c r="M349" s="238" t="str">
        <f t="shared" si="4"/>
        <v/>
      </c>
      <c r="N349" s="238" t="str">
        <f t="shared" si="5"/>
        <v/>
      </c>
      <c r="O349" s="238" t="str">
        <f t="shared" si="6"/>
        <v/>
      </c>
      <c r="P349" s="237" t="str">
        <f>IFERROR(__xludf.DUMMYFUNCTION("IF(ISBLANK(H349),,IF(IFNA(MATCH(H349,SPLIT(Circuits!$S$2,"";""&amp;CHAR(10)),0),0),FALSE,TRUE))"),"")</f>
        <v/>
      </c>
      <c r="Q349" s="237" t="str">
        <f>IF(ISBLANK(H349),,IFNA(VLOOKUP(H349, Circuits!A:U, 21, FALSE),))</f>
        <v/>
      </c>
      <c r="R349" s="238" t="str">
        <f t="shared" si="7"/>
        <v/>
      </c>
      <c r="S349" s="237" t="str">
        <f>IF(ISBLANK(H349),,IFNA(VLOOKUP(H349, Circuits!A:V, 22, FALSE),))</f>
        <v/>
      </c>
      <c r="T349" s="237" t="str">
        <f>IF(ISBLANK(H349),,IFNA(VLOOKUP(H349, Circuits!A:X, 24, FALSE),))</f>
        <v/>
      </c>
      <c r="V349" s="236" t="str">
        <f>IFERROR(__xludf.DUMMYFUNCTION("IF(ISBLANK(H349),,JOIN("","",H349:T349))"),"")</f>
        <v/>
      </c>
      <c r="W349" s="229" t="str">
        <f t="shared" si="1"/>
        <v/>
      </c>
    </row>
    <row r="350">
      <c r="H350" s="237"/>
      <c r="I350" s="237" t="str">
        <f>IFERROR(__xludf.DUMMYFUNCTION("IF(ISBLANK(H350),,IFNA(""""""""&amp;JOIN("","",INDEX(FILTER(A:D,A:A=H350),0,4))&amp;"""""""",))"),"")</f>
        <v/>
      </c>
      <c r="J350" s="237" t="str">
        <f>IF(ISBLANK(H350),,IFNA(VLOOKUP(H350, Circuits!A:W, 23, FALSE),))</f>
        <v/>
      </c>
      <c r="K350" s="238" t="str">
        <f t="shared" si="2"/>
        <v/>
      </c>
      <c r="L350" s="238" t="str">
        <f t="shared" si="3"/>
        <v/>
      </c>
      <c r="M350" s="238" t="str">
        <f t="shared" si="4"/>
        <v/>
      </c>
      <c r="N350" s="238" t="str">
        <f t="shared" si="5"/>
        <v/>
      </c>
      <c r="O350" s="238" t="str">
        <f t="shared" si="6"/>
        <v/>
      </c>
      <c r="P350" s="237" t="str">
        <f>IFERROR(__xludf.DUMMYFUNCTION("IF(ISBLANK(H350),,IF(IFNA(MATCH(H350,SPLIT(Circuits!$S$2,"";""&amp;CHAR(10)),0),0),FALSE,TRUE))"),"")</f>
        <v/>
      </c>
      <c r="Q350" s="237" t="str">
        <f>IF(ISBLANK(H350),,IFNA(VLOOKUP(H350, Circuits!A:U, 21, FALSE),))</f>
        <v/>
      </c>
      <c r="R350" s="238" t="str">
        <f t="shared" si="7"/>
        <v/>
      </c>
      <c r="S350" s="237" t="str">
        <f>IF(ISBLANK(H350),,IFNA(VLOOKUP(H350, Circuits!A:V, 22, FALSE),))</f>
        <v/>
      </c>
      <c r="T350" s="237" t="str">
        <f>IF(ISBLANK(H350),,IFNA(VLOOKUP(H350, Circuits!A:X, 24, FALSE),))</f>
        <v/>
      </c>
      <c r="V350" s="236" t="str">
        <f>IFERROR(__xludf.DUMMYFUNCTION("IF(ISBLANK(H350),,JOIN("","",H350:T350))"),"")</f>
        <v/>
      </c>
      <c r="W350" s="229" t="str">
        <f t="shared" si="1"/>
        <v/>
      </c>
    </row>
    <row r="351">
      <c r="H351" s="237"/>
      <c r="I351" s="237" t="str">
        <f>IFERROR(__xludf.DUMMYFUNCTION("IF(ISBLANK(H351),,IFNA(""""""""&amp;JOIN("","",INDEX(FILTER(A:D,A:A=H351),0,4))&amp;"""""""",))"),"")</f>
        <v/>
      </c>
      <c r="J351" s="237" t="str">
        <f>IF(ISBLANK(H351),,IFNA(VLOOKUP(H351, Circuits!A:W, 23, FALSE),))</f>
        <v/>
      </c>
      <c r="K351" s="238" t="str">
        <f t="shared" si="2"/>
        <v/>
      </c>
      <c r="L351" s="238" t="str">
        <f t="shared" si="3"/>
        <v/>
      </c>
      <c r="M351" s="238" t="str">
        <f t="shared" si="4"/>
        <v/>
      </c>
      <c r="N351" s="238" t="str">
        <f t="shared" si="5"/>
        <v/>
      </c>
      <c r="O351" s="238" t="str">
        <f t="shared" si="6"/>
        <v/>
      </c>
      <c r="P351" s="237" t="str">
        <f>IFERROR(__xludf.DUMMYFUNCTION("IF(ISBLANK(H351),,IF(IFNA(MATCH(H351,SPLIT(Circuits!$S$2,"";""&amp;CHAR(10)),0),0),FALSE,TRUE))"),"")</f>
        <v/>
      </c>
      <c r="Q351" s="237" t="str">
        <f>IF(ISBLANK(H351),,IFNA(VLOOKUP(H351, Circuits!A:U, 21, FALSE),))</f>
        <v/>
      </c>
      <c r="R351" s="238" t="str">
        <f t="shared" si="7"/>
        <v/>
      </c>
      <c r="S351" s="237" t="str">
        <f>IF(ISBLANK(H351),,IFNA(VLOOKUP(H351, Circuits!A:V, 22, FALSE),))</f>
        <v/>
      </c>
      <c r="T351" s="237" t="str">
        <f>IF(ISBLANK(H351),,IFNA(VLOOKUP(H351, Circuits!A:X, 24, FALSE),))</f>
        <v/>
      </c>
      <c r="V351" s="236" t="str">
        <f>IFERROR(__xludf.DUMMYFUNCTION("IF(ISBLANK(H351),,JOIN("","",H351:T351))"),"")</f>
        <v/>
      </c>
      <c r="W351" s="229" t="str">
        <f t="shared" si="1"/>
        <v/>
      </c>
    </row>
    <row r="352">
      <c r="H352" s="237"/>
      <c r="I352" s="237" t="str">
        <f>IFERROR(__xludf.DUMMYFUNCTION("IF(ISBLANK(H352),,IFNA(""""""""&amp;JOIN("","",INDEX(FILTER(A:D,A:A=H352),0,4))&amp;"""""""",))"),"")</f>
        <v/>
      </c>
      <c r="J352" s="237" t="str">
        <f>IF(ISBLANK(H352),,IFNA(VLOOKUP(H352, Circuits!A:W, 23, FALSE),))</f>
        <v/>
      </c>
      <c r="K352" s="238" t="str">
        <f t="shared" si="2"/>
        <v/>
      </c>
      <c r="L352" s="238" t="str">
        <f t="shared" si="3"/>
        <v/>
      </c>
      <c r="M352" s="238" t="str">
        <f t="shared" si="4"/>
        <v/>
      </c>
      <c r="N352" s="238" t="str">
        <f t="shared" si="5"/>
        <v/>
      </c>
      <c r="O352" s="238" t="str">
        <f t="shared" si="6"/>
        <v/>
      </c>
      <c r="P352" s="237" t="str">
        <f>IFERROR(__xludf.DUMMYFUNCTION("IF(ISBLANK(H352),,IF(IFNA(MATCH(H352,SPLIT(Circuits!$S$2,"";""&amp;CHAR(10)),0),0),FALSE,TRUE))"),"")</f>
        <v/>
      </c>
      <c r="Q352" s="237" t="str">
        <f>IF(ISBLANK(H352),,IFNA(VLOOKUP(H352, Circuits!A:U, 21, FALSE),))</f>
        <v/>
      </c>
      <c r="R352" s="238" t="str">
        <f t="shared" si="7"/>
        <v/>
      </c>
      <c r="S352" s="237" t="str">
        <f>IF(ISBLANK(H352),,IFNA(VLOOKUP(H352, Circuits!A:V, 22, FALSE),))</f>
        <v/>
      </c>
      <c r="T352" s="237" t="str">
        <f>IF(ISBLANK(H352),,IFNA(VLOOKUP(H352, Circuits!A:X, 24, FALSE),))</f>
        <v/>
      </c>
      <c r="V352" s="236" t="str">
        <f>IFERROR(__xludf.DUMMYFUNCTION("IF(ISBLANK(H352),,JOIN("","",H352:T352))"),"")</f>
        <v/>
      </c>
      <c r="W352" s="229" t="str">
        <f t="shared" si="1"/>
        <v/>
      </c>
    </row>
    <row r="353">
      <c r="H353" s="237"/>
      <c r="I353" s="237" t="str">
        <f>IFERROR(__xludf.DUMMYFUNCTION("IF(ISBLANK(H353),,IFNA(""""""""&amp;JOIN("","",INDEX(FILTER(A:D,A:A=H353),0,4))&amp;"""""""",))"),"")</f>
        <v/>
      </c>
      <c r="J353" s="237" t="str">
        <f>IF(ISBLANK(H353),,IFNA(VLOOKUP(H353, Circuits!A:W, 23, FALSE),))</f>
        <v/>
      </c>
      <c r="K353" s="238" t="str">
        <f t="shared" si="2"/>
        <v/>
      </c>
      <c r="L353" s="238" t="str">
        <f t="shared" si="3"/>
        <v/>
      </c>
      <c r="M353" s="238" t="str">
        <f t="shared" si="4"/>
        <v/>
      </c>
      <c r="N353" s="238" t="str">
        <f t="shared" si="5"/>
        <v/>
      </c>
      <c r="O353" s="238" t="str">
        <f t="shared" si="6"/>
        <v/>
      </c>
      <c r="P353" s="237" t="str">
        <f>IFERROR(__xludf.DUMMYFUNCTION("IF(ISBLANK(H353),,IF(IFNA(MATCH(H353,SPLIT(Circuits!$S$2,"";""&amp;CHAR(10)),0),0),FALSE,TRUE))"),"")</f>
        <v/>
      </c>
      <c r="Q353" s="237" t="str">
        <f>IF(ISBLANK(H353),,IFNA(VLOOKUP(H353, Circuits!A:U, 21, FALSE),))</f>
        <v/>
      </c>
      <c r="R353" s="238" t="str">
        <f t="shared" si="7"/>
        <v/>
      </c>
      <c r="S353" s="237" t="str">
        <f>IF(ISBLANK(H353),,IFNA(VLOOKUP(H353, Circuits!A:V, 22, FALSE),))</f>
        <v/>
      </c>
      <c r="T353" s="237" t="str">
        <f>IF(ISBLANK(H353),,IFNA(VLOOKUP(H353, Circuits!A:X, 24, FALSE),))</f>
        <v/>
      </c>
      <c r="V353" s="236" t="str">
        <f>IFERROR(__xludf.DUMMYFUNCTION("IF(ISBLANK(H353),,JOIN("","",H353:T353))"),"")</f>
        <v/>
      </c>
      <c r="W353" s="229" t="str">
        <f t="shared" si="1"/>
        <v/>
      </c>
    </row>
    <row r="354">
      <c r="H354" s="237"/>
      <c r="I354" s="237" t="str">
        <f>IFERROR(__xludf.DUMMYFUNCTION("IF(ISBLANK(H354),,IFNA(""""""""&amp;JOIN("","",INDEX(FILTER(A:D,A:A=H354),0,4))&amp;"""""""",))"),"")</f>
        <v/>
      </c>
      <c r="J354" s="237" t="str">
        <f>IF(ISBLANK(H354),,IFNA(VLOOKUP(H354, Circuits!A:W, 23, FALSE),))</f>
        <v/>
      </c>
      <c r="K354" s="238" t="str">
        <f t="shared" si="2"/>
        <v/>
      </c>
      <c r="L354" s="238" t="str">
        <f t="shared" si="3"/>
        <v/>
      </c>
      <c r="M354" s="238" t="str">
        <f t="shared" si="4"/>
        <v/>
      </c>
      <c r="N354" s="238" t="str">
        <f t="shared" si="5"/>
        <v/>
      </c>
      <c r="O354" s="238" t="str">
        <f t="shared" si="6"/>
        <v/>
      </c>
      <c r="P354" s="237" t="str">
        <f>IFERROR(__xludf.DUMMYFUNCTION("IF(ISBLANK(H354),,IF(IFNA(MATCH(H354,SPLIT(Circuits!$S$2,"";""&amp;CHAR(10)),0),0),FALSE,TRUE))"),"")</f>
        <v/>
      </c>
      <c r="Q354" s="237" t="str">
        <f>IF(ISBLANK(H354),,IFNA(VLOOKUP(H354, Circuits!A:U, 21, FALSE),))</f>
        <v/>
      </c>
      <c r="R354" s="238" t="str">
        <f t="shared" si="7"/>
        <v/>
      </c>
      <c r="S354" s="237" t="str">
        <f>IF(ISBLANK(H354),,IFNA(VLOOKUP(H354, Circuits!A:V, 22, FALSE),))</f>
        <v/>
      </c>
      <c r="T354" s="237" t="str">
        <f>IF(ISBLANK(H354),,IFNA(VLOOKUP(H354, Circuits!A:X, 24, FALSE),))</f>
        <v/>
      </c>
      <c r="V354" s="236" t="str">
        <f>IFERROR(__xludf.DUMMYFUNCTION("IF(ISBLANK(H354),,JOIN("","",H354:T354))"),"")</f>
        <v/>
      </c>
      <c r="W354" s="229" t="str">
        <f t="shared" si="1"/>
        <v/>
      </c>
    </row>
    <row r="355">
      <c r="H355" s="237"/>
      <c r="I355" s="237" t="str">
        <f>IFERROR(__xludf.DUMMYFUNCTION("IF(ISBLANK(H355),,IFNA(""""""""&amp;JOIN("","",INDEX(FILTER(A:D,A:A=H355),0,4))&amp;"""""""",))"),"")</f>
        <v/>
      </c>
      <c r="J355" s="237" t="str">
        <f>IF(ISBLANK(H355),,IFNA(VLOOKUP(H355, Circuits!A:W, 23, FALSE),))</f>
        <v/>
      </c>
      <c r="K355" s="238" t="str">
        <f t="shared" si="2"/>
        <v/>
      </c>
      <c r="L355" s="238" t="str">
        <f t="shared" si="3"/>
        <v/>
      </c>
      <c r="M355" s="238" t="str">
        <f t="shared" si="4"/>
        <v/>
      </c>
      <c r="N355" s="238" t="str">
        <f t="shared" si="5"/>
        <v/>
      </c>
      <c r="O355" s="238" t="str">
        <f t="shared" si="6"/>
        <v/>
      </c>
      <c r="P355" s="237" t="str">
        <f>IFERROR(__xludf.DUMMYFUNCTION("IF(ISBLANK(H355),,IF(IFNA(MATCH(H355,SPLIT(Circuits!$S$2,"";""&amp;CHAR(10)),0),0),FALSE,TRUE))"),"")</f>
        <v/>
      </c>
      <c r="Q355" s="237" t="str">
        <f>IF(ISBLANK(H355),,IFNA(VLOOKUP(H355, Circuits!A:U, 21, FALSE),))</f>
        <v/>
      </c>
      <c r="R355" s="238" t="str">
        <f t="shared" si="7"/>
        <v/>
      </c>
      <c r="S355" s="237" t="str">
        <f>IF(ISBLANK(H355),,IFNA(VLOOKUP(H355, Circuits!A:V, 22, FALSE),))</f>
        <v/>
      </c>
      <c r="T355" s="237" t="str">
        <f>IF(ISBLANK(H355),,IFNA(VLOOKUP(H355, Circuits!A:X, 24, FALSE),))</f>
        <v/>
      </c>
      <c r="V355" s="236" t="str">
        <f>IFERROR(__xludf.DUMMYFUNCTION("IF(ISBLANK(H355),,JOIN("","",H355:T355))"),"")</f>
        <v/>
      </c>
      <c r="W355" s="229" t="str">
        <f t="shared" si="1"/>
        <v/>
      </c>
    </row>
    <row r="356">
      <c r="H356" s="237"/>
      <c r="I356" s="237" t="str">
        <f>IFERROR(__xludf.DUMMYFUNCTION("IF(ISBLANK(H356),,IFNA(""""""""&amp;JOIN("","",INDEX(FILTER(A:D,A:A=H356),0,4))&amp;"""""""",))"),"")</f>
        <v/>
      </c>
      <c r="J356" s="237" t="str">
        <f>IF(ISBLANK(H356),,IFNA(VLOOKUP(H356, Circuits!A:W, 23, FALSE),))</f>
        <v/>
      </c>
      <c r="K356" s="238" t="str">
        <f t="shared" si="2"/>
        <v/>
      </c>
      <c r="L356" s="238" t="str">
        <f t="shared" si="3"/>
        <v/>
      </c>
      <c r="M356" s="238" t="str">
        <f t="shared" si="4"/>
        <v/>
      </c>
      <c r="N356" s="238" t="str">
        <f t="shared" si="5"/>
        <v/>
      </c>
      <c r="O356" s="238" t="str">
        <f t="shared" si="6"/>
        <v/>
      </c>
      <c r="P356" s="237" t="str">
        <f>IFERROR(__xludf.DUMMYFUNCTION("IF(ISBLANK(H356),,IF(IFNA(MATCH(H356,SPLIT(Circuits!$S$2,"";""&amp;CHAR(10)),0),0),FALSE,TRUE))"),"")</f>
        <v/>
      </c>
      <c r="Q356" s="237" t="str">
        <f>IF(ISBLANK(H356),,IFNA(VLOOKUP(H356, Circuits!A:U, 21, FALSE),))</f>
        <v/>
      </c>
      <c r="R356" s="238" t="str">
        <f t="shared" si="7"/>
        <v/>
      </c>
      <c r="S356" s="237" t="str">
        <f>IF(ISBLANK(H356),,IFNA(VLOOKUP(H356, Circuits!A:V, 22, FALSE),))</f>
        <v/>
      </c>
      <c r="T356" s="237" t="str">
        <f>IF(ISBLANK(H356),,IFNA(VLOOKUP(H356, Circuits!A:X, 24, FALSE),))</f>
        <v/>
      </c>
      <c r="V356" s="236" t="str">
        <f>IFERROR(__xludf.DUMMYFUNCTION("IF(ISBLANK(H356),,JOIN("","",H356:T356))"),"")</f>
        <v/>
      </c>
      <c r="W356" s="229" t="str">
        <f t="shared" si="1"/>
        <v/>
      </c>
    </row>
    <row r="357">
      <c r="H357" s="237"/>
      <c r="I357" s="237" t="str">
        <f>IFERROR(__xludf.DUMMYFUNCTION("IF(ISBLANK(H357),,IFNA(""""""""&amp;JOIN("","",INDEX(FILTER(A:D,A:A=H357),0,4))&amp;"""""""",))"),"")</f>
        <v/>
      </c>
      <c r="J357" s="237" t="str">
        <f>IF(ISBLANK(H357),,IFNA(VLOOKUP(H357, Circuits!A:W, 23, FALSE),))</f>
        <v/>
      </c>
      <c r="K357" s="238" t="str">
        <f t="shared" si="2"/>
        <v/>
      </c>
      <c r="L357" s="238" t="str">
        <f t="shared" si="3"/>
        <v/>
      </c>
      <c r="M357" s="238" t="str">
        <f t="shared" si="4"/>
        <v/>
      </c>
      <c r="N357" s="238" t="str">
        <f t="shared" si="5"/>
        <v/>
      </c>
      <c r="O357" s="238" t="str">
        <f t="shared" si="6"/>
        <v/>
      </c>
      <c r="P357" s="237" t="str">
        <f>IFERROR(__xludf.DUMMYFUNCTION("IF(ISBLANK(H357),,IF(IFNA(MATCH(H357,SPLIT(Circuits!$S$2,"";""&amp;CHAR(10)),0),0),FALSE,TRUE))"),"")</f>
        <v/>
      </c>
      <c r="Q357" s="237" t="str">
        <f>IF(ISBLANK(H357),,IFNA(VLOOKUP(H357, Circuits!A:U, 21, FALSE),))</f>
        <v/>
      </c>
      <c r="R357" s="238" t="str">
        <f t="shared" si="7"/>
        <v/>
      </c>
      <c r="S357" s="237" t="str">
        <f>IF(ISBLANK(H357),,IFNA(VLOOKUP(H357, Circuits!A:V, 22, FALSE),))</f>
        <v/>
      </c>
      <c r="T357" s="237" t="str">
        <f>IF(ISBLANK(H357),,IFNA(VLOOKUP(H357, Circuits!A:X, 24, FALSE),))</f>
        <v/>
      </c>
      <c r="V357" s="236" t="str">
        <f>IFERROR(__xludf.DUMMYFUNCTION("IF(ISBLANK(H357),,JOIN("","",H357:T357))"),"")</f>
        <v/>
      </c>
      <c r="W357" s="229" t="str">
        <f t="shared" si="1"/>
        <v/>
      </c>
    </row>
    <row r="358">
      <c r="H358" s="237"/>
      <c r="I358" s="237" t="str">
        <f>IFERROR(__xludf.DUMMYFUNCTION("IF(ISBLANK(H358),,IFNA(""""""""&amp;JOIN("","",INDEX(FILTER(A:D,A:A=H358),0,4))&amp;"""""""",))"),"")</f>
        <v/>
      </c>
      <c r="J358" s="237" t="str">
        <f>IF(ISBLANK(H358),,IFNA(VLOOKUP(H358, Circuits!A:W, 23, FALSE),))</f>
        <v/>
      </c>
      <c r="K358" s="238" t="str">
        <f t="shared" si="2"/>
        <v/>
      </c>
      <c r="L358" s="238" t="str">
        <f t="shared" si="3"/>
        <v/>
      </c>
      <c r="M358" s="238" t="str">
        <f t="shared" si="4"/>
        <v/>
      </c>
      <c r="N358" s="238" t="str">
        <f t="shared" si="5"/>
        <v/>
      </c>
      <c r="O358" s="238" t="str">
        <f t="shared" si="6"/>
        <v/>
      </c>
      <c r="P358" s="237" t="str">
        <f>IFERROR(__xludf.DUMMYFUNCTION("IF(ISBLANK(H358),,IF(IFNA(MATCH(H358,SPLIT(Circuits!$S$2,"";""&amp;CHAR(10)),0),0),FALSE,TRUE))"),"")</f>
        <v/>
      </c>
      <c r="Q358" s="237" t="str">
        <f>IF(ISBLANK(H358),,IFNA(VLOOKUP(H358, Circuits!A:U, 21, FALSE),))</f>
        <v/>
      </c>
      <c r="R358" s="238" t="str">
        <f t="shared" si="7"/>
        <v/>
      </c>
      <c r="S358" s="237" t="str">
        <f>IF(ISBLANK(H358),,IFNA(VLOOKUP(H358, Circuits!A:V, 22, FALSE),))</f>
        <v/>
      </c>
      <c r="T358" s="237" t="str">
        <f>IF(ISBLANK(H358),,IFNA(VLOOKUP(H358, Circuits!A:X, 24, FALSE),))</f>
        <v/>
      </c>
      <c r="V358" s="236" t="str">
        <f>IFERROR(__xludf.DUMMYFUNCTION("IF(ISBLANK(H358),,JOIN("","",H358:T358))"),"")</f>
        <v/>
      </c>
      <c r="W358" s="229" t="str">
        <f t="shared" si="1"/>
        <v/>
      </c>
    </row>
    <row r="359">
      <c r="H359" s="237"/>
      <c r="I359" s="237" t="str">
        <f>IFERROR(__xludf.DUMMYFUNCTION("IF(ISBLANK(H359),,IFNA(""""""""&amp;JOIN("","",INDEX(FILTER(A:D,A:A=H359),0,4))&amp;"""""""",))"),"")</f>
        <v/>
      </c>
      <c r="J359" s="237" t="str">
        <f>IF(ISBLANK(H359),,IFNA(VLOOKUP(H359, Circuits!A:W, 23, FALSE),))</f>
        <v/>
      </c>
      <c r="K359" s="238" t="str">
        <f t="shared" si="2"/>
        <v/>
      </c>
      <c r="L359" s="238" t="str">
        <f t="shared" si="3"/>
        <v/>
      </c>
      <c r="M359" s="238" t="str">
        <f t="shared" si="4"/>
        <v/>
      </c>
      <c r="N359" s="238" t="str">
        <f t="shared" si="5"/>
        <v/>
      </c>
      <c r="O359" s="238" t="str">
        <f t="shared" si="6"/>
        <v/>
      </c>
      <c r="P359" s="237" t="str">
        <f>IFERROR(__xludf.DUMMYFUNCTION("IF(ISBLANK(H359),,IF(IFNA(MATCH(H359,SPLIT(Circuits!$S$2,"";""&amp;CHAR(10)),0),0),FALSE,TRUE))"),"")</f>
        <v/>
      </c>
      <c r="Q359" s="237" t="str">
        <f>IF(ISBLANK(H359),,IFNA(VLOOKUP(H359, Circuits!A:U, 21, FALSE),))</f>
        <v/>
      </c>
      <c r="R359" s="238" t="str">
        <f t="shared" si="7"/>
        <v/>
      </c>
      <c r="S359" s="237" t="str">
        <f>IF(ISBLANK(H359),,IFNA(VLOOKUP(H359, Circuits!A:V, 22, FALSE),))</f>
        <v/>
      </c>
      <c r="T359" s="237" t="str">
        <f>IF(ISBLANK(H359),,IFNA(VLOOKUP(H359, Circuits!A:X, 24, FALSE),))</f>
        <v/>
      </c>
      <c r="V359" s="236" t="str">
        <f>IFERROR(__xludf.DUMMYFUNCTION("IF(ISBLANK(H359),,JOIN("","",H359:T359))"),"")</f>
        <v/>
      </c>
      <c r="W359" s="229" t="str">
        <f t="shared" si="1"/>
        <v/>
      </c>
    </row>
    <row r="360">
      <c r="H360" s="237"/>
      <c r="I360" s="237" t="str">
        <f>IFERROR(__xludf.DUMMYFUNCTION("IF(ISBLANK(H360),,IFNA(""""""""&amp;JOIN("","",INDEX(FILTER(A:D,A:A=H360),0,4))&amp;"""""""",))"),"")</f>
        <v/>
      </c>
      <c r="J360" s="237" t="str">
        <f>IF(ISBLANK(H360),,IFNA(VLOOKUP(H360, Circuits!A:W, 23, FALSE),))</f>
        <v/>
      </c>
      <c r="K360" s="238" t="str">
        <f t="shared" si="2"/>
        <v/>
      </c>
      <c r="L360" s="238" t="str">
        <f t="shared" si="3"/>
        <v/>
      </c>
      <c r="M360" s="238" t="str">
        <f t="shared" si="4"/>
        <v/>
      </c>
      <c r="N360" s="238" t="str">
        <f t="shared" si="5"/>
        <v/>
      </c>
      <c r="O360" s="238" t="str">
        <f t="shared" si="6"/>
        <v/>
      </c>
      <c r="P360" s="237" t="str">
        <f>IFERROR(__xludf.DUMMYFUNCTION("IF(ISBLANK(H360),,IF(IFNA(MATCH(H360,SPLIT(Circuits!$S$2,"";""&amp;CHAR(10)),0),0),FALSE,TRUE))"),"")</f>
        <v/>
      </c>
      <c r="Q360" s="237" t="str">
        <f>IF(ISBLANK(H360),,IFNA(VLOOKUP(H360, Circuits!A:U, 21, FALSE),))</f>
        <v/>
      </c>
      <c r="R360" s="238" t="str">
        <f t="shared" si="7"/>
        <v/>
      </c>
      <c r="S360" s="237" t="str">
        <f>IF(ISBLANK(H360),,IFNA(VLOOKUP(H360, Circuits!A:V, 22, FALSE),))</f>
        <v/>
      </c>
      <c r="T360" s="237" t="str">
        <f>IF(ISBLANK(H360),,IFNA(VLOOKUP(H360, Circuits!A:X, 24, FALSE),))</f>
        <v/>
      </c>
      <c r="V360" s="236" t="str">
        <f>IFERROR(__xludf.DUMMYFUNCTION("IF(ISBLANK(H360),,JOIN("","",H360:T360))"),"")</f>
        <v/>
      </c>
      <c r="W360" s="229" t="str">
        <f t="shared" si="1"/>
        <v/>
      </c>
    </row>
    <row r="361">
      <c r="H361" s="237"/>
      <c r="I361" s="237" t="str">
        <f>IFERROR(__xludf.DUMMYFUNCTION("IF(ISBLANK(H361),,IFNA(""""""""&amp;JOIN("","",INDEX(FILTER(A:D,A:A=H361),0,4))&amp;"""""""",))"),"")</f>
        <v/>
      </c>
      <c r="J361" s="237" t="str">
        <f>IF(ISBLANK(H361),,IFNA(VLOOKUP(H361, Circuits!A:W, 23, FALSE),))</f>
        <v/>
      </c>
      <c r="K361" s="238" t="str">
        <f t="shared" si="2"/>
        <v/>
      </c>
      <c r="L361" s="238" t="str">
        <f t="shared" si="3"/>
        <v/>
      </c>
      <c r="M361" s="238" t="str">
        <f t="shared" si="4"/>
        <v/>
      </c>
      <c r="N361" s="238" t="str">
        <f t="shared" si="5"/>
        <v/>
      </c>
      <c r="O361" s="238" t="str">
        <f t="shared" si="6"/>
        <v/>
      </c>
      <c r="P361" s="237" t="str">
        <f>IFERROR(__xludf.DUMMYFUNCTION("IF(ISBLANK(H361),,IF(IFNA(MATCH(H361,SPLIT(Circuits!$S$2,"";""&amp;CHAR(10)),0),0),FALSE,TRUE))"),"")</f>
        <v/>
      </c>
      <c r="Q361" s="237" t="str">
        <f>IF(ISBLANK(H361),,IFNA(VLOOKUP(H361, Circuits!A:U, 21, FALSE),))</f>
        <v/>
      </c>
      <c r="R361" s="238" t="str">
        <f t="shared" si="7"/>
        <v/>
      </c>
      <c r="S361" s="237" t="str">
        <f>IF(ISBLANK(H361),,IFNA(VLOOKUP(H361, Circuits!A:V, 22, FALSE),))</f>
        <v/>
      </c>
      <c r="T361" s="237" t="str">
        <f>IF(ISBLANK(H361),,IFNA(VLOOKUP(H361, Circuits!A:X, 24, FALSE),))</f>
        <v/>
      </c>
      <c r="V361" s="236" t="str">
        <f>IFERROR(__xludf.DUMMYFUNCTION("IF(ISBLANK(H361),,JOIN("","",H361:T361))"),"")</f>
        <v/>
      </c>
      <c r="W361" s="229" t="str">
        <f t="shared" si="1"/>
        <v/>
      </c>
    </row>
    <row r="362">
      <c r="H362" s="237"/>
      <c r="I362" s="237" t="str">
        <f>IFERROR(__xludf.DUMMYFUNCTION("IF(ISBLANK(H362),,IFNA(""""""""&amp;JOIN("","",INDEX(FILTER(A:D,A:A=H362),0,4))&amp;"""""""",))"),"")</f>
        <v/>
      </c>
      <c r="J362" s="237" t="str">
        <f>IF(ISBLANK(H362),,IFNA(VLOOKUP(H362, Circuits!A:W, 23, FALSE),))</f>
        <v/>
      </c>
      <c r="K362" s="238" t="str">
        <f t="shared" si="2"/>
        <v/>
      </c>
      <c r="L362" s="238" t="str">
        <f t="shared" si="3"/>
        <v/>
      </c>
      <c r="M362" s="238" t="str">
        <f t="shared" si="4"/>
        <v/>
      </c>
      <c r="N362" s="238" t="str">
        <f t="shared" si="5"/>
        <v/>
      </c>
      <c r="O362" s="238" t="str">
        <f t="shared" si="6"/>
        <v/>
      </c>
      <c r="P362" s="237" t="str">
        <f>IFERROR(__xludf.DUMMYFUNCTION("IF(ISBLANK(H362),,IF(IFNA(MATCH(H362,SPLIT(Circuits!$S$2,"";""&amp;CHAR(10)),0),0),FALSE,TRUE))"),"")</f>
        <v/>
      </c>
      <c r="Q362" s="237" t="str">
        <f>IF(ISBLANK(H362),,IFNA(VLOOKUP(H362, Circuits!A:U, 21, FALSE),))</f>
        <v/>
      </c>
      <c r="R362" s="238" t="str">
        <f t="shared" si="7"/>
        <v/>
      </c>
      <c r="S362" s="237" t="str">
        <f>IF(ISBLANK(H362),,IFNA(VLOOKUP(H362, Circuits!A:V, 22, FALSE),))</f>
        <v/>
      </c>
      <c r="T362" s="237" t="str">
        <f>IF(ISBLANK(H362),,IFNA(VLOOKUP(H362, Circuits!A:X, 24, FALSE),))</f>
        <v/>
      </c>
      <c r="V362" s="236" t="str">
        <f>IFERROR(__xludf.DUMMYFUNCTION("IF(ISBLANK(H362),,JOIN("","",H362:T362))"),"")</f>
        <v/>
      </c>
      <c r="W362" s="229" t="str">
        <f t="shared" si="1"/>
        <v/>
      </c>
    </row>
    <row r="363">
      <c r="H363" s="237"/>
      <c r="I363" s="237" t="str">
        <f>IFERROR(__xludf.DUMMYFUNCTION("IF(ISBLANK(H363),,IFNA(""""""""&amp;JOIN("","",INDEX(FILTER(A:D,A:A=H363),0,4))&amp;"""""""",))"),"")</f>
        <v/>
      </c>
      <c r="J363" s="237" t="str">
        <f>IF(ISBLANK(H363),,IFNA(VLOOKUP(H363, Circuits!A:W, 23, FALSE),))</f>
        <v/>
      </c>
      <c r="K363" s="238" t="str">
        <f t="shared" si="2"/>
        <v/>
      </c>
      <c r="L363" s="238" t="str">
        <f t="shared" si="3"/>
        <v/>
      </c>
      <c r="M363" s="238" t="str">
        <f t="shared" si="4"/>
        <v/>
      </c>
      <c r="N363" s="238" t="str">
        <f t="shared" si="5"/>
        <v/>
      </c>
      <c r="O363" s="238" t="str">
        <f t="shared" si="6"/>
        <v/>
      </c>
      <c r="P363" s="237" t="str">
        <f>IFERROR(__xludf.DUMMYFUNCTION("IF(ISBLANK(H363),,IF(IFNA(MATCH(H363,SPLIT(Circuits!$S$2,"";""&amp;CHAR(10)),0),0),FALSE,TRUE))"),"")</f>
        <v/>
      </c>
      <c r="Q363" s="237" t="str">
        <f>IF(ISBLANK(H363),,IFNA(VLOOKUP(H363, Circuits!A:U, 21, FALSE),))</f>
        <v/>
      </c>
      <c r="R363" s="238" t="str">
        <f t="shared" si="7"/>
        <v/>
      </c>
      <c r="S363" s="237" t="str">
        <f>IF(ISBLANK(H363),,IFNA(VLOOKUP(H363, Circuits!A:V, 22, FALSE),))</f>
        <v/>
      </c>
      <c r="T363" s="237" t="str">
        <f>IF(ISBLANK(H363),,IFNA(VLOOKUP(H363, Circuits!A:X, 24, FALSE),))</f>
        <v/>
      </c>
      <c r="V363" s="236" t="str">
        <f>IFERROR(__xludf.DUMMYFUNCTION("IF(ISBLANK(H363),,JOIN("","",H363:T363))"),"")</f>
        <v/>
      </c>
      <c r="W363" s="229" t="str">
        <f t="shared" si="1"/>
        <v/>
      </c>
    </row>
    <row r="364">
      <c r="H364" s="237"/>
      <c r="I364" s="237" t="str">
        <f>IFERROR(__xludf.DUMMYFUNCTION("IF(ISBLANK(H364),,IFNA(""""""""&amp;JOIN("","",INDEX(FILTER(A:D,A:A=H364),0,4))&amp;"""""""",))"),"")</f>
        <v/>
      </c>
      <c r="J364" s="237" t="str">
        <f>IF(ISBLANK(H364),,IFNA(VLOOKUP(H364, Circuits!A:W, 23, FALSE),))</f>
        <v/>
      </c>
      <c r="K364" s="238" t="str">
        <f t="shared" si="2"/>
        <v/>
      </c>
      <c r="L364" s="238" t="str">
        <f t="shared" si="3"/>
        <v/>
      </c>
      <c r="M364" s="238" t="str">
        <f t="shared" si="4"/>
        <v/>
      </c>
      <c r="N364" s="238" t="str">
        <f t="shared" si="5"/>
        <v/>
      </c>
      <c r="O364" s="238" t="str">
        <f t="shared" si="6"/>
        <v/>
      </c>
      <c r="P364" s="237" t="str">
        <f>IFERROR(__xludf.DUMMYFUNCTION("IF(ISBLANK(H364),,IF(IFNA(MATCH(H364,SPLIT(Circuits!$S$2,"";""&amp;CHAR(10)),0),0),FALSE,TRUE))"),"")</f>
        <v/>
      </c>
      <c r="Q364" s="237" t="str">
        <f>IF(ISBLANK(H364),,IFNA(VLOOKUP(H364, Circuits!A:U, 21, FALSE),))</f>
        <v/>
      </c>
      <c r="R364" s="238" t="str">
        <f t="shared" si="7"/>
        <v/>
      </c>
      <c r="S364" s="237" t="str">
        <f>IF(ISBLANK(H364),,IFNA(VLOOKUP(H364, Circuits!A:V, 22, FALSE),))</f>
        <v/>
      </c>
      <c r="T364" s="237" t="str">
        <f>IF(ISBLANK(H364),,IFNA(VLOOKUP(H364, Circuits!A:X, 24, FALSE),))</f>
        <v/>
      </c>
      <c r="V364" s="236" t="str">
        <f>IFERROR(__xludf.DUMMYFUNCTION("IF(ISBLANK(H364),,JOIN("","",H364:T364))"),"")</f>
        <v/>
      </c>
      <c r="W364" s="229" t="str">
        <f t="shared" si="1"/>
        <v/>
      </c>
    </row>
    <row r="365">
      <c r="H365" s="237"/>
      <c r="I365" s="237" t="str">
        <f>IFERROR(__xludf.DUMMYFUNCTION("IF(ISBLANK(H365),,IFNA(""""""""&amp;JOIN("","",INDEX(FILTER(A:D,A:A=H365),0,4))&amp;"""""""",))"),"")</f>
        <v/>
      </c>
      <c r="J365" s="237" t="str">
        <f>IF(ISBLANK(H365),,IFNA(VLOOKUP(H365, Circuits!A:W, 23, FALSE),))</f>
        <v/>
      </c>
      <c r="K365" s="238" t="str">
        <f t="shared" si="2"/>
        <v/>
      </c>
      <c r="L365" s="238" t="str">
        <f t="shared" si="3"/>
        <v/>
      </c>
      <c r="M365" s="238" t="str">
        <f t="shared" si="4"/>
        <v/>
      </c>
      <c r="N365" s="238" t="str">
        <f t="shared" si="5"/>
        <v/>
      </c>
      <c r="O365" s="238" t="str">
        <f t="shared" si="6"/>
        <v/>
      </c>
      <c r="P365" s="237" t="str">
        <f>IFERROR(__xludf.DUMMYFUNCTION("IF(ISBLANK(H365),,IF(IFNA(MATCH(H365,SPLIT(Circuits!$S$2,"";""&amp;CHAR(10)),0),0),FALSE,TRUE))"),"")</f>
        <v/>
      </c>
      <c r="Q365" s="237" t="str">
        <f>IF(ISBLANK(H365),,IFNA(VLOOKUP(H365, Circuits!A:U, 21, FALSE),))</f>
        <v/>
      </c>
      <c r="R365" s="238" t="str">
        <f t="shared" si="7"/>
        <v/>
      </c>
      <c r="S365" s="237" t="str">
        <f>IF(ISBLANK(H365),,IFNA(VLOOKUP(H365, Circuits!A:V, 22, FALSE),))</f>
        <v/>
      </c>
      <c r="T365" s="237" t="str">
        <f>IF(ISBLANK(H365),,IFNA(VLOOKUP(H365, Circuits!A:X, 24, FALSE),))</f>
        <v/>
      </c>
      <c r="V365" s="236" t="str">
        <f>IFERROR(__xludf.DUMMYFUNCTION("IF(ISBLANK(H365),,JOIN("","",H365:T365))"),"")</f>
        <v/>
      </c>
      <c r="W365" s="229" t="str">
        <f t="shared" si="1"/>
        <v/>
      </c>
    </row>
    <row r="366">
      <c r="H366" s="237"/>
      <c r="I366" s="237" t="str">
        <f>IFERROR(__xludf.DUMMYFUNCTION("IF(ISBLANK(H366),,IFNA(""""""""&amp;JOIN("","",INDEX(FILTER(A:D,A:A=H366),0,4))&amp;"""""""",))"),"")</f>
        <v/>
      </c>
      <c r="J366" s="237" t="str">
        <f>IF(ISBLANK(H366),,IFNA(VLOOKUP(H366, Circuits!A:W, 23, FALSE),))</f>
        <v/>
      </c>
      <c r="K366" s="238" t="str">
        <f t="shared" si="2"/>
        <v/>
      </c>
      <c r="L366" s="238" t="str">
        <f t="shared" si="3"/>
        <v/>
      </c>
      <c r="M366" s="238" t="str">
        <f t="shared" si="4"/>
        <v/>
      </c>
      <c r="N366" s="238" t="str">
        <f t="shared" si="5"/>
        <v/>
      </c>
      <c r="O366" s="238" t="str">
        <f t="shared" si="6"/>
        <v/>
      </c>
      <c r="P366" s="237" t="str">
        <f>IFERROR(__xludf.DUMMYFUNCTION("IF(ISBLANK(H366),,IF(IFNA(MATCH(H366,SPLIT(Circuits!$S$2,"";""&amp;CHAR(10)),0),0),FALSE,TRUE))"),"")</f>
        <v/>
      </c>
      <c r="Q366" s="237" t="str">
        <f>IF(ISBLANK(H366),,IFNA(VLOOKUP(H366, Circuits!A:U, 21, FALSE),))</f>
        <v/>
      </c>
      <c r="R366" s="238" t="str">
        <f t="shared" si="7"/>
        <v/>
      </c>
      <c r="S366" s="237" t="str">
        <f>IF(ISBLANK(H366),,IFNA(VLOOKUP(H366, Circuits!A:V, 22, FALSE),))</f>
        <v/>
      </c>
      <c r="T366" s="237" t="str">
        <f>IF(ISBLANK(H366),,IFNA(VLOOKUP(H366, Circuits!A:X, 24, FALSE),))</f>
        <v/>
      </c>
      <c r="V366" s="236" t="str">
        <f>IFERROR(__xludf.DUMMYFUNCTION("IF(ISBLANK(H366),,JOIN("","",H366:T366))"),"")</f>
        <v/>
      </c>
      <c r="W366" s="229" t="str">
        <f t="shared" si="1"/>
        <v/>
      </c>
    </row>
    <row r="367">
      <c r="H367" s="237"/>
      <c r="I367" s="237" t="str">
        <f>IFERROR(__xludf.DUMMYFUNCTION("IF(ISBLANK(H367),,IFNA(""""""""&amp;JOIN("","",INDEX(FILTER(A:D,A:A=H367),0,4))&amp;"""""""",))"),"")</f>
        <v/>
      </c>
      <c r="J367" s="237" t="str">
        <f>IF(ISBLANK(H367),,IFNA(VLOOKUP(H367, Circuits!A:W, 23, FALSE),))</f>
        <v/>
      </c>
      <c r="K367" s="238" t="str">
        <f t="shared" si="2"/>
        <v/>
      </c>
      <c r="L367" s="238" t="str">
        <f t="shared" si="3"/>
        <v/>
      </c>
      <c r="M367" s="238" t="str">
        <f t="shared" si="4"/>
        <v/>
      </c>
      <c r="N367" s="238" t="str">
        <f t="shared" si="5"/>
        <v/>
      </c>
      <c r="O367" s="238" t="str">
        <f t="shared" si="6"/>
        <v/>
      </c>
      <c r="P367" s="237" t="str">
        <f>IFERROR(__xludf.DUMMYFUNCTION("IF(ISBLANK(H367),,IF(IFNA(MATCH(H367,SPLIT(Circuits!$S$2,"";""&amp;CHAR(10)),0),0),FALSE,TRUE))"),"")</f>
        <v/>
      </c>
      <c r="Q367" s="237" t="str">
        <f>IF(ISBLANK(H367),,IFNA(VLOOKUP(H367, Circuits!A:U, 21, FALSE),))</f>
        <v/>
      </c>
      <c r="R367" s="238" t="str">
        <f t="shared" si="7"/>
        <v/>
      </c>
      <c r="S367" s="237" t="str">
        <f>IF(ISBLANK(H367),,IFNA(VLOOKUP(H367, Circuits!A:V, 22, FALSE),))</f>
        <v/>
      </c>
      <c r="T367" s="237" t="str">
        <f>IF(ISBLANK(H367),,IFNA(VLOOKUP(H367, Circuits!A:X, 24, FALSE),))</f>
        <v/>
      </c>
      <c r="V367" s="236" t="str">
        <f>IFERROR(__xludf.DUMMYFUNCTION("IF(ISBLANK(H367),,JOIN("","",H367:T367))"),"")</f>
        <v/>
      </c>
      <c r="W367" s="229" t="str">
        <f t="shared" si="1"/>
        <v/>
      </c>
    </row>
    <row r="368">
      <c r="H368" s="237"/>
      <c r="I368" s="237" t="str">
        <f>IFERROR(__xludf.DUMMYFUNCTION("IF(ISBLANK(H368),,IFNA(""""""""&amp;JOIN("","",INDEX(FILTER(A:D,A:A=H368),0,4))&amp;"""""""",))"),"")</f>
        <v/>
      </c>
      <c r="J368" s="237" t="str">
        <f>IF(ISBLANK(H368),,IFNA(VLOOKUP(H368, Circuits!A:W, 23, FALSE),))</f>
        <v/>
      </c>
      <c r="K368" s="238" t="str">
        <f t="shared" si="2"/>
        <v/>
      </c>
      <c r="L368" s="238" t="str">
        <f t="shared" si="3"/>
        <v/>
      </c>
      <c r="M368" s="238" t="str">
        <f t="shared" si="4"/>
        <v/>
      </c>
      <c r="N368" s="238" t="str">
        <f t="shared" si="5"/>
        <v/>
      </c>
      <c r="O368" s="238" t="str">
        <f t="shared" si="6"/>
        <v/>
      </c>
      <c r="P368" s="237" t="str">
        <f>IFERROR(__xludf.DUMMYFUNCTION("IF(ISBLANK(H368),,IF(IFNA(MATCH(H368,SPLIT(Circuits!$S$2,"";""&amp;CHAR(10)),0),0),FALSE,TRUE))"),"")</f>
        <v/>
      </c>
      <c r="Q368" s="237" t="str">
        <f>IF(ISBLANK(H368),,IFNA(VLOOKUP(H368, Circuits!A:U, 21, FALSE),))</f>
        <v/>
      </c>
      <c r="R368" s="238" t="str">
        <f t="shared" si="7"/>
        <v/>
      </c>
      <c r="S368" s="237" t="str">
        <f>IF(ISBLANK(H368),,IFNA(VLOOKUP(H368, Circuits!A:V, 22, FALSE),))</f>
        <v/>
      </c>
      <c r="T368" s="237" t="str">
        <f>IF(ISBLANK(H368),,IFNA(VLOOKUP(H368, Circuits!A:X, 24, FALSE),))</f>
        <v/>
      </c>
      <c r="V368" s="236" t="str">
        <f>IFERROR(__xludf.DUMMYFUNCTION("IF(ISBLANK(H368),,JOIN("","",H368:T368))"),"")</f>
        <v/>
      </c>
      <c r="W368" s="229" t="str">
        <f t="shared" si="1"/>
        <v/>
      </c>
    </row>
    <row r="369">
      <c r="H369" s="237"/>
      <c r="I369" s="237" t="str">
        <f>IFERROR(__xludf.DUMMYFUNCTION("IF(ISBLANK(H369),,IFNA(""""""""&amp;JOIN("","",INDEX(FILTER(A:D,A:A=H369),0,4))&amp;"""""""",))"),"")</f>
        <v/>
      </c>
      <c r="J369" s="237" t="str">
        <f>IF(ISBLANK(H369),,IFNA(VLOOKUP(H369, Circuits!A:W, 23, FALSE),))</f>
        <v/>
      </c>
      <c r="K369" s="238" t="str">
        <f t="shared" si="2"/>
        <v/>
      </c>
      <c r="L369" s="238" t="str">
        <f t="shared" si="3"/>
        <v/>
      </c>
      <c r="M369" s="238" t="str">
        <f t="shared" si="4"/>
        <v/>
      </c>
      <c r="N369" s="238" t="str">
        <f t="shared" si="5"/>
        <v/>
      </c>
      <c r="O369" s="238" t="str">
        <f t="shared" si="6"/>
        <v/>
      </c>
      <c r="P369" s="237" t="str">
        <f>IFERROR(__xludf.DUMMYFUNCTION("IF(ISBLANK(H369),,IF(IFNA(MATCH(H369,SPLIT(Circuits!$S$2,"";""&amp;CHAR(10)),0),0),FALSE,TRUE))"),"")</f>
        <v/>
      </c>
      <c r="Q369" s="237" t="str">
        <f>IF(ISBLANK(H369),,IFNA(VLOOKUP(H369, Circuits!A:U, 21, FALSE),))</f>
        <v/>
      </c>
      <c r="R369" s="238" t="str">
        <f t="shared" si="7"/>
        <v/>
      </c>
      <c r="S369" s="237" t="str">
        <f>IF(ISBLANK(H369),,IFNA(VLOOKUP(H369, Circuits!A:V, 22, FALSE),))</f>
        <v/>
      </c>
      <c r="T369" s="237" t="str">
        <f>IF(ISBLANK(H369),,IFNA(VLOOKUP(H369, Circuits!A:X, 24, FALSE),))</f>
        <v/>
      </c>
      <c r="V369" s="236" t="str">
        <f>IFERROR(__xludf.DUMMYFUNCTION("IF(ISBLANK(H369),,JOIN("","",H369:T369))"),"")</f>
        <v/>
      </c>
      <c r="W369" s="229" t="str">
        <f t="shared" si="1"/>
        <v/>
      </c>
    </row>
    <row r="370">
      <c r="H370" s="237"/>
      <c r="I370" s="237" t="str">
        <f>IFERROR(__xludf.DUMMYFUNCTION("IF(ISBLANK(H370),,IFNA(""""""""&amp;JOIN("","",INDEX(FILTER(A:D,A:A=H370),0,4))&amp;"""""""",))"),"")</f>
        <v/>
      </c>
      <c r="J370" s="237" t="str">
        <f>IF(ISBLANK(H370),,IFNA(VLOOKUP(H370, Circuits!A:W, 23, FALSE),))</f>
        <v/>
      </c>
      <c r="K370" s="238" t="str">
        <f t="shared" si="2"/>
        <v/>
      </c>
      <c r="L370" s="238" t="str">
        <f t="shared" si="3"/>
        <v/>
      </c>
      <c r="M370" s="238" t="str">
        <f t="shared" si="4"/>
        <v/>
      </c>
      <c r="N370" s="238" t="str">
        <f t="shared" si="5"/>
        <v/>
      </c>
      <c r="O370" s="238" t="str">
        <f t="shared" si="6"/>
        <v/>
      </c>
      <c r="P370" s="237" t="str">
        <f>IFERROR(__xludf.DUMMYFUNCTION("IF(ISBLANK(H370),,IF(IFNA(MATCH(H370,SPLIT(Circuits!$S$2,"";""&amp;CHAR(10)),0),0),FALSE,TRUE))"),"")</f>
        <v/>
      </c>
      <c r="Q370" s="237" t="str">
        <f>IF(ISBLANK(H370),,IFNA(VLOOKUP(H370, Circuits!A:U, 21, FALSE),))</f>
        <v/>
      </c>
      <c r="R370" s="238" t="str">
        <f t="shared" si="7"/>
        <v/>
      </c>
      <c r="S370" s="237" t="str">
        <f>IF(ISBLANK(H370),,IFNA(VLOOKUP(H370, Circuits!A:V, 22, FALSE),))</f>
        <v/>
      </c>
      <c r="T370" s="237" t="str">
        <f>IF(ISBLANK(H370),,IFNA(VLOOKUP(H370, Circuits!A:X, 24, FALSE),))</f>
        <v/>
      </c>
      <c r="V370" s="236" t="str">
        <f>IFERROR(__xludf.DUMMYFUNCTION("IF(ISBLANK(H370),,JOIN("","",H370:T370))"),"")</f>
        <v/>
      </c>
      <c r="W370" s="229" t="str">
        <f t="shared" si="1"/>
        <v/>
      </c>
    </row>
    <row r="371">
      <c r="H371" s="237"/>
      <c r="I371" s="237" t="str">
        <f>IFERROR(__xludf.DUMMYFUNCTION("IF(ISBLANK(H371),,IFNA(""""""""&amp;JOIN("","",INDEX(FILTER(A:D,A:A=H371),0,4))&amp;"""""""",))"),"")</f>
        <v/>
      </c>
      <c r="J371" s="237" t="str">
        <f>IF(ISBLANK(H371),,IFNA(VLOOKUP(H371, Circuits!A:W, 23, FALSE),))</f>
        <v/>
      </c>
      <c r="K371" s="238" t="str">
        <f t="shared" si="2"/>
        <v/>
      </c>
      <c r="L371" s="238" t="str">
        <f t="shared" si="3"/>
        <v/>
      </c>
      <c r="M371" s="238" t="str">
        <f t="shared" si="4"/>
        <v/>
      </c>
      <c r="N371" s="238" t="str">
        <f t="shared" si="5"/>
        <v/>
      </c>
      <c r="O371" s="238" t="str">
        <f t="shared" si="6"/>
        <v/>
      </c>
      <c r="P371" s="237" t="str">
        <f>IFERROR(__xludf.DUMMYFUNCTION("IF(ISBLANK(H371),,IF(IFNA(MATCH(H371,SPLIT(Circuits!$S$2,"";""&amp;CHAR(10)),0),0),FALSE,TRUE))"),"")</f>
        <v/>
      </c>
      <c r="Q371" s="237" t="str">
        <f>IF(ISBLANK(H371),,IFNA(VLOOKUP(H371, Circuits!A:U, 21, FALSE),))</f>
        <v/>
      </c>
      <c r="R371" s="238" t="str">
        <f t="shared" si="7"/>
        <v/>
      </c>
      <c r="S371" s="237" t="str">
        <f>IF(ISBLANK(H371),,IFNA(VLOOKUP(H371, Circuits!A:V, 22, FALSE),))</f>
        <v/>
      </c>
      <c r="T371" s="237" t="str">
        <f>IF(ISBLANK(H371),,IFNA(VLOOKUP(H371, Circuits!A:X, 24, FALSE),))</f>
        <v/>
      </c>
      <c r="V371" s="236" t="str">
        <f>IFERROR(__xludf.DUMMYFUNCTION("IF(ISBLANK(H371),,JOIN("","",H371:T371))"),"")</f>
        <v/>
      </c>
      <c r="W371" s="229" t="str">
        <f t="shared" si="1"/>
        <v/>
      </c>
    </row>
    <row r="372">
      <c r="H372" s="237"/>
      <c r="I372" s="237" t="str">
        <f>IFERROR(__xludf.DUMMYFUNCTION("IF(ISBLANK(H372),,IFNA(""""""""&amp;JOIN("","",INDEX(FILTER(A:D,A:A=H372),0,4))&amp;"""""""",))"),"")</f>
        <v/>
      </c>
      <c r="J372" s="237" t="str">
        <f>IF(ISBLANK(H372),,IFNA(VLOOKUP(H372, Circuits!A:W, 23, FALSE),))</f>
        <v/>
      </c>
      <c r="K372" s="238" t="str">
        <f t="shared" si="2"/>
        <v/>
      </c>
      <c r="L372" s="238" t="str">
        <f t="shared" si="3"/>
        <v/>
      </c>
      <c r="M372" s="238" t="str">
        <f t="shared" si="4"/>
        <v/>
      </c>
      <c r="N372" s="238" t="str">
        <f t="shared" si="5"/>
        <v/>
      </c>
      <c r="O372" s="238" t="str">
        <f t="shared" si="6"/>
        <v/>
      </c>
      <c r="P372" s="237" t="str">
        <f>IFERROR(__xludf.DUMMYFUNCTION("IF(ISBLANK(H372),,IF(IFNA(MATCH(H372,SPLIT(Circuits!$S$2,"";""&amp;CHAR(10)),0),0),FALSE,TRUE))"),"")</f>
        <v/>
      </c>
      <c r="Q372" s="237" t="str">
        <f>IF(ISBLANK(H372),,IFNA(VLOOKUP(H372, Circuits!A:U, 21, FALSE),))</f>
        <v/>
      </c>
      <c r="R372" s="238" t="str">
        <f t="shared" si="7"/>
        <v/>
      </c>
      <c r="S372" s="237" t="str">
        <f>IF(ISBLANK(H372),,IFNA(VLOOKUP(H372, Circuits!A:V, 22, FALSE),))</f>
        <v/>
      </c>
      <c r="T372" s="237" t="str">
        <f>IF(ISBLANK(H372),,IFNA(VLOOKUP(H372, Circuits!A:X, 24, FALSE),))</f>
        <v/>
      </c>
      <c r="V372" s="236" t="str">
        <f>IFERROR(__xludf.DUMMYFUNCTION("IF(ISBLANK(H372),,JOIN("","",H372:T372))"),"")</f>
        <v/>
      </c>
      <c r="W372" s="229" t="str">
        <f t="shared" si="1"/>
        <v/>
      </c>
    </row>
    <row r="373">
      <c r="H373" s="237"/>
      <c r="I373" s="237" t="str">
        <f>IFERROR(__xludf.DUMMYFUNCTION("IF(ISBLANK(H373),,IFNA(""""""""&amp;JOIN("","",INDEX(FILTER(A:D,A:A=H373),0,4))&amp;"""""""",))"),"")</f>
        <v/>
      </c>
      <c r="J373" s="237" t="str">
        <f>IF(ISBLANK(H373),,IFNA(VLOOKUP(H373, Circuits!A:W, 23, FALSE),))</f>
        <v/>
      </c>
      <c r="K373" s="238" t="str">
        <f t="shared" si="2"/>
        <v/>
      </c>
      <c r="L373" s="238" t="str">
        <f t="shared" si="3"/>
        <v/>
      </c>
      <c r="M373" s="238" t="str">
        <f t="shared" si="4"/>
        <v/>
      </c>
      <c r="N373" s="238" t="str">
        <f t="shared" si="5"/>
        <v/>
      </c>
      <c r="O373" s="238" t="str">
        <f t="shared" si="6"/>
        <v/>
      </c>
      <c r="P373" s="237" t="str">
        <f>IFERROR(__xludf.DUMMYFUNCTION("IF(ISBLANK(H373),,IF(IFNA(MATCH(H373,SPLIT(Circuits!$S$2,"";""&amp;CHAR(10)),0),0),FALSE,TRUE))"),"")</f>
        <v/>
      </c>
      <c r="Q373" s="237" t="str">
        <f>IF(ISBLANK(H373),,IFNA(VLOOKUP(H373, Circuits!A:U, 21, FALSE),))</f>
        <v/>
      </c>
      <c r="R373" s="238" t="str">
        <f t="shared" si="7"/>
        <v/>
      </c>
      <c r="S373" s="237" t="str">
        <f>IF(ISBLANK(H373),,IFNA(VLOOKUP(H373, Circuits!A:V, 22, FALSE),))</f>
        <v/>
      </c>
      <c r="T373" s="237" t="str">
        <f>IF(ISBLANK(H373),,IFNA(VLOOKUP(H373, Circuits!A:X, 24, FALSE),))</f>
        <v/>
      </c>
      <c r="V373" s="236" t="str">
        <f>IFERROR(__xludf.DUMMYFUNCTION("IF(ISBLANK(H373),,JOIN("","",H373:T373))"),"")</f>
        <v/>
      </c>
      <c r="W373" s="229" t="str">
        <f t="shared" si="1"/>
        <v/>
      </c>
    </row>
    <row r="374">
      <c r="H374" s="237"/>
      <c r="I374" s="237" t="str">
        <f>IFERROR(__xludf.DUMMYFUNCTION("IF(ISBLANK(H374),,IFNA(""""""""&amp;JOIN("","",INDEX(FILTER(A:D,A:A=H374),0,4))&amp;"""""""",))"),"")</f>
        <v/>
      </c>
      <c r="J374" s="237" t="str">
        <f>IF(ISBLANK(H374),,IFNA(VLOOKUP(H374, Circuits!A:W, 23, FALSE),))</f>
        <v/>
      </c>
      <c r="K374" s="238" t="str">
        <f t="shared" si="2"/>
        <v/>
      </c>
      <c r="L374" s="238" t="str">
        <f t="shared" si="3"/>
        <v/>
      </c>
      <c r="M374" s="238" t="str">
        <f t="shared" si="4"/>
        <v/>
      </c>
      <c r="N374" s="238" t="str">
        <f t="shared" si="5"/>
        <v/>
      </c>
      <c r="O374" s="238" t="str">
        <f t="shared" si="6"/>
        <v/>
      </c>
      <c r="P374" s="237" t="str">
        <f>IFERROR(__xludf.DUMMYFUNCTION("IF(ISBLANK(H374),,IF(IFNA(MATCH(H374,SPLIT(Circuits!$S$2,"";""&amp;CHAR(10)),0),0),FALSE,TRUE))"),"")</f>
        <v/>
      </c>
      <c r="Q374" s="237" t="str">
        <f>IF(ISBLANK(H374),,IFNA(VLOOKUP(H374, Circuits!A:U, 21, FALSE),))</f>
        <v/>
      </c>
      <c r="R374" s="238" t="str">
        <f t="shared" si="7"/>
        <v/>
      </c>
      <c r="S374" s="237" t="str">
        <f>IF(ISBLANK(H374),,IFNA(VLOOKUP(H374, Circuits!A:V, 22, FALSE),))</f>
        <v/>
      </c>
      <c r="T374" s="237" t="str">
        <f>IF(ISBLANK(H374),,IFNA(VLOOKUP(H374, Circuits!A:X, 24, FALSE),))</f>
        <v/>
      </c>
      <c r="V374" s="236" t="str">
        <f>IFERROR(__xludf.DUMMYFUNCTION("IF(ISBLANK(H374),,JOIN("","",H374:T374))"),"")</f>
        <v/>
      </c>
      <c r="W374" s="229" t="str">
        <f t="shared" si="1"/>
        <v/>
      </c>
    </row>
    <row r="375">
      <c r="H375" s="237"/>
      <c r="I375" s="237" t="str">
        <f>IFERROR(__xludf.DUMMYFUNCTION("IF(ISBLANK(H375),,IFNA(""""""""&amp;JOIN("","",INDEX(FILTER(A:D,A:A=H375),0,4))&amp;"""""""",))"),"")</f>
        <v/>
      </c>
      <c r="J375" s="237" t="str">
        <f>IF(ISBLANK(H375),,IFNA(VLOOKUP(H375, Circuits!A:W, 23, FALSE),))</f>
        <v/>
      </c>
      <c r="K375" s="238" t="str">
        <f t="shared" si="2"/>
        <v/>
      </c>
      <c r="L375" s="238" t="str">
        <f t="shared" si="3"/>
        <v/>
      </c>
      <c r="M375" s="238" t="str">
        <f t="shared" si="4"/>
        <v/>
      </c>
      <c r="N375" s="238" t="str">
        <f t="shared" si="5"/>
        <v/>
      </c>
      <c r="O375" s="238" t="str">
        <f t="shared" si="6"/>
        <v/>
      </c>
      <c r="P375" s="237" t="str">
        <f>IFERROR(__xludf.DUMMYFUNCTION("IF(ISBLANK(H375),,IF(IFNA(MATCH(H375,SPLIT(Circuits!$S$2,"";""&amp;CHAR(10)),0),0),FALSE,TRUE))"),"")</f>
        <v/>
      </c>
      <c r="Q375" s="237" t="str">
        <f>IF(ISBLANK(H375),,IFNA(VLOOKUP(H375, Circuits!A:U, 21, FALSE),))</f>
        <v/>
      </c>
      <c r="R375" s="238" t="str">
        <f t="shared" si="7"/>
        <v/>
      </c>
      <c r="S375" s="237" t="str">
        <f>IF(ISBLANK(H375),,IFNA(VLOOKUP(H375, Circuits!A:V, 22, FALSE),))</f>
        <v/>
      </c>
      <c r="T375" s="237" t="str">
        <f>IF(ISBLANK(H375),,IFNA(VLOOKUP(H375, Circuits!A:X, 24, FALSE),))</f>
        <v/>
      </c>
      <c r="V375" s="236" t="str">
        <f>IFERROR(__xludf.DUMMYFUNCTION("IF(ISBLANK(H375),,JOIN("","",H375:T375))"),"")</f>
        <v/>
      </c>
      <c r="W375" s="229" t="str">
        <f t="shared" si="1"/>
        <v/>
      </c>
    </row>
    <row r="376">
      <c r="H376" s="237"/>
      <c r="I376" s="237" t="str">
        <f>IFERROR(__xludf.DUMMYFUNCTION("IF(ISBLANK(H376),,IFNA(""""""""&amp;JOIN("","",INDEX(FILTER(A:D,A:A=H376),0,4))&amp;"""""""",))"),"")</f>
        <v/>
      </c>
      <c r="J376" s="237" t="str">
        <f>IF(ISBLANK(H376),,IFNA(VLOOKUP(H376, Circuits!A:W, 23, FALSE),))</f>
        <v/>
      </c>
      <c r="K376" s="238" t="str">
        <f t="shared" si="2"/>
        <v/>
      </c>
      <c r="L376" s="238" t="str">
        <f t="shared" si="3"/>
        <v/>
      </c>
      <c r="M376" s="238" t="str">
        <f t="shared" si="4"/>
        <v/>
      </c>
      <c r="N376" s="238" t="str">
        <f t="shared" si="5"/>
        <v/>
      </c>
      <c r="O376" s="238" t="str">
        <f t="shared" si="6"/>
        <v/>
      </c>
      <c r="P376" s="237" t="str">
        <f>IFERROR(__xludf.DUMMYFUNCTION("IF(ISBLANK(H376),,IF(IFNA(MATCH(H376,SPLIT(Circuits!$S$2,"";""&amp;CHAR(10)),0),0),FALSE,TRUE))"),"")</f>
        <v/>
      </c>
      <c r="Q376" s="237" t="str">
        <f>IF(ISBLANK(H376),,IFNA(VLOOKUP(H376, Circuits!A:U, 21, FALSE),))</f>
        <v/>
      </c>
      <c r="R376" s="238" t="str">
        <f t="shared" si="7"/>
        <v/>
      </c>
      <c r="S376" s="237" t="str">
        <f>IF(ISBLANK(H376),,IFNA(VLOOKUP(H376, Circuits!A:V, 22, FALSE),))</f>
        <v/>
      </c>
      <c r="T376" s="237" t="str">
        <f>IF(ISBLANK(H376),,IFNA(VLOOKUP(H376, Circuits!A:X, 24, FALSE),))</f>
        <v/>
      </c>
      <c r="V376" s="236" t="str">
        <f>IFERROR(__xludf.DUMMYFUNCTION("IF(ISBLANK(H376),,JOIN("","",H376:T376))"),"")</f>
        <v/>
      </c>
      <c r="W376" s="229" t="str">
        <f t="shared" si="1"/>
        <v/>
      </c>
    </row>
    <row r="377">
      <c r="H377" s="237"/>
      <c r="I377" s="237" t="str">
        <f>IFERROR(__xludf.DUMMYFUNCTION("IF(ISBLANK(H377),,IFNA(""""""""&amp;JOIN("","",INDEX(FILTER(A:D,A:A=H377),0,4))&amp;"""""""",))"),"")</f>
        <v/>
      </c>
      <c r="J377" s="237" t="str">
        <f>IF(ISBLANK(H377),,IFNA(VLOOKUP(H377, Circuits!A:W, 23, FALSE),))</f>
        <v/>
      </c>
      <c r="K377" s="238" t="str">
        <f t="shared" si="2"/>
        <v/>
      </c>
      <c r="L377" s="238" t="str">
        <f t="shared" si="3"/>
        <v/>
      </c>
      <c r="M377" s="238" t="str">
        <f t="shared" si="4"/>
        <v/>
      </c>
      <c r="N377" s="238" t="str">
        <f t="shared" si="5"/>
        <v/>
      </c>
      <c r="O377" s="238" t="str">
        <f t="shared" si="6"/>
        <v/>
      </c>
      <c r="P377" s="237" t="str">
        <f>IFERROR(__xludf.DUMMYFUNCTION("IF(ISBLANK(H377),,IF(IFNA(MATCH(H377,SPLIT(Circuits!$S$2,"";""&amp;CHAR(10)),0),0),FALSE,TRUE))"),"")</f>
        <v/>
      </c>
      <c r="Q377" s="237" t="str">
        <f>IF(ISBLANK(H377),,IFNA(VLOOKUP(H377, Circuits!A:U, 21, FALSE),))</f>
        <v/>
      </c>
      <c r="R377" s="238" t="str">
        <f t="shared" si="7"/>
        <v/>
      </c>
      <c r="S377" s="237" t="str">
        <f>IF(ISBLANK(H377),,IFNA(VLOOKUP(H377, Circuits!A:V, 22, FALSE),))</f>
        <v/>
      </c>
      <c r="T377" s="237" t="str">
        <f>IF(ISBLANK(H377),,IFNA(VLOOKUP(H377, Circuits!A:X, 24, FALSE),))</f>
        <v/>
      </c>
      <c r="V377" s="236" t="str">
        <f>IFERROR(__xludf.DUMMYFUNCTION("IF(ISBLANK(H377),,JOIN("","",H377:T377))"),"")</f>
        <v/>
      </c>
      <c r="W377" s="229" t="str">
        <f t="shared" si="1"/>
        <v/>
      </c>
    </row>
    <row r="378">
      <c r="H378" s="237"/>
      <c r="I378" s="237" t="str">
        <f>IFERROR(__xludf.DUMMYFUNCTION("IF(ISBLANK(H378),,IFNA(""""""""&amp;JOIN("","",INDEX(FILTER(A:D,A:A=H378),0,4))&amp;"""""""",))"),"")</f>
        <v/>
      </c>
      <c r="J378" s="237" t="str">
        <f>IF(ISBLANK(H378),,IFNA(VLOOKUP(H378, Circuits!A:W, 23, FALSE),))</f>
        <v/>
      </c>
      <c r="K378" s="238" t="str">
        <f t="shared" si="2"/>
        <v/>
      </c>
      <c r="L378" s="238" t="str">
        <f t="shared" si="3"/>
        <v/>
      </c>
      <c r="M378" s="238" t="str">
        <f t="shared" si="4"/>
        <v/>
      </c>
      <c r="N378" s="238" t="str">
        <f t="shared" si="5"/>
        <v/>
      </c>
      <c r="O378" s="238" t="str">
        <f t="shared" si="6"/>
        <v/>
      </c>
      <c r="P378" s="237" t="str">
        <f>IFERROR(__xludf.DUMMYFUNCTION("IF(ISBLANK(H378),,IF(IFNA(MATCH(H378,SPLIT(Circuits!$S$2,"";""&amp;CHAR(10)),0),0),FALSE,TRUE))"),"")</f>
        <v/>
      </c>
      <c r="Q378" s="237" t="str">
        <f>IF(ISBLANK(H378),,IFNA(VLOOKUP(H378, Circuits!A:U, 21, FALSE),))</f>
        <v/>
      </c>
      <c r="R378" s="238" t="str">
        <f t="shared" si="7"/>
        <v/>
      </c>
      <c r="S378" s="237" t="str">
        <f>IF(ISBLANK(H378),,IFNA(VLOOKUP(H378, Circuits!A:V, 22, FALSE),))</f>
        <v/>
      </c>
      <c r="T378" s="237" t="str">
        <f>IF(ISBLANK(H378),,IFNA(VLOOKUP(H378, Circuits!A:X, 24, FALSE),))</f>
        <v/>
      </c>
      <c r="V378" s="236" t="str">
        <f>IFERROR(__xludf.DUMMYFUNCTION("IF(ISBLANK(H378),,JOIN("","",H378:T378))"),"")</f>
        <v/>
      </c>
      <c r="W378" s="229" t="str">
        <f t="shared" si="1"/>
        <v/>
      </c>
    </row>
    <row r="379">
      <c r="H379" s="237"/>
      <c r="I379" s="237" t="str">
        <f>IFERROR(__xludf.DUMMYFUNCTION("IF(ISBLANK(H379),,IFNA(""""""""&amp;JOIN("","",INDEX(FILTER(A:D,A:A=H379),0,4))&amp;"""""""",))"),"")</f>
        <v/>
      </c>
      <c r="J379" s="237" t="str">
        <f>IF(ISBLANK(H379),,IFNA(VLOOKUP(H379, Circuits!A:W, 23, FALSE),))</f>
        <v/>
      </c>
      <c r="K379" s="238" t="str">
        <f t="shared" si="2"/>
        <v/>
      </c>
      <c r="L379" s="238" t="str">
        <f t="shared" si="3"/>
        <v/>
      </c>
      <c r="M379" s="238" t="str">
        <f t="shared" si="4"/>
        <v/>
      </c>
      <c r="N379" s="238" t="str">
        <f t="shared" si="5"/>
        <v/>
      </c>
      <c r="O379" s="238" t="str">
        <f t="shared" si="6"/>
        <v/>
      </c>
      <c r="P379" s="237" t="str">
        <f>IFERROR(__xludf.DUMMYFUNCTION("IF(ISBLANK(H379),,IF(IFNA(MATCH(H379,SPLIT(Circuits!$S$2,"";""&amp;CHAR(10)),0),0),FALSE,TRUE))"),"")</f>
        <v/>
      </c>
      <c r="Q379" s="237" t="str">
        <f>IF(ISBLANK(H379),,IFNA(VLOOKUP(H379, Circuits!A:U, 21, FALSE),))</f>
        <v/>
      </c>
      <c r="R379" s="238" t="str">
        <f t="shared" si="7"/>
        <v/>
      </c>
      <c r="S379" s="237" t="str">
        <f>IF(ISBLANK(H379),,IFNA(VLOOKUP(H379, Circuits!A:V, 22, FALSE),))</f>
        <v/>
      </c>
      <c r="T379" s="237" t="str">
        <f>IF(ISBLANK(H379),,IFNA(VLOOKUP(H379, Circuits!A:X, 24, FALSE),))</f>
        <v/>
      </c>
      <c r="V379" s="236" t="str">
        <f>IFERROR(__xludf.DUMMYFUNCTION("IF(ISBLANK(H379),,JOIN("","",H379:T379))"),"")</f>
        <v/>
      </c>
      <c r="W379" s="229" t="str">
        <f t="shared" si="1"/>
        <v/>
      </c>
    </row>
    <row r="380">
      <c r="H380" s="237"/>
      <c r="I380" s="237" t="str">
        <f>IFERROR(__xludf.DUMMYFUNCTION("IF(ISBLANK(H380),,IFNA(""""""""&amp;JOIN("","",INDEX(FILTER(A:D,A:A=H380),0,4))&amp;"""""""",))"),"")</f>
        <v/>
      </c>
      <c r="J380" s="237" t="str">
        <f>IF(ISBLANK(H380),,IFNA(VLOOKUP(H380, Circuits!A:W, 23, FALSE),))</f>
        <v/>
      </c>
      <c r="K380" s="238" t="str">
        <f t="shared" si="2"/>
        <v/>
      </c>
      <c r="L380" s="238" t="str">
        <f t="shared" si="3"/>
        <v/>
      </c>
      <c r="M380" s="238" t="str">
        <f t="shared" si="4"/>
        <v/>
      </c>
      <c r="N380" s="238" t="str">
        <f t="shared" si="5"/>
        <v/>
      </c>
      <c r="O380" s="238" t="str">
        <f t="shared" si="6"/>
        <v/>
      </c>
      <c r="P380" s="237" t="str">
        <f>IFERROR(__xludf.DUMMYFUNCTION("IF(ISBLANK(H380),,IF(IFNA(MATCH(H380,SPLIT(Circuits!$S$2,"";""&amp;CHAR(10)),0),0),FALSE,TRUE))"),"")</f>
        <v/>
      </c>
      <c r="Q380" s="237" t="str">
        <f>IF(ISBLANK(H380),,IFNA(VLOOKUP(H380, Circuits!A:U, 21, FALSE),))</f>
        <v/>
      </c>
      <c r="R380" s="238" t="str">
        <f t="shared" si="7"/>
        <v/>
      </c>
      <c r="S380" s="237" t="str">
        <f>IF(ISBLANK(H380),,IFNA(VLOOKUP(H380, Circuits!A:V, 22, FALSE),))</f>
        <v/>
      </c>
      <c r="T380" s="237" t="str">
        <f>IF(ISBLANK(H380),,IFNA(VLOOKUP(H380, Circuits!A:X, 24, FALSE),))</f>
        <v/>
      </c>
      <c r="V380" s="236" t="str">
        <f>IFERROR(__xludf.DUMMYFUNCTION("IF(ISBLANK(H380),,JOIN("","",H380:T380))"),"")</f>
        <v/>
      </c>
      <c r="W380" s="229" t="str">
        <f t="shared" si="1"/>
        <v/>
      </c>
    </row>
    <row r="381">
      <c r="H381" s="237"/>
      <c r="I381" s="237" t="str">
        <f>IFERROR(__xludf.DUMMYFUNCTION("IF(ISBLANK(H381),,IFNA(""""""""&amp;JOIN("","",INDEX(FILTER(A:D,A:A=H381),0,4))&amp;"""""""",))"),"")</f>
        <v/>
      </c>
      <c r="J381" s="237" t="str">
        <f>IF(ISBLANK(H381),,IFNA(VLOOKUP(H381, Circuits!A:W, 23, FALSE),))</f>
        <v/>
      </c>
      <c r="K381" s="238" t="str">
        <f t="shared" si="2"/>
        <v/>
      </c>
      <c r="L381" s="238" t="str">
        <f t="shared" si="3"/>
        <v/>
      </c>
      <c r="M381" s="238" t="str">
        <f t="shared" si="4"/>
        <v/>
      </c>
      <c r="N381" s="238" t="str">
        <f t="shared" si="5"/>
        <v/>
      </c>
      <c r="O381" s="238" t="str">
        <f t="shared" si="6"/>
        <v/>
      </c>
      <c r="P381" s="237" t="str">
        <f>IFERROR(__xludf.DUMMYFUNCTION("IF(ISBLANK(H381),,IF(IFNA(MATCH(H381,SPLIT(Circuits!$S$2,"";""&amp;CHAR(10)),0),0),FALSE,TRUE))"),"")</f>
        <v/>
      </c>
      <c r="Q381" s="237" t="str">
        <f>IF(ISBLANK(H381),,IFNA(VLOOKUP(H381, Circuits!A:U, 21, FALSE),))</f>
        <v/>
      </c>
      <c r="R381" s="238" t="str">
        <f t="shared" si="7"/>
        <v/>
      </c>
      <c r="S381" s="237" t="str">
        <f>IF(ISBLANK(H381),,IFNA(VLOOKUP(H381, Circuits!A:V, 22, FALSE),))</f>
        <v/>
      </c>
      <c r="T381" s="237" t="str">
        <f>IF(ISBLANK(H381),,IFNA(VLOOKUP(H381, Circuits!A:X, 24, FALSE),))</f>
        <v/>
      </c>
      <c r="V381" s="236" t="str">
        <f>IFERROR(__xludf.DUMMYFUNCTION("IF(ISBLANK(H381),,JOIN("","",H381:T381))"),"")</f>
        <v/>
      </c>
      <c r="W381" s="229" t="str">
        <f t="shared" si="1"/>
        <v/>
      </c>
    </row>
    <row r="382">
      <c r="H382" s="237"/>
      <c r="I382" s="237" t="str">
        <f>IFERROR(__xludf.DUMMYFUNCTION("IF(ISBLANK(H382),,IFNA(""""""""&amp;JOIN("","",INDEX(FILTER(A:D,A:A=H382),0,4))&amp;"""""""",))"),"")</f>
        <v/>
      </c>
      <c r="J382" s="237" t="str">
        <f>IF(ISBLANK(H382),,IFNA(VLOOKUP(H382, Circuits!A:W, 23, FALSE),))</f>
        <v/>
      </c>
      <c r="K382" s="238" t="str">
        <f t="shared" si="2"/>
        <v/>
      </c>
      <c r="L382" s="238" t="str">
        <f t="shared" si="3"/>
        <v/>
      </c>
      <c r="M382" s="238" t="str">
        <f t="shared" si="4"/>
        <v/>
      </c>
      <c r="N382" s="238" t="str">
        <f t="shared" si="5"/>
        <v/>
      </c>
      <c r="O382" s="238" t="str">
        <f t="shared" si="6"/>
        <v/>
      </c>
      <c r="P382" s="237" t="str">
        <f>IFERROR(__xludf.DUMMYFUNCTION("IF(ISBLANK(H382),,IF(IFNA(MATCH(H382,SPLIT(Circuits!$S$2,"";""&amp;CHAR(10)),0),0),FALSE,TRUE))"),"")</f>
        <v/>
      </c>
      <c r="Q382" s="237" t="str">
        <f>IF(ISBLANK(H382),,IFNA(VLOOKUP(H382, Circuits!A:U, 21, FALSE),))</f>
        <v/>
      </c>
      <c r="R382" s="238" t="str">
        <f t="shared" si="7"/>
        <v/>
      </c>
      <c r="S382" s="237" t="str">
        <f>IF(ISBLANK(H382),,IFNA(VLOOKUP(H382, Circuits!A:V, 22, FALSE),))</f>
        <v/>
      </c>
      <c r="T382" s="237" t="str">
        <f>IF(ISBLANK(H382),,IFNA(VLOOKUP(H382, Circuits!A:X, 24, FALSE),))</f>
        <v/>
      </c>
      <c r="V382" s="236" t="str">
        <f>IFERROR(__xludf.DUMMYFUNCTION("IF(ISBLANK(H382),,JOIN("","",H382:T382))"),"")</f>
        <v/>
      </c>
      <c r="W382" s="229" t="str">
        <f t="shared" si="1"/>
        <v/>
      </c>
    </row>
    <row r="383">
      <c r="H383" s="237"/>
      <c r="I383" s="237" t="str">
        <f>IFERROR(__xludf.DUMMYFUNCTION("IF(ISBLANK(H383),,IFNA(""""""""&amp;JOIN("","",INDEX(FILTER(A:D,A:A=H383),0,4))&amp;"""""""",))"),"")</f>
        <v/>
      </c>
      <c r="J383" s="237" t="str">
        <f>IF(ISBLANK(H383),,IFNA(VLOOKUP(H383, Circuits!A:W, 23, FALSE),))</f>
        <v/>
      </c>
      <c r="K383" s="238" t="str">
        <f t="shared" si="2"/>
        <v/>
      </c>
      <c r="L383" s="238" t="str">
        <f t="shared" si="3"/>
        <v/>
      </c>
      <c r="M383" s="238" t="str">
        <f t="shared" si="4"/>
        <v/>
      </c>
      <c r="N383" s="238" t="str">
        <f t="shared" si="5"/>
        <v/>
      </c>
      <c r="O383" s="238" t="str">
        <f t="shared" si="6"/>
        <v/>
      </c>
      <c r="P383" s="237" t="str">
        <f>IFERROR(__xludf.DUMMYFUNCTION("IF(ISBLANK(H383),,IF(IFNA(MATCH(H383,SPLIT(Circuits!$S$2,"";""&amp;CHAR(10)),0),0),FALSE,TRUE))"),"")</f>
        <v/>
      </c>
      <c r="Q383" s="237" t="str">
        <f>IF(ISBLANK(H383),,IFNA(VLOOKUP(H383, Circuits!A:U, 21, FALSE),))</f>
        <v/>
      </c>
      <c r="R383" s="238" t="str">
        <f t="shared" si="7"/>
        <v/>
      </c>
      <c r="S383" s="237" t="str">
        <f>IF(ISBLANK(H383),,IFNA(VLOOKUP(H383, Circuits!A:V, 22, FALSE),))</f>
        <v/>
      </c>
      <c r="T383" s="237" t="str">
        <f>IF(ISBLANK(H383),,IFNA(VLOOKUP(H383, Circuits!A:X, 24, FALSE),))</f>
        <v/>
      </c>
      <c r="V383" s="236" t="str">
        <f>IFERROR(__xludf.DUMMYFUNCTION("IF(ISBLANK(H383),,JOIN("","",H383:T383))"),"")</f>
        <v/>
      </c>
      <c r="W383" s="229" t="str">
        <f t="shared" si="1"/>
        <v/>
      </c>
    </row>
    <row r="384">
      <c r="H384" s="237"/>
      <c r="I384" s="237" t="str">
        <f>IFERROR(__xludf.DUMMYFUNCTION("IF(ISBLANK(H384),,IFNA(""""""""&amp;JOIN("","",INDEX(FILTER(A:D,A:A=H384),0,4))&amp;"""""""",))"),"")</f>
        <v/>
      </c>
      <c r="J384" s="237" t="str">
        <f>IF(ISBLANK(H384),,IFNA(VLOOKUP(H384, Circuits!A:W, 23, FALSE),))</f>
        <v/>
      </c>
      <c r="K384" s="238" t="str">
        <f t="shared" si="2"/>
        <v/>
      </c>
      <c r="L384" s="238" t="str">
        <f t="shared" si="3"/>
        <v/>
      </c>
      <c r="M384" s="238" t="str">
        <f t="shared" si="4"/>
        <v/>
      </c>
      <c r="N384" s="238" t="str">
        <f t="shared" si="5"/>
        <v/>
      </c>
      <c r="O384" s="238" t="str">
        <f t="shared" si="6"/>
        <v/>
      </c>
      <c r="P384" s="237" t="str">
        <f>IFERROR(__xludf.DUMMYFUNCTION("IF(ISBLANK(H384),,IF(IFNA(MATCH(H384,SPLIT(Circuits!$S$2,"";""&amp;CHAR(10)),0),0),FALSE,TRUE))"),"")</f>
        <v/>
      </c>
      <c r="Q384" s="237" t="str">
        <f>IF(ISBLANK(H384),,IFNA(VLOOKUP(H384, Circuits!A:U, 21, FALSE),))</f>
        <v/>
      </c>
      <c r="R384" s="238" t="str">
        <f t="shared" si="7"/>
        <v/>
      </c>
      <c r="S384" s="237" t="str">
        <f>IF(ISBLANK(H384),,IFNA(VLOOKUP(H384, Circuits!A:V, 22, FALSE),))</f>
        <v/>
      </c>
      <c r="T384" s="237" t="str">
        <f>IF(ISBLANK(H384),,IFNA(VLOOKUP(H384, Circuits!A:X, 24, FALSE),))</f>
        <v/>
      </c>
      <c r="V384" s="236" t="str">
        <f>IFERROR(__xludf.DUMMYFUNCTION("IF(ISBLANK(H384),,JOIN("","",H384:T384))"),"")</f>
        <v/>
      </c>
      <c r="W384" s="229" t="str">
        <f t="shared" si="1"/>
        <v/>
      </c>
    </row>
    <row r="385">
      <c r="H385" s="237"/>
      <c r="I385" s="237" t="str">
        <f>IFERROR(__xludf.DUMMYFUNCTION("IF(ISBLANK(H385),,IFNA(""""""""&amp;JOIN("","",INDEX(FILTER(A:D,A:A=H385),0,4))&amp;"""""""",))"),"")</f>
        <v/>
      </c>
      <c r="J385" s="237" t="str">
        <f>IF(ISBLANK(H385),,IFNA(VLOOKUP(H385, Circuits!A:W, 23, FALSE),))</f>
        <v/>
      </c>
      <c r="K385" s="238" t="str">
        <f t="shared" si="2"/>
        <v/>
      </c>
      <c r="L385" s="238" t="str">
        <f t="shared" si="3"/>
        <v/>
      </c>
      <c r="M385" s="238" t="str">
        <f t="shared" si="4"/>
        <v/>
      </c>
      <c r="N385" s="238" t="str">
        <f t="shared" si="5"/>
        <v/>
      </c>
      <c r="O385" s="238" t="str">
        <f t="shared" si="6"/>
        <v/>
      </c>
      <c r="P385" s="237" t="str">
        <f>IFERROR(__xludf.DUMMYFUNCTION("IF(ISBLANK(H385),,IF(IFNA(MATCH(H385,SPLIT(Circuits!$S$2,"";""&amp;CHAR(10)),0),0),FALSE,TRUE))"),"")</f>
        <v/>
      </c>
      <c r="Q385" s="237" t="str">
        <f>IF(ISBLANK(H385),,IFNA(VLOOKUP(H385, Circuits!A:U, 21, FALSE),))</f>
        <v/>
      </c>
      <c r="R385" s="238" t="str">
        <f t="shared" si="7"/>
        <v/>
      </c>
      <c r="S385" s="237" t="str">
        <f>IF(ISBLANK(H385),,IFNA(VLOOKUP(H385, Circuits!A:V, 22, FALSE),))</f>
        <v/>
      </c>
      <c r="T385" s="237" t="str">
        <f>IF(ISBLANK(H385),,IFNA(VLOOKUP(H385, Circuits!A:X, 24, FALSE),))</f>
        <v/>
      </c>
      <c r="V385" s="236" t="str">
        <f>IFERROR(__xludf.DUMMYFUNCTION("IF(ISBLANK(H385),,JOIN("","",H385:T385))"),"")</f>
        <v/>
      </c>
      <c r="W385" s="229" t="str">
        <f t="shared" si="1"/>
        <v/>
      </c>
    </row>
    <row r="386">
      <c r="H386" s="237"/>
      <c r="I386" s="237" t="str">
        <f>IFERROR(__xludf.DUMMYFUNCTION("IF(ISBLANK(H386),,IFNA(""""""""&amp;JOIN("","",INDEX(FILTER(A:D,A:A=H386),0,4))&amp;"""""""",))"),"")</f>
        <v/>
      </c>
      <c r="J386" s="237" t="str">
        <f>IF(ISBLANK(H386),,IFNA(VLOOKUP(H386, Circuits!A:W, 23, FALSE),))</f>
        <v/>
      </c>
      <c r="K386" s="238" t="str">
        <f t="shared" si="2"/>
        <v/>
      </c>
      <c r="L386" s="238" t="str">
        <f t="shared" si="3"/>
        <v/>
      </c>
      <c r="M386" s="238" t="str">
        <f t="shared" si="4"/>
        <v/>
      </c>
      <c r="N386" s="238" t="str">
        <f t="shared" si="5"/>
        <v/>
      </c>
      <c r="O386" s="238" t="str">
        <f t="shared" si="6"/>
        <v/>
      </c>
      <c r="P386" s="237" t="str">
        <f>IFERROR(__xludf.DUMMYFUNCTION("IF(ISBLANK(H386),,IF(IFNA(MATCH(H386,SPLIT(Circuits!$S$2,"";""&amp;CHAR(10)),0),0),FALSE,TRUE))"),"")</f>
        <v/>
      </c>
      <c r="Q386" s="237" t="str">
        <f>IF(ISBLANK(H386),,IFNA(VLOOKUP(H386, Circuits!A:U, 21, FALSE),))</f>
        <v/>
      </c>
      <c r="R386" s="238" t="str">
        <f t="shared" si="7"/>
        <v/>
      </c>
      <c r="S386" s="237" t="str">
        <f>IF(ISBLANK(H386),,IFNA(VLOOKUP(H386, Circuits!A:V, 22, FALSE),))</f>
        <v/>
      </c>
      <c r="T386" s="237" t="str">
        <f>IF(ISBLANK(H386),,IFNA(VLOOKUP(H386, Circuits!A:X, 24, FALSE),))</f>
        <v/>
      </c>
      <c r="V386" s="236" t="str">
        <f>IFERROR(__xludf.DUMMYFUNCTION("IF(ISBLANK(H386),,JOIN("","",H386:T386))"),"")</f>
        <v/>
      </c>
      <c r="W386" s="229" t="str">
        <f t="shared" si="1"/>
        <v/>
      </c>
    </row>
    <row r="387">
      <c r="H387" s="237"/>
      <c r="I387" s="237" t="str">
        <f>IFERROR(__xludf.DUMMYFUNCTION("IF(ISBLANK(H387),,IFNA(""""""""&amp;JOIN("","",INDEX(FILTER(A:D,A:A=H387),0,4))&amp;"""""""",))"),"")</f>
        <v/>
      </c>
      <c r="J387" s="237" t="str">
        <f>IF(ISBLANK(H387),,IFNA(VLOOKUP(H387, Circuits!A:W, 23, FALSE),))</f>
        <v/>
      </c>
      <c r="K387" s="238" t="str">
        <f t="shared" si="2"/>
        <v/>
      </c>
      <c r="L387" s="238" t="str">
        <f t="shared" si="3"/>
        <v/>
      </c>
      <c r="M387" s="238" t="str">
        <f t="shared" si="4"/>
        <v/>
      </c>
      <c r="N387" s="238" t="str">
        <f t="shared" si="5"/>
        <v/>
      </c>
      <c r="O387" s="238" t="str">
        <f t="shared" si="6"/>
        <v/>
      </c>
      <c r="P387" s="237" t="str">
        <f>IFERROR(__xludf.DUMMYFUNCTION("IF(ISBLANK(H387),,IF(IFNA(MATCH(H387,SPLIT(Circuits!$S$2,"";""&amp;CHAR(10)),0),0),FALSE,TRUE))"),"")</f>
        <v/>
      </c>
      <c r="Q387" s="237" t="str">
        <f>IF(ISBLANK(H387),,IFNA(VLOOKUP(H387, Circuits!A:U, 21, FALSE),))</f>
        <v/>
      </c>
      <c r="R387" s="238" t="str">
        <f t="shared" si="7"/>
        <v/>
      </c>
      <c r="S387" s="237" t="str">
        <f>IF(ISBLANK(H387),,IFNA(VLOOKUP(H387, Circuits!A:V, 22, FALSE),))</f>
        <v/>
      </c>
      <c r="T387" s="237" t="str">
        <f>IF(ISBLANK(H387),,IFNA(VLOOKUP(H387, Circuits!A:X, 24, FALSE),))</f>
        <v/>
      </c>
      <c r="V387" s="236" t="str">
        <f>IFERROR(__xludf.DUMMYFUNCTION("IF(ISBLANK(H387),,JOIN("","",H387:T387))"),"")</f>
        <v/>
      </c>
      <c r="W387" s="229" t="str">
        <f t="shared" si="1"/>
        <v/>
      </c>
    </row>
    <row r="388">
      <c r="H388" s="237"/>
      <c r="I388" s="237" t="str">
        <f>IFERROR(__xludf.DUMMYFUNCTION("IF(ISBLANK(H388),,IFNA(""""""""&amp;JOIN("","",INDEX(FILTER(A:D,A:A=H388),0,4))&amp;"""""""",))"),"")</f>
        <v/>
      </c>
      <c r="J388" s="237" t="str">
        <f>IF(ISBLANK(H388),,IFNA(VLOOKUP(H388, Circuits!A:W, 23, FALSE),))</f>
        <v/>
      </c>
      <c r="K388" s="238" t="str">
        <f t="shared" si="2"/>
        <v/>
      </c>
      <c r="L388" s="238" t="str">
        <f t="shared" si="3"/>
        <v/>
      </c>
      <c r="M388" s="238" t="str">
        <f t="shared" si="4"/>
        <v/>
      </c>
      <c r="N388" s="238" t="str">
        <f t="shared" si="5"/>
        <v/>
      </c>
      <c r="O388" s="238" t="str">
        <f t="shared" si="6"/>
        <v/>
      </c>
      <c r="P388" s="237" t="str">
        <f>IFERROR(__xludf.DUMMYFUNCTION("IF(ISBLANK(H388),,IF(IFNA(MATCH(H388,SPLIT(Circuits!$S$2,"";""&amp;CHAR(10)),0),0),FALSE,TRUE))"),"")</f>
        <v/>
      </c>
      <c r="Q388" s="237" t="str">
        <f>IF(ISBLANK(H388),,IFNA(VLOOKUP(H388, Circuits!A:U, 21, FALSE),))</f>
        <v/>
      </c>
      <c r="R388" s="238" t="str">
        <f t="shared" si="7"/>
        <v/>
      </c>
      <c r="S388" s="237" t="str">
        <f>IF(ISBLANK(H388),,IFNA(VLOOKUP(H388, Circuits!A:V, 22, FALSE),))</f>
        <v/>
      </c>
      <c r="T388" s="237" t="str">
        <f>IF(ISBLANK(H388),,IFNA(VLOOKUP(H388, Circuits!A:X, 24, FALSE),))</f>
        <v/>
      </c>
      <c r="V388" s="236" t="str">
        <f>IFERROR(__xludf.DUMMYFUNCTION("IF(ISBLANK(H388),,JOIN("","",H388:T388))"),"")</f>
        <v/>
      </c>
      <c r="W388" s="229" t="str">
        <f t="shared" si="1"/>
        <v/>
      </c>
    </row>
    <row r="389">
      <c r="H389" s="237"/>
      <c r="I389" s="237" t="str">
        <f>IFERROR(__xludf.DUMMYFUNCTION("IF(ISBLANK(H389),,IFNA(""""""""&amp;JOIN("","",INDEX(FILTER(A:D,A:A=H389),0,4))&amp;"""""""",))"),"")</f>
        <v/>
      </c>
      <c r="J389" s="237" t="str">
        <f>IF(ISBLANK(H389),,IFNA(VLOOKUP(H389, Circuits!A:W, 23, FALSE),))</f>
        <v/>
      </c>
      <c r="K389" s="238" t="str">
        <f t="shared" si="2"/>
        <v/>
      </c>
      <c r="L389" s="238" t="str">
        <f t="shared" si="3"/>
        <v/>
      </c>
      <c r="M389" s="238" t="str">
        <f t="shared" si="4"/>
        <v/>
      </c>
      <c r="N389" s="238" t="str">
        <f t="shared" si="5"/>
        <v/>
      </c>
      <c r="O389" s="238" t="str">
        <f t="shared" si="6"/>
        <v/>
      </c>
      <c r="P389" s="237" t="str">
        <f>IFERROR(__xludf.DUMMYFUNCTION("IF(ISBLANK(H389),,IF(IFNA(MATCH(H389,SPLIT(Circuits!$S$2,"";""&amp;CHAR(10)),0),0),FALSE,TRUE))"),"")</f>
        <v/>
      </c>
      <c r="Q389" s="237" t="str">
        <f>IF(ISBLANK(H389),,IFNA(VLOOKUP(H389, Circuits!A:U, 21, FALSE),))</f>
        <v/>
      </c>
      <c r="R389" s="238" t="str">
        <f t="shared" si="7"/>
        <v/>
      </c>
      <c r="S389" s="237" t="str">
        <f>IF(ISBLANK(H389),,IFNA(VLOOKUP(H389, Circuits!A:V, 22, FALSE),))</f>
        <v/>
      </c>
      <c r="T389" s="237" t="str">
        <f>IF(ISBLANK(H389),,IFNA(VLOOKUP(H389, Circuits!A:X, 24, FALSE),))</f>
        <v/>
      </c>
      <c r="V389" s="236" t="str">
        <f>IFERROR(__xludf.DUMMYFUNCTION("IF(ISBLANK(H389),,JOIN("","",H389:T389))"),"")</f>
        <v/>
      </c>
      <c r="W389" s="229" t="str">
        <f t="shared" si="1"/>
        <v/>
      </c>
    </row>
    <row r="390">
      <c r="H390" s="237"/>
      <c r="I390" s="237" t="str">
        <f>IFERROR(__xludf.DUMMYFUNCTION("IF(ISBLANK(H390),,IFNA(""""""""&amp;JOIN("","",INDEX(FILTER(A:D,A:A=H390),0,4))&amp;"""""""",))"),"")</f>
        <v/>
      </c>
      <c r="J390" s="237" t="str">
        <f>IF(ISBLANK(H390),,IFNA(VLOOKUP(H390, Circuits!A:W, 23, FALSE),))</f>
        <v/>
      </c>
      <c r="K390" s="238" t="str">
        <f t="shared" si="2"/>
        <v/>
      </c>
      <c r="L390" s="238" t="str">
        <f t="shared" si="3"/>
        <v/>
      </c>
      <c r="M390" s="238" t="str">
        <f t="shared" si="4"/>
        <v/>
      </c>
      <c r="N390" s="238" t="str">
        <f t="shared" si="5"/>
        <v/>
      </c>
      <c r="O390" s="238" t="str">
        <f t="shared" si="6"/>
        <v/>
      </c>
      <c r="P390" s="237" t="str">
        <f>IFERROR(__xludf.DUMMYFUNCTION("IF(ISBLANK(H390),,IF(IFNA(MATCH(H390,SPLIT(Circuits!$S$2,"";""&amp;CHAR(10)),0),0),FALSE,TRUE))"),"")</f>
        <v/>
      </c>
      <c r="Q390" s="237" t="str">
        <f>IF(ISBLANK(H390),,IFNA(VLOOKUP(H390, Circuits!A:U, 21, FALSE),))</f>
        <v/>
      </c>
      <c r="R390" s="238" t="str">
        <f t="shared" si="7"/>
        <v/>
      </c>
      <c r="S390" s="237" t="str">
        <f>IF(ISBLANK(H390),,IFNA(VLOOKUP(H390, Circuits!A:V, 22, FALSE),))</f>
        <v/>
      </c>
      <c r="T390" s="237" t="str">
        <f>IF(ISBLANK(H390),,IFNA(VLOOKUP(H390, Circuits!A:X, 24, FALSE),))</f>
        <v/>
      </c>
      <c r="V390" s="236" t="str">
        <f>IFERROR(__xludf.DUMMYFUNCTION("IF(ISBLANK(H390),,JOIN("","",H390:T390))"),"")</f>
        <v/>
      </c>
      <c r="W390" s="229" t="str">
        <f t="shared" si="1"/>
        <v/>
      </c>
    </row>
    <row r="391">
      <c r="H391" s="237"/>
      <c r="I391" s="237" t="str">
        <f>IFERROR(__xludf.DUMMYFUNCTION("IF(ISBLANK(H391),,IFNA(""""""""&amp;JOIN("","",INDEX(FILTER(A:D,A:A=H391),0,4))&amp;"""""""",))"),"")</f>
        <v/>
      </c>
      <c r="J391" s="237" t="str">
        <f>IF(ISBLANK(H391),,IFNA(VLOOKUP(H391, Circuits!A:W, 23, FALSE),))</f>
        <v/>
      </c>
      <c r="K391" s="238" t="str">
        <f t="shared" si="2"/>
        <v/>
      </c>
      <c r="L391" s="238" t="str">
        <f t="shared" si="3"/>
        <v/>
      </c>
      <c r="M391" s="238" t="str">
        <f t="shared" si="4"/>
        <v/>
      </c>
      <c r="N391" s="238" t="str">
        <f t="shared" si="5"/>
        <v/>
      </c>
      <c r="O391" s="238" t="str">
        <f t="shared" si="6"/>
        <v/>
      </c>
      <c r="P391" s="237" t="str">
        <f>IFERROR(__xludf.DUMMYFUNCTION("IF(ISBLANK(H391),,IF(IFNA(MATCH(H391,SPLIT(Circuits!$S$2,"";""&amp;CHAR(10)),0),0),FALSE,TRUE))"),"")</f>
        <v/>
      </c>
      <c r="Q391" s="237" t="str">
        <f>IF(ISBLANK(H391),,IFNA(VLOOKUP(H391, Circuits!A:U, 21, FALSE),))</f>
        <v/>
      </c>
      <c r="R391" s="238" t="str">
        <f t="shared" si="7"/>
        <v/>
      </c>
      <c r="S391" s="237" t="str">
        <f>IF(ISBLANK(H391),,IFNA(VLOOKUP(H391, Circuits!A:V, 22, FALSE),))</f>
        <v/>
      </c>
      <c r="T391" s="237" t="str">
        <f>IF(ISBLANK(H391),,IFNA(VLOOKUP(H391, Circuits!A:X, 24, FALSE),))</f>
        <v/>
      </c>
      <c r="V391" s="236" t="str">
        <f>IFERROR(__xludf.DUMMYFUNCTION("IF(ISBLANK(H391),,JOIN("","",H391:T391))"),"")</f>
        <v/>
      </c>
      <c r="W391" s="229" t="str">
        <f t="shared" si="1"/>
        <v/>
      </c>
    </row>
    <row r="392">
      <c r="H392" s="237"/>
      <c r="I392" s="237" t="str">
        <f>IFERROR(__xludf.DUMMYFUNCTION("IF(ISBLANK(H392),,IFNA(""""""""&amp;JOIN("","",INDEX(FILTER(A:D,A:A=H392),0,4))&amp;"""""""",))"),"")</f>
        <v/>
      </c>
      <c r="J392" s="237" t="str">
        <f>IF(ISBLANK(H392),,IFNA(VLOOKUP(H392, Circuits!A:W, 23, FALSE),))</f>
        <v/>
      </c>
      <c r="K392" s="238" t="str">
        <f t="shared" si="2"/>
        <v/>
      </c>
      <c r="L392" s="238" t="str">
        <f t="shared" si="3"/>
        <v/>
      </c>
      <c r="M392" s="238" t="str">
        <f t="shared" si="4"/>
        <v/>
      </c>
      <c r="N392" s="238" t="str">
        <f t="shared" si="5"/>
        <v/>
      </c>
      <c r="O392" s="238" t="str">
        <f t="shared" si="6"/>
        <v/>
      </c>
      <c r="P392" s="237" t="str">
        <f>IFERROR(__xludf.DUMMYFUNCTION("IF(ISBLANK(H392),,IF(IFNA(MATCH(H392,SPLIT(Circuits!$S$2,"";""&amp;CHAR(10)),0),0),FALSE,TRUE))"),"")</f>
        <v/>
      </c>
      <c r="Q392" s="237" t="str">
        <f>IF(ISBLANK(H392),,IFNA(VLOOKUP(H392, Circuits!A:U, 21, FALSE),))</f>
        <v/>
      </c>
      <c r="R392" s="238" t="str">
        <f t="shared" si="7"/>
        <v/>
      </c>
      <c r="S392" s="237" t="str">
        <f>IF(ISBLANK(H392),,IFNA(VLOOKUP(H392, Circuits!A:V, 22, FALSE),))</f>
        <v/>
      </c>
      <c r="T392" s="237" t="str">
        <f>IF(ISBLANK(H392),,IFNA(VLOOKUP(H392, Circuits!A:X, 24, FALSE),))</f>
        <v/>
      </c>
      <c r="V392" s="236" t="str">
        <f>IFERROR(__xludf.DUMMYFUNCTION("IF(ISBLANK(H392),,JOIN("","",H392:T392))"),"")</f>
        <v/>
      </c>
      <c r="W392" s="229" t="str">
        <f t="shared" si="1"/>
        <v/>
      </c>
    </row>
    <row r="393">
      <c r="H393" s="237"/>
      <c r="I393" s="237" t="str">
        <f>IFERROR(__xludf.DUMMYFUNCTION("IF(ISBLANK(H393),,IFNA(""""""""&amp;JOIN("","",INDEX(FILTER(A:D,A:A=H393),0,4))&amp;"""""""",))"),"")</f>
        <v/>
      </c>
      <c r="J393" s="237" t="str">
        <f>IF(ISBLANK(H393),,IFNA(VLOOKUP(H393, Circuits!A:W, 23, FALSE),))</f>
        <v/>
      </c>
      <c r="K393" s="238" t="str">
        <f t="shared" si="2"/>
        <v/>
      </c>
      <c r="L393" s="238" t="str">
        <f t="shared" si="3"/>
        <v/>
      </c>
      <c r="M393" s="238" t="str">
        <f t="shared" si="4"/>
        <v/>
      </c>
      <c r="N393" s="238" t="str">
        <f t="shared" si="5"/>
        <v/>
      </c>
      <c r="O393" s="238" t="str">
        <f t="shared" si="6"/>
        <v/>
      </c>
      <c r="P393" s="237" t="str">
        <f>IFERROR(__xludf.DUMMYFUNCTION("IF(ISBLANK(H393),,IF(IFNA(MATCH(H393,SPLIT(Circuits!$S$2,"";""&amp;CHAR(10)),0),0),FALSE,TRUE))"),"")</f>
        <v/>
      </c>
      <c r="Q393" s="237" t="str">
        <f>IF(ISBLANK(H393),,IFNA(VLOOKUP(H393, Circuits!A:U, 21, FALSE),))</f>
        <v/>
      </c>
      <c r="R393" s="238" t="str">
        <f t="shared" si="7"/>
        <v/>
      </c>
      <c r="S393" s="237" t="str">
        <f>IF(ISBLANK(H393),,IFNA(VLOOKUP(H393, Circuits!A:V, 22, FALSE),))</f>
        <v/>
      </c>
      <c r="T393" s="237" t="str">
        <f>IF(ISBLANK(H393),,IFNA(VLOOKUP(H393, Circuits!A:X, 24, FALSE),))</f>
        <v/>
      </c>
      <c r="V393" s="236" t="str">
        <f>IFERROR(__xludf.DUMMYFUNCTION("IF(ISBLANK(H393),,JOIN("","",H393:T393))"),"")</f>
        <v/>
      </c>
      <c r="W393" s="229" t="str">
        <f t="shared" si="1"/>
        <v/>
      </c>
    </row>
    <row r="394">
      <c r="H394" s="237"/>
      <c r="I394" s="237" t="str">
        <f>IFERROR(__xludf.DUMMYFUNCTION("IF(ISBLANK(H394),,IFNA(""""""""&amp;JOIN("","",INDEX(FILTER(A:D,A:A=H394),0,4))&amp;"""""""",))"),"")</f>
        <v/>
      </c>
      <c r="J394" s="237" t="str">
        <f>IF(ISBLANK(H394),,IFNA(VLOOKUP(H394, Circuits!A:W, 23, FALSE),))</f>
        <v/>
      </c>
      <c r="K394" s="238" t="str">
        <f t="shared" si="2"/>
        <v/>
      </c>
      <c r="L394" s="238" t="str">
        <f t="shared" si="3"/>
        <v/>
      </c>
      <c r="M394" s="238" t="str">
        <f t="shared" si="4"/>
        <v/>
      </c>
      <c r="N394" s="238" t="str">
        <f t="shared" si="5"/>
        <v/>
      </c>
      <c r="O394" s="238" t="str">
        <f t="shared" si="6"/>
        <v/>
      </c>
      <c r="P394" s="237" t="str">
        <f>IFERROR(__xludf.DUMMYFUNCTION("IF(ISBLANK(H394),,IF(IFNA(MATCH(H394,SPLIT(Circuits!$S$2,"";""&amp;CHAR(10)),0),0),FALSE,TRUE))"),"")</f>
        <v/>
      </c>
      <c r="Q394" s="237" t="str">
        <f>IF(ISBLANK(H394),,IFNA(VLOOKUP(H394, Circuits!A:U, 21, FALSE),))</f>
        <v/>
      </c>
      <c r="R394" s="238" t="str">
        <f t="shared" si="7"/>
        <v/>
      </c>
      <c r="S394" s="237" t="str">
        <f>IF(ISBLANK(H394),,IFNA(VLOOKUP(H394, Circuits!A:V, 22, FALSE),))</f>
        <v/>
      </c>
      <c r="T394" s="237" t="str">
        <f>IF(ISBLANK(H394),,IFNA(VLOOKUP(H394, Circuits!A:X, 24, FALSE),))</f>
        <v/>
      </c>
      <c r="V394" s="236" t="str">
        <f>IFERROR(__xludf.DUMMYFUNCTION("IF(ISBLANK(H394),,JOIN("","",H394:T394))"),"")</f>
        <v/>
      </c>
      <c r="W394" s="229" t="str">
        <f t="shared" si="1"/>
        <v/>
      </c>
    </row>
    <row r="395">
      <c r="H395" s="237"/>
      <c r="I395" s="237" t="str">
        <f>IFERROR(__xludf.DUMMYFUNCTION("IF(ISBLANK(H395),,IFNA(""""""""&amp;JOIN("","",INDEX(FILTER(A:D,A:A=H395),0,4))&amp;"""""""",))"),"")</f>
        <v/>
      </c>
      <c r="J395" s="237" t="str">
        <f>IF(ISBLANK(H395),,IFNA(VLOOKUP(H395, Circuits!A:W, 23, FALSE),))</f>
        <v/>
      </c>
      <c r="K395" s="238" t="str">
        <f t="shared" si="2"/>
        <v/>
      </c>
      <c r="L395" s="238" t="str">
        <f t="shared" si="3"/>
        <v/>
      </c>
      <c r="M395" s="238" t="str">
        <f t="shared" si="4"/>
        <v/>
      </c>
      <c r="N395" s="238" t="str">
        <f t="shared" si="5"/>
        <v/>
      </c>
      <c r="O395" s="238" t="str">
        <f t="shared" si="6"/>
        <v/>
      </c>
      <c r="P395" s="237" t="str">
        <f>IFERROR(__xludf.DUMMYFUNCTION("IF(ISBLANK(H395),,IF(IFNA(MATCH(H395,SPLIT(Circuits!$S$2,"";""&amp;CHAR(10)),0),0),FALSE,TRUE))"),"")</f>
        <v/>
      </c>
      <c r="Q395" s="237" t="str">
        <f>IF(ISBLANK(H395),,IFNA(VLOOKUP(H395, Circuits!A:U, 21, FALSE),))</f>
        <v/>
      </c>
      <c r="R395" s="238" t="str">
        <f t="shared" si="7"/>
        <v/>
      </c>
      <c r="S395" s="237" t="str">
        <f>IF(ISBLANK(H395),,IFNA(VLOOKUP(H395, Circuits!A:V, 22, FALSE),))</f>
        <v/>
      </c>
      <c r="T395" s="237" t="str">
        <f>IF(ISBLANK(H395),,IFNA(VLOOKUP(H395, Circuits!A:X, 24, FALSE),))</f>
        <v/>
      </c>
      <c r="V395" s="236" t="str">
        <f>IFERROR(__xludf.DUMMYFUNCTION("IF(ISBLANK(H395),,JOIN("","",H395:T395))"),"")</f>
        <v/>
      </c>
      <c r="W395" s="229" t="str">
        <f t="shared" si="1"/>
        <v/>
      </c>
    </row>
    <row r="396">
      <c r="H396" s="237"/>
      <c r="I396" s="237" t="str">
        <f>IFERROR(__xludf.DUMMYFUNCTION("IF(ISBLANK(H396),,IFNA(""""""""&amp;JOIN("","",INDEX(FILTER(A:D,A:A=H396),0,4))&amp;"""""""",))"),"")</f>
        <v/>
      </c>
      <c r="J396" s="237" t="str">
        <f>IF(ISBLANK(H396),,IFNA(VLOOKUP(H396, Circuits!A:W, 23, FALSE),))</f>
        <v/>
      </c>
      <c r="K396" s="238" t="str">
        <f t="shared" si="2"/>
        <v/>
      </c>
      <c r="L396" s="238" t="str">
        <f t="shared" si="3"/>
        <v/>
      </c>
      <c r="M396" s="238" t="str">
        <f t="shared" si="4"/>
        <v/>
      </c>
      <c r="N396" s="238" t="str">
        <f t="shared" si="5"/>
        <v/>
      </c>
      <c r="O396" s="238" t="str">
        <f t="shared" si="6"/>
        <v/>
      </c>
      <c r="P396" s="237" t="str">
        <f>IFERROR(__xludf.DUMMYFUNCTION("IF(ISBLANK(H396),,IF(IFNA(MATCH(H396,SPLIT(Circuits!$S$2,"";""&amp;CHAR(10)),0),0),FALSE,TRUE))"),"")</f>
        <v/>
      </c>
      <c r="Q396" s="237" t="str">
        <f>IF(ISBLANK(H396),,IFNA(VLOOKUP(H396, Circuits!A:U, 21, FALSE),))</f>
        <v/>
      </c>
      <c r="R396" s="238" t="str">
        <f t="shared" si="7"/>
        <v/>
      </c>
      <c r="S396" s="237" t="str">
        <f>IF(ISBLANK(H396),,IFNA(VLOOKUP(H396, Circuits!A:V, 22, FALSE),))</f>
        <v/>
      </c>
      <c r="T396" s="237" t="str">
        <f>IF(ISBLANK(H396),,IFNA(VLOOKUP(H396, Circuits!A:X, 24, FALSE),))</f>
        <v/>
      </c>
      <c r="V396" s="236" t="str">
        <f>IFERROR(__xludf.DUMMYFUNCTION("IF(ISBLANK(H396),,JOIN("","",H396:T396))"),"")</f>
        <v/>
      </c>
      <c r="W396" s="229" t="str">
        <f t="shared" si="1"/>
        <v/>
      </c>
    </row>
    <row r="397">
      <c r="H397" s="237"/>
      <c r="I397" s="237" t="str">
        <f>IFERROR(__xludf.DUMMYFUNCTION("IF(ISBLANK(H397),,IFNA(""""""""&amp;JOIN("","",INDEX(FILTER(A:D,A:A=H397),0,4))&amp;"""""""",))"),"")</f>
        <v/>
      </c>
      <c r="J397" s="237" t="str">
        <f>IF(ISBLANK(H397),,IFNA(VLOOKUP(H397, Circuits!A:W, 23, FALSE),))</f>
        <v/>
      </c>
      <c r="K397" s="238" t="str">
        <f t="shared" si="2"/>
        <v/>
      </c>
      <c r="L397" s="238" t="str">
        <f t="shared" si="3"/>
        <v/>
      </c>
      <c r="M397" s="238" t="str">
        <f t="shared" si="4"/>
        <v/>
      </c>
      <c r="N397" s="238" t="str">
        <f t="shared" si="5"/>
        <v/>
      </c>
      <c r="O397" s="238" t="str">
        <f t="shared" si="6"/>
        <v/>
      </c>
      <c r="P397" s="237" t="str">
        <f>IFERROR(__xludf.DUMMYFUNCTION("IF(ISBLANK(H397),,IF(IFNA(MATCH(H397,SPLIT(Circuits!$S$2,"";""&amp;CHAR(10)),0),0),FALSE,TRUE))"),"")</f>
        <v/>
      </c>
      <c r="Q397" s="237" t="str">
        <f>IF(ISBLANK(H397),,IFNA(VLOOKUP(H397, Circuits!A:U, 21, FALSE),))</f>
        <v/>
      </c>
      <c r="R397" s="238" t="str">
        <f t="shared" si="7"/>
        <v/>
      </c>
      <c r="S397" s="237" t="str">
        <f>IF(ISBLANK(H397),,IFNA(VLOOKUP(H397, Circuits!A:V, 22, FALSE),))</f>
        <v/>
      </c>
      <c r="T397" s="237" t="str">
        <f>IF(ISBLANK(H397),,IFNA(VLOOKUP(H397, Circuits!A:X, 24, FALSE),))</f>
        <v/>
      </c>
      <c r="V397" s="236" t="str">
        <f>IFERROR(__xludf.DUMMYFUNCTION("IF(ISBLANK(H397),,JOIN("","",H397:T397))"),"")</f>
        <v/>
      </c>
      <c r="W397" s="229" t="str">
        <f t="shared" si="1"/>
        <v/>
      </c>
    </row>
    <row r="398">
      <c r="H398" s="237"/>
      <c r="I398" s="237" t="str">
        <f>IFERROR(__xludf.DUMMYFUNCTION("IF(ISBLANK(H398),,IFNA(""""""""&amp;JOIN("","",INDEX(FILTER(A:D,A:A=H398),0,4))&amp;"""""""",))"),"")</f>
        <v/>
      </c>
      <c r="J398" s="237" t="str">
        <f>IF(ISBLANK(H398),,IFNA(VLOOKUP(H398, Circuits!A:W, 23, FALSE),))</f>
        <v/>
      </c>
      <c r="K398" s="238" t="str">
        <f t="shared" si="2"/>
        <v/>
      </c>
      <c r="L398" s="238" t="str">
        <f t="shared" si="3"/>
        <v/>
      </c>
      <c r="M398" s="238" t="str">
        <f t="shared" si="4"/>
        <v/>
      </c>
      <c r="N398" s="238" t="str">
        <f t="shared" si="5"/>
        <v/>
      </c>
      <c r="O398" s="238" t="str">
        <f t="shared" si="6"/>
        <v/>
      </c>
      <c r="P398" s="237" t="str">
        <f>IFERROR(__xludf.DUMMYFUNCTION("IF(ISBLANK(H398),,IF(IFNA(MATCH(H398,SPLIT(Circuits!$S$2,"";""&amp;CHAR(10)),0),0),FALSE,TRUE))"),"")</f>
        <v/>
      </c>
      <c r="Q398" s="237" t="str">
        <f>IF(ISBLANK(H398),,IFNA(VLOOKUP(H398, Circuits!A:U, 21, FALSE),))</f>
        <v/>
      </c>
      <c r="R398" s="238" t="str">
        <f t="shared" si="7"/>
        <v/>
      </c>
      <c r="S398" s="237" t="str">
        <f>IF(ISBLANK(H398),,IFNA(VLOOKUP(H398, Circuits!A:V, 22, FALSE),))</f>
        <v/>
      </c>
      <c r="T398" s="237" t="str">
        <f>IF(ISBLANK(H398),,IFNA(VLOOKUP(H398, Circuits!A:X, 24, FALSE),))</f>
        <v/>
      </c>
      <c r="V398" s="236" t="str">
        <f>IFERROR(__xludf.DUMMYFUNCTION("IF(ISBLANK(H398),,JOIN("","",H398:T398))"),"")</f>
        <v/>
      </c>
      <c r="W398" s="229" t="str">
        <f t="shared" si="1"/>
        <v/>
      </c>
    </row>
    <row r="399">
      <c r="H399" s="237"/>
      <c r="I399" s="237" t="str">
        <f>IFERROR(__xludf.DUMMYFUNCTION("IF(ISBLANK(H399),,IFNA(""""""""&amp;JOIN("","",INDEX(FILTER(A:D,A:A=H399),0,4))&amp;"""""""",))"),"")</f>
        <v/>
      </c>
      <c r="J399" s="237" t="str">
        <f>IF(ISBLANK(H399),,IFNA(VLOOKUP(H399, Circuits!A:W, 23, FALSE),))</f>
        <v/>
      </c>
      <c r="K399" s="238" t="str">
        <f t="shared" si="2"/>
        <v/>
      </c>
      <c r="L399" s="238" t="str">
        <f t="shared" si="3"/>
        <v/>
      </c>
      <c r="M399" s="238" t="str">
        <f t="shared" si="4"/>
        <v/>
      </c>
      <c r="N399" s="238" t="str">
        <f t="shared" si="5"/>
        <v/>
      </c>
      <c r="O399" s="238" t="str">
        <f t="shared" si="6"/>
        <v/>
      </c>
      <c r="P399" s="237" t="str">
        <f>IFERROR(__xludf.DUMMYFUNCTION("IF(ISBLANK(H399),,IF(IFNA(MATCH(H399,SPLIT(Circuits!$S$2,"";""&amp;CHAR(10)),0),0),FALSE,TRUE))"),"")</f>
        <v/>
      </c>
      <c r="Q399" s="237" t="str">
        <f>IF(ISBLANK(H399),,IFNA(VLOOKUP(H399, Circuits!A:U, 21, FALSE),))</f>
        <v/>
      </c>
      <c r="R399" s="238" t="str">
        <f t="shared" si="7"/>
        <v/>
      </c>
      <c r="S399" s="237" t="str">
        <f>IF(ISBLANK(H399),,IFNA(VLOOKUP(H399, Circuits!A:V, 22, FALSE),))</f>
        <v/>
      </c>
      <c r="T399" s="237" t="str">
        <f>IF(ISBLANK(H399),,IFNA(VLOOKUP(H399, Circuits!A:X, 24, FALSE),))</f>
        <v/>
      </c>
      <c r="V399" s="236" t="str">
        <f>IFERROR(__xludf.DUMMYFUNCTION("IF(ISBLANK(H399),,JOIN("","",H399:T399))"),"")</f>
        <v/>
      </c>
      <c r="W399" s="229" t="str">
        <f t="shared" si="1"/>
        <v/>
      </c>
    </row>
    <row r="400">
      <c r="H400" s="237"/>
      <c r="I400" s="237" t="str">
        <f>IFERROR(__xludf.DUMMYFUNCTION("IF(ISBLANK(H400),,IFNA(""""""""&amp;JOIN("","",INDEX(FILTER(A:D,A:A=H400),0,4))&amp;"""""""",))"),"")</f>
        <v/>
      </c>
      <c r="J400" s="237" t="str">
        <f>IF(ISBLANK(H400),,IFNA(VLOOKUP(H400, Circuits!A:W, 23, FALSE),))</f>
        <v/>
      </c>
      <c r="K400" s="238" t="str">
        <f t="shared" si="2"/>
        <v/>
      </c>
      <c r="L400" s="238" t="str">
        <f t="shared" si="3"/>
        <v/>
      </c>
      <c r="M400" s="238" t="str">
        <f t="shared" si="4"/>
        <v/>
      </c>
      <c r="N400" s="238" t="str">
        <f t="shared" si="5"/>
        <v/>
      </c>
      <c r="O400" s="238" t="str">
        <f t="shared" si="6"/>
        <v/>
      </c>
      <c r="P400" s="237" t="str">
        <f>IFERROR(__xludf.DUMMYFUNCTION("IF(ISBLANK(H400),,IF(IFNA(MATCH(H400,SPLIT(Circuits!$S$2,"";""&amp;CHAR(10)),0),0),FALSE,TRUE))"),"")</f>
        <v/>
      </c>
      <c r="Q400" s="237" t="str">
        <f>IF(ISBLANK(H400),,IFNA(VLOOKUP(H400, Circuits!A:U, 21, FALSE),))</f>
        <v/>
      </c>
      <c r="R400" s="238" t="str">
        <f t="shared" si="7"/>
        <v/>
      </c>
      <c r="S400" s="237" t="str">
        <f>IF(ISBLANK(H400),,IFNA(VLOOKUP(H400, Circuits!A:V, 22, FALSE),))</f>
        <v/>
      </c>
      <c r="T400" s="237" t="str">
        <f>IF(ISBLANK(H400),,IFNA(VLOOKUP(H400, Circuits!A:X, 24, FALSE),))</f>
        <v/>
      </c>
      <c r="V400" s="236" t="str">
        <f>IFERROR(__xludf.DUMMYFUNCTION("IF(ISBLANK(H400),,JOIN("","",H400:T400))"),"")</f>
        <v/>
      </c>
      <c r="W400" s="229" t="str">
        <f t="shared" si="1"/>
        <v/>
      </c>
    </row>
    <row r="401">
      <c r="H401" s="237"/>
      <c r="I401" s="237" t="str">
        <f>IFERROR(__xludf.DUMMYFUNCTION("IF(ISBLANK(H401),,IFNA(""""""""&amp;JOIN("","",INDEX(FILTER(A:D,A:A=H401),0,4))&amp;"""""""",))"),"")</f>
        <v/>
      </c>
      <c r="J401" s="237" t="str">
        <f>IF(ISBLANK(H401),,IFNA(VLOOKUP(H401, Circuits!A:W, 23, FALSE),))</f>
        <v/>
      </c>
      <c r="K401" s="238" t="str">
        <f t="shared" si="2"/>
        <v/>
      </c>
      <c r="L401" s="238" t="str">
        <f t="shared" si="3"/>
        <v/>
      </c>
      <c r="M401" s="238" t="str">
        <f t="shared" si="4"/>
        <v/>
      </c>
      <c r="N401" s="238" t="str">
        <f t="shared" si="5"/>
        <v/>
      </c>
      <c r="O401" s="238" t="str">
        <f t="shared" si="6"/>
        <v/>
      </c>
      <c r="P401" s="237" t="str">
        <f>IFERROR(__xludf.DUMMYFUNCTION("IF(ISBLANK(H401),,IF(IFNA(MATCH(H401,SPLIT(Circuits!$S$2,"";""&amp;CHAR(10)),0),0),FALSE,TRUE))"),"")</f>
        <v/>
      </c>
      <c r="Q401" s="237" t="str">
        <f>IF(ISBLANK(H401),,IFNA(VLOOKUP(H401, Circuits!A:U, 21, FALSE),))</f>
        <v/>
      </c>
      <c r="R401" s="238" t="str">
        <f t="shared" si="7"/>
        <v/>
      </c>
      <c r="S401" s="237" t="str">
        <f>IF(ISBLANK(H401),,IFNA(VLOOKUP(H401, Circuits!A:V, 22, FALSE),))</f>
        <v/>
      </c>
      <c r="T401" s="237" t="str">
        <f>IF(ISBLANK(H401),,IFNA(VLOOKUP(H401, Circuits!A:X, 24, FALSE),))</f>
        <v/>
      </c>
      <c r="V401" s="236" t="str">
        <f>IFERROR(__xludf.DUMMYFUNCTION("IF(ISBLANK(H401),,JOIN("","",H401:T401))"),"")</f>
        <v/>
      </c>
      <c r="W401" s="229" t="str">
        <f t="shared" si="1"/>
        <v/>
      </c>
    </row>
    <row r="402">
      <c r="H402" s="237"/>
      <c r="I402" s="237" t="str">
        <f>IFERROR(__xludf.DUMMYFUNCTION("IF(ISBLANK(H402),,IFNA(""""""""&amp;JOIN("","",INDEX(FILTER(A:D,A:A=H402),0,4))&amp;"""""""",))"),"")</f>
        <v/>
      </c>
      <c r="J402" s="237" t="str">
        <f>IF(ISBLANK(H402),,IFNA(VLOOKUP(H402, Circuits!A:W, 23, FALSE),))</f>
        <v/>
      </c>
      <c r="K402" s="238" t="str">
        <f t="shared" si="2"/>
        <v/>
      </c>
      <c r="L402" s="238" t="str">
        <f t="shared" si="3"/>
        <v/>
      </c>
      <c r="M402" s="238" t="str">
        <f t="shared" si="4"/>
        <v/>
      </c>
      <c r="N402" s="238" t="str">
        <f t="shared" si="5"/>
        <v/>
      </c>
      <c r="O402" s="238" t="str">
        <f t="shared" si="6"/>
        <v/>
      </c>
      <c r="P402" s="237" t="str">
        <f>IFERROR(__xludf.DUMMYFUNCTION("IF(ISBLANK(H402),,IF(IFNA(MATCH(H402,SPLIT(Circuits!$S$2,"";""&amp;CHAR(10)),0),0),FALSE,TRUE))"),"")</f>
        <v/>
      </c>
      <c r="Q402" s="237" t="str">
        <f>IF(ISBLANK(H402),,IFNA(VLOOKUP(H402, Circuits!A:U, 21, FALSE),))</f>
        <v/>
      </c>
      <c r="R402" s="238" t="str">
        <f t="shared" si="7"/>
        <v/>
      </c>
      <c r="S402" s="237" t="str">
        <f>IF(ISBLANK(H402),,IFNA(VLOOKUP(H402, Circuits!A:V, 22, FALSE),))</f>
        <v/>
      </c>
      <c r="T402" s="237" t="str">
        <f>IF(ISBLANK(H402),,IFNA(VLOOKUP(H402, Circuits!A:X, 24, FALSE),))</f>
        <v/>
      </c>
      <c r="V402" s="236" t="str">
        <f>IFERROR(__xludf.DUMMYFUNCTION("IF(ISBLANK(H402),,JOIN("","",H402:T402))"),"")</f>
        <v/>
      </c>
      <c r="W402" s="229" t="str">
        <f t="shared" si="1"/>
        <v/>
      </c>
    </row>
    <row r="403">
      <c r="H403" s="237"/>
      <c r="I403" s="237" t="str">
        <f>IFERROR(__xludf.DUMMYFUNCTION("IF(ISBLANK(H403),,IFNA(""""""""&amp;JOIN("","",INDEX(FILTER(A:D,A:A=H403),0,4))&amp;"""""""",))"),"")</f>
        <v/>
      </c>
      <c r="J403" s="237" t="str">
        <f>IF(ISBLANK(H403),,IFNA(VLOOKUP(H403, Circuits!A:W, 23, FALSE),))</f>
        <v/>
      </c>
      <c r="K403" s="238" t="str">
        <f t="shared" si="2"/>
        <v/>
      </c>
      <c r="L403" s="238" t="str">
        <f t="shared" si="3"/>
        <v/>
      </c>
      <c r="M403" s="238" t="str">
        <f t="shared" si="4"/>
        <v/>
      </c>
      <c r="N403" s="238" t="str">
        <f t="shared" si="5"/>
        <v/>
      </c>
      <c r="O403" s="238" t="str">
        <f t="shared" si="6"/>
        <v/>
      </c>
      <c r="P403" s="237" t="str">
        <f>IFERROR(__xludf.DUMMYFUNCTION("IF(ISBLANK(H403),,IF(IFNA(MATCH(H403,SPLIT(Circuits!$S$2,"";""&amp;CHAR(10)),0),0),FALSE,TRUE))"),"")</f>
        <v/>
      </c>
      <c r="Q403" s="237" t="str">
        <f>IF(ISBLANK(H403),,IFNA(VLOOKUP(H403, Circuits!A:U, 21, FALSE),))</f>
        <v/>
      </c>
      <c r="R403" s="238" t="str">
        <f t="shared" si="7"/>
        <v/>
      </c>
      <c r="S403" s="237" t="str">
        <f>IF(ISBLANK(H403),,IFNA(VLOOKUP(H403, Circuits!A:V, 22, FALSE),))</f>
        <v/>
      </c>
      <c r="T403" s="237" t="str">
        <f>IF(ISBLANK(H403),,IFNA(VLOOKUP(H403, Circuits!A:X, 24, FALSE),))</f>
        <v/>
      </c>
      <c r="V403" s="236" t="str">
        <f>IFERROR(__xludf.DUMMYFUNCTION("IF(ISBLANK(H403),,JOIN("","",H403:T403))"),"")</f>
        <v/>
      </c>
      <c r="W403" s="229" t="str">
        <f t="shared" si="1"/>
        <v/>
      </c>
    </row>
    <row r="404">
      <c r="H404" s="237"/>
      <c r="I404" s="237" t="str">
        <f>IFERROR(__xludf.DUMMYFUNCTION("IF(ISBLANK(H404),,IFNA(""""""""&amp;JOIN("","",INDEX(FILTER(A:D,A:A=H404),0,4))&amp;"""""""",))"),"")</f>
        <v/>
      </c>
      <c r="J404" s="237" t="str">
        <f>IF(ISBLANK(H404),,IFNA(VLOOKUP(H404, Circuits!A:W, 23, FALSE),))</f>
        <v/>
      </c>
      <c r="K404" s="238" t="str">
        <f t="shared" si="2"/>
        <v/>
      </c>
      <c r="L404" s="238" t="str">
        <f t="shared" si="3"/>
        <v/>
      </c>
      <c r="M404" s="238" t="str">
        <f t="shared" si="4"/>
        <v/>
      </c>
      <c r="N404" s="238" t="str">
        <f t="shared" si="5"/>
        <v/>
      </c>
      <c r="O404" s="238" t="str">
        <f t="shared" si="6"/>
        <v/>
      </c>
      <c r="P404" s="237" t="str">
        <f>IFERROR(__xludf.DUMMYFUNCTION("IF(ISBLANK(H404),,IF(IFNA(MATCH(H404,SPLIT(Circuits!$S$2,"";""&amp;CHAR(10)),0),0),FALSE,TRUE))"),"")</f>
        <v/>
      </c>
      <c r="Q404" s="237" t="str">
        <f>IF(ISBLANK(H404),,IFNA(VLOOKUP(H404, Circuits!A:U, 21, FALSE),))</f>
        <v/>
      </c>
      <c r="R404" s="238" t="str">
        <f t="shared" si="7"/>
        <v/>
      </c>
      <c r="S404" s="237" t="str">
        <f>IF(ISBLANK(H404),,IFNA(VLOOKUP(H404, Circuits!A:V, 22, FALSE),))</f>
        <v/>
      </c>
      <c r="T404" s="237" t="str">
        <f>IF(ISBLANK(H404),,IFNA(VLOOKUP(H404, Circuits!A:X, 24, FALSE),))</f>
        <v/>
      </c>
      <c r="V404" s="236" t="str">
        <f>IFERROR(__xludf.DUMMYFUNCTION("IF(ISBLANK(H404),,JOIN("","",H404:T404))"),"")</f>
        <v/>
      </c>
      <c r="W404" s="229" t="str">
        <f t="shared" si="1"/>
        <v/>
      </c>
    </row>
    <row r="405">
      <c r="H405" s="237"/>
      <c r="I405" s="237" t="str">
        <f>IFERROR(__xludf.DUMMYFUNCTION("IF(ISBLANK(H405),,IFNA(""""""""&amp;JOIN("","",INDEX(FILTER(A:D,A:A=H405),0,4))&amp;"""""""",))"),"")</f>
        <v/>
      </c>
      <c r="J405" s="237" t="str">
        <f>IF(ISBLANK(H405),,IFNA(VLOOKUP(H405, Circuits!A:W, 23, FALSE),))</f>
        <v/>
      </c>
      <c r="K405" s="238" t="str">
        <f t="shared" si="2"/>
        <v/>
      </c>
      <c r="L405" s="238" t="str">
        <f t="shared" si="3"/>
        <v/>
      </c>
      <c r="M405" s="238" t="str">
        <f t="shared" si="4"/>
        <v/>
      </c>
      <c r="N405" s="238" t="str">
        <f t="shared" si="5"/>
        <v/>
      </c>
      <c r="O405" s="238" t="str">
        <f t="shared" si="6"/>
        <v/>
      </c>
      <c r="P405" s="237" t="str">
        <f>IFERROR(__xludf.DUMMYFUNCTION("IF(ISBLANK(H405),,IF(IFNA(MATCH(H405,SPLIT(Circuits!$S$2,"";""&amp;CHAR(10)),0),0),FALSE,TRUE))"),"")</f>
        <v/>
      </c>
      <c r="Q405" s="237" t="str">
        <f>IF(ISBLANK(H405),,IFNA(VLOOKUP(H405, Circuits!A:U, 21, FALSE),))</f>
        <v/>
      </c>
      <c r="R405" s="238" t="str">
        <f t="shared" si="7"/>
        <v/>
      </c>
      <c r="S405" s="237" t="str">
        <f>IF(ISBLANK(H405),,IFNA(VLOOKUP(H405, Circuits!A:V, 22, FALSE),))</f>
        <v/>
      </c>
      <c r="T405" s="237" t="str">
        <f>IF(ISBLANK(H405),,IFNA(VLOOKUP(H405, Circuits!A:X, 24, FALSE),))</f>
        <v/>
      </c>
      <c r="V405" s="236" t="str">
        <f>IFERROR(__xludf.DUMMYFUNCTION("IF(ISBLANK(H405),,JOIN("","",H405:T405))"),"")</f>
        <v/>
      </c>
      <c r="W405" s="229" t="str">
        <f t="shared" si="1"/>
        <v/>
      </c>
    </row>
    <row r="406">
      <c r="H406" s="237"/>
      <c r="I406" s="237" t="str">
        <f>IFERROR(__xludf.DUMMYFUNCTION("IF(ISBLANK(H406),,IFNA(""""""""&amp;JOIN("","",INDEX(FILTER(A:D,A:A=H406),0,4))&amp;"""""""",))"),"")</f>
        <v/>
      </c>
      <c r="J406" s="237" t="str">
        <f>IF(ISBLANK(H406),,IFNA(VLOOKUP(H406, Circuits!A:W, 23, FALSE),))</f>
        <v/>
      </c>
      <c r="K406" s="238" t="str">
        <f t="shared" si="2"/>
        <v/>
      </c>
      <c r="L406" s="238" t="str">
        <f t="shared" si="3"/>
        <v/>
      </c>
      <c r="M406" s="238" t="str">
        <f t="shared" si="4"/>
        <v/>
      </c>
      <c r="N406" s="238" t="str">
        <f t="shared" si="5"/>
        <v/>
      </c>
      <c r="O406" s="238" t="str">
        <f t="shared" si="6"/>
        <v/>
      </c>
      <c r="P406" s="237" t="str">
        <f>IFERROR(__xludf.DUMMYFUNCTION("IF(ISBLANK(H406),,IF(IFNA(MATCH(H406,SPLIT(Circuits!$S$2,"";""&amp;CHAR(10)),0),0),FALSE,TRUE))"),"")</f>
        <v/>
      </c>
      <c r="Q406" s="237" t="str">
        <f>IF(ISBLANK(H406),,IFNA(VLOOKUP(H406, Circuits!A:U, 21, FALSE),))</f>
        <v/>
      </c>
      <c r="R406" s="238" t="str">
        <f t="shared" si="7"/>
        <v/>
      </c>
      <c r="S406" s="237" t="str">
        <f>IF(ISBLANK(H406),,IFNA(VLOOKUP(H406, Circuits!A:V, 22, FALSE),))</f>
        <v/>
      </c>
      <c r="T406" s="237" t="str">
        <f>IF(ISBLANK(H406),,IFNA(VLOOKUP(H406, Circuits!A:X, 24, FALSE),))</f>
        <v/>
      </c>
      <c r="V406" s="236" t="str">
        <f>IFERROR(__xludf.DUMMYFUNCTION("IF(ISBLANK(H406),,JOIN("","",H406:T406))"),"")</f>
        <v/>
      </c>
      <c r="W406" s="229" t="str">
        <f t="shared" si="1"/>
        <v/>
      </c>
    </row>
    <row r="407">
      <c r="H407" s="237"/>
      <c r="I407" s="237" t="str">
        <f>IFERROR(__xludf.DUMMYFUNCTION("IF(ISBLANK(H407),,IFNA(""""""""&amp;JOIN("","",INDEX(FILTER(A:D,A:A=H407),0,4))&amp;"""""""",))"),"")</f>
        <v/>
      </c>
      <c r="J407" s="237" t="str">
        <f>IF(ISBLANK(H407),,IFNA(VLOOKUP(H407, Circuits!A:W, 23, FALSE),))</f>
        <v/>
      </c>
      <c r="K407" s="238" t="str">
        <f t="shared" si="2"/>
        <v/>
      </c>
      <c r="L407" s="238" t="str">
        <f t="shared" si="3"/>
        <v/>
      </c>
      <c r="M407" s="238" t="str">
        <f t="shared" si="4"/>
        <v/>
      </c>
      <c r="N407" s="238" t="str">
        <f t="shared" si="5"/>
        <v/>
      </c>
      <c r="O407" s="238" t="str">
        <f t="shared" si="6"/>
        <v/>
      </c>
      <c r="P407" s="237" t="str">
        <f>IFERROR(__xludf.DUMMYFUNCTION("IF(ISBLANK(H407),,IF(IFNA(MATCH(H407,SPLIT(Circuits!$S$2,"";""&amp;CHAR(10)),0),0),FALSE,TRUE))"),"")</f>
        <v/>
      </c>
      <c r="Q407" s="237" t="str">
        <f>IF(ISBLANK(H407),,IFNA(VLOOKUP(H407, Circuits!A:U, 21, FALSE),))</f>
        <v/>
      </c>
      <c r="R407" s="238" t="str">
        <f t="shared" si="7"/>
        <v/>
      </c>
      <c r="S407" s="237" t="str">
        <f>IF(ISBLANK(H407),,IFNA(VLOOKUP(H407, Circuits!A:V, 22, FALSE),))</f>
        <v/>
      </c>
      <c r="T407" s="237" t="str">
        <f>IF(ISBLANK(H407),,IFNA(VLOOKUP(H407, Circuits!A:X, 24, FALSE),))</f>
        <v/>
      </c>
      <c r="V407" s="236" t="str">
        <f>IFERROR(__xludf.DUMMYFUNCTION("IF(ISBLANK(H407),,JOIN("","",H407:T407))"),"")</f>
        <v/>
      </c>
      <c r="W407" s="229" t="str">
        <f t="shared" si="1"/>
        <v/>
      </c>
    </row>
    <row r="408">
      <c r="H408" s="237"/>
      <c r="I408" s="237" t="str">
        <f>IFERROR(__xludf.DUMMYFUNCTION("IF(ISBLANK(H408),,IFNA(""""""""&amp;JOIN("","",INDEX(FILTER(A:D,A:A=H408),0,4))&amp;"""""""",))"),"")</f>
        <v/>
      </c>
      <c r="J408" s="237" t="str">
        <f>IF(ISBLANK(H408),,IFNA(VLOOKUP(H408, Circuits!A:W, 23, FALSE),))</f>
        <v/>
      </c>
      <c r="K408" s="238" t="str">
        <f t="shared" si="2"/>
        <v/>
      </c>
      <c r="L408" s="238" t="str">
        <f t="shared" si="3"/>
        <v/>
      </c>
      <c r="M408" s="238" t="str">
        <f t="shared" si="4"/>
        <v/>
      </c>
      <c r="N408" s="238" t="str">
        <f t="shared" si="5"/>
        <v/>
      </c>
      <c r="O408" s="238" t="str">
        <f t="shared" si="6"/>
        <v/>
      </c>
      <c r="P408" s="237" t="str">
        <f>IFERROR(__xludf.DUMMYFUNCTION("IF(ISBLANK(H408),,IF(IFNA(MATCH(H408,SPLIT(Circuits!$S$2,"";""&amp;CHAR(10)),0),0),FALSE,TRUE))"),"")</f>
        <v/>
      </c>
      <c r="Q408" s="237" t="str">
        <f>IF(ISBLANK(H408),,IFNA(VLOOKUP(H408, Circuits!A:U, 21, FALSE),))</f>
        <v/>
      </c>
      <c r="R408" s="238" t="str">
        <f t="shared" si="7"/>
        <v/>
      </c>
      <c r="S408" s="237" t="str">
        <f>IF(ISBLANK(H408),,IFNA(VLOOKUP(H408, Circuits!A:V, 22, FALSE),))</f>
        <v/>
      </c>
      <c r="T408" s="237" t="str">
        <f>IF(ISBLANK(H408),,IFNA(VLOOKUP(H408, Circuits!A:X, 24, FALSE),))</f>
        <v/>
      </c>
      <c r="V408" s="236" t="str">
        <f>IFERROR(__xludf.DUMMYFUNCTION("IF(ISBLANK(H408),,JOIN("","",H408:T408))"),"")</f>
        <v/>
      </c>
      <c r="W408" s="229" t="str">
        <f t="shared" si="1"/>
        <v/>
      </c>
    </row>
    <row r="409">
      <c r="H409" s="237"/>
      <c r="I409" s="237" t="str">
        <f>IFERROR(__xludf.DUMMYFUNCTION("IF(ISBLANK(H409),,IFNA(""""""""&amp;JOIN("","",INDEX(FILTER(A:D,A:A=H409),0,4))&amp;"""""""",))"),"")</f>
        <v/>
      </c>
      <c r="J409" s="237" t="str">
        <f>IF(ISBLANK(H409),,IFNA(VLOOKUP(H409, Circuits!A:W, 23, FALSE),))</f>
        <v/>
      </c>
      <c r="K409" s="238" t="str">
        <f t="shared" si="2"/>
        <v/>
      </c>
      <c r="L409" s="238" t="str">
        <f t="shared" si="3"/>
        <v/>
      </c>
      <c r="M409" s="238" t="str">
        <f t="shared" si="4"/>
        <v/>
      </c>
      <c r="N409" s="238" t="str">
        <f t="shared" si="5"/>
        <v/>
      </c>
      <c r="O409" s="238" t="str">
        <f t="shared" si="6"/>
        <v/>
      </c>
      <c r="P409" s="237" t="str">
        <f>IFERROR(__xludf.DUMMYFUNCTION("IF(ISBLANK(H409),,IF(IFNA(MATCH(H409,SPLIT(Circuits!$S$2,"";""&amp;CHAR(10)),0),0),FALSE,TRUE))"),"")</f>
        <v/>
      </c>
      <c r="Q409" s="237" t="str">
        <f>IF(ISBLANK(H409),,IFNA(VLOOKUP(H409, Circuits!A:U, 21, FALSE),))</f>
        <v/>
      </c>
      <c r="R409" s="238" t="str">
        <f t="shared" si="7"/>
        <v/>
      </c>
      <c r="S409" s="237" t="str">
        <f>IF(ISBLANK(H409),,IFNA(VLOOKUP(H409, Circuits!A:V, 22, FALSE),))</f>
        <v/>
      </c>
      <c r="T409" s="237" t="str">
        <f>IF(ISBLANK(H409),,IFNA(VLOOKUP(H409, Circuits!A:X, 24, FALSE),))</f>
        <v/>
      </c>
      <c r="V409" s="236" t="str">
        <f>IFERROR(__xludf.DUMMYFUNCTION("IF(ISBLANK(H409),,JOIN("","",H409:T409))"),"")</f>
        <v/>
      </c>
      <c r="W409" s="229" t="str">
        <f t="shared" si="1"/>
        <v/>
      </c>
    </row>
    <row r="410">
      <c r="H410" s="237"/>
      <c r="I410" s="237" t="str">
        <f>IFERROR(__xludf.DUMMYFUNCTION("IF(ISBLANK(H410),,IFNA(""""""""&amp;JOIN("","",INDEX(FILTER(A:D,A:A=H410),0,4))&amp;"""""""",))"),"")</f>
        <v/>
      </c>
      <c r="J410" s="237" t="str">
        <f>IF(ISBLANK(H410),,IFNA(VLOOKUP(H410, Circuits!A:W, 23, FALSE),))</f>
        <v/>
      </c>
      <c r="K410" s="238" t="str">
        <f t="shared" si="2"/>
        <v/>
      </c>
      <c r="L410" s="238" t="str">
        <f t="shared" si="3"/>
        <v/>
      </c>
      <c r="M410" s="238" t="str">
        <f t="shared" si="4"/>
        <v/>
      </c>
      <c r="N410" s="238" t="str">
        <f t="shared" si="5"/>
        <v/>
      </c>
      <c r="O410" s="238" t="str">
        <f t="shared" si="6"/>
        <v/>
      </c>
      <c r="P410" s="237" t="str">
        <f>IFERROR(__xludf.DUMMYFUNCTION("IF(ISBLANK(H410),,IF(IFNA(MATCH(H410,SPLIT(Circuits!$S$2,"";""&amp;CHAR(10)),0),0),FALSE,TRUE))"),"")</f>
        <v/>
      </c>
      <c r="Q410" s="237" t="str">
        <f>IF(ISBLANK(H410),,IFNA(VLOOKUP(H410, Circuits!A:U, 21, FALSE),))</f>
        <v/>
      </c>
      <c r="R410" s="238" t="str">
        <f t="shared" si="7"/>
        <v/>
      </c>
      <c r="S410" s="237" t="str">
        <f>IF(ISBLANK(H410),,IFNA(VLOOKUP(H410, Circuits!A:V, 22, FALSE),))</f>
        <v/>
      </c>
      <c r="T410" s="237" t="str">
        <f>IF(ISBLANK(H410),,IFNA(VLOOKUP(H410, Circuits!A:X, 24, FALSE),))</f>
        <v/>
      </c>
      <c r="V410" s="236" t="str">
        <f>IFERROR(__xludf.DUMMYFUNCTION("IF(ISBLANK(H410),,JOIN("","",H410:T410))"),"")</f>
        <v/>
      </c>
      <c r="W410" s="229" t="str">
        <f t="shared" si="1"/>
        <v/>
      </c>
    </row>
    <row r="411">
      <c r="H411" s="237"/>
      <c r="I411" s="237" t="str">
        <f>IFERROR(__xludf.DUMMYFUNCTION("IF(ISBLANK(H411),,IFNA(""""""""&amp;JOIN("","",INDEX(FILTER(A:D,A:A=H411),0,4))&amp;"""""""",))"),"")</f>
        <v/>
      </c>
      <c r="J411" s="237" t="str">
        <f>IF(ISBLANK(H411),,IFNA(VLOOKUP(H411, Circuits!A:W, 23, FALSE),))</f>
        <v/>
      </c>
      <c r="K411" s="238" t="str">
        <f t="shared" si="2"/>
        <v/>
      </c>
      <c r="L411" s="238" t="str">
        <f t="shared" si="3"/>
        <v/>
      </c>
      <c r="M411" s="238" t="str">
        <f t="shared" si="4"/>
        <v/>
      </c>
      <c r="N411" s="238" t="str">
        <f t="shared" si="5"/>
        <v/>
      </c>
      <c r="O411" s="238" t="str">
        <f t="shared" si="6"/>
        <v/>
      </c>
      <c r="P411" s="237" t="str">
        <f>IFERROR(__xludf.DUMMYFUNCTION("IF(ISBLANK(H411),,IF(IFNA(MATCH(H411,SPLIT(Circuits!$S$2,"";""&amp;CHAR(10)),0),0),FALSE,TRUE))"),"")</f>
        <v/>
      </c>
      <c r="Q411" s="237" t="str">
        <f>IF(ISBLANK(H411),,IFNA(VLOOKUP(H411, Circuits!A:U, 21, FALSE),))</f>
        <v/>
      </c>
      <c r="R411" s="238" t="str">
        <f t="shared" si="7"/>
        <v/>
      </c>
      <c r="S411" s="237" t="str">
        <f>IF(ISBLANK(H411),,IFNA(VLOOKUP(H411, Circuits!A:V, 22, FALSE),))</f>
        <v/>
      </c>
      <c r="T411" s="237" t="str">
        <f>IF(ISBLANK(H411),,IFNA(VLOOKUP(H411, Circuits!A:X, 24, FALSE),))</f>
        <v/>
      </c>
      <c r="V411" s="236" t="str">
        <f>IFERROR(__xludf.DUMMYFUNCTION("IF(ISBLANK(H411),,JOIN("","",H411:T411))"),"")</f>
        <v/>
      </c>
      <c r="W411" s="229" t="str">
        <f t="shared" si="1"/>
        <v/>
      </c>
    </row>
    <row r="412">
      <c r="H412" s="237"/>
      <c r="I412" s="237" t="str">
        <f>IFERROR(__xludf.DUMMYFUNCTION("IF(ISBLANK(H412),,IFNA(""""""""&amp;JOIN("","",INDEX(FILTER(A:D,A:A=H412),0,4))&amp;"""""""",))"),"")</f>
        <v/>
      </c>
      <c r="J412" s="237" t="str">
        <f>IF(ISBLANK(H412),,IFNA(VLOOKUP(H412, Circuits!A:W, 23, FALSE),))</f>
        <v/>
      </c>
      <c r="K412" s="238" t="str">
        <f t="shared" si="2"/>
        <v/>
      </c>
      <c r="L412" s="238" t="str">
        <f t="shared" si="3"/>
        <v/>
      </c>
      <c r="M412" s="238" t="str">
        <f t="shared" si="4"/>
        <v/>
      </c>
      <c r="N412" s="238" t="str">
        <f t="shared" si="5"/>
        <v/>
      </c>
      <c r="O412" s="238" t="str">
        <f t="shared" si="6"/>
        <v/>
      </c>
      <c r="P412" s="237" t="str">
        <f>IFERROR(__xludf.DUMMYFUNCTION("IF(ISBLANK(H412),,IF(IFNA(MATCH(H412,SPLIT(Circuits!$S$2,"";""&amp;CHAR(10)),0),0),FALSE,TRUE))"),"")</f>
        <v/>
      </c>
      <c r="Q412" s="237" t="str">
        <f>IF(ISBLANK(H412),,IFNA(VLOOKUP(H412, Circuits!A:U, 21, FALSE),))</f>
        <v/>
      </c>
      <c r="R412" s="238" t="str">
        <f t="shared" si="7"/>
        <v/>
      </c>
      <c r="S412" s="237" t="str">
        <f>IF(ISBLANK(H412),,IFNA(VLOOKUP(H412, Circuits!A:V, 22, FALSE),))</f>
        <v/>
      </c>
      <c r="T412" s="237" t="str">
        <f>IF(ISBLANK(H412),,IFNA(VLOOKUP(H412, Circuits!A:X, 24, FALSE),))</f>
        <v/>
      </c>
      <c r="V412" s="236" t="str">
        <f>IFERROR(__xludf.DUMMYFUNCTION("IF(ISBLANK(H412),,JOIN("","",H412:T412))"),"")</f>
        <v/>
      </c>
      <c r="W412" s="229" t="str">
        <f t="shared" si="1"/>
        <v/>
      </c>
    </row>
    <row r="413">
      <c r="H413" s="237"/>
      <c r="I413" s="237" t="str">
        <f>IFERROR(__xludf.DUMMYFUNCTION("IF(ISBLANK(H413),,IFNA(""""""""&amp;JOIN("","",INDEX(FILTER(A:D,A:A=H413),0,4))&amp;"""""""",))"),"")</f>
        <v/>
      </c>
      <c r="J413" s="237" t="str">
        <f>IF(ISBLANK(H413),,IFNA(VLOOKUP(H413, Circuits!A:W, 23, FALSE),))</f>
        <v/>
      </c>
      <c r="K413" s="238" t="str">
        <f t="shared" si="2"/>
        <v/>
      </c>
      <c r="L413" s="238" t="str">
        <f t="shared" si="3"/>
        <v/>
      </c>
      <c r="M413" s="238" t="str">
        <f t="shared" si="4"/>
        <v/>
      </c>
      <c r="N413" s="238" t="str">
        <f t="shared" si="5"/>
        <v/>
      </c>
      <c r="O413" s="238" t="str">
        <f t="shared" si="6"/>
        <v/>
      </c>
      <c r="P413" s="237" t="str">
        <f>IFERROR(__xludf.DUMMYFUNCTION("IF(ISBLANK(H413),,IF(IFNA(MATCH(H413,SPLIT(Circuits!$S$2,"";""&amp;CHAR(10)),0),0),FALSE,TRUE))"),"")</f>
        <v/>
      </c>
      <c r="Q413" s="237" t="str">
        <f>IF(ISBLANK(H413),,IFNA(VLOOKUP(H413, Circuits!A:U, 21, FALSE),))</f>
        <v/>
      </c>
      <c r="R413" s="238" t="str">
        <f t="shared" si="7"/>
        <v/>
      </c>
      <c r="S413" s="237" t="str">
        <f>IF(ISBLANK(H413),,IFNA(VLOOKUP(H413, Circuits!A:V, 22, FALSE),))</f>
        <v/>
      </c>
      <c r="T413" s="237" t="str">
        <f>IF(ISBLANK(H413),,IFNA(VLOOKUP(H413, Circuits!A:X, 24, FALSE),))</f>
        <v/>
      </c>
      <c r="V413" s="236" t="str">
        <f>IFERROR(__xludf.DUMMYFUNCTION("IF(ISBLANK(H413),,JOIN("","",H413:T413))"),"")</f>
        <v/>
      </c>
      <c r="W413" s="229" t="str">
        <f t="shared" si="1"/>
        <v/>
      </c>
    </row>
    <row r="414">
      <c r="H414" s="237"/>
      <c r="I414" s="237" t="str">
        <f>IFERROR(__xludf.DUMMYFUNCTION("IF(ISBLANK(H414),,IFNA(""""""""&amp;JOIN("","",INDEX(FILTER(A:D,A:A=H414),0,4))&amp;"""""""",))"),"")</f>
        <v/>
      </c>
      <c r="J414" s="237" t="str">
        <f>IF(ISBLANK(H414),,IFNA(VLOOKUP(H414, Circuits!A:W, 23, FALSE),))</f>
        <v/>
      </c>
      <c r="K414" s="238" t="str">
        <f t="shared" si="2"/>
        <v/>
      </c>
      <c r="L414" s="238" t="str">
        <f t="shared" si="3"/>
        <v/>
      </c>
      <c r="M414" s="238" t="str">
        <f t="shared" si="4"/>
        <v/>
      </c>
      <c r="N414" s="238" t="str">
        <f t="shared" si="5"/>
        <v/>
      </c>
      <c r="O414" s="238" t="str">
        <f t="shared" si="6"/>
        <v/>
      </c>
      <c r="P414" s="237" t="str">
        <f>IFERROR(__xludf.DUMMYFUNCTION("IF(ISBLANK(H414),,IF(IFNA(MATCH(H414,SPLIT(Circuits!$S$2,"";""&amp;CHAR(10)),0),0),FALSE,TRUE))"),"")</f>
        <v/>
      </c>
      <c r="Q414" s="237" t="str">
        <f>IF(ISBLANK(H414),,IFNA(VLOOKUP(H414, Circuits!A:U, 21, FALSE),))</f>
        <v/>
      </c>
      <c r="R414" s="238" t="str">
        <f t="shared" si="7"/>
        <v/>
      </c>
      <c r="S414" s="237" t="str">
        <f>IF(ISBLANK(H414),,IFNA(VLOOKUP(H414, Circuits!A:V, 22, FALSE),))</f>
        <v/>
      </c>
      <c r="T414" s="237" t="str">
        <f>IF(ISBLANK(H414),,IFNA(VLOOKUP(H414, Circuits!A:X, 24, FALSE),))</f>
        <v/>
      </c>
      <c r="V414" s="236" t="str">
        <f>IFERROR(__xludf.DUMMYFUNCTION("IF(ISBLANK(H414),,JOIN("","",H414:T414))"),"")</f>
        <v/>
      </c>
      <c r="W414" s="229" t="str">
        <f t="shared" si="1"/>
        <v/>
      </c>
    </row>
    <row r="415">
      <c r="H415" s="237"/>
      <c r="I415" s="237" t="str">
        <f>IFERROR(__xludf.DUMMYFUNCTION("IF(ISBLANK(H415),,IFNA(""""""""&amp;JOIN("","",INDEX(FILTER(A:D,A:A=H415),0,4))&amp;"""""""",))"),"")</f>
        <v/>
      </c>
      <c r="J415" s="237" t="str">
        <f>IF(ISBLANK(H415),,IFNA(VLOOKUP(H415, Circuits!A:W, 23, FALSE),))</f>
        <v/>
      </c>
      <c r="K415" s="238" t="str">
        <f t="shared" si="2"/>
        <v/>
      </c>
      <c r="L415" s="238" t="str">
        <f t="shared" si="3"/>
        <v/>
      </c>
      <c r="M415" s="238" t="str">
        <f t="shared" si="4"/>
        <v/>
      </c>
      <c r="N415" s="238" t="str">
        <f t="shared" si="5"/>
        <v/>
      </c>
      <c r="O415" s="238" t="str">
        <f t="shared" si="6"/>
        <v/>
      </c>
      <c r="P415" s="237" t="str">
        <f>IFERROR(__xludf.DUMMYFUNCTION("IF(ISBLANK(H415),,IF(IFNA(MATCH(H415,SPLIT(Circuits!$S$2,"";""&amp;CHAR(10)),0),0),FALSE,TRUE))"),"")</f>
        <v/>
      </c>
      <c r="Q415" s="237" t="str">
        <f>IF(ISBLANK(H415),,IFNA(VLOOKUP(H415, Circuits!A:U, 21, FALSE),))</f>
        <v/>
      </c>
      <c r="R415" s="238" t="str">
        <f t="shared" si="7"/>
        <v/>
      </c>
      <c r="S415" s="237" t="str">
        <f>IF(ISBLANK(H415),,IFNA(VLOOKUP(H415, Circuits!A:V, 22, FALSE),))</f>
        <v/>
      </c>
      <c r="T415" s="237" t="str">
        <f>IF(ISBLANK(H415),,IFNA(VLOOKUP(H415, Circuits!A:X, 24, FALSE),))</f>
        <v/>
      </c>
      <c r="V415" s="236" t="str">
        <f>IFERROR(__xludf.DUMMYFUNCTION("IF(ISBLANK(H415),,JOIN("","",H415:T415))"),"")</f>
        <v/>
      </c>
      <c r="W415" s="229" t="str">
        <f t="shared" si="1"/>
        <v/>
      </c>
    </row>
    <row r="416">
      <c r="H416" s="237"/>
      <c r="I416" s="237" t="str">
        <f>IFERROR(__xludf.DUMMYFUNCTION("IF(ISBLANK(H416),,IFNA(""""""""&amp;JOIN("","",INDEX(FILTER(A:D,A:A=H416),0,4))&amp;"""""""",))"),"")</f>
        <v/>
      </c>
      <c r="J416" s="237" t="str">
        <f>IF(ISBLANK(H416),,IFNA(VLOOKUP(H416, Circuits!A:W, 23, FALSE),))</f>
        <v/>
      </c>
      <c r="K416" s="238" t="str">
        <f t="shared" si="2"/>
        <v/>
      </c>
      <c r="L416" s="238" t="str">
        <f t="shared" si="3"/>
        <v/>
      </c>
      <c r="M416" s="238" t="str">
        <f t="shared" si="4"/>
        <v/>
      </c>
      <c r="N416" s="238" t="str">
        <f t="shared" si="5"/>
        <v/>
      </c>
      <c r="O416" s="238" t="str">
        <f t="shared" si="6"/>
        <v/>
      </c>
      <c r="P416" s="237" t="str">
        <f>IFERROR(__xludf.DUMMYFUNCTION("IF(ISBLANK(H416),,IF(IFNA(MATCH(H416,SPLIT(Circuits!$S$2,"";""&amp;CHAR(10)),0),0),FALSE,TRUE))"),"")</f>
        <v/>
      </c>
      <c r="Q416" s="237" t="str">
        <f>IF(ISBLANK(H416),,IFNA(VLOOKUP(H416, Circuits!A:U, 21, FALSE),))</f>
        <v/>
      </c>
      <c r="R416" s="238" t="str">
        <f t="shared" si="7"/>
        <v/>
      </c>
      <c r="S416" s="237" t="str">
        <f>IF(ISBLANK(H416),,IFNA(VLOOKUP(H416, Circuits!A:V, 22, FALSE),))</f>
        <v/>
      </c>
      <c r="T416" s="237" t="str">
        <f>IF(ISBLANK(H416),,IFNA(VLOOKUP(H416, Circuits!A:X, 24, FALSE),))</f>
        <v/>
      </c>
      <c r="V416" s="236" t="str">
        <f>IFERROR(__xludf.DUMMYFUNCTION("IF(ISBLANK(H416),,JOIN("","",H416:T416))"),"")</f>
        <v/>
      </c>
      <c r="W416" s="229" t="str">
        <f t="shared" si="1"/>
        <v/>
      </c>
    </row>
    <row r="417">
      <c r="H417" s="237"/>
      <c r="I417" s="237" t="str">
        <f>IFERROR(__xludf.DUMMYFUNCTION("IF(ISBLANK(H417),,IFNA(""""""""&amp;JOIN("","",INDEX(FILTER(A:D,A:A=H417),0,4))&amp;"""""""",))"),"")</f>
        <v/>
      </c>
      <c r="J417" s="237" t="str">
        <f>IF(ISBLANK(H417),,IFNA(VLOOKUP(H417, Circuits!A:W, 23, FALSE),))</f>
        <v/>
      </c>
      <c r="K417" s="238" t="str">
        <f t="shared" si="2"/>
        <v/>
      </c>
      <c r="L417" s="238" t="str">
        <f t="shared" si="3"/>
        <v/>
      </c>
      <c r="M417" s="238" t="str">
        <f t="shared" si="4"/>
        <v/>
      </c>
      <c r="N417" s="238" t="str">
        <f t="shared" si="5"/>
        <v/>
      </c>
      <c r="O417" s="238" t="str">
        <f t="shared" si="6"/>
        <v/>
      </c>
      <c r="P417" s="237" t="str">
        <f>IFERROR(__xludf.DUMMYFUNCTION("IF(ISBLANK(H417),,IF(IFNA(MATCH(H417,SPLIT(Circuits!$S$2,"";""&amp;CHAR(10)),0),0),FALSE,TRUE))"),"")</f>
        <v/>
      </c>
      <c r="Q417" s="237" t="str">
        <f>IF(ISBLANK(H417),,IFNA(VLOOKUP(H417, Circuits!A:U, 21, FALSE),))</f>
        <v/>
      </c>
      <c r="R417" s="238" t="str">
        <f t="shared" si="7"/>
        <v/>
      </c>
      <c r="S417" s="237" t="str">
        <f>IF(ISBLANK(H417),,IFNA(VLOOKUP(H417, Circuits!A:V, 22, FALSE),))</f>
        <v/>
      </c>
      <c r="T417" s="237" t="str">
        <f>IF(ISBLANK(H417),,IFNA(VLOOKUP(H417, Circuits!A:X, 24, FALSE),))</f>
        <v/>
      </c>
      <c r="V417" s="236" t="str">
        <f>IFERROR(__xludf.DUMMYFUNCTION("IF(ISBLANK(H417),,JOIN("","",H417:T417))"),"")</f>
        <v/>
      </c>
      <c r="W417" s="229" t="str">
        <f t="shared" si="1"/>
        <v/>
      </c>
    </row>
    <row r="418">
      <c r="H418" s="237"/>
      <c r="I418" s="237" t="str">
        <f>IFERROR(__xludf.DUMMYFUNCTION("IF(ISBLANK(H418),,IFNA(""""""""&amp;JOIN("","",INDEX(FILTER(A:D,A:A=H418),0,4))&amp;"""""""",))"),"")</f>
        <v/>
      </c>
      <c r="J418" s="237" t="str">
        <f>IF(ISBLANK(H418),,IFNA(VLOOKUP(H418, Circuits!A:W, 23, FALSE),))</f>
        <v/>
      </c>
      <c r="K418" s="238" t="str">
        <f t="shared" si="2"/>
        <v/>
      </c>
      <c r="L418" s="238" t="str">
        <f t="shared" si="3"/>
        <v/>
      </c>
      <c r="M418" s="238" t="str">
        <f t="shared" si="4"/>
        <v/>
      </c>
      <c r="N418" s="238" t="str">
        <f t="shared" si="5"/>
        <v/>
      </c>
      <c r="O418" s="238" t="str">
        <f t="shared" si="6"/>
        <v/>
      </c>
      <c r="P418" s="237" t="str">
        <f>IFERROR(__xludf.DUMMYFUNCTION("IF(ISBLANK(H418),,IF(IFNA(MATCH(H418,SPLIT(Circuits!$S$2,"";""&amp;CHAR(10)),0),0),FALSE,TRUE))"),"")</f>
        <v/>
      </c>
      <c r="Q418" s="237" t="str">
        <f>IF(ISBLANK(H418),,IFNA(VLOOKUP(H418, Circuits!A:U, 21, FALSE),))</f>
        <v/>
      </c>
      <c r="R418" s="238" t="str">
        <f t="shared" si="7"/>
        <v/>
      </c>
      <c r="S418" s="237" t="str">
        <f>IF(ISBLANK(H418),,IFNA(VLOOKUP(H418, Circuits!A:V, 22, FALSE),))</f>
        <v/>
      </c>
      <c r="T418" s="237" t="str">
        <f>IF(ISBLANK(H418),,IFNA(VLOOKUP(H418, Circuits!A:X, 24, FALSE),))</f>
        <v/>
      </c>
      <c r="V418" s="236" t="str">
        <f>IFERROR(__xludf.DUMMYFUNCTION("IF(ISBLANK(H418),,JOIN("","",H418:T418))"),"")</f>
        <v/>
      </c>
      <c r="W418" s="229" t="str">
        <f t="shared" si="1"/>
        <v/>
      </c>
    </row>
    <row r="419">
      <c r="H419" s="237"/>
      <c r="I419" s="237" t="str">
        <f>IFERROR(__xludf.DUMMYFUNCTION("IF(ISBLANK(H419),,IFNA(""""""""&amp;JOIN("","",INDEX(FILTER(A:D,A:A=H419),0,4))&amp;"""""""",))"),"")</f>
        <v/>
      </c>
      <c r="J419" s="237" t="str">
        <f>IF(ISBLANK(H419),,IFNA(VLOOKUP(H419, Circuits!A:W, 23, FALSE),))</f>
        <v/>
      </c>
      <c r="K419" s="238" t="str">
        <f t="shared" si="2"/>
        <v/>
      </c>
      <c r="L419" s="238" t="str">
        <f t="shared" si="3"/>
        <v/>
      </c>
      <c r="M419" s="238" t="str">
        <f t="shared" si="4"/>
        <v/>
      </c>
      <c r="N419" s="238" t="str">
        <f t="shared" si="5"/>
        <v/>
      </c>
      <c r="O419" s="238" t="str">
        <f t="shared" si="6"/>
        <v/>
      </c>
      <c r="P419" s="237" t="str">
        <f>IFERROR(__xludf.DUMMYFUNCTION("IF(ISBLANK(H419),,IF(IFNA(MATCH(H419,SPLIT(Circuits!$S$2,"";""&amp;CHAR(10)),0),0),FALSE,TRUE))"),"")</f>
        <v/>
      </c>
      <c r="Q419" s="237" t="str">
        <f>IF(ISBLANK(H419),,IFNA(VLOOKUP(H419, Circuits!A:U, 21, FALSE),))</f>
        <v/>
      </c>
      <c r="R419" s="238" t="str">
        <f t="shared" si="7"/>
        <v/>
      </c>
      <c r="S419" s="237" t="str">
        <f>IF(ISBLANK(H419),,IFNA(VLOOKUP(H419, Circuits!A:V, 22, FALSE),))</f>
        <v/>
      </c>
      <c r="T419" s="237" t="str">
        <f>IF(ISBLANK(H419),,IFNA(VLOOKUP(H419, Circuits!A:X, 24, FALSE),))</f>
        <v/>
      </c>
      <c r="V419" s="236" t="str">
        <f>IFERROR(__xludf.DUMMYFUNCTION("IF(ISBLANK(H419),,JOIN("","",H419:T419))"),"")</f>
        <v/>
      </c>
      <c r="W419" s="229" t="str">
        <f t="shared" si="1"/>
        <v/>
      </c>
    </row>
    <row r="420">
      <c r="H420" s="237"/>
      <c r="I420" s="237" t="str">
        <f>IFERROR(__xludf.DUMMYFUNCTION("IF(ISBLANK(H420),,IFNA(""""""""&amp;JOIN("","",INDEX(FILTER(A:D,A:A=H420),0,4))&amp;"""""""",))"),"")</f>
        <v/>
      </c>
      <c r="J420" s="237" t="str">
        <f>IF(ISBLANK(H420),,IFNA(VLOOKUP(H420, Circuits!A:W, 23, FALSE),))</f>
        <v/>
      </c>
      <c r="K420" s="238" t="str">
        <f t="shared" si="2"/>
        <v/>
      </c>
      <c r="L420" s="238" t="str">
        <f t="shared" si="3"/>
        <v/>
      </c>
      <c r="M420" s="238" t="str">
        <f t="shared" si="4"/>
        <v/>
      </c>
      <c r="N420" s="238" t="str">
        <f t="shared" si="5"/>
        <v/>
      </c>
      <c r="O420" s="238" t="str">
        <f t="shared" si="6"/>
        <v/>
      </c>
      <c r="P420" s="237" t="str">
        <f>IFERROR(__xludf.DUMMYFUNCTION("IF(ISBLANK(H420),,IF(IFNA(MATCH(H420,SPLIT(Circuits!$S$2,"";""&amp;CHAR(10)),0),0),FALSE,TRUE))"),"")</f>
        <v/>
      </c>
      <c r="Q420" s="237" t="str">
        <f>IF(ISBLANK(H420),,IFNA(VLOOKUP(H420, Circuits!A:U, 21, FALSE),))</f>
        <v/>
      </c>
      <c r="R420" s="238" t="str">
        <f t="shared" si="7"/>
        <v/>
      </c>
      <c r="S420" s="237" t="str">
        <f>IF(ISBLANK(H420),,IFNA(VLOOKUP(H420, Circuits!A:V, 22, FALSE),))</f>
        <v/>
      </c>
      <c r="T420" s="237" t="str">
        <f>IF(ISBLANK(H420),,IFNA(VLOOKUP(H420, Circuits!A:X, 24, FALSE),))</f>
        <v/>
      </c>
      <c r="V420" s="236" t="str">
        <f>IFERROR(__xludf.DUMMYFUNCTION("IF(ISBLANK(H420),,JOIN("","",H420:T420))"),"")</f>
        <v/>
      </c>
      <c r="W420" s="229" t="str">
        <f t="shared" si="1"/>
        <v/>
      </c>
    </row>
    <row r="421">
      <c r="H421" s="237"/>
      <c r="I421" s="237" t="str">
        <f>IFERROR(__xludf.DUMMYFUNCTION("IF(ISBLANK(H421),,IFNA(""""""""&amp;JOIN("","",INDEX(FILTER(A:D,A:A=H421),0,4))&amp;"""""""",))"),"")</f>
        <v/>
      </c>
      <c r="J421" s="237" t="str">
        <f>IF(ISBLANK(H421),,IFNA(VLOOKUP(H421, Circuits!A:W, 23, FALSE),))</f>
        <v/>
      </c>
      <c r="K421" s="238" t="str">
        <f t="shared" si="2"/>
        <v/>
      </c>
      <c r="L421" s="238" t="str">
        <f t="shared" si="3"/>
        <v/>
      </c>
      <c r="M421" s="238" t="str">
        <f t="shared" si="4"/>
        <v/>
      </c>
      <c r="N421" s="238" t="str">
        <f t="shared" si="5"/>
        <v/>
      </c>
      <c r="O421" s="238" t="str">
        <f t="shared" si="6"/>
        <v/>
      </c>
      <c r="P421" s="237" t="str">
        <f>IFERROR(__xludf.DUMMYFUNCTION("IF(ISBLANK(H421),,IF(IFNA(MATCH(H421,SPLIT(Circuits!$S$2,"";""&amp;CHAR(10)),0),0),FALSE,TRUE))"),"")</f>
        <v/>
      </c>
      <c r="Q421" s="237" t="str">
        <f>IF(ISBLANK(H421),,IFNA(VLOOKUP(H421, Circuits!A:U, 21, FALSE),))</f>
        <v/>
      </c>
      <c r="R421" s="238" t="str">
        <f t="shared" si="7"/>
        <v/>
      </c>
      <c r="S421" s="237" t="str">
        <f>IF(ISBLANK(H421),,IFNA(VLOOKUP(H421, Circuits!A:V, 22, FALSE),))</f>
        <v/>
      </c>
      <c r="T421" s="237" t="str">
        <f>IF(ISBLANK(H421),,IFNA(VLOOKUP(H421, Circuits!A:X, 24, FALSE),))</f>
        <v/>
      </c>
      <c r="V421" s="236" t="str">
        <f>IFERROR(__xludf.DUMMYFUNCTION("IF(ISBLANK(H421),,JOIN("","",H421:T421))"),"")</f>
        <v/>
      </c>
      <c r="W421" s="229" t="str">
        <f t="shared" si="1"/>
        <v/>
      </c>
    </row>
    <row r="422">
      <c r="H422" s="237"/>
      <c r="I422" s="237" t="str">
        <f>IFERROR(__xludf.DUMMYFUNCTION("IF(ISBLANK(H422),,IFNA(""""""""&amp;JOIN("","",INDEX(FILTER(A:D,A:A=H422),0,4))&amp;"""""""",))"),"")</f>
        <v/>
      </c>
      <c r="J422" s="237" t="str">
        <f>IF(ISBLANK(H422),,IFNA(VLOOKUP(H422, Circuits!A:W, 23, FALSE),))</f>
        <v/>
      </c>
      <c r="K422" s="238" t="str">
        <f t="shared" si="2"/>
        <v/>
      </c>
      <c r="L422" s="238" t="str">
        <f t="shared" si="3"/>
        <v/>
      </c>
      <c r="M422" s="238" t="str">
        <f t="shared" si="4"/>
        <v/>
      </c>
      <c r="N422" s="238" t="str">
        <f t="shared" si="5"/>
        <v/>
      </c>
      <c r="O422" s="238" t="str">
        <f t="shared" si="6"/>
        <v/>
      </c>
      <c r="P422" s="237" t="str">
        <f>IFERROR(__xludf.DUMMYFUNCTION("IF(ISBLANK(H422),,IF(IFNA(MATCH(H422,SPLIT(Circuits!$S$2,"";""&amp;CHAR(10)),0),0),FALSE,TRUE))"),"")</f>
        <v/>
      </c>
      <c r="Q422" s="237" t="str">
        <f>IF(ISBLANK(H422),,IFNA(VLOOKUP(H422, Circuits!A:U, 21, FALSE),))</f>
        <v/>
      </c>
      <c r="R422" s="238" t="str">
        <f t="shared" si="7"/>
        <v/>
      </c>
      <c r="S422" s="237" t="str">
        <f>IF(ISBLANK(H422),,IFNA(VLOOKUP(H422, Circuits!A:V, 22, FALSE),))</f>
        <v/>
      </c>
      <c r="T422" s="237" t="str">
        <f>IF(ISBLANK(H422),,IFNA(VLOOKUP(H422, Circuits!A:X, 24, FALSE),))</f>
        <v/>
      </c>
      <c r="V422" s="236" t="str">
        <f>IFERROR(__xludf.DUMMYFUNCTION("IF(ISBLANK(H422),,JOIN("","",H422:T422))"),"")</f>
        <v/>
      </c>
      <c r="W422" s="229" t="str">
        <f t="shared" si="1"/>
        <v/>
      </c>
    </row>
    <row r="423">
      <c r="H423" s="237"/>
      <c r="I423" s="237" t="str">
        <f>IFERROR(__xludf.DUMMYFUNCTION("IF(ISBLANK(H423),,IFNA(""""""""&amp;JOIN("","",INDEX(FILTER(A:D,A:A=H423),0,4))&amp;"""""""",))"),"")</f>
        <v/>
      </c>
      <c r="J423" s="237" t="str">
        <f>IF(ISBLANK(H423),,IFNA(VLOOKUP(H423, Circuits!A:W, 23, FALSE),))</f>
        <v/>
      </c>
      <c r="K423" s="238" t="str">
        <f t="shared" si="2"/>
        <v/>
      </c>
      <c r="L423" s="238" t="str">
        <f t="shared" si="3"/>
        <v/>
      </c>
      <c r="M423" s="238" t="str">
        <f t="shared" si="4"/>
        <v/>
      </c>
      <c r="N423" s="238" t="str">
        <f t="shared" si="5"/>
        <v/>
      </c>
      <c r="O423" s="238" t="str">
        <f t="shared" si="6"/>
        <v/>
      </c>
      <c r="P423" s="237" t="str">
        <f>IFERROR(__xludf.DUMMYFUNCTION("IF(ISBLANK(H423),,IF(IFNA(MATCH(H423,SPLIT(Circuits!$S$2,"";""&amp;CHAR(10)),0),0),FALSE,TRUE))"),"")</f>
        <v/>
      </c>
      <c r="Q423" s="237" t="str">
        <f>IF(ISBLANK(H423),,IFNA(VLOOKUP(H423, Circuits!A:U, 21, FALSE),))</f>
        <v/>
      </c>
      <c r="R423" s="238" t="str">
        <f t="shared" si="7"/>
        <v/>
      </c>
      <c r="S423" s="237" t="str">
        <f>IF(ISBLANK(H423),,IFNA(VLOOKUP(H423, Circuits!A:V, 22, FALSE),))</f>
        <v/>
      </c>
      <c r="T423" s="237" t="str">
        <f>IF(ISBLANK(H423),,IFNA(VLOOKUP(H423, Circuits!A:X, 24, FALSE),))</f>
        <v/>
      </c>
      <c r="V423" s="236" t="str">
        <f>IFERROR(__xludf.DUMMYFUNCTION("IF(ISBLANK(H423),,JOIN("","",H423:T423))"),"")</f>
        <v/>
      </c>
      <c r="W423" s="229" t="str">
        <f t="shared" si="1"/>
        <v/>
      </c>
    </row>
    <row r="424">
      <c r="H424" s="237"/>
      <c r="I424" s="237" t="str">
        <f>IFERROR(__xludf.DUMMYFUNCTION("IF(ISBLANK(H424),,IFNA(""""""""&amp;JOIN("","",INDEX(FILTER(A:D,A:A=H424),0,4))&amp;"""""""",))"),"")</f>
        <v/>
      </c>
      <c r="J424" s="237" t="str">
        <f>IF(ISBLANK(H424),,IFNA(VLOOKUP(H424, Circuits!A:W, 23, FALSE),))</f>
        <v/>
      </c>
      <c r="K424" s="238" t="str">
        <f t="shared" si="2"/>
        <v/>
      </c>
      <c r="L424" s="238" t="str">
        <f t="shared" si="3"/>
        <v/>
      </c>
      <c r="M424" s="238" t="str">
        <f t="shared" si="4"/>
        <v/>
      </c>
      <c r="N424" s="238" t="str">
        <f t="shared" si="5"/>
        <v/>
      </c>
      <c r="O424" s="238" t="str">
        <f t="shared" si="6"/>
        <v/>
      </c>
      <c r="P424" s="237" t="str">
        <f>IFERROR(__xludf.DUMMYFUNCTION("IF(ISBLANK(H424),,IF(IFNA(MATCH(H424,SPLIT(Circuits!$S$2,"";""&amp;CHAR(10)),0),0),FALSE,TRUE))"),"")</f>
        <v/>
      </c>
      <c r="Q424" s="237" t="str">
        <f>IF(ISBLANK(H424),,IFNA(VLOOKUP(H424, Circuits!A:U, 21, FALSE),))</f>
        <v/>
      </c>
      <c r="R424" s="238" t="str">
        <f t="shared" si="7"/>
        <v/>
      </c>
      <c r="S424" s="237" t="str">
        <f>IF(ISBLANK(H424),,IFNA(VLOOKUP(H424, Circuits!A:V, 22, FALSE),))</f>
        <v/>
      </c>
      <c r="T424" s="237" t="str">
        <f>IF(ISBLANK(H424),,IFNA(VLOOKUP(H424, Circuits!A:X, 24, FALSE),))</f>
        <v/>
      </c>
      <c r="V424" s="236" t="str">
        <f>IFERROR(__xludf.DUMMYFUNCTION("IF(ISBLANK(H424),,JOIN("","",H424:T424))"),"")</f>
        <v/>
      </c>
      <c r="W424" s="229" t="str">
        <f t="shared" si="1"/>
        <v/>
      </c>
    </row>
    <row r="425">
      <c r="H425" s="237"/>
      <c r="I425" s="237" t="str">
        <f>IFERROR(__xludf.DUMMYFUNCTION("IF(ISBLANK(H425),,IFNA(""""""""&amp;JOIN("","",INDEX(FILTER(A:D,A:A=H425),0,4))&amp;"""""""",))"),"")</f>
        <v/>
      </c>
      <c r="J425" s="237" t="str">
        <f>IF(ISBLANK(H425),,IFNA(VLOOKUP(H425, Circuits!A:W, 23, FALSE),))</f>
        <v/>
      </c>
      <c r="K425" s="238" t="str">
        <f t="shared" si="2"/>
        <v/>
      </c>
      <c r="L425" s="238" t="str">
        <f t="shared" si="3"/>
        <v/>
      </c>
      <c r="M425" s="238" t="str">
        <f t="shared" si="4"/>
        <v/>
      </c>
      <c r="N425" s="238" t="str">
        <f t="shared" si="5"/>
        <v/>
      </c>
      <c r="O425" s="238" t="str">
        <f t="shared" si="6"/>
        <v/>
      </c>
      <c r="P425" s="237" t="str">
        <f>IFERROR(__xludf.DUMMYFUNCTION("IF(ISBLANK(H425),,IF(IFNA(MATCH(H425,SPLIT(Circuits!$S$2,"";""&amp;CHAR(10)),0),0),FALSE,TRUE))"),"")</f>
        <v/>
      </c>
      <c r="Q425" s="237" t="str">
        <f>IF(ISBLANK(H425),,IFNA(VLOOKUP(H425, Circuits!A:U, 21, FALSE),))</f>
        <v/>
      </c>
      <c r="R425" s="238" t="str">
        <f t="shared" si="7"/>
        <v/>
      </c>
      <c r="S425" s="237" t="str">
        <f>IF(ISBLANK(H425),,IFNA(VLOOKUP(H425, Circuits!A:V, 22, FALSE),))</f>
        <v/>
      </c>
      <c r="T425" s="237" t="str">
        <f>IF(ISBLANK(H425),,IFNA(VLOOKUP(H425, Circuits!A:X, 24, FALSE),))</f>
        <v/>
      </c>
      <c r="V425" s="236" t="str">
        <f>IFERROR(__xludf.DUMMYFUNCTION("IF(ISBLANK(H425),,JOIN("","",H425:T425))"),"")</f>
        <v/>
      </c>
      <c r="W425" s="229" t="str">
        <f t="shared" si="1"/>
        <v/>
      </c>
    </row>
    <row r="426">
      <c r="H426" s="237"/>
      <c r="I426" s="237" t="str">
        <f>IFERROR(__xludf.DUMMYFUNCTION("IF(ISBLANK(H426),,IFNA(""""""""&amp;JOIN("","",INDEX(FILTER(A:D,A:A=H426),0,4))&amp;"""""""",))"),"")</f>
        <v/>
      </c>
      <c r="J426" s="237" t="str">
        <f>IF(ISBLANK(H426),,IFNA(VLOOKUP(H426, Circuits!A:W, 23, FALSE),))</f>
        <v/>
      </c>
      <c r="K426" s="238" t="str">
        <f t="shared" si="2"/>
        <v/>
      </c>
      <c r="L426" s="238" t="str">
        <f t="shared" si="3"/>
        <v/>
      </c>
      <c r="M426" s="238" t="str">
        <f t="shared" si="4"/>
        <v/>
      </c>
      <c r="N426" s="238" t="str">
        <f t="shared" si="5"/>
        <v/>
      </c>
      <c r="O426" s="238" t="str">
        <f t="shared" si="6"/>
        <v/>
      </c>
      <c r="P426" s="237" t="str">
        <f>IFERROR(__xludf.DUMMYFUNCTION("IF(ISBLANK(H426),,IF(IFNA(MATCH(H426,SPLIT(Circuits!$S$2,"";""&amp;CHAR(10)),0),0),FALSE,TRUE))"),"")</f>
        <v/>
      </c>
      <c r="Q426" s="237" t="str">
        <f>IF(ISBLANK(H426),,IFNA(VLOOKUP(H426, Circuits!A:U, 21, FALSE),))</f>
        <v/>
      </c>
      <c r="R426" s="238" t="str">
        <f t="shared" si="7"/>
        <v/>
      </c>
      <c r="S426" s="237" t="str">
        <f>IF(ISBLANK(H426),,IFNA(VLOOKUP(H426, Circuits!A:V, 22, FALSE),))</f>
        <v/>
      </c>
      <c r="T426" s="237" t="str">
        <f>IF(ISBLANK(H426),,IFNA(VLOOKUP(H426, Circuits!A:X, 24, FALSE),))</f>
        <v/>
      </c>
      <c r="V426" s="236" t="str">
        <f>IFERROR(__xludf.DUMMYFUNCTION("IF(ISBLANK(H426),,JOIN("","",H426:T426))"),"")</f>
        <v/>
      </c>
      <c r="W426" s="229" t="str">
        <f t="shared" si="1"/>
        <v/>
      </c>
    </row>
    <row r="427">
      <c r="H427" s="237"/>
      <c r="I427" s="237" t="str">
        <f>IFERROR(__xludf.DUMMYFUNCTION("IF(ISBLANK(H427),,IFNA(""""""""&amp;JOIN("","",INDEX(FILTER(A:D,A:A=H427),0,4))&amp;"""""""",))"),"")</f>
        <v/>
      </c>
      <c r="J427" s="237" t="str">
        <f>IF(ISBLANK(H427),,IFNA(VLOOKUP(H427, Circuits!A:W, 23, FALSE),))</f>
        <v/>
      </c>
      <c r="K427" s="238" t="str">
        <f t="shared" si="2"/>
        <v/>
      </c>
      <c r="L427" s="238" t="str">
        <f t="shared" si="3"/>
        <v/>
      </c>
      <c r="M427" s="238" t="str">
        <f t="shared" si="4"/>
        <v/>
      </c>
      <c r="N427" s="238" t="str">
        <f t="shared" si="5"/>
        <v/>
      </c>
      <c r="O427" s="238" t="str">
        <f t="shared" si="6"/>
        <v/>
      </c>
      <c r="P427" s="237" t="str">
        <f>IFERROR(__xludf.DUMMYFUNCTION("IF(ISBLANK(H427),,IF(IFNA(MATCH(H427,SPLIT(Circuits!$S$2,"";""&amp;CHAR(10)),0),0),FALSE,TRUE))"),"")</f>
        <v/>
      </c>
      <c r="Q427" s="237" t="str">
        <f>IF(ISBLANK(H427),,IFNA(VLOOKUP(H427, Circuits!A:U, 21, FALSE),))</f>
        <v/>
      </c>
      <c r="R427" s="238" t="str">
        <f t="shared" si="7"/>
        <v/>
      </c>
      <c r="S427" s="237" t="str">
        <f>IF(ISBLANK(H427),,IFNA(VLOOKUP(H427, Circuits!A:V, 22, FALSE),))</f>
        <v/>
      </c>
      <c r="T427" s="237" t="str">
        <f>IF(ISBLANK(H427),,IFNA(VLOOKUP(H427, Circuits!A:X, 24, FALSE),))</f>
        <v/>
      </c>
      <c r="V427" s="236" t="str">
        <f>IFERROR(__xludf.DUMMYFUNCTION("IF(ISBLANK(H427),,JOIN("","",H427:T427))"),"")</f>
        <v/>
      </c>
      <c r="W427" s="229" t="str">
        <f t="shared" si="1"/>
        <v/>
      </c>
    </row>
    <row r="428">
      <c r="H428" s="237"/>
      <c r="I428" s="237" t="str">
        <f>IFERROR(__xludf.DUMMYFUNCTION("IF(ISBLANK(H428),,IFNA(""""""""&amp;JOIN("","",INDEX(FILTER(A:D,A:A=H428),0,4))&amp;"""""""",))"),"")</f>
        <v/>
      </c>
      <c r="J428" s="237" t="str">
        <f>IF(ISBLANK(H428),,IFNA(VLOOKUP(H428, Circuits!A:W, 23, FALSE),))</f>
        <v/>
      </c>
      <c r="K428" s="238" t="str">
        <f t="shared" si="2"/>
        <v/>
      </c>
      <c r="L428" s="238" t="str">
        <f t="shared" si="3"/>
        <v/>
      </c>
      <c r="M428" s="238" t="str">
        <f t="shared" si="4"/>
        <v/>
      </c>
      <c r="N428" s="238" t="str">
        <f t="shared" si="5"/>
        <v/>
      </c>
      <c r="O428" s="238" t="str">
        <f t="shared" si="6"/>
        <v/>
      </c>
      <c r="P428" s="237" t="str">
        <f>IFERROR(__xludf.DUMMYFUNCTION("IF(ISBLANK(H428),,IF(IFNA(MATCH(H428,SPLIT(Circuits!$S$2,"";""&amp;CHAR(10)),0),0),FALSE,TRUE))"),"")</f>
        <v/>
      </c>
      <c r="Q428" s="237" t="str">
        <f>IF(ISBLANK(H428),,IFNA(VLOOKUP(H428, Circuits!A:U, 21, FALSE),))</f>
        <v/>
      </c>
      <c r="R428" s="238" t="str">
        <f t="shared" si="7"/>
        <v/>
      </c>
      <c r="S428" s="237" t="str">
        <f>IF(ISBLANK(H428),,IFNA(VLOOKUP(H428, Circuits!A:V, 22, FALSE),))</f>
        <v/>
      </c>
      <c r="T428" s="237" t="str">
        <f>IF(ISBLANK(H428),,IFNA(VLOOKUP(H428, Circuits!A:X, 24, FALSE),))</f>
        <v/>
      </c>
      <c r="V428" s="236" t="str">
        <f>IFERROR(__xludf.DUMMYFUNCTION("IF(ISBLANK(H428),,JOIN("","",H428:T428))"),"")</f>
        <v/>
      </c>
      <c r="W428" s="229" t="str">
        <f t="shared" si="1"/>
        <v/>
      </c>
    </row>
    <row r="429">
      <c r="H429" s="237"/>
      <c r="I429" s="237" t="str">
        <f>IFERROR(__xludf.DUMMYFUNCTION("IF(ISBLANK(H429),,IFNA(""""""""&amp;JOIN("","",INDEX(FILTER(A:D,A:A=H429),0,4))&amp;"""""""",))"),"")</f>
        <v/>
      </c>
      <c r="J429" s="237" t="str">
        <f>IF(ISBLANK(H429),,IFNA(VLOOKUP(H429, Circuits!A:W, 23, FALSE),))</f>
        <v/>
      </c>
      <c r="K429" s="238" t="str">
        <f t="shared" si="2"/>
        <v/>
      </c>
      <c r="L429" s="238" t="str">
        <f t="shared" si="3"/>
        <v/>
      </c>
      <c r="M429" s="238" t="str">
        <f t="shared" si="4"/>
        <v/>
      </c>
      <c r="N429" s="238" t="str">
        <f t="shared" si="5"/>
        <v/>
      </c>
      <c r="O429" s="238" t="str">
        <f t="shared" si="6"/>
        <v/>
      </c>
      <c r="P429" s="237" t="str">
        <f>IFERROR(__xludf.DUMMYFUNCTION("IF(ISBLANK(H429),,IF(IFNA(MATCH(H429,SPLIT(Circuits!$S$2,"";""&amp;CHAR(10)),0),0),FALSE,TRUE))"),"")</f>
        <v/>
      </c>
      <c r="Q429" s="237" t="str">
        <f>IF(ISBLANK(H429),,IFNA(VLOOKUP(H429, Circuits!A:U, 21, FALSE),))</f>
        <v/>
      </c>
      <c r="R429" s="238" t="str">
        <f t="shared" si="7"/>
        <v/>
      </c>
      <c r="S429" s="237" t="str">
        <f>IF(ISBLANK(H429),,IFNA(VLOOKUP(H429, Circuits!A:V, 22, FALSE),))</f>
        <v/>
      </c>
      <c r="T429" s="237" t="str">
        <f>IF(ISBLANK(H429),,IFNA(VLOOKUP(H429, Circuits!A:X, 24, FALSE),))</f>
        <v/>
      </c>
      <c r="V429" s="236" t="str">
        <f>IFERROR(__xludf.DUMMYFUNCTION("IF(ISBLANK(H429),,JOIN("","",H429:T429))"),"")</f>
        <v/>
      </c>
      <c r="W429" s="229" t="str">
        <f t="shared" si="1"/>
        <v/>
      </c>
    </row>
    <row r="430">
      <c r="H430" s="237"/>
      <c r="I430" s="237" t="str">
        <f>IFERROR(__xludf.DUMMYFUNCTION("IF(ISBLANK(H430),,IFNA(""""""""&amp;JOIN("","",INDEX(FILTER(A:D,A:A=H430),0,4))&amp;"""""""",))"),"")</f>
        <v/>
      </c>
      <c r="J430" s="237" t="str">
        <f>IF(ISBLANK(H430),,IFNA(VLOOKUP(H430, Circuits!A:W, 23, FALSE),))</f>
        <v/>
      </c>
      <c r="K430" s="238" t="str">
        <f t="shared" si="2"/>
        <v/>
      </c>
      <c r="L430" s="238" t="str">
        <f t="shared" si="3"/>
        <v/>
      </c>
      <c r="M430" s="238" t="str">
        <f t="shared" si="4"/>
        <v/>
      </c>
      <c r="N430" s="238" t="str">
        <f t="shared" si="5"/>
        <v/>
      </c>
      <c r="O430" s="238" t="str">
        <f t="shared" si="6"/>
        <v/>
      </c>
      <c r="P430" s="237" t="str">
        <f>IFERROR(__xludf.DUMMYFUNCTION("IF(ISBLANK(H430),,IF(IFNA(MATCH(H430,SPLIT(Circuits!$S$2,"";""&amp;CHAR(10)),0),0),FALSE,TRUE))"),"")</f>
        <v/>
      </c>
      <c r="Q430" s="237" t="str">
        <f>IF(ISBLANK(H430),,IFNA(VLOOKUP(H430, Circuits!A:U, 21, FALSE),))</f>
        <v/>
      </c>
      <c r="R430" s="238" t="str">
        <f t="shared" si="7"/>
        <v/>
      </c>
      <c r="S430" s="237" t="str">
        <f>IF(ISBLANK(H430),,IFNA(VLOOKUP(H430, Circuits!A:V, 22, FALSE),))</f>
        <v/>
      </c>
      <c r="T430" s="237" t="str">
        <f>IF(ISBLANK(H430),,IFNA(VLOOKUP(H430, Circuits!A:X, 24, FALSE),))</f>
        <v/>
      </c>
      <c r="V430" s="236" t="str">
        <f>IFERROR(__xludf.DUMMYFUNCTION("IF(ISBLANK(H430),,JOIN("","",H430:T430))"),"")</f>
        <v/>
      </c>
      <c r="W430" s="229" t="str">
        <f t="shared" si="1"/>
        <v/>
      </c>
    </row>
    <row r="431">
      <c r="H431" s="237"/>
      <c r="I431" s="237" t="str">
        <f>IFERROR(__xludf.DUMMYFUNCTION("IF(ISBLANK(H431),,IFNA(""""""""&amp;JOIN("","",INDEX(FILTER(A:D,A:A=H431),0,4))&amp;"""""""",))"),"")</f>
        <v/>
      </c>
      <c r="J431" s="237" t="str">
        <f>IF(ISBLANK(H431),,IFNA(VLOOKUP(H431, Circuits!A:W, 23, FALSE),))</f>
        <v/>
      </c>
      <c r="K431" s="238" t="str">
        <f t="shared" si="2"/>
        <v/>
      </c>
      <c r="L431" s="238" t="str">
        <f t="shared" si="3"/>
        <v/>
      </c>
      <c r="M431" s="238" t="str">
        <f t="shared" si="4"/>
        <v/>
      </c>
      <c r="N431" s="238" t="str">
        <f t="shared" si="5"/>
        <v/>
      </c>
      <c r="O431" s="238" t="str">
        <f t="shared" si="6"/>
        <v/>
      </c>
      <c r="P431" s="237" t="str">
        <f>IFERROR(__xludf.DUMMYFUNCTION("IF(ISBLANK(H431),,IF(IFNA(MATCH(H431,SPLIT(Circuits!$S$2,"";""&amp;CHAR(10)),0),0),FALSE,TRUE))"),"")</f>
        <v/>
      </c>
      <c r="Q431" s="237" t="str">
        <f>IF(ISBLANK(H431),,IFNA(VLOOKUP(H431, Circuits!A:U, 21, FALSE),))</f>
        <v/>
      </c>
      <c r="R431" s="238" t="str">
        <f t="shared" si="7"/>
        <v/>
      </c>
      <c r="S431" s="237" t="str">
        <f>IF(ISBLANK(H431),,IFNA(VLOOKUP(H431, Circuits!A:V, 22, FALSE),))</f>
        <v/>
      </c>
      <c r="T431" s="237" t="str">
        <f>IF(ISBLANK(H431),,IFNA(VLOOKUP(H431, Circuits!A:X, 24, FALSE),))</f>
        <v/>
      </c>
      <c r="V431" s="236" t="str">
        <f>IFERROR(__xludf.DUMMYFUNCTION("IF(ISBLANK(H431),,JOIN("","",H431:T431))"),"")</f>
        <v/>
      </c>
      <c r="W431" s="229" t="str">
        <f t="shared" si="1"/>
        <v/>
      </c>
    </row>
    <row r="432">
      <c r="H432" s="237"/>
      <c r="I432" s="237" t="str">
        <f>IFERROR(__xludf.DUMMYFUNCTION("IF(ISBLANK(H432),,IFNA(""""""""&amp;JOIN("","",INDEX(FILTER(A:D,A:A=H432),0,4))&amp;"""""""",))"),"")</f>
        <v/>
      </c>
      <c r="J432" s="237" t="str">
        <f>IF(ISBLANK(H432),,IFNA(VLOOKUP(H432, Circuits!A:W, 23, FALSE),))</f>
        <v/>
      </c>
      <c r="K432" s="238" t="str">
        <f t="shared" si="2"/>
        <v/>
      </c>
      <c r="L432" s="238" t="str">
        <f t="shared" si="3"/>
        <v/>
      </c>
      <c r="M432" s="238" t="str">
        <f t="shared" si="4"/>
        <v/>
      </c>
      <c r="N432" s="238" t="str">
        <f t="shared" si="5"/>
        <v/>
      </c>
      <c r="O432" s="238" t="str">
        <f t="shared" si="6"/>
        <v/>
      </c>
      <c r="P432" s="237" t="str">
        <f>IFERROR(__xludf.DUMMYFUNCTION("IF(ISBLANK(H432),,IF(IFNA(MATCH(H432,SPLIT(Circuits!$S$2,"";""&amp;CHAR(10)),0),0),FALSE,TRUE))"),"")</f>
        <v/>
      </c>
      <c r="Q432" s="237" t="str">
        <f>IF(ISBLANK(H432),,IFNA(VLOOKUP(H432, Circuits!A:U, 21, FALSE),))</f>
        <v/>
      </c>
      <c r="R432" s="238" t="str">
        <f t="shared" si="7"/>
        <v/>
      </c>
      <c r="S432" s="237" t="str">
        <f>IF(ISBLANK(H432),,IFNA(VLOOKUP(H432, Circuits!A:V, 22, FALSE),))</f>
        <v/>
      </c>
      <c r="T432" s="237" t="str">
        <f>IF(ISBLANK(H432),,IFNA(VLOOKUP(H432, Circuits!A:X, 24, FALSE),))</f>
        <v/>
      </c>
      <c r="V432" s="236" t="str">
        <f>IFERROR(__xludf.DUMMYFUNCTION("IF(ISBLANK(H432),,JOIN("","",H432:T432))"),"")</f>
        <v/>
      </c>
      <c r="W432" s="229" t="str">
        <f t="shared" si="1"/>
        <v/>
      </c>
    </row>
    <row r="433">
      <c r="H433" s="237"/>
      <c r="I433" s="237" t="str">
        <f>IFERROR(__xludf.DUMMYFUNCTION("IF(ISBLANK(H433),,IFNA(""""""""&amp;JOIN("","",INDEX(FILTER(A:D,A:A=H433),0,4))&amp;"""""""",))"),"")</f>
        <v/>
      </c>
      <c r="J433" s="237" t="str">
        <f>IF(ISBLANK(H433),,IFNA(VLOOKUP(H433, Circuits!A:W, 23, FALSE),))</f>
        <v/>
      </c>
      <c r="K433" s="238" t="str">
        <f t="shared" si="2"/>
        <v/>
      </c>
      <c r="L433" s="238" t="str">
        <f t="shared" si="3"/>
        <v/>
      </c>
      <c r="M433" s="238" t="str">
        <f t="shared" si="4"/>
        <v/>
      </c>
      <c r="N433" s="238" t="str">
        <f t="shared" si="5"/>
        <v/>
      </c>
      <c r="O433" s="238" t="str">
        <f t="shared" si="6"/>
        <v/>
      </c>
      <c r="P433" s="237" t="str">
        <f>IFERROR(__xludf.DUMMYFUNCTION("IF(ISBLANK(H433),,IF(IFNA(MATCH(H433,SPLIT(Circuits!$S$2,"";""&amp;CHAR(10)),0),0),FALSE,TRUE))"),"")</f>
        <v/>
      </c>
      <c r="Q433" s="237" t="str">
        <f>IF(ISBLANK(H433),,IFNA(VLOOKUP(H433, Circuits!A:U, 21, FALSE),))</f>
        <v/>
      </c>
      <c r="R433" s="238" t="str">
        <f t="shared" si="7"/>
        <v/>
      </c>
      <c r="S433" s="237" t="str">
        <f>IF(ISBLANK(H433),,IFNA(VLOOKUP(H433, Circuits!A:V, 22, FALSE),))</f>
        <v/>
      </c>
      <c r="T433" s="237" t="str">
        <f>IF(ISBLANK(H433),,IFNA(VLOOKUP(H433, Circuits!A:X, 24, FALSE),))</f>
        <v/>
      </c>
      <c r="V433" s="236" t="str">
        <f>IFERROR(__xludf.DUMMYFUNCTION("IF(ISBLANK(H433),,JOIN("","",H433:T433))"),"")</f>
        <v/>
      </c>
      <c r="W433" s="229" t="str">
        <f t="shared" si="1"/>
        <v/>
      </c>
    </row>
    <row r="434">
      <c r="H434" s="237"/>
      <c r="I434" s="237" t="str">
        <f>IFERROR(__xludf.DUMMYFUNCTION("IF(ISBLANK(H434),,IFNA(""""""""&amp;JOIN("","",INDEX(FILTER(A:D,A:A=H434),0,4))&amp;"""""""",))"),"")</f>
        <v/>
      </c>
      <c r="J434" s="237" t="str">
        <f>IF(ISBLANK(H434),,IFNA(VLOOKUP(H434, Circuits!A:W, 23, FALSE),))</f>
        <v/>
      </c>
      <c r="K434" s="238" t="str">
        <f t="shared" si="2"/>
        <v/>
      </c>
      <c r="L434" s="238" t="str">
        <f t="shared" si="3"/>
        <v/>
      </c>
      <c r="M434" s="238" t="str">
        <f t="shared" si="4"/>
        <v/>
      </c>
      <c r="N434" s="238" t="str">
        <f t="shared" si="5"/>
        <v/>
      </c>
      <c r="O434" s="238" t="str">
        <f t="shared" si="6"/>
        <v/>
      </c>
      <c r="P434" s="237" t="str">
        <f>IFERROR(__xludf.DUMMYFUNCTION("IF(ISBLANK(H434),,IF(IFNA(MATCH(H434,SPLIT(Circuits!$S$2,"";""&amp;CHAR(10)),0),0),FALSE,TRUE))"),"")</f>
        <v/>
      </c>
      <c r="Q434" s="237" t="str">
        <f>IF(ISBLANK(H434),,IFNA(VLOOKUP(H434, Circuits!A:U, 21, FALSE),))</f>
        <v/>
      </c>
      <c r="R434" s="238" t="str">
        <f t="shared" si="7"/>
        <v/>
      </c>
      <c r="S434" s="237" t="str">
        <f>IF(ISBLANK(H434),,IFNA(VLOOKUP(H434, Circuits!A:V, 22, FALSE),))</f>
        <v/>
      </c>
      <c r="T434" s="237" t="str">
        <f>IF(ISBLANK(H434),,IFNA(VLOOKUP(H434, Circuits!A:X, 24, FALSE),))</f>
        <v/>
      </c>
      <c r="V434" s="236" t="str">
        <f>IFERROR(__xludf.DUMMYFUNCTION("IF(ISBLANK(H434),,JOIN("","",H434:T434))"),"")</f>
        <v/>
      </c>
      <c r="W434" s="229" t="str">
        <f t="shared" si="1"/>
        <v/>
      </c>
    </row>
    <row r="435">
      <c r="H435" s="237"/>
      <c r="I435" s="237" t="str">
        <f>IFERROR(__xludf.DUMMYFUNCTION("IF(ISBLANK(H435),,IFNA(""""""""&amp;JOIN("","",INDEX(FILTER(A:D,A:A=H435),0,4))&amp;"""""""",))"),"")</f>
        <v/>
      </c>
      <c r="J435" s="237" t="str">
        <f>IF(ISBLANK(H435),,IFNA(VLOOKUP(H435, Circuits!A:W, 23, FALSE),))</f>
        <v/>
      </c>
      <c r="K435" s="238" t="str">
        <f t="shared" si="2"/>
        <v/>
      </c>
      <c r="L435" s="238" t="str">
        <f t="shared" si="3"/>
        <v/>
      </c>
      <c r="M435" s="238" t="str">
        <f t="shared" si="4"/>
        <v/>
      </c>
      <c r="N435" s="238" t="str">
        <f t="shared" si="5"/>
        <v/>
      </c>
      <c r="O435" s="238" t="str">
        <f t="shared" si="6"/>
        <v/>
      </c>
      <c r="P435" s="237" t="str">
        <f>IFERROR(__xludf.DUMMYFUNCTION("IF(ISBLANK(H435),,IF(IFNA(MATCH(H435,SPLIT(Circuits!$S$2,"";""&amp;CHAR(10)),0),0),FALSE,TRUE))"),"")</f>
        <v/>
      </c>
      <c r="Q435" s="237" t="str">
        <f>IF(ISBLANK(H435),,IFNA(VLOOKUP(H435, Circuits!A:U, 21, FALSE),))</f>
        <v/>
      </c>
      <c r="R435" s="238" t="str">
        <f t="shared" si="7"/>
        <v/>
      </c>
      <c r="S435" s="237" t="str">
        <f>IF(ISBLANK(H435),,IFNA(VLOOKUP(H435, Circuits!A:V, 22, FALSE),))</f>
        <v/>
      </c>
      <c r="T435" s="237" t="str">
        <f>IF(ISBLANK(H435),,IFNA(VLOOKUP(H435, Circuits!A:X, 24, FALSE),))</f>
        <v/>
      </c>
      <c r="V435" s="236" t="str">
        <f>IFERROR(__xludf.DUMMYFUNCTION("IF(ISBLANK(H435),,JOIN("","",H435:T435))"),"")</f>
        <v/>
      </c>
      <c r="W435" s="229" t="str">
        <f t="shared" si="1"/>
        <v/>
      </c>
    </row>
    <row r="436">
      <c r="H436" s="237"/>
      <c r="I436" s="237" t="str">
        <f>IFERROR(__xludf.DUMMYFUNCTION("IF(ISBLANK(H436),,IFNA(""""""""&amp;JOIN("","",INDEX(FILTER(A:D,A:A=H436),0,4))&amp;"""""""",))"),"")</f>
        <v/>
      </c>
      <c r="J436" s="237" t="str">
        <f>IF(ISBLANK(H436),,IFNA(VLOOKUP(H436, Circuits!A:W, 23, FALSE),))</f>
        <v/>
      </c>
      <c r="K436" s="238" t="str">
        <f t="shared" si="2"/>
        <v/>
      </c>
      <c r="L436" s="238" t="str">
        <f t="shared" si="3"/>
        <v/>
      </c>
      <c r="M436" s="238" t="str">
        <f t="shared" si="4"/>
        <v/>
      </c>
      <c r="N436" s="238" t="str">
        <f t="shared" si="5"/>
        <v/>
      </c>
      <c r="O436" s="238" t="str">
        <f t="shared" si="6"/>
        <v/>
      </c>
      <c r="P436" s="237" t="str">
        <f>IFERROR(__xludf.DUMMYFUNCTION("IF(ISBLANK(H436),,IF(IFNA(MATCH(H436,SPLIT(Circuits!$S$2,"";""&amp;CHAR(10)),0),0),FALSE,TRUE))"),"")</f>
        <v/>
      </c>
      <c r="Q436" s="237" t="str">
        <f>IF(ISBLANK(H436),,IFNA(VLOOKUP(H436, Circuits!A:U, 21, FALSE),))</f>
        <v/>
      </c>
      <c r="R436" s="238" t="str">
        <f t="shared" si="7"/>
        <v/>
      </c>
      <c r="S436" s="237" t="str">
        <f>IF(ISBLANK(H436),,IFNA(VLOOKUP(H436, Circuits!A:V, 22, FALSE),))</f>
        <v/>
      </c>
      <c r="T436" s="237" t="str">
        <f>IF(ISBLANK(H436),,IFNA(VLOOKUP(H436, Circuits!A:X, 24, FALSE),))</f>
        <v/>
      </c>
      <c r="V436" s="236" t="str">
        <f>IFERROR(__xludf.DUMMYFUNCTION("IF(ISBLANK(H436),,JOIN("","",H436:T436))"),"")</f>
        <v/>
      </c>
      <c r="W436" s="229" t="str">
        <f t="shared" si="1"/>
        <v/>
      </c>
    </row>
    <row r="437">
      <c r="H437" s="237"/>
      <c r="I437" s="237" t="str">
        <f>IFERROR(__xludf.DUMMYFUNCTION("IF(ISBLANK(H437),,IFNA(""""""""&amp;JOIN("","",INDEX(FILTER(A:D,A:A=H437),0,4))&amp;"""""""",))"),"")</f>
        <v/>
      </c>
      <c r="J437" s="237" t="str">
        <f>IF(ISBLANK(H437),,IFNA(VLOOKUP(H437, Circuits!A:W, 23, FALSE),))</f>
        <v/>
      </c>
      <c r="K437" s="238" t="str">
        <f t="shared" si="2"/>
        <v/>
      </c>
      <c r="L437" s="238" t="str">
        <f t="shared" si="3"/>
        <v/>
      </c>
      <c r="M437" s="238" t="str">
        <f t="shared" si="4"/>
        <v/>
      </c>
      <c r="N437" s="238" t="str">
        <f t="shared" si="5"/>
        <v/>
      </c>
      <c r="O437" s="238" t="str">
        <f t="shared" si="6"/>
        <v/>
      </c>
      <c r="P437" s="237" t="str">
        <f>IFERROR(__xludf.DUMMYFUNCTION("IF(ISBLANK(H437),,IF(IFNA(MATCH(H437,SPLIT(Circuits!$S$2,"";""&amp;CHAR(10)),0),0),FALSE,TRUE))"),"")</f>
        <v/>
      </c>
      <c r="Q437" s="237" t="str">
        <f>IF(ISBLANK(H437),,IFNA(VLOOKUP(H437, Circuits!A:U, 21, FALSE),))</f>
        <v/>
      </c>
      <c r="R437" s="238" t="str">
        <f t="shared" si="7"/>
        <v/>
      </c>
      <c r="S437" s="237" t="str">
        <f>IF(ISBLANK(H437),,IFNA(VLOOKUP(H437, Circuits!A:V, 22, FALSE),))</f>
        <v/>
      </c>
      <c r="T437" s="237" t="str">
        <f>IF(ISBLANK(H437),,IFNA(VLOOKUP(H437, Circuits!A:X, 24, FALSE),))</f>
        <v/>
      </c>
      <c r="V437" s="236" t="str">
        <f>IFERROR(__xludf.DUMMYFUNCTION("IF(ISBLANK(H437),,JOIN("","",H437:T437))"),"")</f>
        <v/>
      </c>
      <c r="W437" s="229" t="str">
        <f t="shared" si="1"/>
        <v/>
      </c>
    </row>
    <row r="438">
      <c r="H438" s="237"/>
      <c r="I438" s="237" t="str">
        <f>IFERROR(__xludf.DUMMYFUNCTION("IF(ISBLANK(H438),,IFNA(""""""""&amp;JOIN("","",INDEX(FILTER(A:D,A:A=H438),0,4))&amp;"""""""",))"),"")</f>
        <v/>
      </c>
      <c r="J438" s="237" t="str">
        <f>IF(ISBLANK(H438),,IFNA(VLOOKUP(H438, Circuits!A:W, 23, FALSE),))</f>
        <v/>
      </c>
      <c r="K438" s="238" t="str">
        <f t="shared" si="2"/>
        <v/>
      </c>
      <c r="L438" s="238" t="str">
        <f t="shared" si="3"/>
        <v/>
      </c>
      <c r="M438" s="238" t="str">
        <f t="shared" si="4"/>
        <v/>
      </c>
      <c r="N438" s="238" t="str">
        <f t="shared" si="5"/>
        <v/>
      </c>
      <c r="O438" s="238" t="str">
        <f t="shared" si="6"/>
        <v/>
      </c>
      <c r="P438" s="237" t="str">
        <f>IFERROR(__xludf.DUMMYFUNCTION("IF(ISBLANK(H438),,IF(IFNA(MATCH(H438,SPLIT(Circuits!$S$2,"";""&amp;CHAR(10)),0),0),FALSE,TRUE))"),"")</f>
        <v/>
      </c>
      <c r="Q438" s="237" t="str">
        <f>IF(ISBLANK(H438),,IFNA(VLOOKUP(H438, Circuits!A:U, 21, FALSE),))</f>
        <v/>
      </c>
      <c r="R438" s="238" t="str">
        <f t="shared" si="7"/>
        <v/>
      </c>
      <c r="S438" s="237" t="str">
        <f>IF(ISBLANK(H438),,IFNA(VLOOKUP(H438, Circuits!A:V, 22, FALSE),))</f>
        <v/>
      </c>
      <c r="T438" s="237" t="str">
        <f>IF(ISBLANK(H438),,IFNA(VLOOKUP(H438, Circuits!A:X, 24, FALSE),))</f>
        <v/>
      </c>
      <c r="V438" s="236" t="str">
        <f>IFERROR(__xludf.DUMMYFUNCTION("IF(ISBLANK(H438),,JOIN("","",H438:T438))"),"")</f>
        <v/>
      </c>
      <c r="W438" s="229" t="str">
        <f t="shared" si="1"/>
        <v/>
      </c>
    </row>
    <row r="439">
      <c r="H439" s="237"/>
      <c r="I439" s="237" t="str">
        <f>IFERROR(__xludf.DUMMYFUNCTION("IF(ISBLANK(H439),,IFNA(""""""""&amp;JOIN("","",INDEX(FILTER(A:D,A:A=H439),0,4))&amp;"""""""",))"),"")</f>
        <v/>
      </c>
      <c r="J439" s="237" t="str">
        <f>IF(ISBLANK(H439),,IFNA(VLOOKUP(H439, Circuits!A:W, 23, FALSE),))</f>
        <v/>
      </c>
      <c r="K439" s="238" t="str">
        <f t="shared" si="2"/>
        <v/>
      </c>
      <c r="L439" s="238" t="str">
        <f t="shared" si="3"/>
        <v/>
      </c>
      <c r="M439" s="238" t="str">
        <f t="shared" si="4"/>
        <v/>
      </c>
      <c r="N439" s="238" t="str">
        <f t="shared" si="5"/>
        <v/>
      </c>
      <c r="O439" s="238" t="str">
        <f t="shared" si="6"/>
        <v/>
      </c>
      <c r="P439" s="237" t="str">
        <f>IFERROR(__xludf.DUMMYFUNCTION("IF(ISBLANK(H439),,IF(IFNA(MATCH(H439,SPLIT(Circuits!$S$2,"";""&amp;CHAR(10)),0),0),FALSE,TRUE))"),"")</f>
        <v/>
      </c>
      <c r="Q439" s="237" t="str">
        <f>IF(ISBLANK(H439),,IFNA(VLOOKUP(H439, Circuits!A:U, 21, FALSE),))</f>
        <v/>
      </c>
      <c r="R439" s="238" t="str">
        <f t="shared" si="7"/>
        <v/>
      </c>
      <c r="S439" s="237" t="str">
        <f>IF(ISBLANK(H439),,IFNA(VLOOKUP(H439, Circuits!A:V, 22, FALSE),))</f>
        <v/>
      </c>
      <c r="T439" s="237" t="str">
        <f>IF(ISBLANK(H439),,IFNA(VLOOKUP(H439, Circuits!A:X, 24, FALSE),))</f>
        <v/>
      </c>
      <c r="V439" s="236" t="str">
        <f>IFERROR(__xludf.DUMMYFUNCTION("IF(ISBLANK(H439),,JOIN("","",H439:T439))"),"")</f>
        <v/>
      </c>
      <c r="W439" s="229" t="str">
        <f t="shared" si="1"/>
        <v/>
      </c>
    </row>
    <row r="440">
      <c r="H440" s="237"/>
      <c r="I440" s="237" t="str">
        <f>IFERROR(__xludf.DUMMYFUNCTION("IF(ISBLANK(H440),,IFNA(""""""""&amp;JOIN("","",INDEX(FILTER(A:D,A:A=H440),0,4))&amp;"""""""",))"),"")</f>
        <v/>
      </c>
      <c r="J440" s="237" t="str">
        <f>IF(ISBLANK(H440),,IFNA(VLOOKUP(H440, Circuits!A:W, 23, FALSE),))</f>
        <v/>
      </c>
      <c r="K440" s="238" t="str">
        <f t="shared" si="2"/>
        <v/>
      </c>
      <c r="L440" s="238" t="str">
        <f t="shared" si="3"/>
        <v/>
      </c>
      <c r="M440" s="238" t="str">
        <f t="shared" si="4"/>
        <v/>
      </c>
      <c r="N440" s="238" t="str">
        <f t="shared" si="5"/>
        <v/>
      </c>
      <c r="O440" s="238" t="str">
        <f t="shared" si="6"/>
        <v/>
      </c>
      <c r="P440" s="237" t="str">
        <f>IFERROR(__xludf.DUMMYFUNCTION("IF(ISBLANK(H440),,IF(IFNA(MATCH(H440,SPLIT(Circuits!$S$2,"";""&amp;CHAR(10)),0),0),FALSE,TRUE))"),"")</f>
        <v/>
      </c>
      <c r="Q440" s="237" t="str">
        <f>IF(ISBLANK(H440),,IFNA(VLOOKUP(H440, Circuits!A:U, 21, FALSE),))</f>
        <v/>
      </c>
      <c r="R440" s="238" t="str">
        <f t="shared" si="7"/>
        <v/>
      </c>
      <c r="S440" s="237" t="str">
        <f>IF(ISBLANK(H440),,IFNA(VLOOKUP(H440, Circuits!A:V, 22, FALSE),))</f>
        <v/>
      </c>
      <c r="T440" s="237" t="str">
        <f>IF(ISBLANK(H440),,IFNA(VLOOKUP(H440, Circuits!A:X, 24, FALSE),))</f>
        <v/>
      </c>
      <c r="V440" s="236" t="str">
        <f>IFERROR(__xludf.DUMMYFUNCTION("IF(ISBLANK(H440),,JOIN("","",H440:T440))"),"")</f>
        <v/>
      </c>
      <c r="W440" s="229" t="str">
        <f t="shared" si="1"/>
        <v/>
      </c>
    </row>
    <row r="441">
      <c r="H441" s="237"/>
      <c r="I441" s="237" t="str">
        <f>IFERROR(__xludf.DUMMYFUNCTION("IF(ISBLANK(H441),,IFNA(""""""""&amp;JOIN("","",INDEX(FILTER(A:D,A:A=H441),0,4))&amp;"""""""",))"),"")</f>
        <v/>
      </c>
      <c r="J441" s="237" t="str">
        <f>IF(ISBLANK(H441),,IFNA(VLOOKUP(H441, Circuits!A:W, 23, FALSE),))</f>
        <v/>
      </c>
      <c r="K441" s="238" t="str">
        <f t="shared" si="2"/>
        <v/>
      </c>
      <c r="L441" s="238" t="str">
        <f t="shared" si="3"/>
        <v/>
      </c>
      <c r="M441" s="238" t="str">
        <f t="shared" si="4"/>
        <v/>
      </c>
      <c r="N441" s="238" t="str">
        <f t="shared" si="5"/>
        <v/>
      </c>
      <c r="O441" s="238" t="str">
        <f t="shared" si="6"/>
        <v/>
      </c>
      <c r="P441" s="237" t="str">
        <f>IFERROR(__xludf.DUMMYFUNCTION("IF(ISBLANK(H441),,IF(IFNA(MATCH(H441,SPLIT(Circuits!$S$2,"";""&amp;CHAR(10)),0),0),FALSE,TRUE))"),"")</f>
        <v/>
      </c>
      <c r="Q441" s="237" t="str">
        <f>IF(ISBLANK(H441),,IFNA(VLOOKUP(H441, Circuits!A:U, 21, FALSE),))</f>
        <v/>
      </c>
      <c r="R441" s="238" t="str">
        <f t="shared" si="7"/>
        <v/>
      </c>
      <c r="S441" s="237" t="str">
        <f>IF(ISBLANK(H441),,IFNA(VLOOKUP(H441, Circuits!A:V, 22, FALSE),))</f>
        <v/>
      </c>
      <c r="T441" s="237" t="str">
        <f>IF(ISBLANK(H441),,IFNA(VLOOKUP(H441, Circuits!A:X, 24, FALSE),))</f>
        <v/>
      </c>
      <c r="V441" s="236" t="str">
        <f>IFERROR(__xludf.DUMMYFUNCTION("IF(ISBLANK(H441),,JOIN("","",H441:T441))"),"")</f>
        <v/>
      </c>
      <c r="W441" s="229" t="str">
        <f t="shared" si="1"/>
        <v/>
      </c>
    </row>
    <row r="442">
      <c r="H442" s="237"/>
      <c r="I442" s="237" t="str">
        <f>IFERROR(__xludf.DUMMYFUNCTION("IF(ISBLANK(H442),,IFNA(""""""""&amp;JOIN("","",INDEX(FILTER(A:D,A:A=H442),0,4))&amp;"""""""",))"),"")</f>
        <v/>
      </c>
      <c r="J442" s="237" t="str">
        <f>IF(ISBLANK(H442),,IFNA(VLOOKUP(H442, Circuits!A:W, 23, FALSE),))</f>
        <v/>
      </c>
      <c r="K442" s="238" t="str">
        <f t="shared" si="2"/>
        <v/>
      </c>
      <c r="L442" s="238" t="str">
        <f t="shared" si="3"/>
        <v/>
      </c>
      <c r="M442" s="238" t="str">
        <f t="shared" si="4"/>
        <v/>
      </c>
      <c r="N442" s="238" t="str">
        <f t="shared" si="5"/>
        <v/>
      </c>
      <c r="O442" s="238" t="str">
        <f t="shared" si="6"/>
        <v/>
      </c>
      <c r="P442" s="237" t="str">
        <f>IFERROR(__xludf.DUMMYFUNCTION("IF(ISBLANK(H442),,IF(IFNA(MATCH(H442,SPLIT(Circuits!$S$2,"";""&amp;CHAR(10)),0),0),FALSE,TRUE))"),"")</f>
        <v/>
      </c>
      <c r="Q442" s="237" t="str">
        <f>IF(ISBLANK(H442),,IFNA(VLOOKUP(H442, Circuits!A:U, 21, FALSE),))</f>
        <v/>
      </c>
      <c r="R442" s="238" t="str">
        <f t="shared" si="7"/>
        <v/>
      </c>
      <c r="S442" s="237" t="str">
        <f>IF(ISBLANK(H442),,IFNA(VLOOKUP(H442, Circuits!A:V, 22, FALSE),))</f>
        <v/>
      </c>
      <c r="T442" s="237" t="str">
        <f>IF(ISBLANK(H442),,IFNA(VLOOKUP(H442, Circuits!A:X, 24, FALSE),))</f>
        <v/>
      </c>
      <c r="V442" s="236" t="str">
        <f>IFERROR(__xludf.DUMMYFUNCTION("IF(ISBLANK(H442),,JOIN("","",H442:T442))"),"")</f>
        <v/>
      </c>
      <c r="W442" s="229" t="str">
        <f t="shared" si="1"/>
        <v/>
      </c>
    </row>
    <row r="443">
      <c r="H443" s="237"/>
      <c r="I443" s="237" t="str">
        <f>IFERROR(__xludf.DUMMYFUNCTION("IF(ISBLANK(H443),,IFNA(""""""""&amp;JOIN("","",INDEX(FILTER(A:D,A:A=H443),0,4))&amp;"""""""",))"),"")</f>
        <v/>
      </c>
      <c r="J443" s="237" t="str">
        <f>IF(ISBLANK(H443),,IFNA(VLOOKUP(H443, Circuits!A:W, 23, FALSE),))</f>
        <v/>
      </c>
      <c r="K443" s="238" t="str">
        <f t="shared" si="2"/>
        <v/>
      </c>
      <c r="L443" s="238" t="str">
        <f t="shared" si="3"/>
        <v/>
      </c>
      <c r="M443" s="238" t="str">
        <f t="shared" si="4"/>
        <v/>
      </c>
      <c r="N443" s="238" t="str">
        <f t="shared" si="5"/>
        <v/>
      </c>
      <c r="O443" s="238" t="str">
        <f t="shared" si="6"/>
        <v/>
      </c>
      <c r="P443" s="237" t="str">
        <f>IFERROR(__xludf.DUMMYFUNCTION("IF(ISBLANK(H443),,IF(IFNA(MATCH(H443,SPLIT(Circuits!$S$2,"";""&amp;CHAR(10)),0),0),FALSE,TRUE))"),"")</f>
        <v/>
      </c>
      <c r="Q443" s="237" t="str">
        <f>IF(ISBLANK(H443),,IFNA(VLOOKUP(H443, Circuits!A:U, 21, FALSE),))</f>
        <v/>
      </c>
      <c r="R443" s="238" t="str">
        <f t="shared" si="7"/>
        <v/>
      </c>
      <c r="S443" s="237" t="str">
        <f>IF(ISBLANK(H443),,IFNA(VLOOKUP(H443, Circuits!A:V, 22, FALSE),))</f>
        <v/>
      </c>
      <c r="T443" s="237" t="str">
        <f>IF(ISBLANK(H443),,IFNA(VLOOKUP(H443, Circuits!A:X, 24, FALSE),))</f>
        <v/>
      </c>
      <c r="V443" s="236" t="str">
        <f>IFERROR(__xludf.DUMMYFUNCTION("IF(ISBLANK(H443),,JOIN("","",H443:T443))"),"")</f>
        <v/>
      </c>
      <c r="W443" s="229" t="str">
        <f t="shared" si="1"/>
        <v/>
      </c>
    </row>
    <row r="444">
      <c r="H444" s="237"/>
      <c r="I444" s="237" t="str">
        <f>IFERROR(__xludf.DUMMYFUNCTION("IF(ISBLANK(H444),,IFNA(""""""""&amp;JOIN("","",INDEX(FILTER(A:D,A:A=H444),0,4))&amp;"""""""",))"),"")</f>
        <v/>
      </c>
      <c r="J444" s="237" t="str">
        <f>IF(ISBLANK(H444),,IFNA(VLOOKUP(H444, Circuits!A:W, 23, FALSE),))</f>
        <v/>
      </c>
      <c r="K444" s="238" t="str">
        <f t="shared" si="2"/>
        <v/>
      </c>
      <c r="L444" s="238" t="str">
        <f t="shared" si="3"/>
        <v/>
      </c>
      <c r="M444" s="238" t="str">
        <f t="shared" si="4"/>
        <v/>
      </c>
      <c r="N444" s="238" t="str">
        <f t="shared" si="5"/>
        <v/>
      </c>
      <c r="O444" s="238" t="str">
        <f t="shared" si="6"/>
        <v/>
      </c>
      <c r="P444" s="237" t="str">
        <f>IFERROR(__xludf.DUMMYFUNCTION("IF(ISBLANK(H444),,IF(IFNA(MATCH(H444,SPLIT(Circuits!$S$2,"";""&amp;CHAR(10)),0),0),FALSE,TRUE))"),"")</f>
        <v/>
      </c>
      <c r="Q444" s="237" t="str">
        <f>IF(ISBLANK(H444),,IFNA(VLOOKUP(H444, Circuits!A:U, 21, FALSE),))</f>
        <v/>
      </c>
      <c r="R444" s="238" t="str">
        <f t="shared" si="7"/>
        <v/>
      </c>
      <c r="S444" s="237" t="str">
        <f>IF(ISBLANK(H444),,IFNA(VLOOKUP(H444, Circuits!A:V, 22, FALSE),))</f>
        <v/>
      </c>
      <c r="T444" s="237" t="str">
        <f>IF(ISBLANK(H444),,IFNA(VLOOKUP(H444, Circuits!A:X, 24, FALSE),))</f>
        <v/>
      </c>
      <c r="V444" s="236" t="str">
        <f>IFERROR(__xludf.DUMMYFUNCTION("IF(ISBLANK(H444),,JOIN("","",H444:T444))"),"")</f>
        <v/>
      </c>
      <c r="W444" s="229" t="str">
        <f t="shared" si="1"/>
        <v/>
      </c>
    </row>
    <row r="445">
      <c r="H445" s="237"/>
      <c r="I445" s="237" t="str">
        <f>IFERROR(__xludf.DUMMYFUNCTION("IF(ISBLANK(H445),,IFNA(""""""""&amp;JOIN("","",INDEX(FILTER(A:D,A:A=H445),0,4))&amp;"""""""",))"),"")</f>
        <v/>
      </c>
      <c r="J445" s="237" t="str">
        <f>IF(ISBLANK(H445),,IFNA(VLOOKUP(H445, Circuits!A:W, 23, FALSE),))</f>
        <v/>
      </c>
      <c r="K445" s="238" t="str">
        <f t="shared" si="2"/>
        <v/>
      </c>
      <c r="L445" s="238" t="str">
        <f t="shared" si="3"/>
        <v/>
      </c>
      <c r="M445" s="238" t="str">
        <f t="shared" si="4"/>
        <v/>
      </c>
      <c r="N445" s="238" t="str">
        <f t="shared" si="5"/>
        <v/>
      </c>
      <c r="O445" s="238" t="str">
        <f t="shared" si="6"/>
        <v/>
      </c>
      <c r="P445" s="237" t="str">
        <f>IFERROR(__xludf.DUMMYFUNCTION("IF(ISBLANK(H445),,IF(IFNA(MATCH(H445,SPLIT(Circuits!$S$2,"";""&amp;CHAR(10)),0),0),FALSE,TRUE))"),"")</f>
        <v/>
      </c>
      <c r="Q445" s="237" t="str">
        <f>IF(ISBLANK(H445),,IFNA(VLOOKUP(H445, Circuits!A:U, 21, FALSE),))</f>
        <v/>
      </c>
      <c r="R445" s="238" t="str">
        <f t="shared" si="7"/>
        <v/>
      </c>
      <c r="S445" s="237" t="str">
        <f>IF(ISBLANK(H445),,IFNA(VLOOKUP(H445, Circuits!A:V, 22, FALSE),))</f>
        <v/>
      </c>
      <c r="T445" s="237" t="str">
        <f>IF(ISBLANK(H445),,IFNA(VLOOKUP(H445, Circuits!A:X, 24, FALSE),))</f>
        <v/>
      </c>
      <c r="V445" s="236" t="str">
        <f>IFERROR(__xludf.DUMMYFUNCTION("IF(ISBLANK(H445),,JOIN("","",H445:T445))"),"")</f>
        <v/>
      </c>
      <c r="W445" s="229" t="str">
        <f t="shared" si="1"/>
        <v/>
      </c>
    </row>
    <row r="446">
      <c r="H446" s="237"/>
      <c r="I446" s="237" t="str">
        <f>IFERROR(__xludf.DUMMYFUNCTION("IF(ISBLANK(H446),,IFNA(""""""""&amp;JOIN("","",INDEX(FILTER(A:D,A:A=H446),0,4))&amp;"""""""",))"),"")</f>
        <v/>
      </c>
      <c r="J446" s="237" t="str">
        <f>IF(ISBLANK(H446),,IFNA(VLOOKUP(H446, Circuits!A:W, 23, FALSE),))</f>
        <v/>
      </c>
      <c r="K446" s="238" t="str">
        <f t="shared" si="2"/>
        <v/>
      </c>
      <c r="L446" s="238" t="str">
        <f t="shared" si="3"/>
        <v/>
      </c>
      <c r="M446" s="238" t="str">
        <f t="shared" si="4"/>
        <v/>
      </c>
      <c r="N446" s="238" t="str">
        <f t="shared" si="5"/>
        <v/>
      </c>
      <c r="O446" s="238" t="str">
        <f t="shared" si="6"/>
        <v/>
      </c>
      <c r="P446" s="237" t="str">
        <f>IFERROR(__xludf.DUMMYFUNCTION("IF(ISBLANK(H446),,IF(IFNA(MATCH(H446,SPLIT(Circuits!$S$2,"";""&amp;CHAR(10)),0),0),FALSE,TRUE))"),"")</f>
        <v/>
      </c>
      <c r="Q446" s="237" t="str">
        <f>IF(ISBLANK(H446),,IFNA(VLOOKUP(H446, Circuits!A:U, 21, FALSE),))</f>
        <v/>
      </c>
      <c r="R446" s="238" t="str">
        <f t="shared" si="7"/>
        <v/>
      </c>
      <c r="S446" s="237" t="str">
        <f>IF(ISBLANK(H446),,IFNA(VLOOKUP(H446, Circuits!A:V, 22, FALSE),))</f>
        <v/>
      </c>
      <c r="T446" s="237" t="str">
        <f>IF(ISBLANK(H446),,IFNA(VLOOKUP(H446, Circuits!A:X, 24, FALSE),))</f>
        <v/>
      </c>
      <c r="V446" s="236" t="str">
        <f>IFERROR(__xludf.DUMMYFUNCTION("IF(ISBLANK(H446),,JOIN("","",H446:T446))"),"")</f>
        <v/>
      </c>
      <c r="W446" s="229" t="str">
        <f t="shared" si="1"/>
        <v/>
      </c>
    </row>
    <row r="447">
      <c r="H447" s="237"/>
      <c r="I447" s="237" t="str">
        <f>IFERROR(__xludf.DUMMYFUNCTION("IF(ISBLANK(H447),,IFNA(""""""""&amp;JOIN("","",INDEX(FILTER(A:D,A:A=H447),0,4))&amp;"""""""",))"),"")</f>
        <v/>
      </c>
      <c r="J447" s="237" t="str">
        <f>IF(ISBLANK(H447),,IFNA(VLOOKUP(H447, Circuits!A:W, 23, FALSE),))</f>
        <v/>
      </c>
      <c r="K447" s="238" t="str">
        <f t="shared" si="2"/>
        <v/>
      </c>
      <c r="L447" s="238" t="str">
        <f t="shared" si="3"/>
        <v/>
      </c>
      <c r="M447" s="238" t="str">
        <f t="shared" si="4"/>
        <v/>
      </c>
      <c r="N447" s="238" t="str">
        <f t="shared" si="5"/>
        <v/>
      </c>
      <c r="O447" s="238" t="str">
        <f t="shared" si="6"/>
        <v/>
      </c>
      <c r="P447" s="237" t="str">
        <f>IFERROR(__xludf.DUMMYFUNCTION("IF(ISBLANK(H447),,IF(IFNA(MATCH(H447,SPLIT(Circuits!$S$2,"";""&amp;CHAR(10)),0),0),FALSE,TRUE))"),"")</f>
        <v/>
      </c>
      <c r="Q447" s="237" t="str">
        <f>IF(ISBLANK(H447),,IFNA(VLOOKUP(H447, Circuits!A:U, 21, FALSE),))</f>
        <v/>
      </c>
      <c r="R447" s="238" t="str">
        <f t="shared" si="7"/>
        <v/>
      </c>
      <c r="S447" s="237" t="str">
        <f>IF(ISBLANK(H447),,IFNA(VLOOKUP(H447, Circuits!A:V, 22, FALSE),))</f>
        <v/>
      </c>
      <c r="T447" s="237" t="str">
        <f>IF(ISBLANK(H447),,IFNA(VLOOKUP(H447, Circuits!A:X, 24, FALSE),))</f>
        <v/>
      </c>
      <c r="V447" s="236" t="str">
        <f>IFERROR(__xludf.DUMMYFUNCTION("IF(ISBLANK(H447),,JOIN("","",H447:T447))"),"")</f>
        <v/>
      </c>
      <c r="W447" s="229" t="str">
        <f t="shared" si="1"/>
        <v/>
      </c>
    </row>
    <row r="448">
      <c r="H448" s="237"/>
      <c r="I448" s="237" t="str">
        <f>IFERROR(__xludf.DUMMYFUNCTION("IF(ISBLANK(H448),,IFNA(""""""""&amp;JOIN("","",INDEX(FILTER(A:D,A:A=H448),0,4))&amp;"""""""",))"),"")</f>
        <v/>
      </c>
      <c r="J448" s="237" t="str">
        <f>IF(ISBLANK(H448),,IFNA(VLOOKUP(H448, Circuits!A:W, 23, FALSE),))</f>
        <v/>
      </c>
      <c r="K448" s="238" t="str">
        <f t="shared" si="2"/>
        <v/>
      </c>
      <c r="L448" s="238" t="str">
        <f t="shared" si="3"/>
        <v/>
      </c>
      <c r="M448" s="238" t="str">
        <f t="shared" si="4"/>
        <v/>
      </c>
      <c r="N448" s="238" t="str">
        <f t="shared" si="5"/>
        <v/>
      </c>
      <c r="O448" s="238" t="str">
        <f t="shared" si="6"/>
        <v/>
      </c>
      <c r="P448" s="237" t="str">
        <f>IFERROR(__xludf.DUMMYFUNCTION("IF(ISBLANK(H448),,IF(IFNA(MATCH(H448,SPLIT(Circuits!$S$2,"";""&amp;CHAR(10)),0),0),FALSE,TRUE))"),"")</f>
        <v/>
      </c>
      <c r="Q448" s="237" t="str">
        <f>IF(ISBLANK(H448),,IFNA(VLOOKUP(H448, Circuits!A:U, 21, FALSE),))</f>
        <v/>
      </c>
      <c r="R448" s="238" t="str">
        <f t="shared" si="7"/>
        <v/>
      </c>
      <c r="S448" s="237" t="str">
        <f>IF(ISBLANK(H448),,IFNA(VLOOKUP(H448, Circuits!A:V, 22, FALSE),))</f>
        <v/>
      </c>
      <c r="T448" s="237" t="str">
        <f>IF(ISBLANK(H448),,IFNA(VLOOKUP(H448, Circuits!A:X, 24, FALSE),))</f>
        <v/>
      </c>
      <c r="V448" s="236" t="str">
        <f>IFERROR(__xludf.DUMMYFUNCTION("IF(ISBLANK(H448),,JOIN("","",H448:T448))"),"")</f>
        <v/>
      </c>
      <c r="W448" s="229" t="str">
        <f t="shared" si="1"/>
        <v/>
      </c>
    </row>
    <row r="449">
      <c r="H449" s="237"/>
      <c r="I449" s="237" t="str">
        <f>IFERROR(__xludf.DUMMYFUNCTION("IF(ISBLANK(H449),,IFNA(""""""""&amp;JOIN("","",INDEX(FILTER(A:D,A:A=H449),0,4))&amp;"""""""",))"),"")</f>
        <v/>
      </c>
      <c r="J449" s="237" t="str">
        <f>IF(ISBLANK(H449),,IFNA(VLOOKUP(H449, Circuits!A:W, 23, FALSE),))</f>
        <v/>
      </c>
      <c r="K449" s="238" t="str">
        <f t="shared" si="2"/>
        <v/>
      </c>
      <c r="L449" s="238" t="str">
        <f t="shared" si="3"/>
        <v/>
      </c>
      <c r="M449" s="238" t="str">
        <f t="shared" si="4"/>
        <v/>
      </c>
      <c r="N449" s="238" t="str">
        <f t="shared" si="5"/>
        <v/>
      </c>
      <c r="O449" s="238" t="str">
        <f t="shared" si="6"/>
        <v/>
      </c>
      <c r="P449" s="237" t="str">
        <f>IFERROR(__xludf.DUMMYFUNCTION("IF(ISBLANK(H449),,IF(IFNA(MATCH(H449,SPLIT(Circuits!$S$2,"";""&amp;CHAR(10)),0),0),FALSE,TRUE))"),"")</f>
        <v/>
      </c>
      <c r="Q449" s="237" t="str">
        <f>IF(ISBLANK(H449),,IFNA(VLOOKUP(H449, Circuits!A:U, 21, FALSE),))</f>
        <v/>
      </c>
      <c r="R449" s="238" t="str">
        <f t="shared" si="7"/>
        <v/>
      </c>
      <c r="S449" s="237" t="str">
        <f>IF(ISBLANK(H449),,IFNA(VLOOKUP(H449, Circuits!A:V, 22, FALSE),))</f>
        <v/>
      </c>
      <c r="T449" s="237" t="str">
        <f>IF(ISBLANK(H449),,IFNA(VLOOKUP(H449, Circuits!A:X, 24, FALSE),))</f>
        <v/>
      </c>
      <c r="V449" s="236" t="str">
        <f>IFERROR(__xludf.DUMMYFUNCTION("IF(ISBLANK(H449),,JOIN("","",H449:T449))"),"")</f>
        <v/>
      </c>
      <c r="W449" s="229" t="str">
        <f t="shared" si="1"/>
        <v/>
      </c>
    </row>
    <row r="450">
      <c r="H450" s="237"/>
      <c r="I450" s="237" t="str">
        <f>IFERROR(__xludf.DUMMYFUNCTION("IF(ISBLANK(H450),,IFNA(""""""""&amp;JOIN("","",INDEX(FILTER(A:D,A:A=H450),0,4))&amp;"""""""",))"),"")</f>
        <v/>
      </c>
      <c r="J450" s="237" t="str">
        <f>IF(ISBLANK(H450),,IFNA(VLOOKUP(H450, Circuits!A:W, 23, FALSE),))</f>
        <v/>
      </c>
      <c r="K450" s="238" t="str">
        <f t="shared" si="2"/>
        <v/>
      </c>
      <c r="L450" s="238" t="str">
        <f t="shared" si="3"/>
        <v/>
      </c>
      <c r="M450" s="238" t="str">
        <f t="shared" si="4"/>
        <v/>
      </c>
      <c r="N450" s="238" t="str">
        <f t="shared" si="5"/>
        <v/>
      </c>
      <c r="O450" s="238" t="str">
        <f t="shared" si="6"/>
        <v/>
      </c>
      <c r="P450" s="237" t="str">
        <f>IFERROR(__xludf.DUMMYFUNCTION("IF(ISBLANK(H450),,IF(IFNA(MATCH(H450,SPLIT(Circuits!$S$2,"";""&amp;CHAR(10)),0),0),FALSE,TRUE))"),"")</f>
        <v/>
      </c>
      <c r="Q450" s="237" t="str">
        <f>IF(ISBLANK(H450),,IFNA(VLOOKUP(H450, Circuits!A:U, 21, FALSE),))</f>
        <v/>
      </c>
      <c r="R450" s="238" t="str">
        <f t="shared" si="7"/>
        <v/>
      </c>
      <c r="S450" s="237" t="str">
        <f>IF(ISBLANK(H450),,IFNA(VLOOKUP(H450, Circuits!A:V, 22, FALSE),))</f>
        <v/>
      </c>
      <c r="T450" s="237" t="str">
        <f>IF(ISBLANK(H450),,IFNA(VLOOKUP(H450, Circuits!A:X, 24, FALSE),))</f>
        <v/>
      </c>
      <c r="V450" s="236" t="str">
        <f>IFERROR(__xludf.DUMMYFUNCTION("IF(ISBLANK(H450),,JOIN("","",H450:T450))"),"")</f>
        <v/>
      </c>
      <c r="W450" s="229" t="str">
        <f t="shared" si="1"/>
        <v/>
      </c>
    </row>
    <row r="451">
      <c r="H451" s="237"/>
      <c r="I451" s="237" t="str">
        <f>IFERROR(__xludf.DUMMYFUNCTION("IF(ISBLANK(H451),,IFNA(""""""""&amp;JOIN("","",INDEX(FILTER(A:D,A:A=H451),0,4))&amp;"""""""",))"),"")</f>
        <v/>
      </c>
      <c r="J451" s="237" t="str">
        <f>IF(ISBLANK(H451),,IFNA(VLOOKUP(H451, Circuits!A:W, 23, FALSE),))</f>
        <v/>
      </c>
      <c r="K451" s="238" t="str">
        <f t="shared" si="2"/>
        <v/>
      </c>
      <c r="L451" s="238" t="str">
        <f t="shared" si="3"/>
        <v/>
      </c>
      <c r="M451" s="238" t="str">
        <f t="shared" si="4"/>
        <v/>
      </c>
      <c r="N451" s="238" t="str">
        <f t="shared" si="5"/>
        <v/>
      </c>
      <c r="O451" s="238" t="str">
        <f t="shared" si="6"/>
        <v/>
      </c>
      <c r="P451" s="237" t="str">
        <f>IFERROR(__xludf.DUMMYFUNCTION("IF(ISBLANK(H451),,IF(IFNA(MATCH(H451,SPLIT(Circuits!$S$2,"";""&amp;CHAR(10)),0),0),FALSE,TRUE))"),"")</f>
        <v/>
      </c>
      <c r="Q451" s="237" t="str">
        <f>IF(ISBLANK(H451),,IFNA(VLOOKUP(H451, Circuits!A:U, 21, FALSE),))</f>
        <v/>
      </c>
      <c r="R451" s="238" t="str">
        <f t="shared" si="7"/>
        <v/>
      </c>
      <c r="S451" s="237" t="str">
        <f>IF(ISBLANK(H451),,IFNA(VLOOKUP(H451, Circuits!A:V, 22, FALSE),))</f>
        <v/>
      </c>
      <c r="T451" s="237" t="str">
        <f>IF(ISBLANK(H451),,IFNA(VLOOKUP(H451, Circuits!A:X, 24, FALSE),))</f>
        <v/>
      </c>
      <c r="V451" s="236" t="str">
        <f>IFERROR(__xludf.DUMMYFUNCTION("IF(ISBLANK(H451),,JOIN("","",H451:T451))"),"")</f>
        <v/>
      </c>
      <c r="W451" s="229" t="str">
        <f t="shared" si="1"/>
        <v/>
      </c>
    </row>
    <row r="452">
      <c r="H452" s="237"/>
      <c r="I452" s="237" t="str">
        <f>IFERROR(__xludf.DUMMYFUNCTION("IF(ISBLANK(H452),,IFNA(""""""""&amp;JOIN("","",INDEX(FILTER(A:D,A:A=H452),0,4))&amp;"""""""",))"),"")</f>
        <v/>
      </c>
      <c r="J452" s="237" t="str">
        <f>IF(ISBLANK(H452),,IFNA(VLOOKUP(H452, Circuits!A:W, 23, FALSE),))</f>
        <v/>
      </c>
      <c r="K452" s="238" t="str">
        <f t="shared" si="2"/>
        <v/>
      </c>
      <c r="L452" s="238" t="str">
        <f t="shared" si="3"/>
        <v/>
      </c>
      <c r="M452" s="238" t="str">
        <f t="shared" si="4"/>
        <v/>
      </c>
      <c r="N452" s="238" t="str">
        <f t="shared" si="5"/>
        <v/>
      </c>
      <c r="O452" s="238" t="str">
        <f t="shared" si="6"/>
        <v/>
      </c>
      <c r="P452" s="237" t="str">
        <f>IFERROR(__xludf.DUMMYFUNCTION("IF(ISBLANK(H452),,IF(IFNA(MATCH(H452,SPLIT(Circuits!$S$2,"";""&amp;CHAR(10)),0),0),FALSE,TRUE))"),"")</f>
        <v/>
      </c>
      <c r="Q452" s="237" t="str">
        <f>IF(ISBLANK(H452),,IFNA(VLOOKUP(H452, Circuits!A:U, 21, FALSE),))</f>
        <v/>
      </c>
      <c r="R452" s="238" t="str">
        <f t="shared" si="7"/>
        <v/>
      </c>
      <c r="S452" s="237" t="str">
        <f>IF(ISBLANK(H452),,IFNA(VLOOKUP(H452, Circuits!A:V, 22, FALSE),))</f>
        <v/>
      </c>
      <c r="T452" s="237" t="str">
        <f>IF(ISBLANK(H452),,IFNA(VLOOKUP(H452, Circuits!A:X, 24, FALSE),))</f>
        <v/>
      </c>
      <c r="V452" s="236" t="str">
        <f>IFERROR(__xludf.DUMMYFUNCTION("IF(ISBLANK(H452),,JOIN("","",H452:T452))"),"")</f>
        <v/>
      </c>
      <c r="W452" s="229" t="str">
        <f t="shared" si="1"/>
        <v/>
      </c>
    </row>
    <row r="453">
      <c r="H453" s="237"/>
      <c r="I453" s="237" t="str">
        <f>IFERROR(__xludf.DUMMYFUNCTION("IF(ISBLANK(H453),,IFNA(""""""""&amp;JOIN("","",INDEX(FILTER(A:D,A:A=H453),0,4))&amp;"""""""",))"),"")</f>
        <v/>
      </c>
      <c r="J453" s="237" t="str">
        <f>IF(ISBLANK(H453),,IFNA(VLOOKUP(H453, Circuits!A:W, 23, FALSE),))</f>
        <v/>
      </c>
      <c r="K453" s="238" t="str">
        <f t="shared" si="2"/>
        <v/>
      </c>
      <c r="L453" s="238" t="str">
        <f t="shared" si="3"/>
        <v/>
      </c>
      <c r="M453" s="238" t="str">
        <f t="shared" si="4"/>
        <v/>
      </c>
      <c r="N453" s="238" t="str">
        <f t="shared" si="5"/>
        <v/>
      </c>
      <c r="O453" s="238" t="str">
        <f t="shared" si="6"/>
        <v/>
      </c>
      <c r="P453" s="237" t="str">
        <f>IFERROR(__xludf.DUMMYFUNCTION("IF(ISBLANK(H453),,IF(IFNA(MATCH(H453,SPLIT(Circuits!$S$2,"";""&amp;CHAR(10)),0),0),FALSE,TRUE))"),"")</f>
        <v/>
      </c>
      <c r="Q453" s="237" t="str">
        <f>IF(ISBLANK(H453),,IFNA(VLOOKUP(H453, Circuits!A:U, 21, FALSE),))</f>
        <v/>
      </c>
      <c r="R453" s="238" t="str">
        <f t="shared" si="7"/>
        <v/>
      </c>
      <c r="S453" s="237" t="str">
        <f>IF(ISBLANK(H453),,IFNA(VLOOKUP(H453, Circuits!A:V, 22, FALSE),))</f>
        <v/>
      </c>
      <c r="T453" s="237" t="str">
        <f>IF(ISBLANK(H453),,IFNA(VLOOKUP(H453, Circuits!A:X, 24, FALSE),))</f>
        <v/>
      </c>
      <c r="V453" s="236" t="str">
        <f>IFERROR(__xludf.DUMMYFUNCTION("IF(ISBLANK(H453),,JOIN("","",H453:T453))"),"")</f>
        <v/>
      </c>
      <c r="W453" s="229" t="str">
        <f t="shared" si="1"/>
        <v/>
      </c>
    </row>
    <row r="454">
      <c r="H454" s="237"/>
      <c r="I454" s="237" t="str">
        <f>IFERROR(__xludf.DUMMYFUNCTION("IF(ISBLANK(H454),,IFNA(""""""""&amp;JOIN("","",INDEX(FILTER(A:D,A:A=H454),0,4))&amp;"""""""",))"),"")</f>
        <v/>
      </c>
      <c r="J454" s="237" t="str">
        <f>IF(ISBLANK(H454),,IFNA(VLOOKUP(H454, Circuits!A:W, 23, FALSE),))</f>
        <v/>
      </c>
      <c r="K454" s="238" t="str">
        <f t="shared" si="2"/>
        <v/>
      </c>
      <c r="L454" s="238" t="str">
        <f t="shared" si="3"/>
        <v/>
      </c>
      <c r="M454" s="238" t="str">
        <f t="shared" si="4"/>
        <v/>
      </c>
      <c r="N454" s="238" t="str">
        <f t="shared" si="5"/>
        <v/>
      </c>
      <c r="O454" s="238" t="str">
        <f t="shared" si="6"/>
        <v/>
      </c>
      <c r="P454" s="237" t="str">
        <f>IFERROR(__xludf.DUMMYFUNCTION("IF(ISBLANK(H454),,IF(IFNA(MATCH(H454,SPLIT(Circuits!$S$2,"";""&amp;CHAR(10)),0),0),FALSE,TRUE))"),"")</f>
        <v/>
      </c>
      <c r="Q454" s="237" t="str">
        <f>IF(ISBLANK(H454),,IFNA(VLOOKUP(H454, Circuits!A:U, 21, FALSE),))</f>
        <v/>
      </c>
      <c r="R454" s="238" t="str">
        <f t="shared" si="7"/>
        <v/>
      </c>
      <c r="S454" s="237" t="str">
        <f>IF(ISBLANK(H454),,IFNA(VLOOKUP(H454, Circuits!A:V, 22, FALSE),))</f>
        <v/>
      </c>
      <c r="T454" s="237" t="str">
        <f>IF(ISBLANK(H454),,IFNA(VLOOKUP(H454, Circuits!A:X, 24, FALSE),))</f>
        <v/>
      </c>
      <c r="V454" s="236" t="str">
        <f>IFERROR(__xludf.DUMMYFUNCTION("IF(ISBLANK(H454),,JOIN("","",H454:T454))"),"")</f>
        <v/>
      </c>
      <c r="W454" s="229" t="str">
        <f t="shared" si="1"/>
        <v/>
      </c>
    </row>
    <row r="455">
      <c r="H455" s="237"/>
      <c r="I455" s="237" t="str">
        <f>IFERROR(__xludf.DUMMYFUNCTION("IF(ISBLANK(H455),,IFNA(""""""""&amp;JOIN("","",INDEX(FILTER(A:D,A:A=H455),0,4))&amp;"""""""",))"),"")</f>
        <v/>
      </c>
      <c r="J455" s="237" t="str">
        <f>IF(ISBLANK(H455),,IFNA(VLOOKUP(H455, Circuits!A:W, 23, FALSE),))</f>
        <v/>
      </c>
      <c r="K455" s="238" t="str">
        <f t="shared" si="2"/>
        <v/>
      </c>
      <c r="L455" s="238" t="str">
        <f t="shared" si="3"/>
        <v/>
      </c>
      <c r="M455" s="238" t="str">
        <f t="shared" si="4"/>
        <v/>
      </c>
      <c r="N455" s="238" t="str">
        <f t="shared" si="5"/>
        <v/>
      </c>
      <c r="O455" s="238" t="str">
        <f t="shared" si="6"/>
        <v/>
      </c>
      <c r="P455" s="237" t="str">
        <f>IFERROR(__xludf.DUMMYFUNCTION("IF(ISBLANK(H455),,IF(IFNA(MATCH(H455,SPLIT(Circuits!$S$2,"";""&amp;CHAR(10)),0),0),FALSE,TRUE))"),"")</f>
        <v/>
      </c>
      <c r="Q455" s="237" t="str">
        <f>IF(ISBLANK(H455),,IFNA(VLOOKUP(H455, Circuits!A:U, 21, FALSE),))</f>
        <v/>
      </c>
      <c r="R455" s="238" t="str">
        <f t="shared" si="7"/>
        <v/>
      </c>
      <c r="S455" s="237" t="str">
        <f>IF(ISBLANK(H455),,IFNA(VLOOKUP(H455, Circuits!A:V, 22, FALSE),))</f>
        <v/>
      </c>
      <c r="T455" s="237" t="str">
        <f>IF(ISBLANK(H455),,IFNA(VLOOKUP(H455, Circuits!A:X, 24, FALSE),))</f>
        <v/>
      </c>
      <c r="V455" s="236" t="str">
        <f>IFERROR(__xludf.DUMMYFUNCTION("IF(ISBLANK(H455),,JOIN("","",H455:T455))"),"")</f>
        <v/>
      </c>
      <c r="W455" s="229" t="str">
        <f t="shared" si="1"/>
        <v/>
      </c>
    </row>
    <row r="456">
      <c r="H456" s="237"/>
      <c r="I456" s="237" t="str">
        <f>IFERROR(__xludf.DUMMYFUNCTION("IF(ISBLANK(H456),,IFNA(""""""""&amp;JOIN("","",INDEX(FILTER(A:D,A:A=H456),0,4))&amp;"""""""",))"),"")</f>
        <v/>
      </c>
      <c r="J456" s="237" t="str">
        <f>IF(ISBLANK(H456),,IFNA(VLOOKUP(H456, Circuits!A:W, 23, FALSE),))</f>
        <v/>
      </c>
      <c r="K456" s="238" t="str">
        <f t="shared" si="2"/>
        <v/>
      </c>
      <c r="L456" s="238" t="str">
        <f t="shared" si="3"/>
        <v/>
      </c>
      <c r="M456" s="238" t="str">
        <f t="shared" si="4"/>
        <v/>
      </c>
      <c r="N456" s="238" t="str">
        <f t="shared" si="5"/>
        <v/>
      </c>
      <c r="O456" s="238" t="str">
        <f t="shared" si="6"/>
        <v/>
      </c>
      <c r="P456" s="237" t="str">
        <f>IFERROR(__xludf.DUMMYFUNCTION("IF(ISBLANK(H456),,IF(IFNA(MATCH(H456,SPLIT(Circuits!$S$2,"";""&amp;CHAR(10)),0),0),FALSE,TRUE))"),"")</f>
        <v/>
      </c>
      <c r="Q456" s="237" t="str">
        <f>IF(ISBLANK(H456),,IFNA(VLOOKUP(H456, Circuits!A:U, 21, FALSE),))</f>
        <v/>
      </c>
      <c r="R456" s="238" t="str">
        <f t="shared" si="7"/>
        <v/>
      </c>
      <c r="S456" s="237" t="str">
        <f>IF(ISBLANK(H456),,IFNA(VLOOKUP(H456, Circuits!A:V, 22, FALSE),))</f>
        <v/>
      </c>
      <c r="T456" s="237" t="str">
        <f>IF(ISBLANK(H456),,IFNA(VLOOKUP(H456, Circuits!A:X, 24, FALSE),))</f>
        <v/>
      </c>
      <c r="V456" s="236" t="str">
        <f>IFERROR(__xludf.DUMMYFUNCTION("IF(ISBLANK(H456),,JOIN("","",H456:T456))"),"")</f>
        <v/>
      </c>
      <c r="W456" s="229" t="str">
        <f t="shared" si="1"/>
        <v/>
      </c>
    </row>
    <row r="457">
      <c r="H457" s="237"/>
      <c r="I457" s="237" t="str">
        <f>IFERROR(__xludf.DUMMYFUNCTION("IF(ISBLANK(H457),,IFNA(""""""""&amp;JOIN("","",INDEX(FILTER(A:D,A:A=H457),0,4))&amp;"""""""",))"),"")</f>
        <v/>
      </c>
      <c r="J457" s="237" t="str">
        <f>IF(ISBLANK(H457),,IFNA(VLOOKUP(H457, Circuits!A:W, 23, FALSE),))</f>
        <v/>
      </c>
      <c r="K457" s="238" t="str">
        <f t="shared" si="2"/>
        <v/>
      </c>
      <c r="L457" s="238" t="str">
        <f t="shared" si="3"/>
        <v/>
      </c>
      <c r="M457" s="238" t="str">
        <f t="shared" si="4"/>
        <v/>
      </c>
      <c r="N457" s="238" t="str">
        <f t="shared" si="5"/>
        <v/>
      </c>
      <c r="O457" s="238" t="str">
        <f t="shared" si="6"/>
        <v/>
      </c>
      <c r="P457" s="237" t="str">
        <f>IFERROR(__xludf.DUMMYFUNCTION("IF(ISBLANK(H457),,IF(IFNA(MATCH(H457,SPLIT(Circuits!$S$2,"";""&amp;CHAR(10)),0),0),FALSE,TRUE))"),"")</f>
        <v/>
      </c>
      <c r="Q457" s="237" t="str">
        <f>IF(ISBLANK(H457),,IFNA(VLOOKUP(H457, Circuits!A:U, 21, FALSE),))</f>
        <v/>
      </c>
      <c r="R457" s="238" t="str">
        <f t="shared" si="7"/>
        <v/>
      </c>
      <c r="S457" s="237" t="str">
        <f>IF(ISBLANK(H457),,IFNA(VLOOKUP(H457, Circuits!A:V, 22, FALSE),))</f>
        <v/>
      </c>
      <c r="T457" s="237" t="str">
        <f>IF(ISBLANK(H457),,IFNA(VLOOKUP(H457, Circuits!A:X, 24, FALSE),))</f>
        <v/>
      </c>
      <c r="V457" s="236" t="str">
        <f>IFERROR(__xludf.DUMMYFUNCTION("IF(ISBLANK(H457),,JOIN("","",H457:T457))"),"")</f>
        <v/>
      </c>
      <c r="W457" s="229" t="str">
        <f t="shared" si="1"/>
        <v/>
      </c>
    </row>
    <row r="458">
      <c r="H458" s="237"/>
      <c r="I458" s="237" t="str">
        <f>IFERROR(__xludf.DUMMYFUNCTION("IF(ISBLANK(H458),,IFNA(""""""""&amp;JOIN("","",INDEX(FILTER(A:D,A:A=H458),0,4))&amp;"""""""",))"),"")</f>
        <v/>
      </c>
      <c r="J458" s="237" t="str">
        <f>IF(ISBLANK(H458),,IFNA(VLOOKUP(H458, Circuits!A:W, 23, FALSE),))</f>
        <v/>
      </c>
      <c r="K458" s="238" t="str">
        <f t="shared" si="2"/>
        <v/>
      </c>
      <c r="L458" s="238" t="str">
        <f t="shared" si="3"/>
        <v/>
      </c>
      <c r="M458" s="238" t="str">
        <f t="shared" si="4"/>
        <v/>
      </c>
      <c r="N458" s="238" t="str">
        <f t="shared" si="5"/>
        <v/>
      </c>
      <c r="O458" s="238" t="str">
        <f t="shared" si="6"/>
        <v/>
      </c>
      <c r="P458" s="237" t="str">
        <f>IFERROR(__xludf.DUMMYFUNCTION("IF(ISBLANK(H458),,IF(IFNA(MATCH(H458,SPLIT(Circuits!$S$2,"";""&amp;CHAR(10)),0),0),FALSE,TRUE))"),"")</f>
        <v/>
      </c>
      <c r="Q458" s="237" t="str">
        <f>IF(ISBLANK(H458),,IFNA(VLOOKUP(H458, Circuits!A:U, 21, FALSE),))</f>
        <v/>
      </c>
      <c r="R458" s="238" t="str">
        <f t="shared" si="7"/>
        <v/>
      </c>
      <c r="S458" s="237" t="str">
        <f>IF(ISBLANK(H458),,IFNA(VLOOKUP(H458, Circuits!A:V, 22, FALSE),))</f>
        <v/>
      </c>
      <c r="T458" s="237" t="str">
        <f>IF(ISBLANK(H458),,IFNA(VLOOKUP(H458, Circuits!A:X, 24, FALSE),))</f>
        <v/>
      </c>
      <c r="V458" s="236" t="str">
        <f>IFERROR(__xludf.DUMMYFUNCTION("IF(ISBLANK(H458),,JOIN("","",H458:T458))"),"")</f>
        <v/>
      </c>
      <c r="W458" s="229" t="str">
        <f t="shared" si="1"/>
        <v/>
      </c>
    </row>
    <row r="459">
      <c r="H459" s="237"/>
      <c r="I459" s="237" t="str">
        <f>IFERROR(__xludf.DUMMYFUNCTION("IF(ISBLANK(H459),,IFNA(""""""""&amp;JOIN("","",INDEX(FILTER(A:D,A:A=H459),0,4))&amp;"""""""",))"),"")</f>
        <v/>
      </c>
      <c r="J459" s="237" t="str">
        <f>IF(ISBLANK(H459),,IFNA(VLOOKUP(H459, Circuits!A:W, 23, FALSE),))</f>
        <v/>
      </c>
      <c r="K459" s="238" t="str">
        <f t="shared" si="2"/>
        <v/>
      </c>
      <c r="L459" s="238" t="str">
        <f t="shared" si="3"/>
        <v/>
      </c>
      <c r="M459" s="238" t="str">
        <f t="shared" si="4"/>
        <v/>
      </c>
      <c r="N459" s="238" t="str">
        <f t="shared" si="5"/>
        <v/>
      </c>
      <c r="O459" s="238" t="str">
        <f t="shared" si="6"/>
        <v/>
      </c>
      <c r="P459" s="237" t="str">
        <f>IFERROR(__xludf.DUMMYFUNCTION("IF(ISBLANK(H459),,IF(IFNA(MATCH(H459,SPLIT(Circuits!$S$2,"";""&amp;CHAR(10)),0),0),FALSE,TRUE))"),"")</f>
        <v/>
      </c>
      <c r="Q459" s="237" t="str">
        <f>IF(ISBLANK(H459),,IFNA(VLOOKUP(H459, Circuits!A:U, 21, FALSE),))</f>
        <v/>
      </c>
      <c r="R459" s="238" t="str">
        <f t="shared" si="7"/>
        <v/>
      </c>
      <c r="S459" s="237" t="str">
        <f>IF(ISBLANK(H459),,IFNA(VLOOKUP(H459, Circuits!A:V, 22, FALSE),))</f>
        <v/>
      </c>
      <c r="T459" s="237" t="str">
        <f>IF(ISBLANK(H459),,IFNA(VLOOKUP(H459, Circuits!A:X, 24, FALSE),))</f>
        <v/>
      </c>
      <c r="V459" s="236" t="str">
        <f>IFERROR(__xludf.DUMMYFUNCTION("IF(ISBLANK(H459),,JOIN("","",H459:T459))"),"")</f>
        <v/>
      </c>
      <c r="W459" s="229" t="str">
        <f t="shared" si="1"/>
        <v/>
      </c>
    </row>
    <row r="460">
      <c r="H460" s="237"/>
      <c r="I460" s="237" t="str">
        <f>IFERROR(__xludf.DUMMYFUNCTION("IF(ISBLANK(H460),,IFNA(""""""""&amp;JOIN("","",INDEX(FILTER(A:D,A:A=H460),0,4))&amp;"""""""",))"),"")</f>
        <v/>
      </c>
      <c r="J460" s="237" t="str">
        <f>IF(ISBLANK(H460),,IFNA(VLOOKUP(H460, Circuits!A:W, 23, FALSE),))</f>
        <v/>
      </c>
      <c r="K460" s="238" t="str">
        <f t="shared" si="2"/>
        <v/>
      </c>
      <c r="L460" s="238" t="str">
        <f t="shared" si="3"/>
        <v/>
      </c>
      <c r="M460" s="238" t="str">
        <f t="shared" si="4"/>
        <v/>
      </c>
      <c r="N460" s="238" t="str">
        <f t="shared" si="5"/>
        <v/>
      </c>
      <c r="O460" s="238" t="str">
        <f t="shared" si="6"/>
        <v/>
      </c>
      <c r="P460" s="237" t="str">
        <f>IFERROR(__xludf.DUMMYFUNCTION("IF(ISBLANK(H460),,IF(IFNA(MATCH(H460,SPLIT(Circuits!$S$2,"";""&amp;CHAR(10)),0),0),FALSE,TRUE))"),"")</f>
        <v/>
      </c>
      <c r="Q460" s="237" t="str">
        <f>IF(ISBLANK(H460),,IFNA(VLOOKUP(H460, Circuits!A:U, 21, FALSE),))</f>
        <v/>
      </c>
      <c r="R460" s="238" t="str">
        <f t="shared" si="7"/>
        <v/>
      </c>
      <c r="S460" s="237" t="str">
        <f>IF(ISBLANK(H460),,IFNA(VLOOKUP(H460, Circuits!A:V, 22, FALSE),))</f>
        <v/>
      </c>
      <c r="T460" s="237" t="str">
        <f>IF(ISBLANK(H460),,IFNA(VLOOKUP(H460, Circuits!A:X, 24, FALSE),))</f>
        <v/>
      </c>
      <c r="V460" s="236" t="str">
        <f>IFERROR(__xludf.DUMMYFUNCTION("IF(ISBLANK(H460),,JOIN("","",H460:T460))"),"")</f>
        <v/>
      </c>
      <c r="W460" s="229" t="str">
        <f t="shared" si="1"/>
        <v/>
      </c>
    </row>
    <row r="461">
      <c r="H461" s="237"/>
      <c r="I461" s="237" t="str">
        <f>IFERROR(__xludf.DUMMYFUNCTION("IF(ISBLANK(H461),,IFNA(""""""""&amp;JOIN("","",INDEX(FILTER(A:D,A:A=H461),0,4))&amp;"""""""",))"),"")</f>
        <v/>
      </c>
      <c r="J461" s="237" t="str">
        <f>IF(ISBLANK(H461),,IFNA(VLOOKUP(H461, Circuits!A:W, 23, FALSE),))</f>
        <v/>
      </c>
      <c r="K461" s="238" t="str">
        <f t="shared" si="2"/>
        <v/>
      </c>
      <c r="L461" s="238" t="str">
        <f t="shared" si="3"/>
        <v/>
      </c>
      <c r="M461" s="238" t="str">
        <f t="shared" si="4"/>
        <v/>
      </c>
      <c r="N461" s="238" t="str">
        <f t="shared" si="5"/>
        <v/>
      </c>
      <c r="O461" s="238" t="str">
        <f t="shared" si="6"/>
        <v/>
      </c>
      <c r="P461" s="237" t="str">
        <f>IFERROR(__xludf.DUMMYFUNCTION("IF(ISBLANK(H461),,IF(IFNA(MATCH(H461,SPLIT(Circuits!$S$2,"";""&amp;CHAR(10)),0),0),FALSE,TRUE))"),"")</f>
        <v/>
      </c>
      <c r="Q461" s="237" t="str">
        <f>IF(ISBLANK(H461),,IFNA(VLOOKUP(H461, Circuits!A:U, 21, FALSE),))</f>
        <v/>
      </c>
      <c r="R461" s="238" t="str">
        <f t="shared" si="7"/>
        <v/>
      </c>
      <c r="S461" s="237" t="str">
        <f>IF(ISBLANK(H461),,IFNA(VLOOKUP(H461, Circuits!A:V, 22, FALSE),))</f>
        <v/>
      </c>
      <c r="T461" s="237" t="str">
        <f>IF(ISBLANK(H461),,IFNA(VLOOKUP(H461, Circuits!A:X, 24, FALSE),))</f>
        <v/>
      </c>
      <c r="V461" s="236" t="str">
        <f>IFERROR(__xludf.DUMMYFUNCTION("IF(ISBLANK(H461),,JOIN("","",H461:T461))"),"")</f>
        <v/>
      </c>
      <c r="W461" s="229" t="str">
        <f t="shared" si="1"/>
        <v/>
      </c>
    </row>
    <row r="462">
      <c r="H462" s="237"/>
      <c r="I462" s="237" t="str">
        <f>IFERROR(__xludf.DUMMYFUNCTION("IF(ISBLANK(H462),,IFNA(""""""""&amp;JOIN("","",INDEX(FILTER(A:D,A:A=H462),0,4))&amp;"""""""",))"),"")</f>
        <v/>
      </c>
      <c r="J462" s="237" t="str">
        <f>IF(ISBLANK(H462),,IFNA(VLOOKUP(H462, Circuits!A:W, 23, FALSE),))</f>
        <v/>
      </c>
      <c r="K462" s="238" t="str">
        <f t="shared" si="2"/>
        <v/>
      </c>
      <c r="L462" s="238" t="str">
        <f t="shared" si="3"/>
        <v/>
      </c>
      <c r="M462" s="238" t="str">
        <f t="shared" si="4"/>
        <v/>
      </c>
      <c r="N462" s="238" t="str">
        <f t="shared" si="5"/>
        <v/>
      </c>
      <c r="O462" s="238" t="str">
        <f t="shared" si="6"/>
        <v/>
      </c>
      <c r="P462" s="237" t="str">
        <f>IFERROR(__xludf.DUMMYFUNCTION("IF(ISBLANK(H462),,IF(IFNA(MATCH(H462,SPLIT(Circuits!$S$2,"";""&amp;CHAR(10)),0),0),FALSE,TRUE))"),"")</f>
        <v/>
      </c>
      <c r="Q462" s="237" t="str">
        <f>IF(ISBLANK(H462),,IFNA(VLOOKUP(H462, Circuits!A:U, 21, FALSE),))</f>
        <v/>
      </c>
      <c r="R462" s="238" t="str">
        <f t="shared" si="7"/>
        <v/>
      </c>
      <c r="S462" s="237" t="str">
        <f>IF(ISBLANK(H462),,IFNA(VLOOKUP(H462, Circuits!A:V, 22, FALSE),))</f>
        <v/>
      </c>
      <c r="T462" s="237" t="str">
        <f>IF(ISBLANK(H462),,IFNA(VLOOKUP(H462, Circuits!A:X, 24, FALSE),))</f>
        <v/>
      </c>
      <c r="V462" s="236" t="str">
        <f>IFERROR(__xludf.DUMMYFUNCTION("IF(ISBLANK(H462),,JOIN("","",H462:T462))"),"")</f>
        <v/>
      </c>
      <c r="W462" s="229" t="str">
        <f t="shared" si="1"/>
        <v/>
      </c>
    </row>
    <row r="463">
      <c r="H463" s="237"/>
      <c r="I463" s="237" t="str">
        <f>IFERROR(__xludf.DUMMYFUNCTION("IF(ISBLANK(H463),,IFNA(""""""""&amp;JOIN("","",INDEX(FILTER(A:D,A:A=H463),0,4))&amp;"""""""",))"),"")</f>
        <v/>
      </c>
      <c r="J463" s="237" t="str">
        <f>IF(ISBLANK(H463),,IFNA(VLOOKUP(H463, Circuits!A:W, 23, FALSE),))</f>
        <v/>
      </c>
      <c r="K463" s="238" t="str">
        <f t="shared" si="2"/>
        <v/>
      </c>
      <c r="L463" s="238" t="str">
        <f t="shared" si="3"/>
        <v/>
      </c>
      <c r="M463" s="238" t="str">
        <f t="shared" si="4"/>
        <v/>
      </c>
      <c r="N463" s="238" t="str">
        <f t="shared" si="5"/>
        <v/>
      </c>
      <c r="O463" s="238" t="str">
        <f t="shared" si="6"/>
        <v/>
      </c>
      <c r="P463" s="237" t="str">
        <f>IFERROR(__xludf.DUMMYFUNCTION("IF(ISBLANK(H463),,IF(IFNA(MATCH(H463,SPLIT(Circuits!$S$2,"";""&amp;CHAR(10)),0),0),FALSE,TRUE))"),"")</f>
        <v/>
      </c>
      <c r="Q463" s="237" t="str">
        <f>IF(ISBLANK(H463),,IFNA(VLOOKUP(H463, Circuits!A:U, 21, FALSE),))</f>
        <v/>
      </c>
      <c r="R463" s="238" t="str">
        <f t="shared" si="7"/>
        <v/>
      </c>
      <c r="S463" s="237" t="str">
        <f>IF(ISBLANK(H463),,IFNA(VLOOKUP(H463, Circuits!A:V, 22, FALSE),))</f>
        <v/>
      </c>
      <c r="T463" s="237" t="str">
        <f>IF(ISBLANK(H463),,IFNA(VLOOKUP(H463, Circuits!A:X, 24, FALSE),))</f>
        <v/>
      </c>
      <c r="V463" s="236" t="str">
        <f>IFERROR(__xludf.DUMMYFUNCTION("IF(ISBLANK(H463),,JOIN("","",H463:T463))"),"")</f>
        <v/>
      </c>
      <c r="W463" s="229" t="str">
        <f t="shared" si="1"/>
        <v/>
      </c>
    </row>
    <row r="464">
      <c r="H464" s="237"/>
      <c r="I464" s="237" t="str">
        <f>IFERROR(__xludf.DUMMYFUNCTION("IF(ISBLANK(H464),,IFNA(""""""""&amp;JOIN("","",INDEX(FILTER(A:D,A:A=H464),0,4))&amp;"""""""",))"),"")</f>
        <v/>
      </c>
      <c r="J464" s="237" t="str">
        <f>IF(ISBLANK(H464),,IFNA(VLOOKUP(H464, Circuits!A:W, 23, FALSE),))</f>
        <v/>
      </c>
      <c r="K464" s="238" t="str">
        <f t="shared" si="2"/>
        <v/>
      </c>
      <c r="L464" s="238" t="str">
        <f t="shared" si="3"/>
        <v/>
      </c>
      <c r="M464" s="238" t="str">
        <f t="shared" si="4"/>
        <v/>
      </c>
      <c r="N464" s="238" t="str">
        <f t="shared" si="5"/>
        <v/>
      </c>
      <c r="O464" s="238" t="str">
        <f t="shared" si="6"/>
        <v/>
      </c>
      <c r="P464" s="237" t="str">
        <f>IFERROR(__xludf.DUMMYFUNCTION("IF(ISBLANK(H464),,IF(IFNA(MATCH(H464,SPLIT(Circuits!$S$2,"";""&amp;CHAR(10)),0),0),FALSE,TRUE))"),"")</f>
        <v/>
      </c>
      <c r="Q464" s="237" t="str">
        <f>IF(ISBLANK(H464),,IFNA(VLOOKUP(H464, Circuits!A:U, 21, FALSE),))</f>
        <v/>
      </c>
      <c r="R464" s="238" t="str">
        <f t="shared" si="7"/>
        <v/>
      </c>
      <c r="S464" s="237" t="str">
        <f>IF(ISBLANK(H464),,IFNA(VLOOKUP(H464, Circuits!A:V, 22, FALSE),))</f>
        <v/>
      </c>
      <c r="T464" s="237" t="str">
        <f>IF(ISBLANK(H464),,IFNA(VLOOKUP(H464, Circuits!A:X, 24, FALSE),))</f>
        <v/>
      </c>
      <c r="V464" s="236" t="str">
        <f>IFERROR(__xludf.DUMMYFUNCTION("IF(ISBLANK(H464),,JOIN("","",H464:T464))"),"")</f>
        <v/>
      </c>
      <c r="W464" s="229" t="str">
        <f t="shared" si="1"/>
        <v/>
      </c>
    </row>
    <row r="465">
      <c r="H465" s="237"/>
      <c r="I465" s="237" t="str">
        <f>IFERROR(__xludf.DUMMYFUNCTION("IF(ISBLANK(H465),,IFNA(""""""""&amp;JOIN("","",INDEX(FILTER(A:D,A:A=H465),0,4))&amp;"""""""",))"),"")</f>
        <v/>
      </c>
      <c r="J465" s="237" t="str">
        <f>IF(ISBLANK(H465),,IFNA(VLOOKUP(H465, Circuits!A:W, 23, FALSE),))</f>
        <v/>
      </c>
      <c r="K465" s="238" t="str">
        <f t="shared" si="2"/>
        <v/>
      </c>
      <c r="L465" s="238" t="str">
        <f t="shared" si="3"/>
        <v/>
      </c>
      <c r="M465" s="238" t="str">
        <f t="shared" si="4"/>
        <v/>
      </c>
      <c r="N465" s="238" t="str">
        <f t="shared" si="5"/>
        <v/>
      </c>
      <c r="O465" s="238" t="str">
        <f t="shared" si="6"/>
        <v/>
      </c>
      <c r="P465" s="237" t="str">
        <f>IFERROR(__xludf.DUMMYFUNCTION("IF(ISBLANK(H465),,IF(IFNA(MATCH(H465,SPLIT(Circuits!$S$2,"";""&amp;CHAR(10)),0),0),FALSE,TRUE))"),"")</f>
        <v/>
      </c>
      <c r="Q465" s="237" t="str">
        <f>IF(ISBLANK(H465),,IFNA(VLOOKUP(H465, Circuits!A:U, 21, FALSE),))</f>
        <v/>
      </c>
      <c r="R465" s="238" t="str">
        <f t="shared" si="7"/>
        <v/>
      </c>
      <c r="S465" s="237" t="str">
        <f>IF(ISBLANK(H465),,IFNA(VLOOKUP(H465, Circuits!A:V, 22, FALSE),))</f>
        <v/>
      </c>
      <c r="T465" s="237" t="str">
        <f>IF(ISBLANK(H465),,IFNA(VLOOKUP(H465, Circuits!A:X, 24, FALSE),))</f>
        <v/>
      </c>
      <c r="V465" s="236" t="str">
        <f>IFERROR(__xludf.DUMMYFUNCTION("IF(ISBLANK(H465),,JOIN("","",H465:T465))"),"")</f>
        <v/>
      </c>
      <c r="W465" s="229" t="str">
        <f t="shared" si="1"/>
        <v/>
      </c>
    </row>
    <row r="466">
      <c r="H466" s="237"/>
      <c r="I466" s="237" t="str">
        <f>IFERROR(__xludf.DUMMYFUNCTION("IF(ISBLANK(H466),,IFNA(""""""""&amp;JOIN("","",INDEX(FILTER(A:D,A:A=H466),0,4))&amp;"""""""",))"),"")</f>
        <v/>
      </c>
      <c r="J466" s="237" t="str">
        <f>IF(ISBLANK(H466),,IFNA(VLOOKUP(H466, Circuits!A:W, 23, FALSE),))</f>
        <v/>
      </c>
      <c r="K466" s="238" t="str">
        <f t="shared" si="2"/>
        <v/>
      </c>
      <c r="L466" s="238" t="str">
        <f t="shared" si="3"/>
        <v/>
      </c>
      <c r="M466" s="238" t="str">
        <f t="shared" si="4"/>
        <v/>
      </c>
      <c r="N466" s="238" t="str">
        <f t="shared" si="5"/>
        <v/>
      </c>
      <c r="O466" s="238" t="str">
        <f t="shared" si="6"/>
        <v/>
      </c>
      <c r="P466" s="237" t="str">
        <f>IFERROR(__xludf.DUMMYFUNCTION("IF(ISBLANK(H466),,IF(IFNA(MATCH(H466,SPLIT(Circuits!$S$2,"";""&amp;CHAR(10)),0),0),FALSE,TRUE))"),"")</f>
        <v/>
      </c>
      <c r="Q466" s="237" t="str">
        <f>IF(ISBLANK(H466),,IFNA(VLOOKUP(H466, Circuits!A:U, 21, FALSE),))</f>
        <v/>
      </c>
      <c r="R466" s="238" t="str">
        <f t="shared" si="7"/>
        <v/>
      </c>
      <c r="S466" s="237" t="str">
        <f>IF(ISBLANK(H466),,IFNA(VLOOKUP(H466, Circuits!A:V, 22, FALSE),))</f>
        <v/>
      </c>
      <c r="T466" s="237" t="str">
        <f>IF(ISBLANK(H466),,IFNA(VLOOKUP(H466, Circuits!A:X, 24, FALSE),))</f>
        <v/>
      </c>
      <c r="V466" s="236" t="str">
        <f>IFERROR(__xludf.DUMMYFUNCTION("IF(ISBLANK(H466),,JOIN("","",H466:T466))"),"")</f>
        <v/>
      </c>
      <c r="W466" s="229" t="str">
        <f t="shared" si="1"/>
        <v/>
      </c>
    </row>
    <row r="467">
      <c r="H467" s="237"/>
      <c r="I467" s="237" t="str">
        <f>IFERROR(__xludf.DUMMYFUNCTION("IF(ISBLANK(H467),,IFNA(""""""""&amp;JOIN("","",INDEX(FILTER(A:D,A:A=H467),0,4))&amp;"""""""",))"),"")</f>
        <v/>
      </c>
      <c r="J467" s="237" t="str">
        <f>IF(ISBLANK(H467),,IFNA(VLOOKUP(H467, Circuits!A:W, 23, FALSE),))</f>
        <v/>
      </c>
      <c r="K467" s="238" t="str">
        <f t="shared" si="2"/>
        <v/>
      </c>
      <c r="L467" s="238" t="str">
        <f t="shared" si="3"/>
        <v/>
      </c>
      <c r="M467" s="238" t="str">
        <f t="shared" si="4"/>
        <v/>
      </c>
      <c r="N467" s="238" t="str">
        <f t="shared" si="5"/>
        <v/>
      </c>
      <c r="O467" s="238" t="str">
        <f t="shared" si="6"/>
        <v/>
      </c>
      <c r="P467" s="237" t="str">
        <f>IFERROR(__xludf.DUMMYFUNCTION("IF(ISBLANK(H467),,IF(IFNA(MATCH(H467,SPLIT(Circuits!$S$2,"";""&amp;CHAR(10)),0),0),FALSE,TRUE))"),"")</f>
        <v/>
      </c>
      <c r="Q467" s="237" t="str">
        <f>IF(ISBLANK(H467),,IFNA(VLOOKUP(H467, Circuits!A:U, 21, FALSE),))</f>
        <v/>
      </c>
      <c r="R467" s="238" t="str">
        <f t="shared" si="7"/>
        <v/>
      </c>
      <c r="S467" s="237" t="str">
        <f>IF(ISBLANK(H467),,IFNA(VLOOKUP(H467, Circuits!A:V, 22, FALSE),))</f>
        <v/>
      </c>
      <c r="T467" s="237" t="str">
        <f>IF(ISBLANK(H467),,IFNA(VLOOKUP(H467, Circuits!A:X, 24, FALSE),))</f>
        <v/>
      </c>
      <c r="V467" s="236" t="str">
        <f>IFERROR(__xludf.DUMMYFUNCTION("IF(ISBLANK(H467),,JOIN("","",H467:T467))"),"")</f>
        <v/>
      </c>
      <c r="W467" s="229" t="str">
        <f t="shared" si="1"/>
        <v/>
      </c>
    </row>
    <row r="468">
      <c r="H468" s="237"/>
      <c r="I468" s="237" t="str">
        <f>IFERROR(__xludf.DUMMYFUNCTION("IF(ISBLANK(H468),,IFNA(""""""""&amp;JOIN("","",INDEX(FILTER(A:D,A:A=H468),0,4))&amp;"""""""",))"),"")</f>
        <v/>
      </c>
      <c r="J468" s="237" t="str">
        <f>IF(ISBLANK(H468),,IFNA(VLOOKUP(H468, Circuits!A:W, 23, FALSE),))</f>
        <v/>
      </c>
      <c r="K468" s="238" t="str">
        <f t="shared" si="2"/>
        <v/>
      </c>
      <c r="L468" s="238" t="str">
        <f t="shared" si="3"/>
        <v/>
      </c>
      <c r="M468" s="238" t="str">
        <f t="shared" si="4"/>
        <v/>
      </c>
      <c r="N468" s="238" t="str">
        <f t="shared" si="5"/>
        <v/>
      </c>
      <c r="O468" s="238" t="str">
        <f t="shared" si="6"/>
        <v/>
      </c>
      <c r="P468" s="237" t="str">
        <f>IFERROR(__xludf.DUMMYFUNCTION("IF(ISBLANK(H468),,IF(IFNA(MATCH(H468,SPLIT(Circuits!$S$2,"";""&amp;CHAR(10)),0),0),FALSE,TRUE))"),"")</f>
        <v/>
      </c>
      <c r="Q468" s="237" t="str">
        <f>IF(ISBLANK(H468),,IFNA(VLOOKUP(H468, Circuits!A:U, 21, FALSE),))</f>
        <v/>
      </c>
      <c r="R468" s="238" t="str">
        <f t="shared" si="7"/>
        <v/>
      </c>
      <c r="S468" s="237" t="str">
        <f>IF(ISBLANK(H468),,IFNA(VLOOKUP(H468, Circuits!A:V, 22, FALSE),))</f>
        <v/>
      </c>
      <c r="T468" s="237" t="str">
        <f>IF(ISBLANK(H468),,IFNA(VLOOKUP(H468, Circuits!A:X, 24, FALSE),))</f>
        <v/>
      </c>
      <c r="V468" s="236" t="str">
        <f>IFERROR(__xludf.DUMMYFUNCTION("IF(ISBLANK(H468),,JOIN("","",H468:T468))"),"")</f>
        <v/>
      </c>
      <c r="W468" s="229" t="str">
        <f t="shared" si="1"/>
        <v/>
      </c>
    </row>
    <row r="469">
      <c r="H469" s="237"/>
      <c r="I469" s="237" t="str">
        <f>IFERROR(__xludf.DUMMYFUNCTION("IF(ISBLANK(H469),,IFNA(""""""""&amp;JOIN("","",INDEX(FILTER(A:D,A:A=H469),0,4))&amp;"""""""",))"),"")</f>
        <v/>
      </c>
      <c r="J469" s="237" t="str">
        <f>IF(ISBLANK(H469),,IFNA(VLOOKUP(H469, Circuits!A:W, 23, FALSE),))</f>
        <v/>
      </c>
      <c r="K469" s="238" t="str">
        <f t="shared" si="2"/>
        <v/>
      </c>
      <c r="L469" s="238" t="str">
        <f t="shared" si="3"/>
        <v/>
      </c>
      <c r="M469" s="238" t="str">
        <f t="shared" si="4"/>
        <v/>
      </c>
      <c r="N469" s="238" t="str">
        <f t="shared" si="5"/>
        <v/>
      </c>
      <c r="O469" s="238" t="str">
        <f t="shared" si="6"/>
        <v/>
      </c>
      <c r="P469" s="237" t="str">
        <f>IFERROR(__xludf.DUMMYFUNCTION("IF(ISBLANK(H469),,IF(IFNA(MATCH(H469,SPLIT(Circuits!$S$2,"";""&amp;CHAR(10)),0),0),FALSE,TRUE))"),"")</f>
        <v/>
      </c>
      <c r="Q469" s="237" t="str">
        <f>IF(ISBLANK(H469),,IFNA(VLOOKUP(H469, Circuits!A:U, 21, FALSE),))</f>
        <v/>
      </c>
      <c r="R469" s="238" t="str">
        <f t="shared" si="7"/>
        <v/>
      </c>
      <c r="S469" s="237" t="str">
        <f>IF(ISBLANK(H469),,IFNA(VLOOKUP(H469, Circuits!A:V, 22, FALSE),))</f>
        <v/>
      </c>
      <c r="T469" s="237" t="str">
        <f>IF(ISBLANK(H469),,IFNA(VLOOKUP(H469, Circuits!A:X, 24, FALSE),))</f>
        <v/>
      </c>
      <c r="V469" s="236" t="str">
        <f>IFERROR(__xludf.DUMMYFUNCTION("IF(ISBLANK(H469),,JOIN("","",H469:T469))"),"")</f>
        <v/>
      </c>
      <c r="W469" s="229" t="str">
        <f t="shared" si="1"/>
        <v/>
      </c>
    </row>
    <row r="470">
      <c r="H470" s="237"/>
      <c r="I470" s="237" t="str">
        <f>IFERROR(__xludf.DUMMYFUNCTION("IF(ISBLANK(H470),,IFNA(""""""""&amp;JOIN("","",INDEX(FILTER(A:D,A:A=H470),0,4))&amp;"""""""",))"),"")</f>
        <v/>
      </c>
      <c r="J470" s="237" t="str">
        <f>IF(ISBLANK(H470),,IFNA(VLOOKUP(H470, Circuits!A:W, 23, FALSE),))</f>
        <v/>
      </c>
      <c r="K470" s="238" t="str">
        <f t="shared" si="2"/>
        <v/>
      </c>
      <c r="L470" s="238" t="str">
        <f t="shared" si="3"/>
        <v/>
      </c>
      <c r="M470" s="238" t="str">
        <f t="shared" si="4"/>
        <v/>
      </c>
      <c r="N470" s="238" t="str">
        <f t="shared" si="5"/>
        <v/>
      </c>
      <c r="O470" s="238" t="str">
        <f t="shared" si="6"/>
        <v/>
      </c>
      <c r="P470" s="237" t="str">
        <f>IFERROR(__xludf.DUMMYFUNCTION("IF(ISBLANK(H470),,IF(IFNA(MATCH(H470,SPLIT(Circuits!$S$2,"";""&amp;CHAR(10)),0),0),FALSE,TRUE))"),"")</f>
        <v/>
      </c>
      <c r="Q470" s="237" t="str">
        <f>IF(ISBLANK(H470),,IFNA(VLOOKUP(H470, Circuits!A:U, 21, FALSE),))</f>
        <v/>
      </c>
      <c r="R470" s="238" t="str">
        <f t="shared" si="7"/>
        <v/>
      </c>
      <c r="S470" s="237" t="str">
        <f>IF(ISBLANK(H470),,IFNA(VLOOKUP(H470, Circuits!A:V, 22, FALSE),))</f>
        <v/>
      </c>
      <c r="T470" s="237" t="str">
        <f>IF(ISBLANK(H470),,IFNA(VLOOKUP(H470, Circuits!A:X, 24, FALSE),))</f>
        <v/>
      </c>
      <c r="V470" s="236" t="str">
        <f>IFERROR(__xludf.DUMMYFUNCTION("IF(ISBLANK(H470),,JOIN("","",H470:T470))"),"")</f>
        <v/>
      </c>
      <c r="W470" s="229" t="str">
        <f t="shared" si="1"/>
        <v/>
      </c>
    </row>
    <row r="471">
      <c r="H471" s="237"/>
      <c r="I471" s="237" t="str">
        <f>IFERROR(__xludf.DUMMYFUNCTION("IF(ISBLANK(H471),,IFNA(""""""""&amp;JOIN("","",INDEX(FILTER(A:D,A:A=H471),0,4))&amp;"""""""",))"),"")</f>
        <v/>
      </c>
      <c r="J471" s="237" t="str">
        <f>IF(ISBLANK(H471),,IFNA(VLOOKUP(H471, Circuits!A:W, 23, FALSE),))</f>
        <v/>
      </c>
      <c r="K471" s="238" t="str">
        <f t="shared" si="2"/>
        <v/>
      </c>
      <c r="L471" s="238" t="str">
        <f t="shared" si="3"/>
        <v/>
      </c>
      <c r="M471" s="238" t="str">
        <f t="shared" si="4"/>
        <v/>
      </c>
      <c r="N471" s="238" t="str">
        <f t="shared" si="5"/>
        <v/>
      </c>
      <c r="O471" s="238" t="str">
        <f t="shared" si="6"/>
        <v/>
      </c>
      <c r="P471" s="237" t="str">
        <f>IFERROR(__xludf.DUMMYFUNCTION("IF(ISBLANK(H471),,IF(IFNA(MATCH(H471,SPLIT(Circuits!$S$2,"";""&amp;CHAR(10)),0),0),FALSE,TRUE))"),"")</f>
        <v/>
      </c>
      <c r="Q471" s="237" t="str">
        <f>IF(ISBLANK(H471),,IFNA(VLOOKUP(H471, Circuits!A:U, 21, FALSE),))</f>
        <v/>
      </c>
      <c r="R471" s="238" t="str">
        <f t="shared" si="7"/>
        <v/>
      </c>
      <c r="S471" s="237" t="str">
        <f>IF(ISBLANK(H471),,IFNA(VLOOKUP(H471, Circuits!A:V, 22, FALSE),))</f>
        <v/>
      </c>
      <c r="T471" s="237" t="str">
        <f>IF(ISBLANK(H471),,IFNA(VLOOKUP(H471, Circuits!A:X, 24, FALSE),))</f>
        <v/>
      </c>
      <c r="V471" s="236" t="str">
        <f>IFERROR(__xludf.DUMMYFUNCTION("IF(ISBLANK(H471),,JOIN("","",H471:T471))"),"")</f>
        <v/>
      </c>
      <c r="W471" s="229" t="str">
        <f t="shared" si="1"/>
        <v/>
      </c>
    </row>
    <row r="472">
      <c r="H472" s="237"/>
      <c r="I472" s="237" t="str">
        <f>IFERROR(__xludf.DUMMYFUNCTION("IF(ISBLANK(H472),,IFNA(""""""""&amp;JOIN("","",INDEX(FILTER(A:D,A:A=H472),0,4))&amp;"""""""",))"),"")</f>
        <v/>
      </c>
      <c r="J472" s="237" t="str">
        <f>IF(ISBLANK(H472),,IFNA(VLOOKUP(H472, Circuits!A:W, 23, FALSE),))</f>
        <v/>
      </c>
      <c r="K472" s="238" t="str">
        <f t="shared" si="2"/>
        <v/>
      </c>
      <c r="L472" s="238" t="str">
        <f t="shared" si="3"/>
        <v/>
      </c>
      <c r="M472" s="238" t="str">
        <f t="shared" si="4"/>
        <v/>
      </c>
      <c r="N472" s="238" t="str">
        <f t="shared" si="5"/>
        <v/>
      </c>
      <c r="O472" s="238" t="str">
        <f t="shared" si="6"/>
        <v/>
      </c>
      <c r="P472" s="237" t="str">
        <f>IFERROR(__xludf.DUMMYFUNCTION("IF(ISBLANK(H472),,IF(IFNA(MATCH(H472,SPLIT(Circuits!$S$2,"";""&amp;CHAR(10)),0),0),FALSE,TRUE))"),"")</f>
        <v/>
      </c>
      <c r="Q472" s="237" t="str">
        <f>IF(ISBLANK(H472),,IFNA(VLOOKUP(H472, Circuits!A:U, 21, FALSE),))</f>
        <v/>
      </c>
      <c r="R472" s="238" t="str">
        <f t="shared" si="7"/>
        <v/>
      </c>
      <c r="S472" s="237" t="str">
        <f>IF(ISBLANK(H472),,IFNA(VLOOKUP(H472, Circuits!A:V, 22, FALSE),))</f>
        <v/>
      </c>
      <c r="T472" s="237" t="str">
        <f>IF(ISBLANK(H472),,IFNA(VLOOKUP(H472, Circuits!A:X, 24, FALSE),))</f>
        <v/>
      </c>
      <c r="V472" s="236" t="str">
        <f>IFERROR(__xludf.DUMMYFUNCTION("IF(ISBLANK(H472),,JOIN("","",H472:T472))"),"")</f>
        <v/>
      </c>
      <c r="W472" s="229" t="str">
        <f t="shared" si="1"/>
        <v/>
      </c>
    </row>
    <row r="473">
      <c r="H473" s="237"/>
      <c r="I473" s="237" t="str">
        <f>IFERROR(__xludf.DUMMYFUNCTION("IF(ISBLANK(H473),,IFNA(""""""""&amp;JOIN("","",INDEX(FILTER(A:D,A:A=H473),0,4))&amp;"""""""",))"),"")</f>
        <v/>
      </c>
      <c r="J473" s="237" t="str">
        <f>IF(ISBLANK(H473),,IFNA(VLOOKUP(H473, Circuits!A:W, 23, FALSE),))</f>
        <v/>
      </c>
      <c r="K473" s="238" t="str">
        <f t="shared" si="2"/>
        <v/>
      </c>
      <c r="L473" s="238" t="str">
        <f t="shared" si="3"/>
        <v/>
      </c>
      <c r="M473" s="238" t="str">
        <f t="shared" si="4"/>
        <v/>
      </c>
      <c r="N473" s="238" t="str">
        <f t="shared" si="5"/>
        <v/>
      </c>
      <c r="O473" s="238" t="str">
        <f t="shared" si="6"/>
        <v/>
      </c>
      <c r="P473" s="237" t="str">
        <f>IFERROR(__xludf.DUMMYFUNCTION("IF(ISBLANK(H473),,IF(IFNA(MATCH(H473,SPLIT(Circuits!$S$2,"";""&amp;CHAR(10)),0),0),FALSE,TRUE))"),"")</f>
        <v/>
      </c>
      <c r="Q473" s="237" t="str">
        <f>IF(ISBLANK(H473),,IFNA(VLOOKUP(H473, Circuits!A:U, 21, FALSE),))</f>
        <v/>
      </c>
      <c r="R473" s="238" t="str">
        <f t="shared" si="7"/>
        <v/>
      </c>
      <c r="S473" s="237" t="str">
        <f>IF(ISBLANK(H473),,IFNA(VLOOKUP(H473, Circuits!A:V, 22, FALSE),))</f>
        <v/>
      </c>
      <c r="T473" s="237" t="str">
        <f>IF(ISBLANK(H473),,IFNA(VLOOKUP(H473, Circuits!A:X, 24, FALSE),))</f>
        <v/>
      </c>
      <c r="V473" s="236" t="str">
        <f>IFERROR(__xludf.DUMMYFUNCTION("IF(ISBLANK(H473),,JOIN("","",H473:T473))"),"")</f>
        <v/>
      </c>
      <c r="W473" s="229" t="str">
        <f t="shared" si="1"/>
        <v/>
      </c>
    </row>
    <row r="474">
      <c r="H474" s="237"/>
      <c r="I474" s="237" t="str">
        <f>IFERROR(__xludf.DUMMYFUNCTION("IF(ISBLANK(H474),,IFNA(""""""""&amp;JOIN("","",INDEX(FILTER(A:D,A:A=H474),0,4))&amp;"""""""",))"),"")</f>
        <v/>
      </c>
      <c r="J474" s="237" t="str">
        <f>IF(ISBLANK(H474),,IFNA(VLOOKUP(H474, Circuits!A:W, 23, FALSE),))</f>
        <v/>
      </c>
      <c r="K474" s="238" t="str">
        <f t="shared" si="2"/>
        <v/>
      </c>
      <c r="L474" s="238" t="str">
        <f t="shared" si="3"/>
        <v/>
      </c>
      <c r="M474" s="238" t="str">
        <f t="shared" si="4"/>
        <v/>
      </c>
      <c r="N474" s="238" t="str">
        <f t="shared" si="5"/>
        <v/>
      </c>
      <c r="O474" s="238" t="str">
        <f t="shared" si="6"/>
        <v/>
      </c>
      <c r="P474" s="237" t="str">
        <f>IFERROR(__xludf.DUMMYFUNCTION("IF(ISBLANK(H474),,IF(IFNA(MATCH(H474,SPLIT(Circuits!$S$2,"";""&amp;CHAR(10)),0),0),FALSE,TRUE))"),"")</f>
        <v/>
      </c>
      <c r="Q474" s="237" t="str">
        <f>IF(ISBLANK(H474),,IFNA(VLOOKUP(H474, Circuits!A:U, 21, FALSE),))</f>
        <v/>
      </c>
      <c r="R474" s="238" t="str">
        <f t="shared" si="7"/>
        <v/>
      </c>
      <c r="S474" s="237" t="str">
        <f>IF(ISBLANK(H474),,IFNA(VLOOKUP(H474, Circuits!A:V, 22, FALSE),))</f>
        <v/>
      </c>
      <c r="T474" s="237" t="str">
        <f>IF(ISBLANK(H474),,IFNA(VLOOKUP(H474, Circuits!A:X, 24, FALSE),))</f>
        <v/>
      </c>
      <c r="V474" s="236" t="str">
        <f>IFERROR(__xludf.DUMMYFUNCTION("IF(ISBLANK(H474),,JOIN("","",H474:T474))"),"")</f>
        <v/>
      </c>
      <c r="W474" s="229" t="str">
        <f t="shared" si="1"/>
        <v/>
      </c>
    </row>
    <row r="475">
      <c r="H475" s="237"/>
      <c r="I475" s="237" t="str">
        <f>IFERROR(__xludf.DUMMYFUNCTION("IF(ISBLANK(H475),,IFNA(""""""""&amp;JOIN("","",INDEX(FILTER(A:D,A:A=H475),0,4))&amp;"""""""",))"),"")</f>
        <v/>
      </c>
      <c r="J475" s="237" t="str">
        <f>IF(ISBLANK(H475),,IFNA(VLOOKUP(H475, Circuits!A:W, 23, FALSE),))</f>
        <v/>
      </c>
      <c r="K475" s="238" t="str">
        <f t="shared" si="2"/>
        <v/>
      </c>
      <c r="L475" s="238" t="str">
        <f t="shared" si="3"/>
        <v/>
      </c>
      <c r="M475" s="238" t="str">
        <f t="shared" si="4"/>
        <v/>
      </c>
      <c r="N475" s="238" t="str">
        <f t="shared" si="5"/>
        <v/>
      </c>
      <c r="O475" s="238" t="str">
        <f t="shared" si="6"/>
        <v/>
      </c>
      <c r="P475" s="237" t="str">
        <f>IFERROR(__xludf.DUMMYFUNCTION("IF(ISBLANK(H475),,IF(IFNA(MATCH(H475,SPLIT(Circuits!$S$2,"";""&amp;CHAR(10)),0),0),FALSE,TRUE))"),"")</f>
        <v/>
      </c>
      <c r="Q475" s="237" t="str">
        <f>IF(ISBLANK(H475),,IFNA(VLOOKUP(H475, Circuits!A:U, 21, FALSE),))</f>
        <v/>
      </c>
      <c r="R475" s="238" t="str">
        <f t="shared" si="7"/>
        <v/>
      </c>
      <c r="S475" s="237" t="str">
        <f>IF(ISBLANK(H475),,IFNA(VLOOKUP(H475, Circuits!A:V, 22, FALSE),))</f>
        <v/>
      </c>
      <c r="T475" s="237" t="str">
        <f>IF(ISBLANK(H475),,IFNA(VLOOKUP(H475, Circuits!A:X, 24, FALSE),))</f>
        <v/>
      </c>
      <c r="V475" s="236" t="str">
        <f>IFERROR(__xludf.DUMMYFUNCTION("IF(ISBLANK(H475),,JOIN("","",H475:T475))"),"")</f>
        <v/>
      </c>
      <c r="W475" s="229" t="str">
        <f t="shared" si="1"/>
        <v/>
      </c>
    </row>
    <row r="476">
      <c r="H476" s="237"/>
      <c r="I476" s="237" t="str">
        <f>IFERROR(__xludf.DUMMYFUNCTION("IF(ISBLANK(H476),,IFNA(""""""""&amp;JOIN("","",INDEX(FILTER(A:D,A:A=H476),0,4))&amp;"""""""",))"),"")</f>
        <v/>
      </c>
      <c r="J476" s="237" t="str">
        <f>IF(ISBLANK(H476),,IFNA(VLOOKUP(H476, Circuits!A:W, 23, FALSE),))</f>
        <v/>
      </c>
      <c r="K476" s="238" t="str">
        <f t="shared" si="2"/>
        <v/>
      </c>
      <c r="L476" s="238" t="str">
        <f t="shared" si="3"/>
        <v/>
      </c>
      <c r="M476" s="238" t="str">
        <f t="shared" si="4"/>
        <v/>
      </c>
      <c r="N476" s="238" t="str">
        <f t="shared" si="5"/>
        <v/>
      </c>
      <c r="O476" s="238" t="str">
        <f t="shared" si="6"/>
        <v/>
      </c>
      <c r="P476" s="237" t="str">
        <f>IFERROR(__xludf.DUMMYFUNCTION("IF(ISBLANK(H476),,IF(IFNA(MATCH(H476,SPLIT(Circuits!$S$2,"";""&amp;CHAR(10)),0),0),FALSE,TRUE))"),"")</f>
        <v/>
      </c>
      <c r="Q476" s="237" t="str">
        <f>IF(ISBLANK(H476),,IFNA(VLOOKUP(H476, Circuits!A:U, 21, FALSE),))</f>
        <v/>
      </c>
      <c r="R476" s="238" t="str">
        <f t="shared" si="7"/>
        <v/>
      </c>
      <c r="S476" s="237" t="str">
        <f>IF(ISBLANK(H476),,IFNA(VLOOKUP(H476, Circuits!A:V, 22, FALSE),))</f>
        <v/>
      </c>
      <c r="T476" s="237" t="str">
        <f>IF(ISBLANK(H476),,IFNA(VLOOKUP(H476, Circuits!A:X, 24, FALSE),))</f>
        <v/>
      </c>
      <c r="V476" s="236" t="str">
        <f>IFERROR(__xludf.DUMMYFUNCTION("IF(ISBLANK(H476),,JOIN("","",H476:T476))"),"")</f>
        <v/>
      </c>
      <c r="W476" s="229" t="str">
        <f t="shared" si="1"/>
        <v/>
      </c>
    </row>
    <row r="477">
      <c r="H477" s="237"/>
      <c r="I477" s="237" t="str">
        <f>IFERROR(__xludf.DUMMYFUNCTION("IF(ISBLANK(H477),,IFNA(""""""""&amp;JOIN("","",INDEX(FILTER(A:D,A:A=H477),0,4))&amp;"""""""",))"),"")</f>
        <v/>
      </c>
      <c r="J477" s="237" t="str">
        <f>IF(ISBLANK(H477),,IFNA(VLOOKUP(H477, Circuits!A:W, 23, FALSE),))</f>
        <v/>
      </c>
      <c r="K477" s="238" t="str">
        <f t="shared" si="2"/>
        <v/>
      </c>
      <c r="L477" s="238" t="str">
        <f t="shared" si="3"/>
        <v/>
      </c>
      <c r="M477" s="238" t="str">
        <f t="shared" si="4"/>
        <v/>
      </c>
      <c r="N477" s="238" t="str">
        <f t="shared" si="5"/>
        <v/>
      </c>
      <c r="O477" s="238" t="str">
        <f t="shared" si="6"/>
        <v/>
      </c>
      <c r="P477" s="237" t="str">
        <f>IFERROR(__xludf.DUMMYFUNCTION("IF(ISBLANK(H477),,IF(IFNA(MATCH(H477,SPLIT(Circuits!$S$2,"";""&amp;CHAR(10)),0),0),FALSE,TRUE))"),"")</f>
        <v/>
      </c>
      <c r="Q477" s="237" t="str">
        <f>IF(ISBLANK(H477),,IFNA(VLOOKUP(H477, Circuits!A:U, 21, FALSE),))</f>
        <v/>
      </c>
      <c r="R477" s="238" t="str">
        <f t="shared" si="7"/>
        <v/>
      </c>
      <c r="S477" s="237" t="str">
        <f>IF(ISBLANK(H477),,IFNA(VLOOKUP(H477, Circuits!A:V, 22, FALSE),))</f>
        <v/>
      </c>
      <c r="T477" s="237" t="str">
        <f>IF(ISBLANK(H477),,IFNA(VLOOKUP(H477, Circuits!A:X, 24, FALSE),))</f>
        <v/>
      </c>
      <c r="V477" s="236" t="str">
        <f>IFERROR(__xludf.DUMMYFUNCTION("IF(ISBLANK(H477),,JOIN("","",H477:T477))"),"")</f>
        <v/>
      </c>
      <c r="W477" s="229" t="str">
        <f t="shared" si="1"/>
        <v/>
      </c>
    </row>
    <row r="478">
      <c r="H478" s="237"/>
      <c r="I478" s="237" t="str">
        <f>IFERROR(__xludf.DUMMYFUNCTION("IF(ISBLANK(H478),,IFNA(""""""""&amp;JOIN("","",INDEX(FILTER(A:D,A:A=H478),0,4))&amp;"""""""",))"),"")</f>
        <v/>
      </c>
      <c r="J478" s="237" t="str">
        <f>IF(ISBLANK(H478),,IFNA(VLOOKUP(H478, Circuits!A:W, 23, FALSE),))</f>
        <v/>
      </c>
      <c r="K478" s="238" t="str">
        <f t="shared" si="2"/>
        <v/>
      </c>
      <c r="L478" s="238" t="str">
        <f t="shared" si="3"/>
        <v/>
      </c>
      <c r="M478" s="238" t="str">
        <f t="shared" si="4"/>
        <v/>
      </c>
      <c r="N478" s="238" t="str">
        <f t="shared" si="5"/>
        <v/>
      </c>
      <c r="O478" s="238" t="str">
        <f t="shared" si="6"/>
        <v/>
      </c>
      <c r="P478" s="237" t="str">
        <f>IFERROR(__xludf.DUMMYFUNCTION("IF(ISBLANK(H478),,IF(IFNA(MATCH(H478,SPLIT(Circuits!$S$2,"";""&amp;CHAR(10)),0),0),FALSE,TRUE))"),"")</f>
        <v/>
      </c>
      <c r="Q478" s="237" t="str">
        <f>IF(ISBLANK(H478),,IFNA(VLOOKUP(H478, Circuits!A:U, 21, FALSE),))</f>
        <v/>
      </c>
      <c r="R478" s="238" t="str">
        <f t="shared" si="7"/>
        <v/>
      </c>
      <c r="S478" s="237" t="str">
        <f>IF(ISBLANK(H478),,IFNA(VLOOKUP(H478, Circuits!A:V, 22, FALSE),))</f>
        <v/>
      </c>
      <c r="T478" s="237" t="str">
        <f>IF(ISBLANK(H478),,IFNA(VLOOKUP(H478, Circuits!A:X, 24, FALSE),))</f>
        <v/>
      </c>
      <c r="V478" s="236" t="str">
        <f>IFERROR(__xludf.DUMMYFUNCTION("IF(ISBLANK(H478),,JOIN("","",H478:T478))"),"")</f>
        <v/>
      </c>
      <c r="W478" s="229" t="str">
        <f t="shared" si="1"/>
        <v/>
      </c>
    </row>
    <row r="479">
      <c r="H479" s="237"/>
      <c r="I479" s="237" t="str">
        <f>IFERROR(__xludf.DUMMYFUNCTION("IF(ISBLANK(H479),,IFNA(""""""""&amp;JOIN("","",INDEX(FILTER(A:D,A:A=H479),0,4))&amp;"""""""",))"),"")</f>
        <v/>
      </c>
      <c r="J479" s="237" t="str">
        <f>IF(ISBLANK(H479),,IFNA(VLOOKUP(H479, Circuits!A:W, 23, FALSE),))</f>
        <v/>
      </c>
      <c r="K479" s="238" t="str">
        <f t="shared" si="2"/>
        <v/>
      </c>
      <c r="L479" s="238" t="str">
        <f t="shared" si="3"/>
        <v/>
      </c>
      <c r="M479" s="238" t="str">
        <f t="shared" si="4"/>
        <v/>
      </c>
      <c r="N479" s="238" t="str">
        <f t="shared" si="5"/>
        <v/>
      </c>
      <c r="O479" s="238" t="str">
        <f t="shared" si="6"/>
        <v/>
      </c>
      <c r="P479" s="237" t="str">
        <f>IFERROR(__xludf.DUMMYFUNCTION("IF(ISBLANK(H479),,IF(IFNA(MATCH(H479,SPLIT(Circuits!$S$2,"";""&amp;CHAR(10)),0),0),FALSE,TRUE))"),"")</f>
        <v/>
      </c>
      <c r="Q479" s="237" t="str">
        <f>IF(ISBLANK(H479),,IFNA(VLOOKUP(H479, Circuits!A:U, 21, FALSE),))</f>
        <v/>
      </c>
      <c r="R479" s="238" t="str">
        <f t="shared" si="7"/>
        <v/>
      </c>
      <c r="S479" s="237" t="str">
        <f>IF(ISBLANK(H479),,IFNA(VLOOKUP(H479, Circuits!A:V, 22, FALSE),))</f>
        <v/>
      </c>
      <c r="T479" s="237" t="str">
        <f>IF(ISBLANK(H479),,IFNA(VLOOKUP(H479, Circuits!A:X, 24, FALSE),))</f>
        <v/>
      </c>
      <c r="V479" s="236" t="str">
        <f>IFERROR(__xludf.DUMMYFUNCTION("IF(ISBLANK(H479),,JOIN("","",H479:T479))"),"")</f>
        <v/>
      </c>
      <c r="W479" s="229" t="str">
        <f t="shared" si="1"/>
        <v/>
      </c>
    </row>
    <row r="480">
      <c r="H480" s="237"/>
      <c r="I480" s="237" t="str">
        <f>IFERROR(__xludf.DUMMYFUNCTION("IF(ISBLANK(H480),,IFNA(""""""""&amp;JOIN("","",INDEX(FILTER(A:D,A:A=H480),0,4))&amp;"""""""",))"),"")</f>
        <v/>
      </c>
      <c r="J480" s="237" t="str">
        <f>IF(ISBLANK(H480),,IFNA(VLOOKUP(H480, Circuits!A:W, 23, FALSE),))</f>
        <v/>
      </c>
      <c r="K480" s="238" t="str">
        <f t="shared" si="2"/>
        <v/>
      </c>
      <c r="L480" s="238" t="str">
        <f t="shared" si="3"/>
        <v/>
      </c>
      <c r="M480" s="238" t="str">
        <f t="shared" si="4"/>
        <v/>
      </c>
      <c r="N480" s="238" t="str">
        <f t="shared" si="5"/>
        <v/>
      </c>
      <c r="O480" s="238" t="str">
        <f t="shared" si="6"/>
        <v/>
      </c>
      <c r="P480" s="237" t="str">
        <f>IFERROR(__xludf.DUMMYFUNCTION("IF(ISBLANK(H480),,IF(IFNA(MATCH(H480,SPLIT(Circuits!$S$2,"";""&amp;CHAR(10)),0),0),FALSE,TRUE))"),"")</f>
        <v/>
      </c>
      <c r="Q480" s="237" t="str">
        <f>IF(ISBLANK(H480),,IFNA(VLOOKUP(H480, Circuits!A:U, 21, FALSE),))</f>
        <v/>
      </c>
      <c r="R480" s="238" t="str">
        <f t="shared" si="7"/>
        <v/>
      </c>
      <c r="S480" s="237" t="str">
        <f>IF(ISBLANK(H480),,IFNA(VLOOKUP(H480, Circuits!A:V, 22, FALSE),))</f>
        <v/>
      </c>
      <c r="T480" s="237" t="str">
        <f>IF(ISBLANK(H480),,IFNA(VLOOKUP(H480, Circuits!A:X, 24, FALSE),))</f>
        <v/>
      </c>
      <c r="V480" s="236" t="str">
        <f>IFERROR(__xludf.DUMMYFUNCTION("IF(ISBLANK(H480),,JOIN("","",H480:T480))"),"")</f>
        <v/>
      </c>
      <c r="W480" s="229" t="str">
        <f t="shared" si="1"/>
        <v/>
      </c>
    </row>
    <row r="481">
      <c r="H481" s="237"/>
      <c r="I481" s="237" t="str">
        <f>IFERROR(__xludf.DUMMYFUNCTION("IF(ISBLANK(H481),,IFNA(""""""""&amp;JOIN("","",INDEX(FILTER(A:D,A:A=H481),0,4))&amp;"""""""",))"),"")</f>
        <v/>
      </c>
      <c r="J481" s="237" t="str">
        <f>IF(ISBLANK(H481),,IFNA(VLOOKUP(H481, Circuits!A:W, 23, FALSE),))</f>
        <v/>
      </c>
      <c r="K481" s="238" t="str">
        <f t="shared" si="2"/>
        <v/>
      </c>
      <c r="L481" s="238" t="str">
        <f t="shared" si="3"/>
        <v/>
      </c>
      <c r="M481" s="238" t="str">
        <f t="shared" si="4"/>
        <v/>
      </c>
      <c r="N481" s="238" t="str">
        <f t="shared" si="5"/>
        <v/>
      </c>
      <c r="O481" s="238" t="str">
        <f t="shared" si="6"/>
        <v/>
      </c>
      <c r="P481" s="237" t="str">
        <f>IFERROR(__xludf.DUMMYFUNCTION("IF(ISBLANK(H481),,IF(IFNA(MATCH(H481,SPLIT(Circuits!$S$2,"";""&amp;CHAR(10)),0),0),FALSE,TRUE))"),"")</f>
        <v/>
      </c>
      <c r="Q481" s="237" t="str">
        <f>IF(ISBLANK(H481),,IFNA(VLOOKUP(H481, Circuits!A:U, 21, FALSE),))</f>
        <v/>
      </c>
      <c r="R481" s="238" t="str">
        <f t="shared" si="7"/>
        <v/>
      </c>
      <c r="S481" s="237" t="str">
        <f>IF(ISBLANK(H481),,IFNA(VLOOKUP(H481, Circuits!A:V, 22, FALSE),))</f>
        <v/>
      </c>
      <c r="T481" s="237" t="str">
        <f>IF(ISBLANK(H481),,IFNA(VLOOKUP(H481, Circuits!A:X, 24, FALSE),))</f>
        <v/>
      </c>
      <c r="V481" s="236" t="str">
        <f>IFERROR(__xludf.DUMMYFUNCTION("IF(ISBLANK(H481),,JOIN("","",H481:T481))"),"")</f>
        <v/>
      </c>
      <c r="W481" s="229" t="str">
        <f t="shared" si="1"/>
        <v/>
      </c>
    </row>
    <row r="482">
      <c r="H482" s="237"/>
      <c r="I482" s="237" t="str">
        <f>IFERROR(__xludf.DUMMYFUNCTION("IF(ISBLANK(H482),,IFNA(""""""""&amp;JOIN("","",INDEX(FILTER(A:D,A:A=H482),0,4))&amp;"""""""",))"),"")</f>
        <v/>
      </c>
      <c r="J482" s="237" t="str">
        <f>IF(ISBLANK(H482),,IFNA(VLOOKUP(H482, Circuits!A:W, 23, FALSE),))</f>
        <v/>
      </c>
      <c r="K482" s="238" t="str">
        <f t="shared" si="2"/>
        <v/>
      </c>
      <c r="L482" s="238" t="str">
        <f t="shared" si="3"/>
        <v/>
      </c>
      <c r="M482" s="238" t="str">
        <f t="shared" si="4"/>
        <v/>
      </c>
      <c r="N482" s="238" t="str">
        <f t="shared" si="5"/>
        <v/>
      </c>
      <c r="O482" s="238" t="str">
        <f t="shared" si="6"/>
        <v/>
      </c>
      <c r="P482" s="237" t="str">
        <f>IFERROR(__xludf.DUMMYFUNCTION("IF(ISBLANK(H482),,IF(IFNA(MATCH(H482,SPLIT(Circuits!$S$2,"";""&amp;CHAR(10)),0),0),FALSE,TRUE))"),"")</f>
        <v/>
      </c>
      <c r="Q482" s="237" t="str">
        <f>IF(ISBLANK(H482),,IFNA(VLOOKUP(H482, Circuits!A:U, 21, FALSE),))</f>
        <v/>
      </c>
      <c r="R482" s="238" t="str">
        <f t="shared" si="7"/>
        <v/>
      </c>
      <c r="S482" s="237" t="str">
        <f>IF(ISBLANK(H482),,IFNA(VLOOKUP(H482, Circuits!A:V, 22, FALSE),))</f>
        <v/>
      </c>
      <c r="T482" s="237" t="str">
        <f>IF(ISBLANK(H482),,IFNA(VLOOKUP(H482, Circuits!A:X, 24, FALSE),))</f>
        <v/>
      </c>
      <c r="V482" s="236" t="str">
        <f>IFERROR(__xludf.DUMMYFUNCTION("IF(ISBLANK(H482),,JOIN("","",H482:T482))"),"")</f>
        <v/>
      </c>
      <c r="W482" s="229" t="str">
        <f t="shared" si="1"/>
        <v/>
      </c>
    </row>
    <row r="483">
      <c r="H483" s="237"/>
      <c r="I483" s="237" t="str">
        <f>IFERROR(__xludf.DUMMYFUNCTION("IF(ISBLANK(H483),,IFNA(""""""""&amp;JOIN("","",INDEX(FILTER(A:D,A:A=H483),0,4))&amp;"""""""",))"),"")</f>
        <v/>
      </c>
      <c r="J483" s="237" t="str">
        <f>IF(ISBLANK(H483),,IFNA(VLOOKUP(H483, Circuits!A:W, 23, FALSE),))</f>
        <v/>
      </c>
      <c r="K483" s="238" t="str">
        <f t="shared" si="2"/>
        <v/>
      </c>
      <c r="L483" s="238" t="str">
        <f t="shared" si="3"/>
        <v/>
      </c>
      <c r="M483" s="238" t="str">
        <f t="shared" si="4"/>
        <v/>
      </c>
      <c r="N483" s="238" t="str">
        <f t="shared" si="5"/>
        <v/>
      </c>
      <c r="O483" s="238" t="str">
        <f t="shared" si="6"/>
        <v/>
      </c>
      <c r="P483" s="237" t="str">
        <f>IFERROR(__xludf.DUMMYFUNCTION("IF(ISBLANK(H483),,IF(IFNA(MATCH(H483,SPLIT(Circuits!$S$2,"";""&amp;CHAR(10)),0),0),FALSE,TRUE))"),"")</f>
        <v/>
      </c>
      <c r="Q483" s="237" t="str">
        <f>IF(ISBLANK(H483),,IFNA(VLOOKUP(H483, Circuits!A:U, 21, FALSE),))</f>
        <v/>
      </c>
      <c r="R483" s="238" t="str">
        <f t="shared" si="7"/>
        <v/>
      </c>
      <c r="S483" s="237" t="str">
        <f>IF(ISBLANK(H483),,IFNA(VLOOKUP(H483, Circuits!A:V, 22, FALSE),))</f>
        <v/>
      </c>
      <c r="T483" s="237" t="str">
        <f>IF(ISBLANK(H483),,IFNA(VLOOKUP(H483, Circuits!A:X, 24, FALSE),))</f>
        <v/>
      </c>
      <c r="V483" s="236" t="str">
        <f>IFERROR(__xludf.DUMMYFUNCTION("IF(ISBLANK(H483),,JOIN("","",H483:T483))"),"")</f>
        <v/>
      </c>
      <c r="W483" s="229" t="str">
        <f t="shared" si="1"/>
        <v/>
      </c>
    </row>
    <row r="484">
      <c r="H484" s="237"/>
      <c r="I484" s="237" t="str">
        <f>IFERROR(__xludf.DUMMYFUNCTION("IF(ISBLANK(H484),,IFNA(""""""""&amp;JOIN("","",INDEX(FILTER(A:D,A:A=H484),0,4))&amp;"""""""",))"),"")</f>
        <v/>
      </c>
      <c r="J484" s="237" t="str">
        <f>IF(ISBLANK(H484),,IFNA(VLOOKUP(H484, Circuits!A:W, 23, FALSE),))</f>
        <v/>
      </c>
      <c r="K484" s="238" t="str">
        <f t="shared" si="2"/>
        <v/>
      </c>
      <c r="L484" s="238" t="str">
        <f t="shared" si="3"/>
        <v/>
      </c>
      <c r="M484" s="238" t="str">
        <f t="shared" si="4"/>
        <v/>
      </c>
      <c r="N484" s="238" t="str">
        <f t="shared" si="5"/>
        <v/>
      </c>
      <c r="O484" s="238" t="str">
        <f t="shared" si="6"/>
        <v/>
      </c>
      <c r="P484" s="237" t="str">
        <f>IFERROR(__xludf.DUMMYFUNCTION("IF(ISBLANK(H484),,IF(IFNA(MATCH(H484,SPLIT(Circuits!$S$2,"";""&amp;CHAR(10)),0),0),FALSE,TRUE))"),"")</f>
        <v/>
      </c>
      <c r="Q484" s="237" t="str">
        <f>IF(ISBLANK(H484),,IFNA(VLOOKUP(H484, Circuits!A:U, 21, FALSE),))</f>
        <v/>
      </c>
      <c r="R484" s="238" t="str">
        <f t="shared" si="7"/>
        <v/>
      </c>
      <c r="S484" s="237" t="str">
        <f>IF(ISBLANK(H484),,IFNA(VLOOKUP(H484, Circuits!A:V, 22, FALSE),))</f>
        <v/>
      </c>
      <c r="T484" s="237" t="str">
        <f>IF(ISBLANK(H484),,IFNA(VLOOKUP(H484, Circuits!A:X, 24, FALSE),))</f>
        <v/>
      </c>
      <c r="V484" s="236" t="str">
        <f>IFERROR(__xludf.DUMMYFUNCTION("IF(ISBLANK(H484),,JOIN("","",H484:T484))"),"")</f>
        <v/>
      </c>
      <c r="W484" s="229" t="str">
        <f t="shared" si="1"/>
        <v/>
      </c>
    </row>
    <row r="485">
      <c r="H485" s="237"/>
      <c r="I485" s="237" t="str">
        <f>IFERROR(__xludf.DUMMYFUNCTION("IF(ISBLANK(H485),,IFNA(""""""""&amp;JOIN("","",INDEX(FILTER(A:D,A:A=H485),0,4))&amp;"""""""",))"),"")</f>
        <v/>
      </c>
      <c r="J485" s="237" t="str">
        <f>IF(ISBLANK(H485),,IFNA(VLOOKUP(H485, Circuits!A:W, 23, FALSE),))</f>
        <v/>
      </c>
      <c r="K485" s="238" t="str">
        <f t="shared" si="2"/>
        <v/>
      </c>
      <c r="L485" s="238" t="str">
        <f t="shared" si="3"/>
        <v/>
      </c>
      <c r="M485" s="238" t="str">
        <f t="shared" si="4"/>
        <v/>
      </c>
      <c r="N485" s="238" t="str">
        <f t="shared" si="5"/>
        <v/>
      </c>
      <c r="O485" s="238" t="str">
        <f t="shared" si="6"/>
        <v/>
      </c>
      <c r="P485" s="237" t="str">
        <f>IFERROR(__xludf.DUMMYFUNCTION("IF(ISBLANK(H485),,IF(IFNA(MATCH(H485,SPLIT(Circuits!$S$2,"";""&amp;CHAR(10)),0),0),FALSE,TRUE))"),"")</f>
        <v/>
      </c>
      <c r="Q485" s="237" t="str">
        <f>IF(ISBLANK(H485),,IFNA(VLOOKUP(H485, Circuits!A:U, 21, FALSE),))</f>
        <v/>
      </c>
      <c r="R485" s="238" t="str">
        <f t="shared" si="7"/>
        <v/>
      </c>
      <c r="S485" s="237" t="str">
        <f>IF(ISBLANK(H485),,IFNA(VLOOKUP(H485, Circuits!A:V, 22, FALSE),))</f>
        <v/>
      </c>
      <c r="T485" s="237" t="str">
        <f>IF(ISBLANK(H485),,IFNA(VLOOKUP(H485, Circuits!A:X, 24, FALSE),))</f>
        <v/>
      </c>
      <c r="V485" s="236" t="str">
        <f>IFERROR(__xludf.DUMMYFUNCTION("IF(ISBLANK(H485),,JOIN("","",H485:T485))"),"")</f>
        <v/>
      </c>
      <c r="W485" s="229" t="str">
        <f t="shared" si="1"/>
        <v/>
      </c>
    </row>
    <row r="486">
      <c r="H486" s="237"/>
      <c r="I486" s="237" t="str">
        <f>IFERROR(__xludf.DUMMYFUNCTION("IF(ISBLANK(H486),,IFNA(""""""""&amp;JOIN("","",INDEX(FILTER(A:D,A:A=H486),0,4))&amp;"""""""",))"),"")</f>
        <v/>
      </c>
      <c r="J486" s="237" t="str">
        <f>IF(ISBLANK(H486),,IFNA(VLOOKUP(H486, Circuits!A:W, 23, FALSE),))</f>
        <v/>
      </c>
      <c r="K486" s="238" t="str">
        <f t="shared" si="2"/>
        <v/>
      </c>
      <c r="L486" s="238" t="str">
        <f t="shared" si="3"/>
        <v/>
      </c>
      <c r="M486" s="238" t="str">
        <f t="shared" si="4"/>
        <v/>
      </c>
      <c r="N486" s="238" t="str">
        <f t="shared" si="5"/>
        <v/>
      </c>
      <c r="O486" s="238" t="str">
        <f t="shared" si="6"/>
        <v/>
      </c>
      <c r="P486" s="237" t="str">
        <f>IFERROR(__xludf.DUMMYFUNCTION("IF(ISBLANK(H486),,IF(IFNA(MATCH(H486,SPLIT(Circuits!$S$2,"";""&amp;CHAR(10)),0),0),FALSE,TRUE))"),"")</f>
        <v/>
      </c>
      <c r="Q486" s="237" t="str">
        <f>IF(ISBLANK(H486),,IFNA(VLOOKUP(H486, Circuits!A:U, 21, FALSE),))</f>
        <v/>
      </c>
      <c r="R486" s="238" t="str">
        <f t="shared" si="7"/>
        <v/>
      </c>
      <c r="S486" s="237" t="str">
        <f>IF(ISBLANK(H486),,IFNA(VLOOKUP(H486, Circuits!A:V, 22, FALSE),))</f>
        <v/>
      </c>
      <c r="T486" s="237" t="str">
        <f>IF(ISBLANK(H486),,IFNA(VLOOKUP(H486, Circuits!A:X, 24, FALSE),))</f>
        <v/>
      </c>
      <c r="V486" s="236" t="str">
        <f>IFERROR(__xludf.DUMMYFUNCTION("IF(ISBLANK(H486),,JOIN("","",H486:T486))"),"")</f>
        <v/>
      </c>
      <c r="W486" s="229" t="str">
        <f t="shared" si="1"/>
        <v/>
      </c>
    </row>
    <row r="487">
      <c r="H487" s="237"/>
      <c r="I487" s="237" t="str">
        <f>IFERROR(__xludf.DUMMYFUNCTION("IF(ISBLANK(H487),,IFNA(""""""""&amp;JOIN("","",INDEX(FILTER(A:D,A:A=H487),0,4))&amp;"""""""",))"),"")</f>
        <v/>
      </c>
      <c r="J487" s="237" t="str">
        <f>IF(ISBLANK(H487),,IFNA(VLOOKUP(H487, Circuits!A:W, 23, FALSE),))</f>
        <v/>
      </c>
      <c r="K487" s="238" t="str">
        <f t="shared" si="2"/>
        <v/>
      </c>
      <c r="L487" s="238" t="str">
        <f t="shared" si="3"/>
        <v/>
      </c>
      <c r="M487" s="238" t="str">
        <f t="shared" si="4"/>
        <v/>
      </c>
      <c r="N487" s="238" t="str">
        <f t="shared" si="5"/>
        <v/>
      </c>
      <c r="O487" s="238" t="str">
        <f t="shared" si="6"/>
        <v/>
      </c>
      <c r="P487" s="237" t="str">
        <f>IFERROR(__xludf.DUMMYFUNCTION("IF(ISBLANK(H487),,IF(IFNA(MATCH(H487,SPLIT(Circuits!$S$2,"";""&amp;CHAR(10)),0),0),FALSE,TRUE))"),"")</f>
        <v/>
      </c>
      <c r="Q487" s="237" t="str">
        <f>IF(ISBLANK(H487),,IFNA(VLOOKUP(H487, Circuits!A:U, 21, FALSE),))</f>
        <v/>
      </c>
      <c r="R487" s="238" t="str">
        <f t="shared" si="7"/>
        <v/>
      </c>
      <c r="S487" s="237" t="str">
        <f>IF(ISBLANK(H487),,IFNA(VLOOKUP(H487, Circuits!A:V, 22, FALSE),))</f>
        <v/>
      </c>
      <c r="T487" s="237" t="str">
        <f>IF(ISBLANK(H487),,IFNA(VLOOKUP(H487, Circuits!A:X, 24, FALSE),))</f>
        <v/>
      </c>
      <c r="V487" s="236" t="str">
        <f>IFERROR(__xludf.DUMMYFUNCTION("IF(ISBLANK(H487),,JOIN("","",H487:T487))"),"")</f>
        <v/>
      </c>
      <c r="W487" s="229" t="str">
        <f t="shared" si="1"/>
        <v/>
      </c>
    </row>
    <row r="488">
      <c r="H488" s="237"/>
      <c r="I488" s="237" t="str">
        <f>IFERROR(__xludf.DUMMYFUNCTION("IF(ISBLANK(H488),,IFNA(""""""""&amp;JOIN("","",INDEX(FILTER(A:D,A:A=H488),0,4))&amp;"""""""",))"),"")</f>
        <v/>
      </c>
      <c r="J488" s="237" t="str">
        <f>IF(ISBLANK(H488),,IFNA(VLOOKUP(H488, Circuits!A:W, 23, FALSE),))</f>
        <v/>
      </c>
      <c r="K488" s="238" t="str">
        <f t="shared" si="2"/>
        <v/>
      </c>
      <c r="L488" s="238" t="str">
        <f t="shared" si="3"/>
        <v/>
      </c>
      <c r="M488" s="238" t="str">
        <f t="shared" si="4"/>
        <v/>
      </c>
      <c r="N488" s="238" t="str">
        <f t="shared" si="5"/>
        <v/>
      </c>
      <c r="O488" s="238" t="str">
        <f t="shared" si="6"/>
        <v/>
      </c>
      <c r="P488" s="237" t="str">
        <f>IFERROR(__xludf.DUMMYFUNCTION("IF(ISBLANK(H488),,IF(IFNA(MATCH(H488,SPLIT(Circuits!$S$2,"";""&amp;CHAR(10)),0),0),FALSE,TRUE))"),"")</f>
        <v/>
      </c>
      <c r="Q488" s="237" t="str">
        <f>IF(ISBLANK(H488),,IFNA(VLOOKUP(H488, Circuits!A:U, 21, FALSE),))</f>
        <v/>
      </c>
      <c r="R488" s="238" t="str">
        <f t="shared" si="7"/>
        <v/>
      </c>
      <c r="S488" s="237" t="str">
        <f>IF(ISBLANK(H488),,IFNA(VLOOKUP(H488, Circuits!A:V, 22, FALSE),))</f>
        <v/>
      </c>
      <c r="T488" s="237" t="str">
        <f>IF(ISBLANK(H488),,IFNA(VLOOKUP(H488, Circuits!A:X, 24, FALSE),))</f>
        <v/>
      </c>
      <c r="V488" s="236" t="str">
        <f>IFERROR(__xludf.DUMMYFUNCTION("IF(ISBLANK(H488),,JOIN("","",H488:T488))"),"")</f>
        <v/>
      </c>
      <c r="W488" s="229" t="str">
        <f t="shared" si="1"/>
        <v/>
      </c>
    </row>
    <row r="489">
      <c r="H489" s="237"/>
      <c r="I489" s="237" t="str">
        <f>IFERROR(__xludf.DUMMYFUNCTION("IF(ISBLANK(H489),,IFNA(""""""""&amp;JOIN("","",INDEX(FILTER(A:D,A:A=H489),0,4))&amp;"""""""",))"),"")</f>
        <v/>
      </c>
      <c r="J489" s="237" t="str">
        <f>IF(ISBLANK(H489),,IFNA(VLOOKUP(H489, Circuits!A:W, 23, FALSE),))</f>
        <v/>
      </c>
      <c r="K489" s="238" t="str">
        <f t="shared" si="2"/>
        <v/>
      </c>
      <c r="L489" s="238" t="str">
        <f t="shared" si="3"/>
        <v/>
      </c>
      <c r="M489" s="238" t="str">
        <f t="shared" si="4"/>
        <v/>
      </c>
      <c r="N489" s="238" t="str">
        <f t="shared" si="5"/>
        <v/>
      </c>
      <c r="O489" s="238" t="str">
        <f t="shared" si="6"/>
        <v/>
      </c>
      <c r="P489" s="237" t="str">
        <f>IFERROR(__xludf.DUMMYFUNCTION("IF(ISBLANK(H489),,IF(IFNA(MATCH(H489,SPLIT(Circuits!$S$2,"";""&amp;CHAR(10)),0),0),FALSE,TRUE))"),"")</f>
        <v/>
      </c>
      <c r="Q489" s="237" t="str">
        <f>IF(ISBLANK(H489),,IFNA(VLOOKUP(H489, Circuits!A:U, 21, FALSE),))</f>
        <v/>
      </c>
      <c r="R489" s="238" t="str">
        <f t="shared" si="7"/>
        <v/>
      </c>
      <c r="S489" s="237" t="str">
        <f>IF(ISBLANK(H489),,IFNA(VLOOKUP(H489, Circuits!A:V, 22, FALSE),))</f>
        <v/>
      </c>
      <c r="T489" s="237" t="str">
        <f>IF(ISBLANK(H489),,IFNA(VLOOKUP(H489, Circuits!A:X, 24, FALSE),))</f>
        <v/>
      </c>
      <c r="V489" s="236" t="str">
        <f>IFERROR(__xludf.DUMMYFUNCTION("IF(ISBLANK(H489),,JOIN("","",H489:T489))"),"")</f>
        <v/>
      </c>
      <c r="W489" s="229" t="str">
        <f t="shared" si="1"/>
        <v/>
      </c>
    </row>
    <row r="490">
      <c r="H490" s="237"/>
      <c r="I490" s="237" t="str">
        <f>IFERROR(__xludf.DUMMYFUNCTION("IF(ISBLANK(H490),,IFNA(""""""""&amp;JOIN("","",INDEX(FILTER(A:D,A:A=H490),0,4))&amp;"""""""",))"),"")</f>
        <v/>
      </c>
      <c r="J490" s="237" t="str">
        <f>IF(ISBLANK(H490),,IFNA(VLOOKUP(H490, Circuits!A:W, 23, FALSE),))</f>
        <v/>
      </c>
      <c r="K490" s="238" t="str">
        <f t="shared" si="2"/>
        <v/>
      </c>
      <c r="L490" s="238" t="str">
        <f t="shared" si="3"/>
        <v/>
      </c>
      <c r="M490" s="238" t="str">
        <f t="shared" si="4"/>
        <v/>
      </c>
      <c r="N490" s="238" t="str">
        <f t="shared" si="5"/>
        <v/>
      </c>
      <c r="O490" s="238" t="str">
        <f t="shared" si="6"/>
        <v/>
      </c>
      <c r="P490" s="237" t="str">
        <f>IFERROR(__xludf.DUMMYFUNCTION("IF(ISBLANK(H490),,IF(IFNA(MATCH(H490,SPLIT(Circuits!$S$2,"";""&amp;CHAR(10)),0),0),FALSE,TRUE))"),"")</f>
        <v/>
      </c>
      <c r="Q490" s="237" t="str">
        <f>IF(ISBLANK(H490),,IFNA(VLOOKUP(H490, Circuits!A:U, 21, FALSE),))</f>
        <v/>
      </c>
      <c r="R490" s="238" t="str">
        <f t="shared" si="7"/>
        <v/>
      </c>
      <c r="S490" s="237" t="str">
        <f>IF(ISBLANK(H490),,IFNA(VLOOKUP(H490, Circuits!A:V, 22, FALSE),))</f>
        <v/>
      </c>
      <c r="T490" s="237" t="str">
        <f>IF(ISBLANK(H490),,IFNA(VLOOKUP(H490, Circuits!A:X, 24, FALSE),))</f>
        <v/>
      </c>
      <c r="V490" s="236" t="str">
        <f>IFERROR(__xludf.DUMMYFUNCTION("IF(ISBLANK(H490),,JOIN("","",H490:T490))"),"")</f>
        <v/>
      </c>
      <c r="W490" s="229" t="str">
        <f t="shared" si="1"/>
        <v/>
      </c>
    </row>
    <row r="491">
      <c r="H491" s="237"/>
      <c r="I491" s="237" t="str">
        <f>IFERROR(__xludf.DUMMYFUNCTION("IF(ISBLANK(H491),,IFNA(""""""""&amp;JOIN("","",INDEX(FILTER(A:D,A:A=H491),0,4))&amp;"""""""",))"),"")</f>
        <v/>
      </c>
      <c r="J491" s="237" t="str">
        <f>IF(ISBLANK(H491),,IFNA(VLOOKUP(H491, Circuits!A:W, 23, FALSE),))</f>
        <v/>
      </c>
      <c r="K491" s="238" t="str">
        <f t="shared" si="2"/>
        <v/>
      </c>
      <c r="L491" s="238" t="str">
        <f t="shared" si="3"/>
        <v/>
      </c>
      <c r="M491" s="238" t="str">
        <f t="shared" si="4"/>
        <v/>
      </c>
      <c r="N491" s="238" t="str">
        <f t="shared" si="5"/>
        <v/>
      </c>
      <c r="O491" s="238" t="str">
        <f t="shared" si="6"/>
        <v/>
      </c>
      <c r="P491" s="237" t="str">
        <f>IFERROR(__xludf.DUMMYFUNCTION("IF(ISBLANK(H491),,IF(IFNA(MATCH(H491,SPLIT(Circuits!$S$2,"";""&amp;CHAR(10)),0),0),FALSE,TRUE))"),"")</f>
        <v/>
      </c>
      <c r="Q491" s="237" t="str">
        <f>IF(ISBLANK(H491),,IFNA(VLOOKUP(H491, Circuits!A:U, 21, FALSE),))</f>
        <v/>
      </c>
      <c r="R491" s="238" t="str">
        <f t="shared" si="7"/>
        <v/>
      </c>
      <c r="S491" s="237" t="str">
        <f>IF(ISBLANK(H491),,IFNA(VLOOKUP(H491, Circuits!A:V, 22, FALSE),))</f>
        <v/>
      </c>
      <c r="T491" s="237" t="str">
        <f>IF(ISBLANK(H491),,IFNA(VLOOKUP(H491, Circuits!A:X, 24, FALSE),))</f>
        <v/>
      </c>
      <c r="V491" s="236" t="str">
        <f>IFERROR(__xludf.DUMMYFUNCTION("IF(ISBLANK(H491),,JOIN("","",H491:T491))"),"")</f>
        <v/>
      </c>
      <c r="W491" s="229" t="str">
        <f t="shared" si="1"/>
        <v/>
      </c>
    </row>
    <row r="492">
      <c r="H492" s="237"/>
      <c r="I492" s="237" t="str">
        <f>IFERROR(__xludf.DUMMYFUNCTION("IF(ISBLANK(H492),,IFNA(""""""""&amp;JOIN("","",INDEX(FILTER(A:D,A:A=H492),0,4))&amp;"""""""",))"),"")</f>
        <v/>
      </c>
      <c r="J492" s="237" t="str">
        <f>IF(ISBLANK(H492),,IFNA(VLOOKUP(H492, Circuits!A:W, 23, FALSE),))</f>
        <v/>
      </c>
      <c r="K492" s="238" t="str">
        <f t="shared" si="2"/>
        <v/>
      </c>
      <c r="L492" s="238" t="str">
        <f t="shared" si="3"/>
        <v/>
      </c>
      <c r="M492" s="238" t="str">
        <f t="shared" si="4"/>
        <v/>
      </c>
      <c r="N492" s="238" t="str">
        <f t="shared" si="5"/>
        <v/>
      </c>
      <c r="O492" s="238" t="str">
        <f t="shared" si="6"/>
        <v/>
      </c>
      <c r="P492" s="237" t="str">
        <f>IFERROR(__xludf.DUMMYFUNCTION("IF(ISBLANK(H492),,IF(IFNA(MATCH(H492,SPLIT(Circuits!$S$2,"";""&amp;CHAR(10)),0),0),FALSE,TRUE))"),"")</f>
        <v/>
      </c>
      <c r="Q492" s="237" t="str">
        <f>IF(ISBLANK(H492),,IFNA(VLOOKUP(H492, Circuits!A:U, 21, FALSE),))</f>
        <v/>
      </c>
      <c r="R492" s="238" t="str">
        <f t="shared" si="7"/>
        <v/>
      </c>
      <c r="S492" s="237" t="str">
        <f>IF(ISBLANK(H492),,IFNA(VLOOKUP(H492, Circuits!A:V, 22, FALSE),))</f>
        <v/>
      </c>
      <c r="T492" s="237" t="str">
        <f>IF(ISBLANK(H492),,IFNA(VLOOKUP(H492, Circuits!A:X, 24, FALSE),))</f>
        <v/>
      </c>
      <c r="V492" s="236" t="str">
        <f>IFERROR(__xludf.DUMMYFUNCTION("IF(ISBLANK(H492),,JOIN("","",H492:T492))"),"")</f>
        <v/>
      </c>
      <c r="W492" s="229" t="str">
        <f t="shared" si="1"/>
        <v/>
      </c>
    </row>
    <row r="493">
      <c r="H493" s="237"/>
      <c r="I493" s="237" t="str">
        <f>IFERROR(__xludf.DUMMYFUNCTION("IF(ISBLANK(H493),,IFNA(""""""""&amp;JOIN("","",INDEX(FILTER(A:D,A:A=H493),0,4))&amp;"""""""",))"),"")</f>
        <v/>
      </c>
      <c r="J493" s="237" t="str">
        <f>IF(ISBLANK(H493),,IFNA(VLOOKUP(H493, Circuits!A:W, 23, FALSE),))</f>
        <v/>
      </c>
      <c r="K493" s="238" t="str">
        <f t="shared" si="2"/>
        <v/>
      </c>
      <c r="L493" s="238" t="str">
        <f t="shared" si="3"/>
        <v/>
      </c>
      <c r="M493" s="238" t="str">
        <f t="shared" si="4"/>
        <v/>
      </c>
      <c r="N493" s="238" t="str">
        <f t="shared" si="5"/>
        <v/>
      </c>
      <c r="O493" s="238" t="str">
        <f t="shared" si="6"/>
        <v/>
      </c>
      <c r="P493" s="237" t="str">
        <f>IFERROR(__xludf.DUMMYFUNCTION("IF(ISBLANK(H493),,IF(IFNA(MATCH(H493,SPLIT(Circuits!$S$2,"";""&amp;CHAR(10)),0),0),FALSE,TRUE))"),"")</f>
        <v/>
      </c>
      <c r="Q493" s="237" t="str">
        <f>IF(ISBLANK(H493),,IFNA(VLOOKUP(H493, Circuits!A:U, 21, FALSE),))</f>
        <v/>
      </c>
      <c r="R493" s="238" t="str">
        <f t="shared" si="7"/>
        <v/>
      </c>
      <c r="S493" s="237" t="str">
        <f>IF(ISBLANK(H493),,IFNA(VLOOKUP(H493, Circuits!A:V, 22, FALSE),))</f>
        <v/>
      </c>
      <c r="T493" s="237" t="str">
        <f>IF(ISBLANK(H493),,IFNA(VLOOKUP(H493, Circuits!A:X, 24, FALSE),))</f>
        <v/>
      </c>
      <c r="V493" s="236" t="str">
        <f>IFERROR(__xludf.DUMMYFUNCTION("IF(ISBLANK(H493),,JOIN("","",H493:T493))"),"")</f>
        <v/>
      </c>
      <c r="W493" s="229" t="str">
        <f t="shared" si="1"/>
        <v/>
      </c>
    </row>
    <row r="494">
      <c r="H494" s="237"/>
      <c r="I494" s="237" t="str">
        <f>IFERROR(__xludf.DUMMYFUNCTION("IF(ISBLANK(H494),,IFNA(""""""""&amp;JOIN("","",INDEX(FILTER(A:D,A:A=H494),0,4))&amp;"""""""",))"),"")</f>
        <v/>
      </c>
      <c r="J494" s="237" t="str">
        <f>IF(ISBLANK(H494),,IFNA(VLOOKUP(H494, Circuits!A:W, 23, FALSE),))</f>
        <v/>
      </c>
      <c r="K494" s="238" t="str">
        <f t="shared" si="2"/>
        <v/>
      </c>
      <c r="L494" s="238" t="str">
        <f t="shared" si="3"/>
        <v/>
      </c>
      <c r="M494" s="238" t="str">
        <f t="shared" si="4"/>
        <v/>
      </c>
      <c r="N494" s="238" t="str">
        <f t="shared" si="5"/>
        <v/>
      </c>
      <c r="O494" s="238" t="str">
        <f t="shared" si="6"/>
        <v/>
      </c>
      <c r="P494" s="237" t="str">
        <f>IFERROR(__xludf.DUMMYFUNCTION("IF(ISBLANK(H494),,IF(IFNA(MATCH(H494,SPLIT(Circuits!$S$2,"";""&amp;CHAR(10)),0),0),FALSE,TRUE))"),"")</f>
        <v/>
      </c>
      <c r="Q494" s="237" t="str">
        <f>IF(ISBLANK(H494),,IFNA(VLOOKUP(H494, Circuits!A:U, 21, FALSE),))</f>
        <v/>
      </c>
      <c r="R494" s="238" t="str">
        <f t="shared" si="7"/>
        <v/>
      </c>
      <c r="S494" s="237" t="str">
        <f>IF(ISBLANK(H494),,IFNA(VLOOKUP(H494, Circuits!A:V, 22, FALSE),))</f>
        <v/>
      </c>
      <c r="T494" s="237" t="str">
        <f>IF(ISBLANK(H494),,IFNA(VLOOKUP(H494, Circuits!A:X, 24, FALSE),))</f>
        <v/>
      </c>
      <c r="V494" s="236" t="str">
        <f>IFERROR(__xludf.DUMMYFUNCTION("IF(ISBLANK(H494),,JOIN("","",H494:T494))"),"")</f>
        <v/>
      </c>
      <c r="W494" s="229" t="str">
        <f t="shared" si="1"/>
        <v/>
      </c>
    </row>
    <row r="495">
      <c r="H495" s="237"/>
      <c r="I495" s="237" t="str">
        <f>IFERROR(__xludf.DUMMYFUNCTION("IF(ISBLANK(H495),,IFNA(""""""""&amp;JOIN("","",INDEX(FILTER(A:D,A:A=H495),0,4))&amp;"""""""",))"),"")</f>
        <v/>
      </c>
      <c r="J495" s="237" t="str">
        <f>IF(ISBLANK(H495),,IFNA(VLOOKUP(H495, Circuits!A:W, 23, FALSE),))</f>
        <v/>
      </c>
      <c r="K495" s="238" t="str">
        <f t="shared" si="2"/>
        <v/>
      </c>
      <c r="L495" s="238" t="str">
        <f t="shared" si="3"/>
        <v/>
      </c>
      <c r="M495" s="238" t="str">
        <f t="shared" si="4"/>
        <v/>
      </c>
      <c r="N495" s="238" t="str">
        <f t="shared" si="5"/>
        <v/>
      </c>
      <c r="O495" s="238" t="str">
        <f t="shared" si="6"/>
        <v/>
      </c>
      <c r="P495" s="237" t="str">
        <f>IFERROR(__xludf.DUMMYFUNCTION("IF(ISBLANK(H495),,IF(IFNA(MATCH(H495,SPLIT(Circuits!$S$2,"";""&amp;CHAR(10)),0),0),FALSE,TRUE))"),"")</f>
        <v/>
      </c>
      <c r="Q495" s="237" t="str">
        <f>IF(ISBLANK(H495),,IFNA(VLOOKUP(H495, Circuits!A:U, 21, FALSE),))</f>
        <v/>
      </c>
      <c r="R495" s="238" t="str">
        <f t="shared" si="7"/>
        <v/>
      </c>
      <c r="S495" s="237" t="str">
        <f>IF(ISBLANK(H495),,IFNA(VLOOKUP(H495, Circuits!A:V, 22, FALSE),))</f>
        <v/>
      </c>
      <c r="T495" s="237" t="str">
        <f>IF(ISBLANK(H495),,IFNA(VLOOKUP(H495, Circuits!A:X, 24, FALSE),))</f>
        <v/>
      </c>
      <c r="V495" s="236" t="str">
        <f>IFERROR(__xludf.DUMMYFUNCTION("IF(ISBLANK(H495),,JOIN("","",H495:T495))"),"")</f>
        <v/>
      </c>
      <c r="W495" s="229" t="str">
        <f t="shared" si="1"/>
        <v/>
      </c>
    </row>
    <row r="496">
      <c r="H496" s="237"/>
      <c r="I496" s="237" t="str">
        <f>IFERROR(__xludf.DUMMYFUNCTION("IF(ISBLANK(H496),,IFNA(""""""""&amp;JOIN("","",INDEX(FILTER(A:D,A:A=H496),0,4))&amp;"""""""",))"),"")</f>
        <v/>
      </c>
      <c r="J496" s="237" t="str">
        <f>IF(ISBLANK(H496),,IFNA(VLOOKUP(H496, Circuits!A:W, 23, FALSE),))</f>
        <v/>
      </c>
      <c r="K496" s="238" t="str">
        <f t="shared" si="2"/>
        <v/>
      </c>
      <c r="L496" s="238" t="str">
        <f t="shared" si="3"/>
        <v/>
      </c>
      <c r="M496" s="238" t="str">
        <f t="shared" si="4"/>
        <v/>
      </c>
      <c r="N496" s="238" t="str">
        <f t="shared" si="5"/>
        <v/>
      </c>
      <c r="O496" s="238" t="str">
        <f t="shared" si="6"/>
        <v/>
      </c>
      <c r="P496" s="237" t="str">
        <f>IFERROR(__xludf.DUMMYFUNCTION("IF(ISBLANK(H496),,IF(IFNA(MATCH(H496,SPLIT(Circuits!$S$2,"";""&amp;CHAR(10)),0),0),FALSE,TRUE))"),"")</f>
        <v/>
      </c>
      <c r="Q496" s="237" t="str">
        <f>IF(ISBLANK(H496),,IFNA(VLOOKUP(H496, Circuits!A:U, 21, FALSE),))</f>
        <v/>
      </c>
      <c r="R496" s="238" t="str">
        <f t="shared" si="7"/>
        <v/>
      </c>
      <c r="S496" s="237" t="str">
        <f>IF(ISBLANK(H496),,IFNA(VLOOKUP(H496, Circuits!A:V, 22, FALSE),))</f>
        <v/>
      </c>
      <c r="T496" s="237" t="str">
        <f>IF(ISBLANK(H496),,IFNA(VLOOKUP(H496, Circuits!A:X, 24, FALSE),))</f>
        <v/>
      </c>
      <c r="V496" s="236" t="str">
        <f>IFERROR(__xludf.DUMMYFUNCTION("IF(ISBLANK(H496),,JOIN("","",H496:T496))"),"")</f>
        <v/>
      </c>
      <c r="W496" s="229" t="str">
        <f t="shared" si="1"/>
        <v/>
      </c>
    </row>
    <row r="497">
      <c r="H497" s="237"/>
      <c r="I497" s="237" t="str">
        <f>IFERROR(__xludf.DUMMYFUNCTION("IF(ISBLANK(H497),,IFNA(""""""""&amp;JOIN("","",INDEX(FILTER(A:D,A:A=H497),0,4))&amp;"""""""",))"),"")</f>
        <v/>
      </c>
      <c r="J497" s="237" t="str">
        <f>IF(ISBLANK(H497),,IFNA(VLOOKUP(H497, Circuits!A:W, 23, FALSE),))</f>
        <v/>
      </c>
      <c r="K497" s="238" t="str">
        <f t="shared" si="2"/>
        <v/>
      </c>
      <c r="L497" s="238" t="str">
        <f t="shared" si="3"/>
        <v/>
      </c>
      <c r="M497" s="238" t="str">
        <f t="shared" si="4"/>
        <v/>
      </c>
      <c r="N497" s="238" t="str">
        <f t="shared" si="5"/>
        <v/>
      </c>
      <c r="O497" s="238" t="str">
        <f t="shared" si="6"/>
        <v/>
      </c>
      <c r="P497" s="237" t="str">
        <f>IFERROR(__xludf.DUMMYFUNCTION("IF(ISBLANK(H497),,IF(IFNA(MATCH(H497,SPLIT(Circuits!$S$2,"";""&amp;CHAR(10)),0),0),FALSE,TRUE))"),"")</f>
        <v/>
      </c>
      <c r="Q497" s="237" t="str">
        <f>IF(ISBLANK(H497),,IFNA(VLOOKUP(H497, Circuits!A:U, 21, FALSE),))</f>
        <v/>
      </c>
      <c r="R497" s="238" t="str">
        <f t="shared" si="7"/>
        <v/>
      </c>
      <c r="S497" s="237" t="str">
        <f>IF(ISBLANK(H497),,IFNA(VLOOKUP(H497, Circuits!A:V, 22, FALSE),))</f>
        <v/>
      </c>
      <c r="T497" s="237" t="str">
        <f>IF(ISBLANK(H497),,IFNA(VLOOKUP(H497, Circuits!A:X, 24, FALSE),))</f>
        <v/>
      </c>
      <c r="V497" s="236" t="str">
        <f>IFERROR(__xludf.DUMMYFUNCTION("IF(ISBLANK(H497),,JOIN("","",H497:T497))"),"")</f>
        <v/>
      </c>
      <c r="W497" s="229" t="str">
        <f t="shared" si="1"/>
        <v/>
      </c>
    </row>
    <row r="498">
      <c r="H498" s="237"/>
      <c r="I498" s="237" t="str">
        <f>IFERROR(__xludf.DUMMYFUNCTION("IF(ISBLANK(H498),,IFNA(""""""""&amp;JOIN("","",INDEX(FILTER(A:D,A:A=H498),0,4))&amp;"""""""",))"),"")</f>
        <v/>
      </c>
      <c r="J498" s="237" t="str">
        <f>IF(ISBLANK(H498),,IFNA(VLOOKUP(H498, Circuits!A:W, 23, FALSE),))</f>
        <v/>
      </c>
      <c r="K498" s="238" t="str">
        <f t="shared" si="2"/>
        <v/>
      </c>
      <c r="L498" s="238" t="str">
        <f t="shared" si="3"/>
        <v/>
      </c>
      <c r="M498" s="238" t="str">
        <f t="shared" si="4"/>
        <v/>
      </c>
      <c r="N498" s="238" t="str">
        <f t="shared" si="5"/>
        <v/>
      </c>
      <c r="O498" s="238" t="str">
        <f t="shared" si="6"/>
        <v/>
      </c>
      <c r="P498" s="237" t="str">
        <f>IFERROR(__xludf.DUMMYFUNCTION("IF(ISBLANK(H498),,IF(IFNA(MATCH(H498,SPLIT(Circuits!$S$2,"";""&amp;CHAR(10)),0),0),FALSE,TRUE))"),"")</f>
        <v/>
      </c>
      <c r="Q498" s="237" t="str">
        <f>IF(ISBLANK(H498),,IFNA(VLOOKUP(H498, Circuits!A:U, 21, FALSE),))</f>
        <v/>
      </c>
      <c r="R498" s="238" t="str">
        <f t="shared" si="7"/>
        <v/>
      </c>
      <c r="S498" s="237" t="str">
        <f>IF(ISBLANK(H498),,IFNA(VLOOKUP(H498, Circuits!A:V, 22, FALSE),))</f>
        <v/>
      </c>
      <c r="T498" s="237" t="str">
        <f>IF(ISBLANK(H498),,IFNA(VLOOKUP(H498, Circuits!A:X, 24, FALSE),))</f>
        <v/>
      </c>
      <c r="V498" s="236" t="str">
        <f>IFERROR(__xludf.DUMMYFUNCTION("IF(ISBLANK(H498),,JOIN("","",H498:T498))"),"")</f>
        <v/>
      </c>
      <c r="W498" s="229" t="str">
        <f t="shared" si="1"/>
        <v/>
      </c>
    </row>
    <row r="499">
      <c r="H499" s="237"/>
      <c r="I499" s="237" t="str">
        <f>IFERROR(__xludf.DUMMYFUNCTION("IF(ISBLANK(H499),,IFNA(""""""""&amp;JOIN("","",INDEX(FILTER(A:D,A:A=H499),0,4))&amp;"""""""",))"),"")</f>
        <v/>
      </c>
      <c r="J499" s="237" t="str">
        <f>IF(ISBLANK(H499),,IFNA(VLOOKUP(H499, Circuits!A:W, 23, FALSE),))</f>
        <v/>
      </c>
      <c r="K499" s="238" t="str">
        <f t="shared" si="2"/>
        <v/>
      </c>
      <c r="L499" s="238" t="str">
        <f t="shared" si="3"/>
        <v/>
      </c>
      <c r="M499" s="238" t="str">
        <f t="shared" si="4"/>
        <v/>
      </c>
      <c r="N499" s="238" t="str">
        <f t="shared" si="5"/>
        <v/>
      </c>
      <c r="O499" s="238" t="str">
        <f t="shared" si="6"/>
        <v/>
      </c>
      <c r="P499" s="237" t="str">
        <f>IFERROR(__xludf.DUMMYFUNCTION("IF(ISBLANK(H499),,IF(IFNA(MATCH(H499,SPLIT(Circuits!$S$2,"";""&amp;CHAR(10)),0),0),FALSE,TRUE))"),"")</f>
        <v/>
      </c>
      <c r="Q499" s="237" t="str">
        <f>IF(ISBLANK(H499),,IFNA(VLOOKUP(H499, Circuits!A:U, 21, FALSE),))</f>
        <v/>
      </c>
      <c r="R499" s="238" t="str">
        <f t="shared" si="7"/>
        <v/>
      </c>
      <c r="S499" s="237" t="str">
        <f>IF(ISBLANK(H499),,IFNA(VLOOKUP(H499, Circuits!A:V, 22, FALSE),))</f>
        <v/>
      </c>
      <c r="T499" s="237" t="str">
        <f>IF(ISBLANK(H499),,IFNA(VLOOKUP(H499, Circuits!A:X, 24, FALSE),))</f>
        <v/>
      </c>
      <c r="V499" s="236" t="str">
        <f>IFERROR(__xludf.DUMMYFUNCTION("IF(ISBLANK(H499),,JOIN("","",H499:T499))"),"")</f>
        <v/>
      </c>
      <c r="W499" s="229" t="str">
        <f t="shared" si="1"/>
        <v/>
      </c>
    </row>
    <row r="500">
      <c r="H500" s="237"/>
      <c r="I500" s="237" t="str">
        <f>IFERROR(__xludf.DUMMYFUNCTION("IF(ISBLANK(H500),,IFNA(""""""""&amp;JOIN("","",INDEX(FILTER(A:D,A:A=H500),0,4))&amp;"""""""",))"),"")</f>
        <v/>
      </c>
      <c r="J500" s="237" t="str">
        <f>IF(ISBLANK(H500),,IFNA(VLOOKUP(H500, Circuits!A:W, 23, FALSE),))</f>
        <v/>
      </c>
      <c r="K500" s="238" t="str">
        <f t="shared" si="2"/>
        <v/>
      </c>
      <c r="L500" s="238" t="str">
        <f t="shared" si="3"/>
        <v/>
      </c>
      <c r="M500" s="238" t="str">
        <f t="shared" si="4"/>
        <v/>
      </c>
      <c r="N500" s="238" t="str">
        <f t="shared" si="5"/>
        <v/>
      </c>
      <c r="O500" s="238" t="str">
        <f t="shared" si="6"/>
        <v/>
      </c>
      <c r="P500" s="237" t="str">
        <f>IFERROR(__xludf.DUMMYFUNCTION("IF(ISBLANK(H500),,IF(IFNA(MATCH(H500,SPLIT(Circuits!$S$2,"";""&amp;CHAR(10)),0),0),FALSE,TRUE))"),"")</f>
        <v/>
      </c>
      <c r="Q500" s="237" t="str">
        <f>IF(ISBLANK(H500),,IFNA(VLOOKUP(H500, Circuits!A:U, 21, FALSE),))</f>
        <v/>
      </c>
      <c r="R500" s="238" t="str">
        <f t="shared" si="7"/>
        <v/>
      </c>
      <c r="S500" s="237" t="str">
        <f>IF(ISBLANK(H500),,IFNA(VLOOKUP(H500, Circuits!A:V, 22, FALSE),))</f>
        <v/>
      </c>
      <c r="T500" s="237" t="str">
        <f>IF(ISBLANK(H500),,IFNA(VLOOKUP(H500, Circuits!A:X, 24, FALSE),))</f>
        <v/>
      </c>
      <c r="V500" s="236" t="str">
        <f>IFERROR(__xludf.DUMMYFUNCTION("IF(ISBLANK(H500),,JOIN("","",H500:T500))"),"")</f>
        <v/>
      </c>
      <c r="W500" s="229" t="str">
        <f t="shared" si="1"/>
        <v/>
      </c>
    </row>
    <row r="501">
      <c r="H501" s="237"/>
      <c r="I501" s="237" t="str">
        <f>IFERROR(__xludf.DUMMYFUNCTION("IF(ISBLANK(H501),,IFNA(""""""""&amp;JOIN("","",INDEX(FILTER(A:D,A:A=H501),0,4))&amp;"""""""",))"),"")</f>
        <v/>
      </c>
      <c r="J501" s="237" t="str">
        <f>IF(ISBLANK(H501),,IFNA(VLOOKUP(H501, Circuits!A:W, 23, FALSE),))</f>
        <v/>
      </c>
      <c r="K501" s="238" t="str">
        <f t="shared" si="2"/>
        <v/>
      </c>
      <c r="L501" s="238" t="str">
        <f t="shared" si="3"/>
        <v/>
      </c>
      <c r="M501" s="238" t="str">
        <f t="shared" si="4"/>
        <v/>
      </c>
      <c r="N501" s="238" t="str">
        <f t="shared" si="5"/>
        <v/>
      </c>
      <c r="O501" s="238" t="str">
        <f t="shared" si="6"/>
        <v/>
      </c>
      <c r="P501" s="237" t="str">
        <f>IFERROR(__xludf.DUMMYFUNCTION("IF(ISBLANK(H501),,IF(IFNA(MATCH(H501,SPLIT(Circuits!$S$2,"";""&amp;CHAR(10)),0),0),FALSE,TRUE))"),"")</f>
        <v/>
      </c>
      <c r="Q501" s="237" t="str">
        <f>IF(ISBLANK(H501),,IFNA(VLOOKUP(H501, Circuits!A:U, 21, FALSE),))</f>
        <v/>
      </c>
      <c r="R501" s="238" t="str">
        <f t="shared" si="7"/>
        <v/>
      </c>
      <c r="S501" s="237" t="str">
        <f>IF(ISBLANK(H501),,IFNA(VLOOKUP(H501, Circuits!A:V, 22, FALSE),))</f>
        <v/>
      </c>
      <c r="T501" s="237" t="str">
        <f>IF(ISBLANK(H501),,IFNA(VLOOKUP(H501, Circuits!A:X, 24, FALSE),))</f>
        <v/>
      </c>
      <c r="V501" s="236" t="str">
        <f>IFERROR(__xludf.DUMMYFUNCTION("IF(ISBLANK(H501),,JOIN("","",H501:T501))"),"")</f>
        <v/>
      </c>
      <c r="W501" s="229" t="str">
        <f t="shared" si="1"/>
        <v/>
      </c>
    </row>
    <row r="502">
      <c r="H502" s="237"/>
      <c r="I502" s="237" t="str">
        <f>IFERROR(__xludf.DUMMYFUNCTION("IF(ISBLANK(H502),,IFNA(""""""""&amp;JOIN("","",INDEX(FILTER(A:D,A:A=H502),0,4))&amp;"""""""",))"),"")</f>
        <v/>
      </c>
      <c r="J502" s="237" t="str">
        <f>IF(ISBLANK(H502),,IFNA(VLOOKUP(H502, Circuits!A:W, 23, FALSE),))</f>
        <v/>
      </c>
      <c r="K502" s="238" t="str">
        <f t="shared" si="2"/>
        <v/>
      </c>
      <c r="L502" s="238" t="str">
        <f t="shared" si="3"/>
        <v/>
      </c>
      <c r="M502" s="238" t="str">
        <f t="shared" si="4"/>
        <v/>
      </c>
      <c r="N502" s="238" t="str">
        <f t="shared" si="5"/>
        <v/>
      </c>
      <c r="O502" s="238" t="str">
        <f t="shared" si="6"/>
        <v/>
      </c>
      <c r="P502" s="237" t="str">
        <f>IFERROR(__xludf.DUMMYFUNCTION("IF(ISBLANK(H502),,IF(IFNA(MATCH(H502,SPLIT(Circuits!$S$2,"";""&amp;CHAR(10)),0),0),FALSE,TRUE))"),"")</f>
        <v/>
      </c>
      <c r="Q502" s="237" t="str">
        <f>IF(ISBLANK(H502),,IFNA(VLOOKUP(H502, Circuits!A:U, 21, FALSE),))</f>
        <v/>
      </c>
      <c r="R502" s="238" t="str">
        <f t="shared" si="7"/>
        <v/>
      </c>
      <c r="S502" s="237" t="str">
        <f>IF(ISBLANK(H502),,IFNA(VLOOKUP(H502, Circuits!A:V, 22, FALSE),))</f>
        <v/>
      </c>
      <c r="T502" s="237" t="str">
        <f>IF(ISBLANK(H502),,IFNA(VLOOKUP(H502, Circuits!A:X, 24, FALSE),))</f>
        <v/>
      </c>
      <c r="V502" s="236" t="str">
        <f>IFERROR(__xludf.DUMMYFUNCTION("IF(ISBLANK(H502),,JOIN("","",H502:T502))"),"")</f>
        <v/>
      </c>
      <c r="W502" s="229" t="str">
        <f t="shared" si="1"/>
        <v/>
      </c>
    </row>
    <row r="503">
      <c r="H503" s="237"/>
      <c r="I503" s="237" t="str">
        <f>IFERROR(__xludf.DUMMYFUNCTION("IF(ISBLANK(H503),,IFNA(""""""""&amp;JOIN("","",INDEX(FILTER(A:D,A:A=H503),0,4))&amp;"""""""",))"),"")</f>
        <v/>
      </c>
      <c r="J503" s="237" t="str">
        <f>IF(ISBLANK(H503),,IFNA(VLOOKUP(H503, Circuits!A:W, 23, FALSE),))</f>
        <v/>
      </c>
      <c r="K503" s="238" t="str">
        <f t="shared" si="2"/>
        <v/>
      </c>
      <c r="L503" s="238" t="str">
        <f t="shared" si="3"/>
        <v/>
      </c>
      <c r="M503" s="238" t="str">
        <f t="shared" si="4"/>
        <v/>
      </c>
      <c r="N503" s="238" t="str">
        <f t="shared" si="5"/>
        <v/>
      </c>
      <c r="O503" s="238" t="str">
        <f t="shared" si="6"/>
        <v/>
      </c>
      <c r="P503" s="237" t="str">
        <f>IFERROR(__xludf.DUMMYFUNCTION("IF(ISBLANK(H503),,IF(IFNA(MATCH(H503,SPLIT(Circuits!$S$2,"";""&amp;CHAR(10)),0),0),FALSE,TRUE))"),"")</f>
        <v/>
      </c>
      <c r="Q503" s="237" t="str">
        <f>IF(ISBLANK(H503),,IFNA(VLOOKUP(H503, Circuits!A:U, 21, FALSE),))</f>
        <v/>
      </c>
      <c r="R503" s="238" t="str">
        <f t="shared" si="7"/>
        <v/>
      </c>
      <c r="S503" s="237" t="str">
        <f>IF(ISBLANK(H503),,IFNA(VLOOKUP(H503, Circuits!A:V, 22, FALSE),))</f>
        <v/>
      </c>
      <c r="T503" s="237" t="str">
        <f>IF(ISBLANK(H503),,IFNA(VLOOKUP(H503, Circuits!A:X, 24, FALSE),))</f>
        <v/>
      </c>
      <c r="V503" s="236" t="str">
        <f>IFERROR(__xludf.DUMMYFUNCTION("IF(ISBLANK(H503),,JOIN("","",H503:T503))"),"")</f>
        <v/>
      </c>
      <c r="W503" s="229" t="str">
        <f t="shared" si="1"/>
        <v/>
      </c>
    </row>
    <row r="504">
      <c r="H504" s="237"/>
      <c r="I504" s="237" t="str">
        <f>IFERROR(__xludf.DUMMYFUNCTION("IF(ISBLANK(H504),,IFNA(""""""""&amp;JOIN("","",INDEX(FILTER(A:D,A:A=H504),0,4))&amp;"""""""",))"),"")</f>
        <v/>
      </c>
      <c r="J504" s="237" t="str">
        <f>IF(ISBLANK(H504),,IFNA(VLOOKUP(H504, Circuits!A:W, 23, FALSE),))</f>
        <v/>
      </c>
      <c r="K504" s="238" t="str">
        <f t="shared" si="2"/>
        <v/>
      </c>
      <c r="L504" s="238" t="str">
        <f t="shared" si="3"/>
        <v/>
      </c>
      <c r="M504" s="238" t="str">
        <f t="shared" si="4"/>
        <v/>
      </c>
      <c r="N504" s="238" t="str">
        <f t="shared" si="5"/>
        <v/>
      </c>
      <c r="O504" s="238" t="str">
        <f t="shared" si="6"/>
        <v/>
      </c>
      <c r="P504" s="237" t="str">
        <f>IFERROR(__xludf.DUMMYFUNCTION("IF(ISBLANK(H504),,IF(IFNA(MATCH(H504,SPLIT(Circuits!$S$2,"";""&amp;CHAR(10)),0),0),FALSE,TRUE))"),"")</f>
        <v/>
      </c>
      <c r="Q504" s="237" t="str">
        <f>IF(ISBLANK(H504),,IFNA(VLOOKUP(H504, Circuits!A:U, 21, FALSE),))</f>
        <v/>
      </c>
      <c r="R504" s="238" t="str">
        <f t="shared" si="7"/>
        <v/>
      </c>
      <c r="S504" s="237" t="str">
        <f>IF(ISBLANK(H504),,IFNA(VLOOKUP(H504, Circuits!A:V, 22, FALSE),))</f>
        <v/>
      </c>
      <c r="T504" s="237" t="str">
        <f>IF(ISBLANK(H504),,IFNA(VLOOKUP(H504, Circuits!A:X, 24, FALSE),))</f>
        <v/>
      </c>
      <c r="V504" s="236" t="str">
        <f>IFERROR(__xludf.DUMMYFUNCTION("IF(ISBLANK(H504),,JOIN("","",H504:T504))"),"")</f>
        <v/>
      </c>
      <c r="W504" s="229" t="str">
        <f t="shared" si="1"/>
        <v/>
      </c>
    </row>
    <row r="505">
      <c r="H505" s="237"/>
      <c r="I505" s="237" t="str">
        <f>IFERROR(__xludf.DUMMYFUNCTION("IF(ISBLANK(H505),,IFNA(""""""""&amp;JOIN("","",INDEX(FILTER(A:D,A:A=H505),0,4))&amp;"""""""",))"),"")</f>
        <v/>
      </c>
      <c r="J505" s="237" t="str">
        <f>IF(ISBLANK(H505),,IFNA(VLOOKUP(H505, Circuits!A:W, 23, FALSE),))</f>
        <v/>
      </c>
      <c r="K505" s="238" t="str">
        <f t="shared" si="2"/>
        <v/>
      </c>
      <c r="L505" s="238" t="str">
        <f t="shared" si="3"/>
        <v/>
      </c>
      <c r="M505" s="238" t="str">
        <f t="shared" si="4"/>
        <v/>
      </c>
      <c r="N505" s="238" t="str">
        <f t="shared" si="5"/>
        <v/>
      </c>
      <c r="O505" s="238" t="str">
        <f t="shared" si="6"/>
        <v/>
      </c>
      <c r="P505" s="237" t="str">
        <f>IFERROR(__xludf.DUMMYFUNCTION("IF(ISBLANK(H505),,IF(IFNA(MATCH(H505,SPLIT(Circuits!$S$2,"";""&amp;CHAR(10)),0),0),FALSE,TRUE))"),"")</f>
        <v/>
      </c>
      <c r="Q505" s="237" t="str">
        <f>IF(ISBLANK(H505),,IFNA(VLOOKUP(H505, Circuits!A:U, 21, FALSE),))</f>
        <v/>
      </c>
      <c r="R505" s="238" t="str">
        <f t="shared" si="7"/>
        <v/>
      </c>
      <c r="S505" s="237" t="str">
        <f>IF(ISBLANK(H505),,IFNA(VLOOKUP(H505, Circuits!A:V, 22, FALSE),))</f>
        <v/>
      </c>
      <c r="T505" s="237" t="str">
        <f>IF(ISBLANK(H505),,IFNA(VLOOKUP(H505, Circuits!A:X, 24, FALSE),))</f>
        <v/>
      </c>
      <c r="V505" s="236" t="str">
        <f>IFERROR(__xludf.DUMMYFUNCTION("IF(ISBLANK(H505),,JOIN("","",H505:T505))"),"")</f>
        <v/>
      </c>
      <c r="W505" s="229" t="str">
        <f t="shared" si="1"/>
        <v/>
      </c>
    </row>
    <row r="506">
      <c r="H506" s="237"/>
      <c r="I506" s="237" t="str">
        <f>IFERROR(__xludf.DUMMYFUNCTION("IF(ISBLANK(H506),,IFNA(""""""""&amp;JOIN("","",INDEX(FILTER(A:D,A:A=H506),0,4))&amp;"""""""",))"),"")</f>
        <v/>
      </c>
      <c r="J506" s="237" t="str">
        <f>IF(ISBLANK(H506),,IFNA(VLOOKUP(H506, Circuits!A:W, 23, FALSE),))</f>
        <v/>
      </c>
      <c r="K506" s="238" t="str">
        <f t="shared" si="2"/>
        <v/>
      </c>
      <c r="L506" s="238" t="str">
        <f t="shared" si="3"/>
        <v/>
      </c>
      <c r="M506" s="238" t="str">
        <f t="shared" si="4"/>
        <v/>
      </c>
      <c r="N506" s="238" t="str">
        <f t="shared" si="5"/>
        <v/>
      </c>
      <c r="O506" s="238" t="str">
        <f t="shared" si="6"/>
        <v/>
      </c>
      <c r="P506" s="237" t="str">
        <f>IFERROR(__xludf.DUMMYFUNCTION("IF(ISBLANK(H506),,IF(IFNA(MATCH(H506,SPLIT(Circuits!$S$2,"";""&amp;CHAR(10)),0),0),FALSE,TRUE))"),"")</f>
        <v/>
      </c>
      <c r="Q506" s="237" t="str">
        <f>IF(ISBLANK(H506),,IFNA(VLOOKUP(H506, Circuits!A:U, 21, FALSE),))</f>
        <v/>
      </c>
      <c r="R506" s="238" t="str">
        <f t="shared" si="7"/>
        <v/>
      </c>
      <c r="S506" s="237" t="str">
        <f>IF(ISBLANK(H506),,IFNA(VLOOKUP(H506, Circuits!A:V, 22, FALSE),))</f>
        <v/>
      </c>
      <c r="T506" s="237" t="str">
        <f>IF(ISBLANK(H506),,IFNA(VLOOKUP(H506, Circuits!A:X, 24, FALSE),))</f>
        <v/>
      </c>
      <c r="V506" s="236" t="str">
        <f>IFERROR(__xludf.DUMMYFUNCTION("IF(ISBLANK(H506),,JOIN("","",H506:T506))"),"")</f>
        <v/>
      </c>
      <c r="W506" s="229" t="str">
        <f t="shared" si="1"/>
        <v/>
      </c>
    </row>
    <row r="507">
      <c r="H507" s="237"/>
      <c r="I507" s="237" t="str">
        <f>IFERROR(__xludf.DUMMYFUNCTION("IF(ISBLANK(H507),,IFNA(""""""""&amp;JOIN("","",INDEX(FILTER(A:D,A:A=H507),0,4))&amp;"""""""",))"),"")</f>
        <v/>
      </c>
      <c r="J507" s="237" t="str">
        <f>IF(ISBLANK(H507),,IFNA(VLOOKUP(H507, Circuits!A:W, 23, FALSE),))</f>
        <v/>
      </c>
      <c r="K507" s="238" t="str">
        <f t="shared" si="2"/>
        <v/>
      </c>
      <c r="L507" s="238" t="str">
        <f t="shared" si="3"/>
        <v/>
      </c>
      <c r="M507" s="238" t="str">
        <f t="shared" si="4"/>
        <v/>
      </c>
      <c r="N507" s="238" t="str">
        <f t="shared" si="5"/>
        <v/>
      </c>
      <c r="O507" s="238" t="str">
        <f t="shared" si="6"/>
        <v/>
      </c>
      <c r="P507" s="237" t="str">
        <f>IFERROR(__xludf.DUMMYFUNCTION("IF(ISBLANK(H507),,IF(IFNA(MATCH(H507,SPLIT(Circuits!$S$2,"";""&amp;CHAR(10)),0),0),FALSE,TRUE))"),"")</f>
        <v/>
      </c>
      <c r="Q507" s="237" t="str">
        <f>IF(ISBLANK(H507),,IFNA(VLOOKUP(H507, Circuits!A:U, 21, FALSE),))</f>
        <v/>
      </c>
      <c r="R507" s="238" t="str">
        <f t="shared" si="7"/>
        <v/>
      </c>
      <c r="S507" s="237" t="str">
        <f>IF(ISBLANK(H507),,IFNA(VLOOKUP(H507, Circuits!A:V, 22, FALSE),))</f>
        <v/>
      </c>
      <c r="T507" s="237" t="str">
        <f>IF(ISBLANK(H507),,IFNA(VLOOKUP(H507, Circuits!A:X, 24, FALSE),))</f>
        <v/>
      </c>
      <c r="V507" s="236" t="str">
        <f>IFERROR(__xludf.DUMMYFUNCTION("IF(ISBLANK(H507),,JOIN("","",H507:T507))"),"")</f>
        <v/>
      </c>
      <c r="W507" s="229" t="str">
        <f t="shared" si="1"/>
        <v/>
      </c>
    </row>
    <row r="508">
      <c r="H508" s="237"/>
      <c r="I508" s="237" t="str">
        <f>IFERROR(__xludf.DUMMYFUNCTION("IF(ISBLANK(H508),,IFNA(""""""""&amp;JOIN("","",INDEX(FILTER(A:D,A:A=H508),0,4))&amp;"""""""",))"),"")</f>
        <v/>
      </c>
      <c r="J508" s="237" t="str">
        <f>IF(ISBLANK(H508),,IFNA(VLOOKUP(H508, Circuits!A:W, 23, FALSE),))</f>
        <v/>
      </c>
      <c r="K508" s="238" t="str">
        <f t="shared" si="2"/>
        <v/>
      </c>
      <c r="L508" s="238" t="str">
        <f t="shared" si="3"/>
        <v/>
      </c>
      <c r="M508" s="238" t="str">
        <f t="shared" si="4"/>
        <v/>
      </c>
      <c r="N508" s="238" t="str">
        <f t="shared" si="5"/>
        <v/>
      </c>
      <c r="O508" s="238" t="str">
        <f t="shared" si="6"/>
        <v/>
      </c>
      <c r="P508" s="237" t="str">
        <f>IFERROR(__xludf.DUMMYFUNCTION("IF(ISBLANK(H508),,IF(IFNA(MATCH(H508,SPLIT(Circuits!$S$2,"";""&amp;CHAR(10)),0),0),FALSE,TRUE))"),"")</f>
        <v/>
      </c>
      <c r="Q508" s="237" t="str">
        <f>IF(ISBLANK(H508),,IFNA(VLOOKUP(H508, Circuits!A:U, 21, FALSE),))</f>
        <v/>
      </c>
      <c r="R508" s="238" t="str">
        <f t="shared" si="7"/>
        <v/>
      </c>
      <c r="S508" s="237" t="str">
        <f>IF(ISBLANK(H508),,IFNA(VLOOKUP(H508, Circuits!A:V, 22, FALSE),))</f>
        <v/>
      </c>
      <c r="T508" s="237" t="str">
        <f>IF(ISBLANK(H508),,IFNA(VLOOKUP(H508, Circuits!A:X, 24, FALSE),))</f>
        <v/>
      </c>
      <c r="V508" s="236" t="str">
        <f>IFERROR(__xludf.DUMMYFUNCTION("IF(ISBLANK(H508),,JOIN("","",H508:T508))"),"")</f>
        <v/>
      </c>
      <c r="W508" s="229" t="str">
        <f t="shared" si="1"/>
        <v/>
      </c>
    </row>
    <row r="509">
      <c r="H509" s="237"/>
      <c r="I509" s="237" t="str">
        <f>IFERROR(__xludf.DUMMYFUNCTION("IF(ISBLANK(H509),,IFNA(""""""""&amp;JOIN("","",INDEX(FILTER(A:D,A:A=H509),0,4))&amp;"""""""",))"),"")</f>
        <v/>
      </c>
      <c r="J509" s="237" t="str">
        <f>IF(ISBLANK(H509),,IFNA(VLOOKUP(H509, Circuits!A:W, 23, FALSE),))</f>
        <v/>
      </c>
      <c r="K509" s="238" t="str">
        <f t="shared" si="2"/>
        <v/>
      </c>
      <c r="L509" s="238" t="str">
        <f t="shared" si="3"/>
        <v/>
      </c>
      <c r="M509" s="238" t="str">
        <f t="shared" si="4"/>
        <v/>
      </c>
      <c r="N509" s="238" t="str">
        <f t="shared" si="5"/>
        <v/>
      </c>
      <c r="O509" s="238" t="str">
        <f t="shared" si="6"/>
        <v/>
      </c>
      <c r="P509" s="237" t="str">
        <f>IFERROR(__xludf.DUMMYFUNCTION("IF(ISBLANK(H509),,IF(IFNA(MATCH(H509,SPLIT(Circuits!$S$2,"";""&amp;CHAR(10)),0),0),FALSE,TRUE))"),"")</f>
        <v/>
      </c>
      <c r="Q509" s="237" t="str">
        <f>IF(ISBLANK(H509),,IFNA(VLOOKUP(H509, Circuits!A:U, 21, FALSE),))</f>
        <v/>
      </c>
      <c r="R509" s="238" t="str">
        <f t="shared" si="7"/>
        <v/>
      </c>
      <c r="S509" s="237" t="str">
        <f>IF(ISBLANK(H509),,IFNA(VLOOKUP(H509, Circuits!A:V, 22, FALSE),))</f>
        <v/>
      </c>
      <c r="T509" s="237" t="str">
        <f>IF(ISBLANK(H509),,IFNA(VLOOKUP(H509, Circuits!A:X, 24, FALSE),))</f>
        <v/>
      </c>
      <c r="V509" s="236" t="str">
        <f>IFERROR(__xludf.DUMMYFUNCTION("IF(ISBLANK(H509),,JOIN("","",H509:T509))"),"")</f>
        <v/>
      </c>
      <c r="W509" s="229" t="str">
        <f t="shared" si="1"/>
        <v/>
      </c>
    </row>
    <row r="510">
      <c r="H510" s="237"/>
      <c r="I510" s="237" t="str">
        <f>IFERROR(__xludf.DUMMYFUNCTION("IF(ISBLANK(H510),,IFNA(""""""""&amp;JOIN("","",INDEX(FILTER(A:D,A:A=H510),0,4))&amp;"""""""",))"),"")</f>
        <v/>
      </c>
      <c r="J510" s="237" t="str">
        <f>IF(ISBLANK(H510),,IFNA(VLOOKUP(H510, Circuits!A:W, 23, FALSE),))</f>
        <v/>
      </c>
      <c r="K510" s="238" t="str">
        <f t="shared" si="2"/>
        <v/>
      </c>
      <c r="L510" s="238" t="str">
        <f t="shared" si="3"/>
        <v/>
      </c>
      <c r="M510" s="238" t="str">
        <f t="shared" si="4"/>
        <v/>
      </c>
      <c r="N510" s="238" t="str">
        <f t="shared" si="5"/>
        <v/>
      </c>
      <c r="O510" s="238" t="str">
        <f t="shared" si="6"/>
        <v/>
      </c>
      <c r="P510" s="237" t="str">
        <f>IFERROR(__xludf.DUMMYFUNCTION("IF(ISBLANK(H510),,IF(IFNA(MATCH(H510,SPLIT(Circuits!$S$2,"";""&amp;CHAR(10)),0),0),FALSE,TRUE))"),"")</f>
        <v/>
      </c>
      <c r="Q510" s="237" t="str">
        <f>IF(ISBLANK(H510),,IFNA(VLOOKUP(H510, Circuits!A:U, 21, FALSE),))</f>
        <v/>
      </c>
      <c r="R510" s="238" t="str">
        <f t="shared" si="7"/>
        <v/>
      </c>
      <c r="S510" s="237" t="str">
        <f>IF(ISBLANK(H510),,IFNA(VLOOKUP(H510, Circuits!A:V, 22, FALSE),))</f>
        <v/>
      </c>
      <c r="T510" s="237" t="str">
        <f>IF(ISBLANK(H510),,IFNA(VLOOKUP(H510, Circuits!A:X, 24, FALSE),))</f>
        <v/>
      </c>
      <c r="V510" s="236" t="str">
        <f>IFERROR(__xludf.DUMMYFUNCTION("IF(ISBLANK(H510),,JOIN("","",H510:T510))"),"")</f>
        <v/>
      </c>
      <c r="W510" s="229" t="str">
        <f t="shared" si="1"/>
        <v/>
      </c>
    </row>
    <row r="511">
      <c r="H511" s="237"/>
      <c r="I511" s="237" t="str">
        <f>IFERROR(__xludf.DUMMYFUNCTION("IF(ISBLANK(H511),,IFNA(""""""""&amp;JOIN("","",INDEX(FILTER(A:D,A:A=H511),0,4))&amp;"""""""",))"),"")</f>
        <v/>
      </c>
      <c r="J511" s="237" t="str">
        <f>IF(ISBLANK(H511),,IFNA(VLOOKUP(H511, Circuits!A:W, 23, FALSE),))</f>
        <v/>
      </c>
      <c r="K511" s="238" t="str">
        <f t="shared" si="2"/>
        <v/>
      </c>
      <c r="L511" s="238" t="str">
        <f t="shared" si="3"/>
        <v/>
      </c>
      <c r="M511" s="238" t="str">
        <f t="shared" si="4"/>
        <v/>
      </c>
      <c r="N511" s="238" t="str">
        <f t="shared" si="5"/>
        <v/>
      </c>
      <c r="O511" s="238" t="str">
        <f t="shared" si="6"/>
        <v/>
      </c>
      <c r="P511" s="237" t="str">
        <f>IFERROR(__xludf.DUMMYFUNCTION("IF(ISBLANK(H511),,IF(IFNA(MATCH(H511,SPLIT(Circuits!$S$2,"";""&amp;CHAR(10)),0),0),FALSE,TRUE))"),"")</f>
        <v/>
      </c>
      <c r="Q511" s="237" t="str">
        <f>IF(ISBLANK(H511),,IFNA(VLOOKUP(H511, Circuits!A:U, 21, FALSE),))</f>
        <v/>
      </c>
      <c r="R511" s="238" t="str">
        <f t="shared" si="7"/>
        <v/>
      </c>
      <c r="S511" s="237" t="str">
        <f>IF(ISBLANK(H511),,IFNA(VLOOKUP(H511, Circuits!A:V, 22, FALSE),))</f>
        <v/>
      </c>
      <c r="T511" s="237" t="str">
        <f>IF(ISBLANK(H511),,IFNA(VLOOKUP(H511, Circuits!A:X, 24, FALSE),))</f>
        <v/>
      </c>
      <c r="V511" s="236" t="str">
        <f>IFERROR(__xludf.DUMMYFUNCTION("IF(ISBLANK(H511),,JOIN("","",H511:T511))"),"")</f>
        <v/>
      </c>
      <c r="W511" s="229" t="str">
        <f t="shared" si="1"/>
        <v/>
      </c>
    </row>
    <row r="512">
      <c r="H512" s="237"/>
      <c r="I512" s="237" t="str">
        <f>IFERROR(__xludf.DUMMYFUNCTION("IF(ISBLANK(H512),,IFNA(""""""""&amp;JOIN("","",INDEX(FILTER(A:D,A:A=H512),0,4))&amp;"""""""",))"),"")</f>
        <v/>
      </c>
      <c r="J512" s="237" t="str">
        <f>IF(ISBLANK(H512),,IFNA(VLOOKUP(H512, Circuits!A:W, 23, FALSE),))</f>
        <v/>
      </c>
      <c r="K512" s="238" t="str">
        <f t="shared" si="2"/>
        <v/>
      </c>
      <c r="L512" s="238" t="str">
        <f t="shared" si="3"/>
        <v/>
      </c>
      <c r="M512" s="238" t="str">
        <f t="shared" si="4"/>
        <v/>
      </c>
      <c r="N512" s="238" t="str">
        <f t="shared" si="5"/>
        <v/>
      </c>
      <c r="O512" s="238" t="str">
        <f t="shared" si="6"/>
        <v/>
      </c>
      <c r="P512" s="237" t="str">
        <f>IFERROR(__xludf.DUMMYFUNCTION("IF(ISBLANK(H512),,IF(IFNA(MATCH(H512,SPLIT(Circuits!$S$2,"";""&amp;CHAR(10)),0),0),FALSE,TRUE))"),"")</f>
        <v/>
      </c>
      <c r="Q512" s="237" t="str">
        <f>IF(ISBLANK(H512),,IFNA(VLOOKUP(H512, Circuits!A:U, 21, FALSE),))</f>
        <v/>
      </c>
      <c r="R512" s="238" t="str">
        <f t="shared" si="7"/>
        <v/>
      </c>
      <c r="S512" s="237" t="str">
        <f>IF(ISBLANK(H512),,IFNA(VLOOKUP(H512, Circuits!A:V, 22, FALSE),))</f>
        <v/>
      </c>
      <c r="T512" s="237" t="str">
        <f>IF(ISBLANK(H512),,IFNA(VLOOKUP(H512, Circuits!A:X, 24, FALSE),))</f>
        <v/>
      </c>
      <c r="V512" s="236" t="str">
        <f>IFERROR(__xludf.DUMMYFUNCTION("IF(ISBLANK(H512),,JOIN("","",H512:T512))"),"")</f>
        <v/>
      </c>
      <c r="W512" s="229" t="str">
        <f t="shared" si="1"/>
        <v/>
      </c>
    </row>
    <row r="513">
      <c r="H513" s="237"/>
      <c r="I513" s="237" t="str">
        <f>IFERROR(__xludf.DUMMYFUNCTION("IF(ISBLANK(H513),,IFNA(""""""""&amp;JOIN("","",INDEX(FILTER(A:D,A:A=H513),0,4))&amp;"""""""",))"),"")</f>
        <v/>
      </c>
      <c r="J513" s="237" t="str">
        <f>IF(ISBLANK(H513),,IFNA(VLOOKUP(H513, Circuits!A:W, 23, FALSE),))</f>
        <v/>
      </c>
      <c r="K513" s="238" t="str">
        <f t="shared" si="2"/>
        <v/>
      </c>
      <c r="L513" s="238" t="str">
        <f t="shared" si="3"/>
        <v/>
      </c>
      <c r="M513" s="238" t="str">
        <f t="shared" si="4"/>
        <v/>
      </c>
      <c r="N513" s="238" t="str">
        <f t="shared" si="5"/>
        <v/>
      </c>
      <c r="O513" s="238" t="str">
        <f t="shared" si="6"/>
        <v/>
      </c>
      <c r="P513" s="237" t="str">
        <f>IFERROR(__xludf.DUMMYFUNCTION("IF(ISBLANK(H513),,IF(IFNA(MATCH(H513,SPLIT(Circuits!$S$2,"";""&amp;CHAR(10)),0),0),FALSE,TRUE))"),"")</f>
        <v/>
      </c>
      <c r="Q513" s="237" t="str">
        <f>IF(ISBLANK(H513),,IFNA(VLOOKUP(H513, Circuits!A:U, 21, FALSE),))</f>
        <v/>
      </c>
      <c r="R513" s="238" t="str">
        <f t="shared" si="7"/>
        <v/>
      </c>
      <c r="S513" s="237" t="str">
        <f>IF(ISBLANK(H513),,IFNA(VLOOKUP(H513, Circuits!A:V, 22, FALSE),))</f>
        <v/>
      </c>
      <c r="T513" s="237" t="str">
        <f>IF(ISBLANK(H513),,IFNA(VLOOKUP(H513, Circuits!A:X, 24, FALSE),))</f>
        <v/>
      </c>
      <c r="V513" s="236" t="str">
        <f>IFERROR(__xludf.DUMMYFUNCTION("IF(ISBLANK(H513),,JOIN("","",H513:T513))"),"")</f>
        <v/>
      </c>
      <c r="W513" s="229" t="str">
        <f t="shared" si="1"/>
        <v/>
      </c>
    </row>
    <row r="514">
      <c r="H514" s="237"/>
      <c r="I514" s="237" t="str">
        <f>IFERROR(__xludf.DUMMYFUNCTION("IF(ISBLANK(H514),,IFNA(""""""""&amp;JOIN("","",INDEX(FILTER(A:D,A:A=H514),0,4))&amp;"""""""",))"),"")</f>
        <v/>
      </c>
      <c r="J514" s="237" t="str">
        <f>IF(ISBLANK(H514),,IFNA(VLOOKUP(H514, Circuits!A:W, 23, FALSE),))</f>
        <v/>
      </c>
      <c r="K514" s="238" t="str">
        <f t="shared" si="2"/>
        <v/>
      </c>
      <c r="L514" s="238" t="str">
        <f t="shared" si="3"/>
        <v/>
      </c>
      <c r="M514" s="238" t="str">
        <f t="shared" si="4"/>
        <v/>
      </c>
      <c r="N514" s="238" t="str">
        <f t="shared" si="5"/>
        <v/>
      </c>
      <c r="O514" s="238" t="str">
        <f t="shared" si="6"/>
        <v/>
      </c>
      <c r="P514" s="237" t="str">
        <f>IFERROR(__xludf.DUMMYFUNCTION("IF(ISBLANK(H514),,IF(IFNA(MATCH(H514,SPLIT(Circuits!$S$2,"";""&amp;CHAR(10)),0),0),FALSE,TRUE))"),"")</f>
        <v/>
      </c>
      <c r="Q514" s="237" t="str">
        <f>IF(ISBLANK(H514),,IFNA(VLOOKUP(H514, Circuits!A:U, 21, FALSE),))</f>
        <v/>
      </c>
      <c r="R514" s="238" t="str">
        <f t="shared" si="7"/>
        <v/>
      </c>
      <c r="S514" s="237" t="str">
        <f>IF(ISBLANK(H514),,IFNA(VLOOKUP(H514, Circuits!A:V, 22, FALSE),))</f>
        <v/>
      </c>
      <c r="T514" s="237" t="str">
        <f>IF(ISBLANK(H514),,IFNA(VLOOKUP(H514, Circuits!A:X, 24, FALSE),))</f>
        <v/>
      </c>
      <c r="V514" s="236" t="str">
        <f>IFERROR(__xludf.DUMMYFUNCTION("IF(ISBLANK(H514),,JOIN("","",H514:T514))"),"")</f>
        <v/>
      </c>
      <c r="W514" s="229" t="str">
        <f t="shared" si="1"/>
        <v/>
      </c>
    </row>
    <row r="515">
      <c r="H515" s="237"/>
      <c r="I515" s="237" t="str">
        <f>IFERROR(__xludf.DUMMYFUNCTION("IF(ISBLANK(H515),,IFNA(""""""""&amp;JOIN("","",INDEX(FILTER(A:D,A:A=H515),0,4))&amp;"""""""",))"),"")</f>
        <v/>
      </c>
      <c r="J515" s="237" t="str">
        <f>IF(ISBLANK(H515),,IFNA(VLOOKUP(H515, Circuits!A:W, 23, FALSE),))</f>
        <v/>
      </c>
      <c r="K515" s="238" t="str">
        <f t="shared" si="2"/>
        <v/>
      </c>
      <c r="L515" s="238" t="str">
        <f t="shared" si="3"/>
        <v/>
      </c>
      <c r="M515" s="238" t="str">
        <f t="shared" si="4"/>
        <v/>
      </c>
      <c r="N515" s="238" t="str">
        <f t="shared" si="5"/>
        <v/>
      </c>
      <c r="O515" s="238" t="str">
        <f t="shared" si="6"/>
        <v/>
      </c>
      <c r="P515" s="237" t="str">
        <f>IFERROR(__xludf.DUMMYFUNCTION("IF(ISBLANK(H515),,IF(IFNA(MATCH(H515,SPLIT(Circuits!$S$2,"";""&amp;CHAR(10)),0),0),FALSE,TRUE))"),"")</f>
        <v/>
      </c>
      <c r="Q515" s="237" t="str">
        <f>IF(ISBLANK(H515),,IFNA(VLOOKUP(H515, Circuits!A:U, 21, FALSE),))</f>
        <v/>
      </c>
      <c r="R515" s="238" t="str">
        <f t="shared" si="7"/>
        <v/>
      </c>
      <c r="S515" s="237" t="str">
        <f>IF(ISBLANK(H515),,IFNA(VLOOKUP(H515, Circuits!A:V, 22, FALSE),))</f>
        <v/>
      </c>
      <c r="T515" s="237" t="str">
        <f>IF(ISBLANK(H515),,IFNA(VLOOKUP(H515, Circuits!A:X, 24, FALSE),))</f>
        <v/>
      </c>
      <c r="V515" s="236" t="str">
        <f>IFERROR(__xludf.DUMMYFUNCTION("IF(ISBLANK(H515),,JOIN("","",H515:T515))"),"")</f>
        <v/>
      </c>
      <c r="W515" s="229" t="str">
        <f t="shared" si="1"/>
        <v/>
      </c>
    </row>
    <row r="516">
      <c r="H516" s="237"/>
      <c r="I516" s="237" t="str">
        <f>IFERROR(__xludf.DUMMYFUNCTION("IF(ISBLANK(H516),,IFNA(""""""""&amp;JOIN("","",INDEX(FILTER(A:D,A:A=H516),0,4))&amp;"""""""",))"),"")</f>
        <v/>
      </c>
      <c r="J516" s="237" t="str">
        <f>IF(ISBLANK(H516),,IFNA(VLOOKUP(H516, Circuits!A:W, 23, FALSE),))</f>
        <v/>
      </c>
      <c r="K516" s="238" t="str">
        <f t="shared" si="2"/>
        <v/>
      </c>
      <c r="L516" s="238" t="str">
        <f t="shared" si="3"/>
        <v/>
      </c>
      <c r="M516" s="238" t="str">
        <f t="shared" si="4"/>
        <v/>
      </c>
      <c r="N516" s="238" t="str">
        <f t="shared" si="5"/>
        <v/>
      </c>
      <c r="O516" s="238" t="str">
        <f t="shared" si="6"/>
        <v/>
      </c>
      <c r="P516" s="237" t="str">
        <f>IFERROR(__xludf.DUMMYFUNCTION("IF(ISBLANK(H516),,IF(IFNA(MATCH(H516,SPLIT(Circuits!$S$2,"";""&amp;CHAR(10)),0),0),FALSE,TRUE))"),"")</f>
        <v/>
      </c>
      <c r="Q516" s="237" t="str">
        <f>IF(ISBLANK(H516),,IFNA(VLOOKUP(H516, Circuits!A:U, 21, FALSE),))</f>
        <v/>
      </c>
      <c r="R516" s="238" t="str">
        <f t="shared" si="7"/>
        <v/>
      </c>
      <c r="S516" s="237" t="str">
        <f>IF(ISBLANK(H516),,IFNA(VLOOKUP(H516, Circuits!A:V, 22, FALSE),))</f>
        <v/>
      </c>
      <c r="T516" s="237" t="str">
        <f>IF(ISBLANK(H516),,IFNA(VLOOKUP(H516, Circuits!A:X, 24, FALSE),))</f>
        <v/>
      </c>
      <c r="V516" s="236" t="str">
        <f>IFERROR(__xludf.DUMMYFUNCTION("IF(ISBLANK(H516),,JOIN("","",H516:T516))"),"")</f>
        <v/>
      </c>
      <c r="W516" s="229" t="str">
        <f t="shared" si="1"/>
        <v/>
      </c>
    </row>
    <row r="517">
      <c r="H517" s="237"/>
      <c r="I517" s="237" t="str">
        <f>IFERROR(__xludf.DUMMYFUNCTION("IF(ISBLANK(H517),,IFNA(""""""""&amp;JOIN("","",INDEX(FILTER(A:D,A:A=H517),0,4))&amp;"""""""",))"),"")</f>
        <v/>
      </c>
      <c r="J517" s="237" t="str">
        <f>IF(ISBLANK(H517),,IFNA(VLOOKUP(H517, Circuits!A:W, 23, FALSE),))</f>
        <v/>
      </c>
      <c r="K517" s="238" t="str">
        <f t="shared" si="2"/>
        <v/>
      </c>
      <c r="L517" s="238" t="str">
        <f t="shared" si="3"/>
        <v/>
      </c>
      <c r="M517" s="238" t="str">
        <f t="shared" si="4"/>
        <v/>
      </c>
      <c r="N517" s="238" t="str">
        <f t="shared" si="5"/>
        <v/>
      </c>
      <c r="O517" s="238" t="str">
        <f t="shared" si="6"/>
        <v/>
      </c>
      <c r="P517" s="237" t="str">
        <f>IFERROR(__xludf.DUMMYFUNCTION("IF(ISBLANK(H517),,IF(IFNA(MATCH(H517,SPLIT(Circuits!$S$2,"";""&amp;CHAR(10)),0),0),FALSE,TRUE))"),"")</f>
        <v/>
      </c>
      <c r="Q517" s="237" t="str">
        <f>IF(ISBLANK(H517),,IFNA(VLOOKUP(H517, Circuits!A:U, 21, FALSE),))</f>
        <v/>
      </c>
      <c r="R517" s="238" t="str">
        <f t="shared" si="7"/>
        <v/>
      </c>
      <c r="S517" s="237" t="str">
        <f>IF(ISBLANK(H517),,IFNA(VLOOKUP(H517, Circuits!A:V, 22, FALSE),))</f>
        <v/>
      </c>
      <c r="T517" s="237" t="str">
        <f>IF(ISBLANK(H517),,IFNA(VLOOKUP(H517, Circuits!A:X, 24, FALSE),))</f>
        <v/>
      </c>
      <c r="V517" s="236" t="str">
        <f>IFERROR(__xludf.DUMMYFUNCTION("IF(ISBLANK(H517),,JOIN("","",H517:T517))"),"")</f>
        <v/>
      </c>
      <c r="W517" s="229" t="str">
        <f t="shared" si="1"/>
        <v/>
      </c>
    </row>
    <row r="518">
      <c r="H518" s="237"/>
      <c r="I518" s="237" t="str">
        <f>IFERROR(__xludf.DUMMYFUNCTION("IF(ISBLANK(H518),,IFNA(""""""""&amp;JOIN("","",INDEX(FILTER(A:D,A:A=H518),0,4))&amp;"""""""",))"),"")</f>
        <v/>
      </c>
      <c r="J518" s="237" t="str">
        <f>IF(ISBLANK(H518),,IFNA(VLOOKUP(H518, Circuits!A:W, 23, FALSE),))</f>
        <v/>
      </c>
      <c r="K518" s="238" t="str">
        <f t="shared" si="2"/>
        <v/>
      </c>
      <c r="L518" s="238" t="str">
        <f t="shared" si="3"/>
        <v/>
      </c>
      <c r="M518" s="238" t="str">
        <f t="shared" si="4"/>
        <v/>
      </c>
      <c r="N518" s="238" t="str">
        <f t="shared" si="5"/>
        <v/>
      </c>
      <c r="O518" s="238" t="str">
        <f t="shared" si="6"/>
        <v/>
      </c>
      <c r="P518" s="237" t="str">
        <f>IFERROR(__xludf.DUMMYFUNCTION("IF(ISBLANK(H518),,IF(IFNA(MATCH(H518,SPLIT(Circuits!$S$2,"";""&amp;CHAR(10)),0),0),FALSE,TRUE))"),"")</f>
        <v/>
      </c>
      <c r="Q518" s="237" t="str">
        <f>IF(ISBLANK(H518),,IFNA(VLOOKUP(H518, Circuits!A:U, 21, FALSE),))</f>
        <v/>
      </c>
      <c r="R518" s="238" t="str">
        <f t="shared" si="7"/>
        <v/>
      </c>
      <c r="S518" s="237" t="str">
        <f>IF(ISBLANK(H518),,IFNA(VLOOKUP(H518, Circuits!A:V, 22, FALSE),))</f>
        <v/>
      </c>
      <c r="T518" s="237" t="str">
        <f>IF(ISBLANK(H518),,IFNA(VLOOKUP(H518, Circuits!A:X, 24, FALSE),))</f>
        <v/>
      </c>
      <c r="V518" s="236" t="str">
        <f>IFERROR(__xludf.DUMMYFUNCTION("IF(ISBLANK(H518),,JOIN("","",H518:T518))"),"")</f>
        <v/>
      </c>
      <c r="W518" s="229" t="str">
        <f t="shared" si="1"/>
        <v/>
      </c>
    </row>
    <row r="519">
      <c r="H519" s="237"/>
      <c r="I519" s="237" t="str">
        <f>IFERROR(__xludf.DUMMYFUNCTION("IF(ISBLANK(H519),,IFNA(""""""""&amp;JOIN("","",INDEX(FILTER(A:D,A:A=H519),0,4))&amp;"""""""",))"),"")</f>
        <v/>
      </c>
      <c r="J519" s="237" t="str">
        <f>IF(ISBLANK(H519),,IFNA(VLOOKUP(H519, Circuits!A:W, 23, FALSE),))</f>
        <v/>
      </c>
      <c r="K519" s="238" t="str">
        <f t="shared" si="2"/>
        <v/>
      </c>
      <c r="L519" s="238" t="str">
        <f t="shared" si="3"/>
        <v/>
      </c>
      <c r="M519" s="238" t="str">
        <f t="shared" si="4"/>
        <v/>
      </c>
      <c r="N519" s="238" t="str">
        <f t="shared" si="5"/>
        <v/>
      </c>
      <c r="O519" s="238" t="str">
        <f t="shared" si="6"/>
        <v/>
      </c>
      <c r="P519" s="237" t="str">
        <f>IFERROR(__xludf.DUMMYFUNCTION("IF(ISBLANK(H519),,IF(IFNA(MATCH(H519,SPLIT(Circuits!$S$2,"";""&amp;CHAR(10)),0),0),FALSE,TRUE))"),"")</f>
        <v/>
      </c>
      <c r="Q519" s="237" t="str">
        <f>IF(ISBLANK(H519),,IFNA(VLOOKUP(H519, Circuits!A:U, 21, FALSE),))</f>
        <v/>
      </c>
      <c r="R519" s="238" t="str">
        <f t="shared" si="7"/>
        <v/>
      </c>
      <c r="S519" s="237" t="str">
        <f>IF(ISBLANK(H519),,IFNA(VLOOKUP(H519, Circuits!A:V, 22, FALSE),))</f>
        <v/>
      </c>
      <c r="T519" s="237" t="str">
        <f>IF(ISBLANK(H519),,IFNA(VLOOKUP(H519, Circuits!A:X, 24, FALSE),))</f>
        <v/>
      </c>
      <c r="V519" s="236" t="str">
        <f>IFERROR(__xludf.DUMMYFUNCTION("IF(ISBLANK(H519),,JOIN("","",H519:T519))"),"")</f>
        <v/>
      </c>
      <c r="W519" s="229" t="str">
        <f t="shared" si="1"/>
        <v/>
      </c>
    </row>
    <row r="520">
      <c r="H520" s="237"/>
      <c r="I520" s="237" t="str">
        <f>IFERROR(__xludf.DUMMYFUNCTION("IF(ISBLANK(H520),,IFNA(""""""""&amp;JOIN("","",INDEX(FILTER(A:D,A:A=H520),0,4))&amp;"""""""",))"),"")</f>
        <v/>
      </c>
      <c r="J520" s="237" t="str">
        <f>IF(ISBLANK(H520),,IFNA(VLOOKUP(H520, Circuits!A:W, 23, FALSE),))</f>
        <v/>
      </c>
      <c r="K520" s="238" t="str">
        <f t="shared" si="2"/>
        <v/>
      </c>
      <c r="L520" s="238" t="str">
        <f t="shared" si="3"/>
        <v/>
      </c>
      <c r="M520" s="238" t="str">
        <f t="shared" si="4"/>
        <v/>
      </c>
      <c r="N520" s="238" t="str">
        <f t="shared" si="5"/>
        <v/>
      </c>
      <c r="O520" s="238" t="str">
        <f t="shared" si="6"/>
        <v/>
      </c>
      <c r="P520" s="237" t="str">
        <f>IFERROR(__xludf.DUMMYFUNCTION("IF(ISBLANK(H520),,IF(IFNA(MATCH(H520,SPLIT(Circuits!$S$2,"";""&amp;CHAR(10)),0),0),FALSE,TRUE))"),"")</f>
        <v/>
      </c>
      <c r="Q520" s="237" t="str">
        <f>IF(ISBLANK(H520),,IFNA(VLOOKUP(H520, Circuits!A:U, 21, FALSE),))</f>
        <v/>
      </c>
      <c r="R520" s="238" t="str">
        <f t="shared" si="7"/>
        <v/>
      </c>
      <c r="S520" s="237" t="str">
        <f>IF(ISBLANK(H520),,IFNA(VLOOKUP(H520, Circuits!A:V, 22, FALSE),))</f>
        <v/>
      </c>
      <c r="T520" s="237" t="str">
        <f>IF(ISBLANK(H520),,IFNA(VLOOKUP(H520, Circuits!A:X, 24, FALSE),))</f>
        <v/>
      </c>
      <c r="V520" s="236" t="str">
        <f>IFERROR(__xludf.DUMMYFUNCTION("IF(ISBLANK(H520),,JOIN("","",H520:T520))"),"")</f>
        <v/>
      </c>
      <c r="W520" s="229" t="str">
        <f t="shared" si="1"/>
        <v/>
      </c>
    </row>
    <row r="521">
      <c r="H521" s="237"/>
      <c r="I521" s="237" t="str">
        <f>IFERROR(__xludf.DUMMYFUNCTION("IF(ISBLANK(H521),,IFNA(""""""""&amp;JOIN("","",INDEX(FILTER(A:D,A:A=H521),0,4))&amp;"""""""",))"),"")</f>
        <v/>
      </c>
      <c r="J521" s="237" t="str">
        <f>IF(ISBLANK(H521),,IFNA(VLOOKUP(H521, Circuits!A:W, 23, FALSE),))</f>
        <v/>
      </c>
      <c r="K521" s="238" t="str">
        <f t="shared" si="2"/>
        <v/>
      </c>
      <c r="L521" s="238" t="str">
        <f t="shared" si="3"/>
        <v/>
      </c>
      <c r="M521" s="238" t="str">
        <f t="shared" si="4"/>
        <v/>
      </c>
      <c r="N521" s="238" t="str">
        <f t="shared" si="5"/>
        <v/>
      </c>
      <c r="O521" s="238" t="str">
        <f t="shared" si="6"/>
        <v/>
      </c>
      <c r="P521" s="237" t="str">
        <f>IFERROR(__xludf.DUMMYFUNCTION("IF(ISBLANK(H521),,IF(IFNA(MATCH(H521,SPLIT(Circuits!$S$2,"";""&amp;CHAR(10)),0),0),FALSE,TRUE))"),"")</f>
        <v/>
      </c>
      <c r="Q521" s="237" t="str">
        <f>IF(ISBLANK(H521),,IFNA(VLOOKUP(H521, Circuits!A:U, 21, FALSE),))</f>
        <v/>
      </c>
      <c r="R521" s="238" t="str">
        <f t="shared" si="7"/>
        <v/>
      </c>
      <c r="S521" s="237" t="str">
        <f>IF(ISBLANK(H521),,IFNA(VLOOKUP(H521, Circuits!A:V, 22, FALSE),))</f>
        <v/>
      </c>
      <c r="T521" s="237" t="str">
        <f>IF(ISBLANK(H521),,IFNA(VLOOKUP(H521, Circuits!A:X, 24, FALSE),))</f>
        <v/>
      </c>
      <c r="V521" s="236" t="str">
        <f>IFERROR(__xludf.DUMMYFUNCTION("IF(ISBLANK(H521),,JOIN("","",H521:T521))"),"")</f>
        <v/>
      </c>
      <c r="W521" s="229" t="str">
        <f t="shared" si="1"/>
        <v/>
      </c>
    </row>
    <row r="522">
      <c r="H522" s="237"/>
      <c r="I522" s="237" t="str">
        <f>IFERROR(__xludf.DUMMYFUNCTION("IF(ISBLANK(H522),,IFNA(""""""""&amp;JOIN("","",INDEX(FILTER(A:D,A:A=H522),0,4))&amp;"""""""",))"),"")</f>
        <v/>
      </c>
      <c r="J522" s="237" t="str">
        <f>IF(ISBLANK(H522),,IFNA(VLOOKUP(H522, Circuits!A:W, 23, FALSE),))</f>
        <v/>
      </c>
      <c r="K522" s="238" t="str">
        <f t="shared" si="2"/>
        <v/>
      </c>
      <c r="L522" s="238" t="str">
        <f t="shared" si="3"/>
        <v/>
      </c>
      <c r="M522" s="238" t="str">
        <f t="shared" si="4"/>
        <v/>
      </c>
      <c r="N522" s="238" t="str">
        <f t="shared" si="5"/>
        <v/>
      </c>
      <c r="O522" s="238" t="str">
        <f t="shared" si="6"/>
        <v/>
      </c>
      <c r="P522" s="237" t="str">
        <f>IFERROR(__xludf.DUMMYFUNCTION("IF(ISBLANK(H522),,IF(IFNA(MATCH(H522,SPLIT(Circuits!$S$2,"";""&amp;CHAR(10)),0),0),FALSE,TRUE))"),"")</f>
        <v/>
      </c>
      <c r="Q522" s="237" t="str">
        <f>IF(ISBLANK(H522),,IFNA(VLOOKUP(H522, Circuits!A:U, 21, FALSE),))</f>
        <v/>
      </c>
      <c r="R522" s="238" t="str">
        <f t="shared" si="7"/>
        <v/>
      </c>
      <c r="S522" s="237" t="str">
        <f>IF(ISBLANK(H522),,IFNA(VLOOKUP(H522, Circuits!A:V, 22, FALSE),))</f>
        <v/>
      </c>
      <c r="T522" s="237" t="str">
        <f>IF(ISBLANK(H522),,IFNA(VLOOKUP(H522, Circuits!A:X, 24, FALSE),))</f>
        <v/>
      </c>
      <c r="V522" s="236" t="str">
        <f>IFERROR(__xludf.DUMMYFUNCTION("IF(ISBLANK(H522),,JOIN("","",H522:T522))"),"")</f>
        <v/>
      </c>
      <c r="W522" s="229" t="str">
        <f t="shared" si="1"/>
        <v/>
      </c>
    </row>
    <row r="523">
      <c r="H523" s="237"/>
      <c r="I523" s="237" t="str">
        <f>IFERROR(__xludf.DUMMYFUNCTION("IF(ISBLANK(H523),,IFNA(""""""""&amp;JOIN("","",INDEX(FILTER(A:D,A:A=H523),0,4))&amp;"""""""",))"),"")</f>
        <v/>
      </c>
      <c r="J523" s="237" t="str">
        <f>IF(ISBLANK(H523),,IFNA(VLOOKUP(H523, Circuits!A:W, 23, FALSE),))</f>
        <v/>
      </c>
      <c r="K523" s="238" t="str">
        <f t="shared" si="2"/>
        <v/>
      </c>
      <c r="L523" s="238" t="str">
        <f t="shared" si="3"/>
        <v/>
      </c>
      <c r="M523" s="238" t="str">
        <f t="shared" si="4"/>
        <v/>
      </c>
      <c r="N523" s="238" t="str">
        <f t="shared" si="5"/>
        <v/>
      </c>
      <c r="O523" s="238" t="str">
        <f t="shared" si="6"/>
        <v/>
      </c>
      <c r="P523" s="237" t="str">
        <f>IFERROR(__xludf.DUMMYFUNCTION("IF(ISBLANK(H523),,IF(IFNA(MATCH(H523,SPLIT(Circuits!$S$2,"";""&amp;CHAR(10)),0),0),FALSE,TRUE))"),"")</f>
        <v/>
      </c>
      <c r="Q523" s="237" t="str">
        <f>IF(ISBLANK(H523),,IFNA(VLOOKUP(H523, Circuits!A:U, 21, FALSE),))</f>
        <v/>
      </c>
      <c r="R523" s="238" t="str">
        <f t="shared" si="7"/>
        <v/>
      </c>
      <c r="S523" s="237" t="str">
        <f>IF(ISBLANK(H523),,IFNA(VLOOKUP(H523, Circuits!A:V, 22, FALSE),))</f>
        <v/>
      </c>
      <c r="T523" s="237" t="str">
        <f>IF(ISBLANK(H523),,IFNA(VLOOKUP(H523, Circuits!A:X, 24, FALSE),))</f>
        <v/>
      </c>
      <c r="V523" s="236" t="str">
        <f>IFERROR(__xludf.DUMMYFUNCTION("IF(ISBLANK(H523),,JOIN("","",H523:T523))"),"")</f>
        <v/>
      </c>
      <c r="W523" s="229" t="str">
        <f t="shared" si="1"/>
        <v/>
      </c>
    </row>
    <row r="524">
      <c r="H524" s="237"/>
      <c r="I524" s="237" t="str">
        <f>IFERROR(__xludf.DUMMYFUNCTION("IF(ISBLANK(H524),,IFNA(""""""""&amp;JOIN("","",INDEX(FILTER(A:D,A:A=H524),0,4))&amp;"""""""",))"),"")</f>
        <v/>
      </c>
      <c r="J524" s="237" t="str">
        <f>IF(ISBLANK(H524),,IFNA(VLOOKUP(H524, Circuits!A:W, 23, FALSE),))</f>
        <v/>
      </c>
      <c r="K524" s="238" t="str">
        <f t="shared" si="2"/>
        <v/>
      </c>
      <c r="L524" s="238" t="str">
        <f t="shared" si="3"/>
        <v/>
      </c>
      <c r="M524" s="238" t="str">
        <f t="shared" si="4"/>
        <v/>
      </c>
      <c r="N524" s="238" t="str">
        <f t="shared" si="5"/>
        <v/>
      </c>
      <c r="O524" s="238" t="str">
        <f t="shared" si="6"/>
        <v/>
      </c>
      <c r="P524" s="237" t="str">
        <f>IFERROR(__xludf.DUMMYFUNCTION("IF(ISBLANK(H524),,IF(IFNA(MATCH(H524,SPLIT(Circuits!$S$2,"";""&amp;CHAR(10)),0),0),FALSE,TRUE))"),"")</f>
        <v/>
      </c>
      <c r="Q524" s="237" t="str">
        <f>IF(ISBLANK(H524),,IFNA(VLOOKUP(H524, Circuits!A:U, 21, FALSE),))</f>
        <v/>
      </c>
      <c r="R524" s="238" t="str">
        <f t="shared" si="7"/>
        <v/>
      </c>
      <c r="S524" s="237" t="str">
        <f>IF(ISBLANK(H524),,IFNA(VLOOKUP(H524, Circuits!A:V, 22, FALSE),))</f>
        <v/>
      </c>
      <c r="T524" s="237" t="str">
        <f>IF(ISBLANK(H524),,IFNA(VLOOKUP(H524, Circuits!A:X, 24, FALSE),))</f>
        <v/>
      </c>
      <c r="V524" s="236" t="str">
        <f>IFERROR(__xludf.DUMMYFUNCTION("IF(ISBLANK(H524),,JOIN("","",H524:T524))"),"")</f>
        <v/>
      </c>
      <c r="W524" s="229" t="str">
        <f t="shared" si="1"/>
        <v/>
      </c>
    </row>
    <row r="525">
      <c r="H525" s="237"/>
      <c r="I525" s="237" t="str">
        <f>IFERROR(__xludf.DUMMYFUNCTION("IF(ISBLANK(H525),,IFNA(""""""""&amp;JOIN("","",INDEX(FILTER(A:D,A:A=H525),0,4))&amp;"""""""",))"),"")</f>
        <v/>
      </c>
      <c r="J525" s="237" t="str">
        <f>IF(ISBLANK(H525),,IFNA(VLOOKUP(H525, Circuits!A:W, 23, FALSE),))</f>
        <v/>
      </c>
      <c r="K525" s="238" t="str">
        <f t="shared" si="2"/>
        <v/>
      </c>
      <c r="L525" s="238" t="str">
        <f t="shared" si="3"/>
        <v/>
      </c>
      <c r="M525" s="238" t="str">
        <f t="shared" si="4"/>
        <v/>
      </c>
      <c r="N525" s="238" t="str">
        <f t="shared" si="5"/>
        <v/>
      </c>
      <c r="O525" s="238" t="str">
        <f t="shared" si="6"/>
        <v/>
      </c>
      <c r="P525" s="237" t="str">
        <f>IFERROR(__xludf.DUMMYFUNCTION("IF(ISBLANK(H525),,IF(IFNA(MATCH(H525,SPLIT(Circuits!$S$2,"";""&amp;CHAR(10)),0),0),FALSE,TRUE))"),"")</f>
        <v/>
      </c>
      <c r="Q525" s="237" t="str">
        <f>IF(ISBLANK(H525),,IFNA(VLOOKUP(H525, Circuits!A:U, 21, FALSE),))</f>
        <v/>
      </c>
      <c r="R525" s="238" t="str">
        <f t="shared" si="7"/>
        <v/>
      </c>
      <c r="S525" s="237" t="str">
        <f>IF(ISBLANK(H525),,IFNA(VLOOKUP(H525, Circuits!A:V, 22, FALSE),))</f>
        <v/>
      </c>
      <c r="T525" s="237" t="str">
        <f>IF(ISBLANK(H525),,IFNA(VLOOKUP(H525, Circuits!A:X, 24, FALSE),))</f>
        <v/>
      </c>
      <c r="V525" s="236" t="str">
        <f>IFERROR(__xludf.DUMMYFUNCTION("IF(ISBLANK(H525),,JOIN("","",H525:T525))"),"")</f>
        <v/>
      </c>
      <c r="W525" s="229" t="str">
        <f t="shared" si="1"/>
        <v/>
      </c>
    </row>
    <row r="526">
      <c r="H526" s="237"/>
      <c r="I526" s="237" t="str">
        <f>IFERROR(__xludf.DUMMYFUNCTION("IF(ISBLANK(H526),,IFNA(""""""""&amp;JOIN("","",INDEX(FILTER(A:D,A:A=H526),0,4))&amp;"""""""",))"),"")</f>
        <v/>
      </c>
      <c r="J526" s="237" t="str">
        <f>IF(ISBLANK(H526),,IFNA(VLOOKUP(H526, Circuits!A:W, 23, FALSE),))</f>
        <v/>
      </c>
      <c r="K526" s="238" t="str">
        <f t="shared" si="2"/>
        <v/>
      </c>
      <c r="L526" s="238" t="str">
        <f t="shared" si="3"/>
        <v/>
      </c>
      <c r="M526" s="238" t="str">
        <f t="shared" si="4"/>
        <v/>
      </c>
      <c r="N526" s="238" t="str">
        <f t="shared" si="5"/>
        <v/>
      </c>
      <c r="O526" s="238" t="str">
        <f t="shared" si="6"/>
        <v/>
      </c>
      <c r="P526" s="237" t="str">
        <f>IFERROR(__xludf.DUMMYFUNCTION("IF(ISBLANK(H526),,IF(IFNA(MATCH(H526,SPLIT(Circuits!$S$2,"";""&amp;CHAR(10)),0),0),FALSE,TRUE))"),"")</f>
        <v/>
      </c>
      <c r="Q526" s="237" t="str">
        <f>IF(ISBLANK(H526),,IFNA(VLOOKUP(H526, Circuits!A:U, 21, FALSE),))</f>
        <v/>
      </c>
      <c r="R526" s="238" t="str">
        <f t="shared" si="7"/>
        <v/>
      </c>
      <c r="S526" s="237" t="str">
        <f>IF(ISBLANK(H526),,IFNA(VLOOKUP(H526, Circuits!A:V, 22, FALSE),))</f>
        <v/>
      </c>
      <c r="T526" s="237" t="str">
        <f>IF(ISBLANK(H526),,IFNA(VLOOKUP(H526, Circuits!A:X, 24, FALSE),))</f>
        <v/>
      </c>
      <c r="V526" s="236" t="str">
        <f>IFERROR(__xludf.DUMMYFUNCTION("IF(ISBLANK(H526),,JOIN("","",H526:T526))"),"")</f>
        <v/>
      </c>
      <c r="W526" s="229" t="str">
        <f t="shared" si="1"/>
        <v/>
      </c>
    </row>
    <row r="527">
      <c r="H527" s="237"/>
      <c r="I527" s="237" t="str">
        <f>IFERROR(__xludf.DUMMYFUNCTION("IF(ISBLANK(H527),,IFNA(""""""""&amp;JOIN("","",INDEX(FILTER(A:D,A:A=H527),0,4))&amp;"""""""",))"),"")</f>
        <v/>
      </c>
      <c r="J527" s="237" t="str">
        <f>IF(ISBLANK(H527),,IFNA(VLOOKUP(H527, Circuits!A:W, 23, FALSE),))</f>
        <v/>
      </c>
      <c r="K527" s="238" t="str">
        <f t="shared" si="2"/>
        <v/>
      </c>
      <c r="L527" s="238" t="str">
        <f t="shared" si="3"/>
        <v/>
      </c>
      <c r="M527" s="238" t="str">
        <f t="shared" si="4"/>
        <v/>
      </c>
      <c r="N527" s="238" t="str">
        <f t="shared" si="5"/>
        <v/>
      </c>
      <c r="O527" s="238" t="str">
        <f t="shared" si="6"/>
        <v/>
      </c>
      <c r="P527" s="237" t="str">
        <f>IFERROR(__xludf.DUMMYFUNCTION("IF(ISBLANK(H527),,IF(IFNA(MATCH(H527,SPLIT(Circuits!$S$2,"";""&amp;CHAR(10)),0),0),FALSE,TRUE))"),"")</f>
        <v/>
      </c>
      <c r="Q527" s="237" t="str">
        <f>IF(ISBLANK(H527),,IFNA(VLOOKUP(H527, Circuits!A:U, 21, FALSE),))</f>
        <v/>
      </c>
      <c r="R527" s="238" t="str">
        <f t="shared" si="7"/>
        <v/>
      </c>
      <c r="S527" s="237" t="str">
        <f>IF(ISBLANK(H527),,IFNA(VLOOKUP(H527, Circuits!A:V, 22, FALSE),))</f>
        <v/>
      </c>
      <c r="T527" s="237" t="str">
        <f>IF(ISBLANK(H527),,IFNA(VLOOKUP(H527, Circuits!A:X, 24, FALSE),))</f>
        <v/>
      </c>
      <c r="V527" s="236" t="str">
        <f>IFERROR(__xludf.DUMMYFUNCTION("IF(ISBLANK(H527),,JOIN("","",H527:T527))"),"")</f>
        <v/>
      </c>
      <c r="W527" s="229" t="str">
        <f t="shared" si="1"/>
        <v/>
      </c>
    </row>
    <row r="528">
      <c r="H528" s="237"/>
      <c r="I528" s="237" t="str">
        <f>IFERROR(__xludf.DUMMYFUNCTION("IF(ISBLANK(H528),,IFNA(""""""""&amp;JOIN("","",INDEX(FILTER(A:D,A:A=H528),0,4))&amp;"""""""",))"),"")</f>
        <v/>
      </c>
      <c r="J528" s="237" t="str">
        <f>IF(ISBLANK(H528),,IFNA(VLOOKUP(H528, Circuits!A:W, 23, FALSE),))</f>
        <v/>
      </c>
      <c r="K528" s="238" t="str">
        <f t="shared" si="2"/>
        <v/>
      </c>
      <c r="L528" s="238" t="str">
        <f t="shared" si="3"/>
        <v/>
      </c>
      <c r="M528" s="238" t="str">
        <f t="shared" si="4"/>
        <v/>
      </c>
      <c r="N528" s="238" t="str">
        <f t="shared" si="5"/>
        <v/>
      </c>
      <c r="O528" s="238" t="str">
        <f t="shared" si="6"/>
        <v/>
      </c>
      <c r="P528" s="237" t="str">
        <f>IFERROR(__xludf.DUMMYFUNCTION("IF(ISBLANK(H528),,IF(IFNA(MATCH(H528,SPLIT(Circuits!$S$2,"";""&amp;CHAR(10)),0),0),FALSE,TRUE))"),"")</f>
        <v/>
      </c>
      <c r="Q528" s="237" t="str">
        <f>IF(ISBLANK(H528),,IFNA(VLOOKUP(H528, Circuits!A:U, 21, FALSE),))</f>
        <v/>
      </c>
      <c r="R528" s="238" t="str">
        <f t="shared" si="7"/>
        <v/>
      </c>
      <c r="S528" s="237" t="str">
        <f>IF(ISBLANK(H528),,IFNA(VLOOKUP(H528, Circuits!A:V, 22, FALSE),))</f>
        <v/>
      </c>
      <c r="T528" s="237" t="str">
        <f>IF(ISBLANK(H528),,IFNA(VLOOKUP(H528, Circuits!A:X, 24, FALSE),))</f>
        <v/>
      </c>
      <c r="V528" s="236" t="str">
        <f>IFERROR(__xludf.DUMMYFUNCTION("IF(ISBLANK(H528),,JOIN("","",H528:T528))"),"")</f>
        <v/>
      </c>
      <c r="W528" s="229" t="str">
        <f t="shared" si="1"/>
        <v/>
      </c>
    </row>
    <row r="529">
      <c r="H529" s="237"/>
      <c r="I529" s="237" t="str">
        <f>IFERROR(__xludf.DUMMYFUNCTION("IF(ISBLANK(H529),,IFNA(""""""""&amp;JOIN("","",INDEX(FILTER(A:D,A:A=H529),0,4))&amp;"""""""",))"),"")</f>
        <v/>
      </c>
      <c r="J529" s="237" t="str">
        <f>IF(ISBLANK(H529),,IFNA(VLOOKUP(H529, Circuits!A:W, 23, FALSE),))</f>
        <v/>
      </c>
      <c r="K529" s="238" t="str">
        <f t="shared" si="2"/>
        <v/>
      </c>
      <c r="L529" s="238" t="str">
        <f t="shared" si="3"/>
        <v/>
      </c>
      <c r="M529" s="238" t="str">
        <f t="shared" si="4"/>
        <v/>
      </c>
      <c r="N529" s="238" t="str">
        <f t="shared" si="5"/>
        <v/>
      </c>
      <c r="O529" s="238" t="str">
        <f t="shared" si="6"/>
        <v/>
      </c>
      <c r="P529" s="237" t="str">
        <f>IFERROR(__xludf.DUMMYFUNCTION("IF(ISBLANK(H529),,IF(IFNA(MATCH(H529,SPLIT(Circuits!$S$2,"";""&amp;CHAR(10)),0),0),FALSE,TRUE))"),"")</f>
        <v/>
      </c>
      <c r="Q529" s="237" t="str">
        <f>IF(ISBLANK(H529),,IFNA(VLOOKUP(H529, Circuits!A:U, 21, FALSE),))</f>
        <v/>
      </c>
      <c r="R529" s="238" t="str">
        <f t="shared" si="7"/>
        <v/>
      </c>
      <c r="S529" s="237" t="str">
        <f>IF(ISBLANK(H529),,IFNA(VLOOKUP(H529, Circuits!A:V, 22, FALSE),))</f>
        <v/>
      </c>
      <c r="T529" s="237" t="str">
        <f>IF(ISBLANK(H529),,IFNA(VLOOKUP(H529, Circuits!A:X, 24, FALSE),))</f>
        <v/>
      </c>
      <c r="V529" s="236" t="str">
        <f>IFERROR(__xludf.DUMMYFUNCTION("IF(ISBLANK(H529),,JOIN("","",H529:T529))"),"")</f>
        <v/>
      </c>
      <c r="W529" s="229" t="str">
        <f t="shared" si="1"/>
        <v/>
      </c>
    </row>
    <row r="530">
      <c r="H530" s="237"/>
      <c r="I530" s="237" t="str">
        <f>IFERROR(__xludf.DUMMYFUNCTION("IF(ISBLANK(H530),,IFNA(""""""""&amp;JOIN("","",INDEX(FILTER(A:D,A:A=H530),0,4))&amp;"""""""",))"),"")</f>
        <v/>
      </c>
      <c r="J530" s="237" t="str">
        <f>IF(ISBLANK(H530),,IFNA(VLOOKUP(H530, Circuits!A:W, 23, FALSE),))</f>
        <v/>
      </c>
      <c r="K530" s="238" t="str">
        <f t="shared" si="2"/>
        <v/>
      </c>
      <c r="L530" s="238" t="str">
        <f t="shared" si="3"/>
        <v/>
      </c>
      <c r="M530" s="238" t="str">
        <f t="shared" si="4"/>
        <v/>
      </c>
      <c r="N530" s="238" t="str">
        <f t="shared" si="5"/>
        <v/>
      </c>
      <c r="O530" s="238" t="str">
        <f t="shared" si="6"/>
        <v/>
      </c>
      <c r="P530" s="237" t="str">
        <f>IFERROR(__xludf.DUMMYFUNCTION("IF(ISBLANK(H530),,IF(IFNA(MATCH(H530,SPLIT(Circuits!$S$2,"";""&amp;CHAR(10)),0),0),FALSE,TRUE))"),"")</f>
        <v/>
      </c>
      <c r="Q530" s="237" t="str">
        <f>IF(ISBLANK(H530),,IFNA(VLOOKUP(H530, Circuits!A:U, 21, FALSE),))</f>
        <v/>
      </c>
      <c r="R530" s="238" t="str">
        <f t="shared" si="7"/>
        <v/>
      </c>
      <c r="S530" s="237" t="str">
        <f>IF(ISBLANK(H530),,IFNA(VLOOKUP(H530, Circuits!A:V, 22, FALSE),))</f>
        <v/>
      </c>
      <c r="T530" s="237" t="str">
        <f>IF(ISBLANK(H530),,IFNA(VLOOKUP(H530, Circuits!A:X, 24, FALSE),))</f>
        <v/>
      </c>
      <c r="V530" s="236" t="str">
        <f>IFERROR(__xludf.DUMMYFUNCTION("IF(ISBLANK(H530),,JOIN("","",H530:T530))"),"")</f>
        <v/>
      </c>
      <c r="W530" s="229" t="str">
        <f t="shared" si="1"/>
        <v/>
      </c>
    </row>
    <row r="531">
      <c r="H531" s="237"/>
      <c r="I531" s="237" t="str">
        <f>IFERROR(__xludf.DUMMYFUNCTION("IF(ISBLANK(H531),,IFNA(""""""""&amp;JOIN("","",INDEX(FILTER(A:D,A:A=H531),0,4))&amp;"""""""",))"),"")</f>
        <v/>
      </c>
      <c r="J531" s="237" t="str">
        <f>IF(ISBLANK(H531),,IFNA(VLOOKUP(H531, Circuits!A:W, 23, FALSE),))</f>
        <v/>
      </c>
      <c r="K531" s="238" t="str">
        <f t="shared" si="2"/>
        <v/>
      </c>
      <c r="L531" s="238" t="str">
        <f t="shared" si="3"/>
        <v/>
      </c>
      <c r="M531" s="238" t="str">
        <f t="shared" si="4"/>
        <v/>
      </c>
      <c r="N531" s="238" t="str">
        <f t="shared" si="5"/>
        <v/>
      </c>
      <c r="O531" s="238" t="str">
        <f t="shared" si="6"/>
        <v/>
      </c>
      <c r="P531" s="237" t="str">
        <f>IFERROR(__xludf.DUMMYFUNCTION("IF(ISBLANK(H531),,IF(IFNA(MATCH(H531,SPLIT(Circuits!$S$2,"";""&amp;CHAR(10)),0),0),FALSE,TRUE))"),"")</f>
        <v/>
      </c>
      <c r="Q531" s="237" t="str">
        <f>IF(ISBLANK(H531),,IFNA(VLOOKUP(H531, Circuits!A:U, 21, FALSE),))</f>
        <v/>
      </c>
      <c r="R531" s="238" t="str">
        <f t="shared" si="7"/>
        <v/>
      </c>
      <c r="S531" s="237" t="str">
        <f>IF(ISBLANK(H531),,IFNA(VLOOKUP(H531, Circuits!A:V, 22, FALSE),))</f>
        <v/>
      </c>
      <c r="T531" s="237" t="str">
        <f>IF(ISBLANK(H531),,IFNA(VLOOKUP(H531, Circuits!A:X, 24, FALSE),))</f>
        <v/>
      </c>
      <c r="V531" s="236" t="str">
        <f>IFERROR(__xludf.DUMMYFUNCTION("IF(ISBLANK(H531),,JOIN("","",H531:T531))"),"")</f>
        <v/>
      </c>
      <c r="W531" s="229" t="str">
        <f t="shared" si="1"/>
        <v/>
      </c>
    </row>
    <row r="532">
      <c r="H532" s="237"/>
      <c r="I532" s="237" t="str">
        <f>IFERROR(__xludf.DUMMYFUNCTION("IF(ISBLANK(H532),,IFNA(""""""""&amp;JOIN("","",INDEX(FILTER(A:D,A:A=H532),0,4))&amp;"""""""",))"),"")</f>
        <v/>
      </c>
      <c r="J532" s="237" t="str">
        <f>IF(ISBLANK(H532),,IFNA(VLOOKUP(H532, Circuits!A:W, 23, FALSE),))</f>
        <v/>
      </c>
      <c r="K532" s="238" t="str">
        <f t="shared" si="2"/>
        <v/>
      </c>
      <c r="L532" s="238" t="str">
        <f t="shared" si="3"/>
        <v/>
      </c>
      <c r="M532" s="238" t="str">
        <f t="shared" si="4"/>
        <v/>
      </c>
      <c r="N532" s="238" t="str">
        <f t="shared" si="5"/>
        <v/>
      </c>
      <c r="O532" s="238" t="str">
        <f t="shared" si="6"/>
        <v/>
      </c>
      <c r="P532" s="237" t="str">
        <f>IFERROR(__xludf.DUMMYFUNCTION("IF(ISBLANK(H532),,IF(IFNA(MATCH(H532,SPLIT(Circuits!$S$2,"";""&amp;CHAR(10)),0),0),FALSE,TRUE))"),"")</f>
        <v/>
      </c>
      <c r="Q532" s="237" t="str">
        <f>IF(ISBLANK(H532),,IFNA(VLOOKUP(H532, Circuits!A:U, 21, FALSE),))</f>
        <v/>
      </c>
      <c r="R532" s="238" t="str">
        <f t="shared" si="7"/>
        <v/>
      </c>
      <c r="S532" s="237" t="str">
        <f>IF(ISBLANK(H532),,IFNA(VLOOKUP(H532, Circuits!A:V, 22, FALSE),))</f>
        <v/>
      </c>
      <c r="T532" s="237" t="str">
        <f>IF(ISBLANK(H532),,IFNA(VLOOKUP(H532, Circuits!A:X, 24, FALSE),))</f>
        <v/>
      </c>
      <c r="V532" s="236" t="str">
        <f>IFERROR(__xludf.DUMMYFUNCTION("IF(ISBLANK(H532),,JOIN("","",H532:T532))"),"")</f>
        <v/>
      </c>
      <c r="W532" s="229" t="str">
        <f t="shared" si="1"/>
        <v/>
      </c>
    </row>
    <row r="533">
      <c r="H533" s="237"/>
      <c r="I533" s="237" t="str">
        <f>IFERROR(__xludf.DUMMYFUNCTION("IF(ISBLANK(H533),,IFNA(""""""""&amp;JOIN("","",INDEX(FILTER(A:D,A:A=H533),0,4))&amp;"""""""",))"),"")</f>
        <v/>
      </c>
      <c r="J533" s="237" t="str">
        <f>IF(ISBLANK(H533),,IFNA(VLOOKUP(H533, Circuits!A:W, 23, FALSE),))</f>
        <v/>
      </c>
      <c r="K533" s="238" t="str">
        <f t="shared" si="2"/>
        <v/>
      </c>
      <c r="L533" s="238" t="str">
        <f t="shared" si="3"/>
        <v/>
      </c>
      <c r="M533" s="238" t="str">
        <f t="shared" si="4"/>
        <v/>
      </c>
      <c r="N533" s="238" t="str">
        <f t="shared" si="5"/>
        <v/>
      </c>
      <c r="O533" s="238" t="str">
        <f t="shared" si="6"/>
        <v/>
      </c>
      <c r="P533" s="237" t="str">
        <f>IFERROR(__xludf.DUMMYFUNCTION("IF(ISBLANK(H533),,IF(IFNA(MATCH(H533,SPLIT(Circuits!$S$2,"";""&amp;CHAR(10)),0),0),FALSE,TRUE))"),"")</f>
        <v/>
      </c>
      <c r="Q533" s="237" t="str">
        <f>IF(ISBLANK(H533),,IFNA(VLOOKUP(H533, Circuits!A:U, 21, FALSE),))</f>
        <v/>
      </c>
      <c r="R533" s="238" t="str">
        <f t="shared" si="7"/>
        <v/>
      </c>
      <c r="S533" s="237" t="str">
        <f>IF(ISBLANK(H533),,IFNA(VLOOKUP(H533, Circuits!A:V, 22, FALSE),))</f>
        <v/>
      </c>
      <c r="T533" s="237" t="str">
        <f>IF(ISBLANK(H533),,IFNA(VLOOKUP(H533, Circuits!A:X, 24, FALSE),))</f>
        <v/>
      </c>
      <c r="V533" s="236" t="str">
        <f>IFERROR(__xludf.DUMMYFUNCTION("IF(ISBLANK(H533),,JOIN("","",H533:T533))"),"")</f>
        <v/>
      </c>
      <c r="W533" s="229" t="str">
        <f t="shared" si="1"/>
        <v/>
      </c>
    </row>
    <row r="534">
      <c r="H534" s="237"/>
      <c r="I534" s="237" t="str">
        <f>IFERROR(__xludf.DUMMYFUNCTION("IF(ISBLANK(H534),,IFNA(""""""""&amp;JOIN("","",INDEX(FILTER(A:D,A:A=H534),0,4))&amp;"""""""",))"),"")</f>
        <v/>
      </c>
      <c r="J534" s="237" t="str">
        <f>IF(ISBLANK(H534),,IFNA(VLOOKUP(H534, Circuits!A:W, 23, FALSE),))</f>
        <v/>
      </c>
      <c r="K534" s="238" t="str">
        <f t="shared" si="2"/>
        <v/>
      </c>
      <c r="L534" s="238" t="str">
        <f t="shared" si="3"/>
        <v/>
      </c>
      <c r="M534" s="238" t="str">
        <f t="shared" si="4"/>
        <v/>
      </c>
      <c r="N534" s="238" t="str">
        <f t="shared" si="5"/>
        <v/>
      </c>
      <c r="O534" s="238" t="str">
        <f t="shared" si="6"/>
        <v/>
      </c>
      <c r="P534" s="237" t="str">
        <f>IFERROR(__xludf.DUMMYFUNCTION("IF(ISBLANK(H534),,IF(IFNA(MATCH(H534,SPLIT(Circuits!$S$2,"";""&amp;CHAR(10)),0),0),FALSE,TRUE))"),"")</f>
        <v/>
      </c>
      <c r="Q534" s="237" t="str">
        <f>IF(ISBLANK(H534),,IFNA(VLOOKUP(H534, Circuits!A:U, 21, FALSE),))</f>
        <v/>
      </c>
      <c r="R534" s="238" t="str">
        <f t="shared" si="7"/>
        <v/>
      </c>
      <c r="S534" s="237" t="str">
        <f>IF(ISBLANK(H534),,IFNA(VLOOKUP(H534, Circuits!A:V, 22, FALSE),))</f>
        <v/>
      </c>
      <c r="T534" s="237" t="str">
        <f>IF(ISBLANK(H534),,IFNA(VLOOKUP(H534, Circuits!A:X, 24, FALSE),))</f>
        <v/>
      </c>
      <c r="V534" s="236" t="str">
        <f>IFERROR(__xludf.DUMMYFUNCTION("IF(ISBLANK(H534),,JOIN("","",H534:T534))"),"")</f>
        <v/>
      </c>
      <c r="W534" s="229" t="str">
        <f t="shared" si="1"/>
        <v/>
      </c>
    </row>
    <row r="535">
      <c r="H535" s="237"/>
      <c r="I535" s="237" t="str">
        <f>IFERROR(__xludf.DUMMYFUNCTION("IF(ISBLANK(H535),,IFNA(""""""""&amp;JOIN("","",INDEX(FILTER(A:D,A:A=H535),0,4))&amp;"""""""",))"),"")</f>
        <v/>
      </c>
      <c r="J535" s="237" t="str">
        <f>IF(ISBLANK(H535),,IFNA(VLOOKUP(H535, Circuits!A:W, 23, FALSE),))</f>
        <v/>
      </c>
      <c r="K535" s="238" t="str">
        <f t="shared" si="2"/>
        <v/>
      </c>
      <c r="L535" s="238" t="str">
        <f t="shared" si="3"/>
        <v/>
      </c>
      <c r="M535" s="238" t="str">
        <f t="shared" si="4"/>
        <v/>
      </c>
      <c r="N535" s="238" t="str">
        <f t="shared" si="5"/>
        <v/>
      </c>
      <c r="O535" s="238" t="str">
        <f t="shared" si="6"/>
        <v/>
      </c>
      <c r="P535" s="237" t="str">
        <f>IFERROR(__xludf.DUMMYFUNCTION("IF(ISBLANK(H535),,IF(IFNA(MATCH(H535,SPLIT(Circuits!$S$2,"";""&amp;CHAR(10)),0),0),FALSE,TRUE))"),"")</f>
        <v/>
      </c>
      <c r="Q535" s="237" t="str">
        <f>IF(ISBLANK(H535),,IFNA(VLOOKUP(H535, Circuits!A:U, 21, FALSE),))</f>
        <v/>
      </c>
      <c r="R535" s="238" t="str">
        <f t="shared" si="7"/>
        <v/>
      </c>
      <c r="S535" s="237" t="str">
        <f>IF(ISBLANK(H535),,IFNA(VLOOKUP(H535, Circuits!A:V, 22, FALSE),))</f>
        <v/>
      </c>
      <c r="T535" s="237" t="str">
        <f>IF(ISBLANK(H535),,IFNA(VLOOKUP(H535, Circuits!A:X, 24, FALSE),))</f>
        <v/>
      </c>
      <c r="V535" s="236" t="str">
        <f>IFERROR(__xludf.DUMMYFUNCTION("IF(ISBLANK(H535),,JOIN("","",H535:T535))"),"")</f>
        <v/>
      </c>
      <c r="W535" s="229" t="str">
        <f t="shared" si="1"/>
        <v/>
      </c>
    </row>
    <row r="536">
      <c r="H536" s="237"/>
      <c r="I536" s="237" t="str">
        <f>IFERROR(__xludf.DUMMYFUNCTION("IF(ISBLANK(H536),,IFNA(""""""""&amp;JOIN("","",INDEX(FILTER(A:D,A:A=H536),0,4))&amp;"""""""",))"),"")</f>
        <v/>
      </c>
      <c r="J536" s="237" t="str">
        <f>IF(ISBLANK(H536),,IFNA(VLOOKUP(H536, Circuits!A:W, 23, FALSE),))</f>
        <v/>
      </c>
      <c r="K536" s="238" t="str">
        <f t="shared" si="2"/>
        <v/>
      </c>
      <c r="L536" s="238" t="str">
        <f t="shared" si="3"/>
        <v/>
      </c>
      <c r="M536" s="238" t="str">
        <f t="shared" si="4"/>
        <v/>
      </c>
      <c r="N536" s="238" t="str">
        <f t="shared" si="5"/>
        <v/>
      </c>
      <c r="O536" s="238" t="str">
        <f t="shared" si="6"/>
        <v/>
      </c>
      <c r="P536" s="237" t="str">
        <f>IFERROR(__xludf.DUMMYFUNCTION("IF(ISBLANK(H536),,IF(IFNA(MATCH(H536,SPLIT(Circuits!$S$2,"";""&amp;CHAR(10)),0),0),FALSE,TRUE))"),"")</f>
        <v/>
      </c>
      <c r="Q536" s="237" t="str">
        <f>IF(ISBLANK(H536),,IFNA(VLOOKUP(H536, Circuits!A:U, 21, FALSE),))</f>
        <v/>
      </c>
      <c r="R536" s="238" t="str">
        <f t="shared" si="7"/>
        <v/>
      </c>
      <c r="S536" s="237" t="str">
        <f>IF(ISBLANK(H536),,IFNA(VLOOKUP(H536, Circuits!A:V, 22, FALSE),))</f>
        <v/>
      </c>
      <c r="T536" s="237" t="str">
        <f>IF(ISBLANK(H536),,IFNA(VLOOKUP(H536, Circuits!A:X, 24, FALSE),))</f>
        <v/>
      </c>
      <c r="V536" s="236" t="str">
        <f>IFERROR(__xludf.DUMMYFUNCTION("IF(ISBLANK(H536),,JOIN("","",H536:T536))"),"")</f>
        <v/>
      </c>
      <c r="W536" s="229" t="str">
        <f t="shared" si="1"/>
        <v/>
      </c>
    </row>
    <row r="537">
      <c r="H537" s="237"/>
      <c r="I537" s="237" t="str">
        <f>IFERROR(__xludf.DUMMYFUNCTION("IF(ISBLANK(H537),,IFNA(""""""""&amp;JOIN("","",INDEX(FILTER(A:D,A:A=H537),0,4))&amp;"""""""",))"),"")</f>
        <v/>
      </c>
      <c r="J537" s="237" t="str">
        <f>IF(ISBLANK(H537),,IFNA(VLOOKUP(H537, Circuits!A:W, 23, FALSE),))</f>
        <v/>
      </c>
      <c r="K537" s="238" t="str">
        <f t="shared" si="2"/>
        <v/>
      </c>
      <c r="L537" s="238" t="str">
        <f t="shared" si="3"/>
        <v/>
      </c>
      <c r="M537" s="238" t="str">
        <f t="shared" si="4"/>
        <v/>
      </c>
      <c r="N537" s="238" t="str">
        <f t="shared" si="5"/>
        <v/>
      </c>
      <c r="O537" s="238" t="str">
        <f t="shared" si="6"/>
        <v/>
      </c>
      <c r="P537" s="237" t="str">
        <f>IFERROR(__xludf.DUMMYFUNCTION("IF(ISBLANK(H537),,IF(IFNA(MATCH(H537,SPLIT(Circuits!$S$2,"";""&amp;CHAR(10)),0),0),FALSE,TRUE))"),"")</f>
        <v/>
      </c>
      <c r="Q537" s="237" t="str">
        <f>IF(ISBLANK(H537),,IFNA(VLOOKUP(H537, Circuits!A:U, 21, FALSE),))</f>
        <v/>
      </c>
      <c r="R537" s="238" t="str">
        <f t="shared" si="7"/>
        <v/>
      </c>
      <c r="S537" s="237" t="str">
        <f>IF(ISBLANK(H537),,IFNA(VLOOKUP(H537, Circuits!A:V, 22, FALSE),))</f>
        <v/>
      </c>
      <c r="T537" s="237" t="str">
        <f>IF(ISBLANK(H537),,IFNA(VLOOKUP(H537, Circuits!A:X, 24, FALSE),))</f>
        <v/>
      </c>
      <c r="V537" s="236" t="str">
        <f>IFERROR(__xludf.DUMMYFUNCTION("IF(ISBLANK(H537),,JOIN("","",H537:T537))"),"")</f>
        <v/>
      </c>
      <c r="W537" s="229" t="str">
        <f t="shared" si="1"/>
        <v/>
      </c>
    </row>
    <row r="538">
      <c r="H538" s="237"/>
      <c r="I538" s="237" t="str">
        <f>IFERROR(__xludf.DUMMYFUNCTION("IF(ISBLANK(H538),,IFNA(""""""""&amp;JOIN("","",INDEX(FILTER(A:D,A:A=H538),0,4))&amp;"""""""",))"),"")</f>
        <v/>
      </c>
      <c r="J538" s="237" t="str">
        <f>IF(ISBLANK(H538),,IFNA(VLOOKUP(H538, Circuits!A:W, 23, FALSE),))</f>
        <v/>
      </c>
      <c r="K538" s="238" t="str">
        <f t="shared" si="2"/>
        <v/>
      </c>
      <c r="L538" s="238" t="str">
        <f t="shared" si="3"/>
        <v/>
      </c>
      <c r="M538" s="238" t="str">
        <f t="shared" si="4"/>
        <v/>
      </c>
      <c r="N538" s="238" t="str">
        <f t="shared" si="5"/>
        <v/>
      </c>
      <c r="O538" s="238" t="str">
        <f t="shared" si="6"/>
        <v/>
      </c>
      <c r="P538" s="237" t="str">
        <f>IFERROR(__xludf.DUMMYFUNCTION("IF(ISBLANK(H538),,IF(IFNA(MATCH(H538,SPLIT(Circuits!$S$2,"";""&amp;CHAR(10)),0),0),FALSE,TRUE))"),"")</f>
        <v/>
      </c>
      <c r="Q538" s="237" t="str">
        <f>IF(ISBLANK(H538),,IFNA(VLOOKUP(H538, Circuits!A:U, 21, FALSE),))</f>
        <v/>
      </c>
      <c r="R538" s="238" t="str">
        <f t="shared" si="7"/>
        <v/>
      </c>
      <c r="S538" s="237" t="str">
        <f>IF(ISBLANK(H538),,IFNA(VLOOKUP(H538, Circuits!A:V, 22, FALSE),))</f>
        <v/>
      </c>
      <c r="T538" s="237" t="str">
        <f>IF(ISBLANK(H538),,IFNA(VLOOKUP(H538, Circuits!A:X, 24, FALSE),))</f>
        <v/>
      </c>
      <c r="V538" s="236" t="str">
        <f>IFERROR(__xludf.DUMMYFUNCTION("IF(ISBLANK(H538),,JOIN("","",H538:T538))"),"")</f>
        <v/>
      </c>
      <c r="W538" s="229" t="str">
        <f t="shared" si="1"/>
        <v/>
      </c>
    </row>
    <row r="539">
      <c r="H539" s="237"/>
      <c r="I539" s="237" t="str">
        <f>IFERROR(__xludf.DUMMYFUNCTION("IF(ISBLANK(H539),,IFNA(""""""""&amp;JOIN("","",INDEX(FILTER(A:D,A:A=H539),0,4))&amp;"""""""",))"),"")</f>
        <v/>
      </c>
      <c r="J539" s="237" t="str">
        <f>IF(ISBLANK(H539),,IFNA(VLOOKUP(H539, Circuits!A:W, 23, FALSE),))</f>
        <v/>
      </c>
      <c r="K539" s="238" t="str">
        <f t="shared" si="2"/>
        <v/>
      </c>
      <c r="L539" s="238" t="str">
        <f t="shared" si="3"/>
        <v/>
      </c>
      <c r="M539" s="238" t="str">
        <f t="shared" si="4"/>
        <v/>
      </c>
      <c r="N539" s="238" t="str">
        <f t="shared" si="5"/>
        <v/>
      </c>
      <c r="O539" s="238" t="str">
        <f t="shared" si="6"/>
        <v/>
      </c>
      <c r="P539" s="237" t="str">
        <f>IFERROR(__xludf.DUMMYFUNCTION("IF(ISBLANK(H539),,IF(IFNA(MATCH(H539,SPLIT(Circuits!$S$2,"";""&amp;CHAR(10)),0),0),FALSE,TRUE))"),"")</f>
        <v/>
      </c>
      <c r="Q539" s="237" t="str">
        <f>IF(ISBLANK(H539),,IFNA(VLOOKUP(H539, Circuits!A:U, 21, FALSE),))</f>
        <v/>
      </c>
      <c r="R539" s="238" t="str">
        <f t="shared" si="7"/>
        <v/>
      </c>
      <c r="S539" s="237" t="str">
        <f>IF(ISBLANK(H539),,IFNA(VLOOKUP(H539, Circuits!A:V, 22, FALSE),))</f>
        <v/>
      </c>
      <c r="T539" s="237" t="str">
        <f>IF(ISBLANK(H539),,IFNA(VLOOKUP(H539, Circuits!A:X, 24, FALSE),))</f>
        <v/>
      </c>
      <c r="V539" s="236" t="str">
        <f>IFERROR(__xludf.DUMMYFUNCTION("IF(ISBLANK(H539),,JOIN("","",H539:T539))"),"")</f>
        <v/>
      </c>
      <c r="W539" s="229" t="str">
        <f t="shared" si="1"/>
        <v/>
      </c>
    </row>
    <row r="540">
      <c r="H540" s="237"/>
      <c r="I540" s="237" t="str">
        <f>IFERROR(__xludf.DUMMYFUNCTION("IF(ISBLANK(H540),,IFNA(""""""""&amp;JOIN("","",INDEX(FILTER(A:D,A:A=H540),0,4))&amp;"""""""",))"),"")</f>
        <v/>
      </c>
      <c r="J540" s="237" t="str">
        <f>IF(ISBLANK(H540),,IFNA(VLOOKUP(H540, Circuits!A:W, 23, FALSE),))</f>
        <v/>
      </c>
      <c r="K540" s="238" t="str">
        <f t="shared" si="2"/>
        <v/>
      </c>
      <c r="L540" s="238" t="str">
        <f t="shared" si="3"/>
        <v/>
      </c>
      <c r="M540" s="238" t="str">
        <f t="shared" si="4"/>
        <v/>
      </c>
      <c r="N540" s="238" t="str">
        <f t="shared" si="5"/>
        <v/>
      </c>
      <c r="O540" s="238" t="str">
        <f t="shared" si="6"/>
        <v/>
      </c>
      <c r="P540" s="237" t="str">
        <f>IFERROR(__xludf.DUMMYFUNCTION("IF(ISBLANK(H540),,IF(IFNA(MATCH(H540,SPLIT(Circuits!$S$2,"";""&amp;CHAR(10)),0),0),FALSE,TRUE))"),"")</f>
        <v/>
      </c>
      <c r="Q540" s="237" t="str">
        <f>IF(ISBLANK(H540),,IFNA(VLOOKUP(H540, Circuits!A:U, 21, FALSE),))</f>
        <v/>
      </c>
      <c r="R540" s="238" t="str">
        <f t="shared" si="7"/>
        <v/>
      </c>
      <c r="S540" s="237" t="str">
        <f>IF(ISBLANK(H540),,IFNA(VLOOKUP(H540, Circuits!A:V, 22, FALSE),))</f>
        <v/>
      </c>
      <c r="T540" s="237" t="str">
        <f>IF(ISBLANK(H540),,IFNA(VLOOKUP(H540, Circuits!A:X, 24, FALSE),))</f>
        <v/>
      </c>
      <c r="V540" s="236" t="str">
        <f>IFERROR(__xludf.DUMMYFUNCTION("IF(ISBLANK(H540),,JOIN("","",H540:T540))"),"")</f>
        <v/>
      </c>
      <c r="W540" s="229" t="str">
        <f t="shared" si="1"/>
        <v/>
      </c>
    </row>
    <row r="541">
      <c r="H541" s="237"/>
      <c r="I541" s="237" t="str">
        <f>IFERROR(__xludf.DUMMYFUNCTION("IF(ISBLANK(H541),,IFNA(""""""""&amp;JOIN("","",INDEX(FILTER(A:D,A:A=H541),0,4))&amp;"""""""",))"),"")</f>
        <v/>
      </c>
      <c r="J541" s="237" t="str">
        <f>IF(ISBLANK(H541),,IFNA(VLOOKUP(H541, Circuits!A:W, 23, FALSE),))</f>
        <v/>
      </c>
      <c r="K541" s="238" t="str">
        <f t="shared" si="2"/>
        <v/>
      </c>
      <c r="L541" s="238" t="str">
        <f t="shared" si="3"/>
        <v/>
      </c>
      <c r="M541" s="238" t="str">
        <f t="shared" si="4"/>
        <v/>
      </c>
      <c r="N541" s="238" t="str">
        <f t="shared" si="5"/>
        <v/>
      </c>
      <c r="O541" s="238" t="str">
        <f t="shared" si="6"/>
        <v/>
      </c>
      <c r="P541" s="237" t="str">
        <f>IFERROR(__xludf.DUMMYFUNCTION("IF(ISBLANK(H541),,IF(IFNA(MATCH(H541,SPLIT(Circuits!$S$2,"";""&amp;CHAR(10)),0),0),FALSE,TRUE))"),"")</f>
        <v/>
      </c>
      <c r="Q541" s="237" t="str">
        <f>IF(ISBLANK(H541),,IFNA(VLOOKUP(H541, Circuits!A:U, 21, FALSE),))</f>
        <v/>
      </c>
      <c r="R541" s="238" t="str">
        <f t="shared" si="7"/>
        <v/>
      </c>
      <c r="S541" s="237" t="str">
        <f>IF(ISBLANK(H541),,IFNA(VLOOKUP(H541, Circuits!A:V, 22, FALSE),))</f>
        <v/>
      </c>
      <c r="T541" s="237" t="str">
        <f>IF(ISBLANK(H541),,IFNA(VLOOKUP(H541, Circuits!A:X, 24, FALSE),))</f>
        <v/>
      </c>
      <c r="V541" s="236" t="str">
        <f>IFERROR(__xludf.DUMMYFUNCTION("IF(ISBLANK(H541),,JOIN("","",H541:T541))"),"")</f>
        <v/>
      </c>
      <c r="W541" s="229" t="str">
        <f t="shared" si="1"/>
        <v/>
      </c>
    </row>
    <row r="542">
      <c r="H542" s="237"/>
      <c r="I542" s="237" t="str">
        <f>IFERROR(__xludf.DUMMYFUNCTION("IF(ISBLANK(H542),,IFNA(""""""""&amp;JOIN("","",INDEX(FILTER(A:D,A:A=H542),0,4))&amp;"""""""",))"),"")</f>
        <v/>
      </c>
      <c r="J542" s="237" t="str">
        <f>IF(ISBLANK(H542),,IFNA(VLOOKUP(H542, Circuits!A:W, 23, FALSE),))</f>
        <v/>
      </c>
      <c r="K542" s="238" t="str">
        <f t="shared" si="2"/>
        <v/>
      </c>
      <c r="L542" s="238" t="str">
        <f t="shared" si="3"/>
        <v/>
      </c>
      <c r="M542" s="238" t="str">
        <f t="shared" si="4"/>
        <v/>
      </c>
      <c r="N542" s="238" t="str">
        <f t="shared" si="5"/>
        <v/>
      </c>
      <c r="O542" s="238" t="str">
        <f t="shared" si="6"/>
        <v/>
      </c>
      <c r="P542" s="237" t="str">
        <f>IFERROR(__xludf.DUMMYFUNCTION("IF(ISBLANK(H542),,IF(IFNA(MATCH(H542,SPLIT(Circuits!$S$2,"";""&amp;CHAR(10)),0),0),FALSE,TRUE))"),"")</f>
        <v/>
      </c>
      <c r="Q542" s="237" t="str">
        <f>IF(ISBLANK(H542),,IFNA(VLOOKUP(H542, Circuits!A:U, 21, FALSE),))</f>
        <v/>
      </c>
      <c r="R542" s="238" t="str">
        <f t="shared" si="7"/>
        <v/>
      </c>
      <c r="S542" s="237" t="str">
        <f>IF(ISBLANK(H542),,IFNA(VLOOKUP(H542, Circuits!A:V, 22, FALSE),))</f>
        <v/>
      </c>
      <c r="T542" s="237" t="str">
        <f>IF(ISBLANK(H542),,IFNA(VLOOKUP(H542, Circuits!A:X, 24, FALSE),))</f>
        <v/>
      </c>
      <c r="V542" s="236" t="str">
        <f>IFERROR(__xludf.DUMMYFUNCTION("IF(ISBLANK(H542),,JOIN("","",H542:T542))"),"")</f>
        <v/>
      </c>
      <c r="W542" s="229" t="str">
        <f t="shared" si="1"/>
        <v/>
      </c>
    </row>
    <row r="543">
      <c r="H543" s="237"/>
      <c r="I543" s="237" t="str">
        <f>IFERROR(__xludf.DUMMYFUNCTION("IF(ISBLANK(H543),,IFNA(""""""""&amp;JOIN("","",INDEX(FILTER(A:D,A:A=H543),0,4))&amp;"""""""",))"),"")</f>
        <v/>
      </c>
      <c r="J543" s="237" t="str">
        <f>IF(ISBLANK(H543),,IFNA(VLOOKUP(H543, Circuits!A:W, 23, FALSE),))</f>
        <v/>
      </c>
      <c r="K543" s="238" t="str">
        <f t="shared" si="2"/>
        <v/>
      </c>
      <c r="L543" s="238" t="str">
        <f t="shared" si="3"/>
        <v/>
      </c>
      <c r="M543" s="238" t="str">
        <f t="shared" si="4"/>
        <v/>
      </c>
      <c r="N543" s="238" t="str">
        <f t="shared" si="5"/>
        <v/>
      </c>
      <c r="O543" s="238" t="str">
        <f t="shared" si="6"/>
        <v/>
      </c>
      <c r="P543" s="237" t="str">
        <f>IFERROR(__xludf.DUMMYFUNCTION("IF(ISBLANK(H543),,IF(IFNA(MATCH(H543,SPLIT(Circuits!$S$2,"";""&amp;CHAR(10)),0),0),FALSE,TRUE))"),"")</f>
        <v/>
      </c>
      <c r="Q543" s="237" t="str">
        <f>IF(ISBLANK(H543),,IFNA(VLOOKUP(H543, Circuits!A:U, 21, FALSE),))</f>
        <v/>
      </c>
      <c r="R543" s="238" t="str">
        <f t="shared" si="7"/>
        <v/>
      </c>
      <c r="S543" s="237" t="str">
        <f>IF(ISBLANK(H543),,IFNA(VLOOKUP(H543, Circuits!A:V, 22, FALSE),))</f>
        <v/>
      </c>
      <c r="T543" s="237" t="str">
        <f>IF(ISBLANK(H543),,IFNA(VLOOKUP(H543, Circuits!A:X, 24, FALSE),))</f>
        <v/>
      </c>
      <c r="V543" s="236" t="str">
        <f>IFERROR(__xludf.DUMMYFUNCTION("IF(ISBLANK(H543),,JOIN("","",H543:T543))"),"")</f>
        <v/>
      </c>
      <c r="W543" s="229" t="str">
        <f t="shared" si="1"/>
        <v/>
      </c>
    </row>
    <row r="544">
      <c r="H544" s="237"/>
      <c r="I544" s="237" t="str">
        <f>IFERROR(__xludf.DUMMYFUNCTION("IF(ISBLANK(H544),,IFNA(""""""""&amp;JOIN("","",INDEX(FILTER(A:D,A:A=H544),0,4))&amp;"""""""",))"),"")</f>
        <v/>
      </c>
      <c r="J544" s="237" t="str">
        <f>IF(ISBLANK(H544),,IFNA(VLOOKUP(H544, Circuits!A:W, 23, FALSE),))</f>
        <v/>
      </c>
      <c r="K544" s="238" t="str">
        <f t="shared" si="2"/>
        <v/>
      </c>
      <c r="L544" s="238" t="str">
        <f t="shared" si="3"/>
        <v/>
      </c>
      <c r="M544" s="238" t="str">
        <f t="shared" si="4"/>
        <v/>
      </c>
      <c r="N544" s="238" t="str">
        <f t="shared" si="5"/>
        <v/>
      </c>
      <c r="O544" s="238" t="str">
        <f t="shared" si="6"/>
        <v/>
      </c>
      <c r="P544" s="237" t="str">
        <f>IFERROR(__xludf.DUMMYFUNCTION("IF(ISBLANK(H544),,IF(IFNA(MATCH(H544,SPLIT(Circuits!$S$2,"";""&amp;CHAR(10)),0),0),FALSE,TRUE))"),"")</f>
        <v/>
      </c>
      <c r="Q544" s="237" t="str">
        <f>IF(ISBLANK(H544),,IFNA(VLOOKUP(H544, Circuits!A:U, 21, FALSE),))</f>
        <v/>
      </c>
      <c r="R544" s="238" t="str">
        <f t="shared" si="7"/>
        <v/>
      </c>
      <c r="S544" s="237" t="str">
        <f>IF(ISBLANK(H544),,IFNA(VLOOKUP(H544, Circuits!A:V, 22, FALSE),))</f>
        <v/>
      </c>
      <c r="T544" s="237" t="str">
        <f>IF(ISBLANK(H544),,IFNA(VLOOKUP(H544, Circuits!A:X, 24, FALSE),))</f>
        <v/>
      </c>
      <c r="V544" s="236" t="str">
        <f>IFERROR(__xludf.DUMMYFUNCTION("IF(ISBLANK(H544),,JOIN("","",H544:T544))"),"")</f>
        <v/>
      </c>
      <c r="W544" s="229" t="str">
        <f t="shared" si="1"/>
        <v/>
      </c>
    </row>
    <row r="545">
      <c r="H545" s="237"/>
      <c r="I545" s="237" t="str">
        <f>IFERROR(__xludf.DUMMYFUNCTION("IF(ISBLANK(H545),,IFNA(""""""""&amp;JOIN("","",INDEX(FILTER(A:D,A:A=H545),0,4))&amp;"""""""",))"),"")</f>
        <v/>
      </c>
      <c r="J545" s="237" t="str">
        <f>IF(ISBLANK(H545),,IFNA(VLOOKUP(H545, Circuits!A:W, 23, FALSE),))</f>
        <v/>
      </c>
      <c r="K545" s="238" t="str">
        <f t="shared" si="2"/>
        <v/>
      </c>
      <c r="L545" s="238" t="str">
        <f t="shared" si="3"/>
        <v/>
      </c>
      <c r="M545" s="238" t="str">
        <f t="shared" si="4"/>
        <v/>
      </c>
      <c r="N545" s="238" t="str">
        <f t="shared" si="5"/>
        <v/>
      </c>
      <c r="O545" s="238" t="str">
        <f t="shared" si="6"/>
        <v/>
      </c>
      <c r="P545" s="237" t="str">
        <f>IFERROR(__xludf.DUMMYFUNCTION("IF(ISBLANK(H545),,IF(IFNA(MATCH(H545,SPLIT(Circuits!$S$2,"";""&amp;CHAR(10)),0),0),FALSE,TRUE))"),"")</f>
        <v/>
      </c>
      <c r="Q545" s="237" t="str">
        <f>IF(ISBLANK(H545),,IFNA(VLOOKUP(H545, Circuits!A:U, 21, FALSE),))</f>
        <v/>
      </c>
      <c r="R545" s="238" t="str">
        <f t="shared" si="7"/>
        <v/>
      </c>
      <c r="S545" s="237" t="str">
        <f>IF(ISBLANK(H545),,IFNA(VLOOKUP(H545, Circuits!A:V, 22, FALSE),))</f>
        <v/>
      </c>
      <c r="T545" s="237" t="str">
        <f>IF(ISBLANK(H545),,IFNA(VLOOKUP(H545, Circuits!A:X, 24, FALSE),))</f>
        <v/>
      </c>
      <c r="V545" s="236" t="str">
        <f>IFERROR(__xludf.DUMMYFUNCTION("IF(ISBLANK(H545),,JOIN("","",H545:T545))"),"")</f>
        <v/>
      </c>
      <c r="W545" s="229" t="str">
        <f t="shared" si="1"/>
        <v/>
      </c>
    </row>
    <row r="546">
      <c r="H546" s="237"/>
      <c r="I546" s="237" t="str">
        <f>IFERROR(__xludf.DUMMYFUNCTION("IF(ISBLANK(H546),,IFNA(""""""""&amp;JOIN("","",INDEX(FILTER(A:D,A:A=H546),0,4))&amp;"""""""",))"),"")</f>
        <v/>
      </c>
      <c r="J546" s="237" t="str">
        <f>IF(ISBLANK(H546),,IFNA(VLOOKUP(H546, Circuits!A:W, 23, FALSE),))</f>
        <v/>
      </c>
      <c r="K546" s="238" t="str">
        <f t="shared" si="2"/>
        <v/>
      </c>
      <c r="L546" s="238" t="str">
        <f t="shared" si="3"/>
        <v/>
      </c>
      <c r="M546" s="238" t="str">
        <f t="shared" si="4"/>
        <v/>
      </c>
      <c r="N546" s="238" t="str">
        <f t="shared" si="5"/>
        <v/>
      </c>
      <c r="O546" s="238" t="str">
        <f t="shared" si="6"/>
        <v/>
      </c>
      <c r="P546" s="237" t="str">
        <f>IFERROR(__xludf.DUMMYFUNCTION("IF(ISBLANK(H546),,IF(IFNA(MATCH(H546,SPLIT(Circuits!$S$2,"";""&amp;CHAR(10)),0),0),FALSE,TRUE))"),"")</f>
        <v/>
      </c>
      <c r="Q546" s="237" t="str">
        <f>IF(ISBLANK(H546),,IFNA(VLOOKUP(H546, Circuits!A:U, 21, FALSE),))</f>
        <v/>
      </c>
      <c r="R546" s="238" t="str">
        <f t="shared" si="7"/>
        <v/>
      </c>
      <c r="S546" s="237" t="str">
        <f>IF(ISBLANK(H546),,IFNA(VLOOKUP(H546, Circuits!A:V, 22, FALSE),))</f>
        <v/>
      </c>
      <c r="T546" s="237" t="str">
        <f>IF(ISBLANK(H546),,IFNA(VLOOKUP(H546, Circuits!A:X, 24, FALSE),))</f>
        <v/>
      </c>
      <c r="V546" s="236" t="str">
        <f>IFERROR(__xludf.DUMMYFUNCTION("IF(ISBLANK(H546),,JOIN("","",H546:T546))"),"")</f>
        <v/>
      </c>
      <c r="W546" s="229" t="str">
        <f t="shared" si="1"/>
        <v/>
      </c>
    </row>
    <row r="547">
      <c r="H547" s="237"/>
      <c r="I547" s="237" t="str">
        <f>IFERROR(__xludf.DUMMYFUNCTION("IF(ISBLANK(H547),,IFNA(""""""""&amp;JOIN("","",INDEX(FILTER(A:D,A:A=H547),0,4))&amp;"""""""",))"),"")</f>
        <v/>
      </c>
      <c r="J547" s="237" t="str">
        <f>IF(ISBLANK(H547),,IFNA(VLOOKUP(H547, Circuits!A:W, 23, FALSE),))</f>
        <v/>
      </c>
      <c r="K547" s="238" t="str">
        <f t="shared" si="2"/>
        <v/>
      </c>
      <c r="L547" s="238" t="str">
        <f t="shared" si="3"/>
        <v/>
      </c>
      <c r="M547" s="238" t="str">
        <f t="shared" si="4"/>
        <v/>
      </c>
      <c r="N547" s="238" t="str">
        <f t="shared" si="5"/>
        <v/>
      </c>
      <c r="O547" s="238" t="str">
        <f t="shared" si="6"/>
        <v/>
      </c>
      <c r="P547" s="237" t="str">
        <f>IFERROR(__xludf.DUMMYFUNCTION("IF(ISBLANK(H547),,IF(IFNA(MATCH(H547,SPLIT(Circuits!$S$2,"";""&amp;CHAR(10)),0),0),FALSE,TRUE))"),"")</f>
        <v/>
      </c>
      <c r="Q547" s="237" t="str">
        <f>IF(ISBLANK(H547),,IFNA(VLOOKUP(H547, Circuits!A:U, 21, FALSE),))</f>
        <v/>
      </c>
      <c r="R547" s="238" t="str">
        <f t="shared" si="7"/>
        <v/>
      </c>
      <c r="S547" s="237" t="str">
        <f>IF(ISBLANK(H547),,IFNA(VLOOKUP(H547, Circuits!A:V, 22, FALSE),))</f>
        <v/>
      </c>
      <c r="T547" s="237" t="str">
        <f>IF(ISBLANK(H547),,IFNA(VLOOKUP(H547, Circuits!A:X, 24, FALSE),))</f>
        <v/>
      </c>
      <c r="V547" s="236" t="str">
        <f>IFERROR(__xludf.DUMMYFUNCTION("IF(ISBLANK(H547),,JOIN("","",H547:T547))"),"")</f>
        <v/>
      </c>
      <c r="W547" s="229" t="str">
        <f t="shared" si="1"/>
        <v/>
      </c>
    </row>
    <row r="548">
      <c r="H548" s="237"/>
      <c r="I548" s="237" t="str">
        <f>IFERROR(__xludf.DUMMYFUNCTION("IF(ISBLANK(H548),,IFNA(""""""""&amp;JOIN("","",INDEX(FILTER(A:D,A:A=H548),0,4))&amp;"""""""",))"),"")</f>
        <v/>
      </c>
      <c r="J548" s="237" t="str">
        <f>IF(ISBLANK(H548),,IFNA(VLOOKUP(H548, Circuits!A:W, 23, FALSE),))</f>
        <v/>
      </c>
      <c r="K548" s="238" t="str">
        <f t="shared" si="2"/>
        <v/>
      </c>
      <c r="L548" s="238" t="str">
        <f t="shared" si="3"/>
        <v/>
      </c>
      <c r="M548" s="238" t="str">
        <f t="shared" si="4"/>
        <v/>
      </c>
      <c r="N548" s="238" t="str">
        <f t="shared" si="5"/>
        <v/>
      </c>
      <c r="O548" s="238" t="str">
        <f t="shared" si="6"/>
        <v/>
      </c>
      <c r="P548" s="237" t="str">
        <f>IFERROR(__xludf.DUMMYFUNCTION("IF(ISBLANK(H548),,IF(IFNA(MATCH(H548,SPLIT(Circuits!$S$2,"";""&amp;CHAR(10)),0),0),FALSE,TRUE))"),"")</f>
        <v/>
      </c>
      <c r="Q548" s="237" t="str">
        <f>IF(ISBLANK(H548),,IFNA(VLOOKUP(H548, Circuits!A:U, 21, FALSE),))</f>
        <v/>
      </c>
      <c r="R548" s="238" t="str">
        <f t="shared" si="7"/>
        <v/>
      </c>
      <c r="S548" s="237" t="str">
        <f>IF(ISBLANK(H548),,IFNA(VLOOKUP(H548, Circuits!A:V, 22, FALSE),))</f>
        <v/>
      </c>
      <c r="T548" s="237" t="str">
        <f>IF(ISBLANK(H548),,IFNA(VLOOKUP(H548, Circuits!A:X, 24, FALSE),))</f>
        <v/>
      </c>
      <c r="V548" s="236" t="str">
        <f>IFERROR(__xludf.DUMMYFUNCTION("IF(ISBLANK(H548),,JOIN("","",H548:T548))"),"")</f>
        <v/>
      </c>
      <c r="W548" s="229" t="str">
        <f t="shared" si="1"/>
        <v/>
      </c>
    </row>
    <row r="549">
      <c r="H549" s="237"/>
      <c r="I549" s="237" t="str">
        <f>IFERROR(__xludf.DUMMYFUNCTION("IF(ISBLANK(H549),,IFNA(""""""""&amp;JOIN("","",INDEX(FILTER(A:D,A:A=H549),0,4))&amp;"""""""",))"),"")</f>
        <v/>
      </c>
      <c r="J549" s="237" t="str">
        <f>IF(ISBLANK(H549),,IFNA(VLOOKUP(H549, Circuits!A:W, 23, FALSE),))</f>
        <v/>
      </c>
      <c r="K549" s="238" t="str">
        <f t="shared" si="2"/>
        <v/>
      </c>
      <c r="L549" s="238" t="str">
        <f t="shared" si="3"/>
        <v/>
      </c>
      <c r="M549" s="238" t="str">
        <f t="shared" si="4"/>
        <v/>
      </c>
      <c r="N549" s="238" t="str">
        <f t="shared" si="5"/>
        <v/>
      </c>
      <c r="O549" s="238" t="str">
        <f t="shared" si="6"/>
        <v/>
      </c>
      <c r="P549" s="237" t="str">
        <f>IFERROR(__xludf.DUMMYFUNCTION("IF(ISBLANK(H549),,IF(IFNA(MATCH(H549,SPLIT(Circuits!$S$2,"";""&amp;CHAR(10)),0),0),FALSE,TRUE))"),"")</f>
        <v/>
      </c>
      <c r="Q549" s="237" t="str">
        <f>IF(ISBLANK(H549),,IFNA(VLOOKUP(H549, Circuits!A:U, 21, FALSE),))</f>
        <v/>
      </c>
      <c r="R549" s="238" t="str">
        <f t="shared" si="7"/>
        <v/>
      </c>
      <c r="S549" s="237" t="str">
        <f>IF(ISBLANK(H549),,IFNA(VLOOKUP(H549, Circuits!A:V, 22, FALSE),))</f>
        <v/>
      </c>
      <c r="T549" s="237" t="str">
        <f>IF(ISBLANK(H549),,IFNA(VLOOKUP(H549, Circuits!A:X, 24, FALSE),))</f>
        <v/>
      </c>
      <c r="V549" s="236" t="str">
        <f>IFERROR(__xludf.DUMMYFUNCTION("IF(ISBLANK(H549),,JOIN("","",H549:T549))"),"")</f>
        <v/>
      </c>
      <c r="W549" s="229" t="str">
        <f t="shared" si="1"/>
        <v/>
      </c>
    </row>
    <row r="550">
      <c r="H550" s="237"/>
      <c r="I550" s="237" t="str">
        <f>IFERROR(__xludf.DUMMYFUNCTION("IF(ISBLANK(H550),,IFNA(""""""""&amp;JOIN("","",INDEX(FILTER(A:D,A:A=H550),0,4))&amp;"""""""",))"),"")</f>
        <v/>
      </c>
      <c r="J550" s="237" t="str">
        <f>IF(ISBLANK(H550),,IFNA(VLOOKUP(H550, Circuits!A:W, 23, FALSE),))</f>
        <v/>
      </c>
      <c r="K550" s="238" t="str">
        <f t="shared" si="2"/>
        <v/>
      </c>
      <c r="L550" s="238" t="str">
        <f t="shared" si="3"/>
        <v/>
      </c>
      <c r="M550" s="238" t="str">
        <f t="shared" si="4"/>
        <v/>
      </c>
      <c r="N550" s="238" t="str">
        <f t="shared" si="5"/>
        <v/>
      </c>
      <c r="O550" s="238" t="str">
        <f t="shared" si="6"/>
        <v/>
      </c>
      <c r="P550" s="237" t="str">
        <f>IFERROR(__xludf.DUMMYFUNCTION("IF(ISBLANK(H550),,IF(IFNA(MATCH(H550,SPLIT(Circuits!$S$2,"";""&amp;CHAR(10)),0),0),FALSE,TRUE))"),"")</f>
        <v/>
      </c>
      <c r="Q550" s="237" t="str">
        <f>IF(ISBLANK(H550),,IFNA(VLOOKUP(H550, Circuits!A:U, 21, FALSE),))</f>
        <v/>
      </c>
      <c r="R550" s="238" t="str">
        <f t="shared" si="7"/>
        <v/>
      </c>
      <c r="S550" s="237" t="str">
        <f>IF(ISBLANK(H550),,IFNA(VLOOKUP(H550, Circuits!A:V, 22, FALSE),))</f>
        <v/>
      </c>
      <c r="T550" s="237" t="str">
        <f>IF(ISBLANK(H550),,IFNA(VLOOKUP(H550, Circuits!A:X, 24, FALSE),))</f>
        <v/>
      </c>
      <c r="V550" s="236" t="str">
        <f>IFERROR(__xludf.DUMMYFUNCTION("IF(ISBLANK(H550),,JOIN("","",H550:T550))"),"")</f>
        <v/>
      </c>
      <c r="W550" s="229" t="str">
        <f t="shared" si="1"/>
        <v/>
      </c>
    </row>
    <row r="551">
      <c r="H551" s="237"/>
      <c r="I551" s="237" t="str">
        <f>IFERROR(__xludf.DUMMYFUNCTION("IF(ISBLANK(H551),,IFNA(""""""""&amp;JOIN("","",INDEX(FILTER(A:D,A:A=H551),0,4))&amp;"""""""",))"),"")</f>
        <v/>
      </c>
      <c r="J551" s="237" t="str">
        <f>IF(ISBLANK(H551),,IFNA(VLOOKUP(H551, Circuits!A:W, 23, FALSE),))</f>
        <v/>
      </c>
      <c r="K551" s="238" t="str">
        <f t="shared" si="2"/>
        <v/>
      </c>
      <c r="L551" s="238" t="str">
        <f t="shared" si="3"/>
        <v/>
      </c>
      <c r="M551" s="238" t="str">
        <f t="shared" si="4"/>
        <v/>
      </c>
      <c r="N551" s="238" t="str">
        <f t="shared" si="5"/>
        <v/>
      </c>
      <c r="O551" s="238" t="str">
        <f t="shared" si="6"/>
        <v/>
      </c>
      <c r="P551" s="237" t="str">
        <f>IFERROR(__xludf.DUMMYFUNCTION("IF(ISBLANK(H551),,IF(IFNA(MATCH(H551,SPLIT(Circuits!$S$2,"";""&amp;CHAR(10)),0),0),FALSE,TRUE))"),"")</f>
        <v/>
      </c>
      <c r="Q551" s="237" t="str">
        <f>IF(ISBLANK(H551),,IFNA(VLOOKUP(H551, Circuits!A:U, 21, FALSE),))</f>
        <v/>
      </c>
      <c r="R551" s="238" t="str">
        <f t="shared" si="7"/>
        <v/>
      </c>
      <c r="S551" s="237" t="str">
        <f>IF(ISBLANK(H551),,IFNA(VLOOKUP(H551, Circuits!A:V, 22, FALSE),))</f>
        <v/>
      </c>
      <c r="T551" s="237" t="str">
        <f>IF(ISBLANK(H551),,IFNA(VLOOKUP(H551, Circuits!A:X, 24, FALSE),))</f>
        <v/>
      </c>
      <c r="V551" s="236" t="str">
        <f>IFERROR(__xludf.DUMMYFUNCTION("IF(ISBLANK(H551),,JOIN("","",H551:T551))"),"")</f>
        <v/>
      </c>
      <c r="W551" s="229" t="str">
        <f t="shared" si="1"/>
        <v/>
      </c>
    </row>
    <row r="552">
      <c r="H552" s="237"/>
      <c r="I552" s="237" t="str">
        <f>IFERROR(__xludf.DUMMYFUNCTION("IF(ISBLANK(H552),,IFNA(""""""""&amp;JOIN("","",INDEX(FILTER(A:D,A:A=H552),0,4))&amp;"""""""",))"),"")</f>
        <v/>
      </c>
      <c r="J552" s="237" t="str">
        <f>IF(ISBLANK(H552),,IFNA(VLOOKUP(H552, Circuits!A:W, 23, FALSE),))</f>
        <v/>
      </c>
      <c r="K552" s="238" t="str">
        <f t="shared" si="2"/>
        <v/>
      </c>
      <c r="L552" s="238" t="str">
        <f t="shared" si="3"/>
        <v/>
      </c>
      <c r="M552" s="238" t="str">
        <f t="shared" si="4"/>
        <v/>
      </c>
      <c r="N552" s="238" t="str">
        <f t="shared" si="5"/>
        <v/>
      </c>
      <c r="O552" s="238" t="str">
        <f t="shared" si="6"/>
        <v/>
      </c>
      <c r="P552" s="237" t="str">
        <f>IFERROR(__xludf.DUMMYFUNCTION("IF(ISBLANK(H552),,IF(IFNA(MATCH(H552,SPLIT(Circuits!$S$2,"";""&amp;CHAR(10)),0),0),FALSE,TRUE))"),"")</f>
        <v/>
      </c>
      <c r="Q552" s="237" t="str">
        <f>IF(ISBLANK(H552),,IFNA(VLOOKUP(H552, Circuits!A:U, 21, FALSE),))</f>
        <v/>
      </c>
      <c r="R552" s="238" t="str">
        <f t="shared" si="7"/>
        <v/>
      </c>
      <c r="S552" s="237" t="str">
        <f>IF(ISBLANK(H552),,IFNA(VLOOKUP(H552, Circuits!A:V, 22, FALSE),))</f>
        <v/>
      </c>
      <c r="T552" s="237" t="str">
        <f>IF(ISBLANK(H552),,IFNA(VLOOKUP(H552, Circuits!A:X, 24, FALSE),))</f>
        <v/>
      </c>
      <c r="V552" s="236" t="str">
        <f>IFERROR(__xludf.DUMMYFUNCTION("IF(ISBLANK(H552),,JOIN("","",H552:T552))"),"")</f>
        <v/>
      </c>
      <c r="W552" s="229" t="str">
        <f t="shared" si="1"/>
        <v/>
      </c>
    </row>
    <row r="553">
      <c r="H553" s="237"/>
      <c r="I553" s="237" t="str">
        <f>IFERROR(__xludf.DUMMYFUNCTION("IF(ISBLANK(H553),,IFNA(""""""""&amp;JOIN("","",INDEX(FILTER(A:D,A:A=H553),0,4))&amp;"""""""",))"),"")</f>
        <v/>
      </c>
      <c r="J553" s="237" t="str">
        <f>IF(ISBLANK(H553),,IFNA(VLOOKUP(H553, Circuits!A:W, 23, FALSE),))</f>
        <v/>
      </c>
      <c r="K553" s="238" t="str">
        <f t="shared" si="2"/>
        <v/>
      </c>
      <c r="L553" s="238" t="str">
        <f t="shared" si="3"/>
        <v/>
      </c>
      <c r="M553" s="238" t="str">
        <f t="shared" si="4"/>
        <v/>
      </c>
      <c r="N553" s="238" t="str">
        <f t="shared" si="5"/>
        <v/>
      </c>
      <c r="O553" s="238" t="str">
        <f t="shared" si="6"/>
        <v/>
      </c>
      <c r="P553" s="237" t="str">
        <f>IFERROR(__xludf.DUMMYFUNCTION("IF(ISBLANK(H553),,IF(IFNA(MATCH(H553,SPLIT(Circuits!$S$2,"";""&amp;CHAR(10)),0),0),FALSE,TRUE))"),"")</f>
        <v/>
      </c>
      <c r="Q553" s="237" t="str">
        <f>IF(ISBLANK(H553),,IFNA(VLOOKUP(H553, Circuits!A:U, 21, FALSE),))</f>
        <v/>
      </c>
      <c r="R553" s="238" t="str">
        <f t="shared" si="7"/>
        <v/>
      </c>
      <c r="S553" s="237" t="str">
        <f>IF(ISBLANK(H553),,IFNA(VLOOKUP(H553, Circuits!A:V, 22, FALSE),))</f>
        <v/>
      </c>
      <c r="T553" s="237" t="str">
        <f>IF(ISBLANK(H553),,IFNA(VLOOKUP(H553, Circuits!A:X, 24, FALSE),))</f>
        <v/>
      </c>
      <c r="V553" s="236" t="str">
        <f>IFERROR(__xludf.DUMMYFUNCTION("IF(ISBLANK(H553),,JOIN("","",H553:T553))"),"")</f>
        <v/>
      </c>
      <c r="W553" s="229" t="str">
        <f t="shared" si="1"/>
        <v/>
      </c>
    </row>
    <row r="554">
      <c r="H554" s="237"/>
      <c r="I554" s="237" t="str">
        <f>IFERROR(__xludf.DUMMYFUNCTION("IF(ISBLANK(H554),,IFNA(""""""""&amp;JOIN("","",INDEX(FILTER(A:D,A:A=H554),0,4))&amp;"""""""",))"),"")</f>
        <v/>
      </c>
      <c r="J554" s="237" t="str">
        <f>IF(ISBLANK(H554),,IFNA(VLOOKUP(H554, Circuits!A:W, 23, FALSE),))</f>
        <v/>
      </c>
      <c r="K554" s="238" t="str">
        <f t="shared" si="2"/>
        <v/>
      </c>
      <c r="L554" s="238" t="str">
        <f t="shared" si="3"/>
        <v/>
      </c>
      <c r="M554" s="238" t="str">
        <f t="shared" si="4"/>
        <v/>
      </c>
      <c r="N554" s="238" t="str">
        <f t="shared" si="5"/>
        <v/>
      </c>
      <c r="O554" s="238" t="str">
        <f t="shared" si="6"/>
        <v/>
      </c>
      <c r="P554" s="237" t="str">
        <f>IFERROR(__xludf.DUMMYFUNCTION("IF(ISBLANK(H554),,IF(IFNA(MATCH(H554,SPLIT(Circuits!$S$2,"";""&amp;CHAR(10)),0),0),FALSE,TRUE))"),"")</f>
        <v/>
      </c>
      <c r="Q554" s="237" t="str">
        <f>IF(ISBLANK(H554),,IFNA(VLOOKUP(H554, Circuits!A:U, 21, FALSE),))</f>
        <v/>
      </c>
      <c r="R554" s="238" t="str">
        <f t="shared" si="7"/>
        <v/>
      </c>
      <c r="S554" s="237" t="str">
        <f>IF(ISBLANK(H554),,IFNA(VLOOKUP(H554, Circuits!A:V, 22, FALSE),))</f>
        <v/>
      </c>
      <c r="T554" s="237" t="str">
        <f>IF(ISBLANK(H554),,IFNA(VLOOKUP(H554, Circuits!A:X, 24, FALSE),))</f>
        <v/>
      </c>
      <c r="V554" s="236" t="str">
        <f>IFERROR(__xludf.DUMMYFUNCTION("IF(ISBLANK(H554),,JOIN("","",H554:T554))"),"")</f>
        <v/>
      </c>
      <c r="W554" s="229" t="str">
        <f t="shared" si="1"/>
        <v/>
      </c>
    </row>
    <row r="555">
      <c r="H555" s="237"/>
      <c r="I555" s="237" t="str">
        <f>IFERROR(__xludf.DUMMYFUNCTION("IF(ISBLANK(H555),,IFNA(""""""""&amp;JOIN("","",INDEX(FILTER(A:D,A:A=H555),0,4))&amp;"""""""",))"),"")</f>
        <v/>
      </c>
      <c r="J555" s="237" t="str">
        <f>IF(ISBLANK(H555),,IFNA(VLOOKUP(H555, Circuits!A:W, 23, FALSE),))</f>
        <v/>
      </c>
      <c r="K555" s="238" t="str">
        <f t="shared" si="2"/>
        <v/>
      </c>
      <c r="L555" s="238" t="str">
        <f t="shared" si="3"/>
        <v/>
      </c>
      <c r="M555" s="238" t="str">
        <f t="shared" si="4"/>
        <v/>
      </c>
      <c r="N555" s="238" t="str">
        <f t="shared" si="5"/>
        <v/>
      </c>
      <c r="O555" s="238" t="str">
        <f t="shared" si="6"/>
        <v/>
      </c>
      <c r="P555" s="237" t="str">
        <f>IFERROR(__xludf.DUMMYFUNCTION("IF(ISBLANK(H555),,IF(IFNA(MATCH(H555,SPLIT(Circuits!$S$2,"";""&amp;CHAR(10)),0),0),FALSE,TRUE))"),"")</f>
        <v/>
      </c>
      <c r="Q555" s="237" t="str">
        <f>IF(ISBLANK(H555),,IFNA(VLOOKUP(H555, Circuits!A:U, 21, FALSE),))</f>
        <v/>
      </c>
      <c r="R555" s="238" t="str">
        <f t="shared" si="7"/>
        <v/>
      </c>
      <c r="S555" s="237" t="str">
        <f>IF(ISBLANK(H555),,IFNA(VLOOKUP(H555, Circuits!A:V, 22, FALSE),))</f>
        <v/>
      </c>
      <c r="T555" s="237" t="str">
        <f>IF(ISBLANK(H555),,IFNA(VLOOKUP(H555, Circuits!A:X, 24, FALSE),))</f>
        <v/>
      </c>
      <c r="V555" s="236" t="str">
        <f>IFERROR(__xludf.DUMMYFUNCTION("IF(ISBLANK(H555),,JOIN("","",H555:T555))"),"")</f>
        <v/>
      </c>
      <c r="W555" s="229" t="str">
        <f t="shared" si="1"/>
        <v/>
      </c>
    </row>
    <row r="556">
      <c r="H556" s="237"/>
      <c r="I556" s="237" t="str">
        <f>IFERROR(__xludf.DUMMYFUNCTION("IF(ISBLANK(H556),,IFNA(""""""""&amp;JOIN("","",INDEX(FILTER(A:D,A:A=H556),0,4))&amp;"""""""",))"),"")</f>
        <v/>
      </c>
      <c r="J556" s="237" t="str">
        <f>IF(ISBLANK(H556),,IFNA(VLOOKUP(H556, Circuits!A:W, 23, FALSE),))</f>
        <v/>
      </c>
      <c r="K556" s="238" t="str">
        <f t="shared" si="2"/>
        <v/>
      </c>
      <c r="L556" s="238" t="str">
        <f t="shared" si="3"/>
        <v/>
      </c>
      <c r="M556" s="238" t="str">
        <f t="shared" si="4"/>
        <v/>
      </c>
      <c r="N556" s="238" t="str">
        <f t="shared" si="5"/>
        <v/>
      </c>
      <c r="O556" s="238" t="str">
        <f t="shared" si="6"/>
        <v/>
      </c>
      <c r="P556" s="237" t="str">
        <f>IFERROR(__xludf.DUMMYFUNCTION("IF(ISBLANK(H556),,IF(IFNA(MATCH(H556,SPLIT(Circuits!$S$2,"";""&amp;CHAR(10)),0),0),FALSE,TRUE))"),"")</f>
        <v/>
      </c>
      <c r="Q556" s="237" t="str">
        <f>IF(ISBLANK(H556),,IFNA(VLOOKUP(H556, Circuits!A:U, 21, FALSE),))</f>
        <v/>
      </c>
      <c r="R556" s="238" t="str">
        <f t="shared" si="7"/>
        <v/>
      </c>
      <c r="S556" s="237" t="str">
        <f>IF(ISBLANK(H556),,IFNA(VLOOKUP(H556, Circuits!A:V, 22, FALSE),))</f>
        <v/>
      </c>
      <c r="T556" s="237" t="str">
        <f>IF(ISBLANK(H556),,IFNA(VLOOKUP(H556, Circuits!A:X, 24, FALSE),))</f>
        <v/>
      </c>
      <c r="V556" s="236" t="str">
        <f>IFERROR(__xludf.DUMMYFUNCTION("IF(ISBLANK(H556),,JOIN("","",H556:T556))"),"")</f>
        <v/>
      </c>
      <c r="W556" s="229" t="str">
        <f t="shared" si="1"/>
        <v/>
      </c>
    </row>
    <row r="557">
      <c r="H557" s="237"/>
      <c r="I557" s="237" t="str">
        <f>IFERROR(__xludf.DUMMYFUNCTION("IF(ISBLANK(H557),,IFNA(""""""""&amp;JOIN("","",INDEX(FILTER(A:D,A:A=H557),0,4))&amp;"""""""",))"),"")</f>
        <v/>
      </c>
      <c r="J557" s="237" t="str">
        <f>IF(ISBLANK(H557),,IFNA(VLOOKUP(H557, Circuits!A:W, 23, FALSE),))</f>
        <v/>
      </c>
      <c r="K557" s="238" t="str">
        <f t="shared" si="2"/>
        <v/>
      </c>
      <c r="L557" s="238" t="str">
        <f t="shared" si="3"/>
        <v/>
      </c>
      <c r="M557" s="238" t="str">
        <f t="shared" si="4"/>
        <v/>
      </c>
      <c r="N557" s="238" t="str">
        <f t="shared" si="5"/>
        <v/>
      </c>
      <c r="O557" s="238" t="str">
        <f t="shared" si="6"/>
        <v/>
      </c>
      <c r="P557" s="237" t="str">
        <f>IFERROR(__xludf.DUMMYFUNCTION("IF(ISBLANK(H557),,IF(IFNA(MATCH(H557,SPLIT(Circuits!$S$2,"";""&amp;CHAR(10)),0),0),FALSE,TRUE))"),"")</f>
        <v/>
      </c>
      <c r="Q557" s="237" t="str">
        <f>IF(ISBLANK(H557),,IFNA(VLOOKUP(H557, Circuits!A:U, 21, FALSE),))</f>
        <v/>
      </c>
      <c r="R557" s="238" t="str">
        <f t="shared" si="7"/>
        <v/>
      </c>
      <c r="S557" s="237" t="str">
        <f>IF(ISBLANK(H557),,IFNA(VLOOKUP(H557, Circuits!A:V, 22, FALSE),))</f>
        <v/>
      </c>
      <c r="T557" s="237" t="str">
        <f>IF(ISBLANK(H557),,IFNA(VLOOKUP(H557, Circuits!A:X, 24, FALSE),))</f>
        <v/>
      </c>
      <c r="V557" s="236" t="str">
        <f>IFERROR(__xludf.DUMMYFUNCTION("IF(ISBLANK(H557),,JOIN("","",H557:T557))"),"")</f>
        <v/>
      </c>
      <c r="W557" s="229" t="str">
        <f t="shared" si="1"/>
        <v/>
      </c>
    </row>
    <row r="558">
      <c r="H558" s="237"/>
      <c r="I558" s="237" t="str">
        <f>IFERROR(__xludf.DUMMYFUNCTION("IF(ISBLANK(H558),,IFNA(""""""""&amp;JOIN("","",INDEX(FILTER(A:D,A:A=H558),0,4))&amp;"""""""",))"),"")</f>
        <v/>
      </c>
      <c r="J558" s="237" t="str">
        <f>IF(ISBLANK(H558),,IFNA(VLOOKUP(H558, Circuits!A:W, 23, FALSE),))</f>
        <v/>
      </c>
      <c r="K558" s="238" t="str">
        <f t="shared" si="2"/>
        <v/>
      </c>
      <c r="L558" s="238" t="str">
        <f t="shared" si="3"/>
        <v/>
      </c>
      <c r="M558" s="238" t="str">
        <f t="shared" si="4"/>
        <v/>
      </c>
      <c r="N558" s="238" t="str">
        <f t="shared" si="5"/>
        <v/>
      </c>
      <c r="O558" s="238" t="str">
        <f t="shared" si="6"/>
        <v/>
      </c>
      <c r="P558" s="237" t="str">
        <f>IFERROR(__xludf.DUMMYFUNCTION("IF(ISBLANK(H558),,IF(IFNA(MATCH(H558,SPLIT(Circuits!$S$2,"";""&amp;CHAR(10)),0),0),FALSE,TRUE))"),"")</f>
        <v/>
      </c>
      <c r="Q558" s="237" t="str">
        <f>IF(ISBLANK(H558),,IFNA(VLOOKUP(H558, Circuits!A:U, 21, FALSE),))</f>
        <v/>
      </c>
      <c r="R558" s="238" t="str">
        <f t="shared" si="7"/>
        <v/>
      </c>
      <c r="S558" s="237" t="str">
        <f>IF(ISBLANK(H558),,IFNA(VLOOKUP(H558, Circuits!A:V, 22, FALSE),))</f>
        <v/>
      </c>
      <c r="T558" s="237" t="str">
        <f>IF(ISBLANK(H558),,IFNA(VLOOKUP(H558, Circuits!A:X, 24, FALSE),))</f>
        <v/>
      </c>
      <c r="V558" s="236" t="str">
        <f>IFERROR(__xludf.DUMMYFUNCTION("IF(ISBLANK(H558),,JOIN("","",H558:T558))"),"")</f>
        <v/>
      </c>
      <c r="W558" s="229" t="str">
        <f t="shared" si="1"/>
        <v/>
      </c>
    </row>
    <row r="559">
      <c r="H559" s="237"/>
      <c r="I559" s="237" t="str">
        <f>IFERROR(__xludf.DUMMYFUNCTION("IF(ISBLANK(H559),,IFNA(""""""""&amp;JOIN("","",INDEX(FILTER(A:D,A:A=H559),0,4))&amp;"""""""",))"),"")</f>
        <v/>
      </c>
      <c r="J559" s="237" t="str">
        <f>IF(ISBLANK(H559),,IFNA(VLOOKUP(H559, Circuits!A:W, 23, FALSE),))</f>
        <v/>
      </c>
      <c r="K559" s="238" t="str">
        <f t="shared" si="2"/>
        <v/>
      </c>
      <c r="L559" s="238" t="str">
        <f t="shared" si="3"/>
        <v/>
      </c>
      <c r="M559" s="238" t="str">
        <f t="shared" si="4"/>
        <v/>
      </c>
      <c r="N559" s="238" t="str">
        <f t="shared" si="5"/>
        <v/>
      </c>
      <c r="O559" s="238" t="str">
        <f t="shared" si="6"/>
        <v/>
      </c>
      <c r="P559" s="237" t="str">
        <f>IFERROR(__xludf.DUMMYFUNCTION("IF(ISBLANK(H559),,IF(IFNA(MATCH(H559,SPLIT(Circuits!$S$2,"";""&amp;CHAR(10)),0),0),FALSE,TRUE))"),"")</f>
        <v/>
      </c>
      <c r="Q559" s="237" t="str">
        <f>IF(ISBLANK(H559),,IFNA(VLOOKUP(H559, Circuits!A:U, 21, FALSE),))</f>
        <v/>
      </c>
      <c r="R559" s="238" t="str">
        <f t="shared" si="7"/>
        <v/>
      </c>
      <c r="S559" s="237" t="str">
        <f>IF(ISBLANK(H559),,IFNA(VLOOKUP(H559, Circuits!A:V, 22, FALSE),))</f>
        <v/>
      </c>
      <c r="T559" s="237" t="str">
        <f>IF(ISBLANK(H559),,IFNA(VLOOKUP(H559, Circuits!A:X, 24, FALSE),))</f>
        <v/>
      </c>
      <c r="V559" s="236" t="str">
        <f>IFERROR(__xludf.DUMMYFUNCTION("IF(ISBLANK(H559),,JOIN("","",H559:T559))"),"")</f>
        <v/>
      </c>
      <c r="W559" s="229" t="str">
        <f t="shared" si="1"/>
        <v/>
      </c>
    </row>
    <row r="560">
      <c r="H560" s="237"/>
      <c r="I560" s="237" t="str">
        <f>IFERROR(__xludf.DUMMYFUNCTION("IF(ISBLANK(H560),,IFNA(""""""""&amp;JOIN("","",INDEX(FILTER(A:D,A:A=H560),0,4))&amp;"""""""",))"),"")</f>
        <v/>
      </c>
      <c r="J560" s="237" t="str">
        <f>IF(ISBLANK(H560),,IFNA(VLOOKUP(H560, Circuits!A:W, 23, FALSE),))</f>
        <v/>
      </c>
      <c r="K560" s="238" t="str">
        <f t="shared" si="2"/>
        <v/>
      </c>
      <c r="L560" s="238" t="str">
        <f t="shared" si="3"/>
        <v/>
      </c>
      <c r="M560" s="238" t="str">
        <f t="shared" si="4"/>
        <v/>
      </c>
      <c r="N560" s="238" t="str">
        <f t="shared" si="5"/>
        <v/>
      </c>
      <c r="O560" s="238" t="str">
        <f t="shared" si="6"/>
        <v/>
      </c>
      <c r="P560" s="237" t="str">
        <f>IFERROR(__xludf.DUMMYFUNCTION("IF(ISBLANK(H560),,IF(IFNA(MATCH(H560,SPLIT(Circuits!$S$2,"";""&amp;CHAR(10)),0),0),FALSE,TRUE))"),"")</f>
        <v/>
      </c>
      <c r="Q560" s="237" t="str">
        <f>IF(ISBLANK(H560),,IFNA(VLOOKUP(H560, Circuits!A:U, 21, FALSE),))</f>
        <v/>
      </c>
      <c r="R560" s="238" t="str">
        <f t="shared" si="7"/>
        <v/>
      </c>
      <c r="S560" s="237" t="str">
        <f>IF(ISBLANK(H560),,IFNA(VLOOKUP(H560, Circuits!A:V, 22, FALSE),))</f>
        <v/>
      </c>
      <c r="T560" s="237" t="str">
        <f>IF(ISBLANK(H560),,IFNA(VLOOKUP(H560, Circuits!A:X, 24, FALSE),))</f>
        <v/>
      </c>
      <c r="V560" s="236" t="str">
        <f>IFERROR(__xludf.DUMMYFUNCTION("IF(ISBLANK(H560),,JOIN("","",H560:T560))"),"")</f>
        <v/>
      </c>
      <c r="W560" s="229" t="str">
        <f t="shared" si="1"/>
        <v/>
      </c>
    </row>
    <row r="561">
      <c r="H561" s="237"/>
      <c r="I561" s="237" t="str">
        <f>IFERROR(__xludf.DUMMYFUNCTION("IF(ISBLANK(H561),,IFNA(""""""""&amp;JOIN("","",INDEX(FILTER(A:D,A:A=H561),0,4))&amp;"""""""",))"),"")</f>
        <v/>
      </c>
      <c r="J561" s="237" t="str">
        <f>IF(ISBLANK(H561),,IFNA(VLOOKUP(H561, Circuits!A:W, 23, FALSE),))</f>
        <v/>
      </c>
      <c r="K561" s="238" t="str">
        <f t="shared" si="2"/>
        <v/>
      </c>
      <c r="L561" s="238" t="str">
        <f t="shared" si="3"/>
        <v/>
      </c>
      <c r="M561" s="238" t="str">
        <f t="shared" si="4"/>
        <v/>
      </c>
      <c r="N561" s="238" t="str">
        <f t="shared" si="5"/>
        <v/>
      </c>
      <c r="O561" s="238" t="str">
        <f t="shared" si="6"/>
        <v/>
      </c>
      <c r="P561" s="237" t="str">
        <f>IFERROR(__xludf.DUMMYFUNCTION("IF(ISBLANK(H561),,IF(IFNA(MATCH(H561,SPLIT(Circuits!$S$2,"";""&amp;CHAR(10)),0),0),FALSE,TRUE))"),"")</f>
        <v/>
      </c>
      <c r="Q561" s="237" t="str">
        <f>IF(ISBLANK(H561),,IFNA(VLOOKUP(H561, Circuits!A:U, 21, FALSE),))</f>
        <v/>
      </c>
      <c r="R561" s="238" t="str">
        <f t="shared" si="7"/>
        <v/>
      </c>
      <c r="S561" s="237" t="str">
        <f>IF(ISBLANK(H561),,IFNA(VLOOKUP(H561, Circuits!A:V, 22, FALSE),))</f>
        <v/>
      </c>
      <c r="T561" s="237" t="str">
        <f>IF(ISBLANK(H561),,IFNA(VLOOKUP(H561, Circuits!A:X, 24, FALSE),))</f>
        <v/>
      </c>
      <c r="V561" s="236" t="str">
        <f>IFERROR(__xludf.DUMMYFUNCTION("IF(ISBLANK(H561),,JOIN("","",H561:T561))"),"")</f>
        <v/>
      </c>
      <c r="W561" s="229" t="str">
        <f t="shared" si="1"/>
        <v/>
      </c>
    </row>
    <row r="562">
      <c r="H562" s="237"/>
      <c r="I562" s="237" t="str">
        <f>IFERROR(__xludf.DUMMYFUNCTION("IF(ISBLANK(H562),,IFNA(""""""""&amp;JOIN("","",INDEX(FILTER(A:D,A:A=H562),0,4))&amp;"""""""",))"),"")</f>
        <v/>
      </c>
      <c r="J562" s="237" t="str">
        <f>IF(ISBLANK(H562),,IFNA(VLOOKUP(H562, Circuits!A:W, 23, FALSE),))</f>
        <v/>
      </c>
      <c r="K562" s="238" t="str">
        <f t="shared" si="2"/>
        <v/>
      </c>
      <c r="L562" s="238" t="str">
        <f t="shared" si="3"/>
        <v/>
      </c>
      <c r="M562" s="238" t="str">
        <f t="shared" si="4"/>
        <v/>
      </c>
      <c r="N562" s="238" t="str">
        <f t="shared" si="5"/>
        <v/>
      </c>
      <c r="O562" s="238" t="str">
        <f t="shared" si="6"/>
        <v/>
      </c>
      <c r="P562" s="237" t="str">
        <f>IFERROR(__xludf.DUMMYFUNCTION("IF(ISBLANK(H562),,IF(IFNA(MATCH(H562,SPLIT(Circuits!$S$2,"";""&amp;CHAR(10)),0),0),FALSE,TRUE))"),"")</f>
        <v/>
      </c>
      <c r="Q562" s="237" t="str">
        <f>IF(ISBLANK(H562),,IFNA(VLOOKUP(H562, Circuits!A:U, 21, FALSE),))</f>
        <v/>
      </c>
      <c r="R562" s="238" t="str">
        <f t="shared" si="7"/>
        <v/>
      </c>
      <c r="S562" s="237" t="str">
        <f>IF(ISBLANK(H562),,IFNA(VLOOKUP(H562, Circuits!A:V, 22, FALSE),))</f>
        <v/>
      </c>
      <c r="T562" s="237" t="str">
        <f>IF(ISBLANK(H562),,IFNA(VLOOKUP(H562, Circuits!A:X, 24, FALSE),))</f>
        <v/>
      </c>
      <c r="V562" s="236" t="str">
        <f>IFERROR(__xludf.DUMMYFUNCTION("IF(ISBLANK(H562),,JOIN("","",H562:T562))"),"")</f>
        <v/>
      </c>
      <c r="W562" s="229" t="str">
        <f t="shared" si="1"/>
        <v/>
      </c>
    </row>
    <row r="563">
      <c r="H563" s="237"/>
      <c r="I563" s="237" t="str">
        <f>IFERROR(__xludf.DUMMYFUNCTION("IF(ISBLANK(H563),,IFNA(""""""""&amp;JOIN("","",INDEX(FILTER(A:D,A:A=H563),0,4))&amp;"""""""",))"),"")</f>
        <v/>
      </c>
      <c r="J563" s="237" t="str">
        <f>IF(ISBLANK(H563),,IFNA(VLOOKUP(H563, Circuits!A:W, 23, FALSE),))</f>
        <v/>
      </c>
      <c r="K563" s="238" t="str">
        <f t="shared" si="2"/>
        <v/>
      </c>
      <c r="L563" s="238" t="str">
        <f t="shared" si="3"/>
        <v/>
      </c>
      <c r="M563" s="238" t="str">
        <f t="shared" si="4"/>
        <v/>
      </c>
      <c r="N563" s="238" t="str">
        <f t="shared" si="5"/>
        <v/>
      </c>
      <c r="O563" s="238" t="str">
        <f t="shared" si="6"/>
        <v/>
      </c>
      <c r="P563" s="237" t="str">
        <f>IFERROR(__xludf.DUMMYFUNCTION("IF(ISBLANK(H563),,IF(IFNA(MATCH(H563,SPLIT(Circuits!$S$2,"";""&amp;CHAR(10)),0),0),FALSE,TRUE))"),"")</f>
        <v/>
      </c>
      <c r="Q563" s="237" t="str">
        <f>IF(ISBLANK(H563),,IFNA(VLOOKUP(H563, Circuits!A:U, 21, FALSE),))</f>
        <v/>
      </c>
      <c r="R563" s="238" t="str">
        <f t="shared" si="7"/>
        <v/>
      </c>
      <c r="S563" s="237" t="str">
        <f>IF(ISBLANK(H563),,IFNA(VLOOKUP(H563, Circuits!A:V, 22, FALSE),))</f>
        <v/>
      </c>
      <c r="T563" s="237" t="str">
        <f>IF(ISBLANK(H563),,IFNA(VLOOKUP(H563, Circuits!A:X, 24, FALSE),))</f>
        <v/>
      </c>
      <c r="V563" s="236" t="str">
        <f>IFERROR(__xludf.DUMMYFUNCTION("IF(ISBLANK(H563),,JOIN("","",H563:T563))"),"")</f>
        <v/>
      </c>
      <c r="W563" s="229" t="str">
        <f t="shared" si="1"/>
        <v/>
      </c>
    </row>
    <row r="564">
      <c r="H564" s="237"/>
      <c r="I564" s="237" t="str">
        <f>IFERROR(__xludf.DUMMYFUNCTION("IF(ISBLANK(H564),,IFNA(""""""""&amp;JOIN("","",INDEX(FILTER(A:D,A:A=H564),0,4))&amp;"""""""",))"),"")</f>
        <v/>
      </c>
      <c r="J564" s="237" t="str">
        <f>IF(ISBLANK(H564),,IFNA(VLOOKUP(H564, Circuits!A:W, 23, FALSE),))</f>
        <v/>
      </c>
      <c r="K564" s="238" t="str">
        <f t="shared" si="2"/>
        <v/>
      </c>
      <c r="L564" s="238" t="str">
        <f t="shared" si="3"/>
        <v/>
      </c>
      <c r="M564" s="238" t="str">
        <f t="shared" si="4"/>
        <v/>
      </c>
      <c r="N564" s="238" t="str">
        <f t="shared" si="5"/>
        <v/>
      </c>
      <c r="O564" s="238" t="str">
        <f t="shared" si="6"/>
        <v/>
      </c>
      <c r="P564" s="237" t="str">
        <f>IFERROR(__xludf.DUMMYFUNCTION("IF(ISBLANK(H564),,IF(IFNA(MATCH(H564,SPLIT(Circuits!$S$2,"";""&amp;CHAR(10)),0),0),FALSE,TRUE))"),"")</f>
        <v/>
      </c>
      <c r="Q564" s="237" t="str">
        <f>IF(ISBLANK(H564),,IFNA(VLOOKUP(H564, Circuits!A:U, 21, FALSE),))</f>
        <v/>
      </c>
      <c r="R564" s="238" t="str">
        <f t="shared" si="7"/>
        <v/>
      </c>
      <c r="S564" s="237" t="str">
        <f>IF(ISBLANK(H564),,IFNA(VLOOKUP(H564, Circuits!A:V, 22, FALSE),))</f>
        <v/>
      </c>
      <c r="T564" s="237" t="str">
        <f>IF(ISBLANK(H564),,IFNA(VLOOKUP(H564, Circuits!A:X, 24, FALSE),))</f>
        <v/>
      </c>
      <c r="V564" s="236" t="str">
        <f>IFERROR(__xludf.DUMMYFUNCTION("IF(ISBLANK(H564),,JOIN("","",H564:T564))"),"")</f>
        <v/>
      </c>
      <c r="W564" s="229" t="str">
        <f t="shared" si="1"/>
        <v/>
      </c>
    </row>
    <row r="565">
      <c r="H565" s="237"/>
      <c r="I565" s="237" t="str">
        <f>IFERROR(__xludf.DUMMYFUNCTION("IF(ISBLANK(H565),,IFNA(""""""""&amp;JOIN("","",INDEX(FILTER(A:D,A:A=H565),0,4))&amp;"""""""",))"),"")</f>
        <v/>
      </c>
      <c r="J565" s="237" t="str">
        <f>IF(ISBLANK(H565),,IFNA(VLOOKUP(H565, Circuits!A:W, 23, FALSE),))</f>
        <v/>
      </c>
      <c r="K565" s="238" t="str">
        <f t="shared" si="2"/>
        <v/>
      </c>
      <c r="L565" s="238" t="str">
        <f t="shared" si="3"/>
        <v/>
      </c>
      <c r="M565" s="238" t="str">
        <f t="shared" si="4"/>
        <v/>
      </c>
      <c r="N565" s="238" t="str">
        <f t="shared" si="5"/>
        <v/>
      </c>
      <c r="O565" s="238" t="str">
        <f t="shared" si="6"/>
        <v/>
      </c>
      <c r="P565" s="237" t="str">
        <f>IFERROR(__xludf.DUMMYFUNCTION("IF(ISBLANK(H565),,IF(IFNA(MATCH(H565,SPLIT(Circuits!$S$2,"";""&amp;CHAR(10)),0),0),FALSE,TRUE))"),"")</f>
        <v/>
      </c>
      <c r="Q565" s="237" t="str">
        <f>IF(ISBLANK(H565),,IFNA(VLOOKUP(H565, Circuits!A:U, 21, FALSE),))</f>
        <v/>
      </c>
      <c r="R565" s="238" t="str">
        <f t="shared" si="7"/>
        <v/>
      </c>
      <c r="S565" s="237" t="str">
        <f>IF(ISBLANK(H565),,IFNA(VLOOKUP(H565, Circuits!A:V, 22, FALSE),))</f>
        <v/>
      </c>
      <c r="T565" s="237" t="str">
        <f>IF(ISBLANK(H565),,IFNA(VLOOKUP(H565, Circuits!A:X, 24, FALSE),))</f>
        <v/>
      </c>
      <c r="V565" s="236" t="str">
        <f>IFERROR(__xludf.DUMMYFUNCTION("IF(ISBLANK(H565),,JOIN("","",H565:T565))"),"")</f>
        <v/>
      </c>
      <c r="W565" s="229" t="str">
        <f t="shared" si="1"/>
        <v/>
      </c>
    </row>
    <row r="566">
      <c r="H566" s="237"/>
      <c r="I566" s="237" t="str">
        <f>IFERROR(__xludf.DUMMYFUNCTION("IF(ISBLANK(H566),,IFNA(""""""""&amp;JOIN("","",INDEX(FILTER(A:D,A:A=H566),0,4))&amp;"""""""",))"),"")</f>
        <v/>
      </c>
      <c r="J566" s="237" t="str">
        <f>IF(ISBLANK(H566),,IFNA(VLOOKUP(H566, Circuits!A:W, 23, FALSE),))</f>
        <v/>
      </c>
      <c r="K566" s="238" t="str">
        <f t="shared" si="2"/>
        <v/>
      </c>
      <c r="L566" s="238" t="str">
        <f t="shared" si="3"/>
        <v/>
      </c>
      <c r="M566" s="238" t="str">
        <f t="shared" si="4"/>
        <v/>
      </c>
      <c r="N566" s="238" t="str">
        <f t="shared" si="5"/>
        <v/>
      </c>
      <c r="O566" s="238" t="str">
        <f t="shared" si="6"/>
        <v/>
      </c>
      <c r="P566" s="237" t="str">
        <f>IFERROR(__xludf.DUMMYFUNCTION("IF(ISBLANK(H566),,IF(IFNA(MATCH(H566,SPLIT(Circuits!$S$2,"";""&amp;CHAR(10)),0),0),FALSE,TRUE))"),"")</f>
        <v/>
      </c>
      <c r="Q566" s="237" t="str">
        <f>IF(ISBLANK(H566),,IFNA(VLOOKUP(H566, Circuits!A:U, 21, FALSE),))</f>
        <v/>
      </c>
      <c r="R566" s="238" t="str">
        <f t="shared" si="7"/>
        <v/>
      </c>
      <c r="S566" s="237" t="str">
        <f>IF(ISBLANK(H566),,IFNA(VLOOKUP(H566, Circuits!A:V, 22, FALSE),))</f>
        <v/>
      </c>
      <c r="T566" s="237" t="str">
        <f>IF(ISBLANK(H566),,IFNA(VLOOKUP(H566, Circuits!A:X, 24, FALSE),))</f>
        <v/>
      </c>
      <c r="V566" s="236" t="str">
        <f>IFERROR(__xludf.DUMMYFUNCTION("IF(ISBLANK(H566),,JOIN("","",H566:T566))"),"")</f>
        <v/>
      </c>
      <c r="W566" s="229" t="str">
        <f t="shared" si="1"/>
        <v/>
      </c>
    </row>
    <row r="567">
      <c r="H567" s="237"/>
      <c r="I567" s="237" t="str">
        <f>IFERROR(__xludf.DUMMYFUNCTION("IF(ISBLANK(H567),,IFNA(""""""""&amp;JOIN("","",INDEX(FILTER(A:D,A:A=H567),0,4))&amp;"""""""",))"),"")</f>
        <v/>
      </c>
      <c r="J567" s="237" t="str">
        <f>IF(ISBLANK(H567),,IFNA(VLOOKUP(H567, Circuits!A:W, 23, FALSE),))</f>
        <v/>
      </c>
      <c r="K567" s="238" t="str">
        <f t="shared" si="2"/>
        <v/>
      </c>
      <c r="L567" s="238" t="str">
        <f t="shared" si="3"/>
        <v/>
      </c>
      <c r="M567" s="238" t="str">
        <f t="shared" si="4"/>
        <v/>
      </c>
      <c r="N567" s="238" t="str">
        <f t="shared" si="5"/>
        <v/>
      </c>
      <c r="O567" s="238" t="str">
        <f t="shared" si="6"/>
        <v/>
      </c>
      <c r="P567" s="237" t="str">
        <f>IFERROR(__xludf.DUMMYFUNCTION("IF(ISBLANK(H567),,IF(IFNA(MATCH(H567,SPLIT(Circuits!$S$2,"";""&amp;CHAR(10)),0),0),FALSE,TRUE))"),"")</f>
        <v/>
      </c>
      <c r="Q567" s="237" t="str">
        <f>IF(ISBLANK(H567),,IFNA(VLOOKUP(H567, Circuits!A:U, 21, FALSE),))</f>
        <v/>
      </c>
      <c r="R567" s="238" t="str">
        <f t="shared" si="7"/>
        <v/>
      </c>
      <c r="S567" s="237" t="str">
        <f>IF(ISBLANK(H567),,IFNA(VLOOKUP(H567, Circuits!A:V, 22, FALSE),))</f>
        <v/>
      </c>
      <c r="T567" s="237" t="str">
        <f>IF(ISBLANK(H567),,IFNA(VLOOKUP(H567, Circuits!A:X, 24, FALSE),))</f>
        <v/>
      </c>
      <c r="V567" s="236" t="str">
        <f>IFERROR(__xludf.DUMMYFUNCTION("IF(ISBLANK(H567),,JOIN("","",H567:T567))"),"")</f>
        <v/>
      </c>
      <c r="W567" s="229" t="str">
        <f t="shared" si="1"/>
        <v/>
      </c>
    </row>
    <row r="568">
      <c r="H568" s="237"/>
      <c r="I568" s="237" t="str">
        <f>IFERROR(__xludf.DUMMYFUNCTION("IF(ISBLANK(H568),,IFNA(""""""""&amp;JOIN("","",INDEX(FILTER(A:D,A:A=H568),0,4))&amp;"""""""",))"),"")</f>
        <v/>
      </c>
      <c r="J568" s="237" t="str">
        <f>IF(ISBLANK(H568),,IFNA(VLOOKUP(H568, Circuits!A:W, 23, FALSE),))</f>
        <v/>
      </c>
      <c r="K568" s="238" t="str">
        <f t="shared" si="2"/>
        <v/>
      </c>
      <c r="L568" s="238" t="str">
        <f t="shared" si="3"/>
        <v/>
      </c>
      <c r="M568" s="238" t="str">
        <f t="shared" si="4"/>
        <v/>
      </c>
      <c r="N568" s="238" t="str">
        <f t="shared" si="5"/>
        <v/>
      </c>
      <c r="O568" s="238" t="str">
        <f t="shared" si="6"/>
        <v/>
      </c>
      <c r="P568" s="237" t="str">
        <f>IFERROR(__xludf.DUMMYFUNCTION("IF(ISBLANK(H568),,IF(IFNA(MATCH(H568,SPLIT(Circuits!$S$2,"";""&amp;CHAR(10)),0),0),FALSE,TRUE))"),"")</f>
        <v/>
      </c>
      <c r="Q568" s="237" t="str">
        <f>IF(ISBLANK(H568),,IFNA(VLOOKUP(H568, Circuits!A:U, 21, FALSE),))</f>
        <v/>
      </c>
      <c r="R568" s="238" t="str">
        <f t="shared" si="7"/>
        <v/>
      </c>
      <c r="S568" s="237" t="str">
        <f>IF(ISBLANK(H568),,IFNA(VLOOKUP(H568, Circuits!A:V, 22, FALSE),))</f>
        <v/>
      </c>
      <c r="T568" s="237" t="str">
        <f>IF(ISBLANK(H568),,IFNA(VLOOKUP(H568, Circuits!A:X, 24, FALSE),))</f>
        <v/>
      </c>
      <c r="V568" s="236" t="str">
        <f>IFERROR(__xludf.DUMMYFUNCTION("IF(ISBLANK(H568),,JOIN("","",H568:T568))"),"")</f>
        <v/>
      </c>
      <c r="W568" s="229" t="str">
        <f t="shared" si="1"/>
        <v/>
      </c>
    </row>
    <row r="569">
      <c r="H569" s="237"/>
      <c r="I569" s="237" t="str">
        <f>IFERROR(__xludf.DUMMYFUNCTION("IF(ISBLANK(H569),,IFNA(""""""""&amp;JOIN("","",INDEX(FILTER(A:D,A:A=H569),0,4))&amp;"""""""",))"),"")</f>
        <v/>
      </c>
      <c r="J569" s="237" t="str">
        <f>IF(ISBLANK(H569),,IFNA(VLOOKUP(H569, Circuits!A:W, 23, FALSE),))</f>
        <v/>
      </c>
      <c r="K569" s="238" t="str">
        <f t="shared" si="2"/>
        <v/>
      </c>
      <c r="L569" s="238" t="str">
        <f t="shared" si="3"/>
        <v/>
      </c>
      <c r="M569" s="238" t="str">
        <f t="shared" si="4"/>
        <v/>
      </c>
      <c r="N569" s="238" t="str">
        <f t="shared" si="5"/>
        <v/>
      </c>
      <c r="O569" s="238" t="str">
        <f t="shared" si="6"/>
        <v/>
      </c>
      <c r="P569" s="237" t="str">
        <f>IFERROR(__xludf.DUMMYFUNCTION("IF(ISBLANK(H569),,IF(IFNA(MATCH(H569,SPLIT(Circuits!$S$2,"";""&amp;CHAR(10)),0),0),FALSE,TRUE))"),"")</f>
        <v/>
      </c>
      <c r="Q569" s="237" t="str">
        <f>IF(ISBLANK(H569),,IFNA(VLOOKUP(H569, Circuits!A:U, 21, FALSE),))</f>
        <v/>
      </c>
      <c r="R569" s="238" t="str">
        <f t="shared" si="7"/>
        <v/>
      </c>
      <c r="S569" s="237" t="str">
        <f>IF(ISBLANK(H569),,IFNA(VLOOKUP(H569, Circuits!A:V, 22, FALSE),))</f>
        <v/>
      </c>
      <c r="T569" s="237" t="str">
        <f>IF(ISBLANK(H569),,IFNA(VLOOKUP(H569, Circuits!A:X, 24, FALSE),))</f>
        <v/>
      </c>
      <c r="V569" s="236" t="str">
        <f>IFERROR(__xludf.DUMMYFUNCTION("IF(ISBLANK(H569),,JOIN("","",H569:T569))"),"")</f>
        <v/>
      </c>
      <c r="W569" s="229" t="str">
        <f t="shared" si="1"/>
        <v/>
      </c>
    </row>
    <row r="570">
      <c r="H570" s="237"/>
      <c r="I570" s="237" t="str">
        <f>IFERROR(__xludf.DUMMYFUNCTION("IF(ISBLANK(H570),,IFNA(""""""""&amp;JOIN("","",INDEX(FILTER(A:D,A:A=H570),0,4))&amp;"""""""",))"),"")</f>
        <v/>
      </c>
      <c r="J570" s="237" t="str">
        <f>IF(ISBLANK(H570),,IFNA(VLOOKUP(H570, Circuits!A:W, 23, FALSE),))</f>
        <v/>
      </c>
      <c r="K570" s="238" t="str">
        <f t="shared" si="2"/>
        <v/>
      </c>
      <c r="L570" s="238" t="str">
        <f t="shared" si="3"/>
        <v/>
      </c>
      <c r="M570" s="238" t="str">
        <f t="shared" si="4"/>
        <v/>
      </c>
      <c r="N570" s="238" t="str">
        <f t="shared" si="5"/>
        <v/>
      </c>
      <c r="O570" s="238" t="str">
        <f t="shared" si="6"/>
        <v/>
      </c>
      <c r="P570" s="237" t="str">
        <f>IFERROR(__xludf.DUMMYFUNCTION("IF(ISBLANK(H570),,IF(IFNA(MATCH(H570,SPLIT(Circuits!$S$2,"";""&amp;CHAR(10)),0),0),FALSE,TRUE))"),"")</f>
        <v/>
      </c>
      <c r="Q570" s="237" t="str">
        <f>IF(ISBLANK(H570),,IFNA(VLOOKUP(H570, Circuits!A:U, 21, FALSE),))</f>
        <v/>
      </c>
      <c r="R570" s="238" t="str">
        <f t="shared" si="7"/>
        <v/>
      </c>
      <c r="S570" s="237" t="str">
        <f>IF(ISBLANK(H570),,IFNA(VLOOKUP(H570, Circuits!A:V, 22, FALSE),))</f>
        <v/>
      </c>
      <c r="T570" s="237" t="str">
        <f>IF(ISBLANK(H570),,IFNA(VLOOKUP(H570, Circuits!A:X, 24, FALSE),))</f>
        <v/>
      </c>
      <c r="V570" s="236" t="str">
        <f>IFERROR(__xludf.DUMMYFUNCTION("IF(ISBLANK(H570),,JOIN("","",H570:T570))"),"")</f>
        <v/>
      </c>
      <c r="W570" s="229" t="str">
        <f t="shared" si="1"/>
        <v/>
      </c>
    </row>
    <row r="571">
      <c r="H571" s="237"/>
      <c r="I571" s="237" t="str">
        <f>IFERROR(__xludf.DUMMYFUNCTION("IF(ISBLANK(H571),,IFNA(""""""""&amp;JOIN("","",INDEX(FILTER(A:D,A:A=H571),0,4))&amp;"""""""",))"),"")</f>
        <v/>
      </c>
      <c r="J571" s="237" t="str">
        <f>IF(ISBLANK(H571),,IFNA(VLOOKUP(H571, Circuits!A:W, 23, FALSE),))</f>
        <v/>
      </c>
      <c r="K571" s="238" t="str">
        <f t="shared" si="2"/>
        <v/>
      </c>
      <c r="L571" s="238" t="str">
        <f t="shared" si="3"/>
        <v/>
      </c>
      <c r="M571" s="238" t="str">
        <f t="shared" si="4"/>
        <v/>
      </c>
      <c r="N571" s="238" t="str">
        <f t="shared" si="5"/>
        <v/>
      </c>
      <c r="O571" s="238" t="str">
        <f t="shared" si="6"/>
        <v/>
      </c>
      <c r="P571" s="237" t="str">
        <f>IFERROR(__xludf.DUMMYFUNCTION("IF(ISBLANK(H571),,IF(IFNA(MATCH(H571,SPLIT(Circuits!$S$2,"";""&amp;CHAR(10)),0),0),FALSE,TRUE))"),"")</f>
        <v/>
      </c>
      <c r="Q571" s="237" t="str">
        <f>IF(ISBLANK(H571),,IFNA(VLOOKUP(H571, Circuits!A:U, 21, FALSE),))</f>
        <v/>
      </c>
      <c r="R571" s="238" t="str">
        <f t="shared" si="7"/>
        <v/>
      </c>
      <c r="S571" s="237" t="str">
        <f>IF(ISBLANK(H571),,IFNA(VLOOKUP(H571, Circuits!A:V, 22, FALSE),))</f>
        <v/>
      </c>
      <c r="T571" s="237" t="str">
        <f>IF(ISBLANK(H571),,IFNA(VLOOKUP(H571, Circuits!A:X, 24, FALSE),))</f>
        <v/>
      </c>
      <c r="V571" s="236" t="str">
        <f>IFERROR(__xludf.DUMMYFUNCTION("IF(ISBLANK(H571),,JOIN("","",H571:T571))"),"")</f>
        <v/>
      </c>
      <c r="W571" s="229" t="str">
        <f t="shared" si="1"/>
        <v/>
      </c>
    </row>
    <row r="572">
      <c r="H572" s="237"/>
      <c r="I572" s="237" t="str">
        <f>IFERROR(__xludf.DUMMYFUNCTION("IF(ISBLANK(H572),,IFNA(""""""""&amp;JOIN("","",INDEX(FILTER(A:D,A:A=H572),0,4))&amp;"""""""",))"),"")</f>
        <v/>
      </c>
      <c r="J572" s="237" t="str">
        <f>IF(ISBLANK(H572),,IFNA(VLOOKUP(H572, Circuits!A:W, 23, FALSE),))</f>
        <v/>
      </c>
      <c r="K572" s="238" t="str">
        <f t="shared" si="2"/>
        <v/>
      </c>
      <c r="L572" s="238" t="str">
        <f t="shared" si="3"/>
        <v/>
      </c>
      <c r="M572" s="238" t="str">
        <f t="shared" si="4"/>
        <v/>
      </c>
      <c r="N572" s="238" t="str">
        <f t="shared" si="5"/>
        <v/>
      </c>
      <c r="O572" s="238" t="str">
        <f t="shared" si="6"/>
        <v/>
      </c>
      <c r="P572" s="237" t="str">
        <f>IFERROR(__xludf.DUMMYFUNCTION("IF(ISBLANK(H572),,IF(IFNA(MATCH(H572,SPLIT(Circuits!$S$2,"";""&amp;CHAR(10)),0),0),FALSE,TRUE))"),"")</f>
        <v/>
      </c>
      <c r="Q572" s="237" t="str">
        <f>IF(ISBLANK(H572),,IFNA(VLOOKUP(H572, Circuits!A:U, 21, FALSE),))</f>
        <v/>
      </c>
      <c r="R572" s="238" t="str">
        <f t="shared" si="7"/>
        <v/>
      </c>
      <c r="S572" s="237" t="str">
        <f>IF(ISBLANK(H572),,IFNA(VLOOKUP(H572, Circuits!A:V, 22, FALSE),))</f>
        <v/>
      </c>
      <c r="T572" s="237" t="str">
        <f>IF(ISBLANK(H572),,IFNA(VLOOKUP(H572, Circuits!A:X, 24, FALSE),))</f>
        <v/>
      </c>
      <c r="V572" s="236" t="str">
        <f>IFERROR(__xludf.DUMMYFUNCTION("IF(ISBLANK(H572),,JOIN("","",H572:T572))"),"")</f>
        <v/>
      </c>
      <c r="W572" s="229" t="str">
        <f t="shared" si="1"/>
        <v/>
      </c>
    </row>
    <row r="573">
      <c r="H573" s="237"/>
      <c r="I573" s="237" t="str">
        <f>IFERROR(__xludf.DUMMYFUNCTION("IF(ISBLANK(H573),,IFNA(""""""""&amp;JOIN("","",INDEX(FILTER(A:D,A:A=H573),0,4))&amp;"""""""",))"),"")</f>
        <v/>
      </c>
      <c r="J573" s="237" t="str">
        <f>IF(ISBLANK(H573),,IFNA(VLOOKUP(H573, Circuits!A:W, 23, FALSE),))</f>
        <v/>
      </c>
      <c r="K573" s="238" t="str">
        <f t="shared" si="2"/>
        <v/>
      </c>
      <c r="L573" s="238" t="str">
        <f t="shared" si="3"/>
        <v/>
      </c>
      <c r="M573" s="238" t="str">
        <f t="shared" si="4"/>
        <v/>
      </c>
      <c r="N573" s="238" t="str">
        <f t="shared" si="5"/>
        <v/>
      </c>
      <c r="O573" s="238" t="str">
        <f t="shared" si="6"/>
        <v/>
      </c>
      <c r="P573" s="237" t="str">
        <f>IFERROR(__xludf.DUMMYFUNCTION("IF(ISBLANK(H573),,IF(IFNA(MATCH(H573,SPLIT(Circuits!$S$2,"";""&amp;CHAR(10)),0),0),FALSE,TRUE))"),"")</f>
        <v/>
      </c>
      <c r="Q573" s="237" t="str">
        <f>IF(ISBLANK(H573),,IFNA(VLOOKUP(H573, Circuits!A:U, 21, FALSE),))</f>
        <v/>
      </c>
      <c r="R573" s="238" t="str">
        <f t="shared" si="7"/>
        <v/>
      </c>
      <c r="S573" s="237" t="str">
        <f>IF(ISBLANK(H573),,IFNA(VLOOKUP(H573, Circuits!A:V, 22, FALSE),))</f>
        <v/>
      </c>
      <c r="T573" s="237" t="str">
        <f>IF(ISBLANK(H573),,IFNA(VLOOKUP(H573, Circuits!A:X, 24, FALSE),))</f>
        <v/>
      </c>
      <c r="V573" s="236" t="str">
        <f>IFERROR(__xludf.DUMMYFUNCTION("IF(ISBLANK(H573),,JOIN("","",H573:T573))"),"")</f>
        <v/>
      </c>
      <c r="W573" s="229" t="str">
        <f t="shared" si="1"/>
        <v/>
      </c>
    </row>
    <row r="574">
      <c r="H574" s="237"/>
      <c r="I574" s="237" t="str">
        <f>IFERROR(__xludf.DUMMYFUNCTION("IF(ISBLANK(H574),,IFNA(""""""""&amp;JOIN("","",INDEX(FILTER(A:D,A:A=H574),0,4))&amp;"""""""",))"),"")</f>
        <v/>
      </c>
      <c r="J574" s="237" t="str">
        <f>IF(ISBLANK(H574),,IFNA(VLOOKUP(H574, Circuits!A:W, 23, FALSE),))</f>
        <v/>
      </c>
      <c r="K574" s="238" t="str">
        <f t="shared" si="2"/>
        <v/>
      </c>
      <c r="L574" s="238" t="str">
        <f t="shared" si="3"/>
        <v/>
      </c>
      <c r="M574" s="238" t="str">
        <f t="shared" si="4"/>
        <v/>
      </c>
      <c r="N574" s="238" t="str">
        <f t="shared" si="5"/>
        <v/>
      </c>
      <c r="O574" s="238" t="str">
        <f t="shared" si="6"/>
        <v/>
      </c>
      <c r="P574" s="237" t="str">
        <f>IFERROR(__xludf.DUMMYFUNCTION("IF(ISBLANK(H574),,IF(IFNA(MATCH(H574,SPLIT(Circuits!$S$2,"";""&amp;CHAR(10)),0),0),FALSE,TRUE))"),"")</f>
        <v/>
      </c>
      <c r="Q574" s="237" t="str">
        <f>IF(ISBLANK(H574),,IFNA(VLOOKUP(H574, Circuits!A:U, 21, FALSE),))</f>
        <v/>
      </c>
      <c r="R574" s="238" t="str">
        <f t="shared" si="7"/>
        <v/>
      </c>
      <c r="S574" s="237" t="str">
        <f>IF(ISBLANK(H574),,IFNA(VLOOKUP(H574, Circuits!A:V, 22, FALSE),))</f>
        <v/>
      </c>
      <c r="T574" s="237" t="str">
        <f>IF(ISBLANK(H574),,IFNA(VLOOKUP(H574, Circuits!A:X, 24, FALSE),))</f>
        <v/>
      </c>
      <c r="V574" s="236" t="str">
        <f>IFERROR(__xludf.DUMMYFUNCTION("IF(ISBLANK(H574),,JOIN("","",H574:T574))"),"")</f>
        <v/>
      </c>
      <c r="W574" s="229" t="str">
        <f t="shared" si="1"/>
        <v/>
      </c>
    </row>
    <row r="575">
      <c r="H575" s="237"/>
      <c r="I575" s="237" t="str">
        <f>IFERROR(__xludf.DUMMYFUNCTION("IF(ISBLANK(H575),,IFNA(""""""""&amp;JOIN("","",INDEX(FILTER(A:D,A:A=H575),0,4))&amp;"""""""",))"),"")</f>
        <v/>
      </c>
      <c r="J575" s="237" t="str">
        <f>IF(ISBLANK(H575),,IFNA(VLOOKUP(H575, Circuits!A:W, 23, FALSE),))</f>
        <v/>
      </c>
      <c r="K575" s="238" t="str">
        <f t="shared" si="2"/>
        <v/>
      </c>
      <c r="L575" s="238" t="str">
        <f t="shared" si="3"/>
        <v/>
      </c>
      <c r="M575" s="238" t="str">
        <f t="shared" si="4"/>
        <v/>
      </c>
      <c r="N575" s="238" t="str">
        <f t="shared" si="5"/>
        <v/>
      </c>
      <c r="O575" s="238" t="str">
        <f t="shared" si="6"/>
        <v/>
      </c>
      <c r="P575" s="237" t="str">
        <f>IFERROR(__xludf.DUMMYFUNCTION("IF(ISBLANK(H575),,IF(IFNA(MATCH(H575,SPLIT(Circuits!$S$2,"";""&amp;CHAR(10)),0),0),FALSE,TRUE))"),"")</f>
        <v/>
      </c>
      <c r="Q575" s="237" t="str">
        <f>IF(ISBLANK(H575),,IFNA(VLOOKUP(H575, Circuits!A:U, 21, FALSE),))</f>
        <v/>
      </c>
      <c r="R575" s="238" t="str">
        <f t="shared" si="7"/>
        <v/>
      </c>
      <c r="S575" s="237" t="str">
        <f>IF(ISBLANK(H575),,IFNA(VLOOKUP(H575, Circuits!A:V, 22, FALSE),))</f>
        <v/>
      </c>
      <c r="T575" s="237" t="str">
        <f>IF(ISBLANK(H575),,IFNA(VLOOKUP(H575, Circuits!A:X, 24, FALSE),))</f>
        <v/>
      </c>
      <c r="V575" s="236" t="str">
        <f>IFERROR(__xludf.DUMMYFUNCTION("IF(ISBLANK(H575),,JOIN("","",H575:T575))"),"")</f>
        <v/>
      </c>
      <c r="W575" s="229" t="str">
        <f t="shared" si="1"/>
        <v/>
      </c>
    </row>
    <row r="576">
      <c r="H576" s="237"/>
      <c r="I576" s="237" t="str">
        <f>IFERROR(__xludf.DUMMYFUNCTION("IF(ISBLANK(H576),,IFNA(""""""""&amp;JOIN("","",INDEX(FILTER(A:D,A:A=H576),0,4))&amp;"""""""",))"),"")</f>
        <v/>
      </c>
      <c r="J576" s="237" t="str">
        <f>IF(ISBLANK(H576),,IFNA(VLOOKUP(H576, Circuits!A:W, 23, FALSE),))</f>
        <v/>
      </c>
      <c r="K576" s="238" t="str">
        <f t="shared" si="2"/>
        <v/>
      </c>
      <c r="L576" s="238" t="str">
        <f t="shared" si="3"/>
        <v/>
      </c>
      <c r="M576" s="238" t="str">
        <f t="shared" si="4"/>
        <v/>
      </c>
      <c r="N576" s="238" t="str">
        <f t="shared" si="5"/>
        <v/>
      </c>
      <c r="O576" s="238" t="str">
        <f t="shared" si="6"/>
        <v/>
      </c>
      <c r="P576" s="237" t="str">
        <f>IFERROR(__xludf.DUMMYFUNCTION("IF(ISBLANK(H576),,IF(IFNA(MATCH(H576,SPLIT(Circuits!$S$2,"";""&amp;CHAR(10)),0),0),FALSE,TRUE))"),"")</f>
        <v/>
      </c>
      <c r="Q576" s="237" t="str">
        <f>IF(ISBLANK(H576),,IFNA(VLOOKUP(H576, Circuits!A:U, 21, FALSE),))</f>
        <v/>
      </c>
      <c r="R576" s="238" t="str">
        <f t="shared" si="7"/>
        <v/>
      </c>
      <c r="S576" s="237" t="str">
        <f>IF(ISBLANK(H576),,IFNA(VLOOKUP(H576, Circuits!A:V, 22, FALSE),))</f>
        <v/>
      </c>
      <c r="T576" s="237" t="str">
        <f>IF(ISBLANK(H576),,IFNA(VLOOKUP(H576, Circuits!A:X, 24, FALSE),))</f>
        <v/>
      </c>
      <c r="V576" s="236" t="str">
        <f>IFERROR(__xludf.DUMMYFUNCTION("IF(ISBLANK(H576),,JOIN("","",H576:T576))"),"")</f>
        <v/>
      </c>
      <c r="W576" s="229" t="str">
        <f t="shared" si="1"/>
        <v/>
      </c>
    </row>
    <row r="577">
      <c r="H577" s="237"/>
      <c r="I577" s="237" t="str">
        <f>IFERROR(__xludf.DUMMYFUNCTION("IF(ISBLANK(H577),,IFNA(""""""""&amp;JOIN("","",INDEX(FILTER(A:D,A:A=H577),0,4))&amp;"""""""",))"),"")</f>
        <v/>
      </c>
      <c r="J577" s="237" t="str">
        <f>IF(ISBLANK(H577),,IFNA(VLOOKUP(H577, Circuits!A:W, 23, FALSE),))</f>
        <v/>
      </c>
      <c r="K577" s="238" t="str">
        <f t="shared" si="2"/>
        <v/>
      </c>
      <c r="L577" s="238" t="str">
        <f t="shared" si="3"/>
        <v/>
      </c>
      <c r="M577" s="238" t="str">
        <f t="shared" si="4"/>
        <v/>
      </c>
      <c r="N577" s="238" t="str">
        <f t="shared" si="5"/>
        <v/>
      </c>
      <c r="O577" s="238" t="str">
        <f t="shared" si="6"/>
        <v/>
      </c>
      <c r="P577" s="237" t="str">
        <f>IFERROR(__xludf.DUMMYFUNCTION("IF(ISBLANK(H577),,IF(IFNA(MATCH(H577,SPLIT(Circuits!$S$2,"";""&amp;CHAR(10)),0),0),FALSE,TRUE))"),"")</f>
        <v/>
      </c>
      <c r="Q577" s="237" t="str">
        <f>IF(ISBLANK(H577),,IFNA(VLOOKUP(H577, Circuits!A:U, 21, FALSE),))</f>
        <v/>
      </c>
      <c r="R577" s="238" t="str">
        <f t="shared" si="7"/>
        <v/>
      </c>
      <c r="S577" s="237" t="str">
        <f>IF(ISBLANK(H577),,IFNA(VLOOKUP(H577, Circuits!A:V, 22, FALSE),))</f>
        <v/>
      </c>
      <c r="T577" s="237" t="str">
        <f>IF(ISBLANK(H577),,IFNA(VLOOKUP(H577, Circuits!A:X, 24, FALSE),))</f>
        <v/>
      </c>
      <c r="V577" s="236" t="str">
        <f>IFERROR(__xludf.DUMMYFUNCTION("IF(ISBLANK(H577),,JOIN("","",H577:T577))"),"")</f>
        <v/>
      </c>
      <c r="W577" s="229" t="str">
        <f t="shared" si="1"/>
        <v/>
      </c>
    </row>
    <row r="578">
      <c r="H578" s="237"/>
      <c r="I578" s="237" t="str">
        <f>IFERROR(__xludf.DUMMYFUNCTION("IF(ISBLANK(H578),,IFNA(""""""""&amp;JOIN("","",INDEX(FILTER(A:D,A:A=H578),0,4))&amp;"""""""",))"),"")</f>
        <v/>
      </c>
      <c r="J578" s="237" t="str">
        <f>IF(ISBLANK(H578),,IFNA(VLOOKUP(H578, Circuits!A:W, 23, FALSE),))</f>
        <v/>
      </c>
      <c r="K578" s="238" t="str">
        <f t="shared" si="2"/>
        <v/>
      </c>
      <c r="L578" s="238" t="str">
        <f t="shared" si="3"/>
        <v/>
      </c>
      <c r="M578" s="238" t="str">
        <f t="shared" si="4"/>
        <v/>
      </c>
      <c r="N578" s="238" t="str">
        <f t="shared" si="5"/>
        <v/>
      </c>
      <c r="O578" s="238" t="str">
        <f t="shared" si="6"/>
        <v/>
      </c>
      <c r="P578" s="237" t="str">
        <f>IFERROR(__xludf.DUMMYFUNCTION("IF(ISBLANK(H578),,IF(IFNA(MATCH(H578,SPLIT(Circuits!$S$2,"";""&amp;CHAR(10)),0),0),FALSE,TRUE))"),"")</f>
        <v/>
      </c>
      <c r="Q578" s="237" t="str">
        <f>IF(ISBLANK(H578),,IFNA(VLOOKUP(H578, Circuits!A:U, 21, FALSE),))</f>
        <v/>
      </c>
      <c r="R578" s="238" t="str">
        <f t="shared" si="7"/>
        <v/>
      </c>
      <c r="S578" s="237" t="str">
        <f>IF(ISBLANK(H578),,IFNA(VLOOKUP(H578, Circuits!A:V, 22, FALSE),))</f>
        <v/>
      </c>
      <c r="T578" s="237" t="str">
        <f>IF(ISBLANK(H578),,IFNA(VLOOKUP(H578, Circuits!A:X, 24, FALSE),))</f>
        <v/>
      </c>
      <c r="V578" s="236" t="str">
        <f>IFERROR(__xludf.DUMMYFUNCTION("IF(ISBLANK(H578),,JOIN("","",H578:T578))"),"")</f>
        <v/>
      </c>
      <c r="W578" s="229" t="str">
        <f t="shared" si="1"/>
        <v/>
      </c>
    </row>
    <row r="579">
      <c r="H579" s="237"/>
      <c r="I579" s="237" t="str">
        <f>IFERROR(__xludf.DUMMYFUNCTION("IF(ISBLANK(H579),,IFNA(""""""""&amp;JOIN("","",INDEX(FILTER(A:D,A:A=H579),0,4))&amp;"""""""",))"),"")</f>
        <v/>
      </c>
      <c r="J579" s="237" t="str">
        <f>IF(ISBLANK(H579),,IFNA(VLOOKUP(H579, Circuits!A:W, 23, FALSE),))</f>
        <v/>
      </c>
      <c r="K579" s="238" t="str">
        <f t="shared" si="2"/>
        <v/>
      </c>
      <c r="L579" s="238" t="str">
        <f t="shared" si="3"/>
        <v/>
      </c>
      <c r="M579" s="238" t="str">
        <f t="shared" si="4"/>
        <v/>
      </c>
      <c r="N579" s="238" t="str">
        <f t="shared" si="5"/>
        <v/>
      </c>
      <c r="O579" s="238" t="str">
        <f t="shared" si="6"/>
        <v/>
      </c>
      <c r="P579" s="237" t="str">
        <f>IFERROR(__xludf.DUMMYFUNCTION("IF(ISBLANK(H579),,IF(IFNA(MATCH(H579,SPLIT(Circuits!$S$2,"";""&amp;CHAR(10)),0),0),FALSE,TRUE))"),"")</f>
        <v/>
      </c>
      <c r="Q579" s="237" t="str">
        <f>IF(ISBLANK(H579),,IFNA(VLOOKUP(H579, Circuits!A:U, 21, FALSE),))</f>
        <v/>
      </c>
      <c r="R579" s="238" t="str">
        <f t="shared" si="7"/>
        <v/>
      </c>
      <c r="S579" s="237" t="str">
        <f>IF(ISBLANK(H579),,IFNA(VLOOKUP(H579, Circuits!A:V, 22, FALSE),))</f>
        <v/>
      </c>
      <c r="T579" s="237" t="str">
        <f>IF(ISBLANK(H579),,IFNA(VLOOKUP(H579, Circuits!A:X, 24, FALSE),))</f>
        <v/>
      </c>
      <c r="V579" s="236" t="str">
        <f>IFERROR(__xludf.DUMMYFUNCTION("IF(ISBLANK(H579),,JOIN("","",H579:T579))"),"")</f>
        <v/>
      </c>
      <c r="W579" s="229" t="str">
        <f t="shared" si="1"/>
        <v/>
      </c>
    </row>
    <row r="580">
      <c r="H580" s="237"/>
      <c r="I580" s="237" t="str">
        <f>IFERROR(__xludf.DUMMYFUNCTION("IF(ISBLANK(H580),,IFNA(""""""""&amp;JOIN("","",INDEX(FILTER(A:D,A:A=H580),0,4))&amp;"""""""",))"),"")</f>
        <v/>
      </c>
      <c r="J580" s="237" t="str">
        <f>IF(ISBLANK(H580),,IFNA(VLOOKUP(H580, Circuits!A:W, 23, FALSE),))</f>
        <v/>
      </c>
      <c r="K580" s="238" t="str">
        <f t="shared" si="2"/>
        <v/>
      </c>
      <c r="L580" s="238" t="str">
        <f t="shared" si="3"/>
        <v/>
      </c>
      <c r="M580" s="238" t="str">
        <f t="shared" si="4"/>
        <v/>
      </c>
      <c r="N580" s="238" t="str">
        <f t="shared" si="5"/>
        <v/>
      </c>
      <c r="O580" s="238" t="str">
        <f t="shared" si="6"/>
        <v/>
      </c>
      <c r="P580" s="237" t="str">
        <f>IFERROR(__xludf.DUMMYFUNCTION("IF(ISBLANK(H580),,IF(IFNA(MATCH(H580,SPLIT(Circuits!$S$2,"";""&amp;CHAR(10)),0),0),FALSE,TRUE))"),"")</f>
        <v/>
      </c>
      <c r="Q580" s="237" t="str">
        <f>IF(ISBLANK(H580),,IFNA(VLOOKUP(H580, Circuits!A:U, 21, FALSE),))</f>
        <v/>
      </c>
      <c r="R580" s="238" t="str">
        <f t="shared" si="7"/>
        <v/>
      </c>
      <c r="S580" s="237" t="str">
        <f>IF(ISBLANK(H580),,IFNA(VLOOKUP(H580, Circuits!A:V, 22, FALSE),))</f>
        <v/>
      </c>
      <c r="T580" s="237" t="str">
        <f>IF(ISBLANK(H580),,IFNA(VLOOKUP(H580, Circuits!A:X, 24, FALSE),))</f>
        <v/>
      </c>
      <c r="V580" s="236" t="str">
        <f>IFERROR(__xludf.DUMMYFUNCTION("IF(ISBLANK(H580),,JOIN("","",H580:T580))"),"")</f>
        <v/>
      </c>
      <c r="W580" s="229" t="str">
        <f t="shared" si="1"/>
        <v/>
      </c>
    </row>
    <row r="581">
      <c r="H581" s="237"/>
      <c r="I581" s="237" t="str">
        <f>IFERROR(__xludf.DUMMYFUNCTION("IF(ISBLANK(H581),,IFNA(""""""""&amp;JOIN("","",INDEX(FILTER(A:D,A:A=H581),0,4))&amp;"""""""",))"),"")</f>
        <v/>
      </c>
      <c r="J581" s="237" t="str">
        <f>IF(ISBLANK(H581),,IFNA(VLOOKUP(H581, Circuits!A:W, 23, FALSE),))</f>
        <v/>
      </c>
      <c r="K581" s="238" t="str">
        <f t="shared" si="2"/>
        <v/>
      </c>
      <c r="L581" s="238" t="str">
        <f t="shared" si="3"/>
        <v/>
      </c>
      <c r="M581" s="238" t="str">
        <f t="shared" si="4"/>
        <v/>
      </c>
      <c r="N581" s="238" t="str">
        <f t="shared" si="5"/>
        <v/>
      </c>
      <c r="O581" s="238" t="str">
        <f t="shared" si="6"/>
        <v/>
      </c>
      <c r="P581" s="237" t="str">
        <f>IFERROR(__xludf.DUMMYFUNCTION("IF(ISBLANK(H581),,IF(IFNA(MATCH(H581,SPLIT(Circuits!$S$2,"";""&amp;CHAR(10)),0),0),FALSE,TRUE))"),"")</f>
        <v/>
      </c>
      <c r="Q581" s="237" t="str">
        <f>IF(ISBLANK(H581),,IFNA(VLOOKUP(H581, Circuits!A:U, 21, FALSE),))</f>
        <v/>
      </c>
      <c r="R581" s="238" t="str">
        <f t="shared" si="7"/>
        <v/>
      </c>
      <c r="S581" s="237" t="str">
        <f>IF(ISBLANK(H581),,IFNA(VLOOKUP(H581, Circuits!A:V, 22, FALSE),))</f>
        <v/>
      </c>
      <c r="T581" s="237" t="str">
        <f>IF(ISBLANK(H581),,IFNA(VLOOKUP(H581, Circuits!A:X, 24, FALSE),))</f>
        <v/>
      </c>
      <c r="V581" s="236" t="str">
        <f>IFERROR(__xludf.DUMMYFUNCTION("IF(ISBLANK(H581),,JOIN("","",H581:T581))"),"")</f>
        <v/>
      </c>
      <c r="W581" s="229" t="str">
        <f t="shared" si="1"/>
        <v/>
      </c>
    </row>
    <row r="582">
      <c r="H582" s="237"/>
      <c r="I582" s="237" t="str">
        <f>IFERROR(__xludf.DUMMYFUNCTION("IF(ISBLANK(H582),,IFNA(""""""""&amp;JOIN("","",INDEX(FILTER(A:D,A:A=H582),0,4))&amp;"""""""",))"),"")</f>
        <v/>
      </c>
      <c r="J582" s="237" t="str">
        <f>IF(ISBLANK(H582),,IFNA(VLOOKUP(H582, Circuits!A:W, 23, FALSE),))</f>
        <v/>
      </c>
      <c r="K582" s="238" t="str">
        <f t="shared" si="2"/>
        <v/>
      </c>
      <c r="L582" s="238" t="str">
        <f t="shared" si="3"/>
        <v/>
      </c>
      <c r="M582" s="238" t="str">
        <f t="shared" si="4"/>
        <v/>
      </c>
      <c r="N582" s="238" t="str">
        <f t="shared" si="5"/>
        <v/>
      </c>
      <c r="O582" s="238" t="str">
        <f t="shared" si="6"/>
        <v/>
      </c>
      <c r="P582" s="237" t="str">
        <f>IFERROR(__xludf.DUMMYFUNCTION("IF(ISBLANK(H582),,IF(IFNA(MATCH(H582,SPLIT(Circuits!$S$2,"";""&amp;CHAR(10)),0),0),FALSE,TRUE))"),"")</f>
        <v/>
      </c>
      <c r="Q582" s="237" t="str">
        <f>IF(ISBLANK(H582),,IFNA(VLOOKUP(H582, Circuits!A:U, 21, FALSE),))</f>
        <v/>
      </c>
      <c r="R582" s="238" t="str">
        <f t="shared" si="7"/>
        <v/>
      </c>
      <c r="S582" s="237" t="str">
        <f>IF(ISBLANK(H582),,IFNA(VLOOKUP(H582, Circuits!A:V, 22, FALSE),))</f>
        <v/>
      </c>
      <c r="T582" s="237" t="str">
        <f>IF(ISBLANK(H582),,IFNA(VLOOKUP(H582, Circuits!A:X, 24, FALSE),))</f>
        <v/>
      </c>
      <c r="V582" s="236" t="str">
        <f>IFERROR(__xludf.DUMMYFUNCTION("IF(ISBLANK(H582),,JOIN("","",H582:T582))"),"")</f>
        <v/>
      </c>
      <c r="W582" s="229" t="str">
        <f t="shared" si="1"/>
        <v/>
      </c>
    </row>
    <row r="583">
      <c r="H583" s="237"/>
      <c r="I583" s="237" t="str">
        <f>IFERROR(__xludf.DUMMYFUNCTION("IF(ISBLANK(H583),,IFNA(""""""""&amp;JOIN("","",INDEX(FILTER(A:D,A:A=H583),0,4))&amp;"""""""",))"),"")</f>
        <v/>
      </c>
      <c r="J583" s="237" t="str">
        <f>IF(ISBLANK(H583),,IFNA(VLOOKUP(H583, Circuits!A:W, 23, FALSE),))</f>
        <v/>
      </c>
      <c r="K583" s="238" t="str">
        <f t="shared" si="2"/>
        <v/>
      </c>
      <c r="L583" s="238" t="str">
        <f t="shared" si="3"/>
        <v/>
      </c>
      <c r="M583" s="238" t="str">
        <f t="shared" si="4"/>
        <v/>
      </c>
      <c r="N583" s="238" t="str">
        <f t="shared" si="5"/>
        <v/>
      </c>
      <c r="O583" s="238" t="str">
        <f t="shared" si="6"/>
        <v/>
      </c>
      <c r="P583" s="237" t="str">
        <f>IFERROR(__xludf.DUMMYFUNCTION("IF(ISBLANK(H583),,IF(IFNA(MATCH(H583,SPLIT(Circuits!$S$2,"";""&amp;CHAR(10)),0),0),FALSE,TRUE))"),"")</f>
        <v/>
      </c>
      <c r="Q583" s="237" t="str">
        <f>IF(ISBLANK(H583),,IFNA(VLOOKUP(H583, Circuits!A:U, 21, FALSE),))</f>
        <v/>
      </c>
      <c r="R583" s="238" t="str">
        <f t="shared" si="7"/>
        <v/>
      </c>
      <c r="S583" s="237" t="str">
        <f>IF(ISBLANK(H583),,IFNA(VLOOKUP(H583, Circuits!A:V, 22, FALSE),))</f>
        <v/>
      </c>
      <c r="T583" s="237" t="str">
        <f>IF(ISBLANK(H583),,IFNA(VLOOKUP(H583, Circuits!A:X, 24, FALSE),))</f>
        <v/>
      </c>
      <c r="V583" s="236" t="str">
        <f>IFERROR(__xludf.DUMMYFUNCTION("IF(ISBLANK(H583),,JOIN("","",H583:T583))"),"")</f>
        <v/>
      </c>
      <c r="W583" s="229" t="str">
        <f t="shared" si="1"/>
        <v/>
      </c>
    </row>
    <row r="584">
      <c r="H584" s="237"/>
      <c r="I584" s="237" t="str">
        <f>IFERROR(__xludf.DUMMYFUNCTION("IF(ISBLANK(H584),,IFNA(""""""""&amp;JOIN("","",INDEX(FILTER(A:D,A:A=H584),0,4))&amp;"""""""",))"),"")</f>
        <v/>
      </c>
      <c r="J584" s="237" t="str">
        <f>IF(ISBLANK(H584),,IFNA(VLOOKUP(H584, Circuits!A:W, 23, FALSE),))</f>
        <v/>
      </c>
      <c r="K584" s="238" t="str">
        <f t="shared" si="2"/>
        <v/>
      </c>
      <c r="L584" s="238" t="str">
        <f t="shared" si="3"/>
        <v/>
      </c>
      <c r="M584" s="238" t="str">
        <f t="shared" si="4"/>
        <v/>
      </c>
      <c r="N584" s="238" t="str">
        <f t="shared" si="5"/>
        <v/>
      </c>
      <c r="O584" s="238" t="str">
        <f t="shared" si="6"/>
        <v/>
      </c>
      <c r="P584" s="237" t="str">
        <f>IFERROR(__xludf.DUMMYFUNCTION("IF(ISBLANK(H584),,IF(IFNA(MATCH(H584,SPLIT(Circuits!$S$2,"";""&amp;CHAR(10)),0),0),FALSE,TRUE))"),"")</f>
        <v/>
      </c>
      <c r="Q584" s="237" t="str">
        <f>IF(ISBLANK(H584),,IFNA(VLOOKUP(H584, Circuits!A:U, 21, FALSE),))</f>
        <v/>
      </c>
      <c r="R584" s="238" t="str">
        <f t="shared" si="7"/>
        <v/>
      </c>
      <c r="S584" s="237" t="str">
        <f>IF(ISBLANK(H584),,IFNA(VLOOKUP(H584, Circuits!A:V, 22, FALSE),))</f>
        <v/>
      </c>
      <c r="T584" s="237" t="str">
        <f>IF(ISBLANK(H584),,IFNA(VLOOKUP(H584, Circuits!A:X, 24, FALSE),))</f>
        <v/>
      </c>
      <c r="V584" s="236" t="str">
        <f>IFERROR(__xludf.DUMMYFUNCTION("IF(ISBLANK(H584),,JOIN("","",H584:T584))"),"")</f>
        <v/>
      </c>
      <c r="W584" s="229" t="str">
        <f t="shared" si="1"/>
        <v/>
      </c>
    </row>
    <row r="585">
      <c r="H585" s="237"/>
      <c r="I585" s="237" t="str">
        <f>IFERROR(__xludf.DUMMYFUNCTION("IF(ISBLANK(H585),,IFNA(""""""""&amp;JOIN("","",INDEX(FILTER(A:D,A:A=H585),0,4))&amp;"""""""",))"),"")</f>
        <v/>
      </c>
      <c r="J585" s="237" t="str">
        <f>IF(ISBLANK(H585),,IFNA(VLOOKUP(H585, Circuits!A:W, 23, FALSE),))</f>
        <v/>
      </c>
      <c r="K585" s="238" t="str">
        <f t="shared" si="2"/>
        <v/>
      </c>
      <c r="L585" s="238" t="str">
        <f t="shared" si="3"/>
        <v/>
      </c>
      <c r="M585" s="238" t="str">
        <f t="shared" si="4"/>
        <v/>
      </c>
      <c r="N585" s="238" t="str">
        <f t="shared" si="5"/>
        <v/>
      </c>
      <c r="O585" s="238" t="str">
        <f t="shared" si="6"/>
        <v/>
      </c>
      <c r="P585" s="237" t="str">
        <f>IFERROR(__xludf.DUMMYFUNCTION("IF(ISBLANK(H585),,IF(IFNA(MATCH(H585,SPLIT(Circuits!$S$2,"";""&amp;CHAR(10)),0),0),FALSE,TRUE))"),"")</f>
        <v/>
      </c>
      <c r="Q585" s="237" t="str">
        <f>IF(ISBLANK(H585),,IFNA(VLOOKUP(H585, Circuits!A:U, 21, FALSE),))</f>
        <v/>
      </c>
      <c r="R585" s="238" t="str">
        <f t="shared" si="7"/>
        <v/>
      </c>
      <c r="S585" s="237" t="str">
        <f>IF(ISBLANK(H585),,IFNA(VLOOKUP(H585, Circuits!A:V, 22, FALSE),))</f>
        <v/>
      </c>
      <c r="T585" s="237" t="str">
        <f>IF(ISBLANK(H585),,IFNA(VLOOKUP(H585, Circuits!A:X, 24, FALSE),))</f>
        <v/>
      </c>
      <c r="V585" s="236" t="str">
        <f>IFERROR(__xludf.DUMMYFUNCTION("IF(ISBLANK(H585),,JOIN("","",H585:T585))"),"")</f>
        <v/>
      </c>
      <c r="W585" s="229" t="str">
        <f t="shared" si="1"/>
        <v/>
      </c>
    </row>
    <row r="586">
      <c r="H586" s="237"/>
      <c r="I586" s="237" t="str">
        <f>IFERROR(__xludf.DUMMYFUNCTION("IF(ISBLANK(H586),,IFNA(""""""""&amp;JOIN("","",INDEX(FILTER(A:D,A:A=H586),0,4))&amp;"""""""",))"),"")</f>
        <v/>
      </c>
      <c r="J586" s="237" t="str">
        <f>IF(ISBLANK(H586),,IFNA(VLOOKUP(H586, Circuits!A:W, 23, FALSE),))</f>
        <v/>
      </c>
      <c r="K586" s="238" t="str">
        <f t="shared" si="2"/>
        <v/>
      </c>
      <c r="L586" s="238" t="str">
        <f t="shared" si="3"/>
        <v/>
      </c>
      <c r="M586" s="238" t="str">
        <f t="shared" si="4"/>
        <v/>
      </c>
      <c r="N586" s="238" t="str">
        <f t="shared" si="5"/>
        <v/>
      </c>
      <c r="O586" s="238" t="str">
        <f t="shared" si="6"/>
        <v/>
      </c>
      <c r="P586" s="237" t="str">
        <f>IFERROR(__xludf.DUMMYFUNCTION("IF(ISBLANK(H586),,IF(IFNA(MATCH(H586,SPLIT(Circuits!$S$2,"";""&amp;CHAR(10)),0),0),FALSE,TRUE))"),"")</f>
        <v/>
      </c>
      <c r="Q586" s="237" t="str">
        <f>IF(ISBLANK(H586),,IFNA(VLOOKUP(H586, Circuits!A:U, 21, FALSE),))</f>
        <v/>
      </c>
      <c r="R586" s="238" t="str">
        <f t="shared" si="7"/>
        <v/>
      </c>
      <c r="S586" s="237" t="str">
        <f>IF(ISBLANK(H586),,IFNA(VLOOKUP(H586, Circuits!A:V, 22, FALSE),))</f>
        <v/>
      </c>
      <c r="T586" s="237" t="str">
        <f>IF(ISBLANK(H586),,IFNA(VLOOKUP(H586, Circuits!A:X, 24, FALSE),))</f>
        <v/>
      </c>
      <c r="V586" s="236" t="str">
        <f>IFERROR(__xludf.DUMMYFUNCTION("IF(ISBLANK(H586),,JOIN("","",H586:T586))"),"")</f>
        <v/>
      </c>
      <c r="W586" s="229" t="str">
        <f t="shared" si="1"/>
        <v/>
      </c>
    </row>
    <row r="587">
      <c r="H587" s="237"/>
      <c r="I587" s="237" t="str">
        <f>IFERROR(__xludf.DUMMYFUNCTION("IF(ISBLANK(H587),,IFNA(""""""""&amp;JOIN("","",INDEX(FILTER(A:D,A:A=H587),0,4))&amp;"""""""",))"),"")</f>
        <v/>
      </c>
      <c r="J587" s="237" t="str">
        <f>IF(ISBLANK(H587),,IFNA(VLOOKUP(H587, Circuits!A:W, 23, FALSE),))</f>
        <v/>
      </c>
      <c r="K587" s="238" t="str">
        <f t="shared" si="2"/>
        <v/>
      </c>
      <c r="L587" s="238" t="str">
        <f t="shared" si="3"/>
        <v/>
      </c>
      <c r="M587" s="238" t="str">
        <f t="shared" si="4"/>
        <v/>
      </c>
      <c r="N587" s="238" t="str">
        <f t="shared" si="5"/>
        <v/>
      </c>
      <c r="O587" s="238" t="str">
        <f t="shared" si="6"/>
        <v/>
      </c>
      <c r="P587" s="237" t="str">
        <f>IFERROR(__xludf.DUMMYFUNCTION("IF(ISBLANK(H587),,IF(IFNA(MATCH(H587,SPLIT(Circuits!$S$2,"";""&amp;CHAR(10)),0),0),FALSE,TRUE))"),"")</f>
        <v/>
      </c>
      <c r="Q587" s="237" t="str">
        <f>IF(ISBLANK(H587),,IFNA(VLOOKUP(H587, Circuits!A:U, 21, FALSE),))</f>
        <v/>
      </c>
      <c r="R587" s="238" t="str">
        <f t="shared" si="7"/>
        <v/>
      </c>
      <c r="S587" s="237" t="str">
        <f>IF(ISBLANK(H587),,IFNA(VLOOKUP(H587, Circuits!A:V, 22, FALSE),))</f>
        <v/>
      </c>
      <c r="T587" s="237" t="str">
        <f>IF(ISBLANK(H587),,IFNA(VLOOKUP(H587, Circuits!A:X, 24, FALSE),))</f>
        <v/>
      </c>
      <c r="V587" s="236" t="str">
        <f>IFERROR(__xludf.DUMMYFUNCTION("IF(ISBLANK(H587),,JOIN("","",H587:T587))"),"")</f>
        <v/>
      </c>
      <c r="W587" s="229" t="str">
        <f t="shared" si="1"/>
        <v/>
      </c>
    </row>
    <row r="588">
      <c r="H588" s="237"/>
      <c r="I588" s="237" t="str">
        <f>IFERROR(__xludf.DUMMYFUNCTION("IF(ISBLANK(H588),,IFNA(""""""""&amp;JOIN("","",INDEX(FILTER(A:D,A:A=H588),0,4))&amp;"""""""",))"),"")</f>
        <v/>
      </c>
      <c r="J588" s="237" t="str">
        <f>IF(ISBLANK(H588),,IFNA(VLOOKUP(H588, Circuits!A:W, 23, FALSE),))</f>
        <v/>
      </c>
      <c r="K588" s="238" t="str">
        <f t="shared" si="2"/>
        <v/>
      </c>
      <c r="L588" s="238" t="str">
        <f t="shared" si="3"/>
        <v/>
      </c>
      <c r="M588" s="238" t="str">
        <f t="shared" si="4"/>
        <v/>
      </c>
      <c r="N588" s="238" t="str">
        <f t="shared" si="5"/>
        <v/>
      </c>
      <c r="O588" s="238" t="str">
        <f t="shared" si="6"/>
        <v/>
      </c>
      <c r="P588" s="237" t="str">
        <f>IFERROR(__xludf.DUMMYFUNCTION("IF(ISBLANK(H588),,IF(IFNA(MATCH(H588,SPLIT(Circuits!$S$2,"";""&amp;CHAR(10)),0),0),FALSE,TRUE))"),"")</f>
        <v/>
      </c>
      <c r="Q588" s="237" t="str">
        <f>IF(ISBLANK(H588),,IFNA(VLOOKUP(H588, Circuits!A:U, 21, FALSE),))</f>
        <v/>
      </c>
      <c r="R588" s="238" t="str">
        <f t="shared" si="7"/>
        <v/>
      </c>
      <c r="S588" s="237" t="str">
        <f>IF(ISBLANK(H588),,IFNA(VLOOKUP(H588, Circuits!A:V, 22, FALSE),))</f>
        <v/>
      </c>
      <c r="T588" s="237" t="str">
        <f>IF(ISBLANK(H588),,IFNA(VLOOKUP(H588, Circuits!A:X, 24, FALSE),))</f>
        <v/>
      </c>
      <c r="V588" s="236" t="str">
        <f>IFERROR(__xludf.DUMMYFUNCTION("IF(ISBLANK(H588),,JOIN("","",H588:T588))"),"")</f>
        <v/>
      </c>
      <c r="W588" s="229" t="str">
        <f t="shared" si="1"/>
        <v/>
      </c>
    </row>
    <row r="589">
      <c r="H589" s="237"/>
      <c r="I589" s="237" t="str">
        <f>IFERROR(__xludf.DUMMYFUNCTION("IF(ISBLANK(H589),,IFNA(""""""""&amp;JOIN("","",INDEX(FILTER(A:D,A:A=H589),0,4))&amp;"""""""",))"),"")</f>
        <v/>
      </c>
      <c r="J589" s="237" t="str">
        <f>IF(ISBLANK(H589),,IFNA(VLOOKUP(H589, Circuits!A:W, 23, FALSE),))</f>
        <v/>
      </c>
      <c r="K589" s="238" t="str">
        <f t="shared" si="2"/>
        <v/>
      </c>
      <c r="L589" s="238" t="str">
        <f t="shared" si="3"/>
        <v/>
      </c>
      <c r="M589" s="238" t="str">
        <f t="shared" si="4"/>
        <v/>
      </c>
      <c r="N589" s="238" t="str">
        <f t="shared" si="5"/>
        <v/>
      </c>
      <c r="O589" s="238" t="str">
        <f t="shared" si="6"/>
        <v/>
      </c>
      <c r="P589" s="237" t="str">
        <f>IFERROR(__xludf.DUMMYFUNCTION("IF(ISBLANK(H589),,IF(IFNA(MATCH(H589,SPLIT(Circuits!$S$2,"";""&amp;CHAR(10)),0),0),FALSE,TRUE))"),"")</f>
        <v/>
      </c>
      <c r="Q589" s="237" t="str">
        <f>IF(ISBLANK(H589),,IFNA(VLOOKUP(H589, Circuits!A:U, 21, FALSE),))</f>
        <v/>
      </c>
      <c r="R589" s="238" t="str">
        <f t="shared" si="7"/>
        <v/>
      </c>
      <c r="S589" s="237" t="str">
        <f>IF(ISBLANK(H589),,IFNA(VLOOKUP(H589, Circuits!A:V, 22, FALSE),))</f>
        <v/>
      </c>
      <c r="T589" s="237" t="str">
        <f>IF(ISBLANK(H589),,IFNA(VLOOKUP(H589, Circuits!A:X, 24, FALSE),))</f>
        <v/>
      </c>
      <c r="V589" s="236" t="str">
        <f>IFERROR(__xludf.DUMMYFUNCTION("IF(ISBLANK(H589),,JOIN("","",H589:T589))"),"")</f>
        <v/>
      </c>
      <c r="W589" s="229" t="str">
        <f t="shared" si="1"/>
        <v/>
      </c>
    </row>
    <row r="590">
      <c r="H590" s="237"/>
      <c r="I590" s="237" t="str">
        <f>IFERROR(__xludf.DUMMYFUNCTION("IF(ISBLANK(H590),,IFNA(""""""""&amp;JOIN("","",INDEX(FILTER(A:D,A:A=H590),0,4))&amp;"""""""",))"),"")</f>
        <v/>
      </c>
      <c r="J590" s="237" t="str">
        <f>IF(ISBLANK(H590),,IFNA(VLOOKUP(H590, Circuits!A:W, 23, FALSE),))</f>
        <v/>
      </c>
      <c r="K590" s="238" t="str">
        <f t="shared" si="2"/>
        <v/>
      </c>
      <c r="L590" s="238" t="str">
        <f t="shared" si="3"/>
        <v/>
      </c>
      <c r="M590" s="238" t="str">
        <f t="shared" si="4"/>
        <v/>
      </c>
      <c r="N590" s="238" t="str">
        <f t="shared" si="5"/>
        <v/>
      </c>
      <c r="O590" s="238" t="str">
        <f t="shared" si="6"/>
        <v/>
      </c>
      <c r="P590" s="237" t="str">
        <f>IFERROR(__xludf.DUMMYFUNCTION("IF(ISBLANK(H590),,IF(IFNA(MATCH(H590,SPLIT(Circuits!$S$2,"";""&amp;CHAR(10)),0),0),FALSE,TRUE))"),"")</f>
        <v/>
      </c>
      <c r="Q590" s="237" t="str">
        <f>IF(ISBLANK(H590),,IFNA(VLOOKUP(H590, Circuits!A:U, 21, FALSE),))</f>
        <v/>
      </c>
      <c r="R590" s="238" t="str">
        <f t="shared" si="7"/>
        <v/>
      </c>
      <c r="S590" s="237" t="str">
        <f>IF(ISBLANK(H590),,IFNA(VLOOKUP(H590, Circuits!A:V, 22, FALSE),))</f>
        <v/>
      </c>
      <c r="T590" s="237" t="str">
        <f>IF(ISBLANK(H590),,IFNA(VLOOKUP(H590, Circuits!A:X, 24, FALSE),))</f>
        <v/>
      </c>
      <c r="V590" s="236" t="str">
        <f>IFERROR(__xludf.DUMMYFUNCTION("IF(ISBLANK(H590),,JOIN("","",H590:T590))"),"")</f>
        <v/>
      </c>
      <c r="W590" s="229" t="str">
        <f t="shared" si="1"/>
        <v/>
      </c>
    </row>
    <row r="591">
      <c r="H591" s="237"/>
      <c r="I591" s="237" t="str">
        <f>IFERROR(__xludf.DUMMYFUNCTION("IF(ISBLANK(H591),,IFNA(""""""""&amp;JOIN("","",INDEX(FILTER(A:D,A:A=H591),0,4))&amp;"""""""",))"),"")</f>
        <v/>
      </c>
      <c r="J591" s="237" t="str">
        <f>IF(ISBLANK(H591),,IFNA(VLOOKUP(H591, Circuits!A:W, 23, FALSE),))</f>
        <v/>
      </c>
      <c r="K591" s="238" t="str">
        <f t="shared" si="2"/>
        <v/>
      </c>
      <c r="L591" s="238" t="str">
        <f t="shared" si="3"/>
        <v/>
      </c>
      <c r="M591" s="238" t="str">
        <f t="shared" si="4"/>
        <v/>
      </c>
      <c r="N591" s="238" t="str">
        <f t="shared" si="5"/>
        <v/>
      </c>
      <c r="O591" s="238" t="str">
        <f t="shared" si="6"/>
        <v/>
      </c>
      <c r="P591" s="237" t="str">
        <f>IFERROR(__xludf.DUMMYFUNCTION("IF(ISBLANK(H591),,IF(IFNA(MATCH(H591,SPLIT(Circuits!$S$2,"";""&amp;CHAR(10)),0),0),FALSE,TRUE))"),"")</f>
        <v/>
      </c>
      <c r="Q591" s="237" t="str">
        <f>IF(ISBLANK(H591),,IFNA(VLOOKUP(H591, Circuits!A:U, 21, FALSE),))</f>
        <v/>
      </c>
      <c r="R591" s="238" t="str">
        <f t="shared" si="7"/>
        <v/>
      </c>
      <c r="S591" s="237" t="str">
        <f>IF(ISBLANK(H591),,IFNA(VLOOKUP(H591, Circuits!A:V, 22, FALSE),))</f>
        <v/>
      </c>
      <c r="T591" s="237" t="str">
        <f>IF(ISBLANK(H591),,IFNA(VLOOKUP(H591, Circuits!A:X, 24, FALSE),))</f>
        <v/>
      </c>
      <c r="V591" s="236" t="str">
        <f>IFERROR(__xludf.DUMMYFUNCTION("IF(ISBLANK(H591),,JOIN("","",H591:T591))"),"")</f>
        <v/>
      </c>
      <c r="W591" s="229" t="str">
        <f t="shared" si="1"/>
        <v/>
      </c>
    </row>
    <row r="592">
      <c r="H592" s="237"/>
      <c r="I592" s="237" t="str">
        <f>IFERROR(__xludf.DUMMYFUNCTION("IF(ISBLANK(H592),,IFNA(""""""""&amp;JOIN("","",INDEX(FILTER(A:D,A:A=H592),0,4))&amp;"""""""",))"),"")</f>
        <v/>
      </c>
      <c r="J592" s="237" t="str">
        <f>IF(ISBLANK(H592),,IFNA(VLOOKUP(H592, Circuits!A:W, 23, FALSE),))</f>
        <v/>
      </c>
      <c r="K592" s="238" t="str">
        <f t="shared" si="2"/>
        <v/>
      </c>
      <c r="L592" s="238" t="str">
        <f t="shared" si="3"/>
        <v/>
      </c>
      <c r="M592" s="238" t="str">
        <f t="shared" si="4"/>
        <v/>
      </c>
      <c r="N592" s="238" t="str">
        <f t="shared" si="5"/>
        <v/>
      </c>
      <c r="O592" s="238" t="str">
        <f t="shared" si="6"/>
        <v/>
      </c>
      <c r="P592" s="237" t="str">
        <f>IFERROR(__xludf.DUMMYFUNCTION("IF(ISBLANK(H592),,IF(IFNA(MATCH(H592,SPLIT(Circuits!$S$2,"";""&amp;CHAR(10)),0),0),FALSE,TRUE))"),"")</f>
        <v/>
      </c>
      <c r="Q592" s="237" t="str">
        <f>IF(ISBLANK(H592),,IFNA(VLOOKUP(H592, Circuits!A:U, 21, FALSE),))</f>
        <v/>
      </c>
      <c r="R592" s="238" t="str">
        <f t="shared" si="7"/>
        <v/>
      </c>
      <c r="S592" s="237" t="str">
        <f>IF(ISBLANK(H592),,IFNA(VLOOKUP(H592, Circuits!A:V, 22, FALSE),))</f>
        <v/>
      </c>
      <c r="T592" s="237" t="str">
        <f>IF(ISBLANK(H592),,IFNA(VLOOKUP(H592, Circuits!A:X, 24, FALSE),))</f>
        <v/>
      </c>
      <c r="V592" s="236" t="str">
        <f>IFERROR(__xludf.DUMMYFUNCTION("IF(ISBLANK(H592),,JOIN("","",H592:T592))"),"")</f>
        <v/>
      </c>
      <c r="W592" s="229" t="str">
        <f t="shared" si="1"/>
        <v/>
      </c>
    </row>
    <row r="593">
      <c r="H593" s="237"/>
      <c r="I593" s="237" t="str">
        <f>IFERROR(__xludf.DUMMYFUNCTION("IF(ISBLANK(H593),,IFNA(""""""""&amp;JOIN("","",INDEX(FILTER(A:D,A:A=H593),0,4))&amp;"""""""",))"),"")</f>
        <v/>
      </c>
      <c r="J593" s="237" t="str">
        <f>IF(ISBLANK(H593),,IFNA(VLOOKUP(H593, Circuits!A:W, 23, FALSE),))</f>
        <v/>
      </c>
      <c r="K593" s="238" t="str">
        <f t="shared" si="2"/>
        <v/>
      </c>
      <c r="L593" s="238" t="str">
        <f t="shared" si="3"/>
        <v/>
      </c>
      <c r="M593" s="238" t="str">
        <f t="shared" si="4"/>
        <v/>
      </c>
      <c r="N593" s="238" t="str">
        <f t="shared" si="5"/>
        <v/>
      </c>
      <c r="O593" s="238" t="str">
        <f t="shared" si="6"/>
        <v/>
      </c>
      <c r="P593" s="237" t="str">
        <f>IFERROR(__xludf.DUMMYFUNCTION("IF(ISBLANK(H593),,IF(IFNA(MATCH(H593,SPLIT(Circuits!$S$2,"";""&amp;CHAR(10)),0),0),FALSE,TRUE))"),"")</f>
        <v/>
      </c>
      <c r="Q593" s="237" t="str">
        <f>IF(ISBLANK(H593),,IFNA(VLOOKUP(H593, Circuits!A:U, 21, FALSE),))</f>
        <v/>
      </c>
      <c r="R593" s="238" t="str">
        <f t="shared" si="7"/>
        <v/>
      </c>
      <c r="S593" s="237" t="str">
        <f>IF(ISBLANK(H593),,IFNA(VLOOKUP(H593, Circuits!A:V, 22, FALSE),))</f>
        <v/>
      </c>
      <c r="T593" s="237" t="str">
        <f>IF(ISBLANK(H593),,IFNA(VLOOKUP(H593, Circuits!A:X, 24, FALSE),))</f>
        <v/>
      </c>
      <c r="V593" s="236" t="str">
        <f>IFERROR(__xludf.DUMMYFUNCTION("IF(ISBLANK(H593),,JOIN("","",H593:T593))"),"")</f>
        <v/>
      </c>
      <c r="W593" s="229" t="str">
        <f t="shared" si="1"/>
        <v/>
      </c>
    </row>
    <row r="594">
      <c r="H594" s="237"/>
      <c r="I594" s="237" t="str">
        <f>IFERROR(__xludf.DUMMYFUNCTION("IF(ISBLANK(H594),,IFNA(""""""""&amp;JOIN("","",INDEX(FILTER(A:D,A:A=H594),0,4))&amp;"""""""",))"),"")</f>
        <v/>
      </c>
      <c r="J594" s="237" t="str">
        <f>IF(ISBLANK(H594),,IFNA(VLOOKUP(H594, Circuits!A:W, 23, FALSE),))</f>
        <v/>
      </c>
      <c r="K594" s="238" t="str">
        <f t="shared" si="2"/>
        <v/>
      </c>
      <c r="L594" s="238" t="str">
        <f t="shared" si="3"/>
        <v/>
      </c>
      <c r="M594" s="238" t="str">
        <f t="shared" si="4"/>
        <v/>
      </c>
      <c r="N594" s="238" t="str">
        <f t="shared" si="5"/>
        <v/>
      </c>
      <c r="O594" s="238" t="str">
        <f t="shared" si="6"/>
        <v/>
      </c>
      <c r="P594" s="237" t="str">
        <f>IFERROR(__xludf.DUMMYFUNCTION("IF(ISBLANK(H594),,IF(IFNA(MATCH(H594,SPLIT(Circuits!$S$2,"";""&amp;CHAR(10)),0),0),FALSE,TRUE))"),"")</f>
        <v/>
      </c>
      <c r="Q594" s="237" t="str">
        <f>IF(ISBLANK(H594),,IFNA(VLOOKUP(H594, Circuits!A:U, 21, FALSE),))</f>
        <v/>
      </c>
      <c r="R594" s="238" t="str">
        <f t="shared" si="7"/>
        <v/>
      </c>
      <c r="S594" s="237" t="str">
        <f>IF(ISBLANK(H594),,IFNA(VLOOKUP(H594, Circuits!A:V, 22, FALSE),))</f>
        <v/>
      </c>
      <c r="T594" s="237" t="str">
        <f>IF(ISBLANK(H594),,IFNA(VLOOKUP(H594, Circuits!A:X, 24, FALSE),))</f>
        <v/>
      </c>
      <c r="V594" s="236" t="str">
        <f>IFERROR(__xludf.DUMMYFUNCTION("IF(ISBLANK(H594),,JOIN("","",H594:T594))"),"")</f>
        <v/>
      </c>
      <c r="W594" s="229" t="str">
        <f t="shared" si="1"/>
        <v/>
      </c>
    </row>
    <row r="595">
      <c r="H595" s="237"/>
      <c r="I595" s="237" t="str">
        <f>IFERROR(__xludf.DUMMYFUNCTION("IF(ISBLANK(H595),,IFNA(""""""""&amp;JOIN("","",INDEX(FILTER(A:D,A:A=H595),0,4))&amp;"""""""",))"),"")</f>
        <v/>
      </c>
      <c r="J595" s="237" t="str">
        <f>IF(ISBLANK(H595),,IFNA(VLOOKUP(H595, Circuits!A:W, 23, FALSE),))</f>
        <v/>
      </c>
      <c r="K595" s="238" t="str">
        <f t="shared" si="2"/>
        <v/>
      </c>
      <c r="L595" s="238" t="str">
        <f t="shared" si="3"/>
        <v/>
      </c>
      <c r="M595" s="238" t="str">
        <f t="shared" si="4"/>
        <v/>
      </c>
      <c r="N595" s="238" t="str">
        <f t="shared" si="5"/>
        <v/>
      </c>
      <c r="O595" s="238" t="str">
        <f t="shared" si="6"/>
        <v/>
      </c>
      <c r="P595" s="237" t="str">
        <f>IFERROR(__xludf.DUMMYFUNCTION("IF(ISBLANK(H595),,IF(IFNA(MATCH(H595,SPLIT(Circuits!$S$2,"";""&amp;CHAR(10)),0),0),FALSE,TRUE))"),"")</f>
        <v/>
      </c>
      <c r="Q595" s="237" t="str">
        <f>IF(ISBLANK(H595),,IFNA(VLOOKUP(H595, Circuits!A:U, 21, FALSE),))</f>
        <v/>
      </c>
      <c r="R595" s="238" t="str">
        <f t="shared" si="7"/>
        <v/>
      </c>
      <c r="S595" s="237" t="str">
        <f>IF(ISBLANK(H595),,IFNA(VLOOKUP(H595, Circuits!A:V, 22, FALSE),))</f>
        <v/>
      </c>
      <c r="T595" s="237" t="str">
        <f>IF(ISBLANK(H595),,IFNA(VLOOKUP(H595, Circuits!A:X, 24, FALSE),))</f>
        <v/>
      </c>
      <c r="V595" s="236" t="str">
        <f>IFERROR(__xludf.DUMMYFUNCTION("IF(ISBLANK(H595),,JOIN("","",H595:T595))"),"")</f>
        <v/>
      </c>
      <c r="W595" s="229" t="str">
        <f t="shared" si="1"/>
        <v/>
      </c>
    </row>
    <row r="596">
      <c r="H596" s="237"/>
      <c r="I596" s="237" t="str">
        <f>IFERROR(__xludf.DUMMYFUNCTION("IF(ISBLANK(H596),,IFNA(""""""""&amp;JOIN("","",INDEX(FILTER(A:D,A:A=H596),0,4))&amp;"""""""",))"),"")</f>
        <v/>
      </c>
      <c r="J596" s="237" t="str">
        <f>IF(ISBLANK(H596),,IFNA(VLOOKUP(H596, Circuits!A:W, 23, FALSE),))</f>
        <v/>
      </c>
      <c r="K596" s="238" t="str">
        <f t="shared" si="2"/>
        <v/>
      </c>
      <c r="L596" s="238" t="str">
        <f t="shared" si="3"/>
        <v/>
      </c>
      <c r="M596" s="238" t="str">
        <f t="shared" si="4"/>
        <v/>
      </c>
      <c r="N596" s="238" t="str">
        <f t="shared" si="5"/>
        <v/>
      </c>
      <c r="O596" s="238" t="str">
        <f t="shared" si="6"/>
        <v/>
      </c>
      <c r="P596" s="237" t="str">
        <f>IFERROR(__xludf.DUMMYFUNCTION("IF(ISBLANK(H596),,IF(IFNA(MATCH(H596,SPLIT(Circuits!$S$2,"";""&amp;CHAR(10)),0),0),FALSE,TRUE))"),"")</f>
        <v/>
      </c>
      <c r="Q596" s="237" t="str">
        <f>IF(ISBLANK(H596),,IFNA(VLOOKUP(H596, Circuits!A:U, 21, FALSE),))</f>
        <v/>
      </c>
      <c r="R596" s="238" t="str">
        <f t="shared" si="7"/>
        <v/>
      </c>
      <c r="S596" s="237" t="str">
        <f>IF(ISBLANK(H596),,IFNA(VLOOKUP(H596, Circuits!A:V, 22, FALSE),))</f>
        <v/>
      </c>
      <c r="T596" s="237" t="str">
        <f>IF(ISBLANK(H596),,IFNA(VLOOKUP(H596, Circuits!A:X, 24, FALSE),))</f>
        <v/>
      </c>
      <c r="V596" s="236" t="str">
        <f>IFERROR(__xludf.DUMMYFUNCTION("IF(ISBLANK(H596),,JOIN("","",H596:T596))"),"")</f>
        <v/>
      </c>
      <c r="W596" s="229" t="str">
        <f t="shared" si="1"/>
        <v/>
      </c>
    </row>
    <row r="597">
      <c r="H597" s="237"/>
      <c r="I597" s="237" t="str">
        <f>IFERROR(__xludf.DUMMYFUNCTION("IF(ISBLANK(H597),,IFNA(""""""""&amp;JOIN("","",INDEX(FILTER(A:D,A:A=H597),0,4))&amp;"""""""",))"),"")</f>
        <v/>
      </c>
      <c r="J597" s="237" t="str">
        <f>IF(ISBLANK(H597),,IFNA(VLOOKUP(H597, Circuits!A:W, 23, FALSE),))</f>
        <v/>
      </c>
      <c r="K597" s="238" t="str">
        <f t="shared" si="2"/>
        <v/>
      </c>
      <c r="L597" s="238" t="str">
        <f t="shared" si="3"/>
        <v/>
      </c>
      <c r="M597" s="238" t="str">
        <f t="shared" si="4"/>
        <v/>
      </c>
      <c r="N597" s="238" t="str">
        <f t="shared" si="5"/>
        <v/>
      </c>
      <c r="O597" s="238" t="str">
        <f t="shared" si="6"/>
        <v/>
      </c>
      <c r="P597" s="237" t="str">
        <f>IFERROR(__xludf.DUMMYFUNCTION("IF(ISBLANK(H597),,IF(IFNA(MATCH(H597,SPLIT(Circuits!$S$2,"";""&amp;CHAR(10)),0),0),FALSE,TRUE))"),"")</f>
        <v/>
      </c>
      <c r="Q597" s="237" t="str">
        <f>IF(ISBLANK(H597),,IFNA(VLOOKUP(H597, Circuits!A:U, 21, FALSE),))</f>
        <v/>
      </c>
      <c r="R597" s="238" t="str">
        <f t="shared" si="7"/>
        <v/>
      </c>
      <c r="S597" s="237" t="str">
        <f>IF(ISBLANK(H597),,IFNA(VLOOKUP(H597, Circuits!A:V, 22, FALSE),))</f>
        <v/>
      </c>
      <c r="T597" s="237" t="str">
        <f>IF(ISBLANK(H597),,IFNA(VLOOKUP(H597, Circuits!A:X, 24, FALSE),))</f>
        <v/>
      </c>
      <c r="V597" s="236" t="str">
        <f>IFERROR(__xludf.DUMMYFUNCTION("IF(ISBLANK(H597),,JOIN("","",H597:T597))"),"")</f>
        <v/>
      </c>
      <c r="W597" s="229" t="str">
        <f t="shared" si="1"/>
        <v/>
      </c>
    </row>
    <row r="598">
      <c r="H598" s="237"/>
      <c r="I598" s="237" t="str">
        <f>IFERROR(__xludf.DUMMYFUNCTION("IF(ISBLANK(H598),,IFNA(""""""""&amp;JOIN("","",INDEX(FILTER(A:D,A:A=H598),0,4))&amp;"""""""",))"),"")</f>
        <v/>
      </c>
      <c r="J598" s="237" t="str">
        <f>IF(ISBLANK(H598),,IFNA(VLOOKUP(H598, Circuits!A:W, 23, FALSE),))</f>
        <v/>
      </c>
      <c r="K598" s="238" t="str">
        <f t="shared" si="2"/>
        <v/>
      </c>
      <c r="L598" s="238" t="str">
        <f t="shared" si="3"/>
        <v/>
      </c>
      <c r="M598" s="238" t="str">
        <f t="shared" si="4"/>
        <v/>
      </c>
      <c r="N598" s="238" t="str">
        <f t="shared" si="5"/>
        <v/>
      </c>
      <c r="O598" s="238" t="str">
        <f t="shared" si="6"/>
        <v/>
      </c>
      <c r="P598" s="237" t="str">
        <f>IFERROR(__xludf.DUMMYFUNCTION("IF(ISBLANK(H598),,IF(IFNA(MATCH(H598,SPLIT(Circuits!$S$2,"";""&amp;CHAR(10)),0),0),FALSE,TRUE))"),"")</f>
        <v/>
      </c>
      <c r="Q598" s="237" t="str">
        <f>IF(ISBLANK(H598),,IFNA(VLOOKUP(H598, Circuits!A:U, 21, FALSE),))</f>
        <v/>
      </c>
      <c r="R598" s="238" t="str">
        <f t="shared" si="7"/>
        <v/>
      </c>
      <c r="S598" s="237" t="str">
        <f>IF(ISBLANK(H598),,IFNA(VLOOKUP(H598, Circuits!A:V, 22, FALSE),))</f>
        <v/>
      </c>
      <c r="T598" s="237" t="str">
        <f>IF(ISBLANK(H598),,IFNA(VLOOKUP(H598, Circuits!A:X, 24, FALSE),))</f>
        <v/>
      </c>
      <c r="V598" s="236" t="str">
        <f>IFERROR(__xludf.DUMMYFUNCTION("IF(ISBLANK(H598),,JOIN("","",H598:T598))"),"")</f>
        <v/>
      </c>
      <c r="W598" s="229" t="str">
        <f t="shared" si="1"/>
        <v/>
      </c>
    </row>
    <row r="599">
      <c r="H599" s="237"/>
      <c r="I599" s="237" t="str">
        <f>IFERROR(__xludf.DUMMYFUNCTION("IF(ISBLANK(H599),,IFNA(""""""""&amp;JOIN("","",INDEX(FILTER(A:D,A:A=H599),0,4))&amp;"""""""",))"),"")</f>
        <v/>
      </c>
      <c r="J599" s="237" t="str">
        <f>IF(ISBLANK(H599),,IFNA(VLOOKUP(H599, Circuits!A:W, 23, FALSE),))</f>
        <v/>
      </c>
      <c r="K599" s="238" t="str">
        <f t="shared" si="2"/>
        <v/>
      </c>
      <c r="L599" s="238" t="str">
        <f t="shared" si="3"/>
        <v/>
      </c>
      <c r="M599" s="238" t="str">
        <f t="shared" si="4"/>
        <v/>
      </c>
      <c r="N599" s="238" t="str">
        <f t="shared" si="5"/>
        <v/>
      </c>
      <c r="O599" s="238" t="str">
        <f t="shared" si="6"/>
        <v/>
      </c>
      <c r="P599" s="237" t="str">
        <f>IFERROR(__xludf.DUMMYFUNCTION("IF(ISBLANK(H599),,IF(IFNA(MATCH(H599,SPLIT(Circuits!$S$2,"";""&amp;CHAR(10)),0),0),FALSE,TRUE))"),"")</f>
        <v/>
      </c>
      <c r="Q599" s="237" t="str">
        <f>IF(ISBLANK(H599),,IFNA(VLOOKUP(H599, Circuits!A:U, 21, FALSE),))</f>
        <v/>
      </c>
      <c r="R599" s="238" t="str">
        <f t="shared" si="7"/>
        <v/>
      </c>
      <c r="S599" s="237" t="str">
        <f>IF(ISBLANK(H599),,IFNA(VLOOKUP(H599, Circuits!A:V, 22, FALSE),))</f>
        <v/>
      </c>
      <c r="T599" s="237" t="str">
        <f>IF(ISBLANK(H599),,IFNA(VLOOKUP(H599, Circuits!A:X, 24, FALSE),))</f>
        <v/>
      </c>
      <c r="V599" s="236" t="str">
        <f>IFERROR(__xludf.DUMMYFUNCTION("IF(ISBLANK(H599),,JOIN("","",H599:T599))"),"")</f>
        <v/>
      </c>
      <c r="W599" s="229" t="str">
        <f t="shared" si="1"/>
        <v/>
      </c>
    </row>
    <row r="600">
      <c r="H600" s="237"/>
      <c r="I600" s="237" t="str">
        <f>IFERROR(__xludf.DUMMYFUNCTION("IF(ISBLANK(H600),,IFNA(""""""""&amp;JOIN("","",INDEX(FILTER(A:D,A:A=H600),0,4))&amp;"""""""",))"),"")</f>
        <v/>
      </c>
      <c r="J600" s="237" t="str">
        <f>IF(ISBLANK(H600),,IFNA(VLOOKUP(H600, Circuits!A:W, 23, FALSE),))</f>
        <v/>
      </c>
      <c r="K600" s="238" t="str">
        <f t="shared" si="2"/>
        <v/>
      </c>
      <c r="L600" s="238" t="str">
        <f t="shared" si="3"/>
        <v/>
      </c>
      <c r="M600" s="238" t="str">
        <f t="shared" si="4"/>
        <v/>
      </c>
      <c r="N600" s="238" t="str">
        <f t="shared" si="5"/>
        <v/>
      </c>
      <c r="O600" s="238" t="str">
        <f t="shared" si="6"/>
        <v/>
      </c>
      <c r="P600" s="237" t="str">
        <f>IFERROR(__xludf.DUMMYFUNCTION("IF(ISBLANK(H600),,IF(IFNA(MATCH(H600,SPLIT(Circuits!$S$2,"";""&amp;CHAR(10)),0),0),FALSE,TRUE))"),"")</f>
        <v/>
      </c>
      <c r="Q600" s="237" t="str">
        <f>IF(ISBLANK(H600),,IFNA(VLOOKUP(H600, Circuits!A:U, 21, FALSE),))</f>
        <v/>
      </c>
      <c r="R600" s="238" t="str">
        <f t="shared" si="7"/>
        <v/>
      </c>
      <c r="S600" s="237" t="str">
        <f>IF(ISBLANK(H600),,IFNA(VLOOKUP(H600, Circuits!A:V, 22, FALSE),))</f>
        <v/>
      </c>
      <c r="T600" s="237" t="str">
        <f>IF(ISBLANK(H600),,IFNA(VLOOKUP(H600, Circuits!A:X, 24, FALSE),))</f>
        <v/>
      </c>
      <c r="V600" s="236" t="str">
        <f>IFERROR(__xludf.DUMMYFUNCTION("IF(ISBLANK(H600),,JOIN("","",H600:T600))"),"")</f>
        <v/>
      </c>
      <c r="W600" s="229" t="str">
        <f t="shared" si="1"/>
        <v/>
      </c>
    </row>
    <row r="601">
      <c r="H601" s="237"/>
      <c r="I601" s="237" t="str">
        <f>IFERROR(__xludf.DUMMYFUNCTION("IF(ISBLANK(H601),,IFNA(""""""""&amp;JOIN("","",INDEX(FILTER(A:D,A:A=H601),0,4))&amp;"""""""",))"),"")</f>
        <v/>
      </c>
      <c r="J601" s="237" t="str">
        <f>IF(ISBLANK(H601),,IFNA(VLOOKUP(H601, Circuits!A:W, 23, FALSE),))</f>
        <v/>
      </c>
      <c r="K601" s="238" t="str">
        <f t="shared" si="2"/>
        <v/>
      </c>
      <c r="L601" s="238" t="str">
        <f t="shared" si="3"/>
        <v/>
      </c>
      <c r="M601" s="238" t="str">
        <f t="shared" si="4"/>
        <v/>
      </c>
      <c r="N601" s="238" t="str">
        <f t="shared" si="5"/>
        <v/>
      </c>
      <c r="O601" s="238" t="str">
        <f t="shared" si="6"/>
        <v/>
      </c>
      <c r="P601" s="237" t="str">
        <f>IFERROR(__xludf.DUMMYFUNCTION("IF(ISBLANK(H601),,IF(IFNA(MATCH(H601,SPLIT(Circuits!$S$2,"";""&amp;CHAR(10)),0),0),FALSE,TRUE))"),"")</f>
        <v/>
      </c>
      <c r="Q601" s="237" t="str">
        <f>IF(ISBLANK(H601),,IFNA(VLOOKUP(H601, Circuits!A:U, 21, FALSE),))</f>
        <v/>
      </c>
      <c r="R601" s="238" t="str">
        <f t="shared" si="7"/>
        <v/>
      </c>
      <c r="S601" s="237" t="str">
        <f>IF(ISBLANK(H601),,IFNA(VLOOKUP(H601, Circuits!A:V, 22, FALSE),))</f>
        <v/>
      </c>
      <c r="T601" s="237" t="str">
        <f>IF(ISBLANK(H601),,IFNA(VLOOKUP(H601, Circuits!A:X, 24, FALSE),))</f>
        <v/>
      </c>
      <c r="V601" s="236" t="str">
        <f>IFERROR(__xludf.DUMMYFUNCTION("IF(ISBLANK(H601),,JOIN("","",H601:T601))"),"")</f>
        <v/>
      </c>
      <c r="W601" s="229" t="str">
        <f t="shared" si="1"/>
        <v/>
      </c>
    </row>
    <row r="602">
      <c r="H602" s="237"/>
      <c r="I602" s="237" t="str">
        <f>IFERROR(__xludf.DUMMYFUNCTION("IF(ISBLANK(H602),,IFNA(""""""""&amp;JOIN("","",INDEX(FILTER(A:D,A:A=H602),0,4))&amp;"""""""",))"),"")</f>
        <v/>
      </c>
      <c r="J602" s="237" t="str">
        <f>IF(ISBLANK(H602),,IFNA(VLOOKUP(H602, Circuits!A:W, 23, FALSE),))</f>
        <v/>
      </c>
      <c r="K602" s="238" t="str">
        <f t="shared" si="2"/>
        <v/>
      </c>
      <c r="L602" s="238" t="str">
        <f t="shared" si="3"/>
        <v/>
      </c>
      <c r="M602" s="238" t="str">
        <f t="shared" si="4"/>
        <v/>
      </c>
      <c r="N602" s="238" t="str">
        <f t="shared" si="5"/>
        <v/>
      </c>
      <c r="O602" s="238" t="str">
        <f t="shared" si="6"/>
        <v/>
      </c>
      <c r="P602" s="237" t="str">
        <f>IFERROR(__xludf.DUMMYFUNCTION("IF(ISBLANK(H602),,IF(IFNA(MATCH(H602,SPLIT(Circuits!$S$2,"";""&amp;CHAR(10)),0),0),FALSE,TRUE))"),"")</f>
        <v/>
      </c>
      <c r="Q602" s="237" t="str">
        <f>IF(ISBLANK(H602),,IFNA(VLOOKUP(H602, Circuits!A:U, 21, FALSE),))</f>
        <v/>
      </c>
      <c r="R602" s="238" t="str">
        <f t="shared" si="7"/>
        <v/>
      </c>
      <c r="S602" s="237" t="str">
        <f>IF(ISBLANK(H602),,IFNA(VLOOKUP(H602, Circuits!A:V, 22, FALSE),))</f>
        <v/>
      </c>
      <c r="T602" s="237" t="str">
        <f>IF(ISBLANK(H602),,IFNA(VLOOKUP(H602, Circuits!A:X, 24, FALSE),))</f>
        <v/>
      </c>
      <c r="V602" s="236" t="str">
        <f>IFERROR(__xludf.DUMMYFUNCTION("IF(ISBLANK(H602),,JOIN("","",H602:T602))"),"")</f>
        <v/>
      </c>
      <c r="W602" s="229" t="str">
        <f t="shared" si="1"/>
        <v/>
      </c>
    </row>
    <row r="603">
      <c r="H603" s="237"/>
      <c r="I603" s="237" t="str">
        <f>IFERROR(__xludf.DUMMYFUNCTION("IF(ISBLANK(H603),,IFNA(""""""""&amp;JOIN("","",INDEX(FILTER(A:D,A:A=H603),0,4))&amp;"""""""",))"),"")</f>
        <v/>
      </c>
      <c r="J603" s="237" t="str">
        <f>IF(ISBLANK(H603),,IFNA(VLOOKUP(H603, Circuits!A:W, 23, FALSE),))</f>
        <v/>
      </c>
      <c r="K603" s="238" t="str">
        <f t="shared" si="2"/>
        <v/>
      </c>
      <c r="L603" s="238" t="str">
        <f t="shared" si="3"/>
        <v/>
      </c>
      <c r="M603" s="238" t="str">
        <f t="shared" si="4"/>
        <v/>
      </c>
      <c r="N603" s="238" t="str">
        <f t="shared" si="5"/>
        <v/>
      </c>
      <c r="O603" s="238" t="str">
        <f t="shared" si="6"/>
        <v/>
      </c>
      <c r="P603" s="237" t="str">
        <f>IFERROR(__xludf.DUMMYFUNCTION("IF(ISBLANK(H603),,IF(IFNA(MATCH(H603,SPLIT(Circuits!$S$2,"";""&amp;CHAR(10)),0),0),FALSE,TRUE))"),"")</f>
        <v/>
      </c>
      <c r="Q603" s="237" t="str">
        <f>IF(ISBLANK(H603),,IFNA(VLOOKUP(H603, Circuits!A:U, 21, FALSE),))</f>
        <v/>
      </c>
      <c r="R603" s="238" t="str">
        <f t="shared" si="7"/>
        <v/>
      </c>
      <c r="S603" s="237" t="str">
        <f>IF(ISBLANK(H603),,IFNA(VLOOKUP(H603, Circuits!A:V, 22, FALSE),))</f>
        <v/>
      </c>
      <c r="T603" s="237" t="str">
        <f>IF(ISBLANK(H603),,IFNA(VLOOKUP(H603, Circuits!A:X, 24, FALSE),))</f>
        <v/>
      </c>
      <c r="V603" s="236" t="str">
        <f>IFERROR(__xludf.DUMMYFUNCTION("IF(ISBLANK(H603),,JOIN("","",H603:T603))"),"")</f>
        <v/>
      </c>
      <c r="W603" s="229" t="str">
        <f t="shared" si="1"/>
        <v/>
      </c>
    </row>
    <row r="604">
      <c r="H604" s="237"/>
      <c r="I604" s="237" t="str">
        <f>IFERROR(__xludf.DUMMYFUNCTION("IF(ISBLANK(H604),,IFNA(""""""""&amp;JOIN("","",INDEX(FILTER(A:D,A:A=H604),0,4))&amp;"""""""",))"),"")</f>
        <v/>
      </c>
      <c r="J604" s="237" t="str">
        <f>IF(ISBLANK(H604),,IFNA(VLOOKUP(H604, Circuits!A:W, 23, FALSE),))</f>
        <v/>
      </c>
      <c r="K604" s="238" t="str">
        <f t="shared" si="2"/>
        <v/>
      </c>
      <c r="L604" s="238" t="str">
        <f t="shared" si="3"/>
        <v/>
      </c>
      <c r="M604" s="238" t="str">
        <f t="shared" si="4"/>
        <v/>
      </c>
      <c r="N604" s="238" t="str">
        <f t="shared" si="5"/>
        <v/>
      </c>
      <c r="O604" s="238" t="str">
        <f t="shared" si="6"/>
        <v/>
      </c>
      <c r="P604" s="237" t="str">
        <f>IFERROR(__xludf.DUMMYFUNCTION("IF(ISBLANK(H604),,IF(IFNA(MATCH(H604,SPLIT(Circuits!$S$2,"";""&amp;CHAR(10)),0),0),FALSE,TRUE))"),"")</f>
        <v/>
      </c>
      <c r="Q604" s="237" t="str">
        <f>IF(ISBLANK(H604),,IFNA(VLOOKUP(H604, Circuits!A:U, 21, FALSE),))</f>
        <v/>
      </c>
      <c r="R604" s="238" t="str">
        <f t="shared" si="7"/>
        <v/>
      </c>
      <c r="S604" s="237" t="str">
        <f>IF(ISBLANK(H604),,IFNA(VLOOKUP(H604, Circuits!A:V, 22, FALSE),))</f>
        <v/>
      </c>
      <c r="T604" s="237" t="str">
        <f>IF(ISBLANK(H604),,IFNA(VLOOKUP(H604, Circuits!A:X, 24, FALSE),))</f>
        <v/>
      </c>
      <c r="V604" s="236" t="str">
        <f>IFERROR(__xludf.DUMMYFUNCTION("IF(ISBLANK(H604),,JOIN("","",H604:T604))"),"")</f>
        <v/>
      </c>
      <c r="W604" s="229" t="str">
        <f t="shared" si="1"/>
        <v/>
      </c>
    </row>
    <row r="605">
      <c r="H605" s="237"/>
      <c r="I605" s="237" t="str">
        <f>IFERROR(__xludf.DUMMYFUNCTION("IF(ISBLANK(H605),,IFNA(""""""""&amp;JOIN("","",INDEX(FILTER(A:D,A:A=H605),0,4))&amp;"""""""",))"),"")</f>
        <v/>
      </c>
      <c r="J605" s="237" t="str">
        <f>IF(ISBLANK(H605),,IFNA(VLOOKUP(H605, Circuits!A:W, 23, FALSE),))</f>
        <v/>
      </c>
      <c r="K605" s="238" t="str">
        <f t="shared" si="2"/>
        <v/>
      </c>
      <c r="L605" s="238" t="str">
        <f t="shared" si="3"/>
        <v/>
      </c>
      <c r="M605" s="238" t="str">
        <f t="shared" si="4"/>
        <v/>
      </c>
      <c r="N605" s="238" t="str">
        <f t="shared" si="5"/>
        <v/>
      </c>
      <c r="O605" s="238" t="str">
        <f t="shared" si="6"/>
        <v/>
      </c>
      <c r="P605" s="237" t="str">
        <f>IFERROR(__xludf.DUMMYFUNCTION("IF(ISBLANK(H605),,IF(IFNA(MATCH(H605,SPLIT(Circuits!$S$2,"";""&amp;CHAR(10)),0),0),FALSE,TRUE))"),"")</f>
        <v/>
      </c>
      <c r="Q605" s="237" t="str">
        <f>IF(ISBLANK(H605),,IFNA(VLOOKUP(H605, Circuits!A:U, 21, FALSE),))</f>
        <v/>
      </c>
      <c r="R605" s="238" t="str">
        <f t="shared" si="7"/>
        <v/>
      </c>
      <c r="S605" s="237" t="str">
        <f>IF(ISBLANK(H605),,IFNA(VLOOKUP(H605, Circuits!A:V, 22, FALSE),))</f>
        <v/>
      </c>
      <c r="T605" s="237" t="str">
        <f>IF(ISBLANK(H605),,IFNA(VLOOKUP(H605, Circuits!A:X, 24, FALSE),))</f>
        <v/>
      </c>
      <c r="V605" s="236" t="str">
        <f>IFERROR(__xludf.DUMMYFUNCTION("IF(ISBLANK(H605),,JOIN("","",H605:T605))"),"")</f>
        <v/>
      </c>
      <c r="W605" s="229" t="str">
        <f t="shared" si="1"/>
        <v/>
      </c>
    </row>
    <row r="606">
      <c r="H606" s="237"/>
      <c r="I606" s="237" t="str">
        <f>IFERROR(__xludf.DUMMYFUNCTION("IF(ISBLANK(H606),,IFNA(""""""""&amp;JOIN("","",INDEX(FILTER(A:D,A:A=H606),0,4))&amp;"""""""",))"),"")</f>
        <v/>
      </c>
      <c r="J606" s="237" t="str">
        <f>IF(ISBLANK(H606),,IFNA(VLOOKUP(H606, Circuits!A:W, 23, FALSE),))</f>
        <v/>
      </c>
      <c r="K606" s="238" t="str">
        <f t="shared" si="2"/>
        <v/>
      </c>
      <c r="L606" s="238" t="str">
        <f t="shared" si="3"/>
        <v/>
      </c>
      <c r="M606" s="238" t="str">
        <f t="shared" si="4"/>
        <v/>
      </c>
      <c r="N606" s="238" t="str">
        <f t="shared" si="5"/>
        <v/>
      </c>
      <c r="O606" s="238" t="str">
        <f t="shared" si="6"/>
        <v/>
      </c>
      <c r="P606" s="237" t="str">
        <f>IFERROR(__xludf.DUMMYFUNCTION("IF(ISBLANK(H606),,IF(IFNA(MATCH(H606,SPLIT(Circuits!$S$2,"";""&amp;CHAR(10)),0),0),FALSE,TRUE))"),"")</f>
        <v/>
      </c>
      <c r="Q606" s="237" t="str">
        <f>IF(ISBLANK(H606),,IFNA(VLOOKUP(H606, Circuits!A:U, 21, FALSE),))</f>
        <v/>
      </c>
      <c r="R606" s="238" t="str">
        <f t="shared" si="7"/>
        <v/>
      </c>
      <c r="S606" s="237" t="str">
        <f>IF(ISBLANK(H606),,IFNA(VLOOKUP(H606, Circuits!A:V, 22, FALSE),))</f>
        <v/>
      </c>
      <c r="T606" s="237" t="str">
        <f>IF(ISBLANK(H606),,IFNA(VLOOKUP(H606, Circuits!A:X, 24, FALSE),))</f>
        <v/>
      </c>
      <c r="V606" s="236" t="str">
        <f>IFERROR(__xludf.DUMMYFUNCTION("IF(ISBLANK(H606),,JOIN("","",H606:T606))"),"")</f>
        <v/>
      </c>
      <c r="W606" s="229" t="str">
        <f t="shared" si="1"/>
        <v/>
      </c>
    </row>
    <row r="607">
      <c r="H607" s="237"/>
      <c r="I607" s="237" t="str">
        <f>IFERROR(__xludf.DUMMYFUNCTION("IF(ISBLANK(H607),,IFNA(""""""""&amp;JOIN("","",INDEX(FILTER(A:D,A:A=H607),0,4))&amp;"""""""",))"),"")</f>
        <v/>
      </c>
      <c r="J607" s="237" t="str">
        <f>IF(ISBLANK(H607),,IFNA(VLOOKUP(H607, Circuits!A:W, 23, FALSE),))</f>
        <v/>
      </c>
      <c r="K607" s="238" t="str">
        <f t="shared" si="2"/>
        <v/>
      </c>
      <c r="L607" s="238" t="str">
        <f t="shared" si="3"/>
        <v/>
      </c>
      <c r="M607" s="238" t="str">
        <f t="shared" si="4"/>
        <v/>
      </c>
      <c r="N607" s="238" t="str">
        <f t="shared" si="5"/>
        <v/>
      </c>
      <c r="O607" s="238" t="str">
        <f t="shared" si="6"/>
        <v/>
      </c>
      <c r="P607" s="237" t="str">
        <f>IFERROR(__xludf.DUMMYFUNCTION("IF(ISBLANK(H607),,IF(IFNA(MATCH(H607,SPLIT(Circuits!$S$2,"";""&amp;CHAR(10)),0),0),FALSE,TRUE))"),"")</f>
        <v/>
      </c>
      <c r="Q607" s="237" t="str">
        <f>IF(ISBLANK(H607),,IFNA(VLOOKUP(H607, Circuits!A:U, 21, FALSE),))</f>
        <v/>
      </c>
      <c r="R607" s="238" t="str">
        <f t="shared" si="7"/>
        <v/>
      </c>
      <c r="S607" s="237" t="str">
        <f>IF(ISBLANK(H607),,IFNA(VLOOKUP(H607, Circuits!A:V, 22, FALSE),))</f>
        <v/>
      </c>
      <c r="T607" s="237" t="str">
        <f>IF(ISBLANK(H607),,IFNA(VLOOKUP(H607, Circuits!A:X, 24, FALSE),))</f>
        <v/>
      </c>
      <c r="V607" s="236" t="str">
        <f>IFERROR(__xludf.DUMMYFUNCTION("IF(ISBLANK(H607),,JOIN("","",H607:T607))"),"")</f>
        <v/>
      </c>
      <c r="W607" s="229" t="str">
        <f t="shared" si="1"/>
        <v/>
      </c>
    </row>
    <row r="608">
      <c r="H608" s="237"/>
      <c r="I608" s="237" t="str">
        <f>IFERROR(__xludf.DUMMYFUNCTION("IF(ISBLANK(H608),,IFNA(""""""""&amp;JOIN("","",INDEX(FILTER(A:D,A:A=H608),0,4))&amp;"""""""",))"),"")</f>
        <v/>
      </c>
      <c r="J608" s="237" t="str">
        <f>IF(ISBLANK(H608),,IFNA(VLOOKUP(H608, Circuits!A:W, 23, FALSE),))</f>
        <v/>
      </c>
      <c r="K608" s="238" t="str">
        <f t="shared" si="2"/>
        <v/>
      </c>
      <c r="L608" s="238" t="str">
        <f t="shared" si="3"/>
        <v/>
      </c>
      <c r="M608" s="238" t="str">
        <f t="shared" si="4"/>
        <v/>
      </c>
      <c r="N608" s="238" t="str">
        <f t="shared" si="5"/>
        <v/>
      </c>
      <c r="O608" s="238" t="str">
        <f t="shared" si="6"/>
        <v/>
      </c>
      <c r="P608" s="237" t="str">
        <f>IFERROR(__xludf.DUMMYFUNCTION("IF(ISBLANK(H608),,IF(IFNA(MATCH(H608,SPLIT(Circuits!$S$2,"";""&amp;CHAR(10)),0),0),FALSE,TRUE))"),"")</f>
        <v/>
      </c>
      <c r="Q608" s="237" t="str">
        <f>IF(ISBLANK(H608),,IFNA(VLOOKUP(H608, Circuits!A:U, 21, FALSE),))</f>
        <v/>
      </c>
      <c r="R608" s="238" t="str">
        <f t="shared" si="7"/>
        <v/>
      </c>
      <c r="S608" s="237" t="str">
        <f>IF(ISBLANK(H608),,IFNA(VLOOKUP(H608, Circuits!A:V, 22, FALSE),))</f>
        <v/>
      </c>
      <c r="T608" s="237" t="str">
        <f>IF(ISBLANK(H608),,IFNA(VLOOKUP(H608, Circuits!A:X, 24, FALSE),))</f>
        <v/>
      </c>
      <c r="V608" s="236" t="str">
        <f>IFERROR(__xludf.DUMMYFUNCTION("IF(ISBLANK(H608),,JOIN("","",H608:T608))"),"")</f>
        <v/>
      </c>
      <c r="W608" s="229" t="str">
        <f t="shared" si="1"/>
        <v/>
      </c>
    </row>
    <row r="609">
      <c r="H609" s="237"/>
      <c r="I609" s="237" t="str">
        <f>IFERROR(__xludf.DUMMYFUNCTION("IF(ISBLANK(H609),,IFNA(""""""""&amp;JOIN("","",INDEX(FILTER(A:D,A:A=H609),0,4))&amp;"""""""",))"),"")</f>
        <v/>
      </c>
      <c r="J609" s="237" t="str">
        <f>IF(ISBLANK(H609),,IFNA(VLOOKUP(H609, Circuits!A:W, 23, FALSE),))</f>
        <v/>
      </c>
      <c r="K609" s="238" t="str">
        <f t="shared" si="2"/>
        <v/>
      </c>
      <c r="L609" s="238" t="str">
        <f t="shared" si="3"/>
        <v/>
      </c>
      <c r="M609" s="238" t="str">
        <f t="shared" si="4"/>
        <v/>
      </c>
      <c r="N609" s="238" t="str">
        <f t="shared" si="5"/>
        <v/>
      </c>
      <c r="O609" s="238" t="str">
        <f t="shared" si="6"/>
        <v/>
      </c>
      <c r="P609" s="237" t="str">
        <f>IFERROR(__xludf.DUMMYFUNCTION("IF(ISBLANK(H609),,IF(IFNA(MATCH(H609,SPLIT(Circuits!$S$2,"";""&amp;CHAR(10)),0),0),FALSE,TRUE))"),"")</f>
        <v/>
      </c>
      <c r="Q609" s="237" t="str">
        <f>IF(ISBLANK(H609),,IFNA(VLOOKUP(H609, Circuits!A:U, 21, FALSE),))</f>
        <v/>
      </c>
      <c r="R609" s="238" t="str">
        <f t="shared" si="7"/>
        <v/>
      </c>
      <c r="S609" s="237" t="str">
        <f>IF(ISBLANK(H609),,IFNA(VLOOKUP(H609, Circuits!A:V, 22, FALSE),))</f>
        <v/>
      </c>
      <c r="T609" s="237" t="str">
        <f>IF(ISBLANK(H609),,IFNA(VLOOKUP(H609, Circuits!A:X, 24, FALSE),))</f>
        <v/>
      </c>
      <c r="V609" s="236" t="str">
        <f>IFERROR(__xludf.DUMMYFUNCTION("IF(ISBLANK(H609),,JOIN("","",H609:T609))"),"")</f>
        <v/>
      </c>
      <c r="W609" s="229" t="str">
        <f t="shared" si="1"/>
        <v/>
      </c>
    </row>
    <row r="610">
      <c r="H610" s="237"/>
      <c r="I610" s="237" t="str">
        <f>IFERROR(__xludf.DUMMYFUNCTION("IF(ISBLANK(H610),,IFNA(""""""""&amp;JOIN("","",INDEX(FILTER(A:D,A:A=H610),0,4))&amp;"""""""",))"),"")</f>
        <v/>
      </c>
      <c r="J610" s="237" t="str">
        <f>IF(ISBLANK(H610),,IFNA(VLOOKUP(H610, Circuits!A:W, 23, FALSE),))</f>
        <v/>
      </c>
      <c r="K610" s="238" t="str">
        <f t="shared" si="2"/>
        <v/>
      </c>
      <c r="L610" s="238" t="str">
        <f t="shared" si="3"/>
        <v/>
      </c>
      <c r="M610" s="238" t="str">
        <f t="shared" si="4"/>
        <v/>
      </c>
      <c r="N610" s="238" t="str">
        <f t="shared" si="5"/>
        <v/>
      </c>
      <c r="O610" s="238" t="str">
        <f t="shared" si="6"/>
        <v/>
      </c>
      <c r="P610" s="237" t="str">
        <f>IFERROR(__xludf.DUMMYFUNCTION("IF(ISBLANK(H610),,IF(IFNA(MATCH(H610,SPLIT(Circuits!$S$2,"";""&amp;CHAR(10)),0),0),FALSE,TRUE))"),"")</f>
        <v/>
      </c>
      <c r="Q610" s="237" t="str">
        <f>IF(ISBLANK(H610),,IFNA(VLOOKUP(H610, Circuits!A:U, 21, FALSE),))</f>
        <v/>
      </c>
      <c r="R610" s="238" t="str">
        <f t="shared" si="7"/>
        <v/>
      </c>
      <c r="S610" s="237" t="str">
        <f>IF(ISBLANK(H610),,IFNA(VLOOKUP(H610, Circuits!A:V, 22, FALSE),))</f>
        <v/>
      </c>
      <c r="T610" s="237" t="str">
        <f>IF(ISBLANK(H610),,IFNA(VLOOKUP(H610, Circuits!A:X, 24, FALSE),))</f>
        <v/>
      </c>
      <c r="V610" s="236" t="str">
        <f>IFERROR(__xludf.DUMMYFUNCTION("IF(ISBLANK(H610),,JOIN("","",H610:T610))"),"")</f>
        <v/>
      </c>
      <c r="W610" s="229" t="str">
        <f t="shared" si="1"/>
        <v/>
      </c>
    </row>
    <row r="611">
      <c r="H611" s="237"/>
      <c r="I611" s="237" t="str">
        <f>IFERROR(__xludf.DUMMYFUNCTION("IF(ISBLANK(H611),,IFNA(""""""""&amp;JOIN("","",INDEX(FILTER(A:D,A:A=H611),0,4))&amp;"""""""",))"),"")</f>
        <v/>
      </c>
      <c r="J611" s="237" t="str">
        <f>IF(ISBLANK(H611),,IFNA(VLOOKUP(H611, Circuits!A:W, 23, FALSE),))</f>
        <v/>
      </c>
      <c r="K611" s="238" t="str">
        <f t="shared" si="2"/>
        <v/>
      </c>
      <c r="L611" s="238" t="str">
        <f t="shared" si="3"/>
        <v/>
      </c>
      <c r="M611" s="238" t="str">
        <f t="shared" si="4"/>
        <v/>
      </c>
      <c r="N611" s="238" t="str">
        <f t="shared" si="5"/>
        <v/>
      </c>
      <c r="O611" s="238" t="str">
        <f t="shared" si="6"/>
        <v/>
      </c>
      <c r="P611" s="237" t="str">
        <f>IFERROR(__xludf.DUMMYFUNCTION("IF(ISBLANK(H611),,IF(IFNA(MATCH(H611,SPLIT(Circuits!$S$2,"";""&amp;CHAR(10)),0),0),FALSE,TRUE))"),"")</f>
        <v/>
      </c>
      <c r="Q611" s="237" t="str">
        <f>IF(ISBLANK(H611),,IFNA(VLOOKUP(H611, Circuits!A:U, 21, FALSE),))</f>
        <v/>
      </c>
      <c r="R611" s="238" t="str">
        <f t="shared" si="7"/>
        <v/>
      </c>
      <c r="S611" s="237" t="str">
        <f>IF(ISBLANK(H611),,IFNA(VLOOKUP(H611, Circuits!A:V, 22, FALSE),))</f>
        <v/>
      </c>
      <c r="T611" s="237" t="str">
        <f>IF(ISBLANK(H611),,IFNA(VLOOKUP(H611, Circuits!A:X, 24, FALSE),))</f>
        <v/>
      </c>
      <c r="V611" s="236" t="str">
        <f>IFERROR(__xludf.DUMMYFUNCTION("IF(ISBLANK(H611),,JOIN("","",H611:T611))"),"")</f>
        <v/>
      </c>
      <c r="W611" s="229" t="str">
        <f t="shared" si="1"/>
        <v/>
      </c>
    </row>
    <row r="612">
      <c r="H612" s="237"/>
      <c r="I612" s="237" t="str">
        <f>IFERROR(__xludf.DUMMYFUNCTION("IF(ISBLANK(H612),,IFNA(""""""""&amp;JOIN("","",INDEX(FILTER(A:D,A:A=H612),0,4))&amp;"""""""",))"),"")</f>
        <v/>
      </c>
      <c r="J612" s="237" t="str">
        <f>IF(ISBLANK(H612),,IFNA(VLOOKUP(H612, Circuits!A:W, 23, FALSE),))</f>
        <v/>
      </c>
      <c r="K612" s="238" t="str">
        <f t="shared" si="2"/>
        <v/>
      </c>
      <c r="L612" s="238" t="str">
        <f t="shared" si="3"/>
        <v/>
      </c>
      <c r="M612" s="238" t="str">
        <f t="shared" si="4"/>
        <v/>
      </c>
      <c r="N612" s="238" t="str">
        <f t="shared" si="5"/>
        <v/>
      </c>
      <c r="O612" s="238" t="str">
        <f t="shared" si="6"/>
        <v/>
      </c>
      <c r="P612" s="237" t="str">
        <f>IFERROR(__xludf.DUMMYFUNCTION("IF(ISBLANK(H612),,IF(IFNA(MATCH(H612,SPLIT(Circuits!$S$2,"";""&amp;CHAR(10)),0),0),FALSE,TRUE))"),"")</f>
        <v/>
      </c>
      <c r="Q612" s="237" t="str">
        <f>IF(ISBLANK(H612),,IFNA(VLOOKUP(H612, Circuits!A:U, 21, FALSE),))</f>
        <v/>
      </c>
      <c r="R612" s="238" t="str">
        <f t="shared" si="7"/>
        <v/>
      </c>
      <c r="S612" s="237" t="str">
        <f>IF(ISBLANK(H612),,IFNA(VLOOKUP(H612, Circuits!A:V, 22, FALSE),))</f>
        <v/>
      </c>
      <c r="T612" s="237" t="str">
        <f>IF(ISBLANK(H612),,IFNA(VLOOKUP(H612, Circuits!A:X, 24, FALSE),))</f>
        <v/>
      </c>
      <c r="V612" s="236" t="str">
        <f>IFERROR(__xludf.DUMMYFUNCTION("IF(ISBLANK(H612),,JOIN("","",H612:T612))"),"")</f>
        <v/>
      </c>
      <c r="W612" s="229" t="str">
        <f t="shared" si="1"/>
        <v/>
      </c>
    </row>
    <row r="613">
      <c r="H613" s="237"/>
      <c r="I613" s="237" t="str">
        <f>IFERROR(__xludf.DUMMYFUNCTION("IF(ISBLANK(H613),,IFNA(""""""""&amp;JOIN("","",INDEX(FILTER(A:D,A:A=H613),0,4))&amp;"""""""",))"),"")</f>
        <v/>
      </c>
      <c r="J613" s="237" t="str">
        <f>IF(ISBLANK(H613),,IFNA(VLOOKUP(H613, Circuits!A:W, 23, FALSE),))</f>
        <v/>
      </c>
      <c r="K613" s="238" t="str">
        <f t="shared" si="2"/>
        <v/>
      </c>
      <c r="L613" s="238" t="str">
        <f t="shared" si="3"/>
        <v/>
      </c>
      <c r="M613" s="238" t="str">
        <f t="shared" si="4"/>
        <v/>
      </c>
      <c r="N613" s="238" t="str">
        <f t="shared" si="5"/>
        <v/>
      </c>
      <c r="O613" s="238" t="str">
        <f t="shared" si="6"/>
        <v/>
      </c>
      <c r="P613" s="237" t="str">
        <f>IFERROR(__xludf.DUMMYFUNCTION("IF(ISBLANK(H613),,IF(IFNA(MATCH(H613,SPLIT(Circuits!$S$2,"";""&amp;CHAR(10)),0),0),FALSE,TRUE))"),"")</f>
        <v/>
      </c>
      <c r="Q613" s="237" t="str">
        <f>IF(ISBLANK(H613),,IFNA(VLOOKUP(H613, Circuits!A:U, 21, FALSE),))</f>
        <v/>
      </c>
      <c r="R613" s="238" t="str">
        <f t="shared" si="7"/>
        <v/>
      </c>
      <c r="S613" s="237" t="str">
        <f>IF(ISBLANK(H613),,IFNA(VLOOKUP(H613, Circuits!A:V, 22, FALSE),))</f>
        <v/>
      </c>
      <c r="T613" s="237" t="str">
        <f>IF(ISBLANK(H613),,IFNA(VLOOKUP(H613, Circuits!A:X, 24, FALSE),))</f>
        <v/>
      </c>
      <c r="V613" s="236" t="str">
        <f>IFERROR(__xludf.DUMMYFUNCTION("IF(ISBLANK(H613),,JOIN("","",H613:T613))"),"")</f>
        <v/>
      </c>
      <c r="W613" s="229" t="str">
        <f t="shared" si="1"/>
        <v/>
      </c>
    </row>
    <row r="614">
      <c r="H614" s="237"/>
      <c r="I614" s="237" t="str">
        <f>IFERROR(__xludf.DUMMYFUNCTION("IF(ISBLANK(H614),,IFNA(""""""""&amp;JOIN("","",INDEX(FILTER(A:D,A:A=H614),0,4))&amp;"""""""",))"),"")</f>
        <v/>
      </c>
      <c r="J614" s="237" t="str">
        <f>IF(ISBLANK(H614),,IFNA(VLOOKUP(H614, Circuits!A:W, 23, FALSE),))</f>
        <v/>
      </c>
      <c r="K614" s="238" t="str">
        <f t="shared" si="2"/>
        <v/>
      </c>
      <c r="L614" s="238" t="str">
        <f t="shared" si="3"/>
        <v/>
      </c>
      <c r="M614" s="238" t="str">
        <f t="shared" si="4"/>
        <v/>
      </c>
      <c r="N614" s="238" t="str">
        <f t="shared" si="5"/>
        <v/>
      </c>
      <c r="O614" s="238" t="str">
        <f t="shared" si="6"/>
        <v/>
      </c>
      <c r="P614" s="237" t="str">
        <f>IFERROR(__xludf.DUMMYFUNCTION("IF(ISBLANK(H614),,IF(IFNA(MATCH(H614,SPLIT(Circuits!$S$2,"";""&amp;CHAR(10)),0),0),FALSE,TRUE))"),"")</f>
        <v/>
      </c>
      <c r="Q614" s="237" t="str">
        <f>IF(ISBLANK(H614),,IFNA(VLOOKUP(H614, Circuits!A:U, 21, FALSE),))</f>
        <v/>
      </c>
      <c r="R614" s="238" t="str">
        <f t="shared" si="7"/>
        <v/>
      </c>
      <c r="S614" s="237" t="str">
        <f>IF(ISBLANK(H614),,IFNA(VLOOKUP(H614, Circuits!A:V, 22, FALSE),))</f>
        <v/>
      </c>
      <c r="T614" s="237" t="str">
        <f>IF(ISBLANK(H614),,IFNA(VLOOKUP(H614, Circuits!A:X, 24, FALSE),))</f>
        <v/>
      </c>
      <c r="V614" s="236" t="str">
        <f>IFERROR(__xludf.DUMMYFUNCTION("IF(ISBLANK(H614),,JOIN("","",H614:T614))"),"")</f>
        <v/>
      </c>
      <c r="W614" s="229" t="str">
        <f t="shared" si="1"/>
        <v/>
      </c>
    </row>
    <row r="615">
      <c r="H615" s="237"/>
      <c r="I615" s="237" t="str">
        <f>IFERROR(__xludf.DUMMYFUNCTION("IF(ISBLANK(H615),,IFNA(""""""""&amp;JOIN("","",INDEX(FILTER(A:D,A:A=H615),0,4))&amp;"""""""",))"),"")</f>
        <v/>
      </c>
      <c r="J615" s="237" t="str">
        <f>IF(ISBLANK(H615),,IFNA(VLOOKUP(H615, Circuits!A:W, 23, FALSE),))</f>
        <v/>
      </c>
      <c r="K615" s="238" t="str">
        <f t="shared" si="2"/>
        <v/>
      </c>
      <c r="L615" s="238" t="str">
        <f t="shared" si="3"/>
        <v/>
      </c>
      <c r="M615" s="238" t="str">
        <f t="shared" si="4"/>
        <v/>
      </c>
      <c r="N615" s="238" t="str">
        <f t="shared" si="5"/>
        <v/>
      </c>
      <c r="O615" s="238" t="str">
        <f t="shared" si="6"/>
        <v/>
      </c>
      <c r="P615" s="237" t="str">
        <f>IFERROR(__xludf.DUMMYFUNCTION("IF(ISBLANK(H615),,IF(IFNA(MATCH(H615,SPLIT(Circuits!$S$2,"";""&amp;CHAR(10)),0),0),FALSE,TRUE))"),"")</f>
        <v/>
      </c>
      <c r="Q615" s="237" t="str">
        <f>IF(ISBLANK(H615),,IFNA(VLOOKUP(H615, Circuits!A:U, 21, FALSE),))</f>
        <v/>
      </c>
      <c r="R615" s="238" t="str">
        <f t="shared" si="7"/>
        <v/>
      </c>
      <c r="S615" s="237" t="str">
        <f>IF(ISBLANK(H615),,IFNA(VLOOKUP(H615, Circuits!A:V, 22, FALSE),))</f>
        <v/>
      </c>
      <c r="T615" s="237" t="str">
        <f>IF(ISBLANK(H615),,IFNA(VLOOKUP(H615, Circuits!A:X, 24, FALSE),))</f>
        <v/>
      </c>
      <c r="V615" s="236" t="str">
        <f>IFERROR(__xludf.DUMMYFUNCTION("IF(ISBLANK(H615),,JOIN("","",H615:T615))"),"")</f>
        <v/>
      </c>
      <c r="W615" s="229" t="str">
        <f t="shared" si="1"/>
        <v/>
      </c>
    </row>
    <row r="616">
      <c r="H616" s="237"/>
      <c r="I616" s="237" t="str">
        <f>IFERROR(__xludf.DUMMYFUNCTION("IF(ISBLANK(H616),,IFNA(""""""""&amp;JOIN("","",INDEX(FILTER(A:D,A:A=H616),0,4))&amp;"""""""",))"),"")</f>
        <v/>
      </c>
      <c r="J616" s="237" t="str">
        <f>IF(ISBLANK(H616),,IFNA(VLOOKUP(H616, Circuits!A:W, 23, FALSE),))</f>
        <v/>
      </c>
      <c r="K616" s="238" t="str">
        <f t="shared" si="2"/>
        <v/>
      </c>
      <c r="L616" s="238" t="str">
        <f t="shared" si="3"/>
        <v/>
      </c>
      <c r="M616" s="238" t="str">
        <f t="shared" si="4"/>
        <v/>
      </c>
      <c r="N616" s="238" t="str">
        <f t="shared" si="5"/>
        <v/>
      </c>
      <c r="O616" s="238" t="str">
        <f t="shared" si="6"/>
        <v/>
      </c>
      <c r="P616" s="237" t="str">
        <f>IFERROR(__xludf.DUMMYFUNCTION("IF(ISBLANK(H616),,IF(IFNA(MATCH(H616,SPLIT(Circuits!$S$2,"";""&amp;CHAR(10)),0),0),FALSE,TRUE))"),"")</f>
        <v/>
      </c>
      <c r="Q616" s="237" t="str">
        <f>IF(ISBLANK(H616),,IFNA(VLOOKUP(H616, Circuits!A:U, 21, FALSE),))</f>
        <v/>
      </c>
      <c r="R616" s="238" t="str">
        <f t="shared" si="7"/>
        <v/>
      </c>
      <c r="S616" s="237" t="str">
        <f>IF(ISBLANK(H616),,IFNA(VLOOKUP(H616, Circuits!A:V, 22, FALSE),))</f>
        <v/>
      </c>
      <c r="T616" s="237" t="str">
        <f>IF(ISBLANK(H616),,IFNA(VLOOKUP(H616, Circuits!A:X, 24, FALSE),))</f>
        <v/>
      </c>
      <c r="V616" s="236" t="str">
        <f>IFERROR(__xludf.DUMMYFUNCTION("IF(ISBLANK(H616),,JOIN("","",H616:T616))"),"")</f>
        <v/>
      </c>
      <c r="W616" s="229" t="str">
        <f t="shared" si="1"/>
        <v/>
      </c>
    </row>
    <row r="617">
      <c r="H617" s="237"/>
      <c r="I617" s="237" t="str">
        <f>IFERROR(__xludf.DUMMYFUNCTION("IF(ISBLANK(H617),,IFNA(""""""""&amp;JOIN("","",INDEX(FILTER(A:D,A:A=H617),0,4))&amp;"""""""",))"),"")</f>
        <v/>
      </c>
      <c r="J617" s="237" t="str">
        <f>IF(ISBLANK(H617),,IFNA(VLOOKUP(H617, Circuits!A:W, 23, FALSE),))</f>
        <v/>
      </c>
      <c r="K617" s="238" t="str">
        <f t="shared" si="2"/>
        <v/>
      </c>
      <c r="L617" s="238" t="str">
        <f t="shared" si="3"/>
        <v/>
      </c>
      <c r="M617" s="238" t="str">
        <f t="shared" si="4"/>
        <v/>
      </c>
      <c r="N617" s="238" t="str">
        <f t="shared" si="5"/>
        <v/>
      </c>
      <c r="O617" s="238" t="str">
        <f t="shared" si="6"/>
        <v/>
      </c>
      <c r="P617" s="237" t="str">
        <f>IFERROR(__xludf.DUMMYFUNCTION("IF(ISBLANK(H617),,IF(IFNA(MATCH(H617,SPLIT(Circuits!$S$2,"";""&amp;CHAR(10)),0),0),FALSE,TRUE))"),"")</f>
        <v/>
      </c>
      <c r="Q617" s="237" t="str">
        <f>IF(ISBLANK(H617),,IFNA(VLOOKUP(H617, Circuits!A:U, 21, FALSE),))</f>
        <v/>
      </c>
      <c r="R617" s="238" t="str">
        <f t="shared" si="7"/>
        <v/>
      </c>
      <c r="S617" s="237" t="str">
        <f>IF(ISBLANK(H617),,IFNA(VLOOKUP(H617, Circuits!A:V, 22, FALSE),))</f>
        <v/>
      </c>
      <c r="T617" s="237" t="str">
        <f>IF(ISBLANK(H617),,IFNA(VLOOKUP(H617, Circuits!A:X, 24, FALSE),))</f>
        <v/>
      </c>
      <c r="V617" s="236" t="str">
        <f>IFERROR(__xludf.DUMMYFUNCTION("IF(ISBLANK(H617),,JOIN("","",H617:T617))"),"")</f>
        <v/>
      </c>
      <c r="W617" s="229" t="str">
        <f t="shared" si="1"/>
        <v/>
      </c>
    </row>
    <row r="618">
      <c r="H618" s="237"/>
      <c r="I618" s="237" t="str">
        <f>IFERROR(__xludf.DUMMYFUNCTION("IF(ISBLANK(H618),,IFNA(""""""""&amp;JOIN("","",INDEX(FILTER(A:D,A:A=H618),0,4))&amp;"""""""",))"),"")</f>
        <v/>
      </c>
      <c r="J618" s="237" t="str">
        <f>IF(ISBLANK(H618),,IFNA(VLOOKUP(H618, Circuits!A:W, 23, FALSE),))</f>
        <v/>
      </c>
      <c r="K618" s="238" t="str">
        <f t="shared" si="2"/>
        <v/>
      </c>
      <c r="L618" s="238" t="str">
        <f t="shared" si="3"/>
        <v/>
      </c>
      <c r="M618" s="238" t="str">
        <f t="shared" si="4"/>
        <v/>
      </c>
      <c r="N618" s="238" t="str">
        <f t="shared" si="5"/>
        <v/>
      </c>
      <c r="O618" s="238" t="str">
        <f t="shared" si="6"/>
        <v/>
      </c>
      <c r="P618" s="237" t="str">
        <f>IFERROR(__xludf.DUMMYFUNCTION("IF(ISBLANK(H618),,IF(IFNA(MATCH(H618,SPLIT(Circuits!$S$2,"";""&amp;CHAR(10)),0),0),FALSE,TRUE))"),"")</f>
        <v/>
      </c>
      <c r="Q618" s="237" t="str">
        <f>IF(ISBLANK(H618),,IFNA(VLOOKUP(H618, Circuits!A:U, 21, FALSE),))</f>
        <v/>
      </c>
      <c r="R618" s="238" t="str">
        <f t="shared" si="7"/>
        <v/>
      </c>
      <c r="S618" s="237" t="str">
        <f>IF(ISBLANK(H618),,IFNA(VLOOKUP(H618, Circuits!A:V, 22, FALSE),))</f>
        <v/>
      </c>
      <c r="T618" s="237" t="str">
        <f>IF(ISBLANK(H618),,IFNA(VLOOKUP(H618, Circuits!A:X, 24, FALSE),))</f>
        <v/>
      </c>
      <c r="V618" s="236" t="str">
        <f>IFERROR(__xludf.DUMMYFUNCTION("IF(ISBLANK(H618),,JOIN("","",H618:T618))"),"")</f>
        <v/>
      </c>
      <c r="W618" s="229" t="str">
        <f t="shared" si="1"/>
        <v/>
      </c>
    </row>
    <row r="619">
      <c r="H619" s="237"/>
      <c r="I619" s="237" t="str">
        <f>IFERROR(__xludf.DUMMYFUNCTION("IF(ISBLANK(H619),,IFNA(""""""""&amp;JOIN("","",INDEX(FILTER(A:D,A:A=H619),0,4))&amp;"""""""",))"),"")</f>
        <v/>
      </c>
      <c r="J619" s="237" t="str">
        <f>IF(ISBLANK(H619),,IFNA(VLOOKUP(H619, Circuits!A:W, 23, FALSE),))</f>
        <v/>
      </c>
      <c r="K619" s="238" t="str">
        <f t="shared" si="2"/>
        <v/>
      </c>
      <c r="L619" s="238" t="str">
        <f t="shared" si="3"/>
        <v/>
      </c>
      <c r="M619" s="238" t="str">
        <f t="shared" si="4"/>
        <v/>
      </c>
      <c r="N619" s="238" t="str">
        <f t="shared" si="5"/>
        <v/>
      </c>
      <c r="O619" s="238" t="str">
        <f t="shared" si="6"/>
        <v/>
      </c>
      <c r="P619" s="237" t="str">
        <f>IFERROR(__xludf.DUMMYFUNCTION("IF(ISBLANK(H619),,IF(IFNA(MATCH(H619,SPLIT(Circuits!$S$2,"";""&amp;CHAR(10)),0),0),FALSE,TRUE))"),"")</f>
        <v/>
      </c>
      <c r="Q619" s="237" t="str">
        <f>IF(ISBLANK(H619),,IFNA(VLOOKUP(H619, Circuits!A:U, 21, FALSE),))</f>
        <v/>
      </c>
      <c r="R619" s="238" t="str">
        <f t="shared" si="7"/>
        <v/>
      </c>
      <c r="S619" s="237" t="str">
        <f>IF(ISBLANK(H619),,IFNA(VLOOKUP(H619, Circuits!A:V, 22, FALSE),))</f>
        <v/>
      </c>
      <c r="T619" s="237" t="str">
        <f>IF(ISBLANK(H619),,IFNA(VLOOKUP(H619, Circuits!A:X, 24, FALSE),))</f>
        <v/>
      </c>
      <c r="V619" s="236" t="str">
        <f>IFERROR(__xludf.DUMMYFUNCTION("IF(ISBLANK(H619),,JOIN("","",H619:T619))"),"")</f>
        <v/>
      </c>
      <c r="W619" s="229" t="str">
        <f t="shared" si="1"/>
        <v/>
      </c>
    </row>
    <row r="620">
      <c r="H620" s="237"/>
      <c r="I620" s="237" t="str">
        <f>IFERROR(__xludf.DUMMYFUNCTION("IF(ISBLANK(H620),,IFNA(""""""""&amp;JOIN("","",INDEX(FILTER(A:D,A:A=H620),0,4))&amp;"""""""",))"),"")</f>
        <v/>
      </c>
      <c r="J620" s="237" t="str">
        <f>IF(ISBLANK(H620),,IFNA(VLOOKUP(H620, Circuits!A:W, 23, FALSE),))</f>
        <v/>
      </c>
      <c r="K620" s="238" t="str">
        <f t="shared" si="2"/>
        <v/>
      </c>
      <c r="L620" s="238" t="str">
        <f t="shared" si="3"/>
        <v/>
      </c>
      <c r="M620" s="238" t="str">
        <f t="shared" si="4"/>
        <v/>
      </c>
      <c r="N620" s="238" t="str">
        <f t="shared" si="5"/>
        <v/>
      </c>
      <c r="O620" s="238" t="str">
        <f t="shared" si="6"/>
        <v/>
      </c>
      <c r="P620" s="237" t="str">
        <f>IFERROR(__xludf.DUMMYFUNCTION("IF(ISBLANK(H620),,IF(IFNA(MATCH(H620,SPLIT(Circuits!$S$2,"";""&amp;CHAR(10)),0),0),FALSE,TRUE))"),"")</f>
        <v/>
      </c>
      <c r="Q620" s="237" t="str">
        <f>IF(ISBLANK(H620),,IFNA(VLOOKUP(H620, Circuits!A:U, 21, FALSE),))</f>
        <v/>
      </c>
      <c r="R620" s="238" t="str">
        <f t="shared" si="7"/>
        <v/>
      </c>
      <c r="S620" s="237" t="str">
        <f>IF(ISBLANK(H620),,IFNA(VLOOKUP(H620, Circuits!A:V, 22, FALSE),))</f>
        <v/>
      </c>
      <c r="T620" s="237" t="str">
        <f>IF(ISBLANK(H620),,IFNA(VLOOKUP(H620, Circuits!A:X, 24, FALSE),))</f>
        <v/>
      </c>
      <c r="V620" s="236" t="str">
        <f>IFERROR(__xludf.DUMMYFUNCTION("IF(ISBLANK(H620),,JOIN("","",H620:T620))"),"")</f>
        <v/>
      </c>
      <c r="W620" s="229" t="str">
        <f t="shared" si="1"/>
        <v/>
      </c>
    </row>
    <row r="621">
      <c r="H621" s="237"/>
      <c r="I621" s="237" t="str">
        <f>IFERROR(__xludf.DUMMYFUNCTION("IF(ISBLANK(H621),,IFNA(""""""""&amp;JOIN("","",INDEX(FILTER(A:D,A:A=H621),0,4))&amp;"""""""",))"),"")</f>
        <v/>
      </c>
      <c r="J621" s="237" t="str">
        <f>IF(ISBLANK(H621),,IFNA(VLOOKUP(H621, Circuits!A:W, 23, FALSE),))</f>
        <v/>
      </c>
      <c r="K621" s="238" t="str">
        <f t="shared" si="2"/>
        <v/>
      </c>
      <c r="L621" s="238" t="str">
        <f t="shared" si="3"/>
        <v/>
      </c>
      <c r="M621" s="238" t="str">
        <f t="shared" si="4"/>
        <v/>
      </c>
      <c r="N621" s="238" t="str">
        <f t="shared" si="5"/>
        <v/>
      </c>
      <c r="O621" s="238" t="str">
        <f t="shared" si="6"/>
        <v/>
      </c>
      <c r="P621" s="237" t="str">
        <f>IFERROR(__xludf.DUMMYFUNCTION("IF(ISBLANK(H621),,IF(IFNA(MATCH(H621,SPLIT(Circuits!$S$2,"";""&amp;CHAR(10)),0),0),FALSE,TRUE))"),"")</f>
        <v/>
      </c>
      <c r="Q621" s="237" t="str">
        <f>IF(ISBLANK(H621),,IFNA(VLOOKUP(H621, Circuits!A:U, 21, FALSE),))</f>
        <v/>
      </c>
      <c r="R621" s="238" t="str">
        <f t="shared" si="7"/>
        <v/>
      </c>
      <c r="S621" s="237" t="str">
        <f>IF(ISBLANK(H621),,IFNA(VLOOKUP(H621, Circuits!A:V, 22, FALSE),))</f>
        <v/>
      </c>
      <c r="T621" s="237" t="str">
        <f>IF(ISBLANK(H621),,IFNA(VLOOKUP(H621, Circuits!A:X, 24, FALSE),))</f>
        <v/>
      </c>
      <c r="V621" s="236" t="str">
        <f>IFERROR(__xludf.DUMMYFUNCTION("IF(ISBLANK(H621),,JOIN("","",H621:T621))"),"")</f>
        <v/>
      </c>
      <c r="W621" s="229" t="str">
        <f t="shared" si="1"/>
        <v/>
      </c>
    </row>
    <row r="622">
      <c r="H622" s="237"/>
      <c r="I622" s="237" t="str">
        <f>IFERROR(__xludf.DUMMYFUNCTION("IF(ISBLANK(H622),,IFNA(""""""""&amp;JOIN("","",INDEX(FILTER(A:D,A:A=H622),0,4))&amp;"""""""",))"),"")</f>
        <v/>
      </c>
      <c r="J622" s="237" t="str">
        <f>IF(ISBLANK(H622),,IFNA(VLOOKUP(H622, Circuits!A:W, 23, FALSE),))</f>
        <v/>
      </c>
      <c r="K622" s="238" t="str">
        <f t="shared" si="2"/>
        <v/>
      </c>
      <c r="L622" s="238" t="str">
        <f t="shared" si="3"/>
        <v/>
      </c>
      <c r="M622" s="238" t="str">
        <f t="shared" si="4"/>
        <v/>
      </c>
      <c r="N622" s="238" t="str">
        <f t="shared" si="5"/>
        <v/>
      </c>
      <c r="O622" s="238" t="str">
        <f t="shared" si="6"/>
        <v/>
      </c>
      <c r="P622" s="237" t="str">
        <f>IFERROR(__xludf.DUMMYFUNCTION("IF(ISBLANK(H622),,IF(IFNA(MATCH(H622,SPLIT(Circuits!$S$2,"";""&amp;CHAR(10)),0),0),FALSE,TRUE))"),"")</f>
        <v/>
      </c>
      <c r="Q622" s="237" t="str">
        <f>IF(ISBLANK(H622),,IFNA(VLOOKUP(H622, Circuits!A:U, 21, FALSE),))</f>
        <v/>
      </c>
      <c r="R622" s="238" t="str">
        <f t="shared" si="7"/>
        <v/>
      </c>
      <c r="S622" s="237" t="str">
        <f>IF(ISBLANK(H622),,IFNA(VLOOKUP(H622, Circuits!A:V, 22, FALSE),))</f>
        <v/>
      </c>
      <c r="T622" s="237" t="str">
        <f>IF(ISBLANK(H622),,IFNA(VLOOKUP(H622, Circuits!A:X, 24, FALSE),))</f>
        <v/>
      </c>
      <c r="V622" s="236" t="str">
        <f>IFERROR(__xludf.DUMMYFUNCTION("IF(ISBLANK(H622),,JOIN("","",H622:T622))"),"")</f>
        <v/>
      </c>
      <c r="W622" s="229" t="str">
        <f t="shared" si="1"/>
        <v/>
      </c>
    </row>
    <row r="623">
      <c r="H623" s="237"/>
      <c r="I623" s="237" t="str">
        <f>IFERROR(__xludf.DUMMYFUNCTION("IF(ISBLANK(H623),,IFNA(""""""""&amp;JOIN("","",INDEX(FILTER(A:D,A:A=H623),0,4))&amp;"""""""",))"),"")</f>
        <v/>
      </c>
      <c r="J623" s="237" t="str">
        <f>IF(ISBLANK(H623),,IFNA(VLOOKUP(H623, Circuits!A:W, 23, FALSE),))</f>
        <v/>
      </c>
      <c r="K623" s="238" t="str">
        <f t="shared" si="2"/>
        <v/>
      </c>
      <c r="L623" s="238" t="str">
        <f t="shared" si="3"/>
        <v/>
      </c>
      <c r="M623" s="238" t="str">
        <f t="shared" si="4"/>
        <v/>
      </c>
      <c r="N623" s="238" t="str">
        <f t="shared" si="5"/>
        <v/>
      </c>
      <c r="O623" s="238" t="str">
        <f t="shared" si="6"/>
        <v/>
      </c>
      <c r="P623" s="237" t="str">
        <f>IFERROR(__xludf.DUMMYFUNCTION("IF(ISBLANK(H623),,IF(IFNA(MATCH(H623,SPLIT(Circuits!$S$2,"";""&amp;CHAR(10)),0),0),FALSE,TRUE))"),"")</f>
        <v/>
      </c>
      <c r="Q623" s="237" t="str">
        <f>IF(ISBLANK(H623),,IFNA(VLOOKUP(H623, Circuits!A:U, 21, FALSE),))</f>
        <v/>
      </c>
      <c r="R623" s="238" t="str">
        <f t="shared" si="7"/>
        <v/>
      </c>
      <c r="S623" s="237" t="str">
        <f>IF(ISBLANK(H623),,IFNA(VLOOKUP(H623, Circuits!A:V, 22, FALSE),))</f>
        <v/>
      </c>
      <c r="T623" s="237" t="str">
        <f>IF(ISBLANK(H623),,IFNA(VLOOKUP(H623, Circuits!A:X, 24, FALSE),))</f>
        <v/>
      </c>
      <c r="V623" s="236" t="str">
        <f>IFERROR(__xludf.DUMMYFUNCTION("IF(ISBLANK(H623),,JOIN("","",H623:T623))"),"")</f>
        <v/>
      </c>
      <c r="W623" s="229" t="str">
        <f t="shared" si="1"/>
        <v/>
      </c>
    </row>
    <row r="624">
      <c r="H624" s="237"/>
      <c r="I624" s="237" t="str">
        <f>IFERROR(__xludf.DUMMYFUNCTION("IF(ISBLANK(H624),,IFNA(""""""""&amp;JOIN("","",INDEX(FILTER(A:D,A:A=H624),0,4))&amp;"""""""",))"),"")</f>
        <v/>
      </c>
      <c r="J624" s="237" t="str">
        <f>IF(ISBLANK(H624),,IFNA(VLOOKUP(H624, Circuits!A:W, 23, FALSE),))</f>
        <v/>
      </c>
      <c r="K624" s="238" t="str">
        <f t="shared" si="2"/>
        <v/>
      </c>
      <c r="L624" s="238" t="str">
        <f t="shared" si="3"/>
        <v/>
      </c>
      <c r="M624" s="238" t="str">
        <f t="shared" si="4"/>
        <v/>
      </c>
      <c r="N624" s="238" t="str">
        <f t="shared" si="5"/>
        <v/>
      </c>
      <c r="O624" s="238" t="str">
        <f t="shared" si="6"/>
        <v/>
      </c>
      <c r="P624" s="237" t="str">
        <f>IFERROR(__xludf.DUMMYFUNCTION("IF(ISBLANK(H624),,IF(IFNA(MATCH(H624,SPLIT(Circuits!$S$2,"";""&amp;CHAR(10)),0),0),FALSE,TRUE))"),"")</f>
        <v/>
      </c>
      <c r="Q624" s="237" t="str">
        <f>IF(ISBLANK(H624),,IFNA(VLOOKUP(H624, Circuits!A:U, 21, FALSE),))</f>
        <v/>
      </c>
      <c r="R624" s="238" t="str">
        <f t="shared" si="7"/>
        <v/>
      </c>
      <c r="S624" s="237" t="str">
        <f>IF(ISBLANK(H624),,IFNA(VLOOKUP(H624, Circuits!A:V, 22, FALSE),))</f>
        <v/>
      </c>
      <c r="T624" s="237" t="str">
        <f>IF(ISBLANK(H624),,IFNA(VLOOKUP(H624, Circuits!A:X, 24, FALSE),))</f>
        <v/>
      </c>
      <c r="V624" s="236" t="str">
        <f>IFERROR(__xludf.DUMMYFUNCTION("IF(ISBLANK(H624),,JOIN("","",H624:T624))"),"")</f>
        <v/>
      </c>
      <c r="W624" s="229" t="str">
        <f t="shared" si="1"/>
        <v/>
      </c>
    </row>
    <row r="625">
      <c r="H625" s="237"/>
      <c r="I625" s="237" t="str">
        <f>IFERROR(__xludf.DUMMYFUNCTION("IF(ISBLANK(H625),,IFNA(""""""""&amp;JOIN("","",INDEX(FILTER(A:D,A:A=H625),0,4))&amp;"""""""",))"),"")</f>
        <v/>
      </c>
      <c r="J625" s="237" t="str">
        <f>IF(ISBLANK(H625),,IFNA(VLOOKUP(H625, Circuits!A:W, 23, FALSE),))</f>
        <v/>
      </c>
      <c r="K625" s="238" t="str">
        <f t="shared" si="2"/>
        <v/>
      </c>
      <c r="L625" s="238" t="str">
        <f t="shared" si="3"/>
        <v/>
      </c>
      <c r="M625" s="238" t="str">
        <f t="shared" si="4"/>
        <v/>
      </c>
      <c r="N625" s="238" t="str">
        <f t="shared" si="5"/>
        <v/>
      </c>
      <c r="O625" s="238" t="str">
        <f t="shared" si="6"/>
        <v/>
      </c>
      <c r="P625" s="237" t="str">
        <f>IFERROR(__xludf.DUMMYFUNCTION("IF(ISBLANK(H625),,IF(IFNA(MATCH(H625,SPLIT(Circuits!$S$2,"";""&amp;CHAR(10)),0),0),FALSE,TRUE))"),"")</f>
        <v/>
      </c>
      <c r="Q625" s="237" t="str">
        <f>IF(ISBLANK(H625),,IFNA(VLOOKUP(H625, Circuits!A:U, 21, FALSE),))</f>
        <v/>
      </c>
      <c r="R625" s="238" t="str">
        <f t="shared" si="7"/>
        <v/>
      </c>
      <c r="S625" s="237" t="str">
        <f>IF(ISBLANK(H625),,IFNA(VLOOKUP(H625, Circuits!A:V, 22, FALSE),))</f>
        <v/>
      </c>
      <c r="T625" s="237" t="str">
        <f>IF(ISBLANK(H625),,IFNA(VLOOKUP(H625, Circuits!A:X, 24, FALSE),))</f>
        <v/>
      </c>
      <c r="V625" s="236" t="str">
        <f>IFERROR(__xludf.DUMMYFUNCTION("IF(ISBLANK(H625),,JOIN("","",H625:T625))"),"")</f>
        <v/>
      </c>
      <c r="W625" s="229" t="str">
        <f t="shared" si="1"/>
        <v/>
      </c>
    </row>
    <row r="626">
      <c r="H626" s="237"/>
      <c r="I626" s="237" t="str">
        <f>IFERROR(__xludf.DUMMYFUNCTION("IF(ISBLANK(H626),,IFNA(""""""""&amp;JOIN("","",INDEX(FILTER(A:D,A:A=H626),0,4))&amp;"""""""",))"),"")</f>
        <v/>
      </c>
      <c r="J626" s="237" t="str">
        <f>IF(ISBLANK(H626),,IFNA(VLOOKUP(H626, Circuits!A:W, 23, FALSE),))</f>
        <v/>
      </c>
      <c r="K626" s="238" t="str">
        <f t="shared" si="2"/>
        <v/>
      </c>
      <c r="L626" s="238" t="str">
        <f t="shared" si="3"/>
        <v/>
      </c>
      <c r="M626" s="238" t="str">
        <f t="shared" si="4"/>
        <v/>
      </c>
      <c r="N626" s="238" t="str">
        <f t="shared" si="5"/>
        <v/>
      </c>
      <c r="O626" s="238" t="str">
        <f t="shared" si="6"/>
        <v/>
      </c>
      <c r="P626" s="237" t="str">
        <f>IFERROR(__xludf.DUMMYFUNCTION("IF(ISBLANK(H626),,IF(IFNA(MATCH(H626,SPLIT(Circuits!$S$2,"";""&amp;CHAR(10)),0),0),FALSE,TRUE))"),"")</f>
        <v/>
      </c>
      <c r="Q626" s="237" t="str">
        <f>IF(ISBLANK(H626),,IFNA(VLOOKUP(H626, Circuits!A:U, 21, FALSE),))</f>
        <v/>
      </c>
      <c r="R626" s="238" t="str">
        <f t="shared" si="7"/>
        <v/>
      </c>
      <c r="S626" s="237" t="str">
        <f>IF(ISBLANK(H626),,IFNA(VLOOKUP(H626, Circuits!A:V, 22, FALSE),))</f>
        <v/>
      </c>
      <c r="T626" s="237" t="str">
        <f>IF(ISBLANK(H626),,IFNA(VLOOKUP(H626, Circuits!A:X, 24, FALSE),))</f>
        <v/>
      </c>
      <c r="V626" s="236" t="str">
        <f>IFERROR(__xludf.DUMMYFUNCTION("IF(ISBLANK(H626),,JOIN("","",H626:T626))"),"")</f>
        <v/>
      </c>
      <c r="W626" s="229" t="str">
        <f t="shared" si="1"/>
        <v/>
      </c>
    </row>
    <row r="627">
      <c r="H627" s="237"/>
      <c r="I627" s="237" t="str">
        <f>IFERROR(__xludf.DUMMYFUNCTION("IF(ISBLANK(H627),,IFNA(""""""""&amp;JOIN("","",INDEX(FILTER(A:D,A:A=H627),0,4))&amp;"""""""",))"),"")</f>
        <v/>
      </c>
      <c r="J627" s="237" t="str">
        <f>IF(ISBLANK(H627),,IFNA(VLOOKUP(H627, Circuits!A:W, 23, FALSE),))</f>
        <v/>
      </c>
      <c r="K627" s="238" t="str">
        <f t="shared" si="2"/>
        <v/>
      </c>
      <c r="L627" s="238" t="str">
        <f t="shared" si="3"/>
        <v/>
      </c>
      <c r="M627" s="238" t="str">
        <f t="shared" si="4"/>
        <v/>
      </c>
      <c r="N627" s="238" t="str">
        <f t="shared" si="5"/>
        <v/>
      </c>
      <c r="O627" s="238" t="str">
        <f t="shared" si="6"/>
        <v/>
      </c>
      <c r="P627" s="237" t="str">
        <f>IFERROR(__xludf.DUMMYFUNCTION("IF(ISBLANK(H627),,IF(IFNA(MATCH(H627,SPLIT(Circuits!$S$2,"";""&amp;CHAR(10)),0),0),FALSE,TRUE))"),"")</f>
        <v/>
      </c>
      <c r="Q627" s="237" t="str">
        <f>IF(ISBLANK(H627),,IFNA(VLOOKUP(H627, Circuits!A:U, 21, FALSE),))</f>
        <v/>
      </c>
      <c r="R627" s="238" t="str">
        <f t="shared" si="7"/>
        <v/>
      </c>
      <c r="S627" s="237" t="str">
        <f>IF(ISBLANK(H627),,IFNA(VLOOKUP(H627, Circuits!A:V, 22, FALSE),))</f>
        <v/>
      </c>
      <c r="T627" s="237" t="str">
        <f>IF(ISBLANK(H627),,IFNA(VLOOKUP(H627, Circuits!A:X, 24, FALSE),))</f>
        <v/>
      </c>
      <c r="V627" s="236" t="str">
        <f>IFERROR(__xludf.DUMMYFUNCTION("IF(ISBLANK(H627),,JOIN("","",H627:T627))"),"")</f>
        <v/>
      </c>
      <c r="W627" s="229" t="str">
        <f t="shared" si="1"/>
        <v/>
      </c>
    </row>
    <row r="628">
      <c r="H628" s="237"/>
      <c r="I628" s="237" t="str">
        <f>IFERROR(__xludf.DUMMYFUNCTION("IF(ISBLANK(H628),,IFNA(""""""""&amp;JOIN("","",INDEX(FILTER(A:D,A:A=H628),0,4))&amp;"""""""",))"),"")</f>
        <v/>
      </c>
      <c r="J628" s="237" t="str">
        <f>IF(ISBLANK(H628),,IFNA(VLOOKUP(H628, Circuits!A:W, 23, FALSE),))</f>
        <v/>
      </c>
      <c r="K628" s="238" t="str">
        <f t="shared" si="2"/>
        <v/>
      </c>
      <c r="L628" s="238" t="str">
        <f t="shared" si="3"/>
        <v/>
      </c>
      <c r="M628" s="238" t="str">
        <f t="shared" si="4"/>
        <v/>
      </c>
      <c r="N628" s="238" t="str">
        <f t="shared" si="5"/>
        <v/>
      </c>
      <c r="O628" s="238" t="str">
        <f t="shared" si="6"/>
        <v/>
      </c>
      <c r="P628" s="237" t="str">
        <f>IFERROR(__xludf.DUMMYFUNCTION("IF(ISBLANK(H628),,IF(IFNA(MATCH(H628,SPLIT(Circuits!$S$2,"";""&amp;CHAR(10)),0),0),FALSE,TRUE))"),"")</f>
        <v/>
      </c>
      <c r="Q628" s="237" t="str">
        <f>IF(ISBLANK(H628),,IFNA(VLOOKUP(H628, Circuits!A:U, 21, FALSE),))</f>
        <v/>
      </c>
      <c r="R628" s="238" t="str">
        <f t="shared" si="7"/>
        <v/>
      </c>
      <c r="S628" s="237" t="str">
        <f>IF(ISBLANK(H628),,IFNA(VLOOKUP(H628, Circuits!A:V, 22, FALSE),))</f>
        <v/>
      </c>
      <c r="T628" s="237" t="str">
        <f>IF(ISBLANK(H628),,IFNA(VLOOKUP(H628, Circuits!A:X, 24, FALSE),))</f>
        <v/>
      </c>
      <c r="V628" s="236" t="str">
        <f>IFERROR(__xludf.DUMMYFUNCTION("IF(ISBLANK(H628),,JOIN("","",H628:T628))"),"")</f>
        <v/>
      </c>
      <c r="W628" s="229" t="str">
        <f t="shared" si="1"/>
        <v/>
      </c>
    </row>
    <row r="629">
      <c r="H629" s="237"/>
      <c r="I629" s="237" t="str">
        <f>IFERROR(__xludf.DUMMYFUNCTION("IF(ISBLANK(H629),,IFNA(""""""""&amp;JOIN("","",INDEX(FILTER(A:D,A:A=H629),0,4))&amp;"""""""",))"),"")</f>
        <v/>
      </c>
      <c r="J629" s="237" t="str">
        <f>IF(ISBLANK(H629),,IFNA(VLOOKUP(H629, Circuits!A:W, 23, FALSE),))</f>
        <v/>
      </c>
      <c r="K629" s="238" t="str">
        <f t="shared" si="2"/>
        <v/>
      </c>
      <c r="L629" s="238" t="str">
        <f t="shared" si="3"/>
        <v/>
      </c>
      <c r="M629" s="238" t="str">
        <f t="shared" si="4"/>
        <v/>
      </c>
      <c r="N629" s="238" t="str">
        <f t="shared" si="5"/>
        <v/>
      </c>
      <c r="O629" s="238" t="str">
        <f t="shared" si="6"/>
        <v/>
      </c>
      <c r="P629" s="237" t="str">
        <f>IFERROR(__xludf.DUMMYFUNCTION("IF(ISBLANK(H629),,IF(IFNA(MATCH(H629,SPLIT(Circuits!$S$2,"";""&amp;CHAR(10)),0),0),FALSE,TRUE))"),"")</f>
        <v/>
      </c>
      <c r="Q629" s="237" t="str">
        <f>IF(ISBLANK(H629),,IFNA(VLOOKUP(H629, Circuits!A:U, 21, FALSE),))</f>
        <v/>
      </c>
      <c r="R629" s="238" t="str">
        <f t="shared" si="7"/>
        <v/>
      </c>
      <c r="S629" s="237" t="str">
        <f>IF(ISBLANK(H629),,IFNA(VLOOKUP(H629, Circuits!A:V, 22, FALSE),))</f>
        <v/>
      </c>
      <c r="T629" s="237" t="str">
        <f>IF(ISBLANK(H629),,IFNA(VLOOKUP(H629, Circuits!A:X, 24, FALSE),))</f>
        <v/>
      </c>
      <c r="V629" s="236" t="str">
        <f>IFERROR(__xludf.DUMMYFUNCTION("IF(ISBLANK(H629),,JOIN("","",H629:T629))"),"")</f>
        <v/>
      </c>
      <c r="W629" s="229" t="str">
        <f t="shared" si="1"/>
        <v/>
      </c>
    </row>
    <row r="630">
      <c r="H630" s="237"/>
      <c r="I630" s="237" t="str">
        <f>IFERROR(__xludf.DUMMYFUNCTION("IF(ISBLANK(H630),,IFNA(""""""""&amp;JOIN("","",INDEX(FILTER(A:D,A:A=H630),0,4))&amp;"""""""",))"),"")</f>
        <v/>
      </c>
      <c r="J630" s="237" t="str">
        <f>IF(ISBLANK(H630),,IFNA(VLOOKUP(H630, Circuits!A:W, 23, FALSE),))</f>
        <v/>
      </c>
      <c r="K630" s="238" t="str">
        <f t="shared" si="2"/>
        <v/>
      </c>
      <c r="L630" s="238" t="str">
        <f t="shared" si="3"/>
        <v/>
      </c>
      <c r="M630" s="238" t="str">
        <f t="shared" si="4"/>
        <v/>
      </c>
      <c r="N630" s="238" t="str">
        <f t="shared" si="5"/>
        <v/>
      </c>
      <c r="O630" s="238" t="str">
        <f t="shared" si="6"/>
        <v/>
      </c>
      <c r="P630" s="237" t="str">
        <f>IFERROR(__xludf.DUMMYFUNCTION("IF(ISBLANK(H630),,IF(IFNA(MATCH(H630,SPLIT(Circuits!$S$2,"";""&amp;CHAR(10)),0),0),FALSE,TRUE))"),"")</f>
        <v/>
      </c>
      <c r="Q630" s="237" t="str">
        <f>IF(ISBLANK(H630),,IFNA(VLOOKUP(H630, Circuits!A:U, 21, FALSE),))</f>
        <v/>
      </c>
      <c r="R630" s="238" t="str">
        <f t="shared" si="7"/>
        <v/>
      </c>
      <c r="S630" s="237" t="str">
        <f>IF(ISBLANK(H630),,IFNA(VLOOKUP(H630, Circuits!A:V, 22, FALSE),))</f>
        <v/>
      </c>
      <c r="T630" s="237" t="str">
        <f>IF(ISBLANK(H630),,IFNA(VLOOKUP(H630, Circuits!A:X, 24, FALSE),))</f>
        <v/>
      </c>
      <c r="V630" s="236" t="str">
        <f>IFERROR(__xludf.DUMMYFUNCTION("IF(ISBLANK(H630),,JOIN("","",H630:T630))"),"")</f>
        <v/>
      </c>
      <c r="W630" s="229" t="str">
        <f t="shared" si="1"/>
        <v/>
      </c>
    </row>
    <row r="631">
      <c r="H631" s="237"/>
      <c r="I631" s="237" t="str">
        <f>IFERROR(__xludf.DUMMYFUNCTION("IF(ISBLANK(H631),,IFNA(""""""""&amp;JOIN("","",INDEX(FILTER(A:D,A:A=H631),0,4))&amp;"""""""",))"),"")</f>
        <v/>
      </c>
      <c r="J631" s="237" t="str">
        <f>IF(ISBLANK(H631),,IFNA(VLOOKUP(H631, Circuits!A:W, 23, FALSE),))</f>
        <v/>
      </c>
      <c r="K631" s="238" t="str">
        <f t="shared" si="2"/>
        <v/>
      </c>
      <c r="L631" s="238" t="str">
        <f t="shared" si="3"/>
        <v/>
      </c>
      <c r="M631" s="238" t="str">
        <f t="shared" si="4"/>
        <v/>
      </c>
      <c r="N631" s="238" t="str">
        <f t="shared" si="5"/>
        <v/>
      </c>
      <c r="O631" s="238" t="str">
        <f t="shared" si="6"/>
        <v/>
      </c>
      <c r="P631" s="237" t="str">
        <f>IFERROR(__xludf.DUMMYFUNCTION("IF(ISBLANK(H631),,IF(IFNA(MATCH(H631,SPLIT(Circuits!$S$2,"";""&amp;CHAR(10)),0),0),FALSE,TRUE))"),"")</f>
        <v/>
      </c>
      <c r="Q631" s="237" t="str">
        <f>IF(ISBLANK(H631),,IFNA(VLOOKUP(H631, Circuits!A:U, 21, FALSE),))</f>
        <v/>
      </c>
      <c r="R631" s="238" t="str">
        <f t="shared" si="7"/>
        <v/>
      </c>
      <c r="S631" s="237" t="str">
        <f>IF(ISBLANK(H631),,IFNA(VLOOKUP(H631, Circuits!A:V, 22, FALSE),))</f>
        <v/>
      </c>
      <c r="T631" s="237" t="str">
        <f>IF(ISBLANK(H631),,IFNA(VLOOKUP(H631, Circuits!A:X, 24, FALSE),))</f>
        <v/>
      </c>
      <c r="V631" s="236" t="str">
        <f>IFERROR(__xludf.DUMMYFUNCTION("IF(ISBLANK(H631),,JOIN("","",H631:T631))"),"")</f>
        <v/>
      </c>
      <c r="W631" s="229" t="str">
        <f t="shared" si="1"/>
        <v/>
      </c>
    </row>
    <row r="632">
      <c r="H632" s="237"/>
      <c r="I632" s="237" t="str">
        <f>IFERROR(__xludf.DUMMYFUNCTION("IF(ISBLANK(H632),,IFNA(""""""""&amp;JOIN("","",INDEX(FILTER(A:D,A:A=H632),0,4))&amp;"""""""",))"),"")</f>
        <v/>
      </c>
      <c r="J632" s="237" t="str">
        <f>IF(ISBLANK(H632),,IFNA(VLOOKUP(H632, Circuits!A:W, 23, FALSE),))</f>
        <v/>
      </c>
      <c r="K632" s="238" t="str">
        <f t="shared" si="2"/>
        <v/>
      </c>
      <c r="L632" s="238" t="str">
        <f t="shared" si="3"/>
        <v/>
      </c>
      <c r="M632" s="238" t="str">
        <f t="shared" si="4"/>
        <v/>
      </c>
      <c r="N632" s="238" t="str">
        <f t="shared" si="5"/>
        <v/>
      </c>
      <c r="O632" s="238" t="str">
        <f t="shared" si="6"/>
        <v/>
      </c>
      <c r="P632" s="237" t="str">
        <f>IFERROR(__xludf.DUMMYFUNCTION("IF(ISBLANK(H632),,IF(IFNA(MATCH(H632,SPLIT(Circuits!$S$2,"";""&amp;CHAR(10)),0),0),FALSE,TRUE))"),"")</f>
        <v/>
      </c>
      <c r="Q632" s="237" t="str">
        <f>IF(ISBLANK(H632),,IFNA(VLOOKUP(H632, Circuits!A:U, 21, FALSE),))</f>
        <v/>
      </c>
      <c r="R632" s="238" t="str">
        <f t="shared" si="7"/>
        <v/>
      </c>
      <c r="S632" s="237" t="str">
        <f>IF(ISBLANK(H632),,IFNA(VLOOKUP(H632, Circuits!A:V, 22, FALSE),))</f>
        <v/>
      </c>
      <c r="T632" s="237" t="str">
        <f>IF(ISBLANK(H632),,IFNA(VLOOKUP(H632, Circuits!A:X, 24, FALSE),))</f>
        <v/>
      </c>
      <c r="V632" s="236" t="str">
        <f>IFERROR(__xludf.DUMMYFUNCTION("IF(ISBLANK(H632),,JOIN("","",H632:T632))"),"")</f>
        <v/>
      </c>
      <c r="W632" s="229" t="str">
        <f t="shared" si="1"/>
        <v/>
      </c>
    </row>
    <row r="633">
      <c r="H633" s="237"/>
      <c r="I633" s="237" t="str">
        <f>IFERROR(__xludf.DUMMYFUNCTION("IF(ISBLANK(H633),,IFNA(""""""""&amp;JOIN("","",INDEX(FILTER(A:D,A:A=H633),0,4))&amp;"""""""",))"),"")</f>
        <v/>
      </c>
      <c r="J633" s="237" t="str">
        <f>IF(ISBLANK(H633),,IFNA(VLOOKUP(H633, Circuits!A:W, 23, FALSE),))</f>
        <v/>
      </c>
      <c r="K633" s="238" t="str">
        <f t="shared" si="2"/>
        <v/>
      </c>
      <c r="L633" s="238" t="str">
        <f t="shared" si="3"/>
        <v/>
      </c>
      <c r="M633" s="238" t="str">
        <f t="shared" si="4"/>
        <v/>
      </c>
      <c r="N633" s="238" t="str">
        <f t="shared" si="5"/>
        <v/>
      </c>
      <c r="O633" s="238" t="str">
        <f t="shared" si="6"/>
        <v/>
      </c>
      <c r="P633" s="237" t="str">
        <f>IFERROR(__xludf.DUMMYFUNCTION("IF(ISBLANK(H633),,IF(IFNA(MATCH(H633,SPLIT(Circuits!$S$2,"";""&amp;CHAR(10)),0),0),FALSE,TRUE))"),"")</f>
        <v/>
      </c>
      <c r="Q633" s="237" t="str">
        <f>IF(ISBLANK(H633),,IFNA(VLOOKUP(H633, Circuits!A:U, 21, FALSE),))</f>
        <v/>
      </c>
      <c r="R633" s="238" t="str">
        <f t="shared" si="7"/>
        <v/>
      </c>
      <c r="S633" s="237" t="str">
        <f>IF(ISBLANK(H633),,IFNA(VLOOKUP(H633, Circuits!A:V, 22, FALSE),))</f>
        <v/>
      </c>
      <c r="T633" s="237" t="str">
        <f>IF(ISBLANK(H633),,IFNA(VLOOKUP(H633, Circuits!A:X, 24, FALSE),))</f>
        <v/>
      </c>
      <c r="V633" s="236" t="str">
        <f>IFERROR(__xludf.DUMMYFUNCTION("IF(ISBLANK(H633),,JOIN("","",H633:T633))"),"")</f>
        <v/>
      </c>
      <c r="W633" s="229" t="str">
        <f t="shared" si="1"/>
        <v/>
      </c>
    </row>
    <row r="634">
      <c r="H634" s="237"/>
      <c r="I634" s="237" t="str">
        <f>IFERROR(__xludf.DUMMYFUNCTION("IF(ISBLANK(H634),,IFNA(""""""""&amp;JOIN("","",INDEX(FILTER(A:D,A:A=H634),0,4))&amp;"""""""",))"),"")</f>
        <v/>
      </c>
      <c r="J634" s="237" t="str">
        <f>IF(ISBLANK(H634),,IFNA(VLOOKUP(H634, Circuits!A:W, 23, FALSE),))</f>
        <v/>
      </c>
      <c r="K634" s="238" t="str">
        <f t="shared" si="2"/>
        <v/>
      </c>
      <c r="L634" s="238" t="str">
        <f t="shared" si="3"/>
        <v/>
      </c>
      <c r="M634" s="238" t="str">
        <f t="shared" si="4"/>
        <v/>
      </c>
      <c r="N634" s="238" t="str">
        <f t="shared" si="5"/>
        <v/>
      </c>
      <c r="O634" s="238" t="str">
        <f t="shared" si="6"/>
        <v/>
      </c>
      <c r="P634" s="237" t="str">
        <f>IFERROR(__xludf.DUMMYFUNCTION("IF(ISBLANK(H634),,IF(IFNA(MATCH(H634,SPLIT(Circuits!$S$2,"";""&amp;CHAR(10)),0),0),FALSE,TRUE))"),"")</f>
        <v/>
      </c>
      <c r="Q634" s="237" t="str">
        <f>IF(ISBLANK(H634),,IFNA(VLOOKUP(H634, Circuits!A:U, 21, FALSE),))</f>
        <v/>
      </c>
      <c r="R634" s="238" t="str">
        <f t="shared" si="7"/>
        <v/>
      </c>
      <c r="S634" s="237" t="str">
        <f>IF(ISBLANK(H634),,IFNA(VLOOKUP(H634, Circuits!A:V, 22, FALSE),))</f>
        <v/>
      </c>
      <c r="T634" s="237" t="str">
        <f>IF(ISBLANK(H634),,IFNA(VLOOKUP(H634, Circuits!A:X, 24, FALSE),))</f>
        <v/>
      </c>
      <c r="V634" s="236" t="str">
        <f>IFERROR(__xludf.DUMMYFUNCTION("IF(ISBLANK(H634),,JOIN("","",H634:T634))"),"")</f>
        <v/>
      </c>
      <c r="W634" s="229" t="str">
        <f t="shared" si="1"/>
        <v/>
      </c>
    </row>
    <row r="635">
      <c r="H635" s="237"/>
      <c r="I635" s="237" t="str">
        <f>IFERROR(__xludf.DUMMYFUNCTION("IF(ISBLANK(H635),,IFNA(""""""""&amp;JOIN("","",INDEX(FILTER(A:D,A:A=H635),0,4))&amp;"""""""",))"),"")</f>
        <v/>
      </c>
      <c r="J635" s="237" t="str">
        <f>IF(ISBLANK(H635),,IFNA(VLOOKUP(H635, Circuits!A:W, 23, FALSE),))</f>
        <v/>
      </c>
      <c r="K635" s="238" t="str">
        <f t="shared" si="2"/>
        <v/>
      </c>
      <c r="L635" s="238" t="str">
        <f t="shared" si="3"/>
        <v/>
      </c>
      <c r="M635" s="238" t="str">
        <f t="shared" si="4"/>
        <v/>
      </c>
      <c r="N635" s="238" t="str">
        <f t="shared" si="5"/>
        <v/>
      </c>
      <c r="O635" s="238" t="str">
        <f t="shared" si="6"/>
        <v/>
      </c>
      <c r="P635" s="237" t="str">
        <f>IFERROR(__xludf.DUMMYFUNCTION("IF(ISBLANK(H635),,IF(IFNA(MATCH(H635,SPLIT(Circuits!$S$2,"";""&amp;CHAR(10)),0),0),FALSE,TRUE))"),"")</f>
        <v/>
      </c>
      <c r="Q635" s="237" t="str">
        <f>IF(ISBLANK(H635),,IFNA(VLOOKUP(H635, Circuits!A:U, 21, FALSE),))</f>
        <v/>
      </c>
      <c r="R635" s="238" t="str">
        <f t="shared" si="7"/>
        <v/>
      </c>
      <c r="S635" s="237" t="str">
        <f>IF(ISBLANK(H635),,IFNA(VLOOKUP(H635, Circuits!A:V, 22, FALSE),))</f>
        <v/>
      </c>
      <c r="T635" s="237" t="str">
        <f>IF(ISBLANK(H635),,IFNA(VLOOKUP(H635, Circuits!A:X, 24, FALSE),))</f>
        <v/>
      </c>
      <c r="V635" s="236" t="str">
        <f>IFERROR(__xludf.DUMMYFUNCTION("IF(ISBLANK(H635),,JOIN("","",H635:T635))"),"")</f>
        <v/>
      </c>
      <c r="W635" s="229" t="str">
        <f t="shared" si="1"/>
        <v/>
      </c>
    </row>
    <row r="636">
      <c r="H636" s="237"/>
      <c r="I636" s="237" t="str">
        <f>IFERROR(__xludf.DUMMYFUNCTION("IF(ISBLANK(H636),,IFNA(""""""""&amp;JOIN("","",INDEX(FILTER(A:D,A:A=H636),0,4))&amp;"""""""",))"),"")</f>
        <v/>
      </c>
      <c r="J636" s="237" t="str">
        <f>IF(ISBLANK(H636),,IFNA(VLOOKUP(H636, Circuits!A:W, 23, FALSE),))</f>
        <v/>
      </c>
      <c r="K636" s="238" t="str">
        <f t="shared" si="2"/>
        <v/>
      </c>
      <c r="L636" s="238" t="str">
        <f t="shared" si="3"/>
        <v/>
      </c>
      <c r="M636" s="238" t="str">
        <f t="shared" si="4"/>
        <v/>
      </c>
      <c r="N636" s="238" t="str">
        <f t="shared" si="5"/>
        <v/>
      </c>
      <c r="O636" s="238" t="str">
        <f t="shared" si="6"/>
        <v/>
      </c>
      <c r="P636" s="237" t="str">
        <f>IFERROR(__xludf.DUMMYFUNCTION("IF(ISBLANK(H636),,IF(IFNA(MATCH(H636,SPLIT(Circuits!$S$2,"";""&amp;CHAR(10)),0),0),FALSE,TRUE))"),"")</f>
        <v/>
      </c>
      <c r="Q636" s="237" t="str">
        <f>IF(ISBLANK(H636),,IFNA(VLOOKUP(H636, Circuits!A:U, 21, FALSE),))</f>
        <v/>
      </c>
      <c r="R636" s="238" t="str">
        <f t="shared" si="7"/>
        <v/>
      </c>
      <c r="S636" s="237" t="str">
        <f>IF(ISBLANK(H636),,IFNA(VLOOKUP(H636, Circuits!A:V, 22, FALSE),))</f>
        <v/>
      </c>
      <c r="T636" s="237" t="str">
        <f>IF(ISBLANK(H636),,IFNA(VLOOKUP(H636, Circuits!A:X, 24, FALSE),))</f>
        <v/>
      </c>
      <c r="V636" s="236" t="str">
        <f>IFERROR(__xludf.DUMMYFUNCTION("IF(ISBLANK(H636),,JOIN("","",H636:T636))"),"")</f>
        <v/>
      </c>
      <c r="W636" s="229" t="str">
        <f t="shared" si="1"/>
        <v/>
      </c>
    </row>
    <row r="637">
      <c r="H637" s="237"/>
      <c r="I637" s="237" t="str">
        <f>IFERROR(__xludf.DUMMYFUNCTION("IF(ISBLANK(H637),,IFNA(""""""""&amp;JOIN("","",INDEX(FILTER(A:D,A:A=H637),0,4))&amp;"""""""",))"),"")</f>
        <v/>
      </c>
      <c r="J637" s="237" t="str">
        <f>IF(ISBLANK(H637),,IFNA(VLOOKUP(H637, Circuits!A:W, 23, FALSE),))</f>
        <v/>
      </c>
      <c r="K637" s="238" t="str">
        <f t="shared" si="2"/>
        <v/>
      </c>
      <c r="L637" s="238" t="str">
        <f t="shared" si="3"/>
        <v/>
      </c>
      <c r="M637" s="238" t="str">
        <f t="shared" si="4"/>
        <v/>
      </c>
      <c r="N637" s="238" t="str">
        <f t="shared" si="5"/>
        <v/>
      </c>
      <c r="O637" s="238" t="str">
        <f t="shared" si="6"/>
        <v/>
      </c>
      <c r="P637" s="237" t="str">
        <f>IFERROR(__xludf.DUMMYFUNCTION("IF(ISBLANK(H637),,IF(IFNA(MATCH(H637,SPLIT(Circuits!$S$2,"";""&amp;CHAR(10)),0),0),FALSE,TRUE))"),"")</f>
        <v/>
      </c>
      <c r="Q637" s="237" t="str">
        <f>IF(ISBLANK(H637),,IFNA(VLOOKUP(H637, Circuits!A:U, 21, FALSE),))</f>
        <v/>
      </c>
      <c r="R637" s="238" t="str">
        <f t="shared" si="7"/>
        <v/>
      </c>
      <c r="S637" s="237" t="str">
        <f>IF(ISBLANK(H637),,IFNA(VLOOKUP(H637, Circuits!A:V, 22, FALSE),))</f>
        <v/>
      </c>
      <c r="T637" s="237" t="str">
        <f>IF(ISBLANK(H637),,IFNA(VLOOKUP(H637, Circuits!A:X, 24, FALSE),))</f>
        <v/>
      </c>
      <c r="V637" s="236" t="str">
        <f>IFERROR(__xludf.DUMMYFUNCTION("IF(ISBLANK(H637),,JOIN("","",H637:T637))"),"")</f>
        <v/>
      </c>
      <c r="W637" s="229" t="str">
        <f t="shared" si="1"/>
        <v/>
      </c>
    </row>
    <row r="638">
      <c r="H638" s="237"/>
      <c r="I638" s="237" t="str">
        <f>IFERROR(__xludf.DUMMYFUNCTION("IF(ISBLANK(H638),,IFNA(""""""""&amp;JOIN("","",INDEX(FILTER(A:D,A:A=H638),0,4))&amp;"""""""",))"),"")</f>
        <v/>
      </c>
      <c r="J638" s="237" t="str">
        <f>IF(ISBLANK(H638),,IFNA(VLOOKUP(H638, Circuits!A:W, 23, FALSE),))</f>
        <v/>
      </c>
      <c r="K638" s="238" t="str">
        <f t="shared" si="2"/>
        <v/>
      </c>
      <c r="L638" s="238" t="str">
        <f t="shared" si="3"/>
        <v/>
      </c>
      <c r="M638" s="238" t="str">
        <f t="shared" si="4"/>
        <v/>
      </c>
      <c r="N638" s="238" t="str">
        <f t="shared" si="5"/>
        <v/>
      </c>
      <c r="O638" s="238" t="str">
        <f t="shared" si="6"/>
        <v/>
      </c>
      <c r="P638" s="237" t="str">
        <f>IFERROR(__xludf.DUMMYFUNCTION("IF(ISBLANK(H638),,IF(IFNA(MATCH(H638,SPLIT(Circuits!$S$2,"";""&amp;CHAR(10)),0),0),FALSE,TRUE))"),"")</f>
        <v/>
      </c>
      <c r="Q638" s="237" t="str">
        <f>IF(ISBLANK(H638),,IFNA(VLOOKUP(H638, Circuits!A:U, 21, FALSE),))</f>
        <v/>
      </c>
      <c r="R638" s="238" t="str">
        <f t="shared" si="7"/>
        <v/>
      </c>
      <c r="S638" s="237" t="str">
        <f>IF(ISBLANK(H638),,IFNA(VLOOKUP(H638, Circuits!A:V, 22, FALSE),))</f>
        <v/>
      </c>
      <c r="T638" s="237" t="str">
        <f>IF(ISBLANK(H638),,IFNA(VLOOKUP(H638, Circuits!A:X, 24, FALSE),))</f>
        <v/>
      </c>
      <c r="V638" s="236" t="str">
        <f>IFERROR(__xludf.DUMMYFUNCTION("IF(ISBLANK(H638),,JOIN("","",H638:T638))"),"")</f>
        <v/>
      </c>
      <c r="W638" s="229" t="str">
        <f t="shared" si="1"/>
        <v/>
      </c>
    </row>
    <row r="639">
      <c r="H639" s="237"/>
      <c r="I639" s="237" t="str">
        <f>IFERROR(__xludf.DUMMYFUNCTION("IF(ISBLANK(H639),,IFNA(""""""""&amp;JOIN("","",INDEX(FILTER(A:D,A:A=H639),0,4))&amp;"""""""",))"),"")</f>
        <v/>
      </c>
      <c r="J639" s="237" t="str">
        <f>IF(ISBLANK(H639),,IFNA(VLOOKUP(H639, Circuits!A:W, 23, FALSE),))</f>
        <v/>
      </c>
      <c r="K639" s="238" t="str">
        <f t="shared" si="2"/>
        <v/>
      </c>
      <c r="L639" s="238" t="str">
        <f t="shared" si="3"/>
        <v/>
      </c>
      <c r="M639" s="238" t="str">
        <f t="shared" si="4"/>
        <v/>
      </c>
      <c r="N639" s="238" t="str">
        <f t="shared" si="5"/>
        <v/>
      </c>
      <c r="O639" s="238" t="str">
        <f t="shared" si="6"/>
        <v/>
      </c>
      <c r="P639" s="237" t="str">
        <f>IFERROR(__xludf.DUMMYFUNCTION("IF(ISBLANK(H639),,IF(IFNA(MATCH(H639,SPLIT(Circuits!$S$2,"";""&amp;CHAR(10)),0),0),FALSE,TRUE))"),"")</f>
        <v/>
      </c>
      <c r="Q639" s="237" t="str">
        <f>IF(ISBLANK(H639),,IFNA(VLOOKUP(H639, Circuits!A:U, 21, FALSE),))</f>
        <v/>
      </c>
      <c r="R639" s="238" t="str">
        <f t="shared" si="7"/>
        <v/>
      </c>
      <c r="S639" s="237" t="str">
        <f>IF(ISBLANK(H639),,IFNA(VLOOKUP(H639, Circuits!A:V, 22, FALSE),))</f>
        <v/>
      </c>
      <c r="T639" s="237" t="str">
        <f>IF(ISBLANK(H639),,IFNA(VLOOKUP(H639, Circuits!A:X, 24, FALSE),))</f>
        <v/>
      </c>
      <c r="V639" s="236" t="str">
        <f>IFERROR(__xludf.DUMMYFUNCTION("IF(ISBLANK(H639),,JOIN("","",H639:T639))"),"")</f>
        <v/>
      </c>
      <c r="W639" s="229" t="str">
        <f t="shared" si="1"/>
        <v/>
      </c>
    </row>
    <row r="640">
      <c r="H640" s="237"/>
      <c r="I640" s="237" t="str">
        <f>IFERROR(__xludf.DUMMYFUNCTION("IF(ISBLANK(H640),,IFNA(""""""""&amp;JOIN("","",INDEX(FILTER(A:D,A:A=H640),0,4))&amp;"""""""",))"),"")</f>
        <v/>
      </c>
      <c r="J640" s="237" t="str">
        <f>IF(ISBLANK(H640),,IFNA(VLOOKUP(H640, Circuits!A:W, 23, FALSE),))</f>
        <v/>
      </c>
      <c r="K640" s="238" t="str">
        <f t="shared" si="2"/>
        <v/>
      </c>
      <c r="L640" s="238" t="str">
        <f t="shared" si="3"/>
        <v/>
      </c>
      <c r="M640" s="238" t="str">
        <f t="shared" si="4"/>
        <v/>
      </c>
      <c r="N640" s="238" t="str">
        <f t="shared" si="5"/>
        <v/>
      </c>
      <c r="O640" s="238" t="str">
        <f t="shared" si="6"/>
        <v/>
      </c>
      <c r="P640" s="237" t="str">
        <f>IFERROR(__xludf.DUMMYFUNCTION("IF(ISBLANK(H640),,IF(IFNA(MATCH(H640,SPLIT(Circuits!$S$2,"";""&amp;CHAR(10)),0),0),FALSE,TRUE))"),"")</f>
        <v/>
      </c>
      <c r="Q640" s="237" t="str">
        <f>IF(ISBLANK(H640),,IFNA(VLOOKUP(H640, Circuits!A:U, 21, FALSE),))</f>
        <v/>
      </c>
      <c r="R640" s="238" t="str">
        <f t="shared" si="7"/>
        <v/>
      </c>
      <c r="S640" s="237" t="str">
        <f>IF(ISBLANK(H640),,IFNA(VLOOKUP(H640, Circuits!A:V, 22, FALSE),))</f>
        <v/>
      </c>
      <c r="T640" s="237" t="str">
        <f>IF(ISBLANK(H640),,IFNA(VLOOKUP(H640, Circuits!A:X, 24, FALSE),))</f>
        <v/>
      </c>
      <c r="V640" s="236" t="str">
        <f>IFERROR(__xludf.DUMMYFUNCTION("IF(ISBLANK(H640),,JOIN("","",H640:T640))"),"")</f>
        <v/>
      </c>
      <c r="W640" s="229" t="str">
        <f t="shared" si="1"/>
        <v/>
      </c>
    </row>
    <row r="641">
      <c r="H641" s="237"/>
      <c r="I641" s="237" t="str">
        <f>IFERROR(__xludf.DUMMYFUNCTION("IF(ISBLANK(H641),,IFNA(""""""""&amp;JOIN("","",INDEX(FILTER(A:D,A:A=H641),0,4))&amp;"""""""",))"),"")</f>
        <v/>
      </c>
      <c r="J641" s="237" t="str">
        <f>IF(ISBLANK(H641),,IFNA(VLOOKUP(H641, Circuits!A:W, 23, FALSE),))</f>
        <v/>
      </c>
      <c r="K641" s="238" t="str">
        <f t="shared" si="2"/>
        <v/>
      </c>
      <c r="L641" s="238" t="str">
        <f t="shared" si="3"/>
        <v/>
      </c>
      <c r="M641" s="238" t="str">
        <f t="shared" si="4"/>
        <v/>
      </c>
      <c r="N641" s="238" t="str">
        <f t="shared" si="5"/>
        <v/>
      </c>
      <c r="O641" s="238" t="str">
        <f t="shared" si="6"/>
        <v/>
      </c>
      <c r="P641" s="237" t="str">
        <f>IFERROR(__xludf.DUMMYFUNCTION("IF(ISBLANK(H641),,IF(IFNA(MATCH(H641,SPLIT(Circuits!$S$2,"";""&amp;CHAR(10)),0),0),FALSE,TRUE))"),"")</f>
        <v/>
      </c>
      <c r="Q641" s="237" t="str">
        <f>IF(ISBLANK(H641),,IFNA(VLOOKUP(H641, Circuits!A:U, 21, FALSE),))</f>
        <v/>
      </c>
      <c r="R641" s="238" t="str">
        <f t="shared" si="7"/>
        <v/>
      </c>
      <c r="S641" s="237" t="str">
        <f>IF(ISBLANK(H641),,IFNA(VLOOKUP(H641, Circuits!A:V, 22, FALSE),))</f>
        <v/>
      </c>
      <c r="T641" s="237" t="str">
        <f>IF(ISBLANK(H641),,IFNA(VLOOKUP(H641, Circuits!A:X, 24, FALSE),))</f>
        <v/>
      </c>
      <c r="V641" s="236" t="str">
        <f>IFERROR(__xludf.DUMMYFUNCTION("IF(ISBLANK(H641),,JOIN("","",H641:T641))"),"")</f>
        <v/>
      </c>
      <c r="W641" s="229" t="str">
        <f t="shared" si="1"/>
        <v/>
      </c>
    </row>
    <row r="642">
      <c r="H642" s="237"/>
      <c r="I642" s="237" t="str">
        <f>IFERROR(__xludf.DUMMYFUNCTION("IF(ISBLANK(H642),,IFNA(""""""""&amp;JOIN("","",INDEX(FILTER(A:D,A:A=H642),0,4))&amp;"""""""",))"),"")</f>
        <v/>
      </c>
      <c r="J642" s="237" t="str">
        <f>IF(ISBLANK(H642),,IFNA(VLOOKUP(H642, Circuits!A:W, 23, FALSE),))</f>
        <v/>
      </c>
      <c r="K642" s="238" t="str">
        <f t="shared" si="2"/>
        <v/>
      </c>
      <c r="L642" s="238" t="str">
        <f t="shared" si="3"/>
        <v/>
      </c>
      <c r="M642" s="238" t="str">
        <f t="shared" si="4"/>
        <v/>
      </c>
      <c r="N642" s="238" t="str">
        <f t="shared" si="5"/>
        <v/>
      </c>
      <c r="O642" s="238" t="str">
        <f t="shared" si="6"/>
        <v/>
      </c>
      <c r="P642" s="237" t="str">
        <f>IFERROR(__xludf.DUMMYFUNCTION("IF(ISBLANK(H642),,IF(IFNA(MATCH(H642,SPLIT(Circuits!$S$2,"";""&amp;CHAR(10)),0),0),FALSE,TRUE))"),"")</f>
        <v/>
      </c>
      <c r="Q642" s="237" t="str">
        <f>IF(ISBLANK(H642),,IFNA(VLOOKUP(H642, Circuits!A:U, 21, FALSE),))</f>
        <v/>
      </c>
      <c r="R642" s="238" t="str">
        <f t="shared" si="7"/>
        <v/>
      </c>
      <c r="S642" s="237" t="str">
        <f>IF(ISBLANK(H642),,IFNA(VLOOKUP(H642, Circuits!A:V, 22, FALSE),))</f>
        <v/>
      </c>
      <c r="T642" s="237" t="str">
        <f>IF(ISBLANK(H642),,IFNA(VLOOKUP(H642, Circuits!A:X, 24, FALSE),))</f>
        <v/>
      </c>
      <c r="V642" s="236" t="str">
        <f>IFERROR(__xludf.DUMMYFUNCTION("IF(ISBLANK(H642),,JOIN("","",H642:T642))"),"")</f>
        <v/>
      </c>
      <c r="W642" s="229" t="str">
        <f t="shared" si="1"/>
        <v/>
      </c>
    </row>
    <row r="643">
      <c r="H643" s="237"/>
      <c r="I643" s="237" t="str">
        <f>IFERROR(__xludf.DUMMYFUNCTION("IF(ISBLANK(H643),,IFNA(""""""""&amp;JOIN("","",INDEX(FILTER(A:D,A:A=H643),0,4))&amp;"""""""",))"),"")</f>
        <v/>
      </c>
      <c r="J643" s="237" t="str">
        <f>IF(ISBLANK(H643),,IFNA(VLOOKUP(H643, Circuits!A:W, 23, FALSE),))</f>
        <v/>
      </c>
      <c r="K643" s="238" t="str">
        <f t="shared" si="2"/>
        <v/>
      </c>
      <c r="L643" s="238" t="str">
        <f t="shared" si="3"/>
        <v/>
      </c>
      <c r="M643" s="238" t="str">
        <f t="shared" si="4"/>
        <v/>
      </c>
      <c r="N643" s="238" t="str">
        <f t="shared" si="5"/>
        <v/>
      </c>
      <c r="O643" s="238" t="str">
        <f t="shared" si="6"/>
        <v/>
      </c>
      <c r="P643" s="237" t="str">
        <f>IFERROR(__xludf.DUMMYFUNCTION("IF(ISBLANK(H643),,IF(IFNA(MATCH(H643,SPLIT(Circuits!$S$2,"";""&amp;CHAR(10)),0),0),FALSE,TRUE))"),"")</f>
        <v/>
      </c>
      <c r="Q643" s="237" t="str">
        <f>IF(ISBLANK(H643),,IFNA(VLOOKUP(H643, Circuits!A:U, 21, FALSE),))</f>
        <v/>
      </c>
      <c r="R643" s="238" t="str">
        <f t="shared" si="7"/>
        <v/>
      </c>
      <c r="S643" s="237" t="str">
        <f>IF(ISBLANK(H643),,IFNA(VLOOKUP(H643, Circuits!A:V, 22, FALSE),))</f>
        <v/>
      </c>
      <c r="T643" s="237" t="str">
        <f>IF(ISBLANK(H643),,IFNA(VLOOKUP(H643, Circuits!A:X, 24, FALSE),))</f>
        <v/>
      </c>
      <c r="V643" s="236" t="str">
        <f>IFERROR(__xludf.DUMMYFUNCTION("IF(ISBLANK(H643),,JOIN("","",H643:T643))"),"")</f>
        <v/>
      </c>
      <c r="W643" s="229" t="str">
        <f t="shared" si="1"/>
        <v/>
      </c>
    </row>
    <row r="644">
      <c r="H644" s="237"/>
      <c r="I644" s="237" t="str">
        <f>IFERROR(__xludf.DUMMYFUNCTION("IF(ISBLANK(H644),,IFNA(""""""""&amp;JOIN("","",INDEX(FILTER(A:D,A:A=H644),0,4))&amp;"""""""",))"),"")</f>
        <v/>
      </c>
      <c r="J644" s="237" t="str">
        <f>IF(ISBLANK(H644),,IFNA(VLOOKUP(H644, Circuits!A:W, 23, FALSE),))</f>
        <v/>
      </c>
      <c r="K644" s="238" t="str">
        <f t="shared" si="2"/>
        <v/>
      </c>
      <c r="L644" s="238" t="str">
        <f t="shared" si="3"/>
        <v/>
      </c>
      <c r="M644" s="238" t="str">
        <f t="shared" si="4"/>
        <v/>
      </c>
      <c r="N644" s="238" t="str">
        <f t="shared" si="5"/>
        <v/>
      </c>
      <c r="O644" s="238" t="str">
        <f t="shared" si="6"/>
        <v/>
      </c>
      <c r="P644" s="237" t="str">
        <f>IFERROR(__xludf.DUMMYFUNCTION("IF(ISBLANK(H644),,IF(IFNA(MATCH(H644,SPLIT(Circuits!$S$2,"";""&amp;CHAR(10)),0),0),FALSE,TRUE))"),"")</f>
        <v/>
      </c>
      <c r="Q644" s="237" t="str">
        <f>IF(ISBLANK(H644),,IFNA(VLOOKUP(H644, Circuits!A:U, 21, FALSE),))</f>
        <v/>
      </c>
      <c r="R644" s="238" t="str">
        <f t="shared" si="7"/>
        <v/>
      </c>
      <c r="S644" s="237" t="str">
        <f>IF(ISBLANK(H644),,IFNA(VLOOKUP(H644, Circuits!A:V, 22, FALSE),))</f>
        <v/>
      </c>
      <c r="T644" s="237" t="str">
        <f>IF(ISBLANK(H644),,IFNA(VLOOKUP(H644, Circuits!A:X, 24, FALSE),))</f>
        <v/>
      </c>
      <c r="V644" s="236" t="str">
        <f>IFERROR(__xludf.DUMMYFUNCTION("IF(ISBLANK(H644),,JOIN("","",H644:T644))"),"")</f>
        <v/>
      </c>
      <c r="W644" s="229" t="str">
        <f t="shared" si="1"/>
        <v/>
      </c>
    </row>
    <row r="645">
      <c r="H645" s="237"/>
      <c r="I645" s="237" t="str">
        <f>IFERROR(__xludf.DUMMYFUNCTION("IF(ISBLANK(H645),,IFNA(""""""""&amp;JOIN("","",INDEX(FILTER(A:D,A:A=H645),0,4))&amp;"""""""",))"),"")</f>
        <v/>
      </c>
      <c r="J645" s="237" t="str">
        <f>IF(ISBLANK(H645),,IFNA(VLOOKUP(H645, Circuits!A:W, 23, FALSE),))</f>
        <v/>
      </c>
      <c r="K645" s="238" t="str">
        <f t="shared" si="2"/>
        <v/>
      </c>
      <c r="L645" s="238" t="str">
        <f t="shared" si="3"/>
        <v/>
      </c>
      <c r="M645" s="238" t="str">
        <f t="shared" si="4"/>
        <v/>
      </c>
      <c r="N645" s="238" t="str">
        <f t="shared" si="5"/>
        <v/>
      </c>
      <c r="O645" s="238" t="str">
        <f t="shared" si="6"/>
        <v/>
      </c>
      <c r="P645" s="237" t="str">
        <f>IFERROR(__xludf.DUMMYFUNCTION("IF(ISBLANK(H645),,IF(IFNA(MATCH(H645,SPLIT(Circuits!$S$2,"";""&amp;CHAR(10)),0),0),FALSE,TRUE))"),"")</f>
        <v/>
      </c>
      <c r="Q645" s="237" t="str">
        <f>IF(ISBLANK(H645),,IFNA(VLOOKUP(H645, Circuits!A:U, 21, FALSE),))</f>
        <v/>
      </c>
      <c r="R645" s="238" t="str">
        <f t="shared" si="7"/>
        <v/>
      </c>
      <c r="S645" s="237" t="str">
        <f>IF(ISBLANK(H645),,IFNA(VLOOKUP(H645, Circuits!A:V, 22, FALSE),))</f>
        <v/>
      </c>
      <c r="T645" s="237" t="str">
        <f>IF(ISBLANK(H645),,IFNA(VLOOKUP(H645, Circuits!A:X, 24, FALSE),))</f>
        <v/>
      </c>
      <c r="V645" s="236" t="str">
        <f>IFERROR(__xludf.DUMMYFUNCTION("IF(ISBLANK(H645),,JOIN("","",H645:T645))"),"")</f>
        <v/>
      </c>
      <c r="W645" s="229" t="str">
        <f t="shared" si="1"/>
        <v/>
      </c>
    </row>
    <row r="646">
      <c r="H646" s="237"/>
      <c r="I646" s="237" t="str">
        <f>IFERROR(__xludf.DUMMYFUNCTION("IF(ISBLANK(H646),,IFNA(""""""""&amp;JOIN("","",INDEX(FILTER(A:D,A:A=H646),0,4))&amp;"""""""",))"),"")</f>
        <v/>
      </c>
      <c r="J646" s="237" t="str">
        <f>IF(ISBLANK(H646),,IFNA(VLOOKUP(H646, Circuits!A:W, 23, FALSE),))</f>
        <v/>
      </c>
      <c r="K646" s="238" t="str">
        <f t="shared" si="2"/>
        <v/>
      </c>
      <c r="L646" s="238" t="str">
        <f t="shared" si="3"/>
        <v/>
      </c>
      <c r="M646" s="238" t="str">
        <f t="shared" si="4"/>
        <v/>
      </c>
      <c r="N646" s="238" t="str">
        <f t="shared" si="5"/>
        <v/>
      </c>
      <c r="O646" s="238" t="str">
        <f t="shared" si="6"/>
        <v/>
      </c>
      <c r="P646" s="237" t="str">
        <f>IFERROR(__xludf.DUMMYFUNCTION("IF(ISBLANK(H646),,IF(IFNA(MATCH(H646,SPLIT(Circuits!$S$2,"";""&amp;CHAR(10)),0),0),FALSE,TRUE))"),"")</f>
        <v/>
      </c>
      <c r="Q646" s="237" t="str">
        <f>IF(ISBLANK(H646),,IFNA(VLOOKUP(H646, Circuits!A:U, 21, FALSE),))</f>
        <v/>
      </c>
      <c r="R646" s="238" t="str">
        <f t="shared" si="7"/>
        <v/>
      </c>
      <c r="S646" s="237" t="str">
        <f>IF(ISBLANK(H646),,IFNA(VLOOKUP(H646, Circuits!A:V, 22, FALSE),))</f>
        <v/>
      </c>
      <c r="T646" s="237" t="str">
        <f>IF(ISBLANK(H646),,IFNA(VLOOKUP(H646, Circuits!A:X, 24, FALSE),))</f>
        <v/>
      </c>
      <c r="V646" s="236" t="str">
        <f>IFERROR(__xludf.DUMMYFUNCTION("IF(ISBLANK(H646),,JOIN("","",H646:T646))"),"")</f>
        <v/>
      </c>
      <c r="W646" s="229" t="str">
        <f t="shared" si="1"/>
        <v/>
      </c>
    </row>
    <row r="647">
      <c r="H647" s="237"/>
      <c r="I647" s="237" t="str">
        <f>IFERROR(__xludf.DUMMYFUNCTION("IF(ISBLANK(H647),,IFNA(""""""""&amp;JOIN("","",INDEX(FILTER(A:D,A:A=H647),0,4))&amp;"""""""",))"),"")</f>
        <v/>
      </c>
      <c r="J647" s="237" t="str">
        <f>IF(ISBLANK(H647),,IFNA(VLOOKUP(H647, Circuits!A:W, 23, FALSE),))</f>
        <v/>
      </c>
      <c r="K647" s="238" t="str">
        <f t="shared" si="2"/>
        <v/>
      </c>
      <c r="L647" s="238" t="str">
        <f t="shared" si="3"/>
        <v/>
      </c>
      <c r="M647" s="238" t="str">
        <f t="shared" si="4"/>
        <v/>
      </c>
      <c r="N647" s="238" t="str">
        <f t="shared" si="5"/>
        <v/>
      </c>
      <c r="O647" s="238" t="str">
        <f t="shared" si="6"/>
        <v/>
      </c>
      <c r="P647" s="237" t="str">
        <f>IFERROR(__xludf.DUMMYFUNCTION("IF(ISBLANK(H647),,IF(IFNA(MATCH(H647,SPLIT(Circuits!$S$2,"";""&amp;CHAR(10)),0),0),FALSE,TRUE))"),"")</f>
        <v/>
      </c>
      <c r="Q647" s="237" t="str">
        <f>IF(ISBLANK(H647),,IFNA(VLOOKUP(H647, Circuits!A:U, 21, FALSE),))</f>
        <v/>
      </c>
      <c r="R647" s="238" t="str">
        <f t="shared" si="7"/>
        <v/>
      </c>
      <c r="S647" s="237" t="str">
        <f>IF(ISBLANK(H647),,IFNA(VLOOKUP(H647, Circuits!A:V, 22, FALSE),))</f>
        <v/>
      </c>
      <c r="T647" s="237" t="str">
        <f>IF(ISBLANK(H647),,IFNA(VLOOKUP(H647, Circuits!A:X, 24, FALSE),))</f>
        <v/>
      </c>
      <c r="V647" s="236" t="str">
        <f>IFERROR(__xludf.DUMMYFUNCTION("IF(ISBLANK(H647),,JOIN("","",H647:T647))"),"")</f>
        <v/>
      </c>
      <c r="W647" s="229" t="str">
        <f t="shared" si="1"/>
        <v/>
      </c>
    </row>
    <row r="648">
      <c r="H648" s="237"/>
      <c r="I648" s="237" t="str">
        <f>IFERROR(__xludf.DUMMYFUNCTION("IF(ISBLANK(H648),,IFNA(""""""""&amp;JOIN("","",INDEX(FILTER(A:D,A:A=H648),0,4))&amp;"""""""",))"),"")</f>
        <v/>
      </c>
      <c r="J648" s="237" t="str">
        <f>IF(ISBLANK(H648),,IFNA(VLOOKUP(H648, Circuits!A:W, 23, FALSE),))</f>
        <v/>
      </c>
      <c r="K648" s="238" t="str">
        <f t="shared" si="2"/>
        <v/>
      </c>
      <c r="L648" s="238" t="str">
        <f t="shared" si="3"/>
        <v/>
      </c>
      <c r="M648" s="238" t="str">
        <f t="shared" si="4"/>
        <v/>
      </c>
      <c r="N648" s="238" t="str">
        <f t="shared" si="5"/>
        <v/>
      </c>
      <c r="O648" s="238" t="str">
        <f t="shared" si="6"/>
        <v/>
      </c>
      <c r="P648" s="237" t="str">
        <f>IFERROR(__xludf.DUMMYFUNCTION("IF(ISBLANK(H648),,IF(IFNA(MATCH(H648,SPLIT(Circuits!$S$2,"";""&amp;CHAR(10)),0),0),FALSE,TRUE))"),"")</f>
        <v/>
      </c>
      <c r="Q648" s="237" t="str">
        <f>IF(ISBLANK(H648),,IFNA(VLOOKUP(H648, Circuits!A:U, 21, FALSE),))</f>
        <v/>
      </c>
      <c r="R648" s="238" t="str">
        <f t="shared" si="7"/>
        <v/>
      </c>
      <c r="S648" s="237" t="str">
        <f>IF(ISBLANK(H648),,IFNA(VLOOKUP(H648, Circuits!A:V, 22, FALSE),))</f>
        <v/>
      </c>
      <c r="T648" s="237" t="str">
        <f>IF(ISBLANK(H648),,IFNA(VLOOKUP(H648, Circuits!A:X, 24, FALSE),))</f>
        <v/>
      </c>
      <c r="V648" s="236" t="str">
        <f>IFERROR(__xludf.DUMMYFUNCTION("IF(ISBLANK(H648),,JOIN("","",H648:T648))"),"")</f>
        <v/>
      </c>
      <c r="W648" s="229" t="str">
        <f t="shared" si="1"/>
        <v/>
      </c>
    </row>
    <row r="649">
      <c r="H649" s="237"/>
      <c r="I649" s="237" t="str">
        <f>IFERROR(__xludf.DUMMYFUNCTION("IF(ISBLANK(H649),,IFNA(""""""""&amp;JOIN("","",INDEX(FILTER(A:D,A:A=H649),0,4))&amp;"""""""",))"),"")</f>
        <v/>
      </c>
      <c r="J649" s="237" t="str">
        <f>IF(ISBLANK(H649),,IFNA(VLOOKUP(H649, Circuits!A:W, 23, FALSE),))</f>
        <v/>
      </c>
      <c r="K649" s="238" t="str">
        <f t="shared" si="2"/>
        <v/>
      </c>
      <c r="L649" s="238" t="str">
        <f t="shared" si="3"/>
        <v/>
      </c>
      <c r="M649" s="238" t="str">
        <f t="shared" si="4"/>
        <v/>
      </c>
      <c r="N649" s="238" t="str">
        <f t="shared" si="5"/>
        <v/>
      </c>
      <c r="O649" s="238" t="str">
        <f t="shared" si="6"/>
        <v/>
      </c>
      <c r="P649" s="237" t="str">
        <f>IFERROR(__xludf.DUMMYFUNCTION("IF(ISBLANK(H649),,IF(IFNA(MATCH(H649,SPLIT(Circuits!$S$2,"";""&amp;CHAR(10)),0),0),FALSE,TRUE))"),"")</f>
        <v/>
      </c>
      <c r="Q649" s="237" t="str">
        <f>IF(ISBLANK(H649),,IFNA(VLOOKUP(H649, Circuits!A:U, 21, FALSE),))</f>
        <v/>
      </c>
      <c r="R649" s="238" t="str">
        <f t="shared" si="7"/>
        <v/>
      </c>
      <c r="S649" s="237" t="str">
        <f>IF(ISBLANK(H649),,IFNA(VLOOKUP(H649, Circuits!A:V, 22, FALSE),))</f>
        <v/>
      </c>
      <c r="T649" s="237" t="str">
        <f>IF(ISBLANK(H649),,IFNA(VLOOKUP(H649, Circuits!A:X, 24, FALSE),))</f>
        <v/>
      </c>
      <c r="V649" s="236" t="str">
        <f>IFERROR(__xludf.DUMMYFUNCTION("IF(ISBLANK(H649),,JOIN("","",H649:T649))"),"")</f>
        <v/>
      </c>
      <c r="W649" s="229" t="str">
        <f t="shared" si="1"/>
        <v/>
      </c>
    </row>
    <row r="650">
      <c r="H650" s="237"/>
      <c r="I650" s="237" t="str">
        <f>IFERROR(__xludf.DUMMYFUNCTION("IF(ISBLANK(H650),,IFNA(""""""""&amp;JOIN("","",INDEX(FILTER(A:D,A:A=H650),0,4))&amp;"""""""",))"),"")</f>
        <v/>
      </c>
      <c r="J650" s="237" t="str">
        <f>IF(ISBLANK(H650),,IFNA(VLOOKUP(H650, Circuits!A:W, 23, FALSE),))</f>
        <v/>
      </c>
      <c r="K650" s="238" t="str">
        <f t="shared" si="2"/>
        <v/>
      </c>
      <c r="L650" s="238" t="str">
        <f t="shared" si="3"/>
        <v/>
      </c>
      <c r="M650" s="238" t="str">
        <f t="shared" si="4"/>
        <v/>
      </c>
      <c r="N650" s="238" t="str">
        <f t="shared" si="5"/>
        <v/>
      </c>
      <c r="O650" s="238" t="str">
        <f t="shared" si="6"/>
        <v/>
      </c>
      <c r="P650" s="237" t="str">
        <f>IFERROR(__xludf.DUMMYFUNCTION("IF(ISBLANK(H650),,IF(IFNA(MATCH(H650,SPLIT(Circuits!$S$2,"";""&amp;CHAR(10)),0),0),FALSE,TRUE))"),"")</f>
        <v/>
      </c>
      <c r="Q650" s="237" t="str">
        <f>IF(ISBLANK(H650),,IFNA(VLOOKUP(H650, Circuits!A:U, 21, FALSE),))</f>
        <v/>
      </c>
      <c r="R650" s="238" t="str">
        <f t="shared" si="7"/>
        <v/>
      </c>
      <c r="S650" s="237" t="str">
        <f>IF(ISBLANK(H650),,IFNA(VLOOKUP(H650, Circuits!A:V, 22, FALSE),))</f>
        <v/>
      </c>
      <c r="T650" s="237" t="str">
        <f>IF(ISBLANK(H650),,IFNA(VLOOKUP(H650, Circuits!A:X, 24, FALSE),))</f>
        <v/>
      </c>
      <c r="V650" s="236" t="str">
        <f>IFERROR(__xludf.DUMMYFUNCTION("IF(ISBLANK(H650),,JOIN("","",H650:T650))"),"")</f>
        <v/>
      </c>
      <c r="W650" s="229" t="str">
        <f t="shared" si="1"/>
        <v/>
      </c>
    </row>
    <row r="651">
      <c r="H651" s="237"/>
      <c r="I651" s="237" t="str">
        <f>IFERROR(__xludf.DUMMYFUNCTION("IF(ISBLANK(H651),,IFNA(""""""""&amp;JOIN("","",INDEX(FILTER(A:D,A:A=H651),0,4))&amp;"""""""",))"),"")</f>
        <v/>
      </c>
      <c r="J651" s="237" t="str">
        <f>IF(ISBLANK(H651),,IFNA(VLOOKUP(H651, Circuits!A:W, 23, FALSE),))</f>
        <v/>
      </c>
      <c r="K651" s="238" t="str">
        <f t="shared" si="2"/>
        <v/>
      </c>
      <c r="L651" s="238" t="str">
        <f t="shared" si="3"/>
        <v/>
      </c>
      <c r="M651" s="238" t="str">
        <f t="shared" si="4"/>
        <v/>
      </c>
      <c r="N651" s="238" t="str">
        <f t="shared" si="5"/>
        <v/>
      </c>
      <c r="O651" s="238" t="str">
        <f t="shared" si="6"/>
        <v/>
      </c>
      <c r="P651" s="237" t="str">
        <f>IFERROR(__xludf.DUMMYFUNCTION("IF(ISBLANK(H651),,IF(IFNA(MATCH(H651,SPLIT(Circuits!$S$2,"";""&amp;CHAR(10)),0),0),FALSE,TRUE))"),"")</f>
        <v/>
      </c>
      <c r="Q651" s="237" t="str">
        <f>IF(ISBLANK(H651),,IFNA(VLOOKUP(H651, Circuits!A:U, 21, FALSE),))</f>
        <v/>
      </c>
      <c r="R651" s="238" t="str">
        <f t="shared" si="7"/>
        <v/>
      </c>
      <c r="S651" s="237" t="str">
        <f>IF(ISBLANK(H651),,IFNA(VLOOKUP(H651, Circuits!A:V, 22, FALSE),))</f>
        <v/>
      </c>
      <c r="T651" s="237" t="str">
        <f>IF(ISBLANK(H651),,IFNA(VLOOKUP(H651, Circuits!A:X, 24, FALSE),))</f>
        <v/>
      </c>
      <c r="V651" s="236" t="str">
        <f>IFERROR(__xludf.DUMMYFUNCTION("IF(ISBLANK(H651),,JOIN("","",H651:T651))"),"")</f>
        <v/>
      </c>
      <c r="W651" s="229" t="str">
        <f t="shared" si="1"/>
        <v/>
      </c>
    </row>
    <row r="652">
      <c r="H652" s="237"/>
      <c r="I652" s="237" t="str">
        <f>IFERROR(__xludf.DUMMYFUNCTION("IF(ISBLANK(H652),,IFNA(""""""""&amp;JOIN("","",INDEX(FILTER(A:D,A:A=H652),0,4))&amp;"""""""",))"),"")</f>
        <v/>
      </c>
      <c r="J652" s="237" t="str">
        <f>IF(ISBLANK(H652),,IFNA(VLOOKUP(H652, Circuits!A:W, 23, FALSE),))</f>
        <v/>
      </c>
      <c r="K652" s="238" t="str">
        <f t="shared" si="2"/>
        <v/>
      </c>
      <c r="L652" s="238" t="str">
        <f t="shared" si="3"/>
        <v/>
      </c>
      <c r="M652" s="238" t="str">
        <f t="shared" si="4"/>
        <v/>
      </c>
      <c r="N652" s="238" t="str">
        <f t="shared" si="5"/>
        <v/>
      </c>
      <c r="O652" s="238" t="str">
        <f t="shared" si="6"/>
        <v/>
      </c>
      <c r="P652" s="237" t="str">
        <f>IFERROR(__xludf.DUMMYFUNCTION("IF(ISBLANK(H652),,IF(IFNA(MATCH(H652,SPLIT(Circuits!$S$2,"";""&amp;CHAR(10)),0),0),FALSE,TRUE))"),"")</f>
        <v/>
      </c>
      <c r="Q652" s="237" t="str">
        <f>IF(ISBLANK(H652),,IFNA(VLOOKUP(H652, Circuits!A:U, 21, FALSE),))</f>
        <v/>
      </c>
      <c r="R652" s="238" t="str">
        <f t="shared" si="7"/>
        <v/>
      </c>
      <c r="S652" s="237" t="str">
        <f>IF(ISBLANK(H652),,IFNA(VLOOKUP(H652, Circuits!A:V, 22, FALSE),))</f>
        <v/>
      </c>
      <c r="T652" s="237" t="str">
        <f>IF(ISBLANK(H652),,IFNA(VLOOKUP(H652, Circuits!A:X, 24, FALSE),))</f>
        <v/>
      </c>
      <c r="V652" s="236" t="str">
        <f>IFERROR(__xludf.DUMMYFUNCTION("IF(ISBLANK(H652),,JOIN("","",H652:T652))"),"")</f>
        <v/>
      </c>
      <c r="W652" s="229" t="str">
        <f t="shared" si="1"/>
        <v/>
      </c>
    </row>
    <row r="653">
      <c r="H653" s="237"/>
      <c r="I653" s="237" t="str">
        <f>IFERROR(__xludf.DUMMYFUNCTION("IF(ISBLANK(H653),,IFNA(""""""""&amp;JOIN("","",INDEX(FILTER(A:D,A:A=H653),0,4))&amp;"""""""",))"),"")</f>
        <v/>
      </c>
      <c r="J653" s="237" t="str">
        <f>IF(ISBLANK(H653),,IFNA(VLOOKUP(H653, Circuits!A:W, 23, FALSE),))</f>
        <v/>
      </c>
      <c r="K653" s="238" t="str">
        <f t="shared" si="2"/>
        <v/>
      </c>
      <c r="L653" s="238" t="str">
        <f t="shared" si="3"/>
        <v/>
      </c>
      <c r="M653" s="238" t="str">
        <f t="shared" si="4"/>
        <v/>
      </c>
      <c r="N653" s="238" t="str">
        <f t="shared" si="5"/>
        <v/>
      </c>
      <c r="O653" s="238" t="str">
        <f t="shared" si="6"/>
        <v/>
      </c>
      <c r="P653" s="237" t="str">
        <f>IFERROR(__xludf.DUMMYFUNCTION("IF(ISBLANK(H653),,IF(IFNA(MATCH(H653,SPLIT(Circuits!$S$2,"";""&amp;CHAR(10)),0),0),FALSE,TRUE))"),"")</f>
        <v/>
      </c>
      <c r="Q653" s="237" t="str">
        <f>IF(ISBLANK(H653),,IFNA(VLOOKUP(H653, Circuits!A:U, 21, FALSE),))</f>
        <v/>
      </c>
      <c r="R653" s="238" t="str">
        <f t="shared" si="7"/>
        <v/>
      </c>
      <c r="S653" s="237" t="str">
        <f>IF(ISBLANK(H653),,IFNA(VLOOKUP(H653, Circuits!A:V, 22, FALSE),))</f>
        <v/>
      </c>
      <c r="T653" s="237" t="str">
        <f>IF(ISBLANK(H653),,IFNA(VLOOKUP(H653, Circuits!A:X, 24, FALSE),))</f>
        <v/>
      </c>
      <c r="V653" s="236" t="str">
        <f>IFERROR(__xludf.DUMMYFUNCTION("IF(ISBLANK(H653),,JOIN("","",H653:T653))"),"")</f>
        <v/>
      </c>
      <c r="W653" s="229" t="str">
        <f t="shared" si="1"/>
        <v/>
      </c>
    </row>
    <row r="654">
      <c r="H654" s="237"/>
      <c r="I654" s="237" t="str">
        <f>IFERROR(__xludf.DUMMYFUNCTION("IF(ISBLANK(H654),,IFNA(""""""""&amp;JOIN("","",INDEX(FILTER(A:D,A:A=H654),0,4))&amp;"""""""",))"),"")</f>
        <v/>
      </c>
      <c r="J654" s="237" t="str">
        <f>IF(ISBLANK(H654),,IFNA(VLOOKUP(H654, Circuits!A:W, 23, FALSE),))</f>
        <v/>
      </c>
      <c r="K654" s="238" t="str">
        <f t="shared" si="2"/>
        <v/>
      </c>
      <c r="L654" s="238" t="str">
        <f t="shared" si="3"/>
        <v/>
      </c>
      <c r="M654" s="238" t="str">
        <f t="shared" si="4"/>
        <v/>
      </c>
      <c r="N654" s="238" t="str">
        <f t="shared" si="5"/>
        <v/>
      </c>
      <c r="O654" s="238" t="str">
        <f t="shared" si="6"/>
        <v/>
      </c>
      <c r="P654" s="237" t="str">
        <f>IFERROR(__xludf.DUMMYFUNCTION("IF(ISBLANK(H654),,IF(IFNA(MATCH(H654,SPLIT(Circuits!$S$2,"";""&amp;CHAR(10)),0),0),FALSE,TRUE))"),"")</f>
        <v/>
      </c>
      <c r="Q654" s="237" t="str">
        <f>IF(ISBLANK(H654),,IFNA(VLOOKUP(H654, Circuits!A:U, 21, FALSE),))</f>
        <v/>
      </c>
      <c r="R654" s="238" t="str">
        <f t="shared" si="7"/>
        <v/>
      </c>
      <c r="S654" s="237" t="str">
        <f>IF(ISBLANK(H654),,IFNA(VLOOKUP(H654, Circuits!A:V, 22, FALSE),))</f>
        <v/>
      </c>
      <c r="T654" s="237" t="str">
        <f>IF(ISBLANK(H654),,IFNA(VLOOKUP(H654, Circuits!A:X, 24, FALSE),))</f>
        <v/>
      </c>
      <c r="V654" s="236" t="str">
        <f>IFERROR(__xludf.DUMMYFUNCTION("IF(ISBLANK(H654),,JOIN("","",H654:T654))"),"")</f>
        <v/>
      </c>
      <c r="W654" s="229" t="str">
        <f t="shared" si="1"/>
        <v/>
      </c>
    </row>
    <row r="655">
      <c r="H655" s="237"/>
      <c r="I655" s="237" t="str">
        <f>IFERROR(__xludf.DUMMYFUNCTION("IF(ISBLANK(H655),,IFNA(""""""""&amp;JOIN("","",INDEX(FILTER(A:D,A:A=H655),0,4))&amp;"""""""",))"),"")</f>
        <v/>
      </c>
      <c r="J655" s="237" t="str">
        <f>IF(ISBLANK(H655),,IFNA(VLOOKUP(H655, Circuits!A:W, 23, FALSE),))</f>
        <v/>
      </c>
      <c r="K655" s="238" t="str">
        <f t="shared" si="2"/>
        <v/>
      </c>
      <c r="L655" s="238" t="str">
        <f t="shared" si="3"/>
        <v/>
      </c>
      <c r="M655" s="238" t="str">
        <f t="shared" si="4"/>
        <v/>
      </c>
      <c r="N655" s="238" t="str">
        <f t="shared" si="5"/>
        <v/>
      </c>
      <c r="O655" s="238" t="str">
        <f t="shared" si="6"/>
        <v/>
      </c>
      <c r="P655" s="237" t="str">
        <f>IFERROR(__xludf.DUMMYFUNCTION("IF(ISBLANK(H655),,IF(IFNA(MATCH(H655,SPLIT(Circuits!$S$2,"";""&amp;CHAR(10)),0),0),FALSE,TRUE))"),"")</f>
        <v/>
      </c>
      <c r="Q655" s="237" t="str">
        <f>IF(ISBLANK(H655),,IFNA(VLOOKUP(H655, Circuits!A:U, 21, FALSE),))</f>
        <v/>
      </c>
      <c r="R655" s="238" t="str">
        <f t="shared" si="7"/>
        <v/>
      </c>
      <c r="S655" s="237" t="str">
        <f>IF(ISBLANK(H655),,IFNA(VLOOKUP(H655, Circuits!A:V, 22, FALSE),))</f>
        <v/>
      </c>
      <c r="T655" s="237" t="str">
        <f>IF(ISBLANK(H655),,IFNA(VLOOKUP(H655, Circuits!A:X, 24, FALSE),))</f>
        <v/>
      </c>
      <c r="V655" s="236" t="str">
        <f>IFERROR(__xludf.DUMMYFUNCTION("IF(ISBLANK(H655),,JOIN("","",H655:T655))"),"")</f>
        <v/>
      </c>
      <c r="W655" s="229" t="str">
        <f t="shared" si="1"/>
        <v/>
      </c>
    </row>
    <row r="656">
      <c r="H656" s="237"/>
      <c r="I656" s="237" t="str">
        <f>IFERROR(__xludf.DUMMYFUNCTION("IF(ISBLANK(H656),,IFNA(""""""""&amp;JOIN("","",INDEX(FILTER(A:D,A:A=H656),0,4))&amp;"""""""",))"),"")</f>
        <v/>
      </c>
      <c r="J656" s="237" t="str">
        <f>IF(ISBLANK(H656),,IFNA(VLOOKUP(H656, Circuits!A:W, 23, FALSE),))</f>
        <v/>
      </c>
      <c r="K656" s="238" t="str">
        <f t="shared" si="2"/>
        <v/>
      </c>
      <c r="L656" s="238" t="str">
        <f t="shared" si="3"/>
        <v/>
      </c>
      <c r="M656" s="238" t="str">
        <f t="shared" si="4"/>
        <v/>
      </c>
      <c r="N656" s="238" t="str">
        <f t="shared" si="5"/>
        <v/>
      </c>
      <c r="O656" s="238" t="str">
        <f t="shared" si="6"/>
        <v/>
      </c>
      <c r="P656" s="237" t="str">
        <f>IFERROR(__xludf.DUMMYFUNCTION("IF(ISBLANK(H656),,IF(IFNA(MATCH(H656,SPLIT(Circuits!$S$2,"";""&amp;CHAR(10)),0),0),FALSE,TRUE))"),"")</f>
        <v/>
      </c>
      <c r="Q656" s="237" t="str">
        <f>IF(ISBLANK(H656),,IFNA(VLOOKUP(H656, Circuits!A:U, 21, FALSE),))</f>
        <v/>
      </c>
      <c r="R656" s="238" t="str">
        <f t="shared" si="7"/>
        <v/>
      </c>
      <c r="S656" s="237" t="str">
        <f>IF(ISBLANK(H656),,IFNA(VLOOKUP(H656, Circuits!A:V, 22, FALSE),))</f>
        <v/>
      </c>
      <c r="T656" s="237" t="str">
        <f>IF(ISBLANK(H656),,IFNA(VLOOKUP(H656, Circuits!A:X, 24, FALSE),))</f>
        <v/>
      </c>
      <c r="V656" s="236" t="str">
        <f>IFERROR(__xludf.DUMMYFUNCTION("IF(ISBLANK(H656),,JOIN("","",H656:T656))"),"")</f>
        <v/>
      </c>
      <c r="W656" s="229" t="str">
        <f t="shared" si="1"/>
        <v/>
      </c>
    </row>
    <row r="657">
      <c r="H657" s="237"/>
      <c r="I657" s="237" t="str">
        <f>IFERROR(__xludf.DUMMYFUNCTION("IF(ISBLANK(H657),,IFNA(""""""""&amp;JOIN("","",INDEX(FILTER(A:D,A:A=H657),0,4))&amp;"""""""",))"),"")</f>
        <v/>
      </c>
      <c r="J657" s="237" t="str">
        <f>IF(ISBLANK(H657),,IFNA(VLOOKUP(H657, Circuits!A:W, 23, FALSE),))</f>
        <v/>
      </c>
      <c r="K657" s="238" t="str">
        <f t="shared" si="2"/>
        <v/>
      </c>
      <c r="L657" s="238" t="str">
        <f t="shared" si="3"/>
        <v/>
      </c>
      <c r="M657" s="238" t="str">
        <f t="shared" si="4"/>
        <v/>
      </c>
      <c r="N657" s="238" t="str">
        <f t="shared" si="5"/>
        <v/>
      </c>
      <c r="O657" s="238" t="str">
        <f t="shared" si="6"/>
        <v/>
      </c>
      <c r="P657" s="237" t="str">
        <f>IFERROR(__xludf.DUMMYFUNCTION("IF(ISBLANK(H657),,IF(IFNA(MATCH(H657,SPLIT(Circuits!$S$2,"";""&amp;CHAR(10)),0),0),FALSE,TRUE))"),"")</f>
        <v/>
      </c>
      <c r="Q657" s="237" t="str">
        <f>IF(ISBLANK(H657),,IFNA(VLOOKUP(H657, Circuits!A:U, 21, FALSE),))</f>
        <v/>
      </c>
      <c r="R657" s="238" t="str">
        <f t="shared" si="7"/>
        <v/>
      </c>
      <c r="S657" s="237" t="str">
        <f>IF(ISBLANK(H657),,IFNA(VLOOKUP(H657, Circuits!A:V, 22, FALSE),))</f>
        <v/>
      </c>
      <c r="T657" s="237" t="str">
        <f>IF(ISBLANK(H657),,IFNA(VLOOKUP(H657, Circuits!A:X, 24, FALSE),))</f>
        <v/>
      </c>
      <c r="V657" s="236" t="str">
        <f>IFERROR(__xludf.DUMMYFUNCTION("IF(ISBLANK(H657),,JOIN("","",H657:T657))"),"")</f>
        <v/>
      </c>
      <c r="W657" s="229" t="str">
        <f t="shared" si="1"/>
        <v/>
      </c>
    </row>
    <row r="658">
      <c r="H658" s="237"/>
      <c r="I658" s="237" t="str">
        <f>IFERROR(__xludf.DUMMYFUNCTION("IF(ISBLANK(H658),,IFNA(""""""""&amp;JOIN("","",INDEX(FILTER(A:D,A:A=H658),0,4))&amp;"""""""",))"),"")</f>
        <v/>
      </c>
      <c r="J658" s="237" t="str">
        <f>IF(ISBLANK(H658),,IFNA(VLOOKUP(H658, Circuits!A:W, 23, FALSE),))</f>
        <v/>
      </c>
      <c r="K658" s="238" t="str">
        <f t="shared" si="2"/>
        <v/>
      </c>
      <c r="L658" s="238" t="str">
        <f t="shared" si="3"/>
        <v/>
      </c>
      <c r="M658" s="238" t="str">
        <f t="shared" si="4"/>
        <v/>
      </c>
      <c r="N658" s="238" t="str">
        <f t="shared" si="5"/>
        <v/>
      </c>
      <c r="O658" s="238" t="str">
        <f t="shared" si="6"/>
        <v/>
      </c>
      <c r="P658" s="237" t="str">
        <f>IFERROR(__xludf.DUMMYFUNCTION("IF(ISBLANK(H658),,IF(IFNA(MATCH(H658,SPLIT(Circuits!$S$2,"";""&amp;CHAR(10)),0),0),FALSE,TRUE))"),"")</f>
        <v/>
      </c>
      <c r="Q658" s="237" t="str">
        <f>IF(ISBLANK(H658),,IFNA(VLOOKUP(H658, Circuits!A:U, 21, FALSE),))</f>
        <v/>
      </c>
      <c r="R658" s="238" t="str">
        <f t="shared" si="7"/>
        <v/>
      </c>
      <c r="S658" s="237" t="str">
        <f>IF(ISBLANK(H658),,IFNA(VLOOKUP(H658, Circuits!A:V, 22, FALSE),))</f>
        <v/>
      </c>
      <c r="T658" s="237" t="str">
        <f>IF(ISBLANK(H658),,IFNA(VLOOKUP(H658, Circuits!A:X, 24, FALSE),))</f>
        <v/>
      </c>
      <c r="V658" s="236" t="str">
        <f>IFERROR(__xludf.DUMMYFUNCTION("IF(ISBLANK(H658),,JOIN("","",H658:T658))"),"")</f>
        <v/>
      </c>
      <c r="W658" s="229" t="str">
        <f t="shared" si="1"/>
        <v/>
      </c>
    </row>
    <row r="659">
      <c r="H659" s="237"/>
      <c r="I659" s="237" t="str">
        <f>IFERROR(__xludf.DUMMYFUNCTION("IF(ISBLANK(H659),,IFNA(""""""""&amp;JOIN("","",INDEX(FILTER(A:D,A:A=H659),0,4))&amp;"""""""",))"),"")</f>
        <v/>
      </c>
      <c r="J659" s="237" t="str">
        <f>IF(ISBLANK(H659),,IFNA(VLOOKUP(H659, Circuits!A:W, 23, FALSE),))</f>
        <v/>
      </c>
      <c r="K659" s="238" t="str">
        <f t="shared" si="2"/>
        <v/>
      </c>
      <c r="L659" s="238" t="str">
        <f t="shared" si="3"/>
        <v/>
      </c>
      <c r="M659" s="238" t="str">
        <f t="shared" si="4"/>
        <v/>
      </c>
      <c r="N659" s="238" t="str">
        <f t="shared" si="5"/>
        <v/>
      </c>
      <c r="O659" s="238" t="str">
        <f t="shared" si="6"/>
        <v/>
      </c>
      <c r="P659" s="237" t="str">
        <f>IFERROR(__xludf.DUMMYFUNCTION("IF(ISBLANK(H659),,IF(IFNA(MATCH(H659,SPLIT(Circuits!$S$2,"";""&amp;CHAR(10)),0),0),FALSE,TRUE))"),"")</f>
        <v/>
      </c>
      <c r="Q659" s="237" t="str">
        <f>IF(ISBLANK(H659),,IFNA(VLOOKUP(H659, Circuits!A:U, 21, FALSE),))</f>
        <v/>
      </c>
      <c r="R659" s="238" t="str">
        <f t="shared" si="7"/>
        <v/>
      </c>
      <c r="S659" s="237" t="str">
        <f>IF(ISBLANK(H659),,IFNA(VLOOKUP(H659, Circuits!A:V, 22, FALSE),))</f>
        <v/>
      </c>
      <c r="T659" s="237" t="str">
        <f>IF(ISBLANK(H659),,IFNA(VLOOKUP(H659, Circuits!A:X, 24, FALSE),))</f>
        <v/>
      </c>
      <c r="V659" s="236" t="str">
        <f>IFERROR(__xludf.DUMMYFUNCTION("IF(ISBLANK(H659),,JOIN("","",H659:T659))"),"")</f>
        <v/>
      </c>
      <c r="W659" s="229" t="str">
        <f t="shared" si="1"/>
        <v/>
      </c>
    </row>
    <row r="660">
      <c r="H660" s="237"/>
      <c r="I660" s="237" t="str">
        <f>IFERROR(__xludf.DUMMYFUNCTION("IF(ISBLANK(H660),,IFNA(""""""""&amp;JOIN("","",INDEX(FILTER(A:D,A:A=H660),0,4))&amp;"""""""",))"),"")</f>
        <v/>
      </c>
      <c r="J660" s="237" t="str">
        <f>IF(ISBLANK(H660),,IFNA(VLOOKUP(H660, Circuits!A:W, 23, FALSE),))</f>
        <v/>
      </c>
      <c r="K660" s="238" t="str">
        <f t="shared" si="2"/>
        <v/>
      </c>
      <c r="L660" s="238" t="str">
        <f t="shared" si="3"/>
        <v/>
      </c>
      <c r="M660" s="238" t="str">
        <f t="shared" si="4"/>
        <v/>
      </c>
      <c r="N660" s="238" t="str">
        <f t="shared" si="5"/>
        <v/>
      </c>
      <c r="O660" s="238" t="str">
        <f t="shared" si="6"/>
        <v/>
      </c>
      <c r="P660" s="237" t="str">
        <f>IFERROR(__xludf.DUMMYFUNCTION("IF(ISBLANK(H660),,IF(IFNA(MATCH(H660,SPLIT(Circuits!$S$2,"";""&amp;CHAR(10)),0),0),FALSE,TRUE))"),"")</f>
        <v/>
      </c>
      <c r="Q660" s="237" t="str">
        <f>IF(ISBLANK(H660),,IFNA(VLOOKUP(H660, Circuits!A:U, 21, FALSE),))</f>
        <v/>
      </c>
      <c r="R660" s="238" t="str">
        <f t="shared" si="7"/>
        <v/>
      </c>
      <c r="S660" s="237" t="str">
        <f>IF(ISBLANK(H660),,IFNA(VLOOKUP(H660, Circuits!A:V, 22, FALSE),))</f>
        <v/>
      </c>
      <c r="T660" s="237" t="str">
        <f>IF(ISBLANK(H660),,IFNA(VLOOKUP(H660, Circuits!A:X, 24, FALSE),))</f>
        <v/>
      </c>
      <c r="V660" s="236" t="str">
        <f>IFERROR(__xludf.DUMMYFUNCTION("IF(ISBLANK(H660),,JOIN("","",H660:T660))"),"")</f>
        <v/>
      </c>
      <c r="W660" s="229" t="str">
        <f t="shared" si="1"/>
        <v/>
      </c>
    </row>
    <row r="661">
      <c r="H661" s="237"/>
      <c r="I661" s="237" t="str">
        <f>IFERROR(__xludf.DUMMYFUNCTION("IF(ISBLANK(H661),,IFNA(""""""""&amp;JOIN("","",INDEX(FILTER(A:D,A:A=H661),0,4))&amp;"""""""",))"),"")</f>
        <v/>
      </c>
      <c r="J661" s="237" t="str">
        <f>IF(ISBLANK(H661),,IFNA(VLOOKUP(H661, Circuits!A:W, 23, FALSE),))</f>
        <v/>
      </c>
      <c r="K661" s="238" t="str">
        <f t="shared" si="2"/>
        <v/>
      </c>
      <c r="L661" s="238" t="str">
        <f t="shared" si="3"/>
        <v/>
      </c>
      <c r="M661" s="238" t="str">
        <f t="shared" si="4"/>
        <v/>
      </c>
      <c r="N661" s="238" t="str">
        <f t="shared" si="5"/>
        <v/>
      </c>
      <c r="O661" s="238" t="str">
        <f t="shared" si="6"/>
        <v/>
      </c>
      <c r="P661" s="237" t="str">
        <f>IFERROR(__xludf.DUMMYFUNCTION("IF(ISBLANK(H661),,IF(IFNA(MATCH(H661,SPLIT(Circuits!$S$2,"";""&amp;CHAR(10)),0),0),FALSE,TRUE))"),"")</f>
        <v/>
      </c>
      <c r="Q661" s="237" t="str">
        <f>IF(ISBLANK(H661),,IFNA(VLOOKUP(H661, Circuits!A:U, 21, FALSE),))</f>
        <v/>
      </c>
      <c r="R661" s="238" t="str">
        <f t="shared" si="7"/>
        <v/>
      </c>
      <c r="S661" s="237" t="str">
        <f>IF(ISBLANK(H661),,IFNA(VLOOKUP(H661, Circuits!A:V, 22, FALSE),))</f>
        <v/>
      </c>
      <c r="T661" s="237" t="str">
        <f>IF(ISBLANK(H661),,IFNA(VLOOKUP(H661, Circuits!A:X, 24, FALSE),))</f>
        <v/>
      </c>
      <c r="V661" s="236" t="str">
        <f>IFERROR(__xludf.DUMMYFUNCTION("IF(ISBLANK(H661),,JOIN("","",H661:T661))"),"")</f>
        <v/>
      </c>
      <c r="W661" s="229" t="str">
        <f t="shared" si="1"/>
        <v/>
      </c>
    </row>
    <row r="662">
      <c r="H662" s="237"/>
      <c r="I662" s="237" t="str">
        <f>IFERROR(__xludf.DUMMYFUNCTION("IF(ISBLANK(H662),,IFNA(""""""""&amp;JOIN("","",INDEX(FILTER(A:D,A:A=H662),0,4))&amp;"""""""",))"),"")</f>
        <v/>
      </c>
      <c r="J662" s="237" t="str">
        <f>IF(ISBLANK(H662),,IFNA(VLOOKUP(H662, Circuits!A:W, 23, FALSE),))</f>
        <v/>
      </c>
      <c r="K662" s="238" t="str">
        <f t="shared" si="2"/>
        <v/>
      </c>
      <c r="L662" s="238" t="str">
        <f t="shared" si="3"/>
        <v/>
      </c>
      <c r="M662" s="238" t="str">
        <f t="shared" si="4"/>
        <v/>
      </c>
      <c r="N662" s="238" t="str">
        <f t="shared" si="5"/>
        <v/>
      </c>
      <c r="O662" s="238" t="str">
        <f t="shared" si="6"/>
        <v/>
      </c>
      <c r="P662" s="237" t="str">
        <f>IFERROR(__xludf.DUMMYFUNCTION("IF(ISBLANK(H662),,IF(IFNA(MATCH(H662,SPLIT(Circuits!$S$2,"";""&amp;CHAR(10)),0),0),FALSE,TRUE))"),"")</f>
        <v/>
      </c>
      <c r="Q662" s="237" t="str">
        <f>IF(ISBLANK(H662),,IFNA(VLOOKUP(H662, Circuits!A:U, 21, FALSE),))</f>
        <v/>
      </c>
      <c r="R662" s="238" t="str">
        <f t="shared" si="7"/>
        <v/>
      </c>
      <c r="S662" s="237" t="str">
        <f>IF(ISBLANK(H662),,IFNA(VLOOKUP(H662, Circuits!A:V, 22, FALSE),))</f>
        <v/>
      </c>
      <c r="T662" s="237" t="str">
        <f>IF(ISBLANK(H662),,IFNA(VLOOKUP(H662, Circuits!A:X, 24, FALSE),))</f>
        <v/>
      </c>
      <c r="V662" s="236" t="str">
        <f>IFERROR(__xludf.DUMMYFUNCTION("IF(ISBLANK(H662),,JOIN("","",H662:T662))"),"")</f>
        <v/>
      </c>
      <c r="W662" s="229" t="str">
        <f t="shared" si="1"/>
        <v/>
      </c>
    </row>
    <row r="663">
      <c r="H663" s="237"/>
      <c r="I663" s="237" t="str">
        <f>IFERROR(__xludf.DUMMYFUNCTION("IF(ISBLANK(H663),,IFNA(""""""""&amp;JOIN("","",INDEX(FILTER(A:D,A:A=H663),0,4))&amp;"""""""",))"),"")</f>
        <v/>
      </c>
      <c r="J663" s="237" t="str">
        <f>IF(ISBLANK(H663),,IFNA(VLOOKUP(H663, Circuits!A:W, 23, FALSE),))</f>
        <v/>
      </c>
      <c r="K663" s="238" t="str">
        <f t="shared" si="2"/>
        <v/>
      </c>
      <c r="L663" s="238" t="str">
        <f t="shared" si="3"/>
        <v/>
      </c>
      <c r="M663" s="238" t="str">
        <f t="shared" si="4"/>
        <v/>
      </c>
      <c r="N663" s="238" t="str">
        <f t="shared" si="5"/>
        <v/>
      </c>
      <c r="O663" s="238" t="str">
        <f t="shared" si="6"/>
        <v/>
      </c>
      <c r="P663" s="237" t="str">
        <f>IFERROR(__xludf.DUMMYFUNCTION("IF(ISBLANK(H663),,IF(IFNA(MATCH(H663,SPLIT(Circuits!$S$2,"";""&amp;CHAR(10)),0),0),FALSE,TRUE))"),"")</f>
        <v/>
      </c>
      <c r="Q663" s="237" t="str">
        <f>IF(ISBLANK(H663),,IFNA(VLOOKUP(H663, Circuits!A:U, 21, FALSE),))</f>
        <v/>
      </c>
      <c r="R663" s="238" t="str">
        <f t="shared" si="7"/>
        <v/>
      </c>
      <c r="S663" s="237" t="str">
        <f>IF(ISBLANK(H663),,IFNA(VLOOKUP(H663, Circuits!A:V, 22, FALSE),))</f>
        <v/>
      </c>
      <c r="T663" s="237" t="str">
        <f>IF(ISBLANK(H663),,IFNA(VLOOKUP(H663, Circuits!A:X, 24, FALSE),))</f>
        <v/>
      </c>
      <c r="V663" s="236" t="str">
        <f>IFERROR(__xludf.DUMMYFUNCTION("IF(ISBLANK(H663),,JOIN("","",H663:T663))"),"")</f>
        <v/>
      </c>
      <c r="W663" s="229" t="str">
        <f t="shared" si="1"/>
        <v/>
      </c>
    </row>
    <row r="664">
      <c r="H664" s="237"/>
      <c r="I664" s="237" t="str">
        <f>IFERROR(__xludf.DUMMYFUNCTION("IF(ISBLANK(H664),,IFNA(""""""""&amp;JOIN("","",INDEX(FILTER(A:D,A:A=H664),0,4))&amp;"""""""",))"),"")</f>
        <v/>
      </c>
      <c r="J664" s="237" t="str">
        <f>IF(ISBLANK(H664),,IFNA(VLOOKUP(H664, Circuits!A:W, 23, FALSE),))</f>
        <v/>
      </c>
      <c r="K664" s="238" t="str">
        <f t="shared" si="2"/>
        <v/>
      </c>
      <c r="L664" s="238" t="str">
        <f t="shared" si="3"/>
        <v/>
      </c>
      <c r="M664" s="238" t="str">
        <f t="shared" si="4"/>
        <v/>
      </c>
      <c r="N664" s="238" t="str">
        <f t="shared" si="5"/>
        <v/>
      </c>
      <c r="O664" s="238" t="str">
        <f t="shared" si="6"/>
        <v/>
      </c>
      <c r="P664" s="237" t="str">
        <f>IFERROR(__xludf.DUMMYFUNCTION("IF(ISBLANK(H664),,IF(IFNA(MATCH(H664,SPLIT(Circuits!$S$2,"";""&amp;CHAR(10)),0),0),FALSE,TRUE))"),"")</f>
        <v/>
      </c>
      <c r="Q664" s="237" t="str">
        <f>IF(ISBLANK(H664),,IFNA(VLOOKUP(H664, Circuits!A:U, 21, FALSE),))</f>
        <v/>
      </c>
      <c r="R664" s="238" t="str">
        <f t="shared" si="7"/>
        <v/>
      </c>
      <c r="S664" s="237" t="str">
        <f>IF(ISBLANK(H664),,IFNA(VLOOKUP(H664, Circuits!A:V, 22, FALSE),))</f>
        <v/>
      </c>
      <c r="T664" s="237" t="str">
        <f>IF(ISBLANK(H664),,IFNA(VLOOKUP(H664, Circuits!A:X, 24, FALSE),))</f>
        <v/>
      </c>
      <c r="V664" s="236" t="str">
        <f>IFERROR(__xludf.DUMMYFUNCTION("IF(ISBLANK(H664),,JOIN("","",H664:T664))"),"")</f>
        <v/>
      </c>
      <c r="W664" s="229" t="str">
        <f t="shared" si="1"/>
        <v/>
      </c>
    </row>
    <row r="665">
      <c r="H665" s="237"/>
      <c r="I665" s="237" t="str">
        <f>IFERROR(__xludf.DUMMYFUNCTION("IF(ISBLANK(H665),,IFNA(""""""""&amp;JOIN("","",INDEX(FILTER(A:D,A:A=H665),0,4))&amp;"""""""",))"),"")</f>
        <v/>
      </c>
      <c r="J665" s="237" t="str">
        <f>IF(ISBLANK(H665),,IFNA(VLOOKUP(H665, Circuits!A:W, 23, FALSE),))</f>
        <v/>
      </c>
      <c r="K665" s="238" t="str">
        <f t="shared" si="2"/>
        <v/>
      </c>
      <c r="L665" s="238" t="str">
        <f t="shared" si="3"/>
        <v/>
      </c>
      <c r="M665" s="238" t="str">
        <f t="shared" si="4"/>
        <v/>
      </c>
      <c r="N665" s="238" t="str">
        <f t="shared" si="5"/>
        <v/>
      </c>
      <c r="O665" s="238" t="str">
        <f t="shared" si="6"/>
        <v/>
      </c>
      <c r="P665" s="237" t="str">
        <f>IFERROR(__xludf.DUMMYFUNCTION("IF(ISBLANK(H665),,IF(IFNA(MATCH(H665,SPLIT(Circuits!$S$2,"";""&amp;CHAR(10)),0),0),FALSE,TRUE))"),"")</f>
        <v/>
      </c>
      <c r="Q665" s="237" t="str">
        <f>IF(ISBLANK(H665),,IFNA(VLOOKUP(H665, Circuits!A:U, 21, FALSE),))</f>
        <v/>
      </c>
      <c r="R665" s="238" t="str">
        <f t="shared" si="7"/>
        <v/>
      </c>
      <c r="S665" s="237" t="str">
        <f>IF(ISBLANK(H665),,IFNA(VLOOKUP(H665, Circuits!A:V, 22, FALSE),))</f>
        <v/>
      </c>
      <c r="T665" s="237" t="str">
        <f>IF(ISBLANK(H665),,IFNA(VLOOKUP(H665, Circuits!A:X, 24, FALSE),))</f>
        <v/>
      </c>
      <c r="V665" s="236" t="str">
        <f>IFERROR(__xludf.DUMMYFUNCTION("IF(ISBLANK(H665),,JOIN("","",H665:T665))"),"")</f>
        <v/>
      </c>
      <c r="W665" s="229" t="str">
        <f t="shared" si="1"/>
        <v/>
      </c>
    </row>
    <row r="666">
      <c r="H666" s="237"/>
      <c r="I666" s="237" t="str">
        <f>IFERROR(__xludf.DUMMYFUNCTION("IF(ISBLANK(H666),,IFNA(""""""""&amp;JOIN("","",INDEX(FILTER(A:D,A:A=H666),0,4))&amp;"""""""",))"),"")</f>
        <v/>
      </c>
      <c r="J666" s="237" t="str">
        <f>IF(ISBLANK(H666),,IFNA(VLOOKUP(H666, Circuits!A:W, 23, FALSE),))</f>
        <v/>
      </c>
      <c r="K666" s="238" t="str">
        <f t="shared" si="2"/>
        <v/>
      </c>
      <c r="L666" s="238" t="str">
        <f t="shared" si="3"/>
        <v/>
      </c>
      <c r="M666" s="238" t="str">
        <f t="shared" si="4"/>
        <v/>
      </c>
      <c r="N666" s="238" t="str">
        <f t="shared" si="5"/>
        <v/>
      </c>
      <c r="O666" s="238" t="str">
        <f t="shared" si="6"/>
        <v/>
      </c>
      <c r="P666" s="237" t="str">
        <f>IFERROR(__xludf.DUMMYFUNCTION("IF(ISBLANK(H666),,IF(IFNA(MATCH(H666,SPLIT(Circuits!$S$2,"";""&amp;CHAR(10)),0),0),FALSE,TRUE))"),"")</f>
        <v/>
      </c>
      <c r="Q666" s="237" t="str">
        <f>IF(ISBLANK(H666),,IFNA(VLOOKUP(H666, Circuits!A:U, 21, FALSE),))</f>
        <v/>
      </c>
      <c r="R666" s="238" t="str">
        <f t="shared" si="7"/>
        <v/>
      </c>
      <c r="S666" s="237" t="str">
        <f>IF(ISBLANK(H666),,IFNA(VLOOKUP(H666, Circuits!A:V, 22, FALSE),))</f>
        <v/>
      </c>
      <c r="T666" s="237" t="str">
        <f>IF(ISBLANK(H666),,IFNA(VLOOKUP(H666, Circuits!A:X, 24, FALSE),))</f>
        <v/>
      </c>
      <c r="V666" s="236" t="str">
        <f>IFERROR(__xludf.DUMMYFUNCTION("IF(ISBLANK(H666),,JOIN("","",H666:T666))"),"")</f>
        <v/>
      </c>
      <c r="W666" s="229" t="str">
        <f t="shared" si="1"/>
        <v/>
      </c>
    </row>
    <row r="667">
      <c r="H667" s="237"/>
      <c r="I667" s="237" t="str">
        <f>IFERROR(__xludf.DUMMYFUNCTION("IF(ISBLANK(H667),,IFNA(""""""""&amp;JOIN("","",INDEX(FILTER(A:D,A:A=H667),0,4))&amp;"""""""",))"),"")</f>
        <v/>
      </c>
      <c r="J667" s="237" t="str">
        <f>IF(ISBLANK(H667),,IFNA(VLOOKUP(H667, Circuits!A:W, 23, FALSE),))</f>
        <v/>
      </c>
      <c r="K667" s="238" t="str">
        <f t="shared" si="2"/>
        <v/>
      </c>
      <c r="L667" s="238" t="str">
        <f t="shared" si="3"/>
        <v/>
      </c>
      <c r="M667" s="238" t="str">
        <f t="shared" si="4"/>
        <v/>
      </c>
      <c r="N667" s="238" t="str">
        <f t="shared" si="5"/>
        <v/>
      </c>
      <c r="O667" s="238" t="str">
        <f t="shared" si="6"/>
        <v/>
      </c>
      <c r="P667" s="237" t="str">
        <f>IFERROR(__xludf.DUMMYFUNCTION("IF(ISBLANK(H667),,IF(IFNA(MATCH(H667,SPLIT(Circuits!$S$2,"";""&amp;CHAR(10)),0),0),FALSE,TRUE))"),"")</f>
        <v/>
      </c>
      <c r="Q667" s="237" t="str">
        <f>IF(ISBLANK(H667),,IFNA(VLOOKUP(H667, Circuits!A:U, 21, FALSE),))</f>
        <v/>
      </c>
      <c r="R667" s="238" t="str">
        <f t="shared" si="7"/>
        <v/>
      </c>
      <c r="S667" s="237" t="str">
        <f>IF(ISBLANK(H667),,IFNA(VLOOKUP(H667, Circuits!A:V, 22, FALSE),))</f>
        <v/>
      </c>
      <c r="T667" s="237" t="str">
        <f>IF(ISBLANK(H667),,IFNA(VLOOKUP(H667, Circuits!A:X, 24, FALSE),))</f>
        <v/>
      </c>
      <c r="V667" s="236" t="str">
        <f>IFERROR(__xludf.DUMMYFUNCTION("IF(ISBLANK(H667),,JOIN("","",H667:T667))"),"")</f>
        <v/>
      </c>
      <c r="W667" s="229" t="str">
        <f t="shared" si="1"/>
        <v/>
      </c>
    </row>
    <row r="668">
      <c r="H668" s="237"/>
      <c r="I668" s="237" t="str">
        <f>IFERROR(__xludf.DUMMYFUNCTION("IF(ISBLANK(H668),,IFNA(""""""""&amp;JOIN("","",INDEX(FILTER(A:D,A:A=H668),0,4))&amp;"""""""",))"),"")</f>
        <v/>
      </c>
      <c r="J668" s="237" t="str">
        <f>IF(ISBLANK(H668),,IFNA(VLOOKUP(H668, Circuits!A:W, 23, FALSE),))</f>
        <v/>
      </c>
      <c r="K668" s="238" t="str">
        <f t="shared" si="2"/>
        <v/>
      </c>
      <c r="L668" s="238" t="str">
        <f t="shared" si="3"/>
        <v/>
      </c>
      <c r="M668" s="238" t="str">
        <f t="shared" si="4"/>
        <v/>
      </c>
      <c r="N668" s="238" t="str">
        <f t="shared" si="5"/>
        <v/>
      </c>
      <c r="O668" s="238" t="str">
        <f t="shared" si="6"/>
        <v/>
      </c>
      <c r="P668" s="237" t="str">
        <f>IFERROR(__xludf.DUMMYFUNCTION("IF(ISBLANK(H668),,IF(IFNA(MATCH(H668,SPLIT(Circuits!$S$2,"";""&amp;CHAR(10)),0),0),FALSE,TRUE))"),"")</f>
        <v/>
      </c>
      <c r="Q668" s="237" t="str">
        <f>IF(ISBLANK(H668),,IFNA(VLOOKUP(H668, Circuits!A:U, 21, FALSE),))</f>
        <v/>
      </c>
      <c r="R668" s="238" t="str">
        <f t="shared" si="7"/>
        <v/>
      </c>
      <c r="S668" s="237" t="str">
        <f>IF(ISBLANK(H668),,IFNA(VLOOKUP(H668, Circuits!A:V, 22, FALSE),))</f>
        <v/>
      </c>
      <c r="T668" s="237" t="str">
        <f>IF(ISBLANK(H668),,IFNA(VLOOKUP(H668, Circuits!A:X, 24, FALSE),))</f>
        <v/>
      </c>
      <c r="V668" s="236" t="str">
        <f>IFERROR(__xludf.DUMMYFUNCTION("IF(ISBLANK(H668),,JOIN("","",H668:T668))"),"")</f>
        <v/>
      </c>
      <c r="W668" s="229" t="str">
        <f t="shared" si="1"/>
        <v/>
      </c>
    </row>
    <row r="669">
      <c r="H669" s="237"/>
      <c r="I669" s="237" t="str">
        <f>IFERROR(__xludf.DUMMYFUNCTION("IF(ISBLANK(H669),,IFNA(""""""""&amp;JOIN("","",INDEX(FILTER(A:D,A:A=H669),0,4))&amp;"""""""",))"),"")</f>
        <v/>
      </c>
      <c r="J669" s="237" t="str">
        <f>IF(ISBLANK(H669),,IFNA(VLOOKUP(H669, Circuits!A:W, 23, FALSE),))</f>
        <v/>
      </c>
      <c r="K669" s="238" t="str">
        <f t="shared" si="2"/>
        <v/>
      </c>
      <c r="L669" s="238" t="str">
        <f t="shared" si="3"/>
        <v/>
      </c>
      <c r="M669" s="238" t="str">
        <f t="shared" si="4"/>
        <v/>
      </c>
      <c r="N669" s="238" t="str">
        <f t="shared" si="5"/>
        <v/>
      </c>
      <c r="O669" s="238" t="str">
        <f t="shared" si="6"/>
        <v/>
      </c>
      <c r="P669" s="237" t="str">
        <f>IFERROR(__xludf.DUMMYFUNCTION("IF(ISBLANK(H669),,IF(IFNA(MATCH(H669,SPLIT(Circuits!$S$2,"";""&amp;CHAR(10)),0),0),FALSE,TRUE))"),"")</f>
        <v/>
      </c>
      <c r="Q669" s="237" t="str">
        <f>IF(ISBLANK(H669),,IFNA(VLOOKUP(H669, Circuits!A:U, 21, FALSE),))</f>
        <v/>
      </c>
      <c r="R669" s="238" t="str">
        <f t="shared" si="7"/>
        <v/>
      </c>
      <c r="S669" s="237" t="str">
        <f>IF(ISBLANK(H669),,IFNA(VLOOKUP(H669, Circuits!A:V, 22, FALSE),))</f>
        <v/>
      </c>
      <c r="T669" s="237" t="str">
        <f>IF(ISBLANK(H669),,IFNA(VLOOKUP(H669, Circuits!A:X, 24, FALSE),))</f>
        <v/>
      </c>
      <c r="V669" s="236" t="str">
        <f>IFERROR(__xludf.DUMMYFUNCTION("IF(ISBLANK(H669),,JOIN("","",H669:T669))"),"")</f>
        <v/>
      </c>
      <c r="W669" s="229" t="str">
        <f t="shared" si="1"/>
        <v/>
      </c>
    </row>
    <row r="670">
      <c r="H670" s="237"/>
      <c r="I670" s="237" t="str">
        <f>IFERROR(__xludf.DUMMYFUNCTION("IF(ISBLANK(H670),,IFNA(""""""""&amp;JOIN("","",INDEX(FILTER(A:D,A:A=H670),0,4))&amp;"""""""",))"),"")</f>
        <v/>
      </c>
      <c r="J670" s="237" t="str">
        <f>IF(ISBLANK(H670),,IFNA(VLOOKUP(H670, Circuits!A:W, 23, FALSE),))</f>
        <v/>
      </c>
      <c r="K670" s="238" t="str">
        <f t="shared" si="2"/>
        <v/>
      </c>
      <c r="L670" s="238" t="str">
        <f t="shared" si="3"/>
        <v/>
      </c>
      <c r="M670" s="238" t="str">
        <f t="shared" si="4"/>
        <v/>
      </c>
      <c r="N670" s="238" t="str">
        <f t="shared" si="5"/>
        <v/>
      </c>
      <c r="O670" s="238" t="str">
        <f t="shared" si="6"/>
        <v/>
      </c>
      <c r="P670" s="237" t="str">
        <f>IFERROR(__xludf.DUMMYFUNCTION("IF(ISBLANK(H670),,IF(IFNA(MATCH(H670,SPLIT(Circuits!$S$2,"";""&amp;CHAR(10)),0),0),FALSE,TRUE))"),"")</f>
        <v/>
      </c>
      <c r="Q670" s="237" t="str">
        <f>IF(ISBLANK(H670),,IFNA(VLOOKUP(H670, Circuits!A:U, 21, FALSE),))</f>
        <v/>
      </c>
      <c r="R670" s="238" t="str">
        <f t="shared" si="7"/>
        <v/>
      </c>
      <c r="S670" s="237" t="str">
        <f>IF(ISBLANK(H670),,IFNA(VLOOKUP(H670, Circuits!A:V, 22, FALSE),))</f>
        <v/>
      </c>
      <c r="T670" s="237" t="str">
        <f>IF(ISBLANK(H670),,IFNA(VLOOKUP(H670, Circuits!A:X, 24, FALSE),))</f>
        <v/>
      </c>
      <c r="V670" s="236" t="str">
        <f>IFERROR(__xludf.DUMMYFUNCTION("IF(ISBLANK(H670),,JOIN("","",H670:T670))"),"")</f>
        <v/>
      </c>
      <c r="W670" s="229" t="str">
        <f t="shared" si="1"/>
        <v/>
      </c>
    </row>
    <row r="671">
      <c r="H671" s="237"/>
      <c r="I671" s="237" t="str">
        <f>IFERROR(__xludf.DUMMYFUNCTION("IF(ISBLANK(H671),,IFNA(""""""""&amp;JOIN("","",INDEX(FILTER(A:D,A:A=H671),0,4))&amp;"""""""",))"),"")</f>
        <v/>
      </c>
      <c r="J671" s="237" t="str">
        <f>IF(ISBLANK(H671),,IFNA(VLOOKUP(H671, Circuits!A:W, 23, FALSE),))</f>
        <v/>
      </c>
      <c r="K671" s="238" t="str">
        <f t="shared" si="2"/>
        <v/>
      </c>
      <c r="L671" s="238" t="str">
        <f t="shared" si="3"/>
        <v/>
      </c>
      <c r="M671" s="238" t="str">
        <f t="shared" si="4"/>
        <v/>
      </c>
      <c r="N671" s="238" t="str">
        <f t="shared" si="5"/>
        <v/>
      </c>
      <c r="O671" s="238" t="str">
        <f t="shared" si="6"/>
        <v/>
      </c>
      <c r="P671" s="237" t="str">
        <f>IFERROR(__xludf.DUMMYFUNCTION("IF(ISBLANK(H671),,IF(IFNA(MATCH(H671,SPLIT(Circuits!$S$2,"";""&amp;CHAR(10)),0),0),FALSE,TRUE))"),"")</f>
        <v/>
      </c>
      <c r="Q671" s="237" t="str">
        <f>IF(ISBLANK(H671),,IFNA(VLOOKUP(H671, Circuits!A:U, 21, FALSE),))</f>
        <v/>
      </c>
      <c r="R671" s="238" t="str">
        <f t="shared" si="7"/>
        <v/>
      </c>
      <c r="S671" s="237" t="str">
        <f>IF(ISBLANK(H671),,IFNA(VLOOKUP(H671, Circuits!A:V, 22, FALSE),))</f>
        <v/>
      </c>
      <c r="T671" s="237" t="str">
        <f>IF(ISBLANK(H671),,IFNA(VLOOKUP(H671, Circuits!A:X, 24, FALSE),))</f>
        <v/>
      </c>
      <c r="V671" s="236" t="str">
        <f>IFERROR(__xludf.DUMMYFUNCTION("IF(ISBLANK(H671),,JOIN("","",H671:T671))"),"")</f>
        <v/>
      </c>
      <c r="W671" s="229" t="str">
        <f t="shared" si="1"/>
        <v/>
      </c>
    </row>
    <row r="672">
      <c r="H672" s="237"/>
      <c r="I672" s="237" t="str">
        <f>IFERROR(__xludf.DUMMYFUNCTION("IF(ISBLANK(H672),,IFNA(""""""""&amp;JOIN("","",INDEX(FILTER(A:D,A:A=H672),0,4))&amp;"""""""",))"),"")</f>
        <v/>
      </c>
      <c r="J672" s="237" t="str">
        <f>IF(ISBLANK(H672),,IFNA(VLOOKUP(H672, Circuits!A:W, 23, FALSE),))</f>
        <v/>
      </c>
      <c r="K672" s="238" t="str">
        <f t="shared" si="2"/>
        <v/>
      </c>
      <c r="L672" s="238" t="str">
        <f t="shared" si="3"/>
        <v/>
      </c>
      <c r="M672" s="238" t="str">
        <f t="shared" si="4"/>
        <v/>
      </c>
      <c r="N672" s="238" t="str">
        <f t="shared" si="5"/>
        <v/>
      </c>
      <c r="O672" s="238" t="str">
        <f t="shared" si="6"/>
        <v/>
      </c>
      <c r="P672" s="237" t="str">
        <f>IFERROR(__xludf.DUMMYFUNCTION("IF(ISBLANK(H672),,IF(IFNA(MATCH(H672,SPLIT(Circuits!$S$2,"";""&amp;CHAR(10)),0),0),FALSE,TRUE))"),"")</f>
        <v/>
      </c>
      <c r="Q672" s="237" t="str">
        <f>IF(ISBLANK(H672),,IFNA(VLOOKUP(H672, Circuits!A:U, 21, FALSE),))</f>
        <v/>
      </c>
      <c r="R672" s="238" t="str">
        <f t="shared" si="7"/>
        <v/>
      </c>
      <c r="S672" s="237" t="str">
        <f>IF(ISBLANK(H672),,IFNA(VLOOKUP(H672, Circuits!A:V, 22, FALSE),))</f>
        <v/>
      </c>
      <c r="T672" s="237" t="str">
        <f>IF(ISBLANK(H672),,IFNA(VLOOKUP(H672, Circuits!A:X, 24, FALSE),))</f>
        <v/>
      </c>
      <c r="V672" s="236" t="str">
        <f>IFERROR(__xludf.DUMMYFUNCTION("IF(ISBLANK(H672),,JOIN("","",H672:T672))"),"")</f>
        <v/>
      </c>
      <c r="W672" s="229" t="str">
        <f t="shared" si="1"/>
        <v/>
      </c>
    </row>
    <row r="673">
      <c r="H673" s="237"/>
      <c r="I673" s="237" t="str">
        <f>IFERROR(__xludf.DUMMYFUNCTION("IF(ISBLANK(H673),,IFNA(""""""""&amp;JOIN("","",INDEX(FILTER(A:D,A:A=H673),0,4))&amp;"""""""",))"),"")</f>
        <v/>
      </c>
      <c r="J673" s="237" t="str">
        <f>IF(ISBLANK(H673),,IFNA(VLOOKUP(H673, Circuits!A:W, 23, FALSE),))</f>
        <v/>
      </c>
      <c r="K673" s="238" t="str">
        <f t="shared" si="2"/>
        <v/>
      </c>
      <c r="L673" s="238" t="str">
        <f t="shared" si="3"/>
        <v/>
      </c>
      <c r="M673" s="238" t="str">
        <f t="shared" si="4"/>
        <v/>
      </c>
      <c r="N673" s="238" t="str">
        <f t="shared" si="5"/>
        <v/>
      </c>
      <c r="O673" s="238" t="str">
        <f t="shared" si="6"/>
        <v/>
      </c>
      <c r="P673" s="237" t="str">
        <f>IFERROR(__xludf.DUMMYFUNCTION("IF(ISBLANK(H673),,IF(IFNA(MATCH(H673,SPLIT(Circuits!$S$2,"";""&amp;CHAR(10)),0),0),FALSE,TRUE))"),"")</f>
        <v/>
      </c>
      <c r="Q673" s="237" t="str">
        <f>IF(ISBLANK(H673),,IFNA(VLOOKUP(H673, Circuits!A:U, 21, FALSE),))</f>
        <v/>
      </c>
      <c r="R673" s="238" t="str">
        <f t="shared" si="7"/>
        <v/>
      </c>
      <c r="S673" s="237" t="str">
        <f>IF(ISBLANK(H673),,IFNA(VLOOKUP(H673, Circuits!A:V, 22, FALSE),))</f>
        <v/>
      </c>
      <c r="T673" s="237" t="str">
        <f>IF(ISBLANK(H673),,IFNA(VLOOKUP(H673, Circuits!A:X, 24, FALSE),))</f>
        <v/>
      </c>
      <c r="V673" s="236" t="str">
        <f>IFERROR(__xludf.DUMMYFUNCTION("IF(ISBLANK(H673),,JOIN("","",H673:T673))"),"")</f>
        <v/>
      </c>
      <c r="W673" s="229" t="str">
        <f t="shared" si="1"/>
        <v/>
      </c>
    </row>
    <row r="674">
      <c r="H674" s="237"/>
      <c r="I674" s="237" t="str">
        <f>IFERROR(__xludf.DUMMYFUNCTION("IF(ISBLANK(H674),,IFNA(""""""""&amp;JOIN("","",INDEX(FILTER(A:D,A:A=H674),0,4))&amp;"""""""",))"),"")</f>
        <v/>
      </c>
      <c r="J674" s="237" t="str">
        <f>IF(ISBLANK(H674),,IFNA(VLOOKUP(H674, Circuits!A:W, 23, FALSE),))</f>
        <v/>
      </c>
      <c r="K674" s="238" t="str">
        <f t="shared" si="2"/>
        <v/>
      </c>
      <c r="L674" s="238" t="str">
        <f t="shared" si="3"/>
        <v/>
      </c>
      <c r="M674" s="238" t="str">
        <f t="shared" si="4"/>
        <v/>
      </c>
      <c r="N674" s="238" t="str">
        <f t="shared" si="5"/>
        <v/>
      </c>
      <c r="O674" s="238" t="str">
        <f t="shared" si="6"/>
        <v/>
      </c>
      <c r="P674" s="237" t="str">
        <f>IFERROR(__xludf.DUMMYFUNCTION("IF(ISBLANK(H674),,IF(IFNA(MATCH(H674,SPLIT(Circuits!$S$2,"";""&amp;CHAR(10)),0),0),FALSE,TRUE))"),"")</f>
        <v/>
      </c>
      <c r="Q674" s="237" t="str">
        <f>IF(ISBLANK(H674),,IFNA(VLOOKUP(H674, Circuits!A:U, 21, FALSE),))</f>
        <v/>
      </c>
      <c r="R674" s="238" t="str">
        <f t="shared" si="7"/>
        <v/>
      </c>
      <c r="S674" s="237" t="str">
        <f>IF(ISBLANK(H674),,IFNA(VLOOKUP(H674, Circuits!A:V, 22, FALSE),))</f>
        <v/>
      </c>
      <c r="T674" s="237" t="str">
        <f>IF(ISBLANK(H674),,IFNA(VLOOKUP(H674, Circuits!A:X, 24, FALSE),))</f>
        <v/>
      </c>
      <c r="V674" s="236" t="str">
        <f>IFERROR(__xludf.DUMMYFUNCTION("IF(ISBLANK(H674),,JOIN("","",H674:T674))"),"")</f>
        <v/>
      </c>
      <c r="W674" s="229" t="str">
        <f t="shared" si="1"/>
        <v/>
      </c>
    </row>
    <row r="675">
      <c r="H675" s="237"/>
      <c r="I675" s="237" t="str">
        <f>IFERROR(__xludf.DUMMYFUNCTION("IF(ISBLANK(H675),,IFNA(""""""""&amp;JOIN("","",INDEX(FILTER(A:D,A:A=H675),0,4))&amp;"""""""",))"),"")</f>
        <v/>
      </c>
      <c r="J675" s="237" t="str">
        <f>IF(ISBLANK(H675),,IFNA(VLOOKUP(H675, Circuits!A:W, 23, FALSE),))</f>
        <v/>
      </c>
      <c r="K675" s="238" t="str">
        <f t="shared" si="2"/>
        <v/>
      </c>
      <c r="L675" s="238" t="str">
        <f t="shared" si="3"/>
        <v/>
      </c>
      <c r="M675" s="238" t="str">
        <f t="shared" si="4"/>
        <v/>
      </c>
      <c r="N675" s="238" t="str">
        <f t="shared" si="5"/>
        <v/>
      </c>
      <c r="O675" s="238" t="str">
        <f t="shared" si="6"/>
        <v/>
      </c>
      <c r="P675" s="237" t="str">
        <f>IFERROR(__xludf.DUMMYFUNCTION("IF(ISBLANK(H675),,IF(IFNA(MATCH(H675,SPLIT(Circuits!$S$2,"";""&amp;CHAR(10)),0),0),FALSE,TRUE))"),"")</f>
        <v/>
      </c>
      <c r="Q675" s="237" t="str">
        <f>IF(ISBLANK(H675),,IFNA(VLOOKUP(H675, Circuits!A:U, 21, FALSE),))</f>
        <v/>
      </c>
      <c r="R675" s="238" t="str">
        <f t="shared" si="7"/>
        <v/>
      </c>
      <c r="S675" s="237" t="str">
        <f>IF(ISBLANK(H675),,IFNA(VLOOKUP(H675, Circuits!A:V, 22, FALSE),))</f>
        <v/>
      </c>
      <c r="T675" s="237" t="str">
        <f>IF(ISBLANK(H675),,IFNA(VLOOKUP(H675, Circuits!A:X, 24, FALSE),))</f>
        <v/>
      </c>
      <c r="V675" s="236" t="str">
        <f>IFERROR(__xludf.DUMMYFUNCTION("IF(ISBLANK(H675),,JOIN("","",H675:T675))"),"")</f>
        <v/>
      </c>
      <c r="W675" s="229" t="str">
        <f t="shared" si="1"/>
        <v/>
      </c>
    </row>
    <row r="676">
      <c r="H676" s="237"/>
      <c r="I676" s="237" t="str">
        <f>IFERROR(__xludf.DUMMYFUNCTION("IF(ISBLANK(H676),,IFNA(""""""""&amp;JOIN("","",INDEX(FILTER(A:D,A:A=H676),0,4))&amp;"""""""",))"),"")</f>
        <v/>
      </c>
      <c r="J676" s="237" t="str">
        <f>IF(ISBLANK(H676),,IFNA(VLOOKUP(H676, Circuits!A:W, 23, FALSE),))</f>
        <v/>
      </c>
      <c r="K676" s="238" t="str">
        <f t="shared" si="2"/>
        <v/>
      </c>
      <c r="L676" s="238" t="str">
        <f t="shared" si="3"/>
        <v/>
      </c>
      <c r="M676" s="238" t="str">
        <f t="shared" si="4"/>
        <v/>
      </c>
      <c r="N676" s="238" t="str">
        <f t="shared" si="5"/>
        <v/>
      </c>
      <c r="O676" s="238" t="str">
        <f t="shared" si="6"/>
        <v/>
      </c>
      <c r="P676" s="237" t="str">
        <f>IFERROR(__xludf.DUMMYFUNCTION("IF(ISBLANK(H676),,IF(IFNA(MATCH(H676,SPLIT(Circuits!$S$2,"";""&amp;CHAR(10)),0),0),FALSE,TRUE))"),"")</f>
        <v/>
      </c>
      <c r="Q676" s="237" t="str">
        <f>IF(ISBLANK(H676),,IFNA(VLOOKUP(H676, Circuits!A:U, 21, FALSE),))</f>
        <v/>
      </c>
      <c r="R676" s="238" t="str">
        <f t="shared" si="7"/>
        <v/>
      </c>
      <c r="S676" s="237" t="str">
        <f>IF(ISBLANK(H676),,IFNA(VLOOKUP(H676, Circuits!A:V, 22, FALSE),))</f>
        <v/>
      </c>
      <c r="T676" s="237" t="str">
        <f>IF(ISBLANK(H676),,IFNA(VLOOKUP(H676, Circuits!A:X, 24, FALSE),))</f>
        <v/>
      </c>
      <c r="V676" s="236" t="str">
        <f>IFERROR(__xludf.DUMMYFUNCTION("IF(ISBLANK(H676),,JOIN("","",H676:T676))"),"")</f>
        <v/>
      </c>
      <c r="W676" s="229" t="str">
        <f t="shared" si="1"/>
        <v/>
      </c>
    </row>
    <row r="677">
      <c r="H677" s="237"/>
      <c r="I677" s="237" t="str">
        <f>IFERROR(__xludf.DUMMYFUNCTION("IF(ISBLANK(H677),,IFNA(""""""""&amp;JOIN("","",INDEX(FILTER(A:D,A:A=H677),0,4))&amp;"""""""",))"),"")</f>
        <v/>
      </c>
      <c r="J677" s="237" t="str">
        <f>IF(ISBLANK(H677),,IFNA(VLOOKUP(H677, Circuits!A:W, 23, FALSE),))</f>
        <v/>
      </c>
      <c r="K677" s="238" t="str">
        <f t="shared" si="2"/>
        <v/>
      </c>
      <c r="L677" s="238" t="str">
        <f t="shared" si="3"/>
        <v/>
      </c>
      <c r="M677" s="238" t="str">
        <f t="shared" si="4"/>
        <v/>
      </c>
      <c r="N677" s="238" t="str">
        <f t="shared" si="5"/>
        <v/>
      </c>
      <c r="O677" s="238" t="str">
        <f t="shared" si="6"/>
        <v/>
      </c>
      <c r="P677" s="237" t="str">
        <f>IFERROR(__xludf.DUMMYFUNCTION("IF(ISBLANK(H677),,IF(IFNA(MATCH(H677,SPLIT(Circuits!$S$2,"";""&amp;CHAR(10)),0),0),FALSE,TRUE))"),"")</f>
        <v/>
      </c>
      <c r="Q677" s="237" t="str">
        <f>IF(ISBLANK(H677),,IFNA(VLOOKUP(H677, Circuits!A:U, 21, FALSE),))</f>
        <v/>
      </c>
      <c r="R677" s="238" t="str">
        <f t="shared" si="7"/>
        <v/>
      </c>
      <c r="S677" s="237" t="str">
        <f>IF(ISBLANK(H677),,IFNA(VLOOKUP(H677, Circuits!A:V, 22, FALSE),))</f>
        <v/>
      </c>
      <c r="T677" s="237" t="str">
        <f>IF(ISBLANK(H677),,IFNA(VLOOKUP(H677, Circuits!A:X, 24, FALSE),))</f>
        <v/>
      </c>
      <c r="V677" s="236" t="str">
        <f>IFERROR(__xludf.DUMMYFUNCTION("IF(ISBLANK(H677),,JOIN("","",H677:T677))"),"")</f>
        <v/>
      </c>
      <c r="W677" s="229" t="str">
        <f t="shared" si="1"/>
        <v/>
      </c>
    </row>
    <row r="678">
      <c r="H678" s="237"/>
      <c r="I678" s="237" t="str">
        <f>IFERROR(__xludf.DUMMYFUNCTION("IF(ISBLANK(H678),,IFNA(""""""""&amp;JOIN("","",INDEX(FILTER(A:D,A:A=H678),0,4))&amp;"""""""",))"),"")</f>
        <v/>
      </c>
      <c r="J678" s="237" t="str">
        <f>IF(ISBLANK(H678),,IFNA(VLOOKUP(H678, Circuits!A:W, 23, FALSE),))</f>
        <v/>
      </c>
      <c r="K678" s="238" t="str">
        <f t="shared" si="2"/>
        <v/>
      </c>
      <c r="L678" s="238" t="str">
        <f t="shared" si="3"/>
        <v/>
      </c>
      <c r="M678" s="238" t="str">
        <f t="shared" si="4"/>
        <v/>
      </c>
      <c r="N678" s="238" t="str">
        <f t="shared" si="5"/>
        <v/>
      </c>
      <c r="O678" s="238" t="str">
        <f t="shared" si="6"/>
        <v/>
      </c>
      <c r="P678" s="237" t="str">
        <f>IFERROR(__xludf.DUMMYFUNCTION("IF(ISBLANK(H678),,IF(IFNA(MATCH(H678,SPLIT(Circuits!$S$2,"";""&amp;CHAR(10)),0),0),FALSE,TRUE))"),"")</f>
        <v/>
      </c>
      <c r="Q678" s="237" t="str">
        <f>IF(ISBLANK(H678),,IFNA(VLOOKUP(H678, Circuits!A:U, 21, FALSE),))</f>
        <v/>
      </c>
      <c r="R678" s="238" t="str">
        <f t="shared" si="7"/>
        <v/>
      </c>
      <c r="S678" s="237" t="str">
        <f>IF(ISBLANK(H678),,IFNA(VLOOKUP(H678, Circuits!A:V, 22, FALSE),))</f>
        <v/>
      </c>
      <c r="T678" s="237" t="str">
        <f>IF(ISBLANK(H678),,IFNA(VLOOKUP(H678, Circuits!A:X, 24, FALSE),))</f>
        <v/>
      </c>
      <c r="V678" s="236" t="str">
        <f>IFERROR(__xludf.DUMMYFUNCTION("IF(ISBLANK(H678),,JOIN("","",H678:T678))"),"")</f>
        <v/>
      </c>
      <c r="W678" s="229" t="str">
        <f t="shared" si="1"/>
        <v/>
      </c>
    </row>
    <row r="679">
      <c r="H679" s="237"/>
      <c r="I679" s="237" t="str">
        <f>IFERROR(__xludf.DUMMYFUNCTION("IF(ISBLANK(H679),,IFNA(""""""""&amp;JOIN("","",INDEX(FILTER(A:D,A:A=H679),0,4))&amp;"""""""",))"),"")</f>
        <v/>
      </c>
      <c r="J679" s="237" t="str">
        <f>IF(ISBLANK(H679),,IFNA(VLOOKUP(H679, Circuits!A:W, 23, FALSE),))</f>
        <v/>
      </c>
      <c r="K679" s="238" t="str">
        <f t="shared" si="2"/>
        <v/>
      </c>
      <c r="L679" s="238" t="str">
        <f t="shared" si="3"/>
        <v/>
      </c>
      <c r="M679" s="238" t="str">
        <f t="shared" si="4"/>
        <v/>
      </c>
      <c r="N679" s="238" t="str">
        <f t="shared" si="5"/>
        <v/>
      </c>
      <c r="O679" s="238" t="str">
        <f t="shared" si="6"/>
        <v/>
      </c>
      <c r="P679" s="237" t="str">
        <f>IFERROR(__xludf.DUMMYFUNCTION("IF(ISBLANK(H679),,IF(IFNA(MATCH(H679,SPLIT(Circuits!$S$2,"";""&amp;CHAR(10)),0),0),FALSE,TRUE))"),"")</f>
        <v/>
      </c>
      <c r="Q679" s="237" t="str">
        <f>IF(ISBLANK(H679),,IFNA(VLOOKUP(H679, Circuits!A:U, 21, FALSE),))</f>
        <v/>
      </c>
      <c r="R679" s="238" t="str">
        <f t="shared" si="7"/>
        <v/>
      </c>
      <c r="S679" s="237" t="str">
        <f>IF(ISBLANK(H679),,IFNA(VLOOKUP(H679, Circuits!A:V, 22, FALSE),))</f>
        <v/>
      </c>
      <c r="T679" s="237" t="str">
        <f>IF(ISBLANK(H679),,IFNA(VLOOKUP(H679, Circuits!A:X, 24, FALSE),))</f>
        <v/>
      </c>
      <c r="V679" s="236" t="str">
        <f>IFERROR(__xludf.DUMMYFUNCTION("IF(ISBLANK(H679),,JOIN("","",H679:T679))"),"")</f>
        <v/>
      </c>
      <c r="W679" s="229" t="str">
        <f t="shared" si="1"/>
        <v/>
      </c>
    </row>
    <row r="680">
      <c r="H680" s="237"/>
      <c r="I680" s="237" t="str">
        <f>IFERROR(__xludf.DUMMYFUNCTION("IF(ISBLANK(H680),,IFNA(""""""""&amp;JOIN("","",INDEX(FILTER(A:D,A:A=H680),0,4))&amp;"""""""",))"),"")</f>
        <v/>
      </c>
      <c r="J680" s="237" t="str">
        <f>IF(ISBLANK(H680),,IFNA(VLOOKUP(H680, Circuits!A:W, 23, FALSE),))</f>
        <v/>
      </c>
      <c r="K680" s="238" t="str">
        <f t="shared" si="2"/>
        <v/>
      </c>
      <c r="L680" s="238" t="str">
        <f t="shared" si="3"/>
        <v/>
      </c>
      <c r="M680" s="238" t="str">
        <f t="shared" si="4"/>
        <v/>
      </c>
      <c r="N680" s="238" t="str">
        <f t="shared" si="5"/>
        <v/>
      </c>
      <c r="O680" s="238" t="str">
        <f t="shared" si="6"/>
        <v/>
      </c>
      <c r="P680" s="237" t="str">
        <f>IFERROR(__xludf.DUMMYFUNCTION("IF(ISBLANK(H680),,IF(IFNA(MATCH(H680,SPLIT(Circuits!$S$2,"";""&amp;CHAR(10)),0),0),FALSE,TRUE))"),"")</f>
        <v/>
      </c>
      <c r="Q680" s="237" t="str">
        <f>IF(ISBLANK(H680),,IFNA(VLOOKUP(H680, Circuits!A:U, 21, FALSE),))</f>
        <v/>
      </c>
      <c r="R680" s="238" t="str">
        <f t="shared" si="7"/>
        <v/>
      </c>
      <c r="S680" s="237" t="str">
        <f>IF(ISBLANK(H680),,IFNA(VLOOKUP(H680, Circuits!A:V, 22, FALSE),))</f>
        <v/>
      </c>
      <c r="T680" s="237" t="str">
        <f>IF(ISBLANK(H680),,IFNA(VLOOKUP(H680, Circuits!A:X, 24, FALSE),))</f>
        <v/>
      </c>
      <c r="V680" s="236" t="str">
        <f>IFERROR(__xludf.DUMMYFUNCTION("IF(ISBLANK(H680),,JOIN("","",H680:T680))"),"")</f>
        <v/>
      </c>
      <c r="W680" s="229" t="str">
        <f t="shared" si="1"/>
        <v/>
      </c>
    </row>
    <row r="681">
      <c r="H681" s="237"/>
      <c r="I681" s="237" t="str">
        <f>IFERROR(__xludf.DUMMYFUNCTION("IF(ISBLANK(H681),,IFNA(""""""""&amp;JOIN("","",INDEX(FILTER(A:D,A:A=H681),0,4))&amp;"""""""",))"),"")</f>
        <v/>
      </c>
      <c r="J681" s="237" t="str">
        <f>IF(ISBLANK(H681),,IFNA(VLOOKUP(H681, Circuits!A:W, 23, FALSE),))</f>
        <v/>
      </c>
      <c r="K681" s="238" t="str">
        <f t="shared" si="2"/>
        <v/>
      </c>
      <c r="L681" s="238" t="str">
        <f t="shared" si="3"/>
        <v/>
      </c>
      <c r="M681" s="238" t="str">
        <f t="shared" si="4"/>
        <v/>
      </c>
      <c r="N681" s="238" t="str">
        <f t="shared" si="5"/>
        <v/>
      </c>
      <c r="O681" s="238" t="str">
        <f t="shared" si="6"/>
        <v/>
      </c>
      <c r="P681" s="237" t="str">
        <f>IFERROR(__xludf.DUMMYFUNCTION("IF(ISBLANK(H681),,IF(IFNA(MATCH(H681,SPLIT(Circuits!$S$2,"";""&amp;CHAR(10)),0),0),FALSE,TRUE))"),"")</f>
        <v/>
      </c>
      <c r="Q681" s="237" t="str">
        <f>IF(ISBLANK(H681),,IFNA(VLOOKUP(H681, Circuits!A:U, 21, FALSE),))</f>
        <v/>
      </c>
      <c r="R681" s="238" t="str">
        <f t="shared" si="7"/>
        <v/>
      </c>
      <c r="S681" s="237" t="str">
        <f>IF(ISBLANK(H681),,IFNA(VLOOKUP(H681, Circuits!A:V, 22, FALSE),))</f>
        <v/>
      </c>
      <c r="T681" s="237" t="str">
        <f>IF(ISBLANK(H681),,IFNA(VLOOKUP(H681, Circuits!A:X, 24, FALSE),))</f>
        <v/>
      </c>
      <c r="V681" s="236" t="str">
        <f>IFERROR(__xludf.DUMMYFUNCTION("IF(ISBLANK(H681),,JOIN("","",H681:T681))"),"")</f>
        <v/>
      </c>
      <c r="W681" s="229" t="str">
        <f t="shared" si="1"/>
        <v/>
      </c>
    </row>
    <row r="682">
      <c r="H682" s="237"/>
      <c r="I682" s="237" t="str">
        <f>IFERROR(__xludf.DUMMYFUNCTION("IF(ISBLANK(H682),,IFNA(""""""""&amp;JOIN("","",INDEX(FILTER(A:D,A:A=H682),0,4))&amp;"""""""",))"),"")</f>
        <v/>
      </c>
      <c r="J682" s="237" t="str">
        <f>IF(ISBLANK(H682),,IFNA(VLOOKUP(H682, Circuits!A:W, 23, FALSE),))</f>
        <v/>
      </c>
      <c r="K682" s="238" t="str">
        <f t="shared" si="2"/>
        <v/>
      </c>
      <c r="L682" s="238" t="str">
        <f t="shared" si="3"/>
        <v/>
      </c>
      <c r="M682" s="238" t="str">
        <f t="shared" si="4"/>
        <v/>
      </c>
      <c r="N682" s="238" t="str">
        <f t="shared" si="5"/>
        <v/>
      </c>
      <c r="O682" s="238" t="str">
        <f t="shared" si="6"/>
        <v/>
      </c>
      <c r="P682" s="237" t="str">
        <f>IFERROR(__xludf.DUMMYFUNCTION("IF(ISBLANK(H682),,IF(IFNA(MATCH(H682,SPLIT(Circuits!$S$2,"";""&amp;CHAR(10)),0),0),FALSE,TRUE))"),"")</f>
        <v/>
      </c>
      <c r="Q682" s="237" t="str">
        <f>IF(ISBLANK(H682),,IFNA(VLOOKUP(H682, Circuits!A:U, 21, FALSE),))</f>
        <v/>
      </c>
      <c r="R682" s="238" t="str">
        <f t="shared" si="7"/>
        <v/>
      </c>
      <c r="S682" s="237" t="str">
        <f>IF(ISBLANK(H682),,IFNA(VLOOKUP(H682, Circuits!A:V, 22, FALSE),))</f>
        <v/>
      </c>
      <c r="T682" s="237" t="str">
        <f>IF(ISBLANK(H682),,IFNA(VLOOKUP(H682, Circuits!A:X, 24, FALSE),))</f>
        <v/>
      </c>
      <c r="V682" s="236" t="str">
        <f>IFERROR(__xludf.DUMMYFUNCTION("IF(ISBLANK(H682),,JOIN("","",H682:T682))"),"")</f>
        <v/>
      </c>
      <c r="W682" s="229" t="str">
        <f t="shared" si="1"/>
        <v/>
      </c>
    </row>
    <row r="683">
      <c r="H683" s="237"/>
      <c r="I683" s="237" t="str">
        <f>IFERROR(__xludf.DUMMYFUNCTION("IF(ISBLANK(H683),,IFNA(""""""""&amp;JOIN("","",INDEX(FILTER(A:D,A:A=H683),0,4))&amp;"""""""",))"),"")</f>
        <v/>
      </c>
      <c r="J683" s="237" t="str">
        <f>IF(ISBLANK(H683),,IFNA(VLOOKUP(H683, Circuits!A:W, 23, FALSE),))</f>
        <v/>
      </c>
      <c r="K683" s="238" t="str">
        <f t="shared" si="2"/>
        <v/>
      </c>
      <c r="L683" s="238" t="str">
        <f t="shared" si="3"/>
        <v/>
      </c>
      <c r="M683" s="238" t="str">
        <f t="shared" si="4"/>
        <v/>
      </c>
      <c r="N683" s="238" t="str">
        <f t="shared" si="5"/>
        <v/>
      </c>
      <c r="O683" s="238" t="str">
        <f t="shared" si="6"/>
        <v/>
      </c>
      <c r="P683" s="237" t="str">
        <f>IFERROR(__xludf.DUMMYFUNCTION("IF(ISBLANK(H683),,IF(IFNA(MATCH(H683,SPLIT(Circuits!$S$2,"";""&amp;CHAR(10)),0),0),FALSE,TRUE))"),"")</f>
        <v/>
      </c>
      <c r="Q683" s="237" t="str">
        <f>IF(ISBLANK(H683),,IFNA(VLOOKUP(H683, Circuits!A:U, 21, FALSE),))</f>
        <v/>
      </c>
      <c r="R683" s="238" t="str">
        <f t="shared" si="7"/>
        <v/>
      </c>
      <c r="S683" s="237" t="str">
        <f>IF(ISBLANK(H683),,IFNA(VLOOKUP(H683, Circuits!A:V, 22, FALSE),))</f>
        <v/>
      </c>
      <c r="T683" s="237" t="str">
        <f>IF(ISBLANK(H683),,IFNA(VLOOKUP(H683, Circuits!A:X, 24, FALSE),))</f>
        <v/>
      </c>
      <c r="V683" s="236" t="str">
        <f>IFERROR(__xludf.DUMMYFUNCTION("IF(ISBLANK(H683),,JOIN("","",H683:T683))"),"")</f>
        <v/>
      </c>
      <c r="W683" s="229" t="str">
        <f t="shared" si="1"/>
        <v/>
      </c>
    </row>
    <row r="684">
      <c r="H684" s="237"/>
      <c r="I684" s="237" t="str">
        <f>IFERROR(__xludf.DUMMYFUNCTION("IF(ISBLANK(H684),,IFNA(""""""""&amp;JOIN("","",INDEX(FILTER(A:D,A:A=H684),0,4))&amp;"""""""",))"),"")</f>
        <v/>
      </c>
      <c r="J684" s="237" t="str">
        <f>IF(ISBLANK(H684),,IFNA(VLOOKUP(H684, Circuits!A:W, 23, FALSE),))</f>
        <v/>
      </c>
      <c r="K684" s="238" t="str">
        <f t="shared" si="2"/>
        <v/>
      </c>
      <c r="L684" s="238" t="str">
        <f t="shared" si="3"/>
        <v/>
      </c>
      <c r="M684" s="238" t="str">
        <f t="shared" si="4"/>
        <v/>
      </c>
      <c r="N684" s="238" t="str">
        <f t="shared" si="5"/>
        <v/>
      </c>
      <c r="O684" s="238" t="str">
        <f t="shared" si="6"/>
        <v/>
      </c>
      <c r="P684" s="237" t="str">
        <f>IFERROR(__xludf.DUMMYFUNCTION("IF(ISBLANK(H684),,IF(IFNA(MATCH(H684,SPLIT(Circuits!$S$2,"";""&amp;CHAR(10)),0),0),FALSE,TRUE))"),"")</f>
        <v/>
      </c>
      <c r="Q684" s="237" t="str">
        <f>IF(ISBLANK(H684),,IFNA(VLOOKUP(H684, Circuits!A:U, 21, FALSE),))</f>
        <v/>
      </c>
      <c r="R684" s="238" t="str">
        <f t="shared" si="7"/>
        <v/>
      </c>
      <c r="S684" s="237" t="str">
        <f>IF(ISBLANK(H684),,IFNA(VLOOKUP(H684, Circuits!A:V, 22, FALSE),))</f>
        <v/>
      </c>
      <c r="T684" s="237" t="str">
        <f>IF(ISBLANK(H684),,IFNA(VLOOKUP(H684, Circuits!A:X, 24, FALSE),))</f>
        <v/>
      </c>
      <c r="V684" s="236" t="str">
        <f>IFERROR(__xludf.DUMMYFUNCTION("IF(ISBLANK(H684),,JOIN("","",H684:T684))"),"")</f>
        <v/>
      </c>
      <c r="W684" s="229" t="str">
        <f t="shared" si="1"/>
        <v/>
      </c>
    </row>
    <row r="685">
      <c r="H685" s="237"/>
      <c r="I685" s="237" t="str">
        <f>IFERROR(__xludf.DUMMYFUNCTION("IF(ISBLANK(H685),,IFNA(""""""""&amp;JOIN("","",INDEX(FILTER(A:D,A:A=H685),0,4))&amp;"""""""",))"),"")</f>
        <v/>
      </c>
      <c r="J685" s="237" t="str">
        <f>IF(ISBLANK(H685),,IFNA(VLOOKUP(H685, Circuits!A:W, 23, FALSE),))</f>
        <v/>
      </c>
      <c r="K685" s="238" t="str">
        <f t="shared" si="2"/>
        <v/>
      </c>
      <c r="L685" s="238" t="str">
        <f t="shared" si="3"/>
        <v/>
      </c>
      <c r="M685" s="238" t="str">
        <f t="shared" si="4"/>
        <v/>
      </c>
      <c r="N685" s="238" t="str">
        <f t="shared" si="5"/>
        <v/>
      </c>
      <c r="O685" s="238" t="str">
        <f t="shared" si="6"/>
        <v/>
      </c>
      <c r="P685" s="237" t="str">
        <f>IFERROR(__xludf.DUMMYFUNCTION("IF(ISBLANK(H685),,IF(IFNA(MATCH(H685,SPLIT(Circuits!$S$2,"";""&amp;CHAR(10)),0),0),FALSE,TRUE))"),"")</f>
        <v/>
      </c>
      <c r="Q685" s="237" t="str">
        <f>IF(ISBLANK(H685),,IFNA(VLOOKUP(H685, Circuits!A:U, 21, FALSE),))</f>
        <v/>
      </c>
      <c r="R685" s="238" t="str">
        <f t="shared" si="7"/>
        <v/>
      </c>
      <c r="S685" s="237" t="str">
        <f>IF(ISBLANK(H685),,IFNA(VLOOKUP(H685, Circuits!A:V, 22, FALSE),))</f>
        <v/>
      </c>
      <c r="T685" s="237" t="str">
        <f>IF(ISBLANK(H685),,IFNA(VLOOKUP(H685, Circuits!A:X, 24, FALSE),))</f>
        <v/>
      </c>
      <c r="V685" s="236" t="str">
        <f>IFERROR(__xludf.DUMMYFUNCTION("IF(ISBLANK(H685),,JOIN("","",H685:T685))"),"")</f>
        <v/>
      </c>
      <c r="W685" s="229" t="str">
        <f t="shared" si="1"/>
        <v/>
      </c>
    </row>
    <row r="686">
      <c r="H686" s="237"/>
      <c r="I686" s="237" t="str">
        <f>IFERROR(__xludf.DUMMYFUNCTION("IF(ISBLANK(H686),,IFNA(""""""""&amp;JOIN("","",INDEX(FILTER(A:D,A:A=H686),0,4))&amp;"""""""",))"),"")</f>
        <v/>
      </c>
      <c r="J686" s="237" t="str">
        <f>IF(ISBLANK(H686),,IFNA(VLOOKUP(H686, Circuits!A:W, 23, FALSE),))</f>
        <v/>
      </c>
      <c r="K686" s="238" t="str">
        <f t="shared" si="2"/>
        <v/>
      </c>
      <c r="L686" s="238" t="str">
        <f t="shared" si="3"/>
        <v/>
      </c>
      <c r="M686" s="238" t="str">
        <f t="shared" si="4"/>
        <v/>
      </c>
      <c r="N686" s="238" t="str">
        <f t="shared" si="5"/>
        <v/>
      </c>
      <c r="O686" s="238" t="str">
        <f t="shared" si="6"/>
        <v/>
      </c>
      <c r="P686" s="237" t="str">
        <f>IFERROR(__xludf.DUMMYFUNCTION("IF(ISBLANK(H686),,IF(IFNA(MATCH(H686,SPLIT(Circuits!$S$2,"";""&amp;CHAR(10)),0),0),FALSE,TRUE))"),"")</f>
        <v/>
      </c>
      <c r="Q686" s="237" t="str">
        <f>IF(ISBLANK(H686),,IFNA(VLOOKUP(H686, Circuits!A:U, 21, FALSE),))</f>
        <v/>
      </c>
      <c r="R686" s="238" t="str">
        <f t="shared" si="7"/>
        <v/>
      </c>
      <c r="S686" s="237" t="str">
        <f>IF(ISBLANK(H686),,IFNA(VLOOKUP(H686, Circuits!A:V, 22, FALSE),))</f>
        <v/>
      </c>
      <c r="T686" s="237" t="str">
        <f>IF(ISBLANK(H686),,IFNA(VLOOKUP(H686, Circuits!A:X, 24, FALSE),))</f>
        <v/>
      </c>
      <c r="V686" s="236" t="str">
        <f>IFERROR(__xludf.DUMMYFUNCTION("IF(ISBLANK(H686),,JOIN("","",H686:T686))"),"")</f>
        <v/>
      </c>
      <c r="W686" s="229" t="str">
        <f t="shared" si="1"/>
        <v/>
      </c>
    </row>
    <row r="687">
      <c r="H687" s="237"/>
      <c r="I687" s="237" t="str">
        <f>IFERROR(__xludf.DUMMYFUNCTION("IF(ISBLANK(H687),,IFNA(""""""""&amp;JOIN("","",INDEX(FILTER(A:D,A:A=H687),0,4))&amp;"""""""",))"),"")</f>
        <v/>
      </c>
      <c r="J687" s="237" t="str">
        <f>IF(ISBLANK(H687),,IFNA(VLOOKUP(H687, Circuits!A:W, 23, FALSE),))</f>
        <v/>
      </c>
      <c r="K687" s="238" t="str">
        <f t="shared" si="2"/>
        <v/>
      </c>
      <c r="L687" s="238" t="str">
        <f t="shared" si="3"/>
        <v/>
      </c>
      <c r="M687" s="238" t="str">
        <f t="shared" si="4"/>
        <v/>
      </c>
      <c r="N687" s="238" t="str">
        <f t="shared" si="5"/>
        <v/>
      </c>
      <c r="O687" s="238" t="str">
        <f t="shared" si="6"/>
        <v/>
      </c>
      <c r="P687" s="237" t="str">
        <f>IFERROR(__xludf.DUMMYFUNCTION("IF(ISBLANK(H687),,IF(IFNA(MATCH(H687,SPLIT(Circuits!$S$2,"";""&amp;CHAR(10)),0),0),FALSE,TRUE))"),"")</f>
        <v/>
      </c>
      <c r="Q687" s="237" t="str">
        <f>IF(ISBLANK(H687),,IFNA(VLOOKUP(H687, Circuits!A:U, 21, FALSE),))</f>
        <v/>
      </c>
      <c r="R687" s="238" t="str">
        <f t="shared" si="7"/>
        <v/>
      </c>
      <c r="S687" s="237" t="str">
        <f>IF(ISBLANK(H687),,IFNA(VLOOKUP(H687, Circuits!A:V, 22, FALSE),))</f>
        <v/>
      </c>
      <c r="T687" s="237" t="str">
        <f>IF(ISBLANK(H687),,IFNA(VLOOKUP(H687, Circuits!A:X, 24, FALSE),))</f>
        <v/>
      </c>
      <c r="V687" s="236" t="str">
        <f>IFERROR(__xludf.DUMMYFUNCTION("IF(ISBLANK(H687),,JOIN("","",H687:T687))"),"")</f>
        <v/>
      </c>
      <c r="W687" s="229" t="str">
        <f t="shared" si="1"/>
        <v/>
      </c>
    </row>
    <row r="688">
      <c r="H688" s="237"/>
      <c r="I688" s="237" t="str">
        <f>IFERROR(__xludf.DUMMYFUNCTION("IF(ISBLANK(H688),,IFNA(""""""""&amp;JOIN("","",INDEX(FILTER(A:D,A:A=H688),0,4))&amp;"""""""",))"),"")</f>
        <v/>
      </c>
      <c r="J688" s="237" t="str">
        <f>IF(ISBLANK(H688),,IFNA(VLOOKUP(H688, Circuits!A:W, 23, FALSE),))</f>
        <v/>
      </c>
      <c r="K688" s="238" t="str">
        <f t="shared" si="2"/>
        <v/>
      </c>
      <c r="L688" s="238" t="str">
        <f t="shared" si="3"/>
        <v/>
      </c>
      <c r="M688" s="238" t="str">
        <f t="shared" si="4"/>
        <v/>
      </c>
      <c r="N688" s="238" t="str">
        <f t="shared" si="5"/>
        <v/>
      </c>
      <c r="O688" s="238" t="str">
        <f t="shared" si="6"/>
        <v/>
      </c>
      <c r="P688" s="237" t="str">
        <f>IFERROR(__xludf.DUMMYFUNCTION("IF(ISBLANK(H688),,IF(IFNA(MATCH(H688,SPLIT(Circuits!$S$2,"";""&amp;CHAR(10)),0),0),FALSE,TRUE))"),"")</f>
        <v/>
      </c>
      <c r="Q688" s="237" t="str">
        <f>IF(ISBLANK(H688),,IFNA(VLOOKUP(H688, Circuits!A:U, 21, FALSE),))</f>
        <v/>
      </c>
      <c r="R688" s="238" t="str">
        <f t="shared" si="7"/>
        <v/>
      </c>
      <c r="S688" s="237" t="str">
        <f>IF(ISBLANK(H688),,IFNA(VLOOKUP(H688, Circuits!A:V, 22, FALSE),))</f>
        <v/>
      </c>
      <c r="T688" s="237" t="str">
        <f>IF(ISBLANK(H688),,IFNA(VLOOKUP(H688, Circuits!A:X, 24, FALSE),))</f>
        <v/>
      </c>
      <c r="V688" s="236" t="str">
        <f>IFERROR(__xludf.DUMMYFUNCTION("IF(ISBLANK(H688),,JOIN("","",H688:T688))"),"")</f>
        <v/>
      </c>
      <c r="W688" s="229" t="str">
        <f t="shared" si="1"/>
        <v/>
      </c>
    </row>
    <row r="689">
      <c r="H689" s="237"/>
      <c r="I689" s="237" t="str">
        <f>IFERROR(__xludf.DUMMYFUNCTION("IF(ISBLANK(H689),,IFNA(""""""""&amp;JOIN("","",INDEX(FILTER(A:D,A:A=H689),0,4))&amp;"""""""",))"),"")</f>
        <v/>
      </c>
      <c r="J689" s="237" t="str">
        <f>IF(ISBLANK(H689),,IFNA(VLOOKUP(H689, Circuits!A:W, 23, FALSE),))</f>
        <v/>
      </c>
      <c r="K689" s="238" t="str">
        <f t="shared" si="2"/>
        <v/>
      </c>
      <c r="L689" s="238" t="str">
        <f t="shared" si="3"/>
        <v/>
      </c>
      <c r="M689" s="238" t="str">
        <f t="shared" si="4"/>
        <v/>
      </c>
      <c r="N689" s="238" t="str">
        <f t="shared" si="5"/>
        <v/>
      </c>
      <c r="O689" s="238" t="str">
        <f t="shared" si="6"/>
        <v/>
      </c>
      <c r="P689" s="237" t="str">
        <f>IFERROR(__xludf.DUMMYFUNCTION("IF(ISBLANK(H689),,IF(IFNA(MATCH(H689,SPLIT(Circuits!$S$2,"";""&amp;CHAR(10)),0),0),FALSE,TRUE))"),"")</f>
        <v/>
      </c>
      <c r="Q689" s="237" t="str">
        <f>IF(ISBLANK(H689),,IFNA(VLOOKUP(H689, Circuits!A:U, 21, FALSE),))</f>
        <v/>
      </c>
      <c r="R689" s="238" t="str">
        <f t="shared" si="7"/>
        <v/>
      </c>
      <c r="S689" s="237" t="str">
        <f>IF(ISBLANK(H689),,IFNA(VLOOKUP(H689, Circuits!A:V, 22, FALSE),))</f>
        <v/>
      </c>
      <c r="T689" s="237" t="str">
        <f>IF(ISBLANK(H689),,IFNA(VLOOKUP(H689, Circuits!A:X, 24, FALSE),))</f>
        <v/>
      </c>
      <c r="V689" s="236" t="str">
        <f>IFERROR(__xludf.DUMMYFUNCTION("IF(ISBLANK(H689),,JOIN("","",H689:T689))"),"")</f>
        <v/>
      </c>
      <c r="W689" s="229" t="str">
        <f t="shared" si="1"/>
        <v/>
      </c>
    </row>
    <row r="690">
      <c r="H690" s="237"/>
      <c r="I690" s="237" t="str">
        <f>IFERROR(__xludf.DUMMYFUNCTION("IF(ISBLANK(H690),,IFNA(""""""""&amp;JOIN("","",INDEX(FILTER(A:D,A:A=H690),0,4))&amp;"""""""",))"),"")</f>
        <v/>
      </c>
      <c r="J690" s="237" t="str">
        <f>IF(ISBLANK(H690),,IFNA(VLOOKUP(H690, Circuits!A:W, 23, FALSE),))</f>
        <v/>
      </c>
      <c r="K690" s="238" t="str">
        <f t="shared" si="2"/>
        <v/>
      </c>
      <c r="L690" s="238" t="str">
        <f t="shared" si="3"/>
        <v/>
      </c>
      <c r="M690" s="238" t="str">
        <f t="shared" si="4"/>
        <v/>
      </c>
      <c r="N690" s="238" t="str">
        <f t="shared" si="5"/>
        <v/>
      </c>
      <c r="O690" s="238" t="str">
        <f t="shared" si="6"/>
        <v/>
      </c>
      <c r="P690" s="237" t="str">
        <f>IFERROR(__xludf.DUMMYFUNCTION("IF(ISBLANK(H690),,IF(IFNA(MATCH(H690,SPLIT(Circuits!$S$2,"";""&amp;CHAR(10)),0),0),FALSE,TRUE))"),"")</f>
        <v/>
      </c>
      <c r="Q690" s="237" t="str">
        <f>IF(ISBLANK(H690),,IFNA(VLOOKUP(H690, Circuits!A:U, 21, FALSE),))</f>
        <v/>
      </c>
      <c r="R690" s="238" t="str">
        <f t="shared" si="7"/>
        <v/>
      </c>
      <c r="S690" s="237" t="str">
        <f>IF(ISBLANK(H690),,IFNA(VLOOKUP(H690, Circuits!A:V, 22, FALSE),))</f>
        <v/>
      </c>
      <c r="T690" s="237" t="str">
        <f>IF(ISBLANK(H690),,IFNA(VLOOKUP(H690, Circuits!A:X, 24, FALSE),))</f>
        <v/>
      </c>
      <c r="V690" s="236" t="str">
        <f>IFERROR(__xludf.DUMMYFUNCTION("IF(ISBLANK(H690),,JOIN("","",H690:T690))"),"")</f>
        <v/>
      </c>
      <c r="W690" s="229" t="str">
        <f t="shared" si="1"/>
        <v/>
      </c>
    </row>
    <row r="691">
      <c r="H691" s="237"/>
      <c r="I691" s="237" t="str">
        <f>IFERROR(__xludf.DUMMYFUNCTION("IF(ISBLANK(H691),,IFNA(""""""""&amp;JOIN("","",INDEX(FILTER(A:D,A:A=H691),0,4))&amp;"""""""",))"),"")</f>
        <v/>
      </c>
      <c r="J691" s="237" t="str">
        <f>IF(ISBLANK(H691),,IFNA(VLOOKUP(H691, Circuits!A:W, 23, FALSE),))</f>
        <v/>
      </c>
      <c r="K691" s="238" t="str">
        <f t="shared" si="2"/>
        <v/>
      </c>
      <c r="L691" s="238" t="str">
        <f t="shared" si="3"/>
        <v/>
      </c>
      <c r="M691" s="238" t="str">
        <f t="shared" si="4"/>
        <v/>
      </c>
      <c r="N691" s="238" t="str">
        <f t="shared" si="5"/>
        <v/>
      </c>
      <c r="O691" s="238" t="str">
        <f t="shared" si="6"/>
        <v/>
      </c>
      <c r="P691" s="237" t="str">
        <f>IFERROR(__xludf.DUMMYFUNCTION("IF(ISBLANK(H691),,IF(IFNA(MATCH(H691,SPLIT(Circuits!$S$2,"";""&amp;CHAR(10)),0),0),FALSE,TRUE))"),"")</f>
        <v/>
      </c>
      <c r="Q691" s="237" t="str">
        <f>IF(ISBLANK(H691),,IFNA(VLOOKUP(H691, Circuits!A:U, 21, FALSE),))</f>
        <v/>
      </c>
      <c r="R691" s="238" t="str">
        <f t="shared" si="7"/>
        <v/>
      </c>
      <c r="S691" s="237" t="str">
        <f>IF(ISBLANK(H691),,IFNA(VLOOKUP(H691, Circuits!A:V, 22, FALSE),))</f>
        <v/>
      </c>
      <c r="T691" s="237" t="str">
        <f>IF(ISBLANK(H691),,IFNA(VLOOKUP(H691, Circuits!A:X, 24, FALSE),))</f>
        <v/>
      </c>
      <c r="V691" s="236" t="str">
        <f>IFERROR(__xludf.DUMMYFUNCTION("IF(ISBLANK(H691),,JOIN("","",H691:T691))"),"")</f>
        <v/>
      </c>
      <c r="W691" s="229" t="str">
        <f t="shared" si="1"/>
        <v/>
      </c>
    </row>
    <row r="692">
      <c r="H692" s="237"/>
      <c r="I692" s="237" t="str">
        <f>IFERROR(__xludf.DUMMYFUNCTION("IF(ISBLANK(H692),,IFNA(""""""""&amp;JOIN("","",INDEX(FILTER(A:D,A:A=H692),0,4))&amp;"""""""",))"),"")</f>
        <v/>
      </c>
      <c r="J692" s="237" t="str">
        <f>IF(ISBLANK(H692),,IFNA(VLOOKUP(H692, Circuits!A:W, 23, FALSE),))</f>
        <v/>
      </c>
      <c r="K692" s="238" t="str">
        <f t="shared" si="2"/>
        <v/>
      </c>
      <c r="L692" s="238" t="str">
        <f t="shared" si="3"/>
        <v/>
      </c>
      <c r="M692" s="238" t="str">
        <f t="shared" si="4"/>
        <v/>
      </c>
      <c r="N692" s="238" t="str">
        <f t="shared" si="5"/>
        <v/>
      </c>
      <c r="O692" s="238" t="str">
        <f t="shared" si="6"/>
        <v/>
      </c>
      <c r="P692" s="237" t="str">
        <f>IFERROR(__xludf.DUMMYFUNCTION("IF(ISBLANK(H692),,IF(IFNA(MATCH(H692,SPLIT(Circuits!$S$2,"";""&amp;CHAR(10)),0),0),FALSE,TRUE))"),"")</f>
        <v/>
      </c>
      <c r="Q692" s="237" t="str">
        <f>IF(ISBLANK(H692),,IFNA(VLOOKUP(H692, Circuits!A:U, 21, FALSE),))</f>
        <v/>
      </c>
      <c r="R692" s="238" t="str">
        <f t="shared" si="7"/>
        <v/>
      </c>
      <c r="S692" s="237" t="str">
        <f>IF(ISBLANK(H692),,IFNA(VLOOKUP(H692, Circuits!A:V, 22, FALSE),))</f>
        <v/>
      </c>
      <c r="T692" s="237" t="str">
        <f>IF(ISBLANK(H692),,IFNA(VLOOKUP(H692, Circuits!A:X, 24, FALSE),))</f>
        <v/>
      </c>
      <c r="V692" s="236" t="str">
        <f>IFERROR(__xludf.DUMMYFUNCTION("IF(ISBLANK(H692),,JOIN("","",H692:T692))"),"")</f>
        <v/>
      </c>
      <c r="W692" s="229" t="str">
        <f t="shared" si="1"/>
        <v/>
      </c>
    </row>
    <row r="693">
      <c r="H693" s="237"/>
      <c r="I693" s="237" t="str">
        <f>IFERROR(__xludf.DUMMYFUNCTION("IF(ISBLANK(H693),,IFNA(""""""""&amp;JOIN("","",INDEX(FILTER(A:D,A:A=H693),0,4))&amp;"""""""",))"),"")</f>
        <v/>
      </c>
      <c r="J693" s="237" t="str">
        <f>IF(ISBLANK(H693),,IFNA(VLOOKUP(H693, Circuits!A:W, 23, FALSE),))</f>
        <v/>
      </c>
      <c r="K693" s="238" t="str">
        <f t="shared" si="2"/>
        <v/>
      </c>
      <c r="L693" s="238" t="str">
        <f t="shared" si="3"/>
        <v/>
      </c>
      <c r="M693" s="238" t="str">
        <f t="shared" si="4"/>
        <v/>
      </c>
      <c r="N693" s="238" t="str">
        <f t="shared" si="5"/>
        <v/>
      </c>
      <c r="O693" s="238" t="str">
        <f t="shared" si="6"/>
        <v/>
      </c>
      <c r="P693" s="237" t="str">
        <f>IFERROR(__xludf.DUMMYFUNCTION("IF(ISBLANK(H693),,IF(IFNA(MATCH(H693,SPLIT(Circuits!$S$2,"";""&amp;CHAR(10)),0),0),FALSE,TRUE))"),"")</f>
        <v/>
      </c>
      <c r="Q693" s="237" t="str">
        <f>IF(ISBLANK(H693),,IFNA(VLOOKUP(H693, Circuits!A:U, 21, FALSE),))</f>
        <v/>
      </c>
      <c r="R693" s="238" t="str">
        <f t="shared" si="7"/>
        <v/>
      </c>
      <c r="S693" s="237" t="str">
        <f>IF(ISBLANK(H693),,IFNA(VLOOKUP(H693, Circuits!A:V, 22, FALSE),))</f>
        <v/>
      </c>
      <c r="T693" s="237" t="str">
        <f>IF(ISBLANK(H693),,IFNA(VLOOKUP(H693, Circuits!A:X, 24, FALSE),))</f>
        <v/>
      </c>
      <c r="V693" s="236" t="str">
        <f>IFERROR(__xludf.DUMMYFUNCTION("IF(ISBLANK(H693),,JOIN("","",H693:T693))"),"")</f>
        <v/>
      </c>
      <c r="W693" s="229" t="str">
        <f t="shared" si="1"/>
        <v/>
      </c>
    </row>
    <row r="694">
      <c r="H694" s="237"/>
      <c r="I694" s="237" t="str">
        <f>IFERROR(__xludf.DUMMYFUNCTION("IF(ISBLANK(H694),,IFNA(""""""""&amp;JOIN("","",INDEX(FILTER(A:D,A:A=H694),0,4))&amp;"""""""",))"),"")</f>
        <v/>
      </c>
      <c r="J694" s="237" t="str">
        <f>IF(ISBLANK(H694),,IFNA(VLOOKUP(H694, Circuits!A:W, 23, FALSE),))</f>
        <v/>
      </c>
      <c r="K694" s="238" t="str">
        <f t="shared" si="2"/>
        <v/>
      </c>
      <c r="L694" s="238" t="str">
        <f t="shared" si="3"/>
        <v/>
      </c>
      <c r="M694" s="238" t="str">
        <f t="shared" si="4"/>
        <v/>
      </c>
      <c r="N694" s="238" t="str">
        <f t="shared" si="5"/>
        <v/>
      </c>
      <c r="O694" s="238" t="str">
        <f t="shared" si="6"/>
        <v/>
      </c>
      <c r="P694" s="237" t="str">
        <f>IFERROR(__xludf.DUMMYFUNCTION("IF(ISBLANK(H694),,IF(IFNA(MATCH(H694,SPLIT(Circuits!$S$2,"";""&amp;CHAR(10)),0),0),FALSE,TRUE))"),"")</f>
        <v/>
      </c>
      <c r="Q694" s="237" t="str">
        <f>IF(ISBLANK(H694),,IFNA(VLOOKUP(H694, Circuits!A:U, 21, FALSE),))</f>
        <v/>
      </c>
      <c r="R694" s="238" t="str">
        <f t="shared" si="7"/>
        <v/>
      </c>
      <c r="S694" s="237" t="str">
        <f>IF(ISBLANK(H694),,IFNA(VLOOKUP(H694, Circuits!A:V, 22, FALSE),))</f>
        <v/>
      </c>
      <c r="T694" s="237" t="str">
        <f>IF(ISBLANK(H694),,IFNA(VLOOKUP(H694, Circuits!A:X, 24, FALSE),))</f>
        <v/>
      </c>
      <c r="V694" s="236" t="str">
        <f>IFERROR(__xludf.DUMMYFUNCTION("IF(ISBLANK(H694),,JOIN("","",H694:T694))"),"")</f>
        <v/>
      </c>
      <c r="W694" s="229" t="str">
        <f t="shared" si="1"/>
        <v/>
      </c>
    </row>
    <row r="695">
      <c r="H695" s="237"/>
      <c r="I695" s="237" t="str">
        <f>IFERROR(__xludf.DUMMYFUNCTION("IF(ISBLANK(H695),,IFNA(""""""""&amp;JOIN("","",INDEX(FILTER(A:D,A:A=H695),0,4))&amp;"""""""",))"),"")</f>
        <v/>
      </c>
      <c r="J695" s="237" t="str">
        <f>IF(ISBLANK(H695),,IFNA(VLOOKUP(H695, Circuits!A:W, 23, FALSE),))</f>
        <v/>
      </c>
      <c r="K695" s="238" t="str">
        <f t="shared" si="2"/>
        <v/>
      </c>
      <c r="L695" s="238" t="str">
        <f t="shared" si="3"/>
        <v/>
      </c>
      <c r="M695" s="238" t="str">
        <f t="shared" si="4"/>
        <v/>
      </c>
      <c r="N695" s="238" t="str">
        <f t="shared" si="5"/>
        <v/>
      </c>
      <c r="O695" s="238" t="str">
        <f t="shared" si="6"/>
        <v/>
      </c>
      <c r="P695" s="237" t="str">
        <f>IFERROR(__xludf.DUMMYFUNCTION("IF(ISBLANK(H695),,IF(IFNA(MATCH(H695,SPLIT(Circuits!$S$2,"";""&amp;CHAR(10)),0),0),FALSE,TRUE))"),"")</f>
        <v/>
      </c>
      <c r="Q695" s="237" t="str">
        <f>IF(ISBLANK(H695),,IFNA(VLOOKUP(H695, Circuits!A:U, 21, FALSE),))</f>
        <v/>
      </c>
      <c r="R695" s="238" t="str">
        <f t="shared" si="7"/>
        <v/>
      </c>
      <c r="S695" s="237" t="str">
        <f>IF(ISBLANK(H695),,IFNA(VLOOKUP(H695, Circuits!A:V, 22, FALSE),))</f>
        <v/>
      </c>
      <c r="T695" s="237" t="str">
        <f>IF(ISBLANK(H695),,IFNA(VLOOKUP(H695, Circuits!A:X, 24, FALSE),))</f>
        <v/>
      </c>
      <c r="V695" s="236" t="str">
        <f>IFERROR(__xludf.DUMMYFUNCTION("IF(ISBLANK(H695),,JOIN("","",H695:T695))"),"")</f>
        <v/>
      </c>
      <c r="W695" s="229" t="str">
        <f t="shared" si="1"/>
        <v/>
      </c>
    </row>
    <row r="696">
      <c r="H696" s="237"/>
      <c r="I696" s="237" t="str">
        <f>IFERROR(__xludf.DUMMYFUNCTION("IF(ISBLANK(H696),,IFNA(""""""""&amp;JOIN("","",INDEX(FILTER(A:D,A:A=H696),0,4))&amp;"""""""",))"),"")</f>
        <v/>
      </c>
      <c r="J696" s="237" t="str">
        <f>IF(ISBLANK(H696),,IFNA(VLOOKUP(H696, Circuits!A:W, 23, FALSE),))</f>
        <v/>
      </c>
      <c r="K696" s="238" t="str">
        <f t="shared" si="2"/>
        <v/>
      </c>
      <c r="L696" s="238" t="str">
        <f t="shared" si="3"/>
        <v/>
      </c>
      <c r="M696" s="238" t="str">
        <f t="shared" si="4"/>
        <v/>
      </c>
      <c r="N696" s="238" t="str">
        <f t="shared" si="5"/>
        <v/>
      </c>
      <c r="O696" s="238" t="str">
        <f t="shared" si="6"/>
        <v/>
      </c>
      <c r="P696" s="237" t="str">
        <f>IFERROR(__xludf.DUMMYFUNCTION("IF(ISBLANK(H696),,IF(IFNA(MATCH(H696,SPLIT(Circuits!$S$2,"";""&amp;CHAR(10)),0),0),FALSE,TRUE))"),"")</f>
        <v/>
      </c>
      <c r="Q696" s="237" t="str">
        <f>IF(ISBLANK(H696),,IFNA(VLOOKUP(H696, Circuits!A:U, 21, FALSE),))</f>
        <v/>
      </c>
      <c r="R696" s="238" t="str">
        <f t="shared" si="7"/>
        <v/>
      </c>
      <c r="S696" s="237" t="str">
        <f>IF(ISBLANK(H696),,IFNA(VLOOKUP(H696, Circuits!A:V, 22, FALSE),))</f>
        <v/>
      </c>
      <c r="T696" s="237" t="str">
        <f>IF(ISBLANK(H696),,IFNA(VLOOKUP(H696, Circuits!A:X, 24, FALSE),))</f>
        <v/>
      </c>
      <c r="V696" s="236" t="str">
        <f>IFERROR(__xludf.DUMMYFUNCTION("IF(ISBLANK(H696),,JOIN("","",H696:T696))"),"")</f>
        <v/>
      </c>
      <c r="W696" s="229" t="str">
        <f t="shared" si="1"/>
        <v/>
      </c>
    </row>
    <row r="697">
      <c r="H697" s="237"/>
      <c r="I697" s="237" t="str">
        <f>IFERROR(__xludf.DUMMYFUNCTION("IF(ISBLANK(H697),,IFNA(""""""""&amp;JOIN("","",INDEX(FILTER(A:D,A:A=H697),0,4))&amp;"""""""",))"),"")</f>
        <v/>
      </c>
      <c r="J697" s="237" t="str">
        <f>IF(ISBLANK(H697),,IFNA(VLOOKUP(H697, Circuits!A:W, 23, FALSE),))</f>
        <v/>
      </c>
      <c r="K697" s="238" t="str">
        <f t="shared" si="2"/>
        <v/>
      </c>
      <c r="L697" s="238" t="str">
        <f t="shared" si="3"/>
        <v/>
      </c>
      <c r="M697" s="238" t="str">
        <f t="shared" si="4"/>
        <v/>
      </c>
      <c r="N697" s="238" t="str">
        <f t="shared" si="5"/>
        <v/>
      </c>
      <c r="O697" s="238" t="str">
        <f t="shared" si="6"/>
        <v/>
      </c>
      <c r="P697" s="237" t="str">
        <f>IFERROR(__xludf.DUMMYFUNCTION("IF(ISBLANK(H697),,IF(IFNA(MATCH(H697,SPLIT(Circuits!$S$2,"";""&amp;CHAR(10)),0),0),FALSE,TRUE))"),"")</f>
        <v/>
      </c>
      <c r="Q697" s="237" t="str">
        <f>IF(ISBLANK(H697),,IFNA(VLOOKUP(H697, Circuits!A:U, 21, FALSE),))</f>
        <v/>
      </c>
      <c r="R697" s="238" t="str">
        <f t="shared" si="7"/>
        <v/>
      </c>
      <c r="S697" s="237" t="str">
        <f>IF(ISBLANK(H697),,IFNA(VLOOKUP(H697, Circuits!A:V, 22, FALSE),))</f>
        <v/>
      </c>
      <c r="T697" s="237" t="str">
        <f>IF(ISBLANK(H697),,IFNA(VLOOKUP(H697, Circuits!A:X, 24, FALSE),))</f>
        <v/>
      </c>
      <c r="V697" s="236" t="str">
        <f>IFERROR(__xludf.DUMMYFUNCTION("IF(ISBLANK(H697),,JOIN("","",H697:T697))"),"")</f>
        <v/>
      </c>
      <c r="W697" s="229" t="str">
        <f t="shared" si="1"/>
        <v/>
      </c>
    </row>
    <row r="698">
      <c r="H698" s="237"/>
      <c r="I698" s="237" t="str">
        <f>IFERROR(__xludf.DUMMYFUNCTION("IF(ISBLANK(H698),,IFNA(""""""""&amp;JOIN("","",INDEX(FILTER(A:D,A:A=H698),0,4))&amp;"""""""",))"),"")</f>
        <v/>
      </c>
      <c r="J698" s="237" t="str">
        <f>IF(ISBLANK(H698),,IFNA(VLOOKUP(H698, Circuits!A:W, 23, FALSE),))</f>
        <v/>
      </c>
      <c r="K698" s="238" t="str">
        <f t="shared" si="2"/>
        <v/>
      </c>
      <c r="L698" s="238" t="str">
        <f t="shared" si="3"/>
        <v/>
      </c>
      <c r="M698" s="238" t="str">
        <f t="shared" si="4"/>
        <v/>
      </c>
      <c r="N698" s="238" t="str">
        <f t="shared" si="5"/>
        <v/>
      </c>
      <c r="O698" s="238" t="str">
        <f t="shared" si="6"/>
        <v/>
      </c>
      <c r="P698" s="237" t="str">
        <f>IFERROR(__xludf.DUMMYFUNCTION("IF(ISBLANK(H698),,IF(IFNA(MATCH(H698,SPLIT(Circuits!$S$2,"";""&amp;CHAR(10)),0),0),FALSE,TRUE))"),"")</f>
        <v/>
      </c>
      <c r="Q698" s="237" t="str">
        <f>IF(ISBLANK(H698),,IFNA(VLOOKUP(H698, Circuits!A:U, 21, FALSE),))</f>
        <v/>
      </c>
      <c r="R698" s="238" t="str">
        <f t="shared" si="7"/>
        <v/>
      </c>
      <c r="S698" s="237" t="str">
        <f>IF(ISBLANK(H698),,IFNA(VLOOKUP(H698, Circuits!A:V, 22, FALSE),))</f>
        <v/>
      </c>
      <c r="T698" s="237" t="str">
        <f>IF(ISBLANK(H698),,IFNA(VLOOKUP(H698, Circuits!A:X, 24, FALSE),))</f>
        <v/>
      </c>
      <c r="V698" s="236" t="str">
        <f>IFERROR(__xludf.DUMMYFUNCTION("IF(ISBLANK(H698),,JOIN("","",H698:T698))"),"")</f>
        <v/>
      </c>
      <c r="W698" s="229" t="str">
        <f t="shared" si="1"/>
        <v/>
      </c>
    </row>
    <row r="699">
      <c r="H699" s="237"/>
      <c r="I699" s="237" t="str">
        <f>IFERROR(__xludf.DUMMYFUNCTION("IF(ISBLANK(H699),,IFNA(""""""""&amp;JOIN("","",INDEX(FILTER(A:D,A:A=H699),0,4))&amp;"""""""",))"),"")</f>
        <v/>
      </c>
      <c r="J699" s="237" t="str">
        <f>IF(ISBLANK(H699),,IFNA(VLOOKUP(H699, Circuits!A:W, 23, FALSE),))</f>
        <v/>
      </c>
      <c r="K699" s="238" t="str">
        <f t="shared" si="2"/>
        <v/>
      </c>
      <c r="L699" s="238" t="str">
        <f t="shared" si="3"/>
        <v/>
      </c>
      <c r="M699" s="238" t="str">
        <f t="shared" si="4"/>
        <v/>
      </c>
      <c r="N699" s="238" t="str">
        <f t="shared" si="5"/>
        <v/>
      </c>
      <c r="O699" s="238" t="str">
        <f t="shared" si="6"/>
        <v/>
      </c>
      <c r="P699" s="237" t="str">
        <f>IFERROR(__xludf.DUMMYFUNCTION("IF(ISBLANK(H699),,IF(IFNA(MATCH(H699,SPLIT(Circuits!$S$2,"";""&amp;CHAR(10)),0),0),FALSE,TRUE))"),"")</f>
        <v/>
      </c>
      <c r="Q699" s="237" t="str">
        <f>IF(ISBLANK(H699),,IFNA(VLOOKUP(H699, Circuits!A:U, 21, FALSE),))</f>
        <v/>
      </c>
      <c r="R699" s="238" t="str">
        <f t="shared" si="7"/>
        <v/>
      </c>
      <c r="S699" s="237" t="str">
        <f>IF(ISBLANK(H699),,IFNA(VLOOKUP(H699, Circuits!A:V, 22, FALSE),))</f>
        <v/>
      </c>
      <c r="T699" s="237" t="str">
        <f>IF(ISBLANK(H699),,IFNA(VLOOKUP(H699, Circuits!A:X, 24, FALSE),))</f>
        <v/>
      </c>
      <c r="V699" s="236" t="str">
        <f>IFERROR(__xludf.DUMMYFUNCTION("IF(ISBLANK(H699),,JOIN("","",H699:T699))"),"")</f>
        <v/>
      </c>
      <c r="W699" s="229" t="str">
        <f t="shared" si="1"/>
        <v/>
      </c>
    </row>
    <row r="700">
      <c r="H700" s="237"/>
      <c r="I700" s="237" t="str">
        <f>IFERROR(__xludf.DUMMYFUNCTION("IF(ISBLANK(H700),,IFNA(""""""""&amp;JOIN("","",INDEX(FILTER(A:D,A:A=H700),0,4))&amp;"""""""",))"),"")</f>
        <v/>
      </c>
      <c r="J700" s="237" t="str">
        <f>IF(ISBLANK(H700),,IFNA(VLOOKUP(H700, Circuits!A:W, 23, FALSE),))</f>
        <v/>
      </c>
      <c r="K700" s="238" t="str">
        <f t="shared" si="2"/>
        <v/>
      </c>
      <c r="L700" s="238" t="str">
        <f t="shared" si="3"/>
        <v/>
      </c>
      <c r="M700" s="238" t="str">
        <f t="shared" si="4"/>
        <v/>
      </c>
      <c r="N700" s="238" t="str">
        <f t="shared" si="5"/>
        <v/>
      </c>
      <c r="O700" s="238" t="str">
        <f t="shared" si="6"/>
        <v/>
      </c>
      <c r="P700" s="237" t="str">
        <f>IFERROR(__xludf.DUMMYFUNCTION("IF(ISBLANK(H700),,IF(IFNA(MATCH(H700,SPLIT(Circuits!$S$2,"";""&amp;CHAR(10)),0),0),FALSE,TRUE))"),"")</f>
        <v/>
      </c>
      <c r="Q700" s="237" t="str">
        <f>IF(ISBLANK(H700),,IFNA(VLOOKUP(H700, Circuits!A:U, 21, FALSE),))</f>
        <v/>
      </c>
      <c r="R700" s="238" t="str">
        <f t="shared" si="7"/>
        <v/>
      </c>
      <c r="S700" s="237" t="str">
        <f>IF(ISBLANK(H700),,IFNA(VLOOKUP(H700, Circuits!A:V, 22, FALSE),))</f>
        <v/>
      </c>
      <c r="T700" s="237" t="str">
        <f>IF(ISBLANK(H700),,IFNA(VLOOKUP(H700, Circuits!A:X, 24, FALSE),))</f>
        <v/>
      </c>
      <c r="V700" s="236" t="str">
        <f>IFERROR(__xludf.DUMMYFUNCTION("IF(ISBLANK(H700),,JOIN("","",H700:T700))"),"")</f>
        <v/>
      </c>
      <c r="W700" s="229" t="str">
        <f t="shared" si="1"/>
        <v/>
      </c>
    </row>
    <row r="701">
      <c r="H701" s="237"/>
      <c r="I701" s="237" t="str">
        <f>IFERROR(__xludf.DUMMYFUNCTION("IF(ISBLANK(H701),,IFNA(""""""""&amp;JOIN("","",INDEX(FILTER(A:D,A:A=H701),0,4))&amp;"""""""",))"),"")</f>
        <v/>
      </c>
      <c r="J701" s="237" t="str">
        <f>IF(ISBLANK(H701),,IFNA(VLOOKUP(H701, Circuits!A:W, 23, FALSE),))</f>
        <v/>
      </c>
      <c r="K701" s="238" t="str">
        <f t="shared" si="2"/>
        <v/>
      </c>
      <c r="L701" s="238" t="str">
        <f t="shared" si="3"/>
        <v/>
      </c>
      <c r="M701" s="238" t="str">
        <f t="shared" si="4"/>
        <v/>
      </c>
      <c r="N701" s="238" t="str">
        <f t="shared" si="5"/>
        <v/>
      </c>
      <c r="O701" s="238" t="str">
        <f t="shared" si="6"/>
        <v/>
      </c>
      <c r="P701" s="237" t="str">
        <f>IFERROR(__xludf.DUMMYFUNCTION("IF(ISBLANK(H701),,IF(IFNA(MATCH(H701,SPLIT(Circuits!$S$2,"";""&amp;CHAR(10)),0),0),FALSE,TRUE))"),"")</f>
        <v/>
      </c>
      <c r="Q701" s="237" t="str">
        <f>IF(ISBLANK(H701),,IFNA(VLOOKUP(H701, Circuits!A:U, 21, FALSE),))</f>
        <v/>
      </c>
      <c r="R701" s="238" t="str">
        <f t="shared" si="7"/>
        <v/>
      </c>
      <c r="S701" s="237" t="str">
        <f>IF(ISBLANK(H701),,IFNA(VLOOKUP(H701, Circuits!A:V, 22, FALSE),))</f>
        <v/>
      </c>
      <c r="T701" s="237" t="str">
        <f>IF(ISBLANK(H701),,IFNA(VLOOKUP(H701, Circuits!A:X, 24, FALSE),))</f>
        <v/>
      </c>
      <c r="V701" s="236" t="str">
        <f>IFERROR(__xludf.DUMMYFUNCTION("IF(ISBLANK(H701),,JOIN("","",H701:T701))"),"")</f>
        <v/>
      </c>
      <c r="W701" s="229" t="str">
        <f t="shared" si="1"/>
        <v/>
      </c>
    </row>
    <row r="702">
      <c r="H702" s="237"/>
      <c r="I702" s="237" t="str">
        <f>IFERROR(__xludf.DUMMYFUNCTION("IF(ISBLANK(H702),,IFNA(""""""""&amp;JOIN("","",INDEX(FILTER(A:D,A:A=H702),0,4))&amp;"""""""",))"),"")</f>
        <v/>
      </c>
      <c r="J702" s="237" t="str">
        <f>IF(ISBLANK(H702),,IFNA(VLOOKUP(H702, Circuits!A:W, 23, FALSE),))</f>
        <v/>
      </c>
      <c r="K702" s="238" t="str">
        <f t="shared" si="2"/>
        <v/>
      </c>
      <c r="L702" s="238" t="str">
        <f t="shared" si="3"/>
        <v/>
      </c>
      <c r="M702" s="238" t="str">
        <f t="shared" si="4"/>
        <v/>
      </c>
      <c r="N702" s="238" t="str">
        <f t="shared" si="5"/>
        <v/>
      </c>
      <c r="O702" s="238" t="str">
        <f t="shared" si="6"/>
        <v/>
      </c>
      <c r="P702" s="237" t="str">
        <f>IFERROR(__xludf.DUMMYFUNCTION("IF(ISBLANK(H702),,IF(IFNA(MATCH(H702,SPLIT(Circuits!$S$2,"";""&amp;CHAR(10)),0),0),FALSE,TRUE))"),"")</f>
        <v/>
      </c>
      <c r="Q702" s="237" t="str">
        <f>IF(ISBLANK(H702),,IFNA(VLOOKUP(H702, Circuits!A:U, 21, FALSE),))</f>
        <v/>
      </c>
      <c r="R702" s="238" t="str">
        <f t="shared" si="7"/>
        <v/>
      </c>
      <c r="S702" s="237" t="str">
        <f>IF(ISBLANK(H702),,IFNA(VLOOKUP(H702, Circuits!A:V, 22, FALSE),))</f>
        <v/>
      </c>
      <c r="T702" s="237" t="str">
        <f>IF(ISBLANK(H702),,IFNA(VLOOKUP(H702, Circuits!A:X, 24, FALSE),))</f>
        <v/>
      </c>
      <c r="V702" s="236" t="str">
        <f>IFERROR(__xludf.DUMMYFUNCTION("IF(ISBLANK(H702),,JOIN("","",H702:T702))"),"")</f>
        <v/>
      </c>
      <c r="W702" s="229" t="str">
        <f t="shared" si="1"/>
        <v/>
      </c>
    </row>
    <row r="703">
      <c r="H703" s="237"/>
      <c r="I703" s="237" t="str">
        <f>IFERROR(__xludf.DUMMYFUNCTION("IF(ISBLANK(H703),,IFNA(""""""""&amp;JOIN("","",INDEX(FILTER(A:D,A:A=H703),0,4))&amp;"""""""",))"),"")</f>
        <v/>
      </c>
      <c r="J703" s="237" t="str">
        <f>IF(ISBLANK(H703),,IFNA(VLOOKUP(H703, Circuits!A:W, 23, FALSE),))</f>
        <v/>
      </c>
      <c r="K703" s="238" t="str">
        <f t="shared" si="2"/>
        <v/>
      </c>
      <c r="L703" s="238" t="str">
        <f t="shared" si="3"/>
        <v/>
      </c>
      <c r="M703" s="238" t="str">
        <f t="shared" si="4"/>
        <v/>
      </c>
      <c r="N703" s="238" t="str">
        <f t="shared" si="5"/>
        <v/>
      </c>
      <c r="O703" s="238" t="str">
        <f t="shared" si="6"/>
        <v/>
      </c>
      <c r="P703" s="237" t="str">
        <f>IFERROR(__xludf.DUMMYFUNCTION("IF(ISBLANK(H703),,IF(IFNA(MATCH(H703,SPLIT(Circuits!$S$2,"";""&amp;CHAR(10)),0),0),FALSE,TRUE))"),"")</f>
        <v/>
      </c>
      <c r="Q703" s="237" t="str">
        <f>IF(ISBLANK(H703),,IFNA(VLOOKUP(H703, Circuits!A:U, 21, FALSE),))</f>
        <v/>
      </c>
      <c r="R703" s="238" t="str">
        <f t="shared" si="7"/>
        <v/>
      </c>
      <c r="S703" s="237" t="str">
        <f>IF(ISBLANK(H703),,IFNA(VLOOKUP(H703, Circuits!A:V, 22, FALSE),))</f>
        <v/>
      </c>
      <c r="T703" s="237" t="str">
        <f>IF(ISBLANK(H703),,IFNA(VLOOKUP(H703, Circuits!A:X, 24, FALSE),))</f>
        <v/>
      </c>
      <c r="V703" s="236" t="str">
        <f>IFERROR(__xludf.DUMMYFUNCTION("IF(ISBLANK(H703),,JOIN("","",H703:T703))"),"")</f>
        <v/>
      </c>
      <c r="W703" s="229" t="str">
        <f t="shared" si="1"/>
        <v/>
      </c>
    </row>
    <row r="704">
      <c r="H704" s="237"/>
      <c r="I704" s="237" t="str">
        <f>IFERROR(__xludf.DUMMYFUNCTION("IF(ISBLANK(H704),,IFNA(""""""""&amp;JOIN("","",INDEX(FILTER(A:D,A:A=H704),0,4))&amp;"""""""",))"),"")</f>
        <v/>
      </c>
      <c r="J704" s="237" t="str">
        <f>IF(ISBLANK(H704),,IFNA(VLOOKUP(H704, Circuits!A:W, 23, FALSE),))</f>
        <v/>
      </c>
      <c r="K704" s="238" t="str">
        <f t="shared" si="2"/>
        <v/>
      </c>
      <c r="L704" s="238" t="str">
        <f t="shared" si="3"/>
        <v/>
      </c>
      <c r="M704" s="238" t="str">
        <f t="shared" si="4"/>
        <v/>
      </c>
      <c r="N704" s="238" t="str">
        <f t="shared" si="5"/>
        <v/>
      </c>
      <c r="O704" s="238" t="str">
        <f t="shared" si="6"/>
        <v/>
      </c>
      <c r="P704" s="237" t="str">
        <f>IFERROR(__xludf.DUMMYFUNCTION("IF(ISBLANK(H704),,IF(IFNA(MATCH(H704,SPLIT(Circuits!$S$2,"";""&amp;CHAR(10)),0),0),FALSE,TRUE))"),"")</f>
        <v/>
      </c>
      <c r="Q704" s="237" t="str">
        <f>IF(ISBLANK(H704),,IFNA(VLOOKUP(H704, Circuits!A:U, 21, FALSE),))</f>
        <v/>
      </c>
      <c r="R704" s="238" t="str">
        <f t="shared" si="7"/>
        <v/>
      </c>
      <c r="S704" s="237" t="str">
        <f>IF(ISBLANK(H704),,IFNA(VLOOKUP(H704, Circuits!A:V, 22, FALSE),))</f>
        <v/>
      </c>
      <c r="T704" s="237" t="str">
        <f>IF(ISBLANK(H704),,IFNA(VLOOKUP(H704, Circuits!A:X, 24, FALSE),))</f>
        <v/>
      </c>
      <c r="V704" s="236" t="str">
        <f>IFERROR(__xludf.DUMMYFUNCTION("IF(ISBLANK(H704),,JOIN("","",H704:T704))"),"")</f>
        <v/>
      </c>
      <c r="W704" s="229" t="str">
        <f t="shared" si="1"/>
        <v/>
      </c>
    </row>
    <row r="705">
      <c r="H705" s="237"/>
      <c r="I705" s="237" t="str">
        <f>IFERROR(__xludf.DUMMYFUNCTION("IF(ISBLANK(H705),,IFNA(""""""""&amp;JOIN("","",INDEX(FILTER(A:D,A:A=H705),0,4))&amp;"""""""",))"),"")</f>
        <v/>
      </c>
      <c r="J705" s="237" t="str">
        <f>IF(ISBLANK(H705),,IFNA(VLOOKUP(H705, Circuits!A:W, 23, FALSE),))</f>
        <v/>
      </c>
      <c r="K705" s="238" t="str">
        <f t="shared" si="2"/>
        <v/>
      </c>
      <c r="L705" s="238" t="str">
        <f t="shared" si="3"/>
        <v/>
      </c>
      <c r="M705" s="238" t="str">
        <f t="shared" si="4"/>
        <v/>
      </c>
      <c r="N705" s="238" t="str">
        <f t="shared" si="5"/>
        <v/>
      </c>
      <c r="O705" s="238" t="str">
        <f t="shared" si="6"/>
        <v/>
      </c>
      <c r="P705" s="237" t="str">
        <f>IFERROR(__xludf.DUMMYFUNCTION("IF(ISBLANK(H705),,IF(IFNA(MATCH(H705,SPLIT(Circuits!$S$2,"";""&amp;CHAR(10)),0),0),FALSE,TRUE))"),"")</f>
        <v/>
      </c>
      <c r="Q705" s="237" t="str">
        <f>IF(ISBLANK(H705),,IFNA(VLOOKUP(H705, Circuits!A:U, 21, FALSE),))</f>
        <v/>
      </c>
      <c r="R705" s="238" t="str">
        <f t="shared" si="7"/>
        <v/>
      </c>
      <c r="S705" s="237" t="str">
        <f>IF(ISBLANK(H705),,IFNA(VLOOKUP(H705, Circuits!A:V, 22, FALSE),))</f>
        <v/>
      </c>
      <c r="T705" s="237" t="str">
        <f>IF(ISBLANK(H705),,IFNA(VLOOKUP(H705, Circuits!A:X, 24, FALSE),))</f>
        <v/>
      </c>
      <c r="V705" s="236" t="str">
        <f>IFERROR(__xludf.DUMMYFUNCTION("IF(ISBLANK(H705),,JOIN("","",H705:T705))"),"")</f>
        <v/>
      </c>
      <c r="W705" s="229" t="str">
        <f t="shared" si="1"/>
        <v/>
      </c>
    </row>
    <row r="706">
      <c r="H706" s="237"/>
      <c r="I706" s="237" t="str">
        <f>IFERROR(__xludf.DUMMYFUNCTION("IF(ISBLANK(H706),,IFNA(""""""""&amp;JOIN("","",INDEX(FILTER(A:D,A:A=H706),0,4))&amp;"""""""",))"),"")</f>
        <v/>
      </c>
      <c r="J706" s="237" t="str">
        <f>IF(ISBLANK(H706),,IFNA(VLOOKUP(H706, Circuits!A:W, 23, FALSE),))</f>
        <v/>
      </c>
      <c r="K706" s="238" t="str">
        <f t="shared" si="2"/>
        <v/>
      </c>
      <c r="L706" s="238" t="str">
        <f t="shared" si="3"/>
        <v/>
      </c>
      <c r="M706" s="238" t="str">
        <f t="shared" si="4"/>
        <v/>
      </c>
      <c r="N706" s="238" t="str">
        <f t="shared" si="5"/>
        <v/>
      </c>
      <c r="O706" s="238" t="str">
        <f t="shared" si="6"/>
        <v/>
      </c>
      <c r="P706" s="237" t="str">
        <f>IFERROR(__xludf.DUMMYFUNCTION("IF(ISBLANK(H706),,IF(IFNA(MATCH(H706,SPLIT(Circuits!$S$2,"";""&amp;CHAR(10)),0),0),FALSE,TRUE))"),"")</f>
        <v/>
      </c>
      <c r="Q706" s="237" t="str">
        <f>IF(ISBLANK(H706),,IFNA(VLOOKUP(H706, Circuits!A:U, 21, FALSE),))</f>
        <v/>
      </c>
      <c r="R706" s="238" t="str">
        <f t="shared" si="7"/>
        <v/>
      </c>
      <c r="S706" s="237" t="str">
        <f>IF(ISBLANK(H706),,IFNA(VLOOKUP(H706, Circuits!A:V, 22, FALSE),))</f>
        <v/>
      </c>
      <c r="T706" s="237" t="str">
        <f>IF(ISBLANK(H706),,IFNA(VLOOKUP(H706, Circuits!A:X, 24, FALSE),))</f>
        <v/>
      </c>
      <c r="V706" s="236" t="str">
        <f>IFERROR(__xludf.DUMMYFUNCTION("IF(ISBLANK(H706),,JOIN("","",H706:T706))"),"")</f>
        <v/>
      </c>
      <c r="W706" s="229" t="str">
        <f t="shared" si="1"/>
        <v/>
      </c>
    </row>
    <row r="707">
      <c r="H707" s="237"/>
      <c r="I707" s="237" t="str">
        <f>IFERROR(__xludf.DUMMYFUNCTION("IF(ISBLANK(H707),,IFNA(""""""""&amp;JOIN("","",INDEX(FILTER(A:D,A:A=H707),0,4))&amp;"""""""",))"),"")</f>
        <v/>
      </c>
      <c r="J707" s="237" t="str">
        <f>IF(ISBLANK(H707),,IFNA(VLOOKUP(H707, Circuits!A:W, 23, FALSE),))</f>
        <v/>
      </c>
      <c r="K707" s="238" t="str">
        <f t="shared" si="2"/>
        <v/>
      </c>
      <c r="L707" s="238" t="str">
        <f t="shared" si="3"/>
        <v/>
      </c>
      <c r="M707" s="238" t="str">
        <f t="shared" si="4"/>
        <v/>
      </c>
      <c r="N707" s="238" t="str">
        <f t="shared" si="5"/>
        <v/>
      </c>
      <c r="O707" s="238" t="str">
        <f t="shared" si="6"/>
        <v/>
      </c>
      <c r="P707" s="237" t="str">
        <f>IFERROR(__xludf.DUMMYFUNCTION("IF(ISBLANK(H707),,IF(IFNA(MATCH(H707,SPLIT(Circuits!$S$2,"";""&amp;CHAR(10)),0),0),FALSE,TRUE))"),"")</f>
        <v/>
      </c>
      <c r="Q707" s="237" t="str">
        <f>IF(ISBLANK(H707),,IFNA(VLOOKUP(H707, Circuits!A:U, 21, FALSE),))</f>
        <v/>
      </c>
      <c r="R707" s="238" t="str">
        <f t="shared" si="7"/>
        <v/>
      </c>
      <c r="S707" s="237" t="str">
        <f>IF(ISBLANK(H707),,IFNA(VLOOKUP(H707, Circuits!A:V, 22, FALSE),))</f>
        <v/>
      </c>
      <c r="T707" s="237" t="str">
        <f>IF(ISBLANK(H707),,IFNA(VLOOKUP(H707, Circuits!A:X, 24, FALSE),))</f>
        <v/>
      </c>
      <c r="V707" s="236" t="str">
        <f>IFERROR(__xludf.DUMMYFUNCTION("IF(ISBLANK(H707),,JOIN("","",H707:T707))"),"")</f>
        <v/>
      </c>
      <c r="W707" s="229" t="str">
        <f t="shared" si="1"/>
        <v/>
      </c>
    </row>
    <row r="708">
      <c r="H708" s="237"/>
      <c r="I708" s="237" t="str">
        <f>IFERROR(__xludf.DUMMYFUNCTION("IF(ISBLANK(H708),,IFNA(""""""""&amp;JOIN("","",INDEX(FILTER(A:D,A:A=H708),0,4))&amp;"""""""",))"),"")</f>
        <v/>
      </c>
      <c r="J708" s="237" t="str">
        <f>IF(ISBLANK(H708),,IFNA(VLOOKUP(H708, Circuits!A:W, 23, FALSE),))</f>
        <v/>
      </c>
      <c r="K708" s="238" t="str">
        <f t="shared" si="2"/>
        <v/>
      </c>
      <c r="L708" s="238" t="str">
        <f t="shared" si="3"/>
        <v/>
      </c>
      <c r="M708" s="238" t="str">
        <f t="shared" si="4"/>
        <v/>
      </c>
      <c r="N708" s="238" t="str">
        <f t="shared" si="5"/>
        <v/>
      </c>
      <c r="O708" s="238" t="str">
        <f t="shared" si="6"/>
        <v/>
      </c>
      <c r="P708" s="237" t="str">
        <f>IFERROR(__xludf.DUMMYFUNCTION("IF(ISBLANK(H708),,IF(IFNA(MATCH(H708,SPLIT(Circuits!$S$2,"";""&amp;CHAR(10)),0),0),FALSE,TRUE))"),"")</f>
        <v/>
      </c>
      <c r="Q708" s="237" t="str">
        <f>IF(ISBLANK(H708),,IFNA(VLOOKUP(H708, Circuits!A:U, 21, FALSE),))</f>
        <v/>
      </c>
      <c r="R708" s="238" t="str">
        <f t="shared" si="7"/>
        <v/>
      </c>
      <c r="S708" s="237" t="str">
        <f>IF(ISBLANK(H708),,IFNA(VLOOKUP(H708, Circuits!A:V, 22, FALSE),))</f>
        <v/>
      </c>
      <c r="T708" s="237" t="str">
        <f>IF(ISBLANK(H708),,IFNA(VLOOKUP(H708, Circuits!A:X, 24, FALSE),))</f>
        <v/>
      </c>
      <c r="V708" s="236" t="str">
        <f>IFERROR(__xludf.DUMMYFUNCTION("IF(ISBLANK(H708),,JOIN("","",H708:T708))"),"")</f>
        <v/>
      </c>
      <c r="W708" s="229" t="str">
        <f t="shared" si="1"/>
        <v/>
      </c>
    </row>
    <row r="709">
      <c r="H709" s="237"/>
      <c r="I709" s="237" t="str">
        <f>IFERROR(__xludf.DUMMYFUNCTION("IF(ISBLANK(H709),,IFNA(""""""""&amp;JOIN("","",INDEX(FILTER(A:D,A:A=H709),0,4))&amp;"""""""",))"),"")</f>
        <v/>
      </c>
      <c r="J709" s="237" t="str">
        <f>IF(ISBLANK(H709),,IFNA(VLOOKUP(H709, Circuits!A:W, 23, FALSE),))</f>
        <v/>
      </c>
      <c r="K709" s="238" t="str">
        <f t="shared" si="2"/>
        <v/>
      </c>
      <c r="L709" s="238" t="str">
        <f t="shared" si="3"/>
        <v/>
      </c>
      <c r="M709" s="238" t="str">
        <f t="shared" si="4"/>
        <v/>
      </c>
      <c r="N709" s="238" t="str">
        <f t="shared" si="5"/>
        <v/>
      </c>
      <c r="O709" s="238" t="str">
        <f t="shared" si="6"/>
        <v/>
      </c>
      <c r="P709" s="237" t="str">
        <f>IFERROR(__xludf.DUMMYFUNCTION("IF(ISBLANK(H709),,IF(IFNA(MATCH(H709,SPLIT(Circuits!$S$2,"";""&amp;CHAR(10)),0),0),FALSE,TRUE))"),"")</f>
        <v/>
      </c>
      <c r="Q709" s="237" t="str">
        <f>IF(ISBLANK(H709),,IFNA(VLOOKUP(H709, Circuits!A:U, 21, FALSE),))</f>
        <v/>
      </c>
      <c r="R709" s="238" t="str">
        <f t="shared" si="7"/>
        <v/>
      </c>
      <c r="S709" s="237" t="str">
        <f>IF(ISBLANK(H709),,IFNA(VLOOKUP(H709, Circuits!A:V, 22, FALSE),))</f>
        <v/>
      </c>
      <c r="T709" s="237" t="str">
        <f>IF(ISBLANK(H709),,IFNA(VLOOKUP(H709, Circuits!A:X, 24, FALSE),))</f>
        <v/>
      </c>
      <c r="V709" s="236" t="str">
        <f>IFERROR(__xludf.DUMMYFUNCTION("IF(ISBLANK(H709),,JOIN("","",H709:T709))"),"")</f>
        <v/>
      </c>
      <c r="W709" s="229" t="str">
        <f t="shared" si="1"/>
        <v/>
      </c>
    </row>
    <row r="710">
      <c r="H710" s="237"/>
      <c r="I710" s="237" t="str">
        <f>IFERROR(__xludf.DUMMYFUNCTION("IF(ISBLANK(H710),,IFNA(""""""""&amp;JOIN("","",INDEX(FILTER(A:D,A:A=H710),0,4))&amp;"""""""",))"),"")</f>
        <v/>
      </c>
      <c r="J710" s="237" t="str">
        <f>IF(ISBLANK(H710),,IFNA(VLOOKUP(H710, Circuits!A:W, 23, FALSE),))</f>
        <v/>
      </c>
      <c r="K710" s="238" t="str">
        <f t="shared" si="2"/>
        <v/>
      </c>
      <c r="L710" s="238" t="str">
        <f t="shared" si="3"/>
        <v/>
      </c>
      <c r="M710" s="238" t="str">
        <f t="shared" si="4"/>
        <v/>
      </c>
      <c r="N710" s="238" t="str">
        <f t="shared" si="5"/>
        <v/>
      </c>
      <c r="O710" s="238" t="str">
        <f t="shared" si="6"/>
        <v/>
      </c>
      <c r="P710" s="237" t="str">
        <f>IFERROR(__xludf.DUMMYFUNCTION("IF(ISBLANK(H710),,IF(IFNA(MATCH(H710,SPLIT(Circuits!$S$2,"";""&amp;CHAR(10)),0),0),FALSE,TRUE))"),"")</f>
        <v/>
      </c>
      <c r="Q710" s="237" t="str">
        <f>IF(ISBLANK(H710),,IFNA(VLOOKUP(H710, Circuits!A:U, 21, FALSE),))</f>
        <v/>
      </c>
      <c r="R710" s="238" t="str">
        <f t="shared" si="7"/>
        <v/>
      </c>
      <c r="S710" s="237" t="str">
        <f>IF(ISBLANK(H710),,IFNA(VLOOKUP(H710, Circuits!A:V, 22, FALSE),))</f>
        <v/>
      </c>
      <c r="T710" s="237" t="str">
        <f>IF(ISBLANK(H710),,IFNA(VLOOKUP(H710, Circuits!A:X, 24, FALSE),))</f>
        <v/>
      </c>
      <c r="V710" s="236" t="str">
        <f>IFERROR(__xludf.DUMMYFUNCTION("IF(ISBLANK(H710),,JOIN("","",H710:T710))"),"")</f>
        <v/>
      </c>
      <c r="W710" s="229" t="str">
        <f t="shared" si="1"/>
        <v/>
      </c>
    </row>
    <row r="711">
      <c r="H711" s="237"/>
      <c r="I711" s="237" t="str">
        <f>IFERROR(__xludf.DUMMYFUNCTION("IF(ISBLANK(H711),,IFNA(""""""""&amp;JOIN("","",INDEX(FILTER(A:D,A:A=H711),0,4))&amp;"""""""",))"),"")</f>
        <v/>
      </c>
      <c r="J711" s="237" t="str">
        <f>IF(ISBLANK(H711),,IFNA(VLOOKUP(H711, Circuits!A:W, 23, FALSE),))</f>
        <v/>
      </c>
      <c r="K711" s="238" t="str">
        <f t="shared" si="2"/>
        <v/>
      </c>
      <c r="L711" s="238" t="str">
        <f t="shared" si="3"/>
        <v/>
      </c>
      <c r="M711" s="238" t="str">
        <f t="shared" si="4"/>
        <v/>
      </c>
      <c r="N711" s="238" t="str">
        <f t="shared" si="5"/>
        <v/>
      </c>
      <c r="O711" s="238" t="str">
        <f t="shared" si="6"/>
        <v/>
      </c>
      <c r="P711" s="237" t="str">
        <f>IFERROR(__xludf.DUMMYFUNCTION("IF(ISBLANK(H711),,IF(IFNA(MATCH(H711,SPLIT(Circuits!$S$2,"";""&amp;CHAR(10)),0),0),FALSE,TRUE))"),"")</f>
        <v/>
      </c>
      <c r="Q711" s="237" t="str">
        <f>IF(ISBLANK(H711),,IFNA(VLOOKUP(H711, Circuits!A:U, 21, FALSE),))</f>
        <v/>
      </c>
      <c r="R711" s="238" t="str">
        <f t="shared" si="7"/>
        <v/>
      </c>
      <c r="S711" s="237" t="str">
        <f>IF(ISBLANK(H711),,IFNA(VLOOKUP(H711, Circuits!A:V, 22, FALSE),))</f>
        <v/>
      </c>
      <c r="T711" s="237" t="str">
        <f>IF(ISBLANK(H711),,IFNA(VLOOKUP(H711, Circuits!A:X, 24, FALSE),))</f>
        <v/>
      </c>
      <c r="V711" s="236" t="str">
        <f>IFERROR(__xludf.DUMMYFUNCTION("IF(ISBLANK(H711),,JOIN("","",H711:T711))"),"")</f>
        <v/>
      </c>
      <c r="W711" s="229" t="str">
        <f t="shared" si="1"/>
        <v/>
      </c>
    </row>
    <row r="712">
      <c r="H712" s="237"/>
      <c r="I712" s="237" t="str">
        <f>IFERROR(__xludf.DUMMYFUNCTION("IF(ISBLANK(H712),,IFNA(""""""""&amp;JOIN("","",INDEX(FILTER(A:D,A:A=H712),0,4))&amp;"""""""",))"),"")</f>
        <v/>
      </c>
      <c r="J712" s="237" t="str">
        <f>IF(ISBLANK(H712),,IFNA(VLOOKUP(H712, Circuits!A:W, 23, FALSE),))</f>
        <v/>
      </c>
      <c r="K712" s="238" t="str">
        <f t="shared" si="2"/>
        <v/>
      </c>
      <c r="L712" s="238" t="str">
        <f t="shared" si="3"/>
        <v/>
      </c>
      <c r="M712" s="238" t="str">
        <f t="shared" si="4"/>
        <v/>
      </c>
      <c r="N712" s="238" t="str">
        <f t="shared" si="5"/>
        <v/>
      </c>
      <c r="O712" s="238" t="str">
        <f t="shared" si="6"/>
        <v/>
      </c>
      <c r="P712" s="237" t="str">
        <f>IFERROR(__xludf.DUMMYFUNCTION("IF(ISBLANK(H712),,IF(IFNA(MATCH(H712,SPLIT(Circuits!$S$2,"";""&amp;CHAR(10)),0),0),FALSE,TRUE))"),"")</f>
        <v/>
      </c>
      <c r="Q712" s="237" t="str">
        <f>IF(ISBLANK(H712),,IFNA(VLOOKUP(H712, Circuits!A:U, 21, FALSE),))</f>
        <v/>
      </c>
      <c r="R712" s="238" t="str">
        <f t="shared" si="7"/>
        <v/>
      </c>
      <c r="S712" s="237" t="str">
        <f>IF(ISBLANK(H712),,IFNA(VLOOKUP(H712, Circuits!A:V, 22, FALSE),))</f>
        <v/>
      </c>
      <c r="T712" s="237" t="str">
        <f>IF(ISBLANK(H712),,IFNA(VLOOKUP(H712, Circuits!A:X, 24, FALSE),))</f>
        <v/>
      </c>
      <c r="V712" s="236" t="str">
        <f>IFERROR(__xludf.DUMMYFUNCTION("IF(ISBLANK(H712),,JOIN("","",H712:T712))"),"")</f>
        <v/>
      </c>
      <c r="W712" s="229" t="str">
        <f t="shared" si="1"/>
        <v/>
      </c>
    </row>
    <row r="713">
      <c r="H713" s="237"/>
      <c r="I713" s="237" t="str">
        <f>IFERROR(__xludf.DUMMYFUNCTION("IF(ISBLANK(H713),,IFNA(""""""""&amp;JOIN("","",INDEX(FILTER(A:D,A:A=H713),0,4))&amp;"""""""",))"),"")</f>
        <v/>
      </c>
      <c r="J713" s="237" t="str">
        <f>IF(ISBLANK(H713),,IFNA(VLOOKUP(H713, Circuits!A:W, 23, FALSE),))</f>
        <v/>
      </c>
      <c r="K713" s="238" t="str">
        <f t="shared" si="2"/>
        <v/>
      </c>
      <c r="L713" s="238" t="str">
        <f t="shared" si="3"/>
        <v/>
      </c>
      <c r="M713" s="238" t="str">
        <f t="shared" si="4"/>
        <v/>
      </c>
      <c r="N713" s="238" t="str">
        <f t="shared" si="5"/>
        <v/>
      </c>
      <c r="O713" s="238" t="str">
        <f t="shared" si="6"/>
        <v/>
      </c>
      <c r="P713" s="237" t="str">
        <f>IFERROR(__xludf.DUMMYFUNCTION("IF(ISBLANK(H713),,IF(IFNA(MATCH(H713,SPLIT(Circuits!$S$2,"";""&amp;CHAR(10)),0),0),FALSE,TRUE))"),"")</f>
        <v/>
      </c>
      <c r="Q713" s="237" t="str">
        <f>IF(ISBLANK(H713),,IFNA(VLOOKUP(H713, Circuits!A:U, 21, FALSE),))</f>
        <v/>
      </c>
      <c r="R713" s="238" t="str">
        <f t="shared" si="7"/>
        <v/>
      </c>
      <c r="S713" s="237" t="str">
        <f>IF(ISBLANK(H713),,IFNA(VLOOKUP(H713, Circuits!A:V, 22, FALSE),))</f>
        <v/>
      </c>
      <c r="T713" s="237" t="str">
        <f>IF(ISBLANK(H713),,IFNA(VLOOKUP(H713, Circuits!A:X, 24, FALSE),))</f>
        <v/>
      </c>
      <c r="V713" s="236" t="str">
        <f>IFERROR(__xludf.DUMMYFUNCTION("IF(ISBLANK(H713),,JOIN("","",H713:T713))"),"")</f>
        <v/>
      </c>
      <c r="W713" s="229" t="str">
        <f t="shared" si="1"/>
        <v/>
      </c>
    </row>
    <row r="714">
      <c r="H714" s="237"/>
      <c r="I714" s="237" t="str">
        <f>IFERROR(__xludf.DUMMYFUNCTION("IF(ISBLANK(H714),,IFNA(""""""""&amp;JOIN("","",INDEX(FILTER(A:D,A:A=H714),0,4))&amp;"""""""",))"),"")</f>
        <v/>
      </c>
      <c r="J714" s="237" t="str">
        <f>IF(ISBLANK(H714),,IFNA(VLOOKUP(H714, Circuits!A:W, 23, FALSE),))</f>
        <v/>
      </c>
      <c r="K714" s="238" t="str">
        <f t="shared" si="2"/>
        <v/>
      </c>
      <c r="L714" s="238" t="str">
        <f t="shared" si="3"/>
        <v/>
      </c>
      <c r="M714" s="238" t="str">
        <f t="shared" si="4"/>
        <v/>
      </c>
      <c r="N714" s="238" t="str">
        <f t="shared" si="5"/>
        <v/>
      </c>
      <c r="O714" s="238" t="str">
        <f t="shared" si="6"/>
        <v/>
      </c>
      <c r="P714" s="237" t="str">
        <f>IFERROR(__xludf.DUMMYFUNCTION("IF(ISBLANK(H714),,IF(IFNA(MATCH(H714,SPLIT(Circuits!$S$2,"";""&amp;CHAR(10)),0),0),FALSE,TRUE))"),"")</f>
        <v/>
      </c>
      <c r="Q714" s="237" t="str">
        <f>IF(ISBLANK(H714),,IFNA(VLOOKUP(H714, Circuits!A:U, 21, FALSE),))</f>
        <v/>
      </c>
      <c r="R714" s="238" t="str">
        <f t="shared" si="7"/>
        <v/>
      </c>
      <c r="S714" s="237" t="str">
        <f>IF(ISBLANK(H714),,IFNA(VLOOKUP(H714, Circuits!A:V, 22, FALSE),))</f>
        <v/>
      </c>
      <c r="T714" s="237" t="str">
        <f>IF(ISBLANK(H714),,IFNA(VLOOKUP(H714, Circuits!A:X, 24, FALSE),))</f>
        <v/>
      </c>
      <c r="V714" s="236" t="str">
        <f>IFERROR(__xludf.DUMMYFUNCTION("IF(ISBLANK(H714),,JOIN("","",H714:T714))"),"")</f>
        <v/>
      </c>
      <c r="W714" s="229" t="str">
        <f t="shared" si="1"/>
        <v/>
      </c>
    </row>
    <row r="715">
      <c r="H715" s="237"/>
      <c r="I715" s="237" t="str">
        <f>IFERROR(__xludf.DUMMYFUNCTION("IF(ISBLANK(H715),,IFNA(""""""""&amp;JOIN("","",INDEX(FILTER(A:D,A:A=H715),0,4))&amp;"""""""",))"),"")</f>
        <v/>
      </c>
      <c r="J715" s="237" t="str">
        <f>IF(ISBLANK(H715),,IFNA(VLOOKUP(H715, Circuits!A:W, 23, FALSE),))</f>
        <v/>
      </c>
      <c r="K715" s="238" t="str">
        <f t="shared" si="2"/>
        <v/>
      </c>
      <c r="L715" s="238" t="str">
        <f t="shared" si="3"/>
        <v/>
      </c>
      <c r="M715" s="238" t="str">
        <f t="shared" si="4"/>
        <v/>
      </c>
      <c r="N715" s="238" t="str">
        <f t="shared" si="5"/>
        <v/>
      </c>
      <c r="O715" s="238" t="str">
        <f t="shared" si="6"/>
        <v/>
      </c>
      <c r="P715" s="237" t="str">
        <f>IFERROR(__xludf.DUMMYFUNCTION("IF(ISBLANK(H715),,IF(IFNA(MATCH(H715,SPLIT(Circuits!$S$2,"";""&amp;CHAR(10)),0),0),FALSE,TRUE))"),"")</f>
        <v/>
      </c>
      <c r="Q715" s="237" t="str">
        <f>IF(ISBLANK(H715),,IFNA(VLOOKUP(H715, Circuits!A:U, 21, FALSE),))</f>
        <v/>
      </c>
      <c r="R715" s="238" t="str">
        <f t="shared" si="7"/>
        <v/>
      </c>
      <c r="S715" s="237" t="str">
        <f>IF(ISBLANK(H715),,IFNA(VLOOKUP(H715, Circuits!A:V, 22, FALSE),))</f>
        <v/>
      </c>
      <c r="T715" s="237" t="str">
        <f>IF(ISBLANK(H715),,IFNA(VLOOKUP(H715, Circuits!A:X, 24, FALSE),))</f>
        <v/>
      </c>
      <c r="V715" s="236" t="str">
        <f>IFERROR(__xludf.DUMMYFUNCTION("IF(ISBLANK(H715),,JOIN("","",H715:T715))"),"")</f>
        <v/>
      </c>
      <c r="W715" s="229" t="str">
        <f t="shared" si="1"/>
        <v/>
      </c>
    </row>
    <row r="716">
      <c r="H716" s="237"/>
      <c r="I716" s="237" t="str">
        <f>IFERROR(__xludf.DUMMYFUNCTION("IF(ISBLANK(H716),,IFNA(""""""""&amp;JOIN("","",INDEX(FILTER(A:D,A:A=H716),0,4))&amp;"""""""",))"),"")</f>
        <v/>
      </c>
      <c r="J716" s="237" t="str">
        <f>IF(ISBLANK(H716),,IFNA(VLOOKUP(H716, Circuits!A:W, 23, FALSE),))</f>
        <v/>
      </c>
      <c r="K716" s="238" t="str">
        <f t="shared" si="2"/>
        <v/>
      </c>
      <c r="L716" s="238" t="str">
        <f t="shared" si="3"/>
        <v/>
      </c>
      <c r="M716" s="238" t="str">
        <f t="shared" si="4"/>
        <v/>
      </c>
      <c r="N716" s="238" t="str">
        <f t="shared" si="5"/>
        <v/>
      </c>
      <c r="O716" s="238" t="str">
        <f t="shared" si="6"/>
        <v/>
      </c>
      <c r="P716" s="237" t="str">
        <f>IFERROR(__xludf.DUMMYFUNCTION("IF(ISBLANK(H716),,IF(IFNA(MATCH(H716,SPLIT(Circuits!$S$2,"";""&amp;CHAR(10)),0),0),FALSE,TRUE))"),"")</f>
        <v/>
      </c>
      <c r="Q716" s="237" t="str">
        <f>IF(ISBLANK(H716),,IFNA(VLOOKUP(H716, Circuits!A:U, 21, FALSE),))</f>
        <v/>
      </c>
      <c r="R716" s="238" t="str">
        <f t="shared" si="7"/>
        <v/>
      </c>
      <c r="S716" s="237" t="str">
        <f>IF(ISBLANK(H716),,IFNA(VLOOKUP(H716, Circuits!A:V, 22, FALSE),))</f>
        <v/>
      </c>
      <c r="T716" s="237" t="str">
        <f>IF(ISBLANK(H716),,IFNA(VLOOKUP(H716, Circuits!A:X, 24, FALSE),))</f>
        <v/>
      </c>
      <c r="V716" s="236" t="str">
        <f>IFERROR(__xludf.DUMMYFUNCTION("IF(ISBLANK(H716),,JOIN("","",H716:T716))"),"")</f>
        <v/>
      </c>
      <c r="W716" s="229" t="str">
        <f t="shared" si="1"/>
        <v/>
      </c>
    </row>
    <row r="717">
      <c r="H717" s="237"/>
      <c r="I717" s="237" t="str">
        <f>IFERROR(__xludf.DUMMYFUNCTION("IF(ISBLANK(H717),,IFNA(""""""""&amp;JOIN("","",INDEX(FILTER(A:D,A:A=H717),0,4))&amp;"""""""",))"),"")</f>
        <v/>
      </c>
      <c r="J717" s="237" t="str">
        <f>IF(ISBLANK(H717),,IFNA(VLOOKUP(H717, Circuits!A:W, 23, FALSE),))</f>
        <v/>
      </c>
      <c r="K717" s="238" t="str">
        <f t="shared" si="2"/>
        <v/>
      </c>
      <c r="L717" s="238" t="str">
        <f t="shared" si="3"/>
        <v/>
      </c>
      <c r="M717" s="238" t="str">
        <f t="shared" si="4"/>
        <v/>
      </c>
      <c r="N717" s="238" t="str">
        <f t="shared" si="5"/>
        <v/>
      </c>
      <c r="O717" s="238" t="str">
        <f t="shared" si="6"/>
        <v/>
      </c>
      <c r="P717" s="237" t="str">
        <f>IFERROR(__xludf.DUMMYFUNCTION("IF(ISBLANK(H717),,IF(IFNA(MATCH(H717,SPLIT(Circuits!$S$2,"";""&amp;CHAR(10)),0),0),FALSE,TRUE))"),"")</f>
        <v/>
      </c>
      <c r="Q717" s="237" t="str">
        <f>IF(ISBLANK(H717),,IFNA(VLOOKUP(H717, Circuits!A:U, 21, FALSE),))</f>
        <v/>
      </c>
      <c r="R717" s="238" t="str">
        <f t="shared" si="7"/>
        <v/>
      </c>
      <c r="S717" s="237" t="str">
        <f>IF(ISBLANK(H717),,IFNA(VLOOKUP(H717, Circuits!A:V, 22, FALSE),))</f>
        <v/>
      </c>
      <c r="T717" s="237" t="str">
        <f>IF(ISBLANK(H717),,IFNA(VLOOKUP(H717, Circuits!A:X, 24, FALSE),))</f>
        <v/>
      </c>
      <c r="V717" s="236" t="str">
        <f>IFERROR(__xludf.DUMMYFUNCTION("IF(ISBLANK(H717),,JOIN("","",H717:T717))"),"")</f>
        <v/>
      </c>
      <c r="W717" s="229" t="str">
        <f t="shared" si="1"/>
        <v/>
      </c>
    </row>
    <row r="718">
      <c r="H718" s="237"/>
      <c r="I718" s="237" t="str">
        <f>IFERROR(__xludf.DUMMYFUNCTION("IF(ISBLANK(H718),,IFNA(""""""""&amp;JOIN("","",INDEX(FILTER(A:D,A:A=H718),0,4))&amp;"""""""",))"),"")</f>
        <v/>
      </c>
      <c r="J718" s="237" t="str">
        <f>IF(ISBLANK(H718),,IFNA(VLOOKUP(H718, Circuits!A:W, 23, FALSE),))</f>
        <v/>
      </c>
      <c r="K718" s="238" t="str">
        <f t="shared" si="2"/>
        <v/>
      </c>
      <c r="L718" s="238" t="str">
        <f t="shared" si="3"/>
        <v/>
      </c>
      <c r="M718" s="238" t="str">
        <f t="shared" si="4"/>
        <v/>
      </c>
      <c r="N718" s="238" t="str">
        <f t="shared" si="5"/>
        <v/>
      </c>
      <c r="O718" s="238" t="str">
        <f t="shared" si="6"/>
        <v/>
      </c>
      <c r="P718" s="237" t="str">
        <f>IFERROR(__xludf.DUMMYFUNCTION("IF(ISBLANK(H718),,IF(IFNA(MATCH(H718,SPLIT(Circuits!$S$2,"";""&amp;CHAR(10)),0),0),FALSE,TRUE))"),"")</f>
        <v/>
      </c>
      <c r="Q718" s="237" t="str">
        <f>IF(ISBLANK(H718),,IFNA(VLOOKUP(H718, Circuits!A:U, 21, FALSE),))</f>
        <v/>
      </c>
      <c r="R718" s="238" t="str">
        <f t="shared" si="7"/>
        <v/>
      </c>
      <c r="S718" s="237" t="str">
        <f>IF(ISBLANK(H718),,IFNA(VLOOKUP(H718, Circuits!A:V, 22, FALSE),))</f>
        <v/>
      </c>
      <c r="T718" s="237" t="str">
        <f>IF(ISBLANK(H718),,IFNA(VLOOKUP(H718, Circuits!A:X, 24, FALSE),))</f>
        <v/>
      </c>
      <c r="V718" s="236" t="str">
        <f>IFERROR(__xludf.DUMMYFUNCTION("IF(ISBLANK(H718),,JOIN("","",H718:T718))"),"")</f>
        <v/>
      </c>
      <c r="W718" s="229" t="str">
        <f t="shared" si="1"/>
        <v/>
      </c>
    </row>
    <row r="719">
      <c r="H719" s="237"/>
      <c r="I719" s="237" t="str">
        <f>IFERROR(__xludf.DUMMYFUNCTION("IF(ISBLANK(H719),,IFNA(""""""""&amp;JOIN("","",INDEX(FILTER(A:D,A:A=H719),0,4))&amp;"""""""",))"),"")</f>
        <v/>
      </c>
      <c r="J719" s="237" t="str">
        <f>IF(ISBLANK(H719),,IFNA(VLOOKUP(H719, Circuits!A:W, 23, FALSE),))</f>
        <v/>
      </c>
      <c r="K719" s="238" t="str">
        <f t="shared" si="2"/>
        <v/>
      </c>
      <c r="L719" s="238" t="str">
        <f t="shared" si="3"/>
        <v/>
      </c>
      <c r="M719" s="238" t="str">
        <f t="shared" si="4"/>
        <v/>
      </c>
      <c r="N719" s="238" t="str">
        <f t="shared" si="5"/>
        <v/>
      </c>
      <c r="O719" s="238" t="str">
        <f t="shared" si="6"/>
        <v/>
      </c>
      <c r="P719" s="237" t="str">
        <f>IFERROR(__xludf.DUMMYFUNCTION("IF(ISBLANK(H719),,IF(IFNA(MATCH(H719,SPLIT(Circuits!$S$2,"";""&amp;CHAR(10)),0),0),FALSE,TRUE))"),"")</f>
        <v/>
      </c>
      <c r="Q719" s="237" t="str">
        <f>IF(ISBLANK(H719),,IFNA(VLOOKUP(H719, Circuits!A:U, 21, FALSE),))</f>
        <v/>
      </c>
      <c r="R719" s="238" t="str">
        <f t="shared" si="7"/>
        <v/>
      </c>
      <c r="S719" s="237" t="str">
        <f>IF(ISBLANK(H719),,IFNA(VLOOKUP(H719, Circuits!A:V, 22, FALSE),))</f>
        <v/>
      </c>
      <c r="T719" s="237" t="str">
        <f>IF(ISBLANK(H719),,IFNA(VLOOKUP(H719, Circuits!A:X, 24, FALSE),))</f>
        <v/>
      </c>
      <c r="V719" s="236" t="str">
        <f>IFERROR(__xludf.DUMMYFUNCTION("IF(ISBLANK(H719),,JOIN("","",H719:T719))"),"")</f>
        <v/>
      </c>
      <c r="W719" s="229" t="str">
        <f t="shared" si="1"/>
        <v/>
      </c>
    </row>
    <row r="720">
      <c r="H720" s="237"/>
      <c r="I720" s="237" t="str">
        <f>IFERROR(__xludf.DUMMYFUNCTION("IF(ISBLANK(H720),,IFNA(""""""""&amp;JOIN("","",INDEX(FILTER(A:D,A:A=H720),0,4))&amp;"""""""",))"),"")</f>
        <v/>
      </c>
      <c r="J720" s="237" t="str">
        <f>IF(ISBLANK(H720),,IFNA(VLOOKUP(H720, Circuits!A:W, 23, FALSE),))</f>
        <v/>
      </c>
      <c r="K720" s="238" t="str">
        <f t="shared" si="2"/>
        <v/>
      </c>
      <c r="L720" s="238" t="str">
        <f t="shared" si="3"/>
        <v/>
      </c>
      <c r="M720" s="238" t="str">
        <f t="shared" si="4"/>
        <v/>
      </c>
      <c r="N720" s="238" t="str">
        <f t="shared" si="5"/>
        <v/>
      </c>
      <c r="O720" s="238" t="str">
        <f t="shared" si="6"/>
        <v/>
      </c>
      <c r="P720" s="237" t="str">
        <f>IFERROR(__xludf.DUMMYFUNCTION("IF(ISBLANK(H720),,IF(IFNA(MATCH(H720,SPLIT(Circuits!$S$2,"";""&amp;CHAR(10)),0),0),FALSE,TRUE))"),"")</f>
        <v/>
      </c>
      <c r="Q720" s="237" t="str">
        <f>IF(ISBLANK(H720),,IFNA(VLOOKUP(H720, Circuits!A:U, 21, FALSE),))</f>
        <v/>
      </c>
      <c r="R720" s="238" t="str">
        <f t="shared" si="7"/>
        <v/>
      </c>
      <c r="S720" s="237" t="str">
        <f>IF(ISBLANK(H720),,IFNA(VLOOKUP(H720, Circuits!A:V, 22, FALSE),))</f>
        <v/>
      </c>
      <c r="T720" s="237" t="str">
        <f>IF(ISBLANK(H720),,IFNA(VLOOKUP(H720, Circuits!A:X, 24, FALSE),))</f>
        <v/>
      </c>
      <c r="V720" s="236" t="str">
        <f>IFERROR(__xludf.DUMMYFUNCTION("IF(ISBLANK(H720),,JOIN("","",H720:T720))"),"")</f>
        <v/>
      </c>
      <c r="W720" s="229" t="str">
        <f t="shared" si="1"/>
        <v/>
      </c>
    </row>
    <row r="721">
      <c r="H721" s="237"/>
      <c r="I721" s="237" t="str">
        <f>IFERROR(__xludf.DUMMYFUNCTION("IF(ISBLANK(H721),,IFNA(""""""""&amp;JOIN("","",INDEX(FILTER(A:D,A:A=H721),0,4))&amp;"""""""",))"),"")</f>
        <v/>
      </c>
      <c r="J721" s="237" t="str">
        <f>IF(ISBLANK(H721),,IFNA(VLOOKUP(H721, Circuits!A:W, 23, FALSE),))</f>
        <v/>
      </c>
      <c r="K721" s="238" t="str">
        <f t="shared" si="2"/>
        <v/>
      </c>
      <c r="L721" s="238" t="str">
        <f t="shared" si="3"/>
        <v/>
      </c>
      <c r="M721" s="238" t="str">
        <f t="shared" si="4"/>
        <v/>
      </c>
      <c r="N721" s="238" t="str">
        <f t="shared" si="5"/>
        <v/>
      </c>
      <c r="O721" s="238" t="str">
        <f t="shared" si="6"/>
        <v/>
      </c>
      <c r="P721" s="237" t="str">
        <f>IFERROR(__xludf.DUMMYFUNCTION("IF(ISBLANK(H721),,IF(IFNA(MATCH(H721,SPLIT(Circuits!$S$2,"";""&amp;CHAR(10)),0),0),FALSE,TRUE))"),"")</f>
        <v/>
      </c>
      <c r="Q721" s="237" t="str">
        <f>IF(ISBLANK(H721),,IFNA(VLOOKUP(H721, Circuits!A:U, 21, FALSE),))</f>
        <v/>
      </c>
      <c r="R721" s="238" t="str">
        <f t="shared" si="7"/>
        <v/>
      </c>
      <c r="S721" s="237" t="str">
        <f>IF(ISBLANK(H721),,IFNA(VLOOKUP(H721, Circuits!A:V, 22, FALSE),))</f>
        <v/>
      </c>
      <c r="T721" s="237" t="str">
        <f>IF(ISBLANK(H721),,IFNA(VLOOKUP(H721, Circuits!A:X, 24, FALSE),))</f>
        <v/>
      </c>
      <c r="V721" s="236" t="str">
        <f>IFERROR(__xludf.DUMMYFUNCTION("IF(ISBLANK(H721),,JOIN("","",H721:T721))"),"")</f>
        <v/>
      </c>
      <c r="W721" s="229" t="str">
        <f t="shared" si="1"/>
        <v/>
      </c>
    </row>
    <row r="722">
      <c r="H722" s="237"/>
      <c r="I722" s="237" t="str">
        <f>IFERROR(__xludf.DUMMYFUNCTION("IF(ISBLANK(H722),,IFNA(""""""""&amp;JOIN("","",INDEX(FILTER(A:D,A:A=H722),0,4))&amp;"""""""",))"),"")</f>
        <v/>
      </c>
      <c r="J722" s="237" t="str">
        <f>IF(ISBLANK(H722),,IFNA(VLOOKUP(H722, Circuits!A:W, 23, FALSE),))</f>
        <v/>
      </c>
      <c r="K722" s="238" t="str">
        <f t="shared" si="2"/>
        <v/>
      </c>
      <c r="L722" s="238" t="str">
        <f t="shared" si="3"/>
        <v/>
      </c>
      <c r="M722" s="238" t="str">
        <f t="shared" si="4"/>
        <v/>
      </c>
      <c r="N722" s="238" t="str">
        <f t="shared" si="5"/>
        <v/>
      </c>
      <c r="O722" s="238" t="str">
        <f t="shared" si="6"/>
        <v/>
      </c>
      <c r="P722" s="237" t="str">
        <f>IFERROR(__xludf.DUMMYFUNCTION("IF(ISBLANK(H722),,IF(IFNA(MATCH(H722,SPLIT(Circuits!$S$2,"";""&amp;CHAR(10)),0),0),FALSE,TRUE))"),"")</f>
        <v/>
      </c>
      <c r="Q722" s="237" t="str">
        <f>IF(ISBLANK(H722),,IFNA(VLOOKUP(H722, Circuits!A:U, 21, FALSE),))</f>
        <v/>
      </c>
      <c r="R722" s="238" t="str">
        <f t="shared" si="7"/>
        <v/>
      </c>
      <c r="S722" s="237" t="str">
        <f>IF(ISBLANK(H722),,IFNA(VLOOKUP(H722, Circuits!A:V, 22, FALSE),))</f>
        <v/>
      </c>
      <c r="T722" s="237" t="str">
        <f>IF(ISBLANK(H722),,IFNA(VLOOKUP(H722, Circuits!A:X, 24, FALSE),))</f>
        <v/>
      </c>
      <c r="V722" s="236" t="str">
        <f>IFERROR(__xludf.DUMMYFUNCTION("IF(ISBLANK(H722),,JOIN("","",H722:T722))"),"")</f>
        <v/>
      </c>
      <c r="W722" s="229" t="str">
        <f t="shared" si="1"/>
        <v/>
      </c>
    </row>
    <row r="723">
      <c r="H723" s="237"/>
      <c r="I723" s="237" t="str">
        <f>IFERROR(__xludf.DUMMYFUNCTION("IF(ISBLANK(H723),,IFNA(""""""""&amp;JOIN("","",INDEX(FILTER(A:D,A:A=H723),0,4))&amp;"""""""",))"),"")</f>
        <v/>
      </c>
      <c r="J723" s="237" t="str">
        <f>IF(ISBLANK(H723),,IFNA(VLOOKUP(H723, Circuits!A:W, 23, FALSE),))</f>
        <v/>
      </c>
      <c r="K723" s="238" t="str">
        <f t="shared" si="2"/>
        <v/>
      </c>
      <c r="L723" s="238" t="str">
        <f t="shared" si="3"/>
        <v/>
      </c>
      <c r="M723" s="238" t="str">
        <f t="shared" si="4"/>
        <v/>
      </c>
      <c r="N723" s="238" t="str">
        <f t="shared" si="5"/>
        <v/>
      </c>
      <c r="O723" s="238" t="str">
        <f t="shared" si="6"/>
        <v/>
      </c>
      <c r="P723" s="237" t="str">
        <f>IFERROR(__xludf.DUMMYFUNCTION("IF(ISBLANK(H723),,IF(IFNA(MATCH(H723,SPLIT(Circuits!$S$2,"";""&amp;CHAR(10)),0),0),FALSE,TRUE))"),"")</f>
        <v/>
      </c>
      <c r="Q723" s="237" t="str">
        <f>IF(ISBLANK(H723),,IFNA(VLOOKUP(H723, Circuits!A:U, 21, FALSE),))</f>
        <v/>
      </c>
      <c r="R723" s="238" t="str">
        <f t="shared" si="7"/>
        <v/>
      </c>
      <c r="S723" s="237" t="str">
        <f>IF(ISBLANK(H723),,IFNA(VLOOKUP(H723, Circuits!A:V, 22, FALSE),))</f>
        <v/>
      </c>
      <c r="T723" s="237" t="str">
        <f>IF(ISBLANK(H723),,IFNA(VLOOKUP(H723, Circuits!A:X, 24, FALSE),))</f>
        <v/>
      </c>
      <c r="V723" s="236" t="str">
        <f>IFERROR(__xludf.DUMMYFUNCTION("IF(ISBLANK(H723),,JOIN("","",H723:T723))"),"")</f>
        <v/>
      </c>
      <c r="W723" s="229" t="str">
        <f t="shared" si="1"/>
        <v/>
      </c>
    </row>
    <row r="724">
      <c r="H724" s="237"/>
      <c r="I724" s="237" t="str">
        <f>IFERROR(__xludf.DUMMYFUNCTION("IF(ISBLANK(H724),,IFNA(""""""""&amp;JOIN("","",INDEX(FILTER(A:D,A:A=H724),0,4))&amp;"""""""",))"),"")</f>
        <v/>
      </c>
      <c r="J724" s="237" t="str">
        <f>IF(ISBLANK(H724),,IFNA(VLOOKUP(H724, Circuits!A:W, 23, FALSE),))</f>
        <v/>
      </c>
      <c r="K724" s="238" t="str">
        <f t="shared" si="2"/>
        <v/>
      </c>
      <c r="L724" s="238" t="str">
        <f t="shared" si="3"/>
        <v/>
      </c>
      <c r="M724" s="238" t="str">
        <f t="shared" si="4"/>
        <v/>
      </c>
      <c r="N724" s="238" t="str">
        <f t="shared" si="5"/>
        <v/>
      </c>
      <c r="O724" s="238" t="str">
        <f t="shared" si="6"/>
        <v/>
      </c>
      <c r="P724" s="237" t="str">
        <f>IFERROR(__xludf.DUMMYFUNCTION("IF(ISBLANK(H724),,IF(IFNA(MATCH(H724,SPLIT(Circuits!$S$2,"";""&amp;CHAR(10)),0),0),FALSE,TRUE))"),"")</f>
        <v/>
      </c>
      <c r="Q724" s="237" t="str">
        <f>IF(ISBLANK(H724),,IFNA(VLOOKUP(H724, Circuits!A:U, 21, FALSE),))</f>
        <v/>
      </c>
      <c r="R724" s="238" t="str">
        <f t="shared" si="7"/>
        <v/>
      </c>
      <c r="S724" s="237" t="str">
        <f>IF(ISBLANK(H724),,IFNA(VLOOKUP(H724, Circuits!A:V, 22, FALSE),))</f>
        <v/>
      </c>
      <c r="T724" s="237" t="str">
        <f>IF(ISBLANK(H724),,IFNA(VLOOKUP(H724, Circuits!A:X, 24, FALSE),))</f>
        <v/>
      </c>
      <c r="V724" s="236" t="str">
        <f>IFERROR(__xludf.DUMMYFUNCTION("IF(ISBLANK(H724),,JOIN("","",H724:T724))"),"")</f>
        <v/>
      </c>
      <c r="W724" s="229" t="str">
        <f t="shared" si="1"/>
        <v/>
      </c>
    </row>
    <row r="725">
      <c r="H725" s="237"/>
      <c r="I725" s="237" t="str">
        <f>IFERROR(__xludf.DUMMYFUNCTION("IF(ISBLANK(H725),,IFNA(""""""""&amp;JOIN("","",INDEX(FILTER(A:D,A:A=H725),0,4))&amp;"""""""",))"),"")</f>
        <v/>
      </c>
      <c r="J725" s="237" t="str">
        <f>IF(ISBLANK(H725),,IFNA(VLOOKUP(H725, Circuits!A:W, 23, FALSE),))</f>
        <v/>
      </c>
      <c r="K725" s="238" t="str">
        <f t="shared" si="2"/>
        <v/>
      </c>
      <c r="L725" s="238" t="str">
        <f t="shared" si="3"/>
        <v/>
      </c>
      <c r="M725" s="238" t="str">
        <f t="shared" si="4"/>
        <v/>
      </c>
      <c r="N725" s="238" t="str">
        <f t="shared" si="5"/>
        <v/>
      </c>
      <c r="O725" s="238" t="str">
        <f t="shared" si="6"/>
        <v/>
      </c>
      <c r="P725" s="237" t="str">
        <f>IFERROR(__xludf.DUMMYFUNCTION("IF(ISBLANK(H725),,IF(IFNA(MATCH(H725,SPLIT(Circuits!$S$2,"";""&amp;CHAR(10)),0),0),FALSE,TRUE))"),"")</f>
        <v/>
      </c>
      <c r="Q725" s="237" t="str">
        <f>IF(ISBLANK(H725),,IFNA(VLOOKUP(H725, Circuits!A:U, 21, FALSE),))</f>
        <v/>
      </c>
      <c r="R725" s="238" t="str">
        <f t="shared" si="7"/>
        <v/>
      </c>
      <c r="S725" s="237" t="str">
        <f>IF(ISBLANK(H725),,IFNA(VLOOKUP(H725, Circuits!A:V, 22, FALSE),))</f>
        <v/>
      </c>
      <c r="T725" s="237" t="str">
        <f>IF(ISBLANK(H725),,IFNA(VLOOKUP(H725, Circuits!A:X, 24, FALSE),))</f>
        <v/>
      </c>
      <c r="V725" s="236" t="str">
        <f>IFERROR(__xludf.DUMMYFUNCTION("IF(ISBLANK(H725),,JOIN("","",H725:T725))"),"")</f>
        <v/>
      </c>
      <c r="W725" s="229" t="str">
        <f t="shared" si="1"/>
        <v/>
      </c>
    </row>
    <row r="726">
      <c r="H726" s="237"/>
      <c r="I726" s="237" t="str">
        <f>IFERROR(__xludf.DUMMYFUNCTION("IF(ISBLANK(H726),,IFNA(""""""""&amp;JOIN("","",INDEX(FILTER(A:D,A:A=H726),0,4))&amp;"""""""",))"),"")</f>
        <v/>
      </c>
      <c r="J726" s="237" t="str">
        <f>IF(ISBLANK(H726),,IFNA(VLOOKUP(H726, Circuits!A:W, 23, FALSE),))</f>
        <v/>
      </c>
      <c r="K726" s="238" t="str">
        <f t="shared" si="2"/>
        <v/>
      </c>
      <c r="L726" s="238" t="str">
        <f t="shared" si="3"/>
        <v/>
      </c>
      <c r="M726" s="238" t="str">
        <f t="shared" si="4"/>
        <v/>
      </c>
      <c r="N726" s="238" t="str">
        <f t="shared" si="5"/>
        <v/>
      </c>
      <c r="O726" s="238" t="str">
        <f t="shared" si="6"/>
        <v/>
      </c>
      <c r="P726" s="237" t="str">
        <f>IFERROR(__xludf.DUMMYFUNCTION("IF(ISBLANK(H726),,IF(IFNA(MATCH(H726,SPLIT(Circuits!$S$2,"";""&amp;CHAR(10)),0),0),FALSE,TRUE))"),"")</f>
        <v/>
      </c>
      <c r="Q726" s="237" t="str">
        <f>IF(ISBLANK(H726),,IFNA(VLOOKUP(H726, Circuits!A:U, 21, FALSE),))</f>
        <v/>
      </c>
      <c r="R726" s="238" t="str">
        <f t="shared" si="7"/>
        <v/>
      </c>
      <c r="S726" s="237" t="str">
        <f>IF(ISBLANK(H726),,IFNA(VLOOKUP(H726, Circuits!A:V, 22, FALSE),))</f>
        <v/>
      </c>
      <c r="T726" s="237" t="str">
        <f>IF(ISBLANK(H726),,IFNA(VLOOKUP(H726, Circuits!A:X, 24, FALSE),))</f>
        <v/>
      </c>
      <c r="V726" s="236" t="str">
        <f>IFERROR(__xludf.DUMMYFUNCTION("IF(ISBLANK(H726),,JOIN("","",H726:T726))"),"")</f>
        <v/>
      </c>
      <c r="W726" s="229" t="str">
        <f t="shared" si="1"/>
        <v/>
      </c>
    </row>
    <row r="727">
      <c r="H727" s="237"/>
      <c r="I727" s="237" t="str">
        <f>IFERROR(__xludf.DUMMYFUNCTION("IF(ISBLANK(H727),,IFNA(""""""""&amp;JOIN("","",INDEX(FILTER(A:D,A:A=H727),0,4))&amp;"""""""",))"),"")</f>
        <v/>
      </c>
      <c r="J727" s="237" t="str">
        <f>IF(ISBLANK(H727),,IFNA(VLOOKUP(H727, Circuits!A:W, 23, FALSE),))</f>
        <v/>
      </c>
      <c r="K727" s="238" t="str">
        <f t="shared" si="2"/>
        <v/>
      </c>
      <c r="L727" s="238" t="str">
        <f t="shared" si="3"/>
        <v/>
      </c>
      <c r="M727" s="238" t="str">
        <f t="shared" si="4"/>
        <v/>
      </c>
      <c r="N727" s="238" t="str">
        <f t="shared" si="5"/>
        <v/>
      </c>
      <c r="O727" s="238" t="str">
        <f t="shared" si="6"/>
        <v/>
      </c>
      <c r="P727" s="237" t="str">
        <f>IFERROR(__xludf.DUMMYFUNCTION("IF(ISBLANK(H727),,IF(IFNA(MATCH(H727,SPLIT(Circuits!$S$2,"";""&amp;CHAR(10)),0),0),FALSE,TRUE))"),"")</f>
        <v/>
      </c>
      <c r="Q727" s="237" t="str">
        <f>IF(ISBLANK(H727),,IFNA(VLOOKUP(H727, Circuits!A:U, 21, FALSE),))</f>
        <v/>
      </c>
      <c r="R727" s="238" t="str">
        <f t="shared" si="7"/>
        <v/>
      </c>
      <c r="S727" s="237" t="str">
        <f>IF(ISBLANK(H727),,IFNA(VLOOKUP(H727, Circuits!A:V, 22, FALSE),))</f>
        <v/>
      </c>
      <c r="T727" s="237" t="str">
        <f>IF(ISBLANK(H727),,IFNA(VLOOKUP(H727, Circuits!A:X, 24, FALSE),))</f>
        <v/>
      </c>
      <c r="V727" s="236" t="str">
        <f>IFERROR(__xludf.DUMMYFUNCTION("IF(ISBLANK(H727),,JOIN("","",H727:T727))"),"")</f>
        <v/>
      </c>
      <c r="W727" s="229" t="str">
        <f t="shared" si="1"/>
        <v/>
      </c>
    </row>
    <row r="728">
      <c r="H728" s="237"/>
      <c r="I728" s="237" t="str">
        <f>IFERROR(__xludf.DUMMYFUNCTION("IF(ISBLANK(H728),,IFNA(""""""""&amp;JOIN("","",INDEX(FILTER(A:D,A:A=H728),0,4))&amp;"""""""",))"),"")</f>
        <v/>
      </c>
      <c r="J728" s="237" t="str">
        <f>IF(ISBLANK(H728),,IFNA(VLOOKUP(H728, Circuits!A:W, 23, FALSE),))</f>
        <v/>
      </c>
      <c r="K728" s="238" t="str">
        <f t="shared" si="2"/>
        <v/>
      </c>
      <c r="L728" s="238" t="str">
        <f t="shared" si="3"/>
        <v/>
      </c>
      <c r="M728" s="238" t="str">
        <f t="shared" si="4"/>
        <v/>
      </c>
      <c r="N728" s="238" t="str">
        <f t="shared" si="5"/>
        <v/>
      </c>
      <c r="O728" s="238" t="str">
        <f t="shared" si="6"/>
        <v/>
      </c>
      <c r="P728" s="237" t="str">
        <f>IFERROR(__xludf.DUMMYFUNCTION("IF(ISBLANK(H728),,IF(IFNA(MATCH(H728,SPLIT(Circuits!$S$2,"";""&amp;CHAR(10)),0),0),FALSE,TRUE))"),"")</f>
        <v/>
      </c>
      <c r="Q728" s="237" t="str">
        <f>IF(ISBLANK(H728),,IFNA(VLOOKUP(H728, Circuits!A:U, 21, FALSE),))</f>
        <v/>
      </c>
      <c r="R728" s="238" t="str">
        <f t="shared" si="7"/>
        <v/>
      </c>
      <c r="S728" s="237" t="str">
        <f>IF(ISBLANK(H728),,IFNA(VLOOKUP(H728, Circuits!A:V, 22, FALSE),))</f>
        <v/>
      </c>
      <c r="T728" s="237" t="str">
        <f>IF(ISBLANK(H728),,IFNA(VLOOKUP(H728, Circuits!A:X, 24, FALSE),))</f>
        <v/>
      </c>
      <c r="V728" s="236" t="str">
        <f>IFERROR(__xludf.DUMMYFUNCTION("IF(ISBLANK(H728),,JOIN("","",H728:T728))"),"")</f>
        <v/>
      </c>
      <c r="W728" s="229" t="str">
        <f t="shared" si="1"/>
        <v/>
      </c>
    </row>
    <row r="729">
      <c r="H729" s="237"/>
      <c r="I729" s="237" t="str">
        <f>IFERROR(__xludf.DUMMYFUNCTION("IF(ISBLANK(H729),,IFNA(""""""""&amp;JOIN("","",INDEX(FILTER(A:D,A:A=H729),0,4))&amp;"""""""",))"),"")</f>
        <v/>
      </c>
      <c r="J729" s="237" t="str">
        <f>IF(ISBLANK(H729),,IFNA(VLOOKUP(H729, Circuits!A:W, 23, FALSE),))</f>
        <v/>
      </c>
      <c r="K729" s="238" t="str">
        <f t="shared" si="2"/>
        <v/>
      </c>
      <c r="L729" s="238" t="str">
        <f t="shared" si="3"/>
        <v/>
      </c>
      <c r="M729" s="238" t="str">
        <f t="shared" si="4"/>
        <v/>
      </c>
      <c r="N729" s="238" t="str">
        <f t="shared" si="5"/>
        <v/>
      </c>
      <c r="O729" s="238" t="str">
        <f t="shared" si="6"/>
        <v/>
      </c>
      <c r="P729" s="237" t="str">
        <f>IFERROR(__xludf.DUMMYFUNCTION("IF(ISBLANK(H729),,IF(IFNA(MATCH(H729,SPLIT(Circuits!$S$2,"";""&amp;CHAR(10)),0),0),FALSE,TRUE))"),"")</f>
        <v/>
      </c>
      <c r="Q729" s="237" t="str">
        <f>IF(ISBLANK(H729),,IFNA(VLOOKUP(H729, Circuits!A:U, 21, FALSE),))</f>
        <v/>
      </c>
      <c r="R729" s="238" t="str">
        <f t="shared" si="7"/>
        <v/>
      </c>
      <c r="S729" s="237" t="str">
        <f>IF(ISBLANK(H729),,IFNA(VLOOKUP(H729, Circuits!A:V, 22, FALSE),))</f>
        <v/>
      </c>
      <c r="T729" s="237" t="str">
        <f>IF(ISBLANK(H729),,IFNA(VLOOKUP(H729, Circuits!A:X, 24, FALSE),))</f>
        <v/>
      </c>
      <c r="V729" s="236" t="str">
        <f>IFERROR(__xludf.DUMMYFUNCTION("IF(ISBLANK(H729),,JOIN("","",H729:T729))"),"")</f>
        <v/>
      </c>
      <c r="W729" s="229" t="str">
        <f t="shared" si="1"/>
        <v/>
      </c>
    </row>
    <row r="730">
      <c r="H730" s="237"/>
      <c r="I730" s="237" t="str">
        <f>IFERROR(__xludf.DUMMYFUNCTION("IF(ISBLANK(H730),,IFNA(""""""""&amp;JOIN("","",INDEX(FILTER(A:D,A:A=H730),0,4))&amp;"""""""",))"),"")</f>
        <v/>
      </c>
      <c r="J730" s="237" t="str">
        <f>IF(ISBLANK(H730),,IFNA(VLOOKUP(H730, Circuits!A:W, 23, FALSE),))</f>
        <v/>
      </c>
      <c r="K730" s="238" t="str">
        <f t="shared" si="2"/>
        <v/>
      </c>
      <c r="L730" s="238" t="str">
        <f t="shared" si="3"/>
        <v/>
      </c>
      <c r="M730" s="238" t="str">
        <f t="shared" si="4"/>
        <v/>
      </c>
      <c r="N730" s="238" t="str">
        <f t="shared" si="5"/>
        <v/>
      </c>
      <c r="O730" s="238" t="str">
        <f t="shared" si="6"/>
        <v/>
      </c>
      <c r="P730" s="237" t="str">
        <f>IFERROR(__xludf.DUMMYFUNCTION("IF(ISBLANK(H730),,IF(IFNA(MATCH(H730,SPLIT(Circuits!$S$2,"";""&amp;CHAR(10)),0),0),FALSE,TRUE))"),"")</f>
        <v/>
      </c>
      <c r="Q730" s="237" t="str">
        <f>IF(ISBLANK(H730),,IFNA(VLOOKUP(H730, Circuits!A:U, 21, FALSE),))</f>
        <v/>
      </c>
      <c r="R730" s="238" t="str">
        <f t="shared" si="7"/>
        <v/>
      </c>
      <c r="S730" s="237" t="str">
        <f>IF(ISBLANK(H730),,IFNA(VLOOKUP(H730, Circuits!A:V, 22, FALSE),))</f>
        <v/>
      </c>
      <c r="T730" s="237" t="str">
        <f>IF(ISBLANK(H730),,IFNA(VLOOKUP(H730, Circuits!A:X, 24, FALSE),))</f>
        <v/>
      </c>
      <c r="V730" s="236" t="str">
        <f>IFERROR(__xludf.DUMMYFUNCTION("IF(ISBLANK(H730),,JOIN("","",H730:T730))"),"")</f>
        <v/>
      </c>
      <c r="W730" s="229" t="str">
        <f t="shared" si="1"/>
        <v/>
      </c>
    </row>
    <row r="731">
      <c r="H731" s="237"/>
      <c r="I731" s="237" t="str">
        <f>IFERROR(__xludf.DUMMYFUNCTION("IF(ISBLANK(H731),,IFNA(""""""""&amp;JOIN("","",INDEX(FILTER(A:D,A:A=H731),0,4))&amp;"""""""",))"),"")</f>
        <v/>
      </c>
      <c r="J731" s="237" t="str">
        <f>IF(ISBLANK(H731),,IFNA(VLOOKUP(H731, Circuits!A:W, 23, FALSE),))</f>
        <v/>
      </c>
      <c r="K731" s="238" t="str">
        <f t="shared" si="2"/>
        <v/>
      </c>
      <c r="L731" s="238" t="str">
        <f t="shared" si="3"/>
        <v/>
      </c>
      <c r="M731" s="238" t="str">
        <f t="shared" si="4"/>
        <v/>
      </c>
      <c r="N731" s="238" t="str">
        <f t="shared" si="5"/>
        <v/>
      </c>
      <c r="O731" s="238" t="str">
        <f t="shared" si="6"/>
        <v/>
      </c>
      <c r="P731" s="237" t="str">
        <f>IFERROR(__xludf.DUMMYFUNCTION("IF(ISBLANK(H731),,IF(IFNA(MATCH(H731,SPLIT(Circuits!$S$2,"";""&amp;CHAR(10)),0),0),FALSE,TRUE))"),"")</f>
        <v/>
      </c>
      <c r="Q731" s="237" t="str">
        <f>IF(ISBLANK(H731),,IFNA(VLOOKUP(H731, Circuits!A:U, 21, FALSE),))</f>
        <v/>
      </c>
      <c r="R731" s="238" t="str">
        <f t="shared" si="7"/>
        <v/>
      </c>
      <c r="S731" s="237" t="str">
        <f>IF(ISBLANK(H731),,IFNA(VLOOKUP(H731, Circuits!A:V, 22, FALSE),))</f>
        <v/>
      </c>
      <c r="T731" s="237" t="str">
        <f>IF(ISBLANK(H731),,IFNA(VLOOKUP(H731, Circuits!A:X, 24, FALSE),))</f>
        <v/>
      </c>
      <c r="V731" s="236" t="str">
        <f>IFERROR(__xludf.DUMMYFUNCTION("IF(ISBLANK(H731),,JOIN("","",H731:T731))"),"")</f>
        <v/>
      </c>
      <c r="W731" s="229" t="str">
        <f t="shared" si="1"/>
        <v/>
      </c>
    </row>
    <row r="732">
      <c r="H732" s="237"/>
      <c r="I732" s="237" t="str">
        <f>IFERROR(__xludf.DUMMYFUNCTION("IF(ISBLANK(H732),,IFNA(""""""""&amp;JOIN("","",INDEX(FILTER(A:D,A:A=H732),0,4))&amp;"""""""",))"),"")</f>
        <v/>
      </c>
      <c r="J732" s="237" t="str">
        <f>IF(ISBLANK(H732),,IFNA(VLOOKUP(H732, Circuits!A:W, 23, FALSE),))</f>
        <v/>
      </c>
      <c r="K732" s="238" t="str">
        <f t="shared" si="2"/>
        <v/>
      </c>
      <c r="L732" s="238" t="str">
        <f t="shared" si="3"/>
        <v/>
      </c>
      <c r="M732" s="238" t="str">
        <f t="shared" si="4"/>
        <v/>
      </c>
      <c r="N732" s="238" t="str">
        <f t="shared" si="5"/>
        <v/>
      </c>
      <c r="O732" s="238" t="str">
        <f t="shared" si="6"/>
        <v/>
      </c>
      <c r="P732" s="237" t="str">
        <f>IFERROR(__xludf.DUMMYFUNCTION("IF(ISBLANK(H732),,IF(IFNA(MATCH(H732,SPLIT(Circuits!$S$2,"";""&amp;CHAR(10)),0),0),FALSE,TRUE))"),"")</f>
        <v/>
      </c>
      <c r="Q732" s="237" t="str">
        <f>IF(ISBLANK(H732),,IFNA(VLOOKUP(H732, Circuits!A:U, 21, FALSE),))</f>
        <v/>
      </c>
      <c r="R732" s="238" t="str">
        <f t="shared" si="7"/>
        <v/>
      </c>
      <c r="S732" s="237" t="str">
        <f>IF(ISBLANK(H732),,IFNA(VLOOKUP(H732, Circuits!A:V, 22, FALSE),))</f>
        <v/>
      </c>
      <c r="T732" s="237" t="str">
        <f>IF(ISBLANK(H732),,IFNA(VLOOKUP(H732, Circuits!A:X, 24, FALSE),))</f>
        <v/>
      </c>
      <c r="V732" s="236" t="str">
        <f>IFERROR(__xludf.DUMMYFUNCTION("IF(ISBLANK(H732),,JOIN("","",H732:T732))"),"")</f>
        <v/>
      </c>
      <c r="W732" s="229" t="str">
        <f t="shared" si="1"/>
        <v/>
      </c>
    </row>
    <row r="733">
      <c r="H733" s="237"/>
      <c r="I733" s="237" t="str">
        <f>IFERROR(__xludf.DUMMYFUNCTION("IF(ISBLANK(H733),,IFNA(""""""""&amp;JOIN("","",INDEX(FILTER(A:D,A:A=H733),0,4))&amp;"""""""",))"),"")</f>
        <v/>
      </c>
      <c r="J733" s="237" t="str">
        <f>IF(ISBLANK(H733),,IFNA(VLOOKUP(H733, Circuits!A:W, 23, FALSE),))</f>
        <v/>
      </c>
      <c r="K733" s="238" t="str">
        <f t="shared" si="2"/>
        <v/>
      </c>
      <c r="L733" s="238" t="str">
        <f t="shared" si="3"/>
        <v/>
      </c>
      <c r="M733" s="238" t="str">
        <f t="shared" si="4"/>
        <v/>
      </c>
      <c r="N733" s="238" t="str">
        <f t="shared" si="5"/>
        <v/>
      </c>
      <c r="O733" s="238" t="str">
        <f t="shared" si="6"/>
        <v/>
      </c>
      <c r="P733" s="237" t="str">
        <f>IFERROR(__xludf.DUMMYFUNCTION("IF(ISBLANK(H733),,IF(IFNA(MATCH(H733,SPLIT(Circuits!$S$2,"";""&amp;CHAR(10)),0),0),FALSE,TRUE))"),"")</f>
        <v/>
      </c>
      <c r="Q733" s="237" t="str">
        <f>IF(ISBLANK(H733),,IFNA(VLOOKUP(H733, Circuits!A:U, 21, FALSE),))</f>
        <v/>
      </c>
      <c r="R733" s="238" t="str">
        <f t="shared" si="7"/>
        <v/>
      </c>
      <c r="S733" s="237" t="str">
        <f>IF(ISBLANK(H733),,IFNA(VLOOKUP(H733, Circuits!A:V, 22, FALSE),))</f>
        <v/>
      </c>
      <c r="T733" s="237" t="str">
        <f>IF(ISBLANK(H733),,IFNA(VLOOKUP(H733, Circuits!A:X, 24, FALSE),))</f>
        <v/>
      </c>
      <c r="V733" s="236" t="str">
        <f>IFERROR(__xludf.DUMMYFUNCTION("IF(ISBLANK(H733),,JOIN("","",H733:T733))"),"")</f>
        <v/>
      </c>
      <c r="W733" s="229" t="str">
        <f t="shared" si="1"/>
        <v/>
      </c>
    </row>
    <row r="734">
      <c r="H734" s="237"/>
      <c r="I734" s="237" t="str">
        <f>IFERROR(__xludf.DUMMYFUNCTION("IF(ISBLANK(H734),,IFNA(""""""""&amp;JOIN("","",INDEX(FILTER(A:D,A:A=H734),0,4))&amp;"""""""",))"),"")</f>
        <v/>
      </c>
      <c r="J734" s="237" t="str">
        <f>IF(ISBLANK(H734),,IFNA(VLOOKUP(H734, Circuits!A:W, 23, FALSE),))</f>
        <v/>
      </c>
      <c r="K734" s="238" t="str">
        <f t="shared" si="2"/>
        <v/>
      </c>
      <c r="L734" s="238" t="str">
        <f t="shared" si="3"/>
        <v/>
      </c>
      <c r="M734" s="238" t="str">
        <f t="shared" si="4"/>
        <v/>
      </c>
      <c r="N734" s="238" t="str">
        <f t="shared" si="5"/>
        <v/>
      </c>
      <c r="O734" s="238" t="str">
        <f t="shared" si="6"/>
        <v/>
      </c>
      <c r="P734" s="237" t="str">
        <f>IFERROR(__xludf.DUMMYFUNCTION("IF(ISBLANK(H734),,IF(IFNA(MATCH(H734,SPLIT(Circuits!$S$2,"";""&amp;CHAR(10)),0),0),FALSE,TRUE))"),"")</f>
        <v/>
      </c>
      <c r="Q734" s="237" t="str">
        <f>IF(ISBLANK(H734),,IFNA(VLOOKUP(H734, Circuits!A:U, 21, FALSE),))</f>
        <v/>
      </c>
      <c r="R734" s="238" t="str">
        <f t="shared" si="7"/>
        <v/>
      </c>
      <c r="S734" s="237" t="str">
        <f>IF(ISBLANK(H734),,IFNA(VLOOKUP(H734, Circuits!A:V, 22, FALSE),))</f>
        <v/>
      </c>
      <c r="T734" s="237" t="str">
        <f>IF(ISBLANK(H734),,IFNA(VLOOKUP(H734, Circuits!A:X, 24, FALSE),))</f>
        <v/>
      </c>
      <c r="V734" s="236" t="str">
        <f>IFERROR(__xludf.DUMMYFUNCTION("IF(ISBLANK(H734),,JOIN("","",H734:T734))"),"")</f>
        <v/>
      </c>
      <c r="W734" s="229" t="str">
        <f t="shared" si="1"/>
        <v/>
      </c>
    </row>
    <row r="735">
      <c r="H735" s="237"/>
      <c r="I735" s="237" t="str">
        <f>IFERROR(__xludf.DUMMYFUNCTION("IF(ISBLANK(H735),,IFNA(""""""""&amp;JOIN("","",INDEX(FILTER(A:D,A:A=H735),0,4))&amp;"""""""",))"),"")</f>
        <v/>
      </c>
      <c r="J735" s="237" t="str">
        <f>IF(ISBLANK(H735),,IFNA(VLOOKUP(H735, Circuits!A:W, 23, FALSE),))</f>
        <v/>
      </c>
      <c r="K735" s="238" t="str">
        <f t="shared" si="2"/>
        <v/>
      </c>
      <c r="L735" s="238" t="str">
        <f t="shared" si="3"/>
        <v/>
      </c>
      <c r="M735" s="238" t="str">
        <f t="shared" si="4"/>
        <v/>
      </c>
      <c r="N735" s="238" t="str">
        <f t="shared" si="5"/>
        <v/>
      </c>
      <c r="O735" s="238" t="str">
        <f t="shared" si="6"/>
        <v/>
      </c>
      <c r="P735" s="237" t="str">
        <f>IFERROR(__xludf.DUMMYFUNCTION("IF(ISBLANK(H735),,IF(IFNA(MATCH(H735,SPLIT(Circuits!$S$2,"";""&amp;CHAR(10)),0),0),FALSE,TRUE))"),"")</f>
        <v/>
      </c>
      <c r="Q735" s="237" t="str">
        <f>IF(ISBLANK(H735),,IFNA(VLOOKUP(H735, Circuits!A:U, 21, FALSE),))</f>
        <v/>
      </c>
      <c r="R735" s="238" t="str">
        <f t="shared" si="7"/>
        <v/>
      </c>
      <c r="S735" s="237" t="str">
        <f>IF(ISBLANK(H735),,IFNA(VLOOKUP(H735, Circuits!A:V, 22, FALSE),))</f>
        <v/>
      </c>
      <c r="T735" s="237" t="str">
        <f>IF(ISBLANK(H735),,IFNA(VLOOKUP(H735, Circuits!A:X, 24, FALSE),))</f>
        <v/>
      </c>
      <c r="V735" s="236" t="str">
        <f>IFERROR(__xludf.DUMMYFUNCTION("IF(ISBLANK(H735),,JOIN("","",H735:T735))"),"")</f>
        <v/>
      </c>
      <c r="W735" s="229" t="str">
        <f t="shared" si="1"/>
        <v/>
      </c>
    </row>
    <row r="736">
      <c r="H736" s="237"/>
      <c r="I736" s="237" t="str">
        <f>IFERROR(__xludf.DUMMYFUNCTION("IF(ISBLANK(H736),,IFNA(""""""""&amp;JOIN("","",INDEX(FILTER(A:D,A:A=H736),0,4))&amp;"""""""",))"),"")</f>
        <v/>
      </c>
      <c r="J736" s="237" t="str">
        <f>IF(ISBLANK(H736),,IFNA(VLOOKUP(H736, Circuits!A:W, 23, FALSE),))</f>
        <v/>
      </c>
      <c r="K736" s="238" t="str">
        <f t="shared" si="2"/>
        <v/>
      </c>
      <c r="L736" s="238" t="str">
        <f t="shared" si="3"/>
        <v/>
      </c>
      <c r="M736" s="238" t="str">
        <f t="shared" si="4"/>
        <v/>
      </c>
      <c r="N736" s="238" t="str">
        <f t="shared" si="5"/>
        <v/>
      </c>
      <c r="O736" s="238" t="str">
        <f t="shared" si="6"/>
        <v/>
      </c>
      <c r="P736" s="237" t="str">
        <f>IFERROR(__xludf.DUMMYFUNCTION("IF(ISBLANK(H736),,IF(IFNA(MATCH(H736,SPLIT(Circuits!$S$2,"";""&amp;CHAR(10)),0),0),FALSE,TRUE))"),"")</f>
        <v/>
      </c>
      <c r="Q736" s="237" t="str">
        <f>IF(ISBLANK(H736),,IFNA(VLOOKUP(H736, Circuits!A:U, 21, FALSE),))</f>
        <v/>
      </c>
      <c r="R736" s="238" t="str">
        <f t="shared" si="7"/>
        <v/>
      </c>
      <c r="S736" s="237" t="str">
        <f>IF(ISBLANK(H736),,IFNA(VLOOKUP(H736, Circuits!A:V, 22, FALSE),))</f>
        <v/>
      </c>
      <c r="T736" s="237" t="str">
        <f>IF(ISBLANK(H736),,IFNA(VLOOKUP(H736, Circuits!A:X, 24, FALSE),))</f>
        <v/>
      </c>
      <c r="V736" s="236" t="str">
        <f>IFERROR(__xludf.DUMMYFUNCTION("IF(ISBLANK(H736),,JOIN("","",H736:T736))"),"")</f>
        <v/>
      </c>
      <c r="W736" s="229" t="str">
        <f t="shared" si="1"/>
        <v/>
      </c>
    </row>
    <row r="737">
      <c r="H737" s="237"/>
      <c r="I737" s="237" t="str">
        <f>IFERROR(__xludf.DUMMYFUNCTION("IF(ISBLANK(H737),,IFNA(""""""""&amp;JOIN("","",INDEX(FILTER(A:D,A:A=H737),0,4))&amp;"""""""",))"),"")</f>
        <v/>
      </c>
      <c r="J737" s="237" t="str">
        <f>IF(ISBLANK(H737),,IFNA(VLOOKUP(H737, Circuits!A:W, 23, FALSE),))</f>
        <v/>
      </c>
      <c r="K737" s="238" t="str">
        <f t="shared" si="2"/>
        <v/>
      </c>
      <c r="L737" s="238" t="str">
        <f t="shared" si="3"/>
        <v/>
      </c>
      <c r="M737" s="238" t="str">
        <f t="shared" si="4"/>
        <v/>
      </c>
      <c r="N737" s="238" t="str">
        <f t="shared" si="5"/>
        <v/>
      </c>
      <c r="O737" s="238" t="str">
        <f t="shared" si="6"/>
        <v/>
      </c>
      <c r="P737" s="237" t="str">
        <f>IFERROR(__xludf.DUMMYFUNCTION("IF(ISBLANK(H737),,IF(IFNA(MATCH(H737,SPLIT(Circuits!$S$2,"";""&amp;CHAR(10)),0),0),FALSE,TRUE))"),"")</f>
        <v/>
      </c>
      <c r="Q737" s="237" t="str">
        <f>IF(ISBLANK(H737),,IFNA(VLOOKUP(H737, Circuits!A:U, 21, FALSE),))</f>
        <v/>
      </c>
      <c r="R737" s="238" t="str">
        <f t="shared" si="7"/>
        <v/>
      </c>
      <c r="S737" s="237" t="str">
        <f>IF(ISBLANK(H737),,IFNA(VLOOKUP(H737, Circuits!A:V, 22, FALSE),))</f>
        <v/>
      </c>
      <c r="T737" s="237" t="str">
        <f>IF(ISBLANK(H737),,IFNA(VLOOKUP(H737, Circuits!A:X, 24, FALSE),))</f>
        <v/>
      </c>
      <c r="V737" s="236" t="str">
        <f>IFERROR(__xludf.DUMMYFUNCTION("IF(ISBLANK(H737),,JOIN("","",H737:T737))"),"")</f>
        <v/>
      </c>
      <c r="W737" s="229" t="str">
        <f t="shared" si="1"/>
        <v/>
      </c>
    </row>
    <row r="738">
      <c r="H738" s="237"/>
      <c r="I738" s="237" t="str">
        <f>IFERROR(__xludf.DUMMYFUNCTION("IF(ISBLANK(H738),,IFNA(""""""""&amp;JOIN("","",INDEX(FILTER(A:D,A:A=H738),0,4))&amp;"""""""",))"),"")</f>
        <v/>
      </c>
      <c r="J738" s="237" t="str">
        <f>IF(ISBLANK(H738),,IFNA(VLOOKUP(H738, Circuits!A:W, 23, FALSE),))</f>
        <v/>
      </c>
      <c r="K738" s="238" t="str">
        <f t="shared" si="2"/>
        <v/>
      </c>
      <c r="L738" s="238" t="str">
        <f t="shared" si="3"/>
        <v/>
      </c>
      <c r="M738" s="238" t="str">
        <f t="shared" si="4"/>
        <v/>
      </c>
      <c r="N738" s="238" t="str">
        <f t="shared" si="5"/>
        <v/>
      </c>
      <c r="O738" s="238" t="str">
        <f t="shared" si="6"/>
        <v/>
      </c>
      <c r="P738" s="237" t="str">
        <f>IFERROR(__xludf.DUMMYFUNCTION("IF(ISBLANK(H738),,IF(IFNA(MATCH(H738,SPLIT(Circuits!$S$2,"";""&amp;CHAR(10)),0),0),FALSE,TRUE))"),"")</f>
        <v/>
      </c>
      <c r="Q738" s="237" t="str">
        <f>IF(ISBLANK(H738),,IFNA(VLOOKUP(H738, Circuits!A:U, 21, FALSE),))</f>
        <v/>
      </c>
      <c r="R738" s="238" t="str">
        <f t="shared" si="7"/>
        <v/>
      </c>
      <c r="S738" s="237" t="str">
        <f>IF(ISBLANK(H738),,IFNA(VLOOKUP(H738, Circuits!A:V, 22, FALSE),))</f>
        <v/>
      </c>
      <c r="T738" s="237" t="str">
        <f>IF(ISBLANK(H738),,IFNA(VLOOKUP(H738, Circuits!A:X, 24, FALSE),))</f>
        <v/>
      </c>
      <c r="V738" s="236" t="str">
        <f>IFERROR(__xludf.DUMMYFUNCTION("IF(ISBLANK(H738),,JOIN("","",H738:T738))"),"")</f>
        <v/>
      </c>
      <c r="W738" s="229" t="str">
        <f t="shared" si="1"/>
        <v/>
      </c>
    </row>
    <row r="739">
      <c r="H739" s="237"/>
      <c r="I739" s="237" t="str">
        <f>IFERROR(__xludf.DUMMYFUNCTION("IF(ISBLANK(H739),,IFNA(""""""""&amp;JOIN("","",INDEX(FILTER(A:D,A:A=H739),0,4))&amp;"""""""",))"),"")</f>
        <v/>
      </c>
      <c r="J739" s="237" t="str">
        <f>IF(ISBLANK(H739),,IFNA(VLOOKUP(H739, Circuits!A:W, 23, FALSE),))</f>
        <v/>
      </c>
      <c r="K739" s="238" t="str">
        <f t="shared" si="2"/>
        <v/>
      </c>
      <c r="L739" s="238" t="str">
        <f t="shared" si="3"/>
        <v/>
      </c>
      <c r="M739" s="238" t="str">
        <f t="shared" si="4"/>
        <v/>
      </c>
      <c r="N739" s="238" t="str">
        <f t="shared" si="5"/>
        <v/>
      </c>
      <c r="O739" s="238" t="str">
        <f t="shared" si="6"/>
        <v/>
      </c>
      <c r="P739" s="237" t="str">
        <f>IFERROR(__xludf.DUMMYFUNCTION("IF(ISBLANK(H739),,IF(IFNA(MATCH(H739,SPLIT(Circuits!$S$2,"";""&amp;CHAR(10)),0),0),FALSE,TRUE))"),"")</f>
        <v/>
      </c>
      <c r="Q739" s="237" t="str">
        <f>IF(ISBLANK(H739),,IFNA(VLOOKUP(H739, Circuits!A:U, 21, FALSE),))</f>
        <v/>
      </c>
      <c r="R739" s="238" t="str">
        <f t="shared" si="7"/>
        <v/>
      </c>
      <c r="S739" s="237" t="str">
        <f>IF(ISBLANK(H739),,IFNA(VLOOKUP(H739, Circuits!A:V, 22, FALSE),))</f>
        <v/>
      </c>
      <c r="T739" s="237" t="str">
        <f>IF(ISBLANK(H739),,IFNA(VLOOKUP(H739, Circuits!A:X, 24, FALSE),))</f>
        <v/>
      </c>
      <c r="V739" s="236" t="str">
        <f>IFERROR(__xludf.DUMMYFUNCTION("IF(ISBLANK(H739),,JOIN("","",H739:T739))"),"")</f>
        <v/>
      </c>
      <c r="W739" s="229" t="str">
        <f t="shared" si="1"/>
        <v/>
      </c>
    </row>
    <row r="740">
      <c r="H740" s="237"/>
      <c r="I740" s="237" t="str">
        <f>IFERROR(__xludf.DUMMYFUNCTION("IF(ISBLANK(H740),,IFNA(""""""""&amp;JOIN("","",INDEX(FILTER(A:D,A:A=H740),0,4))&amp;"""""""",))"),"")</f>
        <v/>
      </c>
      <c r="J740" s="237" t="str">
        <f>IF(ISBLANK(H740),,IFNA(VLOOKUP(H740, Circuits!A:W, 23, FALSE),))</f>
        <v/>
      </c>
      <c r="K740" s="238" t="str">
        <f t="shared" si="2"/>
        <v/>
      </c>
      <c r="L740" s="238" t="str">
        <f t="shared" si="3"/>
        <v/>
      </c>
      <c r="M740" s="238" t="str">
        <f t="shared" si="4"/>
        <v/>
      </c>
      <c r="N740" s="238" t="str">
        <f t="shared" si="5"/>
        <v/>
      </c>
      <c r="O740" s="238" t="str">
        <f t="shared" si="6"/>
        <v/>
      </c>
      <c r="P740" s="237" t="str">
        <f>IFERROR(__xludf.DUMMYFUNCTION("IF(ISBLANK(H740),,IF(IFNA(MATCH(H740,SPLIT(Circuits!$S$2,"";""&amp;CHAR(10)),0),0),FALSE,TRUE))"),"")</f>
        <v/>
      </c>
      <c r="Q740" s="237" t="str">
        <f>IF(ISBLANK(H740),,IFNA(VLOOKUP(H740, Circuits!A:U, 21, FALSE),))</f>
        <v/>
      </c>
      <c r="R740" s="238" t="str">
        <f t="shared" si="7"/>
        <v/>
      </c>
      <c r="S740" s="237" t="str">
        <f>IF(ISBLANK(H740),,IFNA(VLOOKUP(H740, Circuits!A:V, 22, FALSE),))</f>
        <v/>
      </c>
      <c r="T740" s="237" t="str">
        <f>IF(ISBLANK(H740),,IFNA(VLOOKUP(H740, Circuits!A:X, 24, FALSE),))</f>
        <v/>
      </c>
      <c r="V740" s="236" t="str">
        <f>IFERROR(__xludf.DUMMYFUNCTION("IF(ISBLANK(H740),,JOIN("","",H740:T740))"),"")</f>
        <v/>
      </c>
      <c r="W740" s="229" t="str">
        <f t="shared" si="1"/>
        <v/>
      </c>
    </row>
    <row r="741">
      <c r="H741" s="237"/>
      <c r="I741" s="237" t="str">
        <f>IFERROR(__xludf.DUMMYFUNCTION("IF(ISBLANK(H741),,IFNA(""""""""&amp;JOIN("","",INDEX(FILTER(A:D,A:A=H741),0,4))&amp;"""""""",))"),"")</f>
        <v/>
      </c>
      <c r="J741" s="237" t="str">
        <f>IF(ISBLANK(H741),,IFNA(VLOOKUP(H741, Circuits!A:W, 23, FALSE),))</f>
        <v/>
      </c>
      <c r="K741" s="238" t="str">
        <f t="shared" si="2"/>
        <v/>
      </c>
      <c r="L741" s="238" t="str">
        <f t="shared" si="3"/>
        <v/>
      </c>
      <c r="M741" s="238" t="str">
        <f t="shared" si="4"/>
        <v/>
      </c>
      <c r="N741" s="238" t="str">
        <f t="shared" si="5"/>
        <v/>
      </c>
      <c r="O741" s="238" t="str">
        <f t="shared" si="6"/>
        <v/>
      </c>
      <c r="P741" s="237" t="str">
        <f>IFERROR(__xludf.DUMMYFUNCTION("IF(ISBLANK(H741),,IF(IFNA(MATCH(H741,SPLIT(Circuits!$S$2,"";""&amp;CHAR(10)),0),0),FALSE,TRUE))"),"")</f>
        <v/>
      </c>
      <c r="Q741" s="237" t="str">
        <f>IF(ISBLANK(H741),,IFNA(VLOOKUP(H741, Circuits!A:U, 21, FALSE),))</f>
        <v/>
      </c>
      <c r="R741" s="238" t="str">
        <f t="shared" si="7"/>
        <v/>
      </c>
      <c r="S741" s="237" t="str">
        <f>IF(ISBLANK(H741),,IFNA(VLOOKUP(H741, Circuits!A:V, 22, FALSE),))</f>
        <v/>
      </c>
      <c r="T741" s="237" t="str">
        <f>IF(ISBLANK(H741),,IFNA(VLOOKUP(H741, Circuits!A:X, 24, FALSE),))</f>
        <v/>
      </c>
      <c r="V741" s="236" t="str">
        <f>IFERROR(__xludf.DUMMYFUNCTION("IF(ISBLANK(H741),,JOIN("","",H741:T741))"),"")</f>
        <v/>
      </c>
      <c r="W741" s="229" t="str">
        <f t="shared" si="1"/>
        <v/>
      </c>
    </row>
    <row r="742">
      <c r="H742" s="237"/>
      <c r="I742" s="237" t="str">
        <f>IFERROR(__xludf.DUMMYFUNCTION("IF(ISBLANK(H742),,IFNA(""""""""&amp;JOIN("","",INDEX(FILTER(A:D,A:A=H742),0,4))&amp;"""""""",))"),"")</f>
        <v/>
      </c>
      <c r="J742" s="237" t="str">
        <f>IF(ISBLANK(H742),,IFNA(VLOOKUP(H742, Circuits!A:W, 23, FALSE),))</f>
        <v/>
      </c>
      <c r="K742" s="238" t="str">
        <f t="shared" si="2"/>
        <v/>
      </c>
      <c r="L742" s="238" t="str">
        <f t="shared" si="3"/>
        <v/>
      </c>
      <c r="M742" s="238" t="str">
        <f t="shared" si="4"/>
        <v/>
      </c>
      <c r="N742" s="238" t="str">
        <f t="shared" si="5"/>
        <v/>
      </c>
      <c r="O742" s="238" t="str">
        <f t="shared" si="6"/>
        <v/>
      </c>
      <c r="P742" s="237" t="str">
        <f>IFERROR(__xludf.DUMMYFUNCTION("IF(ISBLANK(H742),,IF(IFNA(MATCH(H742,SPLIT(Circuits!$S$2,"";""&amp;CHAR(10)),0),0),FALSE,TRUE))"),"")</f>
        <v/>
      </c>
      <c r="Q742" s="237" t="str">
        <f>IF(ISBLANK(H742),,IFNA(VLOOKUP(H742, Circuits!A:U, 21, FALSE),))</f>
        <v/>
      </c>
      <c r="R742" s="238" t="str">
        <f t="shared" si="7"/>
        <v/>
      </c>
      <c r="S742" s="237" t="str">
        <f>IF(ISBLANK(H742),,IFNA(VLOOKUP(H742, Circuits!A:V, 22, FALSE),))</f>
        <v/>
      </c>
      <c r="T742" s="237" t="str">
        <f>IF(ISBLANK(H742),,IFNA(VLOOKUP(H742, Circuits!A:X, 24, FALSE),))</f>
        <v/>
      </c>
      <c r="V742" s="236" t="str">
        <f>IFERROR(__xludf.DUMMYFUNCTION("IF(ISBLANK(H742),,JOIN("","",H742:T742))"),"")</f>
        <v/>
      </c>
      <c r="W742" s="229" t="str">
        <f t="shared" si="1"/>
        <v/>
      </c>
    </row>
    <row r="743">
      <c r="H743" s="237"/>
      <c r="I743" s="237" t="str">
        <f>IFERROR(__xludf.DUMMYFUNCTION("IF(ISBLANK(H743),,IFNA(""""""""&amp;JOIN("","",INDEX(FILTER(A:D,A:A=H743),0,4))&amp;"""""""",))"),"")</f>
        <v/>
      </c>
      <c r="J743" s="237" t="str">
        <f>IF(ISBLANK(H743),,IFNA(VLOOKUP(H743, Circuits!A:W, 23, FALSE),))</f>
        <v/>
      </c>
      <c r="K743" s="238" t="str">
        <f t="shared" si="2"/>
        <v/>
      </c>
      <c r="L743" s="238" t="str">
        <f t="shared" si="3"/>
        <v/>
      </c>
      <c r="M743" s="238" t="str">
        <f t="shared" si="4"/>
        <v/>
      </c>
      <c r="N743" s="238" t="str">
        <f t="shared" si="5"/>
        <v/>
      </c>
      <c r="O743" s="238" t="str">
        <f t="shared" si="6"/>
        <v/>
      </c>
      <c r="P743" s="237" t="str">
        <f>IFERROR(__xludf.DUMMYFUNCTION("IF(ISBLANK(H743),,IF(IFNA(MATCH(H743,SPLIT(Circuits!$S$2,"";""&amp;CHAR(10)),0),0),FALSE,TRUE))"),"")</f>
        <v/>
      </c>
      <c r="Q743" s="237" t="str">
        <f>IF(ISBLANK(H743),,IFNA(VLOOKUP(H743, Circuits!A:U, 21, FALSE),))</f>
        <v/>
      </c>
      <c r="R743" s="238" t="str">
        <f t="shared" si="7"/>
        <v/>
      </c>
      <c r="S743" s="237" t="str">
        <f>IF(ISBLANK(H743),,IFNA(VLOOKUP(H743, Circuits!A:V, 22, FALSE),))</f>
        <v/>
      </c>
      <c r="T743" s="237" t="str">
        <f>IF(ISBLANK(H743),,IFNA(VLOOKUP(H743, Circuits!A:X, 24, FALSE),))</f>
        <v/>
      </c>
      <c r="V743" s="236" t="str">
        <f>IFERROR(__xludf.DUMMYFUNCTION("IF(ISBLANK(H743),,JOIN("","",H743:T743))"),"")</f>
        <v/>
      </c>
      <c r="W743" s="229" t="str">
        <f t="shared" si="1"/>
        <v/>
      </c>
    </row>
    <row r="744">
      <c r="H744" s="237"/>
      <c r="I744" s="237" t="str">
        <f>IFERROR(__xludf.DUMMYFUNCTION("IF(ISBLANK(H744),,IFNA(""""""""&amp;JOIN("","",INDEX(FILTER(A:D,A:A=H744),0,4))&amp;"""""""",))"),"")</f>
        <v/>
      </c>
      <c r="J744" s="237" t="str">
        <f>IF(ISBLANK(H744),,IFNA(VLOOKUP(H744, Circuits!A:W, 23, FALSE),))</f>
        <v/>
      </c>
      <c r="K744" s="238" t="str">
        <f t="shared" si="2"/>
        <v/>
      </c>
      <c r="L744" s="238" t="str">
        <f t="shared" si="3"/>
        <v/>
      </c>
      <c r="M744" s="238" t="str">
        <f t="shared" si="4"/>
        <v/>
      </c>
      <c r="N744" s="238" t="str">
        <f t="shared" si="5"/>
        <v/>
      </c>
      <c r="O744" s="238" t="str">
        <f t="shared" si="6"/>
        <v/>
      </c>
      <c r="P744" s="237" t="str">
        <f>IFERROR(__xludf.DUMMYFUNCTION("IF(ISBLANK(H744),,IF(IFNA(MATCH(H744,SPLIT(Circuits!$S$2,"";""&amp;CHAR(10)),0),0),FALSE,TRUE))"),"")</f>
        <v/>
      </c>
      <c r="Q744" s="237" t="str">
        <f>IF(ISBLANK(H744),,IFNA(VLOOKUP(H744, Circuits!A:U, 21, FALSE),))</f>
        <v/>
      </c>
      <c r="R744" s="238" t="str">
        <f t="shared" si="7"/>
        <v/>
      </c>
      <c r="S744" s="237" t="str">
        <f>IF(ISBLANK(H744),,IFNA(VLOOKUP(H744, Circuits!A:V, 22, FALSE),))</f>
        <v/>
      </c>
      <c r="T744" s="237" t="str">
        <f>IF(ISBLANK(H744),,IFNA(VLOOKUP(H744, Circuits!A:X, 24, FALSE),))</f>
        <v/>
      </c>
      <c r="V744" s="236" t="str">
        <f>IFERROR(__xludf.DUMMYFUNCTION("IF(ISBLANK(H744),,JOIN("","",H744:T744))"),"")</f>
        <v/>
      </c>
      <c r="W744" s="229" t="str">
        <f t="shared" si="1"/>
        <v/>
      </c>
    </row>
    <row r="745">
      <c r="H745" s="237"/>
      <c r="I745" s="237" t="str">
        <f>IFERROR(__xludf.DUMMYFUNCTION("IF(ISBLANK(H745),,IFNA(""""""""&amp;JOIN("","",INDEX(FILTER(A:D,A:A=H745),0,4))&amp;"""""""",))"),"")</f>
        <v/>
      </c>
      <c r="J745" s="237" t="str">
        <f>IF(ISBLANK(H745),,IFNA(VLOOKUP(H745, Circuits!A:W, 23, FALSE),))</f>
        <v/>
      </c>
      <c r="K745" s="238" t="str">
        <f t="shared" si="2"/>
        <v/>
      </c>
      <c r="L745" s="238" t="str">
        <f t="shared" si="3"/>
        <v/>
      </c>
      <c r="M745" s="238" t="str">
        <f t="shared" si="4"/>
        <v/>
      </c>
      <c r="N745" s="238" t="str">
        <f t="shared" si="5"/>
        <v/>
      </c>
      <c r="O745" s="238" t="str">
        <f t="shared" si="6"/>
        <v/>
      </c>
      <c r="P745" s="237" t="str">
        <f>IFERROR(__xludf.DUMMYFUNCTION("IF(ISBLANK(H745),,IF(IFNA(MATCH(H745,SPLIT(Circuits!$S$2,"";""&amp;CHAR(10)),0),0),FALSE,TRUE))"),"")</f>
        <v/>
      </c>
      <c r="Q745" s="237" t="str">
        <f>IF(ISBLANK(H745),,IFNA(VLOOKUP(H745, Circuits!A:U, 21, FALSE),))</f>
        <v/>
      </c>
      <c r="R745" s="238" t="str">
        <f t="shared" si="7"/>
        <v/>
      </c>
      <c r="S745" s="237" t="str">
        <f>IF(ISBLANK(H745),,IFNA(VLOOKUP(H745, Circuits!A:V, 22, FALSE),))</f>
        <v/>
      </c>
      <c r="T745" s="237" t="str">
        <f>IF(ISBLANK(H745),,IFNA(VLOOKUP(H745, Circuits!A:X, 24, FALSE),))</f>
        <v/>
      </c>
      <c r="V745" s="236" t="str">
        <f>IFERROR(__xludf.DUMMYFUNCTION("IF(ISBLANK(H745),,JOIN("","",H745:T745))"),"")</f>
        <v/>
      </c>
      <c r="W745" s="229" t="str">
        <f t="shared" si="1"/>
        <v/>
      </c>
    </row>
    <row r="746">
      <c r="H746" s="237"/>
      <c r="I746" s="237" t="str">
        <f>IFERROR(__xludf.DUMMYFUNCTION("IF(ISBLANK(H746),,IFNA(""""""""&amp;JOIN("","",INDEX(FILTER(A:D,A:A=H746),0,4))&amp;"""""""",))"),"")</f>
        <v/>
      </c>
      <c r="J746" s="237" t="str">
        <f>IF(ISBLANK(H746),,IFNA(VLOOKUP(H746, Circuits!A:W, 23, FALSE),))</f>
        <v/>
      </c>
      <c r="K746" s="238" t="str">
        <f t="shared" si="2"/>
        <v/>
      </c>
      <c r="L746" s="238" t="str">
        <f t="shared" si="3"/>
        <v/>
      </c>
      <c r="M746" s="238" t="str">
        <f t="shared" si="4"/>
        <v/>
      </c>
      <c r="N746" s="238" t="str">
        <f t="shared" si="5"/>
        <v/>
      </c>
      <c r="O746" s="238" t="str">
        <f t="shared" si="6"/>
        <v/>
      </c>
      <c r="P746" s="237" t="str">
        <f>IFERROR(__xludf.DUMMYFUNCTION("IF(ISBLANK(H746),,IF(IFNA(MATCH(H746,SPLIT(Circuits!$S$2,"";""&amp;CHAR(10)),0),0),FALSE,TRUE))"),"")</f>
        <v/>
      </c>
      <c r="Q746" s="237" t="str">
        <f>IF(ISBLANK(H746),,IFNA(VLOOKUP(H746, Circuits!A:U, 21, FALSE),))</f>
        <v/>
      </c>
      <c r="R746" s="238" t="str">
        <f t="shared" si="7"/>
        <v/>
      </c>
      <c r="S746" s="237" t="str">
        <f>IF(ISBLANK(H746),,IFNA(VLOOKUP(H746, Circuits!A:V, 22, FALSE),))</f>
        <v/>
      </c>
      <c r="T746" s="237" t="str">
        <f>IF(ISBLANK(H746),,IFNA(VLOOKUP(H746, Circuits!A:X, 24, FALSE),))</f>
        <v/>
      </c>
      <c r="V746" s="236" t="str">
        <f>IFERROR(__xludf.DUMMYFUNCTION("IF(ISBLANK(H746),,JOIN("","",H746:T746))"),"")</f>
        <v/>
      </c>
      <c r="W746" s="229" t="str">
        <f t="shared" si="1"/>
        <v/>
      </c>
    </row>
    <row r="747">
      <c r="H747" s="237"/>
      <c r="I747" s="237" t="str">
        <f>IFERROR(__xludf.DUMMYFUNCTION("IF(ISBLANK(H747),,IFNA(""""""""&amp;JOIN("","",INDEX(FILTER(A:D,A:A=H747),0,4))&amp;"""""""",))"),"")</f>
        <v/>
      </c>
      <c r="J747" s="237" t="str">
        <f>IF(ISBLANK(H747),,IFNA(VLOOKUP(H747, Circuits!A:W, 23, FALSE),))</f>
        <v/>
      </c>
      <c r="K747" s="238" t="str">
        <f t="shared" si="2"/>
        <v/>
      </c>
      <c r="L747" s="238" t="str">
        <f t="shared" si="3"/>
        <v/>
      </c>
      <c r="M747" s="238" t="str">
        <f t="shared" si="4"/>
        <v/>
      </c>
      <c r="N747" s="238" t="str">
        <f t="shared" si="5"/>
        <v/>
      </c>
      <c r="O747" s="238" t="str">
        <f t="shared" si="6"/>
        <v/>
      </c>
      <c r="P747" s="237" t="str">
        <f>IFERROR(__xludf.DUMMYFUNCTION("IF(ISBLANK(H747),,IF(IFNA(MATCH(H747,SPLIT(Circuits!$S$2,"";""&amp;CHAR(10)),0),0),FALSE,TRUE))"),"")</f>
        <v/>
      </c>
      <c r="Q747" s="237" t="str">
        <f>IF(ISBLANK(H747),,IFNA(VLOOKUP(H747, Circuits!A:U, 21, FALSE),))</f>
        <v/>
      </c>
      <c r="R747" s="238" t="str">
        <f t="shared" si="7"/>
        <v/>
      </c>
      <c r="S747" s="237" t="str">
        <f>IF(ISBLANK(H747),,IFNA(VLOOKUP(H747, Circuits!A:V, 22, FALSE),))</f>
        <v/>
      </c>
      <c r="T747" s="237" t="str">
        <f>IF(ISBLANK(H747),,IFNA(VLOOKUP(H747, Circuits!A:X, 24, FALSE),))</f>
        <v/>
      </c>
      <c r="V747" s="236" t="str">
        <f>IFERROR(__xludf.DUMMYFUNCTION("IF(ISBLANK(H747),,JOIN("","",H747:T747))"),"")</f>
        <v/>
      </c>
      <c r="W747" s="229" t="str">
        <f t="shared" si="1"/>
        <v/>
      </c>
    </row>
    <row r="748">
      <c r="H748" s="237"/>
      <c r="I748" s="237" t="str">
        <f>IFERROR(__xludf.DUMMYFUNCTION("IF(ISBLANK(H748),,IFNA(""""""""&amp;JOIN("","",INDEX(FILTER(A:D,A:A=H748),0,4))&amp;"""""""",))"),"")</f>
        <v/>
      </c>
      <c r="J748" s="237" t="str">
        <f>IF(ISBLANK(H748),,IFNA(VLOOKUP(H748, Circuits!A:W, 23, FALSE),))</f>
        <v/>
      </c>
      <c r="K748" s="238" t="str">
        <f t="shared" si="2"/>
        <v/>
      </c>
      <c r="L748" s="238" t="str">
        <f t="shared" si="3"/>
        <v/>
      </c>
      <c r="M748" s="238" t="str">
        <f t="shared" si="4"/>
        <v/>
      </c>
      <c r="N748" s="238" t="str">
        <f t="shared" si="5"/>
        <v/>
      </c>
      <c r="O748" s="238" t="str">
        <f t="shared" si="6"/>
        <v/>
      </c>
      <c r="P748" s="237" t="str">
        <f>IFERROR(__xludf.DUMMYFUNCTION("IF(ISBLANK(H748),,IF(IFNA(MATCH(H748,SPLIT(Circuits!$S$2,"";""&amp;CHAR(10)),0),0),FALSE,TRUE))"),"")</f>
        <v/>
      </c>
      <c r="Q748" s="237" t="str">
        <f>IF(ISBLANK(H748),,IFNA(VLOOKUP(H748, Circuits!A:U, 21, FALSE),))</f>
        <v/>
      </c>
      <c r="R748" s="238" t="str">
        <f t="shared" si="7"/>
        <v/>
      </c>
      <c r="S748" s="237" t="str">
        <f>IF(ISBLANK(H748),,IFNA(VLOOKUP(H748, Circuits!A:V, 22, FALSE),))</f>
        <v/>
      </c>
      <c r="T748" s="237" t="str">
        <f>IF(ISBLANK(H748),,IFNA(VLOOKUP(H748, Circuits!A:X, 24, FALSE),))</f>
        <v/>
      </c>
      <c r="V748" s="236" t="str">
        <f>IFERROR(__xludf.DUMMYFUNCTION("IF(ISBLANK(H748),,JOIN("","",H748:T748))"),"")</f>
        <v/>
      </c>
      <c r="W748" s="229" t="str">
        <f t="shared" si="1"/>
        <v/>
      </c>
    </row>
    <row r="749">
      <c r="H749" s="237"/>
      <c r="I749" s="237" t="str">
        <f>IFERROR(__xludf.DUMMYFUNCTION("IF(ISBLANK(H749),,IFNA(""""""""&amp;JOIN("","",INDEX(FILTER(A:D,A:A=H749),0,4))&amp;"""""""",))"),"")</f>
        <v/>
      </c>
      <c r="J749" s="237" t="str">
        <f>IF(ISBLANK(H749),,IFNA(VLOOKUP(H749, Circuits!A:W, 23, FALSE),))</f>
        <v/>
      </c>
      <c r="K749" s="238" t="str">
        <f t="shared" si="2"/>
        <v/>
      </c>
      <c r="L749" s="238" t="str">
        <f t="shared" si="3"/>
        <v/>
      </c>
      <c r="M749" s="238" t="str">
        <f t="shared" si="4"/>
        <v/>
      </c>
      <c r="N749" s="238" t="str">
        <f t="shared" si="5"/>
        <v/>
      </c>
      <c r="O749" s="238" t="str">
        <f t="shared" si="6"/>
        <v/>
      </c>
      <c r="P749" s="237" t="str">
        <f>IFERROR(__xludf.DUMMYFUNCTION("IF(ISBLANK(H749),,IF(IFNA(MATCH(H749,SPLIT(Circuits!$S$2,"";""&amp;CHAR(10)),0),0),FALSE,TRUE))"),"")</f>
        <v/>
      </c>
      <c r="Q749" s="237" t="str">
        <f>IF(ISBLANK(H749),,IFNA(VLOOKUP(H749, Circuits!A:U, 21, FALSE),))</f>
        <v/>
      </c>
      <c r="R749" s="238" t="str">
        <f t="shared" si="7"/>
        <v/>
      </c>
      <c r="S749" s="237" t="str">
        <f>IF(ISBLANK(H749),,IFNA(VLOOKUP(H749, Circuits!A:V, 22, FALSE),))</f>
        <v/>
      </c>
      <c r="T749" s="237" t="str">
        <f>IF(ISBLANK(H749),,IFNA(VLOOKUP(H749, Circuits!A:X, 24, FALSE),))</f>
        <v/>
      </c>
      <c r="V749" s="236" t="str">
        <f>IFERROR(__xludf.DUMMYFUNCTION("IF(ISBLANK(H749),,JOIN("","",H749:T749))"),"")</f>
        <v/>
      </c>
      <c r="W749" s="229" t="str">
        <f t="shared" si="1"/>
        <v/>
      </c>
    </row>
    <row r="750">
      <c r="H750" s="237"/>
      <c r="I750" s="237" t="str">
        <f>IFERROR(__xludf.DUMMYFUNCTION("IF(ISBLANK(H750),,IFNA(""""""""&amp;JOIN("","",INDEX(FILTER(A:D,A:A=H750),0,4))&amp;"""""""",))"),"")</f>
        <v/>
      </c>
      <c r="J750" s="237" t="str">
        <f>IF(ISBLANK(H750),,IFNA(VLOOKUP(H750, Circuits!A:W, 23, FALSE),))</f>
        <v/>
      </c>
      <c r="K750" s="238" t="str">
        <f t="shared" si="2"/>
        <v/>
      </c>
      <c r="L750" s="238" t="str">
        <f t="shared" si="3"/>
        <v/>
      </c>
      <c r="M750" s="238" t="str">
        <f t="shared" si="4"/>
        <v/>
      </c>
      <c r="N750" s="238" t="str">
        <f t="shared" si="5"/>
        <v/>
      </c>
      <c r="O750" s="238" t="str">
        <f t="shared" si="6"/>
        <v/>
      </c>
      <c r="P750" s="237" t="str">
        <f>IFERROR(__xludf.DUMMYFUNCTION("IF(ISBLANK(H750),,IF(IFNA(MATCH(H750,SPLIT(Circuits!$S$2,"";""&amp;CHAR(10)),0),0),FALSE,TRUE))"),"")</f>
        <v/>
      </c>
      <c r="Q750" s="237" t="str">
        <f>IF(ISBLANK(H750),,IFNA(VLOOKUP(H750, Circuits!A:U, 21, FALSE),))</f>
        <v/>
      </c>
      <c r="R750" s="238" t="str">
        <f t="shared" si="7"/>
        <v/>
      </c>
      <c r="S750" s="237" t="str">
        <f>IF(ISBLANK(H750),,IFNA(VLOOKUP(H750, Circuits!A:V, 22, FALSE),))</f>
        <v/>
      </c>
      <c r="T750" s="237" t="str">
        <f>IF(ISBLANK(H750),,IFNA(VLOOKUP(H750, Circuits!A:X, 24, FALSE),))</f>
        <v/>
      </c>
      <c r="V750" s="236" t="str">
        <f>IFERROR(__xludf.DUMMYFUNCTION("IF(ISBLANK(H750),,JOIN("","",H750:T750))"),"")</f>
        <v/>
      </c>
      <c r="W750" s="229" t="str">
        <f t="shared" si="1"/>
        <v/>
      </c>
    </row>
    <row r="751">
      <c r="H751" s="237"/>
      <c r="I751" s="237" t="str">
        <f>IFERROR(__xludf.DUMMYFUNCTION("IF(ISBLANK(H751),,IFNA(""""""""&amp;JOIN("","",INDEX(FILTER(A:D,A:A=H751),0,4))&amp;"""""""",))"),"")</f>
        <v/>
      </c>
      <c r="J751" s="237" t="str">
        <f>IF(ISBLANK(H751),,IFNA(VLOOKUP(H751, Circuits!A:W, 23, FALSE),))</f>
        <v/>
      </c>
      <c r="K751" s="238" t="str">
        <f t="shared" si="2"/>
        <v/>
      </c>
      <c r="L751" s="238" t="str">
        <f t="shared" si="3"/>
        <v/>
      </c>
      <c r="M751" s="238" t="str">
        <f t="shared" si="4"/>
        <v/>
      </c>
      <c r="N751" s="238" t="str">
        <f t="shared" si="5"/>
        <v/>
      </c>
      <c r="O751" s="238" t="str">
        <f t="shared" si="6"/>
        <v/>
      </c>
      <c r="P751" s="237" t="str">
        <f>IFERROR(__xludf.DUMMYFUNCTION("IF(ISBLANK(H751),,IF(IFNA(MATCH(H751,SPLIT(Circuits!$S$2,"";""&amp;CHAR(10)),0),0),FALSE,TRUE))"),"")</f>
        <v/>
      </c>
      <c r="Q751" s="237" t="str">
        <f>IF(ISBLANK(H751),,IFNA(VLOOKUP(H751, Circuits!A:U, 21, FALSE),))</f>
        <v/>
      </c>
      <c r="R751" s="238" t="str">
        <f t="shared" si="7"/>
        <v/>
      </c>
      <c r="S751" s="237" t="str">
        <f>IF(ISBLANK(H751),,IFNA(VLOOKUP(H751, Circuits!A:V, 22, FALSE),))</f>
        <v/>
      </c>
      <c r="T751" s="237" t="str">
        <f>IF(ISBLANK(H751),,IFNA(VLOOKUP(H751, Circuits!A:X, 24, FALSE),))</f>
        <v/>
      </c>
      <c r="V751" s="236" t="str">
        <f>IFERROR(__xludf.DUMMYFUNCTION("IF(ISBLANK(H751),,JOIN("","",H751:T751))"),"")</f>
        <v/>
      </c>
      <c r="W751" s="229" t="str">
        <f t="shared" si="1"/>
        <v/>
      </c>
    </row>
    <row r="752">
      <c r="H752" s="237"/>
      <c r="I752" s="237" t="str">
        <f>IFERROR(__xludf.DUMMYFUNCTION("IF(ISBLANK(H752),,IFNA(""""""""&amp;JOIN("","",INDEX(FILTER(A:D,A:A=H752),0,4))&amp;"""""""",))"),"")</f>
        <v/>
      </c>
      <c r="J752" s="237" t="str">
        <f>IF(ISBLANK(H752),,IFNA(VLOOKUP(H752, Circuits!A:W, 23, FALSE),))</f>
        <v/>
      </c>
      <c r="K752" s="238" t="str">
        <f t="shared" si="2"/>
        <v/>
      </c>
      <c r="L752" s="238" t="str">
        <f t="shared" si="3"/>
        <v/>
      </c>
      <c r="M752" s="238" t="str">
        <f t="shared" si="4"/>
        <v/>
      </c>
      <c r="N752" s="238" t="str">
        <f t="shared" si="5"/>
        <v/>
      </c>
      <c r="O752" s="238" t="str">
        <f t="shared" si="6"/>
        <v/>
      </c>
      <c r="P752" s="237" t="str">
        <f>IFERROR(__xludf.DUMMYFUNCTION("IF(ISBLANK(H752),,IF(IFNA(MATCH(H752,SPLIT(Circuits!$S$2,"";""&amp;CHAR(10)),0),0),FALSE,TRUE))"),"")</f>
        <v/>
      </c>
      <c r="Q752" s="237" t="str">
        <f>IF(ISBLANK(H752),,IFNA(VLOOKUP(H752, Circuits!A:U, 21, FALSE),))</f>
        <v/>
      </c>
      <c r="R752" s="238" t="str">
        <f t="shared" si="7"/>
        <v/>
      </c>
      <c r="S752" s="237" t="str">
        <f>IF(ISBLANK(H752),,IFNA(VLOOKUP(H752, Circuits!A:V, 22, FALSE),))</f>
        <v/>
      </c>
      <c r="T752" s="237" t="str">
        <f>IF(ISBLANK(H752),,IFNA(VLOOKUP(H752, Circuits!A:X, 24, FALSE),))</f>
        <v/>
      </c>
      <c r="V752" s="236" t="str">
        <f>IFERROR(__xludf.DUMMYFUNCTION("IF(ISBLANK(H752),,JOIN("","",H752:T752))"),"")</f>
        <v/>
      </c>
      <c r="W752" s="229" t="str">
        <f t="shared" si="1"/>
        <v/>
      </c>
    </row>
    <row r="753">
      <c r="H753" s="237"/>
      <c r="I753" s="237" t="str">
        <f>IFERROR(__xludf.DUMMYFUNCTION("IF(ISBLANK(H753),,IFNA(""""""""&amp;JOIN("","",INDEX(FILTER(A:D,A:A=H753),0,4))&amp;"""""""",))"),"")</f>
        <v/>
      </c>
      <c r="J753" s="237" t="str">
        <f>IF(ISBLANK(H753),,IFNA(VLOOKUP(H753, Circuits!A:W, 23, FALSE),))</f>
        <v/>
      </c>
      <c r="K753" s="238" t="str">
        <f t="shared" si="2"/>
        <v/>
      </c>
      <c r="L753" s="238" t="str">
        <f t="shared" si="3"/>
        <v/>
      </c>
      <c r="M753" s="238" t="str">
        <f t="shared" si="4"/>
        <v/>
      </c>
      <c r="N753" s="238" t="str">
        <f t="shared" si="5"/>
        <v/>
      </c>
      <c r="O753" s="238" t="str">
        <f t="shared" si="6"/>
        <v/>
      </c>
      <c r="P753" s="237" t="str">
        <f>IFERROR(__xludf.DUMMYFUNCTION("IF(ISBLANK(H753),,IF(IFNA(MATCH(H753,SPLIT(Circuits!$S$2,"";""&amp;CHAR(10)),0),0),FALSE,TRUE))"),"")</f>
        <v/>
      </c>
      <c r="Q753" s="237" t="str">
        <f>IF(ISBLANK(H753),,IFNA(VLOOKUP(H753, Circuits!A:U, 21, FALSE),))</f>
        <v/>
      </c>
      <c r="R753" s="238" t="str">
        <f t="shared" si="7"/>
        <v/>
      </c>
      <c r="S753" s="237" t="str">
        <f>IF(ISBLANK(H753),,IFNA(VLOOKUP(H753, Circuits!A:V, 22, FALSE),))</f>
        <v/>
      </c>
      <c r="T753" s="237" t="str">
        <f>IF(ISBLANK(H753),,IFNA(VLOOKUP(H753, Circuits!A:X, 24, FALSE),))</f>
        <v/>
      </c>
      <c r="V753" s="236" t="str">
        <f>IFERROR(__xludf.DUMMYFUNCTION("IF(ISBLANK(H753),,JOIN("","",H753:T753))"),"")</f>
        <v/>
      </c>
      <c r="W753" s="229" t="str">
        <f t="shared" si="1"/>
        <v/>
      </c>
    </row>
    <row r="754">
      <c r="H754" s="237"/>
      <c r="I754" s="237" t="str">
        <f>IFERROR(__xludf.DUMMYFUNCTION("IF(ISBLANK(H754),,IFNA(""""""""&amp;JOIN("","",INDEX(FILTER(A:D,A:A=H754),0,4))&amp;"""""""",))"),"")</f>
        <v/>
      </c>
      <c r="J754" s="237" t="str">
        <f>IF(ISBLANK(H754),,IFNA(VLOOKUP(H754, Circuits!A:W, 23, FALSE),))</f>
        <v/>
      </c>
      <c r="K754" s="238" t="str">
        <f t="shared" si="2"/>
        <v/>
      </c>
      <c r="L754" s="238" t="str">
        <f t="shared" si="3"/>
        <v/>
      </c>
      <c r="M754" s="238" t="str">
        <f t="shared" si="4"/>
        <v/>
      </c>
      <c r="N754" s="238" t="str">
        <f t="shared" si="5"/>
        <v/>
      </c>
      <c r="O754" s="238" t="str">
        <f t="shared" si="6"/>
        <v/>
      </c>
      <c r="P754" s="237" t="str">
        <f>IFERROR(__xludf.DUMMYFUNCTION("IF(ISBLANK(H754),,IF(IFNA(MATCH(H754,SPLIT(Circuits!$S$2,"";""&amp;CHAR(10)),0),0),FALSE,TRUE))"),"")</f>
        <v/>
      </c>
      <c r="Q754" s="237" t="str">
        <f>IF(ISBLANK(H754),,IFNA(VLOOKUP(H754, Circuits!A:U, 21, FALSE),))</f>
        <v/>
      </c>
      <c r="R754" s="238" t="str">
        <f t="shared" si="7"/>
        <v/>
      </c>
      <c r="S754" s="237" t="str">
        <f>IF(ISBLANK(H754),,IFNA(VLOOKUP(H754, Circuits!A:V, 22, FALSE),))</f>
        <v/>
      </c>
      <c r="T754" s="237" t="str">
        <f>IF(ISBLANK(H754),,IFNA(VLOOKUP(H754, Circuits!A:X, 24, FALSE),))</f>
        <v/>
      </c>
      <c r="V754" s="236" t="str">
        <f>IFERROR(__xludf.DUMMYFUNCTION("IF(ISBLANK(H754),,JOIN("","",H754:T754))"),"")</f>
        <v/>
      </c>
      <c r="W754" s="229" t="str">
        <f t="shared" si="1"/>
        <v/>
      </c>
    </row>
    <row r="755">
      <c r="H755" s="237"/>
      <c r="I755" s="237" t="str">
        <f>IFERROR(__xludf.DUMMYFUNCTION("IF(ISBLANK(H755),,IFNA(""""""""&amp;JOIN("","",INDEX(FILTER(A:D,A:A=H755),0,4))&amp;"""""""",))"),"")</f>
        <v/>
      </c>
      <c r="J755" s="237" t="str">
        <f>IF(ISBLANK(H755),,IFNA(VLOOKUP(H755, Circuits!A:W, 23, FALSE),))</f>
        <v/>
      </c>
      <c r="K755" s="238" t="str">
        <f t="shared" si="2"/>
        <v/>
      </c>
      <c r="L755" s="238" t="str">
        <f t="shared" si="3"/>
        <v/>
      </c>
      <c r="M755" s="238" t="str">
        <f t="shared" si="4"/>
        <v/>
      </c>
      <c r="N755" s="238" t="str">
        <f t="shared" si="5"/>
        <v/>
      </c>
      <c r="O755" s="238" t="str">
        <f t="shared" si="6"/>
        <v/>
      </c>
      <c r="P755" s="237" t="str">
        <f>IFERROR(__xludf.DUMMYFUNCTION("IF(ISBLANK(H755),,IF(IFNA(MATCH(H755,SPLIT(Circuits!$S$2,"";""&amp;CHAR(10)),0),0),FALSE,TRUE))"),"")</f>
        <v/>
      </c>
      <c r="Q755" s="237" t="str">
        <f>IF(ISBLANK(H755),,IFNA(VLOOKUP(H755, Circuits!A:U, 21, FALSE),))</f>
        <v/>
      </c>
      <c r="R755" s="238" t="str">
        <f t="shared" si="7"/>
        <v/>
      </c>
      <c r="S755" s="237" t="str">
        <f>IF(ISBLANK(H755),,IFNA(VLOOKUP(H755, Circuits!A:V, 22, FALSE),))</f>
        <v/>
      </c>
      <c r="T755" s="237" t="str">
        <f>IF(ISBLANK(H755),,IFNA(VLOOKUP(H755, Circuits!A:X, 24, FALSE),))</f>
        <v/>
      </c>
      <c r="V755" s="236" t="str">
        <f>IFERROR(__xludf.DUMMYFUNCTION("IF(ISBLANK(H755),,JOIN("","",H755:T755))"),"")</f>
        <v/>
      </c>
      <c r="W755" s="229" t="str">
        <f t="shared" si="1"/>
        <v/>
      </c>
    </row>
    <row r="756">
      <c r="H756" s="237"/>
      <c r="I756" s="237" t="str">
        <f>IFERROR(__xludf.DUMMYFUNCTION("IF(ISBLANK(H756),,IFNA(""""""""&amp;JOIN("","",INDEX(FILTER(A:D,A:A=H756),0,4))&amp;"""""""",))"),"")</f>
        <v/>
      </c>
      <c r="J756" s="237" t="str">
        <f>IF(ISBLANK(H756),,IFNA(VLOOKUP(H756, Circuits!A:W, 23, FALSE),))</f>
        <v/>
      </c>
      <c r="K756" s="238" t="str">
        <f t="shared" si="2"/>
        <v/>
      </c>
      <c r="L756" s="238" t="str">
        <f t="shared" si="3"/>
        <v/>
      </c>
      <c r="M756" s="238" t="str">
        <f t="shared" si="4"/>
        <v/>
      </c>
      <c r="N756" s="238" t="str">
        <f t="shared" si="5"/>
        <v/>
      </c>
      <c r="O756" s="238" t="str">
        <f t="shared" si="6"/>
        <v/>
      </c>
      <c r="P756" s="237" t="str">
        <f>IFERROR(__xludf.DUMMYFUNCTION("IF(ISBLANK(H756),,IF(IFNA(MATCH(H756,SPLIT(Circuits!$S$2,"";""&amp;CHAR(10)),0),0),FALSE,TRUE))"),"")</f>
        <v/>
      </c>
      <c r="Q756" s="237" t="str">
        <f>IF(ISBLANK(H756),,IFNA(VLOOKUP(H756, Circuits!A:U, 21, FALSE),))</f>
        <v/>
      </c>
      <c r="R756" s="238" t="str">
        <f t="shared" si="7"/>
        <v/>
      </c>
      <c r="S756" s="237" t="str">
        <f>IF(ISBLANK(H756),,IFNA(VLOOKUP(H756, Circuits!A:V, 22, FALSE),))</f>
        <v/>
      </c>
      <c r="T756" s="237" t="str">
        <f>IF(ISBLANK(H756),,IFNA(VLOOKUP(H756, Circuits!A:X, 24, FALSE),))</f>
        <v/>
      </c>
      <c r="V756" s="236" t="str">
        <f>IFERROR(__xludf.DUMMYFUNCTION("IF(ISBLANK(H756),,JOIN("","",H756:T756))"),"")</f>
        <v/>
      </c>
      <c r="W756" s="229" t="str">
        <f t="shared" si="1"/>
        <v/>
      </c>
    </row>
    <row r="757">
      <c r="H757" s="237"/>
      <c r="I757" s="237" t="str">
        <f>IFERROR(__xludf.DUMMYFUNCTION("IF(ISBLANK(H757),,IFNA(""""""""&amp;JOIN("","",INDEX(FILTER(A:D,A:A=H757),0,4))&amp;"""""""",))"),"")</f>
        <v/>
      </c>
      <c r="J757" s="237" t="str">
        <f>IF(ISBLANK(H757),,IFNA(VLOOKUP(H757, Circuits!A:W, 23, FALSE),))</f>
        <v/>
      </c>
      <c r="K757" s="238" t="str">
        <f t="shared" si="2"/>
        <v/>
      </c>
      <c r="L757" s="238" t="str">
        <f t="shared" si="3"/>
        <v/>
      </c>
      <c r="M757" s="238" t="str">
        <f t="shared" si="4"/>
        <v/>
      </c>
      <c r="N757" s="238" t="str">
        <f t="shared" si="5"/>
        <v/>
      </c>
      <c r="O757" s="238" t="str">
        <f t="shared" si="6"/>
        <v/>
      </c>
      <c r="P757" s="237" t="str">
        <f>IFERROR(__xludf.DUMMYFUNCTION("IF(ISBLANK(H757),,IF(IFNA(MATCH(H757,SPLIT(Circuits!$S$2,"";""&amp;CHAR(10)),0),0),FALSE,TRUE))"),"")</f>
        <v/>
      </c>
      <c r="Q757" s="237" t="str">
        <f>IF(ISBLANK(H757),,IFNA(VLOOKUP(H757, Circuits!A:U, 21, FALSE),))</f>
        <v/>
      </c>
      <c r="R757" s="238" t="str">
        <f t="shared" si="7"/>
        <v/>
      </c>
      <c r="S757" s="237" t="str">
        <f>IF(ISBLANK(H757),,IFNA(VLOOKUP(H757, Circuits!A:V, 22, FALSE),))</f>
        <v/>
      </c>
      <c r="T757" s="237" t="str">
        <f>IF(ISBLANK(H757),,IFNA(VLOOKUP(H757, Circuits!A:X, 24, FALSE),))</f>
        <v/>
      </c>
      <c r="V757" s="236" t="str">
        <f>IFERROR(__xludf.DUMMYFUNCTION("IF(ISBLANK(H757),,JOIN("","",H757:T757))"),"")</f>
        <v/>
      </c>
      <c r="W757" s="229" t="str">
        <f t="shared" si="1"/>
        <v/>
      </c>
    </row>
    <row r="758">
      <c r="H758" s="237"/>
      <c r="I758" s="237" t="str">
        <f>IFERROR(__xludf.DUMMYFUNCTION("IF(ISBLANK(H758),,IFNA(""""""""&amp;JOIN("","",INDEX(FILTER(A:D,A:A=H758),0,4))&amp;"""""""",))"),"")</f>
        <v/>
      </c>
      <c r="J758" s="237" t="str">
        <f>IF(ISBLANK(H758),,IFNA(VLOOKUP(H758, Circuits!A:W, 23, FALSE),))</f>
        <v/>
      </c>
      <c r="K758" s="238" t="str">
        <f t="shared" si="2"/>
        <v/>
      </c>
      <c r="L758" s="238" t="str">
        <f t="shared" si="3"/>
        <v/>
      </c>
      <c r="M758" s="238" t="str">
        <f t="shared" si="4"/>
        <v/>
      </c>
      <c r="N758" s="238" t="str">
        <f t="shared" si="5"/>
        <v/>
      </c>
      <c r="O758" s="238" t="str">
        <f t="shared" si="6"/>
        <v/>
      </c>
      <c r="P758" s="237" t="str">
        <f>IFERROR(__xludf.DUMMYFUNCTION("IF(ISBLANK(H758),,IF(IFNA(MATCH(H758,SPLIT(Circuits!$S$2,"";""&amp;CHAR(10)),0),0),FALSE,TRUE))"),"")</f>
        <v/>
      </c>
      <c r="Q758" s="237" t="str">
        <f>IF(ISBLANK(H758),,IFNA(VLOOKUP(H758, Circuits!A:U, 21, FALSE),))</f>
        <v/>
      </c>
      <c r="R758" s="238" t="str">
        <f t="shared" si="7"/>
        <v/>
      </c>
      <c r="S758" s="237" t="str">
        <f>IF(ISBLANK(H758),,IFNA(VLOOKUP(H758, Circuits!A:V, 22, FALSE),))</f>
        <v/>
      </c>
      <c r="T758" s="237" t="str">
        <f>IF(ISBLANK(H758),,IFNA(VLOOKUP(H758, Circuits!A:X, 24, FALSE),))</f>
        <v/>
      </c>
      <c r="V758" s="236" t="str">
        <f>IFERROR(__xludf.DUMMYFUNCTION("IF(ISBLANK(H758),,JOIN("","",H758:T758))"),"")</f>
        <v/>
      </c>
      <c r="W758" s="229" t="str">
        <f t="shared" si="1"/>
        <v/>
      </c>
    </row>
    <row r="759">
      <c r="H759" s="237"/>
      <c r="I759" s="237" t="str">
        <f>IFERROR(__xludf.DUMMYFUNCTION("IF(ISBLANK(H759),,IFNA(""""""""&amp;JOIN("","",INDEX(FILTER(A:D,A:A=H759),0,4))&amp;"""""""",))"),"")</f>
        <v/>
      </c>
      <c r="J759" s="237" t="str">
        <f>IF(ISBLANK(H759),,IFNA(VLOOKUP(H759, Circuits!A:W, 23, FALSE),))</f>
        <v/>
      </c>
      <c r="K759" s="238" t="str">
        <f t="shared" si="2"/>
        <v/>
      </c>
      <c r="L759" s="238" t="str">
        <f t="shared" si="3"/>
        <v/>
      </c>
      <c r="M759" s="238" t="str">
        <f t="shared" si="4"/>
        <v/>
      </c>
      <c r="N759" s="238" t="str">
        <f t="shared" si="5"/>
        <v/>
      </c>
      <c r="O759" s="238" t="str">
        <f t="shared" si="6"/>
        <v/>
      </c>
      <c r="P759" s="237" t="str">
        <f>IFERROR(__xludf.DUMMYFUNCTION("IF(ISBLANK(H759),,IF(IFNA(MATCH(H759,SPLIT(Circuits!$S$2,"";""&amp;CHAR(10)),0),0),FALSE,TRUE))"),"")</f>
        <v/>
      </c>
      <c r="Q759" s="237" t="str">
        <f>IF(ISBLANK(H759),,IFNA(VLOOKUP(H759, Circuits!A:U, 21, FALSE),))</f>
        <v/>
      </c>
      <c r="R759" s="238" t="str">
        <f t="shared" si="7"/>
        <v/>
      </c>
      <c r="S759" s="237" t="str">
        <f>IF(ISBLANK(H759),,IFNA(VLOOKUP(H759, Circuits!A:V, 22, FALSE),))</f>
        <v/>
      </c>
      <c r="T759" s="237" t="str">
        <f>IF(ISBLANK(H759),,IFNA(VLOOKUP(H759, Circuits!A:X, 24, FALSE),))</f>
        <v/>
      </c>
      <c r="V759" s="236" t="str">
        <f>IFERROR(__xludf.DUMMYFUNCTION("IF(ISBLANK(H759),,JOIN("","",H759:T759))"),"")</f>
        <v/>
      </c>
      <c r="W759" s="229" t="str">
        <f t="shared" si="1"/>
        <v/>
      </c>
    </row>
    <row r="760">
      <c r="H760" s="237"/>
      <c r="I760" s="237" t="str">
        <f>IFERROR(__xludf.DUMMYFUNCTION("IF(ISBLANK(H760),,IFNA(""""""""&amp;JOIN("","",INDEX(FILTER(A:D,A:A=H760),0,4))&amp;"""""""",))"),"")</f>
        <v/>
      </c>
      <c r="J760" s="237" t="str">
        <f>IF(ISBLANK(H760),,IFNA(VLOOKUP(H760, Circuits!A:W, 23, FALSE),))</f>
        <v/>
      </c>
      <c r="K760" s="238" t="str">
        <f t="shared" si="2"/>
        <v/>
      </c>
      <c r="L760" s="238" t="str">
        <f t="shared" si="3"/>
        <v/>
      </c>
      <c r="M760" s="238" t="str">
        <f t="shared" si="4"/>
        <v/>
      </c>
      <c r="N760" s="238" t="str">
        <f t="shared" si="5"/>
        <v/>
      </c>
      <c r="O760" s="238" t="str">
        <f t="shared" si="6"/>
        <v/>
      </c>
      <c r="P760" s="237" t="str">
        <f>IFERROR(__xludf.DUMMYFUNCTION("IF(ISBLANK(H760),,IF(IFNA(MATCH(H760,SPLIT(Circuits!$S$2,"";""&amp;CHAR(10)),0),0),FALSE,TRUE))"),"")</f>
        <v/>
      </c>
      <c r="Q760" s="237" t="str">
        <f>IF(ISBLANK(H760),,IFNA(VLOOKUP(H760, Circuits!A:U, 21, FALSE),))</f>
        <v/>
      </c>
      <c r="R760" s="238" t="str">
        <f t="shared" si="7"/>
        <v/>
      </c>
      <c r="S760" s="237" t="str">
        <f>IF(ISBLANK(H760),,IFNA(VLOOKUP(H760, Circuits!A:V, 22, FALSE),))</f>
        <v/>
      </c>
      <c r="T760" s="237" t="str">
        <f>IF(ISBLANK(H760),,IFNA(VLOOKUP(H760, Circuits!A:X, 24, FALSE),))</f>
        <v/>
      </c>
      <c r="V760" s="236" t="str">
        <f>IFERROR(__xludf.DUMMYFUNCTION("IF(ISBLANK(H760),,JOIN("","",H760:T760))"),"")</f>
        <v/>
      </c>
      <c r="W760" s="229" t="str">
        <f t="shared" si="1"/>
        <v/>
      </c>
    </row>
    <row r="761">
      <c r="H761" s="237"/>
      <c r="I761" s="237" t="str">
        <f>IFERROR(__xludf.DUMMYFUNCTION("IF(ISBLANK(H761),,IFNA(""""""""&amp;JOIN("","",INDEX(FILTER(A:D,A:A=H761),0,4))&amp;"""""""",))"),"")</f>
        <v/>
      </c>
      <c r="J761" s="237" t="str">
        <f>IF(ISBLANK(H761),,IFNA(VLOOKUP(H761, Circuits!A:W, 23, FALSE),))</f>
        <v/>
      </c>
      <c r="K761" s="238" t="str">
        <f t="shared" si="2"/>
        <v/>
      </c>
      <c r="L761" s="238" t="str">
        <f t="shared" si="3"/>
        <v/>
      </c>
      <c r="M761" s="238" t="str">
        <f t="shared" si="4"/>
        <v/>
      </c>
      <c r="N761" s="238" t="str">
        <f t="shared" si="5"/>
        <v/>
      </c>
      <c r="O761" s="238" t="str">
        <f t="shared" si="6"/>
        <v/>
      </c>
      <c r="P761" s="237" t="str">
        <f>IFERROR(__xludf.DUMMYFUNCTION("IF(ISBLANK(H761),,IF(IFNA(MATCH(H761,SPLIT(Circuits!$S$2,"";""&amp;CHAR(10)),0),0),FALSE,TRUE))"),"")</f>
        <v/>
      </c>
      <c r="Q761" s="237" t="str">
        <f>IF(ISBLANK(H761),,IFNA(VLOOKUP(H761, Circuits!A:U, 21, FALSE),))</f>
        <v/>
      </c>
      <c r="R761" s="238" t="str">
        <f t="shared" si="7"/>
        <v/>
      </c>
      <c r="S761" s="237" t="str">
        <f>IF(ISBLANK(H761),,IFNA(VLOOKUP(H761, Circuits!A:V, 22, FALSE),))</f>
        <v/>
      </c>
      <c r="T761" s="237" t="str">
        <f>IF(ISBLANK(H761),,IFNA(VLOOKUP(H761, Circuits!A:X, 24, FALSE),))</f>
        <v/>
      </c>
      <c r="V761" s="236" t="str">
        <f>IFERROR(__xludf.DUMMYFUNCTION("IF(ISBLANK(H761),,JOIN("","",H761:T761))"),"")</f>
        <v/>
      </c>
      <c r="W761" s="229" t="str">
        <f t="shared" si="1"/>
        <v/>
      </c>
    </row>
    <row r="762">
      <c r="H762" s="237"/>
      <c r="I762" s="237" t="str">
        <f>IFERROR(__xludf.DUMMYFUNCTION("IF(ISBLANK(H762),,IFNA(""""""""&amp;JOIN("","",INDEX(FILTER(A:D,A:A=H762),0,4))&amp;"""""""",))"),"")</f>
        <v/>
      </c>
      <c r="J762" s="237" t="str">
        <f>IF(ISBLANK(H762),,IFNA(VLOOKUP(H762, Circuits!A:W, 23, FALSE),))</f>
        <v/>
      </c>
      <c r="K762" s="238" t="str">
        <f t="shared" si="2"/>
        <v/>
      </c>
      <c r="L762" s="238" t="str">
        <f t="shared" si="3"/>
        <v/>
      </c>
      <c r="M762" s="238" t="str">
        <f t="shared" si="4"/>
        <v/>
      </c>
      <c r="N762" s="238" t="str">
        <f t="shared" si="5"/>
        <v/>
      </c>
      <c r="O762" s="238" t="str">
        <f t="shared" si="6"/>
        <v/>
      </c>
      <c r="P762" s="237" t="str">
        <f>IFERROR(__xludf.DUMMYFUNCTION("IF(ISBLANK(H762),,IF(IFNA(MATCH(H762,SPLIT(Circuits!$S$2,"";""&amp;CHAR(10)),0),0),FALSE,TRUE))"),"")</f>
        <v/>
      </c>
      <c r="Q762" s="237" t="str">
        <f>IF(ISBLANK(H762),,IFNA(VLOOKUP(H762, Circuits!A:U, 21, FALSE),))</f>
        <v/>
      </c>
      <c r="R762" s="238" t="str">
        <f t="shared" si="7"/>
        <v/>
      </c>
      <c r="S762" s="237" t="str">
        <f>IF(ISBLANK(H762),,IFNA(VLOOKUP(H762, Circuits!A:V, 22, FALSE),))</f>
        <v/>
      </c>
      <c r="T762" s="237" t="str">
        <f>IF(ISBLANK(H762),,IFNA(VLOOKUP(H762, Circuits!A:X, 24, FALSE),))</f>
        <v/>
      </c>
      <c r="V762" s="236" t="str">
        <f>IFERROR(__xludf.DUMMYFUNCTION("IF(ISBLANK(H762),,JOIN("","",H762:T762))"),"")</f>
        <v/>
      </c>
      <c r="W762" s="229" t="str">
        <f t="shared" si="1"/>
        <v/>
      </c>
    </row>
    <row r="763">
      <c r="H763" s="237"/>
      <c r="I763" s="237" t="str">
        <f>IFERROR(__xludf.DUMMYFUNCTION("IF(ISBLANK(H763),,IFNA(""""""""&amp;JOIN("","",INDEX(FILTER(A:D,A:A=H763),0,4))&amp;"""""""",))"),"")</f>
        <v/>
      </c>
      <c r="J763" s="237" t="str">
        <f>IF(ISBLANK(H763),,IFNA(VLOOKUP(H763, Circuits!A:W, 23, FALSE),))</f>
        <v/>
      </c>
      <c r="K763" s="238" t="str">
        <f t="shared" si="2"/>
        <v/>
      </c>
      <c r="L763" s="238" t="str">
        <f t="shared" si="3"/>
        <v/>
      </c>
      <c r="M763" s="238" t="str">
        <f t="shared" si="4"/>
        <v/>
      </c>
      <c r="N763" s="238" t="str">
        <f t="shared" si="5"/>
        <v/>
      </c>
      <c r="O763" s="238" t="str">
        <f t="shared" si="6"/>
        <v/>
      </c>
      <c r="P763" s="237" t="str">
        <f>IFERROR(__xludf.DUMMYFUNCTION("IF(ISBLANK(H763),,IF(IFNA(MATCH(H763,SPLIT(Circuits!$S$2,"";""&amp;CHAR(10)),0),0),FALSE,TRUE))"),"")</f>
        <v/>
      </c>
      <c r="Q763" s="237" t="str">
        <f>IF(ISBLANK(H763),,IFNA(VLOOKUP(H763, Circuits!A:U, 21, FALSE),))</f>
        <v/>
      </c>
      <c r="R763" s="238" t="str">
        <f t="shared" si="7"/>
        <v/>
      </c>
      <c r="S763" s="237" t="str">
        <f>IF(ISBLANK(H763),,IFNA(VLOOKUP(H763, Circuits!A:V, 22, FALSE),))</f>
        <v/>
      </c>
      <c r="T763" s="237" t="str">
        <f>IF(ISBLANK(H763),,IFNA(VLOOKUP(H763, Circuits!A:X, 24, FALSE),))</f>
        <v/>
      </c>
      <c r="V763" s="236" t="str">
        <f>IFERROR(__xludf.DUMMYFUNCTION("IF(ISBLANK(H763),,JOIN("","",H763:T763))"),"")</f>
        <v/>
      </c>
      <c r="W763" s="229" t="str">
        <f t="shared" si="1"/>
        <v/>
      </c>
    </row>
    <row r="764">
      <c r="H764" s="237"/>
      <c r="I764" s="237" t="str">
        <f>IFERROR(__xludf.DUMMYFUNCTION("IF(ISBLANK(H764),,IFNA(""""""""&amp;JOIN("","",INDEX(FILTER(A:D,A:A=H764),0,4))&amp;"""""""",))"),"")</f>
        <v/>
      </c>
      <c r="J764" s="237" t="str">
        <f>IF(ISBLANK(H764),,IFNA(VLOOKUP(H764, Circuits!A:W, 23, FALSE),))</f>
        <v/>
      </c>
      <c r="K764" s="238" t="str">
        <f t="shared" si="2"/>
        <v/>
      </c>
      <c r="L764" s="238" t="str">
        <f t="shared" si="3"/>
        <v/>
      </c>
      <c r="M764" s="238" t="str">
        <f t="shared" si="4"/>
        <v/>
      </c>
      <c r="N764" s="238" t="str">
        <f t="shared" si="5"/>
        <v/>
      </c>
      <c r="O764" s="238" t="str">
        <f t="shared" si="6"/>
        <v/>
      </c>
      <c r="P764" s="237" t="str">
        <f>IFERROR(__xludf.DUMMYFUNCTION("IF(ISBLANK(H764),,IF(IFNA(MATCH(H764,SPLIT(Circuits!$S$2,"";""&amp;CHAR(10)),0),0),FALSE,TRUE))"),"")</f>
        <v/>
      </c>
      <c r="Q764" s="237" t="str">
        <f>IF(ISBLANK(H764),,IFNA(VLOOKUP(H764, Circuits!A:U, 21, FALSE),))</f>
        <v/>
      </c>
      <c r="R764" s="238" t="str">
        <f t="shared" si="7"/>
        <v/>
      </c>
      <c r="S764" s="237" t="str">
        <f>IF(ISBLANK(H764),,IFNA(VLOOKUP(H764, Circuits!A:V, 22, FALSE),))</f>
        <v/>
      </c>
      <c r="T764" s="237" t="str">
        <f>IF(ISBLANK(H764),,IFNA(VLOOKUP(H764, Circuits!A:X, 24, FALSE),))</f>
        <v/>
      </c>
      <c r="V764" s="236" t="str">
        <f>IFERROR(__xludf.DUMMYFUNCTION("IF(ISBLANK(H764),,JOIN("","",H764:T764))"),"")</f>
        <v/>
      </c>
      <c r="W764" s="229" t="str">
        <f t="shared" si="1"/>
        <v/>
      </c>
    </row>
    <row r="765">
      <c r="H765" s="237"/>
      <c r="I765" s="237" t="str">
        <f>IFERROR(__xludf.DUMMYFUNCTION("IF(ISBLANK(H765),,IFNA(""""""""&amp;JOIN("","",INDEX(FILTER(A:D,A:A=H765),0,4))&amp;"""""""",))"),"")</f>
        <v/>
      </c>
      <c r="J765" s="237" t="str">
        <f>IF(ISBLANK(H765),,IFNA(VLOOKUP(H765, Circuits!A:W, 23, FALSE),))</f>
        <v/>
      </c>
      <c r="K765" s="238" t="str">
        <f t="shared" si="2"/>
        <v/>
      </c>
      <c r="L765" s="238" t="str">
        <f t="shared" si="3"/>
        <v/>
      </c>
      <c r="M765" s="238" t="str">
        <f t="shared" si="4"/>
        <v/>
      </c>
      <c r="N765" s="238" t="str">
        <f t="shared" si="5"/>
        <v/>
      </c>
      <c r="O765" s="238" t="str">
        <f t="shared" si="6"/>
        <v/>
      </c>
      <c r="P765" s="237" t="str">
        <f>IFERROR(__xludf.DUMMYFUNCTION("IF(ISBLANK(H765),,IF(IFNA(MATCH(H765,SPLIT(Circuits!$S$2,"";""&amp;CHAR(10)),0),0),FALSE,TRUE))"),"")</f>
        <v/>
      </c>
      <c r="Q765" s="237" t="str">
        <f>IF(ISBLANK(H765),,IFNA(VLOOKUP(H765, Circuits!A:U, 21, FALSE),))</f>
        <v/>
      </c>
      <c r="R765" s="238" t="str">
        <f t="shared" si="7"/>
        <v/>
      </c>
      <c r="S765" s="237" t="str">
        <f>IF(ISBLANK(H765),,IFNA(VLOOKUP(H765, Circuits!A:V, 22, FALSE),))</f>
        <v/>
      </c>
      <c r="T765" s="237" t="str">
        <f>IF(ISBLANK(H765),,IFNA(VLOOKUP(H765, Circuits!A:X, 24, FALSE),))</f>
        <v/>
      </c>
      <c r="V765" s="236" t="str">
        <f>IFERROR(__xludf.DUMMYFUNCTION("IF(ISBLANK(H765),,JOIN("","",H765:T765))"),"")</f>
        <v/>
      </c>
      <c r="W765" s="229" t="str">
        <f t="shared" si="1"/>
        <v/>
      </c>
    </row>
    <row r="766">
      <c r="H766" s="237"/>
      <c r="I766" s="237" t="str">
        <f>IFERROR(__xludf.DUMMYFUNCTION("IF(ISBLANK(H766),,IFNA(""""""""&amp;JOIN("","",INDEX(FILTER(A:D,A:A=H766),0,4))&amp;"""""""",))"),"")</f>
        <v/>
      </c>
      <c r="J766" s="237" t="str">
        <f>IF(ISBLANK(H766),,IFNA(VLOOKUP(H766, Circuits!A:W, 23, FALSE),))</f>
        <v/>
      </c>
      <c r="K766" s="238" t="str">
        <f t="shared" si="2"/>
        <v/>
      </c>
      <c r="L766" s="238" t="str">
        <f t="shared" si="3"/>
        <v/>
      </c>
      <c r="M766" s="238" t="str">
        <f t="shared" si="4"/>
        <v/>
      </c>
      <c r="N766" s="238" t="str">
        <f t="shared" si="5"/>
        <v/>
      </c>
      <c r="O766" s="238" t="str">
        <f t="shared" si="6"/>
        <v/>
      </c>
      <c r="P766" s="237" t="str">
        <f>IFERROR(__xludf.DUMMYFUNCTION("IF(ISBLANK(H766),,IF(IFNA(MATCH(H766,SPLIT(Circuits!$S$2,"";""&amp;CHAR(10)),0),0),FALSE,TRUE))"),"")</f>
        <v/>
      </c>
      <c r="Q766" s="237" t="str">
        <f>IF(ISBLANK(H766),,IFNA(VLOOKUP(H766, Circuits!A:U, 21, FALSE),))</f>
        <v/>
      </c>
      <c r="R766" s="238" t="str">
        <f t="shared" si="7"/>
        <v/>
      </c>
      <c r="S766" s="237" t="str">
        <f>IF(ISBLANK(H766),,IFNA(VLOOKUP(H766, Circuits!A:V, 22, FALSE),))</f>
        <v/>
      </c>
      <c r="T766" s="237" t="str">
        <f>IF(ISBLANK(H766),,IFNA(VLOOKUP(H766, Circuits!A:X, 24, FALSE),))</f>
        <v/>
      </c>
      <c r="V766" s="236" t="str">
        <f>IFERROR(__xludf.DUMMYFUNCTION("IF(ISBLANK(H766),,JOIN("","",H766:T766))"),"")</f>
        <v/>
      </c>
      <c r="W766" s="229" t="str">
        <f t="shared" si="1"/>
        <v/>
      </c>
    </row>
    <row r="767">
      <c r="H767" s="237"/>
      <c r="I767" s="237" t="str">
        <f>IFERROR(__xludf.DUMMYFUNCTION("IF(ISBLANK(H767),,IFNA(""""""""&amp;JOIN("","",INDEX(FILTER(A:D,A:A=H767),0,4))&amp;"""""""",))"),"")</f>
        <v/>
      </c>
      <c r="J767" s="237" t="str">
        <f>IF(ISBLANK(H767),,IFNA(VLOOKUP(H767, Circuits!A:W, 23, FALSE),))</f>
        <v/>
      </c>
      <c r="K767" s="238" t="str">
        <f t="shared" si="2"/>
        <v/>
      </c>
      <c r="L767" s="238" t="str">
        <f t="shared" si="3"/>
        <v/>
      </c>
      <c r="M767" s="238" t="str">
        <f t="shared" si="4"/>
        <v/>
      </c>
      <c r="N767" s="238" t="str">
        <f t="shared" si="5"/>
        <v/>
      </c>
      <c r="O767" s="238" t="str">
        <f t="shared" si="6"/>
        <v/>
      </c>
      <c r="P767" s="237" t="str">
        <f>IFERROR(__xludf.DUMMYFUNCTION("IF(ISBLANK(H767),,IF(IFNA(MATCH(H767,SPLIT(Circuits!$S$2,"";""&amp;CHAR(10)),0),0),FALSE,TRUE))"),"")</f>
        <v/>
      </c>
      <c r="Q767" s="237" t="str">
        <f>IF(ISBLANK(H767),,IFNA(VLOOKUP(H767, Circuits!A:U, 21, FALSE),))</f>
        <v/>
      </c>
      <c r="R767" s="238" t="str">
        <f t="shared" si="7"/>
        <v/>
      </c>
      <c r="S767" s="237" t="str">
        <f>IF(ISBLANK(H767),,IFNA(VLOOKUP(H767, Circuits!A:V, 22, FALSE),))</f>
        <v/>
      </c>
      <c r="T767" s="237" t="str">
        <f>IF(ISBLANK(H767),,IFNA(VLOOKUP(H767, Circuits!A:X, 24, FALSE),))</f>
        <v/>
      </c>
      <c r="V767" s="236" t="str">
        <f>IFERROR(__xludf.DUMMYFUNCTION("IF(ISBLANK(H767),,JOIN("","",H767:T767))"),"")</f>
        <v/>
      </c>
      <c r="W767" s="229" t="str">
        <f t="shared" si="1"/>
        <v/>
      </c>
    </row>
    <row r="768">
      <c r="H768" s="237"/>
      <c r="I768" s="237" t="str">
        <f>IFERROR(__xludf.DUMMYFUNCTION("IF(ISBLANK(H768),,IFNA(""""""""&amp;JOIN("","",INDEX(FILTER(A:D,A:A=H768),0,4))&amp;"""""""",))"),"")</f>
        <v/>
      </c>
      <c r="J768" s="237" t="str">
        <f>IF(ISBLANK(H768),,IFNA(VLOOKUP(H768, Circuits!A:W, 23, FALSE),))</f>
        <v/>
      </c>
      <c r="K768" s="238" t="str">
        <f t="shared" si="2"/>
        <v/>
      </c>
      <c r="L768" s="238" t="str">
        <f t="shared" si="3"/>
        <v/>
      </c>
      <c r="M768" s="238" t="str">
        <f t="shared" si="4"/>
        <v/>
      </c>
      <c r="N768" s="238" t="str">
        <f t="shared" si="5"/>
        <v/>
      </c>
      <c r="O768" s="238" t="str">
        <f t="shared" si="6"/>
        <v/>
      </c>
      <c r="P768" s="237" t="str">
        <f>IFERROR(__xludf.DUMMYFUNCTION("IF(ISBLANK(H768),,IF(IFNA(MATCH(H768,SPLIT(Circuits!$S$2,"";""&amp;CHAR(10)),0),0),FALSE,TRUE))"),"")</f>
        <v/>
      </c>
      <c r="Q768" s="237" t="str">
        <f>IF(ISBLANK(H768),,IFNA(VLOOKUP(H768, Circuits!A:U, 21, FALSE),))</f>
        <v/>
      </c>
      <c r="R768" s="238" t="str">
        <f t="shared" si="7"/>
        <v/>
      </c>
      <c r="S768" s="237" t="str">
        <f>IF(ISBLANK(H768),,IFNA(VLOOKUP(H768, Circuits!A:V, 22, FALSE),))</f>
        <v/>
      </c>
      <c r="T768" s="237" t="str">
        <f>IF(ISBLANK(H768),,IFNA(VLOOKUP(H768, Circuits!A:X, 24, FALSE),))</f>
        <v/>
      </c>
      <c r="V768" s="236" t="str">
        <f>IFERROR(__xludf.DUMMYFUNCTION("IF(ISBLANK(H768),,JOIN("","",H768:T768))"),"")</f>
        <v/>
      </c>
      <c r="W768" s="229" t="str">
        <f t="shared" si="1"/>
        <v/>
      </c>
    </row>
    <row r="769">
      <c r="H769" s="237"/>
      <c r="I769" s="237" t="str">
        <f>IFERROR(__xludf.DUMMYFUNCTION("IF(ISBLANK(H769),,IFNA(""""""""&amp;JOIN("","",INDEX(FILTER(A:D,A:A=H769),0,4))&amp;"""""""",))"),"")</f>
        <v/>
      </c>
      <c r="J769" s="237" t="str">
        <f>IF(ISBLANK(H769),,IFNA(VLOOKUP(H769, Circuits!A:W, 23, FALSE),))</f>
        <v/>
      </c>
      <c r="K769" s="238" t="str">
        <f t="shared" si="2"/>
        <v/>
      </c>
      <c r="L769" s="238" t="str">
        <f t="shared" si="3"/>
        <v/>
      </c>
      <c r="M769" s="238" t="str">
        <f t="shared" si="4"/>
        <v/>
      </c>
      <c r="N769" s="238" t="str">
        <f t="shared" si="5"/>
        <v/>
      </c>
      <c r="O769" s="238" t="str">
        <f t="shared" si="6"/>
        <v/>
      </c>
      <c r="P769" s="237" t="str">
        <f>IFERROR(__xludf.DUMMYFUNCTION("IF(ISBLANK(H769),,IF(IFNA(MATCH(H769,SPLIT(Circuits!$S$2,"";""&amp;CHAR(10)),0),0),FALSE,TRUE))"),"")</f>
        <v/>
      </c>
      <c r="Q769" s="237" t="str">
        <f>IF(ISBLANK(H769),,IFNA(VLOOKUP(H769, Circuits!A:U, 21, FALSE),))</f>
        <v/>
      </c>
      <c r="R769" s="238" t="str">
        <f t="shared" si="7"/>
        <v/>
      </c>
      <c r="S769" s="237" t="str">
        <f>IF(ISBLANK(H769),,IFNA(VLOOKUP(H769, Circuits!A:V, 22, FALSE),))</f>
        <v/>
      </c>
      <c r="T769" s="237" t="str">
        <f>IF(ISBLANK(H769),,IFNA(VLOOKUP(H769, Circuits!A:X, 24, FALSE),))</f>
        <v/>
      </c>
      <c r="V769" s="236" t="str">
        <f>IFERROR(__xludf.DUMMYFUNCTION("IF(ISBLANK(H769),,JOIN("","",H769:T769))"),"")</f>
        <v/>
      </c>
      <c r="W769" s="229" t="str">
        <f t="shared" si="1"/>
        <v/>
      </c>
    </row>
    <row r="770">
      <c r="H770" s="237"/>
      <c r="I770" s="237" t="str">
        <f>IFERROR(__xludf.DUMMYFUNCTION("IF(ISBLANK(H770),,IFNA(""""""""&amp;JOIN("","",INDEX(FILTER(A:D,A:A=H770),0,4))&amp;"""""""",))"),"")</f>
        <v/>
      </c>
      <c r="J770" s="237" t="str">
        <f>IF(ISBLANK(H770),,IFNA(VLOOKUP(H770, Circuits!A:W, 23, FALSE),))</f>
        <v/>
      </c>
      <c r="K770" s="238" t="str">
        <f t="shared" si="2"/>
        <v/>
      </c>
      <c r="L770" s="238" t="str">
        <f t="shared" si="3"/>
        <v/>
      </c>
      <c r="M770" s="238" t="str">
        <f t="shared" si="4"/>
        <v/>
      </c>
      <c r="N770" s="238" t="str">
        <f t="shared" si="5"/>
        <v/>
      </c>
      <c r="O770" s="238" t="str">
        <f t="shared" si="6"/>
        <v/>
      </c>
      <c r="P770" s="237" t="str">
        <f>IFERROR(__xludf.DUMMYFUNCTION("IF(ISBLANK(H770),,IF(IFNA(MATCH(H770,SPLIT(Circuits!$S$2,"";""&amp;CHAR(10)),0),0),FALSE,TRUE))"),"")</f>
        <v/>
      </c>
      <c r="Q770" s="237" t="str">
        <f>IF(ISBLANK(H770),,IFNA(VLOOKUP(H770, Circuits!A:U, 21, FALSE),))</f>
        <v/>
      </c>
      <c r="R770" s="238" t="str">
        <f t="shared" si="7"/>
        <v/>
      </c>
      <c r="S770" s="237" t="str">
        <f>IF(ISBLANK(H770),,IFNA(VLOOKUP(H770, Circuits!A:V, 22, FALSE),))</f>
        <v/>
      </c>
      <c r="T770" s="237" t="str">
        <f>IF(ISBLANK(H770),,IFNA(VLOOKUP(H770, Circuits!A:X, 24, FALSE),))</f>
        <v/>
      </c>
      <c r="V770" s="236" t="str">
        <f>IFERROR(__xludf.DUMMYFUNCTION("IF(ISBLANK(H770),,JOIN("","",H770:T770))"),"")</f>
        <v/>
      </c>
      <c r="W770" s="229" t="str">
        <f t="shared" si="1"/>
        <v/>
      </c>
    </row>
    <row r="771">
      <c r="H771" s="237"/>
      <c r="I771" s="237" t="str">
        <f>IFERROR(__xludf.DUMMYFUNCTION("IF(ISBLANK(H771),,IFNA(""""""""&amp;JOIN("","",INDEX(FILTER(A:D,A:A=H771),0,4))&amp;"""""""",))"),"")</f>
        <v/>
      </c>
      <c r="J771" s="237" t="str">
        <f>IF(ISBLANK(H771),,IFNA(VLOOKUP(H771, Circuits!A:W, 23, FALSE),))</f>
        <v/>
      </c>
      <c r="K771" s="238" t="str">
        <f t="shared" si="2"/>
        <v/>
      </c>
      <c r="L771" s="238" t="str">
        <f t="shared" si="3"/>
        <v/>
      </c>
      <c r="M771" s="238" t="str">
        <f t="shared" si="4"/>
        <v/>
      </c>
      <c r="N771" s="238" t="str">
        <f t="shared" si="5"/>
        <v/>
      </c>
      <c r="O771" s="238" t="str">
        <f t="shared" si="6"/>
        <v/>
      </c>
      <c r="P771" s="237" t="str">
        <f>IFERROR(__xludf.DUMMYFUNCTION("IF(ISBLANK(H771),,IF(IFNA(MATCH(H771,SPLIT(Circuits!$S$2,"";""&amp;CHAR(10)),0),0),FALSE,TRUE))"),"")</f>
        <v/>
      </c>
      <c r="Q771" s="237" t="str">
        <f>IF(ISBLANK(H771),,IFNA(VLOOKUP(H771, Circuits!A:U, 21, FALSE),))</f>
        <v/>
      </c>
      <c r="R771" s="238" t="str">
        <f t="shared" si="7"/>
        <v/>
      </c>
      <c r="S771" s="237" t="str">
        <f>IF(ISBLANK(H771),,IFNA(VLOOKUP(H771, Circuits!A:V, 22, FALSE),))</f>
        <v/>
      </c>
      <c r="T771" s="237" t="str">
        <f>IF(ISBLANK(H771),,IFNA(VLOOKUP(H771, Circuits!A:X, 24, FALSE),))</f>
        <v/>
      </c>
      <c r="V771" s="236" t="str">
        <f>IFERROR(__xludf.DUMMYFUNCTION("IF(ISBLANK(H771),,JOIN("","",H771:T771))"),"")</f>
        <v/>
      </c>
      <c r="W771" s="229" t="str">
        <f t="shared" si="1"/>
        <v/>
      </c>
    </row>
    <row r="772">
      <c r="H772" s="237"/>
      <c r="I772" s="237" t="str">
        <f>IFERROR(__xludf.DUMMYFUNCTION("IF(ISBLANK(H772),,IFNA(""""""""&amp;JOIN("","",INDEX(FILTER(A:D,A:A=H772),0,4))&amp;"""""""",))"),"")</f>
        <v/>
      </c>
      <c r="J772" s="237" t="str">
        <f>IF(ISBLANK(H772),,IFNA(VLOOKUP(H772, Circuits!A:W, 23, FALSE),))</f>
        <v/>
      </c>
      <c r="K772" s="238" t="str">
        <f t="shared" si="2"/>
        <v/>
      </c>
      <c r="L772" s="238" t="str">
        <f t="shared" si="3"/>
        <v/>
      </c>
      <c r="M772" s="238" t="str">
        <f t="shared" si="4"/>
        <v/>
      </c>
      <c r="N772" s="238" t="str">
        <f t="shared" si="5"/>
        <v/>
      </c>
      <c r="O772" s="238" t="str">
        <f t="shared" si="6"/>
        <v/>
      </c>
      <c r="P772" s="237" t="str">
        <f>IFERROR(__xludf.DUMMYFUNCTION("IF(ISBLANK(H772),,IF(IFNA(MATCH(H772,SPLIT(Circuits!$S$2,"";""&amp;CHAR(10)),0),0),FALSE,TRUE))"),"")</f>
        <v/>
      </c>
      <c r="Q772" s="237" t="str">
        <f>IF(ISBLANK(H772),,IFNA(VLOOKUP(H772, Circuits!A:U, 21, FALSE),))</f>
        <v/>
      </c>
      <c r="R772" s="238" t="str">
        <f t="shared" si="7"/>
        <v/>
      </c>
      <c r="S772" s="237" t="str">
        <f>IF(ISBLANK(H772),,IFNA(VLOOKUP(H772, Circuits!A:V, 22, FALSE),))</f>
        <v/>
      </c>
      <c r="T772" s="237" t="str">
        <f>IF(ISBLANK(H772),,IFNA(VLOOKUP(H772, Circuits!A:X, 24, FALSE),))</f>
        <v/>
      </c>
      <c r="V772" s="236" t="str">
        <f>IFERROR(__xludf.DUMMYFUNCTION("IF(ISBLANK(H772),,JOIN("","",H772:T772))"),"")</f>
        <v/>
      </c>
      <c r="W772" s="229" t="str">
        <f t="shared" si="1"/>
        <v/>
      </c>
    </row>
    <row r="773">
      <c r="H773" s="237"/>
      <c r="I773" s="237" t="str">
        <f>IFERROR(__xludf.DUMMYFUNCTION("IF(ISBLANK(H773),,IFNA(""""""""&amp;JOIN("","",INDEX(FILTER(A:D,A:A=H773),0,4))&amp;"""""""",))"),"")</f>
        <v/>
      </c>
      <c r="J773" s="237" t="str">
        <f>IF(ISBLANK(H773),,IFNA(VLOOKUP(H773, Circuits!A:W, 23, FALSE),))</f>
        <v/>
      </c>
      <c r="K773" s="238" t="str">
        <f t="shared" si="2"/>
        <v/>
      </c>
      <c r="L773" s="238" t="str">
        <f t="shared" si="3"/>
        <v/>
      </c>
      <c r="M773" s="238" t="str">
        <f t="shared" si="4"/>
        <v/>
      </c>
      <c r="N773" s="238" t="str">
        <f t="shared" si="5"/>
        <v/>
      </c>
      <c r="O773" s="238" t="str">
        <f t="shared" si="6"/>
        <v/>
      </c>
      <c r="P773" s="237" t="str">
        <f>IFERROR(__xludf.DUMMYFUNCTION("IF(ISBLANK(H773),,IF(IFNA(MATCH(H773,SPLIT(Circuits!$S$2,"";""&amp;CHAR(10)),0),0),FALSE,TRUE))"),"")</f>
        <v/>
      </c>
      <c r="Q773" s="237" t="str">
        <f>IF(ISBLANK(H773),,IFNA(VLOOKUP(H773, Circuits!A:U, 21, FALSE),))</f>
        <v/>
      </c>
      <c r="R773" s="238" t="str">
        <f t="shared" si="7"/>
        <v/>
      </c>
      <c r="S773" s="237" t="str">
        <f>IF(ISBLANK(H773),,IFNA(VLOOKUP(H773, Circuits!A:V, 22, FALSE),))</f>
        <v/>
      </c>
      <c r="T773" s="237" t="str">
        <f>IF(ISBLANK(H773),,IFNA(VLOOKUP(H773, Circuits!A:X, 24, FALSE),))</f>
        <v/>
      </c>
      <c r="V773" s="236" t="str">
        <f>IFERROR(__xludf.DUMMYFUNCTION("IF(ISBLANK(H773),,JOIN("","",H773:T773))"),"")</f>
        <v/>
      </c>
      <c r="W773" s="229" t="str">
        <f t="shared" si="1"/>
        <v/>
      </c>
    </row>
    <row r="774">
      <c r="H774" s="237"/>
      <c r="I774" s="237" t="str">
        <f>IFERROR(__xludf.DUMMYFUNCTION("IF(ISBLANK(H774),,IFNA(""""""""&amp;JOIN("","",INDEX(FILTER(A:D,A:A=H774),0,4))&amp;"""""""",))"),"")</f>
        <v/>
      </c>
      <c r="J774" s="237" t="str">
        <f>IF(ISBLANK(H774),,IFNA(VLOOKUP(H774, Circuits!A:W, 23, FALSE),))</f>
        <v/>
      </c>
      <c r="K774" s="238" t="str">
        <f t="shared" si="2"/>
        <v/>
      </c>
      <c r="L774" s="238" t="str">
        <f t="shared" si="3"/>
        <v/>
      </c>
      <c r="M774" s="238" t="str">
        <f t="shared" si="4"/>
        <v/>
      </c>
      <c r="N774" s="238" t="str">
        <f t="shared" si="5"/>
        <v/>
      </c>
      <c r="O774" s="238" t="str">
        <f t="shared" si="6"/>
        <v/>
      </c>
      <c r="P774" s="237" t="str">
        <f>IFERROR(__xludf.DUMMYFUNCTION("IF(ISBLANK(H774),,IF(IFNA(MATCH(H774,SPLIT(Circuits!$S$2,"";""&amp;CHAR(10)),0),0),FALSE,TRUE))"),"")</f>
        <v/>
      </c>
      <c r="Q774" s="237" t="str">
        <f>IF(ISBLANK(H774),,IFNA(VLOOKUP(H774, Circuits!A:U, 21, FALSE),))</f>
        <v/>
      </c>
      <c r="R774" s="238" t="str">
        <f t="shared" si="7"/>
        <v/>
      </c>
      <c r="S774" s="237" t="str">
        <f>IF(ISBLANK(H774),,IFNA(VLOOKUP(H774, Circuits!A:V, 22, FALSE),))</f>
        <v/>
      </c>
      <c r="T774" s="237" t="str">
        <f>IF(ISBLANK(H774),,IFNA(VLOOKUP(H774, Circuits!A:X, 24, FALSE),))</f>
        <v/>
      </c>
      <c r="V774" s="236" t="str">
        <f>IFERROR(__xludf.DUMMYFUNCTION("IF(ISBLANK(H774),,JOIN("","",H774:T774))"),"")</f>
        <v/>
      </c>
      <c r="W774" s="229" t="str">
        <f t="shared" si="1"/>
        <v/>
      </c>
    </row>
    <row r="775">
      <c r="H775" s="237"/>
      <c r="I775" s="237" t="str">
        <f>IFERROR(__xludf.DUMMYFUNCTION("IF(ISBLANK(H775),,IFNA(""""""""&amp;JOIN("","",INDEX(FILTER(A:D,A:A=H775),0,4))&amp;"""""""",))"),"")</f>
        <v/>
      </c>
      <c r="J775" s="237" t="str">
        <f>IF(ISBLANK(H775),,IFNA(VLOOKUP(H775, Circuits!A:W, 23, FALSE),))</f>
        <v/>
      </c>
      <c r="K775" s="238" t="str">
        <f t="shared" si="2"/>
        <v/>
      </c>
      <c r="L775" s="238" t="str">
        <f t="shared" si="3"/>
        <v/>
      </c>
      <c r="M775" s="238" t="str">
        <f t="shared" si="4"/>
        <v/>
      </c>
      <c r="N775" s="238" t="str">
        <f t="shared" si="5"/>
        <v/>
      </c>
      <c r="O775" s="238" t="str">
        <f t="shared" si="6"/>
        <v/>
      </c>
      <c r="P775" s="237" t="str">
        <f>IFERROR(__xludf.DUMMYFUNCTION("IF(ISBLANK(H775),,IF(IFNA(MATCH(H775,SPLIT(Circuits!$S$2,"";""&amp;CHAR(10)),0),0),FALSE,TRUE))"),"")</f>
        <v/>
      </c>
      <c r="Q775" s="237" t="str">
        <f>IF(ISBLANK(H775),,IFNA(VLOOKUP(H775, Circuits!A:U, 21, FALSE),))</f>
        <v/>
      </c>
      <c r="R775" s="238" t="str">
        <f t="shared" si="7"/>
        <v/>
      </c>
      <c r="S775" s="237" t="str">
        <f>IF(ISBLANK(H775),,IFNA(VLOOKUP(H775, Circuits!A:V, 22, FALSE),))</f>
        <v/>
      </c>
      <c r="T775" s="237" t="str">
        <f>IF(ISBLANK(H775),,IFNA(VLOOKUP(H775, Circuits!A:X, 24, FALSE),))</f>
        <v/>
      </c>
      <c r="V775" s="236" t="str">
        <f>IFERROR(__xludf.DUMMYFUNCTION("IF(ISBLANK(H775),,JOIN("","",H775:T775))"),"")</f>
        <v/>
      </c>
      <c r="W775" s="229" t="str">
        <f t="shared" si="1"/>
        <v/>
      </c>
    </row>
    <row r="776">
      <c r="H776" s="237"/>
      <c r="I776" s="237" t="str">
        <f>IFERROR(__xludf.DUMMYFUNCTION("IF(ISBLANK(H776),,IFNA(""""""""&amp;JOIN("","",INDEX(FILTER(A:D,A:A=H776),0,4))&amp;"""""""",))"),"")</f>
        <v/>
      </c>
      <c r="J776" s="237" t="str">
        <f>IF(ISBLANK(H776),,IFNA(VLOOKUP(H776, Circuits!A:W, 23, FALSE),))</f>
        <v/>
      </c>
      <c r="K776" s="238" t="str">
        <f t="shared" si="2"/>
        <v/>
      </c>
      <c r="L776" s="238" t="str">
        <f t="shared" si="3"/>
        <v/>
      </c>
      <c r="M776" s="238" t="str">
        <f t="shared" si="4"/>
        <v/>
      </c>
      <c r="N776" s="238" t="str">
        <f t="shared" si="5"/>
        <v/>
      </c>
      <c r="O776" s="238" t="str">
        <f t="shared" si="6"/>
        <v/>
      </c>
      <c r="P776" s="237" t="str">
        <f>IFERROR(__xludf.DUMMYFUNCTION("IF(ISBLANK(H776),,IF(IFNA(MATCH(H776,SPLIT(Circuits!$S$2,"";""&amp;CHAR(10)),0),0),FALSE,TRUE))"),"")</f>
        <v/>
      </c>
      <c r="Q776" s="237" t="str">
        <f>IF(ISBLANK(H776),,IFNA(VLOOKUP(H776, Circuits!A:U, 21, FALSE),))</f>
        <v/>
      </c>
      <c r="R776" s="238" t="str">
        <f t="shared" si="7"/>
        <v/>
      </c>
      <c r="S776" s="237" t="str">
        <f>IF(ISBLANK(H776),,IFNA(VLOOKUP(H776, Circuits!A:V, 22, FALSE),))</f>
        <v/>
      </c>
      <c r="T776" s="237" t="str">
        <f>IF(ISBLANK(H776),,IFNA(VLOOKUP(H776, Circuits!A:X, 24, FALSE),))</f>
        <v/>
      </c>
      <c r="V776" s="236" t="str">
        <f>IFERROR(__xludf.DUMMYFUNCTION("IF(ISBLANK(H776),,JOIN("","",H776:T776))"),"")</f>
        <v/>
      </c>
      <c r="W776" s="229" t="str">
        <f t="shared" si="1"/>
        <v/>
      </c>
    </row>
    <row r="777">
      <c r="H777" s="237"/>
      <c r="I777" s="237" t="str">
        <f>IFERROR(__xludf.DUMMYFUNCTION("IF(ISBLANK(H777),,IFNA(""""""""&amp;JOIN("","",INDEX(FILTER(A:D,A:A=H777),0,4))&amp;"""""""",))"),"")</f>
        <v/>
      </c>
      <c r="J777" s="237" t="str">
        <f>IF(ISBLANK(H777),,IFNA(VLOOKUP(H777, Circuits!A:W, 23, FALSE),))</f>
        <v/>
      </c>
      <c r="K777" s="238" t="str">
        <f t="shared" si="2"/>
        <v/>
      </c>
      <c r="L777" s="238" t="str">
        <f t="shared" si="3"/>
        <v/>
      </c>
      <c r="M777" s="238" t="str">
        <f t="shared" si="4"/>
        <v/>
      </c>
      <c r="N777" s="238" t="str">
        <f t="shared" si="5"/>
        <v/>
      </c>
      <c r="O777" s="238" t="str">
        <f t="shared" si="6"/>
        <v/>
      </c>
      <c r="P777" s="237" t="str">
        <f>IFERROR(__xludf.DUMMYFUNCTION("IF(ISBLANK(H777),,IF(IFNA(MATCH(H777,SPLIT(Circuits!$S$2,"";""&amp;CHAR(10)),0),0),FALSE,TRUE))"),"")</f>
        <v/>
      </c>
      <c r="Q777" s="237" t="str">
        <f>IF(ISBLANK(H777),,IFNA(VLOOKUP(H777, Circuits!A:U, 21, FALSE),))</f>
        <v/>
      </c>
      <c r="R777" s="238" t="str">
        <f t="shared" si="7"/>
        <v/>
      </c>
      <c r="S777" s="237" t="str">
        <f>IF(ISBLANK(H777),,IFNA(VLOOKUP(H777, Circuits!A:V, 22, FALSE),))</f>
        <v/>
      </c>
      <c r="T777" s="237" t="str">
        <f>IF(ISBLANK(H777),,IFNA(VLOOKUP(H777, Circuits!A:X, 24, FALSE),))</f>
        <v/>
      </c>
      <c r="V777" s="236" t="str">
        <f>IFERROR(__xludf.DUMMYFUNCTION("IF(ISBLANK(H777),,JOIN("","",H777:T777))"),"")</f>
        <v/>
      </c>
      <c r="W777" s="229" t="str">
        <f t="shared" si="1"/>
        <v/>
      </c>
    </row>
    <row r="778">
      <c r="H778" s="237"/>
      <c r="I778" s="237" t="str">
        <f>IFERROR(__xludf.DUMMYFUNCTION("IF(ISBLANK(H778),,IFNA(""""""""&amp;JOIN("","",INDEX(FILTER(A:D,A:A=H778),0,4))&amp;"""""""",))"),"")</f>
        <v/>
      </c>
      <c r="J778" s="237" t="str">
        <f>IF(ISBLANK(H778),,IFNA(VLOOKUP(H778, Circuits!A:W, 23, FALSE),))</f>
        <v/>
      </c>
      <c r="K778" s="238" t="str">
        <f t="shared" si="2"/>
        <v/>
      </c>
      <c r="L778" s="238" t="str">
        <f t="shared" si="3"/>
        <v/>
      </c>
      <c r="M778" s="238" t="str">
        <f t="shared" si="4"/>
        <v/>
      </c>
      <c r="N778" s="238" t="str">
        <f t="shared" si="5"/>
        <v/>
      </c>
      <c r="O778" s="238" t="str">
        <f t="shared" si="6"/>
        <v/>
      </c>
      <c r="P778" s="237" t="str">
        <f>IFERROR(__xludf.DUMMYFUNCTION("IF(ISBLANK(H778),,IF(IFNA(MATCH(H778,SPLIT(Circuits!$S$2,"";""&amp;CHAR(10)),0),0),FALSE,TRUE))"),"")</f>
        <v/>
      </c>
      <c r="Q778" s="237" t="str">
        <f>IF(ISBLANK(H778),,IFNA(VLOOKUP(H778, Circuits!A:U, 21, FALSE),))</f>
        <v/>
      </c>
      <c r="R778" s="238" t="str">
        <f t="shared" si="7"/>
        <v/>
      </c>
      <c r="S778" s="237" t="str">
        <f>IF(ISBLANK(H778),,IFNA(VLOOKUP(H778, Circuits!A:V, 22, FALSE),))</f>
        <v/>
      </c>
      <c r="T778" s="237" t="str">
        <f>IF(ISBLANK(H778),,IFNA(VLOOKUP(H778, Circuits!A:X, 24, FALSE),))</f>
        <v/>
      </c>
      <c r="V778" s="236" t="str">
        <f>IFERROR(__xludf.DUMMYFUNCTION("IF(ISBLANK(H778),,JOIN("","",H778:T778))"),"")</f>
        <v/>
      </c>
      <c r="W778" s="229" t="str">
        <f t="shared" si="1"/>
        <v/>
      </c>
    </row>
    <row r="779">
      <c r="H779" s="237"/>
      <c r="I779" s="237" t="str">
        <f>IFERROR(__xludf.DUMMYFUNCTION("IF(ISBLANK(H779),,IFNA(""""""""&amp;JOIN("","",INDEX(FILTER(A:D,A:A=H779),0,4))&amp;"""""""",))"),"")</f>
        <v/>
      </c>
      <c r="J779" s="237" t="str">
        <f>IF(ISBLANK(H779),,IFNA(VLOOKUP(H779, Circuits!A:W, 23, FALSE),))</f>
        <v/>
      </c>
      <c r="K779" s="238" t="str">
        <f t="shared" si="2"/>
        <v/>
      </c>
      <c r="L779" s="238" t="str">
        <f t="shared" si="3"/>
        <v/>
      </c>
      <c r="M779" s="238" t="str">
        <f t="shared" si="4"/>
        <v/>
      </c>
      <c r="N779" s="238" t="str">
        <f t="shared" si="5"/>
        <v/>
      </c>
      <c r="O779" s="238" t="str">
        <f t="shared" si="6"/>
        <v/>
      </c>
      <c r="P779" s="237" t="str">
        <f>IFERROR(__xludf.DUMMYFUNCTION("IF(ISBLANK(H779),,IF(IFNA(MATCH(H779,SPLIT(Circuits!$S$2,"";""&amp;CHAR(10)),0),0),FALSE,TRUE))"),"")</f>
        <v/>
      </c>
      <c r="Q779" s="237" t="str">
        <f>IF(ISBLANK(H779),,IFNA(VLOOKUP(H779, Circuits!A:U, 21, FALSE),))</f>
        <v/>
      </c>
      <c r="R779" s="238" t="str">
        <f t="shared" si="7"/>
        <v/>
      </c>
      <c r="S779" s="237" t="str">
        <f>IF(ISBLANK(H779),,IFNA(VLOOKUP(H779, Circuits!A:V, 22, FALSE),))</f>
        <v/>
      </c>
      <c r="T779" s="237" t="str">
        <f>IF(ISBLANK(H779),,IFNA(VLOOKUP(H779, Circuits!A:X, 24, FALSE),))</f>
        <v/>
      </c>
      <c r="V779" s="236" t="str">
        <f>IFERROR(__xludf.DUMMYFUNCTION("IF(ISBLANK(H779),,JOIN("","",H779:T779))"),"")</f>
        <v/>
      </c>
      <c r="W779" s="229" t="str">
        <f t="shared" si="1"/>
        <v/>
      </c>
    </row>
    <row r="780">
      <c r="H780" s="237"/>
      <c r="I780" s="237" t="str">
        <f>IFERROR(__xludf.DUMMYFUNCTION("IF(ISBLANK(H780),,IFNA(""""""""&amp;JOIN("","",INDEX(FILTER(A:D,A:A=H780),0,4))&amp;"""""""",))"),"")</f>
        <v/>
      </c>
      <c r="J780" s="237" t="str">
        <f>IF(ISBLANK(H780),,IFNA(VLOOKUP(H780, Circuits!A:W, 23, FALSE),))</f>
        <v/>
      </c>
      <c r="K780" s="238" t="str">
        <f t="shared" si="2"/>
        <v/>
      </c>
      <c r="L780" s="238" t="str">
        <f t="shared" si="3"/>
        <v/>
      </c>
      <c r="M780" s="238" t="str">
        <f t="shared" si="4"/>
        <v/>
      </c>
      <c r="N780" s="238" t="str">
        <f t="shared" si="5"/>
        <v/>
      </c>
      <c r="O780" s="238" t="str">
        <f t="shared" si="6"/>
        <v/>
      </c>
      <c r="P780" s="237" t="str">
        <f>IFERROR(__xludf.DUMMYFUNCTION("IF(ISBLANK(H780),,IF(IFNA(MATCH(H780,SPLIT(Circuits!$S$2,"";""&amp;CHAR(10)),0),0),FALSE,TRUE))"),"")</f>
        <v/>
      </c>
      <c r="Q780" s="237" t="str">
        <f>IF(ISBLANK(H780),,IFNA(VLOOKUP(H780, Circuits!A:U, 21, FALSE),))</f>
        <v/>
      </c>
      <c r="R780" s="238" t="str">
        <f t="shared" si="7"/>
        <v/>
      </c>
      <c r="S780" s="237" t="str">
        <f>IF(ISBLANK(H780),,IFNA(VLOOKUP(H780, Circuits!A:V, 22, FALSE),))</f>
        <v/>
      </c>
      <c r="T780" s="237" t="str">
        <f>IF(ISBLANK(H780),,IFNA(VLOOKUP(H780, Circuits!A:X, 24, FALSE),))</f>
        <v/>
      </c>
      <c r="V780" s="236" t="str">
        <f>IFERROR(__xludf.DUMMYFUNCTION("IF(ISBLANK(H780),,JOIN("","",H780:T780))"),"")</f>
        <v/>
      </c>
      <c r="W780" s="229" t="str">
        <f t="shared" si="1"/>
        <v/>
      </c>
    </row>
    <row r="781">
      <c r="H781" s="237"/>
      <c r="I781" s="237" t="str">
        <f>IFERROR(__xludf.DUMMYFUNCTION("IF(ISBLANK(H781),,IFNA(""""""""&amp;JOIN("","",INDEX(FILTER(A:D,A:A=H781),0,4))&amp;"""""""",))"),"")</f>
        <v/>
      </c>
      <c r="J781" s="237" t="str">
        <f>IF(ISBLANK(H781),,IFNA(VLOOKUP(H781, Circuits!A:W, 23, FALSE),))</f>
        <v/>
      </c>
      <c r="K781" s="238" t="str">
        <f t="shared" si="2"/>
        <v/>
      </c>
      <c r="L781" s="238" t="str">
        <f t="shared" si="3"/>
        <v/>
      </c>
      <c r="M781" s="238" t="str">
        <f t="shared" si="4"/>
        <v/>
      </c>
      <c r="N781" s="238" t="str">
        <f t="shared" si="5"/>
        <v/>
      </c>
      <c r="O781" s="238" t="str">
        <f t="shared" si="6"/>
        <v/>
      </c>
      <c r="P781" s="237" t="str">
        <f>IFERROR(__xludf.DUMMYFUNCTION("IF(ISBLANK(H781),,IF(IFNA(MATCH(H781,SPLIT(Circuits!$S$2,"";""&amp;CHAR(10)),0),0),FALSE,TRUE))"),"")</f>
        <v/>
      </c>
      <c r="Q781" s="237" t="str">
        <f>IF(ISBLANK(H781),,IFNA(VLOOKUP(H781, Circuits!A:U, 21, FALSE),))</f>
        <v/>
      </c>
      <c r="R781" s="238" t="str">
        <f t="shared" si="7"/>
        <v/>
      </c>
      <c r="S781" s="237" t="str">
        <f>IF(ISBLANK(H781),,IFNA(VLOOKUP(H781, Circuits!A:V, 22, FALSE),))</f>
        <v/>
      </c>
      <c r="T781" s="237" t="str">
        <f>IF(ISBLANK(H781),,IFNA(VLOOKUP(H781, Circuits!A:X, 24, FALSE),))</f>
        <v/>
      </c>
      <c r="V781" s="236" t="str">
        <f>IFERROR(__xludf.DUMMYFUNCTION("IF(ISBLANK(H781),,JOIN("","",H781:T781))"),"")</f>
        <v/>
      </c>
      <c r="W781" s="229" t="str">
        <f t="shared" si="1"/>
        <v/>
      </c>
    </row>
    <row r="782">
      <c r="H782" s="237"/>
      <c r="I782" s="237" t="str">
        <f>IFERROR(__xludf.DUMMYFUNCTION("IF(ISBLANK(H782),,IFNA(""""""""&amp;JOIN("","",INDEX(FILTER(A:D,A:A=H782),0,4))&amp;"""""""",))"),"")</f>
        <v/>
      </c>
      <c r="J782" s="237" t="str">
        <f>IF(ISBLANK(H782),,IFNA(VLOOKUP(H782, Circuits!A:W, 23, FALSE),))</f>
        <v/>
      </c>
      <c r="K782" s="238" t="str">
        <f t="shared" si="2"/>
        <v/>
      </c>
      <c r="L782" s="238" t="str">
        <f t="shared" si="3"/>
        <v/>
      </c>
      <c r="M782" s="238" t="str">
        <f t="shared" si="4"/>
        <v/>
      </c>
      <c r="N782" s="238" t="str">
        <f t="shared" si="5"/>
        <v/>
      </c>
      <c r="O782" s="238" t="str">
        <f t="shared" si="6"/>
        <v/>
      </c>
      <c r="P782" s="237" t="str">
        <f>IFERROR(__xludf.DUMMYFUNCTION("IF(ISBLANK(H782),,IF(IFNA(MATCH(H782,SPLIT(Circuits!$S$2,"";""&amp;CHAR(10)),0),0),FALSE,TRUE))"),"")</f>
        <v/>
      </c>
      <c r="Q782" s="237" t="str">
        <f>IF(ISBLANK(H782),,IFNA(VLOOKUP(H782, Circuits!A:U, 21, FALSE),))</f>
        <v/>
      </c>
      <c r="R782" s="238" t="str">
        <f t="shared" si="7"/>
        <v/>
      </c>
      <c r="S782" s="237" t="str">
        <f>IF(ISBLANK(H782),,IFNA(VLOOKUP(H782, Circuits!A:V, 22, FALSE),))</f>
        <v/>
      </c>
      <c r="T782" s="237" t="str">
        <f>IF(ISBLANK(H782),,IFNA(VLOOKUP(H782, Circuits!A:X, 24, FALSE),))</f>
        <v/>
      </c>
      <c r="V782" s="236" t="str">
        <f>IFERROR(__xludf.DUMMYFUNCTION("IF(ISBLANK(H782),,JOIN("","",H782:T782))"),"")</f>
        <v/>
      </c>
      <c r="W782" s="229" t="str">
        <f t="shared" si="1"/>
        <v/>
      </c>
    </row>
    <row r="783">
      <c r="H783" s="237"/>
      <c r="I783" s="237" t="str">
        <f>IFERROR(__xludf.DUMMYFUNCTION("IF(ISBLANK(H783),,IFNA(""""""""&amp;JOIN("","",INDEX(FILTER(A:D,A:A=H783),0,4))&amp;"""""""",))"),"")</f>
        <v/>
      </c>
      <c r="J783" s="237" t="str">
        <f>IF(ISBLANK(H783),,IFNA(VLOOKUP(H783, Circuits!A:W, 23, FALSE),))</f>
        <v/>
      </c>
      <c r="K783" s="238" t="str">
        <f t="shared" si="2"/>
        <v/>
      </c>
      <c r="L783" s="238" t="str">
        <f t="shared" si="3"/>
        <v/>
      </c>
      <c r="M783" s="238" t="str">
        <f t="shared" si="4"/>
        <v/>
      </c>
      <c r="N783" s="238" t="str">
        <f t="shared" si="5"/>
        <v/>
      </c>
      <c r="O783" s="238" t="str">
        <f t="shared" si="6"/>
        <v/>
      </c>
      <c r="P783" s="237" t="str">
        <f>IFERROR(__xludf.DUMMYFUNCTION("IF(ISBLANK(H783),,IF(IFNA(MATCH(H783,SPLIT(Circuits!$S$2,"";""&amp;CHAR(10)),0),0),FALSE,TRUE))"),"")</f>
        <v/>
      </c>
      <c r="Q783" s="237" t="str">
        <f>IF(ISBLANK(H783),,IFNA(VLOOKUP(H783, Circuits!A:U, 21, FALSE),))</f>
        <v/>
      </c>
      <c r="R783" s="238" t="str">
        <f t="shared" si="7"/>
        <v/>
      </c>
      <c r="S783" s="237" t="str">
        <f>IF(ISBLANK(H783),,IFNA(VLOOKUP(H783, Circuits!A:V, 22, FALSE),))</f>
        <v/>
      </c>
      <c r="T783" s="237" t="str">
        <f>IF(ISBLANK(H783),,IFNA(VLOOKUP(H783, Circuits!A:X, 24, FALSE),))</f>
        <v/>
      </c>
      <c r="V783" s="236" t="str">
        <f>IFERROR(__xludf.DUMMYFUNCTION("IF(ISBLANK(H783),,JOIN("","",H783:T783))"),"")</f>
        <v/>
      </c>
      <c r="W783" s="229" t="str">
        <f t="shared" si="1"/>
        <v/>
      </c>
    </row>
    <row r="784">
      <c r="H784" s="237"/>
      <c r="I784" s="237" t="str">
        <f>IFERROR(__xludf.DUMMYFUNCTION("IF(ISBLANK(H784),,IFNA(""""""""&amp;JOIN("","",INDEX(FILTER(A:D,A:A=H784),0,4))&amp;"""""""",))"),"")</f>
        <v/>
      </c>
      <c r="J784" s="237" t="str">
        <f>IF(ISBLANK(H784),,IFNA(VLOOKUP(H784, Circuits!A:W, 23, FALSE),))</f>
        <v/>
      </c>
      <c r="K784" s="238" t="str">
        <f t="shared" si="2"/>
        <v/>
      </c>
      <c r="L784" s="238" t="str">
        <f t="shared" si="3"/>
        <v/>
      </c>
      <c r="M784" s="238" t="str">
        <f t="shared" si="4"/>
        <v/>
      </c>
      <c r="N784" s="238" t="str">
        <f t="shared" si="5"/>
        <v/>
      </c>
      <c r="O784" s="238" t="str">
        <f t="shared" si="6"/>
        <v/>
      </c>
      <c r="P784" s="237" t="str">
        <f>IFERROR(__xludf.DUMMYFUNCTION("IF(ISBLANK(H784),,IF(IFNA(MATCH(H784,SPLIT(Circuits!$S$2,"";""&amp;CHAR(10)),0),0),FALSE,TRUE))"),"")</f>
        <v/>
      </c>
      <c r="Q784" s="237" t="str">
        <f>IF(ISBLANK(H784),,IFNA(VLOOKUP(H784, Circuits!A:U, 21, FALSE),))</f>
        <v/>
      </c>
      <c r="R784" s="238" t="str">
        <f t="shared" si="7"/>
        <v/>
      </c>
      <c r="S784" s="237" t="str">
        <f>IF(ISBLANK(H784),,IFNA(VLOOKUP(H784, Circuits!A:V, 22, FALSE),))</f>
        <v/>
      </c>
      <c r="T784" s="237" t="str">
        <f>IF(ISBLANK(H784),,IFNA(VLOOKUP(H784, Circuits!A:X, 24, FALSE),))</f>
        <v/>
      </c>
      <c r="V784" s="236" t="str">
        <f>IFERROR(__xludf.DUMMYFUNCTION("IF(ISBLANK(H784),,JOIN("","",H784:T784))"),"")</f>
        <v/>
      </c>
      <c r="W784" s="229" t="str">
        <f t="shared" si="1"/>
        <v/>
      </c>
    </row>
    <row r="785">
      <c r="H785" s="237"/>
      <c r="I785" s="237" t="str">
        <f>IFERROR(__xludf.DUMMYFUNCTION("IF(ISBLANK(H785),,IFNA(""""""""&amp;JOIN("","",INDEX(FILTER(A:D,A:A=H785),0,4))&amp;"""""""",))"),"")</f>
        <v/>
      </c>
      <c r="J785" s="237" t="str">
        <f>IF(ISBLANK(H785),,IFNA(VLOOKUP(H785, Circuits!A:W, 23, FALSE),))</f>
        <v/>
      </c>
      <c r="K785" s="238" t="str">
        <f t="shared" si="2"/>
        <v/>
      </c>
      <c r="L785" s="238" t="str">
        <f t="shared" si="3"/>
        <v/>
      </c>
      <c r="M785" s="238" t="str">
        <f t="shared" si="4"/>
        <v/>
      </c>
      <c r="N785" s="238" t="str">
        <f t="shared" si="5"/>
        <v/>
      </c>
      <c r="O785" s="238" t="str">
        <f t="shared" si="6"/>
        <v/>
      </c>
      <c r="P785" s="237" t="str">
        <f>IFERROR(__xludf.DUMMYFUNCTION("IF(ISBLANK(H785),,IF(IFNA(MATCH(H785,SPLIT(Circuits!$S$2,"";""&amp;CHAR(10)),0),0),FALSE,TRUE))"),"")</f>
        <v/>
      </c>
      <c r="Q785" s="237" t="str">
        <f>IF(ISBLANK(H785),,IFNA(VLOOKUP(H785, Circuits!A:U, 21, FALSE),))</f>
        <v/>
      </c>
      <c r="R785" s="238" t="str">
        <f t="shared" si="7"/>
        <v/>
      </c>
      <c r="S785" s="237" t="str">
        <f>IF(ISBLANK(H785),,IFNA(VLOOKUP(H785, Circuits!A:V, 22, FALSE),))</f>
        <v/>
      </c>
      <c r="T785" s="237" t="str">
        <f>IF(ISBLANK(H785),,IFNA(VLOOKUP(H785, Circuits!A:X, 24, FALSE),))</f>
        <v/>
      </c>
      <c r="V785" s="236" t="str">
        <f>IFERROR(__xludf.DUMMYFUNCTION("IF(ISBLANK(H785),,JOIN("","",H785:T785))"),"")</f>
        <v/>
      </c>
      <c r="W785" s="229" t="str">
        <f t="shared" si="1"/>
        <v/>
      </c>
    </row>
    <row r="786">
      <c r="H786" s="237"/>
      <c r="I786" s="237" t="str">
        <f>IFERROR(__xludf.DUMMYFUNCTION("IF(ISBLANK(H786),,IFNA(""""""""&amp;JOIN("","",INDEX(FILTER(A:D,A:A=H786),0,4))&amp;"""""""",))"),"")</f>
        <v/>
      </c>
      <c r="J786" s="237" t="str">
        <f>IF(ISBLANK(H786),,IFNA(VLOOKUP(H786, Circuits!A:W, 23, FALSE),))</f>
        <v/>
      </c>
      <c r="K786" s="238" t="str">
        <f t="shared" si="2"/>
        <v/>
      </c>
      <c r="L786" s="238" t="str">
        <f t="shared" si="3"/>
        <v/>
      </c>
      <c r="M786" s="238" t="str">
        <f t="shared" si="4"/>
        <v/>
      </c>
      <c r="N786" s="238" t="str">
        <f t="shared" si="5"/>
        <v/>
      </c>
      <c r="O786" s="238" t="str">
        <f t="shared" si="6"/>
        <v/>
      </c>
      <c r="P786" s="237" t="str">
        <f>IFERROR(__xludf.DUMMYFUNCTION("IF(ISBLANK(H786),,IF(IFNA(MATCH(H786,SPLIT(Circuits!$S$2,"";""&amp;CHAR(10)),0),0),FALSE,TRUE))"),"")</f>
        <v/>
      </c>
      <c r="Q786" s="237" t="str">
        <f>IF(ISBLANK(H786),,IFNA(VLOOKUP(H786, Circuits!A:U, 21, FALSE),))</f>
        <v/>
      </c>
      <c r="R786" s="238" t="str">
        <f t="shared" si="7"/>
        <v/>
      </c>
      <c r="S786" s="237" t="str">
        <f>IF(ISBLANK(H786),,IFNA(VLOOKUP(H786, Circuits!A:V, 22, FALSE),))</f>
        <v/>
      </c>
      <c r="T786" s="237" t="str">
        <f>IF(ISBLANK(H786),,IFNA(VLOOKUP(H786, Circuits!A:X, 24, FALSE),))</f>
        <v/>
      </c>
      <c r="V786" s="236" t="str">
        <f>IFERROR(__xludf.DUMMYFUNCTION("IF(ISBLANK(H786),,JOIN("","",H786:T786))"),"")</f>
        <v/>
      </c>
      <c r="W786" s="229" t="str">
        <f t="shared" si="1"/>
        <v/>
      </c>
    </row>
    <row r="787">
      <c r="H787" s="237"/>
      <c r="I787" s="237" t="str">
        <f>IFERROR(__xludf.DUMMYFUNCTION("IF(ISBLANK(H787),,IFNA(""""""""&amp;JOIN("","",INDEX(FILTER(A:D,A:A=H787),0,4))&amp;"""""""",))"),"")</f>
        <v/>
      </c>
      <c r="J787" s="237" t="str">
        <f>IF(ISBLANK(H787),,IFNA(VLOOKUP(H787, Circuits!A:W, 23, FALSE),))</f>
        <v/>
      </c>
      <c r="K787" s="238" t="str">
        <f t="shared" si="2"/>
        <v/>
      </c>
      <c r="L787" s="238" t="str">
        <f t="shared" si="3"/>
        <v/>
      </c>
      <c r="M787" s="238" t="str">
        <f t="shared" si="4"/>
        <v/>
      </c>
      <c r="N787" s="238" t="str">
        <f t="shared" si="5"/>
        <v/>
      </c>
      <c r="O787" s="238" t="str">
        <f t="shared" si="6"/>
        <v/>
      </c>
      <c r="P787" s="237" t="str">
        <f>IFERROR(__xludf.DUMMYFUNCTION("IF(ISBLANK(H787),,IF(IFNA(MATCH(H787,SPLIT(Circuits!$S$2,"";""&amp;CHAR(10)),0),0),FALSE,TRUE))"),"")</f>
        <v/>
      </c>
      <c r="Q787" s="237" t="str">
        <f>IF(ISBLANK(H787),,IFNA(VLOOKUP(H787, Circuits!A:U, 21, FALSE),))</f>
        <v/>
      </c>
      <c r="R787" s="238" t="str">
        <f t="shared" si="7"/>
        <v/>
      </c>
      <c r="S787" s="237" t="str">
        <f>IF(ISBLANK(H787),,IFNA(VLOOKUP(H787, Circuits!A:V, 22, FALSE),))</f>
        <v/>
      </c>
      <c r="T787" s="237" t="str">
        <f>IF(ISBLANK(H787),,IFNA(VLOOKUP(H787, Circuits!A:X, 24, FALSE),))</f>
        <v/>
      </c>
      <c r="V787" s="236" t="str">
        <f>IFERROR(__xludf.DUMMYFUNCTION("IF(ISBLANK(H787),,JOIN("","",H787:T787))"),"")</f>
        <v/>
      </c>
      <c r="W787" s="229" t="str">
        <f t="shared" si="1"/>
        <v/>
      </c>
    </row>
    <row r="788">
      <c r="H788" s="237"/>
      <c r="I788" s="237" t="str">
        <f>IFERROR(__xludf.DUMMYFUNCTION("IF(ISBLANK(H788),,IFNA(""""""""&amp;JOIN("","",INDEX(FILTER(A:D,A:A=H788),0,4))&amp;"""""""",))"),"")</f>
        <v/>
      </c>
      <c r="J788" s="237" t="str">
        <f>IF(ISBLANK(H788),,IFNA(VLOOKUP(H788, Circuits!A:W, 23, FALSE),))</f>
        <v/>
      </c>
      <c r="K788" s="238" t="str">
        <f t="shared" si="2"/>
        <v/>
      </c>
      <c r="L788" s="238" t="str">
        <f t="shared" si="3"/>
        <v/>
      </c>
      <c r="M788" s="238" t="str">
        <f t="shared" si="4"/>
        <v/>
      </c>
      <c r="N788" s="238" t="str">
        <f t="shared" si="5"/>
        <v/>
      </c>
      <c r="O788" s="238" t="str">
        <f t="shared" si="6"/>
        <v/>
      </c>
      <c r="P788" s="237" t="str">
        <f>IFERROR(__xludf.DUMMYFUNCTION("IF(ISBLANK(H788),,IF(IFNA(MATCH(H788,SPLIT(Circuits!$S$2,"";""&amp;CHAR(10)),0),0),FALSE,TRUE))"),"")</f>
        <v/>
      </c>
      <c r="Q788" s="237" t="str">
        <f>IF(ISBLANK(H788),,IFNA(VLOOKUP(H788, Circuits!A:U, 21, FALSE),))</f>
        <v/>
      </c>
      <c r="R788" s="238" t="str">
        <f t="shared" si="7"/>
        <v/>
      </c>
      <c r="S788" s="237" t="str">
        <f>IF(ISBLANK(H788),,IFNA(VLOOKUP(H788, Circuits!A:V, 22, FALSE),))</f>
        <v/>
      </c>
      <c r="T788" s="237" t="str">
        <f>IF(ISBLANK(H788),,IFNA(VLOOKUP(H788, Circuits!A:X, 24, FALSE),))</f>
        <v/>
      </c>
      <c r="V788" s="236" t="str">
        <f>IFERROR(__xludf.DUMMYFUNCTION("IF(ISBLANK(H788),,JOIN("","",H788:T788))"),"")</f>
        <v/>
      </c>
      <c r="W788" s="229" t="str">
        <f t="shared" si="1"/>
        <v/>
      </c>
    </row>
    <row r="789">
      <c r="H789" s="237"/>
      <c r="I789" s="237" t="str">
        <f>IFERROR(__xludf.DUMMYFUNCTION("IF(ISBLANK(H789),,IFNA(""""""""&amp;JOIN("","",INDEX(FILTER(A:D,A:A=H789),0,4))&amp;"""""""",))"),"")</f>
        <v/>
      </c>
      <c r="J789" s="237" t="str">
        <f>IF(ISBLANK(H789),,IFNA(VLOOKUP(H789, Circuits!A:W, 23, FALSE),))</f>
        <v/>
      </c>
      <c r="K789" s="238" t="str">
        <f t="shared" si="2"/>
        <v/>
      </c>
      <c r="L789" s="238" t="str">
        <f t="shared" si="3"/>
        <v/>
      </c>
      <c r="M789" s="238" t="str">
        <f t="shared" si="4"/>
        <v/>
      </c>
      <c r="N789" s="238" t="str">
        <f t="shared" si="5"/>
        <v/>
      </c>
      <c r="O789" s="238" t="str">
        <f t="shared" si="6"/>
        <v/>
      </c>
      <c r="P789" s="237" t="str">
        <f>IFERROR(__xludf.DUMMYFUNCTION("IF(ISBLANK(H789),,IF(IFNA(MATCH(H789,SPLIT(Circuits!$S$2,"";""&amp;CHAR(10)),0),0),FALSE,TRUE))"),"")</f>
        <v/>
      </c>
      <c r="Q789" s="237" t="str">
        <f>IF(ISBLANK(H789),,IFNA(VLOOKUP(H789, Circuits!A:U, 21, FALSE),))</f>
        <v/>
      </c>
      <c r="R789" s="238" t="str">
        <f t="shared" si="7"/>
        <v/>
      </c>
      <c r="S789" s="237" t="str">
        <f>IF(ISBLANK(H789),,IFNA(VLOOKUP(H789, Circuits!A:V, 22, FALSE),))</f>
        <v/>
      </c>
      <c r="T789" s="237" t="str">
        <f>IF(ISBLANK(H789),,IFNA(VLOOKUP(H789, Circuits!A:X, 24, FALSE),))</f>
        <v/>
      </c>
      <c r="V789" s="236" t="str">
        <f>IFERROR(__xludf.DUMMYFUNCTION("IF(ISBLANK(H789),,JOIN("","",H789:T789))"),"")</f>
        <v/>
      </c>
      <c r="W789" s="229" t="str">
        <f t="shared" si="1"/>
        <v/>
      </c>
    </row>
    <row r="790">
      <c r="H790" s="237"/>
      <c r="I790" s="237" t="str">
        <f>IFERROR(__xludf.DUMMYFUNCTION("IF(ISBLANK(H790),,IFNA(""""""""&amp;JOIN("","",INDEX(FILTER(A:D,A:A=H790),0,4))&amp;"""""""",))"),"")</f>
        <v/>
      </c>
      <c r="J790" s="237" t="str">
        <f>IF(ISBLANK(H790),,IFNA(VLOOKUP(H790, Circuits!A:W, 23, FALSE),))</f>
        <v/>
      </c>
      <c r="K790" s="238" t="str">
        <f t="shared" si="2"/>
        <v/>
      </c>
      <c r="L790" s="238" t="str">
        <f t="shared" si="3"/>
        <v/>
      </c>
      <c r="M790" s="238" t="str">
        <f t="shared" si="4"/>
        <v/>
      </c>
      <c r="N790" s="238" t="str">
        <f t="shared" si="5"/>
        <v/>
      </c>
      <c r="O790" s="238" t="str">
        <f t="shared" si="6"/>
        <v/>
      </c>
      <c r="P790" s="237" t="str">
        <f>IFERROR(__xludf.DUMMYFUNCTION("IF(ISBLANK(H790),,IF(IFNA(MATCH(H790,SPLIT(Circuits!$S$2,"";""&amp;CHAR(10)),0),0),FALSE,TRUE))"),"")</f>
        <v/>
      </c>
      <c r="Q790" s="237" t="str">
        <f>IF(ISBLANK(H790),,IFNA(VLOOKUP(H790, Circuits!A:U, 21, FALSE),))</f>
        <v/>
      </c>
      <c r="R790" s="238" t="str">
        <f t="shared" si="7"/>
        <v/>
      </c>
      <c r="S790" s="237" t="str">
        <f>IF(ISBLANK(H790),,IFNA(VLOOKUP(H790, Circuits!A:V, 22, FALSE),))</f>
        <v/>
      </c>
      <c r="T790" s="237" t="str">
        <f>IF(ISBLANK(H790),,IFNA(VLOOKUP(H790, Circuits!A:X, 24, FALSE),))</f>
        <v/>
      </c>
      <c r="V790" s="236" t="str">
        <f>IFERROR(__xludf.DUMMYFUNCTION("IF(ISBLANK(H790),,JOIN("","",H790:T790))"),"")</f>
        <v/>
      </c>
      <c r="W790" s="229" t="str">
        <f t="shared" si="1"/>
        <v/>
      </c>
    </row>
    <row r="791">
      <c r="H791" s="237"/>
      <c r="I791" s="237" t="str">
        <f>IFERROR(__xludf.DUMMYFUNCTION("IF(ISBLANK(H791),,IFNA(""""""""&amp;JOIN("","",INDEX(FILTER(A:D,A:A=H791),0,4))&amp;"""""""",))"),"")</f>
        <v/>
      </c>
      <c r="J791" s="237" t="str">
        <f>IF(ISBLANK(H791),,IFNA(VLOOKUP(H791, Circuits!A:W, 23, FALSE),))</f>
        <v/>
      </c>
      <c r="K791" s="238" t="str">
        <f t="shared" si="2"/>
        <v/>
      </c>
      <c r="L791" s="238" t="str">
        <f t="shared" si="3"/>
        <v/>
      </c>
      <c r="M791" s="238" t="str">
        <f t="shared" si="4"/>
        <v/>
      </c>
      <c r="N791" s="238" t="str">
        <f t="shared" si="5"/>
        <v/>
      </c>
      <c r="O791" s="238" t="str">
        <f t="shared" si="6"/>
        <v/>
      </c>
      <c r="P791" s="237" t="str">
        <f>IFERROR(__xludf.DUMMYFUNCTION("IF(ISBLANK(H791),,IF(IFNA(MATCH(H791,SPLIT(Circuits!$S$2,"";""&amp;CHAR(10)),0),0),FALSE,TRUE))"),"")</f>
        <v/>
      </c>
      <c r="Q791" s="237" t="str">
        <f>IF(ISBLANK(H791),,IFNA(VLOOKUP(H791, Circuits!A:U, 21, FALSE),))</f>
        <v/>
      </c>
      <c r="R791" s="238" t="str">
        <f t="shared" si="7"/>
        <v/>
      </c>
      <c r="S791" s="237" t="str">
        <f>IF(ISBLANK(H791),,IFNA(VLOOKUP(H791, Circuits!A:V, 22, FALSE),))</f>
        <v/>
      </c>
      <c r="T791" s="237" t="str">
        <f>IF(ISBLANK(H791),,IFNA(VLOOKUP(H791, Circuits!A:X, 24, FALSE),))</f>
        <v/>
      </c>
      <c r="V791" s="236" t="str">
        <f>IFERROR(__xludf.DUMMYFUNCTION("IF(ISBLANK(H791),,JOIN("","",H791:T791))"),"")</f>
        <v/>
      </c>
      <c r="W791" s="229" t="str">
        <f t="shared" si="1"/>
        <v/>
      </c>
    </row>
    <row r="792">
      <c r="H792" s="237"/>
      <c r="I792" s="237" t="str">
        <f>IFERROR(__xludf.DUMMYFUNCTION("IF(ISBLANK(H792),,IFNA(""""""""&amp;JOIN("","",INDEX(FILTER(A:D,A:A=H792),0,4))&amp;"""""""",))"),"")</f>
        <v/>
      </c>
      <c r="J792" s="237" t="str">
        <f>IF(ISBLANK(H792),,IFNA(VLOOKUP(H792, Circuits!A:W, 23, FALSE),))</f>
        <v/>
      </c>
      <c r="K792" s="238" t="str">
        <f t="shared" si="2"/>
        <v/>
      </c>
      <c r="L792" s="238" t="str">
        <f t="shared" si="3"/>
        <v/>
      </c>
      <c r="M792" s="238" t="str">
        <f t="shared" si="4"/>
        <v/>
      </c>
      <c r="N792" s="238" t="str">
        <f t="shared" si="5"/>
        <v/>
      </c>
      <c r="O792" s="238" t="str">
        <f t="shared" si="6"/>
        <v/>
      </c>
      <c r="P792" s="237" t="str">
        <f>IFERROR(__xludf.DUMMYFUNCTION("IF(ISBLANK(H792),,IF(IFNA(MATCH(H792,SPLIT(Circuits!$S$2,"";""&amp;CHAR(10)),0),0),FALSE,TRUE))"),"")</f>
        <v/>
      </c>
      <c r="Q792" s="237" t="str">
        <f>IF(ISBLANK(H792),,IFNA(VLOOKUP(H792, Circuits!A:U, 21, FALSE),))</f>
        <v/>
      </c>
      <c r="R792" s="238" t="str">
        <f t="shared" si="7"/>
        <v/>
      </c>
      <c r="S792" s="237" t="str">
        <f>IF(ISBLANK(H792),,IFNA(VLOOKUP(H792, Circuits!A:V, 22, FALSE),))</f>
        <v/>
      </c>
      <c r="T792" s="237" t="str">
        <f>IF(ISBLANK(H792),,IFNA(VLOOKUP(H792, Circuits!A:X, 24, FALSE),))</f>
        <v/>
      </c>
      <c r="V792" s="236" t="str">
        <f>IFERROR(__xludf.DUMMYFUNCTION("IF(ISBLANK(H792),,JOIN("","",H792:T792))"),"")</f>
        <v/>
      </c>
      <c r="W792" s="229" t="str">
        <f t="shared" si="1"/>
        <v/>
      </c>
    </row>
    <row r="793">
      <c r="H793" s="237"/>
      <c r="I793" s="237" t="str">
        <f>IFERROR(__xludf.DUMMYFUNCTION("IF(ISBLANK(H793),,IFNA(""""""""&amp;JOIN("","",INDEX(FILTER(A:D,A:A=H793),0,4))&amp;"""""""",))"),"")</f>
        <v/>
      </c>
      <c r="J793" s="237" t="str">
        <f>IF(ISBLANK(H793),,IFNA(VLOOKUP(H793, Circuits!A:W, 23, FALSE),))</f>
        <v/>
      </c>
      <c r="K793" s="238" t="str">
        <f t="shared" si="2"/>
        <v/>
      </c>
      <c r="L793" s="238" t="str">
        <f t="shared" si="3"/>
        <v/>
      </c>
      <c r="M793" s="238" t="str">
        <f t="shared" si="4"/>
        <v/>
      </c>
      <c r="N793" s="238" t="str">
        <f t="shared" si="5"/>
        <v/>
      </c>
      <c r="O793" s="238" t="str">
        <f t="shared" si="6"/>
        <v/>
      </c>
      <c r="P793" s="237" t="str">
        <f>IFERROR(__xludf.DUMMYFUNCTION("IF(ISBLANK(H793),,IF(IFNA(MATCH(H793,SPLIT(Circuits!$S$2,"";""&amp;CHAR(10)),0),0),FALSE,TRUE))"),"")</f>
        <v/>
      </c>
      <c r="Q793" s="237" t="str">
        <f>IF(ISBLANK(H793),,IFNA(VLOOKUP(H793, Circuits!A:U, 21, FALSE),))</f>
        <v/>
      </c>
      <c r="R793" s="238" t="str">
        <f t="shared" si="7"/>
        <v/>
      </c>
      <c r="S793" s="237" t="str">
        <f>IF(ISBLANK(H793),,IFNA(VLOOKUP(H793, Circuits!A:V, 22, FALSE),))</f>
        <v/>
      </c>
      <c r="T793" s="237" t="str">
        <f>IF(ISBLANK(H793),,IFNA(VLOOKUP(H793, Circuits!A:X, 24, FALSE),))</f>
        <v/>
      </c>
      <c r="V793" s="236" t="str">
        <f>IFERROR(__xludf.DUMMYFUNCTION("IF(ISBLANK(H793),,JOIN("","",H793:T793))"),"")</f>
        <v/>
      </c>
      <c r="W793" s="229" t="str">
        <f t="shared" si="1"/>
        <v/>
      </c>
    </row>
    <row r="794">
      <c r="H794" s="237"/>
      <c r="I794" s="237" t="str">
        <f>IFERROR(__xludf.DUMMYFUNCTION("IF(ISBLANK(H794),,IFNA(""""""""&amp;JOIN("","",INDEX(FILTER(A:D,A:A=H794),0,4))&amp;"""""""",))"),"")</f>
        <v/>
      </c>
      <c r="J794" s="237" t="str">
        <f>IF(ISBLANK(H794),,IFNA(VLOOKUP(H794, Circuits!A:W, 23, FALSE),))</f>
        <v/>
      </c>
      <c r="K794" s="238" t="str">
        <f t="shared" si="2"/>
        <v/>
      </c>
      <c r="L794" s="238" t="str">
        <f t="shared" si="3"/>
        <v/>
      </c>
      <c r="M794" s="238" t="str">
        <f t="shared" si="4"/>
        <v/>
      </c>
      <c r="N794" s="238" t="str">
        <f t="shared" si="5"/>
        <v/>
      </c>
      <c r="O794" s="238" t="str">
        <f t="shared" si="6"/>
        <v/>
      </c>
      <c r="P794" s="237" t="str">
        <f>IFERROR(__xludf.DUMMYFUNCTION("IF(ISBLANK(H794),,IF(IFNA(MATCH(H794,SPLIT(Circuits!$S$2,"";""&amp;CHAR(10)),0),0),FALSE,TRUE))"),"")</f>
        <v/>
      </c>
      <c r="Q794" s="237" t="str">
        <f>IF(ISBLANK(H794),,IFNA(VLOOKUP(H794, Circuits!A:U, 21, FALSE),))</f>
        <v/>
      </c>
      <c r="R794" s="238" t="str">
        <f t="shared" si="7"/>
        <v/>
      </c>
      <c r="S794" s="237" t="str">
        <f>IF(ISBLANK(H794),,IFNA(VLOOKUP(H794, Circuits!A:V, 22, FALSE),))</f>
        <v/>
      </c>
      <c r="T794" s="237" t="str">
        <f>IF(ISBLANK(H794),,IFNA(VLOOKUP(H794, Circuits!A:X, 24, FALSE),))</f>
        <v/>
      </c>
      <c r="V794" s="236" t="str">
        <f>IFERROR(__xludf.DUMMYFUNCTION("IF(ISBLANK(H794),,JOIN("","",H794:T794))"),"")</f>
        <v/>
      </c>
      <c r="W794" s="229" t="str">
        <f t="shared" si="1"/>
        <v/>
      </c>
    </row>
    <row r="795">
      <c r="H795" s="237"/>
      <c r="I795" s="237" t="str">
        <f>IFERROR(__xludf.DUMMYFUNCTION("IF(ISBLANK(H795),,IFNA(""""""""&amp;JOIN("","",INDEX(FILTER(A:D,A:A=H795),0,4))&amp;"""""""",))"),"")</f>
        <v/>
      </c>
      <c r="J795" s="237" t="str">
        <f>IF(ISBLANK(H795),,IFNA(VLOOKUP(H795, Circuits!A:W, 23, FALSE),))</f>
        <v/>
      </c>
      <c r="K795" s="238" t="str">
        <f t="shared" si="2"/>
        <v/>
      </c>
      <c r="L795" s="238" t="str">
        <f t="shared" si="3"/>
        <v/>
      </c>
      <c r="M795" s="238" t="str">
        <f t="shared" si="4"/>
        <v/>
      </c>
      <c r="N795" s="238" t="str">
        <f t="shared" si="5"/>
        <v/>
      </c>
      <c r="O795" s="238" t="str">
        <f t="shared" si="6"/>
        <v/>
      </c>
      <c r="P795" s="237" t="str">
        <f>IFERROR(__xludf.DUMMYFUNCTION("IF(ISBLANK(H795),,IF(IFNA(MATCH(H795,SPLIT(Circuits!$S$2,"";""&amp;CHAR(10)),0),0),FALSE,TRUE))"),"")</f>
        <v/>
      </c>
      <c r="Q795" s="237" t="str">
        <f>IF(ISBLANK(H795),,IFNA(VLOOKUP(H795, Circuits!A:U, 21, FALSE),))</f>
        <v/>
      </c>
      <c r="R795" s="238" t="str">
        <f t="shared" si="7"/>
        <v/>
      </c>
      <c r="S795" s="237" t="str">
        <f>IF(ISBLANK(H795),,IFNA(VLOOKUP(H795, Circuits!A:V, 22, FALSE),))</f>
        <v/>
      </c>
      <c r="T795" s="237" t="str">
        <f>IF(ISBLANK(H795),,IFNA(VLOOKUP(H795, Circuits!A:X, 24, FALSE),))</f>
        <v/>
      </c>
      <c r="V795" s="236" t="str">
        <f>IFERROR(__xludf.DUMMYFUNCTION("IF(ISBLANK(H795),,JOIN("","",H795:T795))"),"")</f>
        <v/>
      </c>
      <c r="W795" s="229" t="str">
        <f t="shared" si="1"/>
        <v/>
      </c>
    </row>
    <row r="796">
      <c r="H796" s="237"/>
      <c r="I796" s="237" t="str">
        <f>IFERROR(__xludf.DUMMYFUNCTION("IF(ISBLANK(H796),,IFNA(""""""""&amp;JOIN("","",INDEX(FILTER(A:D,A:A=H796),0,4))&amp;"""""""",))"),"")</f>
        <v/>
      </c>
      <c r="J796" s="237" t="str">
        <f>IF(ISBLANK(H796),,IFNA(VLOOKUP(H796, Circuits!A:W, 23, FALSE),))</f>
        <v/>
      </c>
      <c r="K796" s="238" t="str">
        <f t="shared" si="2"/>
        <v/>
      </c>
      <c r="L796" s="238" t="str">
        <f t="shared" si="3"/>
        <v/>
      </c>
      <c r="M796" s="238" t="str">
        <f t="shared" si="4"/>
        <v/>
      </c>
      <c r="N796" s="238" t="str">
        <f t="shared" si="5"/>
        <v/>
      </c>
      <c r="O796" s="238" t="str">
        <f t="shared" si="6"/>
        <v/>
      </c>
      <c r="P796" s="237" t="str">
        <f>IFERROR(__xludf.DUMMYFUNCTION("IF(ISBLANK(H796),,IF(IFNA(MATCH(H796,SPLIT(Circuits!$S$2,"";""&amp;CHAR(10)),0),0),FALSE,TRUE))"),"")</f>
        <v/>
      </c>
      <c r="Q796" s="237" t="str">
        <f>IF(ISBLANK(H796),,IFNA(VLOOKUP(H796, Circuits!A:U, 21, FALSE),))</f>
        <v/>
      </c>
      <c r="R796" s="238" t="str">
        <f t="shared" si="7"/>
        <v/>
      </c>
      <c r="S796" s="237" t="str">
        <f>IF(ISBLANK(H796),,IFNA(VLOOKUP(H796, Circuits!A:V, 22, FALSE),))</f>
        <v/>
      </c>
      <c r="T796" s="237" t="str">
        <f>IF(ISBLANK(H796),,IFNA(VLOOKUP(H796, Circuits!A:X, 24, FALSE),))</f>
        <v/>
      </c>
      <c r="V796" s="236" t="str">
        <f>IFERROR(__xludf.DUMMYFUNCTION("IF(ISBLANK(H796),,JOIN("","",H796:T796))"),"")</f>
        <v/>
      </c>
      <c r="W796" s="229" t="str">
        <f t="shared" si="1"/>
        <v/>
      </c>
    </row>
    <row r="797">
      <c r="H797" s="237"/>
      <c r="I797" s="237" t="str">
        <f>IFERROR(__xludf.DUMMYFUNCTION("IF(ISBLANK(H797),,IFNA(""""""""&amp;JOIN("","",INDEX(FILTER(A:D,A:A=H797),0,4))&amp;"""""""",))"),"")</f>
        <v/>
      </c>
      <c r="J797" s="237" t="str">
        <f>IF(ISBLANK(H797),,IFNA(VLOOKUP(H797, Circuits!A:W, 23, FALSE),))</f>
        <v/>
      </c>
      <c r="K797" s="238" t="str">
        <f t="shared" si="2"/>
        <v/>
      </c>
      <c r="L797" s="238" t="str">
        <f t="shared" si="3"/>
        <v/>
      </c>
      <c r="M797" s="238" t="str">
        <f t="shared" si="4"/>
        <v/>
      </c>
      <c r="N797" s="238" t="str">
        <f t="shared" si="5"/>
        <v/>
      </c>
      <c r="O797" s="238" t="str">
        <f t="shared" si="6"/>
        <v/>
      </c>
      <c r="P797" s="237" t="str">
        <f>IFERROR(__xludf.DUMMYFUNCTION("IF(ISBLANK(H797),,IF(IFNA(MATCH(H797,SPLIT(Circuits!$S$2,"";""&amp;CHAR(10)),0),0),FALSE,TRUE))"),"")</f>
        <v/>
      </c>
      <c r="Q797" s="237" t="str">
        <f>IF(ISBLANK(H797),,IFNA(VLOOKUP(H797, Circuits!A:U, 21, FALSE),))</f>
        <v/>
      </c>
      <c r="R797" s="238" t="str">
        <f t="shared" si="7"/>
        <v/>
      </c>
      <c r="S797" s="237" t="str">
        <f>IF(ISBLANK(H797),,IFNA(VLOOKUP(H797, Circuits!A:V, 22, FALSE),))</f>
        <v/>
      </c>
      <c r="T797" s="237" t="str">
        <f>IF(ISBLANK(H797),,IFNA(VLOOKUP(H797, Circuits!A:X, 24, FALSE),))</f>
        <v/>
      </c>
      <c r="V797" s="236" t="str">
        <f>IFERROR(__xludf.DUMMYFUNCTION("IF(ISBLANK(H797),,JOIN("","",H797:T797))"),"")</f>
        <v/>
      </c>
      <c r="W797" s="229" t="str">
        <f t="shared" si="1"/>
        <v/>
      </c>
    </row>
    <row r="798">
      <c r="H798" s="237"/>
      <c r="I798" s="237" t="str">
        <f>IFERROR(__xludf.DUMMYFUNCTION("IF(ISBLANK(H798),,IFNA(""""""""&amp;JOIN("","",INDEX(FILTER(A:D,A:A=H798),0,4))&amp;"""""""",))"),"")</f>
        <v/>
      </c>
      <c r="J798" s="237" t="str">
        <f>IF(ISBLANK(H798),,IFNA(VLOOKUP(H798, Circuits!A:W, 23, FALSE),))</f>
        <v/>
      </c>
      <c r="K798" s="238" t="str">
        <f t="shared" si="2"/>
        <v/>
      </c>
      <c r="L798" s="238" t="str">
        <f t="shared" si="3"/>
        <v/>
      </c>
      <c r="M798" s="238" t="str">
        <f t="shared" si="4"/>
        <v/>
      </c>
      <c r="N798" s="238" t="str">
        <f t="shared" si="5"/>
        <v/>
      </c>
      <c r="O798" s="238" t="str">
        <f t="shared" si="6"/>
        <v/>
      </c>
      <c r="P798" s="237" t="str">
        <f>IFERROR(__xludf.DUMMYFUNCTION("IF(ISBLANK(H798),,IF(IFNA(MATCH(H798,SPLIT(Circuits!$S$2,"";""&amp;CHAR(10)),0),0),FALSE,TRUE))"),"")</f>
        <v/>
      </c>
      <c r="Q798" s="237" t="str">
        <f>IF(ISBLANK(H798),,IFNA(VLOOKUP(H798, Circuits!A:U, 21, FALSE),))</f>
        <v/>
      </c>
      <c r="R798" s="238" t="str">
        <f t="shared" si="7"/>
        <v/>
      </c>
      <c r="S798" s="237" t="str">
        <f>IF(ISBLANK(H798),,IFNA(VLOOKUP(H798, Circuits!A:V, 22, FALSE),))</f>
        <v/>
      </c>
      <c r="T798" s="237" t="str">
        <f>IF(ISBLANK(H798),,IFNA(VLOOKUP(H798, Circuits!A:X, 24, FALSE),))</f>
        <v/>
      </c>
      <c r="V798" s="236" t="str">
        <f>IFERROR(__xludf.DUMMYFUNCTION("IF(ISBLANK(H798),,JOIN("","",H798:T798))"),"")</f>
        <v/>
      </c>
      <c r="W798" s="229" t="str">
        <f t="shared" si="1"/>
        <v/>
      </c>
    </row>
    <row r="799">
      <c r="H799" s="237"/>
      <c r="I799" s="237" t="str">
        <f>IFERROR(__xludf.DUMMYFUNCTION("IF(ISBLANK(H799),,IFNA(""""""""&amp;JOIN("","",INDEX(FILTER(A:D,A:A=H799),0,4))&amp;"""""""",))"),"")</f>
        <v/>
      </c>
      <c r="J799" s="237" t="str">
        <f>IF(ISBLANK(H799),,IFNA(VLOOKUP(H799, Circuits!A:W, 23, FALSE),))</f>
        <v/>
      </c>
      <c r="K799" s="238" t="str">
        <f t="shared" si="2"/>
        <v/>
      </c>
      <c r="L799" s="238" t="str">
        <f t="shared" si="3"/>
        <v/>
      </c>
      <c r="M799" s="238" t="str">
        <f t="shared" si="4"/>
        <v/>
      </c>
      <c r="N799" s="238" t="str">
        <f t="shared" si="5"/>
        <v/>
      </c>
      <c r="O799" s="238" t="str">
        <f t="shared" si="6"/>
        <v/>
      </c>
      <c r="P799" s="237" t="str">
        <f>IFERROR(__xludf.DUMMYFUNCTION("IF(ISBLANK(H799),,IF(IFNA(MATCH(H799,SPLIT(Circuits!$S$2,"";""&amp;CHAR(10)),0),0),FALSE,TRUE))"),"")</f>
        <v/>
      </c>
      <c r="Q799" s="237" t="str">
        <f>IF(ISBLANK(H799),,IFNA(VLOOKUP(H799, Circuits!A:U, 21, FALSE),))</f>
        <v/>
      </c>
      <c r="R799" s="238" t="str">
        <f t="shared" si="7"/>
        <v/>
      </c>
      <c r="S799" s="237" t="str">
        <f>IF(ISBLANK(H799),,IFNA(VLOOKUP(H799, Circuits!A:V, 22, FALSE),))</f>
        <v/>
      </c>
      <c r="T799" s="237" t="str">
        <f>IF(ISBLANK(H799),,IFNA(VLOOKUP(H799, Circuits!A:X, 24, FALSE),))</f>
        <v/>
      </c>
      <c r="V799" s="236" t="str">
        <f>IFERROR(__xludf.DUMMYFUNCTION("IF(ISBLANK(H799),,JOIN("","",H799:T799))"),"")</f>
        <v/>
      </c>
      <c r="W799" s="229" t="str">
        <f t="shared" si="1"/>
        <v/>
      </c>
    </row>
    <row r="800">
      <c r="H800" s="237"/>
      <c r="I800" s="237" t="str">
        <f>IFERROR(__xludf.DUMMYFUNCTION("IF(ISBLANK(H800),,IFNA(""""""""&amp;JOIN("","",INDEX(FILTER(A:D,A:A=H800),0,4))&amp;"""""""",))"),"")</f>
        <v/>
      </c>
      <c r="J800" s="237" t="str">
        <f>IF(ISBLANK(H800),,IFNA(VLOOKUP(H800, Circuits!A:W, 23, FALSE),))</f>
        <v/>
      </c>
      <c r="K800" s="238" t="str">
        <f t="shared" si="2"/>
        <v/>
      </c>
      <c r="L800" s="238" t="str">
        <f t="shared" si="3"/>
        <v/>
      </c>
      <c r="M800" s="238" t="str">
        <f t="shared" si="4"/>
        <v/>
      </c>
      <c r="N800" s="238" t="str">
        <f t="shared" si="5"/>
        <v/>
      </c>
      <c r="O800" s="238" t="str">
        <f t="shared" si="6"/>
        <v/>
      </c>
      <c r="P800" s="237" t="str">
        <f>IFERROR(__xludf.DUMMYFUNCTION("IF(ISBLANK(H800),,IF(IFNA(MATCH(H800,SPLIT(Circuits!$S$2,"";""&amp;CHAR(10)),0),0),FALSE,TRUE))"),"")</f>
        <v/>
      </c>
      <c r="Q800" s="237" t="str">
        <f>IF(ISBLANK(H800),,IFNA(VLOOKUP(H800, Circuits!A:U, 21, FALSE),))</f>
        <v/>
      </c>
      <c r="R800" s="238" t="str">
        <f t="shared" si="7"/>
        <v/>
      </c>
      <c r="S800" s="237" t="str">
        <f>IF(ISBLANK(H800),,IFNA(VLOOKUP(H800, Circuits!A:V, 22, FALSE),))</f>
        <v/>
      </c>
      <c r="T800" s="237" t="str">
        <f>IF(ISBLANK(H800),,IFNA(VLOOKUP(H800, Circuits!A:X, 24, FALSE),))</f>
        <v/>
      </c>
      <c r="V800" s="236" t="str">
        <f>IFERROR(__xludf.DUMMYFUNCTION("IF(ISBLANK(H800),,JOIN("","",H800:T800))"),"")</f>
        <v/>
      </c>
      <c r="W800" s="229" t="str">
        <f t="shared" si="1"/>
        <v/>
      </c>
    </row>
    <row r="801">
      <c r="H801" s="237"/>
      <c r="I801" s="237" t="str">
        <f>IFERROR(__xludf.DUMMYFUNCTION("IF(ISBLANK(H801),,IFNA(""""""""&amp;JOIN("","",INDEX(FILTER(A:D,A:A=H801),0,4))&amp;"""""""",))"),"")</f>
        <v/>
      </c>
      <c r="J801" s="237" t="str">
        <f>IF(ISBLANK(H801),,IFNA(VLOOKUP(H801, Circuits!A:W, 23, FALSE),))</f>
        <v/>
      </c>
      <c r="K801" s="238" t="str">
        <f t="shared" si="2"/>
        <v/>
      </c>
      <c r="L801" s="238" t="str">
        <f t="shared" si="3"/>
        <v/>
      </c>
      <c r="M801" s="238" t="str">
        <f t="shared" si="4"/>
        <v/>
      </c>
      <c r="N801" s="238" t="str">
        <f t="shared" si="5"/>
        <v/>
      </c>
      <c r="O801" s="238" t="str">
        <f t="shared" si="6"/>
        <v/>
      </c>
      <c r="P801" s="237" t="str">
        <f>IFERROR(__xludf.DUMMYFUNCTION("IF(ISBLANK(H801),,IF(IFNA(MATCH(H801,SPLIT(Circuits!$S$2,"";""&amp;CHAR(10)),0),0),FALSE,TRUE))"),"")</f>
        <v/>
      </c>
      <c r="Q801" s="237" t="str">
        <f>IF(ISBLANK(H801),,IFNA(VLOOKUP(H801, Circuits!A:U, 21, FALSE),))</f>
        <v/>
      </c>
      <c r="R801" s="238" t="str">
        <f t="shared" si="7"/>
        <v/>
      </c>
      <c r="S801" s="237" t="str">
        <f>IF(ISBLANK(H801),,IFNA(VLOOKUP(H801, Circuits!A:V, 22, FALSE),))</f>
        <v/>
      </c>
      <c r="T801" s="237" t="str">
        <f>IF(ISBLANK(H801),,IFNA(VLOOKUP(H801, Circuits!A:X, 24, FALSE),))</f>
        <v/>
      </c>
      <c r="V801" s="236" t="str">
        <f>IFERROR(__xludf.DUMMYFUNCTION("IF(ISBLANK(H801),,JOIN("","",H801:T801))"),"")</f>
        <v/>
      </c>
      <c r="W801" s="229" t="str">
        <f t="shared" si="1"/>
        <v/>
      </c>
    </row>
    <row r="802">
      <c r="H802" s="237"/>
      <c r="I802" s="237" t="str">
        <f>IFERROR(__xludf.DUMMYFUNCTION("IF(ISBLANK(H802),,IFNA(""""""""&amp;JOIN("","",INDEX(FILTER(A:D,A:A=H802),0,4))&amp;"""""""",))"),"")</f>
        <v/>
      </c>
      <c r="J802" s="237" t="str">
        <f>IF(ISBLANK(H802),,IFNA(VLOOKUP(H802, Circuits!A:W, 23, FALSE),))</f>
        <v/>
      </c>
      <c r="K802" s="238" t="str">
        <f t="shared" si="2"/>
        <v/>
      </c>
      <c r="L802" s="238" t="str">
        <f t="shared" si="3"/>
        <v/>
      </c>
      <c r="M802" s="238" t="str">
        <f t="shared" si="4"/>
        <v/>
      </c>
      <c r="N802" s="238" t="str">
        <f t="shared" si="5"/>
        <v/>
      </c>
      <c r="O802" s="238" t="str">
        <f t="shared" si="6"/>
        <v/>
      </c>
      <c r="P802" s="237" t="str">
        <f>IFERROR(__xludf.DUMMYFUNCTION("IF(ISBLANK(H802),,IF(IFNA(MATCH(H802,SPLIT(Circuits!$S$2,"";""&amp;CHAR(10)),0),0),FALSE,TRUE))"),"")</f>
        <v/>
      </c>
      <c r="Q802" s="237" t="str">
        <f>IF(ISBLANK(H802),,IFNA(VLOOKUP(H802, Circuits!A:U, 21, FALSE),))</f>
        <v/>
      </c>
      <c r="R802" s="238" t="str">
        <f t="shared" si="7"/>
        <v/>
      </c>
      <c r="S802" s="237" t="str">
        <f>IF(ISBLANK(H802),,IFNA(VLOOKUP(H802, Circuits!A:V, 22, FALSE),))</f>
        <v/>
      </c>
      <c r="T802" s="237" t="str">
        <f>IF(ISBLANK(H802),,IFNA(VLOOKUP(H802, Circuits!A:X, 24, FALSE),))</f>
        <v/>
      </c>
      <c r="V802" s="236" t="str">
        <f>IFERROR(__xludf.DUMMYFUNCTION("IF(ISBLANK(H802),,JOIN("","",H802:T802))"),"")</f>
        <v/>
      </c>
      <c r="W802" s="229" t="str">
        <f t="shared" si="1"/>
        <v/>
      </c>
    </row>
    <row r="803">
      <c r="H803" s="237"/>
      <c r="I803" s="237" t="str">
        <f>IFERROR(__xludf.DUMMYFUNCTION("IF(ISBLANK(H803),,IFNA(""""""""&amp;JOIN("","",INDEX(FILTER(A:D,A:A=H803),0,4))&amp;"""""""",))"),"")</f>
        <v/>
      </c>
      <c r="J803" s="237" t="str">
        <f>IF(ISBLANK(H803),,IFNA(VLOOKUP(H803, Circuits!A:W, 23, FALSE),))</f>
        <v/>
      </c>
      <c r="K803" s="238" t="str">
        <f t="shared" si="2"/>
        <v/>
      </c>
      <c r="L803" s="238" t="str">
        <f t="shared" si="3"/>
        <v/>
      </c>
      <c r="M803" s="238" t="str">
        <f t="shared" si="4"/>
        <v/>
      </c>
      <c r="N803" s="238" t="str">
        <f t="shared" si="5"/>
        <v/>
      </c>
      <c r="O803" s="238" t="str">
        <f t="shared" si="6"/>
        <v/>
      </c>
      <c r="P803" s="237" t="str">
        <f>IFERROR(__xludf.DUMMYFUNCTION("IF(ISBLANK(H803),,IF(IFNA(MATCH(H803,SPLIT(Circuits!$S$2,"";""&amp;CHAR(10)),0),0),FALSE,TRUE))"),"")</f>
        <v/>
      </c>
      <c r="Q803" s="237" t="str">
        <f>IF(ISBLANK(H803),,IFNA(VLOOKUP(H803, Circuits!A:U, 21, FALSE),))</f>
        <v/>
      </c>
      <c r="R803" s="238" t="str">
        <f t="shared" si="7"/>
        <v/>
      </c>
      <c r="S803" s="237" t="str">
        <f>IF(ISBLANK(H803),,IFNA(VLOOKUP(H803, Circuits!A:V, 22, FALSE),))</f>
        <v/>
      </c>
      <c r="T803" s="237" t="str">
        <f>IF(ISBLANK(H803),,IFNA(VLOOKUP(H803, Circuits!A:X, 24, FALSE),))</f>
        <v/>
      </c>
      <c r="V803" s="236" t="str">
        <f>IFERROR(__xludf.DUMMYFUNCTION("IF(ISBLANK(H803),,JOIN("","",H803:T803))"),"")</f>
        <v/>
      </c>
      <c r="W803" s="229" t="str">
        <f t="shared" si="1"/>
        <v/>
      </c>
    </row>
    <row r="804">
      <c r="H804" s="237"/>
      <c r="I804" s="237" t="str">
        <f>IFERROR(__xludf.DUMMYFUNCTION("IF(ISBLANK(H804),,IFNA(""""""""&amp;JOIN("","",INDEX(FILTER(A:D,A:A=H804),0,4))&amp;"""""""",))"),"")</f>
        <v/>
      </c>
      <c r="J804" s="237" t="str">
        <f>IF(ISBLANK(H804),,IFNA(VLOOKUP(H804, Circuits!A:W, 23, FALSE),))</f>
        <v/>
      </c>
      <c r="K804" s="238" t="str">
        <f t="shared" si="2"/>
        <v/>
      </c>
      <c r="L804" s="238" t="str">
        <f t="shared" si="3"/>
        <v/>
      </c>
      <c r="M804" s="238" t="str">
        <f t="shared" si="4"/>
        <v/>
      </c>
      <c r="N804" s="238" t="str">
        <f t="shared" si="5"/>
        <v/>
      </c>
      <c r="O804" s="238" t="str">
        <f t="shared" si="6"/>
        <v/>
      </c>
      <c r="P804" s="237" t="str">
        <f>IFERROR(__xludf.DUMMYFUNCTION("IF(ISBLANK(H804),,IF(IFNA(MATCH(H804,SPLIT(Circuits!$S$2,"";""&amp;CHAR(10)),0),0),FALSE,TRUE))"),"")</f>
        <v/>
      </c>
      <c r="Q804" s="237" t="str">
        <f>IF(ISBLANK(H804),,IFNA(VLOOKUP(H804, Circuits!A:U, 21, FALSE),))</f>
        <v/>
      </c>
      <c r="R804" s="238" t="str">
        <f t="shared" si="7"/>
        <v/>
      </c>
      <c r="S804" s="237" t="str">
        <f>IF(ISBLANK(H804),,IFNA(VLOOKUP(H804, Circuits!A:V, 22, FALSE),))</f>
        <v/>
      </c>
      <c r="T804" s="237" t="str">
        <f>IF(ISBLANK(H804),,IFNA(VLOOKUP(H804, Circuits!A:X, 24, FALSE),))</f>
        <v/>
      </c>
      <c r="V804" s="236" t="str">
        <f>IFERROR(__xludf.DUMMYFUNCTION("IF(ISBLANK(H804),,JOIN("","",H804:T804))"),"")</f>
        <v/>
      </c>
      <c r="W804" s="229" t="str">
        <f t="shared" si="1"/>
        <v/>
      </c>
    </row>
    <row r="805">
      <c r="H805" s="237"/>
      <c r="I805" s="237" t="str">
        <f>IFERROR(__xludf.DUMMYFUNCTION("IF(ISBLANK(H805),,IFNA(""""""""&amp;JOIN("","",INDEX(FILTER(A:D,A:A=H805),0,4))&amp;"""""""",))"),"")</f>
        <v/>
      </c>
      <c r="J805" s="237" t="str">
        <f>IF(ISBLANK(H805),,IFNA(VLOOKUP(H805, Circuits!A:W, 23, FALSE),))</f>
        <v/>
      </c>
      <c r="K805" s="238" t="str">
        <f t="shared" si="2"/>
        <v/>
      </c>
      <c r="L805" s="238" t="str">
        <f t="shared" si="3"/>
        <v/>
      </c>
      <c r="M805" s="238" t="str">
        <f t="shared" si="4"/>
        <v/>
      </c>
      <c r="N805" s="238" t="str">
        <f t="shared" si="5"/>
        <v/>
      </c>
      <c r="O805" s="238" t="str">
        <f t="shared" si="6"/>
        <v/>
      </c>
      <c r="P805" s="237" t="str">
        <f>IFERROR(__xludf.DUMMYFUNCTION("IF(ISBLANK(H805),,IF(IFNA(MATCH(H805,SPLIT(Circuits!$S$2,"";""&amp;CHAR(10)),0),0),FALSE,TRUE))"),"")</f>
        <v/>
      </c>
      <c r="Q805" s="237" t="str">
        <f>IF(ISBLANK(H805),,IFNA(VLOOKUP(H805, Circuits!A:U, 21, FALSE),))</f>
        <v/>
      </c>
      <c r="R805" s="238" t="str">
        <f t="shared" si="7"/>
        <v/>
      </c>
      <c r="S805" s="237" t="str">
        <f>IF(ISBLANK(H805),,IFNA(VLOOKUP(H805, Circuits!A:V, 22, FALSE),))</f>
        <v/>
      </c>
      <c r="T805" s="237" t="str">
        <f>IF(ISBLANK(H805),,IFNA(VLOOKUP(H805, Circuits!A:X, 24, FALSE),))</f>
        <v/>
      </c>
      <c r="V805" s="236" t="str">
        <f>IFERROR(__xludf.DUMMYFUNCTION("IF(ISBLANK(H805),,JOIN("","",H805:T805))"),"")</f>
        <v/>
      </c>
      <c r="W805" s="229" t="str">
        <f t="shared" si="1"/>
        <v/>
      </c>
    </row>
    <row r="806">
      <c r="H806" s="237"/>
      <c r="I806" s="237" t="str">
        <f>IFERROR(__xludf.DUMMYFUNCTION("IF(ISBLANK(H806),,IFNA(""""""""&amp;JOIN("","",INDEX(FILTER(A:D,A:A=H806),0,4))&amp;"""""""",))"),"")</f>
        <v/>
      </c>
      <c r="J806" s="237" t="str">
        <f>IF(ISBLANK(H806),,IFNA(VLOOKUP(H806, Circuits!A:W, 23, FALSE),))</f>
        <v/>
      </c>
      <c r="K806" s="238" t="str">
        <f t="shared" si="2"/>
        <v/>
      </c>
      <c r="L806" s="238" t="str">
        <f t="shared" si="3"/>
        <v/>
      </c>
      <c r="M806" s="238" t="str">
        <f t="shared" si="4"/>
        <v/>
      </c>
      <c r="N806" s="238" t="str">
        <f t="shared" si="5"/>
        <v/>
      </c>
      <c r="O806" s="238" t="str">
        <f t="shared" si="6"/>
        <v/>
      </c>
      <c r="P806" s="237" t="str">
        <f>IFERROR(__xludf.DUMMYFUNCTION("IF(ISBLANK(H806),,IF(IFNA(MATCH(H806,SPLIT(Circuits!$S$2,"";""&amp;CHAR(10)),0),0),FALSE,TRUE))"),"")</f>
        <v/>
      </c>
      <c r="Q806" s="237" t="str">
        <f>IF(ISBLANK(H806),,IFNA(VLOOKUP(H806, Circuits!A:U, 21, FALSE),))</f>
        <v/>
      </c>
      <c r="R806" s="238" t="str">
        <f t="shared" si="7"/>
        <v/>
      </c>
      <c r="S806" s="237" t="str">
        <f>IF(ISBLANK(H806),,IFNA(VLOOKUP(H806, Circuits!A:V, 22, FALSE),))</f>
        <v/>
      </c>
      <c r="T806" s="237" t="str">
        <f>IF(ISBLANK(H806),,IFNA(VLOOKUP(H806, Circuits!A:X, 24, FALSE),))</f>
        <v/>
      </c>
      <c r="V806" s="236" t="str">
        <f>IFERROR(__xludf.DUMMYFUNCTION("IF(ISBLANK(H806),,JOIN("","",H806:T806))"),"")</f>
        <v/>
      </c>
      <c r="W806" s="229" t="str">
        <f t="shared" si="1"/>
        <v/>
      </c>
    </row>
    <row r="807">
      <c r="H807" s="237"/>
      <c r="I807" s="237" t="str">
        <f>IFERROR(__xludf.DUMMYFUNCTION("IF(ISBLANK(H807),,IFNA(""""""""&amp;JOIN("","",INDEX(FILTER(A:D,A:A=H807),0,4))&amp;"""""""",))"),"")</f>
        <v/>
      </c>
      <c r="J807" s="237" t="str">
        <f>IF(ISBLANK(H807),,IFNA(VLOOKUP(H807, Circuits!A:W, 23, FALSE),))</f>
        <v/>
      </c>
      <c r="K807" s="238" t="str">
        <f t="shared" si="2"/>
        <v/>
      </c>
      <c r="L807" s="238" t="str">
        <f t="shared" si="3"/>
        <v/>
      </c>
      <c r="M807" s="238" t="str">
        <f t="shared" si="4"/>
        <v/>
      </c>
      <c r="N807" s="238" t="str">
        <f t="shared" si="5"/>
        <v/>
      </c>
      <c r="O807" s="238" t="str">
        <f t="shared" si="6"/>
        <v/>
      </c>
      <c r="P807" s="237" t="str">
        <f>IFERROR(__xludf.DUMMYFUNCTION("IF(ISBLANK(H807),,IF(IFNA(MATCH(H807,SPLIT(Circuits!$S$2,"";""&amp;CHAR(10)),0),0),FALSE,TRUE))"),"")</f>
        <v/>
      </c>
      <c r="Q807" s="237" t="str">
        <f>IF(ISBLANK(H807),,IFNA(VLOOKUP(H807, Circuits!A:U, 21, FALSE),))</f>
        <v/>
      </c>
      <c r="R807" s="238" t="str">
        <f t="shared" si="7"/>
        <v/>
      </c>
      <c r="S807" s="237" t="str">
        <f>IF(ISBLANK(H807),,IFNA(VLOOKUP(H807, Circuits!A:V, 22, FALSE),))</f>
        <v/>
      </c>
      <c r="T807" s="237" t="str">
        <f>IF(ISBLANK(H807),,IFNA(VLOOKUP(H807, Circuits!A:X, 24, FALSE),))</f>
        <v/>
      </c>
      <c r="V807" s="236" t="str">
        <f>IFERROR(__xludf.DUMMYFUNCTION("IF(ISBLANK(H807),,JOIN("","",H807:T807))"),"")</f>
        <v/>
      </c>
      <c r="W807" s="229" t="str">
        <f t="shared" si="1"/>
        <v/>
      </c>
    </row>
    <row r="808">
      <c r="H808" s="237"/>
      <c r="I808" s="237" t="str">
        <f>IFERROR(__xludf.DUMMYFUNCTION("IF(ISBLANK(H808),,IFNA(""""""""&amp;JOIN("","",INDEX(FILTER(A:D,A:A=H808),0,4))&amp;"""""""",))"),"")</f>
        <v/>
      </c>
      <c r="J808" s="237" t="str">
        <f>IF(ISBLANK(H808),,IFNA(VLOOKUP(H808, Circuits!A:W, 23, FALSE),))</f>
        <v/>
      </c>
      <c r="K808" s="238" t="str">
        <f t="shared" si="2"/>
        <v/>
      </c>
      <c r="L808" s="238" t="str">
        <f t="shared" si="3"/>
        <v/>
      </c>
      <c r="M808" s="238" t="str">
        <f t="shared" si="4"/>
        <v/>
      </c>
      <c r="N808" s="238" t="str">
        <f t="shared" si="5"/>
        <v/>
      </c>
      <c r="O808" s="238" t="str">
        <f t="shared" si="6"/>
        <v/>
      </c>
      <c r="P808" s="237" t="str">
        <f>IFERROR(__xludf.DUMMYFUNCTION("IF(ISBLANK(H808),,IF(IFNA(MATCH(H808,SPLIT(Circuits!$S$2,"";""&amp;CHAR(10)),0),0),FALSE,TRUE))"),"")</f>
        <v/>
      </c>
      <c r="Q808" s="237" t="str">
        <f>IF(ISBLANK(H808),,IFNA(VLOOKUP(H808, Circuits!A:U, 21, FALSE),))</f>
        <v/>
      </c>
      <c r="R808" s="238" t="str">
        <f t="shared" si="7"/>
        <v/>
      </c>
      <c r="S808" s="237" t="str">
        <f>IF(ISBLANK(H808),,IFNA(VLOOKUP(H808, Circuits!A:V, 22, FALSE),))</f>
        <v/>
      </c>
      <c r="T808" s="237" t="str">
        <f>IF(ISBLANK(H808),,IFNA(VLOOKUP(H808, Circuits!A:X, 24, FALSE),))</f>
        <v/>
      </c>
      <c r="V808" s="236" t="str">
        <f>IFERROR(__xludf.DUMMYFUNCTION("IF(ISBLANK(H808),,JOIN("","",H808:T808))"),"")</f>
        <v/>
      </c>
      <c r="W808" s="229" t="str">
        <f t="shared" si="1"/>
        <v/>
      </c>
    </row>
    <row r="809">
      <c r="H809" s="237"/>
      <c r="I809" s="237" t="str">
        <f>IFERROR(__xludf.DUMMYFUNCTION("IF(ISBLANK(H809),,IFNA(""""""""&amp;JOIN("","",INDEX(FILTER(A:D,A:A=H809),0,4))&amp;"""""""",))"),"")</f>
        <v/>
      </c>
      <c r="J809" s="237" t="str">
        <f>IF(ISBLANK(H809),,IFNA(VLOOKUP(H809, Circuits!A:W, 23, FALSE),))</f>
        <v/>
      </c>
      <c r="K809" s="238" t="str">
        <f t="shared" si="2"/>
        <v/>
      </c>
      <c r="L809" s="238" t="str">
        <f t="shared" si="3"/>
        <v/>
      </c>
      <c r="M809" s="238" t="str">
        <f t="shared" si="4"/>
        <v/>
      </c>
      <c r="N809" s="238" t="str">
        <f t="shared" si="5"/>
        <v/>
      </c>
      <c r="O809" s="238" t="str">
        <f t="shared" si="6"/>
        <v/>
      </c>
      <c r="P809" s="237" t="str">
        <f>IFERROR(__xludf.DUMMYFUNCTION("IF(ISBLANK(H809),,IF(IFNA(MATCH(H809,SPLIT(Circuits!$S$2,"";""&amp;CHAR(10)),0),0),FALSE,TRUE))"),"")</f>
        <v/>
      </c>
      <c r="Q809" s="237" t="str">
        <f>IF(ISBLANK(H809),,IFNA(VLOOKUP(H809, Circuits!A:U, 21, FALSE),))</f>
        <v/>
      </c>
      <c r="R809" s="238" t="str">
        <f t="shared" si="7"/>
        <v/>
      </c>
      <c r="S809" s="237" t="str">
        <f>IF(ISBLANK(H809),,IFNA(VLOOKUP(H809, Circuits!A:V, 22, FALSE),))</f>
        <v/>
      </c>
      <c r="T809" s="237" t="str">
        <f>IF(ISBLANK(H809),,IFNA(VLOOKUP(H809, Circuits!A:X, 24, FALSE),))</f>
        <v/>
      </c>
      <c r="V809" s="236" t="str">
        <f>IFERROR(__xludf.DUMMYFUNCTION("IF(ISBLANK(H809),,JOIN("","",H809:T809))"),"")</f>
        <v/>
      </c>
      <c r="W809" s="229" t="str">
        <f t="shared" si="1"/>
        <v/>
      </c>
    </row>
    <row r="810">
      <c r="H810" s="237"/>
      <c r="I810" s="237" t="str">
        <f>IFERROR(__xludf.DUMMYFUNCTION("IF(ISBLANK(H810),,IFNA(""""""""&amp;JOIN("","",INDEX(FILTER(A:D,A:A=H810),0,4))&amp;"""""""",))"),"")</f>
        <v/>
      </c>
      <c r="J810" s="237" t="str">
        <f>IF(ISBLANK(H810),,IFNA(VLOOKUP(H810, Circuits!A:W, 23, FALSE),))</f>
        <v/>
      </c>
      <c r="K810" s="238" t="str">
        <f t="shared" si="2"/>
        <v/>
      </c>
      <c r="L810" s="238" t="str">
        <f t="shared" si="3"/>
        <v/>
      </c>
      <c r="M810" s="238" t="str">
        <f t="shared" si="4"/>
        <v/>
      </c>
      <c r="N810" s="238" t="str">
        <f t="shared" si="5"/>
        <v/>
      </c>
      <c r="O810" s="238" t="str">
        <f t="shared" si="6"/>
        <v/>
      </c>
      <c r="P810" s="237" t="str">
        <f>IFERROR(__xludf.DUMMYFUNCTION("IF(ISBLANK(H810),,IF(IFNA(MATCH(H810,SPLIT(Circuits!$S$2,"";""&amp;CHAR(10)),0),0),FALSE,TRUE))"),"")</f>
        <v/>
      </c>
      <c r="Q810" s="237" t="str">
        <f>IF(ISBLANK(H810),,IFNA(VLOOKUP(H810, Circuits!A:U, 21, FALSE),))</f>
        <v/>
      </c>
      <c r="R810" s="238" t="str">
        <f t="shared" si="7"/>
        <v/>
      </c>
      <c r="S810" s="237" t="str">
        <f>IF(ISBLANK(H810),,IFNA(VLOOKUP(H810, Circuits!A:V, 22, FALSE),))</f>
        <v/>
      </c>
      <c r="T810" s="237" t="str">
        <f>IF(ISBLANK(H810),,IFNA(VLOOKUP(H810, Circuits!A:X, 24, FALSE),))</f>
        <v/>
      </c>
      <c r="V810" s="236" t="str">
        <f>IFERROR(__xludf.DUMMYFUNCTION("IF(ISBLANK(H810),,JOIN("","",H810:T810))"),"")</f>
        <v/>
      </c>
      <c r="W810" s="229" t="str">
        <f t="shared" si="1"/>
        <v/>
      </c>
    </row>
    <row r="811">
      <c r="H811" s="237"/>
      <c r="I811" s="237" t="str">
        <f>IFERROR(__xludf.DUMMYFUNCTION("IF(ISBLANK(H811),,IFNA(""""""""&amp;JOIN("","",INDEX(FILTER(A:D,A:A=H811),0,4))&amp;"""""""",))"),"")</f>
        <v/>
      </c>
      <c r="J811" s="237" t="str">
        <f>IF(ISBLANK(H811),,IFNA(VLOOKUP(H811, Circuits!A:W, 23, FALSE),))</f>
        <v/>
      </c>
      <c r="K811" s="238" t="str">
        <f t="shared" si="2"/>
        <v/>
      </c>
      <c r="L811" s="238" t="str">
        <f t="shared" si="3"/>
        <v/>
      </c>
      <c r="M811" s="238" t="str">
        <f t="shared" si="4"/>
        <v/>
      </c>
      <c r="N811" s="238" t="str">
        <f t="shared" si="5"/>
        <v/>
      </c>
      <c r="O811" s="238" t="str">
        <f t="shared" si="6"/>
        <v/>
      </c>
      <c r="P811" s="237" t="str">
        <f>IFERROR(__xludf.DUMMYFUNCTION("IF(ISBLANK(H811),,IF(IFNA(MATCH(H811,SPLIT(Circuits!$S$2,"";""&amp;CHAR(10)),0),0),FALSE,TRUE))"),"")</f>
        <v/>
      </c>
      <c r="Q811" s="237" t="str">
        <f>IF(ISBLANK(H811),,IFNA(VLOOKUP(H811, Circuits!A:U, 21, FALSE),))</f>
        <v/>
      </c>
      <c r="R811" s="238" t="str">
        <f t="shared" si="7"/>
        <v/>
      </c>
      <c r="S811" s="237" t="str">
        <f>IF(ISBLANK(H811),,IFNA(VLOOKUP(H811, Circuits!A:V, 22, FALSE),))</f>
        <v/>
      </c>
      <c r="T811" s="237" t="str">
        <f>IF(ISBLANK(H811),,IFNA(VLOOKUP(H811, Circuits!A:X, 24, FALSE),))</f>
        <v/>
      </c>
      <c r="V811" s="236" t="str">
        <f>IFERROR(__xludf.DUMMYFUNCTION("IF(ISBLANK(H811),,JOIN("","",H811:T811))"),"")</f>
        <v/>
      </c>
      <c r="W811" s="229" t="str">
        <f t="shared" si="1"/>
        <v/>
      </c>
    </row>
    <row r="812">
      <c r="H812" s="237"/>
      <c r="I812" s="237" t="str">
        <f>IFERROR(__xludf.DUMMYFUNCTION("IF(ISBLANK(H812),,IFNA(""""""""&amp;JOIN("","",INDEX(FILTER(A:D,A:A=H812),0,4))&amp;"""""""",))"),"")</f>
        <v/>
      </c>
      <c r="J812" s="237" t="str">
        <f>IF(ISBLANK(H812),,IFNA(VLOOKUP(H812, Circuits!A:W, 23, FALSE),))</f>
        <v/>
      </c>
      <c r="K812" s="238" t="str">
        <f t="shared" si="2"/>
        <v/>
      </c>
      <c r="L812" s="238" t="str">
        <f t="shared" si="3"/>
        <v/>
      </c>
      <c r="M812" s="238" t="str">
        <f t="shared" si="4"/>
        <v/>
      </c>
      <c r="N812" s="238" t="str">
        <f t="shared" si="5"/>
        <v/>
      </c>
      <c r="O812" s="238" t="str">
        <f t="shared" si="6"/>
        <v/>
      </c>
      <c r="P812" s="237" t="str">
        <f>IFERROR(__xludf.DUMMYFUNCTION("IF(ISBLANK(H812),,IF(IFNA(MATCH(H812,SPLIT(Circuits!$S$2,"";""&amp;CHAR(10)),0),0),FALSE,TRUE))"),"")</f>
        <v/>
      </c>
      <c r="Q812" s="237" t="str">
        <f>IF(ISBLANK(H812),,IFNA(VLOOKUP(H812, Circuits!A:U, 21, FALSE),))</f>
        <v/>
      </c>
      <c r="R812" s="238" t="str">
        <f t="shared" si="7"/>
        <v/>
      </c>
      <c r="S812" s="237" t="str">
        <f>IF(ISBLANK(H812),,IFNA(VLOOKUP(H812, Circuits!A:V, 22, FALSE),))</f>
        <v/>
      </c>
      <c r="T812" s="237" t="str">
        <f>IF(ISBLANK(H812),,IFNA(VLOOKUP(H812, Circuits!A:X, 24, FALSE),))</f>
        <v/>
      </c>
      <c r="V812" s="236" t="str">
        <f>IFERROR(__xludf.DUMMYFUNCTION("IF(ISBLANK(H812),,JOIN("","",H812:T812))"),"")</f>
        <v/>
      </c>
      <c r="W812" s="229" t="str">
        <f t="shared" si="1"/>
        <v/>
      </c>
    </row>
    <row r="813">
      <c r="H813" s="237"/>
      <c r="I813" s="237" t="str">
        <f>IFERROR(__xludf.DUMMYFUNCTION("IF(ISBLANK(H813),,IFNA(""""""""&amp;JOIN("","",INDEX(FILTER(A:D,A:A=H813),0,4))&amp;"""""""",))"),"")</f>
        <v/>
      </c>
      <c r="J813" s="237" t="str">
        <f>IF(ISBLANK(H813),,IFNA(VLOOKUP(H813, Circuits!A:W, 23, FALSE),))</f>
        <v/>
      </c>
      <c r="K813" s="238" t="str">
        <f t="shared" si="2"/>
        <v/>
      </c>
      <c r="L813" s="238" t="str">
        <f t="shared" si="3"/>
        <v/>
      </c>
      <c r="M813" s="238" t="str">
        <f t="shared" si="4"/>
        <v/>
      </c>
      <c r="N813" s="238" t="str">
        <f t="shared" si="5"/>
        <v/>
      </c>
      <c r="O813" s="238" t="str">
        <f t="shared" si="6"/>
        <v/>
      </c>
      <c r="P813" s="237" t="str">
        <f>IFERROR(__xludf.DUMMYFUNCTION("IF(ISBLANK(H813),,IF(IFNA(MATCH(H813,SPLIT(Circuits!$S$2,"";""&amp;CHAR(10)),0),0),FALSE,TRUE))"),"")</f>
        <v/>
      </c>
      <c r="Q813" s="237" t="str">
        <f>IF(ISBLANK(H813),,IFNA(VLOOKUP(H813, Circuits!A:U, 21, FALSE),))</f>
        <v/>
      </c>
      <c r="R813" s="238" t="str">
        <f t="shared" si="7"/>
        <v/>
      </c>
      <c r="S813" s="237" t="str">
        <f>IF(ISBLANK(H813),,IFNA(VLOOKUP(H813, Circuits!A:V, 22, FALSE),))</f>
        <v/>
      </c>
      <c r="T813" s="237" t="str">
        <f>IF(ISBLANK(H813),,IFNA(VLOOKUP(H813, Circuits!A:X, 24, FALSE),))</f>
        <v/>
      </c>
      <c r="V813" s="236" t="str">
        <f>IFERROR(__xludf.DUMMYFUNCTION("IF(ISBLANK(H813),,JOIN("","",H813:T813))"),"")</f>
        <v/>
      </c>
      <c r="W813" s="229" t="str">
        <f t="shared" si="1"/>
        <v/>
      </c>
    </row>
    <row r="814">
      <c r="H814" s="237"/>
      <c r="I814" s="237" t="str">
        <f>IFERROR(__xludf.DUMMYFUNCTION("IF(ISBLANK(H814),,IFNA(""""""""&amp;JOIN("","",INDEX(FILTER(A:D,A:A=H814),0,4))&amp;"""""""",))"),"")</f>
        <v/>
      </c>
      <c r="J814" s="237" t="str">
        <f>IF(ISBLANK(H814),,IFNA(VLOOKUP(H814, Circuits!A:W, 23, FALSE),))</f>
        <v/>
      </c>
      <c r="K814" s="238" t="str">
        <f t="shared" si="2"/>
        <v/>
      </c>
      <c r="L814" s="238" t="str">
        <f t="shared" si="3"/>
        <v/>
      </c>
      <c r="M814" s="238" t="str">
        <f t="shared" si="4"/>
        <v/>
      </c>
      <c r="N814" s="238" t="str">
        <f t="shared" si="5"/>
        <v/>
      </c>
      <c r="O814" s="238" t="str">
        <f t="shared" si="6"/>
        <v/>
      </c>
      <c r="P814" s="237" t="str">
        <f>IFERROR(__xludf.DUMMYFUNCTION("IF(ISBLANK(H814),,IF(IFNA(MATCH(H814,SPLIT(Circuits!$S$2,"";""&amp;CHAR(10)),0),0),FALSE,TRUE))"),"")</f>
        <v/>
      </c>
      <c r="Q814" s="237" t="str">
        <f>IF(ISBLANK(H814),,IFNA(VLOOKUP(H814, Circuits!A:U, 21, FALSE),))</f>
        <v/>
      </c>
      <c r="R814" s="238" t="str">
        <f t="shared" si="7"/>
        <v/>
      </c>
      <c r="S814" s="237" t="str">
        <f>IF(ISBLANK(H814),,IFNA(VLOOKUP(H814, Circuits!A:V, 22, FALSE),))</f>
        <v/>
      </c>
      <c r="T814" s="237" t="str">
        <f>IF(ISBLANK(H814),,IFNA(VLOOKUP(H814, Circuits!A:X, 24, FALSE),))</f>
        <v/>
      </c>
      <c r="V814" s="236" t="str">
        <f>IFERROR(__xludf.DUMMYFUNCTION("IF(ISBLANK(H814),,JOIN("","",H814:T814))"),"")</f>
        <v/>
      </c>
      <c r="W814" s="229" t="str">
        <f t="shared" si="1"/>
        <v/>
      </c>
    </row>
    <row r="815">
      <c r="H815" s="237"/>
      <c r="I815" s="237" t="str">
        <f>IFERROR(__xludf.DUMMYFUNCTION("IF(ISBLANK(H815),,IFNA(""""""""&amp;JOIN("","",INDEX(FILTER(A:D,A:A=H815),0,4))&amp;"""""""",))"),"")</f>
        <v/>
      </c>
      <c r="J815" s="237" t="str">
        <f>IF(ISBLANK(H815),,IFNA(VLOOKUP(H815, Circuits!A:W, 23, FALSE),))</f>
        <v/>
      </c>
      <c r="K815" s="238" t="str">
        <f t="shared" si="2"/>
        <v/>
      </c>
      <c r="L815" s="238" t="str">
        <f t="shared" si="3"/>
        <v/>
      </c>
      <c r="M815" s="238" t="str">
        <f t="shared" si="4"/>
        <v/>
      </c>
      <c r="N815" s="238" t="str">
        <f t="shared" si="5"/>
        <v/>
      </c>
      <c r="O815" s="238" t="str">
        <f t="shared" si="6"/>
        <v/>
      </c>
      <c r="P815" s="237" t="str">
        <f>IFERROR(__xludf.DUMMYFUNCTION("IF(ISBLANK(H815),,IF(IFNA(MATCH(H815,SPLIT(Circuits!$S$2,"";""&amp;CHAR(10)),0),0),FALSE,TRUE))"),"")</f>
        <v/>
      </c>
      <c r="Q815" s="237" t="str">
        <f>IF(ISBLANK(H815),,IFNA(VLOOKUP(H815, Circuits!A:U, 21, FALSE),))</f>
        <v/>
      </c>
      <c r="R815" s="238" t="str">
        <f t="shared" si="7"/>
        <v/>
      </c>
      <c r="S815" s="237" t="str">
        <f>IF(ISBLANK(H815),,IFNA(VLOOKUP(H815, Circuits!A:V, 22, FALSE),))</f>
        <v/>
      </c>
      <c r="T815" s="237" t="str">
        <f>IF(ISBLANK(H815),,IFNA(VLOOKUP(H815, Circuits!A:X, 24, FALSE),))</f>
        <v/>
      </c>
      <c r="V815" s="236" t="str">
        <f>IFERROR(__xludf.DUMMYFUNCTION("IF(ISBLANK(H815),,JOIN("","",H815:T815))"),"")</f>
        <v/>
      </c>
      <c r="W815" s="229" t="str">
        <f t="shared" si="1"/>
        <v/>
      </c>
    </row>
    <row r="816">
      <c r="H816" s="237"/>
      <c r="I816" s="237" t="str">
        <f>IFERROR(__xludf.DUMMYFUNCTION("IF(ISBLANK(H816),,IFNA(""""""""&amp;JOIN("","",INDEX(FILTER(A:D,A:A=H816),0,4))&amp;"""""""",))"),"")</f>
        <v/>
      </c>
      <c r="J816" s="237" t="str">
        <f>IF(ISBLANK(H816),,IFNA(VLOOKUP(H816, Circuits!A:W, 23, FALSE),))</f>
        <v/>
      </c>
      <c r="K816" s="238" t="str">
        <f t="shared" si="2"/>
        <v/>
      </c>
      <c r="L816" s="238" t="str">
        <f t="shared" si="3"/>
        <v/>
      </c>
      <c r="M816" s="238" t="str">
        <f t="shared" si="4"/>
        <v/>
      </c>
      <c r="N816" s="238" t="str">
        <f t="shared" si="5"/>
        <v/>
      </c>
      <c r="O816" s="238" t="str">
        <f t="shared" si="6"/>
        <v/>
      </c>
      <c r="P816" s="237" t="str">
        <f>IFERROR(__xludf.DUMMYFUNCTION("IF(ISBLANK(H816),,IF(IFNA(MATCH(H816,SPLIT(Circuits!$S$2,"";""&amp;CHAR(10)),0),0),FALSE,TRUE))"),"")</f>
        <v/>
      </c>
      <c r="Q816" s="237" t="str">
        <f>IF(ISBLANK(H816),,IFNA(VLOOKUP(H816, Circuits!A:U, 21, FALSE),))</f>
        <v/>
      </c>
      <c r="R816" s="238" t="str">
        <f t="shared" si="7"/>
        <v/>
      </c>
      <c r="S816" s="237" t="str">
        <f>IF(ISBLANK(H816),,IFNA(VLOOKUP(H816, Circuits!A:V, 22, FALSE),))</f>
        <v/>
      </c>
      <c r="T816" s="237" t="str">
        <f>IF(ISBLANK(H816),,IFNA(VLOOKUP(H816, Circuits!A:X, 24, FALSE),))</f>
        <v/>
      </c>
      <c r="V816" s="236" t="str">
        <f>IFERROR(__xludf.DUMMYFUNCTION("IF(ISBLANK(H816),,JOIN("","",H816:T816))"),"")</f>
        <v/>
      </c>
      <c r="W816" s="229" t="str">
        <f t="shared" si="1"/>
        <v/>
      </c>
    </row>
    <row r="817">
      <c r="H817" s="237"/>
      <c r="I817" s="237" t="str">
        <f>IFERROR(__xludf.DUMMYFUNCTION("IF(ISBLANK(H817),,IFNA(""""""""&amp;JOIN("","",INDEX(FILTER(A:D,A:A=H817),0,4))&amp;"""""""",))"),"")</f>
        <v/>
      </c>
      <c r="J817" s="237" t="str">
        <f>IF(ISBLANK(H817),,IFNA(VLOOKUP(H817, Circuits!A:W, 23, FALSE),))</f>
        <v/>
      </c>
      <c r="K817" s="238" t="str">
        <f t="shared" si="2"/>
        <v/>
      </c>
      <c r="L817" s="238" t="str">
        <f t="shared" si="3"/>
        <v/>
      </c>
      <c r="M817" s="238" t="str">
        <f t="shared" si="4"/>
        <v/>
      </c>
      <c r="N817" s="238" t="str">
        <f t="shared" si="5"/>
        <v/>
      </c>
      <c r="O817" s="238" t="str">
        <f t="shared" si="6"/>
        <v/>
      </c>
      <c r="P817" s="237" t="str">
        <f>IFERROR(__xludf.DUMMYFUNCTION("IF(ISBLANK(H817),,IF(IFNA(MATCH(H817,SPLIT(Circuits!$S$2,"";""&amp;CHAR(10)),0),0),FALSE,TRUE))"),"")</f>
        <v/>
      </c>
      <c r="Q817" s="237" t="str">
        <f>IF(ISBLANK(H817),,IFNA(VLOOKUP(H817, Circuits!A:U, 21, FALSE),))</f>
        <v/>
      </c>
      <c r="R817" s="238" t="str">
        <f t="shared" si="7"/>
        <v/>
      </c>
      <c r="S817" s="237" t="str">
        <f>IF(ISBLANK(H817),,IFNA(VLOOKUP(H817, Circuits!A:V, 22, FALSE),))</f>
        <v/>
      </c>
      <c r="T817" s="237" t="str">
        <f>IF(ISBLANK(H817),,IFNA(VLOOKUP(H817, Circuits!A:X, 24, FALSE),))</f>
        <v/>
      </c>
      <c r="V817" s="236" t="str">
        <f>IFERROR(__xludf.DUMMYFUNCTION("IF(ISBLANK(H817),,JOIN("","",H817:T817))"),"")</f>
        <v/>
      </c>
      <c r="W817" s="229" t="str">
        <f t="shared" si="1"/>
        <v/>
      </c>
    </row>
    <row r="818">
      <c r="H818" s="237"/>
      <c r="I818" s="237" t="str">
        <f>IFERROR(__xludf.DUMMYFUNCTION("IF(ISBLANK(H818),,IFNA(""""""""&amp;JOIN("","",INDEX(FILTER(A:D,A:A=H818),0,4))&amp;"""""""",))"),"")</f>
        <v/>
      </c>
      <c r="J818" s="237" t="str">
        <f>IF(ISBLANK(H818),,IFNA(VLOOKUP(H818, Circuits!A:W, 23, FALSE),))</f>
        <v/>
      </c>
      <c r="K818" s="238" t="str">
        <f t="shared" si="2"/>
        <v/>
      </c>
      <c r="L818" s="238" t="str">
        <f t="shared" si="3"/>
        <v/>
      </c>
      <c r="M818" s="238" t="str">
        <f t="shared" si="4"/>
        <v/>
      </c>
      <c r="N818" s="238" t="str">
        <f t="shared" si="5"/>
        <v/>
      </c>
      <c r="O818" s="238" t="str">
        <f t="shared" si="6"/>
        <v/>
      </c>
      <c r="P818" s="237" t="str">
        <f>IFERROR(__xludf.DUMMYFUNCTION("IF(ISBLANK(H818),,IF(IFNA(MATCH(H818,SPLIT(Circuits!$S$2,"";""&amp;CHAR(10)),0),0),FALSE,TRUE))"),"")</f>
        <v/>
      </c>
      <c r="Q818" s="237" t="str">
        <f>IF(ISBLANK(H818),,IFNA(VLOOKUP(H818, Circuits!A:U, 21, FALSE),))</f>
        <v/>
      </c>
      <c r="R818" s="238" t="str">
        <f t="shared" si="7"/>
        <v/>
      </c>
      <c r="S818" s="237" t="str">
        <f>IF(ISBLANK(H818),,IFNA(VLOOKUP(H818, Circuits!A:V, 22, FALSE),))</f>
        <v/>
      </c>
      <c r="T818" s="237" t="str">
        <f>IF(ISBLANK(H818),,IFNA(VLOOKUP(H818, Circuits!A:X, 24, FALSE),))</f>
        <v/>
      </c>
      <c r="V818" s="236" t="str">
        <f>IFERROR(__xludf.DUMMYFUNCTION("IF(ISBLANK(H818),,JOIN("","",H818:T818))"),"")</f>
        <v/>
      </c>
      <c r="W818" s="229" t="str">
        <f t="shared" si="1"/>
        <v/>
      </c>
    </row>
    <row r="819">
      <c r="H819" s="237"/>
      <c r="I819" s="237" t="str">
        <f>IFERROR(__xludf.DUMMYFUNCTION("IF(ISBLANK(H819),,IFNA(""""""""&amp;JOIN("","",INDEX(FILTER(A:D,A:A=H819),0,4))&amp;"""""""",))"),"")</f>
        <v/>
      </c>
      <c r="J819" s="237" t="str">
        <f>IF(ISBLANK(H819),,IFNA(VLOOKUP(H819, Circuits!A:W, 23, FALSE),))</f>
        <v/>
      </c>
      <c r="K819" s="238" t="str">
        <f t="shared" si="2"/>
        <v/>
      </c>
      <c r="L819" s="238" t="str">
        <f t="shared" si="3"/>
        <v/>
      </c>
      <c r="M819" s="238" t="str">
        <f t="shared" si="4"/>
        <v/>
      </c>
      <c r="N819" s="238" t="str">
        <f t="shared" si="5"/>
        <v/>
      </c>
      <c r="O819" s="238" t="str">
        <f t="shared" si="6"/>
        <v/>
      </c>
      <c r="P819" s="237" t="str">
        <f>IFERROR(__xludf.DUMMYFUNCTION("IF(ISBLANK(H819),,IF(IFNA(MATCH(H819,SPLIT(Circuits!$S$2,"";""&amp;CHAR(10)),0),0),FALSE,TRUE))"),"")</f>
        <v/>
      </c>
      <c r="Q819" s="237" t="str">
        <f>IF(ISBLANK(H819),,IFNA(VLOOKUP(H819, Circuits!A:U, 21, FALSE),))</f>
        <v/>
      </c>
      <c r="R819" s="238" t="str">
        <f t="shared" si="7"/>
        <v/>
      </c>
      <c r="S819" s="237" t="str">
        <f>IF(ISBLANK(H819),,IFNA(VLOOKUP(H819, Circuits!A:V, 22, FALSE),))</f>
        <v/>
      </c>
      <c r="T819" s="237" t="str">
        <f>IF(ISBLANK(H819),,IFNA(VLOOKUP(H819, Circuits!A:X, 24, FALSE),))</f>
        <v/>
      </c>
      <c r="V819" s="236" t="str">
        <f>IFERROR(__xludf.DUMMYFUNCTION("IF(ISBLANK(H819),,JOIN("","",H819:T819))"),"")</f>
        <v/>
      </c>
      <c r="W819" s="229" t="str">
        <f t="shared" si="1"/>
        <v/>
      </c>
    </row>
    <row r="820">
      <c r="H820" s="237"/>
      <c r="I820" s="237" t="str">
        <f>IFERROR(__xludf.DUMMYFUNCTION("IF(ISBLANK(H820),,IFNA(""""""""&amp;JOIN("","",INDEX(FILTER(A:D,A:A=H820),0,4))&amp;"""""""",))"),"")</f>
        <v/>
      </c>
      <c r="J820" s="237" t="str">
        <f>IF(ISBLANK(H820),,IFNA(VLOOKUP(H820, Circuits!A:W, 23, FALSE),))</f>
        <v/>
      </c>
      <c r="K820" s="238" t="str">
        <f t="shared" si="2"/>
        <v/>
      </c>
      <c r="L820" s="238" t="str">
        <f t="shared" si="3"/>
        <v/>
      </c>
      <c r="M820" s="238" t="str">
        <f t="shared" si="4"/>
        <v/>
      </c>
      <c r="N820" s="238" t="str">
        <f t="shared" si="5"/>
        <v/>
      </c>
      <c r="O820" s="238" t="str">
        <f t="shared" si="6"/>
        <v/>
      </c>
      <c r="P820" s="237" t="str">
        <f>IFERROR(__xludf.DUMMYFUNCTION("IF(ISBLANK(H820),,IF(IFNA(MATCH(H820,SPLIT(Circuits!$S$2,"";""&amp;CHAR(10)),0),0),FALSE,TRUE))"),"")</f>
        <v/>
      </c>
      <c r="Q820" s="237" t="str">
        <f>IF(ISBLANK(H820),,IFNA(VLOOKUP(H820, Circuits!A:U, 21, FALSE),))</f>
        <v/>
      </c>
      <c r="R820" s="238" t="str">
        <f t="shared" si="7"/>
        <v/>
      </c>
      <c r="S820" s="237" t="str">
        <f>IF(ISBLANK(H820),,IFNA(VLOOKUP(H820, Circuits!A:V, 22, FALSE),))</f>
        <v/>
      </c>
      <c r="T820" s="237" t="str">
        <f>IF(ISBLANK(H820),,IFNA(VLOOKUP(H820, Circuits!A:X, 24, FALSE),))</f>
        <v/>
      </c>
      <c r="V820" s="236" t="str">
        <f>IFERROR(__xludf.DUMMYFUNCTION("IF(ISBLANK(H820),,JOIN("","",H820:T820))"),"")</f>
        <v/>
      </c>
      <c r="W820" s="229" t="str">
        <f t="shared" si="1"/>
        <v/>
      </c>
    </row>
    <row r="821">
      <c r="H821" s="237"/>
      <c r="I821" s="237" t="str">
        <f>IFERROR(__xludf.DUMMYFUNCTION("IF(ISBLANK(H821),,IFNA(""""""""&amp;JOIN("","",INDEX(FILTER(A:D,A:A=H821),0,4))&amp;"""""""",))"),"")</f>
        <v/>
      </c>
      <c r="J821" s="237" t="str">
        <f>IF(ISBLANK(H821),,IFNA(VLOOKUP(H821, Circuits!A:W, 23, FALSE),))</f>
        <v/>
      </c>
      <c r="K821" s="238" t="str">
        <f t="shared" si="2"/>
        <v/>
      </c>
      <c r="L821" s="238" t="str">
        <f t="shared" si="3"/>
        <v/>
      </c>
      <c r="M821" s="238" t="str">
        <f t="shared" si="4"/>
        <v/>
      </c>
      <c r="N821" s="238" t="str">
        <f t="shared" si="5"/>
        <v/>
      </c>
      <c r="O821" s="238" t="str">
        <f t="shared" si="6"/>
        <v/>
      </c>
      <c r="P821" s="237" t="str">
        <f>IFERROR(__xludf.DUMMYFUNCTION("IF(ISBLANK(H821),,IF(IFNA(MATCH(H821,SPLIT(Circuits!$S$2,"";""&amp;CHAR(10)),0),0),FALSE,TRUE))"),"")</f>
        <v/>
      </c>
      <c r="Q821" s="237" t="str">
        <f>IF(ISBLANK(H821),,IFNA(VLOOKUP(H821, Circuits!A:U, 21, FALSE),))</f>
        <v/>
      </c>
      <c r="R821" s="238" t="str">
        <f t="shared" si="7"/>
        <v/>
      </c>
      <c r="S821" s="237" t="str">
        <f>IF(ISBLANK(H821),,IFNA(VLOOKUP(H821, Circuits!A:V, 22, FALSE),))</f>
        <v/>
      </c>
      <c r="T821" s="237" t="str">
        <f>IF(ISBLANK(H821),,IFNA(VLOOKUP(H821, Circuits!A:X, 24, FALSE),))</f>
        <v/>
      </c>
      <c r="V821" s="236" t="str">
        <f>IFERROR(__xludf.DUMMYFUNCTION("IF(ISBLANK(H821),,JOIN("","",H821:T821))"),"")</f>
        <v/>
      </c>
      <c r="W821" s="229" t="str">
        <f t="shared" si="1"/>
        <v/>
      </c>
    </row>
    <row r="822">
      <c r="H822" s="237"/>
      <c r="I822" s="237" t="str">
        <f>IFERROR(__xludf.DUMMYFUNCTION("IF(ISBLANK(H822),,IFNA(""""""""&amp;JOIN("","",INDEX(FILTER(A:D,A:A=H822),0,4))&amp;"""""""",))"),"")</f>
        <v/>
      </c>
      <c r="J822" s="237" t="str">
        <f>IF(ISBLANK(H822),,IFNA(VLOOKUP(H822, Circuits!A:W, 23, FALSE),))</f>
        <v/>
      </c>
      <c r="K822" s="238" t="str">
        <f t="shared" si="2"/>
        <v/>
      </c>
      <c r="L822" s="238" t="str">
        <f t="shared" si="3"/>
        <v/>
      </c>
      <c r="M822" s="238" t="str">
        <f t="shared" si="4"/>
        <v/>
      </c>
      <c r="N822" s="238" t="str">
        <f t="shared" si="5"/>
        <v/>
      </c>
      <c r="O822" s="238" t="str">
        <f t="shared" si="6"/>
        <v/>
      </c>
      <c r="P822" s="237" t="str">
        <f>IFERROR(__xludf.DUMMYFUNCTION("IF(ISBLANK(H822),,IF(IFNA(MATCH(H822,SPLIT(Circuits!$S$2,"";""&amp;CHAR(10)),0),0),FALSE,TRUE))"),"")</f>
        <v/>
      </c>
      <c r="Q822" s="237" t="str">
        <f>IF(ISBLANK(H822),,IFNA(VLOOKUP(H822, Circuits!A:U, 21, FALSE),))</f>
        <v/>
      </c>
      <c r="R822" s="238" t="str">
        <f t="shared" si="7"/>
        <v/>
      </c>
      <c r="S822" s="237" t="str">
        <f>IF(ISBLANK(H822),,IFNA(VLOOKUP(H822, Circuits!A:V, 22, FALSE),))</f>
        <v/>
      </c>
      <c r="T822" s="237" t="str">
        <f>IF(ISBLANK(H822),,IFNA(VLOOKUP(H822, Circuits!A:X, 24, FALSE),))</f>
        <v/>
      </c>
      <c r="V822" s="236" t="str">
        <f>IFERROR(__xludf.DUMMYFUNCTION("IF(ISBLANK(H822),,JOIN("","",H822:T822))"),"")</f>
        <v/>
      </c>
      <c r="W822" s="229" t="str">
        <f t="shared" si="1"/>
        <v/>
      </c>
    </row>
    <row r="823">
      <c r="H823" s="237"/>
      <c r="I823" s="237" t="str">
        <f>IFERROR(__xludf.DUMMYFUNCTION("IF(ISBLANK(H823),,IFNA(""""""""&amp;JOIN("","",INDEX(FILTER(A:D,A:A=H823),0,4))&amp;"""""""",))"),"")</f>
        <v/>
      </c>
      <c r="J823" s="237" t="str">
        <f>IF(ISBLANK(H823),,IFNA(VLOOKUP(H823, Circuits!A:W, 23, FALSE),))</f>
        <v/>
      </c>
      <c r="K823" s="238" t="str">
        <f t="shared" si="2"/>
        <v/>
      </c>
      <c r="L823" s="238" t="str">
        <f t="shared" si="3"/>
        <v/>
      </c>
      <c r="M823" s="238" t="str">
        <f t="shared" si="4"/>
        <v/>
      </c>
      <c r="N823" s="238" t="str">
        <f t="shared" si="5"/>
        <v/>
      </c>
      <c r="O823" s="238" t="str">
        <f t="shared" si="6"/>
        <v/>
      </c>
      <c r="P823" s="237" t="str">
        <f>IFERROR(__xludf.DUMMYFUNCTION("IF(ISBLANK(H823),,IF(IFNA(MATCH(H823,SPLIT(Circuits!$S$2,"";""&amp;CHAR(10)),0),0),FALSE,TRUE))"),"")</f>
        <v/>
      </c>
      <c r="Q823" s="237" t="str">
        <f>IF(ISBLANK(H823),,IFNA(VLOOKUP(H823, Circuits!A:U, 21, FALSE),))</f>
        <v/>
      </c>
      <c r="R823" s="238" t="str">
        <f t="shared" si="7"/>
        <v/>
      </c>
      <c r="S823" s="237" t="str">
        <f>IF(ISBLANK(H823),,IFNA(VLOOKUP(H823, Circuits!A:V, 22, FALSE),))</f>
        <v/>
      </c>
      <c r="T823" s="237" t="str">
        <f>IF(ISBLANK(H823),,IFNA(VLOOKUP(H823, Circuits!A:X, 24, FALSE),))</f>
        <v/>
      </c>
      <c r="V823" s="236" t="str">
        <f>IFERROR(__xludf.DUMMYFUNCTION("IF(ISBLANK(H823),,JOIN("","",H823:T823))"),"")</f>
        <v/>
      </c>
      <c r="W823" s="229" t="str">
        <f t="shared" si="1"/>
        <v/>
      </c>
    </row>
    <row r="824">
      <c r="H824" s="237"/>
      <c r="I824" s="237" t="str">
        <f>IFERROR(__xludf.DUMMYFUNCTION("IF(ISBLANK(H824),,IFNA(""""""""&amp;JOIN("","",INDEX(FILTER(A:D,A:A=H824),0,4))&amp;"""""""",))"),"")</f>
        <v/>
      </c>
      <c r="J824" s="237" t="str">
        <f>IF(ISBLANK(H824),,IFNA(VLOOKUP(H824, Circuits!A:W, 23, FALSE),))</f>
        <v/>
      </c>
      <c r="K824" s="238" t="str">
        <f t="shared" si="2"/>
        <v/>
      </c>
      <c r="L824" s="238" t="str">
        <f t="shared" si="3"/>
        <v/>
      </c>
      <c r="M824" s="238" t="str">
        <f t="shared" si="4"/>
        <v/>
      </c>
      <c r="N824" s="238" t="str">
        <f t="shared" si="5"/>
        <v/>
      </c>
      <c r="O824" s="238" t="str">
        <f t="shared" si="6"/>
        <v/>
      </c>
      <c r="P824" s="237" t="str">
        <f>IFERROR(__xludf.DUMMYFUNCTION("IF(ISBLANK(H824),,IF(IFNA(MATCH(H824,SPLIT(Circuits!$S$2,"";""&amp;CHAR(10)),0),0),FALSE,TRUE))"),"")</f>
        <v/>
      </c>
      <c r="Q824" s="237" t="str">
        <f>IF(ISBLANK(H824),,IFNA(VLOOKUP(H824, Circuits!A:U, 21, FALSE),))</f>
        <v/>
      </c>
      <c r="R824" s="238" t="str">
        <f t="shared" si="7"/>
        <v/>
      </c>
      <c r="S824" s="237" t="str">
        <f>IF(ISBLANK(H824),,IFNA(VLOOKUP(H824, Circuits!A:V, 22, FALSE),))</f>
        <v/>
      </c>
      <c r="T824" s="237" t="str">
        <f>IF(ISBLANK(H824),,IFNA(VLOOKUP(H824, Circuits!A:X, 24, FALSE),))</f>
        <v/>
      </c>
      <c r="V824" s="236" t="str">
        <f>IFERROR(__xludf.DUMMYFUNCTION("IF(ISBLANK(H824),,JOIN("","",H824:T824))"),"")</f>
        <v/>
      </c>
      <c r="W824" s="229" t="str">
        <f t="shared" si="1"/>
        <v/>
      </c>
    </row>
    <row r="825">
      <c r="H825" s="237"/>
      <c r="I825" s="237" t="str">
        <f>IFERROR(__xludf.DUMMYFUNCTION("IF(ISBLANK(H825),,IFNA(""""""""&amp;JOIN("","",INDEX(FILTER(A:D,A:A=H825),0,4))&amp;"""""""",))"),"")</f>
        <v/>
      </c>
      <c r="J825" s="237" t="str">
        <f>IF(ISBLANK(H825),,IFNA(VLOOKUP(H825, Circuits!A:W, 23, FALSE),))</f>
        <v/>
      </c>
      <c r="K825" s="238" t="str">
        <f t="shared" si="2"/>
        <v/>
      </c>
      <c r="L825" s="238" t="str">
        <f t="shared" si="3"/>
        <v/>
      </c>
      <c r="M825" s="238" t="str">
        <f t="shared" si="4"/>
        <v/>
      </c>
      <c r="N825" s="238" t="str">
        <f t="shared" si="5"/>
        <v/>
      </c>
      <c r="O825" s="238" t="str">
        <f t="shared" si="6"/>
        <v/>
      </c>
      <c r="P825" s="237" t="str">
        <f>IFERROR(__xludf.DUMMYFUNCTION("IF(ISBLANK(H825),,IF(IFNA(MATCH(H825,SPLIT(Circuits!$S$2,"";""&amp;CHAR(10)),0),0),FALSE,TRUE))"),"")</f>
        <v/>
      </c>
      <c r="Q825" s="237" t="str">
        <f>IF(ISBLANK(H825),,IFNA(VLOOKUP(H825, Circuits!A:U, 21, FALSE),))</f>
        <v/>
      </c>
      <c r="R825" s="238" t="str">
        <f t="shared" si="7"/>
        <v/>
      </c>
      <c r="S825" s="237" t="str">
        <f>IF(ISBLANK(H825),,IFNA(VLOOKUP(H825, Circuits!A:V, 22, FALSE),))</f>
        <v/>
      </c>
      <c r="T825" s="237" t="str">
        <f>IF(ISBLANK(H825),,IFNA(VLOOKUP(H825, Circuits!A:X, 24, FALSE),))</f>
        <v/>
      </c>
      <c r="V825" s="236" t="str">
        <f>IFERROR(__xludf.DUMMYFUNCTION("IF(ISBLANK(H825),,JOIN("","",H825:T825))"),"")</f>
        <v/>
      </c>
      <c r="W825" s="229" t="str">
        <f t="shared" si="1"/>
        <v/>
      </c>
    </row>
    <row r="826">
      <c r="H826" s="237"/>
      <c r="I826" s="237" t="str">
        <f>IFERROR(__xludf.DUMMYFUNCTION("IF(ISBLANK(H826),,IFNA(""""""""&amp;JOIN("","",INDEX(FILTER(A:D,A:A=H826),0,4))&amp;"""""""",))"),"")</f>
        <v/>
      </c>
      <c r="J826" s="237" t="str">
        <f>IF(ISBLANK(H826),,IFNA(VLOOKUP(H826, Circuits!A:W, 23, FALSE),))</f>
        <v/>
      </c>
      <c r="K826" s="238" t="str">
        <f t="shared" si="2"/>
        <v/>
      </c>
      <c r="L826" s="238" t="str">
        <f t="shared" si="3"/>
        <v/>
      </c>
      <c r="M826" s="238" t="str">
        <f t="shared" si="4"/>
        <v/>
      </c>
      <c r="N826" s="238" t="str">
        <f t="shared" si="5"/>
        <v/>
      </c>
      <c r="O826" s="238" t="str">
        <f t="shared" si="6"/>
        <v/>
      </c>
      <c r="P826" s="237" t="str">
        <f>IFERROR(__xludf.DUMMYFUNCTION("IF(ISBLANK(H826),,IF(IFNA(MATCH(H826,SPLIT(Circuits!$S$2,"";""&amp;CHAR(10)),0),0),FALSE,TRUE))"),"")</f>
        <v/>
      </c>
      <c r="Q826" s="237" t="str">
        <f>IF(ISBLANK(H826),,IFNA(VLOOKUP(H826, Circuits!A:U, 21, FALSE),))</f>
        <v/>
      </c>
      <c r="R826" s="238" t="str">
        <f t="shared" si="7"/>
        <v/>
      </c>
      <c r="S826" s="237" t="str">
        <f>IF(ISBLANK(H826),,IFNA(VLOOKUP(H826, Circuits!A:V, 22, FALSE),))</f>
        <v/>
      </c>
      <c r="T826" s="237" t="str">
        <f>IF(ISBLANK(H826),,IFNA(VLOOKUP(H826, Circuits!A:X, 24, FALSE),))</f>
        <v/>
      </c>
      <c r="V826" s="236" t="str">
        <f>IFERROR(__xludf.DUMMYFUNCTION("IF(ISBLANK(H826),,JOIN("","",H826:T826))"),"")</f>
        <v/>
      </c>
      <c r="W826" s="229" t="str">
        <f t="shared" si="1"/>
        <v/>
      </c>
    </row>
    <row r="827">
      <c r="H827" s="237"/>
      <c r="I827" s="237" t="str">
        <f>IFERROR(__xludf.DUMMYFUNCTION("IF(ISBLANK(H827),,IFNA(""""""""&amp;JOIN("","",INDEX(FILTER(A:D,A:A=H827),0,4))&amp;"""""""",))"),"")</f>
        <v/>
      </c>
      <c r="J827" s="237" t="str">
        <f>IF(ISBLANK(H827),,IFNA(VLOOKUP(H827, Circuits!A:W, 23, FALSE),))</f>
        <v/>
      </c>
      <c r="K827" s="238" t="str">
        <f t="shared" si="2"/>
        <v/>
      </c>
      <c r="L827" s="238" t="str">
        <f t="shared" si="3"/>
        <v/>
      </c>
      <c r="M827" s="238" t="str">
        <f t="shared" si="4"/>
        <v/>
      </c>
      <c r="N827" s="238" t="str">
        <f t="shared" si="5"/>
        <v/>
      </c>
      <c r="O827" s="238" t="str">
        <f t="shared" si="6"/>
        <v/>
      </c>
      <c r="P827" s="237" t="str">
        <f>IFERROR(__xludf.DUMMYFUNCTION("IF(ISBLANK(H827),,IF(IFNA(MATCH(H827,SPLIT(Circuits!$S$2,"";""&amp;CHAR(10)),0),0),FALSE,TRUE))"),"")</f>
        <v/>
      </c>
      <c r="Q827" s="237" t="str">
        <f>IF(ISBLANK(H827),,IFNA(VLOOKUP(H827, Circuits!A:U, 21, FALSE),))</f>
        <v/>
      </c>
      <c r="R827" s="238" t="str">
        <f t="shared" si="7"/>
        <v/>
      </c>
      <c r="S827" s="237" t="str">
        <f>IF(ISBLANK(H827),,IFNA(VLOOKUP(H827, Circuits!A:V, 22, FALSE),))</f>
        <v/>
      </c>
      <c r="T827" s="237" t="str">
        <f>IF(ISBLANK(H827),,IFNA(VLOOKUP(H827, Circuits!A:X, 24, FALSE),))</f>
        <v/>
      </c>
      <c r="V827" s="236" t="str">
        <f>IFERROR(__xludf.DUMMYFUNCTION("IF(ISBLANK(H827),,JOIN("","",H827:T827))"),"")</f>
        <v/>
      </c>
      <c r="W827" s="229" t="str">
        <f t="shared" si="1"/>
        <v/>
      </c>
    </row>
    <row r="828">
      <c r="H828" s="237"/>
      <c r="I828" s="237" t="str">
        <f>IFERROR(__xludf.DUMMYFUNCTION("IF(ISBLANK(H828),,IFNA(""""""""&amp;JOIN("","",INDEX(FILTER(A:D,A:A=H828),0,4))&amp;"""""""",))"),"")</f>
        <v/>
      </c>
      <c r="J828" s="237" t="str">
        <f>IF(ISBLANK(H828),,IFNA(VLOOKUP(H828, Circuits!A:W, 23, FALSE),))</f>
        <v/>
      </c>
      <c r="K828" s="238" t="str">
        <f t="shared" si="2"/>
        <v/>
      </c>
      <c r="L828" s="238" t="str">
        <f t="shared" si="3"/>
        <v/>
      </c>
      <c r="M828" s="238" t="str">
        <f t="shared" si="4"/>
        <v/>
      </c>
      <c r="N828" s="238" t="str">
        <f t="shared" si="5"/>
        <v/>
      </c>
      <c r="O828" s="238" t="str">
        <f t="shared" si="6"/>
        <v/>
      </c>
      <c r="P828" s="237" t="str">
        <f>IFERROR(__xludf.DUMMYFUNCTION("IF(ISBLANK(H828),,IF(IFNA(MATCH(H828,SPLIT(Circuits!$S$2,"";""&amp;CHAR(10)),0),0),FALSE,TRUE))"),"")</f>
        <v/>
      </c>
      <c r="Q828" s="237" t="str">
        <f>IF(ISBLANK(H828),,IFNA(VLOOKUP(H828, Circuits!A:U, 21, FALSE),))</f>
        <v/>
      </c>
      <c r="R828" s="238" t="str">
        <f t="shared" si="7"/>
        <v/>
      </c>
      <c r="S828" s="237" t="str">
        <f>IF(ISBLANK(H828),,IFNA(VLOOKUP(H828, Circuits!A:V, 22, FALSE),))</f>
        <v/>
      </c>
      <c r="T828" s="237" t="str">
        <f>IF(ISBLANK(H828),,IFNA(VLOOKUP(H828, Circuits!A:X, 24, FALSE),))</f>
        <v/>
      </c>
      <c r="V828" s="236" t="str">
        <f>IFERROR(__xludf.DUMMYFUNCTION("IF(ISBLANK(H828),,JOIN("","",H828:T828))"),"")</f>
        <v/>
      </c>
      <c r="W828" s="229" t="str">
        <f t="shared" si="1"/>
        <v/>
      </c>
    </row>
    <row r="829">
      <c r="H829" s="237"/>
      <c r="I829" s="237" t="str">
        <f>IFERROR(__xludf.DUMMYFUNCTION("IF(ISBLANK(H829),,IFNA(""""""""&amp;JOIN("","",INDEX(FILTER(A:D,A:A=H829),0,4))&amp;"""""""",))"),"")</f>
        <v/>
      </c>
      <c r="J829" s="237" t="str">
        <f>IF(ISBLANK(H829),,IFNA(VLOOKUP(H829, Circuits!A:W, 23, FALSE),))</f>
        <v/>
      </c>
      <c r="K829" s="238" t="str">
        <f t="shared" si="2"/>
        <v/>
      </c>
      <c r="L829" s="238" t="str">
        <f t="shared" si="3"/>
        <v/>
      </c>
      <c r="M829" s="238" t="str">
        <f t="shared" si="4"/>
        <v/>
      </c>
      <c r="N829" s="238" t="str">
        <f t="shared" si="5"/>
        <v/>
      </c>
      <c r="O829" s="238" t="str">
        <f t="shared" si="6"/>
        <v/>
      </c>
      <c r="P829" s="237" t="str">
        <f>IFERROR(__xludf.DUMMYFUNCTION("IF(ISBLANK(H829),,IF(IFNA(MATCH(H829,SPLIT(Circuits!$S$2,"";""&amp;CHAR(10)),0),0),FALSE,TRUE))"),"")</f>
        <v/>
      </c>
      <c r="Q829" s="237" t="str">
        <f>IF(ISBLANK(H829),,IFNA(VLOOKUP(H829, Circuits!A:U, 21, FALSE),))</f>
        <v/>
      </c>
      <c r="R829" s="238" t="str">
        <f t="shared" si="7"/>
        <v/>
      </c>
      <c r="S829" s="237" t="str">
        <f>IF(ISBLANK(H829),,IFNA(VLOOKUP(H829, Circuits!A:V, 22, FALSE),))</f>
        <v/>
      </c>
      <c r="T829" s="237" t="str">
        <f>IF(ISBLANK(H829),,IFNA(VLOOKUP(H829, Circuits!A:X, 24, FALSE),))</f>
        <v/>
      </c>
      <c r="V829" s="236" t="str">
        <f>IFERROR(__xludf.DUMMYFUNCTION("IF(ISBLANK(H829),,JOIN("","",H829:T829))"),"")</f>
        <v/>
      </c>
      <c r="W829" s="229" t="str">
        <f t="shared" si="1"/>
        <v/>
      </c>
    </row>
    <row r="830">
      <c r="H830" s="237"/>
      <c r="I830" s="237" t="str">
        <f>IFERROR(__xludf.DUMMYFUNCTION("IF(ISBLANK(H830),,IFNA(""""""""&amp;JOIN("","",INDEX(FILTER(A:D,A:A=H830),0,4))&amp;"""""""",))"),"")</f>
        <v/>
      </c>
      <c r="J830" s="237" t="str">
        <f>IF(ISBLANK(H830),,IFNA(VLOOKUP(H830, Circuits!A:W, 23, FALSE),))</f>
        <v/>
      </c>
      <c r="K830" s="238" t="str">
        <f t="shared" si="2"/>
        <v/>
      </c>
      <c r="L830" s="238" t="str">
        <f t="shared" si="3"/>
        <v/>
      </c>
      <c r="M830" s="238" t="str">
        <f t="shared" si="4"/>
        <v/>
      </c>
      <c r="N830" s="238" t="str">
        <f t="shared" si="5"/>
        <v/>
      </c>
      <c r="O830" s="238" t="str">
        <f t="shared" si="6"/>
        <v/>
      </c>
      <c r="P830" s="237" t="str">
        <f>IFERROR(__xludf.DUMMYFUNCTION("IF(ISBLANK(H830),,IF(IFNA(MATCH(H830,SPLIT(Circuits!$S$2,"";""&amp;CHAR(10)),0),0),FALSE,TRUE))"),"")</f>
        <v/>
      </c>
      <c r="Q830" s="237" t="str">
        <f>IF(ISBLANK(H830),,IFNA(VLOOKUP(H830, Circuits!A:U, 21, FALSE),))</f>
        <v/>
      </c>
      <c r="R830" s="238" t="str">
        <f t="shared" si="7"/>
        <v/>
      </c>
      <c r="S830" s="237" t="str">
        <f>IF(ISBLANK(H830),,IFNA(VLOOKUP(H830, Circuits!A:V, 22, FALSE),))</f>
        <v/>
      </c>
      <c r="T830" s="237" t="str">
        <f>IF(ISBLANK(H830),,IFNA(VLOOKUP(H830, Circuits!A:X, 24, FALSE),))</f>
        <v/>
      </c>
      <c r="V830" s="236" t="str">
        <f>IFERROR(__xludf.DUMMYFUNCTION("IF(ISBLANK(H830),,JOIN("","",H830:T830))"),"")</f>
        <v/>
      </c>
      <c r="W830" s="229" t="str">
        <f t="shared" si="1"/>
        <v/>
      </c>
    </row>
    <row r="831">
      <c r="H831" s="237"/>
      <c r="I831" s="237" t="str">
        <f>IFERROR(__xludf.DUMMYFUNCTION("IF(ISBLANK(H831),,IFNA(""""""""&amp;JOIN("","",INDEX(FILTER(A:D,A:A=H831),0,4))&amp;"""""""",))"),"")</f>
        <v/>
      </c>
      <c r="J831" s="237" t="str">
        <f>IF(ISBLANK(H831),,IFNA(VLOOKUP(H831, Circuits!A:W, 23, FALSE),))</f>
        <v/>
      </c>
      <c r="K831" s="238" t="str">
        <f t="shared" si="2"/>
        <v/>
      </c>
      <c r="L831" s="238" t="str">
        <f t="shared" si="3"/>
        <v/>
      </c>
      <c r="M831" s="238" t="str">
        <f t="shared" si="4"/>
        <v/>
      </c>
      <c r="N831" s="238" t="str">
        <f t="shared" si="5"/>
        <v/>
      </c>
      <c r="O831" s="238" t="str">
        <f t="shared" si="6"/>
        <v/>
      </c>
      <c r="P831" s="237" t="str">
        <f>IFERROR(__xludf.DUMMYFUNCTION("IF(ISBLANK(H831),,IF(IFNA(MATCH(H831,SPLIT(Circuits!$S$2,"";""&amp;CHAR(10)),0),0),FALSE,TRUE))"),"")</f>
        <v/>
      </c>
      <c r="Q831" s="237" t="str">
        <f>IF(ISBLANK(H831),,IFNA(VLOOKUP(H831, Circuits!A:U, 21, FALSE),))</f>
        <v/>
      </c>
      <c r="R831" s="238" t="str">
        <f t="shared" si="7"/>
        <v/>
      </c>
      <c r="S831" s="237" t="str">
        <f>IF(ISBLANK(H831),,IFNA(VLOOKUP(H831, Circuits!A:V, 22, FALSE),))</f>
        <v/>
      </c>
      <c r="T831" s="237" t="str">
        <f>IF(ISBLANK(H831),,IFNA(VLOOKUP(H831, Circuits!A:X, 24, FALSE),))</f>
        <v/>
      </c>
      <c r="V831" s="236" t="str">
        <f>IFERROR(__xludf.DUMMYFUNCTION("IF(ISBLANK(H831),,JOIN("","",H831:T831))"),"")</f>
        <v/>
      </c>
      <c r="W831" s="229" t="str">
        <f t="shared" si="1"/>
        <v/>
      </c>
    </row>
    <row r="832">
      <c r="H832" s="237"/>
      <c r="I832" s="237" t="str">
        <f>IFERROR(__xludf.DUMMYFUNCTION("IF(ISBLANK(H832),,IFNA(""""""""&amp;JOIN("","",INDEX(FILTER(A:D,A:A=H832),0,4))&amp;"""""""",))"),"")</f>
        <v/>
      </c>
      <c r="J832" s="237" t="str">
        <f>IF(ISBLANK(H832),,IFNA(VLOOKUP(H832, Circuits!A:W, 23, FALSE),))</f>
        <v/>
      </c>
      <c r="K832" s="238" t="str">
        <f t="shared" si="2"/>
        <v/>
      </c>
      <c r="L832" s="238" t="str">
        <f t="shared" si="3"/>
        <v/>
      </c>
      <c r="M832" s="238" t="str">
        <f t="shared" si="4"/>
        <v/>
      </c>
      <c r="N832" s="238" t="str">
        <f t="shared" si="5"/>
        <v/>
      </c>
      <c r="O832" s="238" t="str">
        <f t="shared" si="6"/>
        <v/>
      </c>
      <c r="P832" s="237" t="str">
        <f>IFERROR(__xludf.DUMMYFUNCTION("IF(ISBLANK(H832),,IF(IFNA(MATCH(H832,SPLIT(Circuits!$S$2,"";""&amp;CHAR(10)),0),0),FALSE,TRUE))"),"")</f>
        <v/>
      </c>
      <c r="Q832" s="237" t="str">
        <f>IF(ISBLANK(H832),,IFNA(VLOOKUP(H832, Circuits!A:U, 21, FALSE),))</f>
        <v/>
      </c>
      <c r="R832" s="238" t="str">
        <f t="shared" si="7"/>
        <v/>
      </c>
      <c r="S832" s="237" t="str">
        <f>IF(ISBLANK(H832),,IFNA(VLOOKUP(H832, Circuits!A:V, 22, FALSE),))</f>
        <v/>
      </c>
      <c r="T832" s="237" t="str">
        <f>IF(ISBLANK(H832),,IFNA(VLOOKUP(H832, Circuits!A:X, 24, FALSE),))</f>
        <v/>
      </c>
      <c r="V832" s="236" t="str">
        <f>IFERROR(__xludf.DUMMYFUNCTION("IF(ISBLANK(H832),,JOIN("","",H832:T832))"),"")</f>
        <v/>
      </c>
      <c r="W832" s="229" t="str">
        <f t="shared" si="1"/>
        <v/>
      </c>
    </row>
    <row r="833">
      <c r="H833" s="237"/>
      <c r="I833" s="237" t="str">
        <f>IFERROR(__xludf.DUMMYFUNCTION("IF(ISBLANK(H833),,IFNA(""""""""&amp;JOIN("","",INDEX(FILTER(A:D,A:A=H833),0,4))&amp;"""""""",))"),"")</f>
        <v/>
      </c>
      <c r="J833" s="237" t="str">
        <f>IF(ISBLANK(H833),,IFNA(VLOOKUP(H833, Circuits!A:W, 23, FALSE),))</f>
        <v/>
      </c>
      <c r="K833" s="238" t="str">
        <f t="shared" si="2"/>
        <v/>
      </c>
      <c r="L833" s="238" t="str">
        <f t="shared" si="3"/>
        <v/>
      </c>
      <c r="M833" s="238" t="str">
        <f t="shared" si="4"/>
        <v/>
      </c>
      <c r="N833" s="238" t="str">
        <f t="shared" si="5"/>
        <v/>
      </c>
      <c r="O833" s="238" t="str">
        <f t="shared" si="6"/>
        <v/>
      </c>
      <c r="P833" s="237" t="str">
        <f>IFERROR(__xludf.DUMMYFUNCTION("IF(ISBLANK(H833),,IF(IFNA(MATCH(H833,SPLIT(Circuits!$S$2,"";""&amp;CHAR(10)),0),0),FALSE,TRUE))"),"")</f>
        <v/>
      </c>
      <c r="Q833" s="237" t="str">
        <f>IF(ISBLANK(H833),,IFNA(VLOOKUP(H833, Circuits!A:U, 21, FALSE),))</f>
        <v/>
      </c>
      <c r="R833" s="238" t="str">
        <f t="shared" si="7"/>
        <v/>
      </c>
      <c r="S833" s="237" t="str">
        <f>IF(ISBLANK(H833),,IFNA(VLOOKUP(H833, Circuits!A:V, 22, FALSE),))</f>
        <v/>
      </c>
      <c r="T833" s="237" t="str">
        <f>IF(ISBLANK(H833),,IFNA(VLOOKUP(H833, Circuits!A:X, 24, FALSE),))</f>
        <v/>
      </c>
      <c r="V833" s="236" t="str">
        <f>IFERROR(__xludf.DUMMYFUNCTION("IF(ISBLANK(H833),,JOIN("","",H833:T833))"),"")</f>
        <v/>
      </c>
      <c r="W833" s="229" t="str">
        <f t="shared" si="1"/>
        <v/>
      </c>
    </row>
    <row r="834">
      <c r="H834" s="237"/>
      <c r="I834" s="237" t="str">
        <f>IFERROR(__xludf.DUMMYFUNCTION("IF(ISBLANK(H834),,IFNA(""""""""&amp;JOIN("","",INDEX(FILTER(A:D,A:A=H834),0,4))&amp;"""""""",))"),"")</f>
        <v/>
      </c>
      <c r="J834" s="237" t="str">
        <f>IF(ISBLANK(H834),,IFNA(VLOOKUP(H834, Circuits!A:W, 23, FALSE),))</f>
        <v/>
      </c>
      <c r="K834" s="238" t="str">
        <f t="shared" si="2"/>
        <v/>
      </c>
      <c r="L834" s="238" t="str">
        <f t="shared" si="3"/>
        <v/>
      </c>
      <c r="M834" s="238" t="str">
        <f t="shared" si="4"/>
        <v/>
      </c>
      <c r="N834" s="238" t="str">
        <f t="shared" si="5"/>
        <v/>
      </c>
      <c r="O834" s="238" t="str">
        <f t="shared" si="6"/>
        <v/>
      </c>
      <c r="P834" s="237" t="str">
        <f>IFERROR(__xludf.DUMMYFUNCTION("IF(ISBLANK(H834),,IF(IFNA(MATCH(H834,SPLIT(Circuits!$S$2,"";""&amp;CHAR(10)),0),0),FALSE,TRUE))"),"")</f>
        <v/>
      </c>
      <c r="Q834" s="237" t="str">
        <f>IF(ISBLANK(H834),,IFNA(VLOOKUP(H834, Circuits!A:U, 21, FALSE),))</f>
        <v/>
      </c>
      <c r="R834" s="238" t="str">
        <f t="shared" si="7"/>
        <v/>
      </c>
      <c r="S834" s="237" t="str">
        <f>IF(ISBLANK(H834),,IFNA(VLOOKUP(H834, Circuits!A:V, 22, FALSE),))</f>
        <v/>
      </c>
      <c r="T834" s="237" t="str">
        <f>IF(ISBLANK(H834),,IFNA(VLOOKUP(H834, Circuits!A:X, 24, FALSE),))</f>
        <v/>
      </c>
      <c r="V834" s="236" t="str">
        <f>IFERROR(__xludf.DUMMYFUNCTION("IF(ISBLANK(H834),,JOIN("","",H834:T834))"),"")</f>
        <v/>
      </c>
      <c r="W834" s="229" t="str">
        <f t="shared" si="1"/>
        <v/>
      </c>
    </row>
    <row r="835">
      <c r="H835" s="237"/>
      <c r="I835" s="237" t="str">
        <f>IFERROR(__xludf.DUMMYFUNCTION("IF(ISBLANK(H835),,IFNA(""""""""&amp;JOIN("","",INDEX(FILTER(A:D,A:A=H835),0,4))&amp;"""""""",))"),"")</f>
        <v/>
      </c>
      <c r="J835" s="237" t="str">
        <f>IF(ISBLANK(H835),,IFNA(VLOOKUP(H835, Circuits!A:W, 23, FALSE),))</f>
        <v/>
      </c>
      <c r="K835" s="238" t="str">
        <f t="shared" si="2"/>
        <v/>
      </c>
      <c r="L835" s="238" t="str">
        <f t="shared" si="3"/>
        <v/>
      </c>
      <c r="M835" s="238" t="str">
        <f t="shared" si="4"/>
        <v/>
      </c>
      <c r="N835" s="238" t="str">
        <f t="shared" si="5"/>
        <v/>
      </c>
      <c r="O835" s="238" t="str">
        <f t="shared" si="6"/>
        <v/>
      </c>
      <c r="P835" s="237" t="str">
        <f>IFERROR(__xludf.DUMMYFUNCTION("IF(ISBLANK(H835),,IF(IFNA(MATCH(H835,SPLIT(Circuits!$S$2,"";""&amp;CHAR(10)),0),0),FALSE,TRUE))"),"")</f>
        <v/>
      </c>
      <c r="Q835" s="237" t="str">
        <f>IF(ISBLANK(H835),,IFNA(VLOOKUP(H835, Circuits!A:U, 21, FALSE),))</f>
        <v/>
      </c>
      <c r="R835" s="238" t="str">
        <f t="shared" si="7"/>
        <v/>
      </c>
      <c r="S835" s="237" t="str">
        <f>IF(ISBLANK(H835),,IFNA(VLOOKUP(H835, Circuits!A:V, 22, FALSE),))</f>
        <v/>
      </c>
      <c r="T835" s="237" t="str">
        <f>IF(ISBLANK(H835),,IFNA(VLOOKUP(H835, Circuits!A:X, 24, FALSE),))</f>
        <v/>
      </c>
      <c r="V835" s="236" t="str">
        <f>IFERROR(__xludf.DUMMYFUNCTION("IF(ISBLANK(H835),,JOIN("","",H835:T835))"),"")</f>
        <v/>
      </c>
      <c r="W835" s="229" t="str">
        <f t="shared" si="1"/>
        <v/>
      </c>
    </row>
    <row r="836">
      <c r="H836" s="237"/>
      <c r="I836" s="237" t="str">
        <f>IFERROR(__xludf.DUMMYFUNCTION("IF(ISBLANK(H836),,IFNA(""""""""&amp;JOIN("","",INDEX(FILTER(A:D,A:A=H836),0,4))&amp;"""""""",))"),"")</f>
        <v/>
      </c>
      <c r="J836" s="237" t="str">
        <f>IF(ISBLANK(H836),,IFNA(VLOOKUP(H836, Circuits!A:W, 23, FALSE),))</f>
        <v/>
      </c>
      <c r="K836" s="238" t="str">
        <f t="shared" si="2"/>
        <v/>
      </c>
      <c r="L836" s="238" t="str">
        <f t="shared" si="3"/>
        <v/>
      </c>
      <c r="M836" s="238" t="str">
        <f t="shared" si="4"/>
        <v/>
      </c>
      <c r="N836" s="238" t="str">
        <f t="shared" si="5"/>
        <v/>
      </c>
      <c r="O836" s="238" t="str">
        <f t="shared" si="6"/>
        <v/>
      </c>
      <c r="P836" s="237" t="str">
        <f>IFERROR(__xludf.DUMMYFUNCTION("IF(ISBLANK(H836),,IF(IFNA(MATCH(H836,SPLIT(Circuits!$S$2,"";""&amp;CHAR(10)),0),0),FALSE,TRUE))"),"")</f>
        <v/>
      </c>
      <c r="Q836" s="237" t="str">
        <f>IF(ISBLANK(H836),,IFNA(VLOOKUP(H836, Circuits!A:U, 21, FALSE),))</f>
        <v/>
      </c>
      <c r="R836" s="238" t="str">
        <f t="shared" si="7"/>
        <v/>
      </c>
      <c r="S836" s="237" t="str">
        <f>IF(ISBLANK(H836),,IFNA(VLOOKUP(H836, Circuits!A:V, 22, FALSE),))</f>
        <v/>
      </c>
      <c r="T836" s="237" t="str">
        <f>IF(ISBLANK(H836),,IFNA(VLOOKUP(H836, Circuits!A:X, 24, FALSE),))</f>
        <v/>
      </c>
      <c r="V836" s="236" t="str">
        <f>IFERROR(__xludf.DUMMYFUNCTION("IF(ISBLANK(H836),,JOIN("","",H836:T836))"),"")</f>
        <v/>
      </c>
      <c r="W836" s="229" t="str">
        <f t="shared" si="1"/>
        <v/>
      </c>
    </row>
    <row r="837">
      <c r="H837" s="237"/>
      <c r="I837" s="237" t="str">
        <f>IFERROR(__xludf.DUMMYFUNCTION("IF(ISBLANK(H837),,IFNA(""""""""&amp;JOIN("","",INDEX(FILTER(A:D,A:A=H837),0,4))&amp;"""""""",))"),"")</f>
        <v/>
      </c>
      <c r="J837" s="237" t="str">
        <f>IF(ISBLANK(H837),,IFNA(VLOOKUP(H837, Circuits!A:W, 23, FALSE),))</f>
        <v/>
      </c>
      <c r="K837" s="238" t="str">
        <f t="shared" si="2"/>
        <v/>
      </c>
      <c r="L837" s="238" t="str">
        <f t="shared" si="3"/>
        <v/>
      </c>
      <c r="M837" s="238" t="str">
        <f t="shared" si="4"/>
        <v/>
      </c>
      <c r="N837" s="238" t="str">
        <f t="shared" si="5"/>
        <v/>
      </c>
      <c r="O837" s="238" t="str">
        <f t="shared" si="6"/>
        <v/>
      </c>
      <c r="P837" s="237" t="str">
        <f>IFERROR(__xludf.DUMMYFUNCTION("IF(ISBLANK(H837),,IF(IFNA(MATCH(H837,SPLIT(Circuits!$S$2,"";""&amp;CHAR(10)),0),0),FALSE,TRUE))"),"")</f>
        <v/>
      </c>
      <c r="Q837" s="237" t="str">
        <f>IF(ISBLANK(H837),,IFNA(VLOOKUP(H837, Circuits!A:U, 21, FALSE),))</f>
        <v/>
      </c>
      <c r="R837" s="238" t="str">
        <f t="shared" si="7"/>
        <v/>
      </c>
      <c r="S837" s="237" t="str">
        <f>IF(ISBLANK(H837),,IFNA(VLOOKUP(H837, Circuits!A:V, 22, FALSE),))</f>
        <v/>
      </c>
      <c r="T837" s="237" t="str">
        <f>IF(ISBLANK(H837),,IFNA(VLOOKUP(H837, Circuits!A:X, 24, FALSE),))</f>
        <v/>
      </c>
      <c r="V837" s="236" t="str">
        <f>IFERROR(__xludf.DUMMYFUNCTION("IF(ISBLANK(H837),,JOIN("","",H837:T837))"),"")</f>
        <v/>
      </c>
      <c r="W837" s="229" t="str">
        <f t="shared" si="1"/>
        <v/>
      </c>
    </row>
    <row r="838">
      <c r="H838" s="237"/>
      <c r="I838" s="237" t="str">
        <f>IFERROR(__xludf.DUMMYFUNCTION("IF(ISBLANK(H838),,IFNA(""""""""&amp;JOIN("","",INDEX(FILTER(A:D,A:A=H838),0,4))&amp;"""""""",))"),"")</f>
        <v/>
      </c>
      <c r="J838" s="237" t="str">
        <f>IF(ISBLANK(H838),,IFNA(VLOOKUP(H838, Circuits!A:W, 23, FALSE),))</f>
        <v/>
      </c>
      <c r="K838" s="238" t="str">
        <f t="shared" si="2"/>
        <v/>
      </c>
      <c r="L838" s="238" t="str">
        <f t="shared" si="3"/>
        <v/>
      </c>
      <c r="M838" s="238" t="str">
        <f t="shared" si="4"/>
        <v/>
      </c>
      <c r="N838" s="238" t="str">
        <f t="shared" si="5"/>
        <v/>
      </c>
      <c r="O838" s="238" t="str">
        <f t="shared" si="6"/>
        <v/>
      </c>
      <c r="P838" s="237" t="str">
        <f>IFERROR(__xludf.DUMMYFUNCTION("IF(ISBLANK(H838),,IF(IFNA(MATCH(H838,SPLIT(Circuits!$S$2,"";""&amp;CHAR(10)),0),0),FALSE,TRUE))"),"")</f>
        <v/>
      </c>
      <c r="Q838" s="237" t="str">
        <f>IF(ISBLANK(H838),,IFNA(VLOOKUP(H838, Circuits!A:U, 21, FALSE),))</f>
        <v/>
      </c>
      <c r="R838" s="238" t="str">
        <f t="shared" si="7"/>
        <v/>
      </c>
      <c r="S838" s="237" t="str">
        <f>IF(ISBLANK(H838),,IFNA(VLOOKUP(H838, Circuits!A:V, 22, FALSE),))</f>
        <v/>
      </c>
      <c r="T838" s="237" t="str">
        <f>IF(ISBLANK(H838),,IFNA(VLOOKUP(H838, Circuits!A:X, 24, FALSE),))</f>
        <v/>
      </c>
      <c r="V838" s="236" t="str">
        <f>IFERROR(__xludf.DUMMYFUNCTION("IF(ISBLANK(H838),,JOIN("","",H838:T838))"),"")</f>
        <v/>
      </c>
      <c r="W838" s="229" t="str">
        <f t="shared" si="1"/>
        <v/>
      </c>
    </row>
    <row r="839">
      <c r="H839" s="237"/>
      <c r="I839" s="237" t="str">
        <f>IFERROR(__xludf.DUMMYFUNCTION("IF(ISBLANK(H839),,IFNA(""""""""&amp;JOIN("","",INDEX(FILTER(A:D,A:A=H839),0,4))&amp;"""""""",))"),"")</f>
        <v/>
      </c>
      <c r="J839" s="237" t="str">
        <f>IF(ISBLANK(H839),,IFNA(VLOOKUP(H839, Circuits!A:W, 23, FALSE),))</f>
        <v/>
      </c>
      <c r="K839" s="238" t="str">
        <f t="shared" si="2"/>
        <v/>
      </c>
      <c r="L839" s="238" t="str">
        <f t="shared" si="3"/>
        <v/>
      </c>
      <c r="M839" s="238" t="str">
        <f t="shared" si="4"/>
        <v/>
      </c>
      <c r="N839" s="238" t="str">
        <f t="shared" si="5"/>
        <v/>
      </c>
      <c r="O839" s="238" t="str">
        <f t="shared" si="6"/>
        <v/>
      </c>
      <c r="P839" s="237" t="str">
        <f>IFERROR(__xludf.DUMMYFUNCTION("IF(ISBLANK(H839),,IF(IFNA(MATCH(H839,SPLIT(Circuits!$S$2,"";""&amp;CHAR(10)),0),0),FALSE,TRUE))"),"")</f>
        <v/>
      </c>
      <c r="Q839" s="237" t="str">
        <f>IF(ISBLANK(H839),,IFNA(VLOOKUP(H839, Circuits!A:U, 21, FALSE),))</f>
        <v/>
      </c>
      <c r="R839" s="238" t="str">
        <f t="shared" si="7"/>
        <v/>
      </c>
      <c r="S839" s="237" t="str">
        <f>IF(ISBLANK(H839),,IFNA(VLOOKUP(H839, Circuits!A:V, 22, FALSE),))</f>
        <v/>
      </c>
      <c r="T839" s="237" t="str">
        <f>IF(ISBLANK(H839),,IFNA(VLOOKUP(H839, Circuits!A:X, 24, FALSE),))</f>
        <v/>
      </c>
      <c r="V839" s="236" t="str">
        <f>IFERROR(__xludf.DUMMYFUNCTION("IF(ISBLANK(H839),,JOIN("","",H839:T839))"),"")</f>
        <v/>
      </c>
      <c r="W839" s="229" t="str">
        <f t="shared" si="1"/>
        <v/>
      </c>
    </row>
    <row r="840">
      <c r="H840" s="237"/>
      <c r="I840" s="237" t="str">
        <f>IFERROR(__xludf.DUMMYFUNCTION("IF(ISBLANK(H840),,IFNA(""""""""&amp;JOIN("","",INDEX(FILTER(A:D,A:A=H840),0,4))&amp;"""""""",))"),"")</f>
        <v/>
      </c>
      <c r="J840" s="237" t="str">
        <f>IF(ISBLANK(H840),,IFNA(VLOOKUP(H840, Circuits!A:W, 23, FALSE),))</f>
        <v/>
      </c>
      <c r="K840" s="238" t="str">
        <f t="shared" si="2"/>
        <v/>
      </c>
      <c r="L840" s="238" t="str">
        <f t="shared" si="3"/>
        <v/>
      </c>
      <c r="M840" s="238" t="str">
        <f t="shared" si="4"/>
        <v/>
      </c>
      <c r="N840" s="238" t="str">
        <f t="shared" si="5"/>
        <v/>
      </c>
      <c r="O840" s="238" t="str">
        <f t="shared" si="6"/>
        <v/>
      </c>
      <c r="P840" s="237" t="str">
        <f>IFERROR(__xludf.DUMMYFUNCTION("IF(ISBLANK(H840),,IF(IFNA(MATCH(H840,SPLIT(Circuits!$S$2,"";""&amp;CHAR(10)),0),0),FALSE,TRUE))"),"")</f>
        <v/>
      </c>
      <c r="Q840" s="237" t="str">
        <f>IF(ISBLANK(H840),,IFNA(VLOOKUP(H840, Circuits!A:U, 21, FALSE),))</f>
        <v/>
      </c>
      <c r="R840" s="238" t="str">
        <f t="shared" si="7"/>
        <v/>
      </c>
      <c r="S840" s="237" t="str">
        <f>IF(ISBLANK(H840),,IFNA(VLOOKUP(H840, Circuits!A:V, 22, FALSE),))</f>
        <v/>
      </c>
      <c r="T840" s="237" t="str">
        <f>IF(ISBLANK(H840),,IFNA(VLOOKUP(H840, Circuits!A:X, 24, FALSE),))</f>
        <v/>
      </c>
      <c r="V840" s="236" t="str">
        <f>IFERROR(__xludf.DUMMYFUNCTION("IF(ISBLANK(H840),,JOIN("","",H840:T840))"),"")</f>
        <v/>
      </c>
      <c r="W840" s="229" t="str">
        <f t="shared" si="1"/>
        <v/>
      </c>
    </row>
    <row r="841">
      <c r="H841" s="237"/>
      <c r="I841" s="237" t="str">
        <f>IFERROR(__xludf.DUMMYFUNCTION("IF(ISBLANK(H841),,IFNA(""""""""&amp;JOIN("","",INDEX(FILTER(A:D,A:A=H841),0,4))&amp;"""""""",))"),"")</f>
        <v/>
      </c>
      <c r="J841" s="237" t="str">
        <f>IF(ISBLANK(H841),,IFNA(VLOOKUP(H841, Circuits!A:W, 23, FALSE),))</f>
        <v/>
      </c>
      <c r="K841" s="238" t="str">
        <f t="shared" si="2"/>
        <v/>
      </c>
      <c r="L841" s="238" t="str">
        <f t="shared" si="3"/>
        <v/>
      </c>
      <c r="M841" s="238" t="str">
        <f t="shared" si="4"/>
        <v/>
      </c>
      <c r="N841" s="238" t="str">
        <f t="shared" si="5"/>
        <v/>
      </c>
      <c r="O841" s="238" t="str">
        <f t="shared" si="6"/>
        <v/>
      </c>
      <c r="P841" s="237" t="str">
        <f>IFERROR(__xludf.DUMMYFUNCTION("IF(ISBLANK(H841),,IF(IFNA(MATCH(H841,SPLIT(Circuits!$S$2,"";""&amp;CHAR(10)),0),0),FALSE,TRUE))"),"")</f>
        <v/>
      </c>
      <c r="Q841" s="237" t="str">
        <f>IF(ISBLANK(H841),,IFNA(VLOOKUP(H841, Circuits!A:U, 21, FALSE),))</f>
        <v/>
      </c>
      <c r="R841" s="238" t="str">
        <f t="shared" si="7"/>
        <v/>
      </c>
      <c r="S841" s="237" t="str">
        <f>IF(ISBLANK(H841),,IFNA(VLOOKUP(H841, Circuits!A:V, 22, FALSE),))</f>
        <v/>
      </c>
      <c r="T841" s="237" t="str">
        <f>IF(ISBLANK(H841),,IFNA(VLOOKUP(H841, Circuits!A:X, 24, FALSE),))</f>
        <v/>
      </c>
      <c r="V841" s="236" t="str">
        <f>IFERROR(__xludf.DUMMYFUNCTION("IF(ISBLANK(H841),,JOIN("","",H841:T841))"),"")</f>
        <v/>
      </c>
      <c r="W841" s="229" t="str">
        <f t="shared" si="1"/>
        <v/>
      </c>
    </row>
    <row r="842">
      <c r="H842" s="237"/>
      <c r="I842" s="237" t="str">
        <f>IFERROR(__xludf.DUMMYFUNCTION("IF(ISBLANK(H842),,IFNA(""""""""&amp;JOIN("","",INDEX(FILTER(A:D,A:A=H842),0,4))&amp;"""""""",))"),"")</f>
        <v/>
      </c>
      <c r="J842" s="237" t="str">
        <f>IF(ISBLANK(H842),,IFNA(VLOOKUP(H842, Circuits!A:W, 23, FALSE),))</f>
        <v/>
      </c>
      <c r="K842" s="238" t="str">
        <f t="shared" si="2"/>
        <v/>
      </c>
      <c r="L842" s="238" t="str">
        <f t="shared" si="3"/>
        <v/>
      </c>
      <c r="M842" s="238" t="str">
        <f t="shared" si="4"/>
        <v/>
      </c>
      <c r="N842" s="238" t="str">
        <f t="shared" si="5"/>
        <v/>
      </c>
      <c r="O842" s="238" t="str">
        <f t="shared" si="6"/>
        <v/>
      </c>
      <c r="P842" s="237" t="str">
        <f>IFERROR(__xludf.DUMMYFUNCTION("IF(ISBLANK(H842),,IF(IFNA(MATCH(H842,SPLIT(Circuits!$S$2,"";""&amp;CHAR(10)),0),0),FALSE,TRUE))"),"")</f>
        <v/>
      </c>
      <c r="Q842" s="237" t="str">
        <f>IF(ISBLANK(H842),,IFNA(VLOOKUP(H842, Circuits!A:U, 21, FALSE),))</f>
        <v/>
      </c>
      <c r="R842" s="238" t="str">
        <f t="shared" si="7"/>
        <v/>
      </c>
      <c r="S842" s="237" t="str">
        <f>IF(ISBLANK(H842),,IFNA(VLOOKUP(H842, Circuits!A:V, 22, FALSE),))</f>
        <v/>
      </c>
      <c r="T842" s="237" t="str">
        <f>IF(ISBLANK(H842),,IFNA(VLOOKUP(H842, Circuits!A:X, 24, FALSE),))</f>
        <v/>
      </c>
      <c r="V842" s="236" t="str">
        <f>IFERROR(__xludf.DUMMYFUNCTION("IF(ISBLANK(H842),,JOIN("","",H842:T842))"),"")</f>
        <v/>
      </c>
      <c r="W842" s="229" t="str">
        <f t="shared" si="1"/>
        <v/>
      </c>
    </row>
    <row r="843">
      <c r="H843" s="237"/>
      <c r="I843" s="237" t="str">
        <f>IFERROR(__xludf.DUMMYFUNCTION("IF(ISBLANK(H843),,IFNA(""""""""&amp;JOIN("","",INDEX(FILTER(A:D,A:A=H843),0,4))&amp;"""""""",))"),"")</f>
        <v/>
      </c>
      <c r="J843" s="237" t="str">
        <f>IF(ISBLANK(H843),,IFNA(VLOOKUP(H843, Circuits!A:W, 23, FALSE),))</f>
        <v/>
      </c>
      <c r="K843" s="238" t="str">
        <f t="shared" si="2"/>
        <v/>
      </c>
      <c r="L843" s="238" t="str">
        <f t="shared" si="3"/>
        <v/>
      </c>
      <c r="M843" s="238" t="str">
        <f t="shared" si="4"/>
        <v/>
      </c>
      <c r="N843" s="238" t="str">
        <f t="shared" si="5"/>
        <v/>
      </c>
      <c r="O843" s="238" t="str">
        <f t="shared" si="6"/>
        <v/>
      </c>
      <c r="P843" s="237" t="str">
        <f>IFERROR(__xludf.DUMMYFUNCTION("IF(ISBLANK(H843),,IF(IFNA(MATCH(H843,SPLIT(Circuits!$S$2,"";""&amp;CHAR(10)),0),0),FALSE,TRUE))"),"")</f>
        <v/>
      </c>
      <c r="Q843" s="237" t="str">
        <f>IF(ISBLANK(H843),,IFNA(VLOOKUP(H843, Circuits!A:U, 21, FALSE),))</f>
        <v/>
      </c>
      <c r="R843" s="238" t="str">
        <f t="shared" si="7"/>
        <v/>
      </c>
      <c r="S843" s="237" t="str">
        <f>IF(ISBLANK(H843),,IFNA(VLOOKUP(H843, Circuits!A:V, 22, FALSE),))</f>
        <v/>
      </c>
      <c r="T843" s="237" t="str">
        <f>IF(ISBLANK(H843),,IFNA(VLOOKUP(H843, Circuits!A:X, 24, FALSE),))</f>
        <v/>
      </c>
      <c r="V843" s="236" t="str">
        <f>IFERROR(__xludf.DUMMYFUNCTION("IF(ISBLANK(H843),,JOIN("","",H843:T843))"),"")</f>
        <v/>
      </c>
      <c r="W843" s="229" t="str">
        <f t="shared" si="1"/>
        <v/>
      </c>
    </row>
    <row r="844">
      <c r="H844" s="237"/>
      <c r="I844" s="237" t="str">
        <f>IFERROR(__xludf.DUMMYFUNCTION("IF(ISBLANK(H844),,IFNA(""""""""&amp;JOIN("","",INDEX(FILTER(A:D,A:A=H844),0,4))&amp;"""""""",))"),"")</f>
        <v/>
      </c>
      <c r="J844" s="237" t="str">
        <f>IF(ISBLANK(H844),,IFNA(VLOOKUP(H844, Circuits!A:W, 23, FALSE),))</f>
        <v/>
      </c>
      <c r="K844" s="238" t="str">
        <f t="shared" si="2"/>
        <v/>
      </c>
      <c r="L844" s="238" t="str">
        <f t="shared" si="3"/>
        <v/>
      </c>
      <c r="M844" s="238" t="str">
        <f t="shared" si="4"/>
        <v/>
      </c>
      <c r="N844" s="238" t="str">
        <f t="shared" si="5"/>
        <v/>
      </c>
      <c r="O844" s="238" t="str">
        <f t="shared" si="6"/>
        <v/>
      </c>
      <c r="P844" s="237" t="str">
        <f>IFERROR(__xludf.DUMMYFUNCTION("IF(ISBLANK(H844),,IF(IFNA(MATCH(H844,SPLIT(Circuits!$S$2,"";""&amp;CHAR(10)),0),0),FALSE,TRUE))"),"")</f>
        <v/>
      </c>
      <c r="Q844" s="237" t="str">
        <f>IF(ISBLANK(H844),,IFNA(VLOOKUP(H844, Circuits!A:U, 21, FALSE),))</f>
        <v/>
      </c>
      <c r="R844" s="238" t="str">
        <f t="shared" si="7"/>
        <v/>
      </c>
      <c r="S844" s="237" t="str">
        <f>IF(ISBLANK(H844),,IFNA(VLOOKUP(H844, Circuits!A:V, 22, FALSE),))</f>
        <v/>
      </c>
      <c r="T844" s="237" t="str">
        <f>IF(ISBLANK(H844),,IFNA(VLOOKUP(H844, Circuits!A:X, 24, FALSE),))</f>
        <v/>
      </c>
      <c r="V844" s="236" t="str">
        <f>IFERROR(__xludf.DUMMYFUNCTION("IF(ISBLANK(H844),,JOIN("","",H844:T844))"),"")</f>
        <v/>
      </c>
      <c r="W844" s="229" t="str">
        <f t="shared" si="1"/>
        <v/>
      </c>
    </row>
    <row r="845">
      <c r="H845" s="237"/>
      <c r="I845" s="237" t="str">
        <f>IFERROR(__xludf.DUMMYFUNCTION("IF(ISBLANK(H845),,IFNA(""""""""&amp;JOIN("","",INDEX(FILTER(A:D,A:A=H845),0,4))&amp;"""""""",))"),"")</f>
        <v/>
      </c>
      <c r="J845" s="237" t="str">
        <f>IF(ISBLANK(H845),,IFNA(VLOOKUP(H845, Circuits!A:W, 23, FALSE),))</f>
        <v/>
      </c>
      <c r="K845" s="238" t="str">
        <f t="shared" si="2"/>
        <v/>
      </c>
      <c r="L845" s="238" t="str">
        <f t="shared" si="3"/>
        <v/>
      </c>
      <c r="M845" s="238" t="str">
        <f t="shared" si="4"/>
        <v/>
      </c>
      <c r="N845" s="238" t="str">
        <f t="shared" si="5"/>
        <v/>
      </c>
      <c r="O845" s="238" t="str">
        <f t="shared" si="6"/>
        <v/>
      </c>
      <c r="P845" s="237" t="str">
        <f>IFERROR(__xludf.DUMMYFUNCTION("IF(ISBLANK(H845),,IF(IFNA(MATCH(H845,SPLIT(Circuits!$S$2,"";""&amp;CHAR(10)),0),0),FALSE,TRUE))"),"")</f>
        <v/>
      </c>
      <c r="Q845" s="237" t="str">
        <f>IF(ISBLANK(H845),,IFNA(VLOOKUP(H845, Circuits!A:U, 21, FALSE),))</f>
        <v/>
      </c>
      <c r="R845" s="238" t="str">
        <f t="shared" si="7"/>
        <v/>
      </c>
      <c r="S845" s="237" t="str">
        <f>IF(ISBLANK(H845),,IFNA(VLOOKUP(H845, Circuits!A:V, 22, FALSE),))</f>
        <v/>
      </c>
      <c r="T845" s="237" t="str">
        <f>IF(ISBLANK(H845),,IFNA(VLOOKUP(H845, Circuits!A:X, 24, FALSE),))</f>
        <v/>
      </c>
      <c r="V845" s="236" t="str">
        <f>IFERROR(__xludf.DUMMYFUNCTION("IF(ISBLANK(H845),,JOIN("","",H845:T845))"),"")</f>
        <v/>
      </c>
      <c r="W845" s="229" t="str">
        <f t="shared" si="1"/>
        <v/>
      </c>
    </row>
    <row r="846">
      <c r="H846" s="237"/>
      <c r="I846" s="237" t="str">
        <f>IFERROR(__xludf.DUMMYFUNCTION("IF(ISBLANK(H846),,IFNA(""""""""&amp;JOIN("","",INDEX(FILTER(A:D,A:A=H846),0,4))&amp;"""""""",))"),"")</f>
        <v/>
      </c>
      <c r="J846" s="237" t="str">
        <f>IF(ISBLANK(H846),,IFNA(VLOOKUP(H846, Circuits!A:W, 23, FALSE),))</f>
        <v/>
      </c>
      <c r="K846" s="238" t="str">
        <f t="shared" si="2"/>
        <v/>
      </c>
      <c r="L846" s="238" t="str">
        <f t="shared" si="3"/>
        <v/>
      </c>
      <c r="M846" s="238" t="str">
        <f t="shared" si="4"/>
        <v/>
      </c>
      <c r="N846" s="238" t="str">
        <f t="shared" si="5"/>
        <v/>
      </c>
      <c r="O846" s="238" t="str">
        <f t="shared" si="6"/>
        <v/>
      </c>
      <c r="P846" s="237" t="str">
        <f>IFERROR(__xludf.DUMMYFUNCTION("IF(ISBLANK(H846),,IF(IFNA(MATCH(H846,SPLIT(Circuits!$S$2,"";""&amp;CHAR(10)),0),0),FALSE,TRUE))"),"")</f>
        <v/>
      </c>
      <c r="Q846" s="237" t="str">
        <f>IF(ISBLANK(H846),,IFNA(VLOOKUP(H846, Circuits!A:U, 21, FALSE),))</f>
        <v/>
      </c>
      <c r="R846" s="238" t="str">
        <f t="shared" si="7"/>
        <v/>
      </c>
      <c r="S846" s="237" t="str">
        <f>IF(ISBLANK(H846),,IFNA(VLOOKUP(H846, Circuits!A:V, 22, FALSE),))</f>
        <v/>
      </c>
      <c r="T846" s="237" t="str">
        <f>IF(ISBLANK(H846),,IFNA(VLOOKUP(H846, Circuits!A:X, 24, FALSE),))</f>
        <v/>
      </c>
      <c r="V846" s="236" t="str">
        <f>IFERROR(__xludf.DUMMYFUNCTION("IF(ISBLANK(H846),,JOIN("","",H846:T846))"),"")</f>
        <v/>
      </c>
      <c r="W846" s="229" t="str">
        <f t="shared" si="1"/>
        <v/>
      </c>
    </row>
    <row r="847">
      <c r="H847" s="237"/>
      <c r="I847" s="237" t="str">
        <f>IFERROR(__xludf.DUMMYFUNCTION("IF(ISBLANK(H847),,IFNA(""""""""&amp;JOIN("","",INDEX(FILTER(A:D,A:A=H847),0,4))&amp;"""""""",))"),"")</f>
        <v/>
      </c>
      <c r="J847" s="237" t="str">
        <f>IF(ISBLANK(H847),,IFNA(VLOOKUP(H847, Circuits!A:W, 23, FALSE),))</f>
        <v/>
      </c>
      <c r="K847" s="238" t="str">
        <f t="shared" si="2"/>
        <v/>
      </c>
      <c r="L847" s="238" t="str">
        <f t="shared" si="3"/>
        <v/>
      </c>
      <c r="M847" s="238" t="str">
        <f t="shared" si="4"/>
        <v/>
      </c>
      <c r="N847" s="238" t="str">
        <f t="shared" si="5"/>
        <v/>
      </c>
      <c r="O847" s="238" t="str">
        <f t="shared" si="6"/>
        <v/>
      </c>
      <c r="P847" s="237" t="str">
        <f>IFERROR(__xludf.DUMMYFUNCTION("IF(ISBLANK(H847),,IF(IFNA(MATCH(H847,SPLIT(Circuits!$S$2,"";""&amp;CHAR(10)),0),0),FALSE,TRUE))"),"")</f>
        <v/>
      </c>
      <c r="Q847" s="237" t="str">
        <f>IF(ISBLANK(H847),,IFNA(VLOOKUP(H847, Circuits!A:U, 21, FALSE),))</f>
        <v/>
      </c>
      <c r="R847" s="238" t="str">
        <f t="shared" si="7"/>
        <v/>
      </c>
      <c r="S847" s="237" t="str">
        <f>IF(ISBLANK(H847),,IFNA(VLOOKUP(H847, Circuits!A:V, 22, FALSE),))</f>
        <v/>
      </c>
      <c r="T847" s="237" t="str">
        <f>IF(ISBLANK(H847),,IFNA(VLOOKUP(H847, Circuits!A:X, 24, FALSE),))</f>
        <v/>
      </c>
      <c r="V847" s="236" t="str">
        <f>IFERROR(__xludf.DUMMYFUNCTION("IF(ISBLANK(H847),,JOIN("","",H847:T847))"),"")</f>
        <v/>
      </c>
      <c r="W847" s="229" t="str">
        <f t="shared" si="1"/>
        <v/>
      </c>
    </row>
    <row r="848">
      <c r="H848" s="237"/>
      <c r="I848" s="237" t="str">
        <f>IFERROR(__xludf.DUMMYFUNCTION("IF(ISBLANK(H848),,IFNA(""""""""&amp;JOIN("","",INDEX(FILTER(A:D,A:A=H848),0,4))&amp;"""""""",))"),"")</f>
        <v/>
      </c>
      <c r="J848" s="237" t="str">
        <f>IF(ISBLANK(H848),,IFNA(VLOOKUP(H848, Circuits!A:W, 23, FALSE),))</f>
        <v/>
      </c>
      <c r="K848" s="238" t="str">
        <f t="shared" si="2"/>
        <v/>
      </c>
      <c r="L848" s="238" t="str">
        <f t="shared" si="3"/>
        <v/>
      </c>
      <c r="M848" s="238" t="str">
        <f t="shared" si="4"/>
        <v/>
      </c>
      <c r="N848" s="238" t="str">
        <f t="shared" si="5"/>
        <v/>
      </c>
      <c r="O848" s="238" t="str">
        <f t="shared" si="6"/>
        <v/>
      </c>
      <c r="P848" s="237" t="str">
        <f>IFERROR(__xludf.DUMMYFUNCTION("IF(ISBLANK(H848),,IF(IFNA(MATCH(H848,SPLIT(Circuits!$S$2,"";""&amp;CHAR(10)),0),0),FALSE,TRUE))"),"")</f>
        <v/>
      </c>
      <c r="Q848" s="237" t="str">
        <f>IF(ISBLANK(H848),,IFNA(VLOOKUP(H848, Circuits!A:U, 21, FALSE),))</f>
        <v/>
      </c>
      <c r="R848" s="238" t="str">
        <f t="shared" si="7"/>
        <v/>
      </c>
      <c r="S848" s="237" t="str">
        <f>IF(ISBLANK(H848),,IFNA(VLOOKUP(H848, Circuits!A:V, 22, FALSE),))</f>
        <v/>
      </c>
      <c r="T848" s="237" t="str">
        <f>IF(ISBLANK(H848),,IFNA(VLOOKUP(H848, Circuits!A:X, 24, FALSE),))</f>
        <v/>
      </c>
      <c r="V848" s="236" t="str">
        <f>IFERROR(__xludf.DUMMYFUNCTION("IF(ISBLANK(H848),,JOIN("","",H848:T848))"),"")</f>
        <v/>
      </c>
      <c r="W848" s="229" t="str">
        <f t="shared" si="1"/>
        <v/>
      </c>
    </row>
    <row r="849">
      <c r="H849" s="237"/>
      <c r="I849" s="237" t="str">
        <f>IFERROR(__xludf.DUMMYFUNCTION("IF(ISBLANK(H849),,IFNA(""""""""&amp;JOIN("","",INDEX(FILTER(A:D,A:A=H849),0,4))&amp;"""""""",))"),"")</f>
        <v/>
      </c>
      <c r="J849" s="237" t="str">
        <f>IF(ISBLANK(H849),,IFNA(VLOOKUP(H849, Circuits!A:W, 23, FALSE),))</f>
        <v/>
      </c>
      <c r="K849" s="238" t="str">
        <f t="shared" si="2"/>
        <v/>
      </c>
      <c r="L849" s="238" t="str">
        <f t="shared" si="3"/>
        <v/>
      </c>
      <c r="M849" s="238" t="str">
        <f t="shared" si="4"/>
        <v/>
      </c>
      <c r="N849" s="238" t="str">
        <f t="shared" si="5"/>
        <v/>
      </c>
      <c r="O849" s="238" t="str">
        <f t="shared" si="6"/>
        <v/>
      </c>
      <c r="P849" s="237" t="str">
        <f>IFERROR(__xludf.DUMMYFUNCTION("IF(ISBLANK(H849),,IF(IFNA(MATCH(H849,SPLIT(Circuits!$S$2,"";""&amp;CHAR(10)),0),0),FALSE,TRUE))"),"")</f>
        <v/>
      </c>
      <c r="Q849" s="237" t="str">
        <f>IF(ISBLANK(H849),,IFNA(VLOOKUP(H849, Circuits!A:U, 21, FALSE),))</f>
        <v/>
      </c>
      <c r="R849" s="238" t="str">
        <f t="shared" si="7"/>
        <v/>
      </c>
      <c r="S849" s="237" t="str">
        <f>IF(ISBLANK(H849),,IFNA(VLOOKUP(H849, Circuits!A:V, 22, FALSE),))</f>
        <v/>
      </c>
      <c r="T849" s="237" t="str">
        <f>IF(ISBLANK(H849),,IFNA(VLOOKUP(H849, Circuits!A:X, 24, FALSE),))</f>
        <v/>
      </c>
      <c r="V849" s="236" t="str">
        <f>IFERROR(__xludf.DUMMYFUNCTION("IF(ISBLANK(H849),,JOIN("","",H849:T849))"),"")</f>
        <v/>
      </c>
      <c r="W849" s="229" t="str">
        <f t="shared" si="1"/>
        <v/>
      </c>
    </row>
    <row r="850">
      <c r="H850" s="237"/>
      <c r="I850" s="237" t="str">
        <f>IFERROR(__xludf.DUMMYFUNCTION("IF(ISBLANK(H850),,IFNA(""""""""&amp;JOIN("","",INDEX(FILTER(A:D,A:A=H850),0,4))&amp;"""""""",))"),"")</f>
        <v/>
      </c>
      <c r="J850" s="237" t="str">
        <f>IF(ISBLANK(H850),,IFNA(VLOOKUP(H850, Circuits!A:W, 23, FALSE),))</f>
        <v/>
      </c>
      <c r="K850" s="238" t="str">
        <f t="shared" si="2"/>
        <v/>
      </c>
      <c r="L850" s="238" t="str">
        <f t="shared" si="3"/>
        <v/>
      </c>
      <c r="M850" s="238" t="str">
        <f t="shared" si="4"/>
        <v/>
      </c>
      <c r="N850" s="238" t="str">
        <f t="shared" si="5"/>
        <v/>
      </c>
      <c r="O850" s="238" t="str">
        <f t="shared" si="6"/>
        <v/>
      </c>
      <c r="P850" s="237" t="str">
        <f>IFERROR(__xludf.DUMMYFUNCTION("IF(ISBLANK(H850),,IF(IFNA(MATCH(H850,SPLIT(Circuits!$S$2,"";""&amp;CHAR(10)),0),0),FALSE,TRUE))"),"")</f>
        <v/>
      </c>
      <c r="Q850" s="237" t="str">
        <f>IF(ISBLANK(H850),,IFNA(VLOOKUP(H850, Circuits!A:U, 21, FALSE),))</f>
        <v/>
      </c>
      <c r="R850" s="238" t="str">
        <f t="shared" si="7"/>
        <v/>
      </c>
      <c r="S850" s="237" t="str">
        <f>IF(ISBLANK(H850),,IFNA(VLOOKUP(H850, Circuits!A:V, 22, FALSE),))</f>
        <v/>
      </c>
      <c r="T850" s="237" t="str">
        <f>IF(ISBLANK(H850),,IFNA(VLOOKUP(H850, Circuits!A:X, 24, FALSE),))</f>
        <v/>
      </c>
      <c r="V850" s="236" t="str">
        <f>IFERROR(__xludf.DUMMYFUNCTION("IF(ISBLANK(H850),,JOIN("","",H850:T850))"),"")</f>
        <v/>
      </c>
      <c r="W850" s="229" t="str">
        <f t="shared" si="1"/>
        <v/>
      </c>
    </row>
    <row r="851">
      <c r="H851" s="237"/>
      <c r="I851" s="237" t="str">
        <f>IFERROR(__xludf.DUMMYFUNCTION("IF(ISBLANK(H851),,IFNA(""""""""&amp;JOIN("","",INDEX(FILTER(A:D,A:A=H851),0,4))&amp;"""""""",))"),"")</f>
        <v/>
      </c>
      <c r="J851" s="237" t="str">
        <f>IF(ISBLANK(H851),,IFNA(VLOOKUP(H851, Circuits!A:W, 23, FALSE),))</f>
        <v/>
      </c>
      <c r="K851" s="238" t="str">
        <f t="shared" si="2"/>
        <v/>
      </c>
      <c r="L851" s="238" t="str">
        <f t="shared" si="3"/>
        <v/>
      </c>
      <c r="M851" s="238" t="str">
        <f t="shared" si="4"/>
        <v/>
      </c>
      <c r="N851" s="238" t="str">
        <f t="shared" si="5"/>
        <v/>
      </c>
      <c r="O851" s="238" t="str">
        <f t="shared" si="6"/>
        <v/>
      </c>
      <c r="P851" s="237" t="str">
        <f>IFERROR(__xludf.DUMMYFUNCTION("IF(ISBLANK(H851),,IF(IFNA(MATCH(H851,SPLIT(Circuits!$S$2,"";""&amp;CHAR(10)),0),0),FALSE,TRUE))"),"")</f>
        <v/>
      </c>
      <c r="Q851" s="237" t="str">
        <f>IF(ISBLANK(H851),,IFNA(VLOOKUP(H851, Circuits!A:U, 21, FALSE),))</f>
        <v/>
      </c>
      <c r="R851" s="238" t="str">
        <f t="shared" si="7"/>
        <v/>
      </c>
      <c r="S851" s="237" t="str">
        <f>IF(ISBLANK(H851),,IFNA(VLOOKUP(H851, Circuits!A:V, 22, FALSE),))</f>
        <v/>
      </c>
      <c r="T851" s="237" t="str">
        <f>IF(ISBLANK(H851),,IFNA(VLOOKUP(H851, Circuits!A:X, 24, FALSE),))</f>
        <v/>
      </c>
      <c r="V851" s="236" t="str">
        <f>IFERROR(__xludf.DUMMYFUNCTION("IF(ISBLANK(H851),,JOIN("","",H851:T851))"),"")</f>
        <v/>
      </c>
      <c r="W851" s="229" t="str">
        <f t="shared" si="1"/>
        <v/>
      </c>
    </row>
    <row r="852">
      <c r="H852" s="237"/>
      <c r="I852" s="237" t="str">
        <f>IFERROR(__xludf.DUMMYFUNCTION("IF(ISBLANK(H852),,IFNA(""""""""&amp;JOIN("","",INDEX(FILTER(A:D,A:A=H852),0,4))&amp;"""""""",))"),"")</f>
        <v/>
      </c>
      <c r="J852" s="237" t="str">
        <f>IF(ISBLANK(H852),,IFNA(VLOOKUP(H852, Circuits!A:W, 23, FALSE),))</f>
        <v/>
      </c>
      <c r="K852" s="238" t="str">
        <f t="shared" si="2"/>
        <v/>
      </c>
      <c r="L852" s="238" t="str">
        <f t="shared" si="3"/>
        <v/>
      </c>
      <c r="M852" s="238" t="str">
        <f t="shared" si="4"/>
        <v/>
      </c>
      <c r="N852" s="238" t="str">
        <f t="shared" si="5"/>
        <v/>
      </c>
      <c r="O852" s="238" t="str">
        <f t="shared" si="6"/>
        <v/>
      </c>
      <c r="P852" s="237" t="str">
        <f>IFERROR(__xludf.DUMMYFUNCTION("IF(ISBLANK(H852),,IF(IFNA(MATCH(H852,SPLIT(Circuits!$S$2,"";""&amp;CHAR(10)),0),0),FALSE,TRUE))"),"")</f>
        <v/>
      </c>
      <c r="Q852" s="237" t="str">
        <f>IF(ISBLANK(H852),,IFNA(VLOOKUP(H852, Circuits!A:U, 21, FALSE),))</f>
        <v/>
      </c>
      <c r="R852" s="238" t="str">
        <f t="shared" si="7"/>
        <v/>
      </c>
      <c r="S852" s="237" t="str">
        <f>IF(ISBLANK(H852),,IFNA(VLOOKUP(H852, Circuits!A:V, 22, FALSE),))</f>
        <v/>
      </c>
      <c r="T852" s="237" t="str">
        <f>IF(ISBLANK(H852),,IFNA(VLOOKUP(H852, Circuits!A:X, 24, FALSE),))</f>
        <v/>
      </c>
      <c r="V852" s="236" t="str">
        <f>IFERROR(__xludf.DUMMYFUNCTION("IF(ISBLANK(H852),,JOIN("","",H852:T852))"),"")</f>
        <v/>
      </c>
      <c r="W852" s="229" t="str">
        <f t="shared" si="1"/>
        <v/>
      </c>
    </row>
    <row r="853">
      <c r="H853" s="237"/>
      <c r="I853" s="237" t="str">
        <f>IFERROR(__xludf.DUMMYFUNCTION("IF(ISBLANK(H853),,IFNA(""""""""&amp;JOIN("","",INDEX(FILTER(A:D,A:A=H853),0,4))&amp;"""""""",))"),"")</f>
        <v/>
      </c>
      <c r="J853" s="237" t="str">
        <f>IF(ISBLANK(H853),,IFNA(VLOOKUP(H853, Circuits!A:W, 23, FALSE),))</f>
        <v/>
      </c>
      <c r="K853" s="238" t="str">
        <f t="shared" si="2"/>
        <v/>
      </c>
      <c r="L853" s="238" t="str">
        <f t="shared" si="3"/>
        <v/>
      </c>
      <c r="M853" s="238" t="str">
        <f t="shared" si="4"/>
        <v/>
      </c>
      <c r="N853" s="238" t="str">
        <f t="shared" si="5"/>
        <v/>
      </c>
      <c r="O853" s="238" t="str">
        <f t="shared" si="6"/>
        <v/>
      </c>
      <c r="P853" s="237" t="str">
        <f>IFERROR(__xludf.DUMMYFUNCTION("IF(ISBLANK(H853),,IF(IFNA(MATCH(H853,SPLIT(Circuits!$S$2,"";""&amp;CHAR(10)),0),0),FALSE,TRUE))"),"")</f>
        <v/>
      </c>
      <c r="Q853" s="237" t="str">
        <f>IF(ISBLANK(H853),,IFNA(VLOOKUP(H853, Circuits!A:U, 21, FALSE),))</f>
        <v/>
      </c>
      <c r="R853" s="238" t="str">
        <f t="shared" si="7"/>
        <v/>
      </c>
      <c r="S853" s="237" t="str">
        <f>IF(ISBLANK(H853),,IFNA(VLOOKUP(H853, Circuits!A:V, 22, FALSE),))</f>
        <v/>
      </c>
      <c r="T853" s="237" t="str">
        <f>IF(ISBLANK(H853),,IFNA(VLOOKUP(H853, Circuits!A:X, 24, FALSE),))</f>
        <v/>
      </c>
      <c r="V853" s="236" t="str">
        <f>IFERROR(__xludf.DUMMYFUNCTION("IF(ISBLANK(H853),,JOIN("","",H853:T853))"),"")</f>
        <v/>
      </c>
      <c r="W853" s="229" t="str">
        <f t="shared" si="1"/>
        <v/>
      </c>
    </row>
    <row r="854">
      <c r="H854" s="237"/>
      <c r="I854" s="237" t="str">
        <f>IFERROR(__xludf.DUMMYFUNCTION("IF(ISBLANK(H854),,IFNA(""""""""&amp;JOIN("","",INDEX(FILTER(A:D,A:A=H854),0,4))&amp;"""""""",))"),"")</f>
        <v/>
      </c>
      <c r="J854" s="237" t="str">
        <f>IF(ISBLANK(H854),,IFNA(VLOOKUP(H854, Circuits!A:W, 23, FALSE),))</f>
        <v/>
      </c>
      <c r="K854" s="238" t="str">
        <f t="shared" si="2"/>
        <v/>
      </c>
      <c r="L854" s="238" t="str">
        <f t="shared" si="3"/>
        <v/>
      </c>
      <c r="M854" s="238" t="str">
        <f t="shared" si="4"/>
        <v/>
      </c>
      <c r="N854" s="238" t="str">
        <f t="shared" si="5"/>
        <v/>
      </c>
      <c r="O854" s="238" t="str">
        <f t="shared" si="6"/>
        <v/>
      </c>
      <c r="P854" s="237" t="str">
        <f>IFERROR(__xludf.DUMMYFUNCTION("IF(ISBLANK(H854),,IF(IFNA(MATCH(H854,SPLIT(Circuits!$S$2,"";""&amp;CHAR(10)),0),0),FALSE,TRUE))"),"")</f>
        <v/>
      </c>
      <c r="Q854" s="237" t="str">
        <f>IF(ISBLANK(H854),,IFNA(VLOOKUP(H854, Circuits!A:U, 21, FALSE),))</f>
        <v/>
      </c>
      <c r="R854" s="238" t="str">
        <f t="shared" si="7"/>
        <v/>
      </c>
      <c r="S854" s="237" t="str">
        <f>IF(ISBLANK(H854),,IFNA(VLOOKUP(H854, Circuits!A:V, 22, FALSE),))</f>
        <v/>
      </c>
      <c r="T854" s="237" t="str">
        <f>IF(ISBLANK(H854),,IFNA(VLOOKUP(H854, Circuits!A:X, 24, FALSE),))</f>
        <v/>
      </c>
      <c r="V854" s="236" t="str">
        <f>IFERROR(__xludf.DUMMYFUNCTION("IF(ISBLANK(H854),,JOIN("","",H854:T854))"),"")</f>
        <v/>
      </c>
      <c r="W854" s="229" t="str">
        <f t="shared" si="1"/>
        <v/>
      </c>
    </row>
    <row r="855">
      <c r="H855" s="237"/>
      <c r="I855" s="237" t="str">
        <f>IFERROR(__xludf.DUMMYFUNCTION("IF(ISBLANK(H855),,IFNA(""""""""&amp;JOIN("","",INDEX(FILTER(A:D,A:A=H855),0,4))&amp;"""""""",))"),"")</f>
        <v/>
      </c>
      <c r="J855" s="237" t="str">
        <f>IF(ISBLANK(H855),,IFNA(VLOOKUP(H855, Circuits!A:W, 23, FALSE),))</f>
        <v/>
      </c>
      <c r="K855" s="238" t="str">
        <f t="shared" si="2"/>
        <v/>
      </c>
      <c r="L855" s="238" t="str">
        <f t="shared" si="3"/>
        <v/>
      </c>
      <c r="M855" s="238" t="str">
        <f t="shared" si="4"/>
        <v/>
      </c>
      <c r="N855" s="238" t="str">
        <f t="shared" si="5"/>
        <v/>
      </c>
      <c r="O855" s="238" t="str">
        <f t="shared" si="6"/>
        <v/>
      </c>
      <c r="P855" s="237" t="str">
        <f>IFERROR(__xludf.DUMMYFUNCTION("IF(ISBLANK(H855),,IF(IFNA(MATCH(H855,SPLIT(Circuits!$S$2,"";""&amp;CHAR(10)),0),0),FALSE,TRUE))"),"")</f>
        <v/>
      </c>
      <c r="Q855" s="237" t="str">
        <f>IF(ISBLANK(H855),,IFNA(VLOOKUP(H855, Circuits!A:U, 21, FALSE),))</f>
        <v/>
      </c>
      <c r="R855" s="238" t="str">
        <f t="shared" si="7"/>
        <v/>
      </c>
      <c r="S855" s="237" t="str">
        <f>IF(ISBLANK(H855),,IFNA(VLOOKUP(H855, Circuits!A:V, 22, FALSE),))</f>
        <v/>
      </c>
      <c r="T855" s="237" t="str">
        <f>IF(ISBLANK(H855),,IFNA(VLOOKUP(H855, Circuits!A:X, 24, FALSE),))</f>
        <v/>
      </c>
      <c r="V855" s="236" t="str">
        <f>IFERROR(__xludf.DUMMYFUNCTION("IF(ISBLANK(H855),,JOIN("","",H855:T855))"),"")</f>
        <v/>
      </c>
      <c r="W855" s="229" t="str">
        <f t="shared" si="1"/>
        <v/>
      </c>
    </row>
    <row r="856">
      <c r="H856" s="237"/>
      <c r="I856" s="237" t="str">
        <f>IFERROR(__xludf.DUMMYFUNCTION("IF(ISBLANK(H856),,IFNA(""""""""&amp;JOIN("","",INDEX(FILTER(A:D,A:A=H856),0,4))&amp;"""""""",))"),"")</f>
        <v/>
      </c>
      <c r="J856" s="237" t="str">
        <f>IF(ISBLANK(H856),,IFNA(VLOOKUP(H856, Circuits!A:W, 23, FALSE),))</f>
        <v/>
      </c>
      <c r="K856" s="238" t="str">
        <f t="shared" si="2"/>
        <v/>
      </c>
      <c r="L856" s="238" t="str">
        <f t="shared" si="3"/>
        <v/>
      </c>
      <c r="M856" s="238" t="str">
        <f t="shared" si="4"/>
        <v/>
      </c>
      <c r="N856" s="238" t="str">
        <f t="shared" si="5"/>
        <v/>
      </c>
      <c r="O856" s="238" t="str">
        <f t="shared" si="6"/>
        <v/>
      </c>
      <c r="P856" s="237" t="str">
        <f>IFERROR(__xludf.DUMMYFUNCTION("IF(ISBLANK(H856),,IF(IFNA(MATCH(H856,SPLIT(Circuits!$S$2,"";""&amp;CHAR(10)),0),0),FALSE,TRUE))"),"")</f>
        <v/>
      </c>
      <c r="Q856" s="237" t="str">
        <f>IF(ISBLANK(H856),,IFNA(VLOOKUP(H856, Circuits!A:U, 21, FALSE),))</f>
        <v/>
      </c>
      <c r="R856" s="238" t="str">
        <f t="shared" si="7"/>
        <v/>
      </c>
      <c r="S856" s="237" t="str">
        <f>IF(ISBLANK(H856),,IFNA(VLOOKUP(H856, Circuits!A:V, 22, FALSE),))</f>
        <v/>
      </c>
      <c r="T856" s="237" t="str">
        <f>IF(ISBLANK(H856),,IFNA(VLOOKUP(H856, Circuits!A:X, 24, FALSE),))</f>
        <v/>
      </c>
      <c r="V856" s="236" t="str">
        <f>IFERROR(__xludf.DUMMYFUNCTION("IF(ISBLANK(H856),,JOIN("","",H856:T856))"),"")</f>
        <v/>
      </c>
      <c r="W856" s="229" t="str">
        <f t="shared" si="1"/>
        <v/>
      </c>
    </row>
    <row r="857">
      <c r="H857" s="237"/>
      <c r="I857" s="237" t="str">
        <f>IFERROR(__xludf.DUMMYFUNCTION("IF(ISBLANK(H857),,IFNA(""""""""&amp;JOIN("","",INDEX(FILTER(A:D,A:A=H857),0,4))&amp;"""""""",))"),"")</f>
        <v/>
      </c>
      <c r="J857" s="237" t="str">
        <f>IF(ISBLANK(H857),,IFNA(VLOOKUP(H857, Circuits!A:W, 23, FALSE),))</f>
        <v/>
      </c>
      <c r="K857" s="238" t="str">
        <f t="shared" si="2"/>
        <v/>
      </c>
      <c r="L857" s="238" t="str">
        <f t="shared" si="3"/>
        <v/>
      </c>
      <c r="M857" s="238" t="str">
        <f t="shared" si="4"/>
        <v/>
      </c>
      <c r="N857" s="238" t="str">
        <f t="shared" si="5"/>
        <v/>
      </c>
      <c r="O857" s="238" t="str">
        <f t="shared" si="6"/>
        <v/>
      </c>
      <c r="P857" s="237" t="str">
        <f>IFERROR(__xludf.DUMMYFUNCTION("IF(ISBLANK(H857),,IF(IFNA(MATCH(H857,SPLIT(Circuits!$S$2,"";""&amp;CHAR(10)),0),0),FALSE,TRUE))"),"")</f>
        <v/>
      </c>
      <c r="Q857" s="237" t="str">
        <f>IF(ISBLANK(H857),,IFNA(VLOOKUP(H857, Circuits!A:U, 21, FALSE),))</f>
        <v/>
      </c>
      <c r="R857" s="238" t="str">
        <f t="shared" si="7"/>
        <v/>
      </c>
      <c r="S857" s="237" t="str">
        <f>IF(ISBLANK(H857),,IFNA(VLOOKUP(H857, Circuits!A:V, 22, FALSE),))</f>
        <v/>
      </c>
      <c r="T857" s="237" t="str">
        <f>IF(ISBLANK(H857),,IFNA(VLOOKUP(H857, Circuits!A:X, 24, FALSE),))</f>
        <v/>
      </c>
      <c r="V857" s="236" t="str">
        <f>IFERROR(__xludf.DUMMYFUNCTION("IF(ISBLANK(H857),,JOIN("","",H857:T857))"),"")</f>
        <v/>
      </c>
      <c r="W857" s="229" t="str">
        <f t="shared" si="1"/>
        <v/>
      </c>
    </row>
    <row r="858">
      <c r="H858" s="237"/>
      <c r="I858" s="237" t="str">
        <f>IFERROR(__xludf.DUMMYFUNCTION("IF(ISBLANK(H858),,IFNA(""""""""&amp;JOIN("","",INDEX(FILTER(A:D,A:A=H858),0,4))&amp;"""""""",))"),"")</f>
        <v/>
      </c>
      <c r="J858" s="237" t="str">
        <f>IF(ISBLANK(H858),,IFNA(VLOOKUP(H858, Circuits!A:W, 23, FALSE),))</f>
        <v/>
      </c>
      <c r="K858" s="238" t="str">
        <f t="shared" si="2"/>
        <v/>
      </c>
      <c r="L858" s="238" t="str">
        <f t="shared" si="3"/>
        <v/>
      </c>
      <c r="M858" s="238" t="str">
        <f t="shared" si="4"/>
        <v/>
      </c>
      <c r="N858" s="238" t="str">
        <f t="shared" si="5"/>
        <v/>
      </c>
      <c r="O858" s="238" t="str">
        <f t="shared" si="6"/>
        <v/>
      </c>
      <c r="P858" s="237" t="str">
        <f>IFERROR(__xludf.DUMMYFUNCTION("IF(ISBLANK(H858),,IF(IFNA(MATCH(H858,SPLIT(Circuits!$S$2,"";""&amp;CHAR(10)),0),0),FALSE,TRUE))"),"")</f>
        <v/>
      </c>
      <c r="Q858" s="237" t="str">
        <f>IF(ISBLANK(H858),,IFNA(VLOOKUP(H858, Circuits!A:U, 21, FALSE),))</f>
        <v/>
      </c>
      <c r="R858" s="238" t="str">
        <f t="shared" si="7"/>
        <v/>
      </c>
      <c r="S858" s="237" t="str">
        <f>IF(ISBLANK(H858),,IFNA(VLOOKUP(H858, Circuits!A:V, 22, FALSE),))</f>
        <v/>
      </c>
      <c r="T858" s="237" t="str">
        <f>IF(ISBLANK(H858),,IFNA(VLOOKUP(H858, Circuits!A:X, 24, FALSE),))</f>
        <v/>
      </c>
      <c r="V858" s="236" t="str">
        <f>IFERROR(__xludf.DUMMYFUNCTION("IF(ISBLANK(H858),,JOIN("","",H858:T858))"),"")</f>
        <v/>
      </c>
      <c r="W858" s="229" t="str">
        <f t="shared" si="1"/>
        <v/>
      </c>
    </row>
    <row r="859">
      <c r="H859" s="237"/>
      <c r="I859" s="237" t="str">
        <f>IFERROR(__xludf.DUMMYFUNCTION("IF(ISBLANK(H859),,IFNA(""""""""&amp;JOIN("","",INDEX(FILTER(A:D,A:A=H859),0,4))&amp;"""""""",))"),"")</f>
        <v/>
      </c>
      <c r="J859" s="237" t="str">
        <f>IF(ISBLANK(H859),,IFNA(VLOOKUP(H859, Circuits!A:W, 23, FALSE),))</f>
        <v/>
      </c>
      <c r="K859" s="238" t="str">
        <f t="shared" si="2"/>
        <v/>
      </c>
      <c r="L859" s="238" t="str">
        <f t="shared" si="3"/>
        <v/>
      </c>
      <c r="M859" s="238" t="str">
        <f t="shared" si="4"/>
        <v/>
      </c>
      <c r="N859" s="238" t="str">
        <f t="shared" si="5"/>
        <v/>
      </c>
      <c r="O859" s="238" t="str">
        <f t="shared" si="6"/>
        <v/>
      </c>
      <c r="P859" s="237" t="str">
        <f>IFERROR(__xludf.DUMMYFUNCTION("IF(ISBLANK(H859),,IF(IFNA(MATCH(H859,SPLIT(Circuits!$S$2,"";""&amp;CHAR(10)),0),0),FALSE,TRUE))"),"")</f>
        <v/>
      </c>
      <c r="Q859" s="237" t="str">
        <f>IF(ISBLANK(H859),,IFNA(VLOOKUP(H859, Circuits!A:U, 21, FALSE),))</f>
        <v/>
      </c>
      <c r="R859" s="238" t="str">
        <f t="shared" si="7"/>
        <v/>
      </c>
      <c r="S859" s="237" t="str">
        <f>IF(ISBLANK(H859),,IFNA(VLOOKUP(H859, Circuits!A:V, 22, FALSE),))</f>
        <v/>
      </c>
      <c r="T859" s="237" t="str">
        <f>IF(ISBLANK(H859),,IFNA(VLOOKUP(H859, Circuits!A:X, 24, FALSE),))</f>
        <v/>
      </c>
      <c r="V859" s="236" t="str">
        <f>IFERROR(__xludf.DUMMYFUNCTION("IF(ISBLANK(H859),,JOIN("","",H859:T859))"),"")</f>
        <v/>
      </c>
      <c r="W859" s="229" t="str">
        <f t="shared" si="1"/>
        <v/>
      </c>
    </row>
    <row r="860">
      <c r="H860" s="237"/>
      <c r="I860" s="237" t="str">
        <f>IFERROR(__xludf.DUMMYFUNCTION("IF(ISBLANK(H860),,IFNA(""""""""&amp;JOIN("","",INDEX(FILTER(A:D,A:A=H860),0,4))&amp;"""""""",))"),"")</f>
        <v/>
      </c>
      <c r="J860" s="237" t="str">
        <f>IF(ISBLANK(H860),,IFNA(VLOOKUP(H860, Circuits!A:W, 23, FALSE),))</f>
        <v/>
      </c>
      <c r="K860" s="238" t="str">
        <f t="shared" si="2"/>
        <v/>
      </c>
      <c r="L860" s="238" t="str">
        <f t="shared" si="3"/>
        <v/>
      </c>
      <c r="M860" s="238" t="str">
        <f t="shared" si="4"/>
        <v/>
      </c>
      <c r="N860" s="238" t="str">
        <f t="shared" si="5"/>
        <v/>
      </c>
      <c r="O860" s="238" t="str">
        <f t="shared" si="6"/>
        <v/>
      </c>
      <c r="P860" s="237" t="str">
        <f>IFERROR(__xludf.DUMMYFUNCTION("IF(ISBLANK(H860),,IF(IFNA(MATCH(H860,SPLIT(Circuits!$S$2,"";""&amp;CHAR(10)),0),0),FALSE,TRUE))"),"")</f>
        <v/>
      </c>
      <c r="Q860" s="237" t="str">
        <f>IF(ISBLANK(H860),,IFNA(VLOOKUP(H860, Circuits!A:U, 21, FALSE),))</f>
        <v/>
      </c>
      <c r="R860" s="238" t="str">
        <f t="shared" si="7"/>
        <v/>
      </c>
      <c r="S860" s="237" t="str">
        <f>IF(ISBLANK(H860),,IFNA(VLOOKUP(H860, Circuits!A:V, 22, FALSE),))</f>
        <v/>
      </c>
      <c r="T860" s="237" t="str">
        <f>IF(ISBLANK(H860),,IFNA(VLOOKUP(H860, Circuits!A:X, 24, FALSE),))</f>
        <v/>
      </c>
      <c r="V860" s="236" t="str">
        <f>IFERROR(__xludf.DUMMYFUNCTION("IF(ISBLANK(H860),,JOIN("","",H860:T860))"),"")</f>
        <v/>
      </c>
      <c r="W860" s="229" t="str">
        <f t="shared" si="1"/>
        <v/>
      </c>
    </row>
    <row r="861">
      <c r="H861" s="237"/>
      <c r="I861" s="237" t="str">
        <f>IFERROR(__xludf.DUMMYFUNCTION("IF(ISBLANK(H861),,IFNA(""""""""&amp;JOIN("","",INDEX(FILTER(A:D,A:A=H861),0,4))&amp;"""""""",))"),"")</f>
        <v/>
      </c>
      <c r="J861" s="237" t="str">
        <f>IF(ISBLANK(H861),,IFNA(VLOOKUP(H861, Circuits!A:W, 23, FALSE),))</f>
        <v/>
      </c>
      <c r="K861" s="238" t="str">
        <f t="shared" si="2"/>
        <v/>
      </c>
      <c r="L861" s="238" t="str">
        <f t="shared" si="3"/>
        <v/>
      </c>
      <c r="M861" s="238" t="str">
        <f t="shared" si="4"/>
        <v/>
      </c>
      <c r="N861" s="238" t="str">
        <f t="shared" si="5"/>
        <v/>
      </c>
      <c r="O861" s="238" t="str">
        <f t="shared" si="6"/>
        <v/>
      </c>
      <c r="P861" s="237" t="str">
        <f>IFERROR(__xludf.DUMMYFUNCTION("IF(ISBLANK(H861),,IF(IFNA(MATCH(H861,SPLIT(Circuits!$S$2,"";""&amp;CHAR(10)),0),0),FALSE,TRUE))"),"")</f>
        <v/>
      </c>
      <c r="Q861" s="237" t="str">
        <f>IF(ISBLANK(H861),,IFNA(VLOOKUP(H861, Circuits!A:U, 21, FALSE),))</f>
        <v/>
      </c>
      <c r="R861" s="238" t="str">
        <f t="shared" si="7"/>
        <v/>
      </c>
      <c r="S861" s="237" t="str">
        <f>IF(ISBLANK(H861),,IFNA(VLOOKUP(H861, Circuits!A:V, 22, FALSE),))</f>
        <v/>
      </c>
      <c r="T861" s="237" t="str">
        <f>IF(ISBLANK(H861),,IFNA(VLOOKUP(H861, Circuits!A:X, 24, FALSE),))</f>
        <v/>
      </c>
      <c r="V861" s="236" t="str">
        <f>IFERROR(__xludf.DUMMYFUNCTION("IF(ISBLANK(H861),,JOIN("","",H861:T861))"),"")</f>
        <v/>
      </c>
      <c r="W861" s="229" t="str">
        <f t="shared" si="1"/>
        <v/>
      </c>
    </row>
    <row r="862">
      <c r="H862" s="237"/>
      <c r="I862" s="237" t="str">
        <f>IFERROR(__xludf.DUMMYFUNCTION("IF(ISBLANK(H862),,IFNA(""""""""&amp;JOIN("","",INDEX(FILTER(A:D,A:A=H862),0,4))&amp;"""""""",))"),"")</f>
        <v/>
      </c>
      <c r="J862" s="237" t="str">
        <f>IF(ISBLANK(H862),,IFNA(VLOOKUP(H862, Circuits!A:W, 23, FALSE),))</f>
        <v/>
      </c>
      <c r="K862" s="238" t="str">
        <f t="shared" si="2"/>
        <v/>
      </c>
      <c r="L862" s="238" t="str">
        <f t="shared" si="3"/>
        <v/>
      </c>
      <c r="M862" s="238" t="str">
        <f t="shared" si="4"/>
        <v/>
      </c>
      <c r="N862" s="238" t="str">
        <f t="shared" si="5"/>
        <v/>
      </c>
      <c r="O862" s="238" t="str">
        <f t="shared" si="6"/>
        <v/>
      </c>
      <c r="P862" s="237" t="str">
        <f>IFERROR(__xludf.DUMMYFUNCTION("IF(ISBLANK(H862),,IF(IFNA(MATCH(H862,SPLIT(Circuits!$S$2,"";""&amp;CHAR(10)),0),0),FALSE,TRUE))"),"")</f>
        <v/>
      </c>
      <c r="Q862" s="237" t="str">
        <f>IF(ISBLANK(H862),,IFNA(VLOOKUP(H862, Circuits!A:U, 21, FALSE),))</f>
        <v/>
      </c>
      <c r="R862" s="238" t="str">
        <f t="shared" si="7"/>
        <v/>
      </c>
      <c r="S862" s="237" t="str">
        <f>IF(ISBLANK(H862),,IFNA(VLOOKUP(H862, Circuits!A:V, 22, FALSE),))</f>
        <v/>
      </c>
      <c r="T862" s="237" t="str">
        <f>IF(ISBLANK(H862),,IFNA(VLOOKUP(H862, Circuits!A:X, 24, FALSE),))</f>
        <v/>
      </c>
      <c r="V862" s="236" t="str">
        <f>IFERROR(__xludf.DUMMYFUNCTION("IF(ISBLANK(H862),,JOIN("","",H862:T862))"),"")</f>
        <v/>
      </c>
      <c r="W862" s="229" t="str">
        <f t="shared" si="1"/>
        <v/>
      </c>
    </row>
    <row r="863">
      <c r="H863" s="237"/>
      <c r="I863" s="237" t="str">
        <f>IFERROR(__xludf.DUMMYFUNCTION("IF(ISBLANK(H863),,IFNA(""""""""&amp;JOIN("","",INDEX(FILTER(A:D,A:A=H863),0,4))&amp;"""""""",))"),"")</f>
        <v/>
      </c>
      <c r="J863" s="237" t="str">
        <f>IF(ISBLANK(H863),,IFNA(VLOOKUP(H863, Circuits!A:W, 23, FALSE),))</f>
        <v/>
      </c>
      <c r="K863" s="238" t="str">
        <f t="shared" si="2"/>
        <v/>
      </c>
      <c r="L863" s="238" t="str">
        <f t="shared" si="3"/>
        <v/>
      </c>
      <c r="M863" s="238" t="str">
        <f t="shared" si="4"/>
        <v/>
      </c>
      <c r="N863" s="238" t="str">
        <f t="shared" si="5"/>
        <v/>
      </c>
      <c r="O863" s="238" t="str">
        <f t="shared" si="6"/>
        <v/>
      </c>
      <c r="P863" s="237" t="str">
        <f>IFERROR(__xludf.DUMMYFUNCTION("IF(ISBLANK(H863),,IF(IFNA(MATCH(H863,SPLIT(Circuits!$S$2,"";""&amp;CHAR(10)),0),0),FALSE,TRUE))"),"")</f>
        <v/>
      </c>
      <c r="Q863" s="237" t="str">
        <f>IF(ISBLANK(H863),,IFNA(VLOOKUP(H863, Circuits!A:U, 21, FALSE),))</f>
        <v/>
      </c>
      <c r="R863" s="238" t="str">
        <f t="shared" si="7"/>
        <v/>
      </c>
      <c r="S863" s="237" t="str">
        <f>IF(ISBLANK(H863),,IFNA(VLOOKUP(H863, Circuits!A:V, 22, FALSE),))</f>
        <v/>
      </c>
      <c r="T863" s="237" t="str">
        <f>IF(ISBLANK(H863),,IFNA(VLOOKUP(H863, Circuits!A:X, 24, FALSE),))</f>
        <v/>
      </c>
      <c r="V863" s="236" t="str">
        <f>IFERROR(__xludf.DUMMYFUNCTION("IF(ISBLANK(H863),,JOIN("","",H863:T863))"),"")</f>
        <v/>
      </c>
      <c r="W863" s="229" t="str">
        <f t="shared" si="1"/>
        <v/>
      </c>
    </row>
    <row r="864">
      <c r="H864" s="237"/>
      <c r="I864" s="237" t="str">
        <f>IFERROR(__xludf.DUMMYFUNCTION("IF(ISBLANK(H864),,IFNA(""""""""&amp;JOIN("","",INDEX(FILTER(A:D,A:A=H864),0,4))&amp;"""""""",))"),"")</f>
        <v/>
      </c>
      <c r="J864" s="237" t="str">
        <f>IF(ISBLANK(H864),,IFNA(VLOOKUP(H864, Circuits!A:W, 23, FALSE),))</f>
        <v/>
      </c>
      <c r="K864" s="238" t="str">
        <f t="shared" si="2"/>
        <v/>
      </c>
      <c r="L864" s="238" t="str">
        <f t="shared" si="3"/>
        <v/>
      </c>
      <c r="M864" s="238" t="str">
        <f t="shared" si="4"/>
        <v/>
      </c>
      <c r="N864" s="238" t="str">
        <f t="shared" si="5"/>
        <v/>
      </c>
      <c r="O864" s="238" t="str">
        <f t="shared" si="6"/>
        <v/>
      </c>
      <c r="P864" s="237" t="str">
        <f>IFERROR(__xludf.DUMMYFUNCTION("IF(ISBLANK(H864),,IF(IFNA(MATCH(H864,SPLIT(Circuits!$S$2,"";""&amp;CHAR(10)),0),0),FALSE,TRUE))"),"")</f>
        <v/>
      </c>
      <c r="Q864" s="237" t="str">
        <f>IF(ISBLANK(H864),,IFNA(VLOOKUP(H864, Circuits!A:U, 21, FALSE),))</f>
        <v/>
      </c>
      <c r="R864" s="238" t="str">
        <f t="shared" si="7"/>
        <v/>
      </c>
      <c r="S864" s="237" t="str">
        <f>IF(ISBLANK(H864),,IFNA(VLOOKUP(H864, Circuits!A:V, 22, FALSE),))</f>
        <v/>
      </c>
      <c r="T864" s="237" t="str">
        <f>IF(ISBLANK(H864),,IFNA(VLOOKUP(H864, Circuits!A:X, 24, FALSE),))</f>
        <v/>
      </c>
      <c r="V864" s="236" t="str">
        <f>IFERROR(__xludf.DUMMYFUNCTION("IF(ISBLANK(H864),,JOIN("","",H864:T864))"),"")</f>
        <v/>
      </c>
      <c r="W864" s="229" t="str">
        <f t="shared" si="1"/>
        <v/>
      </c>
    </row>
    <row r="865">
      <c r="H865" s="237"/>
      <c r="I865" s="237" t="str">
        <f>IFERROR(__xludf.DUMMYFUNCTION("IF(ISBLANK(H865),,IFNA(""""""""&amp;JOIN("","",INDEX(FILTER(A:D,A:A=H865),0,4))&amp;"""""""",))"),"")</f>
        <v/>
      </c>
      <c r="J865" s="237" t="str">
        <f>IF(ISBLANK(H865),,IFNA(VLOOKUP(H865, Circuits!A:W, 23, FALSE),))</f>
        <v/>
      </c>
      <c r="K865" s="238" t="str">
        <f t="shared" si="2"/>
        <v/>
      </c>
      <c r="L865" s="238" t="str">
        <f t="shared" si="3"/>
        <v/>
      </c>
      <c r="M865" s="238" t="str">
        <f t="shared" si="4"/>
        <v/>
      </c>
      <c r="N865" s="238" t="str">
        <f t="shared" si="5"/>
        <v/>
      </c>
      <c r="O865" s="238" t="str">
        <f t="shared" si="6"/>
        <v/>
      </c>
      <c r="P865" s="237" t="str">
        <f>IFERROR(__xludf.DUMMYFUNCTION("IF(ISBLANK(H865),,IF(IFNA(MATCH(H865,SPLIT(Circuits!$S$2,"";""&amp;CHAR(10)),0),0),FALSE,TRUE))"),"")</f>
        <v/>
      </c>
      <c r="Q865" s="237" t="str">
        <f>IF(ISBLANK(H865),,IFNA(VLOOKUP(H865, Circuits!A:U, 21, FALSE),))</f>
        <v/>
      </c>
      <c r="R865" s="238" t="str">
        <f t="shared" si="7"/>
        <v/>
      </c>
      <c r="S865" s="237" t="str">
        <f>IF(ISBLANK(H865),,IFNA(VLOOKUP(H865, Circuits!A:V, 22, FALSE),))</f>
        <v/>
      </c>
      <c r="T865" s="237" t="str">
        <f>IF(ISBLANK(H865),,IFNA(VLOOKUP(H865, Circuits!A:X, 24, FALSE),))</f>
        <v/>
      </c>
      <c r="V865" s="236" t="str">
        <f>IFERROR(__xludf.DUMMYFUNCTION("IF(ISBLANK(H865),,JOIN("","",H865:T865))"),"")</f>
        <v/>
      </c>
      <c r="W865" s="229" t="str">
        <f t="shared" si="1"/>
        <v/>
      </c>
    </row>
    <row r="866">
      <c r="H866" s="237"/>
      <c r="I866" s="237" t="str">
        <f>IFERROR(__xludf.DUMMYFUNCTION("IF(ISBLANK(H866),,IFNA(""""""""&amp;JOIN("","",INDEX(FILTER(A:D,A:A=H866),0,4))&amp;"""""""",))"),"")</f>
        <v/>
      </c>
      <c r="J866" s="237" t="str">
        <f>IF(ISBLANK(H866),,IFNA(VLOOKUP(H866, Circuits!A:W, 23, FALSE),))</f>
        <v/>
      </c>
      <c r="K866" s="238" t="str">
        <f t="shared" si="2"/>
        <v/>
      </c>
      <c r="L866" s="238" t="str">
        <f t="shared" si="3"/>
        <v/>
      </c>
      <c r="M866" s="238" t="str">
        <f t="shared" si="4"/>
        <v/>
      </c>
      <c r="N866" s="238" t="str">
        <f t="shared" si="5"/>
        <v/>
      </c>
      <c r="O866" s="238" t="str">
        <f t="shared" si="6"/>
        <v/>
      </c>
      <c r="P866" s="237" t="str">
        <f>IFERROR(__xludf.DUMMYFUNCTION("IF(ISBLANK(H866),,IF(IFNA(MATCH(H866,SPLIT(Circuits!$S$2,"";""&amp;CHAR(10)),0),0),FALSE,TRUE))"),"")</f>
        <v/>
      </c>
      <c r="Q866" s="237" t="str">
        <f>IF(ISBLANK(H866),,IFNA(VLOOKUP(H866, Circuits!A:U, 21, FALSE),))</f>
        <v/>
      </c>
      <c r="R866" s="238" t="str">
        <f t="shared" si="7"/>
        <v/>
      </c>
      <c r="S866" s="237" t="str">
        <f>IF(ISBLANK(H866),,IFNA(VLOOKUP(H866, Circuits!A:V, 22, FALSE),))</f>
        <v/>
      </c>
      <c r="T866" s="237" t="str">
        <f>IF(ISBLANK(H866),,IFNA(VLOOKUP(H866, Circuits!A:X, 24, FALSE),))</f>
        <v/>
      </c>
      <c r="V866" s="236" t="str">
        <f>IFERROR(__xludf.DUMMYFUNCTION("IF(ISBLANK(H866),,JOIN("","",H866:T866))"),"")</f>
        <v/>
      </c>
      <c r="W866" s="229" t="str">
        <f t="shared" si="1"/>
        <v/>
      </c>
    </row>
    <row r="867">
      <c r="H867" s="237"/>
      <c r="I867" s="237" t="str">
        <f>IFERROR(__xludf.DUMMYFUNCTION("IF(ISBLANK(H867),,IFNA(""""""""&amp;JOIN("","",INDEX(FILTER(A:D,A:A=H867),0,4))&amp;"""""""",))"),"")</f>
        <v/>
      </c>
      <c r="J867" s="237" t="str">
        <f>IF(ISBLANK(H867),,IFNA(VLOOKUP(H867, Circuits!A:W, 23, FALSE),))</f>
        <v/>
      </c>
      <c r="K867" s="238" t="str">
        <f t="shared" si="2"/>
        <v/>
      </c>
      <c r="L867" s="238" t="str">
        <f t="shared" si="3"/>
        <v/>
      </c>
      <c r="M867" s="238" t="str">
        <f t="shared" si="4"/>
        <v/>
      </c>
      <c r="N867" s="238" t="str">
        <f t="shared" si="5"/>
        <v/>
      </c>
      <c r="O867" s="238" t="str">
        <f t="shared" si="6"/>
        <v/>
      </c>
      <c r="P867" s="237" t="str">
        <f>IFERROR(__xludf.DUMMYFUNCTION("IF(ISBLANK(H867),,IF(IFNA(MATCH(H867,SPLIT(Circuits!$S$2,"";""&amp;CHAR(10)),0),0),FALSE,TRUE))"),"")</f>
        <v/>
      </c>
      <c r="Q867" s="237" t="str">
        <f>IF(ISBLANK(H867),,IFNA(VLOOKUP(H867, Circuits!A:U, 21, FALSE),))</f>
        <v/>
      </c>
      <c r="R867" s="238" t="str">
        <f t="shared" si="7"/>
        <v/>
      </c>
      <c r="S867" s="237" t="str">
        <f>IF(ISBLANK(H867),,IFNA(VLOOKUP(H867, Circuits!A:V, 22, FALSE),))</f>
        <v/>
      </c>
      <c r="T867" s="237" t="str">
        <f>IF(ISBLANK(H867),,IFNA(VLOOKUP(H867, Circuits!A:X, 24, FALSE),))</f>
        <v/>
      </c>
      <c r="V867" s="236" t="str">
        <f>IFERROR(__xludf.DUMMYFUNCTION("IF(ISBLANK(H867),,JOIN("","",H867:T867))"),"")</f>
        <v/>
      </c>
      <c r="W867" s="229" t="str">
        <f t="shared" si="1"/>
        <v/>
      </c>
    </row>
    <row r="868">
      <c r="H868" s="237"/>
      <c r="I868" s="237" t="str">
        <f>IFERROR(__xludf.DUMMYFUNCTION("IF(ISBLANK(H868),,IFNA(""""""""&amp;JOIN("","",INDEX(FILTER(A:D,A:A=H868),0,4))&amp;"""""""",))"),"")</f>
        <v/>
      </c>
      <c r="J868" s="237" t="str">
        <f>IF(ISBLANK(H868),,IFNA(VLOOKUP(H868, Circuits!A:W, 23, FALSE),))</f>
        <v/>
      </c>
      <c r="K868" s="238" t="str">
        <f t="shared" si="2"/>
        <v/>
      </c>
      <c r="L868" s="238" t="str">
        <f t="shared" si="3"/>
        <v/>
      </c>
      <c r="M868" s="238" t="str">
        <f t="shared" si="4"/>
        <v/>
      </c>
      <c r="N868" s="238" t="str">
        <f t="shared" si="5"/>
        <v/>
      </c>
      <c r="O868" s="238" t="str">
        <f t="shared" si="6"/>
        <v/>
      </c>
      <c r="P868" s="237" t="str">
        <f>IFERROR(__xludf.DUMMYFUNCTION("IF(ISBLANK(H868),,IF(IFNA(MATCH(H868,SPLIT(Circuits!$S$2,"";""&amp;CHAR(10)),0),0),FALSE,TRUE))"),"")</f>
        <v/>
      </c>
      <c r="Q868" s="237" t="str">
        <f>IF(ISBLANK(H868),,IFNA(VLOOKUP(H868, Circuits!A:U, 21, FALSE),))</f>
        <v/>
      </c>
      <c r="R868" s="238" t="str">
        <f t="shared" si="7"/>
        <v/>
      </c>
      <c r="S868" s="237" t="str">
        <f>IF(ISBLANK(H868),,IFNA(VLOOKUP(H868, Circuits!A:V, 22, FALSE),))</f>
        <v/>
      </c>
      <c r="T868" s="237" t="str">
        <f>IF(ISBLANK(H868),,IFNA(VLOOKUP(H868, Circuits!A:X, 24, FALSE),))</f>
        <v/>
      </c>
      <c r="V868" s="236" t="str">
        <f>IFERROR(__xludf.DUMMYFUNCTION("IF(ISBLANK(H868),,JOIN("","",H868:T868))"),"")</f>
        <v/>
      </c>
      <c r="W868" s="229" t="str">
        <f t="shared" si="1"/>
        <v/>
      </c>
    </row>
    <row r="869">
      <c r="H869" s="237"/>
      <c r="I869" s="237" t="str">
        <f>IFERROR(__xludf.DUMMYFUNCTION("IF(ISBLANK(H869),,IFNA(""""""""&amp;JOIN("","",INDEX(FILTER(A:D,A:A=H869),0,4))&amp;"""""""",))"),"")</f>
        <v/>
      </c>
      <c r="J869" s="237" t="str">
        <f>IF(ISBLANK(H869),,IFNA(VLOOKUP(H869, Circuits!A:W, 23, FALSE),))</f>
        <v/>
      </c>
      <c r="K869" s="238" t="str">
        <f t="shared" si="2"/>
        <v/>
      </c>
      <c r="L869" s="238" t="str">
        <f t="shared" si="3"/>
        <v/>
      </c>
      <c r="M869" s="238" t="str">
        <f t="shared" si="4"/>
        <v/>
      </c>
      <c r="N869" s="238" t="str">
        <f t="shared" si="5"/>
        <v/>
      </c>
      <c r="O869" s="238" t="str">
        <f t="shared" si="6"/>
        <v/>
      </c>
      <c r="P869" s="237" t="str">
        <f>IFERROR(__xludf.DUMMYFUNCTION("IF(ISBLANK(H869),,IF(IFNA(MATCH(H869,SPLIT(Circuits!$S$2,"";""&amp;CHAR(10)),0),0),FALSE,TRUE))"),"")</f>
        <v/>
      </c>
      <c r="Q869" s="237" t="str">
        <f>IF(ISBLANK(H869),,IFNA(VLOOKUP(H869, Circuits!A:U, 21, FALSE),))</f>
        <v/>
      </c>
      <c r="R869" s="238" t="str">
        <f t="shared" si="7"/>
        <v/>
      </c>
      <c r="S869" s="237" t="str">
        <f>IF(ISBLANK(H869),,IFNA(VLOOKUP(H869, Circuits!A:V, 22, FALSE),))</f>
        <v/>
      </c>
      <c r="T869" s="237" t="str">
        <f>IF(ISBLANK(H869),,IFNA(VLOOKUP(H869, Circuits!A:X, 24, FALSE),))</f>
        <v/>
      </c>
      <c r="V869" s="236" t="str">
        <f>IFERROR(__xludf.DUMMYFUNCTION("IF(ISBLANK(H869),,JOIN("","",H869:T869))"),"")</f>
        <v/>
      </c>
      <c r="W869" s="229" t="str">
        <f t="shared" si="1"/>
        <v/>
      </c>
    </row>
    <row r="870">
      <c r="H870" s="237"/>
      <c r="I870" s="237" t="str">
        <f>IFERROR(__xludf.DUMMYFUNCTION("IF(ISBLANK(H870),,IFNA(""""""""&amp;JOIN("","",INDEX(FILTER(A:D,A:A=H870),0,4))&amp;"""""""",))"),"")</f>
        <v/>
      </c>
      <c r="J870" s="237" t="str">
        <f>IF(ISBLANK(H870),,IFNA(VLOOKUP(H870, Circuits!A:W, 23, FALSE),))</f>
        <v/>
      </c>
      <c r="K870" s="238" t="str">
        <f t="shared" si="2"/>
        <v/>
      </c>
      <c r="L870" s="238" t="str">
        <f t="shared" si="3"/>
        <v/>
      </c>
      <c r="M870" s="238" t="str">
        <f t="shared" si="4"/>
        <v/>
      </c>
      <c r="N870" s="238" t="str">
        <f t="shared" si="5"/>
        <v/>
      </c>
      <c r="O870" s="238" t="str">
        <f t="shared" si="6"/>
        <v/>
      </c>
      <c r="P870" s="237" t="str">
        <f>IFERROR(__xludf.DUMMYFUNCTION("IF(ISBLANK(H870),,IF(IFNA(MATCH(H870,SPLIT(Circuits!$S$2,"";""&amp;CHAR(10)),0),0),FALSE,TRUE))"),"")</f>
        <v/>
      </c>
      <c r="Q870" s="237" t="str">
        <f>IF(ISBLANK(H870),,IFNA(VLOOKUP(H870, Circuits!A:U, 21, FALSE),))</f>
        <v/>
      </c>
      <c r="R870" s="238" t="str">
        <f t="shared" si="7"/>
        <v/>
      </c>
      <c r="S870" s="237" t="str">
        <f>IF(ISBLANK(H870),,IFNA(VLOOKUP(H870, Circuits!A:V, 22, FALSE),))</f>
        <v/>
      </c>
      <c r="T870" s="237" t="str">
        <f>IF(ISBLANK(H870),,IFNA(VLOOKUP(H870, Circuits!A:X, 24, FALSE),))</f>
        <v/>
      </c>
      <c r="V870" s="236" t="str">
        <f>IFERROR(__xludf.DUMMYFUNCTION("IF(ISBLANK(H870),,JOIN("","",H870:T870))"),"")</f>
        <v/>
      </c>
      <c r="W870" s="229" t="str">
        <f t="shared" si="1"/>
        <v/>
      </c>
    </row>
    <row r="871">
      <c r="H871" s="237"/>
      <c r="I871" s="237" t="str">
        <f>IFERROR(__xludf.DUMMYFUNCTION("IF(ISBLANK(H871),,IFNA(""""""""&amp;JOIN("","",INDEX(FILTER(A:D,A:A=H871),0,4))&amp;"""""""",))"),"")</f>
        <v/>
      </c>
      <c r="J871" s="237" t="str">
        <f>IF(ISBLANK(H871),,IFNA(VLOOKUP(H871, Circuits!A:W, 23, FALSE),))</f>
        <v/>
      </c>
      <c r="K871" s="238" t="str">
        <f t="shared" si="2"/>
        <v/>
      </c>
      <c r="L871" s="238" t="str">
        <f t="shared" si="3"/>
        <v/>
      </c>
      <c r="M871" s="238" t="str">
        <f t="shared" si="4"/>
        <v/>
      </c>
      <c r="N871" s="238" t="str">
        <f t="shared" si="5"/>
        <v/>
      </c>
      <c r="O871" s="238" t="str">
        <f t="shared" si="6"/>
        <v/>
      </c>
      <c r="P871" s="237" t="str">
        <f>IFERROR(__xludf.DUMMYFUNCTION("IF(ISBLANK(H871),,IF(IFNA(MATCH(H871,SPLIT(Circuits!$S$2,"";""&amp;CHAR(10)),0),0),FALSE,TRUE))"),"")</f>
        <v/>
      </c>
      <c r="Q871" s="237" t="str">
        <f>IF(ISBLANK(H871),,IFNA(VLOOKUP(H871, Circuits!A:U, 21, FALSE),))</f>
        <v/>
      </c>
      <c r="R871" s="238" t="str">
        <f t="shared" si="7"/>
        <v/>
      </c>
      <c r="S871" s="237" t="str">
        <f>IF(ISBLANK(H871),,IFNA(VLOOKUP(H871, Circuits!A:V, 22, FALSE),))</f>
        <v/>
      </c>
      <c r="T871" s="237" t="str">
        <f>IF(ISBLANK(H871),,IFNA(VLOOKUP(H871, Circuits!A:X, 24, FALSE),))</f>
        <v/>
      </c>
      <c r="V871" s="236" t="str">
        <f>IFERROR(__xludf.DUMMYFUNCTION("IF(ISBLANK(H871),,JOIN("","",H871:T871))"),"")</f>
        <v/>
      </c>
      <c r="W871" s="229" t="str">
        <f t="shared" si="1"/>
        <v/>
      </c>
    </row>
    <row r="872">
      <c r="H872" s="237"/>
      <c r="I872" s="237" t="str">
        <f>IFERROR(__xludf.DUMMYFUNCTION("IF(ISBLANK(H872),,IFNA(""""""""&amp;JOIN("","",INDEX(FILTER(A:D,A:A=H872),0,4))&amp;"""""""",))"),"")</f>
        <v/>
      </c>
      <c r="J872" s="237" t="str">
        <f>IF(ISBLANK(H872),,IFNA(VLOOKUP(H872, Circuits!A:W, 23, FALSE),))</f>
        <v/>
      </c>
      <c r="K872" s="238" t="str">
        <f t="shared" si="2"/>
        <v/>
      </c>
      <c r="L872" s="238" t="str">
        <f t="shared" si="3"/>
        <v/>
      </c>
      <c r="M872" s="238" t="str">
        <f t="shared" si="4"/>
        <v/>
      </c>
      <c r="N872" s="238" t="str">
        <f t="shared" si="5"/>
        <v/>
      </c>
      <c r="O872" s="238" t="str">
        <f t="shared" si="6"/>
        <v/>
      </c>
      <c r="P872" s="237" t="str">
        <f>IFERROR(__xludf.DUMMYFUNCTION("IF(ISBLANK(H872),,IF(IFNA(MATCH(H872,SPLIT(Circuits!$S$2,"";""&amp;CHAR(10)),0),0),FALSE,TRUE))"),"")</f>
        <v/>
      </c>
      <c r="Q872" s="237" t="str">
        <f>IF(ISBLANK(H872),,IFNA(VLOOKUP(H872, Circuits!A:U, 21, FALSE),))</f>
        <v/>
      </c>
      <c r="R872" s="238" t="str">
        <f t="shared" si="7"/>
        <v/>
      </c>
      <c r="S872" s="237" t="str">
        <f>IF(ISBLANK(H872),,IFNA(VLOOKUP(H872, Circuits!A:V, 22, FALSE),))</f>
        <v/>
      </c>
      <c r="T872" s="237" t="str">
        <f>IF(ISBLANK(H872),,IFNA(VLOOKUP(H872, Circuits!A:X, 24, FALSE),))</f>
        <v/>
      </c>
      <c r="V872" s="236" t="str">
        <f>IFERROR(__xludf.DUMMYFUNCTION("IF(ISBLANK(H872),,JOIN("","",H872:T872))"),"")</f>
        <v/>
      </c>
      <c r="W872" s="229" t="str">
        <f t="shared" si="1"/>
        <v/>
      </c>
    </row>
    <row r="873">
      <c r="H873" s="237"/>
      <c r="I873" s="237" t="str">
        <f>IFERROR(__xludf.DUMMYFUNCTION("IF(ISBLANK(H873),,IFNA(""""""""&amp;JOIN("","",INDEX(FILTER(A:D,A:A=H873),0,4))&amp;"""""""",))"),"")</f>
        <v/>
      </c>
      <c r="J873" s="237" t="str">
        <f>IF(ISBLANK(H873),,IFNA(VLOOKUP(H873, Circuits!A:W, 23, FALSE),))</f>
        <v/>
      </c>
      <c r="K873" s="238" t="str">
        <f t="shared" si="2"/>
        <v/>
      </c>
      <c r="L873" s="238" t="str">
        <f t="shared" si="3"/>
        <v/>
      </c>
      <c r="M873" s="238" t="str">
        <f t="shared" si="4"/>
        <v/>
      </c>
      <c r="N873" s="238" t="str">
        <f t="shared" si="5"/>
        <v/>
      </c>
      <c r="O873" s="238" t="str">
        <f t="shared" si="6"/>
        <v/>
      </c>
      <c r="P873" s="237" t="str">
        <f>IFERROR(__xludf.DUMMYFUNCTION("IF(ISBLANK(H873),,IF(IFNA(MATCH(H873,SPLIT(Circuits!$S$2,"";""&amp;CHAR(10)),0),0),FALSE,TRUE))"),"")</f>
        <v/>
      </c>
      <c r="Q873" s="237" t="str">
        <f>IF(ISBLANK(H873),,IFNA(VLOOKUP(H873, Circuits!A:U, 21, FALSE),))</f>
        <v/>
      </c>
      <c r="R873" s="238" t="str">
        <f t="shared" si="7"/>
        <v/>
      </c>
      <c r="S873" s="237" t="str">
        <f>IF(ISBLANK(H873),,IFNA(VLOOKUP(H873, Circuits!A:V, 22, FALSE),))</f>
        <v/>
      </c>
      <c r="T873" s="237" t="str">
        <f>IF(ISBLANK(H873),,IFNA(VLOOKUP(H873, Circuits!A:X, 24, FALSE),))</f>
        <v/>
      </c>
      <c r="V873" s="236" t="str">
        <f>IFERROR(__xludf.DUMMYFUNCTION("IF(ISBLANK(H873),,JOIN("","",H873:T873))"),"")</f>
        <v/>
      </c>
      <c r="W873" s="229" t="str">
        <f t="shared" si="1"/>
        <v/>
      </c>
    </row>
    <row r="874">
      <c r="H874" s="237"/>
      <c r="I874" s="237" t="str">
        <f>IFERROR(__xludf.DUMMYFUNCTION("IF(ISBLANK(H874),,IFNA(""""""""&amp;JOIN("","",INDEX(FILTER(A:D,A:A=H874),0,4))&amp;"""""""",))"),"")</f>
        <v/>
      </c>
      <c r="J874" s="237" t="str">
        <f>IF(ISBLANK(H874),,IFNA(VLOOKUP(H874, Circuits!A:W, 23, FALSE),))</f>
        <v/>
      </c>
      <c r="K874" s="238" t="str">
        <f t="shared" si="2"/>
        <v/>
      </c>
      <c r="L874" s="238" t="str">
        <f t="shared" si="3"/>
        <v/>
      </c>
      <c r="M874" s="238" t="str">
        <f t="shared" si="4"/>
        <v/>
      </c>
      <c r="N874" s="238" t="str">
        <f t="shared" si="5"/>
        <v/>
      </c>
      <c r="O874" s="238" t="str">
        <f t="shared" si="6"/>
        <v/>
      </c>
      <c r="P874" s="237" t="str">
        <f>IFERROR(__xludf.DUMMYFUNCTION("IF(ISBLANK(H874),,IF(IFNA(MATCH(H874,SPLIT(Circuits!$S$2,"";""&amp;CHAR(10)),0),0),FALSE,TRUE))"),"")</f>
        <v/>
      </c>
      <c r="Q874" s="237" t="str">
        <f>IF(ISBLANK(H874),,IFNA(VLOOKUP(H874, Circuits!A:U, 21, FALSE),))</f>
        <v/>
      </c>
      <c r="R874" s="238" t="str">
        <f t="shared" si="7"/>
        <v/>
      </c>
      <c r="S874" s="237" t="str">
        <f>IF(ISBLANK(H874),,IFNA(VLOOKUP(H874, Circuits!A:V, 22, FALSE),))</f>
        <v/>
      </c>
      <c r="T874" s="237" t="str">
        <f>IF(ISBLANK(H874),,IFNA(VLOOKUP(H874, Circuits!A:X, 24, FALSE),))</f>
        <v/>
      </c>
      <c r="V874" s="236" t="str">
        <f>IFERROR(__xludf.DUMMYFUNCTION("IF(ISBLANK(H874),,JOIN("","",H874:T874))"),"")</f>
        <v/>
      </c>
      <c r="W874" s="229" t="str">
        <f t="shared" si="1"/>
        <v/>
      </c>
    </row>
    <row r="875">
      <c r="H875" s="237"/>
      <c r="I875" s="237" t="str">
        <f>IFERROR(__xludf.DUMMYFUNCTION("IF(ISBLANK(H875),,IFNA(""""""""&amp;JOIN("","",INDEX(FILTER(A:D,A:A=H875),0,4))&amp;"""""""",))"),"")</f>
        <v/>
      </c>
      <c r="J875" s="237" t="str">
        <f>IF(ISBLANK(H875),,IFNA(VLOOKUP(H875, Circuits!A:W, 23, FALSE),))</f>
        <v/>
      </c>
      <c r="K875" s="238" t="str">
        <f t="shared" si="2"/>
        <v/>
      </c>
      <c r="L875" s="238" t="str">
        <f t="shared" si="3"/>
        <v/>
      </c>
      <c r="M875" s="238" t="str">
        <f t="shared" si="4"/>
        <v/>
      </c>
      <c r="N875" s="238" t="str">
        <f t="shared" si="5"/>
        <v/>
      </c>
      <c r="O875" s="238" t="str">
        <f t="shared" si="6"/>
        <v/>
      </c>
      <c r="P875" s="237" t="str">
        <f>IFERROR(__xludf.DUMMYFUNCTION("IF(ISBLANK(H875),,IF(IFNA(MATCH(H875,SPLIT(Circuits!$S$2,"";""&amp;CHAR(10)),0),0),FALSE,TRUE))"),"")</f>
        <v/>
      </c>
      <c r="Q875" s="237" t="str">
        <f>IF(ISBLANK(H875),,IFNA(VLOOKUP(H875, Circuits!A:U, 21, FALSE),))</f>
        <v/>
      </c>
      <c r="R875" s="238" t="str">
        <f t="shared" si="7"/>
        <v/>
      </c>
      <c r="S875" s="237" t="str">
        <f>IF(ISBLANK(H875),,IFNA(VLOOKUP(H875, Circuits!A:V, 22, FALSE),))</f>
        <v/>
      </c>
      <c r="T875" s="237" t="str">
        <f>IF(ISBLANK(H875),,IFNA(VLOOKUP(H875, Circuits!A:X, 24, FALSE),))</f>
        <v/>
      </c>
      <c r="V875" s="236" t="str">
        <f>IFERROR(__xludf.DUMMYFUNCTION("IF(ISBLANK(H875),,JOIN("","",H875:T875))"),"")</f>
        <v/>
      </c>
      <c r="W875" s="229" t="str">
        <f t="shared" si="1"/>
        <v/>
      </c>
    </row>
    <row r="876">
      <c r="H876" s="237"/>
      <c r="I876" s="237" t="str">
        <f>IFERROR(__xludf.DUMMYFUNCTION("IF(ISBLANK(H876),,IFNA(""""""""&amp;JOIN("","",INDEX(FILTER(A:D,A:A=H876),0,4))&amp;"""""""",))"),"")</f>
        <v/>
      </c>
      <c r="J876" s="237" t="str">
        <f>IF(ISBLANK(H876),,IFNA(VLOOKUP(H876, Circuits!A:W, 23, FALSE),))</f>
        <v/>
      </c>
      <c r="K876" s="238" t="str">
        <f t="shared" si="2"/>
        <v/>
      </c>
      <c r="L876" s="238" t="str">
        <f t="shared" si="3"/>
        <v/>
      </c>
      <c r="M876" s="238" t="str">
        <f t="shared" si="4"/>
        <v/>
      </c>
      <c r="N876" s="238" t="str">
        <f t="shared" si="5"/>
        <v/>
      </c>
      <c r="O876" s="238" t="str">
        <f t="shared" si="6"/>
        <v/>
      </c>
      <c r="P876" s="237" t="str">
        <f>IFERROR(__xludf.DUMMYFUNCTION("IF(ISBLANK(H876),,IF(IFNA(MATCH(H876,SPLIT(Circuits!$S$2,"";""&amp;CHAR(10)),0),0),FALSE,TRUE))"),"")</f>
        <v/>
      </c>
      <c r="Q876" s="237" t="str">
        <f>IF(ISBLANK(H876),,IFNA(VLOOKUP(H876, Circuits!A:U, 21, FALSE),))</f>
        <v/>
      </c>
      <c r="R876" s="238" t="str">
        <f t="shared" si="7"/>
        <v/>
      </c>
      <c r="S876" s="237" t="str">
        <f>IF(ISBLANK(H876),,IFNA(VLOOKUP(H876, Circuits!A:V, 22, FALSE),))</f>
        <v/>
      </c>
      <c r="T876" s="237" t="str">
        <f>IF(ISBLANK(H876),,IFNA(VLOOKUP(H876, Circuits!A:X, 24, FALSE),))</f>
        <v/>
      </c>
      <c r="V876" s="236" t="str">
        <f>IFERROR(__xludf.DUMMYFUNCTION("IF(ISBLANK(H876),,JOIN("","",H876:T876))"),"")</f>
        <v/>
      </c>
      <c r="W876" s="229" t="str">
        <f t="shared" si="1"/>
        <v/>
      </c>
    </row>
    <row r="877">
      <c r="H877" s="237"/>
      <c r="I877" s="237" t="str">
        <f>IFERROR(__xludf.DUMMYFUNCTION("IF(ISBLANK(H877),,IFNA(""""""""&amp;JOIN("","",INDEX(FILTER(A:D,A:A=H877),0,4))&amp;"""""""",))"),"")</f>
        <v/>
      </c>
      <c r="J877" s="237" t="str">
        <f>IF(ISBLANK(H877),,IFNA(VLOOKUP(H877, Circuits!A:W, 23, FALSE),))</f>
        <v/>
      </c>
      <c r="K877" s="238" t="str">
        <f t="shared" si="2"/>
        <v/>
      </c>
      <c r="L877" s="238" t="str">
        <f t="shared" si="3"/>
        <v/>
      </c>
      <c r="M877" s="238" t="str">
        <f t="shared" si="4"/>
        <v/>
      </c>
      <c r="N877" s="238" t="str">
        <f t="shared" si="5"/>
        <v/>
      </c>
      <c r="O877" s="238" t="str">
        <f t="shared" si="6"/>
        <v/>
      </c>
      <c r="P877" s="237" t="str">
        <f>IFERROR(__xludf.DUMMYFUNCTION("IF(ISBLANK(H877),,IF(IFNA(MATCH(H877,SPLIT(Circuits!$S$2,"";""&amp;CHAR(10)),0),0),FALSE,TRUE))"),"")</f>
        <v/>
      </c>
      <c r="Q877" s="237" t="str">
        <f>IF(ISBLANK(H877),,IFNA(VLOOKUP(H877, Circuits!A:U, 21, FALSE),))</f>
        <v/>
      </c>
      <c r="R877" s="238" t="str">
        <f t="shared" si="7"/>
        <v/>
      </c>
      <c r="S877" s="237" t="str">
        <f>IF(ISBLANK(H877),,IFNA(VLOOKUP(H877, Circuits!A:V, 22, FALSE),))</f>
        <v/>
      </c>
      <c r="T877" s="237" t="str">
        <f>IF(ISBLANK(H877),,IFNA(VLOOKUP(H877, Circuits!A:X, 24, FALSE),))</f>
        <v/>
      </c>
      <c r="V877" s="236" t="str">
        <f>IFERROR(__xludf.DUMMYFUNCTION("IF(ISBLANK(H877),,JOIN("","",H877:T877))"),"")</f>
        <v/>
      </c>
      <c r="W877" s="229" t="str">
        <f t="shared" si="1"/>
        <v/>
      </c>
    </row>
    <row r="878">
      <c r="H878" s="237"/>
      <c r="I878" s="237" t="str">
        <f>IFERROR(__xludf.DUMMYFUNCTION("IF(ISBLANK(H878),,IFNA(""""""""&amp;JOIN("","",INDEX(FILTER(A:D,A:A=H878),0,4))&amp;"""""""",))"),"")</f>
        <v/>
      </c>
      <c r="J878" s="237" t="str">
        <f>IF(ISBLANK(H878),,IFNA(VLOOKUP(H878, Circuits!A:W, 23, FALSE),))</f>
        <v/>
      </c>
      <c r="K878" s="238" t="str">
        <f t="shared" si="2"/>
        <v/>
      </c>
      <c r="L878" s="238" t="str">
        <f t="shared" si="3"/>
        <v/>
      </c>
      <c r="M878" s="238" t="str">
        <f t="shared" si="4"/>
        <v/>
      </c>
      <c r="N878" s="238" t="str">
        <f t="shared" si="5"/>
        <v/>
      </c>
      <c r="O878" s="238" t="str">
        <f t="shared" si="6"/>
        <v/>
      </c>
      <c r="P878" s="237" t="str">
        <f>IFERROR(__xludf.DUMMYFUNCTION("IF(ISBLANK(H878),,IF(IFNA(MATCH(H878,SPLIT(Circuits!$S$2,"";""&amp;CHAR(10)),0),0),FALSE,TRUE))"),"")</f>
        <v/>
      </c>
      <c r="Q878" s="237" t="str">
        <f>IF(ISBLANK(H878),,IFNA(VLOOKUP(H878, Circuits!A:U, 21, FALSE),))</f>
        <v/>
      </c>
      <c r="R878" s="238" t="str">
        <f t="shared" si="7"/>
        <v/>
      </c>
      <c r="S878" s="237" t="str">
        <f>IF(ISBLANK(H878),,IFNA(VLOOKUP(H878, Circuits!A:V, 22, FALSE),))</f>
        <v/>
      </c>
      <c r="T878" s="237" t="str">
        <f>IF(ISBLANK(H878),,IFNA(VLOOKUP(H878, Circuits!A:X, 24, FALSE),))</f>
        <v/>
      </c>
      <c r="V878" s="236" t="str">
        <f>IFERROR(__xludf.DUMMYFUNCTION("IF(ISBLANK(H878),,JOIN("","",H878:T878))"),"")</f>
        <v/>
      </c>
      <c r="W878" s="229" t="str">
        <f t="shared" si="1"/>
        <v/>
      </c>
    </row>
    <row r="879">
      <c r="H879" s="237"/>
      <c r="I879" s="237" t="str">
        <f>IFERROR(__xludf.DUMMYFUNCTION("IF(ISBLANK(H879),,IFNA(""""""""&amp;JOIN("","",INDEX(FILTER(A:D,A:A=H879),0,4))&amp;"""""""",))"),"")</f>
        <v/>
      </c>
      <c r="J879" s="237" t="str">
        <f>IF(ISBLANK(H879),,IFNA(VLOOKUP(H879, Circuits!A:W, 23, FALSE),))</f>
        <v/>
      </c>
      <c r="K879" s="238" t="str">
        <f t="shared" si="2"/>
        <v/>
      </c>
      <c r="L879" s="238" t="str">
        <f t="shared" si="3"/>
        <v/>
      </c>
      <c r="M879" s="238" t="str">
        <f t="shared" si="4"/>
        <v/>
      </c>
      <c r="N879" s="238" t="str">
        <f t="shared" si="5"/>
        <v/>
      </c>
      <c r="O879" s="238" t="str">
        <f t="shared" si="6"/>
        <v/>
      </c>
      <c r="P879" s="237" t="str">
        <f>IFERROR(__xludf.DUMMYFUNCTION("IF(ISBLANK(H879),,IF(IFNA(MATCH(H879,SPLIT(Circuits!$S$2,"";""&amp;CHAR(10)),0),0),FALSE,TRUE))"),"")</f>
        <v/>
      </c>
      <c r="Q879" s="237" t="str">
        <f>IF(ISBLANK(H879),,IFNA(VLOOKUP(H879, Circuits!A:U, 21, FALSE),))</f>
        <v/>
      </c>
      <c r="R879" s="238" t="str">
        <f t="shared" si="7"/>
        <v/>
      </c>
      <c r="S879" s="237" t="str">
        <f>IF(ISBLANK(H879),,IFNA(VLOOKUP(H879, Circuits!A:V, 22, FALSE),))</f>
        <v/>
      </c>
      <c r="T879" s="237" t="str">
        <f>IF(ISBLANK(H879),,IFNA(VLOOKUP(H879, Circuits!A:X, 24, FALSE),))</f>
        <v/>
      </c>
      <c r="V879" s="236" t="str">
        <f>IFERROR(__xludf.DUMMYFUNCTION("IF(ISBLANK(H879),,JOIN("","",H879:T879))"),"")</f>
        <v/>
      </c>
      <c r="W879" s="229" t="str">
        <f t="shared" si="1"/>
        <v/>
      </c>
    </row>
    <row r="880">
      <c r="H880" s="237"/>
      <c r="I880" s="237" t="str">
        <f>IFERROR(__xludf.DUMMYFUNCTION("IF(ISBLANK(H880),,IFNA(""""""""&amp;JOIN("","",INDEX(FILTER(A:D,A:A=H880),0,4))&amp;"""""""",))"),"")</f>
        <v/>
      </c>
      <c r="J880" s="237" t="str">
        <f>IF(ISBLANK(H880),,IFNA(VLOOKUP(H880, Circuits!A:W, 23, FALSE),))</f>
        <v/>
      </c>
      <c r="K880" s="238" t="str">
        <f t="shared" si="2"/>
        <v/>
      </c>
      <c r="L880" s="238" t="str">
        <f t="shared" si="3"/>
        <v/>
      </c>
      <c r="M880" s="238" t="str">
        <f t="shared" si="4"/>
        <v/>
      </c>
      <c r="N880" s="238" t="str">
        <f t="shared" si="5"/>
        <v/>
      </c>
      <c r="O880" s="238" t="str">
        <f t="shared" si="6"/>
        <v/>
      </c>
      <c r="P880" s="237" t="str">
        <f>IFERROR(__xludf.DUMMYFUNCTION("IF(ISBLANK(H880),,IF(IFNA(MATCH(H880,SPLIT(Circuits!$S$2,"";""&amp;CHAR(10)),0),0),FALSE,TRUE))"),"")</f>
        <v/>
      </c>
      <c r="Q880" s="237" t="str">
        <f>IF(ISBLANK(H880),,IFNA(VLOOKUP(H880, Circuits!A:U, 21, FALSE),))</f>
        <v/>
      </c>
      <c r="R880" s="238" t="str">
        <f t="shared" si="7"/>
        <v/>
      </c>
      <c r="S880" s="237" t="str">
        <f>IF(ISBLANK(H880),,IFNA(VLOOKUP(H880, Circuits!A:V, 22, FALSE),))</f>
        <v/>
      </c>
      <c r="T880" s="237" t="str">
        <f>IF(ISBLANK(H880),,IFNA(VLOOKUP(H880, Circuits!A:X, 24, FALSE),))</f>
        <v/>
      </c>
      <c r="V880" s="236" t="str">
        <f>IFERROR(__xludf.DUMMYFUNCTION("IF(ISBLANK(H880),,JOIN("","",H880:T880))"),"")</f>
        <v/>
      </c>
      <c r="W880" s="229" t="str">
        <f t="shared" si="1"/>
        <v/>
      </c>
    </row>
    <row r="881">
      <c r="H881" s="237"/>
      <c r="I881" s="237" t="str">
        <f>IFERROR(__xludf.DUMMYFUNCTION("IF(ISBLANK(H881),,IFNA(""""""""&amp;JOIN("","",INDEX(FILTER(A:D,A:A=H881),0,4))&amp;"""""""",))"),"")</f>
        <v/>
      </c>
      <c r="J881" s="237" t="str">
        <f>IF(ISBLANK(H881),,IFNA(VLOOKUP(H881, Circuits!A:W, 23, FALSE),))</f>
        <v/>
      </c>
      <c r="K881" s="238" t="str">
        <f t="shared" si="2"/>
        <v/>
      </c>
      <c r="L881" s="238" t="str">
        <f t="shared" si="3"/>
        <v/>
      </c>
      <c r="M881" s="238" t="str">
        <f t="shared" si="4"/>
        <v/>
      </c>
      <c r="N881" s="238" t="str">
        <f t="shared" si="5"/>
        <v/>
      </c>
      <c r="O881" s="238" t="str">
        <f t="shared" si="6"/>
        <v/>
      </c>
      <c r="P881" s="237" t="str">
        <f>IFERROR(__xludf.DUMMYFUNCTION("IF(ISBLANK(H881),,IF(IFNA(MATCH(H881,SPLIT(Circuits!$S$2,"";""&amp;CHAR(10)),0),0),FALSE,TRUE))"),"")</f>
        <v/>
      </c>
      <c r="Q881" s="237" t="str">
        <f>IF(ISBLANK(H881),,IFNA(VLOOKUP(H881, Circuits!A:U, 21, FALSE),))</f>
        <v/>
      </c>
      <c r="R881" s="238" t="str">
        <f t="shared" si="7"/>
        <v/>
      </c>
      <c r="S881" s="237" t="str">
        <f>IF(ISBLANK(H881),,IFNA(VLOOKUP(H881, Circuits!A:V, 22, FALSE),))</f>
        <v/>
      </c>
      <c r="T881" s="237" t="str">
        <f>IF(ISBLANK(H881),,IFNA(VLOOKUP(H881, Circuits!A:X, 24, FALSE),))</f>
        <v/>
      </c>
      <c r="V881" s="236" t="str">
        <f>IFERROR(__xludf.DUMMYFUNCTION("IF(ISBLANK(H881),,JOIN("","",H881:T881))"),"")</f>
        <v/>
      </c>
      <c r="W881" s="229" t="str">
        <f t="shared" si="1"/>
        <v/>
      </c>
    </row>
    <row r="882">
      <c r="H882" s="237"/>
      <c r="I882" s="237" t="str">
        <f>IFERROR(__xludf.DUMMYFUNCTION("IF(ISBLANK(H882),,IFNA(""""""""&amp;JOIN("","",INDEX(FILTER(A:D,A:A=H882),0,4))&amp;"""""""",))"),"")</f>
        <v/>
      </c>
      <c r="J882" s="237" t="str">
        <f>IF(ISBLANK(H882),,IFNA(VLOOKUP(H882, Circuits!A:W, 23, FALSE),))</f>
        <v/>
      </c>
      <c r="K882" s="238" t="str">
        <f t="shared" si="2"/>
        <v/>
      </c>
      <c r="L882" s="238" t="str">
        <f t="shared" si="3"/>
        <v/>
      </c>
      <c r="M882" s="238" t="str">
        <f t="shared" si="4"/>
        <v/>
      </c>
      <c r="N882" s="238" t="str">
        <f t="shared" si="5"/>
        <v/>
      </c>
      <c r="O882" s="238" t="str">
        <f t="shared" si="6"/>
        <v/>
      </c>
      <c r="P882" s="237" t="str">
        <f>IFERROR(__xludf.DUMMYFUNCTION("IF(ISBLANK(H882),,IF(IFNA(MATCH(H882,SPLIT(Circuits!$S$2,"";""&amp;CHAR(10)),0),0),FALSE,TRUE))"),"")</f>
        <v/>
      </c>
      <c r="Q882" s="237" t="str">
        <f>IF(ISBLANK(H882),,IFNA(VLOOKUP(H882, Circuits!A:U, 21, FALSE),))</f>
        <v/>
      </c>
      <c r="R882" s="238" t="str">
        <f t="shared" si="7"/>
        <v/>
      </c>
      <c r="S882" s="237" t="str">
        <f>IF(ISBLANK(H882),,IFNA(VLOOKUP(H882, Circuits!A:V, 22, FALSE),))</f>
        <v/>
      </c>
      <c r="T882" s="237" t="str">
        <f>IF(ISBLANK(H882),,IFNA(VLOOKUP(H882, Circuits!A:X, 24, FALSE),))</f>
        <v/>
      </c>
      <c r="V882" s="236" t="str">
        <f>IFERROR(__xludf.DUMMYFUNCTION("IF(ISBLANK(H882),,JOIN("","",H882:T882))"),"")</f>
        <v/>
      </c>
      <c r="W882" s="229" t="str">
        <f t="shared" si="1"/>
        <v/>
      </c>
    </row>
    <row r="883">
      <c r="H883" s="237"/>
      <c r="I883" s="237" t="str">
        <f>IFERROR(__xludf.DUMMYFUNCTION("IF(ISBLANK(H883),,IFNA(""""""""&amp;JOIN("","",INDEX(FILTER(A:D,A:A=H883),0,4))&amp;"""""""",))"),"")</f>
        <v/>
      </c>
      <c r="J883" s="237" t="str">
        <f>IF(ISBLANK(H883),,IFNA(VLOOKUP(H883, Circuits!A:W, 23, FALSE),))</f>
        <v/>
      </c>
      <c r="K883" s="238" t="str">
        <f t="shared" si="2"/>
        <v/>
      </c>
      <c r="L883" s="238" t="str">
        <f t="shared" si="3"/>
        <v/>
      </c>
      <c r="M883" s="238" t="str">
        <f t="shared" si="4"/>
        <v/>
      </c>
      <c r="N883" s="238" t="str">
        <f t="shared" si="5"/>
        <v/>
      </c>
      <c r="O883" s="238" t="str">
        <f t="shared" si="6"/>
        <v/>
      </c>
      <c r="P883" s="237" t="str">
        <f>IFERROR(__xludf.DUMMYFUNCTION("IF(ISBLANK(H883),,IF(IFNA(MATCH(H883,SPLIT(Circuits!$S$2,"";""&amp;CHAR(10)),0),0),FALSE,TRUE))"),"")</f>
        <v/>
      </c>
      <c r="Q883" s="237" t="str">
        <f>IF(ISBLANK(H883),,IFNA(VLOOKUP(H883, Circuits!A:U, 21, FALSE),))</f>
        <v/>
      </c>
      <c r="R883" s="238" t="str">
        <f t="shared" si="7"/>
        <v/>
      </c>
      <c r="S883" s="237" t="str">
        <f>IF(ISBLANK(H883),,IFNA(VLOOKUP(H883, Circuits!A:V, 22, FALSE),))</f>
        <v/>
      </c>
      <c r="T883" s="237" t="str">
        <f>IF(ISBLANK(H883),,IFNA(VLOOKUP(H883, Circuits!A:X, 24, FALSE),))</f>
        <v/>
      </c>
      <c r="V883" s="236" t="str">
        <f>IFERROR(__xludf.DUMMYFUNCTION("IF(ISBLANK(H883),,JOIN("","",H883:T883))"),"")</f>
        <v/>
      </c>
      <c r="W883" s="229" t="str">
        <f t="shared" si="1"/>
        <v/>
      </c>
    </row>
    <row r="884">
      <c r="H884" s="237"/>
      <c r="I884" s="237" t="str">
        <f>IFERROR(__xludf.DUMMYFUNCTION("IF(ISBLANK(H884),,IFNA(""""""""&amp;JOIN("","",INDEX(FILTER(A:D,A:A=H884),0,4))&amp;"""""""",))"),"")</f>
        <v/>
      </c>
      <c r="J884" s="237" t="str">
        <f>IF(ISBLANK(H884),,IFNA(VLOOKUP(H884, Circuits!A:W, 23, FALSE),))</f>
        <v/>
      </c>
      <c r="K884" s="238" t="str">
        <f t="shared" si="2"/>
        <v/>
      </c>
      <c r="L884" s="238" t="str">
        <f t="shared" si="3"/>
        <v/>
      </c>
      <c r="M884" s="238" t="str">
        <f t="shared" si="4"/>
        <v/>
      </c>
      <c r="N884" s="238" t="str">
        <f t="shared" si="5"/>
        <v/>
      </c>
      <c r="O884" s="238" t="str">
        <f t="shared" si="6"/>
        <v/>
      </c>
      <c r="P884" s="237" t="str">
        <f>IFERROR(__xludf.DUMMYFUNCTION("IF(ISBLANK(H884),,IF(IFNA(MATCH(H884,SPLIT(Circuits!$S$2,"";""&amp;CHAR(10)),0),0),FALSE,TRUE))"),"")</f>
        <v/>
      </c>
      <c r="Q884" s="237" t="str">
        <f>IF(ISBLANK(H884),,IFNA(VLOOKUP(H884, Circuits!A:U, 21, FALSE),))</f>
        <v/>
      </c>
      <c r="R884" s="238" t="str">
        <f t="shared" si="7"/>
        <v/>
      </c>
      <c r="S884" s="237" t="str">
        <f>IF(ISBLANK(H884),,IFNA(VLOOKUP(H884, Circuits!A:V, 22, FALSE),))</f>
        <v/>
      </c>
      <c r="T884" s="237" t="str">
        <f>IF(ISBLANK(H884),,IFNA(VLOOKUP(H884, Circuits!A:X, 24, FALSE),))</f>
        <v/>
      </c>
      <c r="V884" s="236" t="str">
        <f>IFERROR(__xludf.DUMMYFUNCTION("IF(ISBLANK(H884),,JOIN("","",H884:T884))"),"")</f>
        <v/>
      </c>
      <c r="W884" s="229" t="str">
        <f t="shared" si="1"/>
        <v/>
      </c>
    </row>
    <row r="885">
      <c r="H885" s="237"/>
      <c r="I885" s="237" t="str">
        <f>IFERROR(__xludf.DUMMYFUNCTION("IF(ISBLANK(H885),,IFNA(""""""""&amp;JOIN("","",INDEX(FILTER(A:D,A:A=H885),0,4))&amp;"""""""",))"),"")</f>
        <v/>
      </c>
      <c r="J885" s="237" t="str">
        <f>IF(ISBLANK(H885),,IFNA(VLOOKUP(H885, Circuits!A:W, 23, FALSE),))</f>
        <v/>
      </c>
      <c r="K885" s="238" t="str">
        <f t="shared" si="2"/>
        <v/>
      </c>
      <c r="L885" s="238" t="str">
        <f t="shared" si="3"/>
        <v/>
      </c>
      <c r="M885" s="238" t="str">
        <f t="shared" si="4"/>
        <v/>
      </c>
      <c r="N885" s="238" t="str">
        <f t="shared" si="5"/>
        <v/>
      </c>
      <c r="O885" s="238" t="str">
        <f t="shared" si="6"/>
        <v/>
      </c>
      <c r="P885" s="237" t="str">
        <f>IFERROR(__xludf.DUMMYFUNCTION("IF(ISBLANK(H885),,IF(IFNA(MATCH(H885,SPLIT(Circuits!$S$2,"";""&amp;CHAR(10)),0),0),FALSE,TRUE))"),"")</f>
        <v/>
      </c>
      <c r="Q885" s="237" t="str">
        <f>IF(ISBLANK(H885),,IFNA(VLOOKUP(H885, Circuits!A:U, 21, FALSE),))</f>
        <v/>
      </c>
      <c r="R885" s="238" t="str">
        <f t="shared" si="7"/>
        <v/>
      </c>
      <c r="S885" s="237" t="str">
        <f>IF(ISBLANK(H885),,IFNA(VLOOKUP(H885, Circuits!A:V, 22, FALSE),))</f>
        <v/>
      </c>
      <c r="T885" s="237" t="str">
        <f>IF(ISBLANK(H885),,IFNA(VLOOKUP(H885, Circuits!A:X, 24, FALSE),))</f>
        <v/>
      </c>
      <c r="V885" s="236" t="str">
        <f>IFERROR(__xludf.DUMMYFUNCTION("IF(ISBLANK(H885),,JOIN("","",H885:T885))"),"")</f>
        <v/>
      </c>
      <c r="W885" s="229" t="str">
        <f t="shared" si="1"/>
        <v/>
      </c>
    </row>
    <row r="886">
      <c r="H886" s="237"/>
      <c r="I886" s="237" t="str">
        <f>IFERROR(__xludf.DUMMYFUNCTION("IF(ISBLANK(H886),,IFNA(""""""""&amp;JOIN("","",INDEX(FILTER(A:D,A:A=H886),0,4))&amp;"""""""",))"),"")</f>
        <v/>
      </c>
      <c r="J886" s="237" t="str">
        <f>IF(ISBLANK(H886),,IFNA(VLOOKUP(H886, Circuits!A:W, 23, FALSE),))</f>
        <v/>
      </c>
      <c r="K886" s="238" t="str">
        <f t="shared" si="2"/>
        <v/>
      </c>
      <c r="L886" s="238" t="str">
        <f t="shared" si="3"/>
        <v/>
      </c>
      <c r="M886" s="238" t="str">
        <f t="shared" si="4"/>
        <v/>
      </c>
      <c r="N886" s="238" t="str">
        <f t="shared" si="5"/>
        <v/>
      </c>
      <c r="O886" s="238" t="str">
        <f t="shared" si="6"/>
        <v/>
      </c>
      <c r="P886" s="237" t="str">
        <f>IFERROR(__xludf.DUMMYFUNCTION("IF(ISBLANK(H886),,IF(IFNA(MATCH(H886,SPLIT(Circuits!$S$2,"";""&amp;CHAR(10)),0),0),FALSE,TRUE))"),"")</f>
        <v/>
      </c>
      <c r="Q886" s="237" t="str">
        <f>IF(ISBLANK(H886),,IFNA(VLOOKUP(H886, Circuits!A:U, 21, FALSE),))</f>
        <v/>
      </c>
      <c r="R886" s="238" t="str">
        <f t="shared" si="7"/>
        <v/>
      </c>
      <c r="S886" s="237" t="str">
        <f>IF(ISBLANK(H886),,IFNA(VLOOKUP(H886, Circuits!A:V, 22, FALSE),))</f>
        <v/>
      </c>
      <c r="T886" s="237" t="str">
        <f>IF(ISBLANK(H886),,IFNA(VLOOKUP(H886, Circuits!A:X, 24, FALSE),))</f>
        <v/>
      </c>
      <c r="V886" s="236" t="str">
        <f>IFERROR(__xludf.DUMMYFUNCTION("IF(ISBLANK(H886),,JOIN("","",H886:T886))"),"")</f>
        <v/>
      </c>
      <c r="W886" s="229" t="str">
        <f t="shared" si="1"/>
        <v/>
      </c>
    </row>
    <row r="887">
      <c r="H887" s="237"/>
      <c r="I887" s="237" t="str">
        <f>IFERROR(__xludf.DUMMYFUNCTION("IF(ISBLANK(H887),,IFNA(""""""""&amp;JOIN("","",INDEX(FILTER(A:D,A:A=H887),0,4))&amp;"""""""",))"),"")</f>
        <v/>
      </c>
      <c r="J887" s="237" t="str">
        <f>IF(ISBLANK(H887),,IFNA(VLOOKUP(H887, Circuits!A:W, 23, FALSE),))</f>
        <v/>
      </c>
      <c r="K887" s="238" t="str">
        <f t="shared" si="2"/>
        <v/>
      </c>
      <c r="L887" s="238" t="str">
        <f t="shared" si="3"/>
        <v/>
      </c>
      <c r="M887" s="238" t="str">
        <f t="shared" si="4"/>
        <v/>
      </c>
      <c r="N887" s="238" t="str">
        <f t="shared" si="5"/>
        <v/>
      </c>
      <c r="O887" s="238" t="str">
        <f t="shared" si="6"/>
        <v/>
      </c>
      <c r="P887" s="237" t="str">
        <f>IFERROR(__xludf.DUMMYFUNCTION("IF(ISBLANK(H887),,IF(IFNA(MATCH(H887,SPLIT(Circuits!$S$2,"";""&amp;CHAR(10)),0),0),FALSE,TRUE))"),"")</f>
        <v/>
      </c>
      <c r="Q887" s="237" t="str">
        <f>IF(ISBLANK(H887),,IFNA(VLOOKUP(H887, Circuits!A:U, 21, FALSE),))</f>
        <v/>
      </c>
      <c r="R887" s="238" t="str">
        <f t="shared" si="7"/>
        <v/>
      </c>
      <c r="S887" s="237" t="str">
        <f>IF(ISBLANK(H887),,IFNA(VLOOKUP(H887, Circuits!A:V, 22, FALSE),))</f>
        <v/>
      </c>
      <c r="T887" s="237" t="str">
        <f>IF(ISBLANK(H887),,IFNA(VLOOKUP(H887, Circuits!A:X, 24, FALSE),))</f>
        <v/>
      </c>
      <c r="V887" s="236" t="str">
        <f>IFERROR(__xludf.DUMMYFUNCTION("IF(ISBLANK(H887),,JOIN("","",H887:T887))"),"")</f>
        <v/>
      </c>
      <c r="W887" s="229" t="str">
        <f t="shared" si="1"/>
        <v/>
      </c>
    </row>
    <row r="888">
      <c r="H888" s="237"/>
      <c r="I888" s="237" t="str">
        <f>IFERROR(__xludf.DUMMYFUNCTION("IF(ISBLANK(H888),,IFNA(""""""""&amp;JOIN("","",INDEX(FILTER(A:D,A:A=H888),0,4))&amp;"""""""",))"),"")</f>
        <v/>
      </c>
      <c r="J888" s="237" t="str">
        <f>IF(ISBLANK(H888),,IFNA(VLOOKUP(H888, Circuits!A:W, 23, FALSE),))</f>
        <v/>
      </c>
      <c r="K888" s="238" t="str">
        <f t="shared" si="2"/>
        <v/>
      </c>
      <c r="L888" s="238" t="str">
        <f t="shared" si="3"/>
        <v/>
      </c>
      <c r="M888" s="238" t="str">
        <f t="shared" si="4"/>
        <v/>
      </c>
      <c r="N888" s="238" t="str">
        <f t="shared" si="5"/>
        <v/>
      </c>
      <c r="O888" s="238" t="str">
        <f t="shared" si="6"/>
        <v/>
      </c>
      <c r="P888" s="237" t="str">
        <f>IFERROR(__xludf.DUMMYFUNCTION("IF(ISBLANK(H888),,IF(IFNA(MATCH(H888,SPLIT(Circuits!$S$2,"";""&amp;CHAR(10)),0),0),FALSE,TRUE))"),"")</f>
        <v/>
      </c>
      <c r="Q888" s="237" t="str">
        <f>IF(ISBLANK(H888),,IFNA(VLOOKUP(H888, Circuits!A:U, 21, FALSE),))</f>
        <v/>
      </c>
      <c r="R888" s="238" t="str">
        <f t="shared" si="7"/>
        <v/>
      </c>
      <c r="S888" s="237" t="str">
        <f>IF(ISBLANK(H888),,IFNA(VLOOKUP(H888, Circuits!A:V, 22, FALSE),))</f>
        <v/>
      </c>
      <c r="T888" s="237" t="str">
        <f>IF(ISBLANK(H888),,IFNA(VLOOKUP(H888, Circuits!A:X, 24, FALSE),))</f>
        <v/>
      </c>
      <c r="V888" s="236" t="str">
        <f>IFERROR(__xludf.DUMMYFUNCTION("IF(ISBLANK(H888),,JOIN("","",H888:T888))"),"")</f>
        <v/>
      </c>
      <c r="W888" s="229" t="str">
        <f t="shared" si="1"/>
        <v/>
      </c>
    </row>
    <row r="889">
      <c r="H889" s="237"/>
      <c r="I889" s="237" t="str">
        <f>IFERROR(__xludf.DUMMYFUNCTION("IF(ISBLANK(H889),,IFNA(""""""""&amp;JOIN("","",INDEX(FILTER(A:D,A:A=H889),0,4))&amp;"""""""",))"),"")</f>
        <v/>
      </c>
      <c r="J889" s="237" t="str">
        <f>IF(ISBLANK(H889),,IFNA(VLOOKUP(H889, Circuits!A:W, 23, FALSE),))</f>
        <v/>
      </c>
      <c r="K889" s="238" t="str">
        <f t="shared" si="2"/>
        <v/>
      </c>
      <c r="L889" s="238" t="str">
        <f t="shared" si="3"/>
        <v/>
      </c>
      <c r="M889" s="238" t="str">
        <f t="shared" si="4"/>
        <v/>
      </c>
      <c r="N889" s="238" t="str">
        <f t="shared" si="5"/>
        <v/>
      </c>
      <c r="O889" s="238" t="str">
        <f t="shared" si="6"/>
        <v/>
      </c>
      <c r="P889" s="237" t="str">
        <f>IFERROR(__xludf.DUMMYFUNCTION("IF(ISBLANK(H889),,IF(IFNA(MATCH(H889,SPLIT(Circuits!$S$2,"";""&amp;CHAR(10)),0),0),FALSE,TRUE))"),"")</f>
        <v/>
      </c>
      <c r="Q889" s="237" t="str">
        <f>IF(ISBLANK(H889),,IFNA(VLOOKUP(H889, Circuits!A:U, 21, FALSE),))</f>
        <v/>
      </c>
      <c r="R889" s="238" t="str">
        <f t="shared" si="7"/>
        <v/>
      </c>
      <c r="S889" s="237" t="str">
        <f>IF(ISBLANK(H889),,IFNA(VLOOKUP(H889, Circuits!A:V, 22, FALSE),))</f>
        <v/>
      </c>
      <c r="T889" s="237" t="str">
        <f>IF(ISBLANK(H889),,IFNA(VLOOKUP(H889, Circuits!A:X, 24, FALSE),))</f>
        <v/>
      </c>
      <c r="V889" s="236" t="str">
        <f>IFERROR(__xludf.DUMMYFUNCTION("IF(ISBLANK(H889),,JOIN("","",H889:T889))"),"")</f>
        <v/>
      </c>
      <c r="W889" s="229" t="str">
        <f t="shared" si="1"/>
        <v/>
      </c>
    </row>
    <row r="890">
      <c r="H890" s="237"/>
      <c r="I890" s="237" t="str">
        <f>IFERROR(__xludf.DUMMYFUNCTION("IF(ISBLANK(H890),,IFNA(""""""""&amp;JOIN("","",INDEX(FILTER(A:D,A:A=H890),0,4))&amp;"""""""",))"),"")</f>
        <v/>
      </c>
      <c r="J890" s="237" t="str">
        <f>IF(ISBLANK(H890),,IFNA(VLOOKUP(H890, Circuits!A:W, 23, FALSE),))</f>
        <v/>
      </c>
      <c r="K890" s="238" t="str">
        <f t="shared" si="2"/>
        <v/>
      </c>
      <c r="L890" s="238" t="str">
        <f t="shared" si="3"/>
        <v/>
      </c>
      <c r="M890" s="238" t="str">
        <f t="shared" si="4"/>
        <v/>
      </c>
      <c r="N890" s="238" t="str">
        <f t="shared" si="5"/>
        <v/>
      </c>
      <c r="O890" s="238" t="str">
        <f t="shared" si="6"/>
        <v/>
      </c>
      <c r="P890" s="237" t="str">
        <f>IFERROR(__xludf.DUMMYFUNCTION("IF(ISBLANK(H890),,IF(IFNA(MATCH(H890,SPLIT(Circuits!$S$2,"";""&amp;CHAR(10)),0),0),FALSE,TRUE))"),"")</f>
        <v/>
      </c>
      <c r="Q890" s="237" t="str">
        <f>IF(ISBLANK(H890),,IFNA(VLOOKUP(H890, Circuits!A:U, 21, FALSE),))</f>
        <v/>
      </c>
      <c r="R890" s="238" t="str">
        <f t="shared" si="7"/>
        <v/>
      </c>
      <c r="S890" s="237" t="str">
        <f>IF(ISBLANK(H890),,IFNA(VLOOKUP(H890, Circuits!A:V, 22, FALSE),))</f>
        <v/>
      </c>
      <c r="T890" s="237" t="str">
        <f>IF(ISBLANK(H890),,IFNA(VLOOKUP(H890, Circuits!A:X, 24, FALSE),))</f>
        <v/>
      </c>
      <c r="V890" s="236" t="str">
        <f>IFERROR(__xludf.DUMMYFUNCTION("IF(ISBLANK(H890),,JOIN("","",H890:T890))"),"")</f>
        <v/>
      </c>
      <c r="W890" s="229" t="str">
        <f t="shared" si="1"/>
        <v/>
      </c>
    </row>
    <row r="891">
      <c r="H891" s="237"/>
      <c r="I891" s="237" t="str">
        <f>IFERROR(__xludf.DUMMYFUNCTION("IF(ISBLANK(H891),,IFNA(""""""""&amp;JOIN("","",INDEX(FILTER(A:D,A:A=H891),0,4))&amp;"""""""",))"),"")</f>
        <v/>
      </c>
      <c r="J891" s="237" t="str">
        <f>IF(ISBLANK(H891),,IFNA(VLOOKUP(H891, Circuits!A:W, 23, FALSE),))</f>
        <v/>
      </c>
      <c r="K891" s="238" t="str">
        <f t="shared" si="2"/>
        <v/>
      </c>
      <c r="L891" s="238" t="str">
        <f t="shared" si="3"/>
        <v/>
      </c>
      <c r="M891" s="238" t="str">
        <f t="shared" si="4"/>
        <v/>
      </c>
      <c r="N891" s="238" t="str">
        <f t="shared" si="5"/>
        <v/>
      </c>
      <c r="O891" s="238" t="str">
        <f t="shared" si="6"/>
        <v/>
      </c>
      <c r="P891" s="237" t="str">
        <f>IFERROR(__xludf.DUMMYFUNCTION("IF(ISBLANK(H891),,IF(IFNA(MATCH(H891,SPLIT(Circuits!$S$2,"";""&amp;CHAR(10)),0),0),FALSE,TRUE))"),"")</f>
        <v/>
      </c>
      <c r="Q891" s="237" t="str">
        <f>IF(ISBLANK(H891),,IFNA(VLOOKUP(H891, Circuits!A:U, 21, FALSE),))</f>
        <v/>
      </c>
      <c r="R891" s="238" t="str">
        <f t="shared" si="7"/>
        <v/>
      </c>
      <c r="S891" s="237" t="str">
        <f>IF(ISBLANK(H891),,IFNA(VLOOKUP(H891, Circuits!A:V, 22, FALSE),))</f>
        <v/>
      </c>
      <c r="T891" s="237" t="str">
        <f>IF(ISBLANK(H891),,IFNA(VLOOKUP(H891, Circuits!A:X, 24, FALSE),))</f>
        <v/>
      </c>
      <c r="V891" s="236" t="str">
        <f>IFERROR(__xludf.DUMMYFUNCTION("IF(ISBLANK(H891),,JOIN("","",H891:T891))"),"")</f>
        <v/>
      </c>
      <c r="W891" s="229" t="str">
        <f t="shared" si="1"/>
        <v/>
      </c>
    </row>
    <row r="892">
      <c r="H892" s="237"/>
      <c r="I892" s="237" t="str">
        <f>IFERROR(__xludf.DUMMYFUNCTION("IF(ISBLANK(H892),,IFNA(""""""""&amp;JOIN("","",INDEX(FILTER(A:D,A:A=H892),0,4))&amp;"""""""",))"),"")</f>
        <v/>
      </c>
      <c r="J892" s="237" t="str">
        <f>IF(ISBLANK(H892),,IFNA(VLOOKUP(H892, Circuits!A:W, 23, FALSE),))</f>
        <v/>
      </c>
      <c r="K892" s="238" t="str">
        <f t="shared" si="2"/>
        <v/>
      </c>
      <c r="L892" s="238" t="str">
        <f t="shared" si="3"/>
        <v/>
      </c>
      <c r="M892" s="238" t="str">
        <f t="shared" si="4"/>
        <v/>
      </c>
      <c r="N892" s="238" t="str">
        <f t="shared" si="5"/>
        <v/>
      </c>
      <c r="O892" s="238" t="str">
        <f t="shared" si="6"/>
        <v/>
      </c>
      <c r="P892" s="237" t="str">
        <f>IFERROR(__xludf.DUMMYFUNCTION("IF(ISBLANK(H892),,IF(IFNA(MATCH(H892,SPLIT(Circuits!$S$2,"";""&amp;CHAR(10)),0),0),FALSE,TRUE))"),"")</f>
        <v/>
      </c>
      <c r="Q892" s="237" t="str">
        <f>IF(ISBLANK(H892),,IFNA(VLOOKUP(H892, Circuits!A:U, 21, FALSE),))</f>
        <v/>
      </c>
      <c r="R892" s="238" t="str">
        <f t="shared" si="7"/>
        <v/>
      </c>
      <c r="S892" s="237" t="str">
        <f>IF(ISBLANK(H892),,IFNA(VLOOKUP(H892, Circuits!A:V, 22, FALSE),))</f>
        <v/>
      </c>
      <c r="T892" s="237" t="str">
        <f>IF(ISBLANK(H892),,IFNA(VLOOKUP(H892, Circuits!A:X, 24, FALSE),))</f>
        <v/>
      </c>
      <c r="V892" s="236" t="str">
        <f>IFERROR(__xludf.DUMMYFUNCTION("IF(ISBLANK(H892),,JOIN("","",H892:T892))"),"")</f>
        <v/>
      </c>
      <c r="W892" s="229" t="str">
        <f t="shared" si="1"/>
        <v/>
      </c>
    </row>
    <row r="893">
      <c r="H893" s="237"/>
      <c r="I893" s="237" t="str">
        <f>IFERROR(__xludf.DUMMYFUNCTION("IF(ISBLANK(H893),,IFNA(""""""""&amp;JOIN("","",INDEX(FILTER(A:D,A:A=H893),0,4))&amp;"""""""",))"),"")</f>
        <v/>
      </c>
      <c r="J893" s="237" t="str">
        <f>IF(ISBLANK(H893),,IFNA(VLOOKUP(H893, Circuits!A:W, 23, FALSE),))</f>
        <v/>
      </c>
      <c r="K893" s="238" t="str">
        <f t="shared" si="2"/>
        <v/>
      </c>
      <c r="L893" s="238" t="str">
        <f t="shared" si="3"/>
        <v/>
      </c>
      <c r="M893" s="238" t="str">
        <f t="shared" si="4"/>
        <v/>
      </c>
      <c r="N893" s="238" t="str">
        <f t="shared" si="5"/>
        <v/>
      </c>
      <c r="O893" s="238" t="str">
        <f t="shared" si="6"/>
        <v/>
      </c>
      <c r="P893" s="237" t="str">
        <f>IFERROR(__xludf.DUMMYFUNCTION("IF(ISBLANK(H893),,IF(IFNA(MATCH(H893,SPLIT(Circuits!$S$2,"";""&amp;CHAR(10)),0),0),FALSE,TRUE))"),"")</f>
        <v/>
      </c>
      <c r="Q893" s="237" t="str">
        <f>IF(ISBLANK(H893),,IFNA(VLOOKUP(H893, Circuits!A:U, 21, FALSE),))</f>
        <v/>
      </c>
      <c r="R893" s="238" t="str">
        <f t="shared" si="7"/>
        <v/>
      </c>
      <c r="S893" s="237" t="str">
        <f>IF(ISBLANK(H893),,IFNA(VLOOKUP(H893, Circuits!A:V, 22, FALSE),))</f>
        <v/>
      </c>
      <c r="T893" s="237" t="str">
        <f>IF(ISBLANK(H893),,IFNA(VLOOKUP(H893, Circuits!A:X, 24, FALSE),))</f>
        <v/>
      </c>
      <c r="V893" s="236" t="str">
        <f>IFERROR(__xludf.DUMMYFUNCTION("IF(ISBLANK(H893),,JOIN("","",H893:T893))"),"")</f>
        <v/>
      </c>
      <c r="W893" s="229" t="str">
        <f t="shared" si="1"/>
        <v/>
      </c>
    </row>
    <row r="894">
      <c r="H894" s="237"/>
      <c r="I894" s="237" t="str">
        <f>IFERROR(__xludf.DUMMYFUNCTION("IF(ISBLANK(H894),,IFNA(""""""""&amp;JOIN("","",INDEX(FILTER(A:D,A:A=H894),0,4))&amp;"""""""",))"),"")</f>
        <v/>
      </c>
      <c r="J894" s="237" t="str">
        <f>IF(ISBLANK(H894),,IFNA(VLOOKUP(H894, Circuits!A:W, 23, FALSE),))</f>
        <v/>
      </c>
      <c r="K894" s="238" t="str">
        <f t="shared" si="2"/>
        <v/>
      </c>
      <c r="L894" s="238" t="str">
        <f t="shared" si="3"/>
        <v/>
      </c>
      <c r="M894" s="238" t="str">
        <f t="shared" si="4"/>
        <v/>
      </c>
      <c r="N894" s="238" t="str">
        <f t="shared" si="5"/>
        <v/>
      </c>
      <c r="O894" s="238" t="str">
        <f t="shared" si="6"/>
        <v/>
      </c>
      <c r="P894" s="237" t="str">
        <f>IFERROR(__xludf.DUMMYFUNCTION("IF(ISBLANK(H894),,IF(IFNA(MATCH(H894,SPLIT(Circuits!$S$2,"";""&amp;CHAR(10)),0),0),FALSE,TRUE))"),"")</f>
        <v/>
      </c>
      <c r="Q894" s="237" t="str">
        <f>IF(ISBLANK(H894),,IFNA(VLOOKUP(H894, Circuits!A:U, 21, FALSE),))</f>
        <v/>
      </c>
      <c r="R894" s="238" t="str">
        <f t="shared" si="7"/>
        <v/>
      </c>
      <c r="S894" s="237" t="str">
        <f>IF(ISBLANK(H894),,IFNA(VLOOKUP(H894, Circuits!A:V, 22, FALSE),))</f>
        <v/>
      </c>
      <c r="T894" s="237" t="str">
        <f>IF(ISBLANK(H894),,IFNA(VLOOKUP(H894, Circuits!A:X, 24, FALSE),))</f>
        <v/>
      </c>
      <c r="V894" s="236" t="str">
        <f>IFERROR(__xludf.DUMMYFUNCTION("IF(ISBLANK(H894),,JOIN("","",H894:T894))"),"")</f>
        <v/>
      </c>
      <c r="W894" s="229" t="str">
        <f t="shared" si="1"/>
        <v/>
      </c>
    </row>
    <row r="895">
      <c r="H895" s="237"/>
      <c r="I895" s="237" t="str">
        <f>IFERROR(__xludf.DUMMYFUNCTION("IF(ISBLANK(H895),,IFNA(""""""""&amp;JOIN("","",INDEX(FILTER(A:D,A:A=H895),0,4))&amp;"""""""",))"),"")</f>
        <v/>
      </c>
      <c r="J895" s="237" t="str">
        <f>IF(ISBLANK(H895),,IFNA(VLOOKUP(H895, Circuits!A:W, 23, FALSE),))</f>
        <v/>
      </c>
      <c r="K895" s="238" t="str">
        <f t="shared" si="2"/>
        <v/>
      </c>
      <c r="L895" s="238" t="str">
        <f t="shared" si="3"/>
        <v/>
      </c>
      <c r="M895" s="238" t="str">
        <f t="shared" si="4"/>
        <v/>
      </c>
      <c r="N895" s="238" t="str">
        <f t="shared" si="5"/>
        <v/>
      </c>
      <c r="O895" s="238" t="str">
        <f t="shared" si="6"/>
        <v/>
      </c>
      <c r="P895" s="237" t="str">
        <f>IFERROR(__xludf.DUMMYFUNCTION("IF(ISBLANK(H895),,IF(IFNA(MATCH(H895,SPLIT(Circuits!$S$2,"";""&amp;CHAR(10)),0),0),FALSE,TRUE))"),"")</f>
        <v/>
      </c>
      <c r="Q895" s="237" t="str">
        <f>IF(ISBLANK(H895),,IFNA(VLOOKUP(H895, Circuits!A:U, 21, FALSE),))</f>
        <v/>
      </c>
      <c r="R895" s="238" t="str">
        <f t="shared" si="7"/>
        <v/>
      </c>
      <c r="S895" s="237" t="str">
        <f>IF(ISBLANK(H895),,IFNA(VLOOKUP(H895, Circuits!A:V, 22, FALSE),))</f>
        <v/>
      </c>
      <c r="T895" s="237" t="str">
        <f>IF(ISBLANK(H895),,IFNA(VLOOKUP(H895, Circuits!A:X, 24, FALSE),))</f>
        <v/>
      </c>
      <c r="V895" s="236" t="str">
        <f>IFERROR(__xludf.DUMMYFUNCTION("IF(ISBLANK(H895),,JOIN("","",H895:T895))"),"")</f>
        <v/>
      </c>
      <c r="W895" s="229" t="str">
        <f t="shared" si="1"/>
        <v/>
      </c>
    </row>
    <row r="896">
      <c r="H896" s="237"/>
      <c r="I896" s="237" t="str">
        <f>IFERROR(__xludf.DUMMYFUNCTION("IF(ISBLANK(H896),,IFNA(""""""""&amp;JOIN("","",INDEX(FILTER(A:D,A:A=H896),0,4))&amp;"""""""",))"),"")</f>
        <v/>
      </c>
      <c r="J896" s="237" t="str">
        <f>IF(ISBLANK(H896),,IFNA(VLOOKUP(H896, Circuits!A:W, 23, FALSE),))</f>
        <v/>
      </c>
      <c r="K896" s="238" t="str">
        <f t="shared" si="2"/>
        <v/>
      </c>
      <c r="L896" s="238" t="str">
        <f t="shared" si="3"/>
        <v/>
      </c>
      <c r="M896" s="238" t="str">
        <f t="shared" si="4"/>
        <v/>
      </c>
      <c r="N896" s="238" t="str">
        <f t="shared" si="5"/>
        <v/>
      </c>
      <c r="O896" s="238" t="str">
        <f t="shared" si="6"/>
        <v/>
      </c>
      <c r="P896" s="237" t="str">
        <f>IFERROR(__xludf.DUMMYFUNCTION("IF(ISBLANK(H896),,IF(IFNA(MATCH(H896,SPLIT(Circuits!$S$2,"";""&amp;CHAR(10)),0),0),FALSE,TRUE))"),"")</f>
        <v/>
      </c>
      <c r="Q896" s="237" t="str">
        <f>IF(ISBLANK(H896),,IFNA(VLOOKUP(H896, Circuits!A:U, 21, FALSE),))</f>
        <v/>
      </c>
      <c r="R896" s="238" t="str">
        <f t="shared" si="7"/>
        <v/>
      </c>
      <c r="S896" s="237" t="str">
        <f>IF(ISBLANK(H896),,IFNA(VLOOKUP(H896, Circuits!A:V, 22, FALSE),))</f>
        <v/>
      </c>
      <c r="T896" s="237" t="str">
        <f>IF(ISBLANK(H896),,IFNA(VLOOKUP(H896, Circuits!A:X, 24, FALSE),))</f>
        <v/>
      </c>
      <c r="V896" s="236" t="str">
        <f>IFERROR(__xludf.DUMMYFUNCTION("IF(ISBLANK(H896),,JOIN("","",H896:T896))"),"")</f>
        <v/>
      </c>
      <c r="W896" s="229" t="str">
        <f t="shared" si="1"/>
        <v/>
      </c>
    </row>
    <row r="897">
      <c r="H897" s="237"/>
      <c r="I897" s="237" t="str">
        <f>IFERROR(__xludf.DUMMYFUNCTION("IF(ISBLANK(H897),,IFNA(""""""""&amp;JOIN("","",INDEX(FILTER(A:D,A:A=H897),0,4))&amp;"""""""",))"),"")</f>
        <v/>
      </c>
      <c r="J897" s="237" t="str">
        <f>IF(ISBLANK(H897),,IFNA(VLOOKUP(H897, Circuits!A:W, 23, FALSE),))</f>
        <v/>
      </c>
      <c r="K897" s="238" t="str">
        <f t="shared" si="2"/>
        <v/>
      </c>
      <c r="L897" s="238" t="str">
        <f t="shared" si="3"/>
        <v/>
      </c>
      <c r="M897" s="238" t="str">
        <f t="shared" si="4"/>
        <v/>
      </c>
      <c r="N897" s="238" t="str">
        <f t="shared" si="5"/>
        <v/>
      </c>
      <c r="O897" s="238" t="str">
        <f t="shared" si="6"/>
        <v/>
      </c>
      <c r="P897" s="237" t="str">
        <f>IFERROR(__xludf.DUMMYFUNCTION("IF(ISBLANK(H897),,IF(IFNA(MATCH(H897,SPLIT(Circuits!$S$2,"";""&amp;CHAR(10)),0),0),FALSE,TRUE))"),"")</f>
        <v/>
      </c>
      <c r="Q897" s="237" t="str">
        <f>IF(ISBLANK(H897),,IFNA(VLOOKUP(H897, Circuits!A:U, 21, FALSE),))</f>
        <v/>
      </c>
      <c r="R897" s="238" t="str">
        <f t="shared" si="7"/>
        <v/>
      </c>
      <c r="S897" s="237" t="str">
        <f>IF(ISBLANK(H897),,IFNA(VLOOKUP(H897, Circuits!A:V, 22, FALSE),))</f>
        <v/>
      </c>
      <c r="T897" s="237" t="str">
        <f>IF(ISBLANK(H897),,IFNA(VLOOKUP(H897, Circuits!A:X, 24, FALSE),))</f>
        <v/>
      </c>
      <c r="V897" s="236" t="str">
        <f>IFERROR(__xludf.DUMMYFUNCTION("IF(ISBLANK(H897),,JOIN("","",H897:T897))"),"")</f>
        <v/>
      </c>
      <c r="W897" s="229" t="str">
        <f t="shared" si="1"/>
        <v/>
      </c>
    </row>
    <row r="898">
      <c r="H898" s="237"/>
      <c r="I898" s="237" t="str">
        <f>IFERROR(__xludf.DUMMYFUNCTION("IF(ISBLANK(H898),,IFNA(""""""""&amp;JOIN("","",INDEX(FILTER(A:D,A:A=H898),0,4))&amp;"""""""",))"),"")</f>
        <v/>
      </c>
      <c r="J898" s="237" t="str">
        <f>IF(ISBLANK(H898),,IFNA(VLOOKUP(H898, Circuits!A:W, 23, FALSE),))</f>
        <v/>
      </c>
      <c r="K898" s="238" t="str">
        <f t="shared" si="2"/>
        <v/>
      </c>
      <c r="L898" s="238" t="str">
        <f t="shared" si="3"/>
        <v/>
      </c>
      <c r="M898" s="238" t="str">
        <f t="shared" si="4"/>
        <v/>
      </c>
      <c r="N898" s="238" t="str">
        <f t="shared" si="5"/>
        <v/>
      </c>
      <c r="O898" s="238" t="str">
        <f t="shared" si="6"/>
        <v/>
      </c>
      <c r="P898" s="237" t="str">
        <f>IFERROR(__xludf.DUMMYFUNCTION("IF(ISBLANK(H898),,IF(IFNA(MATCH(H898,SPLIT(Circuits!$S$2,"";""&amp;CHAR(10)),0),0),FALSE,TRUE))"),"")</f>
        <v/>
      </c>
      <c r="Q898" s="237" t="str">
        <f>IF(ISBLANK(H898),,IFNA(VLOOKUP(H898, Circuits!A:U, 21, FALSE),))</f>
        <v/>
      </c>
      <c r="R898" s="238" t="str">
        <f t="shared" si="7"/>
        <v/>
      </c>
      <c r="S898" s="237" t="str">
        <f>IF(ISBLANK(H898),,IFNA(VLOOKUP(H898, Circuits!A:V, 22, FALSE),))</f>
        <v/>
      </c>
      <c r="T898" s="237" t="str">
        <f>IF(ISBLANK(H898),,IFNA(VLOOKUP(H898, Circuits!A:X, 24, FALSE),))</f>
        <v/>
      </c>
      <c r="V898" s="236" t="str">
        <f>IFERROR(__xludf.DUMMYFUNCTION("IF(ISBLANK(H898),,JOIN("","",H898:T898))"),"")</f>
        <v/>
      </c>
      <c r="W898" s="229" t="str">
        <f t="shared" si="1"/>
        <v/>
      </c>
    </row>
    <row r="899">
      <c r="H899" s="237"/>
      <c r="I899" s="237" t="str">
        <f>IFERROR(__xludf.DUMMYFUNCTION("IF(ISBLANK(H899),,IFNA(""""""""&amp;JOIN("","",INDEX(FILTER(A:D,A:A=H899),0,4))&amp;"""""""",))"),"")</f>
        <v/>
      </c>
      <c r="J899" s="237" t="str">
        <f>IF(ISBLANK(H899),,IFNA(VLOOKUP(H899, Circuits!A:W, 23, FALSE),))</f>
        <v/>
      </c>
      <c r="K899" s="238" t="str">
        <f t="shared" si="2"/>
        <v/>
      </c>
      <c r="L899" s="238" t="str">
        <f t="shared" si="3"/>
        <v/>
      </c>
      <c r="M899" s="238" t="str">
        <f t="shared" si="4"/>
        <v/>
      </c>
      <c r="N899" s="238" t="str">
        <f t="shared" si="5"/>
        <v/>
      </c>
      <c r="O899" s="238" t="str">
        <f t="shared" si="6"/>
        <v/>
      </c>
      <c r="P899" s="237" t="str">
        <f>IFERROR(__xludf.DUMMYFUNCTION("IF(ISBLANK(H899),,IF(IFNA(MATCH(H899,SPLIT(Circuits!$S$2,"";""&amp;CHAR(10)),0),0),FALSE,TRUE))"),"")</f>
        <v/>
      </c>
      <c r="Q899" s="237" t="str">
        <f>IF(ISBLANK(H899),,IFNA(VLOOKUP(H899, Circuits!A:U, 21, FALSE),))</f>
        <v/>
      </c>
      <c r="R899" s="238" t="str">
        <f t="shared" si="7"/>
        <v/>
      </c>
      <c r="S899" s="237" t="str">
        <f>IF(ISBLANK(H899),,IFNA(VLOOKUP(H899, Circuits!A:V, 22, FALSE),))</f>
        <v/>
      </c>
      <c r="T899" s="237" t="str">
        <f>IF(ISBLANK(H899),,IFNA(VLOOKUP(H899, Circuits!A:X, 24, FALSE),))</f>
        <v/>
      </c>
      <c r="V899" s="236" t="str">
        <f>IFERROR(__xludf.DUMMYFUNCTION("IF(ISBLANK(H899),,JOIN("","",H899:T899))"),"")</f>
        <v/>
      </c>
      <c r="W899" s="229" t="str">
        <f t="shared" si="1"/>
        <v/>
      </c>
    </row>
    <row r="900">
      <c r="H900" s="237"/>
      <c r="I900" s="237" t="str">
        <f>IFERROR(__xludf.DUMMYFUNCTION("IF(ISBLANK(H900),,IFNA(""""""""&amp;JOIN("","",INDEX(FILTER(A:D,A:A=H900),0,4))&amp;"""""""",))"),"")</f>
        <v/>
      </c>
      <c r="J900" s="237" t="str">
        <f>IF(ISBLANK(H900),,IFNA(VLOOKUP(H900, Circuits!A:W, 23, FALSE),))</f>
        <v/>
      </c>
      <c r="K900" s="238" t="str">
        <f t="shared" si="2"/>
        <v/>
      </c>
      <c r="L900" s="238" t="str">
        <f t="shared" si="3"/>
        <v/>
      </c>
      <c r="M900" s="238" t="str">
        <f t="shared" si="4"/>
        <v/>
      </c>
      <c r="N900" s="238" t="str">
        <f t="shared" si="5"/>
        <v/>
      </c>
      <c r="O900" s="238" t="str">
        <f t="shared" si="6"/>
        <v/>
      </c>
      <c r="P900" s="237" t="str">
        <f>IFERROR(__xludf.DUMMYFUNCTION("IF(ISBLANK(H900),,IF(IFNA(MATCH(H900,SPLIT(Circuits!$S$2,"";""&amp;CHAR(10)),0),0),FALSE,TRUE))"),"")</f>
        <v/>
      </c>
      <c r="Q900" s="237" t="str">
        <f>IF(ISBLANK(H900),,IFNA(VLOOKUP(H900, Circuits!A:U, 21, FALSE),))</f>
        <v/>
      </c>
      <c r="R900" s="238" t="str">
        <f t="shared" si="7"/>
        <v/>
      </c>
      <c r="S900" s="237" t="str">
        <f>IF(ISBLANK(H900),,IFNA(VLOOKUP(H900, Circuits!A:V, 22, FALSE),))</f>
        <v/>
      </c>
      <c r="T900" s="237" t="str">
        <f>IF(ISBLANK(H900),,IFNA(VLOOKUP(H900, Circuits!A:X, 24, FALSE),))</f>
        <v/>
      </c>
      <c r="V900" s="236" t="str">
        <f>IFERROR(__xludf.DUMMYFUNCTION("IF(ISBLANK(H900),,JOIN("","",H900:T900))"),"")</f>
        <v/>
      </c>
      <c r="W900" s="229" t="str">
        <f t="shared" si="1"/>
        <v/>
      </c>
    </row>
    <row r="901">
      <c r="H901" s="237"/>
      <c r="I901" s="237" t="str">
        <f>IFERROR(__xludf.DUMMYFUNCTION("IF(ISBLANK(H901),,IFNA(""""""""&amp;JOIN("","",INDEX(FILTER(A:D,A:A=H901),0,4))&amp;"""""""",))"),"")</f>
        <v/>
      </c>
      <c r="J901" s="237" t="str">
        <f>IF(ISBLANK(H901),,IFNA(VLOOKUP(H901, Circuits!A:W, 23, FALSE),))</f>
        <v/>
      </c>
      <c r="K901" s="238" t="str">
        <f t="shared" si="2"/>
        <v/>
      </c>
      <c r="L901" s="238" t="str">
        <f t="shared" si="3"/>
        <v/>
      </c>
      <c r="M901" s="238" t="str">
        <f t="shared" si="4"/>
        <v/>
      </c>
      <c r="N901" s="238" t="str">
        <f t="shared" si="5"/>
        <v/>
      </c>
      <c r="O901" s="238" t="str">
        <f t="shared" si="6"/>
        <v/>
      </c>
      <c r="P901" s="237" t="str">
        <f>IFERROR(__xludf.DUMMYFUNCTION("IF(ISBLANK(H901),,IF(IFNA(MATCH(H901,SPLIT(Circuits!$S$2,"";""&amp;CHAR(10)),0),0),FALSE,TRUE))"),"")</f>
        <v/>
      </c>
      <c r="Q901" s="237" t="str">
        <f>IF(ISBLANK(H901),,IFNA(VLOOKUP(H901, Circuits!A:U, 21, FALSE),))</f>
        <v/>
      </c>
      <c r="R901" s="238" t="str">
        <f t="shared" si="7"/>
        <v/>
      </c>
      <c r="S901" s="237" t="str">
        <f>IF(ISBLANK(H901),,IFNA(VLOOKUP(H901, Circuits!A:V, 22, FALSE),))</f>
        <v/>
      </c>
      <c r="T901" s="237" t="str">
        <f>IF(ISBLANK(H901),,IFNA(VLOOKUP(H901, Circuits!A:X, 24, FALSE),))</f>
        <v/>
      </c>
      <c r="V901" s="236" t="str">
        <f>IFERROR(__xludf.DUMMYFUNCTION("IF(ISBLANK(H901),,JOIN("","",H901:T901))"),"")</f>
        <v/>
      </c>
      <c r="W901" s="229" t="str">
        <f t="shared" si="1"/>
        <v/>
      </c>
    </row>
    <row r="902">
      <c r="H902" s="237"/>
      <c r="I902" s="237" t="str">
        <f>IFERROR(__xludf.DUMMYFUNCTION("IF(ISBLANK(H902),,IFNA(""""""""&amp;JOIN("","",INDEX(FILTER(A:D,A:A=H902),0,4))&amp;"""""""",))"),"")</f>
        <v/>
      </c>
      <c r="J902" s="237" t="str">
        <f>IF(ISBLANK(H902),,IFNA(VLOOKUP(H902, Circuits!A:W, 23, FALSE),))</f>
        <v/>
      </c>
      <c r="K902" s="238" t="str">
        <f t="shared" si="2"/>
        <v/>
      </c>
      <c r="L902" s="238" t="str">
        <f t="shared" si="3"/>
        <v/>
      </c>
      <c r="M902" s="238" t="str">
        <f t="shared" si="4"/>
        <v/>
      </c>
      <c r="N902" s="238" t="str">
        <f t="shared" si="5"/>
        <v/>
      </c>
      <c r="O902" s="238" t="str">
        <f t="shared" si="6"/>
        <v/>
      </c>
      <c r="P902" s="237" t="str">
        <f>IFERROR(__xludf.DUMMYFUNCTION("IF(ISBLANK(H902),,IF(IFNA(MATCH(H902,SPLIT(Circuits!$S$2,"";""&amp;CHAR(10)),0),0),FALSE,TRUE))"),"")</f>
        <v/>
      </c>
      <c r="Q902" s="237" t="str">
        <f>IF(ISBLANK(H902),,IFNA(VLOOKUP(H902, Circuits!A:U, 21, FALSE),))</f>
        <v/>
      </c>
      <c r="R902" s="238" t="str">
        <f t="shared" si="7"/>
        <v/>
      </c>
      <c r="S902" s="237" t="str">
        <f>IF(ISBLANK(H902),,IFNA(VLOOKUP(H902, Circuits!A:V, 22, FALSE),))</f>
        <v/>
      </c>
      <c r="T902" s="237" t="str">
        <f>IF(ISBLANK(H902),,IFNA(VLOOKUP(H902, Circuits!A:X, 24, FALSE),))</f>
        <v/>
      </c>
      <c r="V902" s="236" t="str">
        <f>IFERROR(__xludf.DUMMYFUNCTION("IF(ISBLANK(H902),,JOIN("","",H902:T902))"),"")</f>
        <v/>
      </c>
      <c r="W902" s="229" t="str">
        <f t="shared" si="1"/>
        <v/>
      </c>
    </row>
    <row r="903">
      <c r="H903" s="237"/>
      <c r="I903" s="237" t="str">
        <f>IFERROR(__xludf.DUMMYFUNCTION("IF(ISBLANK(H903),,IFNA(""""""""&amp;JOIN("","",INDEX(FILTER(A:D,A:A=H903),0,4))&amp;"""""""",))"),"")</f>
        <v/>
      </c>
      <c r="J903" s="237" t="str">
        <f>IF(ISBLANK(H903),,IFNA(VLOOKUP(H903, Circuits!A:W, 23, FALSE),))</f>
        <v/>
      </c>
      <c r="K903" s="238" t="str">
        <f t="shared" si="2"/>
        <v/>
      </c>
      <c r="L903" s="238" t="str">
        <f t="shared" si="3"/>
        <v/>
      </c>
      <c r="M903" s="238" t="str">
        <f t="shared" si="4"/>
        <v/>
      </c>
      <c r="N903" s="238" t="str">
        <f t="shared" si="5"/>
        <v/>
      </c>
      <c r="O903" s="238" t="str">
        <f t="shared" si="6"/>
        <v/>
      </c>
      <c r="P903" s="237" t="str">
        <f>IFERROR(__xludf.DUMMYFUNCTION("IF(ISBLANK(H903),,IF(IFNA(MATCH(H903,SPLIT(Circuits!$S$2,"";""&amp;CHAR(10)),0),0),FALSE,TRUE))"),"")</f>
        <v/>
      </c>
      <c r="Q903" s="237" t="str">
        <f>IF(ISBLANK(H903),,IFNA(VLOOKUP(H903, Circuits!A:U, 21, FALSE),))</f>
        <v/>
      </c>
      <c r="R903" s="238" t="str">
        <f t="shared" si="7"/>
        <v/>
      </c>
      <c r="S903" s="237" t="str">
        <f>IF(ISBLANK(H903),,IFNA(VLOOKUP(H903, Circuits!A:V, 22, FALSE),))</f>
        <v/>
      </c>
      <c r="T903" s="237" t="str">
        <f>IF(ISBLANK(H903),,IFNA(VLOOKUP(H903, Circuits!A:X, 24, FALSE),))</f>
        <v/>
      </c>
      <c r="V903" s="236" t="str">
        <f>IFERROR(__xludf.DUMMYFUNCTION("IF(ISBLANK(H903),,JOIN("","",H903:T903))"),"")</f>
        <v/>
      </c>
      <c r="W903" s="229" t="str">
        <f t="shared" si="1"/>
        <v/>
      </c>
    </row>
    <row r="904">
      <c r="H904" s="237"/>
      <c r="I904" s="237" t="str">
        <f>IFERROR(__xludf.DUMMYFUNCTION("IF(ISBLANK(H904),,IFNA(""""""""&amp;JOIN("","",INDEX(FILTER(A:D,A:A=H904),0,4))&amp;"""""""",))"),"")</f>
        <v/>
      </c>
      <c r="J904" s="237" t="str">
        <f>IF(ISBLANK(H904),,IFNA(VLOOKUP(H904, Circuits!A:W, 23, FALSE),))</f>
        <v/>
      </c>
      <c r="K904" s="238" t="str">
        <f t="shared" si="2"/>
        <v/>
      </c>
      <c r="L904" s="238" t="str">
        <f t="shared" si="3"/>
        <v/>
      </c>
      <c r="M904" s="238" t="str">
        <f t="shared" si="4"/>
        <v/>
      </c>
      <c r="N904" s="238" t="str">
        <f t="shared" si="5"/>
        <v/>
      </c>
      <c r="O904" s="238" t="str">
        <f t="shared" si="6"/>
        <v/>
      </c>
      <c r="P904" s="237" t="str">
        <f>IFERROR(__xludf.DUMMYFUNCTION("IF(ISBLANK(H904),,IF(IFNA(MATCH(H904,SPLIT(Circuits!$S$2,"";""&amp;CHAR(10)),0),0),FALSE,TRUE))"),"")</f>
        <v/>
      </c>
      <c r="Q904" s="237" t="str">
        <f>IF(ISBLANK(H904),,IFNA(VLOOKUP(H904, Circuits!A:U, 21, FALSE),))</f>
        <v/>
      </c>
      <c r="R904" s="238" t="str">
        <f t="shared" si="7"/>
        <v/>
      </c>
      <c r="S904" s="237" t="str">
        <f>IF(ISBLANK(H904),,IFNA(VLOOKUP(H904, Circuits!A:V, 22, FALSE),))</f>
        <v/>
      </c>
      <c r="T904" s="237" t="str">
        <f>IF(ISBLANK(H904),,IFNA(VLOOKUP(H904, Circuits!A:X, 24, FALSE),))</f>
        <v/>
      </c>
      <c r="V904" s="236" t="str">
        <f>IFERROR(__xludf.DUMMYFUNCTION("IF(ISBLANK(H904),,JOIN("","",H904:T904))"),"")</f>
        <v/>
      </c>
      <c r="W904" s="229" t="str">
        <f t="shared" si="1"/>
        <v/>
      </c>
    </row>
    <row r="905">
      <c r="H905" s="237"/>
      <c r="I905" s="237" t="str">
        <f>IFERROR(__xludf.DUMMYFUNCTION("IF(ISBLANK(H905),,IFNA(""""""""&amp;JOIN("","",INDEX(FILTER(A:D,A:A=H905),0,4))&amp;"""""""",))"),"")</f>
        <v/>
      </c>
      <c r="J905" s="237" t="str">
        <f>IF(ISBLANK(H905),,IFNA(VLOOKUP(H905, Circuits!A:W, 23, FALSE),))</f>
        <v/>
      </c>
      <c r="K905" s="238" t="str">
        <f t="shared" si="2"/>
        <v/>
      </c>
      <c r="L905" s="238" t="str">
        <f t="shared" si="3"/>
        <v/>
      </c>
      <c r="M905" s="238" t="str">
        <f t="shared" si="4"/>
        <v/>
      </c>
      <c r="N905" s="238" t="str">
        <f t="shared" si="5"/>
        <v/>
      </c>
      <c r="O905" s="238" t="str">
        <f t="shared" si="6"/>
        <v/>
      </c>
      <c r="P905" s="237" t="str">
        <f>IFERROR(__xludf.DUMMYFUNCTION("IF(ISBLANK(H905),,IF(IFNA(MATCH(H905,SPLIT(Circuits!$S$2,"";""&amp;CHAR(10)),0),0),FALSE,TRUE))"),"")</f>
        <v/>
      </c>
      <c r="Q905" s="237" t="str">
        <f>IF(ISBLANK(H905),,IFNA(VLOOKUP(H905, Circuits!A:U, 21, FALSE),))</f>
        <v/>
      </c>
      <c r="R905" s="238" t="str">
        <f t="shared" si="7"/>
        <v/>
      </c>
      <c r="S905" s="237" t="str">
        <f>IF(ISBLANK(H905),,IFNA(VLOOKUP(H905, Circuits!A:V, 22, FALSE),))</f>
        <v/>
      </c>
      <c r="T905" s="237" t="str">
        <f>IF(ISBLANK(H905),,IFNA(VLOOKUP(H905, Circuits!A:X, 24, FALSE),))</f>
        <v/>
      </c>
      <c r="V905" s="236" t="str">
        <f>IFERROR(__xludf.DUMMYFUNCTION("IF(ISBLANK(H905),,JOIN("","",H905:T905))"),"")</f>
        <v/>
      </c>
      <c r="W905" s="229" t="str">
        <f t="shared" si="1"/>
        <v/>
      </c>
    </row>
    <row r="906">
      <c r="H906" s="237"/>
      <c r="I906" s="237" t="str">
        <f>IFERROR(__xludf.DUMMYFUNCTION("IF(ISBLANK(H906),,IFNA(""""""""&amp;JOIN("","",INDEX(FILTER(A:D,A:A=H906),0,4))&amp;"""""""",))"),"")</f>
        <v/>
      </c>
      <c r="J906" s="237" t="str">
        <f>IF(ISBLANK(H906),,IFNA(VLOOKUP(H906, Circuits!A:W, 23, FALSE),))</f>
        <v/>
      </c>
      <c r="K906" s="238" t="str">
        <f t="shared" si="2"/>
        <v/>
      </c>
      <c r="L906" s="238" t="str">
        <f t="shared" si="3"/>
        <v/>
      </c>
      <c r="M906" s="238" t="str">
        <f t="shared" si="4"/>
        <v/>
      </c>
      <c r="N906" s="238" t="str">
        <f t="shared" si="5"/>
        <v/>
      </c>
      <c r="O906" s="238" t="str">
        <f t="shared" si="6"/>
        <v/>
      </c>
      <c r="P906" s="237" t="str">
        <f>IFERROR(__xludf.DUMMYFUNCTION("IF(ISBLANK(H906),,IF(IFNA(MATCH(H906,SPLIT(Circuits!$S$2,"";""&amp;CHAR(10)),0),0),FALSE,TRUE))"),"")</f>
        <v/>
      </c>
      <c r="Q906" s="237" t="str">
        <f>IF(ISBLANK(H906),,IFNA(VLOOKUP(H906, Circuits!A:U, 21, FALSE),))</f>
        <v/>
      </c>
      <c r="R906" s="238" t="str">
        <f t="shared" si="7"/>
        <v/>
      </c>
      <c r="S906" s="237" t="str">
        <f>IF(ISBLANK(H906),,IFNA(VLOOKUP(H906, Circuits!A:V, 22, FALSE),))</f>
        <v/>
      </c>
      <c r="T906" s="237" t="str">
        <f>IF(ISBLANK(H906),,IFNA(VLOOKUP(H906, Circuits!A:X, 24, FALSE),))</f>
        <v/>
      </c>
      <c r="V906" s="236" t="str">
        <f>IFERROR(__xludf.DUMMYFUNCTION("IF(ISBLANK(H906),,JOIN("","",H906:T906))"),"")</f>
        <v/>
      </c>
      <c r="W906" s="229" t="str">
        <f t="shared" si="1"/>
        <v/>
      </c>
    </row>
    <row r="907">
      <c r="H907" s="237"/>
      <c r="I907" s="237" t="str">
        <f>IFERROR(__xludf.DUMMYFUNCTION("IF(ISBLANK(H907),,IFNA(""""""""&amp;JOIN("","",INDEX(FILTER(A:D,A:A=H907),0,4))&amp;"""""""",))"),"")</f>
        <v/>
      </c>
      <c r="J907" s="237" t="str">
        <f>IF(ISBLANK(H907),,IFNA(VLOOKUP(H907, Circuits!A:W, 23, FALSE),))</f>
        <v/>
      </c>
      <c r="K907" s="238" t="str">
        <f t="shared" si="2"/>
        <v/>
      </c>
      <c r="L907" s="238" t="str">
        <f t="shared" si="3"/>
        <v/>
      </c>
      <c r="M907" s="238" t="str">
        <f t="shared" si="4"/>
        <v/>
      </c>
      <c r="N907" s="238" t="str">
        <f t="shared" si="5"/>
        <v/>
      </c>
      <c r="O907" s="238" t="str">
        <f t="shared" si="6"/>
        <v/>
      </c>
      <c r="P907" s="237" t="str">
        <f>IFERROR(__xludf.DUMMYFUNCTION("IF(ISBLANK(H907),,IF(IFNA(MATCH(H907,SPLIT(Circuits!$S$2,"";""&amp;CHAR(10)),0),0),FALSE,TRUE))"),"")</f>
        <v/>
      </c>
      <c r="Q907" s="237" t="str">
        <f>IF(ISBLANK(H907),,IFNA(VLOOKUP(H907, Circuits!A:U, 21, FALSE),))</f>
        <v/>
      </c>
      <c r="R907" s="238" t="str">
        <f t="shared" si="7"/>
        <v/>
      </c>
      <c r="S907" s="237" t="str">
        <f>IF(ISBLANK(H907),,IFNA(VLOOKUP(H907, Circuits!A:V, 22, FALSE),))</f>
        <v/>
      </c>
      <c r="T907" s="237" t="str">
        <f>IF(ISBLANK(H907),,IFNA(VLOOKUP(H907, Circuits!A:X, 24, FALSE),))</f>
        <v/>
      </c>
      <c r="V907" s="236" t="str">
        <f>IFERROR(__xludf.DUMMYFUNCTION("IF(ISBLANK(H907),,JOIN("","",H907:T907))"),"")</f>
        <v/>
      </c>
      <c r="W907" s="229" t="str">
        <f t="shared" si="1"/>
        <v/>
      </c>
    </row>
    <row r="908">
      <c r="H908" s="237"/>
      <c r="I908" s="237" t="str">
        <f>IFERROR(__xludf.DUMMYFUNCTION("IF(ISBLANK(H908),,IFNA(""""""""&amp;JOIN("","",INDEX(FILTER(A:D,A:A=H908),0,4))&amp;"""""""",))"),"")</f>
        <v/>
      </c>
      <c r="J908" s="237" t="str">
        <f>IF(ISBLANK(H908),,IFNA(VLOOKUP(H908, Circuits!A:W, 23, FALSE),))</f>
        <v/>
      </c>
      <c r="K908" s="238" t="str">
        <f t="shared" si="2"/>
        <v/>
      </c>
      <c r="L908" s="238" t="str">
        <f t="shared" si="3"/>
        <v/>
      </c>
      <c r="M908" s="238" t="str">
        <f t="shared" si="4"/>
        <v/>
      </c>
      <c r="N908" s="238" t="str">
        <f t="shared" si="5"/>
        <v/>
      </c>
      <c r="O908" s="238" t="str">
        <f t="shared" si="6"/>
        <v/>
      </c>
      <c r="P908" s="237" t="str">
        <f>IFERROR(__xludf.DUMMYFUNCTION("IF(ISBLANK(H908),,IF(IFNA(MATCH(H908,SPLIT(Circuits!$S$2,"";""&amp;CHAR(10)),0),0),FALSE,TRUE))"),"")</f>
        <v/>
      </c>
      <c r="Q908" s="237" t="str">
        <f>IF(ISBLANK(H908),,IFNA(VLOOKUP(H908, Circuits!A:U, 21, FALSE),))</f>
        <v/>
      </c>
      <c r="R908" s="238" t="str">
        <f t="shared" si="7"/>
        <v/>
      </c>
      <c r="S908" s="237" t="str">
        <f>IF(ISBLANK(H908),,IFNA(VLOOKUP(H908, Circuits!A:V, 22, FALSE),))</f>
        <v/>
      </c>
      <c r="T908" s="237" t="str">
        <f>IF(ISBLANK(H908),,IFNA(VLOOKUP(H908, Circuits!A:X, 24, FALSE),))</f>
        <v/>
      </c>
      <c r="V908" s="236" t="str">
        <f>IFERROR(__xludf.DUMMYFUNCTION("IF(ISBLANK(H908),,JOIN("","",H908:T908))"),"")</f>
        <v/>
      </c>
      <c r="W908" s="229" t="str">
        <f t="shared" si="1"/>
        <v/>
      </c>
    </row>
    <row r="909">
      <c r="H909" s="237"/>
      <c r="I909" s="237" t="str">
        <f>IFERROR(__xludf.DUMMYFUNCTION("IF(ISBLANK(H909),,IFNA(""""""""&amp;JOIN("","",INDEX(FILTER(A:D,A:A=H909),0,4))&amp;"""""""",))"),"")</f>
        <v/>
      </c>
      <c r="J909" s="237" t="str">
        <f>IF(ISBLANK(H909),,IFNA(VLOOKUP(H909, Circuits!A:W, 23, FALSE),))</f>
        <v/>
      </c>
      <c r="K909" s="238" t="str">
        <f t="shared" si="2"/>
        <v/>
      </c>
      <c r="L909" s="238" t="str">
        <f t="shared" si="3"/>
        <v/>
      </c>
      <c r="M909" s="238" t="str">
        <f t="shared" si="4"/>
        <v/>
      </c>
      <c r="N909" s="238" t="str">
        <f t="shared" si="5"/>
        <v/>
      </c>
      <c r="O909" s="238" t="str">
        <f t="shared" si="6"/>
        <v/>
      </c>
      <c r="P909" s="237" t="str">
        <f>IFERROR(__xludf.DUMMYFUNCTION("IF(ISBLANK(H909),,IF(IFNA(MATCH(H909,SPLIT(Circuits!$S$2,"";""&amp;CHAR(10)),0),0),FALSE,TRUE))"),"")</f>
        <v/>
      </c>
      <c r="Q909" s="237" t="str">
        <f>IF(ISBLANK(H909),,IFNA(VLOOKUP(H909, Circuits!A:U, 21, FALSE),))</f>
        <v/>
      </c>
      <c r="R909" s="238" t="str">
        <f t="shared" si="7"/>
        <v/>
      </c>
      <c r="S909" s="237" t="str">
        <f>IF(ISBLANK(H909),,IFNA(VLOOKUP(H909, Circuits!A:V, 22, FALSE),))</f>
        <v/>
      </c>
      <c r="T909" s="237" t="str">
        <f>IF(ISBLANK(H909),,IFNA(VLOOKUP(H909, Circuits!A:X, 24, FALSE),))</f>
        <v/>
      </c>
      <c r="V909" s="236" t="str">
        <f>IFERROR(__xludf.DUMMYFUNCTION("IF(ISBLANK(H909),,JOIN("","",H909:T909))"),"")</f>
        <v/>
      </c>
      <c r="W909" s="229" t="str">
        <f t="shared" si="1"/>
        <v/>
      </c>
    </row>
    <row r="910">
      <c r="H910" s="237"/>
      <c r="I910" s="237" t="str">
        <f>IFERROR(__xludf.DUMMYFUNCTION("IF(ISBLANK(H910),,IFNA(""""""""&amp;JOIN("","",INDEX(FILTER(A:D,A:A=H910),0,4))&amp;"""""""",))"),"")</f>
        <v/>
      </c>
      <c r="J910" s="237" t="str">
        <f>IF(ISBLANK(H910),,IFNA(VLOOKUP(H910, Circuits!A:W, 23, FALSE),))</f>
        <v/>
      </c>
      <c r="K910" s="238" t="str">
        <f t="shared" si="2"/>
        <v/>
      </c>
      <c r="L910" s="238" t="str">
        <f t="shared" si="3"/>
        <v/>
      </c>
      <c r="M910" s="238" t="str">
        <f t="shared" si="4"/>
        <v/>
      </c>
      <c r="N910" s="238" t="str">
        <f t="shared" si="5"/>
        <v/>
      </c>
      <c r="O910" s="238" t="str">
        <f t="shared" si="6"/>
        <v/>
      </c>
      <c r="P910" s="237" t="str">
        <f>IFERROR(__xludf.DUMMYFUNCTION("IF(ISBLANK(H910),,IF(IFNA(MATCH(H910,SPLIT(Circuits!$S$2,"";""&amp;CHAR(10)),0),0),FALSE,TRUE))"),"")</f>
        <v/>
      </c>
      <c r="Q910" s="237" t="str">
        <f>IF(ISBLANK(H910),,IFNA(VLOOKUP(H910, Circuits!A:U, 21, FALSE),))</f>
        <v/>
      </c>
      <c r="R910" s="238" t="str">
        <f t="shared" si="7"/>
        <v/>
      </c>
      <c r="S910" s="237" t="str">
        <f>IF(ISBLANK(H910),,IFNA(VLOOKUP(H910, Circuits!A:V, 22, FALSE),))</f>
        <v/>
      </c>
      <c r="T910" s="237" t="str">
        <f>IF(ISBLANK(H910),,IFNA(VLOOKUP(H910, Circuits!A:X, 24, FALSE),))</f>
        <v/>
      </c>
      <c r="V910" s="236" t="str">
        <f>IFERROR(__xludf.DUMMYFUNCTION("IF(ISBLANK(H910),,JOIN("","",H910:T910))"),"")</f>
        <v/>
      </c>
      <c r="W910" s="229" t="str">
        <f t="shared" si="1"/>
        <v/>
      </c>
    </row>
    <row r="911">
      <c r="H911" s="237"/>
      <c r="I911" s="237" t="str">
        <f>IFERROR(__xludf.DUMMYFUNCTION("IF(ISBLANK(H911),,IFNA(""""""""&amp;JOIN("","",INDEX(FILTER(A:D,A:A=H911),0,4))&amp;"""""""",))"),"")</f>
        <v/>
      </c>
      <c r="J911" s="237" t="str">
        <f>IF(ISBLANK(H911),,IFNA(VLOOKUP(H911, Circuits!A:W, 23, FALSE),))</f>
        <v/>
      </c>
      <c r="K911" s="238" t="str">
        <f t="shared" si="2"/>
        <v/>
      </c>
      <c r="L911" s="238" t="str">
        <f t="shared" si="3"/>
        <v/>
      </c>
      <c r="M911" s="238" t="str">
        <f t="shared" si="4"/>
        <v/>
      </c>
      <c r="N911" s="238" t="str">
        <f t="shared" si="5"/>
        <v/>
      </c>
      <c r="O911" s="238" t="str">
        <f t="shared" si="6"/>
        <v/>
      </c>
      <c r="P911" s="237" t="str">
        <f>IFERROR(__xludf.DUMMYFUNCTION("IF(ISBLANK(H911),,IF(IFNA(MATCH(H911,SPLIT(Circuits!$S$2,"";""&amp;CHAR(10)),0),0),FALSE,TRUE))"),"")</f>
        <v/>
      </c>
      <c r="Q911" s="237" t="str">
        <f>IF(ISBLANK(H911),,IFNA(VLOOKUP(H911, Circuits!A:U, 21, FALSE),))</f>
        <v/>
      </c>
      <c r="R911" s="238" t="str">
        <f t="shared" si="7"/>
        <v/>
      </c>
      <c r="S911" s="237" t="str">
        <f>IF(ISBLANK(H911),,IFNA(VLOOKUP(H911, Circuits!A:V, 22, FALSE),))</f>
        <v/>
      </c>
      <c r="T911" s="237" t="str">
        <f>IF(ISBLANK(H911),,IFNA(VLOOKUP(H911, Circuits!A:X, 24, FALSE),))</f>
        <v/>
      </c>
      <c r="V911" s="236" t="str">
        <f>IFERROR(__xludf.DUMMYFUNCTION("IF(ISBLANK(H911),,JOIN("","",H911:T911))"),"")</f>
        <v/>
      </c>
      <c r="W911" s="229" t="str">
        <f t="shared" si="1"/>
        <v/>
      </c>
    </row>
    <row r="912">
      <c r="H912" s="237"/>
      <c r="I912" s="237" t="str">
        <f>IFERROR(__xludf.DUMMYFUNCTION("IF(ISBLANK(H912),,IFNA(""""""""&amp;JOIN("","",INDEX(FILTER(A:D,A:A=H912),0,4))&amp;"""""""",))"),"")</f>
        <v/>
      </c>
      <c r="J912" s="237" t="str">
        <f>IF(ISBLANK(H912),,IFNA(VLOOKUP(H912, Circuits!A:W, 23, FALSE),))</f>
        <v/>
      </c>
      <c r="K912" s="238" t="str">
        <f t="shared" si="2"/>
        <v/>
      </c>
      <c r="L912" s="238" t="str">
        <f t="shared" si="3"/>
        <v/>
      </c>
      <c r="M912" s="238" t="str">
        <f t="shared" si="4"/>
        <v/>
      </c>
      <c r="N912" s="238" t="str">
        <f t="shared" si="5"/>
        <v/>
      </c>
      <c r="O912" s="238" t="str">
        <f t="shared" si="6"/>
        <v/>
      </c>
      <c r="P912" s="237" t="str">
        <f>IFERROR(__xludf.DUMMYFUNCTION("IF(ISBLANK(H912),,IF(IFNA(MATCH(H912,SPLIT(Circuits!$S$2,"";""&amp;CHAR(10)),0),0),FALSE,TRUE))"),"")</f>
        <v/>
      </c>
      <c r="Q912" s="237" t="str">
        <f>IF(ISBLANK(H912),,IFNA(VLOOKUP(H912, Circuits!A:U, 21, FALSE),))</f>
        <v/>
      </c>
      <c r="R912" s="238" t="str">
        <f t="shared" si="7"/>
        <v/>
      </c>
      <c r="S912" s="237" t="str">
        <f>IF(ISBLANK(H912),,IFNA(VLOOKUP(H912, Circuits!A:V, 22, FALSE),))</f>
        <v/>
      </c>
      <c r="T912" s="237" t="str">
        <f>IF(ISBLANK(H912),,IFNA(VLOOKUP(H912, Circuits!A:X, 24, FALSE),))</f>
        <v/>
      </c>
      <c r="V912" s="236" t="str">
        <f>IFERROR(__xludf.DUMMYFUNCTION("IF(ISBLANK(H912),,JOIN("","",H912:T912))"),"")</f>
        <v/>
      </c>
      <c r="W912" s="229" t="str">
        <f t="shared" si="1"/>
        <v/>
      </c>
    </row>
    <row r="913">
      <c r="H913" s="237"/>
      <c r="I913" s="237" t="str">
        <f>IFERROR(__xludf.DUMMYFUNCTION("IF(ISBLANK(H913),,IFNA(""""""""&amp;JOIN("","",INDEX(FILTER(A:D,A:A=H913),0,4))&amp;"""""""",))"),"")</f>
        <v/>
      </c>
      <c r="J913" s="237" t="str">
        <f>IF(ISBLANK(H913),,IFNA(VLOOKUP(H913, Circuits!A:W, 23, FALSE),))</f>
        <v/>
      </c>
      <c r="K913" s="238" t="str">
        <f t="shared" si="2"/>
        <v/>
      </c>
      <c r="L913" s="238" t="str">
        <f t="shared" si="3"/>
        <v/>
      </c>
      <c r="M913" s="238" t="str">
        <f t="shared" si="4"/>
        <v/>
      </c>
      <c r="N913" s="238" t="str">
        <f t="shared" si="5"/>
        <v/>
      </c>
      <c r="O913" s="238" t="str">
        <f t="shared" si="6"/>
        <v/>
      </c>
      <c r="P913" s="237" t="str">
        <f>IFERROR(__xludf.DUMMYFUNCTION("IF(ISBLANK(H913),,IF(IFNA(MATCH(H913,SPLIT(Circuits!$S$2,"";""&amp;CHAR(10)),0),0),FALSE,TRUE))"),"")</f>
        <v/>
      </c>
      <c r="Q913" s="237" t="str">
        <f>IF(ISBLANK(H913),,IFNA(VLOOKUP(H913, Circuits!A:U, 21, FALSE),))</f>
        <v/>
      </c>
      <c r="R913" s="238" t="str">
        <f t="shared" si="7"/>
        <v/>
      </c>
      <c r="S913" s="237" t="str">
        <f>IF(ISBLANK(H913),,IFNA(VLOOKUP(H913, Circuits!A:V, 22, FALSE),))</f>
        <v/>
      </c>
      <c r="T913" s="237" t="str">
        <f>IF(ISBLANK(H913),,IFNA(VLOOKUP(H913, Circuits!A:X, 24, FALSE),))</f>
        <v/>
      </c>
      <c r="V913" s="236" t="str">
        <f>IFERROR(__xludf.DUMMYFUNCTION("IF(ISBLANK(H913),,JOIN("","",H913:T913))"),"")</f>
        <v/>
      </c>
      <c r="W913" s="229" t="str">
        <f t="shared" si="1"/>
        <v/>
      </c>
    </row>
    <row r="914">
      <c r="H914" s="237"/>
      <c r="I914" s="237" t="str">
        <f>IFERROR(__xludf.DUMMYFUNCTION("IF(ISBLANK(H914),,IFNA(""""""""&amp;JOIN("","",INDEX(FILTER(A:D,A:A=H914),0,4))&amp;"""""""",))"),"")</f>
        <v/>
      </c>
      <c r="J914" s="237" t="str">
        <f>IF(ISBLANK(H914),,IFNA(VLOOKUP(H914, Circuits!A:W, 23, FALSE),))</f>
        <v/>
      </c>
      <c r="K914" s="238" t="str">
        <f t="shared" si="2"/>
        <v/>
      </c>
      <c r="L914" s="238" t="str">
        <f t="shared" si="3"/>
        <v/>
      </c>
      <c r="M914" s="238" t="str">
        <f t="shared" si="4"/>
        <v/>
      </c>
      <c r="N914" s="238" t="str">
        <f t="shared" si="5"/>
        <v/>
      </c>
      <c r="O914" s="238" t="str">
        <f t="shared" si="6"/>
        <v/>
      </c>
      <c r="P914" s="237" t="str">
        <f>IFERROR(__xludf.DUMMYFUNCTION("IF(ISBLANK(H914),,IF(IFNA(MATCH(H914,SPLIT(Circuits!$S$2,"";""&amp;CHAR(10)),0),0),FALSE,TRUE))"),"")</f>
        <v/>
      </c>
      <c r="Q914" s="237" t="str">
        <f>IF(ISBLANK(H914),,IFNA(VLOOKUP(H914, Circuits!A:U, 21, FALSE),))</f>
        <v/>
      </c>
      <c r="R914" s="238" t="str">
        <f t="shared" si="7"/>
        <v/>
      </c>
      <c r="S914" s="237" t="str">
        <f>IF(ISBLANK(H914),,IFNA(VLOOKUP(H914, Circuits!A:V, 22, FALSE),))</f>
        <v/>
      </c>
      <c r="T914" s="237" t="str">
        <f>IF(ISBLANK(H914),,IFNA(VLOOKUP(H914, Circuits!A:X, 24, FALSE),))</f>
        <v/>
      </c>
      <c r="V914" s="236" t="str">
        <f>IFERROR(__xludf.DUMMYFUNCTION("IF(ISBLANK(H914),,JOIN("","",H914:T914))"),"")</f>
        <v/>
      </c>
      <c r="W914" s="229" t="str">
        <f t="shared" si="1"/>
        <v/>
      </c>
    </row>
    <row r="915">
      <c r="H915" s="237"/>
      <c r="I915" s="237" t="str">
        <f>IFERROR(__xludf.DUMMYFUNCTION("IF(ISBLANK(H915),,IFNA(""""""""&amp;JOIN("","",INDEX(FILTER(A:D,A:A=H915),0,4))&amp;"""""""",))"),"")</f>
        <v/>
      </c>
      <c r="J915" s="237" t="str">
        <f>IF(ISBLANK(H915),,IFNA(VLOOKUP(H915, Circuits!A:W, 23, FALSE),))</f>
        <v/>
      </c>
      <c r="K915" s="238" t="str">
        <f t="shared" si="2"/>
        <v/>
      </c>
      <c r="L915" s="238" t="str">
        <f t="shared" si="3"/>
        <v/>
      </c>
      <c r="M915" s="238" t="str">
        <f t="shared" si="4"/>
        <v/>
      </c>
      <c r="N915" s="238" t="str">
        <f t="shared" si="5"/>
        <v/>
      </c>
      <c r="O915" s="238" t="str">
        <f t="shared" si="6"/>
        <v/>
      </c>
      <c r="P915" s="237" t="str">
        <f>IFERROR(__xludf.DUMMYFUNCTION("IF(ISBLANK(H915),,IF(IFNA(MATCH(H915,SPLIT(Circuits!$S$2,"";""&amp;CHAR(10)),0),0),FALSE,TRUE))"),"")</f>
        <v/>
      </c>
      <c r="Q915" s="237" t="str">
        <f>IF(ISBLANK(H915),,IFNA(VLOOKUP(H915, Circuits!A:U, 21, FALSE),))</f>
        <v/>
      </c>
      <c r="R915" s="238" t="str">
        <f t="shared" si="7"/>
        <v/>
      </c>
      <c r="S915" s="237" t="str">
        <f>IF(ISBLANK(H915),,IFNA(VLOOKUP(H915, Circuits!A:V, 22, FALSE),))</f>
        <v/>
      </c>
      <c r="T915" s="237" t="str">
        <f>IF(ISBLANK(H915),,IFNA(VLOOKUP(H915, Circuits!A:X, 24, FALSE),))</f>
        <v/>
      </c>
      <c r="V915" s="236" t="str">
        <f>IFERROR(__xludf.DUMMYFUNCTION("IF(ISBLANK(H915),,JOIN("","",H915:T915))"),"")</f>
        <v/>
      </c>
      <c r="W915" s="229" t="str">
        <f t="shared" si="1"/>
        <v/>
      </c>
    </row>
    <row r="916">
      <c r="H916" s="237"/>
      <c r="I916" s="237" t="str">
        <f>IFERROR(__xludf.DUMMYFUNCTION("IF(ISBLANK(H916),,IFNA(""""""""&amp;JOIN("","",INDEX(FILTER(A:D,A:A=H916),0,4))&amp;"""""""",))"),"")</f>
        <v/>
      </c>
      <c r="J916" s="237" t="str">
        <f>IF(ISBLANK(H916),,IFNA(VLOOKUP(H916, Circuits!A:W, 23, FALSE),))</f>
        <v/>
      </c>
      <c r="K916" s="238" t="str">
        <f t="shared" si="2"/>
        <v/>
      </c>
      <c r="L916" s="238" t="str">
        <f t="shared" si="3"/>
        <v/>
      </c>
      <c r="M916" s="238" t="str">
        <f t="shared" si="4"/>
        <v/>
      </c>
      <c r="N916" s="238" t="str">
        <f t="shared" si="5"/>
        <v/>
      </c>
      <c r="O916" s="238" t="str">
        <f t="shared" si="6"/>
        <v/>
      </c>
      <c r="P916" s="237" t="str">
        <f>IFERROR(__xludf.DUMMYFUNCTION("IF(ISBLANK(H916),,IF(IFNA(MATCH(H916,SPLIT(Circuits!$S$2,"";""&amp;CHAR(10)),0),0),FALSE,TRUE))"),"")</f>
        <v/>
      </c>
      <c r="Q916" s="237" t="str">
        <f>IF(ISBLANK(H916),,IFNA(VLOOKUP(H916, Circuits!A:U, 21, FALSE),))</f>
        <v/>
      </c>
      <c r="R916" s="238" t="str">
        <f t="shared" si="7"/>
        <v/>
      </c>
      <c r="S916" s="237" t="str">
        <f>IF(ISBLANK(H916),,IFNA(VLOOKUP(H916, Circuits!A:V, 22, FALSE),))</f>
        <v/>
      </c>
      <c r="T916" s="237" t="str">
        <f>IF(ISBLANK(H916),,IFNA(VLOOKUP(H916, Circuits!A:X, 24, FALSE),))</f>
        <v/>
      </c>
      <c r="V916" s="236" t="str">
        <f>IFERROR(__xludf.DUMMYFUNCTION("IF(ISBLANK(H916),,JOIN("","",H916:T916))"),"")</f>
        <v/>
      </c>
      <c r="W916" s="229" t="str">
        <f t="shared" si="1"/>
        <v/>
      </c>
    </row>
    <row r="917">
      <c r="H917" s="237"/>
      <c r="I917" s="237" t="str">
        <f>IFERROR(__xludf.DUMMYFUNCTION("IF(ISBLANK(H917),,IFNA(""""""""&amp;JOIN("","",INDEX(FILTER(A:D,A:A=H917),0,4))&amp;"""""""",))"),"")</f>
        <v/>
      </c>
      <c r="J917" s="237" t="str">
        <f>IF(ISBLANK(H917),,IFNA(VLOOKUP(H917, Circuits!A:W, 23, FALSE),))</f>
        <v/>
      </c>
      <c r="K917" s="238" t="str">
        <f t="shared" si="2"/>
        <v/>
      </c>
      <c r="L917" s="238" t="str">
        <f t="shared" si="3"/>
        <v/>
      </c>
      <c r="M917" s="238" t="str">
        <f t="shared" si="4"/>
        <v/>
      </c>
      <c r="N917" s="238" t="str">
        <f t="shared" si="5"/>
        <v/>
      </c>
      <c r="O917" s="238" t="str">
        <f t="shared" si="6"/>
        <v/>
      </c>
      <c r="P917" s="237" t="str">
        <f>IFERROR(__xludf.DUMMYFUNCTION("IF(ISBLANK(H917),,IF(IFNA(MATCH(H917,SPLIT(Circuits!$S$2,"";""&amp;CHAR(10)),0),0),FALSE,TRUE))"),"")</f>
        <v/>
      </c>
      <c r="Q917" s="237" t="str">
        <f>IF(ISBLANK(H917),,IFNA(VLOOKUP(H917, Circuits!A:U, 21, FALSE),))</f>
        <v/>
      </c>
      <c r="R917" s="238" t="str">
        <f t="shared" si="7"/>
        <v/>
      </c>
      <c r="S917" s="237" t="str">
        <f>IF(ISBLANK(H917),,IFNA(VLOOKUP(H917, Circuits!A:V, 22, FALSE),))</f>
        <v/>
      </c>
      <c r="T917" s="237" t="str">
        <f>IF(ISBLANK(H917),,IFNA(VLOOKUP(H917, Circuits!A:X, 24, FALSE),))</f>
        <v/>
      </c>
      <c r="V917" s="236" t="str">
        <f>IFERROR(__xludf.DUMMYFUNCTION("IF(ISBLANK(H917),,JOIN("","",H917:T917))"),"")</f>
        <v/>
      </c>
      <c r="W917" s="229" t="str">
        <f t="shared" si="1"/>
        <v/>
      </c>
    </row>
    <row r="918">
      <c r="H918" s="237"/>
      <c r="I918" s="237" t="str">
        <f>IFERROR(__xludf.DUMMYFUNCTION("IF(ISBLANK(H918),,IFNA(""""""""&amp;JOIN("","",INDEX(FILTER(A:D,A:A=H918),0,4))&amp;"""""""",))"),"")</f>
        <v/>
      </c>
      <c r="J918" s="237" t="str">
        <f>IF(ISBLANK(H918),,IFNA(VLOOKUP(H918, Circuits!A:W, 23, FALSE),))</f>
        <v/>
      </c>
      <c r="K918" s="238" t="str">
        <f t="shared" si="2"/>
        <v/>
      </c>
      <c r="L918" s="238" t="str">
        <f t="shared" si="3"/>
        <v/>
      </c>
      <c r="M918" s="238" t="str">
        <f t="shared" si="4"/>
        <v/>
      </c>
      <c r="N918" s="238" t="str">
        <f t="shared" si="5"/>
        <v/>
      </c>
      <c r="O918" s="238" t="str">
        <f t="shared" si="6"/>
        <v/>
      </c>
      <c r="P918" s="237" t="str">
        <f>IFERROR(__xludf.DUMMYFUNCTION("IF(ISBLANK(H918),,IF(IFNA(MATCH(H918,SPLIT(Circuits!$S$2,"";""&amp;CHAR(10)),0),0),FALSE,TRUE))"),"")</f>
        <v/>
      </c>
      <c r="Q918" s="237" t="str">
        <f>IF(ISBLANK(H918),,IFNA(VLOOKUP(H918, Circuits!A:U, 21, FALSE),))</f>
        <v/>
      </c>
      <c r="R918" s="238" t="str">
        <f t="shared" si="7"/>
        <v/>
      </c>
      <c r="S918" s="237" t="str">
        <f>IF(ISBLANK(H918),,IFNA(VLOOKUP(H918, Circuits!A:V, 22, FALSE),))</f>
        <v/>
      </c>
      <c r="T918" s="237" t="str">
        <f>IF(ISBLANK(H918),,IFNA(VLOOKUP(H918, Circuits!A:X, 24, FALSE),))</f>
        <v/>
      </c>
      <c r="V918" s="236" t="str">
        <f>IFERROR(__xludf.DUMMYFUNCTION("IF(ISBLANK(H918),,JOIN("","",H918:T918))"),"")</f>
        <v/>
      </c>
      <c r="W918" s="229" t="str">
        <f t="shared" si="1"/>
        <v/>
      </c>
    </row>
    <row r="919">
      <c r="H919" s="237"/>
      <c r="I919" s="237" t="str">
        <f>IFERROR(__xludf.DUMMYFUNCTION("IF(ISBLANK(H919),,IFNA(""""""""&amp;JOIN("","",INDEX(FILTER(A:D,A:A=H919),0,4))&amp;"""""""",))"),"")</f>
        <v/>
      </c>
      <c r="J919" s="237" t="str">
        <f>IF(ISBLANK(H919),,IFNA(VLOOKUP(H919, Circuits!A:W, 23, FALSE),))</f>
        <v/>
      </c>
      <c r="K919" s="238" t="str">
        <f t="shared" si="2"/>
        <v/>
      </c>
      <c r="L919" s="238" t="str">
        <f t="shared" si="3"/>
        <v/>
      </c>
      <c r="M919" s="238" t="str">
        <f t="shared" si="4"/>
        <v/>
      </c>
      <c r="N919" s="238" t="str">
        <f t="shared" si="5"/>
        <v/>
      </c>
      <c r="O919" s="238" t="str">
        <f t="shared" si="6"/>
        <v/>
      </c>
      <c r="P919" s="237" t="str">
        <f>IFERROR(__xludf.DUMMYFUNCTION("IF(ISBLANK(H919),,IF(IFNA(MATCH(H919,SPLIT(Circuits!$S$2,"";""&amp;CHAR(10)),0),0),FALSE,TRUE))"),"")</f>
        <v/>
      </c>
      <c r="Q919" s="237" t="str">
        <f>IF(ISBLANK(H919),,IFNA(VLOOKUP(H919, Circuits!A:U, 21, FALSE),))</f>
        <v/>
      </c>
      <c r="R919" s="238" t="str">
        <f t="shared" si="7"/>
        <v/>
      </c>
      <c r="S919" s="237" t="str">
        <f>IF(ISBLANK(H919),,IFNA(VLOOKUP(H919, Circuits!A:V, 22, FALSE),))</f>
        <v/>
      </c>
      <c r="T919" s="237" t="str">
        <f>IF(ISBLANK(H919),,IFNA(VLOOKUP(H919, Circuits!A:X, 24, FALSE),))</f>
        <v/>
      </c>
      <c r="V919" s="236" t="str">
        <f>IFERROR(__xludf.DUMMYFUNCTION("IF(ISBLANK(H919),,JOIN("","",H919:T919))"),"")</f>
        <v/>
      </c>
      <c r="W919" s="229" t="str">
        <f t="shared" si="1"/>
        <v/>
      </c>
    </row>
    <row r="920">
      <c r="H920" s="237"/>
      <c r="I920" s="237" t="str">
        <f>IFERROR(__xludf.DUMMYFUNCTION("IF(ISBLANK(H920),,IFNA(""""""""&amp;JOIN("","",INDEX(FILTER(A:D,A:A=H920),0,4))&amp;"""""""",))"),"")</f>
        <v/>
      </c>
      <c r="J920" s="237" t="str">
        <f>IF(ISBLANK(H920),,IFNA(VLOOKUP(H920, Circuits!A:W, 23, FALSE),))</f>
        <v/>
      </c>
      <c r="K920" s="238" t="str">
        <f t="shared" si="2"/>
        <v/>
      </c>
      <c r="L920" s="238" t="str">
        <f t="shared" si="3"/>
        <v/>
      </c>
      <c r="M920" s="238" t="str">
        <f t="shared" si="4"/>
        <v/>
      </c>
      <c r="N920" s="238" t="str">
        <f t="shared" si="5"/>
        <v/>
      </c>
      <c r="O920" s="238" t="str">
        <f t="shared" si="6"/>
        <v/>
      </c>
      <c r="P920" s="237" t="str">
        <f>IFERROR(__xludf.DUMMYFUNCTION("IF(ISBLANK(H920),,IF(IFNA(MATCH(H920,SPLIT(Circuits!$S$2,"";""&amp;CHAR(10)),0),0),FALSE,TRUE))"),"")</f>
        <v/>
      </c>
      <c r="Q920" s="237" t="str">
        <f>IF(ISBLANK(H920),,IFNA(VLOOKUP(H920, Circuits!A:U, 21, FALSE),))</f>
        <v/>
      </c>
      <c r="R920" s="238" t="str">
        <f t="shared" si="7"/>
        <v/>
      </c>
      <c r="S920" s="237" t="str">
        <f>IF(ISBLANK(H920),,IFNA(VLOOKUP(H920, Circuits!A:V, 22, FALSE),))</f>
        <v/>
      </c>
      <c r="T920" s="237" t="str">
        <f>IF(ISBLANK(H920),,IFNA(VLOOKUP(H920, Circuits!A:X, 24, FALSE),))</f>
        <v/>
      </c>
      <c r="V920" s="236" t="str">
        <f>IFERROR(__xludf.DUMMYFUNCTION("IF(ISBLANK(H920),,JOIN("","",H920:T920))"),"")</f>
        <v/>
      </c>
      <c r="W920" s="229" t="str">
        <f t="shared" si="1"/>
        <v/>
      </c>
    </row>
    <row r="921">
      <c r="H921" s="237"/>
      <c r="I921" s="237" t="str">
        <f>IFERROR(__xludf.DUMMYFUNCTION("IF(ISBLANK(H921),,IFNA(""""""""&amp;JOIN("","",INDEX(FILTER(A:D,A:A=H921),0,4))&amp;"""""""",))"),"")</f>
        <v/>
      </c>
      <c r="J921" s="237" t="str">
        <f>IF(ISBLANK(H921),,IFNA(VLOOKUP(H921, Circuits!A:W, 23, FALSE),))</f>
        <v/>
      </c>
      <c r="K921" s="238" t="str">
        <f t="shared" si="2"/>
        <v/>
      </c>
      <c r="L921" s="238" t="str">
        <f t="shared" si="3"/>
        <v/>
      </c>
      <c r="M921" s="238" t="str">
        <f t="shared" si="4"/>
        <v/>
      </c>
      <c r="N921" s="238" t="str">
        <f t="shared" si="5"/>
        <v/>
      </c>
      <c r="O921" s="238" t="str">
        <f t="shared" si="6"/>
        <v/>
      </c>
      <c r="P921" s="237" t="str">
        <f>IFERROR(__xludf.DUMMYFUNCTION("IF(ISBLANK(H921),,IF(IFNA(MATCH(H921,SPLIT(Circuits!$S$2,"";""&amp;CHAR(10)),0),0),FALSE,TRUE))"),"")</f>
        <v/>
      </c>
      <c r="Q921" s="237" t="str">
        <f>IF(ISBLANK(H921),,IFNA(VLOOKUP(H921, Circuits!A:U, 21, FALSE),))</f>
        <v/>
      </c>
      <c r="R921" s="238" t="str">
        <f t="shared" si="7"/>
        <v/>
      </c>
      <c r="S921" s="237" t="str">
        <f>IF(ISBLANK(H921),,IFNA(VLOOKUP(H921, Circuits!A:V, 22, FALSE),))</f>
        <v/>
      </c>
      <c r="T921" s="237" t="str">
        <f>IF(ISBLANK(H921),,IFNA(VLOOKUP(H921, Circuits!A:X, 24, FALSE),))</f>
        <v/>
      </c>
      <c r="V921" s="236" t="str">
        <f>IFERROR(__xludf.DUMMYFUNCTION("IF(ISBLANK(H921),,JOIN("","",H921:T921))"),"")</f>
        <v/>
      </c>
      <c r="W921" s="229" t="str">
        <f t="shared" si="1"/>
        <v/>
      </c>
    </row>
    <row r="922">
      <c r="H922" s="237"/>
      <c r="I922" s="237" t="str">
        <f>IFERROR(__xludf.DUMMYFUNCTION("IF(ISBLANK(H922),,IFNA(""""""""&amp;JOIN("","",INDEX(FILTER(A:D,A:A=H922),0,4))&amp;"""""""",))"),"")</f>
        <v/>
      </c>
      <c r="J922" s="237" t="str">
        <f>IF(ISBLANK(H922),,IFNA(VLOOKUP(H922, Circuits!A:W, 23, FALSE),))</f>
        <v/>
      </c>
      <c r="K922" s="238" t="str">
        <f t="shared" si="2"/>
        <v/>
      </c>
      <c r="L922" s="238" t="str">
        <f t="shared" si="3"/>
        <v/>
      </c>
      <c r="M922" s="238" t="str">
        <f t="shared" si="4"/>
        <v/>
      </c>
      <c r="N922" s="238" t="str">
        <f t="shared" si="5"/>
        <v/>
      </c>
      <c r="O922" s="238" t="str">
        <f t="shared" si="6"/>
        <v/>
      </c>
      <c r="P922" s="237" t="str">
        <f>IFERROR(__xludf.DUMMYFUNCTION("IF(ISBLANK(H922),,IF(IFNA(MATCH(H922,SPLIT(Circuits!$S$2,"";""&amp;CHAR(10)),0),0),FALSE,TRUE))"),"")</f>
        <v/>
      </c>
      <c r="Q922" s="237" t="str">
        <f>IF(ISBLANK(H922),,IFNA(VLOOKUP(H922, Circuits!A:U, 21, FALSE),))</f>
        <v/>
      </c>
      <c r="R922" s="238" t="str">
        <f t="shared" si="7"/>
        <v/>
      </c>
      <c r="S922" s="237" t="str">
        <f>IF(ISBLANK(H922),,IFNA(VLOOKUP(H922, Circuits!A:V, 22, FALSE),))</f>
        <v/>
      </c>
      <c r="T922" s="237" t="str">
        <f>IF(ISBLANK(H922),,IFNA(VLOOKUP(H922, Circuits!A:X, 24, FALSE),))</f>
        <v/>
      </c>
      <c r="V922" s="236" t="str">
        <f>IFERROR(__xludf.DUMMYFUNCTION("IF(ISBLANK(H922),,JOIN("","",H922:T922))"),"")</f>
        <v/>
      </c>
      <c r="W922" s="229" t="str">
        <f t="shared" si="1"/>
        <v/>
      </c>
    </row>
    <row r="923">
      <c r="H923" s="237"/>
      <c r="I923" s="237" t="str">
        <f>IFERROR(__xludf.DUMMYFUNCTION("IF(ISBLANK(H923),,IFNA(""""""""&amp;JOIN("","",INDEX(FILTER(A:D,A:A=H923),0,4))&amp;"""""""",))"),"")</f>
        <v/>
      </c>
      <c r="J923" s="237" t="str">
        <f>IF(ISBLANK(H923),,IFNA(VLOOKUP(H923, Circuits!A:W, 23, FALSE),))</f>
        <v/>
      </c>
      <c r="K923" s="238" t="str">
        <f t="shared" si="2"/>
        <v/>
      </c>
      <c r="L923" s="238" t="str">
        <f t="shared" si="3"/>
        <v/>
      </c>
      <c r="M923" s="238" t="str">
        <f t="shared" si="4"/>
        <v/>
      </c>
      <c r="N923" s="238" t="str">
        <f t="shared" si="5"/>
        <v/>
      </c>
      <c r="O923" s="238" t="str">
        <f t="shared" si="6"/>
        <v/>
      </c>
      <c r="P923" s="237" t="str">
        <f>IFERROR(__xludf.DUMMYFUNCTION("IF(ISBLANK(H923),,IF(IFNA(MATCH(H923,SPLIT(Circuits!$S$2,"";""&amp;CHAR(10)),0),0),FALSE,TRUE))"),"")</f>
        <v/>
      </c>
      <c r="Q923" s="237" t="str">
        <f>IF(ISBLANK(H923),,IFNA(VLOOKUP(H923, Circuits!A:U, 21, FALSE),))</f>
        <v/>
      </c>
      <c r="R923" s="238" t="str">
        <f t="shared" si="7"/>
        <v/>
      </c>
      <c r="S923" s="237" t="str">
        <f>IF(ISBLANK(H923),,IFNA(VLOOKUP(H923, Circuits!A:V, 22, FALSE),))</f>
        <v/>
      </c>
      <c r="T923" s="237" t="str">
        <f>IF(ISBLANK(H923),,IFNA(VLOOKUP(H923, Circuits!A:X, 24, FALSE),))</f>
        <v/>
      </c>
      <c r="V923" s="236" t="str">
        <f>IFERROR(__xludf.DUMMYFUNCTION("IF(ISBLANK(H923),,JOIN("","",H923:T923))"),"")</f>
        <v/>
      </c>
      <c r="W923" s="229" t="str">
        <f t="shared" si="1"/>
        <v/>
      </c>
    </row>
    <row r="924">
      <c r="H924" s="237"/>
      <c r="I924" s="237" t="str">
        <f>IFERROR(__xludf.DUMMYFUNCTION("IF(ISBLANK(H924),,IFNA(""""""""&amp;JOIN("","",INDEX(FILTER(A:D,A:A=H924),0,4))&amp;"""""""",))"),"")</f>
        <v/>
      </c>
      <c r="J924" s="237" t="str">
        <f>IF(ISBLANK(H924),,IFNA(VLOOKUP(H924, Circuits!A:W, 23, FALSE),))</f>
        <v/>
      </c>
      <c r="K924" s="238" t="str">
        <f t="shared" si="2"/>
        <v/>
      </c>
      <c r="L924" s="238" t="str">
        <f t="shared" si="3"/>
        <v/>
      </c>
      <c r="M924" s="238" t="str">
        <f t="shared" si="4"/>
        <v/>
      </c>
      <c r="N924" s="238" t="str">
        <f t="shared" si="5"/>
        <v/>
      </c>
      <c r="O924" s="238" t="str">
        <f t="shared" si="6"/>
        <v/>
      </c>
      <c r="P924" s="237" t="str">
        <f>IFERROR(__xludf.DUMMYFUNCTION("IF(ISBLANK(H924),,IF(IFNA(MATCH(H924,SPLIT(Circuits!$S$2,"";""&amp;CHAR(10)),0),0),FALSE,TRUE))"),"")</f>
        <v/>
      </c>
      <c r="Q924" s="237" t="str">
        <f>IF(ISBLANK(H924),,IFNA(VLOOKUP(H924, Circuits!A:U, 21, FALSE),))</f>
        <v/>
      </c>
      <c r="R924" s="238" t="str">
        <f t="shared" si="7"/>
        <v/>
      </c>
      <c r="S924" s="237" t="str">
        <f>IF(ISBLANK(H924),,IFNA(VLOOKUP(H924, Circuits!A:V, 22, FALSE),))</f>
        <v/>
      </c>
      <c r="T924" s="237" t="str">
        <f>IF(ISBLANK(H924),,IFNA(VLOOKUP(H924, Circuits!A:X, 24, FALSE),))</f>
        <v/>
      </c>
      <c r="V924" s="236" t="str">
        <f>IFERROR(__xludf.DUMMYFUNCTION("IF(ISBLANK(H924),,JOIN("","",H924:T924))"),"")</f>
        <v/>
      </c>
      <c r="W924" s="229" t="str">
        <f t="shared" si="1"/>
        <v/>
      </c>
    </row>
    <row r="925">
      <c r="H925" s="237"/>
      <c r="I925" s="237" t="str">
        <f>IFERROR(__xludf.DUMMYFUNCTION("IF(ISBLANK(H925),,IFNA(""""""""&amp;JOIN("","",INDEX(FILTER(A:D,A:A=H925),0,4))&amp;"""""""",))"),"")</f>
        <v/>
      </c>
      <c r="J925" s="237" t="str">
        <f>IF(ISBLANK(H925),,IFNA(VLOOKUP(H925, Circuits!A:W, 23, FALSE),))</f>
        <v/>
      </c>
      <c r="K925" s="238" t="str">
        <f t="shared" si="2"/>
        <v/>
      </c>
      <c r="L925" s="238" t="str">
        <f t="shared" si="3"/>
        <v/>
      </c>
      <c r="M925" s="238" t="str">
        <f t="shared" si="4"/>
        <v/>
      </c>
      <c r="N925" s="238" t="str">
        <f t="shared" si="5"/>
        <v/>
      </c>
      <c r="O925" s="238" t="str">
        <f t="shared" si="6"/>
        <v/>
      </c>
      <c r="P925" s="237" t="str">
        <f>IFERROR(__xludf.DUMMYFUNCTION("IF(ISBLANK(H925),,IF(IFNA(MATCH(H925,SPLIT(Circuits!$S$2,"";""&amp;CHAR(10)),0),0),FALSE,TRUE))"),"")</f>
        <v/>
      </c>
      <c r="Q925" s="237" t="str">
        <f>IF(ISBLANK(H925),,IFNA(VLOOKUP(H925, Circuits!A:U, 21, FALSE),))</f>
        <v/>
      </c>
      <c r="R925" s="238" t="str">
        <f t="shared" si="7"/>
        <v/>
      </c>
      <c r="S925" s="237" t="str">
        <f>IF(ISBLANK(H925),,IFNA(VLOOKUP(H925, Circuits!A:V, 22, FALSE),))</f>
        <v/>
      </c>
      <c r="T925" s="237" t="str">
        <f>IF(ISBLANK(H925),,IFNA(VLOOKUP(H925, Circuits!A:X, 24, FALSE),))</f>
        <v/>
      </c>
      <c r="V925" s="236" t="str">
        <f>IFERROR(__xludf.DUMMYFUNCTION("IF(ISBLANK(H925),,JOIN("","",H925:T925))"),"")</f>
        <v/>
      </c>
      <c r="W925" s="229" t="str">
        <f t="shared" si="1"/>
        <v/>
      </c>
    </row>
    <row r="926">
      <c r="H926" s="237"/>
      <c r="I926" s="237" t="str">
        <f>IFERROR(__xludf.DUMMYFUNCTION("IF(ISBLANK(H926),,IFNA(""""""""&amp;JOIN("","",INDEX(FILTER(A:D,A:A=H926),0,4))&amp;"""""""",))"),"")</f>
        <v/>
      </c>
      <c r="J926" s="237" t="str">
        <f>IF(ISBLANK(H926),,IFNA(VLOOKUP(H926, Circuits!A:W, 23, FALSE),))</f>
        <v/>
      </c>
      <c r="K926" s="238" t="str">
        <f t="shared" si="2"/>
        <v/>
      </c>
      <c r="L926" s="238" t="str">
        <f t="shared" si="3"/>
        <v/>
      </c>
      <c r="M926" s="238" t="str">
        <f t="shared" si="4"/>
        <v/>
      </c>
      <c r="N926" s="238" t="str">
        <f t="shared" si="5"/>
        <v/>
      </c>
      <c r="O926" s="238" t="str">
        <f t="shared" si="6"/>
        <v/>
      </c>
      <c r="P926" s="237" t="str">
        <f>IFERROR(__xludf.DUMMYFUNCTION("IF(ISBLANK(H926),,IF(IFNA(MATCH(H926,SPLIT(Circuits!$S$2,"";""&amp;CHAR(10)),0),0),FALSE,TRUE))"),"")</f>
        <v/>
      </c>
      <c r="Q926" s="237" t="str">
        <f>IF(ISBLANK(H926),,IFNA(VLOOKUP(H926, Circuits!A:U, 21, FALSE),))</f>
        <v/>
      </c>
      <c r="R926" s="238" t="str">
        <f t="shared" si="7"/>
        <v/>
      </c>
      <c r="S926" s="237" t="str">
        <f>IF(ISBLANK(H926),,IFNA(VLOOKUP(H926, Circuits!A:V, 22, FALSE),))</f>
        <v/>
      </c>
      <c r="T926" s="237" t="str">
        <f>IF(ISBLANK(H926),,IFNA(VLOOKUP(H926, Circuits!A:X, 24, FALSE),))</f>
        <v/>
      </c>
      <c r="V926" s="236" t="str">
        <f>IFERROR(__xludf.DUMMYFUNCTION("IF(ISBLANK(H926),,JOIN("","",H926:T926))"),"")</f>
        <v/>
      </c>
      <c r="W926" s="229" t="str">
        <f t="shared" si="1"/>
        <v/>
      </c>
    </row>
    <row r="927">
      <c r="H927" s="237"/>
      <c r="I927" s="237" t="str">
        <f>IFERROR(__xludf.DUMMYFUNCTION("IF(ISBLANK(H927),,IFNA(""""""""&amp;JOIN("","",INDEX(FILTER(A:D,A:A=H927),0,4))&amp;"""""""",))"),"")</f>
        <v/>
      </c>
      <c r="J927" s="237" t="str">
        <f>IF(ISBLANK(H927),,IFNA(VLOOKUP(H927, Circuits!A:W, 23, FALSE),))</f>
        <v/>
      </c>
      <c r="K927" s="238" t="str">
        <f t="shared" si="2"/>
        <v/>
      </c>
      <c r="L927" s="238" t="str">
        <f t="shared" si="3"/>
        <v/>
      </c>
      <c r="M927" s="238" t="str">
        <f t="shared" si="4"/>
        <v/>
      </c>
      <c r="N927" s="238" t="str">
        <f t="shared" si="5"/>
        <v/>
      </c>
      <c r="O927" s="238" t="str">
        <f t="shared" si="6"/>
        <v/>
      </c>
      <c r="P927" s="237" t="str">
        <f>IFERROR(__xludf.DUMMYFUNCTION("IF(ISBLANK(H927),,IF(IFNA(MATCH(H927,SPLIT(Circuits!$S$2,"";""&amp;CHAR(10)),0),0),FALSE,TRUE))"),"")</f>
        <v/>
      </c>
      <c r="Q927" s="237" t="str">
        <f>IF(ISBLANK(H927),,IFNA(VLOOKUP(H927, Circuits!A:U, 21, FALSE),))</f>
        <v/>
      </c>
      <c r="R927" s="238" t="str">
        <f t="shared" si="7"/>
        <v/>
      </c>
      <c r="S927" s="237" t="str">
        <f>IF(ISBLANK(H927),,IFNA(VLOOKUP(H927, Circuits!A:V, 22, FALSE),))</f>
        <v/>
      </c>
      <c r="T927" s="237" t="str">
        <f>IF(ISBLANK(H927),,IFNA(VLOOKUP(H927, Circuits!A:X, 24, FALSE),))</f>
        <v/>
      </c>
      <c r="V927" s="236" t="str">
        <f>IFERROR(__xludf.DUMMYFUNCTION("IF(ISBLANK(H927),,JOIN("","",H927:T927))"),"")</f>
        <v/>
      </c>
      <c r="W927" s="229" t="str">
        <f t="shared" si="1"/>
        <v/>
      </c>
    </row>
    <row r="928">
      <c r="H928" s="237"/>
      <c r="I928" s="237" t="str">
        <f>IFERROR(__xludf.DUMMYFUNCTION("IF(ISBLANK(H928),,IFNA(""""""""&amp;JOIN("","",INDEX(FILTER(A:D,A:A=H928),0,4))&amp;"""""""",))"),"")</f>
        <v/>
      </c>
      <c r="J928" s="237" t="str">
        <f>IF(ISBLANK(H928),,IFNA(VLOOKUP(H928, Circuits!A:W, 23, FALSE),))</f>
        <v/>
      </c>
      <c r="K928" s="238" t="str">
        <f t="shared" si="2"/>
        <v/>
      </c>
      <c r="L928" s="238" t="str">
        <f t="shared" si="3"/>
        <v/>
      </c>
      <c r="M928" s="238" t="str">
        <f t="shared" si="4"/>
        <v/>
      </c>
      <c r="N928" s="238" t="str">
        <f t="shared" si="5"/>
        <v/>
      </c>
      <c r="O928" s="238" t="str">
        <f t="shared" si="6"/>
        <v/>
      </c>
      <c r="P928" s="237" t="str">
        <f>IFERROR(__xludf.DUMMYFUNCTION("IF(ISBLANK(H928),,IF(IFNA(MATCH(H928,SPLIT(Circuits!$S$2,"";""&amp;CHAR(10)),0),0),FALSE,TRUE))"),"")</f>
        <v/>
      </c>
      <c r="Q928" s="237" t="str">
        <f>IF(ISBLANK(H928),,IFNA(VLOOKUP(H928, Circuits!A:U, 21, FALSE),))</f>
        <v/>
      </c>
      <c r="R928" s="238" t="str">
        <f t="shared" si="7"/>
        <v/>
      </c>
      <c r="S928" s="237" t="str">
        <f>IF(ISBLANK(H928),,IFNA(VLOOKUP(H928, Circuits!A:V, 22, FALSE),))</f>
        <v/>
      </c>
      <c r="T928" s="237" t="str">
        <f>IF(ISBLANK(H928),,IFNA(VLOOKUP(H928, Circuits!A:X, 24, FALSE),))</f>
        <v/>
      </c>
      <c r="V928" s="236" t="str">
        <f>IFERROR(__xludf.DUMMYFUNCTION("IF(ISBLANK(H928),,JOIN("","",H928:T928))"),"")</f>
        <v/>
      </c>
      <c r="W928" s="229" t="str">
        <f t="shared" si="1"/>
        <v/>
      </c>
    </row>
    <row r="929">
      <c r="H929" s="237"/>
      <c r="I929" s="237" t="str">
        <f>IFERROR(__xludf.DUMMYFUNCTION("IF(ISBLANK(H929),,IFNA(""""""""&amp;JOIN("","",INDEX(FILTER(A:D,A:A=H929),0,4))&amp;"""""""",))"),"")</f>
        <v/>
      </c>
      <c r="J929" s="237" t="str">
        <f>IF(ISBLANK(H929),,IFNA(VLOOKUP(H929, Circuits!A:W, 23, FALSE),))</f>
        <v/>
      </c>
      <c r="K929" s="238" t="str">
        <f t="shared" si="2"/>
        <v/>
      </c>
      <c r="L929" s="238" t="str">
        <f t="shared" si="3"/>
        <v/>
      </c>
      <c r="M929" s="238" t="str">
        <f t="shared" si="4"/>
        <v/>
      </c>
      <c r="N929" s="238" t="str">
        <f t="shared" si="5"/>
        <v/>
      </c>
      <c r="O929" s="238" t="str">
        <f t="shared" si="6"/>
        <v/>
      </c>
      <c r="P929" s="237" t="str">
        <f>IFERROR(__xludf.DUMMYFUNCTION("IF(ISBLANK(H929),,IF(IFNA(MATCH(H929,SPLIT(Circuits!$S$2,"";""&amp;CHAR(10)),0),0),FALSE,TRUE))"),"")</f>
        <v/>
      </c>
      <c r="Q929" s="237" t="str">
        <f>IF(ISBLANK(H929),,IFNA(VLOOKUP(H929, Circuits!A:U, 21, FALSE),))</f>
        <v/>
      </c>
      <c r="R929" s="238" t="str">
        <f t="shared" si="7"/>
        <v/>
      </c>
      <c r="S929" s="237" t="str">
        <f>IF(ISBLANK(H929),,IFNA(VLOOKUP(H929, Circuits!A:V, 22, FALSE),))</f>
        <v/>
      </c>
      <c r="T929" s="237" t="str">
        <f>IF(ISBLANK(H929),,IFNA(VLOOKUP(H929, Circuits!A:X, 24, FALSE),))</f>
        <v/>
      </c>
      <c r="V929" s="236" t="str">
        <f>IFERROR(__xludf.DUMMYFUNCTION("IF(ISBLANK(H929),,JOIN("","",H929:T929))"),"")</f>
        <v/>
      </c>
      <c r="W929" s="229" t="str">
        <f t="shared" si="1"/>
        <v/>
      </c>
    </row>
    <row r="930">
      <c r="H930" s="237"/>
      <c r="I930" s="237" t="str">
        <f>IFERROR(__xludf.DUMMYFUNCTION("IF(ISBLANK(H930),,IFNA(""""""""&amp;JOIN("","",INDEX(FILTER(A:D,A:A=H930),0,4))&amp;"""""""",))"),"")</f>
        <v/>
      </c>
      <c r="J930" s="237" t="str">
        <f>IF(ISBLANK(H930),,IFNA(VLOOKUP(H930, Circuits!A:W, 23, FALSE),))</f>
        <v/>
      </c>
      <c r="K930" s="238" t="str">
        <f t="shared" si="2"/>
        <v/>
      </c>
      <c r="L930" s="238" t="str">
        <f t="shared" si="3"/>
        <v/>
      </c>
      <c r="M930" s="238" t="str">
        <f t="shared" si="4"/>
        <v/>
      </c>
      <c r="N930" s="238" t="str">
        <f t="shared" si="5"/>
        <v/>
      </c>
      <c r="O930" s="238" t="str">
        <f t="shared" si="6"/>
        <v/>
      </c>
      <c r="P930" s="237" t="str">
        <f>IFERROR(__xludf.DUMMYFUNCTION("IF(ISBLANK(H930),,IF(IFNA(MATCH(H930,SPLIT(Circuits!$S$2,"";""&amp;CHAR(10)),0),0),FALSE,TRUE))"),"")</f>
        <v/>
      </c>
      <c r="Q930" s="237" t="str">
        <f>IF(ISBLANK(H930),,IFNA(VLOOKUP(H930, Circuits!A:U, 21, FALSE),))</f>
        <v/>
      </c>
      <c r="R930" s="238" t="str">
        <f t="shared" si="7"/>
        <v/>
      </c>
      <c r="S930" s="237" t="str">
        <f>IF(ISBLANK(H930),,IFNA(VLOOKUP(H930, Circuits!A:V, 22, FALSE),))</f>
        <v/>
      </c>
      <c r="T930" s="237" t="str">
        <f>IF(ISBLANK(H930),,IFNA(VLOOKUP(H930, Circuits!A:X, 24, FALSE),))</f>
        <v/>
      </c>
      <c r="V930" s="236" t="str">
        <f>IFERROR(__xludf.DUMMYFUNCTION("IF(ISBLANK(H930),,JOIN("","",H930:T930))"),"")</f>
        <v/>
      </c>
      <c r="W930" s="229" t="str">
        <f t="shared" si="1"/>
        <v/>
      </c>
    </row>
    <row r="931">
      <c r="H931" s="237"/>
      <c r="I931" s="237" t="str">
        <f>IFERROR(__xludf.DUMMYFUNCTION("IF(ISBLANK(H931),,IFNA(""""""""&amp;JOIN("","",INDEX(FILTER(A:D,A:A=H931),0,4))&amp;"""""""",))"),"")</f>
        <v/>
      </c>
      <c r="J931" s="237" t="str">
        <f>IF(ISBLANK(H931),,IFNA(VLOOKUP(H931, Circuits!A:W, 23, FALSE),))</f>
        <v/>
      </c>
      <c r="K931" s="238" t="str">
        <f t="shared" si="2"/>
        <v/>
      </c>
      <c r="L931" s="238" t="str">
        <f t="shared" si="3"/>
        <v/>
      </c>
      <c r="M931" s="238" t="str">
        <f t="shared" si="4"/>
        <v/>
      </c>
      <c r="N931" s="238" t="str">
        <f t="shared" si="5"/>
        <v/>
      </c>
      <c r="O931" s="238" t="str">
        <f t="shared" si="6"/>
        <v/>
      </c>
      <c r="P931" s="237" t="str">
        <f>IFERROR(__xludf.DUMMYFUNCTION("IF(ISBLANK(H931),,IF(IFNA(MATCH(H931,SPLIT(Circuits!$S$2,"";""&amp;CHAR(10)),0),0),FALSE,TRUE))"),"")</f>
        <v/>
      </c>
      <c r="Q931" s="237" t="str">
        <f>IF(ISBLANK(H931),,IFNA(VLOOKUP(H931, Circuits!A:U, 21, FALSE),))</f>
        <v/>
      </c>
      <c r="R931" s="238" t="str">
        <f t="shared" si="7"/>
        <v/>
      </c>
      <c r="S931" s="237" t="str">
        <f>IF(ISBLANK(H931),,IFNA(VLOOKUP(H931, Circuits!A:V, 22, FALSE),))</f>
        <v/>
      </c>
      <c r="T931" s="237" t="str">
        <f>IF(ISBLANK(H931),,IFNA(VLOOKUP(H931, Circuits!A:X, 24, FALSE),))</f>
        <v/>
      </c>
      <c r="V931" s="236" t="str">
        <f>IFERROR(__xludf.DUMMYFUNCTION("IF(ISBLANK(H931),,JOIN("","",H931:T931))"),"")</f>
        <v/>
      </c>
      <c r="W931" s="229" t="str">
        <f t="shared" si="1"/>
        <v/>
      </c>
    </row>
    <row r="932">
      <c r="H932" s="237"/>
      <c r="I932" s="237" t="str">
        <f>IFERROR(__xludf.DUMMYFUNCTION("IF(ISBLANK(H932),,IFNA(""""""""&amp;JOIN("","",INDEX(FILTER(A:D,A:A=H932),0,4))&amp;"""""""",))"),"")</f>
        <v/>
      </c>
      <c r="J932" s="237" t="str">
        <f>IF(ISBLANK(H932),,IFNA(VLOOKUP(H932, Circuits!A:W, 23, FALSE),))</f>
        <v/>
      </c>
      <c r="K932" s="238" t="str">
        <f t="shared" si="2"/>
        <v/>
      </c>
      <c r="L932" s="238" t="str">
        <f t="shared" si="3"/>
        <v/>
      </c>
      <c r="M932" s="238" t="str">
        <f t="shared" si="4"/>
        <v/>
      </c>
      <c r="N932" s="238" t="str">
        <f t="shared" si="5"/>
        <v/>
      </c>
      <c r="O932" s="238" t="str">
        <f t="shared" si="6"/>
        <v/>
      </c>
      <c r="P932" s="237" t="str">
        <f>IFERROR(__xludf.DUMMYFUNCTION("IF(ISBLANK(H932),,IF(IFNA(MATCH(H932,SPLIT(Circuits!$S$2,"";""&amp;CHAR(10)),0),0),FALSE,TRUE))"),"")</f>
        <v/>
      </c>
      <c r="Q932" s="237" t="str">
        <f>IF(ISBLANK(H932),,IFNA(VLOOKUP(H932, Circuits!A:U, 21, FALSE),))</f>
        <v/>
      </c>
      <c r="R932" s="238" t="str">
        <f t="shared" si="7"/>
        <v/>
      </c>
      <c r="S932" s="237" t="str">
        <f>IF(ISBLANK(H932),,IFNA(VLOOKUP(H932, Circuits!A:V, 22, FALSE),))</f>
        <v/>
      </c>
      <c r="T932" s="237" t="str">
        <f>IF(ISBLANK(H932),,IFNA(VLOOKUP(H932, Circuits!A:X, 24, FALSE),))</f>
        <v/>
      </c>
      <c r="V932" s="236" t="str">
        <f>IFERROR(__xludf.DUMMYFUNCTION("IF(ISBLANK(H932),,JOIN("","",H932:T932))"),"")</f>
        <v/>
      </c>
      <c r="W932" s="229" t="str">
        <f t="shared" si="1"/>
        <v/>
      </c>
    </row>
    <row r="933">
      <c r="H933" s="237"/>
      <c r="I933" s="237" t="str">
        <f>IFERROR(__xludf.DUMMYFUNCTION("IF(ISBLANK(H933),,IFNA(""""""""&amp;JOIN("","",INDEX(FILTER(A:D,A:A=H933),0,4))&amp;"""""""",))"),"")</f>
        <v/>
      </c>
      <c r="J933" s="237" t="str">
        <f>IF(ISBLANK(H933),,IFNA(VLOOKUP(H933, Circuits!A:W, 23, FALSE),))</f>
        <v/>
      </c>
      <c r="K933" s="238" t="str">
        <f t="shared" si="2"/>
        <v/>
      </c>
      <c r="L933" s="238" t="str">
        <f t="shared" si="3"/>
        <v/>
      </c>
      <c r="M933" s="238" t="str">
        <f t="shared" si="4"/>
        <v/>
      </c>
      <c r="N933" s="238" t="str">
        <f t="shared" si="5"/>
        <v/>
      </c>
      <c r="O933" s="238" t="str">
        <f t="shared" si="6"/>
        <v/>
      </c>
      <c r="P933" s="237" t="str">
        <f>IFERROR(__xludf.DUMMYFUNCTION("IF(ISBLANK(H933),,IF(IFNA(MATCH(H933,SPLIT(Circuits!$S$2,"";""&amp;CHAR(10)),0),0),FALSE,TRUE))"),"")</f>
        <v/>
      </c>
      <c r="Q933" s="237" t="str">
        <f>IF(ISBLANK(H933),,IFNA(VLOOKUP(H933, Circuits!A:U, 21, FALSE),))</f>
        <v/>
      </c>
      <c r="R933" s="238" t="str">
        <f t="shared" si="7"/>
        <v/>
      </c>
      <c r="S933" s="237" t="str">
        <f>IF(ISBLANK(H933),,IFNA(VLOOKUP(H933, Circuits!A:V, 22, FALSE),))</f>
        <v/>
      </c>
      <c r="T933" s="237" t="str">
        <f>IF(ISBLANK(H933),,IFNA(VLOOKUP(H933, Circuits!A:X, 24, FALSE),))</f>
        <v/>
      </c>
      <c r="V933" s="236" t="str">
        <f>IFERROR(__xludf.DUMMYFUNCTION("IF(ISBLANK(H933),,JOIN("","",H933:T933))"),"")</f>
        <v/>
      </c>
      <c r="W933" s="229" t="str">
        <f t="shared" si="1"/>
        <v/>
      </c>
    </row>
    <row r="934">
      <c r="H934" s="237"/>
      <c r="I934" s="237" t="str">
        <f>IFERROR(__xludf.DUMMYFUNCTION("IF(ISBLANK(H934),,IFNA(""""""""&amp;JOIN("","",INDEX(FILTER(A:D,A:A=H934),0,4))&amp;"""""""",))"),"")</f>
        <v/>
      </c>
      <c r="J934" s="237" t="str">
        <f>IF(ISBLANK(H934),,IFNA(VLOOKUP(H934, Circuits!A:W, 23, FALSE),))</f>
        <v/>
      </c>
      <c r="K934" s="238" t="str">
        <f t="shared" si="2"/>
        <v/>
      </c>
      <c r="L934" s="238" t="str">
        <f t="shared" si="3"/>
        <v/>
      </c>
      <c r="M934" s="238" t="str">
        <f t="shared" si="4"/>
        <v/>
      </c>
      <c r="N934" s="238" t="str">
        <f t="shared" si="5"/>
        <v/>
      </c>
      <c r="O934" s="238" t="str">
        <f t="shared" si="6"/>
        <v/>
      </c>
      <c r="P934" s="237" t="str">
        <f>IFERROR(__xludf.DUMMYFUNCTION("IF(ISBLANK(H934),,IF(IFNA(MATCH(H934,SPLIT(Circuits!$S$2,"";""&amp;CHAR(10)),0),0),FALSE,TRUE))"),"")</f>
        <v/>
      </c>
      <c r="Q934" s="237" t="str">
        <f>IF(ISBLANK(H934),,IFNA(VLOOKUP(H934, Circuits!A:U, 21, FALSE),))</f>
        <v/>
      </c>
      <c r="R934" s="238" t="str">
        <f t="shared" si="7"/>
        <v/>
      </c>
      <c r="S934" s="237" t="str">
        <f>IF(ISBLANK(H934),,IFNA(VLOOKUP(H934, Circuits!A:V, 22, FALSE),))</f>
        <v/>
      </c>
      <c r="T934" s="237" t="str">
        <f>IF(ISBLANK(H934),,IFNA(VLOOKUP(H934, Circuits!A:X, 24, FALSE),))</f>
        <v/>
      </c>
      <c r="V934" s="236" t="str">
        <f>IFERROR(__xludf.DUMMYFUNCTION("IF(ISBLANK(H934),,JOIN("","",H934:T934))"),"")</f>
        <v/>
      </c>
      <c r="W934" s="229" t="str">
        <f t="shared" si="1"/>
        <v/>
      </c>
    </row>
    <row r="935">
      <c r="H935" s="237"/>
      <c r="I935" s="237" t="str">
        <f>IFERROR(__xludf.DUMMYFUNCTION("IF(ISBLANK(H935),,IFNA(""""""""&amp;JOIN("","",INDEX(FILTER(A:D,A:A=H935),0,4))&amp;"""""""",))"),"")</f>
        <v/>
      </c>
      <c r="J935" s="237" t="str">
        <f>IF(ISBLANK(H935),,IFNA(VLOOKUP(H935, Circuits!A:W, 23, FALSE),))</f>
        <v/>
      </c>
      <c r="K935" s="238" t="str">
        <f t="shared" si="2"/>
        <v/>
      </c>
      <c r="L935" s="238" t="str">
        <f t="shared" si="3"/>
        <v/>
      </c>
      <c r="M935" s="238" t="str">
        <f t="shared" si="4"/>
        <v/>
      </c>
      <c r="N935" s="238" t="str">
        <f t="shared" si="5"/>
        <v/>
      </c>
      <c r="O935" s="238" t="str">
        <f t="shared" si="6"/>
        <v/>
      </c>
      <c r="P935" s="237" t="str">
        <f>IFERROR(__xludf.DUMMYFUNCTION("IF(ISBLANK(H935),,IF(IFNA(MATCH(H935,SPLIT(Circuits!$S$2,"";""&amp;CHAR(10)),0),0),FALSE,TRUE))"),"")</f>
        <v/>
      </c>
      <c r="Q935" s="237" t="str">
        <f>IF(ISBLANK(H935),,IFNA(VLOOKUP(H935, Circuits!A:U, 21, FALSE),))</f>
        <v/>
      </c>
      <c r="R935" s="238" t="str">
        <f t="shared" si="7"/>
        <v/>
      </c>
      <c r="S935" s="237" t="str">
        <f>IF(ISBLANK(H935),,IFNA(VLOOKUP(H935, Circuits!A:V, 22, FALSE),))</f>
        <v/>
      </c>
      <c r="T935" s="237" t="str">
        <f>IF(ISBLANK(H935),,IFNA(VLOOKUP(H935, Circuits!A:X, 24, FALSE),))</f>
        <v/>
      </c>
      <c r="V935" s="236" t="str">
        <f>IFERROR(__xludf.DUMMYFUNCTION("IF(ISBLANK(H935),,JOIN("","",H935:T935))"),"")</f>
        <v/>
      </c>
      <c r="W935" s="229" t="str">
        <f t="shared" si="1"/>
        <v/>
      </c>
    </row>
    <row r="936">
      <c r="H936" s="237"/>
      <c r="I936" s="237" t="str">
        <f>IFERROR(__xludf.DUMMYFUNCTION("IF(ISBLANK(H936),,IFNA(""""""""&amp;JOIN("","",INDEX(FILTER(A:D,A:A=H936),0,4))&amp;"""""""",))"),"")</f>
        <v/>
      </c>
      <c r="J936" s="237" t="str">
        <f>IF(ISBLANK(H936),,IFNA(VLOOKUP(H936, Circuits!A:W, 23, FALSE),))</f>
        <v/>
      </c>
      <c r="K936" s="238" t="str">
        <f t="shared" si="2"/>
        <v/>
      </c>
      <c r="L936" s="238" t="str">
        <f t="shared" si="3"/>
        <v/>
      </c>
      <c r="M936" s="238" t="str">
        <f t="shared" si="4"/>
        <v/>
      </c>
      <c r="N936" s="238" t="str">
        <f t="shared" si="5"/>
        <v/>
      </c>
      <c r="O936" s="238" t="str">
        <f t="shared" si="6"/>
        <v/>
      </c>
      <c r="P936" s="237" t="str">
        <f>IFERROR(__xludf.DUMMYFUNCTION("IF(ISBLANK(H936),,IF(IFNA(MATCH(H936,SPLIT(Circuits!$S$2,"";""&amp;CHAR(10)),0),0),FALSE,TRUE))"),"")</f>
        <v/>
      </c>
      <c r="Q936" s="237" t="str">
        <f>IF(ISBLANK(H936),,IFNA(VLOOKUP(H936, Circuits!A:U, 21, FALSE),))</f>
        <v/>
      </c>
      <c r="R936" s="238" t="str">
        <f t="shared" si="7"/>
        <v/>
      </c>
      <c r="S936" s="237" t="str">
        <f>IF(ISBLANK(H936),,IFNA(VLOOKUP(H936, Circuits!A:V, 22, FALSE),))</f>
        <v/>
      </c>
      <c r="T936" s="237" t="str">
        <f>IF(ISBLANK(H936),,IFNA(VLOOKUP(H936, Circuits!A:X, 24, FALSE),))</f>
        <v/>
      </c>
      <c r="V936" s="236" t="str">
        <f>IFERROR(__xludf.DUMMYFUNCTION("IF(ISBLANK(H936),,JOIN("","",H936:T936))"),"")</f>
        <v/>
      </c>
      <c r="W936" s="229" t="str">
        <f t="shared" si="1"/>
        <v/>
      </c>
    </row>
    <row r="937">
      <c r="H937" s="237"/>
      <c r="I937" s="237" t="str">
        <f>IFERROR(__xludf.DUMMYFUNCTION("IF(ISBLANK(H937),,IFNA(""""""""&amp;JOIN("","",INDEX(FILTER(A:D,A:A=H937),0,4))&amp;"""""""",))"),"")</f>
        <v/>
      </c>
      <c r="J937" s="237" t="str">
        <f>IF(ISBLANK(H937),,IFNA(VLOOKUP(H937, Circuits!A:W, 23, FALSE),))</f>
        <v/>
      </c>
      <c r="K937" s="238" t="str">
        <f t="shared" si="2"/>
        <v/>
      </c>
      <c r="L937" s="238" t="str">
        <f t="shared" si="3"/>
        <v/>
      </c>
      <c r="M937" s="238" t="str">
        <f t="shared" si="4"/>
        <v/>
      </c>
      <c r="N937" s="238" t="str">
        <f t="shared" si="5"/>
        <v/>
      </c>
      <c r="O937" s="238" t="str">
        <f t="shared" si="6"/>
        <v/>
      </c>
      <c r="P937" s="237" t="str">
        <f>IFERROR(__xludf.DUMMYFUNCTION("IF(ISBLANK(H937),,IF(IFNA(MATCH(H937,SPLIT(Circuits!$S$2,"";""&amp;CHAR(10)),0),0),FALSE,TRUE))"),"")</f>
        <v/>
      </c>
      <c r="Q937" s="237" t="str">
        <f>IF(ISBLANK(H937),,IFNA(VLOOKUP(H937, Circuits!A:U, 21, FALSE),))</f>
        <v/>
      </c>
      <c r="R937" s="238" t="str">
        <f t="shared" si="7"/>
        <v/>
      </c>
      <c r="S937" s="237" t="str">
        <f>IF(ISBLANK(H937),,IFNA(VLOOKUP(H937, Circuits!A:V, 22, FALSE),))</f>
        <v/>
      </c>
      <c r="T937" s="237" t="str">
        <f>IF(ISBLANK(H937),,IFNA(VLOOKUP(H937, Circuits!A:X, 24, FALSE),))</f>
        <v/>
      </c>
      <c r="V937" s="236" t="str">
        <f>IFERROR(__xludf.DUMMYFUNCTION("IF(ISBLANK(H937),,JOIN("","",H937:T937))"),"")</f>
        <v/>
      </c>
      <c r="W937" s="229" t="str">
        <f t="shared" si="1"/>
        <v/>
      </c>
    </row>
    <row r="938">
      <c r="H938" s="237"/>
      <c r="I938" s="237" t="str">
        <f>IFERROR(__xludf.DUMMYFUNCTION("IF(ISBLANK(H938),,IFNA(""""""""&amp;JOIN("","",INDEX(FILTER(A:D,A:A=H938),0,4))&amp;"""""""",))"),"")</f>
        <v/>
      </c>
      <c r="J938" s="237" t="str">
        <f>IF(ISBLANK(H938),,IFNA(VLOOKUP(H938, Circuits!A:W, 23, FALSE),))</f>
        <v/>
      </c>
      <c r="K938" s="238" t="str">
        <f t="shared" si="2"/>
        <v/>
      </c>
      <c r="L938" s="238" t="str">
        <f t="shared" si="3"/>
        <v/>
      </c>
      <c r="M938" s="238" t="str">
        <f t="shared" si="4"/>
        <v/>
      </c>
      <c r="N938" s="238" t="str">
        <f t="shared" si="5"/>
        <v/>
      </c>
      <c r="O938" s="238" t="str">
        <f t="shared" si="6"/>
        <v/>
      </c>
      <c r="P938" s="237" t="str">
        <f>IFERROR(__xludf.DUMMYFUNCTION("IF(ISBLANK(H938),,IF(IFNA(MATCH(H938,SPLIT(Circuits!$S$2,"";""&amp;CHAR(10)),0),0),FALSE,TRUE))"),"")</f>
        <v/>
      </c>
      <c r="Q938" s="237" t="str">
        <f>IF(ISBLANK(H938),,IFNA(VLOOKUP(H938, Circuits!A:U, 21, FALSE),))</f>
        <v/>
      </c>
      <c r="R938" s="238" t="str">
        <f t="shared" si="7"/>
        <v/>
      </c>
      <c r="S938" s="237" t="str">
        <f>IF(ISBLANK(H938),,IFNA(VLOOKUP(H938, Circuits!A:V, 22, FALSE),))</f>
        <v/>
      </c>
      <c r="T938" s="237" t="str">
        <f>IF(ISBLANK(H938),,IFNA(VLOOKUP(H938, Circuits!A:X, 24, FALSE),))</f>
        <v/>
      </c>
      <c r="V938" s="236" t="str">
        <f>IFERROR(__xludf.DUMMYFUNCTION("IF(ISBLANK(H938),,JOIN("","",H938:T938))"),"")</f>
        <v/>
      </c>
      <c r="W938" s="229" t="str">
        <f t="shared" si="1"/>
        <v/>
      </c>
    </row>
    <row r="939">
      <c r="H939" s="237"/>
      <c r="I939" s="237" t="str">
        <f>IFERROR(__xludf.DUMMYFUNCTION("IF(ISBLANK(H939),,IFNA(""""""""&amp;JOIN("","",INDEX(FILTER(A:D,A:A=H939),0,4))&amp;"""""""",))"),"")</f>
        <v/>
      </c>
      <c r="J939" s="237" t="str">
        <f>IF(ISBLANK(H939),,IFNA(VLOOKUP(H939, Circuits!A:W, 23, FALSE),))</f>
        <v/>
      </c>
      <c r="K939" s="238" t="str">
        <f t="shared" si="2"/>
        <v/>
      </c>
      <c r="L939" s="238" t="str">
        <f t="shared" si="3"/>
        <v/>
      </c>
      <c r="M939" s="238" t="str">
        <f t="shared" si="4"/>
        <v/>
      </c>
      <c r="N939" s="238" t="str">
        <f t="shared" si="5"/>
        <v/>
      </c>
      <c r="O939" s="238" t="str">
        <f t="shared" si="6"/>
        <v/>
      </c>
      <c r="P939" s="237" t="str">
        <f>IFERROR(__xludf.DUMMYFUNCTION("IF(ISBLANK(H939),,IF(IFNA(MATCH(H939,SPLIT(Circuits!$S$2,"";""&amp;CHAR(10)),0),0),FALSE,TRUE))"),"")</f>
        <v/>
      </c>
      <c r="Q939" s="237" t="str">
        <f>IF(ISBLANK(H939),,IFNA(VLOOKUP(H939, Circuits!A:U, 21, FALSE),))</f>
        <v/>
      </c>
      <c r="R939" s="238" t="str">
        <f t="shared" si="7"/>
        <v/>
      </c>
      <c r="S939" s="237" t="str">
        <f>IF(ISBLANK(H939),,IFNA(VLOOKUP(H939, Circuits!A:V, 22, FALSE),))</f>
        <v/>
      </c>
      <c r="T939" s="237" t="str">
        <f>IF(ISBLANK(H939),,IFNA(VLOOKUP(H939, Circuits!A:X, 24, FALSE),))</f>
        <v/>
      </c>
      <c r="V939" s="236" t="str">
        <f>IFERROR(__xludf.DUMMYFUNCTION("IF(ISBLANK(H939),,JOIN("","",H939:T939))"),"")</f>
        <v/>
      </c>
      <c r="W939" s="229" t="str">
        <f t="shared" si="1"/>
        <v/>
      </c>
    </row>
    <row r="940">
      <c r="H940" s="237"/>
      <c r="I940" s="237" t="str">
        <f>IFERROR(__xludf.DUMMYFUNCTION("IF(ISBLANK(H940),,IFNA(""""""""&amp;JOIN("","",INDEX(FILTER(A:D,A:A=H940),0,4))&amp;"""""""",))"),"")</f>
        <v/>
      </c>
      <c r="J940" s="237" t="str">
        <f>IF(ISBLANK(H940),,IFNA(VLOOKUP(H940, Circuits!A:W, 23, FALSE),))</f>
        <v/>
      </c>
      <c r="K940" s="238" t="str">
        <f t="shared" si="2"/>
        <v/>
      </c>
      <c r="L940" s="238" t="str">
        <f t="shared" si="3"/>
        <v/>
      </c>
      <c r="M940" s="238" t="str">
        <f t="shared" si="4"/>
        <v/>
      </c>
      <c r="N940" s="238" t="str">
        <f t="shared" si="5"/>
        <v/>
      </c>
      <c r="O940" s="238" t="str">
        <f t="shared" si="6"/>
        <v/>
      </c>
      <c r="P940" s="237" t="str">
        <f>IFERROR(__xludf.DUMMYFUNCTION("IF(ISBLANK(H940),,IF(IFNA(MATCH(H940,SPLIT(Circuits!$S$2,"";""&amp;CHAR(10)),0),0),FALSE,TRUE))"),"")</f>
        <v/>
      </c>
      <c r="Q940" s="237" t="str">
        <f>IF(ISBLANK(H940),,IFNA(VLOOKUP(H940, Circuits!A:U, 21, FALSE),))</f>
        <v/>
      </c>
      <c r="R940" s="238" t="str">
        <f t="shared" si="7"/>
        <v/>
      </c>
      <c r="S940" s="237" t="str">
        <f>IF(ISBLANK(H940),,IFNA(VLOOKUP(H940, Circuits!A:V, 22, FALSE),))</f>
        <v/>
      </c>
      <c r="T940" s="237" t="str">
        <f>IF(ISBLANK(H940),,IFNA(VLOOKUP(H940, Circuits!A:X, 24, FALSE),))</f>
        <v/>
      </c>
      <c r="V940" s="236" t="str">
        <f>IFERROR(__xludf.DUMMYFUNCTION("IF(ISBLANK(H940),,JOIN("","",H940:T940))"),"")</f>
        <v/>
      </c>
      <c r="W940" s="229" t="str">
        <f t="shared" si="1"/>
        <v/>
      </c>
    </row>
    <row r="941">
      <c r="H941" s="237"/>
      <c r="I941" s="237" t="str">
        <f>IFERROR(__xludf.DUMMYFUNCTION("IF(ISBLANK(H941),,IFNA(""""""""&amp;JOIN("","",INDEX(FILTER(A:D,A:A=H941),0,4))&amp;"""""""",))"),"")</f>
        <v/>
      </c>
      <c r="J941" s="237" t="str">
        <f>IF(ISBLANK(H941),,IFNA(VLOOKUP(H941, Circuits!A:W, 23, FALSE),))</f>
        <v/>
      </c>
      <c r="K941" s="238" t="str">
        <f t="shared" si="2"/>
        <v/>
      </c>
      <c r="L941" s="238" t="str">
        <f t="shared" si="3"/>
        <v/>
      </c>
      <c r="M941" s="238" t="str">
        <f t="shared" si="4"/>
        <v/>
      </c>
      <c r="N941" s="238" t="str">
        <f t="shared" si="5"/>
        <v/>
      </c>
      <c r="O941" s="238" t="str">
        <f t="shared" si="6"/>
        <v/>
      </c>
      <c r="P941" s="237" t="str">
        <f>IFERROR(__xludf.DUMMYFUNCTION("IF(ISBLANK(H941),,IF(IFNA(MATCH(H941,SPLIT(Circuits!$S$2,"";""&amp;CHAR(10)),0),0),FALSE,TRUE))"),"")</f>
        <v/>
      </c>
      <c r="Q941" s="237" t="str">
        <f>IF(ISBLANK(H941),,IFNA(VLOOKUP(H941, Circuits!A:U, 21, FALSE),))</f>
        <v/>
      </c>
      <c r="R941" s="238" t="str">
        <f t="shared" si="7"/>
        <v/>
      </c>
      <c r="S941" s="237" t="str">
        <f>IF(ISBLANK(H941),,IFNA(VLOOKUP(H941, Circuits!A:V, 22, FALSE),))</f>
        <v/>
      </c>
      <c r="T941" s="237" t="str">
        <f>IF(ISBLANK(H941),,IFNA(VLOOKUP(H941, Circuits!A:X, 24, FALSE),))</f>
        <v/>
      </c>
      <c r="V941" s="236" t="str">
        <f>IFERROR(__xludf.DUMMYFUNCTION("IF(ISBLANK(H941),,JOIN("","",H941:T941))"),"")</f>
        <v/>
      </c>
      <c r="W941" s="229" t="str">
        <f t="shared" si="1"/>
        <v/>
      </c>
    </row>
    <row r="942">
      <c r="H942" s="237"/>
      <c r="I942" s="237" t="str">
        <f>IFERROR(__xludf.DUMMYFUNCTION("IF(ISBLANK(H942),,IFNA(""""""""&amp;JOIN("","",INDEX(FILTER(A:D,A:A=H942),0,4))&amp;"""""""",))"),"")</f>
        <v/>
      </c>
      <c r="J942" s="237" t="str">
        <f>IF(ISBLANK(H942),,IFNA(VLOOKUP(H942, Circuits!A:W, 23, FALSE),))</f>
        <v/>
      </c>
      <c r="K942" s="238" t="str">
        <f t="shared" si="2"/>
        <v/>
      </c>
      <c r="L942" s="238" t="str">
        <f t="shared" si="3"/>
        <v/>
      </c>
      <c r="M942" s="238" t="str">
        <f t="shared" si="4"/>
        <v/>
      </c>
      <c r="N942" s="238" t="str">
        <f t="shared" si="5"/>
        <v/>
      </c>
      <c r="O942" s="238" t="str">
        <f t="shared" si="6"/>
        <v/>
      </c>
      <c r="P942" s="237" t="str">
        <f>IFERROR(__xludf.DUMMYFUNCTION("IF(ISBLANK(H942),,IF(IFNA(MATCH(H942,SPLIT(Circuits!$S$2,"";""&amp;CHAR(10)),0),0),FALSE,TRUE))"),"")</f>
        <v/>
      </c>
      <c r="Q942" s="237" t="str">
        <f>IF(ISBLANK(H942),,IFNA(VLOOKUP(H942, Circuits!A:U, 21, FALSE),))</f>
        <v/>
      </c>
      <c r="R942" s="238" t="str">
        <f t="shared" si="7"/>
        <v/>
      </c>
      <c r="S942" s="237" t="str">
        <f>IF(ISBLANK(H942),,IFNA(VLOOKUP(H942, Circuits!A:V, 22, FALSE),))</f>
        <v/>
      </c>
      <c r="T942" s="237" t="str">
        <f>IF(ISBLANK(H942),,IFNA(VLOOKUP(H942, Circuits!A:X, 24, FALSE),))</f>
        <v/>
      </c>
      <c r="V942" s="236" t="str">
        <f>IFERROR(__xludf.DUMMYFUNCTION("IF(ISBLANK(H942),,JOIN("","",H942:T942))"),"")</f>
        <v/>
      </c>
      <c r="W942" s="229" t="str">
        <f t="shared" si="1"/>
        <v/>
      </c>
    </row>
    <row r="943">
      <c r="H943" s="237"/>
      <c r="I943" s="237" t="str">
        <f>IFERROR(__xludf.DUMMYFUNCTION("IF(ISBLANK(H943),,IFNA(""""""""&amp;JOIN("","",INDEX(FILTER(A:D,A:A=H943),0,4))&amp;"""""""",))"),"")</f>
        <v/>
      </c>
      <c r="J943" s="237" t="str">
        <f>IF(ISBLANK(H943),,IFNA(VLOOKUP(H943, Circuits!A:W, 23, FALSE),))</f>
        <v/>
      </c>
      <c r="K943" s="238" t="str">
        <f t="shared" si="2"/>
        <v/>
      </c>
      <c r="L943" s="238" t="str">
        <f t="shared" si="3"/>
        <v/>
      </c>
      <c r="M943" s="238" t="str">
        <f t="shared" si="4"/>
        <v/>
      </c>
      <c r="N943" s="238" t="str">
        <f t="shared" si="5"/>
        <v/>
      </c>
      <c r="O943" s="238" t="str">
        <f t="shared" si="6"/>
        <v/>
      </c>
      <c r="P943" s="237" t="str">
        <f>IFERROR(__xludf.DUMMYFUNCTION("IF(ISBLANK(H943),,IF(IFNA(MATCH(H943,SPLIT(Circuits!$S$2,"";""&amp;CHAR(10)),0),0),FALSE,TRUE))"),"")</f>
        <v/>
      </c>
      <c r="Q943" s="237" t="str">
        <f>IF(ISBLANK(H943),,IFNA(VLOOKUP(H943, Circuits!A:U, 21, FALSE),))</f>
        <v/>
      </c>
      <c r="R943" s="238" t="str">
        <f t="shared" si="7"/>
        <v/>
      </c>
      <c r="S943" s="237" t="str">
        <f>IF(ISBLANK(H943),,IFNA(VLOOKUP(H943, Circuits!A:V, 22, FALSE),))</f>
        <v/>
      </c>
      <c r="T943" s="237" t="str">
        <f>IF(ISBLANK(H943),,IFNA(VLOOKUP(H943, Circuits!A:X, 24, FALSE),))</f>
        <v/>
      </c>
      <c r="V943" s="236" t="str">
        <f>IFERROR(__xludf.DUMMYFUNCTION("IF(ISBLANK(H943),,JOIN("","",H943:T943))"),"")</f>
        <v/>
      </c>
      <c r="W943" s="229" t="str">
        <f t="shared" si="1"/>
        <v/>
      </c>
    </row>
    <row r="944">
      <c r="H944" s="237"/>
      <c r="I944" s="237" t="str">
        <f>IFERROR(__xludf.DUMMYFUNCTION("IF(ISBLANK(H944),,IFNA(""""""""&amp;JOIN("","",INDEX(FILTER(A:D,A:A=H944),0,4))&amp;"""""""",))"),"")</f>
        <v/>
      </c>
      <c r="J944" s="237" t="str">
        <f>IF(ISBLANK(H944),,IFNA(VLOOKUP(H944, Circuits!A:W, 23, FALSE),))</f>
        <v/>
      </c>
      <c r="K944" s="238" t="str">
        <f t="shared" si="2"/>
        <v/>
      </c>
      <c r="L944" s="238" t="str">
        <f t="shared" si="3"/>
        <v/>
      </c>
      <c r="M944" s="238" t="str">
        <f t="shared" si="4"/>
        <v/>
      </c>
      <c r="N944" s="238" t="str">
        <f t="shared" si="5"/>
        <v/>
      </c>
      <c r="O944" s="238" t="str">
        <f t="shared" si="6"/>
        <v/>
      </c>
      <c r="P944" s="237" t="str">
        <f>IFERROR(__xludf.DUMMYFUNCTION("IF(ISBLANK(H944),,IF(IFNA(MATCH(H944,SPLIT(Circuits!$S$2,"";""&amp;CHAR(10)),0),0),FALSE,TRUE))"),"")</f>
        <v/>
      </c>
      <c r="Q944" s="237" t="str">
        <f>IF(ISBLANK(H944),,IFNA(VLOOKUP(H944, Circuits!A:U, 21, FALSE),))</f>
        <v/>
      </c>
      <c r="R944" s="238" t="str">
        <f t="shared" si="7"/>
        <v/>
      </c>
      <c r="S944" s="237" t="str">
        <f>IF(ISBLANK(H944),,IFNA(VLOOKUP(H944, Circuits!A:V, 22, FALSE),))</f>
        <v/>
      </c>
      <c r="T944" s="237" t="str">
        <f>IF(ISBLANK(H944),,IFNA(VLOOKUP(H944, Circuits!A:X, 24, FALSE),))</f>
        <v/>
      </c>
      <c r="V944" s="236" t="str">
        <f>IFERROR(__xludf.DUMMYFUNCTION("IF(ISBLANK(H944),,JOIN("","",H944:T944))"),"")</f>
        <v/>
      </c>
      <c r="W944" s="229" t="str">
        <f t="shared" si="1"/>
        <v/>
      </c>
    </row>
    <row r="945">
      <c r="H945" s="237"/>
      <c r="I945" s="237" t="str">
        <f>IFERROR(__xludf.DUMMYFUNCTION("IF(ISBLANK(H945),,IFNA(""""""""&amp;JOIN("","",INDEX(FILTER(A:D,A:A=H945),0,4))&amp;"""""""",))"),"")</f>
        <v/>
      </c>
      <c r="J945" s="237" t="str">
        <f>IF(ISBLANK(H945),,IFNA(VLOOKUP(H945, Circuits!A:W, 23, FALSE),))</f>
        <v/>
      </c>
      <c r="K945" s="238" t="str">
        <f t="shared" si="2"/>
        <v/>
      </c>
      <c r="L945" s="238" t="str">
        <f t="shared" si="3"/>
        <v/>
      </c>
      <c r="M945" s="238" t="str">
        <f t="shared" si="4"/>
        <v/>
      </c>
      <c r="N945" s="238" t="str">
        <f t="shared" si="5"/>
        <v/>
      </c>
      <c r="O945" s="238" t="str">
        <f t="shared" si="6"/>
        <v/>
      </c>
      <c r="P945" s="237" t="str">
        <f>IFERROR(__xludf.DUMMYFUNCTION("IF(ISBLANK(H945),,IF(IFNA(MATCH(H945,SPLIT(Circuits!$S$2,"";""&amp;CHAR(10)),0),0),FALSE,TRUE))"),"")</f>
        <v/>
      </c>
      <c r="Q945" s="237" t="str">
        <f>IF(ISBLANK(H945),,IFNA(VLOOKUP(H945, Circuits!A:U, 21, FALSE),))</f>
        <v/>
      </c>
      <c r="R945" s="238" t="str">
        <f t="shared" si="7"/>
        <v/>
      </c>
      <c r="S945" s="237" t="str">
        <f>IF(ISBLANK(H945),,IFNA(VLOOKUP(H945, Circuits!A:V, 22, FALSE),))</f>
        <v/>
      </c>
      <c r="T945" s="237" t="str">
        <f>IF(ISBLANK(H945),,IFNA(VLOOKUP(H945, Circuits!A:X, 24, FALSE),))</f>
        <v/>
      </c>
      <c r="V945" s="236" t="str">
        <f>IFERROR(__xludf.DUMMYFUNCTION("IF(ISBLANK(H945),,JOIN("","",H945:T945))"),"")</f>
        <v/>
      </c>
      <c r="W945" s="229" t="str">
        <f t="shared" si="1"/>
        <v/>
      </c>
    </row>
    <row r="946">
      <c r="H946" s="237"/>
      <c r="I946" s="237" t="str">
        <f>IFERROR(__xludf.DUMMYFUNCTION("IF(ISBLANK(H946),,IFNA(""""""""&amp;JOIN("","",INDEX(FILTER(A:D,A:A=H946),0,4))&amp;"""""""",))"),"")</f>
        <v/>
      </c>
      <c r="J946" s="237" t="str">
        <f>IF(ISBLANK(H946),,IFNA(VLOOKUP(H946, Circuits!A:W, 23, FALSE),))</f>
        <v/>
      </c>
      <c r="K946" s="238" t="str">
        <f t="shared" si="2"/>
        <v/>
      </c>
      <c r="L946" s="238" t="str">
        <f t="shared" si="3"/>
        <v/>
      </c>
      <c r="M946" s="238" t="str">
        <f t="shared" si="4"/>
        <v/>
      </c>
      <c r="N946" s="238" t="str">
        <f t="shared" si="5"/>
        <v/>
      </c>
      <c r="O946" s="238" t="str">
        <f t="shared" si="6"/>
        <v/>
      </c>
      <c r="P946" s="237" t="str">
        <f>IFERROR(__xludf.DUMMYFUNCTION("IF(ISBLANK(H946),,IF(IFNA(MATCH(H946,SPLIT(Circuits!$S$2,"";""&amp;CHAR(10)),0),0),FALSE,TRUE))"),"")</f>
        <v/>
      </c>
      <c r="Q946" s="237" t="str">
        <f>IF(ISBLANK(H946),,IFNA(VLOOKUP(H946, Circuits!A:U, 21, FALSE),))</f>
        <v/>
      </c>
      <c r="R946" s="238" t="str">
        <f t="shared" si="7"/>
        <v/>
      </c>
      <c r="S946" s="237" t="str">
        <f>IF(ISBLANK(H946),,IFNA(VLOOKUP(H946, Circuits!A:V, 22, FALSE),))</f>
        <v/>
      </c>
      <c r="T946" s="237" t="str">
        <f>IF(ISBLANK(H946),,IFNA(VLOOKUP(H946, Circuits!A:X, 24, FALSE),))</f>
        <v/>
      </c>
      <c r="V946" s="236" t="str">
        <f>IFERROR(__xludf.DUMMYFUNCTION("IF(ISBLANK(H946),,JOIN("","",H946:T946))"),"")</f>
        <v/>
      </c>
      <c r="W946" s="229" t="str">
        <f t="shared" si="1"/>
        <v/>
      </c>
    </row>
    <row r="947">
      <c r="H947" s="237"/>
      <c r="I947" s="237" t="str">
        <f>IFERROR(__xludf.DUMMYFUNCTION("IF(ISBLANK(H947),,IFNA(""""""""&amp;JOIN("","",INDEX(FILTER(A:D,A:A=H947),0,4))&amp;"""""""",))"),"")</f>
        <v/>
      </c>
      <c r="J947" s="237" t="str">
        <f>IF(ISBLANK(H947),,IFNA(VLOOKUP(H947, Circuits!A:W, 23, FALSE),))</f>
        <v/>
      </c>
      <c r="K947" s="238" t="str">
        <f t="shared" si="2"/>
        <v/>
      </c>
      <c r="L947" s="238" t="str">
        <f t="shared" si="3"/>
        <v/>
      </c>
      <c r="M947" s="238" t="str">
        <f t="shared" si="4"/>
        <v/>
      </c>
      <c r="N947" s="238" t="str">
        <f t="shared" si="5"/>
        <v/>
      </c>
      <c r="O947" s="238" t="str">
        <f t="shared" si="6"/>
        <v/>
      </c>
      <c r="P947" s="237" t="str">
        <f>IFERROR(__xludf.DUMMYFUNCTION("IF(ISBLANK(H947),,IF(IFNA(MATCH(H947,SPLIT(Circuits!$S$2,"";""&amp;CHAR(10)),0),0),FALSE,TRUE))"),"")</f>
        <v/>
      </c>
      <c r="Q947" s="237" t="str">
        <f>IF(ISBLANK(H947),,IFNA(VLOOKUP(H947, Circuits!A:U, 21, FALSE),))</f>
        <v/>
      </c>
      <c r="R947" s="238" t="str">
        <f t="shared" si="7"/>
        <v/>
      </c>
      <c r="S947" s="237" t="str">
        <f>IF(ISBLANK(H947),,IFNA(VLOOKUP(H947, Circuits!A:V, 22, FALSE),))</f>
        <v/>
      </c>
      <c r="T947" s="237" t="str">
        <f>IF(ISBLANK(H947),,IFNA(VLOOKUP(H947, Circuits!A:X, 24, FALSE),))</f>
        <v/>
      </c>
      <c r="V947" s="236" t="str">
        <f>IFERROR(__xludf.DUMMYFUNCTION("IF(ISBLANK(H947),,JOIN("","",H947:T947))"),"")</f>
        <v/>
      </c>
      <c r="W947" s="229" t="str">
        <f t="shared" si="1"/>
        <v/>
      </c>
    </row>
    <row r="948">
      <c r="H948" s="237"/>
      <c r="I948" s="237" t="str">
        <f>IFERROR(__xludf.DUMMYFUNCTION("IF(ISBLANK(H948),,IFNA(""""""""&amp;JOIN("","",INDEX(FILTER(A:D,A:A=H948),0,4))&amp;"""""""",))"),"")</f>
        <v/>
      </c>
      <c r="J948" s="237" t="str">
        <f>IF(ISBLANK(H948),,IFNA(VLOOKUP(H948, Circuits!A:W, 23, FALSE),))</f>
        <v/>
      </c>
      <c r="K948" s="238" t="str">
        <f t="shared" si="2"/>
        <v/>
      </c>
      <c r="L948" s="238" t="str">
        <f t="shared" si="3"/>
        <v/>
      </c>
      <c r="M948" s="238" t="str">
        <f t="shared" si="4"/>
        <v/>
      </c>
      <c r="N948" s="238" t="str">
        <f t="shared" si="5"/>
        <v/>
      </c>
      <c r="O948" s="238" t="str">
        <f t="shared" si="6"/>
        <v/>
      </c>
      <c r="P948" s="237" t="str">
        <f>IFERROR(__xludf.DUMMYFUNCTION("IF(ISBLANK(H948),,IF(IFNA(MATCH(H948,SPLIT(Circuits!$S$2,"";""&amp;CHAR(10)),0),0),FALSE,TRUE))"),"")</f>
        <v/>
      </c>
      <c r="Q948" s="237" t="str">
        <f>IF(ISBLANK(H948),,IFNA(VLOOKUP(H948, Circuits!A:U, 21, FALSE),))</f>
        <v/>
      </c>
      <c r="R948" s="238" t="str">
        <f t="shared" si="7"/>
        <v/>
      </c>
      <c r="S948" s="237" t="str">
        <f>IF(ISBLANK(H948),,IFNA(VLOOKUP(H948, Circuits!A:V, 22, FALSE),))</f>
        <v/>
      </c>
      <c r="T948" s="237" t="str">
        <f>IF(ISBLANK(H948),,IFNA(VLOOKUP(H948, Circuits!A:X, 24, FALSE),))</f>
        <v/>
      </c>
      <c r="V948" s="236" t="str">
        <f>IFERROR(__xludf.DUMMYFUNCTION("IF(ISBLANK(H948),,JOIN("","",H948:T948))"),"")</f>
        <v/>
      </c>
      <c r="W948" s="229" t="str">
        <f t="shared" si="1"/>
        <v/>
      </c>
    </row>
    <row r="949">
      <c r="H949" s="237"/>
      <c r="I949" s="237" t="str">
        <f>IFERROR(__xludf.DUMMYFUNCTION("IF(ISBLANK(H949),,IFNA(""""""""&amp;JOIN("","",INDEX(FILTER(A:D,A:A=H949),0,4))&amp;"""""""",))"),"")</f>
        <v/>
      </c>
      <c r="J949" s="237" t="str">
        <f>IF(ISBLANK(H949),,IFNA(VLOOKUP(H949, Circuits!A:W, 23, FALSE),))</f>
        <v/>
      </c>
      <c r="K949" s="238" t="str">
        <f t="shared" si="2"/>
        <v/>
      </c>
      <c r="L949" s="238" t="str">
        <f t="shared" si="3"/>
        <v/>
      </c>
      <c r="M949" s="238" t="str">
        <f t="shared" si="4"/>
        <v/>
      </c>
      <c r="N949" s="238" t="str">
        <f t="shared" si="5"/>
        <v/>
      </c>
      <c r="O949" s="238" t="str">
        <f t="shared" si="6"/>
        <v/>
      </c>
      <c r="P949" s="237" t="str">
        <f>IFERROR(__xludf.DUMMYFUNCTION("IF(ISBLANK(H949),,IF(IFNA(MATCH(H949,SPLIT(Circuits!$S$2,"";""&amp;CHAR(10)),0),0),FALSE,TRUE))"),"")</f>
        <v/>
      </c>
      <c r="Q949" s="237" t="str">
        <f>IF(ISBLANK(H949),,IFNA(VLOOKUP(H949, Circuits!A:U, 21, FALSE),))</f>
        <v/>
      </c>
      <c r="R949" s="238" t="str">
        <f t="shared" si="7"/>
        <v/>
      </c>
      <c r="S949" s="237" t="str">
        <f>IF(ISBLANK(H949),,IFNA(VLOOKUP(H949, Circuits!A:V, 22, FALSE),))</f>
        <v/>
      </c>
      <c r="T949" s="237" t="str">
        <f>IF(ISBLANK(H949),,IFNA(VLOOKUP(H949, Circuits!A:X, 24, FALSE),))</f>
        <v/>
      </c>
      <c r="V949" s="236" t="str">
        <f>IFERROR(__xludf.DUMMYFUNCTION("IF(ISBLANK(H949),,JOIN("","",H949:T949))"),"")</f>
        <v/>
      </c>
      <c r="W949" s="229" t="str">
        <f t="shared" si="1"/>
        <v/>
      </c>
    </row>
    <row r="950">
      <c r="H950" s="237"/>
      <c r="I950" s="237" t="str">
        <f>IFERROR(__xludf.DUMMYFUNCTION("IF(ISBLANK(H950),,IFNA(""""""""&amp;JOIN("","",INDEX(FILTER(A:D,A:A=H950),0,4))&amp;"""""""",))"),"")</f>
        <v/>
      </c>
      <c r="J950" s="237" t="str">
        <f>IF(ISBLANK(H950),,IFNA(VLOOKUP(H950, Circuits!A:W, 23, FALSE),))</f>
        <v/>
      </c>
      <c r="K950" s="238" t="str">
        <f t="shared" si="2"/>
        <v/>
      </c>
      <c r="L950" s="238" t="str">
        <f t="shared" si="3"/>
        <v/>
      </c>
      <c r="M950" s="238" t="str">
        <f t="shared" si="4"/>
        <v/>
      </c>
      <c r="N950" s="238" t="str">
        <f t="shared" si="5"/>
        <v/>
      </c>
      <c r="O950" s="238" t="str">
        <f t="shared" si="6"/>
        <v/>
      </c>
      <c r="P950" s="237" t="str">
        <f>IFERROR(__xludf.DUMMYFUNCTION("IF(ISBLANK(H950),,IF(IFNA(MATCH(H950,SPLIT(Circuits!$S$2,"";""&amp;CHAR(10)),0),0),FALSE,TRUE))"),"")</f>
        <v/>
      </c>
      <c r="Q950" s="237" t="str">
        <f>IF(ISBLANK(H950),,IFNA(VLOOKUP(H950, Circuits!A:U, 21, FALSE),))</f>
        <v/>
      </c>
      <c r="R950" s="238" t="str">
        <f t="shared" si="7"/>
        <v/>
      </c>
      <c r="S950" s="237" t="str">
        <f>IF(ISBLANK(H950),,IFNA(VLOOKUP(H950, Circuits!A:V, 22, FALSE),))</f>
        <v/>
      </c>
      <c r="T950" s="237" t="str">
        <f>IF(ISBLANK(H950),,IFNA(VLOOKUP(H950, Circuits!A:X, 24, FALSE),))</f>
        <v/>
      </c>
      <c r="V950" s="236" t="str">
        <f>IFERROR(__xludf.DUMMYFUNCTION("IF(ISBLANK(H950),,JOIN("","",H950:T950))"),"")</f>
        <v/>
      </c>
      <c r="W950" s="229" t="str">
        <f t="shared" si="1"/>
        <v/>
      </c>
    </row>
    <row r="951">
      <c r="H951" s="237"/>
      <c r="I951" s="237" t="str">
        <f>IFERROR(__xludf.DUMMYFUNCTION("IF(ISBLANK(H951),,IFNA(""""""""&amp;JOIN("","",INDEX(FILTER(A:D,A:A=H951),0,4))&amp;"""""""",))"),"")</f>
        <v/>
      </c>
      <c r="J951" s="237" t="str">
        <f>IF(ISBLANK(H951),,IFNA(VLOOKUP(H951, Circuits!A:W, 23, FALSE),))</f>
        <v/>
      </c>
      <c r="K951" s="238" t="str">
        <f t="shared" si="2"/>
        <v/>
      </c>
      <c r="L951" s="238" t="str">
        <f t="shared" si="3"/>
        <v/>
      </c>
      <c r="M951" s="238" t="str">
        <f t="shared" si="4"/>
        <v/>
      </c>
      <c r="N951" s="238" t="str">
        <f t="shared" si="5"/>
        <v/>
      </c>
      <c r="O951" s="238" t="str">
        <f t="shared" si="6"/>
        <v/>
      </c>
      <c r="P951" s="237" t="str">
        <f>IFERROR(__xludf.DUMMYFUNCTION("IF(ISBLANK(H951),,IF(IFNA(MATCH(H951,SPLIT(Circuits!$S$2,"";""&amp;CHAR(10)),0),0),FALSE,TRUE))"),"")</f>
        <v/>
      </c>
      <c r="Q951" s="237" t="str">
        <f>IF(ISBLANK(H951),,IFNA(VLOOKUP(H951, Circuits!A:U, 21, FALSE),))</f>
        <v/>
      </c>
      <c r="R951" s="238" t="str">
        <f t="shared" si="7"/>
        <v/>
      </c>
      <c r="S951" s="237" t="str">
        <f>IF(ISBLANK(H951),,IFNA(VLOOKUP(H951, Circuits!A:V, 22, FALSE),))</f>
        <v/>
      </c>
      <c r="T951" s="237" t="str">
        <f>IF(ISBLANK(H951),,IFNA(VLOOKUP(H951, Circuits!A:X, 24, FALSE),))</f>
        <v/>
      </c>
      <c r="V951" s="236" t="str">
        <f>IFERROR(__xludf.DUMMYFUNCTION("IF(ISBLANK(H951),,JOIN("","",H951:T951))"),"")</f>
        <v/>
      </c>
      <c r="W951" s="229" t="str">
        <f t="shared" si="1"/>
        <v/>
      </c>
    </row>
    <row r="952">
      <c r="H952" s="237"/>
      <c r="I952" s="237" t="str">
        <f>IFERROR(__xludf.DUMMYFUNCTION("IF(ISBLANK(H952),,IFNA(""""""""&amp;JOIN("","",INDEX(FILTER(A:D,A:A=H952),0,4))&amp;"""""""",))"),"")</f>
        <v/>
      </c>
      <c r="J952" s="237" t="str">
        <f>IF(ISBLANK(H952),,IFNA(VLOOKUP(H952, Circuits!A:W, 23, FALSE),))</f>
        <v/>
      </c>
      <c r="K952" s="238" t="str">
        <f t="shared" si="2"/>
        <v/>
      </c>
      <c r="L952" s="238" t="str">
        <f t="shared" si="3"/>
        <v/>
      </c>
      <c r="M952" s="238" t="str">
        <f t="shared" si="4"/>
        <v/>
      </c>
      <c r="N952" s="238" t="str">
        <f t="shared" si="5"/>
        <v/>
      </c>
      <c r="O952" s="238" t="str">
        <f t="shared" si="6"/>
        <v/>
      </c>
      <c r="P952" s="237" t="str">
        <f>IFERROR(__xludf.DUMMYFUNCTION("IF(ISBLANK(H952),,IF(IFNA(MATCH(H952,SPLIT(Circuits!$S$2,"";""&amp;CHAR(10)),0),0),FALSE,TRUE))"),"")</f>
        <v/>
      </c>
      <c r="Q952" s="237" t="str">
        <f>IF(ISBLANK(H952),,IFNA(VLOOKUP(H952, Circuits!A:U, 21, FALSE),))</f>
        <v/>
      </c>
      <c r="R952" s="238" t="str">
        <f t="shared" si="7"/>
        <v/>
      </c>
      <c r="S952" s="237" t="str">
        <f>IF(ISBLANK(H952),,IFNA(VLOOKUP(H952, Circuits!A:V, 22, FALSE),))</f>
        <v/>
      </c>
      <c r="T952" s="237" t="str">
        <f>IF(ISBLANK(H952),,IFNA(VLOOKUP(H952, Circuits!A:X, 24, FALSE),))</f>
        <v/>
      </c>
      <c r="V952" s="236" t="str">
        <f>IFERROR(__xludf.DUMMYFUNCTION("IF(ISBLANK(H952),,JOIN("","",H952:T952))"),"")</f>
        <v/>
      </c>
      <c r="W952" s="229" t="str">
        <f t="shared" si="1"/>
        <v/>
      </c>
    </row>
    <row r="953">
      <c r="H953" s="237"/>
      <c r="I953" s="237" t="str">
        <f>IFERROR(__xludf.DUMMYFUNCTION("IF(ISBLANK(H953),,IFNA(""""""""&amp;JOIN("","",INDEX(FILTER(A:D,A:A=H953),0,4))&amp;"""""""",))"),"")</f>
        <v/>
      </c>
      <c r="J953" s="237" t="str">
        <f>IF(ISBLANK(H953),,IFNA(VLOOKUP(H953, Circuits!A:W, 23, FALSE),))</f>
        <v/>
      </c>
      <c r="K953" s="238" t="str">
        <f t="shared" si="2"/>
        <v/>
      </c>
      <c r="L953" s="238" t="str">
        <f t="shared" si="3"/>
        <v/>
      </c>
      <c r="M953" s="238" t="str">
        <f t="shared" si="4"/>
        <v/>
      </c>
      <c r="N953" s="238" t="str">
        <f t="shared" si="5"/>
        <v/>
      </c>
      <c r="O953" s="238" t="str">
        <f t="shared" si="6"/>
        <v/>
      </c>
      <c r="P953" s="237" t="str">
        <f>IFERROR(__xludf.DUMMYFUNCTION("IF(ISBLANK(H953),,IF(IFNA(MATCH(H953,SPLIT(Circuits!$S$2,"";""&amp;CHAR(10)),0),0),FALSE,TRUE))"),"")</f>
        <v/>
      </c>
      <c r="Q953" s="237" t="str">
        <f>IF(ISBLANK(H953),,IFNA(VLOOKUP(H953, Circuits!A:U, 21, FALSE),))</f>
        <v/>
      </c>
      <c r="R953" s="238" t="str">
        <f t="shared" si="7"/>
        <v/>
      </c>
      <c r="S953" s="237" t="str">
        <f>IF(ISBLANK(H953),,IFNA(VLOOKUP(H953, Circuits!A:V, 22, FALSE),))</f>
        <v/>
      </c>
      <c r="T953" s="237" t="str">
        <f>IF(ISBLANK(H953),,IFNA(VLOOKUP(H953, Circuits!A:X, 24, FALSE),))</f>
        <v/>
      </c>
      <c r="V953" s="236" t="str">
        <f>IFERROR(__xludf.DUMMYFUNCTION("IF(ISBLANK(H953),,JOIN("","",H953:T953))"),"")</f>
        <v/>
      </c>
      <c r="W953" s="229" t="str">
        <f t="shared" si="1"/>
        <v/>
      </c>
    </row>
    <row r="954">
      <c r="H954" s="237"/>
      <c r="I954" s="237" t="str">
        <f>IFERROR(__xludf.DUMMYFUNCTION("IF(ISBLANK(H954),,IFNA(""""""""&amp;JOIN("","",INDEX(FILTER(A:D,A:A=H954),0,4))&amp;"""""""",))"),"")</f>
        <v/>
      </c>
      <c r="J954" s="237" t="str">
        <f>IF(ISBLANK(H954),,IFNA(VLOOKUP(H954, Circuits!A:W, 23, FALSE),))</f>
        <v/>
      </c>
      <c r="K954" s="238" t="str">
        <f t="shared" si="2"/>
        <v/>
      </c>
      <c r="L954" s="238" t="str">
        <f t="shared" si="3"/>
        <v/>
      </c>
      <c r="M954" s="238" t="str">
        <f t="shared" si="4"/>
        <v/>
      </c>
      <c r="N954" s="238" t="str">
        <f t="shared" si="5"/>
        <v/>
      </c>
      <c r="O954" s="238" t="str">
        <f t="shared" si="6"/>
        <v/>
      </c>
      <c r="P954" s="237" t="str">
        <f>IFERROR(__xludf.DUMMYFUNCTION("IF(ISBLANK(H954),,IF(IFNA(MATCH(H954,SPLIT(Circuits!$S$2,"";""&amp;CHAR(10)),0),0),FALSE,TRUE))"),"")</f>
        <v/>
      </c>
      <c r="Q954" s="237" t="str">
        <f>IF(ISBLANK(H954),,IFNA(VLOOKUP(H954, Circuits!A:U, 21, FALSE),))</f>
        <v/>
      </c>
      <c r="R954" s="238" t="str">
        <f t="shared" si="7"/>
        <v/>
      </c>
      <c r="S954" s="237" t="str">
        <f>IF(ISBLANK(H954),,IFNA(VLOOKUP(H954, Circuits!A:V, 22, FALSE),))</f>
        <v/>
      </c>
      <c r="T954" s="237" t="str">
        <f>IF(ISBLANK(H954),,IFNA(VLOOKUP(H954, Circuits!A:X, 24, FALSE),))</f>
        <v/>
      </c>
      <c r="V954" s="236" t="str">
        <f>IFERROR(__xludf.DUMMYFUNCTION("IF(ISBLANK(H954),,JOIN("","",H954:T954))"),"")</f>
        <v/>
      </c>
      <c r="W954" s="229" t="str">
        <f t="shared" si="1"/>
        <v/>
      </c>
    </row>
    <row r="955">
      <c r="H955" s="237"/>
      <c r="I955" s="237" t="str">
        <f>IFERROR(__xludf.DUMMYFUNCTION("IF(ISBLANK(H955),,IFNA(""""""""&amp;JOIN("","",INDEX(FILTER(A:D,A:A=H955),0,4))&amp;"""""""",))"),"")</f>
        <v/>
      </c>
      <c r="J955" s="237" t="str">
        <f>IF(ISBLANK(H955),,IFNA(VLOOKUP(H955, Circuits!A:W, 23, FALSE),))</f>
        <v/>
      </c>
      <c r="K955" s="238" t="str">
        <f t="shared" si="2"/>
        <v/>
      </c>
      <c r="L955" s="238" t="str">
        <f t="shared" si="3"/>
        <v/>
      </c>
      <c r="M955" s="238" t="str">
        <f t="shared" si="4"/>
        <v/>
      </c>
      <c r="N955" s="238" t="str">
        <f t="shared" si="5"/>
        <v/>
      </c>
      <c r="O955" s="238" t="str">
        <f t="shared" si="6"/>
        <v/>
      </c>
      <c r="P955" s="237" t="str">
        <f>IFERROR(__xludf.DUMMYFUNCTION("IF(ISBLANK(H955),,IF(IFNA(MATCH(H955,SPLIT(Circuits!$S$2,"";""&amp;CHAR(10)),0),0),FALSE,TRUE))"),"")</f>
        <v/>
      </c>
      <c r="Q955" s="237" t="str">
        <f>IF(ISBLANK(H955),,IFNA(VLOOKUP(H955, Circuits!A:U, 21, FALSE),))</f>
        <v/>
      </c>
      <c r="R955" s="238" t="str">
        <f t="shared" si="7"/>
        <v/>
      </c>
      <c r="S955" s="237" t="str">
        <f>IF(ISBLANK(H955),,IFNA(VLOOKUP(H955, Circuits!A:V, 22, FALSE),))</f>
        <v/>
      </c>
      <c r="T955" s="237" t="str">
        <f>IF(ISBLANK(H955),,IFNA(VLOOKUP(H955, Circuits!A:X, 24, FALSE),))</f>
        <v/>
      </c>
      <c r="V955" s="236" t="str">
        <f>IFERROR(__xludf.DUMMYFUNCTION("IF(ISBLANK(H955),,JOIN("","",H955:T955))"),"")</f>
        <v/>
      </c>
      <c r="W955" s="229" t="str">
        <f t="shared" si="1"/>
        <v/>
      </c>
    </row>
    <row r="956">
      <c r="H956" s="237"/>
      <c r="I956" s="237" t="str">
        <f>IFERROR(__xludf.DUMMYFUNCTION("IF(ISBLANK(H956),,IFNA(""""""""&amp;JOIN("","",INDEX(FILTER(A:D,A:A=H956),0,4))&amp;"""""""",))"),"")</f>
        <v/>
      </c>
      <c r="J956" s="237" t="str">
        <f>IF(ISBLANK(H956),,IFNA(VLOOKUP(H956, Circuits!A:W, 23, FALSE),))</f>
        <v/>
      </c>
      <c r="K956" s="238" t="str">
        <f t="shared" si="2"/>
        <v/>
      </c>
      <c r="L956" s="238" t="str">
        <f t="shared" si="3"/>
        <v/>
      </c>
      <c r="M956" s="238" t="str">
        <f t="shared" si="4"/>
        <v/>
      </c>
      <c r="N956" s="238" t="str">
        <f t="shared" si="5"/>
        <v/>
      </c>
      <c r="O956" s="238" t="str">
        <f t="shared" si="6"/>
        <v/>
      </c>
      <c r="P956" s="237" t="str">
        <f>IFERROR(__xludf.DUMMYFUNCTION("IF(ISBLANK(H956),,IF(IFNA(MATCH(H956,SPLIT(Circuits!$S$2,"";""&amp;CHAR(10)),0),0),FALSE,TRUE))"),"")</f>
        <v/>
      </c>
      <c r="Q956" s="237" t="str">
        <f>IF(ISBLANK(H956),,IFNA(VLOOKUP(H956, Circuits!A:U, 21, FALSE),))</f>
        <v/>
      </c>
      <c r="R956" s="238" t="str">
        <f t="shared" si="7"/>
        <v/>
      </c>
      <c r="S956" s="237" t="str">
        <f>IF(ISBLANK(H956),,IFNA(VLOOKUP(H956, Circuits!A:V, 22, FALSE),))</f>
        <v/>
      </c>
      <c r="T956" s="237" t="str">
        <f>IF(ISBLANK(H956),,IFNA(VLOOKUP(H956, Circuits!A:X, 24, FALSE),))</f>
        <v/>
      </c>
      <c r="V956" s="236" t="str">
        <f>IFERROR(__xludf.DUMMYFUNCTION("IF(ISBLANK(H956),,JOIN("","",H956:T956))"),"")</f>
        <v/>
      </c>
      <c r="W956" s="229" t="str">
        <f t="shared" si="1"/>
        <v/>
      </c>
    </row>
    <row r="957">
      <c r="H957" s="237"/>
      <c r="I957" s="237" t="str">
        <f>IFERROR(__xludf.DUMMYFUNCTION("IF(ISBLANK(H957),,IFNA(""""""""&amp;JOIN("","",INDEX(FILTER(A:D,A:A=H957),0,4))&amp;"""""""",))"),"")</f>
        <v/>
      </c>
      <c r="J957" s="237" t="str">
        <f>IF(ISBLANK(H957),,IFNA(VLOOKUP(H957, Circuits!A:W, 23, FALSE),))</f>
        <v/>
      </c>
      <c r="K957" s="238" t="str">
        <f t="shared" si="2"/>
        <v/>
      </c>
      <c r="L957" s="238" t="str">
        <f t="shared" si="3"/>
        <v/>
      </c>
      <c r="M957" s="238" t="str">
        <f t="shared" si="4"/>
        <v/>
      </c>
      <c r="N957" s="238" t="str">
        <f t="shared" si="5"/>
        <v/>
      </c>
      <c r="O957" s="238" t="str">
        <f t="shared" si="6"/>
        <v/>
      </c>
      <c r="P957" s="237" t="str">
        <f>IFERROR(__xludf.DUMMYFUNCTION("IF(ISBLANK(H957),,IF(IFNA(MATCH(H957,SPLIT(Circuits!$S$2,"";""&amp;CHAR(10)),0),0),FALSE,TRUE))"),"")</f>
        <v/>
      </c>
      <c r="Q957" s="237" t="str">
        <f>IF(ISBLANK(H957),,IFNA(VLOOKUP(H957, Circuits!A:U, 21, FALSE),))</f>
        <v/>
      </c>
      <c r="R957" s="238" t="str">
        <f t="shared" si="7"/>
        <v/>
      </c>
      <c r="S957" s="237" t="str">
        <f>IF(ISBLANK(H957),,IFNA(VLOOKUP(H957, Circuits!A:V, 22, FALSE),))</f>
        <v/>
      </c>
      <c r="T957" s="237" t="str">
        <f>IF(ISBLANK(H957),,IFNA(VLOOKUP(H957, Circuits!A:X, 24, FALSE),))</f>
        <v/>
      </c>
      <c r="V957" s="236" t="str">
        <f>IFERROR(__xludf.DUMMYFUNCTION("IF(ISBLANK(H957),,JOIN("","",H957:T957))"),"")</f>
        <v/>
      </c>
      <c r="W957" s="229" t="str">
        <f t="shared" si="1"/>
        <v/>
      </c>
    </row>
    <row r="958">
      <c r="H958" s="237"/>
      <c r="I958" s="237" t="str">
        <f>IFERROR(__xludf.DUMMYFUNCTION("IF(ISBLANK(H958),,IFNA(""""""""&amp;JOIN("","",INDEX(FILTER(A:D,A:A=H958),0,4))&amp;"""""""",))"),"")</f>
        <v/>
      </c>
      <c r="J958" s="237" t="str">
        <f>IF(ISBLANK(H958),,IFNA(VLOOKUP(H958, Circuits!A:W, 23, FALSE),))</f>
        <v/>
      </c>
      <c r="K958" s="238" t="str">
        <f t="shared" si="2"/>
        <v/>
      </c>
      <c r="L958" s="238" t="str">
        <f t="shared" si="3"/>
        <v/>
      </c>
      <c r="M958" s="238" t="str">
        <f t="shared" si="4"/>
        <v/>
      </c>
      <c r="N958" s="238" t="str">
        <f t="shared" si="5"/>
        <v/>
      </c>
      <c r="O958" s="238" t="str">
        <f t="shared" si="6"/>
        <v/>
      </c>
      <c r="P958" s="237" t="str">
        <f>IFERROR(__xludf.DUMMYFUNCTION("IF(ISBLANK(H958),,IF(IFNA(MATCH(H958,SPLIT(Circuits!$S$2,"";""&amp;CHAR(10)),0),0),FALSE,TRUE))"),"")</f>
        <v/>
      </c>
      <c r="Q958" s="237" t="str">
        <f>IF(ISBLANK(H958),,IFNA(VLOOKUP(H958, Circuits!A:U, 21, FALSE),))</f>
        <v/>
      </c>
      <c r="R958" s="238" t="str">
        <f t="shared" si="7"/>
        <v/>
      </c>
      <c r="S958" s="237" t="str">
        <f>IF(ISBLANK(H958),,IFNA(VLOOKUP(H958, Circuits!A:V, 22, FALSE),))</f>
        <v/>
      </c>
      <c r="T958" s="237" t="str">
        <f>IF(ISBLANK(H958),,IFNA(VLOOKUP(H958, Circuits!A:X, 24, FALSE),))</f>
        <v/>
      </c>
      <c r="V958" s="236" t="str">
        <f>IFERROR(__xludf.DUMMYFUNCTION("IF(ISBLANK(H958),,JOIN("","",H958:T958))"),"")</f>
        <v/>
      </c>
      <c r="W958" s="229" t="str">
        <f t="shared" si="1"/>
        <v/>
      </c>
    </row>
    <row r="959">
      <c r="H959" s="237"/>
      <c r="I959" s="237" t="str">
        <f>IFERROR(__xludf.DUMMYFUNCTION("IF(ISBLANK(H959),,IFNA(""""""""&amp;JOIN("","",INDEX(FILTER(A:D,A:A=H959),0,4))&amp;"""""""",))"),"")</f>
        <v/>
      </c>
      <c r="J959" s="237" t="str">
        <f>IF(ISBLANK(H959),,IFNA(VLOOKUP(H959, Circuits!A:W, 23, FALSE),))</f>
        <v/>
      </c>
      <c r="K959" s="238" t="str">
        <f t="shared" si="2"/>
        <v/>
      </c>
      <c r="L959" s="238" t="str">
        <f t="shared" si="3"/>
        <v/>
      </c>
      <c r="M959" s="238" t="str">
        <f t="shared" si="4"/>
        <v/>
      </c>
      <c r="N959" s="238" t="str">
        <f t="shared" si="5"/>
        <v/>
      </c>
      <c r="O959" s="238" t="str">
        <f t="shared" si="6"/>
        <v/>
      </c>
      <c r="P959" s="237" t="str">
        <f>IFERROR(__xludf.DUMMYFUNCTION("IF(ISBLANK(H959),,IF(IFNA(MATCH(H959,SPLIT(Circuits!$S$2,"";""&amp;CHAR(10)),0),0),FALSE,TRUE))"),"")</f>
        <v/>
      </c>
      <c r="Q959" s="237" t="str">
        <f>IF(ISBLANK(H959),,IFNA(VLOOKUP(H959, Circuits!A:U, 21, FALSE),))</f>
        <v/>
      </c>
      <c r="R959" s="238" t="str">
        <f t="shared" si="7"/>
        <v/>
      </c>
      <c r="S959" s="237" t="str">
        <f>IF(ISBLANK(H959),,IFNA(VLOOKUP(H959, Circuits!A:V, 22, FALSE),))</f>
        <v/>
      </c>
      <c r="T959" s="237" t="str">
        <f>IF(ISBLANK(H959),,IFNA(VLOOKUP(H959, Circuits!A:X, 24, FALSE),))</f>
        <v/>
      </c>
      <c r="V959" s="236" t="str">
        <f>IFERROR(__xludf.DUMMYFUNCTION("IF(ISBLANK(H959),,JOIN("","",H959:T959))"),"")</f>
        <v/>
      </c>
      <c r="W959" s="229" t="str">
        <f t="shared" si="1"/>
        <v/>
      </c>
    </row>
    <row r="960">
      <c r="H960" s="237"/>
      <c r="I960" s="237" t="str">
        <f>IFERROR(__xludf.DUMMYFUNCTION("IF(ISBLANK(H960),,IFNA(""""""""&amp;JOIN("","",INDEX(FILTER(A:D,A:A=H960),0,4))&amp;"""""""",))"),"")</f>
        <v/>
      </c>
      <c r="J960" s="237" t="str">
        <f>IF(ISBLANK(H960),,IFNA(VLOOKUP(H960, Circuits!A:W, 23, FALSE),))</f>
        <v/>
      </c>
      <c r="K960" s="238" t="str">
        <f t="shared" si="2"/>
        <v/>
      </c>
      <c r="L960" s="238" t="str">
        <f t="shared" si="3"/>
        <v/>
      </c>
      <c r="M960" s="238" t="str">
        <f t="shared" si="4"/>
        <v/>
      </c>
      <c r="N960" s="238" t="str">
        <f t="shared" si="5"/>
        <v/>
      </c>
      <c r="O960" s="238" t="str">
        <f t="shared" si="6"/>
        <v/>
      </c>
      <c r="P960" s="237" t="str">
        <f>IFERROR(__xludf.DUMMYFUNCTION("IF(ISBLANK(H960),,IF(IFNA(MATCH(H960,SPLIT(Circuits!$S$2,"";""&amp;CHAR(10)),0),0),FALSE,TRUE))"),"")</f>
        <v/>
      </c>
      <c r="Q960" s="237" t="str">
        <f>IF(ISBLANK(H960),,IFNA(VLOOKUP(H960, Circuits!A:U, 21, FALSE),))</f>
        <v/>
      </c>
      <c r="R960" s="238" t="str">
        <f t="shared" si="7"/>
        <v/>
      </c>
      <c r="S960" s="237" t="str">
        <f>IF(ISBLANK(H960),,IFNA(VLOOKUP(H960, Circuits!A:V, 22, FALSE),))</f>
        <v/>
      </c>
      <c r="T960" s="237" t="str">
        <f>IF(ISBLANK(H960),,IFNA(VLOOKUP(H960, Circuits!A:X, 24, FALSE),))</f>
        <v/>
      </c>
      <c r="V960" s="236" t="str">
        <f>IFERROR(__xludf.DUMMYFUNCTION("IF(ISBLANK(H960),,JOIN("","",H960:T960))"),"")</f>
        <v/>
      </c>
      <c r="W960" s="229" t="str">
        <f t="shared" si="1"/>
        <v/>
      </c>
    </row>
    <row r="961">
      <c r="H961" s="237"/>
      <c r="I961" s="237" t="str">
        <f>IFERROR(__xludf.DUMMYFUNCTION("IF(ISBLANK(H961),,IFNA(""""""""&amp;JOIN("","",INDEX(FILTER(A:D,A:A=H961),0,4))&amp;"""""""",))"),"")</f>
        <v/>
      </c>
      <c r="J961" s="237" t="str">
        <f>IF(ISBLANK(H961),,IFNA(VLOOKUP(H961, Circuits!A:W, 23, FALSE),))</f>
        <v/>
      </c>
      <c r="K961" s="238" t="str">
        <f t="shared" si="2"/>
        <v/>
      </c>
      <c r="L961" s="238" t="str">
        <f t="shared" si="3"/>
        <v/>
      </c>
      <c r="M961" s="238" t="str">
        <f t="shared" si="4"/>
        <v/>
      </c>
      <c r="N961" s="238" t="str">
        <f t="shared" si="5"/>
        <v/>
      </c>
      <c r="O961" s="238" t="str">
        <f t="shared" si="6"/>
        <v/>
      </c>
      <c r="P961" s="237" t="str">
        <f>IFERROR(__xludf.DUMMYFUNCTION("IF(ISBLANK(H961),,IF(IFNA(MATCH(H961,SPLIT(Circuits!$S$2,"";""&amp;CHAR(10)),0),0),FALSE,TRUE))"),"")</f>
        <v/>
      </c>
      <c r="Q961" s="237" t="str">
        <f>IF(ISBLANK(H961),,IFNA(VLOOKUP(H961, Circuits!A:U, 21, FALSE),))</f>
        <v/>
      </c>
      <c r="R961" s="238" t="str">
        <f t="shared" si="7"/>
        <v/>
      </c>
      <c r="S961" s="237" t="str">
        <f>IF(ISBLANK(H961),,IFNA(VLOOKUP(H961, Circuits!A:V, 22, FALSE),))</f>
        <v/>
      </c>
      <c r="T961" s="237" t="str">
        <f>IF(ISBLANK(H961),,IFNA(VLOOKUP(H961, Circuits!A:X, 24, FALSE),))</f>
        <v/>
      </c>
      <c r="V961" s="236" t="str">
        <f>IFERROR(__xludf.DUMMYFUNCTION("IF(ISBLANK(H961),,JOIN("","",H961:T961))"),"")</f>
        <v/>
      </c>
      <c r="W961" s="229" t="str">
        <f t="shared" si="1"/>
        <v/>
      </c>
    </row>
    <row r="962">
      <c r="H962" s="237"/>
      <c r="I962" s="237" t="str">
        <f>IFERROR(__xludf.DUMMYFUNCTION("IF(ISBLANK(H962),,IFNA(""""""""&amp;JOIN("","",INDEX(FILTER(A:D,A:A=H962),0,4))&amp;"""""""",))"),"")</f>
        <v/>
      </c>
      <c r="J962" s="237" t="str">
        <f>IF(ISBLANK(H962),,IFNA(VLOOKUP(H962, Circuits!A:W, 23, FALSE),))</f>
        <v/>
      </c>
      <c r="K962" s="238" t="str">
        <f t="shared" si="2"/>
        <v/>
      </c>
      <c r="L962" s="238" t="str">
        <f t="shared" si="3"/>
        <v/>
      </c>
      <c r="M962" s="238" t="str">
        <f t="shared" si="4"/>
        <v/>
      </c>
      <c r="N962" s="238" t="str">
        <f t="shared" si="5"/>
        <v/>
      </c>
      <c r="O962" s="238" t="str">
        <f t="shared" si="6"/>
        <v/>
      </c>
      <c r="P962" s="237" t="str">
        <f>IFERROR(__xludf.DUMMYFUNCTION("IF(ISBLANK(H962),,IF(IFNA(MATCH(H962,SPLIT(Circuits!$S$2,"";""&amp;CHAR(10)),0),0),FALSE,TRUE))"),"")</f>
        <v/>
      </c>
      <c r="Q962" s="237" t="str">
        <f>IF(ISBLANK(H962),,IFNA(VLOOKUP(H962, Circuits!A:U, 21, FALSE),))</f>
        <v/>
      </c>
      <c r="R962" s="238" t="str">
        <f t="shared" si="7"/>
        <v/>
      </c>
      <c r="S962" s="237" t="str">
        <f>IF(ISBLANK(H962),,IFNA(VLOOKUP(H962, Circuits!A:V, 22, FALSE),))</f>
        <v/>
      </c>
      <c r="T962" s="237" t="str">
        <f>IF(ISBLANK(H962),,IFNA(VLOOKUP(H962, Circuits!A:X, 24, FALSE),))</f>
        <v/>
      </c>
      <c r="V962" s="236" t="str">
        <f>IFERROR(__xludf.DUMMYFUNCTION("IF(ISBLANK(H962),,JOIN("","",H962:T962))"),"")</f>
        <v/>
      </c>
      <c r="W962" s="229" t="str">
        <f t="shared" si="1"/>
        <v/>
      </c>
    </row>
    <row r="963">
      <c r="H963" s="237"/>
      <c r="I963" s="237" t="str">
        <f>IFERROR(__xludf.DUMMYFUNCTION("IF(ISBLANK(H963),,IFNA(""""""""&amp;JOIN("","",INDEX(FILTER(A:D,A:A=H963),0,4))&amp;"""""""",))"),"")</f>
        <v/>
      </c>
      <c r="J963" s="237" t="str">
        <f>IF(ISBLANK(H963),,IFNA(VLOOKUP(H963, Circuits!A:W, 23, FALSE),))</f>
        <v/>
      </c>
      <c r="K963" s="238" t="str">
        <f t="shared" si="2"/>
        <v/>
      </c>
      <c r="L963" s="238" t="str">
        <f t="shared" si="3"/>
        <v/>
      </c>
      <c r="M963" s="238" t="str">
        <f t="shared" si="4"/>
        <v/>
      </c>
      <c r="N963" s="238" t="str">
        <f t="shared" si="5"/>
        <v/>
      </c>
      <c r="O963" s="238" t="str">
        <f t="shared" si="6"/>
        <v/>
      </c>
      <c r="P963" s="237" t="str">
        <f>IFERROR(__xludf.DUMMYFUNCTION("IF(ISBLANK(H963),,IF(IFNA(MATCH(H963,SPLIT(Circuits!$S$2,"";""&amp;CHAR(10)),0),0),FALSE,TRUE))"),"")</f>
        <v/>
      </c>
      <c r="Q963" s="237" t="str">
        <f>IF(ISBLANK(H963),,IFNA(VLOOKUP(H963, Circuits!A:U, 21, FALSE),))</f>
        <v/>
      </c>
      <c r="R963" s="238" t="str">
        <f t="shared" si="7"/>
        <v/>
      </c>
      <c r="S963" s="237" t="str">
        <f>IF(ISBLANK(H963),,IFNA(VLOOKUP(H963, Circuits!A:V, 22, FALSE),))</f>
        <v/>
      </c>
      <c r="T963" s="237" t="str">
        <f>IF(ISBLANK(H963),,IFNA(VLOOKUP(H963, Circuits!A:X, 24, FALSE),))</f>
        <v/>
      </c>
      <c r="V963" s="236" t="str">
        <f>IFERROR(__xludf.DUMMYFUNCTION("IF(ISBLANK(H963),,JOIN("","",H963:T963))"),"")</f>
        <v/>
      </c>
      <c r="W963" s="229" t="str">
        <f t="shared" si="1"/>
        <v/>
      </c>
    </row>
    <row r="964">
      <c r="H964" s="237"/>
      <c r="I964" s="237" t="str">
        <f>IFERROR(__xludf.DUMMYFUNCTION("IF(ISBLANK(H964),,IFNA(""""""""&amp;JOIN("","",INDEX(FILTER(A:D,A:A=H964),0,4))&amp;"""""""",))"),"")</f>
        <v/>
      </c>
      <c r="J964" s="237" t="str">
        <f>IF(ISBLANK(H964),,IFNA(VLOOKUP(H964, Circuits!A:W, 23, FALSE),))</f>
        <v/>
      </c>
      <c r="K964" s="238" t="str">
        <f t="shared" si="2"/>
        <v/>
      </c>
      <c r="L964" s="238" t="str">
        <f t="shared" si="3"/>
        <v/>
      </c>
      <c r="M964" s="238" t="str">
        <f t="shared" si="4"/>
        <v/>
      </c>
      <c r="N964" s="238" t="str">
        <f t="shared" si="5"/>
        <v/>
      </c>
      <c r="O964" s="238" t="str">
        <f t="shared" si="6"/>
        <v/>
      </c>
      <c r="P964" s="237" t="str">
        <f>IFERROR(__xludf.DUMMYFUNCTION("IF(ISBLANK(H964),,IF(IFNA(MATCH(H964,SPLIT(Circuits!$S$2,"";""&amp;CHAR(10)),0),0),FALSE,TRUE))"),"")</f>
        <v/>
      </c>
      <c r="Q964" s="237" t="str">
        <f>IF(ISBLANK(H964),,IFNA(VLOOKUP(H964, Circuits!A:U, 21, FALSE),))</f>
        <v/>
      </c>
      <c r="R964" s="238" t="str">
        <f t="shared" si="7"/>
        <v/>
      </c>
      <c r="S964" s="237" t="str">
        <f>IF(ISBLANK(H964),,IFNA(VLOOKUP(H964, Circuits!A:V, 22, FALSE),))</f>
        <v/>
      </c>
      <c r="T964" s="237" t="str">
        <f>IF(ISBLANK(H964),,IFNA(VLOOKUP(H964, Circuits!A:X, 24, FALSE),))</f>
        <v/>
      </c>
      <c r="V964" s="236" t="str">
        <f>IFERROR(__xludf.DUMMYFUNCTION("IF(ISBLANK(H964),,JOIN("","",H964:T964))"),"")</f>
        <v/>
      </c>
      <c r="W964" s="229" t="str">
        <f t="shared" si="1"/>
        <v/>
      </c>
    </row>
    <row r="965">
      <c r="H965" s="237"/>
      <c r="I965" s="237" t="str">
        <f>IFERROR(__xludf.DUMMYFUNCTION("IF(ISBLANK(H965),,IFNA(""""""""&amp;JOIN("","",INDEX(FILTER(A:D,A:A=H965),0,4))&amp;"""""""",))"),"")</f>
        <v/>
      </c>
      <c r="J965" s="237" t="str">
        <f>IF(ISBLANK(H965),,IFNA(VLOOKUP(H965, Circuits!A:W, 23, FALSE),))</f>
        <v/>
      </c>
      <c r="K965" s="238" t="str">
        <f t="shared" si="2"/>
        <v/>
      </c>
      <c r="L965" s="238" t="str">
        <f t="shared" si="3"/>
        <v/>
      </c>
      <c r="M965" s="238" t="str">
        <f t="shared" si="4"/>
        <v/>
      </c>
      <c r="N965" s="238" t="str">
        <f t="shared" si="5"/>
        <v/>
      </c>
      <c r="O965" s="238" t="str">
        <f t="shared" si="6"/>
        <v/>
      </c>
      <c r="P965" s="237" t="str">
        <f>IFERROR(__xludf.DUMMYFUNCTION("IF(ISBLANK(H965),,IF(IFNA(MATCH(H965,SPLIT(Circuits!$S$2,"";""&amp;CHAR(10)),0),0),FALSE,TRUE))"),"")</f>
        <v/>
      </c>
      <c r="Q965" s="237" t="str">
        <f>IF(ISBLANK(H965),,IFNA(VLOOKUP(H965, Circuits!A:U, 21, FALSE),))</f>
        <v/>
      </c>
      <c r="R965" s="238" t="str">
        <f t="shared" si="7"/>
        <v/>
      </c>
      <c r="S965" s="237" t="str">
        <f>IF(ISBLANK(H965),,IFNA(VLOOKUP(H965, Circuits!A:V, 22, FALSE),))</f>
        <v/>
      </c>
      <c r="T965" s="237" t="str">
        <f>IF(ISBLANK(H965),,IFNA(VLOOKUP(H965, Circuits!A:X, 24, FALSE),))</f>
        <v/>
      </c>
      <c r="V965" s="236" t="str">
        <f>IFERROR(__xludf.DUMMYFUNCTION("IF(ISBLANK(H965),,JOIN("","",H965:T965))"),"")</f>
        <v/>
      </c>
      <c r="W965" s="229" t="str">
        <f t="shared" si="1"/>
        <v/>
      </c>
    </row>
    <row r="966">
      <c r="H966" s="237"/>
      <c r="I966" s="237" t="str">
        <f>IFERROR(__xludf.DUMMYFUNCTION("IF(ISBLANK(H966),,IFNA(""""""""&amp;JOIN("","",INDEX(FILTER(A:D,A:A=H966),0,4))&amp;"""""""",))"),"")</f>
        <v/>
      </c>
      <c r="J966" s="237" t="str">
        <f>IF(ISBLANK(H966),,IFNA(VLOOKUP(H966, Circuits!A:W, 23, FALSE),))</f>
        <v/>
      </c>
      <c r="K966" s="238" t="str">
        <f t="shared" si="2"/>
        <v/>
      </c>
      <c r="L966" s="238" t="str">
        <f t="shared" si="3"/>
        <v/>
      </c>
      <c r="M966" s="238" t="str">
        <f t="shared" si="4"/>
        <v/>
      </c>
      <c r="N966" s="238" t="str">
        <f t="shared" si="5"/>
        <v/>
      </c>
      <c r="O966" s="238" t="str">
        <f t="shared" si="6"/>
        <v/>
      </c>
      <c r="P966" s="237" t="str">
        <f>IFERROR(__xludf.DUMMYFUNCTION("IF(ISBLANK(H966),,IF(IFNA(MATCH(H966,SPLIT(Circuits!$S$2,"";""&amp;CHAR(10)),0),0),FALSE,TRUE))"),"")</f>
        <v/>
      </c>
      <c r="Q966" s="237" t="str">
        <f>IF(ISBLANK(H966),,IFNA(VLOOKUP(H966, Circuits!A:U, 21, FALSE),))</f>
        <v/>
      </c>
      <c r="R966" s="238" t="str">
        <f t="shared" si="7"/>
        <v/>
      </c>
      <c r="S966" s="237" t="str">
        <f>IF(ISBLANK(H966),,IFNA(VLOOKUP(H966, Circuits!A:V, 22, FALSE),))</f>
        <v/>
      </c>
      <c r="T966" s="237" t="str">
        <f>IF(ISBLANK(H966),,IFNA(VLOOKUP(H966, Circuits!A:X, 24, FALSE),))</f>
        <v/>
      </c>
      <c r="V966" s="236" t="str">
        <f>IFERROR(__xludf.DUMMYFUNCTION("IF(ISBLANK(H966),,JOIN("","",H966:T966))"),"")</f>
        <v/>
      </c>
      <c r="W966" s="229" t="str">
        <f t="shared" si="1"/>
        <v/>
      </c>
    </row>
    <row r="967">
      <c r="H967" s="237"/>
      <c r="I967" s="237" t="str">
        <f>IFERROR(__xludf.DUMMYFUNCTION("IF(ISBLANK(H967),,IFNA(""""""""&amp;JOIN("","",INDEX(FILTER(A:D,A:A=H967),0,4))&amp;"""""""",))"),"")</f>
        <v/>
      </c>
      <c r="J967" s="237" t="str">
        <f>IF(ISBLANK(H967),,IFNA(VLOOKUP(H967, Circuits!A:W, 23, FALSE),))</f>
        <v/>
      </c>
      <c r="K967" s="238" t="str">
        <f t="shared" si="2"/>
        <v/>
      </c>
      <c r="L967" s="238" t="str">
        <f t="shared" si="3"/>
        <v/>
      </c>
      <c r="M967" s="238" t="str">
        <f t="shared" si="4"/>
        <v/>
      </c>
      <c r="N967" s="238" t="str">
        <f t="shared" si="5"/>
        <v/>
      </c>
      <c r="O967" s="238" t="str">
        <f t="shared" si="6"/>
        <v/>
      </c>
      <c r="P967" s="237" t="str">
        <f>IFERROR(__xludf.DUMMYFUNCTION("IF(ISBLANK(H967),,IF(IFNA(MATCH(H967,SPLIT(Circuits!$S$2,"";""&amp;CHAR(10)),0),0),FALSE,TRUE))"),"")</f>
        <v/>
      </c>
      <c r="Q967" s="237" t="str">
        <f>IF(ISBLANK(H967),,IFNA(VLOOKUP(H967, Circuits!A:U, 21, FALSE),))</f>
        <v/>
      </c>
      <c r="R967" s="238" t="str">
        <f t="shared" si="7"/>
        <v/>
      </c>
      <c r="S967" s="237" t="str">
        <f>IF(ISBLANK(H967),,IFNA(VLOOKUP(H967, Circuits!A:V, 22, FALSE),))</f>
        <v/>
      </c>
      <c r="T967" s="237" t="str">
        <f>IF(ISBLANK(H967),,IFNA(VLOOKUP(H967, Circuits!A:X, 24, FALSE),))</f>
        <v/>
      </c>
      <c r="V967" s="236" t="str">
        <f>IFERROR(__xludf.DUMMYFUNCTION("IF(ISBLANK(H967),,JOIN("","",H967:T967))"),"")</f>
        <v/>
      </c>
      <c r="W967" s="229" t="str">
        <f t="shared" si="1"/>
        <v/>
      </c>
    </row>
    <row r="968">
      <c r="H968" s="237"/>
      <c r="I968" s="237" t="str">
        <f>IFERROR(__xludf.DUMMYFUNCTION("IF(ISBLANK(H968),,IFNA(""""""""&amp;JOIN("","",INDEX(FILTER(A:D,A:A=H968),0,4))&amp;"""""""",))"),"")</f>
        <v/>
      </c>
      <c r="J968" s="237" t="str">
        <f>IF(ISBLANK(H968),,IFNA(VLOOKUP(H968, Circuits!A:W, 23, FALSE),))</f>
        <v/>
      </c>
      <c r="K968" s="238" t="str">
        <f t="shared" si="2"/>
        <v/>
      </c>
      <c r="L968" s="238" t="str">
        <f t="shared" si="3"/>
        <v/>
      </c>
      <c r="M968" s="238" t="str">
        <f t="shared" si="4"/>
        <v/>
      </c>
      <c r="N968" s="238" t="str">
        <f t="shared" si="5"/>
        <v/>
      </c>
      <c r="O968" s="238" t="str">
        <f t="shared" si="6"/>
        <v/>
      </c>
      <c r="P968" s="237" t="str">
        <f>IFERROR(__xludf.DUMMYFUNCTION("IF(ISBLANK(H968),,IF(IFNA(MATCH(H968,SPLIT(Circuits!$S$2,"";""&amp;CHAR(10)),0),0),FALSE,TRUE))"),"")</f>
        <v/>
      </c>
      <c r="Q968" s="237" t="str">
        <f>IF(ISBLANK(H968),,IFNA(VLOOKUP(H968, Circuits!A:U, 21, FALSE),))</f>
        <v/>
      </c>
      <c r="R968" s="238" t="str">
        <f t="shared" si="7"/>
        <v/>
      </c>
      <c r="S968" s="237" t="str">
        <f>IF(ISBLANK(H968),,IFNA(VLOOKUP(H968, Circuits!A:V, 22, FALSE),))</f>
        <v/>
      </c>
      <c r="T968" s="237" t="str">
        <f>IF(ISBLANK(H968),,IFNA(VLOOKUP(H968, Circuits!A:X, 24, FALSE),))</f>
        <v/>
      </c>
      <c r="V968" s="236" t="str">
        <f>IFERROR(__xludf.DUMMYFUNCTION("IF(ISBLANK(H968),,JOIN("","",H968:T968))"),"")</f>
        <v/>
      </c>
      <c r="W968" s="229" t="str">
        <f t="shared" si="1"/>
        <v/>
      </c>
    </row>
    <row r="969">
      <c r="H969" s="237"/>
      <c r="I969" s="237" t="str">
        <f>IFERROR(__xludf.DUMMYFUNCTION("IF(ISBLANK(H969),,IFNA(""""""""&amp;JOIN("","",INDEX(FILTER(A:D,A:A=H969),0,4))&amp;"""""""",))"),"")</f>
        <v/>
      </c>
      <c r="J969" s="237" t="str">
        <f>IF(ISBLANK(H969),,IFNA(VLOOKUP(H969, Circuits!A:W, 23, FALSE),))</f>
        <v/>
      </c>
      <c r="K969" s="238" t="str">
        <f t="shared" si="2"/>
        <v/>
      </c>
      <c r="L969" s="238" t="str">
        <f t="shared" si="3"/>
        <v/>
      </c>
      <c r="M969" s="238" t="str">
        <f t="shared" si="4"/>
        <v/>
      </c>
      <c r="N969" s="238" t="str">
        <f t="shared" si="5"/>
        <v/>
      </c>
      <c r="O969" s="238" t="str">
        <f t="shared" si="6"/>
        <v/>
      </c>
      <c r="P969" s="237" t="str">
        <f>IFERROR(__xludf.DUMMYFUNCTION("IF(ISBLANK(H969),,IF(IFNA(MATCH(H969,SPLIT(Circuits!$S$2,"";""&amp;CHAR(10)),0),0),FALSE,TRUE))"),"")</f>
        <v/>
      </c>
      <c r="Q969" s="237" t="str">
        <f>IF(ISBLANK(H969),,IFNA(VLOOKUP(H969, Circuits!A:U, 21, FALSE),))</f>
        <v/>
      </c>
      <c r="R969" s="238" t="str">
        <f t="shared" si="7"/>
        <v/>
      </c>
      <c r="S969" s="237" t="str">
        <f>IF(ISBLANK(H969),,IFNA(VLOOKUP(H969, Circuits!A:V, 22, FALSE),))</f>
        <v/>
      </c>
      <c r="T969" s="237" t="str">
        <f>IF(ISBLANK(H969),,IFNA(VLOOKUP(H969, Circuits!A:X, 24, FALSE),))</f>
        <v/>
      </c>
      <c r="V969" s="236" t="str">
        <f>IFERROR(__xludf.DUMMYFUNCTION("IF(ISBLANK(H969),,JOIN("","",H969:T969))"),"")</f>
        <v/>
      </c>
      <c r="W969" s="229" t="str">
        <f t="shared" si="1"/>
        <v/>
      </c>
    </row>
    <row r="970">
      <c r="H970" s="237"/>
      <c r="I970" s="237" t="str">
        <f>IFERROR(__xludf.DUMMYFUNCTION("IF(ISBLANK(H970),,IFNA(""""""""&amp;JOIN("","",INDEX(FILTER(A:D,A:A=H970),0,4))&amp;"""""""",))"),"")</f>
        <v/>
      </c>
      <c r="J970" s="237" t="str">
        <f>IF(ISBLANK(H970),,IFNA(VLOOKUP(H970, Circuits!A:W, 23, FALSE),))</f>
        <v/>
      </c>
      <c r="K970" s="238" t="str">
        <f t="shared" si="2"/>
        <v/>
      </c>
      <c r="L970" s="238" t="str">
        <f t="shared" si="3"/>
        <v/>
      </c>
      <c r="M970" s="238" t="str">
        <f t="shared" si="4"/>
        <v/>
      </c>
      <c r="N970" s="238" t="str">
        <f t="shared" si="5"/>
        <v/>
      </c>
      <c r="O970" s="238" t="str">
        <f t="shared" si="6"/>
        <v/>
      </c>
      <c r="P970" s="237" t="str">
        <f>IFERROR(__xludf.DUMMYFUNCTION("IF(ISBLANK(H970),,IF(IFNA(MATCH(H970,SPLIT(Circuits!$S$2,"";""&amp;CHAR(10)),0),0),FALSE,TRUE))"),"")</f>
        <v/>
      </c>
      <c r="Q970" s="237" t="str">
        <f>IF(ISBLANK(H970),,IFNA(VLOOKUP(H970, Circuits!A:U, 21, FALSE),))</f>
        <v/>
      </c>
      <c r="R970" s="238" t="str">
        <f t="shared" si="7"/>
        <v/>
      </c>
      <c r="S970" s="237" t="str">
        <f>IF(ISBLANK(H970),,IFNA(VLOOKUP(H970, Circuits!A:V, 22, FALSE),))</f>
        <v/>
      </c>
      <c r="T970" s="237" t="str">
        <f>IF(ISBLANK(H970),,IFNA(VLOOKUP(H970, Circuits!A:X, 24, FALSE),))</f>
        <v/>
      </c>
      <c r="V970" s="236" t="str">
        <f>IFERROR(__xludf.DUMMYFUNCTION("IF(ISBLANK(H970),,JOIN("","",H970:T970))"),"")</f>
        <v/>
      </c>
      <c r="W970" s="229" t="str">
        <f t="shared" si="1"/>
        <v/>
      </c>
    </row>
    <row r="971">
      <c r="H971" s="237"/>
      <c r="I971" s="237" t="str">
        <f>IFERROR(__xludf.DUMMYFUNCTION("IF(ISBLANK(H971),,IFNA(""""""""&amp;JOIN("","",INDEX(FILTER(A:D,A:A=H971),0,4))&amp;"""""""",))"),"")</f>
        <v/>
      </c>
      <c r="J971" s="237" t="str">
        <f>IF(ISBLANK(H971),,IFNA(VLOOKUP(H971, Circuits!A:W, 23, FALSE),))</f>
        <v/>
      </c>
      <c r="K971" s="238" t="str">
        <f t="shared" si="2"/>
        <v/>
      </c>
      <c r="L971" s="238" t="str">
        <f t="shared" si="3"/>
        <v/>
      </c>
      <c r="M971" s="238" t="str">
        <f t="shared" si="4"/>
        <v/>
      </c>
      <c r="N971" s="238" t="str">
        <f t="shared" si="5"/>
        <v/>
      </c>
      <c r="O971" s="238" t="str">
        <f t="shared" si="6"/>
        <v/>
      </c>
      <c r="P971" s="237" t="str">
        <f>IFERROR(__xludf.DUMMYFUNCTION("IF(ISBLANK(H971),,IF(IFNA(MATCH(H971,SPLIT(Circuits!$S$2,"";""&amp;CHAR(10)),0),0),FALSE,TRUE))"),"")</f>
        <v/>
      </c>
      <c r="Q971" s="237" t="str">
        <f>IF(ISBLANK(H971),,IFNA(VLOOKUP(H971, Circuits!A:U, 21, FALSE),))</f>
        <v/>
      </c>
      <c r="R971" s="238" t="str">
        <f t="shared" si="7"/>
        <v/>
      </c>
      <c r="S971" s="237" t="str">
        <f>IF(ISBLANK(H971),,IFNA(VLOOKUP(H971, Circuits!A:V, 22, FALSE),))</f>
        <v/>
      </c>
      <c r="T971" s="237" t="str">
        <f>IF(ISBLANK(H971),,IFNA(VLOOKUP(H971, Circuits!A:X, 24, FALSE),))</f>
        <v/>
      </c>
      <c r="V971" s="236" t="str">
        <f>IFERROR(__xludf.DUMMYFUNCTION("IF(ISBLANK(H971),,JOIN("","",H971:T971))"),"")</f>
        <v/>
      </c>
      <c r="W971" s="229" t="str">
        <f t="shared" si="1"/>
        <v/>
      </c>
    </row>
    <row r="972">
      <c r="H972" s="237"/>
      <c r="I972" s="237" t="str">
        <f>IFERROR(__xludf.DUMMYFUNCTION("IF(ISBLANK(H972),,IFNA(""""""""&amp;JOIN("","",INDEX(FILTER(A:D,A:A=H972),0,4))&amp;"""""""",))"),"")</f>
        <v/>
      </c>
      <c r="J972" s="237" t="str">
        <f>IF(ISBLANK(H972),,IFNA(VLOOKUP(H972, Circuits!A:W, 23, FALSE),))</f>
        <v/>
      </c>
      <c r="K972" s="238" t="str">
        <f t="shared" si="2"/>
        <v/>
      </c>
      <c r="L972" s="238" t="str">
        <f t="shared" si="3"/>
        <v/>
      </c>
      <c r="M972" s="238" t="str">
        <f t="shared" si="4"/>
        <v/>
      </c>
      <c r="N972" s="238" t="str">
        <f t="shared" si="5"/>
        <v/>
      </c>
      <c r="O972" s="238" t="str">
        <f t="shared" si="6"/>
        <v/>
      </c>
      <c r="P972" s="237" t="str">
        <f>IFERROR(__xludf.DUMMYFUNCTION("IF(ISBLANK(H972),,IF(IFNA(MATCH(H972,SPLIT(Circuits!$S$2,"";""&amp;CHAR(10)),0),0),FALSE,TRUE))"),"")</f>
        <v/>
      </c>
      <c r="Q972" s="237" t="str">
        <f>IF(ISBLANK(H972),,IFNA(VLOOKUP(H972, Circuits!A:U, 21, FALSE),))</f>
        <v/>
      </c>
      <c r="R972" s="238" t="str">
        <f t="shared" si="7"/>
        <v/>
      </c>
      <c r="S972" s="237" t="str">
        <f>IF(ISBLANK(H972),,IFNA(VLOOKUP(H972, Circuits!A:V, 22, FALSE),))</f>
        <v/>
      </c>
      <c r="T972" s="237" t="str">
        <f>IF(ISBLANK(H972),,IFNA(VLOOKUP(H972, Circuits!A:X, 24, FALSE),))</f>
        <v/>
      </c>
      <c r="V972" s="236" t="str">
        <f>IFERROR(__xludf.DUMMYFUNCTION("IF(ISBLANK(H972),,JOIN("","",H972:T972))"),"")</f>
        <v/>
      </c>
      <c r="W972" s="229" t="str">
        <f t="shared" si="1"/>
        <v/>
      </c>
    </row>
    <row r="973">
      <c r="H973" s="237"/>
      <c r="I973" s="237" t="str">
        <f>IFERROR(__xludf.DUMMYFUNCTION("IF(ISBLANK(H973),,IFNA(""""""""&amp;JOIN("","",INDEX(FILTER(A:D,A:A=H973),0,4))&amp;"""""""",))"),"")</f>
        <v/>
      </c>
      <c r="J973" s="237" t="str">
        <f>IF(ISBLANK(H973),,IFNA(VLOOKUP(H973, Circuits!A:W, 23, FALSE),))</f>
        <v/>
      </c>
      <c r="K973" s="238" t="str">
        <f t="shared" si="2"/>
        <v/>
      </c>
      <c r="L973" s="238" t="str">
        <f t="shared" si="3"/>
        <v/>
      </c>
      <c r="M973" s="238" t="str">
        <f t="shared" si="4"/>
        <v/>
      </c>
      <c r="N973" s="238" t="str">
        <f t="shared" si="5"/>
        <v/>
      </c>
      <c r="O973" s="238" t="str">
        <f t="shared" si="6"/>
        <v/>
      </c>
      <c r="P973" s="237" t="str">
        <f>IFERROR(__xludf.DUMMYFUNCTION("IF(ISBLANK(H973),,IF(IFNA(MATCH(H973,SPLIT(Circuits!$S$2,"";""&amp;CHAR(10)),0),0),FALSE,TRUE))"),"")</f>
        <v/>
      </c>
      <c r="Q973" s="237" t="str">
        <f>IF(ISBLANK(H973),,IFNA(VLOOKUP(H973, Circuits!A:U, 21, FALSE),))</f>
        <v/>
      </c>
      <c r="R973" s="238" t="str">
        <f t="shared" si="7"/>
        <v/>
      </c>
      <c r="S973" s="237" t="str">
        <f>IF(ISBLANK(H973),,IFNA(VLOOKUP(H973, Circuits!A:V, 22, FALSE),))</f>
        <v/>
      </c>
      <c r="T973" s="237" t="str">
        <f>IF(ISBLANK(H973),,IFNA(VLOOKUP(H973, Circuits!A:X, 24, FALSE),))</f>
        <v/>
      </c>
      <c r="V973" s="236" t="str">
        <f>IFERROR(__xludf.DUMMYFUNCTION("IF(ISBLANK(H973),,JOIN("","",H973:T973))"),"")</f>
        <v/>
      </c>
      <c r="W973" s="229" t="str">
        <f t="shared" si="1"/>
        <v/>
      </c>
    </row>
    <row r="974">
      <c r="H974" s="237"/>
      <c r="I974" s="237" t="str">
        <f>IFERROR(__xludf.DUMMYFUNCTION("IF(ISBLANK(H974),,IFNA(""""""""&amp;JOIN("","",INDEX(FILTER(A:D,A:A=H974),0,4))&amp;"""""""",))"),"")</f>
        <v/>
      </c>
      <c r="J974" s="237" t="str">
        <f>IF(ISBLANK(H974),,IFNA(VLOOKUP(H974, Circuits!A:W, 23, FALSE),))</f>
        <v/>
      </c>
      <c r="K974" s="238" t="str">
        <f t="shared" si="2"/>
        <v/>
      </c>
      <c r="L974" s="238" t="str">
        <f t="shared" si="3"/>
        <v/>
      </c>
      <c r="M974" s="238" t="str">
        <f t="shared" si="4"/>
        <v/>
      </c>
      <c r="N974" s="238" t="str">
        <f t="shared" si="5"/>
        <v/>
      </c>
      <c r="O974" s="238" t="str">
        <f t="shared" si="6"/>
        <v/>
      </c>
      <c r="P974" s="237" t="str">
        <f>IFERROR(__xludf.DUMMYFUNCTION("IF(ISBLANK(H974),,IF(IFNA(MATCH(H974,SPLIT(Circuits!$S$2,"";""&amp;CHAR(10)),0),0),FALSE,TRUE))"),"")</f>
        <v/>
      </c>
      <c r="Q974" s="237" t="str">
        <f>IF(ISBLANK(H974),,IFNA(VLOOKUP(H974, Circuits!A:U, 21, FALSE),))</f>
        <v/>
      </c>
      <c r="R974" s="238" t="str">
        <f t="shared" si="7"/>
        <v/>
      </c>
      <c r="S974" s="237" t="str">
        <f>IF(ISBLANK(H974),,IFNA(VLOOKUP(H974, Circuits!A:V, 22, FALSE),))</f>
        <v/>
      </c>
      <c r="T974" s="237" t="str">
        <f>IF(ISBLANK(H974),,IFNA(VLOOKUP(H974, Circuits!A:X, 24, FALSE),))</f>
        <v/>
      </c>
      <c r="V974" s="236" t="str">
        <f>IFERROR(__xludf.DUMMYFUNCTION("IF(ISBLANK(H974),,JOIN("","",H974:T974))"),"")</f>
        <v/>
      </c>
      <c r="W974" s="229" t="str">
        <f t="shared" si="1"/>
        <v/>
      </c>
    </row>
    <row r="975">
      <c r="H975" s="237"/>
      <c r="I975" s="237" t="str">
        <f>IFERROR(__xludf.DUMMYFUNCTION("IF(ISBLANK(H975),,IFNA(""""""""&amp;JOIN("","",INDEX(FILTER(A:D,A:A=H975),0,4))&amp;"""""""",))"),"")</f>
        <v/>
      </c>
      <c r="J975" s="237" t="str">
        <f>IF(ISBLANK(H975),,IFNA(VLOOKUP(H975, Circuits!A:W, 23, FALSE),))</f>
        <v/>
      </c>
      <c r="K975" s="238" t="str">
        <f t="shared" si="2"/>
        <v/>
      </c>
      <c r="L975" s="238" t="str">
        <f t="shared" si="3"/>
        <v/>
      </c>
      <c r="M975" s="238" t="str">
        <f t="shared" si="4"/>
        <v/>
      </c>
      <c r="N975" s="238" t="str">
        <f t="shared" si="5"/>
        <v/>
      </c>
      <c r="O975" s="238" t="str">
        <f t="shared" si="6"/>
        <v/>
      </c>
      <c r="P975" s="237" t="str">
        <f>IFERROR(__xludf.DUMMYFUNCTION("IF(ISBLANK(H975),,IF(IFNA(MATCH(H975,SPLIT(Circuits!$S$2,"";""&amp;CHAR(10)),0),0),FALSE,TRUE))"),"")</f>
        <v/>
      </c>
      <c r="Q975" s="237" t="str">
        <f>IF(ISBLANK(H975),,IFNA(VLOOKUP(H975, Circuits!A:U, 21, FALSE),))</f>
        <v/>
      </c>
      <c r="R975" s="238" t="str">
        <f t="shared" si="7"/>
        <v/>
      </c>
      <c r="S975" s="237" t="str">
        <f>IF(ISBLANK(H975),,IFNA(VLOOKUP(H975, Circuits!A:V, 22, FALSE),))</f>
        <v/>
      </c>
      <c r="T975" s="237" t="str">
        <f>IF(ISBLANK(H975),,IFNA(VLOOKUP(H975, Circuits!A:X, 24, FALSE),))</f>
        <v/>
      </c>
      <c r="V975" s="236" t="str">
        <f>IFERROR(__xludf.DUMMYFUNCTION("IF(ISBLANK(H975),,JOIN("","",H975:T975))"),"")</f>
        <v/>
      </c>
      <c r="W975" s="229" t="str">
        <f t="shared" si="1"/>
        <v/>
      </c>
    </row>
    <row r="976">
      <c r="H976" s="237"/>
      <c r="I976" s="237" t="str">
        <f>IFERROR(__xludf.DUMMYFUNCTION("IF(ISBLANK(H976),,IFNA(""""""""&amp;JOIN("","",INDEX(FILTER(A:D,A:A=H976),0,4))&amp;"""""""",))"),"")</f>
        <v/>
      </c>
      <c r="J976" s="237" t="str">
        <f>IF(ISBLANK(H976),,IFNA(VLOOKUP(H976, Circuits!A:W, 23, FALSE),))</f>
        <v/>
      </c>
      <c r="K976" s="238" t="str">
        <f t="shared" si="2"/>
        <v/>
      </c>
      <c r="L976" s="238" t="str">
        <f t="shared" si="3"/>
        <v/>
      </c>
      <c r="M976" s="238" t="str">
        <f t="shared" si="4"/>
        <v/>
      </c>
      <c r="N976" s="238" t="str">
        <f t="shared" si="5"/>
        <v/>
      </c>
      <c r="O976" s="238" t="str">
        <f t="shared" si="6"/>
        <v/>
      </c>
      <c r="P976" s="237" t="str">
        <f>IFERROR(__xludf.DUMMYFUNCTION("IF(ISBLANK(H976),,IF(IFNA(MATCH(H976,SPLIT(Circuits!$S$2,"";""&amp;CHAR(10)),0),0),FALSE,TRUE))"),"")</f>
        <v/>
      </c>
      <c r="Q976" s="237" t="str">
        <f>IF(ISBLANK(H976),,IFNA(VLOOKUP(H976, Circuits!A:U, 21, FALSE),))</f>
        <v/>
      </c>
      <c r="R976" s="238" t="str">
        <f t="shared" si="7"/>
        <v/>
      </c>
      <c r="S976" s="237" t="str">
        <f>IF(ISBLANK(H976),,IFNA(VLOOKUP(H976, Circuits!A:V, 22, FALSE),))</f>
        <v/>
      </c>
      <c r="T976" s="237" t="str">
        <f>IF(ISBLANK(H976),,IFNA(VLOOKUP(H976, Circuits!A:X, 24, FALSE),))</f>
        <v/>
      </c>
      <c r="V976" s="236" t="str">
        <f>IFERROR(__xludf.DUMMYFUNCTION("IF(ISBLANK(H976),,JOIN("","",H976:T976))"),"")</f>
        <v/>
      </c>
      <c r="W976" s="229" t="str">
        <f t="shared" si="1"/>
        <v/>
      </c>
    </row>
    <row r="977">
      <c r="H977" s="237"/>
      <c r="I977" s="237" t="str">
        <f>IFERROR(__xludf.DUMMYFUNCTION("IF(ISBLANK(H977),,IFNA(""""""""&amp;JOIN("","",INDEX(FILTER(A:D,A:A=H977),0,4))&amp;"""""""",))"),"")</f>
        <v/>
      </c>
      <c r="J977" s="237" t="str">
        <f>IF(ISBLANK(H977),,IFNA(VLOOKUP(H977, Circuits!A:W, 23, FALSE),))</f>
        <v/>
      </c>
      <c r="K977" s="238" t="str">
        <f t="shared" si="2"/>
        <v/>
      </c>
      <c r="L977" s="238" t="str">
        <f t="shared" si="3"/>
        <v/>
      </c>
      <c r="M977" s="238" t="str">
        <f t="shared" si="4"/>
        <v/>
      </c>
      <c r="N977" s="238" t="str">
        <f t="shared" si="5"/>
        <v/>
      </c>
      <c r="O977" s="238" t="str">
        <f t="shared" si="6"/>
        <v/>
      </c>
      <c r="P977" s="237" t="str">
        <f>IFERROR(__xludf.DUMMYFUNCTION("IF(ISBLANK(H977),,IF(IFNA(MATCH(H977,SPLIT(Circuits!$S$2,"";""&amp;CHAR(10)),0),0),FALSE,TRUE))"),"")</f>
        <v/>
      </c>
      <c r="Q977" s="237" t="str">
        <f>IF(ISBLANK(H977),,IFNA(VLOOKUP(H977, Circuits!A:U, 21, FALSE),))</f>
        <v/>
      </c>
      <c r="R977" s="238" t="str">
        <f t="shared" si="7"/>
        <v/>
      </c>
      <c r="S977" s="237" t="str">
        <f>IF(ISBLANK(H977),,IFNA(VLOOKUP(H977, Circuits!A:V, 22, FALSE),))</f>
        <v/>
      </c>
      <c r="T977" s="237" t="str">
        <f>IF(ISBLANK(H977),,IFNA(VLOOKUP(H977, Circuits!A:X, 24, FALSE),))</f>
        <v/>
      </c>
      <c r="V977" s="236" t="str">
        <f>IFERROR(__xludf.DUMMYFUNCTION("IF(ISBLANK(H977),,JOIN("","",H977:T977))"),"")</f>
        <v/>
      </c>
      <c r="W977" s="229" t="str">
        <f t="shared" si="1"/>
        <v/>
      </c>
    </row>
    <row r="978">
      <c r="H978" s="237"/>
      <c r="I978" s="237" t="str">
        <f>IFERROR(__xludf.DUMMYFUNCTION("IF(ISBLANK(H978),,IFNA(""""""""&amp;JOIN("","",INDEX(FILTER(A:D,A:A=H978),0,4))&amp;"""""""",))"),"")</f>
        <v/>
      </c>
      <c r="J978" s="237" t="str">
        <f>IF(ISBLANK(H978),,IFNA(VLOOKUP(H978, Circuits!A:W, 23, FALSE),))</f>
        <v/>
      </c>
      <c r="K978" s="238" t="str">
        <f t="shared" si="2"/>
        <v/>
      </c>
      <c r="L978" s="238" t="str">
        <f t="shared" si="3"/>
        <v/>
      </c>
      <c r="M978" s="238" t="str">
        <f t="shared" si="4"/>
        <v/>
      </c>
      <c r="N978" s="238" t="str">
        <f t="shared" si="5"/>
        <v/>
      </c>
      <c r="O978" s="238" t="str">
        <f t="shared" si="6"/>
        <v/>
      </c>
      <c r="P978" s="237" t="str">
        <f>IFERROR(__xludf.DUMMYFUNCTION("IF(ISBLANK(H978),,IF(IFNA(MATCH(H978,SPLIT(Circuits!$S$2,"";""&amp;CHAR(10)),0),0),FALSE,TRUE))"),"")</f>
        <v/>
      </c>
      <c r="Q978" s="237" t="str">
        <f>IF(ISBLANK(H978),,IFNA(VLOOKUP(H978, Circuits!A:U, 21, FALSE),))</f>
        <v/>
      </c>
      <c r="R978" s="238" t="str">
        <f t="shared" si="7"/>
        <v/>
      </c>
      <c r="S978" s="237" t="str">
        <f>IF(ISBLANK(H978),,IFNA(VLOOKUP(H978, Circuits!A:V, 22, FALSE),))</f>
        <v/>
      </c>
      <c r="T978" s="237" t="str">
        <f>IF(ISBLANK(H978),,IFNA(VLOOKUP(H978, Circuits!A:X, 24, FALSE),))</f>
        <v/>
      </c>
      <c r="V978" s="236" t="str">
        <f>IFERROR(__xludf.DUMMYFUNCTION("IF(ISBLANK(H978),,JOIN("","",H978:T978))"),"")</f>
        <v/>
      </c>
      <c r="W978" s="229" t="str">
        <f t="shared" si="1"/>
        <v/>
      </c>
    </row>
    <row r="979">
      <c r="H979" s="237"/>
      <c r="I979" s="237" t="str">
        <f>IFERROR(__xludf.DUMMYFUNCTION("IF(ISBLANK(H979),,IFNA(""""""""&amp;JOIN("","",INDEX(FILTER(A:D,A:A=H979),0,4))&amp;"""""""",))"),"")</f>
        <v/>
      </c>
      <c r="J979" s="237" t="str">
        <f>IF(ISBLANK(H979),,IFNA(VLOOKUP(H979, Circuits!A:W, 23, FALSE),))</f>
        <v/>
      </c>
      <c r="K979" s="238" t="str">
        <f t="shared" si="2"/>
        <v/>
      </c>
      <c r="L979" s="238" t="str">
        <f t="shared" si="3"/>
        <v/>
      </c>
      <c r="M979" s="238" t="str">
        <f t="shared" si="4"/>
        <v/>
      </c>
      <c r="N979" s="238" t="str">
        <f t="shared" si="5"/>
        <v/>
      </c>
      <c r="O979" s="238" t="str">
        <f t="shared" si="6"/>
        <v/>
      </c>
      <c r="P979" s="237" t="str">
        <f>IFERROR(__xludf.DUMMYFUNCTION("IF(ISBLANK(H979),,IF(IFNA(MATCH(H979,SPLIT(Circuits!$S$2,"";""&amp;CHAR(10)),0),0),FALSE,TRUE))"),"")</f>
        <v/>
      </c>
      <c r="Q979" s="237" t="str">
        <f>IF(ISBLANK(H979),,IFNA(VLOOKUP(H979, Circuits!A:U, 21, FALSE),))</f>
        <v/>
      </c>
      <c r="R979" s="238" t="str">
        <f t="shared" si="7"/>
        <v/>
      </c>
      <c r="S979" s="237" t="str">
        <f>IF(ISBLANK(H979),,IFNA(VLOOKUP(H979, Circuits!A:V, 22, FALSE),))</f>
        <v/>
      </c>
      <c r="T979" s="237" t="str">
        <f>IF(ISBLANK(H979),,IFNA(VLOOKUP(H979, Circuits!A:X, 24, FALSE),))</f>
        <v/>
      </c>
      <c r="V979" s="236" t="str">
        <f>IFERROR(__xludf.DUMMYFUNCTION("IF(ISBLANK(H979),,JOIN("","",H979:T979))"),"")</f>
        <v/>
      </c>
      <c r="W979" s="229" t="str">
        <f t="shared" si="1"/>
        <v/>
      </c>
    </row>
    <row r="980">
      <c r="H980" s="237"/>
      <c r="I980" s="237" t="str">
        <f>IFERROR(__xludf.DUMMYFUNCTION("IF(ISBLANK(H980),,IFNA(""""""""&amp;JOIN("","",INDEX(FILTER(A:D,A:A=H980),0,4))&amp;"""""""",))"),"")</f>
        <v/>
      </c>
      <c r="J980" s="237" t="str">
        <f>IF(ISBLANK(H980),,IFNA(VLOOKUP(H980, Circuits!A:W, 23, FALSE),))</f>
        <v/>
      </c>
      <c r="K980" s="238" t="str">
        <f t="shared" si="2"/>
        <v/>
      </c>
      <c r="L980" s="238" t="str">
        <f t="shared" si="3"/>
        <v/>
      </c>
      <c r="M980" s="238" t="str">
        <f t="shared" si="4"/>
        <v/>
      </c>
      <c r="N980" s="238" t="str">
        <f t="shared" si="5"/>
        <v/>
      </c>
      <c r="O980" s="238" t="str">
        <f t="shared" si="6"/>
        <v/>
      </c>
      <c r="P980" s="237" t="str">
        <f>IFERROR(__xludf.DUMMYFUNCTION("IF(ISBLANK(H980),,IF(IFNA(MATCH(H980,SPLIT(Circuits!$S$2,"";""&amp;CHAR(10)),0),0),FALSE,TRUE))"),"")</f>
        <v/>
      </c>
      <c r="Q980" s="237" t="str">
        <f>IF(ISBLANK(H980),,IFNA(VLOOKUP(H980, Circuits!A:U, 21, FALSE),))</f>
        <v/>
      </c>
      <c r="R980" s="238" t="str">
        <f t="shared" si="7"/>
        <v/>
      </c>
      <c r="S980" s="237" t="str">
        <f>IF(ISBLANK(H980),,IFNA(VLOOKUP(H980, Circuits!A:V, 22, FALSE),))</f>
        <v/>
      </c>
      <c r="T980" s="237" t="str">
        <f>IF(ISBLANK(H980),,IFNA(VLOOKUP(H980, Circuits!A:X, 24, FALSE),))</f>
        <v/>
      </c>
      <c r="V980" s="236" t="str">
        <f>IFERROR(__xludf.DUMMYFUNCTION("IF(ISBLANK(H980),,JOIN("","",H980:T980))"),"")</f>
        <v/>
      </c>
      <c r="W980" s="229" t="str">
        <f t="shared" si="1"/>
        <v/>
      </c>
    </row>
    <row r="981">
      <c r="H981" s="237"/>
      <c r="I981" s="237" t="str">
        <f>IFERROR(__xludf.DUMMYFUNCTION("IF(ISBLANK(H981),,IFNA(""""""""&amp;JOIN("","",INDEX(FILTER(A:D,A:A=H981),0,4))&amp;"""""""",))"),"")</f>
        <v/>
      </c>
      <c r="J981" s="237" t="str">
        <f>IF(ISBLANK(H981),,IFNA(VLOOKUP(H981, Circuits!A:W, 23, FALSE),))</f>
        <v/>
      </c>
      <c r="K981" s="238" t="str">
        <f t="shared" si="2"/>
        <v/>
      </c>
      <c r="L981" s="238" t="str">
        <f t="shared" si="3"/>
        <v/>
      </c>
      <c r="M981" s="238" t="str">
        <f t="shared" si="4"/>
        <v/>
      </c>
      <c r="N981" s="238" t="str">
        <f t="shared" si="5"/>
        <v/>
      </c>
      <c r="O981" s="238" t="str">
        <f t="shared" si="6"/>
        <v/>
      </c>
      <c r="P981" s="237" t="str">
        <f>IFERROR(__xludf.DUMMYFUNCTION("IF(ISBLANK(H981),,IF(IFNA(MATCH(H981,SPLIT(Circuits!$S$2,"";""&amp;CHAR(10)),0),0),FALSE,TRUE))"),"")</f>
        <v/>
      </c>
      <c r="Q981" s="237" t="str">
        <f>IF(ISBLANK(H981),,IFNA(VLOOKUP(H981, Circuits!A:U, 21, FALSE),))</f>
        <v/>
      </c>
      <c r="R981" s="238" t="str">
        <f t="shared" si="7"/>
        <v/>
      </c>
      <c r="S981" s="237" t="str">
        <f>IF(ISBLANK(H981),,IFNA(VLOOKUP(H981, Circuits!A:V, 22, FALSE),))</f>
        <v/>
      </c>
      <c r="T981" s="237" t="str">
        <f>IF(ISBLANK(H981),,IFNA(VLOOKUP(H981, Circuits!A:X, 24, FALSE),))</f>
        <v/>
      </c>
      <c r="V981" s="236" t="str">
        <f>IFERROR(__xludf.DUMMYFUNCTION("IF(ISBLANK(H981),,JOIN("","",H981:T981))"),"")</f>
        <v/>
      </c>
      <c r="W981" s="229" t="str">
        <f t="shared" si="1"/>
        <v/>
      </c>
    </row>
    <row r="982">
      <c r="H982" s="237"/>
      <c r="I982" s="237" t="str">
        <f>IFERROR(__xludf.DUMMYFUNCTION("IF(ISBLANK(H982),,IFNA(""""""""&amp;JOIN("","",INDEX(FILTER(A:D,A:A=H982),0,4))&amp;"""""""",))"),"")</f>
        <v/>
      </c>
      <c r="J982" s="237" t="str">
        <f>IF(ISBLANK(H982),,IFNA(VLOOKUP(H982, Circuits!A:W, 23, FALSE),))</f>
        <v/>
      </c>
      <c r="K982" s="238" t="str">
        <f t="shared" si="2"/>
        <v/>
      </c>
      <c r="L982" s="238" t="str">
        <f t="shared" si="3"/>
        <v/>
      </c>
      <c r="M982" s="238" t="str">
        <f t="shared" si="4"/>
        <v/>
      </c>
      <c r="N982" s="238" t="str">
        <f t="shared" si="5"/>
        <v/>
      </c>
      <c r="O982" s="238" t="str">
        <f t="shared" si="6"/>
        <v/>
      </c>
      <c r="P982" s="237" t="str">
        <f>IFERROR(__xludf.DUMMYFUNCTION("IF(ISBLANK(H982),,IF(IFNA(MATCH(H982,SPLIT(Circuits!$S$2,"";""&amp;CHAR(10)),0),0),FALSE,TRUE))"),"")</f>
        <v/>
      </c>
      <c r="Q982" s="237" t="str">
        <f>IF(ISBLANK(H982),,IFNA(VLOOKUP(H982, Circuits!A:U, 21, FALSE),))</f>
        <v/>
      </c>
      <c r="R982" s="238" t="str">
        <f t="shared" si="7"/>
        <v/>
      </c>
      <c r="S982" s="237" t="str">
        <f>IF(ISBLANK(H982),,IFNA(VLOOKUP(H982, Circuits!A:V, 22, FALSE),))</f>
        <v/>
      </c>
      <c r="T982" s="237" t="str">
        <f>IF(ISBLANK(H982),,IFNA(VLOOKUP(H982, Circuits!A:X, 24, FALSE),))</f>
        <v/>
      </c>
      <c r="V982" s="236" t="str">
        <f>IFERROR(__xludf.DUMMYFUNCTION("IF(ISBLANK(H982),,JOIN("","",H982:T982))"),"")</f>
        <v/>
      </c>
      <c r="W982" s="229" t="str">
        <f t="shared" si="1"/>
        <v/>
      </c>
    </row>
    <row r="983">
      <c r="H983" s="237"/>
      <c r="I983" s="237" t="str">
        <f>IFERROR(__xludf.DUMMYFUNCTION("IF(ISBLANK(H983),,IFNA(""""""""&amp;JOIN("","",INDEX(FILTER(A:D,A:A=H983),0,4))&amp;"""""""",))"),"")</f>
        <v/>
      </c>
      <c r="J983" s="237" t="str">
        <f>IF(ISBLANK(H983),,IFNA(VLOOKUP(H983, Circuits!A:W, 23, FALSE),))</f>
        <v/>
      </c>
      <c r="K983" s="238" t="str">
        <f t="shared" si="2"/>
        <v/>
      </c>
      <c r="L983" s="238" t="str">
        <f t="shared" si="3"/>
        <v/>
      </c>
      <c r="M983" s="238" t="str">
        <f t="shared" si="4"/>
        <v/>
      </c>
      <c r="N983" s="238" t="str">
        <f t="shared" si="5"/>
        <v/>
      </c>
      <c r="O983" s="238" t="str">
        <f t="shared" si="6"/>
        <v/>
      </c>
      <c r="P983" s="237" t="str">
        <f>IFERROR(__xludf.DUMMYFUNCTION("IF(ISBLANK(H983),,IF(IFNA(MATCH(H983,SPLIT(Circuits!$S$2,"";""&amp;CHAR(10)),0),0),FALSE,TRUE))"),"")</f>
        <v/>
      </c>
      <c r="Q983" s="237" t="str">
        <f>IF(ISBLANK(H983),,IFNA(VLOOKUP(H983, Circuits!A:U, 21, FALSE),))</f>
        <v/>
      </c>
      <c r="R983" s="238" t="str">
        <f t="shared" si="7"/>
        <v/>
      </c>
      <c r="S983" s="237" t="str">
        <f>IF(ISBLANK(H983),,IFNA(VLOOKUP(H983, Circuits!A:V, 22, FALSE),))</f>
        <v/>
      </c>
      <c r="T983" s="237" t="str">
        <f>IF(ISBLANK(H983),,IFNA(VLOOKUP(H983, Circuits!A:X, 24, FALSE),))</f>
        <v/>
      </c>
      <c r="V983" s="236" t="str">
        <f>IFERROR(__xludf.DUMMYFUNCTION("IF(ISBLANK(H983),,JOIN("","",H983:T983))"),"")</f>
        <v/>
      </c>
      <c r="W983" s="229" t="str">
        <f t="shared" si="1"/>
        <v/>
      </c>
    </row>
    <row r="984">
      <c r="H984" s="237"/>
      <c r="I984" s="237" t="str">
        <f>IFERROR(__xludf.DUMMYFUNCTION("IF(ISBLANK(H984),,IFNA(""""""""&amp;JOIN("","",INDEX(FILTER(A:D,A:A=H984),0,4))&amp;"""""""",))"),"")</f>
        <v/>
      </c>
      <c r="J984" s="237" t="str">
        <f>IF(ISBLANK(H984),,IFNA(VLOOKUP(H984, Circuits!A:W, 23, FALSE),))</f>
        <v/>
      </c>
      <c r="K984" s="238" t="str">
        <f t="shared" si="2"/>
        <v/>
      </c>
      <c r="L984" s="238" t="str">
        <f t="shared" si="3"/>
        <v/>
      </c>
      <c r="M984" s="238" t="str">
        <f t="shared" si="4"/>
        <v/>
      </c>
      <c r="N984" s="238" t="str">
        <f t="shared" si="5"/>
        <v/>
      </c>
      <c r="O984" s="238" t="str">
        <f t="shared" si="6"/>
        <v/>
      </c>
      <c r="P984" s="237" t="str">
        <f>IFERROR(__xludf.DUMMYFUNCTION("IF(ISBLANK(H984),,IF(IFNA(MATCH(H984,SPLIT(Circuits!$S$2,"";""&amp;CHAR(10)),0),0),FALSE,TRUE))"),"")</f>
        <v/>
      </c>
      <c r="Q984" s="237" t="str">
        <f>IF(ISBLANK(H984),,IFNA(VLOOKUP(H984, Circuits!A:U, 21, FALSE),))</f>
        <v/>
      </c>
      <c r="R984" s="238" t="str">
        <f t="shared" si="7"/>
        <v/>
      </c>
      <c r="S984" s="237" t="str">
        <f>IF(ISBLANK(H984),,IFNA(VLOOKUP(H984, Circuits!A:V, 22, FALSE),))</f>
        <v/>
      </c>
      <c r="T984" s="237" t="str">
        <f>IF(ISBLANK(H984),,IFNA(VLOOKUP(H984, Circuits!A:X, 24, FALSE),))</f>
        <v/>
      </c>
      <c r="V984" s="236" t="str">
        <f>IFERROR(__xludf.DUMMYFUNCTION("IF(ISBLANK(H984),,JOIN("","",H984:T984))"),"")</f>
        <v/>
      </c>
      <c r="W984" s="229" t="str">
        <f t="shared" si="1"/>
        <v/>
      </c>
    </row>
    <row r="985">
      <c r="H985" s="237"/>
      <c r="I985" s="237" t="str">
        <f>IFERROR(__xludf.DUMMYFUNCTION("IF(ISBLANK(H985),,IFNA(""""""""&amp;JOIN("","",INDEX(FILTER(A:D,A:A=H985),0,4))&amp;"""""""",))"),"")</f>
        <v/>
      </c>
      <c r="J985" s="237" t="str">
        <f>IF(ISBLANK(H985),,IFNA(VLOOKUP(H985, Circuits!A:W, 23, FALSE),))</f>
        <v/>
      </c>
      <c r="K985" s="238" t="str">
        <f t="shared" si="2"/>
        <v/>
      </c>
      <c r="L985" s="238" t="str">
        <f t="shared" si="3"/>
        <v/>
      </c>
      <c r="M985" s="238" t="str">
        <f t="shared" si="4"/>
        <v/>
      </c>
      <c r="N985" s="238" t="str">
        <f t="shared" si="5"/>
        <v/>
      </c>
      <c r="O985" s="238" t="str">
        <f t="shared" si="6"/>
        <v/>
      </c>
      <c r="P985" s="237" t="str">
        <f>IFERROR(__xludf.DUMMYFUNCTION("IF(ISBLANK(H985),,IF(IFNA(MATCH(H985,SPLIT(Circuits!$S$2,"";""&amp;CHAR(10)),0),0),FALSE,TRUE))"),"")</f>
        <v/>
      </c>
      <c r="Q985" s="237" t="str">
        <f>IF(ISBLANK(H985),,IFNA(VLOOKUP(H985, Circuits!A:U, 21, FALSE),))</f>
        <v/>
      </c>
      <c r="R985" s="238" t="str">
        <f t="shared" si="7"/>
        <v/>
      </c>
      <c r="S985" s="237" t="str">
        <f>IF(ISBLANK(H985),,IFNA(VLOOKUP(H985, Circuits!A:V, 22, FALSE),))</f>
        <v/>
      </c>
      <c r="T985" s="237" t="str">
        <f>IF(ISBLANK(H985),,IFNA(VLOOKUP(H985, Circuits!A:X, 24, FALSE),))</f>
        <v/>
      </c>
      <c r="V985" s="236" t="str">
        <f>IFERROR(__xludf.DUMMYFUNCTION("IF(ISBLANK(H985),,JOIN("","",H985:T985))"),"")</f>
        <v/>
      </c>
      <c r="W985" s="229" t="str">
        <f t="shared" si="1"/>
        <v/>
      </c>
    </row>
    <row r="986">
      <c r="H986" s="237"/>
      <c r="I986" s="237" t="str">
        <f>IFERROR(__xludf.DUMMYFUNCTION("IF(ISBLANK(H986),,IFNA(""""""""&amp;JOIN("","",INDEX(FILTER(A:D,A:A=H986),0,4))&amp;"""""""",))"),"")</f>
        <v/>
      </c>
      <c r="J986" s="237" t="str">
        <f>IF(ISBLANK(H986),,IFNA(VLOOKUP(H986, Circuits!A:W, 23, FALSE),))</f>
        <v/>
      </c>
      <c r="K986" s="238" t="str">
        <f t="shared" si="2"/>
        <v/>
      </c>
      <c r="L986" s="238" t="str">
        <f t="shared" si="3"/>
        <v/>
      </c>
      <c r="M986" s="238" t="str">
        <f t="shared" si="4"/>
        <v/>
      </c>
      <c r="N986" s="238" t="str">
        <f t="shared" si="5"/>
        <v/>
      </c>
      <c r="O986" s="238" t="str">
        <f t="shared" si="6"/>
        <v/>
      </c>
      <c r="P986" s="237" t="str">
        <f>IFERROR(__xludf.DUMMYFUNCTION("IF(ISBLANK(H986),,IF(IFNA(MATCH(H986,SPLIT(Circuits!$S$2,"";""&amp;CHAR(10)),0),0),FALSE,TRUE))"),"")</f>
        <v/>
      </c>
      <c r="Q986" s="237" t="str">
        <f>IF(ISBLANK(H986),,IFNA(VLOOKUP(H986, Circuits!A:U, 21, FALSE),))</f>
        <v/>
      </c>
      <c r="R986" s="238" t="str">
        <f t="shared" si="7"/>
        <v/>
      </c>
      <c r="S986" s="237" t="str">
        <f>IF(ISBLANK(H986),,IFNA(VLOOKUP(H986, Circuits!A:V, 22, FALSE),))</f>
        <v/>
      </c>
      <c r="T986" s="237" t="str">
        <f>IF(ISBLANK(H986),,IFNA(VLOOKUP(H986, Circuits!A:X, 24, FALSE),))</f>
        <v/>
      </c>
      <c r="V986" s="236" t="str">
        <f>IFERROR(__xludf.DUMMYFUNCTION("IF(ISBLANK(H986),,JOIN("","",H986:T986))"),"")</f>
        <v/>
      </c>
      <c r="W986" s="229" t="str">
        <f t="shared" si="1"/>
        <v/>
      </c>
    </row>
    <row r="987">
      <c r="H987" s="237"/>
      <c r="I987" s="237" t="str">
        <f>IFERROR(__xludf.DUMMYFUNCTION("IF(ISBLANK(H987),,IFNA(""""""""&amp;JOIN("","",INDEX(FILTER(A:D,A:A=H987),0,4))&amp;"""""""",))"),"")</f>
        <v/>
      </c>
      <c r="J987" s="237" t="str">
        <f>IF(ISBLANK(H987),,IFNA(VLOOKUP(H987, Circuits!A:W, 23, FALSE),))</f>
        <v/>
      </c>
      <c r="K987" s="238" t="str">
        <f t="shared" si="2"/>
        <v/>
      </c>
      <c r="L987" s="238" t="str">
        <f t="shared" si="3"/>
        <v/>
      </c>
      <c r="M987" s="238" t="str">
        <f t="shared" si="4"/>
        <v/>
      </c>
      <c r="N987" s="238" t="str">
        <f t="shared" si="5"/>
        <v/>
      </c>
      <c r="O987" s="238" t="str">
        <f t="shared" si="6"/>
        <v/>
      </c>
      <c r="P987" s="237" t="str">
        <f>IFERROR(__xludf.DUMMYFUNCTION("IF(ISBLANK(H987),,IF(IFNA(MATCH(H987,SPLIT(Circuits!$S$2,"";""&amp;CHAR(10)),0),0),FALSE,TRUE))"),"")</f>
        <v/>
      </c>
      <c r="Q987" s="237" t="str">
        <f>IF(ISBLANK(H987),,IFNA(VLOOKUP(H987, Circuits!A:U, 21, FALSE),))</f>
        <v/>
      </c>
      <c r="R987" s="238" t="str">
        <f t="shared" si="7"/>
        <v/>
      </c>
      <c r="S987" s="237" t="str">
        <f>IF(ISBLANK(H987),,IFNA(VLOOKUP(H987, Circuits!A:V, 22, FALSE),))</f>
        <v/>
      </c>
      <c r="T987" s="237" t="str">
        <f>IF(ISBLANK(H987),,IFNA(VLOOKUP(H987, Circuits!A:X, 24, FALSE),))</f>
        <v/>
      </c>
      <c r="V987" s="236" t="str">
        <f>IFERROR(__xludf.DUMMYFUNCTION("IF(ISBLANK(H987),,JOIN("","",H987:T987))"),"")</f>
        <v/>
      </c>
      <c r="W987" s="229" t="str">
        <f t="shared" si="1"/>
        <v/>
      </c>
    </row>
    <row r="988">
      <c r="H988" s="237"/>
      <c r="I988" s="237" t="str">
        <f>IFERROR(__xludf.DUMMYFUNCTION("IF(ISBLANK(H988),,IFNA(""""""""&amp;JOIN("","",INDEX(FILTER(A:D,A:A=H988),0,4))&amp;"""""""",))"),"")</f>
        <v/>
      </c>
      <c r="J988" s="237" t="str">
        <f>IF(ISBLANK(H988),,IFNA(VLOOKUP(H988, Circuits!A:W, 23, FALSE),))</f>
        <v/>
      </c>
      <c r="K988" s="238" t="str">
        <f t="shared" si="2"/>
        <v/>
      </c>
      <c r="L988" s="238" t="str">
        <f t="shared" si="3"/>
        <v/>
      </c>
      <c r="M988" s="238" t="str">
        <f t="shared" si="4"/>
        <v/>
      </c>
      <c r="N988" s="238" t="str">
        <f t="shared" si="5"/>
        <v/>
      </c>
      <c r="O988" s="238" t="str">
        <f t="shared" si="6"/>
        <v/>
      </c>
      <c r="P988" s="237" t="str">
        <f>IFERROR(__xludf.DUMMYFUNCTION("IF(ISBLANK(H988),,IF(IFNA(MATCH(H988,SPLIT(Circuits!$S$2,"";""&amp;CHAR(10)),0),0),FALSE,TRUE))"),"")</f>
        <v/>
      </c>
      <c r="Q988" s="237" t="str">
        <f>IF(ISBLANK(H988),,IFNA(VLOOKUP(H988, Circuits!A:U, 21, FALSE),))</f>
        <v/>
      </c>
      <c r="R988" s="238" t="str">
        <f t="shared" si="7"/>
        <v/>
      </c>
      <c r="S988" s="237" t="str">
        <f>IF(ISBLANK(H988),,IFNA(VLOOKUP(H988, Circuits!A:V, 22, FALSE),))</f>
        <v/>
      </c>
      <c r="T988" s="237" t="str">
        <f>IF(ISBLANK(H988),,IFNA(VLOOKUP(H988, Circuits!A:X, 24, FALSE),))</f>
        <v/>
      </c>
      <c r="V988" s="236" t="str">
        <f>IFERROR(__xludf.DUMMYFUNCTION("IF(ISBLANK(H988),,JOIN("","",H988:T988))"),"")</f>
        <v/>
      </c>
      <c r="W988" s="229" t="str">
        <f t="shared" si="1"/>
        <v/>
      </c>
    </row>
    <row r="989">
      <c r="H989" s="237"/>
      <c r="I989" s="237" t="str">
        <f>IFERROR(__xludf.DUMMYFUNCTION("IF(ISBLANK(H989),,IFNA(""""""""&amp;JOIN("","",INDEX(FILTER(A:D,A:A=H989),0,4))&amp;"""""""",))"),"")</f>
        <v/>
      </c>
      <c r="J989" s="237" t="str">
        <f>IF(ISBLANK(H989),,IFNA(VLOOKUP(H989, Circuits!A:W, 23, FALSE),))</f>
        <v/>
      </c>
      <c r="K989" s="238" t="str">
        <f t="shared" si="2"/>
        <v/>
      </c>
      <c r="L989" s="238" t="str">
        <f t="shared" si="3"/>
        <v/>
      </c>
      <c r="M989" s="238" t="str">
        <f t="shared" si="4"/>
        <v/>
      </c>
      <c r="N989" s="238" t="str">
        <f t="shared" si="5"/>
        <v/>
      </c>
      <c r="O989" s="238" t="str">
        <f t="shared" si="6"/>
        <v/>
      </c>
      <c r="P989" s="237" t="str">
        <f>IFERROR(__xludf.DUMMYFUNCTION("IF(ISBLANK(H989),,IF(IFNA(MATCH(H989,SPLIT(Circuits!$S$2,"";""&amp;CHAR(10)),0),0),FALSE,TRUE))"),"")</f>
        <v/>
      </c>
      <c r="Q989" s="237" t="str">
        <f>IF(ISBLANK(H989),,IFNA(VLOOKUP(H989, Circuits!A:U, 21, FALSE),))</f>
        <v/>
      </c>
      <c r="R989" s="238" t="str">
        <f t="shared" si="7"/>
        <v/>
      </c>
      <c r="S989" s="237" t="str">
        <f>IF(ISBLANK(H989),,IFNA(VLOOKUP(H989, Circuits!A:V, 22, FALSE),))</f>
        <v/>
      </c>
      <c r="T989" s="237" t="str">
        <f>IF(ISBLANK(H989),,IFNA(VLOOKUP(H989, Circuits!A:X, 24, FALSE),))</f>
        <v/>
      </c>
      <c r="V989" s="236" t="str">
        <f>IFERROR(__xludf.DUMMYFUNCTION("IF(ISBLANK(H989),,JOIN("","",H989:T989))"),"")</f>
        <v/>
      </c>
      <c r="W989" s="229" t="str">
        <f t="shared" si="1"/>
        <v/>
      </c>
    </row>
    <row r="990">
      <c r="H990" s="237"/>
      <c r="I990" s="237" t="str">
        <f>IFERROR(__xludf.DUMMYFUNCTION("IF(ISBLANK(H990),,IFNA(""""""""&amp;JOIN("","",INDEX(FILTER(A:D,A:A=H990),0,4))&amp;"""""""",))"),"")</f>
        <v/>
      </c>
      <c r="J990" s="237" t="str">
        <f>IF(ISBLANK(H990),,IFNA(VLOOKUP(H990, Circuits!A:W, 23, FALSE),))</f>
        <v/>
      </c>
      <c r="K990" s="238" t="str">
        <f t="shared" si="2"/>
        <v/>
      </c>
      <c r="L990" s="238" t="str">
        <f t="shared" si="3"/>
        <v/>
      </c>
      <c r="M990" s="238" t="str">
        <f t="shared" si="4"/>
        <v/>
      </c>
      <c r="N990" s="238" t="str">
        <f t="shared" si="5"/>
        <v/>
      </c>
      <c r="O990" s="238" t="str">
        <f t="shared" si="6"/>
        <v/>
      </c>
      <c r="P990" s="237" t="str">
        <f>IFERROR(__xludf.DUMMYFUNCTION("IF(ISBLANK(H990),,IF(IFNA(MATCH(H990,SPLIT(Circuits!$S$2,"";""&amp;CHAR(10)),0),0),FALSE,TRUE))"),"")</f>
        <v/>
      </c>
      <c r="Q990" s="237" t="str">
        <f>IF(ISBLANK(H990),,IFNA(VLOOKUP(H990, Circuits!A:U, 21, FALSE),))</f>
        <v/>
      </c>
      <c r="R990" s="238" t="str">
        <f t="shared" si="7"/>
        <v/>
      </c>
      <c r="S990" s="237" t="str">
        <f>IF(ISBLANK(H990),,IFNA(VLOOKUP(H990, Circuits!A:V, 22, FALSE),))</f>
        <v/>
      </c>
      <c r="T990" s="237" t="str">
        <f>IF(ISBLANK(H990),,IFNA(VLOOKUP(H990, Circuits!A:X, 24, FALSE),))</f>
        <v/>
      </c>
      <c r="V990" s="236" t="str">
        <f>IFERROR(__xludf.DUMMYFUNCTION("IF(ISBLANK(H990),,JOIN("","",H990:T990))"),"")</f>
        <v/>
      </c>
      <c r="W990" s="229" t="str">
        <f t="shared" si="1"/>
        <v/>
      </c>
    </row>
    <row r="991">
      <c r="H991" s="237"/>
      <c r="I991" s="237" t="str">
        <f>IFERROR(__xludf.DUMMYFUNCTION("IF(ISBLANK(H991),,IFNA(""""""""&amp;JOIN("","",INDEX(FILTER(A:D,A:A=H991),0,4))&amp;"""""""",))"),"")</f>
        <v/>
      </c>
      <c r="J991" s="237" t="str">
        <f>IF(ISBLANK(H991),,IFNA(VLOOKUP(H991, Circuits!A:W, 23, FALSE),))</f>
        <v/>
      </c>
      <c r="K991" s="238" t="str">
        <f t="shared" si="2"/>
        <v/>
      </c>
      <c r="L991" s="238" t="str">
        <f t="shared" si="3"/>
        <v/>
      </c>
      <c r="M991" s="238" t="str">
        <f t="shared" si="4"/>
        <v/>
      </c>
      <c r="N991" s="238" t="str">
        <f t="shared" si="5"/>
        <v/>
      </c>
      <c r="O991" s="238" t="str">
        <f t="shared" si="6"/>
        <v/>
      </c>
      <c r="P991" s="237" t="str">
        <f>IFERROR(__xludf.DUMMYFUNCTION("IF(ISBLANK(H991),,IF(IFNA(MATCH(H991,SPLIT(Circuits!$S$2,"";""&amp;CHAR(10)),0),0),FALSE,TRUE))"),"")</f>
        <v/>
      </c>
      <c r="Q991" s="237" t="str">
        <f>IF(ISBLANK(H991),,IFNA(VLOOKUP(H991, Circuits!A:U, 21, FALSE),))</f>
        <v/>
      </c>
      <c r="R991" s="238" t="str">
        <f t="shared" si="7"/>
        <v/>
      </c>
      <c r="S991" s="237" t="str">
        <f>IF(ISBLANK(H991),,IFNA(VLOOKUP(H991, Circuits!A:V, 22, FALSE),))</f>
        <v/>
      </c>
      <c r="T991" s="237" t="str">
        <f>IF(ISBLANK(H991),,IFNA(VLOOKUP(H991, Circuits!A:X, 24, FALSE),))</f>
        <v/>
      </c>
      <c r="V991" s="236" t="str">
        <f>IFERROR(__xludf.DUMMYFUNCTION("IF(ISBLANK(H991),,JOIN("","",H991:T991))"),"")</f>
        <v/>
      </c>
      <c r="W991" s="229" t="str">
        <f t="shared" si="1"/>
        <v/>
      </c>
    </row>
    <row r="992">
      <c r="H992" s="237"/>
      <c r="I992" s="237" t="str">
        <f>IFERROR(__xludf.DUMMYFUNCTION("IF(ISBLANK(H992),,IFNA(""""""""&amp;JOIN("","",INDEX(FILTER(A:D,A:A=H992),0,4))&amp;"""""""",))"),"")</f>
        <v/>
      </c>
      <c r="J992" s="237" t="str">
        <f>IF(ISBLANK(H992),,IFNA(VLOOKUP(H992, Circuits!A:W, 23, FALSE),))</f>
        <v/>
      </c>
      <c r="K992" s="238" t="str">
        <f t="shared" si="2"/>
        <v/>
      </c>
      <c r="L992" s="238" t="str">
        <f t="shared" si="3"/>
        <v/>
      </c>
      <c r="M992" s="238" t="str">
        <f t="shared" si="4"/>
        <v/>
      </c>
      <c r="N992" s="238" t="str">
        <f t="shared" si="5"/>
        <v/>
      </c>
      <c r="O992" s="238" t="str">
        <f t="shared" si="6"/>
        <v/>
      </c>
      <c r="P992" s="237" t="str">
        <f>IFERROR(__xludf.DUMMYFUNCTION("IF(ISBLANK(H992),,IF(IFNA(MATCH(H992,SPLIT(Circuits!$S$2,"";""&amp;CHAR(10)),0),0),FALSE,TRUE))"),"")</f>
        <v/>
      </c>
      <c r="Q992" s="237" t="str">
        <f>IF(ISBLANK(H992),,IFNA(VLOOKUP(H992, Circuits!A:U, 21, FALSE),))</f>
        <v/>
      </c>
      <c r="R992" s="238" t="str">
        <f t="shared" si="7"/>
        <v/>
      </c>
      <c r="S992" s="237" t="str">
        <f>IF(ISBLANK(H992),,IFNA(VLOOKUP(H992, Circuits!A:V, 22, FALSE),))</f>
        <v/>
      </c>
      <c r="T992" s="237" t="str">
        <f>IF(ISBLANK(H992),,IFNA(VLOOKUP(H992, Circuits!A:X, 24, FALSE),))</f>
        <v/>
      </c>
      <c r="V992" s="236" t="str">
        <f>IFERROR(__xludf.DUMMYFUNCTION("IF(ISBLANK(H992),,JOIN("","",H992:T992))"),"")</f>
        <v/>
      </c>
      <c r="W992" s="229" t="str">
        <f t="shared" si="1"/>
        <v/>
      </c>
    </row>
    <row r="993">
      <c r="H993" s="237"/>
      <c r="I993" s="237" t="str">
        <f>IFERROR(__xludf.DUMMYFUNCTION("IF(ISBLANK(H993),,IFNA(""""""""&amp;JOIN("","",INDEX(FILTER(A:D,A:A=H993),0,4))&amp;"""""""",))"),"")</f>
        <v/>
      </c>
      <c r="J993" s="237" t="str">
        <f>IF(ISBLANK(H993),,IFNA(VLOOKUP(H993, Circuits!A:W, 23, FALSE),))</f>
        <v/>
      </c>
      <c r="K993" s="238" t="str">
        <f t="shared" si="2"/>
        <v/>
      </c>
      <c r="L993" s="238" t="str">
        <f t="shared" si="3"/>
        <v/>
      </c>
      <c r="M993" s="238" t="str">
        <f t="shared" si="4"/>
        <v/>
      </c>
      <c r="N993" s="238" t="str">
        <f t="shared" si="5"/>
        <v/>
      </c>
      <c r="O993" s="238" t="str">
        <f t="shared" si="6"/>
        <v/>
      </c>
      <c r="P993" s="237" t="str">
        <f>IFERROR(__xludf.DUMMYFUNCTION("IF(ISBLANK(H993),,IF(IFNA(MATCH(H993,SPLIT(Circuits!$S$2,"";""&amp;CHAR(10)),0),0),FALSE,TRUE))"),"")</f>
        <v/>
      </c>
      <c r="Q993" s="237" t="str">
        <f>IF(ISBLANK(H993),,IFNA(VLOOKUP(H993, Circuits!A:U, 21, FALSE),))</f>
        <v/>
      </c>
      <c r="R993" s="238" t="str">
        <f t="shared" si="7"/>
        <v/>
      </c>
      <c r="S993" s="237" t="str">
        <f>IF(ISBLANK(H993),,IFNA(VLOOKUP(H993, Circuits!A:V, 22, FALSE),))</f>
        <v/>
      </c>
      <c r="T993" s="237" t="str">
        <f>IF(ISBLANK(H993),,IFNA(VLOOKUP(H993, Circuits!A:X, 24, FALSE),))</f>
        <v/>
      </c>
      <c r="V993" s="236" t="str">
        <f>IFERROR(__xludf.DUMMYFUNCTION("IF(ISBLANK(H993),,JOIN("","",H993:T993))"),"")</f>
        <v/>
      </c>
      <c r="W993" s="229" t="str">
        <f t="shared" si="1"/>
        <v/>
      </c>
    </row>
    <row r="994">
      <c r="H994" s="237"/>
      <c r="I994" s="237" t="str">
        <f>IFERROR(__xludf.DUMMYFUNCTION("IF(ISBLANK(H994),,IFNA(""""""""&amp;JOIN("","",INDEX(FILTER(A:D,A:A=H994),0,4))&amp;"""""""",))"),"")</f>
        <v/>
      </c>
      <c r="J994" s="237" t="str">
        <f>IF(ISBLANK(H994),,IFNA(VLOOKUP(H994, Circuits!A:W, 23, FALSE),))</f>
        <v/>
      </c>
      <c r="K994" s="238" t="str">
        <f t="shared" si="2"/>
        <v/>
      </c>
      <c r="L994" s="238" t="str">
        <f t="shared" si="3"/>
        <v/>
      </c>
      <c r="M994" s="238" t="str">
        <f t="shared" si="4"/>
        <v/>
      </c>
      <c r="N994" s="238" t="str">
        <f t="shared" si="5"/>
        <v/>
      </c>
      <c r="O994" s="238" t="str">
        <f t="shared" si="6"/>
        <v/>
      </c>
      <c r="P994" s="237" t="str">
        <f>IFERROR(__xludf.DUMMYFUNCTION("IF(ISBLANK(H994),,IF(IFNA(MATCH(H994,SPLIT(Circuits!$S$2,"";""&amp;CHAR(10)),0),0),FALSE,TRUE))"),"")</f>
        <v/>
      </c>
      <c r="Q994" s="237" t="str">
        <f>IF(ISBLANK(H994),,IFNA(VLOOKUP(H994, Circuits!A:U, 21, FALSE),))</f>
        <v/>
      </c>
      <c r="R994" s="238" t="str">
        <f t="shared" si="7"/>
        <v/>
      </c>
      <c r="S994" s="237" t="str">
        <f>IF(ISBLANK(H994),,IFNA(VLOOKUP(H994, Circuits!A:V, 22, FALSE),))</f>
        <v/>
      </c>
      <c r="T994" s="237" t="str">
        <f>IF(ISBLANK(H994),,IFNA(VLOOKUP(H994, Circuits!A:X, 24, FALSE),))</f>
        <v/>
      </c>
      <c r="V994" s="236" t="str">
        <f>IFERROR(__xludf.DUMMYFUNCTION("IF(ISBLANK(H994),,JOIN("","",H994:T994))"),"")</f>
        <v/>
      </c>
      <c r="W994" s="229" t="str">
        <f t="shared" si="1"/>
        <v/>
      </c>
    </row>
    <row r="995">
      <c r="H995" s="237"/>
      <c r="I995" s="237" t="str">
        <f>IFERROR(__xludf.DUMMYFUNCTION("IF(ISBLANK(H995),,IFNA(""""""""&amp;JOIN("","",INDEX(FILTER(A:D,A:A=H995),0,4))&amp;"""""""",))"),"")</f>
        <v/>
      </c>
      <c r="J995" s="237" t="str">
        <f>IF(ISBLANK(H995),,IFNA(VLOOKUP(H995, Circuits!A:W, 23, FALSE),))</f>
        <v/>
      </c>
      <c r="K995" s="238" t="str">
        <f t="shared" si="2"/>
        <v/>
      </c>
      <c r="L995" s="238" t="str">
        <f t="shared" si="3"/>
        <v/>
      </c>
      <c r="M995" s="238" t="str">
        <f t="shared" si="4"/>
        <v/>
      </c>
      <c r="N995" s="238" t="str">
        <f t="shared" si="5"/>
        <v/>
      </c>
      <c r="O995" s="238" t="str">
        <f t="shared" si="6"/>
        <v/>
      </c>
      <c r="P995" s="237" t="str">
        <f>IFERROR(__xludf.DUMMYFUNCTION("IF(ISBLANK(H995),,IF(IFNA(MATCH(H995,SPLIT(Circuits!$S$2,"";""&amp;CHAR(10)),0),0),FALSE,TRUE))"),"")</f>
        <v/>
      </c>
      <c r="Q995" s="237" t="str">
        <f>IF(ISBLANK(H995),,IFNA(VLOOKUP(H995, Circuits!A:U, 21, FALSE),))</f>
        <v/>
      </c>
      <c r="R995" s="238" t="str">
        <f t="shared" si="7"/>
        <v/>
      </c>
      <c r="S995" s="237" t="str">
        <f>IF(ISBLANK(H995),,IFNA(VLOOKUP(H995, Circuits!A:V, 22, FALSE),))</f>
        <v/>
      </c>
      <c r="T995" s="237" t="str">
        <f>IF(ISBLANK(H995),,IFNA(VLOOKUP(H995, Circuits!A:X, 24, FALSE),))</f>
        <v/>
      </c>
      <c r="V995" s="236" t="str">
        <f>IFERROR(__xludf.DUMMYFUNCTION("IF(ISBLANK(H995),,JOIN("","",H995:T995))"),"")</f>
        <v/>
      </c>
      <c r="W995" s="229" t="str">
        <f t="shared" si="1"/>
        <v/>
      </c>
    </row>
    <row r="996">
      <c r="H996" s="237"/>
      <c r="I996" s="237" t="str">
        <f>IFERROR(__xludf.DUMMYFUNCTION("IF(ISBLANK(H996),,IFNA(""""""""&amp;JOIN("","",INDEX(FILTER(A:D,A:A=H996),0,4))&amp;"""""""",))"),"")</f>
        <v/>
      </c>
      <c r="J996" s="237" t="str">
        <f>IF(ISBLANK(H996),,IFNA(VLOOKUP(H996, Circuits!A:W, 23, FALSE),))</f>
        <v/>
      </c>
      <c r="K996" s="238" t="str">
        <f t="shared" si="2"/>
        <v/>
      </c>
      <c r="L996" s="238" t="str">
        <f t="shared" si="3"/>
        <v/>
      </c>
      <c r="M996" s="238" t="str">
        <f t="shared" si="4"/>
        <v/>
      </c>
      <c r="N996" s="238" t="str">
        <f t="shared" si="5"/>
        <v/>
      </c>
      <c r="O996" s="238" t="str">
        <f t="shared" si="6"/>
        <v/>
      </c>
      <c r="P996" s="237" t="str">
        <f>IFERROR(__xludf.DUMMYFUNCTION("IF(ISBLANK(H996),,IF(IFNA(MATCH(H996,SPLIT(Circuits!$S$2,"";""&amp;CHAR(10)),0),0),FALSE,TRUE))"),"")</f>
        <v/>
      </c>
      <c r="Q996" s="237" t="str">
        <f>IF(ISBLANK(H996),,IFNA(VLOOKUP(H996, Circuits!A:U, 21, FALSE),))</f>
        <v/>
      </c>
      <c r="R996" s="238" t="str">
        <f t="shared" si="7"/>
        <v/>
      </c>
      <c r="S996" s="237" t="str">
        <f>IF(ISBLANK(H996),,IFNA(VLOOKUP(H996, Circuits!A:V, 22, FALSE),))</f>
        <v/>
      </c>
      <c r="T996" s="237" t="str">
        <f>IF(ISBLANK(H996),,IFNA(VLOOKUP(H996, Circuits!A:X, 24, FALSE),))</f>
        <v/>
      </c>
      <c r="V996" s="236" t="str">
        <f>IFERROR(__xludf.DUMMYFUNCTION("IF(ISBLANK(H996),,JOIN("","",H996:T996))"),"")</f>
        <v/>
      </c>
      <c r="W996" s="229" t="str">
        <f t="shared" si="1"/>
        <v/>
      </c>
    </row>
    <row r="997">
      <c r="H997" s="237"/>
      <c r="I997" s="237" t="str">
        <f>IFERROR(__xludf.DUMMYFUNCTION("IF(ISBLANK(H997),,IFNA(""""""""&amp;JOIN("","",INDEX(FILTER(A:D,A:A=H997),0,4))&amp;"""""""",))"),"")</f>
        <v/>
      </c>
      <c r="J997" s="237" t="str">
        <f>IF(ISBLANK(H997),,IFNA(VLOOKUP(H997, Circuits!A:W, 23, FALSE),))</f>
        <v/>
      </c>
      <c r="K997" s="238" t="str">
        <f t="shared" si="2"/>
        <v/>
      </c>
      <c r="L997" s="238" t="str">
        <f t="shared" si="3"/>
        <v/>
      </c>
      <c r="M997" s="238" t="str">
        <f t="shared" si="4"/>
        <v/>
      </c>
      <c r="N997" s="238" t="str">
        <f t="shared" si="5"/>
        <v/>
      </c>
      <c r="O997" s="238" t="str">
        <f t="shared" si="6"/>
        <v/>
      </c>
      <c r="P997" s="237" t="str">
        <f>IFERROR(__xludf.DUMMYFUNCTION("IF(ISBLANK(H997),,IF(IFNA(MATCH(H997,SPLIT(Circuits!$S$2,"";""&amp;CHAR(10)),0),0),FALSE,TRUE))"),"")</f>
        <v/>
      </c>
      <c r="Q997" s="237" t="str">
        <f>IF(ISBLANK(H997),,IFNA(VLOOKUP(H997, Circuits!A:U, 21, FALSE),))</f>
        <v/>
      </c>
      <c r="R997" s="238" t="str">
        <f t="shared" si="7"/>
        <v/>
      </c>
      <c r="S997" s="237" t="str">
        <f>IF(ISBLANK(H997),,IFNA(VLOOKUP(H997, Circuits!A:V, 22, FALSE),))</f>
        <v/>
      </c>
      <c r="T997" s="237" t="str">
        <f>IF(ISBLANK(H997),,IFNA(VLOOKUP(H997, Circuits!A:X, 24, FALSE),))</f>
        <v/>
      </c>
      <c r="V997" s="236" t="str">
        <f>IFERROR(__xludf.DUMMYFUNCTION("IF(ISBLANK(H997),,JOIN("","",H997:T997))"),"")</f>
        <v/>
      </c>
      <c r="W997" s="229" t="str">
        <f t="shared" si="1"/>
        <v/>
      </c>
    </row>
    <row r="998">
      <c r="H998" s="237"/>
      <c r="I998" s="237" t="str">
        <f>IFERROR(__xludf.DUMMYFUNCTION("IF(ISBLANK(H998),,IFNA(""""""""&amp;JOIN("","",INDEX(FILTER(A:D,A:A=H998),0,4))&amp;"""""""",))"),"")</f>
        <v/>
      </c>
      <c r="J998" s="237" t="str">
        <f>IF(ISBLANK(H998),,IFNA(VLOOKUP(H998, Circuits!A:W, 23, FALSE),))</f>
        <v/>
      </c>
      <c r="K998" s="238" t="str">
        <f t="shared" si="2"/>
        <v/>
      </c>
      <c r="L998" s="238" t="str">
        <f t="shared" si="3"/>
        <v/>
      </c>
      <c r="M998" s="238" t="str">
        <f t="shared" si="4"/>
        <v/>
      </c>
      <c r="N998" s="238" t="str">
        <f t="shared" si="5"/>
        <v/>
      </c>
      <c r="O998" s="238" t="str">
        <f t="shared" si="6"/>
        <v/>
      </c>
      <c r="P998" s="237" t="str">
        <f>IFERROR(__xludf.DUMMYFUNCTION("IF(ISBLANK(H998),,IF(IFNA(MATCH(H998,SPLIT(Circuits!$S$2,"";""&amp;CHAR(10)),0),0),FALSE,TRUE))"),"")</f>
        <v/>
      </c>
      <c r="Q998" s="237" t="str">
        <f>IF(ISBLANK(H998),,IFNA(VLOOKUP(H998, Circuits!A:U, 21, FALSE),))</f>
        <v/>
      </c>
      <c r="R998" s="238" t="str">
        <f t="shared" si="7"/>
        <v/>
      </c>
      <c r="S998" s="237" t="str">
        <f>IF(ISBLANK(H998),,IFNA(VLOOKUP(H998, Circuits!A:V, 22, FALSE),))</f>
        <v/>
      </c>
      <c r="T998" s="237" t="str">
        <f>IF(ISBLANK(H998),,IFNA(VLOOKUP(H998, Circuits!A:X, 24, FALSE),))</f>
        <v/>
      </c>
      <c r="V998" s="236" t="str">
        <f>IFERROR(__xludf.DUMMYFUNCTION("IF(ISBLANK(H998),,JOIN("","",H998:T998))"),"")</f>
        <v/>
      </c>
      <c r="W998" s="229" t="str">
        <f t="shared" si="1"/>
        <v/>
      </c>
    </row>
    <row r="999">
      <c r="H999" s="237"/>
      <c r="I999" s="237" t="str">
        <f>IFERROR(__xludf.DUMMYFUNCTION("IF(ISBLANK(H999),,IFNA(""""""""&amp;JOIN("","",INDEX(FILTER(A:D,A:A=H999),0,4))&amp;"""""""",))"),"")</f>
        <v/>
      </c>
      <c r="J999" s="237" t="str">
        <f>IF(ISBLANK(H999),,IFNA(VLOOKUP(H999, Circuits!A:W, 23, FALSE),))</f>
        <v/>
      </c>
      <c r="K999" s="238" t="str">
        <f t="shared" si="2"/>
        <v/>
      </c>
      <c r="L999" s="238" t="str">
        <f t="shared" si="3"/>
        <v/>
      </c>
      <c r="M999" s="238" t="str">
        <f t="shared" si="4"/>
        <v/>
      </c>
      <c r="N999" s="238" t="str">
        <f t="shared" si="5"/>
        <v/>
      </c>
      <c r="O999" s="238" t="str">
        <f t="shared" si="6"/>
        <v/>
      </c>
      <c r="P999" s="237" t="str">
        <f>IFERROR(__xludf.DUMMYFUNCTION("IF(ISBLANK(H999),,IF(IFNA(MATCH(H999,SPLIT(Circuits!$S$2,"";""&amp;CHAR(10)),0),0),FALSE,TRUE))"),"")</f>
        <v/>
      </c>
      <c r="Q999" s="237" t="str">
        <f>IF(ISBLANK(H999),,IFNA(VLOOKUP(H999, Circuits!A:U, 21, FALSE),))</f>
        <v/>
      </c>
      <c r="R999" s="238" t="str">
        <f t="shared" si="7"/>
        <v/>
      </c>
      <c r="S999" s="237" t="str">
        <f>IF(ISBLANK(H999),,IFNA(VLOOKUP(H999, Circuits!A:V, 22, FALSE),))</f>
        <v/>
      </c>
      <c r="T999" s="237" t="str">
        <f>IF(ISBLANK(H999),,IFNA(VLOOKUP(H999, Circuits!A:X, 24, FALSE),))</f>
        <v/>
      </c>
      <c r="V999" s="236" t="str">
        <f>IFERROR(__xludf.DUMMYFUNCTION("IF(ISBLANK(H999),,JOIN("","",H999:T999))"),"")</f>
        <v/>
      </c>
      <c r="W999" s="229" t="str">
        <f t="shared" si="1"/>
        <v/>
      </c>
    </row>
  </sheetData>
  <hyperlinks>
    <hyperlink r:id="rId1" location="heading=h.jo8ukddr1j4w" ref="X1"/>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6" max="26" width="112.88"/>
    <col customWidth="1" min="28" max="28" width="141.13"/>
  </cols>
  <sheetData>
    <row r="1">
      <c r="A1" s="228" t="s">
        <v>241</v>
      </c>
      <c r="B1" s="228"/>
      <c r="C1" s="228"/>
      <c r="D1" s="228"/>
      <c r="E1" s="228"/>
      <c r="F1" s="228"/>
      <c r="G1" s="228"/>
      <c r="H1" s="228"/>
      <c r="I1" s="228"/>
      <c r="AB1" s="231" t="s">
        <v>275</v>
      </c>
      <c r="AC1" s="229" t="str">
        <f t="shared" ref="AC1:AC999" si="1">IF(ISBLANK(AB1),,CHAR(10))</f>
        <v>
</v>
      </c>
    </row>
    <row r="2">
      <c r="A2" s="228" t="s">
        <v>276</v>
      </c>
      <c r="B2" s="228"/>
      <c r="C2" s="228"/>
      <c r="D2" s="228"/>
      <c r="E2" s="228"/>
      <c r="F2" s="228"/>
      <c r="G2" s="228"/>
      <c r="H2" s="228"/>
      <c r="I2" s="228"/>
      <c r="AB2" s="231" t="s">
        <v>245</v>
      </c>
      <c r="AC2" s="229" t="str">
        <f t="shared" si="1"/>
        <v>
</v>
      </c>
    </row>
    <row r="3">
      <c r="B3" s="228"/>
      <c r="C3" s="228"/>
      <c r="D3" s="228"/>
      <c r="E3" s="228"/>
      <c r="F3" s="228"/>
      <c r="G3" s="228"/>
      <c r="H3" s="228"/>
      <c r="I3" s="228"/>
      <c r="AB3" s="231" t="s">
        <v>246</v>
      </c>
      <c r="AC3" s="229" t="str">
        <f t="shared" si="1"/>
        <v>
</v>
      </c>
    </row>
    <row r="4">
      <c r="A4" s="228"/>
      <c r="B4" s="228"/>
      <c r="C4" s="228"/>
      <c r="D4" s="228"/>
      <c r="E4" s="228"/>
      <c r="F4" s="228"/>
      <c r="G4" s="228"/>
      <c r="H4" s="228"/>
      <c r="I4" s="228"/>
      <c r="AB4" s="231" t="s">
        <v>247</v>
      </c>
      <c r="AC4" s="229" t="str">
        <f t="shared" si="1"/>
        <v>
</v>
      </c>
    </row>
    <row r="5">
      <c r="AB5" s="231" t="s">
        <v>277</v>
      </c>
      <c r="AC5" s="229" t="str">
        <f t="shared" si="1"/>
        <v>
</v>
      </c>
    </row>
    <row r="6">
      <c r="AB6" s="231" t="s">
        <v>278</v>
      </c>
      <c r="AC6" s="229" t="str">
        <f t="shared" si="1"/>
        <v>
</v>
      </c>
    </row>
    <row r="7">
      <c r="AB7" s="231" t="s">
        <v>245</v>
      </c>
      <c r="AC7" s="229" t="str">
        <f t="shared" si="1"/>
        <v>
</v>
      </c>
    </row>
    <row r="8">
      <c r="AB8" s="241" t="s">
        <v>279</v>
      </c>
      <c r="AC8" s="229" t="str">
        <f t="shared" si="1"/>
        <v>
</v>
      </c>
    </row>
    <row r="9">
      <c r="AB9" s="234" t="s">
        <v>280</v>
      </c>
      <c r="AC9" s="229" t="str">
        <f t="shared" si="1"/>
        <v>
</v>
      </c>
    </row>
    <row r="10">
      <c r="AB10" s="241" t="s">
        <v>281</v>
      </c>
      <c r="AC10" s="229" t="str">
        <f t="shared" si="1"/>
        <v>
</v>
      </c>
    </row>
    <row r="11">
      <c r="AB11" s="241" t="s">
        <v>282</v>
      </c>
      <c r="AC11" s="229" t="str">
        <f t="shared" si="1"/>
        <v>
</v>
      </c>
    </row>
    <row r="12">
      <c r="AB12" s="241" t="s">
        <v>283</v>
      </c>
      <c r="AC12" s="229" t="str">
        <f t="shared" si="1"/>
        <v>
</v>
      </c>
    </row>
    <row r="13">
      <c r="AB13" s="231" t="s">
        <v>245</v>
      </c>
      <c r="AC13" s="229" t="str">
        <f t="shared" si="1"/>
        <v>
</v>
      </c>
    </row>
    <row r="14">
      <c r="AB14" s="234" t="s">
        <v>284</v>
      </c>
      <c r="AC14" s="229" t="str">
        <f t="shared" si="1"/>
        <v>
</v>
      </c>
    </row>
    <row r="15">
      <c r="AB15" s="231" t="s">
        <v>245</v>
      </c>
      <c r="AC15" s="229" t="str">
        <f t="shared" si="1"/>
        <v>
</v>
      </c>
    </row>
    <row r="16">
      <c r="A16" s="237" t="str">
        <f>IFERROR(__xludf.DUMMYFUNCTION("FILTER({FRG!AE:AF,FRG!W:X,FRG!AX:AX,FRG!AC:AD,FRG!BD:BD,FRG!BK:BK},FRG!AE:AE&lt;&gt;"""")"),"Circuit ID")</f>
        <v>Circuit ID</v>
      </c>
      <c r="B16" s="237" t="str">
        <f>IFERROR(__xludf.DUMMYFUNCTION("""COMPUTED_VALUE"""),"Projected Circuits")</f>
        <v>Projected Circuits</v>
      </c>
      <c r="C16" s="237" t="str">
        <f>IFERROR(__xludf.DUMMYFUNCTION("""COMPUTED_VALUE"""),"Transmitter")</f>
        <v>Transmitter</v>
      </c>
      <c r="D16" s="237" t="str">
        <f>IFERROR(__xludf.DUMMYFUNCTION("""COMPUTED_VALUE"""),"Modulation Type")</f>
        <v>Modulation Type</v>
      </c>
      <c r="E16" s="237" t="str">
        <f>IFERROR(__xludf.DUMMYFUNCTION("""COMPUTED_VALUE"""),"Region Category")</f>
        <v>Region Category</v>
      </c>
      <c r="F16" s="237" t="str">
        <f>IFERROR(__xludf.DUMMYFUNCTION("""COMPUTED_VALUE"""),"Node ID")</f>
        <v>Node ID</v>
      </c>
      <c r="G16" s="237" t="str">
        <f>IFERROR(__xludf.DUMMYFUNCTION("""COMPUTED_VALUE"""),"Subnodes")</f>
        <v>Subnodes</v>
      </c>
      <c r="H16" s="237" t="str">
        <f>IFERROR(__xludf.DUMMYFUNCTION("""COMPUTED_VALUE"""),"Capability")</f>
        <v>Capability</v>
      </c>
      <c r="I16" s="237" t="str">
        <f>IFERROR(__xludf.DUMMYFUNCTION("""COMPUTED_VALUE"""),"Output Semantics")</f>
        <v>Output Semantics</v>
      </c>
      <c r="K16" s="18" t="s">
        <v>285</v>
      </c>
      <c r="L16" s="238" t="s">
        <v>286</v>
      </c>
      <c r="M16" s="18" t="s">
        <v>287</v>
      </c>
      <c r="N16" s="238" t="s">
        <v>288</v>
      </c>
      <c r="O16" s="238" t="s">
        <v>265</v>
      </c>
      <c r="P16" s="238" t="s">
        <v>266</v>
      </c>
      <c r="Q16" s="238" t="s">
        <v>267</v>
      </c>
      <c r="R16" s="238" t="s">
        <v>268</v>
      </c>
      <c r="S16" s="238" t="s">
        <v>269</v>
      </c>
      <c r="T16" s="238" t="s">
        <v>289</v>
      </c>
      <c r="U16" s="18" t="s">
        <v>290</v>
      </c>
      <c r="V16" s="238" t="s">
        <v>19</v>
      </c>
      <c r="W16" s="238" t="s">
        <v>272</v>
      </c>
      <c r="X16" s="18" t="s">
        <v>291</v>
      </c>
      <c r="Y16" s="18" t="s">
        <v>292</v>
      </c>
      <c r="Z16" s="18" t="s">
        <v>293</v>
      </c>
      <c r="AB16" s="242" t="str">
        <f>IFERROR(__xludf.DUMMYFUNCTION("IF(ISBLANK(K16),,SUBSTITUTE(IFERROR(JOIN("","",K16:Z16),JOIN("","",K16:Y16)),CHAR(10),""""))"),"P2_Circuit_ID,Projected_Circuits,P3_Transmitter,Modulation_Type,relationExcitatory,relationInhibitory,relationModulatory,relationMisc,relationBlank,Region_Category,P1_Node_ID,Subnodes,nodeshape,P4_Capability,P5_Output_Semantics,link")</f>
        <v>P2_Circuit_ID,Projected_Circuits,P3_Transmitter,Modulation_Type,relationExcitatory,relationInhibitory,relationModulatory,relationMisc,relationBlank,Region_Category,P1_Node_ID,Subnodes,nodeshape,P4_Capability,P5_Output_Semantics,link</v>
      </c>
      <c r="AC16" s="229" t="str">
        <f t="shared" si="1"/>
        <v>
</v>
      </c>
    </row>
    <row r="17">
      <c r="K17" s="237" t="str">
        <f t="array" ref="K17:K999">A17:A999</f>
        <v/>
      </c>
      <c r="L17" s="238" t="str">
        <f t="shared" ref="L17:L999" si="3">IF(ISBLANK(B17),,""""&amp;SUBSTITUTE(SUBSTITUTE(B17, ";", ","),CHAR(10),"")&amp;"""")</f>
        <v/>
      </c>
      <c r="M17" s="237" t="str">
        <f t="array" ref="M17:M999">C17:C999</f>
        <v/>
      </c>
      <c r="N17" s="238" t="str">
        <f t="array" ref="N17:N999">D17:D999</f>
        <v/>
      </c>
      <c r="O17" s="238" t="str">
        <f t="shared" ref="O17:O999" si="4">IFERROR(IF($N17="Excitatory",$L17,),)</f>
        <v/>
      </c>
      <c r="P17" s="238" t="str">
        <f t="shared" ref="P17:P999" si="5">IFERROR(IF($N17="Inhibitory",$L17,),)</f>
        <v/>
      </c>
      <c r="Q17" s="238" t="str">
        <f t="shared" ref="Q17:Q999" si="6">IFERROR(IF($N17="Modulatory",$L17,),)</f>
        <v/>
      </c>
      <c r="R17" s="238" t="str">
        <f t="shared" ref="R17:R999" si="7">IF(IF(ISBLANK(O17),0,1)+IF(ISBLANK(P17),0,1)+IF(ISBLANK(Q17),0,1)+IF(ISBLANK(S17),0,1),,L17)</f>
        <v/>
      </c>
      <c r="S17" s="238" t="str">
        <f t="shared" ref="S17:S999" si="8">IF(ISBLANK($N17),$L17,)</f>
        <v/>
      </c>
      <c r="T17" s="238" t="str">
        <f t="array" ref="T17:T999">E17:E999</f>
        <v/>
      </c>
      <c r="U17" s="237" t="str">
        <f t="array" ref="U17:U999">F17:F999</f>
        <v/>
      </c>
      <c r="V17" s="238" t="str">
        <f t="array" ref="V17:V999">G17:G999</f>
        <v/>
      </c>
      <c r="W17" s="238" t="str">
        <f t="shared" ref="W17:W999" si="9">IF(ISBLANK(K17),,IFNA(IF(OR(T17="input/output",OR(T17="input",T17="output")),"input or output",IF(T17="inROI",IF(ISBLANK(V17),"component","group node"),)),""))</f>
        <v/>
      </c>
      <c r="X17" s="237" t="str">
        <f t="shared" ref="X17:Y17" si="2">IF(ISBLANK(H17),,""""&amp;H17&amp;"""")</f>
        <v/>
      </c>
      <c r="Y17" s="237" t="str">
        <f t="shared" si="2"/>
        <v/>
      </c>
      <c r="Z17" s="237" t="str">
        <f>IF(ISBLANK(K17),,Config!$C$3&amp;"&amp;range=BB"&amp;MATCH(K17,FRG!AE:AE,0))</f>
        <v/>
      </c>
      <c r="AB17" s="242" t="str">
        <f>IFERROR(__xludf.DUMMYFUNCTION("IF(ISBLANK(K17),,SUBSTITUTE(IFERROR(JOIN("","",K17:Z17),JOIN("","",K17:Y17)),CHAR(10),""""))"),"")</f>
        <v/>
      </c>
      <c r="AC17" s="229" t="str">
        <f t="shared" si="1"/>
        <v/>
      </c>
    </row>
    <row r="18">
      <c r="K18" s="237"/>
      <c r="L18" s="238" t="str">
        <f t="shared" si="3"/>
        <v/>
      </c>
      <c r="M18" s="237"/>
      <c r="N18" s="238"/>
      <c r="O18" s="238" t="str">
        <f t="shared" si="4"/>
        <v/>
      </c>
      <c r="P18" s="238" t="str">
        <f t="shared" si="5"/>
        <v/>
      </c>
      <c r="Q18" s="238" t="str">
        <f t="shared" si="6"/>
        <v/>
      </c>
      <c r="R18" s="238" t="str">
        <f t="shared" si="7"/>
        <v/>
      </c>
      <c r="S18" s="238" t="str">
        <f t="shared" si="8"/>
        <v/>
      </c>
      <c r="T18" s="238"/>
      <c r="U18" s="237"/>
      <c r="V18" s="238"/>
      <c r="W18" s="238" t="str">
        <f t="shared" si="9"/>
        <v/>
      </c>
      <c r="X18" s="237" t="str">
        <f t="shared" ref="X18:Y18" si="10">IF(ISBLANK(H18),,""""&amp;H18&amp;"""")</f>
        <v/>
      </c>
      <c r="Y18" s="237" t="str">
        <f t="shared" si="10"/>
        <v/>
      </c>
      <c r="Z18" s="237" t="str">
        <f>IF(ISBLANK(K18),,Config!$C$3&amp;"&amp;range=BB"&amp;MATCH(K18,FRG!AE:AE,0))</f>
        <v/>
      </c>
      <c r="AB18" s="242" t="str">
        <f>IFERROR(__xludf.DUMMYFUNCTION("IF(ISBLANK(K18),,SUBSTITUTE(IFERROR(JOIN("","",K18:Z18),JOIN("","",K18:Y18)),CHAR(10),""""))"),"")</f>
        <v/>
      </c>
      <c r="AC18" s="229" t="str">
        <f t="shared" si="1"/>
        <v/>
      </c>
    </row>
    <row r="19">
      <c r="K19" s="237"/>
      <c r="L19" s="238" t="str">
        <f t="shared" si="3"/>
        <v/>
      </c>
      <c r="M19" s="237"/>
      <c r="N19" s="238"/>
      <c r="O19" s="238" t="str">
        <f t="shared" si="4"/>
        <v/>
      </c>
      <c r="P19" s="238" t="str">
        <f t="shared" si="5"/>
        <v/>
      </c>
      <c r="Q19" s="238" t="str">
        <f t="shared" si="6"/>
        <v/>
      </c>
      <c r="R19" s="238" t="str">
        <f t="shared" si="7"/>
        <v/>
      </c>
      <c r="S19" s="238" t="str">
        <f t="shared" si="8"/>
        <v/>
      </c>
      <c r="T19" s="238"/>
      <c r="U19" s="237"/>
      <c r="V19" s="238"/>
      <c r="W19" s="238" t="str">
        <f t="shared" si="9"/>
        <v/>
      </c>
      <c r="X19" s="237" t="str">
        <f t="shared" ref="X19:Y19" si="11">IF(ISBLANK(H19),,""""&amp;H19&amp;"""")</f>
        <v/>
      </c>
      <c r="Y19" s="237" t="str">
        <f t="shared" si="11"/>
        <v/>
      </c>
      <c r="Z19" s="237" t="str">
        <f>IF(ISBLANK(K19),,Config!$C$3&amp;"&amp;range=BB"&amp;MATCH(K19,FRG!AE:AE,0))</f>
        <v/>
      </c>
      <c r="AB19" s="242" t="str">
        <f>IFERROR(__xludf.DUMMYFUNCTION("IF(ISBLANK(K19),,SUBSTITUTE(IFERROR(JOIN("","",K19:Z19),JOIN("","",K19:Y19)),CHAR(10),""""))"),"")</f>
        <v/>
      </c>
      <c r="AC19" s="229" t="str">
        <f t="shared" si="1"/>
        <v/>
      </c>
    </row>
    <row r="20">
      <c r="K20" s="237"/>
      <c r="L20" s="238" t="str">
        <f t="shared" si="3"/>
        <v/>
      </c>
      <c r="M20" s="237"/>
      <c r="N20" s="238"/>
      <c r="O20" s="238" t="str">
        <f t="shared" si="4"/>
        <v/>
      </c>
      <c r="P20" s="238" t="str">
        <f t="shared" si="5"/>
        <v/>
      </c>
      <c r="Q20" s="238" t="str">
        <f t="shared" si="6"/>
        <v/>
      </c>
      <c r="R20" s="238" t="str">
        <f t="shared" si="7"/>
        <v/>
      </c>
      <c r="S20" s="238" t="str">
        <f t="shared" si="8"/>
        <v/>
      </c>
      <c r="T20" s="238"/>
      <c r="U20" s="237"/>
      <c r="V20" s="238"/>
      <c r="W20" s="238" t="str">
        <f t="shared" si="9"/>
        <v/>
      </c>
      <c r="X20" s="237" t="str">
        <f t="shared" ref="X20:Y20" si="12">IF(ISBLANK(H20),,""""&amp;H20&amp;"""")</f>
        <v/>
      </c>
      <c r="Y20" s="237" t="str">
        <f t="shared" si="12"/>
        <v/>
      </c>
      <c r="Z20" s="237" t="str">
        <f>IF(ISBLANK(K20),,Config!$C$3&amp;"&amp;range=BB"&amp;MATCH(K20,FRG!AE:AE,0))</f>
        <v/>
      </c>
      <c r="AB20" s="242" t="str">
        <f>IFERROR(__xludf.DUMMYFUNCTION("IF(ISBLANK(K20),,SUBSTITUTE(IFERROR(JOIN("","",K20:Z20),JOIN("","",K20:Y20)),CHAR(10),""""))"),"")</f>
        <v/>
      </c>
      <c r="AC20" s="229" t="str">
        <f t="shared" si="1"/>
        <v/>
      </c>
    </row>
    <row r="21">
      <c r="K21" s="237"/>
      <c r="L21" s="238" t="str">
        <f t="shared" si="3"/>
        <v/>
      </c>
      <c r="M21" s="237"/>
      <c r="N21" s="238"/>
      <c r="O21" s="238" t="str">
        <f t="shared" si="4"/>
        <v/>
      </c>
      <c r="P21" s="238" t="str">
        <f t="shared" si="5"/>
        <v/>
      </c>
      <c r="Q21" s="238" t="str">
        <f t="shared" si="6"/>
        <v/>
      </c>
      <c r="R21" s="238" t="str">
        <f t="shared" si="7"/>
        <v/>
      </c>
      <c r="S21" s="238" t="str">
        <f t="shared" si="8"/>
        <v/>
      </c>
      <c r="T21" s="238"/>
      <c r="U21" s="237"/>
      <c r="V21" s="238"/>
      <c r="W21" s="238" t="str">
        <f t="shared" si="9"/>
        <v/>
      </c>
      <c r="X21" s="237" t="str">
        <f t="shared" ref="X21:Y21" si="13">IF(ISBLANK(H21),,""""&amp;H21&amp;"""")</f>
        <v/>
      </c>
      <c r="Y21" s="237" t="str">
        <f t="shared" si="13"/>
        <v/>
      </c>
      <c r="Z21" s="237" t="str">
        <f>IF(ISBLANK(K21),,Config!$C$3&amp;"&amp;range=BB"&amp;MATCH(K21,FRG!AE:AE,0))</f>
        <v/>
      </c>
      <c r="AB21" s="242" t="str">
        <f>IFERROR(__xludf.DUMMYFUNCTION("IF(ISBLANK(K21),,SUBSTITUTE(IFERROR(JOIN("","",K21:Z21),JOIN("","",K21:Y21)),CHAR(10),""""))"),"")</f>
        <v/>
      </c>
      <c r="AC21" s="229" t="str">
        <f t="shared" si="1"/>
        <v/>
      </c>
    </row>
    <row r="22">
      <c r="K22" s="237"/>
      <c r="L22" s="238" t="str">
        <f t="shared" si="3"/>
        <v/>
      </c>
      <c r="M22" s="237"/>
      <c r="N22" s="238"/>
      <c r="O22" s="238" t="str">
        <f t="shared" si="4"/>
        <v/>
      </c>
      <c r="P22" s="238" t="str">
        <f t="shared" si="5"/>
        <v/>
      </c>
      <c r="Q22" s="238" t="str">
        <f t="shared" si="6"/>
        <v/>
      </c>
      <c r="R22" s="238" t="str">
        <f t="shared" si="7"/>
        <v/>
      </c>
      <c r="S22" s="238" t="str">
        <f t="shared" si="8"/>
        <v/>
      </c>
      <c r="T22" s="238"/>
      <c r="U22" s="237"/>
      <c r="V22" s="238"/>
      <c r="W22" s="238" t="str">
        <f t="shared" si="9"/>
        <v/>
      </c>
      <c r="X22" s="237" t="str">
        <f t="shared" ref="X22:Y22" si="14">IF(ISBLANK(H22),,""""&amp;H22&amp;"""")</f>
        <v/>
      </c>
      <c r="Y22" s="237" t="str">
        <f t="shared" si="14"/>
        <v/>
      </c>
      <c r="Z22" s="237" t="str">
        <f>IF(ISBLANK(K22),,Config!$C$3&amp;"&amp;range=BB"&amp;MATCH(K22,FRG!AE:AE,0))</f>
        <v/>
      </c>
      <c r="AB22" s="242" t="str">
        <f>IFERROR(__xludf.DUMMYFUNCTION("IF(ISBLANK(K22),,SUBSTITUTE(IFERROR(JOIN("","",K22:Z22),JOIN("","",K22:Y22)),CHAR(10),""""))"),"")</f>
        <v/>
      </c>
      <c r="AC22" s="229" t="str">
        <f t="shared" si="1"/>
        <v/>
      </c>
    </row>
    <row r="23">
      <c r="K23" s="237"/>
      <c r="L23" s="238" t="str">
        <f t="shared" si="3"/>
        <v/>
      </c>
      <c r="M23" s="237"/>
      <c r="N23" s="238"/>
      <c r="O23" s="238" t="str">
        <f t="shared" si="4"/>
        <v/>
      </c>
      <c r="P23" s="238" t="str">
        <f t="shared" si="5"/>
        <v/>
      </c>
      <c r="Q23" s="238" t="str">
        <f t="shared" si="6"/>
        <v/>
      </c>
      <c r="R23" s="238" t="str">
        <f t="shared" si="7"/>
        <v/>
      </c>
      <c r="S23" s="238" t="str">
        <f t="shared" si="8"/>
        <v/>
      </c>
      <c r="T23" s="238"/>
      <c r="U23" s="237"/>
      <c r="V23" s="238"/>
      <c r="W23" s="238" t="str">
        <f t="shared" si="9"/>
        <v/>
      </c>
      <c r="X23" s="237" t="str">
        <f t="shared" ref="X23:Y23" si="15">IF(ISBLANK(H23),,""""&amp;H23&amp;"""")</f>
        <v/>
      </c>
      <c r="Y23" s="237" t="str">
        <f t="shared" si="15"/>
        <v/>
      </c>
      <c r="Z23" s="237" t="str">
        <f>IF(ISBLANK(K23),,Config!$C$3&amp;"&amp;range=BB"&amp;MATCH(K23,FRG!AE:AE,0))</f>
        <v/>
      </c>
      <c r="AB23" s="242" t="str">
        <f>IFERROR(__xludf.DUMMYFUNCTION("IF(ISBLANK(K23),,SUBSTITUTE(IFERROR(JOIN("","",K23:Z23),JOIN("","",K23:Y23)),CHAR(10),""""))"),"")</f>
        <v/>
      </c>
      <c r="AC23" s="229" t="str">
        <f t="shared" si="1"/>
        <v/>
      </c>
    </row>
    <row r="24">
      <c r="K24" s="237"/>
      <c r="L24" s="238" t="str">
        <f t="shared" si="3"/>
        <v/>
      </c>
      <c r="M24" s="237"/>
      <c r="N24" s="238"/>
      <c r="O24" s="238" t="str">
        <f t="shared" si="4"/>
        <v/>
      </c>
      <c r="P24" s="238" t="str">
        <f t="shared" si="5"/>
        <v/>
      </c>
      <c r="Q24" s="238" t="str">
        <f t="shared" si="6"/>
        <v/>
      </c>
      <c r="R24" s="238" t="str">
        <f t="shared" si="7"/>
        <v/>
      </c>
      <c r="S24" s="238" t="str">
        <f t="shared" si="8"/>
        <v/>
      </c>
      <c r="T24" s="238"/>
      <c r="U24" s="237"/>
      <c r="V24" s="238"/>
      <c r="W24" s="238" t="str">
        <f t="shared" si="9"/>
        <v/>
      </c>
      <c r="X24" s="237" t="str">
        <f t="shared" ref="X24:Y24" si="16">IF(ISBLANK(H24),,""""&amp;H24&amp;"""")</f>
        <v/>
      </c>
      <c r="Y24" s="237" t="str">
        <f t="shared" si="16"/>
        <v/>
      </c>
      <c r="Z24" s="237" t="str">
        <f>IF(ISBLANK(K24),,Config!$C$3&amp;"&amp;range=BB"&amp;MATCH(K24,FRG!AE:AE,0))</f>
        <v/>
      </c>
      <c r="AB24" s="242" t="str">
        <f>IFERROR(__xludf.DUMMYFUNCTION("IF(ISBLANK(K24),,SUBSTITUTE(IFERROR(JOIN("","",K24:Z24),JOIN("","",K24:Y24)),CHAR(10),""""))"),"")</f>
        <v/>
      </c>
      <c r="AC24" s="229" t="str">
        <f t="shared" si="1"/>
        <v/>
      </c>
    </row>
    <row r="25">
      <c r="K25" s="237"/>
      <c r="L25" s="238" t="str">
        <f t="shared" si="3"/>
        <v/>
      </c>
      <c r="M25" s="237"/>
      <c r="N25" s="238"/>
      <c r="O25" s="238" t="str">
        <f t="shared" si="4"/>
        <v/>
      </c>
      <c r="P25" s="238" t="str">
        <f t="shared" si="5"/>
        <v/>
      </c>
      <c r="Q25" s="238" t="str">
        <f t="shared" si="6"/>
        <v/>
      </c>
      <c r="R25" s="238" t="str">
        <f t="shared" si="7"/>
        <v/>
      </c>
      <c r="S25" s="238" t="str">
        <f t="shared" si="8"/>
        <v/>
      </c>
      <c r="T25" s="238"/>
      <c r="U25" s="237"/>
      <c r="V25" s="238"/>
      <c r="W25" s="238" t="str">
        <f t="shared" si="9"/>
        <v/>
      </c>
      <c r="X25" s="237" t="str">
        <f t="shared" ref="X25:Y25" si="17">IF(ISBLANK(H25),,""""&amp;H25&amp;"""")</f>
        <v/>
      </c>
      <c r="Y25" s="237" t="str">
        <f t="shared" si="17"/>
        <v/>
      </c>
      <c r="Z25" s="237" t="str">
        <f>IF(ISBLANK(K25),,Config!$C$3&amp;"&amp;range=BB"&amp;MATCH(K25,FRG!AE:AE,0))</f>
        <v/>
      </c>
      <c r="AB25" s="242" t="str">
        <f>IFERROR(__xludf.DUMMYFUNCTION("IF(ISBLANK(K25),,SUBSTITUTE(IFERROR(JOIN("","",K25:Z25),JOIN("","",K25:Y25)),CHAR(10),""""))"),"")</f>
        <v/>
      </c>
      <c r="AC25" s="229" t="str">
        <f t="shared" si="1"/>
        <v/>
      </c>
    </row>
    <row r="26">
      <c r="K26" s="237"/>
      <c r="L26" s="238" t="str">
        <f t="shared" si="3"/>
        <v/>
      </c>
      <c r="M26" s="237"/>
      <c r="N26" s="238"/>
      <c r="O26" s="238" t="str">
        <f t="shared" si="4"/>
        <v/>
      </c>
      <c r="P26" s="238" t="str">
        <f t="shared" si="5"/>
        <v/>
      </c>
      <c r="Q26" s="238" t="str">
        <f t="shared" si="6"/>
        <v/>
      </c>
      <c r="R26" s="238" t="str">
        <f t="shared" si="7"/>
        <v/>
      </c>
      <c r="S26" s="238" t="str">
        <f t="shared" si="8"/>
        <v/>
      </c>
      <c r="T26" s="238"/>
      <c r="U26" s="237"/>
      <c r="V26" s="238"/>
      <c r="W26" s="238" t="str">
        <f t="shared" si="9"/>
        <v/>
      </c>
      <c r="X26" s="237" t="str">
        <f t="shared" ref="X26:Y26" si="18">IF(ISBLANK(H26),,""""&amp;H26&amp;"""")</f>
        <v/>
      </c>
      <c r="Y26" s="237" t="str">
        <f t="shared" si="18"/>
        <v/>
      </c>
      <c r="Z26" s="237" t="str">
        <f>IF(ISBLANK(K26),,Config!$C$3&amp;"&amp;range=BB"&amp;MATCH(K26,FRG!AE:AE,0))</f>
        <v/>
      </c>
      <c r="AB26" s="242" t="str">
        <f>IFERROR(__xludf.DUMMYFUNCTION("IF(ISBLANK(K26),,SUBSTITUTE(IFERROR(JOIN("","",K26:Z26),JOIN("","",K26:Y26)),CHAR(10),""""))"),"")</f>
        <v/>
      </c>
      <c r="AC26" s="229" t="str">
        <f t="shared" si="1"/>
        <v/>
      </c>
    </row>
    <row r="27">
      <c r="K27" s="237"/>
      <c r="L27" s="238" t="str">
        <f t="shared" si="3"/>
        <v/>
      </c>
      <c r="M27" s="237"/>
      <c r="N27" s="238"/>
      <c r="O27" s="238" t="str">
        <f t="shared" si="4"/>
        <v/>
      </c>
      <c r="P27" s="238" t="str">
        <f t="shared" si="5"/>
        <v/>
      </c>
      <c r="Q27" s="238" t="str">
        <f t="shared" si="6"/>
        <v/>
      </c>
      <c r="R27" s="238" t="str">
        <f t="shared" si="7"/>
        <v/>
      </c>
      <c r="S27" s="238" t="str">
        <f t="shared" si="8"/>
        <v/>
      </c>
      <c r="T27" s="238"/>
      <c r="U27" s="237"/>
      <c r="V27" s="238"/>
      <c r="W27" s="238" t="str">
        <f t="shared" si="9"/>
        <v/>
      </c>
      <c r="X27" s="237" t="str">
        <f t="shared" ref="X27:Y27" si="19">IF(ISBLANK(H27),,""""&amp;H27&amp;"""")</f>
        <v/>
      </c>
      <c r="Y27" s="237" t="str">
        <f t="shared" si="19"/>
        <v/>
      </c>
      <c r="Z27" s="237" t="str">
        <f>IF(ISBLANK(K27),,Config!$C$3&amp;"&amp;range=BB"&amp;MATCH(K27,FRG!AE:AE,0))</f>
        <v/>
      </c>
      <c r="AB27" s="242" t="str">
        <f>IFERROR(__xludf.DUMMYFUNCTION("IF(ISBLANK(K27),,SUBSTITUTE(IFERROR(JOIN("","",K27:Z27),JOIN("","",K27:Y27)),CHAR(10),""""))"),"")</f>
        <v/>
      </c>
      <c r="AC27" s="229" t="str">
        <f t="shared" si="1"/>
        <v/>
      </c>
    </row>
    <row r="28">
      <c r="K28" s="237"/>
      <c r="L28" s="238" t="str">
        <f t="shared" si="3"/>
        <v/>
      </c>
      <c r="M28" s="237"/>
      <c r="N28" s="238"/>
      <c r="O28" s="238" t="str">
        <f t="shared" si="4"/>
        <v/>
      </c>
      <c r="P28" s="238" t="str">
        <f t="shared" si="5"/>
        <v/>
      </c>
      <c r="Q28" s="238" t="str">
        <f t="shared" si="6"/>
        <v/>
      </c>
      <c r="R28" s="238" t="str">
        <f t="shared" si="7"/>
        <v/>
      </c>
      <c r="S28" s="238" t="str">
        <f t="shared" si="8"/>
        <v/>
      </c>
      <c r="T28" s="238"/>
      <c r="U28" s="237"/>
      <c r="V28" s="238"/>
      <c r="W28" s="238" t="str">
        <f t="shared" si="9"/>
        <v/>
      </c>
      <c r="X28" s="237" t="str">
        <f t="shared" ref="X28:Y28" si="20">IF(ISBLANK(H28),,""""&amp;H28&amp;"""")</f>
        <v/>
      </c>
      <c r="Y28" s="237" t="str">
        <f t="shared" si="20"/>
        <v/>
      </c>
      <c r="Z28" s="237" t="str">
        <f>IF(ISBLANK(K28),,Config!$C$3&amp;"&amp;range=BB"&amp;MATCH(K28,FRG!AE:AE,0))</f>
        <v/>
      </c>
      <c r="AB28" s="242" t="str">
        <f>IFERROR(__xludf.DUMMYFUNCTION("IF(ISBLANK(K28),,SUBSTITUTE(IFERROR(JOIN("","",K28:Z28),JOIN("","",K28:Y28)),CHAR(10),""""))"),"")</f>
        <v/>
      </c>
      <c r="AC28" s="229" t="str">
        <f t="shared" si="1"/>
        <v/>
      </c>
    </row>
    <row r="29">
      <c r="K29" s="237"/>
      <c r="L29" s="238" t="str">
        <f t="shared" si="3"/>
        <v/>
      </c>
      <c r="M29" s="237"/>
      <c r="N29" s="238"/>
      <c r="O29" s="238" t="str">
        <f t="shared" si="4"/>
        <v/>
      </c>
      <c r="P29" s="238" t="str">
        <f t="shared" si="5"/>
        <v/>
      </c>
      <c r="Q29" s="238" t="str">
        <f t="shared" si="6"/>
        <v/>
      </c>
      <c r="R29" s="238" t="str">
        <f t="shared" si="7"/>
        <v/>
      </c>
      <c r="S29" s="238" t="str">
        <f t="shared" si="8"/>
        <v/>
      </c>
      <c r="T29" s="238"/>
      <c r="U29" s="237"/>
      <c r="V29" s="238"/>
      <c r="W29" s="238" t="str">
        <f t="shared" si="9"/>
        <v/>
      </c>
      <c r="X29" s="237" t="str">
        <f t="shared" ref="X29:Y29" si="21">IF(ISBLANK(H29),,""""&amp;H29&amp;"""")</f>
        <v/>
      </c>
      <c r="Y29" s="237" t="str">
        <f t="shared" si="21"/>
        <v/>
      </c>
      <c r="Z29" s="237" t="str">
        <f>IF(ISBLANK(K29),,Config!$C$3&amp;"&amp;range=BB"&amp;MATCH(K29,FRG!AE:AE,0))</f>
        <v/>
      </c>
      <c r="AB29" s="242" t="str">
        <f>IFERROR(__xludf.DUMMYFUNCTION("IF(ISBLANK(K29),,SUBSTITUTE(IFERROR(JOIN("","",K29:Z29),JOIN("","",K29:Y29)),CHAR(10),""""))"),"")</f>
        <v/>
      </c>
      <c r="AC29" s="229" t="str">
        <f t="shared" si="1"/>
        <v/>
      </c>
    </row>
    <row r="30">
      <c r="K30" s="237"/>
      <c r="L30" s="238" t="str">
        <f t="shared" si="3"/>
        <v/>
      </c>
      <c r="M30" s="237"/>
      <c r="N30" s="238"/>
      <c r="O30" s="238" t="str">
        <f t="shared" si="4"/>
        <v/>
      </c>
      <c r="P30" s="238" t="str">
        <f t="shared" si="5"/>
        <v/>
      </c>
      <c r="Q30" s="238" t="str">
        <f t="shared" si="6"/>
        <v/>
      </c>
      <c r="R30" s="238" t="str">
        <f t="shared" si="7"/>
        <v/>
      </c>
      <c r="S30" s="238" t="str">
        <f t="shared" si="8"/>
        <v/>
      </c>
      <c r="T30" s="238"/>
      <c r="U30" s="237"/>
      <c r="V30" s="238"/>
      <c r="W30" s="238" t="str">
        <f t="shared" si="9"/>
        <v/>
      </c>
      <c r="X30" s="237" t="str">
        <f t="shared" ref="X30:Y30" si="22">IF(ISBLANK(H30),,""""&amp;H30&amp;"""")</f>
        <v/>
      </c>
      <c r="Y30" s="237" t="str">
        <f t="shared" si="22"/>
        <v/>
      </c>
      <c r="Z30" s="237" t="str">
        <f>IF(ISBLANK(K30),,Config!$C$3&amp;"&amp;range=BB"&amp;MATCH(K30,FRG!AE:AE,0))</f>
        <v/>
      </c>
      <c r="AB30" s="242" t="str">
        <f>IFERROR(__xludf.DUMMYFUNCTION("IF(ISBLANK(K30),,SUBSTITUTE(IFERROR(JOIN("","",K30:Z30),JOIN("","",K30:Y30)),CHAR(10),""""))"),"")</f>
        <v/>
      </c>
      <c r="AC30" s="229" t="str">
        <f t="shared" si="1"/>
        <v/>
      </c>
    </row>
    <row r="31">
      <c r="K31" s="237"/>
      <c r="L31" s="238" t="str">
        <f t="shared" si="3"/>
        <v/>
      </c>
      <c r="M31" s="237"/>
      <c r="N31" s="238"/>
      <c r="O31" s="238" t="str">
        <f t="shared" si="4"/>
        <v/>
      </c>
      <c r="P31" s="238" t="str">
        <f t="shared" si="5"/>
        <v/>
      </c>
      <c r="Q31" s="238" t="str">
        <f t="shared" si="6"/>
        <v/>
      </c>
      <c r="R31" s="238" t="str">
        <f t="shared" si="7"/>
        <v/>
      </c>
      <c r="S31" s="238" t="str">
        <f t="shared" si="8"/>
        <v/>
      </c>
      <c r="T31" s="238"/>
      <c r="U31" s="237"/>
      <c r="V31" s="238"/>
      <c r="W31" s="238" t="str">
        <f t="shared" si="9"/>
        <v/>
      </c>
      <c r="X31" s="237" t="str">
        <f t="shared" ref="X31:Y31" si="23">IF(ISBLANK(H31),,""""&amp;H31&amp;"""")</f>
        <v/>
      </c>
      <c r="Y31" s="237" t="str">
        <f t="shared" si="23"/>
        <v/>
      </c>
      <c r="Z31" s="237" t="str">
        <f>IF(ISBLANK(K31),,Config!$C$3&amp;"&amp;range=BB"&amp;MATCH(K31,FRG!AE:AE,0))</f>
        <v/>
      </c>
      <c r="AB31" s="242" t="str">
        <f>IFERROR(__xludf.DUMMYFUNCTION("IF(ISBLANK(K31),,SUBSTITUTE(IFERROR(JOIN("","",K31:Z31),JOIN("","",K31:Y31)),CHAR(10),""""))"),"")</f>
        <v/>
      </c>
      <c r="AC31" s="229" t="str">
        <f t="shared" si="1"/>
        <v/>
      </c>
    </row>
    <row r="32">
      <c r="K32" s="237"/>
      <c r="L32" s="238" t="str">
        <f t="shared" si="3"/>
        <v/>
      </c>
      <c r="M32" s="237"/>
      <c r="N32" s="238"/>
      <c r="O32" s="238" t="str">
        <f t="shared" si="4"/>
        <v/>
      </c>
      <c r="P32" s="238" t="str">
        <f t="shared" si="5"/>
        <v/>
      </c>
      <c r="Q32" s="238" t="str">
        <f t="shared" si="6"/>
        <v/>
      </c>
      <c r="R32" s="238" t="str">
        <f t="shared" si="7"/>
        <v/>
      </c>
      <c r="S32" s="238" t="str">
        <f t="shared" si="8"/>
        <v/>
      </c>
      <c r="T32" s="238"/>
      <c r="U32" s="237"/>
      <c r="V32" s="238"/>
      <c r="W32" s="238" t="str">
        <f t="shared" si="9"/>
        <v/>
      </c>
      <c r="X32" s="237" t="str">
        <f t="shared" ref="X32:Y32" si="24">IF(ISBLANK(H32),,""""&amp;H32&amp;"""")</f>
        <v/>
      </c>
      <c r="Y32" s="237" t="str">
        <f t="shared" si="24"/>
        <v/>
      </c>
      <c r="Z32" s="237" t="str">
        <f>IF(ISBLANK(K32),,Config!$C$3&amp;"&amp;range=BB"&amp;MATCH(K32,FRG!AE:AE,0))</f>
        <v/>
      </c>
      <c r="AB32" s="242" t="str">
        <f>IFERROR(__xludf.DUMMYFUNCTION("IF(ISBLANK(K32),,SUBSTITUTE(IFERROR(JOIN("","",K32:Z32),JOIN("","",K32:Y32)),CHAR(10),""""))"),"")</f>
        <v/>
      </c>
      <c r="AC32" s="229" t="str">
        <f t="shared" si="1"/>
        <v/>
      </c>
    </row>
    <row r="33">
      <c r="K33" s="237"/>
      <c r="L33" s="238" t="str">
        <f t="shared" si="3"/>
        <v/>
      </c>
      <c r="M33" s="237"/>
      <c r="N33" s="238"/>
      <c r="O33" s="238" t="str">
        <f t="shared" si="4"/>
        <v/>
      </c>
      <c r="P33" s="238" t="str">
        <f t="shared" si="5"/>
        <v/>
      </c>
      <c r="Q33" s="238" t="str">
        <f t="shared" si="6"/>
        <v/>
      </c>
      <c r="R33" s="238" t="str">
        <f t="shared" si="7"/>
        <v/>
      </c>
      <c r="S33" s="238" t="str">
        <f t="shared" si="8"/>
        <v/>
      </c>
      <c r="T33" s="238"/>
      <c r="U33" s="237"/>
      <c r="V33" s="238"/>
      <c r="W33" s="238" t="str">
        <f t="shared" si="9"/>
        <v/>
      </c>
      <c r="X33" s="237" t="str">
        <f t="shared" ref="X33:Y33" si="25">IF(ISBLANK(H33),,""""&amp;H33&amp;"""")</f>
        <v/>
      </c>
      <c r="Y33" s="237" t="str">
        <f t="shared" si="25"/>
        <v/>
      </c>
      <c r="Z33" s="237" t="str">
        <f>IF(ISBLANK(K33),,Config!$C$3&amp;"&amp;range=BB"&amp;MATCH(K33,FRG!AE:AE,0))</f>
        <v/>
      </c>
      <c r="AB33" s="242" t="str">
        <f>IFERROR(__xludf.DUMMYFUNCTION("IF(ISBLANK(K33),,SUBSTITUTE(IFERROR(JOIN("","",K33:Z33),JOIN("","",K33:Y33)),CHAR(10),""""))"),"")</f>
        <v/>
      </c>
      <c r="AC33" s="229" t="str">
        <f t="shared" si="1"/>
        <v/>
      </c>
    </row>
    <row r="34">
      <c r="K34" s="237"/>
      <c r="L34" s="238" t="str">
        <f t="shared" si="3"/>
        <v/>
      </c>
      <c r="M34" s="237"/>
      <c r="N34" s="238"/>
      <c r="O34" s="238" t="str">
        <f t="shared" si="4"/>
        <v/>
      </c>
      <c r="P34" s="238" t="str">
        <f t="shared" si="5"/>
        <v/>
      </c>
      <c r="Q34" s="238" t="str">
        <f t="shared" si="6"/>
        <v/>
      </c>
      <c r="R34" s="238" t="str">
        <f t="shared" si="7"/>
        <v/>
      </c>
      <c r="S34" s="238" t="str">
        <f t="shared" si="8"/>
        <v/>
      </c>
      <c r="T34" s="238"/>
      <c r="U34" s="237"/>
      <c r="V34" s="238"/>
      <c r="W34" s="238" t="str">
        <f t="shared" si="9"/>
        <v/>
      </c>
      <c r="X34" s="237" t="str">
        <f t="shared" ref="X34:Y34" si="26">IF(ISBLANK(H34),,""""&amp;H34&amp;"""")</f>
        <v/>
      </c>
      <c r="Y34" s="237" t="str">
        <f t="shared" si="26"/>
        <v/>
      </c>
      <c r="Z34" s="237" t="str">
        <f>IF(ISBLANK(K34),,Config!$C$3&amp;"&amp;range=BB"&amp;MATCH(K34,FRG!AE:AE,0))</f>
        <v/>
      </c>
      <c r="AB34" s="242" t="str">
        <f>IFERROR(__xludf.DUMMYFUNCTION("IF(ISBLANK(K34),,SUBSTITUTE(IFERROR(JOIN("","",K34:Z34),JOIN("","",K34:Y34)),CHAR(10),""""))"),"")</f>
        <v/>
      </c>
      <c r="AC34" s="229" t="str">
        <f t="shared" si="1"/>
        <v/>
      </c>
    </row>
    <row r="35">
      <c r="K35" s="237"/>
      <c r="L35" s="238" t="str">
        <f t="shared" si="3"/>
        <v/>
      </c>
      <c r="M35" s="237"/>
      <c r="N35" s="238"/>
      <c r="O35" s="238" t="str">
        <f t="shared" si="4"/>
        <v/>
      </c>
      <c r="P35" s="238" t="str">
        <f t="shared" si="5"/>
        <v/>
      </c>
      <c r="Q35" s="238" t="str">
        <f t="shared" si="6"/>
        <v/>
      </c>
      <c r="R35" s="238" t="str">
        <f t="shared" si="7"/>
        <v/>
      </c>
      <c r="S35" s="238" t="str">
        <f t="shared" si="8"/>
        <v/>
      </c>
      <c r="T35" s="238"/>
      <c r="U35" s="237"/>
      <c r="V35" s="238"/>
      <c r="W35" s="238" t="str">
        <f t="shared" si="9"/>
        <v/>
      </c>
      <c r="X35" s="237" t="str">
        <f t="shared" ref="X35:Y35" si="27">IF(ISBLANK(H35),,""""&amp;H35&amp;"""")</f>
        <v/>
      </c>
      <c r="Y35" s="237" t="str">
        <f t="shared" si="27"/>
        <v/>
      </c>
      <c r="Z35" s="237" t="str">
        <f>IF(ISBLANK(K35),,Config!$C$3&amp;"&amp;range=BB"&amp;MATCH(K35,FRG!AE:AE,0))</f>
        <v/>
      </c>
      <c r="AB35" s="242" t="str">
        <f>IFERROR(__xludf.DUMMYFUNCTION("IF(ISBLANK(K35),,SUBSTITUTE(IFERROR(JOIN("","",K35:Z35),JOIN("","",K35:Y35)),CHAR(10),""""))"),"")</f>
        <v/>
      </c>
      <c r="AC35" s="229" t="str">
        <f t="shared" si="1"/>
        <v/>
      </c>
    </row>
    <row r="36">
      <c r="K36" s="237"/>
      <c r="L36" s="238" t="str">
        <f t="shared" si="3"/>
        <v/>
      </c>
      <c r="M36" s="237"/>
      <c r="N36" s="238"/>
      <c r="O36" s="238" t="str">
        <f t="shared" si="4"/>
        <v/>
      </c>
      <c r="P36" s="238" t="str">
        <f t="shared" si="5"/>
        <v/>
      </c>
      <c r="Q36" s="238" t="str">
        <f t="shared" si="6"/>
        <v/>
      </c>
      <c r="R36" s="238" t="str">
        <f t="shared" si="7"/>
        <v/>
      </c>
      <c r="S36" s="238" t="str">
        <f t="shared" si="8"/>
        <v/>
      </c>
      <c r="T36" s="238"/>
      <c r="U36" s="237"/>
      <c r="V36" s="238"/>
      <c r="W36" s="238" t="str">
        <f t="shared" si="9"/>
        <v/>
      </c>
      <c r="X36" s="237" t="str">
        <f t="shared" ref="X36:Y36" si="28">IF(ISBLANK(H36),,""""&amp;H36&amp;"""")</f>
        <v/>
      </c>
      <c r="Y36" s="237" t="str">
        <f t="shared" si="28"/>
        <v/>
      </c>
      <c r="Z36" s="237" t="str">
        <f>IF(ISBLANK(K36),,Config!$C$3&amp;"&amp;range=BB"&amp;MATCH(K36,FRG!AE:AE,0))</f>
        <v/>
      </c>
      <c r="AB36" s="242" t="str">
        <f>IFERROR(__xludf.DUMMYFUNCTION("IF(ISBLANK(K36),,SUBSTITUTE(IFERROR(JOIN("","",K36:Z36),JOIN("","",K36:Y36)),CHAR(10),""""))"),"")</f>
        <v/>
      </c>
      <c r="AC36" s="229" t="str">
        <f t="shared" si="1"/>
        <v/>
      </c>
    </row>
    <row r="37">
      <c r="K37" s="237"/>
      <c r="L37" s="238" t="str">
        <f t="shared" si="3"/>
        <v/>
      </c>
      <c r="M37" s="237"/>
      <c r="N37" s="238"/>
      <c r="O37" s="238" t="str">
        <f t="shared" si="4"/>
        <v/>
      </c>
      <c r="P37" s="238" t="str">
        <f t="shared" si="5"/>
        <v/>
      </c>
      <c r="Q37" s="238" t="str">
        <f t="shared" si="6"/>
        <v/>
      </c>
      <c r="R37" s="238" t="str">
        <f t="shared" si="7"/>
        <v/>
      </c>
      <c r="S37" s="238" t="str">
        <f t="shared" si="8"/>
        <v/>
      </c>
      <c r="T37" s="238"/>
      <c r="U37" s="237"/>
      <c r="V37" s="238"/>
      <c r="W37" s="238" t="str">
        <f t="shared" si="9"/>
        <v/>
      </c>
      <c r="X37" s="237" t="str">
        <f t="shared" ref="X37:Y37" si="29">IF(ISBLANK(H37),,""""&amp;H37&amp;"""")</f>
        <v/>
      </c>
      <c r="Y37" s="237" t="str">
        <f t="shared" si="29"/>
        <v/>
      </c>
      <c r="Z37" s="237" t="str">
        <f>IF(ISBLANK(K37),,Config!$C$3&amp;"&amp;range=BB"&amp;MATCH(K37,FRG!AE:AE,0))</f>
        <v/>
      </c>
      <c r="AB37" s="242" t="str">
        <f>IFERROR(__xludf.DUMMYFUNCTION("IF(ISBLANK(K37),,SUBSTITUTE(IFERROR(JOIN("","",K37:Z37),JOIN("","",K37:Y37)),CHAR(10),""""))"),"")</f>
        <v/>
      </c>
      <c r="AC37" s="229" t="str">
        <f t="shared" si="1"/>
        <v/>
      </c>
    </row>
    <row r="38">
      <c r="K38" s="237"/>
      <c r="L38" s="238" t="str">
        <f t="shared" si="3"/>
        <v/>
      </c>
      <c r="M38" s="237"/>
      <c r="N38" s="238"/>
      <c r="O38" s="238" t="str">
        <f t="shared" si="4"/>
        <v/>
      </c>
      <c r="P38" s="238" t="str">
        <f t="shared" si="5"/>
        <v/>
      </c>
      <c r="Q38" s="238" t="str">
        <f t="shared" si="6"/>
        <v/>
      </c>
      <c r="R38" s="238" t="str">
        <f t="shared" si="7"/>
        <v/>
      </c>
      <c r="S38" s="238" t="str">
        <f t="shared" si="8"/>
        <v/>
      </c>
      <c r="T38" s="238"/>
      <c r="U38" s="237"/>
      <c r="V38" s="238"/>
      <c r="W38" s="238" t="str">
        <f t="shared" si="9"/>
        <v/>
      </c>
      <c r="X38" s="237" t="str">
        <f t="shared" ref="X38:Y38" si="30">IF(ISBLANK(H38),,""""&amp;H38&amp;"""")</f>
        <v/>
      </c>
      <c r="Y38" s="237" t="str">
        <f t="shared" si="30"/>
        <v/>
      </c>
      <c r="Z38" s="237" t="str">
        <f>IF(ISBLANK(K38),,Config!$C$3&amp;"&amp;range=BB"&amp;MATCH(K38,FRG!AE:AE,0))</f>
        <v/>
      </c>
      <c r="AB38" s="242" t="str">
        <f>IFERROR(__xludf.DUMMYFUNCTION("IF(ISBLANK(K38),,SUBSTITUTE(IFERROR(JOIN("","",K38:Z38),JOIN("","",K38:Y38)),CHAR(10),""""))"),"")</f>
        <v/>
      </c>
      <c r="AC38" s="229" t="str">
        <f t="shared" si="1"/>
        <v/>
      </c>
    </row>
    <row r="39">
      <c r="K39" s="237"/>
      <c r="L39" s="238" t="str">
        <f t="shared" si="3"/>
        <v/>
      </c>
      <c r="M39" s="237"/>
      <c r="N39" s="238"/>
      <c r="O39" s="238" t="str">
        <f t="shared" si="4"/>
        <v/>
      </c>
      <c r="P39" s="238" t="str">
        <f t="shared" si="5"/>
        <v/>
      </c>
      <c r="Q39" s="238" t="str">
        <f t="shared" si="6"/>
        <v/>
      </c>
      <c r="R39" s="238" t="str">
        <f t="shared" si="7"/>
        <v/>
      </c>
      <c r="S39" s="238" t="str">
        <f t="shared" si="8"/>
        <v/>
      </c>
      <c r="T39" s="238"/>
      <c r="U39" s="237"/>
      <c r="V39" s="238"/>
      <c r="W39" s="238" t="str">
        <f t="shared" si="9"/>
        <v/>
      </c>
      <c r="X39" s="237" t="str">
        <f t="shared" ref="X39:Y39" si="31">IF(ISBLANK(H39),,""""&amp;H39&amp;"""")</f>
        <v/>
      </c>
      <c r="Y39" s="237" t="str">
        <f t="shared" si="31"/>
        <v/>
      </c>
      <c r="Z39" s="237" t="str">
        <f>IF(ISBLANK(K39),,Config!$C$3&amp;"&amp;range=BB"&amp;MATCH(K39,FRG!AE:AE,0))</f>
        <v/>
      </c>
      <c r="AB39" s="242" t="str">
        <f>IFERROR(__xludf.DUMMYFUNCTION("IF(ISBLANK(K39),,SUBSTITUTE(IFERROR(JOIN("","",K39:Z39),JOIN("","",K39:Y39)),CHAR(10),""""))"),"")</f>
        <v/>
      </c>
      <c r="AC39" s="229" t="str">
        <f t="shared" si="1"/>
        <v/>
      </c>
    </row>
    <row r="40">
      <c r="K40" s="237"/>
      <c r="L40" s="238" t="str">
        <f t="shared" si="3"/>
        <v/>
      </c>
      <c r="M40" s="237"/>
      <c r="N40" s="238"/>
      <c r="O40" s="238" t="str">
        <f t="shared" si="4"/>
        <v/>
      </c>
      <c r="P40" s="238" t="str">
        <f t="shared" si="5"/>
        <v/>
      </c>
      <c r="Q40" s="238" t="str">
        <f t="shared" si="6"/>
        <v/>
      </c>
      <c r="R40" s="238" t="str">
        <f t="shared" si="7"/>
        <v/>
      </c>
      <c r="S40" s="238" t="str">
        <f t="shared" si="8"/>
        <v/>
      </c>
      <c r="T40" s="238"/>
      <c r="U40" s="237"/>
      <c r="V40" s="238"/>
      <c r="W40" s="238" t="str">
        <f t="shared" si="9"/>
        <v/>
      </c>
      <c r="X40" s="237" t="str">
        <f t="shared" ref="X40:Y40" si="32">IF(ISBLANK(H40),,""""&amp;H40&amp;"""")</f>
        <v/>
      </c>
      <c r="Y40" s="237" t="str">
        <f t="shared" si="32"/>
        <v/>
      </c>
      <c r="Z40" s="237" t="str">
        <f>IF(ISBLANK(K40),,Config!$C$3&amp;"&amp;range=BB"&amp;MATCH(K40,FRG!AE:AE,0))</f>
        <v/>
      </c>
      <c r="AB40" s="242" t="str">
        <f>IFERROR(__xludf.DUMMYFUNCTION("IF(ISBLANK(K40),,SUBSTITUTE(IFERROR(JOIN("","",K40:Z40),JOIN("","",K40:Y40)),CHAR(10),""""))"),"")</f>
        <v/>
      </c>
      <c r="AC40" s="229" t="str">
        <f t="shared" si="1"/>
        <v/>
      </c>
    </row>
    <row r="41">
      <c r="K41" s="237"/>
      <c r="L41" s="238" t="str">
        <f t="shared" si="3"/>
        <v/>
      </c>
      <c r="M41" s="237"/>
      <c r="N41" s="238"/>
      <c r="O41" s="238" t="str">
        <f t="shared" si="4"/>
        <v/>
      </c>
      <c r="P41" s="238" t="str">
        <f t="shared" si="5"/>
        <v/>
      </c>
      <c r="Q41" s="238" t="str">
        <f t="shared" si="6"/>
        <v/>
      </c>
      <c r="R41" s="238" t="str">
        <f t="shared" si="7"/>
        <v/>
      </c>
      <c r="S41" s="238" t="str">
        <f t="shared" si="8"/>
        <v/>
      </c>
      <c r="T41" s="238"/>
      <c r="U41" s="237"/>
      <c r="V41" s="238"/>
      <c r="W41" s="238" t="str">
        <f t="shared" si="9"/>
        <v/>
      </c>
      <c r="X41" s="237" t="str">
        <f t="shared" ref="X41:Y41" si="33">IF(ISBLANK(H41),,""""&amp;H41&amp;"""")</f>
        <v/>
      </c>
      <c r="Y41" s="237" t="str">
        <f t="shared" si="33"/>
        <v/>
      </c>
      <c r="Z41" s="237" t="str">
        <f>IF(ISBLANK(K41),,Config!$C$3&amp;"&amp;range=BB"&amp;MATCH(K41,FRG!AE:AE,0))</f>
        <v/>
      </c>
      <c r="AB41" s="242" t="str">
        <f>IFERROR(__xludf.DUMMYFUNCTION("IF(ISBLANK(K41),,SUBSTITUTE(IFERROR(JOIN("","",K41:Z41),JOIN("","",K41:Y41)),CHAR(10),""""))"),"")</f>
        <v/>
      </c>
      <c r="AC41" s="229" t="str">
        <f t="shared" si="1"/>
        <v/>
      </c>
    </row>
    <row r="42">
      <c r="K42" s="237"/>
      <c r="L42" s="238" t="str">
        <f t="shared" si="3"/>
        <v/>
      </c>
      <c r="M42" s="237"/>
      <c r="N42" s="238"/>
      <c r="O42" s="238" t="str">
        <f t="shared" si="4"/>
        <v/>
      </c>
      <c r="P42" s="238" t="str">
        <f t="shared" si="5"/>
        <v/>
      </c>
      <c r="Q42" s="238" t="str">
        <f t="shared" si="6"/>
        <v/>
      </c>
      <c r="R42" s="238" t="str">
        <f t="shared" si="7"/>
        <v/>
      </c>
      <c r="S42" s="238" t="str">
        <f t="shared" si="8"/>
        <v/>
      </c>
      <c r="T42" s="238"/>
      <c r="U42" s="237"/>
      <c r="V42" s="238"/>
      <c r="W42" s="238" t="str">
        <f t="shared" si="9"/>
        <v/>
      </c>
      <c r="X42" s="237" t="str">
        <f t="shared" ref="X42:Y42" si="34">IF(ISBLANK(H42),,""""&amp;H42&amp;"""")</f>
        <v/>
      </c>
      <c r="Y42" s="237" t="str">
        <f t="shared" si="34"/>
        <v/>
      </c>
      <c r="Z42" s="237" t="str">
        <f>IF(ISBLANK(K42),,Config!$C$3&amp;"&amp;range=BB"&amp;MATCH(K42,FRG!AE:AE,0))</f>
        <v/>
      </c>
      <c r="AB42" s="242" t="str">
        <f>IFERROR(__xludf.DUMMYFUNCTION("IF(ISBLANK(K42),,SUBSTITUTE(IFERROR(JOIN("","",K42:Z42),JOIN("","",K42:Y42)),CHAR(10),""""))"),"")</f>
        <v/>
      </c>
      <c r="AC42" s="229" t="str">
        <f t="shared" si="1"/>
        <v/>
      </c>
    </row>
    <row r="43">
      <c r="K43" s="237"/>
      <c r="L43" s="238" t="str">
        <f t="shared" si="3"/>
        <v/>
      </c>
      <c r="M43" s="237"/>
      <c r="N43" s="238"/>
      <c r="O43" s="238" t="str">
        <f t="shared" si="4"/>
        <v/>
      </c>
      <c r="P43" s="238" t="str">
        <f t="shared" si="5"/>
        <v/>
      </c>
      <c r="Q43" s="238" t="str">
        <f t="shared" si="6"/>
        <v/>
      </c>
      <c r="R43" s="238" t="str">
        <f t="shared" si="7"/>
        <v/>
      </c>
      <c r="S43" s="238" t="str">
        <f t="shared" si="8"/>
        <v/>
      </c>
      <c r="T43" s="238"/>
      <c r="U43" s="237"/>
      <c r="V43" s="238"/>
      <c r="W43" s="238" t="str">
        <f t="shared" si="9"/>
        <v/>
      </c>
      <c r="X43" s="237" t="str">
        <f t="shared" ref="X43:Y43" si="35">IF(ISBLANK(H43),,""""&amp;H43&amp;"""")</f>
        <v/>
      </c>
      <c r="Y43" s="237" t="str">
        <f t="shared" si="35"/>
        <v/>
      </c>
      <c r="Z43" s="237" t="str">
        <f>IF(ISBLANK(K43),,Config!$C$3&amp;"&amp;range=BB"&amp;MATCH(K43,FRG!AE:AE,0))</f>
        <v/>
      </c>
      <c r="AB43" s="242" t="str">
        <f>IFERROR(__xludf.DUMMYFUNCTION("IF(ISBLANK(K43),,SUBSTITUTE(IFERROR(JOIN("","",K43:Z43),JOIN("","",K43:Y43)),CHAR(10),""""))"),"")</f>
        <v/>
      </c>
      <c r="AC43" s="229" t="str">
        <f t="shared" si="1"/>
        <v/>
      </c>
    </row>
    <row r="44">
      <c r="K44" s="237"/>
      <c r="L44" s="238" t="str">
        <f t="shared" si="3"/>
        <v/>
      </c>
      <c r="M44" s="237"/>
      <c r="N44" s="238"/>
      <c r="O44" s="238" t="str">
        <f t="shared" si="4"/>
        <v/>
      </c>
      <c r="P44" s="238" t="str">
        <f t="shared" si="5"/>
        <v/>
      </c>
      <c r="Q44" s="238" t="str">
        <f t="shared" si="6"/>
        <v/>
      </c>
      <c r="R44" s="238" t="str">
        <f t="shared" si="7"/>
        <v/>
      </c>
      <c r="S44" s="238" t="str">
        <f t="shared" si="8"/>
        <v/>
      </c>
      <c r="T44" s="238"/>
      <c r="U44" s="237"/>
      <c r="V44" s="238"/>
      <c r="W44" s="238" t="str">
        <f t="shared" si="9"/>
        <v/>
      </c>
      <c r="X44" s="237" t="str">
        <f t="shared" ref="X44:Y44" si="36">IF(ISBLANK(H44),,""""&amp;H44&amp;"""")</f>
        <v/>
      </c>
      <c r="Y44" s="237" t="str">
        <f t="shared" si="36"/>
        <v/>
      </c>
      <c r="Z44" s="237" t="str">
        <f>IF(ISBLANK(K44),,Config!$C$3&amp;"&amp;range=BB"&amp;MATCH(K44,FRG!AE:AE,0))</f>
        <v/>
      </c>
      <c r="AB44" s="242" t="str">
        <f>IFERROR(__xludf.DUMMYFUNCTION("IF(ISBLANK(K44),,SUBSTITUTE(IFERROR(JOIN("","",K44:Z44),JOIN("","",K44:Y44)),CHAR(10),""""))"),"")</f>
        <v/>
      </c>
      <c r="AC44" s="229" t="str">
        <f t="shared" si="1"/>
        <v/>
      </c>
    </row>
    <row r="45">
      <c r="K45" s="237"/>
      <c r="L45" s="238" t="str">
        <f t="shared" si="3"/>
        <v/>
      </c>
      <c r="M45" s="237"/>
      <c r="N45" s="238"/>
      <c r="O45" s="238" t="str">
        <f t="shared" si="4"/>
        <v/>
      </c>
      <c r="P45" s="238" t="str">
        <f t="shared" si="5"/>
        <v/>
      </c>
      <c r="Q45" s="238" t="str">
        <f t="shared" si="6"/>
        <v/>
      </c>
      <c r="R45" s="238" t="str">
        <f t="shared" si="7"/>
        <v/>
      </c>
      <c r="S45" s="238" t="str">
        <f t="shared" si="8"/>
        <v/>
      </c>
      <c r="T45" s="238"/>
      <c r="U45" s="237"/>
      <c r="V45" s="238"/>
      <c r="W45" s="238" t="str">
        <f t="shared" si="9"/>
        <v/>
      </c>
      <c r="X45" s="237" t="str">
        <f t="shared" ref="X45:Y45" si="37">IF(ISBLANK(H45),,""""&amp;H45&amp;"""")</f>
        <v/>
      </c>
      <c r="Y45" s="237" t="str">
        <f t="shared" si="37"/>
        <v/>
      </c>
      <c r="Z45" s="237" t="str">
        <f>IF(ISBLANK(K45),,Config!$C$3&amp;"&amp;range=BB"&amp;MATCH(K45,FRG!AE:AE,0))</f>
        <v/>
      </c>
      <c r="AB45" s="242" t="str">
        <f>IFERROR(__xludf.DUMMYFUNCTION("IF(ISBLANK(K45),,SUBSTITUTE(IFERROR(JOIN("","",K45:Z45),JOIN("","",K45:Y45)),CHAR(10),""""))"),"")</f>
        <v/>
      </c>
      <c r="AC45" s="229" t="str">
        <f t="shared" si="1"/>
        <v/>
      </c>
    </row>
    <row r="46">
      <c r="K46" s="237"/>
      <c r="L46" s="238" t="str">
        <f t="shared" si="3"/>
        <v/>
      </c>
      <c r="M46" s="237"/>
      <c r="N46" s="238"/>
      <c r="O46" s="238" t="str">
        <f t="shared" si="4"/>
        <v/>
      </c>
      <c r="P46" s="238" t="str">
        <f t="shared" si="5"/>
        <v/>
      </c>
      <c r="Q46" s="238" t="str">
        <f t="shared" si="6"/>
        <v/>
      </c>
      <c r="R46" s="238" t="str">
        <f t="shared" si="7"/>
        <v/>
      </c>
      <c r="S46" s="238" t="str">
        <f t="shared" si="8"/>
        <v/>
      </c>
      <c r="T46" s="238"/>
      <c r="U46" s="237"/>
      <c r="V46" s="238"/>
      <c r="W46" s="238" t="str">
        <f t="shared" si="9"/>
        <v/>
      </c>
      <c r="X46" s="237" t="str">
        <f t="shared" ref="X46:Y46" si="38">IF(ISBLANK(H46),,""""&amp;H46&amp;"""")</f>
        <v/>
      </c>
      <c r="Y46" s="237" t="str">
        <f t="shared" si="38"/>
        <v/>
      </c>
      <c r="Z46" s="237" t="str">
        <f>IF(ISBLANK(K46),,Config!$C$3&amp;"&amp;range=BB"&amp;MATCH(K46,FRG!AE:AE,0))</f>
        <v/>
      </c>
      <c r="AB46" s="242" t="str">
        <f>IFERROR(__xludf.DUMMYFUNCTION("IF(ISBLANK(K46),,SUBSTITUTE(IFERROR(JOIN("","",K46:Z46),JOIN("","",K46:Y46)),CHAR(10),""""))"),"")</f>
        <v/>
      </c>
      <c r="AC46" s="229" t="str">
        <f t="shared" si="1"/>
        <v/>
      </c>
    </row>
    <row r="47">
      <c r="K47" s="237"/>
      <c r="L47" s="238" t="str">
        <f t="shared" si="3"/>
        <v/>
      </c>
      <c r="M47" s="237"/>
      <c r="N47" s="238"/>
      <c r="O47" s="238" t="str">
        <f t="shared" si="4"/>
        <v/>
      </c>
      <c r="P47" s="238" t="str">
        <f t="shared" si="5"/>
        <v/>
      </c>
      <c r="Q47" s="238" t="str">
        <f t="shared" si="6"/>
        <v/>
      </c>
      <c r="R47" s="238" t="str">
        <f t="shared" si="7"/>
        <v/>
      </c>
      <c r="S47" s="238" t="str">
        <f t="shared" si="8"/>
        <v/>
      </c>
      <c r="T47" s="238"/>
      <c r="U47" s="237"/>
      <c r="V47" s="238"/>
      <c r="W47" s="238" t="str">
        <f t="shared" si="9"/>
        <v/>
      </c>
      <c r="X47" s="237" t="str">
        <f t="shared" ref="X47:Y47" si="39">IF(ISBLANK(H47),,""""&amp;H47&amp;"""")</f>
        <v/>
      </c>
      <c r="Y47" s="237" t="str">
        <f t="shared" si="39"/>
        <v/>
      </c>
      <c r="Z47" s="237" t="str">
        <f>IF(ISBLANK(K47),,Config!$C$3&amp;"&amp;range=BB"&amp;MATCH(K47,FRG!AE:AE,0))</f>
        <v/>
      </c>
      <c r="AB47" s="242" t="str">
        <f>IFERROR(__xludf.DUMMYFUNCTION("IF(ISBLANK(K47),,SUBSTITUTE(IFERROR(JOIN("","",K47:Z47),JOIN("","",K47:Y47)),CHAR(10),""""))"),"")</f>
        <v/>
      </c>
      <c r="AC47" s="229" t="str">
        <f t="shared" si="1"/>
        <v/>
      </c>
    </row>
    <row r="48">
      <c r="K48" s="237"/>
      <c r="L48" s="238" t="str">
        <f t="shared" si="3"/>
        <v/>
      </c>
      <c r="M48" s="237"/>
      <c r="N48" s="238"/>
      <c r="O48" s="238" t="str">
        <f t="shared" si="4"/>
        <v/>
      </c>
      <c r="P48" s="238" t="str">
        <f t="shared" si="5"/>
        <v/>
      </c>
      <c r="Q48" s="238" t="str">
        <f t="shared" si="6"/>
        <v/>
      </c>
      <c r="R48" s="238" t="str">
        <f t="shared" si="7"/>
        <v/>
      </c>
      <c r="S48" s="238" t="str">
        <f t="shared" si="8"/>
        <v/>
      </c>
      <c r="T48" s="238"/>
      <c r="U48" s="237"/>
      <c r="V48" s="238"/>
      <c r="W48" s="238" t="str">
        <f t="shared" si="9"/>
        <v/>
      </c>
      <c r="X48" s="237" t="str">
        <f t="shared" ref="X48:Y48" si="40">IF(ISBLANK(H48),,""""&amp;H48&amp;"""")</f>
        <v/>
      </c>
      <c r="Y48" s="237" t="str">
        <f t="shared" si="40"/>
        <v/>
      </c>
      <c r="Z48" s="237" t="str">
        <f>IF(ISBLANK(K48),,Config!$C$3&amp;"&amp;range=BB"&amp;MATCH(K48,FRG!AE:AE,0))</f>
        <v/>
      </c>
      <c r="AB48" s="242" t="str">
        <f>IFERROR(__xludf.DUMMYFUNCTION("IF(ISBLANK(K48),,SUBSTITUTE(IFERROR(JOIN("","",K48:Z48),JOIN("","",K48:Y48)),CHAR(10),""""))"),"")</f>
        <v/>
      </c>
      <c r="AC48" s="229" t="str">
        <f t="shared" si="1"/>
        <v/>
      </c>
    </row>
    <row r="49">
      <c r="K49" s="237"/>
      <c r="L49" s="238" t="str">
        <f t="shared" si="3"/>
        <v/>
      </c>
      <c r="M49" s="237"/>
      <c r="N49" s="238"/>
      <c r="O49" s="238" t="str">
        <f t="shared" si="4"/>
        <v/>
      </c>
      <c r="P49" s="238" t="str">
        <f t="shared" si="5"/>
        <v/>
      </c>
      <c r="Q49" s="238" t="str">
        <f t="shared" si="6"/>
        <v/>
      </c>
      <c r="R49" s="238" t="str">
        <f t="shared" si="7"/>
        <v/>
      </c>
      <c r="S49" s="238" t="str">
        <f t="shared" si="8"/>
        <v/>
      </c>
      <c r="T49" s="238"/>
      <c r="U49" s="237"/>
      <c r="V49" s="238"/>
      <c r="W49" s="238" t="str">
        <f t="shared" si="9"/>
        <v/>
      </c>
      <c r="X49" s="237" t="str">
        <f t="shared" ref="X49:Y49" si="41">IF(ISBLANK(H49),,""""&amp;H49&amp;"""")</f>
        <v/>
      </c>
      <c r="Y49" s="237" t="str">
        <f t="shared" si="41"/>
        <v/>
      </c>
      <c r="Z49" s="237" t="str">
        <f>IF(ISBLANK(K49),,Config!$C$3&amp;"&amp;range=BB"&amp;MATCH(K49,FRG!AE:AE,0))</f>
        <v/>
      </c>
      <c r="AB49" s="242" t="str">
        <f>IFERROR(__xludf.DUMMYFUNCTION("IF(ISBLANK(K49),,SUBSTITUTE(IFERROR(JOIN("","",K49:Z49),JOIN("","",K49:Y49)),CHAR(10),""""))"),"")</f>
        <v/>
      </c>
      <c r="AC49" s="229" t="str">
        <f t="shared" si="1"/>
        <v/>
      </c>
    </row>
    <row r="50">
      <c r="K50" s="237"/>
      <c r="L50" s="238" t="str">
        <f t="shared" si="3"/>
        <v/>
      </c>
      <c r="M50" s="237"/>
      <c r="N50" s="238"/>
      <c r="O50" s="238" t="str">
        <f t="shared" si="4"/>
        <v/>
      </c>
      <c r="P50" s="238" t="str">
        <f t="shared" si="5"/>
        <v/>
      </c>
      <c r="Q50" s="238" t="str">
        <f t="shared" si="6"/>
        <v/>
      </c>
      <c r="R50" s="238" t="str">
        <f t="shared" si="7"/>
        <v/>
      </c>
      <c r="S50" s="238" t="str">
        <f t="shared" si="8"/>
        <v/>
      </c>
      <c r="T50" s="238"/>
      <c r="U50" s="237"/>
      <c r="V50" s="238"/>
      <c r="W50" s="238" t="str">
        <f t="shared" si="9"/>
        <v/>
      </c>
      <c r="X50" s="237" t="str">
        <f t="shared" ref="X50:Y50" si="42">IF(ISBLANK(H50),,""""&amp;H50&amp;"""")</f>
        <v/>
      </c>
      <c r="Y50" s="237" t="str">
        <f t="shared" si="42"/>
        <v/>
      </c>
      <c r="Z50" s="237" t="str">
        <f>IF(ISBLANK(K50),,Config!$C$3&amp;"&amp;range=BB"&amp;MATCH(K50,FRG!AE:AE,0))</f>
        <v/>
      </c>
      <c r="AB50" s="242" t="str">
        <f>IFERROR(__xludf.DUMMYFUNCTION("IF(ISBLANK(K50),,SUBSTITUTE(IFERROR(JOIN("","",K50:Z50),JOIN("","",K50:Y50)),CHAR(10),""""))"),"")</f>
        <v/>
      </c>
      <c r="AC50" s="229" t="str">
        <f t="shared" si="1"/>
        <v/>
      </c>
    </row>
    <row r="51">
      <c r="K51" s="237"/>
      <c r="L51" s="238" t="str">
        <f t="shared" si="3"/>
        <v/>
      </c>
      <c r="M51" s="237"/>
      <c r="N51" s="238"/>
      <c r="O51" s="238" t="str">
        <f t="shared" si="4"/>
        <v/>
      </c>
      <c r="P51" s="238" t="str">
        <f t="shared" si="5"/>
        <v/>
      </c>
      <c r="Q51" s="238" t="str">
        <f t="shared" si="6"/>
        <v/>
      </c>
      <c r="R51" s="238" t="str">
        <f t="shared" si="7"/>
        <v/>
      </c>
      <c r="S51" s="238" t="str">
        <f t="shared" si="8"/>
        <v/>
      </c>
      <c r="T51" s="238"/>
      <c r="U51" s="237"/>
      <c r="V51" s="238"/>
      <c r="W51" s="238" t="str">
        <f t="shared" si="9"/>
        <v/>
      </c>
      <c r="X51" s="237" t="str">
        <f t="shared" ref="X51:Y51" si="43">IF(ISBLANK(H51),,""""&amp;H51&amp;"""")</f>
        <v/>
      </c>
      <c r="Y51" s="237" t="str">
        <f t="shared" si="43"/>
        <v/>
      </c>
      <c r="Z51" s="237" t="str">
        <f>IF(ISBLANK(K51),,Config!$C$3&amp;"&amp;range=BB"&amp;MATCH(K51,FRG!AE:AE,0))</f>
        <v/>
      </c>
      <c r="AB51" s="242" t="str">
        <f>IFERROR(__xludf.DUMMYFUNCTION("IF(ISBLANK(K51),,SUBSTITUTE(IFERROR(JOIN("","",K51:Z51),JOIN("","",K51:Y51)),CHAR(10),""""))"),"")</f>
        <v/>
      </c>
      <c r="AC51" s="229" t="str">
        <f t="shared" si="1"/>
        <v/>
      </c>
    </row>
    <row r="52">
      <c r="K52" s="237"/>
      <c r="L52" s="238" t="str">
        <f t="shared" si="3"/>
        <v/>
      </c>
      <c r="M52" s="237"/>
      <c r="N52" s="238"/>
      <c r="O52" s="238" t="str">
        <f t="shared" si="4"/>
        <v/>
      </c>
      <c r="P52" s="238" t="str">
        <f t="shared" si="5"/>
        <v/>
      </c>
      <c r="Q52" s="238" t="str">
        <f t="shared" si="6"/>
        <v/>
      </c>
      <c r="R52" s="238" t="str">
        <f t="shared" si="7"/>
        <v/>
      </c>
      <c r="S52" s="238" t="str">
        <f t="shared" si="8"/>
        <v/>
      </c>
      <c r="T52" s="238"/>
      <c r="U52" s="237"/>
      <c r="V52" s="238"/>
      <c r="W52" s="238" t="str">
        <f t="shared" si="9"/>
        <v/>
      </c>
      <c r="X52" s="237" t="str">
        <f t="shared" ref="X52:Y52" si="44">IF(ISBLANK(H52),,""""&amp;H52&amp;"""")</f>
        <v/>
      </c>
      <c r="Y52" s="237" t="str">
        <f t="shared" si="44"/>
        <v/>
      </c>
      <c r="Z52" s="237" t="str">
        <f>IF(ISBLANK(K52),,Config!$C$3&amp;"&amp;range=BB"&amp;MATCH(K52,FRG!AE:AE,0))</f>
        <v/>
      </c>
      <c r="AB52" s="242" t="str">
        <f>IFERROR(__xludf.DUMMYFUNCTION("IF(ISBLANK(K52),,SUBSTITUTE(IFERROR(JOIN("","",K52:Z52),JOIN("","",K52:Y52)),CHAR(10),""""))"),"")</f>
        <v/>
      </c>
      <c r="AC52" s="229" t="str">
        <f t="shared" si="1"/>
        <v/>
      </c>
    </row>
    <row r="53">
      <c r="K53" s="237"/>
      <c r="L53" s="238" t="str">
        <f t="shared" si="3"/>
        <v/>
      </c>
      <c r="M53" s="237"/>
      <c r="N53" s="238"/>
      <c r="O53" s="238" t="str">
        <f t="shared" si="4"/>
        <v/>
      </c>
      <c r="P53" s="238" t="str">
        <f t="shared" si="5"/>
        <v/>
      </c>
      <c r="Q53" s="238" t="str">
        <f t="shared" si="6"/>
        <v/>
      </c>
      <c r="R53" s="238" t="str">
        <f t="shared" si="7"/>
        <v/>
      </c>
      <c r="S53" s="238" t="str">
        <f t="shared" si="8"/>
        <v/>
      </c>
      <c r="T53" s="238"/>
      <c r="U53" s="237"/>
      <c r="V53" s="238"/>
      <c r="W53" s="238" t="str">
        <f t="shared" si="9"/>
        <v/>
      </c>
      <c r="X53" s="237" t="str">
        <f t="shared" ref="X53:Y53" si="45">IF(ISBLANK(H53),,""""&amp;H53&amp;"""")</f>
        <v/>
      </c>
      <c r="Y53" s="237" t="str">
        <f t="shared" si="45"/>
        <v/>
      </c>
      <c r="Z53" s="237" t="str">
        <f>IF(ISBLANK(K53),,Config!$C$3&amp;"&amp;range=BB"&amp;MATCH(K53,FRG!AE:AE,0))</f>
        <v/>
      </c>
      <c r="AB53" s="242" t="str">
        <f>IFERROR(__xludf.DUMMYFUNCTION("IF(ISBLANK(K53),,SUBSTITUTE(IFERROR(JOIN("","",K53:Z53),JOIN("","",K53:Y53)),CHAR(10),""""))"),"")</f>
        <v/>
      </c>
      <c r="AC53" s="229" t="str">
        <f t="shared" si="1"/>
        <v/>
      </c>
    </row>
    <row r="54">
      <c r="K54" s="237"/>
      <c r="L54" s="238" t="str">
        <f t="shared" si="3"/>
        <v/>
      </c>
      <c r="M54" s="237"/>
      <c r="N54" s="238"/>
      <c r="O54" s="238" t="str">
        <f t="shared" si="4"/>
        <v/>
      </c>
      <c r="P54" s="238" t="str">
        <f t="shared" si="5"/>
        <v/>
      </c>
      <c r="Q54" s="238" t="str">
        <f t="shared" si="6"/>
        <v/>
      </c>
      <c r="R54" s="238" t="str">
        <f t="shared" si="7"/>
        <v/>
      </c>
      <c r="S54" s="238" t="str">
        <f t="shared" si="8"/>
        <v/>
      </c>
      <c r="T54" s="238"/>
      <c r="U54" s="237"/>
      <c r="V54" s="238"/>
      <c r="W54" s="238" t="str">
        <f t="shared" si="9"/>
        <v/>
      </c>
      <c r="X54" s="237" t="str">
        <f t="shared" ref="X54:Y54" si="46">IF(ISBLANK(H54),,""""&amp;H54&amp;"""")</f>
        <v/>
      </c>
      <c r="Y54" s="237" t="str">
        <f t="shared" si="46"/>
        <v/>
      </c>
      <c r="Z54" s="237" t="str">
        <f>IF(ISBLANK(K54),,Config!$C$3&amp;"&amp;range=BB"&amp;MATCH(K54,FRG!AE:AE,0))</f>
        <v/>
      </c>
      <c r="AB54" s="242" t="str">
        <f>IFERROR(__xludf.DUMMYFUNCTION("IF(ISBLANK(K54),,SUBSTITUTE(IFERROR(JOIN("","",K54:Z54),JOIN("","",K54:Y54)),CHAR(10),""""))"),"")</f>
        <v/>
      </c>
      <c r="AC54" s="229" t="str">
        <f t="shared" si="1"/>
        <v/>
      </c>
    </row>
    <row r="55">
      <c r="K55" s="237"/>
      <c r="L55" s="238" t="str">
        <f t="shared" si="3"/>
        <v/>
      </c>
      <c r="M55" s="237"/>
      <c r="N55" s="238"/>
      <c r="O55" s="238" t="str">
        <f t="shared" si="4"/>
        <v/>
      </c>
      <c r="P55" s="238" t="str">
        <f t="shared" si="5"/>
        <v/>
      </c>
      <c r="Q55" s="238" t="str">
        <f t="shared" si="6"/>
        <v/>
      </c>
      <c r="R55" s="238" t="str">
        <f t="shared" si="7"/>
        <v/>
      </c>
      <c r="S55" s="238" t="str">
        <f t="shared" si="8"/>
        <v/>
      </c>
      <c r="T55" s="238"/>
      <c r="U55" s="237"/>
      <c r="V55" s="238"/>
      <c r="W55" s="238" t="str">
        <f t="shared" si="9"/>
        <v/>
      </c>
      <c r="X55" s="237" t="str">
        <f t="shared" ref="X55:Y55" si="47">IF(ISBLANK(H55),,""""&amp;H55&amp;"""")</f>
        <v/>
      </c>
      <c r="Y55" s="237" t="str">
        <f t="shared" si="47"/>
        <v/>
      </c>
      <c r="Z55" s="237" t="str">
        <f>IF(ISBLANK(K55),,Config!$C$3&amp;"&amp;range=BB"&amp;MATCH(K55,FRG!AE:AE,0))</f>
        <v/>
      </c>
      <c r="AB55" s="242" t="str">
        <f>IFERROR(__xludf.DUMMYFUNCTION("IF(ISBLANK(K55),,SUBSTITUTE(IFERROR(JOIN("","",K55:Z55),JOIN("","",K55:Y55)),CHAR(10),""""))"),"")</f>
        <v/>
      </c>
      <c r="AC55" s="229" t="str">
        <f t="shared" si="1"/>
        <v/>
      </c>
    </row>
    <row r="56">
      <c r="K56" s="237"/>
      <c r="L56" s="238" t="str">
        <f t="shared" si="3"/>
        <v/>
      </c>
      <c r="M56" s="237"/>
      <c r="N56" s="238"/>
      <c r="O56" s="238" t="str">
        <f t="shared" si="4"/>
        <v/>
      </c>
      <c r="P56" s="238" t="str">
        <f t="shared" si="5"/>
        <v/>
      </c>
      <c r="Q56" s="238" t="str">
        <f t="shared" si="6"/>
        <v/>
      </c>
      <c r="R56" s="238" t="str">
        <f t="shared" si="7"/>
        <v/>
      </c>
      <c r="S56" s="238" t="str">
        <f t="shared" si="8"/>
        <v/>
      </c>
      <c r="T56" s="238"/>
      <c r="U56" s="237"/>
      <c r="V56" s="238"/>
      <c r="W56" s="238" t="str">
        <f t="shared" si="9"/>
        <v/>
      </c>
      <c r="X56" s="237" t="str">
        <f t="shared" ref="X56:Y56" si="48">IF(ISBLANK(H56),,""""&amp;H56&amp;"""")</f>
        <v/>
      </c>
      <c r="Y56" s="237" t="str">
        <f t="shared" si="48"/>
        <v/>
      </c>
      <c r="Z56" s="237" t="str">
        <f>IF(ISBLANK(K56),,Config!$C$3&amp;"&amp;range=BB"&amp;MATCH(K56,FRG!AE:AE,0))</f>
        <v/>
      </c>
      <c r="AB56" s="242" t="str">
        <f>IFERROR(__xludf.DUMMYFUNCTION("IF(ISBLANK(K56),,SUBSTITUTE(IFERROR(JOIN("","",K56:Z56),JOIN("","",K56:Y56)),CHAR(10),""""))"),"")</f>
        <v/>
      </c>
      <c r="AC56" s="229" t="str">
        <f t="shared" si="1"/>
        <v/>
      </c>
    </row>
    <row r="57">
      <c r="K57" s="237"/>
      <c r="L57" s="238" t="str">
        <f t="shared" si="3"/>
        <v/>
      </c>
      <c r="M57" s="237"/>
      <c r="N57" s="238"/>
      <c r="O57" s="238" t="str">
        <f t="shared" si="4"/>
        <v/>
      </c>
      <c r="P57" s="238" t="str">
        <f t="shared" si="5"/>
        <v/>
      </c>
      <c r="Q57" s="238" t="str">
        <f t="shared" si="6"/>
        <v/>
      </c>
      <c r="R57" s="238" t="str">
        <f t="shared" si="7"/>
        <v/>
      </c>
      <c r="S57" s="238" t="str">
        <f t="shared" si="8"/>
        <v/>
      </c>
      <c r="T57" s="238"/>
      <c r="U57" s="237"/>
      <c r="V57" s="238"/>
      <c r="W57" s="238" t="str">
        <f t="shared" si="9"/>
        <v/>
      </c>
      <c r="X57" s="237" t="str">
        <f t="shared" ref="X57:Y57" si="49">IF(ISBLANK(H57),,""""&amp;H57&amp;"""")</f>
        <v/>
      </c>
      <c r="Y57" s="237" t="str">
        <f t="shared" si="49"/>
        <v/>
      </c>
      <c r="Z57" s="237" t="str">
        <f>IF(ISBLANK(K57),,Config!$C$3&amp;"&amp;range=BB"&amp;MATCH(K57,FRG!AE:AE,0))</f>
        <v/>
      </c>
      <c r="AB57" s="242" t="str">
        <f>IFERROR(__xludf.DUMMYFUNCTION("IF(ISBLANK(K57),,SUBSTITUTE(IFERROR(JOIN("","",K57:Z57),JOIN("","",K57:Y57)),CHAR(10),""""))"),"")</f>
        <v/>
      </c>
      <c r="AC57" s="229" t="str">
        <f t="shared" si="1"/>
        <v/>
      </c>
    </row>
    <row r="58">
      <c r="K58" s="237"/>
      <c r="L58" s="238" t="str">
        <f t="shared" si="3"/>
        <v/>
      </c>
      <c r="M58" s="237"/>
      <c r="N58" s="238"/>
      <c r="O58" s="238" t="str">
        <f t="shared" si="4"/>
        <v/>
      </c>
      <c r="P58" s="238" t="str">
        <f t="shared" si="5"/>
        <v/>
      </c>
      <c r="Q58" s="238" t="str">
        <f t="shared" si="6"/>
        <v/>
      </c>
      <c r="R58" s="238" t="str">
        <f t="shared" si="7"/>
        <v/>
      </c>
      <c r="S58" s="238" t="str">
        <f t="shared" si="8"/>
        <v/>
      </c>
      <c r="T58" s="238"/>
      <c r="U58" s="237"/>
      <c r="V58" s="238"/>
      <c r="W58" s="238" t="str">
        <f t="shared" si="9"/>
        <v/>
      </c>
      <c r="X58" s="237" t="str">
        <f t="shared" ref="X58:Y58" si="50">IF(ISBLANK(H58),,""""&amp;H58&amp;"""")</f>
        <v/>
      </c>
      <c r="Y58" s="237" t="str">
        <f t="shared" si="50"/>
        <v/>
      </c>
      <c r="Z58" s="237" t="str">
        <f>IF(ISBLANK(K58),,Config!$C$3&amp;"&amp;range=BB"&amp;MATCH(K58,FRG!AE:AE,0))</f>
        <v/>
      </c>
      <c r="AB58" s="242" t="str">
        <f>IFERROR(__xludf.DUMMYFUNCTION("IF(ISBLANK(K58),,SUBSTITUTE(IFERROR(JOIN("","",K58:Z58),JOIN("","",K58:Y58)),CHAR(10),""""))"),"")</f>
        <v/>
      </c>
      <c r="AC58" s="229" t="str">
        <f t="shared" si="1"/>
        <v/>
      </c>
    </row>
    <row r="59">
      <c r="K59" s="237"/>
      <c r="L59" s="238" t="str">
        <f t="shared" si="3"/>
        <v/>
      </c>
      <c r="M59" s="237"/>
      <c r="N59" s="238"/>
      <c r="O59" s="238" t="str">
        <f t="shared" si="4"/>
        <v/>
      </c>
      <c r="P59" s="238" t="str">
        <f t="shared" si="5"/>
        <v/>
      </c>
      <c r="Q59" s="238" t="str">
        <f t="shared" si="6"/>
        <v/>
      </c>
      <c r="R59" s="238" t="str">
        <f t="shared" si="7"/>
        <v/>
      </c>
      <c r="S59" s="238" t="str">
        <f t="shared" si="8"/>
        <v/>
      </c>
      <c r="T59" s="238"/>
      <c r="U59" s="237"/>
      <c r="V59" s="238"/>
      <c r="W59" s="238" t="str">
        <f t="shared" si="9"/>
        <v/>
      </c>
      <c r="X59" s="237" t="str">
        <f t="shared" ref="X59:Y59" si="51">IF(ISBLANK(H59),,""""&amp;H59&amp;"""")</f>
        <v/>
      </c>
      <c r="Y59" s="237" t="str">
        <f t="shared" si="51"/>
        <v/>
      </c>
      <c r="Z59" s="237" t="str">
        <f>IF(ISBLANK(K59),,Config!$C$3&amp;"&amp;range=BB"&amp;MATCH(K59,FRG!AE:AE,0))</f>
        <v/>
      </c>
      <c r="AB59" s="242" t="str">
        <f>IFERROR(__xludf.DUMMYFUNCTION("IF(ISBLANK(K59),,SUBSTITUTE(IFERROR(JOIN("","",K59:Z59),JOIN("","",K59:Y59)),CHAR(10),""""))"),"")</f>
        <v/>
      </c>
      <c r="AC59" s="229" t="str">
        <f t="shared" si="1"/>
        <v/>
      </c>
    </row>
    <row r="60">
      <c r="K60" s="237"/>
      <c r="L60" s="238" t="str">
        <f t="shared" si="3"/>
        <v/>
      </c>
      <c r="M60" s="237"/>
      <c r="N60" s="238"/>
      <c r="O60" s="238" t="str">
        <f t="shared" si="4"/>
        <v/>
      </c>
      <c r="P60" s="238" t="str">
        <f t="shared" si="5"/>
        <v/>
      </c>
      <c r="Q60" s="238" t="str">
        <f t="shared" si="6"/>
        <v/>
      </c>
      <c r="R60" s="238" t="str">
        <f t="shared" si="7"/>
        <v/>
      </c>
      <c r="S60" s="238" t="str">
        <f t="shared" si="8"/>
        <v/>
      </c>
      <c r="T60" s="238"/>
      <c r="U60" s="237"/>
      <c r="V60" s="238"/>
      <c r="W60" s="238" t="str">
        <f t="shared" si="9"/>
        <v/>
      </c>
      <c r="X60" s="237" t="str">
        <f t="shared" ref="X60:Y60" si="52">IF(ISBLANK(H60),,""""&amp;H60&amp;"""")</f>
        <v/>
      </c>
      <c r="Y60" s="237" t="str">
        <f t="shared" si="52"/>
        <v/>
      </c>
      <c r="Z60" s="237" t="str">
        <f>IF(ISBLANK(K60),,Config!$C$3&amp;"&amp;range=BB"&amp;MATCH(K60,FRG!AE:AE,0))</f>
        <v/>
      </c>
      <c r="AB60" s="242" t="str">
        <f>IFERROR(__xludf.DUMMYFUNCTION("IF(ISBLANK(K60),,SUBSTITUTE(IFERROR(JOIN("","",K60:Z60),JOIN("","",K60:Y60)),CHAR(10),""""))"),"")</f>
        <v/>
      </c>
      <c r="AC60" s="229" t="str">
        <f t="shared" si="1"/>
        <v/>
      </c>
    </row>
    <row r="61">
      <c r="K61" s="237"/>
      <c r="L61" s="238" t="str">
        <f t="shared" si="3"/>
        <v/>
      </c>
      <c r="M61" s="237"/>
      <c r="N61" s="238"/>
      <c r="O61" s="238" t="str">
        <f t="shared" si="4"/>
        <v/>
      </c>
      <c r="P61" s="238" t="str">
        <f t="shared" si="5"/>
        <v/>
      </c>
      <c r="Q61" s="238" t="str">
        <f t="shared" si="6"/>
        <v/>
      </c>
      <c r="R61" s="238" t="str">
        <f t="shared" si="7"/>
        <v/>
      </c>
      <c r="S61" s="238" t="str">
        <f t="shared" si="8"/>
        <v/>
      </c>
      <c r="T61" s="238"/>
      <c r="U61" s="237"/>
      <c r="V61" s="238"/>
      <c r="W61" s="238" t="str">
        <f t="shared" si="9"/>
        <v/>
      </c>
      <c r="X61" s="237" t="str">
        <f t="shared" ref="X61:Y61" si="53">IF(ISBLANK(H61),,""""&amp;H61&amp;"""")</f>
        <v/>
      </c>
      <c r="Y61" s="237" t="str">
        <f t="shared" si="53"/>
        <v/>
      </c>
      <c r="Z61" s="237" t="str">
        <f>IF(ISBLANK(K61),,Config!$C$3&amp;"&amp;range=BB"&amp;MATCH(K61,FRG!AE:AE,0))</f>
        <v/>
      </c>
      <c r="AB61" s="242" t="str">
        <f>IFERROR(__xludf.DUMMYFUNCTION("IF(ISBLANK(K61),,SUBSTITUTE(IFERROR(JOIN("","",K61:Z61),JOIN("","",K61:Y61)),CHAR(10),""""))"),"")</f>
        <v/>
      </c>
      <c r="AC61" s="229" t="str">
        <f t="shared" si="1"/>
        <v/>
      </c>
    </row>
    <row r="62">
      <c r="K62" s="237"/>
      <c r="L62" s="238" t="str">
        <f t="shared" si="3"/>
        <v/>
      </c>
      <c r="M62" s="237"/>
      <c r="N62" s="238"/>
      <c r="O62" s="238" t="str">
        <f t="shared" si="4"/>
        <v/>
      </c>
      <c r="P62" s="238" t="str">
        <f t="shared" si="5"/>
        <v/>
      </c>
      <c r="Q62" s="238" t="str">
        <f t="shared" si="6"/>
        <v/>
      </c>
      <c r="R62" s="238" t="str">
        <f t="shared" si="7"/>
        <v/>
      </c>
      <c r="S62" s="238" t="str">
        <f t="shared" si="8"/>
        <v/>
      </c>
      <c r="T62" s="238"/>
      <c r="U62" s="237"/>
      <c r="V62" s="238"/>
      <c r="W62" s="238" t="str">
        <f t="shared" si="9"/>
        <v/>
      </c>
      <c r="X62" s="237" t="str">
        <f t="shared" ref="X62:Y62" si="54">IF(ISBLANK(H62),,""""&amp;H62&amp;"""")</f>
        <v/>
      </c>
      <c r="Y62" s="237" t="str">
        <f t="shared" si="54"/>
        <v/>
      </c>
      <c r="Z62" s="237" t="str">
        <f>IF(ISBLANK(K62),,Config!$C$3&amp;"&amp;range=BB"&amp;MATCH(K62,FRG!AE:AE,0))</f>
        <v/>
      </c>
      <c r="AB62" s="242" t="str">
        <f>IFERROR(__xludf.DUMMYFUNCTION("IF(ISBLANK(K62),,SUBSTITUTE(IFERROR(JOIN("","",K62:Z62),JOIN("","",K62:Y62)),CHAR(10),""""))"),"")</f>
        <v/>
      </c>
      <c r="AC62" s="229" t="str">
        <f t="shared" si="1"/>
        <v/>
      </c>
    </row>
    <row r="63">
      <c r="K63" s="237"/>
      <c r="L63" s="238" t="str">
        <f t="shared" si="3"/>
        <v/>
      </c>
      <c r="M63" s="237"/>
      <c r="N63" s="238"/>
      <c r="O63" s="238" t="str">
        <f t="shared" si="4"/>
        <v/>
      </c>
      <c r="P63" s="238" t="str">
        <f t="shared" si="5"/>
        <v/>
      </c>
      <c r="Q63" s="238" t="str">
        <f t="shared" si="6"/>
        <v/>
      </c>
      <c r="R63" s="238" t="str">
        <f t="shared" si="7"/>
        <v/>
      </c>
      <c r="S63" s="238" t="str">
        <f t="shared" si="8"/>
        <v/>
      </c>
      <c r="T63" s="238"/>
      <c r="U63" s="237"/>
      <c r="V63" s="238"/>
      <c r="W63" s="238" t="str">
        <f t="shared" si="9"/>
        <v/>
      </c>
      <c r="X63" s="237" t="str">
        <f t="shared" ref="X63:Y63" si="55">IF(ISBLANK(H63),,""""&amp;H63&amp;"""")</f>
        <v/>
      </c>
      <c r="Y63" s="237" t="str">
        <f t="shared" si="55"/>
        <v/>
      </c>
      <c r="Z63" s="237" t="str">
        <f>IF(ISBLANK(K63),,Config!$C$3&amp;"&amp;range=BB"&amp;MATCH(K63,FRG!AE:AE,0))</f>
        <v/>
      </c>
      <c r="AB63" s="242" t="str">
        <f>IFERROR(__xludf.DUMMYFUNCTION("IF(ISBLANK(K63),,SUBSTITUTE(IFERROR(JOIN("","",K63:Z63),JOIN("","",K63:Y63)),CHAR(10),""""))"),"")</f>
        <v/>
      </c>
      <c r="AC63" s="229" t="str">
        <f t="shared" si="1"/>
        <v/>
      </c>
    </row>
    <row r="64">
      <c r="K64" s="237"/>
      <c r="L64" s="238" t="str">
        <f t="shared" si="3"/>
        <v/>
      </c>
      <c r="M64" s="237"/>
      <c r="N64" s="238"/>
      <c r="O64" s="238" t="str">
        <f t="shared" si="4"/>
        <v/>
      </c>
      <c r="P64" s="238" t="str">
        <f t="shared" si="5"/>
        <v/>
      </c>
      <c r="Q64" s="238" t="str">
        <f t="shared" si="6"/>
        <v/>
      </c>
      <c r="R64" s="238" t="str">
        <f t="shared" si="7"/>
        <v/>
      </c>
      <c r="S64" s="238" t="str">
        <f t="shared" si="8"/>
        <v/>
      </c>
      <c r="T64" s="238"/>
      <c r="U64" s="237"/>
      <c r="V64" s="238"/>
      <c r="W64" s="238" t="str">
        <f t="shared" si="9"/>
        <v/>
      </c>
      <c r="X64" s="237" t="str">
        <f t="shared" ref="X64:Y64" si="56">IF(ISBLANK(H64),,""""&amp;H64&amp;"""")</f>
        <v/>
      </c>
      <c r="Y64" s="237" t="str">
        <f t="shared" si="56"/>
        <v/>
      </c>
      <c r="Z64" s="237" t="str">
        <f>IF(ISBLANK(K64),,Config!$C$3&amp;"&amp;range=BB"&amp;MATCH(K64,FRG!AE:AE,0))</f>
        <v/>
      </c>
      <c r="AB64" s="242" t="str">
        <f>IFERROR(__xludf.DUMMYFUNCTION("IF(ISBLANK(K64),,SUBSTITUTE(IFERROR(JOIN("","",K64:Z64),JOIN("","",K64:Y64)),CHAR(10),""""))"),"")</f>
        <v/>
      </c>
      <c r="AC64" s="229" t="str">
        <f t="shared" si="1"/>
        <v/>
      </c>
    </row>
    <row r="65">
      <c r="K65" s="237"/>
      <c r="L65" s="238" t="str">
        <f t="shared" si="3"/>
        <v/>
      </c>
      <c r="M65" s="237"/>
      <c r="N65" s="238"/>
      <c r="O65" s="238" t="str">
        <f t="shared" si="4"/>
        <v/>
      </c>
      <c r="P65" s="238" t="str">
        <f t="shared" si="5"/>
        <v/>
      </c>
      <c r="Q65" s="238" t="str">
        <f t="shared" si="6"/>
        <v/>
      </c>
      <c r="R65" s="238" t="str">
        <f t="shared" si="7"/>
        <v/>
      </c>
      <c r="S65" s="238" t="str">
        <f t="shared" si="8"/>
        <v/>
      </c>
      <c r="T65" s="238"/>
      <c r="U65" s="237"/>
      <c r="V65" s="238"/>
      <c r="W65" s="238" t="str">
        <f t="shared" si="9"/>
        <v/>
      </c>
      <c r="X65" s="237" t="str">
        <f t="shared" ref="X65:Y65" si="57">IF(ISBLANK(H65),,""""&amp;H65&amp;"""")</f>
        <v/>
      </c>
      <c r="Y65" s="237" t="str">
        <f t="shared" si="57"/>
        <v/>
      </c>
      <c r="Z65" s="237" t="str">
        <f>IF(ISBLANK(K65),,Config!$C$3&amp;"&amp;range=BB"&amp;MATCH(K65,FRG!AE:AE,0))</f>
        <v/>
      </c>
      <c r="AB65" s="242" t="str">
        <f>IFERROR(__xludf.DUMMYFUNCTION("IF(ISBLANK(K65),,SUBSTITUTE(IFERROR(JOIN("","",K65:Z65),JOIN("","",K65:Y65)),CHAR(10),""""))"),"")</f>
        <v/>
      </c>
      <c r="AC65" s="229" t="str">
        <f t="shared" si="1"/>
        <v/>
      </c>
    </row>
    <row r="66">
      <c r="K66" s="237"/>
      <c r="L66" s="238" t="str">
        <f t="shared" si="3"/>
        <v/>
      </c>
      <c r="M66" s="237"/>
      <c r="N66" s="238"/>
      <c r="O66" s="238" t="str">
        <f t="shared" si="4"/>
        <v/>
      </c>
      <c r="P66" s="238" t="str">
        <f t="shared" si="5"/>
        <v/>
      </c>
      <c r="Q66" s="238" t="str">
        <f t="shared" si="6"/>
        <v/>
      </c>
      <c r="R66" s="238" t="str">
        <f t="shared" si="7"/>
        <v/>
      </c>
      <c r="S66" s="238" t="str">
        <f t="shared" si="8"/>
        <v/>
      </c>
      <c r="T66" s="238"/>
      <c r="U66" s="237"/>
      <c r="V66" s="238"/>
      <c r="W66" s="238" t="str">
        <f t="shared" si="9"/>
        <v/>
      </c>
      <c r="X66" s="237" t="str">
        <f t="shared" ref="X66:Y66" si="58">IF(ISBLANK(H66),,""""&amp;H66&amp;"""")</f>
        <v/>
      </c>
      <c r="Y66" s="237" t="str">
        <f t="shared" si="58"/>
        <v/>
      </c>
      <c r="Z66" s="237" t="str">
        <f>IF(ISBLANK(K66),,Config!$C$3&amp;"&amp;range=BB"&amp;MATCH(K66,FRG!AE:AE,0))</f>
        <v/>
      </c>
      <c r="AB66" s="242" t="str">
        <f>IFERROR(__xludf.DUMMYFUNCTION("IF(ISBLANK(K66),,SUBSTITUTE(IFERROR(JOIN("","",K66:Z66),JOIN("","",K66:Y66)),CHAR(10),""""))"),"")</f>
        <v/>
      </c>
      <c r="AC66" s="229" t="str">
        <f t="shared" si="1"/>
        <v/>
      </c>
    </row>
    <row r="67">
      <c r="K67" s="237"/>
      <c r="L67" s="238" t="str">
        <f t="shared" si="3"/>
        <v/>
      </c>
      <c r="M67" s="237"/>
      <c r="N67" s="238"/>
      <c r="O67" s="238" t="str">
        <f t="shared" si="4"/>
        <v/>
      </c>
      <c r="P67" s="238" t="str">
        <f t="shared" si="5"/>
        <v/>
      </c>
      <c r="Q67" s="238" t="str">
        <f t="shared" si="6"/>
        <v/>
      </c>
      <c r="R67" s="238" t="str">
        <f t="shared" si="7"/>
        <v/>
      </c>
      <c r="S67" s="238" t="str">
        <f t="shared" si="8"/>
        <v/>
      </c>
      <c r="T67" s="238"/>
      <c r="U67" s="237"/>
      <c r="V67" s="238"/>
      <c r="W67" s="238" t="str">
        <f t="shared" si="9"/>
        <v/>
      </c>
      <c r="X67" s="237" t="str">
        <f t="shared" ref="X67:Y67" si="59">IF(ISBLANK(H67),,""""&amp;H67&amp;"""")</f>
        <v/>
      </c>
      <c r="Y67" s="237" t="str">
        <f t="shared" si="59"/>
        <v/>
      </c>
      <c r="Z67" s="237" t="str">
        <f>IF(ISBLANK(K67),,Config!$C$3&amp;"&amp;range=BB"&amp;MATCH(K67,FRG!AE:AE,0))</f>
        <v/>
      </c>
      <c r="AB67" s="242" t="str">
        <f>IFERROR(__xludf.DUMMYFUNCTION("IF(ISBLANK(K67),,SUBSTITUTE(IFERROR(JOIN("","",K67:Z67),JOIN("","",K67:Y67)),CHAR(10),""""))"),"")</f>
        <v/>
      </c>
      <c r="AC67" s="229" t="str">
        <f t="shared" si="1"/>
        <v/>
      </c>
    </row>
    <row r="68">
      <c r="K68" s="237"/>
      <c r="L68" s="238" t="str">
        <f t="shared" si="3"/>
        <v/>
      </c>
      <c r="M68" s="237"/>
      <c r="N68" s="238"/>
      <c r="O68" s="238" t="str">
        <f t="shared" si="4"/>
        <v/>
      </c>
      <c r="P68" s="238" t="str">
        <f t="shared" si="5"/>
        <v/>
      </c>
      <c r="Q68" s="238" t="str">
        <f t="shared" si="6"/>
        <v/>
      </c>
      <c r="R68" s="238" t="str">
        <f t="shared" si="7"/>
        <v/>
      </c>
      <c r="S68" s="238" t="str">
        <f t="shared" si="8"/>
        <v/>
      </c>
      <c r="T68" s="238"/>
      <c r="U68" s="237"/>
      <c r="V68" s="238"/>
      <c r="W68" s="238" t="str">
        <f t="shared" si="9"/>
        <v/>
      </c>
      <c r="X68" s="237" t="str">
        <f t="shared" ref="X68:Y68" si="60">IF(ISBLANK(H68),,""""&amp;H68&amp;"""")</f>
        <v/>
      </c>
      <c r="Y68" s="237" t="str">
        <f t="shared" si="60"/>
        <v/>
      </c>
      <c r="Z68" s="237" t="str">
        <f>IF(ISBLANK(K68),,Config!$C$3&amp;"&amp;range=BB"&amp;MATCH(K68,FRG!AE:AE,0))</f>
        <v/>
      </c>
      <c r="AB68" s="242" t="str">
        <f>IFERROR(__xludf.DUMMYFUNCTION("IF(ISBLANK(K68),,SUBSTITUTE(IFERROR(JOIN("","",K68:Z68),JOIN("","",K68:Y68)),CHAR(10),""""))"),"")</f>
        <v/>
      </c>
      <c r="AC68" s="229" t="str">
        <f t="shared" si="1"/>
        <v/>
      </c>
    </row>
    <row r="69">
      <c r="K69" s="237"/>
      <c r="L69" s="238" t="str">
        <f t="shared" si="3"/>
        <v/>
      </c>
      <c r="M69" s="237"/>
      <c r="N69" s="238"/>
      <c r="O69" s="238" t="str">
        <f t="shared" si="4"/>
        <v/>
      </c>
      <c r="P69" s="238" t="str">
        <f t="shared" si="5"/>
        <v/>
      </c>
      <c r="Q69" s="238" t="str">
        <f t="shared" si="6"/>
        <v/>
      </c>
      <c r="R69" s="238" t="str">
        <f t="shared" si="7"/>
        <v/>
      </c>
      <c r="S69" s="238" t="str">
        <f t="shared" si="8"/>
        <v/>
      </c>
      <c r="T69" s="238"/>
      <c r="U69" s="237"/>
      <c r="V69" s="238"/>
      <c r="W69" s="238" t="str">
        <f t="shared" si="9"/>
        <v/>
      </c>
      <c r="X69" s="237" t="str">
        <f t="shared" ref="X69:Y69" si="61">IF(ISBLANK(H69),,""""&amp;H69&amp;"""")</f>
        <v/>
      </c>
      <c r="Y69" s="237" t="str">
        <f t="shared" si="61"/>
        <v/>
      </c>
      <c r="Z69" s="237" t="str">
        <f>IF(ISBLANK(K69),,Config!$C$3&amp;"&amp;range=BB"&amp;MATCH(K69,FRG!AE:AE,0))</f>
        <v/>
      </c>
      <c r="AB69" s="242" t="str">
        <f>IFERROR(__xludf.DUMMYFUNCTION("IF(ISBLANK(K69),,SUBSTITUTE(IFERROR(JOIN("","",K69:Z69),JOIN("","",K69:Y69)),CHAR(10),""""))"),"")</f>
        <v/>
      </c>
      <c r="AC69" s="229" t="str">
        <f t="shared" si="1"/>
        <v/>
      </c>
    </row>
    <row r="70">
      <c r="K70" s="237"/>
      <c r="L70" s="238" t="str">
        <f t="shared" si="3"/>
        <v/>
      </c>
      <c r="M70" s="237"/>
      <c r="N70" s="238"/>
      <c r="O70" s="238" t="str">
        <f t="shared" si="4"/>
        <v/>
      </c>
      <c r="P70" s="238" t="str">
        <f t="shared" si="5"/>
        <v/>
      </c>
      <c r="Q70" s="238" t="str">
        <f t="shared" si="6"/>
        <v/>
      </c>
      <c r="R70" s="238" t="str">
        <f t="shared" si="7"/>
        <v/>
      </c>
      <c r="S70" s="238" t="str">
        <f t="shared" si="8"/>
        <v/>
      </c>
      <c r="T70" s="238"/>
      <c r="U70" s="237"/>
      <c r="V70" s="238"/>
      <c r="W70" s="238" t="str">
        <f t="shared" si="9"/>
        <v/>
      </c>
      <c r="X70" s="237" t="str">
        <f t="shared" ref="X70:Y70" si="62">IF(ISBLANK(H70),,""""&amp;H70&amp;"""")</f>
        <v/>
      </c>
      <c r="Y70" s="237" t="str">
        <f t="shared" si="62"/>
        <v/>
      </c>
      <c r="Z70" s="237" t="str">
        <f>IF(ISBLANK(K70),,Config!$C$3&amp;"&amp;range=BB"&amp;MATCH(K70,FRG!AE:AE,0))</f>
        <v/>
      </c>
      <c r="AB70" s="242" t="str">
        <f>IFERROR(__xludf.DUMMYFUNCTION("IF(ISBLANK(K70),,SUBSTITUTE(IFERROR(JOIN("","",K70:Z70),JOIN("","",K70:Y70)),CHAR(10),""""))"),"")</f>
        <v/>
      </c>
      <c r="AC70" s="229" t="str">
        <f t="shared" si="1"/>
        <v/>
      </c>
    </row>
    <row r="71">
      <c r="K71" s="237"/>
      <c r="L71" s="238" t="str">
        <f t="shared" si="3"/>
        <v/>
      </c>
      <c r="M71" s="237"/>
      <c r="N71" s="238"/>
      <c r="O71" s="238" t="str">
        <f t="shared" si="4"/>
        <v/>
      </c>
      <c r="P71" s="238" t="str">
        <f t="shared" si="5"/>
        <v/>
      </c>
      <c r="Q71" s="238" t="str">
        <f t="shared" si="6"/>
        <v/>
      </c>
      <c r="R71" s="238" t="str">
        <f t="shared" si="7"/>
        <v/>
      </c>
      <c r="S71" s="238" t="str">
        <f t="shared" si="8"/>
        <v/>
      </c>
      <c r="T71" s="238"/>
      <c r="U71" s="237"/>
      <c r="V71" s="238"/>
      <c r="W71" s="238" t="str">
        <f t="shared" si="9"/>
        <v/>
      </c>
      <c r="X71" s="237" t="str">
        <f t="shared" ref="X71:Y71" si="63">IF(ISBLANK(H71),,""""&amp;H71&amp;"""")</f>
        <v/>
      </c>
      <c r="Y71" s="237" t="str">
        <f t="shared" si="63"/>
        <v/>
      </c>
      <c r="Z71" s="237" t="str">
        <f>IF(ISBLANK(K71),,Config!$C$3&amp;"&amp;range=BB"&amp;MATCH(K71,FRG!AE:AE,0))</f>
        <v/>
      </c>
      <c r="AB71" s="242" t="str">
        <f>IFERROR(__xludf.DUMMYFUNCTION("IF(ISBLANK(K71),,SUBSTITUTE(IFERROR(JOIN("","",K71:Z71),JOIN("","",K71:Y71)),CHAR(10),""""))"),"")</f>
        <v/>
      </c>
      <c r="AC71" s="229" t="str">
        <f t="shared" si="1"/>
        <v/>
      </c>
    </row>
    <row r="72">
      <c r="K72" s="237"/>
      <c r="L72" s="238" t="str">
        <f t="shared" si="3"/>
        <v/>
      </c>
      <c r="M72" s="237"/>
      <c r="N72" s="238"/>
      <c r="O72" s="238" t="str">
        <f t="shared" si="4"/>
        <v/>
      </c>
      <c r="P72" s="238" t="str">
        <f t="shared" si="5"/>
        <v/>
      </c>
      <c r="Q72" s="238" t="str">
        <f t="shared" si="6"/>
        <v/>
      </c>
      <c r="R72" s="238" t="str">
        <f t="shared" si="7"/>
        <v/>
      </c>
      <c r="S72" s="238" t="str">
        <f t="shared" si="8"/>
        <v/>
      </c>
      <c r="T72" s="238"/>
      <c r="U72" s="237"/>
      <c r="V72" s="238"/>
      <c r="W72" s="238" t="str">
        <f t="shared" si="9"/>
        <v/>
      </c>
      <c r="X72" s="237" t="str">
        <f t="shared" ref="X72:Y72" si="64">IF(ISBLANK(H72),,""""&amp;H72&amp;"""")</f>
        <v/>
      </c>
      <c r="Y72" s="237" t="str">
        <f t="shared" si="64"/>
        <v/>
      </c>
      <c r="Z72" s="237" t="str">
        <f>IF(ISBLANK(K72),,Config!$C$3&amp;"&amp;range=BB"&amp;MATCH(K72,FRG!AE:AE,0))</f>
        <v/>
      </c>
      <c r="AB72" s="242" t="str">
        <f>IFERROR(__xludf.DUMMYFUNCTION("IF(ISBLANK(K72),,SUBSTITUTE(IFERROR(JOIN("","",K72:Z72),JOIN("","",K72:Y72)),CHAR(10),""""))"),"")</f>
        <v/>
      </c>
      <c r="AC72" s="229" t="str">
        <f t="shared" si="1"/>
        <v/>
      </c>
    </row>
    <row r="73">
      <c r="K73" s="237"/>
      <c r="L73" s="238" t="str">
        <f t="shared" si="3"/>
        <v/>
      </c>
      <c r="M73" s="237"/>
      <c r="N73" s="238"/>
      <c r="O73" s="238" t="str">
        <f t="shared" si="4"/>
        <v/>
      </c>
      <c r="P73" s="238" t="str">
        <f t="shared" si="5"/>
        <v/>
      </c>
      <c r="Q73" s="238" t="str">
        <f t="shared" si="6"/>
        <v/>
      </c>
      <c r="R73" s="238" t="str">
        <f t="shared" si="7"/>
        <v/>
      </c>
      <c r="S73" s="238" t="str">
        <f t="shared" si="8"/>
        <v/>
      </c>
      <c r="T73" s="238"/>
      <c r="U73" s="237"/>
      <c r="V73" s="238"/>
      <c r="W73" s="238" t="str">
        <f t="shared" si="9"/>
        <v/>
      </c>
      <c r="X73" s="237" t="str">
        <f t="shared" ref="X73:Y73" si="65">IF(ISBLANK(H73),,""""&amp;H73&amp;"""")</f>
        <v/>
      </c>
      <c r="Y73" s="237" t="str">
        <f t="shared" si="65"/>
        <v/>
      </c>
      <c r="Z73" s="237" t="str">
        <f>IF(ISBLANK(K73),,Config!$C$3&amp;"&amp;range=BB"&amp;MATCH(K73,FRG!AE:AE,0))</f>
        <v/>
      </c>
      <c r="AB73" s="242" t="str">
        <f>IFERROR(__xludf.DUMMYFUNCTION("IF(ISBLANK(K73),,SUBSTITUTE(IFERROR(JOIN("","",K73:Z73),JOIN("","",K73:Y73)),CHAR(10),""""))"),"")</f>
        <v/>
      </c>
      <c r="AC73" s="229" t="str">
        <f t="shared" si="1"/>
        <v/>
      </c>
    </row>
    <row r="74">
      <c r="K74" s="237"/>
      <c r="L74" s="238" t="str">
        <f t="shared" si="3"/>
        <v/>
      </c>
      <c r="M74" s="237"/>
      <c r="N74" s="238"/>
      <c r="O74" s="238" t="str">
        <f t="shared" si="4"/>
        <v/>
      </c>
      <c r="P74" s="238" t="str">
        <f t="shared" si="5"/>
        <v/>
      </c>
      <c r="Q74" s="238" t="str">
        <f t="shared" si="6"/>
        <v/>
      </c>
      <c r="R74" s="238" t="str">
        <f t="shared" si="7"/>
        <v/>
      </c>
      <c r="S74" s="238" t="str">
        <f t="shared" si="8"/>
        <v/>
      </c>
      <c r="T74" s="238"/>
      <c r="U74" s="237"/>
      <c r="V74" s="238"/>
      <c r="W74" s="238" t="str">
        <f t="shared" si="9"/>
        <v/>
      </c>
      <c r="X74" s="237" t="str">
        <f t="shared" ref="X74:Y74" si="66">IF(ISBLANK(H74),,""""&amp;H74&amp;"""")</f>
        <v/>
      </c>
      <c r="Y74" s="237" t="str">
        <f t="shared" si="66"/>
        <v/>
      </c>
      <c r="Z74" s="237" t="str">
        <f>IF(ISBLANK(K74),,Config!$C$3&amp;"&amp;range=BB"&amp;MATCH(K74,FRG!AE:AE,0))</f>
        <v/>
      </c>
      <c r="AB74" s="242" t="str">
        <f>IFERROR(__xludf.DUMMYFUNCTION("IF(ISBLANK(K74),,SUBSTITUTE(IFERROR(JOIN("","",K74:Z74),JOIN("","",K74:Y74)),CHAR(10),""""))"),"")</f>
        <v/>
      </c>
      <c r="AC74" s="229" t="str">
        <f t="shared" si="1"/>
        <v/>
      </c>
    </row>
    <row r="75">
      <c r="K75" s="237"/>
      <c r="L75" s="238" t="str">
        <f t="shared" si="3"/>
        <v/>
      </c>
      <c r="M75" s="237"/>
      <c r="N75" s="238"/>
      <c r="O75" s="238" t="str">
        <f t="shared" si="4"/>
        <v/>
      </c>
      <c r="P75" s="238" t="str">
        <f t="shared" si="5"/>
        <v/>
      </c>
      <c r="Q75" s="238" t="str">
        <f t="shared" si="6"/>
        <v/>
      </c>
      <c r="R75" s="238" t="str">
        <f t="shared" si="7"/>
        <v/>
      </c>
      <c r="S75" s="238" t="str">
        <f t="shared" si="8"/>
        <v/>
      </c>
      <c r="T75" s="238"/>
      <c r="U75" s="237"/>
      <c r="V75" s="238"/>
      <c r="W75" s="238" t="str">
        <f t="shared" si="9"/>
        <v/>
      </c>
      <c r="X75" s="237" t="str">
        <f t="shared" ref="X75:Y75" si="67">IF(ISBLANK(H75),,""""&amp;H75&amp;"""")</f>
        <v/>
      </c>
      <c r="Y75" s="237" t="str">
        <f t="shared" si="67"/>
        <v/>
      </c>
      <c r="Z75" s="237" t="str">
        <f>IF(ISBLANK(K75),,Config!$C$3&amp;"&amp;range=BB"&amp;MATCH(K75,FRG!AE:AE,0))</f>
        <v/>
      </c>
      <c r="AB75" s="242" t="str">
        <f>IFERROR(__xludf.DUMMYFUNCTION("IF(ISBLANK(K75),,SUBSTITUTE(IFERROR(JOIN("","",K75:Z75),JOIN("","",K75:Y75)),CHAR(10),""""))"),"")</f>
        <v/>
      </c>
      <c r="AC75" s="229" t="str">
        <f t="shared" si="1"/>
        <v/>
      </c>
    </row>
    <row r="76">
      <c r="K76" s="237"/>
      <c r="L76" s="238" t="str">
        <f t="shared" si="3"/>
        <v/>
      </c>
      <c r="M76" s="237"/>
      <c r="N76" s="238"/>
      <c r="O76" s="238" t="str">
        <f t="shared" si="4"/>
        <v/>
      </c>
      <c r="P76" s="238" t="str">
        <f t="shared" si="5"/>
        <v/>
      </c>
      <c r="Q76" s="238" t="str">
        <f t="shared" si="6"/>
        <v/>
      </c>
      <c r="R76" s="238" t="str">
        <f t="shared" si="7"/>
        <v/>
      </c>
      <c r="S76" s="238" t="str">
        <f t="shared" si="8"/>
        <v/>
      </c>
      <c r="T76" s="238"/>
      <c r="U76" s="237"/>
      <c r="V76" s="238"/>
      <c r="W76" s="238" t="str">
        <f t="shared" si="9"/>
        <v/>
      </c>
      <c r="X76" s="237" t="str">
        <f t="shared" ref="X76:Y76" si="68">IF(ISBLANK(H76),,""""&amp;H76&amp;"""")</f>
        <v/>
      </c>
      <c r="Y76" s="237" t="str">
        <f t="shared" si="68"/>
        <v/>
      </c>
      <c r="Z76" s="237" t="str">
        <f>IF(ISBLANK(K76),,Config!$C$3&amp;"&amp;range=BB"&amp;MATCH(K76,FRG!AE:AE,0))</f>
        <v/>
      </c>
      <c r="AB76" s="242" t="str">
        <f>IFERROR(__xludf.DUMMYFUNCTION("IF(ISBLANK(K76),,SUBSTITUTE(IFERROR(JOIN("","",K76:Z76),JOIN("","",K76:Y76)),CHAR(10),""""))"),"")</f>
        <v/>
      </c>
      <c r="AC76" s="229" t="str">
        <f t="shared" si="1"/>
        <v/>
      </c>
    </row>
    <row r="77">
      <c r="K77" s="237"/>
      <c r="L77" s="238" t="str">
        <f t="shared" si="3"/>
        <v/>
      </c>
      <c r="M77" s="237"/>
      <c r="N77" s="238"/>
      <c r="O77" s="238" t="str">
        <f t="shared" si="4"/>
        <v/>
      </c>
      <c r="P77" s="238" t="str">
        <f t="shared" si="5"/>
        <v/>
      </c>
      <c r="Q77" s="238" t="str">
        <f t="shared" si="6"/>
        <v/>
      </c>
      <c r="R77" s="238" t="str">
        <f t="shared" si="7"/>
        <v/>
      </c>
      <c r="S77" s="238" t="str">
        <f t="shared" si="8"/>
        <v/>
      </c>
      <c r="T77" s="238"/>
      <c r="U77" s="237"/>
      <c r="V77" s="238"/>
      <c r="W77" s="238" t="str">
        <f t="shared" si="9"/>
        <v/>
      </c>
      <c r="X77" s="237" t="str">
        <f t="shared" ref="X77:Y77" si="69">IF(ISBLANK(H77),,""""&amp;H77&amp;"""")</f>
        <v/>
      </c>
      <c r="Y77" s="237" t="str">
        <f t="shared" si="69"/>
        <v/>
      </c>
      <c r="Z77" s="237" t="str">
        <f>IF(ISBLANK(K77),,Config!$C$3&amp;"&amp;range=BB"&amp;MATCH(K77,FRG!AE:AE,0))</f>
        <v/>
      </c>
      <c r="AB77" s="242" t="str">
        <f>IFERROR(__xludf.DUMMYFUNCTION("IF(ISBLANK(K77),,SUBSTITUTE(IFERROR(JOIN("","",K77:Z77),JOIN("","",K77:Y77)),CHAR(10),""""))"),"")</f>
        <v/>
      </c>
      <c r="AC77" s="229" t="str">
        <f t="shared" si="1"/>
        <v/>
      </c>
    </row>
    <row r="78">
      <c r="K78" s="237"/>
      <c r="L78" s="238" t="str">
        <f t="shared" si="3"/>
        <v/>
      </c>
      <c r="M78" s="237"/>
      <c r="N78" s="238"/>
      <c r="O78" s="238" t="str">
        <f t="shared" si="4"/>
        <v/>
      </c>
      <c r="P78" s="238" t="str">
        <f t="shared" si="5"/>
        <v/>
      </c>
      <c r="Q78" s="238" t="str">
        <f t="shared" si="6"/>
        <v/>
      </c>
      <c r="R78" s="238" t="str">
        <f t="shared" si="7"/>
        <v/>
      </c>
      <c r="S78" s="238" t="str">
        <f t="shared" si="8"/>
        <v/>
      </c>
      <c r="T78" s="238"/>
      <c r="U78" s="237"/>
      <c r="V78" s="238"/>
      <c r="W78" s="238" t="str">
        <f t="shared" si="9"/>
        <v/>
      </c>
      <c r="X78" s="237" t="str">
        <f t="shared" ref="X78:Y78" si="70">IF(ISBLANK(H78),,""""&amp;H78&amp;"""")</f>
        <v/>
      </c>
      <c r="Y78" s="237" t="str">
        <f t="shared" si="70"/>
        <v/>
      </c>
      <c r="Z78" s="237" t="str">
        <f>IF(ISBLANK(K78),,Config!$C$3&amp;"&amp;range=BB"&amp;MATCH(K78,FRG!AE:AE,0))</f>
        <v/>
      </c>
      <c r="AB78" s="242" t="str">
        <f>IFERROR(__xludf.DUMMYFUNCTION("IF(ISBLANK(K78),,SUBSTITUTE(IFERROR(JOIN("","",K78:Z78),JOIN("","",K78:Y78)),CHAR(10),""""))"),"")</f>
        <v/>
      </c>
      <c r="AC78" s="229" t="str">
        <f t="shared" si="1"/>
        <v/>
      </c>
    </row>
    <row r="79">
      <c r="K79" s="237"/>
      <c r="L79" s="238" t="str">
        <f t="shared" si="3"/>
        <v/>
      </c>
      <c r="M79" s="237"/>
      <c r="N79" s="238"/>
      <c r="O79" s="238" t="str">
        <f t="shared" si="4"/>
        <v/>
      </c>
      <c r="P79" s="238" t="str">
        <f t="shared" si="5"/>
        <v/>
      </c>
      <c r="Q79" s="238" t="str">
        <f t="shared" si="6"/>
        <v/>
      </c>
      <c r="R79" s="238" t="str">
        <f t="shared" si="7"/>
        <v/>
      </c>
      <c r="S79" s="238" t="str">
        <f t="shared" si="8"/>
        <v/>
      </c>
      <c r="T79" s="238"/>
      <c r="U79" s="237"/>
      <c r="V79" s="238"/>
      <c r="W79" s="238" t="str">
        <f t="shared" si="9"/>
        <v/>
      </c>
      <c r="X79" s="237" t="str">
        <f t="shared" ref="X79:Y79" si="71">IF(ISBLANK(H79),,""""&amp;H79&amp;"""")</f>
        <v/>
      </c>
      <c r="Y79" s="237" t="str">
        <f t="shared" si="71"/>
        <v/>
      </c>
      <c r="Z79" s="237" t="str">
        <f>IF(ISBLANK(K79),,Config!$C$3&amp;"&amp;range=BB"&amp;MATCH(K79,FRG!AE:AE,0))</f>
        <v/>
      </c>
      <c r="AB79" s="242" t="str">
        <f>IFERROR(__xludf.DUMMYFUNCTION("IF(ISBLANK(K79),,SUBSTITUTE(IFERROR(JOIN("","",K79:Z79),JOIN("","",K79:Y79)),CHAR(10),""""))"),"")</f>
        <v/>
      </c>
      <c r="AC79" s="229" t="str">
        <f t="shared" si="1"/>
        <v/>
      </c>
    </row>
    <row r="80">
      <c r="K80" s="237"/>
      <c r="L80" s="238" t="str">
        <f t="shared" si="3"/>
        <v/>
      </c>
      <c r="M80" s="237"/>
      <c r="N80" s="238"/>
      <c r="O80" s="238" t="str">
        <f t="shared" si="4"/>
        <v/>
      </c>
      <c r="P80" s="238" t="str">
        <f t="shared" si="5"/>
        <v/>
      </c>
      <c r="Q80" s="238" t="str">
        <f t="shared" si="6"/>
        <v/>
      </c>
      <c r="R80" s="238" t="str">
        <f t="shared" si="7"/>
        <v/>
      </c>
      <c r="S80" s="238" t="str">
        <f t="shared" si="8"/>
        <v/>
      </c>
      <c r="T80" s="238"/>
      <c r="U80" s="237"/>
      <c r="V80" s="238"/>
      <c r="W80" s="238" t="str">
        <f t="shared" si="9"/>
        <v/>
      </c>
      <c r="X80" s="237" t="str">
        <f t="shared" ref="X80:Y80" si="72">IF(ISBLANK(H80),,""""&amp;H80&amp;"""")</f>
        <v/>
      </c>
      <c r="Y80" s="237" t="str">
        <f t="shared" si="72"/>
        <v/>
      </c>
      <c r="Z80" s="237" t="str">
        <f>IF(ISBLANK(K80),,Config!$C$3&amp;"&amp;range=BB"&amp;MATCH(K80,FRG!AE:AE,0))</f>
        <v/>
      </c>
      <c r="AB80" s="242" t="str">
        <f>IFERROR(__xludf.DUMMYFUNCTION("IF(ISBLANK(K80),,SUBSTITUTE(IFERROR(JOIN("","",K80:Z80),JOIN("","",K80:Y80)),CHAR(10),""""))"),"")</f>
        <v/>
      </c>
      <c r="AC80" s="229" t="str">
        <f t="shared" si="1"/>
        <v/>
      </c>
    </row>
    <row r="81">
      <c r="K81" s="237"/>
      <c r="L81" s="238" t="str">
        <f t="shared" si="3"/>
        <v/>
      </c>
      <c r="M81" s="237"/>
      <c r="N81" s="238"/>
      <c r="O81" s="238" t="str">
        <f t="shared" si="4"/>
        <v/>
      </c>
      <c r="P81" s="238" t="str">
        <f t="shared" si="5"/>
        <v/>
      </c>
      <c r="Q81" s="238" t="str">
        <f t="shared" si="6"/>
        <v/>
      </c>
      <c r="R81" s="238" t="str">
        <f t="shared" si="7"/>
        <v/>
      </c>
      <c r="S81" s="238" t="str">
        <f t="shared" si="8"/>
        <v/>
      </c>
      <c r="T81" s="238"/>
      <c r="U81" s="237"/>
      <c r="V81" s="238"/>
      <c r="W81" s="238" t="str">
        <f t="shared" si="9"/>
        <v/>
      </c>
      <c r="X81" s="237" t="str">
        <f t="shared" ref="X81:Y81" si="73">IF(ISBLANK(H81),,""""&amp;H81&amp;"""")</f>
        <v/>
      </c>
      <c r="Y81" s="237" t="str">
        <f t="shared" si="73"/>
        <v/>
      </c>
      <c r="Z81" s="237" t="str">
        <f>IF(ISBLANK(K81),,Config!$C$3&amp;"&amp;range=BB"&amp;MATCH(K81,FRG!AE:AE,0))</f>
        <v/>
      </c>
      <c r="AB81" s="242" t="str">
        <f>IFERROR(__xludf.DUMMYFUNCTION("IF(ISBLANK(K81),,SUBSTITUTE(IFERROR(JOIN("","",K81:Z81),JOIN("","",K81:Y81)),CHAR(10),""""))"),"")</f>
        <v/>
      </c>
      <c r="AC81" s="229" t="str">
        <f t="shared" si="1"/>
        <v/>
      </c>
    </row>
    <row r="82">
      <c r="K82" s="237"/>
      <c r="L82" s="238" t="str">
        <f t="shared" si="3"/>
        <v/>
      </c>
      <c r="M82" s="237"/>
      <c r="N82" s="238"/>
      <c r="O82" s="238" t="str">
        <f t="shared" si="4"/>
        <v/>
      </c>
      <c r="P82" s="238" t="str">
        <f t="shared" si="5"/>
        <v/>
      </c>
      <c r="Q82" s="238" t="str">
        <f t="shared" si="6"/>
        <v/>
      </c>
      <c r="R82" s="238" t="str">
        <f t="shared" si="7"/>
        <v/>
      </c>
      <c r="S82" s="238" t="str">
        <f t="shared" si="8"/>
        <v/>
      </c>
      <c r="T82" s="238"/>
      <c r="U82" s="237"/>
      <c r="V82" s="238"/>
      <c r="W82" s="238" t="str">
        <f t="shared" si="9"/>
        <v/>
      </c>
      <c r="X82" s="237" t="str">
        <f t="shared" ref="X82:Y82" si="74">IF(ISBLANK(H82),,""""&amp;H82&amp;"""")</f>
        <v/>
      </c>
      <c r="Y82" s="237" t="str">
        <f t="shared" si="74"/>
        <v/>
      </c>
      <c r="Z82" s="237" t="str">
        <f>IF(ISBLANK(K82),,Config!$C$3&amp;"&amp;range=BB"&amp;MATCH(K82,FRG!AE:AE,0))</f>
        <v/>
      </c>
      <c r="AB82" s="242" t="str">
        <f>IFERROR(__xludf.DUMMYFUNCTION("IF(ISBLANK(K82),,SUBSTITUTE(IFERROR(JOIN("","",K82:Z82),JOIN("","",K82:Y82)),CHAR(10),""""))"),"")</f>
        <v/>
      </c>
      <c r="AC82" s="229" t="str">
        <f t="shared" si="1"/>
        <v/>
      </c>
    </row>
    <row r="83">
      <c r="K83" s="237"/>
      <c r="L83" s="238" t="str">
        <f t="shared" si="3"/>
        <v/>
      </c>
      <c r="M83" s="237"/>
      <c r="N83" s="238"/>
      <c r="O83" s="238" t="str">
        <f t="shared" si="4"/>
        <v/>
      </c>
      <c r="P83" s="238" t="str">
        <f t="shared" si="5"/>
        <v/>
      </c>
      <c r="Q83" s="238" t="str">
        <f t="shared" si="6"/>
        <v/>
      </c>
      <c r="R83" s="238" t="str">
        <f t="shared" si="7"/>
        <v/>
      </c>
      <c r="S83" s="238" t="str">
        <f t="shared" si="8"/>
        <v/>
      </c>
      <c r="T83" s="238"/>
      <c r="U83" s="237"/>
      <c r="V83" s="238"/>
      <c r="W83" s="238" t="str">
        <f t="shared" si="9"/>
        <v/>
      </c>
      <c r="X83" s="237" t="str">
        <f t="shared" ref="X83:Y83" si="75">IF(ISBLANK(H83),,""""&amp;H83&amp;"""")</f>
        <v/>
      </c>
      <c r="Y83" s="237" t="str">
        <f t="shared" si="75"/>
        <v/>
      </c>
      <c r="Z83" s="237" t="str">
        <f>IF(ISBLANK(K83),,Config!$C$3&amp;"&amp;range=BB"&amp;MATCH(K83,FRG!AE:AE,0))</f>
        <v/>
      </c>
      <c r="AB83" s="242" t="str">
        <f>IFERROR(__xludf.DUMMYFUNCTION("IF(ISBLANK(K83),,SUBSTITUTE(IFERROR(JOIN("","",K83:Z83),JOIN("","",K83:Y83)),CHAR(10),""""))"),"")</f>
        <v/>
      </c>
      <c r="AC83" s="229" t="str">
        <f t="shared" si="1"/>
        <v/>
      </c>
    </row>
    <row r="84">
      <c r="K84" s="237"/>
      <c r="L84" s="238" t="str">
        <f t="shared" si="3"/>
        <v/>
      </c>
      <c r="M84" s="237"/>
      <c r="N84" s="238"/>
      <c r="O84" s="238" t="str">
        <f t="shared" si="4"/>
        <v/>
      </c>
      <c r="P84" s="238" t="str">
        <f t="shared" si="5"/>
        <v/>
      </c>
      <c r="Q84" s="238" t="str">
        <f t="shared" si="6"/>
        <v/>
      </c>
      <c r="R84" s="238" t="str">
        <f t="shared" si="7"/>
        <v/>
      </c>
      <c r="S84" s="238" t="str">
        <f t="shared" si="8"/>
        <v/>
      </c>
      <c r="T84" s="238"/>
      <c r="U84" s="237"/>
      <c r="V84" s="238"/>
      <c r="W84" s="238" t="str">
        <f t="shared" si="9"/>
        <v/>
      </c>
      <c r="X84" s="237" t="str">
        <f t="shared" ref="X84:Y84" si="76">IF(ISBLANK(H84),,""""&amp;H84&amp;"""")</f>
        <v/>
      </c>
      <c r="Y84" s="237" t="str">
        <f t="shared" si="76"/>
        <v/>
      </c>
      <c r="Z84" s="237" t="str">
        <f>IF(ISBLANK(K84),,Config!$C$3&amp;"&amp;range=BB"&amp;MATCH(K84,FRG!AE:AE,0))</f>
        <v/>
      </c>
      <c r="AB84" s="242" t="str">
        <f>IFERROR(__xludf.DUMMYFUNCTION("IF(ISBLANK(K84),,SUBSTITUTE(IFERROR(JOIN("","",K84:Z84),JOIN("","",K84:Y84)),CHAR(10),""""))"),"")</f>
        <v/>
      </c>
      <c r="AC84" s="229" t="str">
        <f t="shared" si="1"/>
        <v/>
      </c>
    </row>
    <row r="85">
      <c r="K85" s="237"/>
      <c r="L85" s="238" t="str">
        <f t="shared" si="3"/>
        <v/>
      </c>
      <c r="M85" s="237"/>
      <c r="N85" s="238"/>
      <c r="O85" s="238" t="str">
        <f t="shared" si="4"/>
        <v/>
      </c>
      <c r="P85" s="238" t="str">
        <f t="shared" si="5"/>
        <v/>
      </c>
      <c r="Q85" s="238" t="str">
        <f t="shared" si="6"/>
        <v/>
      </c>
      <c r="R85" s="238" t="str">
        <f t="shared" si="7"/>
        <v/>
      </c>
      <c r="S85" s="238" t="str">
        <f t="shared" si="8"/>
        <v/>
      </c>
      <c r="T85" s="238"/>
      <c r="U85" s="237"/>
      <c r="V85" s="238"/>
      <c r="W85" s="238" t="str">
        <f t="shared" si="9"/>
        <v/>
      </c>
      <c r="X85" s="237" t="str">
        <f t="shared" ref="X85:Y85" si="77">IF(ISBLANK(H85),,""""&amp;H85&amp;"""")</f>
        <v/>
      </c>
      <c r="Y85" s="237" t="str">
        <f t="shared" si="77"/>
        <v/>
      </c>
      <c r="Z85" s="237" t="str">
        <f>IF(ISBLANK(K85),,Config!$C$3&amp;"&amp;range=BB"&amp;MATCH(K85,FRG!AE:AE,0))</f>
        <v/>
      </c>
      <c r="AB85" s="242" t="str">
        <f>IFERROR(__xludf.DUMMYFUNCTION("IF(ISBLANK(K85),,SUBSTITUTE(IFERROR(JOIN("","",K85:Z85),JOIN("","",K85:Y85)),CHAR(10),""""))"),"")</f>
        <v/>
      </c>
      <c r="AC85" s="229" t="str">
        <f t="shared" si="1"/>
        <v/>
      </c>
    </row>
    <row r="86">
      <c r="K86" s="237"/>
      <c r="L86" s="238" t="str">
        <f t="shared" si="3"/>
        <v/>
      </c>
      <c r="M86" s="237"/>
      <c r="N86" s="238"/>
      <c r="O86" s="238" t="str">
        <f t="shared" si="4"/>
        <v/>
      </c>
      <c r="P86" s="238" t="str">
        <f t="shared" si="5"/>
        <v/>
      </c>
      <c r="Q86" s="238" t="str">
        <f t="shared" si="6"/>
        <v/>
      </c>
      <c r="R86" s="238" t="str">
        <f t="shared" si="7"/>
        <v/>
      </c>
      <c r="S86" s="238" t="str">
        <f t="shared" si="8"/>
        <v/>
      </c>
      <c r="T86" s="238"/>
      <c r="U86" s="237"/>
      <c r="V86" s="238"/>
      <c r="W86" s="238" t="str">
        <f t="shared" si="9"/>
        <v/>
      </c>
      <c r="X86" s="237" t="str">
        <f t="shared" ref="X86:Y86" si="78">IF(ISBLANK(H86),,""""&amp;H86&amp;"""")</f>
        <v/>
      </c>
      <c r="Y86" s="237" t="str">
        <f t="shared" si="78"/>
        <v/>
      </c>
      <c r="Z86" s="237" t="str">
        <f>IF(ISBLANK(K86),,Config!$C$3&amp;"&amp;range=BB"&amp;MATCH(K86,FRG!AE:AE,0))</f>
        <v/>
      </c>
      <c r="AB86" s="242" t="str">
        <f>IFERROR(__xludf.DUMMYFUNCTION("IF(ISBLANK(K86),,SUBSTITUTE(IFERROR(JOIN("","",K86:Z86),JOIN("","",K86:Y86)),CHAR(10),""""))"),"")</f>
        <v/>
      </c>
      <c r="AC86" s="229" t="str">
        <f t="shared" si="1"/>
        <v/>
      </c>
    </row>
    <row r="87">
      <c r="K87" s="237"/>
      <c r="L87" s="238" t="str">
        <f t="shared" si="3"/>
        <v/>
      </c>
      <c r="M87" s="237"/>
      <c r="N87" s="238"/>
      <c r="O87" s="238" t="str">
        <f t="shared" si="4"/>
        <v/>
      </c>
      <c r="P87" s="238" t="str">
        <f t="shared" si="5"/>
        <v/>
      </c>
      <c r="Q87" s="238" t="str">
        <f t="shared" si="6"/>
        <v/>
      </c>
      <c r="R87" s="238" t="str">
        <f t="shared" si="7"/>
        <v/>
      </c>
      <c r="S87" s="238" t="str">
        <f t="shared" si="8"/>
        <v/>
      </c>
      <c r="T87" s="238"/>
      <c r="U87" s="237"/>
      <c r="V87" s="238"/>
      <c r="W87" s="238" t="str">
        <f t="shared" si="9"/>
        <v/>
      </c>
      <c r="X87" s="237" t="str">
        <f t="shared" ref="X87:Y87" si="79">IF(ISBLANK(H87),,""""&amp;H87&amp;"""")</f>
        <v/>
      </c>
      <c r="Y87" s="237" t="str">
        <f t="shared" si="79"/>
        <v/>
      </c>
      <c r="Z87" s="237" t="str">
        <f>IF(ISBLANK(K87),,Config!$C$3&amp;"&amp;range=BB"&amp;MATCH(K87,FRG!AE:AE,0))</f>
        <v/>
      </c>
      <c r="AB87" s="242" t="str">
        <f>IFERROR(__xludf.DUMMYFUNCTION("IF(ISBLANK(K87),,SUBSTITUTE(IFERROR(JOIN("","",K87:Z87),JOIN("","",K87:Y87)),CHAR(10),""""))"),"")</f>
        <v/>
      </c>
      <c r="AC87" s="229" t="str">
        <f t="shared" si="1"/>
        <v/>
      </c>
    </row>
    <row r="88">
      <c r="K88" s="237"/>
      <c r="L88" s="238" t="str">
        <f t="shared" si="3"/>
        <v/>
      </c>
      <c r="M88" s="237"/>
      <c r="N88" s="238"/>
      <c r="O88" s="238" t="str">
        <f t="shared" si="4"/>
        <v/>
      </c>
      <c r="P88" s="238" t="str">
        <f t="shared" si="5"/>
        <v/>
      </c>
      <c r="Q88" s="238" t="str">
        <f t="shared" si="6"/>
        <v/>
      </c>
      <c r="R88" s="238" t="str">
        <f t="shared" si="7"/>
        <v/>
      </c>
      <c r="S88" s="238" t="str">
        <f t="shared" si="8"/>
        <v/>
      </c>
      <c r="T88" s="238"/>
      <c r="U88" s="237"/>
      <c r="V88" s="238"/>
      <c r="W88" s="238" t="str">
        <f t="shared" si="9"/>
        <v/>
      </c>
      <c r="X88" s="237" t="str">
        <f t="shared" ref="X88:Y88" si="80">IF(ISBLANK(H88),,""""&amp;H88&amp;"""")</f>
        <v/>
      </c>
      <c r="Y88" s="237" t="str">
        <f t="shared" si="80"/>
        <v/>
      </c>
      <c r="Z88" s="237" t="str">
        <f>IF(ISBLANK(K88),,Config!$C$3&amp;"&amp;range=BB"&amp;MATCH(K88,FRG!AE:AE,0))</f>
        <v/>
      </c>
      <c r="AB88" s="242" t="str">
        <f>IFERROR(__xludf.DUMMYFUNCTION("IF(ISBLANK(K88),,SUBSTITUTE(IFERROR(JOIN("","",K88:Z88),JOIN("","",K88:Y88)),CHAR(10),""""))"),"")</f>
        <v/>
      </c>
      <c r="AC88" s="229" t="str">
        <f t="shared" si="1"/>
        <v/>
      </c>
    </row>
    <row r="89">
      <c r="K89" s="237"/>
      <c r="L89" s="238" t="str">
        <f t="shared" si="3"/>
        <v/>
      </c>
      <c r="M89" s="237"/>
      <c r="N89" s="238"/>
      <c r="O89" s="238" t="str">
        <f t="shared" si="4"/>
        <v/>
      </c>
      <c r="P89" s="238" t="str">
        <f t="shared" si="5"/>
        <v/>
      </c>
      <c r="Q89" s="238" t="str">
        <f t="shared" si="6"/>
        <v/>
      </c>
      <c r="R89" s="238" t="str">
        <f t="shared" si="7"/>
        <v/>
      </c>
      <c r="S89" s="238" t="str">
        <f t="shared" si="8"/>
        <v/>
      </c>
      <c r="T89" s="238"/>
      <c r="U89" s="237"/>
      <c r="V89" s="238"/>
      <c r="W89" s="238" t="str">
        <f t="shared" si="9"/>
        <v/>
      </c>
      <c r="X89" s="237" t="str">
        <f t="shared" ref="X89:Y89" si="81">IF(ISBLANK(H89),,""""&amp;H89&amp;"""")</f>
        <v/>
      </c>
      <c r="Y89" s="237" t="str">
        <f t="shared" si="81"/>
        <v/>
      </c>
      <c r="Z89" s="237" t="str">
        <f>IF(ISBLANK(K89),,Config!$C$3&amp;"&amp;range=BB"&amp;MATCH(K89,FRG!AE:AE,0))</f>
        <v/>
      </c>
      <c r="AB89" s="242" t="str">
        <f>IFERROR(__xludf.DUMMYFUNCTION("IF(ISBLANK(K89),,SUBSTITUTE(IFERROR(JOIN("","",K89:Z89),JOIN("","",K89:Y89)),CHAR(10),""""))"),"")</f>
        <v/>
      </c>
      <c r="AC89" s="229" t="str">
        <f t="shared" si="1"/>
        <v/>
      </c>
    </row>
    <row r="90">
      <c r="K90" s="237"/>
      <c r="L90" s="238" t="str">
        <f t="shared" si="3"/>
        <v/>
      </c>
      <c r="M90" s="237"/>
      <c r="N90" s="238"/>
      <c r="O90" s="238" t="str">
        <f t="shared" si="4"/>
        <v/>
      </c>
      <c r="P90" s="238" t="str">
        <f t="shared" si="5"/>
        <v/>
      </c>
      <c r="Q90" s="238" t="str">
        <f t="shared" si="6"/>
        <v/>
      </c>
      <c r="R90" s="238" t="str">
        <f t="shared" si="7"/>
        <v/>
      </c>
      <c r="S90" s="238" t="str">
        <f t="shared" si="8"/>
        <v/>
      </c>
      <c r="T90" s="238"/>
      <c r="U90" s="237"/>
      <c r="V90" s="238"/>
      <c r="W90" s="238" t="str">
        <f t="shared" si="9"/>
        <v/>
      </c>
      <c r="X90" s="237" t="str">
        <f t="shared" ref="X90:Y90" si="82">IF(ISBLANK(H90),,""""&amp;H90&amp;"""")</f>
        <v/>
      </c>
      <c r="Y90" s="237" t="str">
        <f t="shared" si="82"/>
        <v/>
      </c>
      <c r="Z90" s="237" t="str">
        <f>IF(ISBLANK(K90),,Config!$C$3&amp;"&amp;range=BB"&amp;MATCH(K90,FRG!AE:AE,0))</f>
        <v/>
      </c>
      <c r="AB90" s="242" t="str">
        <f>IFERROR(__xludf.DUMMYFUNCTION("IF(ISBLANK(K90),,SUBSTITUTE(IFERROR(JOIN("","",K90:Z90),JOIN("","",K90:Y90)),CHAR(10),""""))"),"")</f>
        <v/>
      </c>
      <c r="AC90" s="229" t="str">
        <f t="shared" si="1"/>
        <v/>
      </c>
    </row>
    <row r="91">
      <c r="K91" s="237"/>
      <c r="L91" s="238" t="str">
        <f t="shared" si="3"/>
        <v/>
      </c>
      <c r="M91" s="237"/>
      <c r="N91" s="238"/>
      <c r="O91" s="238" t="str">
        <f t="shared" si="4"/>
        <v/>
      </c>
      <c r="P91" s="238" t="str">
        <f t="shared" si="5"/>
        <v/>
      </c>
      <c r="Q91" s="238" t="str">
        <f t="shared" si="6"/>
        <v/>
      </c>
      <c r="R91" s="238" t="str">
        <f t="shared" si="7"/>
        <v/>
      </c>
      <c r="S91" s="238" t="str">
        <f t="shared" si="8"/>
        <v/>
      </c>
      <c r="T91" s="238"/>
      <c r="U91" s="237"/>
      <c r="V91" s="238"/>
      <c r="W91" s="238" t="str">
        <f t="shared" si="9"/>
        <v/>
      </c>
      <c r="X91" s="237" t="str">
        <f t="shared" ref="X91:Y91" si="83">IF(ISBLANK(H91),,""""&amp;H91&amp;"""")</f>
        <v/>
      </c>
      <c r="Y91" s="237" t="str">
        <f t="shared" si="83"/>
        <v/>
      </c>
      <c r="Z91" s="237" t="str">
        <f>IF(ISBLANK(K91),,Config!$C$3&amp;"&amp;range=BB"&amp;MATCH(K91,FRG!AE:AE,0))</f>
        <v/>
      </c>
      <c r="AB91" s="242" t="str">
        <f>IFERROR(__xludf.DUMMYFUNCTION("IF(ISBLANK(K91),,SUBSTITUTE(IFERROR(JOIN("","",K91:Z91),JOIN("","",K91:Y91)),CHAR(10),""""))"),"")</f>
        <v/>
      </c>
      <c r="AC91" s="229" t="str">
        <f t="shared" si="1"/>
        <v/>
      </c>
    </row>
    <row r="92">
      <c r="K92" s="237"/>
      <c r="L92" s="238" t="str">
        <f t="shared" si="3"/>
        <v/>
      </c>
      <c r="M92" s="237"/>
      <c r="N92" s="238"/>
      <c r="O92" s="238" t="str">
        <f t="shared" si="4"/>
        <v/>
      </c>
      <c r="P92" s="238" t="str">
        <f t="shared" si="5"/>
        <v/>
      </c>
      <c r="Q92" s="238" t="str">
        <f t="shared" si="6"/>
        <v/>
      </c>
      <c r="R92" s="238" t="str">
        <f t="shared" si="7"/>
        <v/>
      </c>
      <c r="S92" s="238" t="str">
        <f t="shared" si="8"/>
        <v/>
      </c>
      <c r="T92" s="238"/>
      <c r="U92" s="237"/>
      <c r="V92" s="238"/>
      <c r="W92" s="238" t="str">
        <f t="shared" si="9"/>
        <v/>
      </c>
      <c r="X92" s="237" t="str">
        <f t="shared" ref="X92:Y92" si="84">IF(ISBLANK(H92),,""""&amp;H92&amp;"""")</f>
        <v/>
      </c>
      <c r="Y92" s="237" t="str">
        <f t="shared" si="84"/>
        <v/>
      </c>
      <c r="Z92" s="237" t="str">
        <f>IF(ISBLANK(K92),,Config!$C$3&amp;"&amp;range=BB"&amp;MATCH(K92,FRG!AE:AE,0))</f>
        <v/>
      </c>
      <c r="AB92" s="242" t="str">
        <f>IFERROR(__xludf.DUMMYFUNCTION("IF(ISBLANK(K92),,SUBSTITUTE(IFERROR(JOIN("","",K92:Z92),JOIN("","",K92:Y92)),CHAR(10),""""))"),"")</f>
        <v/>
      </c>
      <c r="AC92" s="229" t="str">
        <f t="shared" si="1"/>
        <v/>
      </c>
    </row>
    <row r="93">
      <c r="K93" s="237"/>
      <c r="L93" s="238" t="str">
        <f t="shared" si="3"/>
        <v/>
      </c>
      <c r="M93" s="237"/>
      <c r="N93" s="238"/>
      <c r="O93" s="238" t="str">
        <f t="shared" si="4"/>
        <v/>
      </c>
      <c r="P93" s="238" t="str">
        <f t="shared" si="5"/>
        <v/>
      </c>
      <c r="Q93" s="238" t="str">
        <f t="shared" si="6"/>
        <v/>
      </c>
      <c r="R93" s="238" t="str">
        <f t="shared" si="7"/>
        <v/>
      </c>
      <c r="S93" s="238" t="str">
        <f t="shared" si="8"/>
        <v/>
      </c>
      <c r="T93" s="238"/>
      <c r="U93" s="237"/>
      <c r="V93" s="238"/>
      <c r="W93" s="238" t="str">
        <f t="shared" si="9"/>
        <v/>
      </c>
      <c r="X93" s="237" t="str">
        <f t="shared" ref="X93:Y93" si="85">IF(ISBLANK(H93),,""""&amp;H93&amp;"""")</f>
        <v/>
      </c>
      <c r="Y93" s="237" t="str">
        <f t="shared" si="85"/>
        <v/>
      </c>
      <c r="Z93" s="237" t="str">
        <f>IF(ISBLANK(K93),,Config!$C$3&amp;"&amp;range=BB"&amp;MATCH(K93,FRG!AE:AE,0))</f>
        <v/>
      </c>
      <c r="AB93" s="242" t="str">
        <f>IFERROR(__xludf.DUMMYFUNCTION("IF(ISBLANK(K93),,SUBSTITUTE(IFERROR(JOIN("","",K93:Z93),JOIN("","",K93:Y93)),CHAR(10),""""))"),"")</f>
        <v/>
      </c>
      <c r="AC93" s="229" t="str">
        <f t="shared" si="1"/>
        <v/>
      </c>
    </row>
    <row r="94">
      <c r="K94" s="237"/>
      <c r="L94" s="238" t="str">
        <f t="shared" si="3"/>
        <v/>
      </c>
      <c r="M94" s="237"/>
      <c r="N94" s="238"/>
      <c r="O94" s="238" t="str">
        <f t="shared" si="4"/>
        <v/>
      </c>
      <c r="P94" s="238" t="str">
        <f t="shared" si="5"/>
        <v/>
      </c>
      <c r="Q94" s="238" t="str">
        <f t="shared" si="6"/>
        <v/>
      </c>
      <c r="R94" s="238" t="str">
        <f t="shared" si="7"/>
        <v/>
      </c>
      <c r="S94" s="238" t="str">
        <f t="shared" si="8"/>
        <v/>
      </c>
      <c r="T94" s="238"/>
      <c r="U94" s="237"/>
      <c r="V94" s="238"/>
      <c r="W94" s="238" t="str">
        <f t="shared" si="9"/>
        <v/>
      </c>
      <c r="X94" s="237" t="str">
        <f t="shared" ref="X94:Y94" si="86">IF(ISBLANK(H94),,""""&amp;H94&amp;"""")</f>
        <v/>
      </c>
      <c r="Y94" s="237" t="str">
        <f t="shared" si="86"/>
        <v/>
      </c>
      <c r="Z94" s="237" t="str">
        <f>IF(ISBLANK(K94),,Config!$C$3&amp;"&amp;range=BB"&amp;MATCH(K94,FRG!AE:AE,0))</f>
        <v/>
      </c>
      <c r="AB94" s="242" t="str">
        <f>IFERROR(__xludf.DUMMYFUNCTION("IF(ISBLANK(K94),,SUBSTITUTE(IFERROR(JOIN("","",K94:Z94),JOIN("","",K94:Y94)),CHAR(10),""""))"),"")</f>
        <v/>
      </c>
      <c r="AC94" s="229" t="str">
        <f t="shared" si="1"/>
        <v/>
      </c>
    </row>
    <row r="95">
      <c r="K95" s="237"/>
      <c r="L95" s="238" t="str">
        <f t="shared" si="3"/>
        <v/>
      </c>
      <c r="M95" s="237"/>
      <c r="N95" s="238"/>
      <c r="O95" s="238" t="str">
        <f t="shared" si="4"/>
        <v/>
      </c>
      <c r="P95" s="238" t="str">
        <f t="shared" si="5"/>
        <v/>
      </c>
      <c r="Q95" s="238" t="str">
        <f t="shared" si="6"/>
        <v/>
      </c>
      <c r="R95" s="238" t="str">
        <f t="shared" si="7"/>
        <v/>
      </c>
      <c r="S95" s="238" t="str">
        <f t="shared" si="8"/>
        <v/>
      </c>
      <c r="T95" s="238"/>
      <c r="U95" s="237"/>
      <c r="V95" s="238"/>
      <c r="W95" s="238" t="str">
        <f t="shared" si="9"/>
        <v/>
      </c>
      <c r="X95" s="237" t="str">
        <f t="shared" ref="X95:Y95" si="87">IF(ISBLANK(H95),,""""&amp;H95&amp;"""")</f>
        <v/>
      </c>
      <c r="Y95" s="237" t="str">
        <f t="shared" si="87"/>
        <v/>
      </c>
      <c r="Z95" s="237" t="str">
        <f>IF(ISBLANK(K95),,Config!$C$3&amp;"&amp;range=BB"&amp;MATCH(K95,FRG!AE:AE,0))</f>
        <v/>
      </c>
      <c r="AB95" s="242" t="str">
        <f>IFERROR(__xludf.DUMMYFUNCTION("IF(ISBLANK(K95),,SUBSTITUTE(IFERROR(JOIN("","",K95:Z95),JOIN("","",K95:Y95)),CHAR(10),""""))"),"")</f>
        <v/>
      </c>
      <c r="AC95" s="229" t="str">
        <f t="shared" si="1"/>
        <v/>
      </c>
    </row>
    <row r="96">
      <c r="K96" s="237"/>
      <c r="L96" s="238" t="str">
        <f t="shared" si="3"/>
        <v/>
      </c>
      <c r="M96" s="237"/>
      <c r="N96" s="238"/>
      <c r="O96" s="238" t="str">
        <f t="shared" si="4"/>
        <v/>
      </c>
      <c r="P96" s="238" t="str">
        <f t="shared" si="5"/>
        <v/>
      </c>
      <c r="Q96" s="238" t="str">
        <f t="shared" si="6"/>
        <v/>
      </c>
      <c r="R96" s="238" t="str">
        <f t="shared" si="7"/>
        <v/>
      </c>
      <c r="S96" s="238" t="str">
        <f t="shared" si="8"/>
        <v/>
      </c>
      <c r="T96" s="238"/>
      <c r="U96" s="237"/>
      <c r="V96" s="238"/>
      <c r="W96" s="238" t="str">
        <f t="shared" si="9"/>
        <v/>
      </c>
      <c r="X96" s="237" t="str">
        <f t="shared" ref="X96:Y96" si="88">IF(ISBLANK(H96),,""""&amp;H96&amp;"""")</f>
        <v/>
      </c>
      <c r="Y96" s="237" t="str">
        <f t="shared" si="88"/>
        <v/>
      </c>
      <c r="Z96" s="237" t="str">
        <f>IF(ISBLANK(K96),,Config!$C$3&amp;"&amp;range=BB"&amp;MATCH(K96,FRG!AE:AE,0))</f>
        <v/>
      </c>
      <c r="AB96" s="242" t="str">
        <f>IFERROR(__xludf.DUMMYFUNCTION("IF(ISBLANK(K96),,SUBSTITUTE(IFERROR(JOIN("","",K96:Z96),JOIN("","",K96:Y96)),CHAR(10),""""))"),"")</f>
        <v/>
      </c>
      <c r="AC96" s="229" t="str">
        <f t="shared" si="1"/>
        <v/>
      </c>
    </row>
    <row r="97">
      <c r="K97" s="237"/>
      <c r="L97" s="238" t="str">
        <f t="shared" si="3"/>
        <v/>
      </c>
      <c r="M97" s="237"/>
      <c r="N97" s="238"/>
      <c r="O97" s="238" t="str">
        <f t="shared" si="4"/>
        <v/>
      </c>
      <c r="P97" s="238" t="str">
        <f t="shared" si="5"/>
        <v/>
      </c>
      <c r="Q97" s="238" t="str">
        <f t="shared" si="6"/>
        <v/>
      </c>
      <c r="R97" s="238" t="str">
        <f t="shared" si="7"/>
        <v/>
      </c>
      <c r="S97" s="238" t="str">
        <f t="shared" si="8"/>
        <v/>
      </c>
      <c r="T97" s="238"/>
      <c r="U97" s="237"/>
      <c r="V97" s="238"/>
      <c r="W97" s="238" t="str">
        <f t="shared" si="9"/>
        <v/>
      </c>
      <c r="X97" s="237" t="str">
        <f t="shared" ref="X97:Y97" si="89">IF(ISBLANK(H97),,""""&amp;H97&amp;"""")</f>
        <v/>
      </c>
      <c r="Y97" s="237" t="str">
        <f t="shared" si="89"/>
        <v/>
      </c>
      <c r="Z97" s="237" t="str">
        <f>IF(ISBLANK(K97),,Config!$C$3&amp;"&amp;range=BB"&amp;MATCH(K97,FRG!AE:AE,0))</f>
        <v/>
      </c>
      <c r="AB97" s="242" t="str">
        <f>IFERROR(__xludf.DUMMYFUNCTION("IF(ISBLANK(K97),,SUBSTITUTE(IFERROR(JOIN("","",K97:Z97),JOIN("","",K97:Y97)),CHAR(10),""""))"),"")</f>
        <v/>
      </c>
      <c r="AC97" s="229" t="str">
        <f t="shared" si="1"/>
        <v/>
      </c>
    </row>
    <row r="98">
      <c r="K98" s="237"/>
      <c r="L98" s="238" t="str">
        <f t="shared" si="3"/>
        <v/>
      </c>
      <c r="M98" s="237"/>
      <c r="N98" s="238"/>
      <c r="O98" s="238" t="str">
        <f t="shared" si="4"/>
        <v/>
      </c>
      <c r="P98" s="238" t="str">
        <f t="shared" si="5"/>
        <v/>
      </c>
      <c r="Q98" s="238" t="str">
        <f t="shared" si="6"/>
        <v/>
      </c>
      <c r="R98" s="238" t="str">
        <f t="shared" si="7"/>
        <v/>
      </c>
      <c r="S98" s="238" t="str">
        <f t="shared" si="8"/>
        <v/>
      </c>
      <c r="T98" s="238"/>
      <c r="U98" s="237"/>
      <c r="V98" s="238"/>
      <c r="W98" s="238" t="str">
        <f t="shared" si="9"/>
        <v/>
      </c>
      <c r="X98" s="237" t="str">
        <f t="shared" ref="X98:Y98" si="90">IF(ISBLANK(H98),,""""&amp;H98&amp;"""")</f>
        <v/>
      </c>
      <c r="Y98" s="237" t="str">
        <f t="shared" si="90"/>
        <v/>
      </c>
      <c r="Z98" s="237" t="str">
        <f>IF(ISBLANK(K98),,Config!$C$3&amp;"&amp;range=BB"&amp;MATCH(K98,FRG!AE:AE,0))</f>
        <v/>
      </c>
      <c r="AB98" s="242" t="str">
        <f>IFERROR(__xludf.DUMMYFUNCTION("IF(ISBLANK(K98),,SUBSTITUTE(IFERROR(JOIN("","",K98:Z98),JOIN("","",K98:Y98)),CHAR(10),""""))"),"")</f>
        <v/>
      </c>
      <c r="AC98" s="229" t="str">
        <f t="shared" si="1"/>
        <v/>
      </c>
    </row>
    <row r="99">
      <c r="K99" s="237"/>
      <c r="L99" s="238" t="str">
        <f t="shared" si="3"/>
        <v/>
      </c>
      <c r="M99" s="237"/>
      <c r="N99" s="238"/>
      <c r="O99" s="238" t="str">
        <f t="shared" si="4"/>
        <v/>
      </c>
      <c r="P99" s="238" t="str">
        <f t="shared" si="5"/>
        <v/>
      </c>
      <c r="Q99" s="238" t="str">
        <f t="shared" si="6"/>
        <v/>
      </c>
      <c r="R99" s="238" t="str">
        <f t="shared" si="7"/>
        <v/>
      </c>
      <c r="S99" s="238" t="str">
        <f t="shared" si="8"/>
        <v/>
      </c>
      <c r="T99" s="238"/>
      <c r="U99" s="237"/>
      <c r="V99" s="238"/>
      <c r="W99" s="238" t="str">
        <f t="shared" si="9"/>
        <v/>
      </c>
      <c r="X99" s="237" t="str">
        <f t="shared" ref="X99:Y99" si="91">IF(ISBLANK(H99),,""""&amp;H99&amp;"""")</f>
        <v/>
      </c>
      <c r="Y99" s="237" t="str">
        <f t="shared" si="91"/>
        <v/>
      </c>
      <c r="Z99" s="237" t="str">
        <f>IF(ISBLANK(K99),,Config!$C$3&amp;"&amp;range=BB"&amp;MATCH(K99,FRG!AE:AE,0))</f>
        <v/>
      </c>
      <c r="AB99" s="242" t="str">
        <f>IFERROR(__xludf.DUMMYFUNCTION("IF(ISBLANK(K99),,SUBSTITUTE(IFERROR(JOIN("","",K99:Z99),JOIN("","",K99:Y99)),CHAR(10),""""))"),"")</f>
        <v/>
      </c>
      <c r="AC99" s="229" t="str">
        <f t="shared" si="1"/>
        <v/>
      </c>
    </row>
    <row r="100">
      <c r="K100" s="237"/>
      <c r="L100" s="238" t="str">
        <f t="shared" si="3"/>
        <v/>
      </c>
      <c r="M100" s="237"/>
      <c r="N100" s="238"/>
      <c r="O100" s="238" t="str">
        <f t="shared" si="4"/>
        <v/>
      </c>
      <c r="P100" s="238" t="str">
        <f t="shared" si="5"/>
        <v/>
      </c>
      <c r="Q100" s="238" t="str">
        <f t="shared" si="6"/>
        <v/>
      </c>
      <c r="R100" s="238" t="str">
        <f t="shared" si="7"/>
        <v/>
      </c>
      <c r="S100" s="238" t="str">
        <f t="shared" si="8"/>
        <v/>
      </c>
      <c r="T100" s="238"/>
      <c r="U100" s="237"/>
      <c r="V100" s="238"/>
      <c r="W100" s="238" t="str">
        <f t="shared" si="9"/>
        <v/>
      </c>
      <c r="X100" s="237" t="str">
        <f t="shared" ref="X100:Y100" si="92">IF(ISBLANK(H100),,""""&amp;H100&amp;"""")</f>
        <v/>
      </c>
      <c r="Y100" s="237" t="str">
        <f t="shared" si="92"/>
        <v/>
      </c>
      <c r="Z100" s="237" t="str">
        <f>IF(ISBLANK(K100),,Config!$C$3&amp;"&amp;range=BB"&amp;MATCH(K100,FRG!AE:AE,0))</f>
        <v/>
      </c>
      <c r="AB100" s="242" t="str">
        <f>IFERROR(__xludf.DUMMYFUNCTION("IF(ISBLANK(K100),,SUBSTITUTE(IFERROR(JOIN("","",K100:Z100),JOIN("","",K100:Y100)),CHAR(10),""""))"),"")</f>
        <v/>
      </c>
      <c r="AC100" s="229" t="str">
        <f t="shared" si="1"/>
        <v/>
      </c>
    </row>
    <row r="101">
      <c r="K101" s="237"/>
      <c r="L101" s="238" t="str">
        <f t="shared" si="3"/>
        <v/>
      </c>
      <c r="M101" s="237"/>
      <c r="N101" s="238"/>
      <c r="O101" s="238" t="str">
        <f t="shared" si="4"/>
        <v/>
      </c>
      <c r="P101" s="238" t="str">
        <f t="shared" si="5"/>
        <v/>
      </c>
      <c r="Q101" s="238" t="str">
        <f t="shared" si="6"/>
        <v/>
      </c>
      <c r="R101" s="238" t="str">
        <f t="shared" si="7"/>
        <v/>
      </c>
      <c r="S101" s="238" t="str">
        <f t="shared" si="8"/>
        <v/>
      </c>
      <c r="T101" s="238"/>
      <c r="U101" s="237"/>
      <c r="V101" s="238"/>
      <c r="W101" s="238" t="str">
        <f t="shared" si="9"/>
        <v/>
      </c>
      <c r="X101" s="237" t="str">
        <f t="shared" ref="X101:Y101" si="93">IF(ISBLANK(H101),,""""&amp;H101&amp;"""")</f>
        <v/>
      </c>
      <c r="Y101" s="237" t="str">
        <f t="shared" si="93"/>
        <v/>
      </c>
      <c r="Z101" s="237" t="str">
        <f>IF(ISBLANK(K101),,Config!$C$3&amp;"&amp;range=BB"&amp;MATCH(K101,FRG!AE:AE,0))</f>
        <v/>
      </c>
      <c r="AB101" s="242" t="str">
        <f>IFERROR(__xludf.DUMMYFUNCTION("IF(ISBLANK(K101),,SUBSTITUTE(IFERROR(JOIN("","",K101:Z101),JOIN("","",K101:Y101)),CHAR(10),""""))"),"")</f>
        <v/>
      </c>
      <c r="AC101" s="229" t="str">
        <f t="shared" si="1"/>
        <v/>
      </c>
    </row>
    <row r="102">
      <c r="K102" s="237"/>
      <c r="L102" s="238" t="str">
        <f t="shared" si="3"/>
        <v/>
      </c>
      <c r="M102" s="237"/>
      <c r="N102" s="238"/>
      <c r="O102" s="238" t="str">
        <f t="shared" si="4"/>
        <v/>
      </c>
      <c r="P102" s="238" t="str">
        <f t="shared" si="5"/>
        <v/>
      </c>
      <c r="Q102" s="238" t="str">
        <f t="shared" si="6"/>
        <v/>
      </c>
      <c r="R102" s="238" t="str">
        <f t="shared" si="7"/>
        <v/>
      </c>
      <c r="S102" s="238" t="str">
        <f t="shared" si="8"/>
        <v/>
      </c>
      <c r="T102" s="238"/>
      <c r="U102" s="237"/>
      <c r="V102" s="238"/>
      <c r="W102" s="238" t="str">
        <f t="shared" si="9"/>
        <v/>
      </c>
      <c r="X102" s="237" t="str">
        <f t="shared" ref="X102:Y102" si="94">IF(ISBLANK(H102),,""""&amp;H102&amp;"""")</f>
        <v/>
      </c>
      <c r="Y102" s="237" t="str">
        <f t="shared" si="94"/>
        <v/>
      </c>
      <c r="Z102" s="237" t="str">
        <f>IF(ISBLANK(K102),,Config!$C$3&amp;"&amp;range=BB"&amp;MATCH(K102,FRG!AE:AE,0))</f>
        <v/>
      </c>
      <c r="AB102" s="242" t="str">
        <f>IFERROR(__xludf.DUMMYFUNCTION("IF(ISBLANK(K102),,SUBSTITUTE(IFERROR(JOIN("","",K102:Z102),JOIN("","",K102:Y102)),CHAR(10),""""))"),"")</f>
        <v/>
      </c>
      <c r="AC102" s="229" t="str">
        <f t="shared" si="1"/>
        <v/>
      </c>
    </row>
    <row r="103">
      <c r="K103" s="237"/>
      <c r="L103" s="238" t="str">
        <f t="shared" si="3"/>
        <v/>
      </c>
      <c r="M103" s="237"/>
      <c r="N103" s="238"/>
      <c r="O103" s="238" t="str">
        <f t="shared" si="4"/>
        <v/>
      </c>
      <c r="P103" s="238" t="str">
        <f t="shared" si="5"/>
        <v/>
      </c>
      <c r="Q103" s="238" t="str">
        <f t="shared" si="6"/>
        <v/>
      </c>
      <c r="R103" s="238" t="str">
        <f t="shared" si="7"/>
        <v/>
      </c>
      <c r="S103" s="238" t="str">
        <f t="shared" si="8"/>
        <v/>
      </c>
      <c r="T103" s="238"/>
      <c r="U103" s="237"/>
      <c r="V103" s="238"/>
      <c r="W103" s="238" t="str">
        <f t="shared" si="9"/>
        <v/>
      </c>
      <c r="X103" s="237" t="str">
        <f t="shared" ref="X103:Y103" si="95">IF(ISBLANK(H103),,""""&amp;H103&amp;"""")</f>
        <v/>
      </c>
      <c r="Y103" s="237" t="str">
        <f t="shared" si="95"/>
        <v/>
      </c>
      <c r="Z103" s="237" t="str">
        <f>IF(ISBLANK(K103),,Config!$C$3&amp;"&amp;range=BB"&amp;MATCH(K103,FRG!AE:AE,0))</f>
        <v/>
      </c>
      <c r="AB103" s="242" t="str">
        <f>IFERROR(__xludf.DUMMYFUNCTION("IF(ISBLANK(K103),,SUBSTITUTE(IFERROR(JOIN("","",K103:Z103),JOIN("","",K103:Y103)),CHAR(10),""""))"),"")</f>
        <v/>
      </c>
      <c r="AC103" s="229" t="str">
        <f t="shared" si="1"/>
        <v/>
      </c>
    </row>
    <row r="104">
      <c r="K104" s="237"/>
      <c r="L104" s="238" t="str">
        <f t="shared" si="3"/>
        <v/>
      </c>
      <c r="M104" s="237"/>
      <c r="N104" s="238"/>
      <c r="O104" s="238" t="str">
        <f t="shared" si="4"/>
        <v/>
      </c>
      <c r="P104" s="238" t="str">
        <f t="shared" si="5"/>
        <v/>
      </c>
      <c r="Q104" s="238" t="str">
        <f t="shared" si="6"/>
        <v/>
      </c>
      <c r="R104" s="238" t="str">
        <f t="shared" si="7"/>
        <v/>
      </c>
      <c r="S104" s="238" t="str">
        <f t="shared" si="8"/>
        <v/>
      </c>
      <c r="T104" s="238"/>
      <c r="U104" s="237"/>
      <c r="V104" s="238"/>
      <c r="W104" s="238" t="str">
        <f t="shared" si="9"/>
        <v/>
      </c>
      <c r="X104" s="237" t="str">
        <f t="shared" ref="X104:Y104" si="96">IF(ISBLANK(H104),,""""&amp;H104&amp;"""")</f>
        <v/>
      </c>
      <c r="Y104" s="237" t="str">
        <f t="shared" si="96"/>
        <v/>
      </c>
      <c r="Z104" s="237" t="str">
        <f>IF(ISBLANK(K104),,Config!$C$3&amp;"&amp;range=BB"&amp;MATCH(K104,FRG!AE:AE,0))</f>
        <v/>
      </c>
      <c r="AB104" s="242" t="str">
        <f>IFERROR(__xludf.DUMMYFUNCTION("IF(ISBLANK(K104),,SUBSTITUTE(IFERROR(JOIN("","",K104:Z104),JOIN("","",K104:Y104)),CHAR(10),""""))"),"")</f>
        <v/>
      </c>
      <c r="AC104" s="229" t="str">
        <f t="shared" si="1"/>
        <v/>
      </c>
    </row>
    <row r="105">
      <c r="K105" s="237"/>
      <c r="L105" s="238" t="str">
        <f t="shared" si="3"/>
        <v/>
      </c>
      <c r="M105" s="237"/>
      <c r="N105" s="238"/>
      <c r="O105" s="238" t="str">
        <f t="shared" si="4"/>
        <v/>
      </c>
      <c r="P105" s="238" t="str">
        <f t="shared" si="5"/>
        <v/>
      </c>
      <c r="Q105" s="238" t="str">
        <f t="shared" si="6"/>
        <v/>
      </c>
      <c r="R105" s="238" t="str">
        <f t="shared" si="7"/>
        <v/>
      </c>
      <c r="S105" s="238" t="str">
        <f t="shared" si="8"/>
        <v/>
      </c>
      <c r="T105" s="238"/>
      <c r="U105" s="237"/>
      <c r="V105" s="238"/>
      <c r="W105" s="238" t="str">
        <f t="shared" si="9"/>
        <v/>
      </c>
      <c r="X105" s="237" t="str">
        <f t="shared" ref="X105:Y105" si="97">IF(ISBLANK(H105),,""""&amp;H105&amp;"""")</f>
        <v/>
      </c>
      <c r="Y105" s="237" t="str">
        <f t="shared" si="97"/>
        <v/>
      </c>
      <c r="Z105" s="237" t="str">
        <f>IF(ISBLANK(K105),,Config!$C$3&amp;"&amp;range=BB"&amp;MATCH(K105,FRG!AE:AE,0))</f>
        <v/>
      </c>
      <c r="AB105" s="242" t="str">
        <f>IFERROR(__xludf.DUMMYFUNCTION("IF(ISBLANK(K105),,SUBSTITUTE(IFERROR(JOIN("","",K105:Z105),JOIN("","",K105:Y105)),CHAR(10),""""))"),"")</f>
        <v/>
      </c>
      <c r="AC105" s="229" t="str">
        <f t="shared" si="1"/>
        <v/>
      </c>
    </row>
    <row r="106">
      <c r="K106" s="237"/>
      <c r="L106" s="238" t="str">
        <f t="shared" si="3"/>
        <v/>
      </c>
      <c r="M106" s="237"/>
      <c r="N106" s="238"/>
      <c r="O106" s="238" t="str">
        <f t="shared" si="4"/>
        <v/>
      </c>
      <c r="P106" s="238" t="str">
        <f t="shared" si="5"/>
        <v/>
      </c>
      <c r="Q106" s="238" t="str">
        <f t="shared" si="6"/>
        <v/>
      </c>
      <c r="R106" s="238" t="str">
        <f t="shared" si="7"/>
        <v/>
      </c>
      <c r="S106" s="238" t="str">
        <f t="shared" si="8"/>
        <v/>
      </c>
      <c r="T106" s="238"/>
      <c r="U106" s="237"/>
      <c r="V106" s="238"/>
      <c r="W106" s="238" t="str">
        <f t="shared" si="9"/>
        <v/>
      </c>
      <c r="X106" s="237" t="str">
        <f t="shared" ref="X106:Y106" si="98">IF(ISBLANK(H106),,""""&amp;H106&amp;"""")</f>
        <v/>
      </c>
      <c r="Y106" s="237" t="str">
        <f t="shared" si="98"/>
        <v/>
      </c>
      <c r="Z106" s="237" t="str">
        <f>IF(ISBLANK(K106),,Config!$C$3&amp;"&amp;range=BB"&amp;MATCH(K106,FRG!AE:AE,0))</f>
        <v/>
      </c>
      <c r="AB106" s="242" t="str">
        <f>IFERROR(__xludf.DUMMYFUNCTION("IF(ISBLANK(K106),,SUBSTITUTE(IFERROR(JOIN("","",K106:Z106),JOIN("","",K106:Y106)),CHAR(10),""""))"),"")</f>
        <v/>
      </c>
      <c r="AC106" s="229" t="str">
        <f t="shared" si="1"/>
        <v/>
      </c>
    </row>
    <row r="107">
      <c r="K107" s="237"/>
      <c r="L107" s="238" t="str">
        <f t="shared" si="3"/>
        <v/>
      </c>
      <c r="M107" s="237"/>
      <c r="N107" s="238"/>
      <c r="O107" s="238" t="str">
        <f t="shared" si="4"/>
        <v/>
      </c>
      <c r="P107" s="238" t="str">
        <f t="shared" si="5"/>
        <v/>
      </c>
      <c r="Q107" s="238" t="str">
        <f t="shared" si="6"/>
        <v/>
      </c>
      <c r="R107" s="238" t="str">
        <f t="shared" si="7"/>
        <v/>
      </c>
      <c r="S107" s="238" t="str">
        <f t="shared" si="8"/>
        <v/>
      </c>
      <c r="T107" s="238"/>
      <c r="U107" s="237"/>
      <c r="V107" s="238"/>
      <c r="W107" s="238" t="str">
        <f t="shared" si="9"/>
        <v/>
      </c>
      <c r="X107" s="237" t="str">
        <f t="shared" ref="X107:Y107" si="99">IF(ISBLANK(H107),,""""&amp;H107&amp;"""")</f>
        <v/>
      </c>
      <c r="Y107" s="237" t="str">
        <f t="shared" si="99"/>
        <v/>
      </c>
      <c r="Z107" s="237" t="str">
        <f>IF(ISBLANK(K107),,Config!$C$3&amp;"&amp;range=BB"&amp;MATCH(K107,FRG!AE:AE,0))</f>
        <v/>
      </c>
      <c r="AB107" s="242" t="str">
        <f>IFERROR(__xludf.DUMMYFUNCTION("IF(ISBLANK(K107),,SUBSTITUTE(IFERROR(JOIN("","",K107:Z107),JOIN("","",K107:Y107)),CHAR(10),""""))"),"")</f>
        <v/>
      </c>
      <c r="AC107" s="229" t="str">
        <f t="shared" si="1"/>
        <v/>
      </c>
    </row>
    <row r="108">
      <c r="K108" s="237"/>
      <c r="L108" s="238" t="str">
        <f t="shared" si="3"/>
        <v/>
      </c>
      <c r="M108" s="237"/>
      <c r="N108" s="238"/>
      <c r="O108" s="238" t="str">
        <f t="shared" si="4"/>
        <v/>
      </c>
      <c r="P108" s="238" t="str">
        <f t="shared" si="5"/>
        <v/>
      </c>
      <c r="Q108" s="238" t="str">
        <f t="shared" si="6"/>
        <v/>
      </c>
      <c r="R108" s="238" t="str">
        <f t="shared" si="7"/>
        <v/>
      </c>
      <c r="S108" s="238" t="str">
        <f t="shared" si="8"/>
        <v/>
      </c>
      <c r="T108" s="238"/>
      <c r="U108" s="237"/>
      <c r="V108" s="238"/>
      <c r="W108" s="238" t="str">
        <f t="shared" si="9"/>
        <v/>
      </c>
      <c r="X108" s="237" t="str">
        <f t="shared" ref="X108:Y108" si="100">IF(ISBLANK(H108),,""""&amp;H108&amp;"""")</f>
        <v/>
      </c>
      <c r="Y108" s="237" t="str">
        <f t="shared" si="100"/>
        <v/>
      </c>
      <c r="Z108" s="237" t="str">
        <f>IF(ISBLANK(K108),,Config!$C$3&amp;"&amp;range=BB"&amp;MATCH(K108,FRG!AE:AE,0))</f>
        <v/>
      </c>
      <c r="AB108" s="242" t="str">
        <f>IFERROR(__xludf.DUMMYFUNCTION("IF(ISBLANK(K108),,SUBSTITUTE(IFERROR(JOIN("","",K108:Z108),JOIN("","",K108:Y108)),CHAR(10),""""))"),"")</f>
        <v/>
      </c>
      <c r="AC108" s="229" t="str">
        <f t="shared" si="1"/>
        <v/>
      </c>
    </row>
    <row r="109">
      <c r="K109" s="237"/>
      <c r="L109" s="238" t="str">
        <f t="shared" si="3"/>
        <v/>
      </c>
      <c r="M109" s="237"/>
      <c r="N109" s="238"/>
      <c r="O109" s="238" t="str">
        <f t="shared" si="4"/>
        <v/>
      </c>
      <c r="P109" s="238" t="str">
        <f t="shared" si="5"/>
        <v/>
      </c>
      <c r="Q109" s="238" t="str">
        <f t="shared" si="6"/>
        <v/>
      </c>
      <c r="R109" s="238" t="str">
        <f t="shared" si="7"/>
        <v/>
      </c>
      <c r="S109" s="238" t="str">
        <f t="shared" si="8"/>
        <v/>
      </c>
      <c r="T109" s="238"/>
      <c r="U109" s="237"/>
      <c r="V109" s="238"/>
      <c r="W109" s="238" t="str">
        <f t="shared" si="9"/>
        <v/>
      </c>
      <c r="X109" s="237" t="str">
        <f t="shared" ref="X109:Y109" si="101">IF(ISBLANK(H109),,""""&amp;H109&amp;"""")</f>
        <v/>
      </c>
      <c r="Y109" s="237" t="str">
        <f t="shared" si="101"/>
        <v/>
      </c>
      <c r="Z109" s="237" t="str">
        <f>IF(ISBLANK(K109),,Config!$C$3&amp;"&amp;range=BB"&amp;MATCH(K109,FRG!AE:AE,0))</f>
        <v/>
      </c>
      <c r="AB109" s="242" t="str">
        <f>IFERROR(__xludf.DUMMYFUNCTION("IF(ISBLANK(K109),,SUBSTITUTE(IFERROR(JOIN("","",K109:Z109),JOIN("","",K109:Y109)),CHAR(10),""""))"),"")</f>
        <v/>
      </c>
      <c r="AC109" s="229" t="str">
        <f t="shared" si="1"/>
        <v/>
      </c>
    </row>
    <row r="110">
      <c r="K110" s="237"/>
      <c r="L110" s="238" t="str">
        <f t="shared" si="3"/>
        <v/>
      </c>
      <c r="M110" s="237"/>
      <c r="N110" s="238"/>
      <c r="O110" s="238" t="str">
        <f t="shared" si="4"/>
        <v/>
      </c>
      <c r="P110" s="238" t="str">
        <f t="shared" si="5"/>
        <v/>
      </c>
      <c r="Q110" s="238" t="str">
        <f t="shared" si="6"/>
        <v/>
      </c>
      <c r="R110" s="238" t="str">
        <f t="shared" si="7"/>
        <v/>
      </c>
      <c r="S110" s="238" t="str">
        <f t="shared" si="8"/>
        <v/>
      </c>
      <c r="T110" s="238"/>
      <c r="U110" s="237"/>
      <c r="V110" s="238"/>
      <c r="W110" s="238" t="str">
        <f t="shared" si="9"/>
        <v/>
      </c>
      <c r="X110" s="237" t="str">
        <f t="shared" ref="X110:Y110" si="102">IF(ISBLANK(H110),,""""&amp;H110&amp;"""")</f>
        <v/>
      </c>
      <c r="Y110" s="237" t="str">
        <f t="shared" si="102"/>
        <v/>
      </c>
      <c r="Z110" s="237" t="str">
        <f>IF(ISBLANK(K110),,Config!$C$3&amp;"&amp;range=BB"&amp;MATCH(K110,FRG!AE:AE,0))</f>
        <v/>
      </c>
      <c r="AB110" s="242" t="str">
        <f>IFERROR(__xludf.DUMMYFUNCTION("IF(ISBLANK(K110),,SUBSTITUTE(IFERROR(JOIN("","",K110:Z110),JOIN("","",K110:Y110)),CHAR(10),""""))"),"")</f>
        <v/>
      </c>
      <c r="AC110" s="229" t="str">
        <f t="shared" si="1"/>
        <v/>
      </c>
    </row>
    <row r="111">
      <c r="K111" s="237"/>
      <c r="L111" s="238" t="str">
        <f t="shared" si="3"/>
        <v/>
      </c>
      <c r="M111" s="237"/>
      <c r="N111" s="238"/>
      <c r="O111" s="238" t="str">
        <f t="shared" si="4"/>
        <v/>
      </c>
      <c r="P111" s="238" t="str">
        <f t="shared" si="5"/>
        <v/>
      </c>
      <c r="Q111" s="238" t="str">
        <f t="shared" si="6"/>
        <v/>
      </c>
      <c r="R111" s="238" t="str">
        <f t="shared" si="7"/>
        <v/>
      </c>
      <c r="S111" s="238" t="str">
        <f t="shared" si="8"/>
        <v/>
      </c>
      <c r="T111" s="238"/>
      <c r="U111" s="237"/>
      <c r="V111" s="238"/>
      <c r="W111" s="238" t="str">
        <f t="shared" si="9"/>
        <v/>
      </c>
      <c r="X111" s="237" t="str">
        <f t="shared" ref="X111:Y111" si="103">IF(ISBLANK(H111),,""""&amp;H111&amp;"""")</f>
        <v/>
      </c>
      <c r="Y111" s="237" t="str">
        <f t="shared" si="103"/>
        <v/>
      </c>
      <c r="Z111" s="237" t="str">
        <f>IF(ISBLANK(K111),,Config!$C$3&amp;"&amp;range=BB"&amp;MATCH(K111,FRG!AE:AE,0))</f>
        <v/>
      </c>
      <c r="AB111" s="242" t="str">
        <f>IFERROR(__xludf.DUMMYFUNCTION("IF(ISBLANK(K111),,SUBSTITUTE(IFERROR(JOIN("","",K111:Z111),JOIN("","",K111:Y111)),CHAR(10),""""))"),"")</f>
        <v/>
      </c>
      <c r="AC111" s="229" t="str">
        <f t="shared" si="1"/>
        <v/>
      </c>
    </row>
    <row r="112">
      <c r="K112" s="237"/>
      <c r="L112" s="238" t="str">
        <f t="shared" si="3"/>
        <v/>
      </c>
      <c r="M112" s="237"/>
      <c r="N112" s="238"/>
      <c r="O112" s="238" t="str">
        <f t="shared" si="4"/>
        <v/>
      </c>
      <c r="P112" s="238" t="str">
        <f t="shared" si="5"/>
        <v/>
      </c>
      <c r="Q112" s="238" t="str">
        <f t="shared" si="6"/>
        <v/>
      </c>
      <c r="R112" s="238" t="str">
        <f t="shared" si="7"/>
        <v/>
      </c>
      <c r="S112" s="238" t="str">
        <f t="shared" si="8"/>
        <v/>
      </c>
      <c r="T112" s="238"/>
      <c r="U112" s="237"/>
      <c r="V112" s="238"/>
      <c r="W112" s="238" t="str">
        <f t="shared" si="9"/>
        <v/>
      </c>
      <c r="X112" s="237" t="str">
        <f t="shared" ref="X112:Y112" si="104">IF(ISBLANK(H112),,""""&amp;H112&amp;"""")</f>
        <v/>
      </c>
      <c r="Y112" s="237" t="str">
        <f t="shared" si="104"/>
        <v/>
      </c>
      <c r="Z112" s="237" t="str">
        <f>IF(ISBLANK(K112),,Config!$C$3&amp;"&amp;range=BB"&amp;MATCH(K112,FRG!AE:AE,0))</f>
        <v/>
      </c>
      <c r="AB112" s="242" t="str">
        <f>IFERROR(__xludf.DUMMYFUNCTION("IF(ISBLANK(K112),,SUBSTITUTE(IFERROR(JOIN("","",K112:Z112),JOIN("","",K112:Y112)),CHAR(10),""""))"),"")</f>
        <v/>
      </c>
      <c r="AC112" s="229" t="str">
        <f t="shared" si="1"/>
        <v/>
      </c>
    </row>
    <row r="113">
      <c r="K113" s="237"/>
      <c r="L113" s="238" t="str">
        <f t="shared" si="3"/>
        <v/>
      </c>
      <c r="M113" s="237"/>
      <c r="N113" s="238"/>
      <c r="O113" s="238" t="str">
        <f t="shared" si="4"/>
        <v/>
      </c>
      <c r="P113" s="238" t="str">
        <f t="shared" si="5"/>
        <v/>
      </c>
      <c r="Q113" s="238" t="str">
        <f t="shared" si="6"/>
        <v/>
      </c>
      <c r="R113" s="238" t="str">
        <f t="shared" si="7"/>
        <v/>
      </c>
      <c r="S113" s="238" t="str">
        <f t="shared" si="8"/>
        <v/>
      </c>
      <c r="T113" s="238"/>
      <c r="U113" s="237"/>
      <c r="V113" s="238"/>
      <c r="W113" s="238" t="str">
        <f t="shared" si="9"/>
        <v/>
      </c>
      <c r="X113" s="237" t="str">
        <f t="shared" ref="X113:Y113" si="105">IF(ISBLANK(H113),,""""&amp;H113&amp;"""")</f>
        <v/>
      </c>
      <c r="Y113" s="237" t="str">
        <f t="shared" si="105"/>
        <v/>
      </c>
      <c r="Z113" s="237" t="str">
        <f>IF(ISBLANK(K113),,Config!$C$3&amp;"&amp;range=BB"&amp;MATCH(K113,FRG!AE:AE,0))</f>
        <v/>
      </c>
      <c r="AB113" s="242" t="str">
        <f>IFERROR(__xludf.DUMMYFUNCTION("IF(ISBLANK(K113),,SUBSTITUTE(IFERROR(JOIN("","",K113:Z113),JOIN("","",K113:Y113)),CHAR(10),""""))"),"")</f>
        <v/>
      </c>
      <c r="AC113" s="229" t="str">
        <f t="shared" si="1"/>
        <v/>
      </c>
    </row>
    <row r="114">
      <c r="K114" s="237"/>
      <c r="L114" s="238" t="str">
        <f t="shared" si="3"/>
        <v/>
      </c>
      <c r="M114" s="237"/>
      <c r="N114" s="238"/>
      <c r="O114" s="238" t="str">
        <f t="shared" si="4"/>
        <v/>
      </c>
      <c r="P114" s="238" t="str">
        <f t="shared" si="5"/>
        <v/>
      </c>
      <c r="Q114" s="238" t="str">
        <f t="shared" si="6"/>
        <v/>
      </c>
      <c r="R114" s="238" t="str">
        <f t="shared" si="7"/>
        <v/>
      </c>
      <c r="S114" s="238" t="str">
        <f t="shared" si="8"/>
        <v/>
      </c>
      <c r="T114" s="238"/>
      <c r="U114" s="237"/>
      <c r="V114" s="238"/>
      <c r="W114" s="238" t="str">
        <f t="shared" si="9"/>
        <v/>
      </c>
      <c r="X114" s="237" t="str">
        <f t="shared" ref="X114:Y114" si="106">IF(ISBLANK(H114),,""""&amp;H114&amp;"""")</f>
        <v/>
      </c>
      <c r="Y114" s="237" t="str">
        <f t="shared" si="106"/>
        <v/>
      </c>
      <c r="Z114" s="237" t="str">
        <f>IF(ISBLANK(K114),,Config!$C$3&amp;"&amp;range=BB"&amp;MATCH(K114,FRG!AE:AE,0))</f>
        <v/>
      </c>
      <c r="AB114" s="242" t="str">
        <f>IFERROR(__xludf.DUMMYFUNCTION("IF(ISBLANK(K114),,SUBSTITUTE(IFERROR(JOIN("","",K114:Z114),JOIN("","",K114:Y114)),CHAR(10),""""))"),"")</f>
        <v/>
      </c>
      <c r="AC114" s="229" t="str">
        <f t="shared" si="1"/>
        <v/>
      </c>
    </row>
    <row r="115">
      <c r="K115" s="237"/>
      <c r="L115" s="238" t="str">
        <f t="shared" si="3"/>
        <v/>
      </c>
      <c r="M115" s="237"/>
      <c r="N115" s="238"/>
      <c r="O115" s="238" t="str">
        <f t="shared" si="4"/>
        <v/>
      </c>
      <c r="P115" s="238" t="str">
        <f t="shared" si="5"/>
        <v/>
      </c>
      <c r="Q115" s="238" t="str">
        <f t="shared" si="6"/>
        <v/>
      </c>
      <c r="R115" s="238" t="str">
        <f t="shared" si="7"/>
        <v/>
      </c>
      <c r="S115" s="238" t="str">
        <f t="shared" si="8"/>
        <v/>
      </c>
      <c r="T115" s="238"/>
      <c r="U115" s="237"/>
      <c r="V115" s="238"/>
      <c r="W115" s="238" t="str">
        <f t="shared" si="9"/>
        <v/>
      </c>
      <c r="X115" s="237" t="str">
        <f t="shared" ref="X115:Y115" si="107">IF(ISBLANK(H115),,""""&amp;H115&amp;"""")</f>
        <v/>
      </c>
      <c r="Y115" s="237" t="str">
        <f t="shared" si="107"/>
        <v/>
      </c>
      <c r="Z115" s="237" t="str">
        <f>IF(ISBLANK(K115),,Config!$C$3&amp;"&amp;range=BB"&amp;MATCH(K115,FRG!AE:AE,0))</f>
        <v/>
      </c>
      <c r="AB115" s="242" t="str">
        <f>IFERROR(__xludf.DUMMYFUNCTION("IF(ISBLANK(K115),,SUBSTITUTE(IFERROR(JOIN("","",K115:Z115),JOIN("","",K115:Y115)),CHAR(10),""""))"),"")</f>
        <v/>
      </c>
      <c r="AC115" s="229" t="str">
        <f t="shared" si="1"/>
        <v/>
      </c>
    </row>
    <row r="116">
      <c r="K116" s="237"/>
      <c r="L116" s="238" t="str">
        <f t="shared" si="3"/>
        <v/>
      </c>
      <c r="M116" s="237"/>
      <c r="N116" s="238"/>
      <c r="O116" s="238" t="str">
        <f t="shared" si="4"/>
        <v/>
      </c>
      <c r="P116" s="238" t="str">
        <f t="shared" si="5"/>
        <v/>
      </c>
      <c r="Q116" s="238" t="str">
        <f t="shared" si="6"/>
        <v/>
      </c>
      <c r="R116" s="238" t="str">
        <f t="shared" si="7"/>
        <v/>
      </c>
      <c r="S116" s="238" t="str">
        <f t="shared" si="8"/>
        <v/>
      </c>
      <c r="T116" s="238"/>
      <c r="U116" s="237"/>
      <c r="V116" s="238"/>
      <c r="W116" s="238" t="str">
        <f t="shared" si="9"/>
        <v/>
      </c>
      <c r="X116" s="237" t="str">
        <f t="shared" ref="X116:Y116" si="108">IF(ISBLANK(H116),,""""&amp;H116&amp;"""")</f>
        <v/>
      </c>
      <c r="Y116" s="237" t="str">
        <f t="shared" si="108"/>
        <v/>
      </c>
      <c r="Z116" s="237" t="str">
        <f>IF(ISBLANK(K116),,Config!$C$3&amp;"&amp;range=BB"&amp;MATCH(K116,FRG!AE:AE,0))</f>
        <v/>
      </c>
      <c r="AB116" s="242" t="str">
        <f>IFERROR(__xludf.DUMMYFUNCTION("IF(ISBLANK(K116),,SUBSTITUTE(IFERROR(JOIN("","",K116:Z116),JOIN("","",K116:Y116)),CHAR(10),""""))"),"")</f>
        <v/>
      </c>
      <c r="AC116" s="229" t="str">
        <f t="shared" si="1"/>
        <v/>
      </c>
    </row>
    <row r="117">
      <c r="K117" s="237"/>
      <c r="L117" s="238" t="str">
        <f t="shared" si="3"/>
        <v/>
      </c>
      <c r="M117" s="237"/>
      <c r="N117" s="238"/>
      <c r="O117" s="238" t="str">
        <f t="shared" si="4"/>
        <v/>
      </c>
      <c r="P117" s="238" t="str">
        <f t="shared" si="5"/>
        <v/>
      </c>
      <c r="Q117" s="238" t="str">
        <f t="shared" si="6"/>
        <v/>
      </c>
      <c r="R117" s="238" t="str">
        <f t="shared" si="7"/>
        <v/>
      </c>
      <c r="S117" s="238" t="str">
        <f t="shared" si="8"/>
        <v/>
      </c>
      <c r="T117" s="238"/>
      <c r="U117" s="237"/>
      <c r="V117" s="238"/>
      <c r="W117" s="238" t="str">
        <f t="shared" si="9"/>
        <v/>
      </c>
      <c r="X117" s="237" t="str">
        <f t="shared" ref="X117:Y117" si="109">IF(ISBLANK(H117),,""""&amp;H117&amp;"""")</f>
        <v/>
      </c>
      <c r="Y117" s="237" t="str">
        <f t="shared" si="109"/>
        <v/>
      </c>
      <c r="Z117" s="237" t="str">
        <f>IF(ISBLANK(K117),,Config!$C$3&amp;"&amp;range=BB"&amp;MATCH(K117,FRG!AE:AE,0))</f>
        <v/>
      </c>
      <c r="AB117" s="242" t="str">
        <f>IFERROR(__xludf.DUMMYFUNCTION("IF(ISBLANK(K117),,SUBSTITUTE(IFERROR(JOIN("","",K117:Z117),JOIN("","",K117:Y117)),CHAR(10),""""))"),"")</f>
        <v/>
      </c>
      <c r="AC117" s="229" t="str">
        <f t="shared" si="1"/>
        <v/>
      </c>
    </row>
    <row r="118">
      <c r="K118" s="237"/>
      <c r="L118" s="238" t="str">
        <f t="shared" si="3"/>
        <v/>
      </c>
      <c r="M118" s="237"/>
      <c r="N118" s="238"/>
      <c r="O118" s="238" t="str">
        <f t="shared" si="4"/>
        <v/>
      </c>
      <c r="P118" s="238" t="str">
        <f t="shared" si="5"/>
        <v/>
      </c>
      <c r="Q118" s="238" t="str">
        <f t="shared" si="6"/>
        <v/>
      </c>
      <c r="R118" s="238" t="str">
        <f t="shared" si="7"/>
        <v/>
      </c>
      <c r="S118" s="238" t="str">
        <f t="shared" si="8"/>
        <v/>
      </c>
      <c r="T118" s="238"/>
      <c r="U118" s="237"/>
      <c r="V118" s="238"/>
      <c r="W118" s="238" t="str">
        <f t="shared" si="9"/>
        <v/>
      </c>
      <c r="X118" s="237" t="str">
        <f t="shared" ref="X118:Y118" si="110">IF(ISBLANK(H118),,""""&amp;H118&amp;"""")</f>
        <v/>
      </c>
      <c r="Y118" s="237" t="str">
        <f t="shared" si="110"/>
        <v/>
      </c>
      <c r="Z118" s="237" t="str">
        <f>IF(ISBLANK(K118),,Config!$C$3&amp;"&amp;range=BB"&amp;MATCH(K118,FRG!AE:AE,0))</f>
        <v/>
      </c>
      <c r="AB118" s="242" t="str">
        <f>IFERROR(__xludf.DUMMYFUNCTION("IF(ISBLANK(K118),,SUBSTITUTE(IFERROR(JOIN("","",K118:Z118),JOIN("","",K118:Y118)),CHAR(10),""""))"),"")</f>
        <v/>
      </c>
      <c r="AC118" s="229" t="str">
        <f t="shared" si="1"/>
        <v/>
      </c>
    </row>
    <row r="119">
      <c r="K119" s="237"/>
      <c r="L119" s="238" t="str">
        <f t="shared" si="3"/>
        <v/>
      </c>
      <c r="M119" s="237"/>
      <c r="N119" s="238"/>
      <c r="O119" s="238" t="str">
        <f t="shared" si="4"/>
        <v/>
      </c>
      <c r="P119" s="238" t="str">
        <f t="shared" si="5"/>
        <v/>
      </c>
      <c r="Q119" s="238" t="str">
        <f t="shared" si="6"/>
        <v/>
      </c>
      <c r="R119" s="238" t="str">
        <f t="shared" si="7"/>
        <v/>
      </c>
      <c r="S119" s="238" t="str">
        <f t="shared" si="8"/>
        <v/>
      </c>
      <c r="T119" s="238"/>
      <c r="U119" s="237"/>
      <c r="V119" s="238"/>
      <c r="W119" s="238" t="str">
        <f t="shared" si="9"/>
        <v/>
      </c>
      <c r="X119" s="237" t="str">
        <f t="shared" ref="X119:Y119" si="111">IF(ISBLANK(H119),,""""&amp;H119&amp;"""")</f>
        <v/>
      </c>
      <c r="Y119" s="237" t="str">
        <f t="shared" si="111"/>
        <v/>
      </c>
      <c r="Z119" s="237" t="str">
        <f>IF(ISBLANK(K119),,Config!$C$3&amp;"&amp;range=BB"&amp;MATCH(K119,FRG!AE:AE,0))</f>
        <v/>
      </c>
      <c r="AB119" s="242" t="str">
        <f>IFERROR(__xludf.DUMMYFUNCTION("IF(ISBLANK(K119),,SUBSTITUTE(IFERROR(JOIN("","",K119:Z119),JOIN("","",K119:Y119)),CHAR(10),""""))"),"")</f>
        <v/>
      </c>
      <c r="AC119" s="229" t="str">
        <f t="shared" si="1"/>
        <v/>
      </c>
    </row>
    <row r="120">
      <c r="K120" s="237"/>
      <c r="L120" s="238" t="str">
        <f t="shared" si="3"/>
        <v/>
      </c>
      <c r="M120" s="237"/>
      <c r="N120" s="238"/>
      <c r="O120" s="238" t="str">
        <f t="shared" si="4"/>
        <v/>
      </c>
      <c r="P120" s="238" t="str">
        <f t="shared" si="5"/>
        <v/>
      </c>
      <c r="Q120" s="238" t="str">
        <f t="shared" si="6"/>
        <v/>
      </c>
      <c r="R120" s="238" t="str">
        <f t="shared" si="7"/>
        <v/>
      </c>
      <c r="S120" s="238" t="str">
        <f t="shared" si="8"/>
        <v/>
      </c>
      <c r="T120" s="238"/>
      <c r="U120" s="237"/>
      <c r="V120" s="238"/>
      <c r="W120" s="238" t="str">
        <f t="shared" si="9"/>
        <v/>
      </c>
      <c r="X120" s="237" t="str">
        <f t="shared" ref="X120:Y120" si="112">IF(ISBLANK(H120),,""""&amp;H120&amp;"""")</f>
        <v/>
      </c>
      <c r="Y120" s="237" t="str">
        <f t="shared" si="112"/>
        <v/>
      </c>
      <c r="Z120" s="237" t="str">
        <f>IF(ISBLANK(K120),,Config!$C$3&amp;"&amp;range=BB"&amp;MATCH(K120,FRG!AE:AE,0))</f>
        <v/>
      </c>
      <c r="AB120" s="242" t="str">
        <f>IFERROR(__xludf.DUMMYFUNCTION("IF(ISBLANK(K120),,SUBSTITUTE(IFERROR(JOIN("","",K120:Z120),JOIN("","",K120:Y120)),CHAR(10),""""))"),"")</f>
        <v/>
      </c>
      <c r="AC120" s="229" t="str">
        <f t="shared" si="1"/>
        <v/>
      </c>
    </row>
    <row r="121">
      <c r="K121" s="237"/>
      <c r="L121" s="238" t="str">
        <f t="shared" si="3"/>
        <v/>
      </c>
      <c r="M121" s="237"/>
      <c r="N121" s="238"/>
      <c r="O121" s="238" t="str">
        <f t="shared" si="4"/>
        <v/>
      </c>
      <c r="P121" s="238" t="str">
        <f t="shared" si="5"/>
        <v/>
      </c>
      <c r="Q121" s="238" t="str">
        <f t="shared" si="6"/>
        <v/>
      </c>
      <c r="R121" s="238" t="str">
        <f t="shared" si="7"/>
        <v/>
      </c>
      <c r="S121" s="238" t="str">
        <f t="shared" si="8"/>
        <v/>
      </c>
      <c r="T121" s="238"/>
      <c r="U121" s="237"/>
      <c r="V121" s="238"/>
      <c r="W121" s="238" t="str">
        <f t="shared" si="9"/>
        <v/>
      </c>
      <c r="X121" s="237" t="str">
        <f t="shared" ref="X121:Y121" si="113">IF(ISBLANK(H121),,""""&amp;H121&amp;"""")</f>
        <v/>
      </c>
      <c r="Y121" s="237" t="str">
        <f t="shared" si="113"/>
        <v/>
      </c>
      <c r="Z121" s="237" t="str">
        <f>IF(ISBLANK(K121),,Config!$C$3&amp;"&amp;range=BB"&amp;MATCH(K121,FRG!AE:AE,0))</f>
        <v/>
      </c>
      <c r="AB121" s="242" t="str">
        <f>IFERROR(__xludf.DUMMYFUNCTION("IF(ISBLANK(K121),,SUBSTITUTE(IFERROR(JOIN("","",K121:Z121),JOIN("","",K121:Y121)),CHAR(10),""""))"),"")</f>
        <v/>
      </c>
      <c r="AC121" s="229" t="str">
        <f t="shared" si="1"/>
        <v/>
      </c>
    </row>
    <row r="122">
      <c r="K122" s="237"/>
      <c r="L122" s="238" t="str">
        <f t="shared" si="3"/>
        <v/>
      </c>
      <c r="M122" s="237"/>
      <c r="N122" s="238"/>
      <c r="O122" s="238" t="str">
        <f t="shared" si="4"/>
        <v/>
      </c>
      <c r="P122" s="238" t="str">
        <f t="shared" si="5"/>
        <v/>
      </c>
      <c r="Q122" s="238" t="str">
        <f t="shared" si="6"/>
        <v/>
      </c>
      <c r="R122" s="238" t="str">
        <f t="shared" si="7"/>
        <v/>
      </c>
      <c r="S122" s="238" t="str">
        <f t="shared" si="8"/>
        <v/>
      </c>
      <c r="T122" s="238"/>
      <c r="U122" s="237"/>
      <c r="V122" s="238"/>
      <c r="W122" s="238" t="str">
        <f t="shared" si="9"/>
        <v/>
      </c>
      <c r="X122" s="237" t="str">
        <f t="shared" ref="X122:Y122" si="114">IF(ISBLANK(H122),,""""&amp;H122&amp;"""")</f>
        <v/>
      </c>
      <c r="Y122" s="237" t="str">
        <f t="shared" si="114"/>
        <v/>
      </c>
      <c r="Z122" s="237" t="str">
        <f>IF(ISBLANK(K122),,Config!$C$3&amp;"&amp;range=BB"&amp;MATCH(K122,FRG!AE:AE,0))</f>
        <v/>
      </c>
      <c r="AB122" s="242" t="str">
        <f>IFERROR(__xludf.DUMMYFUNCTION("IF(ISBLANK(K122),,SUBSTITUTE(IFERROR(JOIN("","",K122:Z122),JOIN("","",K122:Y122)),CHAR(10),""""))"),"")</f>
        <v/>
      </c>
      <c r="AC122" s="229" t="str">
        <f t="shared" si="1"/>
        <v/>
      </c>
    </row>
    <row r="123">
      <c r="K123" s="237"/>
      <c r="L123" s="238" t="str">
        <f t="shared" si="3"/>
        <v/>
      </c>
      <c r="M123" s="237"/>
      <c r="N123" s="238"/>
      <c r="O123" s="238" t="str">
        <f t="shared" si="4"/>
        <v/>
      </c>
      <c r="P123" s="238" t="str">
        <f t="shared" si="5"/>
        <v/>
      </c>
      <c r="Q123" s="238" t="str">
        <f t="shared" si="6"/>
        <v/>
      </c>
      <c r="R123" s="238" t="str">
        <f t="shared" si="7"/>
        <v/>
      </c>
      <c r="S123" s="238" t="str">
        <f t="shared" si="8"/>
        <v/>
      </c>
      <c r="T123" s="238"/>
      <c r="U123" s="237"/>
      <c r="V123" s="238"/>
      <c r="W123" s="238" t="str">
        <f t="shared" si="9"/>
        <v/>
      </c>
      <c r="X123" s="237" t="str">
        <f t="shared" ref="X123:Y123" si="115">IF(ISBLANK(H123),,""""&amp;H123&amp;"""")</f>
        <v/>
      </c>
      <c r="Y123" s="237" t="str">
        <f t="shared" si="115"/>
        <v/>
      </c>
      <c r="Z123" s="237" t="str">
        <f>IF(ISBLANK(K123),,Config!$C$3&amp;"&amp;range=BB"&amp;MATCH(K123,FRG!AE:AE,0))</f>
        <v/>
      </c>
      <c r="AB123" s="242" t="str">
        <f>IFERROR(__xludf.DUMMYFUNCTION("IF(ISBLANK(K123),,SUBSTITUTE(IFERROR(JOIN("","",K123:Z123),JOIN("","",K123:Y123)),CHAR(10),""""))"),"")</f>
        <v/>
      </c>
      <c r="AC123" s="229" t="str">
        <f t="shared" si="1"/>
        <v/>
      </c>
    </row>
    <row r="124">
      <c r="K124" s="237"/>
      <c r="L124" s="238" t="str">
        <f t="shared" si="3"/>
        <v/>
      </c>
      <c r="M124" s="237"/>
      <c r="N124" s="238"/>
      <c r="O124" s="238" t="str">
        <f t="shared" si="4"/>
        <v/>
      </c>
      <c r="P124" s="238" t="str">
        <f t="shared" si="5"/>
        <v/>
      </c>
      <c r="Q124" s="238" t="str">
        <f t="shared" si="6"/>
        <v/>
      </c>
      <c r="R124" s="238" t="str">
        <f t="shared" si="7"/>
        <v/>
      </c>
      <c r="S124" s="238" t="str">
        <f t="shared" si="8"/>
        <v/>
      </c>
      <c r="T124" s="238"/>
      <c r="U124" s="237"/>
      <c r="V124" s="238"/>
      <c r="W124" s="238" t="str">
        <f t="shared" si="9"/>
        <v/>
      </c>
      <c r="X124" s="237" t="str">
        <f t="shared" ref="X124:Y124" si="116">IF(ISBLANK(H124),,""""&amp;H124&amp;"""")</f>
        <v/>
      </c>
      <c r="Y124" s="237" t="str">
        <f t="shared" si="116"/>
        <v/>
      </c>
      <c r="Z124" s="237" t="str">
        <f>IF(ISBLANK(K124),,Config!$C$3&amp;"&amp;range=BB"&amp;MATCH(K124,FRG!AE:AE,0))</f>
        <v/>
      </c>
      <c r="AB124" s="242" t="str">
        <f>IFERROR(__xludf.DUMMYFUNCTION("IF(ISBLANK(K124),,SUBSTITUTE(IFERROR(JOIN("","",K124:Z124),JOIN("","",K124:Y124)),CHAR(10),""""))"),"")</f>
        <v/>
      </c>
      <c r="AC124" s="229" t="str">
        <f t="shared" si="1"/>
        <v/>
      </c>
    </row>
    <row r="125">
      <c r="K125" s="237"/>
      <c r="L125" s="238" t="str">
        <f t="shared" si="3"/>
        <v/>
      </c>
      <c r="M125" s="237"/>
      <c r="N125" s="238"/>
      <c r="O125" s="238" t="str">
        <f t="shared" si="4"/>
        <v/>
      </c>
      <c r="P125" s="238" t="str">
        <f t="shared" si="5"/>
        <v/>
      </c>
      <c r="Q125" s="238" t="str">
        <f t="shared" si="6"/>
        <v/>
      </c>
      <c r="R125" s="238" t="str">
        <f t="shared" si="7"/>
        <v/>
      </c>
      <c r="S125" s="238" t="str">
        <f t="shared" si="8"/>
        <v/>
      </c>
      <c r="T125" s="238"/>
      <c r="U125" s="237"/>
      <c r="V125" s="238"/>
      <c r="W125" s="238" t="str">
        <f t="shared" si="9"/>
        <v/>
      </c>
      <c r="X125" s="237" t="str">
        <f t="shared" ref="X125:Y125" si="117">IF(ISBLANK(H125),,""""&amp;H125&amp;"""")</f>
        <v/>
      </c>
      <c r="Y125" s="237" t="str">
        <f t="shared" si="117"/>
        <v/>
      </c>
      <c r="Z125" s="237" t="str">
        <f>IF(ISBLANK(K125),,Config!$C$3&amp;"&amp;range=BB"&amp;MATCH(K125,FRG!AE:AE,0))</f>
        <v/>
      </c>
      <c r="AB125" s="242" t="str">
        <f>IFERROR(__xludf.DUMMYFUNCTION("IF(ISBLANK(K125),,SUBSTITUTE(IFERROR(JOIN("","",K125:Z125),JOIN("","",K125:Y125)),CHAR(10),""""))"),"")</f>
        <v/>
      </c>
      <c r="AC125" s="229" t="str">
        <f t="shared" si="1"/>
        <v/>
      </c>
    </row>
    <row r="126">
      <c r="K126" s="237"/>
      <c r="L126" s="238" t="str">
        <f t="shared" si="3"/>
        <v/>
      </c>
      <c r="M126" s="237"/>
      <c r="N126" s="238"/>
      <c r="O126" s="238" t="str">
        <f t="shared" si="4"/>
        <v/>
      </c>
      <c r="P126" s="238" t="str">
        <f t="shared" si="5"/>
        <v/>
      </c>
      <c r="Q126" s="238" t="str">
        <f t="shared" si="6"/>
        <v/>
      </c>
      <c r="R126" s="238" t="str">
        <f t="shared" si="7"/>
        <v/>
      </c>
      <c r="S126" s="238" t="str">
        <f t="shared" si="8"/>
        <v/>
      </c>
      <c r="T126" s="238"/>
      <c r="U126" s="237"/>
      <c r="V126" s="238"/>
      <c r="W126" s="238" t="str">
        <f t="shared" si="9"/>
        <v/>
      </c>
      <c r="X126" s="237" t="str">
        <f t="shared" ref="X126:Y126" si="118">IF(ISBLANK(H126),,""""&amp;H126&amp;"""")</f>
        <v/>
      </c>
      <c r="Y126" s="237" t="str">
        <f t="shared" si="118"/>
        <v/>
      </c>
      <c r="Z126" s="237" t="str">
        <f>IF(ISBLANK(K126),,Config!$C$3&amp;"&amp;range=BB"&amp;MATCH(K126,FRG!AE:AE,0))</f>
        <v/>
      </c>
      <c r="AB126" s="242" t="str">
        <f>IFERROR(__xludf.DUMMYFUNCTION("IF(ISBLANK(K126),,SUBSTITUTE(IFERROR(JOIN("","",K126:Z126),JOIN("","",K126:Y126)),CHAR(10),""""))"),"")</f>
        <v/>
      </c>
      <c r="AC126" s="229" t="str">
        <f t="shared" si="1"/>
        <v/>
      </c>
    </row>
    <row r="127">
      <c r="K127" s="237"/>
      <c r="L127" s="238" t="str">
        <f t="shared" si="3"/>
        <v/>
      </c>
      <c r="M127" s="237"/>
      <c r="N127" s="238"/>
      <c r="O127" s="238" t="str">
        <f t="shared" si="4"/>
        <v/>
      </c>
      <c r="P127" s="238" t="str">
        <f t="shared" si="5"/>
        <v/>
      </c>
      <c r="Q127" s="238" t="str">
        <f t="shared" si="6"/>
        <v/>
      </c>
      <c r="R127" s="238" t="str">
        <f t="shared" si="7"/>
        <v/>
      </c>
      <c r="S127" s="238" t="str">
        <f t="shared" si="8"/>
        <v/>
      </c>
      <c r="T127" s="238"/>
      <c r="U127" s="237"/>
      <c r="V127" s="238"/>
      <c r="W127" s="238" t="str">
        <f t="shared" si="9"/>
        <v/>
      </c>
      <c r="X127" s="237" t="str">
        <f t="shared" ref="X127:Y127" si="119">IF(ISBLANK(H127),,""""&amp;H127&amp;"""")</f>
        <v/>
      </c>
      <c r="Y127" s="237" t="str">
        <f t="shared" si="119"/>
        <v/>
      </c>
      <c r="Z127" s="237" t="str">
        <f>IF(ISBLANK(K127),,Config!$C$3&amp;"&amp;range=BB"&amp;MATCH(K127,FRG!AE:AE,0))</f>
        <v/>
      </c>
      <c r="AB127" s="242" t="str">
        <f>IFERROR(__xludf.DUMMYFUNCTION("IF(ISBLANK(K127),,SUBSTITUTE(IFERROR(JOIN("","",K127:Z127),JOIN("","",K127:Y127)),CHAR(10),""""))"),"")</f>
        <v/>
      </c>
      <c r="AC127" s="229" t="str">
        <f t="shared" si="1"/>
        <v/>
      </c>
    </row>
    <row r="128">
      <c r="K128" s="237"/>
      <c r="L128" s="238" t="str">
        <f t="shared" si="3"/>
        <v/>
      </c>
      <c r="M128" s="237"/>
      <c r="N128" s="238"/>
      <c r="O128" s="238" t="str">
        <f t="shared" si="4"/>
        <v/>
      </c>
      <c r="P128" s="238" t="str">
        <f t="shared" si="5"/>
        <v/>
      </c>
      <c r="Q128" s="238" t="str">
        <f t="shared" si="6"/>
        <v/>
      </c>
      <c r="R128" s="238" t="str">
        <f t="shared" si="7"/>
        <v/>
      </c>
      <c r="S128" s="238" t="str">
        <f t="shared" si="8"/>
        <v/>
      </c>
      <c r="T128" s="238"/>
      <c r="U128" s="237"/>
      <c r="V128" s="238"/>
      <c r="W128" s="238" t="str">
        <f t="shared" si="9"/>
        <v/>
      </c>
      <c r="X128" s="237" t="str">
        <f t="shared" ref="X128:Y128" si="120">IF(ISBLANK(H128),,""""&amp;H128&amp;"""")</f>
        <v/>
      </c>
      <c r="Y128" s="237" t="str">
        <f t="shared" si="120"/>
        <v/>
      </c>
      <c r="Z128" s="237" t="str">
        <f>IF(ISBLANK(K128),,Config!$C$3&amp;"&amp;range=BB"&amp;MATCH(K128,FRG!AE:AE,0))</f>
        <v/>
      </c>
      <c r="AB128" s="242" t="str">
        <f>IFERROR(__xludf.DUMMYFUNCTION("IF(ISBLANK(K128),,SUBSTITUTE(IFERROR(JOIN("","",K128:Z128),JOIN("","",K128:Y128)),CHAR(10),""""))"),"")</f>
        <v/>
      </c>
      <c r="AC128" s="229" t="str">
        <f t="shared" si="1"/>
        <v/>
      </c>
    </row>
    <row r="129">
      <c r="K129" s="237"/>
      <c r="L129" s="238" t="str">
        <f t="shared" si="3"/>
        <v/>
      </c>
      <c r="M129" s="237"/>
      <c r="N129" s="238"/>
      <c r="O129" s="238" t="str">
        <f t="shared" si="4"/>
        <v/>
      </c>
      <c r="P129" s="238" t="str">
        <f t="shared" si="5"/>
        <v/>
      </c>
      <c r="Q129" s="238" t="str">
        <f t="shared" si="6"/>
        <v/>
      </c>
      <c r="R129" s="238" t="str">
        <f t="shared" si="7"/>
        <v/>
      </c>
      <c r="S129" s="238" t="str">
        <f t="shared" si="8"/>
        <v/>
      </c>
      <c r="T129" s="238"/>
      <c r="U129" s="237"/>
      <c r="V129" s="238"/>
      <c r="W129" s="238" t="str">
        <f t="shared" si="9"/>
        <v/>
      </c>
      <c r="X129" s="237" t="str">
        <f t="shared" ref="X129:Y129" si="121">IF(ISBLANK(H129),,""""&amp;H129&amp;"""")</f>
        <v/>
      </c>
      <c r="Y129" s="237" t="str">
        <f t="shared" si="121"/>
        <v/>
      </c>
      <c r="Z129" s="237" t="str">
        <f>IF(ISBLANK(K129),,Config!$C$3&amp;"&amp;range=BB"&amp;MATCH(K129,FRG!AE:AE,0))</f>
        <v/>
      </c>
      <c r="AB129" s="242" t="str">
        <f>IFERROR(__xludf.DUMMYFUNCTION("IF(ISBLANK(K129),,SUBSTITUTE(IFERROR(JOIN("","",K129:Z129),JOIN("","",K129:Y129)),CHAR(10),""""))"),"")</f>
        <v/>
      </c>
      <c r="AC129" s="229" t="str">
        <f t="shared" si="1"/>
        <v/>
      </c>
    </row>
    <row r="130">
      <c r="K130" s="237"/>
      <c r="L130" s="238" t="str">
        <f t="shared" si="3"/>
        <v/>
      </c>
      <c r="M130" s="237"/>
      <c r="N130" s="238"/>
      <c r="O130" s="238" t="str">
        <f t="shared" si="4"/>
        <v/>
      </c>
      <c r="P130" s="238" t="str">
        <f t="shared" si="5"/>
        <v/>
      </c>
      <c r="Q130" s="238" t="str">
        <f t="shared" si="6"/>
        <v/>
      </c>
      <c r="R130" s="238" t="str">
        <f t="shared" si="7"/>
        <v/>
      </c>
      <c r="S130" s="238" t="str">
        <f t="shared" si="8"/>
        <v/>
      </c>
      <c r="T130" s="238"/>
      <c r="U130" s="237"/>
      <c r="V130" s="238"/>
      <c r="W130" s="238" t="str">
        <f t="shared" si="9"/>
        <v/>
      </c>
      <c r="X130" s="237" t="str">
        <f t="shared" ref="X130:Y130" si="122">IF(ISBLANK(H130),,""""&amp;H130&amp;"""")</f>
        <v/>
      </c>
      <c r="Y130" s="237" t="str">
        <f t="shared" si="122"/>
        <v/>
      </c>
      <c r="Z130" s="237" t="str">
        <f>IF(ISBLANK(K130),,Config!$C$3&amp;"&amp;range=BB"&amp;MATCH(K130,FRG!AE:AE,0))</f>
        <v/>
      </c>
      <c r="AB130" s="242" t="str">
        <f>IFERROR(__xludf.DUMMYFUNCTION("IF(ISBLANK(K130),,SUBSTITUTE(IFERROR(JOIN("","",K130:Z130),JOIN("","",K130:Y130)),CHAR(10),""""))"),"")</f>
        <v/>
      </c>
      <c r="AC130" s="229" t="str">
        <f t="shared" si="1"/>
        <v/>
      </c>
    </row>
    <row r="131">
      <c r="K131" s="237"/>
      <c r="L131" s="238" t="str">
        <f t="shared" si="3"/>
        <v/>
      </c>
      <c r="M131" s="237"/>
      <c r="N131" s="238"/>
      <c r="O131" s="238" t="str">
        <f t="shared" si="4"/>
        <v/>
      </c>
      <c r="P131" s="238" t="str">
        <f t="shared" si="5"/>
        <v/>
      </c>
      <c r="Q131" s="238" t="str">
        <f t="shared" si="6"/>
        <v/>
      </c>
      <c r="R131" s="238" t="str">
        <f t="shared" si="7"/>
        <v/>
      </c>
      <c r="S131" s="238" t="str">
        <f t="shared" si="8"/>
        <v/>
      </c>
      <c r="T131" s="238"/>
      <c r="U131" s="237"/>
      <c r="V131" s="238"/>
      <c r="W131" s="238" t="str">
        <f t="shared" si="9"/>
        <v/>
      </c>
      <c r="X131" s="237" t="str">
        <f t="shared" ref="X131:Y131" si="123">IF(ISBLANK(H131),,""""&amp;H131&amp;"""")</f>
        <v/>
      </c>
      <c r="Y131" s="237" t="str">
        <f t="shared" si="123"/>
        <v/>
      </c>
      <c r="Z131" s="237" t="str">
        <f>IF(ISBLANK(K131),,Config!$C$3&amp;"&amp;range=BB"&amp;MATCH(K131,FRG!AE:AE,0))</f>
        <v/>
      </c>
      <c r="AB131" s="242" t="str">
        <f>IFERROR(__xludf.DUMMYFUNCTION("IF(ISBLANK(K131),,SUBSTITUTE(IFERROR(JOIN("","",K131:Z131),JOIN("","",K131:Y131)),CHAR(10),""""))"),"")</f>
        <v/>
      </c>
      <c r="AC131" s="229" t="str">
        <f t="shared" si="1"/>
        <v/>
      </c>
    </row>
    <row r="132">
      <c r="K132" s="237"/>
      <c r="L132" s="238" t="str">
        <f t="shared" si="3"/>
        <v/>
      </c>
      <c r="M132" s="237"/>
      <c r="N132" s="238"/>
      <c r="O132" s="238" t="str">
        <f t="shared" si="4"/>
        <v/>
      </c>
      <c r="P132" s="238" t="str">
        <f t="shared" si="5"/>
        <v/>
      </c>
      <c r="Q132" s="238" t="str">
        <f t="shared" si="6"/>
        <v/>
      </c>
      <c r="R132" s="238" t="str">
        <f t="shared" si="7"/>
        <v/>
      </c>
      <c r="S132" s="238" t="str">
        <f t="shared" si="8"/>
        <v/>
      </c>
      <c r="T132" s="238"/>
      <c r="U132" s="237"/>
      <c r="V132" s="238"/>
      <c r="W132" s="238" t="str">
        <f t="shared" si="9"/>
        <v/>
      </c>
      <c r="X132" s="237" t="str">
        <f t="shared" ref="X132:Y132" si="124">IF(ISBLANK(H132),,""""&amp;H132&amp;"""")</f>
        <v/>
      </c>
      <c r="Y132" s="237" t="str">
        <f t="shared" si="124"/>
        <v/>
      </c>
      <c r="Z132" s="237" t="str">
        <f>IF(ISBLANK(K132),,Config!$C$3&amp;"&amp;range=BB"&amp;MATCH(K132,FRG!AE:AE,0))</f>
        <v/>
      </c>
      <c r="AB132" s="242" t="str">
        <f>IFERROR(__xludf.DUMMYFUNCTION("IF(ISBLANK(K132),,SUBSTITUTE(IFERROR(JOIN("","",K132:Z132),JOIN("","",K132:Y132)),CHAR(10),""""))"),"")</f>
        <v/>
      </c>
      <c r="AC132" s="229" t="str">
        <f t="shared" si="1"/>
        <v/>
      </c>
    </row>
    <row r="133">
      <c r="K133" s="237"/>
      <c r="L133" s="238" t="str">
        <f t="shared" si="3"/>
        <v/>
      </c>
      <c r="M133" s="237"/>
      <c r="N133" s="238"/>
      <c r="O133" s="238" t="str">
        <f t="shared" si="4"/>
        <v/>
      </c>
      <c r="P133" s="238" t="str">
        <f t="shared" si="5"/>
        <v/>
      </c>
      <c r="Q133" s="238" t="str">
        <f t="shared" si="6"/>
        <v/>
      </c>
      <c r="R133" s="238" t="str">
        <f t="shared" si="7"/>
        <v/>
      </c>
      <c r="S133" s="238" t="str">
        <f t="shared" si="8"/>
        <v/>
      </c>
      <c r="T133" s="238"/>
      <c r="U133" s="237"/>
      <c r="V133" s="238"/>
      <c r="W133" s="238" t="str">
        <f t="shared" si="9"/>
        <v/>
      </c>
      <c r="X133" s="237" t="str">
        <f t="shared" ref="X133:Y133" si="125">IF(ISBLANK(H133),,""""&amp;H133&amp;"""")</f>
        <v/>
      </c>
      <c r="Y133" s="237" t="str">
        <f t="shared" si="125"/>
        <v/>
      </c>
      <c r="Z133" s="237" t="str">
        <f>IF(ISBLANK(K133),,Config!$C$3&amp;"&amp;range=BB"&amp;MATCH(K133,FRG!AE:AE,0))</f>
        <v/>
      </c>
      <c r="AB133" s="242" t="str">
        <f>IFERROR(__xludf.DUMMYFUNCTION("IF(ISBLANK(K133),,SUBSTITUTE(IFERROR(JOIN("","",K133:Z133),JOIN("","",K133:Y133)),CHAR(10),""""))"),"")</f>
        <v/>
      </c>
      <c r="AC133" s="229" t="str">
        <f t="shared" si="1"/>
        <v/>
      </c>
    </row>
    <row r="134">
      <c r="K134" s="237"/>
      <c r="L134" s="238" t="str">
        <f t="shared" si="3"/>
        <v/>
      </c>
      <c r="M134" s="237"/>
      <c r="N134" s="238"/>
      <c r="O134" s="238" t="str">
        <f t="shared" si="4"/>
        <v/>
      </c>
      <c r="P134" s="238" t="str">
        <f t="shared" si="5"/>
        <v/>
      </c>
      <c r="Q134" s="238" t="str">
        <f t="shared" si="6"/>
        <v/>
      </c>
      <c r="R134" s="238" t="str">
        <f t="shared" si="7"/>
        <v/>
      </c>
      <c r="S134" s="238" t="str">
        <f t="shared" si="8"/>
        <v/>
      </c>
      <c r="T134" s="238"/>
      <c r="U134" s="237"/>
      <c r="V134" s="238"/>
      <c r="W134" s="238" t="str">
        <f t="shared" si="9"/>
        <v/>
      </c>
      <c r="X134" s="237" t="str">
        <f t="shared" ref="X134:Y134" si="126">IF(ISBLANK(H134),,""""&amp;H134&amp;"""")</f>
        <v/>
      </c>
      <c r="Y134" s="237" t="str">
        <f t="shared" si="126"/>
        <v/>
      </c>
      <c r="Z134" s="237" t="str">
        <f>IF(ISBLANK(K134),,Config!$C$3&amp;"&amp;range=BB"&amp;MATCH(K134,FRG!AE:AE,0))</f>
        <v/>
      </c>
      <c r="AB134" s="242" t="str">
        <f>IFERROR(__xludf.DUMMYFUNCTION("IF(ISBLANK(K134),,SUBSTITUTE(IFERROR(JOIN("","",K134:Z134),JOIN("","",K134:Y134)),CHAR(10),""""))"),"")</f>
        <v/>
      </c>
      <c r="AC134" s="229" t="str">
        <f t="shared" si="1"/>
        <v/>
      </c>
    </row>
    <row r="135">
      <c r="K135" s="237"/>
      <c r="L135" s="238" t="str">
        <f t="shared" si="3"/>
        <v/>
      </c>
      <c r="M135" s="237"/>
      <c r="N135" s="238"/>
      <c r="O135" s="238" t="str">
        <f t="shared" si="4"/>
        <v/>
      </c>
      <c r="P135" s="238" t="str">
        <f t="shared" si="5"/>
        <v/>
      </c>
      <c r="Q135" s="238" t="str">
        <f t="shared" si="6"/>
        <v/>
      </c>
      <c r="R135" s="238" t="str">
        <f t="shared" si="7"/>
        <v/>
      </c>
      <c r="S135" s="238" t="str">
        <f t="shared" si="8"/>
        <v/>
      </c>
      <c r="T135" s="238"/>
      <c r="U135" s="237"/>
      <c r="V135" s="238"/>
      <c r="W135" s="238" t="str">
        <f t="shared" si="9"/>
        <v/>
      </c>
      <c r="X135" s="237" t="str">
        <f t="shared" ref="X135:Y135" si="127">IF(ISBLANK(H135),,""""&amp;H135&amp;"""")</f>
        <v/>
      </c>
      <c r="Y135" s="237" t="str">
        <f t="shared" si="127"/>
        <v/>
      </c>
      <c r="Z135" s="237" t="str">
        <f>IF(ISBLANK(K135),,Config!$C$3&amp;"&amp;range=BB"&amp;MATCH(K135,FRG!AE:AE,0))</f>
        <v/>
      </c>
      <c r="AB135" s="242" t="str">
        <f>IFERROR(__xludf.DUMMYFUNCTION("IF(ISBLANK(K135),,SUBSTITUTE(IFERROR(JOIN("","",K135:Z135),JOIN("","",K135:Y135)),CHAR(10),""""))"),"")</f>
        <v/>
      </c>
      <c r="AC135" s="229" t="str">
        <f t="shared" si="1"/>
        <v/>
      </c>
    </row>
    <row r="136">
      <c r="K136" s="237"/>
      <c r="L136" s="238" t="str">
        <f t="shared" si="3"/>
        <v/>
      </c>
      <c r="M136" s="237"/>
      <c r="N136" s="238"/>
      <c r="O136" s="238" t="str">
        <f t="shared" si="4"/>
        <v/>
      </c>
      <c r="P136" s="238" t="str">
        <f t="shared" si="5"/>
        <v/>
      </c>
      <c r="Q136" s="238" t="str">
        <f t="shared" si="6"/>
        <v/>
      </c>
      <c r="R136" s="238" t="str">
        <f t="shared" si="7"/>
        <v/>
      </c>
      <c r="S136" s="238" t="str">
        <f t="shared" si="8"/>
        <v/>
      </c>
      <c r="T136" s="238"/>
      <c r="U136" s="237"/>
      <c r="V136" s="238"/>
      <c r="W136" s="238" t="str">
        <f t="shared" si="9"/>
        <v/>
      </c>
      <c r="X136" s="237" t="str">
        <f t="shared" ref="X136:Y136" si="128">IF(ISBLANK(H136),,""""&amp;H136&amp;"""")</f>
        <v/>
      </c>
      <c r="Y136" s="237" t="str">
        <f t="shared" si="128"/>
        <v/>
      </c>
      <c r="Z136" s="237" t="str">
        <f>IF(ISBLANK(K136),,Config!$C$3&amp;"&amp;range=BB"&amp;MATCH(K136,FRG!AE:AE,0))</f>
        <v/>
      </c>
      <c r="AB136" s="242" t="str">
        <f>IFERROR(__xludf.DUMMYFUNCTION("IF(ISBLANK(K136),,SUBSTITUTE(IFERROR(JOIN("","",K136:Z136),JOIN("","",K136:Y136)),CHAR(10),""""))"),"")</f>
        <v/>
      </c>
      <c r="AC136" s="229" t="str">
        <f t="shared" si="1"/>
        <v/>
      </c>
    </row>
    <row r="137">
      <c r="K137" s="237"/>
      <c r="L137" s="238" t="str">
        <f t="shared" si="3"/>
        <v/>
      </c>
      <c r="M137" s="237"/>
      <c r="N137" s="238"/>
      <c r="O137" s="238" t="str">
        <f t="shared" si="4"/>
        <v/>
      </c>
      <c r="P137" s="238" t="str">
        <f t="shared" si="5"/>
        <v/>
      </c>
      <c r="Q137" s="238" t="str">
        <f t="shared" si="6"/>
        <v/>
      </c>
      <c r="R137" s="238" t="str">
        <f t="shared" si="7"/>
        <v/>
      </c>
      <c r="S137" s="238" t="str">
        <f t="shared" si="8"/>
        <v/>
      </c>
      <c r="T137" s="238"/>
      <c r="U137" s="237"/>
      <c r="V137" s="238"/>
      <c r="W137" s="238" t="str">
        <f t="shared" si="9"/>
        <v/>
      </c>
      <c r="X137" s="237" t="str">
        <f t="shared" ref="X137:Y137" si="129">IF(ISBLANK(H137),,""""&amp;H137&amp;"""")</f>
        <v/>
      </c>
      <c r="Y137" s="237" t="str">
        <f t="shared" si="129"/>
        <v/>
      </c>
      <c r="Z137" s="237" t="str">
        <f>IF(ISBLANK(K137),,Config!$C$3&amp;"&amp;range=BB"&amp;MATCH(K137,FRG!AE:AE,0))</f>
        <v/>
      </c>
      <c r="AB137" s="242" t="str">
        <f>IFERROR(__xludf.DUMMYFUNCTION("IF(ISBLANK(K137),,SUBSTITUTE(IFERROR(JOIN("","",K137:Z137),JOIN("","",K137:Y137)),CHAR(10),""""))"),"")</f>
        <v/>
      </c>
      <c r="AC137" s="229" t="str">
        <f t="shared" si="1"/>
        <v/>
      </c>
    </row>
    <row r="138">
      <c r="K138" s="237"/>
      <c r="L138" s="238" t="str">
        <f t="shared" si="3"/>
        <v/>
      </c>
      <c r="M138" s="237"/>
      <c r="N138" s="238"/>
      <c r="O138" s="238" t="str">
        <f t="shared" si="4"/>
        <v/>
      </c>
      <c r="P138" s="238" t="str">
        <f t="shared" si="5"/>
        <v/>
      </c>
      <c r="Q138" s="238" t="str">
        <f t="shared" si="6"/>
        <v/>
      </c>
      <c r="R138" s="238" t="str">
        <f t="shared" si="7"/>
        <v/>
      </c>
      <c r="S138" s="238" t="str">
        <f t="shared" si="8"/>
        <v/>
      </c>
      <c r="T138" s="238"/>
      <c r="U138" s="237"/>
      <c r="V138" s="238"/>
      <c r="W138" s="238" t="str">
        <f t="shared" si="9"/>
        <v/>
      </c>
      <c r="X138" s="237" t="str">
        <f t="shared" ref="X138:Y138" si="130">IF(ISBLANK(H138),,""""&amp;H138&amp;"""")</f>
        <v/>
      </c>
      <c r="Y138" s="237" t="str">
        <f t="shared" si="130"/>
        <v/>
      </c>
      <c r="Z138" s="237" t="str">
        <f>IF(ISBLANK(K138),,Config!$C$3&amp;"&amp;range=BB"&amp;MATCH(K138,FRG!AE:AE,0))</f>
        <v/>
      </c>
      <c r="AB138" s="242" t="str">
        <f>IFERROR(__xludf.DUMMYFUNCTION("IF(ISBLANK(K138),,SUBSTITUTE(IFERROR(JOIN("","",K138:Z138),JOIN("","",K138:Y138)),CHAR(10),""""))"),"")</f>
        <v/>
      </c>
      <c r="AC138" s="229" t="str">
        <f t="shared" si="1"/>
        <v/>
      </c>
    </row>
    <row r="139">
      <c r="K139" s="237"/>
      <c r="L139" s="238" t="str">
        <f t="shared" si="3"/>
        <v/>
      </c>
      <c r="M139" s="237"/>
      <c r="N139" s="238"/>
      <c r="O139" s="238" t="str">
        <f t="shared" si="4"/>
        <v/>
      </c>
      <c r="P139" s="238" t="str">
        <f t="shared" si="5"/>
        <v/>
      </c>
      <c r="Q139" s="238" t="str">
        <f t="shared" si="6"/>
        <v/>
      </c>
      <c r="R139" s="238" t="str">
        <f t="shared" si="7"/>
        <v/>
      </c>
      <c r="S139" s="238" t="str">
        <f t="shared" si="8"/>
        <v/>
      </c>
      <c r="T139" s="238"/>
      <c r="U139" s="237"/>
      <c r="V139" s="238"/>
      <c r="W139" s="238" t="str">
        <f t="shared" si="9"/>
        <v/>
      </c>
      <c r="X139" s="237" t="str">
        <f t="shared" ref="X139:Y139" si="131">IF(ISBLANK(H139),,""""&amp;H139&amp;"""")</f>
        <v/>
      </c>
      <c r="Y139" s="237" t="str">
        <f t="shared" si="131"/>
        <v/>
      </c>
      <c r="Z139" s="237" t="str">
        <f>IF(ISBLANK(K139),,Config!$C$3&amp;"&amp;range=BB"&amp;MATCH(K139,FRG!AE:AE,0))</f>
        <v/>
      </c>
      <c r="AB139" s="242" t="str">
        <f>IFERROR(__xludf.DUMMYFUNCTION("IF(ISBLANK(K139),,SUBSTITUTE(IFERROR(JOIN("","",K139:Z139),JOIN("","",K139:Y139)),CHAR(10),""""))"),"")</f>
        <v/>
      </c>
      <c r="AC139" s="229" t="str">
        <f t="shared" si="1"/>
        <v/>
      </c>
    </row>
    <row r="140">
      <c r="K140" s="237"/>
      <c r="L140" s="238" t="str">
        <f t="shared" si="3"/>
        <v/>
      </c>
      <c r="M140" s="237"/>
      <c r="N140" s="238"/>
      <c r="O140" s="238" t="str">
        <f t="shared" si="4"/>
        <v/>
      </c>
      <c r="P140" s="238" t="str">
        <f t="shared" si="5"/>
        <v/>
      </c>
      <c r="Q140" s="238" t="str">
        <f t="shared" si="6"/>
        <v/>
      </c>
      <c r="R140" s="238" t="str">
        <f t="shared" si="7"/>
        <v/>
      </c>
      <c r="S140" s="238" t="str">
        <f t="shared" si="8"/>
        <v/>
      </c>
      <c r="T140" s="238"/>
      <c r="U140" s="237"/>
      <c r="V140" s="238"/>
      <c r="W140" s="238" t="str">
        <f t="shared" si="9"/>
        <v/>
      </c>
      <c r="X140" s="237" t="str">
        <f t="shared" ref="X140:Y140" si="132">IF(ISBLANK(H140),,""""&amp;H140&amp;"""")</f>
        <v/>
      </c>
      <c r="Y140" s="237" t="str">
        <f t="shared" si="132"/>
        <v/>
      </c>
      <c r="Z140" s="237" t="str">
        <f>IF(ISBLANK(K140),,Config!$C$3&amp;"&amp;range=BB"&amp;MATCH(K140,FRG!AE:AE,0))</f>
        <v/>
      </c>
      <c r="AB140" s="242" t="str">
        <f>IFERROR(__xludf.DUMMYFUNCTION("IF(ISBLANK(K140),,SUBSTITUTE(IFERROR(JOIN("","",K140:Z140),JOIN("","",K140:Y140)),CHAR(10),""""))"),"")</f>
        <v/>
      </c>
      <c r="AC140" s="229" t="str">
        <f t="shared" si="1"/>
        <v/>
      </c>
    </row>
    <row r="141">
      <c r="K141" s="237"/>
      <c r="L141" s="238" t="str">
        <f t="shared" si="3"/>
        <v/>
      </c>
      <c r="M141" s="237"/>
      <c r="N141" s="238"/>
      <c r="O141" s="238" t="str">
        <f t="shared" si="4"/>
        <v/>
      </c>
      <c r="P141" s="238" t="str">
        <f t="shared" si="5"/>
        <v/>
      </c>
      <c r="Q141" s="238" t="str">
        <f t="shared" si="6"/>
        <v/>
      </c>
      <c r="R141" s="238" t="str">
        <f t="shared" si="7"/>
        <v/>
      </c>
      <c r="S141" s="238" t="str">
        <f t="shared" si="8"/>
        <v/>
      </c>
      <c r="T141" s="238"/>
      <c r="U141" s="237"/>
      <c r="V141" s="238"/>
      <c r="W141" s="238" t="str">
        <f t="shared" si="9"/>
        <v/>
      </c>
      <c r="X141" s="237" t="str">
        <f t="shared" ref="X141:Y141" si="133">IF(ISBLANK(H141),,""""&amp;H141&amp;"""")</f>
        <v/>
      </c>
      <c r="Y141" s="237" t="str">
        <f t="shared" si="133"/>
        <v/>
      </c>
      <c r="Z141" s="237" t="str">
        <f>IF(ISBLANK(K141),,Config!$C$3&amp;"&amp;range=BB"&amp;MATCH(K141,FRG!AE:AE,0))</f>
        <v/>
      </c>
      <c r="AB141" s="242" t="str">
        <f>IFERROR(__xludf.DUMMYFUNCTION("IF(ISBLANK(K141),,SUBSTITUTE(IFERROR(JOIN("","",K141:Z141),JOIN("","",K141:Y141)),CHAR(10),""""))"),"")</f>
        <v/>
      </c>
      <c r="AC141" s="229" t="str">
        <f t="shared" si="1"/>
        <v/>
      </c>
    </row>
    <row r="142">
      <c r="K142" s="237"/>
      <c r="L142" s="238" t="str">
        <f t="shared" si="3"/>
        <v/>
      </c>
      <c r="M142" s="237"/>
      <c r="N142" s="238"/>
      <c r="O142" s="238" t="str">
        <f t="shared" si="4"/>
        <v/>
      </c>
      <c r="P142" s="238" t="str">
        <f t="shared" si="5"/>
        <v/>
      </c>
      <c r="Q142" s="238" t="str">
        <f t="shared" si="6"/>
        <v/>
      </c>
      <c r="R142" s="238" t="str">
        <f t="shared" si="7"/>
        <v/>
      </c>
      <c r="S142" s="238" t="str">
        <f t="shared" si="8"/>
        <v/>
      </c>
      <c r="T142" s="238"/>
      <c r="U142" s="237"/>
      <c r="V142" s="238"/>
      <c r="W142" s="238" t="str">
        <f t="shared" si="9"/>
        <v/>
      </c>
      <c r="X142" s="237" t="str">
        <f t="shared" ref="X142:Y142" si="134">IF(ISBLANK(H142),,""""&amp;H142&amp;"""")</f>
        <v/>
      </c>
      <c r="Y142" s="237" t="str">
        <f t="shared" si="134"/>
        <v/>
      </c>
      <c r="Z142" s="237" t="str">
        <f>IF(ISBLANK(K142),,Config!$C$3&amp;"&amp;range=BB"&amp;MATCH(K142,FRG!AE:AE,0))</f>
        <v/>
      </c>
      <c r="AB142" s="242" t="str">
        <f>IFERROR(__xludf.DUMMYFUNCTION("IF(ISBLANK(K142),,SUBSTITUTE(IFERROR(JOIN("","",K142:Z142),JOIN("","",K142:Y142)),CHAR(10),""""))"),"")</f>
        <v/>
      </c>
      <c r="AC142" s="229" t="str">
        <f t="shared" si="1"/>
        <v/>
      </c>
    </row>
    <row r="143">
      <c r="K143" s="237"/>
      <c r="L143" s="238" t="str">
        <f t="shared" si="3"/>
        <v/>
      </c>
      <c r="M143" s="237"/>
      <c r="N143" s="238"/>
      <c r="O143" s="238" t="str">
        <f t="shared" si="4"/>
        <v/>
      </c>
      <c r="P143" s="238" t="str">
        <f t="shared" si="5"/>
        <v/>
      </c>
      <c r="Q143" s="238" t="str">
        <f t="shared" si="6"/>
        <v/>
      </c>
      <c r="R143" s="238" t="str">
        <f t="shared" si="7"/>
        <v/>
      </c>
      <c r="S143" s="238" t="str">
        <f t="shared" si="8"/>
        <v/>
      </c>
      <c r="T143" s="238"/>
      <c r="U143" s="237"/>
      <c r="V143" s="238"/>
      <c r="W143" s="238" t="str">
        <f t="shared" si="9"/>
        <v/>
      </c>
      <c r="X143" s="237" t="str">
        <f t="shared" ref="X143:Y143" si="135">IF(ISBLANK(H143),,""""&amp;H143&amp;"""")</f>
        <v/>
      </c>
      <c r="Y143" s="237" t="str">
        <f t="shared" si="135"/>
        <v/>
      </c>
      <c r="Z143" s="237" t="str">
        <f>IF(ISBLANK(K143),,Config!$C$3&amp;"&amp;range=BB"&amp;MATCH(K143,FRG!AE:AE,0))</f>
        <v/>
      </c>
      <c r="AB143" s="242" t="str">
        <f>IFERROR(__xludf.DUMMYFUNCTION("IF(ISBLANK(K143),,SUBSTITUTE(IFERROR(JOIN("","",K143:Z143),JOIN("","",K143:Y143)),CHAR(10),""""))"),"")</f>
        <v/>
      </c>
      <c r="AC143" s="229" t="str">
        <f t="shared" si="1"/>
        <v/>
      </c>
    </row>
    <row r="144">
      <c r="K144" s="237"/>
      <c r="L144" s="238" t="str">
        <f t="shared" si="3"/>
        <v/>
      </c>
      <c r="M144" s="237"/>
      <c r="N144" s="238"/>
      <c r="O144" s="238" t="str">
        <f t="shared" si="4"/>
        <v/>
      </c>
      <c r="P144" s="238" t="str">
        <f t="shared" si="5"/>
        <v/>
      </c>
      <c r="Q144" s="238" t="str">
        <f t="shared" si="6"/>
        <v/>
      </c>
      <c r="R144" s="238" t="str">
        <f t="shared" si="7"/>
        <v/>
      </c>
      <c r="S144" s="238" t="str">
        <f t="shared" si="8"/>
        <v/>
      </c>
      <c r="T144" s="238"/>
      <c r="U144" s="237"/>
      <c r="V144" s="238"/>
      <c r="W144" s="238" t="str">
        <f t="shared" si="9"/>
        <v/>
      </c>
      <c r="X144" s="237" t="str">
        <f t="shared" ref="X144:Y144" si="136">IF(ISBLANK(H144),,""""&amp;H144&amp;"""")</f>
        <v/>
      </c>
      <c r="Y144" s="237" t="str">
        <f t="shared" si="136"/>
        <v/>
      </c>
      <c r="Z144" s="237" t="str">
        <f>IF(ISBLANK(K144),,Config!$C$3&amp;"&amp;range=BB"&amp;MATCH(K144,FRG!AE:AE,0))</f>
        <v/>
      </c>
      <c r="AB144" s="242" t="str">
        <f>IFERROR(__xludf.DUMMYFUNCTION("IF(ISBLANK(K144),,SUBSTITUTE(IFERROR(JOIN("","",K144:Z144),JOIN("","",K144:Y144)),CHAR(10),""""))"),"")</f>
        <v/>
      </c>
      <c r="AC144" s="229" t="str">
        <f t="shared" si="1"/>
        <v/>
      </c>
    </row>
    <row r="145">
      <c r="K145" s="237"/>
      <c r="L145" s="238" t="str">
        <f t="shared" si="3"/>
        <v/>
      </c>
      <c r="M145" s="237"/>
      <c r="N145" s="238"/>
      <c r="O145" s="238" t="str">
        <f t="shared" si="4"/>
        <v/>
      </c>
      <c r="P145" s="238" t="str">
        <f t="shared" si="5"/>
        <v/>
      </c>
      <c r="Q145" s="238" t="str">
        <f t="shared" si="6"/>
        <v/>
      </c>
      <c r="R145" s="238" t="str">
        <f t="shared" si="7"/>
        <v/>
      </c>
      <c r="S145" s="238" t="str">
        <f t="shared" si="8"/>
        <v/>
      </c>
      <c r="T145" s="238"/>
      <c r="U145" s="237"/>
      <c r="V145" s="238"/>
      <c r="W145" s="238" t="str">
        <f t="shared" si="9"/>
        <v/>
      </c>
      <c r="X145" s="237" t="str">
        <f t="shared" ref="X145:Y145" si="137">IF(ISBLANK(H145),,""""&amp;H145&amp;"""")</f>
        <v/>
      </c>
      <c r="Y145" s="237" t="str">
        <f t="shared" si="137"/>
        <v/>
      </c>
      <c r="Z145" s="237" t="str">
        <f>IF(ISBLANK(K145),,Config!$C$3&amp;"&amp;range=BB"&amp;MATCH(K145,FRG!AE:AE,0))</f>
        <v/>
      </c>
      <c r="AB145" s="242" t="str">
        <f>IFERROR(__xludf.DUMMYFUNCTION("IF(ISBLANK(K145),,SUBSTITUTE(IFERROR(JOIN("","",K145:Z145),JOIN("","",K145:Y145)),CHAR(10),""""))"),"")</f>
        <v/>
      </c>
      <c r="AC145" s="229" t="str">
        <f t="shared" si="1"/>
        <v/>
      </c>
    </row>
    <row r="146">
      <c r="K146" s="237"/>
      <c r="L146" s="238" t="str">
        <f t="shared" si="3"/>
        <v/>
      </c>
      <c r="M146" s="237"/>
      <c r="N146" s="238"/>
      <c r="O146" s="238" t="str">
        <f t="shared" si="4"/>
        <v/>
      </c>
      <c r="P146" s="238" t="str">
        <f t="shared" si="5"/>
        <v/>
      </c>
      <c r="Q146" s="238" t="str">
        <f t="shared" si="6"/>
        <v/>
      </c>
      <c r="R146" s="238" t="str">
        <f t="shared" si="7"/>
        <v/>
      </c>
      <c r="S146" s="238" t="str">
        <f t="shared" si="8"/>
        <v/>
      </c>
      <c r="T146" s="238"/>
      <c r="U146" s="237"/>
      <c r="V146" s="238"/>
      <c r="W146" s="238" t="str">
        <f t="shared" si="9"/>
        <v/>
      </c>
      <c r="X146" s="237" t="str">
        <f t="shared" ref="X146:Y146" si="138">IF(ISBLANK(H146),,""""&amp;H146&amp;"""")</f>
        <v/>
      </c>
      <c r="Y146" s="237" t="str">
        <f t="shared" si="138"/>
        <v/>
      </c>
      <c r="Z146" s="237" t="str">
        <f>IF(ISBLANK(K146),,Config!$C$3&amp;"&amp;range=BB"&amp;MATCH(K146,FRG!AE:AE,0))</f>
        <v/>
      </c>
      <c r="AB146" s="242" t="str">
        <f>IFERROR(__xludf.DUMMYFUNCTION("IF(ISBLANK(K146),,SUBSTITUTE(IFERROR(JOIN("","",K146:Z146),JOIN("","",K146:Y146)),CHAR(10),""""))"),"")</f>
        <v/>
      </c>
      <c r="AC146" s="229" t="str">
        <f t="shared" si="1"/>
        <v/>
      </c>
    </row>
    <row r="147">
      <c r="K147" s="237"/>
      <c r="L147" s="238" t="str">
        <f t="shared" si="3"/>
        <v/>
      </c>
      <c r="M147" s="237"/>
      <c r="N147" s="238"/>
      <c r="O147" s="238" t="str">
        <f t="shared" si="4"/>
        <v/>
      </c>
      <c r="P147" s="238" t="str">
        <f t="shared" si="5"/>
        <v/>
      </c>
      <c r="Q147" s="238" t="str">
        <f t="shared" si="6"/>
        <v/>
      </c>
      <c r="R147" s="238" t="str">
        <f t="shared" si="7"/>
        <v/>
      </c>
      <c r="S147" s="238" t="str">
        <f t="shared" si="8"/>
        <v/>
      </c>
      <c r="T147" s="238"/>
      <c r="U147" s="237"/>
      <c r="V147" s="238"/>
      <c r="W147" s="238" t="str">
        <f t="shared" si="9"/>
        <v/>
      </c>
      <c r="X147" s="237" t="str">
        <f t="shared" ref="X147:Y147" si="139">IF(ISBLANK(H147),,""""&amp;H147&amp;"""")</f>
        <v/>
      </c>
      <c r="Y147" s="237" t="str">
        <f t="shared" si="139"/>
        <v/>
      </c>
      <c r="Z147" s="237" t="str">
        <f>IF(ISBLANK(K147),,Config!$C$3&amp;"&amp;range=BB"&amp;MATCH(K147,FRG!AE:AE,0))</f>
        <v/>
      </c>
      <c r="AB147" s="242" t="str">
        <f>IFERROR(__xludf.DUMMYFUNCTION("IF(ISBLANK(K147),,SUBSTITUTE(IFERROR(JOIN("","",K147:Z147),JOIN("","",K147:Y147)),CHAR(10),""""))"),"")</f>
        <v/>
      </c>
      <c r="AC147" s="229" t="str">
        <f t="shared" si="1"/>
        <v/>
      </c>
    </row>
    <row r="148">
      <c r="K148" s="237"/>
      <c r="L148" s="238" t="str">
        <f t="shared" si="3"/>
        <v/>
      </c>
      <c r="M148" s="237"/>
      <c r="N148" s="238"/>
      <c r="O148" s="238" t="str">
        <f t="shared" si="4"/>
        <v/>
      </c>
      <c r="P148" s="238" t="str">
        <f t="shared" si="5"/>
        <v/>
      </c>
      <c r="Q148" s="238" t="str">
        <f t="shared" si="6"/>
        <v/>
      </c>
      <c r="R148" s="238" t="str">
        <f t="shared" si="7"/>
        <v/>
      </c>
      <c r="S148" s="238" t="str">
        <f t="shared" si="8"/>
        <v/>
      </c>
      <c r="T148" s="238"/>
      <c r="U148" s="237"/>
      <c r="V148" s="238"/>
      <c r="W148" s="238" t="str">
        <f t="shared" si="9"/>
        <v/>
      </c>
      <c r="X148" s="237" t="str">
        <f t="shared" ref="X148:Y148" si="140">IF(ISBLANK(H148),,""""&amp;H148&amp;"""")</f>
        <v/>
      </c>
      <c r="Y148" s="237" t="str">
        <f t="shared" si="140"/>
        <v/>
      </c>
      <c r="Z148" s="237" t="str">
        <f>IF(ISBLANK(K148),,Config!$C$3&amp;"&amp;range=BB"&amp;MATCH(K148,FRG!AE:AE,0))</f>
        <v/>
      </c>
      <c r="AB148" s="242" t="str">
        <f>IFERROR(__xludf.DUMMYFUNCTION("IF(ISBLANK(K148),,SUBSTITUTE(IFERROR(JOIN("","",K148:Z148),JOIN("","",K148:Y148)),CHAR(10),""""))"),"")</f>
        <v/>
      </c>
      <c r="AC148" s="229" t="str">
        <f t="shared" si="1"/>
        <v/>
      </c>
    </row>
    <row r="149">
      <c r="K149" s="237"/>
      <c r="L149" s="238" t="str">
        <f t="shared" si="3"/>
        <v/>
      </c>
      <c r="M149" s="237"/>
      <c r="N149" s="238"/>
      <c r="O149" s="238" t="str">
        <f t="shared" si="4"/>
        <v/>
      </c>
      <c r="P149" s="238" t="str">
        <f t="shared" si="5"/>
        <v/>
      </c>
      <c r="Q149" s="238" t="str">
        <f t="shared" si="6"/>
        <v/>
      </c>
      <c r="R149" s="238" t="str">
        <f t="shared" si="7"/>
        <v/>
      </c>
      <c r="S149" s="238" t="str">
        <f t="shared" si="8"/>
        <v/>
      </c>
      <c r="T149" s="238"/>
      <c r="U149" s="237"/>
      <c r="V149" s="238"/>
      <c r="W149" s="238" t="str">
        <f t="shared" si="9"/>
        <v/>
      </c>
      <c r="X149" s="237" t="str">
        <f t="shared" ref="X149:Y149" si="141">IF(ISBLANK(H149),,""""&amp;H149&amp;"""")</f>
        <v/>
      </c>
      <c r="Y149" s="237" t="str">
        <f t="shared" si="141"/>
        <v/>
      </c>
      <c r="Z149" s="237" t="str">
        <f>IF(ISBLANK(K149),,Config!$C$3&amp;"&amp;range=BB"&amp;MATCH(K149,FRG!AE:AE,0))</f>
        <v/>
      </c>
      <c r="AB149" s="242" t="str">
        <f>IFERROR(__xludf.DUMMYFUNCTION("IF(ISBLANK(K149),,SUBSTITUTE(IFERROR(JOIN("","",K149:Z149),JOIN("","",K149:Y149)),CHAR(10),""""))"),"")</f>
        <v/>
      </c>
      <c r="AC149" s="229" t="str">
        <f t="shared" si="1"/>
        <v/>
      </c>
    </row>
    <row r="150">
      <c r="K150" s="237"/>
      <c r="L150" s="238" t="str">
        <f t="shared" si="3"/>
        <v/>
      </c>
      <c r="M150" s="237"/>
      <c r="N150" s="238"/>
      <c r="O150" s="238" t="str">
        <f t="shared" si="4"/>
        <v/>
      </c>
      <c r="P150" s="238" t="str">
        <f t="shared" si="5"/>
        <v/>
      </c>
      <c r="Q150" s="238" t="str">
        <f t="shared" si="6"/>
        <v/>
      </c>
      <c r="R150" s="238" t="str">
        <f t="shared" si="7"/>
        <v/>
      </c>
      <c r="S150" s="238" t="str">
        <f t="shared" si="8"/>
        <v/>
      </c>
      <c r="T150" s="238"/>
      <c r="U150" s="237"/>
      <c r="V150" s="238"/>
      <c r="W150" s="238" t="str">
        <f t="shared" si="9"/>
        <v/>
      </c>
      <c r="X150" s="237" t="str">
        <f t="shared" ref="X150:Y150" si="142">IF(ISBLANK(H150),,""""&amp;H150&amp;"""")</f>
        <v/>
      </c>
      <c r="Y150" s="237" t="str">
        <f t="shared" si="142"/>
        <v/>
      </c>
      <c r="Z150" s="237" t="str">
        <f>IF(ISBLANK(K150),,Config!$C$3&amp;"&amp;range=BB"&amp;MATCH(K150,FRG!AE:AE,0))</f>
        <v/>
      </c>
      <c r="AB150" s="242" t="str">
        <f>IFERROR(__xludf.DUMMYFUNCTION("IF(ISBLANK(K150),,SUBSTITUTE(IFERROR(JOIN("","",K150:Z150),JOIN("","",K150:Y150)),CHAR(10),""""))"),"")</f>
        <v/>
      </c>
      <c r="AC150" s="229" t="str">
        <f t="shared" si="1"/>
        <v/>
      </c>
    </row>
    <row r="151">
      <c r="K151" s="237"/>
      <c r="L151" s="238" t="str">
        <f t="shared" si="3"/>
        <v/>
      </c>
      <c r="M151" s="237"/>
      <c r="N151" s="238"/>
      <c r="O151" s="238" t="str">
        <f t="shared" si="4"/>
        <v/>
      </c>
      <c r="P151" s="238" t="str">
        <f t="shared" si="5"/>
        <v/>
      </c>
      <c r="Q151" s="238" t="str">
        <f t="shared" si="6"/>
        <v/>
      </c>
      <c r="R151" s="238" t="str">
        <f t="shared" si="7"/>
        <v/>
      </c>
      <c r="S151" s="238" t="str">
        <f t="shared" si="8"/>
        <v/>
      </c>
      <c r="T151" s="238"/>
      <c r="U151" s="237"/>
      <c r="V151" s="238"/>
      <c r="W151" s="238" t="str">
        <f t="shared" si="9"/>
        <v/>
      </c>
      <c r="X151" s="237" t="str">
        <f t="shared" ref="X151:Y151" si="143">IF(ISBLANK(H151),,""""&amp;H151&amp;"""")</f>
        <v/>
      </c>
      <c r="Y151" s="237" t="str">
        <f t="shared" si="143"/>
        <v/>
      </c>
      <c r="Z151" s="237" t="str">
        <f>IF(ISBLANK(K151),,Config!$C$3&amp;"&amp;range=BB"&amp;MATCH(K151,FRG!AE:AE,0))</f>
        <v/>
      </c>
      <c r="AB151" s="242" t="str">
        <f>IFERROR(__xludf.DUMMYFUNCTION("IF(ISBLANK(K151),,SUBSTITUTE(IFERROR(JOIN("","",K151:Z151),JOIN("","",K151:Y151)),CHAR(10),""""))"),"")</f>
        <v/>
      </c>
      <c r="AC151" s="229" t="str">
        <f t="shared" si="1"/>
        <v/>
      </c>
    </row>
    <row r="152">
      <c r="K152" s="237"/>
      <c r="L152" s="238" t="str">
        <f t="shared" si="3"/>
        <v/>
      </c>
      <c r="M152" s="237"/>
      <c r="N152" s="238"/>
      <c r="O152" s="238" t="str">
        <f t="shared" si="4"/>
        <v/>
      </c>
      <c r="P152" s="238" t="str">
        <f t="shared" si="5"/>
        <v/>
      </c>
      <c r="Q152" s="238" t="str">
        <f t="shared" si="6"/>
        <v/>
      </c>
      <c r="R152" s="238" t="str">
        <f t="shared" si="7"/>
        <v/>
      </c>
      <c r="S152" s="238" t="str">
        <f t="shared" si="8"/>
        <v/>
      </c>
      <c r="T152" s="238"/>
      <c r="U152" s="237"/>
      <c r="V152" s="238"/>
      <c r="W152" s="238" t="str">
        <f t="shared" si="9"/>
        <v/>
      </c>
      <c r="X152" s="237" t="str">
        <f t="shared" ref="X152:Y152" si="144">IF(ISBLANK(H152),,""""&amp;H152&amp;"""")</f>
        <v/>
      </c>
      <c r="Y152" s="237" t="str">
        <f t="shared" si="144"/>
        <v/>
      </c>
      <c r="Z152" s="237" t="str">
        <f>IF(ISBLANK(K152),,Config!$C$3&amp;"&amp;range=BB"&amp;MATCH(K152,FRG!AE:AE,0))</f>
        <v/>
      </c>
      <c r="AB152" s="242" t="str">
        <f>IFERROR(__xludf.DUMMYFUNCTION("IF(ISBLANK(K152),,SUBSTITUTE(IFERROR(JOIN("","",K152:Z152),JOIN("","",K152:Y152)),CHAR(10),""""))"),"")</f>
        <v/>
      </c>
      <c r="AC152" s="229" t="str">
        <f t="shared" si="1"/>
        <v/>
      </c>
    </row>
    <row r="153">
      <c r="K153" s="237"/>
      <c r="L153" s="238" t="str">
        <f t="shared" si="3"/>
        <v/>
      </c>
      <c r="M153" s="237"/>
      <c r="N153" s="238"/>
      <c r="O153" s="238" t="str">
        <f t="shared" si="4"/>
        <v/>
      </c>
      <c r="P153" s="238" t="str">
        <f t="shared" si="5"/>
        <v/>
      </c>
      <c r="Q153" s="238" t="str">
        <f t="shared" si="6"/>
        <v/>
      </c>
      <c r="R153" s="238" t="str">
        <f t="shared" si="7"/>
        <v/>
      </c>
      <c r="S153" s="238" t="str">
        <f t="shared" si="8"/>
        <v/>
      </c>
      <c r="T153" s="238"/>
      <c r="U153" s="237"/>
      <c r="V153" s="238"/>
      <c r="W153" s="238" t="str">
        <f t="shared" si="9"/>
        <v/>
      </c>
      <c r="X153" s="237" t="str">
        <f t="shared" ref="X153:Y153" si="145">IF(ISBLANK(H153),,""""&amp;H153&amp;"""")</f>
        <v/>
      </c>
      <c r="Y153" s="237" t="str">
        <f t="shared" si="145"/>
        <v/>
      </c>
      <c r="Z153" s="237" t="str">
        <f>IF(ISBLANK(K153),,Config!$C$3&amp;"&amp;range=BB"&amp;MATCH(K153,FRG!AE:AE,0))</f>
        <v/>
      </c>
      <c r="AB153" s="242" t="str">
        <f>IFERROR(__xludf.DUMMYFUNCTION("IF(ISBLANK(K153),,SUBSTITUTE(IFERROR(JOIN("","",K153:Z153),JOIN("","",K153:Y153)),CHAR(10),""""))"),"")</f>
        <v/>
      </c>
      <c r="AC153" s="229" t="str">
        <f t="shared" si="1"/>
        <v/>
      </c>
    </row>
    <row r="154">
      <c r="K154" s="237"/>
      <c r="L154" s="238" t="str">
        <f t="shared" si="3"/>
        <v/>
      </c>
      <c r="M154" s="237"/>
      <c r="N154" s="238"/>
      <c r="O154" s="238" t="str">
        <f t="shared" si="4"/>
        <v/>
      </c>
      <c r="P154" s="238" t="str">
        <f t="shared" si="5"/>
        <v/>
      </c>
      <c r="Q154" s="238" t="str">
        <f t="shared" si="6"/>
        <v/>
      </c>
      <c r="R154" s="238" t="str">
        <f t="shared" si="7"/>
        <v/>
      </c>
      <c r="S154" s="238" t="str">
        <f t="shared" si="8"/>
        <v/>
      </c>
      <c r="T154" s="238"/>
      <c r="U154" s="237"/>
      <c r="V154" s="238"/>
      <c r="W154" s="238" t="str">
        <f t="shared" si="9"/>
        <v/>
      </c>
      <c r="X154" s="237" t="str">
        <f t="shared" ref="X154:Y154" si="146">IF(ISBLANK(H154),,""""&amp;H154&amp;"""")</f>
        <v/>
      </c>
      <c r="Y154" s="237" t="str">
        <f t="shared" si="146"/>
        <v/>
      </c>
      <c r="Z154" s="237" t="str">
        <f>IF(ISBLANK(K154),,Config!$C$3&amp;"&amp;range=BB"&amp;MATCH(K154,FRG!AE:AE,0))</f>
        <v/>
      </c>
      <c r="AB154" s="242" t="str">
        <f>IFERROR(__xludf.DUMMYFUNCTION("IF(ISBLANK(K154),,SUBSTITUTE(IFERROR(JOIN("","",K154:Z154),JOIN("","",K154:Y154)),CHAR(10),""""))"),"")</f>
        <v/>
      </c>
      <c r="AC154" s="229" t="str">
        <f t="shared" si="1"/>
        <v/>
      </c>
    </row>
    <row r="155">
      <c r="K155" s="237"/>
      <c r="L155" s="238" t="str">
        <f t="shared" si="3"/>
        <v/>
      </c>
      <c r="M155" s="237"/>
      <c r="N155" s="238"/>
      <c r="O155" s="238" t="str">
        <f t="shared" si="4"/>
        <v/>
      </c>
      <c r="P155" s="238" t="str">
        <f t="shared" si="5"/>
        <v/>
      </c>
      <c r="Q155" s="238" t="str">
        <f t="shared" si="6"/>
        <v/>
      </c>
      <c r="R155" s="238" t="str">
        <f t="shared" si="7"/>
        <v/>
      </c>
      <c r="S155" s="238" t="str">
        <f t="shared" si="8"/>
        <v/>
      </c>
      <c r="T155" s="238"/>
      <c r="U155" s="237"/>
      <c r="V155" s="238"/>
      <c r="W155" s="238" t="str">
        <f t="shared" si="9"/>
        <v/>
      </c>
      <c r="X155" s="237" t="str">
        <f t="shared" ref="X155:Y155" si="147">IF(ISBLANK(H155),,""""&amp;H155&amp;"""")</f>
        <v/>
      </c>
      <c r="Y155" s="237" t="str">
        <f t="shared" si="147"/>
        <v/>
      </c>
      <c r="Z155" s="237" t="str">
        <f>IF(ISBLANK(K155),,Config!$C$3&amp;"&amp;range=BB"&amp;MATCH(K155,FRG!AE:AE,0))</f>
        <v/>
      </c>
      <c r="AB155" s="242" t="str">
        <f>IFERROR(__xludf.DUMMYFUNCTION("IF(ISBLANK(K155),,SUBSTITUTE(IFERROR(JOIN("","",K155:Z155),JOIN("","",K155:Y155)),CHAR(10),""""))"),"")</f>
        <v/>
      </c>
      <c r="AC155" s="229" t="str">
        <f t="shared" si="1"/>
        <v/>
      </c>
    </row>
    <row r="156">
      <c r="K156" s="237"/>
      <c r="L156" s="238" t="str">
        <f t="shared" si="3"/>
        <v/>
      </c>
      <c r="M156" s="237"/>
      <c r="N156" s="238"/>
      <c r="O156" s="238" t="str">
        <f t="shared" si="4"/>
        <v/>
      </c>
      <c r="P156" s="238" t="str">
        <f t="shared" si="5"/>
        <v/>
      </c>
      <c r="Q156" s="238" t="str">
        <f t="shared" si="6"/>
        <v/>
      </c>
      <c r="R156" s="238" t="str">
        <f t="shared" si="7"/>
        <v/>
      </c>
      <c r="S156" s="238" t="str">
        <f t="shared" si="8"/>
        <v/>
      </c>
      <c r="T156" s="238"/>
      <c r="U156" s="237"/>
      <c r="V156" s="238"/>
      <c r="W156" s="238" t="str">
        <f t="shared" si="9"/>
        <v/>
      </c>
      <c r="X156" s="237" t="str">
        <f t="shared" ref="X156:Y156" si="148">IF(ISBLANK(H156),,""""&amp;H156&amp;"""")</f>
        <v/>
      </c>
      <c r="Y156" s="237" t="str">
        <f t="shared" si="148"/>
        <v/>
      </c>
      <c r="Z156" s="237" t="str">
        <f>IF(ISBLANK(K156),,Config!$C$3&amp;"&amp;range=BB"&amp;MATCH(K156,FRG!AE:AE,0))</f>
        <v/>
      </c>
      <c r="AB156" s="242" t="str">
        <f>IFERROR(__xludf.DUMMYFUNCTION("IF(ISBLANK(K156),,SUBSTITUTE(IFERROR(JOIN("","",K156:Z156),JOIN("","",K156:Y156)),CHAR(10),""""))"),"")</f>
        <v/>
      </c>
      <c r="AC156" s="229" t="str">
        <f t="shared" si="1"/>
        <v/>
      </c>
    </row>
    <row r="157">
      <c r="K157" s="237"/>
      <c r="L157" s="238" t="str">
        <f t="shared" si="3"/>
        <v/>
      </c>
      <c r="M157" s="237"/>
      <c r="N157" s="238"/>
      <c r="O157" s="238" t="str">
        <f t="shared" si="4"/>
        <v/>
      </c>
      <c r="P157" s="238" t="str">
        <f t="shared" si="5"/>
        <v/>
      </c>
      <c r="Q157" s="238" t="str">
        <f t="shared" si="6"/>
        <v/>
      </c>
      <c r="R157" s="238" t="str">
        <f t="shared" si="7"/>
        <v/>
      </c>
      <c r="S157" s="238" t="str">
        <f t="shared" si="8"/>
        <v/>
      </c>
      <c r="T157" s="238"/>
      <c r="U157" s="237"/>
      <c r="V157" s="238"/>
      <c r="W157" s="238" t="str">
        <f t="shared" si="9"/>
        <v/>
      </c>
      <c r="X157" s="237" t="str">
        <f t="shared" ref="X157:Y157" si="149">IF(ISBLANK(H157),,""""&amp;H157&amp;"""")</f>
        <v/>
      </c>
      <c r="Y157" s="237" t="str">
        <f t="shared" si="149"/>
        <v/>
      </c>
      <c r="Z157" s="237" t="str">
        <f>IF(ISBLANK(K157),,Config!$C$3&amp;"&amp;range=BB"&amp;MATCH(K157,FRG!AE:AE,0))</f>
        <v/>
      </c>
      <c r="AB157" s="242" t="str">
        <f>IFERROR(__xludf.DUMMYFUNCTION("IF(ISBLANK(K157),,SUBSTITUTE(IFERROR(JOIN("","",K157:Z157),JOIN("","",K157:Y157)),CHAR(10),""""))"),"")</f>
        <v/>
      </c>
      <c r="AC157" s="229" t="str">
        <f t="shared" si="1"/>
        <v/>
      </c>
    </row>
    <row r="158">
      <c r="K158" s="237"/>
      <c r="L158" s="238" t="str">
        <f t="shared" si="3"/>
        <v/>
      </c>
      <c r="M158" s="237"/>
      <c r="N158" s="238"/>
      <c r="O158" s="238" t="str">
        <f t="shared" si="4"/>
        <v/>
      </c>
      <c r="P158" s="238" t="str">
        <f t="shared" si="5"/>
        <v/>
      </c>
      <c r="Q158" s="238" t="str">
        <f t="shared" si="6"/>
        <v/>
      </c>
      <c r="R158" s="238" t="str">
        <f t="shared" si="7"/>
        <v/>
      </c>
      <c r="S158" s="238" t="str">
        <f t="shared" si="8"/>
        <v/>
      </c>
      <c r="T158" s="238"/>
      <c r="U158" s="237"/>
      <c r="V158" s="238"/>
      <c r="W158" s="238" t="str">
        <f t="shared" si="9"/>
        <v/>
      </c>
      <c r="X158" s="237" t="str">
        <f t="shared" ref="X158:Y158" si="150">IF(ISBLANK(H158),,""""&amp;H158&amp;"""")</f>
        <v/>
      </c>
      <c r="Y158" s="237" t="str">
        <f t="shared" si="150"/>
        <v/>
      </c>
      <c r="Z158" s="237" t="str">
        <f>IF(ISBLANK(K158),,Config!$C$3&amp;"&amp;range=BB"&amp;MATCH(K158,FRG!AE:AE,0))</f>
        <v/>
      </c>
      <c r="AB158" s="242" t="str">
        <f>IFERROR(__xludf.DUMMYFUNCTION("IF(ISBLANK(K158),,SUBSTITUTE(IFERROR(JOIN("","",K158:Z158),JOIN("","",K158:Y158)),CHAR(10),""""))"),"")</f>
        <v/>
      </c>
      <c r="AC158" s="229" t="str">
        <f t="shared" si="1"/>
        <v/>
      </c>
    </row>
    <row r="159">
      <c r="K159" s="237"/>
      <c r="L159" s="238" t="str">
        <f t="shared" si="3"/>
        <v/>
      </c>
      <c r="M159" s="237"/>
      <c r="N159" s="238"/>
      <c r="O159" s="238" t="str">
        <f t="shared" si="4"/>
        <v/>
      </c>
      <c r="P159" s="238" t="str">
        <f t="shared" si="5"/>
        <v/>
      </c>
      <c r="Q159" s="238" t="str">
        <f t="shared" si="6"/>
        <v/>
      </c>
      <c r="R159" s="238" t="str">
        <f t="shared" si="7"/>
        <v/>
      </c>
      <c r="S159" s="238" t="str">
        <f t="shared" si="8"/>
        <v/>
      </c>
      <c r="T159" s="238"/>
      <c r="U159" s="237"/>
      <c r="V159" s="238"/>
      <c r="W159" s="238" t="str">
        <f t="shared" si="9"/>
        <v/>
      </c>
      <c r="X159" s="237" t="str">
        <f t="shared" ref="X159:Y159" si="151">IF(ISBLANK(H159),,""""&amp;H159&amp;"""")</f>
        <v/>
      </c>
      <c r="Y159" s="237" t="str">
        <f t="shared" si="151"/>
        <v/>
      </c>
      <c r="Z159" s="237" t="str">
        <f>IF(ISBLANK(K159),,Config!$C$3&amp;"&amp;range=BB"&amp;MATCH(K159,FRG!AE:AE,0))</f>
        <v/>
      </c>
      <c r="AB159" s="242" t="str">
        <f>IFERROR(__xludf.DUMMYFUNCTION("IF(ISBLANK(K159),,SUBSTITUTE(IFERROR(JOIN("","",K159:Z159),JOIN("","",K159:Y159)),CHAR(10),""""))"),"")</f>
        <v/>
      </c>
      <c r="AC159" s="229" t="str">
        <f t="shared" si="1"/>
        <v/>
      </c>
    </row>
    <row r="160">
      <c r="K160" s="237"/>
      <c r="L160" s="238" t="str">
        <f t="shared" si="3"/>
        <v/>
      </c>
      <c r="M160" s="237"/>
      <c r="N160" s="238"/>
      <c r="O160" s="238" t="str">
        <f t="shared" si="4"/>
        <v/>
      </c>
      <c r="P160" s="238" t="str">
        <f t="shared" si="5"/>
        <v/>
      </c>
      <c r="Q160" s="238" t="str">
        <f t="shared" si="6"/>
        <v/>
      </c>
      <c r="R160" s="238" t="str">
        <f t="shared" si="7"/>
        <v/>
      </c>
      <c r="S160" s="238" t="str">
        <f t="shared" si="8"/>
        <v/>
      </c>
      <c r="T160" s="238"/>
      <c r="U160" s="237"/>
      <c r="V160" s="238"/>
      <c r="W160" s="238" t="str">
        <f t="shared" si="9"/>
        <v/>
      </c>
      <c r="X160" s="237" t="str">
        <f t="shared" ref="X160:Y160" si="152">IF(ISBLANK(H160),,""""&amp;H160&amp;"""")</f>
        <v/>
      </c>
      <c r="Y160" s="237" t="str">
        <f t="shared" si="152"/>
        <v/>
      </c>
      <c r="Z160" s="237" t="str">
        <f>IF(ISBLANK(K160),,Config!$C$3&amp;"&amp;range=BB"&amp;MATCH(K160,FRG!AE:AE,0))</f>
        <v/>
      </c>
      <c r="AB160" s="242" t="str">
        <f>IFERROR(__xludf.DUMMYFUNCTION("IF(ISBLANK(K160),,SUBSTITUTE(IFERROR(JOIN("","",K160:Z160),JOIN("","",K160:Y160)),CHAR(10),""""))"),"")</f>
        <v/>
      </c>
      <c r="AC160" s="229" t="str">
        <f t="shared" si="1"/>
        <v/>
      </c>
    </row>
    <row r="161">
      <c r="K161" s="237"/>
      <c r="L161" s="238" t="str">
        <f t="shared" si="3"/>
        <v/>
      </c>
      <c r="M161" s="237"/>
      <c r="N161" s="238"/>
      <c r="O161" s="238" t="str">
        <f t="shared" si="4"/>
        <v/>
      </c>
      <c r="P161" s="238" t="str">
        <f t="shared" si="5"/>
        <v/>
      </c>
      <c r="Q161" s="238" t="str">
        <f t="shared" si="6"/>
        <v/>
      </c>
      <c r="R161" s="238" t="str">
        <f t="shared" si="7"/>
        <v/>
      </c>
      <c r="S161" s="238" t="str">
        <f t="shared" si="8"/>
        <v/>
      </c>
      <c r="T161" s="238"/>
      <c r="U161" s="237"/>
      <c r="V161" s="238"/>
      <c r="W161" s="238" t="str">
        <f t="shared" si="9"/>
        <v/>
      </c>
      <c r="X161" s="237" t="str">
        <f t="shared" ref="X161:Y161" si="153">IF(ISBLANK(H161),,""""&amp;H161&amp;"""")</f>
        <v/>
      </c>
      <c r="Y161" s="237" t="str">
        <f t="shared" si="153"/>
        <v/>
      </c>
      <c r="Z161" s="237" t="str">
        <f>IF(ISBLANK(K161),,Config!$C$3&amp;"&amp;range=BB"&amp;MATCH(K161,FRG!AE:AE,0))</f>
        <v/>
      </c>
      <c r="AB161" s="242" t="str">
        <f>IFERROR(__xludf.DUMMYFUNCTION("IF(ISBLANK(K161),,SUBSTITUTE(IFERROR(JOIN("","",K161:Z161),JOIN("","",K161:Y161)),CHAR(10),""""))"),"")</f>
        <v/>
      </c>
      <c r="AC161" s="229" t="str">
        <f t="shared" si="1"/>
        <v/>
      </c>
    </row>
    <row r="162">
      <c r="K162" s="237"/>
      <c r="L162" s="238" t="str">
        <f t="shared" si="3"/>
        <v/>
      </c>
      <c r="M162" s="237"/>
      <c r="N162" s="238"/>
      <c r="O162" s="238" t="str">
        <f t="shared" si="4"/>
        <v/>
      </c>
      <c r="P162" s="238" t="str">
        <f t="shared" si="5"/>
        <v/>
      </c>
      <c r="Q162" s="238" t="str">
        <f t="shared" si="6"/>
        <v/>
      </c>
      <c r="R162" s="238" t="str">
        <f t="shared" si="7"/>
        <v/>
      </c>
      <c r="S162" s="238" t="str">
        <f t="shared" si="8"/>
        <v/>
      </c>
      <c r="T162" s="238"/>
      <c r="U162" s="237"/>
      <c r="V162" s="238"/>
      <c r="W162" s="238" t="str">
        <f t="shared" si="9"/>
        <v/>
      </c>
      <c r="X162" s="237" t="str">
        <f t="shared" ref="X162:Y162" si="154">IF(ISBLANK(H162),,""""&amp;H162&amp;"""")</f>
        <v/>
      </c>
      <c r="Y162" s="237" t="str">
        <f t="shared" si="154"/>
        <v/>
      </c>
      <c r="Z162" s="237" t="str">
        <f>IF(ISBLANK(K162),,Config!$C$3&amp;"&amp;range=BB"&amp;MATCH(K162,FRG!AE:AE,0))</f>
        <v/>
      </c>
      <c r="AB162" s="242" t="str">
        <f>IFERROR(__xludf.DUMMYFUNCTION("IF(ISBLANK(K162),,SUBSTITUTE(IFERROR(JOIN("","",K162:Z162),JOIN("","",K162:Y162)),CHAR(10),""""))"),"")</f>
        <v/>
      </c>
      <c r="AC162" s="229" t="str">
        <f t="shared" si="1"/>
        <v/>
      </c>
    </row>
    <row r="163">
      <c r="K163" s="237"/>
      <c r="L163" s="238" t="str">
        <f t="shared" si="3"/>
        <v/>
      </c>
      <c r="M163" s="237"/>
      <c r="N163" s="238"/>
      <c r="O163" s="238" t="str">
        <f t="shared" si="4"/>
        <v/>
      </c>
      <c r="P163" s="238" t="str">
        <f t="shared" si="5"/>
        <v/>
      </c>
      <c r="Q163" s="238" t="str">
        <f t="shared" si="6"/>
        <v/>
      </c>
      <c r="R163" s="238" t="str">
        <f t="shared" si="7"/>
        <v/>
      </c>
      <c r="S163" s="238" t="str">
        <f t="shared" si="8"/>
        <v/>
      </c>
      <c r="T163" s="238"/>
      <c r="U163" s="237"/>
      <c r="V163" s="238"/>
      <c r="W163" s="238" t="str">
        <f t="shared" si="9"/>
        <v/>
      </c>
      <c r="X163" s="237" t="str">
        <f t="shared" ref="X163:Y163" si="155">IF(ISBLANK(H163),,""""&amp;H163&amp;"""")</f>
        <v/>
      </c>
      <c r="Y163" s="237" t="str">
        <f t="shared" si="155"/>
        <v/>
      </c>
      <c r="Z163" s="237" t="str">
        <f>IF(ISBLANK(K163),,Config!$C$3&amp;"&amp;range=BB"&amp;MATCH(K163,FRG!AE:AE,0))</f>
        <v/>
      </c>
      <c r="AB163" s="242" t="str">
        <f>IFERROR(__xludf.DUMMYFUNCTION("IF(ISBLANK(K163),,SUBSTITUTE(IFERROR(JOIN("","",K163:Z163),JOIN("","",K163:Y163)),CHAR(10),""""))"),"")</f>
        <v/>
      </c>
      <c r="AC163" s="229" t="str">
        <f t="shared" si="1"/>
        <v/>
      </c>
    </row>
    <row r="164">
      <c r="K164" s="237"/>
      <c r="L164" s="238" t="str">
        <f t="shared" si="3"/>
        <v/>
      </c>
      <c r="M164" s="237"/>
      <c r="N164" s="238"/>
      <c r="O164" s="238" t="str">
        <f t="shared" si="4"/>
        <v/>
      </c>
      <c r="P164" s="238" t="str">
        <f t="shared" si="5"/>
        <v/>
      </c>
      <c r="Q164" s="238" t="str">
        <f t="shared" si="6"/>
        <v/>
      </c>
      <c r="R164" s="238" t="str">
        <f t="shared" si="7"/>
        <v/>
      </c>
      <c r="S164" s="238" t="str">
        <f t="shared" si="8"/>
        <v/>
      </c>
      <c r="T164" s="238"/>
      <c r="U164" s="237"/>
      <c r="V164" s="238"/>
      <c r="W164" s="238" t="str">
        <f t="shared" si="9"/>
        <v/>
      </c>
      <c r="X164" s="237" t="str">
        <f t="shared" ref="X164:Y164" si="156">IF(ISBLANK(H164),,""""&amp;H164&amp;"""")</f>
        <v/>
      </c>
      <c r="Y164" s="237" t="str">
        <f t="shared" si="156"/>
        <v/>
      </c>
      <c r="Z164" s="237" t="str">
        <f>IF(ISBLANK(K164),,Config!$C$3&amp;"&amp;range=BB"&amp;MATCH(K164,FRG!AE:AE,0))</f>
        <v/>
      </c>
      <c r="AB164" s="242" t="str">
        <f>IFERROR(__xludf.DUMMYFUNCTION("IF(ISBLANK(K164),,SUBSTITUTE(IFERROR(JOIN("","",K164:Z164),JOIN("","",K164:Y164)),CHAR(10),""""))"),"")</f>
        <v/>
      </c>
      <c r="AC164" s="229" t="str">
        <f t="shared" si="1"/>
        <v/>
      </c>
    </row>
    <row r="165">
      <c r="K165" s="237"/>
      <c r="L165" s="238" t="str">
        <f t="shared" si="3"/>
        <v/>
      </c>
      <c r="M165" s="237"/>
      <c r="N165" s="238"/>
      <c r="O165" s="238" t="str">
        <f t="shared" si="4"/>
        <v/>
      </c>
      <c r="P165" s="238" t="str">
        <f t="shared" si="5"/>
        <v/>
      </c>
      <c r="Q165" s="238" t="str">
        <f t="shared" si="6"/>
        <v/>
      </c>
      <c r="R165" s="238" t="str">
        <f t="shared" si="7"/>
        <v/>
      </c>
      <c r="S165" s="238" t="str">
        <f t="shared" si="8"/>
        <v/>
      </c>
      <c r="T165" s="238"/>
      <c r="U165" s="237"/>
      <c r="V165" s="238"/>
      <c r="W165" s="238" t="str">
        <f t="shared" si="9"/>
        <v/>
      </c>
      <c r="X165" s="237" t="str">
        <f t="shared" ref="X165:Y165" si="157">IF(ISBLANK(H165),,""""&amp;H165&amp;"""")</f>
        <v/>
      </c>
      <c r="Y165" s="237" t="str">
        <f t="shared" si="157"/>
        <v/>
      </c>
      <c r="Z165" s="237" t="str">
        <f>IF(ISBLANK(K165),,Config!$C$3&amp;"&amp;range=BB"&amp;MATCH(K165,FRG!AE:AE,0))</f>
        <v/>
      </c>
      <c r="AB165" s="242" t="str">
        <f>IFERROR(__xludf.DUMMYFUNCTION("IF(ISBLANK(K165),,SUBSTITUTE(IFERROR(JOIN("","",K165:Z165),JOIN("","",K165:Y165)),CHAR(10),""""))"),"")</f>
        <v/>
      </c>
      <c r="AC165" s="229" t="str">
        <f t="shared" si="1"/>
        <v/>
      </c>
    </row>
    <row r="166">
      <c r="K166" s="237"/>
      <c r="L166" s="238" t="str">
        <f t="shared" si="3"/>
        <v/>
      </c>
      <c r="M166" s="237"/>
      <c r="N166" s="238"/>
      <c r="O166" s="238" t="str">
        <f t="shared" si="4"/>
        <v/>
      </c>
      <c r="P166" s="238" t="str">
        <f t="shared" si="5"/>
        <v/>
      </c>
      <c r="Q166" s="238" t="str">
        <f t="shared" si="6"/>
        <v/>
      </c>
      <c r="R166" s="238" t="str">
        <f t="shared" si="7"/>
        <v/>
      </c>
      <c r="S166" s="238" t="str">
        <f t="shared" si="8"/>
        <v/>
      </c>
      <c r="T166" s="238"/>
      <c r="U166" s="237"/>
      <c r="V166" s="238"/>
      <c r="W166" s="238" t="str">
        <f t="shared" si="9"/>
        <v/>
      </c>
      <c r="X166" s="237" t="str">
        <f t="shared" ref="X166:Y166" si="158">IF(ISBLANK(H166),,""""&amp;H166&amp;"""")</f>
        <v/>
      </c>
      <c r="Y166" s="237" t="str">
        <f t="shared" si="158"/>
        <v/>
      </c>
      <c r="Z166" s="237" t="str">
        <f>IF(ISBLANK(K166),,Config!$C$3&amp;"&amp;range=BB"&amp;MATCH(K166,FRG!AE:AE,0))</f>
        <v/>
      </c>
      <c r="AB166" s="242" t="str">
        <f>IFERROR(__xludf.DUMMYFUNCTION("IF(ISBLANK(K166),,SUBSTITUTE(IFERROR(JOIN("","",K166:Z166),JOIN("","",K166:Y166)),CHAR(10),""""))"),"")</f>
        <v/>
      </c>
      <c r="AC166" s="229" t="str">
        <f t="shared" si="1"/>
        <v/>
      </c>
    </row>
    <row r="167">
      <c r="K167" s="237"/>
      <c r="L167" s="238" t="str">
        <f t="shared" si="3"/>
        <v/>
      </c>
      <c r="M167" s="237"/>
      <c r="N167" s="238"/>
      <c r="O167" s="238" t="str">
        <f t="shared" si="4"/>
        <v/>
      </c>
      <c r="P167" s="238" t="str">
        <f t="shared" si="5"/>
        <v/>
      </c>
      <c r="Q167" s="238" t="str">
        <f t="shared" si="6"/>
        <v/>
      </c>
      <c r="R167" s="238" t="str">
        <f t="shared" si="7"/>
        <v/>
      </c>
      <c r="S167" s="238" t="str">
        <f t="shared" si="8"/>
        <v/>
      </c>
      <c r="T167" s="238"/>
      <c r="U167" s="237"/>
      <c r="V167" s="238"/>
      <c r="W167" s="238" t="str">
        <f t="shared" si="9"/>
        <v/>
      </c>
      <c r="X167" s="237" t="str">
        <f t="shared" ref="X167:Y167" si="159">IF(ISBLANK(H167),,""""&amp;H167&amp;"""")</f>
        <v/>
      </c>
      <c r="Y167" s="237" t="str">
        <f t="shared" si="159"/>
        <v/>
      </c>
      <c r="Z167" s="237" t="str">
        <f>IF(ISBLANK(K167),,Config!$C$3&amp;"&amp;range=BB"&amp;MATCH(K167,FRG!AE:AE,0))</f>
        <v/>
      </c>
      <c r="AB167" s="242" t="str">
        <f>IFERROR(__xludf.DUMMYFUNCTION("IF(ISBLANK(K167),,SUBSTITUTE(IFERROR(JOIN("","",K167:Z167),JOIN("","",K167:Y167)),CHAR(10),""""))"),"")</f>
        <v/>
      </c>
      <c r="AC167" s="229" t="str">
        <f t="shared" si="1"/>
        <v/>
      </c>
    </row>
    <row r="168">
      <c r="K168" s="237"/>
      <c r="L168" s="238" t="str">
        <f t="shared" si="3"/>
        <v/>
      </c>
      <c r="M168" s="237"/>
      <c r="N168" s="238"/>
      <c r="O168" s="238" t="str">
        <f t="shared" si="4"/>
        <v/>
      </c>
      <c r="P168" s="238" t="str">
        <f t="shared" si="5"/>
        <v/>
      </c>
      <c r="Q168" s="238" t="str">
        <f t="shared" si="6"/>
        <v/>
      </c>
      <c r="R168" s="238" t="str">
        <f t="shared" si="7"/>
        <v/>
      </c>
      <c r="S168" s="238" t="str">
        <f t="shared" si="8"/>
        <v/>
      </c>
      <c r="T168" s="238"/>
      <c r="U168" s="237"/>
      <c r="V168" s="238"/>
      <c r="W168" s="238" t="str">
        <f t="shared" si="9"/>
        <v/>
      </c>
      <c r="X168" s="237" t="str">
        <f t="shared" ref="X168:Y168" si="160">IF(ISBLANK(H168),,""""&amp;H168&amp;"""")</f>
        <v/>
      </c>
      <c r="Y168" s="237" t="str">
        <f t="shared" si="160"/>
        <v/>
      </c>
      <c r="Z168" s="237" t="str">
        <f>IF(ISBLANK(K168),,Config!$C$3&amp;"&amp;range=BB"&amp;MATCH(K168,FRG!AE:AE,0))</f>
        <v/>
      </c>
      <c r="AB168" s="242" t="str">
        <f>IFERROR(__xludf.DUMMYFUNCTION("IF(ISBLANK(K168),,SUBSTITUTE(IFERROR(JOIN("","",K168:Z168),JOIN("","",K168:Y168)),CHAR(10),""""))"),"")</f>
        <v/>
      </c>
      <c r="AC168" s="229" t="str">
        <f t="shared" si="1"/>
        <v/>
      </c>
    </row>
    <row r="169">
      <c r="K169" s="237"/>
      <c r="L169" s="238" t="str">
        <f t="shared" si="3"/>
        <v/>
      </c>
      <c r="M169" s="237"/>
      <c r="N169" s="238"/>
      <c r="O169" s="238" t="str">
        <f t="shared" si="4"/>
        <v/>
      </c>
      <c r="P169" s="238" t="str">
        <f t="shared" si="5"/>
        <v/>
      </c>
      <c r="Q169" s="238" t="str">
        <f t="shared" si="6"/>
        <v/>
      </c>
      <c r="R169" s="238" t="str">
        <f t="shared" si="7"/>
        <v/>
      </c>
      <c r="S169" s="238" t="str">
        <f t="shared" si="8"/>
        <v/>
      </c>
      <c r="T169" s="238"/>
      <c r="U169" s="237"/>
      <c r="V169" s="238"/>
      <c r="W169" s="238" t="str">
        <f t="shared" si="9"/>
        <v/>
      </c>
      <c r="X169" s="237" t="str">
        <f t="shared" ref="X169:Y169" si="161">IF(ISBLANK(H169),,""""&amp;H169&amp;"""")</f>
        <v/>
      </c>
      <c r="Y169" s="237" t="str">
        <f t="shared" si="161"/>
        <v/>
      </c>
      <c r="Z169" s="237" t="str">
        <f>IF(ISBLANK(K169),,Config!$C$3&amp;"&amp;range=BB"&amp;MATCH(K169,FRG!AE:AE,0))</f>
        <v/>
      </c>
      <c r="AB169" s="242" t="str">
        <f>IFERROR(__xludf.DUMMYFUNCTION("IF(ISBLANK(K169),,SUBSTITUTE(IFERROR(JOIN("","",K169:Z169),JOIN("","",K169:Y169)),CHAR(10),""""))"),"")</f>
        <v/>
      </c>
      <c r="AC169" s="229" t="str">
        <f t="shared" si="1"/>
        <v/>
      </c>
    </row>
    <row r="170">
      <c r="K170" s="237"/>
      <c r="L170" s="238" t="str">
        <f t="shared" si="3"/>
        <v/>
      </c>
      <c r="M170" s="237"/>
      <c r="N170" s="238"/>
      <c r="O170" s="238" t="str">
        <f t="shared" si="4"/>
        <v/>
      </c>
      <c r="P170" s="238" t="str">
        <f t="shared" si="5"/>
        <v/>
      </c>
      <c r="Q170" s="238" t="str">
        <f t="shared" si="6"/>
        <v/>
      </c>
      <c r="R170" s="238" t="str">
        <f t="shared" si="7"/>
        <v/>
      </c>
      <c r="S170" s="238" t="str">
        <f t="shared" si="8"/>
        <v/>
      </c>
      <c r="T170" s="238"/>
      <c r="U170" s="237"/>
      <c r="V170" s="238"/>
      <c r="W170" s="238" t="str">
        <f t="shared" si="9"/>
        <v/>
      </c>
      <c r="X170" s="237" t="str">
        <f t="shared" ref="X170:Y170" si="162">IF(ISBLANK(H170),,""""&amp;H170&amp;"""")</f>
        <v/>
      </c>
      <c r="Y170" s="237" t="str">
        <f t="shared" si="162"/>
        <v/>
      </c>
      <c r="Z170" s="237" t="str">
        <f>IF(ISBLANK(K170),,Config!$C$3&amp;"&amp;range=BB"&amp;MATCH(K170,FRG!AE:AE,0))</f>
        <v/>
      </c>
      <c r="AB170" s="242" t="str">
        <f>IFERROR(__xludf.DUMMYFUNCTION("IF(ISBLANK(K170),,SUBSTITUTE(IFERROR(JOIN("","",K170:Z170),JOIN("","",K170:Y170)),CHAR(10),""""))"),"")</f>
        <v/>
      </c>
      <c r="AC170" s="229" t="str">
        <f t="shared" si="1"/>
        <v/>
      </c>
    </row>
    <row r="171">
      <c r="K171" s="237"/>
      <c r="L171" s="238" t="str">
        <f t="shared" si="3"/>
        <v/>
      </c>
      <c r="M171" s="237"/>
      <c r="N171" s="238"/>
      <c r="O171" s="238" t="str">
        <f t="shared" si="4"/>
        <v/>
      </c>
      <c r="P171" s="238" t="str">
        <f t="shared" si="5"/>
        <v/>
      </c>
      <c r="Q171" s="238" t="str">
        <f t="shared" si="6"/>
        <v/>
      </c>
      <c r="R171" s="238" t="str">
        <f t="shared" si="7"/>
        <v/>
      </c>
      <c r="S171" s="238" t="str">
        <f t="shared" si="8"/>
        <v/>
      </c>
      <c r="T171" s="238"/>
      <c r="U171" s="237"/>
      <c r="V171" s="238"/>
      <c r="W171" s="238" t="str">
        <f t="shared" si="9"/>
        <v/>
      </c>
      <c r="X171" s="237" t="str">
        <f t="shared" ref="X171:Y171" si="163">IF(ISBLANK(H171),,""""&amp;H171&amp;"""")</f>
        <v/>
      </c>
      <c r="Y171" s="237" t="str">
        <f t="shared" si="163"/>
        <v/>
      </c>
      <c r="Z171" s="237" t="str">
        <f>IF(ISBLANK(K171),,Config!$C$3&amp;"&amp;range=BB"&amp;MATCH(K171,FRG!AE:AE,0))</f>
        <v/>
      </c>
      <c r="AB171" s="242" t="str">
        <f>IFERROR(__xludf.DUMMYFUNCTION("IF(ISBLANK(K171),,SUBSTITUTE(IFERROR(JOIN("","",K171:Z171),JOIN("","",K171:Y171)),CHAR(10),""""))"),"")</f>
        <v/>
      </c>
      <c r="AC171" s="229" t="str">
        <f t="shared" si="1"/>
        <v/>
      </c>
    </row>
    <row r="172">
      <c r="K172" s="237"/>
      <c r="L172" s="238" t="str">
        <f t="shared" si="3"/>
        <v/>
      </c>
      <c r="M172" s="237"/>
      <c r="N172" s="238"/>
      <c r="O172" s="238" t="str">
        <f t="shared" si="4"/>
        <v/>
      </c>
      <c r="P172" s="238" t="str">
        <f t="shared" si="5"/>
        <v/>
      </c>
      <c r="Q172" s="238" t="str">
        <f t="shared" si="6"/>
        <v/>
      </c>
      <c r="R172" s="238" t="str">
        <f t="shared" si="7"/>
        <v/>
      </c>
      <c r="S172" s="238" t="str">
        <f t="shared" si="8"/>
        <v/>
      </c>
      <c r="T172" s="238"/>
      <c r="U172" s="237"/>
      <c r="V172" s="238"/>
      <c r="W172" s="238" t="str">
        <f t="shared" si="9"/>
        <v/>
      </c>
      <c r="X172" s="237" t="str">
        <f t="shared" ref="X172:Y172" si="164">IF(ISBLANK(H172),,""""&amp;H172&amp;"""")</f>
        <v/>
      </c>
      <c r="Y172" s="237" t="str">
        <f t="shared" si="164"/>
        <v/>
      </c>
      <c r="Z172" s="237" t="str">
        <f>IF(ISBLANK(K172),,Config!$C$3&amp;"&amp;range=BB"&amp;MATCH(K172,FRG!AE:AE,0))</f>
        <v/>
      </c>
      <c r="AB172" s="242" t="str">
        <f>IFERROR(__xludf.DUMMYFUNCTION("IF(ISBLANK(K172),,SUBSTITUTE(IFERROR(JOIN("","",K172:Z172),JOIN("","",K172:Y172)),CHAR(10),""""))"),"")</f>
        <v/>
      </c>
      <c r="AC172" s="229" t="str">
        <f t="shared" si="1"/>
        <v/>
      </c>
    </row>
    <row r="173">
      <c r="K173" s="237"/>
      <c r="L173" s="238" t="str">
        <f t="shared" si="3"/>
        <v/>
      </c>
      <c r="M173" s="237"/>
      <c r="N173" s="238"/>
      <c r="O173" s="238" t="str">
        <f t="shared" si="4"/>
        <v/>
      </c>
      <c r="P173" s="238" t="str">
        <f t="shared" si="5"/>
        <v/>
      </c>
      <c r="Q173" s="238" t="str">
        <f t="shared" si="6"/>
        <v/>
      </c>
      <c r="R173" s="238" t="str">
        <f t="shared" si="7"/>
        <v/>
      </c>
      <c r="S173" s="238" t="str">
        <f t="shared" si="8"/>
        <v/>
      </c>
      <c r="T173" s="238"/>
      <c r="U173" s="237"/>
      <c r="V173" s="238"/>
      <c r="W173" s="238" t="str">
        <f t="shared" si="9"/>
        <v/>
      </c>
      <c r="X173" s="237" t="str">
        <f t="shared" ref="X173:Y173" si="165">IF(ISBLANK(H173),,""""&amp;H173&amp;"""")</f>
        <v/>
      </c>
      <c r="Y173" s="237" t="str">
        <f t="shared" si="165"/>
        <v/>
      </c>
      <c r="Z173" s="237" t="str">
        <f>IF(ISBLANK(K173),,Config!$C$3&amp;"&amp;range=BB"&amp;MATCH(K173,FRG!AE:AE,0))</f>
        <v/>
      </c>
      <c r="AB173" s="242" t="str">
        <f>IFERROR(__xludf.DUMMYFUNCTION("IF(ISBLANK(K173),,SUBSTITUTE(IFERROR(JOIN("","",K173:Z173),JOIN("","",K173:Y173)),CHAR(10),""""))"),"")</f>
        <v/>
      </c>
      <c r="AC173" s="229" t="str">
        <f t="shared" si="1"/>
        <v/>
      </c>
    </row>
    <row r="174">
      <c r="K174" s="237"/>
      <c r="L174" s="238" t="str">
        <f t="shared" si="3"/>
        <v/>
      </c>
      <c r="M174" s="237"/>
      <c r="N174" s="238"/>
      <c r="O174" s="238" t="str">
        <f t="shared" si="4"/>
        <v/>
      </c>
      <c r="P174" s="238" t="str">
        <f t="shared" si="5"/>
        <v/>
      </c>
      <c r="Q174" s="238" t="str">
        <f t="shared" si="6"/>
        <v/>
      </c>
      <c r="R174" s="238" t="str">
        <f t="shared" si="7"/>
        <v/>
      </c>
      <c r="S174" s="238" t="str">
        <f t="shared" si="8"/>
        <v/>
      </c>
      <c r="T174" s="238"/>
      <c r="U174" s="237"/>
      <c r="V174" s="238"/>
      <c r="W174" s="238" t="str">
        <f t="shared" si="9"/>
        <v/>
      </c>
      <c r="X174" s="237" t="str">
        <f t="shared" ref="X174:Y174" si="166">IF(ISBLANK(H174),,""""&amp;H174&amp;"""")</f>
        <v/>
      </c>
      <c r="Y174" s="237" t="str">
        <f t="shared" si="166"/>
        <v/>
      </c>
      <c r="Z174" s="237" t="str">
        <f>IF(ISBLANK(K174),,Config!$C$3&amp;"&amp;range=BB"&amp;MATCH(K174,FRG!AE:AE,0))</f>
        <v/>
      </c>
      <c r="AB174" s="242" t="str">
        <f>IFERROR(__xludf.DUMMYFUNCTION("IF(ISBLANK(K174),,SUBSTITUTE(IFERROR(JOIN("","",K174:Z174),JOIN("","",K174:Y174)),CHAR(10),""""))"),"")</f>
        <v/>
      </c>
      <c r="AC174" s="229" t="str">
        <f t="shared" si="1"/>
        <v/>
      </c>
    </row>
    <row r="175">
      <c r="K175" s="237"/>
      <c r="L175" s="238" t="str">
        <f t="shared" si="3"/>
        <v/>
      </c>
      <c r="M175" s="237"/>
      <c r="N175" s="238"/>
      <c r="O175" s="238" t="str">
        <f t="shared" si="4"/>
        <v/>
      </c>
      <c r="P175" s="238" t="str">
        <f t="shared" si="5"/>
        <v/>
      </c>
      <c r="Q175" s="238" t="str">
        <f t="shared" si="6"/>
        <v/>
      </c>
      <c r="R175" s="238" t="str">
        <f t="shared" si="7"/>
        <v/>
      </c>
      <c r="S175" s="238" t="str">
        <f t="shared" si="8"/>
        <v/>
      </c>
      <c r="T175" s="238"/>
      <c r="U175" s="237"/>
      <c r="V175" s="238"/>
      <c r="W175" s="238" t="str">
        <f t="shared" si="9"/>
        <v/>
      </c>
      <c r="X175" s="237" t="str">
        <f t="shared" ref="X175:Y175" si="167">IF(ISBLANK(H175),,""""&amp;H175&amp;"""")</f>
        <v/>
      </c>
      <c r="Y175" s="237" t="str">
        <f t="shared" si="167"/>
        <v/>
      </c>
      <c r="Z175" s="237" t="str">
        <f>IF(ISBLANK(K175),,Config!$C$3&amp;"&amp;range=BB"&amp;MATCH(K175,FRG!AE:AE,0))</f>
        <v/>
      </c>
      <c r="AB175" s="242" t="str">
        <f>IFERROR(__xludf.DUMMYFUNCTION("IF(ISBLANK(K175),,SUBSTITUTE(IFERROR(JOIN("","",K175:Z175),JOIN("","",K175:Y175)),CHAR(10),""""))"),"")</f>
        <v/>
      </c>
      <c r="AC175" s="229" t="str">
        <f t="shared" si="1"/>
        <v/>
      </c>
    </row>
    <row r="176">
      <c r="K176" s="237"/>
      <c r="L176" s="238" t="str">
        <f t="shared" si="3"/>
        <v/>
      </c>
      <c r="M176" s="237"/>
      <c r="N176" s="238"/>
      <c r="O176" s="238" t="str">
        <f t="shared" si="4"/>
        <v/>
      </c>
      <c r="P176" s="238" t="str">
        <f t="shared" si="5"/>
        <v/>
      </c>
      <c r="Q176" s="238" t="str">
        <f t="shared" si="6"/>
        <v/>
      </c>
      <c r="R176" s="238" t="str">
        <f t="shared" si="7"/>
        <v/>
      </c>
      <c r="S176" s="238" t="str">
        <f t="shared" si="8"/>
        <v/>
      </c>
      <c r="T176" s="238"/>
      <c r="U176" s="237"/>
      <c r="V176" s="238"/>
      <c r="W176" s="238" t="str">
        <f t="shared" si="9"/>
        <v/>
      </c>
      <c r="X176" s="237" t="str">
        <f t="shared" ref="X176:Y176" si="168">IF(ISBLANK(H176),,""""&amp;H176&amp;"""")</f>
        <v/>
      </c>
      <c r="Y176" s="237" t="str">
        <f t="shared" si="168"/>
        <v/>
      </c>
      <c r="Z176" s="237" t="str">
        <f>IF(ISBLANK(K176),,Config!$C$3&amp;"&amp;range=BB"&amp;MATCH(K176,FRG!AE:AE,0))</f>
        <v/>
      </c>
      <c r="AB176" s="242" t="str">
        <f>IFERROR(__xludf.DUMMYFUNCTION("IF(ISBLANK(K176),,SUBSTITUTE(IFERROR(JOIN("","",K176:Z176),JOIN("","",K176:Y176)),CHAR(10),""""))"),"")</f>
        <v/>
      </c>
      <c r="AC176" s="229" t="str">
        <f t="shared" si="1"/>
        <v/>
      </c>
    </row>
    <row r="177">
      <c r="K177" s="237"/>
      <c r="L177" s="238" t="str">
        <f t="shared" si="3"/>
        <v/>
      </c>
      <c r="M177" s="237"/>
      <c r="N177" s="238"/>
      <c r="O177" s="238" t="str">
        <f t="shared" si="4"/>
        <v/>
      </c>
      <c r="P177" s="238" t="str">
        <f t="shared" si="5"/>
        <v/>
      </c>
      <c r="Q177" s="238" t="str">
        <f t="shared" si="6"/>
        <v/>
      </c>
      <c r="R177" s="238" t="str">
        <f t="shared" si="7"/>
        <v/>
      </c>
      <c r="S177" s="238" t="str">
        <f t="shared" si="8"/>
        <v/>
      </c>
      <c r="T177" s="238"/>
      <c r="U177" s="237"/>
      <c r="V177" s="238"/>
      <c r="W177" s="238" t="str">
        <f t="shared" si="9"/>
        <v/>
      </c>
      <c r="X177" s="237" t="str">
        <f t="shared" ref="X177:Y177" si="169">IF(ISBLANK(H177),,""""&amp;H177&amp;"""")</f>
        <v/>
      </c>
      <c r="Y177" s="237" t="str">
        <f t="shared" si="169"/>
        <v/>
      </c>
      <c r="Z177" s="237" t="str">
        <f>IF(ISBLANK(K177),,Config!$C$3&amp;"&amp;range=BB"&amp;MATCH(K177,FRG!AE:AE,0))</f>
        <v/>
      </c>
      <c r="AB177" s="242" t="str">
        <f>IFERROR(__xludf.DUMMYFUNCTION("IF(ISBLANK(K177),,SUBSTITUTE(IFERROR(JOIN("","",K177:Z177),JOIN("","",K177:Y177)),CHAR(10),""""))"),"")</f>
        <v/>
      </c>
      <c r="AC177" s="229" t="str">
        <f t="shared" si="1"/>
        <v/>
      </c>
    </row>
    <row r="178">
      <c r="K178" s="237"/>
      <c r="L178" s="238" t="str">
        <f t="shared" si="3"/>
        <v/>
      </c>
      <c r="M178" s="237"/>
      <c r="N178" s="238"/>
      <c r="O178" s="238" t="str">
        <f t="shared" si="4"/>
        <v/>
      </c>
      <c r="P178" s="238" t="str">
        <f t="shared" si="5"/>
        <v/>
      </c>
      <c r="Q178" s="238" t="str">
        <f t="shared" si="6"/>
        <v/>
      </c>
      <c r="R178" s="238" t="str">
        <f t="shared" si="7"/>
        <v/>
      </c>
      <c r="S178" s="238" t="str">
        <f t="shared" si="8"/>
        <v/>
      </c>
      <c r="T178" s="238"/>
      <c r="U178" s="237"/>
      <c r="V178" s="238"/>
      <c r="W178" s="238" t="str">
        <f t="shared" si="9"/>
        <v/>
      </c>
      <c r="X178" s="237" t="str">
        <f t="shared" ref="X178:Y178" si="170">IF(ISBLANK(H178),,""""&amp;H178&amp;"""")</f>
        <v/>
      </c>
      <c r="Y178" s="237" t="str">
        <f t="shared" si="170"/>
        <v/>
      </c>
      <c r="Z178" s="237" t="str">
        <f>IF(ISBLANK(K178),,Config!$C$3&amp;"&amp;range=BB"&amp;MATCH(K178,FRG!AE:AE,0))</f>
        <v/>
      </c>
      <c r="AB178" s="242" t="str">
        <f>IFERROR(__xludf.DUMMYFUNCTION("IF(ISBLANK(K178),,SUBSTITUTE(IFERROR(JOIN("","",K178:Z178),JOIN("","",K178:Y178)),CHAR(10),""""))"),"")</f>
        <v/>
      </c>
      <c r="AC178" s="229" t="str">
        <f t="shared" si="1"/>
        <v/>
      </c>
    </row>
    <row r="179">
      <c r="K179" s="237"/>
      <c r="L179" s="238" t="str">
        <f t="shared" si="3"/>
        <v/>
      </c>
      <c r="M179" s="237"/>
      <c r="N179" s="238"/>
      <c r="O179" s="238" t="str">
        <f t="shared" si="4"/>
        <v/>
      </c>
      <c r="P179" s="238" t="str">
        <f t="shared" si="5"/>
        <v/>
      </c>
      <c r="Q179" s="238" t="str">
        <f t="shared" si="6"/>
        <v/>
      </c>
      <c r="R179" s="238" t="str">
        <f t="shared" si="7"/>
        <v/>
      </c>
      <c r="S179" s="238" t="str">
        <f t="shared" si="8"/>
        <v/>
      </c>
      <c r="T179" s="238"/>
      <c r="U179" s="237"/>
      <c r="V179" s="238"/>
      <c r="W179" s="238" t="str">
        <f t="shared" si="9"/>
        <v/>
      </c>
      <c r="X179" s="237" t="str">
        <f t="shared" ref="X179:Y179" si="171">IF(ISBLANK(H179),,""""&amp;H179&amp;"""")</f>
        <v/>
      </c>
      <c r="Y179" s="237" t="str">
        <f t="shared" si="171"/>
        <v/>
      </c>
      <c r="Z179" s="237" t="str">
        <f>IF(ISBLANK(K179),,Config!$C$3&amp;"&amp;range=BB"&amp;MATCH(K179,FRG!AE:AE,0))</f>
        <v/>
      </c>
      <c r="AB179" s="242" t="str">
        <f>IFERROR(__xludf.DUMMYFUNCTION("IF(ISBLANK(K179),,SUBSTITUTE(IFERROR(JOIN("","",K179:Z179),JOIN("","",K179:Y179)),CHAR(10),""""))"),"")</f>
        <v/>
      </c>
      <c r="AC179" s="229" t="str">
        <f t="shared" si="1"/>
        <v/>
      </c>
    </row>
    <row r="180">
      <c r="K180" s="237"/>
      <c r="L180" s="238" t="str">
        <f t="shared" si="3"/>
        <v/>
      </c>
      <c r="M180" s="237"/>
      <c r="N180" s="238"/>
      <c r="O180" s="238" t="str">
        <f t="shared" si="4"/>
        <v/>
      </c>
      <c r="P180" s="238" t="str">
        <f t="shared" si="5"/>
        <v/>
      </c>
      <c r="Q180" s="238" t="str">
        <f t="shared" si="6"/>
        <v/>
      </c>
      <c r="R180" s="238" t="str">
        <f t="shared" si="7"/>
        <v/>
      </c>
      <c r="S180" s="238" t="str">
        <f t="shared" si="8"/>
        <v/>
      </c>
      <c r="T180" s="238"/>
      <c r="U180" s="237"/>
      <c r="V180" s="238"/>
      <c r="W180" s="238" t="str">
        <f t="shared" si="9"/>
        <v/>
      </c>
      <c r="X180" s="237" t="str">
        <f t="shared" ref="X180:Y180" si="172">IF(ISBLANK(H180),,""""&amp;H180&amp;"""")</f>
        <v/>
      </c>
      <c r="Y180" s="237" t="str">
        <f t="shared" si="172"/>
        <v/>
      </c>
      <c r="Z180" s="237" t="str">
        <f>IF(ISBLANK(K180),,Config!$C$3&amp;"&amp;range=BB"&amp;MATCH(K180,FRG!AE:AE,0))</f>
        <v/>
      </c>
      <c r="AB180" s="242" t="str">
        <f>IFERROR(__xludf.DUMMYFUNCTION("IF(ISBLANK(K180),,SUBSTITUTE(IFERROR(JOIN("","",K180:Z180),JOIN("","",K180:Y180)),CHAR(10),""""))"),"")</f>
        <v/>
      </c>
      <c r="AC180" s="229" t="str">
        <f t="shared" si="1"/>
        <v/>
      </c>
    </row>
    <row r="181">
      <c r="K181" s="237"/>
      <c r="L181" s="238" t="str">
        <f t="shared" si="3"/>
        <v/>
      </c>
      <c r="M181" s="237"/>
      <c r="N181" s="238"/>
      <c r="O181" s="238" t="str">
        <f t="shared" si="4"/>
        <v/>
      </c>
      <c r="P181" s="238" t="str">
        <f t="shared" si="5"/>
        <v/>
      </c>
      <c r="Q181" s="238" t="str">
        <f t="shared" si="6"/>
        <v/>
      </c>
      <c r="R181" s="238" t="str">
        <f t="shared" si="7"/>
        <v/>
      </c>
      <c r="S181" s="238" t="str">
        <f t="shared" si="8"/>
        <v/>
      </c>
      <c r="T181" s="238"/>
      <c r="U181" s="237"/>
      <c r="V181" s="238"/>
      <c r="W181" s="238" t="str">
        <f t="shared" si="9"/>
        <v/>
      </c>
      <c r="X181" s="237" t="str">
        <f t="shared" ref="X181:Y181" si="173">IF(ISBLANK(H181),,""""&amp;H181&amp;"""")</f>
        <v/>
      </c>
      <c r="Y181" s="237" t="str">
        <f t="shared" si="173"/>
        <v/>
      </c>
      <c r="Z181" s="237" t="str">
        <f>IF(ISBLANK(K181),,Config!$C$3&amp;"&amp;range=BB"&amp;MATCH(K181,FRG!AE:AE,0))</f>
        <v/>
      </c>
      <c r="AB181" s="242" t="str">
        <f>IFERROR(__xludf.DUMMYFUNCTION("IF(ISBLANK(K181),,SUBSTITUTE(IFERROR(JOIN("","",K181:Z181),JOIN("","",K181:Y181)),CHAR(10),""""))"),"")</f>
        <v/>
      </c>
      <c r="AC181" s="229" t="str">
        <f t="shared" si="1"/>
        <v/>
      </c>
    </row>
    <row r="182">
      <c r="K182" s="237"/>
      <c r="L182" s="238" t="str">
        <f t="shared" si="3"/>
        <v/>
      </c>
      <c r="M182" s="237"/>
      <c r="N182" s="238"/>
      <c r="O182" s="238" t="str">
        <f t="shared" si="4"/>
        <v/>
      </c>
      <c r="P182" s="238" t="str">
        <f t="shared" si="5"/>
        <v/>
      </c>
      <c r="Q182" s="238" t="str">
        <f t="shared" si="6"/>
        <v/>
      </c>
      <c r="R182" s="238" t="str">
        <f t="shared" si="7"/>
        <v/>
      </c>
      <c r="S182" s="238" t="str">
        <f t="shared" si="8"/>
        <v/>
      </c>
      <c r="T182" s="238"/>
      <c r="U182" s="237"/>
      <c r="V182" s="238"/>
      <c r="W182" s="238" t="str">
        <f t="shared" si="9"/>
        <v/>
      </c>
      <c r="X182" s="237" t="str">
        <f t="shared" ref="X182:Y182" si="174">IF(ISBLANK(H182),,""""&amp;H182&amp;"""")</f>
        <v/>
      </c>
      <c r="Y182" s="237" t="str">
        <f t="shared" si="174"/>
        <v/>
      </c>
      <c r="Z182" s="237" t="str">
        <f>IF(ISBLANK(K182),,Config!$C$3&amp;"&amp;range=BB"&amp;MATCH(K182,FRG!AE:AE,0))</f>
        <v/>
      </c>
      <c r="AB182" s="242" t="str">
        <f>IFERROR(__xludf.DUMMYFUNCTION("IF(ISBLANK(K182),,SUBSTITUTE(IFERROR(JOIN("","",K182:Z182),JOIN("","",K182:Y182)),CHAR(10),""""))"),"")</f>
        <v/>
      </c>
      <c r="AC182" s="229" t="str">
        <f t="shared" si="1"/>
        <v/>
      </c>
    </row>
    <row r="183">
      <c r="K183" s="237"/>
      <c r="L183" s="238" t="str">
        <f t="shared" si="3"/>
        <v/>
      </c>
      <c r="M183" s="237"/>
      <c r="N183" s="238"/>
      <c r="O183" s="238" t="str">
        <f t="shared" si="4"/>
        <v/>
      </c>
      <c r="P183" s="238" t="str">
        <f t="shared" si="5"/>
        <v/>
      </c>
      <c r="Q183" s="238" t="str">
        <f t="shared" si="6"/>
        <v/>
      </c>
      <c r="R183" s="238" t="str">
        <f t="shared" si="7"/>
        <v/>
      </c>
      <c r="S183" s="238" t="str">
        <f t="shared" si="8"/>
        <v/>
      </c>
      <c r="T183" s="238"/>
      <c r="U183" s="237"/>
      <c r="V183" s="238"/>
      <c r="W183" s="238" t="str">
        <f t="shared" si="9"/>
        <v/>
      </c>
      <c r="X183" s="237" t="str">
        <f t="shared" ref="X183:Y183" si="175">IF(ISBLANK(H183),,""""&amp;H183&amp;"""")</f>
        <v/>
      </c>
      <c r="Y183" s="237" t="str">
        <f t="shared" si="175"/>
        <v/>
      </c>
      <c r="Z183" s="237" t="str">
        <f>IF(ISBLANK(K183),,Config!$C$3&amp;"&amp;range=BB"&amp;MATCH(K183,FRG!AE:AE,0))</f>
        <v/>
      </c>
      <c r="AB183" s="242" t="str">
        <f>IFERROR(__xludf.DUMMYFUNCTION("IF(ISBLANK(K183),,SUBSTITUTE(IFERROR(JOIN("","",K183:Z183),JOIN("","",K183:Y183)),CHAR(10),""""))"),"")</f>
        <v/>
      </c>
      <c r="AC183" s="229" t="str">
        <f t="shared" si="1"/>
        <v/>
      </c>
    </row>
    <row r="184">
      <c r="K184" s="237"/>
      <c r="L184" s="238" t="str">
        <f t="shared" si="3"/>
        <v/>
      </c>
      <c r="M184" s="237"/>
      <c r="N184" s="238"/>
      <c r="O184" s="238" t="str">
        <f t="shared" si="4"/>
        <v/>
      </c>
      <c r="P184" s="238" t="str">
        <f t="shared" si="5"/>
        <v/>
      </c>
      <c r="Q184" s="238" t="str">
        <f t="shared" si="6"/>
        <v/>
      </c>
      <c r="R184" s="238" t="str">
        <f t="shared" si="7"/>
        <v/>
      </c>
      <c r="S184" s="238" t="str">
        <f t="shared" si="8"/>
        <v/>
      </c>
      <c r="T184" s="238"/>
      <c r="U184" s="237"/>
      <c r="V184" s="238"/>
      <c r="W184" s="238" t="str">
        <f t="shared" si="9"/>
        <v/>
      </c>
      <c r="X184" s="237" t="str">
        <f t="shared" ref="X184:Y184" si="176">IF(ISBLANK(H184),,""""&amp;H184&amp;"""")</f>
        <v/>
      </c>
      <c r="Y184" s="237" t="str">
        <f t="shared" si="176"/>
        <v/>
      </c>
      <c r="Z184" s="237" t="str">
        <f>IF(ISBLANK(K184),,Config!$C$3&amp;"&amp;range=BB"&amp;MATCH(K184,FRG!AE:AE,0))</f>
        <v/>
      </c>
      <c r="AB184" s="242" t="str">
        <f>IFERROR(__xludf.DUMMYFUNCTION("IF(ISBLANK(K184),,SUBSTITUTE(IFERROR(JOIN("","",K184:Z184),JOIN("","",K184:Y184)),CHAR(10),""""))"),"")</f>
        <v/>
      </c>
      <c r="AC184" s="229" t="str">
        <f t="shared" si="1"/>
        <v/>
      </c>
    </row>
    <row r="185">
      <c r="K185" s="237"/>
      <c r="L185" s="238" t="str">
        <f t="shared" si="3"/>
        <v/>
      </c>
      <c r="M185" s="237"/>
      <c r="N185" s="238"/>
      <c r="O185" s="238" t="str">
        <f t="shared" si="4"/>
        <v/>
      </c>
      <c r="P185" s="238" t="str">
        <f t="shared" si="5"/>
        <v/>
      </c>
      <c r="Q185" s="238" t="str">
        <f t="shared" si="6"/>
        <v/>
      </c>
      <c r="R185" s="238" t="str">
        <f t="shared" si="7"/>
        <v/>
      </c>
      <c r="S185" s="238" t="str">
        <f t="shared" si="8"/>
        <v/>
      </c>
      <c r="T185" s="238"/>
      <c r="U185" s="237"/>
      <c r="V185" s="238"/>
      <c r="W185" s="238" t="str">
        <f t="shared" si="9"/>
        <v/>
      </c>
      <c r="X185" s="237" t="str">
        <f t="shared" ref="X185:Y185" si="177">IF(ISBLANK(H185),,""""&amp;H185&amp;"""")</f>
        <v/>
      </c>
      <c r="Y185" s="237" t="str">
        <f t="shared" si="177"/>
        <v/>
      </c>
      <c r="Z185" s="237" t="str">
        <f>IF(ISBLANK(K185),,Config!$C$3&amp;"&amp;range=BB"&amp;MATCH(K185,FRG!AE:AE,0))</f>
        <v/>
      </c>
      <c r="AB185" s="242" t="str">
        <f>IFERROR(__xludf.DUMMYFUNCTION("IF(ISBLANK(K185),,SUBSTITUTE(IFERROR(JOIN("","",K185:Z185),JOIN("","",K185:Y185)),CHAR(10),""""))"),"")</f>
        <v/>
      </c>
      <c r="AC185" s="229" t="str">
        <f t="shared" si="1"/>
        <v/>
      </c>
    </row>
    <row r="186">
      <c r="K186" s="237"/>
      <c r="L186" s="238" t="str">
        <f t="shared" si="3"/>
        <v/>
      </c>
      <c r="M186" s="237"/>
      <c r="N186" s="238"/>
      <c r="O186" s="238" t="str">
        <f t="shared" si="4"/>
        <v/>
      </c>
      <c r="P186" s="238" t="str">
        <f t="shared" si="5"/>
        <v/>
      </c>
      <c r="Q186" s="238" t="str">
        <f t="shared" si="6"/>
        <v/>
      </c>
      <c r="R186" s="238" t="str">
        <f t="shared" si="7"/>
        <v/>
      </c>
      <c r="S186" s="238" t="str">
        <f t="shared" si="8"/>
        <v/>
      </c>
      <c r="T186" s="238"/>
      <c r="U186" s="237"/>
      <c r="V186" s="238"/>
      <c r="W186" s="238" t="str">
        <f t="shared" si="9"/>
        <v/>
      </c>
      <c r="X186" s="237" t="str">
        <f t="shared" ref="X186:Y186" si="178">IF(ISBLANK(H186),,""""&amp;H186&amp;"""")</f>
        <v/>
      </c>
      <c r="Y186" s="237" t="str">
        <f t="shared" si="178"/>
        <v/>
      </c>
      <c r="Z186" s="237" t="str">
        <f>IF(ISBLANK(K186),,Config!$C$3&amp;"&amp;range=BB"&amp;MATCH(K186,FRG!AE:AE,0))</f>
        <v/>
      </c>
      <c r="AB186" s="242" t="str">
        <f>IFERROR(__xludf.DUMMYFUNCTION("IF(ISBLANK(K186),,SUBSTITUTE(IFERROR(JOIN("","",K186:Z186),JOIN("","",K186:Y186)),CHAR(10),""""))"),"")</f>
        <v/>
      </c>
      <c r="AC186" s="229" t="str">
        <f t="shared" si="1"/>
        <v/>
      </c>
    </row>
    <row r="187">
      <c r="K187" s="237"/>
      <c r="L187" s="238" t="str">
        <f t="shared" si="3"/>
        <v/>
      </c>
      <c r="M187" s="237"/>
      <c r="N187" s="238"/>
      <c r="O187" s="238" t="str">
        <f t="shared" si="4"/>
        <v/>
      </c>
      <c r="P187" s="238" t="str">
        <f t="shared" si="5"/>
        <v/>
      </c>
      <c r="Q187" s="238" t="str">
        <f t="shared" si="6"/>
        <v/>
      </c>
      <c r="R187" s="238" t="str">
        <f t="shared" si="7"/>
        <v/>
      </c>
      <c r="S187" s="238" t="str">
        <f t="shared" si="8"/>
        <v/>
      </c>
      <c r="T187" s="238"/>
      <c r="U187" s="237"/>
      <c r="V187" s="238"/>
      <c r="W187" s="238" t="str">
        <f t="shared" si="9"/>
        <v/>
      </c>
      <c r="X187" s="237" t="str">
        <f t="shared" ref="X187:Y187" si="179">IF(ISBLANK(H187),,""""&amp;H187&amp;"""")</f>
        <v/>
      </c>
      <c r="Y187" s="237" t="str">
        <f t="shared" si="179"/>
        <v/>
      </c>
      <c r="Z187" s="237" t="str">
        <f>IF(ISBLANK(K187),,Config!$C$3&amp;"&amp;range=BB"&amp;MATCH(K187,FRG!AE:AE,0))</f>
        <v/>
      </c>
      <c r="AB187" s="242" t="str">
        <f>IFERROR(__xludf.DUMMYFUNCTION("IF(ISBLANK(K187),,SUBSTITUTE(IFERROR(JOIN("","",K187:Z187),JOIN("","",K187:Y187)),CHAR(10),""""))"),"")</f>
        <v/>
      </c>
      <c r="AC187" s="229" t="str">
        <f t="shared" si="1"/>
        <v/>
      </c>
    </row>
    <row r="188">
      <c r="K188" s="237"/>
      <c r="L188" s="238" t="str">
        <f t="shared" si="3"/>
        <v/>
      </c>
      <c r="M188" s="237"/>
      <c r="N188" s="238"/>
      <c r="O188" s="238" t="str">
        <f t="shared" si="4"/>
        <v/>
      </c>
      <c r="P188" s="238" t="str">
        <f t="shared" si="5"/>
        <v/>
      </c>
      <c r="Q188" s="238" t="str">
        <f t="shared" si="6"/>
        <v/>
      </c>
      <c r="R188" s="238" t="str">
        <f t="shared" si="7"/>
        <v/>
      </c>
      <c r="S188" s="238" t="str">
        <f t="shared" si="8"/>
        <v/>
      </c>
      <c r="T188" s="238"/>
      <c r="U188" s="237"/>
      <c r="V188" s="238"/>
      <c r="W188" s="238" t="str">
        <f t="shared" si="9"/>
        <v/>
      </c>
      <c r="X188" s="237" t="str">
        <f t="shared" ref="X188:Y188" si="180">IF(ISBLANK(H188),,""""&amp;H188&amp;"""")</f>
        <v/>
      </c>
      <c r="Y188" s="237" t="str">
        <f t="shared" si="180"/>
        <v/>
      </c>
      <c r="Z188" s="237" t="str">
        <f>IF(ISBLANK(K188),,Config!$C$3&amp;"&amp;range=BB"&amp;MATCH(K188,FRG!AE:AE,0))</f>
        <v/>
      </c>
      <c r="AB188" s="242" t="str">
        <f>IFERROR(__xludf.DUMMYFUNCTION("IF(ISBLANK(K188),,SUBSTITUTE(IFERROR(JOIN("","",K188:Z188),JOIN("","",K188:Y188)),CHAR(10),""""))"),"")</f>
        <v/>
      </c>
      <c r="AC188" s="229" t="str">
        <f t="shared" si="1"/>
        <v/>
      </c>
    </row>
    <row r="189">
      <c r="K189" s="237"/>
      <c r="L189" s="238" t="str">
        <f t="shared" si="3"/>
        <v/>
      </c>
      <c r="M189" s="237"/>
      <c r="N189" s="238"/>
      <c r="O189" s="238" t="str">
        <f t="shared" si="4"/>
        <v/>
      </c>
      <c r="P189" s="238" t="str">
        <f t="shared" si="5"/>
        <v/>
      </c>
      <c r="Q189" s="238" t="str">
        <f t="shared" si="6"/>
        <v/>
      </c>
      <c r="R189" s="238" t="str">
        <f t="shared" si="7"/>
        <v/>
      </c>
      <c r="S189" s="238" t="str">
        <f t="shared" si="8"/>
        <v/>
      </c>
      <c r="T189" s="238"/>
      <c r="U189" s="237"/>
      <c r="V189" s="238"/>
      <c r="W189" s="238" t="str">
        <f t="shared" si="9"/>
        <v/>
      </c>
      <c r="X189" s="237" t="str">
        <f t="shared" ref="X189:Y189" si="181">IF(ISBLANK(H189),,""""&amp;H189&amp;"""")</f>
        <v/>
      </c>
      <c r="Y189" s="237" t="str">
        <f t="shared" si="181"/>
        <v/>
      </c>
      <c r="Z189" s="237" t="str">
        <f>IF(ISBLANK(K189),,Config!$C$3&amp;"&amp;range=BB"&amp;MATCH(K189,FRG!AE:AE,0))</f>
        <v/>
      </c>
      <c r="AB189" s="242" t="str">
        <f>IFERROR(__xludf.DUMMYFUNCTION("IF(ISBLANK(K189),,SUBSTITUTE(IFERROR(JOIN("","",K189:Z189),JOIN("","",K189:Y189)),CHAR(10),""""))"),"")</f>
        <v/>
      </c>
      <c r="AC189" s="229" t="str">
        <f t="shared" si="1"/>
        <v/>
      </c>
    </row>
    <row r="190">
      <c r="K190" s="237"/>
      <c r="L190" s="238" t="str">
        <f t="shared" si="3"/>
        <v/>
      </c>
      <c r="M190" s="237"/>
      <c r="N190" s="238"/>
      <c r="O190" s="238" t="str">
        <f t="shared" si="4"/>
        <v/>
      </c>
      <c r="P190" s="238" t="str">
        <f t="shared" si="5"/>
        <v/>
      </c>
      <c r="Q190" s="238" t="str">
        <f t="shared" si="6"/>
        <v/>
      </c>
      <c r="R190" s="238" t="str">
        <f t="shared" si="7"/>
        <v/>
      </c>
      <c r="S190" s="238" t="str">
        <f t="shared" si="8"/>
        <v/>
      </c>
      <c r="T190" s="238"/>
      <c r="U190" s="237"/>
      <c r="V190" s="238"/>
      <c r="W190" s="238" t="str">
        <f t="shared" si="9"/>
        <v/>
      </c>
      <c r="X190" s="237" t="str">
        <f t="shared" ref="X190:Y190" si="182">IF(ISBLANK(H190),,""""&amp;H190&amp;"""")</f>
        <v/>
      </c>
      <c r="Y190" s="237" t="str">
        <f t="shared" si="182"/>
        <v/>
      </c>
      <c r="Z190" s="237" t="str">
        <f>IF(ISBLANK(K190),,Config!$C$3&amp;"&amp;range=BB"&amp;MATCH(K190,FRG!AE:AE,0))</f>
        <v/>
      </c>
      <c r="AB190" s="242" t="str">
        <f>IFERROR(__xludf.DUMMYFUNCTION("IF(ISBLANK(K190),,SUBSTITUTE(IFERROR(JOIN("","",K190:Z190),JOIN("","",K190:Y190)),CHAR(10),""""))"),"")</f>
        <v/>
      </c>
      <c r="AC190" s="229" t="str">
        <f t="shared" si="1"/>
        <v/>
      </c>
    </row>
    <row r="191">
      <c r="K191" s="237"/>
      <c r="L191" s="238" t="str">
        <f t="shared" si="3"/>
        <v/>
      </c>
      <c r="M191" s="237"/>
      <c r="N191" s="238"/>
      <c r="O191" s="238" t="str">
        <f t="shared" si="4"/>
        <v/>
      </c>
      <c r="P191" s="238" t="str">
        <f t="shared" si="5"/>
        <v/>
      </c>
      <c r="Q191" s="238" t="str">
        <f t="shared" si="6"/>
        <v/>
      </c>
      <c r="R191" s="238" t="str">
        <f t="shared" si="7"/>
        <v/>
      </c>
      <c r="S191" s="238" t="str">
        <f t="shared" si="8"/>
        <v/>
      </c>
      <c r="T191" s="238"/>
      <c r="U191" s="237"/>
      <c r="V191" s="238"/>
      <c r="W191" s="238" t="str">
        <f t="shared" si="9"/>
        <v/>
      </c>
      <c r="X191" s="237" t="str">
        <f t="shared" ref="X191:Y191" si="183">IF(ISBLANK(H191),,""""&amp;H191&amp;"""")</f>
        <v/>
      </c>
      <c r="Y191" s="237" t="str">
        <f t="shared" si="183"/>
        <v/>
      </c>
      <c r="Z191" s="237" t="str">
        <f>IF(ISBLANK(K191),,Config!$C$3&amp;"&amp;range=BB"&amp;MATCH(K191,FRG!AE:AE,0))</f>
        <v/>
      </c>
      <c r="AB191" s="242" t="str">
        <f>IFERROR(__xludf.DUMMYFUNCTION("IF(ISBLANK(K191),,SUBSTITUTE(IFERROR(JOIN("","",K191:Z191),JOIN("","",K191:Y191)),CHAR(10),""""))"),"")</f>
        <v/>
      </c>
      <c r="AC191" s="229" t="str">
        <f t="shared" si="1"/>
        <v/>
      </c>
    </row>
    <row r="192">
      <c r="K192" s="237"/>
      <c r="L192" s="238" t="str">
        <f t="shared" si="3"/>
        <v/>
      </c>
      <c r="M192" s="237"/>
      <c r="N192" s="238"/>
      <c r="O192" s="238" t="str">
        <f t="shared" si="4"/>
        <v/>
      </c>
      <c r="P192" s="238" t="str">
        <f t="shared" si="5"/>
        <v/>
      </c>
      <c r="Q192" s="238" t="str">
        <f t="shared" si="6"/>
        <v/>
      </c>
      <c r="R192" s="238" t="str">
        <f t="shared" si="7"/>
        <v/>
      </c>
      <c r="S192" s="238" t="str">
        <f t="shared" si="8"/>
        <v/>
      </c>
      <c r="T192" s="238"/>
      <c r="U192" s="237"/>
      <c r="V192" s="238"/>
      <c r="W192" s="238" t="str">
        <f t="shared" si="9"/>
        <v/>
      </c>
      <c r="X192" s="237" t="str">
        <f t="shared" ref="X192:Y192" si="184">IF(ISBLANK(H192),,""""&amp;H192&amp;"""")</f>
        <v/>
      </c>
      <c r="Y192" s="237" t="str">
        <f t="shared" si="184"/>
        <v/>
      </c>
      <c r="Z192" s="237" t="str">
        <f>IF(ISBLANK(K192),,Config!$C$3&amp;"&amp;range=BB"&amp;MATCH(K192,FRG!AE:AE,0))</f>
        <v/>
      </c>
      <c r="AB192" s="242" t="str">
        <f>IFERROR(__xludf.DUMMYFUNCTION("IF(ISBLANK(K192),,SUBSTITUTE(IFERROR(JOIN("","",K192:Z192),JOIN("","",K192:Y192)),CHAR(10),""""))"),"")</f>
        <v/>
      </c>
      <c r="AC192" s="229" t="str">
        <f t="shared" si="1"/>
        <v/>
      </c>
    </row>
    <row r="193">
      <c r="K193" s="237"/>
      <c r="L193" s="238" t="str">
        <f t="shared" si="3"/>
        <v/>
      </c>
      <c r="M193" s="237"/>
      <c r="N193" s="238"/>
      <c r="O193" s="238" t="str">
        <f t="shared" si="4"/>
        <v/>
      </c>
      <c r="P193" s="238" t="str">
        <f t="shared" si="5"/>
        <v/>
      </c>
      <c r="Q193" s="238" t="str">
        <f t="shared" si="6"/>
        <v/>
      </c>
      <c r="R193" s="238" t="str">
        <f t="shared" si="7"/>
        <v/>
      </c>
      <c r="S193" s="238" t="str">
        <f t="shared" si="8"/>
        <v/>
      </c>
      <c r="T193" s="238"/>
      <c r="U193" s="237"/>
      <c r="V193" s="238"/>
      <c r="W193" s="238" t="str">
        <f t="shared" si="9"/>
        <v/>
      </c>
      <c r="X193" s="237" t="str">
        <f t="shared" ref="X193:Y193" si="185">IF(ISBLANK(H193),,""""&amp;H193&amp;"""")</f>
        <v/>
      </c>
      <c r="Y193" s="237" t="str">
        <f t="shared" si="185"/>
        <v/>
      </c>
      <c r="Z193" s="237" t="str">
        <f>IF(ISBLANK(K193),,Config!$C$3&amp;"&amp;range=BB"&amp;MATCH(K193,FRG!AE:AE,0))</f>
        <v/>
      </c>
      <c r="AB193" s="242" t="str">
        <f>IFERROR(__xludf.DUMMYFUNCTION("IF(ISBLANK(K193),,SUBSTITUTE(IFERROR(JOIN("","",K193:Z193),JOIN("","",K193:Y193)),CHAR(10),""""))"),"")</f>
        <v/>
      </c>
      <c r="AC193" s="229" t="str">
        <f t="shared" si="1"/>
        <v/>
      </c>
    </row>
    <row r="194">
      <c r="K194" s="237"/>
      <c r="L194" s="238" t="str">
        <f t="shared" si="3"/>
        <v/>
      </c>
      <c r="M194" s="237"/>
      <c r="N194" s="238"/>
      <c r="O194" s="238" t="str">
        <f t="shared" si="4"/>
        <v/>
      </c>
      <c r="P194" s="238" t="str">
        <f t="shared" si="5"/>
        <v/>
      </c>
      <c r="Q194" s="238" t="str">
        <f t="shared" si="6"/>
        <v/>
      </c>
      <c r="R194" s="238" t="str">
        <f t="shared" si="7"/>
        <v/>
      </c>
      <c r="S194" s="238" t="str">
        <f t="shared" si="8"/>
        <v/>
      </c>
      <c r="T194" s="238"/>
      <c r="U194" s="237"/>
      <c r="V194" s="238"/>
      <c r="W194" s="238" t="str">
        <f t="shared" si="9"/>
        <v/>
      </c>
      <c r="X194" s="237" t="str">
        <f t="shared" ref="X194:Y194" si="186">IF(ISBLANK(H194),,""""&amp;H194&amp;"""")</f>
        <v/>
      </c>
      <c r="Y194" s="237" t="str">
        <f t="shared" si="186"/>
        <v/>
      </c>
      <c r="Z194" s="237" t="str">
        <f>IF(ISBLANK(K194),,Config!$C$3&amp;"&amp;range=BB"&amp;MATCH(K194,FRG!AE:AE,0))</f>
        <v/>
      </c>
      <c r="AB194" s="242" t="str">
        <f>IFERROR(__xludf.DUMMYFUNCTION("IF(ISBLANK(K194),,SUBSTITUTE(IFERROR(JOIN("","",K194:Z194),JOIN("","",K194:Y194)),CHAR(10),""""))"),"")</f>
        <v/>
      </c>
      <c r="AC194" s="229" t="str">
        <f t="shared" si="1"/>
        <v/>
      </c>
    </row>
    <row r="195">
      <c r="K195" s="237"/>
      <c r="L195" s="238" t="str">
        <f t="shared" si="3"/>
        <v/>
      </c>
      <c r="M195" s="237"/>
      <c r="N195" s="238"/>
      <c r="O195" s="238" t="str">
        <f t="shared" si="4"/>
        <v/>
      </c>
      <c r="P195" s="238" t="str">
        <f t="shared" si="5"/>
        <v/>
      </c>
      <c r="Q195" s="238" t="str">
        <f t="shared" si="6"/>
        <v/>
      </c>
      <c r="R195" s="238" t="str">
        <f t="shared" si="7"/>
        <v/>
      </c>
      <c r="S195" s="238" t="str">
        <f t="shared" si="8"/>
        <v/>
      </c>
      <c r="T195" s="238"/>
      <c r="U195" s="237"/>
      <c r="V195" s="238"/>
      <c r="W195" s="238" t="str">
        <f t="shared" si="9"/>
        <v/>
      </c>
      <c r="X195" s="237" t="str">
        <f t="shared" ref="X195:Y195" si="187">IF(ISBLANK(H195),,""""&amp;H195&amp;"""")</f>
        <v/>
      </c>
      <c r="Y195" s="237" t="str">
        <f t="shared" si="187"/>
        <v/>
      </c>
      <c r="Z195" s="237" t="str">
        <f>IF(ISBLANK(K195),,Config!$C$3&amp;"&amp;range=BB"&amp;MATCH(K195,FRG!AE:AE,0))</f>
        <v/>
      </c>
      <c r="AB195" s="242" t="str">
        <f>IFERROR(__xludf.DUMMYFUNCTION("IF(ISBLANK(K195),,SUBSTITUTE(IFERROR(JOIN("","",K195:Z195),JOIN("","",K195:Y195)),CHAR(10),""""))"),"")</f>
        <v/>
      </c>
      <c r="AC195" s="229" t="str">
        <f t="shared" si="1"/>
        <v/>
      </c>
    </row>
    <row r="196">
      <c r="K196" s="237"/>
      <c r="L196" s="238" t="str">
        <f t="shared" si="3"/>
        <v/>
      </c>
      <c r="M196" s="237"/>
      <c r="N196" s="238"/>
      <c r="O196" s="238" t="str">
        <f t="shared" si="4"/>
        <v/>
      </c>
      <c r="P196" s="238" t="str">
        <f t="shared" si="5"/>
        <v/>
      </c>
      <c r="Q196" s="238" t="str">
        <f t="shared" si="6"/>
        <v/>
      </c>
      <c r="R196" s="238" t="str">
        <f t="shared" si="7"/>
        <v/>
      </c>
      <c r="S196" s="238" t="str">
        <f t="shared" si="8"/>
        <v/>
      </c>
      <c r="T196" s="238"/>
      <c r="U196" s="237"/>
      <c r="V196" s="238"/>
      <c r="W196" s="238" t="str">
        <f t="shared" si="9"/>
        <v/>
      </c>
      <c r="X196" s="237" t="str">
        <f t="shared" ref="X196:Y196" si="188">IF(ISBLANK(H196),,""""&amp;H196&amp;"""")</f>
        <v/>
      </c>
      <c r="Y196" s="237" t="str">
        <f t="shared" si="188"/>
        <v/>
      </c>
      <c r="Z196" s="237" t="str">
        <f>IF(ISBLANK(K196),,Config!$C$3&amp;"&amp;range=BB"&amp;MATCH(K196,FRG!AE:AE,0))</f>
        <v/>
      </c>
      <c r="AB196" s="242" t="str">
        <f>IFERROR(__xludf.DUMMYFUNCTION("IF(ISBLANK(K196),,SUBSTITUTE(IFERROR(JOIN("","",K196:Z196),JOIN("","",K196:Y196)),CHAR(10),""""))"),"")</f>
        <v/>
      </c>
      <c r="AC196" s="229" t="str">
        <f t="shared" si="1"/>
        <v/>
      </c>
    </row>
    <row r="197">
      <c r="K197" s="237"/>
      <c r="L197" s="238" t="str">
        <f t="shared" si="3"/>
        <v/>
      </c>
      <c r="M197" s="237"/>
      <c r="N197" s="238"/>
      <c r="O197" s="238" t="str">
        <f t="shared" si="4"/>
        <v/>
      </c>
      <c r="P197" s="238" t="str">
        <f t="shared" si="5"/>
        <v/>
      </c>
      <c r="Q197" s="238" t="str">
        <f t="shared" si="6"/>
        <v/>
      </c>
      <c r="R197" s="238" t="str">
        <f t="shared" si="7"/>
        <v/>
      </c>
      <c r="S197" s="238" t="str">
        <f t="shared" si="8"/>
        <v/>
      </c>
      <c r="T197" s="238"/>
      <c r="U197" s="237"/>
      <c r="V197" s="238"/>
      <c r="W197" s="238" t="str">
        <f t="shared" si="9"/>
        <v/>
      </c>
      <c r="X197" s="237" t="str">
        <f t="shared" ref="X197:Y197" si="189">IF(ISBLANK(H197),,""""&amp;H197&amp;"""")</f>
        <v/>
      </c>
      <c r="Y197" s="237" t="str">
        <f t="shared" si="189"/>
        <v/>
      </c>
      <c r="Z197" s="237" t="str">
        <f>IF(ISBLANK(K197),,Config!$C$3&amp;"&amp;range=BB"&amp;MATCH(K197,FRG!AE:AE,0))</f>
        <v/>
      </c>
      <c r="AB197" s="242" t="str">
        <f>IFERROR(__xludf.DUMMYFUNCTION("IF(ISBLANK(K197),,SUBSTITUTE(IFERROR(JOIN("","",K197:Z197),JOIN("","",K197:Y197)),CHAR(10),""""))"),"")</f>
        <v/>
      </c>
      <c r="AC197" s="229" t="str">
        <f t="shared" si="1"/>
        <v/>
      </c>
    </row>
    <row r="198">
      <c r="K198" s="237"/>
      <c r="L198" s="238" t="str">
        <f t="shared" si="3"/>
        <v/>
      </c>
      <c r="M198" s="237"/>
      <c r="N198" s="238"/>
      <c r="O198" s="238" t="str">
        <f t="shared" si="4"/>
        <v/>
      </c>
      <c r="P198" s="238" t="str">
        <f t="shared" si="5"/>
        <v/>
      </c>
      <c r="Q198" s="238" t="str">
        <f t="shared" si="6"/>
        <v/>
      </c>
      <c r="R198" s="238" t="str">
        <f t="shared" si="7"/>
        <v/>
      </c>
      <c r="S198" s="238" t="str">
        <f t="shared" si="8"/>
        <v/>
      </c>
      <c r="T198" s="238"/>
      <c r="U198" s="237"/>
      <c r="V198" s="238"/>
      <c r="W198" s="238" t="str">
        <f t="shared" si="9"/>
        <v/>
      </c>
      <c r="X198" s="237" t="str">
        <f t="shared" ref="X198:Y198" si="190">IF(ISBLANK(H198),,""""&amp;H198&amp;"""")</f>
        <v/>
      </c>
      <c r="Y198" s="237" t="str">
        <f t="shared" si="190"/>
        <v/>
      </c>
      <c r="Z198" s="237" t="str">
        <f>IF(ISBLANK(K198),,Config!$C$3&amp;"&amp;range=BB"&amp;MATCH(K198,FRG!AE:AE,0))</f>
        <v/>
      </c>
      <c r="AB198" s="242" t="str">
        <f>IFERROR(__xludf.DUMMYFUNCTION("IF(ISBLANK(K198),,SUBSTITUTE(IFERROR(JOIN("","",K198:Z198),JOIN("","",K198:Y198)),CHAR(10),""""))"),"")</f>
        <v/>
      </c>
      <c r="AC198" s="229" t="str">
        <f t="shared" si="1"/>
        <v/>
      </c>
    </row>
    <row r="199">
      <c r="K199" s="237"/>
      <c r="L199" s="238" t="str">
        <f t="shared" si="3"/>
        <v/>
      </c>
      <c r="M199" s="237"/>
      <c r="N199" s="238"/>
      <c r="O199" s="238" t="str">
        <f t="shared" si="4"/>
        <v/>
      </c>
      <c r="P199" s="238" t="str">
        <f t="shared" si="5"/>
        <v/>
      </c>
      <c r="Q199" s="238" t="str">
        <f t="shared" si="6"/>
        <v/>
      </c>
      <c r="R199" s="238" t="str">
        <f t="shared" si="7"/>
        <v/>
      </c>
      <c r="S199" s="238" t="str">
        <f t="shared" si="8"/>
        <v/>
      </c>
      <c r="T199" s="238"/>
      <c r="U199" s="237"/>
      <c r="V199" s="238"/>
      <c r="W199" s="238" t="str">
        <f t="shared" si="9"/>
        <v/>
      </c>
      <c r="X199" s="237" t="str">
        <f t="shared" ref="X199:Y199" si="191">IF(ISBLANK(H199),,""""&amp;H199&amp;"""")</f>
        <v/>
      </c>
      <c r="Y199" s="237" t="str">
        <f t="shared" si="191"/>
        <v/>
      </c>
      <c r="Z199" s="237" t="str">
        <f>IF(ISBLANK(K199),,Config!$C$3&amp;"&amp;range=BB"&amp;MATCH(K199,FRG!AE:AE,0))</f>
        <v/>
      </c>
      <c r="AB199" s="242" t="str">
        <f>IFERROR(__xludf.DUMMYFUNCTION("IF(ISBLANK(K199),,SUBSTITUTE(IFERROR(JOIN("","",K199:Z199),JOIN("","",K199:Y199)),CHAR(10),""""))"),"")</f>
        <v/>
      </c>
      <c r="AC199" s="229" t="str">
        <f t="shared" si="1"/>
        <v/>
      </c>
    </row>
    <row r="200">
      <c r="K200" s="237"/>
      <c r="L200" s="238" t="str">
        <f t="shared" si="3"/>
        <v/>
      </c>
      <c r="M200" s="237"/>
      <c r="N200" s="238"/>
      <c r="O200" s="238" t="str">
        <f t="shared" si="4"/>
        <v/>
      </c>
      <c r="P200" s="238" t="str">
        <f t="shared" si="5"/>
        <v/>
      </c>
      <c r="Q200" s="238" t="str">
        <f t="shared" si="6"/>
        <v/>
      </c>
      <c r="R200" s="238" t="str">
        <f t="shared" si="7"/>
        <v/>
      </c>
      <c r="S200" s="238" t="str">
        <f t="shared" si="8"/>
        <v/>
      </c>
      <c r="T200" s="238"/>
      <c r="U200" s="237"/>
      <c r="V200" s="238"/>
      <c r="W200" s="238" t="str">
        <f t="shared" si="9"/>
        <v/>
      </c>
      <c r="X200" s="237" t="str">
        <f t="shared" ref="X200:Y200" si="192">IF(ISBLANK(H200),,""""&amp;H200&amp;"""")</f>
        <v/>
      </c>
      <c r="Y200" s="237" t="str">
        <f t="shared" si="192"/>
        <v/>
      </c>
      <c r="Z200" s="237" t="str">
        <f>IF(ISBLANK(K200),,Config!$C$3&amp;"&amp;range=BB"&amp;MATCH(K200,FRG!AE:AE,0))</f>
        <v/>
      </c>
      <c r="AB200" s="242" t="str">
        <f>IFERROR(__xludf.DUMMYFUNCTION("IF(ISBLANK(K200),,SUBSTITUTE(IFERROR(JOIN("","",K200:Z200),JOIN("","",K200:Y200)),CHAR(10),""""))"),"")</f>
        <v/>
      </c>
      <c r="AC200" s="229" t="str">
        <f t="shared" si="1"/>
        <v/>
      </c>
    </row>
    <row r="201">
      <c r="K201" s="237"/>
      <c r="L201" s="238" t="str">
        <f t="shared" si="3"/>
        <v/>
      </c>
      <c r="M201" s="237"/>
      <c r="N201" s="238"/>
      <c r="O201" s="238" t="str">
        <f t="shared" si="4"/>
        <v/>
      </c>
      <c r="P201" s="238" t="str">
        <f t="shared" si="5"/>
        <v/>
      </c>
      <c r="Q201" s="238" t="str">
        <f t="shared" si="6"/>
        <v/>
      </c>
      <c r="R201" s="238" t="str">
        <f t="shared" si="7"/>
        <v/>
      </c>
      <c r="S201" s="238" t="str">
        <f t="shared" si="8"/>
        <v/>
      </c>
      <c r="T201" s="238"/>
      <c r="U201" s="237"/>
      <c r="V201" s="238"/>
      <c r="W201" s="238" t="str">
        <f t="shared" si="9"/>
        <v/>
      </c>
      <c r="X201" s="237" t="str">
        <f t="shared" ref="X201:Y201" si="193">IF(ISBLANK(H201),,""""&amp;H201&amp;"""")</f>
        <v/>
      </c>
      <c r="Y201" s="237" t="str">
        <f t="shared" si="193"/>
        <v/>
      </c>
      <c r="Z201" s="237" t="str">
        <f>IF(ISBLANK(K201),,Config!$C$3&amp;"&amp;range=BB"&amp;MATCH(K201,FRG!AE:AE,0))</f>
        <v/>
      </c>
      <c r="AB201" s="242" t="str">
        <f>IFERROR(__xludf.DUMMYFUNCTION("IF(ISBLANK(K201),,SUBSTITUTE(IFERROR(JOIN("","",K201:Z201),JOIN("","",K201:Y201)),CHAR(10),""""))"),"")</f>
        <v/>
      </c>
      <c r="AC201" s="229" t="str">
        <f t="shared" si="1"/>
        <v/>
      </c>
    </row>
    <row r="202">
      <c r="K202" s="237"/>
      <c r="L202" s="238" t="str">
        <f t="shared" si="3"/>
        <v/>
      </c>
      <c r="M202" s="237"/>
      <c r="N202" s="238"/>
      <c r="O202" s="238" t="str">
        <f t="shared" si="4"/>
        <v/>
      </c>
      <c r="P202" s="238" t="str">
        <f t="shared" si="5"/>
        <v/>
      </c>
      <c r="Q202" s="238" t="str">
        <f t="shared" si="6"/>
        <v/>
      </c>
      <c r="R202" s="238" t="str">
        <f t="shared" si="7"/>
        <v/>
      </c>
      <c r="S202" s="238" t="str">
        <f t="shared" si="8"/>
        <v/>
      </c>
      <c r="T202" s="238"/>
      <c r="U202" s="237"/>
      <c r="V202" s="238"/>
      <c r="W202" s="238" t="str">
        <f t="shared" si="9"/>
        <v/>
      </c>
      <c r="X202" s="237" t="str">
        <f t="shared" ref="X202:Y202" si="194">IF(ISBLANK(H202),,""""&amp;H202&amp;"""")</f>
        <v/>
      </c>
      <c r="Y202" s="237" t="str">
        <f t="shared" si="194"/>
        <v/>
      </c>
      <c r="Z202" s="237" t="str">
        <f>IF(ISBLANK(K202),,Config!$C$3&amp;"&amp;range=BB"&amp;MATCH(K202,FRG!AE:AE,0))</f>
        <v/>
      </c>
      <c r="AB202" s="242" t="str">
        <f>IFERROR(__xludf.DUMMYFUNCTION("IF(ISBLANK(K202),,SUBSTITUTE(IFERROR(JOIN("","",K202:Z202),JOIN("","",K202:Y202)),CHAR(10),""""))"),"")</f>
        <v/>
      </c>
      <c r="AC202" s="229" t="str">
        <f t="shared" si="1"/>
        <v/>
      </c>
    </row>
    <row r="203">
      <c r="K203" s="237"/>
      <c r="L203" s="238" t="str">
        <f t="shared" si="3"/>
        <v/>
      </c>
      <c r="M203" s="237"/>
      <c r="N203" s="238"/>
      <c r="O203" s="238" t="str">
        <f t="shared" si="4"/>
        <v/>
      </c>
      <c r="P203" s="238" t="str">
        <f t="shared" si="5"/>
        <v/>
      </c>
      <c r="Q203" s="238" t="str">
        <f t="shared" si="6"/>
        <v/>
      </c>
      <c r="R203" s="238" t="str">
        <f t="shared" si="7"/>
        <v/>
      </c>
      <c r="S203" s="238" t="str">
        <f t="shared" si="8"/>
        <v/>
      </c>
      <c r="T203" s="238"/>
      <c r="U203" s="237"/>
      <c r="V203" s="238"/>
      <c r="W203" s="238" t="str">
        <f t="shared" si="9"/>
        <v/>
      </c>
      <c r="X203" s="237" t="str">
        <f t="shared" ref="X203:Y203" si="195">IF(ISBLANK(H203),,""""&amp;H203&amp;"""")</f>
        <v/>
      </c>
      <c r="Y203" s="237" t="str">
        <f t="shared" si="195"/>
        <v/>
      </c>
      <c r="Z203" s="237" t="str">
        <f>IF(ISBLANK(K203),,Config!$C$3&amp;"&amp;range=BB"&amp;MATCH(K203,FRG!AE:AE,0))</f>
        <v/>
      </c>
      <c r="AB203" s="242" t="str">
        <f>IFERROR(__xludf.DUMMYFUNCTION("IF(ISBLANK(K203),,SUBSTITUTE(IFERROR(JOIN("","",K203:Z203),JOIN("","",K203:Y203)),CHAR(10),""""))"),"")</f>
        <v/>
      </c>
      <c r="AC203" s="229" t="str">
        <f t="shared" si="1"/>
        <v/>
      </c>
    </row>
    <row r="204">
      <c r="K204" s="237"/>
      <c r="L204" s="238" t="str">
        <f t="shared" si="3"/>
        <v/>
      </c>
      <c r="M204" s="237"/>
      <c r="N204" s="238"/>
      <c r="O204" s="238" t="str">
        <f t="shared" si="4"/>
        <v/>
      </c>
      <c r="P204" s="238" t="str">
        <f t="shared" si="5"/>
        <v/>
      </c>
      <c r="Q204" s="238" t="str">
        <f t="shared" si="6"/>
        <v/>
      </c>
      <c r="R204" s="238" t="str">
        <f t="shared" si="7"/>
        <v/>
      </c>
      <c r="S204" s="238" t="str">
        <f t="shared" si="8"/>
        <v/>
      </c>
      <c r="T204" s="238"/>
      <c r="U204" s="237"/>
      <c r="V204" s="238"/>
      <c r="W204" s="238" t="str">
        <f t="shared" si="9"/>
        <v/>
      </c>
      <c r="X204" s="237" t="str">
        <f t="shared" ref="X204:Y204" si="196">IF(ISBLANK(H204),,""""&amp;H204&amp;"""")</f>
        <v/>
      </c>
      <c r="Y204" s="237" t="str">
        <f t="shared" si="196"/>
        <v/>
      </c>
      <c r="Z204" s="237" t="str">
        <f>IF(ISBLANK(K204),,Config!$C$3&amp;"&amp;range=BB"&amp;MATCH(K204,FRG!AE:AE,0))</f>
        <v/>
      </c>
      <c r="AB204" s="242" t="str">
        <f>IFERROR(__xludf.DUMMYFUNCTION("IF(ISBLANK(K204),,SUBSTITUTE(IFERROR(JOIN("","",K204:Z204),JOIN("","",K204:Y204)),CHAR(10),""""))"),"")</f>
        <v/>
      </c>
      <c r="AC204" s="229" t="str">
        <f t="shared" si="1"/>
        <v/>
      </c>
    </row>
    <row r="205">
      <c r="K205" s="237"/>
      <c r="L205" s="238" t="str">
        <f t="shared" si="3"/>
        <v/>
      </c>
      <c r="M205" s="237"/>
      <c r="N205" s="238"/>
      <c r="O205" s="238" t="str">
        <f t="shared" si="4"/>
        <v/>
      </c>
      <c r="P205" s="238" t="str">
        <f t="shared" si="5"/>
        <v/>
      </c>
      <c r="Q205" s="238" t="str">
        <f t="shared" si="6"/>
        <v/>
      </c>
      <c r="R205" s="238" t="str">
        <f t="shared" si="7"/>
        <v/>
      </c>
      <c r="S205" s="238" t="str">
        <f t="shared" si="8"/>
        <v/>
      </c>
      <c r="T205" s="238"/>
      <c r="U205" s="237"/>
      <c r="V205" s="238"/>
      <c r="W205" s="238" t="str">
        <f t="shared" si="9"/>
        <v/>
      </c>
      <c r="X205" s="237" t="str">
        <f t="shared" ref="X205:Y205" si="197">IF(ISBLANK(H205),,""""&amp;H205&amp;"""")</f>
        <v/>
      </c>
      <c r="Y205" s="237" t="str">
        <f t="shared" si="197"/>
        <v/>
      </c>
      <c r="Z205" s="237" t="str">
        <f>IF(ISBLANK(K205),,Config!$C$3&amp;"&amp;range=BB"&amp;MATCH(K205,FRG!AE:AE,0))</f>
        <v/>
      </c>
      <c r="AB205" s="242" t="str">
        <f>IFERROR(__xludf.DUMMYFUNCTION("IF(ISBLANK(K205),,SUBSTITUTE(IFERROR(JOIN("","",K205:Z205),JOIN("","",K205:Y205)),CHAR(10),""""))"),"")</f>
        <v/>
      </c>
      <c r="AC205" s="229" t="str">
        <f t="shared" si="1"/>
        <v/>
      </c>
    </row>
    <row r="206">
      <c r="K206" s="237"/>
      <c r="L206" s="238" t="str">
        <f t="shared" si="3"/>
        <v/>
      </c>
      <c r="M206" s="237"/>
      <c r="N206" s="238"/>
      <c r="O206" s="238" t="str">
        <f t="shared" si="4"/>
        <v/>
      </c>
      <c r="P206" s="238" t="str">
        <f t="shared" si="5"/>
        <v/>
      </c>
      <c r="Q206" s="238" t="str">
        <f t="shared" si="6"/>
        <v/>
      </c>
      <c r="R206" s="238" t="str">
        <f t="shared" si="7"/>
        <v/>
      </c>
      <c r="S206" s="238" t="str">
        <f t="shared" si="8"/>
        <v/>
      </c>
      <c r="T206" s="238"/>
      <c r="U206" s="237"/>
      <c r="V206" s="238"/>
      <c r="W206" s="238" t="str">
        <f t="shared" si="9"/>
        <v/>
      </c>
      <c r="X206" s="237" t="str">
        <f t="shared" ref="X206:Y206" si="198">IF(ISBLANK(H206),,""""&amp;H206&amp;"""")</f>
        <v/>
      </c>
      <c r="Y206" s="237" t="str">
        <f t="shared" si="198"/>
        <v/>
      </c>
      <c r="Z206" s="237" t="str">
        <f>IF(ISBLANK(K206),,Config!$C$3&amp;"&amp;range=BB"&amp;MATCH(K206,FRG!AE:AE,0))</f>
        <v/>
      </c>
      <c r="AB206" s="242" t="str">
        <f>IFERROR(__xludf.DUMMYFUNCTION("IF(ISBLANK(K206),,SUBSTITUTE(IFERROR(JOIN("","",K206:Z206),JOIN("","",K206:Y206)),CHAR(10),""""))"),"")</f>
        <v/>
      </c>
      <c r="AC206" s="229" t="str">
        <f t="shared" si="1"/>
        <v/>
      </c>
    </row>
    <row r="207">
      <c r="K207" s="237"/>
      <c r="L207" s="238" t="str">
        <f t="shared" si="3"/>
        <v/>
      </c>
      <c r="M207" s="237"/>
      <c r="N207" s="238"/>
      <c r="O207" s="238" t="str">
        <f t="shared" si="4"/>
        <v/>
      </c>
      <c r="P207" s="238" t="str">
        <f t="shared" si="5"/>
        <v/>
      </c>
      <c r="Q207" s="238" t="str">
        <f t="shared" si="6"/>
        <v/>
      </c>
      <c r="R207" s="238" t="str">
        <f t="shared" si="7"/>
        <v/>
      </c>
      <c r="S207" s="238" t="str">
        <f t="shared" si="8"/>
        <v/>
      </c>
      <c r="T207" s="238"/>
      <c r="U207" s="237"/>
      <c r="V207" s="238"/>
      <c r="W207" s="238" t="str">
        <f t="shared" si="9"/>
        <v/>
      </c>
      <c r="X207" s="237" t="str">
        <f t="shared" ref="X207:Y207" si="199">IF(ISBLANK(H207),,""""&amp;H207&amp;"""")</f>
        <v/>
      </c>
      <c r="Y207" s="237" t="str">
        <f t="shared" si="199"/>
        <v/>
      </c>
      <c r="Z207" s="237" t="str">
        <f>IF(ISBLANK(K207),,Config!$C$3&amp;"&amp;range=BB"&amp;MATCH(K207,FRG!AE:AE,0))</f>
        <v/>
      </c>
      <c r="AB207" s="242" t="str">
        <f>IFERROR(__xludf.DUMMYFUNCTION("IF(ISBLANK(K207),,SUBSTITUTE(IFERROR(JOIN("","",K207:Z207),JOIN("","",K207:Y207)),CHAR(10),""""))"),"")</f>
        <v/>
      </c>
      <c r="AC207" s="229" t="str">
        <f t="shared" si="1"/>
        <v/>
      </c>
    </row>
    <row r="208">
      <c r="K208" s="237"/>
      <c r="L208" s="238" t="str">
        <f t="shared" si="3"/>
        <v/>
      </c>
      <c r="M208" s="237"/>
      <c r="N208" s="238"/>
      <c r="O208" s="238" t="str">
        <f t="shared" si="4"/>
        <v/>
      </c>
      <c r="P208" s="238" t="str">
        <f t="shared" si="5"/>
        <v/>
      </c>
      <c r="Q208" s="238" t="str">
        <f t="shared" si="6"/>
        <v/>
      </c>
      <c r="R208" s="238" t="str">
        <f t="shared" si="7"/>
        <v/>
      </c>
      <c r="S208" s="238" t="str">
        <f t="shared" si="8"/>
        <v/>
      </c>
      <c r="T208" s="238"/>
      <c r="U208" s="237"/>
      <c r="V208" s="238"/>
      <c r="W208" s="238" t="str">
        <f t="shared" si="9"/>
        <v/>
      </c>
      <c r="X208" s="237" t="str">
        <f t="shared" ref="X208:Y208" si="200">IF(ISBLANK(H208),,""""&amp;H208&amp;"""")</f>
        <v/>
      </c>
      <c r="Y208" s="237" t="str">
        <f t="shared" si="200"/>
        <v/>
      </c>
      <c r="Z208" s="237" t="str">
        <f>IF(ISBLANK(K208),,Config!$C$3&amp;"&amp;range=BB"&amp;MATCH(K208,FRG!AE:AE,0))</f>
        <v/>
      </c>
      <c r="AB208" s="242" t="str">
        <f>IFERROR(__xludf.DUMMYFUNCTION("IF(ISBLANK(K208),,SUBSTITUTE(IFERROR(JOIN("","",K208:Z208),JOIN("","",K208:Y208)),CHAR(10),""""))"),"")</f>
        <v/>
      </c>
      <c r="AC208" s="229" t="str">
        <f t="shared" si="1"/>
        <v/>
      </c>
    </row>
    <row r="209">
      <c r="K209" s="237"/>
      <c r="L209" s="238" t="str">
        <f t="shared" si="3"/>
        <v/>
      </c>
      <c r="M209" s="237"/>
      <c r="N209" s="238"/>
      <c r="O209" s="238" t="str">
        <f t="shared" si="4"/>
        <v/>
      </c>
      <c r="P209" s="238" t="str">
        <f t="shared" si="5"/>
        <v/>
      </c>
      <c r="Q209" s="238" t="str">
        <f t="shared" si="6"/>
        <v/>
      </c>
      <c r="R209" s="238" t="str">
        <f t="shared" si="7"/>
        <v/>
      </c>
      <c r="S209" s="238" t="str">
        <f t="shared" si="8"/>
        <v/>
      </c>
      <c r="T209" s="238"/>
      <c r="U209" s="237"/>
      <c r="V209" s="238"/>
      <c r="W209" s="238" t="str">
        <f t="shared" si="9"/>
        <v/>
      </c>
      <c r="X209" s="237" t="str">
        <f t="shared" ref="X209:Y209" si="201">IF(ISBLANK(H209),,""""&amp;H209&amp;"""")</f>
        <v/>
      </c>
      <c r="Y209" s="237" t="str">
        <f t="shared" si="201"/>
        <v/>
      </c>
      <c r="Z209" s="237" t="str">
        <f>IF(ISBLANK(K209),,Config!$C$3&amp;"&amp;range=BB"&amp;MATCH(K209,FRG!AE:AE,0))</f>
        <v/>
      </c>
      <c r="AB209" s="242" t="str">
        <f>IFERROR(__xludf.DUMMYFUNCTION("IF(ISBLANK(K209),,SUBSTITUTE(IFERROR(JOIN("","",K209:Z209),JOIN("","",K209:Y209)),CHAR(10),""""))"),"")</f>
        <v/>
      </c>
      <c r="AC209" s="229" t="str">
        <f t="shared" si="1"/>
        <v/>
      </c>
    </row>
    <row r="210">
      <c r="K210" s="237"/>
      <c r="L210" s="238" t="str">
        <f t="shared" si="3"/>
        <v/>
      </c>
      <c r="M210" s="237"/>
      <c r="N210" s="238"/>
      <c r="O210" s="238" t="str">
        <f t="shared" si="4"/>
        <v/>
      </c>
      <c r="P210" s="238" t="str">
        <f t="shared" si="5"/>
        <v/>
      </c>
      <c r="Q210" s="238" t="str">
        <f t="shared" si="6"/>
        <v/>
      </c>
      <c r="R210" s="238" t="str">
        <f t="shared" si="7"/>
        <v/>
      </c>
      <c r="S210" s="238" t="str">
        <f t="shared" si="8"/>
        <v/>
      </c>
      <c r="T210" s="238"/>
      <c r="U210" s="237"/>
      <c r="V210" s="238"/>
      <c r="W210" s="238" t="str">
        <f t="shared" si="9"/>
        <v/>
      </c>
      <c r="X210" s="237" t="str">
        <f t="shared" ref="X210:Y210" si="202">IF(ISBLANK(H210),,""""&amp;H210&amp;"""")</f>
        <v/>
      </c>
      <c r="Y210" s="237" t="str">
        <f t="shared" si="202"/>
        <v/>
      </c>
      <c r="Z210" s="237" t="str">
        <f>IF(ISBLANK(K210),,Config!$C$3&amp;"&amp;range=BB"&amp;MATCH(K210,FRG!AE:AE,0))</f>
        <v/>
      </c>
      <c r="AB210" s="242" t="str">
        <f>IFERROR(__xludf.DUMMYFUNCTION("IF(ISBLANK(K210),,SUBSTITUTE(IFERROR(JOIN("","",K210:Z210),JOIN("","",K210:Y210)),CHAR(10),""""))"),"")</f>
        <v/>
      </c>
      <c r="AC210" s="229" t="str">
        <f t="shared" si="1"/>
        <v/>
      </c>
    </row>
    <row r="211">
      <c r="K211" s="237"/>
      <c r="L211" s="238" t="str">
        <f t="shared" si="3"/>
        <v/>
      </c>
      <c r="M211" s="237"/>
      <c r="N211" s="238"/>
      <c r="O211" s="238" t="str">
        <f t="shared" si="4"/>
        <v/>
      </c>
      <c r="P211" s="238" t="str">
        <f t="shared" si="5"/>
        <v/>
      </c>
      <c r="Q211" s="238" t="str">
        <f t="shared" si="6"/>
        <v/>
      </c>
      <c r="R211" s="238" t="str">
        <f t="shared" si="7"/>
        <v/>
      </c>
      <c r="S211" s="238" t="str">
        <f t="shared" si="8"/>
        <v/>
      </c>
      <c r="T211" s="238"/>
      <c r="U211" s="237"/>
      <c r="V211" s="238"/>
      <c r="W211" s="238" t="str">
        <f t="shared" si="9"/>
        <v/>
      </c>
      <c r="X211" s="237" t="str">
        <f t="shared" ref="X211:Y211" si="203">IF(ISBLANK(H211),,""""&amp;H211&amp;"""")</f>
        <v/>
      </c>
      <c r="Y211" s="237" t="str">
        <f t="shared" si="203"/>
        <v/>
      </c>
      <c r="Z211" s="237" t="str">
        <f>IF(ISBLANK(K211),,Config!$C$3&amp;"&amp;range=BB"&amp;MATCH(K211,FRG!AE:AE,0))</f>
        <v/>
      </c>
      <c r="AB211" s="242" t="str">
        <f>IFERROR(__xludf.DUMMYFUNCTION("IF(ISBLANK(K211),,SUBSTITUTE(IFERROR(JOIN("","",K211:Z211),JOIN("","",K211:Y211)),CHAR(10),""""))"),"")</f>
        <v/>
      </c>
      <c r="AC211" s="229" t="str">
        <f t="shared" si="1"/>
        <v/>
      </c>
    </row>
    <row r="212">
      <c r="K212" s="237"/>
      <c r="L212" s="238" t="str">
        <f t="shared" si="3"/>
        <v/>
      </c>
      <c r="M212" s="237"/>
      <c r="N212" s="238"/>
      <c r="O212" s="238" t="str">
        <f t="shared" si="4"/>
        <v/>
      </c>
      <c r="P212" s="238" t="str">
        <f t="shared" si="5"/>
        <v/>
      </c>
      <c r="Q212" s="238" t="str">
        <f t="shared" si="6"/>
        <v/>
      </c>
      <c r="R212" s="238" t="str">
        <f t="shared" si="7"/>
        <v/>
      </c>
      <c r="S212" s="238" t="str">
        <f t="shared" si="8"/>
        <v/>
      </c>
      <c r="T212" s="238"/>
      <c r="U212" s="237"/>
      <c r="V212" s="238"/>
      <c r="W212" s="238" t="str">
        <f t="shared" si="9"/>
        <v/>
      </c>
      <c r="X212" s="237" t="str">
        <f t="shared" ref="X212:Y212" si="204">IF(ISBLANK(H212),,""""&amp;H212&amp;"""")</f>
        <v/>
      </c>
      <c r="Y212" s="237" t="str">
        <f t="shared" si="204"/>
        <v/>
      </c>
      <c r="Z212" s="237" t="str">
        <f>IF(ISBLANK(K212),,Config!$C$3&amp;"&amp;range=BB"&amp;MATCH(K212,FRG!AE:AE,0))</f>
        <v/>
      </c>
      <c r="AB212" s="242" t="str">
        <f>IFERROR(__xludf.DUMMYFUNCTION("IF(ISBLANK(K212),,SUBSTITUTE(IFERROR(JOIN("","",K212:Z212),JOIN("","",K212:Y212)),CHAR(10),""""))"),"")</f>
        <v/>
      </c>
      <c r="AC212" s="229" t="str">
        <f t="shared" si="1"/>
        <v/>
      </c>
    </row>
    <row r="213">
      <c r="K213" s="237"/>
      <c r="L213" s="238" t="str">
        <f t="shared" si="3"/>
        <v/>
      </c>
      <c r="M213" s="237"/>
      <c r="N213" s="238"/>
      <c r="O213" s="238" t="str">
        <f t="shared" si="4"/>
        <v/>
      </c>
      <c r="P213" s="238" t="str">
        <f t="shared" si="5"/>
        <v/>
      </c>
      <c r="Q213" s="238" t="str">
        <f t="shared" si="6"/>
        <v/>
      </c>
      <c r="R213" s="238" t="str">
        <f t="shared" si="7"/>
        <v/>
      </c>
      <c r="S213" s="238" t="str">
        <f t="shared" si="8"/>
        <v/>
      </c>
      <c r="T213" s="238"/>
      <c r="U213" s="237"/>
      <c r="V213" s="238"/>
      <c r="W213" s="238" t="str">
        <f t="shared" si="9"/>
        <v/>
      </c>
      <c r="X213" s="237" t="str">
        <f t="shared" ref="X213:Y213" si="205">IF(ISBLANK(H213),,""""&amp;H213&amp;"""")</f>
        <v/>
      </c>
      <c r="Y213" s="237" t="str">
        <f t="shared" si="205"/>
        <v/>
      </c>
      <c r="Z213" s="237" t="str">
        <f>IF(ISBLANK(K213),,Config!$C$3&amp;"&amp;range=BB"&amp;MATCH(K213,FRG!AE:AE,0))</f>
        <v/>
      </c>
      <c r="AB213" s="242" t="str">
        <f>IFERROR(__xludf.DUMMYFUNCTION("IF(ISBLANK(K213),,SUBSTITUTE(IFERROR(JOIN("","",K213:Z213),JOIN("","",K213:Y213)),CHAR(10),""""))"),"")</f>
        <v/>
      </c>
      <c r="AC213" s="229" t="str">
        <f t="shared" si="1"/>
        <v/>
      </c>
    </row>
    <row r="214">
      <c r="K214" s="237"/>
      <c r="L214" s="238" t="str">
        <f t="shared" si="3"/>
        <v/>
      </c>
      <c r="M214" s="237"/>
      <c r="N214" s="238"/>
      <c r="O214" s="238" t="str">
        <f t="shared" si="4"/>
        <v/>
      </c>
      <c r="P214" s="238" t="str">
        <f t="shared" si="5"/>
        <v/>
      </c>
      <c r="Q214" s="238" t="str">
        <f t="shared" si="6"/>
        <v/>
      </c>
      <c r="R214" s="238" t="str">
        <f t="shared" si="7"/>
        <v/>
      </c>
      <c r="S214" s="238" t="str">
        <f t="shared" si="8"/>
        <v/>
      </c>
      <c r="T214" s="238"/>
      <c r="U214" s="237"/>
      <c r="V214" s="238"/>
      <c r="W214" s="238" t="str">
        <f t="shared" si="9"/>
        <v/>
      </c>
      <c r="X214" s="237" t="str">
        <f t="shared" ref="X214:Y214" si="206">IF(ISBLANK(H214),,""""&amp;H214&amp;"""")</f>
        <v/>
      </c>
      <c r="Y214" s="237" t="str">
        <f t="shared" si="206"/>
        <v/>
      </c>
      <c r="Z214" s="237" t="str">
        <f>IF(ISBLANK(K214),,Config!$C$3&amp;"&amp;range=BB"&amp;MATCH(K214,FRG!AE:AE,0))</f>
        <v/>
      </c>
      <c r="AB214" s="242" t="str">
        <f>IFERROR(__xludf.DUMMYFUNCTION("IF(ISBLANK(K214),,SUBSTITUTE(IFERROR(JOIN("","",K214:Z214),JOIN("","",K214:Y214)),CHAR(10),""""))"),"")</f>
        <v/>
      </c>
      <c r="AC214" s="229" t="str">
        <f t="shared" si="1"/>
        <v/>
      </c>
    </row>
    <row r="215">
      <c r="K215" s="237"/>
      <c r="L215" s="238" t="str">
        <f t="shared" si="3"/>
        <v/>
      </c>
      <c r="M215" s="237"/>
      <c r="N215" s="238"/>
      <c r="O215" s="238" t="str">
        <f t="shared" si="4"/>
        <v/>
      </c>
      <c r="P215" s="238" t="str">
        <f t="shared" si="5"/>
        <v/>
      </c>
      <c r="Q215" s="238" t="str">
        <f t="shared" si="6"/>
        <v/>
      </c>
      <c r="R215" s="238" t="str">
        <f t="shared" si="7"/>
        <v/>
      </c>
      <c r="S215" s="238" t="str">
        <f t="shared" si="8"/>
        <v/>
      </c>
      <c r="T215" s="238"/>
      <c r="U215" s="237"/>
      <c r="V215" s="238"/>
      <c r="W215" s="238" t="str">
        <f t="shared" si="9"/>
        <v/>
      </c>
      <c r="X215" s="237" t="str">
        <f t="shared" ref="X215:Y215" si="207">IF(ISBLANK(H215),,""""&amp;H215&amp;"""")</f>
        <v/>
      </c>
      <c r="Y215" s="237" t="str">
        <f t="shared" si="207"/>
        <v/>
      </c>
      <c r="Z215" s="237" t="str">
        <f>IF(ISBLANK(K215),,Config!$C$3&amp;"&amp;range=BB"&amp;MATCH(K215,FRG!AE:AE,0))</f>
        <v/>
      </c>
      <c r="AB215" s="242" t="str">
        <f>IFERROR(__xludf.DUMMYFUNCTION("IF(ISBLANK(K215),,SUBSTITUTE(IFERROR(JOIN("","",K215:Z215),JOIN("","",K215:Y215)),CHAR(10),""""))"),"")</f>
        <v/>
      </c>
      <c r="AC215" s="229" t="str">
        <f t="shared" si="1"/>
        <v/>
      </c>
    </row>
    <row r="216">
      <c r="K216" s="237"/>
      <c r="L216" s="238" t="str">
        <f t="shared" si="3"/>
        <v/>
      </c>
      <c r="M216" s="237"/>
      <c r="N216" s="238"/>
      <c r="O216" s="238" t="str">
        <f t="shared" si="4"/>
        <v/>
      </c>
      <c r="P216" s="238" t="str">
        <f t="shared" si="5"/>
        <v/>
      </c>
      <c r="Q216" s="238" t="str">
        <f t="shared" si="6"/>
        <v/>
      </c>
      <c r="R216" s="238" t="str">
        <f t="shared" si="7"/>
        <v/>
      </c>
      <c r="S216" s="238" t="str">
        <f t="shared" si="8"/>
        <v/>
      </c>
      <c r="T216" s="238"/>
      <c r="U216" s="237"/>
      <c r="V216" s="238"/>
      <c r="W216" s="238" t="str">
        <f t="shared" si="9"/>
        <v/>
      </c>
      <c r="X216" s="237" t="str">
        <f t="shared" ref="X216:Y216" si="208">IF(ISBLANK(H216),,""""&amp;H216&amp;"""")</f>
        <v/>
      </c>
      <c r="Y216" s="237" t="str">
        <f t="shared" si="208"/>
        <v/>
      </c>
      <c r="Z216" s="237" t="str">
        <f>IF(ISBLANK(K216),,Config!$C$3&amp;"&amp;range=BB"&amp;MATCH(K216,FRG!AE:AE,0))</f>
        <v/>
      </c>
      <c r="AB216" s="242" t="str">
        <f>IFERROR(__xludf.DUMMYFUNCTION("IF(ISBLANK(K216),,SUBSTITUTE(IFERROR(JOIN("","",K216:Z216),JOIN("","",K216:Y216)),CHAR(10),""""))"),"")</f>
        <v/>
      </c>
      <c r="AC216" s="229" t="str">
        <f t="shared" si="1"/>
        <v/>
      </c>
    </row>
    <row r="217">
      <c r="K217" s="237"/>
      <c r="L217" s="238" t="str">
        <f t="shared" si="3"/>
        <v/>
      </c>
      <c r="M217" s="237"/>
      <c r="N217" s="238"/>
      <c r="O217" s="238" t="str">
        <f t="shared" si="4"/>
        <v/>
      </c>
      <c r="P217" s="238" t="str">
        <f t="shared" si="5"/>
        <v/>
      </c>
      <c r="Q217" s="238" t="str">
        <f t="shared" si="6"/>
        <v/>
      </c>
      <c r="R217" s="238" t="str">
        <f t="shared" si="7"/>
        <v/>
      </c>
      <c r="S217" s="238" t="str">
        <f t="shared" si="8"/>
        <v/>
      </c>
      <c r="T217" s="238"/>
      <c r="U217" s="237"/>
      <c r="V217" s="238"/>
      <c r="W217" s="238" t="str">
        <f t="shared" si="9"/>
        <v/>
      </c>
      <c r="X217" s="237" t="str">
        <f t="shared" ref="X217:Y217" si="209">IF(ISBLANK(H217),,""""&amp;H217&amp;"""")</f>
        <v/>
      </c>
      <c r="Y217" s="237" t="str">
        <f t="shared" si="209"/>
        <v/>
      </c>
      <c r="Z217" s="237" t="str">
        <f>IF(ISBLANK(K217),,Config!$C$3&amp;"&amp;range=BB"&amp;MATCH(K217,FRG!AE:AE,0))</f>
        <v/>
      </c>
      <c r="AB217" s="242" t="str">
        <f>IFERROR(__xludf.DUMMYFUNCTION("IF(ISBLANK(K217),,SUBSTITUTE(IFERROR(JOIN("","",K217:Z217),JOIN("","",K217:Y217)),CHAR(10),""""))"),"")</f>
        <v/>
      </c>
      <c r="AC217" s="229" t="str">
        <f t="shared" si="1"/>
        <v/>
      </c>
    </row>
    <row r="218">
      <c r="K218" s="237"/>
      <c r="L218" s="238" t="str">
        <f t="shared" si="3"/>
        <v/>
      </c>
      <c r="M218" s="237"/>
      <c r="N218" s="238"/>
      <c r="O218" s="238" t="str">
        <f t="shared" si="4"/>
        <v/>
      </c>
      <c r="P218" s="238" t="str">
        <f t="shared" si="5"/>
        <v/>
      </c>
      <c r="Q218" s="238" t="str">
        <f t="shared" si="6"/>
        <v/>
      </c>
      <c r="R218" s="238" t="str">
        <f t="shared" si="7"/>
        <v/>
      </c>
      <c r="S218" s="238" t="str">
        <f t="shared" si="8"/>
        <v/>
      </c>
      <c r="T218" s="238"/>
      <c r="U218" s="237"/>
      <c r="V218" s="238"/>
      <c r="W218" s="238" t="str">
        <f t="shared" si="9"/>
        <v/>
      </c>
      <c r="X218" s="237" t="str">
        <f t="shared" ref="X218:Y218" si="210">IF(ISBLANK(H218),,""""&amp;H218&amp;"""")</f>
        <v/>
      </c>
      <c r="Y218" s="237" t="str">
        <f t="shared" si="210"/>
        <v/>
      </c>
      <c r="Z218" s="237" t="str">
        <f>IF(ISBLANK(K218),,Config!$C$3&amp;"&amp;range=BB"&amp;MATCH(K218,FRG!AE:AE,0))</f>
        <v/>
      </c>
      <c r="AB218" s="242" t="str">
        <f>IFERROR(__xludf.DUMMYFUNCTION("IF(ISBLANK(K218),,SUBSTITUTE(IFERROR(JOIN("","",K218:Z218),JOIN("","",K218:Y218)),CHAR(10),""""))"),"")</f>
        <v/>
      </c>
      <c r="AC218" s="229" t="str">
        <f t="shared" si="1"/>
        <v/>
      </c>
    </row>
    <row r="219">
      <c r="K219" s="237"/>
      <c r="L219" s="238" t="str">
        <f t="shared" si="3"/>
        <v/>
      </c>
      <c r="M219" s="237"/>
      <c r="N219" s="238"/>
      <c r="O219" s="238" t="str">
        <f t="shared" si="4"/>
        <v/>
      </c>
      <c r="P219" s="238" t="str">
        <f t="shared" si="5"/>
        <v/>
      </c>
      <c r="Q219" s="238" t="str">
        <f t="shared" si="6"/>
        <v/>
      </c>
      <c r="R219" s="238" t="str">
        <f t="shared" si="7"/>
        <v/>
      </c>
      <c r="S219" s="238" t="str">
        <f t="shared" si="8"/>
        <v/>
      </c>
      <c r="T219" s="238"/>
      <c r="U219" s="237"/>
      <c r="V219" s="238"/>
      <c r="W219" s="238" t="str">
        <f t="shared" si="9"/>
        <v/>
      </c>
      <c r="X219" s="237" t="str">
        <f t="shared" ref="X219:Y219" si="211">IF(ISBLANK(H219),,""""&amp;H219&amp;"""")</f>
        <v/>
      </c>
      <c r="Y219" s="237" t="str">
        <f t="shared" si="211"/>
        <v/>
      </c>
      <c r="Z219" s="237" t="str">
        <f>IF(ISBLANK(K219),,Config!$C$3&amp;"&amp;range=BB"&amp;MATCH(K219,FRG!AE:AE,0))</f>
        <v/>
      </c>
      <c r="AB219" s="242" t="str">
        <f>IFERROR(__xludf.DUMMYFUNCTION("IF(ISBLANK(K219),,SUBSTITUTE(IFERROR(JOIN("","",K219:Z219),JOIN("","",K219:Y219)),CHAR(10),""""))"),"")</f>
        <v/>
      </c>
      <c r="AC219" s="229" t="str">
        <f t="shared" si="1"/>
        <v/>
      </c>
    </row>
    <row r="220">
      <c r="K220" s="237"/>
      <c r="L220" s="238" t="str">
        <f t="shared" si="3"/>
        <v/>
      </c>
      <c r="M220" s="237"/>
      <c r="N220" s="238"/>
      <c r="O220" s="238" t="str">
        <f t="shared" si="4"/>
        <v/>
      </c>
      <c r="P220" s="238" t="str">
        <f t="shared" si="5"/>
        <v/>
      </c>
      <c r="Q220" s="238" t="str">
        <f t="shared" si="6"/>
        <v/>
      </c>
      <c r="R220" s="238" t="str">
        <f t="shared" si="7"/>
        <v/>
      </c>
      <c r="S220" s="238" t="str">
        <f t="shared" si="8"/>
        <v/>
      </c>
      <c r="T220" s="238"/>
      <c r="U220" s="237"/>
      <c r="V220" s="238"/>
      <c r="W220" s="238" t="str">
        <f t="shared" si="9"/>
        <v/>
      </c>
      <c r="X220" s="237" t="str">
        <f t="shared" ref="X220:Y220" si="212">IF(ISBLANK(H220),,""""&amp;H220&amp;"""")</f>
        <v/>
      </c>
      <c r="Y220" s="237" t="str">
        <f t="shared" si="212"/>
        <v/>
      </c>
      <c r="Z220" s="237" t="str">
        <f>IF(ISBLANK(K220),,Config!$C$3&amp;"&amp;range=BB"&amp;MATCH(K220,FRG!AE:AE,0))</f>
        <v/>
      </c>
      <c r="AB220" s="242" t="str">
        <f>IFERROR(__xludf.DUMMYFUNCTION("IF(ISBLANK(K220),,SUBSTITUTE(IFERROR(JOIN("","",K220:Z220),JOIN("","",K220:Y220)),CHAR(10),""""))"),"")</f>
        <v/>
      </c>
      <c r="AC220" s="229" t="str">
        <f t="shared" si="1"/>
        <v/>
      </c>
    </row>
    <row r="221">
      <c r="K221" s="237"/>
      <c r="L221" s="238" t="str">
        <f t="shared" si="3"/>
        <v/>
      </c>
      <c r="M221" s="237"/>
      <c r="N221" s="238"/>
      <c r="O221" s="238" t="str">
        <f t="shared" si="4"/>
        <v/>
      </c>
      <c r="P221" s="238" t="str">
        <f t="shared" si="5"/>
        <v/>
      </c>
      <c r="Q221" s="238" t="str">
        <f t="shared" si="6"/>
        <v/>
      </c>
      <c r="R221" s="238" t="str">
        <f t="shared" si="7"/>
        <v/>
      </c>
      <c r="S221" s="238" t="str">
        <f t="shared" si="8"/>
        <v/>
      </c>
      <c r="T221" s="238"/>
      <c r="U221" s="237"/>
      <c r="V221" s="238"/>
      <c r="W221" s="238" t="str">
        <f t="shared" si="9"/>
        <v/>
      </c>
      <c r="X221" s="237" t="str">
        <f t="shared" ref="X221:Y221" si="213">IF(ISBLANK(H221),,""""&amp;H221&amp;"""")</f>
        <v/>
      </c>
      <c r="Y221" s="237" t="str">
        <f t="shared" si="213"/>
        <v/>
      </c>
      <c r="Z221" s="237" t="str">
        <f>IF(ISBLANK(K221),,Config!$C$3&amp;"&amp;range=BB"&amp;MATCH(K221,FRG!AE:AE,0))</f>
        <v/>
      </c>
      <c r="AB221" s="242" t="str">
        <f>IFERROR(__xludf.DUMMYFUNCTION("IF(ISBLANK(K221),,SUBSTITUTE(IFERROR(JOIN("","",K221:Z221),JOIN("","",K221:Y221)),CHAR(10),""""))"),"")</f>
        <v/>
      </c>
      <c r="AC221" s="229" t="str">
        <f t="shared" si="1"/>
        <v/>
      </c>
    </row>
    <row r="222">
      <c r="K222" s="237"/>
      <c r="L222" s="238" t="str">
        <f t="shared" si="3"/>
        <v/>
      </c>
      <c r="M222" s="237"/>
      <c r="N222" s="238"/>
      <c r="O222" s="238" t="str">
        <f t="shared" si="4"/>
        <v/>
      </c>
      <c r="P222" s="238" t="str">
        <f t="shared" si="5"/>
        <v/>
      </c>
      <c r="Q222" s="238" t="str">
        <f t="shared" si="6"/>
        <v/>
      </c>
      <c r="R222" s="238" t="str">
        <f t="shared" si="7"/>
        <v/>
      </c>
      <c r="S222" s="238" t="str">
        <f t="shared" si="8"/>
        <v/>
      </c>
      <c r="T222" s="238"/>
      <c r="U222" s="237"/>
      <c r="V222" s="238"/>
      <c r="W222" s="238" t="str">
        <f t="shared" si="9"/>
        <v/>
      </c>
      <c r="X222" s="237" t="str">
        <f t="shared" ref="X222:Y222" si="214">IF(ISBLANK(H222),,""""&amp;H222&amp;"""")</f>
        <v/>
      </c>
      <c r="Y222" s="237" t="str">
        <f t="shared" si="214"/>
        <v/>
      </c>
      <c r="Z222" s="237" t="str">
        <f>IF(ISBLANK(K222),,Config!$C$3&amp;"&amp;range=BB"&amp;MATCH(K222,FRG!AE:AE,0))</f>
        <v/>
      </c>
      <c r="AB222" s="242" t="str">
        <f>IFERROR(__xludf.DUMMYFUNCTION("IF(ISBLANK(K222),,SUBSTITUTE(IFERROR(JOIN("","",K222:Z222),JOIN("","",K222:Y222)),CHAR(10),""""))"),"")</f>
        <v/>
      </c>
      <c r="AC222" s="229" t="str">
        <f t="shared" si="1"/>
        <v/>
      </c>
    </row>
    <row r="223">
      <c r="K223" s="237"/>
      <c r="L223" s="238" t="str">
        <f t="shared" si="3"/>
        <v/>
      </c>
      <c r="M223" s="237"/>
      <c r="N223" s="238"/>
      <c r="O223" s="238" t="str">
        <f t="shared" si="4"/>
        <v/>
      </c>
      <c r="P223" s="238" t="str">
        <f t="shared" si="5"/>
        <v/>
      </c>
      <c r="Q223" s="238" t="str">
        <f t="shared" si="6"/>
        <v/>
      </c>
      <c r="R223" s="238" t="str">
        <f t="shared" si="7"/>
        <v/>
      </c>
      <c r="S223" s="238" t="str">
        <f t="shared" si="8"/>
        <v/>
      </c>
      <c r="T223" s="238"/>
      <c r="U223" s="237"/>
      <c r="V223" s="238"/>
      <c r="W223" s="238" t="str">
        <f t="shared" si="9"/>
        <v/>
      </c>
      <c r="X223" s="237" t="str">
        <f t="shared" ref="X223:Y223" si="215">IF(ISBLANK(H223),,""""&amp;H223&amp;"""")</f>
        <v/>
      </c>
      <c r="Y223" s="237" t="str">
        <f t="shared" si="215"/>
        <v/>
      </c>
      <c r="Z223" s="237" t="str">
        <f>IF(ISBLANK(K223),,Config!$C$3&amp;"&amp;range=BB"&amp;MATCH(K223,FRG!AE:AE,0))</f>
        <v/>
      </c>
      <c r="AB223" s="242" t="str">
        <f>IFERROR(__xludf.DUMMYFUNCTION("IF(ISBLANK(K223),,SUBSTITUTE(IFERROR(JOIN("","",K223:Z223),JOIN("","",K223:Y223)),CHAR(10),""""))"),"")</f>
        <v/>
      </c>
      <c r="AC223" s="229" t="str">
        <f t="shared" si="1"/>
        <v/>
      </c>
    </row>
    <row r="224">
      <c r="K224" s="237"/>
      <c r="L224" s="238" t="str">
        <f t="shared" si="3"/>
        <v/>
      </c>
      <c r="M224" s="237"/>
      <c r="N224" s="238"/>
      <c r="O224" s="238" t="str">
        <f t="shared" si="4"/>
        <v/>
      </c>
      <c r="P224" s="238" t="str">
        <f t="shared" si="5"/>
        <v/>
      </c>
      <c r="Q224" s="238" t="str">
        <f t="shared" si="6"/>
        <v/>
      </c>
      <c r="R224" s="238" t="str">
        <f t="shared" si="7"/>
        <v/>
      </c>
      <c r="S224" s="238" t="str">
        <f t="shared" si="8"/>
        <v/>
      </c>
      <c r="T224" s="238"/>
      <c r="U224" s="237"/>
      <c r="V224" s="238"/>
      <c r="W224" s="238" t="str">
        <f t="shared" si="9"/>
        <v/>
      </c>
      <c r="X224" s="237" t="str">
        <f t="shared" ref="X224:Y224" si="216">IF(ISBLANK(H224),,""""&amp;H224&amp;"""")</f>
        <v/>
      </c>
      <c r="Y224" s="237" t="str">
        <f t="shared" si="216"/>
        <v/>
      </c>
      <c r="Z224" s="237" t="str">
        <f>IF(ISBLANK(K224),,Config!$C$3&amp;"&amp;range=BB"&amp;MATCH(K224,FRG!AE:AE,0))</f>
        <v/>
      </c>
      <c r="AB224" s="242" t="str">
        <f>IFERROR(__xludf.DUMMYFUNCTION("IF(ISBLANK(K224),,SUBSTITUTE(IFERROR(JOIN("","",K224:Z224),JOIN("","",K224:Y224)),CHAR(10),""""))"),"")</f>
        <v/>
      </c>
      <c r="AC224" s="229" t="str">
        <f t="shared" si="1"/>
        <v/>
      </c>
    </row>
    <row r="225">
      <c r="K225" s="237"/>
      <c r="L225" s="238" t="str">
        <f t="shared" si="3"/>
        <v/>
      </c>
      <c r="M225" s="237"/>
      <c r="N225" s="238"/>
      <c r="O225" s="238" t="str">
        <f t="shared" si="4"/>
        <v/>
      </c>
      <c r="P225" s="238" t="str">
        <f t="shared" si="5"/>
        <v/>
      </c>
      <c r="Q225" s="238" t="str">
        <f t="shared" si="6"/>
        <v/>
      </c>
      <c r="R225" s="238" t="str">
        <f t="shared" si="7"/>
        <v/>
      </c>
      <c r="S225" s="238" t="str">
        <f t="shared" si="8"/>
        <v/>
      </c>
      <c r="T225" s="238"/>
      <c r="U225" s="237"/>
      <c r="V225" s="238"/>
      <c r="W225" s="238" t="str">
        <f t="shared" si="9"/>
        <v/>
      </c>
      <c r="X225" s="237" t="str">
        <f t="shared" ref="X225:Y225" si="217">IF(ISBLANK(H225),,""""&amp;H225&amp;"""")</f>
        <v/>
      </c>
      <c r="Y225" s="237" t="str">
        <f t="shared" si="217"/>
        <v/>
      </c>
      <c r="Z225" s="237" t="str">
        <f>IF(ISBLANK(K225),,Config!$C$3&amp;"&amp;range=BB"&amp;MATCH(K225,FRG!AE:AE,0))</f>
        <v/>
      </c>
      <c r="AB225" s="242" t="str">
        <f>IFERROR(__xludf.DUMMYFUNCTION("IF(ISBLANK(K225),,SUBSTITUTE(IFERROR(JOIN("","",K225:Z225),JOIN("","",K225:Y225)),CHAR(10),""""))"),"")</f>
        <v/>
      </c>
      <c r="AC225" s="229" t="str">
        <f t="shared" si="1"/>
        <v/>
      </c>
    </row>
    <row r="226">
      <c r="K226" s="237"/>
      <c r="L226" s="238" t="str">
        <f t="shared" si="3"/>
        <v/>
      </c>
      <c r="M226" s="237"/>
      <c r="N226" s="238"/>
      <c r="O226" s="238" t="str">
        <f t="shared" si="4"/>
        <v/>
      </c>
      <c r="P226" s="238" t="str">
        <f t="shared" si="5"/>
        <v/>
      </c>
      <c r="Q226" s="238" t="str">
        <f t="shared" si="6"/>
        <v/>
      </c>
      <c r="R226" s="238" t="str">
        <f t="shared" si="7"/>
        <v/>
      </c>
      <c r="S226" s="238" t="str">
        <f t="shared" si="8"/>
        <v/>
      </c>
      <c r="T226" s="238"/>
      <c r="U226" s="237"/>
      <c r="V226" s="238"/>
      <c r="W226" s="238" t="str">
        <f t="shared" si="9"/>
        <v/>
      </c>
      <c r="X226" s="237" t="str">
        <f t="shared" ref="X226:Y226" si="218">IF(ISBLANK(H226),,""""&amp;H226&amp;"""")</f>
        <v/>
      </c>
      <c r="Y226" s="237" t="str">
        <f t="shared" si="218"/>
        <v/>
      </c>
      <c r="Z226" s="237" t="str">
        <f>IF(ISBLANK(K226),,Config!$C$3&amp;"&amp;range=BB"&amp;MATCH(K226,FRG!AE:AE,0))</f>
        <v/>
      </c>
      <c r="AB226" s="242" t="str">
        <f>IFERROR(__xludf.DUMMYFUNCTION("IF(ISBLANK(K226),,SUBSTITUTE(IFERROR(JOIN("","",K226:Z226),JOIN("","",K226:Y226)),CHAR(10),""""))"),"")</f>
        <v/>
      </c>
      <c r="AC226" s="229" t="str">
        <f t="shared" si="1"/>
        <v/>
      </c>
    </row>
    <row r="227">
      <c r="K227" s="237"/>
      <c r="L227" s="238" t="str">
        <f t="shared" si="3"/>
        <v/>
      </c>
      <c r="M227" s="237"/>
      <c r="N227" s="238"/>
      <c r="O227" s="238" t="str">
        <f t="shared" si="4"/>
        <v/>
      </c>
      <c r="P227" s="238" t="str">
        <f t="shared" si="5"/>
        <v/>
      </c>
      <c r="Q227" s="238" t="str">
        <f t="shared" si="6"/>
        <v/>
      </c>
      <c r="R227" s="238" t="str">
        <f t="shared" si="7"/>
        <v/>
      </c>
      <c r="S227" s="238" t="str">
        <f t="shared" si="8"/>
        <v/>
      </c>
      <c r="T227" s="238"/>
      <c r="U227" s="237"/>
      <c r="V227" s="238"/>
      <c r="W227" s="238" t="str">
        <f t="shared" si="9"/>
        <v/>
      </c>
      <c r="X227" s="237" t="str">
        <f t="shared" ref="X227:Y227" si="219">IF(ISBLANK(H227),,""""&amp;H227&amp;"""")</f>
        <v/>
      </c>
      <c r="Y227" s="237" t="str">
        <f t="shared" si="219"/>
        <v/>
      </c>
      <c r="Z227" s="237" t="str">
        <f>IF(ISBLANK(K227),,Config!$C$3&amp;"&amp;range=BB"&amp;MATCH(K227,FRG!AE:AE,0))</f>
        <v/>
      </c>
      <c r="AB227" s="242" t="str">
        <f>IFERROR(__xludf.DUMMYFUNCTION("IF(ISBLANK(K227),,SUBSTITUTE(IFERROR(JOIN("","",K227:Z227),JOIN("","",K227:Y227)),CHAR(10),""""))"),"")</f>
        <v/>
      </c>
      <c r="AC227" s="229" t="str">
        <f t="shared" si="1"/>
        <v/>
      </c>
    </row>
    <row r="228">
      <c r="K228" s="237"/>
      <c r="L228" s="238" t="str">
        <f t="shared" si="3"/>
        <v/>
      </c>
      <c r="M228" s="237"/>
      <c r="N228" s="238"/>
      <c r="O228" s="238" t="str">
        <f t="shared" si="4"/>
        <v/>
      </c>
      <c r="P228" s="238" t="str">
        <f t="shared" si="5"/>
        <v/>
      </c>
      <c r="Q228" s="238" t="str">
        <f t="shared" si="6"/>
        <v/>
      </c>
      <c r="R228" s="238" t="str">
        <f t="shared" si="7"/>
        <v/>
      </c>
      <c r="S228" s="238" t="str">
        <f t="shared" si="8"/>
        <v/>
      </c>
      <c r="T228" s="238"/>
      <c r="U228" s="237"/>
      <c r="V228" s="238"/>
      <c r="W228" s="238" t="str">
        <f t="shared" si="9"/>
        <v/>
      </c>
      <c r="X228" s="237" t="str">
        <f t="shared" ref="X228:Y228" si="220">IF(ISBLANK(H228),,""""&amp;H228&amp;"""")</f>
        <v/>
      </c>
      <c r="Y228" s="237" t="str">
        <f t="shared" si="220"/>
        <v/>
      </c>
      <c r="Z228" s="237" t="str">
        <f>IF(ISBLANK(K228),,Config!$C$3&amp;"&amp;range=BB"&amp;MATCH(K228,FRG!AE:AE,0))</f>
        <v/>
      </c>
      <c r="AB228" s="242" t="str">
        <f>IFERROR(__xludf.DUMMYFUNCTION("IF(ISBLANK(K228),,SUBSTITUTE(IFERROR(JOIN("","",K228:Z228),JOIN("","",K228:Y228)),CHAR(10),""""))"),"")</f>
        <v/>
      </c>
      <c r="AC228" s="229" t="str">
        <f t="shared" si="1"/>
        <v/>
      </c>
    </row>
    <row r="229">
      <c r="K229" s="237"/>
      <c r="L229" s="238" t="str">
        <f t="shared" si="3"/>
        <v/>
      </c>
      <c r="M229" s="237"/>
      <c r="N229" s="238"/>
      <c r="O229" s="238" t="str">
        <f t="shared" si="4"/>
        <v/>
      </c>
      <c r="P229" s="238" t="str">
        <f t="shared" si="5"/>
        <v/>
      </c>
      <c r="Q229" s="238" t="str">
        <f t="shared" si="6"/>
        <v/>
      </c>
      <c r="R229" s="238" t="str">
        <f t="shared" si="7"/>
        <v/>
      </c>
      <c r="S229" s="238" t="str">
        <f t="shared" si="8"/>
        <v/>
      </c>
      <c r="T229" s="238"/>
      <c r="U229" s="237"/>
      <c r="V229" s="238"/>
      <c r="W229" s="238" t="str">
        <f t="shared" si="9"/>
        <v/>
      </c>
      <c r="X229" s="237" t="str">
        <f t="shared" ref="X229:Y229" si="221">IF(ISBLANK(H229),,""""&amp;H229&amp;"""")</f>
        <v/>
      </c>
      <c r="Y229" s="237" t="str">
        <f t="shared" si="221"/>
        <v/>
      </c>
      <c r="Z229" s="237" t="str">
        <f>IF(ISBLANK(K229),,Config!$C$3&amp;"&amp;range=BB"&amp;MATCH(K229,FRG!AE:AE,0))</f>
        <v/>
      </c>
      <c r="AB229" s="242" t="str">
        <f>IFERROR(__xludf.DUMMYFUNCTION("IF(ISBLANK(K229),,SUBSTITUTE(IFERROR(JOIN("","",K229:Z229),JOIN("","",K229:Y229)),CHAR(10),""""))"),"")</f>
        <v/>
      </c>
      <c r="AC229" s="229" t="str">
        <f t="shared" si="1"/>
        <v/>
      </c>
    </row>
    <row r="230">
      <c r="K230" s="237"/>
      <c r="L230" s="238" t="str">
        <f t="shared" si="3"/>
        <v/>
      </c>
      <c r="M230" s="237"/>
      <c r="N230" s="238"/>
      <c r="O230" s="238" t="str">
        <f t="shared" si="4"/>
        <v/>
      </c>
      <c r="P230" s="238" t="str">
        <f t="shared" si="5"/>
        <v/>
      </c>
      <c r="Q230" s="238" t="str">
        <f t="shared" si="6"/>
        <v/>
      </c>
      <c r="R230" s="238" t="str">
        <f t="shared" si="7"/>
        <v/>
      </c>
      <c r="S230" s="238" t="str">
        <f t="shared" si="8"/>
        <v/>
      </c>
      <c r="T230" s="238"/>
      <c r="U230" s="237"/>
      <c r="V230" s="238"/>
      <c r="W230" s="238" t="str">
        <f t="shared" si="9"/>
        <v/>
      </c>
      <c r="X230" s="237" t="str">
        <f t="shared" ref="X230:Y230" si="222">IF(ISBLANK(H230),,""""&amp;H230&amp;"""")</f>
        <v/>
      </c>
      <c r="Y230" s="237" t="str">
        <f t="shared" si="222"/>
        <v/>
      </c>
      <c r="Z230" s="237" t="str">
        <f>IF(ISBLANK(K230),,Config!$C$3&amp;"&amp;range=BB"&amp;MATCH(K230,FRG!AE:AE,0))</f>
        <v/>
      </c>
      <c r="AB230" s="242" t="str">
        <f>IFERROR(__xludf.DUMMYFUNCTION("IF(ISBLANK(K230),,SUBSTITUTE(IFERROR(JOIN("","",K230:Z230),JOIN("","",K230:Y230)),CHAR(10),""""))"),"")</f>
        <v/>
      </c>
      <c r="AC230" s="229" t="str">
        <f t="shared" si="1"/>
        <v/>
      </c>
    </row>
    <row r="231">
      <c r="K231" s="237"/>
      <c r="L231" s="238" t="str">
        <f t="shared" si="3"/>
        <v/>
      </c>
      <c r="M231" s="237"/>
      <c r="N231" s="238"/>
      <c r="O231" s="238" t="str">
        <f t="shared" si="4"/>
        <v/>
      </c>
      <c r="P231" s="238" t="str">
        <f t="shared" si="5"/>
        <v/>
      </c>
      <c r="Q231" s="238" t="str">
        <f t="shared" si="6"/>
        <v/>
      </c>
      <c r="R231" s="238" t="str">
        <f t="shared" si="7"/>
        <v/>
      </c>
      <c r="S231" s="238" t="str">
        <f t="shared" si="8"/>
        <v/>
      </c>
      <c r="T231" s="238"/>
      <c r="U231" s="237"/>
      <c r="V231" s="238"/>
      <c r="W231" s="238" t="str">
        <f t="shared" si="9"/>
        <v/>
      </c>
      <c r="X231" s="237" t="str">
        <f t="shared" ref="X231:Y231" si="223">IF(ISBLANK(H231),,""""&amp;H231&amp;"""")</f>
        <v/>
      </c>
      <c r="Y231" s="237" t="str">
        <f t="shared" si="223"/>
        <v/>
      </c>
      <c r="Z231" s="237" t="str">
        <f>IF(ISBLANK(K231),,Config!$C$3&amp;"&amp;range=BB"&amp;MATCH(K231,FRG!AE:AE,0))</f>
        <v/>
      </c>
      <c r="AB231" s="242" t="str">
        <f>IFERROR(__xludf.DUMMYFUNCTION("IF(ISBLANK(K231),,SUBSTITUTE(IFERROR(JOIN("","",K231:Z231),JOIN("","",K231:Y231)),CHAR(10),""""))"),"")</f>
        <v/>
      </c>
      <c r="AC231" s="229" t="str">
        <f t="shared" si="1"/>
        <v/>
      </c>
    </row>
    <row r="232">
      <c r="K232" s="237"/>
      <c r="L232" s="238" t="str">
        <f t="shared" si="3"/>
        <v/>
      </c>
      <c r="M232" s="237"/>
      <c r="N232" s="238"/>
      <c r="O232" s="238" t="str">
        <f t="shared" si="4"/>
        <v/>
      </c>
      <c r="P232" s="238" t="str">
        <f t="shared" si="5"/>
        <v/>
      </c>
      <c r="Q232" s="238" t="str">
        <f t="shared" si="6"/>
        <v/>
      </c>
      <c r="R232" s="238" t="str">
        <f t="shared" si="7"/>
        <v/>
      </c>
      <c r="S232" s="238" t="str">
        <f t="shared" si="8"/>
        <v/>
      </c>
      <c r="T232" s="238"/>
      <c r="U232" s="237"/>
      <c r="V232" s="238"/>
      <c r="W232" s="238" t="str">
        <f t="shared" si="9"/>
        <v/>
      </c>
      <c r="X232" s="237" t="str">
        <f t="shared" ref="X232:Y232" si="224">IF(ISBLANK(H232),,""""&amp;H232&amp;"""")</f>
        <v/>
      </c>
      <c r="Y232" s="237" t="str">
        <f t="shared" si="224"/>
        <v/>
      </c>
      <c r="Z232" s="237" t="str">
        <f>IF(ISBLANK(K232),,Config!$C$3&amp;"&amp;range=BB"&amp;MATCH(K232,FRG!AE:AE,0))</f>
        <v/>
      </c>
      <c r="AB232" s="242" t="str">
        <f>IFERROR(__xludf.DUMMYFUNCTION("IF(ISBLANK(K232),,SUBSTITUTE(IFERROR(JOIN("","",K232:Z232),JOIN("","",K232:Y232)),CHAR(10),""""))"),"")</f>
        <v/>
      </c>
      <c r="AC232" s="229" t="str">
        <f t="shared" si="1"/>
        <v/>
      </c>
    </row>
    <row r="233">
      <c r="K233" s="237"/>
      <c r="L233" s="238" t="str">
        <f t="shared" si="3"/>
        <v/>
      </c>
      <c r="M233" s="237"/>
      <c r="N233" s="238"/>
      <c r="O233" s="238" t="str">
        <f t="shared" si="4"/>
        <v/>
      </c>
      <c r="P233" s="238" t="str">
        <f t="shared" si="5"/>
        <v/>
      </c>
      <c r="Q233" s="238" t="str">
        <f t="shared" si="6"/>
        <v/>
      </c>
      <c r="R233" s="238" t="str">
        <f t="shared" si="7"/>
        <v/>
      </c>
      <c r="S233" s="238" t="str">
        <f t="shared" si="8"/>
        <v/>
      </c>
      <c r="T233" s="238"/>
      <c r="U233" s="237"/>
      <c r="V233" s="238"/>
      <c r="W233" s="238" t="str">
        <f t="shared" si="9"/>
        <v/>
      </c>
      <c r="X233" s="237" t="str">
        <f t="shared" ref="X233:Y233" si="225">IF(ISBLANK(H233),,""""&amp;H233&amp;"""")</f>
        <v/>
      </c>
      <c r="Y233" s="237" t="str">
        <f t="shared" si="225"/>
        <v/>
      </c>
      <c r="Z233" s="237" t="str">
        <f>IF(ISBLANK(K233),,Config!$C$3&amp;"&amp;range=BB"&amp;MATCH(K233,FRG!AE:AE,0))</f>
        <v/>
      </c>
      <c r="AB233" s="242" t="str">
        <f>IFERROR(__xludf.DUMMYFUNCTION("IF(ISBLANK(K233),,SUBSTITUTE(IFERROR(JOIN("","",K233:Z233),JOIN("","",K233:Y233)),CHAR(10),""""))"),"")</f>
        <v/>
      </c>
      <c r="AC233" s="229" t="str">
        <f t="shared" si="1"/>
        <v/>
      </c>
    </row>
    <row r="234">
      <c r="K234" s="237"/>
      <c r="L234" s="238" t="str">
        <f t="shared" si="3"/>
        <v/>
      </c>
      <c r="M234" s="237"/>
      <c r="N234" s="238"/>
      <c r="O234" s="238" t="str">
        <f t="shared" si="4"/>
        <v/>
      </c>
      <c r="P234" s="238" t="str">
        <f t="shared" si="5"/>
        <v/>
      </c>
      <c r="Q234" s="238" t="str">
        <f t="shared" si="6"/>
        <v/>
      </c>
      <c r="R234" s="238" t="str">
        <f t="shared" si="7"/>
        <v/>
      </c>
      <c r="S234" s="238" t="str">
        <f t="shared" si="8"/>
        <v/>
      </c>
      <c r="T234" s="238"/>
      <c r="U234" s="237"/>
      <c r="V234" s="238"/>
      <c r="W234" s="238" t="str">
        <f t="shared" si="9"/>
        <v/>
      </c>
      <c r="X234" s="237" t="str">
        <f t="shared" ref="X234:Y234" si="226">IF(ISBLANK(H234),,""""&amp;H234&amp;"""")</f>
        <v/>
      </c>
      <c r="Y234" s="237" t="str">
        <f t="shared" si="226"/>
        <v/>
      </c>
      <c r="Z234" s="237" t="str">
        <f>IF(ISBLANK(K234),,Config!$C$3&amp;"&amp;range=BB"&amp;MATCH(K234,FRG!AE:AE,0))</f>
        <v/>
      </c>
      <c r="AB234" s="242" t="str">
        <f>IFERROR(__xludf.DUMMYFUNCTION("IF(ISBLANK(K234),,SUBSTITUTE(IFERROR(JOIN("","",K234:Z234),JOIN("","",K234:Y234)),CHAR(10),""""))"),"")</f>
        <v/>
      </c>
      <c r="AC234" s="229" t="str">
        <f t="shared" si="1"/>
        <v/>
      </c>
    </row>
    <row r="235">
      <c r="K235" s="237"/>
      <c r="L235" s="238" t="str">
        <f t="shared" si="3"/>
        <v/>
      </c>
      <c r="M235" s="237"/>
      <c r="N235" s="238"/>
      <c r="O235" s="238" t="str">
        <f t="shared" si="4"/>
        <v/>
      </c>
      <c r="P235" s="238" t="str">
        <f t="shared" si="5"/>
        <v/>
      </c>
      <c r="Q235" s="238" t="str">
        <f t="shared" si="6"/>
        <v/>
      </c>
      <c r="R235" s="238" t="str">
        <f t="shared" si="7"/>
        <v/>
      </c>
      <c r="S235" s="238" t="str">
        <f t="shared" si="8"/>
        <v/>
      </c>
      <c r="T235" s="238"/>
      <c r="U235" s="237"/>
      <c r="V235" s="238"/>
      <c r="W235" s="238" t="str">
        <f t="shared" si="9"/>
        <v/>
      </c>
      <c r="X235" s="237" t="str">
        <f t="shared" ref="X235:Y235" si="227">IF(ISBLANK(H235),,""""&amp;H235&amp;"""")</f>
        <v/>
      </c>
      <c r="Y235" s="237" t="str">
        <f t="shared" si="227"/>
        <v/>
      </c>
      <c r="Z235" s="237" t="str">
        <f>IF(ISBLANK(K235),,Config!$C$3&amp;"&amp;range=BB"&amp;MATCH(K235,FRG!AE:AE,0))</f>
        <v/>
      </c>
      <c r="AB235" s="242" t="str">
        <f>IFERROR(__xludf.DUMMYFUNCTION("IF(ISBLANK(K235),,SUBSTITUTE(IFERROR(JOIN("","",K235:Z235),JOIN("","",K235:Y235)),CHAR(10),""""))"),"")</f>
        <v/>
      </c>
      <c r="AC235" s="229" t="str">
        <f t="shared" si="1"/>
        <v/>
      </c>
    </row>
    <row r="236">
      <c r="K236" s="237"/>
      <c r="L236" s="238" t="str">
        <f t="shared" si="3"/>
        <v/>
      </c>
      <c r="M236" s="237"/>
      <c r="N236" s="238"/>
      <c r="O236" s="238" t="str">
        <f t="shared" si="4"/>
        <v/>
      </c>
      <c r="P236" s="238" t="str">
        <f t="shared" si="5"/>
        <v/>
      </c>
      <c r="Q236" s="238" t="str">
        <f t="shared" si="6"/>
        <v/>
      </c>
      <c r="R236" s="238" t="str">
        <f t="shared" si="7"/>
        <v/>
      </c>
      <c r="S236" s="238" t="str">
        <f t="shared" si="8"/>
        <v/>
      </c>
      <c r="T236" s="238"/>
      <c r="U236" s="237"/>
      <c r="V236" s="238"/>
      <c r="W236" s="238" t="str">
        <f t="shared" si="9"/>
        <v/>
      </c>
      <c r="X236" s="237" t="str">
        <f t="shared" ref="X236:Y236" si="228">IF(ISBLANK(H236),,""""&amp;H236&amp;"""")</f>
        <v/>
      </c>
      <c r="Y236" s="237" t="str">
        <f t="shared" si="228"/>
        <v/>
      </c>
      <c r="Z236" s="237" t="str">
        <f>IF(ISBLANK(K236),,Config!$C$3&amp;"&amp;range=BB"&amp;MATCH(K236,FRG!AE:AE,0))</f>
        <v/>
      </c>
      <c r="AB236" s="242" t="str">
        <f>IFERROR(__xludf.DUMMYFUNCTION("IF(ISBLANK(K236),,SUBSTITUTE(IFERROR(JOIN("","",K236:Z236),JOIN("","",K236:Y236)),CHAR(10),""""))"),"")</f>
        <v/>
      </c>
      <c r="AC236" s="229" t="str">
        <f t="shared" si="1"/>
        <v/>
      </c>
    </row>
    <row r="237">
      <c r="K237" s="237"/>
      <c r="L237" s="238" t="str">
        <f t="shared" si="3"/>
        <v/>
      </c>
      <c r="M237" s="237"/>
      <c r="N237" s="238"/>
      <c r="O237" s="238" t="str">
        <f t="shared" si="4"/>
        <v/>
      </c>
      <c r="P237" s="238" t="str">
        <f t="shared" si="5"/>
        <v/>
      </c>
      <c r="Q237" s="238" t="str">
        <f t="shared" si="6"/>
        <v/>
      </c>
      <c r="R237" s="238" t="str">
        <f t="shared" si="7"/>
        <v/>
      </c>
      <c r="S237" s="238" t="str">
        <f t="shared" si="8"/>
        <v/>
      </c>
      <c r="T237" s="238"/>
      <c r="U237" s="237"/>
      <c r="V237" s="238"/>
      <c r="W237" s="238" t="str">
        <f t="shared" si="9"/>
        <v/>
      </c>
      <c r="X237" s="237" t="str">
        <f t="shared" ref="X237:Y237" si="229">IF(ISBLANK(H237),,""""&amp;H237&amp;"""")</f>
        <v/>
      </c>
      <c r="Y237" s="237" t="str">
        <f t="shared" si="229"/>
        <v/>
      </c>
      <c r="Z237" s="237" t="str">
        <f>IF(ISBLANK(K237),,Config!$C$3&amp;"&amp;range=BB"&amp;MATCH(K237,FRG!AE:AE,0))</f>
        <v/>
      </c>
      <c r="AB237" s="242" t="str">
        <f>IFERROR(__xludf.DUMMYFUNCTION("IF(ISBLANK(K237),,SUBSTITUTE(IFERROR(JOIN("","",K237:Z237),JOIN("","",K237:Y237)),CHAR(10),""""))"),"")</f>
        <v/>
      </c>
      <c r="AC237" s="229" t="str">
        <f t="shared" si="1"/>
        <v/>
      </c>
    </row>
    <row r="238">
      <c r="K238" s="237"/>
      <c r="L238" s="238" t="str">
        <f t="shared" si="3"/>
        <v/>
      </c>
      <c r="M238" s="237"/>
      <c r="N238" s="238"/>
      <c r="O238" s="238" t="str">
        <f t="shared" si="4"/>
        <v/>
      </c>
      <c r="P238" s="238" t="str">
        <f t="shared" si="5"/>
        <v/>
      </c>
      <c r="Q238" s="238" t="str">
        <f t="shared" si="6"/>
        <v/>
      </c>
      <c r="R238" s="238" t="str">
        <f t="shared" si="7"/>
        <v/>
      </c>
      <c r="S238" s="238" t="str">
        <f t="shared" si="8"/>
        <v/>
      </c>
      <c r="T238" s="238"/>
      <c r="U238" s="237"/>
      <c r="V238" s="238"/>
      <c r="W238" s="238" t="str">
        <f t="shared" si="9"/>
        <v/>
      </c>
      <c r="X238" s="237" t="str">
        <f t="shared" ref="X238:Y238" si="230">IF(ISBLANK(H238),,""""&amp;H238&amp;"""")</f>
        <v/>
      </c>
      <c r="Y238" s="237" t="str">
        <f t="shared" si="230"/>
        <v/>
      </c>
      <c r="Z238" s="237" t="str">
        <f>IF(ISBLANK(K238),,Config!$C$3&amp;"&amp;range=BB"&amp;MATCH(K238,FRG!AE:AE,0))</f>
        <v/>
      </c>
      <c r="AB238" s="242" t="str">
        <f>IFERROR(__xludf.DUMMYFUNCTION("IF(ISBLANK(K238),,SUBSTITUTE(IFERROR(JOIN("","",K238:Z238),JOIN("","",K238:Y238)),CHAR(10),""""))"),"")</f>
        <v/>
      </c>
      <c r="AC238" s="229" t="str">
        <f t="shared" si="1"/>
        <v/>
      </c>
    </row>
    <row r="239">
      <c r="K239" s="237"/>
      <c r="L239" s="238" t="str">
        <f t="shared" si="3"/>
        <v/>
      </c>
      <c r="M239" s="237"/>
      <c r="N239" s="238"/>
      <c r="O239" s="238" t="str">
        <f t="shared" si="4"/>
        <v/>
      </c>
      <c r="P239" s="238" t="str">
        <f t="shared" si="5"/>
        <v/>
      </c>
      <c r="Q239" s="238" t="str">
        <f t="shared" si="6"/>
        <v/>
      </c>
      <c r="R239" s="238" t="str">
        <f t="shared" si="7"/>
        <v/>
      </c>
      <c r="S239" s="238" t="str">
        <f t="shared" si="8"/>
        <v/>
      </c>
      <c r="T239" s="238"/>
      <c r="U239" s="237"/>
      <c r="V239" s="238"/>
      <c r="W239" s="238" t="str">
        <f t="shared" si="9"/>
        <v/>
      </c>
      <c r="X239" s="237" t="str">
        <f t="shared" ref="X239:Y239" si="231">IF(ISBLANK(H239),,""""&amp;H239&amp;"""")</f>
        <v/>
      </c>
      <c r="Y239" s="237" t="str">
        <f t="shared" si="231"/>
        <v/>
      </c>
      <c r="Z239" s="237" t="str">
        <f>IF(ISBLANK(K239),,Config!$C$3&amp;"&amp;range=BB"&amp;MATCH(K239,FRG!AE:AE,0))</f>
        <v/>
      </c>
      <c r="AB239" s="242" t="str">
        <f>IFERROR(__xludf.DUMMYFUNCTION("IF(ISBLANK(K239),,SUBSTITUTE(IFERROR(JOIN("","",K239:Z239),JOIN("","",K239:Y239)),CHAR(10),""""))"),"")</f>
        <v/>
      </c>
      <c r="AC239" s="229" t="str">
        <f t="shared" si="1"/>
        <v/>
      </c>
    </row>
    <row r="240">
      <c r="K240" s="237"/>
      <c r="L240" s="238" t="str">
        <f t="shared" si="3"/>
        <v/>
      </c>
      <c r="M240" s="237"/>
      <c r="N240" s="238"/>
      <c r="O240" s="238" t="str">
        <f t="shared" si="4"/>
        <v/>
      </c>
      <c r="P240" s="238" t="str">
        <f t="shared" si="5"/>
        <v/>
      </c>
      <c r="Q240" s="238" t="str">
        <f t="shared" si="6"/>
        <v/>
      </c>
      <c r="R240" s="238" t="str">
        <f t="shared" si="7"/>
        <v/>
      </c>
      <c r="S240" s="238" t="str">
        <f t="shared" si="8"/>
        <v/>
      </c>
      <c r="T240" s="238"/>
      <c r="U240" s="237"/>
      <c r="V240" s="238"/>
      <c r="W240" s="238" t="str">
        <f t="shared" si="9"/>
        <v/>
      </c>
      <c r="X240" s="237" t="str">
        <f t="shared" ref="X240:Y240" si="232">IF(ISBLANK(H240),,""""&amp;H240&amp;"""")</f>
        <v/>
      </c>
      <c r="Y240" s="237" t="str">
        <f t="shared" si="232"/>
        <v/>
      </c>
      <c r="Z240" s="237" t="str">
        <f>IF(ISBLANK(K240),,Config!$C$3&amp;"&amp;range=BB"&amp;MATCH(K240,FRG!AE:AE,0))</f>
        <v/>
      </c>
      <c r="AB240" s="242" t="str">
        <f>IFERROR(__xludf.DUMMYFUNCTION("IF(ISBLANK(K240),,SUBSTITUTE(IFERROR(JOIN("","",K240:Z240),JOIN("","",K240:Y240)),CHAR(10),""""))"),"")</f>
        <v/>
      </c>
      <c r="AC240" s="229" t="str">
        <f t="shared" si="1"/>
        <v/>
      </c>
    </row>
    <row r="241">
      <c r="K241" s="237"/>
      <c r="L241" s="238" t="str">
        <f t="shared" si="3"/>
        <v/>
      </c>
      <c r="M241" s="237"/>
      <c r="N241" s="238"/>
      <c r="O241" s="238" t="str">
        <f t="shared" si="4"/>
        <v/>
      </c>
      <c r="P241" s="238" t="str">
        <f t="shared" si="5"/>
        <v/>
      </c>
      <c r="Q241" s="238" t="str">
        <f t="shared" si="6"/>
        <v/>
      </c>
      <c r="R241" s="238" t="str">
        <f t="shared" si="7"/>
        <v/>
      </c>
      <c r="S241" s="238" t="str">
        <f t="shared" si="8"/>
        <v/>
      </c>
      <c r="T241" s="238"/>
      <c r="U241" s="237"/>
      <c r="V241" s="238"/>
      <c r="W241" s="238" t="str">
        <f t="shared" si="9"/>
        <v/>
      </c>
      <c r="X241" s="237" t="str">
        <f t="shared" ref="X241:Y241" si="233">IF(ISBLANK(H241),,""""&amp;H241&amp;"""")</f>
        <v/>
      </c>
      <c r="Y241" s="237" t="str">
        <f t="shared" si="233"/>
        <v/>
      </c>
      <c r="Z241" s="237" t="str">
        <f>IF(ISBLANK(K241),,Config!$C$3&amp;"&amp;range=BB"&amp;MATCH(K241,FRG!AE:AE,0))</f>
        <v/>
      </c>
      <c r="AB241" s="242" t="str">
        <f>IFERROR(__xludf.DUMMYFUNCTION("IF(ISBLANK(K241),,SUBSTITUTE(IFERROR(JOIN("","",K241:Z241),JOIN("","",K241:Y241)),CHAR(10),""""))"),"")</f>
        <v/>
      </c>
      <c r="AC241" s="229" t="str">
        <f t="shared" si="1"/>
        <v/>
      </c>
    </row>
    <row r="242">
      <c r="K242" s="237"/>
      <c r="L242" s="238" t="str">
        <f t="shared" si="3"/>
        <v/>
      </c>
      <c r="M242" s="237"/>
      <c r="N242" s="238"/>
      <c r="O242" s="238" t="str">
        <f t="shared" si="4"/>
        <v/>
      </c>
      <c r="P242" s="238" t="str">
        <f t="shared" si="5"/>
        <v/>
      </c>
      <c r="Q242" s="238" t="str">
        <f t="shared" si="6"/>
        <v/>
      </c>
      <c r="R242" s="238" t="str">
        <f t="shared" si="7"/>
        <v/>
      </c>
      <c r="S242" s="238" t="str">
        <f t="shared" si="8"/>
        <v/>
      </c>
      <c r="T242" s="238"/>
      <c r="U242" s="237"/>
      <c r="V242" s="238"/>
      <c r="W242" s="238" t="str">
        <f t="shared" si="9"/>
        <v/>
      </c>
      <c r="X242" s="237" t="str">
        <f t="shared" ref="X242:Y242" si="234">IF(ISBLANK(H242),,""""&amp;H242&amp;"""")</f>
        <v/>
      </c>
      <c r="Y242" s="237" t="str">
        <f t="shared" si="234"/>
        <v/>
      </c>
      <c r="Z242" s="237" t="str">
        <f>IF(ISBLANK(K242),,Config!$C$3&amp;"&amp;range=BB"&amp;MATCH(K242,FRG!AE:AE,0))</f>
        <v/>
      </c>
      <c r="AB242" s="242" t="str">
        <f>IFERROR(__xludf.DUMMYFUNCTION("IF(ISBLANK(K242),,SUBSTITUTE(IFERROR(JOIN("","",K242:Z242),JOIN("","",K242:Y242)),CHAR(10),""""))"),"")</f>
        <v/>
      </c>
      <c r="AC242" s="229" t="str">
        <f t="shared" si="1"/>
        <v/>
      </c>
    </row>
    <row r="243">
      <c r="K243" s="237"/>
      <c r="L243" s="238" t="str">
        <f t="shared" si="3"/>
        <v/>
      </c>
      <c r="M243" s="237"/>
      <c r="N243" s="238"/>
      <c r="O243" s="238" t="str">
        <f t="shared" si="4"/>
        <v/>
      </c>
      <c r="P243" s="238" t="str">
        <f t="shared" si="5"/>
        <v/>
      </c>
      <c r="Q243" s="238" t="str">
        <f t="shared" si="6"/>
        <v/>
      </c>
      <c r="R243" s="238" t="str">
        <f t="shared" si="7"/>
        <v/>
      </c>
      <c r="S243" s="238" t="str">
        <f t="shared" si="8"/>
        <v/>
      </c>
      <c r="T243" s="238"/>
      <c r="U243" s="237"/>
      <c r="V243" s="238"/>
      <c r="W243" s="238" t="str">
        <f t="shared" si="9"/>
        <v/>
      </c>
      <c r="X243" s="237" t="str">
        <f t="shared" ref="X243:Y243" si="235">IF(ISBLANK(H243),,""""&amp;H243&amp;"""")</f>
        <v/>
      </c>
      <c r="Y243" s="237" t="str">
        <f t="shared" si="235"/>
        <v/>
      </c>
      <c r="Z243" s="237" t="str">
        <f>IF(ISBLANK(K243),,Config!$C$3&amp;"&amp;range=BB"&amp;MATCH(K243,FRG!AE:AE,0))</f>
        <v/>
      </c>
      <c r="AB243" s="242" t="str">
        <f>IFERROR(__xludf.DUMMYFUNCTION("IF(ISBLANK(K243),,SUBSTITUTE(IFERROR(JOIN("","",K243:Z243),JOIN("","",K243:Y243)),CHAR(10),""""))"),"")</f>
        <v/>
      </c>
      <c r="AC243" s="229" t="str">
        <f t="shared" si="1"/>
        <v/>
      </c>
    </row>
    <row r="244">
      <c r="K244" s="237"/>
      <c r="L244" s="238" t="str">
        <f t="shared" si="3"/>
        <v/>
      </c>
      <c r="M244" s="237"/>
      <c r="N244" s="238"/>
      <c r="O244" s="238" t="str">
        <f t="shared" si="4"/>
        <v/>
      </c>
      <c r="P244" s="238" t="str">
        <f t="shared" si="5"/>
        <v/>
      </c>
      <c r="Q244" s="238" t="str">
        <f t="shared" si="6"/>
        <v/>
      </c>
      <c r="R244" s="238" t="str">
        <f t="shared" si="7"/>
        <v/>
      </c>
      <c r="S244" s="238" t="str">
        <f t="shared" si="8"/>
        <v/>
      </c>
      <c r="T244" s="238"/>
      <c r="U244" s="237"/>
      <c r="V244" s="238"/>
      <c r="W244" s="238" t="str">
        <f t="shared" si="9"/>
        <v/>
      </c>
      <c r="X244" s="237" t="str">
        <f t="shared" ref="X244:Y244" si="236">IF(ISBLANK(H244),,""""&amp;H244&amp;"""")</f>
        <v/>
      </c>
      <c r="Y244" s="237" t="str">
        <f t="shared" si="236"/>
        <v/>
      </c>
      <c r="Z244" s="237" t="str">
        <f>IF(ISBLANK(K244),,Config!$C$3&amp;"&amp;range=BB"&amp;MATCH(K244,FRG!AE:AE,0))</f>
        <v/>
      </c>
      <c r="AB244" s="242" t="str">
        <f>IFERROR(__xludf.DUMMYFUNCTION("IF(ISBLANK(K244),,SUBSTITUTE(IFERROR(JOIN("","",K244:Z244),JOIN("","",K244:Y244)),CHAR(10),""""))"),"")</f>
        <v/>
      </c>
      <c r="AC244" s="229" t="str">
        <f t="shared" si="1"/>
        <v/>
      </c>
    </row>
    <row r="245">
      <c r="K245" s="237"/>
      <c r="L245" s="238" t="str">
        <f t="shared" si="3"/>
        <v/>
      </c>
      <c r="M245" s="237"/>
      <c r="N245" s="238"/>
      <c r="O245" s="238" t="str">
        <f t="shared" si="4"/>
        <v/>
      </c>
      <c r="P245" s="238" t="str">
        <f t="shared" si="5"/>
        <v/>
      </c>
      <c r="Q245" s="238" t="str">
        <f t="shared" si="6"/>
        <v/>
      </c>
      <c r="R245" s="238" t="str">
        <f t="shared" si="7"/>
        <v/>
      </c>
      <c r="S245" s="238" t="str">
        <f t="shared" si="8"/>
        <v/>
      </c>
      <c r="T245" s="238"/>
      <c r="U245" s="237"/>
      <c r="V245" s="238"/>
      <c r="W245" s="238" t="str">
        <f t="shared" si="9"/>
        <v/>
      </c>
      <c r="X245" s="237" t="str">
        <f t="shared" ref="X245:Y245" si="237">IF(ISBLANK(H245),,""""&amp;H245&amp;"""")</f>
        <v/>
      </c>
      <c r="Y245" s="237" t="str">
        <f t="shared" si="237"/>
        <v/>
      </c>
      <c r="Z245" s="237" t="str">
        <f>IF(ISBLANK(K245),,Config!$C$3&amp;"&amp;range=BB"&amp;MATCH(K245,FRG!AE:AE,0))</f>
        <v/>
      </c>
      <c r="AB245" s="242" t="str">
        <f>IFERROR(__xludf.DUMMYFUNCTION("IF(ISBLANK(K245),,SUBSTITUTE(IFERROR(JOIN("","",K245:Z245),JOIN("","",K245:Y245)),CHAR(10),""""))"),"")</f>
        <v/>
      </c>
      <c r="AC245" s="229" t="str">
        <f t="shared" si="1"/>
        <v/>
      </c>
    </row>
    <row r="246">
      <c r="K246" s="237"/>
      <c r="L246" s="238" t="str">
        <f t="shared" si="3"/>
        <v/>
      </c>
      <c r="M246" s="237"/>
      <c r="N246" s="238"/>
      <c r="O246" s="238" t="str">
        <f t="shared" si="4"/>
        <v/>
      </c>
      <c r="P246" s="238" t="str">
        <f t="shared" si="5"/>
        <v/>
      </c>
      <c r="Q246" s="238" t="str">
        <f t="shared" si="6"/>
        <v/>
      </c>
      <c r="R246" s="238" t="str">
        <f t="shared" si="7"/>
        <v/>
      </c>
      <c r="S246" s="238" t="str">
        <f t="shared" si="8"/>
        <v/>
      </c>
      <c r="T246" s="238"/>
      <c r="U246" s="237"/>
      <c r="V246" s="238"/>
      <c r="W246" s="238" t="str">
        <f t="shared" si="9"/>
        <v/>
      </c>
      <c r="X246" s="237" t="str">
        <f t="shared" ref="X246:Y246" si="238">IF(ISBLANK(H246),,""""&amp;H246&amp;"""")</f>
        <v/>
      </c>
      <c r="Y246" s="237" t="str">
        <f t="shared" si="238"/>
        <v/>
      </c>
      <c r="Z246" s="237" t="str">
        <f>IF(ISBLANK(K246),,Config!$C$3&amp;"&amp;range=BB"&amp;MATCH(K246,FRG!AE:AE,0))</f>
        <v/>
      </c>
      <c r="AB246" s="242" t="str">
        <f>IFERROR(__xludf.DUMMYFUNCTION("IF(ISBLANK(K246),,SUBSTITUTE(IFERROR(JOIN("","",K246:Z246),JOIN("","",K246:Y246)),CHAR(10),""""))"),"")</f>
        <v/>
      </c>
      <c r="AC246" s="229" t="str">
        <f t="shared" si="1"/>
        <v/>
      </c>
    </row>
    <row r="247">
      <c r="K247" s="237"/>
      <c r="L247" s="238" t="str">
        <f t="shared" si="3"/>
        <v/>
      </c>
      <c r="M247" s="237"/>
      <c r="N247" s="238"/>
      <c r="O247" s="238" t="str">
        <f t="shared" si="4"/>
        <v/>
      </c>
      <c r="P247" s="238" t="str">
        <f t="shared" si="5"/>
        <v/>
      </c>
      <c r="Q247" s="238" t="str">
        <f t="shared" si="6"/>
        <v/>
      </c>
      <c r="R247" s="238" t="str">
        <f t="shared" si="7"/>
        <v/>
      </c>
      <c r="S247" s="238" t="str">
        <f t="shared" si="8"/>
        <v/>
      </c>
      <c r="T247" s="238"/>
      <c r="U247" s="237"/>
      <c r="V247" s="238"/>
      <c r="W247" s="238" t="str">
        <f t="shared" si="9"/>
        <v/>
      </c>
      <c r="X247" s="237" t="str">
        <f t="shared" ref="X247:Y247" si="239">IF(ISBLANK(H247),,""""&amp;H247&amp;"""")</f>
        <v/>
      </c>
      <c r="Y247" s="237" t="str">
        <f t="shared" si="239"/>
        <v/>
      </c>
      <c r="Z247" s="237" t="str">
        <f>IF(ISBLANK(K247),,Config!$C$3&amp;"&amp;range=BB"&amp;MATCH(K247,FRG!AE:AE,0))</f>
        <v/>
      </c>
      <c r="AB247" s="242" t="str">
        <f>IFERROR(__xludf.DUMMYFUNCTION("IF(ISBLANK(K247),,SUBSTITUTE(IFERROR(JOIN("","",K247:Z247),JOIN("","",K247:Y247)),CHAR(10),""""))"),"")</f>
        <v/>
      </c>
      <c r="AC247" s="229" t="str">
        <f t="shared" si="1"/>
        <v/>
      </c>
    </row>
    <row r="248">
      <c r="K248" s="237"/>
      <c r="L248" s="238" t="str">
        <f t="shared" si="3"/>
        <v/>
      </c>
      <c r="M248" s="237"/>
      <c r="N248" s="238"/>
      <c r="O248" s="238" t="str">
        <f t="shared" si="4"/>
        <v/>
      </c>
      <c r="P248" s="238" t="str">
        <f t="shared" si="5"/>
        <v/>
      </c>
      <c r="Q248" s="238" t="str">
        <f t="shared" si="6"/>
        <v/>
      </c>
      <c r="R248" s="238" t="str">
        <f t="shared" si="7"/>
        <v/>
      </c>
      <c r="S248" s="238" t="str">
        <f t="shared" si="8"/>
        <v/>
      </c>
      <c r="T248" s="238"/>
      <c r="U248" s="237"/>
      <c r="V248" s="238"/>
      <c r="W248" s="238" t="str">
        <f t="shared" si="9"/>
        <v/>
      </c>
      <c r="X248" s="237" t="str">
        <f t="shared" ref="X248:Y248" si="240">IF(ISBLANK(H248),,""""&amp;H248&amp;"""")</f>
        <v/>
      </c>
      <c r="Y248" s="237" t="str">
        <f t="shared" si="240"/>
        <v/>
      </c>
      <c r="Z248" s="237" t="str">
        <f>IF(ISBLANK(K248),,Config!$C$3&amp;"&amp;range=BB"&amp;MATCH(K248,FRG!AE:AE,0))</f>
        <v/>
      </c>
      <c r="AB248" s="242" t="str">
        <f>IFERROR(__xludf.DUMMYFUNCTION("IF(ISBLANK(K248),,SUBSTITUTE(IFERROR(JOIN("","",K248:Z248),JOIN("","",K248:Y248)),CHAR(10),""""))"),"")</f>
        <v/>
      </c>
      <c r="AC248" s="229" t="str">
        <f t="shared" si="1"/>
        <v/>
      </c>
    </row>
    <row r="249">
      <c r="K249" s="237"/>
      <c r="L249" s="238" t="str">
        <f t="shared" si="3"/>
        <v/>
      </c>
      <c r="M249" s="237"/>
      <c r="N249" s="238"/>
      <c r="O249" s="238" t="str">
        <f t="shared" si="4"/>
        <v/>
      </c>
      <c r="P249" s="238" t="str">
        <f t="shared" si="5"/>
        <v/>
      </c>
      <c r="Q249" s="238" t="str">
        <f t="shared" si="6"/>
        <v/>
      </c>
      <c r="R249" s="238" t="str">
        <f t="shared" si="7"/>
        <v/>
      </c>
      <c r="S249" s="238" t="str">
        <f t="shared" si="8"/>
        <v/>
      </c>
      <c r="T249" s="238"/>
      <c r="U249" s="237"/>
      <c r="V249" s="238"/>
      <c r="W249" s="238" t="str">
        <f t="shared" si="9"/>
        <v/>
      </c>
      <c r="X249" s="237" t="str">
        <f t="shared" ref="X249:Y249" si="241">IF(ISBLANK(H249),,""""&amp;H249&amp;"""")</f>
        <v/>
      </c>
      <c r="Y249" s="237" t="str">
        <f t="shared" si="241"/>
        <v/>
      </c>
      <c r="Z249" s="237" t="str">
        <f>IF(ISBLANK(K249),,Config!$C$3&amp;"&amp;range=BB"&amp;MATCH(K249,FRG!AE:AE,0))</f>
        <v/>
      </c>
      <c r="AB249" s="242" t="str">
        <f>IFERROR(__xludf.DUMMYFUNCTION("IF(ISBLANK(K249),,SUBSTITUTE(IFERROR(JOIN("","",K249:Z249),JOIN("","",K249:Y249)),CHAR(10),""""))"),"")</f>
        <v/>
      </c>
      <c r="AC249" s="229" t="str">
        <f t="shared" si="1"/>
        <v/>
      </c>
    </row>
    <row r="250">
      <c r="K250" s="237"/>
      <c r="L250" s="238" t="str">
        <f t="shared" si="3"/>
        <v/>
      </c>
      <c r="M250" s="237"/>
      <c r="N250" s="238"/>
      <c r="O250" s="238" t="str">
        <f t="shared" si="4"/>
        <v/>
      </c>
      <c r="P250" s="238" t="str">
        <f t="shared" si="5"/>
        <v/>
      </c>
      <c r="Q250" s="238" t="str">
        <f t="shared" si="6"/>
        <v/>
      </c>
      <c r="R250" s="238" t="str">
        <f t="shared" si="7"/>
        <v/>
      </c>
      <c r="S250" s="238" t="str">
        <f t="shared" si="8"/>
        <v/>
      </c>
      <c r="T250" s="238"/>
      <c r="U250" s="237"/>
      <c r="V250" s="238"/>
      <c r="W250" s="238" t="str">
        <f t="shared" si="9"/>
        <v/>
      </c>
      <c r="X250" s="237" t="str">
        <f t="shared" ref="X250:Y250" si="242">IF(ISBLANK(H250),,""""&amp;H250&amp;"""")</f>
        <v/>
      </c>
      <c r="Y250" s="237" t="str">
        <f t="shared" si="242"/>
        <v/>
      </c>
      <c r="Z250" s="237" t="str">
        <f>IF(ISBLANK(K250),,Config!$C$3&amp;"&amp;range=BB"&amp;MATCH(K250,FRG!AE:AE,0))</f>
        <v/>
      </c>
      <c r="AB250" s="242" t="str">
        <f>IFERROR(__xludf.DUMMYFUNCTION("IF(ISBLANK(K250),,SUBSTITUTE(IFERROR(JOIN("","",K250:Z250),JOIN("","",K250:Y250)),CHAR(10),""""))"),"")</f>
        <v/>
      </c>
      <c r="AC250" s="229" t="str">
        <f t="shared" si="1"/>
        <v/>
      </c>
    </row>
    <row r="251">
      <c r="K251" s="237"/>
      <c r="L251" s="238" t="str">
        <f t="shared" si="3"/>
        <v/>
      </c>
      <c r="M251" s="237"/>
      <c r="N251" s="238"/>
      <c r="O251" s="238" t="str">
        <f t="shared" si="4"/>
        <v/>
      </c>
      <c r="P251" s="238" t="str">
        <f t="shared" si="5"/>
        <v/>
      </c>
      <c r="Q251" s="238" t="str">
        <f t="shared" si="6"/>
        <v/>
      </c>
      <c r="R251" s="238" t="str">
        <f t="shared" si="7"/>
        <v/>
      </c>
      <c r="S251" s="238" t="str">
        <f t="shared" si="8"/>
        <v/>
      </c>
      <c r="T251" s="238"/>
      <c r="U251" s="237"/>
      <c r="V251" s="238"/>
      <c r="W251" s="238" t="str">
        <f t="shared" si="9"/>
        <v/>
      </c>
      <c r="X251" s="237" t="str">
        <f t="shared" ref="X251:Y251" si="243">IF(ISBLANK(H251),,""""&amp;H251&amp;"""")</f>
        <v/>
      </c>
      <c r="Y251" s="237" t="str">
        <f t="shared" si="243"/>
        <v/>
      </c>
      <c r="Z251" s="237" t="str">
        <f>IF(ISBLANK(K251),,Config!$C$3&amp;"&amp;range=BB"&amp;MATCH(K251,FRG!AE:AE,0))</f>
        <v/>
      </c>
      <c r="AB251" s="242" t="str">
        <f>IFERROR(__xludf.DUMMYFUNCTION("IF(ISBLANK(K251),,SUBSTITUTE(IFERROR(JOIN("","",K251:Z251),JOIN("","",K251:Y251)),CHAR(10),""""))"),"")</f>
        <v/>
      </c>
      <c r="AC251" s="229" t="str">
        <f t="shared" si="1"/>
        <v/>
      </c>
    </row>
    <row r="252">
      <c r="K252" s="237"/>
      <c r="L252" s="238" t="str">
        <f t="shared" si="3"/>
        <v/>
      </c>
      <c r="M252" s="237"/>
      <c r="N252" s="238"/>
      <c r="O252" s="238" t="str">
        <f t="shared" si="4"/>
        <v/>
      </c>
      <c r="P252" s="238" t="str">
        <f t="shared" si="5"/>
        <v/>
      </c>
      <c r="Q252" s="238" t="str">
        <f t="shared" si="6"/>
        <v/>
      </c>
      <c r="R252" s="238" t="str">
        <f t="shared" si="7"/>
        <v/>
      </c>
      <c r="S252" s="238" t="str">
        <f t="shared" si="8"/>
        <v/>
      </c>
      <c r="T252" s="238"/>
      <c r="U252" s="237"/>
      <c r="V252" s="238"/>
      <c r="W252" s="238" t="str">
        <f t="shared" si="9"/>
        <v/>
      </c>
      <c r="X252" s="237" t="str">
        <f t="shared" ref="X252:Y252" si="244">IF(ISBLANK(H252),,""""&amp;H252&amp;"""")</f>
        <v/>
      </c>
      <c r="Y252" s="237" t="str">
        <f t="shared" si="244"/>
        <v/>
      </c>
      <c r="Z252" s="237" t="str">
        <f>IF(ISBLANK(K252),,Config!$C$3&amp;"&amp;range=BB"&amp;MATCH(K252,FRG!AE:AE,0))</f>
        <v/>
      </c>
      <c r="AB252" s="242" t="str">
        <f>IFERROR(__xludf.DUMMYFUNCTION("IF(ISBLANK(K252),,SUBSTITUTE(IFERROR(JOIN("","",K252:Z252),JOIN("","",K252:Y252)),CHAR(10),""""))"),"")</f>
        <v/>
      </c>
      <c r="AC252" s="229" t="str">
        <f t="shared" si="1"/>
        <v/>
      </c>
    </row>
    <row r="253">
      <c r="K253" s="237"/>
      <c r="L253" s="238" t="str">
        <f t="shared" si="3"/>
        <v/>
      </c>
      <c r="M253" s="237"/>
      <c r="N253" s="238"/>
      <c r="O253" s="238" t="str">
        <f t="shared" si="4"/>
        <v/>
      </c>
      <c r="P253" s="238" t="str">
        <f t="shared" si="5"/>
        <v/>
      </c>
      <c r="Q253" s="238" t="str">
        <f t="shared" si="6"/>
        <v/>
      </c>
      <c r="R253" s="238" t="str">
        <f t="shared" si="7"/>
        <v/>
      </c>
      <c r="S253" s="238" t="str">
        <f t="shared" si="8"/>
        <v/>
      </c>
      <c r="T253" s="238"/>
      <c r="U253" s="237"/>
      <c r="V253" s="238"/>
      <c r="W253" s="238" t="str">
        <f t="shared" si="9"/>
        <v/>
      </c>
      <c r="X253" s="237" t="str">
        <f t="shared" ref="X253:Y253" si="245">IF(ISBLANK(H253),,""""&amp;H253&amp;"""")</f>
        <v/>
      </c>
      <c r="Y253" s="237" t="str">
        <f t="shared" si="245"/>
        <v/>
      </c>
      <c r="Z253" s="237" t="str">
        <f>IF(ISBLANK(K253),,Config!$C$3&amp;"&amp;range=BB"&amp;MATCH(K253,FRG!AE:AE,0))</f>
        <v/>
      </c>
      <c r="AB253" s="242" t="str">
        <f>IFERROR(__xludf.DUMMYFUNCTION("IF(ISBLANK(K253),,SUBSTITUTE(IFERROR(JOIN("","",K253:Z253),JOIN("","",K253:Y253)),CHAR(10),""""))"),"")</f>
        <v/>
      </c>
      <c r="AC253" s="229" t="str">
        <f t="shared" si="1"/>
        <v/>
      </c>
    </row>
    <row r="254">
      <c r="K254" s="237"/>
      <c r="L254" s="238" t="str">
        <f t="shared" si="3"/>
        <v/>
      </c>
      <c r="M254" s="237"/>
      <c r="N254" s="238"/>
      <c r="O254" s="238" t="str">
        <f t="shared" si="4"/>
        <v/>
      </c>
      <c r="P254" s="238" t="str">
        <f t="shared" si="5"/>
        <v/>
      </c>
      <c r="Q254" s="238" t="str">
        <f t="shared" si="6"/>
        <v/>
      </c>
      <c r="R254" s="238" t="str">
        <f t="shared" si="7"/>
        <v/>
      </c>
      <c r="S254" s="238" t="str">
        <f t="shared" si="8"/>
        <v/>
      </c>
      <c r="T254" s="238"/>
      <c r="U254" s="237"/>
      <c r="V254" s="238"/>
      <c r="W254" s="238" t="str">
        <f t="shared" si="9"/>
        <v/>
      </c>
      <c r="X254" s="237" t="str">
        <f t="shared" ref="X254:Y254" si="246">IF(ISBLANK(H254),,""""&amp;H254&amp;"""")</f>
        <v/>
      </c>
      <c r="Y254" s="237" t="str">
        <f t="shared" si="246"/>
        <v/>
      </c>
      <c r="Z254" s="237" t="str">
        <f>IF(ISBLANK(K254),,Config!$C$3&amp;"&amp;range=BB"&amp;MATCH(K254,FRG!AE:AE,0))</f>
        <v/>
      </c>
      <c r="AB254" s="242" t="str">
        <f>IFERROR(__xludf.DUMMYFUNCTION("IF(ISBLANK(K254),,SUBSTITUTE(IFERROR(JOIN("","",K254:Z254),JOIN("","",K254:Y254)),CHAR(10),""""))"),"")</f>
        <v/>
      </c>
      <c r="AC254" s="229" t="str">
        <f t="shared" si="1"/>
        <v/>
      </c>
    </row>
    <row r="255">
      <c r="K255" s="237"/>
      <c r="L255" s="238" t="str">
        <f t="shared" si="3"/>
        <v/>
      </c>
      <c r="M255" s="237"/>
      <c r="N255" s="238"/>
      <c r="O255" s="238" t="str">
        <f t="shared" si="4"/>
        <v/>
      </c>
      <c r="P255" s="238" t="str">
        <f t="shared" si="5"/>
        <v/>
      </c>
      <c r="Q255" s="238" t="str">
        <f t="shared" si="6"/>
        <v/>
      </c>
      <c r="R255" s="238" t="str">
        <f t="shared" si="7"/>
        <v/>
      </c>
      <c r="S255" s="238" t="str">
        <f t="shared" si="8"/>
        <v/>
      </c>
      <c r="T255" s="238"/>
      <c r="U255" s="237"/>
      <c r="V255" s="238"/>
      <c r="W255" s="238" t="str">
        <f t="shared" si="9"/>
        <v/>
      </c>
      <c r="X255" s="237" t="str">
        <f t="shared" ref="X255:Y255" si="247">IF(ISBLANK(H255),,""""&amp;H255&amp;"""")</f>
        <v/>
      </c>
      <c r="Y255" s="237" t="str">
        <f t="shared" si="247"/>
        <v/>
      </c>
      <c r="Z255" s="237" t="str">
        <f>IF(ISBLANK(K255),,Config!$C$3&amp;"&amp;range=BB"&amp;MATCH(K255,FRG!AE:AE,0))</f>
        <v/>
      </c>
      <c r="AB255" s="242" t="str">
        <f>IFERROR(__xludf.DUMMYFUNCTION("IF(ISBLANK(K255),,SUBSTITUTE(IFERROR(JOIN("","",K255:Z255),JOIN("","",K255:Y255)),CHAR(10),""""))"),"")</f>
        <v/>
      </c>
      <c r="AC255" s="229" t="str">
        <f t="shared" si="1"/>
        <v/>
      </c>
    </row>
    <row r="256">
      <c r="K256" s="237"/>
      <c r="L256" s="238" t="str">
        <f t="shared" si="3"/>
        <v/>
      </c>
      <c r="M256" s="237"/>
      <c r="N256" s="238"/>
      <c r="O256" s="238" t="str">
        <f t="shared" si="4"/>
        <v/>
      </c>
      <c r="P256" s="238" t="str">
        <f t="shared" si="5"/>
        <v/>
      </c>
      <c r="Q256" s="238" t="str">
        <f t="shared" si="6"/>
        <v/>
      </c>
      <c r="R256" s="238" t="str">
        <f t="shared" si="7"/>
        <v/>
      </c>
      <c r="S256" s="238" t="str">
        <f t="shared" si="8"/>
        <v/>
      </c>
      <c r="T256" s="238"/>
      <c r="U256" s="237"/>
      <c r="V256" s="238"/>
      <c r="W256" s="238" t="str">
        <f t="shared" si="9"/>
        <v/>
      </c>
      <c r="X256" s="237" t="str">
        <f t="shared" ref="X256:Y256" si="248">IF(ISBLANK(H256),,""""&amp;H256&amp;"""")</f>
        <v/>
      </c>
      <c r="Y256" s="237" t="str">
        <f t="shared" si="248"/>
        <v/>
      </c>
      <c r="Z256" s="237" t="str">
        <f>IF(ISBLANK(K256),,Config!$C$3&amp;"&amp;range=BB"&amp;MATCH(K256,FRG!AE:AE,0))</f>
        <v/>
      </c>
      <c r="AB256" s="242" t="str">
        <f>IFERROR(__xludf.DUMMYFUNCTION("IF(ISBLANK(K256),,SUBSTITUTE(IFERROR(JOIN("","",K256:Z256),JOIN("","",K256:Y256)),CHAR(10),""""))"),"")</f>
        <v/>
      </c>
      <c r="AC256" s="229" t="str">
        <f t="shared" si="1"/>
        <v/>
      </c>
    </row>
    <row r="257">
      <c r="K257" s="237"/>
      <c r="L257" s="238" t="str">
        <f t="shared" si="3"/>
        <v/>
      </c>
      <c r="M257" s="237"/>
      <c r="N257" s="238"/>
      <c r="O257" s="238" t="str">
        <f t="shared" si="4"/>
        <v/>
      </c>
      <c r="P257" s="238" t="str">
        <f t="shared" si="5"/>
        <v/>
      </c>
      <c r="Q257" s="238" t="str">
        <f t="shared" si="6"/>
        <v/>
      </c>
      <c r="R257" s="238" t="str">
        <f t="shared" si="7"/>
        <v/>
      </c>
      <c r="S257" s="238" t="str">
        <f t="shared" si="8"/>
        <v/>
      </c>
      <c r="T257" s="238"/>
      <c r="U257" s="237"/>
      <c r="V257" s="238"/>
      <c r="W257" s="238" t="str">
        <f t="shared" si="9"/>
        <v/>
      </c>
      <c r="X257" s="237" t="str">
        <f t="shared" ref="X257:Y257" si="249">IF(ISBLANK(H257),,""""&amp;H257&amp;"""")</f>
        <v/>
      </c>
      <c r="Y257" s="237" t="str">
        <f t="shared" si="249"/>
        <v/>
      </c>
      <c r="Z257" s="237" t="str">
        <f>IF(ISBLANK(K257),,Config!$C$3&amp;"&amp;range=BB"&amp;MATCH(K257,FRG!AE:AE,0))</f>
        <v/>
      </c>
      <c r="AB257" s="242" t="str">
        <f>IFERROR(__xludf.DUMMYFUNCTION("IF(ISBLANK(K257),,SUBSTITUTE(IFERROR(JOIN("","",K257:Z257),JOIN("","",K257:Y257)),CHAR(10),""""))"),"")</f>
        <v/>
      </c>
      <c r="AC257" s="229" t="str">
        <f t="shared" si="1"/>
        <v/>
      </c>
    </row>
    <row r="258">
      <c r="K258" s="237"/>
      <c r="L258" s="238" t="str">
        <f t="shared" si="3"/>
        <v/>
      </c>
      <c r="M258" s="237"/>
      <c r="N258" s="238"/>
      <c r="O258" s="238" t="str">
        <f t="shared" si="4"/>
        <v/>
      </c>
      <c r="P258" s="238" t="str">
        <f t="shared" si="5"/>
        <v/>
      </c>
      <c r="Q258" s="238" t="str">
        <f t="shared" si="6"/>
        <v/>
      </c>
      <c r="R258" s="238" t="str">
        <f t="shared" si="7"/>
        <v/>
      </c>
      <c r="S258" s="238" t="str">
        <f t="shared" si="8"/>
        <v/>
      </c>
      <c r="T258" s="238"/>
      <c r="U258" s="237"/>
      <c r="V258" s="238"/>
      <c r="W258" s="238" t="str">
        <f t="shared" si="9"/>
        <v/>
      </c>
      <c r="X258" s="237" t="str">
        <f t="shared" ref="X258:Y258" si="250">IF(ISBLANK(H258),,""""&amp;H258&amp;"""")</f>
        <v/>
      </c>
      <c r="Y258" s="237" t="str">
        <f t="shared" si="250"/>
        <v/>
      </c>
      <c r="Z258" s="237" t="str">
        <f>IF(ISBLANK(K258),,Config!$C$3&amp;"&amp;range=BB"&amp;MATCH(K258,FRG!AE:AE,0))</f>
        <v/>
      </c>
      <c r="AB258" s="242" t="str">
        <f>IFERROR(__xludf.DUMMYFUNCTION("IF(ISBLANK(K258),,SUBSTITUTE(IFERROR(JOIN("","",K258:Z258),JOIN("","",K258:Y258)),CHAR(10),""""))"),"")</f>
        <v/>
      </c>
      <c r="AC258" s="229" t="str">
        <f t="shared" si="1"/>
        <v/>
      </c>
    </row>
    <row r="259">
      <c r="K259" s="237"/>
      <c r="L259" s="238" t="str">
        <f t="shared" si="3"/>
        <v/>
      </c>
      <c r="M259" s="237"/>
      <c r="N259" s="238"/>
      <c r="O259" s="238" t="str">
        <f t="shared" si="4"/>
        <v/>
      </c>
      <c r="P259" s="238" t="str">
        <f t="shared" si="5"/>
        <v/>
      </c>
      <c r="Q259" s="238" t="str">
        <f t="shared" si="6"/>
        <v/>
      </c>
      <c r="R259" s="238" t="str">
        <f t="shared" si="7"/>
        <v/>
      </c>
      <c r="S259" s="238" t="str">
        <f t="shared" si="8"/>
        <v/>
      </c>
      <c r="T259" s="238"/>
      <c r="U259" s="237"/>
      <c r="V259" s="238"/>
      <c r="W259" s="238" t="str">
        <f t="shared" si="9"/>
        <v/>
      </c>
      <c r="X259" s="237" t="str">
        <f t="shared" ref="X259:Y259" si="251">IF(ISBLANK(H259),,""""&amp;H259&amp;"""")</f>
        <v/>
      </c>
      <c r="Y259" s="237" t="str">
        <f t="shared" si="251"/>
        <v/>
      </c>
      <c r="Z259" s="237" t="str">
        <f>IF(ISBLANK(K259),,Config!$C$3&amp;"&amp;range=BB"&amp;MATCH(K259,FRG!AE:AE,0))</f>
        <v/>
      </c>
      <c r="AB259" s="242" t="str">
        <f>IFERROR(__xludf.DUMMYFUNCTION("IF(ISBLANK(K259),,SUBSTITUTE(IFERROR(JOIN("","",K259:Z259),JOIN("","",K259:Y259)),CHAR(10),""""))"),"")</f>
        <v/>
      </c>
      <c r="AC259" s="229" t="str">
        <f t="shared" si="1"/>
        <v/>
      </c>
    </row>
    <row r="260">
      <c r="K260" s="237"/>
      <c r="L260" s="238" t="str">
        <f t="shared" si="3"/>
        <v/>
      </c>
      <c r="M260" s="237"/>
      <c r="N260" s="238"/>
      <c r="O260" s="238" t="str">
        <f t="shared" si="4"/>
        <v/>
      </c>
      <c r="P260" s="238" t="str">
        <f t="shared" si="5"/>
        <v/>
      </c>
      <c r="Q260" s="238" t="str">
        <f t="shared" si="6"/>
        <v/>
      </c>
      <c r="R260" s="238" t="str">
        <f t="shared" si="7"/>
        <v/>
      </c>
      <c r="S260" s="238" t="str">
        <f t="shared" si="8"/>
        <v/>
      </c>
      <c r="T260" s="238"/>
      <c r="U260" s="237"/>
      <c r="V260" s="238"/>
      <c r="W260" s="238" t="str">
        <f t="shared" si="9"/>
        <v/>
      </c>
      <c r="X260" s="237" t="str">
        <f t="shared" ref="X260:Y260" si="252">IF(ISBLANK(H260),,""""&amp;H260&amp;"""")</f>
        <v/>
      </c>
      <c r="Y260" s="237" t="str">
        <f t="shared" si="252"/>
        <v/>
      </c>
      <c r="Z260" s="237" t="str">
        <f>IF(ISBLANK(K260),,Config!$C$3&amp;"&amp;range=BB"&amp;MATCH(K260,FRG!AE:AE,0))</f>
        <v/>
      </c>
      <c r="AB260" s="242" t="str">
        <f>IFERROR(__xludf.DUMMYFUNCTION("IF(ISBLANK(K260),,SUBSTITUTE(IFERROR(JOIN("","",K260:Z260),JOIN("","",K260:Y260)),CHAR(10),""""))"),"")</f>
        <v/>
      </c>
      <c r="AC260" s="229" t="str">
        <f t="shared" si="1"/>
        <v/>
      </c>
    </row>
    <row r="261">
      <c r="K261" s="237"/>
      <c r="L261" s="238" t="str">
        <f t="shared" si="3"/>
        <v/>
      </c>
      <c r="M261" s="237"/>
      <c r="N261" s="238"/>
      <c r="O261" s="238" t="str">
        <f t="shared" si="4"/>
        <v/>
      </c>
      <c r="P261" s="238" t="str">
        <f t="shared" si="5"/>
        <v/>
      </c>
      <c r="Q261" s="238" t="str">
        <f t="shared" si="6"/>
        <v/>
      </c>
      <c r="R261" s="238" t="str">
        <f t="shared" si="7"/>
        <v/>
      </c>
      <c r="S261" s="238" t="str">
        <f t="shared" si="8"/>
        <v/>
      </c>
      <c r="T261" s="238"/>
      <c r="U261" s="237"/>
      <c r="V261" s="238"/>
      <c r="W261" s="238" t="str">
        <f t="shared" si="9"/>
        <v/>
      </c>
      <c r="X261" s="237" t="str">
        <f t="shared" ref="X261:Y261" si="253">IF(ISBLANK(H261),,""""&amp;H261&amp;"""")</f>
        <v/>
      </c>
      <c r="Y261" s="237" t="str">
        <f t="shared" si="253"/>
        <v/>
      </c>
      <c r="Z261" s="237" t="str">
        <f>IF(ISBLANK(K261),,Config!$C$3&amp;"&amp;range=BB"&amp;MATCH(K261,FRG!AE:AE,0))</f>
        <v/>
      </c>
      <c r="AB261" s="242" t="str">
        <f>IFERROR(__xludf.DUMMYFUNCTION("IF(ISBLANK(K261),,SUBSTITUTE(IFERROR(JOIN("","",K261:Z261),JOIN("","",K261:Y261)),CHAR(10),""""))"),"")</f>
        <v/>
      </c>
      <c r="AC261" s="229" t="str">
        <f t="shared" si="1"/>
        <v/>
      </c>
    </row>
    <row r="262">
      <c r="K262" s="237"/>
      <c r="L262" s="238" t="str">
        <f t="shared" si="3"/>
        <v/>
      </c>
      <c r="M262" s="237"/>
      <c r="N262" s="238"/>
      <c r="O262" s="238" t="str">
        <f t="shared" si="4"/>
        <v/>
      </c>
      <c r="P262" s="238" t="str">
        <f t="shared" si="5"/>
        <v/>
      </c>
      <c r="Q262" s="238" t="str">
        <f t="shared" si="6"/>
        <v/>
      </c>
      <c r="R262" s="238" t="str">
        <f t="shared" si="7"/>
        <v/>
      </c>
      <c r="S262" s="238" t="str">
        <f t="shared" si="8"/>
        <v/>
      </c>
      <c r="T262" s="238"/>
      <c r="U262" s="237"/>
      <c r="V262" s="238"/>
      <c r="W262" s="238" t="str">
        <f t="shared" si="9"/>
        <v/>
      </c>
      <c r="X262" s="237" t="str">
        <f t="shared" ref="X262:Y262" si="254">IF(ISBLANK(H262),,""""&amp;H262&amp;"""")</f>
        <v/>
      </c>
      <c r="Y262" s="237" t="str">
        <f t="shared" si="254"/>
        <v/>
      </c>
      <c r="Z262" s="237" t="str">
        <f>IF(ISBLANK(K262),,Config!$C$3&amp;"&amp;range=BB"&amp;MATCH(K262,FRG!AE:AE,0))</f>
        <v/>
      </c>
      <c r="AB262" s="242" t="str">
        <f>IFERROR(__xludf.DUMMYFUNCTION("IF(ISBLANK(K262),,SUBSTITUTE(IFERROR(JOIN("","",K262:Z262),JOIN("","",K262:Y262)),CHAR(10),""""))"),"")</f>
        <v/>
      </c>
      <c r="AC262" s="229" t="str">
        <f t="shared" si="1"/>
        <v/>
      </c>
    </row>
    <row r="263">
      <c r="K263" s="237"/>
      <c r="L263" s="238" t="str">
        <f t="shared" si="3"/>
        <v/>
      </c>
      <c r="M263" s="237"/>
      <c r="N263" s="238"/>
      <c r="O263" s="238" t="str">
        <f t="shared" si="4"/>
        <v/>
      </c>
      <c r="P263" s="238" t="str">
        <f t="shared" si="5"/>
        <v/>
      </c>
      <c r="Q263" s="238" t="str">
        <f t="shared" si="6"/>
        <v/>
      </c>
      <c r="R263" s="238" t="str">
        <f t="shared" si="7"/>
        <v/>
      </c>
      <c r="S263" s="238" t="str">
        <f t="shared" si="8"/>
        <v/>
      </c>
      <c r="T263" s="238"/>
      <c r="U263" s="237"/>
      <c r="V263" s="238"/>
      <c r="W263" s="238" t="str">
        <f t="shared" si="9"/>
        <v/>
      </c>
      <c r="X263" s="237" t="str">
        <f t="shared" ref="X263:Y263" si="255">IF(ISBLANK(H263),,""""&amp;H263&amp;"""")</f>
        <v/>
      </c>
      <c r="Y263" s="237" t="str">
        <f t="shared" si="255"/>
        <v/>
      </c>
      <c r="Z263" s="237" t="str">
        <f>IF(ISBLANK(K263),,Config!$C$3&amp;"&amp;range=BB"&amp;MATCH(K263,FRG!AE:AE,0))</f>
        <v/>
      </c>
      <c r="AB263" s="242" t="str">
        <f>IFERROR(__xludf.DUMMYFUNCTION("IF(ISBLANK(K263),,SUBSTITUTE(IFERROR(JOIN("","",K263:Z263),JOIN("","",K263:Y263)),CHAR(10),""""))"),"")</f>
        <v/>
      </c>
      <c r="AC263" s="229" t="str">
        <f t="shared" si="1"/>
        <v/>
      </c>
    </row>
    <row r="264">
      <c r="K264" s="237"/>
      <c r="L264" s="238" t="str">
        <f t="shared" si="3"/>
        <v/>
      </c>
      <c r="M264" s="237"/>
      <c r="N264" s="238"/>
      <c r="O264" s="238" t="str">
        <f t="shared" si="4"/>
        <v/>
      </c>
      <c r="P264" s="238" t="str">
        <f t="shared" si="5"/>
        <v/>
      </c>
      <c r="Q264" s="238" t="str">
        <f t="shared" si="6"/>
        <v/>
      </c>
      <c r="R264" s="238" t="str">
        <f t="shared" si="7"/>
        <v/>
      </c>
      <c r="S264" s="238" t="str">
        <f t="shared" si="8"/>
        <v/>
      </c>
      <c r="T264" s="238"/>
      <c r="U264" s="237"/>
      <c r="V264" s="238"/>
      <c r="W264" s="238" t="str">
        <f t="shared" si="9"/>
        <v/>
      </c>
      <c r="X264" s="237" t="str">
        <f t="shared" ref="X264:Y264" si="256">IF(ISBLANK(H264),,""""&amp;H264&amp;"""")</f>
        <v/>
      </c>
      <c r="Y264" s="237" t="str">
        <f t="shared" si="256"/>
        <v/>
      </c>
      <c r="Z264" s="237" t="str">
        <f>IF(ISBLANK(K264),,Config!$C$3&amp;"&amp;range=BB"&amp;MATCH(K264,FRG!AE:AE,0))</f>
        <v/>
      </c>
      <c r="AB264" s="242" t="str">
        <f>IFERROR(__xludf.DUMMYFUNCTION("IF(ISBLANK(K264),,SUBSTITUTE(IFERROR(JOIN("","",K264:Z264),JOIN("","",K264:Y264)),CHAR(10),""""))"),"")</f>
        <v/>
      </c>
      <c r="AC264" s="229" t="str">
        <f t="shared" si="1"/>
        <v/>
      </c>
    </row>
    <row r="265">
      <c r="K265" s="237"/>
      <c r="L265" s="238" t="str">
        <f t="shared" si="3"/>
        <v/>
      </c>
      <c r="M265" s="237"/>
      <c r="N265" s="238"/>
      <c r="O265" s="238" t="str">
        <f t="shared" si="4"/>
        <v/>
      </c>
      <c r="P265" s="238" t="str">
        <f t="shared" si="5"/>
        <v/>
      </c>
      <c r="Q265" s="238" t="str">
        <f t="shared" si="6"/>
        <v/>
      </c>
      <c r="R265" s="238" t="str">
        <f t="shared" si="7"/>
        <v/>
      </c>
      <c r="S265" s="238" t="str">
        <f t="shared" si="8"/>
        <v/>
      </c>
      <c r="T265" s="238"/>
      <c r="U265" s="237"/>
      <c r="V265" s="238"/>
      <c r="W265" s="238" t="str">
        <f t="shared" si="9"/>
        <v/>
      </c>
      <c r="X265" s="237" t="str">
        <f t="shared" ref="X265:Y265" si="257">IF(ISBLANK(H265),,""""&amp;H265&amp;"""")</f>
        <v/>
      </c>
      <c r="Y265" s="237" t="str">
        <f t="shared" si="257"/>
        <v/>
      </c>
      <c r="Z265" s="237" t="str">
        <f>IF(ISBLANK(K265),,Config!$C$3&amp;"&amp;range=BB"&amp;MATCH(K265,FRG!AE:AE,0))</f>
        <v/>
      </c>
      <c r="AB265" s="242" t="str">
        <f>IFERROR(__xludf.DUMMYFUNCTION("IF(ISBLANK(K265),,SUBSTITUTE(IFERROR(JOIN("","",K265:Z265),JOIN("","",K265:Y265)),CHAR(10),""""))"),"")</f>
        <v/>
      </c>
      <c r="AC265" s="229" t="str">
        <f t="shared" si="1"/>
        <v/>
      </c>
    </row>
    <row r="266">
      <c r="K266" s="237"/>
      <c r="L266" s="238" t="str">
        <f t="shared" si="3"/>
        <v/>
      </c>
      <c r="M266" s="237"/>
      <c r="N266" s="238"/>
      <c r="O266" s="238" t="str">
        <f t="shared" si="4"/>
        <v/>
      </c>
      <c r="P266" s="238" t="str">
        <f t="shared" si="5"/>
        <v/>
      </c>
      <c r="Q266" s="238" t="str">
        <f t="shared" si="6"/>
        <v/>
      </c>
      <c r="R266" s="238" t="str">
        <f t="shared" si="7"/>
        <v/>
      </c>
      <c r="S266" s="238" t="str">
        <f t="shared" si="8"/>
        <v/>
      </c>
      <c r="T266" s="238"/>
      <c r="U266" s="237"/>
      <c r="V266" s="238"/>
      <c r="W266" s="238" t="str">
        <f t="shared" si="9"/>
        <v/>
      </c>
      <c r="X266" s="237" t="str">
        <f t="shared" ref="X266:Y266" si="258">IF(ISBLANK(H266),,""""&amp;H266&amp;"""")</f>
        <v/>
      </c>
      <c r="Y266" s="237" t="str">
        <f t="shared" si="258"/>
        <v/>
      </c>
      <c r="Z266" s="237" t="str">
        <f>IF(ISBLANK(K266),,Config!$C$3&amp;"&amp;range=BB"&amp;MATCH(K266,FRG!AE:AE,0))</f>
        <v/>
      </c>
      <c r="AB266" s="242" t="str">
        <f>IFERROR(__xludf.DUMMYFUNCTION("IF(ISBLANK(K266),,SUBSTITUTE(IFERROR(JOIN("","",K266:Z266),JOIN("","",K266:Y266)),CHAR(10),""""))"),"")</f>
        <v/>
      </c>
      <c r="AC266" s="229" t="str">
        <f t="shared" si="1"/>
        <v/>
      </c>
    </row>
    <row r="267">
      <c r="K267" s="237"/>
      <c r="L267" s="238" t="str">
        <f t="shared" si="3"/>
        <v/>
      </c>
      <c r="M267" s="237"/>
      <c r="N267" s="238"/>
      <c r="O267" s="238" t="str">
        <f t="shared" si="4"/>
        <v/>
      </c>
      <c r="P267" s="238" t="str">
        <f t="shared" si="5"/>
        <v/>
      </c>
      <c r="Q267" s="238" t="str">
        <f t="shared" si="6"/>
        <v/>
      </c>
      <c r="R267" s="238" t="str">
        <f t="shared" si="7"/>
        <v/>
      </c>
      <c r="S267" s="238" t="str">
        <f t="shared" si="8"/>
        <v/>
      </c>
      <c r="T267" s="238"/>
      <c r="U267" s="237"/>
      <c r="V267" s="238"/>
      <c r="W267" s="238" t="str">
        <f t="shared" si="9"/>
        <v/>
      </c>
      <c r="X267" s="237" t="str">
        <f t="shared" ref="X267:Y267" si="259">IF(ISBLANK(H267),,""""&amp;H267&amp;"""")</f>
        <v/>
      </c>
      <c r="Y267" s="237" t="str">
        <f t="shared" si="259"/>
        <v/>
      </c>
      <c r="Z267" s="237" t="str">
        <f>IF(ISBLANK(K267),,Config!$C$3&amp;"&amp;range=BB"&amp;MATCH(K267,FRG!AE:AE,0))</f>
        <v/>
      </c>
      <c r="AB267" s="242" t="str">
        <f>IFERROR(__xludf.DUMMYFUNCTION("IF(ISBLANK(K267),,SUBSTITUTE(IFERROR(JOIN("","",K267:Z267),JOIN("","",K267:Y267)),CHAR(10),""""))"),"")</f>
        <v/>
      </c>
      <c r="AC267" s="229" t="str">
        <f t="shared" si="1"/>
        <v/>
      </c>
    </row>
    <row r="268">
      <c r="K268" s="237"/>
      <c r="L268" s="238" t="str">
        <f t="shared" si="3"/>
        <v/>
      </c>
      <c r="M268" s="237"/>
      <c r="N268" s="238"/>
      <c r="O268" s="238" t="str">
        <f t="shared" si="4"/>
        <v/>
      </c>
      <c r="P268" s="238" t="str">
        <f t="shared" si="5"/>
        <v/>
      </c>
      <c r="Q268" s="238" t="str">
        <f t="shared" si="6"/>
        <v/>
      </c>
      <c r="R268" s="238" t="str">
        <f t="shared" si="7"/>
        <v/>
      </c>
      <c r="S268" s="238" t="str">
        <f t="shared" si="8"/>
        <v/>
      </c>
      <c r="T268" s="238"/>
      <c r="U268" s="237"/>
      <c r="V268" s="238"/>
      <c r="W268" s="238" t="str">
        <f t="shared" si="9"/>
        <v/>
      </c>
      <c r="X268" s="237" t="str">
        <f t="shared" ref="X268:Y268" si="260">IF(ISBLANK(H268),,""""&amp;H268&amp;"""")</f>
        <v/>
      </c>
      <c r="Y268" s="237" t="str">
        <f t="shared" si="260"/>
        <v/>
      </c>
      <c r="Z268" s="237" t="str">
        <f>IF(ISBLANK(K268),,Config!$C$3&amp;"&amp;range=BB"&amp;MATCH(K268,FRG!AE:AE,0))</f>
        <v/>
      </c>
      <c r="AB268" s="242" t="str">
        <f>IFERROR(__xludf.DUMMYFUNCTION("IF(ISBLANK(K268),,SUBSTITUTE(IFERROR(JOIN("","",K268:Z268),JOIN("","",K268:Y268)),CHAR(10),""""))"),"")</f>
        <v/>
      </c>
      <c r="AC268" s="229" t="str">
        <f t="shared" si="1"/>
        <v/>
      </c>
    </row>
    <row r="269">
      <c r="K269" s="237"/>
      <c r="L269" s="238" t="str">
        <f t="shared" si="3"/>
        <v/>
      </c>
      <c r="M269" s="237"/>
      <c r="N269" s="238"/>
      <c r="O269" s="238" t="str">
        <f t="shared" si="4"/>
        <v/>
      </c>
      <c r="P269" s="238" t="str">
        <f t="shared" si="5"/>
        <v/>
      </c>
      <c r="Q269" s="238" t="str">
        <f t="shared" si="6"/>
        <v/>
      </c>
      <c r="R269" s="238" t="str">
        <f t="shared" si="7"/>
        <v/>
      </c>
      <c r="S269" s="238" t="str">
        <f t="shared" si="8"/>
        <v/>
      </c>
      <c r="T269" s="238"/>
      <c r="U269" s="237"/>
      <c r="V269" s="238"/>
      <c r="W269" s="238" t="str">
        <f t="shared" si="9"/>
        <v/>
      </c>
      <c r="X269" s="237" t="str">
        <f t="shared" ref="X269:Y269" si="261">IF(ISBLANK(H269),,""""&amp;H269&amp;"""")</f>
        <v/>
      </c>
      <c r="Y269" s="237" t="str">
        <f t="shared" si="261"/>
        <v/>
      </c>
      <c r="Z269" s="237" t="str">
        <f>IF(ISBLANK(K269),,Config!$C$3&amp;"&amp;range=BB"&amp;MATCH(K269,FRG!AE:AE,0))</f>
        <v/>
      </c>
      <c r="AB269" s="242" t="str">
        <f>IFERROR(__xludf.DUMMYFUNCTION("IF(ISBLANK(K269),,SUBSTITUTE(IFERROR(JOIN("","",K269:Z269),JOIN("","",K269:Y269)),CHAR(10),""""))"),"")</f>
        <v/>
      </c>
      <c r="AC269" s="229" t="str">
        <f t="shared" si="1"/>
        <v/>
      </c>
    </row>
    <row r="270">
      <c r="K270" s="237"/>
      <c r="L270" s="238" t="str">
        <f t="shared" si="3"/>
        <v/>
      </c>
      <c r="M270" s="237"/>
      <c r="N270" s="238"/>
      <c r="O270" s="238" t="str">
        <f t="shared" si="4"/>
        <v/>
      </c>
      <c r="P270" s="238" t="str">
        <f t="shared" si="5"/>
        <v/>
      </c>
      <c r="Q270" s="238" t="str">
        <f t="shared" si="6"/>
        <v/>
      </c>
      <c r="R270" s="238" t="str">
        <f t="shared" si="7"/>
        <v/>
      </c>
      <c r="S270" s="238" t="str">
        <f t="shared" si="8"/>
        <v/>
      </c>
      <c r="T270" s="238"/>
      <c r="U270" s="237"/>
      <c r="V270" s="238"/>
      <c r="W270" s="238" t="str">
        <f t="shared" si="9"/>
        <v/>
      </c>
      <c r="X270" s="237" t="str">
        <f t="shared" ref="X270:Y270" si="262">IF(ISBLANK(H270),,""""&amp;H270&amp;"""")</f>
        <v/>
      </c>
      <c r="Y270" s="237" t="str">
        <f t="shared" si="262"/>
        <v/>
      </c>
      <c r="Z270" s="237" t="str">
        <f>IF(ISBLANK(K270),,Config!$C$3&amp;"&amp;range=BB"&amp;MATCH(K270,FRG!AE:AE,0))</f>
        <v/>
      </c>
      <c r="AB270" s="242" t="str">
        <f>IFERROR(__xludf.DUMMYFUNCTION("IF(ISBLANK(K270),,SUBSTITUTE(IFERROR(JOIN("","",K270:Z270),JOIN("","",K270:Y270)),CHAR(10),""""))"),"")</f>
        <v/>
      </c>
      <c r="AC270" s="229" t="str">
        <f t="shared" si="1"/>
        <v/>
      </c>
    </row>
    <row r="271">
      <c r="K271" s="237"/>
      <c r="L271" s="238" t="str">
        <f t="shared" si="3"/>
        <v/>
      </c>
      <c r="M271" s="237"/>
      <c r="N271" s="238"/>
      <c r="O271" s="238" t="str">
        <f t="shared" si="4"/>
        <v/>
      </c>
      <c r="P271" s="238" t="str">
        <f t="shared" si="5"/>
        <v/>
      </c>
      <c r="Q271" s="238" t="str">
        <f t="shared" si="6"/>
        <v/>
      </c>
      <c r="R271" s="238" t="str">
        <f t="shared" si="7"/>
        <v/>
      </c>
      <c r="S271" s="238" t="str">
        <f t="shared" si="8"/>
        <v/>
      </c>
      <c r="T271" s="238"/>
      <c r="U271" s="237"/>
      <c r="V271" s="238"/>
      <c r="W271" s="238" t="str">
        <f t="shared" si="9"/>
        <v/>
      </c>
      <c r="X271" s="237" t="str">
        <f t="shared" ref="X271:Y271" si="263">IF(ISBLANK(H271),,""""&amp;H271&amp;"""")</f>
        <v/>
      </c>
      <c r="Y271" s="237" t="str">
        <f t="shared" si="263"/>
        <v/>
      </c>
      <c r="Z271" s="237" t="str">
        <f>IF(ISBLANK(K271),,Config!$C$3&amp;"&amp;range=BB"&amp;MATCH(K271,FRG!AE:AE,0))</f>
        <v/>
      </c>
      <c r="AB271" s="242" t="str">
        <f>IFERROR(__xludf.DUMMYFUNCTION("IF(ISBLANK(K271),,SUBSTITUTE(IFERROR(JOIN("","",K271:Z271),JOIN("","",K271:Y271)),CHAR(10),""""))"),"")</f>
        <v/>
      </c>
      <c r="AC271" s="229" t="str">
        <f t="shared" si="1"/>
        <v/>
      </c>
    </row>
    <row r="272">
      <c r="K272" s="237"/>
      <c r="L272" s="238" t="str">
        <f t="shared" si="3"/>
        <v/>
      </c>
      <c r="M272" s="237"/>
      <c r="N272" s="238"/>
      <c r="O272" s="238" t="str">
        <f t="shared" si="4"/>
        <v/>
      </c>
      <c r="P272" s="238" t="str">
        <f t="shared" si="5"/>
        <v/>
      </c>
      <c r="Q272" s="238" t="str">
        <f t="shared" si="6"/>
        <v/>
      </c>
      <c r="R272" s="238" t="str">
        <f t="shared" si="7"/>
        <v/>
      </c>
      <c r="S272" s="238" t="str">
        <f t="shared" si="8"/>
        <v/>
      </c>
      <c r="T272" s="238"/>
      <c r="U272" s="237"/>
      <c r="V272" s="238"/>
      <c r="W272" s="238" t="str">
        <f t="shared" si="9"/>
        <v/>
      </c>
      <c r="X272" s="237" t="str">
        <f t="shared" ref="X272:Y272" si="264">IF(ISBLANK(H272),,""""&amp;H272&amp;"""")</f>
        <v/>
      </c>
      <c r="Y272" s="237" t="str">
        <f t="shared" si="264"/>
        <v/>
      </c>
      <c r="Z272" s="237" t="str">
        <f>IF(ISBLANK(K272),,Config!$C$3&amp;"&amp;range=BB"&amp;MATCH(K272,FRG!AE:AE,0))</f>
        <v/>
      </c>
      <c r="AB272" s="242" t="str">
        <f>IFERROR(__xludf.DUMMYFUNCTION("IF(ISBLANK(K272),,SUBSTITUTE(IFERROR(JOIN("","",K272:Z272),JOIN("","",K272:Y272)),CHAR(10),""""))"),"")</f>
        <v/>
      </c>
      <c r="AC272" s="229" t="str">
        <f t="shared" si="1"/>
        <v/>
      </c>
    </row>
    <row r="273">
      <c r="K273" s="237"/>
      <c r="L273" s="238" t="str">
        <f t="shared" si="3"/>
        <v/>
      </c>
      <c r="M273" s="237"/>
      <c r="N273" s="238"/>
      <c r="O273" s="238" t="str">
        <f t="shared" si="4"/>
        <v/>
      </c>
      <c r="P273" s="238" t="str">
        <f t="shared" si="5"/>
        <v/>
      </c>
      <c r="Q273" s="238" t="str">
        <f t="shared" si="6"/>
        <v/>
      </c>
      <c r="R273" s="238" t="str">
        <f t="shared" si="7"/>
        <v/>
      </c>
      <c r="S273" s="238" t="str">
        <f t="shared" si="8"/>
        <v/>
      </c>
      <c r="T273" s="238"/>
      <c r="U273" s="237"/>
      <c r="V273" s="238"/>
      <c r="W273" s="238" t="str">
        <f t="shared" si="9"/>
        <v/>
      </c>
      <c r="X273" s="237" t="str">
        <f t="shared" ref="X273:Y273" si="265">IF(ISBLANK(H273),,""""&amp;H273&amp;"""")</f>
        <v/>
      </c>
      <c r="Y273" s="237" t="str">
        <f t="shared" si="265"/>
        <v/>
      </c>
      <c r="Z273" s="237" t="str">
        <f>IF(ISBLANK(K273),,Config!$C$3&amp;"&amp;range=BB"&amp;MATCH(K273,FRG!AE:AE,0))</f>
        <v/>
      </c>
      <c r="AB273" s="242" t="str">
        <f>IFERROR(__xludf.DUMMYFUNCTION("IF(ISBLANK(K273),,SUBSTITUTE(IFERROR(JOIN("","",K273:Z273),JOIN("","",K273:Y273)),CHAR(10),""""))"),"")</f>
        <v/>
      </c>
      <c r="AC273" s="229" t="str">
        <f t="shared" si="1"/>
        <v/>
      </c>
    </row>
    <row r="274">
      <c r="K274" s="237"/>
      <c r="L274" s="238" t="str">
        <f t="shared" si="3"/>
        <v/>
      </c>
      <c r="M274" s="237"/>
      <c r="N274" s="238"/>
      <c r="O274" s="238" t="str">
        <f t="shared" si="4"/>
        <v/>
      </c>
      <c r="P274" s="238" t="str">
        <f t="shared" si="5"/>
        <v/>
      </c>
      <c r="Q274" s="238" t="str">
        <f t="shared" si="6"/>
        <v/>
      </c>
      <c r="R274" s="238" t="str">
        <f t="shared" si="7"/>
        <v/>
      </c>
      <c r="S274" s="238" t="str">
        <f t="shared" si="8"/>
        <v/>
      </c>
      <c r="T274" s="238"/>
      <c r="U274" s="237"/>
      <c r="V274" s="238"/>
      <c r="W274" s="238" t="str">
        <f t="shared" si="9"/>
        <v/>
      </c>
      <c r="X274" s="237" t="str">
        <f t="shared" ref="X274:Y274" si="266">IF(ISBLANK(H274),,""""&amp;H274&amp;"""")</f>
        <v/>
      </c>
      <c r="Y274" s="237" t="str">
        <f t="shared" si="266"/>
        <v/>
      </c>
      <c r="Z274" s="237" t="str">
        <f>IF(ISBLANK(K274),,Config!$C$3&amp;"&amp;range=BB"&amp;MATCH(K274,FRG!AE:AE,0))</f>
        <v/>
      </c>
      <c r="AB274" s="242" t="str">
        <f>IFERROR(__xludf.DUMMYFUNCTION("IF(ISBLANK(K274),,SUBSTITUTE(IFERROR(JOIN("","",K274:Z274),JOIN("","",K274:Y274)),CHAR(10),""""))"),"")</f>
        <v/>
      </c>
      <c r="AC274" s="229" t="str">
        <f t="shared" si="1"/>
        <v/>
      </c>
    </row>
    <row r="275">
      <c r="K275" s="237"/>
      <c r="L275" s="238" t="str">
        <f t="shared" si="3"/>
        <v/>
      </c>
      <c r="M275" s="237"/>
      <c r="N275" s="238"/>
      <c r="O275" s="238" t="str">
        <f t="shared" si="4"/>
        <v/>
      </c>
      <c r="P275" s="238" t="str">
        <f t="shared" si="5"/>
        <v/>
      </c>
      <c r="Q275" s="238" t="str">
        <f t="shared" si="6"/>
        <v/>
      </c>
      <c r="R275" s="238" t="str">
        <f t="shared" si="7"/>
        <v/>
      </c>
      <c r="S275" s="238" t="str">
        <f t="shared" si="8"/>
        <v/>
      </c>
      <c r="T275" s="238"/>
      <c r="U275" s="237"/>
      <c r="V275" s="238"/>
      <c r="W275" s="238" t="str">
        <f t="shared" si="9"/>
        <v/>
      </c>
      <c r="X275" s="237" t="str">
        <f t="shared" ref="X275:Y275" si="267">IF(ISBLANK(H275),,""""&amp;H275&amp;"""")</f>
        <v/>
      </c>
      <c r="Y275" s="237" t="str">
        <f t="shared" si="267"/>
        <v/>
      </c>
      <c r="Z275" s="237" t="str">
        <f>IF(ISBLANK(K275),,Config!$C$3&amp;"&amp;range=BB"&amp;MATCH(K275,FRG!AE:AE,0))</f>
        <v/>
      </c>
      <c r="AB275" s="242" t="str">
        <f>IFERROR(__xludf.DUMMYFUNCTION("IF(ISBLANK(K275),,SUBSTITUTE(IFERROR(JOIN("","",K275:Z275),JOIN("","",K275:Y275)),CHAR(10),""""))"),"")</f>
        <v/>
      </c>
      <c r="AC275" s="229" t="str">
        <f t="shared" si="1"/>
        <v/>
      </c>
    </row>
    <row r="276">
      <c r="K276" s="237"/>
      <c r="L276" s="238" t="str">
        <f t="shared" si="3"/>
        <v/>
      </c>
      <c r="M276" s="237"/>
      <c r="N276" s="238"/>
      <c r="O276" s="238" t="str">
        <f t="shared" si="4"/>
        <v/>
      </c>
      <c r="P276" s="238" t="str">
        <f t="shared" si="5"/>
        <v/>
      </c>
      <c r="Q276" s="238" t="str">
        <f t="shared" si="6"/>
        <v/>
      </c>
      <c r="R276" s="238" t="str">
        <f t="shared" si="7"/>
        <v/>
      </c>
      <c r="S276" s="238" t="str">
        <f t="shared" si="8"/>
        <v/>
      </c>
      <c r="T276" s="238"/>
      <c r="U276" s="237"/>
      <c r="V276" s="238"/>
      <c r="W276" s="238" t="str">
        <f t="shared" si="9"/>
        <v/>
      </c>
      <c r="X276" s="237" t="str">
        <f t="shared" ref="X276:Y276" si="268">IF(ISBLANK(H276),,""""&amp;H276&amp;"""")</f>
        <v/>
      </c>
      <c r="Y276" s="237" t="str">
        <f t="shared" si="268"/>
        <v/>
      </c>
      <c r="Z276" s="237" t="str">
        <f>IF(ISBLANK(K276),,Config!$C$3&amp;"&amp;range=BB"&amp;MATCH(K276,FRG!AE:AE,0))</f>
        <v/>
      </c>
      <c r="AB276" s="242" t="str">
        <f>IFERROR(__xludf.DUMMYFUNCTION("IF(ISBLANK(K276),,SUBSTITUTE(IFERROR(JOIN("","",K276:Z276),JOIN("","",K276:Y276)),CHAR(10),""""))"),"")</f>
        <v/>
      </c>
      <c r="AC276" s="229" t="str">
        <f t="shared" si="1"/>
        <v/>
      </c>
    </row>
    <row r="277">
      <c r="K277" s="237"/>
      <c r="L277" s="238" t="str">
        <f t="shared" si="3"/>
        <v/>
      </c>
      <c r="M277" s="237"/>
      <c r="N277" s="238"/>
      <c r="O277" s="238" t="str">
        <f t="shared" si="4"/>
        <v/>
      </c>
      <c r="P277" s="238" t="str">
        <f t="shared" si="5"/>
        <v/>
      </c>
      <c r="Q277" s="238" t="str">
        <f t="shared" si="6"/>
        <v/>
      </c>
      <c r="R277" s="238" t="str">
        <f t="shared" si="7"/>
        <v/>
      </c>
      <c r="S277" s="238" t="str">
        <f t="shared" si="8"/>
        <v/>
      </c>
      <c r="T277" s="238"/>
      <c r="U277" s="237"/>
      <c r="V277" s="238"/>
      <c r="W277" s="238" t="str">
        <f t="shared" si="9"/>
        <v/>
      </c>
      <c r="X277" s="237" t="str">
        <f t="shared" ref="X277:Y277" si="269">IF(ISBLANK(H277),,""""&amp;H277&amp;"""")</f>
        <v/>
      </c>
      <c r="Y277" s="237" t="str">
        <f t="shared" si="269"/>
        <v/>
      </c>
      <c r="Z277" s="237" t="str">
        <f>IF(ISBLANK(K277),,Config!$C$3&amp;"&amp;range=BB"&amp;MATCH(K277,FRG!AE:AE,0))</f>
        <v/>
      </c>
      <c r="AB277" s="242" t="str">
        <f>IFERROR(__xludf.DUMMYFUNCTION("IF(ISBLANK(K277),,SUBSTITUTE(IFERROR(JOIN("","",K277:Z277),JOIN("","",K277:Y277)),CHAR(10),""""))"),"")</f>
        <v/>
      </c>
      <c r="AC277" s="229" t="str">
        <f t="shared" si="1"/>
        <v/>
      </c>
    </row>
    <row r="278">
      <c r="K278" s="237"/>
      <c r="L278" s="238" t="str">
        <f t="shared" si="3"/>
        <v/>
      </c>
      <c r="M278" s="237"/>
      <c r="N278" s="238"/>
      <c r="O278" s="238" t="str">
        <f t="shared" si="4"/>
        <v/>
      </c>
      <c r="P278" s="238" t="str">
        <f t="shared" si="5"/>
        <v/>
      </c>
      <c r="Q278" s="238" t="str">
        <f t="shared" si="6"/>
        <v/>
      </c>
      <c r="R278" s="238" t="str">
        <f t="shared" si="7"/>
        <v/>
      </c>
      <c r="S278" s="238" t="str">
        <f t="shared" si="8"/>
        <v/>
      </c>
      <c r="T278" s="238"/>
      <c r="U278" s="237"/>
      <c r="V278" s="238"/>
      <c r="W278" s="238" t="str">
        <f t="shared" si="9"/>
        <v/>
      </c>
      <c r="X278" s="237" t="str">
        <f t="shared" ref="X278:Y278" si="270">IF(ISBLANK(H278),,""""&amp;H278&amp;"""")</f>
        <v/>
      </c>
      <c r="Y278" s="237" t="str">
        <f t="shared" si="270"/>
        <v/>
      </c>
      <c r="Z278" s="237" t="str">
        <f>IF(ISBLANK(K278),,Config!$C$3&amp;"&amp;range=BB"&amp;MATCH(K278,FRG!AE:AE,0))</f>
        <v/>
      </c>
      <c r="AB278" s="242" t="str">
        <f>IFERROR(__xludf.DUMMYFUNCTION("IF(ISBLANK(K278),,SUBSTITUTE(IFERROR(JOIN("","",K278:Z278),JOIN("","",K278:Y278)),CHAR(10),""""))"),"")</f>
        <v/>
      </c>
      <c r="AC278" s="229" t="str">
        <f t="shared" si="1"/>
        <v/>
      </c>
    </row>
    <row r="279">
      <c r="K279" s="237"/>
      <c r="L279" s="238" t="str">
        <f t="shared" si="3"/>
        <v/>
      </c>
      <c r="M279" s="237"/>
      <c r="N279" s="238"/>
      <c r="O279" s="238" t="str">
        <f t="shared" si="4"/>
        <v/>
      </c>
      <c r="P279" s="238" t="str">
        <f t="shared" si="5"/>
        <v/>
      </c>
      <c r="Q279" s="238" t="str">
        <f t="shared" si="6"/>
        <v/>
      </c>
      <c r="R279" s="238" t="str">
        <f t="shared" si="7"/>
        <v/>
      </c>
      <c r="S279" s="238" t="str">
        <f t="shared" si="8"/>
        <v/>
      </c>
      <c r="T279" s="238"/>
      <c r="U279" s="237"/>
      <c r="V279" s="238"/>
      <c r="W279" s="238" t="str">
        <f t="shared" si="9"/>
        <v/>
      </c>
      <c r="X279" s="237" t="str">
        <f t="shared" ref="X279:Y279" si="271">IF(ISBLANK(H279),,""""&amp;H279&amp;"""")</f>
        <v/>
      </c>
      <c r="Y279" s="237" t="str">
        <f t="shared" si="271"/>
        <v/>
      </c>
      <c r="Z279" s="237" t="str">
        <f>IF(ISBLANK(K279),,Config!$C$3&amp;"&amp;range=BB"&amp;MATCH(K279,FRG!AE:AE,0))</f>
        <v/>
      </c>
      <c r="AB279" s="242" t="str">
        <f>IFERROR(__xludf.DUMMYFUNCTION("IF(ISBLANK(K279),,SUBSTITUTE(IFERROR(JOIN("","",K279:Z279),JOIN("","",K279:Y279)),CHAR(10),""""))"),"")</f>
        <v/>
      </c>
      <c r="AC279" s="229" t="str">
        <f t="shared" si="1"/>
        <v/>
      </c>
    </row>
    <row r="280">
      <c r="K280" s="237"/>
      <c r="L280" s="238" t="str">
        <f t="shared" si="3"/>
        <v/>
      </c>
      <c r="M280" s="237"/>
      <c r="N280" s="238"/>
      <c r="O280" s="238" t="str">
        <f t="shared" si="4"/>
        <v/>
      </c>
      <c r="P280" s="238" t="str">
        <f t="shared" si="5"/>
        <v/>
      </c>
      <c r="Q280" s="238" t="str">
        <f t="shared" si="6"/>
        <v/>
      </c>
      <c r="R280" s="238" t="str">
        <f t="shared" si="7"/>
        <v/>
      </c>
      <c r="S280" s="238" t="str">
        <f t="shared" si="8"/>
        <v/>
      </c>
      <c r="T280" s="238"/>
      <c r="U280" s="237"/>
      <c r="V280" s="238"/>
      <c r="W280" s="238" t="str">
        <f t="shared" si="9"/>
        <v/>
      </c>
      <c r="X280" s="237" t="str">
        <f t="shared" ref="X280:Y280" si="272">IF(ISBLANK(H280),,""""&amp;H280&amp;"""")</f>
        <v/>
      </c>
      <c r="Y280" s="237" t="str">
        <f t="shared" si="272"/>
        <v/>
      </c>
      <c r="Z280" s="237" t="str">
        <f>IF(ISBLANK(K280),,Config!$C$3&amp;"&amp;range=BB"&amp;MATCH(K280,FRG!AE:AE,0))</f>
        <v/>
      </c>
      <c r="AB280" s="242" t="str">
        <f>IFERROR(__xludf.DUMMYFUNCTION("IF(ISBLANK(K280),,SUBSTITUTE(IFERROR(JOIN("","",K280:Z280),JOIN("","",K280:Y280)),CHAR(10),""""))"),"")</f>
        <v/>
      </c>
      <c r="AC280" s="229" t="str">
        <f t="shared" si="1"/>
        <v/>
      </c>
    </row>
    <row r="281">
      <c r="K281" s="237"/>
      <c r="L281" s="238" t="str">
        <f t="shared" si="3"/>
        <v/>
      </c>
      <c r="M281" s="237"/>
      <c r="N281" s="238"/>
      <c r="O281" s="238" t="str">
        <f t="shared" si="4"/>
        <v/>
      </c>
      <c r="P281" s="238" t="str">
        <f t="shared" si="5"/>
        <v/>
      </c>
      <c r="Q281" s="238" t="str">
        <f t="shared" si="6"/>
        <v/>
      </c>
      <c r="R281" s="238" t="str">
        <f t="shared" si="7"/>
        <v/>
      </c>
      <c r="S281" s="238" t="str">
        <f t="shared" si="8"/>
        <v/>
      </c>
      <c r="T281" s="238"/>
      <c r="U281" s="237"/>
      <c r="V281" s="238"/>
      <c r="W281" s="238" t="str">
        <f t="shared" si="9"/>
        <v/>
      </c>
      <c r="X281" s="237" t="str">
        <f t="shared" ref="X281:Y281" si="273">IF(ISBLANK(H281),,""""&amp;H281&amp;"""")</f>
        <v/>
      </c>
      <c r="Y281" s="237" t="str">
        <f t="shared" si="273"/>
        <v/>
      </c>
      <c r="Z281" s="237" t="str">
        <f>IF(ISBLANK(K281),,Config!$C$3&amp;"&amp;range=BB"&amp;MATCH(K281,FRG!AE:AE,0))</f>
        <v/>
      </c>
      <c r="AB281" s="242" t="str">
        <f>IFERROR(__xludf.DUMMYFUNCTION("IF(ISBLANK(K281),,SUBSTITUTE(IFERROR(JOIN("","",K281:Z281),JOIN("","",K281:Y281)),CHAR(10),""""))"),"")</f>
        <v/>
      </c>
      <c r="AC281" s="229" t="str">
        <f t="shared" si="1"/>
        <v/>
      </c>
    </row>
    <row r="282">
      <c r="K282" s="237"/>
      <c r="L282" s="238" t="str">
        <f t="shared" si="3"/>
        <v/>
      </c>
      <c r="M282" s="237"/>
      <c r="N282" s="238"/>
      <c r="O282" s="238" t="str">
        <f t="shared" si="4"/>
        <v/>
      </c>
      <c r="P282" s="238" t="str">
        <f t="shared" si="5"/>
        <v/>
      </c>
      <c r="Q282" s="238" t="str">
        <f t="shared" si="6"/>
        <v/>
      </c>
      <c r="R282" s="238" t="str">
        <f t="shared" si="7"/>
        <v/>
      </c>
      <c r="S282" s="238" t="str">
        <f t="shared" si="8"/>
        <v/>
      </c>
      <c r="T282" s="238"/>
      <c r="U282" s="237"/>
      <c r="V282" s="238"/>
      <c r="W282" s="238" t="str">
        <f t="shared" si="9"/>
        <v/>
      </c>
      <c r="X282" s="237" t="str">
        <f t="shared" ref="X282:Y282" si="274">IF(ISBLANK(H282),,""""&amp;H282&amp;"""")</f>
        <v/>
      </c>
      <c r="Y282" s="237" t="str">
        <f t="shared" si="274"/>
        <v/>
      </c>
      <c r="Z282" s="237" t="str">
        <f>IF(ISBLANK(K282),,Config!$C$3&amp;"&amp;range=BB"&amp;MATCH(K282,FRG!AE:AE,0))</f>
        <v/>
      </c>
      <c r="AB282" s="242" t="str">
        <f>IFERROR(__xludf.DUMMYFUNCTION("IF(ISBLANK(K282),,SUBSTITUTE(IFERROR(JOIN("","",K282:Z282),JOIN("","",K282:Y282)),CHAR(10),""""))"),"")</f>
        <v/>
      </c>
      <c r="AC282" s="229" t="str">
        <f t="shared" si="1"/>
        <v/>
      </c>
    </row>
    <row r="283">
      <c r="K283" s="237"/>
      <c r="L283" s="238" t="str">
        <f t="shared" si="3"/>
        <v/>
      </c>
      <c r="M283" s="237"/>
      <c r="N283" s="238"/>
      <c r="O283" s="238" t="str">
        <f t="shared" si="4"/>
        <v/>
      </c>
      <c r="P283" s="238" t="str">
        <f t="shared" si="5"/>
        <v/>
      </c>
      <c r="Q283" s="238" t="str">
        <f t="shared" si="6"/>
        <v/>
      </c>
      <c r="R283" s="238" t="str">
        <f t="shared" si="7"/>
        <v/>
      </c>
      <c r="S283" s="238" t="str">
        <f t="shared" si="8"/>
        <v/>
      </c>
      <c r="T283" s="238"/>
      <c r="U283" s="237"/>
      <c r="V283" s="238"/>
      <c r="W283" s="238" t="str">
        <f t="shared" si="9"/>
        <v/>
      </c>
      <c r="X283" s="237" t="str">
        <f t="shared" ref="X283:Y283" si="275">IF(ISBLANK(H283),,""""&amp;H283&amp;"""")</f>
        <v/>
      </c>
      <c r="Y283" s="237" t="str">
        <f t="shared" si="275"/>
        <v/>
      </c>
      <c r="Z283" s="237" t="str">
        <f>IF(ISBLANK(K283),,Config!$C$3&amp;"&amp;range=BB"&amp;MATCH(K283,FRG!AE:AE,0))</f>
        <v/>
      </c>
      <c r="AB283" s="242" t="str">
        <f>IFERROR(__xludf.DUMMYFUNCTION("IF(ISBLANK(K283),,SUBSTITUTE(IFERROR(JOIN("","",K283:Z283),JOIN("","",K283:Y283)),CHAR(10),""""))"),"")</f>
        <v/>
      </c>
      <c r="AC283" s="229" t="str">
        <f t="shared" si="1"/>
        <v/>
      </c>
    </row>
    <row r="284">
      <c r="K284" s="237"/>
      <c r="L284" s="238" t="str">
        <f t="shared" si="3"/>
        <v/>
      </c>
      <c r="M284" s="237"/>
      <c r="N284" s="238"/>
      <c r="O284" s="238" t="str">
        <f t="shared" si="4"/>
        <v/>
      </c>
      <c r="P284" s="238" t="str">
        <f t="shared" si="5"/>
        <v/>
      </c>
      <c r="Q284" s="238" t="str">
        <f t="shared" si="6"/>
        <v/>
      </c>
      <c r="R284" s="238" t="str">
        <f t="shared" si="7"/>
        <v/>
      </c>
      <c r="S284" s="238" t="str">
        <f t="shared" si="8"/>
        <v/>
      </c>
      <c r="T284" s="238"/>
      <c r="U284" s="237"/>
      <c r="V284" s="238"/>
      <c r="W284" s="238" t="str">
        <f t="shared" si="9"/>
        <v/>
      </c>
      <c r="X284" s="237" t="str">
        <f t="shared" ref="X284:Y284" si="276">IF(ISBLANK(H284),,""""&amp;H284&amp;"""")</f>
        <v/>
      </c>
      <c r="Y284" s="237" t="str">
        <f t="shared" si="276"/>
        <v/>
      </c>
      <c r="Z284" s="237" t="str">
        <f>IF(ISBLANK(K284),,Config!$C$3&amp;"&amp;range=BB"&amp;MATCH(K284,FRG!AE:AE,0))</f>
        <v/>
      </c>
      <c r="AB284" s="242" t="str">
        <f>IFERROR(__xludf.DUMMYFUNCTION("IF(ISBLANK(K284),,SUBSTITUTE(IFERROR(JOIN("","",K284:Z284),JOIN("","",K284:Y284)),CHAR(10),""""))"),"")</f>
        <v/>
      </c>
      <c r="AC284" s="229" t="str">
        <f t="shared" si="1"/>
        <v/>
      </c>
    </row>
    <row r="285">
      <c r="K285" s="237"/>
      <c r="L285" s="238" t="str">
        <f t="shared" si="3"/>
        <v/>
      </c>
      <c r="M285" s="237"/>
      <c r="N285" s="238"/>
      <c r="O285" s="238" t="str">
        <f t="shared" si="4"/>
        <v/>
      </c>
      <c r="P285" s="238" t="str">
        <f t="shared" si="5"/>
        <v/>
      </c>
      <c r="Q285" s="238" t="str">
        <f t="shared" si="6"/>
        <v/>
      </c>
      <c r="R285" s="238" t="str">
        <f t="shared" si="7"/>
        <v/>
      </c>
      <c r="S285" s="238" t="str">
        <f t="shared" si="8"/>
        <v/>
      </c>
      <c r="T285" s="238"/>
      <c r="U285" s="237"/>
      <c r="V285" s="238"/>
      <c r="W285" s="238" t="str">
        <f t="shared" si="9"/>
        <v/>
      </c>
      <c r="X285" s="237" t="str">
        <f t="shared" ref="X285:Y285" si="277">IF(ISBLANK(H285),,""""&amp;H285&amp;"""")</f>
        <v/>
      </c>
      <c r="Y285" s="237" t="str">
        <f t="shared" si="277"/>
        <v/>
      </c>
      <c r="Z285" s="237" t="str">
        <f>IF(ISBLANK(K285),,Config!$C$3&amp;"&amp;range=BB"&amp;MATCH(K285,FRG!AE:AE,0))</f>
        <v/>
      </c>
      <c r="AB285" s="242" t="str">
        <f>IFERROR(__xludf.DUMMYFUNCTION("IF(ISBLANK(K285),,SUBSTITUTE(IFERROR(JOIN("","",K285:Z285),JOIN("","",K285:Y285)),CHAR(10),""""))"),"")</f>
        <v/>
      </c>
      <c r="AC285" s="229" t="str">
        <f t="shared" si="1"/>
        <v/>
      </c>
    </row>
    <row r="286">
      <c r="K286" s="237"/>
      <c r="L286" s="238" t="str">
        <f t="shared" si="3"/>
        <v/>
      </c>
      <c r="M286" s="237"/>
      <c r="N286" s="238"/>
      <c r="O286" s="238" t="str">
        <f t="shared" si="4"/>
        <v/>
      </c>
      <c r="P286" s="238" t="str">
        <f t="shared" si="5"/>
        <v/>
      </c>
      <c r="Q286" s="238" t="str">
        <f t="shared" si="6"/>
        <v/>
      </c>
      <c r="R286" s="238" t="str">
        <f t="shared" si="7"/>
        <v/>
      </c>
      <c r="S286" s="238" t="str">
        <f t="shared" si="8"/>
        <v/>
      </c>
      <c r="T286" s="238"/>
      <c r="U286" s="237"/>
      <c r="V286" s="238"/>
      <c r="W286" s="238" t="str">
        <f t="shared" si="9"/>
        <v/>
      </c>
      <c r="X286" s="237" t="str">
        <f t="shared" ref="X286:Y286" si="278">IF(ISBLANK(H286),,""""&amp;H286&amp;"""")</f>
        <v/>
      </c>
      <c r="Y286" s="237" t="str">
        <f t="shared" si="278"/>
        <v/>
      </c>
      <c r="Z286" s="237" t="str">
        <f>IF(ISBLANK(K286),,Config!$C$3&amp;"&amp;range=BB"&amp;MATCH(K286,FRG!AE:AE,0))</f>
        <v/>
      </c>
      <c r="AB286" s="242" t="str">
        <f>IFERROR(__xludf.DUMMYFUNCTION("IF(ISBLANK(K286),,SUBSTITUTE(IFERROR(JOIN("","",K286:Z286),JOIN("","",K286:Y286)),CHAR(10),""""))"),"")</f>
        <v/>
      </c>
      <c r="AC286" s="229" t="str">
        <f t="shared" si="1"/>
        <v/>
      </c>
    </row>
    <row r="287">
      <c r="K287" s="237"/>
      <c r="L287" s="238" t="str">
        <f t="shared" si="3"/>
        <v/>
      </c>
      <c r="M287" s="237"/>
      <c r="N287" s="238"/>
      <c r="O287" s="238" t="str">
        <f t="shared" si="4"/>
        <v/>
      </c>
      <c r="P287" s="238" t="str">
        <f t="shared" si="5"/>
        <v/>
      </c>
      <c r="Q287" s="238" t="str">
        <f t="shared" si="6"/>
        <v/>
      </c>
      <c r="R287" s="238" t="str">
        <f t="shared" si="7"/>
        <v/>
      </c>
      <c r="S287" s="238" t="str">
        <f t="shared" si="8"/>
        <v/>
      </c>
      <c r="T287" s="238"/>
      <c r="U287" s="237"/>
      <c r="V287" s="238"/>
      <c r="W287" s="238" t="str">
        <f t="shared" si="9"/>
        <v/>
      </c>
      <c r="X287" s="237" t="str">
        <f t="shared" ref="X287:Y287" si="279">IF(ISBLANK(H287),,""""&amp;H287&amp;"""")</f>
        <v/>
      </c>
      <c r="Y287" s="237" t="str">
        <f t="shared" si="279"/>
        <v/>
      </c>
      <c r="Z287" s="237" t="str">
        <f>IF(ISBLANK(K287),,Config!$C$3&amp;"&amp;range=BB"&amp;MATCH(K287,FRG!AE:AE,0))</f>
        <v/>
      </c>
      <c r="AB287" s="242" t="str">
        <f>IFERROR(__xludf.DUMMYFUNCTION("IF(ISBLANK(K287),,SUBSTITUTE(IFERROR(JOIN("","",K287:Z287),JOIN("","",K287:Y287)),CHAR(10),""""))"),"")</f>
        <v/>
      </c>
      <c r="AC287" s="229" t="str">
        <f t="shared" si="1"/>
        <v/>
      </c>
    </row>
    <row r="288">
      <c r="K288" s="237"/>
      <c r="L288" s="238" t="str">
        <f t="shared" si="3"/>
        <v/>
      </c>
      <c r="M288" s="237"/>
      <c r="N288" s="238"/>
      <c r="O288" s="238" t="str">
        <f t="shared" si="4"/>
        <v/>
      </c>
      <c r="P288" s="238" t="str">
        <f t="shared" si="5"/>
        <v/>
      </c>
      <c r="Q288" s="238" t="str">
        <f t="shared" si="6"/>
        <v/>
      </c>
      <c r="R288" s="238" t="str">
        <f t="shared" si="7"/>
        <v/>
      </c>
      <c r="S288" s="238" t="str">
        <f t="shared" si="8"/>
        <v/>
      </c>
      <c r="T288" s="238"/>
      <c r="U288" s="237"/>
      <c r="V288" s="238"/>
      <c r="W288" s="238" t="str">
        <f t="shared" si="9"/>
        <v/>
      </c>
      <c r="X288" s="237" t="str">
        <f t="shared" ref="X288:Y288" si="280">IF(ISBLANK(H288),,""""&amp;H288&amp;"""")</f>
        <v/>
      </c>
      <c r="Y288" s="237" t="str">
        <f t="shared" si="280"/>
        <v/>
      </c>
      <c r="Z288" s="237" t="str">
        <f>IF(ISBLANK(K288),,Config!$C$3&amp;"&amp;range=BB"&amp;MATCH(K288,FRG!AE:AE,0))</f>
        <v/>
      </c>
      <c r="AB288" s="242" t="str">
        <f>IFERROR(__xludf.DUMMYFUNCTION("IF(ISBLANK(K288),,SUBSTITUTE(IFERROR(JOIN("","",K288:Z288),JOIN("","",K288:Y288)),CHAR(10),""""))"),"")</f>
        <v/>
      </c>
      <c r="AC288" s="229" t="str">
        <f t="shared" si="1"/>
        <v/>
      </c>
    </row>
    <row r="289">
      <c r="K289" s="237"/>
      <c r="L289" s="238" t="str">
        <f t="shared" si="3"/>
        <v/>
      </c>
      <c r="M289" s="237"/>
      <c r="N289" s="238"/>
      <c r="O289" s="238" t="str">
        <f t="shared" si="4"/>
        <v/>
      </c>
      <c r="P289" s="238" t="str">
        <f t="shared" si="5"/>
        <v/>
      </c>
      <c r="Q289" s="238" t="str">
        <f t="shared" si="6"/>
        <v/>
      </c>
      <c r="R289" s="238" t="str">
        <f t="shared" si="7"/>
        <v/>
      </c>
      <c r="S289" s="238" t="str">
        <f t="shared" si="8"/>
        <v/>
      </c>
      <c r="T289" s="238"/>
      <c r="U289" s="237"/>
      <c r="V289" s="238"/>
      <c r="W289" s="238" t="str">
        <f t="shared" si="9"/>
        <v/>
      </c>
      <c r="X289" s="237" t="str">
        <f t="shared" ref="X289:Y289" si="281">IF(ISBLANK(H289),,""""&amp;H289&amp;"""")</f>
        <v/>
      </c>
      <c r="Y289" s="237" t="str">
        <f t="shared" si="281"/>
        <v/>
      </c>
      <c r="Z289" s="237" t="str">
        <f>IF(ISBLANK(K289),,Config!$C$3&amp;"&amp;range=BB"&amp;MATCH(K289,FRG!AE:AE,0))</f>
        <v/>
      </c>
      <c r="AB289" s="242" t="str">
        <f>IFERROR(__xludf.DUMMYFUNCTION("IF(ISBLANK(K289),,SUBSTITUTE(IFERROR(JOIN("","",K289:Z289),JOIN("","",K289:Y289)),CHAR(10),""""))"),"")</f>
        <v/>
      </c>
      <c r="AC289" s="229" t="str">
        <f t="shared" si="1"/>
        <v/>
      </c>
    </row>
    <row r="290">
      <c r="K290" s="237"/>
      <c r="L290" s="238" t="str">
        <f t="shared" si="3"/>
        <v/>
      </c>
      <c r="M290" s="237"/>
      <c r="N290" s="238"/>
      <c r="O290" s="238" t="str">
        <f t="shared" si="4"/>
        <v/>
      </c>
      <c r="P290" s="238" t="str">
        <f t="shared" si="5"/>
        <v/>
      </c>
      <c r="Q290" s="238" t="str">
        <f t="shared" si="6"/>
        <v/>
      </c>
      <c r="R290" s="238" t="str">
        <f t="shared" si="7"/>
        <v/>
      </c>
      <c r="S290" s="238" t="str">
        <f t="shared" si="8"/>
        <v/>
      </c>
      <c r="T290" s="238"/>
      <c r="U290" s="237"/>
      <c r="V290" s="238"/>
      <c r="W290" s="238" t="str">
        <f t="shared" si="9"/>
        <v/>
      </c>
      <c r="X290" s="237" t="str">
        <f t="shared" ref="X290:Y290" si="282">IF(ISBLANK(H290),,""""&amp;H290&amp;"""")</f>
        <v/>
      </c>
      <c r="Y290" s="237" t="str">
        <f t="shared" si="282"/>
        <v/>
      </c>
      <c r="Z290" s="237" t="str">
        <f>IF(ISBLANK(K290),,Config!$C$3&amp;"&amp;range=BB"&amp;MATCH(K290,FRG!AE:AE,0))</f>
        <v/>
      </c>
      <c r="AB290" s="242" t="str">
        <f>IFERROR(__xludf.DUMMYFUNCTION("IF(ISBLANK(K290),,SUBSTITUTE(IFERROR(JOIN("","",K290:Z290),JOIN("","",K290:Y290)),CHAR(10),""""))"),"")</f>
        <v/>
      </c>
      <c r="AC290" s="229" t="str">
        <f t="shared" si="1"/>
        <v/>
      </c>
    </row>
    <row r="291">
      <c r="K291" s="237"/>
      <c r="L291" s="238" t="str">
        <f t="shared" si="3"/>
        <v/>
      </c>
      <c r="M291" s="237"/>
      <c r="N291" s="238"/>
      <c r="O291" s="238" t="str">
        <f t="shared" si="4"/>
        <v/>
      </c>
      <c r="P291" s="238" t="str">
        <f t="shared" si="5"/>
        <v/>
      </c>
      <c r="Q291" s="238" t="str">
        <f t="shared" si="6"/>
        <v/>
      </c>
      <c r="R291" s="238" t="str">
        <f t="shared" si="7"/>
        <v/>
      </c>
      <c r="S291" s="238" t="str">
        <f t="shared" si="8"/>
        <v/>
      </c>
      <c r="T291" s="238"/>
      <c r="U291" s="237"/>
      <c r="V291" s="238"/>
      <c r="W291" s="238" t="str">
        <f t="shared" si="9"/>
        <v/>
      </c>
      <c r="X291" s="237" t="str">
        <f t="shared" ref="X291:Y291" si="283">IF(ISBLANK(H291),,""""&amp;H291&amp;"""")</f>
        <v/>
      </c>
      <c r="Y291" s="237" t="str">
        <f t="shared" si="283"/>
        <v/>
      </c>
      <c r="Z291" s="237" t="str">
        <f>IF(ISBLANK(K291),,Config!$C$3&amp;"&amp;range=BB"&amp;MATCH(K291,FRG!AE:AE,0))</f>
        <v/>
      </c>
      <c r="AB291" s="242" t="str">
        <f>IFERROR(__xludf.DUMMYFUNCTION("IF(ISBLANK(K291),,SUBSTITUTE(IFERROR(JOIN("","",K291:Z291),JOIN("","",K291:Y291)),CHAR(10),""""))"),"")</f>
        <v/>
      </c>
      <c r="AC291" s="229" t="str">
        <f t="shared" si="1"/>
        <v/>
      </c>
    </row>
    <row r="292">
      <c r="K292" s="237"/>
      <c r="L292" s="238" t="str">
        <f t="shared" si="3"/>
        <v/>
      </c>
      <c r="M292" s="237"/>
      <c r="N292" s="238"/>
      <c r="O292" s="238" t="str">
        <f t="shared" si="4"/>
        <v/>
      </c>
      <c r="P292" s="238" t="str">
        <f t="shared" si="5"/>
        <v/>
      </c>
      <c r="Q292" s="238" t="str">
        <f t="shared" si="6"/>
        <v/>
      </c>
      <c r="R292" s="238" t="str">
        <f t="shared" si="7"/>
        <v/>
      </c>
      <c r="S292" s="238" t="str">
        <f t="shared" si="8"/>
        <v/>
      </c>
      <c r="T292" s="238"/>
      <c r="U292" s="237"/>
      <c r="V292" s="238"/>
      <c r="W292" s="238" t="str">
        <f t="shared" si="9"/>
        <v/>
      </c>
      <c r="X292" s="237" t="str">
        <f t="shared" ref="X292:Y292" si="284">IF(ISBLANK(H292),,""""&amp;H292&amp;"""")</f>
        <v/>
      </c>
      <c r="Y292" s="237" t="str">
        <f t="shared" si="284"/>
        <v/>
      </c>
      <c r="Z292" s="237" t="str">
        <f>IF(ISBLANK(K292),,Config!$C$3&amp;"&amp;range=BB"&amp;MATCH(K292,FRG!AE:AE,0))</f>
        <v/>
      </c>
      <c r="AB292" s="242" t="str">
        <f>IFERROR(__xludf.DUMMYFUNCTION("IF(ISBLANK(K292),,SUBSTITUTE(IFERROR(JOIN("","",K292:Z292),JOIN("","",K292:Y292)),CHAR(10),""""))"),"")</f>
        <v/>
      </c>
      <c r="AC292" s="229" t="str">
        <f t="shared" si="1"/>
        <v/>
      </c>
    </row>
    <row r="293">
      <c r="K293" s="237"/>
      <c r="L293" s="238" t="str">
        <f t="shared" si="3"/>
        <v/>
      </c>
      <c r="M293" s="237"/>
      <c r="N293" s="238"/>
      <c r="O293" s="238" t="str">
        <f t="shared" si="4"/>
        <v/>
      </c>
      <c r="P293" s="238" t="str">
        <f t="shared" si="5"/>
        <v/>
      </c>
      <c r="Q293" s="238" t="str">
        <f t="shared" si="6"/>
        <v/>
      </c>
      <c r="R293" s="238" t="str">
        <f t="shared" si="7"/>
        <v/>
      </c>
      <c r="S293" s="238" t="str">
        <f t="shared" si="8"/>
        <v/>
      </c>
      <c r="T293" s="238"/>
      <c r="U293" s="237"/>
      <c r="V293" s="238"/>
      <c r="W293" s="238" t="str">
        <f t="shared" si="9"/>
        <v/>
      </c>
      <c r="X293" s="237" t="str">
        <f t="shared" ref="X293:Y293" si="285">IF(ISBLANK(H293),,""""&amp;H293&amp;"""")</f>
        <v/>
      </c>
      <c r="Y293" s="237" t="str">
        <f t="shared" si="285"/>
        <v/>
      </c>
      <c r="Z293" s="237" t="str">
        <f>IF(ISBLANK(K293),,Config!$C$3&amp;"&amp;range=BB"&amp;MATCH(K293,FRG!AE:AE,0))</f>
        <v/>
      </c>
      <c r="AB293" s="242" t="str">
        <f>IFERROR(__xludf.DUMMYFUNCTION("IF(ISBLANK(K293),,SUBSTITUTE(IFERROR(JOIN("","",K293:Z293),JOIN("","",K293:Y293)),CHAR(10),""""))"),"")</f>
        <v/>
      </c>
      <c r="AC293" s="229" t="str">
        <f t="shared" si="1"/>
        <v/>
      </c>
    </row>
    <row r="294">
      <c r="K294" s="237"/>
      <c r="L294" s="238" t="str">
        <f t="shared" si="3"/>
        <v/>
      </c>
      <c r="M294" s="237"/>
      <c r="N294" s="238"/>
      <c r="O294" s="238" t="str">
        <f t="shared" si="4"/>
        <v/>
      </c>
      <c r="P294" s="238" t="str">
        <f t="shared" si="5"/>
        <v/>
      </c>
      <c r="Q294" s="238" t="str">
        <f t="shared" si="6"/>
        <v/>
      </c>
      <c r="R294" s="238" t="str">
        <f t="shared" si="7"/>
        <v/>
      </c>
      <c r="S294" s="238" t="str">
        <f t="shared" si="8"/>
        <v/>
      </c>
      <c r="T294" s="238"/>
      <c r="U294" s="237"/>
      <c r="V294" s="238"/>
      <c r="W294" s="238" t="str">
        <f t="shared" si="9"/>
        <v/>
      </c>
      <c r="X294" s="237" t="str">
        <f t="shared" ref="X294:Y294" si="286">IF(ISBLANK(H294),,""""&amp;H294&amp;"""")</f>
        <v/>
      </c>
      <c r="Y294" s="237" t="str">
        <f t="shared" si="286"/>
        <v/>
      </c>
      <c r="Z294" s="237" t="str">
        <f>IF(ISBLANK(K294),,Config!$C$3&amp;"&amp;range=BB"&amp;MATCH(K294,FRG!AE:AE,0))</f>
        <v/>
      </c>
      <c r="AB294" s="242" t="str">
        <f>IFERROR(__xludf.DUMMYFUNCTION("IF(ISBLANK(K294),,SUBSTITUTE(IFERROR(JOIN("","",K294:Z294),JOIN("","",K294:Y294)),CHAR(10),""""))"),"")</f>
        <v/>
      </c>
      <c r="AC294" s="229" t="str">
        <f t="shared" si="1"/>
        <v/>
      </c>
    </row>
    <row r="295">
      <c r="K295" s="237"/>
      <c r="L295" s="238" t="str">
        <f t="shared" si="3"/>
        <v/>
      </c>
      <c r="M295" s="237"/>
      <c r="N295" s="238"/>
      <c r="O295" s="238" t="str">
        <f t="shared" si="4"/>
        <v/>
      </c>
      <c r="P295" s="238" t="str">
        <f t="shared" si="5"/>
        <v/>
      </c>
      <c r="Q295" s="238" t="str">
        <f t="shared" si="6"/>
        <v/>
      </c>
      <c r="R295" s="238" t="str">
        <f t="shared" si="7"/>
        <v/>
      </c>
      <c r="S295" s="238" t="str">
        <f t="shared" si="8"/>
        <v/>
      </c>
      <c r="T295" s="238"/>
      <c r="U295" s="237"/>
      <c r="V295" s="238"/>
      <c r="W295" s="238" t="str">
        <f t="shared" si="9"/>
        <v/>
      </c>
      <c r="X295" s="237" t="str">
        <f t="shared" ref="X295:Y295" si="287">IF(ISBLANK(H295),,""""&amp;H295&amp;"""")</f>
        <v/>
      </c>
      <c r="Y295" s="237" t="str">
        <f t="shared" si="287"/>
        <v/>
      </c>
      <c r="Z295" s="237" t="str">
        <f>IF(ISBLANK(K295),,Config!$C$3&amp;"&amp;range=BB"&amp;MATCH(K295,FRG!AE:AE,0))</f>
        <v/>
      </c>
      <c r="AB295" s="242" t="str">
        <f>IFERROR(__xludf.DUMMYFUNCTION("IF(ISBLANK(K295),,SUBSTITUTE(IFERROR(JOIN("","",K295:Z295),JOIN("","",K295:Y295)),CHAR(10),""""))"),"")</f>
        <v/>
      </c>
      <c r="AC295" s="229" t="str">
        <f t="shared" si="1"/>
        <v/>
      </c>
    </row>
    <row r="296">
      <c r="K296" s="237"/>
      <c r="L296" s="238" t="str">
        <f t="shared" si="3"/>
        <v/>
      </c>
      <c r="M296" s="237"/>
      <c r="N296" s="238"/>
      <c r="O296" s="238" t="str">
        <f t="shared" si="4"/>
        <v/>
      </c>
      <c r="P296" s="238" t="str">
        <f t="shared" si="5"/>
        <v/>
      </c>
      <c r="Q296" s="238" t="str">
        <f t="shared" si="6"/>
        <v/>
      </c>
      <c r="R296" s="238" t="str">
        <f t="shared" si="7"/>
        <v/>
      </c>
      <c r="S296" s="238" t="str">
        <f t="shared" si="8"/>
        <v/>
      </c>
      <c r="T296" s="238"/>
      <c r="U296" s="237"/>
      <c r="V296" s="238"/>
      <c r="W296" s="238" t="str">
        <f t="shared" si="9"/>
        <v/>
      </c>
      <c r="X296" s="237" t="str">
        <f t="shared" ref="X296:Y296" si="288">IF(ISBLANK(H296),,""""&amp;H296&amp;"""")</f>
        <v/>
      </c>
      <c r="Y296" s="237" t="str">
        <f t="shared" si="288"/>
        <v/>
      </c>
      <c r="Z296" s="237" t="str">
        <f>IF(ISBLANK(K296),,Config!$C$3&amp;"&amp;range=BB"&amp;MATCH(K296,FRG!AE:AE,0))</f>
        <v/>
      </c>
      <c r="AB296" s="242" t="str">
        <f>IFERROR(__xludf.DUMMYFUNCTION("IF(ISBLANK(K296),,SUBSTITUTE(IFERROR(JOIN("","",K296:Z296),JOIN("","",K296:Y296)),CHAR(10),""""))"),"")</f>
        <v/>
      </c>
      <c r="AC296" s="229" t="str">
        <f t="shared" si="1"/>
        <v/>
      </c>
    </row>
    <row r="297">
      <c r="K297" s="237"/>
      <c r="L297" s="238" t="str">
        <f t="shared" si="3"/>
        <v/>
      </c>
      <c r="M297" s="237"/>
      <c r="N297" s="238"/>
      <c r="O297" s="238" t="str">
        <f t="shared" si="4"/>
        <v/>
      </c>
      <c r="P297" s="238" t="str">
        <f t="shared" si="5"/>
        <v/>
      </c>
      <c r="Q297" s="238" t="str">
        <f t="shared" si="6"/>
        <v/>
      </c>
      <c r="R297" s="238" t="str">
        <f t="shared" si="7"/>
        <v/>
      </c>
      <c r="S297" s="238" t="str">
        <f t="shared" si="8"/>
        <v/>
      </c>
      <c r="T297" s="238"/>
      <c r="U297" s="237"/>
      <c r="V297" s="238"/>
      <c r="W297" s="238" t="str">
        <f t="shared" si="9"/>
        <v/>
      </c>
      <c r="X297" s="237" t="str">
        <f t="shared" ref="X297:Y297" si="289">IF(ISBLANK(H297),,""""&amp;H297&amp;"""")</f>
        <v/>
      </c>
      <c r="Y297" s="237" t="str">
        <f t="shared" si="289"/>
        <v/>
      </c>
      <c r="Z297" s="237" t="str">
        <f>IF(ISBLANK(K297),,Config!$C$3&amp;"&amp;range=BB"&amp;MATCH(K297,FRG!AE:AE,0))</f>
        <v/>
      </c>
      <c r="AB297" s="242" t="str">
        <f>IFERROR(__xludf.DUMMYFUNCTION("IF(ISBLANK(K297),,SUBSTITUTE(IFERROR(JOIN("","",K297:Z297),JOIN("","",K297:Y297)),CHAR(10),""""))"),"")</f>
        <v/>
      </c>
      <c r="AC297" s="229" t="str">
        <f t="shared" si="1"/>
        <v/>
      </c>
    </row>
    <row r="298">
      <c r="K298" s="237"/>
      <c r="L298" s="238" t="str">
        <f t="shared" si="3"/>
        <v/>
      </c>
      <c r="M298" s="237"/>
      <c r="N298" s="238"/>
      <c r="O298" s="238" t="str">
        <f t="shared" si="4"/>
        <v/>
      </c>
      <c r="P298" s="238" t="str">
        <f t="shared" si="5"/>
        <v/>
      </c>
      <c r="Q298" s="238" t="str">
        <f t="shared" si="6"/>
        <v/>
      </c>
      <c r="R298" s="238" t="str">
        <f t="shared" si="7"/>
        <v/>
      </c>
      <c r="S298" s="238" t="str">
        <f t="shared" si="8"/>
        <v/>
      </c>
      <c r="T298" s="238"/>
      <c r="U298" s="237"/>
      <c r="V298" s="238"/>
      <c r="W298" s="238" t="str">
        <f t="shared" si="9"/>
        <v/>
      </c>
      <c r="X298" s="237" t="str">
        <f t="shared" ref="X298:Y298" si="290">IF(ISBLANK(H298),,""""&amp;H298&amp;"""")</f>
        <v/>
      </c>
      <c r="Y298" s="237" t="str">
        <f t="shared" si="290"/>
        <v/>
      </c>
      <c r="Z298" s="237" t="str">
        <f>IF(ISBLANK(K298),,Config!$C$3&amp;"&amp;range=BB"&amp;MATCH(K298,FRG!AE:AE,0))</f>
        <v/>
      </c>
      <c r="AB298" s="242" t="str">
        <f>IFERROR(__xludf.DUMMYFUNCTION("IF(ISBLANK(K298),,SUBSTITUTE(IFERROR(JOIN("","",K298:Z298),JOIN("","",K298:Y298)),CHAR(10),""""))"),"")</f>
        <v/>
      </c>
      <c r="AC298" s="229" t="str">
        <f t="shared" si="1"/>
        <v/>
      </c>
    </row>
    <row r="299">
      <c r="K299" s="237"/>
      <c r="L299" s="238" t="str">
        <f t="shared" si="3"/>
        <v/>
      </c>
      <c r="M299" s="237"/>
      <c r="N299" s="238"/>
      <c r="O299" s="238" t="str">
        <f t="shared" si="4"/>
        <v/>
      </c>
      <c r="P299" s="238" t="str">
        <f t="shared" si="5"/>
        <v/>
      </c>
      <c r="Q299" s="238" t="str">
        <f t="shared" si="6"/>
        <v/>
      </c>
      <c r="R299" s="238" t="str">
        <f t="shared" si="7"/>
        <v/>
      </c>
      <c r="S299" s="238" t="str">
        <f t="shared" si="8"/>
        <v/>
      </c>
      <c r="T299" s="238"/>
      <c r="U299" s="237"/>
      <c r="V299" s="238"/>
      <c r="W299" s="238" t="str">
        <f t="shared" si="9"/>
        <v/>
      </c>
      <c r="X299" s="237" t="str">
        <f t="shared" ref="X299:Y299" si="291">IF(ISBLANK(H299),,""""&amp;H299&amp;"""")</f>
        <v/>
      </c>
      <c r="Y299" s="237" t="str">
        <f t="shared" si="291"/>
        <v/>
      </c>
      <c r="Z299" s="237" t="str">
        <f>IF(ISBLANK(K299),,Config!$C$3&amp;"&amp;range=BB"&amp;MATCH(K299,FRG!AE:AE,0))</f>
        <v/>
      </c>
      <c r="AB299" s="242" t="str">
        <f>IFERROR(__xludf.DUMMYFUNCTION("IF(ISBLANK(K299),,SUBSTITUTE(IFERROR(JOIN("","",K299:Z299),JOIN("","",K299:Y299)),CHAR(10),""""))"),"")</f>
        <v/>
      </c>
      <c r="AC299" s="229" t="str">
        <f t="shared" si="1"/>
        <v/>
      </c>
    </row>
    <row r="300">
      <c r="K300" s="237"/>
      <c r="L300" s="238" t="str">
        <f t="shared" si="3"/>
        <v/>
      </c>
      <c r="M300" s="237"/>
      <c r="N300" s="238"/>
      <c r="O300" s="238" t="str">
        <f t="shared" si="4"/>
        <v/>
      </c>
      <c r="P300" s="238" t="str">
        <f t="shared" si="5"/>
        <v/>
      </c>
      <c r="Q300" s="238" t="str">
        <f t="shared" si="6"/>
        <v/>
      </c>
      <c r="R300" s="238" t="str">
        <f t="shared" si="7"/>
        <v/>
      </c>
      <c r="S300" s="238" t="str">
        <f t="shared" si="8"/>
        <v/>
      </c>
      <c r="T300" s="238"/>
      <c r="U300" s="237"/>
      <c r="V300" s="238"/>
      <c r="W300" s="238" t="str">
        <f t="shared" si="9"/>
        <v/>
      </c>
      <c r="X300" s="237" t="str">
        <f t="shared" ref="X300:Y300" si="292">IF(ISBLANK(H300),,""""&amp;H300&amp;"""")</f>
        <v/>
      </c>
      <c r="Y300" s="237" t="str">
        <f t="shared" si="292"/>
        <v/>
      </c>
      <c r="Z300" s="237" t="str">
        <f>IF(ISBLANK(K300),,Config!$C$3&amp;"&amp;range=BB"&amp;MATCH(K300,FRG!AE:AE,0))</f>
        <v/>
      </c>
      <c r="AB300" s="242" t="str">
        <f>IFERROR(__xludf.DUMMYFUNCTION("IF(ISBLANK(K300),,SUBSTITUTE(IFERROR(JOIN("","",K300:Z300),JOIN("","",K300:Y300)),CHAR(10),""""))"),"")</f>
        <v/>
      </c>
      <c r="AC300" s="229" t="str">
        <f t="shared" si="1"/>
        <v/>
      </c>
    </row>
    <row r="301">
      <c r="K301" s="237"/>
      <c r="L301" s="238" t="str">
        <f t="shared" si="3"/>
        <v/>
      </c>
      <c r="M301" s="237"/>
      <c r="N301" s="238"/>
      <c r="O301" s="238" t="str">
        <f t="shared" si="4"/>
        <v/>
      </c>
      <c r="P301" s="238" t="str">
        <f t="shared" si="5"/>
        <v/>
      </c>
      <c r="Q301" s="238" t="str">
        <f t="shared" si="6"/>
        <v/>
      </c>
      <c r="R301" s="238" t="str">
        <f t="shared" si="7"/>
        <v/>
      </c>
      <c r="S301" s="238" t="str">
        <f t="shared" si="8"/>
        <v/>
      </c>
      <c r="T301" s="238"/>
      <c r="U301" s="237"/>
      <c r="V301" s="238"/>
      <c r="W301" s="238" t="str">
        <f t="shared" si="9"/>
        <v/>
      </c>
      <c r="X301" s="237" t="str">
        <f t="shared" ref="X301:Y301" si="293">IF(ISBLANK(H301),,""""&amp;H301&amp;"""")</f>
        <v/>
      </c>
      <c r="Y301" s="237" t="str">
        <f t="shared" si="293"/>
        <v/>
      </c>
      <c r="Z301" s="237" t="str">
        <f>IF(ISBLANK(K301),,Config!$C$3&amp;"&amp;range=BB"&amp;MATCH(K301,FRG!AE:AE,0))</f>
        <v/>
      </c>
      <c r="AB301" s="242" t="str">
        <f>IFERROR(__xludf.DUMMYFUNCTION("IF(ISBLANK(K301),,SUBSTITUTE(IFERROR(JOIN("","",K301:Z301),JOIN("","",K301:Y301)),CHAR(10),""""))"),"")</f>
        <v/>
      </c>
      <c r="AC301" s="229" t="str">
        <f t="shared" si="1"/>
        <v/>
      </c>
    </row>
    <row r="302">
      <c r="K302" s="237"/>
      <c r="L302" s="238" t="str">
        <f t="shared" si="3"/>
        <v/>
      </c>
      <c r="M302" s="237"/>
      <c r="N302" s="238"/>
      <c r="O302" s="238" t="str">
        <f t="shared" si="4"/>
        <v/>
      </c>
      <c r="P302" s="238" t="str">
        <f t="shared" si="5"/>
        <v/>
      </c>
      <c r="Q302" s="238" t="str">
        <f t="shared" si="6"/>
        <v/>
      </c>
      <c r="R302" s="238" t="str">
        <f t="shared" si="7"/>
        <v/>
      </c>
      <c r="S302" s="238" t="str">
        <f t="shared" si="8"/>
        <v/>
      </c>
      <c r="T302" s="238"/>
      <c r="U302" s="237"/>
      <c r="V302" s="238"/>
      <c r="W302" s="238" t="str">
        <f t="shared" si="9"/>
        <v/>
      </c>
      <c r="X302" s="237" t="str">
        <f t="shared" ref="X302:Y302" si="294">IF(ISBLANK(H302),,""""&amp;H302&amp;"""")</f>
        <v/>
      </c>
      <c r="Y302" s="237" t="str">
        <f t="shared" si="294"/>
        <v/>
      </c>
      <c r="Z302" s="237" t="str">
        <f>IF(ISBLANK(K302),,Config!$C$3&amp;"&amp;range=BB"&amp;MATCH(K302,FRG!AE:AE,0))</f>
        <v/>
      </c>
      <c r="AB302" s="242" t="str">
        <f>IFERROR(__xludf.DUMMYFUNCTION("IF(ISBLANK(K302),,SUBSTITUTE(IFERROR(JOIN("","",K302:Z302),JOIN("","",K302:Y302)),CHAR(10),""""))"),"")</f>
        <v/>
      </c>
      <c r="AC302" s="229" t="str">
        <f t="shared" si="1"/>
        <v/>
      </c>
    </row>
    <row r="303">
      <c r="K303" s="237"/>
      <c r="L303" s="238" t="str">
        <f t="shared" si="3"/>
        <v/>
      </c>
      <c r="M303" s="237"/>
      <c r="N303" s="238"/>
      <c r="O303" s="238" t="str">
        <f t="shared" si="4"/>
        <v/>
      </c>
      <c r="P303" s="238" t="str">
        <f t="shared" si="5"/>
        <v/>
      </c>
      <c r="Q303" s="238" t="str">
        <f t="shared" si="6"/>
        <v/>
      </c>
      <c r="R303" s="238" t="str">
        <f t="shared" si="7"/>
        <v/>
      </c>
      <c r="S303" s="238" t="str">
        <f t="shared" si="8"/>
        <v/>
      </c>
      <c r="T303" s="238"/>
      <c r="U303" s="237"/>
      <c r="V303" s="238"/>
      <c r="W303" s="238" t="str">
        <f t="shared" si="9"/>
        <v/>
      </c>
      <c r="X303" s="237" t="str">
        <f t="shared" ref="X303:Y303" si="295">IF(ISBLANK(H303),,""""&amp;H303&amp;"""")</f>
        <v/>
      </c>
      <c r="Y303" s="237" t="str">
        <f t="shared" si="295"/>
        <v/>
      </c>
      <c r="Z303" s="237" t="str">
        <f>IF(ISBLANK(K303),,Config!$C$3&amp;"&amp;range=BB"&amp;MATCH(K303,FRG!AE:AE,0))</f>
        <v/>
      </c>
      <c r="AB303" s="242" t="str">
        <f>IFERROR(__xludf.DUMMYFUNCTION("IF(ISBLANK(K303),,SUBSTITUTE(IFERROR(JOIN("","",K303:Z303),JOIN("","",K303:Y303)),CHAR(10),""""))"),"")</f>
        <v/>
      </c>
      <c r="AC303" s="229" t="str">
        <f t="shared" si="1"/>
        <v/>
      </c>
    </row>
    <row r="304">
      <c r="K304" s="237"/>
      <c r="L304" s="238" t="str">
        <f t="shared" si="3"/>
        <v/>
      </c>
      <c r="M304" s="237"/>
      <c r="N304" s="238"/>
      <c r="O304" s="238" t="str">
        <f t="shared" si="4"/>
        <v/>
      </c>
      <c r="P304" s="238" t="str">
        <f t="shared" si="5"/>
        <v/>
      </c>
      <c r="Q304" s="238" t="str">
        <f t="shared" si="6"/>
        <v/>
      </c>
      <c r="R304" s="238" t="str">
        <f t="shared" si="7"/>
        <v/>
      </c>
      <c r="S304" s="238" t="str">
        <f t="shared" si="8"/>
        <v/>
      </c>
      <c r="T304" s="238"/>
      <c r="U304" s="237"/>
      <c r="V304" s="238"/>
      <c r="W304" s="238" t="str">
        <f t="shared" si="9"/>
        <v/>
      </c>
      <c r="X304" s="237" t="str">
        <f t="shared" ref="X304:Y304" si="296">IF(ISBLANK(H304),,""""&amp;H304&amp;"""")</f>
        <v/>
      </c>
      <c r="Y304" s="237" t="str">
        <f t="shared" si="296"/>
        <v/>
      </c>
      <c r="Z304" s="237" t="str">
        <f>IF(ISBLANK(K304),,Config!$C$3&amp;"&amp;range=BB"&amp;MATCH(K304,FRG!AE:AE,0))</f>
        <v/>
      </c>
      <c r="AB304" s="242" t="str">
        <f>IFERROR(__xludf.DUMMYFUNCTION("IF(ISBLANK(K304),,SUBSTITUTE(IFERROR(JOIN("","",K304:Z304),JOIN("","",K304:Y304)),CHAR(10),""""))"),"")</f>
        <v/>
      </c>
      <c r="AC304" s="229" t="str">
        <f t="shared" si="1"/>
        <v/>
      </c>
    </row>
    <row r="305">
      <c r="K305" s="237"/>
      <c r="L305" s="238" t="str">
        <f t="shared" si="3"/>
        <v/>
      </c>
      <c r="M305" s="237"/>
      <c r="N305" s="238"/>
      <c r="O305" s="238" t="str">
        <f t="shared" si="4"/>
        <v/>
      </c>
      <c r="P305" s="238" t="str">
        <f t="shared" si="5"/>
        <v/>
      </c>
      <c r="Q305" s="238" t="str">
        <f t="shared" si="6"/>
        <v/>
      </c>
      <c r="R305" s="238" t="str">
        <f t="shared" si="7"/>
        <v/>
      </c>
      <c r="S305" s="238" t="str">
        <f t="shared" si="8"/>
        <v/>
      </c>
      <c r="T305" s="238"/>
      <c r="U305" s="237"/>
      <c r="V305" s="238"/>
      <c r="W305" s="238" t="str">
        <f t="shared" si="9"/>
        <v/>
      </c>
      <c r="X305" s="237" t="str">
        <f t="shared" ref="X305:Y305" si="297">IF(ISBLANK(H305),,""""&amp;H305&amp;"""")</f>
        <v/>
      </c>
      <c r="Y305" s="237" t="str">
        <f t="shared" si="297"/>
        <v/>
      </c>
      <c r="Z305" s="237" t="str">
        <f>IF(ISBLANK(K305),,Config!$C$3&amp;"&amp;range=BB"&amp;MATCH(K305,FRG!AE:AE,0))</f>
        <v/>
      </c>
      <c r="AB305" s="242" t="str">
        <f>IFERROR(__xludf.DUMMYFUNCTION("IF(ISBLANK(K305),,SUBSTITUTE(IFERROR(JOIN("","",K305:Z305),JOIN("","",K305:Y305)),CHAR(10),""""))"),"")</f>
        <v/>
      </c>
      <c r="AC305" s="229" t="str">
        <f t="shared" si="1"/>
        <v/>
      </c>
    </row>
    <row r="306">
      <c r="K306" s="237"/>
      <c r="L306" s="238" t="str">
        <f t="shared" si="3"/>
        <v/>
      </c>
      <c r="M306" s="237"/>
      <c r="N306" s="238"/>
      <c r="O306" s="238" t="str">
        <f t="shared" si="4"/>
        <v/>
      </c>
      <c r="P306" s="238" t="str">
        <f t="shared" si="5"/>
        <v/>
      </c>
      <c r="Q306" s="238" t="str">
        <f t="shared" si="6"/>
        <v/>
      </c>
      <c r="R306" s="238" t="str">
        <f t="shared" si="7"/>
        <v/>
      </c>
      <c r="S306" s="238" t="str">
        <f t="shared" si="8"/>
        <v/>
      </c>
      <c r="T306" s="238"/>
      <c r="U306" s="237"/>
      <c r="V306" s="238"/>
      <c r="W306" s="238" t="str">
        <f t="shared" si="9"/>
        <v/>
      </c>
      <c r="X306" s="237" t="str">
        <f t="shared" ref="X306:Y306" si="298">IF(ISBLANK(H306),,""""&amp;H306&amp;"""")</f>
        <v/>
      </c>
      <c r="Y306" s="237" t="str">
        <f t="shared" si="298"/>
        <v/>
      </c>
      <c r="Z306" s="237" t="str">
        <f>IF(ISBLANK(K306),,Config!$C$3&amp;"&amp;range=BB"&amp;MATCH(K306,FRG!AE:AE,0))</f>
        <v/>
      </c>
      <c r="AB306" s="242" t="str">
        <f>IFERROR(__xludf.DUMMYFUNCTION("IF(ISBLANK(K306),,SUBSTITUTE(IFERROR(JOIN("","",K306:Z306),JOIN("","",K306:Y306)),CHAR(10),""""))"),"")</f>
        <v/>
      </c>
      <c r="AC306" s="229" t="str">
        <f t="shared" si="1"/>
        <v/>
      </c>
    </row>
    <row r="307">
      <c r="K307" s="237"/>
      <c r="L307" s="238" t="str">
        <f t="shared" si="3"/>
        <v/>
      </c>
      <c r="M307" s="237"/>
      <c r="N307" s="238"/>
      <c r="O307" s="238" t="str">
        <f t="shared" si="4"/>
        <v/>
      </c>
      <c r="P307" s="238" t="str">
        <f t="shared" si="5"/>
        <v/>
      </c>
      <c r="Q307" s="238" t="str">
        <f t="shared" si="6"/>
        <v/>
      </c>
      <c r="R307" s="238" t="str">
        <f t="shared" si="7"/>
        <v/>
      </c>
      <c r="S307" s="238" t="str">
        <f t="shared" si="8"/>
        <v/>
      </c>
      <c r="T307" s="238"/>
      <c r="U307" s="237"/>
      <c r="V307" s="238"/>
      <c r="W307" s="238" t="str">
        <f t="shared" si="9"/>
        <v/>
      </c>
      <c r="X307" s="237" t="str">
        <f t="shared" ref="X307:Y307" si="299">IF(ISBLANK(H307),,""""&amp;H307&amp;"""")</f>
        <v/>
      </c>
      <c r="Y307" s="237" t="str">
        <f t="shared" si="299"/>
        <v/>
      </c>
      <c r="Z307" s="237" t="str">
        <f>IF(ISBLANK(K307),,Config!$C$3&amp;"&amp;range=BB"&amp;MATCH(K307,FRG!AE:AE,0))</f>
        <v/>
      </c>
      <c r="AB307" s="242" t="str">
        <f>IFERROR(__xludf.DUMMYFUNCTION("IF(ISBLANK(K307),,SUBSTITUTE(IFERROR(JOIN("","",K307:Z307),JOIN("","",K307:Y307)),CHAR(10),""""))"),"")</f>
        <v/>
      </c>
      <c r="AC307" s="229" t="str">
        <f t="shared" si="1"/>
        <v/>
      </c>
    </row>
    <row r="308">
      <c r="K308" s="237"/>
      <c r="L308" s="238" t="str">
        <f t="shared" si="3"/>
        <v/>
      </c>
      <c r="M308" s="237"/>
      <c r="N308" s="238"/>
      <c r="O308" s="238" t="str">
        <f t="shared" si="4"/>
        <v/>
      </c>
      <c r="P308" s="238" t="str">
        <f t="shared" si="5"/>
        <v/>
      </c>
      <c r="Q308" s="238" t="str">
        <f t="shared" si="6"/>
        <v/>
      </c>
      <c r="R308" s="238" t="str">
        <f t="shared" si="7"/>
        <v/>
      </c>
      <c r="S308" s="238" t="str">
        <f t="shared" si="8"/>
        <v/>
      </c>
      <c r="T308" s="238"/>
      <c r="U308" s="237"/>
      <c r="V308" s="238"/>
      <c r="W308" s="238" t="str">
        <f t="shared" si="9"/>
        <v/>
      </c>
      <c r="X308" s="237" t="str">
        <f t="shared" ref="X308:Y308" si="300">IF(ISBLANK(H308),,""""&amp;H308&amp;"""")</f>
        <v/>
      </c>
      <c r="Y308" s="237" t="str">
        <f t="shared" si="300"/>
        <v/>
      </c>
      <c r="Z308" s="237" t="str">
        <f>IF(ISBLANK(K308),,Config!$C$3&amp;"&amp;range=BB"&amp;MATCH(K308,FRG!AE:AE,0))</f>
        <v/>
      </c>
      <c r="AB308" s="242" t="str">
        <f>IFERROR(__xludf.DUMMYFUNCTION("IF(ISBLANK(K308),,SUBSTITUTE(IFERROR(JOIN("","",K308:Z308),JOIN("","",K308:Y308)),CHAR(10),""""))"),"")</f>
        <v/>
      </c>
      <c r="AC308" s="229" t="str">
        <f t="shared" si="1"/>
        <v/>
      </c>
    </row>
    <row r="309">
      <c r="K309" s="237"/>
      <c r="L309" s="238" t="str">
        <f t="shared" si="3"/>
        <v/>
      </c>
      <c r="M309" s="237"/>
      <c r="N309" s="238"/>
      <c r="O309" s="238" t="str">
        <f t="shared" si="4"/>
        <v/>
      </c>
      <c r="P309" s="238" t="str">
        <f t="shared" si="5"/>
        <v/>
      </c>
      <c r="Q309" s="238" t="str">
        <f t="shared" si="6"/>
        <v/>
      </c>
      <c r="R309" s="238" t="str">
        <f t="shared" si="7"/>
        <v/>
      </c>
      <c r="S309" s="238" t="str">
        <f t="shared" si="8"/>
        <v/>
      </c>
      <c r="T309" s="238"/>
      <c r="U309" s="237"/>
      <c r="V309" s="238"/>
      <c r="W309" s="238" t="str">
        <f t="shared" si="9"/>
        <v/>
      </c>
      <c r="X309" s="237" t="str">
        <f t="shared" ref="X309:Y309" si="301">IF(ISBLANK(H309),,""""&amp;H309&amp;"""")</f>
        <v/>
      </c>
      <c r="Y309" s="237" t="str">
        <f t="shared" si="301"/>
        <v/>
      </c>
      <c r="Z309" s="237" t="str">
        <f>IF(ISBLANK(K309),,Config!$C$3&amp;"&amp;range=BB"&amp;MATCH(K309,FRG!AE:AE,0))</f>
        <v/>
      </c>
      <c r="AB309" s="242" t="str">
        <f>IFERROR(__xludf.DUMMYFUNCTION("IF(ISBLANK(K309),,SUBSTITUTE(IFERROR(JOIN("","",K309:Z309),JOIN("","",K309:Y309)),CHAR(10),""""))"),"")</f>
        <v/>
      </c>
      <c r="AC309" s="229" t="str">
        <f t="shared" si="1"/>
        <v/>
      </c>
    </row>
    <row r="310">
      <c r="K310" s="237"/>
      <c r="L310" s="238" t="str">
        <f t="shared" si="3"/>
        <v/>
      </c>
      <c r="M310" s="237"/>
      <c r="N310" s="238"/>
      <c r="O310" s="238" t="str">
        <f t="shared" si="4"/>
        <v/>
      </c>
      <c r="P310" s="238" t="str">
        <f t="shared" si="5"/>
        <v/>
      </c>
      <c r="Q310" s="238" t="str">
        <f t="shared" si="6"/>
        <v/>
      </c>
      <c r="R310" s="238" t="str">
        <f t="shared" si="7"/>
        <v/>
      </c>
      <c r="S310" s="238" t="str">
        <f t="shared" si="8"/>
        <v/>
      </c>
      <c r="T310" s="238"/>
      <c r="U310" s="237"/>
      <c r="V310" s="238"/>
      <c r="W310" s="238" t="str">
        <f t="shared" si="9"/>
        <v/>
      </c>
      <c r="X310" s="237" t="str">
        <f t="shared" ref="X310:Y310" si="302">IF(ISBLANK(H310),,""""&amp;H310&amp;"""")</f>
        <v/>
      </c>
      <c r="Y310" s="237" t="str">
        <f t="shared" si="302"/>
        <v/>
      </c>
      <c r="Z310" s="237" t="str">
        <f>IF(ISBLANK(K310),,Config!$C$3&amp;"&amp;range=BB"&amp;MATCH(K310,FRG!AE:AE,0))</f>
        <v/>
      </c>
      <c r="AB310" s="242" t="str">
        <f>IFERROR(__xludf.DUMMYFUNCTION("IF(ISBLANK(K310),,SUBSTITUTE(IFERROR(JOIN("","",K310:Z310),JOIN("","",K310:Y310)),CHAR(10),""""))"),"")</f>
        <v/>
      </c>
      <c r="AC310" s="229" t="str">
        <f t="shared" si="1"/>
        <v/>
      </c>
    </row>
    <row r="311">
      <c r="K311" s="237"/>
      <c r="L311" s="238" t="str">
        <f t="shared" si="3"/>
        <v/>
      </c>
      <c r="M311" s="237"/>
      <c r="N311" s="238"/>
      <c r="O311" s="238" t="str">
        <f t="shared" si="4"/>
        <v/>
      </c>
      <c r="P311" s="238" t="str">
        <f t="shared" si="5"/>
        <v/>
      </c>
      <c r="Q311" s="238" t="str">
        <f t="shared" si="6"/>
        <v/>
      </c>
      <c r="R311" s="238" t="str">
        <f t="shared" si="7"/>
        <v/>
      </c>
      <c r="S311" s="238" t="str">
        <f t="shared" si="8"/>
        <v/>
      </c>
      <c r="T311" s="238"/>
      <c r="U311" s="237"/>
      <c r="V311" s="238"/>
      <c r="W311" s="238" t="str">
        <f t="shared" si="9"/>
        <v/>
      </c>
      <c r="X311" s="237" t="str">
        <f t="shared" ref="X311:Y311" si="303">IF(ISBLANK(H311),,""""&amp;H311&amp;"""")</f>
        <v/>
      </c>
      <c r="Y311" s="237" t="str">
        <f t="shared" si="303"/>
        <v/>
      </c>
      <c r="Z311" s="237" t="str">
        <f>IF(ISBLANK(K311),,Config!$C$3&amp;"&amp;range=BB"&amp;MATCH(K311,FRG!AE:AE,0))</f>
        <v/>
      </c>
      <c r="AB311" s="242" t="str">
        <f>IFERROR(__xludf.DUMMYFUNCTION("IF(ISBLANK(K311),,SUBSTITUTE(IFERROR(JOIN("","",K311:Z311),JOIN("","",K311:Y311)),CHAR(10),""""))"),"")</f>
        <v/>
      </c>
      <c r="AC311" s="229" t="str">
        <f t="shared" si="1"/>
        <v/>
      </c>
    </row>
    <row r="312">
      <c r="K312" s="237"/>
      <c r="L312" s="238" t="str">
        <f t="shared" si="3"/>
        <v/>
      </c>
      <c r="M312" s="237"/>
      <c r="N312" s="238"/>
      <c r="O312" s="238" t="str">
        <f t="shared" si="4"/>
        <v/>
      </c>
      <c r="P312" s="238" t="str">
        <f t="shared" si="5"/>
        <v/>
      </c>
      <c r="Q312" s="238" t="str">
        <f t="shared" si="6"/>
        <v/>
      </c>
      <c r="R312" s="238" t="str">
        <f t="shared" si="7"/>
        <v/>
      </c>
      <c r="S312" s="238" t="str">
        <f t="shared" si="8"/>
        <v/>
      </c>
      <c r="T312" s="238"/>
      <c r="U312" s="237"/>
      <c r="V312" s="238"/>
      <c r="W312" s="238" t="str">
        <f t="shared" si="9"/>
        <v/>
      </c>
      <c r="X312" s="237" t="str">
        <f t="shared" ref="X312:Y312" si="304">IF(ISBLANK(H312),,""""&amp;H312&amp;"""")</f>
        <v/>
      </c>
      <c r="Y312" s="237" t="str">
        <f t="shared" si="304"/>
        <v/>
      </c>
      <c r="Z312" s="237" t="str">
        <f>IF(ISBLANK(K312),,Config!$C$3&amp;"&amp;range=BB"&amp;MATCH(K312,FRG!AE:AE,0))</f>
        <v/>
      </c>
      <c r="AB312" s="242" t="str">
        <f>IFERROR(__xludf.DUMMYFUNCTION("IF(ISBLANK(K312),,SUBSTITUTE(IFERROR(JOIN("","",K312:Z312),JOIN("","",K312:Y312)),CHAR(10),""""))"),"")</f>
        <v/>
      </c>
      <c r="AC312" s="229" t="str">
        <f t="shared" si="1"/>
        <v/>
      </c>
    </row>
    <row r="313">
      <c r="K313" s="237"/>
      <c r="L313" s="238" t="str">
        <f t="shared" si="3"/>
        <v/>
      </c>
      <c r="M313" s="237"/>
      <c r="N313" s="238"/>
      <c r="O313" s="238" t="str">
        <f t="shared" si="4"/>
        <v/>
      </c>
      <c r="P313" s="238" t="str">
        <f t="shared" si="5"/>
        <v/>
      </c>
      <c r="Q313" s="238" t="str">
        <f t="shared" si="6"/>
        <v/>
      </c>
      <c r="R313" s="238" t="str">
        <f t="shared" si="7"/>
        <v/>
      </c>
      <c r="S313" s="238" t="str">
        <f t="shared" si="8"/>
        <v/>
      </c>
      <c r="T313" s="238"/>
      <c r="U313" s="237"/>
      <c r="V313" s="238"/>
      <c r="W313" s="238" t="str">
        <f t="shared" si="9"/>
        <v/>
      </c>
      <c r="X313" s="237" t="str">
        <f t="shared" ref="X313:Y313" si="305">IF(ISBLANK(H313),,""""&amp;H313&amp;"""")</f>
        <v/>
      </c>
      <c r="Y313" s="237" t="str">
        <f t="shared" si="305"/>
        <v/>
      </c>
      <c r="Z313" s="237" t="str">
        <f>IF(ISBLANK(K313),,Config!$C$3&amp;"&amp;range=BB"&amp;MATCH(K313,FRG!AE:AE,0))</f>
        <v/>
      </c>
      <c r="AB313" s="242" t="str">
        <f>IFERROR(__xludf.DUMMYFUNCTION("IF(ISBLANK(K313),,SUBSTITUTE(IFERROR(JOIN("","",K313:Z313),JOIN("","",K313:Y313)),CHAR(10),""""))"),"")</f>
        <v/>
      </c>
      <c r="AC313" s="229" t="str">
        <f t="shared" si="1"/>
        <v/>
      </c>
    </row>
    <row r="314">
      <c r="K314" s="237"/>
      <c r="L314" s="238" t="str">
        <f t="shared" si="3"/>
        <v/>
      </c>
      <c r="M314" s="237"/>
      <c r="N314" s="238"/>
      <c r="O314" s="238" t="str">
        <f t="shared" si="4"/>
        <v/>
      </c>
      <c r="P314" s="238" t="str">
        <f t="shared" si="5"/>
        <v/>
      </c>
      <c r="Q314" s="238" t="str">
        <f t="shared" si="6"/>
        <v/>
      </c>
      <c r="R314" s="238" t="str">
        <f t="shared" si="7"/>
        <v/>
      </c>
      <c r="S314" s="238" t="str">
        <f t="shared" si="8"/>
        <v/>
      </c>
      <c r="T314" s="238"/>
      <c r="U314" s="237"/>
      <c r="V314" s="238"/>
      <c r="W314" s="238" t="str">
        <f t="shared" si="9"/>
        <v/>
      </c>
      <c r="X314" s="237" t="str">
        <f t="shared" ref="X314:Y314" si="306">IF(ISBLANK(H314),,""""&amp;H314&amp;"""")</f>
        <v/>
      </c>
      <c r="Y314" s="237" t="str">
        <f t="shared" si="306"/>
        <v/>
      </c>
      <c r="Z314" s="237" t="str">
        <f>IF(ISBLANK(K314),,Config!$C$3&amp;"&amp;range=BB"&amp;MATCH(K314,FRG!AE:AE,0))</f>
        <v/>
      </c>
      <c r="AB314" s="242" t="str">
        <f>IFERROR(__xludf.DUMMYFUNCTION("IF(ISBLANK(K314),,SUBSTITUTE(IFERROR(JOIN("","",K314:Z314),JOIN("","",K314:Y314)),CHAR(10),""""))"),"")</f>
        <v/>
      </c>
      <c r="AC314" s="229" t="str">
        <f t="shared" si="1"/>
        <v/>
      </c>
    </row>
    <row r="315">
      <c r="K315" s="237"/>
      <c r="L315" s="238" t="str">
        <f t="shared" si="3"/>
        <v/>
      </c>
      <c r="M315" s="237"/>
      <c r="N315" s="238"/>
      <c r="O315" s="238" t="str">
        <f t="shared" si="4"/>
        <v/>
      </c>
      <c r="P315" s="238" t="str">
        <f t="shared" si="5"/>
        <v/>
      </c>
      <c r="Q315" s="238" t="str">
        <f t="shared" si="6"/>
        <v/>
      </c>
      <c r="R315" s="238" t="str">
        <f t="shared" si="7"/>
        <v/>
      </c>
      <c r="S315" s="238" t="str">
        <f t="shared" si="8"/>
        <v/>
      </c>
      <c r="T315" s="238"/>
      <c r="U315" s="237"/>
      <c r="V315" s="238"/>
      <c r="W315" s="238" t="str">
        <f t="shared" si="9"/>
        <v/>
      </c>
      <c r="X315" s="237" t="str">
        <f t="shared" ref="X315:Y315" si="307">IF(ISBLANK(H315),,""""&amp;H315&amp;"""")</f>
        <v/>
      </c>
      <c r="Y315" s="237" t="str">
        <f t="shared" si="307"/>
        <v/>
      </c>
      <c r="Z315" s="237" t="str">
        <f>IF(ISBLANK(K315),,Config!$C$3&amp;"&amp;range=BB"&amp;MATCH(K315,FRG!AE:AE,0))</f>
        <v/>
      </c>
      <c r="AB315" s="242" t="str">
        <f>IFERROR(__xludf.DUMMYFUNCTION("IF(ISBLANK(K315),,SUBSTITUTE(IFERROR(JOIN("","",K315:Z315),JOIN("","",K315:Y315)),CHAR(10),""""))"),"")</f>
        <v/>
      </c>
      <c r="AC315" s="229" t="str">
        <f t="shared" si="1"/>
        <v/>
      </c>
    </row>
    <row r="316">
      <c r="K316" s="237"/>
      <c r="L316" s="238" t="str">
        <f t="shared" si="3"/>
        <v/>
      </c>
      <c r="M316" s="237"/>
      <c r="N316" s="238"/>
      <c r="O316" s="238" t="str">
        <f t="shared" si="4"/>
        <v/>
      </c>
      <c r="P316" s="238" t="str">
        <f t="shared" si="5"/>
        <v/>
      </c>
      <c r="Q316" s="238" t="str">
        <f t="shared" si="6"/>
        <v/>
      </c>
      <c r="R316" s="238" t="str">
        <f t="shared" si="7"/>
        <v/>
      </c>
      <c r="S316" s="238" t="str">
        <f t="shared" si="8"/>
        <v/>
      </c>
      <c r="T316" s="238"/>
      <c r="U316" s="237"/>
      <c r="V316" s="238"/>
      <c r="W316" s="238" t="str">
        <f t="shared" si="9"/>
        <v/>
      </c>
      <c r="X316" s="237" t="str">
        <f t="shared" ref="X316:Y316" si="308">IF(ISBLANK(H316),,""""&amp;H316&amp;"""")</f>
        <v/>
      </c>
      <c r="Y316" s="237" t="str">
        <f t="shared" si="308"/>
        <v/>
      </c>
      <c r="Z316" s="237" t="str">
        <f>IF(ISBLANK(K316),,Config!$C$3&amp;"&amp;range=BB"&amp;MATCH(K316,FRG!AE:AE,0))</f>
        <v/>
      </c>
      <c r="AB316" s="242" t="str">
        <f>IFERROR(__xludf.DUMMYFUNCTION("IF(ISBLANK(K316),,SUBSTITUTE(IFERROR(JOIN("","",K316:Z316),JOIN("","",K316:Y316)),CHAR(10),""""))"),"")</f>
        <v/>
      </c>
      <c r="AC316" s="229" t="str">
        <f t="shared" si="1"/>
        <v/>
      </c>
    </row>
    <row r="317">
      <c r="K317" s="237"/>
      <c r="L317" s="238" t="str">
        <f t="shared" si="3"/>
        <v/>
      </c>
      <c r="M317" s="237"/>
      <c r="N317" s="238"/>
      <c r="O317" s="238" t="str">
        <f t="shared" si="4"/>
        <v/>
      </c>
      <c r="P317" s="238" t="str">
        <f t="shared" si="5"/>
        <v/>
      </c>
      <c r="Q317" s="238" t="str">
        <f t="shared" si="6"/>
        <v/>
      </c>
      <c r="R317" s="238" t="str">
        <f t="shared" si="7"/>
        <v/>
      </c>
      <c r="S317" s="238" t="str">
        <f t="shared" si="8"/>
        <v/>
      </c>
      <c r="T317" s="238"/>
      <c r="U317" s="237"/>
      <c r="V317" s="238"/>
      <c r="W317" s="238" t="str">
        <f t="shared" si="9"/>
        <v/>
      </c>
      <c r="X317" s="237" t="str">
        <f t="shared" ref="X317:Y317" si="309">IF(ISBLANK(H317),,""""&amp;H317&amp;"""")</f>
        <v/>
      </c>
      <c r="Y317" s="237" t="str">
        <f t="shared" si="309"/>
        <v/>
      </c>
      <c r="Z317" s="237" t="str">
        <f>IF(ISBLANK(K317),,Config!$C$3&amp;"&amp;range=BB"&amp;MATCH(K317,FRG!AE:AE,0))</f>
        <v/>
      </c>
      <c r="AB317" s="242" t="str">
        <f>IFERROR(__xludf.DUMMYFUNCTION("IF(ISBLANK(K317),,SUBSTITUTE(IFERROR(JOIN("","",K317:Z317),JOIN("","",K317:Y317)),CHAR(10),""""))"),"")</f>
        <v/>
      </c>
      <c r="AC317" s="229" t="str">
        <f t="shared" si="1"/>
        <v/>
      </c>
    </row>
    <row r="318">
      <c r="K318" s="237"/>
      <c r="L318" s="238" t="str">
        <f t="shared" si="3"/>
        <v/>
      </c>
      <c r="M318" s="237"/>
      <c r="N318" s="238"/>
      <c r="O318" s="238" t="str">
        <f t="shared" si="4"/>
        <v/>
      </c>
      <c r="P318" s="238" t="str">
        <f t="shared" si="5"/>
        <v/>
      </c>
      <c r="Q318" s="238" t="str">
        <f t="shared" si="6"/>
        <v/>
      </c>
      <c r="R318" s="238" t="str">
        <f t="shared" si="7"/>
        <v/>
      </c>
      <c r="S318" s="238" t="str">
        <f t="shared" si="8"/>
        <v/>
      </c>
      <c r="T318" s="238"/>
      <c r="U318" s="237"/>
      <c r="V318" s="238"/>
      <c r="W318" s="238" t="str">
        <f t="shared" si="9"/>
        <v/>
      </c>
      <c r="X318" s="237" t="str">
        <f t="shared" ref="X318:Y318" si="310">IF(ISBLANK(H318),,""""&amp;H318&amp;"""")</f>
        <v/>
      </c>
      <c r="Y318" s="237" t="str">
        <f t="shared" si="310"/>
        <v/>
      </c>
      <c r="Z318" s="237" t="str">
        <f>IF(ISBLANK(K318),,Config!$C$3&amp;"&amp;range=BB"&amp;MATCH(K318,FRG!AE:AE,0))</f>
        <v/>
      </c>
      <c r="AB318" s="242" t="str">
        <f>IFERROR(__xludf.DUMMYFUNCTION("IF(ISBLANK(K318),,SUBSTITUTE(IFERROR(JOIN("","",K318:Z318),JOIN("","",K318:Y318)),CHAR(10),""""))"),"")</f>
        <v/>
      </c>
      <c r="AC318" s="229" t="str">
        <f t="shared" si="1"/>
        <v/>
      </c>
    </row>
    <row r="319">
      <c r="K319" s="237"/>
      <c r="L319" s="238" t="str">
        <f t="shared" si="3"/>
        <v/>
      </c>
      <c r="M319" s="237"/>
      <c r="N319" s="238"/>
      <c r="O319" s="238" t="str">
        <f t="shared" si="4"/>
        <v/>
      </c>
      <c r="P319" s="238" t="str">
        <f t="shared" si="5"/>
        <v/>
      </c>
      <c r="Q319" s="238" t="str">
        <f t="shared" si="6"/>
        <v/>
      </c>
      <c r="R319" s="238" t="str">
        <f t="shared" si="7"/>
        <v/>
      </c>
      <c r="S319" s="238" t="str">
        <f t="shared" si="8"/>
        <v/>
      </c>
      <c r="T319" s="238"/>
      <c r="U319" s="237"/>
      <c r="V319" s="238"/>
      <c r="W319" s="238" t="str">
        <f t="shared" si="9"/>
        <v/>
      </c>
      <c r="X319" s="237" t="str">
        <f t="shared" ref="X319:Y319" si="311">IF(ISBLANK(H319),,""""&amp;H319&amp;"""")</f>
        <v/>
      </c>
      <c r="Y319" s="237" t="str">
        <f t="shared" si="311"/>
        <v/>
      </c>
      <c r="Z319" s="237" t="str">
        <f>IF(ISBLANK(K319),,Config!$C$3&amp;"&amp;range=BB"&amp;MATCH(K319,FRG!AE:AE,0))</f>
        <v/>
      </c>
      <c r="AB319" s="242" t="str">
        <f>IFERROR(__xludf.DUMMYFUNCTION("IF(ISBLANK(K319),,SUBSTITUTE(IFERROR(JOIN("","",K319:Z319),JOIN("","",K319:Y319)),CHAR(10),""""))"),"")</f>
        <v/>
      </c>
      <c r="AC319" s="229" t="str">
        <f t="shared" si="1"/>
        <v/>
      </c>
    </row>
    <row r="320">
      <c r="K320" s="237"/>
      <c r="L320" s="238" t="str">
        <f t="shared" si="3"/>
        <v/>
      </c>
      <c r="M320" s="237"/>
      <c r="N320" s="238"/>
      <c r="O320" s="238" t="str">
        <f t="shared" si="4"/>
        <v/>
      </c>
      <c r="P320" s="238" t="str">
        <f t="shared" si="5"/>
        <v/>
      </c>
      <c r="Q320" s="238" t="str">
        <f t="shared" si="6"/>
        <v/>
      </c>
      <c r="R320" s="238" t="str">
        <f t="shared" si="7"/>
        <v/>
      </c>
      <c r="S320" s="238" t="str">
        <f t="shared" si="8"/>
        <v/>
      </c>
      <c r="T320" s="238"/>
      <c r="U320" s="237"/>
      <c r="V320" s="238"/>
      <c r="W320" s="238" t="str">
        <f t="shared" si="9"/>
        <v/>
      </c>
      <c r="X320" s="237" t="str">
        <f t="shared" ref="X320:Y320" si="312">IF(ISBLANK(H320),,""""&amp;H320&amp;"""")</f>
        <v/>
      </c>
      <c r="Y320" s="237" t="str">
        <f t="shared" si="312"/>
        <v/>
      </c>
      <c r="Z320" s="237" t="str">
        <f>IF(ISBLANK(K320),,Config!$C$3&amp;"&amp;range=BB"&amp;MATCH(K320,FRG!AE:AE,0))</f>
        <v/>
      </c>
      <c r="AB320" s="242" t="str">
        <f>IFERROR(__xludf.DUMMYFUNCTION("IF(ISBLANK(K320),,SUBSTITUTE(IFERROR(JOIN("","",K320:Z320),JOIN("","",K320:Y320)),CHAR(10),""""))"),"")</f>
        <v/>
      </c>
      <c r="AC320" s="229" t="str">
        <f t="shared" si="1"/>
        <v/>
      </c>
    </row>
    <row r="321">
      <c r="K321" s="237"/>
      <c r="L321" s="238" t="str">
        <f t="shared" si="3"/>
        <v/>
      </c>
      <c r="M321" s="237"/>
      <c r="N321" s="238"/>
      <c r="O321" s="238" t="str">
        <f t="shared" si="4"/>
        <v/>
      </c>
      <c r="P321" s="238" t="str">
        <f t="shared" si="5"/>
        <v/>
      </c>
      <c r="Q321" s="238" t="str">
        <f t="shared" si="6"/>
        <v/>
      </c>
      <c r="R321" s="238" t="str">
        <f t="shared" si="7"/>
        <v/>
      </c>
      <c r="S321" s="238" t="str">
        <f t="shared" si="8"/>
        <v/>
      </c>
      <c r="T321" s="238"/>
      <c r="U321" s="237"/>
      <c r="V321" s="238"/>
      <c r="W321" s="238" t="str">
        <f t="shared" si="9"/>
        <v/>
      </c>
      <c r="X321" s="237" t="str">
        <f t="shared" ref="X321:Y321" si="313">IF(ISBLANK(H321),,""""&amp;H321&amp;"""")</f>
        <v/>
      </c>
      <c r="Y321" s="237" t="str">
        <f t="shared" si="313"/>
        <v/>
      </c>
      <c r="Z321" s="237" t="str">
        <f>IF(ISBLANK(K321),,Config!$C$3&amp;"&amp;range=BB"&amp;MATCH(K321,FRG!AE:AE,0))</f>
        <v/>
      </c>
      <c r="AB321" s="242" t="str">
        <f>IFERROR(__xludf.DUMMYFUNCTION("IF(ISBLANK(K321),,SUBSTITUTE(IFERROR(JOIN("","",K321:Z321),JOIN("","",K321:Y321)),CHAR(10),""""))"),"")</f>
        <v/>
      </c>
      <c r="AC321" s="229" t="str">
        <f t="shared" si="1"/>
        <v/>
      </c>
    </row>
    <row r="322">
      <c r="K322" s="237"/>
      <c r="L322" s="238" t="str">
        <f t="shared" si="3"/>
        <v/>
      </c>
      <c r="M322" s="237"/>
      <c r="N322" s="238"/>
      <c r="O322" s="238" t="str">
        <f t="shared" si="4"/>
        <v/>
      </c>
      <c r="P322" s="238" t="str">
        <f t="shared" si="5"/>
        <v/>
      </c>
      <c r="Q322" s="238" t="str">
        <f t="shared" si="6"/>
        <v/>
      </c>
      <c r="R322" s="238" t="str">
        <f t="shared" si="7"/>
        <v/>
      </c>
      <c r="S322" s="238" t="str">
        <f t="shared" si="8"/>
        <v/>
      </c>
      <c r="T322" s="238"/>
      <c r="U322" s="237"/>
      <c r="V322" s="238"/>
      <c r="W322" s="238" t="str">
        <f t="shared" si="9"/>
        <v/>
      </c>
      <c r="X322" s="237" t="str">
        <f t="shared" ref="X322:Y322" si="314">IF(ISBLANK(H322),,""""&amp;H322&amp;"""")</f>
        <v/>
      </c>
      <c r="Y322" s="237" t="str">
        <f t="shared" si="314"/>
        <v/>
      </c>
      <c r="Z322" s="237" t="str">
        <f>IF(ISBLANK(K322),,Config!$C$3&amp;"&amp;range=BB"&amp;MATCH(K322,FRG!AE:AE,0))</f>
        <v/>
      </c>
      <c r="AB322" s="242" t="str">
        <f>IFERROR(__xludf.DUMMYFUNCTION("IF(ISBLANK(K322),,SUBSTITUTE(IFERROR(JOIN("","",K322:Z322),JOIN("","",K322:Y322)),CHAR(10),""""))"),"")</f>
        <v/>
      </c>
      <c r="AC322" s="229" t="str">
        <f t="shared" si="1"/>
        <v/>
      </c>
    </row>
    <row r="323">
      <c r="K323" s="237"/>
      <c r="L323" s="238" t="str">
        <f t="shared" si="3"/>
        <v/>
      </c>
      <c r="M323" s="237"/>
      <c r="N323" s="238"/>
      <c r="O323" s="238" t="str">
        <f t="shared" si="4"/>
        <v/>
      </c>
      <c r="P323" s="238" t="str">
        <f t="shared" si="5"/>
        <v/>
      </c>
      <c r="Q323" s="238" t="str">
        <f t="shared" si="6"/>
        <v/>
      </c>
      <c r="R323" s="238" t="str">
        <f t="shared" si="7"/>
        <v/>
      </c>
      <c r="S323" s="238" t="str">
        <f t="shared" si="8"/>
        <v/>
      </c>
      <c r="T323" s="238"/>
      <c r="U323" s="237"/>
      <c r="V323" s="238"/>
      <c r="W323" s="238" t="str">
        <f t="shared" si="9"/>
        <v/>
      </c>
      <c r="X323" s="237" t="str">
        <f t="shared" ref="X323:Y323" si="315">IF(ISBLANK(H323),,""""&amp;H323&amp;"""")</f>
        <v/>
      </c>
      <c r="Y323" s="237" t="str">
        <f t="shared" si="315"/>
        <v/>
      </c>
      <c r="Z323" s="237" t="str">
        <f>IF(ISBLANK(K323),,Config!$C$3&amp;"&amp;range=BB"&amp;MATCH(K323,FRG!AE:AE,0))</f>
        <v/>
      </c>
      <c r="AB323" s="242" t="str">
        <f>IFERROR(__xludf.DUMMYFUNCTION("IF(ISBLANK(K323),,SUBSTITUTE(IFERROR(JOIN("","",K323:Z323),JOIN("","",K323:Y323)),CHAR(10),""""))"),"")</f>
        <v/>
      </c>
      <c r="AC323" s="229" t="str">
        <f t="shared" si="1"/>
        <v/>
      </c>
    </row>
    <row r="324">
      <c r="K324" s="237"/>
      <c r="L324" s="238" t="str">
        <f t="shared" si="3"/>
        <v/>
      </c>
      <c r="M324" s="237"/>
      <c r="N324" s="238"/>
      <c r="O324" s="238" t="str">
        <f t="shared" si="4"/>
        <v/>
      </c>
      <c r="P324" s="238" t="str">
        <f t="shared" si="5"/>
        <v/>
      </c>
      <c r="Q324" s="238" t="str">
        <f t="shared" si="6"/>
        <v/>
      </c>
      <c r="R324" s="238" t="str">
        <f t="shared" si="7"/>
        <v/>
      </c>
      <c r="S324" s="238" t="str">
        <f t="shared" si="8"/>
        <v/>
      </c>
      <c r="T324" s="238"/>
      <c r="U324" s="237"/>
      <c r="V324" s="238"/>
      <c r="W324" s="238" t="str">
        <f t="shared" si="9"/>
        <v/>
      </c>
      <c r="X324" s="237" t="str">
        <f t="shared" ref="X324:Y324" si="316">IF(ISBLANK(H324),,""""&amp;H324&amp;"""")</f>
        <v/>
      </c>
      <c r="Y324" s="237" t="str">
        <f t="shared" si="316"/>
        <v/>
      </c>
      <c r="Z324" s="237" t="str">
        <f>IF(ISBLANK(K324),,Config!$C$3&amp;"&amp;range=BB"&amp;MATCH(K324,FRG!AE:AE,0))</f>
        <v/>
      </c>
      <c r="AB324" s="242" t="str">
        <f>IFERROR(__xludf.DUMMYFUNCTION("IF(ISBLANK(K324),,SUBSTITUTE(IFERROR(JOIN("","",K324:Z324),JOIN("","",K324:Y324)),CHAR(10),""""))"),"")</f>
        <v/>
      </c>
      <c r="AC324" s="229" t="str">
        <f t="shared" si="1"/>
        <v/>
      </c>
    </row>
    <row r="325">
      <c r="K325" s="237"/>
      <c r="L325" s="238" t="str">
        <f t="shared" si="3"/>
        <v/>
      </c>
      <c r="M325" s="237"/>
      <c r="N325" s="238"/>
      <c r="O325" s="238" t="str">
        <f t="shared" si="4"/>
        <v/>
      </c>
      <c r="P325" s="238" t="str">
        <f t="shared" si="5"/>
        <v/>
      </c>
      <c r="Q325" s="238" t="str">
        <f t="shared" si="6"/>
        <v/>
      </c>
      <c r="R325" s="238" t="str">
        <f t="shared" si="7"/>
        <v/>
      </c>
      <c r="S325" s="238" t="str">
        <f t="shared" si="8"/>
        <v/>
      </c>
      <c r="T325" s="238"/>
      <c r="U325" s="237"/>
      <c r="V325" s="238"/>
      <c r="W325" s="238" t="str">
        <f t="shared" si="9"/>
        <v/>
      </c>
      <c r="X325" s="237" t="str">
        <f t="shared" ref="X325:Y325" si="317">IF(ISBLANK(H325),,""""&amp;H325&amp;"""")</f>
        <v/>
      </c>
      <c r="Y325" s="237" t="str">
        <f t="shared" si="317"/>
        <v/>
      </c>
      <c r="Z325" s="237" t="str">
        <f>IF(ISBLANK(K325),,Config!$C$3&amp;"&amp;range=BB"&amp;MATCH(K325,FRG!AE:AE,0))</f>
        <v/>
      </c>
      <c r="AB325" s="242" t="str">
        <f>IFERROR(__xludf.DUMMYFUNCTION("IF(ISBLANK(K325),,SUBSTITUTE(IFERROR(JOIN("","",K325:Z325),JOIN("","",K325:Y325)),CHAR(10),""""))"),"")</f>
        <v/>
      </c>
      <c r="AC325" s="229" t="str">
        <f t="shared" si="1"/>
        <v/>
      </c>
    </row>
    <row r="326">
      <c r="K326" s="237"/>
      <c r="L326" s="238" t="str">
        <f t="shared" si="3"/>
        <v/>
      </c>
      <c r="M326" s="237"/>
      <c r="N326" s="238"/>
      <c r="O326" s="238" t="str">
        <f t="shared" si="4"/>
        <v/>
      </c>
      <c r="P326" s="238" t="str">
        <f t="shared" si="5"/>
        <v/>
      </c>
      <c r="Q326" s="238" t="str">
        <f t="shared" si="6"/>
        <v/>
      </c>
      <c r="R326" s="238" t="str">
        <f t="shared" si="7"/>
        <v/>
      </c>
      <c r="S326" s="238" t="str">
        <f t="shared" si="8"/>
        <v/>
      </c>
      <c r="T326" s="238"/>
      <c r="U326" s="237"/>
      <c r="V326" s="238"/>
      <c r="W326" s="238" t="str">
        <f t="shared" si="9"/>
        <v/>
      </c>
      <c r="X326" s="237" t="str">
        <f t="shared" ref="X326:Y326" si="318">IF(ISBLANK(H326),,""""&amp;H326&amp;"""")</f>
        <v/>
      </c>
      <c r="Y326" s="237" t="str">
        <f t="shared" si="318"/>
        <v/>
      </c>
      <c r="Z326" s="237" t="str">
        <f>IF(ISBLANK(K326),,Config!$C$3&amp;"&amp;range=BB"&amp;MATCH(K326,FRG!AE:AE,0))</f>
        <v/>
      </c>
      <c r="AB326" s="242" t="str">
        <f>IFERROR(__xludf.DUMMYFUNCTION("IF(ISBLANK(K326),,SUBSTITUTE(IFERROR(JOIN("","",K326:Z326),JOIN("","",K326:Y326)),CHAR(10),""""))"),"")</f>
        <v/>
      </c>
      <c r="AC326" s="229" t="str">
        <f t="shared" si="1"/>
        <v/>
      </c>
    </row>
    <row r="327">
      <c r="K327" s="237"/>
      <c r="L327" s="238" t="str">
        <f t="shared" si="3"/>
        <v/>
      </c>
      <c r="M327" s="237"/>
      <c r="N327" s="238"/>
      <c r="O327" s="238" t="str">
        <f t="shared" si="4"/>
        <v/>
      </c>
      <c r="P327" s="238" t="str">
        <f t="shared" si="5"/>
        <v/>
      </c>
      <c r="Q327" s="238" t="str">
        <f t="shared" si="6"/>
        <v/>
      </c>
      <c r="R327" s="238" t="str">
        <f t="shared" si="7"/>
        <v/>
      </c>
      <c r="S327" s="238" t="str">
        <f t="shared" si="8"/>
        <v/>
      </c>
      <c r="T327" s="238"/>
      <c r="U327" s="237"/>
      <c r="V327" s="238"/>
      <c r="W327" s="238" t="str">
        <f t="shared" si="9"/>
        <v/>
      </c>
      <c r="X327" s="237" t="str">
        <f t="shared" ref="X327:Y327" si="319">IF(ISBLANK(H327),,""""&amp;H327&amp;"""")</f>
        <v/>
      </c>
      <c r="Y327" s="237" t="str">
        <f t="shared" si="319"/>
        <v/>
      </c>
      <c r="Z327" s="237" t="str">
        <f>IF(ISBLANK(K327),,Config!$C$3&amp;"&amp;range=BB"&amp;MATCH(K327,FRG!AE:AE,0))</f>
        <v/>
      </c>
      <c r="AB327" s="242" t="str">
        <f>IFERROR(__xludf.DUMMYFUNCTION("IF(ISBLANK(K327),,SUBSTITUTE(IFERROR(JOIN("","",K327:Z327),JOIN("","",K327:Y327)),CHAR(10),""""))"),"")</f>
        <v/>
      </c>
      <c r="AC327" s="229" t="str">
        <f t="shared" si="1"/>
        <v/>
      </c>
    </row>
    <row r="328">
      <c r="K328" s="237"/>
      <c r="L328" s="238" t="str">
        <f t="shared" si="3"/>
        <v/>
      </c>
      <c r="M328" s="237"/>
      <c r="N328" s="238"/>
      <c r="O328" s="238" t="str">
        <f t="shared" si="4"/>
        <v/>
      </c>
      <c r="P328" s="238" t="str">
        <f t="shared" si="5"/>
        <v/>
      </c>
      <c r="Q328" s="238" t="str">
        <f t="shared" si="6"/>
        <v/>
      </c>
      <c r="R328" s="238" t="str">
        <f t="shared" si="7"/>
        <v/>
      </c>
      <c r="S328" s="238" t="str">
        <f t="shared" si="8"/>
        <v/>
      </c>
      <c r="T328" s="238"/>
      <c r="U328" s="237"/>
      <c r="V328" s="238"/>
      <c r="W328" s="238" t="str">
        <f t="shared" si="9"/>
        <v/>
      </c>
      <c r="X328" s="237" t="str">
        <f t="shared" ref="X328:Y328" si="320">IF(ISBLANK(H328),,""""&amp;H328&amp;"""")</f>
        <v/>
      </c>
      <c r="Y328" s="237" t="str">
        <f t="shared" si="320"/>
        <v/>
      </c>
      <c r="Z328" s="237" t="str">
        <f>IF(ISBLANK(K328),,Config!$C$3&amp;"&amp;range=BB"&amp;MATCH(K328,FRG!AE:AE,0))</f>
        <v/>
      </c>
      <c r="AB328" s="242" t="str">
        <f>IFERROR(__xludf.DUMMYFUNCTION("IF(ISBLANK(K328),,SUBSTITUTE(IFERROR(JOIN("","",K328:Z328),JOIN("","",K328:Y328)),CHAR(10),""""))"),"")</f>
        <v/>
      </c>
      <c r="AC328" s="229" t="str">
        <f t="shared" si="1"/>
        <v/>
      </c>
    </row>
    <row r="329">
      <c r="K329" s="237"/>
      <c r="L329" s="238" t="str">
        <f t="shared" si="3"/>
        <v/>
      </c>
      <c r="M329" s="237"/>
      <c r="N329" s="238"/>
      <c r="O329" s="238" t="str">
        <f t="shared" si="4"/>
        <v/>
      </c>
      <c r="P329" s="238" t="str">
        <f t="shared" si="5"/>
        <v/>
      </c>
      <c r="Q329" s="238" t="str">
        <f t="shared" si="6"/>
        <v/>
      </c>
      <c r="R329" s="238" t="str">
        <f t="shared" si="7"/>
        <v/>
      </c>
      <c r="S329" s="238" t="str">
        <f t="shared" si="8"/>
        <v/>
      </c>
      <c r="T329" s="238"/>
      <c r="U329" s="237"/>
      <c r="V329" s="238"/>
      <c r="W329" s="238" t="str">
        <f t="shared" si="9"/>
        <v/>
      </c>
      <c r="X329" s="237" t="str">
        <f t="shared" ref="X329:Y329" si="321">IF(ISBLANK(H329),,""""&amp;H329&amp;"""")</f>
        <v/>
      </c>
      <c r="Y329" s="237" t="str">
        <f t="shared" si="321"/>
        <v/>
      </c>
      <c r="Z329" s="237" t="str">
        <f>IF(ISBLANK(K329),,Config!$C$3&amp;"&amp;range=BB"&amp;MATCH(K329,FRG!AE:AE,0))</f>
        <v/>
      </c>
      <c r="AB329" s="242" t="str">
        <f>IFERROR(__xludf.DUMMYFUNCTION("IF(ISBLANK(K329),,SUBSTITUTE(IFERROR(JOIN("","",K329:Z329),JOIN("","",K329:Y329)),CHAR(10),""""))"),"")</f>
        <v/>
      </c>
      <c r="AC329" s="229" t="str">
        <f t="shared" si="1"/>
        <v/>
      </c>
    </row>
    <row r="330">
      <c r="K330" s="237"/>
      <c r="L330" s="238" t="str">
        <f t="shared" si="3"/>
        <v/>
      </c>
      <c r="M330" s="237"/>
      <c r="N330" s="238"/>
      <c r="O330" s="238" t="str">
        <f t="shared" si="4"/>
        <v/>
      </c>
      <c r="P330" s="238" t="str">
        <f t="shared" si="5"/>
        <v/>
      </c>
      <c r="Q330" s="238" t="str">
        <f t="shared" si="6"/>
        <v/>
      </c>
      <c r="R330" s="238" t="str">
        <f t="shared" si="7"/>
        <v/>
      </c>
      <c r="S330" s="238" t="str">
        <f t="shared" si="8"/>
        <v/>
      </c>
      <c r="T330" s="238"/>
      <c r="U330" s="237"/>
      <c r="V330" s="238"/>
      <c r="W330" s="238" t="str">
        <f t="shared" si="9"/>
        <v/>
      </c>
      <c r="X330" s="237" t="str">
        <f t="shared" ref="X330:Y330" si="322">IF(ISBLANK(H330),,""""&amp;H330&amp;"""")</f>
        <v/>
      </c>
      <c r="Y330" s="237" t="str">
        <f t="shared" si="322"/>
        <v/>
      </c>
      <c r="Z330" s="237" t="str">
        <f>IF(ISBLANK(K330),,Config!$C$3&amp;"&amp;range=BB"&amp;MATCH(K330,FRG!AE:AE,0))</f>
        <v/>
      </c>
      <c r="AB330" s="242" t="str">
        <f>IFERROR(__xludf.DUMMYFUNCTION("IF(ISBLANK(K330),,SUBSTITUTE(IFERROR(JOIN("","",K330:Z330),JOIN("","",K330:Y330)),CHAR(10),""""))"),"")</f>
        <v/>
      </c>
      <c r="AC330" s="229" t="str">
        <f t="shared" si="1"/>
        <v/>
      </c>
    </row>
    <row r="331">
      <c r="K331" s="237"/>
      <c r="L331" s="238" t="str">
        <f t="shared" si="3"/>
        <v/>
      </c>
      <c r="M331" s="237"/>
      <c r="N331" s="238"/>
      <c r="O331" s="238" t="str">
        <f t="shared" si="4"/>
        <v/>
      </c>
      <c r="P331" s="238" t="str">
        <f t="shared" si="5"/>
        <v/>
      </c>
      <c r="Q331" s="238" t="str">
        <f t="shared" si="6"/>
        <v/>
      </c>
      <c r="R331" s="238" t="str">
        <f t="shared" si="7"/>
        <v/>
      </c>
      <c r="S331" s="238" t="str">
        <f t="shared" si="8"/>
        <v/>
      </c>
      <c r="T331" s="238"/>
      <c r="U331" s="237"/>
      <c r="V331" s="238"/>
      <c r="W331" s="238" t="str">
        <f t="shared" si="9"/>
        <v/>
      </c>
      <c r="X331" s="237" t="str">
        <f t="shared" ref="X331:Y331" si="323">IF(ISBLANK(H331),,""""&amp;H331&amp;"""")</f>
        <v/>
      </c>
      <c r="Y331" s="237" t="str">
        <f t="shared" si="323"/>
        <v/>
      </c>
      <c r="Z331" s="237" t="str">
        <f>IF(ISBLANK(K331),,Config!$C$3&amp;"&amp;range=BB"&amp;MATCH(K331,FRG!AE:AE,0))</f>
        <v/>
      </c>
      <c r="AB331" s="242" t="str">
        <f>IFERROR(__xludf.DUMMYFUNCTION("IF(ISBLANK(K331),,SUBSTITUTE(IFERROR(JOIN("","",K331:Z331),JOIN("","",K331:Y331)),CHAR(10),""""))"),"")</f>
        <v/>
      </c>
      <c r="AC331" s="229" t="str">
        <f t="shared" si="1"/>
        <v/>
      </c>
    </row>
    <row r="332">
      <c r="K332" s="237"/>
      <c r="L332" s="238" t="str">
        <f t="shared" si="3"/>
        <v/>
      </c>
      <c r="M332" s="237"/>
      <c r="N332" s="238"/>
      <c r="O332" s="238" t="str">
        <f t="shared" si="4"/>
        <v/>
      </c>
      <c r="P332" s="238" t="str">
        <f t="shared" si="5"/>
        <v/>
      </c>
      <c r="Q332" s="238" t="str">
        <f t="shared" si="6"/>
        <v/>
      </c>
      <c r="R332" s="238" t="str">
        <f t="shared" si="7"/>
        <v/>
      </c>
      <c r="S332" s="238" t="str">
        <f t="shared" si="8"/>
        <v/>
      </c>
      <c r="T332" s="238"/>
      <c r="U332" s="237"/>
      <c r="V332" s="238"/>
      <c r="W332" s="238" t="str">
        <f t="shared" si="9"/>
        <v/>
      </c>
      <c r="X332" s="237" t="str">
        <f t="shared" ref="X332:Y332" si="324">IF(ISBLANK(H332),,""""&amp;H332&amp;"""")</f>
        <v/>
      </c>
      <c r="Y332" s="237" t="str">
        <f t="shared" si="324"/>
        <v/>
      </c>
      <c r="Z332" s="237" t="str">
        <f>IF(ISBLANK(K332),,Config!$C$3&amp;"&amp;range=BB"&amp;MATCH(K332,FRG!AE:AE,0))</f>
        <v/>
      </c>
      <c r="AB332" s="242" t="str">
        <f>IFERROR(__xludf.DUMMYFUNCTION("IF(ISBLANK(K332),,SUBSTITUTE(IFERROR(JOIN("","",K332:Z332),JOIN("","",K332:Y332)),CHAR(10),""""))"),"")</f>
        <v/>
      </c>
      <c r="AC332" s="229" t="str">
        <f t="shared" si="1"/>
        <v/>
      </c>
    </row>
    <row r="333">
      <c r="K333" s="237"/>
      <c r="L333" s="238" t="str">
        <f t="shared" si="3"/>
        <v/>
      </c>
      <c r="M333" s="237"/>
      <c r="N333" s="238"/>
      <c r="O333" s="238" t="str">
        <f t="shared" si="4"/>
        <v/>
      </c>
      <c r="P333" s="238" t="str">
        <f t="shared" si="5"/>
        <v/>
      </c>
      <c r="Q333" s="238" t="str">
        <f t="shared" si="6"/>
        <v/>
      </c>
      <c r="R333" s="238" t="str">
        <f t="shared" si="7"/>
        <v/>
      </c>
      <c r="S333" s="238" t="str">
        <f t="shared" si="8"/>
        <v/>
      </c>
      <c r="T333" s="238"/>
      <c r="U333" s="237"/>
      <c r="V333" s="238"/>
      <c r="W333" s="238" t="str">
        <f t="shared" si="9"/>
        <v/>
      </c>
      <c r="X333" s="237" t="str">
        <f t="shared" ref="X333:Y333" si="325">IF(ISBLANK(H333),,""""&amp;H333&amp;"""")</f>
        <v/>
      </c>
      <c r="Y333" s="237" t="str">
        <f t="shared" si="325"/>
        <v/>
      </c>
      <c r="Z333" s="237" t="str">
        <f>IF(ISBLANK(K333),,Config!$C$3&amp;"&amp;range=BB"&amp;MATCH(K333,FRG!AE:AE,0))</f>
        <v/>
      </c>
      <c r="AB333" s="242" t="str">
        <f>IFERROR(__xludf.DUMMYFUNCTION("IF(ISBLANK(K333),,SUBSTITUTE(IFERROR(JOIN("","",K333:Z333),JOIN("","",K333:Y333)),CHAR(10),""""))"),"")</f>
        <v/>
      </c>
      <c r="AC333" s="229" t="str">
        <f t="shared" si="1"/>
        <v/>
      </c>
    </row>
    <row r="334">
      <c r="K334" s="237"/>
      <c r="L334" s="238" t="str">
        <f t="shared" si="3"/>
        <v/>
      </c>
      <c r="M334" s="237"/>
      <c r="N334" s="238"/>
      <c r="O334" s="238" t="str">
        <f t="shared" si="4"/>
        <v/>
      </c>
      <c r="P334" s="238" t="str">
        <f t="shared" si="5"/>
        <v/>
      </c>
      <c r="Q334" s="238" t="str">
        <f t="shared" si="6"/>
        <v/>
      </c>
      <c r="R334" s="238" t="str">
        <f t="shared" si="7"/>
        <v/>
      </c>
      <c r="S334" s="238" t="str">
        <f t="shared" si="8"/>
        <v/>
      </c>
      <c r="T334" s="238"/>
      <c r="U334" s="237"/>
      <c r="V334" s="238"/>
      <c r="W334" s="238" t="str">
        <f t="shared" si="9"/>
        <v/>
      </c>
      <c r="X334" s="237" t="str">
        <f t="shared" ref="X334:Y334" si="326">IF(ISBLANK(H334),,""""&amp;H334&amp;"""")</f>
        <v/>
      </c>
      <c r="Y334" s="237" t="str">
        <f t="shared" si="326"/>
        <v/>
      </c>
      <c r="Z334" s="237" t="str">
        <f>IF(ISBLANK(K334),,Config!$C$3&amp;"&amp;range=BB"&amp;MATCH(K334,FRG!AE:AE,0))</f>
        <v/>
      </c>
      <c r="AB334" s="242" t="str">
        <f>IFERROR(__xludf.DUMMYFUNCTION("IF(ISBLANK(K334),,SUBSTITUTE(IFERROR(JOIN("","",K334:Z334),JOIN("","",K334:Y334)),CHAR(10),""""))"),"")</f>
        <v/>
      </c>
      <c r="AC334" s="229" t="str">
        <f t="shared" si="1"/>
        <v/>
      </c>
    </row>
    <row r="335">
      <c r="K335" s="237"/>
      <c r="L335" s="238" t="str">
        <f t="shared" si="3"/>
        <v/>
      </c>
      <c r="M335" s="237"/>
      <c r="N335" s="238"/>
      <c r="O335" s="238" t="str">
        <f t="shared" si="4"/>
        <v/>
      </c>
      <c r="P335" s="238" t="str">
        <f t="shared" si="5"/>
        <v/>
      </c>
      <c r="Q335" s="238" t="str">
        <f t="shared" si="6"/>
        <v/>
      </c>
      <c r="R335" s="238" t="str">
        <f t="shared" si="7"/>
        <v/>
      </c>
      <c r="S335" s="238" t="str">
        <f t="shared" si="8"/>
        <v/>
      </c>
      <c r="T335" s="238"/>
      <c r="U335" s="237"/>
      <c r="V335" s="238"/>
      <c r="W335" s="238" t="str">
        <f t="shared" si="9"/>
        <v/>
      </c>
      <c r="X335" s="237" t="str">
        <f t="shared" ref="X335:Y335" si="327">IF(ISBLANK(H335),,""""&amp;H335&amp;"""")</f>
        <v/>
      </c>
      <c r="Y335" s="237" t="str">
        <f t="shared" si="327"/>
        <v/>
      </c>
      <c r="Z335" s="237" t="str">
        <f>IF(ISBLANK(K335),,Config!$C$3&amp;"&amp;range=BB"&amp;MATCH(K335,FRG!AE:AE,0))</f>
        <v/>
      </c>
      <c r="AB335" s="242" t="str">
        <f>IFERROR(__xludf.DUMMYFUNCTION("IF(ISBLANK(K335),,SUBSTITUTE(IFERROR(JOIN("","",K335:Z335),JOIN("","",K335:Y335)),CHAR(10),""""))"),"")</f>
        <v/>
      </c>
      <c r="AC335" s="229" t="str">
        <f t="shared" si="1"/>
        <v/>
      </c>
    </row>
    <row r="336">
      <c r="K336" s="237"/>
      <c r="L336" s="238" t="str">
        <f t="shared" si="3"/>
        <v/>
      </c>
      <c r="M336" s="237"/>
      <c r="N336" s="238"/>
      <c r="O336" s="238" t="str">
        <f t="shared" si="4"/>
        <v/>
      </c>
      <c r="P336" s="238" t="str">
        <f t="shared" si="5"/>
        <v/>
      </c>
      <c r="Q336" s="238" t="str">
        <f t="shared" si="6"/>
        <v/>
      </c>
      <c r="R336" s="238" t="str">
        <f t="shared" si="7"/>
        <v/>
      </c>
      <c r="S336" s="238" t="str">
        <f t="shared" si="8"/>
        <v/>
      </c>
      <c r="T336" s="238"/>
      <c r="U336" s="237"/>
      <c r="V336" s="238"/>
      <c r="W336" s="238" t="str">
        <f t="shared" si="9"/>
        <v/>
      </c>
      <c r="X336" s="237" t="str">
        <f t="shared" ref="X336:Y336" si="328">IF(ISBLANK(H336),,""""&amp;H336&amp;"""")</f>
        <v/>
      </c>
      <c r="Y336" s="237" t="str">
        <f t="shared" si="328"/>
        <v/>
      </c>
      <c r="Z336" s="237" t="str">
        <f>IF(ISBLANK(K336),,Config!$C$3&amp;"&amp;range=BB"&amp;MATCH(K336,FRG!AE:AE,0))</f>
        <v/>
      </c>
      <c r="AB336" s="242" t="str">
        <f>IFERROR(__xludf.DUMMYFUNCTION("IF(ISBLANK(K336),,SUBSTITUTE(IFERROR(JOIN("","",K336:Z336),JOIN("","",K336:Y336)),CHAR(10),""""))"),"")</f>
        <v/>
      </c>
      <c r="AC336" s="229" t="str">
        <f t="shared" si="1"/>
        <v/>
      </c>
    </row>
    <row r="337">
      <c r="K337" s="237"/>
      <c r="L337" s="238" t="str">
        <f t="shared" si="3"/>
        <v/>
      </c>
      <c r="M337" s="237"/>
      <c r="N337" s="238"/>
      <c r="O337" s="238" t="str">
        <f t="shared" si="4"/>
        <v/>
      </c>
      <c r="P337" s="238" t="str">
        <f t="shared" si="5"/>
        <v/>
      </c>
      <c r="Q337" s="238" t="str">
        <f t="shared" si="6"/>
        <v/>
      </c>
      <c r="R337" s="238" t="str">
        <f t="shared" si="7"/>
        <v/>
      </c>
      <c r="S337" s="238" t="str">
        <f t="shared" si="8"/>
        <v/>
      </c>
      <c r="T337" s="238"/>
      <c r="U337" s="237"/>
      <c r="V337" s="238"/>
      <c r="W337" s="238" t="str">
        <f t="shared" si="9"/>
        <v/>
      </c>
      <c r="X337" s="237" t="str">
        <f t="shared" ref="X337:Y337" si="329">IF(ISBLANK(H337),,""""&amp;H337&amp;"""")</f>
        <v/>
      </c>
      <c r="Y337" s="237" t="str">
        <f t="shared" si="329"/>
        <v/>
      </c>
      <c r="Z337" s="237" t="str">
        <f>IF(ISBLANK(K337),,Config!$C$3&amp;"&amp;range=BB"&amp;MATCH(K337,FRG!AE:AE,0))</f>
        <v/>
      </c>
      <c r="AB337" s="242" t="str">
        <f>IFERROR(__xludf.DUMMYFUNCTION("IF(ISBLANK(K337),,SUBSTITUTE(IFERROR(JOIN("","",K337:Z337),JOIN("","",K337:Y337)),CHAR(10),""""))"),"")</f>
        <v/>
      </c>
      <c r="AC337" s="229" t="str">
        <f t="shared" si="1"/>
        <v/>
      </c>
    </row>
    <row r="338">
      <c r="K338" s="237"/>
      <c r="L338" s="238" t="str">
        <f t="shared" si="3"/>
        <v/>
      </c>
      <c r="M338" s="237"/>
      <c r="N338" s="238"/>
      <c r="O338" s="238" t="str">
        <f t="shared" si="4"/>
        <v/>
      </c>
      <c r="P338" s="238" t="str">
        <f t="shared" si="5"/>
        <v/>
      </c>
      <c r="Q338" s="238" t="str">
        <f t="shared" si="6"/>
        <v/>
      </c>
      <c r="R338" s="238" t="str">
        <f t="shared" si="7"/>
        <v/>
      </c>
      <c r="S338" s="238" t="str">
        <f t="shared" si="8"/>
        <v/>
      </c>
      <c r="T338" s="238"/>
      <c r="U338" s="237"/>
      <c r="V338" s="238"/>
      <c r="W338" s="238" t="str">
        <f t="shared" si="9"/>
        <v/>
      </c>
      <c r="X338" s="237" t="str">
        <f t="shared" ref="X338:Y338" si="330">IF(ISBLANK(H338),,""""&amp;H338&amp;"""")</f>
        <v/>
      </c>
      <c r="Y338" s="237" t="str">
        <f t="shared" si="330"/>
        <v/>
      </c>
      <c r="Z338" s="237" t="str">
        <f>IF(ISBLANK(K338),,Config!$C$3&amp;"&amp;range=BB"&amp;MATCH(K338,FRG!AE:AE,0))</f>
        <v/>
      </c>
      <c r="AB338" s="242" t="str">
        <f>IFERROR(__xludf.DUMMYFUNCTION("IF(ISBLANK(K338),,SUBSTITUTE(IFERROR(JOIN("","",K338:Z338),JOIN("","",K338:Y338)),CHAR(10),""""))"),"")</f>
        <v/>
      </c>
      <c r="AC338" s="229" t="str">
        <f t="shared" si="1"/>
        <v/>
      </c>
    </row>
    <row r="339">
      <c r="K339" s="237"/>
      <c r="L339" s="238" t="str">
        <f t="shared" si="3"/>
        <v/>
      </c>
      <c r="M339" s="237"/>
      <c r="N339" s="238"/>
      <c r="O339" s="238" t="str">
        <f t="shared" si="4"/>
        <v/>
      </c>
      <c r="P339" s="238" t="str">
        <f t="shared" si="5"/>
        <v/>
      </c>
      <c r="Q339" s="238" t="str">
        <f t="shared" si="6"/>
        <v/>
      </c>
      <c r="R339" s="238" t="str">
        <f t="shared" si="7"/>
        <v/>
      </c>
      <c r="S339" s="238" t="str">
        <f t="shared" si="8"/>
        <v/>
      </c>
      <c r="T339" s="238"/>
      <c r="U339" s="237"/>
      <c r="V339" s="238"/>
      <c r="W339" s="238" t="str">
        <f t="shared" si="9"/>
        <v/>
      </c>
      <c r="X339" s="237" t="str">
        <f t="shared" ref="X339:Y339" si="331">IF(ISBLANK(H339),,""""&amp;H339&amp;"""")</f>
        <v/>
      </c>
      <c r="Y339" s="237" t="str">
        <f t="shared" si="331"/>
        <v/>
      </c>
      <c r="Z339" s="237" t="str">
        <f>IF(ISBLANK(K339),,Config!$C$3&amp;"&amp;range=BB"&amp;MATCH(K339,FRG!AE:AE,0))</f>
        <v/>
      </c>
      <c r="AB339" s="242" t="str">
        <f>IFERROR(__xludf.DUMMYFUNCTION("IF(ISBLANK(K339),,SUBSTITUTE(IFERROR(JOIN("","",K339:Z339),JOIN("","",K339:Y339)),CHAR(10),""""))"),"")</f>
        <v/>
      </c>
      <c r="AC339" s="229" t="str">
        <f t="shared" si="1"/>
        <v/>
      </c>
    </row>
    <row r="340">
      <c r="K340" s="237"/>
      <c r="L340" s="238" t="str">
        <f t="shared" si="3"/>
        <v/>
      </c>
      <c r="M340" s="237"/>
      <c r="N340" s="238"/>
      <c r="O340" s="238" t="str">
        <f t="shared" si="4"/>
        <v/>
      </c>
      <c r="P340" s="238" t="str">
        <f t="shared" si="5"/>
        <v/>
      </c>
      <c r="Q340" s="238" t="str">
        <f t="shared" si="6"/>
        <v/>
      </c>
      <c r="R340" s="238" t="str">
        <f t="shared" si="7"/>
        <v/>
      </c>
      <c r="S340" s="238" t="str">
        <f t="shared" si="8"/>
        <v/>
      </c>
      <c r="T340" s="238"/>
      <c r="U340" s="237"/>
      <c r="V340" s="238"/>
      <c r="W340" s="238" t="str">
        <f t="shared" si="9"/>
        <v/>
      </c>
      <c r="X340" s="237" t="str">
        <f t="shared" ref="X340:Y340" si="332">IF(ISBLANK(H340),,""""&amp;H340&amp;"""")</f>
        <v/>
      </c>
      <c r="Y340" s="237" t="str">
        <f t="shared" si="332"/>
        <v/>
      </c>
      <c r="Z340" s="237" t="str">
        <f>IF(ISBLANK(K340),,Config!$C$3&amp;"&amp;range=BB"&amp;MATCH(K340,FRG!AE:AE,0))</f>
        <v/>
      </c>
      <c r="AB340" s="242" t="str">
        <f>IFERROR(__xludf.DUMMYFUNCTION("IF(ISBLANK(K340),,SUBSTITUTE(IFERROR(JOIN("","",K340:Z340),JOIN("","",K340:Y340)),CHAR(10),""""))"),"")</f>
        <v/>
      </c>
      <c r="AC340" s="229" t="str">
        <f t="shared" si="1"/>
        <v/>
      </c>
    </row>
    <row r="341">
      <c r="K341" s="237"/>
      <c r="L341" s="238" t="str">
        <f t="shared" si="3"/>
        <v/>
      </c>
      <c r="M341" s="237"/>
      <c r="N341" s="238"/>
      <c r="O341" s="238" t="str">
        <f t="shared" si="4"/>
        <v/>
      </c>
      <c r="P341" s="238" t="str">
        <f t="shared" si="5"/>
        <v/>
      </c>
      <c r="Q341" s="238" t="str">
        <f t="shared" si="6"/>
        <v/>
      </c>
      <c r="R341" s="238" t="str">
        <f t="shared" si="7"/>
        <v/>
      </c>
      <c r="S341" s="238" t="str">
        <f t="shared" si="8"/>
        <v/>
      </c>
      <c r="T341" s="238"/>
      <c r="U341" s="237"/>
      <c r="V341" s="238"/>
      <c r="W341" s="238" t="str">
        <f t="shared" si="9"/>
        <v/>
      </c>
      <c r="X341" s="237" t="str">
        <f t="shared" ref="X341:Y341" si="333">IF(ISBLANK(H341),,""""&amp;H341&amp;"""")</f>
        <v/>
      </c>
      <c r="Y341" s="237" t="str">
        <f t="shared" si="333"/>
        <v/>
      </c>
      <c r="Z341" s="237" t="str">
        <f>IF(ISBLANK(K341),,Config!$C$3&amp;"&amp;range=BB"&amp;MATCH(K341,FRG!AE:AE,0))</f>
        <v/>
      </c>
      <c r="AB341" s="242" t="str">
        <f>IFERROR(__xludf.DUMMYFUNCTION("IF(ISBLANK(K341),,SUBSTITUTE(IFERROR(JOIN("","",K341:Z341),JOIN("","",K341:Y341)),CHAR(10),""""))"),"")</f>
        <v/>
      </c>
      <c r="AC341" s="229" t="str">
        <f t="shared" si="1"/>
        <v/>
      </c>
    </row>
    <row r="342">
      <c r="K342" s="237"/>
      <c r="L342" s="238" t="str">
        <f t="shared" si="3"/>
        <v/>
      </c>
      <c r="M342" s="237"/>
      <c r="N342" s="238"/>
      <c r="O342" s="238" t="str">
        <f t="shared" si="4"/>
        <v/>
      </c>
      <c r="P342" s="238" t="str">
        <f t="shared" si="5"/>
        <v/>
      </c>
      <c r="Q342" s="238" t="str">
        <f t="shared" si="6"/>
        <v/>
      </c>
      <c r="R342" s="238" t="str">
        <f t="shared" si="7"/>
        <v/>
      </c>
      <c r="S342" s="238" t="str">
        <f t="shared" si="8"/>
        <v/>
      </c>
      <c r="T342" s="238"/>
      <c r="U342" s="237"/>
      <c r="V342" s="238"/>
      <c r="W342" s="238" t="str">
        <f t="shared" si="9"/>
        <v/>
      </c>
      <c r="X342" s="237" t="str">
        <f t="shared" ref="X342:Y342" si="334">IF(ISBLANK(H342),,""""&amp;H342&amp;"""")</f>
        <v/>
      </c>
      <c r="Y342" s="237" t="str">
        <f t="shared" si="334"/>
        <v/>
      </c>
      <c r="Z342" s="237" t="str">
        <f>IF(ISBLANK(K342),,Config!$C$3&amp;"&amp;range=BB"&amp;MATCH(K342,FRG!AE:AE,0))</f>
        <v/>
      </c>
      <c r="AB342" s="242" t="str">
        <f>IFERROR(__xludf.DUMMYFUNCTION("IF(ISBLANK(K342),,SUBSTITUTE(IFERROR(JOIN("","",K342:Z342),JOIN("","",K342:Y342)),CHAR(10),""""))"),"")</f>
        <v/>
      </c>
      <c r="AC342" s="229" t="str">
        <f t="shared" si="1"/>
        <v/>
      </c>
    </row>
    <row r="343">
      <c r="K343" s="237"/>
      <c r="L343" s="238" t="str">
        <f t="shared" si="3"/>
        <v/>
      </c>
      <c r="M343" s="237"/>
      <c r="N343" s="238"/>
      <c r="O343" s="238" t="str">
        <f t="shared" si="4"/>
        <v/>
      </c>
      <c r="P343" s="238" t="str">
        <f t="shared" si="5"/>
        <v/>
      </c>
      <c r="Q343" s="238" t="str">
        <f t="shared" si="6"/>
        <v/>
      </c>
      <c r="R343" s="238" t="str">
        <f t="shared" si="7"/>
        <v/>
      </c>
      <c r="S343" s="238" t="str">
        <f t="shared" si="8"/>
        <v/>
      </c>
      <c r="T343" s="238"/>
      <c r="U343" s="237"/>
      <c r="V343" s="238"/>
      <c r="W343" s="238" t="str">
        <f t="shared" si="9"/>
        <v/>
      </c>
      <c r="X343" s="237" t="str">
        <f t="shared" ref="X343:Y343" si="335">IF(ISBLANK(H343),,""""&amp;H343&amp;"""")</f>
        <v/>
      </c>
      <c r="Y343" s="237" t="str">
        <f t="shared" si="335"/>
        <v/>
      </c>
      <c r="Z343" s="237" t="str">
        <f>IF(ISBLANK(K343),,Config!$C$3&amp;"&amp;range=BB"&amp;MATCH(K343,FRG!AE:AE,0))</f>
        <v/>
      </c>
      <c r="AB343" s="242" t="str">
        <f>IFERROR(__xludf.DUMMYFUNCTION("IF(ISBLANK(K343),,SUBSTITUTE(IFERROR(JOIN("","",K343:Z343),JOIN("","",K343:Y343)),CHAR(10),""""))"),"")</f>
        <v/>
      </c>
      <c r="AC343" s="229" t="str">
        <f t="shared" si="1"/>
        <v/>
      </c>
    </row>
    <row r="344">
      <c r="K344" s="237"/>
      <c r="L344" s="238" t="str">
        <f t="shared" si="3"/>
        <v/>
      </c>
      <c r="M344" s="237"/>
      <c r="N344" s="238"/>
      <c r="O344" s="238" t="str">
        <f t="shared" si="4"/>
        <v/>
      </c>
      <c r="P344" s="238" t="str">
        <f t="shared" si="5"/>
        <v/>
      </c>
      <c r="Q344" s="238" t="str">
        <f t="shared" si="6"/>
        <v/>
      </c>
      <c r="R344" s="238" t="str">
        <f t="shared" si="7"/>
        <v/>
      </c>
      <c r="S344" s="238" t="str">
        <f t="shared" si="8"/>
        <v/>
      </c>
      <c r="T344" s="238"/>
      <c r="U344" s="237"/>
      <c r="V344" s="238"/>
      <c r="W344" s="238" t="str">
        <f t="shared" si="9"/>
        <v/>
      </c>
      <c r="X344" s="237" t="str">
        <f t="shared" ref="X344:Y344" si="336">IF(ISBLANK(H344),,""""&amp;H344&amp;"""")</f>
        <v/>
      </c>
      <c r="Y344" s="237" t="str">
        <f t="shared" si="336"/>
        <v/>
      </c>
      <c r="Z344" s="237" t="str">
        <f>IF(ISBLANK(K344),,Config!$C$3&amp;"&amp;range=BB"&amp;MATCH(K344,FRG!AE:AE,0))</f>
        <v/>
      </c>
      <c r="AB344" s="242" t="str">
        <f>IFERROR(__xludf.DUMMYFUNCTION("IF(ISBLANK(K344),,SUBSTITUTE(IFERROR(JOIN("","",K344:Z344),JOIN("","",K344:Y344)),CHAR(10),""""))"),"")</f>
        <v/>
      </c>
      <c r="AC344" s="229" t="str">
        <f t="shared" si="1"/>
        <v/>
      </c>
    </row>
    <row r="345">
      <c r="K345" s="237"/>
      <c r="L345" s="238" t="str">
        <f t="shared" si="3"/>
        <v/>
      </c>
      <c r="M345" s="237"/>
      <c r="N345" s="238"/>
      <c r="O345" s="238" t="str">
        <f t="shared" si="4"/>
        <v/>
      </c>
      <c r="P345" s="238" t="str">
        <f t="shared" si="5"/>
        <v/>
      </c>
      <c r="Q345" s="238" t="str">
        <f t="shared" si="6"/>
        <v/>
      </c>
      <c r="R345" s="238" t="str">
        <f t="shared" si="7"/>
        <v/>
      </c>
      <c r="S345" s="238" t="str">
        <f t="shared" si="8"/>
        <v/>
      </c>
      <c r="T345" s="238"/>
      <c r="U345" s="237"/>
      <c r="V345" s="238"/>
      <c r="W345" s="238" t="str">
        <f t="shared" si="9"/>
        <v/>
      </c>
      <c r="X345" s="237" t="str">
        <f t="shared" ref="X345:Y345" si="337">IF(ISBLANK(H345),,""""&amp;H345&amp;"""")</f>
        <v/>
      </c>
      <c r="Y345" s="237" t="str">
        <f t="shared" si="337"/>
        <v/>
      </c>
      <c r="Z345" s="237" t="str">
        <f>IF(ISBLANK(K345),,Config!$C$3&amp;"&amp;range=BB"&amp;MATCH(K345,FRG!AE:AE,0))</f>
        <v/>
      </c>
      <c r="AB345" s="242" t="str">
        <f>IFERROR(__xludf.DUMMYFUNCTION("IF(ISBLANK(K345),,SUBSTITUTE(IFERROR(JOIN("","",K345:Z345),JOIN("","",K345:Y345)),CHAR(10),""""))"),"")</f>
        <v/>
      </c>
      <c r="AC345" s="229" t="str">
        <f t="shared" si="1"/>
        <v/>
      </c>
    </row>
    <row r="346">
      <c r="K346" s="237"/>
      <c r="L346" s="238" t="str">
        <f t="shared" si="3"/>
        <v/>
      </c>
      <c r="M346" s="237"/>
      <c r="N346" s="238"/>
      <c r="O346" s="238" t="str">
        <f t="shared" si="4"/>
        <v/>
      </c>
      <c r="P346" s="238" t="str">
        <f t="shared" si="5"/>
        <v/>
      </c>
      <c r="Q346" s="238" t="str">
        <f t="shared" si="6"/>
        <v/>
      </c>
      <c r="R346" s="238" t="str">
        <f t="shared" si="7"/>
        <v/>
      </c>
      <c r="S346" s="238" t="str">
        <f t="shared" si="8"/>
        <v/>
      </c>
      <c r="T346" s="238"/>
      <c r="U346" s="237"/>
      <c r="V346" s="238"/>
      <c r="W346" s="238" t="str">
        <f t="shared" si="9"/>
        <v/>
      </c>
      <c r="X346" s="237" t="str">
        <f t="shared" ref="X346:Y346" si="338">IF(ISBLANK(H346),,""""&amp;H346&amp;"""")</f>
        <v/>
      </c>
      <c r="Y346" s="237" t="str">
        <f t="shared" si="338"/>
        <v/>
      </c>
      <c r="Z346" s="237" t="str">
        <f>IF(ISBLANK(K346),,Config!$C$3&amp;"&amp;range=BB"&amp;MATCH(K346,FRG!AE:AE,0))</f>
        <v/>
      </c>
      <c r="AB346" s="242" t="str">
        <f>IFERROR(__xludf.DUMMYFUNCTION("IF(ISBLANK(K346),,SUBSTITUTE(IFERROR(JOIN("","",K346:Z346),JOIN("","",K346:Y346)),CHAR(10),""""))"),"")</f>
        <v/>
      </c>
      <c r="AC346" s="229" t="str">
        <f t="shared" si="1"/>
        <v/>
      </c>
    </row>
    <row r="347">
      <c r="K347" s="237"/>
      <c r="L347" s="238" t="str">
        <f t="shared" si="3"/>
        <v/>
      </c>
      <c r="M347" s="237"/>
      <c r="N347" s="238"/>
      <c r="O347" s="238" t="str">
        <f t="shared" si="4"/>
        <v/>
      </c>
      <c r="P347" s="238" t="str">
        <f t="shared" si="5"/>
        <v/>
      </c>
      <c r="Q347" s="238" t="str">
        <f t="shared" si="6"/>
        <v/>
      </c>
      <c r="R347" s="238" t="str">
        <f t="shared" si="7"/>
        <v/>
      </c>
      <c r="S347" s="238" t="str">
        <f t="shared" si="8"/>
        <v/>
      </c>
      <c r="T347" s="238"/>
      <c r="U347" s="237"/>
      <c r="V347" s="238"/>
      <c r="W347" s="238" t="str">
        <f t="shared" si="9"/>
        <v/>
      </c>
      <c r="X347" s="237" t="str">
        <f t="shared" ref="X347:Y347" si="339">IF(ISBLANK(H347),,""""&amp;H347&amp;"""")</f>
        <v/>
      </c>
      <c r="Y347" s="237" t="str">
        <f t="shared" si="339"/>
        <v/>
      </c>
      <c r="Z347" s="237" t="str">
        <f>IF(ISBLANK(K347),,Config!$C$3&amp;"&amp;range=BB"&amp;MATCH(K347,FRG!AE:AE,0))</f>
        <v/>
      </c>
      <c r="AB347" s="242" t="str">
        <f>IFERROR(__xludf.DUMMYFUNCTION("IF(ISBLANK(K347),,SUBSTITUTE(IFERROR(JOIN("","",K347:Z347),JOIN("","",K347:Y347)),CHAR(10),""""))"),"")</f>
        <v/>
      </c>
      <c r="AC347" s="229" t="str">
        <f t="shared" si="1"/>
        <v/>
      </c>
    </row>
    <row r="348">
      <c r="K348" s="237"/>
      <c r="L348" s="238" t="str">
        <f t="shared" si="3"/>
        <v/>
      </c>
      <c r="M348" s="237"/>
      <c r="N348" s="238"/>
      <c r="O348" s="238" t="str">
        <f t="shared" si="4"/>
        <v/>
      </c>
      <c r="P348" s="238" t="str">
        <f t="shared" si="5"/>
        <v/>
      </c>
      <c r="Q348" s="238" t="str">
        <f t="shared" si="6"/>
        <v/>
      </c>
      <c r="R348" s="238" t="str">
        <f t="shared" si="7"/>
        <v/>
      </c>
      <c r="S348" s="238" t="str">
        <f t="shared" si="8"/>
        <v/>
      </c>
      <c r="T348" s="238"/>
      <c r="U348" s="237"/>
      <c r="V348" s="238"/>
      <c r="W348" s="238" t="str">
        <f t="shared" si="9"/>
        <v/>
      </c>
      <c r="X348" s="237" t="str">
        <f t="shared" ref="X348:Y348" si="340">IF(ISBLANK(H348),,""""&amp;H348&amp;"""")</f>
        <v/>
      </c>
      <c r="Y348" s="237" t="str">
        <f t="shared" si="340"/>
        <v/>
      </c>
      <c r="Z348" s="237" t="str">
        <f>IF(ISBLANK(K348),,Config!$C$3&amp;"&amp;range=BB"&amp;MATCH(K348,FRG!AE:AE,0))</f>
        <v/>
      </c>
      <c r="AB348" s="242" t="str">
        <f>IFERROR(__xludf.DUMMYFUNCTION("IF(ISBLANK(K348),,SUBSTITUTE(IFERROR(JOIN("","",K348:Z348),JOIN("","",K348:Y348)),CHAR(10),""""))"),"")</f>
        <v/>
      </c>
      <c r="AC348" s="229" t="str">
        <f t="shared" si="1"/>
        <v/>
      </c>
    </row>
    <row r="349">
      <c r="K349" s="237"/>
      <c r="L349" s="238" t="str">
        <f t="shared" si="3"/>
        <v/>
      </c>
      <c r="M349" s="237"/>
      <c r="N349" s="238"/>
      <c r="O349" s="238" t="str">
        <f t="shared" si="4"/>
        <v/>
      </c>
      <c r="P349" s="238" t="str">
        <f t="shared" si="5"/>
        <v/>
      </c>
      <c r="Q349" s="238" t="str">
        <f t="shared" si="6"/>
        <v/>
      </c>
      <c r="R349" s="238" t="str">
        <f t="shared" si="7"/>
        <v/>
      </c>
      <c r="S349" s="238" t="str">
        <f t="shared" si="8"/>
        <v/>
      </c>
      <c r="T349" s="238"/>
      <c r="U349" s="237"/>
      <c r="V349" s="238"/>
      <c r="W349" s="238" t="str">
        <f t="shared" si="9"/>
        <v/>
      </c>
      <c r="X349" s="237" t="str">
        <f t="shared" ref="X349:Y349" si="341">IF(ISBLANK(H349),,""""&amp;H349&amp;"""")</f>
        <v/>
      </c>
      <c r="Y349" s="237" t="str">
        <f t="shared" si="341"/>
        <v/>
      </c>
      <c r="Z349" s="237" t="str">
        <f>IF(ISBLANK(K349),,Config!$C$3&amp;"&amp;range=BB"&amp;MATCH(K349,FRG!AE:AE,0))</f>
        <v/>
      </c>
      <c r="AB349" s="242" t="str">
        <f>IFERROR(__xludf.DUMMYFUNCTION("IF(ISBLANK(K349),,SUBSTITUTE(IFERROR(JOIN("","",K349:Z349),JOIN("","",K349:Y349)),CHAR(10),""""))"),"")</f>
        <v/>
      </c>
      <c r="AC349" s="229" t="str">
        <f t="shared" si="1"/>
        <v/>
      </c>
    </row>
    <row r="350">
      <c r="K350" s="237"/>
      <c r="L350" s="238" t="str">
        <f t="shared" si="3"/>
        <v/>
      </c>
      <c r="M350" s="237"/>
      <c r="N350" s="238"/>
      <c r="O350" s="238" t="str">
        <f t="shared" si="4"/>
        <v/>
      </c>
      <c r="P350" s="238" t="str">
        <f t="shared" si="5"/>
        <v/>
      </c>
      <c r="Q350" s="238" t="str">
        <f t="shared" si="6"/>
        <v/>
      </c>
      <c r="R350" s="238" t="str">
        <f t="shared" si="7"/>
        <v/>
      </c>
      <c r="S350" s="238" t="str">
        <f t="shared" si="8"/>
        <v/>
      </c>
      <c r="T350" s="238"/>
      <c r="U350" s="237"/>
      <c r="V350" s="238"/>
      <c r="W350" s="238" t="str">
        <f t="shared" si="9"/>
        <v/>
      </c>
      <c r="X350" s="237" t="str">
        <f t="shared" ref="X350:Y350" si="342">IF(ISBLANK(H350),,""""&amp;H350&amp;"""")</f>
        <v/>
      </c>
      <c r="Y350" s="237" t="str">
        <f t="shared" si="342"/>
        <v/>
      </c>
      <c r="Z350" s="237" t="str">
        <f>IF(ISBLANK(K350),,Config!$C$3&amp;"&amp;range=BB"&amp;MATCH(K350,FRG!AE:AE,0))</f>
        <v/>
      </c>
      <c r="AB350" s="242" t="str">
        <f>IFERROR(__xludf.DUMMYFUNCTION("IF(ISBLANK(K350),,SUBSTITUTE(IFERROR(JOIN("","",K350:Z350),JOIN("","",K350:Y350)),CHAR(10),""""))"),"")</f>
        <v/>
      </c>
      <c r="AC350" s="229" t="str">
        <f t="shared" si="1"/>
        <v/>
      </c>
    </row>
    <row r="351">
      <c r="K351" s="237"/>
      <c r="L351" s="238" t="str">
        <f t="shared" si="3"/>
        <v/>
      </c>
      <c r="M351" s="237"/>
      <c r="N351" s="238"/>
      <c r="O351" s="238" t="str">
        <f t="shared" si="4"/>
        <v/>
      </c>
      <c r="P351" s="238" t="str">
        <f t="shared" si="5"/>
        <v/>
      </c>
      <c r="Q351" s="238" t="str">
        <f t="shared" si="6"/>
        <v/>
      </c>
      <c r="R351" s="238" t="str">
        <f t="shared" si="7"/>
        <v/>
      </c>
      <c r="S351" s="238" t="str">
        <f t="shared" si="8"/>
        <v/>
      </c>
      <c r="T351" s="238"/>
      <c r="U351" s="237"/>
      <c r="V351" s="238"/>
      <c r="W351" s="238" t="str">
        <f t="shared" si="9"/>
        <v/>
      </c>
      <c r="X351" s="237" t="str">
        <f t="shared" ref="X351:Y351" si="343">IF(ISBLANK(H351),,""""&amp;H351&amp;"""")</f>
        <v/>
      </c>
      <c r="Y351" s="237" t="str">
        <f t="shared" si="343"/>
        <v/>
      </c>
      <c r="Z351" s="237" t="str">
        <f>IF(ISBLANK(K351),,Config!$C$3&amp;"&amp;range=BB"&amp;MATCH(K351,FRG!AE:AE,0))</f>
        <v/>
      </c>
      <c r="AB351" s="242" t="str">
        <f>IFERROR(__xludf.DUMMYFUNCTION("IF(ISBLANK(K351),,SUBSTITUTE(IFERROR(JOIN("","",K351:Z351),JOIN("","",K351:Y351)),CHAR(10),""""))"),"")</f>
        <v/>
      </c>
      <c r="AC351" s="229" t="str">
        <f t="shared" si="1"/>
        <v/>
      </c>
    </row>
    <row r="352">
      <c r="K352" s="237"/>
      <c r="L352" s="238" t="str">
        <f t="shared" si="3"/>
        <v/>
      </c>
      <c r="M352" s="237"/>
      <c r="N352" s="238"/>
      <c r="O352" s="238" t="str">
        <f t="shared" si="4"/>
        <v/>
      </c>
      <c r="P352" s="238" t="str">
        <f t="shared" si="5"/>
        <v/>
      </c>
      <c r="Q352" s="238" t="str">
        <f t="shared" si="6"/>
        <v/>
      </c>
      <c r="R352" s="238" t="str">
        <f t="shared" si="7"/>
        <v/>
      </c>
      <c r="S352" s="238" t="str">
        <f t="shared" si="8"/>
        <v/>
      </c>
      <c r="T352" s="238"/>
      <c r="U352" s="237"/>
      <c r="V352" s="238"/>
      <c r="W352" s="238" t="str">
        <f t="shared" si="9"/>
        <v/>
      </c>
      <c r="X352" s="237" t="str">
        <f t="shared" ref="X352:Y352" si="344">IF(ISBLANK(H352),,""""&amp;H352&amp;"""")</f>
        <v/>
      </c>
      <c r="Y352" s="237" t="str">
        <f t="shared" si="344"/>
        <v/>
      </c>
      <c r="Z352" s="237" t="str">
        <f>IF(ISBLANK(K352),,Config!$C$3&amp;"&amp;range=BB"&amp;MATCH(K352,FRG!AE:AE,0))</f>
        <v/>
      </c>
      <c r="AB352" s="242" t="str">
        <f>IFERROR(__xludf.DUMMYFUNCTION("IF(ISBLANK(K352),,SUBSTITUTE(IFERROR(JOIN("","",K352:Z352),JOIN("","",K352:Y352)),CHAR(10),""""))"),"")</f>
        <v/>
      </c>
      <c r="AC352" s="229" t="str">
        <f t="shared" si="1"/>
        <v/>
      </c>
    </row>
    <row r="353">
      <c r="K353" s="237"/>
      <c r="L353" s="238" t="str">
        <f t="shared" si="3"/>
        <v/>
      </c>
      <c r="M353" s="237"/>
      <c r="N353" s="238"/>
      <c r="O353" s="238" t="str">
        <f t="shared" si="4"/>
        <v/>
      </c>
      <c r="P353" s="238" t="str">
        <f t="shared" si="5"/>
        <v/>
      </c>
      <c r="Q353" s="238" t="str">
        <f t="shared" si="6"/>
        <v/>
      </c>
      <c r="R353" s="238" t="str">
        <f t="shared" si="7"/>
        <v/>
      </c>
      <c r="S353" s="238" t="str">
        <f t="shared" si="8"/>
        <v/>
      </c>
      <c r="T353" s="238"/>
      <c r="U353" s="237"/>
      <c r="V353" s="238"/>
      <c r="W353" s="238" t="str">
        <f t="shared" si="9"/>
        <v/>
      </c>
      <c r="X353" s="237" t="str">
        <f t="shared" ref="X353:Y353" si="345">IF(ISBLANK(H353),,""""&amp;H353&amp;"""")</f>
        <v/>
      </c>
      <c r="Y353" s="237" t="str">
        <f t="shared" si="345"/>
        <v/>
      </c>
      <c r="Z353" s="237" t="str">
        <f>IF(ISBLANK(K353),,Config!$C$3&amp;"&amp;range=BB"&amp;MATCH(K353,FRG!AE:AE,0))</f>
        <v/>
      </c>
      <c r="AB353" s="242" t="str">
        <f>IFERROR(__xludf.DUMMYFUNCTION("IF(ISBLANK(K353),,SUBSTITUTE(IFERROR(JOIN("","",K353:Z353),JOIN("","",K353:Y353)),CHAR(10),""""))"),"")</f>
        <v/>
      </c>
      <c r="AC353" s="229" t="str">
        <f t="shared" si="1"/>
        <v/>
      </c>
    </row>
    <row r="354">
      <c r="K354" s="237"/>
      <c r="L354" s="238" t="str">
        <f t="shared" si="3"/>
        <v/>
      </c>
      <c r="M354" s="237"/>
      <c r="N354" s="238"/>
      <c r="O354" s="238" t="str">
        <f t="shared" si="4"/>
        <v/>
      </c>
      <c r="P354" s="238" t="str">
        <f t="shared" si="5"/>
        <v/>
      </c>
      <c r="Q354" s="238" t="str">
        <f t="shared" si="6"/>
        <v/>
      </c>
      <c r="R354" s="238" t="str">
        <f t="shared" si="7"/>
        <v/>
      </c>
      <c r="S354" s="238" t="str">
        <f t="shared" si="8"/>
        <v/>
      </c>
      <c r="T354" s="238"/>
      <c r="U354" s="237"/>
      <c r="V354" s="238"/>
      <c r="W354" s="238" t="str">
        <f t="shared" si="9"/>
        <v/>
      </c>
      <c r="X354" s="237" t="str">
        <f t="shared" ref="X354:Y354" si="346">IF(ISBLANK(H354),,""""&amp;H354&amp;"""")</f>
        <v/>
      </c>
      <c r="Y354" s="237" t="str">
        <f t="shared" si="346"/>
        <v/>
      </c>
      <c r="Z354" s="237" t="str">
        <f>IF(ISBLANK(K354),,Config!$C$3&amp;"&amp;range=BB"&amp;MATCH(K354,FRG!AE:AE,0))</f>
        <v/>
      </c>
      <c r="AB354" s="242" t="str">
        <f>IFERROR(__xludf.DUMMYFUNCTION("IF(ISBLANK(K354),,SUBSTITUTE(IFERROR(JOIN("","",K354:Z354),JOIN("","",K354:Y354)),CHAR(10),""""))"),"")</f>
        <v/>
      </c>
      <c r="AC354" s="229" t="str">
        <f t="shared" si="1"/>
        <v/>
      </c>
    </row>
    <row r="355">
      <c r="K355" s="237"/>
      <c r="L355" s="238" t="str">
        <f t="shared" si="3"/>
        <v/>
      </c>
      <c r="M355" s="237"/>
      <c r="N355" s="238"/>
      <c r="O355" s="238" t="str">
        <f t="shared" si="4"/>
        <v/>
      </c>
      <c r="P355" s="238" t="str">
        <f t="shared" si="5"/>
        <v/>
      </c>
      <c r="Q355" s="238" t="str">
        <f t="shared" si="6"/>
        <v/>
      </c>
      <c r="R355" s="238" t="str">
        <f t="shared" si="7"/>
        <v/>
      </c>
      <c r="S355" s="238" t="str">
        <f t="shared" si="8"/>
        <v/>
      </c>
      <c r="T355" s="238"/>
      <c r="U355" s="237"/>
      <c r="V355" s="238"/>
      <c r="W355" s="238" t="str">
        <f t="shared" si="9"/>
        <v/>
      </c>
      <c r="X355" s="237" t="str">
        <f t="shared" ref="X355:Y355" si="347">IF(ISBLANK(H355),,""""&amp;H355&amp;"""")</f>
        <v/>
      </c>
      <c r="Y355" s="237" t="str">
        <f t="shared" si="347"/>
        <v/>
      </c>
      <c r="Z355" s="237" t="str">
        <f>IF(ISBLANK(K355),,Config!$C$3&amp;"&amp;range=BB"&amp;MATCH(K355,FRG!AE:AE,0))</f>
        <v/>
      </c>
      <c r="AB355" s="242" t="str">
        <f>IFERROR(__xludf.DUMMYFUNCTION("IF(ISBLANK(K355),,SUBSTITUTE(IFERROR(JOIN("","",K355:Z355),JOIN("","",K355:Y355)),CHAR(10),""""))"),"")</f>
        <v/>
      </c>
      <c r="AC355" s="229" t="str">
        <f t="shared" si="1"/>
        <v/>
      </c>
    </row>
    <row r="356">
      <c r="K356" s="237"/>
      <c r="L356" s="238" t="str">
        <f t="shared" si="3"/>
        <v/>
      </c>
      <c r="M356" s="237"/>
      <c r="N356" s="238"/>
      <c r="O356" s="238" t="str">
        <f t="shared" si="4"/>
        <v/>
      </c>
      <c r="P356" s="238" t="str">
        <f t="shared" si="5"/>
        <v/>
      </c>
      <c r="Q356" s="238" t="str">
        <f t="shared" si="6"/>
        <v/>
      </c>
      <c r="R356" s="238" t="str">
        <f t="shared" si="7"/>
        <v/>
      </c>
      <c r="S356" s="238" t="str">
        <f t="shared" si="8"/>
        <v/>
      </c>
      <c r="T356" s="238"/>
      <c r="U356" s="237"/>
      <c r="V356" s="238"/>
      <c r="W356" s="238" t="str">
        <f t="shared" si="9"/>
        <v/>
      </c>
      <c r="X356" s="237" t="str">
        <f t="shared" ref="X356:Y356" si="348">IF(ISBLANK(H356),,""""&amp;H356&amp;"""")</f>
        <v/>
      </c>
      <c r="Y356" s="237" t="str">
        <f t="shared" si="348"/>
        <v/>
      </c>
      <c r="Z356" s="237" t="str">
        <f>IF(ISBLANK(K356),,Config!$C$3&amp;"&amp;range=BB"&amp;MATCH(K356,FRG!AE:AE,0))</f>
        <v/>
      </c>
      <c r="AB356" s="242" t="str">
        <f>IFERROR(__xludf.DUMMYFUNCTION("IF(ISBLANK(K356),,SUBSTITUTE(IFERROR(JOIN("","",K356:Z356),JOIN("","",K356:Y356)),CHAR(10),""""))"),"")</f>
        <v/>
      </c>
      <c r="AC356" s="229" t="str">
        <f t="shared" si="1"/>
        <v/>
      </c>
    </row>
    <row r="357">
      <c r="K357" s="237"/>
      <c r="L357" s="238" t="str">
        <f t="shared" si="3"/>
        <v/>
      </c>
      <c r="M357" s="237"/>
      <c r="N357" s="238"/>
      <c r="O357" s="238" t="str">
        <f t="shared" si="4"/>
        <v/>
      </c>
      <c r="P357" s="238" t="str">
        <f t="shared" si="5"/>
        <v/>
      </c>
      <c r="Q357" s="238" t="str">
        <f t="shared" si="6"/>
        <v/>
      </c>
      <c r="R357" s="238" t="str">
        <f t="shared" si="7"/>
        <v/>
      </c>
      <c r="S357" s="238" t="str">
        <f t="shared" si="8"/>
        <v/>
      </c>
      <c r="T357" s="238"/>
      <c r="U357" s="237"/>
      <c r="V357" s="238"/>
      <c r="W357" s="238" t="str">
        <f t="shared" si="9"/>
        <v/>
      </c>
      <c r="X357" s="237" t="str">
        <f t="shared" ref="X357:Y357" si="349">IF(ISBLANK(H357),,""""&amp;H357&amp;"""")</f>
        <v/>
      </c>
      <c r="Y357" s="237" t="str">
        <f t="shared" si="349"/>
        <v/>
      </c>
      <c r="Z357" s="237" t="str">
        <f>IF(ISBLANK(K357),,Config!$C$3&amp;"&amp;range=BB"&amp;MATCH(K357,FRG!AE:AE,0))</f>
        <v/>
      </c>
      <c r="AB357" s="242" t="str">
        <f>IFERROR(__xludf.DUMMYFUNCTION("IF(ISBLANK(K357),,SUBSTITUTE(IFERROR(JOIN("","",K357:Z357),JOIN("","",K357:Y357)),CHAR(10),""""))"),"")</f>
        <v/>
      </c>
      <c r="AC357" s="229" t="str">
        <f t="shared" si="1"/>
        <v/>
      </c>
    </row>
    <row r="358">
      <c r="K358" s="237"/>
      <c r="L358" s="238" t="str">
        <f t="shared" si="3"/>
        <v/>
      </c>
      <c r="M358" s="237"/>
      <c r="N358" s="238"/>
      <c r="O358" s="238" t="str">
        <f t="shared" si="4"/>
        <v/>
      </c>
      <c r="P358" s="238" t="str">
        <f t="shared" si="5"/>
        <v/>
      </c>
      <c r="Q358" s="238" t="str">
        <f t="shared" si="6"/>
        <v/>
      </c>
      <c r="R358" s="238" t="str">
        <f t="shared" si="7"/>
        <v/>
      </c>
      <c r="S358" s="238" t="str">
        <f t="shared" si="8"/>
        <v/>
      </c>
      <c r="T358" s="238"/>
      <c r="U358" s="237"/>
      <c r="V358" s="238"/>
      <c r="W358" s="238" t="str">
        <f t="shared" si="9"/>
        <v/>
      </c>
      <c r="X358" s="237" t="str">
        <f t="shared" ref="X358:Y358" si="350">IF(ISBLANK(H358),,""""&amp;H358&amp;"""")</f>
        <v/>
      </c>
      <c r="Y358" s="237" t="str">
        <f t="shared" si="350"/>
        <v/>
      </c>
      <c r="Z358" s="237" t="str">
        <f>IF(ISBLANK(K358),,Config!$C$3&amp;"&amp;range=BB"&amp;MATCH(K358,FRG!AE:AE,0))</f>
        <v/>
      </c>
      <c r="AB358" s="242" t="str">
        <f>IFERROR(__xludf.DUMMYFUNCTION("IF(ISBLANK(K358),,SUBSTITUTE(IFERROR(JOIN("","",K358:Z358),JOIN("","",K358:Y358)),CHAR(10),""""))"),"")</f>
        <v/>
      </c>
      <c r="AC358" s="229" t="str">
        <f t="shared" si="1"/>
        <v/>
      </c>
    </row>
    <row r="359">
      <c r="K359" s="237"/>
      <c r="L359" s="238" t="str">
        <f t="shared" si="3"/>
        <v/>
      </c>
      <c r="M359" s="237"/>
      <c r="N359" s="238"/>
      <c r="O359" s="238" t="str">
        <f t="shared" si="4"/>
        <v/>
      </c>
      <c r="P359" s="238" t="str">
        <f t="shared" si="5"/>
        <v/>
      </c>
      <c r="Q359" s="238" t="str">
        <f t="shared" si="6"/>
        <v/>
      </c>
      <c r="R359" s="238" t="str">
        <f t="shared" si="7"/>
        <v/>
      </c>
      <c r="S359" s="238" t="str">
        <f t="shared" si="8"/>
        <v/>
      </c>
      <c r="T359" s="238"/>
      <c r="U359" s="237"/>
      <c r="V359" s="238"/>
      <c r="W359" s="238" t="str">
        <f t="shared" si="9"/>
        <v/>
      </c>
      <c r="X359" s="237" t="str">
        <f t="shared" ref="X359:Y359" si="351">IF(ISBLANK(H359),,""""&amp;H359&amp;"""")</f>
        <v/>
      </c>
      <c r="Y359" s="237" t="str">
        <f t="shared" si="351"/>
        <v/>
      </c>
      <c r="Z359" s="237" t="str">
        <f>IF(ISBLANK(K359),,Config!$C$3&amp;"&amp;range=BB"&amp;MATCH(K359,FRG!AE:AE,0))</f>
        <v/>
      </c>
      <c r="AB359" s="242" t="str">
        <f>IFERROR(__xludf.DUMMYFUNCTION("IF(ISBLANK(K359),,SUBSTITUTE(IFERROR(JOIN("","",K359:Z359),JOIN("","",K359:Y359)),CHAR(10),""""))"),"")</f>
        <v/>
      </c>
      <c r="AC359" s="229" t="str">
        <f t="shared" si="1"/>
        <v/>
      </c>
    </row>
    <row r="360">
      <c r="K360" s="237"/>
      <c r="L360" s="238" t="str">
        <f t="shared" si="3"/>
        <v/>
      </c>
      <c r="M360" s="237"/>
      <c r="N360" s="238"/>
      <c r="O360" s="238" t="str">
        <f t="shared" si="4"/>
        <v/>
      </c>
      <c r="P360" s="238" t="str">
        <f t="shared" si="5"/>
        <v/>
      </c>
      <c r="Q360" s="238" t="str">
        <f t="shared" si="6"/>
        <v/>
      </c>
      <c r="R360" s="238" t="str">
        <f t="shared" si="7"/>
        <v/>
      </c>
      <c r="S360" s="238" t="str">
        <f t="shared" si="8"/>
        <v/>
      </c>
      <c r="T360" s="238"/>
      <c r="U360" s="237"/>
      <c r="V360" s="238"/>
      <c r="W360" s="238" t="str">
        <f t="shared" si="9"/>
        <v/>
      </c>
      <c r="X360" s="237" t="str">
        <f t="shared" ref="X360:Y360" si="352">IF(ISBLANK(H360),,""""&amp;H360&amp;"""")</f>
        <v/>
      </c>
      <c r="Y360" s="237" t="str">
        <f t="shared" si="352"/>
        <v/>
      </c>
      <c r="Z360" s="237" t="str">
        <f>IF(ISBLANK(K360),,Config!$C$3&amp;"&amp;range=BB"&amp;MATCH(K360,FRG!AE:AE,0))</f>
        <v/>
      </c>
      <c r="AB360" s="242" t="str">
        <f>IFERROR(__xludf.DUMMYFUNCTION("IF(ISBLANK(K360),,SUBSTITUTE(IFERROR(JOIN("","",K360:Z360),JOIN("","",K360:Y360)),CHAR(10),""""))"),"")</f>
        <v/>
      </c>
      <c r="AC360" s="229" t="str">
        <f t="shared" si="1"/>
        <v/>
      </c>
    </row>
    <row r="361">
      <c r="K361" s="237"/>
      <c r="L361" s="238" t="str">
        <f t="shared" si="3"/>
        <v/>
      </c>
      <c r="M361" s="237"/>
      <c r="N361" s="238"/>
      <c r="O361" s="238" t="str">
        <f t="shared" si="4"/>
        <v/>
      </c>
      <c r="P361" s="238" t="str">
        <f t="shared" si="5"/>
        <v/>
      </c>
      <c r="Q361" s="238" t="str">
        <f t="shared" si="6"/>
        <v/>
      </c>
      <c r="R361" s="238" t="str">
        <f t="shared" si="7"/>
        <v/>
      </c>
      <c r="S361" s="238" t="str">
        <f t="shared" si="8"/>
        <v/>
      </c>
      <c r="T361" s="238"/>
      <c r="U361" s="237"/>
      <c r="V361" s="238"/>
      <c r="W361" s="238" t="str">
        <f t="shared" si="9"/>
        <v/>
      </c>
      <c r="X361" s="237" t="str">
        <f t="shared" ref="X361:Y361" si="353">IF(ISBLANK(H361),,""""&amp;H361&amp;"""")</f>
        <v/>
      </c>
      <c r="Y361" s="237" t="str">
        <f t="shared" si="353"/>
        <v/>
      </c>
      <c r="Z361" s="237" t="str">
        <f>IF(ISBLANK(K361),,Config!$C$3&amp;"&amp;range=BB"&amp;MATCH(K361,FRG!AE:AE,0))</f>
        <v/>
      </c>
      <c r="AB361" s="242" t="str">
        <f>IFERROR(__xludf.DUMMYFUNCTION("IF(ISBLANK(K361),,SUBSTITUTE(IFERROR(JOIN("","",K361:Z361),JOIN("","",K361:Y361)),CHAR(10),""""))"),"")</f>
        <v/>
      </c>
      <c r="AC361" s="229" t="str">
        <f t="shared" si="1"/>
        <v/>
      </c>
    </row>
    <row r="362">
      <c r="K362" s="237"/>
      <c r="L362" s="238" t="str">
        <f t="shared" si="3"/>
        <v/>
      </c>
      <c r="M362" s="237"/>
      <c r="N362" s="238"/>
      <c r="O362" s="238" t="str">
        <f t="shared" si="4"/>
        <v/>
      </c>
      <c r="P362" s="238" t="str">
        <f t="shared" si="5"/>
        <v/>
      </c>
      <c r="Q362" s="238" t="str">
        <f t="shared" si="6"/>
        <v/>
      </c>
      <c r="R362" s="238" t="str">
        <f t="shared" si="7"/>
        <v/>
      </c>
      <c r="S362" s="238" t="str">
        <f t="shared" si="8"/>
        <v/>
      </c>
      <c r="T362" s="238"/>
      <c r="U362" s="237"/>
      <c r="V362" s="238"/>
      <c r="W362" s="238" t="str">
        <f t="shared" si="9"/>
        <v/>
      </c>
      <c r="X362" s="237" t="str">
        <f t="shared" ref="X362:Y362" si="354">IF(ISBLANK(H362),,""""&amp;H362&amp;"""")</f>
        <v/>
      </c>
      <c r="Y362" s="237" t="str">
        <f t="shared" si="354"/>
        <v/>
      </c>
      <c r="Z362" s="237" t="str">
        <f>IF(ISBLANK(K362),,Config!$C$3&amp;"&amp;range=BB"&amp;MATCH(K362,FRG!AE:AE,0))</f>
        <v/>
      </c>
      <c r="AB362" s="242" t="str">
        <f>IFERROR(__xludf.DUMMYFUNCTION("IF(ISBLANK(K362),,SUBSTITUTE(IFERROR(JOIN("","",K362:Z362),JOIN("","",K362:Y362)),CHAR(10),""""))"),"")</f>
        <v/>
      </c>
      <c r="AC362" s="229" t="str">
        <f t="shared" si="1"/>
        <v/>
      </c>
    </row>
    <row r="363">
      <c r="K363" s="237"/>
      <c r="L363" s="238" t="str">
        <f t="shared" si="3"/>
        <v/>
      </c>
      <c r="M363" s="237"/>
      <c r="N363" s="238"/>
      <c r="O363" s="238" t="str">
        <f t="shared" si="4"/>
        <v/>
      </c>
      <c r="P363" s="238" t="str">
        <f t="shared" si="5"/>
        <v/>
      </c>
      <c r="Q363" s="238" t="str">
        <f t="shared" si="6"/>
        <v/>
      </c>
      <c r="R363" s="238" t="str">
        <f t="shared" si="7"/>
        <v/>
      </c>
      <c r="S363" s="238" t="str">
        <f t="shared" si="8"/>
        <v/>
      </c>
      <c r="T363" s="238"/>
      <c r="U363" s="237"/>
      <c r="V363" s="238"/>
      <c r="W363" s="238" t="str">
        <f t="shared" si="9"/>
        <v/>
      </c>
      <c r="X363" s="237" t="str">
        <f t="shared" ref="X363:Y363" si="355">IF(ISBLANK(H363),,""""&amp;H363&amp;"""")</f>
        <v/>
      </c>
      <c r="Y363" s="237" t="str">
        <f t="shared" si="355"/>
        <v/>
      </c>
      <c r="Z363" s="237" t="str">
        <f>IF(ISBLANK(K363),,Config!$C$3&amp;"&amp;range=BB"&amp;MATCH(K363,FRG!AE:AE,0))</f>
        <v/>
      </c>
      <c r="AB363" s="242" t="str">
        <f>IFERROR(__xludf.DUMMYFUNCTION("IF(ISBLANK(K363),,SUBSTITUTE(IFERROR(JOIN("","",K363:Z363),JOIN("","",K363:Y363)),CHAR(10),""""))"),"")</f>
        <v/>
      </c>
      <c r="AC363" s="229" t="str">
        <f t="shared" si="1"/>
        <v/>
      </c>
    </row>
    <row r="364">
      <c r="K364" s="237"/>
      <c r="L364" s="238" t="str">
        <f t="shared" si="3"/>
        <v/>
      </c>
      <c r="M364" s="237"/>
      <c r="N364" s="238"/>
      <c r="O364" s="238" t="str">
        <f t="shared" si="4"/>
        <v/>
      </c>
      <c r="P364" s="238" t="str">
        <f t="shared" si="5"/>
        <v/>
      </c>
      <c r="Q364" s="238" t="str">
        <f t="shared" si="6"/>
        <v/>
      </c>
      <c r="R364" s="238" t="str">
        <f t="shared" si="7"/>
        <v/>
      </c>
      <c r="S364" s="238" t="str">
        <f t="shared" si="8"/>
        <v/>
      </c>
      <c r="T364" s="238"/>
      <c r="U364" s="237"/>
      <c r="V364" s="238"/>
      <c r="W364" s="238" t="str">
        <f t="shared" si="9"/>
        <v/>
      </c>
      <c r="X364" s="237" t="str">
        <f t="shared" ref="X364:Y364" si="356">IF(ISBLANK(H364),,""""&amp;H364&amp;"""")</f>
        <v/>
      </c>
      <c r="Y364" s="237" t="str">
        <f t="shared" si="356"/>
        <v/>
      </c>
      <c r="Z364" s="237" t="str">
        <f>IF(ISBLANK(K364),,Config!$C$3&amp;"&amp;range=BB"&amp;MATCH(K364,FRG!AE:AE,0))</f>
        <v/>
      </c>
      <c r="AB364" s="242" t="str">
        <f>IFERROR(__xludf.DUMMYFUNCTION("IF(ISBLANK(K364),,SUBSTITUTE(IFERROR(JOIN("","",K364:Z364),JOIN("","",K364:Y364)),CHAR(10),""""))"),"")</f>
        <v/>
      </c>
      <c r="AC364" s="229" t="str">
        <f t="shared" si="1"/>
        <v/>
      </c>
    </row>
    <row r="365">
      <c r="K365" s="237"/>
      <c r="L365" s="238" t="str">
        <f t="shared" si="3"/>
        <v/>
      </c>
      <c r="M365" s="237"/>
      <c r="N365" s="238"/>
      <c r="O365" s="238" t="str">
        <f t="shared" si="4"/>
        <v/>
      </c>
      <c r="P365" s="238" t="str">
        <f t="shared" si="5"/>
        <v/>
      </c>
      <c r="Q365" s="238" t="str">
        <f t="shared" si="6"/>
        <v/>
      </c>
      <c r="R365" s="238" t="str">
        <f t="shared" si="7"/>
        <v/>
      </c>
      <c r="S365" s="238" t="str">
        <f t="shared" si="8"/>
        <v/>
      </c>
      <c r="T365" s="238"/>
      <c r="U365" s="237"/>
      <c r="V365" s="238"/>
      <c r="W365" s="238" t="str">
        <f t="shared" si="9"/>
        <v/>
      </c>
      <c r="X365" s="237" t="str">
        <f t="shared" ref="X365:Y365" si="357">IF(ISBLANK(H365),,""""&amp;H365&amp;"""")</f>
        <v/>
      </c>
      <c r="Y365" s="237" t="str">
        <f t="shared" si="357"/>
        <v/>
      </c>
      <c r="Z365" s="237" t="str">
        <f>IF(ISBLANK(K365),,Config!$C$3&amp;"&amp;range=BB"&amp;MATCH(K365,FRG!AE:AE,0))</f>
        <v/>
      </c>
      <c r="AB365" s="242" t="str">
        <f>IFERROR(__xludf.DUMMYFUNCTION("IF(ISBLANK(K365),,SUBSTITUTE(IFERROR(JOIN("","",K365:Z365),JOIN("","",K365:Y365)),CHAR(10),""""))"),"")</f>
        <v/>
      </c>
      <c r="AC365" s="229" t="str">
        <f t="shared" si="1"/>
        <v/>
      </c>
    </row>
    <row r="366">
      <c r="K366" s="237"/>
      <c r="L366" s="238" t="str">
        <f t="shared" si="3"/>
        <v/>
      </c>
      <c r="M366" s="237"/>
      <c r="N366" s="238"/>
      <c r="O366" s="238" t="str">
        <f t="shared" si="4"/>
        <v/>
      </c>
      <c r="P366" s="238" t="str">
        <f t="shared" si="5"/>
        <v/>
      </c>
      <c r="Q366" s="238" t="str">
        <f t="shared" si="6"/>
        <v/>
      </c>
      <c r="R366" s="238" t="str">
        <f t="shared" si="7"/>
        <v/>
      </c>
      <c r="S366" s="238" t="str">
        <f t="shared" si="8"/>
        <v/>
      </c>
      <c r="T366" s="238"/>
      <c r="U366" s="237"/>
      <c r="V366" s="238"/>
      <c r="W366" s="238" t="str">
        <f t="shared" si="9"/>
        <v/>
      </c>
      <c r="X366" s="237" t="str">
        <f t="shared" ref="X366:Y366" si="358">IF(ISBLANK(H366),,""""&amp;H366&amp;"""")</f>
        <v/>
      </c>
      <c r="Y366" s="237" t="str">
        <f t="shared" si="358"/>
        <v/>
      </c>
      <c r="Z366" s="237" t="str">
        <f>IF(ISBLANK(K366),,Config!$C$3&amp;"&amp;range=BB"&amp;MATCH(K366,FRG!AE:AE,0))</f>
        <v/>
      </c>
      <c r="AB366" s="242" t="str">
        <f>IFERROR(__xludf.DUMMYFUNCTION("IF(ISBLANK(K366),,SUBSTITUTE(IFERROR(JOIN("","",K366:Z366),JOIN("","",K366:Y366)),CHAR(10),""""))"),"")</f>
        <v/>
      </c>
      <c r="AC366" s="229" t="str">
        <f t="shared" si="1"/>
        <v/>
      </c>
    </row>
    <row r="367">
      <c r="K367" s="237"/>
      <c r="L367" s="238" t="str">
        <f t="shared" si="3"/>
        <v/>
      </c>
      <c r="M367" s="237"/>
      <c r="N367" s="238"/>
      <c r="O367" s="238" t="str">
        <f t="shared" si="4"/>
        <v/>
      </c>
      <c r="P367" s="238" t="str">
        <f t="shared" si="5"/>
        <v/>
      </c>
      <c r="Q367" s="238" t="str">
        <f t="shared" si="6"/>
        <v/>
      </c>
      <c r="R367" s="238" t="str">
        <f t="shared" si="7"/>
        <v/>
      </c>
      <c r="S367" s="238" t="str">
        <f t="shared" si="8"/>
        <v/>
      </c>
      <c r="T367" s="238"/>
      <c r="U367" s="237"/>
      <c r="V367" s="238"/>
      <c r="W367" s="238" t="str">
        <f t="shared" si="9"/>
        <v/>
      </c>
      <c r="X367" s="237" t="str">
        <f t="shared" ref="X367:Y367" si="359">IF(ISBLANK(H367),,""""&amp;H367&amp;"""")</f>
        <v/>
      </c>
      <c r="Y367" s="237" t="str">
        <f t="shared" si="359"/>
        <v/>
      </c>
      <c r="Z367" s="237" t="str">
        <f>IF(ISBLANK(K367),,Config!$C$3&amp;"&amp;range=BB"&amp;MATCH(K367,FRG!AE:AE,0))</f>
        <v/>
      </c>
      <c r="AB367" s="242" t="str">
        <f>IFERROR(__xludf.DUMMYFUNCTION("IF(ISBLANK(K367),,SUBSTITUTE(IFERROR(JOIN("","",K367:Z367),JOIN("","",K367:Y367)),CHAR(10),""""))"),"")</f>
        <v/>
      </c>
      <c r="AC367" s="229" t="str">
        <f t="shared" si="1"/>
        <v/>
      </c>
    </row>
    <row r="368">
      <c r="K368" s="237"/>
      <c r="L368" s="238" t="str">
        <f t="shared" si="3"/>
        <v/>
      </c>
      <c r="M368" s="237"/>
      <c r="N368" s="238"/>
      <c r="O368" s="238" t="str">
        <f t="shared" si="4"/>
        <v/>
      </c>
      <c r="P368" s="238" t="str">
        <f t="shared" si="5"/>
        <v/>
      </c>
      <c r="Q368" s="238" t="str">
        <f t="shared" si="6"/>
        <v/>
      </c>
      <c r="R368" s="238" t="str">
        <f t="shared" si="7"/>
        <v/>
      </c>
      <c r="S368" s="238" t="str">
        <f t="shared" si="8"/>
        <v/>
      </c>
      <c r="T368" s="238"/>
      <c r="U368" s="237"/>
      <c r="V368" s="238"/>
      <c r="W368" s="238" t="str">
        <f t="shared" si="9"/>
        <v/>
      </c>
      <c r="X368" s="237" t="str">
        <f t="shared" ref="X368:Y368" si="360">IF(ISBLANK(H368),,""""&amp;H368&amp;"""")</f>
        <v/>
      </c>
      <c r="Y368" s="237" t="str">
        <f t="shared" si="360"/>
        <v/>
      </c>
      <c r="Z368" s="237" t="str">
        <f>IF(ISBLANK(K368),,Config!$C$3&amp;"&amp;range=BB"&amp;MATCH(K368,FRG!AE:AE,0))</f>
        <v/>
      </c>
      <c r="AB368" s="242" t="str">
        <f>IFERROR(__xludf.DUMMYFUNCTION("IF(ISBLANK(K368),,SUBSTITUTE(IFERROR(JOIN("","",K368:Z368),JOIN("","",K368:Y368)),CHAR(10),""""))"),"")</f>
        <v/>
      </c>
      <c r="AC368" s="229" t="str">
        <f t="shared" si="1"/>
        <v/>
      </c>
    </row>
    <row r="369">
      <c r="K369" s="237"/>
      <c r="L369" s="238" t="str">
        <f t="shared" si="3"/>
        <v/>
      </c>
      <c r="M369" s="237"/>
      <c r="N369" s="238"/>
      <c r="O369" s="238" t="str">
        <f t="shared" si="4"/>
        <v/>
      </c>
      <c r="P369" s="238" t="str">
        <f t="shared" si="5"/>
        <v/>
      </c>
      <c r="Q369" s="238" t="str">
        <f t="shared" si="6"/>
        <v/>
      </c>
      <c r="R369" s="238" t="str">
        <f t="shared" si="7"/>
        <v/>
      </c>
      <c r="S369" s="238" t="str">
        <f t="shared" si="8"/>
        <v/>
      </c>
      <c r="T369" s="238"/>
      <c r="U369" s="237"/>
      <c r="V369" s="238"/>
      <c r="W369" s="238" t="str">
        <f t="shared" si="9"/>
        <v/>
      </c>
      <c r="X369" s="237" t="str">
        <f t="shared" ref="X369:Y369" si="361">IF(ISBLANK(H369),,""""&amp;H369&amp;"""")</f>
        <v/>
      </c>
      <c r="Y369" s="237" t="str">
        <f t="shared" si="361"/>
        <v/>
      </c>
      <c r="Z369" s="237" t="str">
        <f>IF(ISBLANK(K369),,Config!$C$3&amp;"&amp;range=BB"&amp;MATCH(K369,FRG!AE:AE,0))</f>
        <v/>
      </c>
      <c r="AB369" s="242" t="str">
        <f>IFERROR(__xludf.DUMMYFUNCTION("IF(ISBLANK(K369),,SUBSTITUTE(IFERROR(JOIN("","",K369:Z369),JOIN("","",K369:Y369)),CHAR(10),""""))"),"")</f>
        <v/>
      </c>
      <c r="AC369" s="229" t="str">
        <f t="shared" si="1"/>
        <v/>
      </c>
    </row>
    <row r="370">
      <c r="K370" s="237"/>
      <c r="L370" s="238" t="str">
        <f t="shared" si="3"/>
        <v/>
      </c>
      <c r="M370" s="237"/>
      <c r="N370" s="238"/>
      <c r="O370" s="238" t="str">
        <f t="shared" si="4"/>
        <v/>
      </c>
      <c r="P370" s="238" t="str">
        <f t="shared" si="5"/>
        <v/>
      </c>
      <c r="Q370" s="238" t="str">
        <f t="shared" si="6"/>
        <v/>
      </c>
      <c r="R370" s="238" t="str">
        <f t="shared" si="7"/>
        <v/>
      </c>
      <c r="S370" s="238" t="str">
        <f t="shared" si="8"/>
        <v/>
      </c>
      <c r="T370" s="238"/>
      <c r="U370" s="237"/>
      <c r="V370" s="238"/>
      <c r="W370" s="238" t="str">
        <f t="shared" si="9"/>
        <v/>
      </c>
      <c r="X370" s="237" t="str">
        <f t="shared" ref="X370:Y370" si="362">IF(ISBLANK(H370),,""""&amp;H370&amp;"""")</f>
        <v/>
      </c>
      <c r="Y370" s="237" t="str">
        <f t="shared" si="362"/>
        <v/>
      </c>
      <c r="Z370" s="237" t="str">
        <f>IF(ISBLANK(K370),,Config!$C$3&amp;"&amp;range=BB"&amp;MATCH(K370,FRG!AE:AE,0))</f>
        <v/>
      </c>
      <c r="AB370" s="242" t="str">
        <f>IFERROR(__xludf.DUMMYFUNCTION("IF(ISBLANK(K370),,SUBSTITUTE(IFERROR(JOIN("","",K370:Z370),JOIN("","",K370:Y370)),CHAR(10),""""))"),"")</f>
        <v/>
      </c>
      <c r="AC370" s="229" t="str">
        <f t="shared" si="1"/>
        <v/>
      </c>
    </row>
    <row r="371">
      <c r="K371" s="237"/>
      <c r="L371" s="238" t="str">
        <f t="shared" si="3"/>
        <v/>
      </c>
      <c r="M371" s="237"/>
      <c r="N371" s="238"/>
      <c r="O371" s="238" t="str">
        <f t="shared" si="4"/>
        <v/>
      </c>
      <c r="P371" s="238" t="str">
        <f t="shared" si="5"/>
        <v/>
      </c>
      <c r="Q371" s="238" t="str">
        <f t="shared" si="6"/>
        <v/>
      </c>
      <c r="R371" s="238" t="str">
        <f t="shared" si="7"/>
        <v/>
      </c>
      <c r="S371" s="238" t="str">
        <f t="shared" si="8"/>
        <v/>
      </c>
      <c r="T371" s="238"/>
      <c r="U371" s="237"/>
      <c r="V371" s="238"/>
      <c r="W371" s="238" t="str">
        <f t="shared" si="9"/>
        <v/>
      </c>
      <c r="X371" s="237" t="str">
        <f t="shared" ref="X371:Y371" si="363">IF(ISBLANK(H371),,""""&amp;H371&amp;"""")</f>
        <v/>
      </c>
      <c r="Y371" s="237" t="str">
        <f t="shared" si="363"/>
        <v/>
      </c>
      <c r="Z371" s="237" t="str">
        <f>IF(ISBLANK(K371),,Config!$C$3&amp;"&amp;range=BB"&amp;MATCH(K371,FRG!AE:AE,0))</f>
        <v/>
      </c>
      <c r="AB371" s="242" t="str">
        <f>IFERROR(__xludf.DUMMYFUNCTION("IF(ISBLANK(K371),,SUBSTITUTE(IFERROR(JOIN("","",K371:Z371),JOIN("","",K371:Y371)),CHAR(10),""""))"),"")</f>
        <v/>
      </c>
      <c r="AC371" s="229" t="str">
        <f t="shared" si="1"/>
        <v/>
      </c>
    </row>
    <row r="372">
      <c r="K372" s="237"/>
      <c r="L372" s="238" t="str">
        <f t="shared" si="3"/>
        <v/>
      </c>
      <c r="M372" s="237"/>
      <c r="N372" s="238"/>
      <c r="O372" s="238" t="str">
        <f t="shared" si="4"/>
        <v/>
      </c>
      <c r="P372" s="238" t="str">
        <f t="shared" si="5"/>
        <v/>
      </c>
      <c r="Q372" s="238" t="str">
        <f t="shared" si="6"/>
        <v/>
      </c>
      <c r="R372" s="238" t="str">
        <f t="shared" si="7"/>
        <v/>
      </c>
      <c r="S372" s="238" t="str">
        <f t="shared" si="8"/>
        <v/>
      </c>
      <c r="T372" s="238"/>
      <c r="U372" s="237"/>
      <c r="V372" s="238"/>
      <c r="W372" s="238" t="str">
        <f t="shared" si="9"/>
        <v/>
      </c>
      <c r="X372" s="237" t="str">
        <f t="shared" ref="X372:Y372" si="364">IF(ISBLANK(H372),,""""&amp;H372&amp;"""")</f>
        <v/>
      </c>
      <c r="Y372" s="237" t="str">
        <f t="shared" si="364"/>
        <v/>
      </c>
      <c r="Z372" s="237" t="str">
        <f>IF(ISBLANK(K372),,Config!$C$3&amp;"&amp;range=BB"&amp;MATCH(K372,FRG!AE:AE,0))</f>
        <v/>
      </c>
      <c r="AB372" s="242" t="str">
        <f>IFERROR(__xludf.DUMMYFUNCTION("IF(ISBLANK(K372),,SUBSTITUTE(IFERROR(JOIN("","",K372:Z372),JOIN("","",K372:Y372)),CHAR(10),""""))"),"")</f>
        <v/>
      </c>
      <c r="AC372" s="229" t="str">
        <f t="shared" si="1"/>
        <v/>
      </c>
    </row>
    <row r="373">
      <c r="K373" s="237"/>
      <c r="L373" s="238" t="str">
        <f t="shared" si="3"/>
        <v/>
      </c>
      <c r="M373" s="237"/>
      <c r="N373" s="238"/>
      <c r="O373" s="238" t="str">
        <f t="shared" si="4"/>
        <v/>
      </c>
      <c r="P373" s="238" t="str">
        <f t="shared" si="5"/>
        <v/>
      </c>
      <c r="Q373" s="238" t="str">
        <f t="shared" si="6"/>
        <v/>
      </c>
      <c r="R373" s="238" t="str">
        <f t="shared" si="7"/>
        <v/>
      </c>
      <c r="S373" s="238" t="str">
        <f t="shared" si="8"/>
        <v/>
      </c>
      <c r="T373" s="238"/>
      <c r="U373" s="237"/>
      <c r="V373" s="238"/>
      <c r="W373" s="238" t="str">
        <f t="shared" si="9"/>
        <v/>
      </c>
      <c r="X373" s="237" t="str">
        <f t="shared" ref="X373:Y373" si="365">IF(ISBLANK(H373),,""""&amp;H373&amp;"""")</f>
        <v/>
      </c>
      <c r="Y373" s="237" t="str">
        <f t="shared" si="365"/>
        <v/>
      </c>
      <c r="Z373" s="237" t="str">
        <f>IF(ISBLANK(K373),,Config!$C$3&amp;"&amp;range=BB"&amp;MATCH(K373,FRG!AE:AE,0))</f>
        <v/>
      </c>
      <c r="AB373" s="242" t="str">
        <f>IFERROR(__xludf.DUMMYFUNCTION("IF(ISBLANK(K373),,SUBSTITUTE(IFERROR(JOIN("","",K373:Z373),JOIN("","",K373:Y373)),CHAR(10),""""))"),"")</f>
        <v/>
      </c>
      <c r="AC373" s="229" t="str">
        <f t="shared" si="1"/>
        <v/>
      </c>
    </row>
    <row r="374">
      <c r="K374" s="237"/>
      <c r="L374" s="238" t="str">
        <f t="shared" si="3"/>
        <v/>
      </c>
      <c r="M374" s="237"/>
      <c r="N374" s="238"/>
      <c r="O374" s="238" t="str">
        <f t="shared" si="4"/>
        <v/>
      </c>
      <c r="P374" s="238" t="str">
        <f t="shared" si="5"/>
        <v/>
      </c>
      <c r="Q374" s="238" t="str">
        <f t="shared" si="6"/>
        <v/>
      </c>
      <c r="R374" s="238" t="str">
        <f t="shared" si="7"/>
        <v/>
      </c>
      <c r="S374" s="238" t="str">
        <f t="shared" si="8"/>
        <v/>
      </c>
      <c r="T374" s="238"/>
      <c r="U374" s="237"/>
      <c r="V374" s="238"/>
      <c r="W374" s="238" t="str">
        <f t="shared" si="9"/>
        <v/>
      </c>
      <c r="X374" s="237" t="str">
        <f t="shared" ref="X374:Y374" si="366">IF(ISBLANK(H374),,""""&amp;H374&amp;"""")</f>
        <v/>
      </c>
      <c r="Y374" s="237" t="str">
        <f t="shared" si="366"/>
        <v/>
      </c>
      <c r="Z374" s="237" t="str">
        <f>IF(ISBLANK(K374),,Config!$C$3&amp;"&amp;range=BB"&amp;MATCH(K374,FRG!AE:AE,0))</f>
        <v/>
      </c>
      <c r="AB374" s="242" t="str">
        <f>IFERROR(__xludf.DUMMYFUNCTION("IF(ISBLANK(K374),,SUBSTITUTE(IFERROR(JOIN("","",K374:Z374),JOIN("","",K374:Y374)),CHAR(10),""""))"),"")</f>
        <v/>
      </c>
      <c r="AC374" s="229" t="str">
        <f t="shared" si="1"/>
        <v/>
      </c>
    </row>
    <row r="375">
      <c r="K375" s="237"/>
      <c r="L375" s="238" t="str">
        <f t="shared" si="3"/>
        <v/>
      </c>
      <c r="M375" s="237"/>
      <c r="N375" s="238"/>
      <c r="O375" s="238" t="str">
        <f t="shared" si="4"/>
        <v/>
      </c>
      <c r="P375" s="238" t="str">
        <f t="shared" si="5"/>
        <v/>
      </c>
      <c r="Q375" s="238" t="str">
        <f t="shared" si="6"/>
        <v/>
      </c>
      <c r="R375" s="238" t="str">
        <f t="shared" si="7"/>
        <v/>
      </c>
      <c r="S375" s="238" t="str">
        <f t="shared" si="8"/>
        <v/>
      </c>
      <c r="T375" s="238"/>
      <c r="U375" s="237"/>
      <c r="V375" s="238"/>
      <c r="W375" s="238" t="str">
        <f t="shared" si="9"/>
        <v/>
      </c>
      <c r="X375" s="237" t="str">
        <f t="shared" ref="X375:Y375" si="367">IF(ISBLANK(H375),,""""&amp;H375&amp;"""")</f>
        <v/>
      </c>
      <c r="Y375" s="237" t="str">
        <f t="shared" si="367"/>
        <v/>
      </c>
      <c r="Z375" s="237" t="str">
        <f>IF(ISBLANK(K375),,Config!$C$3&amp;"&amp;range=BB"&amp;MATCH(K375,FRG!AE:AE,0))</f>
        <v/>
      </c>
      <c r="AB375" s="242" t="str">
        <f>IFERROR(__xludf.DUMMYFUNCTION("IF(ISBLANK(K375),,SUBSTITUTE(IFERROR(JOIN("","",K375:Z375),JOIN("","",K375:Y375)),CHAR(10),""""))"),"")</f>
        <v/>
      </c>
      <c r="AC375" s="229" t="str">
        <f t="shared" si="1"/>
        <v/>
      </c>
    </row>
    <row r="376">
      <c r="K376" s="237"/>
      <c r="L376" s="238" t="str">
        <f t="shared" si="3"/>
        <v/>
      </c>
      <c r="M376" s="237"/>
      <c r="N376" s="238"/>
      <c r="O376" s="238" t="str">
        <f t="shared" si="4"/>
        <v/>
      </c>
      <c r="P376" s="238" t="str">
        <f t="shared" si="5"/>
        <v/>
      </c>
      <c r="Q376" s="238" t="str">
        <f t="shared" si="6"/>
        <v/>
      </c>
      <c r="R376" s="238" t="str">
        <f t="shared" si="7"/>
        <v/>
      </c>
      <c r="S376" s="238" t="str">
        <f t="shared" si="8"/>
        <v/>
      </c>
      <c r="T376" s="238"/>
      <c r="U376" s="237"/>
      <c r="V376" s="238"/>
      <c r="W376" s="238" t="str">
        <f t="shared" si="9"/>
        <v/>
      </c>
      <c r="X376" s="237" t="str">
        <f t="shared" ref="X376:Y376" si="368">IF(ISBLANK(H376),,""""&amp;H376&amp;"""")</f>
        <v/>
      </c>
      <c r="Y376" s="237" t="str">
        <f t="shared" si="368"/>
        <v/>
      </c>
      <c r="Z376" s="237" t="str">
        <f>IF(ISBLANK(K376),,Config!$C$3&amp;"&amp;range=BB"&amp;MATCH(K376,FRG!AE:AE,0))</f>
        <v/>
      </c>
      <c r="AB376" s="242" t="str">
        <f>IFERROR(__xludf.DUMMYFUNCTION("IF(ISBLANK(K376),,SUBSTITUTE(IFERROR(JOIN("","",K376:Z376),JOIN("","",K376:Y376)),CHAR(10),""""))"),"")</f>
        <v/>
      </c>
      <c r="AC376" s="229" t="str">
        <f t="shared" si="1"/>
        <v/>
      </c>
    </row>
    <row r="377">
      <c r="K377" s="237"/>
      <c r="L377" s="238" t="str">
        <f t="shared" si="3"/>
        <v/>
      </c>
      <c r="M377" s="237"/>
      <c r="N377" s="238"/>
      <c r="O377" s="238" t="str">
        <f t="shared" si="4"/>
        <v/>
      </c>
      <c r="P377" s="238" t="str">
        <f t="shared" si="5"/>
        <v/>
      </c>
      <c r="Q377" s="238" t="str">
        <f t="shared" si="6"/>
        <v/>
      </c>
      <c r="R377" s="238" t="str">
        <f t="shared" si="7"/>
        <v/>
      </c>
      <c r="S377" s="238" t="str">
        <f t="shared" si="8"/>
        <v/>
      </c>
      <c r="T377" s="238"/>
      <c r="U377" s="237"/>
      <c r="V377" s="238"/>
      <c r="W377" s="238" t="str">
        <f t="shared" si="9"/>
        <v/>
      </c>
      <c r="X377" s="237" t="str">
        <f t="shared" ref="X377:Y377" si="369">IF(ISBLANK(H377),,""""&amp;H377&amp;"""")</f>
        <v/>
      </c>
      <c r="Y377" s="237" t="str">
        <f t="shared" si="369"/>
        <v/>
      </c>
      <c r="Z377" s="237" t="str">
        <f>IF(ISBLANK(K377),,Config!$C$3&amp;"&amp;range=BB"&amp;MATCH(K377,FRG!AE:AE,0))</f>
        <v/>
      </c>
      <c r="AB377" s="242" t="str">
        <f>IFERROR(__xludf.DUMMYFUNCTION("IF(ISBLANK(K377),,SUBSTITUTE(IFERROR(JOIN("","",K377:Z377),JOIN("","",K377:Y377)),CHAR(10),""""))"),"")</f>
        <v/>
      </c>
      <c r="AC377" s="229" t="str">
        <f t="shared" si="1"/>
        <v/>
      </c>
    </row>
    <row r="378">
      <c r="K378" s="237"/>
      <c r="L378" s="238" t="str">
        <f t="shared" si="3"/>
        <v/>
      </c>
      <c r="M378" s="237"/>
      <c r="N378" s="238"/>
      <c r="O378" s="238" t="str">
        <f t="shared" si="4"/>
        <v/>
      </c>
      <c r="P378" s="238" t="str">
        <f t="shared" si="5"/>
        <v/>
      </c>
      <c r="Q378" s="238" t="str">
        <f t="shared" si="6"/>
        <v/>
      </c>
      <c r="R378" s="238" t="str">
        <f t="shared" si="7"/>
        <v/>
      </c>
      <c r="S378" s="238" t="str">
        <f t="shared" si="8"/>
        <v/>
      </c>
      <c r="T378" s="238"/>
      <c r="U378" s="237"/>
      <c r="V378" s="238"/>
      <c r="W378" s="238" t="str">
        <f t="shared" si="9"/>
        <v/>
      </c>
      <c r="X378" s="237" t="str">
        <f t="shared" ref="X378:Y378" si="370">IF(ISBLANK(H378),,""""&amp;H378&amp;"""")</f>
        <v/>
      </c>
      <c r="Y378" s="237" t="str">
        <f t="shared" si="370"/>
        <v/>
      </c>
      <c r="Z378" s="237" t="str">
        <f>IF(ISBLANK(K378),,Config!$C$3&amp;"&amp;range=BB"&amp;MATCH(K378,FRG!AE:AE,0))</f>
        <v/>
      </c>
      <c r="AB378" s="242" t="str">
        <f>IFERROR(__xludf.DUMMYFUNCTION("IF(ISBLANK(K378),,SUBSTITUTE(IFERROR(JOIN("","",K378:Z378),JOIN("","",K378:Y378)),CHAR(10),""""))"),"")</f>
        <v/>
      </c>
      <c r="AC378" s="229" t="str">
        <f t="shared" si="1"/>
        <v/>
      </c>
    </row>
    <row r="379">
      <c r="K379" s="237"/>
      <c r="L379" s="238" t="str">
        <f t="shared" si="3"/>
        <v/>
      </c>
      <c r="M379" s="237"/>
      <c r="N379" s="238"/>
      <c r="O379" s="238" t="str">
        <f t="shared" si="4"/>
        <v/>
      </c>
      <c r="P379" s="238" t="str">
        <f t="shared" si="5"/>
        <v/>
      </c>
      <c r="Q379" s="238" t="str">
        <f t="shared" si="6"/>
        <v/>
      </c>
      <c r="R379" s="238" t="str">
        <f t="shared" si="7"/>
        <v/>
      </c>
      <c r="S379" s="238" t="str">
        <f t="shared" si="8"/>
        <v/>
      </c>
      <c r="T379" s="238"/>
      <c r="U379" s="237"/>
      <c r="V379" s="238"/>
      <c r="W379" s="238" t="str">
        <f t="shared" si="9"/>
        <v/>
      </c>
      <c r="X379" s="237" t="str">
        <f t="shared" ref="X379:Y379" si="371">IF(ISBLANK(H379),,""""&amp;H379&amp;"""")</f>
        <v/>
      </c>
      <c r="Y379" s="237" t="str">
        <f t="shared" si="371"/>
        <v/>
      </c>
      <c r="Z379" s="237" t="str">
        <f>IF(ISBLANK(K379),,Config!$C$3&amp;"&amp;range=BB"&amp;MATCH(K379,FRG!AE:AE,0))</f>
        <v/>
      </c>
      <c r="AB379" s="242" t="str">
        <f>IFERROR(__xludf.DUMMYFUNCTION("IF(ISBLANK(K379),,SUBSTITUTE(IFERROR(JOIN("","",K379:Z379),JOIN("","",K379:Y379)),CHAR(10),""""))"),"")</f>
        <v/>
      </c>
      <c r="AC379" s="229" t="str">
        <f t="shared" si="1"/>
        <v/>
      </c>
    </row>
    <row r="380">
      <c r="K380" s="237"/>
      <c r="L380" s="238" t="str">
        <f t="shared" si="3"/>
        <v/>
      </c>
      <c r="M380" s="237"/>
      <c r="N380" s="238"/>
      <c r="O380" s="238" t="str">
        <f t="shared" si="4"/>
        <v/>
      </c>
      <c r="P380" s="238" t="str">
        <f t="shared" si="5"/>
        <v/>
      </c>
      <c r="Q380" s="238" t="str">
        <f t="shared" si="6"/>
        <v/>
      </c>
      <c r="R380" s="238" t="str">
        <f t="shared" si="7"/>
        <v/>
      </c>
      <c r="S380" s="238" t="str">
        <f t="shared" si="8"/>
        <v/>
      </c>
      <c r="T380" s="238"/>
      <c r="U380" s="237"/>
      <c r="V380" s="238"/>
      <c r="W380" s="238" t="str">
        <f t="shared" si="9"/>
        <v/>
      </c>
      <c r="X380" s="237" t="str">
        <f t="shared" ref="X380:Y380" si="372">IF(ISBLANK(H380),,""""&amp;H380&amp;"""")</f>
        <v/>
      </c>
      <c r="Y380" s="237" t="str">
        <f t="shared" si="372"/>
        <v/>
      </c>
      <c r="Z380" s="237" t="str">
        <f>IF(ISBLANK(K380),,Config!$C$3&amp;"&amp;range=BB"&amp;MATCH(K380,FRG!AE:AE,0))</f>
        <v/>
      </c>
      <c r="AB380" s="242" t="str">
        <f>IFERROR(__xludf.DUMMYFUNCTION("IF(ISBLANK(K380),,SUBSTITUTE(IFERROR(JOIN("","",K380:Z380),JOIN("","",K380:Y380)),CHAR(10),""""))"),"")</f>
        <v/>
      </c>
      <c r="AC380" s="229" t="str">
        <f t="shared" si="1"/>
        <v/>
      </c>
    </row>
    <row r="381">
      <c r="K381" s="237"/>
      <c r="L381" s="238" t="str">
        <f t="shared" si="3"/>
        <v/>
      </c>
      <c r="M381" s="237"/>
      <c r="N381" s="238"/>
      <c r="O381" s="238" t="str">
        <f t="shared" si="4"/>
        <v/>
      </c>
      <c r="P381" s="238" t="str">
        <f t="shared" si="5"/>
        <v/>
      </c>
      <c r="Q381" s="238" t="str">
        <f t="shared" si="6"/>
        <v/>
      </c>
      <c r="R381" s="238" t="str">
        <f t="shared" si="7"/>
        <v/>
      </c>
      <c r="S381" s="238" t="str">
        <f t="shared" si="8"/>
        <v/>
      </c>
      <c r="T381" s="238"/>
      <c r="U381" s="237"/>
      <c r="V381" s="238"/>
      <c r="W381" s="238" t="str">
        <f t="shared" si="9"/>
        <v/>
      </c>
      <c r="X381" s="237" t="str">
        <f t="shared" ref="X381:Y381" si="373">IF(ISBLANK(H381),,""""&amp;H381&amp;"""")</f>
        <v/>
      </c>
      <c r="Y381" s="237" t="str">
        <f t="shared" si="373"/>
        <v/>
      </c>
      <c r="Z381" s="237" t="str">
        <f>IF(ISBLANK(K381),,Config!$C$3&amp;"&amp;range=BB"&amp;MATCH(K381,FRG!AE:AE,0))</f>
        <v/>
      </c>
      <c r="AB381" s="242" t="str">
        <f>IFERROR(__xludf.DUMMYFUNCTION("IF(ISBLANK(K381),,SUBSTITUTE(IFERROR(JOIN("","",K381:Z381),JOIN("","",K381:Y381)),CHAR(10),""""))"),"")</f>
        <v/>
      </c>
      <c r="AC381" s="229" t="str">
        <f t="shared" si="1"/>
        <v/>
      </c>
    </row>
    <row r="382">
      <c r="K382" s="237"/>
      <c r="L382" s="238" t="str">
        <f t="shared" si="3"/>
        <v/>
      </c>
      <c r="M382" s="237"/>
      <c r="N382" s="238"/>
      <c r="O382" s="238" t="str">
        <f t="shared" si="4"/>
        <v/>
      </c>
      <c r="P382" s="238" t="str">
        <f t="shared" si="5"/>
        <v/>
      </c>
      <c r="Q382" s="238" t="str">
        <f t="shared" si="6"/>
        <v/>
      </c>
      <c r="R382" s="238" t="str">
        <f t="shared" si="7"/>
        <v/>
      </c>
      <c r="S382" s="238" t="str">
        <f t="shared" si="8"/>
        <v/>
      </c>
      <c r="T382" s="238"/>
      <c r="U382" s="237"/>
      <c r="V382" s="238"/>
      <c r="W382" s="238" t="str">
        <f t="shared" si="9"/>
        <v/>
      </c>
      <c r="X382" s="237" t="str">
        <f t="shared" ref="X382:Y382" si="374">IF(ISBLANK(H382),,""""&amp;H382&amp;"""")</f>
        <v/>
      </c>
      <c r="Y382" s="237" t="str">
        <f t="shared" si="374"/>
        <v/>
      </c>
      <c r="Z382" s="237" t="str">
        <f>IF(ISBLANK(K382),,Config!$C$3&amp;"&amp;range=BB"&amp;MATCH(K382,FRG!AE:AE,0))</f>
        <v/>
      </c>
      <c r="AB382" s="242" t="str">
        <f>IFERROR(__xludf.DUMMYFUNCTION("IF(ISBLANK(K382),,SUBSTITUTE(IFERROR(JOIN("","",K382:Z382),JOIN("","",K382:Y382)),CHAR(10),""""))"),"")</f>
        <v/>
      </c>
      <c r="AC382" s="229" t="str">
        <f t="shared" si="1"/>
        <v/>
      </c>
    </row>
    <row r="383">
      <c r="K383" s="237"/>
      <c r="L383" s="238" t="str">
        <f t="shared" si="3"/>
        <v/>
      </c>
      <c r="M383" s="237"/>
      <c r="N383" s="238"/>
      <c r="O383" s="238" t="str">
        <f t="shared" si="4"/>
        <v/>
      </c>
      <c r="P383" s="238" t="str">
        <f t="shared" si="5"/>
        <v/>
      </c>
      <c r="Q383" s="238" t="str">
        <f t="shared" si="6"/>
        <v/>
      </c>
      <c r="R383" s="238" t="str">
        <f t="shared" si="7"/>
        <v/>
      </c>
      <c r="S383" s="238" t="str">
        <f t="shared" si="8"/>
        <v/>
      </c>
      <c r="T383" s="238"/>
      <c r="U383" s="237"/>
      <c r="V383" s="238"/>
      <c r="W383" s="238" t="str">
        <f t="shared" si="9"/>
        <v/>
      </c>
      <c r="X383" s="237" t="str">
        <f t="shared" ref="X383:Y383" si="375">IF(ISBLANK(H383),,""""&amp;H383&amp;"""")</f>
        <v/>
      </c>
      <c r="Y383" s="237" t="str">
        <f t="shared" si="375"/>
        <v/>
      </c>
      <c r="Z383" s="237" t="str">
        <f>IF(ISBLANK(K383),,Config!$C$3&amp;"&amp;range=BB"&amp;MATCH(K383,FRG!AE:AE,0))</f>
        <v/>
      </c>
      <c r="AB383" s="242" t="str">
        <f>IFERROR(__xludf.DUMMYFUNCTION("IF(ISBLANK(K383),,SUBSTITUTE(IFERROR(JOIN("","",K383:Z383),JOIN("","",K383:Y383)),CHAR(10),""""))"),"")</f>
        <v/>
      </c>
      <c r="AC383" s="229" t="str">
        <f t="shared" si="1"/>
        <v/>
      </c>
    </row>
    <row r="384">
      <c r="K384" s="237"/>
      <c r="L384" s="238" t="str">
        <f t="shared" si="3"/>
        <v/>
      </c>
      <c r="M384" s="237"/>
      <c r="N384" s="238"/>
      <c r="O384" s="238" t="str">
        <f t="shared" si="4"/>
        <v/>
      </c>
      <c r="P384" s="238" t="str">
        <f t="shared" si="5"/>
        <v/>
      </c>
      <c r="Q384" s="238" t="str">
        <f t="shared" si="6"/>
        <v/>
      </c>
      <c r="R384" s="238" t="str">
        <f t="shared" si="7"/>
        <v/>
      </c>
      <c r="S384" s="238" t="str">
        <f t="shared" si="8"/>
        <v/>
      </c>
      <c r="T384" s="238"/>
      <c r="U384" s="237"/>
      <c r="V384" s="238"/>
      <c r="W384" s="238" t="str">
        <f t="shared" si="9"/>
        <v/>
      </c>
      <c r="X384" s="237" t="str">
        <f t="shared" ref="X384:Y384" si="376">IF(ISBLANK(H384),,""""&amp;H384&amp;"""")</f>
        <v/>
      </c>
      <c r="Y384" s="237" t="str">
        <f t="shared" si="376"/>
        <v/>
      </c>
      <c r="Z384" s="237" t="str">
        <f>IF(ISBLANK(K384),,Config!$C$3&amp;"&amp;range=BB"&amp;MATCH(K384,FRG!AE:AE,0))</f>
        <v/>
      </c>
      <c r="AB384" s="242" t="str">
        <f>IFERROR(__xludf.DUMMYFUNCTION("IF(ISBLANK(K384),,SUBSTITUTE(IFERROR(JOIN("","",K384:Z384),JOIN("","",K384:Y384)),CHAR(10),""""))"),"")</f>
        <v/>
      </c>
      <c r="AC384" s="229" t="str">
        <f t="shared" si="1"/>
        <v/>
      </c>
    </row>
    <row r="385">
      <c r="K385" s="237"/>
      <c r="L385" s="238" t="str">
        <f t="shared" si="3"/>
        <v/>
      </c>
      <c r="M385" s="237"/>
      <c r="N385" s="238"/>
      <c r="O385" s="238" t="str">
        <f t="shared" si="4"/>
        <v/>
      </c>
      <c r="P385" s="238" t="str">
        <f t="shared" si="5"/>
        <v/>
      </c>
      <c r="Q385" s="238" t="str">
        <f t="shared" si="6"/>
        <v/>
      </c>
      <c r="R385" s="238" t="str">
        <f t="shared" si="7"/>
        <v/>
      </c>
      <c r="S385" s="238" t="str">
        <f t="shared" si="8"/>
        <v/>
      </c>
      <c r="T385" s="238"/>
      <c r="U385" s="237"/>
      <c r="V385" s="238"/>
      <c r="W385" s="238" t="str">
        <f t="shared" si="9"/>
        <v/>
      </c>
      <c r="X385" s="237" t="str">
        <f t="shared" ref="X385:Y385" si="377">IF(ISBLANK(H385),,""""&amp;H385&amp;"""")</f>
        <v/>
      </c>
      <c r="Y385" s="237" t="str">
        <f t="shared" si="377"/>
        <v/>
      </c>
      <c r="Z385" s="237" t="str">
        <f>IF(ISBLANK(K385),,Config!$C$3&amp;"&amp;range=BB"&amp;MATCH(K385,FRG!AE:AE,0))</f>
        <v/>
      </c>
      <c r="AB385" s="242" t="str">
        <f>IFERROR(__xludf.DUMMYFUNCTION("IF(ISBLANK(K385),,SUBSTITUTE(IFERROR(JOIN("","",K385:Z385),JOIN("","",K385:Y385)),CHAR(10),""""))"),"")</f>
        <v/>
      </c>
      <c r="AC385" s="229" t="str">
        <f t="shared" si="1"/>
        <v/>
      </c>
    </row>
    <row r="386">
      <c r="K386" s="237"/>
      <c r="L386" s="238" t="str">
        <f t="shared" si="3"/>
        <v/>
      </c>
      <c r="M386" s="237"/>
      <c r="N386" s="238"/>
      <c r="O386" s="238" t="str">
        <f t="shared" si="4"/>
        <v/>
      </c>
      <c r="P386" s="238" t="str">
        <f t="shared" si="5"/>
        <v/>
      </c>
      <c r="Q386" s="238" t="str">
        <f t="shared" si="6"/>
        <v/>
      </c>
      <c r="R386" s="238" t="str">
        <f t="shared" si="7"/>
        <v/>
      </c>
      <c r="S386" s="238" t="str">
        <f t="shared" si="8"/>
        <v/>
      </c>
      <c r="T386" s="238"/>
      <c r="U386" s="237"/>
      <c r="V386" s="238"/>
      <c r="W386" s="238" t="str">
        <f t="shared" si="9"/>
        <v/>
      </c>
      <c r="X386" s="237" t="str">
        <f t="shared" ref="X386:Y386" si="378">IF(ISBLANK(H386),,""""&amp;H386&amp;"""")</f>
        <v/>
      </c>
      <c r="Y386" s="237" t="str">
        <f t="shared" si="378"/>
        <v/>
      </c>
      <c r="Z386" s="237" t="str">
        <f>IF(ISBLANK(K386),,Config!$C$3&amp;"&amp;range=BB"&amp;MATCH(K386,FRG!AE:AE,0))</f>
        <v/>
      </c>
      <c r="AB386" s="242" t="str">
        <f>IFERROR(__xludf.DUMMYFUNCTION("IF(ISBLANK(K386),,SUBSTITUTE(IFERROR(JOIN("","",K386:Z386),JOIN("","",K386:Y386)),CHAR(10),""""))"),"")</f>
        <v/>
      </c>
      <c r="AC386" s="229" t="str">
        <f t="shared" si="1"/>
        <v/>
      </c>
    </row>
    <row r="387">
      <c r="K387" s="237"/>
      <c r="L387" s="238" t="str">
        <f t="shared" si="3"/>
        <v/>
      </c>
      <c r="M387" s="237"/>
      <c r="N387" s="238"/>
      <c r="O387" s="238" t="str">
        <f t="shared" si="4"/>
        <v/>
      </c>
      <c r="P387" s="238" t="str">
        <f t="shared" si="5"/>
        <v/>
      </c>
      <c r="Q387" s="238" t="str">
        <f t="shared" si="6"/>
        <v/>
      </c>
      <c r="R387" s="238" t="str">
        <f t="shared" si="7"/>
        <v/>
      </c>
      <c r="S387" s="238" t="str">
        <f t="shared" si="8"/>
        <v/>
      </c>
      <c r="T387" s="238"/>
      <c r="U387" s="237"/>
      <c r="V387" s="238"/>
      <c r="W387" s="238" t="str">
        <f t="shared" si="9"/>
        <v/>
      </c>
      <c r="X387" s="237" t="str">
        <f t="shared" ref="X387:Y387" si="379">IF(ISBLANK(H387),,""""&amp;H387&amp;"""")</f>
        <v/>
      </c>
      <c r="Y387" s="237" t="str">
        <f t="shared" si="379"/>
        <v/>
      </c>
      <c r="Z387" s="237" t="str">
        <f>IF(ISBLANK(K387),,Config!$C$3&amp;"&amp;range=BB"&amp;MATCH(K387,FRG!AE:AE,0))</f>
        <v/>
      </c>
      <c r="AB387" s="242" t="str">
        <f>IFERROR(__xludf.DUMMYFUNCTION("IF(ISBLANK(K387),,SUBSTITUTE(IFERROR(JOIN("","",K387:Z387),JOIN("","",K387:Y387)),CHAR(10),""""))"),"")</f>
        <v/>
      </c>
      <c r="AC387" s="229" t="str">
        <f t="shared" si="1"/>
        <v/>
      </c>
    </row>
    <row r="388">
      <c r="K388" s="237"/>
      <c r="L388" s="238" t="str">
        <f t="shared" si="3"/>
        <v/>
      </c>
      <c r="M388" s="237"/>
      <c r="N388" s="238"/>
      <c r="O388" s="238" t="str">
        <f t="shared" si="4"/>
        <v/>
      </c>
      <c r="P388" s="238" t="str">
        <f t="shared" si="5"/>
        <v/>
      </c>
      <c r="Q388" s="238" t="str">
        <f t="shared" si="6"/>
        <v/>
      </c>
      <c r="R388" s="238" t="str">
        <f t="shared" si="7"/>
        <v/>
      </c>
      <c r="S388" s="238" t="str">
        <f t="shared" si="8"/>
        <v/>
      </c>
      <c r="T388" s="238"/>
      <c r="U388" s="237"/>
      <c r="V388" s="238"/>
      <c r="W388" s="238" t="str">
        <f t="shared" si="9"/>
        <v/>
      </c>
      <c r="X388" s="237" t="str">
        <f t="shared" ref="X388:Y388" si="380">IF(ISBLANK(H388),,""""&amp;H388&amp;"""")</f>
        <v/>
      </c>
      <c r="Y388" s="237" t="str">
        <f t="shared" si="380"/>
        <v/>
      </c>
      <c r="Z388" s="237" t="str">
        <f>IF(ISBLANK(K388),,Config!$C$3&amp;"&amp;range=BB"&amp;MATCH(K388,FRG!AE:AE,0))</f>
        <v/>
      </c>
      <c r="AB388" s="242" t="str">
        <f>IFERROR(__xludf.DUMMYFUNCTION("IF(ISBLANK(K388),,SUBSTITUTE(IFERROR(JOIN("","",K388:Z388),JOIN("","",K388:Y388)),CHAR(10),""""))"),"")</f>
        <v/>
      </c>
      <c r="AC388" s="229" t="str">
        <f t="shared" si="1"/>
        <v/>
      </c>
    </row>
    <row r="389">
      <c r="K389" s="237"/>
      <c r="L389" s="238" t="str">
        <f t="shared" si="3"/>
        <v/>
      </c>
      <c r="M389" s="237"/>
      <c r="N389" s="238"/>
      <c r="O389" s="238" t="str">
        <f t="shared" si="4"/>
        <v/>
      </c>
      <c r="P389" s="238" t="str">
        <f t="shared" si="5"/>
        <v/>
      </c>
      <c r="Q389" s="238" t="str">
        <f t="shared" si="6"/>
        <v/>
      </c>
      <c r="R389" s="238" t="str">
        <f t="shared" si="7"/>
        <v/>
      </c>
      <c r="S389" s="238" t="str">
        <f t="shared" si="8"/>
        <v/>
      </c>
      <c r="T389" s="238"/>
      <c r="U389" s="237"/>
      <c r="V389" s="238"/>
      <c r="W389" s="238" t="str">
        <f t="shared" si="9"/>
        <v/>
      </c>
      <c r="X389" s="237" t="str">
        <f t="shared" ref="X389:Y389" si="381">IF(ISBLANK(H389),,""""&amp;H389&amp;"""")</f>
        <v/>
      </c>
      <c r="Y389" s="237" t="str">
        <f t="shared" si="381"/>
        <v/>
      </c>
      <c r="Z389" s="237" t="str">
        <f>IF(ISBLANK(K389),,Config!$C$3&amp;"&amp;range=BB"&amp;MATCH(K389,FRG!AE:AE,0))</f>
        <v/>
      </c>
      <c r="AB389" s="242" t="str">
        <f>IFERROR(__xludf.DUMMYFUNCTION("IF(ISBLANK(K389),,SUBSTITUTE(IFERROR(JOIN("","",K389:Z389),JOIN("","",K389:Y389)),CHAR(10),""""))"),"")</f>
        <v/>
      </c>
      <c r="AC389" s="229" t="str">
        <f t="shared" si="1"/>
        <v/>
      </c>
    </row>
    <row r="390">
      <c r="K390" s="237"/>
      <c r="L390" s="238" t="str">
        <f t="shared" si="3"/>
        <v/>
      </c>
      <c r="M390" s="237"/>
      <c r="N390" s="238"/>
      <c r="O390" s="238" t="str">
        <f t="shared" si="4"/>
        <v/>
      </c>
      <c r="P390" s="238" t="str">
        <f t="shared" si="5"/>
        <v/>
      </c>
      <c r="Q390" s="238" t="str">
        <f t="shared" si="6"/>
        <v/>
      </c>
      <c r="R390" s="238" t="str">
        <f t="shared" si="7"/>
        <v/>
      </c>
      <c r="S390" s="238" t="str">
        <f t="shared" si="8"/>
        <v/>
      </c>
      <c r="T390" s="238"/>
      <c r="U390" s="237"/>
      <c r="V390" s="238"/>
      <c r="W390" s="238" t="str">
        <f t="shared" si="9"/>
        <v/>
      </c>
      <c r="X390" s="237" t="str">
        <f t="shared" ref="X390:Y390" si="382">IF(ISBLANK(H390),,""""&amp;H390&amp;"""")</f>
        <v/>
      </c>
      <c r="Y390" s="237" t="str">
        <f t="shared" si="382"/>
        <v/>
      </c>
      <c r="Z390" s="237" t="str">
        <f>IF(ISBLANK(K390),,Config!$C$3&amp;"&amp;range=BB"&amp;MATCH(K390,FRG!AE:AE,0))</f>
        <v/>
      </c>
      <c r="AB390" s="242" t="str">
        <f>IFERROR(__xludf.DUMMYFUNCTION("IF(ISBLANK(K390),,SUBSTITUTE(IFERROR(JOIN("","",K390:Z390),JOIN("","",K390:Y390)),CHAR(10),""""))"),"")</f>
        <v/>
      </c>
      <c r="AC390" s="229" t="str">
        <f t="shared" si="1"/>
        <v/>
      </c>
    </row>
    <row r="391">
      <c r="K391" s="237"/>
      <c r="L391" s="238" t="str">
        <f t="shared" si="3"/>
        <v/>
      </c>
      <c r="M391" s="237"/>
      <c r="N391" s="238"/>
      <c r="O391" s="238" t="str">
        <f t="shared" si="4"/>
        <v/>
      </c>
      <c r="P391" s="238" t="str">
        <f t="shared" si="5"/>
        <v/>
      </c>
      <c r="Q391" s="238" t="str">
        <f t="shared" si="6"/>
        <v/>
      </c>
      <c r="R391" s="238" t="str">
        <f t="shared" si="7"/>
        <v/>
      </c>
      <c r="S391" s="238" t="str">
        <f t="shared" si="8"/>
        <v/>
      </c>
      <c r="T391" s="238"/>
      <c r="U391" s="237"/>
      <c r="V391" s="238"/>
      <c r="W391" s="238" t="str">
        <f t="shared" si="9"/>
        <v/>
      </c>
      <c r="X391" s="237" t="str">
        <f t="shared" ref="X391:Y391" si="383">IF(ISBLANK(H391),,""""&amp;H391&amp;"""")</f>
        <v/>
      </c>
      <c r="Y391" s="237" t="str">
        <f t="shared" si="383"/>
        <v/>
      </c>
      <c r="Z391" s="237" t="str">
        <f>IF(ISBLANK(K391),,Config!$C$3&amp;"&amp;range=BB"&amp;MATCH(K391,FRG!AE:AE,0))</f>
        <v/>
      </c>
      <c r="AB391" s="242" t="str">
        <f>IFERROR(__xludf.DUMMYFUNCTION("IF(ISBLANK(K391),,SUBSTITUTE(IFERROR(JOIN("","",K391:Z391),JOIN("","",K391:Y391)),CHAR(10),""""))"),"")</f>
        <v/>
      </c>
      <c r="AC391" s="229" t="str">
        <f t="shared" si="1"/>
        <v/>
      </c>
    </row>
    <row r="392">
      <c r="K392" s="237"/>
      <c r="L392" s="238" t="str">
        <f t="shared" si="3"/>
        <v/>
      </c>
      <c r="M392" s="237"/>
      <c r="N392" s="238"/>
      <c r="O392" s="238" t="str">
        <f t="shared" si="4"/>
        <v/>
      </c>
      <c r="P392" s="238" t="str">
        <f t="shared" si="5"/>
        <v/>
      </c>
      <c r="Q392" s="238" t="str">
        <f t="shared" si="6"/>
        <v/>
      </c>
      <c r="R392" s="238" t="str">
        <f t="shared" si="7"/>
        <v/>
      </c>
      <c r="S392" s="238" t="str">
        <f t="shared" si="8"/>
        <v/>
      </c>
      <c r="T392" s="238"/>
      <c r="U392" s="237"/>
      <c r="V392" s="238"/>
      <c r="W392" s="238" t="str">
        <f t="shared" si="9"/>
        <v/>
      </c>
      <c r="X392" s="237" t="str">
        <f t="shared" ref="X392:Y392" si="384">IF(ISBLANK(H392),,""""&amp;H392&amp;"""")</f>
        <v/>
      </c>
      <c r="Y392" s="237" t="str">
        <f t="shared" si="384"/>
        <v/>
      </c>
      <c r="Z392" s="237" t="str">
        <f>IF(ISBLANK(K392),,Config!$C$3&amp;"&amp;range=BB"&amp;MATCH(K392,FRG!AE:AE,0))</f>
        <v/>
      </c>
      <c r="AB392" s="242" t="str">
        <f>IFERROR(__xludf.DUMMYFUNCTION("IF(ISBLANK(K392),,SUBSTITUTE(IFERROR(JOIN("","",K392:Z392),JOIN("","",K392:Y392)),CHAR(10),""""))"),"")</f>
        <v/>
      </c>
      <c r="AC392" s="229" t="str">
        <f t="shared" si="1"/>
        <v/>
      </c>
    </row>
    <row r="393">
      <c r="K393" s="237"/>
      <c r="L393" s="238" t="str">
        <f t="shared" si="3"/>
        <v/>
      </c>
      <c r="M393" s="237"/>
      <c r="N393" s="238"/>
      <c r="O393" s="238" t="str">
        <f t="shared" si="4"/>
        <v/>
      </c>
      <c r="P393" s="238" t="str">
        <f t="shared" si="5"/>
        <v/>
      </c>
      <c r="Q393" s="238" t="str">
        <f t="shared" si="6"/>
        <v/>
      </c>
      <c r="R393" s="238" t="str">
        <f t="shared" si="7"/>
        <v/>
      </c>
      <c r="S393" s="238" t="str">
        <f t="shared" si="8"/>
        <v/>
      </c>
      <c r="T393" s="238"/>
      <c r="U393" s="237"/>
      <c r="V393" s="238"/>
      <c r="W393" s="238" t="str">
        <f t="shared" si="9"/>
        <v/>
      </c>
      <c r="X393" s="237" t="str">
        <f t="shared" ref="X393:Y393" si="385">IF(ISBLANK(H393),,""""&amp;H393&amp;"""")</f>
        <v/>
      </c>
      <c r="Y393" s="237" t="str">
        <f t="shared" si="385"/>
        <v/>
      </c>
      <c r="Z393" s="237" t="str">
        <f>IF(ISBLANK(K393),,Config!$C$3&amp;"&amp;range=BB"&amp;MATCH(K393,FRG!AE:AE,0))</f>
        <v/>
      </c>
      <c r="AB393" s="242" t="str">
        <f>IFERROR(__xludf.DUMMYFUNCTION("IF(ISBLANK(K393),,SUBSTITUTE(IFERROR(JOIN("","",K393:Z393),JOIN("","",K393:Y393)),CHAR(10),""""))"),"")</f>
        <v/>
      </c>
      <c r="AC393" s="229" t="str">
        <f t="shared" si="1"/>
        <v/>
      </c>
    </row>
    <row r="394">
      <c r="K394" s="237"/>
      <c r="L394" s="238" t="str">
        <f t="shared" si="3"/>
        <v/>
      </c>
      <c r="M394" s="237"/>
      <c r="N394" s="238"/>
      <c r="O394" s="238" t="str">
        <f t="shared" si="4"/>
        <v/>
      </c>
      <c r="P394" s="238" t="str">
        <f t="shared" si="5"/>
        <v/>
      </c>
      <c r="Q394" s="238" t="str">
        <f t="shared" si="6"/>
        <v/>
      </c>
      <c r="R394" s="238" t="str">
        <f t="shared" si="7"/>
        <v/>
      </c>
      <c r="S394" s="238" t="str">
        <f t="shared" si="8"/>
        <v/>
      </c>
      <c r="T394" s="238"/>
      <c r="U394" s="237"/>
      <c r="V394" s="238"/>
      <c r="W394" s="238" t="str">
        <f t="shared" si="9"/>
        <v/>
      </c>
      <c r="X394" s="237" t="str">
        <f t="shared" ref="X394:Y394" si="386">IF(ISBLANK(H394),,""""&amp;H394&amp;"""")</f>
        <v/>
      </c>
      <c r="Y394" s="237" t="str">
        <f t="shared" si="386"/>
        <v/>
      </c>
      <c r="Z394" s="237" t="str">
        <f>IF(ISBLANK(K394),,Config!$C$3&amp;"&amp;range=BB"&amp;MATCH(K394,FRG!AE:AE,0))</f>
        <v/>
      </c>
      <c r="AB394" s="242" t="str">
        <f>IFERROR(__xludf.DUMMYFUNCTION("IF(ISBLANK(K394),,SUBSTITUTE(IFERROR(JOIN("","",K394:Z394),JOIN("","",K394:Y394)),CHAR(10),""""))"),"")</f>
        <v/>
      </c>
      <c r="AC394" s="229" t="str">
        <f t="shared" si="1"/>
        <v/>
      </c>
    </row>
    <row r="395">
      <c r="K395" s="237"/>
      <c r="L395" s="238" t="str">
        <f t="shared" si="3"/>
        <v/>
      </c>
      <c r="M395" s="237"/>
      <c r="N395" s="238"/>
      <c r="O395" s="238" t="str">
        <f t="shared" si="4"/>
        <v/>
      </c>
      <c r="P395" s="238" t="str">
        <f t="shared" si="5"/>
        <v/>
      </c>
      <c r="Q395" s="238" t="str">
        <f t="shared" si="6"/>
        <v/>
      </c>
      <c r="R395" s="238" t="str">
        <f t="shared" si="7"/>
        <v/>
      </c>
      <c r="S395" s="238" t="str">
        <f t="shared" si="8"/>
        <v/>
      </c>
      <c r="T395" s="238"/>
      <c r="U395" s="237"/>
      <c r="V395" s="238"/>
      <c r="W395" s="238" t="str">
        <f t="shared" si="9"/>
        <v/>
      </c>
      <c r="X395" s="237" t="str">
        <f t="shared" ref="X395:Y395" si="387">IF(ISBLANK(H395),,""""&amp;H395&amp;"""")</f>
        <v/>
      </c>
      <c r="Y395" s="237" t="str">
        <f t="shared" si="387"/>
        <v/>
      </c>
      <c r="Z395" s="237" t="str">
        <f>IF(ISBLANK(K395),,Config!$C$3&amp;"&amp;range=BB"&amp;MATCH(K395,FRG!AE:AE,0))</f>
        <v/>
      </c>
      <c r="AB395" s="242" t="str">
        <f>IFERROR(__xludf.DUMMYFUNCTION("IF(ISBLANK(K395),,SUBSTITUTE(IFERROR(JOIN("","",K395:Z395),JOIN("","",K395:Y395)),CHAR(10),""""))"),"")</f>
        <v/>
      </c>
      <c r="AC395" s="229" t="str">
        <f t="shared" si="1"/>
        <v/>
      </c>
    </row>
    <row r="396">
      <c r="K396" s="237"/>
      <c r="L396" s="238" t="str">
        <f t="shared" si="3"/>
        <v/>
      </c>
      <c r="M396" s="237"/>
      <c r="N396" s="238"/>
      <c r="O396" s="238" t="str">
        <f t="shared" si="4"/>
        <v/>
      </c>
      <c r="P396" s="238" t="str">
        <f t="shared" si="5"/>
        <v/>
      </c>
      <c r="Q396" s="238" t="str">
        <f t="shared" si="6"/>
        <v/>
      </c>
      <c r="R396" s="238" t="str">
        <f t="shared" si="7"/>
        <v/>
      </c>
      <c r="S396" s="238" t="str">
        <f t="shared" si="8"/>
        <v/>
      </c>
      <c r="T396" s="238"/>
      <c r="U396" s="237"/>
      <c r="V396" s="238"/>
      <c r="W396" s="238" t="str">
        <f t="shared" si="9"/>
        <v/>
      </c>
      <c r="X396" s="237" t="str">
        <f t="shared" ref="X396:Y396" si="388">IF(ISBLANK(H396),,""""&amp;H396&amp;"""")</f>
        <v/>
      </c>
      <c r="Y396" s="237" t="str">
        <f t="shared" si="388"/>
        <v/>
      </c>
      <c r="Z396" s="237" t="str">
        <f>IF(ISBLANK(K396),,Config!$C$3&amp;"&amp;range=BB"&amp;MATCH(K396,FRG!AE:AE,0))</f>
        <v/>
      </c>
      <c r="AB396" s="242" t="str">
        <f>IFERROR(__xludf.DUMMYFUNCTION("IF(ISBLANK(K396),,SUBSTITUTE(IFERROR(JOIN("","",K396:Z396),JOIN("","",K396:Y396)),CHAR(10),""""))"),"")</f>
        <v/>
      </c>
      <c r="AC396" s="229" t="str">
        <f t="shared" si="1"/>
        <v/>
      </c>
    </row>
    <row r="397">
      <c r="K397" s="237"/>
      <c r="L397" s="238" t="str">
        <f t="shared" si="3"/>
        <v/>
      </c>
      <c r="M397" s="237"/>
      <c r="N397" s="238"/>
      <c r="O397" s="238" t="str">
        <f t="shared" si="4"/>
        <v/>
      </c>
      <c r="P397" s="238" t="str">
        <f t="shared" si="5"/>
        <v/>
      </c>
      <c r="Q397" s="238" t="str">
        <f t="shared" si="6"/>
        <v/>
      </c>
      <c r="R397" s="238" t="str">
        <f t="shared" si="7"/>
        <v/>
      </c>
      <c r="S397" s="238" t="str">
        <f t="shared" si="8"/>
        <v/>
      </c>
      <c r="T397" s="238"/>
      <c r="U397" s="237"/>
      <c r="V397" s="238"/>
      <c r="W397" s="238" t="str">
        <f t="shared" si="9"/>
        <v/>
      </c>
      <c r="X397" s="237" t="str">
        <f t="shared" ref="X397:Y397" si="389">IF(ISBLANK(H397),,""""&amp;H397&amp;"""")</f>
        <v/>
      </c>
      <c r="Y397" s="237" t="str">
        <f t="shared" si="389"/>
        <v/>
      </c>
      <c r="Z397" s="237" t="str">
        <f>IF(ISBLANK(K397),,Config!$C$3&amp;"&amp;range=BB"&amp;MATCH(K397,FRG!AE:AE,0))</f>
        <v/>
      </c>
      <c r="AB397" s="242" t="str">
        <f>IFERROR(__xludf.DUMMYFUNCTION("IF(ISBLANK(K397),,SUBSTITUTE(IFERROR(JOIN("","",K397:Z397),JOIN("","",K397:Y397)),CHAR(10),""""))"),"")</f>
        <v/>
      </c>
      <c r="AC397" s="229" t="str">
        <f t="shared" si="1"/>
        <v/>
      </c>
    </row>
    <row r="398">
      <c r="K398" s="237"/>
      <c r="L398" s="238" t="str">
        <f t="shared" si="3"/>
        <v/>
      </c>
      <c r="M398" s="237"/>
      <c r="N398" s="238"/>
      <c r="O398" s="238" t="str">
        <f t="shared" si="4"/>
        <v/>
      </c>
      <c r="P398" s="238" t="str">
        <f t="shared" si="5"/>
        <v/>
      </c>
      <c r="Q398" s="238" t="str">
        <f t="shared" si="6"/>
        <v/>
      </c>
      <c r="R398" s="238" t="str">
        <f t="shared" si="7"/>
        <v/>
      </c>
      <c r="S398" s="238" t="str">
        <f t="shared" si="8"/>
        <v/>
      </c>
      <c r="T398" s="238"/>
      <c r="U398" s="237"/>
      <c r="V398" s="238"/>
      <c r="W398" s="238" t="str">
        <f t="shared" si="9"/>
        <v/>
      </c>
      <c r="X398" s="237" t="str">
        <f t="shared" ref="X398:Y398" si="390">IF(ISBLANK(H398),,""""&amp;H398&amp;"""")</f>
        <v/>
      </c>
      <c r="Y398" s="237" t="str">
        <f t="shared" si="390"/>
        <v/>
      </c>
      <c r="Z398" s="237" t="str">
        <f>IF(ISBLANK(K398),,Config!$C$3&amp;"&amp;range=BB"&amp;MATCH(K398,FRG!AE:AE,0))</f>
        <v/>
      </c>
      <c r="AB398" s="242" t="str">
        <f>IFERROR(__xludf.DUMMYFUNCTION("IF(ISBLANK(K398),,SUBSTITUTE(IFERROR(JOIN("","",K398:Z398),JOIN("","",K398:Y398)),CHAR(10),""""))"),"")</f>
        <v/>
      </c>
      <c r="AC398" s="229" t="str">
        <f t="shared" si="1"/>
        <v/>
      </c>
    </row>
    <row r="399">
      <c r="K399" s="237"/>
      <c r="L399" s="238" t="str">
        <f t="shared" si="3"/>
        <v/>
      </c>
      <c r="M399" s="237"/>
      <c r="N399" s="238"/>
      <c r="O399" s="238" t="str">
        <f t="shared" si="4"/>
        <v/>
      </c>
      <c r="P399" s="238" t="str">
        <f t="shared" si="5"/>
        <v/>
      </c>
      <c r="Q399" s="238" t="str">
        <f t="shared" si="6"/>
        <v/>
      </c>
      <c r="R399" s="238" t="str">
        <f t="shared" si="7"/>
        <v/>
      </c>
      <c r="S399" s="238" t="str">
        <f t="shared" si="8"/>
        <v/>
      </c>
      <c r="T399" s="238"/>
      <c r="U399" s="237"/>
      <c r="V399" s="238"/>
      <c r="W399" s="238" t="str">
        <f t="shared" si="9"/>
        <v/>
      </c>
      <c r="X399" s="237" t="str">
        <f t="shared" ref="X399:Y399" si="391">IF(ISBLANK(H399),,""""&amp;H399&amp;"""")</f>
        <v/>
      </c>
      <c r="Y399" s="237" t="str">
        <f t="shared" si="391"/>
        <v/>
      </c>
      <c r="Z399" s="237" t="str">
        <f>IF(ISBLANK(K399),,Config!$C$3&amp;"&amp;range=BB"&amp;MATCH(K399,FRG!AE:AE,0))</f>
        <v/>
      </c>
      <c r="AB399" s="242" t="str">
        <f>IFERROR(__xludf.DUMMYFUNCTION("IF(ISBLANK(K399),,SUBSTITUTE(IFERROR(JOIN("","",K399:Z399),JOIN("","",K399:Y399)),CHAR(10),""""))"),"")</f>
        <v/>
      </c>
      <c r="AC399" s="229" t="str">
        <f t="shared" si="1"/>
        <v/>
      </c>
    </row>
    <row r="400">
      <c r="K400" s="237"/>
      <c r="L400" s="238" t="str">
        <f t="shared" si="3"/>
        <v/>
      </c>
      <c r="M400" s="237"/>
      <c r="N400" s="238"/>
      <c r="O400" s="238" t="str">
        <f t="shared" si="4"/>
        <v/>
      </c>
      <c r="P400" s="238" t="str">
        <f t="shared" si="5"/>
        <v/>
      </c>
      <c r="Q400" s="238" t="str">
        <f t="shared" si="6"/>
        <v/>
      </c>
      <c r="R400" s="238" t="str">
        <f t="shared" si="7"/>
        <v/>
      </c>
      <c r="S400" s="238" t="str">
        <f t="shared" si="8"/>
        <v/>
      </c>
      <c r="T400" s="238"/>
      <c r="U400" s="237"/>
      <c r="V400" s="238"/>
      <c r="W400" s="238" t="str">
        <f t="shared" si="9"/>
        <v/>
      </c>
      <c r="X400" s="237" t="str">
        <f t="shared" ref="X400:Y400" si="392">IF(ISBLANK(H400),,""""&amp;H400&amp;"""")</f>
        <v/>
      </c>
      <c r="Y400" s="237" t="str">
        <f t="shared" si="392"/>
        <v/>
      </c>
      <c r="Z400" s="237" t="str">
        <f>IF(ISBLANK(K400),,Config!$C$3&amp;"&amp;range=BB"&amp;MATCH(K400,FRG!AE:AE,0))</f>
        <v/>
      </c>
      <c r="AB400" s="242" t="str">
        <f>IFERROR(__xludf.DUMMYFUNCTION("IF(ISBLANK(K400),,SUBSTITUTE(IFERROR(JOIN("","",K400:Z400),JOIN("","",K400:Y400)),CHAR(10),""""))"),"")</f>
        <v/>
      </c>
      <c r="AC400" s="229" t="str">
        <f t="shared" si="1"/>
        <v/>
      </c>
    </row>
    <row r="401">
      <c r="K401" s="237"/>
      <c r="L401" s="238" t="str">
        <f t="shared" si="3"/>
        <v/>
      </c>
      <c r="M401" s="237"/>
      <c r="N401" s="238"/>
      <c r="O401" s="238" t="str">
        <f t="shared" si="4"/>
        <v/>
      </c>
      <c r="P401" s="238" t="str">
        <f t="shared" si="5"/>
        <v/>
      </c>
      <c r="Q401" s="238" t="str">
        <f t="shared" si="6"/>
        <v/>
      </c>
      <c r="R401" s="238" t="str">
        <f t="shared" si="7"/>
        <v/>
      </c>
      <c r="S401" s="238" t="str">
        <f t="shared" si="8"/>
        <v/>
      </c>
      <c r="T401" s="238"/>
      <c r="U401" s="237"/>
      <c r="V401" s="238"/>
      <c r="W401" s="238" t="str">
        <f t="shared" si="9"/>
        <v/>
      </c>
      <c r="X401" s="237" t="str">
        <f t="shared" ref="X401:Y401" si="393">IF(ISBLANK(H401),,""""&amp;H401&amp;"""")</f>
        <v/>
      </c>
      <c r="Y401" s="237" t="str">
        <f t="shared" si="393"/>
        <v/>
      </c>
      <c r="Z401" s="237" t="str">
        <f>IF(ISBLANK(K401),,Config!$C$3&amp;"&amp;range=BB"&amp;MATCH(K401,FRG!AE:AE,0))</f>
        <v/>
      </c>
      <c r="AB401" s="242" t="str">
        <f>IFERROR(__xludf.DUMMYFUNCTION("IF(ISBLANK(K401),,SUBSTITUTE(IFERROR(JOIN("","",K401:Z401),JOIN("","",K401:Y401)),CHAR(10),""""))"),"")</f>
        <v/>
      </c>
      <c r="AC401" s="229" t="str">
        <f t="shared" si="1"/>
        <v/>
      </c>
    </row>
    <row r="402">
      <c r="K402" s="237"/>
      <c r="L402" s="238" t="str">
        <f t="shared" si="3"/>
        <v/>
      </c>
      <c r="M402" s="237"/>
      <c r="N402" s="238"/>
      <c r="O402" s="238" t="str">
        <f t="shared" si="4"/>
        <v/>
      </c>
      <c r="P402" s="238" t="str">
        <f t="shared" si="5"/>
        <v/>
      </c>
      <c r="Q402" s="238" t="str">
        <f t="shared" si="6"/>
        <v/>
      </c>
      <c r="R402" s="238" t="str">
        <f t="shared" si="7"/>
        <v/>
      </c>
      <c r="S402" s="238" t="str">
        <f t="shared" si="8"/>
        <v/>
      </c>
      <c r="T402" s="238"/>
      <c r="U402" s="237"/>
      <c r="V402" s="238"/>
      <c r="W402" s="238" t="str">
        <f t="shared" si="9"/>
        <v/>
      </c>
      <c r="X402" s="237" t="str">
        <f t="shared" ref="X402:Y402" si="394">IF(ISBLANK(H402),,""""&amp;H402&amp;"""")</f>
        <v/>
      </c>
      <c r="Y402" s="237" t="str">
        <f t="shared" si="394"/>
        <v/>
      </c>
      <c r="Z402" s="237" t="str">
        <f>IF(ISBLANK(K402),,Config!$C$3&amp;"&amp;range=BB"&amp;MATCH(K402,FRG!AE:AE,0))</f>
        <v/>
      </c>
      <c r="AB402" s="242" t="str">
        <f>IFERROR(__xludf.DUMMYFUNCTION("IF(ISBLANK(K402),,SUBSTITUTE(IFERROR(JOIN("","",K402:Z402),JOIN("","",K402:Y402)),CHAR(10),""""))"),"")</f>
        <v/>
      </c>
      <c r="AC402" s="229" t="str">
        <f t="shared" si="1"/>
        <v/>
      </c>
    </row>
    <row r="403">
      <c r="K403" s="237"/>
      <c r="L403" s="238" t="str">
        <f t="shared" si="3"/>
        <v/>
      </c>
      <c r="M403" s="237"/>
      <c r="N403" s="238"/>
      <c r="O403" s="238" t="str">
        <f t="shared" si="4"/>
        <v/>
      </c>
      <c r="P403" s="238" t="str">
        <f t="shared" si="5"/>
        <v/>
      </c>
      <c r="Q403" s="238" t="str">
        <f t="shared" si="6"/>
        <v/>
      </c>
      <c r="R403" s="238" t="str">
        <f t="shared" si="7"/>
        <v/>
      </c>
      <c r="S403" s="238" t="str">
        <f t="shared" si="8"/>
        <v/>
      </c>
      <c r="T403" s="238"/>
      <c r="U403" s="237"/>
      <c r="V403" s="238"/>
      <c r="W403" s="238" t="str">
        <f t="shared" si="9"/>
        <v/>
      </c>
      <c r="X403" s="237" t="str">
        <f t="shared" ref="X403:Y403" si="395">IF(ISBLANK(H403),,""""&amp;H403&amp;"""")</f>
        <v/>
      </c>
      <c r="Y403" s="237" t="str">
        <f t="shared" si="395"/>
        <v/>
      </c>
      <c r="Z403" s="237" t="str">
        <f>IF(ISBLANK(K403),,Config!$C$3&amp;"&amp;range=BB"&amp;MATCH(K403,FRG!AE:AE,0))</f>
        <v/>
      </c>
      <c r="AB403" s="242" t="str">
        <f>IFERROR(__xludf.DUMMYFUNCTION("IF(ISBLANK(K403),,SUBSTITUTE(IFERROR(JOIN("","",K403:Z403),JOIN("","",K403:Y403)),CHAR(10),""""))"),"")</f>
        <v/>
      </c>
      <c r="AC403" s="229" t="str">
        <f t="shared" si="1"/>
        <v/>
      </c>
    </row>
    <row r="404">
      <c r="K404" s="237"/>
      <c r="L404" s="238" t="str">
        <f t="shared" si="3"/>
        <v/>
      </c>
      <c r="M404" s="237"/>
      <c r="N404" s="238"/>
      <c r="O404" s="238" t="str">
        <f t="shared" si="4"/>
        <v/>
      </c>
      <c r="P404" s="238" t="str">
        <f t="shared" si="5"/>
        <v/>
      </c>
      <c r="Q404" s="238" t="str">
        <f t="shared" si="6"/>
        <v/>
      </c>
      <c r="R404" s="238" t="str">
        <f t="shared" si="7"/>
        <v/>
      </c>
      <c r="S404" s="238" t="str">
        <f t="shared" si="8"/>
        <v/>
      </c>
      <c r="T404" s="238"/>
      <c r="U404" s="237"/>
      <c r="V404" s="238"/>
      <c r="W404" s="238" t="str">
        <f t="shared" si="9"/>
        <v/>
      </c>
      <c r="X404" s="237" t="str">
        <f t="shared" ref="X404:Y404" si="396">IF(ISBLANK(H404),,""""&amp;H404&amp;"""")</f>
        <v/>
      </c>
      <c r="Y404" s="237" t="str">
        <f t="shared" si="396"/>
        <v/>
      </c>
      <c r="Z404" s="237" t="str">
        <f>IF(ISBLANK(K404),,Config!$C$3&amp;"&amp;range=BB"&amp;MATCH(K404,FRG!AE:AE,0))</f>
        <v/>
      </c>
      <c r="AB404" s="242" t="str">
        <f>IFERROR(__xludf.DUMMYFUNCTION("IF(ISBLANK(K404),,SUBSTITUTE(IFERROR(JOIN("","",K404:Z404),JOIN("","",K404:Y404)),CHAR(10),""""))"),"")</f>
        <v/>
      </c>
      <c r="AC404" s="229" t="str">
        <f t="shared" si="1"/>
        <v/>
      </c>
    </row>
    <row r="405">
      <c r="K405" s="237"/>
      <c r="L405" s="238" t="str">
        <f t="shared" si="3"/>
        <v/>
      </c>
      <c r="M405" s="237"/>
      <c r="N405" s="238"/>
      <c r="O405" s="238" t="str">
        <f t="shared" si="4"/>
        <v/>
      </c>
      <c r="P405" s="238" t="str">
        <f t="shared" si="5"/>
        <v/>
      </c>
      <c r="Q405" s="238" t="str">
        <f t="shared" si="6"/>
        <v/>
      </c>
      <c r="R405" s="238" t="str">
        <f t="shared" si="7"/>
        <v/>
      </c>
      <c r="S405" s="238" t="str">
        <f t="shared" si="8"/>
        <v/>
      </c>
      <c r="T405" s="238"/>
      <c r="U405" s="237"/>
      <c r="V405" s="238"/>
      <c r="W405" s="238" t="str">
        <f t="shared" si="9"/>
        <v/>
      </c>
      <c r="X405" s="237" t="str">
        <f t="shared" ref="X405:Y405" si="397">IF(ISBLANK(H405),,""""&amp;H405&amp;"""")</f>
        <v/>
      </c>
      <c r="Y405" s="237" t="str">
        <f t="shared" si="397"/>
        <v/>
      </c>
      <c r="Z405" s="237" t="str">
        <f>IF(ISBLANK(K405),,Config!$C$3&amp;"&amp;range=BB"&amp;MATCH(K405,FRG!AE:AE,0))</f>
        <v/>
      </c>
      <c r="AB405" s="242" t="str">
        <f>IFERROR(__xludf.DUMMYFUNCTION("IF(ISBLANK(K405),,SUBSTITUTE(IFERROR(JOIN("","",K405:Z405),JOIN("","",K405:Y405)),CHAR(10),""""))"),"")</f>
        <v/>
      </c>
      <c r="AC405" s="229" t="str">
        <f t="shared" si="1"/>
        <v/>
      </c>
    </row>
    <row r="406">
      <c r="K406" s="237"/>
      <c r="L406" s="238" t="str">
        <f t="shared" si="3"/>
        <v/>
      </c>
      <c r="M406" s="237"/>
      <c r="N406" s="238"/>
      <c r="O406" s="238" t="str">
        <f t="shared" si="4"/>
        <v/>
      </c>
      <c r="P406" s="238" t="str">
        <f t="shared" si="5"/>
        <v/>
      </c>
      <c r="Q406" s="238" t="str">
        <f t="shared" si="6"/>
        <v/>
      </c>
      <c r="R406" s="238" t="str">
        <f t="shared" si="7"/>
        <v/>
      </c>
      <c r="S406" s="238" t="str">
        <f t="shared" si="8"/>
        <v/>
      </c>
      <c r="T406" s="238"/>
      <c r="U406" s="237"/>
      <c r="V406" s="238"/>
      <c r="W406" s="238" t="str">
        <f t="shared" si="9"/>
        <v/>
      </c>
      <c r="X406" s="237" t="str">
        <f t="shared" ref="X406:Y406" si="398">IF(ISBLANK(H406),,""""&amp;H406&amp;"""")</f>
        <v/>
      </c>
      <c r="Y406" s="237" t="str">
        <f t="shared" si="398"/>
        <v/>
      </c>
      <c r="Z406" s="237" t="str">
        <f>IF(ISBLANK(K406),,Config!$C$3&amp;"&amp;range=BB"&amp;MATCH(K406,FRG!AE:AE,0))</f>
        <v/>
      </c>
      <c r="AB406" s="242" t="str">
        <f>IFERROR(__xludf.DUMMYFUNCTION("IF(ISBLANK(K406),,SUBSTITUTE(IFERROR(JOIN("","",K406:Z406),JOIN("","",K406:Y406)),CHAR(10),""""))"),"")</f>
        <v/>
      </c>
      <c r="AC406" s="229" t="str">
        <f t="shared" si="1"/>
        <v/>
      </c>
    </row>
    <row r="407">
      <c r="K407" s="237"/>
      <c r="L407" s="238" t="str">
        <f t="shared" si="3"/>
        <v/>
      </c>
      <c r="M407" s="237"/>
      <c r="N407" s="238"/>
      <c r="O407" s="238" t="str">
        <f t="shared" si="4"/>
        <v/>
      </c>
      <c r="P407" s="238" t="str">
        <f t="shared" si="5"/>
        <v/>
      </c>
      <c r="Q407" s="238" t="str">
        <f t="shared" si="6"/>
        <v/>
      </c>
      <c r="R407" s="238" t="str">
        <f t="shared" si="7"/>
        <v/>
      </c>
      <c r="S407" s="238" t="str">
        <f t="shared" si="8"/>
        <v/>
      </c>
      <c r="T407" s="238"/>
      <c r="U407" s="237"/>
      <c r="V407" s="238"/>
      <c r="W407" s="238" t="str">
        <f t="shared" si="9"/>
        <v/>
      </c>
      <c r="X407" s="237" t="str">
        <f t="shared" ref="X407:Y407" si="399">IF(ISBLANK(H407),,""""&amp;H407&amp;"""")</f>
        <v/>
      </c>
      <c r="Y407" s="237" t="str">
        <f t="shared" si="399"/>
        <v/>
      </c>
      <c r="Z407" s="237" t="str">
        <f>IF(ISBLANK(K407),,Config!$C$3&amp;"&amp;range=BB"&amp;MATCH(K407,FRG!AE:AE,0))</f>
        <v/>
      </c>
      <c r="AB407" s="242" t="str">
        <f>IFERROR(__xludf.DUMMYFUNCTION("IF(ISBLANK(K407),,SUBSTITUTE(IFERROR(JOIN("","",K407:Z407),JOIN("","",K407:Y407)),CHAR(10),""""))"),"")</f>
        <v/>
      </c>
      <c r="AC407" s="229" t="str">
        <f t="shared" si="1"/>
        <v/>
      </c>
    </row>
    <row r="408">
      <c r="K408" s="237"/>
      <c r="L408" s="238" t="str">
        <f t="shared" si="3"/>
        <v/>
      </c>
      <c r="M408" s="237"/>
      <c r="N408" s="238"/>
      <c r="O408" s="238" t="str">
        <f t="shared" si="4"/>
        <v/>
      </c>
      <c r="P408" s="238" t="str">
        <f t="shared" si="5"/>
        <v/>
      </c>
      <c r="Q408" s="238" t="str">
        <f t="shared" si="6"/>
        <v/>
      </c>
      <c r="R408" s="238" t="str">
        <f t="shared" si="7"/>
        <v/>
      </c>
      <c r="S408" s="238" t="str">
        <f t="shared" si="8"/>
        <v/>
      </c>
      <c r="T408" s="238"/>
      <c r="U408" s="237"/>
      <c r="V408" s="238"/>
      <c r="W408" s="238" t="str">
        <f t="shared" si="9"/>
        <v/>
      </c>
      <c r="X408" s="237" t="str">
        <f t="shared" ref="X408:Y408" si="400">IF(ISBLANK(H408),,""""&amp;H408&amp;"""")</f>
        <v/>
      </c>
      <c r="Y408" s="237" t="str">
        <f t="shared" si="400"/>
        <v/>
      </c>
      <c r="Z408" s="237" t="str">
        <f>IF(ISBLANK(K408),,Config!$C$3&amp;"&amp;range=BB"&amp;MATCH(K408,FRG!AE:AE,0))</f>
        <v/>
      </c>
      <c r="AB408" s="242" t="str">
        <f>IFERROR(__xludf.DUMMYFUNCTION("IF(ISBLANK(K408),,SUBSTITUTE(IFERROR(JOIN("","",K408:Z408),JOIN("","",K408:Y408)),CHAR(10),""""))"),"")</f>
        <v/>
      </c>
      <c r="AC408" s="229" t="str">
        <f t="shared" si="1"/>
        <v/>
      </c>
    </row>
    <row r="409">
      <c r="K409" s="237"/>
      <c r="L409" s="238" t="str">
        <f t="shared" si="3"/>
        <v/>
      </c>
      <c r="M409" s="237"/>
      <c r="N409" s="238"/>
      <c r="O409" s="238" t="str">
        <f t="shared" si="4"/>
        <v/>
      </c>
      <c r="P409" s="238" t="str">
        <f t="shared" si="5"/>
        <v/>
      </c>
      <c r="Q409" s="238" t="str">
        <f t="shared" si="6"/>
        <v/>
      </c>
      <c r="R409" s="238" t="str">
        <f t="shared" si="7"/>
        <v/>
      </c>
      <c r="S409" s="238" t="str">
        <f t="shared" si="8"/>
        <v/>
      </c>
      <c r="T409" s="238"/>
      <c r="U409" s="237"/>
      <c r="V409" s="238"/>
      <c r="W409" s="238" t="str">
        <f t="shared" si="9"/>
        <v/>
      </c>
      <c r="X409" s="237" t="str">
        <f t="shared" ref="X409:Y409" si="401">IF(ISBLANK(H409),,""""&amp;H409&amp;"""")</f>
        <v/>
      </c>
      <c r="Y409" s="237" t="str">
        <f t="shared" si="401"/>
        <v/>
      </c>
      <c r="Z409" s="237" t="str">
        <f>IF(ISBLANK(K409),,Config!$C$3&amp;"&amp;range=BB"&amp;MATCH(K409,FRG!AE:AE,0))</f>
        <v/>
      </c>
      <c r="AB409" s="242" t="str">
        <f>IFERROR(__xludf.DUMMYFUNCTION("IF(ISBLANK(K409),,SUBSTITUTE(IFERROR(JOIN("","",K409:Z409),JOIN("","",K409:Y409)),CHAR(10),""""))"),"")</f>
        <v/>
      </c>
      <c r="AC409" s="229" t="str">
        <f t="shared" si="1"/>
        <v/>
      </c>
    </row>
    <row r="410">
      <c r="K410" s="237"/>
      <c r="L410" s="238" t="str">
        <f t="shared" si="3"/>
        <v/>
      </c>
      <c r="M410" s="237"/>
      <c r="N410" s="238"/>
      <c r="O410" s="238" t="str">
        <f t="shared" si="4"/>
        <v/>
      </c>
      <c r="P410" s="238" t="str">
        <f t="shared" si="5"/>
        <v/>
      </c>
      <c r="Q410" s="238" t="str">
        <f t="shared" si="6"/>
        <v/>
      </c>
      <c r="R410" s="238" t="str">
        <f t="shared" si="7"/>
        <v/>
      </c>
      <c r="S410" s="238" t="str">
        <f t="shared" si="8"/>
        <v/>
      </c>
      <c r="T410" s="238"/>
      <c r="U410" s="237"/>
      <c r="V410" s="238"/>
      <c r="W410" s="238" t="str">
        <f t="shared" si="9"/>
        <v/>
      </c>
      <c r="X410" s="237" t="str">
        <f t="shared" ref="X410:Y410" si="402">IF(ISBLANK(H410),,""""&amp;H410&amp;"""")</f>
        <v/>
      </c>
      <c r="Y410" s="237" t="str">
        <f t="shared" si="402"/>
        <v/>
      </c>
      <c r="Z410" s="237" t="str">
        <f>IF(ISBLANK(K410),,Config!$C$3&amp;"&amp;range=BB"&amp;MATCH(K410,FRG!AE:AE,0))</f>
        <v/>
      </c>
      <c r="AB410" s="242" t="str">
        <f>IFERROR(__xludf.DUMMYFUNCTION("IF(ISBLANK(K410),,SUBSTITUTE(IFERROR(JOIN("","",K410:Z410),JOIN("","",K410:Y410)),CHAR(10),""""))"),"")</f>
        <v/>
      </c>
      <c r="AC410" s="229" t="str">
        <f t="shared" si="1"/>
        <v/>
      </c>
    </row>
    <row r="411">
      <c r="K411" s="237"/>
      <c r="L411" s="238" t="str">
        <f t="shared" si="3"/>
        <v/>
      </c>
      <c r="M411" s="237"/>
      <c r="N411" s="238"/>
      <c r="O411" s="238" t="str">
        <f t="shared" si="4"/>
        <v/>
      </c>
      <c r="P411" s="238" t="str">
        <f t="shared" si="5"/>
        <v/>
      </c>
      <c r="Q411" s="238" t="str">
        <f t="shared" si="6"/>
        <v/>
      </c>
      <c r="R411" s="238" t="str">
        <f t="shared" si="7"/>
        <v/>
      </c>
      <c r="S411" s="238" t="str">
        <f t="shared" si="8"/>
        <v/>
      </c>
      <c r="T411" s="238"/>
      <c r="U411" s="237"/>
      <c r="V411" s="238"/>
      <c r="W411" s="238" t="str">
        <f t="shared" si="9"/>
        <v/>
      </c>
      <c r="X411" s="237" t="str">
        <f t="shared" ref="X411:Y411" si="403">IF(ISBLANK(H411),,""""&amp;H411&amp;"""")</f>
        <v/>
      </c>
      <c r="Y411" s="237" t="str">
        <f t="shared" si="403"/>
        <v/>
      </c>
      <c r="Z411" s="237" t="str">
        <f>IF(ISBLANK(K411),,Config!$C$3&amp;"&amp;range=BB"&amp;MATCH(K411,FRG!AE:AE,0))</f>
        <v/>
      </c>
      <c r="AB411" s="242" t="str">
        <f>IFERROR(__xludf.DUMMYFUNCTION("IF(ISBLANK(K411),,SUBSTITUTE(IFERROR(JOIN("","",K411:Z411),JOIN("","",K411:Y411)),CHAR(10),""""))"),"")</f>
        <v/>
      </c>
      <c r="AC411" s="229" t="str">
        <f t="shared" si="1"/>
        <v/>
      </c>
    </row>
    <row r="412">
      <c r="K412" s="237"/>
      <c r="L412" s="238" t="str">
        <f t="shared" si="3"/>
        <v/>
      </c>
      <c r="M412" s="237"/>
      <c r="N412" s="238"/>
      <c r="O412" s="238" t="str">
        <f t="shared" si="4"/>
        <v/>
      </c>
      <c r="P412" s="238" t="str">
        <f t="shared" si="5"/>
        <v/>
      </c>
      <c r="Q412" s="238" t="str">
        <f t="shared" si="6"/>
        <v/>
      </c>
      <c r="R412" s="238" t="str">
        <f t="shared" si="7"/>
        <v/>
      </c>
      <c r="S412" s="238" t="str">
        <f t="shared" si="8"/>
        <v/>
      </c>
      <c r="T412" s="238"/>
      <c r="U412" s="237"/>
      <c r="V412" s="238"/>
      <c r="W412" s="238" t="str">
        <f t="shared" si="9"/>
        <v/>
      </c>
      <c r="X412" s="237" t="str">
        <f t="shared" ref="X412:Y412" si="404">IF(ISBLANK(H412),,""""&amp;H412&amp;"""")</f>
        <v/>
      </c>
      <c r="Y412" s="237" t="str">
        <f t="shared" si="404"/>
        <v/>
      </c>
      <c r="Z412" s="237" t="str">
        <f>IF(ISBLANK(K412),,Config!$C$3&amp;"&amp;range=BB"&amp;MATCH(K412,FRG!AE:AE,0))</f>
        <v/>
      </c>
      <c r="AB412" s="242" t="str">
        <f>IFERROR(__xludf.DUMMYFUNCTION("IF(ISBLANK(K412),,SUBSTITUTE(IFERROR(JOIN("","",K412:Z412),JOIN("","",K412:Y412)),CHAR(10),""""))"),"")</f>
        <v/>
      </c>
      <c r="AC412" s="229" t="str">
        <f t="shared" si="1"/>
        <v/>
      </c>
    </row>
    <row r="413">
      <c r="K413" s="237"/>
      <c r="L413" s="238" t="str">
        <f t="shared" si="3"/>
        <v/>
      </c>
      <c r="M413" s="237"/>
      <c r="N413" s="238"/>
      <c r="O413" s="238" t="str">
        <f t="shared" si="4"/>
        <v/>
      </c>
      <c r="P413" s="238" t="str">
        <f t="shared" si="5"/>
        <v/>
      </c>
      <c r="Q413" s="238" t="str">
        <f t="shared" si="6"/>
        <v/>
      </c>
      <c r="R413" s="238" t="str">
        <f t="shared" si="7"/>
        <v/>
      </c>
      <c r="S413" s="238" t="str">
        <f t="shared" si="8"/>
        <v/>
      </c>
      <c r="T413" s="238"/>
      <c r="U413" s="237"/>
      <c r="V413" s="238"/>
      <c r="W413" s="238" t="str">
        <f t="shared" si="9"/>
        <v/>
      </c>
      <c r="X413" s="237" t="str">
        <f t="shared" ref="X413:Y413" si="405">IF(ISBLANK(H413),,""""&amp;H413&amp;"""")</f>
        <v/>
      </c>
      <c r="Y413" s="237" t="str">
        <f t="shared" si="405"/>
        <v/>
      </c>
      <c r="Z413" s="237" t="str">
        <f>IF(ISBLANK(K413),,Config!$C$3&amp;"&amp;range=BB"&amp;MATCH(K413,FRG!AE:AE,0))</f>
        <v/>
      </c>
      <c r="AB413" s="242" t="str">
        <f>IFERROR(__xludf.DUMMYFUNCTION("IF(ISBLANK(K413),,SUBSTITUTE(IFERROR(JOIN("","",K413:Z413),JOIN("","",K413:Y413)),CHAR(10),""""))"),"")</f>
        <v/>
      </c>
      <c r="AC413" s="229" t="str">
        <f t="shared" si="1"/>
        <v/>
      </c>
    </row>
    <row r="414">
      <c r="K414" s="237"/>
      <c r="L414" s="238" t="str">
        <f t="shared" si="3"/>
        <v/>
      </c>
      <c r="M414" s="237"/>
      <c r="N414" s="238"/>
      <c r="O414" s="238" t="str">
        <f t="shared" si="4"/>
        <v/>
      </c>
      <c r="P414" s="238" t="str">
        <f t="shared" si="5"/>
        <v/>
      </c>
      <c r="Q414" s="238" t="str">
        <f t="shared" si="6"/>
        <v/>
      </c>
      <c r="R414" s="238" t="str">
        <f t="shared" si="7"/>
        <v/>
      </c>
      <c r="S414" s="238" t="str">
        <f t="shared" si="8"/>
        <v/>
      </c>
      <c r="T414" s="238"/>
      <c r="U414" s="237"/>
      <c r="V414" s="238"/>
      <c r="W414" s="238" t="str">
        <f t="shared" si="9"/>
        <v/>
      </c>
      <c r="X414" s="237" t="str">
        <f t="shared" ref="X414:Y414" si="406">IF(ISBLANK(H414),,""""&amp;H414&amp;"""")</f>
        <v/>
      </c>
      <c r="Y414" s="237" t="str">
        <f t="shared" si="406"/>
        <v/>
      </c>
      <c r="Z414" s="237" t="str">
        <f>IF(ISBLANK(K414),,Config!$C$3&amp;"&amp;range=BB"&amp;MATCH(K414,FRG!AE:AE,0))</f>
        <v/>
      </c>
      <c r="AB414" s="242" t="str">
        <f>IFERROR(__xludf.DUMMYFUNCTION("IF(ISBLANK(K414),,SUBSTITUTE(IFERROR(JOIN("","",K414:Z414),JOIN("","",K414:Y414)),CHAR(10),""""))"),"")</f>
        <v/>
      </c>
      <c r="AC414" s="229" t="str">
        <f t="shared" si="1"/>
        <v/>
      </c>
    </row>
    <row r="415">
      <c r="K415" s="237"/>
      <c r="L415" s="238" t="str">
        <f t="shared" si="3"/>
        <v/>
      </c>
      <c r="M415" s="237"/>
      <c r="N415" s="238"/>
      <c r="O415" s="238" t="str">
        <f t="shared" si="4"/>
        <v/>
      </c>
      <c r="P415" s="238" t="str">
        <f t="shared" si="5"/>
        <v/>
      </c>
      <c r="Q415" s="238" t="str">
        <f t="shared" si="6"/>
        <v/>
      </c>
      <c r="R415" s="238" t="str">
        <f t="shared" si="7"/>
        <v/>
      </c>
      <c r="S415" s="238" t="str">
        <f t="shared" si="8"/>
        <v/>
      </c>
      <c r="T415" s="238"/>
      <c r="U415" s="237"/>
      <c r="V415" s="238"/>
      <c r="W415" s="238" t="str">
        <f t="shared" si="9"/>
        <v/>
      </c>
      <c r="X415" s="237" t="str">
        <f t="shared" ref="X415:Y415" si="407">IF(ISBLANK(H415),,""""&amp;H415&amp;"""")</f>
        <v/>
      </c>
      <c r="Y415" s="237" t="str">
        <f t="shared" si="407"/>
        <v/>
      </c>
      <c r="Z415" s="237" t="str">
        <f>IF(ISBLANK(K415),,Config!$C$3&amp;"&amp;range=BB"&amp;MATCH(K415,FRG!AE:AE,0))</f>
        <v/>
      </c>
      <c r="AB415" s="242" t="str">
        <f>IFERROR(__xludf.DUMMYFUNCTION("IF(ISBLANK(K415),,SUBSTITUTE(IFERROR(JOIN("","",K415:Z415),JOIN("","",K415:Y415)),CHAR(10),""""))"),"")</f>
        <v/>
      </c>
      <c r="AC415" s="229" t="str">
        <f t="shared" si="1"/>
        <v/>
      </c>
    </row>
    <row r="416">
      <c r="K416" s="237"/>
      <c r="L416" s="238" t="str">
        <f t="shared" si="3"/>
        <v/>
      </c>
      <c r="M416" s="237"/>
      <c r="N416" s="238"/>
      <c r="O416" s="238" t="str">
        <f t="shared" si="4"/>
        <v/>
      </c>
      <c r="P416" s="238" t="str">
        <f t="shared" si="5"/>
        <v/>
      </c>
      <c r="Q416" s="238" t="str">
        <f t="shared" si="6"/>
        <v/>
      </c>
      <c r="R416" s="238" t="str">
        <f t="shared" si="7"/>
        <v/>
      </c>
      <c r="S416" s="238" t="str">
        <f t="shared" si="8"/>
        <v/>
      </c>
      <c r="T416" s="238"/>
      <c r="U416" s="237"/>
      <c r="V416" s="238"/>
      <c r="W416" s="238" t="str">
        <f t="shared" si="9"/>
        <v/>
      </c>
      <c r="X416" s="237" t="str">
        <f t="shared" ref="X416:Y416" si="408">IF(ISBLANK(H416),,""""&amp;H416&amp;"""")</f>
        <v/>
      </c>
      <c r="Y416" s="237" t="str">
        <f t="shared" si="408"/>
        <v/>
      </c>
      <c r="Z416" s="237" t="str">
        <f>IF(ISBLANK(K416),,Config!$C$3&amp;"&amp;range=BB"&amp;MATCH(K416,FRG!AE:AE,0))</f>
        <v/>
      </c>
      <c r="AB416" s="242" t="str">
        <f>IFERROR(__xludf.DUMMYFUNCTION("IF(ISBLANK(K416),,SUBSTITUTE(IFERROR(JOIN("","",K416:Z416),JOIN("","",K416:Y416)),CHAR(10),""""))"),"")</f>
        <v/>
      </c>
      <c r="AC416" s="229" t="str">
        <f t="shared" si="1"/>
        <v/>
      </c>
    </row>
    <row r="417">
      <c r="K417" s="237"/>
      <c r="L417" s="238" t="str">
        <f t="shared" si="3"/>
        <v/>
      </c>
      <c r="M417" s="237"/>
      <c r="N417" s="238"/>
      <c r="O417" s="238" t="str">
        <f t="shared" si="4"/>
        <v/>
      </c>
      <c r="P417" s="238" t="str">
        <f t="shared" si="5"/>
        <v/>
      </c>
      <c r="Q417" s="238" t="str">
        <f t="shared" si="6"/>
        <v/>
      </c>
      <c r="R417" s="238" t="str">
        <f t="shared" si="7"/>
        <v/>
      </c>
      <c r="S417" s="238" t="str">
        <f t="shared" si="8"/>
        <v/>
      </c>
      <c r="T417" s="238"/>
      <c r="U417" s="237"/>
      <c r="V417" s="238"/>
      <c r="W417" s="238" t="str">
        <f t="shared" si="9"/>
        <v/>
      </c>
      <c r="X417" s="237" t="str">
        <f t="shared" ref="X417:Y417" si="409">IF(ISBLANK(H417),,""""&amp;H417&amp;"""")</f>
        <v/>
      </c>
      <c r="Y417" s="237" t="str">
        <f t="shared" si="409"/>
        <v/>
      </c>
      <c r="Z417" s="237" t="str">
        <f>IF(ISBLANK(K417),,Config!$C$3&amp;"&amp;range=BB"&amp;MATCH(K417,FRG!AE:AE,0))</f>
        <v/>
      </c>
      <c r="AB417" s="242" t="str">
        <f>IFERROR(__xludf.DUMMYFUNCTION("IF(ISBLANK(K417),,SUBSTITUTE(IFERROR(JOIN("","",K417:Z417),JOIN("","",K417:Y417)),CHAR(10),""""))"),"")</f>
        <v/>
      </c>
      <c r="AC417" s="229" t="str">
        <f t="shared" si="1"/>
        <v/>
      </c>
    </row>
    <row r="418">
      <c r="K418" s="237"/>
      <c r="L418" s="238" t="str">
        <f t="shared" si="3"/>
        <v/>
      </c>
      <c r="M418" s="237"/>
      <c r="N418" s="238"/>
      <c r="O418" s="238" t="str">
        <f t="shared" si="4"/>
        <v/>
      </c>
      <c r="P418" s="238" t="str">
        <f t="shared" si="5"/>
        <v/>
      </c>
      <c r="Q418" s="238" t="str">
        <f t="shared" si="6"/>
        <v/>
      </c>
      <c r="R418" s="238" t="str">
        <f t="shared" si="7"/>
        <v/>
      </c>
      <c r="S418" s="238" t="str">
        <f t="shared" si="8"/>
        <v/>
      </c>
      <c r="T418" s="238"/>
      <c r="U418" s="237"/>
      <c r="V418" s="238"/>
      <c r="W418" s="238" t="str">
        <f t="shared" si="9"/>
        <v/>
      </c>
      <c r="X418" s="237" t="str">
        <f t="shared" ref="X418:Y418" si="410">IF(ISBLANK(H418),,""""&amp;H418&amp;"""")</f>
        <v/>
      </c>
      <c r="Y418" s="237" t="str">
        <f t="shared" si="410"/>
        <v/>
      </c>
      <c r="Z418" s="237" t="str">
        <f>IF(ISBLANK(K418),,Config!$C$3&amp;"&amp;range=BB"&amp;MATCH(K418,FRG!AE:AE,0))</f>
        <v/>
      </c>
      <c r="AB418" s="242" t="str">
        <f>IFERROR(__xludf.DUMMYFUNCTION("IF(ISBLANK(K418),,SUBSTITUTE(IFERROR(JOIN("","",K418:Z418),JOIN("","",K418:Y418)),CHAR(10),""""))"),"")</f>
        <v/>
      </c>
      <c r="AC418" s="229" t="str">
        <f t="shared" si="1"/>
        <v/>
      </c>
    </row>
    <row r="419">
      <c r="K419" s="237"/>
      <c r="L419" s="238" t="str">
        <f t="shared" si="3"/>
        <v/>
      </c>
      <c r="M419" s="237"/>
      <c r="N419" s="238"/>
      <c r="O419" s="238" t="str">
        <f t="shared" si="4"/>
        <v/>
      </c>
      <c r="P419" s="238" t="str">
        <f t="shared" si="5"/>
        <v/>
      </c>
      <c r="Q419" s="238" t="str">
        <f t="shared" si="6"/>
        <v/>
      </c>
      <c r="R419" s="238" t="str">
        <f t="shared" si="7"/>
        <v/>
      </c>
      <c r="S419" s="238" t="str">
        <f t="shared" si="8"/>
        <v/>
      </c>
      <c r="T419" s="238"/>
      <c r="U419" s="237"/>
      <c r="V419" s="238"/>
      <c r="W419" s="238" t="str">
        <f t="shared" si="9"/>
        <v/>
      </c>
      <c r="X419" s="237" t="str">
        <f t="shared" ref="X419:Y419" si="411">IF(ISBLANK(H419),,""""&amp;H419&amp;"""")</f>
        <v/>
      </c>
      <c r="Y419" s="237" t="str">
        <f t="shared" si="411"/>
        <v/>
      </c>
      <c r="Z419" s="237" t="str">
        <f>IF(ISBLANK(K419),,Config!$C$3&amp;"&amp;range=BB"&amp;MATCH(K419,FRG!AE:AE,0))</f>
        <v/>
      </c>
      <c r="AB419" s="242" t="str">
        <f>IFERROR(__xludf.DUMMYFUNCTION("IF(ISBLANK(K419),,SUBSTITUTE(IFERROR(JOIN("","",K419:Z419),JOIN("","",K419:Y419)),CHAR(10),""""))"),"")</f>
        <v/>
      </c>
      <c r="AC419" s="229" t="str">
        <f t="shared" si="1"/>
        <v/>
      </c>
    </row>
    <row r="420">
      <c r="K420" s="237"/>
      <c r="L420" s="238" t="str">
        <f t="shared" si="3"/>
        <v/>
      </c>
      <c r="M420" s="237"/>
      <c r="N420" s="238"/>
      <c r="O420" s="238" t="str">
        <f t="shared" si="4"/>
        <v/>
      </c>
      <c r="P420" s="238" t="str">
        <f t="shared" si="5"/>
        <v/>
      </c>
      <c r="Q420" s="238" t="str">
        <f t="shared" si="6"/>
        <v/>
      </c>
      <c r="R420" s="238" t="str">
        <f t="shared" si="7"/>
        <v/>
      </c>
      <c r="S420" s="238" t="str">
        <f t="shared" si="8"/>
        <v/>
      </c>
      <c r="T420" s="238"/>
      <c r="U420" s="237"/>
      <c r="V420" s="238"/>
      <c r="W420" s="238" t="str">
        <f t="shared" si="9"/>
        <v/>
      </c>
      <c r="X420" s="237" t="str">
        <f t="shared" ref="X420:Y420" si="412">IF(ISBLANK(H420),,""""&amp;H420&amp;"""")</f>
        <v/>
      </c>
      <c r="Y420" s="237" t="str">
        <f t="shared" si="412"/>
        <v/>
      </c>
      <c r="Z420" s="237" t="str">
        <f>IF(ISBLANK(K420),,Config!$C$3&amp;"&amp;range=BB"&amp;MATCH(K420,FRG!AE:AE,0))</f>
        <v/>
      </c>
      <c r="AB420" s="242" t="str">
        <f>IFERROR(__xludf.DUMMYFUNCTION("IF(ISBLANK(K420),,SUBSTITUTE(IFERROR(JOIN("","",K420:Z420),JOIN("","",K420:Y420)),CHAR(10),""""))"),"")</f>
        <v/>
      </c>
      <c r="AC420" s="229" t="str">
        <f t="shared" si="1"/>
        <v/>
      </c>
    </row>
    <row r="421">
      <c r="K421" s="237"/>
      <c r="L421" s="238" t="str">
        <f t="shared" si="3"/>
        <v/>
      </c>
      <c r="M421" s="237"/>
      <c r="N421" s="238"/>
      <c r="O421" s="238" t="str">
        <f t="shared" si="4"/>
        <v/>
      </c>
      <c r="P421" s="238" t="str">
        <f t="shared" si="5"/>
        <v/>
      </c>
      <c r="Q421" s="238" t="str">
        <f t="shared" si="6"/>
        <v/>
      </c>
      <c r="R421" s="238" t="str">
        <f t="shared" si="7"/>
        <v/>
      </c>
      <c r="S421" s="238" t="str">
        <f t="shared" si="8"/>
        <v/>
      </c>
      <c r="T421" s="238"/>
      <c r="U421" s="237"/>
      <c r="V421" s="238"/>
      <c r="W421" s="238" t="str">
        <f t="shared" si="9"/>
        <v/>
      </c>
      <c r="X421" s="237" t="str">
        <f t="shared" ref="X421:Y421" si="413">IF(ISBLANK(H421),,""""&amp;H421&amp;"""")</f>
        <v/>
      </c>
      <c r="Y421" s="237" t="str">
        <f t="shared" si="413"/>
        <v/>
      </c>
      <c r="Z421" s="237" t="str">
        <f>IF(ISBLANK(K421),,Config!$C$3&amp;"&amp;range=BB"&amp;MATCH(K421,FRG!AE:AE,0))</f>
        <v/>
      </c>
      <c r="AB421" s="242" t="str">
        <f>IFERROR(__xludf.DUMMYFUNCTION("IF(ISBLANK(K421),,SUBSTITUTE(IFERROR(JOIN("","",K421:Z421),JOIN("","",K421:Y421)),CHAR(10),""""))"),"")</f>
        <v/>
      </c>
      <c r="AC421" s="229" t="str">
        <f t="shared" si="1"/>
        <v/>
      </c>
    </row>
    <row r="422">
      <c r="K422" s="237"/>
      <c r="L422" s="238" t="str">
        <f t="shared" si="3"/>
        <v/>
      </c>
      <c r="M422" s="237"/>
      <c r="N422" s="238"/>
      <c r="O422" s="238" t="str">
        <f t="shared" si="4"/>
        <v/>
      </c>
      <c r="P422" s="238" t="str">
        <f t="shared" si="5"/>
        <v/>
      </c>
      <c r="Q422" s="238" t="str">
        <f t="shared" si="6"/>
        <v/>
      </c>
      <c r="R422" s="238" t="str">
        <f t="shared" si="7"/>
        <v/>
      </c>
      <c r="S422" s="238" t="str">
        <f t="shared" si="8"/>
        <v/>
      </c>
      <c r="T422" s="238"/>
      <c r="U422" s="237"/>
      <c r="V422" s="238"/>
      <c r="W422" s="238" t="str">
        <f t="shared" si="9"/>
        <v/>
      </c>
      <c r="X422" s="237" t="str">
        <f t="shared" ref="X422:Y422" si="414">IF(ISBLANK(H422),,""""&amp;H422&amp;"""")</f>
        <v/>
      </c>
      <c r="Y422" s="237" t="str">
        <f t="shared" si="414"/>
        <v/>
      </c>
      <c r="Z422" s="237" t="str">
        <f>IF(ISBLANK(K422),,Config!$C$3&amp;"&amp;range=BB"&amp;MATCH(K422,FRG!AE:AE,0))</f>
        <v/>
      </c>
      <c r="AB422" s="242" t="str">
        <f>IFERROR(__xludf.DUMMYFUNCTION("IF(ISBLANK(K422),,SUBSTITUTE(IFERROR(JOIN("","",K422:Z422),JOIN("","",K422:Y422)),CHAR(10),""""))"),"")</f>
        <v/>
      </c>
      <c r="AC422" s="229" t="str">
        <f t="shared" si="1"/>
        <v/>
      </c>
    </row>
    <row r="423">
      <c r="K423" s="237"/>
      <c r="L423" s="238" t="str">
        <f t="shared" si="3"/>
        <v/>
      </c>
      <c r="M423" s="237"/>
      <c r="N423" s="238"/>
      <c r="O423" s="238" t="str">
        <f t="shared" si="4"/>
        <v/>
      </c>
      <c r="P423" s="238" t="str">
        <f t="shared" si="5"/>
        <v/>
      </c>
      <c r="Q423" s="238" t="str">
        <f t="shared" si="6"/>
        <v/>
      </c>
      <c r="R423" s="238" t="str">
        <f t="shared" si="7"/>
        <v/>
      </c>
      <c r="S423" s="238" t="str">
        <f t="shared" si="8"/>
        <v/>
      </c>
      <c r="T423" s="238"/>
      <c r="U423" s="237"/>
      <c r="V423" s="238"/>
      <c r="W423" s="238" t="str">
        <f t="shared" si="9"/>
        <v/>
      </c>
      <c r="X423" s="237" t="str">
        <f t="shared" ref="X423:Y423" si="415">IF(ISBLANK(H423),,""""&amp;H423&amp;"""")</f>
        <v/>
      </c>
      <c r="Y423" s="237" t="str">
        <f t="shared" si="415"/>
        <v/>
      </c>
      <c r="Z423" s="237" t="str">
        <f>IF(ISBLANK(K423),,Config!$C$3&amp;"&amp;range=BB"&amp;MATCH(K423,FRG!AE:AE,0))</f>
        <v/>
      </c>
      <c r="AB423" s="242" t="str">
        <f>IFERROR(__xludf.DUMMYFUNCTION("IF(ISBLANK(K423),,SUBSTITUTE(IFERROR(JOIN("","",K423:Z423),JOIN("","",K423:Y423)),CHAR(10),""""))"),"")</f>
        <v/>
      </c>
      <c r="AC423" s="229" t="str">
        <f t="shared" si="1"/>
        <v/>
      </c>
    </row>
    <row r="424">
      <c r="K424" s="237"/>
      <c r="L424" s="238" t="str">
        <f t="shared" si="3"/>
        <v/>
      </c>
      <c r="M424" s="237"/>
      <c r="N424" s="238"/>
      <c r="O424" s="238" t="str">
        <f t="shared" si="4"/>
        <v/>
      </c>
      <c r="P424" s="238" t="str">
        <f t="shared" si="5"/>
        <v/>
      </c>
      <c r="Q424" s="238" t="str">
        <f t="shared" si="6"/>
        <v/>
      </c>
      <c r="R424" s="238" t="str">
        <f t="shared" si="7"/>
        <v/>
      </c>
      <c r="S424" s="238" t="str">
        <f t="shared" si="8"/>
        <v/>
      </c>
      <c r="T424" s="238"/>
      <c r="U424" s="237"/>
      <c r="V424" s="238"/>
      <c r="W424" s="238" t="str">
        <f t="shared" si="9"/>
        <v/>
      </c>
      <c r="X424" s="237" t="str">
        <f t="shared" ref="X424:Y424" si="416">IF(ISBLANK(H424),,""""&amp;H424&amp;"""")</f>
        <v/>
      </c>
      <c r="Y424" s="237" t="str">
        <f t="shared" si="416"/>
        <v/>
      </c>
      <c r="Z424" s="237" t="str">
        <f>IF(ISBLANK(K424),,Config!$C$3&amp;"&amp;range=BB"&amp;MATCH(K424,FRG!AE:AE,0))</f>
        <v/>
      </c>
      <c r="AB424" s="242" t="str">
        <f>IFERROR(__xludf.DUMMYFUNCTION("IF(ISBLANK(K424),,SUBSTITUTE(IFERROR(JOIN("","",K424:Z424),JOIN("","",K424:Y424)),CHAR(10),""""))"),"")</f>
        <v/>
      </c>
      <c r="AC424" s="229" t="str">
        <f t="shared" si="1"/>
        <v/>
      </c>
    </row>
    <row r="425">
      <c r="K425" s="237"/>
      <c r="L425" s="238" t="str">
        <f t="shared" si="3"/>
        <v/>
      </c>
      <c r="M425" s="237"/>
      <c r="N425" s="238"/>
      <c r="O425" s="238" t="str">
        <f t="shared" si="4"/>
        <v/>
      </c>
      <c r="P425" s="238" t="str">
        <f t="shared" si="5"/>
        <v/>
      </c>
      <c r="Q425" s="238" t="str">
        <f t="shared" si="6"/>
        <v/>
      </c>
      <c r="R425" s="238" t="str">
        <f t="shared" si="7"/>
        <v/>
      </c>
      <c r="S425" s="238" t="str">
        <f t="shared" si="8"/>
        <v/>
      </c>
      <c r="T425" s="238"/>
      <c r="U425" s="237"/>
      <c r="V425" s="238"/>
      <c r="W425" s="238" t="str">
        <f t="shared" si="9"/>
        <v/>
      </c>
      <c r="X425" s="237" t="str">
        <f t="shared" ref="X425:Y425" si="417">IF(ISBLANK(H425),,""""&amp;H425&amp;"""")</f>
        <v/>
      </c>
      <c r="Y425" s="237" t="str">
        <f t="shared" si="417"/>
        <v/>
      </c>
      <c r="Z425" s="237" t="str">
        <f>IF(ISBLANK(K425),,Config!$C$3&amp;"&amp;range=BB"&amp;MATCH(K425,FRG!AE:AE,0))</f>
        <v/>
      </c>
      <c r="AB425" s="242" t="str">
        <f>IFERROR(__xludf.DUMMYFUNCTION("IF(ISBLANK(K425),,SUBSTITUTE(IFERROR(JOIN("","",K425:Z425),JOIN("","",K425:Y425)),CHAR(10),""""))"),"")</f>
        <v/>
      </c>
      <c r="AC425" s="229" t="str">
        <f t="shared" si="1"/>
        <v/>
      </c>
    </row>
    <row r="426">
      <c r="K426" s="237"/>
      <c r="L426" s="238" t="str">
        <f t="shared" si="3"/>
        <v/>
      </c>
      <c r="M426" s="237"/>
      <c r="N426" s="238"/>
      <c r="O426" s="238" t="str">
        <f t="shared" si="4"/>
        <v/>
      </c>
      <c r="P426" s="238" t="str">
        <f t="shared" si="5"/>
        <v/>
      </c>
      <c r="Q426" s="238" t="str">
        <f t="shared" si="6"/>
        <v/>
      </c>
      <c r="R426" s="238" t="str">
        <f t="shared" si="7"/>
        <v/>
      </c>
      <c r="S426" s="238" t="str">
        <f t="shared" si="8"/>
        <v/>
      </c>
      <c r="T426" s="238"/>
      <c r="U426" s="237"/>
      <c r="V426" s="238"/>
      <c r="W426" s="238" t="str">
        <f t="shared" si="9"/>
        <v/>
      </c>
      <c r="X426" s="237" t="str">
        <f t="shared" ref="X426:Y426" si="418">IF(ISBLANK(H426),,""""&amp;H426&amp;"""")</f>
        <v/>
      </c>
      <c r="Y426" s="237" t="str">
        <f t="shared" si="418"/>
        <v/>
      </c>
      <c r="Z426" s="237" t="str">
        <f>IF(ISBLANK(K426),,Config!$C$3&amp;"&amp;range=BB"&amp;MATCH(K426,FRG!AE:AE,0))</f>
        <v/>
      </c>
      <c r="AB426" s="242" t="str">
        <f>IFERROR(__xludf.DUMMYFUNCTION("IF(ISBLANK(K426),,SUBSTITUTE(IFERROR(JOIN("","",K426:Z426),JOIN("","",K426:Y426)),CHAR(10),""""))"),"")</f>
        <v/>
      </c>
      <c r="AC426" s="229" t="str">
        <f t="shared" si="1"/>
        <v/>
      </c>
    </row>
    <row r="427">
      <c r="K427" s="237"/>
      <c r="L427" s="238" t="str">
        <f t="shared" si="3"/>
        <v/>
      </c>
      <c r="M427" s="237"/>
      <c r="N427" s="238"/>
      <c r="O427" s="238" t="str">
        <f t="shared" si="4"/>
        <v/>
      </c>
      <c r="P427" s="238" t="str">
        <f t="shared" si="5"/>
        <v/>
      </c>
      <c r="Q427" s="238" t="str">
        <f t="shared" si="6"/>
        <v/>
      </c>
      <c r="R427" s="238" t="str">
        <f t="shared" si="7"/>
        <v/>
      </c>
      <c r="S427" s="238" t="str">
        <f t="shared" si="8"/>
        <v/>
      </c>
      <c r="T427" s="238"/>
      <c r="U427" s="237"/>
      <c r="V427" s="238"/>
      <c r="W427" s="238" t="str">
        <f t="shared" si="9"/>
        <v/>
      </c>
      <c r="X427" s="237" t="str">
        <f t="shared" ref="X427:Y427" si="419">IF(ISBLANK(H427),,""""&amp;H427&amp;"""")</f>
        <v/>
      </c>
      <c r="Y427" s="237" t="str">
        <f t="shared" si="419"/>
        <v/>
      </c>
      <c r="Z427" s="237" t="str">
        <f>IF(ISBLANK(K427),,Config!$C$3&amp;"&amp;range=BB"&amp;MATCH(K427,FRG!AE:AE,0))</f>
        <v/>
      </c>
      <c r="AB427" s="242" t="str">
        <f>IFERROR(__xludf.DUMMYFUNCTION("IF(ISBLANK(K427),,SUBSTITUTE(IFERROR(JOIN("","",K427:Z427),JOIN("","",K427:Y427)),CHAR(10),""""))"),"")</f>
        <v/>
      </c>
      <c r="AC427" s="229" t="str">
        <f t="shared" si="1"/>
        <v/>
      </c>
    </row>
    <row r="428">
      <c r="K428" s="237"/>
      <c r="L428" s="238" t="str">
        <f t="shared" si="3"/>
        <v/>
      </c>
      <c r="M428" s="237"/>
      <c r="N428" s="238"/>
      <c r="O428" s="238" t="str">
        <f t="shared" si="4"/>
        <v/>
      </c>
      <c r="P428" s="238" t="str">
        <f t="shared" si="5"/>
        <v/>
      </c>
      <c r="Q428" s="238" t="str">
        <f t="shared" si="6"/>
        <v/>
      </c>
      <c r="R428" s="238" t="str">
        <f t="shared" si="7"/>
        <v/>
      </c>
      <c r="S428" s="238" t="str">
        <f t="shared" si="8"/>
        <v/>
      </c>
      <c r="T428" s="238"/>
      <c r="U428" s="237"/>
      <c r="V428" s="238"/>
      <c r="W428" s="238" t="str">
        <f t="shared" si="9"/>
        <v/>
      </c>
      <c r="X428" s="237" t="str">
        <f t="shared" ref="X428:Y428" si="420">IF(ISBLANK(H428),,""""&amp;H428&amp;"""")</f>
        <v/>
      </c>
      <c r="Y428" s="237" t="str">
        <f t="shared" si="420"/>
        <v/>
      </c>
      <c r="Z428" s="237" t="str">
        <f>IF(ISBLANK(K428),,Config!$C$3&amp;"&amp;range=BB"&amp;MATCH(K428,FRG!AE:AE,0))</f>
        <v/>
      </c>
      <c r="AB428" s="242" t="str">
        <f>IFERROR(__xludf.DUMMYFUNCTION("IF(ISBLANK(K428),,SUBSTITUTE(IFERROR(JOIN("","",K428:Z428),JOIN("","",K428:Y428)),CHAR(10),""""))"),"")</f>
        <v/>
      </c>
      <c r="AC428" s="229" t="str">
        <f t="shared" si="1"/>
        <v/>
      </c>
    </row>
    <row r="429">
      <c r="K429" s="237"/>
      <c r="L429" s="238" t="str">
        <f t="shared" si="3"/>
        <v/>
      </c>
      <c r="M429" s="237"/>
      <c r="N429" s="238"/>
      <c r="O429" s="238" t="str">
        <f t="shared" si="4"/>
        <v/>
      </c>
      <c r="P429" s="238" t="str">
        <f t="shared" si="5"/>
        <v/>
      </c>
      <c r="Q429" s="238" t="str">
        <f t="shared" si="6"/>
        <v/>
      </c>
      <c r="R429" s="238" t="str">
        <f t="shared" si="7"/>
        <v/>
      </c>
      <c r="S429" s="238" t="str">
        <f t="shared" si="8"/>
        <v/>
      </c>
      <c r="T429" s="238"/>
      <c r="U429" s="237"/>
      <c r="V429" s="238"/>
      <c r="W429" s="238" t="str">
        <f t="shared" si="9"/>
        <v/>
      </c>
      <c r="X429" s="237" t="str">
        <f t="shared" ref="X429:Y429" si="421">IF(ISBLANK(H429),,""""&amp;H429&amp;"""")</f>
        <v/>
      </c>
      <c r="Y429" s="237" t="str">
        <f t="shared" si="421"/>
        <v/>
      </c>
      <c r="Z429" s="237" t="str">
        <f>IF(ISBLANK(K429),,Config!$C$3&amp;"&amp;range=BB"&amp;MATCH(K429,FRG!AE:AE,0))</f>
        <v/>
      </c>
      <c r="AB429" s="242" t="str">
        <f>IFERROR(__xludf.DUMMYFUNCTION("IF(ISBLANK(K429),,SUBSTITUTE(IFERROR(JOIN("","",K429:Z429),JOIN("","",K429:Y429)),CHAR(10),""""))"),"")</f>
        <v/>
      </c>
      <c r="AC429" s="229" t="str">
        <f t="shared" si="1"/>
        <v/>
      </c>
    </row>
    <row r="430">
      <c r="K430" s="237"/>
      <c r="L430" s="238" t="str">
        <f t="shared" si="3"/>
        <v/>
      </c>
      <c r="M430" s="237"/>
      <c r="N430" s="238"/>
      <c r="O430" s="238" t="str">
        <f t="shared" si="4"/>
        <v/>
      </c>
      <c r="P430" s="238" t="str">
        <f t="shared" si="5"/>
        <v/>
      </c>
      <c r="Q430" s="238" t="str">
        <f t="shared" si="6"/>
        <v/>
      </c>
      <c r="R430" s="238" t="str">
        <f t="shared" si="7"/>
        <v/>
      </c>
      <c r="S430" s="238" t="str">
        <f t="shared" si="8"/>
        <v/>
      </c>
      <c r="T430" s="238"/>
      <c r="U430" s="237"/>
      <c r="V430" s="238"/>
      <c r="W430" s="238" t="str">
        <f t="shared" si="9"/>
        <v/>
      </c>
      <c r="X430" s="237" t="str">
        <f t="shared" ref="X430:Y430" si="422">IF(ISBLANK(H430),,""""&amp;H430&amp;"""")</f>
        <v/>
      </c>
      <c r="Y430" s="237" t="str">
        <f t="shared" si="422"/>
        <v/>
      </c>
      <c r="Z430" s="237" t="str">
        <f>IF(ISBLANK(K430),,Config!$C$3&amp;"&amp;range=BB"&amp;MATCH(K430,FRG!AE:AE,0))</f>
        <v/>
      </c>
      <c r="AB430" s="242" t="str">
        <f>IFERROR(__xludf.DUMMYFUNCTION("IF(ISBLANK(K430),,SUBSTITUTE(IFERROR(JOIN("","",K430:Z430),JOIN("","",K430:Y430)),CHAR(10),""""))"),"")</f>
        <v/>
      </c>
      <c r="AC430" s="229" t="str">
        <f t="shared" si="1"/>
        <v/>
      </c>
    </row>
    <row r="431">
      <c r="K431" s="237"/>
      <c r="L431" s="238" t="str">
        <f t="shared" si="3"/>
        <v/>
      </c>
      <c r="M431" s="237"/>
      <c r="N431" s="238"/>
      <c r="O431" s="238" t="str">
        <f t="shared" si="4"/>
        <v/>
      </c>
      <c r="P431" s="238" t="str">
        <f t="shared" si="5"/>
        <v/>
      </c>
      <c r="Q431" s="238" t="str">
        <f t="shared" si="6"/>
        <v/>
      </c>
      <c r="R431" s="238" t="str">
        <f t="shared" si="7"/>
        <v/>
      </c>
      <c r="S431" s="238" t="str">
        <f t="shared" si="8"/>
        <v/>
      </c>
      <c r="T431" s="238"/>
      <c r="U431" s="237"/>
      <c r="V431" s="238"/>
      <c r="W431" s="238" t="str">
        <f t="shared" si="9"/>
        <v/>
      </c>
      <c r="X431" s="237" t="str">
        <f t="shared" ref="X431:Y431" si="423">IF(ISBLANK(H431),,""""&amp;H431&amp;"""")</f>
        <v/>
      </c>
      <c r="Y431" s="237" t="str">
        <f t="shared" si="423"/>
        <v/>
      </c>
      <c r="Z431" s="237" t="str">
        <f>IF(ISBLANK(K431),,Config!$C$3&amp;"&amp;range=BB"&amp;MATCH(K431,FRG!AE:AE,0))</f>
        <v/>
      </c>
      <c r="AB431" s="242" t="str">
        <f>IFERROR(__xludf.DUMMYFUNCTION("IF(ISBLANK(K431),,SUBSTITUTE(IFERROR(JOIN("","",K431:Z431),JOIN("","",K431:Y431)),CHAR(10),""""))"),"")</f>
        <v/>
      </c>
      <c r="AC431" s="229" t="str">
        <f t="shared" si="1"/>
        <v/>
      </c>
    </row>
    <row r="432">
      <c r="K432" s="237"/>
      <c r="L432" s="238" t="str">
        <f t="shared" si="3"/>
        <v/>
      </c>
      <c r="M432" s="237"/>
      <c r="N432" s="238"/>
      <c r="O432" s="238" t="str">
        <f t="shared" si="4"/>
        <v/>
      </c>
      <c r="P432" s="238" t="str">
        <f t="shared" si="5"/>
        <v/>
      </c>
      <c r="Q432" s="238" t="str">
        <f t="shared" si="6"/>
        <v/>
      </c>
      <c r="R432" s="238" t="str">
        <f t="shared" si="7"/>
        <v/>
      </c>
      <c r="S432" s="238" t="str">
        <f t="shared" si="8"/>
        <v/>
      </c>
      <c r="T432" s="238"/>
      <c r="U432" s="237"/>
      <c r="V432" s="238"/>
      <c r="W432" s="238" t="str">
        <f t="shared" si="9"/>
        <v/>
      </c>
      <c r="X432" s="237" t="str">
        <f t="shared" ref="X432:Y432" si="424">IF(ISBLANK(H432),,""""&amp;H432&amp;"""")</f>
        <v/>
      </c>
      <c r="Y432" s="237" t="str">
        <f t="shared" si="424"/>
        <v/>
      </c>
      <c r="Z432" s="237" t="str">
        <f>IF(ISBLANK(K432),,Config!$C$3&amp;"&amp;range=BB"&amp;MATCH(K432,FRG!AE:AE,0))</f>
        <v/>
      </c>
      <c r="AB432" s="242" t="str">
        <f>IFERROR(__xludf.DUMMYFUNCTION("IF(ISBLANK(K432),,SUBSTITUTE(IFERROR(JOIN("","",K432:Z432),JOIN("","",K432:Y432)),CHAR(10),""""))"),"")</f>
        <v/>
      </c>
      <c r="AC432" s="229" t="str">
        <f t="shared" si="1"/>
        <v/>
      </c>
    </row>
    <row r="433">
      <c r="K433" s="237"/>
      <c r="L433" s="238" t="str">
        <f t="shared" si="3"/>
        <v/>
      </c>
      <c r="M433" s="237"/>
      <c r="N433" s="238"/>
      <c r="O433" s="238" t="str">
        <f t="shared" si="4"/>
        <v/>
      </c>
      <c r="P433" s="238" t="str">
        <f t="shared" si="5"/>
        <v/>
      </c>
      <c r="Q433" s="238" t="str">
        <f t="shared" si="6"/>
        <v/>
      </c>
      <c r="R433" s="238" t="str">
        <f t="shared" si="7"/>
        <v/>
      </c>
      <c r="S433" s="238" t="str">
        <f t="shared" si="8"/>
        <v/>
      </c>
      <c r="T433" s="238"/>
      <c r="U433" s="237"/>
      <c r="V433" s="238"/>
      <c r="W433" s="238" t="str">
        <f t="shared" si="9"/>
        <v/>
      </c>
      <c r="X433" s="237" t="str">
        <f t="shared" ref="X433:Y433" si="425">IF(ISBLANK(H433),,""""&amp;H433&amp;"""")</f>
        <v/>
      </c>
      <c r="Y433" s="237" t="str">
        <f t="shared" si="425"/>
        <v/>
      </c>
      <c r="Z433" s="237" t="str">
        <f>IF(ISBLANK(K433),,Config!$C$3&amp;"&amp;range=BB"&amp;MATCH(K433,FRG!AE:AE,0))</f>
        <v/>
      </c>
      <c r="AB433" s="242" t="str">
        <f>IFERROR(__xludf.DUMMYFUNCTION("IF(ISBLANK(K433),,SUBSTITUTE(IFERROR(JOIN("","",K433:Z433),JOIN("","",K433:Y433)),CHAR(10),""""))"),"")</f>
        <v/>
      </c>
      <c r="AC433" s="229" t="str">
        <f t="shared" si="1"/>
        <v/>
      </c>
    </row>
    <row r="434">
      <c r="K434" s="237"/>
      <c r="L434" s="238" t="str">
        <f t="shared" si="3"/>
        <v/>
      </c>
      <c r="M434" s="237"/>
      <c r="N434" s="238"/>
      <c r="O434" s="238" t="str">
        <f t="shared" si="4"/>
        <v/>
      </c>
      <c r="P434" s="238" t="str">
        <f t="shared" si="5"/>
        <v/>
      </c>
      <c r="Q434" s="238" t="str">
        <f t="shared" si="6"/>
        <v/>
      </c>
      <c r="R434" s="238" t="str">
        <f t="shared" si="7"/>
        <v/>
      </c>
      <c r="S434" s="238" t="str">
        <f t="shared" si="8"/>
        <v/>
      </c>
      <c r="T434" s="238"/>
      <c r="U434" s="237"/>
      <c r="V434" s="238"/>
      <c r="W434" s="238" t="str">
        <f t="shared" si="9"/>
        <v/>
      </c>
      <c r="X434" s="237" t="str">
        <f t="shared" ref="X434:Y434" si="426">IF(ISBLANK(H434),,""""&amp;H434&amp;"""")</f>
        <v/>
      </c>
      <c r="Y434" s="237" t="str">
        <f t="shared" si="426"/>
        <v/>
      </c>
      <c r="Z434" s="237" t="str">
        <f>IF(ISBLANK(K434),,Config!$C$3&amp;"&amp;range=BB"&amp;MATCH(K434,FRG!AE:AE,0))</f>
        <v/>
      </c>
      <c r="AB434" s="242" t="str">
        <f>IFERROR(__xludf.DUMMYFUNCTION("IF(ISBLANK(K434),,SUBSTITUTE(IFERROR(JOIN("","",K434:Z434),JOIN("","",K434:Y434)),CHAR(10),""""))"),"")</f>
        <v/>
      </c>
      <c r="AC434" s="229" t="str">
        <f t="shared" si="1"/>
        <v/>
      </c>
    </row>
    <row r="435">
      <c r="K435" s="237"/>
      <c r="L435" s="238" t="str">
        <f t="shared" si="3"/>
        <v/>
      </c>
      <c r="M435" s="237"/>
      <c r="N435" s="238"/>
      <c r="O435" s="238" t="str">
        <f t="shared" si="4"/>
        <v/>
      </c>
      <c r="P435" s="238" t="str">
        <f t="shared" si="5"/>
        <v/>
      </c>
      <c r="Q435" s="238" t="str">
        <f t="shared" si="6"/>
        <v/>
      </c>
      <c r="R435" s="238" t="str">
        <f t="shared" si="7"/>
        <v/>
      </c>
      <c r="S435" s="238" t="str">
        <f t="shared" si="8"/>
        <v/>
      </c>
      <c r="T435" s="238"/>
      <c r="U435" s="237"/>
      <c r="V435" s="238"/>
      <c r="W435" s="238" t="str">
        <f t="shared" si="9"/>
        <v/>
      </c>
      <c r="X435" s="237" t="str">
        <f t="shared" ref="X435:Y435" si="427">IF(ISBLANK(H435),,""""&amp;H435&amp;"""")</f>
        <v/>
      </c>
      <c r="Y435" s="237" t="str">
        <f t="shared" si="427"/>
        <v/>
      </c>
      <c r="Z435" s="237" t="str">
        <f>IF(ISBLANK(K435),,Config!$C$3&amp;"&amp;range=BB"&amp;MATCH(K435,FRG!AE:AE,0))</f>
        <v/>
      </c>
      <c r="AB435" s="242" t="str">
        <f>IFERROR(__xludf.DUMMYFUNCTION("IF(ISBLANK(K435),,SUBSTITUTE(IFERROR(JOIN("","",K435:Z435),JOIN("","",K435:Y435)),CHAR(10),""""))"),"")</f>
        <v/>
      </c>
      <c r="AC435" s="229" t="str">
        <f t="shared" si="1"/>
        <v/>
      </c>
    </row>
    <row r="436">
      <c r="K436" s="237"/>
      <c r="L436" s="238" t="str">
        <f t="shared" si="3"/>
        <v/>
      </c>
      <c r="M436" s="237"/>
      <c r="N436" s="238"/>
      <c r="O436" s="238" t="str">
        <f t="shared" si="4"/>
        <v/>
      </c>
      <c r="P436" s="238" t="str">
        <f t="shared" si="5"/>
        <v/>
      </c>
      <c r="Q436" s="238" t="str">
        <f t="shared" si="6"/>
        <v/>
      </c>
      <c r="R436" s="238" t="str">
        <f t="shared" si="7"/>
        <v/>
      </c>
      <c r="S436" s="238" t="str">
        <f t="shared" si="8"/>
        <v/>
      </c>
      <c r="T436" s="238"/>
      <c r="U436" s="237"/>
      <c r="V436" s="238"/>
      <c r="W436" s="238" t="str">
        <f t="shared" si="9"/>
        <v/>
      </c>
      <c r="X436" s="237" t="str">
        <f t="shared" ref="X436:Y436" si="428">IF(ISBLANK(H436),,""""&amp;H436&amp;"""")</f>
        <v/>
      </c>
      <c r="Y436" s="237" t="str">
        <f t="shared" si="428"/>
        <v/>
      </c>
      <c r="Z436" s="237" t="str">
        <f>IF(ISBLANK(K436),,Config!$C$3&amp;"&amp;range=BB"&amp;MATCH(K436,FRG!AE:AE,0))</f>
        <v/>
      </c>
      <c r="AB436" s="242" t="str">
        <f>IFERROR(__xludf.DUMMYFUNCTION("IF(ISBLANK(K436),,SUBSTITUTE(IFERROR(JOIN("","",K436:Z436),JOIN("","",K436:Y436)),CHAR(10),""""))"),"")</f>
        <v/>
      </c>
      <c r="AC436" s="229" t="str">
        <f t="shared" si="1"/>
        <v/>
      </c>
    </row>
    <row r="437">
      <c r="K437" s="237"/>
      <c r="L437" s="238" t="str">
        <f t="shared" si="3"/>
        <v/>
      </c>
      <c r="M437" s="237"/>
      <c r="N437" s="238"/>
      <c r="O437" s="238" t="str">
        <f t="shared" si="4"/>
        <v/>
      </c>
      <c r="P437" s="238" t="str">
        <f t="shared" si="5"/>
        <v/>
      </c>
      <c r="Q437" s="238" t="str">
        <f t="shared" si="6"/>
        <v/>
      </c>
      <c r="R437" s="238" t="str">
        <f t="shared" si="7"/>
        <v/>
      </c>
      <c r="S437" s="238" t="str">
        <f t="shared" si="8"/>
        <v/>
      </c>
      <c r="T437" s="238"/>
      <c r="U437" s="237"/>
      <c r="V437" s="238"/>
      <c r="W437" s="238" t="str">
        <f t="shared" si="9"/>
        <v/>
      </c>
      <c r="X437" s="237" t="str">
        <f t="shared" ref="X437:Y437" si="429">IF(ISBLANK(H437),,""""&amp;H437&amp;"""")</f>
        <v/>
      </c>
      <c r="Y437" s="237" t="str">
        <f t="shared" si="429"/>
        <v/>
      </c>
      <c r="Z437" s="237" t="str">
        <f>IF(ISBLANK(K437),,Config!$C$3&amp;"&amp;range=BB"&amp;MATCH(K437,FRG!AE:AE,0))</f>
        <v/>
      </c>
      <c r="AB437" s="242" t="str">
        <f>IFERROR(__xludf.DUMMYFUNCTION("IF(ISBLANK(K437),,SUBSTITUTE(IFERROR(JOIN("","",K437:Z437),JOIN("","",K437:Y437)),CHAR(10),""""))"),"")</f>
        <v/>
      </c>
      <c r="AC437" s="229" t="str">
        <f t="shared" si="1"/>
        <v/>
      </c>
    </row>
    <row r="438">
      <c r="K438" s="237"/>
      <c r="L438" s="238" t="str">
        <f t="shared" si="3"/>
        <v/>
      </c>
      <c r="M438" s="237"/>
      <c r="N438" s="238"/>
      <c r="O438" s="238" t="str">
        <f t="shared" si="4"/>
        <v/>
      </c>
      <c r="P438" s="238" t="str">
        <f t="shared" si="5"/>
        <v/>
      </c>
      <c r="Q438" s="238" t="str">
        <f t="shared" si="6"/>
        <v/>
      </c>
      <c r="R438" s="238" t="str">
        <f t="shared" si="7"/>
        <v/>
      </c>
      <c r="S438" s="238" t="str">
        <f t="shared" si="8"/>
        <v/>
      </c>
      <c r="T438" s="238"/>
      <c r="U438" s="237"/>
      <c r="V438" s="238"/>
      <c r="W438" s="238" t="str">
        <f t="shared" si="9"/>
        <v/>
      </c>
      <c r="X438" s="237" t="str">
        <f t="shared" ref="X438:Y438" si="430">IF(ISBLANK(H438),,""""&amp;H438&amp;"""")</f>
        <v/>
      </c>
      <c r="Y438" s="237" t="str">
        <f t="shared" si="430"/>
        <v/>
      </c>
      <c r="Z438" s="237" t="str">
        <f>IF(ISBLANK(K438),,Config!$C$3&amp;"&amp;range=BB"&amp;MATCH(K438,FRG!AE:AE,0))</f>
        <v/>
      </c>
      <c r="AB438" s="242" t="str">
        <f>IFERROR(__xludf.DUMMYFUNCTION("IF(ISBLANK(K438),,SUBSTITUTE(IFERROR(JOIN("","",K438:Z438),JOIN("","",K438:Y438)),CHAR(10),""""))"),"")</f>
        <v/>
      </c>
      <c r="AC438" s="229" t="str">
        <f t="shared" si="1"/>
        <v/>
      </c>
    </row>
    <row r="439">
      <c r="K439" s="237"/>
      <c r="L439" s="238" t="str">
        <f t="shared" si="3"/>
        <v/>
      </c>
      <c r="M439" s="237"/>
      <c r="N439" s="238"/>
      <c r="O439" s="238" t="str">
        <f t="shared" si="4"/>
        <v/>
      </c>
      <c r="P439" s="238" t="str">
        <f t="shared" si="5"/>
        <v/>
      </c>
      <c r="Q439" s="238" t="str">
        <f t="shared" si="6"/>
        <v/>
      </c>
      <c r="R439" s="238" t="str">
        <f t="shared" si="7"/>
        <v/>
      </c>
      <c r="S439" s="238" t="str">
        <f t="shared" si="8"/>
        <v/>
      </c>
      <c r="T439" s="238"/>
      <c r="U439" s="237"/>
      <c r="V439" s="238"/>
      <c r="W439" s="238" t="str">
        <f t="shared" si="9"/>
        <v/>
      </c>
      <c r="X439" s="237" t="str">
        <f t="shared" ref="X439:Y439" si="431">IF(ISBLANK(H439),,""""&amp;H439&amp;"""")</f>
        <v/>
      </c>
      <c r="Y439" s="237" t="str">
        <f t="shared" si="431"/>
        <v/>
      </c>
      <c r="Z439" s="237" t="str">
        <f>IF(ISBLANK(K439),,Config!$C$3&amp;"&amp;range=BB"&amp;MATCH(K439,FRG!AE:AE,0))</f>
        <v/>
      </c>
      <c r="AB439" s="242" t="str">
        <f>IFERROR(__xludf.DUMMYFUNCTION("IF(ISBLANK(K439),,SUBSTITUTE(IFERROR(JOIN("","",K439:Z439),JOIN("","",K439:Y439)),CHAR(10),""""))"),"")</f>
        <v/>
      </c>
      <c r="AC439" s="229" t="str">
        <f t="shared" si="1"/>
        <v/>
      </c>
    </row>
    <row r="440">
      <c r="K440" s="237"/>
      <c r="L440" s="238" t="str">
        <f t="shared" si="3"/>
        <v/>
      </c>
      <c r="M440" s="237"/>
      <c r="N440" s="238"/>
      <c r="O440" s="238" t="str">
        <f t="shared" si="4"/>
        <v/>
      </c>
      <c r="P440" s="238" t="str">
        <f t="shared" si="5"/>
        <v/>
      </c>
      <c r="Q440" s="238" t="str">
        <f t="shared" si="6"/>
        <v/>
      </c>
      <c r="R440" s="238" t="str">
        <f t="shared" si="7"/>
        <v/>
      </c>
      <c r="S440" s="238" t="str">
        <f t="shared" si="8"/>
        <v/>
      </c>
      <c r="T440" s="238"/>
      <c r="U440" s="237"/>
      <c r="V440" s="238"/>
      <c r="W440" s="238" t="str">
        <f t="shared" si="9"/>
        <v/>
      </c>
      <c r="X440" s="237" t="str">
        <f t="shared" ref="X440:Y440" si="432">IF(ISBLANK(H440),,""""&amp;H440&amp;"""")</f>
        <v/>
      </c>
      <c r="Y440" s="237" t="str">
        <f t="shared" si="432"/>
        <v/>
      </c>
      <c r="Z440" s="237" t="str">
        <f>IF(ISBLANK(K440),,Config!$C$3&amp;"&amp;range=BB"&amp;MATCH(K440,FRG!AE:AE,0))</f>
        <v/>
      </c>
      <c r="AB440" s="242" t="str">
        <f>IFERROR(__xludf.DUMMYFUNCTION("IF(ISBLANK(K440),,SUBSTITUTE(IFERROR(JOIN("","",K440:Z440),JOIN("","",K440:Y440)),CHAR(10),""""))"),"")</f>
        <v/>
      </c>
      <c r="AC440" s="229" t="str">
        <f t="shared" si="1"/>
        <v/>
      </c>
    </row>
    <row r="441">
      <c r="K441" s="237"/>
      <c r="L441" s="238" t="str">
        <f t="shared" si="3"/>
        <v/>
      </c>
      <c r="M441" s="237"/>
      <c r="N441" s="238"/>
      <c r="O441" s="238" t="str">
        <f t="shared" si="4"/>
        <v/>
      </c>
      <c r="P441" s="238" t="str">
        <f t="shared" si="5"/>
        <v/>
      </c>
      <c r="Q441" s="238" t="str">
        <f t="shared" si="6"/>
        <v/>
      </c>
      <c r="R441" s="238" t="str">
        <f t="shared" si="7"/>
        <v/>
      </c>
      <c r="S441" s="238" t="str">
        <f t="shared" si="8"/>
        <v/>
      </c>
      <c r="T441" s="238"/>
      <c r="U441" s="237"/>
      <c r="V441" s="238"/>
      <c r="W441" s="238" t="str">
        <f t="shared" si="9"/>
        <v/>
      </c>
      <c r="X441" s="237" t="str">
        <f t="shared" ref="X441:Y441" si="433">IF(ISBLANK(H441),,""""&amp;H441&amp;"""")</f>
        <v/>
      </c>
      <c r="Y441" s="237" t="str">
        <f t="shared" si="433"/>
        <v/>
      </c>
      <c r="Z441" s="237" t="str">
        <f>IF(ISBLANK(K441),,Config!$C$3&amp;"&amp;range=BB"&amp;MATCH(K441,FRG!AE:AE,0))</f>
        <v/>
      </c>
      <c r="AB441" s="242" t="str">
        <f>IFERROR(__xludf.DUMMYFUNCTION("IF(ISBLANK(K441),,SUBSTITUTE(IFERROR(JOIN("","",K441:Z441),JOIN("","",K441:Y441)),CHAR(10),""""))"),"")</f>
        <v/>
      </c>
      <c r="AC441" s="229" t="str">
        <f t="shared" si="1"/>
        <v/>
      </c>
    </row>
    <row r="442">
      <c r="K442" s="237"/>
      <c r="L442" s="238" t="str">
        <f t="shared" si="3"/>
        <v/>
      </c>
      <c r="M442" s="237"/>
      <c r="N442" s="238"/>
      <c r="O442" s="238" t="str">
        <f t="shared" si="4"/>
        <v/>
      </c>
      <c r="P442" s="238" t="str">
        <f t="shared" si="5"/>
        <v/>
      </c>
      <c r="Q442" s="238" t="str">
        <f t="shared" si="6"/>
        <v/>
      </c>
      <c r="R442" s="238" t="str">
        <f t="shared" si="7"/>
        <v/>
      </c>
      <c r="S442" s="238" t="str">
        <f t="shared" si="8"/>
        <v/>
      </c>
      <c r="T442" s="238"/>
      <c r="U442" s="237"/>
      <c r="V442" s="238"/>
      <c r="W442" s="238" t="str">
        <f t="shared" si="9"/>
        <v/>
      </c>
      <c r="X442" s="237" t="str">
        <f t="shared" ref="X442:Y442" si="434">IF(ISBLANK(H442),,""""&amp;H442&amp;"""")</f>
        <v/>
      </c>
      <c r="Y442" s="237" t="str">
        <f t="shared" si="434"/>
        <v/>
      </c>
      <c r="Z442" s="237" t="str">
        <f>IF(ISBLANK(K442),,Config!$C$3&amp;"&amp;range=BB"&amp;MATCH(K442,FRG!AE:AE,0))</f>
        <v/>
      </c>
      <c r="AB442" s="242" t="str">
        <f>IFERROR(__xludf.DUMMYFUNCTION("IF(ISBLANK(K442),,SUBSTITUTE(IFERROR(JOIN("","",K442:Z442),JOIN("","",K442:Y442)),CHAR(10),""""))"),"")</f>
        <v/>
      </c>
      <c r="AC442" s="229" t="str">
        <f t="shared" si="1"/>
        <v/>
      </c>
    </row>
    <row r="443">
      <c r="K443" s="237"/>
      <c r="L443" s="238" t="str">
        <f t="shared" si="3"/>
        <v/>
      </c>
      <c r="M443" s="237"/>
      <c r="N443" s="238"/>
      <c r="O443" s="238" t="str">
        <f t="shared" si="4"/>
        <v/>
      </c>
      <c r="P443" s="238" t="str">
        <f t="shared" si="5"/>
        <v/>
      </c>
      <c r="Q443" s="238" t="str">
        <f t="shared" si="6"/>
        <v/>
      </c>
      <c r="R443" s="238" t="str">
        <f t="shared" si="7"/>
        <v/>
      </c>
      <c r="S443" s="238" t="str">
        <f t="shared" si="8"/>
        <v/>
      </c>
      <c r="T443" s="238"/>
      <c r="U443" s="237"/>
      <c r="V443" s="238"/>
      <c r="W443" s="238" t="str">
        <f t="shared" si="9"/>
        <v/>
      </c>
      <c r="X443" s="237" t="str">
        <f t="shared" ref="X443:Y443" si="435">IF(ISBLANK(H443),,""""&amp;H443&amp;"""")</f>
        <v/>
      </c>
      <c r="Y443" s="237" t="str">
        <f t="shared" si="435"/>
        <v/>
      </c>
      <c r="Z443" s="237" t="str">
        <f>IF(ISBLANK(K443),,Config!$C$3&amp;"&amp;range=BB"&amp;MATCH(K443,FRG!AE:AE,0))</f>
        <v/>
      </c>
      <c r="AB443" s="242" t="str">
        <f>IFERROR(__xludf.DUMMYFUNCTION("IF(ISBLANK(K443),,SUBSTITUTE(IFERROR(JOIN("","",K443:Z443),JOIN("","",K443:Y443)),CHAR(10),""""))"),"")</f>
        <v/>
      </c>
      <c r="AC443" s="229" t="str">
        <f t="shared" si="1"/>
        <v/>
      </c>
    </row>
    <row r="444">
      <c r="K444" s="237"/>
      <c r="L444" s="238" t="str">
        <f t="shared" si="3"/>
        <v/>
      </c>
      <c r="M444" s="237"/>
      <c r="N444" s="238"/>
      <c r="O444" s="238" t="str">
        <f t="shared" si="4"/>
        <v/>
      </c>
      <c r="P444" s="238" t="str">
        <f t="shared" si="5"/>
        <v/>
      </c>
      <c r="Q444" s="238" t="str">
        <f t="shared" si="6"/>
        <v/>
      </c>
      <c r="R444" s="238" t="str">
        <f t="shared" si="7"/>
        <v/>
      </c>
      <c r="S444" s="238" t="str">
        <f t="shared" si="8"/>
        <v/>
      </c>
      <c r="T444" s="238"/>
      <c r="U444" s="237"/>
      <c r="V444" s="238"/>
      <c r="W444" s="238" t="str">
        <f t="shared" si="9"/>
        <v/>
      </c>
      <c r="X444" s="237" t="str">
        <f t="shared" ref="X444:Y444" si="436">IF(ISBLANK(H444),,""""&amp;H444&amp;"""")</f>
        <v/>
      </c>
      <c r="Y444" s="237" t="str">
        <f t="shared" si="436"/>
        <v/>
      </c>
      <c r="Z444" s="237" t="str">
        <f>IF(ISBLANK(K444),,Config!$C$3&amp;"&amp;range=BB"&amp;MATCH(K444,FRG!AE:AE,0))</f>
        <v/>
      </c>
      <c r="AB444" s="242" t="str">
        <f>IFERROR(__xludf.DUMMYFUNCTION("IF(ISBLANK(K444),,SUBSTITUTE(IFERROR(JOIN("","",K444:Z444),JOIN("","",K444:Y444)),CHAR(10),""""))"),"")</f>
        <v/>
      </c>
      <c r="AC444" s="229" t="str">
        <f t="shared" si="1"/>
        <v/>
      </c>
    </row>
    <row r="445">
      <c r="K445" s="237"/>
      <c r="L445" s="238" t="str">
        <f t="shared" si="3"/>
        <v/>
      </c>
      <c r="M445" s="237"/>
      <c r="N445" s="238"/>
      <c r="O445" s="238" t="str">
        <f t="shared" si="4"/>
        <v/>
      </c>
      <c r="P445" s="238" t="str">
        <f t="shared" si="5"/>
        <v/>
      </c>
      <c r="Q445" s="238" t="str">
        <f t="shared" si="6"/>
        <v/>
      </c>
      <c r="R445" s="238" t="str">
        <f t="shared" si="7"/>
        <v/>
      </c>
      <c r="S445" s="238" t="str">
        <f t="shared" si="8"/>
        <v/>
      </c>
      <c r="T445" s="238"/>
      <c r="U445" s="237"/>
      <c r="V445" s="238"/>
      <c r="W445" s="238" t="str">
        <f t="shared" si="9"/>
        <v/>
      </c>
      <c r="X445" s="237" t="str">
        <f t="shared" ref="X445:Y445" si="437">IF(ISBLANK(H445),,""""&amp;H445&amp;"""")</f>
        <v/>
      </c>
      <c r="Y445" s="237" t="str">
        <f t="shared" si="437"/>
        <v/>
      </c>
      <c r="Z445" s="237" t="str">
        <f>IF(ISBLANK(K445),,Config!$C$3&amp;"&amp;range=BB"&amp;MATCH(K445,FRG!AE:AE,0))</f>
        <v/>
      </c>
      <c r="AB445" s="242" t="str">
        <f>IFERROR(__xludf.DUMMYFUNCTION("IF(ISBLANK(K445),,SUBSTITUTE(IFERROR(JOIN("","",K445:Z445),JOIN("","",K445:Y445)),CHAR(10),""""))"),"")</f>
        <v/>
      </c>
      <c r="AC445" s="229" t="str">
        <f t="shared" si="1"/>
        <v/>
      </c>
    </row>
    <row r="446">
      <c r="K446" s="237"/>
      <c r="L446" s="238" t="str">
        <f t="shared" si="3"/>
        <v/>
      </c>
      <c r="M446" s="237"/>
      <c r="N446" s="238"/>
      <c r="O446" s="238" t="str">
        <f t="shared" si="4"/>
        <v/>
      </c>
      <c r="P446" s="238" t="str">
        <f t="shared" si="5"/>
        <v/>
      </c>
      <c r="Q446" s="238" t="str">
        <f t="shared" si="6"/>
        <v/>
      </c>
      <c r="R446" s="238" t="str">
        <f t="shared" si="7"/>
        <v/>
      </c>
      <c r="S446" s="238" t="str">
        <f t="shared" si="8"/>
        <v/>
      </c>
      <c r="T446" s="238"/>
      <c r="U446" s="237"/>
      <c r="V446" s="238"/>
      <c r="W446" s="238" t="str">
        <f t="shared" si="9"/>
        <v/>
      </c>
      <c r="X446" s="237" t="str">
        <f t="shared" ref="X446:Y446" si="438">IF(ISBLANK(H446),,""""&amp;H446&amp;"""")</f>
        <v/>
      </c>
      <c r="Y446" s="237" t="str">
        <f t="shared" si="438"/>
        <v/>
      </c>
      <c r="Z446" s="237" t="str">
        <f>IF(ISBLANK(K446),,Config!$C$3&amp;"&amp;range=BB"&amp;MATCH(K446,FRG!AE:AE,0))</f>
        <v/>
      </c>
      <c r="AB446" s="242" t="str">
        <f>IFERROR(__xludf.DUMMYFUNCTION("IF(ISBLANK(K446),,SUBSTITUTE(IFERROR(JOIN("","",K446:Z446),JOIN("","",K446:Y446)),CHAR(10),""""))"),"")</f>
        <v/>
      </c>
      <c r="AC446" s="229" t="str">
        <f t="shared" si="1"/>
        <v/>
      </c>
    </row>
    <row r="447">
      <c r="K447" s="237"/>
      <c r="L447" s="238" t="str">
        <f t="shared" si="3"/>
        <v/>
      </c>
      <c r="M447" s="237"/>
      <c r="N447" s="238"/>
      <c r="O447" s="238" t="str">
        <f t="shared" si="4"/>
        <v/>
      </c>
      <c r="P447" s="238" t="str">
        <f t="shared" si="5"/>
        <v/>
      </c>
      <c r="Q447" s="238" t="str">
        <f t="shared" si="6"/>
        <v/>
      </c>
      <c r="R447" s="238" t="str">
        <f t="shared" si="7"/>
        <v/>
      </c>
      <c r="S447" s="238" t="str">
        <f t="shared" si="8"/>
        <v/>
      </c>
      <c r="T447" s="238"/>
      <c r="U447" s="237"/>
      <c r="V447" s="238"/>
      <c r="W447" s="238" t="str">
        <f t="shared" si="9"/>
        <v/>
      </c>
      <c r="X447" s="237" t="str">
        <f t="shared" ref="X447:Y447" si="439">IF(ISBLANK(H447),,""""&amp;H447&amp;"""")</f>
        <v/>
      </c>
      <c r="Y447" s="237" t="str">
        <f t="shared" si="439"/>
        <v/>
      </c>
      <c r="Z447" s="237" t="str">
        <f>IF(ISBLANK(K447),,Config!$C$3&amp;"&amp;range=BB"&amp;MATCH(K447,FRG!AE:AE,0))</f>
        <v/>
      </c>
      <c r="AB447" s="242" t="str">
        <f>IFERROR(__xludf.DUMMYFUNCTION("IF(ISBLANK(K447),,SUBSTITUTE(IFERROR(JOIN("","",K447:Z447),JOIN("","",K447:Y447)),CHAR(10),""""))"),"")</f>
        <v/>
      </c>
      <c r="AC447" s="229" t="str">
        <f t="shared" si="1"/>
        <v/>
      </c>
    </row>
    <row r="448">
      <c r="K448" s="237"/>
      <c r="L448" s="238" t="str">
        <f t="shared" si="3"/>
        <v/>
      </c>
      <c r="M448" s="237"/>
      <c r="N448" s="238"/>
      <c r="O448" s="238" t="str">
        <f t="shared" si="4"/>
        <v/>
      </c>
      <c r="P448" s="238" t="str">
        <f t="shared" si="5"/>
        <v/>
      </c>
      <c r="Q448" s="238" t="str">
        <f t="shared" si="6"/>
        <v/>
      </c>
      <c r="R448" s="238" t="str">
        <f t="shared" si="7"/>
        <v/>
      </c>
      <c r="S448" s="238" t="str">
        <f t="shared" si="8"/>
        <v/>
      </c>
      <c r="T448" s="238"/>
      <c r="U448" s="237"/>
      <c r="V448" s="238"/>
      <c r="W448" s="238" t="str">
        <f t="shared" si="9"/>
        <v/>
      </c>
      <c r="X448" s="237" t="str">
        <f t="shared" ref="X448:Y448" si="440">IF(ISBLANK(H448),,""""&amp;H448&amp;"""")</f>
        <v/>
      </c>
      <c r="Y448" s="237" t="str">
        <f t="shared" si="440"/>
        <v/>
      </c>
      <c r="Z448" s="237" t="str">
        <f>IF(ISBLANK(K448),,Config!$C$3&amp;"&amp;range=BB"&amp;MATCH(K448,FRG!AE:AE,0))</f>
        <v/>
      </c>
      <c r="AB448" s="242" t="str">
        <f>IFERROR(__xludf.DUMMYFUNCTION("IF(ISBLANK(K448),,SUBSTITUTE(IFERROR(JOIN("","",K448:Z448),JOIN("","",K448:Y448)),CHAR(10),""""))"),"")</f>
        <v/>
      </c>
      <c r="AC448" s="229" t="str">
        <f t="shared" si="1"/>
        <v/>
      </c>
    </row>
    <row r="449">
      <c r="K449" s="237"/>
      <c r="L449" s="238" t="str">
        <f t="shared" si="3"/>
        <v/>
      </c>
      <c r="M449" s="237"/>
      <c r="N449" s="238"/>
      <c r="O449" s="238" t="str">
        <f t="shared" si="4"/>
        <v/>
      </c>
      <c r="P449" s="238" t="str">
        <f t="shared" si="5"/>
        <v/>
      </c>
      <c r="Q449" s="238" t="str">
        <f t="shared" si="6"/>
        <v/>
      </c>
      <c r="R449" s="238" t="str">
        <f t="shared" si="7"/>
        <v/>
      </c>
      <c r="S449" s="238" t="str">
        <f t="shared" si="8"/>
        <v/>
      </c>
      <c r="T449" s="238"/>
      <c r="U449" s="237"/>
      <c r="V449" s="238"/>
      <c r="W449" s="238" t="str">
        <f t="shared" si="9"/>
        <v/>
      </c>
      <c r="X449" s="237" t="str">
        <f t="shared" ref="X449:Y449" si="441">IF(ISBLANK(H449),,""""&amp;H449&amp;"""")</f>
        <v/>
      </c>
      <c r="Y449" s="237" t="str">
        <f t="shared" si="441"/>
        <v/>
      </c>
      <c r="Z449" s="237" t="str">
        <f>IF(ISBLANK(K449),,Config!$C$3&amp;"&amp;range=BB"&amp;MATCH(K449,FRG!AE:AE,0))</f>
        <v/>
      </c>
      <c r="AB449" s="242" t="str">
        <f>IFERROR(__xludf.DUMMYFUNCTION("IF(ISBLANK(K449),,SUBSTITUTE(IFERROR(JOIN("","",K449:Z449),JOIN("","",K449:Y449)),CHAR(10),""""))"),"")</f>
        <v/>
      </c>
      <c r="AC449" s="229" t="str">
        <f t="shared" si="1"/>
        <v/>
      </c>
    </row>
    <row r="450">
      <c r="K450" s="237"/>
      <c r="L450" s="238" t="str">
        <f t="shared" si="3"/>
        <v/>
      </c>
      <c r="M450" s="237"/>
      <c r="N450" s="238"/>
      <c r="O450" s="238" t="str">
        <f t="shared" si="4"/>
        <v/>
      </c>
      <c r="P450" s="238" t="str">
        <f t="shared" si="5"/>
        <v/>
      </c>
      <c r="Q450" s="238" t="str">
        <f t="shared" si="6"/>
        <v/>
      </c>
      <c r="R450" s="238" t="str">
        <f t="shared" si="7"/>
        <v/>
      </c>
      <c r="S450" s="238" t="str">
        <f t="shared" si="8"/>
        <v/>
      </c>
      <c r="T450" s="238"/>
      <c r="U450" s="237"/>
      <c r="V450" s="238"/>
      <c r="W450" s="238" t="str">
        <f t="shared" si="9"/>
        <v/>
      </c>
      <c r="X450" s="237" t="str">
        <f t="shared" ref="X450:Y450" si="442">IF(ISBLANK(H450),,""""&amp;H450&amp;"""")</f>
        <v/>
      </c>
      <c r="Y450" s="237" t="str">
        <f t="shared" si="442"/>
        <v/>
      </c>
      <c r="Z450" s="237" t="str">
        <f>IF(ISBLANK(K450),,Config!$C$3&amp;"&amp;range=BB"&amp;MATCH(K450,FRG!AE:AE,0))</f>
        <v/>
      </c>
      <c r="AB450" s="242" t="str">
        <f>IFERROR(__xludf.DUMMYFUNCTION("IF(ISBLANK(K450),,SUBSTITUTE(IFERROR(JOIN("","",K450:Z450),JOIN("","",K450:Y450)),CHAR(10),""""))"),"")</f>
        <v/>
      </c>
      <c r="AC450" s="229" t="str">
        <f t="shared" si="1"/>
        <v/>
      </c>
    </row>
    <row r="451">
      <c r="K451" s="237"/>
      <c r="L451" s="238" t="str">
        <f t="shared" si="3"/>
        <v/>
      </c>
      <c r="M451" s="237"/>
      <c r="N451" s="238"/>
      <c r="O451" s="238" t="str">
        <f t="shared" si="4"/>
        <v/>
      </c>
      <c r="P451" s="238" t="str">
        <f t="shared" si="5"/>
        <v/>
      </c>
      <c r="Q451" s="238" t="str">
        <f t="shared" si="6"/>
        <v/>
      </c>
      <c r="R451" s="238" t="str">
        <f t="shared" si="7"/>
        <v/>
      </c>
      <c r="S451" s="238" t="str">
        <f t="shared" si="8"/>
        <v/>
      </c>
      <c r="T451" s="238"/>
      <c r="U451" s="237"/>
      <c r="V451" s="238"/>
      <c r="W451" s="238" t="str">
        <f t="shared" si="9"/>
        <v/>
      </c>
      <c r="X451" s="237" t="str">
        <f t="shared" ref="X451:Y451" si="443">IF(ISBLANK(H451),,""""&amp;H451&amp;"""")</f>
        <v/>
      </c>
      <c r="Y451" s="237" t="str">
        <f t="shared" si="443"/>
        <v/>
      </c>
      <c r="Z451" s="237" t="str">
        <f>IF(ISBLANK(K451),,Config!$C$3&amp;"&amp;range=BB"&amp;MATCH(K451,FRG!AE:AE,0))</f>
        <v/>
      </c>
      <c r="AB451" s="242" t="str">
        <f>IFERROR(__xludf.DUMMYFUNCTION("IF(ISBLANK(K451),,SUBSTITUTE(IFERROR(JOIN("","",K451:Z451),JOIN("","",K451:Y451)),CHAR(10),""""))"),"")</f>
        <v/>
      </c>
      <c r="AC451" s="229" t="str">
        <f t="shared" si="1"/>
        <v/>
      </c>
    </row>
    <row r="452">
      <c r="K452" s="237"/>
      <c r="L452" s="238" t="str">
        <f t="shared" si="3"/>
        <v/>
      </c>
      <c r="M452" s="237"/>
      <c r="N452" s="238"/>
      <c r="O452" s="238" t="str">
        <f t="shared" si="4"/>
        <v/>
      </c>
      <c r="P452" s="238" t="str">
        <f t="shared" si="5"/>
        <v/>
      </c>
      <c r="Q452" s="238" t="str">
        <f t="shared" si="6"/>
        <v/>
      </c>
      <c r="R452" s="238" t="str">
        <f t="shared" si="7"/>
        <v/>
      </c>
      <c r="S452" s="238" t="str">
        <f t="shared" si="8"/>
        <v/>
      </c>
      <c r="T452" s="238"/>
      <c r="U452" s="237"/>
      <c r="V452" s="238"/>
      <c r="W452" s="238" t="str">
        <f t="shared" si="9"/>
        <v/>
      </c>
      <c r="X452" s="237" t="str">
        <f t="shared" ref="X452:Y452" si="444">IF(ISBLANK(H452),,""""&amp;H452&amp;"""")</f>
        <v/>
      </c>
      <c r="Y452" s="237" t="str">
        <f t="shared" si="444"/>
        <v/>
      </c>
      <c r="Z452" s="237" t="str">
        <f>IF(ISBLANK(K452),,Config!$C$3&amp;"&amp;range=BB"&amp;MATCH(K452,FRG!AE:AE,0))</f>
        <v/>
      </c>
      <c r="AB452" s="242" t="str">
        <f>IFERROR(__xludf.DUMMYFUNCTION("IF(ISBLANK(K452),,SUBSTITUTE(IFERROR(JOIN("","",K452:Z452),JOIN("","",K452:Y452)),CHAR(10),""""))"),"")</f>
        <v/>
      </c>
      <c r="AC452" s="229" t="str">
        <f t="shared" si="1"/>
        <v/>
      </c>
    </row>
    <row r="453">
      <c r="K453" s="237"/>
      <c r="L453" s="238" t="str">
        <f t="shared" si="3"/>
        <v/>
      </c>
      <c r="M453" s="237"/>
      <c r="N453" s="238"/>
      <c r="O453" s="238" t="str">
        <f t="shared" si="4"/>
        <v/>
      </c>
      <c r="P453" s="238" t="str">
        <f t="shared" si="5"/>
        <v/>
      </c>
      <c r="Q453" s="238" t="str">
        <f t="shared" si="6"/>
        <v/>
      </c>
      <c r="R453" s="238" t="str">
        <f t="shared" si="7"/>
        <v/>
      </c>
      <c r="S453" s="238" t="str">
        <f t="shared" si="8"/>
        <v/>
      </c>
      <c r="T453" s="238"/>
      <c r="U453" s="237"/>
      <c r="V453" s="238"/>
      <c r="W453" s="238" t="str">
        <f t="shared" si="9"/>
        <v/>
      </c>
      <c r="X453" s="237" t="str">
        <f t="shared" ref="X453:Y453" si="445">IF(ISBLANK(H453),,""""&amp;H453&amp;"""")</f>
        <v/>
      </c>
      <c r="Y453" s="237" t="str">
        <f t="shared" si="445"/>
        <v/>
      </c>
      <c r="Z453" s="237" t="str">
        <f>IF(ISBLANK(K453),,Config!$C$3&amp;"&amp;range=BB"&amp;MATCH(K453,FRG!AE:AE,0))</f>
        <v/>
      </c>
      <c r="AB453" s="242" t="str">
        <f>IFERROR(__xludf.DUMMYFUNCTION("IF(ISBLANK(K453),,SUBSTITUTE(IFERROR(JOIN("","",K453:Z453),JOIN("","",K453:Y453)),CHAR(10),""""))"),"")</f>
        <v/>
      </c>
      <c r="AC453" s="229" t="str">
        <f t="shared" si="1"/>
        <v/>
      </c>
    </row>
    <row r="454">
      <c r="K454" s="237"/>
      <c r="L454" s="238" t="str">
        <f t="shared" si="3"/>
        <v/>
      </c>
      <c r="M454" s="237"/>
      <c r="N454" s="238"/>
      <c r="O454" s="238" t="str">
        <f t="shared" si="4"/>
        <v/>
      </c>
      <c r="P454" s="238" t="str">
        <f t="shared" si="5"/>
        <v/>
      </c>
      <c r="Q454" s="238" t="str">
        <f t="shared" si="6"/>
        <v/>
      </c>
      <c r="R454" s="238" t="str">
        <f t="shared" si="7"/>
        <v/>
      </c>
      <c r="S454" s="238" t="str">
        <f t="shared" si="8"/>
        <v/>
      </c>
      <c r="T454" s="238"/>
      <c r="U454" s="237"/>
      <c r="V454" s="238"/>
      <c r="W454" s="238" t="str">
        <f t="shared" si="9"/>
        <v/>
      </c>
      <c r="X454" s="237" t="str">
        <f t="shared" ref="X454:Y454" si="446">IF(ISBLANK(H454),,""""&amp;H454&amp;"""")</f>
        <v/>
      </c>
      <c r="Y454" s="237" t="str">
        <f t="shared" si="446"/>
        <v/>
      </c>
      <c r="Z454" s="237" t="str">
        <f>IF(ISBLANK(K454),,Config!$C$3&amp;"&amp;range=BB"&amp;MATCH(K454,FRG!AE:AE,0))</f>
        <v/>
      </c>
      <c r="AB454" s="242" t="str">
        <f>IFERROR(__xludf.DUMMYFUNCTION("IF(ISBLANK(K454),,SUBSTITUTE(IFERROR(JOIN("","",K454:Z454),JOIN("","",K454:Y454)),CHAR(10),""""))"),"")</f>
        <v/>
      </c>
      <c r="AC454" s="229" t="str">
        <f t="shared" si="1"/>
        <v/>
      </c>
    </row>
    <row r="455">
      <c r="K455" s="237"/>
      <c r="L455" s="238" t="str">
        <f t="shared" si="3"/>
        <v/>
      </c>
      <c r="M455" s="237"/>
      <c r="N455" s="238"/>
      <c r="O455" s="238" t="str">
        <f t="shared" si="4"/>
        <v/>
      </c>
      <c r="P455" s="238" t="str">
        <f t="shared" si="5"/>
        <v/>
      </c>
      <c r="Q455" s="238" t="str">
        <f t="shared" si="6"/>
        <v/>
      </c>
      <c r="R455" s="238" t="str">
        <f t="shared" si="7"/>
        <v/>
      </c>
      <c r="S455" s="238" t="str">
        <f t="shared" si="8"/>
        <v/>
      </c>
      <c r="T455" s="238"/>
      <c r="U455" s="237"/>
      <c r="V455" s="238"/>
      <c r="W455" s="238" t="str">
        <f t="shared" si="9"/>
        <v/>
      </c>
      <c r="X455" s="237" t="str">
        <f t="shared" ref="X455:Y455" si="447">IF(ISBLANK(H455),,""""&amp;H455&amp;"""")</f>
        <v/>
      </c>
      <c r="Y455" s="237" t="str">
        <f t="shared" si="447"/>
        <v/>
      </c>
      <c r="Z455" s="237" t="str">
        <f>IF(ISBLANK(K455),,Config!$C$3&amp;"&amp;range=BB"&amp;MATCH(K455,FRG!AE:AE,0))</f>
        <v/>
      </c>
      <c r="AB455" s="242" t="str">
        <f>IFERROR(__xludf.DUMMYFUNCTION("IF(ISBLANK(K455),,SUBSTITUTE(IFERROR(JOIN("","",K455:Z455),JOIN("","",K455:Y455)),CHAR(10),""""))"),"")</f>
        <v/>
      </c>
      <c r="AC455" s="229" t="str">
        <f t="shared" si="1"/>
        <v/>
      </c>
    </row>
    <row r="456">
      <c r="K456" s="237"/>
      <c r="L456" s="238" t="str">
        <f t="shared" si="3"/>
        <v/>
      </c>
      <c r="M456" s="237"/>
      <c r="N456" s="238"/>
      <c r="O456" s="238" t="str">
        <f t="shared" si="4"/>
        <v/>
      </c>
      <c r="P456" s="238" t="str">
        <f t="shared" si="5"/>
        <v/>
      </c>
      <c r="Q456" s="238" t="str">
        <f t="shared" si="6"/>
        <v/>
      </c>
      <c r="R456" s="238" t="str">
        <f t="shared" si="7"/>
        <v/>
      </c>
      <c r="S456" s="238" t="str">
        <f t="shared" si="8"/>
        <v/>
      </c>
      <c r="T456" s="238"/>
      <c r="U456" s="237"/>
      <c r="V456" s="238"/>
      <c r="W456" s="238" t="str">
        <f t="shared" si="9"/>
        <v/>
      </c>
      <c r="X456" s="237" t="str">
        <f t="shared" ref="X456:Y456" si="448">IF(ISBLANK(H456),,""""&amp;H456&amp;"""")</f>
        <v/>
      </c>
      <c r="Y456" s="237" t="str">
        <f t="shared" si="448"/>
        <v/>
      </c>
      <c r="Z456" s="237" t="str">
        <f>IF(ISBLANK(K456),,Config!$C$3&amp;"&amp;range=BB"&amp;MATCH(K456,FRG!AE:AE,0))</f>
        <v/>
      </c>
      <c r="AB456" s="242" t="str">
        <f>IFERROR(__xludf.DUMMYFUNCTION("IF(ISBLANK(K456),,SUBSTITUTE(IFERROR(JOIN("","",K456:Z456),JOIN("","",K456:Y456)),CHAR(10),""""))"),"")</f>
        <v/>
      </c>
      <c r="AC456" s="229" t="str">
        <f t="shared" si="1"/>
        <v/>
      </c>
    </row>
    <row r="457">
      <c r="K457" s="237"/>
      <c r="L457" s="238" t="str">
        <f t="shared" si="3"/>
        <v/>
      </c>
      <c r="M457" s="237"/>
      <c r="N457" s="238"/>
      <c r="O457" s="238" t="str">
        <f t="shared" si="4"/>
        <v/>
      </c>
      <c r="P457" s="238" t="str">
        <f t="shared" si="5"/>
        <v/>
      </c>
      <c r="Q457" s="238" t="str">
        <f t="shared" si="6"/>
        <v/>
      </c>
      <c r="R457" s="238" t="str">
        <f t="shared" si="7"/>
        <v/>
      </c>
      <c r="S457" s="238" t="str">
        <f t="shared" si="8"/>
        <v/>
      </c>
      <c r="T457" s="238"/>
      <c r="U457" s="237"/>
      <c r="V457" s="238"/>
      <c r="W457" s="238" t="str">
        <f t="shared" si="9"/>
        <v/>
      </c>
      <c r="X457" s="237" t="str">
        <f t="shared" ref="X457:Y457" si="449">IF(ISBLANK(H457),,""""&amp;H457&amp;"""")</f>
        <v/>
      </c>
      <c r="Y457" s="237" t="str">
        <f t="shared" si="449"/>
        <v/>
      </c>
      <c r="Z457" s="237" t="str">
        <f>IF(ISBLANK(K457),,Config!$C$3&amp;"&amp;range=BB"&amp;MATCH(K457,FRG!AE:AE,0))</f>
        <v/>
      </c>
      <c r="AB457" s="242" t="str">
        <f>IFERROR(__xludf.DUMMYFUNCTION("IF(ISBLANK(K457),,SUBSTITUTE(IFERROR(JOIN("","",K457:Z457),JOIN("","",K457:Y457)),CHAR(10),""""))"),"")</f>
        <v/>
      </c>
      <c r="AC457" s="229" t="str">
        <f t="shared" si="1"/>
        <v/>
      </c>
    </row>
    <row r="458">
      <c r="K458" s="237"/>
      <c r="L458" s="238" t="str">
        <f t="shared" si="3"/>
        <v/>
      </c>
      <c r="M458" s="237"/>
      <c r="N458" s="238"/>
      <c r="O458" s="238" t="str">
        <f t="shared" si="4"/>
        <v/>
      </c>
      <c r="P458" s="238" t="str">
        <f t="shared" si="5"/>
        <v/>
      </c>
      <c r="Q458" s="238" t="str">
        <f t="shared" si="6"/>
        <v/>
      </c>
      <c r="R458" s="238" t="str">
        <f t="shared" si="7"/>
        <v/>
      </c>
      <c r="S458" s="238" t="str">
        <f t="shared" si="8"/>
        <v/>
      </c>
      <c r="T458" s="238"/>
      <c r="U458" s="237"/>
      <c r="V458" s="238"/>
      <c r="W458" s="238" t="str">
        <f t="shared" si="9"/>
        <v/>
      </c>
      <c r="X458" s="237" t="str">
        <f t="shared" ref="X458:Y458" si="450">IF(ISBLANK(H458),,""""&amp;H458&amp;"""")</f>
        <v/>
      </c>
      <c r="Y458" s="237" t="str">
        <f t="shared" si="450"/>
        <v/>
      </c>
      <c r="Z458" s="237" t="str">
        <f>IF(ISBLANK(K458),,Config!$C$3&amp;"&amp;range=BB"&amp;MATCH(K458,FRG!AE:AE,0))</f>
        <v/>
      </c>
      <c r="AB458" s="242" t="str">
        <f>IFERROR(__xludf.DUMMYFUNCTION("IF(ISBLANK(K458),,SUBSTITUTE(IFERROR(JOIN("","",K458:Z458),JOIN("","",K458:Y458)),CHAR(10),""""))"),"")</f>
        <v/>
      </c>
      <c r="AC458" s="229" t="str">
        <f t="shared" si="1"/>
        <v/>
      </c>
    </row>
    <row r="459">
      <c r="K459" s="237"/>
      <c r="L459" s="238" t="str">
        <f t="shared" si="3"/>
        <v/>
      </c>
      <c r="M459" s="237"/>
      <c r="N459" s="238"/>
      <c r="O459" s="238" t="str">
        <f t="shared" si="4"/>
        <v/>
      </c>
      <c r="P459" s="238" t="str">
        <f t="shared" si="5"/>
        <v/>
      </c>
      <c r="Q459" s="238" t="str">
        <f t="shared" si="6"/>
        <v/>
      </c>
      <c r="R459" s="238" t="str">
        <f t="shared" si="7"/>
        <v/>
      </c>
      <c r="S459" s="238" t="str">
        <f t="shared" si="8"/>
        <v/>
      </c>
      <c r="T459" s="238"/>
      <c r="U459" s="237"/>
      <c r="V459" s="238"/>
      <c r="W459" s="238" t="str">
        <f t="shared" si="9"/>
        <v/>
      </c>
      <c r="X459" s="237" t="str">
        <f t="shared" ref="X459:Y459" si="451">IF(ISBLANK(H459),,""""&amp;H459&amp;"""")</f>
        <v/>
      </c>
      <c r="Y459" s="237" t="str">
        <f t="shared" si="451"/>
        <v/>
      </c>
      <c r="Z459" s="237" t="str">
        <f>IF(ISBLANK(K459),,Config!$C$3&amp;"&amp;range=BB"&amp;MATCH(K459,FRG!AE:AE,0))</f>
        <v/>
      </c>
      <c r="AB459" s="242" t="str">
        <f>IFERROR(__xludf.DUMMYFUNCTION("IF(ISBLANK(K459),,SUBSTITUTE(IFERROR(JOIN("","",K459:Z459),JOIN("","",K459:Y459)),CHAR(10),""""))"),"")</f>
        <v/>
      </c>
      <c r="AC459" s="229" t="str">
        <f t="shared" si="1"/>
        <v/>
      </c>
    </row>
    <row r="460">
      <c r="K460" s="237"/>
      <c r="L460" s="238" t="str">
        <f t="shared" si="3"/>
        <v/>
      </c>
      <c r="M460" s="237"/>
      <c r="N460" s="238"/>
      <c r="O460" s="238" t="str">
        <f t="shared" si="4"/>
        <v/>
      </c>
      <c r="P460" s="238" t="str">
        <f t="shared" si="5"/>
        <v/>
      </c>
      <c r="Q460" s="238" t="str">
        <f t="shared" si="6"/>
        <v/>
      </c>
      <c r="R460" s="238" t="str">
        <f t="shared" si="7"/>
        <v/>
      </c>
      <c r="S460" s="238" t="str">
        <f t="shared" si="8"/>
        <v/>
      </c>
      <c r="T460" s="238"/>
      <c r="U460" s="237"/>
      <c r="V460" s="238"/>
      <c r="W460" s="238" t="str">
        <f t="shared" si="9"/>
        <v/>
      </c>
      <c r="X460" s="237" t="str">
        <f t="shared" ref="X460:Y460" si="452">IF(ISBLANK(H460),,""""&amp;H460&amp;"""")</f>
        <v/>
      </c>
      <c r="Y460" s="237" t="str">
        <f t="shared" si="452"/>
        <v/>
      </c>
      <c r="Z460" s="237" t="str">
        <f>IF(ISBLANK(K460),,Config!$C$3&amp;"&amp;range=BB"&amp;MATCH(K460,FRG!AE:AE,0))</f>
        <v/>
      </c>
      <c r="AB460" s="242" t="str">
        <f>IFERROR(__xludf.DUMMYFUNCTION("IF(ISBLANK(K460),,SUBSTITUTE(IFERROR(JOIN("","",K460:Z460),JOIN("","",K460:Y460)),CHAR(10),""""))"),"")</f>
        <v/>
      </c>
      <c r="AC460" s="229" t="str">
        <f t="shared" si="1"/>
        <v/>
      </c>
    </row>
    <row r="461">
      <c r="K461" s="237"/>
      <c r="L461" s="238" t="str">
        <f t="shared" si="3"/>
        <v/>
      </c>
      <c r="M461" s="237"/>
      <c r="N461" s="238"/>
      <c r="O461" s="238" t="str">
        <f t="shared" si="4"/>
        <v/>
      </c>
      <c r="P461" s="238" t="str">
        <f t="shared" si="5"/>
        <v/>
      </c>
      <c r="Q461" s="238" t="str">
        <f t="shared" si="6"/>
        <v/>
      </c>
      <c r="R461" s="238" t="str">
        <f t="shared" si="7"/>
        <v/>
      </c>
      <c r="S461" s="238" t="str">
        <f t="shared" si="8"/>
        <v/>
      </c>
      <c r="T461" s="238"/>
      <c r="U461" s="237"/>
      <c r="V461" s="238"/>
      <c r="W461" s="238" t="str">
        <f t="shared" si="9"/>
        <v/>
      </c>
      <c r="X461" s="237" t="str">
        <f t="shared" ref="X461:Y461" si="453">IF(ISBLANK(H461),,""""&amp;H461&amp;"""")</f>
        <v/>
      </c>
      <c r="Y461" s="237" t="str">
        <f t="shared" si="453"/>
        <v/>
      </c>
      <c r="Z461" s="237" t="str">
        <f>IF(ISBLANK(K461),,Config!$C$3&amp;"&amp;range=BB"&amp;MATCH(K461,FRG!AE:AE,0))</f>
        <v/>
      </c>
      <c r="AB461" s="242" t="str">
        <f>IFERROR(__xludf.DUMMYFUNCTION("IF(ISBLANK(K461),,SUBSTITUTE(IFERROR(JOIN("","",K461:Z461),JOIN("","",K461:Y461)),CHAR(10),""""))"),"")</f>
        <v/>
      </c>
      <c r="AC461" s="229" t="str">
        <f t="shared" si="1"/>
        <v/>
      </c>
    </row>
    <row r="462">
      <c r="K462" s="237"/>
      <c r="L462" s="238" t="str">
        <f t="shared" si="3"/>
        <v/>
      </c>
      <c r="M462" s="237"/>
      <c r="N462" s="238"/>
      <c r="O462" s="238" t="str">
        <f t="shared" si="4"/>
        <v/>
      </c>
      <c r="P462" s="238" t="str">
        <f t="shared" si="5"/>
        <v/>
      </c>
      <c r="Q462" s="238" t="str">
        <f t="shared" si="6"/>
        <v/>
      </c>
      <c r="R462" s="238" t="str">
        <f t="shared" si="7"/>
        <v/>
      </c>
      <c r="S462" s="238" t="str">
        <f t="shared" si="8"/>
        <v/>
      </c>
      <c r="T462" s="238"/>
      <c r="U462" s="237"/>
      <c r="V462" s="238"/>
      <c r="W462" s="238" t="str">
        <f t="shared" si="9"/>
        <v/>
      </c>
      <c r="X462" s="237" t="str">
        <f t="shared" ref="X462:Y462" si="454">IF(ISBLANK(H462),,""""&amp;H462&amp;"""")</f>
        <v/>
      </c>
      <c r="Y462" s="237" t="str">
        <f t="shared" si="454"/>
        <v/>
      </c>
      <c r="Z462" s="237" t="str">
        <f>IF(ISBLANK(K462),,Config!$C$3&amp;"&amp;range=BB"&amp;MATCH(K462,FRG!AE:AE,0))</f>
        <v/>
      </c>
      <c r="AB462" s="242" t="str">
        <f>IFERROR(__xludf.DUMMYFUNCTION("IF(ISBLANK(K462),,SUBSTITUTE(IFERROR(JOIN("","",K462:Z462),JOIN("","",K462:Y462)),CHAR(10),""""))"),"")</f>
        <v/>
      </c>
      <c r="AC462" s="229" t="str">
        <f t="shared" si="1"/>
        <v/>
      </c>
    </row>
    <row r="463">
      <c r="K463" s="237"/>
      <c r="L463" s="238" t="str">
        <f t="shared" si="3"/>
        <v/>
      </c>
      <c r="M463" s="237"/>
      <c r="N463" s="238"/>
      <c r="O463" s="238" t="str">
        <f t="shared" si="4"/>
        <v/>
      </c>
      <c r="P463" s="238" t="str">
        <f t="shared" si="5"/>
        <v/>
      </c>
      <c r="Q463" s="238" t="str">
        <f t="shared" si="6"/>
        <v/>
      </c>
      <c r="R463" s="238" t="str">
        <f t="shared" si="7"/>
        <v/>
      </c>
      <c r="S463" s="238" t="str">
        <f t="shared" si="8"/>
        <v/>
      </c>
      <c r="T463" s="238"/>
      <c r="U463" s="237"/>
      <c r="V463" s="238"/>
      <c r="W463" s="238" t="str">
        <f t="shared" si="9"/>
        <v/>
      </c>
      <c r="X463" s="237" t="str">
        <f t="shared" ref="X463:Y463" si="455">IF(ISBLANK(H463),,""""&amp;H463&amp;"""")</f>
        <v/>
      </c>
      <c r="Y463" s="237" t="str">
        <f t="shared" si="455"/>
        <v/>
      </c>
      <c r="Z463" s="237" t="str">
        <f>IF(ISBLANK(K463),,Config!$C$3&amp;"&amp;range=BB"&amp;MATCH(K463,FRG!AE:AE,0))</f>
        <v/>
      </c>
      <c r="AB463" s="242" t="str">
        <f>IFERROR(__xludf.DUMMYFUNCTION("IF(ISBLANK(K463),,SUBSTITUTE(IFERROR(JOIN("","",K463:Z463),JOIN("","",K463:Y463)),CHAR(10),""""))"),"")</f>
        <v/>
      </c>
      <c r="AC463" s="229" t="str">
        <f t="shared" si="1"/>
        <v/>
      </c>
    </row>
    <row r="464">
      <c r="K464" s="237"/>
      <c r="L464" s="238" t="str">
        <f t="shared" si="3"/>
        <v/>
      </c>
      <c r="M464" s="237"/>
      <c r="N464" s="238"/>
      <c r="O464" s="238" t="str">
        <f t="shared" si="4"/>
        <v/>
      </c>
      <c r="P464" s="238" t="str">
        <f t="shared" si="5"/>
        <v/>
      </c>
      <c r="Q464" s="238" t="str">
        <f t="shared" si="6"/>
        <v/>
      </c>
      <c r="R464" s="238" t="str">
        <f t="shared" si="7"/>
        <v/>
      </c>
      <c r="S464" s="238" t="str">
        <f t="shared" si="8"/>
        <v/>
      </c>
      <c r="T464" s="238"/>
      <c r="U464" s="237"/>
      <c r="V464" s="238"/>
      <c r="W464" s="238" t="str">
        <f t="shared" si="9"/>
        <v/>
      </c>
      <c r="X464" s="237" t="str">
        <f t="shared" ref="X464:Y464" si="456">IF(ISBLANK(H464),,""""&amp;H464&amp;"""")</f>
        <v/>
      </c>
      <c r="Y464" s="237" t="str">
        <f t="shared" si="456"/>
        <v/>
      </c>
      <c r="Z464" s="237" t="str">
        <f>IF(ISBLANK(K464),,Config!$C$3&amp;"&amp;range=BB"&amp;MATCH(K464,FRG!AE:AE,0))</f>
        <v/>
      </c>
      <c r="AB464" s="242" t="str">
        <f>IFERROR(__xludf.DUMMYFUNCTION("IF(ISBLANK(K464),,SUBSTITUTE(IFERROR(JOIN("","",K464:Z464),JOIN("","",K464:Y464)),CHAR(10),""""))"),"")</f>
        <v/>
      </c>
      <c r="AC464" s="229" t="str">
        <f t="shared" si="1"/>
        <v/>
      </c>
    </row>
    <row r="465">
      <c r="K465" s="237"/>
      <c r="L465" s="238" t="str">
        <f t="shared" si="3"/>
        <v/>
      </c>
      <c r="M465" s="237"/>
      <c r="N465" s="238"/>
      <c r="O465" s="238" t="str">
        <f t="shared" si="4"/>
        <v/>
      </c>
      <c r="P465" s="238" t="str">
        <f t="shared" si="5"/>
        <v/>
      </c>
      <c r="Q465" s="238" t="str">
        <f t="shared" si="6"/>
        <v/>
      </c>
      <c r="R465" s="238" t="str">
        <f t="shared" si="7"/>
        <v/>
      </c>
      <c r="S465" s="238" t="str">
        <f t="shared" si="8"/>
        <v/>
      </c>
      <c r="T465" s="238"/>
      <c r="U465" s="237"/>
      <c r="V465" s="238"/>
      <c r="W465" s="238" t="str">
        <f t="shared" si="9"/>
        <v/>
      </c>
      <c r="X465" s="237" t="str">
        <f t="shared" ref="X465:Y465" si="457">IF(ISBLANK(H465),,""""&amp;H465&amp;"""")</f>
        <v/>
      </c>
      <c r="Y465" s="237" t="str">
        <f t="shared" si="457"/>
        <v/>
      </c>
      <c r="Z465" s="237" t="str">
        <f>IF(ISBLANK(K465),,Config!$C$3&amp;"&amp;range=BB"&amp;MATCH(K465,FRG!AE:AE,0))</f>
        <v/>
      </c>
      <c r="AB465" s="242" t="str">
        <f>IFERROR(__xludf.DUMMYFUNCTION("IF(ISBLANK(K465),,SUBSTITUTE(IFERROR(JOIN("","",K465:Z465),JOIN("","",K465:Y465)),CHAR(10),""""))"),"")</f>
        <v/>
      </c>
      <c r="AC465" s="229" t="str">
        <f t="shared" si="1"/>
        <v/>
      </c>
    </row>
    <row r="466">
      <c r="K466" s="237"/>
      <c r="L466" s="238" t="str">
        <f t="shared" si="3"/>
        <v/>
      </c>
      <c r="M466" s="237"/>
      <c r="N466" s="238"/>
      <c r="O466" s="238" t="str">
        <f t="shared" si="4"/>
        <v/>
      </c>
      <c r="P466" s="238" t="str">
        <f t="shared" si="5"/>
        <v/>
      </c>
      <c r="Q466" s="238" t="str">
        <f t="shared" si="6"/>
        <v/>
      </c>
      <c r="R466" s="238" t="str">
        <f t="shared" si="7"/>
        <v/>
      </c>
      <c r="S466" s="238" t="str">
        <f t="shared" si="8"/>
        <v/>
      </c>
      <c r="T466" s="238"/>
      <c r="U466" s="237"/>
      <c r="V466" s="238"/>
      <c r="W466" s="238" t="str">
        <f t="shared" si="9"/>
        <v/>
      </c>
      <c r="X466" s="237" t="str">
        <f t="shared" ref="X466:Y466" si="458">IF(ISBLANK(H466),,""""&amp;H466&amp;"""")</f>
        <v/>
      </c>
      <c r="Y466" s="237" t="str">
        <f t="shared" si="458"/>
        <v/>
      </c>
      <c r="Z466" s="237" t="str">
        <f>IF(ISBLANK(K466),,Config!$C$3&amp;"&amp;range=BB"&amp;MATCH(K466,FRG!AE:AE,0))</f>
        <v/>
      </c>
      <c r="AB466" s="242" t="str">
        <f>IFERROR(__xludf.DUMMYFUNCTION("IF(ISBLANK(K466),,SUBSTITUTE(IFERROR(JOIN("","",K466:Z466),JOIN("","",K466:Y466)),CHAR(10),""""))"),"")</f>
        <v/>
      </c>
      <c r="AC466" s="229" t="str">
        <f t="shared" si="1"/>
        <v/>
      </c>
    </row>
    <row r="467">
      <c r="K467" s="237"/>
      <c r="L467" s="238" t="str">
        <f t="shared" si="3"/>
        <v/>
      </c>
      <c r="M467" s="237"/>
      <c r="N467" s="238"/>
      <c r="O467" s="238" t="str">
        <f t="shared" si="4"/>
        <v/>
      </c>
      <c r="P467" s="238" t="str">
        <f t="shared" si="5"/>
        <v/>
      </c>
      <c r="Q467" s="238" t="str">
        <f t="shared" si="6"/>
        <v/>
      </c>
      <c r="R467" s="238" t="str">
        <f t="shared" si="7"/>
        <v/>
      </c>
      <c r="S467" s="238" t="str">
        <f t="shared" si="8"/>
        <v/>
      </c>
      <c r="T467" s="238"/>
      <c r="U467" s="237"/>
      <c r="V467" s="238"/>
      <c r="W467" s="238" t="str">
        <f t="shared" si="9"/>
        <v/>
      </c>
      <c r="X467" s="237" t="str">
        <f t="shared" ref="X467:Y467" si="459">IF(ISBLANK(H467),,""""&amp;H467&amp;"""")</f>
        <v/>
      </c>
      <c r="Y467" s="237" t="str">
        <f t="shared" si="459"/>
        <v/>
      </c>
      <c r="Z467" s="237" t="str">
        <f>IF(ISBLANK(K467),,Config!$C$3&amp;"&amp;range=BB"&amp;MATCH(K467,FRG!AE:AE,0))</f>
        <v/>
      </c>
      <c r="AB467" s="242" t="str">
        <f>IFERROR(__xludf.DUMMYFUNCTION("IF(ISBLANK(K467),,SUBSTITUTE(IFERROR(JOIN("","",K467:Z467),JOIN("","",K467:Y467)),CHAR(10),""""))"),"")</f>
        <v/>
      </c>
      <c r="AC467" s="229" t="str">
        <f t="shared" si="1"/>
        <v/>
      </c>
    </row>
    <row r="468">
      <c r="K468" s="237"/>
      <c r="L468" s="238" t="str">
        <f t="shared" si="3"/>
        <v/>
      </c>
      <c r="M468" s="237"/>
      <c r="N468" s="238"/>
      <c r="O468" s="238" t="str">
        <f t="shared" si="4"/>
        <v/>
      </c>
      <c r="P468" s="238" t="str">
        <f t="shared" si="5"/>
        <v/>
      </c>
      <c r="Q468" s="238" t="str">
        <f t="shared" si="6"/>
        <v/>
      </c>
      <c r="R468" s="238" t="str">
        <f t="shared" si="7"/>
        <v/>
      </c>
      <c r="S468" s="238" t="str">
        <f t="shared" si="8"/>
        <v/>
      </c>
      <c r="T468" s="238"/>
      <c r="U468" s="237"/>
      <c r="V468" s="238"/>
      <c r="W468" s="238" t="str">
        <f t="shared" si="9"/>
        <v/>
      </c>
      <c r="X468" s="237" t="str">
        <f t="shared" ref="X468:Y468" si="460">IF(ISBLANK(H468),,""""&amp;H468&amp;"""")</f>
        <v/>
      </c>
      <c r="Y468" s="237" t="str">
        <f t="shared" si="460"/>
        <v/>
      </c>
      <c r="Z468" s="237" t="str">
        <f>IF(ISBLANK(K468),,Config!$C$3&amp;"&amp;range=BB"&amp;MATCH(K468,FRG!AE:AE,0))</f>
        <v/>
      </c>
      <c r="AB468" s="242" t="str">
        <f>IFERROR(__xludf.DUMMYFUNCTION("IF(ISBLANK(K468),,SUBSTITUTE(IFERROR(JOIN("","",K468:Z468),JOIN("","",K468:Y468)),CHAR(10),""""))"),"")</f>
        <v/>
      </c>
      <c r="AC468" s="229" t="str">
        <f t="shared" si="1"/>
        <v/>
      </c>
    </row>
    <row r="469">
      <c r="K469" s="237"/>
      <c r="L469" s="238" t="str">
        <f t="shared" si="3"/>
        <v/>
      </c>
      <c r="M469" s="237"/>
      <c r="N469" s="238"/>
      <c r="O469" s="238" t="str">
        <f t="shared" si="4"/>
        <v/>
      </c>
      <c r="P469" s="238" t="str">
        <f t="shared" si="5"/>
        <v/>
      </c>
      <c r="Q469" s="238" t="str">
        <f t="shared" si="6"/>
        <v/>
      </c>
      <c r="R469" s="238" t="str">
        <f t="shared" si="7"/>
        <v/>
      </c>
      <c r="S469" s="238" t="str">
        <f t="shared" si="8"/>
        <v/>
      </c>
      <c r="T469" s="238"/>
      <c r="U469" s="237"/>
      <c r="V469" s="238"/>
      <c r="W469" s="238" t="str">
        <f t="shared" si="9"/>
        <v/>
      </c>
      <c r="X469" s="237" t="str">
        <f t="shared" ref="X469:Y469" si="461">IF(ISBLANK(H469),,""""&amp;H469&amp;"""")</f>
        <v/>
      </c>
      <c r="Y469" s="237" t="str">
        <f t="shared" si="461"/>
        <v/>
      </c>
      <c r="Z469" s="237" t="str">
        <f>IF(ISBLANK(K469),,Config!$C$3&amp;"&amp;range=BB"&amp;MATCH(K469,FRG!AE:AE,0))</f>
        <v/>
      </c>
      <c r="AB469" s="242" t="str">
        <f>IFERROR(__xludf.DUMMYFUNCTION("IF(ISBLANK(K469),,SUBSTITUTE(IFERROR(JOIN("","",K469:Z469),JOIN("","",K469:Y469)),CHAR(10),""""))"),"")</f>
        <v/>
      </c>
      <c r="AC469" s="229" t="str">
        <f t="shared" si="1"/>
        <v/>
      </c>
    </row>
    <row r="470">
      <c r="K470" s="237"/>
      <c r="L470" s="238" t="str">
        <f t="shared" si="3"/>
        <v/>
      </c>
      <c r="M470" s="237"/>
      <c r="N470" s="238"/>
      <c r="O470" s="238" t="str">
        <f t="shared" si="4"/>
        <v/>
      </c>
      <c r="P470" s="238" t="str">
        <f t="shared" si="5"/>
        <v/>
      </c>
      <c r="Q470" s="238" t="str">
        <f t="shared" si="6"/>
        <v/>
      </c>
      <c r="R470" s="238" t="str">
        <f t="shared" si="7"/>
        <v/>
      </c>
      <c r="S470" s="238" t="str">
        <f t="shared" si="8"/>
        <v/>
      </c>
      <c r="T470" s="238"/>
      <c r="U470" s="237"/>
      <c r="V470" s="238"/>
      <c r="W470" s="238" t="str">
        <f t="shared" si="9"/>
        <v/>
      </c>
      <c r="X470" s="237" t="str">
        <f t="shared" ref="X470:Y470" si="462">IF(ISBLANK(H470),,""""&amp;H470&amp;"""")</f>
        <v/>
      </c>
      <c r="Y470" s="237" t="str">
        <f t="shared" si="462"/>
        <v/>
      </c>
      <c r="Z470" s="237" t="str">
        <f>IF(ISBLANK(K470),,Config!$C$3&amp;"&amp;range=BB"&amp;MATCH(K470,FRG!AE:AE,0))</f>
        <v/>
      </c>
      <c r="AB470" s="242" t="str">
        <f>IFERROR(__xludf.DUMMYFUNCTION("IF(ISBLANK(K470),,SUBSTITUTE(IFERROR(JOIN("","",K470:Z470),JOIN("","",K470:Y470)),CHAR(10),""""))"),"")</f>
        <v/>
      </c>
      <c r="AC470" s="229" t="str">
        <f t="shared" si="1"/>
        <v/>
      </c>
    </row>
    <row r="471">
      <c r="K471" s="237"/>
      <c r="L471" s="238" t="str">
        <f t="shared" si="3"/>
        <v/>
      </c>
      <c r="M471" s="237"/>
      <c r="N471" s="238"/>
      <c r="O471" s="238" t="str">
        <f t="shared" si="4"/>
        <v/>
      </c>
      <c r="P471" s="238" t="str">
        <f t="shared" si="5"/>
        <v/>
      </c>
      <c r="Q471" s="238" t="str">
        <f t="shared" si="6"/>
        <v/>
      </c>
      <c r="R471" s="238" t="str">
        <f t="shared" si="7"/>
        <v/>
      </c>
      <c r="S471" s="238" t="str">
        <f t="shared" si="8"/>
        <v/>
      </c>
      <c r="T471" s="238"/>
      <c r="U471" s="237"/>
      <c r="V471" s="238"/>
      <c r="W471" s="238" t="str">
        <f t="shared" si="9"/>
        <v/>
      </c>
      <c r="X471" s="237" t="str">
        <f t="shared" ref="X471:Y471" si="463">IF(ISBLANK(H471),,""""&amp;H471&amp;"""")</f>
        <v/>
      </c>
      <c r="Y471" s="237" t="str">
        <f t="shared" si="463"/>
        <v/>
      </c>
      <c r="Z471" s="237" t="str">
        <f>IF(ISBLANK(K471),,Config!$C$3&amp;"&amp;range=BB"&amp;MATCH(K471,FRG!AE:AE,0))</f>
        <v/>
      </c>
      <c r="AB471" s="242" t="str">
        <f>IFERROR(__xludf.DUMMYFUNCTION("IF(ISBLANK(K471),,SUBSTITUTE(IFERROR(JOIN("","",K471:Z471),JOIN("","",K471:Y471)),CHAR(10),""""))"),"")</f>
        <v/>
      </c>
      <c r="AC471" s="229" t="str">
        <f t="shared" si="1"/>
        <v/>
      </c>
    </row>
    <row r="472">
      <c r="K472" s="237"/>
      <c r="L472" s="238" t="str">
        <f t="shared" si="3"/>
        <v/>
      </c>
      <c r="M472" s="237"/>
      <c r="N472" s="238"/>
      <c r="O472" s="238" t="str">
        <f t="shared" si="4"/>
        <v/>
      </c>
      <c r="P472" s="238" t="str">
        <f t="shared" si="5"/>
        <v/>
      </c>
      <c r="Q472" s="238" t="str">
        <f t="shared" si="6"/>
        <v/>
      </c>
      <c r="R472" s="238" t="str">
        <f t="shared" si="7"/>
        <v/>
      </c>
      <c r="S472" s="238" t="str">
        <f t="shared" si="8"/>
        <v/>
      </c>
      <c r="T472" s="238"/>
      <c r="U472" s="237"/>
      <c r="V472" s="238"/>
      <c r="W472" s="238" t="str">
        <f t="shared" si="9"/>
        <v/>
      </c>
      <c r="X472" s="237" t="str">
        <f t="shared" ref="X472:Y472" si="464">IF(ISBLANK(H472),,""""&amp;H472&amp;"""")</f>
        <v/>
      </c>
      <c r="Y472" s="237" t="str">
        <f t="shared" si="464"/>
        <v/>
      </c>
      <c r="Z472" s="237" t="str">
        <f>IF(ISBLANK(K472),,Config!$C$3&amp;"&amp;range=BB"&amp;MATCH(K472,FRG!AE:AE,0))</f>
        <v/>
      </c>
      <c r="AB472" s="242" t="str">
        <f>IFERROR(__xludf.DUMMYFUNCTION("IF(ISBLANK(K472),,SUBSTITUTE(IFERROR(JOIN("","",K472:Z472),JOIN("","",K472:Y472)),CHAR(10),""""))"),"")</f>
        <v/>
      </c>
      <c r="AC472" s="229" t="str">
        <f t="shared" si="1"/>
        <v/>
      </c>
    </row>
    <row r="473">
      <c r="K473" s="237"/>
      <c r="L473" s="238" t="str">
        <f t="shared" si="3"/>
        <v/>
      </c>
      <c r="M473" s="237"/>
      <c r="N473" s="238"/>
      <c r="O473" s="238" t="str">
        <f t="shared" si="4"/>
        <v/>
      </c>
      <c r="P473" s="238" t="str">
        <f t="shared" si="5"/>
        <v/>
      </c>
      <c r="Q473" s="238" t="str">
        <f t="shared" si="6"/>
        <v/>
      </c>
      <c r="R473" s="238" t="str">
        <f t="shared" si="7"/>
        <v/>
      </c>
      <c r="S473" s="238" t="str">
        <f t="shared" si="8"/>
        <v/>
      </c>
      <c r="T473" s="238"/>
      <c r="U473" s="237"/>
      <c r="V473" s="238"/>
      <c r="W473" s="238" t="str">
        <f t="shared" si="9"/>
        <v/>
      </c>
      <c r="X473" s="237" t="str">
        <f t="shared" ref="X473:Y473" si="465">IF(ISBLANK(H473),,""""&amp;H473&amp;"""")</f>
        <v/>
      </c>
      <c r="Y473" s="237" t="str">
        <f t="shared" si="465"/>
        <v/>
      </c>
      <c r="Z473" s="237" t="str">
        <f>IF(ISBLANK(K473),,Config!$C$3&amp;"&amp;range=BB"&amp;MATCH(K473,FRG!AE:AE,0))</f>
        <v/>
      </c>
      <c r="AB473" s="242" t="str">
        <f>IFERROR(__xludf.DUMMYFUNCTION("IF(ISBLANK(K473),,SUBSTITUTE(IFERROR(JOIN("","",K473:Z473),JOIN("","",K473:Y473)),CHAR(10),""""))"),"")</f>
        <v/>
      </c>
      <c r="AC473" s="229" t="str">
        <f t="shared" si="1"/>
        <v/>
      </c>
    </row>
    <row r="474">
      <c r="K474" s="237"/>
      <c r="L474" s="238" t="str">
        <f t="shared" si="3"/>
        <v/>
      </c>
      <c r="M474" s="237"/>
      <c r="N474" s="238"/>
      <c r="O474" s="238" t="str">
        <f t="shared" si="4"/>
        <v/>
      </c>
      <c r="P474" s="238" t="str">
        <f t="shared" si="5"/>
        <v/>
      </c>
      <c r="Q474" s="238" t="str">
        <f t="shared" si="6"/>
        <v/>
      </c>
      <c r="R474" s="238" t="str">
        <f t="shared" si="7"/>
        <v/>
      </c>
      <c r="S474" s="238" t="str">
        <f t="shared" si="8"/>
        <v/>
      </c>
      <c r="T474" s="238"/>
      <c r="U474" s="237"/>
      <c r="V474" s="238"/>
      <c r="W474" s="238" t="str">
        <f t="shared" si="9"/>
        <v/>
      </c>
      <c r="X474" s="237" t="str">
        <f t="shared" ref="X474:Y474" si="466">IF(ISBLANK(H474),,""""&amp;H474&amp;"""")</f>
        <v/>
      </c>
      <c r="Y474" s="237" t="str">
        <f t="shared" si="466"/>
        <v/>
      </c>
      <c r="Z474" s="237" t="str">
        <f>IF(ISBLANK(K474),,Config!$C$3&amp;"&amp;range=BB"&amp;MATCH(K474,FRG!AE:AE,0))</f>
        <v/>
      </c>
      <c r="AB474" s="242" t="str">
        <f>IFERROR(__xludf.DUMMYFUNCTION("IF(ISBLANK(K474),,SUBSTITUTE(IFERROR(JOIN("","",K474:Z474),JOIN("","",K474:Y474)),CHAR(10),""""))"),"")</f>
        <v/>
      </c>
      <c r="AC474" s="229" t="str">
        <f t="shared" si="1"/>
        <v/>
      </c>
    </row>
    <row r="475">
      <c r="K475" s="237"/>
      <c r="L475" s="238" t="str">
        <f t="shared" si="3"/>
        <v/>
      </c>
      <c r="M475" s="237"/>
      <c r="N475" s="238"/>
      <c r="O475" s="238" t="str">
        <f t="shared" si="4"/>
        <v/>
      </c>
      <c r="P475" s="238" t="str">
        <f t="shared" si="5"/>
        <v/>
      </c>
      <c r="Q475" s="238" t="str">
        <f t="shared" si="6"/>
        <v/>
      </c>
      <c r="R475" s="238" t="str">
        <f t="shared" si="7"/>
        <v/>
      </c>
      <c r="S475" s="238" t="str">
        <f t="shared" si="8"/>
        <v/>
      </c>
      <c r="T475" s="238"/>
      <c r="U475" s="237"/>
      <c r="V475" s="238"/>
      <c r="W475" s="238" t="str">
        <f t="shared" si="9"/>
        <v/>
      </c>
      <c r="X475" s="237" t="str">
        <f t="shared" ref="X475:Y475" si="467">IF(ISBLANK(H475),,""""&amp;H475&amp;"""")</f>
        <v/>
      </c>
      <c r="Y475" s="237" t="str">
        <f t="shared" si="467"/>
        <v/>
      </c>
      <c r="Z475" s="237" t="str">
        <f>IF(ISBLANK(K475),,Config!$C$3&amp;"&amp;range=BB"&amp;MATCH(K475,FRG!AE:AE,0))</f>
        <v/>
      </c>
      <c r="AB475" s="242" t="str">
        <f>IFERROR(__xludf.DUMMYFUNCTION("IF(ISBLANK(K475),,SUBSTITUTE(IFERROR(JOIN("","",K475:Z475),JOIN("","",K475:Y475)),CHAR(10),""""))"),"")</f>
        <v/>
      </c>
      <c r="AC475" s="229" t="str">
        <f t="shared" si="1"/>
        <v/>
      </c>
    </row>
    <row r="476">
      <c r="K476" s="237"/>
      <c r="L476" s="238" t="str">
        <f t="shared" si="3"/>
        <v/>
      </c>
      <c r="M476" s="237"/>
      <c r="N476" s="238"/>
      <c r="O476" s="238" t="str">
        <f t="shared" si="4"/>
        <v/>
      </c>
      <c r="P476" s="238" t="str">
        <f t="shared" si="5"/>
        <v/>
      </c>
      <c r="Q476" s="238" t="str">
        <f t="shared" si="6"/>
        <v/>
      </c>
      <c r="R476" s="238" t="str">
        <f t="shared" si="7"/>
        <v/>
      </c>
      <c r="S476" s="238" t="str">
        <f t="shared" si="8"/>
        <v/>
      </c>
      <c r="T476" s="238"/>
      <c r="U476" s="237"/>
      <c r="V476" s="238"/>
      <c r="W476" s="238" t="str">
        <f t="shared" si="9"/>
        <v/>
      </c>
      <c r="X476" s="237" t="str">
        <f t="shared" ref="X476:Y476" si="468">IF(ISBLANK(H476),,""""&amp;H476&amp;"""")</f>
        <v/>
      </c>
      <c r="Y476" s="237" t="str">
        <f t="shared" si="468"/>
        <v/>
      </c>
      <c r="Z476" s="237" t="str">
        <f>IF(ISBLANK(K476),,Config!$C$3&amp;"&amp;range=BB"&amp;MATCH(K476,FRG!AE:AE,0))</f>
        <v/>
      </c>
      <c r="AB476" s="242" t="str">
        <f>IFERROR(__xludf.DUMMYFUNCTION("IF(ISBLANK(K476),,SUBSTITUTE(IFERROR(JOIN("","",K476:Z476),JOIN("","",K476:Y476)),CHAR(10),""""))"),"")</f>
        <v/>
      </c>
      <c r="AC476" s="229" t="str">
        <f t="shared" si="1"/>
        <v/>
      </c>
    </row>
    <row r="477">
      <c r="K477" s="237"/>
      <c r="L477" s="238" t="str">
        <f t="shared" si="3"/>
        <v/>
      </c>
      <c r="M477" s="237"/>
      <c r="N477" s="238"/>
      <c r="O477" s="238" t="str">
        <f t="shared" si="4"/>
        <v/>
      </c>
      <c r="P477" s="238" t="str">
        <f t="shared" si="5"/>
        <v/>
      </c>
      <c r="Q477" s="238" t="str">
        <f t="shared" si="6"/>
        <v/>
      </c>
      <c r="R477" s="238" t="str">
        <f t="shared" si="7"/>
        <v/>
      </c>
      <c r="S477" s="238" t="str">
        <f t="shared" si="8"/>
        <v/>
      </c>
      <c r="T477" s="238"/>
      <c r="U477" s="237"/>
      <c r="V477" s="238"/>
      <c r="W477" s="238" t="str">
        <f t="shared" si="9"/>
        <v/>
      </c>
      <c r="X477" s="237" t="str">
        <f t="shared" ref="X477:Y477" si="469">IF(ISBLANK(H477),,""""&amp;H477&amp;"""")</f>
        <v/>
      </c>
      <c r="Y477" s="237" t="str">
        <f t="shared" si="469"/>
        <v/>
      </c>
      <c r="Z477" s="237" t="str">
        <f>IF(ISBLANK(K477),,Config!$C$3&amp;"&amp;range=BB"&amp;MATCH(K477,FRG!AE:AE,0))</f>
        <v/>
      </c>
      <c r="AB477" s="242" t="str">
        <f>IFERROR(__xludf.DUMMYFUNCTION("IF(ISBLANK(K477),,SUBSTITUTE(IFERROR(JOIN("","",K477:Z477),JOIN("","",K477:Y477)),CHAR(10),""""))"),"")</f>
        <v/>
      </c>
      <c r="AC477" s="229" t="str">
        <f t="shared" si="1"/>
        <v/>
      </c>
    </row>
    <row r="478">
      <c r="K478" s="237"/>
      <c r="L478" s="238" t="str">
        <f t="shared" si="3"/>
        <v/>
      </c>
      <c r="M478" s="237"/>
      <c r="N478" s="238"/>
      <c r="O478" s="238" t="str">
        <f t="shared" si="4"/>
        <v/>
      </c>
      <c r="P478" s="238" t="str">
        <f t="shared" si="5"/>
        <v/>
      </c>
      <c r="Q478" s="238" t="str">
        <f t="shared" si="6"/>
        <v/>
      </c>
      <c r="R478" s="238" t="str">
        <f t="shared" si="7"/>
        <v/>
      </c>
      <c r="S478" s="238" t="str">
        <f t="shared" si="8"/>
        <v/>
      </c>
      <c r="T478" s="238"/>
      <c r="U478" s="237"/>
      <c r="V478" s="238"/>
      <c r="W478" s="238" t="str">
        <f t="shared" si="9"/>
        <v/>
      </c>
      <c r="X478" s="237" t="str">
        <f t="shared" ref="X478:Y478" si="470">IF(ISBLANK(H478),,""""&amp;H478&amp;"""")</f>
        <v/>
      </c>
      <c r="Y478" s="237" t="str">
        <f t="shared" si="470"/>
        <v/>
      </c>
      <c r="Z478" s="237" t="str">
        <f>IF(ISBLANK(K478),,Config!$C$3&amp;"&amp;range=BB"&amp;MATCH(K478,FRG!AE:AE,0))</f>
        <v/>
      </c>
      <c r="AB478" s="242" t="str">
        <f>IFERROR(__xludf.DUMMYFUNCTION("IF(ISBLANK(K478),,SUBSTITUTE(IFERROR(JOIN("","",K478:Z478),JOIN("","",K478:Y478)),CHAR(10),""""))"),"")</f>
        <v/>
      </c>
      <c r="AC478" s="229" t="str">
        <f t="shared" si="1"/>
        <v/>
      </c>
    </row>
    <row r="479">
      <c r="K479" s="237"/>
      <c r="L479" s="238" t="str">
        <f t="shared" si="3"/>
        <v/>
      </c>
      <c r="M479" s="237"/>
      <c r="N479" s="238"/>
      <c r="O479" s="238" t="str">
        <f t="shared" si="4"/>
        <v/>
      </c>
      <c r="P479" s="238" t="str">
        <f t="shared" si="5"/>
        <v/>
      </c>
      <c r="Q479" s="238" t="str">
        <f t="shared" si="6"/>
        <v/>
      </c>
      <c r="R479" s="238" t="str">
        <f t="shared" si="7"/>
        <v/>
      </c>
      <c r="S479" s="238" t="str">
        <f t="shared" si="8"/>
        <v/>
      </c>
      <c r="T479" s="238"/>
      <c r="U479" s="237"/>
      <c r="V479" s="238"/>
      <c r="W479" s="238" t="str">
        <f t="shared" si="9"/>
        <v/>
      </c>
      <c r="X479" s="237" t="str">
        <f t="shared" ref="X479:Y479" si="471">IF(ISBLANK(H479),,""""&amp;H479&amp;"""")</f>
        <v/>
      </c>
      <c r="Y479" s="237" t="str">
        <f t="shared" si="471"/>
        <v/>
      </c>
      <c r="Z479" s="237" t="str">
        <f>IF(ISBLANK(K479),,Config!$C$3&amp;"&amp;range=BB"&amp;MATCH(K479,FRG!AE:AE,0))</f>
        <v/>
      </c>
      <c r="AB479" s="242" t="str">
        <f>IFERROR(__xludf.DUMMYFUNCTION("IF(ISBLANK(K479),,SUBSTITUTE(IFERROR(JOIN("","",K479:Z479),JOIN("","",K479:Y479)),CHAR(10),""""))"),"")</f>
        <v/>
      </c>
      <c r="AC479" s="229" t="str">
        <f t="shared" si="1"/>
        <v/>
      </c>
    </row>
    <row r="480">
      <c r="K480" s="237"/>
      <c r="L480" s="238" t="str">
        <f t="shared" si="3"/>
        <v/>
      </c>
      <c r="M480" s="237"/>
      <c r="N480" s="238"/>
      <c r="O480" s="238" t="str">
        <f t="shared" si="4"/>
        <v/>
      </c>
      <c r="P480" s="238" t="str">
        <f t="shared" si="5"/>
        <v/>
      </c>
      <c r="Q480" s="238" t="str">
        <f t="shared" si="6"/>
        <v/>
      </c>
      <c r="R480" s="238" t="str">
        <f t="shared" si="7"/>
        <v/>
      </c>
      <c r="S480" s="238" t="str">
        <f t="shared" si="8"/>
        <v/>
      </c>
      <c r="T480" s="238"/>
      <c r="U480" s="237"/>
      <c r="V480" s="238"/>
      <c r="W480" s="238" t="str">
        <f t="shared" si="9"/>
        <v/>
      </c>
      <c r="X480" s="237" t="str">
        <f t="shared" ref="X480:Y480" si="472">IF(ISBLANK(H480),,""""&amp;H480&amp;"""")</f>
        <v/>
      </c>
      <c r="Y480" s="237" t="str">
        <f t="shared" si="472"/>
        <v/>
      </c>
      <c r="Z480" s="237" t="str">
        <f>IF(ISBLANK(K480),,Config!$C$3&amp;"&amp;range=BB"&amp;MATCH(K480,FRG!AE:AE,0))</f>
        <v/>
      </c>
      <c r="AB480" s="242" t="str">
        <f>IFERROR(__xludf.DUMMYFUNCTION("IF(ISBLANK(K480),,SUBSTITUTE(IFERROR(JOIN("","",K480:Z480),JOIN("","",K480:Y480)),CHAR(10),""""))"),"")</f>
        <v/>
      </c>
      <c r="AC480" s="229" t="str">
        <f t="shared" si="1"/>
        <v/>
      </c>
    </row>
    <row r="481">
      <c r="K481" s="237"/>
      <c r="L481" s="238" t="str">
        <f t="shared" si="3"/>
        <v/>
      </c>
      <c r="M481" s="237"/>
      <c r="N481" s="238"/>
      <c r="O481" s="238" t="str">
        <f t="shared" si="4"/>
        <v/>
      </c>
      <c r="P481" s="238" t="str">
        <f t="shared" si="5"/>
        <v/>
      </c>
      <c r="Q481" s="238" t="str">
        <f t="shared" si="6"/>
        <v/>
      </c>
      <c r="R481" s="238" t="str">
        <f t="shared" si="7"/>
        <v/>
      </c>
      <c r="S481" s="238" t="str">
        <f t="shared" si="8"/>
        <v/>
      </c>
      <c r="T481" s="238"/>
      <c r="U481" s="237"/>
      <c r="V481" s="238"/>
      <c r="W481" s="238" t="str">
        <f t="shared" si="9"/>
        <v/>
      </c>
      <c r="X481" s="237" t="str">
        <f t="shared" ref="X481:Y481" si="473">IF(ISBLANK(H481),,""""&amp;H481&amp;"""")</f>
        <v/>
      </c>
      <c r="Y481" s="237" t="str">
        <f t="shared" si="473"/>
        <v/>
      </c>
      <c r="Z481" s="237" t="str">
        <f>IF(ISBLANK(K481),,Config!$C$3&amp;"&amp;range=BB"&amp;MATCH(K481,FRG!AE:AE,0))</f>
        <v/>
      </c>
      <c r="AB481" s="242" t="str">
        <f>IFERROR(__xludf.DUMMYFUNCTION("IF(ISBLANK(K481),,SUBSTITUTE(IFERROR(JOIN("","",K481:Z481),JOIN("","",K481:Y481)),CHAR(10),""""))"),"")</f>
        <v/>
      </c>
      <c r="AC481" s="229" t="str">
        <f t="shared" si="1"/>
        <v/>
      </c>
    </row>
    <row r="482">
      <c r="K482" s="237"/>
      <c r="L482" s="238" t="str">
        <f t="shared" si="3"/>
        <v/>
      </c>
      <c r="M482" s="237"/>
      <c r="N482" s="238"/>
      <c r="O482" s="238" t="str">
        <f t="shared" si="4"/>
        <v/>
      </c>
      <c r="P482" s="238" t="str">
        <f t="shared" si="5"/>
        <v/>
      </c>
      <c r="Q482" s="238" t="str">
        <f t="shared" si="6"/>
        <v/>
      </c>
      <c r="R482" s="238" t="str">
        <f t="shared" si="7"/>
        <v/>
      </c>
      <c r="S482" s="238" t="str">
        <f t="shared" si="8"/>
        <v/>
      </c>
      <c r="T482" s="238"/>
      <c r="U482" s="237"/>
      <c r="V482" s="238"/>
      <c r="W482" s="238" t="str">
        <f t="shared" si="9"/>
        <v/>
      </c>
      <c r="X482" s="237" t="str">
        <f t="shared" ref="X482:Y482" si="474">IF(ISBLANK(H482),,""""&amp;H482&amp;"""")</f>
        <v/>
      </c>
      <c r="Y482" s="237" t="str">
        <f t="shared" si="474"/>
        <v/>
      </c>
      <c r="Z482" s="237" t="str">
        <f>IF(ISBLANK(K482),,Config!$C$3&amp;"&amp;range=BB"&amp;MATCH(K482,FRG!AE:AE,0))</f>
        <v/>
      </c>
      <c r="AB482" s="242" t="str">
        <f>IFERROR(__xludf.DUMMYFUNCTION("IF(ISBLANK(K482),,SUBSTITUTE(IFERROR(JOIN("","",K482:Z482),JOIN("","",K482:Y482)),CHAR(10),""""))"),"")</f>
        <v/>
      </c>
      <c r="AC482" s="229" t="str">
        <f t="shared" si="1"/>
        <v/>
      </c>
    </row>
    <row r="483">
      <c r="K483" s="237"/>
      <c r="L483" s="238" t="str">
        <f t="shared" si="3"/>
        <v/>
      </c>
      <c r="M483" s="237"/>
      <c r="N483" s="238"/>
      <c r="O483" s="238" t="str">
        <f t="shared" si="4"/>
        <v/>
      </c>
      <c r="P483" s="238" t="str">
        <f t="shared" si="5"/>
        <v/>
      </c>
      <c r="Q483" s="238" t="str">
        <f t="shared" si="6"/>
        <v/>
      </c>
      <c r="R483" s="238" t="str">
        <f t="shared" si="7"/>
        <v/>
      </c>
      <c r="S483" s="238" t="str">
        <f t="shared" si="8"/>
        <v/>
      </c>
      <c r="T483" s="238"/>
      <c r="U483" s="237"/>
      <c r="V483" s="238"/>
      <c r="W483" s="238" t="str">
        <f t="shared" si="9"/>
        <v/>
      </c>
      <c r="X483" s="237" t="str">
        <f t="shared" ref="X483:Y483" si="475">IF(ISBLANK(H483),,""""&amp;H483&amp;"""")</f>
        <v/>
      </c>
      <c r="Y483" s="237" t="str">
        <f t="shared" si="475"/>
        <v/>
      </c>
      <c r="Z483" s="237" t="str">
        <f>IF(ISBLANK(K483),,Config!$C$3&amp;"&amp;range=BB"&amp;MATCH(K483,FRG!AE:AE,0))</f>
        <v/>
      </c>
      <c r="AB483" s="242" t="str">
        <f>IFERROR(__xludf.DUMMYFUNCTION("IF(ISBLANK(K483),,SUBSTITUTE(IFERROR(JOIN("","",K483:Z483),JOIN("","",K483:Y483)),CHAR(10),""""))"),"")</f>
        <v/>
      </c>
      <c r="AC483" s="229" t="str">
        <f t="shared" si="1"/>
        <v/>
      </c>
    </row>
    <row r="484">
      <c r="K484" s="237"/>
      <c r="L484" s="238" t="str">
        <f t="shared" si="3"/>
        <v/>
      </c>
      <c r="M484" s="237"/>
      <c r="N484" s="238"/>
      <c r="O484" s="238" t="str">
        <f t="shared" si="4"/>
        <v/>
      </c>
      <c r="P484" s="238" t="str">
        <f t="shared" si="5"/>
        <v/>
      </c>
      <c r="Q484" s="238" t="str">
        <f t="shared" si="6"/>
        <v/>
      </c>
      <c r="R484" s="238" t="str">
        <f t="shared" si="7"/>
        <v/>
      </c>
      <c r="S484" s="238" t="str">
        <f t="shared" si="8"/>
        <v/>
      </c>
      <c r="T484" s="238"/>
      <c r="U484" s="237"/>
      <c r="V484" s="238"/>
      <c r="W484" s="238" t="str">
        <f t="shared" si="9"/>
        <v/>
      </c>
      <c r="X484" s="237" t="str">
        <f t="shared" ref="X484:Y484" si="476">IF(ISBLANK(H484),,""""&amp;H484&amp;"""")</f>
        <v/>
      </c>
      <c r="Y484" s="237" t="str">
        <f t="shared" si="476"/>
        <v/>
      </c>
      <c r="Z484" s="237" t="str">
        <f>IF(ISBLANK(K484),,Config!$C$3&amp;"&amp;range=BB"&amp;MATCH(K484,FRG!AE:AE,0))</f>
        <v/>
      </c>
      <c r="AB484" s="242" t="str">
        <f>IFERROR(__xludf.DUMMYFUNCTION("IF(ISBLANK(K484),,SUBSTITUTE(IFERROR(JOIN("","",K484:Z484),JOIN("","",K484:Y484)),CHAR(10),""""))"),"")</f>
        <v/>
      </c>
      <c r="AC484" s="229" t="str">
        <f t="shared" si="1"/>
        <v/>
      </c>
    </row>
    <row r="485">
      <c r="K485" s="237"/>
      <c r="L485" s="238" t="str">
        <f t="shared" si="3"/>
        <v/>
      </c>
      <c r="M485" s="237"/>
      <c r="N485" s="238"/>
      <c r="O485" s="238" t="str">
        <f t="shared" si="4"/>
        <v/>
      </c>
      <c r="P485" s="238" t="str">
        <f t="shared" si="5"/>
        <v/>
      </c>
      <c r="Q485" s="238" t="str">
        <f t="shared" si="6"/>
        <v/>
      </c>
      <c r="R485" s="238" t="str">
        <f t="shared" si="7"/>
        <v/>
      </c>
      <c r="S485" s="238" t="str">
        <f t="shared" si="8"/>
        <v/>
      </c>
      <c r="T485" s="238"/>
      <c r="U485" s="237"/>
      <c r="V485" s="238"/>
      <c r="W485" s="238" t="str">
        <f t="shared" si="9"/>
        <v/>
      </c>
      <c r="X485" s="237" t="str">
        <f t="shared" ref="X485:Y485" si="477">IF(ISBLANK(H485),,""""&amp;H485&amp;"""")</f>
        <v/>
      </c>
      <c r="Y485" s="237" t="str">
        <f t="shared" si="477"/>
        <v/>
      </c>
      <c r="Z485" s="237" t="str">
        <f>IF(ISBLANK(K485),,Config!$C$3&amp;"&amp;range=BB"&amp;MATCH(K485,FRG!AE:AE,0))</f>
        <v/>
      </c>
      <c r="AB485" s="242" t="str">
        <f>IFERROR(__xludf.DUMMYFUNCTION("IF(ISBLANK(K485),,SUBSTITUTE(IFERROR(JOIN("","",K485:Z485),JOIN("","",K485:Y485)),CHAR(10),""""))"),"")</f>
        <v/>
      </c>
      <c r="AC485" s="229" t="str">
        <f t="shared" si="1"/>
        <v/>
      </c>
    </row>
    <row r="486">
      <c r="K486" s="237"/>
      <c r="L486" s="238" t="str">
        <f t="shared" si="3"/>
        <v/>
      </c>
      <c r="M486" s="237"/>
      <c r="N486" s="238"/>
      <c r="O486" s="238" t="str">
        <f t="shared" si="4"/>
        <v/>
      </c>
      <c r="P486" s="238" t="str">
        <f t="shared" si="5"/>
        <v/>
      </c>
      <c r="Q486" s="238" t="str">
        <f t="shared" si="6"/>
        <v/>
      </c>
      <c r="R486" s="238" t="str">
        <f t="shared" si="7"/>
        <v/>
      </c>
      <c r="S486" s="238" t="str">
        <f t="shared" si="8"/>
        <v/>
      </c>
      <c r="T486" s="238"/>
      <c r="U486" s="237"/>
      <c r="V486" s="238"/>
      <c r="W486" s="238" t="str">
        <f t="shared" si="9"/>
        <v/>
      </c>
      <c r="X486" s="237" t="str">
        <f t="shared" ref="X486:Y486" si="478">IF(ISBLANK(H486),,""""&amp;H486&amp;"""")</f>
        <v/>
      </c>
      <c r="Y486" s="237" t="str">
        <f t="shared" si="478"/>
        <v/>
      </c>
      <c r="Z486" s="237" t="str">
        <f>IF(ISBLANK(K486),,Config!$C$3&amp;"&amp;range=BB"&amp;MATCH(K486,FRG!AE:AE,0))</f>
        <v/>
      </c>
      <c r="AB486" s="242" t="str">
        <f>IFERROR(__xludf.DUMMYFUNCTION("IF(ISBLANK(K486),,SUBSTITUTE(IFERROR(JOIN("","",K486:Z486),JOIN("","",K486:Y486)),CHAR(10),""""))"),"")</f>
        <v/>
      </c>
      <c r="AC486" s="229" t="str">
        <f t="shared" si="1"/>
        <v/>
      </c>
    </row>
    <row r="487">
      <c r="K487" s="237"/>
      <c r="L487" s="238" t="str">
        <f t="shared" si="3"/>
        <v/>
      </c>
      <c r="M487" s="237"/>
      <c r="N487" s="238"/>
      <c r="O487" s="238" t="str">
        <f t="shared" si="4"/>
        <v/>
      </c>
      <c r="P487" s="238" t="str">
        <f t="shared" si="5"/>
        <v/>
      </c>
      <c r="Q487" s="238" t="str">
        <f t="shared" si="6"/>
        <v/>
      </c>
      <c r="R487" s="238" t="str">
        <f t="shared" si="7"/>
        <v/>
      </c>
      <c r="S487" s="238" t="str">
        <f t="shared" si="8"/>
        <v/>
      </c>
      <c r="T487" s="238"/>
      <c r="U487" s="237"/>
      <c r="V487" s="238"/>
      <c r="W487" s="238" t="str">
        <f t="shared" si="9"/>
        <v/>
      </c>
      <c r="X487" s="237" t="str">
        <f t="shared" ref="X487:Y487" si="479">IF(ISBLANK(H487),,""""&amp;H487&amp;"""")</f>
        <v/>
      </c>
      <c r="Y487" s="237" t="str">
        <f t="shared" si="479"/>
        <v/>
      </c>
      <c r="Z487" s="237" t="str">
        <f>IF(ISBLANK(K487),,Config!$C$3&amp;"&amp;range=BB"&amp;MATCH(K487,FRG!AE:AE,0))</f>
        <v/>
      </c>
      <c r="AB487" s="242" t="str">
        <f>IFERROR(__xludf.DUMMYFUNCTION("IF(ISBLANK(K487),,SUBSTITUTE(IFERROR(JOIN("","",K487:Z487),JOIN("","",K487:Y487)),CHAR(10),""""))"),"")</f>
        <v/>
      </c>
      <c r="AC487" s="229" t="str">
        <f t="shared" si="1"/>
        <v/>
      </c>
    </row>
    <row r="488">
      <c r="K488" s="237"/>
      <c r="L488" s="238" t="str">
        <f t="shared" si="3"/>
        <v/>
      </c>
      <c r="M488" s="237"/>
      <c r="N488" s="238"/>
      <c r="O488" s="238" t="str">
        <f t="shared" si="4"/>
        <v/>
      </c>
      <c r="P488" s="238" t="str">
        <f t="shared" si="5"/>
        <v/>
      </c>
      <c r="Q488" s="238" t="str">
        <f t="shared" si="6"/>
        <v/>
      </c>
      <c r="R488" s="238" t="str">
        <f t="shared" si="7"/>
        <v/>
      </c>
      <c r="S488" s="238" t="str">
        <f t="shared" si="8"/>
        <v/>
      </c>
      <c r="T488" s="238"/>
      <c r="U488" s="237"/>
      <c r="V488" s="238"/>
      <c r="W488" s="238" t="str">
        <f t="shared" si="9"/>
        <v/>
      </c>
      <c r="X488" s="237" t="str">
        <f t="shared" ref="X488:Y488" si="480">IF(ISBLANK(H488),,""""&amp;H488&amp;"""")</f>
        <v/>
      </c>
      <c r="Y488" s="237" t="str">
        <f t="shared" si="480"/>
        <v/>
      </c>
      <c r="Z488" s="237" t="str">
        <f>IF(ISBLANK(K488),,Config!$C$3&amp;"&amp;range=BB"&amp;MATCH(K488,FRG!AE:AE,0))</f>
        <v/>
      </c>
      <c r="AB488" s="242" t="str">
        <f>IFERROR(__xludf.DUMMYFUNCTION("IF(ISBLANK(K488),,SUBSTITUTE(IFERROR(JOIN("","",K488:Z488),JOIN("","",K488:Y488)),CHAR(10),""""))"),"")</f>
        <v/>
      </c>
      <c r="AC488" s="229" t="str">
        <f t="shared" si="1"/>
        <v/>
      </c>
    </row>
    <row r="489">
      <c r="K489" s="237"/>
      <c r="L489" s="238" t="str">
        <f t="shared" si="3"/>
        <v/>
      </c>
      <c r="M489" s="237"/>
      <c r="N489" s="238"/>
      <c r="O489" s="238" t="str">
        <f t="shared" si="4"/>
        <v/>
      </c>
      <c r="P489" s="238" t="str">
        <f t="shared" si="5"/>
        <v/>
      </c>
      <c r="Q489" s="238" t="str">
        <f t="shared" si="6"/>
        <v/>
      </c>
      <c r="R489" s="238" t="str">
        <f t="shared" si="7"/>
        <v/>
      </c>
      <c r="S489" s="238" t="str">
        <f t="shared" si="8"/>
        <v/>
      </c>
      <c r="T489" s="238"/>
      <c r="U489" s="237"/>
      <c r="V489" s="238"/>
      <c r="W489" s="238" t="str">
        <f t="shared" si="9"/>
        <v/>
      </c>
      <c r="X489" s="237" t="str">
        <f t="shared" ref="X489:Y489" si="481">IF(ISBLANK(H489),,""""&amp;H489&amp;"""")</f>
        <v/>
      </c>
      <c r="Y489" s="237" t="str">
        <f t="shared" si="481"/>
        <v/>
      </c>
      <c r="Z489" s="237" t="str">
        <f>IF(ISBLANK(K489),,Config!$C$3&amp;"&amp;range=BB"&amp;MATCH(K489,FRG!AE:AE,0))</f>
        <v/>
      </c>
      <c r="AB489" s="242" t="str">
        <f>IFERROR(__xludf.DUMMYFUNCTION("IF(ISBLANK(K489),,SUBSTITUTE(IFERROR(JOIN("","",K489:Z489),JOIN("","",K489:Y489)),CHAR(10),""""))"),"")</f>
        <v/>
      </c>
      <c r="AC489" s="229" t="str">
        <f t="shared" si="1"/>
        <v/>
      </c>
    </row>
    <row r="490">
      <c r="K490" s="237"/>
      <c r="L490" s="238" t="str">
        <f t="shared" si="3"/>
        <v/>
      </c>
      <c r="M490" s="237"/>
      <c r="N490" s="238"/>
      <c r="O490" s="238" t="str">
        <f t="shared" si="4"/>
        <v/>
      </c>
      <c r="P490" s="238" t="str">
        <f t="shared" si="5"/>
        <v/>
      </c>
      <c r="Q490" s="238" t="str">
        <f t="shared" si="6"/>
        <v/>
      </c>
      <c r="R490" s="238" t="str">
        <f t="shared" si="7"/>
        <v/>
      </c>
      <c r="S490" s="238" t="str">
        <f t="shared" si="8"/>
        <v/>
      </c>
      <c r="T490" s="238"/>
      <c r="U490" s="237"/>
      <c r="V490" s="238"/>
      <c r="W490" s="238" t="str">
        <f t="shared" si="9"/>
        <v/>
      </c>
      <c r="X490" s="237" t="str">
        <f t="shared" ref="X490:Y490" si="482">IF(ISBLANK(H490),,""""&amp;H490&amp;"""")</f>
        <v/>
      </c>
      <c r="Y490" s="237" t="str">
        <f t="shared" si="482"/>
        <v/>
      </c>
      <c r="Z490" s="237" t="str">
        <f>IF(ISBLANK(K490),,Config!$C$3&amp;"&amp;range=BB"&amp;MATCH(K490,FRG!AE:AE,0))</f>
        <v/>
      </c>
      <c r="AB490" s="242" t="str">
        <f>IFERROR(__xludf.DUMMYFUNCTION("IF(ISBLANK(K490),,SUBSTITUTE(IFERROR(JOIN("","",K490:Z490),JOIN("","",K490:Y490)),CHAR(10),""""))"),"")</f>
        <v/>
      </c>
      <c r="AC490" s="229" t="str">
        <f t="shared" si="1"/>
        <v/>
      </c>
    </row>
    <row r="491">
      <c r="K491" s="237"/>
      <c r="L491" s="238" t="str">
        <f t="shared" si="3"/>
        <v/>
      </c>
      <c r="M491" s="237"/>
      <c r="N491" s="238"/>
      <c r="O491" s="238" t="str">
        <f t="shared" si="4"/>
        <v/>
      </c>
      <c r="P491" s="238" t="str">
        <f t="shared" si="5"/>
        <v/>
      </c>
      <c r="Q491" s="238" t="str">
        <f t="shared" si="6"/>
        <v/>
      </c>
      <c r="R491" s="238" t="str">
        <f t="shared" si="7"/>
        <v/>
      </c>
      <c r="S491" s="238" t="str">
        <f t="shared" si="8"/>
        <v/>
      </c>
      <c r="T491" s="238"/>
      <c r="U491" s="237"/>
      <c r="V491" s="238"/>
      <c r="W491" s="238" t="str">
        <f t="shared" si="9"/>
        <v/>
      </c>
      <c r="X491" s="237" t="str">
        <f t="shared" ref="X491:Y491" si="483">IF(ISBLANK(H491),,""""&amp;H491&amp;"""")</f>
        <v/>
      </c>
      <c r="Y491" s="237" t="str">
        <f t="shared" si="483"/>
        <v/>
      </c>
      <c r="Z491" s="237" t="str">
        <f>IF(ISBLANK(K491),,Config!$C$3&amp;"&amp;range=BB"&amp;MATCH(K491,FRG!AE:AE,0))</f>
        <v/>
      </c>
      <c r="AB491" s="242" t="str">
        <f>IFERROR(__xludf.DUMMYFUNCTION("IF(ISBLANK(K491),,SUBSTITUTE(IFERROR(JOIN("","",K491:Z491),JOIN("","",K491:Y491)),CHAR(10),""""))"),"")</f>
        <v/>
      </c>
      <c r="AC491" s="229" t="str">
        <f t="shared" si="1"/>
        <v/>
      </c>
    </row>
    <row r="492">
      <c r="K492" s="237"/>
      <c r="L492" s="238" t="str">
        <f t="shared" si="3"/>
        <v/>
      </c>
      <c r="M492" s="237"/>
      <c r="N492" s="238"/>
      <c r="O492" s="238" t="str">
        <f t="shared" si="4"/>
        <v/>
      </c>
      <c r="P492" s="238" t="str">
        <f t="shared" si="5"/>
        <v/>
      </c>
      <c r="Q492" s="238" t="str">
        <f t="shared" si="6"/>
        <v/>
      </c>
      <c r="R492" s="238" t="str">
        <f t="shared" si="7"/>
        <v/>
      </c>
      <c r="S492" s="238" t="str">
        <f t="shared" si="8"/>
        <v/>
      </c>
      <c r="T492" s="238"/>
      <c r="U492" s="237"/>
      <c r="V492" s="238"/>
      <c r="W492" s="238" t="str">
        <f t="shared" si="9"/>
        <v/>
      </c>
      <c r="X492" s="237" t="str">
        <f t="shared" ref="X492:Y492" si="484">IF(ISBLANK(H492),,""""&amp;H492&amp;"""")</f>
        <v/>
      </c>
      <c r="Y492" s="237" t="str">
        <f t="shared" si="484"/>
        <v/>
      </c>
      <c r="Z492" s="237" t="str">
        <f>IF(ISBLANK(K492),,Config!$C$3&amp;"&amp;range=BB"&amp;MATCH(K492,FRG!AE:AE,0))</f>
        <v/>
      </c>
      <c r="AB492" s="242" t="str">
        <f>IFERROR(__xludf.DUMMYFUNCTION("IF(ISBLANK(K492),,SUBSTITUTE(IFERROR(JOIN("","",K492:Z492),JOIN("","",K492:Y492)),CHAR(10),""""))"),"")</f>
        <v/>
      </c>
      <c r="AC492" s="229" t="str">
        <f t="shared" si="1"/>
        <v/>
      </c>
    </row>
    <row r="493">
      <c r="K493" s="237"/>
      <c r="L493" s="238" t="str">
        <f t="shared" si="3"/>
        <v/>
      </c>
      <c r="M493" s="237"/>
      <c r="N493" s="238"/>
      <c r="O493" s="238" t="str">
        <f t="shared" si="4"/>
        <v/>
      </c>
      <c r="P493" s="238" t="str">
        <f t="shared" si="5"/>
        <v/>
      </c>
      <c r="Q493" s="238" t="str">
        <f t="shared" si="6"/>
        <v/>
      </c>
      <c r="R493" s="238" t="str">
        <f t="shared" si="7"/>
        <v/>
      </c>
      <c r="S493" s="238" t="str">
        <f t="shared" si="8"/>
        <v/>
      </c>
      <c r="T493" s="238"/>
      <c r="U493" s="237"/>
      <c r="V493" s="238"/>
      <c r="W493" s="238" t="str">
        <f t="shared" si="9"/>
        <v/>
      </c>
      <c r="X493" s="237" t="str">
        <f t="shared" ref="X493:Y493" si="485">IF(ISBLANK(H493),,""""&amp;H493&amp;"""")</f>
        <v/>
      </c>
      <c r="Y493" s="237" t="str">
        <f t="shared" si="485"/>
        <v/>
      </c>
      <c r="Z493" s="237" t="str">
        <f>IF(ISBLANK(K493),,Config!$C$3&amp;"&amp;range=BB"&amp;MATCH(K493,FRG!AE:AE,0))</f>
        <v/>
      </c>
      <c r="AB493" s="242" t="str">
        <f>IFERROR(__xludf.DUMMYFUNCTION("IF(ISBLANK(K493),,SUBSTITUTE(IFERROR(JOIN("","",K493:Z493),JOIN("","",K493:Y493)),CHAR(10),""""))"),"")</f>
        <v/>
      </c>
      <c r="AC493" s="229" t="str">
        <f t="shared" si="1"/>
        <v/>
      </c>
    </row>
    <row r="494">
      <c r="K494" s="237"/>
      <c r="L494" s="238" t="str">
        <f t="shared" si="3"/>
        <v/>
      </c>
      <c r="M494" s="237"/>
      <c r="N494" s="238"/>
      <c r="O494" s="238" t="str">
        <f t="shared" si="4"/>
        <v/>
      </c>
      <c r="P494" s="238" t="str">
        <f t="shared" si="5"/>
        <v/>
      </c>
      <c r="Q494" s="238" t="str">
        <f t="shared" si="6"/>
        <v/>
      </c>
      <c r="R494" s="238" t="str">
        <f t="shared" si="7"/>
        <v/>
      </c>
      <c r="S494" s="238" t="str">
        <f t="shared" si="8"/>
        <v/>
      </c>
      <c r="T494" s="238"/>
      <c r="U494" s="237"/>
      <c r="V494" s="238"/>
      <c r="W494" s="238" t="str">
        <f t="shared" si="9"/>
        <v/>
      </c>
      <c r="X494" s="237" t="str">
        <f t="shared" ref="X494:Y494" si="486">IF(ISBLANK(H494),,""""&amp;H494&amp;"""")</f>
        <v/>
      </c>
      <c r="Y494" s="237" t="str">
        <f t="shared" si="486"/>
        <v/>
      </c>
      <c r="Z494" s="237" t="str">
        <f>IF(ISBLANK(K494),,Config!$C$3&amp;"&amp;range=BB"&amp;MATCH(K494,FRG!AE:AE,0))</f>
        <v/>
      </c>
      <c r="AB494" s="242" t="str">
        <f>IFERROR(__xludf.DUMMYFUNCTION("IF(ISBLANK(K494),,SUBSTITUTE(IFERROR(JOIN("","",K494:Z494),JOIN("","",K494:Y494)),CHAR(10),""""))"),"")</f>
        <v/>
      </c>
      <c r="AC494" s="229" t="str">
        <f t="shared" si="1"/>
        <v/>
      </c>
    </row>
    <row r="495">
      <c r="K495" s="237"/>
      <c r="L495" s="238" t="str">
        <f t="shared" si="3"/>
        <v/>
      </c>
      <c r="M495" s="237"/>
      <c r="N495" s="238"/>
      <c r="O495" s="238" t="str">
        <f t="shared" si="4"/>
        <v/>
      </c>
      <c r="P495" s="238" t="str">
        <f t="shared" si="5"/>
        <v/>
      </c>
      <c r="Q495" s="238" t="str">
        <f t="shared" si="6"/>
        <v/>
      </c>
      <c r="R495" s="238" t="str">
        <f t="shared" si="7"/>
        <v/>
      </c>
      <c r="S495" s="238" t="str">
        <f t="shared" si="8"/>
        <v/>
      </c>
      <c r="T495" s="238"/>
      <c r="U495" s="237"/>
      <c r="V495" s="238"/>
      <c r="W495" s="238" t="str">
        <f t="shared" si="9"/>
        <v/>
      </c>
      <c r="X495" s="237" t="str">
        <f t="shared" ref="X495:Y495" si="487">IF(ISBLANK(H495),,""""&amp;H495&amp;"""")</f>
        <v/>
      </c>
      <c r="Y495" s="237" t="str">
        <f t="shared" si="487"/>
        <v/>
      </c>
      <c r="Z495" s="237" t="str">
        <f>IF(ISBLANK(K495),,Config!$C$3&amp;"&amp;range=BB"&amp;MATCH(K495,FRG!AE:AE,0))</f>
        <v/>
      </c>
      <c r="AB495" s="242" t="str">
        <f>IFERROR(__xludf.DUMMYFUNCTION("IF(ISBLANK(K495),,SUBSTITUTE(IFERROR(JOIN("","",K495:Z495),JOIN("","",K495:Y495)),CHAR(10),""""))"),"")</f>
        <v/>
      </c>
      <c r="AC495" s="229" t="str">
        <f t="shared" si="1"/>
        <v/>
      </c>
    </row>
    <row r="496">
      <c r="K496" s="237"/>
      <c r="L496" s="238" t="str">
        <f t="shared" si="3"/>
        <v/>
      </c>
      <c r="M496" s="237"/>
      <c r="N496" s="238"/>
      <c r="O496" s="238" t="str">
        <f t="shared" si="4"/>
        <v/>
      </c>
      <c r="P496" s="238" t="str">
        <f t="shared" si="5"/>
        <v/>
      </c>
      <c r="Q496" s="238" t="str">
        <f t="shared" si="6"/>
        <v/>
      </c>
      <c r="R496" s="238" t="str">
        <f t="shared" si="7"/>
        <v/>
      </c>
      <c r="S496" s="238" t="str">
        <f t="shared" si="8"/>
        <v/>
      </c>
      <c r="T496" s="238"/>
      <c r="U496" s="237"/>
      <c r="V496" s="238"/>
      <c r="W496" s="238" t="str">
        <f t="shared" si="9"/>
        <v/>
      </c>
      <c r="X496" s="237" t="str">
        <f t="shared" ref="X496:Y496" si="488">IF(ISBLANK(H496),,""""&amp;H496&amp;"""")</f>
        <v/>
      </c>
      <c r="Y496" s="237" t="str">
        <f t="shared" si="488"/>
        <v/>
      </c>
      <c r="Z496" s="237" t="str">
        <f>IF(ISBLANK(K496),,Config!$C$3&amp;"&amp;range=BB"&amp;MATCH(K496,FRG!AE:AE,0))</f>
        <v/>
      </c>
      <c r="AB496" s="242" t="str">
        <f>IFERROR(__xludf.DUMMYFUNCTION("IF(ISBLANK(K496),,SUBSTITUTE(IFERROR(JOIN("","",K496:Z496),JOIN("","",K496:Y496)),CHAR(10),""""))"),"")</f>
        <v/>
      </c>
      <c r="AC496" s="229" t="str">
        <f t="shared" si="1"/>
        <v/>
      </c>
    </row>
    <row r="497">
      <c r="K497" s="237"/>
      <c r="L497" s="238" t="str">
        <f t="shared" si="3"/>
        <v/>
      </c>
      <c r="M497" s="237"/>
      <c r="N497" s="238"/>
      <c r="O497" s="238" t="str">
        <f t="shared" si="4"/>
        <v/>
      </c>
      <c r="P497" s="238" t="str">
        <f t="shared" si="5"/>
        <v/>
      </c>
      <c r="Q497" s="238" t="str">
        <f t="shared" si="6"/>
        <v/>
      </c>
      <c r="R497" s="238" t="str">
        <f t="shared" si="7"/>
        <v/>
      </c>
      <c r="S497" s="238" t="str">
        <f t="shared" si="8"/>
        <v/>
      </c>
      <c r="T497" s="238"/>
      <c r="U497" s="237"/>
      <c r="V497" s="238"/>
      <c r="W497" s="238" t="str">
        <f t="shared" si="9"/>
        <v/>
      </c>
      <c r="X497" s="237" t="str">
        <f t="shared" ref="X497:Y497" si="489">IF(ISBLANK(H497),,""""&amp;H497&amp;"""")</f>
        <v/>
      </c>
      <c r="Y497" s="237" t="str">
        <f t="shared" si="489"/>
        <v/>
      </c>
      <c r="Z497" s="237" t="str">
        <f>IF(ISBLANK(K497),,Config!$C$3&amp;"&amp;range=BB"&amp;MATCH(K497,FRG!AE:AE,0))</f>
        <v/>
      </c>
      <c r="AB497" s="242" t="str">
        <f>IFERROR(__xludf.DUMMYFUNCTION("IF(ISBLANK(K497),,SUBSTITUTE(IFERROR(JOIN("","",K497:Z497),JOIN("","",K497:Y497)),CHAR(10),""""))"),"")</f>
        <v/>
      </c>
      <c r="AC497" s="229" t="str">
        <f t="shared" si="1"/>
        <v/>
      </c>
    </row>
    <row r="498">
      <c r="K498" s="237"/>
      <c r="L498" s="238" t="str">
        <f t="shared" si="3"/>
        <v/>
      </c>
      <c r="M498" s="237"/>
      <c r="N498" s="238"/>
      <c r="O498" s="238" t="str">
        <f t="shared" si="4"/>
        <v/>
      </c>
      <c r="P498" s="238" t="str">
        <f t="shared" si="5"/>
        <v/>
      </c>
      <c r="Q498" s="238" t="str">
        <f t="shared" si="6"/>
        <v/>
      </c>
      <c r="R498" s="238" t="str">
        <f t="shared" si="7"/>
        <v/>
      </c>
      <c r="S498" s="238" t="str">
        <f t="shared" si="8"/>
        <v/>
      </c>
      <c r="T498" s="238"/>
      <c r="U498" s="237"/>
      <c r="V498" s="238"/>
      <c r="W498" s="238" t="str">
        <f t="shared" si="9"/>
        <v/>
      </c>
      <c r="X498" s="237" t="str">
        <f t="shared" ref="X498:Y498" si="490">IF(ISBLANK(H498),,""""&amp;H498&amp;"""")</f>
        <v/>
      </c>
      <c r="Y498" s="237" t="str">
        <f t="shared" si="490"/>
        <v/>
      </c>
      <c r="Z498" s="237" t="str">
        <f>IF(ISBLANK(K498),,Config!$C$3&amp;"&amp;range=BB"&amp;MATCH(K498,FRG!AE:AE,0))</f>
        <v/>
      </c>
      <c r="AB498" s="242" t="str">
        <f>IFERROR(__xludf.DUMMYFUNCTION("IF(ISBLANK(K498),,SUBSTITUTE(IFERROR(JOIN("","",K498:Z498),JOIN("","",K498:Y498)),CHAR(10),""""))"),"")</f>
        <v/>
      </c>
      <c r="AC498" s="229" t="str">
        <f t="shared" si="1"/>
        <v/>
      </c>
    </row>
    <row r="499">
      <c r="K499" s="237"/>
      <c r="L499" s="238" t="str">
        <f t="shared" si="3"/>
        <v/>
      </c>
      <c r="M499" s="237"/>
      <c r="N499" s="238"/>
      <c r="O499" s="238" t="str">
        <f t="shared" si="4"/>
        <v/>
      </c>
      <c r="P499" s="238" t="str">
        <f t="shared" si="5"/>
        <v/>
      </c>
      <c r="Q499" s="238" t="str">
        <f t="shared" si="6"/>
        <v/>
      </c>
      <c r="R499" s="238" t="str">
        <f t="shared" si="7"/>
        <v/>
      </c>
      <c r="S499" s="238" t="str">
        <f t="shared" si="8"/>
        <v/>
      </c>
      <c r="T499" s="238"/>
      <c r="U499" s="237"/>
      <c r="V499" s="238"/>
      <c r="W499" s="238" t="str">
        <f t="shared" si="9"/>
        <v/>
      </c>
      <c r="X499" s="237" t="str">
        <f t="shared" ref="X499:Y499" si="491">IF(ISBLANK(H499),,""""&amp;H499&amp;"""")</f>
        <v/>
      </c>
      <c r="Y499" s="237" t="str">
        <f t="shared" si="491"/>
        <v/>
      </c>
      <c r="Z499" s="237" t="str">
        <f>IF(ISBLANK(K499),,Config!$C$3&amp;"&amp;range=BB"&amp;MATCH(K499,FRG!AE:AE,0))</f>
        <v/>
      </c>
      <c r="AB499" s="242" t="str">
        <f>IFERROR(__xludf.DUMMYFUNCTION("IF(ISBLANK(K499),,SUBSTITUTE(IFERROR(JOIN("","",K499:Z499),JOIN("","",K499:Y499)),CHAR(10),""""))"),"")</f>
        <v/>
      </c>
      <c r="AC499" s="229" t="str">
        <f t="shared" si="1"/>
        <v/>
      </c>
    </row>
    <row r="500">
      <c r="K500" s="237"/>
      <c r="L500" s="238" t="str">
        <f t="shared" si="3"/>
        <v/>
      </c>
      <c r="M500" s="237"/>
      <c r="N500" s="238"/>
      <c r="O500" s="238" t="str">
        <f t="shared" si="4"/>
        <v/>
      </c>
      <c r="P500" s="238" t="str">
        <f t="shared" si="5"/>
        <v/>
      </c>
      <c r="Q500" s="238" t="str">
        <f t="shared" si="6"/>
        <v/>
      </c>
      <c r="R500" s="238" t="str">
        <f t="shared" si="7"/>
        <v/>
      </c>
      <c r="S500" s="238" t="str">
        <f t="shared" si="8"/>
        <v/>
      </c>
      <c r="T500" s="238"/>
      <c r="U500" s="237"/>
      <c r="V500" s="238"/>
      <c r="W500" s="238" t="str">
        <f t="shared" si="9"/>
        <v/>
      </c>
      <c r="X500" s="237" t="str">
        <f t="shared" ref="X500:Y500" si="492">IF(ISBLANK(H500),,""""&amp;H500&amp;"""")</f>
        <v/>
      </c>
      <c r="Y500" s="237" t="str">
        <f t="shared" si="492"/>
        <v/>
      </c>
      <c r="Z500" s="237" t="str">
        <f>IF(ISBLANK(K500),,Config!$C$3&amp;"&amp;range=BB"&amp;MATCH(K500,FRG!AE:AE,0))</f>
        <v/>
      </c>
      <c r="AB500" s="242" t="str">
        <f>IFERROR(__xludf.DUMMYFUNCTION("IF(ISBLANK(K500),,SUBSTITUTE(IFERROR(JOIN("","",K500:Z500),JOIN("","",K500:Y500)),CHAR(10),""""))"),"")</f>
        <v/>
      </c>
      <c r="AC500" s="229" t="str">
        <f t="shared" si="1"/>
        <v/>
      </c>
    </row>
    <row r="501">
      <c r="K501" s="237"/>
      <c r="L501" s="238" t="str">
        <f t="shared" si="3"/>
        <v/>
      </c>
      <c r="M501" s="237"/>
      <c r="N501" s="238"/>
      <c r="O501" s="238" t="str">
        <f t="shared" si="4"/>
        <v/>
      </c>
      <c r="P501" s="238" t="str">
        <f t="shared" si="5"/>
        <v/>
      </c>
      <c r="Q501" s="238" t="str">
        <f t="shared" si="6"/>
        <v/>
      </c>
      <c r="R501" s="238" t="str">
        <f t="shared" si="7"/>
        <v/>
      </c>
      <c r="S501" s="238" t="str">
        <f t="shared" si="8"/>
        <v/>
      </c>
      <c r="T501" s="238"/>
      <c r="U501" s="237"/>
      <c r="V501" s="238"/>
      <c r="W501" s="238" t="str">
        <f t="shared" si="9"/>
        <v/>
      </c>
      <c r="X501" s="237" t="str">
        <f t="shared" ref="X501:Y501" si="493">IF(ISBLANK(H501),,""""&amp;H501&amp;"""")</f>
        <v/>
      </c>
      <c r="Y501" s="237" t="str">
        <f t="shared" si="493"/>
        <v/>
      </c>
      <c r="Z501" s="237" t="str">
        <f>IF(ISBLANK(K501),,Config!$C$3&amp;"&amp;range=BB"&amp;MATCH(K501,FRG!AE:AE,0))</f>
        <v/>
      </c>
      <c r="AB501" s="242" t="str">
        <f>IFERROR(__xludf.DUMMYFUNCTION("IF(ISBLANK(K501),,SUBSTITUTE(IFERROR(JOIN("","",K501:Z501),JOIN("","",K501:Y501)),CHAR(10),""""))"),"")</f>
        <v/>
      </c>
      <c r="AC501" s="229" t="str">
        <f t="shared" si="1"/>
        <v/>
      </c>
    </row>
    <row r="502">
      <c r="K502" s="237"/>
      <c r="L502" s="238" t="str">
        <f t="shared" si="3"/>
        <v/>
      </c>
      <c r="M502" s="237"/>
      <c r="N502" s="238"/>
      <c r="O502" s="238" t="str">
        <f t="shared" si="4"/>
        <v/>
      </c>
      <c r="P502" s="238" t="str">
        <f t="shared" si="5"/>
        <v/>
      </c>
      <c r="Q502" s="238" t="str">
        <f t="shared" si="6"/>
        <v/>
      </c>
      <c r="R502" s="238" t="str">
        <f t="shared" si="7"/>
        <v/>
      </c>
      <c r="S502" s="238" t="str">
        <f t="shared" si="8"/>
        <v/>
      </c>
      <c r="T502" s="238"/>
      <c r="U502" s="237"/>
      <c r="V502" s="238"/>
      <c r="W502" s="238" t="str">
        <f t="shared" si="9"/>
        <v/>
      </c>
      <c r="X502" s="237" t="str">
        <f t="shared" ref="X502:Y502" si="494">IF(ISBLANK(H502),,""""&amp;H502&amp;"""")</f>
        <v/>
      </c>
      <c r="Y502" s="237" t="str">
        <f t="shared" si="494"/>
        <v/>
      </c>
      <c r="Z502" s="237" t="str">
        <f>IF(ISBLANK(K502),,Config!$C$3&amp;"&amp;range=BB"&amp;MATCH(K502,FRG!AE:AE,0))</f>
        <v/>
      </c>
      <c r="AB502" s="242" t="str">
        <f>IFERROR(__xludf.DUMMYFUNCTION("IF(ISBLANK(K502),,SUBSTITUTE(IFERROR(JOIN("","",K502:Z502),JOIN("","",K502:Y502)),CHAR(10),""""))"),"")</f>
        <v/>
      </c>
      <c r="AC502" s="229" t="str">
        <f t="shared" si="1"/>
        <v/>
      </c>
    </row>
    <row r="503">
      <c r="K503" s="237"/>
      <c r="L503" s="238" t="str">
        <f t="shared" si="3"/>
        <v/>
      </c>
      <c r="M503" s="237"/>
      <c r="N503" s="238"/>
      <c r="O503" s="238" t="str">
        <f t="shared" si="4"/>
        <v/>
      </c>
      <c r="P503" s="238" t="str">
        <f t="shared" si="5"/>
        <v/>
      </c>
      <c r="Q503" s="238" t="str">
        <f t="shared" si="6"/>
        <v/>
      </c>
      <c r="R503" s="238" t="str">
        <f t="shared" si="7"/>
        <v/>
      </c>
      <c r="S503" s="238" t="str">
        <f t="shared" si="8"/>
        <v/>
      </c>
      <c r="T503" s="238"/>
      <c r="U503" s="237"/>
      <c r="V503" s="238"/>
      <c r="W503" s="238" t="str">
        <f t="shared" si="9"/>
        <v/>
      </c>
      <c r="X503" s="237" t="str">
        <f t="shared" ref="X503:Y503" si="495">IF(ISBLANK(H503),,""""&amp;H503&amp;"""")</f>
        <v/>
      </c>
      <c r="Y503" s="237" t="str">
        <f t="shared" si="495"/>
        <v/>
      </c>
      <c r="Z503" s="237" t="str">
        <f>IF(ISBLANK(K503),,Config!$C$3&amp;"&amp;range=BB"&amp;MATCH(K503,FRG!AE:AE,0))</f>
        <v/>
      </c>
      <c r="AB503" s="242" t="str">
        <f>IFERROR(__xludf.DUMMYFUNCTION("IF(ISBLANK(K503),,SUBSTITUTE(IFERROR(JOIN("","",K503:Z503),JOIN("","",K503:Y503)),CHAR(10),""""))"),"")</f>
        <v/>
      </c>
      <c r="AC503" s="229" t="str">
        <f t="shared" si="1"/>
        <v/>
      </c>
    </row>
    <row r="504">
      <c r="K504" s="237"/>
      <c r="L504" s="238" t="str">
        <f t="shared" si="3"/>
        <v/>
      </c>
      <c r="M504" s="237"/>
      <c r="N504" s="238"/>
      <c r="O504" s="238" t="str">
        <f t="shared" si="4"/>
        <v/>
      </c>
      <c r="P504" s="238" t="str">
        <f t="shared" si="5"/>
        <v/>
      </c>
      <c r="Q504" s="238" t="str">
        <f t="shared" si="6"/>
        <v/>
      </c>
      <c r="R504" s="238" t="str">
        <f t="shared" si="7"/>
        <v/>
      </c>
      <c r="S504" s="238" t="str">
        <f t="shared" si="8"/>
        <v/>
      </c>
      <c r="T504" s="238"/>
      <c r="U504" s="237"/>
      <c r="V504" s="238"/>
      <c r="W504" s="238" t="str">
        <f t="shared" si="9"/>
        <v/>
      </c>
      <c r="X504" s="237" t="str">
        <f t="shared" ref="X504:Y504" si="496">IF(ISBLANK(H504),,""""&amp;H504&amp;"""")</f>
        <v/>
      </c>
      <c r="Y504" s="237" t="str">
        <f t="shared" si="496"/>
        <v/>
      </c>
      <c r="Z504" s="237" t="str">
        <f>IF(ISBLANK(K504),,Config!$C$3&amp;"&amp;range=BB"&amp;MATCH(K504,FRG!AE:AE,0))</f>
        <v/>
      </c>
      <c r="AB504" s="242" t="str">
        <f>IFERROR(__xludf.DUMMYFUNCTION("IF(ISBLANK(K504),,SUBSTITUTE(IFERROR(JOIN("","",K504:Z504),JOIN("","",K504:Y504)),CHAR(10),""""))"),"")</f>
        <v/>
      </c>
      <c r="AC504" s="229" t="str">
        <f t="shared" si="1"/>
        <v/>
      </c>
    </row>
    <row r="505">
      <c r="K505" s="237"/>
      <c r="L505" s="238" t="str">
        <f t="shared" si="3"/>
        <v/>
      </c>
      <c r="M505" s="237"/>
      <c r="N505" s="238"/>
      <c r="O505" s="238" t="str">
        <f t="shared" si="4"/>
        <v/>
      </c>
      <c r="P505" s="238" t="str">
        <f t="shared" si="5"/>
        <v/>
      </c>
      <c r="Q505" s="238" t="str">
        <f t="shared" si="6"/>
        <v/>
      </c>
      <c r="R505" s="238" t="str">
        <f t="shared" si="7"/>
        <v/>
      </c>
      <c r="S505" s="238" t="str">
        <f t="shared" si="8"/>
        <v/>
      </c>
      <c r="T505" s="238"/>
      <c r="U505" s="237"/>
      <c r="V505" s="238"/>
      <c r="W505" s="238" t="str">
        <f t="shared" si="9"/>
        <v/>
      </c>
      <c r="X505" s="237" t="str">
        <f t="shared" ref="X505:Y505" si="497">IF(ISBLANK(H505),,""""&amp;H505&amp;"""")</f>
        <v/>
      </c>
      <c r="Y505" s="237" t="str">
        <f t="shared" si="497"/>
        <v/>
      </c>
      <c r="Z505" s="237" t="str">
        <f>IF(ISBLANK(K505),,Config!$C$3&amp;"&amp;range=BB"&amp;MATCH(K505,FRG!AE:AE,0))</f>
        <v/>
      </c>
      <c r="AB505" s="242" t="str">
        <f>IFERROR(__xludf.DUMMYFUNCTION("IF(ISBLANK(K505),,SUBSTITUTE(IFERROR(JOIN("","",K505:Z505),JOIN("","",K505:Y505)),CHAR(10),""""))"),"")</f>
        <v/>
      </c>
      <c r="AC505" s="229" t="str">
        <f t="shared" si="1"/>
        <v/>
      </c>
    </row>
    <row r="506">
      <c r="K506" s="237"/>
      <c r="L506" s="238" t="str">
        <f t="shared" si="3"/>
        <v/>
      </c>
      <c r="M506" s="237"/>
      <c r="N506" s="238"/>
      <c r="O506" s="238" t="str">
        <f t="shared" si="4"/>
        <v/>
      </c>
      <c r="P506" s="238" t="str">
        <f t="shared" si="5"/>
        <v/>
      </c>
      <c r="Q506" s="238" t="str">
        <f t="shared" si="6"/>
        <v/>
      </c>
      <c r="R506" s="238" t="str">
        <f t="shared" si="7"/>
        <v/>
      </c>
      <c r="S506" s="238" t="str">
        <f t="shared" si="8"/>
        <v/>
      </c>
      <c r="T506" s="238"/>
      <c r="U506" s="237"/>
      <c r="V506" s="238"/>
      <c r="W506" s="238" t="str">
        <f t="shared" si="9"/>
        <v/>
      </c>
      <c r="X506" s="237" t="str">
        <f t="shared" ref="X506:Y506" si="498">IF(ISBLANK(H506),,""""&amp;H506&amp;"""")</f>
        <v/>
      </c>
      <c r="Y506" s="237" t="str">
        <f t="shared" si="498"/>
        <v/>
      </c>
      <c r="Z506" s="237" t="str">
        <f>IF(ISBLANK(K506),,Config!$C$3&amp;"&amp;range=BB"&amp;MATCH(K506,FRG!AE:AE,0))</f>
        <v/>
      </c>
      <c r="AB506" s="242" t="str">
        <f>IFERROR(__xludf.DUMMYFUNCTION("IF(ISBLANK(K506),,SUBSTITUTE(IFERROR(JOIN("","",K506:Z506),JOIN("","",K506:Y506)),CHAR(10),""""))"),"")</f>
        <v/>
      </c>
      <c r="AC506" s="229" t="str">
        <f t="shared" si="1"/>
        <v/>
      </c>
    </row>
    <row r="507">
      <c r="K507" s="237"/>
      <c r="L507" s="238" t="str">
        <f t="shared" si="3"/>
        <v/>
      </c>
      <c r="M507" s="237"/>
      <c r="N507" s="238"/>
      <c r="O507" s="238" t="str">
        <f t="shared" si="4"/>
        <v/>
      </c>
      <c r="P507" s="238" t="str">
        <f t="shared" si="5"/>
        <v/>
      </c>
      <c r="Q507" s="238" t="str">
        <f t="shared" si="6"/>
        <v/>
      </c>
      <c r="R507" s="238" t="str">
        <f t="shared" si="7"/>
        <v/>
      </c>
      <c r="S507" s="238" t="str">
        <f t="shared" si="8"/>
        <v/>
      </c>
      <c r="T507" s="238"/>
      <c r="U507" s="237"/>
      <c r="V507" s="238"/>
      <c r="W507" s="238" t="str">
        <f t="shared" si="9"/>
        <v/>
      </c>
      <c r="X507" s="237" t="str">
        <f t="shared" ref="X507:Y507" si="499">IF(ISBLANK(H507),,""""&amp;H507&amp;"""")</f>
        <v/>
      </c>
      <c r="Y507" s="237" t="str">
        <f t="shared" si="499"/>
        <v/>
      </c>
      <c r="Z507" s="237" t="str">
        <f>IF(ISBLANK(K507),,Config!$C$3&amp;"&amp;range=BB"&amp;MATCH(K507,FRG!AE:AE,0))</f>
        <v/>
      </c>
      <c r="AB507" s="242" t="str">
        <f>IFERROR(__xludf.DUMMYFUNCTION("IF(ISBLANK(K507),,SUBSTITUTE(IFERROR(JOIN("","",K507:Z507),JOIN("","",K507:Y507)),CHAR(10),""""))"),"")</f>
        <v/>
      </c>
      <c r="AC507" s="229" t="str">
        <f t="shared" si="1"/>
        <v/>
      </c>
    </row>
    <row r="508">
      <c r="K508" s="237"/>
      <c r="L508" s="238" t="str">
        <f t="shared" si="3"/>
        <v/>
      </c>
      <c r="M508" s="237"/>
      <c r="N508" s="238"/>
      <c r="O508" s="238" t="str">
        <f t="shared" si="4"/>
        <v/>
      </c>
      <c r="P508" s="238" t="str">
        <f t="shared" si="5"/>
        <v/>
      </c>
      <c r="Q508" s="238" t="str">
        <f t="shared" si="6"/>
        <v/>
      </c>
      <c r="R508" s="238" t="str">
        <f t="shared" si="7"/>
        <v/>
      </c>
      <c r="S508" s="238" t="str">
        <f t="shared" si="8"/>
        <v/>
      </c>
      <c r="T508" s="238"/>
      <c r="U508" s="237"/>
      <c r="V508" s="238"/>
      <c r="W508" s="238" t="str">
        <f t="shared" si="9"/>
        <v/>
      </c>
      <c r="X508" s="237" t="str">
        <f t="shared" ref="X508:Y508" si="500">IF(ISBLANK(H508),,""""&amp;H508&amp;"""")</f>
        <v/>
      </c>
      <c r="Y508" s="237" t="str">
        <f t="shared" si="500"/>
        <v/>
      </c>
      <c r="Z508" s="237" t="str">
        <f>IF(ISBLANK(K508),,Config!$C$3&amp;"&amp;range=BB"&amp;MATCH(K508,FRG!AE:AE,0))</f>
        <v/>
      </c>
      <c r="AB508" s="242" t="str">
        <f>IFERROR(__xludf.DUMMYFUNCTION("IF(ISBLANK(K508),,SUBSTITUTE(IFERROR(JOIN("","",K508:Z508),JOIN("","",K508:Y508)),CHAR(10),""""))"),"")</f>
        <v/>
      </c>
      <c r="AC508" s="229" t="str">
        <f t="shared" si="1"/>
        <v/>
      </c>
    </row>
    <row r="509">
      <c r="K509" s="237"/>
      <c r="L509" s="238" t="str">
        <f t="shared" si="3"/>
        <v/>
      </c>
      <c r="M509" s="237"/>
      <c r="N509" s="238"/>
      <c r="O509" s="238" t="str">
        <f t="shared" si="4"/>
        <v/>
      </c>
      <c r="P509" s="238" t="str">
        <f t="shared" si="5"/>
        <v/>
      </c>
      <c r="Q509" s="238" t="str">
        <f t="shared" si="6"/>
        <v/>
      </c>
      <c r="R509" s="238" t="str">
        <f t="shared" si="7"/>
        <v/>
      </c>
      <c r="S509" s="238" t="str">
        <f t="shared" si="8"/>
        <v/>
      </c>
      <c r="T509" s="238"/>
      <c r="U509" s="237"/>
      <c r="V509" s="238"/>
      <c r="W509" s="238" t="str">
        <f t="shared" si="9"/>
        <v/>
      </c>
      <c r="X509" s="237" t="str">
        <f t="shared" ref="X509:Y509" si="501">IF(ISBLANK(H509),,""""&amp;H509&amp;"""")</f>
        <v/>
      </c>
      <c r="Y509" s="237" t="str">
        <f t="shared" si="501"/>
        <v/>
      </c>
      <c r="Z509" s="237" t="str">
        <f>IF(ISBLANK(K509),,Config!$C$3&amp;"&amp;range=BB"&amp;MATCH(K509,FRG!AE:AE,0))</f>
        <v/>
      </c>
      <c r="AB509" s="242" t="str">
        <f>IFERROR(__xludf.DUMMYFUNCTION("IF(ISBLANK(K509),,SUBSTITUTE(IFERROR(JOIN("","",K509:Z509),JOIN("","",K509:Y509)),CHAR(10),""""))"),"")</f>
        <v/>
      </c>
      <c r="AC509" s="229" t="str">
        <f t="shared" si="1"/>
        <v/>
      </c>
    </row>
    <row r="510">
      <c r="K510" s="237"/>
      <c r="L510" s="238" t="str">
        <f t="shared" si="3"/>
        <v/>
      </c>
      <c r="M510" s="237"/>
      <c r="N510" s="238"/>
      <c r="O510" s="238" t="str">
        <f t="shared" si="4"/>
        <v/>
      </c>
      <c r="P510" s="238" t="str">
        <f t="shared" si="5"/>
        <v/>
      </c>
      <c r="Q510" s="238" t="str">
        <f t="shared" si="6"/>
        <v/>
      </c>
      <c r="R510" s="238" t="str">
        <f t="shared" si="7"/>
        <v/>
      </c>
      <c r="S510" s="238" t="str">
        <f t="shared" si="8"/>
        <v/>
      </c>
      <c r="T510" s="238"/>
      <c r="U510" s="237"/>
      <c r="V510" s="238"/>
      <c r="W510" s="238" t="str">
        <f t="shared" si="9"/>
        <v/>
      </c>
      <c r="X510" s="237" t="str">
        <f t="shared" ref="X510:Y510" si="502">IF(ISBLANK(H510),,""""&amp;H510&amp;"""")</f>
        <v/>
      </c>
      <c r="Y510" s="237" t="str">
        <f t="shared" si="502"/>
        <v/>
      </c>
      <c r="Z510" s="237" t="str">
        <f>IF(ISBLANK(K510),,Config!$C$3&amp;"&amp;range=BB"&amp;MATCH(K510,FRG!AE:AE,0))</f>
        <v/>
      </c>
      <c r="AB510" s="242" t="str">
        <f>IFERROR(__xludf.DUMMYFUNCTION("IF(ISBLANK(K510),,SUBSTITUTE(IFERROR(JOIN("","",K510:Z510),JOIN("","",K510:Y510)),CHAR(10),""""))"),"")</f>
        <v/>
      </c>
      <c r="AC510" s="229" t="str">
        <f t="shared" si="1"/>
        <v/>
      </c>
    </row>
    <row r="511">
      <c r="K511" s="237"/>
      <c r="L511" s="238" t="str">
        <f t="shared" si="3"/>
        <v/>
      </c>
      <c r="M511" s="237"/>
      <c r="N511" s="238"/>
      <c r="O511" s="238" t="str">
        <f t="shared" si="4"/>
        <v/>
      </c>
      <c r="P511" s="238" t="str">
        <f t="shared" si="5"/>
        <v/>
      </c>
      <c r="Q511" s="238" t="str">
        <f t="shared" si="6"/>
        <v/>
      </c>
      <c r="R511" s="238" t="str">
        <f t="shared" si="7"/>
        <v/>
      </c>
      <c r="S511" s="238" t="str">
        <f t="shared" si="8"/>
        <v/>
      </c>
      <c r="T511" s="238"/>
      <c r="U511" s="237"/>
      <c r="V511" s="238"/>
      <c r="W511" s="238" t="str">
        <f t="shared" si="9"/>
        <v/>
      </c>
      <c r="X511" s="237" t="str">
        <f t="shared" ref="X511:Y511" si="503">IF(ISBLANK(H511),,""""&amp;H511&amp;"""")</f>
        <v/>
      </c>
      <c r="Y511" s="237" t="str">
        <f t="shared" si="503"/>
        <v/>
      </c>
      <c r="Z511" s="237" t="str">
        <f>IF(ISBLANK(K511),,Config!$C$3&amp;"&amp;range=BB"&amp;MATCH(K511,FRG!AE:AE,0))</f>
        <v/>
      </c>
      <c r="AB511" s="242" t="str">
        <f>IFERROR(__xludf.DUMMYFUNCTION("IF(ISBLANK(K511),,SUBSTITUTE(IFERROR(JOIN("","",K511:Z511),JOIN("","",K511:Y511)),CHAR(10),""""))"),"")</f>
        <v/>
      </c>
      <c r="AC511" s="229" t="str">
        <f t="shared" si="1"/>
        <v/>
      </c>
    </row>
    <row r="512">
      <c r="K512" s="237"/>
      <c r="L512" s="238" t="str">
        <f t="shared" si="3"/>
        <v/>
      </c>
      <c r="M512" s="237"/>
      <c r="N512" s="238"/>
      <c r="O512" s="238" t="str">
        <f t="shared" si="4"/>
        <v/>
      </c>
      <c r="P512" s="238" t="str">
        <f t="shared" si="5"/>
        <v/>
      </c>
      <c r="Q512" s="238" t="str">
        <f t="shared" si="6"/>
        <v/>
      </c>
      <c r="R512" s="238" t="str">
        <f t="shared" si="7"/>
        <v/>
      </c>
      <c r="S512" s="238" t="str">
        <f t="shared" si="8"/>
        <v/>
      </c>
      <c r="T512" s="238"/>
      <c r="U512" s="237"/>
      <c r="V512" s="238"/>
      <c r="W512" s="238" t="str">
        <f t="shared" si="9"/>
        <v/>
      </c>
      <c r="X512" s="237" t="str">
        <f t="shared" ref="X512:Y512" si="504">IF(ISBLANK(H512),,""""&amp;H512&amp;"""")</f>
        <v/>
      </c>
      <c r="Y512" s="237" t="str">
        <f t="shared" si="504"/>
        <v/>
      </c>
      <c r="Z512" s="237" t="str">
        <f>IF(ISBLANK(K512),,Config!$C$3&amp;"&amp;range=BB"&amp;MATCH(K512,FRG!AE:AE,0))</f>
        <v/>
      </c>
      <c r="AB512" s="242" t="str">
        <f>IFERROR(__xludf.DUMMYFUNCTION("IF(ISBLANK(K512),,SUBSTITUTE(IFERROR(JOIN("","",K512:Z512),JOIN("","",K512:Y512)),CHAR(10),""""))"),"")</f>
        <v/>
      </c>
      <c r="AC512" s="229" t="str">
        <f t="shared" si="1"/>
        <v/>
      </c>
    </row>
    <row r="513">
      <c r="K513" s="237"/>
      <c r="L513" s="238" t="str">
        <f t="shared" si="3"/>
        <v/>
      </c>
      <c r="M513" s="237"/>
      <c r="N513" s="238"/>
      <c r="O513" s="238" t="str">
        <f t="shared" si="4"/>
        <v/>
      </c>
      <c r="P513" s="238" t="str">
        <f t="shared" si="5"/>
        <v/>
      </c>
      <c r="Q513" s="238" t="str">
        <f t="shared" si="6"/>
        <v/>
      </c>
      <c r="R513" s="238" t="str">
        <f t="shared" si="7"/>
        <v/>
      </c>
      <c r="S513" s="238" t="str">
        <f t="shared" si="8"/>
        <v/>
      </c>
      <c r="T513" s="238"/>
      <c r="U513" s="237"/>
      <c r="V513" s="238"/>
      <c r="W513" s="238" t="str">
        <f t="shared" si="9"/>
        <v/>
      </c>
      <c r="X513" s="237" t="str">
        <f t="shared" ref="X513:Y513" si="505">IF(ISBLANK(H513),,""""&amp;H513&amp;"""")</f>
        <v/>
      </c>
      <c r="Y513" s="237" t="str">
        <f t="shared" si="505"/>
        <v/>
      </c>
      <c r="Z513" s="237" t="str">
        <f>IF(ISBLANK(K513),,Config!$C$3&amp;"&amp;range=BB"&amp;MATCH(K513,FRG!AE:AE,0))</f>
        <v/>
      </c>
      <c r="AB513" s="242" t="str">
        <f>IFERROR(__xludf.DUMMYFUNCTION("IF(ISBLANK(K513),,SUBSTITUTE(IFERROR(JOIN("","",K513:Z513),JOIN("","",K513:Y513)),CHAR(10),""""))"),"")</f>
        <v/>
      </c>
      <c r="AC513" s="229" t="str">
        <f t="shared" si="1"/>
        <v/>
      </c>
    </row>
    <row r="514">
      <c r="K514" s="237"/>
      <c r="L514" s="238" t="str">
        <f t="shared" si="3"/>
        <v/>
      </c>
      <c r="M514" s="237"/>
      <c r="N514" s="238"/>
      <c r="O514" s="238" t="str">
        <f t="shared" si="4"/>
        <v/>
      </c>
      <c r="P514" s="238" t="str">
        <f t="shared" si="5"/>
        <v/>
      </c>
      <c r="Q514" s="238" t="str">
        <f t="shared" si="6"/>
        <v/>
      </c>
      <c r="R514" s="238" t="str">
        <f t="shared" si="7"/>
        <v/>
      </c>
      <c r="S514" s="238" t="str">
        <f t="shared" si="8"/>
        <v/>
      </c>
      <c r="T514" s="238"/>
      <c r="U514" s="237"/>
      <c r="V514" s="238"/>
      <c r="W514" s="238" t="str">
        <f t="shared" si="9"/>
        <v/>
      </c>
      <c r="X514" s="237" t="str">
        <f t="shared" ref="X514:Y514" si="506">IF(ISBLANK(H514),,""""&amp;H514&amp;"""")</f>
        <v/>
      </c>
      <c r="Y514" s="237" t="str">
        <f t="shared" si="506"/>
        <v/>
      </c>
      <c r="Z514" s="237" t="str">
        <f>IF(ISBLANK(K514),,Config!$C$3&amp;"&amp;range=BB"&amp;MATCH(K514,FRG!AE:AE,0))</f>
        <v/>
      </c>
      <c r="AB514" s="242" t="str">
        <f>IFERROR(__xludf.DUMMYFUNCTION("IF(ISBLANK(K514),,SUBSTITUTE(IFERROR(JOIN("","",K514:Z514),JOIN("","",K514:Y514)),CHAR(10),""""))"),"")</f>
        <v/>
      </c>
      <c r="AC514" s="229" t="str">
        <f t="shared" si="1"/>
        <v/>
      </c>
    </row>
    <row r="515">
      <c r="K515" s="237"/>
      <c r="L515" s="238" t="str">
        <f t="shared" si="3"/>
        <v/>
      </c>
      <c r="M515" s="237"/>
      <c r="N515" s="238"/>
      <c r="O515" s="238" t="str">
        <f t="shared" si="4"/>
        <v/>
      </c>
      <c r="P515" s="238" t="str">
        <f t="shared" si="5"/>
        <v/>
      </c>
      <c r="Q515" s="238" t="str">
        <f t="shared" si="6"/>
        <v/>
      </c>
      <c r="R515" s="238" t="str">
        <f t="shared" si="7"/>
        <v/>
      </c>
      <c r="S515" s="238" t="str">
        <f t="shared" si="8"/>
        <v/>
      </c>
      <c r="T515" s="238"/>
      <c r="U515" s="237"/>
      <c r="V515" s="238"/>
      <c r="W515" s="238" t="str">
        <f t="shared" si="9"/>
        <v/>
      </c>
      <c r="X515" s="237" t="str">
        <f t="shared" ref="X515:Y515" si="507">IF(ISBLANK(H515),,""""&amp;H515&amp;"""")</f>
        <v/>
      </c>
      <c r="Y515" s="237" t="str">
        <f t="shared" si="507"/>
        <v/>
      </c>
      <c r="Z515" s="237" t="str">
        <f>IF(ISBLANK(K515),,Config!$C$3&amp;"&amp;range=BB"&amp;MATCH(K515,FRG!AE:AE,0))</f>
        <v/>
      </c>
      <c r="AB515" s="242" t="str">
        <f>IFERROR(__xludf.DUMMYFUNCTION("IF(ISBLANK(K515),,SUBSTITUTE(IFERROR(JOIN("","",K515:Z515),JOIN("","",K515:Y515)),CHAR(10),""""))"),"")</f>
        <v/>
      </c>
      <c r="AC515" s="229" t="str">
        <f t="shared" si="1"/>
        <v/>
      </c>
    </row>
    <row r="516">
      <c r="K516" s="237"/>
      <c r="L516" s="238" t="str">
        <f t="shared" si="3"/>
        <v/>
      </c>
      <c r="M516" s="237"/>
      <c r="N516" s="238"/>
      <c r="O516" s="238" t="str">
        <f t="shared" si="4"/>
        <v/>
      </c>
      <c r="P516" s="238" t="str">
        <f t="shared" si="5"/>
        <v/>
      </c>
      <c r="Q516" s="238" t="str">
        <f t="shared" si="6"/>
        <v/>
      </c>
      <c r="R516" s="238" t="str">
        <f t="shared" si="7"/>
        <v/>
      </c>
      <c r="S516" s="238" t="str">
        <f t="shared" si="8"/>
        <v/>
      </c>
      <c r="T516" s="238"/>
      <c r="U516" s="237"/>
      <c r="V516" s="238"/>
      <c r="W516" s="238" t="str">
        <f t="shared" si="9"/>
        <v/>
      </c>
      <c r="X516" s="237" t="str">
        <f t="shared" ref="X516:Y516" si="508">IF(ISBLANK(H516),,""""&amp;H516&amp;"""")</f>
        <v/>
      </c>
      <c r="Y516" s="237" t="str">
        <f t="shared" si="508"/>
        <v/>
      </c>
      <c r="Z516" s="237" t="str">
        <f>IF(ISBLANK(K516),,Config!$C$3&amp;"&amp;range=BB"&amp;MATCH(K516,FRG!AE:AE,0))</f>
        <v/>
      </c>
      <c r="AB516" s="242" t="str">
        <f>IFERROR(__xludf.DUMMYFUNCTION("IF(ISBLANK(K516),,SUBSTITUTE(IFERROR(JOIN("","",K516:Z516),JOIN("","",K516:Y516)),CHAR(10),""""))"),"")</f>
        <v/>
      </c>
      <c r="AC516" s="229" t="str">
        <f t="shared" si="1"/>
        <v/>
      </c>
    </row>
    <row r="517">
      <c r="K517" s="237"/>
      <c r="L517" s="238" t="str">
        <f t="shared" si="3"/>
        <v/>
      </c>
      <c r="M517" s="237"/>
      <c r="N517" s="238"/>
      <c r="O517" s="238" t="str">
        <f t="shared" si="4"/>
        <v/>
      </c>
      <c r="P517" s="238" t="str">
        <f t="shared" si="5"/>
        <v/>
      </c>
      <c r="Q517" s="238" t="str">
        <f t="shared" si="6"/>
        <v/>
      </c>
      <c r="R517" s="238" t="str">
        <f t="shared" si="7"/>
        <v/>
      </c>
      <c r="S517" s="238" t="str">
        <f t="shared" si="8"/>
        <v/>
      </c>
      <c r="T517" s="238"/>
      <c r="U517" s="237"/>
      <c r="V517" s="238"/>
      <c r="W517" s="238" t="str">
        <f t="shared" si="9"/>
        <v/>
      </c>
      <c r="X517" s="237" t="str">
        <f t="shared" ref="X517:Y517" si="509">IF(ISBLANK(H517),,""""&amp;H517&amp;"""")</f>
        <v/>
      </c>
      <c r="Y517" s="237" t="str">
        <f t="shared" si="509"/>
        <v/>
      </c>
      <c r="Z517" s="237" t="str">
        <f>IF(ISBLANK(K517),,Config!$C$3&amp;"&amp;range=BB"&amp;MATCH(K517,FRG!AE:AE,0))</f>
        <v/>
      </c>
      <c r="AB517" s="242" t="str">
        <f>IFERROR(__xludf.DUMMYFUNCTION("IF(ISBLANK(K517),,SUBSTITUTE(IFERROR(JOIN("","",K517:Z517),JOIN("","",K517:Y517)),CHAR(10),""""))"),"")</f>
        <v/>
      </c>
      <c r="AC517" s="229" t="str">
        <f t="shared" si="1"/>
        <v/>
      </c>
    </row>
    <row r="518">
      <c r="K518" s="237"/>
      <c r="L518" s="238" t="str">
        <f t="shared" si="3"/>
        <v/>
      </c>
      <c r="M518" s="237"/>
      <c r="N518" s="238"/>
      <c r="O518" s="238" t="str">
        <f t="shared" si="4"/>
        <v/>
      </c>
      <c r="P518" s="238" t="str">
        <f t="shared" si="5"/>
        <v/>
      </c>
      <c r="Q518" s="238" t="str">
        <f t="shared" si="6"/>
        <v/>
      </c>
      <c r="R518" s="238" t="str">
        <f t="shared" si="7"/>
        <v/>
      </c>
      <c r="S518" s="238" t="str">
        <f t="shared" si="8"/>
        <v/>
      </c>
      <c r="T518" s="238"/>
      <c r="U518" s="237"/>
      <c r="V518" s="238"/>
      <c r="W518" s="238" t="str">
        <f t="shared" si="9"/>
        <v/>
      </c>
      <c r="X518" s="237" t="str">
        <f t="shared" ref="X518:Y518" si="510">IF(ISBLANK(H518),,""""&amp;H518&amp;"""")</f>
        <v/>
      </c>
      <c r="Y518" s="237" t="str">
        <f t="shared" si="510"/>
        <v/>
      </c>
      <c r="Z518" s="237" t="str">
        <f>IF(ISBLANK(K518),,Config!$C$3&amp;"&amp;range=BB"&amp;MATCH(K518,FRG!AE:AE,0))</f>
        <v/>
      </c>
      <c r="AB518" s="242" t="str">
        <f>IFERROR(__xludf.DUMMYFUNCTION("IF(ISBLANK(K518),,SUBSTITUTE(IFERROR(JOIN("","",K518:Z518),JOIN("","",K518:Y518)),CHAR(10),""""))"),"")</f>
        <v/>
      </c>
      <c r="AC518" s="229" t="str">
        <f t="shared" si="1"/>
        <v/>
      </c>
    </row>
    <row r="519">
      <c r="K519" s="237"/>
      <c r="L519" s="238" t="str">
        <f t="shared" si="3"/>
        <v/>
      </c>
      <c r="M519" s="237"/>
      <c r="N519" s="238"/>
      <c r="O519" s="238" t="str">
        <f t="shared" si="4"/>
        <v/>
      </c>
      <c r="P519" s="238" t="str">
        <f t="shared" si="5"/>
        <v/>
      </c>
      <c r="Q519" s="238" t="str">
        <f t="shared" si="6"/>
        <v/>
      </c>
      <c r="R519" s="238" t="str">
        <f t="shared" si="7"/>
        <v/>
      </c>
      <c r="S519" s="238" t="str">
        <f t="shared" si="8"/>
        <v/>
      </c>
      <c r="T519" s="238"/>
      <c r="U519" s="237"/>
      <c r="V519" s="238"/>
      <c r="W519" s="238" t="str">
        <f t="shared" si="9"/>
        <v/>
      </c>
      <c r="X519" s="237" t="str">
        <f t="shared" ref="X519:Y519" si="511">IF(ISBLANK(H519),,""""&amp;H519&amp;"""")</f>
        <v/>
      </c>
      <c r="Y519" s="237" t="str">
        <f t="shared" si="511"/>
        <v/>
      </c>
      <c r="Z519" s="237" t="str">
        <f>IF(ISBLANK(K519),,Config!$C$3&amp;"&amp;range=BB"&amp;MATCH(K519,FRG!AE:AE,0))</f>
        <v/>
      </c>
      <c r="AB519" s="242" t="str">
        <f>IFERROR(__xludf.DUMMYFUNCTION("IF(ISBLANK(K519),,SUBSTITUTE(IFERROR(JOIN("","",K519:Z519),JOIN("","",K519:Y519)),CHAR(10),""""))"),"")</f>
        <v/>
      </c>
      <c r="AC519" s="229" t="str">
        <f t="shared" si="1"/>
        <v/>
      </c>
    </row>
    <row r="520">
      <c r="K520" s="237"/>
      <c r="L520" s="238" t="str">
        <f t="shared" si="3"/>
        <v/>
      </c>
      <c r="M520" s="237"/>
      <c r="N520" s="238"/>
      <c r="O520" s="238" t="str">
        <f t="shared" si="4"/>
        <v/>
      </c>
      <c r="P520" s="238" t="str">
        <f t="shared" si="5"/>
        <v/>
      </c>
      <c r="Q520" s="238" t="str">
        <f t="shared" si="6"/>
        <v/>
      </c>
      <c r="R520" s="238" t="str">
        <f t="shared" si="7"/>
        <v/>
      </c>
      <c r="S520" s="238" t="str">
        <f t="shared" si="8"/>
        <v/>
      </c>
      <c r="T520" s="238"/>
      <c r="U520" s="237"/>
      <c r="V520" s="238"/>
      <c r="W520" s="238" t="str">
        <f t="shared" si="9"/>
        <v/>
      </c>
      <c r="X520" s="237" t="str">
        <f t="shared" ref="X520:Y520" si="512">IF(ISBLANK(H520),,""""&amp;H520&amp;"""")</f>
        <v/>
      </c>
      <c r="Y520" s="237" t="str">
        <f t="shared" si="512"/>
        <v/>
      </c>
      <c r="Z520" s="237" t="str">
        <f>IF(ISBLANK(K520),,Config!$C$3&amp;"&amp;range=BB"&amp;MATCH(K520,FRG!AE:AE,0))</f>
        <v/>
      </c>
      <c r="AB520" s="242" t="str">
        <f>IFERROR(__xludf.DUMMYFUNCTION("IF(ISBLANK(K520),,SUBSTITUTE(IFERROR(JOIN("","",K520:Z520),JOIN("","",K520:Y520)),CHAR(10),""""))"),"")</f>
        <v/>
      </c>
      <c r="AC520" s="229" t="str">
        <f t="shared" si="1"/>
        <v/>
      </c>
    </row>
    <row r="521">
      <c r="K521" s="237"/>
      <c r="L521" s="238" t="str">
        <f t="shared" si="3"/>
        <v/>
      </c>
      <c r="M521" s="237"/>
      <c r="N521" s="238"/>
      <c r="O521" s="238" t="str">
        <f t="shared" si="4"/>
        <v/>
      </c>
      <c r="P521" s="238" t="str">
        <f t="shared" si="5"/>
        <v/>
      </c>
      <c r="Q521" s="238" t="str">
        <f t="shared" si="6"/>
        <v/>
      </c>
      <c r="R521" s="238" t="str">
        <f t="shared" si="7"/>
        <v/>
      </c>
      <c r="S521" s="238" t="str">
        <f t="shared" si="8"/>
        <v/>
      </c>
      <c r="T521" s="238"/>
      <c r="U521" s="237"/>
      <c r="V521" s="238"/>
      <c r="W521" s="238" t="str">
        <f t="shared" si="9"/>
        <v/>
      </c>
      <c r="X521" s="237" t="str">
        <f t="shared" ref="X521:Y521" si="513">IF(ISBLANK(H521),,""""&amp;H521&amp;"""")</f>
        <v/>
      </c>
      <c r="Y521" s="237" t="str">
        <f t="shared" si="513"/>
        <v/>
      </c>
      <c r="Z521" s="237" t="str">
        <f>IF(ISBLANK(K521),,Config!$C$3&amp;"&amp;range=BB"&amp;MATCH(K521,FRG!AE:AE,0))</f>
        <v/>
      </c>
      <c r="AB521" s="242" t="str">
        <f>IFERROR(__xludf.DUMMYFUNCTION("IF(ISBLANK(K521),,SUBSTITUTE(IFERROR(JOIN("","",K521:Z521),JOIN("","",K521:Y521)),CHAR(10),""""))"),"")</f>
        <v/>
      </c>
      <c r="AC521" s="229" t="str">
        <f t="shared" si="1"/>
        <v/>
      </c>
    </row>
    <row r="522">
      <c r="K522" s="237"/>
      <c r="L522" s="238" t="str">
        <f t="shared" si="3"/>
        <v/>
      </c>
      <c r="M522" s="237"/>
      <c r="N522" s="238"/>
      <c r="O522" s="238" t="str">
        <f t="shared" si="4"/>
        <v/>
      </c>
      <c r="P522" s="238" t="str">
        <f t="shared" si="5"/>
        <v/>
      </c>
      <c r="Q522" s="238" t="str">
        <f t="shared" si="6"/>
        <v/>
      </c>
      <c r="R522" s="238" t="str">
        <f t="shared" si="7"/>
        <v/>
      </c>
      <c r="S522" s="238" t="str">
        <f t="shared" si="8"/>
        <v/>
      </c>
      <c r="T522" s="238"/>
      <c r="U522" s="237"/>
      <c r="V522" s="238"/>
      <c r="W522" s="238" t="str">
        <f t="shared" si="9"/>
        <v/>
      </c>
      <c r="X522" s="237" t="str">
        <f t="shared" ref="X522:Y522" si="514">IF(ISBLANK(H522),,""""&amp;H522&amp;"""")</f>
        <v/>
      </c>
      <c r="Y522" s="237" t="str">
        <f t="shared" si="514"/>
        <v/>
      </c>
      <c r="Z522" s="237" t="str">
        <f>IF(ISBLANK(K522),,Config!$C$3&amp;"&amp;range=BB"&amp;MATCH(K522,FRG!AE:AE,0))</f>
        <v/>
      </c>
      <c r="AB522" s="242" t="str">
        <f>IFERROR(__xludf.DUMMYFUNCTION("IF(ISBLANK(K522),,SUBSTITUTE(IFERROR(JOIN("","",K522:Z522),JOIN("","",K522:Y522)),CHAR(10),""""))"),"")</f>
        <v/>
      </c>
      <c r="AC522" s="229" t="str">
        <f t="shared" si="1"/>
        <v/>
      </c>
    </row>
    <row r="523">
      <c r="K523" s="237"/>
      <c r="L523" s="238" t="str">
        <f t="shared" si="3"/>
        <v/>
      </c>
      <c r="M523" s="237"/>
      <c r="N523" s="238"/>
      <c r="O523" s="238" t="str">
        <f t="shared" si="4"/>
        <v/>
      </c>
      <c r="P523" s="238" t="str">
        <f t="shared" si="5"/>
        <v/>
      </c>
      <c r="Q523" s="238" t="str">
        <f t="shared" si="6"/>
        <v/>
      </c>
      <c r="R523" s="238" t="str">
        <f t="shared" si="7"/>
        <v/>
      </c>
      <c r="S523" s="238" t="str">
        <f t="shared" si="8"/>
        <v/>
      </c>
      <c r="T523" s="238"/>
      <c r="U523" s="237"/>
      <c r="V523" s="238"/>
      <c r="W523" s="238" t="str">
        <f t="shared" si="9"/>
        <v/>
      </c>
      <c r="X523" s="237" t="str">
        <f t="shared" ref="X523:Y523" si="515">IF(ISBLANK(H523),,""""&amp;H523&amp;"""")</f>
        <v/>
      </c>
      <c r="Y523" s="237" t="str">
        <f t="shared" si="515"/>
        <v/>
      </c>
      <c r="Z523" s="237" t="str">
        <f>IF(ISBLANK(K523),,Config!$C$3&amp;"&amp;range=BB"&amp;MATCH(K523,FRG!AE:AE,0))</f>
        <v/>
      </c>
      <c r="AB523" s="242" t="str">
        <f>IFERROR(__xludf.DUMMYFUNCTION("IF(ISBLANK(K523),,SUBSTITUTE(IFERROR(JOIN("","",K523:Z523),JOIN("","",K523:Y523)),CHAR(10),""""))"),"")</f>
        <v/>
      </c>
      <c r="AC523" s="229" t="str">
        <f t="shared" si="1"/>
        <v/>
      </c>
    </row>
    <row r="524">
      <c r="K524" s="237"/>
      <c r="L524" s="238" t="str">
        <f t="shared" si="3"/>
        <v/>
      </c>
      <c r="M524" s="237"/>
      <c r="N524" s="238"/>
      <c r="O524" s="238" t="str">
        <f t="shared" si="4"/>
        <v/>
      </c>
      <c r="P524" s="238" t="str">
        <f t="shared" si="5"/>
        <v/>
      </c>
      <c r="Q524" s="238" t="str">
        <f t="shared" si="6"/>
        <v/>
      </c>
      <c r="R524" s="238" t="str">
        <f t="shared" si="7"/>
        <v/>
      </c>
      <c r="S524" s="238" t="str">
        <f t="shared" si="8"/>
        <v/>
      </c>
      <c r="T524" s="238"/>
      <c r="U524" s="237"/>
      <c r="V524" s="238"/>
      <c r="W524" s="238" t="str">
        <f t="shared" si="9"/>
        <v/>
      </c>
      <c r="X524" s="237" t="str">
        <f t="shared" ref="X524:Y524" si="516">IF(ISBLANK(H524),,""""&amp;H524&amp;"""")</f>
        <v/>
      </c>
      <c r="Y524" s="237" t="str">
        <f t="shared" si="516"/>
        <v/>
      </c>
      <c r="Z524" s="237" t="str">
        <f>IF(ISBLANK(K524),,Config!$C$3&amp;"&amp;range=BB"&amp;MATCH(K524,FRG!AE:AE,0))</f>
        <v/>
      </c>
      <c r="AB524" s="242" t="str">
        <f>IFERROR(__xludf.DUMMYFUNCTION("IF(ISBLANK(K524),,SUBSTITUTE(IFERROR(JOIN("","",K524:Z524),JOIN("","",K524:Y524)),CHAR(10),""""))"),"")</f>
        <v/>
      </c>
      <c r="AC524" s="229" t="str">
        <f t="shared" si="1"/>
        <v/>
      </c>
    </row>
    <row r="525">
      <c r="K525" s="237"/>
      <c r="L525" s="238" t="str">
        <f t="shared" si="3"/>
        <v/>
      </c>
      <c r="M525" s="237"/>
      <c r="N525" s="238"/>
      <c r="O525" s="238" t="str">
        <f t="shared" si="4"/>
        <v/>
      </c>
      <c r="P525" s="238" t="str">
        <f t="shared" si="5"/>
        <v/>
      </c>
      <c r="Q525" s="238" t="str">
        <f t="shared" si="6"/>
        <v/>
      </c>
      <c r="R525" s="238" t="str">
        <f t="shared" si="7"/>
        <v/>
      </c>
      <c r="S525" s="238" t="str">
        <f t="shared" si="8"/>
        <v/>
      </c>
      <c r="T525" s="238"/>
      <c r="U525" s="237"/>
      <c r="V525" s="238"/>
      <c r="W525" s="238" t="str">
        <f t="shared" si="9"/>
        <v/>
      </c>
      <c r="X525" s="237" t="str">
        <f t="shared" ref="X525:Y525" si="517">IF(ISBLANK(H525),,""""&amp;H525&amp;"""")</f>
        <v/>
      </c>
      <c r="Y525" s="237" t="str">
        <f t="shared" si="517"/>
        <v/>
      </c>
      <c r="Z525" s="237" t="str">
        <f>IF(ISBLANK(K525),,Config!$C$3&amp;"&amp;range=BB"&amp;MATCH(K525,FRG!AE:AE,0))</f>
        <v/>
      </c>
      <c r="AB525" s="242" t="str">
        <f>IFERROR(__xludf.DUMMYFUNCTION("IF(ISBLANK(K525),,SUBSTITUTE(IFERROR(JOIN("","",K525:Z525),JOIN("","",K525:Y525)),CHAR(10),""""))"),"")</f>
        <v/>
      </c>
      <c r="AC525" s="229" t="str">
        <f t="shared" si="1"/>
        <v/>
      </c>
    </row>
    <row r="526">
      <c r="K526" s="237"/>
      <c r="L526" s="238" t="str">
        <f t="shared" si="3"/>
        <v/>
      </c>
      <c r="M526" s="237"/>
      <c r="N526" s="238"/>
      <c r="O526" s="238" t="str">
        <f t="shared" si="4"/>
        <v/>
      </c>
      <c r="P526" s="238" t="str">
        <f t="shared" si="5"/>
        <v/>
      </c>
      <c r="Q526" s="238" t="str">
        <f t="shared" si="6"/>
        <v/>
      </c>
      <c r="R526" s="238" t="str">
        <f t="shared" si="7"/>
        <v/>
      </c>
      <c r="S526" s="238" t="str">
        <f t="shared" si="8"/>
        <v/>
      </c>
      <c r="T526" s="238"/>
      <c r="U526" s="237"/>
      <c r="V526" s="238"/>
      <c r="W526" s="238" t="str">
        <f t="shared" si="9"/>
        <v/>
      </c>
      <c r="X526" s="237" t="str">
        <f t="shared" ref="X526:Y526" si="518">IF(ISBLANK(H526),,""""&amp;H526&amp;"""")</f>
        <v/>
      </c>
      <c r="Y526" s="237" t="str">
        <f t="shared" si="518"/>
        <v/>
      </c>
      <c r="Z526" s="237" t="str">
        <f>IF(ISBLANK(K526),,Config!$C$3&amp;"&amp;range=BB"&amp;MATCH(K526,FRG!AE:AE,0))</f>
        <v/>
      </c>
      <c r="AB526" s="242" t="str">
        <f>IFERROR(__xludf.DUMMYFUNCTION("IF(ISBLANK(K526),,SUBSTITUTE(IFERROR(JOIN("","",K526:Z526),JOIN("","",K526:Y526)),CHAR(10),""""))"),"")</f>
        <v/>
      </c>
      <c r="AC526" s="229" t="str">
        <f t="shared" si="1"/>
        <v/>
      </c>
    </row>
    <row r="527">
      <c r="K527" s="237"/>
      <c r="L527" s="238" t="str">
        <f t="shared" si="3"/>
        <v/>
      </c>
      <c r="M527" s="237"/>
      <c r="N527" s="238"/>
      <c r="O527" s="238" t="str">
        <f t="shared" si="4"/>
        <v/>
      </c>
      <c r="P527" s="238" t="str">
        <f t="shared" si="5"/>
        <v/>
      </c>
      <c r="Q527" s="238" t="str">
        <f t="shared" si="6"/>
        <v/>
      </c>
      <c r="R527" s="238" t="str">
        <f t="shared" si="7"/>
        <v/>
      </c>
      <c r="S527" s="238" t="str">
        <f t="shared" si="8"/>
        <v/>
      </c>
      <c r="T527" s="238"/>
      <c r="U527" s="237"/>
      <c r="V527" s="238"/>
      <c r="W527" s="238" t="str">
        <f t="shared" si="9"/>
        <v/>
      </c>
      <c r="X527" s="237" t="str">
        <f t="shared" ref="X527:Y527" si="519">IF(ISBLANK(H527),,""""&amp;H527&amp;"""")</f>
        <v/>
      </c>
      <c r="Y527" s="237" t="str">
        <f t="shared" si="519"/>
        <v/>
      </c>
      <c r="Z527" s="237" t="str">
        <f>IF(ISBLANK(K527),,Config!$C$3&amp;"&amp;range=BB"&amp;MATCH(K527,FRG!AE:AE,0))</f>
        <v/>
      </c>
      <c r="AB527" s="242" t="str">
        <f>IFERROR(__xludf.DUMMYFUNCTION("IF(ISBLANK(K527),,SUBSTITUTE(IFERROR(JOIN("","",K527:Z527),JOIN("","",K527:Y527)),CHAR(10),""""))"),"")</f>
        <v/>
      </c>
      <c r="AC527" s="229" t="str">
        <f t="shared" si="1"/>
        <v/>
      </c>
    </row>
    <row r="528">
      <c r="K528" s="237"/>
      <c r="L528" s="238" t="str">
        <f t="shared" si="3"/>
        <v/>
      </c>
      <c r="M528" s="237"/>
      <c r="N528" s="238"/>
      <c r="O528" s="238" t="str">
        <f t="shared" si="4"/>
        <v/>
      </c>
      <c r="P528" s="238" t="str">
        <f t="shared" si="5"/>
        <v/>
      </c>
      <c r="Q528" s="238" t="str">
        <f t="shared" si="6"/>
        <v/>
      </c>
      <c r="R528" s="238" t="str">
        <f t="shared" si="7"/>
        <v/>
      </c>
      <c r="S528" s="238" t="str">
        <f t="shared" si="8"/>
        <v/>
      </c>
      <c r="T528" s="238"/>
      <c r="U528" s="237"/>
      <c r="V528" s="238"/>
      <c r="W528" s="238" t="str">
        <f t="shared" si="9"/>
        <v/>
      </c>
      <c r="X528" s="237" t="str">
        <f t="shared" ref="X528:Y528" si="520">IF(ISBLANK(H528),,""""&amp;H528&amp;"""")</f>
        <v/>
      </c>
      <c r="Y528" s="237" t="str">
        <f t="shared" si="520"/>
        <v/>
      </c>
      <c r="Z528" s="237" t="str">
        <f>IF(ISBLANK(K528),,Config!$C$3&amp;"&amp;range=BB"&amp;MATCH(K528,FRG!AE:AE,0))</f>
        <v/>
      </c>
      <c r="AB528" s="242" t="str">
        <f>IFERROR(__xludf.DUMMYFUNCTION("IF(ISBLANK(K528),,SUBSTITUTE(IFERROR(JOIN("","",K528:Z528),JOIN("","",K528:Y528)),CHAR(10),""""))"),"")</f>
        <v/>
      </c>
      <c r="AC528" s="229" t="str">
        <f t="shared" si="1"/>
        <v/>
      </c>
    </row>
    <row r="529">
      <c r="K529" s="237"/>
      <c r="L529" s="238" t="str">
        <f t="shared" si="3"/>
        <v/>
      </c>
      <c r="M529" s="237"/>
      <c r="N529" s="238"/>
      <c r="O529" s="238" t="str">
        <f t="shared" si="4"/>
        <v/>
      </c>
      <c r="P529" s="238" t="str">
        <f t="shared" si="5"/>
        <v/>
      </c>
      <c r="Q529" s="238" t="str">
        <f t="shared" si="6"/>
        <v/>
      </c>
      <c r="R529" s="238" t="str">
        <f t="shared" si="7"/>
        <v/>
      </c>
      <c r="S529" s="238" t="str">
        <f t="shared" si="8"/>
        <v/>
      </c>
      <c r="T529" s="238"/>
      <c r="U529" s="237"/>
      <c r="V529" s="238"/>
      <c r="W529" s="238" t="str">
        <f t="shared" si="9"/>
        <v/>
      </c>
      <c r="X529" s="237" t="str">
        <f t="shared" ref="X529:Y529" si="521">IF(ISBLANK(H529),,""""&amp;H529&amp;"""")</f>
        <v/>
      </c>
      <c r="Y529" s="237" t="str">
        <f t="shared" si="521"/>
        <v/>
      </c>
      <c r="Z529" s="237" t="str">
        <f>IF(ISBLANK(K529),,Config!$C$3&amp;"&amp;range=BB"&amp;MATCH(K529,FRG!AE:AE,0))</f>
        <v/>
      </c>
      <c r="AB529" s="242" t="str">
        <f>IFERROR(__xludf.DUMMYFUNCTION("IF(ISBLANK(K529),,SUBSTITUTE(IFERROR(JOIN("","",K529:Z529),JOIN("","",K529:Y529)),CHAR(10),""""))"),"")</f>
        <v/>
      </c>
      <c r="AC529" s="229" t="str">
        <f t="shared" si="1"/>
        <v/>
      </c>
    </row>
    <row r="530">
      <c r="K530" s="237"/>
      <c r="L530" s="238" t="str">
        <f t="shared" si="3"/>
        <v/>
      </c>
      <c r="M530" s="237"/>
      <c r="N530" s="238"/>
      <c r="O530" s="238" t="str">
        <f t="shared" si="4"/>
        <v/>
      </c>
      <c r="P530" s="238" t="str">
        <f t="shared" si="5"/>
        <v/>
      </c>
      <c r="Q530" s="238" t="str">
        <f t="shared" si="6"/>
        <v/>
      </c>
      <c r="R530" s="238" t="str">
        <f t="shared" si="7"/>
        <v/>
      </c>
      <c r="S530" s="238" t="str">
        <f t="shared" si="8"/>
        <v/>
      </c>
      <c r="T530" s="238"/>
      <c r="U530" s="237"/>
      <c r="V530" s="238"/>
      <c r="W530" s="238" t="str">
        <f t="shared" si="9"/>
        <v/>
      </c>
      <c r="X530" s="237" t="str">
        <f t="shared" ref="X530:Y530" si="522">IF(ISBLANK(H530),,""""&amp;H530&amp;"""")</f>
        <v/>
      </c>
      <c r="Y530" s="237" t="str">
        <f t="shared" si="522"/>
        <v/>
      </c>
      <c r="Z530" s="237" t="str">
        <f>IF(ISBLANK(K530),,Config!$C$3&amp;"&amp;range=BB"&amp;MATCH(K530,FRG!AE:AE,0))</f>
        <v/>
      </c>
      <c r="AB530" s="242" t="str">
        <f>IFERROR(__xludf.DUMMYFUNCTION("IF(ISBLANK(K530),,SUBSTITUTE(IFERROR(JOIN("","",K530:Z530),JOIN("","",K530:Y530)),CHAR(10),""""))"),"")</f>
        <v/>
      </c>
      <c r="AC530" s="229" t="str">
        <f t="shared" si="1"/>
        <v/>
      </c>
    </row>
    <row r="531">
      <c r="K531" s="237"/>
      <c r="L531" s="238" t="str">
        <f t="shared" si="3"/>
        <v/>
      </c>
      <c r="M531" s="237"/>
      <c r="N531" s="238"/>
      <c r="O531" s="238" t="str">
        <f t="shared" si="4"/>
        <v/>
      </c>
      <c r="P531" s="238" t="str">
        <f t="shared" si="5"/>
        <v/>
      </c>
      <c r="Q531" s="238" t="str">
        <f t="shared" si="6"/>
        <v/>
      </c>
      <c r="R531" s="238" t="str">
        <f t="shared" si="7"/>
        <v/>
      </c>
      <c r="S531" s="238" t="str">
        <f t="shared" si="8"/>
        <v/>
      </c>
      <c r="T531" s="238"/>
      <c r="U531" s="237"/>
      <c r="V531" s="238"/>
      <c r="W531" s="238" t="str">
        <f t="shared" si="9"/>
        <v/>
      </c>
      <c r="X531" s="237" t="str">
        <f t="shared" ref="X531:Y531" si="523">IF(ISBLANK(H531),,""""&amp;H531&amp;"""")</f>
        <v/>
      </c>
      <c r="Y531" s="237" t="str">
        <f t="shared" si="523"/>
        <v/>
      </c>
      <c r="Z531" s="237" t="str">
        <f>IF(ISBLANK(K531),,Config!$C$3&amp;"&amp;range=BB"&amp;MATCH(K531,FRG!AE:AE,0))</f>
        <v/>
      </c>
      <c r="AB531" s="242" t="str">
        <f>IFERROR(__xludf.DUMMYFUNCTION("IF(ISBLANK(K531),,SUBSTITUTE(IFERROR(JOIN("","",K531:Z531),JOIN("","",K531:Y531)),CHAR(10),""""))"),"")</f>
        <v/>
      </c>
      <c r="AC531" s="229" t="str">
        <f t="shared" si="1"/>
        <v/>
      </c>
    </row>
    <row r="532">
      <c r="K532" s="237"/>
      <c r="L532" s="238" t="str">
        <f t="shared" si="3"/>
        <v/>
      </c>
      <c r="M532" s="237"/>
      <c r="N532" s="238"/>
      <c r="O532" s="238" t="str">
        <f t="shared" si="4"/>
        <v/>
      </c>
      <c r="P532" s="238" t="str">
        <f t="shared" si="5"/>
        <v/>
      </c>
      <c r="Q532" s="238" t="str">
        <f t="shared" si="6"/>
        <v/>
      </c>
      <c r="R532" s="238" t="str">
        <f t="shared" si="7"/>
        <v/>
      </c>
      <c r="S532" s="238" t="str">
        <f t="shared" si="8"/>
        <v/>
      </c>
      <c r="T532" s="238"/>
      <c r="U532" s="237"/>
      <c r="V532" s="238"/>
      <c r="W532" s="238" t="str">
        <f t="shared" si="9"/>
        <v/>
      </c>
      <c r="X532" s="237" t="str">
        <f t="shared" ref="X532:Y532" si="524">IF(ISBLANK(H532),,""""&amp;H532&amp;"""")</f>
        <v/>
      </c>
      <c r="Y532" s="237" t="str">
        <f t="shared" si="524"/>
        <v/>
      </c>
      <c r="Z532" s="237" t="str">
        <f>IF(ISBLANK(K532),,Config!$C$3&amp;"&amp;range=BB"&amp;MATCH(K532,FRG!AE:AE,0))</f>
        <v/>
      </c>
      <c r="AB532" s="242" t="str">
        <f>IFERROR(__xludf.DUMMYFUNCTION("IF(ISBLANK(K532),,SUBSTITUTE(IFERROR(JOIN("","",K532:Z532),JOIN("","",K532:Y532)),CHAR(10),""""))"),"")</f>
        <v/>
      </c>
      <c r="AC532" s="229" t="str">
        <f t="shared" si="1"/>
        <v/>
      </c>
    </row>
    <row r="533">
      <c r="K533" s="237"/>
      <c r="L533" s="238" t="str">
        <f t="shared" si="3"/>
        <v/>
      </c>
      <c r="M533" s="237"/>
      <c r="N533" s="238"/>
      <c r="O533" s="238" t="str">
        <f t="shared" si="4"/>
        <v/>
      </c>
      <c r="P533" s="238" t="str">
        <f t="shared" si="5"/>
        <v/>
      </c>
      <c r="Q533" s="238" t="str">
        <f t="shared" si="6"/>
        <v/>
      </c>
      <c r="R533" s="238" t="str">
        <f t="shared" si="7"/>
        <v/>
      </c>
      <c r="S533" s="238" t="str">
        <f t="shared" si="8"/>
        <v/>
      </c>
      <c r="T533" s="238"/>
      <c r="U533" s="237"/>
      <c r="V533" s="238"/>
      <c r="W533" s="238" t="str">
        <f t="shared" si="9"/>
        <v/>
      </c>
      <c r="X533" s="237" t="str">
        <f t="shared" ref="X533:Y533" si="525">IF(ISBLANK(H533),,""""&amp;H533&amp;"""")</f>
        <v/>
      </c>
      <c r="Y533" s="237" t="str">
        <f t="shared" si="525"/>
        <v/>
      </c>
      <c r="Z533" s="237" t="str">
        <f>IF(ISBLANK(K533),,Config!$C$3&amp;"&amp;range=BB"&amp;MATCH(K533,FRG!AE:AE,0))</f>
        <v/>
      </c>
      <c r="AB533" s="242" t="str">
        <f>IFERROR(__xludf.DUMMYFUNCTION("IF(ISBLANK(K533),,SUBSTITUTE(IFERROR(JOIN("","",K533:Z533),JOIN("","",K533:Y533)),CHAR(10),""""))"),"")</f>
        <v/>
      </c>
      <c r="AC533" s="229" t="str">
        <f t="shared" si="1"/>
        <v/>
      </c>
    </row>
    <row r="534">
      <c r="K534" s="237"/>
      <c r="L534" s="238" t="str">
        <f t="shared" si="3"/>
        <v/>
      </c>
      <c r="M534" s="237"/>
      <c r="N534" s="238"/>
      <c r="O534" s="238" t="str">
        <f t="shared" si="4"/>
        <v/>
      </c>
      <c r="P534" s="238" t="str">
        <f t="shared" si="5"/>
        <v/>
      </c>
      <c r="Q534" s="238" t="str">
        <f t="shared" si="6"/>
        <v/>
      </c>
      <c r="R534" s="238" t="str">
        <f t="shared" si="7"/>
        <v/>
      </c>
      <c r="S534" s="238" t="str">
        <f t="shared" si="8"/>
        <v/>
      </c>
      <c r="T534" s="238"/>
      <c r="U534" s="237"/>
      <c r="V534" s="238"/>
      <c r="W534" s="238" t="str">
        <f t="shared" si="9"/>
        <v/>
      </c>
      <c r="X534" s="237" t="str">
        <f t="shared" ref="X534:Y534" si="526">IF(ISBLANK(H534),,""""&amp;H534&amp;"""")</f>
        <v/>
      </c>
      <c r="Y534" s="237" t="str">
        <f t="shared" si="526"/>
        <v/>
      </c>
      <c r="Z534" s="237" t="str">
        <f>IF(ISBLANK(K534),,Config!$C$3&amp;"&amp;range=BB"&amp;MATCH(K534,FRG!AE:AE,0))</f>
        <v/>
      </c>
      <c r="AB534" s="242" t="str">
        <f>IFERROR(__xludf.DUMMYFUNCTION("IF(ISBLANK(K534),,SUBSTITUTE(IFERROR(JOIN("","",K534:Z534),JOIN("","",K534:Y534)),CHAR(10),""""))"),"")</f>
        <v/>
      </c>
      <c r="AC534" s="229" t="str">
        <f t="shared" si="1"/>
        <v/>
      </c>
    </row>
    <row r="535">
      <c r="K535" s="237"/>
      <c r="L535" s="238" t="str">
        <f t="shared" si="3"/>
        <v/>
      </c>
      <c r="M535" s="237"/>
      <c r="N535" s="238"/>
      <c r="O535" s="238" t="str">
        <f t="shared" si="4"/>
        <v/>
      </c>
      <c r="P535" s="238" t="str">
        <f t="shared" si="5"/>
        <v/>
      </c>
      <c r="Q535" s="238" t="str">
        <f t="shared" si="6"/>
        <v/>
      </c>
      <c r="R535" s="238" t="str">
        <f t="shared" si="7"/>
        <v/>
      </c>
      <c r="S535" s="238" t="str">
        <f t="shared" si="8"/>
        <v/>
      </c>
      <c r="T535" s="238"/>
      <c r="U535" s="237"/>
      <c r="V535" s="238"/>
      <c r="W535" s="238" t="str">
        <f t="shared" si="9"/>
        <v/>
      </c>
      <c r="X535" s="237" t="str">
        <f t="shared" ref="X535:Y535" si="527">IF(ISBLANK(H535),,""""&amp;H535&amp;"""")</f>
        <v/>
      </c>
      <c r="Y535" s="237" t="str">
        <f t="shared" si="527"/>
        <v/>
      </c>
      <c r="Z535" s="237" t="str">
        <f>IF(ISBLANK(K535),,Config!$C$3&amp;"&amp;range=BB"&amp;MATCH(K535,FRG!AE:AE,0))</f>
        <v/>
      </c>
      <c r="AB535" s="242" t="str">
        <f>IFERROR(__xludf.DUMMYFUNCTION("IF(ISBLANK(K535),,SUBSTITUTE(IFERROR(JOIN("","",K535:Z535),JOIN("","",K535:Y535)),CHAR(10),""""))"),"")</f>
        <v/>
      </c>
      <c r="AC535" s="229" t="str">
        <f t="shared" si="1"/>
        <v/>
      </c>
    </row>
    <row r="536">
      <c r="K536" s="237"/>
      <c r="L536" s="238" t="str">
        <f t="shared" si="3"/>
        <v/>
      </c>
      <c r="M536" s="237"/>
      <c r="N536" s="238"/>
      <c r="O536" s="238" t="str">
        <f t="shared" si="4"/>
        <v/>
      </c>
      <c r="P536" s="238" t="str">
        <f t="shared" si="5"/>
        <v/>
      </c>
      <c r="Q536" s="238" t="str">
        <f t="shared" si="6"/>
        <v/>
      </c>
      <c r="R536" s="238" t="str">
        <f t="shared" si="7"/>
        <v/>
      </c>
      <c r="S536" s="238" t="str">
        <f t="shared" si="8"/>
        <v/>
      </c>
      <c r="T536" s="238"/>
      <c r="U536" s="237"/>
      <c r="V536" s="238"/>
      <c r="W536" s="238" t="str">
        <f t="shared" si="9"/>
        <v/>
      </c>
      <c r="X536" s="237" t="str">
        <f t="shared" ref="X536:Y536" si="528">IF(ISBLANK(H536),,""""&amp;H536&amp;"""")</f>
        <v/>
      </c>
      <c r="Y536" s="237" t="str">
        <f t="shared" si="528"/>
        <v/>
      </c>
      <c r="Z536" s="237" t="str">
        <f>IF(ISBLANK(K536),,Config!$C$3&amp;"&amp;range=BB"&amp;MATCH(K536,FRG!AE:AE,0))</f>
        <v/>
      </c>
      <c r="AB536" s="242" t="str">
        <f>IFERROR(__xludf.DUMMYFUNCTION("IF(ISBLANK(K536),,SUBSTITUTE(IFERROR(JOIN("","",K536:Z536),JOIN("","",K536:Y536)),CHAR(10),""""))"),"")</f>
        <v/>
      </c>
      <c r="AC536" s="229" t="str">
        <f t="shared" si="1"/>
        <v/>
      </c>
    </row>
    <row r="537">
      <c r="K537" s="237"/>
      <c r="L537" s="238" t="str">
        <f t="shared" si="3"/>
        <v/>
      </c>
      <c r="M537" s="237"/>
      <c r="N537" s="238"/>
      <c r="O537" s="238" t="str">
        <f t="shared" si="4"/>
        <v/>
      </c>
      <c r="P537" s="238" t="str">
        <f t="shared" si="5"/>
        <v/>
      </c>
      <c r="Q537" s="238" t="str">
        <f t="shared" si="6"/>
        <v/>
      </c>
      <c r="R537" s="238" t="str">
        <f t="shared" si="7"/>
        <v/>
      </c>
      <c r="S537" s="238" t="str">
        <f t="shared" si="8"/>
        <v/>
      </c>
      <c r="T537" s="238"/>
      <c r="U537" s="237"/>
      <c r="V537" s="238"/>
      <c r="W537" s="238" t="str">
        <f t="shared" si="9"/>
        <v/>
      </c>
      <c r="X537" s="237" t="str">
        <f t="shared" ref="X537:Y537" si="529">IF(ISBLANK(H537),,""""&amp;H537&amp;"""")</f>
        <v/>
      </c>
      <c r="Y537" s="237" t="str">
        <f t="shared" si="529"/>
        <v/>
      </c>
      <c r="Z537" s="237" t="str">
        <f>IF(ISBLANK(K537),,Config!$C$3&amp;"&amp;range=BB"&amp;MATCH(K537,FRG!AE:AE,0))</f>
        <v/>
      </c>
      <c r="AB537" s="242" t="str">
        <f>IFERROR(__xludf.DUMMYFUNCTION("IF(ISBLANK(K537),,SUBSTITUTE(IFERROR(JOIN("","",K537:Z537),JOIN("","",K537:Y537)),CHAR(10),""""))"),"")</f>
        <v/>
      </c>
      <c r="AC537" s="229" t="str">
        <f t="shared" si="1"/>
        <v/>
      </c>
    </row>
    <row r="538">
      <c r="K538" s="237"/>
      <c r="L538" s="238" t="str">
        <f t="shared" si="3"/>
        <v/>
      </c>
      <c r="M538" s="237"/>
      <c r="N538" s="238"/>
      <c r="O538" s="238" t="str">
        <f t="shared" si="4"/>
        <v/>
      </c>
      <c r="P538" s="238" t="str">
        <f t="shared" si="5"/>
        <v/>
      </c>
      <c r="Q538" s="238" t="str">
        <f t="shared" si="6"/>
        <v/>
      </c>
      <c r="R538" s="238" t="str">
        <f t="shared" si="7"/>
        <v/>
      </c>
      <c r="S538" s="238" t="str">
        <f t="shared" si="8"/>
        <v/>
      </c>
      <c r="T538" s="238"/>
      <c r="U538" s="237"/>
      <c r="V538" s="238"/>
      <c r="W538" s="238" t="str">
        <f t="shared" si="9"/>
        <v/>
      </c>
      <c r="X538" s="237" t="str">
        <f t="shared" ref="X538:Y538" si="530">IF(ISBLANK(H538),,""""&amp;H538&amp;"""")</f>
        <v/>
      </c>
      <c r="Y538" s="237" t="str">
        <f t="shared" si="530"/>
        <v/>
      </c>
      <c r="Z538" s="237" t="str">
        <f>IF(ISBLANK(K538),,Config!$C$3&amp;"&amp;range=BB"&amp;MATCH(K538,FRG!AE:AE,0))</f>
        <v/>
      </c>
      <c r="AB538" s="242" t="str">
        <f>IFERROR(__xludf.DUMMYFUNCTION("IF(ISBLANK(K538),,SUBSTITUTE(IFERROR(JOIN("","",K538:Z538),JOIN("","",K538:Y538)),CHAR(10),""""))"),"")</f>
        <v/>
      </c>
      <c r="AC538" s="229" t="str">
        <f t="shared" si="1"/>
        <v/>
      </c>
    </row>
    <row r="539">
      <c r="K539" s="237"/>
      <c r="L539" s="238" t="str">
        <f t="shared" si="3"/>
        <v/>
      </c>
      <c r="M539" s="237"/>
      <c r="N539" s="238"/>
      <c r="O539" s="238" t="str">
        <f t="shared" si="4"/>
        <v/>
      </c>
      <c r="P539" s="238" t="str">
        <f t="shared" si="5"/>
        <v/>
      </c>
      <c r="Q539" s="238" t="str">
        <f t="shared" si="6"/>
        <v/>
      </c>
      <c r="R539" s="238" t="str">
        <f t="shared" si="7"/>
        <v/>
      </c>
      <c r="S539" s="238" t="str">
        <f t="shared" si="8"/>
        <v/>
      </c>
      <c r="T539" s="238"/>
      <c r="U539" s="237"/>
      <c r="V539" s="238"/>
      <c r="W539" s="238" t="str">
        <f t="shared" si="9"/>
        <v/>
      </c>
      <c r="X539" s="237" t="str">
        <f t="shared" ref="X539:Y539" si="531">IF(ISBLANK(H539),,""""&amp;H539&amp;"""")</f>
        <v/>
      </c>
      <c r="Y539" s="237" t="str">
        <f t="shared" si="531"/>
        <v/>
      </c>
      <c r="Z539" s="237" t="str">
        <f>IF(ISBLANK(K539),,Config!$C$3&amp;"&amp;range=BB"&amp;MATCH(K539,FRG!AE:AE,0))</f>
        <v/>
      </c>
      <c r="AB539" s="242" t="str">
        <f>IFERROR(__xludf.DUMMYFUNCTION("IF(ISBLANK(K539),,SUBSTITUTE(IFERROR(JOIN("","",K539:Z539),JOIN("","",K539:Y539)),CHAR(10),""""))"),"")</f>
        <v/>
      </c>
      <c r="AC539" s="229" t="str">
        <f t="shared" si="1"/>
        <v/>
      </c>
    </row>
    <row r="540">
      <c r="K540" s="237"/>
      <c r="L540" s="238" t="str">
        <f t="shared" si="3"/>
        <v/>
      </c>
      <c r="M540" s="237"/>
      <c r="N540" s="238"/>
      <c r="O540" s="238" t="str">
        <f t="shared" si="4"/>
        <v/>
      </c>
      <c r="P540" s="238" t="str">
        <f t="shared" si="5"/>
        <v/>
      </c>
      <c r="Q540" s="238" t="str">
        <f t="shared" si="6"/>
        <v/>
      </c>
      <c r="R540" s="238" t="str">
        <f t="shared" si="7"/>
        <v/>
      </c>
      <c r="S540" s="238" t="str">
        <f t="shared" si="8"/>
        <v/>
      </c>
      <c r="T540" s="238"/>
      <c r="U540" s="237"/>
      <c r="V540" s="238"/>
      <c r="W540" s="238" t="str">
        <f t="shared" si="9"/>
        <v/>
      </c>
      <c r="X540" s="237" t="str">
        <f t="shared" ref="X540:Y540" si="532">IF(ISBLANK(H540),,""""&amp;H540&amp;"""")</f>
        <v/>
      </c>
      <c r="Y540" s="237" t="str">
        <f t="shared" si="532"/>
        <v/>
      </c>
      <c r="Z540" s="237" t="str">
        <f>IF(ISBLANK(K540),,Config!$C$3&amp;"&amp;range=BB"&amp;MATCH(K540,FRG!AE:AE,0))</f>
        <v/>
      </c>
      <c r="AB540" s="242" t="str">
        <f>IFERROR(__xludf.DUMMYFUNCTION("IF(ISBLANK(K540),,SUBSTITUTE(IFERROR(JOIN("","",K540:Z540),JOIN("","",K540:Y540)),CHAR(10),""""))"),"")</f>
        <v/>
      </c>
      <c r="AC540" s="229" t="str">
        <f t="shared" si="1"/>
        <v/>
      </c>
    </row>
    <row r="541">
      <c r="K541" s="237"/>
      <c r="L541" s="238" t="str">
        <f t="shared" si="3"/>
        <v/>
      </c>
      <c r="M541" s="237"/>
      <c r="N541" s="238"/>
      <c r="O541" s="238" t="str">
        <f t="shared" si="4"/>
        <v/>
      </c>
      <c r="P541" s="238" t="str">
        <f t="shared" si="5"/>
        <v/>
      </c>
      <c r="Q541" s="238" t="str">
        <f t="shared" si="6"/>
        <v/>
      </c>
      <c r="R541" s="238" t="str">
        <f t="shared" si="7"/>
        <v/>
      </c>
      <c r="S541" s="238" t="str">
        <f t="shared" si="8"/>
        <v/>
      </c>
      <c r="T541" s="238"/>
      <c r="U541" s="237"/>
      <c r="V541" s="238"/>
      <c r="W541" s="238" t="str">
        <f t="shared" si="9"/>
        <v/>
      </c>
      <c r="X541" s="237" t="str">
        <f t="shared" ref="X541:Y541" si="533">IF(ISBLANK(H541),,""""&amp;H541&amp;"""")</f>
        <v/>
      </c>
      <c r="Y541" s="237" t="str">
        <f t="shared" si="533"/>
        <v/>
      </c>
      <c r="Z541" s="237" t="str">
        <f>IF(ISBLANK(K541),,Config!$C$3&amp;"&amp;range=BB"&amp;MATCH(K541,FRG!AE:AE,0))</f>
        <v/>
      </c>
      <c r="AB541" s="242" t="str">
        <f>IFERROR(__xludf.DUMMYFUNCTION("IF(ISBLANK(K541),,SUBSTITUTE(IFERROR(JOIN("","",K541:Z541),JOIN("","",K541:Y541)),CHAR(10),""""))"),"")</f>
        <v/>
      </c>
      <c r="AC541" s="229" t="str">
        <f t="shared" si="1"/>
        <v/>
      </c>
    </row>
    <row r="542">
      <c r="K542" s="237"/>
      <c r="L542" s="238" t="str">
        <f t="shared" si="3"/>
        <v/>
      </c>
      <c r="M542" s="237"/>
      <c r="N542" s="238"/>
      <c r="O542" s="238" t="str">
        <f t="shared" si="4"/>
        <v/>
      </c>
      <c r="P542" s="238" t="str">
        <f t="shared" si="5"/>
        <v/>
      </c>
      <c r="Q542" s="238" t="str">
        <f t="shared" si="6"/>
        <v/>
      </c>
      <c r="R542" s="238" t="str">
        <f t="shared" si="7"/>
        <v/>
      </c>
      <c r="S542" s="238" t="str">
        <f t="shared" si="8"/>
        <v/>
      </c>
      <c r="T542" s="238"/>
      <c r="U542" s="237"/>
      <c r="V542" s="238"/>
      <c r="W542" s="238" t="str">
        <f t="shared" si="9"/>
        <v/>
      </c>
      <c r="X542" s="237" t="str">
        <f t="shared" ref="X542:Y542" si="534">IF(ISBLANK(H542),,""""&amp;H542&amp;"""")</f>
        <v/>
      </c>
      <c r="Y542" s="237" t="str">
        <f t="shared" si="534"/>
        <v/>
      </c>
      <c r="Z542" s="237" t="str">
        <f>IF(ISBLANK(K542),,Config!$C$3&amp;"&amp;range=BB"&amp;MATCH(K542,FRG!AE:AE,0))</f>
        <v/>
      </c>
      <c r="AB542" s="242" t="str">
        <f>IFERROR(__xludf.DUMMYFUNCTION("IF(ISBLANK(K542),,SUBSTITUTE(IFERROR(JOIN("","",K542:Z542),JOIN("","",K542:Y542)),CHAR(10),""""))"),"")</f>
        <v/>
      </c>
      <c r="AC542" s="229" t="str">
        <f t="shared" si="1"/>
        <v/>
      </c>
    </row>
    <row r="543">
      <c r="K543" s="237"/>
      <c r="L543" s="238" t="str">
        <f t="shared" si="3"/>
        <v/>
      </c>
      <c r="M543" s="237"/>
      <c r="N543" s="238"/>
      <c r="O543" s="238" t="str">
        <f t="shared" si="4"/>
        <v/>
      </c>
      <c r="P543" s="238" t="str">
        <f t="shared" si="5"/>
        <v/>
      </c>
      <c r="Q543" s="238" t="str">
        <f t="shared" si="6"/>
        <v/>
      </c>
      <c r="R543" s="238" t="str">
        <f t="shared" si="7"/>
        <v/>
      </c>
      <c r="S543" s="238" t="str">
        <f t="shared" si="8"/>
        <v/>
      </c>
      <c r="T543" s="238"/>
      <c r="U543" s="237"/>
      <c r="V543" s="238"/>
      <c r="W543" s="238" t="str">
        <f t="shared" si="9"/>
        <v/>
      </c>
      <c r="X543" s="237" t="str">
        <f t="shared" ref="X543:Y543" si="535">IF(ISBLANK(H543),,""""&amp;H543&amp;"""")</f>
        <v/>
      </c>
      <c r="Y543" s="237" t="str">
        <f t="shared" si="535"/>
        <v/>
      </c>
      <c r="Z543" s="237" t="str">
        <f>IF(ISBLANK(K543),,Config!$C$3&amp;"&amp;range=BB"&amp;MATCH(K543,FRG!AE:AE,0))</f>
        <v/>
      </c>
      <c r="AB543" s="242" t="str">
        <f>IFERROR(__xludf.DUMMYFUNCTION("IF(ISBLANK(K543),,SUBSTITUTE(IFERROR(JOIN("","",K543:Z543),JOIN("","",K543:Y543)),CHAR(10),""""))"),"")</f>
        <v/>
      </c>
      <c r="AC543" s="229" t="str">
        <f t="shared" si="1"/>
        <v/>
      </c>
    </row>
    <row r="544">
      <c r="K544" s="237"/>
      <c r="L544" s="238" t="str">
        <f t="shared" si="3"/>
        <v/>
      </c>
      <c r="M544" s="237"/>
      <c r="N544" s="238"/>
      <c r="O544" s="238" t="str">
        <f t="shared" si="4"/>
        <v/>
      </c>
      <c r="P544" s="238" t="str">
        <f t="shared" si="5"/>
        <v/>
      </c>
      <c r="Q544" s="238" t="str">
        <f t="shared" si="6"/>
        <v/>
      </c>
      <c r="R544" s="238" t="str">
        <f t="shared" si="7"/>
        <v/>
      </c>
      <c r="S544" s="238" t="str">
        <f t="shared" si="8"/>
        <v/>
      </c>
      <c r="T544" s="238"/>
      <c r="U544" s="237"/>
      <c r="V544" s="238"/>
      <c r="W544" s="238" t="str">
        <f t="shared" si="9"/>
        <v/>
      </c>
      <c r="X544" s="237" t="str">
        <f t="shared" ref="X544:Y544" si="536">IF(ISBLANK(H544),,""""&amp;H544&amp;"""")</f>
        <v/>
      </c>
      <c r="Y544" s="237" t="str">
        <f t="shared" si="536"/>
        <v/>
      </c>
      <c r="Z544" s="237" t="str">
        <f>IF(ISBLANK(K544),,Config!$C$3&amp;"&amp;range=BB"&amp;MATCH(K544,FRG!AE:AE,0))</f>
        <v/>
      </c>
      <c r="AB544" s="242" t="str">
        <f>IFERROR(__xludf.DUMMYFUNCTION("IF(ISBLANK(K544),,SUBSTITUTE(IFERROR(JOIN("","",K544:Z544),JOIN("","",K544:Y544)),CHAR(10),""""))"),"")</f>
        <v/>
      </c>
      <c r="AC544" s="229" t="str">
        <f t="shared" si="1"/>
        <v/>
      </c>
    </row>
    <row r="545">
      <c r="K545" s="237"/>
      <c r="L545" s="238" t="str">
        <f t="shared" si="3"/>
        <v/>
      </c>
      <c r="M545" s="237"/>
      <c r="N545" s="238"/>
      <c r="O545" s="238" t="str">
        <f t="shared" si="4"/>
        <v/>
      </c>
      <c r="P545" s="238" t="str">
        <f t="shared" si="5"/>
        <v/>
      </c>
      <c r="Q545" s="238" t="str">
        <f t="shared" si="6"/>
        <v/>
      </c>
      <c r="R545" s="238" t="str">
        <f t="shared" si="7"/>
        <v/>
      </c>
      <c r="S545" s="238" t="str">
        <f t="shared" si="8"/>
        <v/>
      </c>
      <c r="T545" s="238"/>
      <c r="U545" s="237"/>
      <c r="V545" s="238"/>
      <c r="W545" s="238" t="str">
        <f t="shared" si="9"/>
        <v/>
      </c>
      <c r="X545" s="237" t="str">
        <f t="shared" ref="X545:Y545" si="537">IF(ISBLANK(H545),,""""&amp;H545&amp;"""")</f>
        <v/>
      </c>
      <c r="Y545" s="237" t="str">
        <f t="shared" si="537"/>
        <v/>
      </c>
      <c r="Z545" s="237" t="str">
        <f>IF(ISBLANK(K545),,Config!$C$3&amp;"&amp;range=BB"&amp;MATCH(K545,FRG!AE:AE,0))</f>
        <v/>
      </c>
      <c r="AB545" s="242" t="str">
        <f>IFERROR(__xludf.DUMMYFUNCTION("IF(ISBLANK(K545),,SUBSTITUTE(IFERROR(JOIN("","",K545:Z545),JOIN("","",K545:Y545)),CHAR(10),""""))"),"")</f>
        <v/>
      </c>
      <c r="AC545" s="229" t="str">
        <f t="shared" si="1"/>
        <v/>
      </c>
    </row>
    <row r="546">
      <c r="K546" s="237"/>
      <c r="L546" s="238" t="str">
        <f t="shared" si="3"/>
        <v/>
      </c>
      <c r="M546" s="237"/>
      <c r="N546" s="238"/>
      <c r="O546" s="238" t="str">
        <f t="shared" si="4"/>
        <v/>
      </c>
      <c r="P546" s="238" t="str">
        <f t="shared" si="5"/>
        <v/>
      </c>
      <c r="Q546" s="238" t="str">
        <f t="shared" si="6"/>
        <v/>
      </c>
      <c r="R546" s="238" t="str">
        <f t="shared" si="7"/>
        <v/>
      </c>
      <c r="S546" s="238" t="str">
        <f t="shared" si="8"/>
        <v/>
      </c>
      <c r="T546" s="238"/>
      <c r="U546" s="237"/>
      <c r="V546" s="238"/>
      <c r="W546" s="238" t="str">
        <f t="shared" si="9"/>
        <v/>
      </c>
      <c r="X546" s="237" t="str">
        <f t="shared" ref="X546:Y546" si="538">IF(ISBLANK(H546),,""""&amp;H546&amp;"""")</f>
        <v/>
      </c>
      <c r="Y546" s="237" t="str">
        <f t="shared" si="538"/>
        <v/>
      </c>
      <c r="Z546" s="237" t="str">
        <f>IF(ISBLANK(K546),,Config!$C$3&amp;"&amp;range=BB"&amp;MATCH(K546,FRG!AE:AE,0))</f>
        <v/>
      </c>
      <c r="AB546" s="242" t="str">
        <f>IFERROR(__xludf.DUMMYFUNCTION("IF(ISBLANK(K546),,SUBSTITUTE(IFERROR(JOIN("","",K546:Z546),JOIN("","",K546:Y546)),CHAR(10),""""))"),"")</f>
        <v/>
      </c>
      <c r="AC546" s="229" t="str">
        <f t="shared" si="1"/>
        <v/>
      </c>
    </row>
    <row r="547">
      <c r="K547" s="237"/>
      <c r="L547" s="238" t="str">
        <f t="shared" si="3"/>
        <v/>
      </c>
      <c r="M547" s="237"/>
      <c r="N547" s="238"/>
      <c r="O547" s="238" t="str">
        <f t="shared" si="4"/>
        <v/>
      </c>
      <c r="P547" s="238" t="str">
        <f t="shared" si="5"/>
        <v/>
      </c>
      <c r="Q547" s="238" t="str">
        <f t="shared" si="6"/>
        <v/>
      </c>
      <c r="R547" s="238" t="str">
        <f t="shared" si="7"/>
        <v/>
      </c>
      <c r="S547" s="238" t="str">
        <f t="shared" si="8"/>
        <v/>
      </c>
      <c r="T547" s="238"/>
      <c r="U547" s="237"/>
      <c r="V547" s="238"/>
      <c r="W547" s="238" t="str">
        <f t="shared" si="9"/>
        <v/>
      </c>
      <c r="X547" s="237" t="str">
        <f t="shared" ref="X547:Y547" si="539">IF(ISBLANK(H547),,""""&amp;H547&amp;"""")</f>
        <v/>
      </c>
      <c r="Y547" s="237" t="str">
        <f t="shared" si="539"/>
        <v/>
      </c>
      <c r="Z547" s="237" t="str">
        <f>IF(ISBLANK(K547),,Config!$C$3&amp;"&amp;range=BB"&amp;MATCH(K547,FRG!AE:AE,0))</f>
        <v/>
      </c>
      <c r="AB547" s="242" t="str">
        <f>IFERROR(__xludf.DUMMYFUNCTION("IF(ISBLANK(K547),,SUBSTITUTE(IFERROR(JOIN("","",K547:Z547),JOIN("","",K547:Y547)),CHAR(10),""""))"),"")</f>
        <v/>
      </c>
      <c r="AC547" s="229" t="str">
        <f t="shared" si="1"/>
        <v/>
      </c>
    </row>
    <row r="548">
      <c r="K548" s="237"/>
      <c r="L548" s="238" t="str">
        <f t="shared" si="3"/>
        <v/>
      </c>
      <c r="M548" s="237"/>
      <c r="N548" s="238"/>
      <c r="O548" s="238" t="str">
        <f t="shared" si="4"/>
        <v/>
      </c>
      <c r="P548" s="238" t="str">
        <f t="shared" si="5"/>
        <v/>
      </c>
      <c r="Q548" s="238" t="str">
        <f t="shared" si="6"/>
        <v/>
      </c>
      <c r="R548" s="238" t="str">
        <f t="shared" si="7"/>
        <v/>
      </c>
      <c r="S548" s="238" t="str">
        <f t="shared" si="8"/>
        <v/>
      </c>
      <c r="T548" s="238"/>
      <c r="U548" s="237"/>
      <c r="V548" s="238"/>
      <c r="W548" s="238" t="str">
        <f t="shared" si="9"/>
        <v/>
      </c>
      <c r="X548" s="237" t="str">
        <f t="shared" ref="X548:Y548" si="540">IF(ISBLANK(H548),,""""&amp;H548&amp;"""")</f>
        <v/>
      </c>
      <c r="Y548" s="237" t="str">
        <f t="shared" si="540"/>
        <v/>
      </c>
      <c r="Z548" s="237" t="str">
        <f>IF(ISBLANK(K548),,Config!$C$3&amp;"&amp;range=BB"&amp;MATCH(K548,FRG!AE:AE,0))</f>
        <v/>
      </c>
      <c r="AB548" s="242" t="str">
        <f>IFERROR(__xludf.DUMMYFUNCTION("IF(ISBLANK(K548),,SUBSTITUTE(IFERROR(JOIN("","",K548:Z548),JOIN("","",K548:Y548)),CHAR(10),""""))"),"")</f>
        <v/>
      </c>
      <c r="AC548" s="229" t="str">
        <f t="shared" si="1"/>
        <v/>
      </c>
    </row>
    <row r="549">
      <c r="K549" s="237"/>
      <c r="L549" s="238" t="str">
        <f t="shared" si="3"/>
        <v/>
      </c>
      <c r="M549" s="237"/>
      <c r="N549" s="238"/>
      <c r="O549" s="238" t="str">
        <f t="shared" si="4"/>
        <v/>
      </c>
      <c r="P549" s="238" t="str">
        <f t="shared" si="5"/>
        <v/>
      </c>
      <c r="Q549" s="238" t="str">
        <f t="shared" si="6"/>
        <v/>
      </c>
      <c r="R549" s="238" t="str">
        <f t="shared" si="7"/>
        <v/>
      </c>
      <c r="S549" s="238" t="str">
        <f t="shared" si="8"/>
        <v/>
      </c>
      <c r="T549" s="238"/>
      <c r="U549" s="237"/>
      <c r="V549" s="238"/>
      <c r="W549" s="238" t="str">
        <f t="shared" si="9"/>
        <v/>
      </c>
      <c r="X549" s="237" t="str">
        <f t="shared" ref="X549:Y549" si="541">IF(ISBLANK(H549),,""""&amp;H549&amp;"""")</f>
        <v/>
      </c>
      <c r="Y549" s="237" t="str">
        <f t="shared" si="541"/>
        <v/>
      </c>
      <c r="Z549" s="237" t="str">
        <f>IF(ISBLANK(K549),,Config!$C$3&amp;"&amp;range=BB"&amp;MATCH(K549,FRG!AE:AE,0))</f>
        <v/>
      </c>
      <c r="AB549" s="242" t="str">
        <f>IFERROR(__xludf.DUMMYFUNCTION("IF(ISBLANK(K549),,SUBSTITUTE(IFERROR(JOIN("","",K549:Z549),JOIN("","",K549:Y549)),CHAR(10),""""))"),"")</f>
        <v/>
      </c>
      <c r="AC549" s="229" t="str">
        <f t="shared" si="1"/>
        <v/>
      </c>
    </row>
    <row r="550">
      <c r="K550" s="237"/>
      <c r="L550" s="238" t="str">
        <f t="shared" si="3"/>
        <v/>
      </c>
      <c r="M550" s="237"/>
      <c r="N550" s="238"/>
      <c r="O550" s="238" t="str">
        <f t="shared" si="4"/>
        <v/>
      </c>
      <c r="P550" s="238" t="str">
        <f t="shared" si="5"/>
        <v/>
      </c>
      <c r="Q550" s="238" t="str">
        <f t="shared" si="6"/>
        <v/>
      </c>
      <c r="R550" s="238" t="str">
        <f t="shared" si="7"/>
        <v/>
      </c>
      <c r="S550" s="238" t="str">
        <f t="shared" si="8"/>
        <v/>
      </c>
      <c r="T550" s="238"/>
      <c r="U550" s="237"/>
      <c r="V550" s="238"/>
      <c r="W550" s="238" t="str">
        <f t="shared" si="9"/>
        <v/>
      </c>
      <c r="X550" s="237" t="str">
        <f t="shared" ref="X550:Y550" si="542">IF(ISBLANK(H550),,""""&amp;H550&amp;"""")</f>
        <v/>
      </c>
      <c r="Y550" s="237" t="str">
        <f t="shared" si="542"/>
        <v/>
      </c>
      <c r="Z550" s="237" t="str">
        <f>IF(ISBLANK(K550),,Config!$C$3&amp;"&amp;range=BB"&amp;MATCH(K550,FRG!AE:AE,0))</f>
        <v/>
      </c>
      <c r="AB550" s="242" t="str">
        <f>IFERROR(__xludf.DUMMYFUNCTION("IF(ISBLANK(K550),,SUBSTITUTE(IFERROR(JOIN("","",K550:Z550),JOIN("","",K550:Y550)),CHAR(10),""""))"),"")</f>
        <v/>
      </c>
      <c r="AC550" s="229" t="str">
        <f t="shared" si="1"/>
        <v/>
      </c>
    </row>
    <row r="551">
      <c r="K551" s="237"/>
      <c r="L551" s="238" t="str">
        <f t="shared" si="3"/>
        <v/>
      </c>
      <c r="M551" s="237"/>
      <c r="N551" s="238"/>
      <c r="O551" s="238" t="str">
        <f t="shared" si="4"/>
        <v/>
      </c>
      <c r="P551" s="238" t="str">
        <f t="shared" si="5"/>
        <v/>
      </c>
      <c r="Q551" s="238" t="str">
        <f t="shared" si="6"/>
        <v/>
      </c>
      <c r="R551" s="238" t="str">
        <f t="shared" si="7"/>
        <v/>
      </c>
      <c r="S551" s="238" t="str">
        <f t="shared" si="8"/>
        <v/>
      </c>
      <c r="T551" s="238"/>
      <c r="U551" s="237"/>
      <c r="V551" s="238"/>
      <c r="W551" s="238" t="str">
        <f t="shared" si="9"/>
        <v/>
      </c>
      <c r="X551" s="237" t="str">
        <f t="shared" ref="X551:Y551" si="543">IF(ISBLANK(H551),,""""&amp;H551&amp;"""")</f>
        <v/>
      </c>
      <c r="Y551" s="237" t="str">
        <f t="shared" si="543"/>
        <v/>
      </c>
      <c r="Z551" s="237" t="str">
        <f>IF(ISBLANK(K551),,Config!$C$3&amp;"&amp;range=BB"&amp;MATCH(K551,FRG!AE:AE,0))</f>
        <v/>
      </c>
      <c r="AB551" s="242" t="str">
        <f>IFERROR(__xludf.DUMMYFUNCTION("IF(ISBLANK(K551),,SUBSTITUTE(IFERROR(JOIN("","",K551:Z551),JOIN("","",K551:Y551)),CHAR(10),""""))"),"")</f>
        <v/>
      </c>
      <c r="AC551" s="229" t="str">
        <f t="shared" si="1"/>
        <v/>
      </c>
    </row>
    <row r="552">
      <c r="K552" s="237"/>
      <c r="L552" s="238" t="str">
        <f t="shared" si="3"/>
        <v/>
      </c>
      <c r="M552" s="237"/>
      <c r="N552" s="238"/>
      <c r="O552" s="238" t="str">
        <f t="shared" si="4"/>
        <v/>
      </c>
      <c r="P552" s="238" t="str">
        <f t="shared" si="5"/>
        <v/>
      </c>
      <c r="Q552" s="238" t="str">
        <f t="shared" si="6"/>
        <v/>
      </c>
      <c r="R552" s="238" t="str">
        <f t="shared" si="7"/>
        <v/>
      </c>
      <c r="S552" s="238" t="str">
        <f t="shared" si="8"/>
        <v/>
      </c>
      <c r="T552" s="238"/>
      <c r="U552" s="237"/>
      <c r="V552" s="238"/>
      <c r="W552" s="238" t="str">
        <f t="shared" si="9"/>
        <v/>
      </c>
      <c r="X552" s="237" t="str">
        <f t="shared" ref="X552:Y552" si="544">IF(ISBLANK(H552),,""""&amp;H552&amp;"""")</f>
        <v/>
      </c>
      <c r="Y552" s="237" t="str">
        <f t="shared" si="544"/>
        <v/>
      </c>
      <c r="Z552" s="237" t="str">
        <f>IF(ISBLANK(K552),,Config!$C$3&amp;"&amp;range=BB"&amp;MATCH(K552,FRG!AE:AE,0))</f>
        <v/>
      </c>
      <c r="AB552" s="242" t="str">
        <f>IFERROR(__xludf.DUMMYFUNCTION("IF(ISBLANK(K552),,SUBSTITUTE(IFERROR(JOIN("","",K552:Z552),JOIN("","",K552:Y552)),CHAR(10),""""))"),"")</f>
        <v/>
      </c>
      <c r="AC552" s="229" t="str">
        <f t="shared" si="1"/>
        <v/>
      </c>
    </row>
    <row r="553">
      <c r="K553" s="237"/>
      <c r="L553" s="238" t="str">
        <f t="shared" si="3"/>
        <v/>
      </c>
      <c r="M553" s="237"/>
      <c r="N553" s="238"/>
      <c r="O553" s="238" t="str">
        <f t="shared" si="4"/>
        <v/>
      </c>
      <c r="P553" s="238" t="str">
        <f t="shared" si="5"/>
        <v/>
      </c>
      <c r="Q553" s="238" t="str">
        <f t="shared" si="6"/>
        <v/>
      </c>
      <c r="R553" s="238" t="str">
        <f t="shared" si="7"/>
        <v/>
      </c>
      <c r="S553" s="238" t="str">
        <f t="shared" si="8"/>
        <v/>
      </c>
      <c r="T553" s="238"/>
      <c r="U553" s="237"/>
      <c r="V553" s="238"/>
      <c r="W553" s="238" t="str">
        <f t="shared" si="9"/>
        <v/>
      </c>
      <c r="X553" s="237" t="str">
        <f t="shared" ref="X553:Y553" si="545">IF(ISBLANK(H553),,""""&amp;H553&amp;"""")</f>
        <v/>
      </c>
      <c r="Y553" s="237" t="str">
        <f t="shared" si="545"/>
        <v/>
      </c>
      <c r="Z553" s="237" t="str">
        <f>IF(ISBLANK(K553),,Config!$C$3&amp;"&amp;range=BB"&amp;MATCH(K553,FRG!AE:AE,0))</f>
        <v/>
      </c>
      <c r="AB553" s="242" t="str">
        <f>IFERROR(__xludf.DUMMYFUNCTION("IF(ISBLANK(K553),,SUBSTITUTE(IFERROR(JOIN("","",K553:Z553),JOIN("","",K553:Y553)),CHAR(10),""""))"),"")</f>
        <v/>
      </c>
      <c r="AC553" s="229" t="str">
        <f t="shared" si="1"/>
        <v/>
      </c>
    </row>
    <row r="554">
      <c r="K554" s="237"/>
      <c r="L554" s="238" t="str">
        <f t="shared" si="3"/>
        <v/>
      </c>
      <c r="M554" s="237"/>
      <c r="N554" s="238"/>
      <c r="O554" s="238" t="str">
        <f t="shared" si="4"/>
        <v/>
      </c>
      <c r="P554" s="238" t="str">
        <f t="shared" si="5"/>
        <v/>
      </c>
      <c r="Q554" s="238" t="str">
        <f t="shared" si="6"/>
        <v/>
      </c>
      <c r="R554" s="238" t="str">
        <f t="shared" si="7"/>
        <v/>
      </c>
      <c r="S554" s="238" t="str">
        <f t="shared" si="8"/>
        <v/>
      </c>
      <c r="T554" s="238"/>
      <c r="U554" s="237"/>
      <c r="V554" s="238"/>
      <c r="W554" s="238" t="str">
        <f t="shared" si="9"/>
        <v/>
      </c>
      <c r="X554" s="237" t="str">
        <f t="shared" ref="X554:Y554" si="546">IF(ISBLANK(H554),,""""&amp;H554&amp;"""")</f>
        <v/>
      </c>
      <c r="Y554" s="237" t="str">
        <f t="shared" si="546"/>
        <v/>
      </c>
      <c r="Z554" s="237" t="str">
        <f>IF(ISBLANK(K554),,Config!$C$3&amp;"&amp;range=BB"&amp;MATCH(K554,FRG!AE:AE,0))</f>
        <v/>
      </c>
      <c r="AB554" s="242" t="str">
        <f>IFERROR(__xludf.DUMMYFUNCTION("IF(ISBLANK(K554),,SUBSTITUTE(IFERROR(JOIN("","",K554:Z554),JOIN("","",K554:Y554)),CHAR(10),""""))"),"")</f>
        <v/>
      </c>
      <c r="AC554" s="229" t="str">
        <f t="shared" si="1"/>
        <v/>
      </c>
    </row>
    <row r="555">
      <c r="K555" s="237"/>
      <c r="L555" s="238" t="str">
        <f t="shared" si="3"/>
        <v/>
      </c>
      <c r="M555" s="237"/>
      <c r="N555" s="238"/>
      <c r="O555" s="238" t="str">
        <f t="shared" si="4"/>
        <v/>
      </c>
      <c r="P555" s="238" t="str">
        <f t="shared" si="5"/>
        <v/>
      </c>
      <c r="Q555" s="238" t="str">
        <f t="shared" si="6"/>
        <v/>
      </c>
      <c r="R555" s="238" t="str">
        <f t="shared" si="7"/>
        <v/>
      </c>
      <c r="S555" s="238" t="str">
        <f t="shared" si="8"/>
        <v/>
      </c>
      <c r="T555" s="238"/>
      <c r="U555" s="237"/>
      <c r="V555" s="238"/>
      <c r="W555" s="238" t="str">
        <f t="shared" si="9"/>
        <v/>
      </c>
      <c r="X555" s="237" t="str">
        <f t="shared" ref="X555:Y555" si="547">IF(ISBLANK(H555),,""""&amp;H555&amp;"""")</f>
        <v/>
      </c>
      <c r="Y555" s="237" t="str">
        <f t="shared" si="547"/>
        <v/>
      </c>
      <c r="Z555" s="237" t="str">
        <f>IF(ISBLANK(K555),,Config!$C$3&amp;"&amp;range=BB"&amp;MATCH(K555,FRG!AE:AE,0))</f>
        <v/>
      </c>
      <c r="AB555" s="242" t="str">
        <f>IFERROR(__xludf.DUMMYFUNCTION("IF(ISBLANK(K555),,SUBSTITUTE(IFERROR(JOIN("","",K555:Z555),JOIN("","",K555:Y555)),CHAR(10),""""))"),"")</f>
        <v/>
      </c>
      <c r="AC555" s="229" t="str">
        <f t="shared" si="1"/>
        <v/>
      </c>
    </row>
    <row r="556">
      <c r="K556" s="237"/>
      <c r="L556" s="238" t="str">
        <f t="shared" si="3"/>
        <v/>
      </c>
      <c r="M556" s="237"/>
      <c r="N556" s="238"/>
      <c r="O556" s="238" t="str">
        <f t="shared" si="4"/>
        <v/>
      </c>
      <c r="P556" s="238" t="str">
        <f t="shared" si="5"/>
        <v/>
      </c>
      <c r="Q556" s="238" t="str">
        <f t="shared" si="6"/>
        <v/>
      </c>
      <c r="R556" s="238" t="str">
        <f t="shared" si="7"/>
        <v/>
      </c>
      <c r="S556" s="238" t="str">
        <f t="shared" si="8"/>
        <v/>
      </c>
      <c r="T556" s="238"/>
      <c r="U556" s="237"/>
      <c r="V556" s="238"/>
      <c r="W556" s="238" t="str">
        <f t="shared" si="9"/>
        <v/>
      </c>
      <c r="X556" s="237" t="str">
        <f t="shared" ref="X556:Y556" si="548">IF(ISBLANK(H556),,""""&amp;H556&amp;"""")</f>
        <v/>
      </c>
      <c r="Y556" s="237" t="str">
        <f t="shared" si="548"/>
        <v/>
      </c>
      <c r="Z556" s="237" t="str">
        <f>IF(ISBLANK(K556),,Config!$C$3&amp;"&amp;range=BB"&amp;MATCH(K556,FRG!AE:AE,0))</f>
        <v/>
      </c>
      <c r="AB556" s="242" t="str">
        <f>IFERROR(__xludf.DUMMYFUNCTION("IF(ISBLANK(K556),,SUBSTITUTE(IFERROR(JOIN("","",K556:Z556),JOIN("","",K556:Y556)),CHAR(10),""""))"),"")</f>
        <v/>
      </c>
      <c r="AC556" s="229" t="str">
        <f t="shared" si="1"/>
        <v/>
      </c>
    </row>
    <row r="557">
      <c r="K557" s="237"/>
      <c r="L557" s="238" t="str">
        <f t="shared" si="3"/>
        <v/>
      </c>
      <c r="M557" s="237"/>
      <c r="N557" s="238"/>
      <c r="O557" s="238" t="str">
        <f t="shared" si="4"/>
        <v/>
      </c>
      <c r="P557" s="238" t="str">
        <f t="shared" si="5"/>
        <v/>
      </c>
      <c r="Q557" s="238" t="str">
        <f t="shared" si="6"/>
        <v/>
      </c>
      <c r="R557" s="238" t="str">
        <f t="shared" si="7"/>
        <v/>
      </c>
      <c r="S557" s="238" t="str">
        <f t="shared" si="8"/>
        <v/>
      </c>
      <c r="T557" s="238"/>
      <c r="U557" s="237"/>
      <c r="V557" s="238"/>
      <c r="W557" s="238" t="str">
        <f t="shared" si="9"/>
        <v/>
      </c>
      <c r="X557" s="237" t="str">
        <f t="shared" ref="X557:Y557" si="549">IF(ISBLANK(H557),,""""&amp;H557&amp;"""")</f>
        <v/>
      </c>
      <c r="Y557" s="237" t="str">
        <f t="shared" si="549"/>
        <v/>
      </c>
      <c r="Z557" s="237" t="str">
        <f>IF(ISBLANK(K557),,Config!$C$3&amp;"&amp;range=BB"&amp;MATCH(K557,FRG!AE:AE,0))</f>
        <v/>
      </c>
      <c r="AB557" s="242" t="str">
        <f>IFERROR(__xludf.DUMMYFUNCTION("IF(ISBLANK(K557),,SUBSTITUTE(IFERROR(JOIN("","",K557:Z557),JOIN("","",K557:Y557)),CHAR(10),""""))"),"")</f>
        <v/>
      </c>
      <c r="AC557" s="229" t="str">
        <f t="shared" si="1"/>
        <v/>
      </c>
    </row>
    <row r="558">
      <c r="K558" s="237"/>
      <c r="L558" s="238" t="str">
        <f t="shared" si="3"/>
        <v/>
      </c>
      <c r="M558" s="237"/>
      <c r="N558" s="238"/>
      <c r="O558" s="238" t="str">
        <f t="shared" si="4"/>
        <v/>
      </c>
      <c r="P558" s="238" t="str">
        <f t="shared" si="5"/>
        <v/>
      </c>
      <c r="Q558" s="238" t="str">
        <f t="shared" si="6"/>
        <v/>
      </c>
      <c r="R558" s="238" t="str">
        <f t="shared" si="7"/>
        <v/>
      </c>
      <c r="S558" s="238" t="str">
        <f t="shared" si="8"/>
        <v/>
      </c>
      <c r="T558" s="238"/>
      <c r="U558" s="237"/>
      <c r="V558" s="238"/>
      <c r="W558" s="238" t="str">
        <f t="shared" si="9"/>
        <v/>
      </c>
      <c r="X558" s="237" t="str">
        <f t="shared" ref="X558:Y558" si="550">IF(ISBLANK(H558),,""""&amp;H558&amp;"""")</f>
        <v/>
      </c>
      <c r="Y558" s="237" t="str">
        <f t="shared" si="550"/>
        <v/>
      </c>
      <c r="Z558" s="237" t="str">
        <f>IF(ISBLANK(K558),,Config!$C$3&amp;"&amp;range=BB"&amp;MATCH(K558,FRG!AE:AE,0))</f>
        <v/>
      </c>
      <c r="AB558" s="242" t="str">
        <f>IFERROR(__xludf.DUMMYFUNCTION("IF(ISBLANK(K558),,SUBSTITUTE(IFERROR(JOIN("","",K558:Z558),JOIN("","",K558:Y558)),CHAR(10),""""))"),"")</f>
        <v/>
      </c>
      <c r="AC558" s="229" t="str">
        <f t="shared" si="1"/>
        <v/>
      </c>
    </row>
    <row r="559">
      <c r="K559" s="237"/>
      <c r="L559" s="238" t="str">
        <f t="shared" si="3"/>
        <v/>
      </c>
      <c r="M559" s="237"/>
      <c r="N559" s="238"/>
      <c r="O559" s="238" t="str">
        <f t="shared" si="4"/>
        <v/>
      </c>
      <c r="P559" s="238" t="str">
        <f t="shared" si="5"/>
        <v/>
      </c>
      <c r="Q559" s="238" t="str">
        <f t="shared" si="6"/>
        <v/>
      </c>
      <c r="R559" s="238" t="str">
        <f t="shared" si="7"/>
        <v/>
      </c>
      <c r="S559" s="238" t="str">
        <f t="shared" si="8"/>
        <v/>
      </c>
      <c r="T559" s="238"/>
      <c r="U559" s="237"/>
      <c r="V559" s="238"/>
      <c r="W559" s="238" t="str">
        <f t="shared" si="9"/>
        <v/>
      </c>
      <c r="X559" s="237" t="str">
        <f t="shared" ref="X559:Y559" si="551">IF(ISBLANK(H559),,""""&amp;H559&amp;"""")</f>
        <v/>
      </c>
      <c r="Y559" s="237" t="str">
        <f t="shared" si="551"/>
        <v/>
      </c>
      <c r="Z559" s="237" t="str">
        <f>IF(ISBLANK(K559),,Config!$C$3&amp;"&amp;range=BB"&amp;MATCH(K559,FRG!AE:AE,0))</f>
        <v/>
      </c>
      <c r="AB559" s="242" t="str">
        <f>IFERROR(__xludf.DUMMYFUNCTION("IF(ISBLANK(K559),,SUBSTITUTE(IFERROR(JOIN("","",K559:Z559),JOIN("","",K559:Y559)),CHAR(10),""""))"),"")</f>
        <v/>
      </c>
      <c r="AC559" s="229" t="str">
        <f t="shared" si="1"/>
        <v/>
      </c>
    </row>
    <row r="560">
      <c r="K560" s="237"/>
      <c r="L560" s="238" t="str">
        <f t="shared" si="3"/>
        <v/>
      </c>
      <c r="M560" s="237"/>
      <c r="N560" s="238"/>
      <c r="O560" s="238" t="str">
        <f t="shared" si="4"/>
        <v/>
      </c>
      <c r="P560" s="238" t="str">
        <f t="shared" si="5"/>
        <v/>
      </c>
      <c r="Q560" s="238" t="str">
        <f t="shared" si="6"/>
        <v/>
      </c>
      <c r="R560" s="238" t="str">
        <f t="shared" si="7"/>
        <v/>
      </c>
      <c r="S560" s="238" t="str">
        <f t="shared" si="8"/>
        <v/>
      </c>
      <c r="T560" s="238"/>
      <c r="U560" s="237"/>
      <c r="V560" s="238"/>
      <c r="W560" s="238" t="str">
        <f t="shared" si="9"/>
        <v/>
      </c>
      <c r="X560" s="237" t="str">
        <f t="shared" ref="X560:Y560" si="552">IF(ISBLANK(H560),,""""&amp;H560&amp;"""")</f>
        <v/>
      </c>
      <c r="Y560" s="237" t="str">
        <f t="shared" si="552"/>
        <v/>
      </c>
      <c r="Z560" s="237" t="str">
        <f>IF(ISBLANK(K560),,Config!$C$3&amp;"&amp;range=BB"&amp;MATCH(K560,FRG!AE:AE,0))</f>
        <v/>
      </c>
      <c r="AB560" s="242" t="str">
        <f>IFERROR(__xludf.DUMMYFUNCTION("IF(ISBLANK(K560),,SUBSTITUTE(IFERROR(JOIN("","",K560:Z560),JOIN("","",K560:Y560)),CHAR(10),""""))"),"")</f>
        <v/>
      </c>
      <c r="AC560" s="229" t="str">
        <f t="shared" si="1"/>
        <v/>
      </c>
    </row>
    <row r="561">
      <c r="K561" s="237"/>
      <c r="L561" s="238" t="str">
        <f t="shared" si="3"/>
        <v/>
      </c>
      <c r="M561" s="237"/>
      <c r="N561" s="238"/>
      <c r="O561" s="238" t="str">
        <f t="shared" si="4"/>
        <v/>
      </c>
      <c r="P561" s="238" t="str">
        <f t="shared" si="5"/>
        <v/>
      </c>
      <c r="Q561" s="238" t="str">
        <f t="shared" si="6"/>
        <v/>
      </c>
      <c r="R561" s="238" t="str">
        <f t="shared" si="7"/>
        <v/>
      </c>
      <c r="S561" s="238" t="str">
        <f t="shared" si="8"/>
        <v/>
      </c>
      <c r="T561" s="238"/>
      <c r="U561" s="237"/>
      <c r="V561" s="238"/>
      <c r="W561" s="238" t="str">
        <f t="shared" si="9"/>
        <v/>
      </c>
      <c r="X561" s="237" t="str">
        <f t="shared" ref="X561:Y561" si="553">IF(ISBLANK(H561),,""""&amp;H561&amp;"""")</f>
        <v/>
      </c>
      <c r="Y561" s="237" t="str">
        <f t="shared" si="553"/>
        <v/>
      </c>
      <c r="Z561" s="237" t="str">
        <f>IF(ISBLANK(K561),,Config!$C$3&amp;"&amp;range=BB"&amp;MATCH(K561,FRG!AE:AE,0))</f>
        <v/>
      </c>
      <c r="AB561" s="242" t="str">
        <f>IFERROR(__xludf.DUMMYFUNCTION("IF(ISBLANK(K561),,SUBSTITUTE(IFERROR(JOIN("","",K561:Z561),JOIN("","",K561:Y561)),CHAR(10),""""))"),"")</f>
        <v/>
      </c>
      <c r="AC561" s="229" t="str">
        <f t="shared" si="1"/>
        <v/>
      </c>
    </row>
    <row r="562">
      <c r="K562" s="237"/>
      <c r="L562" s="238" t="str">
        <f t="shared" si="3"/>
        <v/>
      </c>
      <c r="M562" s="237"/>
      <c r="N562" s="238"/>
      <c r="O562" s="238" t="str">
        <f t="shared" si="4"/>
        <v/>
      </c>
      <c r="P562" s="238" t="str">
        <f t="shared" si="5"/>
        <v/>
      </c>
      <c r="Q562" s="238" t="str">
        <f t="shared" si="6"/>
        <v/>
      </c>
      <c r="R562" s="238" t="str">
        <f t="shared" si="7"/>
        <v/>
      </c>
      <c r="S562" s="238" t="str">
        <f t="shared" si="8"/>
        <v/>
      </c>
      <c r="T562" s="238"/>
      <c r="U562" s="237"/>
      <c r="V562" s="238"/>
      <c r="W562" s="238" t="str">
        <f t="shared" si="9"/>
        <v/>
      </c>
      <c r="X562" s="237" t="str">
        <f t="shared" ref="X562:Y562" si="554">IF(ISBLANK(H562),,""""&amp;H562&amp;"""")</f>
        <v/>
      </c>
      <c r="Y562" s="237" t="str">
        <f t="shared" si="554"/>
        <v/>
      </c>
      <c r="Z562" s="237" t="str">
        <f>IF(ISBLANK(K562),,Config!$C$3&amp;"&amp;range=BB"&amp;MATCH(K562,FRG!AE:AE,0))</f>
        <v/>
      </c>
      <c r="AB562" s="242" t="str">
        <f>IFERROR(__xludf.DUMMYFUNCTION("IF(ISBLANK(K562),,SUBSTITUTE(IFERROR(JOIN("","",K562:Z562),JOIN("","",K562:Y562)),CHAR(10),""""))"),"")</f>
        <v/>
      </c>
      <c r="AC562" s="229" t="str">
        <f t="shared" si="1"/>
        <v/>
      </c>
    </row>
    <row r="563">
      <c r="K563" s="237"/>
      <c r="L563" s="238" t="str">
        <f t="shared" si="3"/>
        <v/>
      </c>
      <c r="M563" s="237"/>
      <c r="N563" s="238"/>
      <c r="O563" s="238" t="str">
        <f t="shared" si="4"/>
        <v/>
      </c>
      <c r="P563" s="238" t="str">
        <f t="shared" si="5"/>
        <v/>
      </c>
      <c r="Q563" s="238" t="str">
        <f t="shared" si="6"/>
        <v/>
      </c>
      <c r="R563" s="238" t="str">
        <f t="shared" si="7"/>
        <v/>
      </c>
      <c r="S563" s="238" t="str">
        <f t="shared" si="8"/>
        <v/>
      </c>
      <c r="T563" s="238"/>
      <c r="U563" s="237"/>
      <c r="V563" s="238"/>
      <c r="W563" s="238" t="str">
        <f t="shared" si="9"/>
        <v/>
      </c>
      <c r="X563" s="237" t="str">
        <f t="shared" ref="X563:Y563" si="555">IF(ISBLANK(H563),,""""&amp;H563&amp;"""")</f>
        <v/>
      </c>
      <c r="Y563" s="237" t="str">
        <f t="shared" si="555"/>
        <v/>
      </c>
      <c r="Z563" s="237" t="str">
        <f>IF(ISBLANK(K563),,Config!$C$3&amp;"&amp;range=BB"&amp;MATCH(K563,FRG!AE:AE,0))</f>
        <v/>
      </c>
      <c r="AB563" s="242" t="str">
        <f>IFERROR(__xludf.DUMMYFUNCTION("IF(ISBLANK(K563),,SUBSTITUTE(IFERROR(JOIN("","",K563:Z563),JOIN("","",K563:Y563)),CHAR(10),""""))"),"")</f>
        <v/>
      </c>
      <c r="AC563" s="229" t="str">
        <f t="shared" si="1"/>
        <v/>
      </c>
    </row>
    <row r="564">
      <c r="K564" s="237"/>
      <c r="L564" s="238" t="str">
        <f t="shared" si="3"/>
        <v/>
      </c>
      <c r="M564" s="237"/>
      <c r="N564" s="238"/>
      <c r="O564" s="238" t="str">
        <f t="shared" si="4"/>
        <v/>
      </c>
      <c r="P564" s="238" t="str">
        <f t="shared" si="5"/>
        <v/>
      </c>
      <c r="Q564" s="238" t="str">
        <f t="shared" si="6"/>
        <v/>
      </c>
      <c r="R564" s="238" t="str">
        <f t="shared" si="7"/>
        <v/>
      </c>
      <c r="S564" s="238" t="str">
        <f t="shared" si="8"/>
        <v/>
      </c>
      <c r="T564" s="238"/>
      <c r="U564" s="237"/>
      <c r="V564" s="238"/>
      <c r="W564" s="238" t="str">
        <f t="shared" si="9"/>
        <v/>
      </c>
      <c r="X564" s="237" t="str">
        <f t="shared" ref="X564:Y564" si="556">IF(ISBLANK(H564),,""""&amp;H564&amp;"""")</f>
        <v/>
      </c>
      <c r="Y564" s="237" t="str">
        <f t="shared" si="556"/>
        <v/>
      </c>
      <c r="Z564" s="237" t="str">
        <f>IF(ISBLANK(K564),,Config!$C$3&amp;"&amp;range=BB"&amp;MATCH(K564,FRG!AE:AE,0))</f>
        <v/>
      </c>
      <c r="AB564" s="242" t="str">
        <f>IFERROR(__xludf.DUMMYFUNCTION("IF(ISBLANK(K564),,SUBSTITUTE(IFERROR(JOIN("","",K564:Z564),JOIN("","",K564:Y564)),CHAR(10),""""))"),"")</f>
        <v/>
      </c>
      <c r="AC564" s="229" t="str">
        <f t="shared" si="1"/>
        <v/>
      </c>
    </row>
    <row r="565">
      <c r="K565" s="237"/>
      <c r="L565" s="238" t="str">
        <f t="shared" si="3"/>
        <v/>
      </c>
      <c r="M565" s="237"/>
      <c r="N565" s="238"/>
      <c r="O565" s="238" t="str">
        <f t="shared" si="4"/>
        <v/>
      </c>
      <c r="P565" s="238" t="str">
        <f t="shared" si="5"/>
        <v/>
      </c>
      <c r="Q565" s="238" t="str">
        <f t="shared" si="6"/>
        <v/>
      </c>
      <c r="R565" s="238" t="str">
        <f t="shared" si="7"/>
        <v/>
      </c>
      <c r="S565" s="238" t="str">
        <f t="shared" si="8"/>
        <v/>
      </c>
      <c r="T565" s="238"/>
      <c r="U565" s="237"/>
      <c r="V565" s="238"/>
      <c r="W565" s="238" t="str">
        <f t="shared" si="9"/>
        <v/>
      </c>
      <c r="X565" s="237" t="str">
        <f t="shared" ref="X565:Y565" si="557">IF(ISBLANK(H565),,""""&amp;H565&amp;"""")</f>
        <v/>
      </c>
      <c r="Y565" s="237" t="str">
        <f t="shared" si="557"/>
        <v/>
      </c>
      <c r="Z565" s="237" t="str">
        <f>IF(ISBLANK(K565),,Config!$C$3&amp;"&amp;range=BB"&amp;MATCH(K565,FRG!AE:AE,0))</f>
        <v/>
      </c>
      <c r="AB565" s="242" t="str">
        <f>IFERROR(__xludf.DUMMYFUNCTION("IF(ISBLANK(K565),,SUBSTITUTE(IFERROR(JOIN("","",K565:Z565),JOIN("","",K565:Y565)),CHAR(10),""""))"),"")</f>
        <v/>
      </c>
      <c r="AC565" s="229" t="str">
        <f t="shared" si="1"/>
        <v/>
      </c>
    </row>
    <row r="566">
      <c r="K566" s="237"/>
      <c r="L566" s="238" t="str">
        <f t="shared" si="3"/>
        <v/>
      </c>
      <c r="M566" s="237"/>
      <c r="N566" s="238"/>
      <c r="O566" s="238" t="str">
        <f t="shared" si="4"/>
        <v/>
      </c>
      <c r="P566" s="238" t="str">
        <f t="shared" si="5"/>
        <v/>
      </c>
      <c r="Q566" s="238" t="str">
        <f t="shared" si="6"/>
        <v/>
      </c>
      <c r="R566" s="238" t="str">
        <f t="shared" si="7"/>
        <v/>
      </c>
      <c r="S566" s="238" t="str">
        <f t="shared" si="8"/>
        <v/>
      </c>
      <c r="T566" s="238"/>
      <c r="U566" s="237"/>
      <c r="V566" s="238"/>
      <c r="W566" s="238" t="str">
        <f t="shared" si="9"/>
        <v/>
      </c>
      <c r="X566" s="237" t="str">
        <f t="shared" ref="X566:Y566" si="558">IF(ISBLANK(H566),,""""&amp;H566&amp;"""")</f>
        <v/>
      </c>
      <c r="Y566" s="237" t="str">
        <f t="shared" si="558"/>
        <v/>
      </c>
      <c r="Z566" s="237" t="str">
        <f>IF(ISBLANK(K566),,Config!$C$3&amp;"&amp;range=BB"&amp;MATCH(K566,FRG!AE:AE,0))</f>
        <v/>
      </c>
      <c r="AB566" s="242" t="str">
        <f>IFERROR(__xludf.DUMMYFUNCTION("IF(ISBLANK(K566),,SUBSTITUTE(IFERROR(JOIN("","",K566:Z566),JOIN("","",K566:Y566)),CHAR(10),""""))"),"")</f>
        <v/>
      </c>
      <c r="AC566" s="229" t="str">
        <f t="shared" si="1"/>
        <v/>
      </c>
    </row>
    <row r="567">
      <c r="K567" s="237"/>
      <c r="L567" s="238" t="str">
        <f t="shared" si="3"/>
        <v/>
      </c>
      <c r="M567" s="237"/>
      <c r="N567" s="238"/>
      <c r="O567" s="238" t="str">
        <f t="shared" si="4"/>
        <v/>
      </c>
      <c r="P567" s="238" t="str">
        <f t="shared" si="5"/>
        <v/>
      </c>
      <c r="Q567" s="238" t="str">
        <f t="shared" si="6"/>
        <v/>
      </c>
      <c r="R567" s="238" t="str">
        <f t="shared" si="7"/>
        <v/>
      </c>
      <c r="S567" s="238" t="str">
        <f t="shared" si="8"/>
        <v/>
      </c>
      <c r="T567" s="238"/>
      <c r="U567" s="237"/>
      <c r="V567" s="238"/>
      <c r="W567" s="238" t="str">
        <f t="shared" si="9"/>
        <v/>
      </c>
      <c r="X567" s="237" t="str">
        <f t="shared" ref="X567:Y567" si="559">IF(ISBLANK(H567),,""""&amp;H567&amp;"""")</f>
        <v/>
      </c>
      <c r="Y567" s="237" t="str">
        <f t="shared" si="559"/>
        <v/>
      </c>
      <c r="Z567" s="237" t="str">
        <f>IF(ISBLANK(K567),,Config!$C$3&amp;"&amp;range=BB"&amp;MATCH(K567,FRG!AE:AE,0))</f>
        <v/>
      </c>
      <c r="AB567" s="242" t="str">
        <f>IFERROR(__xludf.DUMMYFUNCTION("IF(ISBLANK(K567),,SUBSTITUTE(IFERROR(JOIN("","",K567:Z567),JOIN("","",K567:Y567)),CHAR(10),""""))"),"")</f>
        <v/>
      </c>
      <c r="AC567" s="229" t="str">
        <f t="shared" si="1"/>
        <v/>
      </c>
    </row>
    <row r="568">
      <c r="K568" s="237"/>
      <c r="L568" s="238" t="str">
        <f t="shared" si="3"/>
        <v/>
      </c>
      <c r="M568" s="237"/>
      <c r="N568" s="238"/>
      <c r="O568" s="238" t="str">
        <f t="shared" si="4"/>
        <v/>
      </c>
      <c r="P568" s="238" t="str">
        <f t="shared" si="5"/>
        <v/>
      </c>
      <c r="Q568" s="238" t="str">
        <f t="shared" si="6"/>
        <v/>
      </c>
      <c r="R568" s="238" t="str">
        <f t="shared" si="7"/>
        <v/>
      </c>
      <c r="S568" s="238" t="str">
        <f t="shared" si="8"/>
        <v/>
      </c>
      <c r="T568" s="238"/>
      <c r="U568" s="237"/>
      <c r="V568" s="238"/>
      <c r="W568" s="238" t="str">
        <f t="shared" si="9"/>
        <v/>
      </c>
      <c r="X568" s="237" t="str">
        <f t="shared" ref="X568:Y568" si="560">IF(ISBLANK(H568),,""""&amp;H568&amp;"""")</f>
        <v/>
      </c>
      <c r="Y568" s="237" t="str">
        <f t="shared" si="560"/>
        <v/>
      </c>
      <c r="Z568" s="237" t="str">
        <f>IF(ISBLANK(K568),,Config!$C$3&amp;"&amp;range=BB"&amp;MATCH(K568,FRG!AE:AE,0))</f>
        <v/>
      </c>
      <c r="AB568" s="242" t="str">
        <f>IFERROR(__xludf.DUMMYFUNCTION("IF(ISBLANK(K568),,SUBSTITUTE(IFERROR(JOIN("","",K568:Z568),JOIN("","",K568:Y568)),CHAR(10),""""))"),"")</f>
        <v/>
      </c>
      <c r="AC568" s="229" t="str">
        <f t="shared" si="1"/>
        <v/>
      </c>
    </row>
    <row r="569">
      <c r="K569" s="237"/>
      <c r="L569" s="238" t="str">
        <f t="shared" si="3"/>
        <v/>
      </c>
      <c r="M569" s="237"/>
      <c r="N569" s="238"/>
      <c r="O569" s="238" t="str">
        <f t="shared" si="4"/>
        <v/>
      </c>
      <c r="P569" s="238" t="str">
        <f t="shared" si="5"/>
        <v/>
      </c>
      <c r="Q569" s="238" t="str">
        <f t="shared" si="6"/>
        <v/>
      </c>
      <c r="R569" s="238" t="str">
        <f t="shared" si="7"/>
        <v/>
      </c>
      <c r="S569" s="238" t="str">
        <f t="shared" si="8"/>
        <v/>
      </c>
      <c r="T569" s="238"/>
      <c r="U569" s="237"/>
      <c r="V569" s="238"/>
      <c r="W569" s="238" t="str">
        <f t="shared" si="9"/>
        <v/>
      </c>
      <c r="X569" s="237" t="str">
        <f t="shared" ref="X569:Y569" si="561">IF(ISBLANK(H569),,""""&amp;H569&amp;"""")</f>
        <v/>
      </c>
      <c r="Y569" s="237" t="str">
        <f t="shared" si="561"/>
        <v/>
      </c>
      <c r="Z569" s="237" t="str">
        <f>IF(ISBLANK(K569),,Config!$C$3&amp;"&amp;range=BB"&amp;MATCH(K569,FRG!AE:AE,0))</f>
        <v/>
      </c>
      <c r="AB569" s="242" t="str">
        <f>IFERROR(__xludf.DUMMYFUNCTION("IF(ISBLANK(K569),,SUBSTITUTE(IFERROR(JOIN("","",K569:Z569),JOIN("","",K569:Y569)),CHAR(10),""""))"),"")</f>
        <v/>
      </c>
      <c r="AC569" s="229" t="str">
        <f t="shared" si="1"/>
        <v/>
      </c>
    </row>
    <row r="570">
      <c r="K570" s="237"/>
      <c r="L570" s="238" t="str">
        <f t="shared" si="3"/>
        <v/>
      </c>
      <c r="M570" s="237"/>
      <c r="N570" s="238"/>
      <c r="O570" s="238" t="str">
        <f t="shared" si="4"/>
        <v/>
      </c>
      <c r="P570" s="238" t="str">
        <f t="shared" si="5"/>
        <v/>
      </c>
      <c r="Q570" s="238" t="str">
        <f t="shared" si="6"/>
        <v/>
      </c>
      <c r="R570" s="238" t="str">
        <f t="shared" si="7"/>
        <v/>
      </c>
      <c r="S570" s="238" t="str">
        <f t="shared" si="8"/>
        <v/>
      </c>
      <c r="T570" s="238"/>
      <c r="U570" s="237"/>
      <c r="V570" s="238"/>
      <c r="W570" s="238" t="str">
        <f t="shared" si="9"/>
        <v/>
      </c>
      <c r="X570" s="237" t="str">
        <f t="shared" ref="X570:Y570" si="562">IF(ISBLANK(H570),,""""&amp;H570&amp;"""")</f>
        <v/>
      </c>
      <c r="Y570" s="237" t="str">
        <f t="shared" si="562"/>
        <v/>
      </c>
      <c r="Z570" s="237" t="str">
        <f>IF(ISBLANK(K570),,Config!$C$3&amp;"&amp;range=BB"&amp;MATCH(K570,FRG!AE:AE,0))</f>
        <v/>
      </c>
      <c r="AB570" s="242" t="str">
        <f>IFERROR(__xludf.DUMMYFUNCTION("IF(ISBLANK(K570),,SUBSTITUTE(IFERROR(JOIN("","",K570:Z570),JOIN("","",K570:Y570)),CHAR(10),""""))"),"")</f>
        <v/>
      </c>
      <c r="AC570" s="229" t="str">
        <f t="shared" si="1"/>
        <v/>
      </c>
    </row>
    <row r="571">
      <c r="K571" s="237"/>
      <c r="L571" s="238" t="str">
        <f t="shared" si="3"/>
        <v/>
      </c>
      <c r="M571" s="237"/>
      <c r="N571" s="238"/>
      <c r="O571" s="238" t="str">
        <f t="shared" si="4"/>
        <v/>
      </c>
      <c r="P571" s="238" t="str">
        <f t="shared" si="5"/>
        <v/>
      </c>
      <c r="Q571" s="238" t="str">
        <f t="shared" si="6"/>
        <v/>
      </c>
      <c r="R571" s="238" t="str">
        <f t="shared" si="7"/>
        <v/>
      </c>
      <c r="S571" s="238" t="str">
        <f t="shared" si="8"/>
        <v/>
      </c>
      <c r="T571" s="238"/>
      <c r="U571" s="237"/>
      <c r="V571" s="238"/>
      <c r="W571" s="238" t="str">
        <f t="shared" si="9"/>
        <v/>
      </c>
      <c r="X571" s="237" t="str">
        <f t="shared" ref="X571:Y571" si="563">IF(ISBLANK(H571),,""""&amp;H571&amp;"""")</f>
        <v/>
      </c>
      <c r="Y571" s="237" t="str">
        <f t="shared" si="563"/>
        <v/>
      </c>
      <c r="Z571" s="237" t="str">
        <f>IF(ISBLANK(K571),,Config!$C$3&amp;"&amp;range=BB"&amp;MATCH(K571,FRG!AE:AE,0))</f>
        <v/>
      </c>
      <c r="AB571" s="242" t="str">
        <f>IFERROR(__xludf.DUMMYFUNCTION("IF(ISBLANK(K571),,SUBSTITUTE(IFERROR(JOIN("","",K571:Z571),JOIN("","",K571:Y571)),CHAR(10),""""))"),"")</f>
        <v/>
      </c>
      <c r="AC571" s="229" t="str">
        <f t="shared" si="1"/>
        <v/>
      </c>
    </row>
    <row r="572">
      <c r="K572" s="237"/>
      <c r="L572" s="238" t="str">
        <f t="shared" si="3"/>
        <v/>
      </c>
      <c r="M572" s="237"/>
      <c r="N572" s="238"/>
      <c r="O572" s="238" t="str">
        <f t="shared" si="4"/>
        <v/>
      </c>
      <c r="P572" s="238" t="str">
        <f t="shared" si="5"/>
        <v/>
      </c>
      <c r="Q572" s="238" t="str">
        <f t="shared" si="6"/>
        <v/>
      </c>
      <c r="R572" s="238" t="str">
        <f t="shared" si="7"/>
        <v/>
      </c>
      <c r="S572" s="238" t="str">
        <f t="shared" si="8"/>
        <v/>
      </c>
      <c r="T572" s="238"/>
      <c r="U572" s="237"/>
      <c r="V572" s="238"/>
      <c r="W572" s="238" t="str">
        <f t="shared" si="9"/>
        <v/>
      </c>
      <c r="X572" s="237" t="str">
        <f t="shared" ref="X572:Y572" si="564">IF(ISBLANK(H572),,""""&amp;H572&amp;"""")</f>
        <v/>
      </c>
      <c r="Y572" s="237" t="str">
        <f t="shared" si="564"/>
        <v/>
      </c>
      <c r="Z572" s="237" t="str">
        <f>IF(ISBLANK(K572),,Config!$C$3&amp;"&amp;range=BB"&amp;MATCH(K572,FRG!AE:AE,0))</f>
        <v/>
      </c>
      <c r="AB572" s="242" t="str">
        <f>IFERROR(__xludf.DUMMYFUNCTION("IF(ISBLANK(K572),,SUBSTITUTE(IFERROR(JOIN("","",K572:Z572),JOIN("","",K572:Y572)),CHAR(10),""""))"),"")</f>
        <v/>
      </c>
      <c r="AC572" s="229" t="str">
        <f t="shared" si="1"/>
        <v/>
      </c>
    </row>
    <row r="573">
      <c r="K573" s="237"/>
      <c r="L573" s="238" t="str">
        <f t="shared" si="3"/>
        <v/>
      </c>
      <c r="M573" s="237"/>
      <c r="N573" s="238"/>
      <c r="O573" s="238" t="str">
        <f t="shared" si="4"/>
        <v/>
      </c>
      <c r="P573" s="238" t="str">
        <f t="shared" si="5"/>
        <v/>
      </c>
      <c r="Q573" s="238" t="str">
        <f t="shared" si="6"/>
        <v/>
      </c>
      <c r="R573" s="238" t="str">
        <f t="shared" si="7"/>
        <v/>
      </c>
      <c r="S573" s="238" t="str">
        <f t="shared" si="8"/>
        <v/>
      </c>
      <c r="T573" s="238"/>
      <c r="U573" s="237"/>
      <c r="V573" s="238"/>
      <c r="W573" s="238" t="str">
        <f t="shared" si="9"/>
        <v/>
      </c>
      <c r="X573" s="237" t="str">
        <f t="shared" ref="X573:Y573" si="565">IF(ISBLANK(H573),,""""&amp;H573&amp;"""")</f>
        <v/>
      </c>
      <c r="Y573" s="237" t="str">
        <f t="shared" si="565"/>
        <v/>
      </c>
      <c r="Z573" s="237" t="str">
        <f>IF(ISBLANK(K573),,Config!$C$3&amp;"&amp;range=BB"&amp;MATCH(K573,FRG!AE:AE,0))</f>
        <v/>
      </c>
      <c r="AB573" s="242" t="str">
        <f>IFERROR(__xludf.DUMMYFUNCTION("IF(ISBLANK(K573),,SUBSTITUTE(IFERROR(JOIN("","",K573:Z573),JOIN("","",K573:Y573)),CHAR(10),""""))"),"")</f>
        <v/>
      </c>
      <c r="AC573" s="229" t="str">
        <f t="shared" si="1"/>
        <v/>
      </c>
    </row>
    <row r="574">
      <c r="K574" s="237"/>
      <c r="L574" s="238" t="str">
        <f t="shared" si="3"/>
        <v/>
      </c>
      <c r="M574" s="237"/>
      <c r="N574" s="238"/>
      <c r="O574" s="238" t="str">
        <f t="shared" si="4"/>
        <v/>
      </c>
      <c r="P574" s="238" t="str">
        <f t="shared" si="5"/>
        <v/>
      </c>
      <c r="Q574" s="238" t="str">
        <f t="shared" si="6"/>
        <v/>
      </c>
      <c r="R574" s="238" t="str">
        <f t="shared" si="7"/>
        <v/>
      </c>
      <c r="S574" s="238" t="str">
        <f t="shared" si="8"/>
        <v/>
      </c>
      <c r="T574" s="238"/>
      <c r="U574" s="237"/>
      <c r="V574" s="238"/>
      <c r="W574" s="238" t="str">
        <f t="shared" si="9"/>
        <v/>
      </c>
      <c r="X574" s="237" t="str">
        <f t="shared" ref="X574:Y574" si="566">IF(ISBLANK(H574),,""""&amp;H574&amp;"""")</f>
        <v/>
      </c>
      <c r="Y574" s="237" t="str">
        <f t="shared" si="566"/>
        <v/>
      </c>
      <c r="Z574" s="237" t="str">
        <f>IF(ISBLANK(K574),,Config!$C$3&amp;"&amp;range=BB"&amp;MATCH(K574,FRG!AE:AE,0))</f>
        <v/>
      </c>
      <c r="AB574" s="242" t="str">
        <f>IFERROR(__xludf.DUMMYFUNCTION("IF(ISBLANK(K574),,SUBSTITUTE(IFERROR(JOIN("","",K574:Z574),JOIN("","",K574:Y574)),CHAR(10),""""))"),"")</f>
        <v/>
      </c>
      <c r="AC574" s="229" t="str">
        <f t="shared" si="1"/>
        <v/>
      </c>
    </row>
    <row r="575">
      <c r="K575" s="237"/>
      <c r="L575" s="238" t="str">
        <f t="shared" si="3"/>
        <v/>
      </c>
      <c r="M575" s="237"/>
      <c r="N575" s="238"/>
      <c r="O575" s="238" t="str">
        <f t="shared" si="4"/>
        <v/>
      </c>
      <c r="P575" s="238" t="str">
        <f t="shared" si="5"/>
        <v/>
      </c>
      <c r="Q575" s="238" t="str">
        <f t="shared" si="6"/>
        <v/>
      </c>
      <c r="R575" s="238" t="str">
        <f t="shared" si="7"/>
        <v/>
      </c>
      <c r="S575" s="238" t="str">
        <f t="shared" si="8"/>
        <v/>
      </c>
      <c r="T575" s="238"/>
      <c r="U575" s="237"/>
      <c r="V575" s="238"/>
      <c r="W575" s="238" t="str">
        <f t="shared" si="9"/>
        <v/>
      </c>
      <c r="X575" s="237" t="str">
        <f t="shared" ref="X575:Y575" si="567">IF(ISBLANK(H575),,""""&amp;H575&amp;"""")</f>
        <v/>
      </c>
      <c r="Y575" s="237" t="str">
        <f t="shared" si="567"/>
        <v/>
      </c>
      <c r="Z575" s="237" t="str">
        <f>IF(ISBLANK(K575),,Config!$C$3&amp;"&amp;range=BB"&amp;MATCH(K575,FRG!AE:AE,0))</f>
        <v/>
      </c>
      <c r="AB575" s="242" t="str">
        <f>IFERROR(__xludf.DUMMYFUNCTION("IF(ISBLANK(K575),,SUBSTITUTE(IFERROR(JOIN("","",K575:Z575),JOIN("","",K575:Y575)),CHAR(10),""""))"),"")</f>
        <v/>
      </c>
      <c r="AC575" s="229" t="str">
        <f t="shared" si="1"/>
        <v/>
      </c>
    </row>
    <row r="576">
      <c r="K576" s="237"/>
      <c r="L576" s="238" t="str">
        <f t="shared" si="3"/>
        <v/>
      </c>
      <c r="M576" s="237"/>
      <c r="N576" s="238"/>
      <c r="O576" s="238" t="str">
        <f t="shared" si="4"/>
        <v/>
      </c>
      <c r="P576" s="238" t="str">
        <f t="shared" si="5"/>
        <v/>
      </c>
      <c r="Q576" s="238" t="str">
        <f t="shared" si="6"/>
        <v/>
      </c>
      <c r="R576" s="238" t="str">
        <f t="shared" si="7"/>
        <v/>
      </c>
      <c r="S576" s="238" t="str">
        <f t="shared" si="8"/>
        <v/>
      </c>
      <c r="T576" s="238"/>
      <c r="U576" s="237"/>
      <c r="V576" s="238"/>
      <c r="W576" s="238" t="str">
        <f t="shared" si="9"/>
        <v/>
      </c>
      <c r="X576" s="237" t="str">
        <f t="shared" ref="X576:Y576" si="568">IF(ISBLANK(H576),,""""&amp;H576&amp;"""")</f>
        <v/>
      </c>
      <c r="Y576" s="237" t="str">
        <f t="shared" si="568"/>
        <v/>
      </c>
      <c r="Z576" s="237" t="str">
        <f>IF(ISBLANK(K576),,Config!$C$3&amp;"&amp;range=BB"&amp;MATCH(K576,FRG!AE:AE,0))</f>
        <v/>
      </c>
      <c r="AB576" s="242" t="str">
        <f>IFERROR(__xludf.DUMMYFUNCTION("IF(ISBLANK(K576),,SUBSTITUTE(IFERROR(JOIN("","",K576:Z576),JOIN("","",K576:Y576)),CHAR(10),""""))"),"")</f>
        <v/>
      </c>
      <c r="AC576" s="229" t="str">
        <f t="shared" si="1"/>
        <v/>
      </c>
    </row>
    <row r="577">
      <c r="K577" s="237"/>
      <c r="L577" s="238" t="str">
        <f t="shared" si="3"/>
        <v/>
      </c>
      <c r="M577" s="237"/>
      <c r="N577" s="238"/>
      <c r="O577" s="238" t="str">
        <f t="shared" si="4"/>
        <v/>
      </c>
      <c r="P577" s="238" t="str">
        <f t="shared" si="5"/>
        <v/>
      </c>
      <c r="Q577" s="238" t="str">
        <f t="shared" si="6"/>
        <v/>
      </c>
      <c r="R577" s="238" t="str">
        <f t="shared" si="7"/>
        <v/>
      </c>
      <c r="S577" s="238" t="str">
        <f t="shared" si="8"/>
        <v/>
      </c>
      <c r="T577" s="238"/>
      <c r="U577" s="237"/>
      <c r="V577" s="238"/>
      <c r="W577" s="238" t="str">
        <f t="shared" si="9"/>
        <v/>
      </c>
      <c r="X577" s="237" t="str">
        <f t="shared" ref="X577:Y577" si="569">IF(ISBLANK(H577),,""""&amp;H577&amp;"""")</f>
        <v/>
      </c>
      <c r="Y577" s="237" t="str">
        <f t="shared" si="569"/>
        <v/>
      </c>
      <c r="Z577" s="237" t="str">
        <f>IF(ISBLANK(K577),,Config!$C$3&amp;"&amp;range=BB"&amp;MATCH(K577,FRG!AE:AE,0))</f>
        <v/>
      </c>
      <c r="AB577" s="242" t="str">
        <f>IFERROR(__xludf.DUMMYFUNCTION("IF(ISBLANK(K577),,SUBSTITUTE(IFERROR(JOIN("","",K577:Z577),JOIN("","",K577:Y577)),CHAR(10),""""))"),"")</f>
        <v/>
      </c>
      <c r="AC577" s="229" t="str">
        <f t="shared" si="1"/>
        <v/>
      </c>
    </row>
    <row r="578">
      <c r="K578" s="237"/>
      <c r="L578" s="238" t="str">
        <f t="shared" si="3"/>
        <v/>
      </c>
      <c r="M578" s="237"/>
      <c r="N578" s="238"/>
      <c r="O578" s="238" t="str">
        <f t="shared" si="4"/>
        <v/>
      </c>
      <c r="P578" s="238" t="str">
        <f t="shared" si="5"/>
        <v/>
      </c>
      <c r="Q578" s="238" t="str">
        <f t="shared" si="6"/>
        <v/>
      </c>
      <c r="R578" s="238" t="str">
        <f t="shared" si="7"/>
        <v/>
      </c>
      <c r="S578" s="238" t="str">
        <f t="shared" si="8"/>
        <v/>
      </c>
      <c r="T578" s="238"/>
      <c r="U578" s="237"/>
      <c r="V578" s="238"/>
      <c r="W578" s="238" t="str">
        <f t="shared" si="9"/>
        <v/>
      </c>
      <c r="X578" s="237" t="str">
        <f t="shared" ref="X578:Y578" si="570">IF(ISBLANK(H578),,""""&amp;H578&amp;"""")</f>
        <v/>
      </c>
      <c r="Y578" s="237" t="str">
        <f t="shared" si="570"/>
        <v/>
      </c>
      <c r="Z578" s="237" t="str">
        <f>IF(ISBLANK(K578),,Config!$C$3&amp;"&amp;range=BB"&amp;MATCH(K578,FRG!AE:AE,0))</f>
        <v/>
      </c>
      <c r="AB578" s="242" t="str">
        <f>IFERROR(__xludf.DUMMYFUNCTION("IF(ISBLANK(K578),,SUBSTITUTE(IFERROR(JOIN("","",K578:Z578),JOIN("","",K578:Y578)),CHAR(10),""""))"),"")</f>
        <v/>
      </c>
      <c r="AC578" s="229" t="str">
        <f t="shared" si="1"/>
        <v/>
      </c>
    </row>
    <row r="579">
      <c r="K579" s="237"/>
      <c r="L579" s="238" t="str">
        <f t="shared" si="3"/>
        <v/>
      </c>
      <c r="M579" s="237"/>
      <c r="N579" s="238"/>
      <c r="O579" s="238" t="str">
        <f t="shared" si="4"/>
        <v/>
      </c>
      <c r="P579" s="238" t="str">
        <f t="shared" si="5"/>
        <v/>
      </c>
      <c r="Q579" s="238" t="str">
        <f t="shared" si="6"/>
        <v/>
      </c>
      <c r="R579" s="238" t="str">
        <f t="shared" si="7"/>
        <v/>
      </c>
      <c r="S579" s="238" t="str">
        <f t="shared" si="8"/>
        <v/>
      </c>
      <c r="T579" s="238"/>
      <c r="U579" s="237"/>
      <c r="V579" s="238"/>
      <c r="W579" s="238" t="str">
        <f t="shared" si="9"/>
        <v/>
      </c>
      <c r="X579" s="237" t="str">
        <f t="shared" ref="X579:Y579" si="571">IF(ISBLANK(H579),,""""&amp;H579&amp;"""")</f>
        <v/>
      </c>
      <c r="Y579" s="237" t="str">
        <f t="shared" si="571"/>
        <v/>
      </c>
      <c r="Z579" s="237" t="str">
        <f>IF(ISBLANK(K579),,Config!$C$3&amp;"&amp;range=BB"&amp;MATCH(K579,FRG!AE:AE,0))</f>
        <v/>
      </c>
      <c r="AB579" s="242" t="str">
        <f>IFERROR(__xludf.DUMMYFUNCTION("IF(ISBLANK(K579),,SUBSTITUTE(IFERROR(JOIN("","",K579:Z579),JOIN("","",K579:Y579)),CHAR(10),""""))"),"")</f>
        <v/>
      </c>
      <c r="AC579" s="229" t="str">
        <f t="shared" si="1"/>
        <v/>
      </c>
    </row>
    <row r="580">
      <c r="K580" s="237"/>
      <c r="L580" s="238" t="str">
        <f t="shared" si="3"/>
        <v/>
      </c>
      <c r="M580" s="237"/>
      <c r="N580" s="238"/>
      <c r="O580" s="238" t="str">
        <f t="shared" si="4"/>
        <v/>
      </c>
      <c r="P580" s="238" t="str">
        <f t="shared" si="5"/>
        <v/>
      </c>
      <c r="Q580" s="238" t="str">
        <f t="shared" si="6"/>
        <v/>
      </c>
      <c r="R580" s="238" t="str">
        <f t="shared" si="7"/>
        <v/>
      </c>
      <c r="S580" s="238" t="str">
        <f t="shared" si="8"/>
        <v/>
      </c>
      <c r="T580" s="238"/>
      <c r="U580" s="237"/>
      <c r="V580" s="238"/>
      <c r="W580" s="238" t="str">
        <f t="shared" si="9"/>
        <v/>
      </c>
      <c r="X580" s="237" t="str">
        <f t="shared" ref="X580:Y580" si="572">IF(ISBLANK(H580),,""""&amp;H580&amp;"""")</f>
        <v/>
      </c>
      <c r="Y580" s="237" t="str">
        <f t="shared" si="572"/>
        <v/>
      </c>
      <c r="Z580" s="237" t="str">
        <f>IF(ISBLANK(K580),,Config!$C$3&amp;"&amp;range=BB"&amp;MATCH(K580,FRG!AE:AE,0))</f>
        <v/>
      </c>
      <c r="AB580" s="242" t="str">
        <f>IFERROR(__xludf.DUMMYFUNCTION("IF(ISBLANK(K580),,SUBSTITUTE(IFERROR(JOIN("","",K580:Z580),JOIN("","",K580:Y580)),CHAR(10),""""))"),"")</f>
        <v/>
      </c>
      <c r="AC580" s="229" t="str">
        <f t="shared" si="1"/>
        <v/>
      </c>
    </row>
    <row r="581">
      <c r="K581" s="237"/>
      <c r="L581" s="238" t="str">
        <f t="shared" si="3"/>
        <v/>
      </c>
      <c r="M581" s="237"/>
      <c r="N581" s="238"/>
      <c r="O581" s="238" t="str">
        <f t="shared" si="4"/>
        <v/>
      </c>
      <c r="P581" s="238" t="str">
        <f t="shared" si="5"/>
        <v/>
      </c>
      <c r="Q581" s="238" t="str">
        <f t="shared" si="6"/>
        <v/>
      </c>
      <c r="R581" s="238" t="str">
        <f t="shared" si="7"/>
        <v/>
      </c>
      <c r="S581" s="238" t="str">
        <f t="shared" si="8"/>
        <v/>
      </c>
      <c r="T581" s="238"/>
      <c r="U581" s="237"/>
      <c r="V581" s="238"/>
      <c r="W581" s="238" t="str">
        <f t="shared" si="9"/>
        <v/>
      </c>
      <c r="X581" s="237" t="str">
        <f t="shared" ref="X581:Y581" si="573">IF(ISBLANK(H581),,""""&amp;H581&amp;"""")</f>
        <v/>
      </c>
      <c r="Y581" s="237" t="str">
        <f t="shared" si="573"/>
        <v/>
      </c>
      <c r="Z581" s="237" t="str">
        <f>IF(ISBLANK(K581),,Config!$C$3&amp;"&amp;range=BB"&amp;MATCH(K581,FRG!AE:AE,0))</f>
        <v/>
      </c>
      <c r="AB581" s="242" t="str">
        <f>IFERROR(__xludf.DUMMYFUNCTION("IF(ISBLANK(K581),,SUBSTITUTE(IFERROR(JOIN("","",K581:Z581),JOIN("","",K581:Y581)),CHAR(10),""""))"),"")</f>
        <v/>
      </c>
      <c r="AC581" s="229" t="str">
        <f t="shared" si="1"/>
        <v/>
      </c>
    </row>
    <row r="582">
      <c r="K582" s="237"/>
      <c r="L582" s="238" t="str">
        <f t="shared" si="3"/>
        <v/>
      </c>
      <c r="M582" s="237"/>
      <c r="N582" s="238"/>
      <c r="O582" s="238" t="str">
        <f t="shared" si="4"/>
        <v/>
      </c>
      <c r="P582" s="238" t="str">
        <f t="shared" si="5"/>
        <v/>
      </c>
      <c r="Q582" s="238" t="str">
        <f t="shared" si="6"/>
        <v/>
      </c>
      <c r="R582" s="238" t="str">
        <f t="shared" si="7"/>
        <v/>
      </c>
      <c r="S582" s="238" t="str">
        <f t="shared" si="8"/>
        <v/>
      </c>
      <c r="T582" s="238"/>
      <c r="U582" s="237"/>
      <c r="V582" s="238"/>
      <c r="W582" s="238" t="str">
        <f t="shared" si="9"/>
        <v/>
      </c>
      <c r="X582" s="237" t="str">
        <f t="shared" ref="X582:Y582" si="574">IF(ISBLANK(H582),,""""&amp;H582&amp;"""")</f>
        <v/>
      </c>
      <c r="Y582" s="237" t="str">
        <f t="shared" si="574"/>
        <v/>
      </c>
      <c r="Z582" s="237" t="str">
        <f>IF(ISBLANK(K582),,Config!$C$3&amp;"&amp;range=BB"&amp;MATCH(K582,FRG!AE:AE,0))</f>
        <v/>
      </c>
      <c r="AB582" s="242" t="str">
        <f>IFERROR(__xludf.DUMMYFUNCTION("IF(ISBLANK(K582),,SUBSTITUTE(IFERROR(JOIN("","",K582:Z582),JOIN("","",K582:Y582)),CHAR(10),""""))"),"")</f>
        <v/>
      </c>
      <c r="AC582" s="229" t="str">
        <f t="shared" si="1"/>
        <v/>
      </c>
    </row>
    <row r="583">
      <c r="K583" s="237"/>
      <c r="L583" s="238" t="str">
        <f t="shared" si="3"/>
        <v/>
      </c>
      <c r="M583" s="237"/>
      <c r="N583" s="238"/>
      <c r="O583" s="238" t="str">
        <f t="shared" si="4"/>
        <v/>
      </c>
      <c r="P583" s="238" t="str">
        <f t="shared" si="5"/>
        <v/>
      </c>
      <c r="Q583" s="238" t="str">
        <f t="shared" si="6"/>
        <v/>
      </c>
      <c r="R583" s="238" t="str">
        <f t="shared" si="7"/>
        <v/>
      </c>
      <c r="S583" s="238" t="str">
        <f t="shared" si="8"/>
        <v/>
      </c>
      <c r="T583" s="238"/>
      <c r="U583" s="237"/>
      <c r="V583" s="238"/>
      <c r="W583" s="238" t="str">
        <f t="shared" si="9"/>
        <v/>
      </c>
      <c r="X583" s="237" t="str">
        <f t="shared" ref="X583:Y583" si="575">IF(ISBLANK(H583),,""""&amp;H583&amp;"""")</f>
        <v/>
      </c>
      <c r="Y583" s="237" t="str">
        <f t="shared" si="575"/>
        <v/>
      </c>
      <c r="Z583" s="237" t="str">
        <f>IF(ISBLANK(K583),,Config!$C$3&amp;"&amp;range=BB"&amp;MATCH(K583,FRG!AE:AE,0))</f>
        <v/>
      </c>
      <c r="AB583" s="242" t="str">
        <f>IFERROR(__xludf.DUMMYFUNCTION("IF(ISBLANK(K583),,SUBSTITUTE(IFERROR(JOIN("","",K583:Z583),JOIN("","",K583:Y583)),CHAR(10),""""))"),"")</f>
        <v/>
      </c>
      <c r="AC583" s="229" t="str">
        <f t="shared" si="1"/>
        <v/>
      </c>
    </row>
    <row r="584">
      <c r="K584" s="237"/>
      <c r="L584" s="238" t="str">
        <f t="shared" si="3"/>
        <v/>
      </c>
      <c r="M584" s="237"/>
      <c r="N584" s="238"/>
      <c r="O584" s="238" t="str">
        <f t="shared" si="4"/>
        <v/>
      </c>
      <c r="P584" s="238" t="str">
        <f t="shared" si="5"/>
        <v/>
      </c>
      <c r="Q584" s="238" t="str">
        <f t="shared" si="6"/>
        <v/>
      </c>
      <c r="R584" s="238" t="str">
        <f t="shared" si="7"/>
        <v/>
      </c>
      <c r="S584" s="238" t="str">
        <f t="shared" si="8"/>
        <v/>
      </c>
      <c r="T584" s="238"/>
      <c r="U584" s="237"/>
      <c r="V584" s="238"/>
      <c r="W584" s="238" t="str">
        <f t="shared" si="9"/>
        <v/>
      </c>
      <c r="X584" s="237" t="str">
        <f t="shared" ref="X584:Y584" si="576">IF(ISBLANK(H584),,""""&amp;H584&amp;"""")</f>
        <v/>
      </c>
      <c r="Y584" s="237" t="str">
        <f t="shared" si="576"/>
        <v/>
      </c>
      <c r="Z584" s="237" t="str">
        <f>IF(ISBLANK(K584),,Config!$C$3&amp;"&amp;range=BB"&amp;MATCH(K584,FRG!AE:AE,0))</f>
        <v/>
      </c>
      <c r="AB584" s="242" t="str">
        <f>IFERROR(__xludf.DUMMYFUNCTION("IF(ISBLANK(K584),,SUBSTITUTE(IFERROR(JOIN("","",K584:Z584),JOIN("","",K584:Y584)),CHAR(10),""""))"),"")</f>
        <v/>
      </c>
      <c r="AC584" s="229" t="str">
        <f t="shared" si="1"/>
        <v/>
      </c>
    </row>
    <row r="585">
      <c r="K585" s="237"/>
      <c r="L585" s="238" t="str">
        <f t="shared" si="3"/>
        <v/>
      </c>
      <c r="M585" s="237"/>
      <c r="N585" s="238"/>
      <c r="O585" s="238" t="str">
        <f t="shared" si="4"/>
        <v/>
      </c>
      <c r="P585" s="238" t="str">
        <f t="shared" si="5"/>
        <v/>
      </c>
      <c r="Q585" s="238" t="str">
        <f t="shared" si="6"/>
        <v/>
      </c>
      <c r="R585" s="238" t="str">
        <f t="shared" si="7"/>
        <v/>
      </c>
      <c r="S585" s="238" t="str">
        <f t="shared" si="8"/>
        <v/>
      </c>
      <c r="T585" s="238"/>
      <c r="U585" s="237"/>
      <c r="V585" s="238"/>
      <c r="W585" s="238" t="str">
        <f t="shared" si="9"/>
        <v/>
      </c>
      <c r="X585" s="237" t="str">
        <f t="shared" ref="X585:Y585" si="577">IF(ISBLANK(H585),,""""&amp;H585&amp;"""")</f>
        <v/>
      </c>
      <c r="Y585" s="237" t="str">
        <f t="shared" si="577"/>
        <v/>
      </c>
      <c r="Z585" s="237" t="str">
        <f>IF(ISBLANK(K585),,Config!$C$3&amp;"&amp;range=BB"&amp;MATCH(K585,FRG!AE:AE,0))</f>
        <v/>
      </c>
      <c r="AB585" s="242" t="str">
        <f>IFERROR(__xludf.DUMMYFUNCTION("IF(ISBLANK(K585),,SUBSTITUTE(IFERROR(JOIN("","",K585:Z585),JOIN("","",K585:Y585)),CHAR(10),""""))"),"")</f>
        <v/>
      </c>
      <c r="AC585" s="229" t="str">
        <f t="shared" si="1"/>
        <v/>
      </c>
    </row>
    <row r="586">
      <c r="K586" s="237"/>
      <c r="L586" s="238" t="str">
        <f t="shared" si="3"/>
        <v/>
      </c>
      <c r="M586" s="237"/>
      <c r="N586" s="238"/>
      <c r="O586" s="238" t="str">
        <f t="shared" si="4"/>
        <v/>
      </c>
      <c r="P586" s="238" t="str">
        <f t="shared" si="5"/>
        <v/>
      </c>
      <c r="Q586" s="238" t="str">
        <f t="shared" si="6"/>
        <v/>
      </c>
      <c r="R586" s="238" t="str">
        <f t="shared" si="7"/>
        <v/>
      </c>
      <c r="S586" s="238" t="str">
        <f t="shared" si="8"/>
        <v/>
      </c>
      <c r="T586" s="238"/>
      <c r="U586" s="237"/>
      <c r="V586" s="238"/>
      <c r="W586" s="238" t="str">
        <f t="shared" si="9"/>
        <v/>
      </c>
      <c r="X586" s="237" t="str">
        <f t="shared" ref="X586:Y586" si="578">IF(ISBLANK(H586),,""""&amp;H586&amp;"""")</f>
        <v/>
      </c>
      <c r="Y586" s="237" t="str">
        <f t="shared" si="578"/>
        <v/>
      </c>
      <c r="Z586" s="237" t="str">
        <f>IF(ISBLANK(K586),,Config!$C$3&amp;"&amp;range=BB"&amp;MATCH(K586,FRG!AE:AE,0))</f>
        <v/>
      </c>
      <c r="AB586" s="242" t="str">
        <f>IFERROR(__xludf.DUMMYFUNCTION("IF(ISBLANK(K586),,SUBSTITUTE(IFERROR(JOIN("","",K586:Z586),JOIN("","",K586:Y586)),CHAR(10),""""))"),"")</f>
        <v/>
      </c>
      <c r="AC586" s="229" t="str">
        <f t="shared" si="1"/>
        <v/>
      </c>
    </row>
    <row r="587">
      <c r="K587" s="237"/>
      <c r="L587" s="238" t="str">
        <f t="shared" si="3"/>
        <v/>
      </c>
      <c r="M587" s="237"/>
      <c r="N587" s="238"/>
      <c r="O587" s="238" t="str">
        <f t="shared" si="4"/>
        <v/>
      </c>
      <c r="P587" s="238" t="str">
        <f t="shared" si="5"/>
        <v/>
      </c>
      <c r="Q587" s="238" t="str">
        <f t="shared" si="6"/>
        <v/>
      </c>
      <c r="R587" s="238" t="str">
        <f t="shared" si="7"/>
        <v/>
      </c>
      <c r="S587" s="238" t="str">
        <f t="shared" si="8"/>
        <v/>
      </c>
      <c r="T587" s="238"/>
      <c r="U587" s="237"/>
      <c r="V587" s="238"/>
      <c r="W587" s="238" t="str">
        <f t="shared" si="9"/>
        <v/>
      </c>
      <c r="X587" s="237" t="str">
        <f t="shared" ref="X587:Y587" si="579">IF(ISBLANK(H587),,""""&amp;H587&amp;"""")</f>
        <v/>
      </c>
      <c r="Y587" s="237" t="str">
        <f t="shared" si="579"/>
        <v/>
      </c>
      <c r="Z587" s="237" t="str">
        <f>IF(ISBLANK(K587),,Config!$C$3&amp;"&amp;range=BB"&amp;MATCH(K587,FRG!AE:AE,0))</f>
        <v/>
      </c>
      <c r="AB587" s="242" t="str">
        <f>IFERROR(__xludf.DUMMYFUNCTION("IF(ISBLANK(K587),,SUBSTITUTE(IFERROR(JOIN("","",K587:Z587),JOIN("","",K587:Y587)),CHAR(10),""""))"),"")</f>
        <v/>
      </c>
      <c r="AC587" s="229" t="str">
        <f t="shared" si="1"/>
        <v/>
      </c>
    </row>
    <row r="588">
      <c r="K588" s="237"/>
      <c r="L588" s="238" t="str">
        <f t="shared" si="3"/>
        <v/>
      </c>
      <c r="M588" s="237"/>
      <c r="N588" s="238"/>
      <c r="O588" s="238" t="str">
        <f t="shared" si="4"/>
        <v/>
      </c>
      <c r="P588" s="238" t="str">
        <f t="shared" si="5"/>
        <v/>
      </c>
      <c r="Q588" s="238" t="str">
        <f t="shared" si="6"/>
        <v/>
      </c>
      <c r="R588" s="238" t="str">
        <f t="shared" si="7"/>
        <v/>
      </c>
      <c r="S588" s="238" t="str">
        <f t="shared" si="8"/>
        <v/>
      </c>
      <c r="T588" s="238"/>
      <c r="U588" s="237"/>
      <c r="V588" s="238"/>
      <c r="W588" s="238" t="str">
        <f t="shared" si="9"/>
        <v/>
      </c>
      <c r="X588" s="237" t="str">
        <f t="shared" ref="X588:Y588" si="580">IF(ISBLANK(H588),,""""&amp;H588&amp;"""")</f>
        <v/>
      </c>
      <c r="Y588" s="237" t="str">
        <f t="shared" si="580"/>
        <v/>
      </c>
      <c r="Z588" s="237" t="str">
        <f>IF(ISBLANK(K588),,Config!$C$3&amp;"&amp;range=BB"&amp;MATCH(K588,FRG!AE:AE,0))</f>
        <v/>
      </c>
      <c r="AB588" s="242" t="str">
        <f>IFERROR(__xludf.DUMMYFUNCTION("IF(ISBLANK(K588),,SUBSTITUTE(IFERROR(JOIN("","",K588:Z588),JOIN("","",K588:Y588)),CHAR(10),""""))"),"")</f>
        <v/>
      </c>
      <c r="AC588" s="229" t="str">
        <f t="shared" si="1"/>
        <v/>
      </c>
    </row>
    <row r="589">
      <c r="K589" s="237"/>
      <c r="L589" s="238" t="str">
        <f t="shared" si="3"/>
        <v/>
      </c>
      <c r="M589" s="237"/>
      <c r="N589" s="238"/>
      <c r="O589" s="238" t="str">
        <f t="shared" si="4"/>
        <v/>
      </c>
      <c r="P589" s="238" t="str">
        <f t="shared" si="5"/>
        <v/>
      </c>
      <c r="Q589" s="238" t="str">
        <f t="shared" si="6"/>
        <v/>
      </c>
      <c r="R589" s="238" t="str">
        <f t="shared" si="7"/>
        <v/>
      </c>
      <c r="S589" s="238" t="str">
        <f t="shared" si="8"/>
        <v/>
      </c>
      <c r="T589" s="238"/>
      <c r="U589" s="237"/>
      <c r="V589" s="238"/>
      <c r="W589" s="238" t="str">
        <f t="shared" si="9"/>
        <v/>
      </c>
      <c r="X589" s="237" t="str">
        <f t="shared" ref="X589:Y589" si="581">IF(ISBLANK(H589),,""""&amp;H589&amp;"""")</f>
        <v/>
      </c>
      <c r="Y589" s="237" t="str">
        <f t="shared" si="581"/>
        <v/>
      </c>
      <c r="Z589" s="237" t="str">
        <f>IF(ISBLANK(K589),,Config!$C$3&amp;"&amp;range=BB"&amp;MATCH(K589,FRG!AE:AE,0))</f>
        <v/>
      </c>
      <c r="AB589" s="242" t="str">
        <f>IFERROR(__xludf.DUMMYFUNCTION("IF(ISBLANK(K589),,SUBSTITUTE(IFERROR(JOIN("","",K589:Z589),JOIN("","",K589:Y589)),CHAR(10),""""))"),"")</f>
        <v/>
      </c>
      <c r="AC589" s="229" t="str">
        <f t="shared" si="1"/>
        <v/>
      </c>
    </row>
    <row r="590">
      <c r="K590" s="237"/>
      <c r="L590" s="238" t="str">
        <f t="shared" si="3"/>
        <v/>
      </c>
      <c r="M590" s="237"/>
      <c r="N590" s="238"/>
      <c r="O590" s="238" t="str">
        <f t="shared" si="4"/>
        <v/>
      </c>
      <c r="P590" s="238" t="str">
        <f t="shared" si="5"/>
        <v/>
      </c>
      <c r="Q590" s="238" t="str">
        <f t="shared" si="6"/>
        <v/>
      </c>
      <c r="R590" s="238" t="str">
        <f t="shared" si="7"/>
        <v/>
      </c>
      <c r="S590" s="238" t="str">
        <f t="shared" si="8"/>
        <v/>
      </c>
      <c r="T590" s="238"/>
      <c r="U590" s="237"/>
      <c r="V590" s="238"/>
      <c r="W590" s="238" t="str">
        <f t="shared" si="9"/>
        <v/>
      </c>
      <c r="X590" s="237" t="str">
        <f t="shared" ref="X590:Y590" si="582">IF(ISBLANK(H590),,""""&amp;H590&amp;"""")</f>
        <v/>
      </c>
      <c r="Y590" s="237" t="str">
        <f t="shared" si="582"/>
        <v/>
      </c>
      <c r="Z590" s="237" t="str">
        <f>IF(ISBLANK(K590),,Config!$C$3&amp;"&amp;range=BB"&amp;MATCH(K590,FRG!AE:AE,0))</f>
        <v/>
      </c>
      <c r="AB590" s="242" t="str">
        <f>IFERROR(__xludf.DUMMYFUNCTION("IF(ISBLANK(K590),,SUBSTITUTE(IFERROR(JOIN("","",K590:Z590),JOIN("","",K590:Y590)),CHAR(10),""""))"),"")</f>
        <v/>
      </c>
      <c r="AC590" s="229" t="str">
        <f t="shared" si="1"/>
        <v/>
      </c>
    </row>
    <row r="591">
      <c r="K591" s="237"/>
      <c r="L591" s="238" t="str">
        <f t="shared" si="3"/>
        <v/>
      </c>
      <c r="M591" s="237"/>
      <c r="N591" s="238"/>
      <c r="O591" s="238" t="str">
        <f t="shared" si="4"/>
        <v/>
      </c>
      <c r="P591" s="238" t="str">
        <f t="shared" si="5"/>
        <v/>
      </c>
      <c r="Q591" s="238" t="str">
        <f t="shared" si="6"/>
        <v/>
      </c>
      <c r="R591" s="238" t="str">
        <f t="shared" si="7"/>
        <v/>
      </c>
      <c r="S591" s="238" t="str">
        <f t="shared" si="8"/>
        <v/>
      </c>
      <c r="T591" s="238"/>
      <c r="U591" s="237"/>
      <c r="V591" s="238"/>
      <c r="W591" s="238" t="str">
        <f t="shared" si="9"/>
        <v/>
      </c>
      <c r="X591" s="237" t="str">
        <f t="shared" ref="X591:Y591" si="583">IF(ISBLANK(H591),,""""&amp;H591&amp;"""")</f>
        <v/>
      </c>
      <c r="Y591" s="237" t="str">
        <f t="shared" si="583"/>
        <v/>
      </c>
      <c r="Z591" s="237" t="str">
        <f>IF(ISBLANK(K591),,Config!$C$3&amp;"&amp;range=BB"&amp;MATCH(K591,FRG!AE:AE,0))</f>
        <v/>
      </c>
      <c r="AB591" s="242" t="str">
        <f>IFERROR(__xludf.DUMMYFUNCTION("IF(ISBLANK(K591),,SUBSTITUTE(IFERROR(JOIN("","",K591:Z591),JOIN("","",K591:Y591)),CHAR(10),""""))"),"")</f>
        <v/>
      </c>
      <c r="AC591" s="229" t="str">
        <f t="shared" si="1"/>
        <v/>
      </c>
    </row>
    <row r="592">
      <c r="K592" s="237"/>
      <c r="L592" s="238" t="str">
        <f t="shared" si="3"/>
        <v/>
      </c>
      <c r="M592" s="237"/>
      <c r="N592" s="238"/>
      <c r="O592" s="238" t="str">
        <f t="shared" si="4"/>
        <v/>
      </c>
      <c r="P592" s="238" t="str">
        <f t="shared" si="5"/>
        <v/>
      </c>
      <c r="Q592" s="238" t="str">
        <f t="shared" si="6"/>
        <v/>
      </c>
      <c r="R592" s="238" t="str">
        <f t="shared" si="7"/>
        <v/>
      </c>
      <c r="S592" s="238" t="str">
        <f t="shared" si="8"/>
        <v/>
      </c>
      <c r="T592" s="238"/>
      <c r="U592" s="237"/>
      <c r="V592" s="238"/>
      <c r="W592" s="238" t="str">
        <f t="shared" si="9"/>
        <v/>
      </c>
      <c r="X592" s="237" t="str">
        <f t="shared" ref="X592:Y592" si="584">IF(ISBLANK(H592),,""""&amp;H592&amp;"""")</f>
        <v/>
      </c>
      <c r="Y592" s="237" t="str">
        <f t="shared" si="584"/>
        <v/>
      </c>
      <c r="Z592" s="237" t="str">
        <f>IF(ISBLANK(K592),,Config!$C$3&amp;"&amp;range=BB"&amp;MATCH(K592,FRG!AE:AE,0))</f>
        <v/>
      </c>
      <c r="AB592" s="242" t="str">
        <f>IFERROR(__xludf.DUMMYFUNCTION("IF(ISBLANK(K592),,SUBSTITUTE(IFERROR(JOIN("","",K592:Z592),JOIN("","",K592:Y592)),CHAR(10),""""))"),"")</f>
        <v/>
      </c>
      <c r="AC592" s="229" t="str">
        <f t="shared" si="1"/>
        <v/>
      </c>
    </row>
    <row r="593">
      <c r="K593" s="237"/>
      <c r="L593" s="238" t="str">
        <f t="shared" si="3"/>
        <v/>
      </c>
      <c r="M593" s="237"/>
      <c r="N593" s="238"/>
      <c r="O593" s="238" t="str">
        <f t="shared" si="4"/>
        <v/>
      </c>
      <c r="P593" s="238" t="str">
        <f t="shared" si="5"/>
        <v/>
      </c>
      <c r="Q593" s="238" t="str">
        <f t="shared" si="6"/>
        <v/>
      </c>
      <c r="R593" s="238" t="str">
        <f t="shared" si="7"/>
        <v/>
      </c>
      <c r="S593" s="238" t="str">
        <f t="shared" si="8"/>
        <v/>
      </c>
      <c r="T593" s="238"/>
      <c r="U593" s="237"/>
      <c r="V593" s="238"/>
      <c r="W593" s="238" t="str">
        <f t="shared" si="9"/>
        <v/>
      </c>
      <c r="X593" s="237" t="str">
        <f t="shared" ref="X593:Y593" si="585">IF(ISBLANK(H593),,""""&amp;H593&amp;"""")</f>
        <v/>
      </c>
      <c r="Y593" s="237" t="str">
        <f t="shared" si="585"/>
        <v/>
      </c>
      <c r="Z593" s="237" t="str">
        <f>IF(ISBLANK(K593),,Config!$C$3&amp;"&amp;range=BB"&amp;MATCH(K593,FRG!AE:AE,0))</f>
        <v/>
      </c>
      <c r="AB593" s="242" t="str">
        <f>IFERROR(__xludf.DUMMYFUNCTION("IF(ISBLANK(K593),,SUBSTITUTE(IFERROR(JOIN("","",K593:Z593),JOIN("","",K593:Y593)),CHAR(10),""""))"),"")</f>
        <v/>
      </c>
      <c r="AC593" s="229" t="str">
        <f t="shared" si="1"/>
        <v/>
      </c>
    </row>
    <row r="594">
      <c r="K594" s="237"/>
      <c r="L594" s="238" t="str">
        <f t="shared" si="3"/>
        <v/>
      </c>
      <c r="M594" s="237"/>
      <c r="N594" s="238"/>
      <c r="O594" s="238" t="str">
        <f t="shared" si="4"/>
        <v/>
      </c>
      <c r="P594" s="238" t="str">
        <f t="shared" si="5"/>
        <v/>
      </c>
      <c r="Q594" s="238" t="str">
        <f t="shared" si="6"/>
        <v/>
      </c>
      <c r="R594" s="238" t="str">
        <f t="shared" si="7"/>
        <v/>
      </c>
      <c r="S594" s="238" t="str">
        <f t="shared" si="8"/>
        <v/>
      </c>
      <c r="T594" s="238"/>
      <c r="U594" s="237"/>
      <c r="V594" s="238"/>
      <c r="W594" s="238" t="str">
        <f t="shared" si="9"/>
        <v/>
      </c>
      <c r="X594" s="237" t="str">
        <f t="shared" ref="X594:Y594" si="586">IF(ISBLANK(H594),,""""&amp;H594&amp;"""")</f>
        <v/>
      </c>
      <c r="Y594" s="237" t="str">
        <f t="shared" si="586"/>
        <v/>
      </c>
      <c r="Z594" s="237" t="str">
        <f>IF(ISBLANK(K594),,Config!$C$3&amp;"&amp;range=BB"&amp;MATCH(K594,FRG!AE:AE,0))</f>
        <v/>
      </c>
      <c r="AB594" s="242" t="str">
        <f>IFERROR(__xludf.DUMMYFUNCTION("IF(ISBLANK(K594),,SUBSTITUTE(IFERROR(JOIN("","",K594:Z594),JOIN("","",K594:Y594)),CHAR(10),""""))"),"")</f>
        <v/>
      </c>
      <c r="AC594" s="229" t="str">
        <f t="shared" si="1"/>
        <v/>
      </c>
    </row>
    <row r="595">
      <c r="K595" s="237"/>
      <c r="L595" s="238" t="str">
        <f t="shared" si="3"/>
        <v/>
      </c>
      <c r="M595" s="237"/>
      <c r="N595" s="238"/>
      <c r="O595" s="238" t="str">
        <f t="shared" si="4"/>
        <v/>
      </c>
      <c r="P595" s="238" t="str">
        <f t="shared" si="5"/>
        <v/>
      </c>
      <c r="Q595" s="238" t="str">
        <f t="shared" si="6"/>
        <v/>
      </c>
      <c r="R595" s="238" t="str">
        <f t="shared" si="7"/>
        <v/>
      </c>
      <c r="S595" s="238" t="str">
        <f t="shared" si="8"/>
        <v/>
      </c>
      <c r="T595" s="238"/>
      <c r="U595" s="237"/>
      <c r="V595" s="238"/>
      <c r="W595" s="238" t="str">
        <f t="shared" si="9"/>
        <v/>
      </c>
      <c r="X595" s="237" t="str">
        <f t="shared" ref="X595:Y595" si="587">IF(ISBLANK(H595),,""""&amp;H595&amp;"""")</f>
        <v/>
      </c>
      <c r="Y595" s="237" t="str">
        <f t="shared" si="587"/>
        <v/>
      </c>
      <c r="Z595" s="237" t="str">
        <f>IF(ISBLANK(K595),,Config!$C$3&amp;"&amp;range=BB"&amp;MATCH(K595,FRG!AE:AE,0))</f>
        <v/>
      </c>
      <c r="AB595" s="242" t="str">
        <f>IFERROR(__xludf.DUMMYFUNCTION("IF(ISBLANK(K595),,SUBSTITUTE(IFERROR(JOIN("","",K595:Z595),JOIN("","",K595:Y595)),CHAR(10),""""))"),"")</f>
        <v/>
      </c>
      <c r="AC595" s="229" t="str">
        <f t="shared" si="1"/>
        <v/>
      </c>
    </row>
    <row r="596">
      <c r="K596" s="237"/>
      <c r="L596" s="238" t="str">
        <f t="shared" si="3"/>
        <v/>
      </c>
      <c r="M596" s="237"/>
      <c r="N596" s="238"/>
      <c r="O596" s="238" t="str">
        <f t="shared" si="4"/>
        <v/>
      </c>
      <c r="P596" s="238" t="str">
        <f t="shared" si="5"/>
        <v/>
      </c>
      <c r="Q596" s="238" t="str">
        <f t="shared" si="6"/>
        <v/>
      </c>
      <c r="R596" s="238" t="str">
        <f t="shared" si="7"/>
        <v/>
      </c>
      <c r="S596" s="238" t="str">
        <f t="shared" si="8"/>
        <v/>
      </c>
      <c r="T596" s="238"/>
      <c r="U596" s="237"/>
      <c r="V596" s="238"/>
      <c r="W596" s="238" t="str">
        <f t="shared" si="9"/>
        <v/>
      </c>
      <c r="X596" s="237" t="str">
        <f t="shared" ref="X596:Y596" si="588">IF(ISBLANK(H596),,""""&amp;H596&amp;"""")</f>
        <v/>
      </c>
      <c r="Y596" s="237" t="str">
        <f t="shared" si="588"/>
        <v/>
      </c>
      <c r="Z596" s="237" t="str">
        <f>IF(ISBLANK(K596),,Config!$C$3&amp;"&amp;range=BB"&amp;MATCH(K596,FRG!AE:AE,0))</f>
        <v/>
      </c>
      <c r="AB596" s="242" t="str">
        <f>IFERROR(__xludf.DUMMYFUNCTION("IF(ISBLANK(K596),,SUBSTITUTE(IFERROR(JOIN("","",K596:Z596),JOIN("","",K596:Y596)),CHAR(10),""""))"),"")</f>
        <v/>
      </c>
      <c r="AC596" s="229" t="str">
        <f t="shared" si="1"/>
        <v/>
      </c>
    </row>
    <row r="597">
      <c r="K597" s="237"/>
      <c r="L597" s="238" t="str">
        <f t="shared" si="3"/>
        <v/>
      </c>
      <c r="M597" s="237"/>
      <c r="N597" s="238"/>
      <c r="O597" s="238" t="str">
        <f t="shared" si="4"/>
        <v/>
      </c>
      <c r="P597" s="238" t="str">
        <f t="shared" si="5"/>
        <v/>
      </c>
      <c r="Q597" s="238" t="str">
        <f t="shared" si="6"/>
        <v/>
      </c>
      <c r="R597" s="238" t="str">
        <f t="shared" si="7"/>
        <v/>
      </c>
      <c r="S597" s="238" t="str">
        <f t="shared" si="8"/>
        <v/>
      </c>
      <c r="T597" s="238"/>
      <c r="U597" s="237"/>
      <c r="V597" s="238"/>
      <c r="W597" s="238" t="str">
        <f t="shared" si="9"/>
        <v/>
      </c>
      <c r="X597" s="237" t="str">
        <f t="shared" ref="X597:Y597" si="589">IF(ISBLANK(H597),,""""&amp;H597&amp;"""")</f>
        <v/>
      </c>
      <c r="Y597" s="237" t="str">
        <f t="shared" si="589"/>
        <v/>
      </c>
      <c r="Z597" s="237" t="str">
        <f>IF(ISBLANK(K597),,Config!$C$3&amp;"&amp;range=BB"&amp;MATCH(K597,FRG!AE:AE,0))</f>
        <v/>
      </c>
      <c r="AB597" s="242" t="str">
        <f>IFERROR(__xludf.DUMMYFUNCTION("IF(ISBLANK(K597),,SUBSTITUTE(IFERROR(JOIN("","",K597:Z597),JOIN("","",K597:Y597)),CHAR(10),""""))"),"")</f>
        <v/>
      </c>
      <c r="AC597" s="229" t="str">
        <f t="shared" si="1"/>
        <v/>
      </c>
    </row>
    <row r="598">
      <c r="K598" s="237"/>
      <c r="L598" s="238" t="str">
        <f t="shared" si="3"/>
        <v/>
      </c>
      <c r="M598" s="237"/>
      <c r="N598" s="238"/>
      <c r="O598" s="238" t="str">
        <f t="shared" si="4"/>
        <v/>
      </c>
      <c r="P598" s="238" t="str">
        <f t="shared" si="5"/>
        <v/>
      </c>
      <c r="Q598" s="238" t="str">
        <f t="shared" si="6"/>
        <v/>
      </c>
      <c r="R598" s="238" t="str">
        <f t="shared" si="7"/>
        <v/>
      </c>
      <c r="S598" s="238" t="str">
        <f t="shared" si="8"/>
        <v/>
      </c>
      <c r="T598" s="238"/>
      <c r="U598" s="237"/>
      <c r="V598" s="238"/>
      <c r="W598" s="238" t="str">
        <f t="shared" si="9"/>
        <v/>
      </c>
      <c r="X598" s="237" t="str">
        <f t="shared" ref="X598:Y598" si="590">IF(ISBLANK(H598),,""""&amp;H598&amp;"""")</f>
        <v/>
      </c>
      <c r="Y598" s="237" t="str">
        <f t="shared" si="590"/>
        <v/>
      </c>
      <c r="Z598" s="237" t="str">
        <f>IF(ISBLANK(K598),,Config!$C$3&amp;"&amp;range=BB"&amp;MATCH(K598,FRG!AE:AE,0))</f>
        <v/>
      </c>
      <c r="AB598" s="242" t="str">
        <f>IFERROR(__xludf.DUMMYFUNCTION("IF(ISBLANK(K598),,SUBSTITUTE(IFERROR(JOIN("","",K598:Z598),JOIN("","",K598:Y598)),CHAR(10),""""))"),"")</f>
        <v/>
      </c>
      <c r="AC598" s="229" t="str">
        <f t="shared" si="1"/>
        <v/>
      </c>
    </row>
    <row r="599">
      <c r="K599" s="237"/>
      <c r="L599" s="238" t="str">
        <f t="shared" si="3"/>
        <v/>
      </c>
      <c r="M599" s="237"/>
      <c r="N599" s="238"/>
      <c r="O599" s="238" t="str">
        <f t="shared" si="4"/>
        <v/>
      </c>
      <c r="P599" s="238" t="str">
        <f t="shared" si="5"/>
        <v/>
      </c>
      <c r="Q599" s="238" t="str">
        <f t="shared" si="6"/>
        <v/>
      </c>
      <c r="R599" s="238" t="str">
        <f t="shared" si="7"/>
        <v/>
      </c>
      <c r="S599" s="238" t="str">
        <f t="shared" si="8"/>
        <v/>
      </c>
      <c r="T599" s="238"/>
      <c r="U599" s="237"/>
      <c r="V599" s="238"/>
      <c r="W599" s="238" t="str">
        <f t="shared" si="9"/>
        <v/>
      </c>
      <c r="X599" s="237" t="str">
        <f t="shared" ref="X599:Y599" si="591">IF(ISBLANK(H599),,""""&amp;H599&amp;"""")</f>
        <v/>
      </c>
      <c r="Y599" s="237" t="str">
        <f t="shared" si="591"/>
        <v/>
      </c>
      <c r="Z599" s="237" t="str">
        <f>IF(ISBLANK(K599),,Config!$C$3&amp;"&amp;range=BB"&amp;MATCH(K599,FRG!AE:AE,0))</f>
        <v/>
      </c>
      <c r="AB599" s="242" t="str">
        <f>IFERROR(__xludf.DUMMYFUNCTION("IF(ISBLANK(K599),,SUBSTITUTE(IFERROR(JOIN("","",K599:Z599),JOIN("","",K599:Y599)),CHAR(10),""""))"),"")</f>
        <v/>
      </c>
      <c r="AC599" s="229" t="str">
        <f t="shared" si="1"/>
        <v/>
      </c>
    </row>
    <row r="600">
      <c r="K600" s="237"/>
      <c r="L600" s="238" t="str">
        <f t="shared" si="3"/>
        <v/>
      </c>
      <c r="M600" s="237"/>
      <c r="N600" s="238"/>
      <c r="O600" s="238" t="str">
        <f t="shared" si="4"/>
        <v/>
      </c>
      <c r="P600" s="238" t="str">
        <f t="shared" si="5"/>
        <v/>
      </c>
      <c r="Q600" s="238" t="str">
        <f t="shared" si="6"/>
        <v/>
      </c>
      <c r="R600" s="238" t="str">
        <f t="shared" si="7"/>
        <v/>
      </c>
      <c r="S600" s="238" t="str">
        <f t="shared" si="8"/>
        <v/>
      </c>
      <c r="T600" s="238"/>
      <c r="U600" s="237"/>
      <c r="V600" s="238"/>
      <c r="W600" s="238" t="str">
        <f t="shared" si="9"/>
        <v/>
      </c>
      <c r="X600" s="237" t="str">
        <f t="shared" ref="X600:Y600" si="592">IF(ISBLANK(H600),,""""&amp;H600&amp;"""")</f>
        <v/>
      </c>
      <c r="Y600" s="237" t="str">
        <f t="shared" si="592"/>
        <v/>
      </c>
      <c r="Z600" s="237" t="str">
        <f>IF(ISBLANK(K600),,Config!$C$3&amp;"&amp;range=BB"&amp;MATCH(K600,FRG!AE:AE,0))</f>
        <v/>
      </c>
      <c r="AB600" s="242" t="str">
        <f>IFERROR(__xludf.DUMMYFUNCTION("IF(ISBLANK(K600),,SUBSTITUTE(IFERROR(JOIN("","",K600:Z600),JOIN("","",K600:Y600)),CHAR(10),""""))"),"")</f>
        <v/>
      </c>
      <c r="AC600" s="229" t="str">
        <f t="shared" si="1"/>
        <v/>
      </c>
    </row>
    <row r="601">
      <c r="K601" s="237"/>
      <c r="L601" s="238" t="str">
        <f t="shared" si="3"/>
        <v/>
      </c>
      <c r="M601" s="237"/>
      <c r="N601" s="238"/>
      <c r="O601" s="238" t="str">
        <f t="shared" si="4"/>
        <v/>
      </c>
      <c r="P601" s="238" t="str">
        <f t="shared" si="5"/>
        <v/>
      </c>
      <c r="Q601" s="238" t="str">
        <f t="shared" si="6"/>
        <v/>
      </c>
      <c r="R601" s="238" t="str">
        <f t="shared" si="7"/>
        <v/>
      </c>
      <c r="S601" s="238" t="str">
        <f t="shared" si="8"/>
        <v/>
      </c>
      <c r="T601" s="238"/>
      <c r="U601" s="237"/>
      <c r="V601" s="238"/>
      <c r="W601" s="238" t="str">
        <f t="shared" si="9"/>
        <v/>
      </c>
      <c r="X601" s="237" t="str">
        <f t="shared" ref="X601:Y601" si="593">IF(ISBLANK(H601),,""""&amp;H601&amp;"""")</f>
        <v/>
      </c>
      <c r="Y601" s="237" t="str">
        <f t="shared" si="593"/>
        <v/>
      </c>
      <c r="Z601" s="237" t="str">
        <f>IF(ISBLANK(K601),,Config!$C$3&amp;"&amp;range=BB"&amp;MATCH(K601,FRG!AE:AE,0))</f>
        <v/>
      </c>
      <c r="AB601" s="242" t="str">
        <f>IFERROR(__xludf.DUMMYFUNCTION("IF(ISBLANK(K601),,SUBSTITUTE(IFERROR(JOIN("","",K601:Z601),JOIN("","",K601:Y601)),CHAR(10),""""))"),"")</f>
        <v/>
      </c>
      <c r="AC601" s="229" t="str">
        <f t="shared" si="1"/>
        <v/>
      </c>
    </row>
    <row r="602">
      <c r="K602" s="237"/>
      <c r="L602" s="238" t="str">
        <f t="shared" si="3"/>
        <v/>
      </c>
      <c r="M602" s="237"/>
      <c r="N602" s="238"/>
      <c r="O602" s="238" t="str">
        <f t="shared" si="4"/>
        <v/>
      </c>
      <c r="P602" s="238" t="str">
        <f t="shared" si="5"/>
        <v/>
      </c>
      <c r="Q602" s="238" t="str">
        <f t="shared" si="6"/>
        <v/>
      </c>
      <c r="R602" s="238" t="str">
        <f t="shared" si="7"/>
        <v/>
      </c>
      <c r="S602" s="238" t="str">
        <f t="shared" si="8"/>
        <v/>
      </c>
      <c r="T602" s="238"/>
      <c r="U602" s="237"/>
      <c r="V602" s="238"/>
      <c r="W602" s="238" t="str">
        <f t="shared" si="9"/>
        <v/>
      </c>
      <c r="X602" s="237" t="str">
        <f t="shared" ref="X602:Y602" si="594">IF(ISBLANK(H602),,""""&amp;H602&amp;"""")</f>
        <v/>
      </c>
      <c r="Y602" s="237" t="str">
        <f t="shared" si="594"/>
        <v/>
      </c>
      <c r="Z602" s="237" t="str">
        <f>IF(ISBLANK(K602),,Config!$C$3&amp;"&amp;range=BB"&amp;MATCH(K602,FRG!AE:AE,0))</f>
        <v/>
      </c>
      <c r="AB602" s="242" t="str">
        <f>IFERROR(__xludf.DUMMYFUNCTION("IF(ISBLANK(K602),,SUBSTITUTE(IFERROR(JOIN("","",K602:Z602),JOIN("","",K602:Y602)),CHAR(10),""""))"),"")</f>
        <v/>
      </c>
      <c r="AC602" s="229" t="str">
        <f t="shared" si="1"/>
        <v/>
      </c>
    </row>
    <row r="603">
      <c r="K603" s="237"/>
      <c r="L603" s="238" t="str">
        <f t="shared" si="3"/>
        <v/>
      </c>
      <c r="M603" s="237"/>
      <c r="N603" s="238"/>
      <c r="O603" s="238" t="str">
        <f t="shared" si="4"/>
        <v/>
      </c>
      <c r="P603" s="238" t="str">
        <f t="shared" si="5"/>
        <v/>
      </c>
      <c r="Q603" s="238" t="str">
        <f t="shared" si="6"/>
        <v/>
      </c>
      <c r="R603" s="238" t="str">
        <f t="shared" si="7"/>
        <v/>
      </c>
      <c r="S603" s="238" t="str">
        <f t="shared" si="8"/>
        <v/>
      </c>
      <c r="T603" s="238"/>
      <c r="U603" s="237"/>
      <c r="V603" s="238"/>
      <c r="W603" s="238" t="str">
        <f t="shared" si="9"/>
        <v/>
      </c>
      <c r="X603" s="237" t="str">
        <f t="shared" ref="X603:Y603" si="595">IF(ISBLANK(H603),,""""&amp;H603&amp;"""")</f>
        <v/>
      </c>
      <c r="Y603" s="237" t="str">
        <f t="shared" si="595"/>
        <v/>
      </c>
      <c r="Z603" s="237" t="str">
        <f>IF(ISBLANK(K603),,Config!$C$3&amp;"&amp;range=BB"&amp;MATCH(K603,FRG!AE:AE,0))</f>
        <v/>
      </c>
      <c r="AB603" s="242" t="str">
        <f>IFERROR(__xludf.DUMMYFUNCTION("IF(ISBLANK(K603),,SUBSTITUTE(IFERROR(JOIN("","",K603:Z603),JOIN("","",K603:Y603)),CHAR(10),""""))"),"")</f>
        <v/>
      </c>
      <c r="AC603" s="229" t="str">
        <f t="shared" si="1"/>
        <v/>
      </c>
    </row>
    <row r="604">
      <c r="K604" s="237"/>
      <c r="L604" s="238" t="str">
        <f t="shared" si="3"/>
        <v/>
      </c>
      <c r="M604" s="237"/>
      <c r="N604" s="238"/>
      <c r="O604" s="238" t="str">
        <f t="shared" si="4"/>
        <v/>
      </c>
      <c r="P604" s="238" t="str">
        <f t="shared" si="5"/>
        <v/>
      </c>
      <c r="Q604" s="238" t="str">
        <f t="shared" si="6"/>
        <v/>
      </c>
      <c r="R604" s="238" t="str">
        <f t="shared" si="7"/>
        <v/>
      </c>
      <c r="S604" s="238" t="str">
        <f t="shared" si="8"/>
        <v/>
      </c>
      <c r="T604" s="238"/>
      <c r="U604" s="237"/>
      <c r="V604" s="238"/>
      <c r="W604" s="238" t="str">
        <f t="shared" si="9"/>
        <v/>
      </c>
      <c r="X604" s="237" t="str">
        <f t="shared" ref="X604:Y604" si="596">IF(ISBLANK(H604),,""""&amp;H604&amp;"""")</f>
        <v/>
      </c>
      <c r="Y604" s="237" t="str">
        <f t="shared" si="596"/>
        <v/>
      </c>
      <c r="Z604" s="237" t="str">
        <f>IF(ISBLANK(K604),,Config!$C$3&amp;"&amp;range=BB"&amp;MATCH(K604,FRG!AE:AE,0))</f>
        <v/>
      </c>
      <c r="AB604" s="242" t="str">
        <f>IFERROR(__xludf.DUMMYFUNCTION("IF(ISBLANK(K604),,SUBSTITUTE(IFERROR(JOIN("","",K604:Z604),JOIN("","",K604:Y604)),CHAR(10),""""))"),"")</f>
        <v/>
      </c>
      <c r="AC604" s="229" t="str">
        <f t="shared" si="1"/>
        <v/>
      </c>
    </row>
    <row r="605">
      <c r="K605" s="237"/>
      <c r="L605" s="238" t="str">
        <f t="shared" si="3"/>
        <v/>
      </c>
      <c r="M605" s="237"/>
      <c r="N605" s="238"/>
      <c r="O605" s="238" t="str">
        <f t="shared" si="4"/>
        <v/>
      </c>
      <c r="P605" s="238" t="str">
        <f t="shared" si="5"/>
        <v/>
      </c>
      <c r="Q605" s="238" t="str">
        <f t="shared" si="6"/>
        <v/>
      </c>
      <c r="R605" s="238" t="str">
        <f t="shared" si="7"/>
        <v/>
      </c>
      <c r="S605" s="238" t="str">
        <f t="shared" si="8"/>
        <v/>
      </c>
      <c r="T605" s="238"/>
      <c r="U605" s="237"/>
      <c r="V605" s="238"/>
      <c r="W605" s="238" t="str">
        <f t="shared" si="9"/>
        <v/>
      </c>
      <c r="X605" s="237" t="str">
        <f t="shared" ref="X605:Y605" si="597">IF(ISBLANK(H605),,""""&amp;H605&amp;"""")</f>
        <v/>
      </c>
      <c r="Y605" s="237" t="str">
        <f t="shared" si="597"/>
        <v/>
      </c>
      <c r="Z605" s="237" t="str">
        <f>IF(ISBLANK(K605),,Config!$C$3&amp;"&amp;range=BB"&amp;MATCH(K605,FRG!AE:AE,0))</f>
        <v/>
      </c>
      <c r="AB605" s="242" t="str">
        <f>IFERROR(__xludf.DUMMYFUNCTION("IF(ISBLANK(K605),,SUBSTITUTE(IFERROR(JOIN("","",K605:Z605),JOIN("","",K605:Y605)),CHAR(10),""""))"),"")</f>
        <v/>
      </c>
      <c r="AC605" s="229" t="str">
        <f t="shared" si="1"/>
        <v/>
      </c>
    </row>
    <row r="606">
      <c r="K606" s="237"/>
      <c r="L606" s="238" t="str">
        <f t="shared" si="3"/>
        <v/>
      </c>
      <c r="M606" s="237"/>
      <c r="N606" s="238"/>
      <c r="O606" s="238" t="str">
        <f t="shared" si="4"/>
        <v/>
      </c>
      <c r="P606" s="238" t="str">
        <f t="shared" si="5"/>
        <v/>
      </c>
      <c r="Q606" s="238" t="str">
        <f t="shared" si="6"/>
        <v/>
      </c>
      <c r="R606" s="238" t="str">
        <f t="shared" si="7"/>
        <v/>
      </c>
      <c r="S606" s="238" t="str">
        <f t="shared" si="8"/>
        <v/>
      </c>
      <c r="T606" s="238"/>
      <c r="U606" s="237"/>
      <c r="V606" s="238"/>
      <c r="W606" s="238" t="str">
        <f t="shared" si="9"/>
        <v/>
      </c>
      <c r="X606" s="237" t="str">
        <f t="shared" ref="X606:Y606" si="598">IF(ISBLANK(H606),,""""&amp;H606&amp;"""")</f>
        <v/>
      </c>
      <c r="Y606" s="237" t="str">
        <f t="shared" si="598"/>
        <v/>
      </c>
      <c r="Z606" s="237" t="str">
        <f>IF(ISBLANK(K606),,Config!$C$3&amp;"&amp;range=BB"&amp;MATCH(K606,FRG!AE:AE,0))</f>
        <v/>
      </c>
      <c r="AB606" s="242" t="str">
        <f>IFERROR(__xludf.DUMMYFUNCTION("IF(ISBLANK(K606),,SUBSTITUTE(IFERROR(JOIN("","",K606:Z606),JOIN("","",K606:Y606)),CHAR(10),""""))"),"")</f>
        <v/>
      </c>
      <c r="AC606" s="229" t="str">
        <f t="shared" si="1"/>
        <v/>
      </c>
    </row>
    <row r="607">
      <c r="K607" s="237"/>
      <c r="L607" s="238" t="str">
        <f t="shared" si="3"/>
        <v/>
      </c>
      <c r="M607" s="237"/>
      <c r="N607" s="238"/>
      <c r="O607" s="238" t="str">
        <f t="shared" si="4"/>
        <v/>
      </c>
      <c r="P607" s="238" t="str">
        <f t="shared" si="5"/>
        <v/>
      </c>
      <c r="Q607" s="238" t="str">
        <f t="shared" si="6"/>
        <v/>
      </c>
      <c r="R607" s="238" t="str">
        <f t="shared" si="7"/>
        <v/>
      </c>
      <c r="S607" s="238" t="str">
        <f t="shared" si="8"/>
        <v/>
      </c>
      <c r="T607" s="238"/>
      <c r="U607" s="237"/>
      <c r="V607" s="238"/>
      <c r="W607" s="238" t="str">
        <f t="shared" si="9"/>
        <v/>
      </c>
      <c r="X607" s="237" t="str">
        <f t="shared" ref="X607:Y607" si="599">IF(ISBLANK(H607),,""""&amp;H607&amp;"""")</f>
        <v/>
      </c>
      <c r="Y607" s="237" t="str">
        <f t="shared" si="599"/>
        <v/>
      </c>
      <c r="Z607" s="237" t="str">
        <f>IF(ISBLANK(K607),,Config!$C$3&amp;"&amp;range=BB"&amp;MATCH(K607,FRG!AE:AE,0))</f>
        <v/>
      </c>
      <c r="AB607" s="242" t="str">
        <f>IFERROR(__xludf.DUMMYFUNCTION("IF(ISBLANK(K607),,SUBSTITUTE(IFERROR(JOIN("","",K607:Z607),JOIN("","",K607:Y607)),CHAR(10),""""))"),"")</f>
        <v/>
      </c>
      <c r="AC607" s="229" t="str">
        <f t="shared" si="1"/>
        <v/>
      </c>
    </row>
    <row r="608">
      <c r="K608" s="237"/>
      <c r="L608" s="238" t="str">
        <f t="shared" si="3"/>
        <v/>
      </c>
      <c r="M608" s="237"/>
      <c r="N608" s="238"/>
      <c r="O608" s="238" t="str">
        <f t="shared" si="4"/>
        <v/>
      </c>
      <c r="P608" s="238" t="str">
        <f t="shared" si="5"/>
        <v/>
      </c>
      <c r="Q608" s="238" t="str">
        <f t="shared" si="6"/>
        <v/>
      </c>
      <c r="R608" s="238" t="str">
        <f t="shared" si="7"/>
        <v/>
      </c>
      <c r="S608" s="238" t="str">
        <f t="shared" si="8"/>
        <v/>
      </c>
      <c r="T608" s="238"/>
      <c r="U608" s="237"/>
      <c r="V608" s="238"/>
      <c r="W608" s="238" t="str">
        <f t="shared" si="9"/>
        <v/>
      </c>
      <c r="X608" s="237" t="str">
        <f t="shared" ref="X608:Y608" si="600">IF(ISBLANK(H608),,""""&amp;H608&amp;"""")</f>
        <v/>
      </c>
      <c r="Y608" s="237" t="str">
        <f t="shared" si="600"/>
        <v/>
      </c>
      <c r="Z608" s="237" t="str">
        <f>IF(ISBLANK(K608),,Config!$C$3&amp;"&amp;range=BB"&amp;MATCH(K608,FRG!AE:AE,0))</f>
        <v/>
      </c>
      <c r="AB608" s="242" t="str">
        <f>IFERROR(__xludf.DUMMYFUNCTION("IF(ISBLANK(K608),,SUBSTITUTE(IFERROR(JOIN("","",K608:Z608),JOIN("","",K608:Y608)),CHAR(10),""""))"),"")</f>
        <v/>
      </c>
      <c r="AC608" s="229" t="str">
        <f t="shared" si="1"/>
        <v/>
      </c>
    </row>
    <row r="609">
      <c r="K609" s="237"/>
      <c r="L609" s="238" t="str">
        <f t="shared" si="3"/>
        <v/>
      </c>
      <c r="M609" s="237"/>
      <c r="N609" s="238"/>
      <c r="O609" s="238" t="str">
        <f t="shared" si="4"/>
        <v/>
      </c>
      <c r="P609" s="238" t="str">
        <f t="shared" si="5"/>
        <v/>
      </c>
      <c r="Q609" s="238" t="str">
        <f t="shared" si="6"/>
        <v/>
      </c>
      <c r="R609" s="238" t="str">
        <f t="shared" si="7"/>
        <v/>
      </c>
      <c r="S609" s="238" t="str">
        <f t="shared" si="8"/>
        <v/>
      </c>
      <c r="T609" s="238"/>
      <c r="U609" s="237"/>
      <c r="V609" s="238"/>
      <c r="W609" s="238" t="str">
        <f t="shared" si="9"/>
        <v/>
      </c>
      <c r="X609" s="237" t="str">
        <f t="shared" ref="X609:Y609" si="601">IF(ISBLANK(H609),,""""&amp;H609&amp;"""")</f>
        <v/>
      </c>
      <c r="Y609" s="237" t="str">
        <f t="shared" si="601"/>
        <v/>
      </c>
      <c r="Z609" s="237" t="str">
        <f>IF(ISBLANK(K609),,Config!$C$3&amp;"&amp;range=BB"&amp;MATCH(K609,FRG!AE:AE,0))</f>
        <v/>
      </c>
      <c r="AB609" s="242" t="str">
        <f>IFERROR(__xludf.DUMMYFUNCTION("IF(ISBLANK(K609),,SUBSTITUTE(IFERROR(JOIN("","",K609:Z609),JOIN("","",K609:Y609)),CHAR(10),""""))"),"")</f>
        <v/>
      </c>
      <c r="AC609" s="229" t="str">
        <f t="shared" si="1"/>
        <v/>
      </c>
    </row>
    <row r="610">
      <c r="K610" s="237"/>
      <c r="L610" s="238" t="str">
        <f t="shared" si="3"/>
        <v/>
      </c>
      <c r="M610" s="237"/>
      <c r="N610" s="238"/>
      <c r="O610" s="238" t="str">
        <f t="shared" si="4"/>
        <v/>
      </c>
      <c r="P610" s="238" t="str">
        <f t="shared" si="5"/>
        <v/>
      </c>
      <c r="Q610" s="238" t="str">
        <f t="shared" si="6"/>
        <v/>
      </c>
      <c r="R610" s="238" t="str">
        <f t="shared" si="7"/>
        <v/>
      </c>
      <c r="S610" s="238" t="str">
        <f t="shared" si="8"/>
        <v/>
      </c>
      <c r="T610" s="238"/>
      <c r="U610" s="237"/>
      <c r="V610" s="238"/>
      <c r="W610" s="238" t="str">
        <f t="shared" si="9"/>
        <v/>
      </c>
      <c r="X610" s="237" t="str">
        <f t="shared" ref="X610:Y610" si="602">IF(ISBLANK(H610),,""""&amp;H610&amp;"""")</f>
        <v/>
      </c>
      <c r="Y610" s="237" t="str">
        <f t="shared" si="602"/>
        <v/>
      </c>
      <c r="Z610" s="237" t="str">
        <f>IF(ISBLANK(K610),,Config!$C$3&amp;"&amp;range=BB"&amp;MATCH(K610,FRG!AE:AE,0))</f>
        <v/>
      </c>
      <c r="AB610" s="242" t="str">
        <f>IFERROR(__xludf.DUMMYFUNCTION("IF(ISBLANK(K610),,SUBSTITUTE(IFERROR(JOIN("","",K610:Z610),JOIN("","",K610:Y610)),CHAR(10),""""))"),"")</f>
        <v/>
      </c>
      <c r="AC610" s="229" t="str">
        <f t="shared" si="1"/>
        <v/>
      </c>
    </row>
    <row r="611">
      <c r="K611" s="237"/>
      <c r="L611" s="238" t="str">
        <f t="shared" si="3"/>
        <v/>
      </c>
      <c r="M611" s="237"/>
      <c r="N611" s="238"/>
      <c r="O611" s="238" t="str">
        <f t="shared" si="4"/>
        <v/>
      </c>
      <c r="P611" s="238" t="str">
        <f t="shared" si="5"/>
        <v/>
      </c>
      <c r="Q611" s="238" t="str">
        <f t="shared" si="6"/>
        <v/>
      </c>
      <c r="R611" s="238" t="str">
        <f t="shared" si="7"/>
        <v/>
      </c>
      <c r="S611" s="238" t="str">
        <f t="shared" si="8"/>
        <v/>
      </c>
      <c r="T611" s="238"/>
      <c r="U611" s="237"/>
      <c r="V611" s="238"/>
      <c r="W611" s="238" t="str">
        <f t="shared" si="9"/>
        <v/>
      </c>
      <c r="X611" s="237" t="str">
        <f t="shared" ref="X611:Y611" si="603">IF(ISBLANK(H611),,""""&amp;H611&amp;"""")</f>
        <v/>
      </c>
      <c r="Y611" s="237" t="str">
        <f t="shared" si="603"/>
        <v/>
      </c>
      <c r="Z611" s="237" t="str">
        <f>IF(ISBLANK(K611),,Config!$C$3&amp;"&amp;range=BB"&amp;MATCH(K611,FRG!AE:AE,0))</f>
        <v/>
      </c>
      <c r="AB611" s="242" t="str">
        <f>IFERROR(__xludf.DUMMYFUNCTION("IF(ISBLANK(K611),,SUBSTITUTE(IFERROR(JOIN("","",K611:Z611),JOIN("","",K611:Y611)),CHAR(10),""""))"),"")</f>
        <v/>
      </c>
      <c r="AC611" s="229" t="str">
        <f t="shared" si="1"/>
        <v/>
      </c>
    </row>
    <row r="612">
      <c r="K612" s="237"/>
      <c r="L612" s="238" t="str">
        <f t="shared" si="3"/>
        <v/>
      </c>
      <c r="M612" s="237"/>
      <c r="N612" s="238"/>
      <c r="O612" s="238" t="str">
        <f t="shared" si="4"/>
        <v/>
      </c>
      <c r="P612" s="238" t="str">
        <f t="shared" si="5"/>
        <v/>
      </c>
      <c r="Q612" s="238" t="str">
        <f t="shared" si="6"/>
        <v/>
      </c>
      <c r="R612" s="238" t="str">
        <f t="shared" si="7"/>
        <v/>
      </c>
      <c r="S612" s="238" t="str">
        <f t="shared" si="8"/>
        <v/>
      </c>
      <c r="T612" s="238"/>
      <c r="U612" s="237"/>
      <c r="V612" s="238"/>
      <c r="W612" s="238" t="str">
        <f t="shared" si="9"/>
        <v/>
      </c>
      <c r="X612" s="237" t="str">
        <f t="shared" ref="X612:Y612" si="604">IF(ISBLANK(H612),,""""&amp;H612&amp;"""")</f>
        <v/>
      </c>
      <c r="Y612" s="237" t="str">
        <f t="shared" si="604"/>
        <v/>
      </c>
      <c r="Z612" s="237" t="str">
        <f>IF(ISBLANK(K612),,Config!$C$3&amp;"&amp;range=BB"&amp;MATCH(K612,FRG!AE:AE,0))</f>
        <v/>
      </c>
      <c r="AB612" s="242" t="str">
        <f>IFERROR(__xludf.DUMMYFUNCTION("IF(ISBLANK(K612),,SUBSTITUTE(IFERROR(JOIN("","",K612:Z612),JOIN("","",K612:Y612)),CHAR(10),""""))"),"")</f>
        <v/>
      </c>
      <c r="AC612" s="229" t="str">
        <f t="shared" si="1"/>
        <v/>
      </c>
    </row>
    <row r="613">
      <c r="K613" s="237"/>
      <c r="L613" s="238" t="str">
        <f t="shared" si="3"/>
        <v/>
      </c>
      <c r="M613" s="237"/>
      <c r="N613" s="238"/>
      <c r="O613" s="238" t="str">
        <f t="shared" si="4"/>
        <v/>
      </c>
      <c r="P613" s="238" t="str">
        <f t="shared" si="5"/>
        <v/>
      </c>
      <c r="Q613" s="238" t="str">
        <f t="shared" si="6"/>
        <v/>
      </c>
      <c r="R613" s="238" t="str">
        <f t="shared" si="7"/>
        <v/>
      </c>
      <c r="S613" s="238" t="str">
        <f t="shared" si="8"/>
        <v/>
      </c>
      <c r="T613" s="238"/>
      <c r="U613" s="237"/>
      <c r="V613" s="238"/>
      <c r="W613" s="238" t="str">
        <f t="shared" si="9"/>
        <v/>
      </c>
      <c r="X613" s="237" t="str">
        <f t="shared" ref="X613:Y613" si="605">IF(ISBLANK(H613),,""""&amp;H613&amp;"""")</f>
        <v/>
      </c>
      <c r="Y613" s="237" t="str">
        <f t="shared" si="605"/>
        <v/>
      </c>
      <c r="Z613" s="237" t="str">
        <f>IF(ISBLANK(K613),,Config!$C$3&amp;"&amp;range=BB"&amp;MATCH(K613,FRG!AE:AE,0))</f>
        <v/>
      </c>
      <c r="AB613" s="242" t="str">
        <f>IFERROR(__xludf.DUMMYFUNCTION("IF(ISBLANK(K613),,SUBSTITUTE(IFERROR(JOIN("","",K613:Z613),JOIN("","",K613:Y613)),CHAR(10),""""))"),"")</f>
        <v/>
      </c>
      <c r="AC613" s="229" t="str">
        <f t="shared" si="1"/>
        <v/>
      </c>
    </row>
    <row r="614">
      <c r="K614" s="237"/>
      <c r="L614" s="238" t="str">
        <f t="shared" si="3"/>
        <v/>
      </c>
      <c r="M614" s="237"/>
      <c r="N614" s="238"/>
      <c r="O614" s="238" t="str">
        <f t="shared" si="4"/>
        <v/>
      </c>
      <c r="P614" s="238" t="str">
        <f t="shared" si="5"/>
        <v/>
      </c>
      <c r="Q614" s="238" t="str">
        <f t="shared" si="6"/>
        <v/>
      </c>
      <c r="R614" s="238" t="str">
        <f t="shared" si="7"/>
        <v/>
      </c>
      <c r="S614" s="238" t="str">
        <f t="shared" si="8"/>
        <v/>
      </c>
      <c r="T614" s="238"/>
      <c r="U614" s="237"/>
      <c r="V614" s="238"/>
      <c r="W614" s="238" t="str">
        <f t="shared" si="9"/>
        <v/>
      </c>
      <c r="X614" s="237" t="str">
        <f t="shared" ref="X614:Y614" si="606">IF(ISBLANK(H614),,""""&amp;H614&amp;"""")</f>
        <v/>
      </c>
      <c r="Y614" s="237" t="str">
        <f t="shared" si="606"/>
        <v/>
      </c>
      <c r="Z614" s="237" t="str">
        <f>IF(ISBLANK(K614),,Config!$C$3&amp;"&amp;range=BB"&amp;MATCH(K614,FRG!AE:AE,0))</f>
        <v/>
      </c>
      <c r="AB614" s="242" t="str">
        <f>IFERROR(__xludf.DUMMYFUNCTION("IF(ISBLANK(K614),,SUBSTITUTE(IFERROR(JOIN("","",K614:Z614),JOIN("","",K614:Y614)),CHAR(10),""""))"),"")</f>
        <v/>
      </c>
      <c r="AC614" s="229" t="str">
        <f t="shared" si="1"/>
        <v/>
      </c>
    </row>
    <row r="615">
      <c r="K615" s="237"/>
      <c r="L615" s="238" t="str">
        <f t="shared" si="3"/>
        <v/>
      </c>
      <c r="M615" s="237"/>
      <c r="N615" s="238"/>
      <c r="O615" s="238" t="str">
        <f t="shared" si="4"/>
        <v/>
      </c>
      <c r="P615" s="238" t="str">
        <f t="shared" si="5"/>
        <v/>
      </c>
      <c r="Q615" s="238" t="str">
        <f t="shared" si="6"/>
        <v/>
      </c>
      <c r="R615" s="238" t="str">
        <f t="shared" si="7"/>
        <v/>
      </c>
      <c r="S615" s="238" t="str">
        <f t="shared" si="8"/>
        <v/>
      </c>
      <c r="T615" s="238"/>
      <c r="U615" s="237"/>
      <c r="V615" s="238"/>
      <c r="W615" s="238" t="str">
        <f t="shared" si="9"/>
        <v/>
      </c>
      <c r="X615" s="237" t="str">
        <f t="shared" ref="X615:Y615" si="607">IF(ISBLANK(H615),,""""&amp;H615&amp;"""")</f>
        <v/>
      </c>
      <c r="Y615" s="237" t="str">
        <f t="shared" si="607"/>
        <v/>
      </c>
      <c r="Z615" s="237" t="str">
        <f>IF(ISBLANK(K615),,Config!$C$3&amp;"&amp;range=BB"&amp;MATCH(K615,FRG!AE:AE,0))</f>
        <v/>
      </c>
      <c r="AB615" s="242" t="str">
        <f>IFERROR(__xludf.DUMMYFUNCTION("IF(ISBLANK(K615),,SUBSTITUTE(IFERROR(JOIN("","",K615:Z615),JOIN("","",K615:Y615)),CHAR(10),""""))"),"")</f>
        <v/>
      </c>
      <c r="AC615" s="229" t="str">
        <f t="shared" si="1"/>
        <v/>
      </c>
    </row>
    <row r="616">
      <c r="K616" s="237"/>
      <c r="L616" s="238" t="str">
        <f t="shared" si="3"/>
        <v/>
      </c>
      <c r="M616" s="237"/>
      <c r="N616" s="238"/>
      <c r="O616" s="238" t="str">
        <f t="shared" si="4"/>
        <v/>
      </c>
      <c r="P616" s="238" t="str">
        <f t="shared" si="5"/>
        <v/>
      </c>
      <c r="Q616" s="238" t="str">
        <f t="shared" si="6"/>
        <v/>
      </c>
      <c r="R616" s="238" t="str">
        <f t="shared" si="7"/>
        <v/>
      </c>
      <c r="S616" s="238" t="str">
        <f t="shared" si="8"/>
        <v/>
      </c>
      <c r="T616" s="238"/>
      <c r="U616" s="237"/>
      <c r="V616" s="238"/>
      <c r="W616" s="238" t="str">
        <f t="shared" si="9"/>
        <v/>
      </c>
      <c r="X616" s="237" t="str">
        <f t="shared" ref="X616:Y616" si="608">IF(ISBLANK(H616),,""""&amp;H616&amp;"""")</f>
        <v/>
      </c>
      <c r="Y616" s="237" t="str">
        <f t="shared" si="608"/>
        <v/>
      </c>
      <c r="Z616" s="237" t="str">
        <f>IF(ISBLANK(K616),,Config!$C$3&amp;"&amp;range=BB"&amp;MATCH(K616,FRG!AE:AE,0))</f>
        <v/>
      </c>
      <c r="AB616" s="242" t="str">
        <f>IFERROR(__xludf.DUMMYFUNCTION("IF(ISBLANK(K616),,SUBSTITUTE(IFERROR(JOIN("","",K616:Z616),JOIN("","",K616:Y616)),CHAR(10),""""))"),"")</f>
        <v/>
      </c>
      <c r="AC616" s="229" t="str">
        <f t="shared" si="1"/>
        <v/>
      </c>
    </row>
    <row r="617">
      <c r="K617" s="237"/>
      <c r="L617" s="238" t="str">
        <f t="shared" si="3"/>
        <v/>
      </c>
      <c r="M617" s="237"/>
      <c r="N617" s="238"/>
      <c r="O617" s="238" t="str">
        <f t="shared" si="4"/>
        <v/>
      </c>
      <c r="P617" s="238" t="str">
        <f t="shared" si="5"/>
        <v/>
      </c>
      <c r="Q617" s="238" t="str">
        <f t="shared" si="6"/>
        <v/>
      </c>
      <c r="R617" s="238" t="str">
        <f t="shared" si="7"/>
        <v/>
      </c>
      <c r="S617" s="238" t="str">
        <f t="shared" si="8"/>
        <v/>
      </c>
      <c r="T617" s="238"/>
      <c r="U617" s="237"/>
      <c r="V617" s="238"/>
      <c r="W617" s="238" t="str">
        <f t="shared" si="9"/>
        <v/>
      </c>
      <c r="X617" s="237" t="str">
        <f t="shared" ref="X617:Y617" si="609">IF(ISBLANK(H617),,""""&amp;H617&amp;"""")</f>
        <v/>
      </c>
      <c r="Y617" s="237" t="str">
        <f t="shared" si="609"/>
        <v/>
      </c>
      <c r="Z617" s="237" t="str">
        <f>IF(ISBLANK(K617),,Config!$C$3&amp;"&amp;range=BB"&amp;MATCH(K617,FRG!AE:AE,0))</f>
        <v/>
      </c>
      <c r="AB617" s="242" t="str">
        <f>IFERROR(__xludf.DUMMYFUNCTION("IF(ISBLANK(K617),,SUBSTITUTE(IFERROR(JOIN("","",K617:Z617),JOIN("","",K617:Y617)),CHAR(10),""""))"),"")</f>
        <v/>
      </c>
      <c r="AC617" s="229" t="str">
        <f t="shared" si="1"/>
        <v/>
      </c>
    </row>
    <row r="618">
      <c r="K618" s="237"/>
      <c r="L618" s="238" t="str">
        <f t="shared" si="3"/>
        <v/>
      </c>
      <c r="M618" s="237"/>
      <c r="N618" s="238"/>
      <c r="O618" s="238" t="str">
        <f t="shared" si="4"/>
        <v/>
      </c>
      <c r="P618" s="238" t="str">
        <f t="shared" si="5"/>
        <v/>
      </c>
      <c r="Q618" s="238" t="str">
        <f t="shared" si="6"/>
        <v/>
      </c>
      <c r="R618" s="238" t="str">
        <f t="shared" si="7"/>
        <v/>
      </c>
      <c r="S618" s="238" t="str">
        <f t="shared" si="8"/>
        <v/>
      </c>
      <c r="T618" s="238"/>
      <c r="U618" s="237"/>
      <c r="V618" s="238"/>
      <c r="W618" s="238" t="str">
        <f t="shared" si="9"/>
        <v/>
      </c>
      <c r="X618" s="237" t="str">
        <f t="shared" ref="X618:Y618" si="610">IF(ISBLANK(H618),,""""&amp;H618&amp;"""")</f>
        <v/>
      </c>
      <c r="Y618" s="237" t="str">
        <f t="shared" si="610"/>
        <v/>
      </c>
      <c r="Z618" s="237" t="str">
        <f>IF(ISBLANK(K618),,Config!$C$3&amp;"&amp;range=BB"&amp;MATCH(K618,FRG!AE:AE,0))</f>
        <v/>
      </c>
      <c r="AB618" s="242" t="str">
        <f>IFERROR(__xludf.DUMMYFUNCTION("IF(ISBLANK(K618),,SUBSTITUTE(IFERROR(JOIN("","",K618:Z618),JOIN("","",K618:Y618)),CHAR(10),""""))"),"")</f>
        <v/>
      </c>
      <c r="AC618" s="229" t="str">
        <f t="shared" si="1"/>
        <v/>
      </c>
    </row>
    <row r="619">
      <c r="K619" s="237"/>
      <c r="L619" s="238" t="str">
        <f t="shared" si="3"/>
        <v/>
      </c>
      <c r="M619" s="237"/>
      <c r="N619" s="238"/>
      <c r="O619" s="238" t="str">
        <f t="shared" si="4"/>
        <v/>
      </c>
      <c r="P619" s="238" t="str">
        <f t="shared" si="5"/>
        <v/>
      </c>
      <c r="Q619" s="238" t="str">
        <f t="shared" si="6"/>
        <v/>
      </c>
      <c r="R619" s="238" t="str">
        <f t="shared" si="7"/>
        <v/>
      </c>
      <c r="S619" s="238" t="str">
        <f t="shared" si="8"/>
        <v/>
      </c>
      <c r="T619" s="238"/>
      <c r="U619" s="237"/>
      <c r="V619" s="238"/>
      <c r="W619" s="238" t="str">
        <f t="shared" si="9"/>
        <v/>
      </c>
      <c r="X619" s="237" t="str">
        <f t="shared" ref="X619:Y619" si="611">IF(ISBLANK(H619),,""""&amp;H619&amp;"""")</f>
        <v/>
      </c>
      <c r="Y619" s="237" t="str">
        <f t="shared" si="611"/>
        <v/>
      </c>
      <c r="Z619" s="237" t="str">
        <f>IF(ISBLANK(K619),,Config!$C$3&amp;"&amp;range=BB"&amp;MATCH(K619,FRG!AE:AE,0))</f>
        <v/>
      </c>
      <c r="AB619" s="242" t="str">
        <f>IFERROR(__xludf.DUMMYFUNCTION("IF(ISBLANK(K619),,SUBSTITUTE(IFERROR(JOIN("","",K619:Z619),JOIN("","",K619:Y619)),CHAR(10),""""))"),"")</f>
        <v/>
      </c>
      <c r="AC619" s="229" t="str">
        <f t="shared" si="1"/>
        <v/>
      </c>
    </row>
    <row r="620">
      <c r="K620" s="237"/>
      <c r="L620" s="238" t="str">
        <f t="shared" si="3"/>
        <v/>
      </c>
      <c r="M620" s="237"/>
      <c r="N620" s="238"/>
      <c r="O620" s="238" t="str">
        <f t="shared" si="4"/>
        <v/>
      </c>
      <c r="P620" s="238" t="str">
        <f t="shared" si="5"/>
        <v/>
      </c>
      <c r="Q620" s="238" t="str">
        <f t="shared" si="6"/>
        <v/>
      </c>
      <c r="R620" s="238" t="str">
        <f t="shared" si="7"/>
        <v/>
      </c>
      <c r="S620" s="238" t="str">
        <f t="shared" si="8"/>
        <v/>
      </c>
      <c r="T620" s="238"/>
      <c r="U620" s="237"/>
      <c r="V620" s="238"/>
      <c r="W620" s="238" t="str">
        <f t="shared" si="9"/>
        <v/>
      </c>
      <c r="X620" s="237" t="str">
        <f t="shared" ref="X620:Y620" si="612">IF(ISBLANK(H620),,""""&amp;H620&amp;"""")</f>
        <v/>
      </c>
      <c r="Y620" s="237" t="str">
        <f t="shared" si="612"/>
        <v/>
      </c>
      <c r="Z620" s="237" t="str">
        <f>IF(ISBLANK(K620),,Config!$C$3&amp;"&amp;range=BB"&amp;MATCH(K620,FRG!AE:AE,0))</f>
        <v/>
      </c>
      <c r="AB620" s="242" t="str">
        <f>IFERROR(__xludf.DUMMYFUNCTION("IF(ISBLANK(K620),,SUBSTITUTE(IFERROR(JOIN("","",K620:Z620),JOIN("","",K620:Y620)),CHAR(10),""""))"),"")</f>
        <v/>
      </c>
      <c r="AC620" s="229" t="str">
        <f t="shared" si="1"/>
        <v/>
      </c>
    </row>
    <row r="621">
      <c r="K621" s="237"/>
      <c r="L621" s="238" t="str">
        <f t="shared" si="3"/>
        <v/>
      </c>
      <c r="M621" s="237"/>
      <c r="N621" s="238"/>
      <c r="O621" s="238" t="str">
        <f t="shared" si="4"/>
        <v/>
      </c>
      <c r="P621" s="238" t="str">
        <f t="shared" si="5"/>
        <v/>
      </c>
      <c r="Q621" s="238" t="str">
        <f t="shared" si="6"/>
        <v/>
      </c>
      <c r="R621" s="238" t="str">
        <f t="shared" si="7"/>
        <v/>
      </c>
      <c r="S621" s="238" t="str">
        <f t="shared" si="8"/>
        <v/>
      </c>
      <c r="T621" s="238"/>
      <c r="U621" s="237"/>
      <c r="V621" s="238"/>
      <c r="W621" s="238" t="str">
        <f t="shared" si="9"/>
        <v/>
      </c>
      <c r="X621" s="237" t="str">
        <f t="shared" ref="X621:Y621" si="613">IF(ISBLANK(H621),,""""&amp;H621&amp;"""")</f>
        <v/>
      </c>
      <c r="Y621" s="237" t="str">
        <f t="shared" si="613"/>
        <v/>
      </c>
      <c r="Z621" s="237" t="str">
        <f>IF(ISBLANK(K621),,Config!$C$3&amp;"&amp;range=BB"&amp;MATCH(K621,FRG!AE:AE,0))</f>
        <v/>
      </c>
      <c r="AB621" s="242" t="str">
        <f>IFERROR(__xludf.DUMMYFUNCTION("IF(ISBLANK(K621),,SUBSTITUTE(IFERROR(JOIN("","",K621:Z621),JOIN("","",K621:Y621)),CHAR(10),""""))"),"")</f>
        <v/>
      </c>
      <c r="AC621" s="229" t="str">
        <f t="shared" si="1"/>
        <v/>
      </c>
    </row>
    <row r="622">
      <c r="K622" s="237"/>
      <c r="L622" s="238" t="str">
        <f t="shared" si="3"/>
        <v/>
      </c>
      <c r="M622" s="237"/>
      <c r="N622" s="238"/>
      <c r="O622" s="238" t="str">
        <f t="shared" si="4"/>
        <v/>
      </c>
      <c r="P622" s="238" t="str">
        <f t="shared" si="5"/>
        <v/>
      </c>
      <c r="Q622" s="238" t="str">
        <f t="shared" si="6"/>
        <v/>
      </c>
      <c r="R622" s="238" t="str">
        <f t="shared" si="7"/>
        <v/>
      </c>
      <c r="S622" s="238" t="str">
        <f t="shared" si="8"/>
        <v/>
      </c>
      <c r="T622" s="238"/>
      <c r="U622" s="237"/>
      <c r="V622" s="238"/>
      <c r="W622" s="238" t="str">
        <f t="shared" si="9"/>
        <v/>
      </c>
      <c r="X622" s="237" t="str">
        <f t="shared" ref="X622:Y622" si="614">IF(ISBLANK(H622),,""""&amp;H622&amp;"""")</f>
        <v/>
      </c>
      <c r="Y622" s="237" t="str">
        <f t="shared" si="614"/>
        <v/>
      </c>
      <c r="Z622" s="237" t="str">
        <f>IF(ISBLANK(K622),,Config!$C$3&amp;"&amp;range=BB"&amp;MATCH(K622,FRG!AE:AE,0))</f>
        <v/>
      </c>
      <c r="AB622" s="242" t="str">
        <f>IFERROR(__xludf.DUMMYFUNCTION("IF(ISBLANK(K622),,SUBSTITUTE(IFERROR(JOIN("","",K622:Z622),JOIN("","",K622:Y622)),CHAR(10),""""))"),"")</f>
        <v/>
      </c>
      <c r="AC622" s="229" t="str">
        <f t="shared" si="1"/>
        <v/>
      </c>
    </row>
    <row r="623">
      <c r="K623" s="237"/>
      <c r="L623" s="238" t="str">
        <f t="shared" si="3"/>
        <v/>
      </c>
      <c r="M623" s="237"/>
      <c r="N623" s="238"/>
      <c r="O623" s="238" t="str">
        <f t="shared" si="4"/>
        <v/>
      </c>
      <c r="P623" s="238" t="str">
        <f t="shared" si="5"/>
        <v/>
      </c>
      <c r="Q623" s="238" t="str">
        <f t="shared" si="6"/>
        <v/>
      </c>
      <c r="R623" s="238" t="str">
        <f t="shared" si="7"/>
        <v/>
      </c>
      <c r="S623" s="238" t="str">
        <f t="shared" si="8"/>
        <v/>
      </c>
      <c r="T623" s="238"/>
      <c r="U623" s="237"/>
      <c r="V623" s="238"/>
      <c r="W623" s="238" t="str">
        <f t="shared" si="9"/>
        <v/>
      </c>
      <c r="X623" s="237" t="str">
        <f t="shared" ref="X623:Y623" si="615">IF(ISBLANK(H623),,""""&amp;H623&amp;"""")</f>
        <v/>
      </c>
      <c r="Y623" s="237" t="str">
        <f t="shared" si="615"/>
        <v/>
      </c>
      <c r="Z623" s="237" t="str">
        <f>IF(ISBLANK(K623),,Config!$C$3&amp;"&amp;range=BB"&amp;MATCH(K623,FRG!AE:AE,0))</f>
        <v/>
      </c>
      <c r="AB623" s="242" t="str">
        <f>IFERROR(__xludf.DUMMYFUNCTION("IF(ISBLANK(K623),,SUBSTITUTE(IFERROR(JOIN("","",K623:Z623),JOIN("","",K623:Y623)),CHAR(10),""""))"),"")</f>
        <v/>
      </c>
      <c r="AC623" s="229" t="str">
        <f t="shared" si="1"/>
        <v/>
      </c>
    </row>
    <row r="624">
      <c r="K624" s="237"/>
      <c r="L624" s="238" t="str">
        <f t="shared" si="3"/>
        <v/>
      </c>
      <c r="M624" s="237"/>
      <c r="N624" s="238"/>
      <c r="O624" s="238" t="str">
        <f t="shared" si="4"/>
        <v/>
      </c>
      <c r="P624" s="238" t="str">
        <f t="shared" si="5"/>
        <v/>
      </c>
      <c r="Q624" s="238" t="str">
        <f t="shared" si="6"/>
        <v/>
      </c>
      <c r="R624" s="238" t="str">
        <f t="shared" si="7"/>
        <v/>
      </c>
      <c r="S624" s="238" t="str">
        <f t="shared" si="8"/>
        <v/>
      </c>
      <c r="T624" s="238"/>
      <c r="U624" s="237"/>
      <c r="V624" s="238"/>
      <c r="W624" s="238" t="str">
        <f t="shared" si="9"/>
        <v/>
      </c>
      <c r="X624" s="237" t="str">
        <f t="shared" ref="X624:Y624" si="616">IF(ISBLANK(H624),,""""&amp;H624&amp;"""")</f>
        <v/>
      </c>
      <c r="Y624" s="237" t="str">
        <f t="shared" si="616"/>
        <v/>
      </c>
      <c r="Z624" s="237" t="str">
        <f>IF(ISBLANK(K624),,Config!$C$3&amp;"&amp;range=BB"&amp;MATCH(K624,FRG!AE:AE,0))</f>
        <v/>
      </c>
      <c r="AB624" s="242" t="str">
        <f>IFERROR(__xludf.DUMMYFUNCTION("IF(ISBLANK(K624),,SUBSTITUTE(IFERROR(JOIN("","",K624:Z624),JOIN("","",K624:Y624)),CHAR(10),""""))"),"")</f>
        <v/>
      </c>
      <c r="AC624" s="229" t="str">
        <f t="shared" si="1"/>
        <v/>
      </c>
    </row>
    <row r="625">
      <c r="K625" s="237"/>
      <c r="L625" s="238" t="str">
        <f t="shared" si="3"/>
        <v/>
      </c>
      <c r="M625" s="237"/>
      <c r="N625" s="238"/>
      <c r="O625" s="238" t="str">
        <f t="shared" si="4"/>
        <v/>
      </c>
      <c r="P625" s="238" t="str">
        <f t="shared" si="5"/>
        <v/>
      </c>
      <c r="Q625" s="238" t="str">
        <f t="shared" si="6"/>
        <v/>
      </c>
      <c r="R625" s="238" t="str">
        <f t="shared" si="7"/>
        <v/>
      </c>
      <c r="S625" s="238" t="str">
        <f t="shared" si="8"/>
        <v/>
      </c>
      <c r="T625" s="238"/>
      <c r="U625" s="237"/>
      <c r="V625" s="238"/>
      <c r="W625" s="238" t="str">
        <f t="shared" si="9"/>
        <v/>
      </c>
      <c r="X625" s="237" t="str">
        <f t="shared" ref="X625:Y625" si="617">IF(ISBLANK(H625),,""""&amp;H625&amp;"""")</f>
        <v/>
      </c>
      <c r="Y625" s="237" t="str">
        <f t="shared" si="617"/>
        <v/>
      </c>
      <c r="Z625" s="237" t="str">
        <f>IF(ISBLANK(K625),,Config!$C$3&amp;"&amp;range=BB"&amp;MATCH(K625,FRG!AE:AE,0))</f>
        <v/>
      </c>
      <c r="AB625" s="242" t="str">
        <f>IFERROR(__xludf.DUMMYFUNCTION("IF(ISBLANK(K625),,SUBSTITUTE(IFERROR(JOIN("","",K625:Z625),JOIN("","",K625:Y625)),CHAR(10),""""))"),"")</f>
        <v/>
      </c>
      <c r="AC625" s="229" t="str">
        <f t="shared" si="1"/>
        <v/>
      </c>
    </row>
    <row r="626">
      <c r="K626" s="237"/>
      <c r="L626" s="238" t="str">
        <f t="shared" si="3"/>
        <v/>
      </c>
      <c r="M626" s="237"/>
      <c r="N626" s="238"/>
      <c r="O626" s="238" t="str">
        <f t="shared" si="4"/>
        <v/>
      </c>
      <c r="P626" s="238" t="str">
        <f t="shared" si="5"/>
        <v/>
      </c>
      <c r="Q626" s="238" t="str">
        <f t="shared" si="6"/>
        <v/>
      </c>
      <c r="R626" s="238" t="str">
        <f t="shared" si="7"/>
        <v/>
      </c>
      <c r="S626" s="238" t="str">
        <f t="shared" si="8"/>
        <v/>
      </c>
      <c r="T626" s="238"/>
      <c r="U626" s="237"/>
      <c r="V626" s="238"/>
      <c r="W626" s="238" t="str">
        <f t="shared" si="9"/>
        <v/>
      </c>
      <c r="X626" s="237" t="str">
        <f t="shared" ref="X626:Y626" si="618">IF(ISBLANK(H626),,""""&amp;H626&amp;"""")</f>
        <v/>
      </c>
      <c r="Y626" s="237" t="str">
        <f t="shared" si="618"/>
        <v/>
      </c>
      <c r="Z626" s="237" t="str">
        <f>IF(ISBLANK(K626),,Config!$C$3&amp;"&amp;range=BB"&amp;MATCH(K626,FRG!AE:AE,0))</f>
        <v/>
      </c>
      <c r="AB626" s="242" t="str">
        <f>IFERROR(__xludf.DUMMYFUNCTION("IF(ISBLANK(K626),,SUBSTITUTE(IFERROR(JOIN("","",K626:Z626),JOIN("","",K626:Y626)),CHAR(10),""""))"),"")</f>
        <v/>
      </c>
      <c r="AC626" s="229" t="str">
        <f t="shared" si="1"/>
        <v/>
      </c>
    </row>
    <row r="627">
      <c r="K627" s="237"/>
      <c r="L627" s="238" t="str">
        <f t="shared" si="3"/>
        <v/>
      </c>
      <c r="M627" s="237"/>
      <c r="N627" s="238"/>
      <c r="O627" s="238" t="str">
        <f t="shared" si="4"/>
        <v/>
      </c>
      <c r="P627" s="238" t="str">
        <f t="shared" si="5"/>
        <v/>
      </c>
      <c r="Q627" s="238" t="str">
        <f t="shared" si="6"/>
        <v/>
      </c>
      <c r="R627" s="238" t="str">
        <f t="shared" si="7"/>
        <v/>
      </c>
      <c r="S627" s="238" t="str">
        <f t="shared" si="8"/>
        <v/>
      </c>
      <c r="T627" s="238"/>
      <c r="U627" s="237"/>
      <c r="V627" s="238"/>
      <c r="W627" s="238" t="str">
        <f t="shared" si="9"/>
        <v/>
      </c>
      <c r="X627" s="237" t="str">
        <f t="shared" ref="X627:Y627" si="619">IF(ISBLANK(H627),,""""&amp;H627&amp;"""")</f>
        <v/>
      </c>
      <c r="Y627" s="237" t="str">
        <f t="shared" si="619"/>
        <v/>
      </c>
      <c r="Z627" s="237" t="str">
        <f>IF(ISBLANK(K627),,Config!$C$3&amp;"&amp;range=BB"&amp;MATCH(K627,FRG!AE:AE,0))</f>
        <v/>
      </c>
      <c r="AB627" s="242" t="str">
        <f>IFERROR(__xludf.DUMMYFUNCTION("IF(ISBLANK(K627),,SUBSTITUTE(IFERROR(JOIN("","",K627:Z627),JOIN("","",K627:Y627)),CHAR(10),""""))"),"")</f>
        <v/>
      </c>
      <c r="AC627" s="229" t="str">
        <f t="shared" si="1"/>
        <v/>
      </c>
    </row>
    <row r="628">
      <c r="K628" s="237"/>
      <c r="L628" s="238" t="str">
        <f t="shared" si="3"/>
        <v/>
      </c>
      <c r="M628" s="237"/>
      <c r="N628" s="238"/>
      <c r="O628" s="238" t="str">
        <f t="shared" si="4"/>
        <v/>
      </c>
      <c r="P628" s="238" t="str">
        <f t="shared" si="5"/>
        <v/>
      </c>
      <c r="Q628" s="238" t="str">
        <f t="shared" si="6"/>
        <v/>
      </c>
      <c r="R628" s="238" t="str">
        <f t="shared" si="7"/>
        <v/>
      </c>
      <c r="S628" s="238" t="str">
        <f t="shared" si="8"/>
        <v/>
      </c>
      <c r="T628" s="238"/>
      <c r="U628" s="237"/>
      <c r="V628" s="238"/>
      <c r="W628" s="238" t="str">
        <f t="shared" si="9"/>
        <v/>
      </c>
      <c r="X628" s="237" t="str">
        <f t="shared" ref="X628:Y628" si="620">IF(ISBLANK(H628),,""""&amp;H628&amp;"""")</f>
        <v/>
      </c>
      <c r="Y628" s="237" t="str">
        <f t="shared" si="620"/>
        <v/>
      </c>
      <c r="Z628" s="237" t="str">
        <f>IF(ISBLANK(K628),,Config!$C$3&amp;"&amp;range=BB"&amp;MATCH(K628,FRG!AE:AE,0))</f>
        <v/>
      </c>
      <c r="AB628" s="242" t="str">
        <f>IFERROR(__xludf.DUMMYFUNCTION("IF(ISBLANK(K628),,SUBSTITUTE(IFERROR(JOIN("","",K628:Z628),JOIN("","",K628:Y628)),CHAR(10),""""))"),"")</f>
        <v/>
      </c>
      <c r="AC628" s="229" t="str">
        <f t="shared" si="1"/>
        <v/>
      </c>
    </row>
    <row r="629">
      <c r="K629" s="237"/>
      <c r="L629" s="238" t="str">
        <f t="shared" si="3"/>
        <v/>
      </c>
      <c r="M629" s="237"/>
      <c r="N629" s="238"/>
      <c r="O629" s="238" t="str">
        <f t="shared" si="4"/>
        <v/>
      </c>
      <c r="P629" s="238" t="str">
        <f t="shared" si="5"/>
        <v/>
      </c>
      <c r="Q629" s="238" t="str">
        <f t="shared" si="6"/>
        <v/>
      </c>
      <c r="R629" s="238" t="str">
        <f t="shared" si="7"/>
        <v/>
      </c>
      <c r="S629" s="238" t="str">
        <f t="shared" si="8"/>
        <v/>
      </c>
      <c r="T629" s="238"/>
      <c r="U629" s="237"/>
      <c r="V629" s="238"/>
      <c r="W629" s="238" t="str">
        <f t="shared" si="9"/>
        <v/>
      </c>
      <c r="X629" s="237" t="str">
        <f t="shared" ref="X629:Y629" si="621">IF(ISBLANK(H629),,""""&amp;H629&amp;"""")</f>
        <v/>
      </c>
      <c r="Y629" s="237" t="str">
        <f t="shared" si="621"/>
        <v/>
      </c>
      <c r="Z629" s="237" t="str">
        <f>IF(ISBLANK(K629),,Config!$C$3&amp;"&amp;range=BB"&amp;MATCH(K629,FRG!AE:AE,0))</f>
        <v/>
      </c>
      <c r="AB629" s="242" t="str">
        <f>IFERROR(__xludf.DUMMYFUNCTION("IF(ISBLANK(K629),,SUBSTITUTE(IFERROR(JOIN("","",K629:Z629),JOIN("","",K629:Y629)),CHAR(10),""""))"),"")</f>
        <v/>
      </c>
      <c r="AC629" s="229" t="str">
        <f t="shared" si="1"/>
        <v/>
      </c>
    </row>
    <row r="630">
      <c r="K630" s="237"/>
      <c r="L630" s="238" t="str">
        <f t="shared" si="3"/>
        <v/>
      </c>
      <c r="M630" s="237"/>
      <c r="N630" s="238"/>
      <c r="O630" s="238" t="str">
        <f t="shared" si="4"/>
        <v/>
      </c>
      <c r="P630" s="238" t="str">
        <f t="shared" si="5"/>
        <v/>
      </c>
      <c r="Q630" s="238" t="str">
        <f t="shared" si="6"/>
        <v/>
      </c>
      <c r="R630" s="238" t="str">
        <f t="shared" si="7"/>
        <v/>
      </c>
      <c r="S630" s="238" t="str">
        <f t="shared" si="8"/>
        <v/>
      </c>
      <c r="T630" s="238"/>
      <c r="U630" s="237"/>
      <c r="V630" s="238"/>
      <c r="W630" s="238" t="str">
        <f t="shared" si="9"/>
        <v/>
      </c>
      <c r="X630" s="237" t="str">
        <f t="shared" ref="X630:Y630" si="622">IF(ISBLANK(H630),,""""&amp;H630&amp;"""")</f>
        <v/>
      </c>
      <c r="Y630" s="237" t="str">
        <f t="shared" si="622"/>
        <v/>
      </c>
      <c r="Z630" s="237" t="str">
        <f>IF(ISBLANK(K630),,Config!$C$3&amp;"&amp;range=BB"&amp;MATCH(K630,FRG!AE:AE,0))</f>
        <v/>
      </c>
      <c r="AB630" s="242" t="str">
        <f>IFERROR(__xludf.DUMMYFUNCTION("IF(ISBLANK(K630),,SUBSTITUTE(IFERROR(JOIN("","",K630:Z630),JOIN("","",K630:Y630)),CHAR(10),""""))"),"")</f>
        <v/>
      </c>
      <c r="AC630" s="229" t="str">
        <f t="shared" si="1"/>
        <v/>
      </c>
    </row>
    <row r="631">
      <c r="K631" s="237"/>
      <c r="L631" s="238" t="str">
        <f t="shared" si="3"/>
        <v/>
      </c>
      <c r="M631" s="237"/>
      <c r="N631" s="238"/>
      <c r="O631" s="238" t="str">
        <f t="shared" si="4"/>
        <v/>
      </c>
      <c r="P631" s="238" t="str">
        <f t="shared" si="5"/>
        <v/>
      </c>
      <c r="Q631" s="238" t="str">
        <f t="shared" si="6"/>
        <v/>
      </c>
      <c r="R631" s="238" t="str">
        <f t="shared" si="7"/>
        <v/>
      </c>
      <c r="S631" s="238" t="str">
        <f t="shared" si="8"/>
        <v/>
      </c>
      <c r="T631" s="238"/>
      <c r="U631" s="237"/>
      <c r="V631" s="238"/>
      <c r="W631" s="238" t="str">
        <f t="shared" si="9"/>
        <v/>
      </c>
      <c r="X631" s="237" t="str">
        <f t="shared" ref="X631:Y631" si="623">IF(ISBLANK(H631),,""""&amp;H631&amp;"""")</f>
        <v/>
      </c>
      <c r="Y631" s="237" t="str">
        <f t="shared" si="623"/>
        <v/>
      </c>
      <c r="Z631" s="237" t="str">
        <f>IF(ISBLANK(K631),,Config!$C$3&amp;"&amp;range=BB"&amp;MATCH(K631,FRG!AE:AE,0))</f>
        <v/>
      </c>
      <c r="AB631" s="242" t="str">
        <f>IFERROR(__xludf.DUMMYFUNCTION("IF(ISBLANK(K631),,SUBSTITUTE(IFERROR(JOIN("","",K631:Z631),JOIN("","",K631:Y631)),CHAR(10),""""))"),"")</f>
        <v/>
      </c>
      <c r="AC631" s="229" t="str">
        <f t="shared" si="1"/>
        <v/>
      </c>
    </row>
    <row r="632">
      <c r="K632" s="237"/>
      <c r="L632" s="238" t="str">
        <f t="shared" si="3"/>
        <v/>
      </c>
      <c r="M632" s="237"/>
      <c r="N632" s="238"/>
      <c r="O632" s="238" t="str">
        <f t="shared" si="4"/>
        <v/>
      </c>
      <c r="P632" s="238" t="str">
        <f t="shared" si="5"/>
        <v/>
      </c>
      <c r="Q632" s="238" t="str">
        <f t="shared" si="6"/>
        <v/>
      </c>
      <c r="R632" s="238" t="str">
        <f t="shared" si="7"/>
        <v/>
      </c>
      <c r="S632" s="238" t="str">
        <f t="shared" si="8"/>
        <v/>
      </c>
      <c r="T632" s="238"/>
      <c r="U632" s="237"/>
      <c r="V632" s="238"/>
      <c r="W632" s="238" t="str">
        <f t="shared" si="9"/>
        <v/>
      </c>
      <c r="X632" s="237" t="str">
        <f t="shared" ref="X632:Y632" si="624">IF(ISBLANK(H632),,""""&amp;H632&amp;"""")</f>
        <v/>
      </c>
      <c r="Y632" s="237" t="str">
        <f t="shared" si="624"/>
        <v/>
      </c>
      <c r="Z632" s="237" t="str">
        <f>IF(ISBLANK(K632),,Config!$C$3&amp;"&amp;range=BB"&amp;MATCH(K632,FRG!AE:AE,0))</f>
        <v/>
      </c>
      <c r="AB632" s="242" t="str">
        <f>IFERROR(__xludf.DUMMYFUNCTION("IF(ISBLANK(K632),,SUBSTITUTE(IFERROR(JOIN("","",K632:Z632),JOIN("","",K632:Y632)),CHAR(10),""""))"),"")</f>
        <v/>
      </c>
      <c r="AC632" s="229" t="str">
        <f t="shared" si="1"/>
        <v/>
      </c>
    </row>
    <row r="633">
      <c r="K633" s="237"/>
      <c r="L633" s="238" t="str">
        <f t="shared" si="3"/>
        <v/>
      </c>
      <c r="M633" s="237"/>
      <c r="N633" s="238"/>
      <c r="O633" s="238" t="str">
        <f t="shared" si="4"/>
        <v/>
      </c>
      <c r="P633" s="238" t="str">
        <f t="shared" si="5"/>
        <v/>
      </c>
      <c r="Q633" s="238" t="str">
        <f t="shared" si="6"/>
        <v/>
      </c>
      <c r="R633" s="238" t="str">
        <f t="shared" si="7"/>
        <v/>
      </c>
      <c r="S633" s="238" t="str">
        <f t="shared" si="8"/>
        <v/>
      </c>
      <c r="T633" s="238"/>
      <c r="U633" s="237"/>
      <c r="V633" s="238"/>
      <c r="W633" s="238" t="str">
        <f t="shared" si="9"/>
        <v/>
      </c>
      <c r="X633" s="237" t="str">
        <f t="shared" ref="X633:Y633" si="625">IF(ISBLANK(H633),,""""&amp;H633&amp;"""")</f>
        <v/>
      </c>
      <c r="Y633" s="237" t="str">
        <f t="shared" si="625"/>
        <v/>
      </c>
      <c r="Z633" s="237" t="str">
        <f>IF(ISBLANK(K633),,Config!$C$3&amp;"&amp;range=BB"&amp;MATCH(K633,FRG!AE:AE,0))</f>
        <v/>
      </c>
      <c r="AB633" s="242" t="str">
        <f>IFERROR(__xludf.DUMMYFUNCTION("IF(ISBLANK(K633),,SUBSTITUTE(IFERROR(JOIN("","",K633:Z633),JOIN("","",K633:Y633)),CHAR(10),""""))"),"")</f>
        <v/>
      </c>
      <c r="AC633" s="229" t="str">
        <f t="shared" si="1"/>
        <v/>
      </c>
    </row>
    <row r="634">
      <c r="K634" s="237"/>
      <c r="L634" s="238" t="str">
        <f t="shared" si="3"/>
        <v/>
      </c>
      <c r="M634" s="237"/>
      <c r="N634" s="238"/>
      <c r="O634" s="238" t="str">
        <f t="shared" si="4"/>
        <v/>
      </c>
      <c r="P634" s="238" t="str">
        <f t="shared" si="5"/>
        <v/>
      </c>
      <c r="Q634" s="238" t="str">
        <f t="shared" si="6"/>
        <v/>
      </c>
      <c r="R634" s="238" t="str">
        <f t="shared" si="7"/>
        <v/>
      </c>
      <c r="S634" s="238" t="str">
        <f t="shared" si="8"/>
        <v/>
      </c>
      <c r="T634" s="238"/>
      <c r="U634" s="237"/>
      <c r="V634" s="238"/>
      <c r="W634" s="238" t="str">
        <f t="shared" si="9"/>
        <v/>
      </c>
      <c r="X634" s="237" t="str">
        <f t="shared" ref="X634:Y634" si="626">IF(ISBLANK(H634),,""""&amp;H634&amp;"""")</f>
        <v/>
      </c>
      <c r="Y634" s="237" t="str">
        <f t="shared" si="626"/>
        <v/>
      </c>
      <c r="Z634" s="237" t="str">
        <f>IF(ISBLANK(K634),,Config!$C$3&amp;"&amp;range=BB"&amp;MATCH(K634,FRG!AE:AE,0))</f>
        <v/>
      </c>
      <c r="AB634" s="242" t="str">
        <f>IFERROR(__xludf.DUMMYFUNCTION("IF(ISBLANK(K634),,SUBSTITUTE(IFERROR(JOIN("","",K634:Z634),JOIN("","",K634:Y634)),CHAR(10),""""))"),"")</f>
        <v/>
      </c>
      <c r="AC634" s="229" t="str">
        <f t="shared" si="1"/>
        <v/>
      </c>
    </row>
    <row r="635">
      <c r="K635" s="237"/>
      <c r="L635" s="238" t="str">
        <f t="shared" si="3"/>
        <v/>
      </c>
      <c r="M635" s="237"/>
      <c r="N635" s="238"/>
      <c r="O635" s="238" t="str">
        <f t="shared" si="4"/>
        <v/>
      </c>
      <c r="P635" s="238" t="str">
        <f t="shared" si="5"/>
        <v/>
      </c>
      <c r="Q635" s="238" t="str">
        <f t="shared" si="6"/>
        <v/>
      </c>
      <c r="R635" s="238" t="str">
        <f t="shared" si="7"/>
        <v/>
      </c>
      <c r="S635" s="238" t="str">
        <f t="shared" si="8"/>
        <v/>
      </c>
      <c r="T635" s="238"/>
      <c r="U635" s="237"/>
      <c r="V635" s="238"/>
      <c r="W635" s="238" t="str">
        <f t="shared" si="9"/>
        <v/>
      </c>
      <c r="X635" s="237" t="str">
        <f t="shared" ref="X635:Y635" si="627">IF(ISBLANK(H635),,""""&amp;H635&amp;"""")</f>
        <v/>
      </c>
      <c r="Y635" s="237" t="str">
        <f t="shared" si="627"/>
        <v/>
      </c>
      <c r="Z635" s="237" t="str">
        <f>IF(ISBLANK(K635),,Config!$C$3&amp;"&amp;range=BB"&amp;MATCH(K635,FRG!AE:AE,0))</f>
        <v/>
      </c>
      <c r="AB635" s="242" t="str">
        <f>IFERROR(__xludf.DUMMYFUNCTION("IF(ISBLANK(K635),,SUBSTITUTE(IFERROR(JOIN("","",K635:Z635),JOIN("","",K635:Y635)),CHAR(10),""""))"),"")</f>
        <v/>
      </c>
      <c r="AC635" s="229" t="str">
        <f t="shared" si="1"/>
        <v/>
      </c>
    </row>
    <row r="636">
      <c r="K636" s="237"/>
      <c r="L636" s="238" t="str">
        <f t="shared" si="3"/>
        <v/>
      </c>
      <c r="M636" s="237"/>
      <c r="N636" s="238"/>
      <c r="O636" s="238" t="str">
        <f t="shared" si="4"/>
        <v/>
      </c>
      <c r="P636" s="238" t="str">
        <f t="shared" si="5"/>
        <v/>
      </c>
      <c r="Q636" s="238" t="str">
        <f t="shared" si="6"/>
        <v/>
      </c>
      <c r="R636" s="238" t="str">
        <f t="shared" si="7"/>
        <v/>
      </c>
      <c r="S636" s="238" t="str">
        <f t="shared" si="8"/>
        <v/>
      </c>
      <c r="T636" s="238"/>
      <c r="U636" s="237"/>
      <c r="V636" s="238"/>
      <c r="W636" s="238" t="str">
        <f t="shared" si="9"/>
        <v/>
      </c>
      <c r="X636" s="237" t="str">
        <f t="shared" ref="X636:Y636" si="628">IF(ISBLANK(H636),,""""&amp;H636&amp;"""")</f>
        <v/>
      </c>
      <c r="Y636" s="237" t="str">
        <f t="shared" si="628"/>
        <v/>
      </c>
      <c r="Z636" s="237" t="str">
        <f>IF(ISBLANK(K636),,Config!$C$3&amp;"&amp;range=BB"&amp;MATCH(K636,FRG!AE:AE,0))</f>
        <v/>
      </c>
      <c r="AB636" s="242" t="str">
        <f>IFERROR(__xludf.DUMMYFUNCTION("IF(ISBLANK(K636),,SUBSTITUTE(IFERROR(JOIN("","",K636:Z636),JOIN("","",K636:Y636)),CHAR(10),""""))"),"")</f>
        <v/>
      </c>
      <c r="AC636" s="229" t="str">
        <f t="shared" si="1"/>
        <v/>
      </c>
    </row>
    <row r="637">
      <c r="K637" s="237"/>
      <c r="L637" s="238" t="str">
        <f t="shared" si="3"/>
        <v/>
      </c>
      <c r="M637" s="237"/>
      <c r="N637" s="238"/>
      <c r="O637" s="238" t="str">
        <f t="shared" si="4"/>
        <v/>
      </c>
      <c r="P637" s="238" t="str">
        <f t="shared" si="5"/>
        <v/>
      </c>
      <c r="Q637" s="238" t="str">
        <f t="shared" si="6"/>
        <v/>
      </c>
      <c r="R637" s="238" t="str">
        <f t="shared" si="7"/>
        <v/>
      </c>
      <c r="S637" s="238" t="str">
        <f t="shared" si="8"/>
        <v/>
      </c>
      <c r="T637" s="238"/>
      <c r="U637" s="237"/>
      <c r="V637" s="238"/>
      <c r="W637" s="238" t="str">
        <f t="shared" si="9"/>
        <v/>
      </c>
      <c r="X637" s="237" t="str">
        <f t="shared" ref="X637:Y637" si="629">IF(ISBLANK(H637),,""""&amp;H637&amp;"""")</f>
        <v/>
      </c>
      <c r="Y637" s="237" t="str">
        <f t="shared" si="629"/>
        <v/>
      </c>
      <c r="Z637" s="237" t="str">
        <f>IF(ISBLANK(K637),,Config!$C$3&amp;"&amp;range=BB"&amp;MATCH(K637,FRG!AE:AE,0))</f>
        <v/>
      </c>
      <c r="AB637" s="242" t="str">
        <f>IFERROR(__xludf.DUMMYFUNCTION("IF(ISBLANK(K637),,SUBSTITUTE(IFERROR(JOIN("","",K637:Z637),JOIN("","",K637:Y637)),CHAR(10),""""))"),"")</f>
        <v/>
      </c>
      <c r="AC637" s="229" t="str">
        <f t="shared" si="1"/>
        <v/>
      </c>
    </row>
    <row r="638">
      <c r="K638" s="237"/>
      <c r="L638" s="238" t="str">
        <f t="shared" si="3"/>
        <v/>
      </c>
      <c r="M638" s="237"/>
      <c r="N638" s="238"/>
      <c r="O638" s="238" t="str">
        <f t="shared" si="4"/>
        <v/>
      </c>
      <c r="P638" s="238" t="str">
        <f t="shared" si="5"/>
        <v/>
      </c>
      <c r="Q638" s="238" t="str">
        <f t="shared" si="6"/>
        <v/>
      </c>
      <c r="R638" s="238" t="str">
        <f t="shared" si="7"/>
        <v/>
      </c>
      <c r="S638" s="238" t="str">
        <f t="shared" si="8"/>
        <v/>
      </c>
      <c r="T638" s="238"/>
      <c r="U638" s="237"/>
      <c r="V638" s="238"/>
      <c r="W638" s="238" t="str">
        <f t="shared" si="9"/>
        <v/>
      </c>
      <c r="X638" s="237" t="str">
        <f t="shared" ref="X638:Y638" si="630">IF(ISBLANK(H638),,""""&amp;H638&amp;"""")</f>
        <v/>
      </c>
      <c r="Y638" s="237" t="str">
        <f t="shared" si="630"/>
        <v/>
      </c>
      <c r="Z638" s="237" t="str">
        <f>IF(ISBLANK(K638),,Config!$C$3&amp;"&amp;range=BB"&amp;MATCH(K638,FRG!AE:AE,0))</f>
        <v/>
      </c>
      <c r="AB638" s="242" t="str">
        <f>IFERROR(__xludf.DUMMYFUNCTION("IF(ISBLANK(K638),,SUBSTITUTE(IFERROR(JOIN("","",K638:Z638),JOIN("","",K638:Y638)),CHAR(10),""""))"),"")</f>
        <v/>
      </c>
      <c r="AC638" s="229" t="str">
        <f t="shared" si="1"/>
        <v/>
      </c>
    </row>
    <row r="639">
      <c r="K639" s="237"/>
      <c r="L639" s="238" t="str">
        <f t="shared" si="3"/>
        <v/>
      </c>
      <c r="M639" s="237"/>
      <c r="N639" s="238"/>
      <c r="O639" s="238" t="str">
        <f t="shared" si="4"/>
        <v/>
      </c>
      <c r="P639" s="238" t="str">
        <f t="shared" si="5"/>
        <v/>
      </c>
      <c r="Q639" s="238" t="str">
        <f t="shared" si="6"/>
        <v/>
      </c>
      <c r="R639" s="238" t="str">
        <f t="shared" si="7"/>
        <v/>
      </c>
      <c r="S639" s="238" t="str">
        <f t="shared" si="8"/>
        <v/>
      </c>
      <c r="T639" s="238"/>
      <c r="U639" s="237"/>
      <c r="V639" s="238"/>
      <c r="W639" s="238" t="str">
        <f t="shared" si="9"/>
        <v/>
      </c>
      <c r="X639" s="237" t="str">
        <f t="shared" ref="X639:Y639" si="631">IF(ISBLANK(H639),,""""&amp;H639&amp;"""")</f>
        <v/>
      </c>
      <c r="Y639" s="237" t="str">
        <f t="shared" si="631"/>
        <v/>
      </c>
      <c r="Z639" s="237" t="str">
        <f>IF(ISBLANK(K639),,Config!$C$3&amp;"&amp;range=BB"&amp;MATCH(K639,FRG!AE:AE,0))</f>
        <v/>
      </c>
      <c r="AB639" s="242" t="str">
        <f>IFERROR(__xludf.DUMMYFUNCTION("IF(ISBLANK(K639),,SUBSTITUTE(IFERROR(JOIN("","",K639:Z639),JOIN("","",K639:Y639)),CHAR(10),""""))"),"")</f>
        <v/>
      </c>
      <c r="AC639" s="229" t="str">
        <f t="shared" si="1"/>
        <v/>
      </c>
    </row>
    <row r="640">
      <c r="K640" s="237"/>
      <c r="L640" s="238" t="str">
        <f t="shared" si="3"/>
        <v/>
      </c>
      <c r="M640" s="237"/>
      <c r="N640" s="238"/>
      <c r="O640" s="238" t="str">
        <f t="shared" si="4"/>
        <v/>
      </c>
      <c r="P640" s="238" t="str">
        <f t="shared" si="5"/>
        <v/>
      </c>
      <c r="Q640" s="238" t="str">
        <f t="shared" si="6"/>
        <v/>
      </c>
      <c r="R640" s="238" t="str">
        <f t="shared" si="7"/>
        <v/>
      </c>
      <c r="S640" s="238" t="str">
        <f t="shared" si="8"/>
        <v/>
      </c>
      <c r="T640" s="238"/>
      <c r="U640" s="237"/>
      <c r="V640" s="238"/>
      <c r="W640" s="238" t="str">
        <f t="shared" si="9"/>
        <v/>
      </c>
      <c r="X640" s="237" t="str">
        <f t="shared" ref="X640:Y640" si="632">IF(ISBLANK(H640),,""""&amp;H640&amp;"""")</f>
        <v/>
      </c>
      <c r="Y640" s="237" t="str">
        <f t="shared" si="632"/>
        <v/>
      </c>
      <c r="Z640" s="237" t="str">
        <f>IF(ISBLANK(K640),,Config!$C$3&amp;"&amp;range=BB"&amp;MATCH(K640,FRG!AE:AE,0))</f>
        <v/>
      </c>
      <c r="AB640" s="242" t="str">
        <f>IFERROR(__xludf.DUMMYFUNCTION("IF(ISBLANK(K640),,SUBSTITUTE(IFERROR(JOIN("","",K640:Z640),JOIN("","",K640:Y640)),CHAR(10),""""))"),"")</f>
        <v/>
      </c>
      <c r="AC640" s="229" t="str">
        <f t="shared" si="1"/>
        <v/>
      </c>
    </row>
    <row r="641">
      <c r="K641" s="237"/>
      <c r="L641" s="238" t="str">
        <f t="shared" si="3"/>
        <v/>
      </c>
      <c r="M641" s="237"/>
      <c r="N641" s="238"/>
      <c r="O641" s="238" t="str">
        <f t="shared" si="4"/>
        <v/>
      </c>
      <c r="P641" s="238" t="str">
        <f t="shared" si="5"/>
        <v/>
      </c>
      <c r="Q641" s="238" t="str">
        <f t="shared" si="6"/>
        <v/>
      </c>
      <c r="R641" s="238" t="str">
        <f t="shared" si="7"/>
        <v/>
      </c>
      <c r="S641" s="238" t="str">
        <f t="shared" si="8"/>
        <v/>
      </c>
      <c r="T641" s="238"/>
      <c r="U641" s="237"/>
      <c r="V641" s="238"/>
      <c r="W641" s="238" t="str">
        <f t="shared" si="9"/>
        <v/>
      </c>
      <c r="X641" s="237" t="str">
        <f t="shared" ref="X641:Y641" si="633">IF(ISBLANK(H641),,""""&amp;H641&amp;"""")</f>
        <v/>
      </c>
      <c r="Y641" s="237" t="str">
        <f t="shared" si="633"/>
        <v/>
      </c>
      <c r="Z641" s="237" t="str">
        <f>IF(ISBLANK(K641),,Config!$C$3&amp;"&amp;range=BB"&amp;MATCH(K641,FRG!AE:AE,0))</f>
        <v/>
      </c>
      <c r="AB641" s="242" t="str">
        <f>IFERROR(__xludf.DUMMYFUNCTION("IF(ISBLANK(K641),,SUBSTITUTE(IFERROR(JOIN("","",K641:Z641),JOIN("","",K641:Y641)),CHAR(10),""""))"),"")</f>
        <v/>
      </c>
      <c r="AC641" s="229" t="str">
        <f t="shared" si="1"/>
        <v/>
      </c>
    </row>
    <row r="642">
      <c r="K642" s="237"/>
      <c r="L642" s="238" t="str">
        <f t="shared" si="3"/>
        <v/>
      </c>
      <c r="M642" s="237"/>
      <c r="N642" s="238"/>
      <c r="O642" s="238" t="str">
        <f t="shared" si="4"/>
        <v/>
      </c>
      <c r="P642" s="238" t="str">
        <f t="shared" si="5"/>
        <v/>
      </c>
      <c r="Q642" s="238" t="str">
        <f t="shared" si="6"/>
        <v/>
      </c>
      <c r="R642" s="238" t="str">
        <f t="shared" si="7"/>
        <v/>
      </c>
      <c r="S642" s="238" t="str">
        <f t="shared" si="8"/>
        <v/>
      </c>
      <c r="T642" s="238"/>
      <c r="U642" s="237"/>
      <c r="V642" s="238"/>
      <c r="W642" s="238" t="str">
        <f t="shared" si="9"/>
        <v/>
      </c>
      <c r="X642" s="237" t="str">
        <f t="shared" ref="X642:Y642" si="634">IF(ISBLANK(H642),,""""&amp;H642&amp;"""")</f>
        <v/>
      </c>
      <c r="Y642" s="237" t="str">
        <f t="shared" si="634"/>
        <v/>
      </c>
      <c r="Z642" s="237" t="str">
        <f>IF(ISBLANK(K642),,Config!$C$3&amp;"&amp;range=BB"&amp;MATCH(K642,FRG!AE:AE,0))</f>
        <v/>
      </c>
      <c r="AB642" s="242" t="str">
        <f>IFERROR(__xludf.DUMMYFUNCTION("IF(ISBLANK(K642),,SUBSTITUTE(IFERROR(JOIN("","",K642:Z642),JOIN("","",K642:Y642)),CHAR(10),""""))"),"")</f>
        <v/>
      </c>
      <c r="AC642" s="229" t="str">
        <f t="shared" si="1"/>
        <v/>
      </c>
    </row>
    <row r="643">
      <c r="K643" s="237"/>
      <c r="L643" s="238" t="str">
        <f t="shared" si="3"/>
        <v/>
      </c>
      <c r="M643" s="237"/>
      <c r="N643" s="238"/>
      <c r="O643" s="238" t="str">
        <f t="shared" si="4"/>
        <v/>
      </c>
      <c r="P643" s="238" t="str">
        <f t="shared" si="5"/>
        <v/>
      </c>
      <c r="Q643" s="238" t="str">
        <f t="shared" si="6"/>
        <v/>
      </c>
      <c r="R643" s="238" t="str">
        <f t="shared" si="7"/>
        <v/>
      </c>
      <c r="S643" s="238" t="str">
        <f t="shared" si="8"/>
        <v/>
      </c>
      <c r="T643" s="238"/>
      <c r="U643" s="237"/>
      <c r="V643" s="238"/>
      <c r="W643" s="238" t="str">
        <f t="shared" si="9"/>
        <v/>
      </c>
      <c r="X643" s="237" t="str">
        <f t="shared" ref="X643:Y643" si="635">IF(ISBLANK(H643),,""""&amp;H643&amp;"""")</f>
        <v/>
      </c>
      <c r="Y643" s="237" t="str">
        <f t="shared" si="635"/>
        <v/>
      </c>
      <c r="Z643" s="237" t="str">
        <f>IF(ISBLANK(K643),,Config!$C$3&amp;"&amp;range=BB"&amp;MATCH(K643,FRG!AE:AE,0))</f>
        <v/>
      </c>
      <c r="AB643" s="242" t="str">
        <f>IFERROR(__xludf.DUMMYFUNCTION("IF(ISBLANK(K643),,SUBSTITUTE(IFERROR(JOIN("","",K643:Z643),JOIN("","",K643:Y643)),CHAR(10),""""))"),"")</f>
        <v/>
      </c>
      <c r="AC643" s="229" t="str">
        <f t="shared" si="1"/>
        <v/>
      </c>
    </row>
    <row r="644">
      <c r="K644" s="237"/>
      <c r="L644" s="238" t="str">
        <f t="shared" si="3"/>
        <v/>
      </c>
      <c r="M644" s="237"/>
      <c r="N644" s="238"/>
      <c r="O644" s="238" t="str">
        <f t="shared" si="4"/>
        <v/>
      </c>
      <c r="P644" s="238" t="str">
        <f t="shared" si="5"/>
        <v/>
      </c>
      <c r="Q644" s="238" t="str">
        <f t="shared" si="6"/>
        <v/>
      </c>
      <c r="R644" s="238" t="str">
        <f t="shared" si="7"/>
        <v/>
      </c>
      <c r="S644" s="238" t="str">
        <f t="shared" si="8"/>
        <v/>
      </c>
      <c r="T644" s="238"/>
      <c r="U644" s="237"/>
      <c r="V644" s="238"/>
      <c r="W644" s="238" t="str">
        <f t="shared" si="9"/>
        <v/>
      </c>
      <c r="X644" s="237" t="str">
        <f t="shared" ref="X644:Y644" si="636">IF(ISBLANK(H644),,""""&amp;H644&amp;"""")</f>
        <v/>
      </c>
      <c r="Y644" s="237" t="str">
        <f t="shared" si="636"/>
        <v/>
      </c>
      <c r="Z644" s="237" t="str">
        <f>IF(ISBLANK(K644),,Config!$C$3&amp;"&amp;range=BB"&amp;MATCH(K644,FRG!AE:AE,0))</f>
        <v/>
      </c>
      <c r="AB644" s="242" t="str">
        <f>IFERROR(__xludf.DUMMYFUNCTION("IF(ISBLANK(K644),,SUBSTITUTE(IFERROR(JOIN("","",K644:Z644),JOIN("","",K644:Y644)),CHAR(10),""""))"),"")</f>
        <v/>
      </c>
      <c r="AC644" s="229" t="str">
        <f t="shared" si="1"/>
        <v/>
      </c>
    </row>
    <row r="645">
      <c r="K645" s="237"/>
      <c r="L645" s="238" t="str">
        <f t="shared" si="3"/>
        <v/>
      </c>
      <c r="M645" s="237"/>
      <c r="N645" s="238"/>
      <c r="O645" s="238" t="str">
        <f t="shared" si="4"/>
        <v/>
      </c>
      <c r="P645" s="238" t="str">
        <f t="shared" si="5"/>
        <v/>
      </c>
      <c r="Q645" s="238" t="str">
        <f t="shared" si="6"/>
        <v/>
      </c>
      <c r="R645" s="238" t="str">
        <f t="shared" si="7"/>
        <v/>
      </c>
      <c r="S645" s="238" t="str">
        <f t="shared" si="8"/>
        <v/>
      </c>
      <c r="T645" s="238"/>
      <c r="U645" s="237"/>
      <c r="V645" s="238"/>
      <c r="W645" s="238" t="str">
        <f t="shared" si="9"/>
        <v/>
      </c>
      <c r="X645" s="237" t="str">
        <f t="shared" ref="X645:Y645" si="637">IF(ISBLANK(H645),,""""&amp;H645&amp;"""")</f>
        <v/>
      </c>
      <c r="Y645" s="237" t="str">
        <f t="shared" si="637"/>
        <v/>
      </c>
      <c r="Z645" s="237" t="str">
        <f>IF(ISBLANK(K645),,Config!$C$3&amp;"&amp;range=BB"&amp;MATCH(K645,FRG!AE:AE,0))</f>
        <v/>
      </c>
      <c r="AB645" s="242" t="str">
        <f>IFERROR(__xludf.DUMMYFUNCTION("IF(ISBLANK(K645),,SUBSTITUTE(IFERROR(JOIN("","",K645:Z645),JOIN("","",K645:Y645)),CHAR(10),""""))"),"")</f>
        <v/>
      </c>
      <c r="AC645" s="229" t="str">
        <f t="shared" si="1"/>
        <v/>
      </c>
    </row>
    <row r="646">
      <c r="K646" s="237"/>
      <c r="L646" s="238" t="str">
        <f t="shared" si="3"/>
        <v/>
      </c>
      <c r="M646" s="237"/>
      <c r="N646" s="238"/>
      <c r="O646" s="238" t="str">
        <f t="shared" si="4"/>
        <v/>
      </c>
      <c r="P646" s="238" t="str">
        <f t="shared" si="5"/>
        <v/>
      </c>
      <c r="Q646" s="238" t="str">
        <f t="shared" si="6"/>
        <v/>
      </c>
      <c r="R646" s="238" t="str">
        <f t="shared" si="7"/>
        <v/>
      </c>
      <c r="S646" s="238" t="str">
        <f t="shared" si="8"/>
        <v/>
      </c>
      <c r="T646" s="238"/>
      <c r="U646" s="237"/>
      <c r="V646" s="238"/>
      <c r="W646" s="238" t="str">
        <f t="shared" si="9"/>
        <v/>
      </c>
      <c r="X646" s="237" t="str">
        <f t="shared" ref="X646:Y646" si="638">IF(ISBLANK(H646),,""""&amp;H646&amp;"""")</f>
        <v/>
      </c>
      <c r="Y646" s="237" t="str">
        <f t="shared" si="638"/>
        <v/>
      </c>
      <c r="Z646" s="237" t="str">
        <f>IF(ISBLANK(K646),,Config!$C$3&amp;"&amp;range=BB"&amp;MATCH(K646,FRG!AE:AE,0))</f>
        <v/>
      </c>
      <c r="AB646" s="242" t="str">
        <f>IFERROR(__xludf.DUMMYFUNCTION("IF(ISBLANK(K646),,SUBSTITUTE(IFERROR(JOIN("","",K646:Z646),JOIN("","",K646:Y646)),CHAR(10),""""))"),"")</f>
        <v/>
      </c>
      <c r="AC646" s="229" t="str">
        <f t="shared" si="1"/>
        <v/>
      </c>
    </row>
    <row r="647">
      <c r="K647" s="237"/>
      <c r="L647" s="238" t="str">
        <f t="shared" si="3"/>
        <v/>
      </c>
      <c r="M647" s="237"/>
      <c r="N647" s="238"/>
      <c r="O647" s="238" t="str">
        <f t="shared" si="4"/>
        <v/>
      </c>
      <c r="P647" s="238" t="str">
        <f t="shared" si="5"/>
        <v/>
      </c>
      <c r="Q647" s="238" t="str">
        <f t="shared" si="6"/>
        <v/>
      </c>
      <c r="R647" s="238" t="str">
        <f t="shared" si="7"/>
        <v/>
      </c>
      <c r="S647" s="238" t="str">
        <f t="shared" si="8"/>
        <v/>
      </c>
      <c r="T647" s="238"/>
      <c r="U647" s="237"/>
      <c r="V647" s="238"/>
      <c r="W647" s="238" t="str">
        <f t="shared" si="9"/>
        <v/>
      </c>
      <c r="X647" s="237" t="str">
        <f t="shared" ref="X647:Y647" si="639">IF(ISBLANK(H647),,""""&amp;H647&amp;"""")</f>
        <v/>
      </c>
      <c r="Y647" s="237" t="str">
        <f t="shared" si="639"/>
        <v/>
      </c>
      <c r="Z647" s="237" t="str">
        <f>IF(ISBLANK(K647),,Config!$C$3&amp;"&amp;range=BB"&amp;MATCH(K647,FRG!AE:AE,0))</f>
        <v/>
      </c>
      <c r="AB647" s="242" t="str">
        <f>IFERROR(__xludf.DUMMYFUNCTION("IF(ISBLANK(K647),,SUBSTITUTE(IFERROR(JOIN("","",K647:Z647),JOIN("","",K647:Y647)),CHAR(10),""""))"),"")</f>
        <v/>
      </c>
      <c r="AC647" s="229" t="str">
        <f t="shared" si="1"/>
        <v/>
      </c>
    </row>
    <row r="648">
      <c r="K648" s="237"/>
      <c r="L648" s="238" t="str">
        <f t="shared" si="3"/>
        <v/>
      </c>
      <c r="M648" s="237"/>
      <c r="N648" s="238"/>
      <c r="O648" s="238" t="str">
        <f t="shared" si="4"/>
        <v/>
      </c>
      <c r="P648" s="238" t="str">
        <f t="shared" si="5"/>
        <v/>
      </c>
      <c r="Q648" s="238" t="str">
        <f t="shared" si="6"/>
        <v/>
      </c>
      <c r="R648" s="238" t="str">
        <f t="shared" si="7"/>
        <v/>
      </c>
      <c r="S648" s="238" t="str">
        <f t="shared" si="8"/>
        <v/>
      </c>
      <c r="T648" s="238"/>
      <c r="U648" s="237"/>
      <c r="V648" s="238"/>
      <c r="W648" s="238" t="str">
        <f t="shared" si="9"/>
        <v/>
      </c>
      <c r="X648" s="237" t="str">
        <f t="shared" ref="X648:Y648" si="640">IF(ISBLANK(H648),,""""&amp;H648&amp;"""")</f>
        <v/>
      </c>
      <c r="Y648" s="237" t="str">
        <f t="shared" si="640"/>
        <v/>
      </c>
      <c r="Z648" s="237" t="str">
        <f>IF(ISBLANK(K648),,Config!$C$3&amp;"&amp;range=BB"&amp;MATCH(K648,FRG!AE:AE,0))</f>
        <v/>
      </c>
      <c r="AB648" s="242" t="str">
        <f>IFERROR(__xludf.DUMMYFUNCTION("IF(ISBLANK(K648),,SUBSTITUTE(IFERROR(JOIN("","",K648:Z648),JOIN("","",K648:Y648)),CHAR(10),""""))"),"")</f>
        <v/>
      </c>
      <c r="AC648" s="229" t="str">
        <f t="shared" si="1"/>
        <v/>
      </c>
    </row>
    <row r="649">
      <c r="K649" s="237"/>
      <c r="L649" s="238" t="str">
        <f t="shared" si="3"/>
        <v/>
      </c>
      <c r="M649" s="237"/>
      <c r="N649" s="238"/>
      <c r="O649" s="238" t="str">
        <f t="shared" si="4"/>
        <v/>
      </c>
      <c r="P649" s="238" t="str">
        <f t="shared" si="5"/>
        <v/>
      </c>
      <c r="Q649" s="238" t="str">
        <f t="shared" si="6"/>
        <v/>
      </c>
      <c r="R649" s="238" t="str">
        <f t="shared" si="7"/>
        <v/>
      </c>
      <c r="S649" s="238" t="str">
        <f t="shared" si="8"/>
        <v/>
      </c>
      <c r="T649" s="238"/>
      <c r="U649" s="237"/>
      <c r="V649" s="238"/>
      <c r="W649" s="238" t="str">
        <f t="shared" si="9"/>
        <v/>
      </c>
      <c r="X649" s="237" t="str">
        <f t="shared" ref="X649:Y649" si="641">IF(ISBLANK(H649),,""""&amp;H649&amp;"""")</f>
        <v/>
      </c>
      <c r="Y649" s="237" t="str">
        <f t="shared" si="641"/>
        <v/>
      </c>
      <c r="Z649" s="237" t="str">
        <f>IF(ISBLANK(K649),,Config!$C$3&amp;"&amp;range=BB"&amp;MATCH(K649,FRG!AE:AE,0))</f>
        <v/>
      </c>
      <c r="AB649" s="242" t="str">
        <f>IFERROR(__xludf.DUMMYFUNCTION("IF(ISBLANK(K649),,SUBSTITUTE(IFERROR(JOIN("","",K649:Z649),JOIN("","",K649:Y649)),CHAR(10),""""))"),"")</f>
        <v/>
      </c>
      <c r="AC649" s="229" t="str">
        <f t="shared" si="1"/>
        <v/>
      </c>
    </row>
    <row r="650">
      <c r="K650" s="237"/>
      <c r="L650" s="238" t="str">
        <f t="shared" si="3"/>
        <v/>
      </c>
      <c r="M650" s="237"/>
      <c r="N650" s="238"/>
      <c r="O650" s="238" t="str">
        <f t="shared" si="4"/>
        <v/>
      </c>
      <c r="P650" s="238" t="str">
        <f t="shared" si="5"/>
        <v/>
      </c>
      <c r="Q650" s="238" t="str">
        <f t="shared" si="6"/>
        <v/>
      </c>
      <c r="R650" s="238" t="str">
        <f t="shared" si="7"/>
        <v/>
      </c>
      <c r="S650" s="238" t="str">
        <f t="shared" si="8"/>
        <v/>
      </c>
      <c r="T650" s="238"/>
      <c r="U650" s="237"/>
      <c r="V650" s="238"/>
      <c r="W650" s="238" t="str">
        <f t="shared" si="9"/>
        <v/>
      </c>
      <c r="X650" s="237" t="str">
        <f t="shared" ref="X650:Y650" si="642">IF(ISBLANK(H650),,""""&amp;H650&amp;"""")</f>
        <v/>
      </c>
      <c r="Y650" s="237" t="str">
        <f t="shared" si="642"/>
        <v/>
      </c>
      <c r="Z650" s="237" t="str">
        <f>IF(ISBLANK(K650),,Config!$C$3&amp;"&amp;range=BB"&amp;MATCH(K650,FRG!AE:AE,0))</f>
        <v/>
      </c>
      <c r="AB650" s="242" t="str">
        <f>IFERROR(__xludf.DUMMYFUNCTION("IF(ISBLANK(K650),,SUBSTITUTE(IFERROR(JOIN("","",K650:Z650),JOIN("","",K650:Y650)),CHAR(10),""""))"),"")</f>
        <v/>
      </c>
      <c r="AC650" s="229" t="str">
        <f t="shared" si="1"/>
        <v/>
      </c>
    </row>
    <row r="651">
      <c r="K651" s="237"/>
      <c r="L651" s="238" t="str">
        <f t="shared" si="3"/>
        <v/>
      </c>
      <c r="M651" s="237"/>
      <c r="N651" s="238"/>
      <c r="O651" s="238" t="str">
        <f t="shared" si="4"/>
        <v/>
      </c>
      <c r="P651" s="238" t="str">
        <f t="shared" si="5"/>
        <v/>
      </c>
      <c r="Q651" s="238" t="str">
        <f t="shared" si="6"/>
        <v/>
      </c>
      <c r="R651" s="238" t="str">
        <f t="shared" si="7"/>
        <v/>
      </c>
      <c r="S651" s="238" t="str">
        <f t="shared" si="8"/>
        <v/>
      </c>
      <c r="T651" s="238"/>
      <c r="U651" s="237"/>
      <c r="V651" s="238"/>
      <c r="W651" s="238" t="str">
        <f t="shared" si="9"/>
        <v/>
      </c>
      <c r="X651" s="237" t="str">
        <f t="shared" ref="X651:Y651" si="643">IF(ISBLANK(H651),,""""&amp;H651&amp;"""")</f>
        <v/>
      </c>
      <c r="Y651" s="237" t="str">
        <f t="shared" si="643"/>
        <v/>
      </c>
      <c r="Z651" s="237" t="str">
        <f>IF(ISBLANK(K651),,Config!$C$3&amp;"&amp;range=BB"&amp;MATCH(K651,FRG!AE:AE,0))</f>
        <v/>
      </c>
      <c r="AB651" s="242" t="str">
        <f>IFERROR(__xludf.DUMMYFUNCTION("IF(ISBLANK(K651),,SUBSTITUTE(IFERROR(JOIN("","",K651:Z651),JOIN("","",K651:Y651)),CHAR(10),""""))"),"")</f>
        <v/>
      </c>
      <c r="AC651" s="229" t="str">
        <f t="shared" si="1"/>
        <v/>
      </c>
    </row>
    <row r="652">
      <c r="K652" s="237"/>
      <c r="L652" s="238" t="str">
        <f t="shared" si="3"/>
        <v/>
      </c>
      <c r="M652" s="237"/>
      <c r="N652" s="238"/>
      <c r="O652" s="238" t="str">
        <f t="shared" si="4"/>
        <v/>
      </c>
      <c r="P652" s="238" t="str">
        <f t="shared" si="5"/>
        <v/>
      </c>
      <c r="Q652" s="238" t="str">
        <f t="shared" si="6"/>
        <v/>
      </c>
      <c r="R652" s="238" t="str">
        <f t="shared" si="7"/>
        <v/>
      </c>
      <c r="S652" s="238" t="str">
        <f t="shared" si="8"/>
        <v/>
      </c>
      <c r="T652" s="238"/>
      <c r="U652" s="237"/>
      <c r="V652" s="238"/>
      <c r="W652" s="238" t="str">
        <f t="shared" si="9"/>
        <v/>
      </c>
      <c r="X652" s="237" t="str">
        <f t="shared" ref="X652:Y652" si="644">IF(ISBLANK(H652),,""""&amp;H652&amp;"""")</f>
        <v/>
      </c>
      <c r="Y652" s="237" t="str">
        <f t="shared" si="644"/>
        <v/>
      </c>
      <c r="Z652" s="237" t="str">
        <f>IF(ISBLANK(K652),,Config!$C$3&amp;"&amp;range=BB"&amp;MATCH(K652,FRG!AE:AE,0))</f>
        <v/>
      </c>
      <c r="AB652" s="242" t="str">
        <f>IFERROR(__xludf.DUMMYFUNCTION("IF(ISBLANK(K652),,SUBSTITUTE(IFERROR(JOIN("","",K652:Z652),JOIN("","",K652:Y652)),CHAR(10),""""))"),"")</f>
        <v/>
      </c>
      <c r="AC652" s="229" t="str">
        <f t="shared" si="1"/>
        <v/>
      </c>
    </row>
    <row r="653">
      <c r="K653" s="237"/>
      <c r="L653" s="238" t="str">
        <f t="shared" si="3"/>
        <v/>
      </c>
      <c r="M653" s="237"/>
      <c r="N653" s="238"/>
      <c r="O653" s="238" t="str">
        <f t="shared" si="4"/>
        <v/>
      </c>
      <c r="P653" s="238" t="str">
        <f t="shared" si="5"/>
        <v/>
      </c>
      <c r="Q653" s="238" t="str">
        <f t="shared" si="6"/>
        <v/>
      </c>
      <c r="R653" s="238" t="str">
        <f t="shared" si="7"/>
        <v/>
      </c>
      <c r="S653" s="238" t="str">
        <f t="shared" si="8"/>
        <v/>
      </c>
      <c r="T653" s="238"/>
      <c r="U653" s="237"/>
      <c r="V653" s="238"/>
      <c r="W653" s="238" t="str">
        <f t="shared" si="9"/>
        <v/>
      </c>
      <c r="X653" s="237" t="str">
        <f t="shared" ref="X653:Y653" si="645">IF(ISBLANK(H653),,""""&amp;H653&amp;"""")</f>
        <v/>
      </c>
      <c r="Y653" s="237" t="str">
        <f t="shared" si="645"/>
        <v/>
      </c>
      <c r="Z653" s="237" t="str">
        <f>IF(ISBLANK(K653),,Config!$C$3&amp;"&amp;range=BB"&amp;MATCH(K653,FRG!AE:AE,0))</f>
        <v/>
      </c>
      <c r="AB653" s="242" t="str">
        <f>IFERROR(__xludf.DUMMYFUNCTION("IF(ISBLANK(K653),,SUBSTITUTE(IFERROR(JOIN("","",K653:Z653),JOIN("","",K653:Y653)),CHAR(10),""""))"),"")</f>
        <v/>
      </c>
      <c r="AC653" s="229" t="str">
        <f t="shared" si="1"/>
        <v/>
      </c>
    </row>
    <row r="654">
      <c r="K654" s="237"/>
      <c r="L654" s="238" t="str">
        <f t="shared" si="3"/>
        <v/>
      </c>
      <c r="M654" s="237"/>
      <c r="N654" s="238"/>
      <c r="O654" s="238" t="str">
        <f t="shared" si="4"/>
        <v/>
      </c>
      <c r="P654" s="238" t="str">
        <f t="shared" si="5"/>
        <v/>
      </c>
      <c r="Q654" s="238" t="str">
        <f t="shared" si="6"/>
        <v/>
      </c>
      <c r="R654" s="238" t="str">
        <f t="shared" si="7"/>
        <v/>
      </c>
      <c r="S654" s="238" t="str">
        <f t="shared" si="8"/>
        <v/>
      </c>
      <c r="T654" s="238"/>
      <c r="U654" s="237"/>
      <c r="V654" s="238"/>
      <c r="W654" s="238" t="str">
        <f t="shared" si="9"/>
        <v/>
      </c>
      <c r="X654" s="237" t="str">
        <f t="shared" ref="X654:Y654" si="646">IF(ISBLANK(H654),,""""&amp;H654&amp;"""")</f>
        <v/>
      </c>
      <c r="Y654" s="237" t="str">
        <f t="shared" si="646"/>
        <v/>
      </c>
      <c r="Z654" s="237" t="str">
        <f>IF(ISBLANK(K654),,Config!$C$3&amp;"&amp;range=BB"&amp;MATCH(K654,FRG!AE:AE,0))</f>
        <v/>
      </c>
      <c r="AB654" s="242" t="str">
        <f>IFERROR(__xludf.DUMMYFUNCTION("IF(ISBLANK(K654),,SUBSTITUTE(IFERROR(JOIN("","",K654:Z654),JOIN("","",K654:Y654)),CHAR(10),""""))"),"")</f>
        <v/>
      </c>
      <c r="AC654" s="229" t="str">
        <f t="shared" si="1"/>
        <v/>
      </c>
    </row>
    <row r="655">
      <c r="K655" s="237"/>
      <c r="L655" s="238" t="str">
        <f t="shared" si="3"/>
        <v/>
      </c>
      <c r="M655" s="237"/>
      <c r="N655" s="238"/>
      <c r="O655" s="238" t="str">
        <f t="shared" si="4"/>
        <v/>
      </c>
      <c r="P655" s="238" t="str">
        <f t="shared" si="5"/>
        <v/>
      </c>
      <c r="Q655" s="238" t="str">
        <f t="shared" si="6"/>
        <v/>
      </c>
      <c r="R655" s="238" t="str">
        <f t="shared" si="7"/>
        <v/>
      </c>
      <c r="S655" s="238" t="str">
        <f t="shared" si="8"/>
        <v/>
      </c>
      <c r="T655" s="238"/>
      <c r="U655" s="237"/>
      <c r="V655" s="238"/>
      <c r="W655" s="238" t="str">
        <f t="shared" si="9"/>
        <v/>
      </c>
      <c r="X655" s="237" t="str">
        <f t="shared" ref="X655:Y655" si="647">IF(ISBLANK(H655),,""""&amp;H655&amp;"""")</f>
        <v/>
      </c>
      <c r="Y655" s="237" t="str">
        <f t="shared" si="647"/>
        <v/>
      </c>
      <c r="Z655" s="237" t="str">
        <f>IF(ISBLANK(K655),,Config!$C$3&amp;"&amp;range=BB"&amp;MATCH(K655,FRG!AE:AE,0))</f>
        <v/>
      </c>
      <c r="AB655" s="242" t="str">
        <f>IFERROR(__xludf.DUMMYFUNCTION("IF(ISBLANK(K655),,SUBSTITUTE(IFERROR(JOIN("","",K655:Z655),JOIN("","",K655:Y655)),CHAR(10),""""))"),"")</f>
        <v/>
      </c>
      <c r="AC655" s="229" t="str">
        <f t="shared" si="1"/>
        <v/>
      </c>
    </row>
    <row r="656">
      <c r="K656" s="237"/>
      <c r="L656" s="238" t="str">
        <f t="shared" si="3"/>
        <v/>
      </c>
      <c r="M656" s="237"/>
      <c r="N656" s="238"/>
      <c r="O656" s="238" t="str">
        <f t="shared" si="4"/>
        <v/>
      </c>
      <c r="P656" s="238" t="str">
        <f t="shared" si="5"/>
        <v/>
      </c>
      <c r="Q656" s="238" t="str">
        <f t="shared" si="6"/>
        <v/>
      </c>
      <c r="R656" s="238" t="str">
        <f t="shared" si="7"/>
        <v/>
      </c>
      <c r="S656" s="238" t="str">
        <f t="shared" si="8"/>
        <v/>
      </c>
      <c r="T656" s="238"/>
      <c r="U656" s="237"/>
      <c r="V656" s="238"/>
      <c r="W656" s="238" t="str">
        <f t="shared" si="9"/>
        <v/>
      </c>
      <c r="X656" s="237" t="str">
        <f t="shared" ref="X656:Y656" si="648">IF(ISBLANK(H656),,""""&amp;H656&amp;"""")</f>
        <v/>
      </c>
      <c r="Y656" s="237" t="str">
        <f t="shared" si="648"/>
        <v/>
      </c>
      <c r="Z656" s="237" t="str">
        <f>IF(ISBLANK(K656),,Config!$C$3&amp;"&amp;range=BB"&amp;MATCH(K656,FRG!AE:AE,0))</f>
        <v/>
      </c>
      <c r="AB656" s="242" t="str">
        <f>IFERROR(__xludf.DUMMYFUNCTION("IF(ISBLANK(K656),,SUBSTITUTE(IFERROR(JOIN("","",K656:Z656),JOIN("","",K656:Y656)),CHAR(10),""""))"),"")</f>
        <v/>
      </c>
      <c r="AC656" s="229" t="str">
        <f t="shared" si="1"/>
        <v/>
      </c>
    </row>
    <row r="657">
      <c r="K657" s="237"/>
      <c r="L657" s="238" t="str">
        <f t="shared" si="3"/>
        <v/>
      </c>
      <c r="M657" s="237"/>
      <c r="N657" s="238"/>
      <c r="O657" s="238" t="str">
        <f t="shared" si="4"/>
        <v/>
      </c>
      <c r="P657" s="238" t="str">
        <f t="shared" si="5"/>
        <v/>
      </c>
      <c r="Q657" s="238" t="str">
        <f t="shared" si="6"/>
        <v/>
      </c>
      <c r="R657" s="238" t="str">
        <f t="shared" si="7"/>
        <v/>
      </c>
      <c r="S657" s="238" t="str">
        <f t="shared" si="8"/>
        <v/>
      </c>
      <c r="T657" s="238"/>
      <c r="U657" s="237"/>
      <c r="V657" s="238"/>
      <c r="W657" s="238" t="str">
        <f t="shared" si="9"/>
        <v/>
      </c>
      <c r="X657" s="237" t="str">
        <f t="shared" ref="X657:Y657" si="649">IF(ISBLANK(H657),,""""&amp;H657&amp;"""")</f>
        <v/>
      </c>
      <c r="Y657" s="237" t="str">
        <f t="shared" si="649"/>
        <v/>
      </c>
      <c r="Z657" s="237" t="str">
        <f>IF(ISBLANK(K657),,Config!$C$3&amp;"&amp;range=BB"&amp;MATCH(K657,FRG!AE:AE,0))</f>
        <v/>
      </c>
      <c r="AB657" s="242" t="str">
        <f>IFERROR(__xludf.DUMMYFUNCTION("IF(ISBLANK(K657),,SUBSTITUTE(IFERROR(JOIN("","",K657:Z657),JOIN("","",K657:Y657)),CHAR(10),""""))"),"")</f>
        <v/>
      </c>
      <c r="AC657" s="229" t="str">
        <f t="shared" si="1"/>
        <v/>
      </c>
    </row>
    <row r="658">
      <c r="K658" s="237"/>
      <c r="L658" s="238" t="str">
        <f t="shared" si="3"/>
        <v/>
      </c>
      <c r="M658" s="237"/>
      <c r="N658" s="238"/>
      <c r="O658" s="238" t="str">
        <f t="shared" si="4"/>
        <v/>
      </c>
      <c r="P658" s="238" t="str">
        <f t="shared" si="5"/>
        <v/>
      </c>
      <c r="Q658" s="238" t="str">
        <f t="shared" si="6"/>
        <v/>
      </c>
      <c r="R658" s="238" t="str">
        <f t="shared" si="7"/>
        <v/>
      </c>
      <c r="S658" s="238" t="str">
        <f t="shared" si="8"/>
        <v/>
      </c>
      <c r="T658" s="238"/>
      <c r="U658" s="237"/>
      <c r="V658" s="238"/>
      <c r="W658" s="238" t="str">
        <f t="shared" si="9"/>
        <v/>
      </c>
      <c r="X658" s="237" t="str">
        <f t="shared" ref="X658:Y658" si="650">IF(ISBLANK(H658),,""""&amp;H658&amp;"""")</f>
        <v/>
      </c>
      <c r="Y658" s="237" t="str">
        <f t="shared" si="650"/>
        <v/>
      </c>
      <c r="Z658" s="237" t="str">
        <f>IF(ISBLANK(K658),,Config!$C$3&amp;"&amp;range=BB"&amp;MATCH(K658,FRG!AE:AE,0))</f>
        <v/>
      </c>
      <c r="AB658" s="242" t="str">
        <f>IFERROR(__xludf.DUMMYFUNCTION("IF(ISBLANK(K658),,SUBSTITUTE(IFERROR(JOIN("","",K658:Z658),JOIN("","",K658:Y658)),CHAR(10),""""))"),"")</f>
        <v/>
      </c>
      <c r="AC658" s="229" t="str">
        <f t="shared" si="1"/>
        <v/>
      </c>
    </row>
    <row r="659">
      <c r="K659" s="237"/>
      <c r="L659" s="238" t="str">
        <f t="shared" si="3"/>
        <v/>
      </c>
      <c r="M659" s="237"/>
      <c r="N659" s="238"/>
      <c r="O659" s="238" t="str">
        <f t="shared" si="4"/>
        <v/>
      </c>
      <c r="P659" s="238" t="str">
        <f t="shared" si="5"/>
        <v/>
      </c>
      <c r="Q659" s="238" t="str">
        <f t="shared" si="6"/>
        <v/>
      </c>
      <c r="R659" s="238" t="str">
        <f t="shared" si="7"/>
        <v/>
      </c>
      <c r="S659" s="238" t="str">
        <f t="shared" si="8"/>
        <v/>
      </c>
      <c r="T659" s="238"/>
      <c r="U659" s="237"/>
      <c r="V659" s="238"/>
      <c r="W659" s="238" t="str">
        <f t="shared" si="9"/>
        <v/>
      </c>
      <c r="X659" s="237" t="str">
        <f t="shared" ref="X659:Y659" si="651">IF(ISBLANK(H659),,""""&amp;H659&amp;"""")</f>
        <v/>
      </c>
      <c r="Y659" s="237" t="str">
        <f t="shared" si="651"/>
        <v/>
      </c>
      <c r="Z659" s="237" t="str">
        <f>IF(ISBLANK(K659),,Config!$C$3&amp;"&amp;range=BB"&amp;MATCH(K659,FRG!AE:AE,0))</f>
        <v/>
      </c>
      <c r="AB659" s="242" t="str">
        <f>IFERROR(__xludf.DUMMYFUNCTION("IF(ISBLANK(K659),,SUBSTITUTE(IFERROR(JOIN("","",K659:Z659),JOIN("","",K659:Y659)),CHAR(10),""""))"),"")</f>
        <v/>
      </c>
      <c r="AC659" s="229" t="str">
        <f t="shared" si="1"/>
        <v/>
      </c>
    </row>
    <row r="660">
      <c r="K660" s="237"/>
      <c r="L660" s="238" t="str">
        <f t="shared" si="3"/>
        <v/>
      </c>
      <c r="M660" s="237"/>
      <c r="N660" s="238"/>
      <c r="O660" s="238" t="str">
        <f t="shared" si="4"/>
        <v/>
      </c>
      <c r="P660" s="238" t="str">
        <f t="shared" si="5"/>
        <v/>
      </c>
      <c r="Q660" s="238" t="str">
        <f t="shared" si="6"/>
        <v/>
      </c>
      <c r="R660" s="238" t="str">
        <f t="shared" si="7"/>
        <v/>
      </c>
      <c r="S660" s="238" t="str">
        <f t="shared" si="8"/>
        <v/>
      </c>
      <c r="T660" s="238"/>
      <c r="U660" s="237"/>
      <c r="V660" s="238"/>
      <c r="W660" s="238" t="str">
        <f t="shared" si="9"/>
        <v/>
      </c>
      <c r="X660" s="237" t="str">
        <f t="shared" ref="X660:Y660" si="652">IF(ISBLANK(H660),,""""&amp;H660&amp;"""")</f>
        <v/>
      </c>
      <c r="Y660" s="237" t="str">
        <f t="shared" si="652"/>
        <v/>
      </c>
      <c r="Z660" s="237" t="str">
        <f>IF(ISBLANK(K660),,Config!$C$3&amp;"&amp;range=BB"&amp;MATCH(K660,FRG!AE:AE,0))</f>
        <v/>
      </c>
      <c r="AB660" s="242" t="str">
        <f>IFERROR(__xludf.DUMMYFUNCTION("IF(ISBLANK(K660),,SUBSTITUTE(IFERROR(JOIN("","",K660:Z660),JOIN("","",K660:Y660)),CHAR(10),""""))"),"")</f>
        <v/>
      </c>
      <c r="AC660" s="229" t="str">
        <f t="shared" si="1"/>
        <v/>
      </c>
    </row>
    <row r="661">
      <c r="K661" s="237"/>
      <c r="L661" s="238" t="str">
        <f t="shared" si="3"/>
        <v/>
      </c>
      <c r="M661" s="237"/>
      <c r="N661" s="238"/>
      <c r="O661" s="238" t="str">
        <f t="shared" si="4"/>
        <v/>
      </c>
      <c r="P661" s="238" t="str">
        <f t="shared" si="5"/>
        <v/>
      </c>
      <c r="Q661" s="238" t="str">
        <f t="shared" si="6"/>
        <v/>
      </c>
      <c r="R661" s="238" t="str">
        <f t="shared" si="7"/>
        <v/>
      </c>
      <c r="S661" s="238" t="str">
        <f t="shared" si="8"/>
        <v/>
      </c>
      <c r="T661" s="238"/>
      <c r="U661" s="237"/>
      <c r="V661" s="238"/>
      <c r="W661" s="238" t="str">
        <f t="shared" si="9"/>
        <v/>
      </c>
      <c r="X661" s="237" t="str">
        <f t="shared" ref="X661:Y661" si="653">IF(ISBLANK(H661),,""""&amp;H661&amp;"""")</f>
        <v/>
      </c>
      <c r="Y661" s="237" t="str">
        <f t="shared" si="653"/>
        <v/>
      </c>
      <c r="Z661" s="237" t="str">
        <f>IF(ISBLANK(K661),,Config!$C$3&amp;"&amp;range=BB"&amp;MATCH(K661,FRG!AE:AE,0))</f>
        <v/>
      </c>
      <c r="AB661" s="242" t="str">
        <f>IFERROR(__xludf.DUMMYFUNCTION("IF(ISBLANK(K661),,SUBSTITUTE(IFERROR(JOIN("","",K661:Z661),JOIN("","",K661:Y661)),CHAR(10),""""))"),"")</f>
        <v/>
      </c>
      <c r="AC661" s="229" t="str">
        <f t="shared" si="1"/>
        <v/>
      </c>
    </row>
    <row r="662">
      <c r="K662" s="237"/>
      <c r="L662" s="238" t="str">
        <f t="shared" si="3"/>
        <v/>
      </c>
      <c r="M662" s="237"/>
      <c r="N662" s="238"/>
      <c r="O662" s="238" t="str">
        <f t="shared" si="4"/>
        <v/>
      </c>
      <c r="P662" s="238" t="str">
        <f t="shared" si="5"/>
        <v/>
      </c>
      <c r="Q662" s="238" t="str">
        <f t="shared" si="6"/>
        <v/>
      </c>
      <c r="R662" s="238" t="str">
        <f t="shared" si="7"/>
        <v/>
      </c>
      <c r="S662" s="238" t="str">
        <f t="shared" si="8"/>
        <v/>
      </c>
      <c r="T662" s="238"/>
      <c r="U662" s="237"/>
      <c r="V662" s="238"/>
      <c r="W662" s="238" t="str">
        <f t="shared" si="9"/>
        <v/>
      </c>
      <c r="X662" s="237" t="str">
        <f t="shared" ref="X662:Y662" si="654">IF(ISBLANK(H662),,""""&amp;H662&amp;"""")</f>
        <v/>
      </c>
      <c r="Y662" s="237" t="str">
        <f t="shared" si="654"/>
        <v/>
      </c>
      <c r="Z662" s="237" t="str">
        <f>IF(ISBLANK(K662),,Config!$C$3&amp;"&amp;range=BB"&amp;MATCH(K662,FRG!AE:AE,0))</f>
        <v/>
      </c>
      <c r="AB662" s="242" t="str">
        <f>IFERROR(__xludf.DUMMYFUNCTION("IF(ISBLANK(K662),,SUBSTITUTE(IFERROR(JOIN("","",K662:Z662),JOIN("","",K662:Y662)),CHAR(10),""""))"),"")</f>
        <v/>
      </c>
      <c r="AC662" s="229" t="str">
        <f t="shared" si="1"/>
        <v/>
      </c>
    </row>
    <row r="663">
      <c r="K663" s="237"/>
      <c r="L663" s="238" t="str">
        <f t="shared" si="3"/>
        <v/>
      </c>
      <c r="M663" s="237"/>
      <c r="N663" s="238"/>
      <c r="O663" s="238" t="str">
        <f t="shared" si="4"/>
        <v/>
      </c>
      <c r="P663" s="238" t="str">
        <f t="shared" si="5"/>
        <v/>
      </c>
      <c r="Q663" s="238" t="str">
        <f t="shared" si="6"/>
        <v/>
      </c>
      <c r="R663" s="238" t="str">
        <f t="shared" si="7"/>
        <v/>
      </c>
      <c r="S663" s="238" t="str">
        <f t="shared" si="8"/>
        <v/>
      </c>
      <c r="T663" s="238"/>
      <c r="U663" s="237"/>
      <c r="V663" s="238"/>
      <c r="W663" s="238" t="str">
        <f t="shared" si="9"/>
        <v/>
      </c>
      <c r="X663" s="237" t="str">
        <f t="shared" ref="X663:Y663" si="655">IF(ISBLANK(H663),,""""&amp;H663&amp;"""")</f>
        <v/>
      </c>
      <c r="Y663" s="237" t="str">
        <f t="shared" si="655"/>
        <v/>
      </c>
      <c r="Z663" s="237" t="str">
        <f>IF(ISBLANK(K663),,Config!$C$3&amp;"&amp;range=BB"&amp;MATCH(K663,FRG!AE:AE,0))</f>
        <v/>
      </c>
      <c r="AB663" s="242" t="str">
        <f>IFERROR(__xludf.DUMMYFUNCTION("IF(ISBLANK(K663),,SUBSTITUTE(IFERROR(JOIN("","",K663:Z663),JOIN("","",K663:Y663)),CHAR(10),""""))"),"")</f>
        <v/>
      </c>
      <c r="AC663" s="229" t="str">
        <f t="shared" si="1"/>
        <v/>
      </c>
    </row>
    <row r="664">
      <c r="K664" s="237"/>
      <c r="L664" s="238" t="str">
        <f t="shared" si="3"/>
        <v/>
      </c>
      <c r="M664" s="237"/>
      <c r="N664" s="238"/>
      <c r="O664" s="238" t="str">
        <f t="shared" si="4"/>
        <v/>
      </c>
      <c r="P664" s="238" t="str">
        <f t="shared" si="5"/>
        <v/>
      </c>
      <c r="Q664" s="238" t="str">
        <f t="shared" si="6"/>
        <v/>
      </c>
      <c r="R664" s="238" t="str">
        <f t="shared" si="7"/>
        <v/>
      </c>
      <c r="S664" s="238" t="str">
        <f t="shared" si="8"/>
        <v/>
      </c>
      <c r="T664" s="238"/>
      <c r="U664" s="237"/>
      <c r="V664" s="238"/>
      <c r="W664" s="238" t="str">
        <f t="shared" si="9"/>
        <v/>
      </c>
      <c r="X664" s="237" t="str">
        <f t="shared" ref="X664:Y664" si="656">IF(ISBLANK(H664),,""""&amp;H664&amp;"""")</f>
        <v/>
      </c>
      <c r="Y664" s="237" t="str">
        <f t="shared" si="656"/>
        <v/>
      </c>
      <c r="Z664" s="237" t="str">
        <f>IF(ISBLANK(K664),,Config!$C$3&amp;"&amp;range=BB"&amp;MATCH(K664,FRG!AE:AE,0))</f>
        <v/>
      </c>
      <c r="AB664" s="242" t="str">
        <f>IFERROR(__xludf.DUMMYFUNCTION("IF(ISBLANK(K664),,SUBSTITUTE(IFERROR(JOIN("","",K664:Z664),JOIN("","",K664:Y664)),CHAR(10),""""))"),"")</f>
        <v/>
      </c>
      <c r="AC664" s="229" t="str">
        <f t="shared" si="1"/>
        <v/>
      </c>
    </row>
    <row r="665">
      <c r="K665" s="237"/>
      <c r="L665" s="238" t="str">
        <f t="shared" si="3"/>
        <v/>
      </c>
      <c r="M665" s="237"/>
      <c r="N665" s="238"/>
      <c r="O665" s="238" t="str">
        <f t="shared" si="4"/>
        <v/>
      </c>
      <c r="P665" s="238" t="str">
        <f t="shared" si="5"/>
        <v/>
      </c>
      <c r="Q665" s="238" t="str">
        <f t="shared" si="6"/>
        <v/>
      </c>
      <c r="R665" s="238" t="str">
        <f t="shared" si="7"/>
        <v/>
      </c>
      <c r="S665" s="238" t="str">
        <f t="shared" si="8"/>
        <v/>
      </c>
      <c r="T665" s="238"/>
      <c r="U665" s="237"/>
      <c r="V665" s="238"/>
      <c r="W665" s="238" t="str">
        <f t="shared" si="9"/>
        <v/>
      </c>
      <c r="X665" s="237" t="str">
        <f t="shared" ref="X665:Y665" si="657">IF(ISBLANK(H665),,""""&amp;H665&amp;"""")</f>
        <v/>
      </c>
      <c r="Y665" s="237" t="str">
        <f t="shared" si="657"/>
        <v/>
      </c>
      <c r="Z665" s="237" t="str">
        <f>IF(ISBLANK(K665),,Config!$C$3&amp;"&amp;range=BB"&amp;MATCH(K665,FRG!AE:AE,0))</f>
        <v/>
      </c>
      <c r="AB665" s="242" t="str">
        <f>IFERROR(__xludf.DUMMYFUNCTION("IF(ISBLANK(K665),,SUBSTITUTE(IFERROR(JOIN("","",K665:Z665),JOIN("","",K665:Y665)),CHAR(10),""""))"),"")</f>
        <v/>
      </c>
      <c r="AC665" s="229" t="str">
        <f t="shared" si="1"/>
        <v/>
      </c>
    </row>
    <row r="666">
      <c r="K666" s="237"/>
      <c r="L666" s="238" t="str">
        <f t="shared" si="3"/>
        <v/>
      </c>
      <c r="M666" s="237"/>
      <c r="N666" s="238"/>
      <c r="O666" s="238" t="str">
        <f t="shared" si="4"/>
        <v/>
      </c>
      <c r="P666" s="238" t="str">
        <f t="shared" si="5"/>
        <v/>
      </c>
      <c r="Q666" s="238" t="str">
        <f t="shared" si="6"/>
        <v/>
      </c>
      <c r="R666" s="238" t="str">
        <f t="shared" si="7"/>
        <v/>
      </c>
      <c r="S666" s="238" t="str">
        <f t="shared" si="8"/>
        <v/>
      </c>
      <c r="T666" s="238"/>
      <c r="U666" s="237"/>
      <c r="V666" s="238"/>
      <c r="W666" s="238" t="str">
        <f t="shared" si="9"/>
        <v/>
      </c>
      <c r="X666" s="237" t="str">
        <f t="shared" ref="X666:Y666" si="658">IF(ISBLANK(H666),,""""&amp;H666&amp;"""")</f>
        <v/>
      </c>
      <c r="Y666" s="237" t="str">
        <f t="shared" si="658"/>
        <v/>
      </c>
      <c r="Z666" s="237" t="str">
        <f>IF(ISBLANK(K666),,Config!$C$3&amp;"&amp;range=BB"&amp;MATCH(K666,FRG!AE:AE,0))</f>
        <v/>
      </c>
      <c r="AB666" s="242" t="str">
        <f>IFERROR(__xludf.DUMMYFUNCTION("IF(ISBLANK(K666),,SUBSTITUTE(IFERROR(JOIN("","",K666:Z666),JOIN("","",K666:Y666)),CHAR(10),""""))"),"")</f>
        <v/>
      </c>
      <c r="AC666" s="229" t="str">
        <f t="shared" si="1"/>
        <v/>
      </c>
    </row>
    <row r="667">
      <c r="K667" s="237"/>
      <c r="L667" s="238" t="str">
        <f t="shared" si="3"/>
        <v/>
      </c>
      <c r="M667" s="237"/>
      <c r="N667" s="238"/>
      <c r="O667" s="238" t="str">
        <f t="shared" si="4"/>
        <v/>
      </c>
      <c r="P667" s="238" t="str">
        <f t="shared" si="5"/>
        <v/>
      </c>
      <c r="Q667" s="238" t="str">
        <f t="shared" si="6"/>
        <v/>
      </c>
      <c r="R667" s="238" t="str">
        <f t="shared" si="7"/>
        <v/>
      </c>
      <c r="S667" s="238" t="str">
        <f t="shared" si="8"/>
        <v/>
      </c>
      <c r="T667" s="238"/>
      <c r="U667" s="237"/>
      <c r="V667" s="238"/>
      <c r="W667" s="238" t="str">
        <f t="shared" si="9"/>
        <v/>
      </c>
      <c r="X667" s="237" t="str">
        <f t="shared" ref="X667:Y667" si="659">IF(ISBLANK(H667),,""""&amp;H667&amp;"""")</f>
        <v/>
      </c>
      <c r="Y667" s="237" t="str">
        <f t="shared" si="659"/>
        <v/>
      </c>
      <c r="Z667" s="237" t="str">
        <f>IF(ISBLANK(K667),,Config!$C$3&amp;"&amp;range=BB"&amp;MATCH(K667,FRG!AE:AE,0))</f>
        <v/>
      </c>
      <c r="AB667" s="242" t="str">
        <f>IFERROR(__xludf.DUMMYFUNCTION("IF(ISBLANK(K667),,SUBSTITUTE(IFERROR(JOIN("","",K667:Z667),JOIN("","",K667:Y667)),CHAR(10),""""))"),"")</f>
        <v/>
      </c>
      <c r="AC667" s="229" t="str">
        <f t="shared" si="1"/>
        <v/>
      </c>
    </row>
    <row r="668">
      <c r="K668" s="237"/>
      <c r="L668" s="238" t="str">
        <f t="shared" si="3"/>
        <v/>
      </c>
      <c r="M668" s="237"/>
      <c r="N668" s="238"/>
      <c r="O668" s="238" t="str">
        <f t="shared" si="4"/>
        <v/>
      </c>
      <c r="P668" s="238" t="str">
        <f t="shared" si="5"/>
        <v/>
      </c>
      <c r="Q668" s="238" t="str">
        <f t="shared" si="6"/>
        <v/>
      </c>
      <c r="R668" s="238" t="str">
        <f t="shared" si="7"/>
        <v/>
      </c>
      <c r="S668" s="238" t="str">
        <f t="shared" si="8"/>
        <v/>
      </c>
      <c r="T668" s="238"/>
      <c r="U668" s="237"/>
      <c r="V668" s="238"/>
      <c r="W668" s="238" t="str">
        <f t="shared" si="9"/>
        <v/>
      </c>
      <c r="X668" s="237" t="str">
        <f t="shared" ref="X668:Y668" si="660">IF(ISBLANK(H668),,""""&amp;H668&amp;"""")</f>
        <v/>
      </c>
      <c r="Y668" s="237" t="str">
        <f t="shared" si="660"/>
        <v/>
      </c>
      <c r="Z668" s="237" t="str">
        <f>IF(ISBLANK(K668),,Config!$C$3&amp;"&amp;range=BB"&amp;MATCH(K668,FRG!AE:AE,0))</f>
        <v/>
      </c>
      <c r="AB668" s="242" t="str">
        <f>IFERROR(__xludf.DUMMYFUNCTION("IF(ISBLANK(K668),,SUBSTITUTE(IFERROR(JOIN("","",K668:Z668),JOIN("","",K668:Y668)),CHAR(10),""""))"),"")</f>
        <v/>
      </c>
      <c r="AC668" s="229" t="str">
        <f t="shared" si="1"/>
        <v/>
      </c>
    </row>
    <row r="669">
      <c r="K669" s="237"/>
      <c r="L669" s="238" t="str">
        <f t="shared" si="3"/>
        <v/>
      </c>
      <c r="M669" s="237"/>
      <c r="N669" s="238"/>
      <c r="O669" s="238" t="str">
        <f t="shared" si="4"/>
        <v/>
      </c>
      <c r="P669" s="238" t="str">
        <f t="shared" si="5"/>
        <v/>
      </c>
      <c r="Q669" s="238" t="str">
        <f t="shared" si="6"/>
        <v/>
      </c>
      <c r="R669" s="238" t="str">
        <f t="shared" si="7"/>
        <v/>
      </c>
      <c r="S669" s="238" t="str">
        <f t="shared" si="8"/>
        <v/>
      </c>
      <c r="T669" s="238"/>
      <c r="U669" s="237"/>
      <c r="V669" s="238"/>
      <c r="W669" s="238" t="str">
        <f t="shared" si="9"/>
        <v/>
      </c>
      <c r="X669" s="237" t="str">
        <f t="shared" ref="X669:Y669" si="661">IF(ISBLANK(H669),,""""&amp;H669&amp;"""")</f>
        <v/>
      </c>
      <c r="Y669" s="237" t="str">
        <f t="shared" si="661"/>
        <v/>
      </c>
      <c r="Z669" s="237" t="str">
        <f>IF(ISBLANK(K669),,Config!$C$3&amp;"&amp;range=BB"&amp;MATCH(K669,FRG!AE:AE,0))</f>
        <v/>
      </c>
      <c r="AB669" s="242" t="str">
        <f>IFERROR(__xludf.DUMMYFUNCTION("IF(ISBLANK(K669),,SUBSTITUTE(IFERROR(JOIN("","",K669:Z669),JOIN("","",K669:Y669)),CHAR(10),""""))"),"")</f>
        <v/>
      </c>
      <c r="AC669" s="229" t="str">
        <f t="shared" si="1"/>
        <v/>
      </c>
    </row>
    <row r="670">
      <c r="K670" s="237"/>
      <c r="L670" s="238" t="str">
        <f t="shared" si="3"/>
        <v/>
      </c>
      <c r="M670" s="237"/>
      <c r="N670" s="238"/>
      <c r="O670" s="238" t="str">
        <f t="shared" si="4"/>
        <v/>
      </c>
      <c r="P670" s="238" t="str">
        <f t="shared" si="5"/>
        <v/>
      </c>
      <c r="Q670" s="238" t="str">
        <f t="shared" si="6"/>
        <v/>
      </c>
      <c r="R670" s="238" t="str">
        <f t="shared" si="7"/>
        <v/>
      </c>
      <c r="S670" s="238" t="str">
        <f t="shared" si="8"/>
        <v/>
      </c>
      <c r="T670" s="238"/>
      <c r="U670" s="237"/>
      <c r="V670" s="238"/>
      <c r="W670" s="238" t="str">
        <f t="shared" si="9"/>
        <v/>
      </c>
      <c r="X670" s="237" t="str">
        <f t="shared" ref="X670:Y670" si="662">IF(ISBLANK(H670),,""""&amp;H670&amp;"""")</f>
        <v/>
      </c>
      <c r="Y670" s="237" t="str">
        <f t="shared" si="662"/>
        <v/>
      </c>
      <c r="Z670" s="237" t="str">
        <f>IF(ISBLANK(K670),,Config!$C$3&amp;"&amp;range=BB"&amp;MATCH(K670,FRG!AE:AE,0))</f>
        <v/>
      </c>
      <c r="AB670" s="242" t="str">
        <f>IFERROR(__xludf.DUMMYFUNCTION("IF(ISBLANK(K670),,SUBSTITUTE(IFERROR(JOIN("","",K670:Z670),JOIN("","",K670:Y670)),CHAR(10),""""))"),"")</f>
        <v/>
      </c>
      <c r="AC670" s="229" t="str">
        <f t="shared" si="1"/>
        <v/>
      </c>
    </row>
    <row r="671">
      <c r="K671" s="237"/>
      <c r="L671" s="238" t="str">
        <f t="shared" si="3"/>
        <v/>
      </c>
      <c r="M671" s="237"/>
      <c r="N671" s="238"/>
      <c r="O671" s="238" t="str">
        <f t="shared" si="4"/>
        <v/>
      </c>
      <c r="P671" s="238" t="str">
        <f t="shared" si="5"/>
        <v/>
      </c>
      <c r="Q671" s="238" t="str">
        <f t="shared" si="6"/>
        <v/>
      </c>
      <c r="R671" s="238" t="str">
        <f t="shared" si="7"/>
        <v/>
      </c>
      <c r="S671" s="238" t="str">
        <f t="shared" si="8"/>
        <v/>
      </c>
      <c r="T671" s="238"/>
      <c r="U671" s="237"/>
      <c r="V671" s="238"/>
      <c r="W671" s="238" t="str">
        <f t="shared" si="9"/>
        <v/>
      </c>
      <c r="X671" s="237" t="str">
        <f t="shared" ref="X671:Y671" si="663">IF(ISBLANK(H671),,""""&amp;H671&amp;"""")</f>
        <v/>
      </c>
      <c r="Y671" s="237" t="str">
        <f t="shared" si="663"/>
        <v/>
      </c>
      <c r="Z671" s="237" t="str">
        <f>IF(ISBLANK(K671),,Config!$C$3&amp;"&amp;range=BB"&amp;MATCH(K671,FRG!AE:AE,0))</f>
        <v/>
      </c>
      <c r="AB671" s="242" t="str">
        <f>IFERROR(__xludf.DUMMYFUNCTION("IF(ISBLANK(K671),,SUBSTITUTE(IFERROR(JOIN("","",K671:Z671),JOIN("","",K671:Y671)),CHAR(10),""""))"),"")</f>
        <v/>
      </c>
      <c r="AC671" s="229" t="str">
        <f t="shared" si="1"/>
        <v/>
      </c>
    </row>
    <row r="672">
      <c r="K672" s="237"/>
      <c r="L672" s="238" t="str">
        <f t="shared" si="3"/>
        <v/>
      </c>
      <c r="M672" s="237"/>
      <c r="N672" s="238"/>
      <c r="O672" s="238" t="str">
        <f t="shared" si="4"/>
        <v/>
      </c>
      <c r="P672" s="238" t="str">
        <f t="shared" si="5"/>
        <v/>
      </c>
      <c r="Q672" s="238" t="str">
        <f t="shared" si="6"/>
        <v/>
      </c>
      <c r="R672" s="238" t="str">
        <f t="shared" si="7"/>
        <v/>
      </c>
      <c r="S672" s="238" t="str">
        <f t="shared" si="8"/>
        <v/>
      </c>
      <c r="T672" s="238"/>
      <c r="U672" s="237"/>
      <c r="V672" s="238"/>
      <c r="W672" s="238" t="str">
        <f t="shared" si="9"/>
        <v/>
      </c>
      <c r="X672" s="237" t="str">
        <f t="shared" ref="X672:Y672" si="664">IF(ISBLANK(H672),,""""&amp;H672&amp;"""")</f>
        <v/>
      </c>
      <c r="Y672" s="237" t="str">
        <f t="shared" si="664"/>
        <v/>
      </c>
      <c r="Z672" s="237" t="str">
        <f>IF(ISBLANK(K672),,Config!$C$3&amp;"&amp;range=BB"&amp;MATCH(K672,FRG!AE:AE,0))</f>
        <v/>
      </c>
      <c r="AB672" s="242" t="str">
        <f>IFERROR(__xludf.DUMMYFUNCTION("IF(ISBLANK(K672),,SUBSTITUTE(IFERROR(JOIN("","",K672:Z672),JOIN("","",K672:Y672)),CHAR(10),""""))"),"")</f>
        <v/>
      </c>
      <c r="AC672" s="229" t="str">
        <f t="shared" si="1"/>
        <v/>
      </c>
    </row>
    <row r="673">
      <c r="K673" s="237"/>
      <c r="L673" s="238" t="str">
        <f t="shared" si="3"/>
        <v/>
      </c>
      <c r="M673" s="237"/>
      <c r="N673" s="238"/>
      <c r="O673" s="238" t="str">
        <f t="shared" si="4"/>
        <v/>
      </c>
      <c r="P673" s="238" t="str">
        <f t="shared" si="5"/>
        <v/>
      </c>
      <c r="Q673" s="238" t="str">
        <f t="shared" si="6"/>
        <v/>
      </c>
      <c r="R673" s="238" t="str">
        <f t="shared" si="7"/>
        <v/>
      </c>
      <c r="S673" s="238" t="str">
        <f t="shared" si="8"/>
        <v/>
      </c>
      <c r="T673" s="238"/>
      <c r="U673" s="237"/>
      <c r="V673" s="238"/>
      <c r="W673" s="238" t="str">
        <f t="shared" si="9"/>
        <v/>
      </c>
      <c r="X673" s="237" t="str">
        <f t="shared" ref="X673:Y673" si="665">IF(ISBLANK(H673),,""""&amp;H673&amp;"""")</f>
        <v/>
      </c>
      <c r="Y673" s="237" t="str">
        <f t="shared" si="665"/>
        <v/>
      </c>
      <c r="Z673" s="237" t="str">
        <f>IF(ISBLANK(K673),,Config!$C$3&amp;"&amp;range=BB"&amp;MATCH(K673,FRG!AE:AE,0))</f>
        <v/>
      </c>
      <c r="AB673" s="242" t="str">
        <f>IFERROR(__xludf.DUMMYFUNCTION("IF(ISBLANK(K673),,SUBSTITUTE(IFERROR(JOIN("","",K673:Z673),JOIN("","",K673:Y673)),CHAR(10),""""))"),"")</f>
        <v/>
      </c>
      <c r="AC673" s="229" t="str">
        <f t="shared" si="1"/>
        <v/>
      </c>
    </row>
    <row r="674">
      <c r="K674" s="237"/>
      <c r="L674" s="238" t="str">
        <f t="shared" si="3"/>
        <v/>
      </c>
      <c r="M674" s="237"/>
      <c r="N674" s="238"/>
      <c r="O674" s="238" t="str">
        <f t="shared" si="4"/>
        <v/>
      </c>
      <c r="P674" s="238" t="str">
        <f t="shared" si="5"/>
        <v/>
      </c>
      <c r="Q674" s="238" t="str">
        <f t="shared" si="6"/>
        <v/>
      </c>
      <c r="R674" s="238" t="str">
        <f t="shared" si="7"/>
        <v/>
      </c>
      <c r="S674" s="238" t="str">
        <f t="shared" si="8"/>
        <v/>
      </c>
      <c r="T674" s="238"/>
      <c r="U674" s="237"/>
      <c r="V674" s="238"/>
      <c r="W674" s="238" t="str">
        <f t="shared" si="9"/>
        <v/>
      </c>
      <c r="X674" s="237" t="str">
        <f t="shared" ref="X674:Y674" si="666">IF(ISBLANK(H674),,""""&amp;H674&amp;"""")</f>
        <v/>
      </c>
      <c r="Y674" s="237" t="str">
        <f t="shared" si="666"/>
        <v/>
      </c>
      <c r="Z674" s="237" t="str">
        <f>IF(ISBLANK(K674),,Config!$C$3&amp;"&amp;range=BB"&amp;MATCH(K674,FRG!AE:AE,0))</f>
        <v/>
      </c>
      <c r="AB674" s="242" t="str">
        <f>IFERROR(__xludf.DUMMYFUNCTION("IF(ISBLANK(K674),,SUBSTITUTE(IFERROR(JOIN("","",K674:Z674),JOIN("","",K674:Y674)),CHAR(10),""""))"),"")</f>
        <v/>
      </c>
      <c r="AC674" s="229" t="str">
        <f t="shared" si="1"/>
        <v/>
      </c>
    </row>
    <row r="675">
      <c r="K675" s="237"/>
      <c r="L675" s="238" t="str">
        <f t="shared" si="3"/>
        <v/>
      </c>
      <c r="M675" s="237"/>
      <c r="N675" s="238"/>
      <c r="O675" s="238" t="str">
        <f t="shared" si="4"/>
        <v/>
      </c>
      <c r="P675" s="238" t="str">
        <f t="shared" si="5"/>
        <v/>
      </c>
      <c r="Q675" s="238" t="str">
        <f t="shared" si="6"/>
        <v/>
      </c>
      <c r="R675" s="238" t="str">
        <f t="shared" si="7"/>
        <v/>
      </c>
      <c r="S675" s="238" t="str">
        <f t="shared" si="8"/>
        <v/>
      </c>
      <c r="T675" s="238"/>
      <c r="U675" s="237"/>
      <c r="V675" s="238"/>
      <c r="W675" s="238" t="str">
        <f t="shared" si="9"/>
        <v/>
      </c>
      <c r="X675" s="237" t="str">
        <f t="shared" ref="X675:Y675" si="667">IF(ISBLANK(H675),,""""&amp;H675&amp;"""")</f>
        <v/>
      </c>
      <c r="Y675" s="237" t="str">
        <f t="shared" si="667"/>
        <v/>
      </c>
      <c r="Z675" s="237" t="str">
        <f>IF(ISBLANK(K675),,Config!$C$3&amp;"&amp;range=BB"&amp;MATCH(K675,FRG!AE:AE,0))</f>
        <v/>
      </c>
      <c r="AB675" s="242" t="str">
        <f>IFERROR(__xludf.DUMMYFUNCTION("IF(ISBLANK(K675),,SUBSTITUTE(IFERROR(JOIN("","",K675:Z675),JOIN("","",K675:Y675)),CHAR(10),""""))"),"")</f>
        <v/>
      </c>
      <c r="AC675" s="229" t="str">
        <f t="shared" si="1"/>
        <v/>
      </c>
    </row>
    <row r="676">
      <c r="K676" s="237"/>
      <c r="L676" s="238" t="str">
        <f t="shared" si="3"/>
        <v/>
      </c>
      <c r="M676" s="237"/>
      <c r="N676" s="238"/>
      <c r="O676" s="238" t="str">
        <f t="shared" si="4"/>
        <v/>
      </c>
      <c r="P676" s="238" t="str">
        <f t="shared" si="5"/>
        <v/>
      </c>
      <c r="Q676" s="238" t="str">
        <f t="shared" si="6"/>
        <v/>
      </c>
      <c r="R676" s="238" t="str">
        <f t="shared" si="7"/>
        <v/>
      </c>
      <c r="S676" s="238" t="str">
        <f t="shared" si="8"/>
        <v/>
      </c>
      <c r="T676" s="238"/>
      <c r="U676" s="237"/>
      <c r="V676" s="238"/>
      <c r="W676" s="238" t="str">
        <f t="shared" si="9"/>
        <v/>
      </c>
      <c r="X676" s="237" t="str">
        <f t="shared" ref="X676:Y676" si="668">IF(ISBLANK(H676),,""""&amp;H676&amp;"""")</f>
        <v/>
      </c>
      <c r="Y676" s="237" t="str">
        <f t="shared" si="668"/>
        <v/>
      </c>
      <c r="Z676" s="237" t="str">
        <f>IF(ISBLANK(K676),,Config!$C$3&amp;"&amp;range=BB"&amp;MATCH(K676,FRG!AE:AE,0))</f>
        <v/>
      </c>
      <c r="AB676" s="242" t="str">
        <f>IFERROR(__xludf.DUMMYFUNCTION("IF(ISBLANK(K676),,SUBSTITUTE(IFERROR(JOIN("","",K676:Z676),JOIN("","",K676:Y676)),CHAR(10),""""))"),"")</f>
        <v/>
      </c>
      <c r="AC676" s="229" t="str">
        <f t="shared" si="1"/>
        <v/>
      </c>
    </row>
    <row r="677">
      <c r="K677" s="237"/>
      <c r="L677" s="238" t="str">
        <f t="shared" si="3"/>
        <v/>
      </c>
      <c r="M677" s="237"/>
      <c r="N677" s="238"/>
      <c r="O677" s="238" t="str">
        <f t="shared" si="4"/>
        <v/>
      </c>
      <c r="P677" s="238" t="str">
        <f t="shared" si="5"/>
        <v/>
      </c>
      <c r="Q677" s="238" t="str">
        <f t="shared" si="6"/>
        <v/>
      </c>
      <c r="R677" s="238" t="str">
        <f t="shared" si="7"/>
        <v/>
      </c>
      <c r="S677" s="238" t="str">
        <f t="shared" si="8"/>
        <v/>
      </c>
      <c r="T677" s="238"/>
      <c r="U677" s="237"/>
      <c r="V677" s="238"/>
      <c r="W677" s="238" t="str">
        <f t="shared" si="9"/>
        <v/>
      </c>
      <c r="X677" s="237" t="str">
        <f t="shared" ref="X677:Y677" si="669">IF(ISBLANK(H677),,""""&amp;H677&amp;"""")</f>
        <v/>
      </c>
      <c r="Y677" s="237" t="str">
        <f t="shared" si="669"/>
        <v/>
      </c>
      <c r="Z677" s="237" t="str">
        <f>IF(ISBLANK(K677),,Config!$C$3&amp;"&amp;range=BB"&amp;MATCH(K677,FRG!AE:AE,0))</f>
        <v/>
      </c>
      <c r="AB677" s="242" t="str">
        <f>IFERROR(__xludf.DUMMYFUNCTION("IF(ISBLANK(K677),,SUBSTITUTE(IFERROR(JOIN("","",K677:Z677),JOIN("","",K677:Y677)),CHAR(10),""""))"),"")</f>
        <v/>
      </c>
      <c r="AC677" s="229" t="str">
        <f t="shared" si="1"/>
        <v/>
      </c>
    </row>
    <row r="678">
      <c r="K678" s="237"/>
      <c r="L678" s="238" t="str">
        <f t="shared" si="3"/>
        <v/>
      </c>
      <c r="M678" s="237"/>
      <c r="N678" s="238"/>
      <c r="O678" s="238" t="str">
        <f t="shared" si="4"/>
        <v/>
      </c>
      <c r="P678" s="238" t="str">
        <f t="shared" si="5"/>
        <v/>
      </c>
      <c r="Q678" s="238" t="str">
        <f t="shared" si="6"/>
        <v/>
      </c>
      <c r="R678" s="238" t="str">
        <f t="shared" si="7"/>
        <v/>
      </c>
      <c r="S678" s="238" t="str">
        <f t="shared" si="8"/>
        <v/>
      </c>
      <c r="T678" s="238"/>
      <c r="U678" s="237"/>
      <c r="V678" s="238"/>
      <c r="W678" s="238" t="str">
        <f t="shared" si="9"/>
        <v/>
      </c>
      <c r="X678" s="237" t="str">
        <f t="shared" ref="X678:Y678" si="670">IF(ISBLANK(H678),,""""&amp;H678&amp;"""")</f>
        <v/>
      </c>
      <c r="Y678" s="237" t="str">
        <f t="shared" si="670"/>
        <v/>
      </c>
      <c r="Z678" s="237" t="str">
        <f>IF(ISBLANK(K678),,Config!$C$3&amp;"&amp;range=BB"&amp;MATCH(K678,FRG!AE:AE,0))</f>
        <v/>
      </c>
      <c r="AB678" s="242" t="str">
        <f>IFERROR(__xludf.DUMMYFUNCTION("IF(ISBLANK(K678),,SUBSTITUTE(IFERROR(JOIN("","",K678:Z678),JOIN("","",K678:Y678)),CHAR(10),""""))"),"")</f>
        <v/>
      </c>
      <c r="AC678" s="229" t="str">
        <f t="shared" si="1"/>
        <v/>
      </c>
    </row>
    <row r="679">
      <c r="K679" s="237"/>
      <c r="L679" s="238" t="str">
        <f t="shared" si="3"/>
        <v/>
      </c>
      <c r="M679" s="237"/>
      <c r="N679" s="238"/>
      <c r="O679" s="238" t="str">
        <f t="shared" si="4"/>
        <v/>
      </c>
      <c r="P679" s="238" t="str">
        <f t="shared" si="5"/>
        <v/>
      </c>
      <c r="Q679" s="238" t="str">
        <f t="shared" si="6"/>
        <v/>
      </c>
      <c r="R679" s="238" t="str">
        <f t="shared" si="7"/>
        <v/>
      </c>
      <c r="S679" s="238" t="str">
        <f t="shared" si="8"/>
        <v/>
      </c>
      <c r="T679" s="238"/>
      <c r="U679" s="237"/>
      <c r="V679" s="238"/>
      <c r="W679" s="238" t="str">
        <f t="shared" si="9"/>
        <v/>
      </c>
      <c r="X679" s="237" t="str">
        <f t="shared" ref="X679:Y679" si="671">IF(ISBLANK(H679),,""""&amp;H679&amp;"""")</f>
        <v/>
      </c>
      <c r="Y679" s="237" t="str">
        <f t="shared" si="671"/>
        <v/>
      </c>
      <c r="Z679" s="237" t="str">
        <f>IF(ISBLANK(K679),,Config!$C$3&amp;"&amp;range=BB"&amp;MATCH(K679,FRG!AE:AE,0))</f>
        <v/>
      </c>
      <c r="AB679" s="242" t="str">
        <f>IFERROR(__xludf.DUMMYFUNCTION("IF(ISBLANK(K679),,SUBSTITUTE(IFERROR(JOIN("","",K679:Z679),JOIN("","",K679:Y679)),CHAR(10),""""))"),"")</f>
        <v/>
      </c>
      <c r="AC679" s="229" t="str">
        <f t="shared" si="1"/>
        <v/>
      </c>
    </row>
    <row r="680">
      <c r="K680" s="237"/>
      <c r="L680" s="238" t="str">
        <f t="shared" si="3"/>
        <v/>
      </c>
      <c r="M680" s="237"/>
      <c r="N680" s="238"/>
      <c r="O680" s="238" t="str">
        <f t="shared" si="4"/>
        <v/>
      </c>
      <c r="P680" s="238" t="str">
        <f t="shared" si="5"/>
        <v/>
      </c>
      <c r="Q680" s="238" t="str">
        <f t="shared" si="6"/>
        <v/>
      </c>
      <c r="R680" s="238" t="str">
        <f t="shared" si="7"/>
        <v/>
      </c>
      <c r="S680" s="238" t="str">
        <f t="shared" si="8"/>
        <v/>
      </c>
      <c r="T680" s="238"/>
      <c r="U680" s="237"/>
      <c r="V680" s="238"/>
      <c r="W680" s="238" t="str">
        <f t="shared" si="9"/>
        <v/>
      </c>
      <c r="X680" s="237" t="str">
        <f t="shared" ref="X680:Y680" si="672">IF(ISBLANK(H680),,""""&amp;H680&amp;"""")</f>
        <v/>
      </c>
      <c r="Y680" s="237" t="str">
        <f t="shared" si="672"/>
        <v/>
      </c>
      <c r="Z680" s="237" t="str">
        <f>IF(ISBLANK(K680),,Config!$C$3&amp;"&amp;range=BB"&amp;MATCH(K680,FRG!AE:AE,0))</f>
        <v/>
      </c>
      <c r="AB680" s="242" t="str">
        <f>IFERROR(__xludf.DUMMYFUNCTION("IF(ISBLANK(K680),,SUBSTITUTE(IFERROR(JOIN("","",K680:Z680),JOIN("","",K680:Y680)),CHAR(10),""""))"),"")</f>
        <v/>
      </c>
      <c r="AC680" s="229" t="str">
        <f t="shared" si="1"/>
        <v/>
      </c>
    </row>
    <row r="681">
      <c r="K681" s="237"/>
      <c r="L681" s="238" t="str">
        <f t="shared" si="3"/>
        <v/>
      </c>
      <c r="M681" s="237"/>
      <c r="N681" s="238"/>
      <c r="O681" s="238" t="str">
        <f t="shared" si="4"/>
        <v/>
      </c>
      <c r="P681" s="238" t="str">
        <f t="shared" si="5"/>
        <v/>
      </c>
      <c r="Q681" s="238" t="str">
        <f t="shared" si="6"/>
        <v/>
      </c>
      <c r="R681" s="238" t="str">
        <f t="shared" si="7"/>
        <v/>
      </c>
      <c r="S681" s="238" t="str">
        <f t="shared" si="8"/>
        <v/>
      </c>
      <c r="T681" s="238"/>
      <c r="U681" s="237"/>
      <c r="V681" s="238"/>
      <c r="W681" s="238" t="str">
        <f t="shared" si="9"/>
        <v/>
      </c>
      <c r="X681" s="237" t="str">
        <f t="shared" ref="X681:Y681" si="673">IF(ISBLANK(H681),,""""&amp;H681&amp;"""")</f>
        <v/>
      </c>
      <c r="Y681" s="237" t="str">
        <f t="shared" si="673"/>
        <v/>
      </c>
      <c r="Z681" s="237" t="str">
        <f>IF(ISBLANK(K681),,Config!$C$3&amp;"&amp;range=BB"&amp;MATCH(K681,FRG!AE:AE,0))</f>
        <v/>
      </c>
      <c r="AB681" s="242" t="str">
        <f>IFERROR(__xludf.DUMMYFUNCTION("IF(ISBLANK(K681),,SUBSTITUTE(IFERROR(JOIN("","",K681:Z681),JOIN("","",K681:Y681)),CHAR(10),""""))"),"")</f>
        <v/>
      </c>
      <c r="AC681" s="229" t="str">
        <f t="shared" si="1"/>
        <v/>
      </c>
    </row>
    <row r="682">
      <c r="K682" s="237"/>
      <c r="L682" s="238" t="str">
        <f t="shared" si="3"/>
        <v/>
      </c>
      <c r="M682" s="237"/>
      <c r="N682" s="238"/>
      <c r="O682" s="238" t="str">
        <f t="shared" si="4"/>
        <v/>
      </c>
      <c r="P682" s="238" t="str">
        <f t="shared" si="5"/>
        <v/>
      </c>
      <c r="Q682" s="238" t="str">
        <f t="shared" si="6"/>
        <v/>
      </c>
      <c r="R682" s="238" t="str">
        <f t="shared" si="7"/>
        <v/>
      </c>
      <c r="S682" s="238" t="str">
        <f t="shared" si="8"/>
        <v/>
      </c>
      <c r="T682" s="238"/>
      <c r="U682" s="237"/>
      <c r="V682" s="238"/>
      <c r="W682" s="238" t="str">
        <f t="shared" si="9"/>
        <v/>
      </c>
      <c r="X682" s="237" t="str">
        <f t="shared" ref="X682:Y682" si="674">IF(ISBLANK(H682),,""""&amp;H682&amp;"""")</f>
        <v/>
      </c>
      <c r="Y682" s="237" t="str">
        <f t="shared" si="674"/>
        <v/>
      </c>
      <c r="Z682" s="237" t="str">
        <f>IF(ISBLANK(K682),,Config!$C$3&amp;"&amp;range=BB"&amp;MATCH(K682,FRG!AE:AE,0))</f>
        <v/>
      </c>
      <c r="AB682" s="242" t="str">
        <f>IFERROR(__xludf.DUMMYFUNCTION("IF(ISBLANK(K682),,SUBSTITUTE(IFERROR(JOIN("","",K682:Z682),JOIN("","",K682:Y682)),CHAR(10),""""))"),"")</f>
        <v/>
      </c>
      <c r="AC682" s="229" t="str">
        <f t="shared" si="1"/>
        <v/>
      </c>
    </row>
    <row r="683">
      <c r="K683" s="237"/>
      <c r="L683" s="238" t="str">
        <f t="shared" si="3"/>
        <v/>
      </c>
      <c r="M683" s="237"/>
      <c r="N683" s="238"/>
      <c r="O683" s="238" t="str">
        <f t="shared" si="4"/>
        <v/>
      </c>
      <c r="P683" s="238" t="str">
        <f t="shared" si="5"/>
        <v/>
      </c>
      <c r="Q683" s="238" t="str">
        <f t="shared" si="6"/>
        <v/>
      </c>
      <c r="R683" s="238" t="str">
        <f t="shared" si="7"/>
        <v/>
      </c>
      <c r="S683" s="238" t="str">
        <f t="shared" si="8"/>
        <v/>
      </c>
      <c r="T683" s="238"/>
      <c r="U683" s="237"/>
      <c r="V683" s="238"/>
      <c r="W683" s="238" t="str">
        <f t="shared" si="9"/>
        <v/>
      </c>
      <c r="X683" s="237" t="str">
        <f t="shared" ref="X683:Y683" si="675">IF(ISBLANK(H683),,""""&amp;H683&amp;"""")</f>
        <v/>
      </c>
      <c r="Y683" s="237" t="str">
        <f t="shared" si="675"/>
        <v/>
      </c>
      <c r="Z683" s="237" t="str">
        <f>IF(ISBLANK(K683),,Config!$C$3&amp;"&amp;range=BB"&amp;MATCH(K683,FRG!AE:AE,0))</f>
        <v/>
      </c>
      <c r="AB683" s="242" t="str">
        <f>IFERROR(__xludf.DUMMYFUNCTION("IF(ISBLANK(K683),,SUBSTITUTE(IFERROR(JOIN("","",K683:Z683),JOIN("","",K683:Y683)),CHAR(10),""""))"),"")</f>
        <v/>
      </c>
      <c r="AC683" s="229" t="str">
        <f t="shared" si="1"/>
        <v/>
      </c>
    </row>
    <row r="684">
      <c r="K684" s="237"/>
      <c r="L684" s="238" t="str">
        <f t="shared" si="3"/>
        <v/>
      </c>
      <c r="M684" s="237"/>
      <c r="N684" s="238"/>
      <c r="O684" s="238" t="str">
        <f t="shared" si="4"/>
        <v/>
      </c>
      <c r="P684" s="238" t="str">
        <f t="shared" si="5"/>
        <v/>
      </c>
      <c r="Q684" s="238" t="str">
        <f t="shared" si="6"/>
        <v/>
      </c>
      <c r="R684" s="238" t="str">
        <f t="shared" si="7"/>
        <v/>
      </c>
      <c r="S684" s="238" t="str">
        <f t="shared" si="8"/>
        <v/>
      </c>
      <c r="T684" s="238"/>
      <c r="U684" s="237"/>
      <c r="V684" s="238"/>
      <c r="W684" s="238" t="str">
        <f t="shared" si="9"/>
        <v/>
      </c>
      <c r="X684" s="237" t="str">
        <f t="shared" ref="X684:Y684" si="676">IF(ISBLANK(H684),,""""&amp;H684&amp;"""")</f>
        <v/>
      </c>
      <c r="Y684" s="237" t="str">
        <f t="shared" si="676"/>
        <v/>
      </c>
      <c r="Z684" s="237" t="str">
        <f>IF(ISBLANK(K684),,Config!$C$3&amp;"&amp;range=BB"&amp;MATCH(K684,FRG!AE:AE,0))</f>
        <v/>
      </c>
      <c r="AB684" s="242" t="str">
        <f>IFERROR(__xludf.DUMMYFUNCTION("IF(ISBLANK(K684),,SUBSTITUTE(IFERROR(JOIN("","",K684:Z684),JOIN("","",K684:Y684)),CHAR(10),""""))"),"")</f>
        <v/>
      </c>
      <c r="AC684" s="229" t="str">
        <f t="shared" si="1"/>
        <v/>
      </c>
    </row>
    <row r="685">
      <c r="K685" s="237"/>
      <c r="L685" s="238" t="str">
        <f t="shared" si="3"/>
        <v/>
      </c>
      <c r="M685" s="237"/>
      <c r="N685" s="238"/>
      <c r="O685" s="238" t="str">
        <f t="shared" si="4"/>
        <v/>
      </c>
      <c r="P685" s="238" t="str">
        <f t="shared" si="5"/>
        <v/>
      </c>
      <c r="Q685" s="238" t="str">
        <f t="shared" si="6"/>
        <v/>
      </c>
      <c r="R685" s="238" t="str">
        <f t="shared" si="7"/>
        <v/>
      </c>
      <c r="S685" s="238" t="str">
        <f t="shared" si="8"/>
        <v/>
      </c>
      <c r="T685" s="238"/>
      <c r="U685" s="237"/>
      <c r="V685" s="238"/>
      <c r="W685" s="238" t="str">
        <f t="shared" si="9"/>
        <v/>
      </c>
      <c r="X685" s="237" t="str">
        <f t="shared" ref="X685:Y685" si="677">IF(ISBLANK(H685),,""""&amp;H685&amp;"""")</f>
        <v/>
      </c>
      <c r="Y685" s="237" t="str">
        <f t="shared" si="677"/>
        <v/>
      </c>
      <c r="Z685" s="237" t="str">
        <f>IF(ISBLANK(K685),,Config!$C$3&amp;"&amp;range=BB"&amp;MATCH(K685,FRG!AE:AE,0))</f>
        <v/>
      </c>
      <c r="AB685" s="242" t="str">
        <f>IFERROR(__xludf.DUMMYFUNCTION("IF(ISBLANK(K685),,SUBSTITUTE(IFERROR(JOIN("","",K685:Z685),JOIN("","",K685:Y685)),CHAR(10),""""))"),"")</f>
        <v/>
      </c>
      <c r="AC685" s="229" t="str">
        <f t="shared" si="1"/>
        <v/>
      </c>
    </row>
    <row r="686">
      <c r="K686" s="237"/>
      <c r="L686" s="238" t="str">
        <f t="shared" si="3"/>
        <v/>
      </c>
      <c r="M686" s="237"/>
      <c r="N686" s="238"/>
      <c r="O686" s="238" t="str">
        <f t="shared" si="4"/>
        <v/>
      </c>
      <c r="P686" s="238" t="str">
        <f t="shared" si="5"/>
        <v/>
      </c>
      <c r="Q686" s="238" t="str">
        <f t="shared" si="6"/>
        <v/>
      </c>
      <c r="R686" s="238" t="str">
        <f t="shared" si="7"/>
        <v/>
      </c>
      <c r="S686" s="238" t="str">
        <f t="shared" si="8"/>
        <v/>
      </c>
      <c r="T686" s="238"/>
      <c r="U686" s="237"/>
      <c r="V686" s="238"/>
      <c r="W686" s="238" t="str">
        <f t="shared" si="9"/>
        <v/>
      </c>
      <c r="X686" s="237" t="str">
        <f t="shared" ref="X686:Y686" si="678">IF(ISBLANK(H686),,""""&amp;H686&amp;"""")</f>
        <v/>
      </c>
      <c r="Y686" s="237" t="str">
        <f t="shared" si="678"/>
        <v/>
      </c>
      <c r="Z686" s="237" t="str">
        <f>IF(ISBLANK(K686),,Config!$C$3&amp;"&amp;range=BB"&amp;MATCH(K686,FRG!AE:AE,0))</f>
        <v/>
      </c>
      <c r="AB686" s="242" t="str">
        <f>IFERROR(__xludf.DUMMYFUNCTION("IF(ISBLANK(K686),,SUBSTITUTE(IFERROR(JOIN("","",K686:Z686),JOIN("","",K686:Y686)),CHAR(10),""""))"),"")</f>
        <v/>
      </c>
      <c r="AC686" s="229" t="str">
        <f t="shared" si="1"/>
        <v/>
      </c>
    </row>
    <row r="687">
      <c r="K687" s="237"/>
      <c r="L687" s="238" t="str">
        <f t="shared" si="3"/>
        <v/>
      </c>
      <c r="M687" s="237"/>
      <c r="N687" s="238"/>
      <c r="O687" s="238" t="str">
        <f t="shared" si="4"/>
        <v/>
      </c>
      <c r="P687" s="238" t="str">
        <f t="shared" si="5"/>
        <v/>
      </c>
      <c r="Q687" s="238" t="str">
        <f t="shared" si="6"/>
        <v/>
      </c>
      <c r="R687" s="238" t="str">
        <f t="shared" si="7"/>
        <v/>
      </c>
      <c r="S687" s="238" t="str">
        <f t="shared" si="8"/>
        <v/>
      </c>
      <c r="T687" s="238"/>
      <c r="U687" s="237"/>
      <c r="V687" s="238"/>
      <c r="W687" s="238" t="str">
        <f t="shared" si="9"/>
        <v/>
      </c>
      <c r="X687" s="237" t="str">
        <f t="shared" ref="X687:Y687" si="679">IF(ISBLANK(H687),,""""&amp;H687&amp;"""")</f>
        <v/>
      </c>
      <c r="Y687" s="237" t="str">
        <f t="shared" si="679"/>
        <v/>
      </c>
      <c r="Z687" s="237" t="str">
        <f>IF(ISBLANK(K687),,Config!$C$3&amp;"&amp;range=BB"&amp;MATCH(K687,FRG!AE:AE,0))</f>
        <v/>
      </c>
      <c r="AB687" s="242" t="str">
        <f>IFERROR(__xludf.DUMMYFUNCTION("IF(ISBLANK(K687),,SUBSTITUTE(IFERROR(JOIN("","",K687:Z687),JOIN("","",K687:Y687)),CHAR(10),""""))"),"")</f>
        <v/>
      </c>
      <c r="AC687" s="229" t="str">
        <f t="shared" si="1"/>
        <v/>
      </c>
    </row>
    <row r="688">
      <c r="K688" s="237"/>
      <c r="L688" s="238" t="str">
        <f t="shared" si="3"/>
        <v/>
      </c>
      <c r="M688" s="237"/>
      <c r="N688" s="238"/>
      <c r="O688" s="238" t="str">
        <f t="shared" si="4"/>
        <v/>
      </c>
      <c r="P688" s="238" t="str">
        <f t="shared" si="5"/>
        <v/>
      </c>
      <c r="Q688" s="238" t="str">
        <f t="shared" si="6"/>
        <v/>
      </c>
      <c r="R688" s="238" t="str">
        <f t="shared" si="7"/>
        <v/>
      </c>
      <c r="S688" s="238" t="str">
        <f t="shared" si="8"/>
        <v/>
      </c>
      <c r="T688" s="238"/>
      <c r="U688" s="237"/>
      <c r="V688" s="238"/>
      <c r="W688" s="238" t="str">
        <f t="shared" si="9"/>
        <v/>
      </c>
      <c r="X688" s="237" t="str">
        <f t="shared" ref="X688:Y688" si="680">IF(ISBLANK(H688),,""""&amp;H688&amp;"""")</f>
        <v/>
      </c>
      <c r="Y688" s="237" t="str">
        <f t="shared" si="680"/>
        <v/>
      </c>
      <c r="Z688" s="237" t="str">
        <f>IF(ISBLANK(K688),,Config!$C$3&amp;"&amp;range=BB"&amp;MATCH(K688,FRG!AE:AE,0))</f>
        <v/>
      </c>
      <c r="AB688" s="242" t="str">
        <f>IFERROR(__xludf.DUMMYFUNCTION("IF(ISBLANK(K688),,SUBSTITUTE(IFERROR(JOIN("","",K688:Z688),JOIN("","",K688:Y688)),CHAR(10),""""))"),"")</f>
        <v/>
      </c>
      <c r="AC688" s="229" t="str">
        <f t="shared" si="1"/>
        <v/>
      </c>
    </row>
    <row r="689">
      <c r="K689" s="237"/>
      <c r="L689" s="238" t="str">
        <f t="shared" si="3"/>
        <v/>
      </c>
      <c r="M689" s="237"/>
      <c r="N689" s="238"/>
      <c r="O689" s="238" t="str">
        <f t="shared" si="4"/>
        <v/>
      </c>
      <c r="P689" s="238" t="str">
        <f t="shared" si="5"/>
        <v/>
      </c>
      <c r="Q689" s="238" t="str">
        <f t="shared" si="6"/>
        <v/>
      </c>
      <c r="R689" s="238" t="str">
        <f t="shared" si="7"/>
        <v/>
      </c>
      <c r="S689" s="238" t="str">
        <f t="shared" si="8"/>
        <v/>
      </c>
      <c r="T689" s="238"/>
      <c r="U689" s="237"/>
      <c r="V689" s="238"/>
      <c r="W689" s="238" t="str">
        <f t="shared" si="9"/>
        <v/>
      </c>
      <c r="X689" s="237" t="str">
        <f t="shared" ref="X689:Y689" si="681">IF(ISBLANK(H689),,""""&amp;H689&amp;"""")</f>
        <v/>
      </c>
      <c r="Y689" s="237" t="str">
        <f t="shared" si="681"/>
        <v/>
      </c>
      <c r="Z689" s="237" t="str">
        <f>IF(ISBLANK(K689),,Config!$C$3&amp;"&amp;range=BB"&amp;MATCH(K689,FRG!AE:AE,0))</f>
        <v/>
      </c>
      <c r="AB689" s="242" t="str">
        <f>IFERROR(__xludf.DUMMYFUNCTION("IF(ISBLANK(K689),,SUBSTITUTE(IFERROR(JOIN("","",K689:Z689),JOIN("","",K689:Y689)),CHAR(10),""""))"),"")</f>
        <v/>
      </c>
      <c r="AC689" s="229" t="str">
        <f t="shared" si="1"/>
        <v/>
      </c>
    </row>
    <row r="690">
      <c r="K690" s="237"/>
      <c r="L690" s="238" t="str">
        <f t="shared" si="3"/>
        <v/>
      </c>
      <c r="M690" s="237"/>
      <c r="N690" s="238"/>
      <c r="O690" s="238" t="str">
        <f t="shared" si="4"/>
        <v/>
      </c>
      <c r="P690" s="238" t="str">
        <f t="shared" si="5"/>
        <v/>
      </c>
      <c r="Q690" s="238" t="str">
        <f t="shared" si="6"/>
        <v/>
      </c>
      <c r="R690" s="238" t="str">
        <f t="shared" si="7"/>
        <v/>
      </c>
      <c r="S690" s="238" t="str">
        <f t="shared" si="8"/>
        <v/>
      </c>
      <c r="T690" s="238"/>
      <c r="U690" s="237"/>
      <c r="V690" s="238"/>
      <c r="W690" s="238" t="str">
        <f t="shared" si="9"/>
        <v/>
      </c>
      <c r="X690" s="237" t="str">
        <f t="shared" ref="X690:Y690" si="682">IF(ISBLANK(H690),,""""&amp;H690&amp;"""")</f>
        <v/>
      </c>
      <c r="Y690" s="237" t="str">
        <f t="shared" si="682"/>
        <v/>
      </c>
      <c r="Z690" s="237" t="str">
        <f>IF(ISBLANK(K690),,Config!$C$3&amp;"&amp;range=BB"&amp;MATCH(K690,FRG!AE:AE,0))</f>
        <v/>
      </c>
      <c r="AB690" s="242" t="str">
        <f>IFERROR(__xludf.DUMMYFUNCTION("IF(ISBLANK(K690),,SUBSTITUTE(IFERROR(JOIN("","",K690:Z690),JOIN("","",K690:Y690)),CHAR(10),""""))"),"")</f>
        <v/>
      </c>
      <c r="AC690" s="229" t="str">
        <f t="shared" si="1"/>
        <v/>
      </c>
    </row>
    <row r="691">
      <c r="K691" s="237"/>
      <c r="L691" s="238" t="str">
        <f t="shared" si="3"/>
        <v/>
      </c>
      <c r="M691" s="237"/>
      <c r="N691" s="238"/>
      <c r="O691" s="238" t="str">
        <f t="shared" si="4"/>
        <v/>
      </c>
      <c r="P691" s="238" t="str">
        <f t="shared" si="5"/>
        <v/>
      </c>
      <c r="Q691" s="238" t="str">
        <f t="shared" si="6"/>
        <v/>
      </c>
      <c r="R691" s="238" t="str">
        <f t="shared" si="7"/>
        <v/>
      </c>
      <c r="S691" s="238" t="str">
        <f t="shared" si="8"/>
        <v/>
      </c>
      <c r="T691" s="238"/>
      <c r="U691" s="237"/>
      <c r="V691" s="238"/>
      <c r="W691" s="238" t="str">
        <f t="shared" si="9"/>
        <v/>
      </c>
      <c r="X691" s="237" t="str">
        <f t="shared" ref="X691:Y691" si="683">IF(ISBLANK(H691),,""""&amp;H691&amp;"""")</f>
        <v/>
      </c>
      <c r="Y691" s="237" t="str">
        <f t="shared" si="683"/>
        <v/>
      </c>
      <c r="Z691" s="237" t="str">
        <f>IF(ISBLANK(K691),,Config!$C$3&amp;"&amp;range=BB"&amp;MATCH(K691,FRG!AE:AE,0))</f>
        <v/>
      </c>
      <c r="AB691" s="242" t="str">
        <f>IFERROR(__xludf.DUMMYFUNCTION("IF(ISBLANK(K691),,SUBSTITUTE(IFERROR(JOIN("","",K691:Z691),JOIN("","",K691:Y691)),CHAR(10),""""))"),"")</f>
        <v/>
      </c>
      <c r="AC691" s="229" t="str">
        <f t="shared" si="1"/>
        <v/>
      </c>
    </row>
    <row r="692">
      <c r="K692" s="237"/>
      <c r="L692" s="238" t="str">
        <f t="shared" si="3"/>
        <v/>
      </c>
      <c r="M692" s="237"/>
      <c r="N692" s="238"/>
      <c r="O692" s="238" t="str">
        <f t="shared" si="4"/>
        <v/>
      </c>
      <c r="P692" s="238" t="str">
        <f t="shared" si="5"/>
        <v/>
      </c>
      <c r="Q692" s="238" t="str">
        <f t="shared" si="6"/>
        <v/>
      </c>
      <c r="R692" s="238" t="str">
        <f t="shared" si="7"/>
        <v/>
      </c>
      <c r="S692" s="238" t="str">
        <f t="shared" si="8"/>
        <v/>
      </c>
      <c r="T692" s="238"/>
      <c r="U692" s="237"/>
      <c r="V692" s="238"/>
      <c r="W692" s="238" t="str">
        <f t="shared" si="9"/>
        <v/>
      </c>
      <c r="X692" s="237" t="str">
        <f t="shared" ref="X692:Y692" si="684">IF(ISBLANK(H692),,""""&amp;H692&amp;"""")</f>
        <v/>
      </c>
      <c r="Y692" s="237" t="str">
        <f t="shared" si="684"/>
        <v/>
      </c>
      <c r="Z692" s="237" t="str">
        <f>IF(ISBLANK(K692),,Config!$C$3&amp;"&amp;range=BB"&amp;MATCH(K692,FRG!AE:AE,0))</f>
        <v/>
      </c>
      <c r="AB692" s="242" t="str">
        <f>IFERROR(__xludf.DUMMYFUNCTION("IF(ISBLANK(K692),,SUBSTITUTE(IFERROR(JOIN("","",K692:Z692),JOIN("","",K692:Y692)),CHAR(10),""""))"),"")</f>
        <v/>
      </c>
      <c r="AC692" s="229" t="str">
        <f t="shared" si="1"/>
        <v/>
      </c>
    </row>
    <row r="693">
      <c r="K693" s="237"/>
      <c r="L693" s="238" t="str">
        <f t="shared" si="3"/>
        <v/>
      </c>
      <c r="M693" s="237"/>
      <c r="N693" s="238"/>
      <c r="O693" s="238" t="str">
        <f t="shared" si="4"/>
        <v/>
      </c>
      <c r="P693" s="238" t="str">
        <f t="shared" si="5"/>
        <v/>
      </c>
      <c r="Q693" s="238" t="str">
        <f t="shared" si="6"/>
        <v/>
      </c>
      <c r="R693" s="238" t="str">
        <f t="shared" si="7"/>
        <v/>
      </c>
      <c r="S693" s="238" t="str">
        <f t="shared" si="8"/>
        <v/>
      </c>
      <c r="T693" s="238"/>
      <c r="U693" s="237"/>
      <c r="V693" s="238"/>
      <c r="W693" s="238" t="str">
        <f t="shared" si="9"/>
        <v/>
      </c>
      <c r="X693" s="237" t="str">
        <f t="shared" ref="X693:Y693" si="685">IF(ISBLANK(H693),,""""&amp;H693&amp;"""")</f>
        <v/>
      </c>
      <c r="Y693" s="237" t="str">
        <f t="shared" si="685"/>
        <v/>
      </c>
      <c r="Z693" s="237" t="str">
        <f>IF(ISBLANK(K693),,Config!$C$3&amp;"&amp;range=BB"&amp;MATCH(K693,FRG!AE:AE,0))</f>
        <v/>
      </c>
      <c r="AB693" s="242" t="str">
        <f>IFERROR(__xludf.DUMMYFUNCTION("IF(ISBLANK(K693),,SUBSTITUTE(IFERROR(JOIN("","",K693:Z693),JOIN("","",K693:Y693)),CHAR(10),""""))"),"")</f>
        <v/>
      </c>
      <c r="AC693" s="229" t="str">
        <f t="shared" si="1"/>
        <v/>
      </c>
    </row>
    <row r="694">
      <c r="K694" s="237"/>
      <c r="L694" s="238" t="str">
        <f t="shared" si="3"/>
        <v/>
      </c>
      <c r="M694" s="237"/>
      <c r="N694" s="238"/>
      <c r="O694" s="238" t="str">
        <f t="shared" si="4"/>
        <v/>
      </c>
      <c r="P694" s="238" t="str">
        <f t="shared" si="5"/>
        <v/>
      </c>
      <c r="Q694" s="238" t="str">
        <f t="shared" si="6"/>
        <v/>
      </c>
      <c r="R694" s="238" t="str">
        <f t="shared" si="7"/>
        <v/>
      </c>
      <c r="S694" s="238" t="str">
        <f t="shared" si="8"/>
        <v/>
      </c>
      <c r="T694" s="238"/>
      <c r="U694" s="237"/>
      <c r="V694" s="238"/>
      <c r="W694" s="238" t="str">
        <f t="shared" si="9"/>
        <v/>
      </c>
      <c r="X694" s="237" t="str">
        <f t="shared" ref="X694:Y694" si="686">IF(ISBLANK(H694),,""""&amp;H694&amp;"""")</f>
        <v/>
      </c>
      <c r="Y694" s="237" t="str">
        <f t="shared" si="686"/>
        <v/>
      </c>
      <c r="Z694" s="237" t="str">
        <f>IF(ISBLANK(K694),,Config!$C$3&amp;"&amp;range=BB"&amp;MATCH(K694,FRG!AE:AE,0))</f>
        <v/>
      </c>
      <c r="AB694" s="242" t="str">
        <f>IFERROR(__xludf.DUMMYFUNCTION("IF(ISBLANK(K694),,SUBSTITUTE(IFERROR(JOIN("","",K694:Z694),JOIN("","",K694:Y694)),CHAR(10),""""))"),"")</f>
        <v/>
      </c>
      <c r="AC694" s="229" t="str">
        <f t="shared" si="1"/>
        <v/>
      </c>
    </row>
    <row r="695">
      <c r="K695" s="237"/>
      <c r="L695" s="238" t="str">
        <f t="shared" si="3"/>
        <v/>
      </c>
      <c r="M695" s="237"/>
      <c r="N695" s="238"/>
      <c r="O695" s="238" t="str">
        <f t="shared" si="4"/>
        <v/>
      </c>
      <c r="P695" s="238" t="str">
        <f t="shared" si="5"/>
        <v/>
      </c>
      <c r="Q695" s="238" t="str">
        <f t="shared" si="6"/>
        <v/>
      </c>
      <c r="R695" s="238" t="str">
        <f t="shared" si="7"/>
        <v/>
      </c>
      <c r="S695" s="238" t="str">
        <f t="shared" si="8"/>
        <v/>
      </c>
      <c r="T695" s="238"/>
      <c r="U695" s="237"/>
      <c r="V695" s="238"/>
      <c r="W695" s="238" t="str">
        <f t="shared" si="9"/>
        <v/>
      </c>
      <c r="X695" s="237" t="str">
        <f t="shared" ref="X695:Y695" si="687">IF(ISBLANK(H695),,""""&amp;H695&amp;"""")</f>
        <v/>
      </c>
      <c r="Y695" s="237" t="str">
        <f t="shared" si="687"/>
        <v/>
      </c>
      <c r="Z695" s="237" t="str">
        <f>IF(ISBLANK(K695),,Config!$C$3&amp;"&amp;range=BB"&amp;MATCH(K695,FRG!AE:AE,0))</f>
        <v/>
      </c>
      <c r="AB695" s="242" t="str">
        <f>IFERROR(__xludf.DUMMYFUNCTION("IF(ISBLANK(K695),,SUBSTITUTE(IFERROR(JOIN("","",K695:Z695),JOIN("","",K695:Y695)),CHAR(10),""""))"),"")</f>
        <v/>
      </c>
      <c r="AC695" s="229" t="str">
        <f t="shared" si="1"/>
        <v/>
      </c>
    </row>
    <row r="696">
      <c r="K696" s="237"/>
      <c r="L696" s="238" t="str">
        <f t="shared" si="3"/>
        <v/>
      </c>
      <c r="M696" s="237"/>
      <c r="N696" s="238"/>
      <c r="O696" s="238" t="str">
        <f t="shared" si="4"/>
        <v/>
      </c>
      <c r="P696" s="238" t="str">
        <f t="shared" si="5"/>
        <v/>
      </c>
      <c r="Q696" s="238" t="str">
        <f t="shared" si="6"/>
        <v/>
      </c>
      <c r="R696" s="238" t="str">
        <f t="shared" si="7"/>
        <v/>
      </c>
      <c r="S696" s="238" t="str">
        <f t="shared" si="8"/>
        <v/>
      </c>
      <c r="T696" s="238"/>
      <c r="U696" s="237"/>
      <c r="V696" s="238"/>
      <c r="W696" s="238" t="str">
        <f t="shared" si="9"/>
        <v/>
      </c>
      <c r="X696" s="237" t="str">
        <f t="shared" ref="X696:Y696" si="688">IF(ISBLANK(H696),,""""&amp;H696&amp;"""")</f>
        <v/>
      </c>
      <c r="Y696" s="237" t="str">
        <f t="shared" si="688"/>
        <v/>
      </c>
      <c r="Z696" s="237" t="str">
        <f>IF(ISBLANK(K696),,Config!$C$3&amp;"&amp;range=BB"&amp;MATCH(K696,FRG!AE:AE,0))</f>
        <v/>
      </c>
      <c r="AB696" s="242" t="str">
        <f>IFERROR(__xludf.DUMMYFUNCTION("IF(ISBLANK(K696),,SUBSTITUTE(IFERROR(JOIN("","",K696:Z696),JOIN("","",K696:Y696)),CHAR(10),""""))"),"")</f>
        <v/>
      </c>
      <c r="AC696" s="229" t="str">
        <f t="shared" si="1"/>
        <v/>
      </c>
    </row>
    <row r="697">
      <c r="K697" s="237"/>
      <c r="L697" s="238" t="str">
        <f t="shared" si="3"/>
        <v/>
      </c>
      <c r="M697" s="237"/>
      <c r="N697" s="238"/>
      <c r="O697" s="238" t="str">
        <f t="shared" si="4"/>
        <v/>
      </c>
      <c r="P697" s="238" t="str">
        <f t="shared" si="5"/>
        <v/>
      </c>
      <c r="Q697" s="238" t="str">
        <f t="shared" si="6"/>
        <v/>
      </c>
      <c r="R697" s="238" t="str">
        <f t="shared" si="7"/>
        <v/>
      </c>
      <c r="S697" s="238" t="str">
        <f t="shared" si="8"/>
        <v/>
      </c>
      <c r="T697" s="238"/>
      <c r="U697" s="237"/>
      <c r="V697" s="238"/>
      <c r="W697" s="238" t="str">
        <f t="shared" si="9"/>
        <v/>
      </c>
      <c r="X697" s="237" t="str">
        <f t="shared" ref="X697:Y697" si="689">IF(ISBLANK(H697),,""""&amp;H697&amp;"""")</f>
        <v/>
      </c>
      <c r="Y697" s="237" t="str">
        <f t="shared" si="689"/>
        <v/>
      </c>
      <c r="Z697" s="237" t="str">
        <f>IF(ISBLANK(K697),,Config!$C$3&amp;"&amp;range=BB"&amp;MATCH(K697,FRG!AE:AE,0))</f>
        <v/>
      </c>
      <c r="AB697" s="242" t="str">
        <f>IFERROR(__xludf.DUMMYFUNCTION("IF(ISBLANK(K697),,SUBSTITUTE(IFERROR(JOIN("","",K697:Z697),JOIN("","",K697:Y697)),CHAR(10),""""))"),"")</f>
        <v/>
      </c>
      <c r="AC697" s="229" t="str">
        <f t="shared" si="1"/>
        <v/>
      </c>
    </row>
    <row r="698">
      <c r="K698" s="237"/>
      <c r="L698" s="238" t="str">
        <f t="shared" si="3"/>
        <v/>
      </c>
      <c r="M698" s="237"/>
      <c r="N698" s="238"/>
      <c r="O698" s="238" t="str">
        <f t="shared" si="4"/>
        <v/>
      </c>
      <c r="P698" s="238" t="str">
        <f t="shared" si="5"/>
        <v/>
      </c>
      <c r="Q698" s="238" t="str">
        <f t="shared" si="6"/>
        <v/>
      </c>
      <c r="R698" s="238" t="str">
        <f t="shared" si="7"/>
        <v/>
      </c>
      <c r="S698" s="238" t="str">
        <f t="shared" si="8"/>
        <v/>
      </c>
      <c r="T698" s="238"/>
      <c r="U698" s="237"/>
      <c r="V698" s="238"/>
      <c r="W698" s="238" t="str">
        <f t="shared" si="9"/>
        <v/>
      </c>
      <c r="X698" s="237" t="str">
        <f t="shared" ref="X698:Y698" si="690">IF(ISBLANK(H698),,""""&amp;H698&amp;"""")</f>
        <v/>
      </c>
      <c r="Y698" s="237" t="str">
        <f t="shared" si="690"/>
        <v/>
      </c>
      <c r="Z698" s="237" t="str">
        <f>IF(ISBLANK(K698),,Config!$C$3&amp;"&amp;range=BB"&amp;MATCH(K698,FRG!AE:AE,0))</f>
        <v/>
      </c>
      <c r="AB698" s="242" t="str">
        <f>IFERROR(__xludf.DUMMYFUNCTION("IF(ISBLANK(K698),,SUBSTITUTE(IFERROR(JOIN("","",K698:Z698),JOIN("","",K698:Y698)),CHAR(10),""""))"),"")</f>
        <v/>
      </c>
      <c r="AC698" s="229" t="str">
        <f t="shared" si="1"/>
        <v/>
      </c>
    </row>
    <row r="699">
      <c r="K699" s="237"/>
      <c r="L699" s="238" t="str">
        <f t="shared" si="3"/>
        <v/>
      </c>
      <c r="M699" s="237"/>
      <c r="N699" s="238"/>
      <c r="O699" s="238" t="str">
        <f t="shared" si="4"/>
        <v/>
      </c>
      <c r="P699" s="238" t="str">
        <f t="shared" si="5"/>
        <v/>
      </c>
      <c r="Q699" s="238" t="str">
        <f t="shared" si="6"/>
        <v/>
      </c>
      <c r="R699" s="238" t="str">
        <f t="shared" si="7"/>
        <v/>
      </c>
      <c r="S699" s="238" t="str">
        <f t="shared" si="8"/>
        <v/>
      </c>
      <c r="T699" s="238"/>
      <c r="U699" s="237"/>
      <c r="V699" s="238"/>
      <c r="W699" s="238" t="str">
        <f t="shared" si="9"/>
        <v/>
      </c>
      <c r="X699" s="237" t="str">
        <f t="shared" ref="X699:Y699" si="691">IF(ISBLANK(H699),,""""&amp;H699&amp;"""")</f>
        <v/>
      </c>
      <c r="Y699" s="237" t="str">
        <f t="shared" si="691"/>
        <v/>
      </c>
      <c r="Z699" s="237" t="str">
        <f>IF(ISBLANK(K699),,Config!$C$3&amp;"&amp;range=BB"&amp;MATCH(K699,FRG!AE:AE,0))</f>
        <v/>
      </c>
      <c r="AB699" s="242" t="str">
        <f>IFERROR(__xludf.DUMMYFUNCTION("IF(ISBLANK(K699),,SUBSTITUTE(IFERROR(JOIN("","",K699:Z699),JOIN("","",K699:Y699)),CHAR(10),""""))"),"")</f>
        <v/>
      </c>
      <c r="AC699" s="229" t="str">
        <f t="shared" si="1"/>
        <v/>
      </c>
    </row>
    <row r="700">
      <c r="K700" s="237"/>
      <c r="L700" s="238" t="str">
        <f t="shared" si="3"/>
        <v/>
      </c>
      <c r="M700" s="237"/>
      <c r="N700" s="238"/>
      <c r="O700" s="238" t="str">
        <f t="shared" si="4"/>
        <v/>
      </c>
      <c r="P700" s="238" t="str">
        <f t="shared" si="5"/>
        <v/>
      </c>
      <c r="Q700" s="238" t="str">
        <f t="shared" si="6"/>
        <v/>
      </c>
      <c r="R700" s="238" t="str">
        <f t="shared" si="7"/>
        <v/>
      </c>
      <c r="S700" s="238" t="str">
        <f t="shared" si="8"/>
        <v/>
      </c>
      <c r="T700" s="238"/>
      <c r="U700" s="237"/>
      <c r="V700" s="238"/>
      <c r="W700" s="238" t="str">
        <f t="shared" si="9"/>
        <v/>
      </c>
      <c r="X700" s="237" t="str">
        <f t="shared" ref="X700:Y700" si="692">IF(ISBLANK(H700),,""""&amp;H700&amp;"""")</f>
        <v/>
      </c>
      <c r="Y700" s="237" t="str">
        <f t="shared" si="692"/>
        <v/>
      </c>
      <c r="Z700" s="237" t="str">
        <f>IF(ISBLANK(K700),,Config!$C$3&amp;"&amp;range=BB"&amp;MATCH(K700,FRG!AE:AE,0))</f>
        <v/>
      </c>
      <c r="AB700" s="242" t="str">
        <f>IFERROR(__xludf.DUMMYFUNCTION("IF(ISBLANK(K700),,SUBSTITUTE(IFERROR(JOIN("","",K700:Z700),JOIN("","",K700:Y700)),CHAR(10),""""))"),"")</f>
        <v/>
      </c>
      <c r="AC700" s="229" t="str">
        <f t="shared" si="1"/>
        <v/>
      </c>
    </row>
    <row r="701">
      <c r="K701" s="237"/>
      <c r="L701" s="238" t="str">
        <f t="shared" si="3"/>
        <v/>
      </c>
      <c r="M701" s="237"/>
      <c r="N701" s="238"/>
      <c r="O701" s="238" t="str">
        <f t="shared" si="4"/>
        <v/>
      </c>
      <c r="P701" s="238" t="str">
        <f t="shared" si="5"/>
        <v/>
      </c>
      <c r="Q701" s="238" t="str">
        <f t="shared" si="6"/>
        <v/>
      </c>
      <c r="R701" s="238" t="str">
        <f t="shared" si="7"/>
        <v/>
      </c>
      <c r="S701" s="238" t="str">
        <f t="shared" si="8"/>
        <v/>
      </c>
      <c r="T701" s="238"/>
      <c r="U701" s="237"/>
      <c r="V701" s="238"/>
      <c r="W701" s="238" t="str">
        <f t="shared" si="9"/>
        <v/>
      </c>
      <c r="X701" s="237" t="str">
        <f t="shared" ref="X701:Y701" si="693">IF(ISBLANK(H701),,""""&amp;H701&amp;"""")</f>
        <v/>
      </c>
      <c r="Y701" s="237" t="str">
        <f t="shared" si="693"/>
        <v/>
      </c>
      <c r="Z701" s="237" t="str">
        <f>IF(ISBLANK(K701),,Config!$C$3&amp;"&amp;range=BB"&amp;MATCH(K701,FRG!AE:AE,0))</f>
        <v/>
      </c>
      <c r="AB701" s="242" t="str">
        <f>IFERROR(__xludf.DUMMYFUNCTION("IF(ISBLANK(K701),,SUBSTITUTE(IFERROR(JOIN("","",K701:Z701),JOIN("","",K701:Y701)),CHAR(10),""""))"),"")</f>
        <v/>
      </c>
      <c r="AC701" s="229" t="str">
        <f t="shared" si="1"/>
        <v/>
      </c>
    </row>
    <row r="702">
      <c r="K702" s="237"/>
      <c r="L702" s="238" t="str">
        <f t="shared" si="3"/>
        <v/>
      </c>
      <c r="M702" s="237"/>
      <c r="N702" s="238"/>
      <c r="O702" s="238" t="str">
        <f t="shared" si="4"/>
        <v/>
      </c>
      <c r="P702" s="238" t="str">
        <f t="shared" si="5"/>
        <v/>
      </c>
      <c r="Q702" s="238" t="str">
        <f t="shared" si="6"/>
        <v/>
      </c>
      <c r="R702" s="238" t="str">
        <f t="shared" si="7"/>
        <v/>
      </c>
      <c r="S702" s="238" t="str">
        <f t="shared" si="8"/>
        <v/>
      </c>
      <c r="T702" s="238"/>
      <c r="U702" s="237"/>
      <c r="V702" s="238"/>
      <c r="W702" s="238" t="str">
        <f t="shared" si="9"/>
        <v/>
      </c>
      <c r="X702" s="237" t="str">
        <f t="shared" ref="X702:Y702" si="694">IF(ISBLANK(H702),,""""&amp;H702&amp;"""")</f>
        <v/>
      </c>
      <c r="Y702" s="237" t="str">
        <f t="shared" si="694"/>
        <v/>
      </c>
      <c r="Z702" s="237" t="str">
        <f>IF(ISBLANK(K702),,Config!$C$3&amp;"&amp;range=BB"&amp;MATCH(K702,FRG!AE:AE,0))</f>
        <v/>
      </c>
      <c r="AB702" s="242" t="str">
        <f>IFERROR(__xludf.DUMMYFUNCTION("IF(ISBLANK(K702),,SUBSTITUTE(IFERROR(JOIN("","",K702:Z702),JOIN("","",K702:Y702)),CHAR(10),""""))"),"")</f>
        <v/>
      </c>
      <c r="AC702" s="229" t="str">
        <f t="shared" si="1"/>
        <v/>
      </c>
    </row>
    <row r="703">
      <c r="K703" s="237"/>
      <c r="L703" s="238" t="str">
        <f t="shared" si="3"/>
        <v/>
      </c>
      <c r="M703" s="237"/>
      <c r="N703" s="238"/>
      <c r="O703" s="238" t="str">
        <f t="shared" si="4"/>
        <v/>
      </c>
      <c r="P703" s="238" t="str">
        <f t="shared" si="5"/>
        <v/>
      </c>
      <c r="Q703" s="238" t="str">
        <f t="shared" si="6"/>
        <v/>
      </c>
      <c r="R703" s="238" t="str">
        <f t="shared" si="7"/>
        <v/>
      </c>
      <c r="S703" s="238" t="str">
        <f t="shared" si="8"/>
        <v/>
      </c>
      <c r="T703" s="238"/>
      <c r="U703" s="237"/>
      <c r="V703" s="238"/>
      <c r="W703" s="238" t="str">
        <f t="shared" si="9"/>
        <v/>
      </c>
      <c r="X703" s="237" t="str">
        <f t="shared" ref="X703:Y703" si="695">IF(ISBLANK(H703),,""""&amp;H703&amp;"""")</f>
        <v/>
      </c>
      <c r="Y703" s="237" t="str">
        <f t="shared" si="695"/>
        <v/>
      </c>
      <c r="Z703" s="237" t="str">
        <f>IF(ISBLANK(K703),,Config!$C$3&amp;"&amp;range=BB"&amp;MATCH(K703,FRG!AE:AE,0))</f>
        <v/>
      </c>
      <c r="AB703" s="242" t="str">
        <f>IFERROR(__xludf.DUMMYFUNCTION("IF(ISBLANK(K703),,SUBSTITUTE(IFERROR(JOIN("","",K703:Z703),JOIN("","",K703:Y703)),CHAR(10),""""))"),"")</f>
        <v/>
      </c>
      <c r="AC703" s="229" t="str">
        <f t="shared" si="1"/>
        <v/>
      </c>
    </row>
    <row r="704">
      <c r="K704" s="237"/>
      <c r="L704" s="238" t="str">
        <f t="shared" si="3"/>
        <v/>
      </c>
      <c r="M704" s="237"/>
      <c r="N704" s="238"/>
      <c r="O704" s="238" t="str">
        <f t="shared" si="4"/>
        <v/>
      </c>
      <c r="P704" s="238" t="str">
        <f t="shared" si="5"/>
        <v/>
      </c>
      <c r="Q704" s="238" t="str">
        <f t="shared" si="6"/>
        <v/>
      </c>
      <c r="R704" s="238" t="str">
        <f t="shared" si="7"/>
        <v/>
      </c>
      <c r="S704" s="238" t="str">
        <f t="shared" si="8"/>
        <v/>
      </c>
      <c r="T704" s="238"/>
      <c r="U704" s="237"/>
      <c r="V704" s="238"/>
      <c r="W704" s="238" t="str">
        <f t="shared" si="9"/>
        <v/>
      </c>
      <c r="X704" s="237" t="str">
        <f t="shared" ref="X704:Y704" si="696">IF(ISBLANK(H704),,""""&amp;H704&amp;"""")</f>
        <v/>
      </c>
      <c r="Y704" s="237" t="str">
        <f t="shared" si="696"/>
        <v/>
      </c>
      <c r="Z704" s="237" t="str">
        <f>IF(ISBLANK(K704),,Config!$C$3&amp;"&amp;range=BB"&amp;MATCH(K704,FRG!AE:AE,0))</f>
        <v/>
      </c>
      <c r="AB704" s="242" t="str">
        <f>IFERROR(__xludf.DUMMYFUNCTION("IF(ISBLANK(K704),,SUBSTITUTE(IFERROR(JOIN("","",K704:Z704),JOIN("","",K704:Y704)),CHAR(10),""""))"),"")</f>
        <v/>
      </c>
      <c r="AC704" s="229" t="str">
        <f t="shared" si="1"/>
        <v/>
      </c>
    </row>
    <row r="705">
      <c r="K705" s="237"/>
      <c r="L705" s="238" t="str">
        <f t="shared" si="3"/>
        <v/>
      </c>
      <c r="M705" s="237"/>
      <c r="N705" s="238"/>
      <c r="O705" s="238" t="str">
        <f t="shared" si="4"/>
        <v/>
      </c>
      <c r="P705" s="238" t="str">
        <f t="shared" si="5"/>
        <v/>
      </c>
      <c r="Q705" s="238" t="str">
        <f t="shared" si="6"/>
        <v/>
      </c>
      <c r="R705" s="238" t="str">
        <f t="shared" si="7"/>
        <v/>
      </c>
      <c r="S705" s="238" t="str">
        <f t="shared" si="8"/>
        <v/>
      </c>
      <c r="T705" s="238"/>
      <c r="U705" s="237"/>
      <c r="V705" s="238"/>
      <c r="W705" s="238" t="str">
        <f t="shared" si="9"/>
        <v/>
      </c>
      <c r="X705" s="237" t="str">
        <f t="shared" ref="X705:Y705" si="697">IF(ISBLANK(H705),,""""&amp;H705&amp;"""")</f>
        <v/>
      </c>
      <c r="Y705" s="237" t="str">
        <f t="shared" si="697"/>
        <v/>
      </c>
      <c r="Z705" s="237" t="str">
        <f>IF(ISBLANK(K705),,Config!$C$3&amp;"&amp;range=BB"&amp;MATCH(K705,FRG!AE:AE,0))</f>
        <v/>
      </c>
      <c r="AB705" s="242" t="str">
        <f>IFERROR(__xludf.DUMMYFUNCTION("IF(ISBLANK(K705),,SUBSTITUTE(IFERROR(JOIN("","",K705:Z705),JOIN("","",K705:Y705)),CHAR(10),""""))"),"")</f>
        <v/>
      </c>
      <c r="AC705" s="229" t="str">
        <f t="shared" si="1"/>
        <v/>
      </c>
    </row>
    <row r="706">
      <c r="K706" s="237"/>
      <c r="L706" s="238" t="str">
        <f t="shared" si="3"/>
        <v/>
      </c>
      <c r="M706" s="237"/>
      <c r="N706" s="238"/>
      <c r="O706" s="238" t="str">
        <f t="shared" si="4"/>
        <v/>
      </c>
      <c r="P706" s="238" t="str">
        <f t="shared" si="5"/>
        <v/>
      </c>
      <c r="Q706" s="238" t="str">
        <f t="shared" si="6"/>
        <v/>
      </c>
      <c r="R706" s="238" t="str">
        <f t="shared" si="7"/>
        <v/>
      </c>
      <c r="S706" s="238" t="str">
        <f t="shared" si="8"/>
        <v/>
      </c>
      <c r="T706" s="238"/>
      <c r="U706" s="237"/>
      <c r="V706" s="238"/>
      <c r="W706" s="238" t="str">
        <f t="shared" si="9"/>
        <v/>
      </c>
      <c r="X706" s="237" t="str">
        <f t="shared" ref="X706:Y706" si="698">IF(ISBLANK(H706),,""""&amp;H706&amp;"""")</f>
        <v/>
      </c>
      <c r="Y706" s="237" t="str">
        <f t="shared" si="698"/>
        <v/>
      </c>
      <c r="Z706" s="237" t="str">
        <f>IF(ISBLANK(K706),,Config!$C$3&amp;"&amp;range=BB"&amp;MATCH(K706,FRG!AE:AE,0))</f>
        <v/>
      </c>
      <c r="AB706" s="242" t="str">
        <f>IFERROR(__xludf.DUMMYFUNCTION("IF(ISBLANK(K706),,SUBSTITUTE(IFERROR(JOIN("","",K706:Z706),JOIN("","",K706:Y706)),CHAR(10),""""))"),"")</f>
        <v/>
      </c>
      <c r="AC706" s="229" t="str">
        <f t="shared" si="1"/>
        <v/>
      </c>
    </row>
    <row r="707">
      <c r="K707" s="237"/>
      <c r="L707" s="238" t="str">
        <f t="shared" si="3"/>
        <v/>
      </c>
      <c r="M707" s="237"/>
      <c r="N707" s="238"/>
      <c r="O707" s="238" t="str">
        <f t="shared" si="4"/>
        <v/>
      </c>
      <c r="P707" s="238" t="str">
        <f t="shared" si="5"/>
        <v/>
      </c>
      <c r="Q707" s="238" t="str">
        <f t="shared" si="6"/>
        <v/>
      </c>
      <c r="R707" s="238" t="str">
        <f t="shared" si="7"/>
        <v/>
      </c>
      <c r="S707" s="238" t="str">
        <f t="shared" si="8"/>
        <v/>
      </c>
      <c r="T707" s="238"/>
      <c r="U707" s="237"/>
      <c r="V707" s="238"/>
      <c r="W707" s="238" t="str">
        <f t="shared" si="9"/>
        <v/>
      </c>
      <c r="X707" s="237" t="str">
        <f t="shared" ref="X707:Y707" si="699">IF(ISBLANK(H707),,""""&amp;H707&amp;"""")</f>
        <v/>
      </c>
      <c r="Y707" s="237" t="str">
        <f t="shared" si="699"/>
        <v/>
      </c>
      <c r="Z707" s="237" t="str">
        <f>IF(ISBLANK(K707),,Config!$C$3&amp;"&amp;range=BB"&amp;MATCH(K707,FRG!AE:AE,0))</f>
        <v/>
      </c>
      <c r="AB707" s="242" t="str">
        <f>IFERROR(__xludf.DUMMYFUNCTION("IF(ISBLANK(K707),,SUBSTITUTE(IFERROR(JOIN("","",K707:Z707),JOIN("","",K707:Y707)),CHAR(10),""""))"),"")</f>
        <v/>
      </c>
      <c r="AC707" s="229" t="str">
        <f t="shared" si="1"/>
        <v/>
      </c>
    </row>
    <row r="708">
      <c r="K708" s="237"/>
      <c r="L708" s="238" t="str">
        <f t="shared" si="3"/>
        <v/>
      </c>
      <c r="M708" s="237"/>
      <c r="N708" s="238"/>
      <c r="O708" s="238" t="str">
        <f t="shared" si="4"/>
        <v/>
      </c>
      <c r="P708" s="238" t="str">
        <f t="shared" si="5"/>
        <v/>
      </c>
      <c r="Q708" s="238" t="str">
        <f t="shared" si="6"/>
        <v/>
      </c>
      <c r="R708" s="238" t="str">
        <f t="shared" si="7"/>
        <v/>
      </c>
      <c r="S708" s="238" t="str">
        <f t="shared" si="8"/>
        <v/>
      </c>
      <c r="T708" s="238"/>
      <c r="U708" s="237"/>
      <c r="V708" s="238"/>
      <c r="W708" s="238" t="str">
        <f t="shared" si="9"/>
        <v/>
      </c>
      <c r="X708" s="237" t="str">
        <f t="shared" ref="X708:Y708" si="700">IF(ISBLANK(H708),,""""&amp;H708&amp;"""")</f>
        <v/>
      </c>
      <c r="Y708" s="237" t="str">
        <f t="shared" si="700"/>
        <v/>
      </c>
      <c r="Z708" s="237" t="str">
        <f>IF(ISBLANK(K708),,Config!$C$3&amp;"&amp;range=BB"&amp;MATCH(K708,FRG!AE:AE,0))</f>
        <v/>
      </c>
      <c r="AB708" s="242" t="str">
        <f>IFERROR(__xludf.DUMMYFUNCTION("IF(ISBLANK(K708),,SUBSTITUTE(IFERROR(JOIN("","",K708:Z708),JOIN("","",K708:Y708)),CHAR(10),""""))"),"")</f>
        <v/>
      </c>
      <c r="AC708" s="229" t="str">
        <f t="shared" si="1"/>
        <v/>
      </c>
    </row>
    <row r="709">
      <c r="K709" s="237"/>
      <c r="L709" s="238" t="str">
        <f t="shared" si="3"/>
        <v/>
      </c>
      <c r="M709" s="237"/>
      <c r="N709" s="238"/>
      <c r="O709" s="238" t="str">
        <f t="shared" si="4"/>
        <v/>
      </c>
      <c r="P709" s="238" t="str">
        <f t="shared" si="5"/>
        <v/>
      </c>
      <c r="Q709" s="238" t="str">
        <f t="shared" si="6"/>
        <v/>
      </c>
      <c r="R709" s="238" t="str">
        <f t="shared" si="7"/>
        <v/>
      </c>
      <c r="S709" s="238" t="str">
        <f t="shared" si="8"/>
        <v/>
      </c>
      <c r="T709" s="238"/>
      <c r="U709" s="237"/>
      <c r="V709" s="238"/>
      <c r="W709" s="238" t="str">
        <f t="shared" si="9"/>
        <v/>
      </c>
      <c r="X709" s="237" t="str">
        <f t="shared" ref="X709:Y709" si="701">IF(ISBLANK(H709),,""""&amp;H709&amp;"""")</f>
        <v/>
      </c>
      <c r="Y709" s="237" t="str">
        <f t="shared" si="701"/>
        <v/>
      </c>
      <c r="Z709" s="237" t="str">
        <f>IF(ISBLANK(K709),,Config!$C$3&amp;"&amp;range=BB"&amp;MATCH(K709,FRG!AE:AE,0))</f>
        <v/>
      </c>
      <c r="AB709" s="242" t="str">
        <f>IFERROR(__xludf.DUMMYFUNCTION("IF(ISBLANK(K709),,SUBSTITUTE(IFERROR(JOIN("","",K709:Z709),JOIN("","",K709:Y709)),CHAR(10),""""))"),"")</f>
        <v/>
      </c>
      <c r="AC709" s="229" t="str">
        <f t="shared" si="1"/>
        <v/>
      </c>
    </row>
    <row r="710">
      <c r="K710" s="237"/>
      <c r="L710" s="238" t="str">
        <f t="shared" si="3"/>
        <v/>
      </c>
      <c r="M710" s="237"/>
      <c r="N710" s="238"/>
      <c r="O710" s="238" t="str">
        <f t="shared" si="4"/>
        <v/>
      </c>
      <c r="P710" s="238" t="str">
        <f t="shared" si="5"/>
        <v/>
      </c>
      <c r="Q710" s="238" t="str">
        <f t="shared" si="6"/>
        <v/>
      </c>
      <c r="R710" s="238" t="str">
        <f t="shared" si="7"/>
        <v/>
      </c>
      <c r="S710" s="238" t="str">
        <f t="shared" si="8"/>
        <v/>
      </c>
      <c r="T710" s="238"/>
      <c r="U710" s="237"/>
      <c r="V710" s="238"/>
      <c r="W710" s="238" t="str">
        <f t="shared" si="9"/>
        <v/>
      </c>
      <c r="X710" s="237" t="str">
        <f t="shared" ref="X710:Y710" si="702">IF(ISBLANK(H710),,""""&amp;H710&amp;"""")</f>
        <v/>
      </c>
      <c r="Y710" s="237" t="str">
        <f t="shared" si="702"/>
        <v/>
      </c>
      <c r="Z710" s="237" t="str">
        <f>IF(ISBLANK(K710),,Config!$C$3&amp;"&amp;range=BB"&amp;MATCH(K710,FRG!AE:AE,0))</f>
        <v/>
      </c>
      <c r="AB710" s="242" t="str">
        <f>IFERROR(__xludf.DUMMYFUNCTION("IF(ISBLANK(K710),,SUBSTITUTE(IFERROR(JOIN("","",K710:Z710),JOIN("","",K710:Y710)),CHAR(10),""""))"),"")</f>
        <v/>
      </c>
      <c r="AC710" s="229" t="str">
        <f t="shared" si="1"/>
        <v/>
      </c>
    </row>
    <row r="711">
      <c r="K711" s="237"/>
      <c r="L711" s="238" t="str">
        <f t="shared" si="3"/>
        <v/>
      </c>
      <c r="M711" s="237"/>
      <c r="N711" s="238"/>
      <c r="O711" s="238" t="str">
        <f t="shared" si="4"/>
        <v/>
      </c>
      <c r="P711" s="238" t="str">
        <f t="shared" si="5"/>
        <v/>
      </c>
      <c r="Q711" s="238" t="str">
        <f t="shared" si="6"/>
        <v/>
      </c>
      <c r="R711" s="238" t="str">
        <f t="shared" si="7"/>
        <v/>
      </c>
      <c r="S711" s="238" t="str">
        <f t="shared" si="8"/>
        <v/>
      </c>
      <c r="T711" s="238"/>
      <c r="U711" s="237"/>
      <c r="V711" s="238"/>
      <c r="W711" s="238" t="str">
        <f t="shared" si="9"/>
        <v/>
      </c>
      <c r="X711" s="237" t="str">
        <f t="shared" ref="X711:Y711" si="703">IF(ISBLANK(H711),,""""&amp;H711&amp;"""")</f>
        <v/>
      </c>
      <c r="Y711" s="237" t="str">
        <f t="shared" si="703"/>
        <v/>
      </c>
      <c r="Z711" s="237" t="str">
        <f>IF(ISBLANK(K711),,Config!$C$3&amp;"&amp;range=BB"&amp;MATCH(K711,FRG!AE:AE,0))</f>
        <v/>
      </c>
      <c r="AB711" s="242" t="str">
        <f>IFERROR(__xludf.DUMMYFUNCTION("IF(ISBLANK(K711),,SUBSTITUTE(IFERROR(JOIN("","",K711:Z711),JOIN("","",K711:Y711)),CHAR(10),""""))"),"")</f>
        <v/>
      </c>
      <c r="AC711" s="229" t="str">
        <f t="shared" si="1"/>
        <v/>
      </c>
    </row>
    <row r="712">
      <c r="K712" s="237"/>
      <c r="L712" s="238" t="str">
        <f t="shared" si="3"/>
        <v/>
      </c>
      <c r="M712" s="237"/>
      <c r="N712" s="238"/>
      <c r="O712" s="238" t="str">
        <f t="shared" si="4"/>
        <v/>
      </c>
      <c r="P712" s="238" t="str">
        <f t="shared" si="5"/>
        <v/>
      </c>
      <c r="Q712" s="238" t="str">
        <f t="shared" si="6"/>
        <v/>
      </c>
      <c r="R712" s="238" t="str">
        <f t="shared" si="7"/>
        <v/>
      </c>
      <c r="S712" s="238" t="str">
        <f t="shared" si="8"/>
        <v/>
      </c>
      <c r="T712" s="238"/>
      <c r="U712" s="237"/>
      <c r="V712" s="238"/>
      <c r="W712" s="238" t="str">
        <f t="shared" si="9"/>
        <v/>
      </c>
      <c r="X712" s="237" t="str">
        <f t="shared" ref="X712:Y712" si="704">IF(ISBLANK(H712),,""""&amp;H712&amp;"""")</f>
        <v/>
      </c>
      <c r="Y712" s="237" t="str">
        <f t="shared" si="704"/>
        <v/>
      </c>
      <c r="Z712" s="237" t="str">
        <f>IF(ISBLANK(K712),,Config!$C$3&amp;"&amp;range=BB"&amp;MATCH(K712,FRG!AE:AE,0))</f>
        <v/>
      </c>
      <c r="AB712" s="242" t="str">
        <f>IFERROR(__xludf.DUMMYFUNCTION("IF(ISBLANK(K712),,SUBSTITUTE(IFERROR(JOIN("","",K712:Z712),JOIN("","",K712:Y712)),CHAR(10),""""))"),"")</f>
        <v/>
      </c>
      <c r="AC712" s="229" t="str">
        <f t="shared" si="1"/>
        <v/>
      </c>
    </row>
    <row r="713">
      <c r="K713" s="237"/>
      <c r="L713" s="238" t="str">
        <f t="shared" si="3"/>
        <v/>
      </c>
      <c r="M713" s="237"/>
      <c r="N713" s="238"/>
      <c r="O713" s="238" t="str">
        <f t="shared" si="4"/>
        <v/>
      </c>
      <c r="P713" s="238" t="str">
        <f t="shared" si="5"/>
        <v/>
      </c>
      <c r="Q713" s="238" t="str">
        <f t="shared" si="6"/>
        <v/>
      </c>
      <c r="R713" s="238" t="str">
        <f t="shared" si="7"/>
        <v/>
      </c>
      <c r="S713" s="238" t="str">
        <f t="shared" si="8"/>
        <v/>
      </c>
      <c r="T713" s="238"/>
      <c r="U713" s="237"/>
      <c r="V713" s="238"/>
      <c r="W713" s="238" t="str">
        <f t="shared" si="9"/>
        <v/>
      </c>
      <c r="X713" s="237" t="str">
        <f t="shared" ref="X713:Y713" si="705">IF(ISBLANK(H713),,""""&amp;H713&amp;"""")</f>
        <v/>
      </c>
      <c r="Y713" s="237" t="str">
        <f t="shared" si="705"/>
        <v/>
      </c>
      <c r="Z713" s="237" t="str">
        <f>IF(ISBLANK(K713),,Config!$C$3&amp;"&amp;range=BB"&amp;MATCH(K713,FRG!AE:AE,0))</f>
        <v/>
      </c>
      <c r="AB713" s="242" t="str">
        <f>IFERROR(__xludf.DUMMYFUNCTION("IF(ISBLANK(K713),,SUBSTITUTE(IFERROR(JOIN("","",K713:Z713),JOIN("","",K713:Y713)),CHAR(10),""""))"),"")</f>
        <v/>
      </c>
      <c r="AC713" s="229" t="str">
        <f t="shared" si="1"/>
        <v/>
      </c>
    </row>
    <row r="714">
      <c r="K714" s="237"/>
      <c r="L714" s="238" t="str">
        <f t="shared" si="3"/>
        <v/>
      </c>
      <c r="M714" s="237"/>
      <c r="N714" s="238"/>
      <c r="O714" s="238" t="str">
        <f t="shared" si="4"/>
        <v/>
      </c>
      <c r="P714" s="238" t="str">
        <f t="shared" si="5"/>
        <v/>
      </c>
      <c r="Q714" s="238" t="str">
        <f t="shared" si="6"/>
        <v/>
      </c>
      <c r="R714" s="238" t="str">
        <f t="shared" si="7"/>
        <v/>
      </c>
      <c r="S714" s="238" t="str">
        <f t="shared" si="8"/>
        <v/>
      </c>
      <c r="T714" s="238"/>
      <c r="U714" s="237"/>
      <c r="V714" s="238"/>
      <c r="W714" s="238" t="str">
        <f t="shared" si="9"/>
        <v/>
      </c>
      <c r="X714" s="237" t="str">
        <f t="shared" ref="X714:Y714" si="706">IF(ISBLANK(H714),,""""&amp;H714&amp;"""")</f>
        <v/>
      </c>
      <c r="Y714" s="237" t="str">
        <f t="shared" si="706"/>
        <v/>
      </c>
      <c r="Z714" s="237" t="str">
        <f>IF(ISBLANK(K714),,Config!$C$3&amp;"&amp;range=BB"&amp;MATCH(K714,FRG!AE:AE,0))</f>
        <v/>
      </c>
      <c r="AB714" s="242" t="str">
        <f>IFERROR(__xludf.DUMMYFUNCTION("IF(ISBLANK(K714),,SUBSTITUTE(IFERROR(JOIN("","",K714:Z714),JOIN("","",K714:Y714)),CHAR(10),""""))"),"")</f>
        <v/>
      </c>
      <c r="AC714" s="229" t="str">
        <f t="shared" si="1"/>
        <v/>
      </c>
    </row>
    <row r="715">
      <c r="K715" s="237"/>
      <c r="L715" s="238" t="str">
        <f t="shared" si="3"/>
        <v/>
      </c>
      <c r="M715" s="237"/>
      <c r="N715" s="238"/>
      <c r="O715" s="238" t="str">
        <f t="shared" si="4"/>
        <v/>
      </c>
      <c r="P715" s="238" t="str">
        <f t="shared" si="5"/>
        <v/>
      </c>
      <c r="Q715" s="238" t="str">
        <f t="shared" si="6"/>
        <v/>
      </c>
      <c r="R715" s="238" t="str">
        <f t="shared" si="7"/>
        <v/>
      </c>
      <c r="S715" s="238" t="str">
        <f t="shared" si="8"/>
        <v/>
      </c>
      <c r="T715" s="238"/>
      <c r="U715" s="237"/>
      <c r="V715" s="238"/>
      <c r="W715" s="238" t="str">
        <f t="shared" si="9"/>
        <v/>
      </c>
      <c r="X715" s="237" t="str">
        <f t="shared" ref="X715:Y715" si="707">IF(ISBLANK(H715),,""""&amp;H715&amp;"""")</f>
        <v/>
      </c>
      <c r="Y715" s="237" t="str">
        <f t="shared" si="707"/>
        <v/>
      </c>
      <c r="Z715" s="237" t="str">
        <f>IF(ISBLANK(K715),,Config!$C$3&amp;"&amp;range=BB"&amp;MATCH(K715,FRG!AE:AE,0))</f>
        <v/>
      </c>
      <c r="AB715" s="242" t="str">
        <f>IFERROR(__xludf.DUMMYFUNCTION("IF(ISBLANK(K715),,SUBSTITUTE(IFERROR(JOIN("","",K715:Z715),JOIN("","",K715:Y715)),CHAR(10),""""))"),"")</f>
        <v/>
      </c>
      <c r="AC715" s="229" t="str">
        <f t="shared" si="1"/>
        <v/>
      </c>
    </row>
    <row r="716">
      <c r="K716" s="237"/>
      <c r="L716" s="238" t="str">
        <f t="shared" si="3"/>
        <v/>
      </c>
      <c r="M716" s="237"/>
      <c r="N716" s="238"/>
      <c r="O716" s="238" t="str">
        <f t="shared" si="4"/>
        <v/>
      </c>
      <c r="P716" s="238" t="str">
        <f t="shared" si="5"/>
        <v/>
      </c>
      <c r="Q716" s="238" t="str">
        <f t="shared" si="6"/>
        <v/>
      </c>
      <c r="R716" s="238" t="str">
        <f t="shared" si="7"/>
        <v/>
      </c>
      <c r="S716" s="238" t="str">
        <f t="shared" si="8"/>
        <v/>
      </c>
      <c r="T716" s="238"/>
      <c r="U716" s="237"/>
      <c r="V716" s="238"/>
      <c r="W716" s="238" t="str">
        <f t="shared" si="9"/>
        <v/>
      </c>
      <c r="X716" s="237" t="str">
        <f t="shared" ref="X716:Y716" si="708">IF(ISBLANK(H716),,""""&amp;H716&amp;"""")</f>
        <v/>
      </c>
      <c r="Y716" s="237" t="str">
        <f t="shared" si="708"/>
        <v/>
      </c>
      <c r="Z716" s="237" t="str">
        <f>IF(ISBLANK(K716),,Config!$C$3&amp;"&amp;range=BB"&amp;MATCH(K716,FRG!AE:AE,0))</f>
        <v/>
      </c>
      <c r="AB716" s="242" t="str">
        <f>IFERROR(__xludf.DUMMYFUNCTION("IF(ISBLANK(K716),,SUBSTITUTE(IFERROR(JOIN("","",K716:Z716),JOIN("","",K716:Y716)),CHAR(10),""""))"),"")</f>
        <v/>
      </c>
      <c r="AC716" s="229" t="str">
        <f t="shared" si="1"/>
        <v/>
      </c>
    </row>
    <row r="717">
      <c r="K717" s="237"/>
      <c r="L717" s="238" t="str">
        <f t="shared" si="3"/>
        <v/>
      </c>
      <c r="M717" s="237"/>
      <c r="N717" s="238"/>
      <c r="O717" s="238" t="str">
        <f t="shared" si="4"/>
        <v/>
      </c>
      <c r="P717" s="238" t="str">
        <f t="shared" si="5"/>
        <v/>
      </c>
      <c r="Q717" s="238" t="str">
        <f t="shared" si="6"/>
        <v/>
      </c>
      <c r="R717" s="238" t="str">
        <f t="shared" si="7"/>
        <v/>
      </c>
      <c r="S717" s="238" t="str">
        <f t="shared" si="8"/>
        <v/>
      </c>
      <c r="T717" s="238"/>
      <c r="U717" s="237"/>
      <c r="V717" s="238"/>
      <c r="W717" s="238" t="str">
        <f t="shared" si="9"/>
        <v/>
      </c>
      <c r="X717" s="237" t="str">
        <f t="shared" ref="X717:Y717" si="709">IF(ISBLANK(H717),,""""&amp;H717&amp;"""")</f>
        <v/>
      </c>
      <c r="Y717" s="237" t="str">
        <f t="shared" si="709"/>
        <v/>
      </c>
      <c r="Z717" s="237" t="str">
        <f>IF(ISBLANK(K717),,Config!$C$3&amp;"&amp;range=BB"&amp;MATCH(K717,FRG!AE:AE,0))</f>
        <v/>
      </c>
      <c r="AB717" s="242" t="str">
        <f>IFERROR(__xludf.DUMMYFUNCTION("IF(ISBLANK(K717),,SUBSTITUTE(IFERROR(JOIN("","",K717:Z717),JOIN("","",K717:Y717)),CHAR(10),""""))"),"")</f>
        <v/>
      </c>
      <c r="AC717" s="229" t="str">
        <f t="shared" si="1"/>
        <v/>
      </c>
    </row>
    <row r="718">
      <c r="K718" s="237"/>
      <c r="L718" s="238" t="str">
        <f t="shared" si="3"/>
        <v/>
      </c>
      <c r="M718" s="237"/>
      <c r="N718" s="238"/>
      <c r="O718" s="238" t="str">
        <f t="shared" si="4"/>
        <v/>
      </c>
      <c r="P718" s="238" t="str">
        <f t="shared" si="5"/>
        <v/>
      </c>
      <c r="Q718" s="238" t="str">
        <f t="shared" si="6"/>
        <v/>
      </c>
      <c r="R718" s="238" t="str">
        <f t="shared" si="7"/>
        <v/>
      </c>
      <c r="S718" s="238" t="str">
        <f t="shared" si="8"/>
        <v/>
      </c>
      <c r="T718" s="238"/>
      <c r="U718" s="237"/>
      <c r="V718" s="238"/>
      <c r="W718" s="238" t="str">
        <f t="shared" si="9"/>
        <v/>
      </c>
      <c r="X718" s="237" t="str">
        <f t="shared" ref="X718:Y718" si="710">IF(ISBLANK(H718),,""""&amp;H718&amp;"""")</f>
        <v/>
      </c>
      <c r="Y718" s="237" t="str">
        <f t="shared" si="710"/>
        <v/>
      </c>
      <c r="Z718" s="237" t="str">
        <f>IF(ISBLANK(K718),,Config!$C$3&amp;"&amp;range=BB"&amp;MATCH(K718,FRG!AE:AE,0))</f>
        <v/>
      </c>
      <c r="AB718" s="242" t="str">
        <f>IFERROR(__xludf.DUMMYFUNCTION("IF(ISBLANK(K718),,SUBSTITUTE(IFERROR(JOIN("","",K718:Z718),JOIN("","",K718:Y718)),CHAR(10),""""))"),"")</f>
        <v/>
      </c>
      <c r="AC718" s="229" t="str">
        <f t="shared" si="1"/>
        <v/>
      </c>
    </row>
    <row r="719">
      <c r="K719" s="237"/>
      <c r="L719" s="238" t="str">
        <f t="shared" si="3"/>
        <v/>
      </c>
      <c r="M719" s="237"/>
      <c r="N719" s="238"/>
      <c r="O719" s="238" t="str">
        <f t="shared" si="4"/>
        <v/>
      </c>
      <c r="P719" s="238" t="str">
        <f t="shared" si="5"/>
        <v/>
      </c>
      <c r="Q719" s="238" t="str">
        <f t="shared" si="6"/>
        <v/>
      </c>
      <c r="R719" s="238" t="str">
        <f t="shared" si="7"/>
        <v/>
      </c>
      <c r="S719" s="238" t="str">
        <f t="shared" si="8"/>
        <v/>
      </c>
      <c r="T719" s="238"/>
      <c r="U719" s="237"/>
      <c r="V719" s="238"/>
      <c r="W719" s="238" t="str">
        <f t="shared" si="9"/>
        <v/>
      </c>
      <c r="X719" s="237" t="str">
        <f t="shared" ref="X719:Y719" si="711">IF(ISBLANK(H719),,""""&amp;H719&amp;"""")</f>
        <v/>
      </c>
      <c r="Y719" s="237" t="str">
        <f t="shared" si="711"/>
        <v/>
      </c>
      <c r="Z719" s="237" t="str">
        <f>IF(ISBLANK(K719),,Config!$C$3&amp;"&amp;range=BB"&amp;MATCH(K719,FRG!AE:AE,0))</f>
        <v/>
      </c>
      <c r="AB719" s="242" t="str">
        <f>IFERROR(__xludf.DUMMYFUNCTION("IF(ISBLANK(K719),,SUBSTITUTE(IFERROR(JOIN("","",K719:Z719),JOIN("","",K719:Y719)),CHAR(10),""""))"),"")</f>
        <v/>
      </c>
      <c r="AC719" s="229" t="str">
        <f t="shared" si="1"/>
        <v/>
      </c>
    </row>
    <row r="720">
      <c r="K720" s="237"/>
      <c r="L720" s="238" t="str">
        <f t="shared" si="3"/>
        <v/>
      </c>
      <c r="M720" s="237"/>
      <c r="N720" s="238"/>
      <c r="O720" s="238" t="str">
        <f t="shared" si="4"/>
        <v/>
      </c>
      <c r="P720" s="238" t="str">
        <f t="shared" si="5"/>
        <v/>
      </c>
      <c r="Q720" s="238" t="str">
        <f t="shared" si="6"/>
        <v/>
      </c>
      <c r="R720" s="238" t="str">
        <f t="shared" si="7"/>
        <v/>
      </c>
      <c r="S720" s="238" t="str">
        <f t="shared" si="8"/>
        <v/>
      </c>
      <c r="T720" s="238"/>
      <c r="U720" s="237"/>
      <c r="V720" s="238"/>
      <c r="W720" s="238" t="str">
        <f t="shared" si="9"/>
        <v/>
      </c>
      <c r="X720" s="237" t="str">
        <f t="shared" ref="X720:Y720" si="712">IF(ISBLANK(H720),,""""&amp;H720&amp;"""")</f>
        <v/>
      </c>
      <c r="Y720" s="237" t="str">
        <f t="shared" si="712"/>
        <v/>
      </c>
      <c r="Z720" s="237" t="str">
        <f>IF(ISBLANK(K720),,Config!$C$3&amp;"&amp;range=BB"&amp;MATCH(K720,FRG!AE:AE,0))</f>
        <v/>
      </c>
      <c r="AB720" s="242" t="str">
        <f>IFERROR(__xludf.DUMMYFUNCTION("IF(ISBLANK(K720),,SUBSTITUTE(IFERROR(JOIN("","",K720:Z720),JOIN("","",K720:Y720)),CHAR(10),""""))"),"")</f>
        <v/>
      </c>
      <c r="AC720" s="229" t="str">
        <f t="shared" si="1"/>
        <v/>
      </c>
    </row>
    <row r="721">
      <c r="K721" s="237"/>
      <c r="L721" s="238" t="str">
        <f t="shared" si="3"/>
        <v/>
      </c>
      <c r="M721" s="237"/>
      <c r="N721" s="238"/>
      <c r="O721" s="238" t="str">
        <f t="shared" si="4"/>
        <v/>
      </c>
      <c r="P721" s="238" t="str">
        <f t="shared" si="5"/>
        <v/>
      </c>
      <c r="Q721" s="238" t="str">
        <f t="shared" si="6"/>
        <v/>
      </c>
      <c r="R721" s="238" t="str">
        <f t="shared" si="7"/>
        <v/>
      </c>
      <c r="S721" s="238" t="str">
        <f t="shared" si="8"/>
        <v/>
      </c>
      <c r="T721" s="238"/>
      <c r="U721" s="237"/>
      <c r="V721" s="238"/>
      <c r="W721" s="238" t="str">
        <f t="shared" si="9"/>
        <v/>
      </c>
      <c r="X721" s="237" t="str">
        <f t="shared" ref="X721:Y721" si="713">IF(ISBLANK(H721),,""""&amp;H721&amp;"""")</f>
        <v/>
      </c>
      <c r="Y721" s="237" t="str">
        <f t="shared" si="713"/>
        <v/>
      </c>
      <c r="Z721" s="237" t="str">
        <f>IF(ISBLANK(K721),,Config!$C$3&amp;"&amp;range=BB"&amp;MATCH(K721,FRG!AE:AE,0))</f>
        <v/>
      </c>
      <c r="AB721" s="242" t="str">
        <f>IFERROR(__xludf.DUMMYFUNCTION("IF(ISBLANK(K721),,SUBSTITUTE(IFERROR(JOIN("","",K721:Z721),JOIN("","",K721:Y721)),CHAR(10),""""))"),"")</f>
        <v/>
      </c>
      <c r="AC721" s="229" t="str">
        <f t="shared" si="1"/>
        <v/>
      </c>
    </row>
    <row r="722">
      <c r="K722" s="237"/>
      <c r="L722" s="238" t="str">
        <f t="shared" si="3"/>
        <v/>
      </c>
      <c r="M722" s="237"/>
      <c r="N722" s="238"/>
      <c r="O722" s="238" t="str">
        <f t="shared" si="4"/>
        <v/>
      </c>
      <c r="P722" s="238" t="str">
        <f t="shared" si="5"/>
        <v/>
      </c>
      <c r="Q722" s="238" t="str">
        <f t="shared" si="6"/>
        <v/>
      </c>
      <c r="R722" s="238" t="str">
        <f t="shared" si="7"/>
        <v/>
      </c>
      <c r="S722" s="238" t="str">
        <f t="shared" si="8"/>
        <v/>
      </c>
      <c r="T722" s="238"/>
      <c r="U722" s="237"/>
      <c r="V722" s="238"/>
      <c r="W722" s="238" t="str">
        <f t="shared" si="9"/>
        <v/>
      </c>
      <c r="X722" s="237" t="str">
        <f t="shared" ref="X722:Y722" si="714">IF(ISBLANK(H722),,""""&amp;H722&amp;"""")</f>
        <v/>
      </c>
      <c r="Y722" s="237" t="str">
        <f t="shared" si="714"/>
        <v/>
      </c>
      <c r="Z722" s="237" t="str">
        <f>IF(ISBLANK(K722),,Config!$C$3&amp;"&amp;range=BB"&amp;MATCH(K722,FRG!AE:AE,0))</f>
        <v/>
      </c>
      <c r="AB722" s="242" t="str">
        <f>IFERROR(__xludf.DUMMYFUNCTION("IF(ISBLANK(K722),,SUBSTITUTE(IFERROR(JOIN("","",K722:Z722),JOIN("","",K722:Y722)),CHAR(10),""""))"),"")</f>
        <v/>
      </c>
      <c r="AC722" s="229" t="str">
        <f t="shared" si="1"/>
        <v/>
      </c>
    </row>
    <row r="723">
      <c r="K723" s="237"/>
      <c r="L723" s="238" t="str">
        <f t="shared" si="3"/>
        <v/>
      </c>
      <c r="M723" s="237"/>
      <c r="N723" s="238"/>
      <c r="O723" s="238" t="str">
        <f t="shared" si="4"/>
        <v/>
      </c>
      <c r="P723" s="238" t="str">
        <f t="shared" si="5"/>
        <v/>
      </c>
      <c r="Q723" s="238" t="str">
        <f t="shared" si="6"/>
        <v/>
      </c>
      <c r="R723" s="238" t="str">
        <f t="shared" si="7"/>
        <v/>
      </c>
      <c r="S723" s="238" t="str">
        <f t="shared" si="8"/>
        <v/>
      </c>
      <c r="T723" s="238"/>
      <c r="U723" s="237"/>
      <c r="V723" s="238"/>
      <c r="W723" s="238" t="str">
        <f t="shared" si="9"/>
        <v/>
      </c>
      <c r="X723" s="237" t="str">
        <f t="shared" ref="X723:Y723" si="715">IF(ISBLANK(H723),,""""&amp;H723&amp;"""")</f>
        <v/>
      </c>
      <c r="Y723" s="237" t="str">
        <f t="shared" si="715"/>
        <v/>
      </c>
      <c r="Z723" s="237" t="str">
        <f>IF(ISBLANK(K723),,Config!$C$3&amp;"&amp;range=BB"&amp;MATCH(K723,FRG!AE:AE,0))</f>
        <v/>
      </c>
      <c r="AB723" s="242" t="str">
        <f>IFERROR(__xludf.DUMMYFUNCTION("IF(ISBLANK(K723),,SUBSTITUTE(IFERROR(JOIN("","",K723:Z723),JOIN("","",K723:Y723)),CHAR(10),""""))"),"")</f>
        <v/>
      </c>
      <c r="AC723" s="229" t="str">
        <f t="shared" si="1"/>
        <v/>
      </c>
    </row>
    <row r="724">
      <c r="K724" s="237"/>
      <c r="L724" s="238" t="str">
        <f t="shared" si="3"/>
        <v/>
      </c>
      <c r="M724" s="237"/>
      <c r="N724" s="238"/>
      <c r="O724" s="238" t="str">
        <f t="shared" si="4"/>
        <v/>
      </c>
      <c r="P724" s="238" t="str">
        <f t="shared" si="5"/>
        <v/>
      </c>
      <c r="Q724" s="238" t="str">
        <f t="shared" si="6"/>
        <v/>
      </c>
      <c r="R724" s="238" t="str">
        <f t="shared" si="7"/>
        <v/>
      </c>
      <c r="S724" s="238" t="str">
        <f t="shared" si="8"/>
        <v/>
      </c>
      <c r="T724" s="238"/>
      <c r="U724" s="237"/>
      <c r="V724" s="238"/>
      <c r="W724" s="238" t="str">
        <f t="shared" si="9"/>
        <v/>
      </c>
      <c r="X724" s="237" t="str">
        <f t="shared" ref="X724:Y724" si="716">IF(ISBLANK(H724),,""""&amp;H724&amp;"""")</f>
        <v/>
      </c>
      <c r="Y724" s="237" t="str">
        <f t="shared" si="716"/>
        <v/>
      </c>
      <c r="Z724" s="237" t="str">
        <f>IF(ISBLANK(K724),,Config!$C$3&amp;"&amp;range=BB"&amp;MATCH(K724,FRG!AE:AE,0))</f>
        <v/>
      </c>
      <c r="AB724" s="242" t="str">
        <f>IFERROR(__xludf.DUMMYFUNCTION("IF(ISBLANK(K724),,SUBSTITUTE(IFERROR(JOIN("","",K724:Z724),JOIN("","",K724:Y724)),CHAR(10),""""))"),"")</f>
        <v/>
      </c>
      <c r="AC724" s="229" t="str">
        <f t="shared" si="1"/>
        <v/>
      </c>
    </row>
    <row r="725">
      <c r="K725" s="237"/>
      <c r="L725" s="238" t="str">
        <f t="shared" si="3"/>
        <v/>
      </c>
      <c r="M725" s="237"/>
      <c r="N725" s="238"/>
      <c r="O725" s="238" t="str">
        <f t="shared" si="4"/>
        <v/>
      </c>
      <c r="P725" s="238" t="str">
        <f t="shared" si="5"/>
        <v/>
      </c>
      <c r="Q725" s="238" t="str">
        <f t="shared" si="6"/>
        <v/>
      </c>
      <c r="R725" s="238" t="str">
        <f t="shared" si="7"/>
        <v/>
      </c>
      <c r="S725" s="238" t="str">
        <f t="shared" si="8"/>
        <v/>
      </c>
      <c r="T725" s="238"/>
      <c r="U725" s="237"/>
      <c r="V725" s="238"/>
      <c r="W725" s="238" t="str">
        <f t="shared" si="9"/>
        <v/>
      </c>
      <c r="X725" s="237" t="str">
        <f t="shared" ref="X725:Y725" si="717">IF(ISBLANK(H725),,""""&amp;H725&amp;"""")</f>
        <v/>
      </c>
      <c r="Y725" s="237" t="str">
        <f t="shared" si="717"/>
        <v/>
      </c>
      <c r="Z725" s="237" t="str">
        <f>IF(ISBLANK(K725),,Config!$C$3&amp;"&amp;range=BB"&amp;MATCH(K725,FRG!AE:AE,0))</f>
        <v/>
      </c>
      <c r="AB725" s="242" t="str">
        <f>IFERROR(__xludf.DUMMYFUNCTION("IF(ISBLANK(K725),,SUBSTITUTE(IFERROR(JOIN("","",K725:Z725),JOIN("","",K725:Y725)),CHAR(10),""""))"),"")</f>
        <v/>
      </c>
      <c r="AC725" s="229" t="str">
        <f t="shared" si="1"/>
        <v/>
      </c>
    </row>
    <row r="726">
      <c r="K726" s="237"/>
      <c r="L726" s="238" t="str">
        <f t="shared" si="3"/>
        <v/>
      </c>
      <c r="M726" s="237"/>
      <c r="N726" s="238"/>
      <c r="O726" s="238" t="str">
        <f t="shared" si="4"/>
        <v/>
      </c>
      <c r="P726" s="238" t="str">
        <f t="shared" si="5"/>
        <v/>
      </c>
      <c r="Q726" s="238" t="str">
        <f t="shared" si="6"/>
        <v/>
      </c>
      <c r="R726" s="238" t="str">
        <f t="shared" si="7"/>
        <v/>
      </c>
      <c r="S726" s="238" t="str">
        <f t="shared" si="8"/>
        <v/>
      </c>
      <c r="T726" s="238"/>
      <c r="U726" s="237"/>
      <c r="V726" s="238"/>
      <c r="W726" s="238" t="str">
        <f t="shared" si="9"/>
        <v/>
      </c>
      <c r="X726" s="237" t="str">
        <f t="shared" ref="X726:Y726" si="718">IF(ISBLANK(H726),,""""&amp;H726&amp;"""")</f>
        <v/>
      </c>
      <c r="Y726" s="237" t="str">
        <f t="shared" si="718"/>
        <v/>
      </c>
      <c r="Z726" s="237" t="str">
        <f>IF(ISBLANK(K726),,Config!$C$3&amp;"&amp;range=BB"&amp;MATCH(K726,FRG!AE:AE,0))</f>
        <v/>
      </c>
      <c r="AB726" s="242" t="str">
        <f>IFERROR(__xludf.DUMMYFUNCTION("IF(ISBLANK(K726),,SUBSTITUTE(IFERROR(JOIN("","",K726:Z726),JOIN("","",K726:Y726)),CHAR(10),""""))"),"")</f>
        <v/>
      </c>
      <c r="AC726" s="229" t="str">
        <f t="shared" si="1"/>
        <v/>
      </c>
    </row>
    <row r="727">
      <c r="K727" s="237"/>
      <c r="L727" s="238" t="str">
        <f t="shared" si="3"/>
        <v/>
      </c>
      <c r="M727" s="237"/>
      <c r="N727" s="238"/>
      <c r="O727" s="238" t="str">
        <f t="shared" si="4"/>
        <v/>
      </c>
      <c r="P727" s="238" t="str">
        <f t="shared" si="5"/>
        <v/>
      </c>
      <c r="Q727" s="238" t="str">
        <f t="shared" si="6"/>
        <v/>
      </c>
      <c r="R727" s="238" t="str">
        <f t="shared" si="7"/>
        <v/>
      </c>
      <c r="S727" s="238" t="str">
        <f t="shared" si="8"/>
        <v/>
      </c>
      <c r="T727" s="238"/>
      <c r="U727" s="237"/>
      <c r="V727" s="238"/>
      <c r="W727" s="238" t="str">
        <f t="shared" si="9"/>
        <v/>
      </c>
      <c r="X727" s="237" t="str">
        <f t="shared" ref="X727:Y727" si="719">IF(ISBLANK(H727),,""""&amp;H727&amp;"""")</f>
        <v/>
      </c>
      <c r="Y727" s="237" t="str">
        <f t="shared" si="719"/>
        <v/>
      </c>
      <c r="Z727" s="237" t="str">
        <f>IF(ISBLANK(K727),,Config!$C$3&amp;"&amp;range=BB"&amp;MATCH(K727,FRG!AE:AE,0))</f>
        <v/>
      </c>
      <c r="AB727" s="242" t="str">
        <f>IFERROR(__xludf.DUMMYFUNCTION("IF(ISBLANK(K727),,SUBSTITUTE(IFERROR(JOIN("","",K727:Z727),JOIN("","",K727:Y727)),CHAR(10),""""))"),"")</f>
        <v/>
      </c>
      <c r="AC727" s="229" t="str">
        <f t="shared" si="1"/>
        <v/>
      </c>
    </row>
    <row r="728">
      <c r="K728" s="237"/>
      <c r="L728" s="238" t="str">
        <f t="shared" si="3"/>
        <v/>
      </c>
      <c r="M728" s="237"/>
      <c r="N728" s="238"/>
      <c r="O728" s="238" t="str">
        <f t="shared" si="4"/>
        <v/>
      </c>
      <c r="P728" s="238" t="str">
        <f t="shared" si="5"/>
        <v/>
      </c>
      <c r="Q728" s="238" t="str">
        <f t="shared" si="6"/>
        <v/>
      </c>
      <c r="R728" s="238" t="str">
        <f t="shared" si="7"/>
        <v/>
      </c>
      <c r="S728" s="238" t="str">
        <f t="shared" si="8"/>
        <v/>
      </c>
      <c r="T728" s="238"/>
      <c r="U728" s="237"/>
      <c r="V728" s="238"/>
      <c r="W728" s="238" t="str">
        <f t="shared" si="9"/>
        <v/>
      </c>
      <c r="X728" s="237" t="str">
        <f t="shared" ref="X728:Y728" si="720">IF(ISBLANK(H728),,""""&amp;H728&amp;"""")</f>
        <v/>
      </c>
      <c r="Y728" s="237" t="str">
        <f t="shared" si="720"/>
        <v/>
      </c>
      <c r="Z728" s="237" t="str">
        <f>IF(ISBLANK(K728),,Config!$C$3&amp;"&amp;range=BB"&amp;MATCH(K728,FRG!AE:AE,0))</f>
        <v/>
      </c>
      <c r="AB728" s="242" t="str">
        <f>IFERROR(__xludf.DUMMYFUNCTION("IF(ISBLANK(K728),,SUBSTITUTE(IFERROR(JOIN("","",K728:Z728),JOIN("","",K728:Y728)),CHAR(10),""""))"),"")</f>
        <v/>
      </c>
      <c r="AC728" s="229" t="str">
        <f t="shared" si="1"/>
        <v/>
      </c>
    </row>
    <row r="729">
      <c r="K729" s="237"/>
      <c r="L729" s="238" t="str">
        <f t="shared" si="3"/>
        <v/>
      </c>
      <c r="M729" s="237"/>
      <c r="N729" s="238"/>
      <c r="O729" s="238" t="str">
        <f t="shared" si="4"/>
        <v/>
      </c>
      <c r="P729" s="238" t="str">
        <f t="shared" si="5"/>
        <v/>
      </c>
      <c r="Q729" s="238" t="str">
        <f t="shared" si="6"/>
        <v/>
      </c>
      <c r="R729" s="238" t="str">
        <f t="shared" si="7"/>
        <v/>
      </c>
      <c r="S729" s="238" t="str">
        <f t="shared" si="8"/>
        <v/>
      </c>
      <c r="T729" s="238"/>
      <c r="U729" s="237"/>
      <c r="V729" s="238"/>
      <c r="W729" s="238" t="str">
        <f t="shared" si="9"/>
        <v/>
      </c>
      <c r="X729" s="237" t="str">
        <f t="shared" ref="X729:Y729" si="721">IF(ISBLANK(H729),,""""&amp;H729&amp;"""")</f>
        <v/>
      </c>
      <c r="Y729" s="237" t="str">
        <f t="shared" si="721"/>
        <v/>
      </c>
      <c r="Z729" s="237" t="str">
        <f>IF(ISBLANK(K729),,Config!$C$3&amp;"&amp;range=BB"&amp;MATCH(K729,FRG!AE:AE,0))</f>
        <v/>
      </c>
      <c r="AB729" s="242" t="str">
        <f>IFERROR(__xludf.DUMMYFUNCTION("IF(ISBLANK(K729),,SUBSTITUTE(IFERROR(JOIN("","",K729:Z729),JOIN("","",K729:Y729)),CHAR(10),""""))"),"")</f>
        <v/>
      </c>
      <c r="AC729" s="229" t="str">
        <f t="shared" si="1"/>
        <v/>
      </c>
    </row>
    <row r="730">
      <c r="K730" s="237"/>
      <c r="L730" s="238" t="str">
        <f t="shared" si="3"/>
        <v/>
      </c>
      <c r="M730" s="237"/>
      <c r="N730" s="238"/>
      <c r="O730" s="238" t="str">
        <f t="shared" si="4"/>
        <v/>
      </c>
      <c r="P730" s="238" t="str">
        <f t="shared" si="5"/>
        <v/>
      </c>
      <c r="Q730" s="238" t="str">
        <f t="shared" si="6"/>
        <v/>
      </c>
      <c r="R730" s="238" t="str">
        <f t="shared" si="7"/>
        <v/>
      </c>
      <c r="S730" s="238" t="str">
        <f t="shared" si="8"/>
        <v/>
      </c>
      <c r="T730" s="238"/>
      <c r="U730" s="237"/>
      <c r="V730" s="238"/>
      <c r="W730" s="238" t="str">
        <f t="shared" si="9"/>
        <v/>
      </c>
      <c r="X730" s="237" t="str">
        <f t="shared" ref="X730:Y730" si="722">IF(ISBLANK(H730),,""""&amp;H730&amp;"""")</f>
        <v/>
      </c>
      <c r="Y730" s="237" t="str">
        <f t="shared" si="722"/>
        <v/>
      </c>
      <c r="Z730" s="237" t="str">
        <f>IF(ISBLANK(K730),,Config!$C$3&amp;"&amp;range=BB"&amp;MATCH(K730,FRG!AE:AE,0))</f>
        <v/>
      </c>
      <c r="AB730" s="242" t="str">
        <f>IFERROR(__xludf.DUMMYFUNCTION("IF(ISBLANK(K730),,SUBSTITUTE(IFERROR(JOIN("","",K730:Z730),JOIN("","",K730:Y730)),CHAR(10),""""))"),"")</f>
        <v/>
      </c>
      <c r="AC730" s="229" t="str">
        <f t="shared" si="1"/>
        <v/>
      </c>
    </row>
    <row r="731">
      <c r="K731" s="237"/>
      <c r="L731" s="238" t="str">
        <f t="shared" si="3"/>
        <v/>
      </c>
      <c r="M731" s="237"/>
      <c r="N731" s="238"/>
      <c r="O731" s="238" t="str">
        <f t="shared" si="4"/>
        <v/>
      </c>
      <c r="P731" s="238" t="str">
        <f t="shared" si="5"/>
        <v/>
      </c>
      <c r="Q731" s="238" t="str">
        <f t="shared" si="6"/>
        <v/>
      </c>
      <c r="R731" s="238" t="str">
        <f t="shared" si="7"/>
        <v/>
      </c>
      <c r="S731" s="238" t="str">
        <f t="shared" si="8"/>
        <v/>
      </c>
      <c r="T731" s="238"/>
      <c r="U731" s="237"/>
      <c r="V731" s="238"/>
      <c r="W731" s="238" t="str">
        <f t="shared" si="9"/>
        <v/>
      </c>
      <c r="X731" s="237" t="str">
        <f t="shared" ref="X731:Y731" si="723">IF(ISBLANK(H731),,""""&amp;H731&amp;"""")</f>
        <v/>
      </c>
      <c r="Y731" s="237" t="str">
        <f t="shared" si="723"/>
        <v/>
      </c>
      <c r="Z731" s="237" t="str">
        <f>IF(ISBLANK(K731),,Config!$C$3&amp;"&amp;range=BB"&amp;MATCH(K731,FRG!AE:AE,0))</f>
        <v/>
      </c>
      <c r="AB731" s="242" t="str">
        <f>IFERROR(__xludf.DUMMYFUNCTION("IF(ISBLANK(K731),,SUBSTITUTE(IFERROR(JOIN("","",K731:Z731),JOIN("","",K731:Y731)),CHAR(10),""""))"),"")</f>
        <v/>
      </c>
      <c r="AC731" s="229" t="str">
        <f t="shared" si="1"/>
        <v/>
      </c>
    </row>
    <row r="732">
      <c r="K732" s="237"/>
      <c r="L732" s="238" t="str">
        <f t="shared" si="3"/>
        <v/>
      </c>
      <c r="M732" s="237"/>
      <c r="N732" s="238"/>
      <c r="O732" s="238" t="str">
        <f t="shared" si="4"/>
        <v/>
      </c>
      <c r="P732" s="238" t="str">
        <f t="shared" si="5"/>
        <v/>
      </c>
      <c r="Q732" s="238" t="str">
        <f t="shared" si="6"/>
        <v/>
      </c>
      <c r="R732" s="238" t="str">
        <f t="shared" si="7"/>
        <v/>
      </c>
      <c r="S732" s="238" t="str">
        <f t="shared" si="8"/>
        <v/>
      </c>
      <c r="T732" s="238"/>
      <c r="U732" s="237"/>
      <c r="V732" s="238"/>
      <c r="W732" s="238" t="str">
        <f t="shared" si="9"/>
        <v/>
      </c>
      <c r="X732" s="237" t="str">
        <f t="shared" ref="X732:Y732" si="724">IF(ISBLANK(H732),,""""&amp;H732&amp;"""")</f>
        <v/>
      </c>
      <c r="Y732" s="237" t="str">
        <f t="shared" si="724"/>
        <v/>
      </c>
      <c r="Z732" s="237" t="str">
        <f>IF(ISBLANK(K732),,Config!$C$3&amp;"&amp;range=BB"&amp;MATCH(K732,FRG!AE:AE,0))</f>
        <v/>
      </c>
      <c r="AB732" s="242" t="str">
        <f>IFERROR(__xludf.DUMMYFUNCTION("IF(ISBLANK(K732),,SUBSTITUTE(IFERROR(JOIN("","",K732:Z732),JOIN("","",K732:Y732)),CHAR(10),""""))"),"")</f>
        <v/>
      </c>
      <c r="AC732" s="229" t="str">
        <f t="shared" si="1"/>
        <v/>
      </c>
    </row>
    <row r="733">
      <c r="K733" s="237"/>
      <c r="L733" s="238" t="str">
        <f t="shared" si="3"/>
        <v/>
      </c>
      <c r="M733" s="237"/>
      <c r="N733" s="238"/>
      <c r="O733" s="238" t="str">
        <f t="shared" si="4"/>
        <v/>
      </c>
      <c r="P733" s="238" t="str">
        <f t="shared" si="5"/>
        <v/>
      </c>
      <c r="Q733" s="238" t="str">
        <f t="shared" si="6"/>
        <v/>
      </c>
      <c r="R733" s="238" t="str">
        <f t="shared" si="7"/>
        <v/>
      </c>
      <c r="S733" s="238" t="str">
        <f t="shared" si="8"/>
        <v/>
      </c>
      <c r="T733" s="238"/>
      <c r="U733" s="237"/>
      <c r="V733" s="238"/>
      <c r="W733" s="238" t="str">
        <f t="shared" si="9"/>
        <v/>
      </c>
      <c r="X733" s="237" t="str">
        <f t="shared" ref="X733:Y733" si="725">IF(ISBLANK(H733),,""""&amp;H733&amp;"""")</f>
        <v/>
      </c>
      <c r="Y733" s="237" t="str">
        <f t="shared" si="725"/>
        <v/>
      </c>
      <c r="Z733" s="237" t="str">
        <f>IF(ISBLANK(K733),,Config!$C$3&amp;"&amp;range=BB"&amp;MATCH(K733,FRG!AE:AE,0))</f>
        <v/>
      </c>
      <c r="AB733" s="242" t="str">
        <f>IFERROR(__xludf.DUMMYFUNCTION("IF(ISBLANK(K733),,SUBSTITUTE(IFERROR(JOIN("","",K733:Z733),JOIN("","",K733:Y733)),CHAR(10),""""))"),"")</f>
        <v/>
      </c>
      <c r="AC733" s="229" t="str">
        <f t="shared" si="1"/>
        <v/>
      </c>
    </row>
    <row r="734">
      <c r="K734" s="237"/>
      <c r="L734" s="238" t="str">
        <f t="shared" si="3"/>
        <v/>
      </c>
      <c r="M734" s="237"/>
      <c r="N734" s="238"/>
      <c r="O734" s="238" t="str">
        <f t="shared" si="4"/>
        <v/>
      </c>
      <c r="P734" s="238" t="str">
        <f t="shared" si="5"/>
        <v/>
      </c>
      <c r="Q734" s="238" t="str">
        <f t="shared" si="6"/>
        <v/>
      </c>
      <c r="R734" s="238" t="str">
        <f t="shared" si="7"/>
        <v/>
      </c>
      <c r="S734" s="238" t="str">
        <f t="shared" si="8"/>
        <v/>
      </c>
      <c r="T734" s="238"/>
      <c r="U734" s="237"/>
      <c r="V734" s="238"/>
      <c r="W734" s="238" t="str">
        <f t="shared" si="9"/>
        <v/>
      </c>
      <c r="X734" s="237" t="str">
        <f t="shared" ref="X734:Y734" si="726">IF(ISBLANK(H734),,""""&amp;H734&amp;"""")</f>
        <v/>
      </c>
      <c r="Y734" s="237" t="str">
        <f t="shared" si="726"/>
        <v/>
      </c>
      <c r="Z734" s="237" t="str">
        <f>IF(ISBLANK(K734),,Config!$C$3&amp;"&amp;range=BB"&amp;MATCH(K734,FRG!AE:AE,0))</f>
        <v/>
      </c>
      <c r="AB734" s="242" t="str">
        <f>IFERROR(__xludf.DUMMYFUNCTION("IF(ISBLANK(K734),,SUBSTITUTE(IFERROR(JOIN("","",K734:Z734),JOIN("","",K734:Y734)),CHAR(10),""""))"),"")</f>
        <v/>
      </c>
      <c r="AC734" s="229" t="str">
        <f t="shared" si="1"/>
        <v/>
      </c>
    </row>
    <row r="735">
      <c r="K735" s="237"/>
      <c r="L735" s="238" t="str">
        <f t="shared" si="3"/>
        <v/>
      </c>
      <c r="M735" s="237"/>
      <c r="N735" s="238"/>
      <c r="O735" s="238" t="str">
        <f t="shared" si="4"/>
        <v/>
      </c>
      <c r="P735" s="238" t="str">
        <f t="shared" si="5"/>
        <v/>
      </c>
      <c r="Q735" s="238" t="str">
        <f t="shared" si="6"/>
        <v/>
      </c>
      <c r="R735" s="238" t="str">
        <f t="shared" si="7"/>
        <v/>
      </c>
      <c r="S735" s="238" t="str">
        <f t="shared" si="8"/>
        <v/>
      </c>
      <c r="T735" s="238"/>
      <c r="U735" s="237"/>
      <c r="V735" s="238"/>
      <c r="W735" s="238" t="str">
        <f t="shared" si="9"/>
        <v/>
      </c>
      <c r="X735" s="237" t="str">
        <f t="shared" ref="X735:Y735" si="727">IF(ISBLANK(H735),,""""&amp;H735&amp;"""")</f>
        <v/>
      </c>
      <c r="Y735" s="237" t="str">
        <f t="shared" si="727"/>
        <v/>
      </c>
      <c r="Z735" s="237" t="str">
        <f>IF(ISBLANK(K735),,Config!$C$3&amp;"&amp;range=BB"&amp;MATCH(K735,FRG!AE:AE,0))</f>
        <v/>
      </c>
      <c r="AB735" s="242" t="str">
        <f>IFERROR(__xludf.DUMMYFUNCTION("IF(ISBLANK(K735),,SUBSTITUTE(IFERROR(JOIN("","",K735:Z735),JOIN("","",K735:Y735)),CHAR(10),""""))"),"")</f>
        <v/>
      </c>
      <c r="AC735" s="229" t="str">
        <f t="shared" si="1"/>
        <v/>
      </c>
    </row>
    <row r="736">
      <c r="K736" s="237"/>
      <c r="L736" s="238" t="str">
        <f t="shared" si="3"/>
        <v/>
      </c>
      <c r="M736" s="237"/>
      <c r="N736" s="238"/>
      <c r="O736" s="238" t="str">
        <f t="shared" si="4"/>
        <v/>
      </c>
      <c r="P736" s="238" t="str">
        <f t="shared" si="5"/>
        <v/>
      </c>
      <c r="Q736" s="238" t="str">
        <f t="shared" si="6"/>
        <v/>
      </c>
      <c r="R736" s="238" t="str">
        <f t="shared" si="7"/>
        <v/>
      </c>
      <c r="S736" s="238" t="str">
        <f t="shared" si="8"/>
        <v/>
      </c>
      <c r="T736" s="238"/>
      <c r="U736" s="237"/>
      <c r="V736" s="238"/>
      <c r="W736" s="238" t="str">
        <f t="shared" si="9"/>
        <v/>
      </c>
      <c r="X736" s="237" t="str">
        <f t="shared" ref="X736:Y736" si="728">IF(ISBLANK(H736),,""""&amp;H736&amp;"""")</f>
        <v/>
      </c>
      <c r="Y736" s="237" t="str">
        <f t="shared" si="728"/>
        <v/>
      </c>
      <c r="Z736" s="237" t="str">
        <f>IF(ISBLANK(K736),,Config!$C$3&amp;"&amp;range=BB"&amp;MATCH(K736,FRG!AE:AE,0))</f>
        <v/>
      </c>
      <c r="AB736" s="242" t="str">
        <f>IFERROR(__xludf.DUMMYFUNCTION("IF(ISBLANK(K736),,SUBSTITUTE(IFERROR(JOIN("","",K736:Z736),JOIN("","",K736:Y736)),CHAR(10),""""))"),"")</f>
        <v/>
      </c>
      <c r="AC736" s="229" t="str">
        <f t="shared" si="1"/>
        <v/>
      </c>
    </row>
    <row r="737">
      <c r="K737" s="237"/>
      <c r="L737" s="238" t="str">
        <f t="shared" si="3"/>
        <v/>
      </c>
      <c r="M737" s="237"/>
      <c r="N737" s="238"/>
      <c r="O737" s="238" t="str">
        <f t="shared" si="4"/>
        <v/>
      </c>
      <c r="P737" s="238" t="str">
        <f t="shared" si="5"/>
        <v/>
      </c>
      <c r="Q737" s="238" t="str">
        <f t="shared" si="6"/>
        <v/>
      </c>
      <c r="R737" s="238" t="str">
        <f t="shared" si="7"/>
        <v/>
      </c>
      <c r="S737" s="238" t="str">
        <f t="shared" si="8"/>
        <v/>
      </c>
      <c r="T737" s="238"/>
      <c r="U737" s="237"/>
      <c r="V737" s="238"/>
      <c r="W737" s="238" t="str">
        <f t="shared" si="9"/>
        <v/>
      </c>
      <c r="X737" s="237" t="str">
        <f t="shared" ref="X737:Y737" si="729">IF(ISBLANK(H737),,""""&amp;H737&amp;"""")</f>
        <v/>
      </c>
      <c r="Y737" s="237" t="str">
        <f t="shared" si="729"/>
        <v/>
      </c>
      <c r="Z737" s="237" t="str">
        <f>IF(ISBLANK(K737),,Config!$C$3&amp;"&amp;range=BB"&amp;MATCH(K737,FRG!AE:AE,0))</f>
        <v/>
      </c>
      <c r="AB737" s="242" t="str">
        <f>IFERROR(__xludf.DUMMYFUNCTION("IF(ISBLANK(K737),,SUBSTITUTE(IFERROR(JOIN("","",K737:Z737),JOIN("","",K737:Y737)),CHAR(10),""""))"),"")</f>
        <v/>
      </c>
      <c r="AC737" s="229" t="str">
        <f t="shared" si="1"/>
        <v/>
      </c>
    </row>
    <row r="738">
      <c r="K738" s="237"/>
      <c r="L738" s="238" t="str">
        <f t="shared" si="3"/>
        <v/>
      </c>
      <c r="M738" s="237"/>
      <c r="N738" s="238"/>
      <c r="O738" s="238" t="str">
        <f t="shared" si="4"/>
        <v/>
      </c>
      <c r="P738" s="238" t="str">
        <f t="shared" si="5"/>
        <v/>
      </c>
      <c r="Q738" s="238" t="str">
        <f t="shared" si="6"/>
        <v/>
      </c>
      <c r="R738" s="238" t="str">
        <f t="shared" si="7"/>
        <v/>
      </c>
      <c r="S738" s="238" t="str">
        <f t="shared" si="8"/>
        <v/>
      </c>
      <c r="T738" s="238"/>
      <c r="U738" s="237"/>
      <c r="V738" s="238"/>
      <c r="W738" s="238" t="str">
        <f t="shared" si="9"/>
        <v/>
      </c>
      <c r="X738" s="237" t="str">
        <f t="shared" ref="X738:Y738" si="730">IF(ISBLANK(H738),,""""&amp;H738&amp;"""")</f>
        <v/>
      </c>
      <c r="Y738" s="237" t="str">
        <f t="shared" si="730"/>
        <v/>
      </c>
      <c r="Z738" s="237" t="str">
        <f>IF(ISBLANK(K738),,Config!$C$3&amp;"&amp;range=BB"&amp;MATCH(K738,FRG!AE:AE,0))</f>
        <v/>
      </c>
      <c r="AB738" s="242" t="str">
        <f>IFERROR(__xludf.DUMMYFUNCTION("IF(ISBLANK(K738),,SUBSTITUTE(IFERROR(JOIN("","",K738:Z738),JOIN("","",K738:Y738)),CHAR(10),""""))"),"")</f>
        <v/>
      </c>
      <c r="AC738" s="229" t="str">
        <f t="shared" si="1"/>
        <v/>
      </c>
    </row>
    <row r="739">
      <c r="K739" s="237"/>
      <c r="L739" s="238" t="str">
        <f t="shared" si="3"/>
        <v/>
      </c>
      <c r="M739" s="237"/>
      <c r="N739" s="238"/>
      <c r="O739" s="238" t="str">
        <f t="shared" si="4"/>
        <v/>
      </c>
      <c r="P739" s="238" t="str">
        <f t="shared" si="5"/>
        <v/>
      </c>
      <c r="Q739" s="238" t="str">
        <f t="shared" si="6"/>
        <v/>
      </c>
      <c r="R739" s="238" t="str">
        <f t="shared" si="7"/>
        <v/>
      </c>
      <c r="S739" s="238" t="str">
        <f t="shared" si="8"/>
        <v/>
      </c>
      <c r="T739" s="238"/>
      <c r="U739" s="237"/>
      <c r="V739" s="238"/>
      <c r="W739" s="238" t="str">
        <f t="shared" si="9"/>
        <v/>
      </c>
      <c r="X739" s="237" t="str">
        <f t="shared" ref="X739:Y739" si="731">IF(ISBLANK(H739),,""""&amp;H739&amp;"""")</f>
        <v/>
      </c>
      <c r="Y739" s="237" t="str">
        <f t="shared" si="731"/>
        <v/>
      </c>
      <c r="Z739" s="237" t="str">
        <f>IF(ISBLANK(K739),,Config!$C$3&amp;"&amp;range=BB"&amp;MATCH(K739,FRG!AE:AE,0))</f>
        <v/>
      </c>
      <c r="AB739" s="242" t="str">
        <f>IFERROR(__xludf.DUMMYFUNCTION("IF(ISBLANK(K739),,SUBSTITUTE(IFERROR(JOIN("","",K739:Z739),JOIN("","",K739:Y739)),CHAR(10),""""))"),"")</f>
        <v/>
      </c>
      <c r="AC739" s="229" t="str">
        <f t="shared" si="1"/>
        <v/>
      </c>
    </row>
    <row r="740">
      <c r="K740" s="237"/>
      <c r="L740" s="238" t="str">
        <f t="shared" si="3"/>
        <v/>
      </c>
      <c r="M740" s="237"/>
      <c r="N740" s="238"/>
      <c r="O740" s="238" t="str">
        <f t="shared" si="4"/>
        <v/>
      </c>
      <c r="P740" s="238" t="str">
        <f t="shared" si="5"/>
        <v/>
      </c>
      <c r="Q740" s="238" t="str">
        <f t="shared" si="6"/>
        <v/>
      </c>
      <c r="R740" s="238" t="str">
        <f t="shared" si="7"/>
        <v/>
      </c>
      <c r="S740" s="238" t="str">
        <f t="shared" si="8"/>
        <v/>
      </c>
      <c r="T740" s="238"/>
      <c r="U740" s="237"/>
      <c r="V740" s="238"/>
      <c r="W740" s="238" t="str">
        <f t="shared" si="9"/>
        <v/>
      </c>
      <c r="X740" s="237" t="str">
        <f t="shared" ref="X740:Y740" si="732">IF(ISBLANK(H740),,""""&amp;H740&amp;"""")</f>
        <v/>
      </c>
      <c r="Y740" s="237" t="str">
        <f t="shared" si="732"/>
        <v/>
      </c>
      <c r="Z740" s="237" t="str">
        <f>IF(ISBLANK(K740),,Config!$C$3&amp;"&amp;range=BB"&amp;MATCH(K740,FRG!AE:AE,0))</f>
        <v/>
      </c>
      <c r="AB740" s="242" t="str">
        <f>IFERROR(__xludf.DUMMYFUNCTION("IF(ISBLANK(K740),,SUBSTITUTE(IFERROR(JOIN("","",K740:Z740),JOIN("","",K740:Y740)),CHAR(10),""""))"),"")</f>
        <v/>
      </c>
      <c r="AC740" s="229" t="str">
        <f t="shared" si="1"/>
        <v/>
      </c>
    </row>
    <row r="741">
      <c r="K741" s="237"/>
      <c r="L741" s="238" t="str">
        <f t="shared" si="3"/>
        <v/>
      </c>
      <c r="M741" s="237"/>
      <c r="N741" s="238"/>
      <c r="O741" s="238" t="str">
        <f t="shared" si="4"/>
        <v/>
      </c>
      <c r="P741" s="238" t="str">
        <f t="shared" si="5"/>
        <v/>
      </c>
      <c r="Q741" s="238" t="str">
        <f t="shared" si="6"/>
        <v/>
      </c>
      <c r="R741" s="238" t="str">
        <f t="shared" si="7"/>
        <v/>
      </c>
      <c r="S741" s="238" t="str">
        <f t="shared" si="8"/>
        <v/>
      </c>
      <c r="T741" s="238"/>
      <c r="U741" s="237"/>
      <c r="V741" s="238"/>
      <c r="W741" s="238" t="str">
        <f t="shared" si="9"/>
        <v/>
      </c>
      <c r="X741" s="237" t="str">
        <f t="shared" ref="X741:Y741" si="733">IF(ISBLANK(H741),,""""&amp;H741&amp;"""")</f>
        <v/>
      </c>
      <c r="Y741" s="237" t="str">
        <f t="shared" si="733"/>
        <v/>
      </c>
      <c r="Z741" s="237" t="str">
        <f>IF(ISBLANK(K741),,Config!$C$3&amp;"&amp;range=BB"&amp;MATCH(K741,FRG!AE:AE,0))</f>
        <v/>
      </c>
      <c r="AB741" s="242" t="str">
        <f>IFERROR(__xludf.DUMMYFUNCTION("IF(ISBLANK(K741),,SUBSTITUTE(IFERROR(JOIN("","",K741:Z741),JOIN("","",K741:Y741)),CHAR(10),""""))"),"")</f>
        <v/>
      </c>
      <c r="AC741" s="229" t="str">
        <f t="shared" si="1"/>
        <v/>
      </c>
    </row>
    <row r="742">
      <c r="K742" s="237"/>
      <c r="L742" s="238" t="str">
        <f t="shared" si="3"/>
        <v/>
      </c>
      <c r="M742" s="237"/>
      <c r="N742" s="238"/>
      <c r="O742" s="238" t="str">
        <f t="shared" si="4"/>
        <v/>
      </c>
      <c r="P742" s="238" t="str">
        <f t="shared" si="5"/>
        <v/>
      </c>
      <c r="Q742" s="238" t="str">
        <f t="shared" si="6"/>
        <v/>
      </c>
      <c r="R742" s="238" t="str">
        <f t="shared" si="7"/>
        <v/>
      </c>
      <c r="S742" s="238" t="str">
        <f t="shared" si="8"/>
        <v/>
      </c>
      <c r="T742" s="238"/>
      <c r="U742" s="237"/>
      <c r="V742" s="238"/>
      <c r="W742" s="238" t="str">
        <f t="shared" si="9"/>
        <v/>
      </c>
      <c r="X742" s="237" t="str">
        <f t="shared" ref="X742:Y742" si="734">IF(ISBLANK(H742),,""""&amp;H742&amp;"""")</f>
        <v/>
      </c>
      <c r="Y742" s="237" t="str">
        <f t="shared" si="734"/>
        <v/>
      </c>
      <c r="Z742" s="237" t="str">
        <f>IF(ISBLANK(K742),,Config!$C$3&amp;"&amp;range=BB"&amp;MATCH(K742,FRG!AE:AE,0))</f>
        <v/>
      </c>
      <c r="AB742" s="242" t="str">
        <f>IFERROR(__xludf.DUMMYFUNCTION("IF(ISBLANK(K742),,SUBSTITUTE(IFERROR(JOIN("","",K742:Z742),JOIN("","",K742:Y742)),CHAR(10),""""))"),"")</f>
        <v/>
      </c>
      <c r="AC742" s="229" t="str">
        <f t="shared" si="1"/>
        <v/>
      </c>
    </row>
    <row r="743">
      <c r="K743" s="237"/>
      <c r="L743" s="238" t="str">
        <f t="shared" si="3"/>
        <v/>
      </c>
      <c r="M743" s="237"/>
      <c r="N743" s="238"/>
      <c r="O743" s="238" t="str">
        <f t="shared" si="4"/>
        <v/>
      </c>
      <c r="P743" s="238" t="str">
        <f t="shared" si="5"/>
        <v/>
      </c>
      <c r="Q743" s="238" t="str">
        <f t="shared" si="6"/>
        <v/>
      </c>
      <c r="R743" s="238" t="str">
        <f t="shared" si="7"/>
        <v/>
      </c>
      <c r="S743" s="238" t="str">
        <f t="shared" si="8"/>
        <v/>
      </c>
      <c r="T743" s="238"/>
      <c r="U743" s="237"/>
      <c r="V743" s="238"/>
      <c r="W743" s="238" t="str">
        <f t="shared" si="9"/>
        <v/>
      </c>
      <c r="X743" s="237" t="str">
        <f t="shared" ref="X743:Y743" si="735">IF(ISBLANK(H743),,""""&amp;H743&amp;"""")</f>
        <v/>
      </c>
      <c r="Y743" s="237" t="str">
        <f t="shared" si="735"/>
        <v/>
      </c>
      <c r="Z743" s="237" t="str">
        <f>IF(ISBLANK(K743),,Config!$C$3&amp;"&amp;range=BB"&amp;MATCH(K743,FRG!AE:AE,0))</f>
        <v/>
      </c>
      <c r="AB743" s="242" t="str">
        <f>IFERROR(__xludf.DUMMYFUNCTION("IF(ISBLANK(K743),,SUBSTITUTE(IFERROR(JOIN("","",K743:Z743),JOIN("","",K743:Y743)),CHAR(10),""""))"),"")</f>
        <v/>
      </c>
      <c r="AC743" s="229" t="str">
        <f t="shared" si="1"/>
        <v/>
      </c>
    </row>
    <row r="744">
      <c r="K744" s="237"/>
      <c r="L744" s="238" t="str">
        <f t="shared" si="3"/>
        <v/>
      </c>
      <c r="M744" s="237"/>
      <c r="N744" s="238"/>
      <c r="O744" s="238" t="str">
        <f t="shared" si="4"/>
        <v/>
      </c>
      <c r="P744" s="238" t="str">
        <f t="shared" si="5"/>
        <v/>
      </c>
      <c r="Q744" s="238" t="str">
        <f t="shared" si="6"/>
        <v/>
      </c>
      <c r="R744" s="238" t="str">
        <f t="shared" si="7"/>
        <v/>
      </c>
      <c r="S744" s="238" t="str">
        <f t="shared" si="8"/>
        <v/>
      </c>
      <c r="T744" s="238"/>
      <c r="U744" s="237"/>
      <c r="V744" s="238"/>
      <c r="W744" s="238" t="str">
        <f t="shared" si="9"/>
        <v/>
      </c>
      <c r="X744" s="237" t="str">
        <f t="shared" ref="X744:Y744" si="736">IF(ISBLANK(H744),,""""&amp;H744&amp;"""")</f>
        <v/>
      </c>
      <c r="Y744" s="237" t="str">
        <f t="shared" si="736"/>
        <v/>
      </c>
      <c r="Z744" s="237" t="str">
        <f>IF(ISBLANK(K744),,Config!$C$3&amp;"&amp;range=BB"&amp;MATCH(K744,FRG!AE:AE,0))</f>
        <v/>
      </c>
      <c r="AB744" s="242" t="str">
        <f>IFERROR(__xludf.DUMMYFUNCTION("IF(ISBLANK(K744),,SUBSTITUTE(IFERROR(JOIN("","",K744:Z744),JOIN("","",K744:Y744)),CHAR(10),""""))"),"")</f>
        <v/>
      </c>
      <c r="AC744" s="229" t="str">
        <f t="shared" si="1"/>
        <v/>
      </c>
    </row>
    <row r="745">
      <c r="K745" s="237"/>
      <c r="L745" s="238" t="str">
        <f t="shared" si="3"/>
        <v/>
      </c>
      <c r="M745" s="237"/>
      <c r="N745" s="238"/>
      <c r="O745" s="238" t="str">
        <f t="shared" si="4"/>
        <v/>
      </c>
      <c r="P745" s="238" t="str">
        <f t="shared" si="5"/>
        <v/>
      </c>
      <c r="Q745" s="238" t="str">
        <f t="shared" si="6"/>
        <v/>
      </c>
      <c r="R745" s="238" t="str">
        <f t="shared" si="7"/>
        <v/>
      </c>
      <c r="S745" s="238" t="str">
        <f t="shared" si="8"/>
        <v/>
      </c>
      <c r="T745" s="238"/>
      <c r="U745" s="237"/>
      <c r="V745" s="238"/>
      <c r="W745" s="238" t="str">
        <f t="shared" si="9"/>
        <v/>
      </c>
      <c r="X745" s="237" t="str">
        <f t="shared" ref="X745:Y745" si="737">IF(ISBLANK(H745),,""""&amp;H745&amp;"""")</f>
        <v/>
      </c>
      <c r="Y745" s="237" t="str">
        <f t="shared" si="737"/>
        <v/>
      </c>
      <c r="Z745" s="237" t="str">
        <f>IF(ISBLANK(K745),,Config!$C$3&amp;"&amp;range=BB"&amp;MATCH(K745,FRG!AE:AE,0))</f>
        <v/>
      </c>
      <c r="AB745" s="242" t="str">
        <f>IFERROR(__xludf.DUMMYFUNCTION("IF(ISBLANK(K745),,SUBSTITUTE(IFERROR(JOIN("","",K745:Z745),JOIN("","",K745:Y745)),CHAR(10),""""))"),"")</f>
        <v/>
      </c>
      <c r="AC745" s="229" t="str">
        <f t="shared" si="1"/>
        <v/>
      </c>
    </row>
    <row r="746">
      <c r="K746" s="237"/>
      <c r="L746" s="238" t="str">
        <f t="shared" si="3"/>
        <v/>
      </c>
      <c r="M746" s="237"/>
      <c r="N746" s="238"/>
      <c r="O746" s="238" t="str">
        <f t="shared" si="4"/>
        <v/>
      </c>
      <c r="P746" s="238" t="str">
        <f t="shared" si="5"/>
        <v/>
      </c>
      <c r="Q746" s="238" t="str">
        <f t="shared" si="6"/>
        <v/>
      </c>
      <c r="R746" s="238" t="str">
        <f t="shared" si="7"/>
        <v/>
      </c>
      <c r="S746" s="238" t="str">
        <f t="shared" si="8"/>
        <v/>
      </c>
      <c r="T746" s="238"/>
      <c r="U746" s="237"/>
      <c r="V746" s="238"/>
      <c r="W746" s="238" t="str">
        <f t="shared" si="9"/>
        <v/>
      </c>
      <c r="X746" s="237" t="str">
        <f t="shared" ref="X746:Y746" si="738">IF(ISBLANK(H746),,""""&amp;H746&amp;"""")</f>
        <v/>
      </c>
      <c r="Y746" s="237" t="str">
        <f t="shared" si="738"/>
        <v/>
      </c>
      <c r="Z746" s="237" t="str">
        <f>IF(ISBLANK(K746),,Config!$C$3&amp;"&amp;range=BB"&amp;MATCH(K746,FRG!AE:AE,0))</f>
        <v/>
      </c>
      <c r="AB746" s="242" t="str">
        <f>IFERROR(__xludf.DUMMYFUNCTION("IF(ISBLANK(K746),,SUBSTITUTE(IFERROR(JOIN("","",K746:Z746),JOIN("","",K746:Y746)),CHAR(10),""""))"),"")</f>
        <v/>
      </c>
      <c r="AC746" s="229" t="str">
        <f t="shared" si="1"/>
        <v/>
      </c>
    </row>
    <row r="747">
      <c r="K747" s="237"/>
      <c r="L747" s="238" t="str">
        <f t="shared" si="3"/>
        <v/>
      </c>
      <c r="M747" s="237"/>
      <c r="N747" s="238"/>
      <c r="O747" s="238" t="str">
        <f t="shared" si="4"/>
        <v/>
      </c>
      <c r="P747" s="238" t="str">
        <f t="shared" si="5"/>
        <v/>
      </c>
      <c r="Q747" s="238" t="str">
        <f t="shared" si="6"/>
        <v/>
      </c>
      <c r="R747" s="238" t="str">
        <f t="shared" si="7"/>
        <v/>
      </c>
      <c r="S747" s="238" t="str">
        <f t="shared" si="8"/>
        <v/>
      </c>
      <c r="T747" s="238"/>
      <c r="U747" s="237"/>
      <c r="V747" s="238"/>
      <c r="W747" s="238" t="str">
        <f t="shared" si="9"/>
        <v/>
      </c>
      <c r="X747" s="237" t="str">
        <f t="shared" ref="X747:Y747" si="739">IF(ISBLANK(H747),,""""&amp;H747&amp;"""")</f>
        <v/>
      </c>
      <c r="Y747" s="237" t="str">
        <f t="shared" si="739"/>
        <v/>
      </c>
      <c r="Z747" s="237" t="str">
        <f>IF(ISBLANK(K747),,Config!$C$3&amp;"&amp;range=BB"&amp;MATCH(K747,FRG!AE:AE,0))</f>
        <v/>
      </c>
      <c r="AB747" s="242" t="str">
        <f>IFERROR(__xludf.DUMMYFUNCTION("IF(ISBLANK(K747),,SUBSTITUTE(IFERROR(JOIN("","",K747:Z747),JOIN("","",K747:Y747)),CHAR(10),""""))"),"")</f>
        <v/>
      </c>
      <c r="AC747" s="229" t="str">
        <f t="shared" si="1"/>
        <v/>
      </c>
    </row>
    <row r="748">
      <c r="K748" s="237"/>
      <c r="L748" s="238" t="str">
        <f t="shared" si="3"/>
        <v/>
      </c>
      <c r="M748" s="237"/>
      <c r="N748" s="238"/>
      <c r="O748" s="238" t="str">
        <f t="shared" si="4"/>
        <v/>
      </c>
      <c r="P748" s="238" t="str">
        <f t="shared" si="5"/>
        <v/>
      </c>
      <c r="Q748" s="238" t="str">
        <f t="shared" si="6"/>
        <v/>
      </c>
      <c r="R748" s="238" t="str">
        <f t="shared" si="7"/>
        <v/>
      </c>
      <c r="S748" s="238" t="str">
        <f t="shared" si="8"/>
        <v/>
      </c>
      <c r="T748" s="238"/>
      <c r="U748" s="237"/>
      <c r="V748" s="238"/>
      <c r="W748" s="238" t="str">
        <f t="shared" si="9"/>
        <v/>
      </c>
      <c r="X748" s="237" t="str">
        <f t="shared" ref="X748:Y748" si="740">IF(ISBLANK(H748),,""""&amp;H748&amp;"""")</f>
        <v/>
      </c>
      <c r="Y748" s="237" t="str">
        <f t="shared" si="740"/>
        <v/>
      </c>
      <c r="Z748" s="237" t="str">
        <f>IF(ISBLANK(K748),,Config!$C$3&amp;"&amp;range=BB"&amp;MATCH(K748,FRG!AE:AE,0))</f>
        <v/>
      </c>
      <c r="AB748" s="242" t="str">
        <f>IFERROR(__xludf.DUMMYFUNCTION("IF(ISBLANK(K748),,SUBSTITUTE(IFERROR(JOIN("","",K748:Z748),JOIN("","",K748:Y748)),CHAR(10),""""))"),"")</f>
        <v/>
      </c>
      <c r="AC748" s="229" t="str">
        <f t="shared" si="1"/>
        <v/>
      </c>
    </row>
    <row r="749">
      <c r="K749" s="237"/>
      <c r="L749" s="238" t="str">
        <f t="shared" si="3"/>
        <v/>
      </c>
      <c r="M749" s="237"/>
      <c r="N749" s="238"/>
      <c r="O749" s="238" t="str">
        <f t="shared" si="4"/>
        <v/>
      </c>
      <c r="P749" s="238" t="str">
        <f t="shared" si="5"/>
        <v/>
      </c>
      <c r="Q749" s="238" t="str">
        <f t="shared" si="6"/>
        <v/>
      </c>
      <c r="R749" s="238" t="str">
        <f t="shared" si="7"/>
        <v/>
      </c>
      <c r="S749" s="238" t="str">
        <f t="shared" si="8"/>
        <v/>
      </c>
      <c r="T749" s="238"/>
      <c r="U749" s="237"/>
      <c r="V749" s="238"/>
      <c r="W749" s="238" t="str">
        <f t="shared" si="9"/>
        <v/>
      </c>
      <c r="X749" s="237" t="str">
        <f t="shared" ref="X749:Y749" si="741">IF(ISBLANK(H749),,""""&amp;H749&amp;"""")</f>
        <v/>
      </c>
      <c r="Y749" s="237" t="str">
        <f t="shared" si="741"/>
        <v/>
      </c>
      <c r="Z749" s="237" t="str">
        <f>IF(ISBLANK(K749),,Config!$C$3&amp;"&amp;range=BB"&amp;MATCH(K749,FRG!AE:AE,0))</f>
        <v/>
      </c>
      <c r="AB749" s="242" t="str">
        <f>IFERROR(__xludf.DUMMYFUNCTION("IF(ISBLANK(K749),,SUBSTITUTE(IFERROR(JOIN("","",K749:Z749),JOIN("","",K749:Y749)),CHAR(10),""""))"),"")</f>
        <v/>
      </c>
      <c r="AC749" s="229" t="str">
        <f t="shared" si="1"/>
        <v/>
      </c>
    </row>
    <row r="750">
      <c r="K750" s="237"/>
      <c r="L750" s="238" t="str">
        <f t="shared" si="3"/>
        <v/>
      </c>
      <c r="M750" s="237"/>
      <c r="N750" s="238"/>
      <c r="O750" s="238" t="str">
        <f t="shared" si="4"/>
        <v/>
      </c>
      <c r="P750" s="238" t="str">
        <f t="shared" si="5"/>
        <v/>
      </c>
      <c r="Q750" s="238" t="str">
        <f t="shared" si="6"/>
        <v/>
      </c>
      <c r="R750" s="238" t="str">
        <f t="shared" si="7"/>
        <v/>
      </c>
      <c r="S750" s="238" t="str">
        <f t="shared" si="8"/>
        <v/>
      </c>
      <c r="T750" s="238"/>
      <c r="U750" s="237"/>
      <c r="V750" s="238"/>
      <c r="W750" s="238" t="str">
        <f t="shared" si="9"/>
        <v/>
      </c>
      <c r="X750" s="237" t="str">
        <f t="shared" ref="X750:Y750" si="742">IF(ISBLANK(H750),,""""&amp;H750&amp;"""")</f>
        <v/>
      </c>
      <c r="Y750" s="237" t="str">
        <f t="shared" si="742"/>
        <v/>
      </c>
      <c r="Z750" s="237" t="str">
        <f>IF(ISBLANK(K750),,Config!$C$3&amp;"&amp;range=BB"&amp;MATCH(K750,FRG!AE:AE,0))</f>
        <v/>
      </c>
      <c r="AB750" s="242" t="str">
        <f>IFERROR(__xludf.DUMMYFUNCTION("IF(ISBLANK(K750),,SUBSTITUTE(IFERROR(JOIN("","",K750:Z750),JOIN("","",K750:Y750)),CHAR(10),""""))"),"")</f>
        <v/>
      </c>
      <c r="AC750" s="229" t="str">
        <f t="shared" si="1"/>
        <v/>
      </c>
    </row>
    <row r="751">
      <c r="K751" s="237"/>
      <c r="L751" s="238" t="str">
        <f t="shared" si="3"/>
        <v/>
      </c>
      <c r="M751" s="237"/>
      <c r="N751" s="238"/>
      <c r="O751" s="238" t="str">
        <f t="shared" si="4"/>
        <v/>
      </c>
      <c r="P751" s="238" t="str">
        <f t="shared" si="5"/>
        <v/>
      </c>
      <c r="Q751" s="238" t="str">
        <f t="shared" si="6"/>
        <v/>
      </c>
      <c r="R751" s="238" t="str">
        <f t="shared" si="7"/>
        <v/>
      </c>
      <c r="S751" s="238" t="str">
        <f t="shared" si="8"/>
        <v/>
      </c>
      <c r="T751" s="238"/>
      <c r="U751" s="237"/>
      <c r="V751" s="238"/>
      <c r="W751" s="238" t="str">
        <f t="shared" si="9"/>
        <v/>
      </c>
      <c r="X751" s="237" t="str">
        <f t="shared" ref="X751:Y751" si="743">IF(ISBLANK(H751),,""""&amp;H751&amp;"""")</f>
        <v/>
      </c>
      <c r="Y751" s="237" t="str">
        <f t="shared" si="743"/>
        <v/>
      </c>
      <c r="Z751" s="237" t="str">
        <f>IF(ISBLANK(K751),,Config!$C$3&amp;"&amp;range=BB"&amp;MATCH(K751,FRG!AE:AE,0))</f>
        <v/>
      </c>
      <c r="AB751" s="242" t="str">
        <f>IFERROR(__xludf.DUMMYFUNCTION("IF(ISBLANK(K751),,SUBSTITUTE(IFERROR(JOIN("","",K751:Z751),JOIN("","",K751:Y751)),CHAR(10),""""))"),"")</f>
        <v/>
      </c>
      <c r="AC751" s="229" t="str">
        <f t="shared" si="1"/>
        <v/>
      </c>
    </row>
    <row r="752">
      <c r="K752" s="237"/>
      <c r="L752" s="238" t="str">
        <f t="shared" si="3"/>
        <v/>
      </c>
      <c r="M752" s="237"/>
      <c r="N752" s="238"/>
      <c r="O752" s="238" t="str">
        <f t="shared" si="4"/>
        <v/>
      </c>
      <c r="P752" s="238" t="str">
        <f t="shared" si="5"/>
        <v/>
      </c>
      <c r="Q752" s="238" t="str">
        <f t="shared" si="6"/>
        <v/>
      </c>
      <c r="R752" s="238" t="str">
        <f t="shared" si="7"/>
        <v/>
      </c>
      <c r="S752" s="238" t="str">
        <f t="shared" si="8"/>
        <v/>
      </c>
      <c r="T752" s="238"/>
      <c r="U752" s="237"/>
      <c r="V752" s="238"/>
      <c r="W752" s="238" t="str">
        <f t="shared" si="9"/>
        <v/>
      </c>
      <c r="X752" s="237" t="str">
        <f t="shared" ref="X752:Y752" si="744">IF(ISBLANK(H752),,""""&amp;H752&amp;"""")</f>
        <v/>
      </c>
      <c r="Y752" s="237" t="str">
        <f t="shared" si="744"/>
        <v/>
      </c>
      <c r="Z752" s="237" t="str">
        <f>IF(ISBLANK(K752),,Config!$C$3&amp;"&amp;range=BB"&amp;MATCH(K752,FRG!AE:AE,0))</f>
        <v/>
      </c>
      <c r="AB752" s="242" t="str">
        <f>IFERROR(__xludf.DUMMYFUNCTION("IF(ISBLANK(K752),,SUBSTITUTE(IFERROR(JOIN("","",K752:Z752),JOIN("","",K752:Y752)),CHAR(10),""""))"),"")</f>
        <v/>
      </c>
      <c r="AC752" s="229" t="str">
        <f t="shared" si="1"/>
        <v/>
      </c>
    </row>
    <row r="753">
      <c r="K753" s="237"/>
      <c r="L753" s="238" t="str">
        <f t="shared" si="3"/>
        <v/>
      </c>
      <c r="M753" s="237"/>
      <c r="N753" s="238"/>
      <c r="O753" s="238" t="str">
        <f t="shared" si="4"/>
        <v/>
      </c>
      <c r="P753" s="238" t="str">
        <f t="shared" si="5"/>
        <v/>
      </c>
      <c r="Q753" s="238" t="str">
        <f t="shared" si="6"/>
        <v/>
      </c>
      <c r="R753" s="238" t="str">
        <f t="shared" si="7"/>
        <v/>
      </c>
      <c r="S753" s="238" t="str">
        <f t="shared" si="8"/>
        <v/>
      </c>
      <c r="T753" s="238"/>
      <c r="U753" s="237"/>
      <c r="V753" s="238"/>
      <c r="W753" s="238" t="str">
        <f t="shared" si="9"/>
        <v/>
      </c>
      <c r="X753" s="237" t="str">
        <f t="shared" ref="X753:Y753" si="745">IF(ISBLANK(H753),,""""&amp;H753&amp;"""")</f>
        <v/>
      </c>
      <c r="Y753" s="237" t="str">
        <f t="shared" si="745"/>
        <v/>
      </c>
      <c r="Z753" s="237" t="str">
        <f>IF(ISBLANK(K753),,Config!$C$3&amp;"&amp;range=BB"&amp;MATCH(K753,FRG!AE:AE,0))</f>
        <v/>
      </c>
      <c r="AB753" s="242" t="str">
        <f>IFERROR(__xludf.DUMMYFUNCTION("IF(ISBLANK(K753),,SUBSTITUTE(IFERROR(JOIN("","",K753:Z753),JOIN("","",K753:Y753)),CHAR(10),""""))"),"")</f>
        <v/>
      </c>
      <c r="AC753" s="229" t="str">
        <f t="shared" si="1"/>
        <v/>
      </c>
    </row>
    <row r="754">
      <c r="K754" s="237"/>
      <c r="L754" s="238" t="str">
        <f t="shared" si="3"/>
        <v/>
      </c>
      <c r="M754" s="237"/>
      <c r="N754" s="238"/>
      <c r="O754" s="238" t="str">
        <f t="shared" si="4"/>
        <v/>
      </c>
      <c r="P754" s="238" t="str">
        <f t="shared" si="5"/>
        <v/>
      </c>
      <c r="Q754" s="238" t="str">
        <f t="shared" si="6"/>
        <v/>
      </c>
      <c r="R754" s="238" t="str">
        <f t="shared" si="7"/>
        <v/>
      </c>
      <c r="S754" s="238" t="str">
        <f t="shared" si="8"/>
        <v/>
      </c>
      <c r="T754" s="238"/>
      <c r="U754" s="237"/>
      <c r="V754" s="238"/>
      <c r="W754" s="238" t="str">
        <f t="shared" si="9"/>
        <v/>
      </c>
      <c r="X754" s="237" t="str">
        <f t="shared" ref="X754:Y754" si="746">IF(ISBLANK(H754),,""""&amp;H754&amp;"""")</f>
        <v/>
      </c>
      <c r="Y754" s="237" t="str">
        <f t="shared" si="746"/>
        <v/>
      </c>
      <c r="Z754" s="237" t="str">
        <f>IF(ISBLANK(K754),,Config!$C$3&amp;"&amp;range=BB"&amp;MATCH(K754,FRG!AE:AE,0))</f>
        <v/>
      </c>
      <c r="AB754" s="242" t="str">
        <f>IFERROR(__xludf.DUMMYFUNCTION("IF(ISBLANK(K754),,SUBSTITUTE(IFERROR(JOIN("","",K754:Z754),JOIN("","",K754:Y754)),CHAR(10),""""))"),"")</f>
        <v/>
      </c>
      <c r="AC754" s="229" t="str">
        <f t="shared" si="1"/>
        <v/>
      </c>
    </row>
    <row r="755">
      <c r="K755" s="237"/>
      <c r="L755" s="238" t="str">
        <f t="shared" si="3"/>
        <v/>
      </c>
      <c r="M755" s="237"/>
      <c r="N755" s="238"/>
      <c r="O755" s="238" t="str">
        <f t="shared" si="4"/>
        <v/>
      </c>
      <c r="P755" s="238" t="str">
        <f t="shared" si="5"/>
        <v/>
      </c>
      <c r="Q755" s="238" t="str">
        <f t="shared" si="6"/>
        <v/>
      </c>
      <c r="R755" s="238" t="str">
        <f t="shared" si="7"/>
        <v/>
      </c>
      <c r="S755" s="238" t="str">
        <f t="shared" si="8"/>
        <v/>
      </c>
      <c r="T755" s="238"/>
      <c r="U755" s="237"/>
      <c r="V755" s="238"/>
      <c r="W755" s="238" t="str">
        <f t="shared" si="9"/>
        <v/>
      </c>
      <c r="X755" s="237" t="str">
        <f t="shared" ref="X755:Y755" si="747">IF(ISBLANK(H755),,""""&amp;H755&amp;"""")</f>
        <v/>
      </c>
      <c r="Y755" s="237" t="str">
        <f t="shared" si="747"/>
        <v/>
      </c>
      <c r="Z755" s="237" t="str">
        <f>IF(ISBLANK(K755),,Config!$C$3&amp;"&amp;range=BB"&amp;MATCH(K755,FRG!AE:AE,0))</f>
        <v/>
      </c>
      <c r="AB755" s="242" t="str">
        <f>IFERROR(__xludf.DUMMYFUNCTION("IF(ISBLANK(K755),,SUBSTITUTE(IFERROR(JOIN("","",K755:Z755),JOIN("","",K755:Y755)),CHAR(10),""""))"),"")</f>
        <v/>
      </c>
      <c r="AC755" s="229" t="str">
        <f t="shared" si="1"/>
        <v/>
      </c>
    </row>
    <row r="756">
      <c r="K756" s="237"/>
      <c r="L756" s="238" t="str">
        <f t="shared" si="3"/>
        <v/>
      </c>
      <c r="M756" s="237"/>
      <c r="N756" s="238"/>
      <c r="O756" s="238" t="str">
        <f t="shared" si="4"/>
        <v/>
      </c>
      <c r="P756" s="238" t="str">
        <f t="shared" si="5"/>
        <v/>
      </c>
      <c r="Q756" s="238" t="str">
        <f t="shared" si="6"/>
        <v/>
      </c>
      <c r="R756" s="238" t="str">
        <f t="shared" si="7"/>
        <v/>
      </c>
      <c r="S756" s="238" t="str">
        <f t="shared" si="8"/>
        <v/>
      </c>
      <c r="T756" s="238"/>
      <c r="U756" s="237"/>
      <c r="V756" s="238"/>
      <c r="W756" s="238" t="str">
        <f t="shared" si="9"/>
        <v/>
      </c>
      <c r="X756" s="237" t="str">
        <f t="shared" ref="X756:Y756" si="748">IF(ISBLANK(H756),,""""&amp;H756&amp;"""")</f>
        <v/>
      </c>
      <c r="Y756" s="237" t="str">
        <f t="shared" si="748"/>
        <v/>
      </c>
      <c r="Z756" s="237" t="str">
        <f>IF(ISBLANK(K756),,Config!$C$3&amp;"&amp;range=BB"&amp;MATCH(K756,FRG!AE:AE,0))</f>
        <v/>
      </c>
      <c r="AB756" s="242" t="str">
        <f>IFERROR(__xludf.DUMMYFUNCTION("IF(ISBLANK(K756),,SUBSTITUTE(IFERROR(JOIN("","",K756:Z756),JOIN("","",K756:Y756)),CHAR(10),""""))"),"")</f>
        <v/>
      </c>
      <c r="AC756" s="229" t="str">
        <f t="shared" si="1"/>
        <v/>
      </c>
    </row>
    <row r="757">
      <c r="K757" s="237"/>
      <c r="L757" s="238" t="str">
        <f t="shared" si="3"/>
        <v/>
      </c>
      <c r="M757" s="237"/>
      <c r="N757" s="238"/>
      <c r="O757" s="238" t="str">
        <f t="shared" si="4"/>
        <v/>
      </c>
      <c r="P757" s="238" t="str">
        <f t="shared" si="5"/>
        <v/>
      </c>
      <c r="Q757" s="238" t="str">
        <f t="shared" si="6"/>
        <v/>
      </c>
      <c r="R757" s="238" t="str">
        <f t="shared" si="7"/>
        <v/>
      </c>
      <c r="S757" s="238" t="str">
        <f t="shared" si="8"/>
        <v/>
      </c>
      <c r="T757" s="238"/>
      <c r="U757" s="237"/>
      <c r="V757" s="238"/>
      <c r="W757" s="238" t="str">
        <f t="shared" si="9"/>
        <v/>
      </c>
      <c r="X757" s="237" t="str">
        <f t="shared" ref="X757:Y757" si="749">IF(ISBLANK(H757),,""""&amp;H757&amp;"""")</f>
        <v/>
      </c>
      <c r="Y757" s="237" t="str">
        <f t="shared" si="749"/>
        <v/>
      </c>
      <c r="Z757" s="237" t="str">
        <f>IF(ISBLANK(K757),,Config!$C$3&amp;"&amp;range=BB"&amp;MATCH(K757,FRG!AE:AE,0))</f>
        <v/>
      </c>
      <c r="AB757" s="242" t="str">
        <f>IFERROR(__xludf.DUMMYFUNCTION("IF(ISBLANK(K757),,SUBSTITUTE(IFERROR(JOIN("","",K757:Z757),JOIN("","",K757:Y757)),CHAR(10),""""))"),"")</f>
        <v/>
      </c>
      <c r="AC757" s="229" t="str">
        <f t="shared" si="1"/>
        <v/>
      </c>
    </row>
    <row r="758">
      <c r="K758" s="237"/>
      <c r="L758" s="238" t="str">
        <f t="shared" si="3"/>
        <v/>
      </c>
      <c r="M758" s="237"/>
      <c r="N758" s="238"/>
      <c r="O758" s="238" t="str">
        <f t="shared" si="4"/>
        <v/>
      </c>
      <c r="P758" s="238" t="str">
        <f t="shared" si="5"/>
        <v/>
      </c>
      <c r="Q758" s="238" t="str">
        <f t="shared" si="6"/>
        <v/>
      </c>
      <c r="R758" s="238" t="str">
        <f t="shared" si="7"/>
        <v/>
      </c>
      <c r="S758" s="238" t="str">
        <f t="shared" si="8"/>
        <v/>
      </c>
      <c r="T758" s="238"/>
      <c r="U758" s="237"/>
      <c r="V758" s="238"/>
      <c r="W758" s="238" t="str">
        <f t="shared" si="9"/>
        <v/>
      </c>
      <c r="X758" s="237" t="str">
        <f t="shared" ref="X758:Y758" si="750">IF(ISBLANK(H758),,""""&amp;H758&amp;"""")</f>
        <v/>
      </c>
      <c r="Y758" s="237" t="str">
        <f t="shared" si="750"/>
        <v/>
      </c>
      <c r="Z758" s="237" t="str">
        <f>IF(ISBLANK(K758),,Config!$C$3&amp;"&amp;range=BB"&amp;MATCH(K758,FRG!AE:AE,0))</f>
        <v/>
      </c>
      <c r="AB758" s="242" t="str">
        <f>IFERROR(__xludf.DUMMYFUNCTION("IF(ISBLANK(K758),,SUBSTITUTE(IFERROR(JOIN("","",K758:Z758),JOIN("","",K758:Y758)),CHAR(10),""""))"),"")</f>
        <v/>
      </c>
      <c r="AC758" s="229" t="str">
        <f t="shared" si="1"/>
        <v/>
      </c>
    </row>
    <row r="759">
      <c r="K759" s="237"/>
      <c r="L759" s="238" t="str">
        <f t="shared" si="3"/>
        <v/>
      </c>
      <c r="M759" s="237"/>
      <c r="N759" s="238"/>
      <c r="O759" s="238" t="str">
        <f t="shared" si="4"/>
        <v/>
      </c>
      <c r="P759" s="238" t="str">
        <f t="shared" si="5"/>
        <v/>
      </c>
      <c r="Q759" s="238" t="str">
        <f t="shared" si="6"/>
        <v/>
      </c>
      <c r="R759" s="238" t="str">
        <f t="shared" si="7"/>
        <v/>
      </c>
      <c r="S759" s="238" t="str">
        <f t="shared" si="8"/>
        <v/>
      </c>
      <c r="T759" s="238"/>
      <c r="U759" s="237"/>
      <c r="V759" s="238"/>
      <c r="W759" s="238" t="str">
        <f t="shared" si="9"/>
        <v/>
      </c>
      <c r="X759" s="237" t="str">
        <f t="shared" ref="X759:Y759" si="751">IF(ISBLANK(H759),,""""&amp;H759&amp;"""")</f>
        <v/>
      </c>
      <c r="Y759" s="237" t="str">
        <f t="shared" si="751"/>
        <v/>
      </c>
      <c r="Z759" s="237" t="str">
        <f>IF(ISBLANK(K759),,Config!$C$3&amp;"&amp;range=BB"&amp;MATCH(K759,FRG!AE:AE,0))</f>
        <v/>
      </c>
      <c r="AB759" s="242" t="str">
        <f>IFERROR(__xludf.DUMMYFUNCTION("IF(ISBLANK(K759),,SUBSTITUTE(IFERROR(JOIN("","",K759:Z759),JOIN("","",K759:Y759)),CHAR(10),""""))"),"")</f>
        <v/>
      </c>
      <c r="AC759" s="229" t="str">
        <f t="shared" si="1"/>
        <v/>
      </c>
    </row>
    <row r="760">
      <c r="K760" s="237"/>
      <c r="L760" s="238" t="str">
        <f t="shared" si="3"/>
        <v/>
      </c>
      <c r="M760" s="237"/>
      <c r="N760" s="238"/>
      <c r="O760" s="238" t="str">
        <f t="shared" si="4"/>
        <v/>
      </c>
      <c r="P760" s="238" t="str">
        <f t="shared" si="5"/>
        <v/>
      </c>
      <c r="Q760" s="238" t="str">
        <f t="shared" si="6"/>
        <v/>
      </c>
      <c r="R760" s="238" t="str">
        <f t="shared" si="7"/>
        <v/>
      </c>
      <c r="S760" s="238" t="str">
        <f t="shared" si="8"/>
        <v/>
      </c>
      <c r="T760" s="238"/>
      <c r="U760" s="237"/>
      <c r="V760" s="238"/>
      <c r="W760" s="238" t="str">
        <f t="shared" si="9"/>
        <v/>
      </c>
      <c r="X760" s="237" t="str">
        <f t="shared" ref="X760:Y760" si="752">IF(ISBLANK(H760),,""""&amp;H760&amp;"""")</f>
        <v/>
      </c>
      <c r="Y760" s="237" t="str">
        <f t="shared" si="752"/>
        <v/>
      </c>
      <c r="Z760" s="237" t="str">
        <f>IF(ISBLANK(K760),,Config!$C$3&amp;"&amp;range=BB"&amp;MATCH(K760,FRG!AE:AE,0))</f>
        <v/>
      </c>
      <c r="AB760" s="242" t="str">
        <f>IFERROR(__xludf.DUMMYFUNCTION("IF(ISBLANK(K760),,SUBSTITUTE(IFERROR(JOIN("","",K760:Z760),JOIN("","",K760:Y760)),CHAR(10),""""))"),"")</f>
        <v/>
      </c>
      <c r="AC760" s="229" t="str">
        <f t="shared" si="1"/>
        <v/>
      </c>
    </row>
    <row r="761">
      <c r="K761" s="237"/>
      <c r="L761" s="238" t="str">
        <f t="shared" si="3"/>
        <v/>
      </c>
      <c r="M761" s="237"/>
      <c r="N761" s="238"/>
      <c r="O761" s="238" t="str">
        <f t="shared" si="4"/>
        <v/>
      </c>
      <c r="P761" s="238" t="str">
        <f t="shared" si="5"/>
        <v/>
      </c>
      <c r="Q761" s="238" t="str">
        <f t="shared" si="6"/>
        <v/>
      </c>
      <c r="R761" s="238" t="str">
        <f t="shared" si="7"/>
        <v/>
      </c>
      <c r="S761" s="238" t="str">
        <f t="shared" si="8"/>
        <v/>
      </c>
      <c r="T761" s="238"/>
      <c r="U761" s="237"/>
      <c r="V761" s="238"/>
      <c r="W761" s="238" t="str">
        <f t="shared" si="9"/>
        <v/>
      </c>
      <c r="X761" s="237" t="str">
        <f t="shared" ref="X761:Y761" si="753">IF(ISBLANK(H761),,""""&amp;H761&amp;"""")</f>
        <v/>
      </c>
      <c r="Y761" s="237" t="str">
        <f t="shared" si="753"/>
        <v/>
      </c>
      <c r="Z761" s="237" t="str">
        <f>IF(ISBLANK(K761),,Config!$C$3&amp;"&amp;range=BB"&amp;MATCH(K761,FRG!AE:AE,0))</f>
        <v/>
      </c>
      <c r="AB761" s="242" t="str">
        <f>IFERROR(__xludf.DUMMYFUNCTION("IF(ISBLANK(K761),,SUBSTITUTE(IFERROR(JOIN("","",K761:Z761),JOIN("","",K761:Y761)),CHAR(10),""""))"),"")</f>
        <v/>
      </c>
      <c r="AC761" s="229" t="str">
        <f t="shared" si="1"/>
        <v/>
      </c>
    </row>
    <row r="762">
      <c r="K762" s="237"/>
      <c r="L762" s="238" t="str">
        <f t="shared" si="3"/>
        <v/>
      </c>
      <c r="M762" s="237"/>
      <c r="N762" s="238"/>
      <c r="O762" s="238" t="str">
        <f t="shared" si="4"/>
        <v/>
      </c>
      <c r="P762" s="238" t="str">
        <f t="shared" si="5"/>
        <v/>
      </c>
      <c r="Q762" s="238" t="str">
        <f t="shared" si="6"/>
        <v/>
      </c>
      <c r="R762" s="238" t="str">
        <f t="shared" si="7"/>
        <v/>
      </c>
      <c r="S762" s="238" t="str">
        <f t="shared" si="8"/>
        <v/>
      </c>
      <c r="T762" s="238"/>
      <c r="U762" s="237"/>
      <c r="V762" s="238"/>
      <c r="W762" s="238" t="str">
        <f t="shared" si="9"/>
        <v/>
      </c>
      <c r="X762" s="237" t="str">
        <f t="shared" ref="X762:Y762" si="754">IF(ISBLANK(H762),,""""&amp;H762&amp;"""")</f>
        <v/>
      </c>
      <c r="Y762" s="237" t="str">
        <f t="shared" si="754"/>
        <v/>
      </c>
      <c r="Z762" s="237" t="str">
        <f>IF(ISBLANK(K762),,Config!$C$3&amp;"&amp;range=BB"&amp;MATCH(K762,FRG!AE:AE,0))</f>
        <v/>
      </c>
      <c r="AB762" s="242" t="str">
        <f>IFERROR(__xludf.DUMMYFUNCTION("IF(ISBLANK(K762),,SUBSTITUTE(IFERROR(JOIN("","",K762:Z762),JOIN("","",K762:Y762)),CHAR(10),""""))"),"")</f>
        <v/>
      </c>
      <c r="AC762" s="229" t="str">
        <f t="shared" si="1"/>
        <v/>
      </c>
    </row>
    <row r="763">
      <c r="K763" s="237"/>
      <c r="L763" s="238" t="str">
        <f t="shared" si="3"/>
        <v/>
      </c>
      <c r="M763" s="237"/>
      <c r="N763" s="238"/>
      <c r="O763" s="238" t="str">
        <f t="shared" si="4"/>
        <v/>
      </c>
      <c r="P763" s="238" t="str">
        <f t="shared" si="5"/>
        <v/>
      </c>
      <c r="Q763" s="238" t="str">
        <f t="shared" si="6"/>
        <v/>
      </c>
      <c r="R763" s="238" t="str">
        <f t="shared" si="7"/>
        <v/>
      </c>
      <c r="S763" s="238" t="str">
        <f t="shared" si="8"/>
        <v/>
      </c>
      <c r="T763" s="238"/>
      <c r="U763" s="237"/>
      <c r="V763" s="238"/>
      <c r="W763" s="238" t="str">
        <f t="shared" si="9"/>
        <v/>
      </c>
      <c r="X763" s="237" t="str">
        <f t="shared" ref="X763:Y763" si="755">IF(ISBLANK(H763),,""""&amp;H763&amp;"""")</f>
        <v/>
      </c>
      <c r="Y763" s="237" t="str">
        <f t="shared" si="755"/>
        <v/>
      </c>
      <c r="Z763" s="237" t="str">
        <f>IF(ISBLANK(K763),,Config!$C$3&amp;"&amp;range=BB"&amp;MATCH(K763,FRG!AE:AE,0))</f>
        <v/>
      </c>
      <c r="AB763" s="242" t="str">
        <f>IFERROR(__xludf.DUMMYFUNCTION("IF(ISBLANK(K763),,SUBSTITUTE(IFERROR(JOIN("","",K763:Z763),JOIN("","",K763:Y763)),CHAR(10),""""))"),"")</f>
        <v/>
      </c>
      <c r="AC763" s="229" t="str">
        <f t="shared" si="1"/>
        <v/>
      </c>
    </row>
    <row r="764">
      <c r="K764" s="237"/>
      <c r="L764" s="238" t="str">
        <f t="shared" si="3"/>
        <v/>
      </c>
      <c r="M764" s="237"/>
      <c r="N764" s="238"/>
      <c r="O764" s="238" t="str">
        <f t="shared" si="4"/>
        <v/>
      </c>
      <c r="P764" s="238" t="str">
        <f t="shared" si="5"/>
        <v/>
      </c>
      <c r="Q764" s="238" t="str">
        <f t="shared" si="6"/>
        <v/>
      </c>
      <c r="R764" s="238" t="str">
        <f t="shared" si="7"/>
        <v/>
      </c>
      <c r="S764" s="238" t="str">
        <f t="shared" si="8"/>
        <v/>
      </c>
      <c r="T764" s="238"/>
      <c r="U764" s="237"/>
      <c r="V764" s="238"/>
      <c r="W764" s="238" t="str">
        <f t="shared" si="9"/>
        <v/>
      </c>
      <c r="X764" s="237" t="str">
        <f t="shared" ref="X764:Y764" si="756">IF(ISBLANK(H764),,""""&amp;H764&amp;"""")</f>
        <v/>
      </c>
      <c r="Y764" s="237" t="str">
        <f t="shared" si="756"/>
        <v/>
      </c>
      <c r="Z764" s="237" t="str">
        <f>IF(ISBLANK(K764),,Config!$C$3&amp;"&amp;range=BB"&amp;MATCH(K764,FRG!AE:AE,0))</f>
        <v/>
      </c>
      <c r="AB764" s="242" t="str">
        <f>IFERROR(__xludf.DUMMYFUNCTION("IF(ISBLANK(K764),,SUBSTITUTE(IFERROR(JOIN("","",K764:Z764),JOIN("","",K764:Y764)),CHAR(10),""""))"),"")</f>
        <v/>
      </c>
      <c r="AC764" s="229" t="str">
        <f t="shared" si="1"/>
        <v/>
      </c>
    </row>
    <row r="765">
      <c r="K765" s="237"/>
      <c r="L765" s="238" t="str">
        <f t="shared" si="3"/>
        <v/>
      </c>
      <c r="M765" s="237"/>
      <c r="N765" s="238"/>
      <c r="O765" s="238" t="str">
        <f t="shared" si="4"/>
        <v/>
      </c>
      <c r="P765" s="238" t="str">
        <f t="shared" si="5"/>
        <v/>
      </c>
      <c r="Q765" s="238" t="str">
        <f t="shared" si="6"/>
        <v/>
      </c>
      <c r="R765" s="238" t="str">
        <f t="shared" si="7"/>
        <v/>
      </c>
      <c r="S765" s="238" t="str">
        <f t="shared" si="8"/>
        <v/>
      </c>
      <c r="T765" s="238"/>
      <c r="U765" s="237"/>
      <c r="V765" s="238"/>
      <c r="W765" s="238" t="str">
        <f t="shared" si="9"/>
        <v/>
      </c>
      <c r="X765" s="237" t="str">
        <f t="shared" ref="X765:Y765" si="757">IF(ISBLANK(H765),,""""&amp;H765&amp;"""")</f>
        <v/>
      </c>
      <c r="Y765" s="237" t="str">
        <f t="shared" si="757"/>
        <v/>
      </c>
      <c r="Z765" s="237" t="str">
        <f>IF(ISBLANK(K765),,Config!$C$3&amp;"&amp;range=BB"&amp;MATCH(K765,FRG!AE:AE,0))</f>
        <v/>
      </c>
      <c r="AB765" s="242" t="str">
        <f>IFERROR(__xludf.DUMMYFUNCTION("IF(ISBLANK(K765),,SUBSTITUTE(IFERROR(JOIN("","",K765:Z765),JOIN("","",K765:Y765)),CHAR(10),""""))"),"")</f>
        <v/>
      </c>
      <c r="AC765" s="229" t="str">
        <f t="shared" si="1"/>
        <v/>
      </c>
    </row>
    <row r="766">
      <c r="K766" s="237"/>
      <c r="L766" s="238" t="str">
        <f t="shared" si="3"/>
        <v/>
      </c>
      <c r="M766" s="237"/>
      <c r="N766" s="238"/>
      <c r="O766" s="238" t="str">
        <f t="shared" si="4"/>
        <v/>
      </c>
      <c r="P766" s="238" t="str">
        <f t="shared" si="5"/>
        <v/>
      </c>
      <c r="Q766" s="238" t="str">
        <f t="shared" si="6"/>
        <v/>
      </c>
      <c r="R766" s="238" t="str">
        <f t="shared" si="7"/>
        <v/>
      </c>
      <c r="S766" s="238" t="str">
        <f t="shared" si="8"/>
        <v/>
      </c>
      <c r="T766" s="238"/>
      <c r="U766" s="237"/>
      <c r="V766" s="238"/>
      <c r="W766" s="238" t="str">
        <f t="shared" si="9"/>
        <v/>
      </c>
      <c r="X766" s="237" t="str">
        <f t="shared" ref="X766:Y766" si="758">IF(ISBLANK(H766),,""""&amp;H766&amp;"""")</f>
        <v/>
      </c>
      <c r="Y766" s="237" t="str">
        <f t="shared" si="758"/>
        <v/>
      </c>
      <c r="Z766" s="237" t="str">
        <f>IF(ISBLANK(K766),,Config!$C$3&amp;"&amp;range=BB"&amp;MATCH(K766,FRG!AE:AE,0))</f>
        <v/>
      </c>
      <c r="AB766" s="242" t="str">
        <f>IFERROR(__xludf.DUMMYFUNCTION("IF(ISBLANK(K766),,SUBSTITUTE(IFERROR(JOIN("","",K766:Z766),JOIN("","",K766:Y766)),CHAR(10),""""))"),"")</f>
        <v/>
      </c>
      <c r="AC766" s="229" t="str">
        <f t="shared" si="1"/>
        <v/>
      </c>
    </row>
    <row r="767">
      <c r="K767" s="237"/>
      <c r="L767" s="238" t="str">
        <f t="shared" si="3"/>
        <v/>
      </c>
      <c r="M767" s="237"/>
      <c r="N767" s="238"/>
      <c r="O767" s="238" t="str">
        <f t="shared" si="4"/>
        <v/>
      </c>
      <c r="P767" s="238" t="str">
        <f t="shared" si="5"/>
        <v/>
      </c>
      <c r="Q767" s="238" t="str">
        <f t="shared" si="6"/>
        <v/>
      </c>
      <c r="R767" s="238" t="str">
        <f t="shared" si="7"/>
        <v/>
      </c>
      <c r="S767" s="238" t="str">
        <f t="shared" si="8"/>
        <v/>
      </c>
      <c r="T767" s="238"/>
      <c r="U767" s="237"/>
      <c r="V767" s="238"/>
      <c r="W767" s="238" t="str">
        <f t="shared" si="9"/>
        <v/>
      </c>
      <c r="X767" s="237" t="str">
        <f t="shared" ref="X767:Y767" si="759">IF(ISBLANK(H767),,""""&amp;H767&amp;"""")</f>
        <v/>
      </c>
      <c r="Y767" s="237" t="str">
        <f t="shared" si="759"/>
        <v/>
      </c>
      <c r="Z767" s="237" t="str">
        <f>IF(ISBLANK(K767),,Config!$C$3&amp;"&amp;range=BB"&amp;MATCH(K767,FRG!AE:AE,0))</f>
        <v/>
      </c>
      <c r="AB767" s="242" t="str">
        <f>IFERROR(__xludf.DUMMYFUNCTION("IF(ISBLANK(K767),,SUBSTITUTE(IFERROR(JOIN("","",K767:Z767),JOIN("","",K767:Y767)),CHAR(10),""""))"),"")</f>
        <v/>
      </c>
      <c r="AC767" s="229" t="str">
        <f t="shared" si="1"/>
        <v/>
      </c>
    </row>
    <row r="768">
      <c r="K768" s="237"/>
      <c r="L768" s="238" t="str">
        <f t="shared" si="3"/>
        <v/>
      </c>
      <c r="M768" s="237"/>
      <c r="N768" s="238"/>
      <c r="O768" s="238" t="str">
        <f t="shared" si="4"/>
        <v/>
      </c>
      <c r="P768" s="238" t="str">
        <f t="shared" si="5"/>
        <v/>
      </c>
      <c r="Q768" s="238" t="str">
        <f t="shared" si="6"/>
        <v/>
      </c>
      <c r="R768" s="238" t="str">
        <f t="shared" si="7"/>
        <v/>
      </c>
      <c r="S768" s="238" t="str">
        <f t="shared" si="8"/>
        <v/>
      </c>
      <c r="T768" s="238"/>
      <c r="U768" s="237"/>
      <c r="V768" s="238"/>
      <c r="W768" s="238" t="str">
        <f t="shared" si="9"/>
        <v/>
      </c>
      <c r="X768" s="237" t="str">
        <f t="shared" ref="X768:Y768" si="760">IF(ISBLANK(H768),,""""&amp;H768&amp;"""")</f>
        <v/>
      </c>
      <c r="Y768" s="237" t="str">
        <f t="shared" si="760"/>
        <v/>
      </c>
      <c r="Z768" s="237" t="str">
        <f>IF(ISBLANK(K768),,Config!$C$3&amp;"&amp;range=BB"&amp;MATCH(K768,FRG!AE:AE,0))</f>
        <v/>
      </c>
      <c r="AB768" s="242" t="str">
        <f>IFERROR(__xludf.DUMMYFUNCTION("IF(ISBLANK(K768),,SUBSTITUTE(IFERROR(JOIN("","",K768:Z768),JOIN("","",K768:Y768)),CHAR(10),""""))"),"")</f>
        <v/>
      </c>
      <c r="AC768" s="229" t="str">
        <f t="shared" si="1"/>
        <v/>
      </c>
    </row>
    <row r="769">
      <c r="K769" s="237"/>
      <c r="L769" s="238" t="str">
        <f t="shared" si="3"/>
        <v/>
      </c>
      <c r="M769" s="237"/>
      <c r="N769" s="238"/>
      <c r="O769" s="238" t="str">
        <f t="shared" si="4"/>
        <v/>
      </c>
      <c r="P769" s="238" t="str">
        <f t="shared" si="5"/>
        <v/>
      </c>
      <c r="Q769" s="238" t="str">
        <f t="shared" si="6"/>
        <v/>
      </c>
      <c r="R769" s="238" t="str">
        <f t="shared" si="7"/>
        <v/>
      </c>
      <c r="S769" s="238" t="str">
        <f t="shared" si="8"/>
        <v/>
      </c>
      <c r="T769" s="238"/>
      <c r="U769" s="237"/>
      <c r="V769" s="238"/>
      <c r="W769" s="238" t="str">
        <f t="shared" si="9"/>
        <v/>
      </c>
      <c r="X769" s="237" t="str">
        <f t="shared" ref="X769:Y769" si="761">IF(ISBLANK(H769),,""""&amp;H769&amp;"""")</f>
        <v/>
      </c>
      <c r="Y769" s="237" t="str">
        <f t="shared" si="761"/>
        <v/>
      </c>
      <c r="Z769" s="237" t="str">
        <f>IF(ISBLANK(K769),,Config!$C$3&amp;"&amp;range=BB"&amp;MATCH(K769,FRG!AE:AE,0))</f>
        <v/>
      </c>
      <c r="AB769" s="242" t="str">
        <f>IFERROR(__xludf.DUMMYFUNCTION("IF(ISBLANK(K769),,SUBSTITUTE(IFERROR(JOIN("","",K769:Z769),JOIN("","",K769:Y769)),CHAR(10),""""))"),"")</f>
        <v/>
      </c>
      <c r="AC769" s="229" t="str">
        <f t="shared" si="1"/>
        <v/>
      </c>
    </row>
    <row r="770">
      <c r="K770" s="237"/>
      <c r="L770" s="238" t="str">
        <f t="shared" si="3"/>
        <v/>
      </c>
      <c r="M770" s="237"/>
      <c r="N770" s="238"/>
      <c r="O770" s="238" t="str">
        <f t="shared" si="4"/>
        <v/>
      </c>
      <c r="P770" s="238" t="str">
        <f t="shared" si="5"/>
        <v/>
      </c>
      <c r="Q770" s="238" t="str">
        <f t="shared" si="6"/>
        <v/>
      </c>
      <c r="R770" s="238" t="str">
        <f t="shared" si="7"/>
        <v/>
      </c>
      <c r="S770" s="238" t="str">
        <f t="shared" si="8"/>
        <v/>
      </c>
      <c r="T770" s="238"/>
      <c r="U770" s="237"/>
      <c r="V770" s="238"/>
      <c r="W770" s="238" t="str">
        <f t="shared" si="9"/>
        <v/>
      </c>
      <c r="X770" s="237" t="str">
        <f t="shared" ref="X770:Y770" si="762">IF(ISBLANK(H770),,""""&amp;H770&amp;"""")</f>
        <v/>
      </c>
      <c r="Y770" s="237" t="str">
        <f t="shared" si="762"/>
        <v/>
      </c>
      <c r="Z770" s="237" t="str">
        <f>IF(ISBLANK(K770),,Config!$C$3&amp;"&amp;range=BB"&amp;MATCH(K770,FRG!AE:AE,0))</f>
        <v/>
      </c>
      <c r="AB770" s="242" t="str">
        <f>IFERROR(__xludf.DUMMYFUNCTION("IF(ISBLANK(K770),,SUBSTITUTE(IFERROR(JOIN("","",K770:Z770),JOIN("","",K770:Y770)),CHAR(10),""""))"),"")</f>
        <v/>
      </c>
      <c r="AC770" s="229" t="str">
        <f t="shared" si="1"/>
        <v/>
      </c>
    </row>
    <row r="771">
      <c r="K771" s="237"/>
      <c r="L771" s="238" t="str">
        <f t="shared" si="3"/>
        <v/>
      </c>
      <c r="M771" s="237"/>
      <c r="N771" s="238"/>
      <c r="O771" s="238" t="str">
        <f t="shared" si="4"/>
        <v/>
      </c>
      <c r="P771" s="238" t="str">
        <f t="shared" si="5"/>
        <v/>
      </c>
      <c r="Q771" s="238" t="str">
        <f t="shared" si="6"/>
        <v/>
      </c>
      <c r="R771" s="238" t="str">
        <f t="shared" si="7"/>
        <v/>
      </c>
      <c r="S771" s="238" t="str">
        <f t="shared" si="8"/>
        <v/>
      </c>
      <c r="T771" s="238"/>
      <c r="U771" s="237"/>
      <c r="V771" s="238"/>
      <c r="W771" s="238" t="str">
        <f t="shared" si="9"/>
        <v/>
      </c>
      <c r="X771" s="237" t="str">
        <f t="shared" ref="X771:Y771" si="763">IF(ISBLANK(H771),,""""&amp;H771&amp;"""")</f>
        <v/>
      </c>
      <c r="Y771" s="237" t="str">
        <f t="shared" si="763"/>
        <v/>
      </c>
      <c r="Z771" s="237" t="str">
        <f>IF(ISBLANK(K771),,Config!$C$3&amp;"&amp;range=BB"&amp;MATCH(K771,FRG!AE:AE,0))</f>
        <v/>
      </c>
      <c r="AB771" s="242" t="str">
        <f>IFERROR(__xludf.DUMMYFUNCTION("IF(ISBLANK(K771),,SUBSTITUTE(IFERROR(JOIN("","",K771:Z771),JOIN("","",K771:Y771)),CHAR(10),""""))"),"")</f>
        <v/>
      </c>
      <c r="AC771" s="229" t="str">
        <f t="shared" si="1"/>
        <v/>
      </c>
    </row>
    <row r="772">
      <c r="K772" s="237"/>
      <c r="L772" s="238" t="str">
        <f t="shared" si="3"/>
        <v/>
      </c>
      <c r="M772" s="237"/>
      <c r="N772" s="238"/>
      <c r="O772" s="238" t="str">
        <f t="shared" si="4"/>
        <v/>
      </c>
      <c r="P772" s="238" t="str">
        <f t="shared" si="5"/>
        <v/>
      </c>
      <c r="Q772" s="238" t="str">
        <f t="shared" si="6"/>
        <v/>
      </c>
      <c r="R772" s="238" t="str">
        <f t="shared" si="7"/>
        <v/>
      </c>
      <c r="S772" s="238" t="str">
        <f t="shared" si="8"/>
        <v/>
      </c>
      <c r="T772" s="238"/>
      <c r="U772" s="237"/>
      <c r="V772" s="238"/>
      <c r="W772" s="238" t="str">
        <f t="shared" si="9"/>
        <v/>
      </c>
      <c r="X772" s="237" t="str">
        <f t="shared" ref="X772:Y772" si="764">IF(ISBLANK(H772),,""""&amp;H772&amp;"""")</f>
        <v/>
      </c>
      <c r="Y772" s="237" t="str">
        <f t="shared" si="764"/>
        <v/>
      </c>
      <c r="Z772" s="237" t="str">
        <f>IF(ISBLANK(K772),,Config!$C$3&amp;"&amp;range=BB"&amp;MATCH(K772,FRG!AE:AE,0))</f>
        <v/>
      </c>
      <c r="AB772" s="242" t="str">
        <f>IFERROR(__xludf.DUMMYFUNCTION("IF(ISBLANK(K772),,SUBSTITUTE(IFERROR(JOIN("","",K772:Z772),JOIN("","",K772:Y772)),CHAR(10),""""))"),"")</f>
        <v/>
      </c>
      <c r="AC772" s="229" t="str">
        <f t="shared" si="1"/>
        <v/>
      </c>
    </row>
    <row r="773">
      <c r="K773" s="237"/>
      <c r="L773" s="238" t="str">
        <f t="shared" si="3"/>
        <v/>
      </c>
      <c r="M773" s="237"/>
      <c r="N773" s="238"/>
      <c r="O773" s="238" t="str">
        <f t="shared" si="4"/>
        <v/>
      </c>
      <c r="P773" s="238" t="str">
        <f t="shared" si="5"/>
        <v/>
      </c>
      <c r="Q773" s="238" t="str">
        <f t="shared" si="6"/>
        <v/>
      </c>
      <c r="R773" s="238" t="str">
        <f t="shared" si="7"/>
        <v/>
      </c>
      <c r="S773" s="238" t="str">
        <f t="shared" si="8"/>
        <v/>
      </c>
      <c r="T773" s="238"/>
      <c r="U773" s="237"/>
      <c r="V773" s="238"/>
      <c r="W773" s="238" t="str">
        <f t="shared" si="9"/>
        <v/>
      </c>
      <c r="X773" s="237" t="str">
        <f t="shared" ref="X773:Y773" si="765">IF(ISBLANK(H773),,""""&amp;H773&amp;"""")</f>
        <v/>
      </c>
      <c r="Y773" s="237" t="str">
        <f t="shared" si="765"/>
        <v/>
      </c>
      <c r="Z773" s="237" t="str">
        <f>IF(ISBLANK(K773),,Config!$C$3&amp;"&amp;range=BB"&amp;MATCH(K773,FRG!AE:AE,0))</f>
        <v/>
      </c>
      <c r="AB773" s="242" t="str">
        <f>IFERROR(__xludf.DUMMYFUNCTION("IF(ISBLANK(K773),,SUBSTITUTE(IFERROR(JOIN("","",K773:Z773),JOIN("","",K773:Y773)),CHAR(10),""""))"),"")</f>
        <v/>
      </c>
      <c r="AC773" s="229" t="str">
        <f t="shared" si="1"/>
        <v/>
      </c>
    </row>
    <row r="774">
      <c r="K774" s="237"/>
      <c r="L774" s="238" t="str">
        <f t="shared" si="3"/>
        <v/>
      </c>
      <c r="M774" s="237"/>
      <c r="N774" s="238"/>
      <c r="O774" s="238" t="str">
        <f t="shared" si="4"/>
        <v/>
      </c>
      <c r="P774" s="238" t="str">
        <f t="shared" si="5"/>
        <v/>
      </c>
      <c r="Q774" s="238" t="str">
        <f t="shared" si="6"/>
        <v/>
      </c>
      <c r="R774" s="238" t="str">
        <f t="shared" si="7"/>
        <v/>
      </c>
      <c r="S774" s="238" t="str">
        <f t="shared" si="8"/>
        <v/>
      </c>
      <c r="T774" s="238"/>
      <c r="U774" s="237"/>
      <c r="V774" s="238"/>
      <c r="W774" s="238" t="str">
        <f t="shared" si="9"/>
        <v/>
      </c>
      <c r="X774" s="237" t="str">
        <f t="shared" ref="X774:Y774" si="766">IF(ISBLANK(H774),,""""&amp;H774&amp;"""")</f>
        <v/>
      </c>
      <c r="Y774" s="237" t="str">
        <f t="shared" si="766"/>
        <v/>
      </c>
      <c r="Z774" s="237" t="str">
        <f>IF(ISBLANK(K774),,Config!$C$3&amp;"&amp;range=BB"&amp;MATCH(K774,FRG!AE:AE,0))</f>
        <v/>
      </c>
      <c r="AB774" s="242" t="str">
        <f>IFERROR(__xludf.DUMMYFUNCTION("IF(ISBLANK(K774),,SUBSTITUTE(IFERROR(JOIN("","",K774:Z774),JOIN("","",K774:Y774)),CHAR(10),""""))"),"")</f>
        <v/>
      </c>
      <c r="AC774" s="229" t="str">
        <f t="shared" si="1"/>
        <v/>
      </c>
    </row>
    <row r="775">
      <c r="K775" s="237"/>
      <c r="L775" s="238" t="str">
        <f t="shared" si="3"/>
        <v/>
      </c>
      <c r="M775" s="237"/>
      <c r="N775" s="238"/>
      <c r="O775" s="238" t="str">
        <f t="shared" si="4"/>
        <v/>
      </c>
      <c r="P775" s="238" t="str">
        <f t="shared" si="5"/>
        <v/>
      </c>
      <c r="Q775" s="238" t="str">
        <f t="shared" si="6"/>
        <v/>
      </c>
      <c r="R775" s="238" t="str">
        <f t="shared" si="7"/>
        <v/>
      </c>
      <c r="S775" s="238" t="str">
        <f t="shared" si="8"/>
        <v/>
      </c>
      <c r="T775" s="238"/>
      <c r="U775" s="237"/>
      <c r="V775" s="238"/>
      <c r="W775" s="238" t="str">
        <f t="shared" si="9"/>
        <v/>
      </c>
      <c r="X775" s="237" t="str">
        <f t="shared" ref="X775:Y775" si="767">IF(ISBLANK(H775),,""""&amp;H775&amp;"""")</f>
        <v/>
      </c>
      <c r="Y775" s="237" t="str">
        <f t="shared" si="767"/>
        <v/>
      </c>
      <c r="Z775" s="237" t="str">
        <f>IF(ISBLANK(K775),,Config!$C$3&amp;"&amp;range=BB"&amp;MATCH(K775,FRG!AE:AE,0))</f>
        <v/>
      </c>
      <c r="AB775" s="242" t="str">
        <f>IFERROR(__xludf.DUMMYFUNCTION("IF(ISBLANK(K775),,SUBSTITUTE(IFERROR(JOIN("","",K775:Z775),JOIN("","",K775:Y775)),CHAR(10),""""))"),"")</f>
        <v/>
      </c>
      <c r="AC775" s="229" t="str">
        <f t="shared" si="1"/>
        <v/>
      </c>
    </row>
    <row r="776">
      <c r="K776" s="237"/>
      <c r="L776" s="238" t="str">
        <f t="shared" si="3"/>
        <v/>
      </c>
      <c r="M776" s="237"/>
      <c r="N776" s="238"/>
      <c r="O776" s="238" t="str">
        <f t="shared" si="4"/>
        <v/>
      </c>
      <c r="P776" s="238" t="str">
        <f t="shared" si="5"/>
        <v/>
      </c>
      <c r="Q776" s="238" t="str">
        <f t="shared" si="6"/>
        <v/>
      </c>
      <c r="R776" s="238" t="str">
        <f t="shared" si="7"/>
        <v/>
      </c>
      <c r="S776" s="238" t="str">
        <f t="shared" si="8"/>
        <v/>
      </c>
      <c r="T776" s="238"/>
      <c r="U776" s="237"/>
      <c r="V776" s="238"/>
      <c r="W776" s="238" t="str">
        <f t="shared" si="9"/>
        <v/>
      </c>
      <c r="X776" s="237" t="str">
        <f t="shared" ref="X776:Y776" si="768">IF(ISBLANK(H776),,""""&amp;H776&amp;"""")</f>
        <v/>
      </c>
      <c r="Y776" s="237" t="str">
        <f t="shared" si="768"/>
        <v/>
      </c>
      <c r="Z776" s="237" t="str">
        <f>IF(ISBLANK(K776),,Config!$C$3&amp;"&amp;range=BB"&amp;MATCH(K776,FRG!AE:AE,0))</f>
        <v/>
      </c>
      <c r="AB776" s="242" t="str">
        <f>IFERROR(__xludf.DUMMYFUNCTION("IF(ISBLANK(K776),,SUBSTITUTE(IFERROR(JOIN("","",K776:Z776),JOIN("","",K776:Y776)),CHAR(10),""""))"),"")</f>
        <v/>
      </c>
      <c r="AC776" s="229" t="str">
        <f t="shared" si="1"/>
        <v/>
      </c>
    </row>
    <row r="777">
      <c r="K777" s="237"/>
      <c r="L777" s="238" t="str">
        <f t="shared" si="3"/>
        <v/>
      </c>
      <c r="M777" s="237"/>
      <c r="N777" s="238"/>
      <c r="O777" s="238" t="str">
        <f t="shared" si="4"/>
        <v/>
      </c>
      <c r="P777" s="238" t="str">
        <f t="shared" si="5"/>
        <v/>
      </c>
      <c r="Q777" s="238" t="str">
        <f t="shared" si="6"/>
        <v/>
      </c>
      <c r="R777" s="238" t="str">
        <f t="shared" si="7"/>
        <v/>
      </c>
      <c r="S777" s="238" t="str">
        <f t="shared" si="8"/>
        <v/>
      </c>
      <c r="T777" s="238"/>
      <c r="U777" s="237"/>
      <c r="V777" s="238"/>
      <c r="W777" s="238" t="str">
        <f t="shared" si="9"/>
        <v/>
      </c>
      <c r="X777" s="237" t="str">
        <f t="shared" ref="X777:Y777" si="769">IF(ISBLANK(H777),,""""&amp;H777&amp;"""")</f>
        <v/>
      </c>
      <c r="Y777" s="237" t="str">
        <f t="shared" si="769"/>
        <v/>
      </c>
      <c r="Z777" s="237" t="str">
        <f>IF(ISBLANK(K777),,Config!$C$3&amp;"&amp;range=BB"&amp;MATCH(K777,FRG!AE:AE,0))</f>
        <v/>
      </c>
      <c r="AB777" s="242" t="str">
        <f>IFERROR(__xludf.DUMMYFUNCTION("IF(ISBLANK(K777),,SUBSTITUTE(IFERROR(JOIN("","",K777:Z777),JOIN("","",K777:Y777)),CHAR(10),""""))"),"")</f>
        <v/>
      </c>
      <c r="AC777" s="229" t="str">
        <f t="shared" si="1"/>
        <v/>
      </c>
    </row>
    <row r="778">
      <c r="K778" s="237"/>
      <c r="L778" s="238" t="str">
        <f t="shared" si="3"/>
        <v/>
      </c>
      <c r="M778" s="237"/>
      <c r="N778" s="238"/>
      <c r="O778" s="238" t="str">
        <f t="shared" si="4"/>
        <v/>
      </c>
      <c r="P778" s="238" t="str">
        <f t="shared" si="5"/>
        <v/>
      </c>
      <c r="Q778" s="238" t="str">
        <f t="shared" si="6"/>
        <v/>
      </c>
      <c r="R778" s="238" t="str">
        <f t="shared" si="7"/>
        <v/>
      </c>
      <c r="S778" s="238" t="str">
        <f t="shared" si="8"/>
        <v/>
      </c>
      <c r="T778" s="238"/>
      <c r="U778" s="237"/>
      <c r="V778" s="238"/>
      <c r="W778" s="238" t="str">
        <f t="shared" si="9"/>
        <v/>
      </c>
      <c r="X778" s="237" t="str">
        <f t="shared" ref="X778:Y778" si="770">IF(ISBLANK(H778),,""""&amp;H778&amp;"""")</f>
        <v/>
      </c>
      <c r="Y778" s="237" t="str">
        <f t="shared" si="770"/>
        <v/>
      </c>
      <c r="Z778" s="237" t="str">
        <f>IF(ISBLANK(K778),,Config!$C$3&amp;"&amp;range=BB"&amp;MATCH(K778,FRG!AE:AE,0))</f>
        <v/>
      </c>
      <c r="AB778" s="242" t="str">
        <f>IFERROR(__xludf.DUMMYFUNCTION("IF(ISBLANK(K778),,SUBSTITUTE(IFERROR(JOIN("","",K778:Z778),JOIN("","",K778:Y778)),CHAR(10),""""))"),"")</f>
        <v/>
      </c>
      <c r="AC778" s="229" t="str">
        <f t="shared" si="1"/>
        <v/>
      </c>
    </row>
    <row r="779">
      <c r="K779" s="237"/>
      <c r="L779" s="238" t="str">
        <f t="shared" si="3"/>
        <v/>
      </c>
      <c r="M779" s="237"/>
      <c r="N779" s="238"/>
      <c r="O779" s="238" t="str">
        <f t="shared" si="4"/>
        <v/>
      </c>
      <c r="P779" s="238" t="str">
        <f t="shared" si="5"/>
        <v/>
      </c>
      <c r="Q779" s="238" t="str">
        <f t="shared" si="6"/>
        <v/>
      </c>
      <c r="R779" s="238" t="str">
        <f t="shared" si="7"/>
        <v/>
      </c>
      <c r="S779" s="238" t="str">
        <f t="shared" si="8"/>
        <v/>
      </c>
      <c r="T779" s="238"/>
      <c r="U779" s="237"/>
      <c r="V779" s="238"/>
      <c r="W779" s="238" t="str">
        <f t="shared" si="9"/>
        <v/>
      </c>
      <c r="X779" s="237" t="str">
        <f t="shared" ref="X779:Y779" si="771">IF(ISBLANK(H779),,""""&amp;H779&amp;"""")</f>
        <v/>
      </c>
      <c r="Y779" s="237" t="str">
        <f t="shared" si="771"/>
        <v/>
      </c>
      <c r="Z779" s="237" t="str">
        <f>IF(ISBLANK(K779),,Config!$C$3&amp;"&amp;range=BB"&amp;MATCH(K779,FRG!AE:AE,0))</f>
        <v/>
      </c>
      <c r="AB779" s="242" t="str">
        <f>IFERROR(__xludf.DUMMYFUNCTION("IF(ISBLANK(K779),,SUBSTITUTE(IFERROR(JOIN("","",K779:Z779),JOIN("","",K779:Y779)),CHAR(10),""""))"),"")</f>
        <v/>
      </c>
      <c r="AC779" s="229" t="str">
        <f t="shared" si="1"/>
        <v/>
      </c>
    </row>
    <row r="780">
      <c r="K780" s="237"/>
      <c r="L780" s="238" t="str">
        <f t="shared" si="3"/>
        <v/>
      </c>
      <c r="M780" s="237"/>
      <c r="N780" s="238"/>
      <c r="O780" s="238" t="str">
        <f t="shared" si="4"/>
        <v/>
      </c>
      <c r="P780" s="238" t="str">
        <f t="shared" si="5"/>
        <v/>
      </c>
      <c r="Q780" s="238" t="str">
        <f t="shared" si="6"/>
        <v/>
      </c>
      <c r="R780" s="238" t="str">
        <f t="shared" si="7"/>
        <v/>
      </c>
      <c r="S780" s="238" t="str">
        <f t="shared" si="8"/>
        <v/>
      </c>
      <c r="T780" s="238"/>
      <c r="U780" s="237"/>
      <c r="V780" s="238"/>
      <c r="W780" s="238" t="str">
        <f t="shared" si="9"/>
        <v/>
      </c>
      <c r="X780" s="237" t="str">
        <f t="shared" ref="X780:Y780" si="772">IF(ISBLANK(H780),,""""&amp;H780&amp;"""")</f>
        <v/>
      </c>
      <c r="Y780" s="237" t="str">
        <f t="shared" si="772"/>
        <v/>
      </c>
      <c r="Z780" s="237" t="str">
        <f>IF(ISBLANK(K780),,Config!$C$3&amp;"&amp;range=BB"&amp;MATCH(K780,FRG!AE:AE,0))</f>
        <v/>
      </c>
      <c r="AB780" s="242" t="str">
        <f>IFERROR(__xludf.DUMMYFUNCTION("IF(ISBLANK(K780),,SUBSTITUTE(IFERROR(JOIN("","",K780:Z780),JOIN("","",K780:Y780)),CHAR(10),""""))"),"")</f>
        <v/>
      </c>
      <c r="AC780" s="229" t="str">
        <f t="shared" si="1"/>
        <v/>
      </c>
    </row>
    <row r="781">
      <c r="K781" s="237"/>
      <c r="L781" s="238" t="str">
        <f t="shared" si="3"/>
        <v/>
      </c>
      <c r="M781" s="237"/>
      <c r="N781" s="238"/>
      <c r="O781" s="238" t="str">
        <f t="shared" si="4"/>
        <v/>
      </c>
      <c r="P781" s="238" t="str">
        <f t="shared" si="5"/>
        <v/>
      </c>
      <c r="Q781" s="238" t="str">
        <f t="shared" si="6"/>
        <v/>
      </c>
      <c r="R781" s="238" t="str">
        <f t="shared" si="7"/>
        <v/>
      </c>
      <c r="S781" s="238" t="str">
        <f t="shared" si="8"/>
        <v/>
      </c>
      <c r="T781" s="238"/>
      <c r="U781" s="237"/>
      <c r="V781" s="238"/>
      <c r="W781" s="238" t="str">
        <f t="shared" si="9"/>
        <v/>
      </c>
      <c r="X781" s="237" t="str">
        <f t="shared" ref="X781:Y781" si="773">IF(ISBLANK(H781),,""""&amp;H781&amp;"""")</f>
        <v/>
      </c>
      <c r="Y781" s="237" t="str">
        <f t="shared" si="773"/>
        <v/>
      </c>
      <c r="Z781" s="237" t="str">
        <f>IF(ISBLANK(K781),,Config!$C$3&amp;"&amp;range=BB"&amp;MATCH(K781,FRG!AE:AE,0))</f>
        <v/>
      </c>
      <c r="AB781" s="242" t="str">
        <f>IFERROR(__xludf.DUMMYFUNCTION("IF(ISBLANK(K781),,SUBSTITUTE(IFERROR(JOIN("","",K781:Z781),JOIN("","",K781:Y781)),CHAR(10),""""))"),"")</f>
        <v/>
      </c>
      <c r="AC781" s="229" t="str">
        <f t="shared" si="1"/>
        <v/>
      </c>
    </row>
    <row r="782">
      <c r="K782" s="237"/>
      <c r="L782" s="238" t="str">
        <f t="shared" si="3"/>
        <v/>
      </c>
      <c r="M782" s="237"/>
      <c r="N782" s="238"/>
      <c r="O782" s="238" t="str">
        <f t="shared" si="4"/>
        <v/>
      </c>
      <c r="P782" s="238" t="str">
        <f t="shared" si="5"/>
        <v/>
      </c>
      <c r="Q782" s="238" t="str">
        <f t="shared" si="6"/>
        <v/>
      </c>
      <c r="R782" s="238" t="str">
        <f t="shared" si="7"/>
        <v/>
      </c>
      <c r="S782" s="238" t="str">
        <f t="shared" si="8"/>
        <v/>
      </c>
      <c r="T782" s="238"/>
      <c r="U782" s="237"/>
      <c r="V782" s="238"/>
      <c r="W782" s="238" t="str">
        <f t="shared" si="9"/>
        <v/>
      </c>
      <c r="X782" s="237" t="str">
        <f t="shared" ref="X782:Y782" si="774">IF(ISBLANK(H782),,""""&amp;H782&amp;"""")</f>
        <v/>
      </c>
      <c r="Y782" s="237" t="str">
        <f t="shared" si="774"/>
        <v/>
      </c>
      <c r="Z782" s="237" t="str">
        <f>IF(ISBLANK(K782),,Config!$C$3&amp;"&amp;range=BB"&amp;MATCH(K782,FRG!AE:AE,0))</f>
        <v/>
      </c>
      <c r="AB782" s="242" t="str">
        <f>IFERROR(__xludf.DUMMYFUNCTION("IF(ISBLANK(K782),,SUBSTITUTE(IFERROR(JOIN("","",K782:Z782),JOIN("","",K782:Y782)),CHAR(10),""""))"),"")</f>
        <v/>
      </c>
      <c r="AC782" s="229" t="str">
        <f t="shared" si="1"/>
        <v/>
      </c>
    </row>
    <row r="783">
      <c r="K783" s="237"/>
      <c r="L783" s="238" t="str">
        <f t="shared" si="3"/>
        <v/>
      </c>
      <c r="M783" s="237"/>
      <c r="N783" s="238"/>
      <c r="O783" s="238" t="str">
        <f t="shared" si="4"/>
        <v/>
      </c>
      <c r="P783" s="238" t="str">
        <f t="shared" si="5"/>
        <v/>
      </c>
      <c r="Q783" s="238" t="str">
        <f t="shared" si="6"/>
        <v/>
      </c>
      <c r="R783" s="238" t="str">
        <f t="shared" si="7"/>
        <v/>
      </c>
      <c r="S783" s="238" t="str">
        <f t="shared" si="8"/>
        <v/>
      </c>
      <c r="T783" s="238"/>
      <c r="U783" s="237"/>
      <c r="V783" s="238"/>
      <c r="W783" s="238" t="str">
        <f t="shared" si="9"/>
        <v/>
      </c>
      <c r="X783" s="237" t="str">
        <f t="shared" ref="X783:Y783" si="775">IF(ISBLANK(H783),,""""&amp;H783&amp;"""")</f>
        <v/>
      </c>
      <c r="Y783" s="237" t="str">
        <f t="shared" si="775"/>
        <v/>
      </c>
      <c r="Z783" s="237" t="str">
        <f>IF(ISBLANK(K783),,Config!$C$3&amp;"&amp;range=BB"&amp;MATCH(K783,FRG!AE:AE,0))</f>
        <v/>
      </c>
      <c r="AB783" s="242" t="str">
        <f>IFERROR(__xludf.DUMMYFUNCTION("IF(ISBLANK(K783),,SUBSTITUTE(IFERROR(JOIN("","",K783:Z783),JOIN("","",K783:Y783)),CHAR(10),""""))"),"")</f>
        <v/>
      </c>
      <c r="AC783" s="229" t="str">
        <f t="shared" si="1"/>
        <v/>
      </c>
    </row>
    <row r="784">
      <c r="K784" s="237"/>
      <c r="L784" s="238" t="str">
        <f t="shared" si="3"/>
        <v/>
      </c>
      <c r="M784" s="237"/>
      <c r="N784" s="238"/>
      <c r="O784" s="238" t="str">
        <f t="shared" si="4"/>
        <v/>
      </c>
      <c r="P784" s="238" t="str">
        <f t="shared" si="5"/>
        <v/>
      </c>
      <c r="Q784" s="238" t="str">
        <f t="shared" si="6"/>
        <v/>
      </c>
      <c r="R784" s="238" t="str">
        <f t="shared" si="7"/>
        <v/>
      </c>
      <c r="S784" s="238" t="str">
        <f t="shared" si="8"/>
        <v/>
      </c>
      <c r="T784" s="238"/>
      <c r="U784" s="237"/>
      <c r="V784" s="238"/>
      <c r="W784" s="238" t="str">
        <f t="shared" si="9"/>
        <v/>
      </c>
      <c r="X784" s="237" t="str">
        <f t="shared" ref="X784:Y784" si="776">IF(ISBLANK(H784),,""""&amp;H784&amp;"""")</f>
        <v/>
      </c>
      <c r="Y784" s="237" t="str">
        <f t="shared" si="776"/>
        <v/>
      </c>
      <c r="Z784" s="237" t="str">
        <f>IF(ISBLANK(K784),,Config!$C$3&amp;"&amp;range=BB"&amp;MATCH(K784,FRG!AE:AE,0))</f>
        <v/>
      </c>
      <c r="AB784" s="242" t="str">
        <f>IFERROR(__xludf.DUMMYFUNCTION("IF(ISBLANK(K784),,SUBSTITUTE(IFERROR(JOIN("","",K784:Z784),JOIN("","",K784:Y784)),CHAR(10),""""))"),"")</f>
        <v/>
      </c>
      <c r="AC784" s="229" t="str">
        <f t="shared" si="1"/>
        <v/>
      </c>
    </row>
    <row r="785">
      <c r="K785" s="237"/>
      <c r="L785" s="238" t="str">
        <f t="shared" si="3"/>
        <v/>
      </c>
      <c r="M785" s="237"/>
      <c r="N785" s="238"/>
      <c r="O785" s="238" t="str">
        <f t="shared" si="4"/>
        <v/>
      </c>
      <c r="P785" s="238" t="str">
        <f t="shared" si="5"/>
        <v/>
      </c>
      <c r="Q785" s="238" t="str">
        <f t="shared" si="6"/>
        <v/>
      </c>
      <c r="R785" s="238" t="str">
        <f t="shared" si="7"/>
        <v/>
      </c>
      <c r="S785" s="238" t="str">
        <f t="shared" si="8"/>
        <v/>
      </c>
      <c r="T785" s="238"/>
      <c r="U785" s="237"/>
      <c r="V785" s="238"/>
      <c r="W785" s="238" t="str">
        <f t="shared" si="9"/>
        <v/>
      </c>
      <c r="X785" s="237" t="str">
        <f t="shared" ref="X785:Y785" si="777">IF(ISBLANK(H785),,""""&amp;H785&amp;"""")</f>
        <v/>
      </c>
      <c r="Y785" s="237" t="str">
        <f t="shared" si="777"/>
        <v/>
      </c>
      <c r="Z785" s="237" t="str">
        <f>IF(ISBLANK(K785),,Config!$C$3&amp;"&amp;range=BB"&amp;MATCH(K785,FRG!AE:AE,0))</f>
        <v/>
      </c>
      <c r="AB785" s="242" t="str">
        <f>IFERROR(__xludf.DUMMYFUNCTION("IF(ISBLANK(K785),,SUBSTITUTE(IFERROR(JOIN("","",K785:Z785),JOIN("","",K785:Y785)),CHAR(10),""""))"),"")</f>
        <v/>
      </c>
      <c r="AC785" s="229" t="str">
        <f t="shared" si="1"/>
        <v/>
      </c>
    </row>
    <row r="786">
      <c r="K786" s="237"/>
      <c r="L786" s="238" t="str">
        <f t="shared" si="3"/>
        <v/>
      </c>
      <c r="M786" s="237"/>
      <c r="N786" s="238"/>
      <c r="O786" s="238" t="str">
        <f t="shared" si="4"/>
        <v/>
      </c>
      <c r="P786" s="238" t="str">
        <f t="shared" si="5"/>
        <v/>
      </c>
      <c r="Q786" s="238" t="str">
        <f t="shared" si="6"/>
        <v/>
      </c>
      <c r="R786" s="238" t="str">
        <f t="shared" si="7"/>
        <v/>
      </c>
      <c r="S786" s="238" t="str">
        <f t="shared" si="8"/>
        <v/>
      </c>
      <c r="T786" s="238"/>
      <c r="U786" s="237"/>
      <c r="V786" s="238"/>
      <c r="W786" s="238" t="str">
        <f t="shared" si="9"/>
        <v/>
      </c>
      <c r="X786" s="237" t="str">
        <f t="shared" ref="X786:Y786" si="778">IF(ISBLANK(H786),,""""&amp;H786&amp;"""")</f>
        <v/>
      </c>
      <c r="Y786" s="237" t="str">
        <f t="shared" si="778"/>
        <v/>
      </c>
      <c r="Z786" s="237" t="str">
        <f>IF(ISBLANK(K786),,Config!$C$3&amp;"&amp;range=BB"&amp;MATCH(K786,FRG!AE:AE,0))</f>
        <v/>
      </c>
      <c r="AB786" s="242" t="str">
        <f>IFERROR(__xludf.DUMMYFUNCTION("IF(ISBLANK(K786),,SUBSTITUTE(IFERROR(JOIN("","",K786:Z786),JOIN("","",K786:Y786)),CHAR(10),""""))"),"")</f>
        <v/>
      </c>
      <c r="AC786" s="229" t="str">
        <f t="shared" si="1"/>
        <v/>
      </c>
    </row>
    <row r="787">
      <c r="K787" s="237"/>
      <c r="L787" s="238" t="str">
        <f t="shared" si="3"/>
        <v/>
      </c>
      <c r="M787" s="237"/>
      <c r="N787" s="238"/>
      <c r="O787" s="238" t="str">
        <f t="shared" si="4"/>
        <v/>
      </c>
      <c r="P787" s="238" t="str">
        <f t="shared" si="5"/>
        <v/>
      </c>
      <c r="Q787" s="238" t="str">
        <f t="shared" si="6"/>
        <v/>
      </c>
      <c r="R787" s="238" t="str">
        <f t="shared" si="7"/>
        <v/>
      </c>
      <c r="S787" s="238" t="str">
        <f t="shared" si="8"/>
        <v/>
      </c>
      <c r="T787" s="238"/>
      <c r="U787" s="237"/>
      <c r="V787" s="238"/>
      <c r="W787" s="238" t="str">
        <f t="shared" si="9"/>
        <v/>
      </c>
      <c r="X787" s="237" t="str">
        <f t="shared" ref="X787:Y787" si="779">IF(ISBLANK(H787),,""""&amp;H787&amp;"""")</f>
        <v/>
      </c>
      <c r="Y787" s="237" t="str">
        <f t="shared" si="779"/>
        <v/>
      </c>
      <c r="Z787" s="237" t="str">
        <f>IF(ISBLANK(K787),,Config!$C$3&amp;"&amp;range=BB"&amp;MATCH(K787,FRG!AE:AE,0))</f>
        <v/>
      </c>
      <c r="AB787" s="242" t="str">
        <f>IFERROR(__xludf.DUMMYFUNCTION("IF(ISBLANK(K787),,SUBSTITUTE(IFERROR(JOIN("","",K787:Z787),JOIN("","",K787:Y787)),CHAR(10),""""))"),"")</f>
        <v/>
      </c>
      <c r="AC787" s="229" t="str">
        <f t="shared" si="1"/>
        <v/>
      </c>
    </row>
    <row r="788">
      <c r="K788" s="237"/>
      <c r="L788" s="238" t="str">
        <f t="shared" si="3"/>
        <v/>
      </c>
      <c r="M788" s="237"/>
      <c r="N788" s="238"/>
      <c r="O788" s="238" t="str">
        <f t="shared" si="4"/>
        <v/>
      </c>
      <c r="P788" s="238" t="str">
        <f t="shared" si="5"/>
        <v/>
      </c>
      <c r="Q788" s="238" t="str">
        <f t="shared" si="6"/>
        <v/>
      </c>
      <c r="R788" s="238" t="str">
        <f t="shared" si="7"/>
        <v/>
      </c>
      <c r="S788" s="238" t="str">
        <f t="shared" si="8"/>
        <v/>
      </c>
      <c r="T788" s="238"/>
      <c r="U788" s="237"/>
      <c r="V788" s="238"/>
      <c r="W788" s="238" t="str">
        <f t="shared" si="9"/>
        <v/>
      </c>
      <c r="X788" s="237" t="str">
        <f t="shared" ref="X788:Y788" si="780">IF(ISBLANK(H788),,""""&amp;H788&amp;"""")</f>
        <v/>
      </c>
      <c r="Y788" s="237" t="str">
        <f t="shared" si="780"/>
        <v/>
      </c>
      <c r="Z788" s="237" t="str">
        <f>IF(ISBLANK(K788),,Config!$C$3&amp;"&amp;range=BB"&amp;MATCH(K788,FRG!AE:AE,0))</f>
        <v/>
      </c>
      <c r="AB788" s="242" t="str">
        <f>IFERROR(__xludf.DUMMYFUNCTION("IF(ISBLANK(K788),,SUBSTITUTE(IFERROR(JOIN("","",K788:Z788),JOIN("","",K788:Y788)),CHAR(10),""""))"),"")</f>
        <v/>
      </c>
      <c r="AC788" s="229" t="str">
        <f t="shared" si="1"/>
        <v/>
      </c>
    </row>
    <row r="789">
      <c r="K789" s="237"/>
      <c r="L789" s="238" t="str">
        <f t="shared" si="3"/>
        <v/>
      </c>
      <c r="M789" s="237"/>
      <c r="N789" s="238"/>
      <c r="O789" s="238" t="str">
        <f t="shared" si="4"/>
        <v/>
      </c>
      <c r="P789" s="238" t="str">
        <f t="shared" si="5"/>
        <v/>
      </c>
      <c r="Q789" s="238" t="str">
        <f t="shared" si="6"/>
        <v/>
      </c>
      <c r="R789" s="238" t="str">
        <f t="shared" si="7"/>
        <v/>
      </c>
      <c r="S789" s="238" t="str">
        <f t="shared" si="8"/>
        <v/>
      </c>
      <c r="T789" s="238"/>
      <c r="U789" s="237"/>
      <c r="V789" s="238"/>
      <c r="W789" s="238" t="str">
        <f t="shared" si="9"/>
        <v/>
      </c>
      <c r="X789" s="237" t="str">
        <f t="shared" ref="X789:Y789" si="781">IF(ISBLANK(H789),,""""&amp;H789&amp;"""")</f>
        <v/>
      </c>
      <c r="Y789" s="237" t="str">
        <f t="shared" si="781"/>
        <v/>
      </c>
      <c r="Z789" s="237" t="str">
        <f>IF(ISBLANK(K789),,Config!$C$3&amp;"&amp;range=BB"&amp;MATCH(K789,FRG!AE:AE,0))</f>
        <v/>
      </c>
      <c r="AB789" s="242" t="str">
        <f>IFERROR(__xludf.DUMMYFUNCTION("IF(ISBLANK(K789),,SUBSTITUTE(IFERROR(JOIN("","",K789:Z789),JOIN("","",K789:Y789)),CHAR(10),""""))"),"")</f>
        <v/>
      </c>
      <c r="AC789" s="229" t="str">
        <f t="shared" si="1"/>
        <v/>
      </c>
    </row>
    <row r="790">
      <c r="K790" s="237"/>
      <c r="L790" s="238" t="str">
        <f t="shared" si="3"/>
        <v/>
      </c>
      <c r="M790" s="237"/>
      <c r="N790" s="238"/>
      <c r="O790" s="238" t="str">
        <f t="shared" si="4"/>
        <v/>
      </c>
      <c r="P790" s="238" t="str">
        <f t="shared" si="5"/>
        <v/>
      </c>
      <c r="Q790" s="238" t="str">
        <f t="shared" si="6"/>
        <v/>
      </c>
      <c r="R790" s="238" t="str">
        <f t="shared" si="7"/>
        <v/>
      </c>
      <c r="S790" s="238" t="str">
        <f t="shared" si="8"/>
        <v/>
      </c>
      <c r="T790" s="238"/>
      <c r="U790" s="237"/>
      <c r="V790" s="238"/>
      <c r="W790" s="238" t="str">
        <f t="shared" si="9"/>
        <v/>
      </c>
      <c r="X790" s="237" t="str">
        <f t="shared" ref="X790:Y790" si="782">IF(ISBLANK(H790),,""""&amp;H790&amp;"""")</f>
        <v/>
      </c>
      <c r="Y790" s="237" t="str">
        <f t="shared" si="782"/>
        <v/>
      </c>
      <c r="Z790" s="237" t="str">
        <f>IF(ISBLANK(K790),,Config!$C$3&amp;"&amp;range=BB"&amp;MATCH(K790,FRG!AE:AE,0))</f>
        <v/>
      </c>
      <c r="AB790" s="242" t="str">
        <f>IFERROR(__xludf.DUMMYFUNCTION("IF(ISBLANK(K790),,SUBSTITUTE(IFERROR(JOIN("","",K790:Z790),JOIN("","",K790:Y790)),CHAR(10),""""))"),"")</f>
        <v/>
      </c>
      <c r="AC790" s="229" t="str">
        <f t="shared" si="1"/>
        <v/>
      </c>
    </row>
    <row r="791">
      <c r="K791" s="237"/>
      <c r="L791" s="238" t="str">
        <f t="shared" si="3"/>
        <v/>
      </c>
      <c r="M791" s="237"/>
      <c r="N791" s="238"/>
      <c r="O791" s="238" t="str">
        <f t="shared" si="4"/>
        <v/>
      </c>
      <c r="P791" s="238" t="str">
        <f t="shared" si="5"/>
        <v/>
      </c>
      <c r="Q791" s="238" t="str">
        <f t="shared" si="6"/>
        <v/>
      </c>
      <c r="R791" s="238" t="str">
        <f t="shared" si="7"/>
        <v/>
      </c>
      <c r="S791" s="238" t="str">
        <f t="shared" si="8"/>
        <v/>
      </c>
      <c r="T791" s="238"/>
      <c r="U791" s="237"/>
      <c r="V791" s="238"/>
      <c r="W791" s="238" t="str">
        <f t="shared" si="9"/>
        <v/>
      </c>
      <c r="X791" s="237" t="str">
        <f t="shared" ref="X791:Y791" si="783">IF(ISBLANK(H791),,""""&amp;H791&amp;"""")</f>
        <v/>
      </c>
      <c r="Y791" s="237" t="str">
        <f t="shared" si="783"/>
        <v/>
      </c>
      <c r="Z791" s="237" t="str">
        <f>IF(ISBLANK(K791),,Config!$C$3&amp;"&amp;range=BB"&amp;MATCH(K791,FRG!AE:AE,0))</f>
        <v/>
      </c>
      <c r="AB791" s="242" t="str">
        <f>IFERROR(__xludf.DUMMYFUNCTION("IF(ISBLANK(K791),,SUBSTITUTE(IFERROR(JOIN("","",K791:Z791),JOIN("","",K791:Y791)),CHAR(10),""""))"),"")</f>
        <v/>
      </c>
      <c r="AC791" s="229" t="str">
        <f t="shared" si="1"/>
        <v/>
      </c>
    </row>
    <row r="792">
      <c r="K792" s="237"/>
      <c r="L792" s="238" t="str">
        <f t="shared" si="3"/>
        <v/>
      </c>
      <c r="M792" s="237"/>
      <c r="N792" s="238"/>
      <c r="O792" s="238" t="str">
        <f t="shared" si="4"/>
        <v/>
      </c>
      <c r="P792" s="238" t="str">
        <f t="shared" si="5"/>
        <v/>
      </c>
      <c r="Q792" s="238" t="str">
        <f t="shared" si="6"/>
        <v/>
      </c>
      <c r="R792" s="238" t="str">
        <f t="shared" si="7"/>
        <v/>
      </c>
      <c r="S792" s="238" t="str">
        <f t="shared" si="8"/>
        <v/>
      </c>
      <c r="T792" s="238"/>
      <c r="U792" s="237"/>
      <c r="V792" s="238"/>
      <c r="W792" s="238" t="str">
        <f t="shared" si="9"/>
        <v/>
      </c>
      <c r="X792" s="237" t="str">
        <f t="shared" ref="X792:Y792" si="784">IF(ISBLANK(H792),,""""&amp;H792&amp;"""")</f>
        <v/>
      </c>
      <c r="Y792" s="237" t="str">
        <f t="shared" si="784"/>
        <v/>
      </c>
      <c r="Z792" s="237" t="str">
        <f>IF(ISBLANK(K792),,Config!$C$3&amp;"&amp;range=BB"&amp;MATCH(K792,FRG!AE:AE,0))</f>
        <v/>
      </c>
      <c r="AB792" s="242" t="str">
        <f>IFERROR(__xludf.DUMMYFUNCTION("IF(ISBLANK(K792),,SUBSTITUTE(IFERROR(JOIN("","",K792:Z792),JOIN("","",K792:Y792)),CHAR(10),""""))"),"")</f>
        <v/>
      </c>
      <c r="AC792" s="229" t="str">
        <f t="shared" si="1"/>
        <v/>
      </c>
    </row>
    <row r="793">
      <c r="K793" s="237"/>
      <c r="L793" s="238" t="str">
        <f t="shared" si="3"/>
        <v/>
      </c>
      <c r="M793" s="237"/>
      <c r="N793" s="238"/>
      <c r="O793" s="238" t="str">
        <f t="shared" si="4"/>
        <v/>
      </c>
      <c r="P793" s="238" t="str">
        <f t="shared" si="5"/>
        <v/>
      </c>
      <c r="Q793" s="238" t="str">
        <f t="shared" si="6"/>
        <v/>
      </c>
      <c r="R793" s="238" t="str">
        <f t="shared" si="7"/>
        <v/>
      </c>
      <c r="S793" s="238" t="str">
        <f t="shared" si="8"/>
        <v/>
      </c>
      <c r="T793" s="238"/>
      <c r="U793" s="237"/>
      <c r="V793" s="238"/>
      <c r="W793" s="238" t="str">
        <f t="shared" si="9"/>
        <v/>
      </c>
      <c r="X793" s="237" t="str">
        <f t="shared" ref="X793:Y793" si="785">IF(ISBLANK(H793),,""""&amp;H793&amp;"""")</f>
        <v/>
      </c>
      <c r="Y793" s="237" t="str">
        <f t="shared" si="785"/>
        <v/>
      </c>
      <c r="Z793" s="237" t="str">
        <f>IF(ISBLANK(K793),,Config!$C$3&amp;"&amp;range=BB"&amp;MATCH(K793,FRG!AE:AE,0))</f>
        <v/>
      </c>
      <c r="AB793" s="242" t="str">
        <f>IFERROR(__xludf.DUMMYFUNCTION("IF(ISBLANK(K793),,SUBSTITUTE(IFERROR(JOIN("","",K793:Z793),JOIN("","",K793:Y793)),CHAR(10),""""))"),"")</f>
        <v/>
      </c>
      <c r="AC793" s="229" t="str">
        <f t="shared" si="1"/>
        <v/>
      </c>
    </row>
    <row r="794">
      <c r="K794" s="237"/>
      <c r="L794" s="238" t="str">
        <f t="shared" si="3"/>
        <v/>
      </c>
      <c r="M794" s="237"/>
      <c r="N794" s="238"/>
      <c r="O794" s="238" t="str">
        <f t="shared" si="4"/>
        <v/>
      </c>
      <c r="P794" s="238" t="str">
        <f t="shared" si="5"/>
        <v/>
      </c>
      <c r="Q794" s="238" t="str">
        <f t="shared" si="6"/>
        <v/>
      </c>
      <c r="R794" s="238" t="str">
        <f t="shared" si="7"/>
        <v/>
      </c>
      <c r="S794" s="238" t="str">
        <f t="shared" si="8"/>
        <v/>
      </c>
      <c r="T794" s="238"/>
      <c r="U794" s="237"/>
      <c r="V794" s="238"/>
      <c r="W794" s="238" t="str">
        <f t="shared" si="9"/>
        <v/>
      </c>
      <c r="X794" s="237" t="str">
        <f t="shared" ref="X794:Y794" si="786">IF(ISBLANK(H794),,""""&amp;H794&amp;"""")</f>
        <v/>
      </c>
      <c r="Y794" s="237" t="str">
        <f t="shared" si="786"/>
        <v/>
      </c>
      <c r="Z794" s="237" t="str">
        <f>IF(ISBLANK(K794),,Config!$C$3&amp;"&amp;range=BB"&amp;MATCH(K794,FRG!AE:AE,0))</f>
        <v/>
      </c>
      <c r="AB794" s="242" t="str">
        <f>IFERROR(__xludf.DUMMYFUNCTION("IF(ISBLANK(K794),,SUBSTITUTE(IFERROR(JOIN("","",K794:Z794),JOIN("","",K794:Y794)),CHAR(10),""""))"),"")</f>
        <v/>
      </c>
      <c r="AC794" s="229" t="str">
        <f t="shared" si="1"/>
        <v/>
      </c>
    </row>
    <row r="795">
      <c r="K795" s="237"/>
      <c r="L795" s="238" t="str">
        <f t="shared" si="3"/>
        <v/>
      </c>
      <c r="M795" s="237"/>
      <c r="N795" s="238"/>
      <c r="O795" s="238" t="str">
        <f t="shared" si="4"/>
        <v/>
      </c>
      <c r="P795" s="238" t="str">
        <f t="shared" si="5"/>
        <v/>
      </c>
      <c r="Q795" s="238" t="str">
        <f t="shared" si="6"/>
        <v/>
      </c>
      <c r="R795" s="238" t="str">
        <f t="shared" si="7"/>
        <v/>
      </c>
      <c r="S795" s="238" t="str">
        <f t="shared" si="8"/>
        <v/>
      </c>
      <c r="T795" s="238"/>
      <c r="U795" s="237"/>
      <c r="V795" s="238"/>
      <c r="W795" s="238" t="str">
        <f t="shared" si="9"/>
        <v/>
      </c>
      <c r="X795" s="237" t="str">
        <f t="shared" ref="X795:Y795" si="787">IF(ISBLANK(H795),,""""&amp;H795&amp;"""")</f>
        <v/>
      </c>
      <c r="Y795" s="237" t="str">
        <f t="shared" si="787"/>
        <v/>
      </c>
      <c r="Z795" s="237" t="str">
        <f>IF(ISBLANK(K795),,Config!$C$3&amp;"&amp;range=BB"&amp;MATCH(K795,FRG!AE:AE,0))</f>
        <v/>
      </c>
      <c r="AB795" s="242" t="str">
        <f>IFERROR(__xludf.DUMMYFUNCTION("IF(ISBLANK(K795),,SUBSTITUTE(IFERROR(JOIN("","",K795:Z795),JOIN("","",K795:Y795)),CHAR(10),""""))"),"")</f>
        <v/>
      </c>
      <c r="AC795" s="229" t="str">
        <f t="shared" si="1"/>
        <v/>
      </c>
    </row>
    <row r="796">
      <c r="K796" s="237"/>
      <c r="L796" s="238" t="str">
        <f t="shared" si="3"/>
        <v/>
      </c>
      <c r="M796" s="237"/>
      <c r="N796" s="238"/>
      <c r="O796" s="238" t="str">
        <f t="shared" si="4"/>
        <v/>
      </c>
      <c r="P796" s="238" t="str">
        <f t="shared" si="5"/>
        <v/>
      </c>
      <c r="Q796" s="238" t="str">
        <f t="shared" si="6"/>
        <v/>
      </c>
      <c r="R796" s="238" t="str">
        <f t="shared" si="7"/>
        <v/>
      </c>
      <c r="S796" s="238" t="str">
        <f t="shared" si="8"/>
        <v/>
      </c>
      <c r="T796" s="238"/>
      <c r="U796" s="237"/>
      <c r="V796" s="238"/>
      <c r="W796" s="238" t="str">
        <f t="shared" si="9"/>
        <v/>
      </c>
      <c r="X796" s="237" t="str">
        <f t="shared" ref="X796:Y796" si="788">IF(ISBLANK(H796),,""""&amp;H796&amp;"""")</f>
        <v/>
      </c>
      <c r="Y796" s="237" t="str">
        <f t="shared" si="788"/>
        <v/>
      </c>
      <c r="Z796" s="237" t="str">
        <f>IF(ISBLANK(K796),,Config!$C$3&amp;"&amp;range=BB"&amp;MATCH(K796,FRG!AE:AE,0))</f>
        <v/>
      </c>
      <c r="AB796" s="242" t="str">
        <f>IFERROR(__xludf.DUMMYFUNCTION("IF(ISBLANK(K796),,SUBSTITUTE(IFERROR(JOIN("","",K796:Z796),JOIN("","",K796:Y796)),CHAR(10),""""))"),"")</f>
        <v/>
      </c>
      <c r="AC796" s="229" t="str">
        <f t="shared" si="1"/>
        <v/>
      </c>
    </row>
    <row r="797">
      <c r="K797" s="237"/>
      <c r="L797" s="238" t="str">
        <f t="shared" si="3"/>
        <v/>
      </c>
      <c r="M797" s="237"/>
      <c r="N797" s="238"/>
      <c r="O797" s="238" t="str">
        <f t="shared" si="4"/>
        <v/>
      </c>
      <c r="P797" s="238" t="str">
        <f t="shared" si="5"/>
        <v/>
      </c>
      <c r="Q797" s="238" t="str">
        <f t="shared" si="6"/>
        <v/>
      </c>
      <c r="R797" s="238" t="str">
        <f t="shared" si="7"/>
        <v/>
      </c>
      <c r="S797" s="238" t="str">
        <f t="shared" si="8"/>
        <v/>
      </c>
      <c r="T797" s="238"/>
      <c r="U797" s="237"/>
      <c r="V797" s="238"/>
      <c r="W797" s="238" t="str">
        <f t="shared" si="9"/>
        <v/>
      </c>
      <c r="X797" s="237" t="str">
        <f t="shared" ref="X797:Y797" si="789">IF(ISBLANK(H797),,""""&amp;H797&amp;"""")</f>
        <v/>
      </c>
      <c r="Y797" s="237" t="str">
        <f t="shared" si="789"/>
        <v/>
      </c>
      <c r="Z797" s="237" t="str">
        <f>IF(ISBLANK(K797),,Config!$C$3&amp;"&amp;range=BB"&amp;MATCH(K797,FRG!AE:AE,0))</f>
        <v/>
      </c>
      <c r="AB797" s="242" t="str">
        <f>IFERROR(__xludf.DUMMYFUNCTION("IF(ISBLANK(K797),,SUBSTITUTE(IFERROR(JOIN("","",K797:Z797),JOIN("","",K797:Y797)),CHAR(10),""""))"),"")</f>
        <v/>
      </c>
      <c r="AC797" s="229" t="str">
        <f t="shared" si="1"/>
        <v/>
      </c>
    </row>
    <row r="798">
      <c r="K798" s="237"/>
      <c r="L798" s="238" t="str">
        <f t="shared" si="3"/>
        <v/>
      </c>
      <c r="M798" s="237"/>
      <c r="N798" s="238"/>
      <c r="O798" s="238" t="str">
        <f t="shared" si="4"/>
        <v/>
      </c>
      <c r="P798" s="238" t="str">
        <f t="shared" si="5"/>
        <v/>
      </c>
      <c r="Q798" s="238" t="str">
        <f t="shared" si="6"/>
        <v/>
      </c>
      <c r="R798" s="238" t="str">
        <f t="shared" si="7"/>
        <v/>
      </c>
      <c r="S798" s="238" t="str">
        <f t="shared" si="8"/>
        <v/>
      </c>
      <c r="T798" s="238"/>
      <c r="U798" s="237"/>
      <c r="V798" s="238"/>
      <c r="W798" s="238" t="str">
        <f t="shared" si="9"/>
        <v/>
      </c>
      <c r="X798" s="237" t="str">
        <f t="shared" ref="X798:Y798" si="790">IF(ISBLANK(H798),,""""&amp;H798&amp;"""")</f>
        <v/>
      </c>
      <c r="Y798" s="237" t="str">
        <f t="shared" si="790"/>
        <v/>
      </c>
      <c r="Z798" s="237" t="str">
        <f>IF(ISBLANK(K798),,Config!$C$3&amp;"&amp;range=BB"&amp;MATCH(K798,FRG!AE:AE,0))</f>
        <v/>
      </c>
      <c r="AB798" s="242" t="str">
        <f>IFERROR(__xludf.DUMMYFUNCTION("IF(ISBLANK(K798),,SUBSTITUTE(IFERROR(JOIN("","",K798:Z798),JOIN("","",K798:Y798)),CHAR(10),""""))"),"")</f>
        <v/>
      </c>
      <c r="AC798" s="229" t="str">
        <f t="shared" si="1"/>
        <v/>
      </c>
    </row>
    <row r="799">
      <c r="K799" s="237"/>
      <c r="L799" s="238" t="str">
        <f t="shared" si="3"/>
        <v/>
      </c>
      <c r="M799" s="237"/>
      <c r="N799" s="238"/>
      <c r="O799" s="238" t="str">
        <f t="shared" si="4"/>
        <v/>
      </c>
      <c r="P799" s="238" t="str">
        <f t="shared" si="5"/>
        <v/>
      </c>
      <c r="Q799" s="238" t="str">
        <f t="shared" si="6"/>
        <v/>
      </c>
      <c r="R799" s="238" t="str">
        <f t="shared" si="7"/>
        <v/>
      </c>
      <c r="S799" s="238" t="str">
        <f t="shared" si="8"/>
        <v/>
      </c>
      <c r="T799" s="238"/>
      <c r="U799" s="237"/>
      <c r="V799" s="238"/>
      <c r="W799" s="238" t="str">
        <f t="shared" si="9"/>
        <v/>
      </c>
      <c r="X799" s="237" t="str">
        <f t="shared" ref="X799:Y799" si="791">IF(ISBLANK(H799),,""""&amp;H799&amp;"""")</f>
        <v/>
      </c>
      <c r="Y799" s="237" t="str">
        <f t="shared" si="791"/>
        <v/>
      </c>
      <c r="Z799" s="237" t="str">
        <f>IF(ISBLANK(K799),,Config!$C$3&amp;"&amp;range=BB"&amp;MATCH(K799,FRG!AE:AE,0))</f>
        <v/>
      </c>
      <c r="AB799" s="242" t="str">
        <f>IFERROR(__xludf.DUMMYFUNCTION("IF(ISBLANK(K799),,SUBSTITUTE(IFERROR(JOIN("","",K799:Z799),JOIN("","",K799:Y799)),CHAR(10),""""))"),"")</f>
        <v/>
      </c>
      <c r="AC799" s="229" t="str">
        <f t="shared" si="1"/>
        <v/>
      </c>
    </row>
    <row r="800">
      <c r="K800" s="237"/>
      <c r="L800" s="238" t="str">
        <f t="shared" si="3"/>
        <v/>
      </c>
      <c r="M800" s="237"/>
      <c r="N800" s="238"/>
      <c r="O800" s="238" t="str">
        <f t="shared" si="4"/>
        <v/>
      </c>
      <c r="P800" s="238" t="str">
        <f t="shared" si="5"/>
        <v/>
      </c>
      <c r="Q800" s="238" t="str">
        <f t="shared" si="6"/>
        <v/>
      </c>
      <c r="R800" s="238" t="str">
        <f t="shared" si="7"/>
        <v/>
      </c>
      <c r="S800" s="238" t="str">
        <f t="shared" si="8"/>
        <v/>
      </c>
      <c r="T800" s="238"/>
      <c r="U800" s="237"/>
      <c r="V800" s="238"/>
      <c r="W800" s="238" t="str">
        <f t="shared" si="9"/>
        <v/>
      </c>
      <c r="X800" s="237" t="str">
        <f t="shared" ref="X800:Y800" si="792">IF(ISBLANK(H800),,""""&amp;H800&amp;"""")</f>
        <v/>
      </c>
      <c r="Y800" s="237" t="str">
        <f t="shared" si="792"/>
        <v/>
      </c>
      <c r="Z800" s="237" t="str">
        <f>IF(ISBLANK(K800),,Config!$C$3&amp;"&amp;range=BB"&amp;MATCH(K800,FRG!AE:AE,0))</f>
        <v/>
      </c>
      <c r="AB800" s="242" t="str">
        <f>IFERROR(__xludf.DUMMYFUNCTION("IF(ISBLANK(K800),,SUBSTITUTE(IFERROR(JOIN("","",K800:Z800),JOIN("","",K800:Y800)),CHAR(10),""""))"),"")</f>
        <v/>
      </c>
      <c r="AC800" s="229" t="str">
        <f t="shared" si="1"/>
        <v/>
      </c>
    </row>
    <row r="801">
      <c r="K801" s="237"/>
      <c r="L801" s="238" t="str">
        <f t="shared" si="3"/>
        <v/>
      </c>
      <c r="M801" s="237"/>
      <c r="N801" s="238"/>
      <c r="O801" s="238" t="str">
        <f t="shared" si="4"/>
        <v/>
      </c>
      <c r="P801" s="238" t="str">
        <f t="shared" si="5"/>
        <v/>
      </c>
      <c r="Q801" s="238" t="str">
        <f t="shared" si="6"/>
        <v/>
      </c>
      <c r="R801" s="238" t="str">
        <f t="shared" si="7"/>
        <v/>
      </c>
      <c r="S801" s="238" t="str">
        <f t="shared" si="8"/>
        <v/>
      </c>
      <c r="T801" s="238"/>
      <c r="U801" s="237"/>
      <c r="V801" s="238"/>
      <c r="W801" s="238" t="str">
        <f t="shared" si="9"/>
        <v/>
      </c>
      <c r="X801" s="237" t="str">
        <f t="shared" ref="X801:Y801" si="793">IF(ISBLANK(H801),,""""&amp;H801&amp;"""")</f>
        <v/>
      </c>
      <c r="Y801" s="237" t="str">
        <f t="shared" si="793"/>
        <v/>
      </c>
      <c r="Z801" s="237" t="str">
        <f>IF(ISBLANK(K801),,Config!$C$3&amp;"&amp;range=BB"&amp;MATCH(K801,FRG!AE:AE,0))</f>
        <v/>
      </c>
      <c r="AB801" s="242" t="str">
        <f>IFERROR(__xludf.DUMMYFUNCTION("IF(ISBLANK(K801),,SUBSTITUTE(IFERROR(JOIN("","",K801:Z801),JOIN("","",K801:Y801)),CHAR(10),""""))"),"")</f>
        <v/>
      </c>
      <c r="AC801" s="229" t="str">
        <f t="shared" si="1"/>
        <v/>
      </c>
    </row>
    <row r="802">
      <c r="K802" s="237"/>
      <c r="L802" s="238" t="str">
        <f t="shared" si="3"/>
        <v/>
      </c>
      <c r="M802" s="237"/>
      <c r="N802" s="238"/>
      <c r="O802" s="238" t="str">
        <f t="shared" si="4"/>
        <v/>
      </c>
      <c r="P802" s="238" t="str">
        <f t="shared" si="5"/>
        <v/>
      </c>
      <c r="Q802" s="238" t="str">
        <f t="shared" si="6"/>
        <v/>
      </c>
      <c r="R802" s="238" t="str">
        <f t="shared" si="7"/>
        <v/>
      </c>
      <c r="S802" s="238" t="str">
        <f t="shared" si="8"/>
        <v/>
      </c>
      <c r="T802" s="238"/>
      <c r="U802" s="237"/>
      <c r="V802" s="238"/>
      <c r="W802" s="238" t="str">
        <f t="shared" si="9"/>
        <v/>
      </c>
      <c r="X802" s="237" t="str">
        <f t="shared" ref="X802:Y802" si="794">IF(ISBLANK(H802),,""""&amp;H802&amp;"""")</f>
        <v/>
      </c>
      <c r="Y802" s="237" t="str">
        <f t="shared" si="794"/>
        <v/>
      </c>
      <c r="Z802" s="237" t="str">
        <f>IF(ISBLANK(K802),,Config!$C$3&amp;"&amp;range=BB"&amp;MATCH(K802,FRG!AE:AE,0))</f>
        <v/>
      </c>
      <c r="AB802" s="242" t="str">
        <f>IFERROR(__xludf.DUMMYFUNCTION("IF(ISBLANK(K802),,SUBSTITUTE(IFERROR(JOIN("","",K802:Z802),JOIN("","",K802:Y802)),CHAR(10),""""))"),"")</f>
        <v/>
      </c>
      <c r="AC802" s="229" t="str">
        <f t="shared" si="1"/>
        <v/>
      </c>
    </row>
    <row r="803">
      <c r="K803" s="237"/>
      <c r="L803" s="238" t="str">
        <f t="shared" si="3"/>
        <v/>
      </c>
      <c r="M803" s="237"/>
      <c r="N803" s="238"/>
      <c r="O803" s="238" t="str">
        <f t="shared" si="4"/>
        <v/>
      </c>
      <c r="P803" s="238" t="str">
        <f t="shared" si="5"/>
        <v/>
      </c>
      <c r="Q803" s="238" t="str">
        <f t="shared" si="6"/>
        <v/>
      </c>
      <c r="R803" s="238" t="str">
        <f t="shared" si="7"/>
        <v/>
      </c>
      <c r="S803" s="238" t="str">
        <f t="shared" si="8"/>
        <v/>
      </c>
      <c r="T803" s="238"/>
      <c r="U803" s="237"/>
      <c r="V803" s="238"/>
      <c r="W803" s="238" t="str">
        <f t="shared" si="9"/>
        <v/>
      </c>
      <c r="X803" s="237" t="str">
        <f t="shared" ref="X803:Y803" si="795">IF(ISBLANK(H803),,""""&amp;H803&amp;"""")</f>
        <v/>
      </c>
      <c r="Y803" s="237" t="str">
        <f t="shared" si="795"/>
        <v/>
      </c>
      <c r="Z803" s="237" t="str">
        <f>IF(ISBLANK(K803),,Config!$C$3&amp;"&amp;range=BB"&amp;MATCH(K803,FRG!AE:AE,0))</f>
        <v/>
      </c>
      <c r="AB803" s="242" t="str">
        <f>IFERROR(__xludf.DUMMYFUNCTION("IF(ISBLANK(K803),,SUBSTITUTE(IFERROR(JOIN("","",K803:Z803),JOIN("","",K803:Y803)),CHAR(10),""""))"),"")</f>
        <v/>
      </c>
      <c r="AC803" s="229" t="str">
        <f t="shared" si="1"/>
        <v/>
      </c>
    </row>
    <row r="804">
      <c r="K804" s="237"/>
      <c r="L804" s="238" t="str">
        <f t="shared" si="3"/>
        <v/>
      </c>
      <c r="M804" s="237"/>
      <c r="N804" s="238"/>
      <c r="O804" s="238" t="str">
        <f t="shared" si="4"/>
        <v/>
      </c>
      <c r="P804" s="238" t="str">
        <f t="shared" si="5"/>
        <v/>
      </c>
      <c r="Q804" s="238" t="str">
        <f t="shared" si="6"/>
        <v/>
      </c>
      <c r="R804" s="238" t="str">
        <f t="shared" si="7"/>
        <v/>
      </c>
      <c r="S804" s="238" t="str">
        <f t="shared" si="8"/>
        <v/>
      </c>
      <c r="T804" s="238"/>
      <c r="U804" s="237"/>
      <c r="V804" s="238"/>
      <c r="W804" s="238" t="str">
        <f t="shared" si="9"/>
        <v/>
      </c>
      <c r="X804" s="237" t="str">
        <f t="shared" ref="X804:Y804" si="796">IF(ISBLANK(H804),,""""&amp;H804&amp;"""")</f>
        <v/>
      </c>
      <c r="Y804" s="237" t="str">
        <f t="shared" si="796"/>
        <v/>
      </c>
      <c r="Z804" s="237" t="str">
        <f>IF(ISBLANK(K804),,Config!$C$3&amp;"&amp;range=BB"&amp;MATCH(K804,FRG!AE:AE,0))</f>
        <v/>
      </c>
      <c r="AB804" s="242" t="str">
        <f>IFERROR(__xludf.DUMMYFUNCTION("IF(ISBLANK(K804),,SUBSTITUTE(IFERROR(JOIN("","",K804:Z804),JOIN("","",K804:Y804)),CHAR(10),""""))"),"")</f>
        <v/>
      </c>
      <c r="AC804" s="229" t="str">
        <f t="shared" si="1"/>
        <v/>
      </c>
    </row>
    <row r="805">
      <c r="K805" s="237"/>
      <c r="L805" s="238" t="str">
        <f t="shared" si="3"/>
        <v/>
      </c>
      <c r="M805" s="237"/>
      <c r="N805" s="238"/>
      <c r="O805" s="238" t="str">
        <f t="shared" si="4"/>
        <v/>
      </c>
      <c r="P805" s="238" t="str">
        <f t="shared" si="5"/>
        <v/>
      </c>
      <c r="Q805" s="238" t="str">
        <f t="shared" si="6"/>
        <v/>
      </c>
      <c r="R805" s="238" t="str">
        <f t="shared" si="7"/>
        <v/>
      </c>
      <c r="S805" s="238" t="str">
        <f t="shared" si="8"/>
        <v/>
      </c>
      <c r="T805" s="238"/>
      <c r="U805" s="237"/>
      <c r="V805" s="238"/>
      <c r="W805" s="238" t="str">
        <f t="shared" si="9"/>
        <v/>
      </c>
      <c r="X805" s="237" t="str">
        <f t="shared" ref="X805:Y805" si="797">IF(ISBLANK(H805),,""""&amp;H805&amp;"""")</f>
        <v/>
      </c>
      <c r="Y805" s="237" t="str">
        <f t="shared" si="797"/>
        <v/>
      </c>
      <c r="Z805" s="237" t="str">
        <f>IF(ISBLANK(K805),,Config!$C$3&amp;"&amp;range=BB"&amp;MATCH(K805,FRG!AE:AE,0))</f>
        <v/>
      </c>
      <c r="AB805" s="242" t="str">
        <f>IFERROR(__xludf.DUMMYFUNCTION("IF(ISBLANK(K805),,SUBSTITUTE(IFERROR(JOIN("","",K805:Z805),JOIN("","",K805:Y805)),CHAR(10),""""))"),"")</f>
        <v/>
      </c>
      <c r="AC805" s="229" t="str">
        <f t="shared" si="1"/>
        <v/>
      </c>
    </row>
    <row r="806">
      <c r="K806" s="237"/>
      <c r="L806" s="238" t="str">
        <f t="shared" si="3"/>
        <v/>
      </c>
      <c r="M806" s="237"/>
      <c r="N806" s="238"/>
      <c r="O806" s="238" t="str">
        <f t="shared" si="4"/>
        <v/>
      </c>
      <c r="P806" s="238" t="str">
        <f t="shared" si="5"/>
        <v/>
      </c>
      <c r="Q806" s="238" t="str">
        <f t="shared" si="6"/>
        <v/>
      </c>
      <c r="R806" s="238" t="str">
        <f t="shared" si="7"/>
        <v/>
      </c>
      <c r="S806" s="238" t="str">
        <f t="shared" si="8"/>
        <v/>
      </c>
      <c r="T806" s="238"/>
      <c r="U806" s="237"/>
      <c r="V806" s="238"/>
      <c r="W806" s="238" t="str">
        <f t="shared" si="9"/>
        <v/>
      </c>
      <c r="X806" s="237" t="str">
        <f t="shared" ref="X806:Y806" si="798">IF(ISBLANK(H806),,""""&amp;H806&amp;"""")</f>
        <v/>
      </c>
      <c r="Y806" s="237" t="str">
        <f t="shared" si="798"/>
        <v/>
      </c>
      <c r="Z806" s="237" t="str">
        <f>IF(ISBLANK(K806),,Config!$C$3&amp;"&amp;range=BB"&amp;MATCH(K806,FRG!AE:AE,0))</f>
        <v/>
      </c>
      <c r="AB806" s="242" t="str">
        <f>IFERROR(__xludf.DUMMYFUNCTION("IF(ISBLANK(K806),,SUBSTITUTE(IFERROR(JOIN("","",K806:Z806),JOIN("","",K806:Y806)),CHAR(10),""""))"),"")</f>
        <v/>
      </c>
      <c r="AC806" s="229" t="str">
        <f t="shared" si="1"/>
        <v/>
      </c>
    </row>
    <row r="807">
      <c r="K807" s="237"/>
      <c r="L807" s="238" t="str">
        <f t="shared" si="3"/>
        <v/>
      </c>
      <c r="M807" s="237"/>
      <c r="N807" s="238"/>
      <c r="O807" s="238" t="str">
        <f t="shared" si="4"/>
        <v/>
      </c>
      <c r="P807" s="238" t="str">
        <f t="shared" si="5"/>
        <v/>
      </c>
      <c r="Q807" s="238" t="str">
        <f t="shared" si="6"/>
        <v/>
      </c>
      <c r="R807" s="238" t="str">
        <f t="shared" si="7"/>
        <v/>
      </c>
      <c r="S807" s="238" t="str">
        <f t="shared" si="8"/>
        <v/>
      </c>
      <c r="T807" s="238"/>
      <c r="U807" s="237"/>
      <c r="V807" s="238"/>
      <c r="W807" s="238" t="str">
        <f t="shared" si="9"/>
        <v/>
      </c>
      <c r="X807" s="237" t="str">
        <f t="shared" ref="X807:Y807" si="799">IF(ISBLANK(H807),,""""&amp;H807&amp;"""")</f>
        <v/>
      </c>
      <c r="Y807" s="237" t="str">
        <f t="shared" si="799"/>
        <v/>
      </c>
      <c r="Z807" s="237" t="str">
        <f>IF(ISBLANK(K807),,Config!$C$3&amp;"&amp;range=BB"&amp;MATCH(K807,FRG!AE:AE,0))</f>
        <v/>
      </c>
      <c r="AB807" s="242" t="str">
        <f>IFERROR(__xludf.DUMMYFUNCTION("IF(ISBLANK(K807),,SUBSTITUTE(IFERROR(JOIN("","",K807:Z807),JOIN("","",K807:Y807)),CHAR(10),""""))"),"")</f>
        <v/>
      </c>
      <c r="AC807" s="229" t="str">
        <f t="shared" si="1"/>
        <v/>
      </c>
    </row>
    <row r="808">
      <c r="K808" s="237"/>
      <c r="L808" s="238" t="str">
        <f t="shared" si="3"/>
        <v/>
      </c>
      <c r="M808" s="237"/>
      <c r="N808" s="238"/>
      <c r="O808" s="238" t="str">
        <f t="shared" si="4"/>
        <v/>
      </c>
      <c r="P808" s="238" t="str">
        <f t="shared" si="5"/>
        <v/>
      </c>
      <c r="Q808" s="238" t="str">
        <f t="shared" si="6"/>
        <v/>
      </c>
      <c r="R808" s="238" t="str">
        <f t="shared" si="7"/>
        <v/>
      </c>
      <c r="S808" s="238" t="str">
        <f t="shared" si="8"/>
        <v/>
      </c>
      <c r="T808" s="238"/>
      <c r="U808" s="237"/>
      <c r="V808" s="238"/>
      <c r="W808" s="238" t="str">
        <f t="shared" si="9"/>
        <v/>
      </c>
      <c r="X808" s="237" t="str">
        <f t="shared" ref="X808:Y808" si="800">IF(ISBLANK(H808),,""""&amp;H808&amp;"""")</f>
        <v/>
      </c>
      <c r="Y808" s="237" t="str">
        <f t="shared" si="800"/>
        <v/>
      </c>
      <c r="Z808" s="237" t="str">
        <f>IF(ISBLANK(K808),,Config!$C$3&amp;"&amp;range=BB"&amp;MATCH(K808,FRG!AE:AE,0))</f>
        <v/>
      </c>
      <c r="AB808" s="242" t="str">
        <f>IFERROR(__xludf.DUMMYFUNCTION("IF(ISBLANK(K808),,SUBSTITUTE(IFERROR(JOIN("","",K808:Z808),JOIN("","",K808:Y808)),CHAR(10),""""))"),"")</f>
        <v/>
      </c>
      <c r="AC808" s="229" t="str">
        <f t="shared" si="1"/>
        <v/>
      </c>
    </row>
    <row r="809">
      <c r="K809" s="237"/>
      <c r="L809" s="238" t="str">
        <f t="shared" si="3"/>
        <v/>
      </c>
      <c r="M809" s="237"/>
      <c r="N809" s="238"/>
      <c r="O809" s="238" t="str">
        <f t="shared" si="4"/>
        <v/>
      </c>
      <c r="P809" s="238" t="str">
        <f t="shared" si="5"/>
        <v/>
      </c>
      <c r="Q809" s="238" t="str">
        <f t="shared" si="6"/>
        <v/>
      </c>
      <c r="R809" s="238" t="str">
        <f t="shared" si="7"/>
        <v/>
      </c>
      <c r="S809" s="238" t="str">
        <f t="shared" si="8"/>
        <v/>
      </c>
      <c r="T809" s="238"/>
      <c r="U809" s="237"/>
      <c r="V809" s="238"/>
      <c r="W809" s="238" t="str">
        <f t="shared" si="9"/>
        <v/>
      </c>
      <c r="X809" s="237" t="str">
        <f t="shared" ref="X809:Y809" si="801">IF(ISBLANK(H809),,""""&amp;H809&amp;"""")</f>
        <v/>
      </c>
      <c r="Y809" s="237" t="str">
        <f t="shared" si="801"/>
        <v/>
      </c>
      <c r="Z809" s="237" t="str">
        <f>IF(ISBLANK(K809),,Config!$C$3&amp;"&amp;range=BB"&amp;MATCH(K809,FRG!AE:AE,0))</f>
        <v/>
      </c>
      <c r="AB809" s="242" t="str">
        <f>IFERROR(__xludf.DUMMYFUNCTION("IF(ISBLANK(K809),,SUBSTITUTE(IFERROR(JOIN("","",K809:Z809),JOIN("","",K809:Y809)),CHAR(10),""""))"),"")</f>
        <v/>
      </c>
      <c r="AC809" s="229" t="str">
        <f t="shared" si="1"/>
        <v/>
      </c>
    </row>
    <row r="810">
      <c r="K810" s="237"/>
      <c r="L810" s="238" t="str">
        <f t="shared" si="3"/>
        <v/>
      </c>
      <c r="M810" s="237"/>
      <c r="N810" s="238"/>
      <c r="O810" s="238" t="str">
        <f t="shared" si="4"/>
        <v/>
      </c>
      <c r="P810" s="238" t="str">
        <f t="shared" si="5"/>
        <v/>
      </c>
      <c r="Q810" s="238" t="str">
        <f t="shared" si="6"/>
        <v/>
      </c>
      <c r="R810" s="238" t="str">
        <f t="shared" si="7"/>
        <v/>
      </c>
      <c r="S810" s="238" t="str">
        <f t="shared" si="8"/>
        <v/>
      </c>
      <c r="T810" s="238"/>
      <c r="U810" s="237"/>
      <c r="V810" s="238"/>
      <c r="W810" s="238" t="str">
        <f t="shared" si="9"/>
        <v/>
      </c>
      <c r="X810" s="237" t="str">
        <f t="shared" ref="X810:Y810" si="802">IF(ISBLANK(H810),,""""&amp;H810&amp;"""")</f>
        <v/>
      </c>
      <c r="Y810" s="237" t="str">
        <f t="shared" si="802"/>
        <v/>
      </c>
      <c r="Z810" s="237" t="str">
        <f>IF(ISBLANK(K810),,Config!$C$3&amp;"&amp;range=BB"&amp;MATCH(K810,FRG!AE:AE,0))</f>
        <v/>
      </c>
      <c r="AB810" s="242" t="str">
        <f>IFERROR(__xludf.DUMMYFUNCTION("IF(ISBLANK(K810),,SUBSTITUTE(IFERROR(JOIN("","",K810:Z810),JOIN("","",K810:Y810)),CHAR(10),""""))"),"")</f>
        <v/>
      </c>
      <c r="AC810" s="229" t="str">
        <f t="shared" si="1"/>
        <v/>
      </c>
    </row>
    <row r="811">
      <c r="K811" s="237"/>
      <c r="L811" s="238" t="str">
        <f t="shared" si="3"/>
        <v/>
      </c>
      <c r="M811" s="237"/>
      <c r="N811" s="238"/>
      <c r="O811" s="238" t="str">
        <f t="shared" si="4"/>
        <v/>
      </c>
      <c r="P811" s="238" t="str">
        <f t="shared" si="5"/>
        <v/>
      </c>
      <c r="Q811" s="238" t="str">
        <f t="shared" si="6"/>
        <v/>
      </c>
      <c r="R811" s="238" t="str">
        <f t="shared" si="7"/>
        <v/>
      </c>
      <c r="S811" s="238" t="str">
        <f t="shared" si="8"/>
        <v/>
      </c>
      <c r="T811" s="238"/>
      <c r="U811" s="237"/>
      <c r="V811" s="238"/>
      <c r="W811" s="238" t="str">
        <f t="shared" si="9"/>
        <v/>
      </c>
      <c r="X811" s="237" t="str">
        <f t="shared" ref="X811:Y811" si="803">IF(ISBLANK(H811),,""""&amp;H811&amp;"""")</f>
        <v/>
      </c>
      <c r="Y811" s="237" t="str">
        <f t="shared" si="803"/>
        <v/>
      </c>
      <c r="Z811" s="237" t="str">
        <f>IF(ISBLANK(K811),,Config!$C$3&amp;"&amp;range=BB"&amp;MATCH(K811,FRG!AE:AE,0))</f>
        <v/>
      </c>
      <c r="AB811" s="242" t="str">
        <f>IFERROR(__xludf.DUMMYFUNCTION("IF(ISBLANK(K811),,SUBSTITUTE(IFERROR(JOIN("","",K811:Z811),JOIN("","",K811:Y811)),CHAR(10),""""))"),"")</f>
        <v/>
      </c>
      <c r="AC811" s="229" t="str">
        <f t="shared" si="1"/>
        <v/>
      </c>
    </row>
    <row r="812">
      <c r="K812" s="237"/>
      <c r="L812" s="238" t="str">
        <f t="shared" si="3"/>
        <v/>
      </c>
      <c r="M812" s="237"/>
      <c r="N812" s="238"/>
      <c r="O812" s="238" t="str">
        <f t="shared" si="4"/>
        <v/>
      </c>
      <c r="P812" s="238" t="str">
        <f t="shared" si="5"/>
        <v/>
      </c>
      <c r="Q812" s="238" t="str">
        <f t="shared" si="6"/>
        <v/>
      </c>
      <c r="R812" s="238" t="str">
        <f t="shared" si="7"/>
        <v/>
      </c>
      <c r="S812" s="238" t="str">
        <f t="shared" si="8"/>
        <v/>
      </c>
      <c r="T812" s="238"/>
      <c r="U812" s="237"/>
      <c r="V812" s="238"/>
      <c r="W812" s="238" t="str">
        <f t="shared" si="9"/>
        <v/>
      </c>
      <c r="X812" s="237" t="str">
        <f t="shared" ref="X812:Y812" si="804">IF(ISBLANK(H812),,""""&amp;H812&amp;"""")</f>
        <v/>
      </c>
      <c r="Y812" s="237" t="str">
        <f t="shared" si="804"/>
        <v/>
      </c>
      <c r="Z812" s="237" t="str">
        <f>IF(ISBLANK(K812),,Config!$C$3&amp;"&amp;range=BB"&amp;MATCH(K812,FRG!AE:AE,0))</f>
        <v/>
      </c>
      <c r="AB812" s="242" t="str">
        <f>IFERROR(__xludf.DUMMYFUNCTION("IF(ISBLANK(K812),,SUBSTITUTE(IFERROR(JOIN("","",K812:Z812),JOIN("","",K812:Y812)),CHAR(10),""""))"),"")</f>
        <v/>
      </c>
      <c r="AC812" s="229" t="str">
        <f t="shared" si="1"/>
        <v/>
      </c>
    </row>
    <row r="813">
      <c r="K813" s="237"/>
      <c r="L813" s="238" t="str">
        <f t="shared" si="3"/>
        <v/>
      </c>
      <c r="M813" s="237"/>
      <c r="N813" s="238"/>
      <c r="O813" s="238" t="str">
        <f t="shared" si="4"/>
        <v/>
      </c>
      <c r="P813" s="238" t="str">
        <f t="shared" si="5"/>
        <v/>
      </c>
      <c r="Q813" s="238" t="str">
        <f t="shared" si="6"/>
        <v/>
      </c>
      <c r="R813" s="238" t="str">
        <f t="shared" si="7"/>
        <v/>
      </c>
      <c r="S813" s="238" t="str">
        <f t="shared" si="8"/>
        <v/>
      </c>
      <c r="T813" s="238"/>
      <c r="U813" s="237"/>
      <c r="V813" s="238"/>
      <c r="W813" s="238" t="str">
        <f t="shared" si="9"/>
        <v/>
      </c>
      <c r="X813" s="237" t="str">
        <f t="shared" ref="X813:Y813" si="805">IF(ISBLANK(H813),,""""&amp;H813&amp;"""")</f>
        <v/>
      </c>
      <c r="Y813" s="237" t="str">
        <f t="shared" si="805"/>
        <v/>
      </c>
      <c r="Z813" s="237" t="str">
        <f>IF(ISBLANK(K813),,Config!$C$3&amp;"&amp;range=BB"&amp;MATCH(K813,FRG!AE:AE,0))</f>
        <v/>
      </c>
      <c r="AB813" s="242" t="str">
        <f>IFERROR(__xludf.DUMMYFUNCTION("IF(ISBLANK(K813),,SUBSTITUTE(IFERROR(JOIN("","",K813:Z813),JOIN("","",K813:Y813)),CHAR(10),""""))"),"")</f>
        <v/>
      </c>
      <c r="AC813" s="229" t="str">
        <f t="shared" si="1"/>
        <v/>
      </c>
    </row>
    <row r="814">
      <c r="K814" s="237"/>
      <c r="L814" s="238" t="str">
        <f t="shared" si="3"/>
        <v/>
      </c>
      <c r="M814" s="237"/>
      <c r="N814" s="238"/>
      <c r="O814" s="238" t="str">
        <f t="shared" si="4"/>
        <v/>
      </c>
      <c r="P814" s="238" t="str">
        <f t="shared" si="5"/>
        <v/>
      </c>
      <c r="Q814" s="238" t="str">
        <f t="shared" si="6"/>
        <v/>
      </c>
      <c r="R814" s="238" t="str">
        <f t="shared" si="7"/>
        <v/>
      </c>
      <c r="S814" s="238" t="str">
        <f t="shared" si="8"/>
        <v/>
      </c>
      <c r="T814" s="238"/>
      <c r="U814" s="237"/>
      <c r="V814" s="238"/>
      <c r="W814" s="238" t="str">
        <f t="shared" si="9"/>
        <v/>
      </c>
      <c r="X814" s="237" t="str">
        <f t="shared" ref="X814:Y814" si="806">IF(ISBLANK(H814),,""""&amp;H814&amp;"""")</f>
        <v/>
      </c>
      <c r="Y814" s="237" t="str">
        <f t="shared" si="806"/>
        <v/>
      </c>
      <c r="Z814" s="237" t="str">
        <f>IF(ISBLANK(K814),,Config!$C$3&amp;"&amp;range=BB"&amp;MATCH(K814,FRG!AE:AE,0))</f>
        <v/>
      </c>
      <c r="AB814" s="242" t="str">
        <f>IFERROR(__xludf.DUMMYFUNCTION("IF(ISBLANK(K814),,SUBSTITUTE(IFERROR(JOIN("","",K814:Z814),JOIN("","",K814:Y814)),CHAR(10),""""))"),"")</f>
        <v/>
      </c>
      <c r="AC814" s="229" t="str">
        <f t="shared" si="1"/>
        <v/>
      </c>
    </row>
    <row r="815">
      <c r="K815" s="237"/>
      <c r="L815" s="238" t="str">
        <f t="shared" si="3"/>
        <v/>
      </c>
      <c r="M815" s="237"/>
      <c r="N815" s="238"/>
      <c r="O815" s="238" t="str">
        <f t="shared" si="4"/>
        <v/>
      </c>
      <c r="P815" s="238" t="str">
        <f t="shared" si="5"/>
        <v/>
      </c>
      <c r="Q815" s="238" t="str">
        <f t="shared" si="6"/>
        <v/>
      </c>
      <c r="R815" s="238" t="str">
        <f t="shared" si="7"/>
        <v/>
      </c>
      <c r="S815" s="238" t="str">
        <f t="shared" si="8"/>
        <v/>
      </c>
      <c r="T815" s="238"/>
      <c r="U815" s="237"/>
      <c r="V815" s="238"/>
      <c r="W815" s="238" t="str">
        <f t="shared" si="9"/>
        <v/>
      </c>
      <c r="X815" s="237" t="str">
        <f t="shared" ref="X815:Y815" si="807">IF(ISBLANK(H815),,""""&amp;H815&amp;"""")</f>
        <v/>
      </c>
      <c r="Y815" s="237" t="str">
        <f t="shared" si="807"/>
        <v/>
      </c>
      <c r="Z815" s="237" t="str">
        <f>IF(ISBLANK(K815),,Config!$C$3&amp;"&amp;range=BB"&amp;MATCH(K815,FRG!AE:AE,0))</f>
        <v/>
      </c>
      <c r="AB815" s="242" t="str">
        <f>IFERROR(__xludf.DUMMYFUNCTION("IF(ISBLANK(K815),,SUBSTITUTE(IFERROR(JOIN("","",K815:Z815),JOIN("","",K815:Y815)),CHAR(10),""""))"),"")</f>
        <v/>
      </c>
      <c r="AC815" s="229" t="str">
        <f t="shared" si="1"/>
        <v/>
      </c>
    </row>
    <row r="816">
      <c r="K816" s="237"/>
      <c r="L816" s="238" t="str">
        <f t="shared" si="3"/>
        <v/>
      </c>
      <c r="M816" s="237"/>
      <c r="N816" s="238"/>
      <c r="O816" s="238" t="str">
        <f t="shared" si="4"/>
        <v/>
      </c>
      <c r="P816" s="238" t="str">
        <f t="shared" si="5"/>
        <v/>
      </c>
      <c r="Q816" s="238" t="str">
        <f t="shared" si="6"/>
        <v/>
      </c>
      <c r="R816" s="238" t="str">
        <f t="shared" si="7"/>
        <v/>
      </c>
      <c r="S816" s="238" t="str">
        <f t="shared" si="8"/>
        <v/>
      </c>
      <c r="T816" s="238"/>
      <c r="U816" s="237"/>
      <c r="V816" s="238"/>
      <c r="W816" s="238" t="str">
        <f t="shared" si="9"/>
        <v/>
      </c>
      <c r="X816" s="237" t="str">
        <f t="shared" ref="X816:Y816" si="808">IF(ISBLANK(H816),,""""&amp;H816&amp;"""")</f>
        <v/>
      </c>
      <c r="Y816" s="237" t="str">
        <f t="shared" si="808"/>
        <v/>
      </c>
      <c r="Z816" s="237" t="str">
        <f>IF(ISBLANK(K816),,Config!$C$3&amp;"&amp;range=BB"&amp;MATCH(K816,FRG!AE:AE,0))</f>
        <v/>
      </c>
      <c r="AB816" s="242" t="str">
        <f>IFERROR(__xludf.DUMMYFUNCTION("IF(ISBLANK(K816),,SUBSTITUTE(IFERROR(JOIN("","",K816:Z816),JOIN("","",K816:Y816)),CHAR(10),""""))"),"")</f>
        <v/>
      </c>
      <c r="AC816" s="229" t="str">
        <f t="shared" si="1"/>
        <v/>
      </c>
    </row>
    <row r="817">
      <c r="K817" s="237"/>
      <c r="L817" s="238" t="str">
        <f t="shared" si="3"/>
        <v/>
      </c>
      <c r="M817" s="237"/>
      <c r="N817" s="238"/>
      <c r="O817" s="238" t="str">
        <f t="shared" si="4"/>
        <v/>
      </c>
      <c r="P817" s="238" t="str">
        <f t="shared" si="5"/>
        <v/>
      </c>
      <c r="Q817" s="238" t="str">
        <f t="shared" si="6"/>
        <v/>
      </c>
      <c r="R817" s="238" t="str">
        <f t="shared" si="7"/>
        <v/>
      </c>
      <c r="S817" s="238" t="str">
        <f t="shared" si="8"/>
        <v/>
      </c>
      <c r="T817" s="238"/>
      <c r="U817" s="237"/>
      <c r="V817" s="238"/>
      <c r="W817" s="238" t="str">
        <f t="shared" si="9"/>
        <v/>
      </c>
      <c r="X817" s="237" t="str">
        <f t="shared" ref="X817:Y817" si="809">IF(ISBLANK(H817),,""""&amp;H817&amp;"""")</f>
        <v/>
      </c>
      <c r="Y817" s="237" t="str">
        <f t="shared" si="809"/>
        <v/>
      </c>
      <c r="Z817" s="237" t="str">
        <f>IF(ISBLANK(K817),,Config!$C$3&amp;"&amp;range=BB"&amp;MATCH(K817,FRG!AE:AE,0))</f>
        <v/>
      </c>
      <c r="AB817" s="242" t="str">
        <f>IFERROR(__xludf.DUMMYFUNCTION("IF(ISBLANK(K817),,SUBSTITUTE(IFERROR(JOIN("","",K817:Z817),JOIN("","",K817:Y817)),CHAR(10),""""))"),"")</f>
        <v/>
      </c>
      <c r="AC817" s="229" t="str">
        <f t="shared" si="1"/>
        <v/>
      </c>
    </row>
    <row r="818">
      <c r="K818" s="237"/>
      <c r="L818" s="238" t="str">
        <f t="shared" si="3"/>
        <v/>
      </c>
      <c r="M818" s="237"/>
      <c r="N818" s="238"/>
      <c r="O818" s="238" t="str">
        <f t="shared" si="4"/>
        <v/>
      </c>
      <c r="P818" s="238" t="str">
        <f t="shared" si="5"/>
        <v/>
      </c>
      <c r="Q818" s="238" t="str">
        <f t="shared" si="6"/>
        <v/>
      </c>
      <c r="R818" s="238" t="str">
        <f t="shared" si="7"/>
        <v/>
      </c>
      <c r="S818" s="238" t="str">
        <f t="shared" si="8"/>
        <v/>
      </c>
      <c r="T818" s="238"/>
      <c r="U818" s="237"/>
      <c r="V818" s="238"/>
      <c r="W818" s="238" t="str">
        <f t="shared" si="9"/>
        <v/>
      </c>
      <c r="X818" s="237" t="str">
        <f t="shared" ref="X818:Y818" si="810">IF(ISBLANK(H818),,""""&amp;H818&amp;"""")</f>
        <v/>
      </c>
      <c r="Y818" s="237" t="str">
        <f t="shared" si="810"/>
        <v/>
      </c>
      <c r="Z818" s="237" t="str">
        <f>IF(ISBLANK(K818),,Config!$C$3&amp;"&amp;range=BB"&amp;MATCH(K818,FRG!AE:AE,0))</f>
        <v/>
      </c>
      <c r="AB818" s="242" t="str">
        <f>IFERROR(__xludf.DUMMYFUNCTION("IF(ISBLANK(K818),,SUBSTITUTE(IFERROR(JOIN("","",K818:Z818),JOIN("","",K818:Y818)),CHAR(10),""""))"),"")</f>
        <v/>
      </c>
      <c r="AC818" s="229" t="str">
        <f t="shared" si="1"/>
        <v/>
      </c>
    </row>
    <row r="819">
      <c r="K819" s="237"/>
      <c r="L819" s="238" t="str">
        <f t="shared" si="3"/>
        <v/>
      </c>
      <c r="M819" s="237"/>
      <c r="N819" s="238"/>
      <c r="O819" s="238" t="str">
        <f t="shared" si="4"/>
        <v/>
      </c>
      <c r="P819" s="238" t="str">
        <f t="shared" si="5"/>
        <v/>
      </c>
      <c r="Q819" s="238" t="str">
        <f t="shared" si="6"/>
        <v/>
      </c>
      <c r="R819" s="238" t="str">
        <f t="shared" si="7"/>
        <v/>
      </c>
      <c r="S819" s="238" t="str">
        <f t="shared" si="8"/>
        <v/>
      </c>
      <c r="T819" s="238"/>
      <c r="U819" s="237"/>
      <c r="V819" s="238"/>
      <c r="W819" s="238" t="str">
        <f t="shared" si="9"/>
        <v/>
      </c>
      <c r="X819" s="237" t="str">
        <f t="shared" ref="X819:Y819" si="811">IF(ISBLANK(H819),,""""&amp;H819&amp;"""")</f>
        <v/>
      </c>
      <c r="Y819" s="237" t="str">
        <f t="shared" si="811"/>
        <v/>
      </c>
      <c r="Z819" s="237" t="str">
        <f>IF(ISBLANK(K819),,Config!$C$3&amp;"&amp;range=BB"&amp;MATCH(K819,FRG!AE:AE,0))</f>
        <v/>
      </c>
      <c r="AB819" s="242" t="str">
        <f>IFERROR(__xludf.DUMMYFUNCTION("IF(ISBLANK(K819),,SUBSTITUTE(IFERROR(JOIN("","",K819:Z819),JOIN("","",K819:Y819)),CHAR(10),""""))"),"")</f>
        <v/>
      </c>
      <c r="AC819" s="229" t="str">
        <f t="shared" si="1"/>
        <v/>
      </c>
    </row>
    <row r="820">
      <c r="K820" s="237"/>
      <c r="L820" s="238" t="str">
        <f t="shared" si="3"/>
        <v/>
      </c>
      <c r="M820" s="237"/>
      <c r="N820" s="238"/>
      <c r="O820" s="238" t="str">
        <f t="shared" si="4"/>
        <v/>
      </c>
      <c r="P820" s="238" t="str">
        <f t="shared" si="5"/>
        <v/>
      </c>
      <c r="Q820" s="238" t="str">
        <f t="shared" si="6"/>
        <v/>
      </c>
      <c r="R820" s="238" t="str">
        <f t="shared" si="7"/>
        <v/>
      </c>
      <c r="S820" s="238" t="str">
        <f t="shared" si="8"/>
        <v/>
      </c>
      <c r="T820" s="238"/>
      <c r="U820" s="237"/>
      <c r="V820" s="238"/>
      <c r="W820" s="238" t="str">
        <f t="shared" si="9"/>
        <v/>
      </c>
      <c r="X820" s="237" t="str">
        <f t="shared" ref="X820:Y820" si="812">IF(ISBLANK(H820),,""""&amp;H820&amp;"""")</f>
        <v/>
      </c>
      <c r="Y820" s="237" t="str">
        <f t="shared" si="812"/>
        <v/>
      </c>
      <c r="Z820" s="237" t="str">
        <f>IF(ISBLANK(K820),,Config!$C$3&amp;"&amp;range=BB"&amp;MATCH(K820,FRG!AE:AE,0))</f>
        <v/>
      </c>
      <c r="AB820" s="242" t="str">
        <f>IFERROR(__xludf.DUMMYFUNCTION("IF(ISBLANK(K820),,SUBSTITUTE(IFERROR(JOIN("","",K820:Z820),JOIN("","",K820:Y820)),CHAR(10),""""))"),"")</f>
        <v/>
      </c>
      <c r="AC820" s="229" t="str">
        <f t="shared" si="1"/>
        <v/>
      </c>
    </row>
    <row r="821">
      <c r="K821" s="237"/>
      <c r="L821" s="238" t="str">
        <f t="shared" si="3"/>
        <v/>
      </c>
      <c r="M821" s="237"/>
      <c r="N821" s="238"/>
      <c r="O821" s="238" t="str">
        <f t="shared" si="4"/>
        <v/>
      </c>
      <c r="P821" s="238" t="str">
        <f t="shared" si="5"/>
        <v/>
      </c>
      <c r="Q821" s="238" t="str">
        <f t="shared" si="6"/>
        <v/>
      </c>
      <c r="R821" s="238" t="str">
        <f t="shared" si="7"/>
        <v/>
      </c>
      <c r="S821" s="238" t="str">
        <f t="shared" si="8"/>
        <v/>
      </c>
      <c r="T821" s="238"/>
      <c r="U821" s="237"/>
      <c r="V821" s="238"/>
      <c r="W821" s="238" t="str">
        <f t="shared" si="9"/>
        <v/>
      </c>
      <c r="X821" s="237" t="str">
        <f t="shared" ref="X821:Y821" si="813">IF(ISBLANK(H821),,""""&amp;H821&amp;"""")</f>
        <v/>
      </c>
      <c r="Y821" s="237" t="str">
        <f t="shared" si="813"/>
        <v/>
      </c>
      <c r="Z821" s="237" t="str">
        <f>IF(ISBLANK(K821),,Config!$C$3&amp;"&amp;range=BB"&amp;MATCH(K821,FRG!AE:AE,0))</f>
        <v/>
      </c>
      <c r="AB821" s="242" t="str">
        <f>IFERROR(__xludf.DUMMYFUNCTION("IF(ISBLANK(K821),,SUBSTITUTE(IFERROR(JOIN("","",K821:Z821),JOIN("","",K821:Y821)),CHAR(10),""""))"),"")</f>
        <v/>
      </c>
      <c r="AC821" s="229" t="str">
        <f t="shared" si="1"/>
        <v/>
      </c>
    </row>
    <row r="822">
      <c r="K822" s="237"/>
      <c r="L822" s="238" t="str">
        <f t="shared" si="3"/>
        <v/>
      </c>
      <c r="M822" s="237"/>
      <c r="N822" s="238"/>
      <c r="O822" s="238" t="str">
        <f t="shared" si="4"/>
        <v/>
      </c>
      <c r="P822" s="238" t="str">
        <f t="shared" si="5"/>
        <v/>
      </c>
      <c r="Q822" s="238" t="str">
        <f t="shared" si="6"/>
        <v/>
      </c>
      <c r="R822" s="238" t="str">
        <f t="shared" si="7"/>
        <v/>
      </c>
      <c r="S822" s="238" t="str">
        <f t="shared" si="8"/>
        <v/>
      </c>
      <c r="T822" s="238"/>
      <c r="U822" s="237"/>
      <c r="V822" s="238"/>
      <c r="W822" s="238" t="str">
        <f t="shared" si="9"/>
        <v/>
      </c>
      <c r="X822" s="237" t="str">
        <f t="shared" ref="X822:Y822" si="814">IF(ISBLANK(H822),,""""&amp;H822&amp;"""")</f>
        <v/>
      </c>
      <c r="Y822" s="237" t="str">
        <f t="shared" si="814"/>
        <v/>
      </c>
      <c r="Z822" s="237" t="str">
        <f>IF(ISBLANK(K822),,Config!$C$3&amp;"&amp;range=BB"&amp;MATCH(K822,FRG!AE:AE,0))</f>
        <v/>
      </c>
      <c r="AB822" s="242" t="str">
        <f>IFERROR(__xludf.DUMMYFUNCTION("IF(ISBLANK(K822),,SUBSTITUTE(IFERROR(JOIN("","",K822:Z822),JOIN("","",K822:Y822)),CHAR(10),""""))"),"")</f>
        <v/>
      </c>
      <c r="AC822" s="229" t="str">
        <f t="shared" si="1"/>
        <v/>
      </c>
    </row>
    <row r="823">
      <c r="K823" s="237"/>
      <c r="L823" s="238" t="str">
        <f t="shared" si="3"/>
        <v/>
      </c>
      <c r="M823" s="237"/>
      <c r="N823" s="238"/>
      <c r="O823" s="238" t="str">
        <f t="shared" si="4"/>
        <v/>
      </c>
      <c r="P823" s="238" t="str">
        <f t="shared" si="5"/>
        <v/>
      </c>
      <c r="Q823" s="238" t="str">
        <f t="shared" si="6"/>
        <v/>
      </c>
      <c r="R823" s="238" t="str">
        <f t="shared" si="7"/>
        <v/>
      </c>
      <c r="S823" s="238" t="str">
        <f t="shared" si="8"/>
        <v/>
      </c>
      <c r="T823" s="238"/>
      <c r="U823" s="237"/>
      <c r="V823" s="238"/>
      <c r="W823" s="238" t="str">
        <f t="shared" si="9"/>
        <v/>
      </c>
      <c r="X823" s="237" t="str">
        <f t="shared" ref="X823:Y823" si="815">IF(ISBLANK(H823),,""""&amp;H823&amp;"""")</f>
        <v/>
      </c>
      <c r="Y823" s="237" t="str">
        <f t="shared" si="815"/>
        <v/>
      </c>
      <c r="Z823" s="237" t="str">
        <f>IF(ISBLANK(K823),,Config!$C$3&amp;"&amp;range=BB"&amp;MATCH(K823,FRG!AE:AE,0))</f>
        <v/>
      </c>
      <c r="AB823" s="242" t="str">
        <f>IFERROR(__xludf.DUMMYFUNCTION("IF(ISBLANK(K823),,SUBSTITUTE(IFERROR(JOIN("","",K823:Z823),JOIN("","",K823:Y823)),CHAR(10),""""))"),"")</f>
        <v/>
      </c>
      <c r="AC823" s="229" t="str">
        <f t="shared" si="1"/>
        <v/>
      </c>
    </row>
    <row r="824">
      <c r="K824" s="237"/>
      <c r="L824" s="238" t="str">
        <f t="shared" si="3"/>
        <v/>
      </c>
      <c r="M824" s="237"/>
      <c r="N824" s="238"/>
      <c r="O824" s="238" t="str">
        <f t="shared" si="4"/>
        <v/>
      </c>
      <c r="P824" s="238" t="str">
        <f t="shared" si="5"/>
        <v/>
      </c>
      <c r="Q824" s="238" t="str">
        <f t="shared" si="6"/>
        <v/>
      </c>
      <c r="R824" s="238" t="str">
        <f t="shared" si="7"/>
        <v/>
      </c>
      <c r="S824" s="238" t="str">
        <f t="shared" si="8"/>
        <v/>
      </c>
      <c r="T824" s="238"/>
      <c r="U824" s="237"/>
      <c r="V824" s="238"/>
      <c r="W824" s="238" t="str">
        <f t="shared" si="9"/>
        <v/>
      </c>
      <c r="X824" s="237" t="str">
        <f t="shared" ref="X824:Y824" si="816">IF(ISBLANK(H824),,""""&amp;H824&amp;"""")</f>
        <v/>
      </c>
      <c r="Y824" s="237" t="str">
        <f t="shared" si="816"/>
        <v/>
      </c>
      <c r="Z824" s="237" t="str">
        <f>IF(ISBLANK(K824),,Config!$C$3&amp;"&amp;range=BB"&amp;MATCH(K824,FRG!AE:AE,0))</f>
        <v/>
      </c>
      <c r="AB824" s="242" t="str">
        <f>IFERROR(__xludf.DUMMYFUNCTION("IF(ISBLANK(K824),,SUBSTITUTE(IFERROR(JOIN("","",K824:Z824),JOIN("","",K824:Y824)),CHAR(10),""""))"),"")</f>
        <v/>
      </c>
      <c r="AC824" s="229" t="str">
        <f t="shared" si="1"/>
        <v/>
      </c>
    </row>
    <row r="825">
      <c r="K825" s="237"/>
      <c r="L825" s="238" t="str">
        <f t="shared" si="3"/>
        <v/>
      </c>
      <c r="M825" s="237"/>
      <c r="N825" s="238"/>
      <c r="O825" s="238" t="str">
        <f t="shared" si="4"/>
        <v/>
      </c>
      <c r="P825" s="238" t="str">
        <f t="shared" si="5"/>
        <v/>
      </c>
      <c r="Q825" s="238" t="str">
        <f t="shared" si="6"/>
        <v/>
      </c>
      <c r="R825" s="238" t="str">
        <f t="shared" si="7"/>
        <v/>
      </c>
      <c r="S825" s="238" t="str">
        <f t="shared" si="8"/>
        <v/>
      </c>
      <c r="T825" s="238"/>
      <c r="U825" s="237"/>
      <c r="V825" s="238"/>
      <c r="W825" s="238" t="str">
        <f t="shared" si="9"/>
        <v/>
      </c>
      <c r="X825" s="237" t="str">
        <f t="shared" ref="X825:Y825" si="817">IF(ISBLANK(H825),,""""&amp;H825&amp;"""")</f>
        <v/>
      </c>
      <c r="Y825" s="237" t="str">
        <f t="shared" si="817"/>
        <v/>
      </c>
      <c r="Z825" s="237" t="str">
        <f>IF(ISBLANK(K825),,Config!$C$3&amp;"&amp;range=BB"&amp;MATCH(K825,FRG!AE:AE,0))</f>
        <v/>
      </c>
      <c r="AB825" s="242" t="str">
        <f>IFERROR(__xludf.DUMMYFUNCTION("IF(ISBLANK(K825),,SUBSTITUTE(IFERROR(JOIN("","",K825:Z825),JOIN("","",K825:Y825)),CHAR(10),""""))"),"")</f>
        <v/>
      </c>
      <c r="AC825" s="229" t="str">
        <f t="shared" si="1"/>
        <v/>
      </c>
    </row>
    <row r="826">
      <c r="K826" s="237"/>
      <c r="L826" s="238" t="str">
        <f t="shared" si="3"/>
        <v/>
      </c>
      <c r="M826" s="237"/>
      <c r="N826" s="238"/>
      <c r="O826" s="238" t="str">
        <f t="shared" si="4"/>
        <v/>
      </c>
      <c r="P826" s="238" t="str">
        <f t="shared" si="5"/>
        <v/>
      </c>
      <c r="Q826" s="238" t="str">
        <f t="shared" si="6"/>
        <v/>
      </c>
      <c r="R826" s="238" t="str">
        <f t="shared" si="7"/>
        <v/>
      </c>
      <c r="S826" s="238" t="str">
        <f t="shared" si="8"/>
        <v/>
      </c>
      <c r="T826" s="238"/>
      <c r="U826" s="237"/>
      <c r="V826" s="238"/>
      <c r="W826" s="238" t="str">
        <f t="shared" si="9"/>
        <v/>
      </c>
      <c r="X826" s="237" t="str">
        <f t="shared" ref="X826:Y826" si="818">IF(ISBLANK(H826),,""""&amp;H826&amp;"""")</f>
        <v/>
      </c>
      <c r="Y826" s="237" t="str">
        <f t="shared" si="818"/>
        <v/>
      </c>
      <c r="Z826" s="237" t="str">
        <f>IF(ISBLANK(K826),,Config!$C$3&amp;"&amp;range=BB"&amp;MATCH(K826,FRG!AE:AE,0))</f>
        <v/>
      </c>
      <c r="AB826" s="242" t="str">
        <f>IFERROR(__xludf.DUMMYFUNCTION("IF(ISBLANK(K826),,SUBSTITUTE(IFERROR(JOIN("","",K826:Z826),JOIN("","",K826:Y826)),CHAR(10),""""))"),"")</f>
        <v/>
      </c>
      <c r="AC826" s="229" t="str">
        <f t="shared" si="1"/>
        <v/>
      </c>
    </row>
    <row r="827">
      <c r="K827" s="237"/>
      <c r="L827" s="238" t="str">
        <f t="shared" si="3"/>
        <v/>
      </c>
      <c r="M827" s="237"/>
      <c r="N827" s="238"/>
      <c r="O827" s="238" t="str">
        <f t="shared" si="4"/>
        <v/>
      </c>
      <c r="P827" s="238" t="str">
        <f t="shared" si="5"/>
        <v/>
      </c>
      <c r="Q827" s="238" t="str">
        <f t="shared" si="6"/>
        <v/>
      </c>
      <c r="R827" s="238" t="str">
        <f t="shared" si="7"/>
        <v/>
      </c>
      <c r="S827" s="238" t="str">
        <f t="shared" si="8"/>
        <v/>
      </c>
      <c r="T827" s="238"/>
      <c r="U827" s="237"/>
      <c r="V827" s="238"/>
      <c r="W827" s="238" t="str">
        <f t="shared" si="9"/>
        <v/>
      </c>
      <c r="X827" s="237" t="str">
        <f t="shared" ref="X827:Y827" si="819">IF(ISBLANK(H827),,""""&amp;H827&amp;"""")</f>
        <v/>
      </c>
      <c r="Y827" s="237" t="str">
        <f t="shared" si="819"/>
        <v/>
      </c>
      <c r="Z827" s="237" t="str">
        <f>IF(ISBLANK(K827),,Config!$C$3&amp;"&amp;range=BB"&amp;MATCH(K827,FRG!AE:AE,0))</f>
        <v/>
      </c>
      <c r="AB827" s="242" t="str">
        <f>IFERROR(__xludf.DUMMYFUNCTION("IF(ISBLANK(K827),,SUBSTITUTE(IFERROR(JOIN("","",K827:Z827),JOIN("","",K827:Y827)),CHAR(10),""""))"),"")</f>
        <v/>
      </c>
      <c r="AC827" s="229" t="str">
        <f t="shared" si="1"/>
        <v/>
      </c>
    </row>
    <row r="828">
      <c r="K828" s="237"/>
      <c r="L828" s="238" t="str">
        <f t="shared" si="3"/>
        <v/>
      </c>
      <c r="M828" s="237"/>
      <c r="N828" s="238"/>
      <c r="O828" s="238" t="str">
        <f t="shared" si="4"/>
        <v/>
      </c>
      <c r="P828" s="238" t="str">
        <f t="shared" si="5"/>
        <v/>
      </c>
      <c r="Q828" s="238" t="str">
        <f t="shared" si="6"/>
        <v/>
      </c>
      <c r="R828" s="238" t="str">
        <f t="shared" si="7"/>
        <v/>
      </c>
      <c r="S828" s="238" t="str">
        <f t="shared" si="8"/>
        <v/>
      </c>
      <c r="T828" s="238"/>
      <c r="U828" s="237"/>
      <c r="V828" s="238"/>
      <c r="W828" s="238" t="str">
        <f t="shared" si="9"/>
        <v/>
      </c>
      <c r="X828" s="237" t="str">
        <f t="shared" ref="X828:Y828" si="820">IF(ISBLANK(H828),,""""&amp;H828&amp;"""")</f>
        <v/>
      </c>
      <c r="Y828" s="237" t="str">
        <f t="shared" si="820"/>
        <v/>
      </c>
      <c r="Z828" s="237" t="str">
        <f>IF(ISBLANK(K828),,Config!$C$3&amp;"&amp;range=BB"&amp;MATCH(K828,FRG!AE:AE,0))</f>
        <v/>
      </c>
      <c r="AB828" s="242" t="str">
        <f>IFERROR(__xludf.DUMMYFUNCTION("IF(ISBLANK(K828),,SUBSTITUTE(IFERROR(JOIN("","",K828:Z828),JOIN("","",K828:Y828)),CHAR(10),""""))"),"")</f>
        <v/>
      </c>
      <c r="AC828" s="229" t="str">
        <f t="shared" si="1"/>
        <v/>
      </c>
    </row>
    <row r="829">
      <c r="K829" s="237"/>
      <c r="L829" s="238" t="str">
        <f t="shared" si="3"/>
        <v/>
      </c>
      <c r="M829" s="237"/>
      <c r="N829" s="238"/>
      <c r="O829" s="238" t="str">
        <f t="shared" si="4"/>
        <v/>
      </c>
      <c r="P829" s="238" t="str">
        <f t="shared" si="5"/>
        <v/>
      </c>
      <c r="Q829" s="238" t="str">
        <f t="shared" si="6"/>
        <v/>
      </c>
      <c r="R829" s="238" t="str">
        <f t="shared" si="7"/>
        <v/>
      </c>
      <c r="S829" s="238" t="str">
        <f t="shared" si="8"/>
        <v/>
      </c>
      <c r="T829" s="238"/>
      <c r="U829" s="237"/>
      <c r="V829" s="238"/>
      <c r="W829" s="238" t="str">
        <f t="shared" si="9"/>
        <v/>
      </c>
      <c r="X829" s="237" t="str">
        <f t="shared" ref="X829:Y829" si="821">IF(ISBLANK(H829),,""""&amp;H829&amp;"""")</f>
        <v/>
      </c>
      <c r="Y829" s="237" t="str">
        <f t="shared" si="821"/>
        <v/>
      </c>
      <c r="Z829" s="237" t="str">
        <f>IF(ISBLANK(K829),,Config!$C$3&amp;"&amp;range=BB"&amp;MATCH(K829,FRG!AE:AE,0))</f>
        <v/>
      </c>
      <c r="AB829" s="242" t="str">
        <f>IFERROR(__xludf.DUMMYFUNCTION("IF(ISBLANK(K829),,SUBSTITUTE(IFERROR(JOIN("","",K829:Z829),JOIN("","",K829:Y829)),CHAR(10),""""))"),"")</f>
        <v/>
      </c>
      <c r="AC829" s="229" t="str">
        <f t="shared" si="1"/>
        <v/>
      </c>
    </row>
    <row r="830">
      <c r="K830" s="237"/>
      <c r="L830" s="238" t="str">
        <f t="shared" si="3"/>
        <v/>
      </c>
      <c r="M830" s="237"/>
      <c r="N830" s="238"/>
      <c r="O830" s="238" t="str">
        <f t="shared" si="4"/>
        <v/>
      </c>
      <c r="P830" s="238" t="str">
        <f t="shared" si="5"/>
        <v/>
      </c>
      <c r="Q830" s="238" t="str">
        <f t="shared" si="6"/>
        <v/>
      </c>
      <c r="R830" s="238" t="str">
        <f t="shared" si="7"/>
        <v/>
      </c>
      <c r="S830" s="238" t="str">
        <f t="shared" si="8"/>
        <v/>
      </c>
      <c r="T830" s="238"/>
      <c r="U830" s="237"/>
      <c r="V830" s="238"/>
      <c r="W830" s="238" t="str">
        <f t="shared" si="9"/>
        <v/>
      </c>
      <c r="X830" s="237" t="str">
        <f t="shared" ref="X830:Y830" si="822">IF(ISBLANK(H830),,""""&amp;H830&amp;"""")</f>
        <v/>
      </c>
      <c r="Y830" s="237" t="str">
        <f t="shared" si="822"/>
        <v/>
      </c>
      <c r="Z830" s="237" t="str">
        <f>IF(ISBLANK(K830),,Config!$C$3&amp;"&amp;range=BB"&amp;MATCH(K830,FRG!AE:AE,0))</f>
        <v/>
      </c>
      <c r="AB830" s="242" t="str">
        <f>IFERROR(__xludf.DUMMYFUNCTION("IF(ISBLANK(K830),,SUBSTITUTE(IFERROR(JOIN("","",K830:Z830),JOIN("","",K830:Y830)),CHAR(10),""""))"),"")</f>
        <v/>
      </c>
      <c r="AC830" s="229" t="str">
        <f t="shared" si="1"/>
        <v/>
      </c>
    </row>
    <row r="831">
      <c r="K831" s="237"/>
      <c r="L831" s="238" t="str">
        <f t="shared" si="3"/>
        <v/>
      </c>
      <c r="M831" s="237"/>
      <c r="N831" s="238"/>
      <c r="O831" s="238" t="str">
        <f t="shared" si="4"/>
        <v/>
      </c>
      <c r="P831" s="238" t="str">
        <f t="shared" si="5"/>
        <v/>
      </c>
      <c r="Q831" s="238" t="str">
        <f t="shared" si="6"/>
        <v/>
      </c>
      <c r="R831" s="238" t="str">
        <f t="shared" si="7"/>
        <v/>
      </c>
      <c r="S831" s="238" t="str">
        <f t="shared" si="8"/>
        <v/>
      </c>
      <c r="T831" s="238"/>
      <c r="U831" s="237"/>
      <c r="V831" s="238"/>
      <c r="W831" s="238" t="str">
        <f t="shared" si="9"/>
        <v/>
      </c>
      <c r="X831" s="237" t="str">
        <f t="shared" ref="X831:Y831" si="823">IF(ISBLANK(H831),,""""&amp;H831&amp;"""")</f>
        <v/>
      </c>
      <c r="Y831" s="237" t="str">
        <f t="shared" si="823"/>
        <v/>
      </c>
      <c r="Z831" s="237" t="str">
        <f>IF(ISBLANK(K831),,Config!$C$3&amp;"&amp;range=BB"&amp;MATCH(K831,FRG!AE:AE,0))</f>
        <v/>
      </c>
      <c r="AB831" s="242" t="str">
        <f>IFERROR(__xludf.DUMMYFUNCTION("IF(ISBLANK(K831),,SUBSTITUTE(IFERROR(JOIN("","",K831:Z831),JOIN("","",K831:Y831)),CHAR(10),""""))"),"")</f>
        <v/>
      </c>
      <c r="AC831" s="229" t="str">
        <f t="shared" si="1"/>
        <v/>
      </c>
    </row>
    <row r="832">
      <c r="K832" s="237"/>
      <c r="L832" s="238" t="str">
        <f t="shared" si="3"/>
        <v/>
      </c>
      <c r="M832" s="237"/>
      <c r="N832" s="238"/>
      <c r="O832" s="238" t="str">
        <f t="shared" si="4"/>
        <v/>
      </c>
      <c r="P832" s="238" t="str">
        <f t="shared" si="5"/>
        <v/>
      </c>
      <c r="Q832" s="238" t="str">
        <f t="shared" si="6"/>
        <v/>
      </c>
      <c r="R832" s="238" t="str">
        <f t="shared" si="7"/>
        <v/>
      </c>
      <c r="S832" s="238" t="str">
        <f t="shared" si="8"/>
        <v/>
      </c>
      <c r="T832" s="238"/>
      <c r="U832" s="237"/>
      <c r="V832" s="238"/>
      <c r="W832" s="238" t="str">
        <f t="shared" si="9"/>
        <v/>
      </c>
      <c r="X832" s="237" t="str">
        <f t="shared" ref="X832:Y832" si="824">IF(ISBLANK(H832),,""""&amp;H832&amp;"""")</f>
        <v/>
      </c>
      <c r="Y832" s="237" t="str">
        <f t="shared" si="824"/>
        <v/>
      </c>
      <c r="Z832" s="237" t="str">
        <f>IF(ISBLANK(K832),,Config!$C$3&amp;"&amp;range=BB"&amp;MATCH(K832,FRG!AE:AE,0))</f>
        <v/>
      </c>
      <c r="AB832" s="242" t="str">
        <f>IFERROR(__xludf.DUMMYFUNCTION("IF(ISBLANK(K832),,SUBSTITUTE(IFERROR(JOIN("","",K832:Z832),JOIN("","",K832:Y832)),CHAR(10),""""))"),"")</f>
        <v/>
      </c>
      <c r="AC832" s="229" t="str">
        <f t="shared" si="1"/>
        <v/>
      </c>
    </row>
    <row r="833">
      <c r="K833" s="237"/>
      <c r="L833" s="238" t="str">
        <f t="shared" si="3"/>
        <v/>
      </c>
      <c r="M833" s="237"/>
      <c r="N833" s="238"/>
      <c r="O833" s="238" t="str">
        <f t="shared" si="4"/>
        <v/>
      </c>
      <c r="P833" s="238" t="str">
        <f t="shared" si="5"/>
        <v/>
      </c>
      <c r="Q833" s="238" t="str">
        <f t="shared" si="6"/>
        <v/>
      </c>
      <c r="R833" s="238" t="str">
        <f t="shared" si="7"/>
        <v/>
      </c>
      <c r="S833" s="238" t="str">
        <f t="shared" si="8"/>
        <v/>
      </c>
      <c r="T833" s="238"/>
      <c r="U833" s="237"/>
      <c r="V833" s="238"/>
      <c r="W833" s="238" t="str">
        <f t="shared" si="9"/>
        <v/>
      </c>
      <c r="X833" s="237" t="str">
        <f t="shared" ref="X833:Y833" si="825">IF(ISBLANK(H833),,""""&amp;H833&amp;"""")</f>
        <v/>
      </c>
      <c r="Y833" s="237" t="str">
        <f t="shared" si="825"/>
        <v/>
      </c>
      <c r="Z833" s="237" t="str">
        <f>IF(ISBLANK(K833),,Config!$C$3&amp;"&amp;range=BB"&amp;MATCH(K833,FRG!AE:AE,0))</f>
        <v/>
      </c>
      <c r="AB833" s="242" t="str">
        <f>IFERROR(__xludf.DUMMYFUNCTION("IF(ISBLANK(K833),,SUBSTITUTE(IFERROR(JOIN("","",K833:Z833),JOIN("","",K833:Y833)),CHAR(10),""""))"),"")</f>
        <v/>
      </c>
      <c r="AC833" s="229" t="str">
        <f t="shared" si="1"/>
        <v/>
      </c>
    </row>
    <row r="834">
      <c r="K834" s="237"/>
      <c r="L834" s="238" t="str">
        <f t="shared" si="3"/>
        <v/>
      </c>
      <c r="M834" s="237"/>
      <c r="N834" s="238"/>
      <c r="O834" s="238" t="str">
        <f t="shared" si="4"/>
        <v/>
      </c>
      <c r="P834" s="238" t="str">
        <f t="shared" si="5"/>
        <v/>
      </c>
      <c r="Q834" s="238" t="str">
        <f t="shared" si="6"/>
        <v/>
      </c>
      <c r="R834" s="238" t="str">
        <f t="shared" si="7"/>
        <v/>
      </c>
      <c r="S834" s="238" t="str">
        <f t="shared" si="8"/>
        <v/>
      </c>
      <c r="T834" s="238"/>
      <c r="U834" s="237"/>
      <c r="V834" s="238"/>
      <c r="W834" s="238" t="str">
        <f t="shared" si="9"/>
        <v/>
      </c>
      <c r="X834" s="237" t="str">
        <f t="shared" ref="X834:Y834" si="826">IF(ISBLANK(H834),,""""&amp;H834&amp;"""")</f>
        <v/>
      </c>
      <c r="Y834" s="237" t="str">
        <f t="shared" si="826"/>
        <v/>
      </c>
      <c r="Z834" s="237" t="str">
        <f>IF(ISBLANK(K834),,Config!$C$3&amp;"&amp;range=BB"&amp;MATCH(K834,FRG!AE:AE,0))</f>
        <v/>
      </c>
      <c r="AB834" s="242" t="str">
        <f>IFERROR(__xludf.DUMMYFUNCTION("IF(ISBLANK(K834),,SUBSTITUTE(IFERROR(JOIN("","",K834:Z834),JOIN("","",K834:Y834)),CHAR(10),""""))"),"")</f>
        <v/>
      </c>
      <c r="AC834" s="229" t="str">
        <f t="shared" si="1"/>
        <v/>
      </c>
    </row>
    <row r="835">
      <c r="K835" s="237"/>
      <c r="L835" s="238" t="str">
        <f t="shared" si="3"/>
        <v/>
      </c>
      <c r="M835" s="237"/>
      <c r="N835" s="238"/>
      <c r="O835" s="238" t="str">
        <f t="shared" si="4"/>
        <v/>
      </c>
      <c r="P835" s="238" t="str">
        <f t="shared" si="5"/>
        <v/>
      </c>
      <c r="Q835" s="238" t="str">
        <f t="shared" si="6"/>
        <v/>
      </c>
      <c r="R835" s="238" t="str">
        <f t="shared" si="7"/>
        <v/>
      </c>
      <c r="S835" s="238" t="str">
        <f t="shared" si="8"/>
        <v/>
      </c>
      <c r="T835" s="238"/>
      <c r="U835" s="237"/>
      <c r="V835" s="238"/>
      <c r="W835" s="238" t="str">
        <f t="shared" si="9"/>
        <v/>
      </c>
      <c r="X835" s="237" t="str">
        <f t="shared" ref="X835:Y835" si="827">IF(ISBLANK(H835),,""""&amp;H835&amp;"""")</f>
        <v/>
      </c>
      <c r="Y835" s="237" t="str">
        <f t="shared" si="827"/>
        <v/>
      </c>
      <c r="Z835" s="237" t="str">
        <f>IF(ISBLANK(K835),,Config!$C$3&amp;"&amp;range=BB"&amp;MATCH(K835,FRG!AE:AE,0))</f>
        <v/>
      </c>
      <c r="AB835" s="242" t="str">
        <f>IFERROR(__xludf.DUMMYFUNCTION("IF(ISBLANK(K835),,SUBSTITUTE(IFERROR(JOIN("","",K835:Z835),JOIN("","",K835:Y835)),CHAR(10),""""))"),"")</f>
        <v/>
      </c>
      <c r="AC835" s="229" t="str">
        <f t="shared" si="1"/>
        <v/>
      </c>
    </row>
    <row r="836">
      <c r="K836" s="237"/>
      <c r="L836" s="238" t="str">
        <f t="shared" si="3"/>
        <v/>
      </c>
      <c r="M836" s="237"/>
      <c r="N836" s="238"/>
      <c r="O836" s="238" t="str">
        <f t="shared" si="4"/>
        <v/>
      </c>
      <c r="P836" s="238" t="str">
        <f t="shared" si="5"/>
        <v/>
      </c>
      <c r="Q836" s="238" t="str">
        <f t="shared" si="6"/>
        <v/>
      </c>
      <c r="R836" s="238" t="str">
        <f t="shared" si="7"/>
        <v/>
      </c>
      <c r="S836" s="238" t="str">
        <f t="shared" si="8"/>
        <v/>
      </c>
      <c r="T836" s="238"/>
      <c r="U836" s="237"/>
      <c r="V836" s="238"/>
      <c r="W836" s="238" t="str">
        <f t="shared" si="9"/>
        <v/>
      </c>
      <c r="X836" s="237" t="str">
        <f t="shared" ref="X836:Y836" si="828">IF(ISBLANK(H836),,""""&amp;H836&amp;"""")</f>
        <v/>
      </c>
      <c r="Y836" s="237" t="str">
        <f t="shared" si="828"/>
        <v/>
      </c>
      <c r="Z836" s="237" t="str">
        <f>IF(ISBLANK(K836),,Config!$C$3&amp;"&amp;range=BB"&amp;MATCH(K836,FRG!AE:AE,0))</f>
        <v/>
      </c>
      <c r="AB836" s="242" t="str">
        <f>IFERROR(__xludf.DUMMYFUNCTION("IF(ISBLANK(K836),,SUBSTITUTE(IFERROR(JOIN("","",K836:Z836),JOIN("","",K836:Y836)),CHAR(10),""""))"),"")</f>
        <v/>
      </c>
      <c r="AC836" s="229" t="str">
        <f t="shared" si="1"/>
        <v/>
      </c>
    </row>
    <row r="837">
      <c r="K837" s="237"/>
      <c r="L837" s="238" t="str">
        <f t="shared" si="3"/>
        <v/>
      </c>
      <c r="M837" s="237"/>
      <c r="N837" s="238"/>
      <c r="O837" s="238" t="str">
        <f t="shared" si="4"/>
        <v/>
      </c>
      <c r="P837" s="238" t="str">
        <f t="shared" si="5"/>
        <v/>
      </c>
      <c r="Q837" s="238" t="str">
        <f t="shared" si="6"/>
        <v/>
      </c>
      <c r="R837" s="238" t="str">
        <f t="shared" si="7"/>
        <v/>
      </c>
      <c r="S837" s="238" t="str">
        <f t="shared" si="8"/>
        <v/>
      </c>
      <c r="T837" s="238"/>
      <c r="U837" s="237"/>
      <c r="V837" s="238"/>
      <c r="W837" s="238" t="str">
        <f t="shared" si="9"/>
        <v/>
      </c>
      <c r="X837" s="237" t="str">
        <f t="shared" ref="X837:Y837" si="829">IF(ISBLANK(H837),,""""&amp;H837&amp;"""")</f>
        <v/>
      </c>
      <c r="Y837" s="237" t="str">
        <f t="shared" si="829"/>
        <v/>
      </c>
      <c r="Z837" s="237" t="str">
        <f>IF(ISBLANK(K837),,Config!$C$3&amp;"&amp;range=BB"&amp;MATCH(K837,FRG!AE:AE,0))</f>
        <v/>
      </c>
      <c r="AB837" s="242" t="str">
        <f>IFERROR(__xludf.DUMMYFUNCTION("IF(ISBLANK(K837),,SUBSTITUTE(IFERROR(JOIN("","",K837:Z837),JOIN("","",K837:Y837)),CHAR(10),""""))"),"")</f>
        <v/>
      </c>
      <c r="AC837" s="229" t="str">
        <f t="shared" si="1"/>
        <v/>
      </c>
    </row>
    <row r="838">
      <c r="K838" s="237"/>
      <c r="L838" s="238" t="str">
        <f t="shared" si="3"/>
        <v/>
      </c>
      <c r="M838" s="237"/>
      <c r="N838" s="238"/>
      <c r="O838" s="238" t="str">
        <f t="shared" si="4"/>
        <v/>
      </c>
      <c r="P838" s="238" t="str">
        <f t="shared" si="5"/>
        <v/>
      </c>
      <c r="Q838" s="238" t="str">
        <f t="shared" si="6"/>
        <v/>
      </c>
      <c r="R838" s="238" t="str">
        <f t="shared" si="7"/>
        <v/>
      </c>
      <c r="S838" s="238" t="str">
        <f t="shared" si="8"/>
        <v/>
      </c>
      <c r="T838" s="238"/>
      <c r="U838" s="237"/>
      <c r="V838" s="238"/>
      <c r="W838" s="238" t="str">
        <f t="shared" si="9"/>
        <v/>
      </c>
      <c r="X838" s="237" t="str">
        <f t="shared" ref="X838:Y838" si="830">IF(ISBLANK(H838),,""""&amp;H838&amp;"""")</f>
        <v/>
      </c>
      <c r="Y838" s="237" t="str">
        <f t="shared" si="830"/>
        <v/>
      </c>
      <c r="Z838" s="237" t="str">
        <f>IF(ISBLANK(K838),,Config!$C$3&amp;"&amp;range=BB"&amp;MATCH(K838,FRG!AE:AE,0))</f>
        <v/>
      </c>
      <c r="AB838" s="242" t="str">
        <f>IFERROR(__xludf.DUMMYFUNCTION("IF(ISBLANK(K838),,SUBSTITUTE(IFERROR(JOIN("","",K838:Z838),JOIN("","",K838:Y838)),CHAR(10),""""))"),"")</f>
        <v/>
      </c>
      <c r="AC838" s="229" t="str">
        <f t="shared" si="1"/>
        <v/>
      </c>
    </row>
    <row r="839">
      <c r="K839" s="237"/>
      <c r="L839" s="238" t="str">
        <f t="shared" si="3"/>
        <v/>
      </c>
      <c r="M839" s="237"/>
      <c r="N839" s="238"/>
      <c r="O839" s="238" t="str">
        <f t="shared" si="4"/>
        <v/>
      </c>
      <c r="P839" s="238" t="str">
        <f t="shared" si="5"/>
        <v/>
      </c>
      <c r="Q839" s="238" t="str">
        <f t="shared" si="6"/>
        <v/>
      </c>
      <c r="R839" s="238" t="str">
        <f t="shared" si="7"/>
        <v/>
      </c>
      <c r="S839" s="238" t="str">
        <f t="shared" si="8"/>
        <v/>
      </c>
      <c r="T839" s="238"/>
      <c r="U839" s="237"/>
      <c r="V839" s="238"/>
      <c r="W839" s="238" t="str">
        <f t="shared" si="9"/>
        <v/>
      </c>
      <c r="X839" s="237" t="str">
        <f t="shared" ref="X839:Y839" si="831">IF(ISBLANK(H839),,""""&amp;H839&amp;"""")</f>
        <v/>
      </c>
      <c r="Y839" s="237" t="str">
        <f t="shared" si="831"/>
        <v/>
      </c>
      <c r="Z839" s="237" t="str">
        <f>IF(ISBLANK(K839),,Config!$C$3&amp;"&amp;range=BB"&amp;MATCH(K839,FRG!AE:AE,0))</f>
        <v/>
      </c>
      <c r="AB839" s="242" t="str">
        <f>IFERROR(__xludf.DUMMYFUNCTION("IF(ISBLANK(K839),,SUBSTITUTE(IFERROR(JOIN("","",K839:Z839),JOIN("","",K839:Y839)),CHAR(10),""""))"),"")</f>
        <v/>
      </c>
      <c r="AC839" s="229" t="str">
        <f t="shared" si="1"/>
        <v/>
      </c>
    </row>
    <row r="840">
      <c r="K840" s="237"/>
      <c r="L840" s="238" t="str">
        <f t="shared" si="3"/>
        <v/>
      </c>
      <c r="M840" s="237"/>
      <c r="N840" s="238"/>
      <c r="O840" s="238" t="str">
        <f t="shared" si="4"/>
        <v/>
      </c>
      <c r="P840" s="238" t="str">
        <f t="shared" si="5"/>
        <v/>
      </c>
      <c r="Q840" s="238" t="str">
        <f t="shared" si="6"/>
        <v/>
      </c>
      <c r="R840" s="238" t="str">
        <f t="shared" si="7"/>
        <v/>
      </c>
      <c r="S840" s="238" t="str">
        <f t="shared" si="8"/>
        <v/>
      </c>
      <c r="T840" s="238"/>
      <c r="U840" s="237"/>
      <c r="V840" s="238"/>
      <c r="W840" s="238" t="str">
        <f t="shared" si="9"/>
        <v/>
      </c>
      <c r="X840" s="237" t="str">
        <f t="shared" ref="X840:Y840" si="832">IF(ISBLANK(H840),,""""&amp;H840&amp;"""")</f>
        <v/>
      </c>
      <c r="Y840" s="237" t="str">
        <f t="shared" si="832"/>
        <v/>
      </c>
      <c r="Z840" s="237" t="str">
        <f>IF(ISBLANK(K840),,Config!$C$3&amp;"&amp;range=BB"&amp;MATCH(K840,FRG!AE:AE,0))</f>
        <v/>
      </c>
      <c r="AB840" s="242" t="str">
        <f>IFERROR(__xludf.DUMMYFUNCTION("IF(ISBLANK(K840),,SUBSTITUTE(IFERROR(JOIN("","",K840:Z840),JOIN("","",K840:Y840)),CHAR(10),""""))"),"")</f>
        <v/>
      </c>
      <c r="AC840" s="229" t="str">
        <f t="shared" si="1"/>
        <v/>
      </c>
    </row>
    <row r="841">
      <c r="K841" s="237"/>
      <c r="L841" s="238" t="str">
        <f t="shared" si="3"/>
        <v/>
      </c>
      <c r="M841" s="237"/>
      <c r="N841" s="238"/>
      <c r="O841" s="238" t="str">
        <f t="shared" si="4"/>
        <v/>
      </c>
      <c r="P841" s="238" t="str">
        <f t="shared" si="5"/>
        <v/>
      </c>
      <c r="Q841" s="238" t="str">
        <f t="shared" si="6"/>
        <v/>
      </c>
      <c r="R841" s="238" t="str">
        <f t="shared" si="7"/>
        <v/>
      </c>
      <c r="S841" s="238" t="str">
        <f t="shared" si="8"/>
        <v/>
      </c>
      <c r="T841" s="238"/>
      <c r="U841" s="237"/>
      <c r="V841" s="238"/>
      <c r="W841" s="238" t="str">
        <f t="shared" si="9"/>
        <v/>
      </c>
      <c r="X841" s="237" t="str">
        <f t="shared" ref="X841:Y841" si="833">IF(ISBLANK(H841),,""""&amp;H841&amp;"""")</f>
        <v/>
      </c>
      <c r="Y841" s="237" t="str">
        <f t="shared" si="833"/>
        <v/>
      </c>
      <c r="Z841" s="237" t="str">
        <f>IF(ISBLANK(K841),,Config!$C$3&amp;"&amp;range=BB"&amp;MATCH(K841,FRG!AE:AE,0))</f>
        <v/>
      </c>
      <c r="AB841" s="242" t="str">
        <f>IFERROR(__xludf.DUMMYFUNCTION("IF(ISBLANK(K841),,SUBSTITUTE(IFERROR(JOIN("","",K841:Z841),JOIN("","",K841:Y841)),CHAR(10),""""))"),"")</f>
        <v/>
      </c>
      <c r="AC841" s="229" t="str">
        <f t="shared" si="1"/>
        <v/>
      </c>
    </row>
    <row r="842">
      <c r="K842" s="237"/>
      <c r="L842" s="238" t="str">
        <f t="shared" si="3"/>
        <v/>
      </c>
      <c r="M842" s="237"/>
      <c r="N842" s="238"/>
      <c r="O842" s="238" t="str">
        <f t="shared" si="4"/>
        <v/>
      </c>
      <c r="P842" s="238" t="str">
        <f t="shared" si="5"/>
        <v/>
      </c>
      <c r="Q842" s="238" t="str">
        <f t="shared" si="6"/>
        <v/>
      </c>
      <c r="R842" s="238" t="str">
        <f t="shared" si="7"/>
        <v/>
      </c>
      <c r="S842" s="238" t="str">
        <f t="shared" si="8"/>
        <v/>
      </c>
      <c r="T842" s="238"/>
      <c r="U842" s="237"/>
      <c r="V842" s="238"/>
      <c r="W842" s="238" t="str">
        <f t="shared" si="9"/>
        <v/>
      </c>
      <c r="X842" s="237" t="str">
        <f t="shared" ref="X842:Y842" si="834">IF(ISBLANK(H842),,""""&amp;H842&amp;"""")</f>
        <v/>
      </c>
      <c r="Y842" s="237" t="str">
        <f t="shared" si="834"/>
        <v/>
      </c>
      <c r="Z842" s="237" t="str">
        <f>IF(ISBLANK(K842),,Config!$C$3&amp;"&amp;range=BB"&amp;MATCH(K842,FRG!AE:AE,0))</f>
        <v/>
      </c>
      <c r="AB842" s="242" t="str">
        <f>IFERROR(__xludf.DUMMYFUNCTION("IF(ISBLANK(K842),,SUBSTITUTE(IFERROR(JOIN("","",K842:Z842),JOIN("","",K842:Y842)),CHAR(10),""""))"),"")</f>
        <v/>
      </c>
      <c r="AC842" s="229" t="str">
        <f t="shared" si="1"/>
        <v/>
      </c>
    </row>
    <row r="843">
      <c r="K843" s="237"/>
      <c r="L843" s="238" t="str">
        <f t="shared" si="3"/>
        <v/>
      </c>
      <c r="M843" s="237"/>
      <c r="N843" s="238"/>
      <c r="O843" s="238" t="str">
        <f t="shared" si="4"/>
        <v/>
      </c>
      <c r="P843" s="238" t="str">
        <f t="shared" si="5"/>
        <v/>
      </c>
      <c r="Q843" s="238" t="str">
        <f t="shared" si="6"/>
        <v/>
      </c>
      <c r="R843" s="238" t="str">
        <f t="shared" si="7"/>
        <v/>
      </c>
      <c r="S843" s="238" t="str">
        <f t="shared" si="8"/>
        <v/>
      </c>
      <c r="T843" s="238"/>
      <c r="U843" s="237"/>
      <c r="V843" s="238"/>
      <c r="W843" s="238" t="str">
        <f t="shared" si="9"/>
        <v/>
      </c>
      <c r="X843" s="237" t="str">
        <f t="shared" ref="X843:Y843" si="835">IF(ISBLANK(H843),,""""&amp;H843&amp;"""")</f>
        <v/>
      </c>
      <c r="Y843" s="237" t="str">
        <f t="shared" si="835"/>
        <v/>
      </c>
      <c r="Z843" s="237" t="str">
        <f>IF(ISBLANK(K843),,Config!$C$3&amp;"&amp;range=BB"&amp;MATCH(K843,FRG!AE:AE,0))</f>
        <v/>
      </c>
      <c r="AB843" s="242" t="str">
        <f>IFERROR(__xludf.DUMMYFUNCTION("IF(ISBLANK(K843),,SUBSTITUTE(IFERROR(JOIN("","",K843:Z843),JOIN("","",K843:Y843)),CHAR(10),""""))"),"")</f>
        <v/>
      </c>
      <c r="AC843" s="229" t="str">
        <f t="shared" si="1"/>
        <v/>
      </c>
    </row>
    <row r="844">
      <c r="K844" s="237"/>
      <c r="L844" s="238" t="str">
        <f t="shared" si="3"/>
        <v/>
      </c>
      <c r="M844" s="237"/>
      <c r="N844" s="238"/>
      <c r="O844" s="238" t="str">
        <f t="shared" si="4"/>
        <v/>
      </c>
      <c r="P844" s="238" t="str">
        <f t="shared" si="5"/>
        <v/>
      </c>
      <c r="Q844" s="238" t="str">
        <f t="shared" si="6"/>
        <v/>
      </c>
      <c r="R844" s="238" t="str">
        <f t="shared" si="7"/>
        <v/>
      </c>
      <c r="S844" s="238" t="str">
        <f t="shared" si="8"/>
        <v/>
      </c>
      <c r="T844" s="238"/>
      <c r="U844" s="237"/>
      <c r="V844" s="238"/>
      <c r="W844" s="238" t="str">
        <f t="shared" si="9"/>
        <v/>
      </c>
      <c r="X844" s="237" t="str">
        <f t="shared" ref="X844:Y844" si="836">IF(ISBLANK(H844),,""""&amp;H844&amp;"""")</f>
        <v/>
      </c>
      <c r="Y844" s="237" t="str">
        <f t="shared" si="836"/>
        <v/>
      </c>
      <c r="Z844" s="237" t="str">
        <f>IF(ISBLANK(K844),,Config!$C$3&amp;"&amp;range=BB"&amp;MATCH(K844,FRG!AE:AE,0))</f>
        <v/>
      </c>
      <c r="AB844" s="242" t="str">
        <f>IFERROR(__xludf.DUMMYFUNCTION("IF(ISBLANK(K844),,SUBSTITUTE(IFERROR(JOIN("","",K844:Z844),JOIN("","",K844:Y844)),CHAR(10),""""))"),"")</f>
        <v/>
      </c>
      <c r="AC844" s="229" t="str">
        <f t="shared" si="1"/>
        <v/>
      </c>
    </row>
    <row r="845">
      <c r="K845" s="237"/>
      <c r="L845" s="238" t="str">
        <f t="shared" si="3"/>
        <v/>
      </c>
      <c r="M845" s="237"/>
      <c r="N845" s="238"/>
      <c r="O845" s="238" t="str">
        <f t="shared" si="4"/>
        <v/>
      </c>
      <c r="P845" s="238" t="str">
        <f t="shared" si="5"/>
        <v/>
      </c>
      <c r="Q845" s="238" t="str">
        <f t="shared" si="6"/>
        <v/>
      </c>
      <c r="R845" s="238" t="str">
        <f t="shared" si="7"/>
        <v/>
      </c>
      <c r="S845" s="238" t="str">
        <f t="shared" si="8"/>
        <v/>
      </c>
      <c r="T845" s="238"/>
      <c r="U845" s="237"/>
      <c r="V845" s="238"/>
      <c r="W845" s="238" t="str">
        <f t="shared" si="9"/>
        <v/>
      </c>
      <c r="X845" s="237" t="str">
        <f t="shared" ref="X845:Y845" si="837">IF(ISBLANK(H845),,""""&amp;H845&amp;"""")</f>
        <v/>
      </c>
      <c r="Y845" s="237" t="str">
        <f t="shared" si="837"/>
        <v/>
      </c>
      <c r="Z845" s="237" t="str">
        <f>IF(ISBLANK(K845),,Config!$C$3&amp;"&amp;range=BB"&amp;MATCH(K845,FRG!AE:AE,0))</f>
        <v/>
      </c>
      <c r="AB845" s="242" t="str">
        <f>IFERROR(__xludf.DUMMYFUNCTION("IF(ISBLANK(K845),,SUBSTITUTE(IFERROR(JOIN("","",K845:Z845),JOIN("","",K845:Y845)),CHAR(10),""""))"),"")</f>
        <v/>
      </c>
      <c r="AC845" s="229" t="str">
        <f t="shared" si="1"/>
        <v/>
      </c>
    </row>
    <row r="846">
      <c r="K846" s="237"/>
      <c r="L846" s="238" t="str">
        <f t="shared" si="3"/>
        <v/>
      </c>
      <c r="M846" s="237"/>
      <c r="N846" s="238"/>
      <c r="O846" s="238" t="str">
        <f t="shared" si="4"/>
        <v/>
      </c>
      <c r="P846" s="238" t="str">
        <f t="shared" si="5"/>
        <v/>
      </c>
      <c r="Q846" s="238" t="str">
        <f t="shared" si="6"/>
        <v/>
      </c>
      <c r="R846" s="238" t="str">
        <f t="shared" si="7"/>
        <v/>
      </c>
      <c r="S846" s="238" t="str">
        <f t="shared" si="8"/>
        <v/>
      </c>
      <c r="T846" s="238"/>
      <c r="U846" s="237"/>
      <c r="V846" s="238"/>
      <c r="W846" s="238" t="str">
        <f t="shared" si="9"/>
        <v/>
      </c>
      <c r="X846" s="237" t="str">
        <f t="shared" ref="X846:Y846" si="838">IF(ISBLANK(H846),,""""&amp;H846&amp;"""")</f>
        <v/>
      </c>
      <c r="Y846" s="237" t="str">
        <f t="shared" si="838"/>
        <v/>
      </c>
      <c r="Z846" s="237" t="str">
        <f>IF(ISBLANK(K846),,Config!$C$3&amp;"&amp;range=BB"&amp;MATCH(K846,FRG!AE:AE,0))</f>
        <v/>
      </c>
      <c r="AB846" s="242" t="str">
        <f>IFERROR(__xludf.DUMMYFUNCTION("IF(ISBLANK(K846),,SUBSTITUTE(IFERROR(JOIN("","",K846:Z846),JOIN("","",K846:Y846)),CHAR(10),""""))"),"")</f>
        <v/>
      </c>
      <c r="AC846" s="229" t="str">
        <f t="shared" si="1"/>
        <v/>
      </c>
    </row>
    <row r="847">
      <c r="K847" s="237"/>
      <c r="L847" s="238" t="str">
        <f t="shared" si="3"/>
        <v/>
      </c>
      <c r="M847" s="237"/>
      <c r="N847" s="238"/>
      <c r="O847" s="238" t="str">
        <f t="shared" si="4"/>
        <v/>
      </c>
      <c r="P847" s="238" t="str">
        <f t="shared" si="5"/>
        <v/>
      </c>
      <c r="Q847" s="238" t="str">
        <f t="shared" si="6"/>
        <v/>
      </c>
      <c r="R847" s="238" t="str">
        <f t="shared" si="7"/>
        <v/>
      </c>
      <c r="S847" s="238" t="str">
        <f t="shared" si="8"/>
        <v/>
      </c>
      <c r="T847" s="238"/>
      <c r="U847" s="237"/>
      <c r="V847" s="238"/>
      <c r="W847" s="238" t="str">
        <f t="shared" si="9"/>
        <v/>
      </c>
      <c r="X847" s="237" t="str">
        <f t="shared" ref="X847:Y847" si="839">IF(ISBLANK(H847),,""""&amp;H847&amp;"""")</f>
        <v/>
      </c>
      <c r="Y847" s="237" t="str">
        <f t="shared" si="839"/>
        <v/>
      </c>
      <c r="Z847" s="237" t="str">
        <f>IF(ISBLANK(K847),,Config!$C$3&amp;"&amp;range=BB"&amp;MATCH(K847,FRG!AE:AE,0))</f>
        <v/>
      </c>
      <c r="AB847" s="242" t="str">
        <f>IFERROR(__xludf.DUMMYFUNCTION("IF(ISBLANK(K847),,SUBSTITUTE(IFERROR(JOIN("","",K847:Z847),JOIN("","",K847:Y847)),CHAR(10),""""))"),"")</f>
        <v/>
      </c>
      <c r="AC847" s="229" t="str">
        <f t="shared" si="1"/>
        <v/>
      </c>
    </row>
    <row r="848">
      <c r="K848" s="237"/>
      <c r="L848" s="238" t="str">
        <f t="shared" si="3"/>
        <v/>
      </c>
      <c r="M848" s="237"/>
      <c r="N848" s="238"/>
      <c r="O848" s="238" t="str">
        <f t="shared" si="4"/>
        <v/>
      </c>
      <c r="P848" s="238" t="str">
        <f t="shared" si="5"/>
        <v/>
      </c>
      <c r="Q848" s="238" t="str">
        <f t="shared" si="6"/>
        <v/>
      </c>
      <c r="R848" s="238" t="str">
        <f t="shared" si="7"/>
        <v/>
      </c>
      <c r="S848" s="238" t="str">
        <f t="shared" si="8"/>
        <v/>
      </c>
      <c r="T848" s="238"/>
      <c r="U848" s="237"/>
      <c r="V848" s="238"/>
      <c r="W848" s="238" t="str">
        <f t="shared" si="9"/>
        <v/>
      </c>
      <c r="X848" s="237" t="str">
        <f t="shared" ref="X848:Y848" si="840">IF(ISBLANK(H848),,""""&amp;H848&amp;"""")</f>
        <v/>
      </c>
      <c r="Y848" s="237" t="str">
        <f t="shared" si="840"/>
        <v/>
      </c>
      <c r="Z848" s="237" t="str">
        <f>IF(ISBLANK(K848),,Config!$C$3&amp;"&amp;range=BB"&amp;MATCH(K848,FRG!AE:AE,0))</f>
        <v/>
      </c>
      <c r="AB848" s="242" t="str">
        <f>IFERROR(__xludf.DUMMYFUNCTION("IF(ISBLANK(K848),,SUBSTITUTE(IFERROR(JOIN("","",K848:Z848),JOIN("","",K848:Y848)),CHAR(10),""""))"),"")</f>
        <v/>
      </c>
      <c r="AC848" s="229" t="str">
        <f t="shared" si="1"/>
        <v/>
      </c>
    </row>
    <row r="849">
      <c r="K849" s="237"/>
      <c r="L849" s="238" t="str">
        <f t="shared" si="3"/>
        <v/>
      </c>
      <c r="M849" s="237"/>
      <c r="N849" s="238"/>
      <c r="O849" s="238" t="str">
        <f t="shared" si="4"/>
        <v/>
      </c>
      <c r="P849" s="238" t="str">
        <f t="shared" si="5"/>
        <v/>
      </c>
      <c r="Q849" s="238" t="str">
        <f t="shared" si="6"/>
        <v/>
      </c>
      <c r="R849" s="238" t="str">
        <f t="shared" si="7"/>
        <v/>
      </c>
      <c r="S849" s="238" t="str">
        <f t="shared" si="8"/>
        <v/>
      </c>
      <c r="T849" s="238"/>
      <c r="U849" s="237"/>
      <c r="V849" s="238"/>
      <c r="W849" s="238" t="str">
        <f t="shared" si="9"/>
        <v/>
      </c>
      <c r="X849" s="237" t="str">
        <f t="shared" ref="X849:Y849" si="841">IF(ISBLANK(H849),,""""&amp;H849&amp;"""")</f>
        <v/>
      </c>
      <c r="Y849" s="237" t="str">
        <f t="shared" si="841"/>
        <v/>
      </c>
      <c r="Z849" s="237" t="str">
        <f>IF(ISBLANK(K849),,Config!$C$3&amp;"&amp;range=BB"&amp;MATCH(K849,FRG!AE:AE,0))</f>
        <v/>
      </c>
      <c r="AB849" s="242" t="str">
        <f>IFERROR(__xludf.DUMMYFUNCTION("IF(ISBLANK(K849),,SUBSTITUTE(IFERROR(JOIN("","",K849:Z849),JOIN("","",K849:Y849)),CHAR(10),""""))"),"")</f>
        <v/>
      </c>
      <c r="AC849" s="229" t="str">
        <f t="shared" si="1"/>
        <v/>
      </c>
    </row>
    <row r="850">
      <c r="K850" s="237"/>
      <c r="L850" s="238" t="str">
        <f t="shared" si="3"/>
        <v/>
      </c>
      <c r="M850" s="237"/>
      <c r="N850" s="238"/>
      <c r="O850" s="238" t="str">
        <f t="shared" si="4"/>
        <v/>
      </c>
      <c r="P850" s="238" t="str">
        <f t="shared" si="5"/>
        <v/>
      </c>
      <c r="Q850" s="238" t="str">
        <f t="shared" si="6"/>
        <v/>
      </c>
      <c r="R850" s="238" t="str">
        <f t="shared" si="7"/>
        <v/>
      </c>
      <c r="S850" s="238" t="str">
        <f t="shared" si="8"/>
        <v/>
      </c>
      <c r="T850" s="238"/>
      <c r="U850" s="237"/>
      <c r="V850" s="238"/>
      <c r="W850" s="238" t="str">
        <f t="shared" si="9"/>
        <v/>
      </c>
      <c r="X850" s="237" t="str">
        <f t="shared" ref="X850:Y850" si="842">IF(ISBLANK(H850),,""""&amp;H850&amp;"""")</f>
        <v/>
      </c>
      <c r="Y850" s="237" t="str">
        <f t="shared" si="842"/>
        <v/>
      </c>
      <c r="Z850" s="237" t="str">
        <f>IF(ISBLANK(K850),,Config!$C$3&amp;"&amp;range=BB"&amp;MATCH(K850,FRG!AE:AE,0))</f>
        <v/>
      </c>
      <c r="AB850" s="242" t="str">
        <f>IFERROR(__xludf.DUMMYFUNCTION("IF(ISBLANK(K850),,SUBSTITUTE(IFERROR(JOIN("","",K850:Z850),JOIN("","",K850:Y850)),CHAR(10),""""))"),"")</f>
        <v/>
      </c>
      <c r="AC850" s="229" t="str">
        <f t="shared" si="1"/>
        <v/>
      </c>
    </row>
    <row r="851">
      <c r="K851" s="237"/>
      <c r="L851" s="238" t="str">
        <f t="shared" si="3"/>
        <v/>
      </c>
      <c r="M851" s="237"/>
      <c r="N851" s="238"/>
      <c r="O851" s="238" t="str">
        <f t="shared" si="4"/>
        <v/>
      </c>
      <c r="P851" s="238" t="str">
        <f t="shared" si="5"/>
        <v/>
      </c>
      <c r="Q851" s="238" t="str">
        <f t="shared" si="6"/>
        <v/>
      </c>
      <c r="R851" s="238" t="str">
        <f t="shared" si="7"/>
        <v/>
      </c>
      <c r="S851" s="238" t="str">
        <f t="shared" si="8"/>
        <v/>
      </c>
      <c r="T851" s="238"/>
      <c r="U851" s="237"/>
      <c r="V851" s="238"/>
      <c r="W851" s="238" t="str">
        <f t="shared" si="9"/>
        <v/>
      </c>
      <c r="X851" s="237" t="str">
        <f t="shared" ref="X851:Y851" si="843">IF(ISBLANK(H851),,""""&amp;H851&amp;"""")</f>
        <v/>
      </c>
      <c r="Y851" s="237" t="str">
        <f t="shared" si="843"/>
        <v/>
      </c>
      <c r="Z851" s="237" t="str">
        <f>IF(ISBLANK(K851),,Config!$C$3&amp;"&amp;range=BB"&amp;MATCH(K851,FRG!AE:AE,0))</f>
        <v/>
      </c>
      <c r="AB851" s="242" t="str">
        <f>IFERROR(__xludf.DUMMYFUNCTION("IF(ISBLANK(K851),,SUBSTITUTE(IFERROR(JOIN("","",K851:Z851),JOIN("","",K851:Y851)),CHAR(10),""""))"),"")</f>
        <v/>
      </c>
      <c r="AC851" s="229" t="str">
        <f t="shared" si="1"/>
        <v/>
      </c>
    </row>
    <row r="852">
      <c r="K852" s="237"/>
      <c r="L852" s="238" t="str">
        <f t="shared" si="3"/>
        <v/>
      </c>
      <c r="M852" s="237"/>
      <c r="N852" s="238"/>
      <c r="O852" s="238" t="str">
        <f t="shared" si="4"/>
        <v/>
      </c>
      <c r="P852" s="238" t="str">
        <f t="shared" si="5"/>
        <v/>
      </c>
      <c r="Q852" s="238" t="str">
        <f t="shared" si="6"/>
        <v/>
      </c>
      <c r="R852" s="238" t="str">
        <f t="shared" si="7"/>
        <v/>
      </c>
      <c r="S852" s="238" t="str">
        <f t="shared" si="8"/>
        <v/>
      </c>
      <c r="T852" s="238"/>
      <c r="U852" s="237"/>
      <c r="V852" s="238"/>
      <c r="W852" s="238" t="str">
        <f t="shared" si="9"/>
        <v/>
      </c>
      <c r="X852" s="237" t="str">
        <f t="shared" ref="X852:Y852" si="844">IF(ISBLANK(H852),,""""&amp;H852&amp;"""")</f>
        <v/>
      </c>
      <c r="Y852" s="237" t="str">
        <f t="shared" si="844"/>
        <v/>
      </c>
      <c r="Z852" s="237" t="str">
        <f>IF(ISBLANK(K852),,Config!$C$3&amp;"&amp;range=BB"&amp;MATCH(K852,FRG!AE:AE,0))</f>
        <v/>
      </c>
      <c r="AB852" s="242" t="str">
        <f>IFERROR(__xludf.DUMMYFUNCTION("IF(ISBLANK(K852),,SUBSTITUTE(IFERROR(JOIN("","",K852:Z852),JOIN("","",K852:Y852)),CHAR(10),""""))"),"")</f>
        <v/>
      </c>
      <c r="AC852" s="229" t="str">
        <f t="shared" si="1"/>
        <v/>
      </c>
    </row>
    <row r="853">
      <c r="K853" s="237"/>
      <c r="L853" s="238" t="str">
        <f t="shared" si="3"/>
        <v/>
      </c>
      <c r="M853" s="237"/>
      <c r="N853" s="238"/>
      <c r="O853" s="238" t="str">
        <f t="shared" si="4"/>
        <v/>
      </c>
      <c r="P853" s="238" t="str">
        <f t="shared" si="5"/>
        <v/>
      </c>
      <c r="Q853" s="238" t="str">
        <f t="shared" si="6"/>
        <v/>
      </c>
      <c r="R853" s="238" t="str">
        <f t="shared" si="7"/>
        <v/>
      </c>
      <c r="S853" s="238" t="str">
        <f t="shared" si="8"/>
        <v/>
      </c>
      <c r="T853" s="238"/>
      <c r="U853" s="237"/>
      <c r="V853" s="238"/>
      <c r="W853" s="238" t="str">
        <f t="shared" si="9"/>
        <v/>
      </c>
      <c r="X853" s="237" t="str">
        <f t="shared" ref="X853:Y853" si="845">IF(ISBLANK(H853),,""""&amp;H853&amp;"""")</f>
        <v/>
      </c>
      <c r="Y853" s="237" t="str">
        <f t="shared" si="845"/>
        <v/>
      </c>
      <c r="Z853" s="237" t="str">
        <f>IF(ISBLANK(K853),,Config!$C$3&amp;"&amp;range=BB"&amp;MATCH(K853,FRG!AE:AE,0))</f>
        <v/>
      </c>
      <c r="AB853" s="242" t="str">
        <f>IFERROR(__xludf.DUMMYFUNCTION("IF(ISBLANK(K853),,SUBSTITUTE(IFERROR(JOIN("","",K853:Z853),JOIN("","",K853:Y853)),CHAR(10),""""))"),"")</f>
        <v/>
      </c>
      <c r="AC853" s="229" t="str">
        <f t="shared" si="1"/>
        <v/>
      </c>
    </row>
    <row r="854">
      <c r="K854" s="237"/>
      <c r="L854" s="238" t="str">
        <f t="shared" si="3"/>
        <v/>
      </c>
      <c r="M854" s="237"/>
      <c r="N854" s="238"/>
      <c r="O854" s="238" t="str">
        <f t="shared" si="4"/>
        <v/>
      </c>
      <c r="P854" s="238" t="str">
        <f t="shared" si="5"/>
        <v/>
      </c>
      <c r="Q854" s="238" t="str">
        <f t="shared" si="6"/>
        <v/>
      </c>
      <c r="R854" s="238" t="str">
        <f t="shared" si="7"/>
        <v/>
      </c>
      <c r="S854" s="238" t="str">
        <f t="shared" si="8"/>
        <v/>
      </c>
      <c r="T854" s="238"/>
      <c r="U854" s="237"/>
      <c r="V854" s="238"/>
      <c r="W854" s="238" t="str">
        <f t="shared" si="9"/>
        <v/>
      </c>
      <c r="X854" s="237" t="str">
        <f t="shared" ref="X854:Y854" si="846">IF(ISBLANK(H854),,""""&amp;H854&amp;"""")</f>
        <v/>
      </c>
      <c r="Y854" s="237" t="str">
        <f t="shared" si="846"/>
        <v/>
      </c>
      <c r="Z854" s="237" t="str">
        <f>IF(ISBLANK(K854),,Config!$C$3&amp;"&amp;range=BB"&amp;MATCH(K854,FRG!AE:AE,0))</f>
        <v/>
      </c>
      <c r="AB854" s="242" t="str">
        <f>IFERROR(__xludf.DUMMYFUNCTION("IF(ISBLANK(K854),,SUBSTITUTE(IFERROR(JOIN("","",K854:Z854),JOIN("","",K854:Y854)),CHAR(10),""""))"),"")</f>
        <v/>
      </c>
      <c r="AC854" s="229" t="str">
        <f t="shared" si="1"/>
        <v/>
      </c>
    </row>
    <row r="855">
      <c r="K855" s="237"/>
      <c r="L855" s="238" t="str">
        <f t="shared" si="3"/>
        <v/>
      </c>
      <c r="M855" s="237"/>
      <c r="N855" s="238"/>
      <c r="O855" s="238" t="str">
        <f t="shared" si="4"/>
        <v/>
      </c>
      <c r="P855" s="238" t="str">
        <f t="shared" si="5"/>
        <v/>
      </c>
      <c r="Q855" s="238" t="str">
        <f t="shared" si="6"/>
        <v/>
      </c>
      <c r="R855" s="238" t="str">
        <f t="shared" si="7"/>
        <v/>
      </c>
      <c r="S855" s="238" t="str">
        <f t="shared" si="8"/>
        <v/>
      </c>
      <c r="T855" s="238"/>
      <c r="U855" s="237"/>
      <c r="V855" s="238"/>
      <c r="W855" s="238" t="str">
        <f t="shared" si="9"/>
        <v/>
      </c>
      <c r="X855" s="237" t="str">
        <f t="shared" ref="X855:Y855" si="847">IF(ISBLANK(H855),,""""&amp;H855&amp;"""")</f>
        <v/>
      </c>
      <c r="Y855" s="237" t="str">
        <f t="shared" si="847"/>
        <v/>
      </c>
      <c r="Z855" s="237" t="str">
        <f>IF(ISBLANK(K855),,Config!$C$3&amp;"&amp;range=BB"&amp;MATCH(K855,FRG!AE:AE,0))</f>
        <v/>
      </c>
      <c r="AB855" s="242" t="str">
        <f>IFERROR(__xludf.DUMMYFUNCTION("IF(ISBLANK(K855),,SUBSTITUTE(IFERROR(JOIN("","",K855:Z855),JOIN("","",K855:Y855)),CHAR(10),""""))"),"")</f>
        <v/>
      </c>
      <c r="AC855" s="229" t="str">
        <f t="shared" si="1"/>
        <v/>
      </c>
    </row>
    <row r="856">
      <c r="K856" s="237"/>
      <c r="L856" s="238" t="str">
        <f t="shared" si="3"/>
        <v/>
      </c>
      <c r="M856" s="237"/>
      <c r="N856" s="238"/>
      <c r="O856" s="238" t="str">
        <f t="shared" si="4"/>
        <v/>
      </c>
      <c r="P856" s="238" t="str">
        <f t="shared" si="5"/>
        <v/>
      </c>
      <c r="Q856" s="238" t="str">
        <f t="shared" si="6"/>
        <v/>
      </c>
      <c r="R856" s="238" t="str">
        <f t="shared" si="7"/>
        <v/>
      </c>
      <c r="S856" s="238" t="str">
        <f t="shared" si="8"/>
        <v/>
      </c>
      <c r="T856" s="238"/>
      <c r="U856" s="237"/>
      <c r="V856" s="238"/>
      <c r="W856" s="238" t="str">
        <f t="shared" si="9"/>
        <v/>
      </c>
      <c r="X856" s="237" t="str">
        <f t="shared" ref="X856:Y856" si="848">IF(ISBLANK(H856),,""""&amp;H856&amp;"""")</f>
        <v/>
      </c>
      <c r="Y856" s="237" t="str">
        <f t="shared" si="848"/>
        <v/>
      </c>
      <c r="Z856" s="237" t="str">
        <f>IF(ISBLANK(K856),,Config!$C$3&amp;"&amp;range=BB"&amp;MATCH(K856,FRG!AE:AE,0))</f>
        <v/>
      </c>
      <c r="AB856" s="242" t="str">
        <f>IFERROR(__xludf.DUMMYFUNCTION("IF(ISBLANK(K856),,SUBSTITUTE(IFERROR(JOIN("","",K856:Z856),JOIN("","",K856:Y856)),CHAR(10),""""))"),"")</f>
        <v/>
      </c>
      <c r="AC856" s="229" t="str">
        <f t="shared" si="1"/>
        <v/>
      </c>
    </row>
    <row r="857">
      <c r="K857" s="237"/>
      <c r="L857" s="238" t="str">
        <f t="shared" si="3"/>
        <v/>
      </c>
      <c r="M857" s="237"/>
      <c r="N857" s="238"/>
      <c r="O857" s="238" t="str">
        <f t="shared" si="4"/>
        <v/>
      </c>
      <c r="P857" s="238" t="str">
        <f t="shared" si="5"/>
        <v/>
      </c>
      <c r="Q857" s="238" t="str">
        <f t="shared" si="6"/>
        <v/>
      </c>
      <c r="R857" s="238" t="str">
        <f t="shared" si="7"/>
        <v/>
      </c>
      <c r="S857" s="238" t="str">
        <f t="shared" si="8"/>
        <v/>
      </c>
      <c r="T857" s="238"/>
      <c r="U857" s="237"/>
      <c r="V857" s="238"/>
      <c r="W857" s="238" t="str">
        <f t="shared" si="9"/>
        <v/>
      </c>
      <c r="X857" s="237" t="str">
        <f t="shared" ref="X857:Y857" si="849">IF(ISBLANK(H857),,""""&amp;H857&amp;"""")</f>
        <v/>
      </c>
      <c r="Y857" s="237" t="str">
        <f t="shared" si="849"/>
        <v/>
      </c>
      <c r="Z857" s="237" t="str">
        <f>IF(ISBLANK(K857),,Config!$C$3&amp;"&amp;range=BB"&amp;MATCH(K857,FRG!AE:AE,0))</f>
        <v/>
      </c>
      <c r="AB857" s="242" t="str">
        <f>IFERROR(__xludf.DUMMYFUNCTION("IF(ISBLANK(K857),,SUBSTITUTE(IFERROR(JOIN("","",K857:Z857),JOIN("","",K857:Y857)),CHAR(10),""""))"),"")</f>
        <v/>
      </c>
      <c r="AC857" s="229" t="str">
        <f t="shared" si="1"/>
        <v/>
      </c>
    </row>
    <row r="858">
      <c r="K858" s="237"/>
      <c r="L858" s="238" t="str">
        <f t="shared" si="3"/>
        <v/>
      </c>
      <c r="M858" s="237"/>
      <c r="N858" s="238"/>
      <c r="O858" s="238" t="str">
        <f t="shared" si="4"/>
        <v/>
      </c>
      <c r="P858" s="238" t="str">
        <f t="shared" si="5"/>
        <v/>
      </c>
      <c r="Q858" s="238" t="str">
        <f t="shared" si="6"/>
        <v/>
      </c>
      <c r="R858" s="238" t="str">
        <f t="shared" si="7"/>
        <v/>
      </c>
      <c r="S858" s="238" t="str">
        <f t="shared" si="8"/>
        <v/>
      </c>
      <c r="T858" s="238"/>
      <c r="U858" s="237"/>
      <c r="V858" s="238"/>
      <c r="W858" s="238" t="str">
        <f t="shared" si="9"/>
        <v/>
      </c>
      <c r="X858" s="237" t="str">
        <f t="shared" ref="X858:Y858" si="850">IF(ISBLANK(H858),,""""&amp;H858&amp;"""")</f>
        <v/>
      </c>
      <c r="Y858" s="237" t="str">
        <f t="shared" si="850"/>
        <v/>
      </c>
      <c r="Z858" s="237" t="str">
        <f>IF(ISBLANK(K858),,Config!$C$3&amp;"&amp;range=BB"&amp;MATCH(K858,FRG!AE:AE,0))</f>
        <v/>
      </c>
      <c r="AB858" s="242" t="str">
        <f>IFERROR(__xludf.DUMMYFUNCTION("IF(ISBLANK(K858),,SUBSTITUTE(IFERROR(JOIN("","",K858:Z858),JOIN("","",K858:Y858)),CHAR(10),""""))"),"")</f>
        <v/>
      </c>
      <c r="AC858" s="229" t="str">
        <f t="shared" si="1"/>
        <v/>
      </c>
    </row>
    <row r="859">
      <c r="K859" s="237"/>
      <c r="L859" s="238" t="str">
        <f t="shared" si="3"/>
        <v/>
      </c>
      <c r="M859" s="237"/>
      <c r="N859" s="238"/>
      <c r="O859" s="238" t="str">
        <f t="shared" si="4"/>
        <v/>
      </c>
      <c r="P859" s="238" t="str">
        <f t="shared" si="5"/>
        <v/>
      </c>
      <c r="Q859" s="238" t="str">
        <f t="shared" si="6"/>
        <v/>
      </c>
      <c r="R859" s="238" t="str">
        <f t="shared" si="7"/>
        <v/>
      </c>
      <c r="S859" s="238" t="str">
        <f t="shared" si="8"/>
        <v/>
      </c>
      <c r="T859" s="238"/>
      <c r="U859" s="237"/>
      <c r="V859" s="238"/>
      <c r="W859" s="238" t="str">
        <f t="shared" si="9"/>
        <v/>
      </c>
      <c r="X859" s="237" t="str">
        <f t="shared" ref="X859:Y859" si="851">IF(ISBLANK(H859),,""""&amp;H859&amp;"""")</f>
        <v/>
      </c>
      <c r="Y859" s="237" t="str">
        <f t="shared" si="851"/>
        <v/>
      </c>
      <c r="Z859" s="237" t="str">
        <f>IF(ISBLANK(K859),,Config!$C$3&amp;"&amp;range=BB"&amp;MATCH(K859,FRG!AE:AE,0))</f>
        <v/>
      </c>
      <c r="AB859" s="242" t="str">
        <f>IFERROR(__xludf.DUMMYFUNCTION("IF(ISBLANK(K859),,SUBSTITUTE(IFERROR(JOIN("","",K859:Z859),JOIN("","",K859:Y859)),CHAR(10),""""))"),"")</f>
        <v/>
      </c>
      <c r="AC859" s="229" t="str">
        <f t="shared" si="1"/>
        <v/>
      </c>
    </row>
    <row r="860">
      <c r="K860" s="237"/>
      <c r="L860" s="238" t="str">
        <f t="shared" si="3"/>
        <v/>
      </c>
      <c r="M860" s="237"/>
      <c r="N860" s="238"/>
      <c r="O860" s="238" t="str">
        <f t="shared" si="4"/>
        <v/>
      </c>
      <c r="P860" s="238" t="str">
        <f t="shared" si="5"/>
        <v/>
      </c>
      <c r="Q860" s="238" t="str">
        <f t="shared" si="6"/>
        <v/>
      </c>
      <c r="R860" s="238" t="str">
        <f t="shared" si="7"/>
        <v/>
      </c>
      <c r="S860" s="238" t="str">
        <f t="shared" si="8"/>
        <v/>
      </c>
      <c r="T860" s="238"/>
      <c r="U860" s="237"/>
      <c r="V860" s="238"/>
      <c r="W860" s="238" t="str">
        <f t="shared" si="9"/>
        <v/>
      </c>
      <c r="X860" s="237" t="str">
        <f t="shared" ref="X860:Y860" si="852">IF(ISBLANK(H860),,""""&amp;H860&amp;"""")</f>
        <v/>
      </c>
      <c r="Y860" s="237" t="str">
        <f t="shared" si="852"/>
        <v/>
      </c>
      <c r="Z860" s="237" t="str">
        <f>IF(ISBLANK(K860),,Config!$C$3&amp;"&amp;range=BB"&amp;MATCH(K860,FRG!AE:AE,0))</f>
        <v/>
      </c>
      <c r="AB860" s="242" t="str">
        <f>IFERROR(__xludf.DUMMYFUNCTION("IF(ISBLANK(K860),,SUBSTITUTE(IFERROR(JOIN("","",K860:Z860),JOIN("","",K860:Y860)),CHAR(10),""""))"),"")</f>
        <v/>
      </c>
      <c r="AC860" s="229" t="str">
        <f t="shared" si="1"/>
        <v/>
      </c>
    </row>
    <row r="861">
      <c r="K861" s="237"/>
      <c r="L861" s="238" t="str">
        <f t="shared" si="3"/>
        <v/>
      </c>
      <c r="M861" s="237"/>
      <c r="N861" s="238"/>
      <c r="O861" s="238" t="str">
        <f t="shared" si="4"/>
        <v/>
      </c>
      <c r="P861" s="238" t="str">
        <f t="shared" si="5"/>
        <v/>
      </c>
      <c r="Q861" s="238" t="str">
        <f t="shared" si="6"/>
        <v/>
      </c>
      <c r="R861" s="238" t="str">
        <f t="shared" si="7"/>
        <v/>
      </c>
      <c r="S861" s="238" t="str">
        <f t="shared" si="8"/>
        <v/>
      </c>
      <c r="T861" s="238"/>
      <c r="U861" s="237"/>
      <c r="V861" s="238"/>
      <c r="W861" s="238" t="str">
        <f t="shared" si="9"/>
        <v/>
      </c>
      <c r="X861" s="237" t="str">
        <f t="shared" ref="X861:Y861" si="853">IF(ISBLANK(H861),,""""&amp;H861&amp;"""")</f>
        <v/>
      </c>
      <c r="Y861" s="237" t="str">
        <f t="shared" si="853"/>
        <v/>
      </c>
      <c r="Z861" s="237" t="str">
        <f>IF(ISBLANK(K861),,Config!$C$3&amp;"&amp;range=BB"&amp;MATCH(K861,FRG!AE:AE,0))</f>
        <v/>
      </c>
      <c r="AB861" s="242" t="str">
        <f>IFERROR(__xludf.DUMMYFUNCTION("IF(ISBLANK(K861),,SUBSTITUTE(IFERROR(JOIN("","",K861:Z861),JOIN("","",K861:Y861)),CHAR(10),""""))"),"")</f>
        <v/>
      </c>
      <c r="AC861" s="229" t="str">
        <f t="shared" si="1"/>
        <v/>
      </c>
    </row>
    <row r="862">
      <c r="K862" s="237"/>
      <c r="L862" s="238" t="str">
        <f t="shared" si="3"/>
        <v/>
      </c>
      <c r="M862" s="237"/>
      <c r="N862" s="238"/>
      <c r="O862" s="238" t="str">
        <f t="shared" si="4"/>
        <v/>
      </c>
      <c r="P862" s="238" t="str">
        <f t="shared" si="5"/>
        <v/>
      </c>
      <c r="Q862" s="238" t="str">
        <f t="shared" si="6"/>
        <v/>
      </c>
      <c r="R862" s="238" t="str">
        <f t="shared" si="7"/>
        <v/>
      </c>
      <c r="S862" s="238" t="str">
        <f t="shared" si="8"/>
        <v/>
      </c>
      <c r="T862" s="238"/>
      <c r="U862" s="237"/>
      <c r="V862" s="238"/>
      <c r="W862" s="238" t="str">
        <f t="shared" si="9"/>
        <v/>
      </c>
      <c r="X862" s="237" t="str">
        <f t="shared" ref="X862:Y862" si="854">IF(ISBLANK(H862),,""""&amp;H862&amp;"""")</f>
        <v/>
      </c>
      <c r="Y862" s="237" t="str">
        <f t="shared" si="854"/>
        <v/>
      </c>
      <c r="Z862" s="237" t="str">
        <f>IF(ISBLANK(K862),,Config!$C$3&amp;"&amp;range=BB"&amp;MATCH(K862,FRG!AE:AE,0))</f>
        <v/>
      </c>
      <c r="AB862" s="242" t="str">
        <f>IFERROR(__xludf.DUMMYFUNCTION("IF(ISBLANK(K862),,SUBSTITUTE(IFERROR(JOIN("","",K862:Z862),JOIN("","",K862:Y862)),CHAR(10),""""))"),"")</f>
        <v/>
      </c>
      <c r="AC862" s="229" t="str">
        <f t="shared" si="1"/>
        <v/>
      </c>
    </row>
    <row r="863">
      <c r="K863" s="237"/>
      <c r="L863" s="238" t="str">
        <f t="shared" si="3"/>
        <v/>
      </c>
      <c r="M863" s="237"/>
      <c r="N863" s="238"/>
      <c r="O863" s="238" t="str">
        <f t="shared" si="4"/>
        <v/>
      </c>
      <c r="P863" s="238" t="str">
        <f t="shared" si="5"/>
        <v/>
      </c>
      <c r="Q863" s="238" t="str">
        <f t="shared" si="6"/>
        <v/>
      </c>
      <c r="R863" s="238" t="str">
        <f t="shared" si="7"/>
        <v/>
      </c>
      <c r="S863" s="238" t="str">
        <f t="shared" si="8"/>
        <v/>
      </c>
      <c r="T863" s="238"/>
      <c r="U863" s="237"/>
      <c r="V863" s="238"/>
      <c r="W863" s="238" t="str">
        <f t="shared" si="9"/>
        <v/>
      </c>
      <c r="X863" s="237" t="str">
        <f t="shared" ref="X863:Y863" si="855">IF(ISBLANK(H863),,""""&amp;H863&amp;"""")</f>
        <v/>
      </c>
      <c r="Y863" s="237" t="str">
        <f t="shared" si="855"/>
        <v/>
      </c>
      <c r="Z863" s="237" t="str">
        <f>IF(ISBLANK(K863),,Config!$C$3&amp;"&amp;range=BB"&amp;MATCH(K863,FRG!AE:AE,0))</f>
        <v/>
      </c>
      <c r="AB863" s="242" t="str">
        <f>IFERROR(__xludf.DUMMYFUNCTION("IF(ISBLANK(K863),,SUBSTITUTE(IFERROR(JOIN("","",K863:Z863),JOIN("","",K863:Y863)),CHAR(10),""""))"),"")</f>
        <v/>
      </c>
      <c r="AC863" s="229" t="str">
        <f t="shared" si="1"/>
        <v/>
      </c>
    </row>
    <row r="864">
      <c r="K864" s="237"/>
      <c r="L864" s="238" t="str">
        <f t="shared" si="3"/>
        <v/>
      </c>
      <c r="M864" s="237"/>
      <c r="N864" s="238"/>
      <c r="O864" s="238" t="str">
        <f t="shared" si="4"/>
        <v/>
      </c>
      <c r="P864" s="238" t="str">
        <f t="shared" si="5"/>
        <v/>
      </c>
      <c r="Q864" s="238" t="str">
        <f t="shared" si="6"/>
        <v/>
      </c>
      <c r="R864" s="238" t="str">
        <f t="shared" si="7"/>
        <v/>
      </c>
      <c r="S864" s="238" t="str">
        <f t="shared" si="8"/>
        <v/>
      </c>
      <c r="T864" s="238"/>
      <c r="U864" s="237"/>
      <c r="V864" s="238"/>
      <c r="W864" s="238" t="str">
        <f t="shared" si="9"/>
        <v/>
      </c>
      <c r="X864" s="237" t="str">
        <f t="shared" ref="X864:Y864" si="856">IF(ISBLANK(H864),,""""&amp;H864&amp;"""")</f>
        <v/>
      </c>
      <c r="Y864" s="237" t="str">
        <f t="shared" si="856"/>
        <v/>
      </c>
      <c r="Z864" s="237" t="str">
        <f>IF(ISBLANK(K864),,Config!$C$3&amp;"&amp;range=BB"&amp;MATCH(K864,FRG!AE:AE,0))</f>
        <v/>
      </c>
      <c r="AB864" s="242" t="str">
        <f>IFERROR(__xludf.DUMMYFUNCTION("IF(ISBLANK(K864),,SUBSTITUTE(IFERROR(JOIN("","",K864:Z864),JOIN("","",K864:Y864)),CHAR(10),""""))"),"")</f>
        <v/>
      </c>
      <c r="AC864" s="229" t="str">
        <f t="shared" si="1"/>
        <v/>
      </c>
    </row>
    <row r="865">
      <c r="K865" s="237"/>
      <c r="L865" s="238" t="str">
        <f t="shared" si="3"/>
        <v/>
      </c>
      <c r="M865" s="237"/>
      <c r="N865" s="238"/>
      <c r="O865" s="238" t="str">
        <f t="shared" si="4"/>
        <v/>
      </c>
      <c r="P865" s="238" t="str">
        <f t="shared" si="5"/>
        <v/>
      </c>
      <c r="Q865" s="238" t="str">
        <f t="shared" si="6"/>
        <v/>
      </c>
      <c r="R865" s="238" t="str">
        <f t="shared" si="7"/>
        <v/>
      </c>
      <c r="S865" s="238" t="str">
        <f t="shared" si="8"/>
        <v/>
      </c>
      <c r="T865" s="238"/>
      <c r="U865" s="237"/>
      <c r="V865" s="238"/>
      <c r="W865" s="238" t="str">
        <f t="shared" si="9"/>
        <v/>
      </c>
      <c r="X865" s="237" t="str">
        <f t="shared" ref="X865:Y865" si="857">IF(ISBLANK(H865),,""""&amp;H865&amp;"""")</f>
        <v/>
      </c>
      <c r="Y865" s="237" t="str">
        <f t="shared" si="857"/>
        <v/>
      </c>
      <c r="Z865" s="237" t="str">
        <f>IF(ISBLANK(K865),,Config!$C$3&amp;"&amp;range=BB"&amp;MATCH(K865,FRG!AE:AE,0))</f>
        <v/>
      </c>
      <c r="AB865" s="242" t="str">
        <f>IFERROR(__xludf.DUMMYFUNCTION("IF(ISBLANK(K865),,SUBSTITUTE(IFERROR(JOIN("","",K865:Z865),JOIN("","",K865:Y865)),CHAR(10),""""))"),"")</f>
        <v/>
      </c>
      <c r="AC865" s="229" t="str">
        <f t="shared" si="1"/>
        <v/>
      </c>
    </row>
    <row r="866">
      <c r="K866" s="237"/>
      <c r="L866" s="238" t="str">
        <f t="shared" si="3"/>
        <v/>
      </c>
      <c r="M866" s="237"/>
      <c r="N866" s="238"/>
      <c r="O866" s="238" t="str">
        <f t="shared" si="4"/>
        <v/>
      </c>
      <c r="P866" s="238" t="str">
        <f t="shared" si="5"/>
        <v/>
      </c>
      <c r="Q866" s="238" t="str">
        <f t="shared" si="6"/>
        <v/>
      </c>
      <c r="R866" s="238" t="str">
        <f t="shared" si="7"/>
        <v/>
      </c>
      <c r="S866" s="238" t="str">
        <f t="shared" si="8"/>
        <v/>
      </c>
      <c r="T866" s="238"/>
      <c r="U866" s="237"/>
      <c r="V866" s="238"/>
      <c r="W866" s="238" t="str">
        <f t="shared" si="9"/>
        <v/>
      </c>
      <c r="X866" s="237" t="str">
        <f t="shared" ref="X866:Y866" si="858">IF(ISBLANK(H866),,""""&amp;H866&amp;"""")</f>
        <v/>
      </c>
      <c r="Y866" s="237" t="str">
        <f t="shared" si="858"/>
        <v/>
      </c>
      <c r="Z866" s="237" t="str">
        <f>IF(ISBLANK(K866),,Config!$C$3&amp;"&amp;range=BB"&amp;MATCH(K866,FRG!AE:AE,0))</f>
        <v/>
      </c>
      <c r="AB866" s="242" t="str">
        <f>IFERROR(__xludf.DUMMYFUNCTION("IF(ISBLANK(K866),,SUBSTITUTE(IFERROR(JOIN("","",K866:Z866),JOIN("","",K866:Y866)),CHAR(10),""""))"),"")</f>
        <v/>
      </c>
      <c r="AC866" s="229" t="str">
        <f t="shared" si="1"/>
        <v/>
      </c>
    </row>
    <row r="867">
      <c r="K867" s="237"/>
      <c r="L867" s="238" t="str">
        <f t="shared" si="3"/>
        <v/>
      </c>
      <c r="M867" s="237"/>
      <c r="N867" s="238"/>
      <c r="O867" s="238" t="str">
        <f t="shared" si="4"/>
        <v/>
      </c>
      <c r="P867" s="238" t="str">
        <f t="shared" si="5"/>
        <v/>
      </c>
      <c r="Q867" s="238" t="str">
        <f t="shared" si="6"/>
        <v/>
      </c>
      <c r="R867" s="238" t="str">
        <f t="shared" si="7"/>
        <v/>
      </c>
      <c r="S867" s="238" t="str">
        <f t="shared" si="8"/>
        <v/>
      </c>
      <c r="T867" s="238"/>
      <c r="U867" s="237"/>
      <c r="V867" s="238"/>
      <c r="W867" s="238" t="str">
        <f t="shared" si="9"/>
        <v/>
      </c>
      <c r="X867" s="237" t="str">
        <f t="shared" ref="X867:Y867" si="859">IF(ISBLANK(H867),,""""&amp;H867&amp;"""")</f>
        <v/>
      </c>
      <c r="Y867" s="237" t="str">
        <f t="shared" si="859"/>
        <v/>
      </c>
      <c r="Z867" s="237" t="str">
        <f>IF(ISBLANK(K867),,Config!$C$3&amp;"&amp;range=BB"&amp;MATCH(K867,FRG!AE:AE,0))</f>
        <v/>
      </c>
      <c r="AB867" s="242" t="str">
        <f>IFERROR(__xludf.DUMMYFUNCTION("IF(ISBLANK(K867),,SUBSTITUTE(IFERROR(JOIN("","",K867:Z867),JOIN("","",K867:Y867)),CHAR(10),""""))"),"")</f>
        <v/>
      </c>
      <c r="AC867" s="229" t="str">
        <f t="shared" si="1"/>
        <v/>
      </c>
    </row>
    <row r="868">
      <c r="K868" s="237"/>
      <c r="L868" s="238" t="str">
        <f t="shared" si="3"/>
        <v/>
      </c>
      <c r="M868" s="237"/>
      <c r="N868" s="238"/>
      <c r="O868" s="238" t="str">
        <f t="shared" si="4"/>
        <v/>
      </c>
      <c r="P868" s="238" t="str">
        <f t="shared" si="5"/>
        <v/>
      </c>
      <c r="Q868" s="238" t="str">
        <f t="shared" si="6"/>
        <v/>
      </c>
      <c r="R868" s="238" t="str">
        <f t="shared" si="7"/>
        <v/>
      </c>
      <c r="S868" s="238" t="str">
        <f t="shared" si="8"/>
        <v/>
      </c>
      <c r="T868" s="238"/>
      <c r="U868" s="237"/>
      <c r="V868" s="238"/>
      <c r="W868" s="238" t="str">
        <f t="shared" si="9"/>
        <v/>
      </c>
      <c r="X868" s="237" t="str">
        <f t="shared" ref="X868:Y868" si="860">IF(ISBLANK(H868),,""""&amp;H868&amp;"""")</f>
        <v/>
      </c>
      <c r="Y868" s="237" t="str">
        <f t="shared" si="860"/>
        <v/>
      </c>
      <c r="Z868" s="237" t="str">
        <f>IF(ISBLANK(K868),,Config!$C$3&amp;"&amp;range=BB"&amp;MATCH(K868,FRG!AE:AE,0))</f>
        <v/>
      </c>
      <c r="AB868" s="242" t="str">
        <f>IFERROR(__xludf.DUMMYFUNCTION("IF(ISBLANK(K868),,SUBSTITUTE(IFERROR(JOIN("","",K868:Z868),JOIN("","",K868:Y868)),CHAR(10),""""))"),"")</f>
        <v/>
      </c>
      <c r="AC868" s="229" t="str">
        <f t="shared" si="1"/>
        <v/>
      </c>
    </row>
    <row r="869">
      <c r="K869" s="237"/>
      <c r="L869" s="238" t="str">
        <f t="shared" si="3"/>
        <v/>
      </c>
      <c r="M869" s="237"/>
      <c r="N869" s="238"/>
      <c r="O869" s="238" t="str">
        <f t="shared" si="4"/>
        <v/>
      </c>
      <c r="P869" s="238" t="str">
        <f t="shared" si="5"/>
        <v/>
      </c>
      <c r="Q869" s="238" t="str">
        <f t="shared" si="6"/>
        <v/>
      </c>
      <c r="R869" s="238" t="str">
        <f t="shared" si="7"/>
        <v/>
      </c>
      <c r="S869" s="238" t="str">
        <f t="shared" si="8"/>
        <v/>
      </c>
      <c r="T869" s="238"/>
      <c r="U869" s="237"/>
      <c r="V869" s="238"/>
      <c r="W869" s="238" t="str">
        <f t="shared" si="9"/>
        <v/>
      </c>
      <c r="X869" s="237" t="str">
        <f t="shared" ref="X869:Y869" si="861">IF(ISBLANK(H869),,""""&amp;H869&amp;"""")</f>
        <v/>
      </c>
      <c r="Y869" s="237" t="str">
        <f t="shared" si="861"/>
        <v/>
      </c>
      <c r="Z869" s="237" t="str">
        <f>IF(ISBLANK(K869),,Config!$C$3&amp;"&amp;range=BB"&amp;MATCH(K869,FRG!AE:AE,0))</f>
        <v/>
      </c>
      <c r="AB869" s="242" t="str">
        <f>IFERROR(__xludf.DUMMYFUNCTION("IF(ISBLANK(K869),,SUBSTITUTE(IFERROR(JOIN("","",K869:Z869),JOIN("","",K869:Y869)),CHAR(10),""""))"),"")</f>
        <v/>
      </c>
      <c r="AC869" s="229" t="str">
        <f t="shared" si="1"/>
        <v/>
      </c>
    </row>
    <row r="870">
      <c r="K870" s="237"/>
      <c r="L870" s="238" t="str">
        <f t="shared" si="3"/>
        <v/>
      </c>
      <c r="M870" s="237"/>
      <c r="N870" s="238"/>
      <c r="O870" s="238" t="str">
        <f t="shared" si="4"/>
        <v/>
      </c>
      <c r="P870" s="238" t="str">
        <f t="shared" si="5"/>
        <v/>
      </c>
      <c r="Q870" s="238" t="str">
        <f t="shared" si="6"/>
        <v/>
      </c>
      <c r="R870" s="238" t="str">
        <f t="shared" si="7"/>
        <v/>
      </c>
      <c r="S870" s="238" t="str">
        <f t="shared" si="8"/>
        <v/>
      </c>
      <c r="T870" s="238"/>
      <c r="U870" s="237"/>
      <c r="V870" s="238"/>
      <c r="W870" s="238" t="str">
        <f t="shared" si="9"/>
        <v/>
      </c>
      <c r="X870" s="237" t="str">
        <f t="shared" ref="X870:Y870" si="862">IF(ISBLANK(H870),,""""&amp;H870&amp;"""")</f>
        <v/>
      </c>
      <c r="Y870" s="237" t="str">
        <f t="shared" si="862"/>
        <v/>
      </c>
      <c r="Z870" s="237" t="str">
        <f>IF(ISBLANK(K870),,Config!$C$3&amp;"&amp;range=BB"&amp;MATCH(K870,FRG!AE:AE,0))</f>
        <v/>
      </c>
      <c r="AB870" s="242" t="str">
        <f>IFERROR(__xludf.DUMMYFUNCTION("IF(ISBLANK(K870),,SUBSTITUTE(IFERROR(JOIN("","",K870:Z870),JOIN("","",K870:Y870)),CHAR(10),""""))"),"")</f>
        <v/>
      </c>
      <c r="AC870" s="229" t="str">
        <f t="shared" si="1"/>
        <v/>
      </c>
    </row>
    <row r="871">
      <c r="K871" s="237"/>
      <c r="L871" s="238" t="str">
        <f t="shared" si="3"/>
        <v/>
      </c>
      <c r="M871" s="237"/>
      <c r="N871" s="238"/>
      <c r="O871" s="238" t="str">
        <f t="shared" si="4"/>
        <v/>
      </c>
      <c r="P871" s="238" t="str">
        <f t="shared" si="5"/>
        <v/>
      </c>
      <c r="Q871" s="238" t="str">
        <f t="shared" si="6"/>
        <v/>
      </c>
      <c r="R871" s="238" t="str">
        <f t="shared" si="7"/>
        <v/>
      </c>
      <c r="S871" s="238" t="str">
        <f t="shared" si="8"/>
        <v/>
      </c>
      <c r="T871" s="238"/>
      <c r="U871" s="237"/>
      <c r="V871" s="238"/>
      <c r="W871" s="238" t="str">
        <f t="shared" si="9"/>
        <v/>
      </c>
      <c r="X871" s="237" t="str">
        <f t="shared" ref="X871:Y871" si="863">IF(ISBLANK(H871),,""""&amp;H871&amp;"""")</f>
        <v/>
      </c>
      <c r="Y871" s="237" t="str">
        <f t="shared" si="863"/>
        <v/>
      </c>
      <c r="Z871" s="237" t="str">
        <f>IF(ISBLANK(K871),,Config!$C$3&amp;"&amp;range=BB"&amp;MATCH(K871,FRG!AE:AE,0))</f>
        <v/>
      </c>
      <c r="AB871" s="242" t="str">
        <f>IFERROR(__xludf.DUMMYFUNCTION("IF(ISBLANK(K871),,SUBSTITUTE(IFERROR(JOIN("","",K871:Z871),JOIN("","",K871:Y871)),CHAR(10),""""))"),"")</f>
        <v/>
      </c>
      <c r="AC871" s="229" t="str">
        <f t="shared" si="1"/>
        <v/>
      </c>
    </row>
    <row r="872">
      <c r="K872" s="237"/>
      <c r="L872" s="238" t="str">
        <f t="shared" si="3"/>
        <v/>
      </c>
      <c r="M872" s="237"/>
      <c r="N872" s="238"/>
      <c r="O872" s="238" t="str">
        <f t="shared" si="4"/>
        <v/>
      </c>
      <c r="P872" s="238" t="str">
        <f t="shared" si="5"/>
        <v/>
      </c>
      <c r="Q872" s="238" t="str">
        <f t="shared" si="6"/>
        <v/>
      </c>
      <c r="R872" s="238" t="str">
        <f t="shared" si="7"/>
        <v/>
      </c>
      <c r="S872" s="238" t="str">
        <f t="shared" si="8"/>
        <v/>
      </c>
      <c r="T872" s="238"/>
      <c r="U872" s="237"/>
      <c r="V872" s="238"/>
      <c r="W872" s="238" t="str">
        <f t="shared" si="9"/>
        <v/>
      </c>
      <c r="X872" s="237" t="str">
        <f t="shared" ref="X872:Y872" si="864">IF(ISBLANK(H872),,""""&amp;H872&amp;"""")</f>
        <v/>
      </c>
      <c r="Y872" s="237" t="str">
        <f t="shared" si="864"/>
        <v/>
      </c>
      <c r="Z872" s="237" t="str">
        <f>IF(ISBLANK(K872),,Config!$C$3&amp;"&amp;range=BB"&amp;MATCH(K872,FRG!AE:AE,0))</f>
        <v/>
      </c>
      <c r="AB872" s="242" t="str">
        <f>IFERROR(__xludf.DUMMYFUNCTION("IF(ISBLANK(K872),,SUBSTITUTE(IFERROR(JOIN("","",K872:Z872),JOIN("","",K872:Y872)),CHAR(10),""""))"),"")</f>
        <v/>
      </c>
      <c r="AC872" s="229" t="str">
        <f t="shared" si="1"/>
        <v/>
      </c>
    </row>
    <row r="873">
      <c r="K873" s="237"/>
      <c r="L873" s="238" t="str">
        <f t="shared" si="3"/>
        <v/>
      </c>
      <c r="M873" s="237"/>
      <c r="N873" s="238"/>
      <c r="O873" s="238" t="str">
        <f t="shared" si="4"/>
        <v/>
      </c>
      <c r="P873" s="238" t="str">
        <f t="shared" si="5"/>
        <v/>
      </c>
      <c r="Q873" s="238" t="str">
        <f t="shared" si="6"/>
        <v/>
      </c>
      <c r="R873" s="238" t="str">
        <f t="shared" si="7"/>
        <v/>
      </c>
      <c r="S873" s="238" t="str">
        <f t="shared" si="8"/>
        <v/>
      </c>
      <c r="T873" s="238"/>
      <c r="U873" s="237"/>
      <c r="V873" s="238"/>
      <c r="W873" s="238" t="str">
        <f t="shared" si="9"/>
        <v/>
      </c>
      <c r="X873" s="237" t="str">
        <f t="shared" ref="X873:Y873" si="865">IF(ISBLANK(H873),,""""&amp;H873&amp;"""")</f>
        <v/>
      </c>
      <c r="Y873" s="237" t="str">
        <f t="shared" si="865"/>
        <v/>
      </c>
      <c r="Z873" s="237" t="str">
        <f>IF(ISBLANK(K873),,Config!$C$3&amp;"&amp;range=BB"&amp;MATCH(K873,FRG!AE:AE,0))</f>
        <v/>
      </c>
      <c r="AB873" s="242" t="str">
        <f>IFERROR(__xludf.DUMMYFUNCTION("IF(ISBLANK(K873),,SUBSTITUTE(IFERROR(JOIN("","",K873:Z873),JOIN("","",K873:Y873)),CHAR(10),""""))"),"")</f>
        <v/>
      </c>
      <c r="AC873" s="229" t="str">
        <f t="shared" si="1"/>
        <v/>
      </c>
    </row>
    <row r="874">
      <c r="K874" s="237"/>
      <c r="L874" s="238" t="str">
        <f t="shared" si="3"/>
        <v/>
      </c>
      <c r="M874" s="237"/>
      <c r="N874" s="238"/>
      <c r="O874" s="238" t="str">
        <f t="shared" si="4"/>
        <v/>
      </c>
      <c r="P874" s="238" t="str">
        <f t="shared" si="5"/>
        <v/>
      </c>
      <c r="Q874" s="238" t="str">
        <f t="shared" si="6"/>
        <v/>
      </c>
      <c r="R874" s="238" t="str">
        <f t="shared" si="7"/>
        <v/>
      </c>
      <c r="S874" s="238" t="str">
        <f t="shared" si="8"/>
        <v/>
      </c>
      <c r="T874" s="238"/>
      <c r="U874" s="237"/>
      <c r="V874" s="238"/>
      <c r="W874" s="238" t="str">
        <f t="shared" si="9"/>
        <v/>
      </c>
      <c r="X874" s="237" t="str">
        <f t="shared" ref="X874:Y874" si="866">IF(ISBLANK(H874),,""""&amp;H874&amp;"""")</f>
        <v/>
      </c>
      <c r="Y874" s="237" t="str">
        <f t="shared" si="866"/>
        <v/>
      </c>
      <c r="Z874" s="237" t="str">
        <f>IF(ISBLANK(K874),,Config!$C$3&amp;"&amp;range=BB"&amp;MATCH(K874,FRG!AE:AE,0))</f>
        <v/>
      </c>
      <c r="AB874" s="242" t="str">
        <f>IFERROR(__xludf.DUMMYFUNCTION("IF(ISBLANK(K874),,SUBSTITUTE(IFERROR(JOIN("","",K874:Z874),JOIN("","",K874:Y874)),CHAR(10),""""))"),"")</f>
        <v/>
      </c>
      <c r="AC874" s="229" t="str">
        <f t="shared" si="1"/>
        <v/>
      </c>
    </row>
    <row r="875">
      <c r="K875" s="237"/>
      <c r="L875" s="238" t="str">
        <f t="shared" si="3"/>
        <v/>
      </c>
      <c r="M875" s="237"/>
      <c r="N875" s="238"/>
      <c r="O875" s="238" t="str">
        <f t="shared" si="4"/>
        <v/>
      </c>
      <c r="P875" s="238" t="str">
        <f t="shared" si="5"/>
        <v/>
      </c>
      <c r="Q875" s="238" t="str">
        <f t="shared" si="6"/>
        <v/>
      </c>
      <c r="R875" s="238" t="str">
        <f t="shared" si="7"/>
        <v/>
      </c>
      <c r="S875" s="238" t="str">
        <f t="shared" si="8"/>
        <v/>
      </c>
      <c r="T875" s="238"/>
      <c r="U875" s="237"/>
      <c r="V875" s="238"/>
      <c r="W875" s="238" t="str">
        <f t="shared" si="9"/>
        <v/>
      </c>
      <c r="X875" s="237" t="str">
        <f t="shared" ref="X875:Y875" si="867">IF(ISBLANK(H875),,""""&amp;H875&amp;"""")</f>
        <v/>
      </c>
      <c r="Y875" s="237" t="str">
        <f t="shared" si="867"/>
        <v/>
      </c>
      <c r="Z875" s="237" t="str">
        <f>IF(ISBLANK(K875),,Config!$C$3&amp;"&amp;range=BB"&amp;MATCH(K875,FRG!AE:AE,0))</f>
        <v/>
      </c>
      <c r="AB875" s="242" t="str">
        <f>IFERROR(__xludf.DUMMYFUNCTION("IF(ISBLANK(K875),,SUBSTITUTE(IFERROR(JOIN("","",K875:Z875),JOIN("","",K875:Y875)),CHAR(10),""""))"),"")</f>
        <v/>
      </c>
      <c r="AC875" s="229" t="str">
        <f t="shared" si="1"/>
        <v/>
      </c>
    </row>
    <row r="876">
      <c r="K876" s="237"/>
      <c r="L876" s="238" t="str">
        <f t="shared" si="3"/>
        <v/>
      </c>
      <c r="M876" s="237"/>
      <c r="N876" s="238"/>
      <c r="O876" s="238" t="str">
        <f t="shared" si="4"/>
        <v/>
      </c>
      <c r="P876" s="238" t="str">
        <f t="shared" si="5"/>
        <v/>
      </c>
      <c r="Q876" s="238" t="str">
        <f t="shared" si="6"/>
        <v/>
      </c>
      <c r="R876" s="238" t="str">
        <f t="shared" si="7"/>
        <v/>
      </c>
      <c r="S876" s="238" t="str">
        <f t="shared" si="8"/>
        <v/>
      </c>
      <c r="T876" s="238"/>
      <c r="U876" s="237"/>
      <c r="V876" s="238"/>
      <c r="W876" s="238" t="str">
        <f t="shared" si="9"/>
        <v/>
      </c>
      <c r="X876" s="237" t="str">
        <f t="shared" ref="X876:Y876" si="868">IF(ISBLANK(H876),,""""&amp;H876&amp;"""")</f>
        <v/>
      </c>
      <c r="Y876" s="237" t="str">
        <f t="shared" si="868"/>
        <v/>
      </c>
      <c r="Z876" s="237" t="str">
        <f>IF(ISBLANK(K876),,Config!$C$3&amp;"&amp;range=BB"&amp;MATCH(K876,FRG!AE:AE,0))</f>
        <v/>
      </c>
      <c r="AB876" s="242" t="str">
        <f>IFERROR(__xludf.DUMMYFUNCTION("IF(ISBLANK(K876),,SUBSTITUTE(IFERROR(JOIN("","",K876:Z876),JOIN("","",K876:Y876)),CHAR(10),""""))"),"")</f>
        <v/>
      </c>
      <c r="AC876" s="229" t="str">
        <f t="shared" si="1"/>
        <v/>
      </c>
    </row>
    <row r="877">
      <c r="K877" s="237"/>
      <c r="L877" s="238" t="str">
        <f t="shared" si="3"/>
        <v/>
      </c>
      <c r="M877" s="237"/>
      <c r="N877" s="238"/>
      <c r="O877" s="238" t="str">
        <f t="shared" si="4"/>
        <v/>
      </c>
      <c r="P877" s="238" t="str">
        <f t="shared" si="5"/>
        <v/>
      </c>
      <c r="Q877" s="238" t="str">
        <f t="shared" si="6"/>
        <v/>
      </c>
      <c r="R877" s="238" t="str">
        <f t="shared" si="7"/>
        <v/>
      </c>
      <c r="S877" s="238" t="str">
        <f t="shared" si="8"/>
        <v/>
      </c>
      <c r="T877" s="238"/>
      <c r="U877" s="237"/>
      <c r="V877" s="238"/>
      <c r="W877" s="238" t="str">
        <f t="shared" si="9"/>
        <v/>
      </c>
      <c r="X877" s="237" t="str">
        <f t="shared" ref="X877:Y877" si="869">IF(ISBLANK(H877),,""""&amp;H877&amp;"""")</f>
        <v/>
      </c>
      <c r="Y877" s="237" t="str">
        <f t="shared" si="869"/>
        <v/>
      </c>
      <c r="Z877" s="237" t="str">
        <f>IF(ISBLANK(K877),,Config!$C$3&amp;"&amp;range=BB"&amp;MATCH(K877,FRG!AE:AE,0))</f>
        <v/>
      </c>
      <c r="AB877" s="242" t="str">
        <f>IFERROR(__xludf.DUMMYFUNCTION("IF(ISBLANK(K877),,SUBSTITUTE(IFERROR(JOIN("","",K877:Z877),JOIN("","",K877:Y877)),CHAR(10),""""))"),"")</f>
        <v/>
      </c>
      <c r="AC877" s="229" t="str">
        <f t="shared" si="1"/>
        <v/>
      </c>
    </row>
    <row r="878">
      <c r="K878" s="237"/>
      <c r="L878" s="238" t="str">
        <f t="shared" si="3"/>
        <v/>
      </c>
      <c r="M878" s="237"/>
      <c r="N878" s="238"/>
      <c r="O878" s="238" t="str">
        <f t="shared" si="4"/>
        <v/>
      </c>
      <c r="P878" s="238" t="str">
        <f t="shared" si="5"/>
        <v/>
      </c>
      <c r="Q878" s="238" t="str">
        <f t="shared" si="6"/>
        <v/>
      </c>
      <c r="R878" s="238" t="str">
        <f t="shared" si="7"/>
        <v/>
      </c>
      <c r="S878" s="238" t="str">
        <f t="shared" si="8"/>
        <v/>
      </c>
      <c r="T878" s="238"/>
      <c r="U878" s="237"/>
      <c r="V878" s="238"/>
      <c r="W878" s="238" t="str">
        <f t="shared" si="9"/>
        <v/>
      </c>
      <c r="X878" s="237" t="str">
        <f t="shared" ref="X878:Y878" si="870">IF(ISBLANK(H878),,""""&amp;H878&amp;"""")</f>
        <v/>
      </c>
      <c r="Y878" s="237" t="str">
        <f t="shared" si="870"/>
        <v/>
      </c>
      <c r="Z878" s="237" t="str">
        <f>IF(ISBLANK(K878),,Config!$C$3&amp;"&amp;range=BB"&amp;MATCH(K878,FRG!AE:AE,0))</f>
        <v/>
      </c>
      <c r="AB878" s="242" t="str">
        <f>IFERROR(__xludf.DUMMYFUNCTION("IF(ISBLANK(K878),,SUBSTITUTE(IFERROR(JOIN("","",K878:Z878),JOIN("","",K878:Y878)),CHAR(10),""""))"),"")</f>
        <v/>
      </c>
      <c r="AC878" s="229" t="str">
        <f t="shared" si="1"/>
        <v/>
      </c>
    </row>
    <row r="879">
      <c r="K879" s="237"/>
      <c r="L879" s="238" t="str">
        <f t="shared" si="3"/>
        <v/>
      </c>
      <c r="M879" s="237"/>
      <c r="N879" s="238"/>
      <c r="O879" s="238" t="str">
        <f t="shared" si="4"/>
        <v/>
      </c>
      <c r="P879" s="238" t="str">
        <f t="shared" si="5"/>
        <v/>
      </c>
      <c r="Q879" s="238" t="str">
        <f t="shared" si="6"/>
        <v/>
      </c>
      <c r="R879" s="238" t="str">
        <f t="shared" si="7"/>
        <v/>
      </c>
      <c r="S879" s="238" t="str">
        <f t="shared" si="8"/>
        <v/>
      </c>
      <c r="T879" s="238"/>
      <c r="U879" s="237"/>
      <c r="V879" s="238"/>
      <c r="W879" s="238" t="str">
        <f t="shared" si="9"/>
        <v/>
      </c>
      <c r="X879" s="237" t="str">
        <f t="shared" ref="X879:Y879" si="871">IF(ISBLANK(H879),,""""&amp;H879&amp;"""")</f>
        <v/>
      </c>
      <c r="Y879" s="237" t="str">
        <f t="shared" si="871"/>
        <v/>
      </c>
      <c r="Z879" s="237" t="str">
        <f>IF(ISBLANK(K879),,Config!$C$3&amp;"&amp;range=BB"&amp;MATCH(K879,FRG!AE:AE,0))</f>
        <v/>
      </c>
      <c r="AB879" s="242" t="str">
        <f>IFERROR(__xludf.DUMMYFUNCTION("IF(ISBLANK(K879),,SUBSTITUTE(IFERROR(JOIN("","",K879:Z879),JOIN("","",K879:Y879)),CHAR(10),""""))"),"")</f>
        <v/>
      </c>
      <c r="AC879" s="229" t="str">
        <f t="shared" si="1"/>
        <v/>
      </c>
    </row>
    <row r="880">
      <c r="K880" s="237"/>
      <c r="L880" s="238" t="str">
        <f t="shared" si="3"/>
        <v/>
      </c>
      <c r="M880" s="237"/>
      <c r="N880" s="238"/>
      <c r="O880" s="238" t="str">
        <f t="shared" si="4"/>
        <v/>
      </c>
      <c r="P880" s="238" t="str">
        <f t="shared" si="5"/>
        <v/>
      </c>
      <c r="Q880" s="238" t="str">
        <f t="shared" si="6"/>
        <v/>
      </c>
      <c r="R880" s="238" t="str">
        <f t="shared" si="7"/>
        <v/>
      </c>
      <c r="S880" s="238" t="str">
        <f t="shared" si="8"/>
        <v/>
      </c>
      <c r="T880" s="238"/>
      <c r="U880" s="237"/>
      <c r="V880" s="238"/>
      <c r="W880" s="238" t="str">
        <f t="shared" si="9"/>
        <v/>
      </c>
      <c r="X880" s="237" t="str">
        <f t="shared" ref="X880:Y880" si="872">IF(ISBLANK(H880),,""""&amp;H880&amp;"""")</f>
        <v/>
      </c>
      <c r="Y880" s="237" t="str">
        <f t="shared" si="872"/>
        <v/>
      </c>
      <c r="Z880" s="237" t="str">
        <f>IF(ISBLANK(K880),,Config!$C$3&amp;"&amp;range=BB"&amp;MATCH(K880,FRG!AE:AE,0))</f>
        <v/>
      </c>
      <c r="AB880" s="242" t="str">
        <f>IFERROR(__xludf.DUMMYFUNCTION("IF(ISBLANK(K880),,SUBSTITUTE(IFERROR(JOIN("","",K880:Z880),JOIN("","",K880:Y880)),CHAR(10),""""))"),"")</f>
        <v/>
      </c>
      <c r="AC880" s="229" t="str">
        <f t="shared" si="1"/>
        <v/>
      </c>
    </row>
    <row r="881">
      <c r="K881" s="237"/>
      <c r="L881" s="238" t="str">
        <f t="shared" si="3"/>
        <v/>
      </c>
      <c r="M881" s="237"/>
      <c r="N881" s="238"/>
      <c r="O881" s="238" t="str">
        <f t="shared" si="4"/>
        <v/>
      </c>
      <c r="P881" s="238" t="str">
        <f t="shared" si="5"/>
        <v/>
      </c>
      <c r="Q881" s="238" t="str">
        <f t="shared" si="6"/>
        <v/>
      </c>
      <c r="R881" s="238" t="str">
        <f t="shared" si="7"/>
        <v/>
      </c>
      <c r="S881" s="238" t="str">
        <f t="shared" si="8"/>
        <v/>
      </c>
      <c r="T881" s="238"/>
      <c r="U881" s="237"/>
      <c r="V881" s="238"/>
      <c r="W881" s="238" t="str">
        <f t="shared" si="9"/>
        <v/>
      </c>
      <c r="X881" s="237" t="str">
        <f t="shared" ref="X881:Y881" si="873">IF(ISBLANK(H881),,""""&amp;H881&amp;"""")</f>
        <v/>
      </c>
      <c r="Y881" s="237" t="str">
        <f t="shared" si="873"/>
        <v/>
      </c>
      <c r="Z881" s="237" t="str">
        <f>IF(ISBLANK(K881),,Config!$C$3&amp;"&amp;range=BB"&amp;MATCH(K881,FRG!AE:AE,0))</f>
        <v/>
      </c>
      <c r="AB881" s="242" t="str">
        <f>IFERROR(__xludf.DUMMYFUNCTION("IF(ISBLANK(K881),,SUBSTITUTE(IFERROR(JOIN("","",K881:Z881),JOIN("","",K881:Y881)),CHAR(10),""""))"),"")</f>
        <v/>
      </c>
      <c r="AC881" s="229" t="str">
        <f t="shared" si="1"/>
        <v/>
      </c>
    </row>
    <row r="882">
      <c r="K882" s="237"/>
      <c r="L882" s="238" t="str">
        <f t="shared" si="3"/>
        <v/>
      </c>
      <c r="M882" s="237"/>
      <c r="N882" s="238"/>
      <c r="O882" s="238" t="str">
        <f t="shared" si="4"/>
        <v/>
      </c>
      <c r="P882" s="238" t="str">
        <f t="shared" si="5"/>
        <v/>
      </c>
      <c r="Q882" s="238" t="str">
        <f t="shared" si="6"/>
        <v/>
      </c>
      <c r="R882" s="238" t="str">
        <f t="shared" si="7"/>
        <v/>
      </c>
      <c r="S882" s="238" t="str">
        <f t="shared" si="8"/>
        <v/>
      </c>
      <c r="T882" s="238"/>
      <c r="U882" s="237"/>
      <c r="V882" s="238"/>
      <c r="W882" s="238" t="str">
        <f t="shared" si="9"/>
        <v/>
      </c>
      <c r="X882" s="237" t="str">
        <f t="shared" ref="X882:Y882" si="874">IF(ISBLANK(H882),,""""&amp;H882&amp;"""")</f>
        <v/>
      </c>
      <c r="Y882" s="237" t="str">
        <f t="shared" si="874"/>
        <v/>
      </c>
      <c r="Z882" s="237" t="str">
        <f>IF(ISBLANK(K882),,Config!$C$3&amp;"&amp;range=BB"&amp;MATCH(K882,FRG!AE:AE,0))</f>
        <v/>
      </c>
      <c r="AB882" s="242" t="str">
        <f>IFERROR(__xludf.DUMMYFUNCTION("IF(ISBLANK(K882),,SUBSTITUTE(IFERROR(JOIN("","",K882:Z882),JOIN("","",K882:Y882)),CHAR(10),""""))"),"")</f>
        <v/>
      </c>
      <c r="AC882" s="229" t="str">
        <f t="shared" si="1"/>
        <v/>
      </c>
    </row>
    <row r="883">
      <c r="K883" s="237"/>
      <c r="L883" s="238" t="str">
        <f t="shared" si="3"/>
        <v/>
      </c>
      <c r="M883" s="237"/>
      <c r="N883" s="238"/>
      <c r="O883" s="238" t="str">
        <f t="shared" si="4"/>
        <v/>
      </c>
      <c r="P883" s="238" t="str">
        <f t="shared" si="5"/>
        <v/>
      </c>
      <c r="Q883" s="238" t="str">
        <f t="shared" si="6"/>
        <v/>
      </c>
      <c r="R883" s="238" t="str">
        <f t="shared" si="7"/>
        <v/>
      </c>
      <c r="S883" s="238" t="str">
        <f t="shared" si="8"/>
        <v/>
      </c>
      <c r="T883" s="238"/>
      <c r="U883" s="237"/>
      <c r="V883" s="238"/>
      <c r="W883" s="238" t="str">
        <f t="shared" si="9"/>
        <v/>
      </c>
      <c r="X883" s="237" t="str">
        <f t="shared" ref="X883:Y883" si="875">IF(ISBLANK(H883),,""""&amp;H883&amp;"""")</f>
        <v/>
      </c>
      <c r="Y883" s="237" t="str">
        <f t="shared" si="875"/>
        <v/>
      </c>
      <c r="Z883" s="237" t="str">
        <f>IF(ISBLANK(K883),,Config!$C$3&amp;"&amp;range=BB"&amp;MATCH(K883,FRG!AE:AE,0))</f>
        <v/>
      </c>
      <c r="AB883" s="242" t="str">
        <f>IFERROR(__xludf.DUMMYFUNCTION("IF(ISBLANK(K883),,SUBSTITUTE(IFERROR(JOIN("","",K883:Z883),JOIN("","",K883:Y883)),CHAR(10),""""))"),"")</f>
        <v/>
      </c>
      <c r="AC883" s="229" t="str">
        <f t="shared" si="1"/>
        <v/>
      </c>
    </row>
    <row r="884">
      <c r="K884" s="237"/>
      <c r="L884" s="238" t="str">
        <f t="shared" si="3"/>
        <v/>
      </c>
      <c r="M884" s="237"/>
      <c r="N884" s="238"/>
      <c r="O884" s="238" t="str">
        <f t="shared" si="4"/>
        <v/>
      </c>
      <c r="P884" s="238" t="str">
        <f t="shared" si="5"/>
        <v/>
      </c>
      <c r="Q884" s="238" t="str">
        <f t="shared" si="6"/>
        <v/>
      </c>
      <c r="R884" s="238" t="str">
        <f t="shared" si="7"/>
        <v/>
      </c>
      <c r="S884" s="238" t="str">
        <f t="shared" si="8"/>
        <v/>
      </c>
      <c r="T884" s="238"/>
      <c r="U884" s="237"/>
      <c r="V884" s="238"/>
      <c r="W884" s="238" t="str">
        <f t="shared" si="9"/>
        <v/>
      </c>
      <c r="X884" s="237" t="str">
        <f t="shared" ref="X884:Y884" si="876">IF(ISBLANK(H884),,""""&amp;H884&amp;"""")</f>
        <v/>
      </c>
      <c r="Y884" s="237" t="str">
        <f t="shared" si="876"/>
        <v/>
      </c>
      <c r="Z884" s="237" t="str">
        <f>IF(ISBLANK(K884),,Config!$C$3&amp;"&amp;range=BB"&amp;MATCH(K884,FRG!AE:AE,0))</f>
        <v/>
      </c>
      <c r="AB884" s="242" t="str">
        <f>IFERROR(__xludf.DUMMYFUNCTION("IF(ISBLANK(K884),,SUBSTITUTE(IFERROR(JOIN("","",K884:Z884),JOIN("","",K884:Y884)),CHAR(10),""""))"),"")</f>
        <v/>
      </c>
      <c r="AC884" s="229" t="str">
        <f t="shared" si="1"/>
        <v/>
      </c>
    </row>
    <row r="885">
      <c r="K885" s="237"/>
      <c r="L885" s="238" t="str">
        <f t="shared" si="3"/>
        <v/>
      </c>
      <c r="M885" s="237"/>
      <c r="N885" s="238"/>
      <c r="O885" s="238" t="str">
        <f t="shared" si="4"/>
        <v/>
      </c>
      <c r="P885" s="238" t="str">
        <f t="shared" si="5"/>
        <v/>
      </c>
      <c r="Q885" s="238" t="str">
        <f t="shared" si="6"/>
        <v/>
      </c>
      <c r="R885" s="238" t="str">
        <f t="shared" si="7"/>
        <v/>
      </c>
      <c r="S885" s="238" t="str">
        <f t="shared" si="8"/>
        <v/>
      </c>
      <c r="T885" s="238"/>
      <c r="U885" s="237"/>
      <c r="V885" s="238"/>
      <c r="W885" s="238" t="str">
        <f t="shared" si="9"/>
        <v/>
      </c>
      <c r="X885" s="237" t="str">
        <f t="shared" ref="X885:Y885" si="877">IF(ISBLANK(H885),,""""&amp;H885&amp;"""")</f>
        <v/>
      </c>
      <c r="Y885" s="237" t="str">
        <f t="shared" si="877"/>
        <v/>
      </c>
      <c r="Z885" s="237" t="str">
        <f>IF(ISBLANK(K885),,Config!$C$3&amp;"&amp;range=BB"&amp;MATCH(K885,FRG!AE:AE,0))</f>
        <v/>
      </c>
      <c r="AB885" s="242" t="str">
        <f>IFERROR(__xludf.DUMMYFUNCTION("IF(ISBLANK(K885),,SUBSTITUTE(IFERROR(JOIN("","",K885:Z885),JOIN("","",K885:Y885)),CHAR(10),""""))"),"")</f>
        <v/>
      </c>
      <c r="AC885" s="229" t="str">
        <f t="shared" si="1"/>
        <v/>
      </c>
    </row>
    <row r="886">
      <c r="K886" s="237"/>
      <c r="L886" s="238" t="str">
        <f t="shared" si="3"/>
        <v/>
      </c>
      <c r="M886" s="237"/>
      <c r="N886" s="238"/>
      <c r="O886" s="238" t="str">
        <f t="shared" si="4"/>
        <v/>
      </c>
      <c r="P886" s="238" t="str">
        <f t="shared" si="5"/>
        <v/>
      </c>
      <c r="Q886" s="238" t="str">
        <f t="shared" si="6"/>
        <v/>
      </c>
      <c r="R886" s="238" t="str">
        <f t="shared" si="7"/>
        <v/>
      </c>
      <c r="S886" s="238" t="str">
        <f t="shared" si="8"/>
        <v/>
      </c>
      <c r="T886" s="238"/>
      <c r="U886" s="237"/>
      <c r="V886" s="238"/>
      <c r="W886" s="238" t="str">
        <f t="shared" si="9"/>
        <v/>
      </c>
      <c r="X886" s="237" t="str">
        <f t="shared" ref="X886:Y886" si="878">IF(ISBLANK(H886),,""""&amp;H886&amp;"""")</f>
        <v/>
      </c>
      <c r="Y886" s="237" t="str">
        <f t="shared" si="878"/>
        <v/>
      </c>
      <c r="Z886" s="237" t="str">
        <f>IF(ISBLANK(K886),,Config!$C$3&amp;"&amp;range=BB"&amp;MATCH(K886,FRG!AE:AE,0))</f>
        <v/>
      </c>
      <c r="AB886" s="242" t="str">
        <f>IFERROR(__xludf.DUMMYFUNCTION("IF(ISBLANK(K886),,SUBSTITUTE(IFERROR(JOIN("","",K886:Z886),JOIN("","",K886:Y886)),CHAR(10),""""))"),"")</f>
        <v/>
      </c>
      <c r="AC886" s="229" t="str">
        <f t="shared" si="1"/>
        <v/>
      </c>
    </row>
    <row r="887">
      <c r="K887" s="237"/>
      <c r="L887" s="238" t="str">
        <f t="shared" si="3"/>
        <v/>
      </c>
      <c r="M887" s="237"/>
      <c r="N887" s="238"/>
      <c r="O887" s="238" t="str">
        <f t="shared" si="4"/>
        <v/>
      </c>
      <c r="P887" s="238" t="str">
        <f t="shared" si="5"/>
        <v/>
      </c>
      <c r="Q887" s="238" t="str">
        <f t="shared" si="6"/>
        <v/>
      </c>
      <c r="R887" s="238" t="str">
        <f t="shared" si="7"/>
        <v/>
      </c>
      <c r="S887" s="238" t="str">
        <f t="shared" si="8"/>
        <v/>
      </c>
      <c r="T887" s="238"/>
      <c r="U887" s="237"/>
      <c r="V887" s="238"/>
      <c r="W887" s="238" t="str">
        <f t="shared" si="9"/>
        <v/>
      </c>
      <c r="X887" s="237" t="str">
        <f t="shared" ref="X887:Y887" si="879">IF(ISBLANK(H887),,""""&amp;H887&amp;"""")</f>
        <v/>
      </c>
      <c r="Y887" s="237" t="str">
        <f t="shared" si="879"/>
        <v/>
      </c>
      <c r="Z887" s="237" t="str">
        <f>IF(ISBLANK(K887),,Config!$C$3&amp;"&amp;range=BB"&amp;MATCH(K887,FRG!AE:AE,0))</f>
        <v/>
      </c>
      <c r="AB887" s="242" t="str">
        <f>IFERROR(__xludf.DUMMYFUNCTION("IF(ISBLANK(K887),,SUBSTITUTE(IFERROR(JOIN("","",K887:Z887),JOIN("","",K887:Y887)),CHAR(10),""""))"),"")</f>
        <v/>
      </c>
      <c r="AC887" s="229" t="str">
        <f t="shared" si="1"/>
        <v/>
      </c>
    </row>
    <row r="888">
      <c r="K888" s="237"/>
      <c r="L888" s="238" t="str">
        <f t="shared" si="3"/>
        <v/>
      </c>
      <c r="M888" s="237"/>
      <c r="N888" s="238"/>
      <c r="O888" s="238" t="str">
        <f t="shared" si="4"/>
        <v/>
      </c>
      <c r="P888" s="238" t="str">
        <f t="shared" si="5"/>
        <v/>
      </c>
      <c r="Q888" s="238" t="str">
        <f t="shared" si="6"/>
        <v/>
      </c>
      <c r="R888" s="238" t="str">
        <f t="shared" si="7"/>
        <v/>
      </c>
      <c r="S888" s="238" t="str">
        <f t="shared" si="8"/>
        <v/>
      </c>
      <c r="T888" s="238"/>
      <c r="U888" s="237"/>
      <c r="V888" s="238"/>
      <c r="W888" s="238" t="str">
        <f t="shared" si="9"/>
        <v/>
      </c>
      <c r="X888" s="237" t="str">
        <f t="shared" ref="X888:Y888" si="880">IF(ISBLANK(H888),,""""&amp;H888&amp;"""")</f>
        <v/>
      </c>
      <c r="Y888" s="237" t="str">
        <f t="shared" si="880"/>
        <v/>
      </c>
      <c r="Z888" s="237" t="str">
        <f>IF(ISBLANK(K888),,Config!$C$3&amp;"&amp;range=BB"&amp;MATCH(K888,FRG!AE:AE,0))</f>
        <v/>
      </c>
      <c r="AB888" s="242" t="str">
        <f>IFERROR(__xludf.DUMMYFUNCTION("IF(ISBLANK(K888),,SUBSTITUTE(IFERROR(JOIN("","",K888:Z888),JOIN("","",K888:Y888)),CHAR(10),""""))"),"")</f>
        <v/>
      </c>
      <c r="AC888" s="229" t="str">
        <f t="shared" si="1"/>
        <v/>
      </c>
    </row>
    <row r="889">
      <c r="K889" s="237"/>
      <c r="L889" s="238" t="str">
        <f t="shared" si="3"/>
        <v/>
      </c>
      <c r="M889" s="237"/>
      <c r="N889" s="238"/>
      <c r="O889" s="238" t="str">
        <f t="shared" si="4"/>
        <v/>
      </c>
      <c r="P889" s="238" t="str">
        <f t="shared" si="5"/>
        <v/>
      </c>
      <c r="Q889" s="238" t="str">
        <f t="shared" si="6"/>
        <v/>
      </c>
      <c r="R889" s="238" t="str">
        <f t="shared" si="7"/>
        <v/>
      </c>
      <c r="S889" s="238" t="str">
        <f t="shared" si="8"/>
        <v/>
      </c>
      <c r="T889" s="238"/>
      <c r="U889" s="237"/>
      <c r="V889" s="238"/>
      <c r="W889" s="238" t="str">
        <f t="shared" si="9"/>
        <v/>
      </c>
      <c r="X889" s="237" t="str">
        <f t="shared" ref="X889:Y889" si="881">IF(ISBLANK(H889),,""""&amp;H889&amp;"""")</f>
        <v/>
      </c>
      <c r="Y889" s="237" t="str">
        <f t="shared" si="881"/>
        <v/>
      </c>
      <c r="Z889" s="237" t="str">
        <f>IF(ISBLANK(K889),,Config!$C$3&amp;"&amp;range=BB"&amp;MATCH(K889,FRG!AE:AE,0))</f>
        <v/>
      </c>
      <c r="AB889" s="242" t="str">
        <f>IFERROR(__xludf.DUMMYFUNCTION("IF(ISBLANK(K889),,SUBSTITUTE(IFERROR(JOIN("","",K889:Z889),JOIN("","",K889:Y889)),CHAR(10),""""))"),"")</f>
        <v/>
      </c>
      <c r="AC889" s="229" t="str">
        <f t="shared" si="1"/>
        <v/>
      </c>
    </row>
    <row r="890">
      <c r="K890" s="237"/>
      <c r="L890" s="238" t="str">
        <f t="shared" si="3"/>
        <v/>
      </c>
      <c r="M890" s="237"/>
      <c r="N890" s="238"/>
      <c r="O890" s="238" t="str">
        <f t="shared" si="4"/>
        <v/>
      </c>
      <c r="P890" s="238" t="str">
        <f t="shared" si="5"/>
        <v/>
      </c>
      <c r="Q890" s="238" t="str">
        <f t="shared" si="6"/>
        <v/>
      </c>
      <c r="R890" s="238" t="str">
        <f t="shared" si="7"/>
        <v/>
      </c>
      <c r="S890" s="238" t="str">
        <f t="shared" si="8"/>
        <v/>
      </c>
      <c r="T890" s="238"/>
      <c r="U890" s="237"/>
      <c r="V890" s="238"/>
      <c r="W890" s="238" t="str">
        <f t="shared" si="9"/>
        <v/>
      </c>
      <c r="X890" s="237" t="str">
        <f t="shared" ref="X890:Y890" si="882">IF(ISBLANK(H890),,""""&amp;H890&amp;"""")</f>
        <v/>
      </c>
      <c r="Y890" s="237" t="str">
        <f t="shared" si="882"/>
        <v/>
      </c>
      <c r="Z890" s="237" t="str">
        <f>IF(ISBLANK(K890),,Config!$C$3&amp;"&amp;range=BB"&amp;MATCH(K890,FRG!AE:AE,0))</f>
        <v/>
      </c>
      <c r="AB890" s="242" t="str">
        <f>IFERROR(__xludf.DUMMYFUNCTION("IF(ISBLANK(K890),,SUBSTITUTE(IFERROR(JOIN("","",K890:Z890),JOIN("","",K890:Y890)),CHAR(10),""""))"),"")</f>
        <v/>
      </c>
      <c r="AC890" s="229" t="str">
        <f t="shared" si="1"/>
        <v/>
      </c>
    </row>
    <row r="891">
      <c r="K891" s="237"/>
      <c r="L891" s="238" t="str">
        <f t="shared" si="3"/>
        <v/>
      </c>
      <c r="M891" s="237"/>
      <c r="N891" s="238"/>
      <c r="O891" s="238" t="str">
        <f t="shared" si="4"/>
        <v/>
      </c>
      <c r="P891" s="238" t="str">
        <f t="shared" si="5"/>
        <v/>
      </c>
      <c r="Q891" s="238" t="str">
        <f t="shared" si="6"/>
        <v/>
      </c>
      <c r="R891" s="238" t="str">
        <f t="shared" si="7"/>
        <v/>
      </c>
      <c r="S891" s="238" t="str">
        <f t="shared" si="8"/>
        <v/>
      </c>
      <c r="T891" s="238"/>
      <c r="U891" s="237"/>
      <c r="V891" s="238"/>
      <c r="W891" s="238" t="str">
        <f t="shared" si="9"/>
        <v/>
      </c>
      <c r="X891" s="237" t="str">
        <f t="shared" ref="X891:Y891" si="883">IF(ISBLANK(H891),,""""&amp;H891&amp;"""")</f>
        <v/>
      </c>
      <c r="Y891" s="237" t="str">
        <f t="shared" si="883"/>
        <v/>
      </c>
      <c r="Z891" s="237" t="str">
        <f>IF(ISBLANK(K891),,Config!$C$3&amp;"&amp;range=BB"&amp;MATCH(K891,FRG!AE:AE,0))</f>
        <v/>
      </c>
      <c r="AB891" s="242" t="str">
        <f>IFERROR(__xludf.DUMMYFUNCTION("IF(ISBLANK(K891),,SUBSTITUTE(IFERROR(JOIN("","",K891:Z891),JOIN("","",K891:Y891)),CHAR(10),""""))"),"")</f>
        <v/>
      </c>
      <c r="AC891" s="229" t="str">
        <f t="shared" si="1"/>
        <v/>
      </c>
    </row>
    <row r="892">
      <c r="K892" s="237"/>
      <c r="L892" s="238" t="str">
        <f t="shared" si="3"/>
        <v/>
      </c>
      <c r="M892" s="237"/>
      <c r="N892" s="238"/>
      <c r="O892" s="238" t="str">
        <f t="shared" si="4"/>
        <v/>
      </c>
      <c r="P892" s="238" t="str">
        <f t="shared" si="5"/>
        <v/>
      </c>
      <c r="Q892" s="238" t="str">
        <f t="shared" si="6"/>
        <v/>
      </c>
      <c r="R892" s="238" t="str">
        <f t="shared" si="7"/>
        <v/>
      </c>
      <c r="S892" s="238" t="str">
        <f t="shared" si="8"/>
        <v/>
      </c>
      <c r="T892" s="238"/>
      <c r="U892" s="237"/>
      <c r="V892" s="238"/>
      <c r="W892" s="238" t="str">
        <f t="shared" si="9"/>
        <v/>
      </c>
      <c r="X892" s="237" t="str">
        <f t="shared" ref="X892:Y892" si="884">IF(ISBLANK(H892),,""""&amp;H892&amp;"""")</f>
        <v/>
      </c>
      <c r="Y892" s="237" t="str">
        <f t="shared" si="884"/>
        <v/>
      </c>
      <c r="Z892" s="237" t="str">
        <f>IF(ISBLANK(K892),,Config!$C$3&amp;"&amp;range=BB"&amp;MATCH(K892,FRG!AE:AE,0))</f>
        <v/>
      </c>
      <c r="AB892" s="242" t="str">
        <f>IFERROR(__xludf.DUMMYFUNCTION("IF(ISBLANK(K892),,SUBSTITUTE(IFERROR(JOIN("","",K892:Z892),JOIN("","",K892:Y892)),CHAR(10),""""))"),"")</f>
        <v/>
      </c>
      <c r="AC892" s="229" t="str">
        <f t="shared" si="1"/>
        <v/>
      </c>
    </row>
    <row r="893">
      <c r="K893" s="237"/>
      <c r="L893" s="238" t="str">
        <f t="shared" si="3"/>
        <v/>
      </c>
      <c r="M893" s="237"/>
      <c r="N893" s="238"/>
      <c r="O893" s="238" t="str">
        <f t="shared" si="4"/>
        <v/>
      </c>
      <c r="P893" s="238" t="str">
        <f t="shared" si="5"/>
        <v/>
      </c>
      <c r="Q893" s="238" t="str">
        <f t="shared" si="6"/>
        <v/>
      </c>
      <c r="R893" s="238" t="str">
        <f t="shared" si="7"/>
        <v/>
      </c>
      <c r="S893" s="238" t="str">
        <f t="shared" si="8"/>
        <v/>
      </c>
      <c r="T893" s="238"/>
      <c r="U893" s="237"/>
      <c r="V893" s="238"/>
      <c r="W893" s="238" t="str">
        <f t="shared" si="9"/>
        <v/>
      </c>
      <c r="X893" s="237" t="str">
        <f t="shared" ref="X893:Y893" si="885">IF(ISBLANK(H893),,""""&amp;H893&amp;"""")</f>
        <v/>
      </c>
      <c r="Y893" s="237" t="str">
        <f t="shared" si="885"/>
        <v/>
      </c>
      <c r="Z893" s="237" t="str">
        <f>IF(ISBLANK(K893),,Config!$C$3&amp;"&amp;range=BB"&amp;MATCH(K893,FRG!AE:AE,0))</f>
        <v/>
      </c>
      <c r="AB893" s="242" t="str">
        <f>IFERROR(__xludf.DUMMYFUNCTION("IF(ISBLANK(K893),,SUBSTITUTE(IFERROR(JOIN("","",K893:Z893),JOIN("","",K893:Y893)),CHAR(10),""""))"),"")</f>
        <v/>
      </c>
      <c r="AC893" s="229" t="str">
        <f t="shared" si="1"/>
        <v/>
      </c>
    </row>
    <row r="894">
      <c r="K894" s="237"/>
      <c r="L894" s="238" t="str">
        <f t="shared" si="3"/>
        <v/>
      </c>
      <c r="M894" s="237"/>
      <c r="N894" s="238"/>
      <c r="O894" s="238" t="str">
        <f t="shared" si="4"/>
        <v/>
      </c>
      <c r="P894" s="238" t="str">
        <f t="shared" si="5"/>
        <v/>
      </c>
      <c r="Q894" s="238" t="str">
        <f t="shared" si="6"/>
        <v/>
      </c>
      <c r="R894" s="238" t="str">
        <f t="shared" si="7"/>
        <v/>
      </c>
      <c r="S894" s="238" t="str">
        <f t="shared" si="8"/>
        <v/>
      </c>
      <c r="T894" s="238"/>
      <c r="U894" s="237"/>
      <c r="V894" s="238"/>
      <c r="W894" s="238" t="str">
        <f t="shared" si="9"/>
        <v/>
      </c>
      <c r="X894" s="237" t="str">
        <f t="shared" ref="X894:Y894" si="886">IF(ISBLANK(H894),,""""&amp;H894&amp;"""")</f>
        <v/>
      </c>
      <c r="Y894" s="237" t="str">
        <f t="shared" si="886"/>
        <v/>
      </c>
      <c r="Z894" s="237" t="str">
        <f>IF(ISBLANK(K894),,Config!$C$3&amp;"&amp;range=BB"&amp;MATCH(K894,FRG!AE:AE,0))</f>
        <v/>
      </c>
      <c r="AB894" s="242" t="str">
        <f>IFERROR(__xludf.DUMMYFUNCTION("IF(ISBLANK(K894),,SUBSTITUTE(IFERROR(JOIN("","",K894:Z894),JOIN("","",K894:Y894)),CHAR(10),""""))"),"")</f>
        <v/>
      </c>
      <c r="AC894" s="229" t="str">
        <f t="shared" si="1"/>
        <v/>
      </c>
    </row>
    <row r="895">
      <c r="K895" s="237"/>
      <c r="L895" s="238" t="str">
        <f t="shared" si="3"/>
        <v/>
      </c>
      <c r="M895" s="237"/>
      <c r="N895" s="238"/>
      <c r="O895" s="238" t="str">
        <f t="shared" si="4"/>
        <v/>
      </c>
      <c r="P895" s="238" t="str">
        <f t="shared" si="5"/>
        <v/>
      </c>
      <c r="Q895" s="238" t="str">
        <f t="shared" si="6"/>
        <v/>
      </c>
      <c r="R895" s="238" t="str">
        <f t="shared" si="7"/>
        <v/>
      </c>
      <c r="S895" s="238" t="str">
        <f t="shared" si="8"/>
        <v/>
      </c>
      <c r="T895" s="238"/>
      <c r="U895" s="237"/>
      <c r="V895" s="238"/>
      <c r="W895" s="238" t="str">
        <f t="shared" si="9"/>
        <v/>
      </c>
      <c r="X895" s="237" t="str">
        <f t="shared" ref="X895:Y895" si="887">IF(ISBLANK(H895),,""""&amp;H895&amp;"""")</f>
        <v/>
      </c>
      <c r="Y895" s="237" t="str">
        <f t="shared" si="887"/>
        <v/>
      </c>
      <c r="Z895" s="237" t="str">
        <f>IF(ISBLANK(K895),,Config!$C$3&amp;"&amp;range=BB"&amp;MATCH(K895,FRG!AE:AE,0))</f>
        <v/>
      </c>
      <c r="AB895" s="242" t="str">
        <f>IFERROR(__xludf.DUMMYFUNCTION("IF(ISBLANK(K895),,SUBSTITUTE(IFERROR(JOIN("","",K895:Z895),JOIN("","",K895:Y895)),CHAR(10),""""))"),"")</f>
        <v/>
      </c>
      <c r="AC895" s="229" t="str">
        <f t="shared" si="1"/>
        <v/>
      </c>
    </row>
    <row r="896">
      <c r="K896" s="237"/>
      <c r="L896" s="238" t="str">
        <f t="shared" si="3"/>
        <v/>
      </c>
      <c r="M896" s="237"/>
      <c r="N896" s="238"/>
      <c r="O896" s="238" t="str">
        <f t="shared" si="4"/>
        <v/>
      </c>
      <c r="P896" s="238" t="str">
        <f t="shared" si="5"/>
        <v/>
      </c>
      <c r="Q896" s="238" t="str">
        <f t="shared" si="6"/>
        <v/>
      </c>
      <c r="R896" s="238" t="str">
        <f t="shared" si="7"/>
        <v/>
      </c>
      <c r="S896" s="238" t="str">
        <f t="shared" si="8"/>
        <v/>
      </c>
      <c r="T896" s="238"/>
      <c r="U896" s="237"/>
      <c r="V896" s="238"/>
      <c r="W896" s="238" t="str">
        <f t="shared" si="9"/>
        <v/>
      </c>
      <c r="X896" s="237" t="str">
        <f t="shared" ref="X896:Y896" si="888">IF(ISBLANK(H896),,""""&amp;H896&amp;"""")</f>
        <v/>
      </c>
      <c r="Y896" s="237" t="str">
        <f t="shared" si="888"/>
        <v/>
      </c>
      <c r="Z896" s="237" t="str">
        <f>IF(ISBLANK(K896),,Config!$C$3&amp;"&amp;range=BB"&amp;MATCH(K896,FRG!AE:AE,0))</f>
        <v/>
      </c>
      <c r="AB896" s="242" t="str">
        <f>IFERROR(__xludf.DUMMYFUNCTION("IF(ISBLANK(K896),,SUBSTITUTE(IFERROR(JOIN("","",K896:Z896),JOIN("","",K896:Y896)),CHAR(10),""""))"),"")</f>
        <v/>
      </c>
      <c r="AC896" s="229" t="str">
        <f t="shared" si="1"/>
        <v/>
      </c>
    </row>
    <row r="897">
      <c r="K897" s="237"/>
      <c r="L897" s="238" t="str">
        <f t="shared" si="3"/>
        <v/>
      </c>
      <c r="M897" s="237"/>
      <c r="N897" s="238"/>
      <c r="O897" s="238" t="str">
        <f t="shared" si="4"/>
        <v/>
      </c>
      <c r="P897" s="238" t="str">
        <f t="shared" si="5"/>
        <v/>
      </c>
      <c r="Q897" s="238" t="str">
        <f t="shared" si="6"/>
        <v/>
      </c>
      <c r="R897" s="238" t="str">
        <f t="shared" si="7"/>
        <v/>
      </c>
      <c r="S897" s="238" t="str">
        <f t="shared" si="8"/>
        <v/>
      </c>
      <c r="T897" s="238"/>
      <c r="U897" s="237"/>
      <c r="V897" s="238"/>
      <c r="W897" s="238" t="str">
        <f t="shared" si="9"/>
        <v/>
      </c>
      <c r="X897" s="237" t="str">
        <f t="shared" ref="X897:Y897" si="889">IF(ISBLANK(H897),,""""&amp;H897&amp;"""")</f>
        <v/>
      </c>
      <c r="Y897" s="237" t="str">
        <f t="shared" si="889"/>
        <v/>
      </c>
      <c r="Z897" s="237" t="str">
        <f>IF(ISBLANK(K897),,Config!$C$3&amp;"&amp;range=BB"&amp;MATCH(K897,FRG!AE:AE,0))</f>
        <v/>
      </c>
      <c r="AB897" s="242" t="str">
        <f>IFERROR(__xludf.DUMMYFUNCTION("IF(ISBLANK(K897),,SUBSTITUTE(IFERROR(JOIN("","",K897:Z897),JOIN("","",K897:Y897)),CHAR(10),""""))"),"")</f>
        <v/>
      </c>
      <c r="AC897" s="229" t="str">
        <f t="shared" si="1"/>
        <v/>
      </c>
    </row>
    <row r="898">
      <c r="K898" s="237"/>
      <c r="L898" s="238" t="str">
        <f t="shared" si="3"/>
        <v/>
      </c>
      <c r="M898" s="237"/>
      <c r="N898" s="238"/>
      <c r="O898" s="238" t="str">
        <f t="shared" si="4"/>
        <v/>
      </c>
      <c r="P898" s="238" t="str">
        <f t="shared" si="5"/>
        <v/>
      </c>
      <c r="Q898" s="238" t="str">
        <f t="shared" si="6"/>
        <v/>
      </c>
      <c r="R898" s="238" t="str">
        <f t="shared" si="7"/>
        <v/>
      </c>
      <c r="S898" s="238" t="str">
        <f t="shared" si="8"/>
        <v/>
      </c>
      <c r="T898" s="238"/>
      <c r="U898" s="237"/>
      <c r="V898" s="238"/>
      <c r="W898" s="238" t="str">
        <f t="shared" si="9"/>
        <v/>
      </c>
      <c r="X898" s="237" t="str">
        <f t="shared" ref="X898:Y898" si="890">IF(ISBLANK(H898),,""""&amp;H898&amp;"""")</f>
        <v/>
      </c>
      <c r="Y898" s="237" t="str">
        <f t="shared" si="890"/>
        <v/>
      </c>
      <c r="Z898" s="237" t="str">
        <f>IF(ISBLANK(K898),,Config!$C$3&amp;"&amp;range=BB"&amp;MATCH(K898,FRG!AE:AE,0))</f>
        <v/>
      </c>
      <c r="AB898" s="242" t="str">
        <f>IFERROR(__xludf.DUMMYFUNCTION("IF(ISBLANK(K898),,SUBSTITUTE(IFERROR(JOIN("","",K898:Z898),JOIN("","",K898:Y898)),CHAR(10),""""))"),"")</f>
        <v/>
      </c>
      <c r="AC898" s="229" t="str">
        <f t="shared" si="1"/>
        <v/>
      </c>
    </row>
    <row r="899">
      <c r="K899" s="237"/>
      <c r="L899" s="238" t="str">
        <f t="shared" si="3"/>
        <v/>
      </c>
      <c r="M899" s="237"/>
      <c r="N899" s="238"/>
      <c r="O899" s="238" t="str">
        <f t="shared" si="4"/>
        <v/>
      </c>
      <c r="P899" s="238" t="str">
        <f t="shared" si="5"/>
        <v/>
      </c>
      <c r="Q899" s="238" t="str">
        <f t="shared" si="6"/>
        <v/>
      </c>
      <c r="R899" s="238" t="str">
        <f t="shared" si="7"/>
        <v/>
      </c>
      <c r="S899" s="238" t="str">
        <f t="shared" si="8"/>
        <v/>
      </c>
      <c r="T899" s="238"/>
      <c r="U899" s="237"/>
      <c r="V899" s="238"/>
      <c r="W899" s="238" t="str">
        <f t="shared" si="9"/>
        <v/>
      </c>
      <c r="X899" s="237" t="str">
        <f t="shared" ref="X899:Y899" si="891">IF(ISBLANK(H899),,""""&amp;H899&amp;"""")</f>
        <v/>
      </c>
      <c r="Y899" s="237" t="str">
        <f t="shared" si="891"/>
        <v/>
      </c>
      <c r="Z899" s="237" t="str">
        <f>IF(ISBLANK(K899),,Config!$C$3&amp;"&amp;range=BB"&amp;MATCH(K899,FRG!AE:AE,0))</f>
        <v/>
      </c>
      <c r="AB899" s="242" t="str">
        <f>IFERROR(__xludf.DUMMYFUNCTION("IF(ISBLANK(K899),,SUBSTITUTE(IFERROR(JOIN("","",K899:Z899),JOIN("","",K899:Y899)),CHAR(10),""""))"),"")</f>
        <v/>
      </c>
      <c r="AC899" s="229" t="str">
        <f t="shared" si="1"/>
        <v/>
      </c>
    </row>
    <row r="900">
      <c r="K900" s="237"/>
      <c r="L900" s="238" t="str">
        <f t="shared" si="3"/>
        <v/>
      </c>
      <c r="M900" s="237"/>
      <c r="N900" s="238"/>
      <c r="O900" s="238" t="str">
        <f t="shared" si="4"/>
        <v/>
      </c>
      <c r="P900" s="238" t="str">
        <f t="shared" si="5"/>
        <v/>
      </c>
      <c r="Q900" s="238" t="str">
        <f t="shared" si="6"/>
        <v/>
      </c>
      <c r="R900" s="238" t="str">
        <f t="shared" si="7"/>
        <v/>
      </c>
      <c r="S900" s="238" t="str">
        <f t="shared" si="8"/>
        <v/>
      </c>
      <c r="T900" s="238"/>
      <c r="U900" s="237"/>
      <c r="V900" s="238"/>
      <c r="W900" s="238" t="str">
        <f t="shared" si="9"/>
        <v/>
      </c>
      <c r="X900" s="237" t="str">
        <f t="shared" ref="X900:Y900" si="892">IF(ISBLANK(H900),,""""&amp;H900&amp;"""")</f>
        <v/>
      </c>
      <c r="Y900" s="237" t="str">
        <f t="shared" si="892"/>
        <v/>
      </c>
      <c r="Z900" s="237" t="str">
        <f>IF(ISBLANK(K900),,Config!$C$3&amp;"&amp;range=BB"&amp;MATCH(K900,FRG!AE:AE,0))</f>
        <v/>
      </c>
      <c r="AB900" s="242" t="str">
        <f>IFERROR(__xludf.DUMMYFUNCTION("IF(ISBLANK(K900),,SUBSTITUTE(IFERROR(JOIN("","",K900:Z900),JOIN("","",K900:Y900)),CHAR(10),""""))"),"")</f>
        <v/>
      </c>
      <c r="AC900" s="229" t="str">
        <f t="shared" si="1"/>
        <v/>
      </c>
    </row>
    <row r="901">
      <c r="K901" s="237"/>
      <c r="L901" s="238" t="str">
        <f t="shared" si="3"/>
        <v/>
      </c>
      <c r="M901" s="237"/>
      <c r="N901" s="238"/>
      <c r="O901" s="238" t="str">
        <f t="shared" si="4"/>
        <v/>
      </c>
      <c r="P901" s="238" t="str">
        <f t="shared" si="5"/>
        <v/>
      </c>
      <c r="Q901" s="238" t="str">
        <f t="shared" si="6"/>
        <v/>
      </c>
      <c r="R901" s="238" t="str">
        <f t="shared" si="7"/>
        <v/>
      </c>
      <c r="S901" s="238" t="str">
        <f t="shared" si="8"/>
        <v/>
      </c>
      <c r="T901" s="238"/>
      <c r="U901" s="237"/>
      <c r="V901" s="238"/>
      <c r="W901" s="238" t="str">
        <f t="shared" si="9"/>
        <v/>
      </c>
      <c r="X901" s="237" t="str">
        <f t="shared" ref="X901:Y901" si="893">IF(ISBLANK(H901),,""""&amp;H901&amp;"""")</f>
        <v/>
      </c>
      <c r="Y901" s="237" t="str">
        <f t="shared" si="893"/>
        <v/>
      </c>
      <c r="Z901" s="237" t="str">
        <f>IF(ISBLANK(K901),,Config!$C$3&amp;"&amp;range=BB"&amp;MATCH(K901,FRG!AE:AE,0))</f>
        <v/>
      </c>
      <c r="AB901" s="242" t="str">
        <f>IFERROR(__xludf.DUMMYFUNCTION("IF(ISBLANK(K901),,SUBSTITUTE(IFERROR(JOIN("","",K901:Z901),JOIN("","",K901:Y901)),CHAR(10),""""))"),"")</f>
        <v/>
      </c>
      <c r="AC901" s="229" t="str">
        <f t="shared" si="1"/>
        <v/>
      </c>
    </row>
    <row r="902">
      <c r="K902" s="237"/>
      <c r="L902" s="238" t="str">
        <f t="shared" si="3"/>
        <v/>
      </c>
      <c r="M902" s="237"/>
      <c r="N902" s="238"/>
      <c r="O902" s="238" t="str">
        <f t="shared" si="4"/>
        <v/>
      </c>
      <c r="P902" s="238" t="str">
        <f t="shared" si="5"/>
        <v/>
      </c>
      <c r="Q902" s="238" t="str">
        <f t="shared" si="6"/>
        <v/>
      </c>
      <c r="R902" s="238" t="str">
        <f t="shared" si="7"/>
        <v/>
      </c>
      <c r="S902" s="238" t="str">
        <f t="shared" si="8"/>
        <v/>
      </c>
      <c r="T902" s="238"/>
      <c r="U902" s="237"/>
      <c r="V902" s="238"/>
      <c r="W902" s="238" t="str">
        <f t="shared" si="9"/>
        <v/>
      </c>
      <c r="X902" s="237" t="str">
        <f t="shared" ref="X902:Y902" si="894">IF(ISBLANK(H902),,""""&amp;H902&amp;"""")</f>
        <v/>
      </c>
      <c r="Y902" s="237" t="str">
        <f t="shared" si="894"/>
        <v/>
      </c>
      <c r="Z902" s="237" t="str">
        <f>IF(ISBLANK(K902),,Config!$C$3&amp;"&amp;range=BB"&amp;MATCH(K902,FRG!AE:AE,0))</f>
        <v/>
      </c>
      <c r="AB902" s="242" t="str">
        <f>IFERROR(__xludf.DUMMYFUNCTION("IF(ISBLANK(K902),,SUBSTITUTE(IFERROR(JOIN("","",K902:Z902),JOIN("","",K902:Y902)),CHAR(10),""""))"),"")</f>
        <v/>
      </c>
      <c r="AC902" s="229" t="str">
        <f t="shared" si="1"/>
        <v/>
      </c>
    </row>
    <row r="903">
      <c r="K903" s="237"/>
      <c r="L903" s="238" t="str">
        <f t="shared" si="3"/>
        <v/>
      </c>
      <c r="M903" s="237"/>
      <c r="N903" s="238"/>
      <c r="O903" s="238" t="str">
        <f t="shared" si="4"/>
        <v/>
      </c>
      <c r="P903" s="238" t="str">
        <f t="shared" si="5"/>
        <v/>
      </c>
      <c r="Q903" s="238" t="str">
        <f t="shared" si="6"/>
        <v/>
      </c>
      <c r="R903" s="238" t="str">
        <f t="shared" si="7"/>
        <v/>
      </c>
      <c r="S903" s="238" t="str">
        <f t="shared" si="8"/>
        <v/>
      </c>
      <c r="T903" s="238"/>
      <c r="U903" s="237"/>
      <c r="V903" s="238"/>
      <c r="W903" s="238" t="str">
        <f t="shared" si="9"/>
        <v/>
      </c>
      <c r="X903" s="237" t="str">
        <f t="shared" ref="X903:Y903" si="895">IF(ISBLANK(H903),,""""&amp;H903&amp;"""")</f>
        <v/>
      </c>
      <c r="Y903" s="237" t="str">
        <f t="shared" si="895"/>
        <v/>
      </c>
      <c r="Z903" s="237" t="str">
        <f>IF(ISBLANK(K903),,Config!$C$3&amp;"&amp;range=BB"&amp;MATCH(K903,FRG!AE:AE,0))</f>
        <v/>
      </c>
      <c r="AB903" s="242" t="str">
        <f>IFERROR(__xludf.DUMMYFUNCTION("IF(ISBLANK(K903),,SUBSTITUTE(IFERROR(JOIN("","",K903:Z903),JOIN("","",K903:Y903)),CHAR(10),""""))"),"")</f>
        <v/>
      </c>
      <c r="AC903" s="229" t="str">
        <f t="shared" si="1"/>
        <v/>
      </c>
    </row>
    <row r="904">
      <c r="K904" s="237"/>
      <c r="L904" s="238" t="str">
        <f t="shared" si="3"/>
        <v/>
      </c>
      <c r="M904" s="237"/>
      <c r="N904" s="238"/>
      <c r="O904" s="238" t="str">
        <f t="shared" si="4"/>
        <v/>
      </c>
      <c r="P904" s="238" t="str">
        <f t="shared" si="5"/>
        <v/>
      </c>
      <c r="Q904" s="238" t="str">
        <f t="shared" si="6"/>
        <v/>
      </c>
      <c r="R904" s="238" t="str">
        <f t="shared" si="7"/>
        <v/>
      </c>
      <c r="S904" s="238" t="str">
        <f t="shared" si="8"/>
        <v/>
      </c>
      <c r="T904" s="238"/>
      <c r="U904" s="237"/>
      <c r="V904" s="238"/>
      <c r="W904" s="238" t="str">
        <f t="shared" si="9"/>
        <v/>
      </c>
      <c r="X904" s="237" t="str">
        <f t="shared" ref="X904:Y904" si="896">IF(ISBLANK(H904),,""""&amp;H904&amp;"""")</f>
        <v/>
      </c>
      <c r="Y904" s="237" t="str">
        <f t="shared" si="896"/>
        <v/>
      </c>
      <c r="Z904" s="237" t="str">
        <f>IF(ISBLANK(K904),,Config!$C$3&amp;"&amp;range=BB"&amp;MATCH(K904,FRG!AE:AE,0))</f>
        <v/>
      </c>
      <c r="AB904" s="242" t="str">
        <f>IFERROR(__xludf.DUMMYFUNCTION("IF(ISBLANK(K904),,SUBSTITUTE(IFERROR(JOIN("","",K904:Z904),JOIN("","",K904:Y904)),CHAR(10),""""))"),"")</f>
        <v/>
      </c>
      <c r="AC904" s="229" t="str">
        <f t="shared" si="1"/>
        <v/>
      </c>
    </row>
    <row r="905">
      <c r="K905" s="237"/>
      <c r="L905" s="238" t="str">
        <f t="shared" si="3"/>
        <v/>
      </c>
      <c r="M905" s="237"/>
      <c r="N905" s="238"/>
      <c r="O905" s="238" t="str">
        <f t="shared" si="4"/>
        <v/>
      </c>
      <c r="P905" s="238" t="str">
        <f t="shared" si="5"/>
        <v/>
      </c>
      <c r="Q905" s="238" t="str">
        <f t="shared" si="6"/>
        <v/>
      </c>
      <c r="R905" s="238" t="str">
        <f t="shared" si="7"/>
        <v/>
      </c>
      <c r="S905" s="238" t="str">
        <f t="shared" si="8"/>
        <v/>
      </c>
      <c r="T905" s="238"/>
      <c r="U905" s="237"/>
      <c r="V905" s="238"/>
      <c r="W905" s="238" t="str">
        <f t="shared" si="9"/>
        <v/>
      </c>
      <c r="X905" s="237" t="str">
        <f t="shared" ref="X905:Y905" si="897">IF(ISBLANK(H905),,""""&amp;H905&amp;"""")</f>
        <v/>
      </c>
      <c r="Y905" s="237" t="str">
        <f t="shared" si="897"/>
        <v/>
      </c>
      <c r="Z905" s="237" t="str">
        <f>IF(ISBLANK(K905),,Config!$C$3&amp;"&amp;range=BB"&amp;MATCH(K905,FRG!AE:AE,0))</f>
        <v/>
      </c>
      <c r="AB905" s="242" t="str">
        <f>IFERROR(__xludf.DUMMYFUNCTION("IF(ISBLANK(K905),,SUBSTITUTE(IFERROR(JOIN("","",K905:Z905),JOIN("","",K905:Y905)),CHAR(10),""""))"),"")</f>
        <v/>
      </c>
      <c r="AC905" s="229" t="str">
        <f t="shared" si="1"/>
        <v/>
      </c>
    </row>
    <row r="906">
      <c r="K906" s="237"/>
      <c r="L906" s="238" t="str">
        <f t="shared" si="3"/>
        <v/>
      </c>
      <c r="M906" s="237"/>
      <c r="N906" s="238"/>
      <c r="O906" s="238" t="str">
        <f t="shared" si="4"/>
        <v/>
      </c>
      <c r="P906" s="238" t="str">
        <f t="shared" si="5"/>
        <v/>
      </c>
      <c r="Q906" s="238" t="str">
        <f t="shared" si="6"/>
        <v/>
      </c>
      <c r="R906" s="238" t="str">
        <f t="shared" si="7"/>
        <v/>
      </c>
      <c r="S906" s="238" t="str">
        <f t="shared" si="8"/>
        <v/>
      </c>
      <c r="T906" s="238"/>
      <c r="U906" s="237"/>
      <c r="V906" s="238"/>
      <c r="W906" s="238" t="str">
        <f t="shared" si="9"/>
        <v/>
      </c>
      <c r="X906" s="237" t="str">
        <f t="shared" ref="X906:Y906" si="898">IF(ISBLANK(H906),,""""&amp;H906&amp;"""")</f>
        <v/>
      </c>
      <c r="Y906" s="237" t="str">
        <f t="shared" si="898"/>
        <v/>
      </c>
      <c r="Z906" s="237" t="str">
        <f>IF(ISBLANK(K906),,Config!$C$3&amp;"&amp;range=BB"&amp;MATCH(K906,FRG!AE:AE,0))</f>
        <v/>
      </c>
      <c r="AB906" s="242" t="str">
        <f>IFERROR(__xludf.DUMMYFUNCTION("IF(ISBLANK(K906),,SUBSTITUTE(IFERROR(JOIN("","",K906:Z906),JOIN("","",K906:Y906)),CHAR(10),""""))"),"")</f>
        <v/>
      </c>
      <c r="AC906" s="229" t="str">
        <f t="shared" si="1"/>
        <v/>
      </c>
    </row>
    <row r="907">
      <c r="K907" s="237"/>
      <c r="L907" s="238" t="str">
        <f t="shared" si="3"/>
        <v/>
      </c>
      <c r="M907" s="237"/>
      <c r="N907" s="238"/>
      <c r="O907" s="238" t="str">
        <f t="shared" si="4"/>
        <v/>
      </c>
      <c r="P907" s="238" t="str">
        <f t="shared" si="5"/>
        <v/>
      </c>
      <c r="Q907" s="238" t="str">
        <f t="shared" si="6"/>
        <v/>
      </c>
      <c r="R907" s="238" t="str">
        <f t="shared" si="7"/>
        <v/>
      </c>
      <c r="S907" s="238" t="str">
        <f t="shared" si="8"/>
        <v/>
      </c>
      <c r="T907" s="238"/>
      <c r="U907" s="237"/>
      <c r="V907" s="238"/>
      <c r="W907" s="238" t="str">
        <f t="shared" si="9"/>
        <v/>
      </c>
      <c r="X907" s="237" t="str">
        <f t="shared" ref="X907:Y907" si="899">IF(ISBLANK(H907),,""""&amp;H907&amp;"""")</f>
        <v/>
      </c>
      <c r="Y907" s="237" t="str">
        <f t="shared" si="899"/>
        <v/>
      </c>
      <c r="Z907" s="237" t="str">
        <f>IF(ISBLANK(K907),,Config!$C$3&amp;"&amp;range=BB"&amp;MATCH(K907,FRG!AE:AE,0))</f>
        <v/>
      </c>
      <c r="AB907" s="242" t="str">
        <f>IFERROR(__xludf.DUMMYFUNCTION("IF(ISBLANK(K907),,SUBSTITUTE(IFERROR(JOIN("","",K907:Z907),JOIN("","",K907:Y907)),CHAR(10),""""))"),"")</f>
        <v/>
      </c>
      <c r="AC907" s="229" t="str">
        <f t="shared" si="1"/>
        <v/>
      </c>
    </row>
    <row r="908">
      <c r="K908" s="237"/>
      <c r="L908" s="238" t="str">
        <f t="shared" si="3"/>
        <v/>
      </c>
      <c r="M908" s="237"/>
      <c r="N908" s="238"/>
      <c r="O908" s="238" t="str">
        <f t="shared" si="4"/>
        <v/>
      </c>
      <c r="P908" s="238" t="str">
        <f t="shared" si="5"/>
        <v/>
      </c>
      <c r="Q908" s="238" t="str">
        <f t="shared" si="6"/>
        <v/>
      </c>
      <c r="R908" s="238" t="str">
        <f t="shared" si="7"/>
        <v/>
      </c>
      <c r="S908" s="238" t="str">
        <f t="shared" si="8"/>
        <v/>
      </c>
      <c r="T908" s="238"/>
      <c r="U908" s="237"/>
      <c r="V908" s="238"/>
      <c r="W908" s="238" t="str">
        <f t="shared" si="9"/>
        <v/>
      </c>
      <c r="X908" s="237" t="str">
        <f t="shared" ref="X908:Y908" si="900">IF(ISBLANK(H908),,""""&amp;H908&amp;"""")</f>
        <v/>
      </c>
      <c r="Y908" s="237" t="str">
        <f t="shared" si="900"/>
        <v/>
      </c>
      <c r="Z908" s="237" t="str">
        <f>IF(ISBLANK(K908),,Config!$C$3&amp;"&amp;range=BB"&amp;MATCH(K908,FRG!AE:AE,0))</f>
        <v/>
      </c>
      <c r="AB908" s="242" t="str">
        <f>IFERROR(__xludf.DUMMYFUNCTION("IF(ISBLANK(K908),,SUBSTITUTE(IFERROR(JOIN("","",K908:Z908),JOIN("","",K908:Y908)),CHAR(10),""""))"),"")</f>
        <v/>
      </c>
      <c r="AC908" s="229" t="str">
        <f t="shared" si="1"/>
        <v/>
      </c>
    </row>
    <row r="909">
      <c r="K909" s="237"/>
      <c r="L909" s="238" t="str">
        <f t="shared" si="3"/>
        <v/>
      </c>
      <c r="M909" s="237"/>
      <c r="N909" s="238"/>
      <c r="O909" s="238" t="str">
        <f t="shared" si="4"/>
        <v/>
      </c>
      <c r="P909" s="238" t="str">
        <f t="shared" si="5"/>
        <v/>
      </c>
      <c r="Q909" s="238" t="str">
        <f t="shared" si="6"/>
        <v/>
      </c>
      <c r="R909" s="238" t="str">
        <f t="shared" si="7"/>
        <v/>
      </c>
      <c r="S909" s="238" t="str">
        <f t="shared" si="8"/>
        <v/>
      </c>
      <c r="T909" s="238"/>
      <c r="U909" s="237"/>
      <c r="V909" s="238"/>
      <c r="W909" s="238" t="str">
        <f t="shared" si="9"/>
        <v/>
      </c>
      <c r="X909" s="237" t="str">
        <f t="shared" ref="X909:Y909" si="901">IF(ISBLANK(H909),,""""&amp;H909&amp;"""")</f>
        <v/>
      </c>
      <c r="Y909" s="237" t="str">
        <f t="shared" si="901"/>
        <v/>
      </c>
      <c r="Z909" s="237" t="str">
        <f>IF(ISBLANK(K909),,Config!$C$3&amp;"&amp;range=BB"&amp;MATCH(K909,FRG!AE:AE,0))</f>
        <v/>
      </c>
      <c r="AB909" s="242" t="str">
        <f>IFERROR(__xludf.DUMMYFUNCTION("IF(ISBLANK(K909),,SUBSTITUTE(IFERROR(JOIN("","",K909:Z909),JOIN("","",K909:Y909)),CHAR(10),""""))"),"")</f>
        <v/>
      </c>
      <c r="AC909" s="229" t="str">
        <f t="shared" si="1"/>
        <v/>
      </c>
    </row>
    <row r="910">
      <c r="K910" s="237"/>
      <c r="L910" s="238" t="str">
        <f t="shared" si="3"/>
        <v/>
      </c>
      <c r="M910" s="237"/>
      <c r="N910" s="238"/>
      <c r="O910" s="238" t="str">
        <f t="shared" si="4"/>
        <v/>
      </c>
      <c r="P910" s="238" t="str">
        <f t="shared" si="5"/>
        <v/>
      </c>
      <c r="Q910" s="238" t="str">
        <f t="shared" si="6"/>
        <v/>
      </c>
      <c r="R910" s="238" t="str">
        <f t="shared" si="7"/>
        <v/>
      </c>
      <c r="S910" s="238" t="str">
        <f t="shared" si="8"/>
        <v/>
      </c>
      <c r="T910" s="238"/>
      <c r="U910" s="237"/>
      <c r="V910" s="238"/>
      <c r="W910" s="238" t="str">
        <f t="shared" si="9"/>
        <v/>
      </c>
      <c r="X910" s="237" t="str">
        <f t="shared" ref="X910:Y910" si="902">IF(ISBLANK(H910),,""""&amp;H910&amp;"""")</f>
        <v/>
      </c>
      <c r="Y910" s="237" t="str">
        <f t="shared" si="902"/>
        <v/>
      </c>
      <c r="Z910" s="237" t="str">
        <f>IF(ISBLANK(K910),,Config!$C$3&amp;"&amp;range=BB"&amp;MATCH(K910,FRG!AE:AE,0))</f>
        <v/>
      </c>
      <c r="AB910" s="242" t="str">
        <f>IFERROR(__xludf.DUMMYFUNCTION("IF(ISBLANK(K910),,SUBSTITUTE(IFERROR(JOIN("","",K910:Z910),JOIN("","",K910:Y910)),CHAR(10),""""))"),"")</f>
        <v/>
      </c>
      <c r="AC910" s="229" t="str">
        <f t="shared" si="1"/>
        <v/>
      </c>
    </row>
    <row r="911">
      <c r="K911" s="237"/>
      <c r="L911" s="238" t="str">
        <f t="shared" si="3"/>
        <v/>
      </c>
      <c r="M911" s="237"/>
      <c r="N911" s="238"/>
      <c r="O911" s="238" t="str">
        <f t="shared" si="4"/>
        <v/>
      </c>
      <c r="P911" s="238" t="str">
        <f t="shared" si="5"/>
        <v/>
      </c>
      <c r="Q911" s="238" t="str">
        <f t="shared" si="6"/>
        <v/>
      </c>
      <c r="R911" s="238" t="str">
        <f t="shared" si="7"/>
        <v/>
      </c>
      <c r="S911" s="238" t="str">
        <f t="shared" si="8"/>
        <v/>
      </c>
      <c r="T911" s="238"/>
      <c r="U911" s="237"/>
      <c r="V911" s="238"/>
      <c r="W911" s="238" t="str">
        <f t="shared" si="9"/>
        <v/>
      </c>
      <c r="X911" s="237" t="str">
        <f t="shared" ref="X911:Y911" si="903">IF(ISBLANK(H911),,""""&amp;H911&amp;"""")</f>
        <v/>
      </c>
      <c r="Y911" s="237" t="str">
        <f t="shared" si="903"/>
        <v/>
      </c>
      <c r="Z911" s="237" t="str">
        <f>IF(ISBLANK(K911),,Config!$C$3&amp;"&amp;range=BB"&amp;MATCH(K911,FRG!AE:AE,0))</f>
        <v/>
      </c>
      <c r="AB911" s="242" t="str">
        <f>IFERROR(__xludf.DUMMYFUNCTION("IF(ISBLANK(K911),,SUBSTITUTE(IFERROR(JOIN("","",K911:Z911),JOIN("","",K911:Y911)),CHAR(10),""""))"),"")</f>
        <v/>
      </c>
      <c r="AC911" s="229" t="str">
        <f t="shared" si="1"/>
        <v/>
      </c>
    </row>
    <row r="912">
      <c r="K912" s="237"/>
      <c r="L912" s="238" t="str">
        <f t="shared" si="3"/>
        <v/>
      </c>
      <c r="M912" s="237"/>
      <c r="N912" s="238"/>
      <c r="O912" s="238" t="str">
        <f t="shared" si="4"/>
        <v/>
      </c>
      <c r="P912" s="238" t="str">
        <f t="shared" si="5"/>
        <v/>
      </c>
      <c r="Q912" s="238" t="str">
        <f t="shared" si="6"/>
        <v/>
      </c>
      <c r="R912" s="238" t="str">
        <f t="shared" si="7"/>
        <v/>
      </c>
      <c r="S912" s="238" t="str">
        <f t="shared" si="8"/>
        <v/>
      </c>
      <c r="T912" s="238"/>
      <c r="U912" s="237"/>
      <c r="V912" s="238"/>
      <c r="W912" s="238" t="str">
        <f t="shared" si="9"/>
        <v/>
      </c>
      <c r="X912" s="237" t="str">
        <f t="shared" ref="X912:Y912" si="904">IF(ISBLANK(H912),,""""&amp;H912&amp;"""")</f>
        <v/>
      </c>
      <c r="Y912" s="237" t="str">
        <f t="shared" si="904"/>
        <v/>
      </c>
      <c r="Z912" s="237" t="str">
        <f>IF(ISBLANK(K912),,Config!$C$3&amp;"&amp;range=BB"&amp;MATCH(K912,FRG!AE:AE,0))</f>
        <v/>
      </c>
      <c r="AB912" s="242" t="str">
        <f>IFERROR(__xludf.DUMMYFUNCTION("IF(ISBLANK(K912),,SUBSTITUTE(IFERROR(JOIN("","",K912:Z912),JOIN("","",K912:Y912)),CHAR(10),""""))"),"")</f>
        <v/>
      </c>
      <c r="AC912" s="229" t="str">
        <f t="shared" si="1"/>
        <v/>
      </c>
    </row>
    <row r="913">
      <c r="K913" s="237"/>
      <c r="L913" s="238" t="str">
        <f t="shared" si="3"/>
        <v/>
      </c>
      <c r="M913" s="237"/>
      <c r="N913" s="238"/>
      <c r="O913" s="238" t="str">
        <f t="shared" si="4"/>
        <v/>
      </c>
      <c r="P913" s="238" t="str">
        <f t="shared" si="5"/>
        <v/>
      </c>
      <c r="Q913" s="238" t="str">
        <f t="shared" si="6"/>
        <v/>
      </c>
      <c r="R913" s="238" t="str">
        <f t="shared" si="7"/>
        <v/>
      </c>
      <c r="S913" s="238" t="str">
        <f t="shared" si="8"/>
        <v/>
      </c>
      <c r="T913" s="238"/>
      <c r="U913" s="237"/>
      <c r="V913" s="238"/>
      <c r="W913" s="238" t="str">
        <f t="shared" si="9"/>
        <v/>
      </c>
      <c r="X913" s="237" t="str">
        <f t="shared" ref="X913:Y913" si="905">IF(ISBLANK(H913),,""""&amp;H913&amp;"""")</f>
        <v/>
      </c>
      <c r="Y913" s="237" t="str">
        <f t="shared" si="905"/>
        <v/>
      </c>
      <c r="Z913" s="237" t="str">
        <f>IF(ISBLANK(K913),,Config!$C$3&amp;"&amp;range=BB"&amp;MATCH(K913,FRG!AE:AE,0))</f>
        <v/>
      </c>
      <c r="AB913" s="242" t="str">
        <f>IFERROR(__xludf.DUMMYFUNCTION("IF(ISBLANK(K913),,SUBSTITUTE(IFERROR(JOIN("","",K913:Z913),JOIN("","",K913:Y913)),CHAR(10),""""))"),"")</f>
        <v/>
      </c>
      <c r="AC913" s="229" t="str">
        <f t="shared" si="1"/>
        <v/>
      </c>
    </row>
    <row r="914">
      <c r="K914" s="237"/>
      <c r="L914" s="238" t="str">
        <f t="shared" si="3"/>
        <v/>
      </c>
      <c r="M914" s="237"/>
      <c r="N914" s="238"/>
      <c r="O914" s="238" t="str">
        <f t="shared" si="4"/>
        <v/>
      </c>
      <c r="P914" s="238" t="str">
        <f t="shared" si="5"/>
        <v/>
      </c>
      <c r="Q914" s="238" t="str">
        <f t="shared" si="6"/>
        <v/>
      </c>
      <c r="R914" s="238" t="str">
        <f t="shared" si="7"/>
        <v/>
      </c>
      <c r="S914" s="238" t="str">
        <f t="shared" si="8"/>
        <v/>
      </c>
      <c r="T914" s="238"/>
      <c r="U914" s="237"/>
      <c r="V914" s="238"/>
      <c r="W914" s="238" t="str">
        <f t="shared" si="9"/>
        <v/>
      </c>
      <c r="X914" s="237" t="str">
        <f t="shared" ref="X914:Y914" si="906">IF(ISBLANK(H914),,""""&amp;H914&amp;"""")</f>
        <v/>
      </c>
      <c r="Y914" s="237" t="str">
        <f t="shared" si="906"/>
        <v/>
      </c>
      <c r="Z914" s="237" t="str">
        <f>IF(ISBLANK(K914),,Config!$C$3&amp;"&amp;range=BB"&amp;MATCH(K914,FRG!AE:AE,0))</f>
        <v/>
      </c>
      <c r="AB914" s="242" t="str">
        <f>IFERROR(__xludf.DUMMYFUNCTION("IF(ISBLANK(K914),,SUBSTITUTE(IFERROR(JOIN("","",K914:Z914),JOIN("","",K914:Y914)),CHAR(10),""""))"),"")</f>
        <v/>
      </c>
      <c r="AC914" s="229" t="str">
        <f t="shared" si="1"/>
        <v/>
      </c>
    </row>
    <row r="915">
      <c r="K915" s="237"/>
      <c r="L915" s="238" t="str">
        <f t="shared" si="3"/>
        <v/>
      </c>
      <c r="M915" s="237"/>
      <c r="N915" s="238"/>
      <c r="O915" s="238" t="str">
        <f t="shared" si="4"/>
        <v/>
      </c>
      <c r="P915" s="238" t="str">
        <f t="shared" si="5"/>
        <v/>
      </c>
      <c r="Q915" s="238" t="str">
        <f t="shared" si="6"/>
        <v/>
      </c>
      <c r="R915" s="238" t="str">
        <f t="shared" si="7"/>
        <v/>
      </c>
      <c r="S915" s="238" t="str">
        <f t="shared" si="8"/>
        <v/>
      </c>
      <c r="T915" s="238"/>
      <c r="U915" s="237"/>
      <c r="V915" s="238"/>
      <c r="W915" s="238" t="str">
        <f t="shared" si="9"/>
        <v/>
      </c>
      <c r="X915" s="237" t="str">
        <f t="shared" ref="X915:Y915" si="907">IF(ISBLANK(H915),,""""&amp;H915&amp;"""")</f>
        <v/>
      </c>
      <c r="Y915" s="237" t="str">
        <f t="shared" si="907"/>
        <v/>
      </c>
      <c r="Z915" s="237" t="str">
        <f>IF(ISBLANK(K915),,Config!$C$3&amp;"&amp;range=BB"&amp;MATCH(K915,FRG!AE:AE,0))</f>
        <v/>
      </c>
      <c r="AB915" s="242" t="str">
        <f>IFERROR(__xludf.DUMMYFUNCTION("IF(ISBLANK(K915),,SUBSTITUTE(IFERROR(JOIN("","",K915:Z915),JOIN("","",K915:Y915)),CHAR(10),""""))"),"")</f>
        <v/>
      </c>
      <c r="AC915" s="229" t="str">
        <f t="shared" si="1"/>
        <v/>
      </c>
    </row>
    <row r="916">
      <c r="K916" s="237"/>
      <c r="L916" s="238" t="str">
        <f t="shared" si="3"/>
        <v/>
      </c>
      <c r="M916" s="237"/>
      <c r="N916" s="238"/>
      <c r="O916" s="238" t="str">
        <f t="shared" si="4"/>
        <v/>
      </c>
      <c r="P916" s="238" t="str">
        <f t="shared" si="5"/>
        <v/>
      </c>
      <c r="Q916" s="238" t="str">
        <f t="shared" si="6"/>
        <v/>
      </c>
      <c r="R916" s="238" t="str">
        <f t="shared" si="7"/>
        <v/>
      </c>
      <c r="S916" s="238" t="str">
        <f t="shared" si="8"/>
        <v/>
      </c>
      <c r="T916" s="238"/>
      <c r="U916" s="237"/>
      <c r="V916" s="238"/>
      <c r="W916" s="238" t="str">
        <f t="shared" si="9"/>
        <v/>
      </c>
      <c r="X916" s="237" t="str">
        <f t="shared" ref="X916:Y916" si="908">IF(ISBLANK(H916),,""""&amp;H916&amp;"""")</f>
        <v/>
      </c>
      <c r="Y916" s="237" t="str">
        <f t="shared" si="908"/>
        <v/>
      </c>
      <c r="Z916" s="237" t="str">
        <f>IF(ISBLANK(K916),,Config!$C$3&amp;"&amp;range=BB"&amp;MATCH(K916,FRG!AE:AE,0))</f>
        <v/>
      </c>
      <c r="AB916" s="242" t="str">
        <f>IFERROR(__xludf.DUMMYFUNCTION("IF(ISBLANK(K916),,SUBSTITUTE(IFERROR(JOIN("","",K916:Z916),JOIN("","",K916:Y916)),CHAR(10),""""))"),"")</f>
        <v/>
      </c>
      <c r="AC916" s="229" t="str">
        <f t="shared" si="1"/>
        <v/>
      </c>
    </row>
    <row r="917">
      <c r="K917" s="237"/>
      <c r="L917" s="238" t="str">
        <f t="shared" si="3"/>
        <v/>
      </c>
      <c r="M917" s="237"/>
      <c r="N917" s="238"/>
      <c r="O917" s="238" t="str">
        <f t="shared" si="4"/>
        <v/>
      </c>
      <c r="P917" s="238" t="str">
        <f t="shared" si="5"/>
        <v/>
      </c>
      <c r="Q917" s="238" t="str">
        <f t="shared" si="6"/>
        <v/>
      </c>
      <c r="R917" s="238" t="str">
        <f t="shared" si="7"/>
        <v/>
      </c>
      <c r="S917" s="238" t="str">
        <f t="shared" si="8"/>
        <v/>
      </c>
      <c r="T917" s="238"/>
      <c r="U917" s="237"/>
      <c r="V917" s="238"/>
      <c r="W917" s="238" t="str">
        <f t="shared" si="9"/>
        <v/>
      </c>
      <c r="X917" s="237" t="str">
        <f t="shared" ref="X917:Y917" si="909">IF(ISBLANK(H917),,""""&amp;H917&amp;"""")</f>
        <v/>
      </c>
      <c r="Y917" s="237" t="str">
        <f t="shared" si="909"/>
        <v/>
      </c>
      <c r="Z917" s="237" t="str">
        <f>IF(ISBLANK(K917),,Config!$C$3&amp;"&amp;range=BB"&amp;MATCH(K917,FRG!AE:AE,0))</f>
        <v/>
      </c>
      <c r="AB917" s="242" t="str">
        <f>IFERROR(__xludf.DUMMYFUNCTION("IF(ISBLANK(K917),,SUBSTITUTE(IFERROR(JOIN("","",K917:Z917),JOIN("","",K917:Y917)),CHAR(10),""""))"),"")</f>
        <v/>
      </c>
      <c r="AC917" s="229" t="str">
        <f t="shared" si="1"/>
        <v/>
      </c>
    </row>
    <row r="918">
      <c r="K918" s="237"/>
      <c r="L918" s="238" t="str">
        <f t="shared" si="3"/>
        <v/>
      </c>
      <c r="M918" s="237"/>
      <c r="N918" s="238"/>
      <c r="O918" s="238" t="str">
        <f t="shared" si="4"/>
        <v/>
      </c>
      <c r="P918" s="238" t="str">
        <f t="shared" si="5"/>
        <v/>
      </c>
      <c r="Q918" s="238" t="str">
        <f t="shared" si="6"/>
        <v/>
      </c>
      <c r="R918" s="238" t="str">
        <f t="shared" si="7"/>
        <v/>
      </c>
      <c r="S918" s="238" t="str">
        <f t="shared" si="8"/>
        <v/>
      </c>
      <c r="T918" s="238"/>
      <c r="U918" s="237"/>
      <c r="V918" s="238"/>
      <c r="W918" s="238" t="str">
        <f t="shared" si="9"/>
        <v/>
      </c>
      <c r="X918" s="237" t="str">
        <f t="shared" ref="X918:Y918" si="910">IF(ISBLANK(H918),,""""&amp;H918&amp;"""")</f>
        <v/>
      </c>
      <c r="Y918" s="237" t="str">
        <f t="shared" si="910"/>
        <v/>
      </c>
      <c r="Z918" s="237" t="str">
        <f>IF(ISBLANK(K918),,Config!$C$3&amp;"&amp;range=BB"&amp;MATCH(K918,FRG!AE:AE,0))</f>
        <v/>
      </c>
      <c r="AB918" s="242" t="str">
        <f>IFERROR(__xludf.DUMMYFUNCTION("IF(ISBLANK(K918),,SUBSTITUTE(IFERROR(JOIN("","",K918:Z918),JOIN("","",K918:Y918)),CHAR(10),""""))"),"")</f>
        <v/>
      </c>
      <c r="AC918" s="229" t="str">
        <f t="shared" si="1"/>
        <v/>
      </c>
    </row>
    <row r="919">
      <c r="K919" s="237"/>
      <c r="L919" s="238" t="str">
        <f t="shared" si="3"/>
        <v/>
      </c>
      <c r="M919" s="237"/>
      <c r="N919" s="238"/>
      <c r="O919" s="238" t="str">
        <f t="shared" si="4"/>
        <v/>
      </c>
      <c r="P919" s="238" t="str">
        <f t="shared" si="5"/>
        <v/>
      </c>
      <c r="Q919" s="238" t="str">
        <f t="shared" si="6"/>
        <v/>
      </c>
      <c r="R919" s="238" t="str">
        <f t="shared" si="7"/>
        <v/>
      </c>
      <c r="S919" s="238" t="str">
        <f t="shared" si="8"/>
        <v/>
      </c>
      <c r="T919" s="238"/>
      <c r="U919" s="237"/>
      <c r="V919" s="238"/>
      <c r="W919" s="238" t="str">
        <f t="shared" si="9"/>
        <v/>
      </c>
      <c r="X919" s="237" t="str">
        <f t="shared" ref="X919:Y919" si="911">IF(ISBLANK(H919),,""""&amp;H919&amp;"""")</f>
        <v/>
      </c>
      <c r="Y919" s="237" t="str">
        <f t="shared" si="911"/>
        <v/>
      </c>
      <c r="Z919" s="237" t="str">
        <f>IF(ISBLANK(K919),,Config!$C$3&amp;"&amp;range=BB"&amp;MATCH(K919,FRG!AE:AE,0))</f>
        <v/>
      </c>
      <c r="AB919" s="242" t="str">
        <f>IFERROR(__xludf.DUMMYFUNCTION("IF(ISBLANK(K919),,SUBSTITUTE(IFERROR(JOIN("","",K919:Z919),JOIN("","",K919:Y919)),CHAR(10),""""))"),"")</f>
        <v/>
      </c>
      <c r="AC919" s="229" t="str">
        <f t="shared" si="1"/>
        <v/>
      </c>
    </row>
    <row r="920">
      <c r="K920" s="237"/>
      <c r="L920" s="238" t="str">
        <f t="shared" si="3"/>
        <v/>
      </c>
      <c r="M920" s="237"/>
      <c r="N920" s="238"/>
      <c r="O920" s="238" t="str">
        <f t="shared" si="4"/>
        <v/>
      </c>
      <c r="P920" s="238" t="str">
        <f t="shared" si="5"/>
        <v/>
      </c>
      <c r="Q920" s="238" t="str">
        <f t="shared" si="6"/>
        <v/>
      </c>
      <c r="R920" s="238" t="str">
        <f t="shared" si="7"/>
        <v/>
      </c>
      <c r="S920" s="238" t="str">
        <f t="shared" si="8"/>
        <v/>
      </c>
      <c r="T920" s="238"/>
      <c r="U920" s="237"/>
      <c r="V920" s="238"/>
      <c r="W920" s="238" t="str">
        <f t="shared" si="9"/>
        <v/>
      </c>
      <c r="X920" s="237" t="str">
        <f t="shared" ref="X920:Y920" si="912">IF(ISBLANK(H920),,""""&amp;H920&amp;"""")</f>
        <v/>
      </c>
      <c r="Y920" s="237" t="str">
        <f t="shared" si="912"/>
        <v/>
      </c>
      <c r="Z920" s="237" t="str">
        <f>IF(ISBLANK(K920),,Config!$C$3&amp;"&amp;range=BB"&amp;MATCH(K920,FRG!AE:AE,0))</f>
        <v/>
      </c>
      <c r="AB920" s="242" t="str">
        <f>IFERROR(__xludf.DUMMYFUNCTION("IF(ISBLANK(K920),,SUBSTITUTE(IFERROR(JOIN("","",K920:Z920),JOIN("","",K920:Y920)),CHAR(10),""""))"),"")</f>
        <v/>
      </c>
      <c r="AC920" s="229" t="str">
        <f t="shared" si="1"/>
        <v/>
      </c>
    </row>
    <row r="921">
      <c r="K921" s="237"/>
      <c r="L921" s="238" t="str">
        <f t="shared" si="3"/>
        <v/>
      </c>
      <c r="M921" s="237"/>
      <c r="N921" s="238"/>
      <c r="O921" s="238" t="str">
        <f t="shared" si="4"/>
        <v/>
      </c>
      <c r="P921" s="238" t="str">
        <f t="shared" si="5"/>
        <v/>
      </c>
      <c r="Q921" s="238" t="str">
        <f t="shared" si="6"/>
        <v/>
      </c>
      <c r="R921" s="238" t="str">
        <f t="shared" si="7"/>
        <v/>
      </c>
      <c r="S921" s="238" t="str">
        <f t="shared" si="8"/>
        <v/>
      </c>
      <c r="T921" s="238"/>
      <c r="U921" s="237"/>
      <c r="V921" s="238"/>
      <c r="W921" s="238" t="str">
        <f t="shared" si="9"/>
        <v/>
      </c>
      <c r="X921" s="237" t="str">
        <f t="shared" ref="X921:Y921" si="913">IF(ISBLANK(H921),,""""&amp;H921&amp;"""")</f>
        <v/>
      </c>
      <c r="Y921" s="237" t="str">
        <f t="shared" si="913"/>
        <v/>
      </c>
      <c r="Z921" s="237" t="str">
        <f>IF(ISBLANK(K921),,Config!$C$3&amp;"&amp;range=BB"&amp;MATCH(K921,FRG!AE:AE,0))</f>
        <v/>
      </c>
      <c r="AB921" s="242" t="str">
        <f>IFERROR(__xludf.DUMMYFUNCTION("IF(ISBLANK(K921),,SUBSTITUTE(IFERROR(JOIN("","",K921:Z921),JOIN("","",K921:Y921)),CHAR(10),""""))"),"")</f>
        <v/>
      </c>
      <c r="AC921" s="229" t="str">
        <f t="shared" si="1"/>
        <v/>
      </c>
    </row>
    <row r="922">
      <c r="K922" s="237"/>
      <c r="L922" s="238" t="str">
        <f t="shared" si="3"/>
        <v/>
      </c>
      <c r="M922" s="237"/>
      <c r="N922" s="238"/>
      <c r="O922" s="238" t="str">
        <f t="shared" si="4"/>
        <v/>
      </c>
      <c r="P922" s="238" t="str">
        <f t="shared" si="5"/>
        <v/>
      </c>
      <c r="Q922" s="238" t="str">
        <f t="shared" si="6"/>
        <v/>
      </c>
      <c r="R922" s="238" t="str">
        <f t="shared" si="7"/>
        <v/>
      </c>
      <c r="S922" s="238" t="str">
        <f t="shared" si="8"/>
        <v/>
      </c>
      <c r="T922" s="238"/>
      <c r="U922" s="237"/>
      <c r="V922" s="238"/>
      <c r="W922" s="238" t="str">
        <f t="shared" si="9"/>
        <v/>
      </c>
      <c r="X922" s="237" t="str">
        <f t="shared" ref="X922:Y922" si="914">IF(ISBLANK(H922),,""""&amp;H922&amp;"""")</f>
        <v/>
      </c>
      <c r="Y922" s="237" t="str">
        <f t="shared" si="914"/>
        <v/>
      </c>
      <c r="Z922" s="237" t="str">
        <f>IF(ISBLANK(K922),,Config!$C$3&amp;"&amp;range=BB"&amp;MATCH(K922,FRG!AE:AE,0))</f>
        <v/>
      </c>
      <c r="AB922" s="242" t="str">
        <f>IFERROR(__xludf.DUMMYFUNCTION("IF(ISBLANK(K922),,SUBSTITUTE(IFERROR(JOIN("","",K922:Z922),JOIN("","",K922:Y922)),CHAR(10),""""))"),"")</f>
        <v/>
      </c>
      <c r="AC922" s="229" t="str">
        <f t="shared" si="1"/>
        <v/>
      </c>
    </row>
    <row r="923">
      <c r="K923" s="237"/>
      <c r="L923" s="238" t="str">
        <f t="shared" si="3"/>
        <v/>
      </c>
      <c r="M923" s="237"/>
      <c r="N923" s="238"/>
      <c r="O923" s="238" t="str">
        <f t="shared" si="4"/>
        <v/>
      </c>
      <c r="P923" s="238" t="str">
        <f t="shared" si="5"/>
        <v/>
      </c>
      <c r="Q923" s="238" t="str">
        <f t="shared" si="6"/>
        <v/>
      </c>
      <c r="R923" s="238" t="str">
        <f t="shared" si="7"/>
        <v/>
      </c>
      <c r="S923" s="238" t="str">
        <f t="shared" si="8"/>
        <v/>
      </c>
      <c r="T923" s="238"/>
      <c r="U923" s="237"/>
      <c r="V923" s="238"/>
      <c r="W923" s="238" t="str">
        <f t="shared" si="9"/>
        <v/>
      </c>
      <c r="X923" s="237" t="str">
        <f t="shared" ref="X923:Y923" si="915">IF(ISBLANK(H923),,""""&amp;H923&amp;"""")</f>
        <v/>
      </c>
      <c r="Y923" s="237" t="str">
        <f t="shared" si="915"/>
        <v/>
      </c>
      <c r="Z923" s="237" t="str">
        <f>IF(ISBLANK(K923),,Config!$C$3&amp;"&amp;range=BB"&amp;MATCH(K923,FRG!AE:AE,0))</f>
        <v/>
      </c>
      <c r="AB923" s="242" t="str">
        <f>IFERROR(__xludf.DUMMYFUNCTION("IF(ISBLANK(K923),,SUBSTITUTE(IFERROR(JOIN("","",K923:Z923),JOIN("","",K923:Y923)),CHAR(10),""""))"),"")</f>
        <v/>
      </c>
      <c r="AC923" s="229" t="str">
        <f t="shared" si="1"/>
        <v/>
      </c>
    </row>
    <row r="924">
      <c r="K924" s="237"/>
      <c r="L924" s="238" t="str">
        <f t="shared" si="3"/>
        <v/>
      </c>
      <c r="M924" s="237"/>
      <c r="N924" s="238"/>
      <c r="O924" s="238" t="str">
        <f t="shared" si="4"/>
        <v/>
      </c>
      <c r="P924" s="238" t="str">
        <f t="shared" si="5"/>
        <v/>
      </c>
      <c r="Q924" s="238" t="str">
        <f t="shared" si="6"/>
        <v/>
      </c>
      <c r="R924" s="238" t="str">
        <f t="shared" si="7"/>
        <v/>
      </c>
      <c r="S924" s="238" t="str">
        <f t="shared" si="8"/>
        <v/>
      </c>
      <c r="T924" s="238"/>
      <c r="U924" s="237"/>
      <c r="V924" s="238"/>
      <c r="W924" s="238" t="str">
        <f t="shared" si="9"/>
        <v/>
      </c>
      <c r="X924" s="237" t="str">
        <f t="shared" ref="X924:Y924" si="916">IF(ISBLANK(H924),,""""&amp;H924&amp;"""")</f>
        <v/>
      </c>
      <c r="Y924" s="237" t="str">
        <f t="shared" si="916"/>
        <v/>
      </c>
      <c r="Z924" s="237" t="str">
        <f>IF(ISBLANK(K924),,Config!$C$3&amp;"&amp;range=BB"&amp;MATCH(K924,FRG!AE:AE,0))</f>
        <v/>
      </c>
      <c r="AB924" s="242" t="str">
        <f>IFERROR(__xludf.DUMMYFUNCTION("IF(ISBLANK(K924),,SUBSTITUTE(IFERROR(JOIN("","",K924:Z924),JOIN("","",K924:Y924)),CHAR(10),""""))"),"")</f>
        <v/>
      </c>
      <c r="AC924" s="229" t="str">
        <f t="shared" si="1"/>
        <v/>
      </c>
    </row>
    <row r="925">
      <c r="K925" s="237"/>
      <c r="L925" s="238" t="str">
        <f t="shared" si="3"/>
        <v/>
      </c>
      <c r="M925" s="237"/>
      <c r="N925" s="238"/>
      <c r="O925" s="238" t="str">
        <f t="shared" si="4"/>
        <v/>
      </c>
      <c r="P925" s="238" t="str">
        <f t="shared" si="5"/>
        <v/>
      </c>
      <c r="Q925" s="238" t="str">
        <f t="shared" si="6"/>
        <v/>
      </c>
      <c r="R925" s="238" t="str">
        <f t="shared" si="7"/>
        <v/>
      </c>
      <c r="S925" s="238" t="str">
        <f t="shared" si="8"/>
        <v/>
      </c>
      <c r="T925" s="238"/>
      <c r="U925" s="237"/>
      <c r="V925" s="238"/>
      <c r="W925" s="238" t="str">
        <f t="shared" si="9"/>
        <v/>
      </c>
      <c r="X925" s="237" t="str">
        <f t="shared" ref="X925:Y925" si="917">IF(ISBLANK(H925),,""""&amp;H925&amp;"""")</f>
        <v/>
      </c>
      <c r="Y925" s="237" t="str">
        <f t="shared" si="917"/>
        <v/>
      </c>
      <c r="Z925" s="237" t="str">
        <f>IF(ISBLANK(K925),,Config!$C$3&amp;"&amp;range=BB"&amp;MATCH(K925,FRG!AE:AE,0))</f>
        <v/>
      </c>
      <c r="AB925" s="242" t="str">
        <f>IFERROR(__xludf.DUMMYFUNCTION("IF(ISBLANK(K925),,SUBSTITUTE(IFERROR(JOIN("","",K925:Z925),JOIN("","",K925:Y925)),CHAR(10),""""))"),"")</f>
        <v/>
      </c>
      <c r="AC925" s="229" t="str">
        <f t="shared" si="1"/>
        <v/>
      </c>
    </row>
    <row r="926">
      <c r="K926" s="237"/>
      <c r="L926" s="238" t="str">
        <f t="shared" si="3"/>
        <v/>
      </c>
      <c r="M926" s="237"/>
      <c r="N926" s="238"/>
      <c r="O926" s="238" t="str">
        <f t="shared" si="4"/>
        <v/>
      </c>
      <c r="P926" s="238" t="str">
        <f t="shared" si="5"/>
        <v/>
      </c>
      <c r="Q926" s="238" t="str">
        <f t="shared" si="6"/>
        <v/>
      </c>
      <c r="R926" s="238" t="str">
        <f t="shared" si="7"/>
        <v/>
      </c>
      <c r="S926" s="238" t="str">
        <f t="shared" si="8"/>
        <v/>
      </c>
      <c r="T926" s="238"/>
      <c r="U926" s="237"/>
      <c r="V926" s="238"/>
      <c r="W926" s="238" t="str">
        <f t="shared" si="9"/>
        <v/>
      </c>
      <c r="X926" s="237" t="str">
        <f t="shared" ref="X926:Y926" si="918">IF(ISBLANK(H926),,""""&amp;H926&amp;"""")</f>
        <v/>
      </c>
      <c r="Y926" s="237" t="str">
        <f t="shared" si="918"/>
        <v/>
      </c>
      <c r="Z926" s="237" t="str">
        <f>IF(ISBLANK(K926),,Config!$C$3&amp;"&amp;range=BB"&amp;MATCH(K926,FRG!AE:AE,0))</f>
        <v/>
      </c>
      <c r="AB926" s="242" t="str">
        <f>IFERROR(__xludf.DUMMYFUNCTION("IF(ISBLANK(K926),,SUBSTITUTE(IFERROR(JOIN("","",K926:Z926),JOIN("","",K926:Y926)),CHAR(10),""""))"),"")</f>
        <v/>
      </c>
      <c r="AC926" s="229" t="str">
        <f t="shared" si="1"/>
        <v/>
      </c>
    </row>
    <row r="927">
      <c r="K927" s="237"/>
      <c r="L927" s="238" t="str">
        <f t="shared" si="3"/>
        <v/>
      </c>
      <c r="M927" s="237"/>
      <c r="N927" s="238"/>
      <c r="O927" s="238" t="str">
        <f t="shared" si="4"/>
        <v/>
      </c>
      <c r="P927" s="238" t="str">
        <f t="shared" si="5"/>
        <v/>
      </c>
      <c r="Q927" s="238" t="str">
        <f t="shared" si="6"/>
        <v/>
      </c>
      <c r="R927" s="238" t="str">
        <f t="shared" si="7"/>
        <v/>
      </c>
      <c r="S927" s="238" t="str">
        <f t="shared" si="8"/>
        <v/>
      </c>
      <c r="T927" s="238"/>
      <c r="U927" s="237"/>
      <c r="V927" s="238"/>
      <c r="W927" s="238" t="str">
        <f t="shared" si="9"/>
        <v/>
      </c>
      <c r="X927" s="237" t="str">
        <f t="shared" ref="X927:Y927" si="919">IF(ISBLANK(H927),,""""&amp;H927&amp;"""")</f>
        <v/>
      </c>
      <c r="Y927" s="237" t="str">
        <f t="shared" si="919"/>
        <v/>
      </c>
      <c r="Z927" s="237" t="str">
        <f>IF(ISBLANK(K927),,Config!$C$3&amp;"&amp;range=BB"&amp;MATCH(K927,FRG!AE:AE,0))</f>
        <v/>
      </c>
      <c r="AB927" s="242" t="str">
        <f>IFERROR(__xludf.DUMMYFUNCTION("IF(ISBLANK(K927),,SUBSTITUTE(IFERROR(JOIN("","",K927:Z927),JOIN("","",K927:Y927)),CHAR(10),""""))"),"")</f>
        <v/>
      </c>
      <c r="AC927" s="229" t="str">
        <f t="shared" si="1"/>
        <v/>
      </c>
    </row>
    <row r="928">
      <c r="K928" s="237"/>
      <c r="L928" s="238" t="str">
        <f t="shared" si="3"/>
        <v/>
      </c>
      <c r="M928" s="237"/>
      <c r="N928" s="238"/>
      <c r="O928" s="238" t="str">
        <f t="shared" si="4"/>
        <v/>
      </c>
      <c r="P928" s="238" t="str">
        <f t="shared" si="5"/>
        <v/>
      </c>
      <c r="Q928" s="238" t="str">
        <f t="shared" si="6"/>
        <v/>
      </c>
      <c r="R928" s="238" t="str">
        <f t="shared" si="7"/>
        <v/>
      </c>
      <c r="S928" s="238" t="str">
        <f t="shared" si="8"/>
        <v/>
      </c>
      <c r="T928" s="238"/>
      <c r="U928" s="237"/>
      <c r="V928" s="238"/>
      <c r="W928" s="238" t="str">
        <f t="shared" si="9"/>
        <v/>
      </c>
      <c r="X928" s="237" t="str">
        <f t="shared" ref="X928:Y928" si="920">IF(ISBLANK(H928),,""""&amp;H928&amp;"""")</f>
        <v/>
      </c>
      <c r="Y928" s="237" t="str">
        <f t="shared" si="920"/>
        <v/>
      </c>
      <c r="Z928" s="237" t="str">
        <f>IF(ISBLANK(K928),,Config!$C$3&amp;"&amp;range=BB"&amp;MATCH(K928,FRG!AE:AE,0))</f>
        <v/>
      </c>
      <c r="AB928" s="242" t="str">
        <f>IFERROR(__xludf.DUMMYFUNCTION("IF(ISBLANK(K928),,SUBSTITUTE(IFERROR(JOIN("","",K928:Z928),JOIN("","",K928:Y928)),CHAR(10),""""))"),"")</f>
        <v/>
      </c>
      <c r="AC928" s="229" t="str">
        <f t="shared" si="1"/>
        <v/>
      </c>
    </row>
    <row r="929">
      <c r="K929" s="237"/>
      <c r="L929" s="238" t="str">
        <f t="shared" si="3"/>
        <v/>
      </c>
      <c r="M929" s="237"/>
      <c r="N929" s="238"/>
      <c r="O929" s="238" t="str">
        <f t="shared" si="4"/>
        <v/>
      </c>
      <c r="P929" s="238" t="str">
        <f t="shared" si="5"/>
        <v/>
      </c>
      <c r="Q929" s="238" t="str">
        <f t="shared" si="6"/>
        <v/>
      </c>
      <c r="R929" s="238" t="str">
        <f t="shared" si="7"/>
        <v/>
      </c>
      <c r="S929" s="238" t="str">
        <f t="shared" si="8"/>
        <v/>
      </c>
      <c r="T929" s="238"/>
      <c r="U929" s="237"/>
      <c r="V929" s="238"/>
      <c r="W929" s="238" t="str">
        <f t="shared" si="9"/>
        <v/>
      </c>
      <c r="X929" s="237" t="str">
        <f t="shared" ref="X929:Y929" si="921">IF(ISBLANK(H929),,""""&amp;H929&amp;"""")</f>
        <v/>
      </c>
      <c r="Y929" s="237" t="str">
        <f t="shared" si="921"/>
        <v/>
      </c>
      <c r="Z929" s="237" t="str">
        <f>IF(ISBLANK(K929),,Config!$C$3&amp;"&amp;range=BB"&amp;MATCH(K929,FRG!AE:AE,0))</f>
        <v/>
      </c>
      <c r="AB929" s="242" t="str">
        <f>IFERROR(__xludf.DUMMYFUNCTION("IF(ISBLANK(K929),,SUBSTITUTE(IFERROR(JOIN("","",K929:Z929),JOIN("","",K929:Y929)),CHAR(10),""""))"),"")</f>
        <v/>
      </c>
      <c r="AC929" s="229" t="str">
        <f t="shared" si="1"/>
        <v/>
      </c>
    </row>
    <row r="930">
      <c r="K930" s="237"/>
      <c r="L930" s="238" t="str">
        <f t="shared" si="3"/>
        <v/>
      </c>
      <c r="M930" s="237"/>
      <c r="N930" s="238"/>
      <c r="O930" s="238" t="str">
        <f t="shared" si="4"/>
        <v/>
      </c>
      <c r="P930" s="238" t="str">
        <f t="shared" si="5"/>
        <v/>
      </c>
      <c r="Q930" s="238" t="str">
        <f t="shared" si="6"/>
        <v/>
      </c>
      <c r="R930" s="238" t="str">
        <f t="shared" si="7"/>
        <v/>
      </c>
      <c r="S930" s="238" t="str">
        <f t="shared" si="8"/>
        <v/>
      </c>
      <c r="T930" s="238"/>
      <c r="U930" s="237"/>
      <c r="V930" s="238"/>
      <c r="W930" s="238" t="str">
        <f t="shared" si="9"/>
        <v/>
      </c>
      <c r="X930" s="237" t="str">
        <f t="shared" ref="X930:Y930" si="922">IF(ISBLANK(H930),,""""&amp;H930&amp;"""")</f>
        <v/>
      </c>
      <c r="Y930" s="237" t="str">
        <f t="shared" si="922"/>
        <v/>
      </c>
      <c r="Z930" s="237" t="str">
        <f>IF(ISBLANK(K930),,Config!$C$3&amp;"&amp;range=BB"&amp;MATCH(K930,FRG!AE:AE,0))</f>
        <v/>
      </c>
      <c r="AB930" s="242" t="str">
        <f>IFERROR(__xludf.DUMMYFUNCTION("IF(ISBLANK(K930),,SUBSTITUTE(IFERROR(JOIN("","",K930:Z930),JOIN("","",K930:Y930)),CHAR(10),""""))"),"")</f>
        <v/>
      </c>
      <c r="AC930" s="229" t="str">
        <f t="shared" si="1"/>
        <v/>
      </c>
    </row>
    <row r="931">
      <c r="K931" s="237"/>
      <c r="L931" s="238" t="str">
        <f t="shared" si="3"/>
        <v/>
      </c>
      <c r="M931" s="237"/>
      <c r="N931" s="238"/>
      <c r="O931" s="238" t="str">
        <f t="shared" si="4"/>
        <v/>
      </c>
      <c r="P931" s="238" t="str">
        <f t="shared" si="5"/>
        <v/>
      </c>
      <c r="Q931" s="238" t="str">
        <f t="shared" si="6"/>
        <v/>
      </c>
      <c r="R931" s="238" t="str">
        <f t="shared" si="7"/>
        <v/>
      </c>
      <c r="S931" s="238" t="str">
        <f t="shared" si="8"/>
        <v/>
      </c>
      <c r="T931" s="238"/>
      <c r="U931" s="237"/>
      <c r="V931" s="238"/>
      <c r="W931" s="238" t="str">
        <f t="shared" si="9"/>
        <v/>
      </c>
      <c r="X931" s="237" t="str">
        <f t="shared" ref="X931:Y931" si="923">IF(ISBLANK(H931),,""""&amp;H931&amp;"""")</f>
        <v/>
      </c>
      <c r="Y931" s="237" t="str">
        <f t="shared" si="923"/>
        <v/>
      </c>
      <c r="Z931" s="237" t="str">
        <f>IF(ISBLANK(K931),,Config!$C$3&amp;"&amp;range=BB"&amp;MATCH(K931,FRG!AE:AE,0))</f>
        <v/>
      </c>
      <c r="AB931" s="242" t="str">
        <f>IFERROR(__xludf.DUMMYFUNCTION("IF(ISBLANK(K931),,SUBSTITUTE(IFERROR(JOIN("","",K931:Z931),JOIN("","",K931:Y931)),CHAR(10),""""))"),"")</f>
        <v/>
      </c>
      <c r="AC931" s="229" t="str">
        <f t="shared" si="1"/>
        <v/>
      </c>
    </row>
    <row r="932">
      <c r="K932" s="237"/>
      <c r="L932" s="238" t="str">
        <f t="shared" si="3"/>
        <v/>
      </c>
      <c r="M932" s="237"/>
      <c r="N932" s="238"/>
      <c r="O932" s="238" t="str">
        <f t="shared" si="4"/>
        <v/>
      </c>
      <c r="P932" s="238" t="str">
        <f t="shared" si="5"/>
        <v/>
      </c>
      <c r="Q932" s="238" t="str">
        <f t="shared" si="6"/>
        <v/>
      </c>
      <c r="R932" s="238" t="str">
        <f t="shared" si="7"/>
        <v/>
      </c>
      <c r="S932" s="238" t="str">
        <f t="shared" si="8"/>
        <v/>
      </c>
      <c r="T932" s="238"/>
      <c r="U932" s="237"/>
      <c r="V932" s="238"/>
      <c r="W932" s="238" t="str">
        <f t="shared" si="9"/>
        <v/>
      </c>
      <c r="X932" s="237" t="str">
        <f t="shared" ref="X932:Y932" si="924">IF(ISBLANK(H932),,""""&amp;H932&amp;"""")</f>
        <v/>
      </c>
      <c r="Y932" s="237" t="str">
        <f t="shared" si="924"/>
        <v/>
      </c>
      <c r="Z932" s="237" t="str">
        <f>IF(ISBLANK(K932),,Config!$C$3&amp;"&amp;range=BB"&amp;MATCH(K932,FRG!AE:AE,0))</f>
        <v/>
      </c>
      <c r="AB932" s="242" t="str">
        <f>IFERROR(__xludf.DUMMYFUNCTION("IF(ISBLANK(K932),,SUBSTITUTE(IFERROR(JOIN("","",K932:Z932),JOIN("","",K932:Y932)),CHAR(10),""""))"),"")</f>
        <v/>
      </c>
      <c r="AC932" s="229" t="str">
        <f t="shared" si="1"/>
        <v/>
      </c>
    </row>
    <row r="933">
      <c r="K933" s="237"/>
      <c r="L933" s="238" t="str">
        <f t="shared" si="3"/>
        <v/>
      </c>
      <c r="M933" s="237"/>
      <c r="N933" s="238"/>
      <c r="O933" s="238" t="str">
        <f t="shared" si="4"/>
        <v/>
      </c>
      <c r="P933" s="238" t="str">
        <f t="shared" si="5"/>
        <v/>
      </c>
      <c r="Q933" s="238" t="str">
        <f t="shared" si="6"/>
        <v/>
      </c>
      <c r="R933" s="238" t="str">
        <f t="shared" si="7"/>
        <v/>
      </c>
      <c r="S933" s="238" t="str">
        <f t="shared" si="8"/>
        <v/>
      </c>
      <c r="T933" s="238"/>
      <c r="U933" s="237"/>
      <c r="V933" s="238"/>
      <c r="W933" s="238" t="str">
        <f t="shared" si="9"/>
        <v/>
      </c>
      <c r="X933" s="237" t="str">
        <f t="shared" ref="X933:Y933" si="925">IF(ISBLANK(H933),,""""&amp;H933&amp;"""")</f>
        <v/>
      </c>
      <c r="Y933" s="237" t="str">
        <f t="shared" si="925"/>
        <v/>
      </c>
      <c r="Z933" s="237" t="str">
        <f>IF(ISBLANK(K933),,Config!$C$3&amp;"&amp;range=BB"&amp;MATCH(K933,FRG!AE:AE,0))</f>
        <v/>
      </c>
      <c r="AB933" s="242" t="str">
        <f>IFERROR(__xludf.DUMMYFUNCTION("IF(ISBLANK(K933),,SUBSTITUTE(IFERROR(JOIN("","",K933:Z933),JOIN("","",K933:Y933)),CHAR(10),""""))"),"")</f>
        <v/>
      </c>
      <c r="AC933" s="229" t="str">
        <f t="shared" si="1"/>
        <v/>
      </c>
    </row>
    <row r="934">
      <c r="K934" s="237"/>
      <c r="L934" s="238" t="str">
        <f t="shared" si="3"/>
        <v/>
      </c>
      <c r="M934" s="237"/>
      <c r="N934" s="238"/>
      <c r="O934" s="238" t="str">
        <f t="shared" si="4"/>
        <v/>
      </c>
      <c r="P934" s="238" t="str">
        <f t="shared" si="5"/>
        <v/>
      </c>
      <c r="Q934" s="238" t="str">
        <f t="shared" si="6"/>
        <v/>
      </c>
      <c r="R934" s="238" t="str">
        <f t="shared" si="7"/>
        <v/>
      </c>
      <c r="S934" s="238" t="str">
        <f t="shared" si="8"/>
        <v/>
      </c>
      <c r="T934" s="238"/>
      <c r="U934" s="237"/>
      <c r="V934" s="238"/>
      <c r="W934" s="238" t="str">
        <f t="shared" si="9"/>
        <v/>
      </c>
      <c r="X934" s="237" t="str">
        <f t="shared" ref="X934:Y934" si="926">IF(ISBLANK(H934),,""""&amp;H934&amp;"""")</f>
        <v/>
      </c>
      <c r="Y934" s="237" t="str">
        <f t="shared" si="926"/>
        <v/>
      </c>
      <c r="Z934" s="237" t="str">
        <f>IF(ISBLANK(K934),,Config!$C$3&amp;"&amp;range=BB"&amp;MATCH(K934,FRG!AE:AE,0))</f>
        <v/>
      </c>
      <c r="AB934" s="242" t="str">
        <f>IFERROR(__xludf.DUMMYFUNCTION("IF(ISBLANK(K934),,SUBSTITUTE(IFERROR(JOIN("","",K934:Z934),JOIN("","",K934:Y934)),CHAR(10),""""))"),"")</f>
        <v/>
      </c>
      <c r="AC934" s="229" t="str">
        <f t="shared" si="1"/>
        <v/>
      </c>
    </row>
    <row r="935">
      <c r="K935" s="237"/>
      <c r="L935" s="238" t="str">
        <f t="shared" si="3"/>
        <v/>
      </c>
      <c r="M935" s="237"/>
      <c r="N935" s="238"/>
      <c r="O935" s="238" t="str">
        <f t="shared" si="4"/>
        <v/>
      </c>
      <c r="P935" s="238" t="str">
        <f t="shared" si="5"/>
        <v/>
      </c>
      <c r="Q935" s="238" t="str">
        <f t="shared" si="6"/>
        <v/>
      </c>
      <c r="R935" s="238" t="str">
        <f t="shared" si="7"/>
        <v/>
      </c>
      <c r="S935" s="238" t="str">
        <f t="shared" si="8"/>
        <v/>
      </c>
      <c r="T935" s="238"/>
      <c r="U935" s="237"/>
      <c r="V935" s="238"/>
      <c r="W935" s="238" t="str">
        <f t="shared" si="9"/>
        <v/>
      </c>
      <c r="X935" s="237" t="str">
        <f t="shared" ref="X935:Y935" si="927">IF(ISBLANK(H935),,""""&amp;H935&amp;"""")</f>
        <v/>
      </c>
      <c r="Y935" s="237" t="str">
        <f t="shared" si="927"/>
        <v/>
      </c>
      <c r="Z935" s="237" t="str">
        <f>IF(ISBLANK(K935),,Config!$C$3&amp;"&amp;range=BB"&amp;MATCH(K935,FRG!AE:AE,0))</f>
        <v/>
      </c>
      <c r="AB935" s="242" t="str">
        <f>IFERROR(__xludf.DUMMYFUNCTION("IF(ISBLANK(K935),,SUBSTITUTE(IFERROR(JOIN("","",K935:Z935),JOIN("","",K935:Y935)),CHAR(10),""""))"),"")</f>
        <v/>
      </c>
      <c r="AC935" s="229" t="str">
        <f t="shared" si="1"/>
        <v/>
      </c>
    </row>
    <row r="936">
      <c r="K936" s="237"/>
      <c r="L936" s="238" t="str">
        <f t="shared" si="3"/>
        <v/>
      </c>
      <c r="M936" s="237"/>
      <c r="N936" s="238"/>
      <c r="O936" s="238" t="str">
        <f t="shared" si="4"/>
        <v/>
      </c>
      <c r="P936" s="238" t="str">
        <f t="shared" si="5"/>
        <v/>
      </c>
      <c r="Q936" s="238" t="str">
        <f t="shared" si="6"/>
        <v/>
      </c>
      <c r="R936" s="238" t="str">
        <f t="shared" si="7"/>
        <v/>
      </c>
      <c r="S936" s="238" t="str">
        <f t="shared" si="8"/>
        <v/>
      </c>
      <c r="T936" s="238"/>
      <c r="U936" s="237"/>
      <c r="V936" s="238"/>
      <c r="W936" s="238" t="str">
        <f t="shared" si="9"/>
        <v/>
      </c>
      <c r="X936" s="237" t="str">
        <f t="shared" ref="X936:Y936" si="928">IF(ISBLANK(H936),,""""&amp;H936&amp;"""")</f>
        <v/>
      </c>
      <c r="Y936" s="237" t="str">
        <f t="shared" si="928"/>
        <v/>
      </c>
      <c r="Z936" s="237" t="str">
        <f>IF(ISBLANK(K936),,Config!$C$3&amp;"&amp;range=BB"&amp;MATCH(K936,FRG!AE:AE,0))</f>
        <v/>
      </c>
      <c r="AB936" s="242" t="str">
        <f>IFERROR(__xludf.DUMMYFUNCTION("IF(ISBLANK(K936),,SUBSTITUTE(IFERROR(JOIN("","",K936:Z936),JOIN("","",K936:Y936)),CHAR(10),""""))"),"")</f>
        <v/>
      </c>
      <c r="AC936" s="229" t="str">
        <f t="shared" si="1"/>
        <v/>
      </c>
    </row>
    <row r="937">
      <c r="K937" s="237"/>
      <c r="L937" s="238" t="str">
        <f t="shared" si="3"/>
        <v/>
      </c>
      <c r="M937" s="237"/>
      <c r="N937" s="238"/>
      <c r="O937" s="238" t="str">
        <f t="shared" si="4"/>
        <v/>
      </c>
      <c r="P937" s="238" t="str">
        <f t="shared" si="5"/>
        <v/>
      </c>
      <c r="Q937" s="238" t="str">
        <f t="shared" si="6"/>
        <v/>
      </c>
      <c r="R937" s="238" t="str">
        <f t="shared" si="7"/>
        <v/>
      </c>
      <c r="S937" s="238" t="str">
        <f t="shared" si="8"/>
        <v/>
      </c>
      <c r="T937" s="238"/>
      <c r="U937" s="237"/>
      <c r="V937" s="238"/>
      <c r="W937" s="238" t="str">
        <f t="shared" si="9"/>
        <v/>
      </c>
      <c r="X937" s="237" t="str">
        <f t="shared" ref="X937:Y937" si="929">IF(ISBLANK(H937),,""""&amp;H937&amp;"""")</f>
        <v/>
      </c>
      <c r="Y937" s="237" t="str">
        <f t="shared" si="929"/>
        <v/>
      </c>
      <c r="Z937" s="237" t="str">
        <f>IF(ISBLANK(K937),,Config!$C$3&amp;"&amp;range=BB"&amp;MATCH(K937,FRG!AE:AE,0))</f>
        <v/>
      </c>
      <c r="AB937" s="242" t="str">
        <f>IFERROR(__xludf.DUMMYFUNCTION("IF(ISBLANK(K937),,SUBSTITUTE(IFERROR(JOIN("","",K937:Z937),JOIN("","",K937:Y937)),CHAR(10),""""))"),"")</f>
        <v/>
      </c>
      <c r="AC937" s="229" t="str">
        <f t="shared" si="1"/>
        <v/>
      </c>
    </row>
    <row r="938">
      <c r="K938" s="237"/>
      <c r="L938" s="238" t="str">
        <f t="shared" si="3"/>
        <v/>
      </c>
      <c r="M938" s="237"/>
      <c r="N938" s="238"/>
      <c r="O938" s="238" t="str">
        <f t="shared" si="4"/>
        <v/>
      </c>
      <c r="P938" s="238" t="str">
        <f t="shared" si="5"/>
        <v/>
      </c>
      <c r="Q938" s="238" t="str">
        <f t="shared" si="6"/>
        <v/>
      </c>
      <c r="R938" s="238" t="str">
        <f t="shared" si="7"/>
        <v/>
      </c>
      <c r="S938" s="238" t="str">
        <f t="shared" si="8"/>
        <v/>
      </c>
      <c r="T938" s="238"/>
      <c r="U938" s="237"/>
      <c r="V938" s="238"/>
      <c r="W938" s="238" t="str">
        <f t="shared" si="9"/>
        <v/>
      </c>
      <c r="X938" s="237" t="str">
        <f t="shared" ref="X938:Y938" si="930">IF(ISBLANK(H938),,""""&amp;H938&amp;"""")</f>
        <v/>
      </c>
      <c r="Y938" s="237" t="str">
        <f t="shared" si="930"/>
        <v/>
      </c>
      <c r="Z938" s="237" t="str">
        <f>IF(ISBLANK(K938),,Config!$C$3&amp;"&amp;range=BB"&amp;MATCH(K938,FRG!AE:AE,0))</f>
        <v/>
      </c>
      <c r="AB938" s="242" t="str">
        <f>IFERROR(__xludf.DUMMYFUNCTION("IF(ISBLANK(K938),,SUBSTITUTE(IFERROR(JOIN("","",K938:Z938),JOIN("","",K938:Y938)),CHAR(10),""""))"),"")</f>
        <v/>
      </c>
      <c r="AC938" s="229" t="str">
        <f t="shared" si="1"/>
        <v/>
      </c>
    </row>
    <row r="939">
      <c r="K939" s="237"/>
      <c r="L939" s="238" t="str">
        <f t="shared" si="3"/>
        <v/>
      </c>
      <c r="M939" s="237"/>
      <c r="N939" s="238"/>
      <c r="O939" s="238" t="str">
        <f t="shared" si="4"/>
        <v/>
      </c>
      <c r="P939" s="238" t="str">
        <f t="shared" si="5"/>
        <v/>
      </c>
      <c r="Q939" s="238" t="str">
        <f t="shared" si="6"/>
        <v/>
      </c>
      <c r="R939" s="238" t="str">
        <f t="shared" si="7"/>
        <v/>
      </c>
      <c r="S939" s="238" t="str">
        <f t="shared" si="8"/>
        <v/>
      </c>
      <c r="T939" s="238"/>
      <c r="U939" s="237"/>
      <c r="V939" s="238"/>
      <c r="W939" s="238" t="str">
        <f t="shared" si="9"/>
        <v/>
      </c>
      <c r="X939" s="237" t="str">
        <f t="shared" ref="X939:Y939" si="931">IF(ISBLANK(H939),,""""&amp;H939&amp;"""")</f>
        <v/>
      </c>
      <c r="Y939" s="237" t="str">
        <f t="shared" si="931"/>
        <v/>
      </c>
      <c r="Z939" s="237" t="str">
        <f>IF(ISBLANK(K939),,Config!$C$3&amp;"&amp;range=BB"&amp;MATCH(K939,FRG!AE:AE,0))</f>
        <v/>
      </c>
      <c r="AB939" s="242" t="str">
        <f>IFERROR(__xludf.DUMMYFUNCTION("IF(ISBLANK(K939),,SUBSTITUTE(IFERROR(JOIN("","",K939:Z939),JOIN("","",K939:Y939)),CHAR(10),""""))"),"")</f>
        <v/>
      </c>
      <c r="AC939" s="229" t="str">
        <f t="shared" si="1"/>
        <v/>
      </c>
    </row>
    <row r="940">
      <c r="K940" s="237"/>
      <c r="L940" s="238" t="str">
        <f t="shared" si="3"/>
        <v/>
      </c>
      <c r="M940" s="237"/>
      <c r="N940" s="238"/>
      <c r="O940" s="238" t="str">
        <f t="shared" si="4"/>
        <v/>
      </c>
      <c r="P940" s="238" t="str">
        <f t="shared" si="5"/>
        <v/>
      </c>
      <c r="Q940" s="238" t="str">
        <f t="shared" si="6"/>
        <v/>
      </c>
      <c r="R940" s="238" t="str">
        <f t="shared" si="7"/>
        <v/>
      </c>
      <c r="S940" s="238" t="str">
        <f t="shared" si="8"/>
        <v/>
      </c>
      <c r="T940" s="238"/>
      <c r="U940" s="237"/>
      <c r="V940" s="238"/>
      <c r="W940" s="238" t="str">
        <f t="shared" si="9"/>
        <v/>
      </c>
      <c r="X940" s="237" t="str">
        <f t="shared" ref="X940:Y940" si="932">IF(ISBLANK(H940),,""""&amp;H940&amp;"""")</f>
        <v/>
      </c>
      <c r="Y940" s="237" t="str">
        <f t="shared" si="932"/>
        <v/>
      </c>
      <c r="Z940" s="237" t="str">
        <f>IF(ISBLANK(K940),,Config!$C$3&amp;"&amp;range=BB"&amp;MATCH(K940,FRG!AE:AE,0))</f>
        <v/>
      </c>
      <c r="AB940" s="242" t="str">
        <f>IFERROR(__xludf.DUMMYFUNCTION("IF(ISBLANK(K940),,SUBSTITUTE(IFERROR(JOIN("","",K940:Z940),JOIN("","",K940:Y940)),CHAR(10),""""))"),"")</f>
        <v/>
      </c>
      <c r="AC940" s="229" t="str">
        <f t="shared" si="1"/>
        <v/>
      </c>
    </row>
    <row r="941">
      <c r="K941" s="237"/>
      <c r="L941" s="238" t="str">
        <f t="shared" si="3"/>
        <v/>
      </c>
      <c r="M941" s="237"/>
      <c r="N941" s="238"/>
      <c r="O941" s="238" t="str">
        <f t="shared" si="4"/>
        <v/>
      </c>
      <c r="P941" s="238" t="str">
        <f t="shared" si="5"/>
        <v/>
      </c>
      <c r="Q941" s="238" t="str">
        <f t="shared" si="6"/>
        <v/>
      </c>
      <c r="R941" s="238" t="str">
        <f t="shared" si="7"/>
        <v/>
      </c>
      <c r="S941" s="238" t="str">
        <f t="shared" si="8"/>
        <v/>
      </c>
      <c r="T941" s="238"/>
      <c r="U941" s="237"/>
      <c r="V941" s="238"/>
      <c r="W941" s="238" t="str">
        <f t="shared" si="9"/>
        <v/>
      </c>
      <c r="X941" s="237" t="str">
        <f t="shared" ref="X941:Y941" si="933">IF(ISBLANK(H941),,""""&amp;H941&amp;"""")</f>
        <v/>
      </c>
      <c r="Y941" s="237" t="str">
        <f t="shared" si="933"/>
        <v/>
      </c>
      <c r="Z941" s="237" t="str">
        <f>IF(ISBLANK(K941),,Config!$C$3&amp;"&amp;range=BB"&amp;MATCH(K941,FRG!AE:AE,0))</f>
        <v/>
      </c>
      <c r="AB941" s="242" t="str">
        <f>IFERROR(__xludf.DUMMYFUNCTION("IF(ISBLANK(K941),,SUBSTITUTE(IFERROR(JOIN("","",K941:Z941),JOIN("","",K941:Y941)),CHAR(10),""""))"),"")</f>
        <v/>
      </c>
      <c r="AC941" s="229" t="str">
        <f t="shared" si="1"/>
        <v/>
      </c>
    </row>
    <row r="942">
      <c r="K942" s="237"/>
      <c r="L942" s="238" t="str">
        <f t="shared" si="3"/>
        <v/>
      </c>
      <c r="M942" s="237"/>
      <c r="N942" s="238"/>
      <c r="O942" s="238" t="str">
        <f t="shared" si="4"/>
        <v/>
      </c>
      <c r="P942" s="238" t="str">
        <f t="shared" si="5"/>
        <v/>
      </c>
      <c r="Q942" s="238" t="str">
        <f t="shared" si="6"/>
        <v/>
      </c>
      <c r="R942" s="238" t="str">
        <f t="shared" si="7"/>
        <v/>
      </c>
      <c r="S942" s="238" t="str">
        <f t="shared" si="8"/>
        <v/>
      </c>
      <c r="T942" s="238"/>
      <c r="U942" s="237"/>
      <c r="V942" s="238"/>
      <c r="W942" s="238" t="str">
        <f t="shared" si="9"/>
        <v/>
      </c>
      <c r="X942" s="237" t="str">
        <f t="shared" ref="X942:Y942" si="934">IF(ISBLANK(H942),,""""&amp;H942&amp;"""")</f>
        <v/>
      </c>
      <c r="Y942" s="237" t="str">
        <f t="shared" si="934"/>
        <v/>
      </c>
      <c r="Z942" s="237" t="str">
        <f>IF(ISBLANK(K942),,Config!$C$3&amp;"&amp;range=BB"&amp;MATCH(K942,FRG!AE:AE,0))</f>
        <v/>
      </c>
      <c r="AB942" s="242" t="str">
        <f>IFERROR(__xludf.DUMMYFUNCTION("IF(ISBLANK(K942),,SUBSTITUTE(IFERROR(JOIN("","",K942:Z942),JOIN("","",K942:Y942)),CHAR(10),""""))"),"")</f>
        <v/>
      </c>
      <c r="AC942" s="229" t="str">
        <f t="shared" si="1"/>
        <v/>
      </c>
    </row>
    <row r="943">
      <c r="K943" s="237"/>
      <c r="L943" s="238" t="str">
        <f t="shared" si="3"/>
        <v/>
      </c>
      <c r="M943" s="237"/>
      <c r="N943" s="238"/>
      <c r="O943" s="238" t="str">
        <f t="shared" si="4"/>
        <v/>
      </c>
      <c r="P943" s="238" t="str">
        <f t="shared" si="5"/>
        <v/>
      </c>
      <c r="Q943" s="238" t="str">
        <f t="shared" si="6"/>
        <v/>
      </c>
      <c r="R943" s="238" t="str">
        <f t="shared" si="7"/>
        <v/>
      </c>
      <c r="S943" s="238" t="str">
        <f t="shared" si="8"/>
        <v/>
      </c>
      <c r="T943" s="238"/>
      <c r="U943" s="237"/>
      <c r="V943" s="238"/>
      <c r="W943" s="238" t="str">
        <f t="shared" si="9"/>
        <v/>
      </c>
      <c r="X943" s="237" t="str">
        <f t="shared" ref="X943:Y943" si="935">IF(ISBLANK(H943),,""""&amp;H943&amp;"""")</f>
        <v/>
      </c>
      <c r="Y943" s="237" t="str">
        <f t="shared" si="935"/>
        <v/>
      </c>
      <c r="Z943" s="237" t="str">
        <f>IF(ISBLANK(K943),,Config!$C$3&amp;"&amp;range=BB"&amp;MATCH(K943,FRG!AE:AE,0))</f>
        <v/>
      </c>
      <c r="AB943" s="242" t="str">
        <f>IFERROR(__xludf.DUMMYFUNCTION("IF(ISBLANK(K943),,SUBSTITUTE(IFERROR(JOIN("","",K943:Z943),JOIN("","",K943:Y943)),CHAR(10),""""))"),"")</f>
        <v/>
      </c>
      <c r="AC943" s="229" t="str">
        <f t="shared" si="1"/>
        <v/>
      </c>
    </row>
    <row r="944">
      <c r="K944" s="237"/>
      <c r="L944" s="238" t="str">
        <f t="shared" si="3"/>
        <v/>
      </c>
      <c r="M944" s="237"/>
      <c r="N944" s="238"/>
      <c r="O944" s="238" t="str">
        <f t="shared" si="4"/>
        <v/>
      </c>
      <c r="P944" s="238" t="str">
        <f t="shared" si="5"/>
        <v/>
      </c>
      <c r="Q944" s="238" t="str">
        <f t="shared" si="6"/>
        <v/>
      </c>
      <c r="R944" s="238" t="str">
        <f t="shared" si="7"/>
        <v/>
      </c>
      <c r="S944" s="238" t="str">
        <f t="shared" si="8"/>
        <v/>
      </c>
      <c r="T944" s="238"/>
      <c r="U944" s="237"/>
      <c r="V944" s="238"/>
      <c r="W944" s="238" t="str">
        <f t="shared" si="9"/>
        <v/>
      </c>
      <c r="X944" s="237" t="str">
        <f t="shared" ref="X944:Y944" si="936">IF(ISBLANK(H944),,""""&amp;H944&amp;"""")</f>
        <v/>
      </c>
      <c r="Y944" s="237" t="str">
        <f t="shared" si="936"/>
        <v/>
      </c>
      <c r="Z944" s="237" t="str">
        <f>IF(ISBLANK(K944),,Config!$C$3&amp;"&amp;range=BB"&amp;MATCH(K944,FRG!AE:AE,0))</f>
        <v/>
      </c>
      <c r="AB944" s="242" t="str">
        <f>IFERROR(__xludf.DUMMYFUNCTION("IF(ISBLANK(K944),,SUBSTITUTE(IFERROR(JOIN("","",K944:Z944),JOIN("","",K944:Y944)),CHAR(10),""""))"),"")</f>
        <v/>
      </c>
      <c r="AC944" s="229" t="str">
        <f t="shared" si="1"/>
        <v/>
      </c>
    </row>
    <row r="945">
      <c r="K945" s="237"/>
      <c r="L945" s="238" t="str">
        <f t="shared" si="3"/>
        <v/>
      </c>
      <c r="M945" s="237"/>
      <c r="N945" s="238"/>
      <c r="O945" s="238" t="str">
        <f t="shared" si="4"/>
        <v/>
      </c>
      <c r="P945" s="238" t="str">
        <f t="shared" si="5"/>
        <v/>
      </c>
      <c r="Q945" s="238" t="str">
        <f t="shared" si="6"/>
        <v/>
      </c>
      <c r="R945" s="238" t="str">
        <f t="shared" si="7"/>
        <v/>
      </c>
      <c r="S945" s="238" t="str">
        <f t="shared" si="8"/>
        <v/>
      </c>
      <c r="T945" s="238"/>
      <c r="U945" s="237"/>
      <c r="V945" s="238"/>
      <c r="W945" s="238" t="str">
        <f t="shared" si="9"/>
        <v/>
      </c>
      <c r="X945" s="237" t="str">
        <f t="shared" ref="X945:Y945" si="937">IF(ISBLANK(H945),,""""&amp;H945&amp;"""")</f>
        <v/>
      </c>
      <c r="Y945" s="237" t="str">
        <f t="shared" si="937"/>
        <v/>
      </c>
      <c r="Z945" s="237" t="str">
        <f>IF(ISBLANK(K945),,Config!$C$3&amp;"&amp;range=BB"&amp;MATCH(K945,FRG!AE:AE,0))</f>
        <v/>
      </c>
      <c r="AB945" s="242" t="str">
        <f>IFERROR(__xludf.DUMMYFUNCTION("IF(ISBLANK(K945),,SUBSTITUTE(IFERROR(JOIN("","",K945:Z945),JOIN("","",K945:Y945)),CHAR(10),""""))"),"")</f>
        <v/>
      </c>
      <c r="AC945" s="229" t="str">
        <f t="shared" si="1"/>
        <v/>
      </c>
    </row>
    <row r="946">
      <c r="K946" s="237"/>
      <c r="L946" s="238" t="str">
        <f t="shared" si="3"/>
        <v/>
      </c>
      <c r="M946" s="237"/>
      <c r="N946" s="238"/>
      <c r="O946" s="238" t="str">
        <f t="shared" si="4"/>
        <v/>
      </c>
      <c r="P946" s="238" t="str">
        <f t="shared" si="5"/>
        <v/>
      </c>
      <c r="Q946" s="238" t="str">
        <f t="shared" si="6"/>
        <v/>
      </c>
      <c r="R946" s="238" t="str">
        <f t="shared" si="7"/>
        <v/>
      </c>
      <c r="S946" s="238" t="str">
        <f t="shared" si="8"/>
        <v/>
      </c>
      <c r="T946" s="238"/>
      <c r="U946" s="237"/>
      <c r="V946" s="238"/>
      <c r="W946" s="238" t="str">
        <f t="shared" si="9"/>
        <v/>
      </c>
      <c r="X946" s="237" t="str">
        <f t="shared" ref="X946:Y946" si="938">IF(ISBLANK(H946),,""""&amp;H946&amp;"""")</f>
        <v/>
      </c>
      <c r="Y946" s="237" t="str">
        <f t="shared" si="938"/>
        <v/>
      </c>
      <c r="Z946" s="237" t="str">
        <f>IF(ISBLANK(K946),,Config!$C$3&amp;"&amp;range=BB"&amp;MATCH(K946,FRG!AE:AE,0))</f>
        <v/>
      </c>
      <c r="AB946" s="242" t="str">
        <f>IFERROR(__xludf.DUMMYFUNCTION("IF(ISBLANK(K946),,SUBSTITUTE(IFERROR(JOIN("","",K946:Z946),JOIN("","",K946:Y946)),CHAR(10),""""))"),"")</f>
        <v/>
      </c>
      <c r="AC946" s="229" t="str">
        <f t="shared" si="1"/>
        <v/>
      </c>
    </row>
    <row r="947">
      <c r="K947" s="237"/>
      <c r="L947" s="238" t="str">
        <f t="shared" si="3"/>
        <v/>
      </c>
      <c r="M947" s="237"/>
      <c r="N947" s="238"/>
      <c r="O947" s="238" t="str">
        <f t="shared" si="4"/>
        <v/>
      </c>
      <c r="P947" s="238" t="str">
        <f t="shared" si="5"/>
        <v/>
      </c>
      <c r="Q947" s="238" t="str">
        <f t="shared" si="6"/>
        <v/>
      </c>
      <c r="R947" s="238" t="str">
        <f t="shared" si="7"/>
        <v/>
      </c>
      <c r="S947" s="238" t="str">
        <f t="shared" si="8"/>
        <v/>
      </c>
      <c r="T947" s="238"/>
      <c r="U947" s="237"/>
      <c r="V947" s="238"/>
      <c r="W947" s="238" t="str">
        <f t="shared" si="9"/>
        <v/>
      </c>
      <c r="X947" s="237" t="str">
        <f t="shared" ref="X947:Y947" si="939">IF(ISBLANK(H947),,""""&amp;H947&amp;"""")</f>
        <v/>
      </c>
      <c r="Y947" s="237" t="str">
        <f t="shared" si="939"/>
        <v/>
      </c>
      <c r="Z947" s="237" t="str">
        <f>IF(ISBLANK(K947),,Config!$C$3&amp;"&amp;range=BB"&amp;MATCH(K947,FRG!AE:AE,0))</f>
        <v/>
      </c>
      <c r="AB947" s="242" t="str">
        <f>IFERROR(__xludf.DUMMYFUNCTION("IF(ISBLANK(K947),,SUBSTITUTE(IFERROR(JOIN("","",K947:Z947),JOIN("","",K947:Y947)),CHAR(10),""""))"),"")</f>
        <v/>
      </c>
      <c r="AC947" s="229" t="str">
        <f t="shared" si="1"/>
        <v/>
      </c>
    </row>
    <row r="948">
      <c r="K948" s="237"/>
      <c r="L948" s="238" t="str">
        <f t="shared" si="3"/>
        <v/>
      </c>
      <c r="M948" s="237"/>
      <c r="N948" s="238"/>
      <c r="O948" s="238" t="str">
        <f t="shared" si="4"/>
        <v/>
      </c>
      <c r="P948" s="238" t="str">
        <f t="shared" si="5"/>
        <v/>
      </c>
      <c r="Q948" s="238" t="str">
        <f t="shared" si="6"/>
        <v/>
      </c>
      <c r="R948" s="238" t="str">
        <f t="shared" si="7"/>
        <v/>
      </c>
      <c r="S948" s="238" t="str">
        <f t="shared" si="8"/>
        <v/>
      </c>
      <c r="T948" s="238"/>
      <c r="U948" s="237"/>
      <c r="V948" s="238"/>
      <c r="W948" s="238" t="str">
        <f t="shared" si="9"/>
        <v/>
      </c>
      <c r="X948" s="237" t="str">
        <f t="shared" ref="X948:Y948" si="940">IF(ISBLANK(H948),,""""&amp;H948&amp;"""")</f>
        <v/>
      </c>
      <c r="Y948" s="237" t="str">
        <f t="shared" si="940"/>
        <v/>
      </c>
      <c r="Z948" s="237" t="str">
        <f>IF(ISBLANK(K948),,Config!$C$3&amp;"&amp;range=BB"&amp;MATCH(K948,FRG!AE:AE,0))</f>
        <v/>
      </c>
      <c r="AB948" s="242" t="str">
        <f>IFERROR(__xludf.DUMMYFUNCTION("IF(ISBLANK(K948),,SUBSTITUTE(IFERROR(JOIN("","",K948:Z948),JOIN("","",K948:Y948)),CHAR(10),""""))"),"")</f>
        <v/>
      </c>
      <c r="AC948" s="229" t="str">
        <f t="shared" si="1"/>
        <v/>
      </c>
    </row>
    <row r="949">
      <c r="K949" s="237"/>
      <c r="L949" s="238" t="str">
        <f t="shared" si="3"/>
        <v/>
      </c>
      <c r="M949" s="237"/>
      <c r="N949" s="238"/>
      <c r="O949" s="238" t="str">
        <f t="shared" si="4"/>
        <v/>
      </c>
      <c r="P949" s="238" t="str">
        <f t="shared" si="5"/>
        <v/>
      </c>
      <c r="Q949" s="238" t="str">
        <f t="shared" si="6"/>
        <v/>
      </c>
      <c r="R949" s="238" t="str">
        <f t="shared" si="7"/>
        <v/>
      </c>
      <c r="S949" s="238" t="str">
        <f t="shared" si="8"/>
        <v/>
      </c>
      <c r="T949" s="238"/>
      <c r="U949" s="237"/>
      <c r="V949" s="238"/>
      <c r="W949" s="238" t="str">
        <f t="shared" si="9"/>
        <v/>
      </c>
      <c r="X949" s="237" t="str">
        <f t="shared" ref="X949:Y949" si="941">IF(ISBLANK(H949),,""""&amp;H949&amp;"""")</f>
        <v/>
      </c>
      <c r="Y949" s="237" t="str">
        <f t="shared" si="941"/>
        <v/>
      </c>
      <c r="Z949" s="237" t="str">
        <f>IF(ISBLANK(K949),,Config!$C$3&amp;"&amp;range=BB"&amp;MATCH(K949,FRG!AE:AE,0))</f>
        <v/>
      </c>
      <c r="AB949" s="242" t="str">
        <f>IFERROR(__xludf.DUMMYFUNCTION("IF(ISBLANK(K949),,SUBSTITUTE(IFERROR(JOIN("","",K949:Z949),JOIN("","",K949:Y949)),CHAR(10),""""))"),"")</f>
        <v/>
      </c>
      <c r="AC949" s="229" t="str">
        <f t="shared" si="1"/>
        <v/>
      </c>
    </row>
    <row r="950">
      <c r="K950" s="237"/>
      <c r="L950" s="238" t="str">
        <f t="shared" si="3"/>
        <v/>
      </c>
      <c r="M950" s="237"/>
      <c r="N950" s="238"/>
      <c r="O950" s="238" t="str">
        <f t="shared" si="4"/>
        <v/>
      </c>
      <c r="P950" s="238" t="str">
        <f t="shared" si="5"/>
        <v/>
      </c>
      <c r="Q950" s="238" t="str">
        <f t="shared" si="6"/>
        <v/>
      </c>
      <c r="R950" s="238" t="str">
        <f t="shared" si="7"/>
        <v/>
      </c>
      <c r="S950" s="238" t="str">
        <f t="shared" si="8"/>
        <v/>
      </c>
      <c r="T950" s="238"/>
      <c r="U950" s="237"/>
      <c r="V950" s="238"/>
      <c r="W950" s="238" t="str">
        <f t="shared" si="9"/>
        <v/>
      </c>
      <c r="X950" s="237" t="str">
        <f t="shared" ref="X950:Y950" si="942">IF(ISBLANK(H950),,""""&amp;H950&amp;"""")</f>
        <v/>
      </c>
      <c r="Y950" s="237" t="str">
        <f t="shared" si="942"/>
        <v/>
      </c>
      <c r="Z950" s="237" t="str">
        <f>IF(ISBLANK(K950),,Config!$C$3&amp;"&amp;range=BB"&amp;MATCH(K950,FRG!AE:AE,0))</f>
        <v/>
      </c>
      <c r="AB950" s="242" t="str">
        <f>IFERROR(__xludf.DUMMYFUNCTION("IF(ISBLANK(K950),,SUBSTITUTE(IFERROR(JOIN("","",K950:Z950),JOIN("","",K950:Y950)),CHAR(10),""""))"),"")</f>
        <v/>
      </c>
      <c r="AC950" s="229" t="str">
        <f t="shared" si="1"/>
        <v/>
      </c>
    </row>
    <row r="951">
      <c r="K951" s="237"/>
      <c r="L951" s="238" t="str">
        <f t="shared" si="3"/>
        <v/>
      </c>
      <c r="M951" s="237"/>
      <c r="N951" s="238"/>
      <c r="O951" s="238" t="str">
        <f t="shared" si="4"/>
        <v/>
      </c>
      <c r="P951" s="238" t="str">
        <f t="shared" si="5"/>
        <v/>
      </c>
      <c r="Q951" s="238" t="str">
        <f t="shared" si="6"/>
        <v/>
      </c>
      <c r="R951" s="238" t="str">
        <f t="shared" si="7"/>
        <v/>
      </c>
      <c r="S951" s="238" t="str">
        <f t="shared" si="8"/>
        <v/>
      </c>
      <c r="T951" s="238"/>
      <c r="U951" s="237"/>
      <c r="V951" s="238"/>
      <c r="W951" s="238" t="str">
        <f t="shared" si="9"/>
        <v/>
      </c>
      <c r="X951" s="237" t="str">
        <f t="shared" ref="X951:Y951" si="943">IF(ISBLANK(H951),,""""&amp;H951&amp;"""")</f>
        <v/>
      </c>
      <c r="Y951" s="237" t="str">
        <f t="shared" si="943"/>
        <v/>
      </c>
      <c r="Z951" s="237" t="str">
        <f>IF(ISBLANK(K951),,Config!$C$3&amp;"&amp;range=BB"&amp;MATCH(K951,FRG!AE:AE,0))</f>
        <v/>
      </c>
      <c r="AB951" s="242" t="str">
        <f>IFERROR(__xludf.DUMMYFUNCTION("IF(ISBLANK(K951),,SUBSTITUTE(IFERROR(JOIN("","",K951:Z951),JOIN("","",K951:Y951)),CHAR(10),""""))"),"")</f>
        <v/>
      </c>
      <c r="AC951" s="229" t="str">
        <f t="shared" si="1"/>
        <v/>
      </c>
    </row>
    <row r="952">
      <c r="K952" s="237"/>
      <c r="L952" s="238" t="str">
        <f t="shared" si="3"/>
        <v/>
      </c>
      <c r="M952" s="237"/>
      <c r="N952" s="238"/>
      <c r="O952" s="238" t="str">
        <f t="shared" si="4"/>
        <v/>
      </c>
      <c r="P952" s="238" t="str">
        <f t="shared" si="5"/>
        <v/>
      </c>
      <c r="Q952" s="238" t="str">
        <f t="shared" si="6"/>
        <v/>
      </c>
      <c r="R952" s="238" t="str">
        <f t="shared" si="7"/>
        <v/>
      </c>
      <c r="S952" s="238" t="str">
        <f t="shared" si="8"/>
        <v/>
      </c>
      <c r="T952" s="238"/>
      <c r="U952" s="237"/>
      <c r="V952" s="238"/>
      <c r="W952" s="238" t="str">
        <f t="shared" si="9"/>
        <v/>
      </c>
      <c r="X952" s="237" t="str">
        <f t="shared" ref="X952:Y952" si="944">IF(ISBLANK(H952),,""""&amp;H952&amp;"""")</f>
        <v/>
      </c>
      <c r="Y952" s="237" t="str">
        <f t="shared" si="944"/>
        <v/>
      </c>
      <c r="Z952" s="237" t="str">
        <f>IF(ISBLANK(K952),,Config!$C$3&amp;"&amp;range=BB"&amp;MATCH(K952,FRG!AE:AE,0))</f>
        <v/>
      </c>
      <c r="AB952" s="242" t="str">
        <f>IFERROR(__xludf.DUMMYFUNCTION("IF(ISBLANK(K952),,SUBSTITUTE(IFERROR(JOIN("","",K952:Z952),JOIN("","",K952:Y952)),CHAR(10),""""))"),"")</f>
        <v/>
      </c>
      <c r="AC952" s="229" t="str">
        <f t="shared" si="1"/>
        <v/>
      </c>
    </row>
    <row r="953">
      <c r="K953" s="237"/>
      <c r="L953" s="238" t="str">
        <f t="shared" si="3"/>
        <v/>
      </c>
      <c r="M953" s="237"/>
      <c r="N953" s="238"/>
      <c r="O953" s="238" t="str">
        <f t="shared" si="4"/>
        <v/>
      </c>
      <c r="P953" s="238" t="str">
        <f t="shared" si="5"/>
        <v/>
      </c>
      <c r="Q953" s="238" t="str">
        <f t="shared" si="6"/>
        <v/>
      </c>
      <c r="R953" s="238" t="str">
        <f t="shared" si="7"/>
        <v/>
      </c>
      <c r="S953" s="238" t="str">
        <f t="shared" si="8"/>
        <v/>
      </c>
      <c r="T953" s="238"/>
      <c r="U953" s="237"/>
      <c r="V953" s="238"/>
      <c r="W953" s="238" t="str">
        <f t="shared" si="9"/>
        <v/>
      </c>
      <c r="X953" s="237" t="str">
        <f t="shared" ref="X953:Y953" si="945">IF(ISBLANK(H953),,""""&amp;H953&amp;"""")</f>
        <v/>
      </c>
      <c r="Y953" s="237" t="str">
        <f t="shared" si="945"/>
        <v/>
      </c>
      <c r="Z953" s="237" t="str">
        <f>IF(ISBLANK(K953),,Config!$C$3&amp;"&amp;range=BB"&amp;MATCH(K953,FRG!AE:AE,0))</f>
        <v/>
      </c>
      <c r="AB953" s="242" t="str">
        <f>IFERROR(__xludf.DUMMYFUNCTION("IF(ISBLANK(K953),,SUBSTITUTE(IFERROR(JOIN("","",K953:Z953),JOIN("","",K953:Y953)),CHAR(10),""""))"),"")</f>
        <v/>
      </c>
      <c r="AC953" s="229" t="str">
        <f t="shared" si="1"/>
        <v/>
      </c>
    </row>
    <row r="954">
      <c r="K954" s="237"/>
      <c r="L954" s="238" t="str">
        <f t="shared" si="3"/>
        <v/>
      </c>
      <c r="M954" s="237"/>
      <c r="N954" s="238"/>
      <c r="O954" s="238" t="str">
        <f t="shared" si="4"/>
        <v/>
      </c>
      <c r="P954" s="238" t="str">
        <f t="shared" si="5"/>
        <v/>
      </c>
      <c r="Q954" s="238" t="str">
        <f t="shared" si="6"/>
        <v/>
      </c>
      <c r="R954" s="238" t="str">
        <f t="shared" si="7"/>
        <v/>
      </c>
      <c r="S954" s="238" t="str">
        <f t="shared" si="8"/>
        <v/>
      </c>
      <c r="T954" s="238"/>
      <c r="U954" s="237"/>
      <c r="V954" s="238"/>
      <c r="W954" s="238" t="str">
        <f t="shared" si="9"/>
        <v/>
      </c>
      <c r="X954" s="237" t="str">
        <f t="shared" ref="X954:Y954" si="946">IF(ISBLANK(H954),,""""&amp;H954&amp;"""")</f>
        <v/>
      </c>
      <c r="Y954" s="237" t="str">
        <f t="shared" si="946"/>
        <v/>
      </c>
      <c r="Z954" s="237" t="str">
        <f>IF(ISBLANK(K954),,Config!$C$3&amp;"&amp;range=BB"&amp;MATCH(K954,FRG!AE:AE,0))</f>
        <v/>
      </c>
      <c r="AB954" s="242" t="str">
        <f>IFERROR(__xludf.DUMMYFUNCTION("IF(ISBLANK(K954),,SUBSTITUTE(IFERROR(JOIN("","",K954:Z954),JOIN("","",K954:Y954)),CHAR(10),""""))"),"")</f>
        <v/>
      </c>
      <c r="AC954" s="229" t="str">
        <f t="shared" si="1"/>
        <v/>
      </c>
    </row>
    <row r="955">
      <c r="K955" s="237"/>
      <c r="L955" s="238" t="str">
        <f t="shared" si="3"/>
        <v/>
      </c>
      <c r="M955" s="237"/>
      <c r="N955" s="238"/>
      <c r="O955" s="238" t="str">
        <f t="shared" si="4"/>
        <v/>
      </c>
      <c r="P955" s="238" t="str">
        <f t="shared" si="5"/>
        <v/>
      </c>
      <c r="Q955" s="238" t="str">
        <f t="shared" si="6"/>
        <v/>
      </c>
      <c r="R955" s="238" t="str">
        <f t="shared" si="7"/>
        <v/>
      </c>
      <c r="S955" s="238" t="str">
        <f t="shared" si="8"/>
        <v/>
      </c>
      <c r="T955" s="238"/>
      <c r="U955" s="237"/>
      <c r="V955" s="238"/>
      <c r="W955" s="238" t="str">
        <f t="shared" si="9"/>
        <v/>
      </c>
      <c r="X955" s="237" t="str">
        <f t="shared" ref="X955:Y955" si="947">IF(ISBLANK(H955),,""""&amp;H955&amp;"""")</f>
        <v/>
      </c>
      <c r="Y955" s="237" t="str">
        <f t="shared" si="947"/>
        <v/>
      </c>
      <c r="Z955" s="237" t="str">
        <f>IF(ISBLANK(K955),,Config!$C$3&amp;"&amp;range=BB"&amp;MATCH(K955,FRG!AE:AE,0))</f>
        <v/>
      </c>
      <c r="AB955" s="242" t="str">
        <f>IFERROR(__xludf.DUMMYFUNCTION("IF(ISBLANK(K955),,SUBSTITUTE(IFERROR(JOIN("","",K955:Z955),JOIN("","",K955:Y955)),CHAR(10),""""))"),"")</f>
        <v/>
      </c>
      <c r="AC955" s="229" t="str">
        <f t="shared" si="1"/>
        <v/>
      </c>
    </row>
    <row r="956">
      <c r="K956" s="237"/>
      <c r="L956" s="238" t="str">
        <f t="shared" si="3"/>
        <v/>
      </c>
      <c r="M956" s="237"/>
      <c r="N956" s="238"/>
      <c r="O956" s="238" t="str">
        <f t="shared" si="4"/>
        <v/>
      </c>
      <c r="P956" s="238" t="str">
        <f t="shared" si="5"/>
        <v/>
      </c>
      <c r="Q956" s="238" t="str">
        <f t="shared" si="6"/>
        <v/>
      </c>
      <c r="R956" s="238" t="str">
        <f t="shared" si="7"/>
        <v/>
      </c>
      <c r="S956" s="238" t="str">
        <f t="shared" si="8"/>
        <v/>
      </c>
      <c r="T956" s="238"/>
      <c r="U956" s="237"/>
      <c r="V956" s="238"/>
      <c r="W956" s="238" t="str">
        <f t="shared" si="9"/>
        <v/>
      </c>
      <c r="X956" s="237" t="str">
        <f t="shared" ref="X956:Y956" si="948">IF(ISBLANK(H956),,""""&amp;H956&amp;"""")</f>
        <v/>
      </c>
      <c r="Y956" s="237" t="str">
        <f t="shared" si="948"/>
        <v/>
      </c>
      <c r="Z956" s="237" t="str">
        <f>IF(ISBLANK(K956),,Config!$C$3&amp;"&amp;range=BB"&amp;MATCH(K956,FRG!AE:AE,0))</f>
        <v/>
      </c>
      <c r="AB956" s="242" t="str">
        <f>IFERROR(__xludf.DUMMYFUNCTION("IF(ISBLANK(K956),,SUBSTITUTE(IFERROR(JOIN("","",K956:Z956),JOIN("","",K956:Y956)),CHAR(10),""""))"),"")</f>
        <v/>
      </c>
      <c r="AC956" s="229" t="str">
        <f t="shared" si="1"/>
        <v/>
      </c>
    </row>
    <row r="957">
      <c r="K957" s="237"/>
      <c r="L957" s="238" t="str">
        <f t="shared" si="3"/>
        <v/>
      </c>
      <c r="M957" s="237"/>
      <c r="N957" s="238"/>
      <c r="O957" s="238" t="str">
        <f t="shared" si="4"/>
        <v/>
      </c>
      <c r="P957" s="238" t="str">
        <f t="shared" si="5"/>
        <v/>
      </c>
      <c r="Q957" s="238" t="str">
        <f t="shared" si="6"/>
        <v/>
      </c>
      <c r="R957" s="238" t="str">
        <f t="shared" si="7"/>
        <v/>
      </c>
      <c r="S957" s="238" t="str">
        <f t="shared" si="8"/>
        <v/>
      </c>
      <c r="T957" s="238"/>
      <c r="U957" s="237"/>
      <c r="V957" s="238"/>
      <c r="W957" s="238" t="str">
        <f t="shared" si="9"/>
        <v/>
      </c>
      <c r="X957" s="237" t="str">
        <f t="shared" ref="X957:Y957" si="949">IF(ISBLANK(H957),,""""&amp;H957&amp;"""")</f>
        <v/>
      </c>
      <c r="Y957" s="237" t="str">
        <f t="shared" si="949"/>
        <v/>
      </c>
      <c r="Z957" s="237" t="str">
        <f>IF(ISBLANK(K957),,Config!$C$3&amp;"&amp;range=BB"&amp;MATCH(K957,FRG!AE:AE,0))</f>
        <v/>
      </c>
      <c r="AB957" s="242" t="str">
        <f>IFERROR(__xludf.DUMMYFUNCTION("IF(ISBLANK(K957),,SUBSTITUTE(IFERROR(JOIN("","",K957:Z957),JOIN("","",K957:Y957)),CHAR(10),""""))"),"")</f>
        <v/>
      </c>
      <c r="AC957" s="229" t="str">
        <f t="shared" si="1"/>
        <v/>
      </c>
    </row>
    <row r="958">
      <c r="K958" s="237"/>
      <c r="L958" s="238" t="str">
        <f t="shared" si="3"/>
        <v/>
      </c>
      <c r="M958" s="237"/>
      <c r="N958" s="238"/>
      <c r="O958" s="238" t="str">
        <f t="shared" si="4"/>
        <v/>
      </c>
      <c r="P958" s="238" t="str">
        <f t="shared" si="5"/>
        <v/>
      </c>
      <c r="Q958" s="238" t="str">
        <f t="shared" si="6"/>
        <v/>
      </c>
      <c r="R958" s="238" t="str">
        <f t="shared" si="7"/>
        <v/>
      </c>
      <c r="S958" s="238" t="str">
        <f t="shared" si="8"/>
        <v/>
      </c>
      <c r="T958" s="238"/>
      <c r="U958" s="237"/>
      <c r="V958" s="238"/>
      <c r="W958" s="238" t="str">
        <f t="shared" si="9"/>
        <v/>
      </c>
      <c r="X958" s="237" t="str">
        <f t="shared" ref="X958:Y958" si="950">IF(ISBLANK(H958),,""""&amp;H958&amp;"""")</f>
        <v/>
      </c>
      <c r="Y958" s="237" t="str">
        <f t="shared" si="950"/>
        <v/>
      </c>
      <c r="Z958" s="237" t="str">
        <f>IF(ISBLANK(K958),,Config!$C$3&amp;"&amp;range=BB"&amp;MATCH(K958,FRG!AE:AE,0))</f>
        <v/>
      </c>
      <c r="AB958" s="242" t="str">
        <f>IFERROR(__xludf.DUMMYFUNCTION("IF(ISBLANK(K958),,SUBSTITUTE(IFERROR(JOIN("","",K958:Z958),JOIN("","",K958:Y958)),CHAR(10),""""))"),"")</f>
        <v/>
      </c>
      <c r="AC958" s="229" t="str">
        <f t="shared" si="1"/>
        <v/>
      </c>
    </row>
    <row r="959">
      <c r="K959" s="237"/>
      <c r="L959" s="238" t="str">
        <f t="shared" si="3"/>
        <v/>
      </c>
      <c r="M959" s="237"/>
      <c r="N959" s="238"/>
      <c r="O959" s="238" t="str">
        <f t="shared" si="4"/>
        <v/>
      </c>
      <c r="P959" s="238" t="str">
        <f t="shared" si="5"/>
        <v/>
      </c>
      <c r="Q959" s="238" t="str">
        <f t="shared" si="6"/>
        <v/>
      </c>
      <c r="R959" s="238" t="str">
        <f t="shared" si="7"/>
        <v/>
      </c>
      <c r="S959" s="238" t="str">
        <f t="shared" si="8"/>
        <v/>
      </c>
      <c r="T959" s="238"/>
      <c r="U959" s="237"/>
      <c r="V959" s="238"/>
      <c r="W959" s="238" t="str">
        <f t="shared" si="9"/>
        <v/>
      </c>
      <c r="X959" s="237" t="str">
        <f t="shared" ref="X959:Y959" si="951">IF(ISBLANK(H959),,""""&amp;H959&amp;"""")</f>
        <v/>
      </c>
      <c r="Y959" s="237" t="str">
        <f t="shared" si="951"/>
        <v/>
      </c>
      <c r="Z959" s="237" t="str">
        <f>IF(ISBLANK(K959),,Config!$C$3&amp;"&amp;range=BB"&amp;MATCH(K959,FRG!AE:AE,0))</f>
        <v/>
      </c>
      <c r="AB959" s="242" t="str">
        <f>IFERROR(__xludf.DUMMYFUNCTION("IF(ISBLANK(K959),,SUBSTITUTE(IFERROR(JOIN("","",K959:Z959),JOIN("","",K959:Y959)),CHAR(10),""""))"),"")</f>
        <v/>
      </c>
      <c r="AC959" s="229" t="str">
        <f t="shared" si="1"/>
        <v/>
      </c>
    </row>
    <row r="960">
      <c r="K960" s="237"/>
      <c r="L960" s="238" t="str">
        <f t="shared" si="3"/>
        <v/>
      </c>
      <c r="M960" s="237"/>
      <c r="N960" s="238"/>
      <c r="O960" s="238" t="str">
        <f t="shared" si="4"/>
        <v/>
      </c>
      <c r="P960" s="238" t="str">
        <f t="shared" si="5"/>
        <v/>
      </c>
      <c r="Q960" s="238" t="str">
        <f t="shared" si="6"/>
        <v/>
      </c>
      <c r="R960" s="238" t="str">
        <f t="shared" si="7"/>
        <v/>
      </c>
      <c r="S960" s="238" t="str">
        <f t="shared" si="8"/>
        <v/>
      </c>
      <c r="T960" s="238"/>
      <c r="U960" s="237"/>
      <c r="V960" s="238"/>
      <c r="W960" s="238" t="str">
        <f t="shared" si="9"/>
        <v/>
      </c>
      <c r="X960" s="237" t="str">
        <f t="shared" ref="X960:Y960" si="952">IF(ISBLANK(H960),,""""&amp;H960&amp;"""")</f>
        <v/>
      </c>
      <c r="Y960" s="237" t="str">
        <f t="shared" si="952"/>
        <v/>
      </c>
      <c r="Z960" s="237" t="str">
        <f>IF(ISBLANK(K960),,Config!$C$3&amp;"&amp;range=BB"&amp;MATCH(K960,FRG!AE:AE,0))</f>
        <v/>
      </c>
      <c r="AB960" s="242" t="str">
        <f>IFERROR(__xludf.DUMMYFUNCTION("IF(ISBLANK(K960),,SUBSTITUTE(IFERROR(JOIN("","",K960:Z960),JOIN("","",K960:Y960)),CHAR(10),""""))"),"")</f>
        <v/>
      </c>
      <c r="AC960" s="229" t="str">
        <f t="shared" si="1"/>
        <v/>
      </c>
    </row>
    <row r="961">
      <c r="K961" s="237"/>
      <c r="L961" s="238" t="str">
        <f t="shared" si="3"/>
        <v/>
      </c>
      <c r="M961" s="237"/>
      <c r="N961" s="238"/>
      <c r="O961" s="238" t="str">
        <f t="shared" si="4"/>
        <v/>
      </c>
      <c r="P961" s="238" t="str">
        <f t="shared" si="5"/>
        <v/>
      </c>
      <c r="Q961" s="238" t="str">
        <f t="shared" si="6"/>
        <v/>
      </c>
      <c r="R961" s="238" t="str">
        <f t="shared" si="7"/>
        <v/>
      </c>
      <c r="S961" s="238" t="str">
        <f t="shared" si="8"/>
        <v/>
      </c>
      <c r="T961" s="238"/>
      <c r="U961" s="237"/>
      <c r="V961" s="238"/>
      <c r="W961" s="238" t="str">
        <f t="shared" si="9"/>
        <v/>
      </c>
      <c r="X961" s="237" t="str">
        <f t="shared" ref="X961:Y961" si="953">IF(ISBLANK(H961),,""""&amp;H961&amp;"""")</f>
        <v/>
      </c>
      <c r="Y961" s="237" t="str">
        <f t="shared" si="953"/>
        <v/>
      </c>
      <c r="Z961" s="237" t="str">
        <f>IF(ISBLANK(K961),,Config!$C$3&amp;"&amp;range=BB"&amp;MATCH(K961,FRG!AE:AE,0))</f>
        <v/>
      </c>
      <c r="AB961" s="242" t="str">
        <f>IFERROR(__xludf.DUMMYFUNCTION("IF(ISBLANK(K961),,SUBSTITUTE(IFERROR(JOIN("","",K961:Z961),JOIN("","",K961:Y961)),CHAR(10),""""))"),"")</f>
        <v/>
      </c>
      <c r="AC961" s="229" t="str">
        <f t="shared" si="1"/>
        <v/>
      </c>
    </row>
    <row r="962">
      <c r="K962" s="237"/>
      <c r="L962" s="238" t="str">
        <f t="shared" si="3"/>
        <v/>
      </c>
      <c r="M962" s="237"/>
      <c r="N962" s="238"/>
      <c r="O962" s="238" t="str">
        <f t="shared" si="4"/>
        <v/>
      </c>
      <c r="P962" s="238" t="str">
        <f t="shared" si="5"/>
        <v/>
      </c>
      <c r="Q962" s="238" t="str">
        <f t="shared" si="6"/>
        <v/>
      </c>
      <c r="R962" s="238" t="str">
        <f t="shared" si="7"/>
        <v/>
      </c>
      <c r="S962" s="238" t="str">
        <f t="shared" si="8"/>
        <v/>
      </c>
      <c r="T962" s="238"/>
      <c r="U962" s="237"/>
      <c r="V962" s="238"/>
      <c r="W962" s="238" t="str">
        <f t="shared" si="9"/>
        <v/>
      </c>
      <c r="X962" s="237" t="str">
        <f t="shared" ref="X962:Y962" si="954">IF(ISBLANK(H962),,""""&amp;H962&amp;"""")</f>
        <v/>
      </c>
      <c r="Y962" s="237" t="str">
        <f t="shared" si="954"/>
        <v/>
      </c>
      <c r="Z962" s="237" t="str">
        <f>IF(ISBLANK(K962),,Config!$C$3&amp;"&amp;range=BB"&amp;MATCH(K962,FRG!AE:AE,0))</f>
        <v/>
      </c>
      <c r="AB962" s="242" t="str">
        <f>IFERROR(__xludf.DUMMYFUNCTION("IF(ISBLANK(K962),,SUBSTITUTE(IFERROR(JOIN("","",K962:Z962),JOIN("","",K962:Y962)),CHAR(10),""""))"),"")</f>
        <v/>
      </c>
      <c r="AC962" s="229" t="str">
        <f t="shared" si="1"/>
        <v/>
      </c>
    </row>
    <row r="963">
      <c r="K963" s="237"/>
      <c r="L963" s="238" t="str">
        <f t="shared" si="3"/>
        <v/>
      </c>
      <c r="M963" s="237"/>
      <c r="N963" s="238"/>
      <c r="O963" s="238" t="str">
        <f t="shared" si="4"/>
        <v/>
      </c>
      <c r="P963" s="238" t="str">
        <f t="shared" si="5"/>
        <v/>
      </c>
      <c r="Q963" s="238" t="str">
        <f t="shared" si="6"/>
        <v/>
      </c>
      <c r="R963" s="238" t="str">
        <f t="shared" si="7"/>
        <v/>
      </c>
      <c r="S963" s="238" t="str">
        <f t="shared" si="8"/>
        <v/>
      </c>
      <c r="T963" s="238"/>
      <c r="U963" s="237"/>
      <c r="V963" s="238"/>
      <c r="W963" s="238" t="str">
        <f t="shared" si="9"/>
        <v/>
      </c>
      <c r="X963" s="237" t="str">
        <f t="shared" ref="X963:Y963" si="955">IF(ISBLANK(H963),,""""&amp;H963&amp;"""")</f>
        <v/>
      </c>
      <c r="Y963" s="237" t="str">
        <f t="shared" si="955"/>
        <v/>
      </c>
      <c r="Z963" s="237" t="str">
        <f>IF(ISBLANK(K963),,Config!$C$3&amp;"&amp;range=BB"&amp;MATCH(K963,FRG!AE:AE,0))</f>
        <v/>
      </c>
      <c r="AB963" s="242" t="str">
        <f>IFERROR(__xludf.DUMMYFUNCTION("IF(ISBLANK(K963),,SUBSTITUTE(IFERROR(JOIN("","",K963:Z963),JOIN("","",K963:Y963)),CHAR(10),""""))"),"")</f>
        <v/>
      </c>
      <c r="AC963" s="229" t="str">
        <f t="shared" si="1"/>
        <v/>
      </c>
    </row>
    <row r="964">
      <c r="K964" s="237"/>
      <c r="L964" s="238" t="str">
        <f t="shared" si="3"/>
        <v/>
      </c>
      <c r="M964" s="237"/>
      <c r="N964" s="238"/>
      <c r="O964" s="238" t="str">
        <f t="shared" si="4"/>
        <v/>
      </c>
      <c r="P964" s="238" t="str">
        <f t="shared" si="5"/>
        <v/>
      </c>
      <c r="Q964" s="238" t="str">
        <f t="shared" si="6"/>
        <v/>
      </c>
      <c r="R964" s="238" t="str">
        <f t="shared" si="7"/>
        <v/>
      </c>
      <c r="S964" s="238" t="str">
        <f t="shared" si="8"/>
        <v/>
      </c>
      <c r="T964" s="238"/>
      <c r="U964" s="237"/>
      <c r="V964" s="238"/>
      <c r="W964" s="238" t="str">
        <f t="shared" si="9"/>
        <v/>
      </c>
      <c r="X964" s="237" t="str">
        <f t="shared" ref="X964:Y964" si="956">IF(ISBLANK(H964),,""""&amp;H964&amp;"""")</f>
        <v/>
      </c>
      <c r="Y964" s="237" t="str">
        <f t="shared" si="956"/>
        <v/>
      </c>
      <c r="Z964" s="237" t="str">
        <f>IF(ISBLANK(K964),,Config!$C$3&amp;"&amp;range=BB"&amp;MATCH(K964,FRG!AE:AE,0))</f>
        <v/>
      </c>
      <c r="AB964" s="242" t="str">
        <f>IFERROR(__xludf.DUMMYFUNCTION("IF(ISBLANK(K964),,SUBSTITUTE(IFERROR(JOIN("","",K964:Z964),JOIN("","",K964:Y964)),CHAR(10),""""))"),"")</f>
        <v/>
      </c>
      <c r="AC964" s="229" t="str">
        <f t="shared" si="1"/>
        <v/>
      </c>
    </row>
    <row r="965">
      <c r="K965" s="237"/>
      <c r="L965" s="238" t="str">
        <f t="shared" si="3"/>
        <v/>
      </c>
      <c r="M965" s="237"/>
      <c r="N965" s="238"/>
      <c r="O965" s="238" t="str">
        <f t="shared" si="4"/>
        <v/>
      </c>
      <c r="P965" s="238" t="str">
        <f t="shared" si="5"/>
        <v/>
      </c>
      <c r="Q965" s="238" t="str">
        <f t="shared" si="6"/>
        <v/>
      </c>
      <c r="R965" s="238" t="str">
        <f t="shared" si="7"/>
        <v/>
      </c>
      <c r="S965" s="238" t="str">
        <f t="shared" si="8"/>
        <v/>
      </c>
      <c r="T965" s="238"/>
      <c r="U965" s="237"/>
      <c r="V965" s="238"/>
      <c r="W965" s="238" t="str">
        <f t="shared" si="9"/>
        <v/>
      </c>
      <c r="X965" s="237" t="str">
        <f t="shared" ref="X965:Y965" si="957">IF(ISBLANK(H965),,""""&amp;H965&amp;"""")</f>
        <v/>
      </c>
      <c r="Y965" s="237" t="str">
        <f t="shared" si="957"/>
        <v/>
      </c>
      <c r="Z965" s="237" t="str">
        <f>IF(ISBLANK(K965),,Config!$C$3&amp;"&amp;range=BB"&amp;MATCH(K965,FRG!AE:AE,0))</f>
        <v/>
      </c>
      <c r="AB965" s="242" t="str">
        <f>IFERROR(__xludf.DUMMYFUNCTION("IF(ISBLANK(K965),,SUBSTITUTE(IFERROR(JOIN("","",K965:Z965),JOIN("","",K965:Y965)),CHAR(10),""""))"),"")</f>
        <v/>
      </c>
      <c r="AC965" s="229" t="str">
        <f t="shared" si="1"/>
        <v/>
      </c>
    </row>
    <row r="966">
      <c r="K966" s="237"/>
      <c r="L966" s="238" t="str">
        <f t="shared" si="3"/>
        <v/>
      </c>
      <c r="M966" s="237"/>
      <c r="N966" s="238"/>
      <c r="O966" s="238" t="str">
        <f t="shared" si="4"/>
        <v/>
      </c>
      <c r="P966" s="238" t="str">
        <f t="shared" si="5"/>
        <v/>
      </c>
      <c r="Q966" s="238" t="str">
        <f t="shared" si="6"/>
        <v/>
      </c>
      <c r="R966" s="238" t="str">
        <f t="shared" si="7"/>
        <v/>
      </c>
      <c r="S966" s="238" t="str">
        <f t="shared" si="8"/>
        <v/>
      </c>
      <c r="T966" s="238"/>
      <c r="U966" s="237"/>
      <c r="V966" s="238"/>
      <c r="W966" s="238" t="str">
        <f t="shared" si="9"/>
        <v/>
      </c>
      <c r="X966" s="237" t="str">
        <f t="shared" ref="X966:Y966" si="958">IF(ISBLANK(H966),,""""&amp;H966&amp;"""")</f>
        <v/>
      </c>
      <c r="Y966" s="237" t="str">
        <f t="shared" si="958"/>
        <v/>
      </c>
      <c r="Z966" s="237" t="str">
        <f>IF(ISBLANK(K966),,Config!$C$3&amp;"&amp;range=BB"&amp;MATCH(K966,FRG!AE:AE,0))</f>
        <v/>
      </c>
      <c r="AB966" s="242" t="str">
        <f>IFERROR(__xludf.DUMMYFUNCTION("IF(ISBLANK(K966),,SUBSTITUTE(IFERROR(JOIN("","",K966:Z966),JOIN("","",K966:Y966)),CHAR(10),""""))"),"")</f>
        <v/>
      </c>
      <c r="AC966" s="229" t="str">
        <f t="shared" si="1"/>
        <v/>
      </c>
    </row>
    <row r="967">
      <c r="K967" s="237"/>
      <c r="L967" s="238" t="str">
        <f t="shared" si="3"/>
        <v/>
      </c>
      <c r="M967" s="237"/>
      <c r="N967" s="238"/>
      <c r="O967" s="238" t="str">
        <f t="shared" si="4"/>
        <v/>
      </c>
      <c r="P967" s="238" t="str">
        <f t="shared" si="5"/>
        <v/>
      </c>
      <c r="Q967" s="238" t="str">
        <f t="shared" si="6"/>
        <v/>
      </c>
      <c r="R967" s="238" t="str">
        <f t="shared" si="7"/>
        <v/>
      </c>
      <c r="S967" s="238" t="str">
        <f t="shared" si="8"/>
        <v/>
      </c>
      <c r="T967" s="238"/>
      <c r="U967" s="237"/>
      <c r="V967" s="238"/>
      <c r="W967" s="238" t="str">
        <f t="shared" si="9"/>
        <v/>
      </c>
      <c r="X967" s="237" t="str">
        <f t="shared" ref="X967:Y967" si="959">IF(ISBLANK(H967),,""""&amp;H967&amp;"""")</f>
        <v/>
      </c>
      <c r="Y967" s="237" t="str">
        <f t="shared" si="959"/>
        <v/>
      </c>
      <c r="Z967" s="237" t="str">
        <f>IF(ISBLANK(K967),,Config!$C$3&amp;"&amp;range=BB"&amp;MATCH(K967,FRG!AE:AE,0))</f>
        <v/>
      </c>
      <c r="AB967" s="242" t="str">
        <f>IFERROR(__xludf.DUMMYFUNCTION("IF(ISBLANK(K967),,SUBSTITUTE(IFERROR(JOIN("","",K967:Z967),JOIN("","",K967:Y967)),CHAR(10),""""))"),"")</f>
        <v/>
      </c>
      <c r="AC967" s="229" t="str">
        <f t="shared" si="1"/>
        <v/>
      </c>
    </row>
    <row r="968">
      <c r="K968" s="237"/>
      <c r="L968" s="238" t="str">
        <f t="shared" si="3"/>
        <v/>
      </c>
      <c r="M968" s="237"/>
      <c r="N968" s="238"/>
      <c r="O968" s="238" t="str">
        <f t="shared" si="4"/>
        <v/>
      </c>
      <c r="P968" s="238" t="str">
        <f t="shared" si="5"/>
        <v/>
      </c>
      <c r="Q968" s="238" t="str">
        <f t="shared" si="6"/>
        <v/>
      </c>
      <c r="R968" s="238" t="str">
        <f t="shared" si="7"/>
        <v/>
      </c>
      <c r="S968" s="238" t="str">
        <f t="shared" si="8"/>
        <v/>
      </c>
      <c r="T968" s="238"/>
      <c r="U968" s="237"/>
      <c r="V968" s="238"/>
      <c r="W968" s="238" t="str">
        <f t="shared" si="9"/>
        <v/>
      </c>
      <c r="X968" s="237" t="str">
        <f t="shared" ref="X968:Y968" si="960">IF(ISBLANK(H968),,""""&amp;H968&amp;"""")</f>
        <v/>
      </c>
      <c r="Y968" s="237" t="str">
        <f t="shared" si="960"/>
        <v/>
      </c>
      <c r="Z968" s="237" t="str">
        <f>IF(ISBLANK(K968),,Config!$C$3&amp;"&amp;range=BB"&amp;MATCH(K968,FRG!AE:AE,0))</f>
        <v/>
      </c>
      <c r="AB968" s="242" t="str">
        <f>IFERROR(__xludf.DUMMYFUNCTION("IF(ISBLANK(K968),,SUBSTITUTE(IFERROR(JOIN("","",K968:Z968),JOIN("","",K968:Y968)),CHAR(10),""""))"),"")</f>
        <v/>
      </c>
      <c r="AC968" s="229" t="str">
        <f t="shared" si="1"/>
        <v/>
      </c>
    </row>
    <row r="969">
      <c r="K969" s="237"/>
      <c r="L969" s="238" t="str">
        <f t="shared" si="3"/>
        <v/>
      </c>
      <c r="M969" s="237"/>
      <c r="N969" s="238"/>
      <c r="O969" s="238" t="str">
        <f t="shared" si="4"/>
        <v/>
      </c>
      <c r="P969" s="238" t="str">
        <f t="shared" si="5"/>
        <v/>
      </c>
      <c r="Q969" s="238" t="str">
        <f t="shared" si="6"/>
        <v/>
      </c>
      <c r="R969" s="238" t="str">
        <f t="shared" si="7"/>
        <v/>
      </c>
      <c r="S969" s="238" t="str">
        <f t="shared" si="8"/>
        <v/>
      </c>
      <c r="T969" s="238"/>
      <c r="U969" s="237"/>
      <c r="V969" s="238"/>
      <c r="W969" s="238" t="str">
        <f t="shared" si="9"/>
        <v/>
      </c>
      <c r="X969" s="237" t="str">
        <f t="shared" ref="X969:Y969" si="961">IF(ISBLANK(H969),,""""&amp;H969&amp;"""")</f>
        <v/>
      </c>
      <c r="Y969" s="237" t="str">
        <f t="shared" si="961"/>
        <v/>
      </c>
      <c r="Z969" s="237" t="str">
        <f>IF(ISBLANK(K969),,Config!$C$3&amp;"&amp;range=BB"&amp;MATCH(K969,FRG!AE:AE,0))</f>
        <v/>
      </c>
      <c r="AB969" s="242" t="str">
        <f>IFERROR(__xludf.DUMMYFUNCTION("IF(ISBLANK(K969),,SUBSTITUTE(IFERROR(JOIN("","",K969:Z969),JOIN("","",K969:Y969)),CHAR(10),""""))"),"")</f>
        <v/>
      </c>
      <c r="AC969" s="229" t="str">
        <f t="shared" si="1"/>
        <v/>
      </c>
    </row>
    <row r="970">
      <c r="K970" s="237"/>
      <c r="L970" s="238" t="str">
        <f t="shared" si="3"/>
        <v/>
      </c>
      <c r="M970" s="237"/>
      <c r="N970" s="238"/>
      <c r="O970" s="238" t="str">
        <f t="shared" si="4"/>
        <v/>
      </c>
      <c r="P970" s="238" t="str">
        <f t="shared" si="5"/>
        <v/>
      </c>
      <c r="Q970" s="238" t="str">
        <f t="shared" si="6"/>
        <v/>
      </c>
      <c r="R970" s="238" t="str">
        <f t="shared" si="7"/>
        <v/>
      </c>
      <c r="S970" s="238" t="str">
        <f t="shared" si="8"/>
        <v/>
      </c>
      <c r="T970" s="238"/>
      <c r="U970" s="237"/>
      <c r="V970" s="238"/>
      <c r="W970" s="238" t="str">
        <f t="shared" si="9"/>
        <v/>
      </c>
      <c r="X970" s="237" t="str">
        <f t="shared" ref="X970:Y970" si="962">IF(ISBLANK(H970),,""""&amp;H970&amp;"""")</f>
        <v/>
      </c>
      <c r="Y970" s="237" t="str">
        <f t="shared" si="962"/>
        <v/>
      </c>
      <c r="Z970" s="237" t="str">
        <f>IF(ISBLANK(K970),,Config!$C$3&amp;"&amp;range=BB"&amp;MATCH(K970,FRG!AE:AE,0))</f>
        <v/>
      </c>
      <c r="AB970" s="242" t="str">
        <f>IFERROR(__xludf.DUMMYFUNCTION("IF(ISBLANK(K970),,SUBSTITUTE(IFERROR(JOIN("","",K970:Z970),JOIN("","",K970:Y970)),CHAR(10),""""))"),"")</f>
        <v/>
      </c>
      <c r="AC970" s="229" t="str">
        <f t="shared" si="1"/>
        <v/>
      </c>
    </row>
    <row r="971">
      <c r="K971" s="237"/>
      <c r="L971" s="238" t="str">
        <f t="shared" si="3"/>
        <v/>
      </c>
      <c r="M971" s="237"/>
      <c r="N971" s="238"/>
      <c r="O971" s="238" t="str">
        <f t="shared" si="4"/>
        <v/>
      </c>
      <c r="P971" s="238" t="str">
        <f t="shared" si="5"/>
        <v/>
      </c>
      <c r="Q971" s="238" t="str">
        <f t="shared" si="6"/>
        <v/>
      </c>
      <c r="R971" s="238" t="str">
        <f t="shared" si="7"/>
        <v/>
      </c>
      <c r="S971" s="238" t="str">
        <f t="shared" si="8"/>
        <v/>
      </c>
      <c r="T971" s="238"/>
      <c r="U971" s="237"/>
      <c r="V971" s="238"/>
      <c r="W971" s="238" t="str">
        <f t="shared" si="9"/>
        <v/>
      </c>
      <c r="X971" s="237" t="str">
        <f t="shared" ref="X971:Y971" si="963">IF(ISBLANK(H971),,""""&amp;H971&amp;"""")</f>
        <v/>
      </c>
      <c r="Y971" s="237" t="str">
        <f t="shared" si="963"/>
        <v/>
      </c>
      <c r="Z971" s="237" t="str">
        <f>IF(ISBLANK(K971),,Config!$C$3&amp;"&amp;range=BB"&amp;MATCH(K971,FRG!AE:AE,0))</f>
        <v/>
      </c>
      <c r="AB971" s="242" t="str">
        <f>IFERROR(__xludf.DUMMYFUNCTION("IF(ISBLANK(K971),,SUBSTITUTE(IFERROR(JOIN("","",K971:Z971),JOIN("","",K971:Y971)),CHAR(10),""""))"),"")</f>
        <v/>
      </c>
      <c r="AC971" s="229" t="str">
        <f t="shared" si="1"/>
        <v/>
      </c>
    </row>
    <row r="972">
      <c r="K972" s="237"/>
      <c r="L972" s="238" t="str">
        <f t="shared" si="3"/>
        <v/>
      </c>
      <c r="M972" s="237"/>
      <c r="N972" s="238"/>
      <c r="O972" s="238" t="str">
        <f t="shared" si="4"/>
        <v/>
      </c>
      <c r="P972" s="238" t="str">
        <f t="shared" si="5"/>
        <v/>
      </c>
      <c r="Q972" s="238" t="str">
        <f t="shared" si="6"/>
        <v/>
      </c>
      <c r="R972" s="238" t="str">
        <f t="shared" si="7"/>
        <v/>
      </c>
      <c r="S972" s="238" t="str">
        <f t="shared" si="8"/>
        <v/>
      </c>
      <c r="T972" s="238"/>
      <c r="U972" s="237"/>
      <c r="V972" s="238"/>
      <c r="W972" s="238" t="str">
        <f t="shared" si="9"/>
        <v/>
      </c>
      <c r="X972" s="237" t="str">
        <f t="shared" ref="X972:Y972" si="964">IF(ISBLANK(H972),,""""&amp;H972&amp;"""")</f>
        <v/>
      </c>
      <c r="Y972" s="237" t="str">
        <f t="shared" si="964"/>
        <v/>
      </c>
      <c r="Z972" s="237" t="str">
        <f>IF(ISBLANK(K972),,Config!$C$3&amp;"&amp;range=BB"&amp;MATCH(K972,FRG!AE:AE,0))</f>
        <v/>
      </c>
      <c r="AB972" s="242" t="str">
        <f>IFERROR(__xludf.DUMMYFUNCTION("IF(ISBLANK(K972),,SUBSTITUTE(IFERROR(JOIN("","",K972:Z972),JOIN("","",K972:Y972)),CHAR(10),""""))"),"")</f>
        <v/>
      </c>
      <c r="AC972" s="229" t="str">
        <f t="shared" si="1"/>
        <v/>
      </c>
    </row>
    <row r="973">
      <c r="K973" s="237"/>
      <c r="L973" s="238" t="str">
        <f t="shared" si="3"/>
        <v/>
      </c>
      <c r="M973" s="237"/>
      <c r="N973" s="238"/>
      <c r="O973" s="238" t="str">
        <f t="shared" si="4"/>
        <v/>
      </c>
      <c r="P973" s="238" t="str">
        <f t="shared" si="5"/>
        <v/>
      </c>
      <c r="Q973" s="238" t="str">
        <f t="shared" si="6"/>
        <v/>
      </c>
      <c r="R973" s="238" t="str">
        <f t="shared" si="7"/>
        <v/>
      </c>
      <c r="S973" s="238" t="str">
        <f t="shared" si="8"/>
        <v/>
      </c>
      <c r="T973" s="238"/>
      <c r="U973" s="237"/>
      <c r="V973" s="238"/>
      <c r="W973" s="238" t="str">
        <f t="shared" si="9"/>
        <v/>
      </c>
      <c r="X973" s="237" t="str">
        <f t="shared" ref="X973:Y973" si="965">IF(ISBLANK(H973),,""""&amp;H973&amp;"""")</f>
        <v/>
      </c>
      <c r="Y973" s="237" t="str">
        <f t="shared" si="965"/>
        <v/>
      </c>
      <c r="Z973" s="237" t="str">
        <f>IF(ISBLANK(K973),,Config!$C$3&amp;"&amp;range=BB"&amp;MATCH(K973,FRG!AE:AE,0))</f>
        <v/>
      </c>
      <c r="AB973" s="242" t="str">
        <f>IFERROR(__xludf.DUMMYFUNCTION("IF(ISBLANK(K973),,SUBSTITUTE(IFERROR(JOIN("","",K973:Z973),JOIN("","",K973:Y973)),CHAR(10),""""))"),"")</f>
        <v/>
      </c>
      <c r="AC973" s="229" t="str">
        <f t="shared" si="1"/>
        <v/>
      </c>
    </row>
    <row r="974">
      <c r="K974" s="237"/>
      <c r="L974" s="238" t="str">
        <f t="shared" si="3"/>
        <v/>
      </c>
      <c r="M974" s="237"/>
      <c r="N974" s="238"/>
      <c r="O974" s="238" t="str">
        <f t="shared" si="4"/>
        <v/>
      </c>
      <c r="P974" s="238" t="str">
        <f t="shared" si="5"/>
        <v/>
      </c>
      <c r="Q974" s="238" t="str">
        <f t="shared" si="6"/>
        <v/>
      </c>
      <c r="R974" s="238" t="str">
        <f t="shared" si="7"/>
        <v/>
      </c>
      <c r="S974" s="238" t="str">
        <f t="shared" si="8"/>
        <v/>
      </c>
      <c r="T974" s="238"/>
      <c r="U974" s="237"/>
      <c r="V974" s="238"/>
      <c r="W974" s="238" t="str">
        <f t="shared" si="9"/>
        <v/>
      </c>
      <c r="X974" s="237" t="str">
        <f t="shared" ref="X974:Y974" si="966">IF(ISBLANK(H974),,""""&amp;H974&amp;"""")</f>
        <v/>
      </c>
      <c r="Y974" s="237" t="str">
        <f t="shared" si="966"/>
        <v/>
      </c>
      <c r="Z974" s="237" t="str">
        <f>IF(ISBLANK(K974),,Config!$C$3&amp;"&amp;range=BB"&amp;MATCH(K974,FRG!AE:AE,0))</f>
        <v/>
      </c>
      <c r="AB974" s="242" t="str">
        <f>IFERROR(__xludf.DUMMYFUNCTION("IF(ISBLANK(K974),,SUBSTITUTE(IFERROR(JOIN("","",K974:Z974),JOIN("","",K974:Y974)),CHAR(10),""""))"),"")</f>
        <v/>
      </c>
      <c r="AC974" s="229" t="str">
        <f t="shared" si="1"/>
        <v/>
      </c>
    </row>
    <row r="975">
      <c r="K975" s="237"/>
      <c r="L975" s="238" t="str">
        <f t="shared" si="3"/>
        <v/>
      </c>
      <c r="M975" s="237"/>
      <c r="N975" s="238"/>
      <c r="O975" s="238" t="str">
        <f t="shared" si="4"/>
        <v/>
      </c>
      <c r="P975" s="238" t="str">
        <f t="shared" si="5"/>
        <v/>
      </c>
      <c r="Q975" s="238" t="str">
        <f t="shared" si="6"/>
        <v/>
      </c>
      <c r="R975" s="238" t="str">
        <f t="shared" si="7"/>
        <v/>
      </c>
      <c r="S975" s="238" t="str">
        <f t="shared" si="8"/>
        <v/>
      </c>
      <c r="T975" s="238"/>
      <c r="U975" s="237"/>
      <c r="V975" s="238"/>
      <c r="W975" s="238" t="str">
        <f t="shared" si="9"/>
        <v/>
      </c>
      <c r="X975" s="237" t="str">
        <f t="shared" ref="X975:Y975" si="967">IF(ISBLANK(H975),,""""&amp;H975&amp;"""")</f>
        <v/>
      </c>
      <c r="Y975" s="237" t="str">
        <f t="shared" si="967"/>
        <v/>
      </c>
      <c r="Z975" s="237" t="str">
        <f>IF(ISBLANK(K975),,Config!$C$3&amp;"&amp;range=BB"&amp;MATCH(K975,FRG!AE:AE,0))</f>
        <v/>
      </c>
      <c r="AB975" s="242" t="str">
        <f>IFERROR(__xludf.DUMMYFUNCTION("IF(ISBLANK(K975),,SUBSTITUTE(IFERROR(JOIN("","",K975:Z975),JOIN("","",K975:Y975)),CHAR(10),""""))"),"")</f>
        <v/>
      </c>
      <c r="AC975" s="229" t="str">
        <f t="shared" si="1"/>
        <v/>
      </c>
    </row>
    <row r="976">
      <c r="K976" s="237"/>
      <c r="L976" s="238" t="str">
        <f t="shared" si="3"/>
        <v/>
      </c>
      <c r="M976" s="237"/>
      <c r="N976" s="238"/>
      <c r="O976" s="238" t="str">
        <f t="shared" si="4"/>
        <v/>
      </c>
      <c r="P976" s="238" t="str">
        <f t="shared" si="5"/>
        <v/>
      </c>
      <c r="Q976" s="238" t="str">
        <f t="shared" si="6"/>
        <v/>
      </c>
      <c r="R976" s="238" t="str">
        <f t="shared" si="7"/>
        <v/>
      </c>
      <c r="S976" s="238" t="str">
        <f t="shared" si="8"/>
        <v/>
      </c>
      <c r="T976" s="238"/>
      <c r="U976" s="237"/>
      <c r="V976" s="238"/>
      <c r="W976" s="238" t="str">
        <f t="shared" si="9"/>
        <v/>
      </c>
      <c r="X976" s="237" t="str">
        <f t="shared" ref="X976:Y976" si="968">IF(ISBLANK(H976),,""""&amp;H976&amp;"""")</f>
        <v/>
      </c>
      <c r="Y976" s="237" t="str">
        <f t="shared" si="968"/>
        <v/>
      </c>
      <c r="Z976" s="237" t="str">
        <f>IF(ISBLANK(K976),,Config!$C$3&amp;"&amp;range=BB"&amp;MATCH(K976,FRG!AE:AE,0))</f>
        <v/>
      </c>
      <c r="AB976" s="242" t="str">
        <f>IFERROR(__xludf.DUMMYFUNCTION("IF(ISBLANK(K976),,SUBSTITUTE(IFERROR(JOIN("","",K976:Z976),JOIN("","",K976:Y976)),CHAR(10),""""))"),"")</f>
        <v/>
      </c>
      <c r="AC976" s="229" t="str">
        <f t="shared" si="1"/>
        <v/>
      </c>
    </row>
    <row r="977">
      <c r="K977" s="237"/>
      <c r="L977" s="238" t="str">
        <f t="shared" si="3"/>
        <v/>
      </c>
      <c r="M977" s="237"/>
      <c r="N977" s="238"/>
      <c r="O977" s="238" t="str">
        <f t="shared" si="4"/>
        <v/>
      </c>
      <c r="P977" s="238" t="str">
        <f t="shared" si="5"/>
        <v/>
      </c>
      <c r="Q977" s="238" t="str">
        <f t="shared" si="6"/>
        <v/>
      </c>
      <c r="R977" s="238" t="str">
        <f t="shared" si="7"/>
        <v/>
      </c>
      <c r="S977" s="238" t="str">
        <f t="shared" si="8"/>
        <v/>
      </c>
      <c r="T977" s="238"/>
      <c r="U977" s="237"/>
      <c r="V977" s="238"/>
      <c r="W977" s="238" t="str">
        <f t="shared" si="9"/>
        <v/>
      </c>
      <c r="X977" s="237" t="str">
        <f t="shared" ref="X977:Y977" si="969">IF(ISBLANK(H977),,""""&amp;H977&amp;"""")</f>
        <v/>
      </c>
      <c r="Y977" s="237" t="str">
        <f t="shared" si="969"/>
        <v/>
      </c>
      <c r="Z977" s="237" t="str">
        <f>IF(ISBLANK(K977),,Config!$C$3&amp;"&amp;range=BB"&amp;MATCH(K977,FRG!AE:AE,0))</f>
        <v/>
      </c>
      <c r="AB977" s="242" t="str">
        <f>IFERROR(__xludf.DUMMYFUNCTION("IF(ISBLANK(K977),,SUBSTITUTE(IFERROR(JOIN("","",K977:Z977),JOIN("","",K977:Y977)),CHAR(10),""""))"),"")</f>
        <v/>
      </c>
      <c r="AC977" s="229" t="str">
        <f t="shared" si="1"/>
        <v/>
      </c>
    </row>
    <row r="978">
      <c r="K978" s="237"/>
      <c r="L978" s="238" t="str">
        <f t="shared" si="3"/>
        <v/>
      </c>
      <c r="M978" s="237"/>
      <c r="N978" s="238"/>
      <c r="O978" s="238" t="str">
        <f t="shared" si="4"/>
        <v/>
      </c>
      <c r="P978" s="238" t="str">
        <f t="shared" si="5"/>
        <v/>
      </c>
      <c r="Q978" s="238" t="str">
        <f t="shared" si="6"/>
        <v/>
      </c>
      <c r="R978" s="238" t="str">
        <f t="shared" si="7"/>
        <v/>
      </c>
      <c r="S978" s="238" t="str">
        <f t="shared" si="8"/>
        <v/>
      </c>
      <c r="T978" s="238"/>
      <c r="U978" s="237"/>
      <c r="V978" s="238"/>
      <c r="W978" s="238" t="str">
        <f t="shared" si="9"/>
        <v/>
      </c>
      <c r="X978" s="237" t="str">
        <f t="shared" ref="X978:Y978" si="970">IF(ISBLANK(H978),,""""&amp;H978&amp;"""")</f>
        <v/>
      </c>
      <c r="Y978" s="237" t="str">
        <f t="shared" si="970"/>
        <v/>
      </c>
      <c r="Z978" s="237" t="str">
        <f>IF(ISBLANK(K978),,Config!$C$3&amp;"&amp;range=BB"&amp;MATCH(K978,FRG!AE:AE,0))</f>
        <v/>
      </c>
      <c r="AB978" s="242" t="str">
        <f>IFERROR(__xludf.DUMMYFUNCTION("IF(ISBLANK(K978),,SUBSTITUTE(IFERROR(JOIN("","",K978:Z978),JOIN("","",K978:Y978)),CHAR(10),""""))"),"")</f>
        <v/>
      </c>
      <c r="AC978" s="229" t="str">
        <f t="shared" si="1"/>
        <v/>
      </c>
    </row>
    <row r="979">
      <c r="K979" s="237"/>
      <c r="L979" s="238" t="str">
        <f t="shared" si="3"/>
        <v/>
      </c>
      <c r="M979" s="237"/>
      <c r="N979" s="238"/>
      <c r="O979" s="238" t="str">
        <f t="shared" si="4"/>
        <v/>
      </c>
      <c r="P979" s="238" t="str">
        <f t="shared" si="5"/>
        <v/>
      </c>
      <c r="Q979" s="238" t="str">
        <f t="shared" si="6"/>
        <v/>
      </c>
      <c r="R979" s="238" t="str">
        <f t="shared" si="7"/>
        <v/>
      </c>
      <c r="S979" s="238" t="str">
        <f t="shared" si="8"/>
        <v/>
      </c>
      <c r="T979" s="238"/>
      <c r="U979" s="237"/>
      <c r="V979" s="238"/>
      <c r="W979" s="238" t="str">
        <f t="shared" si="9"/>
        <v/>
      </c>
      <c r="X979" s="237" t="str">
        <f t="shared" ref="X979:Y979" si="971">IF(ISBLANK(H979),,""""&amp;H979&amp;"""")</f>
        <v/>
      </c>
      <c r="Y979" s="237" t="str">
        <f t="shared" si="971"/>
        <v/>
      </c>
      <c r="Z979" s="237" t="str">
        <f>IF(ISBLANK(K979),,Config!$C$3&amp;"&amp;range=BB"&amp;MATCH(K979,FRG!AE:AE,0))</f>
        <v/>
      </c>
      <c r="AB979" s="242" t="str">
        <f>IFERROR(__xludf.DUMMYFUNCTION("IF(ISBLANK(K979),,SUBSTITUTE(IFERROR(JOIN("","",K979:Z979),JOIN("","",K979:Y979)),CHAR(10),""""))"),"")</f>
        <v/>
      </c>
      <c r="AC979" s="229" t="str">
        <f t="shared" si="1"/>
        <v/>
      </c>
    </row>
    <row r="980">
      <c r="K980" s="237"/>
      <c r="L980" s="238" t="str">
        <f t="shared" si="3"/>
        <v/>
      </c>
      <c r="M980" s="237"/>
      <c r="N980" s="238"/>
      <c r="O980" s="238" t="str">
        <f t="shared" si="4"/>
        <v/>
      </c>
      <c r="P980" s="238" t="str">
        <f t="shared" si="5"/>
        <v/>
      </c>
      <c r="Q980" s="238" t="str">
        <f t="shared" si="6"/>
        <v/>
      </c>
      <c r="R980" s="238" t="str">
        <f t="shared" si="7"/>
        <v/>
      </c>
      <c r="S980" s="238" t="str">
        <f t="shared" si="8"/>
        <v/>
      </c>
      <c r="T980" s="238"/>
      <c r="U980" s="237"/>
      <c r="V980" s="238"/>
      <c r="W980" s="238" t="str">
        <f t="shared" si="9"/>
        <v/>
      </c>
      <c r="X980" s="237" t="str">
        <f t="shared" ref="X980:Y980" si="972">IF(ISBLANK(H980),,""""&amp;H980&amp;"""")</f>
        <v/>
      </c>
      <c r="Y980" s="237" t="str">
        <f t="shared" si="972"/>
        <v/>
      </c>
      <c r="Z980" s="237" t="str">
        <f>IF(ISBLANK(K980),,Config!$C$3&amp;"&amp;range=BB"&amp;MATCH(K980,FRG!AE:AE,0))</f>
        <v/>
      </c>
      <c r="AB980" s="242" t="str">
        <f>IFERROR(__xludf.DUMMYFUNCTION("IF(ISBLANK(K980),,SUBSTITUTE(IFERROR(JOIN("","",K980:Z980),JOIN("","",K980:Y980)),CHAR(10),""""))"),"")</f>
        <v/>
      </c>
      <c r="AC980" s="229" t="str">
        <f t="shared" si="1"/>
        <v/>
      </c>
    </row>
    <row r="981">
      <c r="K981" s="237"/>
      <c r="L981" s="238" t="str">
        <f t="shared" si="3"/>
        <v/>
      </c>
      <c r="M981" s="237"/>
      <c r="N981" s="238"/>
      <c r="O981" s="238" t="str">
        <f t="shared" si="4"/>
        <v/>
      </c>
      <c r="P981" s="238" t="str">
        <f t="shared" si="5"/>
        <v/>
      </c>
      <c r="Q981" s="238" t="str">
        <f t="shared" si="6"/>
        <v/>
      </c>
      <c r="R981" s="238" t="str">
        <f t="shared" si="7"/>
        <v/>
      </c>
      <c r="S981" s="238" t="str">
        <f t="shared" si="8"/>
        <v/>
      </c>
      <c r="T981" s="238"/>
      <c r="U981" s="237"/>
      <c r="V981" s="238"/>
      <c r="W981" s="238" t="str">
        <f t="shared" si="9"/>
        <v/>
      </c>
      <c r="X981" s="237" t="str">
        <f t="shared" ref="X981:Y981" si="973">IF(ISBLANK(H981),,""""&amp;H981&amp;"""")</f>
        <v/>
      </c>
      <c r="Y981" s="237" t="str">
        <f t="shared" si="973"/>
        <v/>
      </c>
      <c r="Z981" s="237" t="str">
        <f>IF(ISBLANK(K981),,Config!$C$3&amp;"&amp;range=BB"&amp;MATCH(K981,FRG!AE:AE,0))</f>
        <v/>
      </c>
      <c r="AB981" s="242" t="str">
        <f>IFERROR(__xludf.DUMMYFUNCTION("IF(ISBLANK(K981),,SUBSTITUTE(IFERROR(JOIN("","",K981:Z981),JOIN("","",K981:Y981)),CHAR(10),""""))"),"")</f>
        <v/>
      </c>
      <c r="AC981" s="229" t="str">
        <f t="shared" si="1"/>
        <v/>
      </c>
    </row>
    <row r="982">
      <c r="K982" s="237"/>
      <c r="L982" s="238" t="str">
        <f t="shared" si="3"/>
        <v/>
      </c>
      <c r="M982" s="237"/>
      <c r="N982" s="238"/>
      <c r="O982" s="238" t="str">
        <f t="shared" si="4"/>
        <v/>
      </c>
      <c r="P982" s="238" t="str">
        <f t="shared" si="5"/>
        <v/>
      </c>
      <c r="Q982" s="238" t="str">
        <f t="shared" si="6"/>
        <v/>
      </c>
      <c r="R982" s="238" t="str">
        <f t="shared" si="7"/>
        <v/>
      </c>
      <c r="S982" s="238" t="str">
        <f t="shared" si="8"/>
        <v/>
      </c>
      <c r="T982" s="238"/>
      <c r="U982" s="237"/>
      <c r="V982" s="238"/>
      <c r="W982" s="238" t="str">
        <f t="shared" si="9"/>
        <v/>
      </c>
      <c r="X982" s="237" t="str">
        <f t="shared" ref="X982:Y982" si="974">IF(ISBLANK(H982),,""""&amp;H982&amp;"""")</f>
        <v/>
      </c>
      <c r="Y982" s="237" t="str">
        <f t="shared" si="974"/>
        <v/>
      </c>
      <c r="Z982" s="237" t="str">
        <f>IF(ISBLANK(K982),,Config!$C$3&amp;"&amp;range=BB"&amp;MATCH(K982,FRG!AE:AE,0))</f>
        <v/>
      </c>
      <c r="AB982" s="242" t="str">
        <f>IFERROR(__xludf.DUMMYFUNCTION("IF(ISBLANK(K982),,SUBSTITUTE(IFERROR(JOIN("","",K982:Z982),JOIN("","",K982:Y982)),CHAR(10),""""))"),"")</f>
        <v/>
      </c>
      <c r="AC982" s="229" t="str">
        <f t="shared" si="1"/>
        <v/>
      </c>
    </row>
    <row r="983">
      <c r="K983" s="237"/>
      <c r="L983" s="238" t="str">
        <f t="shared" si="3"/>
        <v/>
      </c>
      <c r="M983" s="237"/>
      <c r="N983" s="238"/>
      <c r="O983" s="238" t="str">
        <f t="shared" si="4"/>
        <v/>
      </c>
      <c r="P983" s="238" t="str">
        <f t="shared" si="5"/>
        <v/>
      </c>
      <c r="Q983" s="238" t="str">
        <f t="shared" si="6"/>
        <v/>
      </c>
      <c r="R983" s="238" t="str">
        <f t="shared" si="7"/>
        <v/>
      </c>
      <c r="S983" s="238" t="str">
        <f t="shared" si="8"/>
        <v/>
      </c>
      <c r="T983" s="238"/>
      <c r="U983" s="237"/>
      <c r="V983" s="238"/>
      <c r="W983" s="238" t="str">
        <f t="shared" si="9"/>
        <v/>
      </c>
      <c r="X983" s="237" t="str">
        <f t="shared" ref="X983:Y983" si="975">IF(ISBLANK(H983),,""""&amp;H983&amp;"""")</f>
        <v/>
      </c>
      <c r="Y983" s="237" t="str">
        <f t="shared" si="975"/>
        <v/>
      </c>
      <c r="Z983" s="237" t="str">
        <f>IF(ISBLANK(K983),,Config!$C$3&amp;"&amp;range=BB"&amp;MATCH(K983,FRG!AE:AE,0))</f>
        <v/>
      </c>
      <c r="AB983" s="242" t="str">
        <f>IFERROR(__xludf.DUMMYFUNCTION("IF(ISBLANK(K983),,SUBSTITUTE(IFERROR(JOIN("","",K983:Z983),JOIN("","",K983:Y983)),CHAR(10),""""))"),"")</f>
        <v/>
      </c>
      <c r="AC983" s="229" t="str">
        <f t="shared" si="1"/>
        <v/>
      </c>
    </row>
    <row r="984">
      <c r="K984" s="237"/>
      <c r="L984" s="238" t="str">
        <f t="shared" si="3"/>
        <v/>
      </c>
      <c r="M984" s="237"/>
      <c r="N984" s="238"/>
      <c r="O984" s="238" t="str">
        <f t="shared" si="4"/>
        <v/>
      </c>
      <c r="P984" s="238" t="str">
        <f t="shared" si="5"/>
        <v/>
      </c>
      <c r="Q984" s="238" t="str">
        <f t="shared" si="6"/>
        <v/>
      </c>
      <c r="R984" s="238" t="str">
        <f t="shared" si="7"/>
        <v/>
      </c>
      <c r="S984" s="238" t="str">
        <f t="shared" si="8"/>
        <v/>
      </c>
      <c r="T984" s="238"/>
      <c r="U984" s="237"/>
      <c r="V984" s="238"/>
      <c r="W984" s="238" t="str">
        <f t="shared" si="9"/>
        <v/>
      </c>
      <c r="X984" s="237" t="str">
        <f t="shared" ref="X984:Y984" si="976">IF(ISBLANK(H984),,""""&amp;H984&amp;"""")</f>
        <v/>
      </c>
      <c r="Y984" s="237" t="str">
        <f t="shared" si="976"/>
        <v/>
      </c>
      <c r="Z984" s="237" t="str">
        <f>IF(ISBLANK(K984),,Config!$C$3&amp;"&amp;range=BB"&amp;MATCH(K984,FRG!AE:AE,0))</f>
        <v/>
      </c>
      <c r="AB984" s="242" t="str">
        <f>IFERROR(__xludf.DUMMYFUNCTION("IF(ISBLANK(K984),,SUBSTITUTE(IFERROR(JOIN("","",K984:Z984),JOIN("","",K984:Y984)),CHAR(10),""""))"),"")</f>
        <v/>
      </c>
      <c r="AC984" s="229" t="str">
        <f t="shared" si="1"/>
        <v/>
      </c>
    </row>
    <row r="985">
      <c r="K985" s="237"/>
      <c r="L985" s="238" t="str">
        <f t="shared" si="3"/>
        <v/>
      </c>
      <c r="M985" s="237"/>
      <c r="N985" s="238"/>
      <c r="O985" s="238" t="str">
        <f t="shared" si="4"/>
        <v/>
      </c>
      <c r="P985" s="238" t="str">
        <f t="shared" si="5"/>
        <v/>
      </c>
      <c r="Q985" s="238" t="str">
        <f t="shared" si="6"/>
        <v/>
      </c>
      <c r="R985" s="238" t="str">
        <f t="shared" si="7"/>
        <v/>
      </c>
      <c r="S985" s="238" t="str">
        <f t="shared" si="8"/>
        <v/>
      </c>
      <c r="T985" s="238"/>
      <c r="U985" s="237"/>
      <c r="V985" s="238"/>
      <c r="W985" s="238" t="str">
        <f t="shared" si="9"/>
        <v/>
      </c>
      <c r="X985" s="237" t="str">
        <f t="shared" ref="X985:Y985" si="977">IF(ISBLANK(H985),,""""&amp;H985&amp;"""")</f>
        <v/>
      </c>
      <c r="Y985" s="237" t="str">
        <f t="shared" si="977"/>
        <v/>
      </c>
      <c r="Z985" s="237" t="str">
        <f>IF(ISBLANK(K985),,Config!$C$3&amp;"&amp;range=BB"&amp;MATCH(K985,FRG!AE:AE,0))</f>
        <v/>
      </c>
      <c r="AB985" s="242" t="str">
        <f>IFERROR(__xludf.DUMMYFUNCTION("IF(ISBLANK(K985),,SUBSTITUTE(IFERROR(JOIN("","",K985:Z985),JOIN("","",K985:Y985)),CHAR(10),""""))"),"")</f>
        <v/>
      </c>
      <c r="AC985" s="229" t="str">
        <f t="shared" si="1"/>
        <v/>
      </c>
    </row>
    <row r="986">
      <c r="K986" s="237"/>
      <c r="L986" s="238" t="str">
        <f t="shared" si="3"/>
        <v/>
      </c>
      <c r="M986" s="237"/>
      <c r="N986" s="238"/>
      <c r="O986" s="238" t="str">
        <f t="shared" si="4"/>
        <v/>
      </c>
      <c r="P986" s="238" t="str">
        <f t="shared" si="5"/>
        <v/>
      </c>
      <c r="Q986" s="238" t="str">
        <f t="shared" si="6"/>
        <v/>
      </c>
      <c r="R986" s="238" t="str">
        <f t="shared" si="7"/>
        <v/>
      </c>
      <c r="S986" s="238" t="str">
        <f t="shared" si="8"/>
        <v/>
      </c>
      <c r="T986" s="238"/>
      <c r="U986" s="237"/>
      <c r="V986" s="238"/>
      <c r="W986" s="238" t="str">
        <f t="shared" si="9"/>
        <v/>
      </c>
      <c r="X986" s="237" t="str">
        <f t="shared" ref="X986:Y986" si="978">IF(ISBLANK(H986),,""""&amp;H986&amp;"""")</f>
        <v/>
      </c>
      <c r="Y986" s="237" t="str">
        <f t="shared" si="978"/>
        <v/>
      </c>
      <c r="Z986" s="237" t="str">
        <f>IF(ISBLANK(K986),,Config!$C$3&amp;"&amp;range=BB"&amp;MATCH(K986,FRG!AE:AE,0))</f>
        <v/>
      </c>
      <c r="AB986" s="242" t="str">
        <f>IFERROR(__xludf.DUMMYFUNCTION("IF(ISBLANK(K986),,SUBSTITUTE(IFERROR(JOIN("","",K986:Z986),JOIN("","",K986:Y986)),CHAR(10),""""))"),"")</f>
        <v/>
      </c>
      <c r="AC986" s="229" t="str">
        <f t="shared" si="1"/>
        <v/>
      </c>
    </row>
    <row r="987">
      <c r="K987" s="237"/>
      <c r="L987" s="238" t="str">
        <f t="shared" si="3"/>
        <v/>
      </c>
      <c r="M987" s="237"/>
      <c r="N987" s="238"/>
      <c r="O987" s="238" t="str">
        <f t="shared" si="4"/>
        <v/>
      </c>
      <c r="P987" s="238" t="str">
        <f t="shared" si="5"/>
        <v/>
      </c>
      <c r="Q987" s="238" t="str">
        <f t="shared" si="6"/>
        <v/>
      </c>
      <c r="R987" s="238" t="str">
        <f t="shared" si="7"/>
        <v/>
      </c>
      <c r="S987" s="238" t="str">
        <f t="shared" si="8"/>
        <v/>
      </c>
      <c r="T987" s="238"/>
      <c r="U987" s="237"/>
      <c r="V987" s="238"/>
      <c r="W987" s="238" t="str">
        <f t="shared" si="9"/>
        <v/>
      </c>
      <c r="X987" s="237" t="str">
        <f t="shared" ref="X987:Y987" si="979">IF(ISBLANK(H987),,""""&amp;H987&amp;"""")</f>
        <v/>
      </c>
      <c r="Y987" s="237" t="str">
        <f t="shared" si="979"/>
        <v/>
      </c>
      <c r="Z987" s="237" t="str">
        <f>IF(ISBLANK(K987),,Config!$C$3&amp;"&amp;range=BB"&amp;MATCH(K987,FRG!AE:AE,0))</f>
        <v/>
      </c>
      <c r="AB987" s="242" t="str">
        <f>IFERROR(__xludf.DUMMYFUNCTION("IF(ISBLANK(K987),,SUBSTITUTE(IFERROR(JOIN("","",K987:Z987),JOIN("","",K987:Y987)),CHAR(10),""""))"),"")</f>
        <v/>
      </c>
      <c r="AC987" s="229" t="str">
        <f t="shared" si="1"/>
        <v/>
      </c>
    </row>
    <row r="988">
      <c r="K988" s="237"/>
      <c r="L988" s="238" t="str">
        <f t="shared" si="3"/>
        <v/>
      </c>
      <c r="M988" s="237"/>
      <c r="N988" s="238"/>
      <c r="O988" s="238" t="str">
        <f t="shared" si="4"/>
        <v/>
      </c>
      <c r="P988" s="238" t="str">
        <f t="shared" si="5"/>
        <v/>
      </c>
      <c r="Q988" s="238" t="str">
        <f t="shared" si="6"/>
        <v/>
      </c>
      <c r="R988" s="238" t="str">
        <f t="shared" si="7"/>
        <v/>
      </c>
      <c r="S988" s="238" t="str">
        <f t="shared" si="8"/>
        <v/>
      </c>
      <c r="T988" s="238"/>
      <c r="U988" s="237"/>
      <c r="V988" s="238"/>
      <c r="W988" s="238" t="str">
        <f t="shared" si="9"/>
        <v/>
      </c>
      <c r="X988" s="237" t="str">
        <f t="shared" ref="X988:Y988" si="980">IF(ISBLANK(H988),,""""&amp;H988&amp;"""")</f>
        <v/>
      </c>
      <c r="Y988" s="237" t="str">
        <f t="shared" si="980"/>
        <v/>
      </c>
      <c r="Z988" s="237" t="str">
        <f>IF(ISBLANK(K988),,Config!$C$3&amp;"&amp;range=BB"&amp;MATCH(K988,FRG!AE:AE,0))</f>
        <v/>
      </c>
      <c r="AB988" s="242" t="str">
        <f>IFERROR(__xludf.DUMMYFUNCTION("IF(ISBLANK(K988),,SUBSTITUTE(IFERROR(JOIN("","",K988:Z988),JOIN("","",K988:Y988)),CHAR(10),""""))"),"")</f>
        <v/>
      </c>
      <c r="AC988" s="229" t="str">
        <f t="shared" si="1"/>
        <v/>
      </c>
    </row>
    <row r="989">
      <c r="K989" s="237"/>
      <c r="L989" s="238" t="str">
        <f t="shared" si="3"/>
        <v/>
      </c>
      <c r="M989" s="237"/>
      <c r="N989" s="238"/>
      <c r="O989" s="238" t="str">
        <f t="shared" si="4"/>
        <v/>
      </c>
      <c r="P989" s="238" t="str">
        <f t="shared" si="5"/>
        <v/>
      </c>
      <c r="Q989" s="238" t="str">
        <f t="shared" si="6"/>
        <v/>
      </c>
      <c r="R989" s="238" t="str">
        <f t="shared" si="7"/>
        <v/>
      </c>
      <c r="S989" s="238" t="str">
        <f t="shared" si="8"/>
        <v/>
      </c>
      <c r="T989" s="238"/>
      <c r="U989" s="237"/>
      <c r="V989" s="238"/>
      <c r="W989" s="238" t="str">
        <f t="shared" si="9"/>
        <v/>
      </c>
      <c r="X989" s="237" t="str">
        <f t="shared" ref="X989:Y989" si="981">IF(ISBLANK(H989),,""""&amp;H989&amp;"""")</f>
        <v/>
      </c>
      <c r="Y989" s="237" t="str">
        <f t="shared" si="981"/>
        <v/>
      </c>
      <c r="Z989" s="237" t="str">
        <f>IF(ISBLANK(K989),,Config!$C$3&amp;"&amp;range=BB"&amp;MATCH(K989,FRG!AE:AE,0))</f>
        <v/>
      </c>
      <c r="AB989" s="242" t="str">
        <f>IFERROR(__xludf.DUMMYFUNCTION("IF(ISBLANK(K989),,SUBSTITUTE(IFERROR(JOIN("","",K989:Z989),JOIN("","",K989:Y989)),CHAR(10),""""))"),"")</f>
        <v/>
      </c>
      <c r="AC989" s="229" t="str">
        <f t="shared" si="1"/>
        <v/>
      </c>
    </row>
    <row r="990">
      <c r="K990" s="237"/>
      <c r="L990" s="238" t="str">
        <f t="shared" si="3"/>
        <v/>
      </c>
      <c r="M990" s="237"/>
      <c r="N990" s="238"/>
      <c r="O990" s="238" t="str">
        <f t="shared" si="4"/>
        <v/>
      </c>
      <c r="P990" s="238" t="str">
        <f t="shared" si="5"/>
        <v/>
      </c>
      <c r="Q990" s="238" t="str">
        <f t="shared" si="6"/>
        <v/>
      </c>
      <c r="R990" s="238" t="str">
        <f t="shared" si="7"/>
        <v/>
      </c>
      <c r="S990" s="238" t="str">
        <f t="shared" si="8"/>
        <v/>
      </c>
      <c r="T990" s="238"/>
      <c r="U990" s="237"/>
      <c r="V990" s="238"/>
      <c r="W990" s="238" t="str">
        <f t="shared" si="9"/>
        <v/>
      </c>
      <c r="X990" s="237" t="str">
        <f t="shared" ref="X990:Y990" si="982">IF(ISBLANK(H990),,""""&amp;H990&amp;"""")</f>
        <v/>
      </c>
      <c r="Y990" s="237" t="str">
        <f t="shared" si="982"/>
        <v/>
      </c>
      <c r="Z990" s="237" t="str">
        <f>IF(ISBLANK(K990),,Config!$C$3&amp;"&amp;range=BB"&amp;MATCH(K990,FRG!AE:AE,0))</f>
        <v/>
      </c>
      <c r="AB990" s="242" t="str">
        <f>IFERROR(__xludf.DUMMYFUNCTION("IF(ISBLANK(K990),,SUBSTITUTE(IFERROR(JOIN("","",K990:Z990),JOIN("","",K990:Y990)),CHAR(10),""""))"),"")</f>
        <v/>
      </c>
      <c r="AC990" s="229" t="str">
        <f t="shared" si="1"/>
        <v/>
      </c>
    </row>
    <row r="991">
      <c r="K991" s="237"/>
      <c r="L991" s="238" t="str">
        <f t="shared" si="3"/>
        <v/>
      </c>
      <c r="M991" s="237"/>
      <c r="N991" s="238"/>
      <c r="O991" s="238" t="str">
        <f t="shared" si="4"/>
        <v/>
      </c>
      <c r="P991" s="238" t="str">
        <f t="shared" si="5"/>
        <v/>
      </c>
      <c r="Q991" s="238" t="str">
        <f t="shared" si="6"/>
        <v/>
      </c>
      <c r="R991" s="238" t="str">
        <f t="shared" si="7"/>
        <v/>
      </c>
      <c r="S991" s="238" t="str">
        <f t="shared" si="8"/>
        <v/>
      </c>
      <c r="T991" s="238"/>
      <c r="U991" s="237"/>
      <c r="V991" s="238"/>
      <c r="W991" s="238" t="str">
        <f t="shared" si="9"/>
        <v/>
      </c>
      <c r="X991" s="237" t="str">
        <f t="shared" ref="X991:Y991" si="983">IF(ISBLANK(H991),,""""&amp;H991&amp;"""")</f>
        <v/>
      </c>
      <c r="Y991" s="237" t="str">
        <f t="shared" si="983"/>
        <v/>
      </c>
      <c r="Z991" s="237" t="str">
        <f>IF(ISBLANK(K991),,Config!$C$3&amp;"&amp;range=BB"&amp;MATCH(K991,FRG!AE:AE,0))</f>
        <v/>
      </c>
      <c r="AB991" s="242" t="str">
        <f>IFERROR(__xludf.DUMMYFUNCTION("IF(ISBLANK(K991),,SUBSTITUTE(IFERROR(JOIN("","",K991:Z991),JOIN("","",K991:Y991)),CHAR(10),""""))"),"")</f>
        <v/>
      </c>
      <c r="AC991" s="229" t="str">
        <f t="shared" si="1"/>
        <v/>
      </c>
    </row>
    <row r="992">
      <c r="K992" s="237"/>
      <c r="L992" s="238" t="str">
        <f t="shared" si="3"/>
        <v/>
      </c>
      <c r="M992" s="237"/>
      <c r="N992" s="238"/>
      <c r="O992" s="238" t="str">
        <f t="shared" si="4"/>
        <v/>
      </c>
      <c r="P992" s="238" t="str">
        <f t="shared" si="5"/>
        <v/>
      </c>
      <c r="Q992" s="238" t="str">
        <f t="shared" si="6"/>
        <v/>
      </c>
      <c r="R992" s="238" t="str">
        <f t="shared" si="7"/>
        <v/>
      </c>
      <c r="S992" s="238" t="str">
        <f t="shared" si="8"/>
        <v/>
      </c>
      <c r="T992" s="238"/>
      <c r="U992" s="237"/>
      <c r="V992" s="238"/>
      <c r="W992" s="238" t="str">
        <f t="shared" si="9"/>
        <v/>
      </c>
      <c r="X992" s="237" t="str">
        <f t="shared" ref="X992:Y992" si="984">IF(ISBLANK(H992),,""""&amp;H992&amp;"""")</f>
        <v/>
      </c>
      <c r="Y992" s="237" t="str">
        <f t="shared" si="984"/>
        <v/>
      </c>
      <c r="Z992" s="237" t="str">
        <f>IF(ISBLANK(K992),,Config!$C$3&amp;"&amp;range=BB"&amp;MATCH(K992,FRG!AE:AE,0))</f>
        <v/>
      </c>
      <c r="AB992" s="242" t="str">
        <f>IFERROR(__xludf.DUMMYFUNCTION("IF(ISBLANK(K992),,SUBSTITUTE(IFERROR(JOIN("","",K992:Z992),JOIN("","",K992:Y992)),CHAR(10),""""))"),"")</f>
        <v/>
      </c>
      <c r="AC992" s="229" t="str">
        <f t="shared" si="1"/>
        <v/>
      </c>
    </row>
    <row r="993">
      <c r="K993" s="237"/>
      <c r="L993" s="238" t="str">
        <f t="shared" si="3"/>
        <v/>
      </c>
      <c r="M993" s="237"/>
      <c r="N993" s="238"/>
      <c r="O993" s="238" t="str">
        <f t="shared" si="4"/>
        <v/>
      </c>
      <c r="P993" s="238" t="str">
        <f t="shared" si="5"/>
        <v/>
      </c>
      <c r="Q993" s="238" t="str">
        <f t="shared" si="6"/>
        <v/>
      </c>
      <c r="R993" s="238" t="str">
        <f t="shared" si="7"/>
        <v/>
      </c>
      <c r="S993" s="238" t="str">
        <f t="shared" si="8"/>
        <v/>
      </c>
      <c r="T993" s="238"/>
      <c r="U993" s="237"/>
      <c r="V993" s="238"/>
      <c r="W993" s="238" t="str">
        <f t="shared" si="9"/>
        <v/>
      </c>
      <c r="X993" s="237" t="str">
        <f t="shared" ref="X993:Y993" si="985">IF(ISBLANK(H993),,""""&amp;H993&amp;"""")</f>
        <v/>
      </c>
      <c r="Y993" s="237" t="str">
        <f t="shared" si="985"/>
        <v/>
      </c>
      <c r="Z993" s="237" t="str">
        <f>IF(ISBLANK(K993),,Config!$C$3&amp;"&amp;range=BB"&amp;MATCH(K993,FRG!AE:AE,0))</f>
        <v/>
      </c>
      <c r="AB993" s="242" t="str">
        <f>IFERROR(__xludf.DUMMYFUNCTION("IF(ISBLANK(K993),,SUBSTITUTE(IFERROR(JOIN("","",K993:Z993),JOIN("","",K993:Y993)),CHAR(10),""""))"),"")</f>
        <v/>
      </c>
      <c r="AC993" s="229" t="str">
        <f t="shared" si="1"/>
        <v/>
      </c>
    </row>
    <row r="994">
      <c r="K994" s="237"/>
      <c r="L994" s="238" t="str">
        <f t="shared" si="3"/>
        <v/>
      </c>
      <c r="M994" s="237"/>
      <c r="N994" s="238"/>
      <c r="O994" s="238" t="str">
        <f t="shared" si="4"/>
        <v/>
      </c>
      <c r="P994" s="238" t="str">
        <f t="shared" si="5"/>
        <v/>
      </c>
      <c r="Q994" s="238" t="str">
        <f t="shared" si="6"/>
        <v/>
      </c>
      <c r="R994" s="238" t="str">
        <f t="shared" si="7"/>
        <v/>
      </c>
      <c r="S994" s="238" t="str">
        <f t="shared" si="8"/>
        <v/>
      </c>
      <c r="T994" s="238"/>
      <c r="U994" s="237"/>
      <c r="V994" s="238"/>
      <c r="W994" s="238" t="str">
        <f t="shared" si="9"/>
        <v/>
      </c>
      <c r="X994" s="237" t="str">
        <f t="shared" ref="X994:Y994" si="986">IF(ISBLANK(H994),,""""&amp;H994&amp;"""")</f>
        <v/>
      </c>
      <c r="Y994" s="237" t="str">
        <f t="shared" si="986"/>
        <v/>
      </c>
      <c r="Z994" s="237" t="str">
        <f>IF(ISBLANK(K994),,Config!$C$3&amp;"&amp;range=BB"&amp;MATCH(K994,FRG!AE:AE,0))</f>
        <v/>
      </c>
      <c r="AB994" s="242" t="str">
        <f>IFERROR(__xludf.DUMMYFUNCTION("IF(ISBLANK(K994),,SUBSTITUTE(IFERROR(JOIN("","",K994:Z994),JOIN("","",K994:Y994)),CHAR(10),""""))"),"")</f>
        <v/>
      </c>
      <c r="AC994" s="229" t="str">
        <f t="shared" si="1"/>
        <v/>
      </c>
    </row>
    <row r="995">
      <c r="K995" s="237"/>
      <c r="L995" s="238" t="str">
        <f t="shared" si="3"/>
        <v/>
      </c>
      <c r="M995" s="237"/>
      <c r="N995" s="238"/>
      <c r="O995" s="238" t="str">
        <f t="shared" si="4"/>
        <v/>
      </c>
      <c r="P995" s="238" t="str">
        <f t="shared" si="5"/>
        <v/>
      </c>
      <c r="Q995" s="238" t="str">
        <f t="shared" si="6"/>
        <v/>
      </c>
      <c r="R995" s="238" t="str">
        <f t="shared" si="7"/>
        <v/>
      </c>
      <c r="S995" s="238" t="str">
        <f t="shared" si="8"/>
        <v/>
      </c>
      <c r="T995" s="238"/>
      <c r="U995" s="237"/>
      <c r="V995" s="238"/>
      <c r="W995" s="238" t="str">
        <f t="shared" si="9"/>
        <v/>
      </c>
      <c r="X995" s="237" t="str">
        <f t="shared" ref="X995:Y995" si="987">IF(ISBLANK(H995),,""""&amp;H995&amp;"""")</f>
        <v/>
      </c>
      <c r="Y995" s="237" t="str">
        <f t="shared" si="987"/>
        <v/>
      </c>
      <c r="Z995" s="237" t="str">
        <f>IF(ISBLANK(K995),,Config!$C$3&amp;"&amp;range=BB"&amp;MATCH(K995,FRG!AE:AE,0))</f>
        <v/>
      </c>
      <c r="AB995" s="242" t="str">
        <f>IFERROR(__xludf.DUMMYFUNCTION("IF(ISBLANK(K995),,SUBSTITUTE(IFERROR(JOIN("","",K995:Z995),JOIN("","",K995:Y995)),CHAR(10),""""))"),"")</f>
        <v/>
      </c>
      <c r="AC995" s="229" t="str">
        <f t="shared" si="1"/>
        <v/>
      </c>
    </row>
    <row r="996">
      <c r="K996" s="237"/>
      <c r="L996" s="238" t="str">
        <f t="shared" si="3"/>
        <v/>
      </c>
      <c r="M996" s="237"/>
      <c r="N996" s="238"/>
      <c r="O996" s="238" t="str">
        <f t="shared" si="4"/>
        <v/>
      </c>
      <c r="P996" s="238" t="str">
        <f t="shared" si="5"/>
        <v/>
      </c>
      <c r="Q996" s="238" t="str">
        <f t="shared" si="6"/>
        <v/>
      </c>
      <c r="R996" s="238" t="str">
        <f t="shared" si="7"/>
        <v/>
      </c>
      <c r="S996" s="238" t="str">
        <f t="shared" si="8"/>
        <v/>
      </c>
      <c r="T996" s="238"/>
      <c r="U996" s="237"/>
      <c r="V996" s="238"/>
      <c r="W996" s="238" t="str">
        <f t="shared" si="9"/>
        <v/>
      </c>
      <c r="X996" s="237" t="str">
        <f t="shared" ref="X996:Y996" si="988">IF(ISBLANK(H996),,""""&amp;H996&amp;"""")</f>
        <v/>
      </c>
      <c r="Y996" s="237" t="str">
        <f t="shared" si="988"/>
        <v/>
      </c>
      <c r="Z996" s="237" t="str">
        <f>IF(ISBLANK(K996),,Config!$C$3&amp;"&amp;range=BB"&amp;MATCH(K996,FRG!AE:AE,0))</f>
        <v/>
      </c>
      <c r="AB996" s="242" t="str">
        <f>IFERROR(__xludf.DUMMYFUNCTION("IF(ISBLANK(K996),,SUBSTITUTE(IFERROR(JOIN("","",K996:Z996),JOIN("","",K996:Y996)),CHAR(10),""""))"),"")</f>
        <v/>
      </c>
      <c r="AC996" s="229" t="str">
        <f t="shared" si="1"/>
        <v/>
      </c>
    </row>
    <row r="997">
      <c r="K997" s="237"/>
      <c r="L997" s="238" t="str">
        <f t="shared" si="3"/>
        <v/>
      </c>
      <c r="M997" s="237"/>
      <c r="N997" s="238"/>
      <c r="O997" s="238" t="str">
        <f t="shared" si="4"/>
        <v/>
      </c>
      <c r="P997" s="238" t="str">
        <f t="shared" si="5"/>
        <v/>
      </c>
      <c r="Q997" s="238" t="str">
        <f t="shared" si="6"/>
        <v/>
      </c>
      <c r="R997" s="238" t="str">
        <f t="shared" si="7"/>
        <v/>
      </c>
      <c r="S997" s="238" t="str">
        <f t="shared" si="8"/>
        <v/>
      </c>
      <c r="T997" s="238"/>
      <c r="U997" s="237"/>
      <c r="V997" s="238"/>
      <c r="W997" s="238" t="str">
        <f t="shared" si="9"/>
        <v/>
      </c>
      <c r="X997" s="237" t="str">
        <f t="shared" ref="X997:Y997" si="989">IF(ISBLANK(H997),,""""&amp;H997&amp;"""")</f>
        <v/>
      </c>
      <c r="Y997" s="237" t="str">
        <f t="shared" si="989"/>
        <v/>
      </c>
      <c r="Z997" s="237" t="str">
        <f>IF(ISBLANK(K997),,Config!$C$3&amp;"&amp;range=BB"&amp;MATCH(K997,FRG!AE:AE,0))</f>
        <v/>
      </c>
      <c r="AB997" s="242" t="str">
        <f>IFERROR(__xludf.DUMMYFUNCTION("IF(ISBLANK(K997),,SUBSTITUTE(IFERROR(JOIN("","",K997:Z997),JOIN("","",K997:Y997)),CHAR(10),""""))"),"")</f>
        <v/>
      </c>
      <c r="AC997" s="229" t="str">
        <f t="shared" si="1"/>
        <v/>
      </c>
    </row>
    <row r="998">
      <c r="K998" s="237"/>
      <c r="L998" s="238" t="str">
        <f t="shared" si="3"/>
        <v/>
      </c>
      <c r="M998" s="237"/>
      <c r="N998" s="238"/>
      <c r="O998" s="238" t="str">
        <f t="shared" si="4"/>
        <v/>
      </c>
      <c r="P998" s="238" t="str">
        <f t="shared" si="5"/>
        <v/>
      </c>
      <c r="Q998" s="238" t="str">
        <f t="shared" si="6"/>
        <v/>
      </c>
      <c r="R998" s="238" t="str">
        <f t="shared" si="7"/>
        <v/>
      </c>
      <c r="S998" s="238" t="str">
        <f t="shared" si="8"/>
        <v/>
      </c>
      <c r="T998" s="238"/>
      <c r="U998" s="237"/>
      <c r="V998" s="238"/>
      <c r="W998" s="238" t="str">
        <f t="shared" si="9"/>
        <v/>
      </c>
      <c r="X998" s="237" t="str">
        <f t="shared" ref="X998:Y998" si="990">IF(ISBLANK(H998),,""""&amp;H998&amp;"""")</f>
        <v/>
      </c>
      <c r="Y998" s="237" t="str">
        <f t="shared" si="990"/>
        <v/>
      </c>
      <c r="Z998" s="237" t="str">
        <f>IF(ISBLANK(K998),,Config!$C$3&amp;"&amp;range=BB"&amp;MATCH(K998,FRG!AE:AE,0))</f>
        <v/>
      </c>
      <c r="AB998" s="242" t="str">
        <f>IFERROR(__xludf.DUMMYFUNCTION("IF(ISBLANK(K998),,SUBSTITUTE(IFERROR(JOIN("","",K998:Z998),JOIN("","",K998:Y998)),CHAR(10),""""))"),"")</f>
        <v/>
      </c>
      <c r="AC998" s="229" t="str">
        <f t="shared" si="1"/>
        <v/>
      </c>
    </row>
    <row r="999">
      <c r="K999" s="18"/>
      <c r="L999" s="238" t="str">
        <f t="shared" si="3"/>
        <v/>
      </c>
      <c r="M999" s="237"/>
      <c r="N999" s="238"/>
      <c r="O999" s="238" t="str">
        <f t="shared" si="4"/>
        <v/>
      </c>
      <c r="P999" s="238" t="str">
        <f t="shared" si="5"/>
        <v/>
      </c>
      <c r="Q999" s="238" t="str">
        <f t="shared" si="6"/>
        <v/>
      </c>
      <c r="R999" s="238" t="str">
        <f t="shared" si="7"/>
        <v/>
      </c>
      <c r="S999" s="238" t="str">
        <f t="shared" si="8"/>
        <v/>
      </c>
      <c r="T999" s="238"/>
      <c r="U999" s="237"/>
      <c r="V999" s="238"/>
      <c r="W999" s="238" t="str">
        <f t="shared" si="9"/>
        <v/>
      </c>
      <c r="X999" s="237" t="str">
        <f t="shared" ref="X999:Y999" si="991">IF(ISBLANK(H999),,""""&amp;H999&amp;"""")</f>
        <v/>
      </c>
      <c r="Y999" s="237" t="str">
        <f t="shared" si="991"/>
        <v/>
      </c>
      <c r="Z999" s="237" t="str">
        <f>IF(ISBLANK(K999),,Config!$C$3&amp;"&amp;range=BB"&amp;MATCH(K999,FRG!AE:AE,0))</f>
        <v/>
      </c>
      <c r="AB999" s="242" t="str">
        <f>IFERROR(__xludf.DUMMYFUNCTION("IF(ISBLANK(K999),,SUBSTITUTE(IFERROR(JOIN("","",K999:Z999),JOIN("","",K999:Y999)),CHAR(10),""""))"),"")</f>
        <v/>
      </c>
      <c r="AC999" s="229" t="str">
        <f t="shared" si="1"/>
        <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75"/>
    <col customWidth="1" min="2" max="2" width="30.0"/>
    <col customWidth="1" min="3" max="3" width="40.88"/>
    <col customWidth="1" min="4" max="4" width="27.25"/>
    <col customWidth="1" min="10" max="10" width="16.88"/>
    <col customWidth="1" min="11" max="11" width="113.63"/>
    <col customWidth="1" min="13" max="13" width="88.13"/>
  </cols>
  <sheetData>
    <row r="1">
      <c r="A1" s="228" t="s">
        <v>241</v>
      </c>
      <c r="M1" s="231" t="s">
        <v>275</v>
      </c>
      <c r="N1" s="229" t="str">
        <f t="shared" ref="N1:N990" si="1">IF(ISBLANK(M1),,CHAR(10))</f>
        <v>
</v>
      </c>
    </row>
    <row r="2">
      <c r="M2" s="231" t="s">
        <v>245</v>
      </c>
      <c r="N2" s="229" t="str">
        <f t="shared" si="1"/>
        <v>
</v>
      </c>
    </row>
    <row r="3">
      <c r="A3" s="228" t="s">
        <v>294</v>
      </c>
      <c r="M3" s="231" t="s">
        <v>246</v>
      </c>
      <c r="N3" s="229" t="str">
        <f t="shared" si="1"/>
        <v>
</v>
      </c>
    </row>
    <row r="4">
      <c r="M4" s="234" t="s">
        <v>295</v>
      </c>
      <c r="N4" s="229" t="str">
        <f t="shared" si="1"/>
        <v>
</v>
      </c>
    </row>
    <row r="5">
      <c r="M5" s="234" t="s">
        <v>296</v>
      </c>
      <c r="N5" s="229" t="str">
        <f t="shared" si="1"/>
        <v>
</v>
      </c>
    </row>
    <row r="6">
      <c r="M6" s="231" t="s">
        <v>245</v>
      </c>
      <c r="N6" s="229" t="str">
        <f t="shared" si="1"/>
        <v>
</v>
      </c>
    </row>
    <row r="7">
      <c r="M7" s="234" t="s">
        <v>297</v>
      </c>
      <c r="N7" s="229" t="str">
        <f t="shared" si="1"/>
        <v>
</v>
      </c>
    </row>
    <row r="8">
      <c r="M8" s="231" t="s">
        <v>245</v>
      </c>
      <c r="N8" s="229" t="str">
        <f t="shared" si="1"/>
        <v>
</v>
      </c>
    </row>
    <row r="9">
      <c r="M9" s="234" t="s">
        <v>298</v>
      </c>
      <c r="N9" s="229" t="str">
        <f t="shared" si="1"/>
        <v>
</v>
      </c>
    </row>
    <row r="10">
      <c r="M10" s="231" t="s">
        <v>245</v>
      </c>
      <c r="N10" s="229" t="str">
        <f t="shared" si="1"/>
        <v>
</v>
      </c>
    </row>
    <row r="11">
      <c r="A11" s="237" t="str">
        <f>IFERROR(__xludf.DUMMYFUNCTION("FILTER({FRG!AC:AD,FRG!AY:AY,FRG!BI:BI},FRG!AC:AC&lt;&gt;"""")"),"Node ID")</f>
        <v>Node ID</v>
      </c>
      <c r="B11" s="237" t="str">
        <f>IFERROR(__xludf.DUMMYFUNCTION("""COMPUTED_VALUE"""),"Subnodes")</f>
        <v>Subnodes</v>
      </c>
      <c r="C11" s="237" t="str">
        <f>IFERROR(__xludf.DUMMYFUNCTION("""COMPUTED_VALUE"""),"Interface")</f>
        <v>Interface</v>
      </c>
      <c r="D11" s="237" t="str">
        <f>IFERROR(__xludf.DUMMYFUNCTION("""COMPUTED_VALUE"""),"Requirements")</f>
        <v>Requirements</v>
      </c>
      <c r="F11" s="18" t="s">
        <v>290</v>
      </c>
      <c r="G11" s="238" t="s">
        <v>19</v>
      </c>
      <c r="H11" s="238" t="s">
        <v>272</v>
      </c>
      <c r="I11" s="18" t="s">
        <v>299</v>
      </c>
      <c r="J11" s="18" t="s">
        <v>300</v>
      </c>
      <c r="K11" s="18" t="s">
        <v>293</v>
      </c>
      <c r="M11" s="243" t="str">
        <f>IFERROR(__xludf.DUMMYFUNCTION("IF(ISBLANK(F11),,SUBSTITUTE(IFERROR(JOIN("","",F11:K11),JOIN("","",F11:J11)),CHAR(10),""""))"),"P1_Node_ID,Subnodes,nodeshape,P2_Interface,P3_Requirements,link")</f>
        <v>P1_Node_ID,Subnodes,nodeshape,P2_Interface,P3_Requirements,link</v>
      </c>
      <c r="N11" s="229" t="str">
        <f t="shared" si="1"/>
        <v>
</v>
      </c>
    </row>
    <row r="12">
      <c r="F12" s="237" t="str">
        <f t="array" ref="F12:F990">A12:A990</f>
        <v/>
      </c>
      <c r="G12" s="238" t="str">
        <f t="shared" ref="G12:G990" si="3">IF(ISBLANK(B12),,""""&amp;SUBSTITUTE(SUBSTITUTE(B12, ";", ","),CHAR(10),"")&amp;"""")</f>
        <v/>
      </c>
      <c r="H12" s="238" t="str">
        <f t="shared" ref="H12:H990" si="4">IF(ISBLANK(F12),,IF(ISBLANK(G12),"component","group node"))</f>
        <v/>
      </c>
      <c r="I12" s="237" t="str">
        <f t="shared" ref="I12:J12" si="2">IF(ISBLANK(C12),,""""&amp;C12&amp;"""")</f>
        <v/>
      </c>
      <c r="J12" s="237" t="str">
        <f t="shared" si="2"/>
        <v/>
      </c>
      <c r="K12" s="237" t="str">
        <f>IF(ISBLANK(F12),,Config!$C$3&amp;"&amp;range=BB"&amp;MATCH(F12,FRG!AC:AC,0))</f>
        <v/>
      </c>
      <c r="M12" s="243" t="str">
        <f>IFERROR(__xludf.DUMMYFUNCTION("IF(ISBLANK(F12),,SUBSTITUTE(IFERROR(JOIN("","",F12:K12),JOIN("","",F12:J12)),CHAR(10),""""))"),"")</f>
        <v/>
      </c>
      <c r="N12" s="229" t="str">
        <f t="shared" si="1"/>
        <v/>
      </c>
    </row>
    <row r="13">
      <c r="F13" s="237"/>
      <c r="G13" s="238" t="str">
        <f t="shared" si="3"/>
        <v/>
      </c>
      <c r="H13" s="238" t="str">
        <f t="shared" si="4"/>
        <v/>
      </c>
      <c r="I13" s="237" t="str">
        <f t="shared" ref="I13:J13" si="5">IF(ISBLANK(C13),,""""&amp;C13&amp;"""")</f>
        <v/>
      </c>
      <c r="J13" s="237" t="str">
        <f t="shared" si="5"/>
        <v/>
      </c>
      <c r="K13" s="237" t="str">
        <f>IF(ISBLANK(F13),,Config!$C$3&amp;"&amp;range=BB"&amp;MATCH(F13,FRG!AC:AC,0))</f>
        <v/>
      </c>
      <c r="M13" s="243" t="str">
        <f>IFERROR(__xludf.DUMMYFUNCTION("IF(ISBLANK(F13),,SUBSTITUTE(IFERROR(JOIN("","",F13:K13),JOIN("","",F13:J13)),CHAR(10),""""))"),"")</f>
        <v/>
      </c>
      <c r="N13" s="229" t="str">
        <f t="shared" si="1"/>
        <v/>
      </c>
    </row>
    <row r="14">
      <c r="F14" s="237"/>
      <c r="G14" s="238" t="str">
        <f t="shared" si="3"/>
        <v/>
      </c>
      <c r="H14" s="238" t="str">
        <f t="shared" si="4"/>
        <v/>
      </c>
      <c r="I14" s="237" t="str">
        <f t="shared" ref="I14:J14" si="6">IF(ISBLANK(C14),,""""&amp;C14&amp;"""")</f>
        <v/>
      </c>
      <c r="J14" s="237" t="str">
        <f t="shared" si="6"/>
        <v/>
      </c>
      <c r="K14" s="237" t="str">
        <f>IF(ISBLANK(F14),,Config!$C$3&amp;"&amp;range=BB"&amp;MATCH(F14,FRG!AC:AC,0))</f>
        <v/>
      </c>
      <c r="M14" s="243" t="str">
        <f>IFERROR(__xludf.DUMMYFUNCTION("IF(ISBLANK(F14),,SUBSTITUTE(IFERROR(JOIN("","",F14:K14),JOIN("","",F14:J14)),CHAR(10),""""))"),"")</f>
        <v/>
      </c>
      <c r="N14" s="229" t="str">
        <f t="shared" si="1"/>
        <v/>
      </c>
    </row>
    <row r="15">
      <c r="F15" s="237"/>
      <c r="G15" s="238" t="str">
        <f t="shared" si="3"/>
        <v/>
      </c>
      <c r="H15" s="238" t="str">
        <f t="shared" si="4"/>
        <v/>
      </c>
      <c r="I15" s="237" t="str">
        <f t="shared" ref="I15:J15" si="7">IF(ISBLANK(C15),,""""&amp;C15&amp;"""")</f>
        <v/>
      </c>
      <c r="J15" s="237" t="str">
        <f t="shared" si="7"/>
        <v/>
      </c>
      <c r="K15" s="237" t="str">
        <f>IF(ISBLANK(F15),,Config!$C$3&amp;"&amp;range=BB"&amp;MATCH(F15,FRG!AC:AC,0))</f>
        <v/>
      </c>
      <c r="M15" s="243" t="str">
        <f>IFERROR(__xludf.DUMMYFUNCTION("IF(ISBLANK(F15),,SUBSTITUTE(IFERROR(JOIN("","",F15:K15),JOIN("","",F15:J15)),CHAR(10),""""))"),"")</f>
        <v/>
      </c>
      <c r="N15" s="229" t="str">
        <f t="shared" si="1"/>
        <v/>
      </c>
    </row>
    <row r="16">
      <c r="F16" s="237"/>
      <c r="G16" s="238" t="str">
        <f t="shared" si="3"/>
        <v/>
      </c>
      <c r="H16" s="238" t="str">
        <f t="shared" si="4"/>
        <v/>
      </c>
      <c r="I16" s="237" t="str">
        <f t="shared" ref="I16:J16" si="8">IF(ISBLANK(C16),,""""&amp;C16&amp;"""")</f>
        <v/>
      </c>
      <c r="J16" s="237" t="str">
        <f t="shared" si="8"/>
        <v/>
      </c>
      <c r="K16" s="237" t="str">
        <f>IF(ISBLANK(F16),,Config!$C$3&amp;"&amp;range=BB"&amp;MATCH(F16,FRG!AC:AC,0))</f>
        <v/>
      </c>
      <c r="M16" s="243" t="str">
        <f>IFERROR(__xludf.DUMMYFUNCTION("IF(ISBLANK(F16),,SUBSTITUTE(IFERROR(JOIN("","",F16:K16),JOIN("","",F16:J16)),CHAR(10),""""))"),"")</f>
        <v/>
      </c>
      <c r="N16" s="229" t="str">
        <f t="shared" si="1"/>
        <v/>
      </c>
    </row>
    <row r="17">
      <c r="F17" s="237"/>
      <c r="G17" s="238" t="str">
        <f t="shared" si="3"/>
        <v/>
      </c>
      <c r="H17" s="238" t="str">
        <f t="shared" si="4"/>
        <v/>
      </c>
      <c r="I17" s="237" t="str">
        <f t="shared" ref="I17:J17" si="9">IF(ISBLANK(C17),,""""&amp;C17&amp;"""")</f>
        <v/>
      </c>
      <c r="J17" s="237" t="str">
        <f t="shared" si="9"/>
        <v/>
      </c>
      <c r="K17" s="237" t="str">
        <f>IF(ISBLANK(F17),,Config!$C$3&amp;"&amp;range=BB"&amp;MATCH(F17,FRG!AC:AC,0))</f>
        <v/>
      </c>
      <c r="M17" s="243" t="str">
        <f>IFERROR(__xludf.DUMMYFUNCTION("IF(ISBLANK(F17),,SUBSTITUTE(IFERROR(JOIN("","",F17:K17),JOIN("","",F17:J17)),CHAR(10),""""))"),"")</f>
        <v/>
      </c>
      <c r="N17" s="229" t="str">
        <f t="shared" si="1"/>
        <v/>
      </c>
    </row>
    <row r="18">
      <c r="F18" s="237"/>
      <c r="G18" s="238" t="str">
        <f t="shared" si="3"/>
        <v/>
      </c>
      <c r="H18" s="238" t="str">
        <f t="shared" si="4"/>
        <v/>
      </c>
      <c r="I18" s="237" t="str">
        <f t="shared" ref="I18:J18" si="10">IF(ISBLANK(C18),,""""&amp;C18&amp;"""")</f>
        <v/>
      </c>
      <c r="J18" s="237" t="str">
        <f t="shared" si="10"/>
        <v/>
      </c>
      <c r="K18" s="237" t="str">
        <f>IF(ISBLANK(F18),,Config!$C$3&amp;"&amp;range=BB"&amp;MATCH(F18,FRG!AC:AC,0))</f>
        <v/>
      </c>
      <c r="M18" s="243" t="str">
        <f>IFERROR(__xludf.DUMMYFUNCTION("IF(ISBLANK(F18),,SUBSTITUTE(IFERROR(JOIN("","",F18:K18),JOIN("","",F18:J18)),CHAR(10),""""))"),"")</f>
        <v/>
      </c>
      <c r="N18" s="229" t="str">
        <f t="shared" si="1"/>
        <v/>
      </c>
    </row>
    <row r="19">
      <c r="F19" s="237"/>
      <c r="G19" s="238" t="str">
        <f t="shared" si="3"/>
        <v/>
      </c>
      <c r="H19" s="238" t="str">
        <f t="shared" si="4"/>
        <v/>
      </c>
      <c r="I19" s="237" t="str">
        <f t="shared" ref="I19:J19" si="11">IF(ISBLANK(C19),,""""&amp;C19&amp;"""")</f>
        <v/>
      </c>
      <c r="J19" s="237" t="str">
        <f t="shared" si="11"/>
        <v/>
      </c>
      <c r="K19" s="237" t="str">
        <f>IF(ISBLANK(F19),,Config!$C$3&amp;"&amp;range=BB"&amp;MATCH(F19,FRG!AC:AC,0))</f>
        <v/>
      </c>
      <c r="M19" s="243" t="str">
        <f>IFERROR(__xludf.DUMMYFUNCTION("IF(ISBLANK(F19),,SUBSTITUTE(IFERROR(JOIN("","",F19:K19),JOIN("","",F19:J19)),CHAR(10),""""))"),"")</f>
        <v/>
      </c>
      <c r="N19" s="229" t="str">
        <f t="shared" si="1"/>
        <v/>
      </c>
    </row>
    <row r="20">
      <c r="F20" s="237"/>
      <c r="G20" s="238" t="str">
        <f t="shared" si="3"/>
        <v/>
      </c>
      <c r="H20" s="238" t="str">
        <f t="shared" si="4"/>
        <v/>
      </c>
      <c r="I20" s="237" t="str">
        <f t="shared" ref="I20:J20" si="12">IF(ISBLANK(C20),,""""&amp;C20&amp;"""")</f>
        <v/>
      </c>
      <c r="J20" s="237" t="str">
        <f t="shared" si="12"/>
        <v/>
      </c>
      <c r="K20" s="237" t="str">
        <f>IF(ISBLANK(F20),,Config!$C$3&amp;"&amp;range=BB"&amp;MATCH(F20,FRG!AC:AC,0))</f>
        <v/>
      </c>
      <c r="M20" s="243" t="str">
        <f>IFERROR(__xludf.DUMMYFUNCTION("IF(ISBLANK(F20),,SUBSTITUTE(IFERROR(JOIN("","",F20:K20),JOIN("","",F20:J20)),CHAR(10),""""))"),"")</f>
        <v/>
      </c>
      <c r="N20" s="229" t="str">
        <f t="shared" si="1"/>
        <v/>
      </c>
    </row>
    <row r="21">
      <c r="F21" s="237"/>
      <c r="G21" s="238" t="str">
        <f t="shared" si="3"/>
        <v/>
      </c>
      <c r="H21" s="238" t="str">
        <f t="shared" si="4"/>
        <v/>
      </c>
      <c r="I21" s="237" t="str">
        <f t="shared" ref="I21:J21" si="13">IF(ISBLANK(C21),,""""&amp;C21&amp;"""")</f>
        <v/>
      </c>
      <c r="J21" s="237" t="str">
        <f t="shared" si="13"/>
        <v/>
      </c>
      <c r="K21" s="237" t="str">
        <f>IF(ISBLANK(F21),,Config!$C$3&amp;"&amp;range=BB"&amp;MATCH(F21,FRG!AC:AC,0))</f>
        <v/>
      </c>
      <c r="M21" s="243" t="str">
        <f>IFERROR(__xludf.DUMMYFUNCTION("IF(ISBLANK(F21),,SUBSTITUTE(IFERROR(JOIN("","",F21:K21),JOIN("","",F21:J21)),CHAR(10),""""))"),"")</f>
        <v/>
      </c>
      <c r="N21" s="229" t="str">
        <f t="shared" si="1"/>
        <v/>
      </c>
    </row>
    <row r="22">
      <c r="F22" s="237"/>
      <c r="G22" s="238" t="str">
        <f t="shared" si="3"/>
        <v/>
      </c>
      <c r="H22" s="238" t="str">
        <f t="shared" si="4"/>
        <v/>
      </c>
      <c r="I22" s="237" t="str">
        <f t="shared" ref="I22:J22" si="14">IF(ISBLANK(C22),,""""&amp;C22&amp;"""")</f>
        <v/>
      </c>
      <c r="J22" s="237" t="str">
        <f t="shared" si="14"/>
        <v/>
      </c>
      <c r="K22" s="237" t="str">
        <f>IF(ISBLANK(F22),,Config!$C$3&amp;"&amp;range=BB"&amp;MATCH(F22,FRG!AC:AC,0))</f>
        <v/>
      </c>
      <c r="M22" s="243" t="str">
        <f>IFERROR(__xludf.DUMMYFUNCTION("IF(ISBLANK(F22),,SUBSTITUTE(IFERROR(JOIN("","",F22:K22),JOIN("","",F22:J22)),CHAR(10),""""))"),"")</f>
        <v/>
      </c>
      <c r="N22" s="229" t="str">
        <f t="shared" si="1"/>
        <v/>
      </c>
    </row>
    <row r="23">
      <c r="F23" s="237"/>
      <c r="G23" s="238" t="str">
        <f t="shared" si="3"/>
        <v/>
      </c>
      <c r="H23" s="238" t="str">
        <f t="shared" si="4"/>
        <v/>
      </c>
      <c r="I23" s="237" t="str">
        <f t="shared" ref="I23:J23" si="15">IF(ISBLANK(C23),,""""&amp;C23&amp;"""")</f>
        <v/>
      </c>
      <c r="J23" s="237" t="str">
        <f t="shared" si="15"/>
        <v/>
      </c>
      <c r="K23" s="237" t="str">
        <f>IF(ISBLANK(F23),,Config!$C$3&amp;"&amp;range=BB"&amp;MATCH(F23,FRG!AC:AC,0))</f>
        <v/>
      </c>
      <c r="M23" s="243" t="str">
        <f>IFERROR(__xludf.DUMMYFUNCTION("IF(ISBLANK(F23),,SUBSTITUTE(IFERROR(JOIN("","",F23:K23),JOIN("","",F23:J23)),CHAR(10),""""))"),"")</f>
        <v/>
      </c>
      <c r="N23" s="229" t="str">
        <f t="shared" si="1"/>
        <v/>
      </c>
    </row>
    <row r="24">
      <c r="F24" s="237"/>
      <c r="G24" s="238" t="str">
        <f t="shared" si="3"/>
        <v/>
      </c>
      <c r="H24" s="238" t="str">
        <f t="shared" si="4"/>
        <v/>
      </c>
      <c r="I24" s="237" t="str">
        <f t="shared" ref="I24:J24" si="16">IF(ISBLANK(C24),,""""&amp;C24&amp;"""")</f>
        <v/>
      </c>
      <c r="J24" s="237" t="str">
        <f t="shared" si="16"/>
        <v/>
      </c>
      <c r="K24" s="237" t="str">
        <f>IF(ISBLANK(F24),,Config!$C$3&amp;"&amp;range=BB"&amp;MATCH(F24,FRG!AC:AC,0))</f>
        <v/>
      </c>
      <c r="M24" s="243" t="str">
        <f>IFERROR(__xludf.DUMMYFUNCTION("IF(ISBLANK(F24),,SUBSTITUTE(IFERROR(JOIN("","",F24:K24),JOIN("","",F24:J24)),CHAR(10),""""))"),"")</f>
        <v/>
      </c>
      <c r="N24" s="229" t="str">
        <f t="shared" si="1"/>
        <v/>
      </c>
    </row>
    <row r="25">
      <c r="F25" s="237"/>
      <c r="G25" s="238" t="str">
        <f t="shared" si="3"/>
        <v/>
      </c>
      <c r="H25" s="238" t="str">
        <f t="shared" si="4"/>
        <v/>
      </c>
      <c r="I25" s="237" t="str">
        <f t="shared" ref="I25:J25" si="17">IF(ISBLANK(C25),,""""&amp;C25&amp;"""")</f>
        <v/>
      </c>
      <c r="J25" s="237" t="str">
        <f t="shared" si="17"/>
        <v/>
      </c>
      <c r="K25" s="237" t="str">
        <f>IF(ISBLANK(F25),,Config!$C$3&amp;"&amp;range=BB"&amp;MATCH(F25,FRG!AC:AC,0))</f>
        <v/>
      </c>
      <c r="M25" s="243" t="str">
        <f>IFERROR(__xludf.DUMMYFUNCTION("IF(ISBLANK(F25),,SUBSTITUTE(IFERROR(JOIN("","",F25:K25),JOIN("","",F25:J25)),CHAR(10),""""))"),"")</f>
        <v/>
      </c>
      <c r="N25" s="229" t="str">
        <f t="shared" si="1"/>
        <v/>
      </c>
    </row>
    <row r="26">
      <c r="F26" s="237"/>
      <c r="G26" s="238" t="str">
        <f t="shared" si="3"/>
        <v/>
      </c>
      <c r="H26" s="238" t="str">
        <f t="shared" si="4"/>
        <v/>
      </c>
      <c r="I26" s="237" t="str">
        <f t="shared" ref="I26:J26" si="18">IF(ISBLANK(C26),,""""&amp;C26&amp;"""")</f>
        <v/>
      </c>
      <c r="J26" s="237" t="str">
        <f t="shared" si="18"/>
        <v/>
      </c>
      <c r="K26" s="237" t="str">
        <f>IF(ISBLANK(F26),,Config!$C$3&amp;"&amp;range=BB"&amp;MATCH(F26,FRG!AC:AC,0))</f>
        <v/>
      </c>
      <c r="M26" s="243" t="str">
        <f>IFERROR(__xludf.DUMMYFUNCTION("IF(ISBLANK(F26),,SUBSTITUTE(IFERROR(JOIN("","",F26:K26),JOIN("","",F26:J26)),CHAR(10),""""))"),"")</f>
        <v/>
      </c>
      <c r="N26" s="229" t="str">
        <f t="shared" si="1"/>
        <v/>
      </c>
    </row>
    <row r="27">
      <c r="F27" s="237"/>
      <c r="G27" s="238" t="str">
        <f t="shared" si="3"/>
        <v/>
      </c>
      <c r="H27" s="238" t="str">
        <f t="shared" si="4"/>
        <v/>
      </c>
      <c r="I27" s="237" t="str">
        <f t="shared" ref="I27:J27" si="19">IF(ISBLANK(C27),,""""&amp;C27&amp;"""")</f>
        <v/>
      </c>
      <c r="J27" s="237" t="str">
        <f t="shared" si="19"/>
        <v/>
      </c>
      <c r="K27" s="237" t="str">
        <f>IF(ISBLANK(F27),,Config!$C$3&amp;"&amp;range=BB"&amp;MATCH(F27,FRG!AC:AC,0))</f>
        <v/>
      </c>
      <c r="M27" s="243" t="str">
        <f>IFERROR(__xludf.DUMMYFUNCTION("IF(ISBLANK(F27),,SUBSTITUTE(IFERROR(JOIN("","",F27:K27),JOIN("","",F27:J27)),CHAR(10),""""))"),"")</f>
        <v/>
      </c>
      <c r="N27" s="229" t="str">
        <f t="shared" si="1"/>
        <v/>
      </c>
    </row>
    <row r="28">
      <c r="F28" s="237"/>
      <c r="G28" s="238" t="str">
        <f t="shared" si="3"/>
        <v/>
      </c>
      <c r="H28" s="238" t="str">
        <f t="shared" si="4"/>
        <v/>
      </c>
      <c r="I28" s="237" t="str">
        <f t="shared" ref="I28:J28" si="20">IF(ISBLANK(C28),,""""&amp;C28&amp;"""")</f>
        <v/>
      </c>
      <c r="J28" s="237" t="str">
        <f t="shared" si="20"/>
        <v/>
      </c>
      <c r="K28" s="237" t="str">
        <f>IF(ISBLANK(F28),,Config!$C$3&amp;"&amp;range=BB"&amp;MATCH(F28,FRG!AC:AC,0))</f>
        <v/>
      </c>
      <c r="M28" s="243" t="str">
        <f>IFERROR(__xludf.DUMMYFUNCTION("IF(ISBLANK(F28),,SUBSTITUTE(IFERROR(JOIN("","",F28:K28),JOIN("","",F28:J28)),CHAR(10),""""))"),"")</f>
        <v/>
      </c>
      <c r="N28" s="229" t="str">
        <f t="shared" si="1"/>
        <v/>
      </c>
    </row>
    <row r="29">
      <c r="F29" s="237"/>
      <c r="G29" s="238" t="str">
        <f t="shared" si="3"/>
        <v/>
      </c>
      <c r="H29" s="238" t="str">
        <f t="shared" si="4"/>
        <v/>
      </c>
      <c r="I29" s="237" t="str">
        <f t="shared" ref="I29:J29" si="21">IF(ISBLANK(C29),,""""&amp;C29&amp;"""")</f>
        <v/>
      </c>
      <c r="J29" s="237" t="str">
        <f t="shared" si="21"/>
        <v/>
      </c>
      <c r="K29" s="237" t="str">
        <f>IF(ISBLANK(F29),,Config!$C$3&amp;"&amp;range=BB"&amp;MATCH(F29,FRG!AC:AC,0))</f>
        <v/>
      </c>
      <c r="M29" s="243" t="str">
        <f>IFERROR(__xludf.DUMMYFUNCTION("IF(ISBLANK(F29),,SUBSTITUTE(IFERROR(JOIN("","",F29:K29),JOIN("","",F29:J29)),CHAR(10),""""))"),"")</f>
        <v/>
      </c>
      <c r="N29" s="229" t="str">
        <f t="shared" si="1"/>
        <v/>
      </c>
    </row>
    <row r="30">
      <c r="F30" s="237"/>
      <c r="G30" s="238" t="str">
        <f t="shared" si="3"/>
        <v/>
      </c>
      <c r="H30" s="238" t="str">
        <f t="shared" si="4"/>
        <v/>
      </c>
      <c r="I30" s="237" t="str">
        <f t="shared" ref="I30:J30" si="22">IF(ISBLANK(C30),,""""&amp;C30&amp;"""")</f>
        <v/>
      </c>
      <c r="J30" s="237" t="str">
        <f t="shared" si="22"/>
        <v/>
      </c>
      <c r="K30" s="237" t="str">
        <f>IF(ISBLANK(F30),,Config!$C$3&amp;"&amp;range=BB"&amp;MATCH(F30,FRG!AC:AC,0))</f>
        <v/>
      </c>
      <c r="M30" s="243" t="str">
        <f>IFERROR(__xludf.DUMMYFUNCTION("IF(ISBLANK(F30),,SUBSTITUTE(IFERROR(JOIN("","",F30:K30),JOIN("","",F30:J30)),CHAR(10),""""))"),"")</f>
        <v/>
      </c>
      <c r="N30" s="229" t="str">
        <f t="shared" si="1"/>
        <v/>
      </c>
    </row>
    <row r="31">
      <c r="F31" s="237"/>
      <c r="G31" s="238" t="str">
        <f t="shared" si="3"/>
        <v/>
      </c>
      <c r="H31" s="238" t="str">
        <f t="shared" si="4"/>
        <v/>
      </c>
      <c r="I31" s="237" t="str">
        <f t="shared" ref="I31:J31" si="23">IF(ISBLANK(C31),,""""&amp;C31&amp;"""")</f>
        <v/>
      </c>
      <c r="J31" s="237" t="str">
        <f t="shared" si="23"/>
        <v/>
      </c>
      <c r="K31" s="237" t="str">
        <f>IF(ISBLANK(F31),,Config!$C$3&amp;"&amp;range=BB"&amp;MATCH(F31,FRG!AC:AC,0))</f>
        <v/>
      </c>
      <c r="M31" s="243" t="str">
        <f>IFERROR(__xludf.DUMMYFUNCTION("IF(ISBLANK(F31),,SUBSTITUTE(IFERROR(JOIN("","",F31:K31),JOIN("","",F31:J31)),CHAR(10),""""))"),"")</f>
        <v/>
      </c>
      <c r="N31" s="229" t="str">
        <f t="shared" si="1"/>
        <v/>
      </c>
    </row>
    <row r="32">
      <c r="F32" s="237"/>
      <c r="G32" s="238" t="str">
        <f t="shared" si="3"/>
        <v/>
      </c>
      <c r="H32" s="238" t="str">
        <f t="shared" si="4"/>
        <v/>
      </c>
      <c r="I32" s="237" t="str">
        <f t="shared" ref="I32:J32" si="24">IF(ISBLANK(C32),,""""&amp;C32&amp;"""")</f>
        <v/>
      </c>
      <c r="J32" s="237" t="str">
        <f t="shared" si="24"/>
        <v/>
      </c>
      <c r="K32" s="237" t="str">
        <f>IF(ISBLANK(F32),,Config!$C$3&amp;"&amp;range=BB"&amp;MATCH(F32,FRG!AC:AC,0))</f>
        <v/>
      </c>
      <c r="M32" s="243" t="str">
        <f>IFERROR(__xludf.DUMMYFUNCTION("IF(ISBLANK(F32),,SUBSTITUTE(IFERROR(JOIN("","",F32:K32),JOIN("","",F32:J32)),CHAR(10),""""))"),"")</f>
        <v/>
      </c>
      <c r="N32" s="229" t="str">
        <f t="shared" si="1"/>
        <v/>
      </c>
    </row>
    <row r="33">
      <c r="F33" s="237"/>
      <c r="G33" s="238" t="str">
        <f t="shared" si="3"/>
        <v/>
      </c>
      <c r="H33" s="238" t="str">
        <f t="shared" si="4"/>
        <v/>
      </c>
      <c r="I33" s="237" t="str">
        <f t="shared" ref="I33:J33" si="25">IF(ISBLANK(C33),,""""&amp;C33&amp;"""")</f>
        <v/>
      </c>
      <c r="J33" s="237" t="str">
        <f t="shared" si="25"/>
        <v/>
      </c>
      <c r="K33" s="237" t="str">
        <f>IF(ISBLANK(F33),,Config!$C$3&amp;"&amp;range=BB"&amp;MATCH(F33,FRG!AC:AC,0))</f>
        <v/>
      </c>
      <c r="M33" s="243" t="str">
        <f>IFERROR(__xludf.DUMMYFUNCTION("IF(ISBLANK(F33),,SUBSTITUTE(IFERROR(JOIN("","",F33:K33),JOIN("","",F33:J33)),CHAR(10),""""))"),"")</f>
        <v/>
      </c>
      <c r="N33" s="229" t="str">
        <f t="shared" si="1"/>
        <v/>
      </c>
    </row>
    <row r="34">
      <c r="F34" s="237"/>
      <c r="G34" s="238" t="str">
        <f t="shared" si="3"/>
        <v/>
      </c>
      <c r="H34" s="238" t="str">
        <f t="shared" si="4"/>
        <v/>
      </c>
      <c r="I34" s="237" t="str">
        <f t="shared" ref="I34:J34" si="26">IF(ISBLANK(C34),,""""&amp;C34&amp;"""")</f>
        <v/>
      </c>
      <c r="J34" s="237" t="str">
        <f t="shared" si="26"/>
        <v/>
      </c>
      <c r="K34" s="237" t="str">
        <f>IF(ISBLANK(F34),,Config!$C$3&amp;"&amp;range=BB"&amp;MATCH(F34,FRG!AC:AC,0))</f>
        <v/>
      </c>
      <c r="M34" s="243" t="str">
        <f>IFERROR(__xludf.DUMMYFUNCTION("IF(ISBLANK(F34),,SUBSTITUTE(IFERROR(JOIN("","",F34:K34),JOIN("","",F34:J34)),CHAR(10),""""))"),"")</f>
        <v/>
      </c>
      <c r="N34" s="229" t="str">
        <f t="shared" si="1"/>
        <v/>
      </c>
    </row>
    <row r="35">
      <c r="F35" s="237"/>
      <c r="G35" s="238" t="str">
        <f t="shared" si="3"/>
        <v/>
      </c>
      <c r="H35" s="238" t="str">
        <f t="shared" si="4"/>
        <v/>
      </c>
      <c r="I35" s="237" t="str">
        <f t="shared" ref="I35:J35" si="27">IF(ISBLANK(C35),,""""&amp;C35&amp;"""")</f>
        <v/>
      </c>
      <c r="J35" s="237" t="str">
        <f t="shared" si="27"/>
        <v/>
      </c>
      <c r="K35" s="237" t="str">
        <f>IF(ISBLANK(F35),,Config!$C$3&amp;"&amp;range=BB"&amp;MATCH(F35,FRG!AC:AC,0))</f>
        <v/>
      </c>
      <c r="M35" s="243" t="str">
        <f>IFERROR(__xludf.DUMMYFUNCTION("IF(ISBLANK(F35),,SUBSTITUTE(IFERROR(JOIN("","",F35:K35),JOIN("","",F35:J35)),CHAR(10),""""))"),"")</f>
        <v/>
      </c>
      <c r="N35" s="229" t="str">
        <f t="shared" si="1"/>
        <v/>
      </c>
    </row>
    <row r="36">
      <c r="F36" s="237"/>
      <c r="G36" s="238" t="str">
        <f t="shared" si="3"/>
        <v/>
      </c>
      <c r="H36" s="238" t="str">
        <f t="shared" si="4"/>
        <v/>
      </c>
      <c r="I36" s="237" t="str">
        <f t="shared" ref="I36:J36" si="28">IF(ISBLANK(C36),,""""&amp;C36&amp;"""")</f>
        <v/>
      </c>
      <c r="J36" s="237" t="str">
        <f t="shared" si="28"/>
        <v/>
      </c>
      <c r="K36" s="237" t="str">
        <f>IF(ISBLANK(F36),,Config!$C$3&amp;"&amp;range=BB"&amp;MATCH(F36,FRG!AC:AC,0))</f>
        <v/>
      </c>
      <c r="M36" s="243" t="str">
        <f>IFERROR(__xludf.DUMMYFUNCTION("IF(ISBLANK(F36),,SUBSTITUTE(IFERROR(JOIN("","",F36:K36),JOIN("","",F36:J36)),CHAR(10),""""))"),"")</f>
        <v/>
      </c>
      <c r="N36" s="229" t="str">
        <f t="shared" si="1"/>
        <v/>
      </c>
    </row>
    <row r="37">
      <c r="F37" s="237"/>
      <c r="G37" s="238" t="str">
        <f t="shared" si="3"/>
        <v/>
      </c>
      <c r="H37" s="238" t="str">
        <f t="shared" si="4"/>
        <v/>
      </c>
      <c r="I37" s="237" t="str">
        <f t="shared" ref="I37:J37" si="29">IF(ISBLANK(C37),,""""&amp;C37&amp;"""")</f>
        <v/>
      </c>
      <c r="J37" s="237" t="str">
        <f t="shared" si="29"/>
        <v/>
      </c>
      <c r="K37" s="237" t="str">
        <f>IF(ISBLANK(F37),,Config!$C$3&amp;"&amp;range=BB"&amp;MATCH(F37,FRG!AC:AC,0))</f>
        <v/>
      </c>
      <c r="M37" s="243" t="str">
        <f>IFERROR(__xludf.DUMMYFUNCTION("IF(ISBLANK(F37),,SUBSTITUTE(IFERROR(JOIN("","",F37:K37),JOIN("","",F37:J37)),CHAR(10),""""))"),"")</f>
        <v/>
      </c>
      <c r="N37" s="229" t="str">
        <f t="shared" si="1"/>
        <v/>
      </c>
    </row>
    <row r="38">
      <c r="F38" s="237"/>
      <c r="G38" s="238" t="str">
        <f t="shared" si="3"/>
        <v/>
      </c>
      <c r="H38" s="238" t="str">
        <f t="shared" si="4"/>
        <v/>
      </c>
      <c r="I38" s="237" t="str">
        <f t="shared" ref="I38:J38" si="30">IF(ISBLANK(C38),,""""&amp;C38&amp;"""")</f>
        <v/>
      </c>
      <c r="J38" s="237" t="str">
        <f t="shared" si="30"/>
        <v/>
      </c>
      <c r="K38" s="237" t="str">
        <f>IF(ISBLANK(F38),,Config!$C$3&amp;"&amp;range=BB"&amp;MATCH(F38,FRG!AC:AC,0))</f>
        <v/>
      </c>
      <c r="M38" s="243" t="str">
        <f>IFERROR(__xludf.DUMMYFUNCTION("IF(ISBLANK(F38),,SUBSTITUTE(IFERROR(JOIN("","",F38:K38),JOIN("","",F38:J38)),CHAR(10),""""))"),"")</f>
        <v/>
      </c>
      <c r="N38" s="229" t="str">
        <f t="shared" si="1"/>
        <v/>
      </c>
    </row>
    <row r="39">
      <c r="F39" s="237"/>
      <c r="G39" s="238" t="str">
        <f t="shared" si="3"/>
        <v/>
      </c>
      <c r="H39" s="238" t="str">
        <f t="shared" si="4"/>
        <v/>
      </c>
      <c r="I39" s="237" t="str">
        <f t="shared" ref="I39:J39" si="31">IF(ISBLANK(C39),,""""&amp;C39&amp;"""")</f>
        <v/>
      </c>
      <c r="J39" s="237" t="str">
        <f t="shared" si="31"/>
        <v/>
      </c>
      <c r="K39" s="237" t="str">
        <f>IF(ISBLANK(F39),,Config!$C$3&amp;"&amp;range=BB"&amp;MATCH(F39,FRG!AC:AC,0))</f>
        <v/>
      </c>
      <c r="M39" s="243" t="str">
        <f>IFERROR(__xludf.DUMMYFUNCTION("IF(ISBLANK(F39),,SUBSTITUTE(IFERROR(JOIN("","",F39:K39),JOIN("","",F39:J39)),CHAR(10),""""))"),"")</f>
        <v/>
      </c>
      <c r="N39" s="229" t="str">
        <f t="shared" si="1"/>
        <v/>
      </c>
    </row>
    <row r="40">
      <c r="F40" s="237"/>
      <c r="G40" s="238" t="str">
        <f t="shared" si="3"/>
        <v/>
      </c>
      <c r="H40" s="238" t="str">
        <f t="shared" si="4"/>
        <v/>
      </c>
      <c r="I40" s="237" t="str">
        <f t="shared" ref="I40:J40" si="32">IF(ISBLANK(C40),,""""&amp;C40&amp;"""")</f>
        <v/>
      </c>
      <c r="J40" s="237" t="str">
        <f t="shared" si="32"/>
        <v/>
      </c>
      <c r="K40" s="237" t="str">
        <f>IF(ISBLANK(F40),,Config!$C$3&amp;"&amp;range=BB"&amp;MATCH(F40,FRG!AC:AC,0))</f>
        <v/>
      </c>
      <c r="M40" s="243" t="str">
        <f>IFERROR(__xludf.DUMMYFUNCTION("IF(ISBLANK(F40),,SUBSTITUTE(IFERROR(JOIN("","",F40:K40),JOIN("","",F40:J40)),CHAR(10),""""))"),"")</f>
        <v/>
      </c>
      <c r="N40" s="229" t="str">
        <f t="shared" si="1"/>
        <v/>
      </c>
    </row>
    <row r="41">
      <c r="F41" s="237"/>
      <c r="G41" s="238" t="str">
        <f t="shared" si="3"/>
        <v/>
      </c>
      <c r="H41" s="238" t="str">
        <f t="shared" si="4"/>
        <v/>
      </c>
      <c r="I41" s="237" t="str">
        <f t="shared" ref="I41:J41" si="33">IF(ISBLANK(C41),,""""&amp;C41&amp;"""")</f>
        <v/>
      </c>
      <c r="J41" s="237" t="str">
        <f t="shared" si="33"/>
        <v/>
      </c>
      <c r="K41" s="237" t="str">
        <f>IF(ISBLANK(F41),,Config!$C$3&amp;"&amp;range=BB"&amp;MATCH(F41,FRG!AC:AC,0))</f>
        <v/>
      </c>
      <c r="M41" s="243" t="str">
        <f>IFERROR(__xludf.DUMMYFUNCTION("IF(ISBLANK(F41),,SUBSTITUTE(IFERROR(JOIN("","",F41:K41),JOIN("","",F41:J41)),CHAR(10),""""))"),"")</f>
        <v/>
      </c>
      <c r="N41" s="229" t="str">
        <f t="shared" si="1"/>
        <v/>
      </c>
    </row>
    <row r="42">
      <c r="F42" s="237"/>
      <c r="G42" s="238" t="str">
        <f t="shared" si="3"/>
        <v/>
      </c>
      <c r="H42" s="238" t="str">
        <f t="shared" si="4"/>
        <v/>
      </c>
      <c r="I42" s="237" t="str">
        <f t="shared" ref="I42:J42" si="34">IF(ISBLANK(C42),,""""&amp;C42&amp;"""")</f>
        <v/>
      </c>
      <c r="J42" s="237" t="str">
        <f t="shared" si="34"/>
        <v/>
      </c>
      <c r="K42" s="237" t="str">
        <f>IF(ISBLANK(F42),,Config!$C$3&amp;"&amp;range=BB"&amp;MATCH(F42,FRG!AC:AC,0))</f>
        <v/>
      </c>
      <c r="M42" s="243" t="str">
        <f>IFERROR(__xludf.DUMMYFUNCTION("IF(ISBLANK(F42),,SUBSTITUTE(IFERROR(JOIN("","",F42:K42),JOIN("","",F42:J42)),CHAR(10),""""))"),"")</f>
        <v/>
      </c>
      <c r="N42" s="229" t="str">
        <f t="shared" si="1"/>
        <v/>
      </c>
    </row>
    <row r="43">
      <c r="F43" s="237"/>
      <c r="G43" s="238" t="str">
        <f t="shared" si="3"/>
        <v/>
      </c>
      <c r="H43" s="238" t="str">
        <f t="shared" si="4"/>
        <v/>
      </c>
      <c r="I43" s="237" t="str">
        <f t="shared" ref="I43:J43" si="35">IF(ISBLANK(C43),,""""&amp;C43&amp;"""")</f>
        <v/>
      </c>
      <c r="J43" s="237" t="str">
        <f t="shared" si="35"/>
        <v/>
      </c>
      <c r="K43" s="237" t="str">
        <f>IF(ISBLANK(F43),,Config!$C$3&amp;"&amp;range=BB"&amp;MATCH(F43,FRG!AC:AC,0))</f>
        <v/>
      </c>
      <c r="M43" s="243" t="str">
        <f>IFERROR(__xludf.DUMMYFUNCTION("IF(ISBLANK(F43),,SUBSTITUTE(IFERROR(JOIN("","",F43:K43),JOIN("","",F43:J43)),CHAR(10),""""))"),"")</f>
        <v/>
      </c>
      <c r="N43" s="229" t="str">
        <f t="shared" si="1"/>
        <v/>
      </c>
    </row>
    <row r="44">
      <c r="F44" s="237"/>
      <c r="G44" s="238" t="str">
        <f t="shared" si="3"/>
        <v/>
      </c>
      <c r="H44" s="238" t="str">
        <f t="shared" si="4"/>
        <v/>
      </c>
      <c r="I44" s="237" t="str">
        <f t="shared" ref="I44:J44" si="36">IF(ISBLANK(C44),,""""&amp;C44&amp;"""")</f>
        <v/>
      </c>
      <c r="J44" s="237" t="str">
        <f t="shared" si="36"/>
        <v/>
      </c>
      <c r="K44" s="237" t="str">
        <f>IF(ISBLANK(F44),,Config!$C$3&amp;"&amp;range=BB"&amp;MATCH(F44,FRG!AC:AC,0))</f>
        <v/>
      </c>
      <c r="M44" s="243" t="str">
        <f>IFERROR(__xludf.DUMMYFUNCTION("IF(ISBLANK(F44),,SUBSTITUTE(IFERROR(JOIN("","",F44:K44),JOIN("","",F44:J44)),CHAR(10),""""))"),"")</f>
        <v/>
      </c>
      <c r="N44" s="229" t="str">
        <f t="shared" si="1"/>
        <v/>
      </c>
    </row>
    <row r="45">
      <c r="F45" s="237"/>
      <c r="G45" s="238" t="str">
        <f t="shared" si="3"/>
        <v/>
      </c>
      <c r="H45" s="238" t="str">
        <f t="shared" si="4"/>
        <v/>
      </c>
      <c r="I45" s="237" t="str">
        <f t="shared" ref="I45:J45" si="37">IF(ISBLANK(C45),,""""&amp;C45&amp;"""")</f>
        <v/>
      </c>
      <c r="J45" s="237" t="str">
        <f t="shared" si="37"/>
        <v/>
      </c>
      <c r="K45" s="237" t="str">
        <f>IF(ISBLANK(F45),,Config!$C$3&amp;"&amp;range=BB"&amp;MATCH(F45,FRG!AC:AC,0))</f>
        <v/>
      </c>
      <c r="M45" s="243" t="str">
        <f>IFERROR(__xludf.DUMMYFUNCTION("IF(ISBLANK(F45),,SUBSTITUTE(IFERROR(JOIN("","",F45:K45),JOIN("","",F45:J45)),CHAR(10),""""))"),"")</f>
        <v/>
      </c>
      <c r="N45" s="229" t="str">
        <f t="shared" si="1"/>
        <v/>
      </c>
    </row>
    <row r="46">
      <c r="F46" s="237"/>
      <c r="G46" s="238" t="str">
        <f t="shared" si="3"/>
        <v/>
      </c>
      <c r="H46" s="238" t="str">
        <f t="shared" si="4"/>
        <v/>
      </c>
      <c r="I46" s="237" t="str">
        <f t="shared" ref="I46:J46" si="38">IF(ISBLANK(C46),,""""&amp;C46&amp;"""")</f>
        <v/>
      </c>
      <c r="J46" s="237" t="str">
        <f t="shared" si="38"/>
        <v/>
      </c>
      <c r="K46" s="237" t="str">
        <f>IF(ISBLANK(F46),,Config!$C$3&amp;"&amp;range=BB"&amp;MATCH(F46,FRG!AC:AC,0))</f>
        <v/>
      </c>
      <c r="M46" s="243" t="str">
        <f>IFERROR(__xludf.DUMMYFUNCTION("IF(ISBLANK(F46),,SUBSTITUTE(IFERROR(JOIN("","",F46:K46),JOIN("","",F46:J46)),CHAR(10),""""))"),"")</f>
        <v/>
      </c>
      <c r="N46" s="229" t="str">
        <f t="shared" si="1"/>
        <v/>
      </c>
    </row>
    <row r="47">
      <c r="F47" s="237"/>
      <c r="G47" s="238" t="str">
        <f t="shared" si="3"/>
        <v/>
      </c>
      <c r="H47" s="238" t="str">
        <f t="shared" si="4"/>
        <v/>
      </c>
      <c r="I47" s="237" t="str">
        <f t="shared" ref="I47:J47" si="39">IF(ISBLANK(C47),,""""&amp;C47&amp;"""")</f>
        <v/>
      </c>
      <c r="J47" s="237" t="str">
        <f t="shared" si="39"/>
        <v/>
      </c>
      <c r="K47" s="237" t="str">
        <f>IF(ISBLANK(F47),,Config!$C$3&amp;"&amp;range=BB"&amp;MATCH(F47,FRG!AC:AC,0))</f>
        <v/>
      </c>
      <c r="M47" s="243" t="str">
        <f>IFERROR(__xludf.DUMMYFUNCTION("IF(ISBLANK(F47),,SUBSTITUTE(IFERROR(JOIN("","",F47:K47),JOIN("","",F47:J47)),CHAR(10),""""))"),"")</f>
        <v/>
      </c>
      <c r="N47" s="229" t="str">
        <f t="shared" si="1"/>
        <v/>
      </c>
    </row>
    <row r="48">
      <c r="F48" s="237"/>
      <c r="G48" s="238" t="str">
        <f t="shared" si="3"/>
        <v/>
      </c>
      <c r="H48" s="238" t="str">
        <f t="shared" si="4"/>
        <v/>
      </c>
      <c r="I48" s="237" t="str">
        <f t="shared" ref="I48:J48" si="40">IF(ISBLANK(C48),,""""&amp;C48&amp;"""")</f>
        <v/>
      </c>
      <c r="J48" s="237" t="str">
        <f t="shared" si="40"/>
        <v/>
      </c>
      <c r="K48" s="237" t="str">
        <f>IF(ISBLANK(F48),,Config!$C$3&amp;"&amp;range=BB"&amp;MATCH(F48,FRG!AC:AC,0))</f>
        <v/>
      </c>
      <c r="M48" s="243" t="str">
        <f>IFERROR(__xludf.DUMMYFUNCTION("IF(ISBLANK(F48),,SUBSTITUTE(IFERROR(JOIN("","",F48:K48),JOIN("","",F48:J48)),CHAR(10),""""))"),"")</f>
        <v/>
      </c>
      <c r="N48" s="229" t="str">
        <f t="shared" si="1"/>
        <v/>
      </c>
    </row>
    <row r="49">
      <c r="F49" s="237"/>
      <c r="G49" s="238" t="str">
        <f t="shared" si="3"/>
        <v/>
      </c>
      <c r="H49" s="238" t="str">
        <f t="shared" si="4"/>
        <v/>
      </c>
      <c r="I49" s="237" t="str">
        <f t="shared" ref="I49:J49" si="41">IF(ISBLANK(C49),,""""&amp;C49&amp;"""")</f>
        <v/>
      </c>
      <c r="J49" s="237" t="str">
        <f t="shared" si="41"/>
        <v/>
      </c>
      <c r="K49" s="237" t="str">
        <f>IF(ISBLANK(F49),,Config!$C$3&amp;"&amp;range=BB"&amp;MATCH(F49,FRG!AC:AC,0))</f>
        <v/>
      </c>
      <c r="M49" s="243" t="str">
        <f>IFERROR(__xludf.DUMMYFUNCTION("IF(ISBLANK(F49),,SUBSTITUTE(IFERROR(JOIN("","",F49:K49),JOIN("","",F49:J49)),CHAR(10),""""))"),"")</f>
        <v/>
      </c>
      <c r="N49" s="229" t="str">
        <f t="shared" si="1"/>
        <v/>
      </c>
    </row>
    <row r="50">
      <c r="F50" s="237"/>
      <c r="G50" s="238" t="str">
        <f t="shared" si="3"/>
        <v/>
      </c>
      <c r="H50" s="238" t="str">
        <f t="shared" si="4"/>
        <v/>
      </c>
      <c r="I50" s="237" t="str">
        <f t="shared" ref="I50:J50" si="42">IF(ISBLANK(C50),,""""&amp;C50&amp;"""")</f>
        <v/>
      </c>
      <c r="J50" s="237" t="str">
        <f t="shared" si="42"/>
        <v/>
      </c>
      <c r="K50" s="237" t="str">
        <f>IF(ISBLANK(F50),,Config!$C$3&amp;"&amp;range=BB"&amp;MATCH(F50,FRG!AC:AC,0))</f>
        <v/>
      </c>
      <c r="M50" s="243" t="str">
        <f>IFERROR(__xludf.DUMMYFUNCTION("IF(ISBLANK(F50),,SUBSTITUTE(IFERROR(JOIN("","",F50:K50),JOIN("","",F50:J50)),CHAR(10),""""))"),"")</f>
        <v/>
      </c>
      <c r="N50" s="229" t="str">
        <f t="shared" si="1"/>
        <v/>
      </c>
    </row>
    <row r="51">
      <c r="F51" s="237"/>
      <c r="G51" s="238" t="str">
        <f t="shared" si="3"/>
        <v/>
      </c>
      <c r="H51" s="238" t="str">
        <f t="shared" si="4"/>
        <v/>
      </c>
      <c r="I51" s="237" t="str">
        <f t="shared" ref="I51:J51" si="43">IF(ISBLANK(C51),,""""&amp;C51&amp;"""")</f>
        <v/>
      </c>
      <c r="J51" s="237" t="str">
        <f t="shared" si="43"/>
        <v/>
      </c>
      <c r="K51" s="237" t="str">
        <f>IF(ISBLANK(F51),,Config!$C$3&amp;"&amp;range=BB"&amp;MATCH(F51,FRG!AC:AC,0))</f>
        <v/>
      </c>
      <c r="M51" s="243" t="str">
        <f>IFERROR(__xludf.DUMMYFUNCTION("IF(ISBLANK(F51),,SUBSTITUTE(IFERROR(JOIN("","",F51:K51),JOIN("","",F51:J51)),CHAR(10),""""))"),"")</f>
        <v/>
      </c>
      <c r="N51" s="229" t="str">
        <f t="shared" si="1"/>
        <v/>
      </c>
    </row>
    <row r="52">
      <c r="F52" s="237"/>
      <c r="G52" s="238" t="str">
        <f t="shared" si="3"/>
        <v/>
      </c>
      <c r="H52" s="238" t="str">
        <f t="shared" si="4"/>
        <v/>
      </c>
      <c r="I52" s="237" t="str">
        <f t="shared" ref="I52:J52" si="44">IF(ISBLANK(C52),,""""&amp;C52&amp;"""")</f>
        <v/>
      </c>
      <c r="J52" s="237" t="str">
        <f t="shared" si="44"/>
        <v/>
      </c>
      <c r="K52" s="237" t="str">
        <f>IF(ISBLANK(F52),,Config!$C$3&amp;"&amp;range=BB"&amp;MATCH(F52,FRG!AC:AC,0))</f>
        <v/>
      </c>
      <c r="M52" s="243" t="str">
        <f>IFERROR(__xludf.DUMMYFUNCTION("IF(ISBLANK(F52),,SUBSTITUTE(IFERROR(JOIN("","",F52:K52),JOIN("","",F52:J52)),CHAR(10),""""))"),"")</f>
        <v/>
      </c>
      <c r="N52" s="229" t="str">
        <f t="shared" si="1"/>
        <v/>
      </c>
    </row>
    <row r="53">
      <c r="F53" s="237"/>
      <c r="G53" s="238" t="str">
        <f t="shared" si="3"/>
        <v/>
      </c>
      <c r="H53" s="238" t="str">
        <f t="shared" si="4"/>
        <v/>
      </c>
      <c r="I53" s="237" t="str">
        <f t="shared" ref="I53:J53" si="45">IF(ISBLANK(C53),,""""&amp;C53&amp;"""")</f>
        <v/>
      </c>
      <c r="J53" s="237" t="str">
        <f t="shared" si="45"/>
        <v/>
      </c>
      <c r="K53" s="237" t="str">
        <f>IF(ISBLANK(F53),,Config!$C$3&amp;"&amp;range=BB"&amp;MATCH(F53,FRG!AC:AC,0))</f>
        <v/>
      </c>
      <c r="M53" s="243" t="str">
        <f>IFERROR(__xludf.DUMMYFUNCTION("IF(ISBLANK(F53),,SUBSTITUTE(IFERROR(JOIN("","",F53:K53),JOIN("","",F53:J53)),CHAR(10),""""))"),"")</f>
        <v/>
      </c>
      <c r="N53" s="229" t="str">
        <f t="shared" si="1"/>
        <v/>
      </c>
    </row>
    <row r="54">
      <c r="F54" s="237"/>
      <c r="G54" s="238" t="str">
        <f t="shared" si="3"/>
        <v/>
      </c>
      <c r="H54" s="238" t="str">
        <f t="shared" si="4"/>
        <v/>
      </c>
      <c r="I54" s="237" t="str">
        <f t="shared" ref="I54:J54" si="46">IF(ISBLANK(C54),,""""&amp;C54&amp;"""")</f>
        <v/>
      </c>
      <c r="J54" s="237" t="str">
        <f t="shared" si="46"/>
        <v/>
      </c>
      <c r="K54" s="237" t="str">
        <f>IF(ISBLANK(F54),,Config!$C$3&amp;"&amp;range=BB"&amp;MATCH(F54,FRG!AC:AC,0))</f>
        <v/>
      </c>
      <c r="M54" s="243" t="str">
        <f>IFERROR(__xludf.DUMMYFUNCTION("IF(ISBLANK(F54),,SUBSTITUTE(IFERROR(JOIN("","",F54:K54),JOIN("","",F54:J54)),CHAR(10),""""))"),"")</f>
        <v/>
      </c>
      <c r="N54" s="229" t="str">
        <f t="shared" si="1"/>
        <v/>
      </c>
    </row>
    <row r="55">
      <c r="F55" s="237"/>
      <c r="G55" s="238" t="str">
        <f t="shared" si="3"/>
        <v/>
      </c>
      <c r="H55" s="238" t="str">
        <f t="shared" si="4"/>
        <v/>
      </c>
      <c r="I55" s="237" t="str">
        <f t="shared" ref="I55:J55" si="47">IF(ISBLANK(C55),,""""&amp;C55&amp;"""")</f>
        <v/>
      </c>
      <c r="J55" s="237" t="str">
        <f t="shared" si="47"/>
        <v/>
      </c>
      <c r="K55" s="237" t="str">
        <f>IF(ISBLANK(F55),,Config!$C$3&amp;"&amp;range=BB"&amp;MATCH(F55,FRG!AC:AC,0))</f>
        <v/>
      </c>
      <c r="M55" s="243" t="str">
        <f>IFERROR(__xludf.DUMMYFUNCTION("IF(ISBLANK(F55),,SUBSTITUTE(IFERROR(JOIN("","",F55:K55),JOIN("","",F55:J55)),CHAR(10),""""))"),"")</f>
        <v/>
      </c>
      <c r="N55" s="229" t="str">
        <f t="shared" si="1"/>
        <v/>
      </c>
    </row>
    <row r="56">
      <c r="F56" s="237"/>
      <c r="G56" s="238" t="str">
        <f t="shared" si="3"/>
        <v/>
      </c>
      <c r="H56" s="238" t="str">
        <f t="shared" si="4"/>
        <v/>
      </c>
      <c r="I56" s="237" t="str">
        <f t="shared" ref="I56:J56" si="48">IF(ISBLANK(C56),,""""&amp;C56&amp;"""")</f>
        <v/>
      </c>
      <c r="J56" s="237" t="str">
        <f t="shared" si="48"/>
        <v/>
      </c>
      <c r="K56" s="237" t="str">
        <f>IF(ISBLANK(F56),,Config!$C$3&amp;"&amp;range=BB"&amp;MATCH(F56,FRG!AC:AC,0))</f>
        <v/>
      </c>
      <c r="M56" s="243" t="str">
        <f>IFERROR(__xludf.DUMMYFUNCTION("IF(ISBLANK(F56),,SUBSTITUTE(IFERROR(JOIN("","",F56:K56),JOIN("","",F56:J56)),CHAR(10),""""))"),"")</f>
        <v/>
      </c>
      <c r="N56" s="229" t="str">
        <f t="shared" si="1"/>
        <v/>
      </c>
    </row>
    <row r="57">
      <c r="F57" s="237"/>
      <c r="G57" s="238" t="str">
        <f t="shared" si="3"/>
        <v/>
      </c>
      <c r="H57" s="238" t="str">
        <f t="shared" si="4"/>
        <v/>
      </c>
      <c r="I57" s="237" t="str">
        <f t="shared" ref="I57:J57" si="49">IF(ISBLANK(C57),,""""&amp;C57&amp;"""")</f>
        <v/>
      </c>
      <c r="J57" s="237" t="str">
        <f t="shared" si="49"/>
        <v/>
      </c>
      <c r="K57" s="237" t="str">
        <f>IF(ISBLANK(F57),,Config!$C$3&amp;"&amp;range=BB"&amp;MATCH(F57,FRG!AC:AC,0))</f>
        <v/>
      </c>
      <c r="M57" s="243" t="str">
        <f>IFERROR(__xludf.DUMMYFUNCTION("IF(ISBLANK(F57),,SUBSTITUTE(IFERROR(JOIN("","",F57:K57),JOIN("","",F57:J57)),CHAR(10),""""))"),"")</f>
        <v/>
      </c>
      <c r="N57" s="229" t="str">
        <f t="shared" si="1"/>
        <v/>
      </c>
    </row>
    <row r="58">
      <c r="F58" s="237"/>
      <c r="G58" s="238" t="str">
        <f t="shared" si="3"/>
        <v/>
      </c>
      <c r="H58" s="238" t="str">
        <f t="shared" si="4"/>
        <v/>
      </c>
      <c r="I58" s="237" t="str">
        <f t="shared" ref="I58:J58" si="50">IF(ISBLANK(C58),,""""&amp;C58&amp;"""")</f>
        <v/>
      </c>
      <c r="J58" s="237" t="str">
        <f t="shared" si="50"/>
        <v/>
      </c>
      <c r="K58" s="237" t="str">
        <f>IF(ISBLANK(F58),,Config!$C$3&amp;"&amp;range=BB"&amp;MATCH(F58,FRG!AC:AC,0))</f>
        <v/>
      </c>
      <c r="M58" s="243" t="str">
        <f>IFERROR(__xludf.DUMMYFUNCTION("IF(ISBLANK(F58),,SUBSTITUTE(IFERROR(JOIN("","",F58:K58),JOIN("","",F58:J58)),CHAR(10),""""))"),"")</f>
        <v/>
      </c>
      <c r="N58" s="229" t="str">
        <f t="shared" si="1"/>
        <v/>
      </c>
    </row>
    <row r="59">
      <c r="F59" s="237"/>
      <c r="G59" s="238" t="str">
        <f t="shared" si="3"/>
        <v/>
      </c>
      <c r="H59" s="238" t="str">
        <f t="shared" si="4"/>
        <v/>
      </c>
      <c r="I59" s="237" t="str">
        <f t="shared" ref="I59:J59" si="51">IF(ISBLANK(C59),,""""&amp;C59&amp;"""")</f>
        <v/>
      </c>
      <c r="J59" s="237" t="str">
        <f t="shared" si="51"/>
        <v/>
      </c>
      <c r="K59" s="237" t="str">
        <f>IF(ISBLANK(F59),,Config!$C$3&amp;"&amp;range=BB"&amp;MATCH(F59,FRG!AC:AC,0))</f>
        <v/>
      </c>
      <c r="M59" s="243" t="str">
        <f>IFERROR(__xludf.DUMMYFUNCTION("IF(ISBLANK(F59),,SUBSTITUTE(IFERROR(JOIN("","",F59:K59),JOIN("","",F59:J59)),CHAR(10),""""))"),"")</f>
        <v/>
      </c>
      <c r="N59" s="229" t="str">
        <f t="shared" si="1"/>
        <v/>
      </c>
    </row>
    <row r="60">
      <c r="F60" s="237"/>
      <c r="G60" s="238" t="str">
        <f t="shared" si="3"/>
        <v/>
      </c>
      <c r="H60" s="238" t="str">
        <f t="shared" si="4"/>
        <v/>
      </c>
      <c r="I60" s="237" t="str">
        <f t="shared" ref="I60:J60" si="52">IF(ISBLANK(C60),,""""&amp;C60&amp;"""")</f>
        <v/>
      </c>
      <c r="J60" s="237" t="str">
        <f t="shared" si="52"/>
        <v/>
      </c>
      <c r="K60" s="237" t="str">
        <f>IF(ISBLANK(F60),,Config!$C$3&amp;"&amp;range=BB"&amp;MATCH(F60,FRG!AC:AC,0))</f>
        <v/>
      </c>
      <c r="M60" s="243" t="str">
        <f>IFERROR(__xludf.DUMMYFUNCTION("IF(ISBLANK(F60),,SUBSTITUTE(IFERROR(JOIN("","",F60:K60),JOIN("","",F60:J60)),CHAR(10),""""))"),"")</f>
        <v/>
      </c>
      <c r="N60" s="229" t="str">
        <f t="shared" si="1"/>
        <v/>
      </c>
    </row>
    <row r="61">
      <c r="F61" s="237"/>
      <c r="G61" s="238" t="str">
        <f t="shared" si="3"/>
        <v/>
      </c>
      <c r="H61" s="238" t="str">
        <f t="shared" si="4"/>
        <v/>
      </c>
      <c r="I61" s="237" t="str">
        <f t="shared" ref="I61:J61" si="53">IF(ISBLANK(C61),,""""&amp;C61&amp;"""")</f>
        <v/>
      </c>
      <c r="J61" s="237" t="str">
        <f t="shared" si="53"/>
        <v/>
      </c>
      <c r="K61" s="237" t="str">
        <f>IF(ISBLANK(F61),,Config!$C$3&amp;"&amp;range=BB"&amp;MATCH(F61,FRG!AC:AC,0))</f>
        <v/>
      </c>
      <c r="M61" s="243" t="str">
        <f>IFERROR(__xludf.DUMMYFUNCTION("IF(ISBLANK(F61),,SUBSTITUTE(IFERROR(JOIN("","",F61:K61),JOIN("","",F61:J61)),CHAR(10),""""))"),"")</f>
        <v/>
      </c>
      <c r="N61" s="229" t="str">
        <f t="shared" si="1"/>
        <v/>
      </c>
    </row>
    <row r="62">
      <c r="F62" s="237"/>
      <c r="G62" s="238" t="str">
        <f t="shared" si="3"/>
        <v/>
      </c>
      <c r="H62" s="238" t="str">
        <f t="shared" si="4"/>
        <v/>
      </c>
      <c r="I62" s="237" t="str">
        <f t="shared" ref="I62:J62" si="54">IF(ISBLANK(C62),,""""&amp;C62&amp;"""")</f>
        <v/>
      </c>
      <c r="J62" s="237" t="str">
        <f t="shared" si="54"/>
        <v/>
      </c>
      <c r="K62" s="237" t="str">
        <f>IF(ISBLANK(F62),,Config!$C$3&amp;"&amp;range=BB"&amp;MATCH(F62,FRG!AC:AC,0))</f>
        <v/>
      </c>
      <c r="M62" s="243" t="str">
        <f>IFERROR(__xludf.DUMMYFUNCTION("IF(ISBLANK(F62),,SUBSTITUTE(IFERROR(JOIN("","",F62:K62),JOIN("","",F62:J62)),CHAR(10),""""))"),"")</f>
        <v/>
      </c>
      <c r="N62" s="229" t="str">
        <f t="shared" si="1"/>
        <v/>
      </c>
    </row>
    <row r="63">
      <c r="F63" s="237"/>
      <c r="G63" s="238" t="str">
        <f t="shared" si="3"/>
        <v/>
      </c>
      <c r="H63" s="238" t="str">
        <f t="shared" si="4"/>
        <v/>
      </c>
      <c r="I63" s="237" t="str">
        <f t="shared" ref="I63:J63" si="55">IF(ISBLANK(C63),,""""&amp;C63&amp;"""")</f>
        <v/>
      </c>
      <c r="J63" s="237" t="str">
        <f t="shared" si="55"/>
        <v/>
      </c>
      <c r="K63" s="237" t="str">
        <f>IF(ISBLANK(F63),,Config!$C$3&amp;"&amp;range=BB"&amp;MATCH(F63,FRG!AC:AC,0))</f>
        <v/>
      </c>
      <c r="M63" s="243" t="str">
        <f>IFERROR(__xludf.DUMMYFUNCTION("IF(ISBLANK(F63),,SUBSTITUTE(IFERROR(JOIN("","",F63:K63),JOIN("","",F63:J63)),CHAR(10),""""))"),"")</f>
        <v/>
      </c>
      <c r="N63" s="229" t="str">
        <f t="shared" si="1"/>
        <v/>
      </c>
    </row>
    <row r="64">
      <c r="F64" s="237"/>
      <c r="G64" s="238" t="str">
        <f t="shared" si="3"/>
        <v/>
      </c>
      <c r="H64" s="238" t="str">
        <f t="shared" si="4"/>
        <v/>
      </c>
      <c r="I64" s="237" t="str">
        <f t="shared" ref="I64:J64" si="56">IF(ISBLANK(C64),,""""&amp;C64&amp;"""")</f>
        <v/>
      </c>
      <c r="J64" s="237" t="str">
        <f t="shared" si="56"/>
        <v/>
      </c>
      <c r="K64" s="237" t="str">
        <f>IF(ISBLANK(F64),,Config!$C$3&amp;"&amp;range=BB"&amp;MATCH(F64,FRG!AC:AC,0))</f>
        <v/>
      </c>
      <c r="M64" s="243" t="str">
        <f>IFERROR(__xludf.DUMMYFUNCTION("IF(ISBLANK(F64),,SUBSTITUTE(IFERROR(JOIN("","",F64:K64),JOIN("","",F64:J64)),CHAR(10),""""))"),"")</f>
        <v/>
      </c>
      <c r="N64" s="229" t="str">
        <f t="shared" si="1"/>
        <v/>
      </c>
    </row>
    <row r="65">
      <c r="F65" s="237"/>
      <c r="G65" s="238" t="str">
        <f t="shared" si="3"/>
        <v/>
      </c>
      <c r="H65" s="238" t="str">
        <f t="shared" si="4"/>
        <v/>
      </c>
      <c r="I65" s="237" t="str">
        <f t="shared" ref="I65:J65" si="57">IF(ISBLANK(C65),,""""&amp;C65&amp;"""")</f>
        <v/>
      </c>
      <c r="J65" s="237" t="str">
        <f t="shared" si="57"/>
        <v/>
      </c>
      <c r="K65" s="237" t="str">
        <f>IF(ISBLANK(F65),,Config!$C$3&amp;"&amp;range=BB"&amp;MATCH(F65,FRG!AC:AC,0))</f>
        <v/>
      </c>
      <c r="M65" s="243" t="str">
        <f>IFERROR(__xludf.DUMMYFUNCTION("IF(ISBLANK(F65),,SUBSTITUTE(IFERROR(JOIN("","",F65:K65),JOIN("","",F65:J65)),CHAR(10),""""))"),"")</f>
        <v/>
      </c>
      <c r="N65" s="229" t="str">
        <f t="shared" si="1"/>
        <v/>
      </c>
    </row>
    <row r="66">
      <c r="F66" s="237"/>
      <c r="G66" s="238" t="str">
        <f t="shared" si="3"/>
        <v/>
      </c>
      <c r="H66" s="238" t="str">
        <f t="shared" si="4"/>
        <v/>
      </c>
      <c r="I66" s="237" t="str">
        <f t="shared" ref="I66:J66" si="58">IF(ISBLANK(C66),,""""&amp;C66&amp;"""")</f>
        <v/>
      </c>
      <c r="J66" s="237" t="str">
        <f t="shared" si="58"/>
        <v/>
      </c>
      <c r="K66" s="237" t="str">
        <f>IF(ISBLANK(F66),,Config!$C$3&amp;"&amp;range=BB"&amp;MATCH(F66,FRG!AC:AC,0))</f>
        <v/>
      </c>
      <c r="M66" s="243" t="str">
        <f>IFERROR(__xludf.DUMMYFUNCTION("IF(ISBLANK(F66),,SUBSTITUTE(IFERROR(JOIN("","",F66:K66),JOIN("","",F66:J66)),CHAR(10),""""))"),"")</f>
        <v/>
      </c>
      <c r="N66" s="229" t="str">
        <f t="shared" si="1"/>
        <v/>
      </c>
    </row>
    <row r="67">
      <c r="F67" s="237"/>
      <c r="G67" s="238" t="str">
        <f t="shared" si="3"/>
        <v/>
      </c>
      <c r="H67" s="238" t="str">
        <f t="shared" si="4"/>
        <v/>
      </c>
      <c r="I67" s="237" t="str">
        <f t="shared" ref="I67:J67" si="59">IF(ISBLANK(C67),,""""&amp;C67&amp;"""")</f>
        <v/>
      </c>
      <c r="J67" s="237" t="str">
        <f t="shared" si="59"/>
        <v/>
      </c>
      <c r="K67" s="237" t="str">
        <f>IF(ISBLANK(F67),,Config!$C$3&amp;"&amp;range=BB"&amp;MATCH(F67,FRG!AC:AC,0))</f>
        <v/>
      </c>
      <c r="M67" s="243" t="str">
        <f>IFERROR(__xludf.DUMMYFUNCTION("IF(ISBLANK(F67),,SUBSTITUTE(IFERROR(JOIN("","",F67:K67),JOIN("","",F67:J67)),CHAR(10),""""))"),"")</f>
        <v/>
      </c>
      <c r="N67" s="229" t="str">
        <f t="shared" si="1"/>
        <v/>
      </c>
    </row>
    <row r="68">
      <c r="F68" s="237"/>
      <c r="G68" s="238" t="str">
        <f t="shared" si="3"/>
        <v/>
      </c>
      <c r="H68" s="238" t="str">
        <f t="shared" si="4"/>
        <v/>
      </c>
      <c r="I68" s="237" t="str">
        <f t="shared" ref="I68:J68" si="60">IF(ISBLANK(C68),,""""&amp;C68&amp;"""")</f>
        <v/>
      </c>
      <c r="J68" s="237" t="str">
        <f t="shared" si="60"/>
        <v/>
      </c>
      <c r="K68" s="237" t="str">
        <f>IF(ISBLANK(F68),,Config!$C$3&amp;"&amp;range=BB"&amp;MATCH(F68,FRG!AC:AC,0))</f>
        <v/>
      </c>
      <c r="M68" s="243" t="str">
        <f>IFERROR(__xludf.DUMMYFUNCTION("IF(ISBLANK(F68),,SUBSTITUTE(IFERROR(JOIN("","",F68:K68),JOIN("","",F68:J68)),CHAR(10),""""))"),"")</f>
        <v/>
      </c>
      <c r="N68" s="229" t="str">
        <f t="shared" si="1"/>
        <v/>
      </c>
    </row>
    <row r="69">
      <c r="F69" s="237"/>
      <c r="G69" s="238" t="str">
        <f t="shared" si="3"/>
        <v/>
      </c>
      <c r="H69" s="238" t="str">
        <f t="shared" si="4"/>
        <v/>
      </c>
      <c r="I69" s="237" t="str">
        <f t="shared" ref="I69:J69" si="61">IF(ISBLANK(C69),,""""&amp;C69&amp;"""")</f>
        <v/>
      </c>
      <c r="J69" s="237" t="str">
        <f t="shared" si="61"/>
        <v/>
      </c>
      <c r="K69" s="237" t="str">
        <f>IF(ISBLANK(F69),,Config!$C$3&amp;"&amp;range=BB"&amp;MATCH(F69,FRG!AC:AC,0))</f>
        <v/>
      </c>
      <c r="M69" s="243" t="str">
        <f>IFERROR(__xludf.DUMMYFUNCTION("IF(ISBLANK(F69),,SUBSTITUTE(IFERROR(JOIN("","",F69:K69),JOIN("","",F69:J69)),CHAR(10),""""))"),"")</f>
        <v/>
      </c>
      <c r="N69" s="229" t="str">
        <f t="shared" si="1"/>
        <v/>
      </c>
    </row>
    <row r="70">
      <c r="F70" s="237"/>
      <c r="G70" s="238" t="str">
        <f t="shared" si="3"/>
        <v/>
      </c>
      <c r="H70" s="238" t="str">
        <f t="shared" si="4"/>
        <v/>
      </c>
      <c r="I70" s="237" t="str">
        <f t="shared" ref="I70:J70" si="62">IF(ISBLANK(C70),,""""&amp;C70&amp;"""")</f>
        <v/>
      </c>
      <c r="J70" s="237" t="str">
        <f t="shared" si="62"/>
        <v/>
      </c>
      <c r="K70" s="237" t="str">
        <f>IF(ISBLANK(F70),,Config!$C$3&amp;"&amp;range=BB"&amp;MATCH(F70,FRG!AC:AC,0))</f>
        <v/>
      </c>
      <c r="M70" s="243" t="str">
        <f>IFERROR(__xludf.DUMMYFUNCTION("IF(ISBLANK(F70),,SUBSTITUTE(IFERROR(JOIN("","",F70:K70),JOIN("","",F70:J70)),CHAR(10),""""))"),"")</f>
        <v/>
      </c>
      <c r="N70" s="229" t="str">
        <f t="shared" si="1"/>
        <v/>
      </c>
    </row>
    <row r="71">
      <c r="F71" s="237"/>
      <c r="G71" s="238" t="str">
        <f t="shared" si="3"/>
        <v/>
      </c>
      <c r="H71" s="238" t="str">
        <f t="shared" si="4"/>
        <v/>
      </c>
      <c r="I71" s="237" t="str">
        <f t="shared" ref="I71:J71" si="63">IF(ISBLANK(C71),,""""&amp;C71&amp;"""")</f>
        <v/>
      </c>
      <c r="J71" s="237" t="str">
        <f t="shared" si="63"/>
        <v/>
      </c>
      <c r="K71" s="237" t="str">
        <f>IF(ISBLANK(F71),,Config!$C$3&amp;"&amp;range=BB"&amp;MATCH(F71,FRG!AC:AC,0))</f>
        <v/>
      </c>
      <c r="M71" s="243" t="str">
        <f>IFERROR(__xludf.DUMMYFUNCTION("IF(ISBLANK(F71),,SUBSTITUTE(IFERROR(JOIN("","",F71:K71),JOIN("","",F71:J71)),CHAR(10),""""))"),"")</f>
        <v/>
      </c>
      <c r="N71" s="229" t="str">
        <f t="shared" si="1"/>
        <v/>
      </c>
    </row>
    <row r="72">
      <c r="F72" s="237"/>
      <c r="G72" s="238" t="str">
        <f t="shared" si="3"/>
        <v/>
      </c>
      <c r="H72" s="238" t="str">
        <f t="shared" si="4"/>
        <v/>
      </c>
      <c r="I72" s="237" t="str">
        <f t="shared" ref="I72:J72" si="64">IF(ISBLANK(C72),,""""&amp;C72&amp;"""")</f>
        <v/>
      </c>
      <c r="J72" s="237" t="str">
        <f t="shared" si="64"/>
        <v/>
      </c>
      <c r="K72" s="237" t="str">
        <f>IF(ISBLANK(F72),,Config!$C$3&amp;"&amp;range=BB"&amp;MATCH(F72,FRG!AC:AC,0))</f>
        <v/>
      </c>
      <c r="M72" s="243" t="str">
        <f>IFERROR(__xludf.DUMMYFUNCTION("IF(ISBLANK(F72),,SUBSTITUTE(IFERROR(JOIN("","",F72:K72),JOIN("","",F72:J72)),CHAR(10),""""))"),"")</f>
        <v/>
      </c>
      <c r="N72" s="229" t="str">
        <f t="shared" si="1"/>
        <v/>
      </c>
    </row>
    <row r="73">
      <c r="F73" s="237"/>
      <c r="G73" s="238" t="str">
        <f t="shared" si="3"/>
        <v/>
      </c>
      <c r="H73" s="238" t="str">
        <f t="shared" si="4"/>
        <v/>
      </c>
      <c r="I73" s="237" t="str">
        <f t="shared" ref="I73:J73" si="65">IF(ISBLANK(C73),,""""&amp;C73&amp;"""")</f>
        <v/>
      </c>
      <c r="J73" s="237" t="str">
        <f t="shared" si="65"/>
        <v/>
      </c>
      <c r="K73" s="237" t="str">
        <f>IF(ISBLANK(F73),,Config!$C$3&amp;"&amp;range=BB"&amp;MATCH(F73,FRG!AC:AC,0))</f>
        <v/>
      </c>
      <c r="M73" s="243" t="str">
        <f>IFERROR(__xludf.DUMMYFUNCTION("IF(ISBLANK(F73),,SUBSTITUTE(IFERROR(JOIN("","",F73:K73),JOIN("","",F73:J73)),CHAR(10),""""))"),"")</f>
        <v/>
      </c>
      <c r="N73" s="229" t="str">
        <f t="shared" si="1"/>
        <v/>
      </c>
    </row>
    <row r="74">
      <c r="F74" s="237"/>
      <c r="G74" s="238" t="str">
        <f t="shared" si="3"/>
        <v/>
      </c>
      <c r="H74" s="238" t="str">
        <f t="shared" si="4"/>
        <v/>
      </c>
      <c r="I74" s="237" t="str">
        <f t="shared" ref="I74:J74" si="66">IF(ISBLANK(C74),,""""&amp;C74&amp;"""")</f>
        <v/>
      </c>
      <c r="J74" s="237" t="str">
        <f t="shared" si="66"/>
        <v/>
      </c>
      <c r="K74" s="237" t="str">
        <f>IF(ISBLANK(F74),,Config!$C$3&amp;"&amp;range=BB"&amp;MATCH(F74,FRG!AC:AC,0))</f>
        <v/>
      </c>
      <c r="M74" s="243" t="str">
        <f>IFERROR(__xludf.DUMMYFUNCTION("IF(ISBLANK(F74),,SUBSTITUTE(IFERROR(JOIN("","",F74:K74),JOIN("","",F74:J74)),CHAR(10),""""))"),"")</f>
        <v/>
      </c>
      <c r="N74" s="229" t="str">
        <f t="shared" si="1"/>
        <v/>
      </c>
    </row>
    <row r="75">
      <c r="F75" s="237"/>
      <c r="G75" s="238" t="str">
        <f t="shared" si="3"/>
        <v/>
      </c>
      <c r="H75" s="238" t="str">
        <f t="shared" si="4"/>
        <v/>
      </c>
      <c r="I75" s="237" t="str">
        <f t="shared" ref="I75:J75" si="67">IF(ISBLANK(C75),,""""&amp;C75&amp;"""")</f>
        <v/>
      </c>
      <c r="J75" s="237" t="str">
        <f t="shared" si="67"/>
        <v/>
      </c>
      <c r="K75" s="237" t="str">
        <f>IF(ISBLANK(F75),,Config!$C$3&amp;"&amp;range=BB"&amp;MATCH(F75,FRG!AC:AC,0))</f>
        <v/>
      </c>
      <c r="M75" s="243" t="str">
        <f>IFERROR(__xludf.DUMMYFUNCTION("IF(ISBLANK(F75),,SUBSTITUTE(IFERROR(JOIN("","",F75:K75),JOIN("","",F75:J75)),CHAR(10),""""))"),"")</f>
        <v/>
      </c>
      <c r="N75" s="229" t="str">
        <f t="shared" si="1"/>
        <v/>
      </c>
    </row>
    <row r="76">
      <c r="F76" s="237"/>
      <c r="G76" s="238" t="str">
        <f t="shared" si="3"/>
        <v/>
      </c>
      <c r="H76" s="238" t="str">
        <f t="shared" si="4"/>
        <v/>
      </c>
      <c r="I76" s="237" t="str">
        <f t="shared" ref="I76:J76" si="68">IF(ISBLANK(C76),,""""&amp;C76&amp;"""")</f>
        <v/>
      </c>
      <c r="J76" s="237" t="str">
        <f t="shared" si="68"/>
        <v/>
      </c>
      <c r="K76" s="237" t="str">
        <f>IF(ISBLANK(F76),,Config!$C$3&amp;"&amp;range=BB"&amp;MATCH(F76,FRG!AC:AC,0))</f>
        <v/>
      </c>
      <c r="M76" s="243" t="str">
        <f>IFERROR(__xludf.DUMMYFUNCTION("IF(ISBLANK(F76),,SUBSTITUTE(IFERROR(JOIN("","",F76:K76),JOIN("","",F76:J76)),CHAR(10),""""))"),"")</f>
        <v/>
      </c>
      <c r="N76" s="229" t="str">
        <f t="shared" si="1"/>
        <v/>
      </c>
    </row>
    <row r="77">
      <c r="F77" s="237"/>
      <c r="G77" s="238" t="str">
        <f t="shared" si="3"/>
        <v/>
      </c>
      <c r="H77" s="238" t="str">
        <f t="shared" si="4"/>
        <v/>
      </c>
      <c r="I77" s="237" t="str">
        <f t="shared" ref="I77:J77" si="69">IF(ISBLANK(C77),,""""&amp;C77&amp;"""")</f>
        <v/>
      </c>
      <c r="J77" s="237" t="str">
        <f t="shared" si="69"/>
        <v/>
      </c>
      <c r="K77" s="237" t="str">
        <f>IF(ISBLANK(F77),,Config!$C$3&amp;"&amp;range=BB"&amp;MATCH(F77,FRG!AC:AC,0))</f>
        <v/>
      </c>
      <c r="M77" s="243" t="str">
        <f>IFERROR(__xludf.DUMMYFUNCTION("IF(ISBLANK(F77),,SUBSTITUTE(IFERROR(JOIN("","",F77:K77),JOIN("","",F77:J77)),CHAR(10),""""))"),"")</f>
        <v/>
      </c>
      <c r="N77" s="229" t="str">
        <f t="shared" si="1"/>
        <v/>
      </c>
    </row>
    <row r="78">
      <c r="F78" s="237"/>
      <c r="G78" s="238" t="str">
        <f t="shared" si="3"/>
        <v/>
      </c>
      <c r="H78" s="238" t="str">
        <f t="shared" si="4"/>
        <v/>
      </c>
      <c r="I78" s="237" t="str">
        <f t="shared" ref="I78:J78" si="70">IF(ISBLANK(C78),,""""&amp;C78&amp;"""")</f>
        <v/>
      </c>
      <c r="J78" s="237" t="str">
        <f t="shared" si="70"/>
        <v/>
      </c>
      <c r="K78" s="237" t="str">
        <f>IF(ISBLANK(F78),,Config!$C$3&amp;"&amp;range=BB"&amp;MATCH(F78,FRG!AC:AC,0))</f>
        <v/>
      </c>
      <c r="M78" s="243" t="str">
        <f>IFERROR(__xludf.DUMMYFUNCTION("IF(ISBLANK(F78),,SUBSTITUTE(IFERROR(JOIN("","",F78:K78),JOIN("","",F78:J78)),CHAR(10),""""))"),"")</f>
        <v/>
      </c>
      <c r="N78" s="229" t="str">
        <f t="shared" si="1"/>
        <v/>
      </c>
    </row>
    <row r="79">
      <c r="F79" s="237"/>
      <c r="G79" s="238" t="str">
        <f t="shared" si="3"/>
        <v/>
      </c>
      <c r="H79" s="238" t="str">
        <f t="shared" si="4"/>
        <v/>
      </c>
      <c r="I79" s="237" t="str">
        <f t="shared" ref="I79:J79" si="71">IF(ISBLANK(C79),,""""&amp;C79&amp;"""")</f>
        <v/>
      </c>
      <c r="J79" s="237" t="str">
        <f t="shared" si="71"/>
        <v/>
      </c>
      <c r="K79" s="237" t="str">
        <f>IF(ISBLANK(F79),,Config!$C$3&amp;"&amp;range=BB"&amp;MATCH(F79,FRG!AC:AC,0))</f>
        <v/>
      </c>
      <c r="M79" s="243" t="str">
        <f>IFERROR(__xludf.DUMMYFUNCTION("IF(ISBLANK(F79),,SUBSTITUTE(IFERROR(JOIN("","",F79:K79),JOIN("","",F79:J79)),CHAR(10),""""))"),"")</f>
        <v/>
      </c>
      <c r="N79" s="229" t="str">
        <f t="shared" si="1"/>
        <v/>
      </c>
    </row>
    <row r="80">
      <c r="F80" s="237"/>
      <c r="G80" s="238" t="str">
        <f t="shared" si="3"/>
        <v/>
      </c>
      <c r="H80" s="238" t="str">
        <f t="shared" si="4"/>
        <v/>
      </c>
      <c r="I80" s="237" t="str">
        <f t="shared" ref="I80:J80" si="72">IF(ISBLANK(C80),,""""&amp;C80&amp;"""")</f>
        <v/>
      </c>
      <c r="J80" s="237" t="str">
        <f t="shared" si="72"/>
        <v/>
      </c>
      <c r="K80" s="237" t="str">
        <f>IF(ISBLANK(F80),,Config!$C$3&amp;"&amp;range=BB"&amp;MATCH(F80,FRG!AC:AC,0))</f>
        <v/>
      </c>
      <c r="M80" s="243" t="str">
        <f>IFERROR(__xludf.DUMMYFUNCTION("IF(ISBLANK(F80),,SUBSTITUTE(IFERROR(JOIN("","",F80:K80),JOIN("","",F80:J80)),CHAR(10),""""))"),"")</f>
        <v/>
      </c>
      <c r="N80" s="229" t="str">
        <f t="shared" si="1"/>
        <v/>
      </c>
    </row>
    <row r="81">
      <c r="F81" s="237"/>
      <c r="G81" s="238" t="str">
        <f t="shared" si="3"/>
        <v/>
      </c>
      <c r="H81" s="238" t="str">
        <f t="shared" si="4"/>
        <v/>
      </c>
      <c r="I81" s="237" t="str">
        <f t="shared" ref="I81:J81" si="73">IF(ISBLANK(C81),,""""&amp;C81&amp;"""")</f>
        <v/>
      </c>
      <c r="J81" s="237" t="str">
        <f t="shared" si="73"/>
        <v/>
      </c>
      <c r="K81" s="237" t="str">
        <f>IF(ISBLANK(F81),,Config!$C$3&amp;"&amp;range=BB"&amp;MATCH(F81,FRG!AC:AC,0))</f>
        <v/>
      </c>
      <c r="M81" s="243" t="str">
        <f>IFERROR(__xludf.DUMMYFUNCTION("IF(ISBLANK(F81),,SUBSTITUTE(IFERROR(JOIN("","",F81:K81),JOIN("","",F81:J81)),CHAR(10),""""))"),"")</f>
        <v/>
      </c>
      <c r="N81" s="229" t="str">
        <f t="shared" si="1"/>
        <v/>
      </c>
    </row>
    <row r="82">
      <c r="F82" s="237"/>
      <c r="G82" s="238" t="str">
        <f t="shared" si="3"/>
        <v/>
      </c>
      <c r="H82" s="238" t="str">
        <f t="shared" si="4"/>
        <v/>
      </c>
      <c r="I82" s="237" t="str">
        <f t="shared" ref="I82:J82" si="74">IF(ISBLANK(C82),,""""&amp;C82&amp;"""")</f>
        <v/>
      </c>
      <c r="J82" s="237" t="str">
        <f t="shared" si="74"/>
        <v/>
      </c>
      <c r="K82" s="237" t="str">
        <f>IF(ISBLANK(F82),,Config!$C$3&amp;"&amp;range=BB"&amp;MATCH(F82,FRG!AC:AC,0))</f>
        <v/>
      </c>
      <c r="M82" s="243" t="str">
        <f>IFERROR(__xludf.DUMMYFUNCTION("IF(ISBLANK(F82),,SUBSTITUTE(IFERROR(JOIN("","",F82:K82),JOIN("","",F82:J82)),CHAR(10),""""))"),"")</f>
        <v/>
      </c>
      <c r="N82" s="229" t="str">
        <f t="shared" si="1"/>
        <v/>
      </c>
    </row>
    <row r="83">
      <c r="F83" s="237"/>
      <c r="G83" s="238" t="str">
        <f t="shared" si="3"/>
        <v/>
      </c>
      <c r="H83" s="238" t="str">
        <f t="shared" si="4"/>
        <v/>
      </c>
      <c r="I83" s="237" t="str">
        <f t="shared" ref="I83:J83" si="75">IF(ISBLANK(C83),,""""&amp;C83&amp;"""")</f>
        <v/>
      </c>
      <c r="J83" s="237" t="str">
        <f t="shared" si="75"/>
        <v/>
      </c>
      <c r="K83" s="237" t="str">
        <f>IF(ISBLANK(F83),,Config!$C$3&amp;"&amp;range=BB"&amp;MATCH(F83,FRG!AC:AC,0))</f>
        <v/>
      </c>
      <c r="M83" s="243" t="str">
        <f>IFERROR(__xludf.DUMMYFUNCTION("IF(ISBLANK(F83),,SUBSTITUTE(IFERROR(JOIN("","",F83:K83),JOIN("","",F83:J83)),CHAR(10),""""))"),"")</f>
        <v/>
      </c>
      <c r="N83" s="229" t="str">
        <f t="shared" si="1"/>
        <v/>
      </c>
    </row>
    <row r="84">
      <c r="F84" s="237"/>
      <c r="G84" s="238" t="str">
        <f t="shared" si="3"/>
        <v/>
      </c>
      <c r="H84" s="238" t="str">
        <f t="shared" si="4"/>
        <v/>
      </c>
      <c r="I84" s="237" t="str">
        <f t="shared" ref="I84:J84" si="76">IF(ISBLANK(C84),,""""&amp;C84&amp;"""")</f>
        <v/>
      </c>
      <c r="J84" s="237" t="str">
        <f t="shared" si="76"/>
        <v/>
      </c>
      <c r="K84" s="237" t="str">
        <f>IF(ISBLANK(F84),,Config!$C$3&amp;"&amp;range=BB"&amp;MATCH(F84,FRG!AC:AC,0))</f>
        <v/>
      </c>
      <c r="M84" s="243" t="str">
        <f>IFERROR(__xludf.DUMMYFUNCTION("IF(ISBLANK(F84),,SUBSTITUTE(IFERROR(JOIN("","",F84:K84),JOIN("","",F84:J84)),CHAR(10),""""))"),"")</f>
        <v/>
      </c>
      <c r="N84" s="229" t="str">
        <f t="shared" si="1"/>
        <v/>
      </c>
    </row>
    <row r="85">
      <c r="F85" s="237"/>
      <c r="G85" s="238" t="str">
        <f t="shared" si="3"/>
        <v/>
      </c>
      <c r="H85" s="238" t="str">
        <f t="shared" si="4"/>
        <v/>
      </c>
      <c r="I85" s="237" t="str">
        <f t="shared" ref="I85:J85" si="77">IF(ISBLANK(C85),,""""&amp;C85&amp;"""")</f>
        <v/>
      </c>
      <c r="J85" s="237" t="str">
        <f t="shared" si="77"/>
        <v/>
      </c>
      <c r="K85" s="237" t="str">
        <f>IF(ISBLANK(F85),,Config!$C$3&amp;"&amp;range=BB"&amp;MATCH(F85,FRG!AC:AC,0))</f>
        <v/>
      </c>
      <c r="M85" s="243" t="str">
        <f>IFERROR(__xludf.DUMMYFUNCTION("IF(ISBLANK(F85),,SUBSTITUTE(IFERROR(JOIN("","",F85:K85),JOIN("","",F85:J85)),CHAR(10),""""))"),"")</f>
        <v/>
      </c>
      <c r="N85" s="229" t="str">
        <f t="shared" si="1"/>
        <v/>
      </c>
    </row>
    <row r="86">
      <c r="F86" s="237"/>
      <c r="G86" s="238" t="str">
        <f t="shared" si="3"/>
        <v/>
      </c>
      <c r="H86" s="238" t="str">
        <f t="shared" si="4"/>
        <v/>
      </c>
      <c r="I86" s="237" t="str">
        <f t="shared" ref="I86:J86" si="78">IF(ISBLANK(C86),,""""&amp;C86&amp;"""")</f>
        <v/>
      </c>
      <c r="J86" s="237" t="str">
        <f t="shared" si="78"/>
        <v/>
      </c>
      <c r="K86" s="237" t="str">
        <f>IF(ISBLANK(F86),,Config!$C$3&amp;"&amp;range=BB"&amp;MATCH(F86,FRG!AC:AC,0))</f>
        <v/>
      </c>
      <c r="M86" s="243" t="str">
        <f>IFERROR(__xludf.DUMMYFUNCTION("IF(ISBLANK(F86),,SUBSTITUTE(IFERROR(JOIN("","",F86:K86),JOIN("","",F86:J86)),CHAR(10),""""))"),"")</f>
        <v/>
      </c>
      <c r="N86" s="229" t="str">
        <f t="shared" si="1"/>
        <v/>
      </c>
    </row>
    <row r="87">
      <c r="F87" s="237"/>
      <c r="G87" s="238" t="str">
        <f t="shared" si="3"/>
        <v/>
      </c>
      <c r="H87" s="238" t="str">
        <f t="shared" si="4"/>
        <v/>
      </c>
      <c r="I87" s="237" t="str">
        <f t="shared" ref="I87:J87" si="79">IF(ISBLANK(C87),,""""&amp;C87&amp;"""")</f>
        <v/>
      </c>
      <c r="J87" s="237" t="str">
        <f t="shared" si="79"/>
        <v/>
      </c>
      <c r="K87" s="237" t="str">
        <f>IF(ISBLANK(F87),,Config!$C$3&amp;"&amp;range=BB"&amp;MATCH(F87,FRG!AC:AC,0))</f>
        <v/>
      </c>
      <c r="M87" s="243" t="str">
        <f>IFERROR(__xludf.DUMMYFUNCTION("IF(ISBLANK(F87),,SUBSTITUTE(IFERROR(JOIN("","",F87:K87),JOIN("","",F87:J87)),CHAR(10),""""))"),"")</f>
        <v/>
      </c>
      <c r="N87" s="229" t="str">
        <f t="shared" si="1"/>
        <v/>
      </c>
    </row>
    <row r="88">
      <c r="F88" s="237"/>
      <c r="G88" s="238" t="str">
        <f t="shared" si="3"/>
        <v/>
      </c>
      <c r="H88" s="238" t="str">
        <f t="shared" si="4"/>
        <v/>
      </c>
      <c r="I88" s="237" t="str">
        <f t="shared" ref="I88:J88" si="80">IF(ISBLANK(C88),,""""&amp;C88&amp;"""")</f>
        <v/>
      </c>
      <c r="J88" s="237" t="str">
        <f t="shared" si="80"/>
        <v/>
      </c>
      <c r="K88" s="237" t="str">
        <f>IF(ISBLANK(F88),,Config!$C$3&amp;"&amp;range=BB"&amp;MATCH(F88,FRG!AC:AC,0))</f>
        <v/>
      </c>
      <c r="M88" s="243" t="str">
        <f>IFERROR(__xludf.DUMMYFUNCTION("IF(ISBLANK(F88),,SUBSTITUTE(IFERROR(JOIN("","",F88:K88),JOIN("","",F88:J88)),CHAR(10),""""))"),"")</f>
        <v/>
      </c>
      <c r="N88" s="229" t="str">
        <f t="shared" si="1"/>
        <v/>
      </c>
    </row>
    <row r="89">
      <c r="F89" s="237"/>
      <c r="G89" s="238" t="str">
        <f t="shared" si="3"/>
        <v/>
      </c>
      <c r="H89" s="238" t="str">
        <f t="shared" si="4"/>
        <v/>
      </c>
      <c r="I89" s="237" t="str">
        <f t="shared" ref="I89:J89" si="81">IF(ISBLANK(C89),,""""&amp;C89&amp;"""")</f>
        <v/>
      </c>
      <c r="J89" s="237" t="str">
        <f t="shared" si="81"/>
        <v/>
      </c>
      <c r="K89" s="237" t="str">
        <f>IF(ISBLANK(F89),,Config!$C$3&amp;"&amp;range=BB"&amp;MATCH(F89,FRG!AC:AC,0))</f>
        <v/>
      </c>
      <c r="M89" s="243" t="str">
        <f>IFERROR(__xludf.DUMMYFUNCTION("IF(ISBLANK(F89),,SUBSTITUTE(IFERROR(JOIN("","",F89:K89),JOIN("","",F89:J89)),CHAR(10),""""))"),"")</f>
        <v/>
      </c>
      <c r="N89" s="229" t="str">
        <f t="shared" si="1"/>
        <v/>
      </c>
    </row>
    <row r="90">
      <c r="F90" s="237"/>
      <c r="G90" s="238" t="str">
        <f t="shared" si="3"/>
        <v/>
      </c>
      <c r="H90" s="238" t="str">
        <f t="shared" si="4"/>
        <v/>
      </c>
      <c r="I90" s="237" t="str">
        <f t="shared" ref="I90:J90" si="82">IF(ISBLANK(C90),,""""&amp;C90&amp;"""")</f>
        <v/>
      </c>
      <c r="J90" s="237" t="str">
        <f t="shared" si="82"/>
        <v/>
      </c>
      <c r="K90" s="237" t="str">
        <f>IF(ISBLANK(F90),,Config!$C$3&amp;"&amp;range=BB"&amp;MATCH(F90,FRG!AC:AC,0))</f>
        <v/>
      </c>
      <c r="M90" s="243" t="str">
        <f>IFERROR(__xludf.DUMMYFUNCTION("IF(ISBLANK(F90),,SUBSTITUTE(IFERROR(JOIN("","",F90:K90),JOIN("","",F90:J90)),CHAR(10),""""))"),"")</f>
        <v/>
      </c>
      <c r="N90" s="229" t="str">
        <f t="shared" si="1"/>
        <v/>
      </c>
    </row>
    <row r="91">
      <c r="F91" s="237"/>
      <c r="G91" s="238" t="str">
        <f t="shared" si="3"/>
        <v/>
      </c>
      <c r="H91" s="238" t="str">
        <f t="shared" si="4"/>
        <v/>
      </c>
      <c r="I91" s="237" t="str">
        <f t="shared" ref="I91:J91" si="83">IF(ISBLANK(C91),,""""&amp;C91&amp;"""")</f>
        <v/>
      </c>
      <c r="J91" s="237" t="str">
        <f t="shared" si="83"/>
        <v/>
      </c>
      <c r="K91" s="237" t="str">
        <f>IF(ISBLANK(F91),,Config!$C$3&amp;"&amp;range=BB"&amp;MATCH(F91,FRG!AC:AC,0))</f>
        <v/>
      </c>
      <c r="M91" s="243" t="str">
        <f>IFERROR(__xludf.DUMMYFUNCTION("IF(ISBLANK(F91),,SUBSTITUTE(IFERROR(JOIN("","",F91:K91),JOIN("","",F91:J91)),CHAR(10),""""))"),"")</f>
        <v/>
      </c>
      <c r="N91" s="229" t="str">
        <f t="shared" si="1"/>
        <v/>
      </c>
    </row>
    <row r="92">
      <c r="F92" s="237"/>
      <c r="G92" s="238" t="str">
        <f t="shared" si="3"/>
        <v/>
      </c>
      <c r="H92" s="238" t="str">
        <f t="shared" si="4"/>
        <v/>
      </c>
      <c r="I92" s="237" t="str">
        <f t="shared" ref="I92:J92" si="84">IF(ISBLANK(C92),,""""&amp;C92&amp;"""")</f>
        <v/>
      </c>
      <c r="J92" s="237" t="str">
        <f t="shared" si="84"/>
        <v/>
      </c>
      <c r="K92" s="237" t="str">
        <f>IF(ISBLANK(F92),,Config!$C$3&amp;"&amp;range=BB"&amp;MATCH(F92,FRG!AC:AC,0))</f>
        <v/>
      </c>
      <c r="M92" s="243" t="str">
        <f>IFERROR(__xludf.DUMMYFUNCTION("IF(ISBLANK(F92),,SUBSTITUTE(IFERROR(JOIN("","",F92:K92),JOIN("","",F92:J92)),CHAR(10),""""))"),"")</f>
        <v/>
      </c>
      <c r="N92" s="229" t="str">
        <f t="shared" si="1"/>
        <v/>
      </c>
    </row>
    <row r="93">
      <c r="F93" s="237"/>
      <c r="G93" s="238" t="str">
        <f t="shared" si="3"/>
        <v/>
      </c>
      <c r="H93" s="238" t="str">
        <f t="shared" si="4"/>
        <v/>
      </c>
      <c r="I93" s="237" t="str">
        <f t="shared" ref="I93:J93" si="85">IF(ISBLANK(C93),,""""&amp;C93&amp;"""")</f>
        <v/>
      </c>
      <c r="J93" s="237" t="str">
        <f t="shared" si="85"/>
        <v/>
      </c>
      <c r="K93" s="237" t="str">
        <f>IF(ISBLANK(F93),,Config!$C$3&amp;"&amp;range=BB"&amp;MATCH(F93,FRG!AC:AC,0))</f>
        <v/>
      </c>
      <c r="M93" s="243" t="str">
        <f>IFERROR(__xludf.DUMMYFUNCTION("IF(ISBLANK(F93),,SUBSTITUTE(IFERROR(JOIN("","",F93:K93),JOIN("","",F93:J93)),CHAR(10),""""))"),"")</f>
        <v/>
      </c>
      <c r="N93" s="229" t="str">
        <f t="shared" si="1"/>
        <v/>
      </c>
    </row>
    <row r="94">
      <c r="F94" s="237"/>
      <c r="G94" s="238" t="str">
        <f t="shared" si="3"/>
        <v/>
      </c>
      <c r="H94" s="238" t="str">
        <f t="shared" si="4"/>
        <v/>
      </c>
      <c r="I94" s="237" t="str">
        <f t="shared" ref="I94:J94" si="86">IF(ISBLANK(C94),,""""&amp;C94&amp;"""")</f>
        <v/>
      </c>
      <c r="J94" s="237" t="str">
        <f t="shared" si="86"/>
        <v/>
      </c>
      <c r="K94" s="237" t="str">
        <f>IF(ISBLANK(F94),,Config!$C$3&amp;"&amp;range=BB"&amp;MATCH(F94,FRG!AC:AC,0))</f>
        <v/>
      </c>
      <c r="M94" s="243" t="str">
        <f>IFERROR(__xludf.DUMMYFUNCTION("IF(ISBLANK(F94),,SUBSTITUTE(IFERROR(JOIN("","",F94:K94),JOIN("","",F94:J94)),CHAR(10),""""))"),"")</f>
        <v/>
      </c>
      <c r="N94" s="229" t="str">
        <f t="shared" si="1"/>
        <v/>
      </c>
    </row>
    <row r="95">
      <c r="F95" s="237"/>
      <c r="G95" s="238" t="str">
        <f t="shared" si="3"/>
        <v/>
      </c>
      <c r="H95" s="238" t="str">
        <f t="shared" si="4"/>
        <v/>
      </c>
      <c r="I95" s="237" t="str">
        <f t="shared" ref="I95:J95" si="87">IF(ISBLANK(C95),,""""&amp;C95&amp;"""")</f>
        <v/>
      </c>
      <c r="J95" s="237" t="str">
        <f t="shared" si="87"/>
        <v/>
      </c>
      <c r="K95" s="237" t="str">
        <f>IF(ISBLANK(F95),,Config!$C$3&amp;"&amp;range=BB"&amp;MATCH(F95,FRG!AC:AC,0))</f>
        <v/>
      </c>
      <c r="M95" s="243" t="str">
        <f>IFERROR(__xludf.DUMMYFUNCTION("IF(ISBLANK(F95),,SUBSTITUTE(IFERROR(JOIN("","",F95:K95),JOIN("","",F95:J95)),CHAR(10),""""))"),"")</f>
        <v/>
      </c>
      <c r="N95" s="229" t="str">
        <f t="shared" si="1"/>
        <v/>
      </c>
    </row>
    <row r="96">
      <c r="F96" s="237"/>
      <c r="G96" s="238" t="str">
        <f t="shared" si="3"/>
        <v/>
      </c>
      <c r="H96" s="238" t="str">
        <f t="shared" si="4"/>
        <v/>
      </c>
      <c r="I96" s="237" t="str">
        <f t="shared" ref="I96:J96" si="88">IF(ISBLANK(C96),,""""&amp;C96&amp;"""")</f>
        <v/>
      </c>
      <c r="J96" s="237" t="str">
        <f t="shared" si="88"/>
        <v/>
      </c>
      <c r="K96" s="237" t="str">
        <f>IF(ISBLANK(F96),,Config!$C$3&amp;"&amp;range=BB"&amp;MATCH(F96,FRG!AC:AC,0))</f>
        <v/>
      </c>
      <c r="M96" s="243" t="str">
        <f>IFERROR(__xludf.DUMMYFUNCTION("IF(ISBLANK(F96),,SUBSTITUTE(IFERROR(JOIN("","",F96:K96),JOIN("","",F96:J96)),CHAR(10),""""))"),"")</f>
        <v/>
      </c>
      <c r="N96" s="229" t="str">
        <f t="shared" si="1"/>
        <v/>
      </c>
    </row>
    <row r="97">
      <c r="F97" s="237"/>
      <c r="G97" s="238" t="str">
        <f t="shared" si="3"/>
        <v/>
      </c>
      <c r="H97" s="238" t="str">
        <f t="shared" si="4"/>
        <v/>
      </c>
      <c r="I97" s="237" t="str">
        <f t="shared" ref="I97:J97" si="89">IF(ISBLANK(C97),,""""&amp;C97&amp;"""")</f>
        <v/>
      </c>
      <c r="J97" s="237" t="str">
        <f t="shared" si="89"/>
        <v/>
      </c>
      <c r="K97" s="237" t="str">
        <f>IF(ISBLANK(F97),,Config!$C$3&amp;"&amp;range=BB"&amp;MATCH(F97,FRG!AC:AC,0))</f>
        <v/>
      </c>
      <c r="M97" s="243" t="str">
        <f>IFERROR(__xludf.DUMMYFUNCTION("IF(ISBLANK(F97),,SUBSTITUTE(IFERROR(JOIN("","",F97:K97),JOIN("","",F97:J97)),CHAR(10),""""))"),"")</f>
        <v/>
      </c>
      <c r="N97" s="229" t="str">
        <f t="shared" si="1"/>
        <v/>
      </c>
    </row>
    <row r="98">
      <c r="F98" s="237"/>
      <c r="G98" s="238" t="str">
        <f t="shared" si="3"/>
        <v/>
      </c>
      <c r="H98" s="238" t="str">
        <f t="shared" si="4"/>
        <v/>
      </c>
      <c r="I98" s="237" t="str">
        <f t="shared" ref="I98:J98" si="90">IF(ISBLANK(C98),,""""&amp;C98&amp;"""")</f>
        <v/>
      </c>
      <c r="J98" s="237" t="str">
        <f t="shared" si="90"/>
        <v/>
      </c>
      <c r="K98" s="237" t="str">
        <f>IF(ISBLANK(F98),,Config!$C$3&amp;"&amp;range=BB"&amp;MATCH(F98,FRG!AC:AC,0))</f>
        <v/>
      </c>
      <c r="M98" s="243" t="str">
        <f>IFERROR(__xludf.DUMMYFUNCTION("IF(ISBLANK(F98),,SUBSTITUTE(IFERROR(JOIN("","",F98:K98),JOIN("","",F98:J98)),CHAR(10),""""))"),"")</f>
        <v/>
      </c>
      <c r="N98" s="229" t="str">
        <f t="shared" si="1"/>
        <v/>
      </c>
    </row>
    <row r="99">
      <c r="F99" s="237"/>
      <c r="G99" s="238" t="str">
        <f t="shared" si="3"/>
        <v/>
      </c>
      <c r="H99" s="238" t="str">
        <f t="shared" si="4"/>
        <v/>
      </c>
      <c r="I99" s="237" t="str">
        <f t="shared" ref="I99:J99" si="91">IF(ISBLANK(C99),,""""&amp;C99&amp;"""")</f>
        <v/>
      </c>
      <c r="J99" s="237" t="str">
        <f t="shared" si="91"/>
        <v/>
      </c>
      <c r="K99" s="237" t="str">
        <f>IF(ISBLANK(F99),,Config!$C$3&amp;"&amp;range=BB"&amp;MATCH(F99,FRG!AC:AC,0))</f>
        <v/>
      </c>
      <c r="M99" s="243" t="str">
        <f>IFERROR(__xludf.DUMMYFUNCTION("IF(ISBLANK(F99),,SUBSTITUTE(IFERROR(JOIN("","",F99:K99),JOIN("","",F99:J99)),CHAR(10),""""))"),"")</f>
        <v/>
      </c>
      <c r="N99" s="229" t="str">
        <f t="shared" si="1"/>
        <v/>
      </c>
    </row>
    <row r="100">
      <c r="F100" s="237"/>
      <c r="G100" s="238" t="str">
        <f t="shared" si="3"/>
        <v/>
      </c>
      <c r="H100" s="238" t="str">
        <f t="shared" si="4"/>
        <v/>
      </c>
      <c r="I100" s="237" t="str">
        <f t="shared" ref="I100:J100" si="92">IF(ISBLANK(C100),,""""&amp;C100&amp;"""")</f>
        <v/>
      </c>
      <c r="J100" s="237" t="str">
        <f t="shared" si="92"/>
        <v/>
      </c>
      <c r="K100" s="237" t="str">
        <f>IF(ISBLANK(F100),,Config!$C$3&amp;"&amp;range=BB"&amp;MATCH(F100,FRG!AC:AC,0))</f>
        <v/>
      </c>
      <c r="M100" s="243" t="str">
        <f>IFERROR(__xludf.DUMMYFUNCTION("IF(ISBLANK(F100),,SUBSTITUTE(IFERROR(JOIN("","",F100:K100),JOIN("","",F100:J100)),CHAR(10),""""))"),"")</f>
        <v/>
      </c>
      <c r="N100" s="229" t="str">
        <f t="shared" si="1"/>
        <v/>
      </c>
    </row>
    <row r="101">
      <c r="F101" s="237"/>
      <c r="G101" s="238" t="str">
        <f t="shared" si="3"/>
        <v/>
      </c>
      <c r="H101" s="238" t="str">
        <f t="shared" si="4"/>
        <v/>
      </c>
      <c r="I101" s="237" t="str">
        <f t="shared" ref="I101:J101" si="93">IF(ISBLANK(C101),,""""&amp;C101&amp;"""")</f>
        <v/>
      </c>
      <c r="J101" s="237" t="str">
        <f t="shared" si="93"/>
        <v/>
      </c>
      <c r="K101" s="237" t="str">
        <f>IF(ISBLANK(F101),,Config!$C$3&amp;"&amp;range=BB"&amp;MATCH(F101,FRG!AC:AC,0))</f>
        <v/>
      </c>
      <c r="M101" s="243" t="str">
        <f>IFERROR(__xludf.DUMMYFUNCTION("IF(ISBLANK(F101),,SUBSTITUTE(IFERROR(JOIN("","",F101:K101),JOIN("","",F101:J101)),CHAR(10),""""))"),"")</f>
        <v/>
      </c>
      <c r="N101" s="229" t="str">
        <f t="shared" si="1"/>
        <v/>
      </c>
    </row>
    <row r="102">
      <c r="F102" s="237"/>
      <c r="G102" s="238" t="str">
        <f t="shared" si="3"/>
        <v/>
      </c>
      <c r="H102" s="238" t="str">
        <f t="shared" si="4"/>
        <v/>
      </c>
      <c r="I102" s="237" t="str">
        <f t="shared" ref="I102:J102" si="94">IF(ISBLANK(C102),,""""&amp;C102&amp;"""")</f>
        <v/>
      </c>
      <c r="J102" s="237" t="str">
        <f t="shared" si="94"/>
        <v/>
      </c>
      <c r="K102" s="237" t="str">
        <f>IF(ISBLANK(F102),,Config!$C$3&amp;"&amp;range=BB"&amp;MATCH(F102,FRG!AC:AC,0))</f>
        <v/>
      </c>
      <c r="M102" s="243" t="str">
        <f>IFERROR(__xludf.DUMMYFUNCTION("IF(ISBLANK(F102),,SUBSTITUTE(IFERROR(JOIN("","",F102:K102),JOIN("","",F102:J102)),CHAR(10),""""))"),"")</f>
        <v/>
      </c>
      <c r="N102" s="229" t="str">
        <f t="shared" si="1"/>
        <v/>
      </c>
    </row>
    <row r="103">
      <c r="F103" s="237"/>
      <c r="G103" s="238" t="str">
        <f t="shared" si="3"/>
        <v/>
      </c>
      <c r="H103" s="238" t="str">
        <f t="shared" si="4"/>
        <v/>
      </c>
      <c r="I103" s="237" t="str">
        <f t="shared" ref="I103:J103" si="95">IF(ISBLANK(C103),,""""&amp;C103&amp;"""")</f>
        <v/>
      </c>
      <c r="J103" s="237" t="str">
        <f t="shared" si="95"/>
        <v/>
      </c>
      <c r="K103" s="237" t="str">
        <f>IF(ISBLANK(F103),,Config!$C$3&amp;"&amp;range=BB"&amp;MATCH(F103,FRG!AC:AC,0))</f>
        <v/>
      </c>
      <c r="M103" s="243" t="str">
        <f>IFERROR(__xludf.DUMMYFUNCTION("IF(ISBLANK(F103),,SUBSTITUTE(IFERROR(JOIN("","",F103:K103),JOIN("","",F103:J103)),CHAR(10),""""))"),"")</f>
        <v/>
      </c>
      <c r="N103" s="229" t="str">
        <f t="shared" si="1"/>
        <v/>
      </c>
    </row>
    <row r="104">
      <c r="F104" s="237"/>
      <c r="G104" s="238" t="str">
        <f t="shared" si="3"/>
        <v/>
      </c>
      <c r="H104" s="238" t="str">
        <f t="shared" si="4"/>
        <v/>
      </c>
      <c r="I104" s="237" t="str">
        <f t="shared" ref="I104:J104" si="96">IF(ISBLANK(C104),,""""&amp;C104&amp;"""")</f>
        <v/>
      </c>
      <c r="J104" s="237" t="str">
        <f t="shared" si="96"/>
        <v/>
      </c>
      <c r="K104" s="237" t="str">
        <f>IF(ISBLANK(F104),,Config!$C$3&amp;"&amp;range=BB"&amp;MATCH(F104,FRG!AC:AC,0))</f>
        <v/>
      </c>
      <c r="M104" s="243" t="str">
        <f>IFERROR(__xludf.DUMMYFUNCTION("IF(ISBLANK(F104),,SUBSTITUTE(IFERROR(JOIN("","",F104:K104),JOIN("","",F104:J104)),CHAR(10),""""))"),"")</f>
        <v/>
      </c>
      <c r="N104" s="229" t="str">
        <f t="shared" si="1"/>
        <v/>
      </c>
    </row>
    <row r="105">
      <c r="F105" s="237"/>
      <c r="G105" s="238" t="str">
        <f t="shared" si="3"/>
        <v/>
      </c>
      <c r="H105" s="238" t="str">
        <f t="shared" si="4"/>
        <v/>
      </c>
      <c r="I105" s="237" t="str">
        <f t="shared" ref="I105:J105" si="97">IF(ISBLANK(C105),,""""&amp;C105&amp;"""")</f>
        <v/>
      </c>
      <c r="J105" s="237" t="str">
        <f t="shared" si="97"/>
        <v/>
      </c>
      <c r="K105" s="237" t="str">
        <f>IF(ISBLANK(F105),,Config!$C$3&amp;"&amp;range=BB"&amp;MATCH(F105,FRG!AC:AC,0))</f>
        <v/>
      </c>
      <c r="M105" s="243" t="str">
        <f>IFERROR(__xludf.DUMMYFUNCTION("IF(ISBLANK(F105),,SUBSTITUTE(IFERROR(JOIN("","",F105:K105),JOIN("","",F105:J105)),CHAR(10),""""))"),"")</f>
        <v/>
      </c>
      <c r="N105" s="229" t="str">
        <f t="shared" si="1"/>
        <v/>
      </c>
    </row>
    <row r="106">
      <c r="F106" s="237"/>
      <c r="G106" s="238" t="str">
        <f t="shared" si="3"/>
        <v/>
      </c>
      <c r="H106" s="238" t="str">
        <f t="shared" si="4"/>
        <v/>
      </c>
      <c r="I106" s="237" t="str">
        <f t="shared" ref="I106:J106" si="98">IF(ISBLANK(C106),,""""&amp;C106&amp;"""")</f>
        <v/>
      </c>
      <c r="J106" s="237" t="str">
        <f t="shared" si="98"/>
        <v/>
      </c>
      <c r="K106" s="237" t="str">
        <f>IF(ISBLANK(F106),,Config!$C$3&amp;"&amp;range=BB"&amp;MATCH(F106,FRG!AC:AC,0))</f>
        <v/>
      </c>
      <c r="M106" s="243" t="str">
        <f>IFERROR(__xludf.DUMMYFUNCTION("IF(ISBLANK(F106),,SUBSTITUTE(IFERROR(JOIN("","",F106:K106),JOIN("","",F106:J106)),CHAR(10),""""))"),"")</f>
        <v/>
      </c>
      <c r="N106" s="229" t="str">
        <f t="shared" si="1"/>
        <v/>
      </c>
    </row>
    <row r="107">
      <c r="F107" s="237"/>
      <c r="G107" s="238" t="str">
        <f t="shared" si="3"/>
        <v/>
      </c>
      <c r="H107" s="238" t="str">
        <f t="shared" si="4"/>
        <v/>
      </c>
      <c r="I107" s="237" t="str">
        <f t="shared" ref="I107:J107" si="99">IF(ISBLANK(C107),,""""&amp;C107&amp;"""")</f>
        <v/>
      </c>
      <c r="J107" s="237" t="str">
        <f t="shared" si="99"/>
        <v/>
      </c>
      <c r="K107" s="237" t="str">
        <f>IF(ISBLANK(F107),,Config!$C$3&amp;"&amp;range=BB"&amp;MATCH(F107,FRG!AC:AC,0))</f>
        <v/>
      </c>
      <c r="M107" s="243" t="str">
        <f>IFERROR(__xludf.DUMMYFUNCTION("IF(ISBLANK(F107),,SUBSTITUTE(IFERROR(JOIN("","",F107:K107),JOIN("","",F107:J107)),CHAR(10),""""))"),"")</f>
        <v/>
      </c>
      <c r="N107" s="229" t="str">
        <f t="shared" si="1"/>
        <v/>
      </c>
    </row>
    <row r="108">
      <c r="F108" s="237"/>
      <c r="G108" s="238" t="str">
        <f t="shared" si="3"/>
        <v/>
      </c>
      <c r="H108" s="238" t="str">
        <f t="shared" si="4"/>
        <v/>
      </c>
      <c r="I108" s="237" t="str">
        <f t="shared" ref="I108:J108" si="100">IF(ISBLANK(C108),,""""&amp;C108&amp;"""")</f>
        <v/>
      </c>
      <c r="J108" s="237" t="str">
        <f t="shared" si="100"/>
        <v/>
      </c>
      <c r="K108" s="237" t="str">
        <f>IF(ISBLANK(F108),,Config!$C$3&amp;"&amp;range=BB"&amp;MATCH(F108,FRG!AC:AC,0))</f>
        <v/>
      </c>
      <c r="M108" s="243" t="str">
        <f>IFERROR(__xludf.DUMMYFUNCTION("IF(ISBLANK(F108),,SUBSTITUTE(IFERROR(JOIN("","",F108:K108),JOIN("","",F108:J108)),CHAR(10),""""))"),"")</f>
        <v/>
      </c>
      <c r="N108" s="229" t="str">
        <f t="shared" si="1"/>
        <v/>
      </c>
    </row>
    <row r="109">
      <c r="F109" s="237"/>
      <c r="G109" s="238" t="str">
        <f t="shared" si="3"/>
        <v/>
      </c>
      <c r="H109" s="238" t="str">
        <f t="shared" si="4"/>
        <v/>
      </c>
      <c r="I109" s="237" t="str">
        <f t="shared" ref="I109:J109" si="101">IF(ISBLANK(C109),,""""&amp;C109&amp;"""")</f>
        <v/>
      </c>
      <c r="J109" s="237" t="str">
        <f t="shared" si="101"/>
        <v/>
      </c>
      <c r="K109" s="237" t="str">
        <f>IF(ISBLANK(F109),,Config!$C$3&amp;"&amp;range=BB"&amp;MATCH(F109,FRG!AC:AC,0))</f>
        <v/>
      </c>
      <c r="M109" s="243" t="str">
        <f>IFERROR(__xludf.DUMMYFUNCTION("IF(ISBLANK(F109),,SUBSTITUTE(IFERROR(JOIN("","",F109:K109),JOIN("","",F109:J109)),CHAR(10),""""))"),"")</f>
        <v/>
      </c>
      <c r="N109" s="229" t="str">
        <f t="shared" si="1"/>
        <v/>
      </c>
    </row>
    <row r="110">
      <c r="F110" s="237"/>
      <c r="G110" s="238" t="str">
        <f t="shared" si="3"/>
        <v/>
      </c>
      <c r="H110" s="238" t="str">
        <f t="shared" si="4"/>
        <v/>
      </c>
      <c r="I110" s="237" t="str">
        <f t="shared" ref="I110:J110" si="102">IF(ISBLANK(C110),,""""&amp;C110&amp;"""")</f>
        <v/>
      </c>
      <c r="J110" s="237" t="str">
        <f t="shared" si="102"/>
        <v/>
      </c>
      <c r="K110" s="237" t="str">
        <f>IF(ISBLANK(F110),,Config!$C$3&amp;"&amp;range=BB"&amp;MATCH(F110,FRG!AC:AC,0))</f>
        <v/>
      </c>
      <c r="M110" s="243" t="str">
        <f>IFERROR(__xludf.DUMMYFUNCTION("IF(ISBLANK(F110),,SUBSTITUTE(IFERROR(JOIN("","",F110:K110),JOIN("","",F110:J110)),CHAR(10),""""))"),"")</f>
        <v/>
      </c>
      <c r="N110" s="229" t="str">
        <f t="shared" si="1"/>
        <v/>
      </c>
    </row>
    <row r="111">
      <c r="F111" s="237"/>
      <c r="G111" s="238" t="str">
        <f t="shared" si="3"/>
        <v/>
      </c>
      <c r="H111" s="238" t="str">
        <f t="shared" si="4"/>
        <v/>
      </c>
      <c r="I111" s="237" t="str">
        <f t="shared" ref="I111:J111" si="103">IF(ISBLANK(C111),,""""&amp;C111&amp;"""")</f>
        <v/>
      </c>
      <c r="J111" s="237" t="str">
        <f t="shared" si="103"/>
        <v/>
      </c>
      <c r="K111" s="237" t="str">
        <f>IF(ISBLANK(F111),,Config!$C$3&amp;"&amp;range=BB"&amp;MATCH(F111,FRG!AC:AC,0))</f>
        <v/>
      </c>
      <c r="M111" s="243" t="str">
        <f>IFERROR(__xludf.DUMMYFUNCTION("IF(ISBLANK(F111),,SUBSTITUTE(IFERROR(JOIN("","",F111:K111),JOIN("","",F111:J111)),CHAR(10),""""))"),"")</f>
        <v/>
      </c>
      <c r="N111" s="229" t="str">
        <f t="shared" si="1"/>
        <v/>
      </c>
    </row>
    <row r="112">
      <c r="F112" s="237"/>
      <c r="G112" s="238" t="str">
        <f t="shared" si="3"/>
        <v/>
      </c>
      <c r="H112" s="238" t="str">
        <f t="shared" si="4"/>
        <v/>
      </c>
      <c r="I112" s="237" t="str">
        <f t="shared" ref="I112:J112" si="104">IF(ISBLANK(C112),,""""&amp;C112&amp;"""")</f>
        <v/>
      </c>
      <c r="J112" s="237" t="str">
        <f t="shared" si="104"/>
        <v/>
      </c>
      <c r="K112" s="237" t="str">
        <f>IF(ISBLANK(F112),,Config!$C$3&amp;"&amp;range=BB"&amp;MATCH(F112,FRG!AC:AC,0))</f>
        <v/>
      </c>
      <c r="M112" s="243" t="str">
        <f>IFERROR(__xludf.DUMMYFUNCTION("IF(ISBLANK(F112),,SUBSTITUTE(IFERROR(JOIN("","",F112:K112),JOIN("","",F112:J112)),CHAR(10),""""))"),"")</f>
        <v/>
      </c>
      <c r="N112" s="229" t="str">
        <f t="shared" si="1"/>
        <v/>
      </c>
    </row>
    <row r="113">
      <c r="F113" s="237"/>
      <c r="G113" s="238" t="str">
        <f t="shared" si="3"/>
        <v/>
      </c>
      <c r="H113" s="238" t="str">
        <f t="shared" si="4"/>
        <v/>
      </c>
      <c r="I113" s="237" t="str">
        <f t="shared" ref="I113:J113" si="105">IF(ISBLANK(C113),,""""&amp;C113&amp;"""")</f>
        <v/>
      </c>
      <c r="J113" s="237" t="str">
        <f t="shared" si="105"/>
        <v/>
      </c>
      <c r="K113" s="237" t="str">
        <f>IF(ISBLANK(F113),,Config!$C$3&amp;"&amp;range=BB"&amp;MATCH(F113,FRG!AC:AC,0))</f>
        <v/>
      </c>
      <c r="M113" s="243" t="str">
        <f>IFERROR(__xludf.DUMMYFUNCTION("IF(ISBLANK(F113),,SUBSTITUTE(IFERROR(JOIN("","",F113:K113),JOIN("","",F113:J113)),CHAR(10),""""))"),"")</f>
        <v/>
      </c>
      <c r="N113" s="229" t="str">
        <f t="shared" si="1"/>
        <v/>
      </c>
    </row>
    <row r="114">
      <c r="F114" s="237"/>
      <c r="G114" s="238" t="str">
        <f t="shared" si="3"/>
        <v/>
      </c>
      <c r="H114" s="238" t="str">
        <f t="shared" si="4"/>
        <v/>
      </c>
      <c r="I114" s="237" t="str">
        <f t="shared" ref="I114:J114" si="106">IF(ISBLANK(C114),,""""&amp;C114&amp;"""")</f>
        <v/>
      </c>
      <c r="J114" s="237" t="str">
        <f t="shared" si="106"/>
        <v/>
      </c>
      <c r="K114" s="237" t="str">
        <f>IF(ISBLANK(F114),,Config!$C$3&amp;"&amp;range=BB"&amp;MATCH(F114,FRG!AC:AC,0))</f>
        <v/>
      </c>
      <c r="M114" s="243" t="str">
        <f>IFERROR(__xludf.DUMMYFUNCTION("IF(ISBLANK(F114),,SUBSTITUTE(IFERROR(JOIN("","",F114:K114),JOIN("","",F114:J114)),CHAR(10),""""))"),"")</f>
        <v/>
      </c>
      <c r="N114" s="229" t="str">
        <f t="shared" si="1"/>
        <v/>
      </c>
    </row>
    <row r="115">
      <c r="F115" s="237"/>
      <c r="G115" s="238" t="str">
        <f t="shared" si="3"/>
        <v/>
      </c>
      <c r="H115" s="238" t="str">
        <f t="shared" si="4"/>
        <v/>
      </c>
      <c r="I115" s="237" t="str">
        <f t="shared" ref="I115:J115" si="107">IF(ISBLANK(C115),,""""&amp;C115&amp;"""")</f>
        <v/>
      </c>
      <c r="J115" s="237" t="str">
        <f t="shared" si="107"/>
        <v/>
      </c>
      <c r="K115" s="237" t="str">
        <f>IF(ISBLANK(F115),,Config!$C$3&amp;"&amp;range=BB"&amp;MATCH(F115,FRG!AC:AC,0))</f>
        <v/>
      </c>
      <c r="M115" s="243" t="str">
        <f>IFERROR(__xludf.DUMMYFUNCTION("IF(ISBLANK(F115),,SUBSTITUTE(IFERROR(JOIN("","",F115:K115),JOIN("","",F115:J115)),CHAR(10),""""))"),"")</f>
        <v/>
      </c>
      <c r="N115" s="229" t="str">
        <f t="shared" si="1"/>
        <v/>
      </c>
    </row>
    <row r="116">
      <c r="F116" s="237"/>
      <c r="G116" s="238" t="str">
        <f t="shared" si="3"/>
        <v/>
      </c>
      <c r="H116" s="238" t="str">
        <f t="shared" si="4"/>
        <v/>
      </c>
      <c r="I116" s="237" t="str">
        <f t="shared" ref="I116:J116" si="108">IF(ISBLANK(C116),,""""&amp;C116&amp;"""")</f>
        <v/>
      </c>
      <c r="J116" s="237" t="str">
        <f t="shared" si="108"/>
        <v/>
      </c>
      <c r="K116" s="237" t="str">
        <f>IF(ISBLANK(F116),,Config!$C$3&amp;"&amp;range=BB"&amp;MATCH(F116,FRG!AC:AC,0))</f>
        <v/>
      </c>
      <c r="M116" s="243" t="str">
        <f>IFERROR(__xludf.DUMMYFUNCTION("IF(ISBLANK(F116),,SUBSTITUTE(IFERROR(JOIN("","",F116:K116),JOIN("","",F116:J116)),CHAR(10),""""))"),"")</f>
        <v/>
      </c>
      <c r="N116" s="229" t="str">
        <f t="shared" si="1"/>
        <v/>
      </c>
    </row>
    <row r="117">
      <c r="F117" s="237"/>
      <c r="G117" s="238" t="str">
        <f t="shared" si="3"/>
        <v/>
      </c>
      <c r="H117" s="238" t="str">
        <f t="shared" si="4"/>
        <v/>
      </c>
      <c r="I117" s="237" t="str">
        <f t="shared" ref="I117:J117" si="109">IF(ISBLANK(C117),,""""&amp;C117&amp;"""")</f>
        <v/>
      </c>
      <c r="J117" s="237" t="str">
        <f t="shared" si="109"/>
        <v/>
      </c>
      <c r="K117" s="237" t="str">
        <f>IF(ISBLANK(F117),,Config!$C$3&amp;"&amp;range=BB"&amp;MATCH(F117,FRG!AC:AC,0))</f>
        <v/>
      </c>
      <c r="M117" s="243" t="str">
        <f>IFERROR(__xludf.DUMMYFUNCTION("IF(ISBLANK(F117),,SUBSTITUTE(IFERROR(JOIN("","",F117:K117),JOIN("","",F117:J117)),CHAR(10),""""))"),"")</f>
        <v/>
      </c>
      <c r="N117" s="229" t="str">
        <f t="shared" si="1"/>
        <v/>
      </c>
    </row>
    <row r="118">
      <c r="F118" s="237"/>
      <c r="G118" s="238" t="str">
        <f t="shared" si="3"/>
        <v/>
      </c>
      <c r="H118" s="238" t="str">
        <f t="shared" si="4"/>
        <v/>
      </c>
      <c r="I118" s="237" t="str">
        <f t="shared" ref="I118:J118" si="110">IF(ISBLANK(C118),,""""&amp;C118&amp;"""")</f>
        <v/>
      </c>
      <c r="J118" s="237" t="str">
        <f t="shared" si="110"/>
        <v/>
      </c>
      <c r="K118" s="237" t="str">
        <f>IF(ISBLANK(F118),,Config!$C$3&amp;"&amp;range=BB"&amp;MATCH(F118,FRG!AC:AC,0))</f>
        <v/>
      </c>
      <c r="M118" s="243" t="str">
        <f>IFERROR(__xludf.DUMMYFUNCTION("IF(ISBLANK(F118),,SUBSTITUTE(IFERROR(JOIN("","",F118:K118),JOIN("","",F118:J118)),CHAR(10),""""))"),"")</f>
        <v/>
      </c>
      <c r="N118" s="229" t="str">
        <f t="shared" si="1"/>
        <v/>
      </c>
    </row>
    <row r="119">
      <c r="F119" s="237"/>
      <c r="G119" s="238" t="str">
        <f t="shared" si="3"/>
        <v/>
      </c>
      <c r="H119" s="238" t="str">
        <f t="shared" si="4"/>
        <v/>
      </c>
      <c r="I119" s="237" t="str">
        <f t="shared" ref="I119:J119" si="111">IF(ISBLANK(C119),,""""&amp;C119&amp;"""")</f>
        <v/>
      </c>
      <c r="J119" s="237" t="str">
        <f t="shared" si="111"/>
        <v/>
      </c>
      <c r="K119" s="237" t="str">
        <f>IF(ISBLANK(F119),,Config!$C$3&amp;"&amp;range=BB"&amp;MATCH(F119,FRG!AC:AC,0))</f>
        <v/>
      </c>
      <c r="M119" s="243" t="str">
        <f>IFERROR(__xludf.DUMMYFUNCTION("IF(ISBLANK(F119),,SUBSTITUTE(IFERROR(JOIN("","",F119:K119),JOIN("","",F119:J119)),CHAR(10),""""))"),"")</f>
        <v/>
      </c>
      <c r="N119" s="229" t="str">
        <f t="shared" si="1"/>
        <v/>
      </c>
    </row>
    <row r="120">
      <c r="F120" s="237"/>
      <c r="G120" s="238" t="str">
        <f t="shared" si="3"/>
        <v/>
      </c>
      <c r="H120" s="238" t="str">
        <f t="shared" si="4"/>
        <v/>
      </c>
      <c r="I120" s="237" t="str">
        <f t="shared" ref="I120:J120" si="112">IF(ISBLANK(C120),,""""&amp;C120&amp;"""")</f>
        <v/>
      </c>
      <c r="J120" s="237" t="str">
        <f t="shared" si="112"/>
        <v/>
      </c>
      <c r="K120" s="237" t="str">
        <f>IF(ISBLANK(F120),,Config!$C$3&amp;"&amp;range=BB"&amp;MATCH(F120,FRG!AC:AC,0))</f>
        <v/>
      </c>
      <c r="M120" s="243" t="str">
        <f>IFERROR(__xludf.DUMMYFUNCTION("IF(ISBLANK(F120),,SUBSTITUTE(IFERROR(JOIN("","",F120:K120),JOIN("","",F120:J120)),CHAR(10),""""))"),"")</f>
        <v/>
      </c>
      <c r="N120" s="229" t="str">
        <f t="shared" si="1"/>
        <v/>
      </c>
    </row>
    <row r="121">
      <c r="F121" s="237"/>
      <c r="G121" s="238" t="str">
        <f t="shared" si="3"/>
        <v/>
      </c>
      <c r="H121" s="238" t="str">
        <f t="shared" si="4"/>
        <v/>
      </c>
      <c r="I121" s="237" t="str">
        <f t="shared" ref="I121:J121" si="113">IF(ISBLANK(C121),,""""&amp;C121&amp;"""")</f>
        <v/>
      </c>
      <c r="J121" s="237" t="str">
        <f t="shared" si="113"/>
        <v/>
      </c>
      <c r="K121" s="237" t="str">
        <f>IF(ISBLANK(F121),,Config!$C$3&amp;"&amp;range=BB"&amp;MATCH(F121,FRG!AC:AC,0))</f>
        <v/>
      </c>
      <c r="M121" s="243" t="str">
        <f>IFERROR(__xludf.DUMMYFUNCTION("IF(ISBLANK(F121),,SUBSTITUTE(IFERROR(JOIN("","",F121:K121),JOIN("","",F121:J121)),CHAR(10),""""))"),"")</f>
        <v/>
      </c>
      <c r="N121" s="229" t="str">
        <f t="shared" si="1"/>
        <v/>
      </c>
    </row>
    <row r="122">
      <c r="F122" s="237"/>
      <c r="G122" s="238" t="str">
        <f t="shared" si="3"/>
        <v/>
      </c>
      <c r="H122" s="238" t="str">
        <f t="shared" si="4"/>
        <v/>
      </c>
      <c r="I122" s="237" t="str">
        <f t="shared" ref="I122:J122" si="114">IF(ISBLANK(C122),,""""&amp;C122&amp;"""")</f>
        <v/>
      </c>
      <c r="J122" s="237" t="str">
        <f t="shared" si="114"/>
        <v/>
      </c>
      <c r="K122" s="237" t="str">
        <f>IF(ISBLANK(F122),,Config!$C$3&amp;"&amp;range=BB"&amp;MATCH(F122,FRG!AC:AC,0))</f>
        <v/>
      </c>
      <c r="M122" s="243" t="str">
        <f>IFERROR(__xludf.DUMMYFUNCTION("IF(ISBLANK(F122),,SUBSTITUTE(IFERROR(JOIN("","",F122:K122),JOIN("","",F122:J122)),CHAR(10),""""))"),"")</f>
        <v/>
      </c>
      <c r="N122" s="229" t="str">
        <f t="shared" si="1"/>
        <v/>
      </c>
    </row>
    <row r="123">
      <c r="F123" s="237"/>
      <c r="G123" s="238" t="str">
        <f t="shared" si="3"/>
        <v/>
      </c>
      <c r="H123" s="238" t="str">
        <f t="shared" si="4"/>
        <v/>
      </c>
      <c r="I123" s="237" t="str">
        <f t="shared" ref="I123:J123" si="115">IF(ISBLANK(C123),,""""&amp;C123&amp;"""")</f>
        <v/>
      </c>
      <c r="J123" s="237" t="str">
        <f t="shared" si="115"/>
        <v/>
      </c>
      <c r="K123" s="237" t="str">
        <f>IF(ISBLANK(F123),,Config!$C$3&amp;"&amp;range=BB"&amp;MATCH(F123,FRG!AC:AC,0))</f>
        <v/>
      </c>
      <c r="M123" s="243" t="str">
        <f>IFERROR(__xludf.DUMMYFUNCTION("IF(ISBLANK(F123),,SUBSTITUTE(IFERROR(JOIN("","",F123:K123),JOIN("","",F123:J123)),CHAR(10),""""))"),"")</f>
        <v/>
      </c>
      <c r="N123" s="229" t="str">
        <f t="shared" si="1"/>
        <v/>
      </c>
    </row>
    <row r="124">
      <c r="F124" s="237"/>
      <c r="G124" s="238" t="str">
        <f t="shared" si="3"/>
        <v/>
      </c>
      <c r="H124" s="238" t="str">
        <f t="shared" si="4"/>
        <v/>
      </c>
      <c r="I124" s="237" t="str">
        <f t="shared" ref="I124:J124" si="116">IF(ISBLANK(C124),,""""&amp;C124&amp;"""")</f>
        <v/>
      </c>
      <c r="J124" s="237" t="str">
        <f t="shared" si="116"/>
        <v/>
      </c>
      <c r="K124" s="237" t="str">
        <f>IF(ISBLANK(F124),,Config!$C$3&amp;"&amp;range=BB"&amp;MATCH(F124,FRG!AC:AC,0))</f>
        <v/>
      </c>
      <c r="M124" s="243" t="str">
        <f>IFERROR(__xludf.DUMMYFUNCTION("IF(ISBLANK(F124),,SUBSTITUTE(IFERROR(JOIN("","",F124:K124),JOIN("","",F124:J124)),CHAR(10),""""))"),"")</f>
        <v/>
      </c>
      <c r="N124" s="229" t="str">
        <f t="shared" si="1"/>
        <v/>
      </c>
    </row>
    <row r="125">
      <c r="F125" s="237"/>
      <c r="G125" s="238" t="str">
        <f t="shared" si="3"/>
        <v/>
      </c>
      <c r="H125" s="238" t="str">
        <f t="shared" si="4"/>
        <v/>
      </c>
      <c r="I125" s="237" t="str">
        <f t="shared" ref="I125:J125" si="117">IF(ISBLANK(C125),,""""&amp;C125&amp;"""")</f>
        <v/>
      </c>
      <c r="J125" s="237" t="str">
        <f t="shared" si="117"/>
        <v/>
      </c>
      <c r="K125" s="237" t="str">
        <f>IF(ISBLANK(F125),,Config!$C$3&amp;"&amp;range=BB"&amp;MATCH(F125,FRG!AC:AC,0))</f>
        <v/>
      </c>
      <c r="M125" s="243" t="str">
        <f>IFERROR(__xludf.DUMMYFUNCTION("IF(ISBLANK(F125),,SUBSTITUTE(IFERROR(JOIN("","",F125:K125),JOIN("","",F125:J125)),CHAR(10),""""))"),"")</f>
        <v/>
      </c>
      <c r="N125" s="229" t="str">
        <f t="shared" si="1"/>
        <v/>
      </c>
    </row>
    <row r="126">
      <c r="F126" s="237"/>
      <c r="G126" s="238" t="str">
        <f t="shared" si="3"/>
        <v/>
      </c>
      <c r="H126" s="238" t="str">
        <f t="shared" si="4"/>
        <v/>
      </c>
      <c r="I126" s="237" t="str">
        <f t="shared" ref="I126:J126" si="118">IF(ISBLANK(C126),,""""&amp;C126&amp;"""")</f>
        <v/>
      </c>
      <c r="J126" s="237" t="str">
        <f t="shared" si="118"/>
        <v/>
      </c>
      <c r="K126" s="237" t="str">
        <f>IF(ISBLANK(F126),,Config!$C$3&amp;"&amp;range=BB"&amp;MATCH(F126,FRG!AC:AC,0))</f>
        <v/>
      </c>
      <c r="M126" s="243" t="str">
        <f>IFERROR(__xludf.DUMMYFUNCTION("IF(ISBLANK(F126),,SUBSTITUTE(IFERROR(JOIN("","",F126:K126),JOIN("","",F126:J126)),CHAR(10),""""))"),"")</f>
        <v/>
      </c>
      <c r="N126" s="229" t="str">
        <f t="shared" si="1"/>
        <v/>
      </c>
    </row>
    <row r="127">
      <c r="F127" s="237"/>
      <c r="G127" s="238" t="str">
        <f t="shared" si="3"/>
        <v/>
      </c>
      <c r="H127" s="238" t="str">
        <f t="shared" si="4"/>
        <v/>
      </c>
      <c r="I127" s="237" t="str">
        <f t="shared" ref="I127:J127" si="119">IF(ISBLANK(C127),,""""&amp;C127&amp;"""")</f>
        <v/>
      </c>
      <c r="J127" s="237" t="str">
        <f t="shared" si="119"/>
        <v/>
      </c>
      <c r="K127" s="237" t="str">
        <f>IF(ISBLANK(F127),,Config!$C$3&amp;"&amp;range=BB"&amp;MATCH(F127,FRG!AC:AC,0))</f>
        <v/>
      </c>
      <c r="M127" s="243" t="str">
        <f>IFERROR(__xludf.DUMMYFUNCTION("IF(ISBLANK(F127),,SUBSTITUTE(IFERROR(JOIN("","",F127:K127),JOIN("","",F127:J127)),CHAR(10),""""))"),"")</f>
        <v/>
      </c>
      <c r="N127" s="229" t="str">
        <f t="shared" si="1"/>
        <v/>
      </c>
    </row>
    <row r="128">
      <c r="F128" s="237"/>
      <c r="G128" s="238" t="str">
        <f t="shared" si="3"/>
        <v/>
      </c>
      <c r="H128" s="238" t="str">
        <f t="shared" si="4"/>
        <v/>
      </c>
      <c r="I128" s="237" t="str">
        <f t="shared" ref="I128:J128" si="120">IF(ISBLANK(C128),,""""&amp;C128&amp;"""")</f>
        <v/>
      </c>
      <c r="J128" s="237" t="str">
        <f t="shared" si="120"/>
        <v/>
      </c>
      <c r="K128" s="237" t="str">
        <f>IF(ISBLANK(F128),,Config!$C$3&amp;"&amp;range=BB"&amp;MATCH(F128,FRG!AC:AC,0))</f>
        <v/>
      </c>
      <c r="M128" s="243" t="str">
        <f>IFERROR(__xludf.DUMMYFUNCTION("IF(ISBLANK(F128),,SUBSTITUTE(IFERROR(JOIN("","",F128:K128),JOIN("","",F128:J128)),CHAR(10),""""))"),"")</f>
        <v/>
      </c>
      <c r="N128" s="229" t="str">
        <f t="shared" si="1"/>
        <v/>
      </c>
    </row>
    <row r="129">
      <c r="F129" s="237"/>
      <c r="G129" s="238" t="str">
        <f t="shared" si="3"/>
        <v/>
      </c>
      <c r="H129" s="238" t="str">
        <f t="shared" si="4"/>
        <v/>
      </c>
      <c r="I129" s="237" t="str">
        <f t="shared" ref="I129:J129" si="121">IF(ISBLANK(C129),,""""&amp;C129&amp;"""")</f>
        <v/>
      </c>
      <c r="J129" s="237" t="str">
        <f t="shared" si="121"/>
        <v/>
      </c>
      <c r="K129" s="237" t="str">
        <f>IF(ISBLANK(F129),,Config!$C$3&amp;"&amp;range=BB"&amp;MATCH(F129,FRG!AC:AC,0))</f>
        <v/>
      </c>
      <c r="M129" s="243" t="str">
        <f>IFERROR(__xludf.DUMMYFUNCTION("IF(ISBLANK(F129),,SUBSTITUTE(IFERROR(JOIN("","",F129:K129),JOIN("","",F129:J129)),CHAR(10),""""))"),"")</f>
        <v/>
      </c>
      <c r="N129" s="229" t="str">
        <f t="shared" si="1"/>
        <v/>
      </c>
    </row>
    <row r="130">
      <c r="F130" s="237"/>
      <c r="G130" s="238" t="str">
        <f t="shared" si="3"/>
        <v/>
      </c>
      <c r="H130" s="238" t="str">
        <f t="shared" si="4"/>
        <v/>
      </c>
      <c r="I130" s="237" t="str">
        <f t="shared" ref="I130:J130" si="122">IF(ISBLANK(C130),,""""&amp;C130&amp;"""")</f>
        <v/>
      </c>
      <c r="J130" s="237" t="str">
        <f t="shared" si="122"/>
        <v/>
      </c>
      <c r="K130" s="237" t="str">
        <f>IF(ISBLANK(F130),,Config!$C$3&amp;"&amp;range=BB"&amp;MATCH(F130,FRG!AC:AC,0))</f>
        <v/>
      </c>
      <c r="M130" s="243" t="str">
        <f>IFERROR(__xludf.DUMMYFUNCTION("IF(ISBLANK(F130),,SUBSTITUTE(IFERROR(JOIN("","",F130:K130),JOIN("","",F130:J130)),CHAR(10),""""))"),"")</f>
        <v/>
      </c>
      <c r="N130" s="229" t="str">
        <f t="shared" si="1"/>
        <v/>
      </c>
    </row>
    <row r="131">
      <c r="F131" s="237"/>
      <c r="G131" s="238" t="str">
        <f t="shared" si="3"/>
        <v/>
      </c>
      <c r="H131" s="238" t="str">
        <f t="shared" si="4"/>
        <v/>
      </c>
      <c r="I131" s="237" t="str">
        <f t="shared" ref="I131:J131" si="123">IF(ISBLANK(C131),,""""&amp;C131&amp;"""")</f>
        <v/>
      </c>
      <c r="J131" s="237" t="str">
        <f t="shared" si="123"/>
        <v/>
      </c>
      <c r="K131" s="237" t="str">
        <f>IF(ISBLANK(F131),,Config!$C$3&amp;"&amp;range=BB"&amp;MATCH(F131,FRG!AC:AC,0))</f>
        <v/>
      </c>
      <c r="M131" s="243" t="str">
        <f>IFERROR(__xludf.DUMMYFUNCTION("IF(ISBLANK(F131),,SUBSTITUTE(IFERROR(JOIN("","",F131:K131),JOIN("","",F131:J131)),CHAR(10),""""))"),"")</f>
        <v/>
      </c>
      <c r="N131" s="229" t="str">
        <f t="shared" si="1"/>
        <v/>
      </c>
    </row>
    <row r="132">
      <c r="F132" s="237"/>
      <c r="G132" s="238" t="str">
        <f t="shared" si="3"/>
        <v/>
      </c>
      <c r="H132" s="238" t="str">
        <f t="shared" si="4"/>
        <v/>
      </c>
      <c r="I132" s="237" t="str">
        <f t="shared" ref="I132:J132" si="124">IF(ISBLANK(C132),,""""&amp;C132&amp;"""")</f>
        <v/>
      </c>
      <c r="J132" s="237" t="str">
        <f t="shared" si="124"/>
        <v/>
      </c>
      <c r="K132" s="237" t="str">
        <f>IF(ISBLANK(F132),,Config!$C$3&amp;"&amp;range=BB"&amp;MATCH(F132,FRG!AC:AC,0))</f>
        <v/>
      </c>
      <c r="M132" s="243" t="str">
        <f>IFERROR(__xludf.DUMMYFUNCTION("IF(ISBLANK(F132),,SUBSTITUTE(IFERROR(JOIN("","",F132:K132),JOIN("","",F132:J132)),CHAR(10),""""))"),"")</f>
        <v/>
      </c>
      <c r="N132" s="229" t="str">
        <f t="shared" si="1"/>
        <v/>
      </c>
    </row>
    <row r="133">
      <c r="F133" s="237"/>
      <c r="G133" s="238" t="str">
        <f t="shared" si="3"/>
        <v/>
      </c>
      <c r="H133" s="238" t="str">
        <f t="shared" si="4"/>
        <v/>
      </c>
      <c r="I133" s="237" t="str">
        <f t="shared" ref="I133:J133" si="125">IF(ISBLANK(C133),,""""&amp;C133&amp;"""")</f>
        <v/>
      </c>
      <c r="J133" s="237" t="str">
        <f t="shared" si="125"/>
        <v/>
      </c>
      <c r="K133" s="237" t="str">
        <f>IF(ISBLANK(F133),,Config!$C$3&amp;"&amp;range=BB"&amp;MATCH(F133,FRG!AC:AC,0))</f>
        <v/>
      </c>
      <c r="M133" s="243" t="str">
        <f>IFERROR(__xludf.DUMMYFUNCTION("IF(ISBLANK(F133),,SUBSTITUTE(IFERROR(JOIN("","",F133:K133),JOIN("","",F133:J133)),CHAR(10),""""))"),"")</f>
        <v/>
      </c>
      <c r="N133" s="229" t="str">
        <f t="shared" si="1"/>
        <v/>
      </c>
    </row>
    <row r="134">
      <c r="F134" s="237"/>
      <c r="G134" s="238" t="str">
        <f t="shared" si="3"/>
        <v/>
      </c>
      <c r="H134" s="238" t="str">
        <f t="shared" si="4"/>
        <v/>
      </c>
      <c r="I134" s="237" t="str">
        <f t="shared" ref="I134:J134" si="126">IF(ISBLANK(C134),,""""&amp;C134&amp;"""")</f>
        <v/>
      </c>
      <c r="J134" s="237" t="str">
        <f t="shared" si="126"/>
        <v/>
      </c>
      <c r="K134" s="237" t="str">
        <f>IF(ISBLANK(F134),,Config!$C$3&amp;"&amp;range=BB"&amp;MATCH(F134,FRG!AC:AC,0))</f>
        <v/>
      </c>
      <c r="M134" s="243" t="str">
        <f>IFERROR(__xludf.DUMMYFUNCTION("IF(ISBLANK(F134),,SUBSTITUTE(IFERROR(JOIN("","",F134:K134),JOIN("","",F134:J134)),CHAR(10),""""))"),"")</f>
        <v/>
      </c>
      <c r="N134" s="229" t="str">
        <f t="shared" si="1"/>
        <v/>
      </c>
    </row>
    <row r="135">
      <c r="F135" s="237"/>
      <c r="G135" s="238" t="str">
        <f t="shared" si="3"/>
        <v/>
      </c>
      <c r="H135" s="238" t="str">
        <f t="shared" si="4"/>
        <v/>
      </c>
      <c r="I135" s="237" t="str">
        <f t="shared" ref="I135:J135" si="127">IF(ISBLANK(C135),,""""&amp;C135&amp;"""")</f>
        <v/>
      </c>
      <c r="J135" s="237" t="str">
        <f t="shared" si="127"/>
        <v/>
      </c>
      <c r="K135" s="237" t="str">
        <f>IF(ISBLANK(F135),,Config!$C$3&amp;"&amp;range=BB"&amp;MATCH(F135,FRG!AC:AC,0))</f>
        <v/>
      </c>
      <c r="M135" s="243" t="str">
        <f>IFERROR(__xludf.DUMMYFUNCTION("IF(ISBLANK(F135),,SUBSTITUTE(IFERROR(JOIN("","",F135:K135),JOIN("","",F135:J135)),CHAR(10),""""))"),"")</f>
        <v/>
      </c>
      <c r="N135" s="229" t="str">
        <f t="shared" si="1"/>
        <v/>
      </c>
    </row>
    <row r="136">
      <c r="F136" s="237"/>
      <c r="G136" s="238" t="str">
        <f t="shared" si="3"/>
        <v/>
      </c>
      <c r="H136" s="238" t="str">
        <f t="shared" si="4"/>
        <v/>
      </c>
      <c r="I136" s="237" t="str">
        <f t="shared" ref="I136:J136" si="128">IF(ISBLANK(C136),,""""&amp;C136&amp;"""")</f>
        <v/>
      </c>
      <c r="J136" s="237" t="str">
        <f t="shared" si="128"/>
        <v/>
      </c>
      <c r="K136" s="237" t="str">
        <f>IF(ISBLANK(F136),,Config!$C$3&amp;"&amp;range=BB"&amp;MATCH(F136,FRG!AC:AC,0))</f>
        <v/>
      </c>
      <c r="M136" s="243" t="str">
        <f>IFERROR(__xludf.DUMMYFUNCTION("IF(ISBLANK(F136),,SUBSTITUTE(IFERROR(JOIN("","",F136:K136),JOIN("","",F136:J136)),CHAR(10),""""))"),"")</f>
        <v/>
      </c>
      <c r="N136" s="229" t="str">
        <f t="shared" si="1"/>
        <v/>
      </c>
    </row>
    <row r="137">
      <c r="F137" s="237"/>
      <c r="G137" s="238" t="str">
        <f t="shared" si="3"/>
        <v/>
      </c>
      <c r="H137" s="238" t="str">
        <f t="shared" si="4"/>
        <v/>
      </c>
      <c r="I137" s="237" t="str">
        <f t="shared" ref="I137:J137" si="129">IF(ISBLANK(C137),,""""&amp;C137&amp;"""")</f>
        <v/>
      </c>
      <c r="J137" s="237" t="str">
        <f t="shared" si="129"/>
        <v/>
      </c>
      <c r="K137" s="237" t="str">
        <f>IF(ISBLANK(F137),,Config!$C$3&amp;"&amp;range=BB"&amp;MATCH(F137,FRG!AC:AC,0))</f>
        <v/>
      </c>
      <c r="M137" s="243" t="str">
        <f>IFERROR(__xludf.DUMMYFUNCTION("IF(ISBLANK(F137),,SUBSTITUTE(IFERROR(JOIN("","",F137:K137),JOIN("","",F137:J137)),CHAR(10),""""))"),"")</f>
        <v/>
      </c>
      <c r="N137" s="229" t="str">
        <f t="shared" si="1"/>
        <v/>
      </c>
    </row>
    <row r="138">
      <c r="F138" s="237"/>
      <c r="G138" s="238" t="str">
        <f t="shared" si="3"/>
        <v/>
      </c>
      <c r="H138" s="238" t="str">
        <f t="shared" si="4"/>
        <v/>
      </c>
      <c r="I138" s="237" t="str">
        <f t="shared" ref="I138:J138" si="130">IF(ISBLANK(C138),,""""&amp;C138&amp;"""")</f>
        <v/>
      </c>
      <c r="J138" s="237" t="str">
        <f t="shared" si="130"/>
        <v/>
      </c>
      <c r="K138" s="237" t="str">
        <f>IF(ISBLANK(F138),,Config!$C$3&amp;"&amp;range=BB"&amp;MATCH(F138,FRG!AC:AC,0))</f>
        <v/>
      </c>
      <c r="M138" s="243" t="str">
        <f>IFERROR(__xludf.DUMMYFUNCTION("IF(ISBLANK(F138),,SUBSTITUTE(IFERROR(JOIN("","",F138:K138),JOIN("","",F138:J138)),CHAR(10),""""))"),"")</f>
        <v/>
      </c>
      <c r="N138" s="229" t="str">
        <f t="shared" si="1"/>
        <v/>
      </c>
    </row>
    <row r="139">
      <c r="F139" s="237"/>
      <c r="G139" s="238" t="str">
        <f t="shared" si="3"/>
        <v/>
      </c>
      <c r="H139" s="238" t="str">
        <f t="shared" si="4"/>
        <v/>
      </c>
      <c r="I139" s="237" t="str">
        <f t="shared" ref="I139:J139" si="131">IF(ISBLANK(C139),,""""&amp;C139&amp;"""")</f>
        <v/>
      </c>
      <c r="J139" s="237" t="str">
        <f t="shared" si="131"/>
        <v/>
      </c>
      <c r="K139" s="237" t="str">
        <f>IF(ISBLANK(F139),,Config!$C$3&amp;"&amp;range=BB"&amp;MATCH(F139,FRG!AC:AC,0))</f>
        <v/>
      </c>
      <c r="M139" s="243" t="str">
        <f>IFERROR(__xludf.DUMMYFUNCTION("IF(ISBLANK(F139),,SUBSTITUTE(IFERROR(JOIN("","",F139:K139),JOIN("","",F139:J139)),CHAR(10),""""))"),"")</f>
        <v/>
      </c>
      <c r="N139" s="229" t="str">
        <f t="shared" si="1"/>
        <v/>
      </c>
    </row>
    <row r="140">
      <c r="F140" s="237"/>
      <c r="G140" s="238" t="str">
        <f t="shared" si="3"/>
        <v/>
      </c>
      <c r="H140" s="238" t="str">
        <f t="shared" si="4"/>
        <v/>
      </c>
      <c r="I140" s="237" t="str">
        <f t="shared" ref="I140:J140" si="132">IF(ISBLANK(C140),,""""&amp;C140&amp;"""")</f>
        <v/>
      </c>
      <c r="J140" s="237" t="str">
        <f t="shared" si="132"/>
        <v/>
      </c>
      <c r="K140" s="237" t="str">
        <f>IF(ISBLANK(F140),,Config!$C$3&amp;"&amp;range=BB"&amp;MATCH(F140,FRG!AC:AC,0))</f>
        <v/>
      </c>
      <c r="M140" s="243" t="str">
        <f>IFERROR(__xludf.DUMMYFUNCTION("IF(ISBLANK(F140),,SUBSTITUTE(IFERROR(JOIN("","",F140:K140),JOIN("","",F140:J140)),CHAR(10),""""))"),"")</f>
        <v/>
      </c>
      <c r="N140" s="229" t="str">
        <f t="shared" si="1"/>
        <v/>
      </c>
    </row>
    <row r="141">
      <c r="F141" s="237"/>
      <c r="G141" s="238" t="str">
        <f t="shared" si="3"/>
        <v/>
      </c>
      <c r="H141" s="238" t="str">
        <f t="shared" si="4"/>
        <v/>
      </c>
      <c r="I141" s="237" t="str">
        <f t="shared" ref="I141:J141" si="133">IF(ISBLANK(C141),,""""&amp;C141&amp;"""")</f>
        <v/>
      </c>
      <c r="J141" s="237" t="str">
        <f t="shared" si="133"/>
        <v/>
      </c>
      <c r="K141" s="237" t="str">
        <f>IF(ISBLANK(F141),,Config!$C$3&amp;"&amp;range=BB"&amp;MATCH(F141,FRG!AC:AC,0))</f>
        <v/>
      </c>
      <c r="M141" s="243" t="str">
        <f>IFERROR(__xludf.DUMMYFUNCTION("IF(ISBLANK(F141),,SUBSTITUTE(IFERROR(JOIN("","",F141:K141),JOIN("","",F141:J141)),CHAR(10),""""))"),"")</f>
        <v/>
      </c>
      <c r="N141" s="229" t="str">
        <f t="shared" si="1"/>
        <v/>
      </c>
    </row>
    <row r="142">
      <c r="F142" s="237"/>
      <c r="G142" s="238" t="str">
        <f t="shared" si="3"/>
        <v/>
      </c>
      <c r="H142" s="238" t="str">
        <f t="shared" si="4"/>
        <v/>
      </c>
      <c r="I142" s="237" t="str">
        <f t="shared" ref="I142:J142" si="134">IF(ISBLANK(C142),,""""&amp;C142&amp;"""")</f>
        <v/>
      </c>
      <c r="J142" s="237" t="str">
        <f t="shared" si="134"/>
        <v/>
      </c>
      <c r="K142" s="237" t="str">
        <f>IF(ISBLANK(F142),,Config!$C$3&amp;"&amp;range=BB"&amp;MATCH(F142,FRG!AC:AC,0))</f>
        <v/>
      </c>
      <c r="M142" s="243" t="str">
        <f>IFERROR(__xludf.DUMMYFUNCTION("IF(ISBLANK(F142),,SUBSTITUTE(IFERROR(JOIN("","",F142:K142),JOIN("","",F142:J142)),CHAR(10),""""))"),"")</f>
        <v/>
      </c>
      <c r="N142" s="229" t="str">
        <f t="shared" si="1"/>
        <v/>
      </c>
    </row>
    <row r="143">
      <c r="F143" s="237"/>
      <c r="G143" s="238" t="str">
        <f t="shared" si="3"/>
        <v/>
      </c>
      <c r="H143" s="238" t="str">
        <f t="shared" si="4"/>
        <v/>
      </c>
      <c r="I143" s="237" t="str">
        <f t="shared" ref="I143:J143" si="135">IF(ISBLANK(C143),,""""&amp;C143&amp;"""")</f>
        <v/>
      </c>
      <c r="J143" s="237" t="str">
        <f t="shared" si="135"/>
        <v/>
      </c>
      <c r="K143" s="237" t="str">
        <f>IF(ISBLANK(F143),,Config!$C$3&amp;"&amp;range=BB"&amp;MATCH(F143,FRG!AC:AC,0))</f>
        <v/>
      </c>
      <c r="M143" s="243" t="str">
        <f>IFERROR(__xludf.DUMMYFUNCTION("IF(ISBLANK(F143),,SUBSTITUTE(IFERROR(JOIN("","",F143:K143),JOIN("","",F143:J143)),CHAR(10),""""))"),"")</f>
        <v/>
      </c>
      <c r="N143" s="229" t="str">
        <f t="shared" si="1"/>
        <v/>
      </c>
    </row>
    <row r="144">
      <c r="F144" s="237"/>
      <c r="G144" s="238" t="str">
        <f t="shared" si="3"/>
        <v/>
      </c>
      <c r="H144" s="238" t="str">
        <f t="shared" si="4"/>
        <v/>
      </c>
      <c r="I144" s="237" t="str">
        <f t="shared" ref="I144:J144" si="136">IF(ISBLANK(C144),,""""&amp;C144&amp;"""")</f>
        <v/>
      </c>
      <c r="J144" s="237" t="str">
        <f t="shared" si="136"/>
        <v/>
      </c>
      <c r="K144" s="237" t="str">
        <f>IF(ISBLANK(F144),,Config!$C$3&amp;"&amp;range=BB"&amp;MATCH(F144,FRG!AC:AC,0))</f>
        <v/>
      </c>
      <c r="M144" s="243" t="str">
        <f>IFERROR(__xludf.DUMMYFUNCTION("IF(ISBLANK(F144),,SUBSTITUTE(IFERROR(JOIN("","",F144:K144),JOIN("","",F144:J144)),CHAR(10),""""))"),"")</f>
        <v/>
      </c>
      <c r="N144" s="229" t="str">
        <f t="shared" si="1"/>
        <v/>
      </c>
    </row>
    <row r="145">
      <c r="F145" s="237"/>
      <c r="G145" s="238" t="str">
        <f t="shared" si="3"/>
        <v/>
      </c>
      <c r="H145" s="238" t="str">
        <f t="shared" si="4"/>
        <v/>
      </c>
      <c r="I145" s="237" t="str">
        <f t="shared" ref="I145:J145" si="137">IF(ISBLANK(C145),,""""&amp;C145&amp;"""")</f>
        <v/>
      </c>
      <c r="J145" s="237" t="str">
        <f t="shared" si="137"/>
        <v/>
      </c>
      <c r="K145" s="237" t="str">
        <f>IF(ISBLANK(F145),,Config!$C$3&amp;"&amp;range=BB"&amp;MATCH(F145,FRG!AC:AC,0))</f>
        <v/>
      </c>
      <c r="M145" s="243" t="str">
        <f>IFERROR(__xludf.DUMMYFUNCTION("IF(ISBLANK(F145),,SUBSTITUTE(IFERROR(JOIN("","",F145:K145),JOIN("","",F145:J145)),CHAR(10),""""))"),"")</f>
        <v/>
      </c>
      <c r="N145" s="229" t="str">
        <f t="shared" si="1"/>
        <v/>
      </c>
    </row>
    <row r="146">
      <c r="F146" s="237"/>
      <c r="G146" s="238" t="str">
        <f t="shared" si="3"/>
        <v/>
      </c>
      <c r="H146" s="238" t="str">
        <f t="shared" si="4"/>
        <v/>
      </c>
      <c r="I146" s="237" t="str">
        <f t="shared" ref="I146:J146" si="138">IF(ISBLANK(C146),,""""&amp;C146&amp;"""")</f>
        <v/>
      </c>
      <c r="J146" s="237" t="str">
        <f t="shared" si="138"/>
        <v/>
      </c>
      <c r="K146" s="237" t="str">
        <f>IF(ISBLANK(F146),,Config!$C$3&amp;"&amp;range=BB"&amp;MATCH(F146,FRG!AC:AC,0))</f>
        <v/>
      </c>
      <c r="M146" s="243" t="str">
        <f>IFERROR(__xludf.DUMMYFUNCTION("IF(ISBLANK(F146),,SUBSTITUTE(IFERROR(JOIN("","",F146:K146),JOIN("","",F146:J146)),CHAR(10),""""))"),"")</f>
        <v/>
      </c>
      <c r="N146" s="229" t="str">
        <f t="shared" si="1"/>
        <v/>
      </c>
    </row>
    <row r="147">
      <c r="F147" s="237"/>
      <c r="G147" s="238" t="str">
        <f t="shared" si="3"/>
        <v/>
      </c>
      <c r="H147" s="238" t="str">
        <f t="shared" si="4"/>
        <v/>
      </c>
      <c r="I147" s="237" t="str">
        <f t="shared" ref="I147:J147" si="139">IF(ISBLANK(C147),,""""&amp;C147&amp;"""")</f>
        <v/>
      </c>
      <c r="J147" s="237" t="str">
        <f t="shared" si="139"/>
        <v/>
      </c>
      <c r="K147" s="237" t="str">
        <f>IF(ISBLANK(F147),,Config!$C$3&amp;"&amp;range=BB"&amp;MATCH(F147,FRG!AC:AC,0))</f>
        <v/>
      </c>
      <c r="M147" s="243" t="str">
        <f>IFERROR(__xludf.DUMMYFUNCTION("IF(ISBLANK(F147),,SUBSTITUTE(IFERROR(JOIN("","",F147:K147),JOIN("","",F147:J147)),CHAR(10),""""))"),"")</f>
        <v/>
      </c>
      <c r="N147" s="229" t="str">
        <f t="shared" si="1"/>
        <v/>
      </c>
    </row>
    <row r="148">
      <c r="F148" s="237"/>
      <c r="G148" s="238" t="str">
        <f t="shared" si="3"/>
        <v/>
      </c>
      <c r="H148" s="238" t="str">
        <f t="shared" si="4"/>
        <v/>
      </c>
      <c r="I148" s="237" t="str">
        <f t="shared" ref="I148:J148" si="140">IF(ISBLANK(C148),,""""&amp;C148&amp;"""")</f>
        <v/>
      </c>
      <c r="J148" s="237" t="str">
        <f t="shared" si="140"/>
        <v/>
      </c>
      <c r="K148" s="237" t="str">
        <f>IF(ISBLANK(F148),,Config!$C$3&amp;"&amp;range=BB"&amp;MATCH(F148,FRG!AC:AC,0))</f>
        <v/>
      </c>
      <c r="M148" s="243" t="str">
        <f>IFERROR(__xludf.DUMMYFUNCTION("IF(ISBLANK(F148),,SUBSTITUTE(IFERROR(JOIN("","",F148:K148),JOIN("","",F148:J148)),CHAR(10),""""))"),"")</f>
        <v/>
      </c>
      <c r="N148" s="229" t="str">
        <f t="shared" si="1"/>
        <v/>
      </c>
    </row>
    <row r="149">
      <c r="F149" s="237"/>
      <c r="G149" s="238" t="str">
        <f t="shared" si="3"/>
        <v/>
      </c>
      <c r="H149" s="238" t="str">
        <f t="shared" si="4"/>
        <v/>
      </c>
      <c r="I149" s="237" t="str">
        <f t="shared" ref="I149:J149" si="141">IF(ISBLANK(C149),,""""&amp;C149&amp;"""")</f>
        <v/>
      </c>
      <c r="J149" s="237" t="str">
        <f t="shared" si="141"/>
        <v/>
      </c>
      <c r="K149" s="237" t="str">
        <f>IF(ISBLANK(F149),,Config!$C$3&amp;"&amp;range=BB"&amp;MATCH(F149,FRG!AC:AC,0))</f>
        <v/>
      </c>
      <c r="M149" s="243" t="str">
        <f>IFERROR(__xludf.DUMMYFUNCTION("IF(ISBLANK(F149),,SUBSTITUTE(IFERROR(JOIN("","",F149:K149),JOIN("","",F149:J149)),CHAR(10),""""))"),"")</f>
        <v/>
      </c>
      <c r="N149" s="229" t="str">
        <f t="shared" si="1"/>
        <v/>
      </c>
    </row>
    <row r="150">
      <c r="F150" s="237"/>
      <c r="G150" s="238" t="str">
        <f t="shared" si="3"/>
        <v/>
      </c>
      <c r="H150" s="238" t="str">
        <f t="shared" si="4"/>
        <v/>
      </c>
      <c r="I150" s="237" t="str">
        <f t="shared" ref="I150:J150" si="142">IF(ISBLANK(C150),,""""&amp;C150&amp;"""")</f>
        <v/>
      </c>
      <c r="J150" s="237" t="str">
        <f t="shared" si="142"/>
        <v/>
      </c>
      <c r="K150" s="237" t="str">
        <f>IF(ISBLANK(F150),,Config!$C$3&amp;"&amp;range=BB"&amp;MATCH(F150,FRG!AC:AC,0))</f>
        <v/>
      </c>
      <c r="M150" s="243" t="str">
        <f>IFERROR(__xludf.DUMMYFUNCTION("IF(ISBLANK(F150),,SUBSTITUTE(IFERROR(JOIN("","",F150:K150),JOIN("","",F150:J150)),CHAR(10),""""))"),"")</f>
        <v/>
      </c>
      <c r="N150" s="229" t="str">
        <f t="shared" si="1"/>
        <v/>
      </c>
    </row>
    <row r="151">
      <c r="F151" s="237"/>
      <c r="G151" s="238" t="str">
        <f t="shared" si="3"/>
        <v/>
      </c>
      <c r="H151" s="238" t="str">
        <f t="shared" si="4"/>
        <v/>
      </c>
      <c r="I151" s="237" t="str">
        <f t="shared" ref="I151:J151" si="143">IF(ISBLANK(C151),,""""&amp;C151&amp;"""")</f>
        <v/>
      </c>
      <c r="J151" s="237" t="str">
        <f t="shared" si="143"/>
        <v/>
      </c>
      <c r="K151" s="237" t="str">
        <f>IF(ISBLANK(F151),,Config!$C$3&amp;"&amp;range=BB"&amp;MATCH(F151,FRG!AC:AC,0))</f>
        <v/>
      </c>
      <c r="M151" s="243" t="str">
        <f>IFERROR(__xludf.DUMMYFUNCTION("IF(ISBLANK(F151),,SUBSTITUTE(IFERROR(JOIN("","",F151:K151),JOIN("","",F151:J151)),CHAR(10),""""))"),"")</f>
        <v/>
      </c>
      <c r="N151" s="229" t="str">
        <f t="shared" si="1"/>
        <v/>
      </c>
    </row>
    <row r="152">
      <c r="F152" s="237"/>
      <c r="G152" s="238" t="str">
        <f t="shared" si="3"/>
        <v/>
      </c>
      <c r="H152" s="238" t="str">
        <f t="shared" si="4"/>
        <v/>
      </c>
      <c r="I152" s="237" t="str">
        <f t="shared" ref="I152:J152" si="144">IF(ISBLANK(C152),,""""&amp;C152&amp;"""")</f>
        <v/>
      </c>
      <c r="J152" s="237" t="str">
        <f t="shared" si="144"/>
        <v/>
      </c>
      <c r="K152" s="237" t="str">
        <f>IF(ISBLANK(F152),,Config!$C$3&amp;"&amp;range=BB"&amp;MATCH(F152,FRG!AC:AC,0))</f>
        <v/>
      </c>
      <c r="M152" s="243" t="str">
        <f>IFERROR(__xludf.DUMMYFUNCTION("IF(ISBLANK(F152),,SUBSTITUTE(IFERROR(JOIN("","",F152:K152),JOIN("","",F152:J152)),CHAR(10),""""))"),"")</f>
        <v/>
      </c>
      <c r="N152" s="229" t="str">
        <f t="shared" si="1"/>
        <v/>
      </c>
    </row>
    <row r="153">
      <c r="F153" s="237"/>
      <c r="G153" s="238" t="str">
        <f t="shared" si="3"/>
        <v/>
      </c>
      <c r="H153" s="238" t="str">
        <f t="shared" si="4"/>
        <v/>
      </c>
      <c r="I153" s="237" t="str">
        <f t="shared" ref="I153:J153" si="145">IF(ISBLANK(C153),,""""&amp;C153&amp;"""")</f>
        <v/>
      </c>
      <c r="J153" s="237" t="str">
        <f t="shared" si="145"/>
        <v/>
      </c>
      <c r="K153" s="237" t="str">
        <f>IF(ISBLANK(F153),,Config!$C$3&amp;"&amp;range=BB"&amp;MATCH(F153,FRG!AC:AC,0))</f>
        <v/>
      </c>
      <c r="M153" s="243" t="str">
        <f>IFERROR(__xludf.DUMMYFUNCTION("IF(ISBLANK(F153),,SUBSTITUTE(IFERROR(JOIN("","",F153:K153),JOIN("","",F153:J153)),CHAR(10),""""))"),"")</f>
        <v/>
      </c>
      <c r="N153" s="229" t="str">
        <f t="shared" si="1"/>
        <v/>
      </c>
    </row>
    <row r="154">
      <c r="F154" s="237"/>
      <c r="G154" s="238" t="str">
        <f t="shared" si="3"/>
        <v/>
      </c>
      <c r="H154" s="238" t="str">
        <f t="shared" si="4"/>
        <v/>
      </c>
      <c r="I154" s="237" t="str">
        <f t="shared" ref="I154:J154" si="146">IF(ISBLANK(C154),,""""&amp;C154&amp;"""")</f>
        <v/>
      </c>
      <c r="J154" s="237" t="str">
        <f t="shared" si="146"/>
        <v/>
      </c>
      <c r="K154" s="237" t="str">
        <f>IF(ISBLANK(F154),,Config!$C$3&amp;"&amp;range=BB"&amp;MATCH(F154,FRG!AC:AC,0))</f>
        <v/>
      </c>
      <c r="M154" s="243" t="str">
        <f>IFERROR(__xludf.DUMMYFUNCTION("IF(ISBLANK(F154),,SUBSTITUTE(IFERROR(JOIN("","",F154:K154),JOIN("","",F154:J154)),CHAR(10),""""))"),"")</f>
        <v/>
      </c>
      <c r="N154" s="229" t="str">
        <f t="shared" si="1"/>
        <v/>
      </c>
    </row>
    <row r="155">
      <c r="F155" s="237"/>
      <c r="G155" s="238" t="str">
        <f t="shared" si="3"/>
        <v/>
      </c>
      <c r="H155" s="238" t="str">
        <f t="shared" si="4"/>
        <v/>
      </c>
      <c r="I155" s="237" t="str">
        <f t="shared" ref="I155:J155" si="147">IF(ISBLANK(C155),,""""&amp;C155&amp;"""")</f>
        <v/>
      </c>
      <c r="J155" s="237" t="str">
        <f t="shared" si="147"/>
        <v/>
      </c>
      <c r="K155" s="237" t="str">
        <f>IF(ISBLANK(F155),,Config!$C$3&amp;"&amp;range=BB"&amp;MATCH(F155,FRG!AC:AC,0))</f>
        <v/>
      </c>
      <c r="M155" s="243" t="str">
        <f>IFERROR(__xludf.DUMMYFUNCTION("IF(ISBLANK(F155),,SUBSTITUTE(IFERROR(JOIN("","",F155:K155),JOIN("","",F155:J155)),CHAR(10),""""))"),"")</f>
        <v/>
      </c>
      <c r="N155" s="229" t="str">
        <f t="shared" si="1"/>
        <v/>
      </c>
    </row>
    <row r="156">
      <c r="F156" s="237"/>
      <c r="G156" s="238" t="str">
        <f t="shared" si="3"/>
        <v/>
      </c>
      <c r="H156" s="238" t="str">
        <f t="shared" si="4"/>
        <v/>
      </c>
      <c r="I156" s="237" t="str">
        <f t="shared" ref="I156:J156" si="148">IF(ISBLANK(C156),,""""&amp;C156&amp;"""")</f>
        <v/>
      </c>
      <c r="J156" s="237" t="str">
        <f t="shared" si="148"/>
        <v/>
      </c>
      <c r="K156" s="237" t="str">
        <f>IF(ISBLANK(F156),,Config!$C$3&amp;"&amp;range=BB"&amp;MATCH(F156,FRG!AC:AC,0))</f>
        <v/>
      </c>
      <c r="M156" s="243" t="str">
        <f>IFERROR(__xludf.DUMMYFUNCTION("IF(ISBLANK(F156),,SUBSTITUTE(IFERROR(JOIN("","",F156:K156),JOIN("","",F156:J156)),CHAR(10),""""))"),"")</f>
        <v/>
      </c>
      <c r="N156" s="229" t="str">
        <f t="shared" si="1"/>
        <v/>
      </c>
    </row>
    <row r="157">
      <c r="F157" s="237"/>
      <c r="G157" s="238" t="str">
        <f t="shared" si="3"/>
        <v/>
      </c>
      <c r="H157" s="238" t="str">
        <f t="shared" si="4"/>
        <v/>
      </c>
      <c r="I157" s="237" t="str">
        <f t="shared" ref="I157:J157" si="149">IF(ISBLANK(C157),,""""&amp;C157&amp;"""")</f>
        <v/>
      </c>
      <c r="J157" s="237" t="str">
        <f t="shared" si="149"/>
        <v/>
      </c>
      <c r="K157" s="237" t="str">
        <f>IF(ISBLANK(F157),,Config!$C$3&amp;"&amp;range=BB"&amp;MATCH(F157,FRG!AC:AC,0))</f>
        <v/>
      </c>
      <c r="M157" s="243" t="str">
        <f>IFERROR(__xludf.DUMMYFUNCTION("IF(ISBLANK(F157),,SUBSTITUTE(IFERROR(JOIN("","",F157:K157),JOIN("","",F157:J157)),CHAR(10),""""))"),"")</f>
        <v/>
      </c>
      <c r="N157" s="229" t="str">
        <f t="shared" si="1"/>
        <v/>
      </c>
    </row>
    <row r="158">
      <c r="F158" s="237"/>
      <c r="G158" s="238" t="str">
        <f t="shared" si="3"/>
        <v/>
      </c>
      <c r="H158" s="238" t="str">
        <f t="shared" si="4"/>
        <v/>
      </c>
      <c r="I158" s="237" t="str">
        <f t="shared" ref="I158:J158" si="150">IF(ISBLANK(C158),,""""&amp;C158&amp;"""")</f>
        <v/>
      </c>
      <c r="J158" s="237" t="str">
        <f t="shared" si="150"/>
        <v/>
      </c>
      <c r="K158" s="237" t="str">
        <f>IF(ISBLANK(F158),,Config!$C$3&amp;"&amp;range=BB"&amp;MATCH(F158,FRG!AC:AC,0))</f>
        <v/>
      </c>
      <c r="M158" s="243" t="str">
        <f>IFERROR(__xludf.DUMMYFUNCTION("IF(ISBLANK(F158),,SUBSTITUTE(IFERROR(JOIN("","",F158:K158),JOIN("","",F158:J158)),CHAR(10),""""))"),"")</f>
        <v/>
      </c>
      <c r="N158" s="229" t="str">
        <f t="shared" si="1"/>
        <v/>
      </c>
    </row>
    <row r="159">
      <c r="F159" s="237"/>
      <c r="G159" s="238" t="str">
        <f t="shared" si="3"/>
        <v/>
      </c>
      <c r="H159" s="238" t="str">
        <f t="shared" si="4"/>
        <v/>
      </c>
      <c r="I159" s="237" t="str">
        <f t="shared" ref="I159:J159" si="151">IF(ISBLANK(C159),,""""&amp;C159&amp;"""")</f>
        <v/>
      </c>
      <c r="J159" s="237" t="str">
        <f t="shared" si="151"/>
        <v/>
      </c>
      <c r="K159" s="237" t="str">
        <f>IF(ISBLANK(F159),,Config!$C$3&amp;"&amp;range=BB"&amp;MATCH(F159,FRG!AC:AC,0))</f>
        <v/>
      </c>
      <c r="M159" s="243" t="str">
        <f>IFERROR(__xludf.DUMMYFUNCTION("IF(ISBLANK(F159),,SUBSTITUTE(IFERROR(JOIN("","",F159:K159),JOIN("","",F159:J159)),CHAR(10),""""))"),"")</f>
        <v/>
      </c>
      <c r="N159" s="229" t="str">
        <f t="shared" si="1"/>
        <v/>
      </c>
    </row>
    <row r="160">
      <c r="F160" s="237"/>
      <c r="G160" s="238" t="str">
        <f t="shared" si="3"/>
        <v/>
      </c>
      <c r="H160" s="238" t="str">
        <f t="shared" si="4"/>
        <v/>
      </c>
      <c r="I160" s="237" t="str">
        <f t="shared" ref="I160:J160" si="152">IF(ISBLANK(C160),,""""&amp;C160&amp;"""")</f>
        <v/>
      </c>
      <c r="J160" s="237" t="str">
        <f t="shared" si="152"/>
        <v/>
      </c>
      <c r="K160" s="237" t="str">
        <f>IF(ISBLANK(F160),,Config!$C$3&amp;"&amp;range=BB"&amp;MATCH(F160,FRG!AC:AC,0))</f>
        <v/>
      </c>
      <c r="M160" s="243" t="str">
        <f>IFERROR(__xludf.DUMMYFUNCTION("IF(ISBLANK(F160),,SUBSTITUTE(IFERROR(JOIN("","",F160:K160),JOIN("","",F160:J160)),CHAR(10),""""))"),"")</f>
        <v/>
      </c>
      <c r="N160" s="229" t="str">
        <f t="shared" si="1"/>
        <v/>
      </c>
    </row>
    <row r="161">
      <c r="F161" s="237"/>
      <c r="G161" s="238" t="str">
        <f t="shared" si="3"/>
        <v/>
      </c>
      <c r="H161" s="238" t="str">
        <f t="shared" si="4"/>
        <v/>
      </c>
      <c r="I161" s="237" t="str">
        <f t="shared" ref="I161:J161" si="153">IF(ISBLANK(C161),,""""&amp;C161&amp;"""")</f>
        <v/>
      </c>
      <c r="J161" s="237" t="str">
        <f t="shared" si="153"/>
        <v/>
      </c>
      <c r="K161" s="237" t="str">
        <f>IF(ISBLANK(F161),,Config!$C$3&amp;"&amp;range=BB"&amp;MATCH(F161,FRG!AC:AC,0))</f>
        <v/>
      </c>
      <c r="M161" s="243" t="str">
        <f>IFERROR(__xludf.DUMMYFUNCTION("IF(ISBLANK(F161),,SUBSTITUTE(IFERROR(JOIN("","",F161:K161),JOIN("","",F161:J161)),CHAR(10),""""))"),"")</f>
        <v/>
      </c>
      <c r="N161" s="229" t="str">
        <f t="shared" si="1"/>
        <v/>
      </c>
    </row>
    <row r="162">
      <c r="F162" s="237"/>
      <c r="G162" s="238" t="str">
        <f t="shared" si="3"/>
        <v/>
      </c>
      <c r="H162" s="238" t="str">
        <f t="shared" si="4"/>
        <v/>
      </c>
      <c r="I162" s="237" t="str">
        <f t="shared" ref="I162:J162" si="154">IF(ISBLANK(C162),,""""&amp;C162&amp;"""")</f>
        <v/>
      </c>
      <c r="J162" s="237" t="str">
        <f t="shared" si="154"/>
        <v/>
      </c>
      <c r="K162" s="237" t="str">
        <f>IF(ISBLANK(F162),,Config!$C$3&amp;"&amp;range=BB"&amp;MATCH(F162,FRG!AC:AC,0))</f>
        <v/>
      </c>
      <c r="M162" s="243" t="str">
        <f>IFERROR(__xludf.DUMMYFUNCTION("IF(ISBLANK(F162),,SUBSTITUTE(IFERROR(JOIN("","",F162:K162),JOIN("","",F162:J162)),CHAR(10),""""))"),"")</f>
        <v/>
      </c>
      <c r="N162" s="229" t="str">
        <f t="shared" si="1"/>
        <v/>
      </c>
    </row>
    <row r="163">
      <c r="F163" s="237"/>
      <c r="G163" s="238" t="str">
        <f t="shared" si="3"/>
        <v/>
      </c>
      <c r="H163" s="238" t="str">
        <f t="shared" si="4"/>
        <v/>
      </c>
      <c r="I163" s="237" t="str">
        <f t="shared" ref="I163:J163" si="155">IF(ISBLANK(C163),,""""&amp;C163&amp;"""")</f>
        <v/>
      </c>
      <c r="J163" s="237" t="str">
        <f t="shared" si="155"/>
        <v/>
      </c>
      <c r="K163" s="237" t="str">
        <f>IF(ISBLANK(F163),,Config!$C$3&amp;"&amp;range=BB"&amp;MATCH(F163,FRG!AC:AC,0))</f>
        <v/>
      </c>
      <c r="M163" s="243" t="str">
        <f>IFERROR(__xludf.DUMMYFUNCTION("IF(ISBLANK(F163),,SUBSTITUTE(IFERROR(JOIN("","",F163:K163),JOIN("","",F163:J163)),CHAR(10),""""))"),"")</f>
        <v/>
      </c>
      <c r="N163" s="229" t="str">
        <f t="shared" si="1"/>
        <v/>
      </c>
    </row>
    <row r="164">
      <c r="F164" s="237"/>
      <c r="G164" s="238" t="str">
        <f t="shared" si="3"/>
        <v/>
      </c>
      <c r="H164" s="238" t="str">
        <f t="shared" si="4"/>
        <v/>
      </c>
      <c r="I164" s="237" t="str">
        <f t="shared" ref="I164:J164" si="156">IF(ISBLANK(C164),,""""&amp;C164&amp;"""")</f>
        <v/>
      </c>
      <c r="J164" s="237" t="str">
        <f t="shared" si="156"/>
        <v/>
      </c>
      <c r="K164" s="237" t="str">
        <f>IF(ISBLANK(F164),,Config!$C$3&amp;"&amp;range=BB"&amp;MATCH(F164,FRG!AC:AC,0))</f>
        <v/>
      </c>
      <c r="M164" s="243" t="str">
        <f>IFERROR(__xludf.DUMMYFUNCTION("IF(ISBLANK(F164),,SUBSTITUTE(IFERROR(JOIN("","",F164:K164),JOIN("","",F164:J164)),CHAR(10),""""))"),"")</f>
        <v/>
      </c>
      <c r="N164" s="229" t="str">
        <f t="shared" si="1"/>
        <v/>
      </c>
    </row>
    <row r="165">
      <c r="F165" s="237"/>
      <c r="G165" s="238" t="str">
        <f t="shared" si="3"/>
        <v/>
      </c>
      <c r="H165" s="238" t="str">
        <f t="shared" si="4"/>
        <v/>
      </c>
      <c r="I165" s="237" t="str">
        <f t="shared" ref="I165:J165" si="157">IF(ISBLANK(C165),,""""&amp;C165&amp;"""")</f>
        <v/>
      </c>
      <c r="J165" s="237" t="str">
        <f t="shared" si="157"/>
        <v/>
      </c>
      <c r="K165" s="237" t="str">
        <f>IF(ISBLANK(F165),,Config!$C$3&amp;"&amp;range=BB"&amp;MATCH(F165,FRG!AC:AC,0))</f>
        <v/>
      </c>
      <c r="M165" s="243" t="str">
        <f>IFERROR(__xludf.DUMMYFUNCTION("IF(ISBLANK(F165),,SUBSTITUTE(IFERROR(JOIN("","",F165:K165),JOIN("","",F165:J165)),CHAR(10),""""))"),"")</f>
        <v/>
      </c>
      <c r="N165" s="229" t="str">
        <f t="shared" si="1"/>
        <v/>
      </c>
    </row>
    <row r="166">
      <c r="F166" s="237"/>
      <c r="G166" s="238" t="str">
        <f t="shared" si="3"/>
        <v/>
      </c>
      <c r="H166" s="238" t="str">
        <f t="shared" si="4"/>
        <v/>
      </c>
      <c r="I166" s="237" t="str">
        <f t="shared" ref="I166:J166" si="158">IF(ISBLANK(C166),,""""&amp;C166&amp;"""")</f>
        <v/>
      </c>
      <c r="J166" s="237" t="str">
        <f t="shared" si="158"/>
        <v/>
      </c>
      <c r="K166" s="237" t="str">
        <f>IF(ISBLANK(F166),,Config!$C$3&amp;"&amp;range=BB"&amp;MATCH(F166,FRG!AC:AC,0))</f>
        <v/>
      </c>
      <c r="M166" s="243" t="str">
        <f>IFERROR(__xludf.DUMMYFUNCTION("IF(ISBLANK(F166),,SUBSTITUTE(IFERROR(JOIN("","",F166:K166),JOIN("","",F166:J166)),CHAR(10),""""))"),"")</f>
        <v/>
      </c>
      <c r="N166" s="229" t="str">
        <f t="shared" si="1"/>
        <v/>
      </c>
    </row>
    <row r="167">
      <c r="F167" s="237"/>
      <c r="G167" s="238" t="str">
        <f t="shared" si="3"/>
        <v/>
      </c>
      <c r="H167" s="238" t="str">
        <f t="shared" si="4"/>
        <v/>
      </c>
      <c r="I167" s="237" t="str">
        <f t="shared" ref="I167:J167" si="159">IF(ISBLANK(C167),,""""&amp;C167&amp;"""")</f>
        <v/>
      </c>
      <c r="J167" s="237" t="str">
        <f t="shared" si="159"/>
        <v/>
      </c>
      <c r="K167" s="237" t="str">
        <f>IF(ISBLANK(F167),,Config!$C$3&amp;"&amp;range=BB"&amp;MATCH(F167,FRG!AC:AC,0))</f>
        <v/>
      </c>
      <c r="M167" s="243" t="str">
        <f>IFERROR(__xludf.DUMMYFUNCTION("IF(ISBLANK(F167),,SUBSTITUTE(IFERROR(JOIN("","",F167:K167),JOIN("","",F167:J167)),CHAR(10),""""))"),"")</f>
        <v/>
      </c>
      <c r="N167" s="229" t="str">
        <f t="shared" si="1"/>
        <v/>
      </c>
    </row>
    <row r="168">
      <c r="F168" s="237"/>
      <c r="G168" s="238" t="str">
        <f t="shared" si="3"/>
        <v/>
      </c>
      <c r="H168" s="238" t="str">
        <f t="shared" si="4"/>
        <v/>
      </c>
      <c r="I168" s="237" t="str">
        <f t="shared" ref="I168:J168" si="160">IF(ISBLANK(C168),,""""&amp;C168&amp;"""")</f>
        <v/>
      </c>
      <c r="J168" s="237" t="str">
        <f t="shared" si="160"/>
        <v/>
      </c>
      <c r="K168" s="237" t="str">
        <f>IF(ISBLANK(F168),,Config!$C$3&amp;"&amp;range=BB"&amp;MATCH(F168,FRG!AC:AC,0))</f>
        <v/>
      </c>
      <c r="M168" s="243" t="str">
        <f>IFERROR(__xludf.DUMMYFUNCTION("IF(ISBLANK(F168),,SUBSTITUTE(IFERROR(JOIN("","",F168:K168),JOIN("","",F168:J168)),CHAR(10),""""))"),"")</f>
        <v/>
      </c>
      <c r="N168" s="229" t="str">
        <f t="shared" si="1"/>
        <v/>
      </c>
    </row>
    <row r="169">
      <c r="F169" s="237"/>
      <c r="G169" s="238" t="str">
        <f t="shared" si="3"/>
        <v/>
      </c>
      <c r="H169" s="238" t="str">
        <f t="shared" si="4"/>
        <v/>
      </c>
      <c r="I169" s="237" t="str">
        <f t="shared" ref="I169:J169" si="161">IF(ISBLANK(C169),,""""&amp;C169&amp;"""")</f>
        <v/>
      </c>
      <c r="J169" s="237" t="str">
        <f t="shared" si="161"/>
        <v/>
      </c>
      <c r="K169" s="237" t="str">
        <f>IF(ISBLANK(F169),,Config!$C$3&amp;"&amp;range=BB"&amp;MATCH(F169,FRG!AC:AC,0))</f>
        <v/>
      </c>
      <c r="M169" s="243" t="str">
        <f>IFERROR(__xludf.DUMMYFUNCTION("IF(ISBLANK(F169),,SUBSTITUTE(IFERROR(JOIN("","",F169:K169),JOIN("","",F169:J169)),CHAR(10),""""))"),"")</f>
        <v/>
      </c>
      <c r="N169" s="229" t="str">
        <f t="shared" si="1"/>
        <v/>
      </c>
    </row>
    <row r="170">
      <c r="F170" s="237"/>
      <c r="G170" s="238" t="str">
        <f t="shared" si="3"/>
        <v/>
      </c>
      <c r="H170" s="238" t="str">
        <f t="shared" si="4"/>
        <v/>
      </c>
      <c r="I170" s="237" t="str">
        <f t="shared" ref="I170:J170" si="162">IF(ISBLANK(C170),,""""&amp;C170&amp;"""")</f>
        <v/>
      </c>
      <c r="J170" s="237" t="str">
        <f t="shared" si="162"/>
        <v/>
      </c>
      <c r="K170" s="237" t="str">
        <f>IF(ISBLANK(F170),,Config!$C$3&amp;"&amp;range=BB"&amp;MATCH(F170,FRG!AC:AC,0))</f>
        <v/>
      </c>
      <c r="M170" s="243" t="str">
        <f>IFERROR(__xludf.DUMMYFUNCTION("IF(ISBLANK(F170),,SUBSTITUTE(IFERROR(JOIN("","",F170:K170),JOIN("","",F170:J170)),CHAR(10),""""))"),"")</f>
        <v/>
      </c>
      <c r="N170" s="229" t="str">
        <f t="shared" si="1"/>
        <v/>
      </c>
    </row>
    <row r="171">
      <c r="F171" s="237"/>
      <c r="G171" s="238" t="str">
        <f t="shared" si="3"/>
        <v/>
      </c>
      <c r="H171" s="238" t="str">
        <f t="shared" si="4"/>
        <v/>
      </c>
      <c r="I171" s="237" t="str">
        <f t="shared" ref="I171:J171" si="163">IF(ISBLANK(C171),,""""&amp;C171&amp;"""")</f>
        <v/>
      </c>
      <c r="J171" s="237" t="str">
        <f t="shared" si="163"/>
        <v/>
      </c>
      <c r="K171" s="237" t="str">
        <f>IF(ISBLANK(F171),,Config!$C$3&amp;"&amp;range=BB"&amp;MATCH(F171,FRG!AC:AC,0))</f>
        <v/>
      </c>
      <c r="M171" s="243" t="str">
        <f>IFERROR(__xludf.DUMMYFUNCTION("IF(ISBLANK(F171),,SUBSTITUTE(IFERROR(JOIN("","",F171:K171),JOIN("","",F171:J171)),CHAR(10),""""))"),"")</f>
        <v/>
      </c>
      <c r="N171" s="229" t="str">
        <f t="shared" si="1"/>
        <v/>
      </c>
    </row>
    <row r="172">
      <c r="F172" s="237"/>
      <c r="G172" s="238" t="str">
        <f t="shared" si="3"/>
        <v/>
      </c>
      <c r="H172" s="238" t="str">
        <f t="shared" si="4"/>
        <v/>
      </c>
      <c r="I172" s="237" t="str">
        <f t="shared" ref="I172:J172" si="164">IF(ISBLANK(C172),,""""&amp;C172&amp;"""")</f>
        <v/>
      </c>
      <c r="J172" s="237" t="str">
        <f t="shared" si="164"/>
        <v/>
      </c>
      <c r="K172" s="237" t="str">
        <f>IF(ISBLANK(F172),,Config!$C$3&amp;"&amp;range=BB"&amp;MATCH(F172,FRG!AC:AC,0))</f>
        <v/>
      </c>
      <c r="M172" s="243" t="str">
        <f>IFERROR(__xludf.DUMMYFUNCTION("IF(ISBLANK(F172),,SUBSTITUTE(IFERROR(JOIN("","",F172:K172),JOIN("","",F172:J172)),CHAR(10),""""))"),"")</f>
        <v/>
      </c>
      <c r="N172" s="229" t="str">
        <f t="shared" si="1"/>
        <v/>
      </c>
    </row>
    <row r="173">
      <c r="F173" s="237"/>
      <c r="G173" s="238" t="str">
        <f t="shared" si="3"/>
        <v/>
      </c>
      <c r="H173" s="238" t="str">
        <f t="shared" si="4"/>
        <v/>
      </c>
      <c r="I173" s="237" t="str">
        <f t="shared" ref="I173:J173" si="165">IF(ISBLANK(C173),,""""&amp;C173&amp;"""")</f>
        <v/>
      </c>
      <c r="J173" s="237" t="str">
        <f t="shared" si="165"/>
        <v/>
      </c>
      <c r="K173" s="237" t="str">
        <f>IF(ISBLANK(F173),,Config!$C$3&amp;"&amp;range=BB"&amp;MATCH(F173,FRG!AC:AC,0))</f>
        <v/>
      </c>
      <c r="M173" s="243" t="str">
        <f>IFERROR(__xludf.DUMMYFUNCTION("IF(ISBLANK(F173),,SUBSTITUTE(IFERROR(JOIN("","",F173:K173),JOIN("","",F173:J173)),CHAR(10),""""))"),"")</f>
        <v/>
      </c>
      <c r="N173" s="229" t="str">
        <f t="shared" si="1"/>
        <v/>
      </c>
    </row>
    <row r="174">
      <c r="F174" s="237"/>
      <c r="G174" s="238" t="str">
        <f t="shared" si="3"/>
        <v/>
      </c>
      <c r="H174" s="238" t="str">
        <f t="shared" si="4"/>
        <v/>
      </c>
      <c r="I174" s="237" t="str">
        <f t="shared" ref="I174:J174" si="166">IF(ISBLANK(C174),,""""&amp;C174&amp;"""")</f>
        <v/>
      </c>
      <c r="J174" s="237" t="str">
        <f t="shared" si="166"/>
        <v/>
      </c>
      <c r="K174" s="237" t="str">
        <f>IF(ISBLANK(F174),,Config!$C$3&amp;"&amp;range=BB"&amp;MATCH(F174,FRG!AC:AC,0))</f>
        <v/>
      </c>
      <c r="M174" s="243" t="str">
        <f>IFERROR(__xludf.DUMMYFUNCTION("IF(ISBLANK(F174),,SUBSTITUTE(IFERROR(JOIN("","",F174:K174),JOIN("","",F174:J174)),CHAR(10),""""))"),"")</f>
        <v/>
      </c>
      <c r="N174" s="229" t="str">
        <f t="shared" si="1"/>
        <v/>
      </c>
    </row>
    <row r="175">
      <c r="F175" s="237"/>
      <c r="G175" s="238" t="str">
        <f t="shared" si="3"/>
        <v/>
      </c>
      <c r="H175" s="238" t="str">
        <f t="shared" si="4"/>
        <v/>
      </c>
      <c r="I175" s="237" t="str">
        <f t="shared" ref="I175:J175" si="167">IF(ISBLANK(C175),,""""&amp;C175&amp;"""")</f>
        <v/>
      </c>
      <c r="J175" s="237" t="str">
        <f t="shared" si="167"/>
        <v/>
      </c>
      <c r="K175" s="237" t="str">
        <f>IF(ISBLANK(F175),,Config!$C$3&amp;"&amp;range=BB"&amp;MATCH(F175,FRG!AC:AC,0))</f>
        <v/>
      </c>
      <c r="M175" s="243" t="str">
        <f>IFERROR(__xludf.DUMMYFUNCTION("IF(ISBLANK(F175),,SUBSTITUTE(IFERROR(JOIN("","",F175:K175),JOIN("","",F175:J175)),CHAR(10),""""))"),"")</f>
        <v/>
      </c>
      <c r="N175" s="229" t="str">
        <f t="shared" si="1"/>
        <v/>
      </c>
    </row>
    <row r="176">
      <c r="F176" s="237"/>
      <c r="G176" s="238" t="str">
        <f t="shared" si="3"/>
        <v/>
      </c>
      <c r="H176" s="238" t="str">
        <f t="shared" si="4"/>
        <v/>
      </c>
      <c r="I176" s="237" t="str">
        <f t="shared" ref="I176:J176" si="168">IF(ISBLANK(C176),,""""&amp;C176&amp;"""")</f>
        <v/>
      </c>
      <c r="J176" s="237" t="str">
        <f t="shared" si="168"/>
        <v/>
      </c>
      <c r="K176" s="237" t="str">
        <f>IF(ISBLANK(F176),,Config!$C$3&amp;"&amp;range=BB"&amp;MATCH(F176,FRG!AC:AC,0))</f>
        <v/>
      </c>
      <c r="M176" s="243" t="str">
        <f>IFERROR(__xludf.DUMMYFUNCTION("IF(ISBLANK(F176),,SUBSTITUTE(IFERROR(JOIN("","",F176:K176),JOIN("","",F176:J176)),CHAR(10),""""))"),"")</f>
        <v/>
      </c>
      <c r="N176" s="229" t="str">
        <f t="shared" si="1"/>
        <v/>
      </c>
    </row>
    <row r="177">
      <c r="F177" s="237"/>
      <c r="G177" s="238" t="str">
        <f t="shared" si="3"/>
        <v/>
      </c>
      <c r="H177" s="238" t="str">
        <f t="shared" si="4"/>
        <v/>
      </c>
      <c r="I177" s="237" t="str">
        <f t="shared" ref="I177:J177" si="169">IF(ISBLANK(C177),,""""&amp;C177&amp;"""")</f>
        <v/>
      </c>
      <c r="J177" s="237" t="str">
        <f t="shared" si="169"/>
        <v/>
      </c>
      <c r="K177" s="237" t="str">
        <f>IF(ISBLANK(F177),,Config!$C$3&amp;"&amp;range=BB"&amp;MATCH(F177,FRG!AC:AC,0))</f>
        <v/>
      </c>
      <c r="M177" s="243" t="str">
        <f>IFERROR(__xludf.DUMMYFUNCTION("IF(ISBLANK(F177),,SUBSTITUTE(IFERROR(JOIN("","",F177:K177),JOIN("","",F177:J177)),CHAR(10),""""))"),"")</f>
        <v/>
      </c>
      <c r="N177" s="229" t="str">
        <f t="shared" si="1"/>
        <v/>
      </c>
    </row>
    <row r="178">
      <c r="F178" s="237"/>
      <c r="G178" s="238" t="str">
        <f t="shared" si="3"/>
        <v/>
      </c>
      <c r="H178" s="238" t="str">
        <f t="shared" si="4"/>
        <v/>
      </c>
      <c r="I178" s="237" t="str">
        <f t="shared" ref="I178:J178" si="170">IF(ISBLANK(C178),,""""&amp;C178&amp;"""")</f>
        <v/>
      </c>
      <c r="J178" s="237" t="str">
        <f t="shared" si="170"/>
        <v/>
      </c>
      <c r="K178" s="237" t="str">
        <f>IF(ISBLANK(F178),,Config!$C$3&amp;"&amp;range=BB"&amp;MATCH(F178,FRG!AC:AC,0))</f>
        <v/>
      </c>
      <c r="M178" s="243" t="str">
        <f>IFERROR(__xludf.DUMMYFUNCTION("IF(ISBLANK(F178),,SUBSTITUTE(IFERROR(JOIN("","",F178:K178),JOIN("","",F178:J178)),CHAR(10),""""))"),"")</f>
        <v/>
      </c>
      <c r="N178" s="229" t="str">
        <f t="shared" si="1"/>
        <v/>
      </c>
    </row>
    <row r="179">
      <c r="F179" s="237"/>
      <c r="G179" s="238" t="str">
        <f t="shared" si="3"/>
        <v/>
      </c>
      <c r="H179" s="238" t="str">
        <f t="shared" si="4"/>
        <v/>
      </c>
      <c r="I179" s="237" t="str">
        <f t="shared" ref="I179:J179" si="171">IF(ISBLANK(C179),,""""&amp;C179&amp;"""")</f>
        <v/>
      </c>
      <c r="J179" s="237" t="str">
        <f t="shared" si="171"/>
        <v/>
      </c>
      <c r="K179" s="237" t="str">
        <f>IF(ISBLANK(F179),,Config!$C$3&amp;"&amp;range=BB"&amp;MATCH(F179,FRG!AC:AC,0))</f>
        <v/>
      </c>
      <c r="M179" s="243" t="str">
        <f>IFERROR(__xludf.DUMMYFUNCTION("IF(ISBLANK(F179),,SUBSTITUTE(IFERROR(JOIN("","",F179:K179),JOIN("","",F179:J179)),CHAR(10),""""))"),"")</f>
        <v/>
      </c>
      <c r="N179" s="229" t="str">
        <f t="shared" si="1"/>
        <v/>
      </c>
    </row>
    <row r="180">
      <c r="F180" s="237"/>
      <c r="G180" s="238" t="str">
        <f t="shared" si="3"/>
        <v/>
      </c>
      <c r="H180" s="238" t="str">
        <f t="shared" si="4"/>
        <v/>
      </c>
      <c r="I180" s="237" t="str">
        <f t="shared" ref="I180:J180" si="172">IF(ISBLANK(C180),,""""&amp;C180&amp;"""")</f>
        <v/>
      </c>
      <c r="J180" s="237" t="str">
        <f t="shared" si="172"/>
        <v/>
      </c>
      <c r="K180" s="237" t="str">
        <f>IF(ISBLANK(F180),,Config!$C$3&amp;"&amp;range=BB"&amp;MATCH(F180,FRG!AC:AC,0))</f>
        <v/>
      </c>
      <c r="M180" s="243" t="str">
        <f>IFERROR(__xludf.DUMMYFUNCTION("IF(ISBLANK(F180),,SUBSTITUTE(IFERROR(JOIN("","",F180:K180),JOIN("","",F180:J180)),CHAR(10),""""))"),"")</f>
        <v/>
      </c>
      <c r="N180" s="229" t="str">
        <f t="shared" si="1"/>
        <v/>
      </c>
    </row>
    <row r="181">
      <c r="F181" s="237"/>
      <c r="G181" s="238" t="str">
        <f t="shared" si="3"/>
        <v/>
      </c>
      <c r="H181" s="238" t="str">
        <f t="shared" si="4"/>
        <v/>
      </c>
      <c r="I181" s="237" t="str">
        <f t="shared" ref="I181:J181" si="173">IF(ISBLANK(C181),,""""&amp;C181&amp;"""")</f>
        <v/>
      </c>
      <c r="J181" s="237" t="str">
        <f t="shared" si="173"/>
        <v/>
      </c>
      <c r="K181" s="237" t="str">
        <f>IF(ISBLANK(F181),,Config!$C$3&amp;"&amp;range=BB"&amp;MATCH(F181,FRG!AC:AC,0))</f>
        <v/>
      </c>
      <c r="M181" s="243" t="str">
        <f>IFERROR(__xludf.DUMMYFUNCTION("IF(ISBLANK(F181),,SUBSTITUTE(IFERROR(JOIN("","",F181:K181),JOIN("","",F181:J181)),CHAR(10),""""))"),"")</f>
        <v/>
      </c>
      <c r="N181" s="229" t="str">
        <f t="shared" si="1"/>
        <v/>
      </c>
    </row>
    <row r="182">
      <c r="F182" s="237"/>
      <c r="G182" s="238" t="str">
        <f t="shared" si="3"/>
        <v/>
      </c>
      <c r="H182" s="238" t="str">
        <f t="shared" si="4"/>
        <v/>
      </c>
      <c r="I182" s="237" t="str">
        <f t="shared" ref="I182:J182" si="174">IF(ISBLANK(C182),,""""&amp;C182&amp;"""")</f>
        <v/>
      </c>
      <c r="J182" s="237" t="str">
        <f t="shared" si="174"/>
        <v/>
      </c>
      <c r="K182" s="237" t="str">
        <f>IF(ISBLANK(F182),,Config!$C$3&amp;"&amp;range=BB"&amp;MATCH(F182,FRG!AC:AC,0))</f>
        <v/>
      </c>
      <c r="M182" s="243" t="str">
        <f>IFERROR(__xludf.DUMMYFUNCTION("IF(ISBLANK(F182),,SUBSTITUTE(IFERROR(JOIN("","",F182:K182),JOIN("","",F182:J182)),CHAR(10),""""))"),"")</f>
        <v/>
      </c>
      <c r="N182" s="229" t="str">
        <f t="shared" si="1"/>
        <v/>
      </c>
    </row>
    <row r="183">
      <c r="F183" s="237"/>
      <c r="G183" s="238" t="str">
        <f t="shared" si="3"/>
        <v/>
      </c>
      <c r="H183" s="238" t="str">
        <f t="shared" si="4"/>
        <v/>
      </c>
      <c r="I183" s="237" t="str">
        <f t="shared" ref="I183:J183" si="175">IF(ISBLANK(C183),,""""&amp;C183&amp;"""")</f>
        <v/>
      </c>
      <c r="J183" s="237" t="str">
        <f t="shared" si="175"/>
        <v/>
      </c>
      <c r="K183" s="237" t="str">
        <f>IF(ISBLANK(F183),,Config!$C$3&amp;"&amp;range=BB"&amp;MATCH(F183,FRG!AC:AC,0))</f>
        <v/>
      </c>
      <c r="M183" s="243" t="str">
        <f>IFERROR(__xludf.DUMMYFUNCTION("IF(ISBLANK(F183),,SUBSTITUTE(IFERROR(JOIN("","",F183:K183),JOIN("","",F183:J183)),CHAR(10),""""))"),"")</f>
        <v/>
      </c>
      <c r="N183" s="229" t="str">
        <f t="shared" si="1"/>
        <v/>
      </c>
    </row>
    <row r="184">
      <c r="F184" s="237"/>
      <c r="G184" s="238" t="str">
        <f t="shared" si="3"/>
        <v/>
      </c>
      <c r="H184" s="238" t="str">
        <f t="shared" si="4"/>
        <v/>
      </c>
      <c r="I184" s="237" t="str">
        <f t="shared" ref="I184:J184" si="176">IF(ISBLANK(C184),,""""&amp;C184&amp;"""")</f>
        <v/>
      </c>
      <c r="J184" s="237" t="str">
        <f t="shared" si="176"/>
        <v/>
      </c>
      <c r="K184" s="237" t="str">
        <f>IF(ISBLANK(F184),,Config!$C$3&amp;"&amp;range=BB"&amp;MATCH(F184,FRG!AC:AC,0))</f>
        <v/>
      </c>
      <c r="M184" s="243" t="str">
        <f>IFERROR(__xludf.DUMMYFUNCTION("IF(ISBLANK(F184),,SUBSTITUTE(IFERROR(JOIN("","",F184:K184),JOIN("","",F184:J184)),CHAR(10),""""))"),"")</f>
        <v/>
      </c>
      <c r="N184" s="229" t="str">
        <f t="shared" si="1"/>
        <v/>
      </c>
    </row>
    <row r="185">
      <c r="F185" s="237"/>
      <c r="G185" s="238" t="str">
        <f t="shared" si="3"/>
        <v/>
      </c>
      <c r="H185" s="238" t="str">
        <f t="shared" si="4"/>
        <v/>
      </c>
      <c r="I185" s="237" t="str">
        <f t="shared" ref="I185:J185" si="177">IF(ISBLANK(C185),,""""&amp;C185&amp;"""")</f>
        <v/>
      </c>
      <c r="J185" s="237" t="str">
        <f t="shared" si="177"/>
        <v/>
      </c>
      <c r="K185" s="237" t="str">
        <f>IF(ISBLANK(F185),,Config!$C$3&amp;"&amp;range=BB"&amp;MATCH(F185,FRG!AC:AC,0))</f>
        <v/>
      </c>
      <c r="M185" s="243" t="str">
        <f>IFERROR(__xludf.DUMMYFUNCTION("IF(ISBLANK(F185),,SUBSTITUTE(IFERROR(JOIN("","",F185:K185),JOIN("","",F185:J185)),CHAR(10),""""))"),"")</f>
        <v/>
      </c>
      <c r="N185" s="229" t="str">
        <f t="shared" si="1"/>
        <v/>
      </c>
    </row>
    <row r="186">
      <c r="F186" s="237"/>
      <c r="G186" s="238" t="str">
        <f t="shared" si="3"/>
        <v/>
      </c>
      <c r="H186" s="238" t="str">
        <f t="shared" si="4"/>
        <v/>
      </c>
      <c r="I186" s="237" t="str">
        <f t="shared" ref="I186:J186" si="178">IF(ISBLANK(C186),,""""&amp;C186&amp;"""")</f>
        <v/>
      </c>
      <c r="J186" s="237" t="str">
        <f t="shared" si="178"/>
        <v/>
      </c>
      <c r="K186" s="237" t="str">
        <f>IF(ISBLANK(F186),,Config!$C$3&amp;"&amp;range=BB"&amp;MATCH(F186,FRG!AC:AC,0))</f>
        <v/>
      </c>
      <c r="M186" s="243" t="str">
        <f>IFERROR(__xludf.DUMMYFUNCTION("IF(ISBLANK(F186),,SUBSTITUTE(IFERROR(JOIN("","",F186:K186),JOIN("","",F186:J186)),CHAR(10),""""))"),"")</f>
        <v/>
      </c>
      <c r="N186" s="229" t="str">
        <f t="shared" si="1"/>
        <v/>
      </c>
    </row>
    <row r="187">
      <c r="F187" s="237"/>
      <c r="G187" s="238" t="str">
        <f t="shared" si="3"/>
        <v/>
      </c>
      <c r="H187" s="238" t="str">
        <f t="shared" si="4"/>
        <v/>
      </c>
      <c r="I187" s="237" t="str">
        <f t="shared" ref="I187:J187" si="179">IF(ISBLANK(C187),,""""&amp;C187&amp;"""")</f>
        <v/>
      </c>
      <c r="J187" s="237" t="str">
        <f t="shared" si="179"/>
        <v/>
      </c>
      <c r="K187" s="237" t="str">
        <f>IF(ISBLANK(F187),,Config!$C$3&amp;"&amp;range=BB"&amp;MATCH(F187,FRG!AC:AC,0))</f>
        <v/>
      </c>
      <c r="M187" s="243" t="str">
        <f>IFERROR(__xludf.DUMMYFUNCTION("IF(ISBLANK(F187),,SUBSTITUTE(IFERROR(JOIN("","",F187:K187),JOIN("","",F187:J187)),CHAR(10),""""))"),"")</f>
        <v/>
      </c>
      <c r="N187" s="229" t="str">
        <f t="shared" si="1"/>
        <v/>
      </c>
    </row>
    <row r="188">
      <c r="F188" s="237"/>
      <c r="G188" s="238" t="str">
        <f t="shared" si="3"/>
        <v/>
      </c>
      <c r="H188" s="238" t="str">
        <f t="shared" si="4"/>
        <v/>
      </c>
      <c r="I188" s="237" t="str">
        <f t="shared" ref="I188:J188" si="180">IF(ISBLANK(C188),,""""&amp;C188&amp;"""")</f>
        <v/>
      </c>
      <c r="J188" s="237" t="str">
        <f t="shared" si="180"/>
        <v/>
      </c>
      <c r="K188" s="237" t="str">
        <f>IF(ISBLANK(F188),,Config!$C$3&amp;"&amp;range=BB"&amp;MATCH(F188,FRG!AC:AC,0))</f>
        <v/>
      </c>
      <c r="M188" s="243" t="str">
        <f>IFERROR(__xludf.DUMMYFUNCTION("IF(ISBLANK(F188),,SUBSTITUTE(IFERROR(JOIN("","",F188:K188),JOIN("","",F188:J188)),CHAR(10),""""))"),"")</f>
        <v/>
      </c>
      <c r="N188" s="229" t="str">
        <f t="shared" si="1"/>
        <v/>
      </c>
    </row>
    <row r="189">
      <c r="F189" s="237"/>
      <c r="G189" s="238" t="str">
        <f t="shared" si="3"/>
        <v/>
      </c>
      <c r="H189" s="238" t="str">
        <f t="shared" si="4"/>
        <v/>
      </c>
      <c r="I189" s="237" t="str">
        <f t="shared" ref="I189:J189" si="181">IF(ISBLANK(C189),,""""&amp;C189&amp;"""")</f>
        <v/>
      </c>
      <c r="J189" s="237" t="str">
        <f t="shared" si="181"/>
        <v/>
      </c>
      <c r="K189" s="237" t="str">
        <f>IF(ISBLANK(F189),,Config!$C$3&amp;"&amp;range=BB"&amp;MATCH(F189,FRG!AC:AC,0))</f>
        <v/>
      </c>
      <c r="M189" s="243" t="str">
        <f>IFERROR(__xludf.DUMMYFUNCTION("IF(ISBLANK(F189),,SUBSTITUTE(IFERROR(JOIN("","",F189:K189),JOIN("","",F189:J189)),CHAR(10),""""))"),"")</f>
        <v/>
      </c>
      <c r="N189" s="229" t="str">
        <f t="shared" si="1"/>
        <v/>
      </c>
    </row>
    <row r="190">
      <c r="F190" s="237"/>
      <c r="G190" s="238" t="str">
        <f t="shared" si="3"/>
        <v/>
      </c>
      <c r="H190" s="238" t="str">
        <f t="shared" si="4"/>
        <v/>
      </c>
      <c r="I190" s="237" t="str">
        <f t="shared" ref="I190:J190" si="182">IF(ISBLANK(C190),,""""&amp;C190&amp;"""")</f>
        <v/>
      </c>
      <c r="J190" s="237" t="str">
        <f t="shared" si="182"/>
        <v/>
      </c>
      <c r="K190" s="237" t="str">
        <f>IF(ISBLANK(F190),,Config!$C$3&amp;"&amp;range=BB"&amp;MATCH(F190,FRG!AC:AC,0))</f>
        <v/>
      </c>
      <c r="M190" s="243" t="str">
        <f>IFERROR(__xludf.DUMMYFUNCTION("IF(ISBLANK(F190),,SUBSTITUTE(IFERROR(JOIN("","",F190:K190),JOIN("","",F190:J190)),CHAR(10),""""))"),"")</f>
        <v/>
      </c>
      <c r="N190" s="229" t="str">
        <f t="shared" si="1"/>
        <v/>
      </c>
    </row>
    <row r="191">
      <c r="F191" s="237"/>
      <c r="G191" s="238" t="str">
        <f t="shared" si="3"/>
        <v/>
      </c>
      <c r="H191" s="238" t="str">
        <f t="shared" si="4"/>
        <v/>
      </c>
      <c r="I191" s="237" t="str">
        <f t="shared" ref="I191:J191" si="183">IF(ISBLANK(C191),,""""&amp;C191&amp;"""")</f>
        <v/>
      </c>
      <c r="J191" s="237" t="str">
        <f t="shared" si="183"/>
        <v/>
      </c>
      <c r="K191" s="237" t="str">
        <f>IF(ISBLANK(F191),,Config!$C$3&amp;"&amp;range=BB"&amp;MATCH(F191,FRG!AC:AC,0))</f>
        <v/>
      </c>
      <c r="M191" s="243" t="str">
        <f>IFERROR(__xludf.DUMMYFUNCTION("IF(ISBLANK(F191),,SUBSTITUTE(IFERROR(JOIN("","",F191:K191),JOIN("","",F191:J191)),CHAR(10),""""))"),"")</f>
        <v/>
      </c>
      <c r="N191" s="229" t="str">
        <f t="shared" si="1"/>
        <v/>
      </c>
    </row>
    <row r="192">
      <c r="F192" s="237"/>
      <c r="G192" s="238" t="str">
        <f t="shared" si="3"/>
        <v/>
      </c>
      <c r="H192" s="238" t="str">
        <f t="shared" si="4"/>
        <v/>
      </c>
      <c r="I192" s="237" t="str">
        <f t="shared" ref="I192:J192" si="184">IF(ISBLANK(C192),,""""&amp;C192&amp;"""")</f>
        <v/>
      </c>
      <c r="J192" s="237" t="str">
        <f t="shared" si="184"/>
        <v/>
      </c>
      <c r="K192" s="237" t="str">
        <f>IF(ISBLANK(F192),,Config!$C$3&amp;"&amp;range=BB"&amp;MATCH(F192,FRG!AC:AC,0))</f>
        <v/>
      </c>
      <c r="M192" s="243" t="str">
        <f>IFERROR(__xludf.DUMMYFUNCTION("IF(ISBLANK(F192),,SUBSTITUTE(IFERROR(JOIN("","",F192:K192),JOIN("","",F192:J192)),CHAR(10),""""))"),"")</f>
        <v/>
      </c>
      <c r="N192" s="229" t="str">
        <f t="shared" si="1"/>
        <v/>
      </c>
    </row>
    <row r="193">
      <c r="F193" s="237"/>
      <c r="G193" s="238" t="str">
        <f t="shared" si="3"/>
        <v/>
      </c>
      <c r="H193" s="238" t="str">
        <f t="shared" si="4"/>
        <v/>
      </c>
      <c r="I193" s="237" t="str">
        <f t="shared" ref="I193:J193" si="185">IF(ISBLANK(C193),,""""&amp;C193&amp;"""")</f>
        <v/>
      </c>
      <c r="J193" s="237" t="str">
        <f t="shared" si="185"/>
        <v/>
      </c>
      <c r="K193" s="237" t="str">
        <f>IF(ISBLANK(F193),,Config!$C$3&amp;"&amp;range=BB"&amp;MATCH(F193,FRG!AC:AC,0))</f>
        <v/>
      </c>
      <c r="M193" s="243" t="str">
        <f>IFERROR(__xludf.DUMMYFUNCTION("IF(ISBLANK(F193),,SUBSTITUTE(IFERROR(JOIN("","",F193:K193),JOIN("","",F193:J193)),CHAR(10),""""))"),"")</f>
        <v/>
      </c>
      <c r="N193" s="229" t="str">
        <f t="shared" si="1"/>
        <v/>
      </c>
    </row>
    <row r="194">
      <c r="F194" s="237"/>
      <c r="G194" s="238" t="str">
        <f t="shared" si="3"/>
        <v/>
      </c>
      <c r="H194" s="238" t="str">
        <f t="shared" si="4"/>
        <v/>
      </c>
      <c r="I194" s="237" t="str">
        <f t="shared" ref="I194:J194" si="186">IF(ISBLANK(C194),,""""&amp;C194&amp;"""")</f>
        <v/>
      </c>
      <c r="J194" s="237" t="str">
        <f t="shared" si="186"/>
        <v/>
      </c>
      <c r="K194" s="237" t="str">
        <f>IF(ISBLANK(F194),,Config!$C$3&amp;"&amp;range=BB"&amp;MATCH(F194,FRG!AC:AC,0))</f>
        <v/>
      </c>
      <c r="M194" s="243" t="str">
        <f>IFERROR(__xludf.DUMMYFUNCTION("IF(ISBLANK(F194),,SUBSTITUTE(IFERROR(JOIN("","",F194:K194),JOIN("","",F194:J194)),CHAR(10),""""))"),"")</f>
        <v/>
      </c>
      <c r="N194" s="229" t="str">
        <f t="shared" si="1"/>
        <v/>
      </c>
    </row>
    <row r="195">
      <c r="F195" s="237"/>
      <c r="G195" s="238" t="str">
        <f t="shared" si="3"/>
        <v/>
      </c>
      <c r="H195" s="238" t="str">
        <f t="shared" si="4"/>
        <v/>
      </c>
      <c r="I195" s="237" t="str">
        <f t="shared" ref="I195:J195" si="187">IF(ISBLANK(C195),,""""&amp;C195&amp;"""")</f>
        <v/>
      </c>
      <c r="J195" s="237" t="str">
        <f t="shared" si="187"/>
        <v/>
      </c>
      <c r="K195" s="237" t="str">
        <f>IF(ISBLANK(F195),,Config!$C$3&amp;"&amp;range=BB"&amp;MATCH(F195,FRG!AC:AC,0))</f>
        <v/>
      </c>
      <c r="M195" s="243" t="str">
        <f>IFERROR(__xludf.DUMMYFUNCTION("IF(ISBLANK(F195),,SUBSTITUTE(IFERROR(JOIN("","",F195:K195),JOIN("","",F195:J195)),CHAR(10),""""))"),"")</f>
        <v/>
      </c>
      <c r="N195" s="229" t="str">
        <f t="shared" si="1"/>
        <v/>
      </c>
    </row>
    <row r="196">
      <c r="F196" s="237"/>
      <c r="G196" s="238" t="str">
        <f t="shared" si="3"/>
        <v/>
      </c>
      <c r="H196" s="238" t="str">
        <f t="shared" si="4"/>
        <v/>
      </c>
      <c r="I196" s="237" t="str">
        <f t="shared" ref="I196:J196" si="188">IF(ISBLANK(C196),,""""&amp;C196&amp;"""")</f>
        <v/>
      </c>
      <c r="J196" s="237" t="str">
        <f t="shared" si="188"/>
        <v/>
      </c>
      <c r="K196" s="237" t="str">
        <f>IF(ISBLANK(F196),,Config!$C$3&amp;"&amp;range=BB"&amp;MATCH(F196,FRG!AC:AC,0))</f>
        <v/>
      </c>
      <c r="M196" s="243" t="str">
        <f>IFERROR(__xludf.DUMMYFUNCTION("IF(ISBLANK(F196),,SUBSTITUTE(IFERROR(JOIN("","",F196:K196),JOIN("","",F196:J196)),CHAR(10),""""))"),"")</f>
        <v/>
      </c>
      <c r="N196" s="229" t="str">
        <f t="shared" si="1"/>
        <v/>
      </c>
    </row>
    <row r="197">
      <c r="F197" s="237"/>
      <c r="G197" s="238" t="str">
        <f t="shared" si="3"/>
        <v/>
      </c>
      <c r="H197" s="238" t="str">
        <f t="shared" si="4"/>
        <v/>
      </c>
      <c r="I197" s="237" t="str">
        <f t="shared" ref="I197:J197" si="189">IF(ISBLANK(C197),,""""&amp;C197&amp;"""")</f>
        <v/>
      </c>
      <c r="J197" s="237" t="str">
        <f t="shared" si="189"/>
        <v/>
      </c>
      <c r="K197" s="237" t="str">
        <f>IF(ISBLANK(F197),,Config!$C$3&amp;"&amp;range=BB"&amp;MATCH(F197,FRG!AC:AC,0))</f>
        <v/>
      </c>
      <c r="M197" s="243" t="str">
        <f>IFERROR(__xludf.DUMMYFUNCTION("IF(ISBLANK(F197),,SUBSTITUTE(IFERROR(JOIN("","",F197:K197),JOIN("","",F197:J197)),CHAR(10),""""))"),"")</f>
        <v/>
      </c>
      <c r="N197" s="229" t="str">
        <f t="shared" si="1"/>
        <v/>
      </c>
    </row>
    <row r="198">
      <c r="F198" s="237"/>
      <c r="G198" s="238" t="str">
        <f t="shared" si="3"/>
        <v/>
      </c>
      <c r="H198" s="238" t="str">
        <f t="shared" si="4"/>
        <v/>
      </c>
      <c r="I198" s="237" t="str">
        <f t="shared" ref="I198:J198" si="190">IF(ISBLANK(C198),,""""&amp;C198&amp;"""")</f>
        <v/>
      </c>
      <c r="J198" s="237" t="str">
        <f t="shared" si="190"/>
        <v/>
      </c>
      <c r="K198" s="237" t="str">
        <f>IF(ISBLANK(F198),,Config!$C$3&amp;"&amp;range=BB"&amp;MATCH(F198,FRG!AC:AC,0))</f>
        <v/>
      </c>
      <c r="M198" s="243" t="str">
        <f>IFERROR(__xludf.DUMMYFUNCTION("IF(ISBLANK(F198),,SUBSTITUTE(IFERROR(JOIN("","",F198:K198),JOIN("","",F198:J198)),CHAR(10),""""))"),"")</f>
        <v/>
      </c>
      <c r="N198" s="229" t="str">
        <f t="shared" si="1"/>
        <v/>
      </c>
    </row>
    <row r="199">
      <c r="F199" s="237"/>
      <c r="G199" s="238" t="str">
        <f t="shared" si="3"/>
        <v/>
      </c>
      <c r="H199" s="238" t="str">
        <f t="shared" si="4"/>
        <v/>
      </c>
      <c r="I199" s="237" t="str">
        <f t="shared" ref="I199:J199" si="191">IF(ISBLANK(C199),,""""&amp;C199&amp;"""")</f>
        <v/>
      </c>
      <c r="J199" s="237" t="str">
        <f t="shared" si="191"/>
        <v/>
      </c>
      <c r="K199" s="237" t="str">
        <f>IF(ISBLANK(F199),,Config!$C$3&amp;"&amp;range=BB"&amp;MATCH(F199,FRG!AC:AC,0))</f>
        <v/>
      </c>
      <c r="M199" s="243" t="str">
        <f>IFERROR(__xludf.DUMMYFUNCTION("IF(ISBLANK(F199),,SUBSTITUTE(IFERROR(JOIN("","",F199:K199),JOIN("","",F199:J199)),CHAR(10),""""))"),"")</f>
        <v/>
      </c>
      <c r="N199" s="229" t="str">
        <f t="shared" si="1"/>
        <v/>
      </c>
    </row>
    <row r="200">
      <c r="F200" s="237"/>
      <c r="G200" s="238" t="str">
        <f t="shared" si="3"/>
        <v/>
      </c>
      <c r="H200" s="238" t="str">
        <f t="shared" si="4"/>
        <v/>
      </c>
      <c r="I200" s="237" t="str">
        <f t="shared" ref="I200:J200" si="192">IF(ISBLANK(C200),,""""&amp;C200&amp;"""")</f>
        <v/>
      </c>
      <c r="J200" s="237" t="str">
        <f t="shared" si="192"/>
        <v/>
      </c>
      <c r="K200" s="237" t="str">
        <f>IF(ISBLANK(F200),,Config!$C$3&amp;"&amp;range=BB"&amp;MATCH(F200,FRG!AC:AC,0))</f>
        <v/>
      </c>
      <c r="M200" s="243" t="str">
        <f>IFERROR(__xludf.DUMMYFUNCTION("IF(ISBLANK(F200),,SUBSTITUTE(IFERROR(JOIN("","",F200:K200),JOIN("","",F200:J200)),CHAR(10),""""))"),"")</f>
        <v/>
      </c>
      <c r="N200" s="229" t="str">
        <f t="shared" si="1"/>
        <v/>
      </c>
    </row>
    <row r="201">
      <c r="F201" s="237"/>
      <c r="G201" s="238" t="str">
        <f t="shared" si="3"/>
        <v/>
      </c>
      <c r="H201" s="238" t="str">
        <f t="shared" si="4"/>
        <v/>
      </c>
      <c r="I201" s="237" t="str">
        <f t="shared" ref="I201:J201" si="193">IF(ISBLANK(C201),,""""&amp;C201&amp;"""")</f>
        <v/>
      </c>
      <c r="J201" s="237" t="str">
        <f t="shared" si="193"/>
        <v/>
      </c>
      <c r="K201" s="237" t="str">
        <f>IF(ISBLANK(F201),,Config!$C$3&amp;"&amp;range=BB"&amp;MATCH(F201,FRG!AC:AC,0))</f>
        <v/>
      </c>
      <c r="M201" s="243" t="str">
        <f>IFERROR(__xludf.DUMMYFUNCTION("IF(ISBLANK(F201),,SUBSTITUTE(IFERROR(JOIN("","",F201:K201),JOIN("","",F201:J201)),CHAR(10),""""))"),"")</f>
        <v/>
      </c>
      <c r="N201" s="229" t="str">
        <f t="shared" si="1"/>
        <v/>
      </c>
    </row>
    <row r="202">
      <c r="F202" s="237"/>
      <c r="G202" s="238" t="str">
        <f t="shared" si="3"/>
        <v/>
      </c>
      <c r="H202" s="238" t="str">
        <f t="shared" si="4"/>
        <v/>
      </c>
      <c r="I202" s="237" t="str">
        <f t="shared" ref="I202:J202" si="194">IF(ISBLANK(C202),,""""&amp;C202&amp;"""")</f>
        <v/>
      </c>
      <c r="J202" s="237" t="str">
        <f t="shared" si="194"/>
        <v/>
      </c>
      <c r="K202" s="237" t="str">
        <f>IF(ISBLANK(F202),,Config!$C$3&amp;"&amp;range=BB"&amp;MATCH(F202,FRG!AC:AC,0))</f>
        <v/>
      </c>
      <c r="M202" s="243" t="str">
        <f>IFERROR(__xludf.DUMMYFUNCTION("IF(ISBLANK(F202),,SUBSTITUTE(IFERROR(JOIN("","",F202:K202),JOIN("","",F202:J202)),CHAR(10),""""))"),"")</f>
        <v/>
      </c>
      <c r="N202" s="229" t="str">
        <f t="shared" si="1"/>
        <v/>
      </c>
    </row>
    <row r="203">
      <c r="F203" s="237"/>
      <c r="G203" s="238" t="str">
        <f t="shared" si="3"/>
        <v/>
      </c>
      <c r="H203" s="238" t="str">
        <f t="shared" si="4"/>
        <v/>
      </c>
      <c r="I203" s="237" t="str">
        <f t="shared" ref="I203:J203" si="195">IF(ISBLANK(C203),,""""&amp;C203&amp;"""")</f>
        <v/>
      </c>
      <c r="J203" s="237" t="str">
        <f t="shared" si="195"/>
        <v/>
      </c>
      <c r="K203" s="237" t="str">
        <f>IF(ISBLANK(F203),,Config!$C$3&amp;"&amp;range=BB"&amp;MATCH(F203,FRG!AC:AC,0))</f>
        <v/>
      </c>
      <c r="M203" s="243" t="str">
        <f>IFERROR(__xludf.DUMMYFUNCTION("IF(ISBLANK(F203),,SUBSTITUTE(IFERROR(JOIN("","",F203:K203),JOIN("","",F203:J203)),CHAR(10),""""))"),"")</f>
        <v/>
      </c>
      <c r="N203" s="229" t="str">
        <f t="shared" si="1"/>
        <v/>
      </c>
    </row>
    <row r="204">
      <c r="F204" s="237"/>
      <c r="G204" s="238" t="str">
        <f t="shared" si="3"/>
        <v/>
      </c>
      <c r="H204" s="238" t="str">
        <f t="shared" si="4"/>
        <v/>
      </c>
      <c r="I204" s="237" t="str">
        <f t="shared" ref="I204:J204" si="196">IF(ISBLANK(C204),,""""&amp;C204&amp;"""")</f>
        <v/>
      </c>
      <c r="J204" s="237" t="str">
        <f t="shared" si="196"/>
        <v/>
      </c>
      <c r="K204" s="237" t="str">
        <f>IF(ISBLANK(F204),,Config!$C$3&amp;"&amp;range=BB"&amp;MATCH(F204,FRG!AC:AC,0))</f>
        <v/>
      </c>
      <c r="M204" s="243" t="str">
        <f>IFERROR(__xludf.DUMMYFUNCTION("IF(ISBLANK(F204),,SUBSTITUTE(IFERROR(JOIN("","",F204:K204),JOIN("","",F204:J204)),CHAR(10),""""))"),"")</f>
        <v/>
      </c>
      <c r="N204" s="229" t="str">
        <f t="shared" si="1"/>
        <v/>
      </c>
    </row>
    <row r="205">
      <c r="F205" s="237"/>
      <c r="G205" s="238" t="str">
        <f t="shared" si="3"/>
        <v/>
      </c>
      <c r="H205" s="238" t="str">
        <f t="shared" si="4"/>
        <v/>
      </c>
      <c r="I205" s="237" t="str">
        <f t="shared" ref="I205:J205" si="197">IF(ISBLANK(C205),,""""&amp;C205&amp;"""")</f>
        <v/>
      </c>
      <c r="J205" s="237" t="str">
        <f t="shared" si="197"/>
        <v/>
      </c>
      <c r="K205" s="237" t="str">
        <f>IF(ISBLANK(F205),,Config!$C$3&amp;"&amp;range=BB"&amp;MATCH(F205,FRG!AC:AC,0))</f>
        <v/>
      </c>
      <c r="M205" s="243" t="str">
        <f>IFERROR(__xludf.DUMMYFUNCTION("IF(ISBLANK(F205),,SUBSTITUTE(IFERROR(JOIN("","",F205:K205),JOIN("","",F205:J205)),CHAR(10),""""))"),"")</f>
        <v/>
      </c>
      <c r="N205" s="229" t="str">
        <f t="shared" si="1"/>
        <v/>
      </c>
    </row>
    <row r="206">
      <c r="F206" s="237"/>
      <c r="G206" s="238" t="str">
        <f t="shared" si="3"/>
        <v/>
      </c>
      <c r="H206" s="238" t="str">
        <f t="shared" si="4"/>
        <v/>
      </c>
      <c r="I206" s="237" t="str">
        <f t="shared" ref="I206:J206" si="198">IF(ISBLANK(C206),,""""&amp;C206&amp;"""")</f>
        <v/>
      </c>
      <c r="J206" s="237" t="str">
        <f t="shared" si="198"/>
        <v/>
      </c>
      <c r="K206" s="237" t="str">
        <f>IF(ISBLANK(F206),,Config!$C$3&amp;"&amp;range=BB"&amp;MATCH(F206,FRG!AC:AC,0))</f>
        <v/>
      </c>
      <c r="M206" s="243" t="str">
        <f>IFERROR(__xludf.DUMMYFUNCTION("IF(ISBLANK(F206),,SUBSTITUTE(IFERROR(JOIN("","",F206:K206),JOIN("","",F206:J206)),CHAR(10),""""))"),"")</f>
        <v/>
      </c>
      <c r="N206" s="229" t="str">
        <f t="shared" si="1"/>
        <v/>
      </c>
    </row>
    <row r="207">
      <c r="F207" s="237"/>
      <c r="G207" s="238" t="str">
        <f t="shared" si="3"/>
        <v/>
      </c>
      <c r="H207" s="238" t="str">
        <f t="shared" si="4"/>
        <v/>
      </c>
      <c r="I207" s="237" t="str">
        <f t="shared" ref="I207:J207" si="199">IF(ISBLANK(C207),,""""&amp;C207&amp;"""")</f>
        <v/>
      </c>
      <c r="J207" s="237" t="str">
        <f t="shared" si="199"/>
        <v/>
      </c>
      <c r="K207" s="237" t="str">
        <f>IF(ISBLANK(F207),,Config!$C$3&amp;"&amp;range=BB"&amp;MATCH(F207,FRG!AC:AC,0))</f>
        <v/>
      </c>
      <c r="M207" s="243" t="str">
        <f>IFERROR(__xludf.DUMMYFUNCTION("IF(ISBLANK(F207),,SUBSTITUTE(IFERROR(JOIN("","",F207:K207),JOIN("","",F207:J207)),CHAR(10),""""))"),"")</f>
        <v/>
      </c>
      <c r="N207" s="229" t="str">
        <f t="shared" si="1"/>
        <v/>
      </c>
    </row>
    <row r="208">
      <c r="F208" s="237"/>
      <c r="G208" s="238" t="str">
        <f t="shared" si="3"/>
        <v/>
      </c>
      <c r="H208" s="238" t="str">
        <f t="shared" si="4"/>
        <v/>
      </c>
      <c r="I208" s="237" t="str">
        <f t="shared" ref="I208:J208" si="200">IF(ISBLANK(C208),,""""&amp;C208&amp;"""")</f>
        <v/>
      </c>
      <c r="J208" s="237" t="str">
        <f t="shared" si="200"/>
        <v/>
      </c>
      <c r="K208" s="237" t="str">
        <f>IF(ISBLANK(F208),,Config!$C$3&amp;"&amp;range=BB"&amp;MATCH(F208,FRG!AC:AC,0))</f>
        <v/>
      </c>
      <c r="M208" s="243" t="str">
        <f>IFERROR(__xludf.DUMMYFUNCTION("IF(ISBLANK(F208),,SUBSTITUTE(IFERROR(JOIN("","",F208:K208),JOIN("","",F208:J208)),CHAR(10),""""))"),"")</f>
        <v/>
      </c>
      <c r="N208" s="229" t="str">
        <f t="shared" si="1"/>
        <v/>
      </c>
    </row>
    <row r="209">
      <c r="F209" s="237"/>
      <c r="G209" s="238" t="str">
        <f t="shared" si="3"/>
        <v/>
      </c>
      <c r="H209" s="238" t="str">
        <f t="shared" si="4"/>
        <v/>
      </c>
      <c r="I209" s="237" t="str">
        <f t="shared" ref="I209:J209" si="201">IF(ISBLANK(C209),,""""&amp;C209&amp;"""")</f>
        <v/>
      </c>
      <c r="J209" s="237" t="str">
        <f t="shared" si="201"/>
        <v/>
      </c>
      <c r="K209" s="237" t="str">
        <f>IF(ISBLANK(F209),,Config!$C$3&amp;"&amp;range=BB"&amp;MATCH(F209,FRG!AC:AC,0))</f>
        <v/>
      </c>
      <c r="M209" s="243" t="str">
        <f>IFERROR(__xludf.DUMMYFUNCTION("IF(ISBLANK(F209),,SUBSTITUTE(IFERROR(JOIN("","",F209:K209),JOIN("","",F209:J209)),CHAR(10),""""))"),"")</f>
        <v/>
      </c>
      <c r="N209" s="229" t="str">
        <f t="shared" si="1"/>
        <v/>
      </c>
    </row>
    <row r="210">
      <c r="F210" s="237"/>
      <c r="G210" s="238" t="str">
        <f t="shared" si="3"/>
        <v/>
      </c>
      <c r="H210" s="238" t="str">
        <f t="shared" si="4"/>
        <v/>
      </c>
      <c r="I210" s="237" t="str">
        <f t="shared" ref="I210:J210" si="202">IF(ISBLANK(C210),,""""&amp;C210&amp;"""")</f>
        <v/>
      </c>
      <c r="J210" s="237" t="str">
        <f t="shared" si="202"/>
        <v/>
      </c>
      <c r="K210" s="237" t="str">
        <f>IF(ISBLANK(F210),,Config!$C$3&amp;"&amp;range=BB"&amp;MATCH(F210,FRG!AC:AC,0))</f>
        <v/>
      </c>
      <c r="M210" s="243" t="str">
        <f>IFERROR(__xludf.DUMMYFUNCTION("IF(ISBLANK(F210),,SUBSTITUTE(IFERROR(JOIN("","",F210:K210),JOIN("","",F210:J210)),CHAR(10),""""))"),"")</f>
        <v/>
      </c>
      <c r="N210" s="229" t="str">
        <f t="shared" si="1"/>
        <v/>
      </c>
    </row>
    <row r="211">
      <c r="F211" s="237"/>
      <c r="G211" s="238" t="str">
        <f t="shared" si="3"/>
        <v/>
      </c>
      <c r="H211" s="238" t="str">
        <f t="shared" si="4"/>
        <v/>
      </c>
      <c r="I211" s="237" t="str">
        <f t="shared" ref="I211:J211" si="203">IF(ISBLANK(C211),,""""&amp;C211&amp;"""")</f>
        <v/>
      </c>
      <c r="J211" s="237" t="str">
        <f t="shared" si="203"/>
        <v/>
      </c>
      <c r="K211" s="237" t="str">
        <f>IF(ISBLANK(F211),,Config!$C$3&amp;"&amp;range=BB"&amp;MATCH(F211,FRG!AC:AC,0))</f>
        <v/>
      </c>
      <c r="M211" s="243" t="str">
        <f>IFERROR(__xludf.DUMMYFUNCTION("IF(ISBLANK(F211),,SUBSTITUTE(IFERROR(JOIN("","",F211:K211),JOIN("","",F211:J211)),CHAR(10),""""))"),"")</f>
        <v/>
      </c>
      <c r="N211" s="229" t="str">
        <f t="shared" si="1"/>
        <v/>
      </c>
    </row>
    <row r="212">
      <c r="F212" s="237"/>
      <c r="G212" s="238" t="str">
        <f t="shared" si="3"/>
        <v/>
      </c>
      <c r="H212" s="238" t="str">
        <f t="shared" si="4"/>
        <v/>
      </c>
      <c r="I212" s="237" t="str">
        <f t="shared" ref="I212:J212" si="204">IF(ISBLANK(C212),,""""&amp;C212&amp;"""")</f>
        <v/>
      </c>
      <c r="J212" s="237" t="str">
        <f t="shared" si="204"/>
        <v/>
      </c>
      <c r="K212" s="237" t="str">
        <f>IF(ISBLANK(F212),,Config!$C$3&amp;"&amp;range=BB"&amp;MATCH(F212,FRG!AC:AC,0))</f>
        <v/>
      </c>
      <c r="M212" s="243" t="str">
        <f>IFERROR(__xludf.DUMMYFUNCTION("IF(ISBLANK(F212),,SUBSTITUTE(IFERROR(JOIN("","",F212:K212),JOIN("","",F212:J212)),CHAR(10),""""))"),"")</f>
        <v/>
      </c>
      <c r="N212" s="229" t="str">
        <f t="shared" si="1"/>
        <v/>
      </c>
    </row>
    <row r="213">
      <c r="F213" s="237"/>
      <c r="G213" s="238" t="str">
        <f t="shared" si="3"/>
        <v/>
      </c>
      <c r="H213" s="238" t="str">
        <f t="shared" si="4"/>
        <v/>
      </c>
      <c r="I213" s="237" t="str">
        <f t="shared" ref="I213:J213" si="205">IF(ISBLANK(C213),,""""&amp;C213&amp;"""")</f>
        <v/>
      </c>
      <c r="J213" s="237" t="str">
        <f t="shared" si="205"/>
        <v/>
      </c>
      <c r="K213" s="237" t="str">
        <f>IF(ISBLANK(F213),,Config!$C$3&amp;"&amp;range=BB"&amp;MATCH(F213,FRG!AC:AC,0))</f>
        <v/>
      </c>
      <c r="M213" s="243" t="str">
        <f>IFERROR(__xludf.DUMMYFUNCTION("IF(ISBLANK(F213),,SUBSTITUTE(IFERROR(JOIN("","",F213:K213),JOIN("","",F213:J213)),CHAR(10),""""))"),"")</f>
        <v/>
      </c>
      <c r="N213" s="229" t="str">
        <f t="shared" si="1"/>
        <v/>
      </c>
    </row>
    <row r="214">
      <c r="F214" s="237"/>
      <c r="G214" s="238" t="str">
        <f t="shared" si="3"/>
        <v/>
      </c>
      <c r="H214" s="238" t="str">
        <f t="shared" si="4"/>
        <v/>
      </c>
      <c r="I214" s="237" t="str">
        <f t="shared" ref="I214:J214" si="206">IF(ISBLANK(C214),,""""&amp;C214&amp;"""")</f>
        <v/>
      </c>
      <c r="J214" s="237" t="str">
        <f t="shared" si="206"/>
        <v/>
      </c>
      <c r="K214" s="237" t="str">
        <f>IF(ISBLANK(F214),,Config!$C$3&amp;"&amp;range=BB"&amp;MATCH(F214,FRG!AC:AC,0))</f>
        <v/>
      </c>
      <c r="M214" s="243" t="str">
        <f>IFERROR(__xludf.DUMMYFUNCTION("IF(ISBLANK(F214),,SUBSTITUTE(IFERROR(JOIN("","",F214:K214),JOIN("","",F214:J214)),CHAR(10),""""))"),"")</f>
        <v/>
      </c>
      <c r="N214" s="229" t="str">
        <f t="shared" si="1"/>
        <v/>
      </c>
    </row>
    <row r="215">
      <c r="F215" s="237"/>
      <c r="G215" s="238" t="str">
        <f t="shared" si="3"/>
        <v/>
      </c>
      <c r="H215" s="238" t="str">
        <f t="shared" si="4"/>
        <v/>
      </c>
      <c r="I215" s="237" t="str">
        <f t="shared" ref="I215:J215" si="207">IF(ISBLANK(C215),,""""&amp;C215&amp;"""")</f>
        <v/>
      </c>
      <c r="J215" s="237" t="str">
        <f t="shared" si="207"/>
        <v/>
      </c>
      <c r="K215" s="237" t="str">
        <f>IF(ISBLANK(F215),,Config!$C$3&amp;"&amp;range=BB"&amp;MATCH(F215,FRG!AC:AC,0))</f>
        <v/>
      </c>
      <c r="M215" s="243" t="str">
        <f>IFERROR(__xludf.DUMMYFUNCTION("IF(ISBLANK(F215),,SUBSTITUTE(IFERROR(JOIN("","",F215:K215),JOIN("","",F215:J215)),CHAR(10),""""))"),"")</f>
        <v/>
      </c>
      <c r="N215" s="229" t="str">
        <f t="shared" si="1"/>
        <v/>
      </c>
    </row>
    <row r="216">
      <c r="F216" s="237"/>
      <c r="G216" s="238" t="str">
        <f t="shared" si="3"/>
        <v/>
      </c>
      <c r="H216" s="238" t="str">
        <f t="shared" si="4"/>
        <v/>
      </c>
      <c r="I216" s="237" t="str">
        <f t="shared" ref="I216:J216" si="208">IF(ISBLANK(C216),,""""&amp;C216&amp;"""")</f>
        <v/>
      </c>
      <c r="J216" s="237" t="str">
        <f t="shared" si="208"/>
        <v/>
      </c>
      <c r="K216" s="237" t="str">
        <f>IF(ISBLANK(F216),,Config!$C$3&amp;"&amp;range=BB"&amp;MATCH(F216,FRG!AC:AC,0))</f>
        <v/>
      </c>
      <c r="M216" s="243" t="str">
        <f>IFERROR(__xludf.DUMMYFUNCTION("IF(ISBLANK(F216),,SUBSTITUTE(IFERROR(JOIN("","",F216:K216),JOIN("","",F216:J216)),CHAR(10),""""))"),"")</f>
        <v/>
      </c>
      <c r="N216" s="229" t="str">
        <f t="shared" si="1"/>
        <v/>
      </c>
    </row>
    <row r="217">
      <c r="F217" s="237"/>
      <c r="G217" s="238" t="str">
        <f t="shared" si="3"/>
        <v/>
      </c>
      <c r="H217" s="238" t="str">
        <f t="shared" si="4"/>
        <v/>
      </c>
      <c r="I217" s="237" t="str">
        <f t="shared" ref="I217:J217" si="209">IF(ISBLANK(C217),,""""&amp;C217&amp;"""")</f>
        <v/>
      </c>
      <c r="J217" s="237" t="str">
        <f t="shared" si="209"/>
        <v/>
      </c>
      <c r="K217" s="237" t="str">
        <f>IF(ISBLANK(F217),,Config!$C$3&amp;"&amp;range=BB"&amp;MATCH(F217,FRG!AC:AC,0))</f>
        <v/>
      </c>
      <c r="M217" s="243" t="str">
        <f>IFERROR(__xludf.DUMMYFUNCTION("IF(ISBLANK(F217),,SUBSTITUTE(IFERROR(JOIN("","",F217:K217),JOIN("","",F217:J217)),CHAR(10),""""))"),"")</f>
        <v/>
      </c>
      <c r="N217" s="229" t="str">
        <f t="shared" si="1"/>
        <v/>
      </c>
    </row>
    <row r="218">
      <c r="F218" s="237"/>
      <c r="G218" s="238" t="str">
        <f t="shared" si="3"/>
        <v/>
      </c>
      <c r="H218" s="238" t="str">
        <f t="shared" si="4"/>
        <v/>
      </c>
      <c r="I218" s="237" t="str">
        <f t="shared" ref="I218:J218" si="210">IF(ISBLANK(C218),,""""&amp;C218&amp;"""")</f>
        <v/>
      </c>
      <c r="J218" s="237" t="str">
        <f t="shared" si="210"/>
        <v/>
      </c>
      <c r="K218" s="237" t="str">
        <f>IF(ISBLANK(F218),,Config!$C$3&amp;"&amp;range=BB"&amp;MATCH(F218,FRG!AC:AC,0))</f>
        <v/>
      </c>
      <c r="M218" s="243" t="str">
        <f>IFERROR(__xludf.DUMMYFUNCTION("IF(ISBLANK(F218),,SUBSTITUTE(IFERROR(JOIN("","",F218:K218),JOIN("","",F218:J218)),CHAR(10),""""))"),"")</f>
        <v/>
      </c>
      <c r="N218" s="229" t="str">
        <f t="shared" si="1"/>
        <v/>
      </c>
    </row>
    <row r="219">
      <c r="F219" s="237"/>
      <c r="G219" s="238" t="str">
        <f t="shared" si="3"/>
        <v/>
      </c>
      <c r="H219" s="238" t="str">
        <f t="shared" si="4"/>
        <v/>
      </c>
      <c r="I219" s="237" t="str">
        <f t="shared" ref="I219:J219" si="211">IF(ISBLANK(C219),,""""&amp;C219&amp;"""")</f>
        <v/>
      </c>
      <c r="J219" s="237" t="str">
        <f t="shared" si="211"/>
        <v/>
      </c>
      <c r="K219" s="237" t="str">
        <f>IF(ISBLANK(F219),,Config!$C$3&amp;"&amp;range=BB"&amp;MATCH(F219,FRG!AC:AC,0))</f>
        <v/>
      </c>
      <c r="M219" s="243" t="str">
        <f>IFERROR(__xludf.DUMMYFUNCTION("IF(ISBLANK(F219),,SUBSTITUTE(IFERROR(JOIN("","",F219:K219),JOIN("","",F219:J219)),CHAR(10),""""))"),"")</f>
        <v/>
      </c>
      <c r="N219" s="229" t="str">
        <f t="shared" si="1"/>
        <v/>
      </c>
    </row>
    <row r="220">
      <c r="F220" s="237"/>
      <c r="G220" s="238" t="str">
        <f t="shared" si="3"/>
        <v/>
      </c>
      <c r="H220" s="238" t="str">
        <f t="shared" si="4"/>
        <v/>
      </c>
      <c r="I220" s="237" t="str">
        <f t="shared" ref="I220:J220" si="212">IF(ISBLANK(C220),,""""&amp;C220&amp;"""")</f>
        <v/>
      </c>
      <c r="J220" s="237" t="str">
        <f t="shared" si="212"/>
        <v/>
      </c>
      <c r="K220" s="237" t="str">
        <f>IF(ISBLANK(F220),,Config!$C$3&amp;"&amp;range=BB"&amp;MATCH(F220,FRG!AC:AC,0))</f>
        <v/>
      </c>
      <c r="M220" s="243" t="str">
        <f>IFERROR(__xludf.DUMMYFUNCTION("IF(ISBLANK(F220),,SUBSTITUTE(IFERROR(JOIN("","",F220:K220),JOIN("","",F220:J220)),CHAR(10),""""))"),"")</f>
        <v/>
      </c>
      <c r="N220" s="229" t="str">
        <f t="shared" si="1"/>
        <v/>
      </c>
    </row>
    <row r="221">
      <c r="F221" s="237"/>
      <c r="G221" s="238" t="str">
        <f t="shared" si="3"/>
        <v/>
      </c>
      <c r="H221" s="238" t="str">
        <f t="shared" si="4"/>
        <v/>
      </c>
      <c r="I221" s="237" t="str">
        <f t="shared" ref="I221:J221" si="213">IF(ISBLANK(C221),,""""&amp;C221&amp;"""")</f>
        <v/>
      </c>
      <c r="J221" s="237" t="str">
        <f t="shared" si="213"/>
        <v/>
      </c>
      <c r="K221" s="237" t="str">
        <f>IF(ISBLANK(F221),,Config!$C$3&amp;"&amp;range=BB"&amp;MATCH(F221,FRG!AC:AC,0))</f>
        <v/>
      </c>
      <c r="M221" s="243" t="str">
        <f>IFERROR(__xludf.DUMMYFUNCTION("IF(ISBLANK(F221),,SUBSTITUTE(IFERROR(JOIN("","",F221:K221),JOIN("","",F221:J221)),CHAR(10),""""))"),"")</f>
        <v/>
      </c>
      <c r="N221" s="229" t="str">
        <f t="shared" si="1"/>
        <v/>
      </c>
    </row>
    <row r="222">
      <c r="F222" s="237"/>
      <c r="G222" s="238" t="str">
        <f t="shared" si="3"/>
        <v/>
      </c>
      <c r="H222" s="238" t="str">
        <f t="shared" si="4"/>
        <v/>
      </c>
      <c r="I222" s="237" t="str">
        <f t="shared" ref="I222:J222" si="214">IF(ISBLANK(C222),,""""&amp;C222&amp;"""")</f>
        <v/>
      </c>
      <c r="J222" s="237" t="str">
        <f t="shared" si="214"/>
        <v/>
      </c>
      <c r="K222" s="237" t="str">
        <f>IF(ISBLANK(F222),,Config!$C$3&amp;"&amp;range=BB"&amp;MATCH(F222,FRG!AC:AC,0))</f>
        <v/>
      </c>
      <c r="M222" s="243" t="str">
        <f>IFERROR(__xludf.DUMMYFUNCTION("IF(ISBLANK(F222),,SUBSTITUTE(IFERROR(JOIN("","",F222:K222),JOIN("","",F222:J222)),CHAR(10),""""))"),"")</f>
        <v/>
      </c>
      <c r="N222" s="229" t="str">
        <f t="shared" si="1"/>
        <v/>
      </c>
    </row>
    <row r="223">
      <c r="F223" s="237"/>
      <c r="G223" s="238" t="str">
        <f t="shared" si="3"/>
        <v/>
      </c>
      <c r="H223" s="238" t="str">
        <f t="shared" si="4"/>
        <v/>
      </c>
      <c r="I223" s="237" t="str">
        <f t="shared" ref="I223:J223" si="215">IF(ISBLANK(C223),,""""&amp;C223&amp;"""")</f>
        <v/>
      </c>
      <c r="J223" s="237" t="str">
        <f t="shared" si="215"/>
        <v/>
      </c>
      <c r="K223" s="237" t="str">
        <f>IF(ISBLANK(F223),,Config!$C$3&amp;"&amp;range=BB"&amp;MATCH(F223,FRG!AC:AC,0))</f>
        <v/>
      </c>
      <c r="M223" s="243" t="str">
        <f>IFERROR(__xludf.DUMMYFUNCTION("IF(ISBLANK(F223),,SUBSTITUTE(IFERROR(JOIN("","",F223:K223),JOIN("","",F223:J223)),CHAR(10),""""))"),"")</f>
        <v/>
      </c>
      <c r="N223" s="229" t="str">
        <f t="shared" si="1"/>
        <v/>
      </c>
    </row>
    <row r="224">
      <c r="F224" s="237"/>
      <c r="G224" s="238" t="str">
        <f t="shared" si="3"/>
        <v/>
      </c>
      <c r="H224" s="238" t="str">
        <f t="shared" si="4"/>
        <v/>
      </c>
      <c r="I224" s="237" t="str">
        <f t="shared" ref="I224:J224" si="216">IF(ISBLANK(C224),,""""&amp;C224&amp;"""")</f>
        <v/>
      </c>
      <c r="J224" s="237" t="str">
        <f t="shared" si="216"/>
        <v/>
      </c>
      <c r="K224" s="237" t="str">
        <f>IF(ISBLANK(F224),,Config!$C$3&amp;"&amp;range=BB"&amp;MATCH(F224,FRG!AC:AC,0))</f>
        <v/>
      </c>
      <c r="M224" s="243" t="str">
        <f>IFERROR(__xludf.DUMMYFUNCTION("IF(ISBLANK(F224),,SUBSTITUTE(IFERROR(JOIN("","",F224:K224),JOIN("","",F224:J224)),CHAR(10),""""))"),"")</f>
        <v/>
      </c>
      <c r="N224" s="229" t="str">
        <f t="shared" si="1"/>
        <v/>
      </c>
    </row>
    <row r="225">
      <c r="F225" s="237"/>
      <c r="G225" s="238" t="str">
        <f t="shared" si="3"/>
        <v/>
      </c>
      <c r="H225" s="238" t="str">
        <f t="shared" si="4"/>
        <v/>
      </c>
      <c r="I225" s="237" t="str">
        <f t="shared" ref="I225:J225" si="217">IF(ISBLANK(C225),,""""&amp;C225&amp;"""")</f>
        <v/>
      </c>
      <c r="J225" s="237" t="str">
        <f t="shared" si="217"/>
        <v/>
      </c>
      <c r="K225" s="237" t="str">
        <f>IF(ISBLANK(F225),,Config!$C$3&amp;"&amp;range=BB"&amp;MATCH(F225,FRG!AC:AC,0))</f>
        <v/>
      </c>
      <c r="M225" s="243" t="str">
        <f>IFERROR(__xludf.DUMMYFUNCTION("IF(ISBLANK(F225),,SUBSTITUTE(IFERROR(JOIN("","",F225:K225),JOIN("","",F225:J225)),CHAR(10),""""))"),"")</f>
        <v/>
      </c>
      <c r="N225" s="229" t="str">
        <f t="shared" si="1"/>
        <v/>
      </c>
    </row>
    <row r="226">
      <c r="F226" s="237"/>
      <c r="G226" s="238" t="str">
        <f t="shared" si="3"/>
        <v/>
      </c>
      <c r="H226" s="238" t="str">
        <f t="shared" si="4"/>
        <v/>
      </c>
      <c r="I226" s="237" t="str">
        <f t="shared" ref="I226:J226" si="218">IF(ISBLANK(C226),,""""&amp;C226&amp;"""")</f>
        <v/>
      </c>
      <c r="J226" s="237" t="str">
        <f t="shared" si="218"/>
        <v/>
      </c>
      <c r="K226" s="237" t="str">
        <f>IF(ISBLANK(F226),,Config!$C$3&amp;"&amp;range=BB"&amp;MATCH(F226,FRG!AC:AC,0))</f>
        <v/>
      </c>
      <c r="M226" s="243" t="str">
        <f>IFERROR(__xludf.DUMMYFUNCTION("IF(ISBLANK(F226),,SUBSTITUTE(IFERROR(JOIN("","",F226:K226),JOIN("","",F226:J226)),CHAR(10),""""))"),"")</f>
        <v/>
      </c>
      <c r="N226" s="229" t="str">
        <f t="shared" si="1"/>
        <v/>
      </c>
    </row>
    <row r="227">
      <c r="F227" s="237"/>
      <c r="G227" s="238" t="str">
        <f t="shared" si="3"/>
        <v/>
      </c>
      <c r="H227" s="238" t="str">
        <f t="shared" si="4"/>
        <v/>
      </c>
      <c r="I227" s="237" t="str">
        <f t="shared" ref="I227:J227" si="219">IF(ISBLANK(C227),,""""&amp;C227&amp;"""")</f>
        <v/>
      </c>
      <c r="J227" s="237" t="str">
        <f t="shared" si="219"/>
        <v/>
      </c>
      <c r="K227" s="237" t="str">
        <f>IF(ISBLANK(F227),,Config!$C$3&amp;"&amp;range=BB"&amp;MATCH(F227,FRG!AC:AC,0))</f>
        <v/>
      </c>
      <c r="M227" s="243" t="str">
        <f>IFERROR(__xludf.DUMMYFUNCTION("IF(ISBLANK(F227),,SUBSTITUTE(IFERROR(JOIN("","",F227:K227),JOIN("","",F227:J227)),CHAR(10),""""))"),"")</f>
        <v/>
      </c>
      <c r="N227" s="229" t="str">
        <f t="shared" si="1"/>
        <v/>
      </c>
    </row>
    <row r="228">
      <c r="F228" s="237"/>
      <c r="G228" s="238" t="str">
        <f t="shared" si="3"/>
        <v/>
      </c>
      <c r="H228" s="238" t="str">
        <f t="shared" si="4"/>
        <v/>
      </c>
      <c r="I228" s="237" t="str">
        <f t="shared" ref="I228:J228" si="220">IF(ISBLANK(C228),,""""&amp;C228&amp;"""")</f>
        <v/>
      </c>
      <c r="J228" s="237" t="str">
        <f t="shared" si="220"/>
        <v/>
      </c>
      <c r="K228" s="237" t="str">
        <f>IF(ISBLANK(F228),,Config!$C$3&amp;"&amp;range=BB"&amp;MATCH(F228,FRG!AC:AC,0))</f>
        <v/>
      </c>
      <c r="M228" s="243" t="str">
        <f>IFERROR(__xludf.DUMMYFUNCTION("IF(ISBLANK(F228),,SUBSTITUTE(IFERROR(JOIN("","",F228:K228),JOIN("","",F228:J228)),CHAR(10),""""))"),"")</f>
        <v/>
      </c>
      <c r="N228" s="229" t="str">
        <f t="shared" si="1"/>
        <v/>
      </c>
    </row>
    <row r="229">
      <c r="F229" s="237"/>
      <c r="G229" s="238" t="str">
        <f t="shared" si="3"/>
        <v/>
      </c>
      <c r="H229" s="238" t="str">
        <f t="shared" si="4"/>
        <v/>
      </c>
      <c r="I229" s="237" t="str">
        <f t="shared" ref="I229:J229" si="221">IF(ISBLANK(C229),,""""&amp;C229&amp;"""")</f>
        <v/>
      </c>
      <c r="J229" s="237" t="str">
        <f t="shared" si="221"/>
        <v/>
      </c>
      <c r="K229" s="237" t="str">
        <f>IF(ISBLANK(F229),,Config!$C$3&amp;"&amp;range=BB"&amp;MATCH(F229,FRG!AC:AC,0))</f>
        <v/>
      </c>
      <c r="M229" s="243" t="str">
        <f>IFERROR(__xludf.DUMMYFUNCTION("IF(ISBLANK(F229),,SUBSTITUTE(IFERROR(JOIN("","",F229:K229),JOIN("","",F229:J229)),CHAR(10),""""))"),"")</f>
        <v/>
      </c>
      <c r="N229" s="229" t="str">
        <f t="shared" si="1"/>
        <v/>
      </c>
    </row>
    <row r="230">
      <c r="F230" s="237"/>
      <c r="G230" s="238" t="str">
        <f t="shared" si="3"/>
        <v/>
      </c>
      <c r="H230" s="238" t="str">
        <f t="shared" si="4"/>
        <v/>
      </c>
      <c r="I230" s="237" t="str">
        <f t="shared" ref="I230:J230" si="222">IF(ISBLANK(C230),,""""&amp;C230&amp;"""")</f>
        <v/>
      </c>
      <c r="J230" s="237" t="str">
        <f t="shared" si="222"/>
        <v/>
      </c>
      <c r="K230" s="237" t="str">
        <f>IF(ISBLANK(F230),,Config!$C$3&amp;"&amp;range=BB"&amp;MATCH(F230,FRG!AC:AC,0))</f>
        <v/>
      </c>
      <c r="M230" s="243" t="str">
        <f>IFERROR(__xludf.DUMMYFUNCTION("IF(ISBLANK(F230),,SUBSTITUTE(IFERROR(JOIN("","",F230:K230),JOIN("","",F230:J230)),CHAR(10),""""))"),"")</f>
        <v/>
      </c>
      <c r="N230" s="229" t="str">
        <f t="shared" si="1"/>
        <v/>
      </c>
    </row>
    <row r="231">
      <c r="F231" s="237"/>
      <c r="G231" s="238" t="str">
        <f t="shared" si="3"/>
        <v/>
      </c>
      <c r="H231" s="238" t="str">
        <f t="shared" si="4"/>
        <v/>
      </c>
      <c r="I231" s="237" t="str">
        <f t="shared" ref="I231:J231" si="223">IF(ISBLANK(C231),,""""&amp;C231&amp;"""")</f>
        <v/>
      </c>
      <c r="J231" s="237" t="str">
        <f t="shared" si="223"/>
        <v/>
      </c>
      <c r="K231" s="237" t="str">
        <f>IF(ISBLANK(F231),,Config!$C$3&amp;"&amp;range=BB"&amp;MATCH(F231,FRG!AC:AC,0))</f>
        <v/>
      </c>
      <c r="M231" s="243" t="str">
        <f>IFERROR(__xludf.DUMMYFUNCTION("IF(ISBLANK(F231),,SUBSTITUTE(IFERROR(JOIN("","",F231:K231),JOIN("","",F231:J231)),CHAR(10),""""))"),"")</f>
        <v/>
      </c>
      <c r="N231" s="229" t="str">
        <f t="shared" si="1"/>
        <v/>
      </c>
    </row>
    <row r="232">
      <c r="F232" s="237"/>
      <c r="G232" s="238" t="str">
        <f t="shared" si="3"/>
        <v/>
      </c>
      <c r="H232" s="238" t="str">
        <f t="shared" si="4"/>
        <v/>
      </c>
      <c r="I232" s="237" t="str">
        <f t="shared" ref="I232:J232" si="224">IF(ISBLANK(C232),,""""&amp;C232&amp;"""")</f>
        <v/>
      </c>
      <c r="J232" s="237" t="str">
        <f t="shared" si="224"/>
        <v/>
      </c>
      <c r="K232" s="237" t="str">
        <f>IF(ISBLANK(F232),,Config!$C$3&amp;"&amp;range=BB"&amp;MATCH(F232,FRG!AC:AC,0))</f>
        <v/>
      </c>
      <c r="M232" s="243" t="str">
        <f>IFERROR(__xludf.DUMMYFUNCTION("IF(ISBLANK(F232),,SUBSTITUTE(IFERROR(JOIN("","",F232:K232),JOIN("","",F232:J232)),CHAR(10),""""))"),"")</f>
        <v/>
      </c>
      <c r="N232" s="229" t="str">
        <f t="shared" si="1"/>
        <v/>
      </c>
    </row>
    <row r="233">
      <c r="F233" s="237"/>
      <c r="G233" s="238" t="str">
        <f t="shared" si="3"/>
        <v/>
      </c>
      <c r="H233" s="238" t="str">
        <f t="shared" si="4"/>
        <v/>
      </c>
      <c r="I233" s="237" t="str">
        <f t="shared" ref="I233:J233" si="225">IF(ISBLANK(C233),,""""&amp;C233&amp;"""")</f>
        <v/>
      </c>
      <c r="J233" s="237" t="str">
        <f t="shared" si="225"/>
        <v/>
      </c>
      <c r="K233" s="237" t="str">
        <f>IF(ISBLANK(F233),,Config!$C$3&amp;"&amp;range=BB"&amp;MATCH(F233,FRG!AC:AC,0))</f>
        <v/>
      </c>
      <c r="M233" s="243" t="str">
        <f>IFERROR(__xludf.DUMMYFUNCTION("IF(ISBLANK(F233),,SUBSTITUTE(IFERROR(JOIN("","",F233:K233),JOIN("","",F233:J233)),CHAR(10),""""))"),"")</f>
        <v/>
      </c>
      <c r="N233" s="229" t="str">
        <f t="shared" si="1"/>
        <v/>
      </c>
    </row>
    <row r="234">
      <c r="F234" s="237"/>
      <c r="G234" s="238" t="str">
        <f t="shared" si="3"/>
        <v/>
      </c>
      <c r="H234" s="238" t="str">
        <f t="shared" si="4"/>
        <v/>
      </c>
      <c r="I234" s="237" t="str">
        <f t="shared" ref="I234:J234" si="226">IF(ISBLANK(C234),,""""&amp;C234&amp;"""")</f>
        <v/>
      </c>
      <c r="J234" s="237" t="str">
        <f t="shared" si="226"/>
        <v/>
      </c>
      <c r="K234" s="237" t="str">
        <f>IF(ISBLANK(F234),,Config!$C$3&amp;"&amp;range=BB"&amp;MATCH(F234,FRG!AC:AC,0))</f>
        <v/>
      </c>
      <c r="M234" s="243" t="str">
        <f>IFERROR(__xludf.DUMMYFUNCTION("IF(ISBLANK(F234),,SUBSTITUTE(IFERROR(JOIN("","",F234:K234),JOIN("","",F234:J234)),CHAR(10),""""))"),"")</f>
        <v/>
      </c>
      <c r="N234" s="229" t="str">
        <f t="shared" si="1"/>
        <v/>
      </c>
    </row>
    <row r="235">
      <c r="F235" s="237"/>
      <c r="G235" s="238" t="str">
        <f t="shared" si="3"/>
        <v/>
      </c>
      <c r="H235" s="238" t="str">
        <f t="shared" si="4"/>
        <v/>
      </c>
      <c r="I235" s="237" t="str">
        <f t="shared" ref="I235:J235" si="227">IF(ISBLANK(C235),,""""&amp;C235&amp;"""")</f>
        <v/>
      </c>
      <c r="J235" s="237" t="str">
        <f t="shared" si="227"/>
        <v/>
      </c>
      <c r="K235" s="237" t="str">
        <f>IF(ISBLANK(F235),,Config!$C$3&amp;"&amp;range=BB"&amp;MATCH(F235,FRG!AC:AC,0))</f>
        <v/>
      </c>
      <c r="M235" s="243" t="str">
        <f>IFERROR(__xludf.DUMMYFUNCTION("IF(ISBLANK(F235),,SUBSTITUTE(IFERROR(JOIN("","",F235:K235),JOIN("","",F235:J235)),CHAR(10),""""))"),"")</f>
        <v/>
      </c>
      <c r="N235" s="229" t="str">
        <f t="shared" si="1"/>
        <v/>
      </c>
    </row>
    <row r="236">
      <c r="F236" s="237"/>
      <c r="G236" s="238" t="str">
        <f t="shared" si="3"/>
        <v/>
      </c>
      <c r="H236" s="238" t="str">
        <f t="shared" si="4"/>
        <v/>
      </c>
      <c r="I236" s="237" t="str">
        <f t="shared" ref="I236:J236" si="228">IF(ISBLANK(C236),,""""&amp;C236&amp;"""")</f>
        <v/>
      </c>
      <c r="J236" s="237" t="str">
        <f t="shared" si="228"/>
        <v/>
      </c>
      <c r="K236" s="237" t="str">
        <f>IF(ISBLANK(F236),,Config!$C$3&amp;"&amp;range=BB"&amp;MATCH(F236,FRG!AC:AC,0))</f>
        <v/>
      </c>
      <c r="M236" s="243" t="str">
        <f>IFERROR(__xludf.DUMMYFUNCTION("IF(ISBLANK(F236),,SUBSTITUTE(IFERROR(JOIN("","",F236:K236),JOIN("","",F236:J236)),CHAR(10),""""))"),"")</f>
        <v/>
      </c>
      <c r="N236" s="229" t="str">
        <f t="shared" si="1"/>
        <v/>
      </c>
    </row>
    <row r="237">
      <c r="F237" s="237"/>
      <c r="G237" s="238" t="str">
        <f t="shared" si="3"/>
        <v/>
      </c>
      <c r="H237" s="238" t="str">
        <f t="shared" si="4"/>
        <v/>
      </c>
      <c r="I237" s="237" t="str">
        <f t="shared" ref="I237:J237" si="229">IF(ISBLANK(C237),,""""&amp;C237&amp;"""")</f>
        <v/>
      </c>
      <c r="J237" s="237" t="str">
        <f t="shared" si="229"/>
        <v/>
      </c>
      <c r="K237" s="237" t="str">
        <f>IF(ISBLANK(F237),,Config!$C$3&amp;"&amp;range=BB"&amp;MATCH(F237,FRG!AC:AC,0))</f>
        <v/>
      </c>
      <c r="M237" s="243" t="str">
        <f>IFERROR(__xludf.DUMMYFUNCTION("IF(ISBLANK(F237),,SUBSTITUTE(IFERROR(JOIN("","",F237:K237),JOIN("","",F237:J237)),CHAR(10),""""))"),"")</f>
        <v/>
      </c>
      <c r="N237" s="229" t="str">
        <f t="shared" si="1"/>
        <v/>
      </c>
    </row>
    <row r="238">
      <c r="F238" s="237"/>
      <c r="G238" s="238" t="str">
        <f t="shared" si="3"/>
        <v/>
      </c>
      <c r="H238" s="238" t="str">
        <f t="shared" si="4"/>
        <v/>
      </c>
      <c r="I238" s="237" t="str">
        <f t="shared" ref="I238:J238" si="230">IF(ISBLANK(C238),,""""&amp;C238&amp;"""")</f>
        <v/>
      </c>
      <c r="J238" s="237" t="str">
        <f t="shared" si="230"/>
        <v/>
      </c>
      <c r="K238" s="237" t="str">
        <f>IF(ISBLANK(F238),,Config!$C$3&amp;"&amp;range=BB"&amp;MATCH(F238,FRG!AC:AC,0))</f>
        <v/>
      </c>
      <c r="M238" s="243" t="str">
        <f>IFERROR(__xludf.DUMMYFUNCTION("IF(ISBLANK(F238),,SUBSTITUTE(IFERROR(JOIN("","",F238:K238),JOIN("","",F238:J238)),CHAR(10),""""))"),"")</f>
        <v/>
      </c>
      <c r="N238" s="229" t="str">
        <f t="shared" si="1"/>
        <v/>
      </c>
    </row>
    <row r="239">
      <c r="F239" s="237"/>
      <c r="G239" s="238" t="str">
        <f t="shared" si="3"/>
        <v/>
      </c>
      <c r="H239" s="238" t="str">
        <f t="shared" si="4"/>
        <v/>
      </c>
      <c r="I239" s="237" t="str">
        <f t="shared" ref="I239:J239" si="231">IF(ISBLANK(C239),,""""&amp;C239&amp;"""")</f>
        <v/>
      </c>
      <c r="J239" s="237" t="str">
        <f t="shared" si="231"/>
        <v/>
      </c>
      <c r="K239" s="237" t="str">
        <f>IF(ISBLANK(F239),,Config!$C$3&amp;"&amp;range=BB"&amp;MATCH(F239,FRG!AC:AC,0))</f>
        <v/>
      </c>
      <c r="M239" s="243" t="str">
        <f>IFERROR(__xludf.DUMMYFUNCTION("IF(ISBLANK(F239),,SUBSTITUTE(IFERROR(JOIN("","",F239:K239),JOIN("","",F239:J239)),CHAR(10),""""))"),"")</f>
        <v/>
      </c>
      <c r="N239" s="229" t="str">
        <f t="shared" si="1"/>
        <v/>
      </c>
    </row>
    <row r="240">
      <c r="F240" s="237"/>
      <c r="G240" s="238" t="str">
        <f t="shared" si="3"/>
        <v/>
      </c>
      <c r="H240" s="238" t="str">
        <f t="shared" si="4"/>
        <v/>
      </c>
      <c r="I240" s="237" t="str">
        <f t="shared" ref="I240:J240" si="232">IF(ISBLANK(C240),,""""&amp;C240&amp;"""")</f>
        <v/>
      </c>
      <c r="J240" s="237" t="str">
        <f t="shared" si="232"/>
        <v/>
      </c>
      <c r="K240" s="237" t="str">
        <f>IF(ISBLANK(F240),,Config!$C$3&amp;"&amp;range=BB"&amp;MATCH(F240,FRG!AC:AC,0))</f>
        <v/>
      </c>
      <c r="M240" s="243" t="str">
        <f>IFERROR(__xludf.DUMMYFUNCTION("IF(ISBLANK(F240),,SUBSTITUTE(IFERROR(JOIN("","",F240:K240),JOIN("","",F240:J240)),CHAR(10),""""))"),"")</f>
        <v/>
      </c>
      <c r="N240" s="229" t="str">
        <f t="shared" si="1"/>
        <v/>
      </c>
    </row>
    <row r="241">
      <c r="F241" s="237"/>
      <c r="G241" s="238" t="str">
        <f t="shared" si="3"/>
        <v/>
      </c>
      <c r="H241" s="238" t="str">
        <f t="shared" si="4"/>
        <v/>
      </c>
      <c r="I241" s="237" t="str">
        <f t="shared" ref="I241:J241" si="233">IF(ISBLANK(C241),,""""&amp;C241&amp;"""")</f>
        <v/>
      </c>
      <c r="J241" s="237" t="str">
        <f t="shared" si="233"/>
        <v/>
      </c>
      <c r="K241" s="237" t="str">
        <f>IF(ISBLANK(F241),,Config!$C$3&amp;"&amp;range=BB"&amp;MATCH(F241,FRG!AC:AC,0))</f>
        <v/>
      </c>
      <c r="M241" s="243" t="str">
        <f>IFERROR(__xludf.DUMMYFUNCTION("IF(ISBLANK(F241),,SUBSTITUTE(IFERROR(JOIN("","",F241:K241),JOIN("","",F241:J241)),CHAR(10),""""))"),"")</f>
        <v/>
      </c>
      <c r="N241" s="229" t="str">
        <f t="shared" si="1"/>
        <v/>
      </c>
    </row>
    <row r="242">
      <c r="F242" s="237"/>
      <c r="G242" s="238" t="str">
        <f t="shared" si="3"/>
        <v/>
      </c>
      <c r="H242" s="238" t="str">
        <f t="shared" si="4"/>
        <v/>
      </c>
      <c r="I242" s="237" t="str">
        <f t="shared" ref="I242:J242" si="234">IF(ISBLANK(C242),,""""&amp;C242&amp;"""")</f>
        <v/>
      </c>
      <c r="J242" s="237" t="str">
        <f t="shared" si="234"/>
        <v/>
      </c>
      <c r="K242" s="237" t="str">
        <f>IF(ISBLANK(F242),,Config!$C$3&amp;"&amp;range=BB"&amp;MATCH(F242,FRG!AC:AC,0))</f>
        <v/>
      </c>
      <c r="M242" s="243" t="str">
        <f>IFERROR(__xludf.DUMMYFUNCTION("IF(ISBLANK(F242),,SUBSTITUTE(IFERROR(JOIN("","",F242:K242),JOIN("","",F242:J242)),CHAR(10),""""))"),"")</f>
        <v/>
      </c>
      <c r="N242" s="229" t="str">
        <f t="shared" si="1"/>
        <v/>
      </c>
    </row>
    <row r="243">
      <c r="F243" s="237"/>
      <c r="G243" s="238" t="str">
        <f t="shared" si="3"/>
        <v/>
      </c>
      <c r="H243" s="238" t="str">
        <f t="shared" si="4"/>
        <v/>
      </c>
      <c r="I243" s="237" t="str">
        <f t="shared" ref="I243:J243" si="235">IF(ISBLANK(C243),,""""&amp;C243&amp;"""")</f>
        <v/>
      </c>
      <c r="J243" s="237" t="str">
        <f t="shared" si="235"/>
        <v/>
      </c>
      <c r="K243" s="237" t="str">
        <f>IF(ISBLANK(F243),,Config!$C$3&amp;"&amp;range=BB"&amp;MATCH(F243,FRG!AC:AC,0))</f>
        <v/>
      </c>
      <c r="M243" s="243" t="str">
        <f>IFERROR(__xludf.DUMMYFUNCTION("IF(ISBLANK(F243),,SUBSTITUTE(IFERROR(JOIN("","",F243:K243),JOIN("","",F243:J243)),CHAR(10),""""))"),"")</f>
        <v/>
      </c>
      <c r="N243" s="229" t="str">
        <f t="shared" si="1"/>
        <v/>
      </c>
    </row>
    <row r="244">
      <c r="F244" s="237"/>
      <c r="G244" s="238" t="str">
        <f t="shared" si="3"/>
        <v/>
      </c>
      <c r="H244" s="238" t="str">
        <f t="shared" si="4"/>
        <v/>
      </c>
      <c r="I244" s="237" t="str">
        <f t="shared" ref="I244:J244" si="236">IF(ISBLANK(C244),,""""&amp;C244&amp;"""")</f>
        <v/>
      </c>
      <c r="J244" s="237" t="str">
        <f t="shared" si="236"/>
        <v/>
      </c>
      <c r="K244" s="237" t="str">
        <f>IF(ISBLANK(F244),,Config!$C$3&amp;"&amp;range=BB"&amp;MATCH(F244,FRG!AC:AC,0))</f>
        <v/>
      </c>
      <c r="M244" s="243" t="str">
        <f>IFERROR(__xludf.DUMMYFUNCTION("IF(ISBLANK(F244),,SUBSTITUTE(IFERROR(JOIN("","",F244:K244),JOIN("","",F244:J244)),CHAR(10),""""))"),"")</f>
        <v/>
      </c>
      <c r="N244" s="229" t="str">
        <f t="shared" si="1"/>
        <v/>
      </c>
    </row>
    <row r="245">
      <c r="F245" s="237"/>
      <c r="G245" s="238" t="str">
        <f t="shared" si="3"/>
        <v/>
      </c>
      <c r="H245" s="238" t="str">
        <f t="shared" si="4"/>
        <v/>
      </c>
      <c r="I245" s="237" t="str">
        <f t="shared" ref="I245:J245" si="237">IF(ISBLANK(C245),,""""&amp;C245&amp;"""")</f>
        <v/>
      </c>
      <c r="J245" s="237" t="str">
        <f t="shared" si="237"/>
        <v/>
      </c>
      <c r="K245" s="237" t="str">
        <f>IF(ISBLANK(F245),,Config!$C$3&amp;"&amp;range=BB"&amp;MATCH(F245,FRG!AC:AC,0))</f>
        <v/>
      </c>
      <c r="M245" s="243" t="str">
        <f>IFERROR(__xludf.DUMMYFUNCTION("IF(ISBLANK(F245),,SUBSTITUTE(IFERROR(JOIN("","",F245:K245),JOIN("","",F245:J245)),CHAR(10),""""))"),"")</f>
        <v/>
      </c>
      <c r="N245" s="229" t="str">
        <f t="shared" si="1"/>
        <v/>
      </c>
    </row>
    <row r="246">
      <c r="F246" s="237"/>
      <c r="G246" s="238" t="str">
        <f t="shared" si="3"/>
        <v/>
      </c>
      <c r="H246" s="238" t="str">
        <f t="shared" si="4"/>
        <v/>
      </c>
      <c r="I246" s="237" t="str">
        <f t="shared" ref="I246:J246" si="238">IF(ISBLANK(C246),,""""&amp;C246&amp;"""")</f>
        <v/>
      </c>
      <c r="J246" s="237" t="str">
        <f t="shared" si="238"/>
        <v/>
      </c>
      <c r="K246" s="237" t="str">
        <f>IF(ISBLANK(F246),,Config!$C$3&amp;"&amp;range=BB"&amp;MATCH(F246,FRG!AC:AC,0))</f>
        <v/>
      </c>
      <c r="M246" s="243" t="str">
        <f>IFERROR(__xludf.DUMMYFUNCTION("IF(ISBLANK(F246),,SUBSTITUTE(IFERROR(JOIN("","",F246:K246),JOIN("","",F246:J246)),CHAR(10),""""))"),"")</f>
        <v/>
      </c>
      <c r="N246" s="229" t="str">
        <f t="shared" si="1"/>
        <v/>
      </c>
    </row>
    <row r="247">
      <c r="F247" s="237"/>
      <c r="G247" s="238" t="str">
        <f t="shared" si="3"/>
        <v/>
      </c>
      <c r="H247" s="238" t="str">
        <f t="shared" si="4"/>
        <v/>
      </c>
      <c r="I247" s="237" t="str">
        <f t="shared" ref="I247:J247" si="239">IF(ISBLANK(C247),,""""&amp;C247&amp;"""")</f>
        <v/>
      </c>
      <c r="J247" s="237" t="str">
        <f t="shared" si="239"/>
        <v/>
      </c>
      <c r="K247" s="237" t="str">
        <f>IF(ISBLANK(F247),,Config!$C$3&amp;"&amp;range=BB"&amp;MATCH(F247,FRG!AC:AC,0))</f>
        <v/>
      </c>
      <c r="M247" s="243" t="str">
        <f>IFERROR(__xludf.DUMMYFUNCTION("IF(ISBLANK(F247),,SUBSTITUTE(IFERROR(JOIN("","",F247:K247),JOIN("","",F247:J247)),CHAR(10),""""))"),"")</f>
        <v/>
      </c>
      <c r="N247" s="229" t="str">
        <f t="shared" si="1"/>
        <v/>
      </c>
    </row>
    <row r="248">
      <c r="F248" s="237"/>
      <c r="G248" s="238" t="str">
        <f t="shared" si="3"/>
        <v/>
      </c>
      <c r="H248" s="238" t="str">
        <f t="shared" si="4"/>
        <v/>
      </c>
      <c r="I248" s="237" t="str">
        <f t="shared" ref="I248:J248" si="240">IF(ISBLANK(C248),,""""&amp;C248&amp;"""")</f>
        <v/>
      </c>
      <c r="J248" s="237" t="str">
        <f t="shared" si="240"/>
        <v/>
      </c>
      <c r="K248" s="237" t="str">
        <f>IF(ISBLANK(F248),,Config!$C$3&amp;"&amp;range=BB"&amp;MATCH(F248,FRG!AC:AC,0))</f>
        <v/>
      </c>
      <c r="M248" s="243" t="str">
        <f>IFERROR(__xludf.DUMMYFUNCTION("IF(ISBLANK(F248),,SUBSTITUTE(IFERROR(JOIN("","",F248:K248),JOIN("","",F248:J248)),CHAR(10),""""))"),"")</f>
        <v/>
      </c>
      <c r="N248" s="229" t="str">
        <f t="shared" si="1"/>
        <v/>
      </c>
    </row>
    <row r="249">
      <c r="F249" s="237"/>
      <c r="G249" s="238" t="str">
        <f t="shared" si="3"/>
        <v/>
      </c>
      <c r="H249" s="238" t="str">
        <f t="shared" si="4"/>
        <v/>
      </c>
      <c r="I249" s="237" t="str">
        <f t="shared" ref="I249:J249" si="241">IF(ISBLANK(C249),,""""&amp;C249&amp;"""")</f>
        <v/>
      </c>
      <c r="J249" s="237" t="str">
        <f t="shared" si="241"/>
        <v/>
      </c>
      <c r="K249" s="237" t="str">
        <f>IF(ISBLANK(F249),,Config!$C$3&amp;"&amp;range=BB"&amp;MATCH(F249,FRG!AC:AC,0))</f>
        <v/>
      </c>
      <c r="M249" s="243" t="str">
        <f>IFERROR(__xludf.DUMMYFUNCTION("IF(ISBLANK(F249),,SUBSTITUTE(IFERROR(JOIN("","",F249:K249),JOIN("","",F249:J249)),CHAR(10),""""))"),"")</f>
        <v/>
      </c>
      <c r="N249" s="229" t="str">
        <f t="shared" si="1"/>
        <v/>
      </c>
    </row>
    <row r="250">
      <c r="F250" s="237"/>
      <c r="G250" s="238" t="str">
        <f t="shared" si="3"/>
        <v/>
      </c>
      <c r="H250" s="238" t="str">
        <f t="shared" si="4"/>
        <v/>
      </c>
      <c r="I250" s="237" t="str">
        <f t="shared" ref="I250:J250" si="242">IF(ISBLANK(C250),,""""&amp;C250&amp;"""")</f>
        <v/>
      </c>
      <c r="J250" s="237" t="str">
        <f t="shared" si="242"/>
        <v/>
      </c>
      <c r="K250" s="237" t="str">
        <f>IF(ISBLANK(F250),,Config!$C$3&amp;"&amp;range=BB"&amp;MATCH(F250,FRG!AC:AC,0))</f>
        <v/>
      </c>
      <c r="M250" s="243" t="str">
        <f>IFERROR(__xludf.DUMMYFUNCTION("IF(ISBLANK(F250),,SUBSTITUTE(IFERROR(JOIN("","",F250:K250),JOIN("","",F250:J250)),CHAR(10),""""))"),"")</f>
        <v/>
      </c>
      <c r="N250" s="229" t="str">
        <f t="shared" si="1"/>
        <v/>
      </c>
    </row>
    <row r="251">
      <c r="F251" s="237"/>
      <c r="G251" s="238" t="str">
        <f t="shared" si="3"/>
        <v/>
      </c>
      <c r="H251" s="238" t="str">
        <f t="shared" si="4"/>
        <v/>
      </c>
      <c r="I251" s="237" t="str">
        <f t="shared" ref="I251:J251" si="243">IF(ISBLANK(C251),,""""&amp;C251&amp;"""")</f>
        <v/>
      </c>
      <c r="J251" s="237" t="str">
        <f t="shared" si="243"/>
        <v/>
      </c>
      <c r="K251" s="237" t="str">
        <f>IF(ISBLANK(F251),,Config!$C$3&amp;"&amp;range=BB"&amp;MATCH(F251,FRG!AC:AC,0))</f>
        <v/>
      </c>
      <c r="M251" s="243" t="str">
        <f>IFERROR(__xludf.DUMMYFUNCTION("IF(ISBLANK(F251),,SUBSTITUTE(IFERROR(JOIN("","",F251:K251),JOIN("","",F251:J251)),CHAR(10),""""))"),"")</f>
        <v/>
      </c>
      <c r="N251" s="229" t="str">
        <f t="shared" si="1"/>
        <v/>
      </c>
    </row>
    <row r="252">
      <c r="F252" s="237"/>
      <c r="G252" s="238" t="str">
        <f t="shared" si="3"/>
        <v/>
      </c>
      <c r="H252" s="238" t="str">
        <f t="shared" si="4"/>
        <v/>
      </c>
      <c r="I252" s="237" t="str">
        <f t="shared" ref="I252:J252" si="244">IF(ISBLANK(C252),,""""&amp;C252&amp;"""")</f>
        <v/>
      </c>
      <c r="J252" s="237" t="str">
        <f t="shared" si="244"/>
        <v/>
      </c>
      <c r="K252" s="237" t="str">
        <f>IF(ISBLANK(F252),,Config!$C$3&amp;"&amp;range=BB"&amp;MATCH(F252,FRG!AC:AC,0))</f>
        <v/>
      </c>
      <c r="M252" s="243" t="str">
        <f>IFERROR(__xludf.DUMMYFUNCTION("IF(ISBLANK(F252),,SUBSTITUTE(IFERROR(JOIN("","",F252:K252),JOIN("","",F252:J252)),CHAR(10),""""))"),"")</f>
        <v/>
      </c>
      <c r="N252" s="229" t="str">
        <f t="shared" si="1"/>
        <v/>
      </c>
    </row>
    <row r="253">
      <c r="F253" s="237"/>
      <c r="G253" s="238" t="str">
        <f t="shared" si="3"/>
        <v/>
      </c>
      <c r="H253" s="238" t="str">
        <f t="shared" si="4"/>
        <v/>
      </c>
      <c r="I253" s="237" t="str">
        <f t="shared" ref="I253:J253" si="245">IF(ISBLANK(C253),,""""&amp;C253&amp;"""")</f>
        <v/>
      </c>
      <c r="J253" s="237" t="str">
        <f t="shared" si="245"/>
        <v/>
      </c>
      <c r="K253" s="237" t="str">
        <f>IF(ISBLANK(F253),,Config!$C$3&amp;"&amp;range=BB"&amp;MATCH(F253,FRG!AC:AC,0))</f>
        <v/>
      </c>
      <c r="M253" s="243" t="str">
        <f>IFERROR(__xludf.DUMMYFUNCTION("IF(ISBLANK(F253),,SUBSTITUTE(IFERROR(JOIN("","",F253:K253),JOIN("","",F253:J253)),CHAR(10),""""))"),"")</f>
        <v/>
      </c>
      <c r="N253" s="229" t="str">
        <f t="shared" si="1"/>
        <v/>
      </c>
    </row>
    <row r="254">
      <c r="F254" s="237"/>
      <c r="G254" s="238" t="str">
        <f t="shared" si="3"/>
        <v/>
      </c>
      <c r="H254" s="238" t="str">
        <f t="shared" si="4"/>
        <v/>
      </c>
      <c r="I254" s="237" t="str">
        <f t="shared" ref="I254:J254" si="246">IF(ISBLANK(C254),,""""&amp;C254&amp;"""")</f>
        <v/>
      </c>
      <c r="J254" s="237" t="str">
        <f t="shared" si="246"/>
        <v/>
      </c>
      <c r="K254" s="237" t="str">
        <f>IF(ISBLANK(F254),,Config!$C$3&amp;"&amp;range=BB"&amp;MATCH(F254,FRG!AC:AC,0))</f>
        <v/>
      </c>
      <c r="M254" s="243" t="str">
        <f>IFERROR(__xludf.DUMMYFUNCTION("IF(ISBLANK(F254),,SUBSTITUTE(IFERROR(JOIN("","",F254:K254),JOIN("","",F254:J254)),CHAR(10),""""))"),"")</f>
        <v/>
      </c>
      <c r="N254" s="229" t="str">
        <f t="shared" si="1"/>
        <v/>
      </c>
    </row>
    <row r="255">
      <c r="F255" s="237"/>
      <c r="G255" s="238" t="str">
        <f t="shared" si="3"/>
        <v/>
      </c>
      <c r="H255" s="238" t="str">
        <f t="shared" si="4"/>
        <v/>
      </c>
      <c r="I255" s="237" t="str">
        <f t="shared" ref="I255:J255" si="247">IF(ISBLANK(C255),,""""&amp;C255&amp;"""")</f>
        <v/>
      </c>
      <c r="J255" s="237" t="str">
        <f t="shared" si="247"/>
        <v/>
      </c>
      <c r="K255" s="237" t="str">
        <f>IF(ISBLANK(F255),,Config!$C$3&amp;"&amp;range=BB"&amp;MATCH(F255,FRG!AC:AC,0))</f>
        <v/>
      </c>
      <c r="M255" s="243" t="str">
        <f>IFERROR(__xludf.DUMMYFUNCTION("IF(ISBLANK(F255),,SUBSTITUTE(IFERROR(JOIN("","",F255:K255),JOIN("","",F255:J255)),CHAR(10),""""))"),"")</f>
        <v/>
      </c>
      <c r="N255" s="229" t="str">
        <f t="shared" si="1"/>
        <v/>
      </c>
    </row>
    <row r="256">
      <c r="F256" s="237"/>
      <c r="G256" s="238" t="str">
        <f t="shared" si="3"/>
        <v/>
      </c>
      <c r="H256" s="238" t="str">
        <f t="shared" si="4"/>
        <v/>
      </c>
      <c r="I256" s="237" t="str">
        <f t="shared" ref="I256:J256" si="248">IF(ISBLANK(C256),,""""&amp;C256&amp;"""")</f>
        <v/>
      </c>
      <c r="J256" s="237" t="str">
        <f t="shared" si="248"/>
        <v/>
      </c>
      <c r="K256" s="237" t="str">
        <f>IF(ISBLANK(F256),,Config!$C$3&amp;"&amp;range=BB"&amp;MATCH(F256,FRG!AC:AC,0))</f>
        <v/>
      </c>
      <c r="M256" s="243" t="str">
        <f>IFERROR(__xludf.DUMMYFUNCTION("IF(ISBLANK(F256),,SUBSTITUTE(IFERROR(JOIN("","",F256:K256),JOIN("","",F256:J256)),CHAR(10),""""))"),"")</f>
        <v/>
      </c>
      <c r="N256" s="229" t="str">
        <f t="shared" si="1"/>
        <v/>
      </c>
    </row>
    <row r="257">
      <c r="F257" s="237"/>
      <c r="G257" s="238" t="str">
        <f t="shared" si="3"/>
        <v/>
      </c>
      <c r="H257" s="238" t="str">
        <f t="shared" si="4"/>
        <v/>
      </c>
      <c r="I257" s="237" t="str">
        <f t="shared" ref="I257:J257" si="249">IF(ISBLANK(C257),,""""&amp;C257&amp;"""")</f>
        <v/>
      </c>
      <c r="J257" s="237" t="str">
        <f t="shared" si="249"/>
        <v/>
      </c>
      <c r="K257" s="237" t="str">
        <f>IF(ISBLANK(F257),,Config!$C$3&amp;"&amp;range=BB"&amp;MATCH(F257,FRG!AC:AC,0))</f>
        <v/>
      </c>
      <c r="M257" s="243" t="str">
        <f>IFERROR(__xludf.DUMMYFUNCTION("IF(ISBLANK(F257),,SUBSTITUTE(IFERROR(JOIN("","",F257:K257),JOIN("","",F257:J257)),CHAR(10),""""))"),"")</f>
        <v/>
      </c>
      <c r="N257" s="229" t="str">
        <f t="shared" si="1"/>
        <v/>
      </c>
    </row>
    <row r="258">
      <c r="F258" s="237"/>
      <c r="G258" s="238" t="str">
        <f t="shared" si="3"/>
        <v/>
      </c>
      <c r="H258" s="238" t="str">
        <f t="shared" si="4"/>
        <v/>
      </c>
      <c r="I258" s="237" t="str">
        <f t="shared" ref="I258:J258" si="250">IF(ISBLANK(C258),,""""&amp;C258&amp;"""")</f>
        <v/>
      </c>
      <c r="J258" s="237" t="str">
        <f t="shared" si="250"/>
        <v/>
      </c>
      <c r="K258" s="237" t="str">
        <f>IF(ISBLANK(F258),,Config!$C$3&amp;"&amp;range=BB"&amp;MATCH(F258,FRG!AC:AC,0))</f>
        <v/>
      </c>
      <c r="M258" s="243" t="str">
        <f>IFERROR(__xludf.DUMMYFUNCTION("IF(ISBLANK(F258),,SUBSTITUTE(IFERROR(JOIN("","",F258:K258),JOIN("","",F258:J258)),CHAR(10),""""))"),"")</f>
        <v/>
      </c>
      <c r="N258" s="229" t="str">
        <f t="shared" si="1"/>
        <v/>
      </c>
    </row>
    <row r="259">
      <c r="F259" s="237"/>
      <c r="G259" s="238" t="str">
        <f t="shared" si="3"/>
        <v/>
      </c>
      <c r="H259" s="238" t="str">
        <f t="shared" si="4"/>
        <v/>
      </c>
      <c r="I259" s="237" t="str">
        <f t="shared" ref="I259:J259" si="251">IF(ISBLANK(C259),,""""&amp;C259&amp;"""")</f>
        <v/>
      </c>
      <c r="J259" s="237" t="str">
        <f t="shared" si="251"/>
        <v/>
      </c>
      <c r="K259" s="237" t="str">
        <f>IF(ISBLANK(F259),,Config!$C$3&amp;"&amp;range=BB"&amp;MATCH(F259,FRG!AC:AC,0))</f>
        <v/>
      </c>
      <c r="M259" s="243" t="str">
        <f>IFERROR(__xludf.DUMMYFUNCTION("IF(ISBLANK(F259),,SUBSTITUTE(IFERROR(JOIN("","",F259:K259),JOIN("","",F259:J259)),CHAR(10),""""))"),"")</f>
        <v/>
      </c>
      <c r="N259" s="229" t="str">
        <f t="shared" si="1"/>
        <v/>
      </c>
    </row>
    <row r="260">
      <c r="F260" s="237"/>
      <c r="G260" s="238" t="str">
        <f t="shared" si="3"/>
        <v/>
      </c>
      <c r="H260" s="238" t="str">
        <f t="shared" si="4"/>
        <v/>
      </c>
      <c r="I260" s="237" t="str">
        <f t="shared" ref="I260:J260" si="252">IF(ISBLANK(C260),,""""&amp;C260&amp;"""")</f>
        <v/>
      </c>
      <c r="J260" s="237" t="str">
        <f t="shared" si="252"/>
        <v/>
      </c>
      <c r="K260" s="237" t="str">
        <f>IF(ISBLANK(F260),,Config!$C$3&amp;"&amp;range=BB"&amp;MATCH(F260,FRG!AC:AC,0))</f>
        <v/>
      </c>
      <c r="M260" s="243" t="str">
        <f>IFERROR(__xludf.DUMMYFUNCTION("IF(ISBLANK(F260),,SUBSTITUTE(IFERROR(JOIN("","",F260:K260),JOIN("","",F260:J260)),CHAR(10),""""))"),"")</f>
        <v/>
      </c>
      <c r="N260" s="229" t="str">
        <f t="shared" si="1"/>
        <v/>
      </c>
    </row>
    <row r="261">
      <c r="F261" s="237"/>
      <c r="G261" s="238" t="str">
        <f t="shared" si="3"/>
        <v/>
      </c>
      <c r="H261" s="238" t="str">
        <f t="shared" si="4"/>
        <v/>
      </c>
      <c r="I261" s="237" t="str">
        <f t="shared" ref="I261:J261" si="253">IF(ISBLANK(C261),,""""&amp;C261&amp;"""")</f>
        <v/>
      </c>
      <c r="J261" s="237" t="str">
        <f t="shared" si="253"/>
        <v/>
      </c>
      <c r="K261" s="237" t="str">
        <f>IF(ISBLANK(F261),,Config!$C$3&amp;"&amp;range=BB"&amp;MATCH(F261,FRG!AC:AC,0))</f>
        <v/>
      </c>
      <c r="M261" s="243" t="str">
        <f>IFERROR(__xludf.DUMMYFUNCTION("IF(ISBLANK(F261),,SUBSTITUTE(IFERROR(JOIN("","",F261:K261),JOIN("","",F261:J261)),CHAR(10),""""))"),"")</f>
        <v/>
      </c>
      <c r="N261" s="229" t="str">
        <f t="shared" si="1"/>
        <v/>
      </c>
    </row>
    <row r="262">
      <c r="F262" s="237"/>
      <c r="G262" s="238" t="str">
        <f t="shared" si="3"/>
        <v/>
      </c>
      <c r="H262" s="238" t="str">
        <f t="shared" si="4"/>
        <v/>
      </c>
      <c r="I262" s="237" t="str">
        <f t="shared" ref="I262:J262" si="254">IF(ISBLANK(C262),,""""&amp;C262&amp;"""")</f>
        <v/>
      </c>
      <c r="J262" s="237" t="str">
        <f t="shared" si="254"/>
        <v/>
      </c>
      <c r="K262" s="237" t="str">
        <f>IF(ISBLANK(F262),,Config!$C$3&amp;"&amp;range=BB"&amp;MATCH(F262,FRG!AC:AC,0))</f>
        <v/>
      </c>
      <c r="M262" s="243" t="str">
        <f>IFERROR(__xludf.DUMMYFUNCTION("IF(ISBLANK(F262),,SUBSTITUTE(IFERROR(JOIN("","",F262:K262),JOIN("","",F262:J262)),CHAR(10),""""))"),"")</f>
        <v/>
      </c>
      <c r="N262" s="229" t="str">
        <f t="shared" si="1"/>
        <v/>
      </c>
    </row>
    <row r="263">
      <c r="F263" s="237"/>
      <c r="G263" s="238" t="str">
        <f t="shared" si="3"/>
        <v/>
      </c>
      <c r="H263" s="238" t="str">
        <f t="shared" si="4"/>
        <v/>
      </c>
      <c r="I263" s="237" t="str">
        <f t="shared" ref="I263:J263" si="255">IF(ISBLANK(C263),,""""&amp;C263&amp;"""")</f>
        <v/>
      </c>
      <c r="J263" s="237" t="str">
        <f t="shared" si="255"/>
        <v/>
      </c>
      <c r="K263" s="237" t="str">
        <f>IF(ISBLANK(F263),,Config!$C$3&amp;"&amp;range=BB"&amp;MATCH(F263,FRG!AC:AC,0))</f>
        <v/>
      </c>
      <c r="M263" s="243" t="str">
        <f>IFERROR(__xludf.DUMMYFUNCTION("IF(ISBLANK(F263),,SUBSTITUTE(IFERROR(JOIN("","",F263:K263),JOIN("","",F263:J263)),CHAR(10),""""))"),"")</f>
        <v/>
      </c>
      <c r="N263" s="229" t="str">
        <f t="shared" si="1"/>
        <v/>
      </c>
    </row>
    <row r="264">
      <c r="F264" s="237"/>
      <c r="G264" s="238" t="str">
        <f t="shared" si="3"/>
        <v/>
      </c>
      <c r="H264" s="238" t="str">
        <f t="shared" si="4"/>
        <v/>
      </c>
      <c r="I264" s="237" t="str">
        <f t="shared" ref="I264:J264" si="256">IF(ISBLANK(C264),,""""&amp;C264&amp;"""")</f>
        <v/>
      </c>
      <c r="J264" s="237" t="str">
        <f t="shared" si="256"/>
        <v/>
      </c>
      <c r="K264" s="237" t="str">
        <f>IF(ISBLANK(F264),,Config!$C$3&amp;"&amp;range=BB"&amp;MATCH(F264,FRG!AC:AC,0))</f>
        <v/>
      </c>
      <c r="M264" s="243" t="str">
        <f>IFERROR(__xludf.DUMMYFUNCTION("IF(ISBLANK(F264),,SUBSTITUTE(IFERROR(JOIN("","",F264:K264),JOIN("","",F264:J264)),CHAR(10),""""))"),"")</f>
        <v/>
      </c>
      <c r="N264" s="229" t="str">
        <f t="shared" si="1"/>
        <v/>
      </c>
    </row>
    <row r="265">
      <c r="F265" s="237"/>
      <c r="G265" s="238" t="str">
        <f t="shared" si="3"/>
        <v/>
      </c>
      <c r="H265" s="238" t="str">
        <f t="shared" si="4"/>
        <v/>
      </c>
      <c r="I265" s="237" t="str">
        <f t="shared" ref="I265:J265" si="257">IF(ISBLANK(C265),,""""&amp;C265&amp;"""")</f>
        <v/>
      </c>
      <c r="J265" s="237" t="str">
        <f t="shared" si="257"/>
        <v/>
      </c>
      <c r="K265" s="237" t="str">
        <f>IF(ISBLANK(F265),,Config!$C$3&amp;"&amp;range=BB"&amp;MATCH(F265,FRG!AC:AC,0))</f>
        <v/>
      </c>
      <c r="M265" s="243" t="str">
        <f>IFERROR(__xludf.DUMMYFUNCTION("IF(ISBLANK(F265),,SUBSTITUTE(IFERROR(JOIN("","",F265:K265),JOIN("","",F265:J265)),CHAR(10),""""))"),"")</f>
        <v/>
      </c>
      <c r="N265" s="229" t="str">
        <f t="shared" si="1"/>
        <v/>
      </c>
    </row>
    <row r="266">
      <c r="F266" s="237"/>
      <c r="G266" s="238" t="str">
        <f t="shared" si="3"/>
        <v/>
      </c>
      <c r="H266" s="238" t="str">
        <f t="shared" si="4"/>
        <v/>
      </c>
      <c r="I266" s="237" t="str">
        <f t="shared" ref="I266:J266" si="258">IF(ISBLANK(C266),,""""&amp;C266&amp;"""")</f>
        <v/>
      </c>
      <c r="J266" s="237" t="str">
        <f t="shared" si="258"/>
        <v/>
      </c>
      <c r="K266" s="237" t="str">
        <f>IF(ISBLANK(F266),,Config!$C$3&amp;"&amp;range=BB"&amp;MATCH(F266,FRG!AC:AC,0))</f>
        <v/>
      </c>
      <c r="M266" s="243" t="str">
        <f>IFERROR(__xludf.DUMMYFUNCTION("IF(ISBLANK(F266),,SUBSTITUTE(IFERROR(JOIN("","",F266:K266),JOIN("","",F266:J266)),CHAR(10),""""))"),"")</f>
        <v/>
      </c>
      <c r="N266" s="229" t="str">
        <f t="shared" si="1"/>
        <v/>
      </c>
    </row>
    <row r="267">
      <c r="F267" s="237"/>
      <c r="G267" s="238" t="str">
        <f t="shared" si="3"/>
        <v/>
      </c>
      <c r="H267" s="238" t="str">
        <f t="shared" si="4"/>
        <v/>
      </c>
      <c r="I267" s="237" t="str">
        <f t="shared" ref="I267:J267" si="259">IF(ISBLANK(C267),,""""&amp;C267&amp;"""")</f>
        <v/>
      </c>
      <c r="J267" s="237" t="str">
        <f t="shared" si="259"/>
        <v/>
      </c>
      <c r="K267" s="237" t="str">
        <f>IF(ISBLANK(F267),,Config!$C$3&amp;"&amp;range=BB"&amp;MATCH(F267,FRG!AC:AC,0))</f>
        <v/>
      </c>
      <c r="M267" s="243" t="str">
        <f>IFERROR(__xludf.DUMMYFUNCTION("IF(ISBLANK(F267),,SUBSTITUTE(IFERROR(JOIN("","",F267:K267),JOIN("","",F267:J267)),CHAR(10),""""))"),"")</f>
        <v/>
      </c>
      <c r="N267" s="229" t="str">
        <f t="shared" si="1"/>
        <v/>
      </c>
    </row>
    <row r="268">
      <c r="F268" s="237"/>
      <c r="G268" s="238" t="str">
        <f t="shared" si="3"/>
        <v/>
      </c>
      <c r="H268" s="238" t="str">
        <f t="shared" si="4"/>
        <v/>
      </c>
      <c r="I268" s="237" t="str">
        <f t="shared" ref="I268:J268" si="260">IF(ISBLANK(C268),,""""&amp;C268&amp;"""")</f>
        <v/>
      </c>
      <c r="J268" s="237" t="str">
        <f t="shared" si="260"/>
        <v/>
      </c>
      <c r="K268" s="237" t="str">
        <f>IF(ISBLANK(F268),,Config!$C$3&amp;"&amp;range=BB"&amp;MATCH(F268,FRG!AC:AC,0))</f>
        <v/>
      </c>
      <c r="M268" s="243" t="str">
        <f>IFERROR(__xludf.DUMMYFUNCTION("IF(ISBLANK(F268),,SUBSTITUTE(IFERROR(JOIN("","",F268:K268),JOIN("","",F268:J268)),CHAR(10),""""))"),"")</f>
        <v/>
      </c>
      <c r="N268" s="229" t="str">
        <f t="shared" si="1"/>
        <v/>
      </c>
    </row>
    <row r="269">
      <c r="F269" s="237"/>
      <c r="G269" s="238" t="str">
        <f t="shared" si="3"/>
        <v/>
      </c>
      <c r="H269" s="238" t="str">
        <f t="shared" si="4"/>
        <v/>
      </c>
      <c r="I269" s="237" t="str">
        <f t="shared" ref="I269:J269" si="261">IF(ISBLANK(C269),,""""&amp;C269&amp;"""")</f>
        <v/>
      </c>
      <c r="J269" s="237" t="str">
        <f t="shared" si="261"/>
        <v/>
      </c>
      <c r="K269" s="237" t="str">
        <f>IF(ISBLANK(F269),,Config!$C$3&amp;"&amp;range=BB"&amp;MATCH(F269,FRG!AC:AC,0))</f>
        <v/>
      </c>
      <c r="M269" s="243" t="str">
        <f>IFERROR(__xludf.DUMMYFUNCTION("IF(ISBLANK(F269),,SUBSTITUTE(IFERROR(JOIN("","",F269:K269),JOIN("","",F269:J269)),CHAR(10),""""))"),"")</f>
        <v/>
      </c>
      <c r="N269" s="229" t="str">
        <f t="shared" si="1"/>
        <v/>
      </c>
    </row>
    <row r="270">
      <c r="F270" s="237"/>
      <c r="G270" s="238" t="str">
        <f t="shared" si="3"/>
        <v/>
      </c>
      <c r="H270" s="238" t="str">
        <f t="shared" si="4"/>
        <v/>
      </c>
      <c r="I270" s="237" t="str">
        <f t="shared" ref="I270:J270" si="262">IF(ISBLANK(C270),,""""&amp;C270&amp;"""")</f>
        <v/>
      </c>
      <c r="J270" s="237" t="str">
        <f t="shared" si="262"/>
        <v/>
      </c>
      <c r="K270" s="237" t="str">
        <f>IF(ISBLANK(F270),,Config!$C$3&amp;"&amp;range=BB"&amp;MATCH(F270,FRG!AC:AC,0))</f>
        <v/>
      </c>
      <c r="M270" s="243" t="str">
        <f>IFERROR(__xludf.DUMMYFUNCTION("IF(ISBLANK(F270),,SUBSTITUTE(IFERROR(JOIN("","",F270:K270),JOIN("","",F270:J270)),CHAR(10),""""))"),"")</f>
        <v/>
      </c>
      <c r="N270" s="229" t="str">
        <f t="shared" si="1"/>
        <v/>
      </c>
    </row>
    <row r="271">
      <c r="F271" s="237"/>
      <c r="G271" s="238" t="str">
        <f t="shared" si="3"/>
        <v/>
      </c>
      <c r="H271" s="238" t="str">
        <f t="shared" si="4"/>
        <v/>
      </c>
      <c r="I271" s="237" t="str">
        <f t="shared" ref="I271:J271" si="263">IF(ISBLANK(C271),,""""&amp;C271&amp;"""")</f>
        <v/>
      </c>
      <c r="J271" s="237" t="str">
        <f t="shared" si="263"/>
        <v/>
      </c>
      <c r="K271" s="237" t="str">
        <f>IF(ISBLANK(F271),,Config!$C$3&amp;"&amp;range=BB"&amp;MATCH(F271,FRG!AC:AC,0))</f>
        <v/>
      </c>
      <c r="M271" s="243" t="str">
        <f>IFERROR(__xludf.DUMMYFUNCTION("IF(ISBLANK(F271),,SUBSTITUTE(IFERROR(JOIN("","",F271:K271),JOIN("","",F271:J271)),CHAR(10),""""))"),"")</f>
        <v/>
      </c>
      <c r="N271" s="229" t="str">
        <f t="shared" si="1"/>
        <v/>
      </c>
    </row>
    <row r="272">
      <c r="F272" s="237"/>
      <c r="G272" s="238" t="str">
        <f t="shared" si="3"/>
        <v/>
      </c>
      <c r="H272" s="238" t="str">
        <f t="shared" si="4"/>
        <v/>
      </c>
      <c r="I272" s="237" t="str">
        <f t="shared" ref="I272:J272" si="264">IF(ISBLANK(C272),,""""&amp;C272&amp;"""")</f>
        <v/>
      </c>
      <c r="J272" s="237" t="str">
        <f t="shared" si="264"/>
        <v/>
      </c>
      <c r="K272" s="237" t="str">
        <f>IF(ISBLANK(F272),,Config!$C$3&amp;"&amp;range=BB"&amp;MATCH(F272,FRG!AC:AC,0))</f>
        <v/>
      </c>
      <c r="M272" s="243" t="str">
        <f>IFERROR(__xludf.DUMMYFUNCTION("IF(ISBLANK(F272),,SUBSTITUTE(IFERROR(JOIN("","",F272:K272),JOIN("","",F272:J272)),CHAR(10),""""))"),"")</f>
        <v/>
      </c>
      <c r="N272" s="229" t="str">
        <f t="shared" si="1"/>
        <v/>
      </c>
    </row>
    <row r="273">
      <c r="F273" s="237"/>
      <c r="G273" s="238" t="str">
        <f t="shared" si="3"/>
        <v/>
      </c>
      <c r="H273" s="238" t="str">
        <f t="shared" si="4"/>
        <v/>
      </c>
      <c r="I273" s="237" t="str">
        <f t="shared" ref="I273:J273" si="265">IF(ISBLANK(C273),,""""&amp;C273&amp;"""")</f>
        <v/>
      </c>
      <c r="J273" s="237" t="str">
        <f t="shared" si="265"/>
        <v/>
      </c>
      <c r="K273" s="237" t="str">
        <f>IF(ISBLANK(F273),,Config!$C$3&amp;"&amp;range=BB"&amp;MATCH(F273,FRG!AC:AC,0))</f>
        <v/>
      </c>
      <c r="M273" s="243" t="str">
        <f>IFERROR(__xludf.DUMMYFUNCTION("IF(ISBLANK(F273),,SUBSTITUTE(IFERROR(JOIN("","",F273:K273),JOIN("","",F273:J273)),CHAR(10),""""))"),"")</f>
        <v/>
      </c>
      <c r="N273" s="229" t="str">
        <f t="shared" si="1"/>
        <v/>
      </c>
    </row>
    <row r="274">
      <c r="F274" s="237"/>
      <c r="G274" s="238" t="str">
        <f t="shared" si="3"/>
        <v/>
      </c>
      <c r="H274" s="238" t="str">
        <f t="shared" si="4"/>
        <v/>
      </c>
      <c r="I274" s="237" t="str">
        <f t="shared" ref="I274:J274" si="266">IF(ISBLANK(C274),,""""&amp;C274&amp;"""")</f>
        <v/>
      </c>
      <c r="J274" s="237" t="str">
        <f t="shared" si="266"/>
        <v/>
      </c>
      <c r="K274" s="237" t="str">
        <f>IF(ISBLANK(F274),,Config!$C$3&amp;"&amp;range=BB"&amp;MATCH(F274,FRG!AC:AC,0))</f>
        <v/>
      </c>
      <c r="M274" s="243" t="str">
        <f>IFERROR(__xludf.DUMMYFUNCTION("IF(ISBLANK(F274),,SUBSTITUTE(IFERROR(JOIN("","",F274:K274),JOIN("","",F274:J274)),CHAR(10),""""))"),"")</f>
        <v/>
      </c>
      <c r="N274" s="229" t="str">
        <f t="shared" si="1"/>
        <v/>
      </c>
    </row>
    <row r="275">
      <c r="F275" s="237"/>
      <c r="G275" s="238" t="str">
        <f t="shared" si="3"/>
        <v/>
      </c>
      <c r="H275" s="238" t="str">
        <f t="shared" si="4"/>
        <v/>
      </c>
      <c r="I275" s="237" t="str">
        <f t="shared" ref="I275:J275" si="267">IF(ISBLANK(C275),,""""&amp;C275&amp;"""")</f>
        <v/>
      </c>
      <c r="J275" s="237" t="str">
        <f t="shared" si="267"/>
        <v/>
      </c>
      <c r="K275" s="237" t="str">
        <f>IF(ISBLANK(F275),,Config!$C$3&amp;"&amp;range=BB"&amp;MATCH(F275,FRG!AC:AC,0))</f>
        <v/>
      </c>
      <c r="M275" s="243" t="str">
        <f>IFERROR(__xludf.DUMMYFUNCTION("IF(ISBLANK(F275),,SUBSTITUTE(IFERROR(JOIN("","",F275:K275),JOIN("","",F275:J275)),CHAR(10),""""))"),"")</f>
        <v/>
      </c>
      <c r="N275" s="229" t="str">
        <f t="shared" si="1"/>
        <v/>
      </c>
    </row>
    <row r="276">
      <c r="F276" s="237"/>
      <c r="G276" s="238" t="str">
        <f t="shared" si="3"/>
        <v/>
      </c>
      <c r="H276" s="238" t="str">
        <f t="shared" si="4"/>
        <v/>
      </c>
      <c r="I276" s="237" t="str">
        <f t="shared" ref="I276:J276" si="268">IF(ISBLANK(C276),,""""&amp;C276&amp;"""")</f>
        <v/>
      </c>
      <c r="J276" s="237" t="str">
        <f t="shared" si="268"/>
        <v/>
      </c>
      <c r="K276" s="237" t="str">
        <f>IF(ISBLANK(F276),,Config!$C$3&amp;"&amp;range=BB"&amp;MATCH(F276,FRG!AC:AC,0))</f>
        <v/>
      </c>
      <c r="M276" s="243" t="str">
        <f>IFERROR(__xludf.DUMMYFUNCTION("IF(ISBLANK(F276),,SUBSTITUTE(IFERROR(JOIN("","",F276:K276),JOIN("","",F276:J276)),CHAR(10),""""))"),"")</f>
        <v/>
      </c>
      <c r="N276" s="229" t="str">
        <f t="shared" si="1"/>
        <v/>
      </c>
    </row>
    <row r="277">
      <c r="F277" s="237"/>
      <c r="G277" s="238" t="str">
        <f t="shared" si="3"/>
        <v/>
      </c>
      <c r="H277" s="238" t="str">
        <f t="shared" si="4"/>
        <v/>
      </c>
      <c r="I277" s="237" t="str">
        <f t="shared" ref="I277:J277" si="269">IF(ISBLANK(C277),,""""&amp;C277&amp;"""")</f>
        <v/>
      </c>
      <c r="J277" s="237" t="str">
        <f t="shared" si="269"/>
        <v/>
      </c>
      <c r="K277" s="237" t="str">
        <f>IF(ISBLANK(F277),,Config!$C$3&amp;"&amp;range=BB"&amp;MATCH(F277,FRG!AC:AC,0))</f>
        <v/>
      </c>
      <c r="M277" s="243" t="str">
        <f>IFERROR(__xludf.DUMMYFUNCTION("IF(ISBLANK(F277),,SUBSTITUTE(IFERROR(JOIN("","",F277:K277),JOIN("","",F277:J277)),CHAR(10),""""))"),"")</f>
        <v/>
      </c>
      <c r="N277" s="229" t="str">
        <f t="shared" si="1"/>
        <v/>
      </c>
    </row>
    <row r="278">
      <c r="F278" s="237"/>
      <c r="G278" s="238" t="str">
        <f t="shared" si="3"/>
        <v/>
      </c>
      <c r="H278" s="238" t="str">
        <f t="shared" si="4"/>
        <v/>
      </c>
      <c r="I278" s="237" t="str">
        <f t="shared" ref="I278:J278" si="270">IF(ISBLANK(C278),,""""&amp;C278&amp;"""")</f>
        <v/>
      </c>
      <c r="J278" s="237" t="str">
        <f t="shared" si="270"/>
        <v/>
      </c>
      <c r="K278" s="237" t="str">
        <f>IF(ISBLANK(F278),,Config!$C$3&amp;"&amp;range=BB"&amp;MATCH(F278,FRG!AC:AC,0))</f>
        <v/>
      </c>
      <c r="M278" s="243" t="str">
        <f>IFERROR(__xludf.DUMMYFUNCTION("IF(ISBLANK(F278),,SUBSTITUTE(IFERROR(JOIN("","",F278:K278),JOIN("","",F278:J278)),CHAR(10),""""))"),"")</f>
        <v/>
      </c>
      <c r="N278" s="229" t="str">
        <f t="shared" si="1"/>
        <v/>
      </c>
    </row>
    <row r="279">
      <c r="F279" s="237"/>
      <c r="G279" s="238" t="str">
        <f t="shared" si="3"/>
        <v/>
      </c>
      <c r="H279" s="238" t="str">
        <f t="shared" si="4"/>
        <v/>
      </c>
      <c r="I279" s="237" t="str">
        <f t="shared" ref="I279:J279" si="271">IF(ISBLANK(C279),,""""&amp;C279&amp;"""")</f>
        <v/>
      </c>
      <c r="J279" s="237" t="str">
        <f t="shared" si="271"/>
        <v/>
      </c>
      <c r="K279" s="237" t="str">
        <f>IF(ISBLANK(F279),,Config!$C$3&amp;"&amp;range=BB"&amp;MATCH(F279,FRG!AC:AC,0))</f>
        <v/>
      </c>
      <c r="M279" s="243" t="str">
        <f>IFERROR(__xludf.DUMMYFUNCTION("IF(ISBLANK(F279),,SUBSTITUTE(IFERROR(JOIN("","",F279:K279),JOIN("","",F279:J279)),CHAR(10),""""))"),"")</f>
        <v/>
      </c>
      <c r="N279" s="229" t="str">
        <f t="shared" si="1"/>
        <v/>
      </c>
    </row>
    <row r="280">
      <c r="F280" s="237"/>
      <c r="G280" s="238" t="str">
        <f t="shared" si="3"/>
        <v/>
      </c>
      <c r="H280" s="238" t="str">
        <f t="shared" si="4"/>
        <v/>
      </c>
      <c r="I280" s="237" t="str">
        <f t="shared" ref="I280:J280" si="272">IF(ISBLANK(C280),,""""&amp;C280&amp;"""")</f>
        <v/>
      </c>
      <c r="J280" s="237" t="str">
        <f t="shared" si="272"/>
        <v/>
      </c>
      <c r="K280" s="237" t="str">
        <f>IF(ISBLANK(F280),,Config!$C$3&amp;"&amp;range=BB"&amp;MATCH(F280,FRG!AC:AC,0))</f>
        <v/>
      </c>
      <c r="M280" s="243" t="str">
        <f>IFERROR(__xludf.DUMMYFUNCTION("IF(ISBLANK(F280),,SUBSTITUTE(IFERROR(JOIN("","",F280:K280),JOIN("","",F280:J280)),CHAR(10),""""))"),"")</f>
        <v/>
      </c>
      <c r="N280" s="229" t="str">
        <f t="shared" si="1"/>
        <v/>
      </c>
    </row>
    <row r="281">
      <c r="F281" s="237"/>
      <c r="G281" s="238" t="str">
        <f t="shared" si="3"/>
        <v/>
      </c>
      <c r="H281" s="238" t="str">
        <f t="shared" si="4"/>
        <v/>
      </c>
      <c r="I281" s="237" t="str">
        <f t="shared" ref="I281:J281" si="273">IF(ISBLANK(C281),,""""&amp;C281&amp;"""")</f>
        <v/>
      </c>
      <c r="J281" s="237" t="str">
        <f t="shared" si="273"/>
        <v/>
      </c>
      <c r="K281" s="237" t="str">
        <f>IF(ISBLANK(F281),,Config!$C$3&amp;"&amp;range=BB"&amp;MATCH(F281,FRG!AC:AC,0))</f>
        <v/>
      </c>
      <c r="M281" s="243" t="str">
        <f>IFERROR(__xludf.DUMMYFUNCTION("IF(ISBLANK(F281),,SUBSTITUTE(IFERROR(JOIN("","",F281:K281),JOIN("","",F281:J281)),CHAR(10),""""))"),"")</f>
        <v/>
      </c>
      <c r="N281" s="229" t="str">
        <f t="shared" si="1"/>
        <v/>
      </c>
    </row>
    <row r="282">
      <c r="F282" s="237"/>
      <c r="G282" s="238" t="str">
        <f t="shared" si="3"/>
        <v/>
      </c>
      <c r="H282" s="238" t="str">
        <f t="shared" si="4"/>
        <v/>
      </c>
      <c r="I282" s="237" t="str">
        <f t="shared" ref="I282:J282" si="274">IF(ISBLANK(C282),,""""&amp;C282&amp;"""")</f>
        <v/>
      </c>
      <c r="J282" s="237" t="str">
        <f t="shared" si="274"/>
        <v/>
      </c>
      <c r="K282" s="237" t="str">
        <f>IF(ISBLANK(F282),,Config!$C$3&amp;"&amp;range=BB"&amp;MATCH(F282,FRG!AC:AC,0))</f>
        <v/>
      </c>
      <c r="M282" s="243" t="str">
        <f>IFERROR(__xludf.DUMMYFUNCTION("IF(ISBLANK(F282),,SUBSTITUTE(IFERROR(JOIN("","",F282:K282),JOIN("","",F282:J282)),CHAR(10),""""))"),"")</f>
        <v/>
      </c>
      <c r="N282" s="229" t="str">
        <f t="shared" si="1"/>
        <v/>
      </c>
    </row>
    <row r="283">
      <c r="F283" s="237"/>
      <c r="G283" s="238" t="str">
        <f t="shared" si="3"/>
        <v/>
      </c>
      <c r="H283" s="238" t="str">
        <f t="shared" si="4"/>
        <v/>
      </c>
      <c r="I283" s="237" t="str">
        <f t="shared" ref="I283:J283" si="275">IF(ISBLANK(C283),,""""&amp;C283&amp;"""")</f>
        <v/>
      </c>
      <c r="J283" s="237" t="str">
        <f t="shared" si="275"/>
        <v/>
      </c>
      <c r="K283" s="237" t="str">
        <f>IF(ISBLANK(F283),,Config!$C$3&amp;"&amp;range=BB"&amp;MATCH(F283,FRG!AC:AC,0))</f>
        <v/>
      </c>
      <c r="M283" s="243" t="str">
        <f>IFERROR(__xludf.DUMMYFUNCTION("IF(ISBLANK(F283),,SUBSTITUTE(IFERROR(JOIN("","",F283:K283),JOIN("","",F283:J283)),CHAR(10),""""))"),"")</f>
        <v/>
      </c>
      <c r="N283" s="229" t="str">
        <f t="shared" si="1"/>
        <v/>
      </c>
    </row>
    <row r="284">
      <c r="F284" s="237"/>
      <c r="G284" s="238" t="str">
        <f t="shared" si="3"/>
        <v/>
      </c>
      <c r="H284" s="238" t="str">
        <f t="shared" si="4"/>
        <v/>
      </c>
      <c r="I284" s="237" t="str">
        <f t="shared" ref="I284:J284" si="276">IF(ISBLANK(C284),,""""&amp;C284&amp;"""")</f>
        <v/>
      </c>
      <c r="J284" s="237" t="str">
        <f t="shared" si="276"/>
        <v/>
      </c>
      <c r="K284" s="237" t="str">
        <f>IF(ISBLANK(F284),,Config!$C$3&amp;"&amp;range=BB"&amp;MATCH(F284,FRG!AC:AC,0))</f>
        <v/>
      </c>
      <c r="M284" s="243" t="str">
        <f>IFERROR(__xludf.DUMMYFUNCTION("IF(ISBLANK(F284),,SUBSTITUTE(IFERROR(JOIN("","",F284:K284),JOIN("","",F284:J284)),CHAR(10),""""))"),"")</f>
        <v/>
      </c>
      <c r="N284" s="229" t="str">
        <f t="shared" si="1"/>
        <v/>
      </c>
    </row>
    <row r="285">
      <c r="F285" s="237"/>
      <c r="G285" s="238" t="str">
        <f t="shared" si="3"/>
        <v/>
      </c>
      <c r="H285" s="238" t="str">
        <f t="shared" si="4"/>
        <v/>
      </c>
      <c r="I285" s="237" t="str">
        <f t="shared" ref="I285:J285" si="277">IF(ISBLANK(C285),,""""&amp;C285&amp;"""")</f>
        <v/>
      </c>
      <c r="J285" s="237" t="str">
        <f t="shared" si="277"/>
        <v/>
      </c>
      <c r="K285" s="237" t="str">
        <f>IF(ISBLANK(F285),,Config!$C$3&amp;"&amp;range=BB"&amp;MATCH(F285,FRG!AC:AC,0))</f>
        <v/>
      </c>
      <c r="M285" s="243" t="str">
        <f>IFERROR(__xludf.DUMMYFUNCTION("IF(ISBLANK(F285),,SUBSTITUTE(IFERROR(JOIN("","",F285:K285),JOIN("","",F285:J285)),CHAR(10),""""))"),"")</f>
        <v/>
      </c>
      <c r="N285" s="229" t="str">
        <f t="shared" si="1"/>
        <v/>
      </c>
    </row>
    <row r="286">
      <c r="F286" s="237"/>
      <c r="G286" s="238" t="str">
        <f t="shared" si="3"/>
        <v/>
      </c>
      <c r="H286" s="238" t="str">
        <f t="shared" si="4"/>
        <v/>
      </c>
      <c r="I286" s="237" t="str">
        <f t="shared" ref="I286:J286" si="278">IF(ISBLANK(C286),,""""&amp;C286&amp;"""")</f>
        <v/>
      </c>
      <c r="J286" s="237" t="str">
        <f t="shared" si="278"/>
        <v/>
      </c>
      <c r="K286" s="237" t="str">
        <f>IF(ISBLANK(F286),,Config!$C$3&amp;"&amp;range=BB"&amp;MATCH(F286,FRG!AC:AC,0))</f>
        <v/>
      </c>
      <c r="M286" s="243" t="str">
        <f>IFERROR(__xludf.DUMMYFUNCTION("IF(ISBLANK(F286),,SUBSTITUTE(IFERROR(JOIN("","",F286:K286),JOIN("","",F286:J286)),CHAR(10),""""))"),"")</f>
        <v/>
      </c>
      <c r="N286" s="229" t="str">
        <f t="shared" si="1"/>
        <v/>
      </c>
    </row>
    <row r="287">
      <c r="F287" s="237"/>
      <c r="G287" s="238" t="str">
        <f t="shared" si="3"/>
        <v/>
      </c>
      <c r="H287" s="238" t="str">
        <f t="shared" si="4"/>
        <v/>
      </c>
      <c r="I287" s="237" t="str">
        <f t="shared" ref="I287:J287" si="279">IF(ISBLANK(C287),,""""&amp;C287&amp;"""")</f>
        <v/>
      </c>
      <c r="J287" s="237" t="str">
        <f t="shared" si="279"/>
        <v/>
      </c>
      <c r="K287" s="237" t="str">
        <f>IF(ISBLANK(F287),,Config!$C$3&amp;"&amp;range=BB"&amp;MATCH(F287,FRG!AC:AC,0))</f>
        <v/>
      </c>
      <c r="M287" s="243" t="str">
        <f>IFERROR(__xludf.DUMMYFUNCTION("IF(ISBLANK(F287),,SUBSTITUTE(IFERROR(JOIN("","",F287:K287),JOIN("","",F287:J287)),CHAR(10),""""))"),"")</f>
        <v/>
      </c>
      <c r="N287" s="229" t="str">
        <f t="shared" si="1"/>
        <v/>
      </c>
    </row>
    <row r="288">
      <c r="F288" s="237"/>
      <c r="G288" s="238" t="str">
        <f t="shared" si="3"/>
        <v/>
      </c>
      <c r="H288" s="238" t="str">
        <f t="shared" si="4"/>
        <v/>
      </c>
      <c r="I288" s="237" t="str">
        <f t="shared" ref="I288:J288" si="280">IF(ISBLANK(C288),,""""&amp;C288&amp;"""")</f>
        <v/>
      </c>
      <c r="J288" s="237" t="str">
        <f t="shared" si="280"/>
        <v/>
      </c>
      <c r="K288" s="237" t="str">
        <f>IF(ISBLANK(F288),,Config!$C$3&amp;"&amp;range=BB"&amp;MATCH(F288,FRG!AC:AC,0))</f>
        <v/>
      </c>
      <c r="M288" s="243" t="str">
        <f>IFERROR(__xludf.DUMMYFUNCTION("IF(ISBLANK(F288),,SUBSTITUTE(IFERROR(JOIN("","",F288:K288),JOIN("","",F288:J288)),CHAR(10),""""))"),"")</f>
        <v/>
      </c>
      <c r="N288" s="229" t="str">
        <f t="shared" si="1"/>
        <v/>
      </c>
    </row>
    <row r="289">
      <c r="F289" s="237"/>
      <c r="G289" s="238" t="str">
        <f t="shared" si="3"/>
        <v/>
      </c>
      <c r="H289" s="238" t="str">
        <f t="shared" si="4"/>
        <v/>
      </c>
      <c r="I289" s="237" t="str">
        <f t="shared" ref="I289:J289" si="281">IF(ISBLANK(C289),,""""&amp;C289&amp;"""")</f>
        <v/>
      </c>
      <c r="J289" s="237" t="str">
        <f t="shared" si="281"/>
        <v/>
      </c>
      <c r="K289" s="237" t="str">
        <f>IF(ISBLANK(F289),,Config!$C$3&amp;"&amp;range=BB"&amp;MATCH(F289,FRG!AC:AC,0))</f>
        <v/>
      </c>
      <c r="M289" s="243" t="str">
        <f>IFERROR(__xludf.DUMMYFUNCTION("IF(ISBLANK(F289),,SUBSTITUTE(IFERROR(JOIN("","",F289:K289),JOIN("","",F289:J289)),CHAR(10),""""))"),"")</f>
        <v/>
      </c>
      <c r="N289" s="229" t="str">
        <f t="shared" si="1"/>
        <v/>
      </c>
    </row>
    <row r="290">
      <c r="F290" s="237"/>
      <c r="G290" s="238" t="str">
        <f t="shared" si="3"/>
        <v/>
      </c>
      <c r="H290" s="238" t="str">
        <f t="shared" si="4"/>
        <v/>
      </c>
      <c r="I290" s="237" t="str">
        <f t="shared" ref="I290:J290" si="282">IF(ISBLANK(C290),,""""&amp;C290&amp;"""")</f>
        <v/>
      </c>
      <c r="J290" s="237" t="str">
        <f t="shared" si="282"/>
        <v/>
      </c>
      <c r="K290" s="237" t="str">
        <f>IF(ISBLANK(F290),,Config!$C$3&amp;"&amp;range=BB"&amp;MATCH(F290,FRG!AC:AC,0))</f>
        <v/>
      </c>
      <c r="M290" s="243" t="str">
        <f>IFERROR(__xludf.DUMMYFUNCTION("IF(ISBLANK(F290),,SUBSTITUTE(IFERROR(JOIN("","",F290:K290),JOIN("","",F290:J290)),CHAR(10),""""))"),"")</f>
        <v/>
      </c>
      <c r="N290" s="229" t="str">
        <f t="shared" si="1"/>
        <v/>
      </c>
    </row>
    <row r="291">
      <c r="F291" s="237"/>
      <c r="G291" s="238" t="str">
        <f t="shared" si="3"/>
        <v/>
      </c>
      <c r="H291" s="238" t="str">
        <f t="shared" si="4"/>
        <v/>
      </c>
      <c r="I291" s="237" t="str">
        <f t="shared" ref="I291:J291" si="283">IF(ISBLANK(C291),,""""&amp;C291&amp;"""")</f>
        <v/>
      </c>
      <c r="J291" s="237" t="str">
        <f t="shared" si="283"/>
        <v/>
      </c>
      <c r="K291" s="237" t="str">
        <f>IF(ISBLANK(F291),,Config!$C$3&amp;"&amp;range=BB"&amp;MATCH(F291,FRG!AC:AC,0))</f>
        <v/>
      </c>
      <c r="M291" s="243" t="str">
        <f>IFERROR(__xludf.DUMMYFUNCTION("IF(ISBLANK(F291),,SUBSTITUTE(IFERROR(JOIN("","",F291:K291),JOIN("","",F291:J291)),CHAR(10),""""))"),"")</f>
        <v/>
      </c>
      <c r="N291" s="229" t="str">
        <f t="shared" si="1"/>
        <v/>
      </c>
    </row>
    <row r="292">
      <c r="F292" s="237"/>
      <c r="G292" s="238" t="str">
        <f t="shared" si="3"/>
        <v/>
      </c>
      <c r="H292" s="238" t="str">
        <f t="shared" si="4"/>
        <v/>
      </c>
      <c r="I292" s="237" t="str">
        <f t="shared" ref="I292:J292" si="284">IF(ISBLANK(C292),,""""&amp;C292&amp;"""")</f>
        <v/>
      </c>
      <c r="J292" s="237" t="str">
        <f t="shared" si="284"/>
        <v/>
      </c>
      <c r="K292" s="237" t="str">
        <f>IF(ISBLANK(F292),,Config!$C$3&amp;"&amp;range=BB"&amp;MATCH(F292,FRG!AC:AC,0))</f>
        <v/>
      </c>
      <c r="M292" s="243" t="str">
        <f>IFERROR(__xludf.DUMMYFUNCTION("IF(ISBLANK(F292),,SUBSTITUTE(IFERROR(JOIN("","",F292:K292),JOIN("","",F292:J292)),CHAR(10),""""))"),"")</f>
        <v/>
      </c>
      <c r="N292" s="229" t="str">
        <f t="shared" si="1"/>
        <v/>
      </c>
    </row>
    <row r="293">
      <c r="F293" s="237"/>
      <c r="G293" s="238" t="str">
        <f t="shared" si="3"/>
        <v/>
      </c>
      <c r="H293" s="238" t="str">
        <f t="shared" si="4"/>
        <v/>
      </c>
      <c r="I293" s="237" t="str">
        <f t="shared" ref="I293:J293" si="285">IF(ISBLANK(C293),,""""&amp;C293&amp;"""")</f>
        <v/>
      </c>
      <c r="J293" s="237" t="str">
        <f t="shared" si="285"/>
        <v/>
      </c>
      <c r="K293" s="237" t="str">
        <f>IF(ISBLANK(F293),,Config!$C$3&amp;"&amp;range=BB"&amp;MATCH(F293,FRG!AC:AC,0))</f>
        <v/>
      </c>
      <c r="M293" s="243" t="str">
        <f>IFERROR(__xludf.DUMMYFUNCTION("IF(ISBLANK(F293),,SUBSTITUTE(IFERROR(JOIN("","",F293:K293),JOIN("","",F293:J293)),CHAR(10),""""))"),"")</f>
        <v/>
      </c>
      <c r="N293" s="229" t="str">
        <f t="shared" si="1"/>
        <v/>
      </c>
    </row>
    <row r="294">
      <c r="F294" s="237"/>
      <c r="G294" s="238" t="str">
        <f t="shared" si="3"/>
        <v/>
      </c>
      <c r="H294" s="238" t="str">
        <f t="shared" si="4"/>
        <v/>
      </c>
      <c r="I294" s="237" t="str">
        <f t="shared" ref="I294:J294" si="286">IF(ISBLANK(C294),,""""&amp;C294&amp;"""")</f>
        <v/>
      </c>
      <c r="J294" s="237" t="str">
        <f t="shared" si="286"/>
        <v/>
      </c>
      <c r="K294" s="237" t="str">
        <f>IF(ISBLANK(F294),,Config!$C$3&amp;"&amp;range=BB"&amp;MATCH(F294,FRG!AC:AC,0))</f>
        <v/>
      </c>
      <c r="M294" s="243" t="str">
        <f>IFERROR(__xludf.DUMMYFUNCTION("IF(ISBLANK(F294),,SUBSTITUTE(IFERROR(JOIN("","",F294:K294),JOIN("","",F294:J294)),CHAR(10),""""))"),"")</f>
        <v/>
      </c>
      <c r="N294" s="229" t="str">
        <f t="shared" si="1"/>
        <v/>
      </c>
    </row>
    <row r="295">
      <c r="F295" s="237"/>
      <c r="G295" s="238" t="str">
        <f t="shared" si="3"/>
        <v/>
      </c>
      <c r="H295" s="238" t="str">
        <f t="shared" si="4"/>
        <v/>
      </c>
      <c r="I295" s="237" t="str">
        <f t="shared" ref="I295:J295" si="287">IF(ISBLANK(C295),,""""&amp;C295&amp;"""")</f>
        <v/>
      </c>
      <c r="J295" s="237" t="str">
        <f t="shared" si="287"/>
        <v/>
      </c>
      <c r="K295" s="237" t="str">
        <f>IF(ISBLANK(F295),,Config!$C$3&amp;"&amp;range=BB"&amp;MATCH(F295,FRG!AC:AC,0))</f>
        <v/>
      </c>
      <c r="M295" s="243" t="str">
        <f>IFERROR(__xludf.DUMMYFUNCTION("IF(ISBLANK(F295),,SUBSTITUTE(IFERROR(JOIN("","",F295:K295),JOIN("","",F295:J295)),CHAR(10),""""))"),"")</f>
        <v/>
      </c>
      <c r="N295" s="229" t="str">
        <f t="shared" si="1"/>
        <v/>
      </c>
    </row>
    <row r="296">
      <c r="F296" s="237"/>
      <c r="G296" s="238" t="str">
        <f t="shared" si="3"/>
        <v/>
      </c>
      <c r="H296" s="238" t="str">
        <f t="shared" si="4"/>
        <v/>
      </c>
      <c r="I296" s="237" t="str">
        <f t="shared" ref="I296:J296" si="288">IF(ISBLANK(C296),,""""&amp;C296&amp;"""")</f>
        <v/>
      </c>
      <c r="J296" s="237" t="str">
        <f t="shared" si="288"/>
        <v/>
      </c>
      <c r="K296" s="237" t="str">
        <f>IF(ISBLANK(F296),,Config!$C$3&amp;"&amp;range=BB"&amp;MATCH(F296,FRG!AC:AC,0))</f>
        <v/>
      </c>
      <c r="M296" s="243" t="str">
        <f>IFERROR(__xludf.DUMMYFUNCTION("IF(ISBLANK(F296),,SUBSTITUTE(IFERROR(JOIN("","",F296:K296),JOIN("","",F296:J296)),CHAR(10),""""))"),"")</f>
        <v/>
      </c>
      <c r="N296" s="229" t="str">
        <f t="shared" si="1"/>
        <v/>
      </c>
    </row>
    <row r="297">
      <c r="F297" s="237"/>
      <c r="G297" s="238" t="str">
        <f t="shared" si="3"/>
        <v/>
      </c>
      <c r="H297" s="238" t="str">
        <f t="shared" si="4"/>
        <v/>
      </c>
      <c r="I297" s="237" t="str">
        <f t="shared" ref="I297:J297" si="289">IF(ISBLANK(C297),,""""&amp;C297&amp;"""")</f>
        <v/>
      </c>
      <c r="J297" s="237" t="str">
        <f t="shared" si="289"/>
        <v/>
      </c>
      <c r="K297" s="237" t="str">
        <f>IF(ISBLANK(F297),,Config!$C$3&amp;"&amp;range=BB"&amp;MATCH(F297,FRG!AC:AC,0))</f>
        <v/>
      </c>
      <c r="M297" s="243" t="str">
        <f>IFERROR(__xludf.DUMMYFUNCTION("IF(ISBLANK(F297),,SUBSTITUTE(IFERROR(JOIN("","",F297:K297),JOIN("","",F297:J297)),CHAR(10),""""))"),"")</f>
        <v/>
      </c>
      <c r="N297" s="229" t="str">
        <f t="shared" si="1"/>
        <v/>
      </c>
    </row>
    <row r="298">
      <c r="F298" s="237"/>
      <c r="G298" s="238" t="str">
        <f t="shared" si="3"/>
        <v/>
      </c>
      <c r="H298" s="238" t="str">
        <f t="shared" si="4"/>
        <v/>
      </c>
      <c r="I298" s="237" t="str">
        <f t="shared" ref="I298:J298" si="290">IF(ISBLANK(C298),,""""&amp;C298&amp;"""")</f>
        <v/>
      </c>
      <c r="J298" s="237" t="str">
        <f t="shared" si="290"/>
        <v/>
      </c>
      <c r="K298" s="237" t="str">
        <f>IF(ISBLANK(F298),,Config!$C$3&amp;"&amp;range=BB"&amp;MATCH(F298,FRG!AC:AC,0))</f>
        <v/>
      </c>
      <c r="M298" s="243" t="str">
        <f>IFERROR(__xludf.DUMMYFUNCTION("IF(ISBLANK(F298),,SUBSTITUTE(IFERROR(JOIN("","",F298:K298),JOIN("","",F298:J298)),CHAR(10),""""))"),"")</f>
        <v/>
      </c>
      <c r="N298" s="229" t="str">
        <f t="shared" si="1"/>
        <v/>
      </c>
    </row>
    <row r="299">
      <c r="F299" s="237"/>
      <c r="G299" s="238" t="str">
        <f t="shared" si="3"/>
        <v/>
      </c>
      <c r="H299" s="238" t="str">
        <f t="shared" si="4"/>
        <v/>
      </c>
      <c r="I299" s="237" t="str">
        <f t="shared" ref="I299:J299" si="291">IF(ISBLANK(C299),,""""&amp;C299&amp;"""")</f>
        <v/>
      </c>
      <c r="J299" s="237" t="str">
        <f t="shared" si="291"/>
        <v/>
      </c>
      <c r="K299" s="237" t="str">
        <f>IF(ISBLANK(F299),,Config!$C$3&amp;"&amp;range=BB"&amp;MATCH(F299,FRG!AC:AC,0))</f>
        <v/>
      </c>
      <c r="M299" s="243" t="str">
        <f>IFERROR(__xludf.DUMMYFUNCTION("IF(ISBLANK(F299),,SUBSTITUTE(IFERROR(JOIN("","",F299:K299),JOIN("","",F299:J299)),CHAR(10),""""))"),"")</f>
        <v/>
      </c>
      <c r="N299" s="229" t="str">
        <f t="shared" si="1"/>
        <v/>
      </c>
    </row>
    <row r="300">
      <c r="F300" s="237"/>
      <c r="G300" s="238" t="str">
        <f t="shared" si="3"/>
        <v/>
      </c>
      <c r="H300" s="238" t="str">
        <f t="shared" si="4"/>
        <v/>
      </c>
      <c r="I300" s="237" t="str">
        <f t="shared" ref="I300:J300" si="292">IF(ISBLANK(C300),,""""&amp;C300&amp;"""")</f>
        <v/>
      </c>
      <c r="J300" s="237" t="str">
        <f t="shared" si="292"/>
        <v/>
      </c>
      <c r="K300" s="237" t="str">
        <f>IF(ISBLANK(F300),,Config!$C$3&amp;"&amp;range=BB"&amp;MATCH(F300,FRG!AC:AC,0))</f>
        <v/>
      </c>
      <c r="M300" s="243" t="str">
        <f>IFERROR(__xludf.DUMMYFUNCTION("IF(ISBLANK(F300),,SUBSTITUTE(IFERROR(JOIN("","",F300:K300),JOIN("","",F300:J300)),CHAR(10),""""))"),"")</f>
        <v/>
      </c>
      <c r="N300" s="229" t="str">
        <f t="shared" si="1"/>
        <v/>
      </c>
    </row>
    <row r="301">
      <c r="F301" s="237"/>
      <c r="G301" s="238" t="str">
        <f t="shared" si="3"/>
        <v/>
      </c>
      <c r="H301" s="238" t="str">
        <f t="shared" si="4"/>
        <v/>
      </c>
      <c r="I301" s="237" t="str">
        <f t="shared" ref="I301:J301" si="293">IF(ISBLANK(C301),,""""&amp;C301&amp;"""")</f>
        <v/>
      </c>
      <c r="J301" s="237" t="str">
        <f t="shared" si="293"/>
        <v/>
      </c>
      <c r="K301" s="237" t="str">
        <f>IF(ISBLANK(F301),,Config!$C$3&amp;"&amp;range=BB"&amp;MATCH(F301,FRG!AC:AC,0))</f>
        <v/>
      </c>
      <c r="M301" s="243" t="str">
        <f>IFERROR(__xludf.DUMMYFUNCTION("IF(ISBLANK(F301),,SUBSTITUTE(IFERROR(JOIN("","",F301:K301),JOIN("","",F301:J301)),CHAR(10),""""))"),"")</f>
        <v/>
      </c>
      <c r="N301" s="229" t="str">
        <f t="shared" si="1"/>
        <v/>
      </c>
    </row>
    <row r="302">
      <c r="F302" s="237"/>
      <c r="G302" s="238" t="str">
        <f t="shared" si="3"/>
        <v/>
      </c>
      <c r="H302" s="238" t="str">
        <f t="shared" si="4"/>
        <v/>
      </c>
      <c r="I302" s="237" t="str">
        <f t="shared" ref="I302:J302" si="294">IF(ISBLANK(C302),,""""&amp;C302&amp;"""")</f>
        <v/>
      </c>
      <c r="J302" s="237" t="str">
        <f t="shared" si="294"/>
        <v/>
      </c>
      <c r="K302" s="237" t="str">
        <f>IF(ISBLANK(F302),,Config!$C$3&amp;"&amp;range=BB"&amp;MATCH(F302,FRG!AC:AC,0))</f>
        <v/>
      </c>
      <c r="M302" s="243" t="str">
        <f>IFERROR(__xludf.DUMMYFUNCTION("IF(ISBLANK(F302),,SUBSTITUTE(IFERROR(JOIN("","",F302:K302),JOIN("","",F302:J302)),CHAR(10),""""))"),"")</f>
        <v/>
      </c>
      <c r="N302" s="229" t="str">
        <f t="shared" si="1"/>
        <v/>
      </c>
    </row>
    <row r="303">
      <c r="F303" s="237"/>
      <c r="G303" s="238" t="str">
        <f t="shared" si="3"/>
        <v/>
      </c>
      <c r="H303" s="238" t="str">
        <f t="shared" si="4"/>
        <v/>
      </c>
      <c r="I303" s="237" t="str">
        <f t="shared" ref="I303:J303" si="295">IF(ISBLANK(C303),,""""&amp;C303&amp;"""")</f>
        <v/>
      </c>
      <c r="J303" s="237" t="str">
        <f t="shared" si="295"/>
        <v/>
      </c>
      <c r="K303" s="237" t="str">
        <f>IF(ISBLANK(F303),,Config!$C$3&amp;"&amp;range=BB"&amp;MATCH(F303,FRG!AC:AC,0))</f>
        <v/>
      </c>
      <c r="M303" s="243" t="str">
        <f>IFERROR(__xludf.DUMMYFUNCTION("IF(ISBLANK(F303),,SUBSTITUTE(IFERROR(JOIN("","",F303:K303),JOIN("","",F303:J303)),CHAR(10),""""))"),"")</f>
        <v/>
      </c>
      <c r="N303" s="229" t="str">
        <f t="shared" si="1"/>
        <v/>
      </c>
    </row>
    <row r="304">
      <c r="F304" s="237"/>
      <c r="G304" s="238" t="str">
        <f t="shared" si="3"/>
        <v/>
      </c>
      <c r="H304" s="238" t="str">
        <f t="shared" si="4"/>
        <v/>
      </c>
      <c r="I304" s="237" t="str">
        <f t="shared" ref="I304:J304" si="296">IF(ISBLANK(C304),,""""&amp;C304&amp;"""")</f>
        <v/>
      </c>
      <c r="J304" s="237" t="str">
        <f t="shared" si="296"/>
        <v/>
      </c>
      <c r="K304" s="237" t="str">
        <f>IF(ISBLANK(F304),,Config!$C$3&amp;"&amp;range=BB"&amp;MATCH(F304,FRG!AC:AC,0))</f>
        <v/>
      </c>
      <c r="M304" s="243" t="str">
        <f>IFERROR(__xludf.DUMMYFUNCTION("IF(ISBLANK(F304),,SUBSTITUTE(IFERROR(JOIN("","",F304:K304),JOIN("","",F304:J304)),CHAR(10),""""))"),"")</f>
        <v/>
      </c>
      <c r="N304" s="229" t="str">
        <f t="shared" si="1"/>
        <v/>
      </c>
    </row>
    <row r="305">
      <c r="F305" s="237"/>
      <c r="G305" s="238" t="str">
        <f t="shared" si="3"/>
        <v/>
      </c>
      <c r="H305" s="238" t="str">
        <f t="shared" si="4"/>
        <v/>
      </c>
      <c r="I305" s="237" t="str">
        <f t="shared" ref="I305:J305" si="297">IF(ISBLANK(C305),,""""&amp;C305&amp;"""")</f>
        <v/>
      </c>
      <c r="J305" s="237" t="str">
        <f t="shared" si="297"/>
        <v/>
      </c>
      <c r="K305" s="237" t="str">
        <f>IF(ISBLANK(F305),,Config!$C$3&amp;"&amp;range=BB"&amp;MATCH(F305,FRG!AC:AC,0))</f>
        <v/>
      </c>
      <c r="M305" s="243" t="str">
        <f>IFERROR(__xludf.DUMMYFUNCTION("IF(ISBLANK(F305),,SUBSTITUTE(IFERROR(JOIN("","",F305:K305),JOIN("","",F305:J305)),CHAR(10),""""))"),"")</f>
        <v/>
      </c>
      <c r="N305" s="229" t="str">
        <f t="shared" si="1"/>
        <v/>
      </c>
    </row>
    <row r="306">
      <c r="F306" s="237"/>
      <c r="G306" s="238" t="str">
        <f t="shared" si="3"/>
        <v/>
      </c>
      <c r="H306" s="238" t="str">
        <f t="shared" si="4"/>
        <v/>
      </c>
      <c r="I306" s="237" t="str">
        <f t="shared" ref="I306:J306" si="298">IF(ISBLANK(C306),,""""&amp;C306&amp;"""")</f>
        <v/>
      </c>
      <c r="J306" s="237" t="str">
        <f t="shared" si="298"/>
        <v/>
      </c>
      <c r="K306" s="237" t="str">
        <f>IF(ISBLANK(F306),,Config!$C$3&amp;"&amp;range=BB"&amp;MATCH(F306,FRG!AC:AC,0))</f>
        <v/>
      </c>
      <c r="M306" s="243" t="str">
        <f>IFERROR(__xludf.DUMMYFUNCTION("IF(ISBLANK(F306),,SUBSTITUTE(IFERROR(JOIN("","",F306:K306),JOIN("","",F306:J306)),CHAR(10),""""))"),"")</f>
        <v/>
      </c>
      <c r="N306" s="229" t="str">
        <f t="shared" si="1"/>
        <v/>
      </c>
    </row>
    <row r="307">
      <c r="F307" s="237"/>
      <c r="G307" s="238" t="str">
        <f t="shared" si="3"/>
        <v/>
      </c>
      <c r="H307" s="238" t="str">
        <f t="shared" si="4"/>
        <v/>
      </c>
      <c r="I307" s="237" t="str">
        <f t="shared" ref="I307:J307" si="299">IF(ISBLANK(C307),,""""&amp;C307&amp;"""")</f>
        <v/>
      </c>
      <c r="J307" s="237" t="str">
        <f t="shared" si="299"/>
        <v/>
      </c>
      <c r="K307" s="237" t="str">
        <f>IF(ISBLANK(F307),,Config!$C$3&amp;"&amp;range=BB"&amp;MATCH(F307,FRG!AC:AC,0))</f>
        <v/>
      </c>
      <c r="M307" s="243" t="str">
        <f>IFERROR(__xludf.DUMMYFUNCTION("IF(ISBLANK(F307),,SUBSTITUTE(IFERROR(JOIN("","",F307:K307),JOIN("","",F307:J307)),CHAR(10),""""))"),"")</f>
        <v/>
      </c>
      <c r="N307" s="229" t="str">
        <f t="shared" si="1"/>
        <v/>
      </c>
    </row>
    <row r="308">
      <c r="F308" s="237"/>
      <c r="G308" s="238" t="str">
        <f t="shared" si="3"/>
        <v/>
      </c>
      <c r="H308" s="238" t="str">
        <f t="shared" si="4"/>
        <v/>
      </c>
      <c r="I308" s="237" t="str">
        <f t="shared" ref="I308:J308" si="300">IF(ISBLANK(C308),,""""&amp;C308&amp;"""")</f>
        <v/>
      </c>
      <c r="J308" s="237" t="str">
        <f t="shared" si="300"/>
        <v/>
      </c>
      <c r="K308" s="237" t="str">
        <f>IF(ISBLANK(F308),,Config!$C$3&amp;"&amp;range=BB"&amp;MATCH(F308,FRG!AC:AC,0))</f>
        <v/>
      </c>
      <c r="M308" s="243" t="str">
        <f>IFERROR(__xludf.DUMMYFUNCTION("IF(ISBLANK(F308),,SUBSTITUTE(IFERROR(JOIN("","",F308:K308),JOIN("","",F308:J308)),CHAR(10),""""))"),"")</f>
        <v/>
      </c>
      <c r="N308" s="229" t="str">
        <f t="shared" si="1"/>
        <v/>
      </c>
    </row>
    <row r="309">
      <c r="F309" s="237"/>
      <c r="G309" s="238" t="str">
        <f t="shared" si="3"/>
        <v/>
      </c>
      <c r="H309" s="238" t="str">
        <f t="shared" si="4"/>
        <v/>
      </c>
      <c r="I309" s="237" t="str">
        <f t="shared" ref="I309:J309" si="301">IF(ISBLANK(C309),,""""&amp;C309&amp;"""")</f>
        <v/>
      </c>
      <c r="J309" s="237" t="str">
        <f t="shared" si="301"/>
        <v/>
      </c>
      <c r="K309" s="237" t="str">
        <f>IF(ISBLANK(F309),,Config!$C$3&amp;"&amp;range=BB"&amp;MATCH(F309,FRG!AC:AC,0))</f>
        <v/>
      </c>
      <c r="M309" s="243" t="str">
        <f>IFERROR(__xludf.DUMMYFUNCTION("IF(ISBLANK(F309),,SUBSTITUTE(IFERROR(JOIN("","",F309:K309),JOIN("","",F309:J309)),CHAR(10),""""))"),"")</f>
        <v/>
      </c>
      <c r="N309" s="229" t="str">
        <f t="shared" si="1"/>
        <v/>
      </c>
    </row>
    <row r="310">
      <c r="F310" s="237"/>
      <c r="G310" s="238" t="str">
        <f t="shared" si="3"/>
        <v/>
      </c>
      <c r="H310" s="238" t="str">
        <f t="shared" si="4"/>
        <v/>
      </c>
      <c r="I310" s="237" t="str">
        <f t="shared" ref="I310:J310" si="302">IF(ISBLANK(C310),,""""&amp;C310&amp;"""")</f>
        <v/>
      </c>
      <c r="J310" s="237" t="str">
        <f t="shared" si="302"/>
        <v/>
      </c>
      <c r="K310" s="237" t="str">
        <f>IF(ISBLANK(F310),,Config!$C$3&amp;"&amp;range=BB"&amp;MATCH(F310,FRG!AC:AC,0))</f>
        <v/>
      </c>
      <c r="M310" s="243" t="str">
        <f>IFERROR(__xludf.DUMMYFUNCTION("IF(ISBLANK(F310),,SUBSTITUTE(IFERROR(JOIN("","",F310:K310),JOIN("","",F310:J310)),CHAR(10),""""))"),"")</f>
        <v/>
      </c>
      <c r="N310" s="229" t="str">
        <f t="shared" si="1"/>
        <v/>
      </c>
    </row>
    <row r="311">
      <c r="F311" s="237"/>
      <c r="G311" s="238" t="str">
        <f t="shared" si="3"/>
        <v/>
      </c>
      <c r="H311" s="238" t="str">
        <f t="shared" si="4"/>
        <v/>
      </c>
      <c r="I311" s="237" t="str">
        <f t="shared" ref="I311:J311" si="303">IF(ISBLANK(C311),,""""&amp;C311&amp;"""")</f>
        <v/>
      </c>
      <c r="J311" s="237" t="str">
        <f t="shared" si="303"/>
        <v/>
      </c>
      <c r="K311" s="237" t="str">
        <f>IF(ISBLANK(F311),,Config!$C$3&amp;"&amp;range=BB"&amp;MATCH(F311,FRG!AC:AC,0))</f>
        <v/>
      </c>
      <c r="M311" s="243" t="str">
        <f>IFERROR(__xludf.DUMMYFUNCTION("IF(ISBLANK(F311),,SUBSTITUTE(IFERROR(JOIN("","",F311:K311),JOIN("","",F311:J311)),CHAR(10),""""))"),"")</f>
        <v/>
      </c>
      <c r="N311" s="229" t="str">
        <f t="shared" si="1"/>
        <v/>
      </c>
    </row>
    <row r="312">
      <c r="F312" s="237"/>
      <c r="G312" s="238" t="str">
        <f t="shared" si="3"/>
        <v/>
      </c>
      <c r="H312" s="238" t="str">
        <f t="shared" si="4"/>
        <v/>
      </c>
      <c r="I312" s="237" t="str">
        <f t="shared" ref="I312:J312" si="304">IF(ISBLANK(C312),,""""&amp;C312&amp;"""")</f>
        <v/>
      </c>
      <c r="J312" s="237" t="str">
        <f t="shared" si="304"/>
        <v/>
      </c>
      <c r="K312" s="237" t="str">
        <f>IF(ISBLANK(F312),,Config!$C$3&amp;"&amp;range=BB"&amp;MATCH(F312,FRG!AC:AC,0))</f>
        <v/>
      </c>
      <c r="M312" s="243" t="str">
        <f>IFERROR(__xludf.DUMMYFUNCTION("IF(ISBLANK(F312),,SUBSTITUTE(IFERROR(JOIN("","",F312:K312),JOIN("","",F312:J312)),CHAR(10),""""))"),"")</f>
        <v/>
      </c>
      <c r="N312" s="229" t="str">
        <f t="shared" si="1"/>
        <v/>
      </c>
    </row>
    <row r="313">
      <c r="F313" s="237"/>
      <c r="G313" s="238" t="str">
        <f t="shared" si="3"/>
        <v/>
      </c>
      <c r="H313" s="238" t="str">
        <f t="shared" si="4"/>
        <v/>
      </c>
      <c r="I313" s="237" t="str">
        <f t="shared" ref="I313:J313" si="305">IF(ISBLANK(C313),,""""&amp;C313&amp;"""")</f>
        <v/>
      </c>
      <c r="J313" s="237" t="str">
        <f t="shared" si="305"/>
        <v/>
      </c>
      <c r="K313" s="237" t="str">
        <f>IF(ISBLANK(F313),,Config!$C$3&amp;"&amp;range=BB"&amp;MATCH(F313,FRG!AC:AC,0))</f>
        <v/>
      </c>
      <c r="M313" s="243" t="str">
        <f>IFERROR(__xludf.DUMMYFUNCTION("IF(ISBLANK(F313),,SUBSTITUTE(IFERROR(JOIN("","",F313:K313),JOIN("","",F313:J313)),CHAR(10),""""))"),"")</f>
        <v/>
      </c>
      <c r="N313" s="229" t="str">
        <f t="shared" si="1"/>
        <v/>
      </c>
    </row>
    <row r="314">
      <c r="F314" s="237"/>
      <c r="G314" s="238" t="str">
        <f t="shared" si="3"/>
        <v/>
      </c>
      <c r="H314" s="238" t="str">
        <f t="shared" si="4"/>
        <v/>
      </c>
      <c r="I314" s="237" t="str">
        <f t="shared" ref="I314:J314" si="306">IF(ISBLANK(C314),,""""&amp;C314&amp;"""")</f>
        <v/>
      </c>
      <c r="J314" s="237" t="str">
        <f t="shared" si="306"/>
        <v/>
      </c>
      <c r="K314" s="237" t="str">
        <f>IF(ISBLANK(F314),,Config!$C$3&amp;"&amp;range=BB"&amp;MATCH(F314,FRG!AC:AC,0))</f>
        <v/>
      </c>
      <c r="M314" s="243" t="str">
        <f>IFERROR(__xludf.DUMMYFUNCTION("IF(ISBLANK(F314),,SUBSTITUTE(IFERROR(JOIN("","",F314:K314),JOIN("","",F314:J314)),CHAR(10),""""))"),"")</f>
        <v/>
      </c>
      <c r="N314" s="229" t="str">
        <f t="shared" si="1"/>
        <v/>
      </c>
    </row>
    <row r="315">
      <c r="F315" s="237"/>
      <c r="G315" s="238" t="str">
        <f t="shared" si="3"/>
        <v/>
      </c>
      <c r="H315" s="238" t="str">
        <f t="shared" si="4"/>
        <v/>
      </c>
      <c r="I315" s="237" t="str">
        <f t="shared" ref="I315:J315" si="307">IF(ISBLANK(C315),,""""&amp;C315&amp;"""")</f>
        <v/>
      </c>
      <c r="J315" s="237" t="str">
        <f t="shared" si="307"/>
        <v/>
      </c>
      <c r="K315" s="237" t="str">
        <f>IF(ISBLANK(F315),,Config!$C$3&amp;"&amp;range=BB"&amp;MATCH(F315,FRG!AC:AC,0))</f>
        <v/>
      </c>
      <c r="M315" s="243" t="str">
        <f>IFERROR(__xludf.DUMMYFUNCTION("IF(ISBLANK(F315),,SUBSTITUTE(IFERROR(JOIN("","",F315:K315),JOIN("","",F315:J315)),CHAR(10),""""))"),"")</f>
        <v/>
      </c>
      <c r="N315" s="229" t="str">
        <f t="shared" si="1"/>
        <v/>
      </c>
    </row>
    <row r="316">
      <c r="F316" s="237"/>
      <c r="G316" s="238" t="str">
        <f t="shared" si="3"/>
        <v/>
      </c>
      <c r="H316" s="238" t="str">
        <f t="shared" si="4"/>
        <v/>
      </c>
      <c r="I316" s="237" t="str">
        <f t="shared" ref="I316:J316" si="308">IF(ISBLANK(C316),,""""&amp;C316&amp;"""")</f>
        <v/>
      </c>
      <c r="J316" s="237" t="str">
        <f t="shared" si="308"/>
        <v/>
      </c>
      <c r="K316" s="237" t="str">
        <f>IF(ISBLANK(F316),,Config!$C$3&amp;"&amp;range=BB"&amp;MATCH(F316,FRG!AC:AC,0))</f>
        <v/>
      </c>
      <c r="M316" s="243" t="str">
        <f>IFERROR(__xludf.DUMMYFUNCTION("IF(ISBLANK(F316),,SUBSTITUTE(IFERROR(JOIN("","",F316:K316),JOIN("","",F316:J316)),CHAR(10),""""))"),"")</f>
        <v/>
      </c>
      <c r="N316" s="229" t="str">
        <f t="shared" si="1"/>
        <v/>
      </c>
    </row>
    <row r="317">
      <c r="F317" s="237"/>
      <c r="G317" s="238" t="str">
        <f t="shared" si="3"/>
        <v/>
      </c>
      <c r="H317" s="238" t="str">
        <f t="shared" si="4"/>
        <v/>
      </c>
      <c r="I317" s="237" t="str">
        <f t="shared" ref="I317:J317" si="309">IF(ISBLANK(C317),,""""&amp;C317&amp;"""")</f>
        <v/>
      </c>
      <c r="J317" s="237" t="str">
        <f t="shared" si="309"/>
        <v/>
      </c>
      <c r="K317" s="237" t="str">
        <f>IF(ISBLANK(F317),,Config!$C$3&amp;"&amp;range=BB"&amp;MATCH(F317,FRG!AC:AC,0))</f>
        <v/>
      </c>
      <c r="M317" s="243" t="str">
        <f>IFERROR(__xludf.DUMMYFUNCTION("IF(ISBLANK(F317),,SUBSTITUTE(IFERROR(JOIN("","",F317:K317),JOIN("","",F317:J317)),CHAR(10),""""))"),"")</f>
        <v/>
      </c>
      <c r="N317" s="229" t="str">
        <f t="shared" si="1"/>
        <v/>
      </c>
    </row>
    <row r="318">
      <c r="F318" s="237"/>
      <c r="G318" s="238" t="str">
        <f t="shared" si="3"/>
        <v/>
      </c>
      <c r="H318" s="238" t="str">
        <f t="shared" si="4"/>
        <v/>
      </c>
      <c r="I318" s="237" t="str">
        <f t="shared" ref="I318:J318" si="310">IF(ISBLANK(C318),,""""&amp;C318&amp;"""")</f>
        <v/>
      </c>
      <c r="J318" s="237" t="str">
        <f t="shared" si="310"/>
        <v/>
      </c>
      <c r="K318" s="237" t="str">
        <f>IF(ISBLANK(F318),,Config!$C$3&amp;"&amp;range=BB"&amp;MATCH(F318,FRG!AC:AC,0))</f>
        <v/>
      </c>
      <c r="M318" s="243" t="str">
        <f>IFERROR(__xludf.DUMMYFUNCTION("IF(ISBLANK(F318),,SUBSTITUTE(IFERROR(JOIN("","",F318:K318),JOIN("","",F318:J318)),CHAR(10),""""))"),"")</f>
        <v/>
      </c>
      <c r="N318" s="229" t="str">
        <f t="shared" si="1"/>
        <v/>
      </c>
    </row>
    <row r="319">
      <c r="F319" s="237"/>
      <c r="G319" s="238" t="str">
        <f t="shared" si="3"/>
        <v/>
      </c>
      <c r="H319" s="238" t="str">
        <f t="shared" si="4"/>
        <v/>
      </c>
      <c r="I319" s="237" t="str">
        <f t="shared" ref="I319:J319" si="311">IF(ISBLANK(C319),,""""&amp;C319&amp;"""")</f>
        <v/>
      </c>
      <c r="J319" s="237" t="str">
        <f t="shared" si="311"/>
        <v/>
      </c>
      <c r="K319" s="237" t="str">
        <f>IF(ISBLANK(F319),,Config!$C$3&amp;"&amp;range=BB"&amp;MATCH(F319,FRG!AC:AC,0))</f>
        <v/>
      </c>
      <c r="M319" s="243" t="str">
        <f>IFERROR(__xludf.DUMMYFUNCTION("IF(ISBLANK(F319),,SUBSTITUTE(IFERROR(JOIN("","",F319:K319),JOIN("","",F319:J319)),CHAR(10),""""))"),"")</f>
        <v/>
      </c>
      <c r="N319" s="229" t="str">
        <f t="shared" si="1"/>
        <v/>
      </c>
    </row>
    <row r="320">
      <c r="F320" s="237"/>
      <c r="G320" s="238" t="str">
        <f t="shared" si="3"/>
        <v/>
      </c>
      <c r="H320" s="238" t="str">
        <f t="shared" si="4"/>
        <v/>
      </c>
      <c r="I320" s="237" t="str">
        <f t="shared" ref="I320:J320" si="312">IF(ISBLANK(C320),,""""&amp;C320&amp;"""")</f>
        <v/>
      </c>
      <c r="J320" s="237" t="str">
        <f t="shared" si="312"/>
        <v/>
      </c>
      <c r="K320" s="237" t="str">
        <f>IF(ISBLANK(F320),,Config!$C$3&amp;"&amp;range=BB"&amp;MATCH(F320,FRG!AC:AC,0))</f>
        <v/>
      </c>
      <c r="M320" s="243" t="str">
        <f>IFERROR(__xludf.DUMMYFUNCTION("IF(ISBLANK(F320),,SUBSTITUTE(IFERROR(JOIN("","",F320:K320),JOIN("","",F320:J320)),CHAR(10),""""))"),"")</f>
        <v/>
      </c>
      <c r="N320" s="229" t="str">
        <f t="shared" si="1"/>
        <v/>
      </c>
    </row>
    <row r="321">
      <c r="F321" s="237"/>
      <c r="G321" s="238" t="str">
        <f t="shared" si="3"/>
        <v/>
      </c>
      <c r="H321" s="238" t="str">
        <f t="shared" si="4"/>
        <v/>
      </c>
      <c r="I321" s="237" t="str">
        <f t="shared" ref="I321:J321" si="313">IF(ISBLANK(C321),,""""&amp;C321&amp;"""")</f>
        <v/>
      </c>
      <c r="J321" s="237" t="str">
        <f t="shared" si="313"/>
        <v/>
      </c>
      <c r="K321" s="237" t="str">
        <f>IF(ISBLANK(F321),,Config!$C$3&amp;"&amp;range=BB"&amp;MATCH(F321,FRG!AC:AC,0))</f>
        <v/>
      </c>
      <c r="M321" s="243" t="str">
        <f>IFERROR(__xludf.DUMMYFUNCTION("IF(ISBLANK(F321),,SUBSTITUTE(IFERROR(JOIN("","",F321:K321),JOIN("","",F321:J321)),CHAR(10),""""))"),"")</f>
        <v/>
      </c>
      <c r="N321" s="229" t="str">
        <f t="shared" si="1"/>
        <v/>
      </c>
    </row>
    <row r="322">
      <c r="F322" s="237"/>
      <c r="G322" s="238" t="str">
        <f t="shared" si="3"/>
        <v/>
      </c>
      <c r="H322" s="238" t="str">
        <f t="shared" si="4"/>
        <v/>
      </c>
      <c r="I322" s="237" t="str">
        <f t="shared" ref="I322:J322" si="314">IF(ISBLANK(C322),,""""&amp;C322&amp;"""")</f>
        <v/>
      </c>
      <c r="J322" s="237" t="str">
        <f t="shared" si="314"/>
        <v/>
      </c>
      <c r="K322" s="237" t="str">
        <f>IF(ISBLANK(F322),,Config!$C$3&amp;"&amp;range=BB"&amp;MATCH(F322,FRG!AC:AC,0))</f>
        <v/>
      </c>
      <c r="M322" s="243" t="str">
        <f>IFERROR(__xludf.DUMMYFUNCTION("IF(ISBLANK(F322),,SUBSTITUTE(IFERROR(JOIN("","",F322:K322),JOIN("","",F322:J322)),CHAR(10),""""))"),"")</f>
        <v/>
      </c>
      <c r="N322" s="229" t="str">
        <f t="shared" si="1"/>
        <v/>
      </c>
    </row>
    <row r="323">
      <c r="F323" s="237"/>
      <c r="G323" s="238" t="str">
        <f t="shared" si="3"/>
        <v/>
      </c>
      <c r="H323" s="238" t="str">
        <f t="shared" si="4"/>
        <v/>
      </c>
      <c r="I323" s="237" t="str">
        <f t="shared" ref="I323:J323" si="315">IF(ISBLANK(C323),,""""&amp;C323&amp;"""")</f>
        <v/>
      </c>
      <c r="J323" s="237" t="str">
        <f t="shared" si="315"/>
        <v/>
      </c>
      <c r="K323" s="237" t="str">
        <f>IF(ISBLANK(F323),,Config!$C$3&amp;"&amp;range=BB"&amp;MATCH(F323,FRG!AC:AC,0))</f>
        <v/>
      </c>
      <c r="M323" s="243" t="str">
        <f>IFERROR(__xludf.DUMMYFUNCTION("IF(ISBLANK(F323),,SUBSTITUTE(IFERROR(JOIN("","",F323:K323),JOIN("","",F323:J323)),CHAR(10),""""))"),"")</f>
        <v/>
      </c>
      <c r="N323" s="229" t="str">
        <f t="shared" si="1"/>
        <v/>
      </c>
    </row>
    <row r="324">
      <c r="F324" s="237"/>
      <c r="G324" s="238" t="str">
        <f t="shared" si="3"/>
        <v/>
      </c>
      <c r="H324" s="238" t="str">
        <f t="shared" si="4"/>
        <v/>
      </c>
      <c r="I324" s="237" t="str">
        <f t="shared" ref="I324:J324" si="316">IF(ISBLANK(C324),,""""&amp;C324&amp;"""")</f>
        <v/>
      </c>
      <c r="J324" s="237" t="str">
        <f t="shared" si="316"/>
        <v/>
      </c>
      <c r="K324" s="237" t="str">
        <f>IF(ISBLANK(F324),,Config!$C$3&amp;"&amp;range=BB"&amp;MATCH(F324,FRG!AC:AC,0))</f>
        <v/>
      </c>
      <c r="M324" s="243" t="str">
        <f>IFERROR(__xludf.DUMMYFUNCTION("IF(ISBLANK(F324),,SUBSTITUTE(IFERROR(JOIN("","",F324:K324),JOIN("","",F324:J324)),CHAR(10),""""))"),"")</f>
        <v/>
      </c>
      <c r="N324" s="229" t="str">
        <f t="shared" si="1"/>
        <v/>
      </c>
    </row>
    <row r="325">
      <c r="F325" s="237"/>
      <c r="G325" s="238" t="str">
        <f t="shared" si="3"/>
        <v/>
      </c>
      <c r="H325" s="238" t="str">
        <f t="shared" si="4"/>
        <v/>
      </c>
      <c r="I325" s="237" t="str">
        <f t="shared" ref="I325:J325" si="317">IF(ISBLANK(C325),,""""&amp;C325&amp;"""")</f>
        <v/>
      </c>
      <c r="J325" s="237" t="str">
        <f t="shared" si="317"/>
        <v/>
      </c>
      <c r="K325" s="237" t="str">
        <f>IF(ISBLANK(F325),,Config!$C$3&amp;"&amp;range=BB"&amp;MATCH(F325,FRG!AC:AC,0))</f>
        <v/>
      </c>
      <c r="M325" s="243" t="str">
        <f>IFERROR(__xludf.DUMMYFUNCTION("IF(ISBLANK(F325),,SUBSTITUTE(IFERROR(JOIN("","",F325:K325),JOIN("","",F325:J325)),CHAR(10),""""))"),"")</f>
        <v/>
      </c>
      <c r="N325" s="229" t="str">
        <f t="shared" si="1"/>
        <v/>
      </c>
    </row>
    <row r="326">
      <c r="F326" s="237"/>
      <c r="G326" s="238" t="str">
        <f t="shared" si="3"/>
        <v/>
      </c>
      <c r="H326" s="238" t="str">
        <f t="shared" si="4"/>
        <v/>
      </c>
      <c r="I326" s="237" t="str">
        <f t="shared" ref="I326:J326" si="318">IF(ISBLANK(C326),,""""&amp;C326&amp;"""")</f>
        <v/>
      </c>
      <c r="J326" s="237" t="str">
        <f t="shared" si="318"/>
        <v/>
      </c>
      <c r="K326" s="237" t="str">
        <f>IF(ISBLANK(F326),,Config!$C$3&amp;"&amp;range=BB"&amp;MATCH(F326,FRG!AC:AC,0))</f>
        <v/>
      </c>
      <c r="M326" s="243" t="str">
        <f>IFERROR(__xludf.DUMMYFUNCTION("IF(ISBLANK(F326),,SUBSTITUTE(IFERROR(JOIN("","",F326:K326),JOIN("","",F326:J326)),CHAR(10),""""))"),"")</f>
        <v/>
      </c>
      <c r="N326" s="229" t="str">
        <f t="shared" si="1"/>
        <v/>
      </c>
    </row>
    <row r="327">
      <c r="F327" s="237"/>
      <c r="G327" s="238" t="str">
        <f t="shared" si="3"/>
        <v/>
      </c>
      <c r="H327" s="238" t="str">
        <f t="shared" si="4"/>
        <v/>
      </c>
      <c r="I327" s="237" t="str">
        <f t="shared" ref="I327:J327" si="319">IF(ISBLANK(C327),,""""&amp;C327&amp;"""")</f>
        <v/>
      </c>
      <c r="J327" s="237" t="str">
        <f t="shared" si="319"/>
        <v/>
      </c>
      <c r="K327" s="237" t="str">
        <f>IF(ISBLANK(F327),,Config!$C$3&amp;"&amp;range=BB"&amp;MATCH(F327,FRG!AC:AC,0))</f>
        <v/>
      </c>
      <c r="M327" s="243" t="str">
        <f>IFERROR(__xludf.DUMMYFUNCTION("IF(ISBLANK(F327),,SUBSTITUTE(IFERROR(JOIN("","",F327:K327),JOIN("","",F327:J327)),CHAR(10),""""))"),"")</f>
        <v/>
      </c>
      <c r="N327" s="229" t="str">
        <f t="shared" si="1"/>
        <v/>
      </c>
    </row>
    <row r="328">
      <c r="F328" s="237"/>
      <c r="G328" s="238" t="str">
        <f t="shared" si="3"/>
        <v/>
      </c>
      <c r="H328" s="238" t="str">
        <f t="shared" si="4"/>
        <v/>
      </c>
      <c r="I328" s="237" t="str">
        <f t="shared" ref="I328:J328" si="320">IF(ISBLANK(C328),,""""&amp;C328&amp;"""")</f>
        <v/>
      </c>
      <c r="J328" s="237" t="str">
        <f t="shared" si="320"/>
        <v/>
      </c>
      <c r="K328" s="237" t="str">
        <f>IF(ISBLANK(F328),,Config!$C$3&amp;"&amp;range=BB"&amp;MATCH(F328,FRG!AC:AC,0))</f>
        <v/>
      </c>
      <c r="M328" s="243" t="str">
        <f>IFERROR(__xludf.DUMMYFUNCTION("IF(ISBLANK(F328),,SUBSTITUTE(IFERROR(JOIN("","",F328:K328),JOIN("","",F328:J328)),CHAR(10),""""))"),"")</f>
        <v/>
      </c>
      <c r="N328" s="229" t="str">
        <f t="shared" si="1"/>
        <v/>
      </c>
    </row>
    <row r="329">
      <c r="F329" s="237"/>
      <c r="G329" s="238" t="str">
        <f t="shared" si="3"/>
        <v/>
      </c>
      <c r="H329" s="238" t="str">
        <f t="shared" si="4"/>
        <v/>
      </c>
      <c r="I329" s="237" t="str">
        <f t="shared" ref="I329:J329" si="321">IF(ISBLANK(C329),,""""&amp;C329&amp;"""")</f>
        <v/>
      </c>
      <c r="J329" s="237" t="str">
        <f t="shared" si="321"/>
        <v/>
      </c>
      <c r="K329" s="237" t="str">
        <f>IF(ISBLANK(F329),,Config!$C$3&amp;"&amp;range=BB"&amp;MATCH(F329,FRG!AC:AC,0))</f>
        <v/>
      </c>
      <c r="M329" s="243" t="str">
        <f>IFERROR(__xludf.DUMMYFUNCTION("IF(ISBLANK(F329),,SUBSTITUTE(IFERROR(JOIN("","",F329:K329),JOIN("","",F329:J329)),CHAR(10),""""))"),"")</f>
        <v/>
      </c>
      <c r="N329" s="229" t="str">
        <f t="shared" si="1"/>
        <v/>
      </c>
    </row>
    <row r="330">
      <c r="F330" s="237"/>
      <c r="G330" s="238" t="str">
        <f t="shared" si="3"/>
        <v/>
      </c>
      <c r="H330" s="238" t="str">
        <f t="shared" si="4"/>
        <v/>
      </c>
      <c r="I330" s="237" t="str">
        <f t="shared" ref="I330:J330" si="322">IF(ISBLANK(C330),,""""&amp;C330&amp;"""")</f>
        <v/>
      </c>
      <c r="J330" s="237" t="str">
        <f t="shared" si="322"/>
        <v/>
      </c>
      <c r="K330" s="237" t="str">
        <f>IF(ISBLANK(F330),,Config!$C$3&amp;"&amp;range=BB"&amp;MATCH(F330,FRG!AC:AC,0))</f>
        <v/>
      </c>
      <c r="M330" s="243" t="str">
        <f>IFERROR(__xludf.DUMMYFUNCTION("IF(ISBLANK(F330),,SUBSTITUTE(IFERROR(JOIN("","",F330:K330),JOIN("","",F330:J330)),CHAR(10),""""))"),"")</f>
        <v/>
      </c>
      <c r="N330" s="229" t="str">
        <f t="shared" si="1"/>
        <v/>
      </c>
    </row>
    <row r="331">
      <c r="F331" s="237"/>
      <c r="G331" s="238" t="str">
        <f t="shared" si="3"/>
        <v/>
      </c>
      <c r="H331" s="238" t="str">
        <f t="shared" si="4"/>
        <v/>
      </c>
      <c r="I331" s="237" t="str">
        <f t="shared" ref="I331:J331" si="323">IF(ISBLANK(C331),,""""&amp;C331&amp;"""")</f>
        <v/>
      </c>
      <c r="J331" s="237" t="str">
        <f t="shared" si="323"/>
        <v/>
      </c>
      <c r="K331" s="237" t="str">
        <f>IF(ISBLANK(F331),,Config!$C$3&amp;"&amp;range=BB"&amp;MATCH(F331,FRG!AC:AC,0))</f>
        <v/>
      </c>
      <c r="M331" s="243" t="str">
        <f>IFERROR(__xludf.DUMMYFUNCTION("IF(ISBLANK(F331),,SUBSTITUTE(IFERROR(JOIN("","",F331:K331),JOIN("","",F331:J331)),CHAR(10),""""))"),"")</f>
        <v/>
      </c>
      <c r="N331" s="229" t="str">
        <f t="shared" si="1"/>
        <v/>
      </c>
    </row>
    <row r="332">
      <c r="F332" s="237"/>
      <c r="G332" s="238" t="str">
        <f t="shared" si="3"/>
        <v/>
      </c>
      <c r="H332" s="238" t="str">
        <f t="shared" si="4"/>
        <v/>
      </c>
      <c r="I332" s="237" t="str">
        <f t="shared" ref="I332:J332" si="324">IF(ISBLANK(C332),,""""&amp;C332&amp;"""")</f>
        <v/>
      </c>
      <c r="J332" s="237" t="str">
        <f t="shared" si="324"/>
        <v/>
      </c>
      <c r="K332" s="237" t="str">
        <f>IF(ISBLANK(F332),,Config!$C$3&amp;"&amp;range=BB"&amp;MATCH(F332,FRG!AC:AC,0))</f>
        <v/>
      </c>
      <c r="M332" s="243" t="str">
        <f>IFERROR(__xludf.DUMMYFUNCTION("IF(ISBLANK(F332),,SUBSTITUTE(IFERROR(JOIN("","",F332:K332),JOIN("","",F332:J332)),CHAR(10),""""))"),"")</f>
        <v/>
      </c>
      <c r="N332" s="229" t="str">
        <f t="shared" si="1"/>
        <v/>
      </c>
    </row>
    <row r="333">
      <c r="F333" s="237"/>
      <c r="G333" s="238" t="str">
        <f t="shared" si="3"/>
        <v/>
      </c>
      <c r="H333" s="238" t="str">
        <f t="shared" si="4"/>
        <v/>
      </c>
      <c r="I333" s="237" t="str">
        <f t="shared" ref="I333:J333" si="325">IF(ISBLANK(C333),,""""&amp;C333&amp;"""")</f>
        <v/>
      </c>
      <c r="J333" s="237" t="str">
        <f t="shared" si="325"/>
        <v/>
      </c>
      <c r="K333" s="237" t="str">
        <f>IF(ISBLANK(F333),,Config!$C$3&amp;"&amp;range=BB"&amp;MATCH(F333,FRG!AC:AC,0))</f>
        <v/>
      </c>
      <c r="M333" s="243" t="str">
        <f>IFERROR(__xludf.DUMMYFUNCTION("IF(ISBLANK(F333),,SUBSTITUTE(IFERROR(JOIN("","",F333:K333),JOIN("","",F333:J333)),CHAR(10),""""))"),"")</f>
        <v/>
      </c>
      <c r="N333" s="229" t="str">
        <f t="shared" si="1"/>
        <v/>
      </c>
    </row>
    <row r="334">
      <c r="F334" s="237"/>
      <c r="G334" s="238" t="str">
        <f t="shared" si="3"/>
        <v/>
      </c>
      <c r="H334" s="238" t="str">
        <f t="shared" si="4"/>
        <v/>
      </c>
      <c r="I334" s="237" t="str">
        <f t="shared" ref="I334:J334" si="326">IF(ISBLANK(C334),,""""&amp;C334&amp;"""")</f>
        <v/>
      </c>
      <c r="J334" s="237" t="str">
        <f t="shared" si="326"/>
        <v/>
      </c>
      <c r="K334" s="237" t="str">
        <f>IF(ISBLANK(F334),,Config!$C$3&amp;"&amp;range=BB"&amp;MATCH(F334,FRG!AC:AC,0))</f>
        <v/>
      </c>
      <c r="M334" s="243" t="str">
        <f>IFERROR(__xludf.DUMMYFUNCTION("IF(ISBLANK(F334),,SUBSTITUTE(IFERROR(JOIN("","",F334:K334),JOIN("","",F334:J334)),CHAR(10),""""))"),"")</f>
        <v/>
      </c>
      <c r="N334" s="229" t="str">
        <f t="shared" si="1"/>
        <v/>
      </c>
    </row>
    <row r="335">
      <c r="F335" s="237"/>
      <c r="G335" s="238" t="str">
        <f t="shared" si="3"/>
        <v/>
      </c>
      <c r="H335" s="238" t="str">
        <f t="shared" si="4"/>
        <v/>
      </c>
      <c r="I335" s="237" t="str">
        <f t="shared" ref="I335:J335" si="327">IF(ISBLANK(C335),,""""&amp;C335&amp;"""")</f>
        <v/>
      </c>
      <c r="J335" s="237" t="str">
        <f t="shared" si="327"/>
        <v/>
      </c>
      <c r="K335" s="237" t="str">
        <f>IF(ISBLANK(F335),,Config!$C$3&amp;"&amp;range=BB"&amp;MATCH(F335,FRG!AC:AC,0))</f>
        <v/>
      </c>
      <c r="M335" s="243" t="str">
        <f>IFERROR(__xludf.DUMMYFUNCTION("IF(ISBLANK(F335),,SUBSTITUTE(IFERROR(JOIN("","",F335:K335),JOIN("","",F335:J335)),CHAR(10),""""))"),"")</f>
        <v/>
      </c>
      <c r="N335" s="229" t="str">
        <f t="shared" si="1"/>
        <v/>
      </c>
    </row>
    <row r="336">
      <c r="F336" s="237"/>
      <c r="G336" s="238" t="str">
        <f t="shared" si="3"/>
        <v/>
      </c>
      <c r="H336" s="238" t="str">
        <f t="shared" si="4"/>
        <v/>
      </c>
      <c r="I336" s="237" t="str">
        <f t="shared" ref="I336:J336" si="328">IF(ISBLANK(C336),,""""&amp;C336&amp;"""")</f>
        <v/>
      </c>
      <c r="J336" s="237" t="str">
        <f t="shared" si="328"/>
        <v/>
      </c>
      <c r="K336" s="237" t="str">
        <f>IF(ISBLANK(F336),,Config!$C$3&amp;"&amp;range=BB"&amp;MATCH(F336,FRG!AC:AC,0))</f>
        <v/>
      </c>
      <c r="M336" s="243" t="str">
        <f>IFERROR(__xludf.DUMMYFUNCTION("IF(ISBLANK(F336),,SUBSTITUTE(IFERROR(JOIN("","",F336:K336),JOIN("","",F336:J336)),CHAR(10),""""))"),"")</f>
        <v/>
      </c>
      <c r="N336" s="229" t="str">
        <f t="shared" si="1"/>
        <v/>
      </c>
    </row>
    <row r="337">
      <c r="F337" s="237"/>
      <c r="G337" s="238" t="str">
        <f t="shared" si="3"/>
        <v/>
      </c>
      <c r="H337" s="238" t="str">
        <f t="shared" si="4"/>
        <v/>
      </c>
      <c r="I337" s="237" t="str">
        <f t="shared" ref="I337:J337" si="329">IF(ISBLANK(C337),,""""&amp;C337&amp;"""")</f>
        <v/>
      </c>
      <c r="J337" s="237" t="str">
        <f t="shared" si="329"/>
        <v/>
      </c>
      <c r="K337" s="237" t="str">
        <f>IF(ISBLANK(F337),,Config!$C$3&amp;"&amp;range=BB"&amp;MATCH(F337,FRG!AC:AC,0))</f>
        <v/>
      </c>
      <c r="M337" s="243" t="str">
        <f>IFERROR(__xludf.DUMMYFUNCTION("IF(ISBLANK(F337),,SUBSTITUTE(IFERROR(JOIN("","",F337:K337),JOIN("","",F337:J337)),CHAR(10),""""))"),"")</f>
        <v/>
      </c>
      <c r="N337" s="229" t="str">
        <f t="shared" si="1"/>
        <v/>
      </c>
    </row>
    <row r="338">
      <c r="F338" s="237"/>
      <c r="G338" s="238" t="str">
        <f t="shared" si="3"/>
        <v/>
      </c>
      <c r="H338" s="238" t="str">
        <f t="shared" si="4"/>
        <v/>
      </c>
      <c r="I338" s="237" t="str">
        <f t="shared" ref="I338:J338" si="330">IF(ISBLANK(C338),,""""&amp;C338&amp;"""")</f>
        <v/>
      </c>
      <c r="J338" s="237" t="str">
        <f t="shared" si="330"/>
        <v/>
      </c>
      <c r="K338" s="237" t="str">
        <f>IF(ISBLANK(F338),,Config!$C$3&amp;"&amp;range=BB"&amp;MATCH(F338,FRG!AC:AC,0))</f>
        <v/>
      </c>
      <c r="M338" s="243" t="str">
        <f>IFERROR(__xludf.DUMMYFUNCTION("IF(ISBLANK(F338),,SUBSTITUTE(IFERROR(JOIN("","",F338:K338),JOIN("","",F338:J338)),CHAR(10),""""))"),"")</f>
        <v/>
      </c>
      <c r="N338" s="229" t="str">
        <f t="shared" si="1"/>
        <v/>
      </c>
    </row>
    <row r="339">
      <c r="F339" s="237"/>
      <c r="G339" s="238" t="str">
        <f t="shared" si="3"/>
        <v/>
      </c>
      <c r="H339" s="238" t="str">
        <f t="shared" si="4"/>
        <v/>
      </c>
      <c r="I339" s="237" t="str">
        <f t="shared" ref="I339:J339" si="331">IF(ISBLANK(C339),,""""&amp;C339&amp;"""")</f>
        <v/>
      </c>
      <c r="J339" s="237" t="str">
        <f t="shared" si="331"/>
        <v/>
      </c>
      <c r="K339" s="237" t="str">
        <f>IF(ISBLANK(F339),,Config!$C$3&amp;"&amp;range=BB"&amp;MATCH(F339,FRG!AC:AC,0))</f>
        <v/>
      </c>
      <c r="M339" s="243" t="str">
        <f>IFERROR(__xludf.DUMMYFUNCTION("IF(ISBLANK(F339),,SUBSTITUTE(IFERROR(JOIN("","",F339:K339),JOIN("","",F339:J339)),CHAR(10),""""))"),"")</f>
        <v/>
      </c>
      <c r="N339" s="229" t="str">
        <f t="shared" si="1"/>
        <v/>
      </c>
    </row>
    <row r="340">
      <c r="F340" s="237"/>
      <c r="G340" s="238" t="str">
        <f t="shared" si="3"/>
        <v/>
      </c>
      <c r="H340" s="238" t="str">
        <f t="shared" si="4"/>
        <v/>
      </c>
      <c r="I340" s="237" t="str">
        <f t="shared" ref="I340:J340" si="332">IF(ISBLANK(C340),,""""&amp;C340&amp;"""")</f>
        <v/>
      </c>
      <c r="J340" s="237" t="str">
        <f t="shared" si="332"/>
        <v/>
      </c>
      <c r="K340" s="237" t="str">
        <f>IF(ISBLANK(F340),,Config!$C$3&amp;"&amp;range=BB"&amp;MATCH(F340,FRG!AC:AC,0))</f>
        <v/>
      </c>
      <c r="M340" s="243" t="str">
        <f>IFERROR(__xludf.DUMMYFUNCTION("IF(ISBLANK(F340),,SUBSTITUTE(IFERROR(JOIN("","",F340:K340),JOIN("","",F340:J340)),CHAR(10),""""))"),"")</f>
        <v/>
      </c>
      <c r="N340" s="229" t="str">
        <f t="shared" si="1"/>
        <v/>
      </c>
    </row>
    <row r="341">
      <c r="F341" s="237"/>
      <c r="G341" s="238" t="str">
        <f t="shared" si="3"/>
        <v/>
      </c>
      <c r="H341" s="238" t="str">
        <f t="shared" si="4"/>
        <v/>
      </c>
      <c r="I341" s="237" t="str">
        <f t="shared" ref="I341:J341" si="333">IF(ISBLANK(C341),,""""&amp;C341&amp;"""")</f>
        <v/>
      </c>
      <c r="J341" s="237" t="str">
        <f t="shared" si="333"/>
        <v/>
      </c>
      <c r="K341" s="237" t="str">
        <f>IF(ISBLANK(F341),,Config!$C$3&amp;"&amp;range=BB"&amp;MATCH(F341,FRG!AC:AC,0))</f>
        <v/>
      </c>
      <c r="M341" s="243" t="str">
        <f>IFERROR(__xludf.DUMMYFUNCTION("IF(ISBLANK(F341),,SUBSTITUTE(IFERROR(JOIN("","",F341:K341),JOIN("","",F341:J341)),CHAR(10),""""))"),"")</f>
        <v/>
      </c>
      <c r="N341" s="229" t="str">
        <f t="shared" si="1"/>
        <v/>
      </c>
    </row>
    <row r="342">
      <c r="F342" s="237"/>
      <c r="G342" s="238" t="str">
        <f t="shared" si="3"/>
        <v/>
      </c>
      <c r="H342" s="238" t="str">
        <f t="shared" si="4"/>
        <v/>
      </c>
      <c r="I342" s="237" t="str">
        <f t="shared" ref="I342:J342" si="334">IF(ISBLANK(C342),,""""&amp;C342&amp;"""")</f>
        <v/>
      </c>
      <c r="J342" s="237" t="str">
        <f t="shared" si="334"/>
        <v/>
      </c>
      <c r="K342" s="237" t="str">
        <f>IF(ISBLANK(F342),,Config!$C$3&amp;"&amp;range=BB"&amp;MATCH(F342,FRG!AC:AC,0))</f>
        <v/>
      </c>
      <c r="M342" s="243" t="str">
        <f>IFERROR(__xludf.DUMMYFUNCTION("IF(ISBLANK(F342),,SUBSTITUTE(IFERROR(JOIN("","",F342:K342),JOIN("","",F342:J342)),CHAR(10),""""))"),"")</f>
        <v/>
      </c>
      <c r="N342" s="229" t="str">
        <f t="shared" si="1"/>
        <v/>
      </c>
    </row>
    <row r="343">
      <c r="F343" s="237"/>
      <c r="G343" s="238" t="str">
        <f t="shared" si="3"/>
        <v/>
      </c>
      <c r="H343" s="238" t="str">
        <f t="shared" si="4"/>
        <v/>
      </c>
      <c r="I343" s="237" t="str">
        <f t="shared" ref="I343:J343" si="335">IF(ISBLANK(C343),,""""&amp;C343&amp;"""")</f>
        <v/>
      </c>
      <c r="J343" s="237" t="str">
        <f t="shared" si="335"/>
        <v/>
      </c>
      <c r="K343" s="237" t="str">
        <f>IF(ISBLANK(F343),,Config!$C$3&amp;"&amp;range=BB"&amp;MATCH(F343,FRG!AC:AC,0))</f>
        <v/>
      </c>
      <c r="M343" s="243" t="str">
        <f>IFERROR(__xludf.DUMMYFUNCTION("IF(ISBLANK(F343),,SUBSTITUTE(IFERROR(JOIN("","",F343:K343),JOIN("","",F343:J343)),CHAR(10),""""))"),"")</f>
        <v/>
      </c>
      <c r="N343" s="229" t="str">
        <f t="shared" si="1"/>
        <v/>
      </c>
    </row>
    <row r="344">
      <c r="F344" s="237"/>
      <c r="G344" s="238" t="str">
        <f t="shared" si="3"/>
        <v/>
      </c>
      <c r="H344" s="238" t="str">
        <f t="shared" si="4"/>
        <v/>
      </c>
      <c r="I344" s="237" t="str">
        <f t="shared" ref="I344:J344" si="336">IF(ISBLANK(C344),,""""&amp;C344&amp;"""")</f>
        <v/>
      </c>
      <c r="J344" s="237" t="str">
        <f t="shared" si="336"/>
        <v/>
      </c>
      <c r="K344" s="237" t="str">
        <f>IF(ISBLANK(F344),,Config!$C$3&amp;"&amp;range=BB"&amp;MATCH(F344,FRG!AC:AC,0))</f>
        <v/>
      </c>
      <c r="M344" s="243" t="str">
        <f>IFERROR(__xludf.DUMMYFUNCTION("IF(ISBLANK(F344),,SUBSTITUTE(IFERROR(JOIN("","",F344:K344),JOIN("","",F344:J344)),CHAR(10),""""))"),"")</f>
        <v/>
      </c>
      <c r="N344" s="229" t="str">
        <f t="shared" si="1"/>
        <v/>
      </c>
    </row>
    <row r="345">
      <c r="F345" s="237"/>
      <c r="G345" s="238" t="str">
        <f t="shared" si="3"/>
        <v/>
      </c>
      <c r="H345" s="238" t="str">
        <f t="shared" si="4"/>
        <v/>
      </c>
      <c r="I345" s="237" t="str">
        <f t="shared" ref="I345:J345" si="337">IF(ISBLANK(C345),,""""&amp;C345&amp;"""")</f>
        <v/>
      </c>
      <c r="J345" s="237" t="str">
        <f t="shared" si="337"/>
        <v/>
      </c>
      <c r="K345" s="237" t="str">
        <f>IF(ISBLANK(F345),,Config!$C$3&amp;"&amp;range=BB"&amp;MATCH(F345,FRG!AC:AC,0))</f>
        <v/>
      </c>
      <c r="M345" s="243" t="str">
        <f>IFERROR(__xludf.DUMMYFUNCTION("IF(ISBLANK(F345),,SUBSTITUTE(IFERROR(JOIN("","",F345:K345),JOIN("","",F345:J345)),CHAR(10),""""))"),"")</f>
        <v/>
      </c>
      <c r="N345" s="229" t="str">
        <f t="shared" si="1"/>
        <v/>
      </c>
    </row>
    <row r="346">
      <c r="F346" s="237"/>
      <c r="G346" s="238" t="str">
        <f t="shared" si="3"/>
        <v/>
      </c>
      <c r="H346" s="238" t="str">
        <f t="shared" si="4"/>
        <v/>
      </c>
      <c r="I346" s="237" t="str">
        <f t="shared" ref="I346:J346" si="338">IF(ISBLANK(C346),,""""&amp;C346&amp;"""")</f>
        <v/>
      </c>
      <c r="J346" s="237" t="str">
        <f t="shared" si="338"/>
        <v/>
      </c>
      <c r="K346" s="237" t="str">
        <f>IF(ISBLANK(F346),,Config!$C$3&amp;"&amp;range=BB"&amp;MATCH(F346,FRG!AC:AC,0))</f>
        <v/>
      </c>
      <c r="M346" s="243" t="str">
        <f>IFERROR(__xludf.DUMMYFUNCTION("IF(ISBLANK(F346),,SUBSTITUTE(IFERROR(JOIN("","",F346:K346),JOIN("","",F346:J346)),CHAR(10),""""))"),"")</f>
        <v/>
      </c>
      <c r="N346" s="229" t="str">
        <f t="shared" si="1"/>
        <v/>
      </c>
    </row>
    <row r="347">
      <c r="F347" s="237"/>
      <c r="G347" s="238" t="str">
        <f t="shared" si="3"/>
        <v/>
      </c>
      <c r="H347" s="238" t="str">
        <f t="shared" si="4"/>
        <v/>
      </c>
      <c r="I347" s="237" t="str">
        <f t="shared" ref="I347:J347" si="339">IF(ISBLANK(C347),,""""&amp;C347&amp;"""")</f>
        <v/>
      </c>
      <c r="J347" s="237" t="str">
        <f t="shared" si="339"/>
        <v/>
      </c>
      <c r="K347" s="237" t="str">
        <f>IF(ISBLANK(F347),,Config!$C$3&amp;"&amp;range=BB"&amp;MATCH(F347,FRG!AC:AC,0))</f>
        <v/>
      </c>
      <c r="M347" s="243" t="str">
        <f>IFERROR(__xludf.DUMMYFUNCTION("IF(ISBLANK(F347),,SUBSTITUTE(IFERROR(JOIN("","",F347:K347),JOIN("","",F347:J347)),CHAR(10),""""))"),"")</f>
        <v/>
      </c>
      <c r="N347" s="229" t="str">
        <f t="shared" si="1"/>
        <v/>
      </c>
    </row>
    <row r="348">
      <c r="F348" s="237"/>
      <c r="G348" s="238" t="str">
        <f t="shared" si="3"/>
        <v/>
      </c>
      <c r="H348" s="238" t="str">
        <f t="shared" si="4"/>
        <v/>
      </c>
      <c r="I348" s="237" t="str">
        <f t="shared" ref="I348:J348" si="340">IF(ISBLANK(C348),,""""&amp;C348&amp;"""")</f>
        <v/>
      </c>
      <c r="J348" s="237" t="str">
        <f t="shared" si="340"/>
        <v/>
      </c>
      <c r="K348" s="237" t="str">
        <f>IF(ISBLANK(F348),,Config!$C$3&amp;"&amp;range=BB"&amp;MATCH(F348,FRG!AC:AC,0))</f>
        <v/>
      </c>
      <c r="M348" s="243" t="str">
        <f>IFERROR(__xludf.DUMMYFUNCTION("IF(ISBLANK(F348),,SUBSTITUTE(IFERROR(JOIN("","",F348:K348),JOIN("","",F348:J348)),CHAR(10),""""))"),"")</f>
        <v/>
      </c>
      <c r="N348" s="229" t="str">
        <f t="shared" si="1"/>
        <v/>
      </c>
    </row>
    <row r="349">
      <c r="F349" s="237"/>
      <c r="G349" s="238" t="str">
        <f t="shared" si="3"/>
        <v/>
      </c>
      <c r="H349" s="238" t="str">
        <f t="shared" si="4"/>
        <v/>
      </c>
      <c r="I349" s="237" t="str">
        <f t="shared" ref="I349:J349" si="341">IF(ISBLANK(C349),,""""&amp;C349&amp;"""")</f>
        <v/>
      </c>
      <c r="J349" s="237" t="str">
        <f t="shared" si="341"/>
        <v/>
      </c>
      <c r="K349" s="237" t="str">
        <f>IF(ISBLANK(F349),,Config!$C$3&amp;"&amp;range=BB"&amp;MATCH(F349,FRG!AC:AC,0))</f>
        <v/>
      </c>
      <c r="M349" s="243" t="str">
        <f>IFERROR(__xludf.DUMMYFUNCTION("IF(ISBLANK(F349),,SUBSTITUTE(IFERROR(JOIN("","",F349:K349),JOIN("","",F349:J349)),CHAR(10),""""))"),"")</f>
        <v/>
      </c>
      <c r="N349" s="229" t="str">
        <f t="shared" si="1"/>
        <v/>
      </c>
    </row>
    <row r="350">
      <c r="F350" s="237"/>
      <c r="G350" s="238" t="str">
        <f t="shared" si="3"/>
        <v/>
      </c>
      <c r="H350" s="238" t="str">
        <f t="shared" si="4"/>
        <v/>
      </c>
      <c r="I350" s="237" t="str">
        <f t="shared" ref="I350:J350" si="342">IF(ISBLANK(C350),,""""&amp;C350&amp;"""")</f>
        <v/>
      </c>
      <c r="J350" s="237" t="str">
        <f t="shared" si="342"/>
        <v/>
      </c>
      <c r="K350" s="237" t="str">
        <f>IF(ISBLANK(F350),,Config!$C$3&amp;"&amp;range=BB"&amp;MATCH(F350,FRG!AC:AC,0))</f>
        <v/>
      </c>
      <c r="M350" s="243" t="str">
        <f>IFERROR(__xludf.DUMMYFUNCTION("IF(ISBLANK(F350),,SUBSTITUTE(IFERROR(JOIN("","",F350:K350),JOIN("","",F350:J350)),CHAR(10),""""))"),"")</f>
        <v/>
      </c>
      <c r="N350" s="229" t="str">
        <f t="shared" si="1"/>
        <v/>
      </c>
    </row>
    <row r="351">
      <c r="F351" s="237"/>
      <c r="G351" s="238" t="str">
        <f t="shared" si="3"/>
        <v/>
      </c>
      <c r="H351" s="238" t="str">
        <f t="shared" si="4"/>
        <v/>
      </c>
      <c r="I351" s="237" t="str">
        <f t="shared" ref="I351:J351" si="343">IF(ISBLANK(C351),,""""&amp;C351&amp;"""")</f>
        <v/>
      </c>
      <c r="J351" s="237" t="str">
        <f t="shared" si="343"/>
        <v/>
      </c>
      <c r="K351" s="237" t="str">
        <f>IF(ISBLANK(F351),,Config!$C$3&amp;"&amp;range=BB"&amp;MATCH(F351,FRG!AC:AC,0))</f>
        <v/>
      </c>
      <c r="M351" s="243" t="str">
        <f>IFERROR(__xludf.DUMMYFUNCTION("IF(ISBLANK(F351),,SUBSTITUTE(IFERROR(JOIN("","",F351:K351),JOIN("","",F351:J351)),CHAR(10),""""))"),"")</f>
        <v/>
      </c>
      <c r="N351" s="229" t="str">
        <f t="shared" si="1"/>
        <v/>
      </c>
    </row>
    <row r="352">
      <c r="F352" s="237"/>
      <c r="G352" s="238" t="str">
        <f t="shared" si="3"/>
        <v/>
      </c>
      <c r="H352" s="238" t="str">
        <f t="shared" si="4"/>
        <v/>
      </c>
      <c r="I352" s="237" t="str">
        <f t="shared" ref="I352:J352" si="344">IF(ISBLANK(C352),,""""&amp;C352&amp;"""")</f>
        <v/>
      </c>
      <c r="J352" s="237" t="str">
        <f t="shared" si="344"/>
        <v/>
      </c>
      <c r="K352" s="237" t="str">
        <f>IF(ISBLANK(F352),,Config!$C$3&amp;"&amp;range=BB"&amp;MATCH(F352,FRG!AC:AC,0))</f>
        <v/>
      </c>
      <c r="M352" s="243" t="str">
        <f>IFERROR(__xludf.DUMMYFUNCTION("IF(ISBLANK(F352),,SUBSTITUTE(IFERROR(JOIN("","",F352:K352),JOIN("","",F352:J352)),CHAR(10),""""))"),"")</f>
        <v/>
      </c>
      <c r="N352" s="229" t="str">
        <f t="shared" si="1"/>
        <v/>
      </c>
    </row>
    <row r="353">
      <c r="F353" s="237"/>
      <c r="G353" s="238" t="str">
        <f t="shared" si="3"/>
        <v/>
      </c>
      <c r="H353" s="238" t="str">
        <f t="shared" si="4"/>
        <v/>
      </c>
      <c r="I353" s="237" t="str">
        <f t="shared" ref="I353:J353" si="345">IF(ISBLANK(C353),,""""&amp;C353&amp;"""")</f>
        <v/>
      </c>
      <c r="J353" s="237" t="str">
        <f t="shared" si="345"/>
        <v/>
      </c>
      <c r="K353" s="237" t="str">
        <f>IF(ISBLANK(F353),,Config!$C$3&amp;"&amp;range=BB"&amp;MATCH(F353,FRG!AC:AC,0))</f>
        <v/>
      </c>
      <c r="M353" s="243" t="str">
        <f>IFERROR(__xludf.DUMMYFUNCTION("IF(ISBLANK(F353),,SUBSTITUTE(IFERROR(JOIN("","",F353:K353),JOIN("","",F353:J353)),CHAR(10),""""))"),"")</f>
        <v/>
      </c>
      <c r="N353" s="229" t="str">
        <f t="shared" si="1"/>
        <v/>
      </c>
    </row>
    <row r="354">
      <c r="F354" s="237"/>
      <c r="G354" s="238" t="str">
        <f t="shared" si="3"/>
        <v/>
      </c>
      <c r="H354" s="238" t="str">
        <f t="shared" si="4"/>
        <v/>
      </c>
      <c r="I354" s="237" t="str">
        <f t="shared" ref="I354:J354" si="346">IF(ISBLANK(C354),,""""&amp;C354&amp;"""")</f>
        <v/>
      </c>
      <c r="J354" s="237" t="str">
        <f t="shared" si="346"/>
        <v/>
      </c>
      <c r="K354" s="237" t="str">
        <f>IF(ISBLANK(F354),,Config!$C$3&amp;"&amp;range=BB"&amp;MATCH(F354,FRG!AC:AC,0))</f>
        <v/>
      </c>
      <c r="M354" s="243" t="str">
        <f>IFERROR(__xludf.DUMMYFUNCTION("IF(ISBLANK(F354),,SUBSTITUTE(IFERROR(JOIN("","",F354:K354),JOIN("","",F354:J354)),CHAR(10),""""))"),"")</f>
        <v/>
      </c>
      <c r="N354" s="229" t="str">
        <f t="shared" si="1"/>
        <v/>
      </c>
    </row>
    <row r="355">
      <c r="F355" s="237"/>
      <c r="G355" s="238" t="str">
        <f t="shared" si="3"/>
        <v/>
      </c>
      <c r="H355" s="238" t="str">
        <f t="shared" si="4"/>
        <v/>
      </c>
      <c r="I355" s="237" t="str">
        <f t="shared" ref="I355:J355" si="347">IF(ISBLANK(C355),,""""&amp;C355&amp;"""")</f>
        <v/>
      </c>
      <c r="J355" s="237" t="str">
        <f t="shared" si="347"/>
        <v/>
      </c>
      <c r="K355" s="237" t="str">
        <f>IF(ISBLANK(F355),,Config!$C$3&amp;"&amp;range=BB"&amp;MATCH(F355,FRG!AC:AC,0))</f>
        <v/>
      </c>
      <c r="M355" s="243" t="str">
        <f>IFERROR(__xludf.DUMMYFUNCTION("IF(ISBLANK(F355),,SUBSTITUTE(IFERROR(JOIN("","",F355:K355),JOIN("","",F355:J355)),CHAR(10),""""))"),"")</f>
        <v/>
      </c>
      <c r="N355" s="229" t="str">
        <f t="shared" si="1"/>
        <v/>
      </c>
    </row>
    <row r="356">
      <c r="F356" s="237"/>
      <c r="G356" s="238" t="str">
        <f t="shared" si="3"/>
        <v/>
      </c>
      <c r="H356" s="238" t="str">
        <f t="shared" si="4"/>
        <v/>
      </c>
      <c r="I356" s="237" t="str">
        <f t="shared" ref="I356:J356" si="348">IF(ISBLANK(C356),,""""&amp;C356&amp;"""")</f>
        <v/>
      </c>
      <c r="J356" s="237" t="str">
        <f t="shared" si="348"/>
        <v/>
      </c>
      <c r="K356" s="237" t="str">
        <f>IF(ISBLANK(F356),,Config!$C$3&amp;"&amp;range=BB"&amp;MATCH(F356,FRG!AC:AC,0))</f>
        <v/>
      </c>
      <c r="M356" s="243" t="str">
        <f>IFERROR(__xludf.DUMMYFUNCTION("IF(ISBLANK(F356),,SUBSTITUTE(IFERROR(JOIN("","",F356:K356),JOIN("","",F356:J356)),CHAR(10),""""))"),"")</f>
        <v/>
      </c>
      <c r="N356" s="229" t="str">
        <f t="shared" si="1"/>
        <v/>
      </c>
    </row>
    <row r="357">
      <c r="F357" s="237"/>
      <c r="G357" s="238" t="str">
        <f t="shared" si="3"/>
        <v/>
      </c>
      <c r="H357" s="238" t="str">
        <f t="shared" si="4"/>
        <v/>
      </c>
      <c r="I357" s="237" t="str">
        <f t="shared" ref="I357:J357" si="349">IF(ISBLANK(C357),,""""&amp;C357&amp;"""")</f>
        <v/>
      </c>
      <c r="J357" s="237" t="str">
        <f t="shared" si="349"/>
        <v/>
      </c>
      <c r="K357" s="237" t="str">
        <f>IF(ISBLANK(F357),,Config!$C$3&amp;"&amp;range=BB"&amp;MATCH(F357,FRG!AC:AC,0))</f>
        <v/>
      </c>
      <c r="M357" s="243" t="str">
        <f>IFERROR(__xludf.DUMMYFUNCTION("IF(ISBLANK(F357),,SUBSTITUTE(IFERROR(JOIN("","",F357:K357),JOIN("","",F357:J357)),CHAR(10),""""))"),"")</f>
        <v/>
      </c>
      <c r="N357" s="229" t="str">
        <f t="shared" si="1"/>
        <v/>
      </c>
    </row>
    <row r="358">
      <c r="F358" s="237"/>
      <c r="G358" s="238" t="str">
        <f t="shared" si="3"/>
        <v/>
      </c>
      <c r="H358" s="238" t="str">
        <f t="shared" si="4"/>
        <v/>
      </c>
      <c r="I358" s="237" t="str">
        <f t="shared" ref="I358:J358" si="350">IF(ISBLANK(C358),,""""&amp;C358&amp;"""")</f>
        <v/>
      </c>
      <c r="J358" s="237" t="str">
        <f t="shared" si="350"/>
        <v/>
      </c>
      <c r="K358" s="237" t="str">
        <f>IF(ISBLANK(F358),,Config!$C$3&amp;"&amp;range=BB"&amp;MATCH(F358,FRG!AC:AC,0))</f>
        <v/>
      </c>
      <c r="M358" s="243" t="str">
        <f>IFERROR(__xludf.DUMMYFUNCTION("IF(ISBLANK(F358),,SUBSTITUTE(IFERROR(JOIN("","",F358:K358),JOIN("","",F358:J358)),CHAR(10),""""))"),"")</f>
        <v/>
      </c>
      <c r="N358" s="229" t="str">
        <f t="shared" si="1"/>
        <v/>
      </c>
    </row>
    <row r="359">
      <c r="F359" s="237"/>
      <c r="G359" s="238" t="str">
        <f t="shared" si="3"/>
        <v/>
      </c>
      <c r="H359" s="238" t="str">
        <f t="shared" si="4"/>
        <v/>
      </c>
      <c r="I359" s="237" t="str">
        <f t="shared" ref="I359:J359" si="351">IF(ISBLANK(C359),,""""&amp;C359&amp;"""")</f>
        <v/>
      </c>
      <c r="J359" s="237" t="str">
        <f t="shared" si="351"/>
        <v/>
      </c>
      <c r="K359" s="237" t="str">
        <f>IF(ISBLANK(F359),,Config!$C$3&amp;"&amp;range=BB"&amp;MATCH(F359,FRG!AC:AC,0))</f>
        <v/>
      </c>
      <c r="M359" s="243" t="str">
        <f>IFERROR(__xludf.DUMMYFUNCTION("IF(ISBLANK(F359),,SUBSTITUTE(IFERROR(JOIN("","",F359:K359),JOIN("","",F359:J359)),CHAR(10),""""))"),"")</f>
        <v/>
      </c>
      <c r="N359" s="229" t="str">
        <f t="shared" si="1"/>
        <v/>
      </c>
    </row>
    <row r="360">
      <c r="F360" s="237"/>
      <c r="G360" s="238" t="str">
        <f t="shared" si="3"/>
        <v/>
      </c>
      <c r="H360" s="238" t="str">
        <f t="shared" si="4"/>
        <v/>
      </c>
      <c r="I360" s="237" t="str">
        <f t="shared" ref="I360:J360" si="352">IF(ISBLANK(C360),,""""&amp;C360&amp;"""")</f>
        <v/>
      </c>
      <c r="J360" s="237" t="str">
        <f t="shared" si="352"/>
        <v/>
      </c>
      <c r="K360" s="237" t="str">
        <f>IF(ISBLANK(F360),,Config!$C$3&amp;"&amp;range=BB"&amp;MATCH(F360,FRG!AC:AC,0))</f>
        <v/>
      </c>
      <c r="M360" s="243" t="str">
        <f>IFERROR(__xludf.DUMMYFUNCTION("IF(ISBLANK(F360),,SUBSTITUTE(IFERROR(JOIN("","",F360:K360),JOIN("","",F360:J360)),CHAR(10),""""))"),"")</f>
        <v/>
      </c>
      <c r="N360" s="229" t="str">
        <f t="shared" si="1"/>
        <v/>
      </c>
    </row>
    <row r="361">
      <c r="F361" s="237"/>
      <c r="G361" s="238" t="str">
        <f t="shared" si="3"/>
        <v/>
      </c>
      <c r="H361" s="238" t="str">
        <f t="shared" si="4"/>
        <v/>
      </c>
      <c r="I361" s="237" t="str">
        <f t="shared" ref="I361:J361" si="353">IF(ISBLANK(C361),,""""&amp;C361&amp;"""")</f>
        <v/>
      </c>
      <c r="J361" s="237" t="str">
        <f t="shared" si="353"/>
        <v/>
      </c>
      <c r="K361" s="237" t="str">
        <f>IF(ISBLANK(F361),,Config!$C$3&amp;"&amp;range=BB"&amp;MATCH(F361,FRG!AC:AC,0))</f>
        <v/>
      </c>
      <c r="M361" s="243" t="str">
        <f>IFERROR(__xludf.DUMMYFUNCTION("IF(ISBLANK(F361),,SUBSTITUTE(IFERROR(JOIN("","",F361:K361),JOIN("","",F361:J361)),CHAR(10),""""))"),"")</f>
        <v/>
      </c>
      <c r="N361" s="229" t="str">
        <f t="shared" si="1"/>
        <v/>
      </c>
    </row>
    <row r="362">
      <c r="F362" s="237"/>
      <c r="G362" s="238" t="str">
        <f t="shared" si="3"/>
        <v/>
      </c>
      <c r="H362" s="238" t="str">
        <f t="shared" si="4"/>
        <v/>
      </c>
      <c r="I362" s="237" t="str">
        <f t="shared" ref="I362:J362" si="354">IF(ISBLANK(C362),,""""&amp;C362&amp;"""")</f>
        <v/>
      </c>
      <c r="J362" s="237" t="str">
        <f t="shared" si="354"/>
        <v/>
      </c>
      <c r="K362" s="237" t="str">
        <f>IF(ISBLANK(F362),,Config!$C$3&amp;"&amp;range=BB"&amp;MATCH(F362,FRG!AC:AC,0))</f>
        <v/>
      </c>
      <c r="M362" s="243" t="str">
        <f>IFERROR(__xludf.DUMMYFUNCTION("IF(ISBLANK(F362),,SUBSTITUTE(IFERROR(JOIN("","",F362:K362),JOIN("","",F362:J362)),CHAR(10),""""))"),"")</f>
        <v/>
      </c>
      <c r="N362" s="229" t="str">
        <f t="shared" si="1"/>
        <v/>
      </c>
    </row>
    <row r="363">
      <c r="F363" s="237"/>
      <c r="G363" s="238" t="str">
        <f t="shared" si="3"/>
        <v/>
      </c>
      <c r="H363" s="238" t="str">
        <f t="shared" si="4"/>
        <v/>
      </c>
      <c r="I363" s="237" t="str">
        <f t="shared" ref="I363:J363" si="355">IF(ISBLANK(C363),,""""&amp;C363&amp;"""")</f>
        <v/>
      </c>
      <c r="J363" s="237" t="str">
        <f t="shared" si="355"/>
        <v/>
      </c>
      <c r="K363" s="237" t="str">
        <f>IF(ISBLANK(F363),,Config!$C$3&amp;"&amp;range=BB"&amp;MATCH(F363,FRG!AC:AC,0))</f>
        <v/>
      </c>
      <c r="M363" s="243" t="str">
        <f>IFERROR(__xludf.DUMMYFUNCTION("IF(ISBLANK(F363),,SUBSTITUTE(IFERROR(JOIN("","",F363:K363),JOIN("","",F363:J363)),CHAR(10),""""))"),"")</f>
        <v/>
      </c>
      <c r="N363" s="229" t="str">
        <f t="shared" si="1"/>
        <v/>
      </c>
    </row>
    <row r="364">
      <c r="F364" s="237"/>
      <c r="G364" s="238" t="str">
        <f t="shared" si="3"/>
        <v/>
      </c>
      <c r="H364" s="238" t="str">
        <f t="shared" si="4"/>
        <v/>
      </c>
      <c r="I364" s="237" t="str">
        <f t="shared" ref="I364:J364" si="356">IF(ISBLANK(C364),,""""&amp;C364&amp;"""")</f>
        <v/>
      </c>
      <c r="J364" s="237" t="str">
        <f t="shared" si="356"/>
        <v/>
      </c>
      <c r="K364" s="237" t="str">
        <f>IF(ISBLANK(F364),,Config!$C$3&amp;"&amp;range=BB"&amp;MATCH(F364,FRG!AC:AC,0))</f>
        <v/>
      </c>
      <c r="M364" s="243" t="str">
        <f>IFERROR(__xludf.DUMMYFUNCTION("IF(ISBLANK(F364),,SUBSTITUTE(IFERROR(JOIN("","",F364:K364),JOIN("","",F364:J364)),CHAR(10),""""))"),"")</f>
        <v/>
      </c>
      <c r="N364" s="229" t="str">
        <f t="shared" si="1"/>
        <v/>
      </c>
    </row>
    <row r="365">
      <c r="F365" s="237"/>
      <c r="G365" s="238" t="str">
        <f t="shared" si="3"/>
        <v/>
      </c>
      <c r="H365" s="238" t="str">
        <f t="shared" si="4"/>
        <v/>
      </c>
      <c r="I365" s="237" t="str">
        <f t="shared" ref="I365:J365" si="357">IF(ISBLANK(C365),,""""&amp;C365&amp;"""")</f>
        <v/>
      </c>
      <c r="J365" s="237" t="str">
        <f t="shared" si="357"/>
        <v/>
      </c>
      <c r="K365" s="237" t="str">
        <f>IF(ISBLANK(F365),,Config!$C$3&amp;"&amp;range=BB"&amp;MATCH(F365,FRG!AC:AC,0))</f>
        <v/>
      </c>
      <c r="M365" s="243" t="str">
        <f>IFERROR(__xludf.DUMMYFUNCTION("IF(ISBLANK(F365),,SUBSTITUTE(IFERROR(JOIN("","",F365:K365),JOIN("","",F365:J365)),CHAR(10),""""))"),"")</f>
        <v/>
      </c>
      <c r="N365" s="229" t="str">
        <f t="shared" si="1"/>
        <v/>
      </c>
    </row>
    <row r="366">
      <c r="F366" s="237"/>
      <c r="G366" s="238" t="str">
        <f t="shared" si="3"/>
        <v/>
      </c>
      <c r="H366" s="238" t="str">
        <f t="shared" si="4"/>
        <v/>
      </c>
      <c r="I366" s="237" t="str">
        <f t="shared" ref="I366:J366" si="358">IF(ISBLANK(C366),,""""&amp;C366&amp;"""")</f>
        <v/>
      </c>
      <c r="J366" s="237" t="str">
        <f t="shared" si="358"/>
        <v/>
      </c>
      <c r="K366" s="237" t="str">
        <f>IF(ISBLANK(F366),,Config!$C$3&amp;"&amp;range=BB"&amp;MATCH(F366,FRG!AC:AC,0))</f>
        <v/>
      </c>
      <c r="M366" s="243" t="str">
        <f>IFERROR(__xludf.DUMMYFUNCTION("IF(ISBLANK(F366),,SUBSTITUTE(IFERROR(JOIN("","",F366:K366),JOIN("","",F366:J366)),CHAR(10),""""))"),"")</f>
        <v/>
      </c>
      <c r="N366" s="229" t="str">
        <f t="shared" si="1"/>
        <v/>
      </c>
    </row>
    <row r="367">
      <c r="F367" s="237"/>
      <c r="G367" s="238" t="str">
        <f t="shared" si="3"/>
        <v/>
      </c>
      <c r="H367" s="238" t="str">
        <f t="shared" si="4"/>
        <v/>
      </c>
      <c r="I367" s="237" t="str">
        <f t="shared" ref="I367:J367" si="359">IF(ISBLANK(C367),,""""&amp;C367&amp;"""")</f>
        <v/>
      </c>
      <c r="J367" s="237" t="str">
        <f t="shared" si="359"/>
        <v/>
      </c>
      <c r="K367" s="237" t="str">
        <f>IF(ISBLANK(F367),,Config!$C$3&amp;"&amp;range=BB"&amp;MATCH(F367,FRG!AC:AC,0))</f>
        <v/>
      </c>
      <c r="M367" s="243" t="str">
        <f>IFERROR(__xludf.DUMMYFUNCTION("IF(ISBLANK(F367),,SUBSTITUTE(IFERROR(JOIN("","",F367:K367),JOIN("","",F367:J367)),CHAR(10),""""))"),"")</f>
        <v/>
      </c>
      <c r="N367" s="229" t="str">
        <f t="shared" si="1"/>
        <v/>
      </c>
    </row>
    <row r="368">
      <c r="F368" s="237"/>
      <c r="G368" s="238" t="str">
        <f t="shared" si="3"/>
        <v/>
      </c>
      <c r="H368" s="238" t="str">
        <f t="shared" si="4"/>
        <v/>
      </c>
      <c r="I368" s="237" t="str">
        <f t="shared" ref="I368:J368" si="360">IF(ISBLANK(C368),,""""&amp;C368&amp;"""")</f>
        <v/>
      </c>
      <c r="J368" s="237" t="str">
        <f t="shared" si="360"/>
        <v/>
      </c>
      <c r="K368" s="237" t="str">
        <f>IF(ISBLANK(F368),,Config!$C$3&amp;"&amp;range=BB"&amp;MATCH(F368,FRG!AC:AC,0))</f>
        <v/>
      </c>
      <c r="M368" s="243" t="str">
        <f>IFERROR(__xludf.DUMMYFUNCTION("IF(ISBLANK(F368),,SUBSTITUTE(IFERROR(JOIN("","",F368:K368),JOIN("","",F368:J368)),CHAR(10),""""))"),"")</f>
        <v/>
      </c>
      <c r="N368" s="229" t="str">
        <f t="shared" si="1"/>
        <v/>
      </c>
    </row>
    <row r="369">
      <c r="F369" s="237"/>
      <c r="G369" s="238" t="str">
        <f t="shared" si="3"/>
        <v/>
      </c>
      <c r="H369" s="238" t="str">
        <f t="shared" si="4"/>
        <v/>
      </c>
      <c r="I369" s="237" t="str">
        <f t="shared" ref="I369:J369" si="361">IF(ISBLANK(C369),,""""&amp;C369&amp;"""")</f>
        <v/>
      </c>
      <c r="J369" s="237" t="str">
        <f t="shared" si="361"/>
        <v/>
      </c>
      <c r="K369" s="237" t="str">
        <f>IF(ISBLANK(F369),,Config!$C$3&amp;"&amp;range=BB"&amp;MATCH(F369,FRG!AC:AC,0))</f>
        <v/>
      </c>
      <c r="M369" s="243" t="str">
        <f>IFERROR(__xludf.DUMMYFUNCTION("IF(ISBLANK(F369),,SUBSTITUTE(IFERROR(JOIN("","",F369:K369),JOIN("","",F369:J369)),CHAR(10),""""))"),"")</f>
        <v/>
      </c>
      <c r="N369" s="229" t="str">
        <f t="shared" si="1"/>
        <v/>
      </c>
    </row>
    <row r="370">
      <c r="F370" s="237"/>
      <c r="G370" s="238" t="str">
        <f t="shared" si="3"/>
        <v/>
      </c>
      <c r="H370" s="238" t="str">
        <f t="shared" si="4"/>
        <v/>
      </c>
      <c r="I370" s="237" t="str">
        <f t="shared" ref="I370:J370" si="362">IF(ISBLANK(C370),,""""&amp;C370&amp;"""")</f>
        <v/>
      </c>
      <c r="J370" s="237" t="str">
        <f t="shared" si="362"/>
        <v/>
      </c>
      <c r="K370" s="237" t="str">
        <f>IF(ISBLANK(F370),,Config!$C$3&amp;"&amp;range=BB"&amp;MATCH(F370,FRG!AC:AC,0))</f>
        <v/>
      </c>
      <c r="M370" s="243" t="str">
        <f>IFERROR(__xludf.DUMMYFUNCTION("IF(ISBLANK(F370),,SUBSTITUTE(IFERROR(JOIN("","",F370:K370),JOIN("","",F370:J370)),CHAR(10),""""))"),"")</f>
        <v/>
      </c>
      <c r="N370" s="229" t="str">
        <f t="shared" si="1"/>
        <v/>
      </c>
    </row>
    <row r="371">
      <c r="F371" s="237"/>
      <c r="G371" s="238" t="str">
        <f t="shared" si="3"/>
        <v/>
      </c>
      <c r="H371" s="238" t="str">
        <f t="shared" si="4"/>
        <v/>
      </c>
      <c r="I371" s="237" t="str">
        <f t="shared" ref="I371:J371" si="363">IF(ISBLANK(C371),,""""&amp;C371&amp;"""")</f>
        <v/>
      </c>
      <c r="J371" s="237" t="str">
        <f t="shared" si="363"/>
        <v/>
      </c>
      <c r="K371" s="237" t="str">
        <f>IF(ISBLANK(F371),,Config!$C$3&amp;"&amp;range=BB"&amp;MATCH(F371,FRG!AC:AC,0))</f>
        <v/>
      </c>
      <c r="M371" s="243" t="str">
        <f>IFERROR(__xludf.DUMMYFUNCTION("IF(ISBLANK(F371),,SUBSTITUTE(IFERROR(JOIN("","",F371:K371),JOIN("","",F371:J371)),CHAR(10),""""))"),"")</f>
        <v/>
      </c>
      <c r="N371" s="229" t="str">
        <f t="shared" si="1"/>
        <v/>
      </c>
    </row>
    <row r="372">
      <c r="F372" s="237"/>
      <c r="G372" s="238" t="str">
        <f t="shared" si="3"/>
        <v/>
      </c>
      <c r="H372" s="238" t="str">
        <f t="shared" si="4"/>
        <v/>
      </c>
      <c r="I372" s="237" t="str">
        <f t="shared" ref="I372:J372" si="364">IF(ISBLANK(C372),,""""&amp;C372&amp;"""")</f>
        <v/>
      </c>
      <c r="J372" s="237" t="str">
        <f t="shared" si="364"/>
        <v/>
      </c>
      <c r="K372" s="237" t="str">
        <f>IF(ISBLANK(F372),,Config!$C$3&amp;"&amp;range=BB"&amp;MATCH(F372,FRG!AC:AC,0))</f>
        <v/>
      </c>
      <c r="M372" s="243" t="str">
        <f>IFERROR(__xludf.DUMMYFUNCTION("IF(ISBLANK(F372),,SUBSTITUTE(IFERROR(JOIN("","",F372:K372),JOIN("","",F372:J372)),CHAR(10),""""))"),"")</f>
        <v/>
      </c>
      <c r="N372" s="229" t="str">
        <f t="shared" si="1"/>
        <v/>
      </c>
    </row>
    <row r="373">
      <c r="F373" s="237"/>
      <c r="G373" s="238" t="str">
        <f t="shared" si="3"/>
        <v/>
      </c>
      <c r="H373" s="238" t="str">
        <f t="shared" si="4"/>
        <v/>
      </c>
      <c r="I373" s="237" t="str">
        <f t="shared" ref="I373:J373" si="365">IF(ISBLANK(C373),,""""&amp;C373&amp;"""")</f>
        <v/>
      </c>
      <c r="J373" s="237" t="str">
        <f t="shared" si="365"/>
        <v/>
      </c>
      <c r="K373" s="237" t="str">
        <f>IF(ISBLANK(F373),,Config!$C$3&amp;"&amp;range=BB"&amp;MATCH(F373,FRG!AC:AC,0))</f>
        <v/>
      </c>
      <c r="M373" s="243" t="str">
        <f>IFERROR(__xludf.DUMMYFUNCTION("IF(ISBLANK(F373),,SUBSTITUTE(IFERROR(JOIN("","",F373:K373),JOIN("","",F373:J373)),CHAR(10),""""))"),"")</f>
        <v/>
      </c>
      <c r="N373" s="229" t="str">
        <f t="shared" si="1"/>
        <v/>
      </c>
    </row>
    <row r="374">
      <c r="F374" s="237"/>
      <c r="G374" s="238" t="str">
        <f t="shared" si="3"/>
        <v/>
      </c>
      <c r="H374" s="238" t="str">
        <f t="shared" si="4"/>
        <v/>
      </c>
      <c r="I374" s="237" t="str">
        <f t="shared" ref="I374:J374" si="366">IF(ISBLANK(C374),,""""&amp;C374&amp;"""")</f>
        <v/>
      </c>
      <c r="J374" s="237" t="str">
        <f t="shared" si="366"/>
        <v/>
      </c>
      <c r="K374" s="237" t="str">
        <f>IF(ISBLANK(F374),,Config!$C$3&amp;"&amp;range=BB"&amp;MATCH(F374,FRG!AC:AC,0))</f>
        <v/>
      </c>
      <c r="M374" s="243" t="str">
        <f>IFERROR(__xludf.DUMMYFUNCTION("IF(ISBLANK(F374),,SUBSTITUTE(IFERROR(JOIN("","",F374:K374),JOIN("","",F374:J374)),CHAR(10),""""))"),"")</f>
        <v/>
      </c>
      <c r="N374" s="229" t="str">
        <f t="shared" si="1"/>
        <v/>
      </c>
    </row>
    <row r="375">
      <c r="F375" s="237"/>
      <c r="G375" s="238" t="str">
        <f t="shared" si="3"/>
        <v/>
      </c>
      <c r="H375" s="238" t="str">
        <f t="shared" si="4"/>
        <v/>
      </c>
      <c r="I375" s="237" t="str">
        <f t="shared" ref="I375:J375" si="367">IF(ISBLANK(C375),,""""&amp;C375&amp;"""")</f>
        <v/>
      </c>
      <c r="J375" s="237" t="str">
        <f t="shared" si="367"/>
        <v/>
      </c>
      <c r="K375" s="237" t="str">
        <f>IF(ISBLANK(F375),,Config!$C$3&amp;"&amp;range=BB"&amp;MATCH(F375,FRG!AC:AC,0))</f>
        <v/>
      </c>
      <c r="M375" s="243" t="str">
        <f>IFERROR(__xludf.DUMMYFUNCTION("IF(ISBLANK(F375),,SUBSTITUTE(IFERROR(JOIN("","",F375:K375),JOIN("","",F375:J375)),CHAR(10),""""))"),"")</f>
        <v/>
      </c>
      <c r="N375" s="229" t="str">
        <f t="shared" si="1"/>
        <v/>
      </c>
    </row>
    <row r="376">
      <c r="F376" s="237"/>
      <c r="G376" s="238" t="str">
        <f t="shared" si="3"/>
        <v/>
      </c>
      <c r="H376" s="238" t="str">
        <f t="shared" si="4"/>
        <v/>
      </c>
      <c r="I376" s="237" t="str">
        <f t="shared" ref="I376:J376" si="368">IF(ISBLANK(C376),,""""&amp;C376&amp;"""")</f>
        <v/>
      </c>
      <c r="J376" s="237" t="str">
        <f t="shared" si="368"/>
        <v/>
      </c>
      <c r="K376" s="237" t="str">
        <f>IF(ISBLANK(F376),,Config!$C$3&amp;"&amp;range=BB"&amp;MATCH(F376,FRG!AC:AC,0))</f>
        <v/>
      </c>
      <c r="M376" s="243" t="str">
        <f>IFERROR(__xludf.DUMMYFUNCTION("IF(ISBLANK(F376),,SUBSTITUTE(IFERROR(JOIN("","",F376:K376),JOIN("","",F376:J376)),CHAR(10),""""))"),"")</f>
        <v/>
      </c>
      <c r="N376" s="229" t="str">
        <f t="shared" si="1"/>
        <v/>
      </c>
    </row>
    <row r="377">
      <c r="F377" s="237"/>
      <c r="G377" s="238" t="str">
        <f t="shared" si="3"/>
        <v/>
      </c>
      <c r="H377" s="238" t="str">
        <f t="shared" si="4"/>
        <v/>
      </c>
      <c r="I377" s="237" t="str">
        <f t="shared" ref="I377:J377" si="369">IF(ISBLANK(C377),,""""&amp;C377&amp;"""")</f>
        <v/>
      </c>
      <c r="J377" s="237" t="str">
        <f t="shared" si="369"/>
        <v/>
      </c>
      <c r="K377" s="237" t="str">
        <f>IF(ISBLANK(F377),,Config!$C$3&amp;"&amp;range=BB"&amp;MATCH(F377,FRG!AC:AC,0))</f>
        <v/>
      </c>
      <c r="M377" s="243" t="str">
        <f>IFERROR(__xludf.DUMMYFUNCTION("IF(ISBLANK(F377),,SUBSTITUTE(IFERROR(JOIN("","",F377:K377),JOIN("","",F377:J377)),CHAR(10),""""))"),"")</f>
        <v/>
      </c>
      <c r="N377" s="229" t="str">
        <f t="shared" si="1"/>
        <v/>
      </c>
    </row>
    <row r="378">
      <c r="F378" s="237"/>
      <c r="G378" s="238" t="str">
        <f t="shared" si="3"/>
        <v/>
      </c>
      <c r="H378" s="238" t="str">
        <f t="shared" si="4"/>
        <v/>
      </c>
      <c r="I378" s="237" t="str">
        <f t="shared" ref="I378:J378" si="370">IF(ISBLANK(C378),,""""&amp;C378&amp;"""")</f>
        <v/>
      </c>
      <c r="J378" s="237" t="str">
        <f t="shared" si="370"/>
        <v/>
      </c>
      <c r="K378" s="237" t="str">
        <f>IF(ISBLANK(F378),,Config!$C$3&amp;"&amp;range=BB"&amp;MATCH(F378,FRG!AC:AC,0))</f>
        <v/>
      </c>
      <c r="M378" s="243" t="str">
        <f>IFERROR(__xludf.DUMMYFUNCTION("IF(ISBLANK(F378),,SUBSTITUTE(IFERROR(JOIN("","",F378:K378),JOIN("","",F378:J378)),CHAR(10),""""))"),"")</f>
        <v/>
      </c>
      <c r="N378" s="229" t="str">
        <f t="shared" si="1"/>
        <v/>
      </c>
    </row>
    <row r="379">
      <c r="F379" s="237"/>
      <c r="G379" s="238" t="str">
        <f t="shared" si="3"/>
        <v/>
      </c>
      <c r="H379" s="238" t="str">
        <f t="shared" si="4"/>
        <v/>
      </c>
      <c r="I379" s="237" t="str">
        <f t="shared" ref="I379:J379" si="371">IF(ISBLANK(C379),,""""&amp;C379&amp;"""")</f>
        <v/>
      </c>
      <c r="J379" s="237" t="str">
        <f t="shared" si="371"/>
        <v/>
      </c>
      <c r="K379" s="237" t="str">
        <f>IF(ISBLANK(F379),,Config!$C$3&amp;"&amp;range=BB"&amp;MATCH(F379,FRG!AC:AC,0))</f>
        <v/>
      </c>
      <c r="M379" s="243" t="str">
        <f>IFERROR(__xludf.DUMMYFUNCTION("IF(ISBLANK(F379),,SUBSTITUTE(IFERROR(JOIN("","",F379:K379),JOIN("","",F379:J379)),CHAR(10),""""))"),"")</f>
        <v/>
      </c>
      <c r="N379" s="229" t="str">
        <f t="shared" si="1"/>
        <v/>
      </c>
    </row>
    <row r="380">
      <c r="F380" s="237"/>
      <c r="G380" s="238" t="str">
        <f t="shared" si="3"/>
        <v/>
      </c>
      <c r="H380" s="238" t="str">
        <f t="shared" si="4"/>
        <v/>
      </c>
      <c r="I380" s="237" t="str">
        <f t="shared" ref="I380:J380" si="372">IF(ISBLANK(C380),,""""&amp;C380&amp;"""")</f>
        <v/>
      </c>
      <c r="J380" s="237" t="str">
        <f t="shared" si="372"/>
        <v/>
      </c>
      <c r="K380" s="237" t="str">
        <f>IF(ISBLANK(F380),,Config!$C$3&amp;"&amp;range=BB"&amp;MATCH(F380,FRG!AC:AC,0))</f>
        <v/>
      </c>
      <c r="M380" s="243" t="str">
        <f>IFERROR(__xludf.DUMMYFUNCTION("IF(ISBLANK(F380),,SUBSTITUTE(IFERROR(JOIN("","",F380:K380),JOIN("","",F380:J380)),CHAR(10),""""))"),"")</f>
        <v/>
      </c>
      <c r="N380" s="229" t="str">
        <f t="shared" si="1"/>
        <v/>
      </c>
    </row>
    <row r="381">
      <c r="F381" s="237"/>
      <c r="G381" s="238" t="str">
        <f t="shared" si="3"/>
        <v/>
      </c>
      <c r="H381" s="238" t="str">
        <f t="shared" si="4"/>
        <v/>
      </c>
      <c r="I381" s="237" t="str">
        <f t="shared" ref="I381:J381" si="373">IF(ISBLANK(C381),,""""&amp;C381&amp;"""")</f>
        <v/>
      </c>
      <c r="J381" s="237" t="str">
        <f t="shared" si="373"/>
        <v/>
      </c>
      <c r="K381" s="237" t="str">
        <f>IF(ISBLANK(F381),,Config!$C$3&amp;"&amp;range=BB"&amp;MATCH(F381,FRG!AC:AC,0))</f>
        <v/>
      </c>
      <c r="M381" s="243" t="str">
        <f>IFERROR(__xludf.DUMMYFUNCTION("IF(ISBLANK(F381),,SUBSTITUTE(IFERROR(JOIN("","",F381:K381),JOIN("","",F381:J381)),CHAR(10),""""))"),"")</f>
        <v/>
      </c>
      <c r="N381" s="229" t="str">
        <f t="shared" si="1"/>
        <v/>
      </c>
    </row>
    <row r="382">
      <c r="F382" s="237"/>
      <c r="G382" s="238" t="str">
        <f t="shared" si="3"/>
        <v/>
      </c>
      <c r="H382" s="238" t="str">
        <f t="shared" si="4"/>
        <v/>
      </c>
      <c r="I382" s="237" t="str">
        <f t="shared" ref="I382:J382" si="374">IF(ISBLANK(C382),,""""&amp;C382&amp;"""")</f>
        <v/>
      </c>
      <c r="J382" s="237" t="str">
        <f t="shared" si="374"/>
        <v/>
      </c>
      <c r="K382" s="237" t="str">
        <f>IF(ISBLANK(F382),,Config!$C$3&amp;"&amp;range=BB"&amp;MATCH(F382,FRG!AC:AC,0))</f>
        <v/>
      </c>
      <c r="M382" s="243" t="str">
        <f>IFERROR(__xludf.DUMMYFUNCTION("IF(ISBLANK(F382),,SUBSTITUTE(IFERROR(JOIN("","",F382:K382),JOIN("","",F382:J382)),CHAR(10),""""))"),"")</f>
        <v/>
      </c>
      <c r="N382" s="229" t="str">
        <f t="shared" si="1"/>
        <v/>
      </c>
    </row>
    <row r="383">
      <c r="F383" s="237"/>
      <c r="G383" s="238" t="str">
        <f t="shared" si="3"/>
        <v/>
      </c>
      <c r="H383" s="238" t="str">
        <f t="shared" si="4"/>
        <v/>
      </c>
      <c r="I383" s="237" t="str">
        <f t="shared" ref="I383:J383" si="375">IF(ISBLANK(C383),,""""&amp;C383&amp;"""")</f>
        <v/>
      </c>
      <c r="J383" s="237" t="str">
        <f t="shared" si="375"/>
        <v/>
      </c>
      <c r="K383" s="237" t="str">
        <f>IF(ISBLANK(F383),,Config!$C$3&amp;"&amp;range=BB"&amp;MATCH(F383,FRG!AC:AC,0))</f>
        <v/>
      </c>
      <c r="M383" s="243" t="str">
        <f>IFERROR(__xludf.DUMMYFUNCTION("IF(ISBLANK(F383),,SUBSTITUTE(IFERROR(JOIN("","",F383:K383),JOIN("","",F383:J383)),CHAR(10),""""))"),"")</f>
        <v/>
      </c>
      <c r="N383" s="229" t="str">
        <f t="shared" si="1"/>
        <v/>
      </c>
    </row>
    <row r="384">
      <c r="F384" s="237"/>
      <c r="G384" s="238" t="str">
        <f t="shared" si="3"/>
        <v/>
      </c>
      <c r="H384" s="238" t="str">
        <f t="shared" si="4"/>
        <v/>
      </c>
      <c r="I384" s="237" t="str">
        <f t="shared" ref="I384:J384" si="376">IF(ISBLANK(C384),,""""&amp;C384&amp;"""")</f>
        <v/>
      </c>
      <c r="J384" s="237" t="str">
        <f t="shared" si="376"/>
        <v/>
      </c>
      <c r="K384" s="237" t="str">
        <f>IF(ISBLANK(F384),,Config!$C$3&amp;"&amp;range=BB"&amp;MATCH(F384,FRG!AC:AC,0))</f>
        <v/>
      </c>
      <c r="M384" s="243" t="str">
        <f>IFERROR(__xludf.DUMMYFUNCTION("IF(ISBLANK(F384),,SUBSTITUTE(IFERROR(JOIN("","",F384:K384),JOIN("","",F384:J384)),CHAR(10),""""))"),"")</f>
        <v/>
      </c>
      <c r="N384" s="229" t="str">
        <f t="shared" si="1"/>
        <v/>
      </c>
    </row>
    <row r="385">
      <c r="F385" s="237"/>
      <c r="G385" s="238" t="str">
        <f t="shared" si="3"/>
        <v/>
      </c>
      <c r="H385" s="238" t="str">
        <f t="shared" si="4"/>
        <v/>
      </c>
      <c r="I385" s="237" t="str">
        <f t="shared" ref="I385:J385" si="377">IF(ISBLANK(C385),,""""&amp;C385&amp;"""")</f>
        <v/>
      </c>
      <c r="J385" s="237" t="str">
        <f t="shared" si="377"/>
        <v/>
      </c>
      <c r="K385" s="237" t="str">
        <f>IF(ISBLANK(F385),,Config!$C$3&amp;"&amp;range=BB"&amp;MATCH(F385,FRG!AC:AC,0))</f>
        <v/>
      </c>
      <c r="M385" s="243" t="str">
        <f>IFERROR(__xludf.DUMMYFUNCTION("IF(ISBLANK(F385),,SUBSTITUTE(IFERROR(JOIN("","",F385:K385),JOIN("","",F385:J385)),CHAR(10),""""))"),"")</f>
        <v/>
      </c>
      <c r="N385" s="229" t="str">
        <f t="shared" si="1"/>
        <v/>
      </c>
    </row>
    <row r="386">
      <c r="F386" s="237"/>
      <c r="G386" s="238" t="str">
        <f t="shared" si="3"/>
        <v/>
      </c>
      <c r="H386" s="238" t="str">
        <f t="shared" si="4"/>
        <v/>
      </c>
      <c r="I386" s="237" t="str">
        <f t="shared" ref="I386:J386" si="378">IF(ISBLANK(C386),,""""&amp;C386&amp;"""")</f>
        <v/>
      </c>
      <c r="J386" s="237" t="str">
        <f t="shared" si="378"/>
        <v/>
      </c>
      <c r="K386" s="237" t="str">
        <f>IF(ISBLANK(F386),,Config!$C$3&amp;"&amp;range=BB"&amp;MATCH(F386,FRG!AC:AC,0))</f>
        <v/>
      </c>
      <c r="M386" s="243" t="str">
        <f>IFERROR(__xludf.DUMMYFUNCTION("IF(ISBLANK(F386),,SUBSTITUTE(IFERROR(JOIN("","",F386:K386),JOIN("","",F386:J386)),CHAR(10),""""))"),"")</f>
        <v/>
      </c>
      <c r="N386" s="229" t="str">
        <f t="shared" si="1"/>
        <v/>
      </c>
    </row>
    <row r="387">
      <c r="F387" s="237"/>
      <c r="G387" s="238" t="str">
        <f t="shared" si="3"/>
        <v/>
      </c>
      <c r="H387" s="238" t="str">
        <f t="shared" si="4"/>
        <v/>
      </c>
      <c r="I387" s="237" t="str">
        <f t="shared" ref="I387:J387" si="379">IF(ISBLANK(C387),,""""&amp;C387&amp;"""")</f>
        <v/>
      </c>
      <c r="J387" s="237" t="str">
        <f t="shared" si="379"/>
        <v/>
      </c>
      <c r="K387" s="237" t="str">
        <f>IF(ISBLANK(F387),,Config!$C$3&amp;"&amp;range=BB"&amp;MATCH(F387,FRG!AC:AC,0))</f>
        <v/>
      </c>
      <c r="M387" s="243" t="str">
        <f>IFERROR(__xludf.DUMMYFUNCTION("IF(ISBLANK(F387),,SUBSTITUTE(IFERROR(JOIN("","",F387:K387),JOIN("","",F387:J387)),CHAR(10),""""))"),"")</f>
        <v/>
      </c>
      <c r="N387" s="229" t="str">
        <f t="shared" si="1"/>
        <v/>
      </c>
    </row>
    <row r="388">
      <c r="F388" s="237"/>
      <c r="G388" s="238" t="str">
        <f t="shared" si="3"/>
        <v/>
      </c>
      <c r="H388" s="238" t="str">
        <f t="shared" si="4"/>
        <v/>
      </c>
      <c r="I388" s="237" t="str">
        <f t="shared" ref="I388:J388" si="380">IF(ISBLANK(C388),,""""&amp;C388&amp;"""")</f>
        <v/>
      </c>
      <c r="J388" s="237" t="str">
        <f t="shared" si="380"/>
        <v/>
      </c>
      <c r="K388" s="237" t="str">
        <f>IF(ISBLANK(F388),,Config!$C$3&amp;"&amp;range=BB"&amp;MATCH(F388,FRG!AC:AC,0))</f>
        <v/>
      </c>
      <c r="M388" s="243" t="str">
        <f>IFERROR(__xludf.DUMMYFUNCTION("IF(ISBLANK(F388),,SUBSTITUTE(IFERROR(JOIN("","",F388:K388),JOIN("","",F388:J388)),CHAR(10),""""))"),"")</f>
        <v/>
      </c>
      <c r="N388" s="229" t="str">
        <f t="shared" si="1"/>
        <v/>
      </c>
    </row>
    <row r="389">
      <c r="F389" s="237"/>
      <c r="G389" s="238" t="str">
        <f t="shared" si="3"/>
        <v/>
      </c>
      <c r="H389" s="238" t="str">
        <f t="shared" si="4"/>
        <v/>
      </c>
      <c r="I389" s="237" t="str">
        <f t="shared" ref="I389:J389" si="381">IF(ISBLANK(C389),,""""&amp;C389&amp;"""")</f>
        <v/>
      </c>
      <c r="J389" s="237" t="str">
        <f t="shared" si="381"/>
        <v/>
      </c>
      <c r="K389" s="237" t="str">
        <f>IF(ISBLANK(F389),,Config!$C$3&amp;"&amp;range=BB"&amp;MATCH(F389,FRG!AC:AC,0))</f>
        <v/>
      </c>
      <c r="M389" s="243" t="str">
        <f>IFERROR(__xludf.DUMMYFUNCTION("IF(ISBLANK(F389),,SUBSTITUTE(IFERROR(JOIN("","",F389:K389),JOIN("","",F389:J389)),CHAR(10),""""))"),"")</f>
        <v/>
      </c>
      <c r="N389" s="229" t="str">
        <f t="shared" si="1"/>
        <v/>
      </c>
    </row>
    <row r="390">
      <c r="F390" s="237"/>
      <c r="G390" s="238" t="str">
        <f t="shared" si="3"/>
        <v/>
      </c>
      <c r="H390" s="238" t="str">
        <f t="shared" si="4"/>
        <v/>
      </c>
      <c r="I390" s="237" t="str">
        <f t="shared" ref="I390:J390" si="382">IF(ISBLANK(C390),,""""&amp;C390&amp;"""")</f>
        <v/>
      </c>
      <c r="J390" s="237" t="str">
        <f t="shared" si="382"/>
        <v/>
      </c>
      <c r="K390" s="237" t="str">
        <f>IF(ISBLANK(F390),,Config!$C$3&amp;"&amp;range=BB"&amp;MATCH(F390,FRG!AC:AC,0))</f>
        <v/>
      </c>
      <c r="M390" s="243" t="str">
        <f>IFERROR(__xludf.DUMMYFUNCTION("IF(ISBLANK(F390),,SUBSTITUTE(IFERROR(JOIN("","",F390:K390),JOIN("","",F390:J390)),CHAR(10),""""))"),"")</f>
        <v/>
      </c>
      <c r="N390" s="229" t="str">
        <f t="shared" si="1"/>
        <v/>
      </c>
    </row>
    <row r="391">
      <c r="F391" s="237"/>
      <c r="G391" s="238" t="str">
        <f t="shared" si="3"/>
        <v/>
      </c>
      <c r="H391" s="238" t="str">
        <f t="shared" si="4"/>
        <v/>
      </c>
      <c r="I391" s="237" t="str">
        <f t="shared" ref="I391:J391" si="383">IF(ISBLANK(C391),,""""&amp;C391&amp;"""")</f>
        <v/>
      </c>
      <c r="J391" s="237" t="str">
        <f t="shared" si="383"/>
        <v/>
      </c>
      <c r="K391" s="237" t="str">
        <f>IF(ISBLANK(F391),,Config!$C$3&amp;"&amp;range=BB"&amp;MATCH(F391,FRG!AC:AC,0))</f>
        <v/>
      </c>
      <c r="M391" s="243" t="str">
        <f>IFERROR(__xludf.DUMMYFUNCTION("IF(ISBLANK(F391),,SUBSTITUTE(IFERROR(JOIN("","",F391:K391),JOIN("","",F391:J391)),CHAR(10),""""))"),"")</f>
        <v/>
      </c>
      <c r="N391" s="229" t="str">
        <f t="shared" si="1"/>
        <v/>
      </c>
    </row>
    <row r="392">
      <c r="F392" s="237"/>
      <c r="G392" s="238" t="str">
        <f t="shared" si="3"/>
        <v/>
      </c>
      <c r="H392" s="238" t="str">
        <f t="shared" si="4"/>
        <v/>
      </c>
      <c r="I392" s="237" t="str">
        <f t="shared" ref="I392:J392" si="384">IF(ISBLANK(C392),,""""&amp;C392&amp;"""")</f>
        <v/>
      </c>
      <c r="J392" s="237" t="str">
        <f t="shared" si="384"/>
        <v/>
      </c>
      <c r="K392" s="237" t="str">
        <f>IF(ISBLANK(F392),,Config!$C$3&amp;"&amp;range=BB"&amp;MATCH(F392,FRG!AC:AC,0))</f>
        <v/>
      </c>
      <c r="M392" s="243" t="str">
        <f>IFERROR(__xludf.DUMMYFUNCTION("IF(ISBLANK(F392),,SUBSTITUTE(IFERROR(JOIN("","",F392:K392),JOIN("","",F392:J392)),CHAR(10),""""))"),"")</f>
        <v/>
      </c>
      <c r="N392" s="229" t="str">
        <f t="shared" si="1"/>
        <v/>
      </c>
    </row>
    <row r="393">
      <c r="F393" s="237"/>
      <c r="G393" s="238" t="str">
        <f t="shared" si="3"/>
        <v/>
      </c>
      <c r="H393" s="238" t="str">
        <f t="shared" si="4"/>
        <v/>
      </c>
      <c r="I393" s="237" t="str">
        <f t="shared" ref="I393:J393" si="385">IF(ISBLANK(C393),,""""&amp;C393&amp;"""")</f>
        <v/>
      </c>
      <c r="J393" s="237" t="str">
        <f t="shared" si="385"/>
        <v/>
      </c>
      <c r="K393" s="237" t="str">
        <f>IF(ISBLANK(F393),,Config!$C$3&amp;"&amp;range=BB"&amp;MATCH(F393,FRG!AC:AC,0))</f>
        <v/>
      </c>
      <c r="M393" s="243" t="str">
        <f>IFERROR(__xludf.DUMMYFUNCTION("IF(ISBLANK(F393),,SUBSTITUTE(IFERROR(JOIN("","",F393:K393),JOIN("","",F393:J393)),CHAR(10),""""))"),"")</f>
        <v/>
      </c>
      <c r="N393" s="229" t="str">
        <f t="shared" si="1"/>
        <v/>
      </c>
    </row>
    <row r="394">
      <c r="F394" s="237"/>
      <c r="G394" s="238" t="str">
        <f t="shared" si="3"/>
        <v/>
      </c>
      <c r="H394" s="238" t="str">
        <f t="shared" si="4"/>
        <v/>
      </c>
      <c r="I394" s="237" t="str">
        <f t="shared" ref="I394:J394" si="386">IF(ISBLANK(C394),,""""&amp;C394&amp;"""")</f>
        <v/>
      </c>
      <c r="J394" s="237" t="str">
        <f t="shared" si="386"/>
        <v/>
      </c>
      <c r="K394" s="237" t="str">
        <f>IF(ISBLANK(F394),,Config!$C$3&amp;"&amp;range=BB"&amp;MATCH(F394,FRG!AC:AC,0))</f>
        <v/>
      </c>
      <c r="M394" s="243" t="str">
        <f>IFERROR(__xludf.DUMMYFUNCTION("IF(ISBLANK(F394),,SUBSTITUTE(IFERROR(JOIN("","",F394:K394),JOIN("","",F394:J394)),CHAR(10),""""))"),"")</f>
        <v/>
      </c>
      <c r="N394" s="229" t="str">
        <f t="shared" si="1"/>
        <v/>
      </c>
    </row>
    <row r="395">
      <c r="F395" s="237"/>
      <c r="G395" s="238" t="str">
        <f t="shared" si="3"/>
        <v/>
      </c>
      <c r="H395" s="238" t="str">
        <f t="shared" si="4"/>
        <v/>
      </c>
      <c r="I395" s="237" t="str">
        <f t="shared" ref="I395:J395" si="387">IF(ISBLANK(C395),,""""&amp;C395&amp;"""")</f>
        <v/>
      </c>
      <c r="J395" s="237" t="str">
        <f t="shared" si="387"/>
        <v/>
      </c>
      <c r="K395" s="237" t="str">
        <f>IF(ISBLANK(F395),,Config!$C$3&amp;"&amp;range=BB"&amp;MATCH(F395,FRG!AC:AC,0))</f>
        <v/>
      </c>
      <c r="M395" s="243" t="str">
        <f>IFERROR(__xludf.DUMMYFUNCTION("IF(ISBLANK(F395),,SUBSTITUTE(IFERROR(JOIN("","",F395:K395),JOIN("","",F395:J395)),CHAR(10),""""))"),"")</f>
        <v/>
      </c>
      <c r="N395" s="229" t="str">
        <f t="shared" si="1"/>
        <v/>
      </c>
    </row>
    <row r="396">
      <c r="F396" s="237"/>
      <c r="G396" s="238" t="str">
        <f t="shared" si="3"/>
        <v/>
      </c>
      <c r="H396" s="238" t="str">
        <f t="shared" si="4"/>
        <v/>
      </c>
      <c r="I396" s="237" t="str">
        <f t="shared" ref="I396:J396" si="388">IF(ISBLANK(C396),,""""&amp;C396&amp;"""")</f>
        <v/>
      </c>
      <c r="J396" s="237" t="str">
        <f t="shared" si="388"/>
        <v/>
      </c>
      <c r="K396" s="237" t="str">
        <f>IF(ISBLANK(F396),,Config!$C$3&amp;"&amp;range=BB"&amp;MATCH(F396,FRG!AC:AC,0))</f>
        <v/>
      </c>
      <c r="M396" s="243" t="str">
        <f>IFERROR(__xludf.DUMMYFUNCTION("IF(ISBLANK(F396),,SUBSTITUTE(IFERROR(JOIN("","",F396:K396),JOIN("","",F396:J396)),CHAR(10),""""))"),"")</f>
        <v/>
      </c>
      <c r="N396" s="229" t="str">
        <f t="shared" si="1"/>
        <v/>
      </c>
    </row>
    <row r="397">
      <c r="F397" s="237"/>
      <c r="G397" s="238" t="str">
        <f t="shared" si="3"/>
        <v/>
      </c>
      <c r="H397" s="238" t="str">
        <f t="shared" si="4"/>
        <v/>
      </c>
      <c r="I397" s="237" t="str">
        <f t="shared" ref="I397:J397" si="389">IF(ISBLANK(C397),,""""&amp;C397&amp;"""")</f>
        <v/>
      </c>
      <c r="J397" s="237" t="str">
        <f t="shared" si="389"/>
        <v/>
      </c>
      <c r="K397" s="237" t="str">
        <f>IF(ISBLANK(F397),,Config!$C$3&amp;"&amp;range=BB"&amp;MATCH(F397,FRG!AC:AC,0))</f>
        <v/>
      </c>
      <c r="M397" s="243" t="str">
        <f>IFERROR(__xludf.DUMMYFUNCTION("IF(ISBLANK(F397),,SUBSTITUTE(IFERROR(JOIN("","",F397:K397),JOIN("","",F397:J397)),CHAR(10),""""))"),"")</f>
        <v/>
      </c>
      <c r="N397" s="229" t="str">
        <f t="shared" si="1"/>
        <v/>
      </c>
    </row>
    <row r="398">
      <c r="F398" s="237"/>
      <c r="G398" s="238" t="str">
        <f t="shared" si="3"/>
        <v/>
      </c>
      <c r="H398" s="238" t="str">
        <f t="shared" si="4"/>
        <v/>
      </c>
      <c r="I398" s="237" t="str">
        <f t="shared" ref="I398:J398" si="390">IF(ISBLANK(C398),,""""&amp;C398&amp;"""")</f>
        <v/>
      </c>
      <c r="J398" s="237" t="str">
        <f t="shared" si="390"/>
        <v/>
      </c>
      <c r="K398" s="237" t="str">
        <f>IF(ISBLANK(F398),,Config!$C$3&amp;"&amp;range=BB"&amp;MATCH(F398,FRG!AC:AC,0))</f>
        <v/>
      </c>
      <c r="M398" s="243" t="str">
        <f>IFERROR(__xludf.DUMMYFUNCTION("IF(ISBLANK(F398),,SUBSTITUTE(IFERROR(JOIN("","",F398:K398),JOIN("","",F398:J398)),CHAR(10),""""))"),"")</f>
        <v/>
      </c>
      <c r="N398" s="229" t="str">
        <f t="shared" si="1"/>
        <v/>
      </c>
    </row>
    <row r="399">
      <c r="F399" s="237"/>
      <c r="G399" s="238" t="str">
        <f t="shared" si="3"/>
        <v/>
      </c>
      <c r="H399" s="238" t="str">
        <f t="shared" si="4"/>
        <v/>
      </c>
      <c r="I399" s="237" t="str">
        <f t="shared" ref="I399:J399" si="391">IF(ISBLANK(C399),,""""&amp;C399&amp;"""")</f>
        <v/>
      </c>
      <c r="J399" s="237" t="str">
        <f t="shared" si="391"/>
        <v/>
      </c>
      <c r="K399" s="237" t="str">
        <f>IF(ISBLANK(F399),,Config!$C$3&amp;"&amp;range=BB"&amp;MATCH(F399,FRG!AC:AC,0))</f>
        <v/>
      </c>
      <c r="M399" s="243" t="str">
        <f>IFERROR(__xludf.DUMMYFUNCTION("IF(ISBLANK(F399),,SUBSTITUTE(IFERROR(JOIN("","",F399:K399),JOIN("","",F399:J399)),CHAR(10),""""))"),"")</f>
        <v/>
      </c>
      <c r="N399" s="229" t="str">
        <f t="shared" si="1"/>
        <v/>
      </c>
    </row>
    <row r="400">
      <c r="F400" s="237"/>
      <c r="G400" s="238" t="str">
        <f t="shared" si="3"/>
        <v/>
      </c>
      <c r="H400" s="238" t="str">
        <f t="shared" si="4"/>
        <v/>
      </c>
      <c r="I400" s="237" t="str">
        <f t="shared" ref="I400:J400" si="392">IF(ISBLANK(C400),,""""&amp;C400&amp;"""")</f>
        <v/>
      </c>
      <c r="J400" s="237" t="str">
        <f t="shared" si="392"/>
        <v/>
      </c>
      <c r="K400" s="237" t="str">
        <f>IF(ISBLANK(F400),,Config!$C$3&amp;"&amp;range=BB"&amp;MATCH(F400,FRG!AC:AC,0))</f>
        <v/>
      </c>
      <c r="M400" s="243" t="str">
        <f>IFERROR(__xludf.DUMMYFUNCTION("IF(ISBLANK(F400),,SUBSTITUTE(IFERROR(JOIN("","",F400:K400),JOIN("","",F400:J400)),CHAR(10),""""))"),"")</f>
        <v/>
      </c>
      <c r="N400" s="229" t="str">
        <f t="shared" si="1"/>
        <v/>
      </c>
    </row>
    <row r="401">
      <c r="F401" s="237"/>
      <c r="G401" s="238" t="str">
        <f t="shared" si="3"/>
        <v/>
      </c>
      <c r="H401" s="238" t="str">
        <f t="shared" si="4"/>
        <v/>
      </c>
      <c r="I401" s="237" t="str">
        <f t="shared" ref="I401:J401" si="393">IF(ISBLANK(C401),,""""&amp;C401&amp;"""")</f>
        <v/>
      </c>
      <c r="J401" s="237" t="str">
        <f t="shared" si="393"/>
        <v/>
      </c>
      <c r="K401" s="237" t="str">
        <f>IF(ISBLANK(F401),,Config!$C$3&amp;"&amp;range=BB"&amp;MATCH(F401,FRG!AC:AC,0))</f>
        <v/>
      </c>
      <c r="M401" s="243" t="str">
        <f>IFERROR(__xludf.DUMMYFUNCTION("IF(ISBLANK(F401),,SUBSTITUTE(IFERROR(JOIN("","",F401:K401),JOIN("","",F401:J401)),CHAR(10),""""))"),"")</f>
        <v/>
      </c>
      <c r="N401" s="229" t="str">
        <f t="shared" si="1"/>
        <v/>
      </c>
    </row>
    <row r="402">
      <c r="F402" s="237"/>
      <c r="G402" s="238" t="str">
        <f t="shared" si="3"/>
        <v/>
      </c>
      <c r="H402" s="238" t="str">
        <f t="shared" si="4"/>
        <v/>
      </c>
      <c r="I402" s="237" t="str">
        <f t="shared" ref="I402:J402" si="394">IF(ISBLANK(C402),,""""&amp;C402&amp;"""")</f>
        <v/>
      </c>
      <c r="J402" s="237" t="str">
        <f t="shared" si="394"/>
        <v/>
      </c>
      <c r="K402" s="237" t="str">
        <f>IF(ISBLANK(F402),,Config!$C$3&amp;"&amp;range=BB"&amp;MATCH(F402,FRG!AC:AC,0))</f>
        <v/>
      </c>
      <c r="M402" s="243" t="str">
        <f>IFERROR(__xludf.DUMMYFUNCTION("IF(ISBLANK(F402),,SUBSTITUTE(IFERROR(JOIN("","",F402:K402),JOIN("","",F402:J402)),CHAR(10),""""))"),"")</f>
        <v/>
      </c>
      <c r="N402" s="229" t="str">
        <f t="shared" si="1"/>
        <v/>
      </c>
    </row>
    <row r="403">
      <c r="F403" s="237"/>
      <c r="G403" s="238" t="str">
        <f t="shared" si="3"/>
        <v/>
      </c>
      <c r="H403" s="238" t="str">
        <f t="shared" si="4"/>
        <v/>
      </c>
      <c r="I403" s="237" t="str">
        <f t="shared" ref="I403:J403" si="395">IF(ISBLANK(C403),,""""&amp;C403&amp;"""")</f>
        <v/>
      </c>
      <c r="J403" s="237" t="str">
        <f t="shared" si="395"/>
        <v/>
      </c>
      <c r="K403" s="237" t="str">
        <f>IF(ISBLANK(F403),,Config!$C$3&amp;"&amp;range=BB"&amp;MATCH(F403,FRG!AC:AC,0))</f>
        <v/>
      </c>
      <c r="M403" s="243" t="str">
        <f>IFERROR(__xludf.DUMMYFUNCTION("IF(ISBLANK(F403),,SUBSTITUTE(IFERROR(JOIN("","",F403:K403),JOIN("","",F403:J403)),CHAR(10),""""))"),"")</f>
        <v/>
      </c>
      <c r="N403" s="229" t="str">
        <f t="shared" si="1"/>
        <v/>
      </c>
    </row>
    <row r="404">
      <c r="F404" s="237"/>
      <c r="G404" s="238" t="str">
        <f t="shared" si="3"/>
        <v/>
      </c>
      <c r="H404" s="238" t="str">
        <f t="shared" si="4"/>
        <v/>
      </c>
      <c r="I404" s="237" t="str">
        <f t="shared" ref="I404:J404" si="396">IF(ISBLANK(C404),,""""&amp;C404&amp;"""")</f>
        <v/>
      </c>
      <c r="J404" s="237" t="str">
        <f t="shared" si="396"/>
        <v/>
      </c>
      <c r="K404" s="237" t="str">
        <f>IF(ISBLANK(F404),,Config!$C$3&amp;"&amp;range=BB"&amp;MATCH(F404,FRG!AC:AC,0))</f>
        <v/>
      </c>
      <c r="M404" s="243" t="str">
        <f>IFERROR(__xludf.DUMMYFUNCTION("IF(ISBLANK(F404),,SUBSTITUTE(IFERROR(JOIN("","",F404:K404),JOIN("","",F404:J404)),CHAR(10),""""))"),"")</f>
        <v/>
      </c>
      <c r="N404" s="229" t="str">
        <f t="shared" si="1"/>
        <v/>
      </c>
    </row>
    <row r="405">
      <c r="F405" s="237"/>
      <c r="G405" s="238" t="str">
        <f t="shared" si="3"/>
        <v/>
      </c>
      <c r="H405" s="238" t="str">
        <f t="shared" si="4"/>
        <v/>
      </c>
      <c r="I405" s="237" t="str">
        <f t="shared" ref="I405:J405" si="397">IF(ISBLANK(C405),,""""&amp;C405&amp;"""")</f>
        <v/>
      </c>
      <c r="J405" s="237" t="str">
        <f t="shared" si="397"/>
        <v/>
      </c>
      <c r="K405" s="237" t="str">
        <f>IF(ISBLANK(F405),,Config!$C$3&amp;"&amp;range=BB"&amp;MATCH(F405,FRG!AC:AC,0))</f>
        <v/>
      </c>
      <c r="M405" s="243" t="str">
        <f>IFERROR(__xludf.DUMMYFUNCTION("IF(ISBLANK(F405),,SUBSTITUTE(IFERROR(JOIN("","",F405:K405),JOIN("","",F405:J405)),CHAR(10),""""))"),"")</f>
        <v/>
      </c>
      <c r="N405" s="229" t="str">
        <f t="shared" si="1"/>
        <v/>
      </c>
    </row>
    <row r="406">
      <c r="F406" s="237"/>
      <c r="G406" s="238" t="str">
        <f t="shared" si="3"/>
        <v/>
      </c>
      <c r="H406" s="238" t="str">
        <f t="shared" si="4"/>
        <v/>
      </c>
      <c r="I406" s="237" t="str">
        <f t="shared" ref="I406:J406" si="398">IF(ISBLANK(C406),,""""&amp;C406&amp;"""")</f>
        <v/>
      </c>
      <c r="J406" s="237" t="str">
        <f t="shared" si="398"/>
        <v/>
      </c>
      <c r="K406" s="237" t="str">
        <f>IF(ISBLANK(F406),,Config!$C$3&amp;"&amp;range=BB"&amp;MATCH(F406,FRG!AC:AC,0))</f>
        <v/>
      </c>
      <c r="M406" s="243" t="str">
        <f>IFERROR(__xludf.DUMMYFUNCTION("IF(ISBLANK(F406),,SUBSTITUTE(IFERROR(JOIN("","",F406:K406),JOIN("","",F406:J406)),CHAR(10),""""))"),"")</f>
        <v/>
      </c>
      <c r="N406" s="229" t="str">
        <f t="shared" si="1"/>
        <v/>
      </c>
    </row>
    <row r="407">
      <c r="F407" s="237"/>
      <c r="G407" s="238" t="str">
        <f t="shared" si="3"/>
        <v/>
      </c>
      <c r="H407" s="238" t="str">
        <f t="shared" si="4"/>
        <v/>
      </c>
      <c r="I407" s="237" t="str">
        <f t="shared" ref="I407:J407" si="399">IF(ISBLANK(C407),,""""&amp;C407&amp;"""")</f>
        <v/>
      </c>
      <c r="J407" s="237" t="str">
        <f t="shared" si="399"/>
        <v/>
      </c>
      <c r="K407" s="237" t="str">
        <f>IF(ISBLANK(F407),,Config!$C$3&amp;"&amp;range=BB"&amp;MATCH(F407,FRG!AC:AC,0))</f>
        <v/>
      </c>
      <c r="M407" s="243" t="str">
        <f>IFERROR(__xludf.DUMMYFUNCTION("IF(ISBLANK(F407),,SUBSTITUTE(IFERROR(JOIN("","",F407:K407),JOIN("","",F407:J407)),CHAR(10),""""))"),"")</f>
        <v/>
      </c>
      <c r="N407" s="229" t="str">
        <f t="shared" si="1"/>
        <v/>
      </c>
    </row>
    <row r="408">
      <c r="F408" s="237"/>
      <c r="G408" s="238" t="str">
        <f t="shared" si="3"/>
        <v/>
      </c>
      <c r="H408" s="238" t="str">
        <f t="shared" si="4"/>
        <v/>
      </c>
      <c r="I408" s="237" t="str">
        <f t="shared" ref="I408:J408" si="400">IF(ISBLANK(C408),,""""&amp;C408&amp;"""")</f>
        <v/>
      </c>
      <c r="J408" s="237" t="str">
        <f t="shared" si="400"/>
        <v/>
      </c>
      <c r="K408" s="237" t="str">
        <f>IF(ISBLANK(F408),,Config!$C$3&amp;"&amp;range=BB"&amp;MATCH(F408,FRG!AC:AC,0))</f>
        <v/>
      </c>
      <c r="M408" s="243" t="str">
        <f>IFERROR(__xludf.DUMMYFUNCTION("IF(ISBLANK(F408),,SUBSTITUTE(IFERROR(JOIN("","",F408:K408),JOIN("","",F408:J408)),CHAR(10),""""))"),"")</f>
        <v/>
      </c>
      <c r="N408" s="229" t="str">
        <f t="shared" si="1"/>
        <v/>
      </c>
    </row>
    <row r="409">
      <c r="F409" s="237"/>
      <c r="G409" s="238" t="str">
        <f t="shared" si="3"/>
        <v/>
      </c>
      <c r="H409" s="238" t="str">
        <f t="shared" si="4"/>
        <v/>
      </c>
      <c r="I409" s="237" t="str">
        <f t="shared" ref="I409:J409" si="401">IF(ISBLANK(C409),,""""&amp;C409&amp;"""")</f>
        <v/>
      </c>
      <c r="J409" s="237" t="str">
        <f t="shared" si="401"/>
        <v/>
      </c>
      <c r="K409" s="237" t="str">
        <f>IF(ISBLANK(F409),,Config!$C$3&amp;"&amp;range=BB"&amp;MATCH(F409,FRG!AC:AC,0))</f>
        <v/>
      </c>
      <c r="M409" s="243" t="str">
        <f>IFERROR(__xludf.DUMMYFUNCTION("IF(ISBLANK(F409),,SUBSTITUTE(IFERROR(JOIN("","",F409:K409),JOIN("","",F409:J409)),CHAR(10),""""))"),"")</f>
        <v/>
      </c>
      <c r="N409" s="229" t="str">
        <f t="shared" si="1"/>
        <v/>
      </c>
    </row>
    <row r="410">
      <c r="F410" s="237"/>
      <c r="G410" s="238" t="str">
        <f t="shared" si="3"/>
        <v/>
      </c>
      <c r="H410" s="238" t="str">
        <f t="shared" si="4"/>
        <v/>
      </c>
      <c r="I410" s="237" t="str">
        <f t="shared" ref="I410:J410" si="402">IF(ISBLANK(C410),,""""&amp;C410&amp;"""")</f>
        <v/>
      </c>
      <c r="J410" s="237" t="str">
        <f t="shared" si="402"/>
        <v/>
      </c>
      <c r="K410" s="237" t="str">
        <f>IF(ISBLANK(F410),,Config!$C$3&amp;"&amp;range=BB"&amp;MATCH(F410,FRG!AC:AC,0))</f>
        <v/>
      </c>
      <c r="M410" s="243" t="str">
        <f>IFERROR(__xludf.DUMMYFUNCTION("IF(ISBLANK(F410),,SUBSTITUTE(IFERROR(JOIN("","",F410:K410),JOIN("","",F410:J410)),CHAR(10),""""))"),"")</f>
        <v/>
      </c>
      <c r="N410" s="229" t="str">
        <f t="shared" si="1"/>
        <v/>
      </c>
    </row>
    <row r="411">
      <c r="F411" s="237"/>
      <c r="G411" s="238" t="str">
        <f t="shared" si="3"/>
        <v/>
      </c>
      <c r="H411" s="238" t="str">
        <f t="shared" si="4"/>
        <v/>
      </c>
      <c r="I411" s="237" t="str">
        <f t="shared" ref="I411:J411" si="403">IF(ISBLANK(C411),,""""&amp;C411&amp;"""")</f>
        <v/>
      </c>
      <c r="J411" s="237" t="str">
        <f t="shared" si="403"/>
        <v/>
      </c>
      <c r="K411" s="237" t="str">
        <f>IF(ISBLANK(F411),,Config!$C$3&amp;"&amp;range=BB"&amp;MATCH(F411,FRG!AC:AC,0))</f>
        <v/>
      </c>
      <c r="M411" s="243" t="str">
        <f>IFERROR(__xludf.DUMMYFUNCTION("IF(ISBLANK(F411),,SUBSTITUTE(IFERROR(JOIN("","",F411:K411),JOIN("","",F411:J411)),CHAR(10),""""))"),"")</f>
        <v/>
      </c>
      <c r="N411" s="229" t="str">
        <f t="shared" si="1"/>
        <v/>
      </c>
    </row>
    <row r="412">
      <c r="F412" s="237"/>
      <c r="G412" s="238" t="str">
        <f t="shared" si="3"/>
        <v/>
      </c>
      <c r="H412" s="238" t="str">
        <f t="shared" si="4"/>
        <v/>
      </c>
      <c r="I412" s="237" t="str">
        <f t="shared" ref="I412:J412" si="404">IF(ISBLANK(C412),,""""&amp;C412&amp;"""")</f>
        <v/>
      </c>
      <c r="J412" s="237" t="str">
        <f t="shared" si="404"/>
        <v/>
      </c>
      <c r="K412" s="237" t="str">
        <f>IF(ISBLANK(F412),,Config!$C$3&amp;"&amp;range=BB"&amp;MATCH(F412,FRG!AC:AC,0))</f>
        <v/>
      </c>
      <c r="M412" s="243" t="str">
        <f>IFERROR(__xludf.DUMMYFUNCTION("IF(ISBLANK(F412),,SUBSTITUTE(IFERROR(JOIN("","",F412:K412),JOIN("","",F412:J412)),CHAR(10),""""))"),"")</f>
        <v/>
      </c>
      <c r="N412" s="229" t="str">
        <f t="shared" si="1"/>
        <v/>
      </c>
    </row>
    <row r="413">
      <c r="F413" s="237"/>
      <c r="G413" s="238" t="str">
        <f t="shared" si="3"/>
        <v/>
      </c>
      <c r="H413" s="238" t="str">
        <f t="shared" si="4"/>
        <v/>
      </c>
      <c r="I413" s="237" t="str">
        <f t="shared" ref="I413:J413" si="405">IF(ISBLANK(C413),,""""&amp;C413&amp;"""")</f>
        <v/>
      </c>
      <c r="J413" s="237" t="str">
        <f t="shared" si="405"/>
        <v/>
      </c>
      <c r="K413" s="237" t="str">
        <f>IF(ISBLANK(F413),,Config!$C$3&amp;"&amp;range=BB"&amp;MATCH(F413,FRG!AC:AC,0))</f>
        <v/>
      </c>
      <c r="M413" s="243" t="str">
        <f>IFERROR(__xludf.DUMMYFUNCTION("IF(ISBLANK(F413),,SUBSTITUTE(IFERROR(JOIN("","",F413:K413),JOIN("","",F413:J413)),CHAR(10),""""))"),"")</f>
        <v/>
      </c>
      <c r="N413" s="229" t="str">
        <f t="shared" si="1"/>
        <v/>
      </c>
    </row>
    <row r="414">
      <c r="F414" s="237"/>
      <c r="G414" s="238" t="str">
        <f t="shared" si="3"/>
        <v/>
      </c>
      <c r="H414" s="238" t="str">
        <f t="shared" si="4"/>
        <v/>
      </c>
      <c r="I414" s="237" t="str">
        <f t="shared" ref="I414:J414" si="406">IF(ISBLANK(C414),,""""&amp;C414&amp;"""")</f>
        <v/>
      </c>
      <c r="J414" s="237" t="str">
        <f t="shared" si="406"/>
        <v/>
      </c>
      <c r="K414" s="237" t="str">
        <f>IF(ISBLANK(F414),,Config!$C$3&amp;"&amp;range=BB"&amp;MATCH(F414,FRG!AC:AC,0))</f>
        <v/>
      </c>
      <c r="M414" s="243" t="str">
        <f>IFERROR(__xludf.DUMMYFUNCTION("IF(ISBLANK(F414),,SUBSTITUTE(IFERROR(JOIN("","",F414:K414),JOIN("","",F414:J414)),CHAR(10),""""))"),"")</f>
        <v/>
      </c>
      <c r="N414" s="229" t="str">
        <f t="shared" si="1"/>
        <v/>
      </c>
    </row>
    <row r="415">
      <c r="F415" s="237"/>
      <c r="G415" s="238" t="str">
        <f t="shared" si="3"/>
        <v/>
      </c>
      <c r="H415" s="238" t="str">
        <f t="shared" si="4"/>
        <v/>
      </c>
      <c r="I415" s="237" t="str">
        <f t="shared" ref="I415:J415" si="407">IF(ISBLANK(C415),,""""&amp;C415&amp;"""")</f>
        <v/>
      </c>
      <c r="J415" s="237" t="str">
        <f t="shared" si="407"/>
        <v/>
      </c>
      <c r="K415" s="237" t="str">
        <f>IF(ISBLANK(F415),,Config!$C$3&amp;"&amp;range=BB"&amp;MATCH(F415,FRG!AC:AC,0))</f>
        <v/>
      </c>
      <c r="M415" s="243" t="str">
        <f>IFERROR(__xludf.DUMMYFUNCTION("IF(ISBLANK(F415),,SUBSTITUTE(IFERROR(JOIN("","",F415:K415),JOIN("","",F415:J415)),CHAR(10),""""))"),"")</f>
        <v/>
      </c>
      <c r="N415" s="229" t="str">
        <f t="shared" si="1"/>
        <v/>
      </c>
    </row>
    <row r="416">
      <c r="F416" s="237"/>
      <c r="G416" s="238" t="str">
        <f t="shared" si="3"/>
        <v/>
      </c>
      <c r="H416" s="238" t="str">
        <f t="shared" si="4"/>
        <v/>
      </c>
      <c r="I416" s="237" t="str">
        <f t="shared" ref="I416:J416" si="408">IF(ISBLANK(C416),,""""&amp;C416&amp;"""")</f>
        <v/>
      </c>
      <c r="J416" s="237" t="str">
        <f t="shared" si="408"/>
        <v/>
      </c>
      <c r="K416" s="237" t="str">
        <f>IF(ISBLANK(F416),,Config!$C$3&amp;"&amp;range=BB"&amp;MATCH(F416,FRG!AC:AC,0))</f>
        <v/>
      </c>
      <c r="M416" s="243" t="str">
        <f>IFERROR(__xludf.DUMMYFUNCTION("IF(ISBLANK(F416),,SUBSTITUTE(IFERROR(JOIN("","",F416:K416),JOIN("","",F416:J416)),CHAR(10),""""))"),"")</f>
        <v/>
      </c>
      <c r="N416" s="229" t="str">
        <f t="shared" si="1"/>
        <v/>
      </c>
    </row>
    <row r="417">
      <c r="F417" s="237"/>
      <c r="G417" s="238" t="str">
        <f t="shared" si="3"/>
        <v/>
      </c>
      <c r="H417" s="238" t="str">
        <f t="shared" si="4"/>
        <v/>
      </c>
      <c r="I417" s="237" t="str">
        <f t="shared" ref="I417:J417" si="409">IF(ISBLANK(C417),,""""&amp;C417&amp;"""")</f>
        <v/>
      </c>
      <c r="J417" s="237" t="str">
        <f t="shared" si="409"/>
        <v/>
      </c>
      <c r="K417" s="237" t="str">
        <f>IF(ISBLANK(F417),,Config!$C$3&amp;"&amp;range=BB"&amp;MATCH(F417,FRG!AC:AC,0))</f>
        <v/>
      </c>
      <c r="M417" s="243" t="str">
        <f>IFERROR(__xludf.DUMMYFUNCTION("IF(ISBLANK(F417),,SUBSTITUTE(IFERROR(JOIN("","",F417:K417),JOIN("","",F417:J417)),CHAR(10),""""))"),"")</f>
        <v/>
      </c>
      <c r="N417" s="229" t="str">
        <f t="shared" si="1"/>
        <v/>
      </c>
    </row>
    <row r="418">
      <c r="F418" s="237"/>
      <c r="G418" s="238" t="str">
        <f t="shared" si="3"/>
        <v/>
      </c>
      <c r="H418" s="238" t="str">
        <f t="shared" si="4"/>
        <v/>
      </c>
      <c r="I418" s="237" t="str">
        <f t="shared" ref="I418:J418" si="410">IF(ISBLANK(C418),,""""&amp;C418&amp;"""")</f>
        <v/>
      </c>
      <c r="J418" s="237" t="str">
        <f t="shared" si="410"/>
        <v/>
      </c>
      <c r="K418" s="237" t="str">
        <f>IF(ISBLANK(F418),,Config!$C$3&amp;"&amp;range=BB"&amp;MATCH(F418,FRG!AC:AC,0))</f>
        <v/>
      </c>
      <c r="M418" s="243" t="str">
        <f>IFERROR(__xludf.DUMMYFUNCTION("IF(ISBLANK(F418),,SUBSTITUTE(IFERROR(JOIN("","",F418:K418),JOIN("","",F418:J418)),CHAR(10),""""))"),"")</f>
        <v/>
      </c>
      <c r="N418" s="229" t="str">
        <f t="shared" si="1"/>
        <v/>
      </c>
    </row>
    <row r="419">
      <c r="F419" s="237"/>
      <c r="G419" s="238" t="str">
        <f t="shared" si="3"/>
        <v/>
      </c>
      <c r="H419" s="238" t="str">
        <f t="shared" si="4"/>
        <v/>
      </c>
      <c r="I419" s="237" t="str">
        <f t="shared" ref="I419:J419" si="411">IF(ISBLANK(C419),,""""&amp;C419&amp;"""")</f>
        <v/>
      </c>
      <c r="J419" s="237" t="str">
        <f t="shared" si="411"/>
        <v/>
      </c>
      <c r="K419" s="237" t="str">
        <f>IF(ISBLANK(F419),,Config!$C$3&amp;"&amp;range=BB"&amp;MATCH(F419,FRG!AC:AC,0))</f>
        <v/>
      </c>
      <c r="M419" s="243" t="str">
        <f>IFERROR(__xludf.DUMMYFUNCTION("IF(ISBLANK(F419),,SUBSTITUTE(IFERROR(JOIN("","",F419:K419),JOIN("","",F419:J419)),CHAR(10),""""))"),"")</f>
        <v/>
      </c>
      <c r="N419" s="229" t="str">
        <f t="shared" si="1"/>
        <v/>
      </c>
    </row>
    <row r="420">
      <c r="F420" s="237"/>
      <c r="G420" s="238" t="str">
        <f t="shared" si="3"/>
        <v/>
      </c>
      <c r="H420" s="238" t="str">
        <f t="shared" si="4"/>
        <v/>
      </c>
      <c r="I420" s="237" t="str">
        <f t="shared" ref="I420:J420" si="412">IF(ISBLANK(C420),,""""&amp;C420&amp;"""")</f>
        <v/>
      </c>
      <c r="J420" s="237" t="str">
        <f t="shared" si="412"/>
        <v/>
      </c>
      <c r="K420" s="237" t="str">
        <f>IF(ISBLANK(F420),,Config!$C$3&amp;"&amp;range=BB"&amp;MATCH(F420,FRG!AC:AC,0))</f>
        <v/>
      </c>
      <c r="M420" s="243" t="str">
        <f>IFERROR(__xludf.DUMMYFUNCTION("IF(ISBLANK(F420),,SUBSTITUTE(IFERROR(JOIN("","",F420:K420),JOIN("","",F420:J420)),CHAR(10),""""))"),"")</f>
        <v/>
      </c>
      <c r="N420" s="229" t="str">
        <f t="shared" si="1"/>
        <v/>
      </c>
    </row>
    <row r="421">
      <c r="F421" s="237"/>
      <c r="G421" s="238" t="str">
        <f t="shared" si="3"/>
        <v/>
      </c>
      <c r="H421" s="238" t="str">
        <f t="shared" si="4"/>
        <v/>
      </c>
      <c r="I421" s="237" t="str">
        <f t="shared" ref="I421:J421" si="413">IF(ISBLANK(C421),,""""&amp;C421&amp;"""")</f>
        <v/>
      </c>
      <c r="J421" s="237" t="str">
        <f t="shared" si="413"/>
        <v/>
      </c>
      <c r="K421" s="237" t="str">
        <f>IF(ISBLANK(F421),,Config!$C$3&amp;"&amp;range=BB"&amp;MATCH(F421,FRG!AC:AC,0))</f>
        <v/>
      </c>
      <c r="M421" s="243" t="str">
        <f>IFERROR(__xludf.DUMMYFUNCTION("IF(ISBLANK(F421),,SUBSTITUTE(IFERROR(JOIN("","",F421:K421),JOIN("","",F421:J421)),CHAR(10),""""))"),"")</f>
        <v/>
      </c>
      <c r="N421" s="229" t="str">
        <f t="shared" si="1"/>
        <v/>
      </c>
    </row>
    <row r="422">
      <c r="F422" s="237"/>
      <c r="G422" s="238" t="str">
        <f t="shared" si="3"/>
        <v/>
      </c>
      <c r="H422" s="238" t="str">
        <f t="shared" si="4"/>
        <v/>
      </c>
      <c r="I422" s="237" t="str">
        <f t="shared" ref="I422:J422" si="414">IF(ISBLANK(C422),,""""&amp;C422&amp;"""")</f>
        <v/>
      </c>
      <c r="J422" s="237" t="str">
        <f t="shared" si="414"/>
        <v/>
      </c>
      <c r="K422" s="237" t="str">
        <f>IF(ISBLANK(F422),,Config!$C$3&amp;"&amp;range=BB"&amp;MATCH(F422,FRG!AC:AC,0))</f>
        <v/>
      </c>
      <c r="M422" s="243" t="str">
        <f>IFERROR(__xludf.DUMMYFUNCTION("IF(ISBLANK(F422),,SUBSTITUTE(IFERROR(JOIN("","",F422:K422),JOIN("","",F422:J422)),CHAR(10),""""))"),"")</f>
        <v/>
      </c>
      <c r="N422" s="229" t="str">
        <f t="shared" si="1"/>
        <v/>
      </c>
    </row>
    <row r="423">
      <c r="F423" s="237"/>
      <c r="G423" s="238" t="str">
        <f t="shared" si="3"/>
        <v/>
      </c>
      <c r="H423" s="238" t="str">
        <f t="shared" si="4"/>
        <v/>
      </c>
      <c r="I423" s="237" t="str">
        <f t="shared" ref="I423:J423" si="415">IF(ISBLANK(C423),,""""&amp;C423&amp;"""")</f>
        <v/>
      </c>
      <c r="J423" s="237" t="str">
        <f t="shared" si="415"/>
        <v/>
      </c>
      <c r="K423" s="237" t="str">
        <f>IF(ISBLANK(F423),,Config!$C$3&amp;"&amp;range=BB"&amp;MATCH(F423,FRG!AC:AC,0))</f>
        <v/>
      </c>
      <c r="M423" s="243" t="str">
        <f>IFERROR(__xludf.DUMMYFUNCTION("IF(ISBLANK(F423),,SUBSTITUTE(IFERROR(JOIN("","",F423:K423),JOIN("","",F423:J423)),CHAR(10),""""))"),"")</f>
        <v/>
      </c>
      <c r="N423" s="229" t="str">
        <f t="shared" si="1"/>
        <v/>
      </c>
    </row>
    <row r="424">
      <c r="F424" s="237"/>
      <c r="G424" s="238" t="str">
        <f t="shared" si="3"/>
        <v/>
      </c>
      <c r="H424" s="238" t="str">
        <f t="shared" si="4"/>
        <v/>
      </c>
      <c r="I424" s="237" t="str">
        <f t="shared" ref="I424:J424" si="416">IF(ISBLANK(C424),,""""&amp;C424&amp;"""")</f>
        <v/>
      </c>
      <c r="J424" s="237" t="str">
        <f t="shared" si="416"/>
        <v/>
      </c>
      <c r="K424" s="237" t="str">
        <f>IF(ISBLANK(F424),,Config!$C$3&amp;"&amp;range=BB"&amp;MATCH(F424,FRG!AC:AC,0))</f>
        <v/>
      </c>
      <c r="M424" s="243" t="str">
        <f>IFERROR(__xludf.DUMMYFUNCTION("IF(ISBLANK(F424),,SUBSTITUTE(IFERROR(JOIN("","",F424:K424),JOIN("","",F424:J424)),CHAR(10),""""))"),"")</f>
        <v/>
      </c>
      <c r="N424" s="229" t="str">
        <f t="shared" si="1"/>
        <v/>
      </c>
    </row>
    <row r="425">
      <c r="F425" s="237"/>
      <c r="G425" s="238" t="str">
        <f t="shared" si="3"/>
        <v/>
      </c>
      <c r="H425" s="238" t="str">
        <f t="shared" si="4"/>
        <v/>
      </c>
      <c r="I425" s="237" t="str">
        <f t="shared" ref="I425:J425" si="417">IF(ISBLANK(C425),,""""&amp;C425&amp;"""")</f>
        <v/>
      </c>
      <c r="J425" s="237" t="str">
        <f t="shared" si="417"/>
        <v/>
      </c>
      <c r="K425" s="237" t="str">
        <f>IF(ISBLANK(F425),,Config!$C$3&amp;"&amp;range=BB"&amp;MATCH(F425,FRG!AC:AC,0))</f>
        <v/>
      </c>
      <c r="M425" s="243" t="str">
        <f>IFERROR(__xludf.DUMMYFUNCTION("IF(ISBLANK(F425),,SUBSTITUTE(IFERROR(JOIN("","",F425:K425),JOIN("","",F425:J425)),CHAR(10),""""))"),"")</f>
        <v/>
      </c>
      <c r="N425" s="229" t="str">
        <f t="shared" si="1"/>
        <v/>
      </c>
    </row>
    <row r="426">
      <c r="F426" s="237"/>
      <c r="G426" s="238" t="str">
        <f t="shared" si="3"/>
        <v/>
      </c>
      <c r="H426" s="238" t="str">
        <f t="shared" si="4"/>
        <v/>
      </c>
      <c r="I426" s="237" t="str">
        <f t="shared" ref="I426:J426" si="418">IF(ISBLANK(C426),,""""&amp;C426&amp;"""")</f>
        <v/>
      </c>
      <c r="J426" s="237" t="str">
        <f t="shared" si="418"/>
        <v/>
      </c>
      <c r="K426" s="237" t="str">
        <f>IF(ISBLANK(F426),,Config!$C$3&amp;"&amp;range=BB"&amp;MATCH(F426,FRG!AC:AC,0))</f>
        <v/>
      </c>
      <c r="M426" s="243" t="str">
        <f>IFERROR(__xludf.DUMMYFUNCTION("IF(ISBLANK(F426),,SUBSTITUTE(IFERROR(JOIN("","",F426:K426),JOIN("","",F426:J426)),CHAR(10),""""))"),"")</f>
        <v/>
      </c>
      <c r="N426" s="229" t="str">
        <f t="shared" si="1"/>
        <v/>
      </c>
    </row>
    <row r="427">
      <c r="F427" s="237"/>
      <c r="G427" s="238" t="str">
        <f t="shared" si="3"/>
        <v/>
      </c>
      <c r="H427" s="238" t="str">
        <f t="shared" si="4"/>
        <v/>
      </c>
      <c r="I427" s="237" t="str">
        <f t="shared" ref="I427:J427" si="419">IF(ISBLANK(C427),,""""&amp;C427&amp;"""")</f>
        <v/>
      </c>
      <c r="J427" s="237" t="str">
        <f t="shared" si="419"/>
        <v/>
      </c>
      <c r="K427" s="237" t="str">
        <f>IF(ISBLANK(F427),,Config!$C$3&amp;"&amp;range=BB"&amp;MATCH(F427,FRG!AC:AC,0))</f>
        <v/>
      </c>
      <c r="M427" s="243" t="str">
        <f>IFERROR(__xludf.DUMMYFUNCTION("IF(ISBLANK(F427),,SUBSTITUTE(IFERROR(JOIN("","",F427:K427),JOIN("","",F427:J427)),CHAR(10),""""))"),"")</f>
        <v/>
      </c>
      <c r="N427" s="229" t="str">
        <f t="shared" si="1"/>
        <v/>
      </c>
    </row>
    <row r="428">
      <c r="F428" s="237"/>
      <c r="G428" s="238" t="str">
        <f t="shared" si="3"/>
        <v/>
      </c>
      <c r="H428" s="238" t="str">
        <f t="shared" si="4"/>
        <v/>
      </c>
      <c r="I428" s="237" t="str">
        <f t="shared" ref="I428:J428" si="420">IF(ISBLANK(C428),,""""&amp;C428&amp;"""")</f>
        <v/>
      </c>
      <c r="J428" s="237" t="str">
        <f t="shared" si="420"/>
        <v/>
      </c>
      <c r="K428" s="237" t="str">
        <f>IF(ISBLANK(F428),,Config!$C$3&amp;"&amp;range=BB"&amp;MATCH(F428,FRG!AC:AC,0))</f>
        <v/>
      </c>
      <c r="M428" s="243" t="str">
        <f>IFERROR(__xludf.DUMMYFUNCTION("IF(ISBLANK(F428),,SUBSTITUTE(IFERROR(JOIN("","",F428:K428),JOIN("","",F428:J428)),CHAR(10),""""))"),"")</f>
        <v/>
      </c>
      <c r="N428" s="229" t="str">
        <f t="shared" si="1"/>
        <v/>
      </c>
    </row>
    <row r="429">
      <c r="F429" s="237"/>
      <c r="G429" s="238" t="str">
        <f t="shared" si="3"/>
        <v/>
      </c>
      <c r="H429" s="238" t="str">
        <f t="shared" si="4"/>
        <v/>
      </c>
      <c r="I429" s="237" t="str">
        <f t="shared" ref="I429:J429" si="421">IF(ISBLANK(C429),,""""&amp;C429&amp;"""")</f>
        <v/>
      </c>
      <c r="J429" s="237" t="str">
        <f t="shared" si="421"/>
        <v/>
      </c>
      <c r="K429" s="237" t="str">
        <f>IF(ISBLANK(F429),,Config!$C$3&amp;"&amp;range=BB"&amp;MATCH(F429,FRG!AC:AC,0))</f>
        <v/>
      </c>
      <c r="M429" s="243" t="str">
        <f>IFERROR(__xludf.DUMMYFUNCTION("IF(ISBLANK(F429),,SUBSTITUTE(IFERROR(JOIN("","",F429:K429),JOIN("","",F429:J429)),CHAR(10),""""))"),"")</f>
        <v/>
      </c>
      <c r="N429" s="229" t="str">
        <f t="shared" si="1"/>
        <v/>
      </c>
    </row>
    <row r="430">
      <c r="F430" s="237"/>
      <c r="G430" s="238" t="str">
        <f t="shared" si="3"/>
        <v/>
      </c>
      <c r="H430" s="238" t="str">
        <f t="shared" si="4"/>
        <v/>
      </c>
      <c r="I430" s="237" t="str">
        <f t="shared" ref="I430:J430" si="422">IF(ISBLANK(C430),,""""&amp;C430&amp;"""")</f>
        <v/>
      </c>
      <c r="J430" s="237" t="str">
        <f t="shared" si="422"/>
        <v/>
      </c>
      <c r="K430" s="237" t="str">
        <f>IF(ISBLANK(F430),,Config!$C$3&amp;"&amp;range=BB"&amp;MATCH(F430,FRG!AC:AC,0))</f>
        <v/>
      </c>
      <c r="M430" s="243" t="str">
        <f>IFERROR(__xludf.DUMMYFUNCTION("IF(ISBLANK(F430),,SUBSTITUTE(IFERROR(JOIN("","",F430:K430),JOIN("","",F430:J430)),CHAR(10),""""))"),"")</f>
        <v/>
      </c>
      <c r="N430" s="229" t="str">
        <f t="shared" si="1"/>
        <v/>
      </c>
    </row>
    <row r="431">
      <c r="F431" s="237"/>
      <c r="G431" s="238" t="str">
        <f t="shared" si="3"/>
        <v/>
      </c>
      <c r="H431" s="238" t="str">
        <f t="shared" si="4"/>
        <v/>
      </c>
      <c r="I431" s="237" t="str">
        <f t="shared" ref="I431:J431" si="423">IF(ISBLANK(C431),,""""&amp;C431&amp;"""")</f>
        <v/>
      </c>
      <c r="J431" s="237" t="str">
        <f t="shared" si="423"/>
        <v/>
      </c>
      <c r="K431" s="237" t="str">
        <f>IF(ISBLANK(F431),,Config!$C$3&amp;"&amp;range=BB"&amp;MATCH(F431,FRG!AC:AC,0))</f>
        <v/>
      </c>
      <c r="M431" s="243" t="str">
        <f>IFERROR(__xludf.DUMMYFUNCTION("IF(ISBLANK(F431),,SUBSTITUTE(IFERROR(JOIN("","",F431:K431),JOIN("","",F431:J431)),CHAR(10),""""))"),"")</f>
        <v/>
      </c>
      <c r="N431" s="229" t="str">
        <f t="shared" si="1"/>
        <v/>
      </c>
    </row>
    <row r="432">
      <c r="F432" s="237"/>
      <c r="G432" s="238" t="str">
        <f t="shared" si="3"/>
        <v/>
      </c>
      <c r="H432" s="238" t="str">
        <f t="shared" si="4"/>
        <v/>
      </c>
      <c r="I432" s="237" t="str">
        <f t="shared" ref="I432:J432" si="424">IF(ISBLANK(C432),,""""&amp;C432&amp;"""")</f>
        <v/>
      </c>
      <c r="J432" s="237" t="str">
        <f t="shared" si="424"/>
        <v/>
      </c>
      <c r="K432" s="237" t="str">
        <f>IF(ISBLANK(F432),,Config!$C$3&amp;"&amp;range=BB"&amp;MATCH(F432,FRG!AC:AC,0))</f>
        <v/>
      </c>
      <c r="M432" s="243" t="str">
        <f>IFERROR(__xludf.DUMMYFUNCTION("IF(ISBLANK(F432),,SUBSTITUTE(IFERROR(JOIN("","",F432:K432),JOIN("","",F432:J432)),CHAR(10),""""))"),"")</f>
        <v/>
      </c>
      <c r="N432" s="229" t="str">
        <f t="shared" si="1"/>
        <v/>
      </c>
    </row>
    <row r="433">
      <c r="F433" s="237"/>
      <c r="G433" s="238" t="str">
        <f t="shared" si="3"/>
        <v/>
      </c>
      <c r="H433" s="238" t="str">
        <f t="shared" si="4"/>
        <v/>
      </c>
      <c r="I433" s="237" t="str">
        <f t="shared" ref="I433:J433" si="425">IF(ISBLANK(C433),,""""&amp;C433&amp;"""")</f>
        <v/>
      </c>
      <c r="J433" s="237" t="str">
        <f t="shared" si="425"/>
        <v/>
      </c>
      <c r="K433" s="237" t="str">
        <f>IF(ISBLANK(F433),,Config!$C$3&amp;"&amp;range=BB"&amp;MATCH(F433,FRG!AC:AC,0))</f>
        <v/>
      </c>
      <c r="M433" s="243" t="str">
        <f>IFERROR(__xludf.DUMMYFUNCTION("IF(ISBLANK(F433),,SUBSTITUTE(IFERROR(JOIN("","",F433:K433),JOIN("","",F433:J433)),CHAR(10),""""))"),"")</f>
        <v/>
      </c>
      <c r="N433" s="229" t="str">
        <f t="shared" si="1"/>
        <v/>
      </c>
    </row>
    <row r="434">
      <c r="F434" s="237"/>
      <c r="G434" s="238" t="str">
        <f t="shared" si="3"/>
        <v/>
      </c>
      <c r="H434" s="238" t="str">
        <f t="shared" si="4"/>
        <v/>
      </c>
      <c r="I434" s="237" t="str">
        <f t="shared" ref="I434:J434" si="426">IF(ISBLANK(C434),,""""&amp;C434&amp;"""")</f>
        <v/>
      </c>
      <c r="J434" s="237" t="str">
        <f t="shared" si="426"/>
        <v/>
      </c>
      <c r="K434" s="237" t="str">
        <f>IF(ISBLANK(F434),,Config!$C$3&amp;"&amp;range=BB"&amp;MATCH(F434,FRG!AC:AC,0))</f>
        <v/>
      </c>
      <c r="M434" s="243" t="str">
        <f>IFERROR(__xludf.DUMMYFUNCTION("IF(ISBLANK(F434),,SUBSTITUTE(IFERROR(JOIN("","",F434:K434),JOIN("","",F434:J434)),CHAR(10),""""))"),"")</f>
        <v/>
      </c>
      <c r="N434" s="229" t="str">
        <f t="shared" si="1"/>
        <v/>
      </c>
    </row>
    <row r="435">
      <c r="F435" s="237"/>
      <c r="G435" s="238" t="str">
        <f t="shared" si="3"/>
        <v/>
      </c>
      <c r="H435" s="238" t="str">
        <f t="shared" si="4"/>
        <v/>
      </c>
      <c r="I435" s="237" t="str">
        <f t="shared" ref="I435:J435" si="427">IF(ISBLANK(C435),,""""&amp;C435&amp;"""")</f>
        <v/>
      </c>
      <c r="J435" s="237" t="str">
        <f t="shared" si="427"/>
        <v/>
      </c>
      <c r="K435" s="237" t="str">
        <f>IF(ISBLANK(F435),,Config!$C$3&amp;"&amp;range=BB"&amp;MATCH(F435,FRG!AC:AC,0))</f>
        <v/>
      </c>
      <c r="M435" s="243" t="str">
        <f>IFERROR(__xludf.DUMMYFUNCTION("IF(ISBLANK(F435),,SUBSTITUTE(IFERROR(JOIN("","",F435:K435),JOIN("","",F435:J435)),CHAR(10),""""))"),"")</f>
        <v/>
      </c>
      <c r="N435" s="229" t="str">
        <f t="shared" si="1"/>
        <v/>
      </c>
    </row>
    <row r="436">
      <c r="F436" s="237"/>
      <c r="G436" s="238" t="str">
        <f t="shared" si="3"/>
        <v/>
      </c>
      <c r="H436" s="238" t="str">
        <f t="shared" si="4"/>
        <v/>
      </c>
      <c r="I436" s="237" t="str">
        <f t="shared" ref="I436:J436" si="428">IF(ISBLANK(C436),,""""&amp;C436&amp;"""")</f>
        <v/>
      </c>
      <c r="J436" s="237" t="str">
        <f t="shared" si="428"/>
        <v/>
      </c>
      <c r="K436" s="237" t="str">
        <f>IF(ISBLANK(F436),,Config!$C$3&amp;"&amp;range=BB"&amp;MATCH(F436,FRG!AC:AC,0))</f>
        <v/>
      </c>
      <c r="M436" s="243" t="str">
        <f>IFERROR(__xludf.DUMMYFUNCTION("IF(ISBLANK(F436),,SUBSTITUTE(IFERROR(JOIN("","",F436:K436),JOIN("","",F436:J436)),CHAR(10),""""))"),"")</f>
        <v/>
      </c>
      <c r="N436" s="229" t="str">
        <f t="shared" si="1"/>
        <v/>
      </c>
    </row>
    <row r="437">
      <c r="F437" s="237"/>
      <c r="G437" s="238" t="str">
        <f t="shared" si="3"/>
        <v/>
      </c>
      <c r="H437" s="238" t="str">
        <f t="shared" si="4"/>
        <v/>
      </c>
      <c r="I437" s="237" t="str">
        <f t="shared" ref="I437:J437" si="429">IF(ISBLANK(C437),,""""&amp;C437&amp;"""")</f>
        <v/>
      </c>
      <c r="J437" s="237" t="str">
        <f t="shared" si="429"/>
        <v/>
      </c>
      <c r="K437" s="237" t="str">
        <f>IF(ISBLANK(F437),,Config!$C$3&amp;"&amp;range=BB"&amp;MATCH(F437,FRG!AC:AC,0))</f>
        <v/>
      </c>
      <c r="M437" s="243" t="str">
        <f>IFERROR(__xludf.DUMMYFUNCTION("IF(ISBLANK(F437),,SUBSTITUTE(IFERROR(JOIN("","",F437:K437),JOIN("","",F437:J437)),CHAR(10),""""))"),"")</f>
        <v/>
      </c>
      <c r="N437" s="229" t="str">
        <f t="shared" si="1"/>
        <v/>
      </c>
    </row>
    <row r="438">
      <c r="F438" s="237"/>
      <c r="G438" s="238" t="str">
        <f t="shared" si="3"/>
        <v/>
      </c>
      <c r="H438" s="238" t="str">
        <f t="shared" si="4"/>
        <v/>
      </c>
      <c r="I438" s="237" t="str">
        <f t="shared" ref="I438:J438" si="430">IF(ISBLANK(C438),,""""&amp;C438&amp;"""")</f>
        <v/>
      </c>
      <c r="J438" s="237" t="str">
        <f t="shared" si="430"/>
        <v/>
      </c>
      <c r="K438" s="237" t="str">
        <f>IF(ISBLANK(F438),,Config!$C$3&amp;"&amp;range=BB"&amp;MATCH(F438,FRG!AC:AC,0))</f>
        <v/>
      </c>
      <c r="M438" s="243" t="str">
        <f>IFERROR(__xludf.DUMMYFUNCTION("IF(ISBLANK(F438),,SUBSTITUTE(IFERROR(JOIN("","",F438:K438),JOIN("","",F438:J438)),CHAR(10),""""))"),"")</f>
        <v/>
      </c>
      <c r="N438" s="229" t="str">
        <f t="shared" si="1"/>
        <v/>
      </c>
    </row>
    <row r="439">
      <c r="F439" s="237"/>
      <c r="G439" s="238" t="str">
        <f t="shared" si="3"/>
        <v/>
      </c>
      <c r="H439" s="238" t="str">
        <f t="shared" si="4"/>
        <v/>
      </c>
      <c r="I439" s="237" t="str">
        <f t="shared" ref="I439:J439" si="431">IF(ISBLANK(C439),,""""&amp;C439&amp;"""")</f>
        <v/>
      </c>
      <c r="J439" s="237" t="str">
        <f t="shared" si="431"/>
        <v/>
      </c>
      <c r="K439" s="237" t="str">
        <f>IF(ISBLANK(F439),,Config!$C$3&amp;"&amp;range=BB"&amp;MATCH(F439,FRG!AC:AC,0))</f>
        <v/>
      </c>
      <c r="M439" s="243" t="str">
        <f>IFERROR(__xludf.DUMMYFUNCTION("IF(ISBLANK(F439),,SUBSTITUTE(IFERROR(JOIN("","",F439:K439),JOIN("","",F439:J439)),CHAR(10),""""))"),"")</f>
        <v/>
      </c>
      <c r="N439" s="229" t="str">
        <f t="shared" si="1"/>
        <v/>
      </c>
    </row>
    <row r="440">
      <c r="F440" s="237"/>
      <c r="G440" s="238" t="str">
        <f t="shared" si="3"/>
        <v/>
      </c>
      <c r="H440" s="238" t="str">
        <f t="shared" si="4"/>
        <v/>
      </c>
      <c r="I440" s="237" t="str">
        <f t="shared" ref="I440:J440" si="432">IF(ISBLANK(C440),,""""&amp;C440&amp;"""")</f>
        <v/>
      </c>
      <c r="J440" s="237" t="str">
        <f t="shared" si="432"/>
        <v/>
      </c>
      <c r="K440" s="237" t="str">
        <f>IF(ISBLANK(F440),,Config!$C$3&amp;"&amp;range=BB"&amp;MATCH(F440,FRG!AC:AC,0))</f>
        <v/>
      </c>
      <c r="M440" s="243" t="str">
        <f>IFERROR(__xludf.DUMMYFUNCTION("IF(ISBLANK(F440),,SUBSTITUTE(IFERROR(JOIN("","",F440:K440),JOIN("","",F440:J440)),CHAR(10),""""))"),"")</f>
        <v/>
      </c>
      <c r="N440" s="229" t="str">
        <f t="shared" si="1"/>
        <v/>
      </c>
    </row>
    <row r="441">
      <c r="F441" s="237"/>
      <c r="G441" s="238" t="str">
        <f t="shared" si="3"/>
        <v/>
      </c>
      <c r="H441" s="238" t="str">
        <f t="shared" si="4"/>
        <v/>
      </c>
      <c r="I441" s="237" t="str">
        <f t="shared" ref="I441:J441" si="433">IF(ISBLANK(C441),,""""&amp;C441&amp;"""")</f>
        <v/>
      </c>
      <c r="J441" s="237" t="str">
        <f t="shared" si="433"/>
        <v/>
      </c>
      <c r="K441" s="237" t="str">
        <f>IF(ISBLANK(F441),,Config!$C$3&amp;"&amp;range=BB"&amp;MATCH(F441,FRG!AC:AC,0))</f>
        <v/>
      </c>
      <c r="M441" s="243" t="str">
        <f>IFERROR(__xludf.DUMMYFUNCTION("IF(ISBLANK(F441),,SUBSTITUTE(IFERROR(JOIN("","",F441:K441),JOIN("","",F441:J441)),CHAR(10),""""))"),"")</f>
        <v/>
      </c>
      <c r="N441" s="229" t="str">
        <f t="shared" si="1"/>
        <v/>
      </c>
    </row>
    <row r="442">
      <c r="F442" s="237"/>
      <c r="G442" s="238" t="str">
        <f t="shared" si="3"/>
        <v/>
      </c>
      <c r="H442" s="238" t="str">
        <f t="shared" si="4"/>
        <v/>
      </c>
      <c r="I442" s="237" t="str">
        <f t="shared" ref="I442:J442" si="434">IF(ISBLANK(C442),,""""&amp;C442&amp;"""")</f>
        <v/>
      </c>
      <c r="J442" s="237" t="str">
        <f t="shared" si="434"/>
        <v/>
      </c>
      <c r="K442" s="237" t="str">
        <f>IF(ISBLANK(F442),,Config!$C$3&amp;"&amp;range=BB"&amp;MATCH(F442,FRG!AC:AC,0))</f>
        <v/>
      </c>
      <c r="M442" s="243" t="str">
        <f>IFERROR(__xludf.DUMMYFUNCTION("IF(ISBLANK(F442),,SUBSTITUTE(IFERROR(JOIN("","",F442:K442),JOIN("","",F442:J442)),CHAR(10),""""))"),"")</f>
        <v/>
      </c>
      <c r="N442" s="229" t="str">
        <f t="shared" si="1"/>
        <v/>
      </c>
    </row>
    <row r="443">
      <c r="F443" s="237"/>
      <c r="G443" s="238" t="str">
        <f t="shared" si="3"/>
        <v/>
      </c>
      <c r="H443" s="238" t="str">
        <f t="shared" si="4"/>
        <v/>
      </c>
      <c r="I443" s="237" t="str">
        <f t="shared" ref="I443:J443" si="435">IF(ISBLANK(C443),,""""&amp;C443&amp;"""")</f>
        <v/>
      </c>
      <c r="J443" s="237" t="str">
        <f t="shared" si="435"/>
        <v/>
      </c>
      <c r="K443" s="237" t="str">
        <f>IF(ISBLANK(F443),,Config!$C$3&amp;"&amp;range=BB"&amp;MATCH(F443,FRG!AC:AC,0))</f>
        <v/>
      </c>
      <c r="M443" s="243" t="str">
        <f>IFERROR(__xludf.DUMMYFUNCTION("IF(ISBLANK(F443),,SUBSTITUTE(IFERROR(JOIN("","",F443:K443),JOIN("","",F443:J443)),CHAR(10),""""))"),"")</f>
        <v/>
      </c>
      <c r="N443" s="229" t="str">
        <f t="shared" si="1"/>
        <v/>
      </c>
    </row>
    <row r="444">
      <c r="F444" s="237"/>
      <c r="G444" s="238" t="str">
        <f t="shared" si="3"/>
        <v/>
      </c>
      <c r="H444" s="238" t="str">
        <f t="shared" si="4"/>
        <v/>
      </c>
      <c r="I444" s="237" t="str">
        <f t="shared" ref="I444:J444" si="436">IF(ISBLANK(C444),,""""&amp;C444&amp;"""")</f>
        <v/>
      </c>
      <c r="J444" s="237" t="str">
        <f t="shared" si="436"/>
        <v/>
      </c>
      <c r="K444" s="237" t="str">
        <f>IF(ISBLANK(F444),,Config!$C$3&amp;"&amp;range=BB"&amp;MATCH(F444,FRG!AC:AC,0))</f>
        <v/>
      </c>
      <c r="M444" s="243" t="str">
        <f>IFERROR(__xludf.DUMMYFUNCTION("IF(ISBLANK(F444),,SUBSTITUTE(IFERROR(JOIN("","",F444:K444),JOIN("","",F444:J444)),CHAR(10),""""))"),"")</f>
        <v/>
      </c>
      <c r="N444" s="229" t="str">
        <f t="shared" si="1"/>
        <v/>
      </c>
    </row>
    <row r="445">
      <c r="F445" s="237"/>
      <c r="G445" s="238" t="str">
        <f t="shared" si="3"/>
        <v/>
      </c>
      <c r="H445" s="238" t="str">
        <f t="shared" si="4"/>
        <v/>
      </c>
      <c r="I445" s="237" t="str">
        <f t="shared" ref="I445:J445" si="437">IF(ISBLANK(C445),,""""&amp;C445&amp;"""")</f>
        <v/>
      </c>
      <c r="J445" s="237" t="str">
        <f t="shared" si="437"/>
        <v/>
      </c>
      <c r="K445" s="237" t="str">
        <f>IF(ISBLANK(F445),,Config!$C$3&amp;"&amp;range=BB"&amp;MATCH(F445,FRG!AC:AC,0))</f>
        <v/>
      </c>
      <c r="M445" s="243" t="str">
        <f>IFERROR(__xludf.DUMMYFUNCTION("IF(ISBLANK(F445),,SUBSTITUTE(IFERROR(JOIN("","",F445:K445),JOIN("","",F445:J445)),CHAR(10),""""))"),"")</f>
        <v/>
      </c>
      <c r="N445" s="229" t="str">
        <f t="shared" si="1"/>
        <v/>
      </c>
    </row>
    <row r="446">
      <c r="F446" s="237"/>
      <c r="G446" s="238" t="str">
        <f t="shared" si="3"/>
        <v/>
      </c>
      <c r="H446" s="238" t="str">
        <f t="shared" si="4"/>
        <v/>
      </c>
      <c r="I446" s="237" t="str">
        <f t="shared" ref="I446:J446" si="438">IF(ISBLANK(C446),,""""&amp;C446&amp;"""")</f>
        <v/>
      </c>
      <c r="J446" s="237" t="str">
        <f t="shared" si="438"/>
        <v/>
      </c>
      <c r="K446" s="237" t="str">
        <f>IF(ISBLANK(F446),,Config!$C$3&amp;"&amp;range=BB"&amp;MATCH(F446,FRG!AC:AC,0))</f>
        <v/>
      </c>
      <c r="M446" s="243" t="str">
        <f>IFERROR(__xludf.DUMMYFUNCTION("IF(ISBLANK(F446),,SUBSTITUTE(IFERROR(JOIN("","",F446:K446),JOIN("","",F446:J446)),CHAR(10),""""))"),"")</f>
        <v/>
      </c>
      <c r="N446" s="229" t="str">
        <f t="shared" si="1"/>
        <v/>
      </c>
    </row>
    <row r="447">
      <c r="F447" s="237"/>
      <c r="G447" s="238" t="str">
        <f t="shared" si="3"/>
        <v/>
      </c>
      <c r="H447" s="238" t="str">
        <f t="shared" si="4"/>
        <v/>
      </c>
      <c r="I447" s="237" t="str">
        <f t="shared" ref="I447:J447" si="439">IF(ISBLANK(C447),,""""&amp;C447&amp;"""")</f>
        <v/>
      </c>
      <c r="J447" s="237" t="str">
        <f t="shared" si="439"/>
        <v/>
      </c>
      <c r="K447" s="237" t="str">
        <f>IF(ISBLANK(F447),,Config!$C$3&amp;"&amp;range=BB"&amp;MATCH(F447,FRG!AC:AC,0))</f>
        <v/>
      </c>
      <c r="M447" s="243" t="str">
        <f>IFERROR(__xludf.DUMMYFUNCTION("IF(ISBLANK(F447),,SUBSTITUTE(IFERROR(JOIN("","",F447:K447),JOIN("","",F447:J447)),CHAR(10),""""))"),"")</f>
        <v/>
      </c>
      <c r="N447" s="229" t="str">
        <f t="shared" si="1"/>
        <v/>
      </c>
    </row>
    <row r="448">
      <c r="F448" s="237"/>
      <c r="G448" s="238" t="str">
        <f t="shared" si="3"/>
        <v/>
      </c>
      <c r="H448" s="238" t="str">
        <f t="shared" si="4"/>
        <v/>
      </c>
      <c r="I448" s="237" t="str">
        <f t="shared" ref="I448:J448" si="440">IF(ISBLANK(C448),,""""&amp;C448&amp;"""")</f>
        <v/>
      </c>
      <c r="J448" s="237" t="str">
        <f t="shared" si="440"/>
        <v/>
      </c>
      <c r="K448" s="237" t="str">
        <f>IF(ISBLANK(F448),,Config!$C$3&amp;"&amp;range=BB"&amp;MATCH(F448,FRG!AC:AC,0))</f>
        <v/>
      </c>
      <c r="M448" s="243" t="str">
        <f>IFERROR(__xludf.DUMMYFUNCTION("IF(ISBLANK(F448),,SUBSTITUTE(IFERROR(JOIN("","",F448:K448),JOIN("","",F448:J448)),CHAR(10),""""))"),"")</f>
        <v/>
      </c>
      <c r="N448" s="229" t="str">
        <f t="shared" si="1"/>
        <v/>
      </c>
    </row>
    <row r="449">
      <c r="F449" s="237"/>
      <c r="G449" s="238" t="str">
        <f t="shared" si="3"/>
        <v/>
      </c>
      <c r="H449" s="238" t="str">
        <f t="shared" si="4"/>
        <v/>
      </c>
      <c r="I449" s="237" t="str">
        <f t="shared" ref="I449:J449" si="441">IF(ISBLANK(C449),,""""&amp;C449&amp;"""")</f>
        <v/>
      </c>
      <c r="J449" s="237" t="str">
        <f t="shared" si="441"/>
        <v/>
      </c>
      <c r="K449" s="237" t="str">
        <f>IF(ISBLANK(F449),,Config!$C$3&amp;"&amp;range=BB"&amp;MATCH(F449,FRG!AC:AC,0))</f>
        <v/>
      </c>
      <c r="M449" s="243" t="str">
        <f>IFERROR(__xludf.DUMMYFUNCTION("IF(ISBLANK(F449),,SUBSTITUTE(IFERROR(JOIN("","",F449:K449),JOIN("","",F449:J449)),CHAR(10),""""))"),"")</f>
        <v/>
      </c>
      <c r="N449" s="229" t="str">
        <f t="shared" si="1"/>
        <v/>
      </c>
    </row>
    <row r="450">
      <c r="F450" s="237"/>
      <c r="G450" s="238" t="str">
        <f t="shared" si="3"/>
        <v/>
      </c>
      <c r="H450" s="238" t="str">
        <f t="shared" si="4"/>
        <v/>
      </c>
      <c r="I450" s="237" t="str">
        <f t="shared" ref="I450:J450" si="442">IF(ISBLANK(C450),,""""&amp;C450&amp;"""")</f>
        <v/>
      </c>
      <c r="J450" s="237" t="str">
        <f t="shared" si="442"/>
        <v/>
      </c>
      <c r="K450" s="237" t="str">
        <f>IF(ISBLANK(F450),,Config!$C$3&amp;"&amp;range=BB"&amp;MATCH(F450,FRG!AC:AC,0))</f>
        <v/>
      </c>
      <c r="M450" s="243" t="str">
        <f>IFERROR(__xludf.DUMMYFUNCTION("IF(ISBLANK(F450),,SUBSTITUTE(IFERROR(JOIN("","",F450:K450),JOIN("","",F450:J450)),CHAR(10),""""))"),"")</f>
        <v/>
      </c>
      <c r="N450" s="229" t="str">
        <f t="shared" si="1"/>
        <v/>
      </c>
    </row>
    <row r="451">
      <c r="F451" s="237"/>
      <c r="G451" s="238" t="str">
        <f t="shared" si="3"/>
        <v/>
      </c>
      <c r="H451" s="238" t="str">
        <f t="shared" si="4"/>
        <v/>
      </c>
      <c r="I451" s="237" t="str">
        <f t="shared" ref="I451:J451" si="443">IF(ISBLANK(C451),,""""&amp;C451&amp;"""")</f>
        <v/>
      </c>
      <c r="J451" s="237" t="str">
        <f t="shared" si="443"/>
        <v/>
      </c>
      <c r="K451" s="237" t="str">
        <f>IF(ISBLANK(F451),,Config!$C$3&amp;"&amp;range=BB"&amp;MATCH(F451,FRG!AC:AC,0))</f>
        <v/>
      </c>
      <c r="M451" s="243" t="str">
        <f>IFERROR(__xludf.DUMMYFUNCTION("IF(ISBLANK(F451),,SUBSTITUTE(IFERROR(JOIN("","",F451:K451),JOIN("","",F451:J451)),CHAR(10),""""))"),"")</f>
        <v/>
      </c>
      <c r="N451" s="229" t="str">
        <f t="shared" si="1"/>
        <v/>
      </c>
    </row>
    <row r="452">
      <c r="F452" s="237"/>
      <c r="G452" s="238" t="str">
        <f t="shared" si="3"/>
        <v/>
      </c>
      <c r="H452" s="238" t="str">
        <f t="shared" si="4"/>
        <v/>
      </c>
      <c r="I452" s="237" t="str">
        <f t="shared" ref="I452:J452" si="444">IF(ISBLANK(C452),,""""&amp;C452&amp;"""")</f>
        <v/>
      </c>
      <c r="J452" s="237" t="str">
        <f t="shared" si="444"/>
        <v/>
      </c>
      <c r="K452" s="237" t="str">
        <f>IF(ISBLANK(F452),,Config!$C$3&amp;"&amp;range=BB"&amp;MATCH(F452,FRG!AC:AC,0))</f>
        <v/>
      </c>
      <c r="M452" s="243" t="str">
        <f>IFERROR(__xludf.DUMMYFUNCTION("IF(ISBLANK(F452),,SUBSTITUTE(IFERROR(JOIN("","",F452:K452),JOIN("","",F452:J452)),CHAR(10),""""))"),"")</f>
        <v/>
      </c>
      <c r="N452" s="229" t="str">
        <f t="shared" si="1"/>
        <v/>
      </c>
    </row>
    <row r="453">
      <c r="F453" s="237"/>
      <c r="G453" s="238" t="str">
        <f t="shared" si="3"/>
        <v/>
      </c>
      <c r="H453" s="238" t="str">
        <f t="shared" si="4"/>
        <v/>
      </c>
      <c r="I453" s="237" t="str">
        <f t="shared" ref="I453:J453" si="445">IF(ISBLANK(C453),,""""&amp;C453&amp;"""")</f>
        <v/>
      </c>
      <c r="J453" s="237" t="str">
        <f t="shared" si="445"/>
        <v/>
      </c>
      <c r="K453" s="237" t="str">
        <f>IF(ISBLANK(F453),,Config!$C$3&amp;"&amp;range=BB"&amp;MATCH(F453,FRG!AC:AC,0))</f>
        <v/>
      </c>
      <c r="M453" s="243" t="str">
        <f>IFERROR(__xludf.DUMMYFUNCTION("IF(ISBLANK(F453),,SUBSTITUTE(IFERROR(JOIN("","",F453:K453),JOIN("","",F453:J453)),CHAR(10),""""))"),"")</f>
        <v/>
      </c>
      <c r="N453" s="229" t="str">
        <f t="shared" si="1"/>
        <v/>
      </c>
    </row>
    <row r="454">
      <c r="F454" s="237"/>
      <c r="G454" s="238" t="str">
        <f t="shared" si="3"/>
        <v/>
      </c>
      <c r="H454" s="238" t="str">
        <f t="shared" si="4"/>
        <v/>
      </c>
      <c r="I454" s="237" t="str">
        <f t="shared" ref="I454:J454" si="446">IF(ISBLANK(C454),,""""&amp;C454&amp;"""")</f>
        <v/>
      </c>
      <c r="J454" s="237" t="str">
        <f t="shared" si="446"/>
        <v/>
      </c>
      <c r="K454" s="237" t="str">
        <f>IF(ISBLANK(F454),,Config!$C$3&amp;"&amp;range=BB"&amp;MATCH(F454,FRG!AC:AC,0))</f>
        <v/>
      </c>
      <c r="M454" s="243" t="str">
        <f>IFERROR(__xludf.DUMMYFUNCTION("IF(ISBLANK(F454),,SUBSTITUTE(IFERROR(JOIN("","",F454:K454),JOIN("","",F454:J454)),CHAR(10),""""))"),"")</f>
        <v/>
      </c>
      <c r="N454" s="229" t="str">
        <f t="shared" si="1"/>
        <v/>
      </c>
    </row>
    <row r="455">
      <c r="F455" s="237"/>
      <c r="G455" s="238" t="str">
        <f t="shared" si="3"/>
        <v/>
      </c>
      <c r="H455" s="238" t="str">
        <f t="shared" si="4"/>
        <v/>
      </c>
      <c r="I455" s="237" t="str">
        <f t="shared" ref="I455:J455" si="447">IF(ISBLANK(C455),,""""&amp;C455&amp;"""")</f>
        <v/>
      </c>
      <c r="J455" s="237" t="str">
        <f t="shared" si="447"/>
        <v/>
      </c>
      <c r="K455" s="237" t="str">
        <f>IF(ISBLANK(F455),,Config!$C$3&amp;"&amp;range=BB"&amp;MATCH(F455,FRG!AC:AC,0))</f>
        <v/>
      </c>
      <c r="M455" s="243" t="str">
        <f>IFERROR(__xludf.DUMMYFUNCTION("IF(ISBLANK(F455),,SUBSTITUTE(IFERROR(JOIN("","",F455:K455),JOIN("","",F455:J455)),CHAR(10),""""))"),"")</f>
        <v/>
      </c>
      <c r="N455" s="229" t="str">
        <f t="shared" si="1"/>
        <v/>
      </c>
    </row>
    <row r="456">
      <c r="F456" s="237"/>
      <c r="G456" s="238" t="str">
        <f t="shared" si="3"/>
        <v/>
      </c>
      <c r="H456" s="238" t="str">
        <f t="shared" si="4"/>
        <v/>
      </c>
      <c r="I456" s="237" t="str">
        <f t="shared" ref="I456:J456" si="448">IF(ISBLANK(C456),,""""&amp;C456&amp;"""")</f>
        <v/>
      </c>
      <c r="J456" s="237" t="str">
        <f t="shared" si="448"/>
        <v/>
      </c>
      <c r="K456" s="237" t="str">
        <f>IF(ISBLANK(F456),,Config!$C$3&amp;"&amp;range=BB"&amp;MATCH(F456,FRG!AC:AC,0))</f>
        <v/>
      </c>
      <c r="M456" s="243" t="str">
        <f>IFERROR(__xludf.DUMMYFUNCTION("IF(ISBLANK(F456),,SUBSTITUTE(IFERROR(JOIN("","",F456:K456),JOIN("","",F456:J456)),CHAR(10),""""))"),"")</f>
        <v/>
      </c>
      <c r="N456" s="229" t="str">
        <f t="shared" si="1"/>
        <v/>
      </c>
    </row>
    <row r="457">
      <c r="F457" s="237"/>
      <c r="G457" s="238" t="str">
        <f t="shared" si="3"/>
        <v/>
      </c>
      <c r="H457" s="238" t="str">
        <f t="shared" si="4"/>
        <v/>
      </c>
      <c r="I457" s="237" t="str">
        <f t="shared" ref="I457:J457" si="449">IF(ISBLANK(C457),,""""&amp;C457&amp;"""")</f>
        <v/>
      </c>
      <c r="J457" s="237" t="str">
        <f t="shared" si="449"/>
        <v/>
      </c>
      <c r="K457" s="237" t="str">
        <f>IF(ISBLANK(F457),,Config!$C$3&amp;"&amp;range=BB"&amp;MATCH(F457,FRG!AC:AC,0))</f>
        <v/>
      </c>
      <c r="M457" s="243" t="str">
        <f>IFERROR(__xludf.DUMMYFUNCTION("IF(ISBLANK(F457),,SUBSTITUTE(IFERROR(JOIN("","",F457:K457),JOIN("","",F457:J457)),CHAR(10),""""))"),"")</f>
        <v/>
      </c>
      <c r="N457" s="229" t="str">
        <f t="shared" si="1"/>
        <v/>
      </c>
    </row>
    <row r="458">
      <c r="F458" s="237"/>
      <c r="G458" s="238" t="str">
        <f t="shared" si="3"/>
        <v/>
      </c>
      <c r="H458" s="238" t="str">
        <f t="shared" si="4"/>
        <v/>
      </c>
      <c r="I458" s="237" t="str">
        <f t="shared" ref="I458:J458" si="450">IF(ISBLANK(C458),,""""&amp;C458&amp;"""")</f>
        <v/>
      </c>
      <c r="J458" s="237" t="str">
        <f t="shared" si="450"/>
        <v/>
      </c>
      <c r="K458" s="237" t="str">
        <f>IF(ISBLANK(F458),,Config!$C$3&amp;"&amp;range=BB"&amp;MATCH(F458,FRG!AC:AC,0))</f>
        <v/>
      </c>
      <c r="M458" s="243" t="str">
        <f>IFERROR(__xludf.DUMMYFUNCTION("IF(ISBLANK(F458),,SUBSTITUTE(IFERROR(JOIN("","",F458:K458),JOIN("","",F458:J458)),CHAR(10),""""))"),"")</f>
        <v/>
      </c>
      <c r="N458" s="229" t="str">
        <f t="shared" si="1"/>
        <v/>
      </c>
    </row>
    <row r="459">
      <c r="F459" s="237"/>
      <c r="G459" s="238" t="str">
        <f t="shared" si="3"/>
        <v/>
      </c>
      <c r="H459" s="238" t="str">
        <f t="shared" si="4"/>
        <v/>
      </c>
      <c r="I459" s="237" t="str">
        <f t="shared" ref="I459:J459" si="451">IF(ISBLANK(C459),,""""&amp;C459&amp;"""")</f>
        <v/>
      </c>
      <c r="J459" s="237" t="str">
        <f t="shared" si="451"/>
        <v/>
      </c>
      <c r="K459" s="237" t="str">
        <f>IF(ISBLANK(F459),,Config!$C$3&amp;"&amp;range=BB"&amp;MATCH(F459,FRG!AC:AC,0))</f>
        <v/>
      </c>
      <c r="M459" s="243" t="str">
        <f>IFERROR(__xludf.DUMMYFUNCTION("IF(ISBLANK(F459),,SUBSTITUTE(IFERROR(JOIN("","",F459:K459),JOIN("","",F459:J459)),CHAR(10),""""))"),"")</f>
        <v/>
      </c>
      <c r="N459" s="229" t="str">
        <f t="shared" si="1"/>
        <v/>
      </c>
    </row>
    <row r="460">
      <c r="F460" s="237"/>
      <c r="G460" s="238" t="str">
        <f t="shared" si="3"/>
        <v/>
      </c>
      <c r="H460" s="238" t="str">
        <f t="shared" si="4"/>
        <v/>
      </c>
      <c r="I460" s="237" t="str">
        <f t="shared" ref="I460:J460" si="452">IF(ISBLANK(C460),,""""&amp;C460&amp;"""")</f>
        <v/>
      </c>
      <c r="J460" s="237" t="str">
        <f t="shared" si="452"/>
        <v/>
      </c>
      <c r="K460" s="237" t="str">
        <f>IF(ISBLANK(F460),,Config!$C$3&amp;"&amp;range=BB"&amp;MATCH(F460,FRG!AC:AC,0))</f>
        <v/>
      </c>
      <c r="M460" s="243" t="str">
        <f>IFERROR(__xludf.DUMMYFUNCTION("IF(ISBLANK(F460),,SUBSTITUTE(IFERROR(JOIN("","",F460:K460),JOIN("","",F460:J460)),CHAR(10),""""))"),"")</f>
        <v/>
      </c>
      <c r="N460" s="229" t="str">
        <f t="shared" si="1"/>
        <v/>
      </c>
    </row>
    <row r="461">
      <c r="F461" s="237"/>
      <c r="G461" s="238" t="str">
        <f t="shared" si="3"/>
        <v/>
      </c>
      <c r="H461" s="238" t="str">
        <f t="shared" si="4"/>
        <v/>
      </c>
      <c r="I461" s="237" t="str">
        <f t="shared" ref="I461:J461" si="453">IF(ISBLANK(C461),,""""&amp;C461&amp;"""")</f>
        <v/>
      </c>
      <c r="J461" s="237" t="str">
        <f t="shared" si="453"/>
        <v/>
      </c>
      <c r="K461" s="237" t="str">
        <f>IF(ISBLANK(F461),,Config!$C$3&amp;"&amp;range=BB"&amp;MATCH(F461,FRG!AC:AC,0))</f>
        <v/>
      </c>
      <c r="M461" s="243" t="str">
        <f>IFERROR(__xludf.DUMMYFUNCTION("IF(ISBLANK(F461),,SUBSTITUTE(IFERROR(JOIN("","",F461:K461),JOIN("","",F461:J461)),CHAR(10),""""))"),"")</f>
        <v/>
      </c>
      <c r="N461" s="229" t="str">
        <f t="shared" si="1"/>
        <v/>
      </c>
    </row>
    <row r="462">
      <c r="F462" s="237"/>
      <c r="G462" s="238" t="str">
        <f t="shared" si="3"/>
        <v/>
      </c>
      <c r="H462" s="238" t="str">
        <f t="shared" si="4"/>
        <v/>
      </c>
      <c r="I462" s="237" t="str">
        <f t="shared" ref="I462:J462" si="454">IF(ISBLANK(C462),,""""&amp;C462&amp;"""")</f>
        <v/>
      </c>
      <c r="J462" s="237" t="str">
        <f t="shared" si="454"/>
        <v/>
      </c>
      <c r="K462" s="237" t="str">
        <f>IF(ISBLANK(F462),,Config!$C$3&amp;"&amp;range=BB"&amp;MATCH(F462,FRG!AC:AC,0))</f>
        <v/>
      </c>
      <c r="M462" s="243" t="str">
        <f>IFERROR(__xludf.DUMMYFUNCTION("IF(ISBLANK(F462),,SUBSTITUTE(IFERROR(JOIN("","",F462:K462),JOIN("","",F462:J462)),CHAR(10),""""))"),"")</f>
        <v/>
      </c>
      <c r="N462" s="229" t="str">
        <f t="shared" si="1"/>
        <v/>
      </c>
    </row>
    <row r="463">
      <c r="F463" s="237"/>
      <c r="G463" s="238" t="str">
        <f t="shared" si="3"/>
        <v/>
      </c>
      <c r="H463" s="238" t="str">
        <f t="shared" si="4"/>
        <v/>
      </c>
      <c r="I463" s="237" t="str">
        <f t="shared" ref="I463:J463" si="455">IF(ISBLANK(C463),,""""&amp;C463&amp;"""")</f>
        <v/>
      </c>
      <c r="J463" s="237" t="str">
        <f t="shared" si="455"/>
        <v/>
      </c>
      <c r="K463" s="237" t="str">
        <f>IF(ISBLANK(F463),,Config!$C$3&amp;"&amp;range=BB"&amp;MATCH(F463,FRG!AC:AC,0))</f>
        <v/>
      </c>
      <c r="M463" s="243" t="str">
        <f>IFERROR(__xludf.DUMMYFUNCTION("IF(ISBLANK(F463),,SUBSTITUTE(IFERROR(JOIN("","",F463:K463),JOIN("","",F463:J463)),CHAR(10),""""))"),"")</f>
        <v/>
      </c>
      <c r="N463" s="229" t="str">
        <f t="shared" si="1"/>
        <v/>
      </c>
    </row>
    <row r="464">
      <c r="F464" s="237"/>
      <c r="G464" s="238" t="str">
        <f t="shared" si="3"/>
        <v/>
      </c>
      <c r="H464" s="238" t="str">
        <f t="shared" si="4"/>
        <v/>
      </c>
      <c r="I464" s="237" t="str">
        <f t="shared" ref="I464:J464" si="456">IF(ISBLANK(C464),,""""&amp;C464&amp;"""")</f>
        <v/>
      </c>
      <c r="J464" s="237" t="str">
        <f t="shared" si="456"/>
        <v/>
      </c>
      <c r="K464" s="237" t="str">
        <f>IF(ISBLANK(F464),,Config!$C$3&amp;"&amp;range=BB"&amp;MATCH(F464,FRG!AC:AC,0))</f>
        <v/>
      </c>
      <c r="M464" s="243" t="str">
        <f>IFERROR(__xludf.DUMMYFUNCTION("IF(ISBLANK(F464),,SUBSTITUTE(IFERROR(JOIN("","",F464:K464),JOIN("","",F464:J464)),CHAR(10),""""))"),"")</f>
        <v/>
      </c>
      <c r="N464" s="229" t="str">
        <f t="shared" si="1"/>
        <v/>
      </c>
    </row>
    <row r="465">
      <c r="F465" s="237"/>
      <c r="G465" s="238" t="str">
        <f t="shared" si="3"/>
        <v/>
      </c>
      <c r="H465" s="238" t="str">
        <f t="shared" si="4"/>
        <v/>
      </c>
      <c r="I465" s="237" t="str">
        <f t="shared" ref="I465:J465" si="457">IF(ISBLANK(C465),,""""&amp;C465&amp;"""")</f>
        <v/>
      </c>
      <c r="J465" s="237" t="str">
        <f t="shared" si="457"/>
        <v/>
      </c>
      <c r="K465" s="237" t="str">
        <f>IF(ISBLANK(F465),,Config!$C$3&amp;"&amp;range=BB"&amp;MATCH(F465,FRG!AC:AC,0))</f>
        <v/>
      </c>
      <c r="M465" s="243" t="str">
        <f>IFERROR(__xludf.DUMMYFUNCTION("IF(ISBLANK(F465),,SUBSTITUTE(IFERROR(JOIN("","",F465:K465),JOIN("","",F465:J465)),CHAR(10),""""))"),"")</f>
        <v/>
      </c>
      <c r="N465" s="229" t="str">
        <f t="shared" si="1"/>
        <v/>
      </c>
    </row>
    <row r="466">
      <c r="F466" s="237"/>
      <c r="G466" s="238" t="str">
        <f t="shared" si="3"/>
        <v/>
      </c>
      <c r="H466" s="238" t="str">
        <f t="shared" si="4"/>
        <v/>
      </c>
      <c r="I466" s="237" t="str">
        <f t="shared" ref="I466:J466" si="458">IF(ISBLANK(C466),,""""&amp;C466&amp;"""")</f>
        <v/>
      </c>
      <c r="J466" s="237" t="str">
        <f t="shared" si="458"/>
        <v/>
      </c>
      <c r="K466" s="237" t="str">
        <f>IF(ISBLANK(F466),,Config!$C$3&amp;"&amp;range=BB"&amp;MATCH(F466,FRG!AC:AC,0))</f>
        <v/>
      </c>
      <c r="M466" s="243" t="str">
        <f>IFERROR(__xludf.DUMMYFUNCTION("IF(ISBLANK(F466),,SUBSTITUTE(IFERROR(JOIN("","",F466:K466),JOIN("","",F466:J466)),CHAR(10),""""))"),"")</f>
        <v/>
      </c>
      <c r="N466" s="229" t="str">
        <f t="shared" si="1"/>
        <v/>
      </c>
    </row>
    <row r="467">
      <c r="F467" s="237"/>
      <c r="G467" s="238" t="str">
        <f t="shared" si="3"/>
        <v/>
      </c>
      <c r="H467" s="238" t="str">
        <f t="shared" si="4"/>
        <v/>
      </c>
      <c r="I467" s="237" t="str">
        <f t="shared" ref="I467:J467" si="459">IF(ISBLANK(C467),,""""&amp;C467&amp;"""")</f>
        <v/>
      </c>
      <c r="J467" s="237" t="str">
        <f t="shared" si="459"/>
        <v/>
      </c>
      <c r="K467" s="237" t="str">
        <f>IF(ISBLANK(F467),,Config!$C$3&amp;"&amp;range=BB"&amp;MATCH(F467,FRG!AC:AC,0))</f>
        <v/>
      </c>
      <c r="M467" s="243" t="str">
        <f>IFERROR(__xludf.DUMMYFUNCTION("IF(ISBLANK(F467),,SUBSTITUTE(IFERROR(JOIN("","",F467:K467),JOIN("","",F467:J467)),CHAR(10),""""))"),"")</f>
        <v/>
      </c>
      <c r="N467" s="229" t="str">
        <f t="shared" si="1"/>
        <v/>
      </c>
    </row>
    <row r="468">
      <c r="F468" s="237"/>
      <c r="G468" s="238" t="str">
        <f t="shared" si="3"/>
        <v/>
      </c>
      <c r="H468" s="238" t="str">
        <f t="shared" si="4"/>
        <v/>
      </c>
      <c r="I468" s="237" t="str">
        <f t="shared" ref="I468:J468" si="460">IF(ISBLANK(C468),,""""&amp;C468&amp;"""")</f>
        <v/>
      </c>
      <c r="J468" s="237" t="str">
        <f t="shared" si="460"/>
        <v/>
      </c>
      <c r="K468" s="237" t="str">
        <f>IF(ISBLANK(F468),,Config!$C$3&amp;"&amp;range=BB"&amp;MATCH(F468,FRG!AC:AC,0))</f>
        <v/>
      </c>
      <c r="M468" s="243" t="str">
        <f>IFERROR(__xludf.DUMMYFUNCTION("IF(ISBLANK(F468),,SUBSTITUTE(IFERROR(JOIN("","",F468:K468),JOIN("","",F468:J468)),CHAR(10),""""))"),"")</f>
        <v/>
      </c>
      <c r="N468" s="229" t="str">
        <f t="shared" si="1"/>
        <v/>
      </c>
    </row>
    <row r="469">
      <c r="F469" s="237"/>
      <c r="G469" s="238" t="str">
        <f t="shared" si="3"/>
        <v/>
      </c>
      <c r="H469" s="238" t="str">
        <f t="shared" si="4"/>
        <v/>
      </c>
      <c r="I469" s="237" t="str">
        <f t="shared" ref="I469:J469" si="461">IF(ISBLANK(C469),,""""&amp;C469&amp;"""")</f>
        <v/>
      </c>
      <c r="J469" s="237" t="str">
        <f t="shared" si="461"/>
        <v/>
      </c>
      <c r="K469" s="237" t="str">
        <f>IF(ISBLANK(F469),,Config!$C$3&amp;"&amp;range=BB"&amp;MATCH(F469,FRG!AC:AC,0))</f>
        <v/>
      </c>
      <c r="M469" s="243" t="str">
        <f>IFERROR(__xludf.DUMMYFUNCTION("IF(ISBLANK(F469),,SUBSTITUTE(IFERROR(JOIN("","",F469:K469),JOIN("","",F469:J469)),CHAR(10),""""))"),"")</f>
        <v/>
      </c>
      <c r="N469" s="229" t="str">
        <f t="shared" si="1"/>
        <v/>
      </c>
    </row>
    <row r="470">
      <c r="F470" s="237"/>
      <c r="G470" s="238" t="str">
        <f t="shared" si="3"/>
        <v/>
      </c>
      <c r="H470" s="238" t="str">
        <f t="shared" si="4"/>
        <v/>
      </c>
      <c r="I470" s="237" t="str">
        <f t="shared" ref="I470:J470" si="462">IF(ISBLANK(C470),,""""&amp;C470&amp;"""")</f>
        <v/>
      </c>
      <c r="J470" s="237" t="str">
        <f t="shared" si="462"/>
        <v/>
      </c>
      <c r="K470" s="237" t="str">
        <f>IF(ISBLANK(F470),,Config!$C$3&amp;"&amp;range=BB"&amp;MATCH(F470,FRG!AC:AC,0))</f>
        <v/>
      </c>
      <c r="M470" s="243" t="str">
        <f>IFERROR(__xludf.DUMMYFUNCTION("IF(ISBLANK(F470),,SUBSTITUTE(IFERROR(JOIN("","",F470:K470),JOIN("","",F470:J470)),CHAR(10),""""))"),"")</f>
        <v/>
      </c>
      <c r="N470" s="229" t="str">
        <f t="shared" si="1"/>
        <v/>
      </c>
    </row>
    <row r="471">
      <c r="F471" s="237"/>
      <c r="G471" s="238" t="str">
        <f t="shared" si="3"/>
        <v/>
      </c>
      <c r="H471" s="238" t="str">
        <f t="shared" si="4"/>
        <v/>
      </c>
      <c r="I471" s="237" t="str">
        <f t="shared" ref="I471:J471" si="463">IF(ISBLANK(C471),,""""&amp;C471&amp;"""")</f>
        <v/>
      </c>
      <c r="J471" s="237" t="str">
        <f t="shared" si="463"/>
        <v/>
      </c>
      <c r="K471" s="237" t="str">
        <f>IF(ISBLANK(F471),,Config!$C$3&amp;"&amp;range=BB"&amp;MATCH(F471,FRG!AC:AC,0))</f>
        <v/>
      </c>
      <c r="M471" s="243" t="str">
        <f>IFERROR(__xludf.DUMMYFUNCTION("IF(ISBLANK(F471),,SUBSTITUTE(IFERROR(JOIN("","",F471:K471),JOIN("","",F471:J471)),CHAR(10),""""))"),"")</f>
        <v/>
      </c>
      <c r="N471" s="229" t="str">
        <f t="shared" si="1"/>
        <v/>
      </c>
    </row>
    <row r="472">
      <c r="F472" s="237"/>
      <c r="G472" s="238" t="str">
        <f t="shared" si="3"/>
        <v/>
      </c>
      <c r="H472" s="238" t="str">
        <f t="shared" si="4"/>
        <v/>
      </c>
      <c r="I472" s="237" t="str">
        <f t="shared" ref="I472:J472" si="464">IF(ISBLANK(C472),,""""&amp;C472&amp;"""")</f>
        <v/>
      </c>
      <c r="J472" s="237" t="str">
        <f t="shared" si="464"/>
        <v/>
      </c>
      <c r="K472" s="237" t="str">
        <f>IF(ISBLANK(F472),,Config!$C$3&amp;"&amp;range=BB"&amp;MATCH(F472,FRG!AC:AC,0))</f>
        <v/>
      </c>
      <c r="M472" s="243" t="str">
        <f>IFERROR(__xludf.DUMMYFUNCTION("IF(ISBLANK(F472),,SUBSTITUTE(IFERROR(JOIN("","",F472:K472),JOIN("","",F472:J472)),CHAR(10),""""))"),"")</f>
        <v/>
      </c>
      <c r="N472" s="229" t="str">
        <f t="shared" si="1"/>
        <v/>
      </c>
    </row>
    <row r="473">
      <c r="F473" s="237"/>
      <c r="G473" s="238" t="str">
        <f t="shared" si="3"/>
        <v/>
      </c>
      <c r="H473" s="238" t="str">
        <f t="shared" si="4"/>
        <v/>
      </c>
      <c r="I473" s="237" t="str">
        <f t="shared" ref="I473:J473" si="465">IF(ISBLANK(C473),,""""&amp;C473&amp;"""")</f>
        <v/>
      </c>
      <c r="J473" s="237" t="str">
        <f t="shared" si="465"/>
        <v/>
      </c>
      <c r="K473" s="237" t="str">
        <f>IF(ISBLANK(F473),,Config!$C$3&amp;"&amp;range=BB"&amp;MATCH(F473,FRG!AC:AC,0))</f>
        <v/>
      </c>
      <c r="M473" s="243" t="str">
        <f>IFERROR(__xludf.DUMMYFUNCTION("IF(ISBLANK(F473),,SUBSTITUTE(IFERROR(JOIN("","",F473:K473),JOIN("","",F473:J473)),CHAR(10),""""))"),"")</f>
        <v/>
      </c>
      <c r="N473" s="229" t="str">
        <f t="shared" si="1"/>
        <v/>
      </c>
    </row>
    <row r="474">
      <c r="F474" s="237"/>
      <c r="G474" s="238" t="str">
        <f t="shared" si="3"/>
        <v/>
      </c>
      <c r="H474" s="238" t="str">
        <f t="shared" si="4"/>
        <v/>
      </c>
      <c r="I474" s="237" t="str">
        <f t="shared" ref="I474:J474" si="466">IF(ISBLANK(C474),,""""&amp;C474&amp;"""")</f>
        <v/>
      </c>
      <c r="J474" s="237" t="str">
        <f t="shared" si="466"/>
        <v/>
      </c>
      <c r="K474" s="237" t="str">
        <f>IF(ISBLANK(F474),,Config!$C$3&amp;"&amp;range=BB"&amp;MATCH(F474,FRG!AC:AC,0))</f>
        <v/>
      </c>
      <c r="M474" s="243" t="str">
        <f>IFERROR(__xludf.DUMMYFUNCTION("IF(ISBLANK(F474),,SUBSTITUTE(IFERROR(JOIN("","",F474:K474),JOIN("","",F474:J474)),CHAR(10),""""))"),"")</f>
        <v/>
      </c>
      <c r="N474" s="229" t="str">
        <f t="shared" si="1"/>
        <v/>
      </c>
    </row>
    <row r="475">
      <c r="F475" s="237"/>
      <c r="G475" s="238" t="str">
        <f t="shared" si="3"/>
        <v/>
      </c>
      <c r="H475" s="238" t="str">
        <f t="shared" si="4"/>
        <v/>
      </c>
      <c r="I475" s="237" t="str">
        <f t="shared" ref="I475:J475" si="467">IF(ISBLANK(C475),,""""&amp;C475&amp;"""")</f>
        <v/>
      </c>
      <c r="J475" s="237" t="str">
        <f t="shared" si="467"/>
        <v/>
      </c>
      <c r="K475" s="237" t="str">
        <f>IF(ISBLANK(F475),,Config!$C$3&amp;"&amp;range=BB"&amp;MATCH(F475,FRG!AC:AC,0))</f>
        <v/>
      </c>
      <c r="M475" s="243" t="str">
        <f>IFERROR(__xludf.DUMMYFUNCTION("IF(ISBLANK(F475),,SUBSTITUTE(IFERROR(JOIN("","",F475:K475),JOIN("","",F475:J475)),CHAR(10),""""))"),"")</f>
        <v/>
      </c>
      <c r="N475" s="229" t="str">
        <f t="shared" si="1"/>
        <v/>
      </c>
    </row>
    <row r="476">
      <c r="F476" s="237"/>
      <c r="G476" s="238" t="str">
        <f t="shared" si="3"/>
        <v/>
      </c>
      <c r="H476" s="238" t="str">
        <f t="shared" si="4"/>
        <v/>
      </c>
      <c r="I476" s="237" t="str">
        <f t="shared" ref="I476:J476" si="468">IF(ISBLANK(C476),,""""&amp;C476&amp;"""")</f>
        <v/>
      </c>
      <c r="J476" s="237" t="str">
        <f t="shared" si="468"/>
        <v/>
      </c>
      <c r="K476" s="237" t="str">
        <f>IF(ISBLANK(F476),,Config!$C$3&amp;"&amp;range=BB"&amp;MATCH(F476,FRG!AC:AC,0))</f>
        <v/>
      </c>
      <c r="M476" s="243" t="str">
        <f>IFERROR(__xludf.DUMMYFUNCTION("IF(ISBLANK(F476),,SUBSTITUTE(IFERROR(JOIN("","",F476:K476),JOIN("","",F476:J476)),CHAR(10),""""))"),"")</f>
        <v/>
      </c>
      <c r="N476" s="229" t="str">
        <f t="shared" si="1"/>
        <v/>
      </c>
    </row>
    <row r="477">
      <c r="F477" s="237"/>
      <c r="G477" s="238" t="str">
        <f t="shared" si="3"/>
        <v/>
      </c>
      <c r="H477" s="238" t="str">
        <f t="shared" si="4"/>
        <v/>
      </c>
      <c r="I477" s="237" t="str">
        <f t="shared" ref="I477:J477" si="469">IF(ISBLANK(C477),,""""&amp;C477&amp;"""")</f>
        <v/>
      </c>
      <c r="J477" s="237" t="str">
        <f t="shared" si="469"/>
        <v/>
      </c>
      <c r="K477" s="237" t="str">
        <f>IF(ISBLANK(F477),,Config!$C$3&amp;"&amp;range=BB"&amp;MATCH(F477,FRG!AC:AC,0))</f>
        <v/>
      </c>
      <c r="M477" s="243" t="str">
        <f>IFERROR(__xludf.DUMMYFUNCTION("IF(ISBLANK(F477),,SUBSTITUTE(IFERROR(JOIN("","",F477:K477),JOIN("","",F477:J477)),CHAR(10),""""))"),"")</f>
        <v/>
      </c>
      <c r="N477" s="229" t="str">
        <f t="shared" si="1"/>
        <v/>
      </c>
    </row>
    <row r="478">
      <c r="F478" s="237"/>
      <c r="G478" s="238" t="str">
        <f t="shared" si="3"/>
        <v/>
      </c>
      <c r="H478" s="238" t="str">
        <f t="shared" si="4"/>
        <v/>
      </c>
      <c r="I478" s="237" t="str">
        <f t="shared" ref="I478:J478" si="470">IF(ISBLANK(C478),,""""&amp;C478&amp;"""")</f>
        <v/>
      </c>
      <c r="J478" s="237" t="str">
        <f t="shared" si="470"/>
        <v/>
      </c>
      <c r="K478" s="237" t="str">
        <f>IF(ISBLANK(F478),,Config!$C$3&amp;"&amp;range=BB"&amp;MATCH(F478,FRG!AC:AC,0))</f>
        <v/>
      </c>
      <c r="M478" s="243" t="str">
        <f>IFERROR(__xludf.DUMMYFUNCTION("IF(ISBLANK(F478),,SUBSTITUTE(IFERROR(JOIN("","",F478:K478),JOIN("","",F478:J478)),CHAR(10),""""))"),"")</f>
        <v/>
      </c>
      <c r="N478" s="229" t="str">
        <f t="shared" si="1"/>
        <v/>
      </c>
    </row>
    <row r="479">
      <c r="F479" s="237"/>
      <c r="G479" s="238" t="str">
        <f t="shared" si="3"/>
        <v/>
      </c>
      <c r="H479" s="238" t="str">
        <f t="shared" si="4"/>
        <v/>
      </c>
      <c r="I479" s="237" t="str">
        <f t="shared" ref="I479:J479" si="471">IF(ISBLANK(C479),,""""&amp;C479&amp;"""")</f>
        <v/>
      </c>
      <c r="J479" s="237" t="str">
        <f t="shared" si="471"/>
        <v/>
      </c>
      <c r="K479" s="237" t="str">
        <f>IF(ISBLANK(F479),,Config!$C$3&amp;"&amp;range=BB"&amp;MATCH(F479,FRG!AC:AC,0))</f>
        <v/>
      </c>
      <c r="M479" s="243" t="str">
        <f>IFERROR(__xludf.DUMMYFUNCTION("IF(ISBLANK(F479),,SUBSTITUTE(IFERROR(JOIN("","",F479:K479),JOIN("","",F479:J479)),CHAR(10),""""))"),"")</f>
        <v/>
      </c>
      <c r="N479" s="229" t="str">
        <f t="shared" si="1"/>
        <v/>
      </c>
    </row>
    <row r="480">
      <c r="F480" s="237"/>
      <c r="G480" s="238" t="str">
        <f t="shared" si="3"/>
        <v/>
      </c>
      <c r="H480" s="238" t="str">
        <f t="shared" si="4"/>
        <v/>
      </c>
      <c r="I480" s="237" t="str">
        <f t="shared" ref="I480:J480" si="472">IF(ISBLANK(C480),,""""&amp;C480&amp;"""")</f>
        <v/>
      </c>
      <c r="J480" s="237" t="str">
        <f t="shared" si="472"/>
        <v/>
      </c>
      <c r="K480" s="237" t="str">
        <f>IF(ISBLANK(F480),,Config!$C$3&amp;"&amp;range=BB"&amp;MATCH(F480,FRG!AC:AC,0))</f>
        <v/>
      </c>
      <c r="M480" s="243" t="str">
        <f>IFERROR(__xludf.DUMMYFUNCTION("IF(ISBLANK(F480),,SUBSTITUTE(IFERROR(JOIN("","",F480:K480),JOIN("","",F480:J480)),CHAR(10),""""))"),"")</f>
        <v/>
      </c>
      <c r="N480" s="229" t="str">
        <f t="shared" si="1"/>
        <v/>
      </c>
    </row>
    <row r="481">
      <c r="F481" s="237"/>
      <c r="G481" s="238" t="str">
        <f t="shared" si="3"/>
        <v/>
      </c>
      <c r="H481" s="238" t="str">
        <f t="shared" si="4"/>
        <v/>
      </c>
      <c r="I481" s="237" t="str">
        <f t="shared" ref="I481:J481" si="473">IF(ISBLANK(C481),,""""&amp;C481&amp;"""")</f>
        <v/>
      </c>
      <c r="J481" s="237" t="str">
        <f t="shared" si="473"/>
        <v/>
      </c>
      <c r="K481" s="237" t="str">
        <f>IF(ISBLANK(F481),,Config!$C$3&amp;"&amp;range=BB"&amp;MATCH(F481,FRG!AC:AC,0))</f>
        <v/>
      </c>
      <c r="M481" s="243" t="str">
        <f>IFERROR(__xludf.DUMMYFUNCTION("IF(ISBLANK(F481),,SUBSTITUTE(IFERROR(JOIN("","",F481:K481),JOIN("","",F481:J481)),CHAR(10),""""))"),"")</f>
        <v/>
      </c>
      <c r="N481" s="229" t="str">
        <f t="shared" si="1"/>
        <v/>
      </c>
    </row>
    <row r="482">
      <c r="F482" s="237"/>
      <c r="G482" s="238" t="str">
        <f t="shared" si="3"/>
        <v/>
      </c>
      <c r="H482" s="238" t="str">
        <f t="shared" si="4"/>
        <v/>
      </c>
      <c r="I482" s="237" t="str">
        <f t="shared" ref="I482:J482" si="474">IF(ISBLANK(C482),,""""&amp;C482&amp;"""")</f>
        <v/>
      </c>
      <c r="J482" s="237" t="str">
        <f t="shared" si="474"/>
        <v/>
      </c>
      <c r="K482" s="237" t="str">
        <f>IF(ISBLANK(F482),,Config!$C$3&amp;"&amp;range=BB"&amp;MATCH(F482,FRG!AC:AC,0))</f>
        <v/>
      </c>
      <c r="M482" s="243" t="str">
        <f>IFERROR(__xludf.DUMMYFUNCTION("IF(ISBLANK(F482),,SUBSTITUTE(IFERROR(JOIN("","",F482:K482),JOIN("","",F482:J482)),CHAR(10),""""))"),"")</f>
        <v/>
      </c>
      <c r="N482" s="229" t="str">
        <f t="shared" si="1"/>
        <v/>
      </c>
    </row>
    <row r="483">
      <c r="F483" s="237"/>
      <c r="G483" s="238" t="str">
        <f t="shared" si="3"/>
        <v/>
      </c>
      <c r="H483" s="238" t="str">
        <f t="shared" si="4"/>
        <v/>
      </c>
      <c r="I483" s="237" t="str">
        <f t="shared" ref="I483:J483" si="475">IF(ISBLANK(C483),,""""&amp;C483&amp;"""")</f>
        <v/>
      </c>
      <c r="J483" s="237" t="str">
        <f t="shared" si="475"/>
        <v/>
      </c>
      <c r="K483" s="237" t="str">
        <f>IF(ISBLANK(F483),,Config!$C$3&amp;"&amp;range=BB"&amp;MATCH(F483,FRG!AC:AC,0))</f>
        <v/>
      </c>
      <c r="M483" s="243" t="str">
        <f>IFERROR(__xludf.DUMMYFUNCTION("IF(ISBLANK(F483),,SUBSTITUTE(IFERROR(JOIN("","",F483:K483),JOIN("","",F483:J483)),CHAR(10),""""))"),"")</f>
        <v/>
      </c>
      <c r="N483" s="229" t="str">
        <f t="shared" si="1"/>
        <v/>
      </c>
    </row>
    <row r="484">
      <c r="F484" s="237"/>
      <c r="G484" s="238" t="str">
        <f t="shared" si="3"/>
        <v/>
      </c>
      <c r="H484" s="238" t="str">
        <f t="shared" si="4"/>
        <v/>
      </c>
      <c r="I484" s="237" t="str">
        <f t="shared" ref="I484:J484" si="476">IF(ISBLANK(C484),,""""&amp;C484&amp;"""")</f>
        <v/>
      </c>
      <c r="J484" s="237" t="str">
        <f t="shared" si="476"/>
        <v/>
      </c>
      <c r="K484" s="237" t="str">
        <f>IF(ISBLANK(F484),,Config!$C$3&amp;"&amp;range=BB"&amp;MATCH(F484,FRG!AC:AC,0))</f>
        <v/>
      </c>
      <c r="M484" s="243" t="str">
        <f>IFERROR(__xludf.DUMMYFUNCTION("IF(ISBLANK(F484),,SUBSTITUTE(IFERROR(JOIN("","",F484:K484),JOIN("","",F484:J484)),CHAR(10),""""))"),"")</f>
        <v/>
      </c>
      <c r="N484" s="229" t="str">
        <f t="shared" si="1"/>
        <v/>
      </c>
    </row>
    <row r="485">
      <c r="F485" s="237"/>
      <c r="G485" s="238" t="str">
        <f t="shared" si="3"/>
        <v/>
      </c>
      <c r="H485" s="238" t="str">
        <f t="shared" si="4"/>
        <v/>
      </c>
      <c r="I485" s="237" t="str">
        <f t="shared" ref="I485:J485" si="477">IF(ISBLANK(C485),,""""&amp;C485&amp;"""")</f>
        <v/>
      </c>
      <c r="J485" s="237" t="str">
        <f t="shared" si="477"/>
        <v/>
      </c>
      <c r="K485" s="237" t="str">
        <f>IF(ISBLANK(F485),,Config!$C$3&amp;"&amp;range=BB"&amp;MATCH(F485,FRG!AC:AC,0))</f>
        <v/>
      </c>
      <c r="M485" s="243" t="str">
        <f>IFERROR(__xludf.DUMMYFUNCTION("IF(ISBLANK(F485),,SUBSTITUTE(IFERROR(JOIN("","",F485:K485),JOIN("","",F485:J485)),CHAR(10),""""))"),"")</f>
        <v/>
      </c>
      <c r="N485" s="229" t="str">
        <f t="shared" si="1"/>
        <v/>
      </c>
    </row>
    <row r="486">
      <c r="F486" s="237"/>
      <c r="G486" s="238" t="str">
        <f t="shared" si="3"/>
        <v/>
      </c>
      <c r="H486" s="238" t="str">
        <f t="shared" si="4"/>
        <v/>
      </c>
      <c r="I486" s="237" t="str">
        <f t="shared" ref="I486:J486" si="478">IF(ISBLANK(C486),,""""&amp;C486&amp;"""")</f>
        <v/>
      </c>
      <c r="J486" s="237" t="str">
        <f t="shared" si="478"/>
        <v/>
      </c>
      <c r="K486" s="237" t="str">
        <f>IF(ISBLANK(F486),,Config!$C$3&amp;"&amp;range=BB"&amp;MATCH(F486,FRG!AC:AC,0))</f>
        <v/>
      </c>
      <c r="M486" s="243" t="str">
        <f>IFERROR(__xludf.DUMMYFUNCTION("IF(ISBLANK(F486),,SUBSTITUTE(IFERROR(JOIN("","",F486:K486),JOIN("","",F486:J486)),CHAR(10),""""))"),"")</f>
        <v/>
      </c>
      <c r="N486" s="229" t="str">
        <f t="shared" si="1"/>
        <v/>
      </c>
    </row>
    <row r="487">
      <c r="F487" s="237"/>
      <c r="G487" s="238" t="str">
        <f t="shared" si="3"/>
        <v/>
      </c>
      <c r="H487" s="238" t="str">
        <f t="shared" si="4"/>
        <v/>
      </c>
      <c r="I487" s="237" t="str">
        <f t="shared" ref="I487:J487" si="479">IF(ISBLANK(C487),,""""&amp;C487&amp;"""")</f>
        <v/>
      </c>
      <c r="J487" s="237" t="str">
        <f t="shared" si="479"/>
        <v/>
      </c>
      <c r="K487" s="237" t="str">
        <f>IF(ISBLANK(F487),,Config!$C$3&amp;"&amp;range=BB"&amp;MATCH(F487,FRG!AC:AC,0))</f>
        <v/>
      </c>
      <c r="M487" s="243" t="str">
        <f>IFERROR(__xludf.DUMMYFUNCTION("IF(ISBLANK(F487),,SUBSTITUTE(IFERROR(JOIN("","",F487:K487),JOIN("","",F487:J487)),CHAR(10),""""))"),"")</f>
        <v/>
      </c>
      <c r="N487" s="229" t="str">
        <f t="shared" si="1"/>
        <v/>
      </c>
    </row>
    <row r="488">
      <c r="F488" s="237"/>
      <c r="G488" s="238" t="str">
        <f t="shared" si="3"/>
        <v/>
      </c>
      <c r="H488" s="238" t="str">
        <f t="shared" si="4"/>
        <v/>
      </c>
      <c r="I488" s="237" t="str">
        <f t="shared" ref="I488:J488" si="480">IF(ISBLANK(C488),,""""&amp;C488&amp;"""")</f>
        <v/>
      </c>
      <c r="J488" s="237" t="str">
        <f t="shared" si="480"/>
        <v/>
      </c>
      <c r="K488" s="237" t="str">
        <f>IF(ISBLANK(F488),,Config!$C$3&amp;"&amp;range=BB"&amp;MATCH(F488,FRG!AC:AC,0))</f>
        <v/>
      </c>
      <c r="M488" s="243" t="str">
        <f>IFERROR(__xludf.DUMMYFUNCTION("IF(ISBLANK(F488),,SUBSTITUTE(IFERROR(JOIN("","",F488:K488),JOIN("","",F488:J488)),CHAR(10),""""))"),"")</f>
        <v/>
      </c>
      <c r="N488" s="229" t="str">
        <f t="shared" si="1"/>
        <v/>
      </c>
    </row>
    <row r="489">
      <c r="F489" s="237"/>
      <c r="G489" s="238" t="str">
        <f t="shared" si="3"/>
        <v/>
      </c>
      <c r="H489" s="238" t="str">
        <f t="shared" si="4"/>
        <v/>
      </c>
      <c r="I489" s="237" t="str">
        <f t="shared" ref="I489:J489" si="481">IF(ISBLANK(C489),,""""&amp;C489&amp;"""")</f>
        <v/>
      </c>
      <c r="J489" s="237" t="str">
        <f t="shared" si="481"/>
        <v/>
      </c>
      <c r="K489" s="237" t="str">
        <f>IF(ISBLANK(F489),,Config!$C$3&amp;"&amp;range=BB"&amp;MATCH(F489,FRG!AC:AC,0))</f>
        <v/>
      </c>
      <c r="M489" s="243" t="str">
        <f>IFERROR(__xludf.DUMMYFUNCTION("IF(ISBLANK(F489),,SUBSTITUTE(IFERROR(JOIN("","",F489:K489),JOIN("","",F489:J489)),CHAR(10),""""))"),"")</f>
        <v/>
      </c>
      <c r="N489" s="229" t="str">
        <f t="shared" si="1"/>
        <v/>
      </c>
    </row>
    <row r="490">
      <c r="F490" s="237"/>
      <c r="G490" s="238" t="str">
        <f t="shared" si="3"/>
        <v/>
      </c>
      <c r="H490" s="238" t="str">
        <f t="shared" si="4"/>
        <v/>
      </c>
      <c r="I490" s="237" t="str">
        <f t="shared" ref="I490:J490" si="482">IF(ISBLANK(C490),,""""&amp;C490&amp;"""")</f>
        <v/>
      </c>
      <c r="J490" s="237" t="str">
        <f t="shared" si="482"/>
        <v/>
      </c>
      <c r="K490" s="237" t="str">
        <f>IF(ISBLANK(F490),,Config!$C$3&amp;"&amp;range=BB"&amp;MATCH(F490,FRG!AC:AC,0))</f>
        <v/>
      </c>
      <c r="M490" s="243" t="str">
        <f>IFERROR(__xludf.DUMMYFUNCTION("IF(ISBLANK(F490),,SUBSTITUTE(IFERROR(JOIN("","",F490:K490),JOIN("","",F490:J490)),CHAR(10),""""))"),"")</f>
        <v/>
      </c>
      <c r="N490" s="229" t="str">
        <f t="shared" si="1"/>
        <v/>
      </c>
    </row>
    <row r="491">
      <c r="F491" s="237"/>
      <c r="G491" s="238" t="str">
        <f t="shared" si="3"/>
        <v/>
      </c>
      <c r="H491" s="238" t="str">
        <f t="shared" si="4"/>
        <v/>
      </c>
      <c r="I491" s="237" t="str">
        <f t="shared" ref="I491:J491" si="483">IF(ISBLANK(C491),,""""&amp;C491&amp;"""")</f>
        <v/>
      </c>
      <c r="J491" s="237" t="str">
        <f t="shared" si="483"/>
        <v/>
      </c>
      <c r="K491" s="237" t="str">
        <f>IF(ISBLANK(F491),,Config!$C$3&amp;"&amp;range=BB"&amp;MATCH(F491,FRG!AC:AC,0))</f>
        <v/>
      </c>
      <c r="M491" s="243" t="str">
        <f>IFERROR(__xludf.DUMMYFUNCTION("IF(ISBLANK(F491),,SUBSTITUTE(IFERROR(JOIN("","",F491:K491),JOIN("","",F491:J491)),CHAR(10),""""))"),"")</f>
        <v/>
      </c>
      <c r="N491" s="229" t="str">
        <f t="shared" si="1"/>
        <v/>
      </c>
    </row>
    <row r="492">
      <c r="F492" s="237"/>
      <c r="G492" s="238" t="str">
        <f t="shared" si="3"/>
        <v/>
      </c>
      <c r="H492" s="238" t="str">
        <f t="shared" si="4"/>
        <v/>
      </c>
      <c r="I492" s="237" t="str">
        <f t="shared" ref="I492:J492" si="484">IF(ISBLANK(C492),,""""&amp;C492&amp;"""")</f>
        <v/>
      </c>
      <c r="J492" s="237" t="str">
        <f t="shared" si="484"/>
        <v/>
      </c>
      <c r="K492" s="237" t="str">
        <f>IF(ISBLANK(F492),,Config!$C$3&amp;"&amp;range=BB"&amp;MATCH(F492,FRG!AC:AC,0))</f>
        <v/>
      </c>
      <c r="M492" s="243" t="str">
        <f>IFERROR(__xludf.DUMMYFUNCTION("IF(ISBLANK(F492),,SUBSTITUTE(IFERROR(JOIN("","",F492:K492),JOIN("","",F492:J492)),CHAR(10),""""))"),"")</f>
        <v/>
      </c>
      <c r="N492" s="229" t="str">
        <f t="shared" si="1"/>
        <v/>
      </c>
    </row>
    <row r="493">
      <c r="F493" s="237"/>
      <c r="G493" s="238" t="str">
        <f t="shared" si="3"/>
        <v/>
      </c>
      <c r="H493" s="238" t="str">
        <f t="shared" si="4"/>
        <v/>
      </c>
      <c r="I493" s="237" t="str">
        <f t="shared" ref="I493:J493" si="485">IF(ISBLANK(C493),,""""&amp;C493&amp;"""")</f>
        <v/>
      </c>
      <c r="J493" s="237" t="str">
        <f t="shared" si="485"/>
        <v/>
      </c>
      <c r="K493" s="237" t="str">
        <f>IF(ISBLANK(F493),,Config!$C$3&amp;"&amp;range=BB"&amp;MATCH(F493,FRG!AC:AC,0))</f>
        <v/>
      </c>
      <c r="M493" s="243" t="str">
        <f>IFERROR(__xludf.DUMMYFUNCTION("IF(ISBLANK(F493),,SUBSTITUTE(IFERROR(JOIN("","",F493:K493),JOIN("","",F493:J493)),CHAR(10),""""))"),"")</f>
        <v/>
      </c>
      <c r="N493" s="229" t="str">
        <f t="shared" si="1"/>
        <v/>
      </c>
    </row>
    <row r="494">
      <c r="F494" s="237"/>
      <c r="G494" s="238" t="str">
        <f t="shared" si="3"/>
        <v/>
      </c>
      <c r="H494" s="238" t="str">
        <f t="shared" si="4"/>
        <v/>
      </c>
      <c r="I494" s="237" t="str">
        <f t="shared" ref="I494:J494" si="486">IF(ISBLANK(C494),,""""&amp;C494&amp;"""")</f>
        <v/>
      </c>
      <c r="J494" s="237" t="str">
        <f t="shared" si="486"/>
        <v/>
      </c>
      <c r="K494" s="237" t="str">
        <f>IF(ISBLANK(F494),,Config!$C$3&amp;"&amp;range=BB"&amp;MATCH(F494,FRG!AC:AC,0))</f>
        <v/>
      </c>
      <c r="M494" s="243" t="str">
        <f>IFERROR(__xludf.DUMMYFUNCTION("IF(ISBLANK(F494),,SUBSTITUTE(IFERROR(JOIN("","",F494:K494),JOIN("","",F494:J494)),CHAR(10),""""))"),"")</f>
        <v/>
      </c>
      <c r="N494" s="229" t="str">
        <f t="shared" si="1"/>
        <v/>
      </c>
    </row>
    <row r="495">
      <c r="F495" s="237"/>
      <c r="G495" s="238" t="str">
        <f t="shared" si="3"/>
        <v/>
      </c>
      <c r="H495" s="238" t="str">
        <f t="shared" si="4"/>
        <v/>
      </c>
      <c r="I495" s="237" t="str">
        <f t="shared" ref="I495:J495" si="487">IF(ISBLANK(C495),,""""&amp;C495&amp;"""")</f>
        <v/>
      </c>
      <c r="J495" s="237" t="str">
        <f t="shared" si="487"/>
        <v/>
      </c>
      <c r="K495" s="237" t="str">
        <f>IF(ISBLANK(F495),,Config!$C$3&amp;"&amp;range=BB"&amp;MATCH(F495,FRG!AC:AC,0))</f>
        <v/>
      </c>
      <c r="M495" s="243" t="str">
        <f>IFERROR(__xludf.DUMMYFUNCTION("IF(ISBLANK(F495),,SUBSTITUTE(IFERROR(JOIN("","",F495:K495),JOIN("","",F495:J495)),CHAR(10),""""))"),"")</f>
        <v/>
      </c>
      <c r="N495" s="229" t="str">
        <f t="shared" si="1"/>
        <v/>
      </c>
    </row>
    <row r="496">
      <c r="F496" s="237"/>
      <c r="G496" s="238" t="str">
        <f t="shared" si="3"/>
        <v/>
      </c>
      <c r="H496" s="238" t="str">
        <f t="shared" si="4"/>
        <v/>
      </c>
      <c r="I496" s="237" t="str">
        <f t="shared" ref="I496:J496" si="488">IF(ISBLANK(C496),,""""&amp;C496&amp;"""")</f>
        <v/>
      </c>
      <c r="J496" s="237" t="str">
        <f t="shared" si="488"/>
        <v/>
      </c>
      <c r="K496" s="237" t="str">
        <f>IF(ISBLANK(F496),,Config!$C$3&amp;"&amp;range=BB"&amp;MATCH(F496,FRG!AC:AC,0))</f>
        <v/>
      </c>
      <c r="M496" s="243" t="str">
        <f>IFERROR(__xludf.DUMMYFUNCTION("IF(ISBLANK(F496),,SUBSTITUTE(IFERROR(JOIN("","",F496:K496),JOIN("","",F496:J496)),CHAR(10),""""))"),"")</f>
        <v/>
      </c>
      <c r="N496" s="229" t="str">
        <f t="shared" si="1"/>
        <v/>
      </c>
    </row>
    <row r="497">
      <c r="F497" s="237"/>
      <c r="G497" s="238" t="str">
        <f t="shared" si="3"/>
        <v/>
      </c>
      <c r="H497" s="238" t="str">
        <f t="shared" si="4"/>
        <v/>
      </c>
      <c r="I497" s="237" t="str">
        <f t="shared" ref="I497:J497" si="489">IF(ISBLANK(C497),,""""&amp;C497&amp;"""")</f>
        <v/>
      </c>
      <c r="J497" s="237" t="str">
        <f t="shared" si="489"/>
        <v/>
      </c>
      <c r="K497" s="237" t="str">
        <f>IF(ISBLANK(F497),,Config!$C$3&amp;"&amp;range=BB"&amp;MATCH(F497,FRG!AC:AC,0))</f>
        <v/>
      </c>
      <c r="M497" s="243" t="str">
        <f>IFERROR(__xludf.DUMMYFUNCTION("IF(ISBLANK(F497),,SUBSTITUTE(IFERROR(JOIN("","",F497:K497),JOIN("","",F497:J497)),CHAR(10),""""))"),"")</f>
        <v/>
      </c>
      <c r="N497" s="229" t="str">
        <f t="shared" si="1"/>
        <v/>
      </c>
    </row>
    <row r="498">
      <c r="F498" s="237"/>
      <c r="G498" s="238" t="str">
        <f t="shared" si="3"/>
        <v/>
      </c>
      <c r="H498" s="238" t="str">
        <f t="shared" si="4"/>
        <v/>
      </c>
      <c r="I498" s="237" t="str">
        <f t="shared" ref="I498:J498" si="490">IF(ISBLANK(C498),,""""&amp;C498&amp;"""")</f>
        <v/>
      </c>
      <c r="J498" s="237" t="str">
        <f t="shared" si="490"/>
        <v/>
      </c>
      <c r="K498" s="237" t="str">
        <f>IF(ISBLANK(F498),,Config!$C$3&amp;"&amp;range=BB"&amp;MATCH(F498,FRG!AC:AC,0))</f>
        <v/>
      </c>
      <c r="M498" s="243" t="str">
        <f>IFERROR(__xludf.DUMMYFUNCTION("IF(ISBLANK(F498),,SUBSTITUTE(IFERROR(JOIN("","",F498:K498),JOIN("","",F498:J498)),CHAR(10),""""))"),"")</f>
        <v/>
      </c>
      <c r="N498" s="229" t="str">
        <f t="shared" si="1"/>
        <v/>
      </c>
    </row>
    <row r="499">
      <c r="F499" s="237"/>
      <c r="G499" s="238" t="str">
        <f t="shared" si="3"/>
        <v/>
      </c>
      <c r="H499" s="238" t="str">
        <f t="shared" si="4"/>
        <v/>
      </c>
      <c r="I499" s="237" t="str">
        <f t="shared" ref="I499:J499" si="491">IF(ISBLANK(C499),,""""&amp;C499&amp;"""")</f>
        <v/>
      </c>
      <c r="J499" s="237" t="str">
        <f t="shared" si="491"/>
        <v/>
      </c>
      <c r="K499" s="237" t="str">
        <f>IF(ISBLANK(F499),,Config!$C$3&amp;"&amp;range=BB"&amp;MATCH(F499,FRG!AC:AC,0))</f>
        <v/>
      </c>
      <c r="M499" s="243" t="str">
        <f>IFERROR(__xludf.DUMMYFUNCTION("IF(ISBLANK(F499),,SUBSTITUTE(IFERROR(JOIN("","",F499:K499),JOIN("","",F499:J499)),CHAR(10),""""))"),"")</f>
        <v/>
      </c>
      <c r="N499" s="229" t="str">
        <f t="shared" si="1"/>
        <v/>
      </c>
    </row>
    <row r="500">
      <c r="F500" s="237"/>
      <c r="G500" s="238" t="str">
        <f t="shared" si="3"/>
        <v/>
      </c>
      <c r="H500" s="238" t="str">
        <f t="shared" si="4"/>
        <v/>
      </c>
      <c r="I500" s="237" t="str">
        <f t="shared" ref="I500:J500" si="492">IF(ISBLANK(C500),,""""&amp;C500&amp;"""")</f>
        <v/>
      </c>
      <c r="J500" s="237" t="str">
        <f t="shared" si="492"/>
        <v/>
      </c>
      <c r="K500" s="237" t="str">
        <f>IF(ISBLANK(F500),,Config!$C$3&amp;"&amp;range=BB"&amp;MATCH(F500,FRG!AC:AC,0))</f>
        <v/>
      </c>
      <c r="M500" s="243" t="str">
        <f>IFERROR(__xludf.DUMMYFUNCTION("IF(ISBLANK(F500),,SUBSTITUTE(IFERROR(JOIN("","",F500:K500),JOIN("","",F500:J500)),CHAR(10),""""))"),"")</f>
        <v/>
      </c>
      <c r="N500" s="229" t="str">
        <f t="shared" si="1"/>
        <v/>
      </c>
    </row>
    <row r="501">
      <c r="F501" s="237"/>
      <c r="G501" s="238" t="str">
        <f t="shared" si="3"/>
        <v/>
      </c>
      <c r="H501" s="238" t="str">
        <f t="shared" si="4"/>
        <v/>
      </c>
      <c r="I501" s="237" t="str">
        <f t="shared" ref="I501:J501" si="493">IF(ISBLANK(C501),,""""&amp;C501&amp;"""")</f>
        <v/>
      </c>
      <c r="J501" s="237" t="str">
        <f t="shared" si="493"/>
        <v/>
      </c>
      <c r="K501" s="237" t="str">
        <f>IF(ISBLANK(F501),,Config!$C$3&amp;"&amp;range=BB"&amp;MATCH(F501,FRG!AC:AC,0))</f>
        <v/>
      </c>
      <c r="M501" s="243" t="str">
        <f>IFERROR(__xludf.DUMMYFUNCTION("IF(ISBLANK(F501),,SUBSTITUTE(IFERROR(JOIN("","",F501:K501),JOIN("","",F501:J501)),CHAR(10),""""))"),"")</f>
        <v/>
      </c>
      <c r="N501" s="229" t="str">
        <f t="shared" si="1"/>
        <v/>
      </c>
    </row>
    <row r="502">
      <c r="F502" s="237"/>
      <c r="G502" s="238" t="str">
        <f t="shared" si="3"/>
        <v/>
      </c>
      <c r="H502" s="238" t="str">
        <f t="shared" si="4"/>
        <v/>
      </c>
      <c r="I502" s="237" t="str">
        <f t="shared" ref="I502:J502" si="494">IF(ISBLANK(C502),,""""&amp;C502&amp;"""")</f>
        <v/>
      </c>
      <c r="J502" s="237" t="str">
        <f t="shared" si="494"/>
        <v/>
      </c>
      <c r="K502" s="237" t="str">
        <f>IF(ISBLANK(F502),,Config!$C$3&amp;"&amp;range=BB"&amp;MATCH(F502,FRG!AC:AC,0))</f>
        <v/>
      </c>
      <c r="M502" s="243" t="str">
        <f>IFERROR(__xludf.DUMMYFUNCTION("IF(ISBLANK(F502),,SUBSTITUTE(IFERROR(JOIN("","",F502:K502),JOIN("","",F502:J502)),CHAR(10),""""))"),"")</f>
        <v/>
      </c>
      <c r="N502" s="229" t="str">
        <f t="shared" si="1"/>
        <v/>
      </c>
    </row>
    <row r="503">
      <c r="F503" s="237"/>
      <c r="G503" s="238" t="str">
        <f t="shared" si="3"/>
        <v/>
      </c>
      <c r="H503" s="238" t="str">
        <f t="shared" si="4"/>
        <v/>
      </c>
      <c r="I503" s="237" t="str">
        <f t="shared" ref="I503:J503" si="495">IF(ISBLANK(C503),,""""&amp;C503&amp;"""")</f>
        <v/>
      </c>
      <c r="J503" s="237" t="str">
        <f t="shared" si="495"/>
        <v/>
      </c>
      <c r="K503" s="237" t="str">
        <f>IF(ISBLANK(F503),,Config!$C$3&amp;"&amp;range=BB"&amp;MATCH(F503,FRG!AC:AC,0))</f>
        <v/>
      </c>
      <c r="M503" s="243" t="str">
        <f>IFERROR(__xludf.DUMMYFUNCTION("IF(ISBLANK(F503),,SUBSTITUTE(IFERROR(JOIN("","",F503:K503),JOIN("","",F503:J503)),CHAR(10),""""))"),"")</f>
        <v/>
      </c>
      <c r="N503" s="229" t="str">
        <f t="shared" si="1"/>
        <v/>
      </c>
    </row>
    <row r="504">
      <c r="F504" s="237"/>
      <c r="G504" s="238" t="str">
        <f t="shared" si="3"/>
        <v/>
      </c>
      <c r="H504" s="238" t="str">
        <f t="shared" si="4"/>
        <v/>
      </c>
      <c r="I504" s="237" t="str">
        <f t="shared" ref="I504:J504" si="496">IF(ISBLANK(C504),,""""&amp;C504&amp;"""")</f>
        <v/>
      </c>
      <c r="J504" s="237" t="str">
        <f t="shared" si="496"/>
        <v/>
      </c>
      <c r="K504" s="237" t="str">
        <f>IF(ISBLANK(F504),,Config!$C$3&amp;"&amp;range=BB"&amp;MATCH(F504,FRG!AC:AC,0))</f>
        <v/>
      </c>
      <c r="M504" s="243" t="str">
        <f>IFERROR(__xludf.DUMMYFUNCTION("IF(ISBLANK(F504),,SUBSTITUTE(IFERROR(JOIN("","",F504:K504),JOIN("","",F504:J504)),CHAR(10),""""))"),"")</f>
        <v/>
      </c>
      <c r="N504" s="229" t="str">
        <f t="shared" si="1"/>
        <v/>
      </c>
    </row>
    <row r="505">
      <c r="F505" s="237"/>
      <c r="G505" s="238" t="str">
        <f t="shared" si="3"/>
        <v/>
      </c>
      <c r="H505" s="238" t="str">
        <f t="shared" si="4"/>
        <v/>
      </c>
      <c r="I505" s="237" t="str">
        <f t="shared" ref="I505:J505" si="497">IF(ISBLANK(C505),,""""&amp;C505&amp;"""")</f>
        <v/>
      </c>
      <c r="J505" s="237" t="str">
        <f t="shared" si="497"/>
        <v/>
      </c>
      <c r="K505" s="237" t="str">
        <f>IF(ISBLANK(F505),,Config!$C$3&amp;"&amp;range=BB"&amp;MATCH(F505,FRG!AC:AC,0))</f>
        <v/>
      </c>
      <c r="M505" s="243" t="str">
        <f>IFERROR(__xludf.DUMMYFUNCTION("IF(ISBLANK(F505),,SUBSTITUTE(IFERROR(JOIN("","",F505:K505),JOIN("","",F505:J505)),CHAR(10),""""))"),"")</f>
        <v/>
      </c>
      <c r="N505" s="229" t="str">
        <f t="shared" si="1"/>
        <v/>
      </c>
    </row>
    <row r="506">
      <c r="F506" s="237"/>
      <c r="G506" s="238" t="str">
        <f t="shared" si="3"/>
        <v/>
      </c>
      <c r="H506" s="238" t="str">
        <f t="shared" si="4"/>
        <v/>
      </c>
      <c r="I506" s="237" t="str">
        <f t="shared" ref="I506:J506" si="498">IF(ISBLANK(C506),,""""&amp;C506&amp;"""")</f>
        <v/>
      </c>
      <c r="J506" s="237" t="str">
        <f t="shared" si="498"/>
        <v/>
      </c>
      <c r="K506" s="237" t="str">
        <f>IF(ISBLANK(F506),,Config!$C$3&amp;"&amp;range=BB"&amp;MATCH(F506,FRG!AC:AC,0))</f>
        <v/>
      </c>
      <c r="M506" s="243" t="str">
        <f>IFERROR(__xludf.DUMMYFUNCTION("IF(ISBLANK(F506),,SUBSTITUTE(IFERROR(JOIN("","",F506:K506),JOIN("","",F506:J506)),CHAR(10),""""))"),"")</f>
        <v/>
      </c>
      <c r="N506" s="229" t="str">
        <f t="shared" si="1"/>
        <v/>
      </c>
    </row>
    <row r="507">
      <c r="F507" s="237"/>
      <c r="G507" s="238" t="str">
        <f t="shared" si="3"/>
        <v/>
      </c>
      <c r="H507" s="238" t="str">
        <f t="shared" si="4"/>
        <v/>
      </c>
      <c r="I507" s="237" t="str">
        <f t="shared" ref="I507:J507" si="499">IF(ISBLANK(C507),,""""&amp;C507&amp;"""")</f>
        <v/>
      </c>
      <c r="J507" s="237" t="str">
        <f t="shared" si="499"/>
        <v/>
      </c>
      <c r="K507" s="237" t="str">
        <f>IF(ISBLANK(F507),,Config!$C$3&amp;"&amp;range=BB"&amp;MATCH(F507,FRG!AC:AC,0))</f>
        <v/>
      </c>
      <c r="M507" s="243" t="str">
        <f>IFERROR(__xludf.DUMMYFUNCTION("IF(ISBLANK(F507),,SUBSTITUTE(IFERROR(JOIN("","",F507:K507),JOIN("","",F507:J507)),CHAR(10),""""))"),"")</f>
        <v/>
      </c>
      <c r="N507" s="229" t="str">
        <f t="shared" si="1"/>
        <v/>
      </c>
    </row>
    <row r="508">
      <c r="F508" s="237"/>
      <c r="G508" s="238" t="str">
        <f t="shared" si="3"/>
        <v/>
      </c>
      <c r="H508" s="238" t="str">
        <f t="shared" si="4"/>
        <v/>
      </c>
      <c r="I508" s="237" t="str">
        <f t="shared" ref="I508:J508" si="500">IF(ISBLANK(C508),,""""&amp;C508&amp;"""")</f>
        <v/>
      </c>
      <c r="J508" s="237" t="str">
        <f t="shared" si="500"/>
        <v/>
      </c>
      <c r="K508" s="237" t="str">
        <f>IF(ISBLANK(F508),,Config!$C$3&amp;"&amp;range=BB"&amp;MATCH(F508,FRG!AC:AC,0))</f>
        <v/>
      </c>
      <c r="M508" s="243" t="str">
        <f>IFERROR(__xludf.DUMMYFUNCTION("IF(ISBLANK(F508),,SUBSTITUTE(IFERROR(JOIN("","",F508:K508),JOIN("","",F508:J508)),CHAR(10),""""))"),"")</f>
        <v/>
      </c>
      <c r="N508" s="229" t="str">
        <f t="shared" si="1"/>
        <v/>
      </c>
    </row>
    <row r="509">
      <c r="F509" s="237"/>
      <c r="G509" s="238" t="str">
        <f t="shared" si="3"/>
        <v/>
      </c>
      <c r="H509" s="238" t="str">
        <f t="shared" si="4"/>
        <v/>
      </c>
      <c r="I509" s="237" t="str">
        <f t="shared" ref="I509:J509" si="501">IF(ISBLANK(C509),,""""&amp;C509&amp;"""")</f>
        <v/>
      </c>
      <c r="J509" s="237" t="str">
        <f t="shared" si="501"/>
        <v/>
      </c>
      <c r="K509" s="237" t="str">
        <f>IF(ISBLANK(F509),,Config!$C$3&amp;"&amp;range=BB"&amp;MATCH(F509,FRG!AC:AC,0))</f>
        <v/>
      </c>
      <c r="M509" s="243" t="str">
        <f>IFERROR(__xludf.DUMMYFUNCTION("IF(ISBLANK(F509),,SUBSTITUTE(IFERROR(JOIN("","",F509:K509),JOIN("","",F509:J509)),CHAR(10),""""))"),"")</f>
        <v/>
      </c>
      <c r="N509" s="229" t="str">
        <f t="shared" si="1"/>
        <v/>
      </c>
    </row>
    <row r="510">
      <c r="F510" s="237"/>
      <c r="G510" s="238" t="str">
        <f t="shared" si="3"/>
        <v/>
      </c>
      <c r="H510" s="238" t="str">
        <f t="shared" si="4"/>
        <v/>
      </c>
      <c r="I510" s="237" t="str">
        <f t="shared" ref="I510:J510" si="502">IF(ISBLANK(C510),,""""&amp;C510&amp;"""")</f>
        <v/>
      </c>
      <c r="J510" s="237" t="str">
        <f t="shared" si="502"/>
        <v/>
      </c>
      <c r="K510" s="237" t="str">
        <f>IF(ISBLANK(F510),,Config!$C$3&amp;"&amp;range=BB"&amp;MATCH(F510,FRG!AC:AC,0))</f>
        <v/>
      </c>
      <c r="M510" s="243" t="str">
        <f>IFERROR(__xludf.DUMMYFUNCTION("IF(ISBLANK(F510),,SUBSTITUTE(IFERROR(JOIN("","",F510:K510),JOIN("","",F510:J510)),CHAR(10),""""))"),"")</f>
        <v/>
      </c>
      <c r="N510" s="229" t="str">
        <f t="shared" si="1"/>
        <v/>
      </c>
    </row>
    <row r="511">
      <c r="F511" s="237"/>
      <c r="G511" s="238" t="str">
        <f t="shared" si="3"/>
        <v/>
      </c>
      <c r="H511" s="238" t="str">
        <f t="shared" si="4"/>
        <v/>
      </c>
      <c r="I511" s="237" t="str">
        <f t="shared" ref="I511:J511" si="503">IF(ISBLANK(C511),,""""&amp;C511&amp;"""")</f>
        <v/>
      </c>
      <c r="J511" s="237" t="str">
        <f t="shared" si="503"/>
        <v/>
      </c>
      <c r="K511" s="237" t="str">
        <f>IF(ISBLANK(F511),,Config!$C$3&amp;"&amp;range=BB"&amp;MATCH(F511,FRG!AC:AC,0))</f>
        <v/>
      </c>
      <c r="M511" s="243" t="str">
        <f>IFERROR(__xludf.DUMMYFUNCTION("IF(ISBLANK(F511),,SUBSTITUTE(IFERROR(JOIN("","",F511:K511),JOIN("","",F511:J511)),CHAR(10),""""))"),"")</f>
        <v/>
      </c>
      <c r="N511" s="229" t="str">
        <f t="shared" si="1"/>
        <v/>
      </c>
    </row>
    <row r="512">
      <c r="F512" s="237"/>
      <c r="G512" s="238" t="str">
        <f t="shared" si="3"/>
        <v/>
      </c>
      <c r="H512" s="238" t="str">
        <f t="shared" si="4"/>
        <v/>
      </c>
      <c r="I512" s="237" t="str">
        <f t="shared" ref="I512:J512" si="504">IF(ISBLANK(C512),,""""&amp;C512&amp;"""")</f>
        <v/>
      </c>
      <c r="J512" s="237" t="str">
        <f t="shared" si="504"/>
        <v/>
      </c>
      <c r="K512" s="237" t="str">
        <f>IF(ISBLANK(F512),,Config!$C$3&amp;"&amp;range=BB"&amp;MATCH(F512,FRG!AC:AC,0))</f>
        <v/>
      </c>
      <c r="M512" s="243" t="str">
        <f>IFERROR(__xludf.DUMMYFUNCTION("IF(ISBLANK(F512),,SUBSTITUTE(IFERROR(JOIN("","",F512:K512),JOIN("","",F512:J512)),CHAR(10),""""))"),"")</f>
        <v/>
      </c>
      <c r="N512" s="229" t="str">
        <f t="shared" si="1"/>
        <v/>
      </c>
    </row>
    <row r="513">
      <c r="F513" s="237"/>
      <c r="G513" s="238" t="str">
        <f t="shared" si="3"/>
        <v/>
      </c>
      <c r="H513" s="238" t="str">
        <f t="shared" si="4"/>
        <v/>
      </c>
      <c r="I513" s="237" t="str">
        <f t="shared" ref="I513:J513" si="505">IF(ISBLANK(C513),,""""&amp;C513&amp;"""")</f>
        <v/>
      </c>
      <c r="J513" s="237" t="str">
        <f t="shared" si="505"/>
        <v/>
      </c>
      <c r="K513" s="237" t="str">
        <f>IF(ISBLANK(F513),,Config!$C$3&amp;"&amp;range=BB"&amp;MATCH(F513,FRG!AC:AC,0))</f>
        <v/>
      </c>
      <c r="M513" s="243" t="str">
        <f>IFERROR(__xludf.DUMMYFUNCTION("IF(ISBLANK(F513),,SUBSTITUTE(IFERROR(JOIN("","",F513:K513),JOIN("","",F513:J513)),CHAR(10),""""))"),"")</f>
        <v/>
      </c>
      <c r="N513" s="229" t="str">
        <f t="shared" si="1"/>
        <v/>
      </c>
    </row>
    <row r="514">
      <c r="F514" s="237"/>
      <c r="G514" s="238" t="str">
        <f t="shared" si="3"/>
        <v/>
      </c>
      <c r="H514" s="238" t="str">
        <f t="shared" si="4"/>
        <v/>
      </c>
      <c r="I514" s="237" t="str">
        <f t="shared" ref="I514:J514" si="506">IF(ISBLANK(C514),,""""&amp;C514&amp;"""")</f>
        <v/>
      </c>
      <c r="J514" s="237" t="str">
        <f t="shared" si="506"/>
        <v/>
      </c>
      <c r="K514" s="237" t="str">
        <f>IF(ISBLANK(F514),,Config!$C$3&amp;"&amp;range=BB"&amp;MATCH(F514,FRG!AC:AC,0))</f>
        <v/>
      </c>
      <c r="M514" s="243" t="str">
        <f>IFERROR(__xludf.DUMMYFUNCTION("IF(ISBLANK(F514),,SUBSTITUTE(IFERROR(JOIN("","",F514:K514),JOIN("","",F514:J514)),CHAR(10),""""))"),"")</f>
        <v/>
      </c>
      <c r="N514" s="229" t="str">
        <f t="shared" si="1"/>
        <v/>
      </c>
    </row>
    <row r="515">
      <c r="F515" s="237"/>
      <c r="G515" s="238" t="str">
        <f t="shared" si="3"/>
        <v/>
      </c>
      <c r="H515" s="238" t="str">
        <f t="shared" si="4"/>
        <v/>
      </c>
      <c r="I515" s="237" t="str">
        <f t="shared" ref="I515:J515" si="507">IF(ISBLANK(C515),,""""&amp;C515&amp;"""")</f>
        <v/>
      </c>
      <c r="J515" s="237" t="str">
        <f t="shared" si="507"/>
        <v/>
      </c>
      <c r="K515" s="237" t="str">
        <f>IF(ISBLANK(F515),,Config!$C$3&amp;"&amp;range=BB"&amp;MATCH(F515,FRG!AC:AC,0))</f>
        <v/>
      </c>
      <c r="M515" s="243" t="str">
        <f>IFERROR(__xludf.DUMMYFUNCTION("IF(ISBLANK(F515),,SUBSTITUTE(IFERROR(JOIN("","",F515:K515),JOIN("","",F515:J515)),CHAR(10),""""))"),"")</f>
        <v/>
      </c>
      <c r="N515" s="229" t="str">
        <f t="shared" si="1"/>
        <v/>
      </c>
    </row>
    <row r="516">
      <c r="F516" s="237"/>
      <c r="G516" s="238" t="str">
        <f t="shared" si="3"/>
        <v/>
      </c>
      <c r="H516" s="238" t="str">
        <f t="shared" si="4"/>
        <v/>
      </c>
      <c r="I516" s="237" t="str">
        <f t="shared" ref="I516:J516" si="508">IF(ISBLANK(C516),,""""&amp;C516&amp;"""")</f>
        <v/>
      </c>
      <c r="J516" s="237" t="str">
        <f t="shared" si="508"/>
        <v/>
      </c>
      <c r="K516" s="237" t="str">
        <f>IF(ISBLANK(F516),,Config!$C$3&amp;"&amp;range=BB"&amp;MATCH(F516,FRG!AC:AC,0))</f>
        <v/>
      </c>
      <c r="M516" s="243" t="str">
        <f>IFERROR(__xludf.DUMMYFUNCTION("IF(ISBLANK(F516),,SUBSTITUTE(IFERROR(JOIN("","",F516:K516),JOIN("","",F516:J516)),CHAR(10),""""))"),"")</f>
        <v/>
      </c>
      <c r="N516" s="229" t="str">
        <f t="shared" si="1"/>
        <v/>
      </c>
    </row>
    <row r="517">
      <c r="F517" s="237"/>
      <c r="G517" s="238" t="str">
        <f t="shared" si="3"/>
        <v/>
      </c>
      <c r="H517" s="238" t="str">
        <f t="shared" si="4"/>
        <v/>
      </c>
      <c r="I517" s="237" t="str">
        <f t="shared" ref="I517:J517" si="509">IF(ISBLANK(C517),,""""&amp;C517&amp;"""")</f>
        <v/>
      </c>
      <c r="J517" s="237" t="str">
        <f t="shared" si="509"/>
        <v/>
      </c>
      <c r="K517" s="237" t="str">
        <f>IF(ISBLANK(F517),,Config!$C$3&amp;"&amp;range=BB"&amp;MATCH(F517,FRG!AC:AC,0))</f>
        <v/>
      </c>
      <c r="M517" s="243" t="str">
        <f>IFERROR(__xludf.DUMMYFUNCTION("IF(ISBLANK(F517),,SUBSTITUTE(IFERROR(JOIN("","",F517:K517),JOIN("","",F517:J517)),CHAR(10),""""))"),"")</f>
        <v/>
      </c>
      <c r="N517" s="229" t="str">
        <f t="shared" si="1"/>
        <v/>
      </c>
    </row>
    <row r="518">
      <c r="F518" s="237"/>
      <c r="G518" s="238" t="str">
        <f t="shared" si="3"/>
        <v/>
      </c>
      <c r="H518" s="238" t="str">
        <f t="shared" si="4"/>
        <v/>
      </c>
      <c r="I518" s="237" t="str">
        <f t="shared" ref="I518:J518" si="510">IF(ISBLANK(C518),,""""&amp;C518&amp;"""")</f>
        <v/>
      </c>
      <c r="J518" s="237" t="str">
        <f t="shared" si="510"/>
        <v/>
      </c>
      <c r="K518" s="237" t="str">
        <f>IF(ISBLANK(F518),,Config!$C$3&amp;"&amp;range=BB"&amp;MATCH(F518,FRG!AC:AC,0))</f>
        <v/>
      </c>
      <c r="M518" s="243" t="str">
        <f>IFERROR(__xludf.DUMMYFUNCTION("IF(ISBLANK(F518),,SUBSTITUTE(IFERROR(JOIN("","",F518:K518),JOIN("","",F518:J518)),CHAR(10),""""))"),"")</f>
        <v/>
      </c>
      <c r="N518" s="229" t="str">
        <f t="shared" si="1"/>
        <v/>
      </c>
    </row>
    <row r="519">
      <c r="F519" s="237"/>
      <c r="G519" s="238" t="str">
        <f t="shared" si="3"/>
        <v/>
      </c>
      <c r="H519" s="238" t="str">
        <f t="shared" si="4"/>
        <v/>
      </c>
      <c r="I519" s="237" t="str">
        <f t="shared" ref="I519:J519" si="511">IF(ISBLANK(C519),,""""&amp;C519&amp;"""")</f>
        <v/>
      </c>
      <c r="J519" s="237" t="str">
        <f t="shared" si="511"/>
        <v/>
      </c>
      <c r="K519" s="237" t="str">
        <f>IF(ISBLANK(F519),,Config!$C$3&amp;"&amp;range=BB"&amp;MATCH(F519,FRG!AC:AC,0))</f>
        <v/>
      </c>
      <c r="M519" s="243" t="str">
        <f>IFERROR(__xludf.DUMMYFUNCTION("IF(ISBLANK(F519),,SUBSTITUTE(IFERROR(JOIN("","",F519:K519),JOIN("","",F519:J519)),CHAR(10),""""))"),"")</f>
        <v/>
      </c>
      <c r="N519" s="229" t="str">
        <f t="shared" si="1"/>
        <v/>
      </c>
    </row>
    <row r="520">
      <c r="F520" s="237"/>
      <c r="G520" s="238" t="str">
        <f t="shared" si="3"/>
        <v/>
      </c>
      <c r="H520" s="238" t="str">
        <f t="shared" si="4"/>
        <v/>
      </c>
      <c r="I520" s="237" t="str">
        <f t="shared" ref="I520:J520" si="512">IF(ISBLANK(C520),,""""&amp;C520&amp;"""")</f>
        <v/>
      </c>
      <c r="J520" s="237" t="str">
        <f t="shared" si="512"/>
        <v/>
      </c>
      <c r="K520" s="237" t="str">
        <f>IF(ISBLANK(F520),,Config!$C$3&amp;"&amp;range=BB"&amp;MATCH(F520,FRG!AC:AC,0))</f>
        <v/>
      </c>
      <c r="M520" s="243" t="str">
        <f>IFERROR(__xludf.DUMMYFUNCTION("IF(ISBLANK(F520),,SUBSTITUTE(IFERROR(JOIN("","",F520:K520),JOIN("","",F520:J520)),CHAR(10),""""))"),"")</f>
        <v/>
      </c>
      <c r="N520" s="229" t="str">
        <f t="shared" si="1"/>
        <v/>
      </c>
    </row>
    <row r="521">
      <c r="F521" s="237"/>
      <c r="G521" s="238" t="str">
        <f t="shared" si="3"/>
        <v/>
      </c>
      <c r="H521" s="238" t="str">
        <f t="shared" si="4"/>
        <v/>
      </c>
      <c r="I521" s="237" t="str">
        <f t="shared" ref="I521:J521" si="513">IF(ISBLANK(C521),,""""&amp;C521&amp;"""")</f>
        <v/>
      </c>
      <c r="J521" s="237" t="str">
        <f t="shared" si="513"/>
        <v/>
      </c>
      <c r="K521" s="237" t="str">
        <f>IF(ISBLANK(F521),,Config!$C$3&amp;"&amp;range=BB"&amp;MATCH(F521,FRG!AC:AC,0))</f>
        <v/>
      </c>
      <c r="M521" s="243" t="str">
        <f>IFERROR(__xludf.DUMMYFUNCTION("IF(ISBLANK(F521),,SUBSTITUTE(IFERROR(JOIN("","",F521:K521),JOIN("","",F521:J521)),CHAR(10),""""))"),"")</f>
        <v/>
      </c>
      <c r="N521" s="229" t="str">
        <f t="shared" si="1"/>
        <v/>
      </c>
    </row>
    <row r="522">
      <c r="F522" s="237"/>
      <c r="G522" s="238" t="str">
        <f t="shared" si="3"/>
        <v/>
      </c>
      <c r="H522" s="238" t="str">
        <f t="shared" si="4"/>
        <v/>
      </c>
      <c r="I522" s="237" t="str">
        <f t="shared" ref="I522:J522" si="514">IF(ISBLANK(C522),,""""&amp;C522&amp;"""")</f>
        <v/>
      </c>
      <c r="J522" s="237" t="str">
        <f t="shared" si="514"/>
        <v/>
      </c>
      <c r="K522" s="237" t="str">
        <f>IF(ISBLANK(F522),,Config!$C$3&amp;"&amp;range=BB"&amp;MATCH(F522,FRG!AC:AC,0))</f>
        <v/>
      </c>
      <c r="M522" s="243" t="str">
        <f>IFERROR(__xludf.DUMMYFUNCTION("IF(ISBLANK(F522),,SUBSTITUTE(IFERROR(JOIN("","",F522:K522),JOIN("","",F522:J522)),CHAR(10),""""))"),"")</f>
        <v/>
      </c>
      <c r="N522" s="229" t="str">
        <f t="shared" si="1"/>
        <v/>
      </c>
    </row>
    <row r="523">
      <c r="F523" s="237"/>
      <c r="G523" s="238" t="str">
        <f t="shared" si="3"/>
        <v/>
      </c>
      <c r="H523" s="238" t="str">
        <f t="shared" si="4"/>
        <v/>
      </c>
      <c r="I523" s="237" t="str">
        <f t="shared" ref="I523:J523" si="515">IF(ISBLANK(C523),,""""&amp;C523&amp;"""")</f>
        <v/>
      </c>
      <c r="J523" s="237" t="str">
        <f t="shared" si="515"/>
        <v/>
      </c>
      <c r="K523" s="237" t="str">
        <f>IF(ISBLANK(F523),,Config!$C$3&amp;"&amp;range=BB"&amp;MATCH(F523,FRG!AC:AC,0))</f>
        <v/>
      </c>
      <c r="M523" s="243" t="str">
        <f>IFERROR(__xludf.DUMMYFUNCTION("IF(ISBLANK(F523),,SUBSTITUTE(IFERROR(JOIN("","",F523:K523),JOIN("","",F523:J523)),CHAR(10),""""))"),"")</f>
        <v/>
      </c>
      <c r="N523" s="229" t="str">
        <f t="shared" si="1"/>
        <v/>
      </c>
    </row>
    <row r="524">
      <c r="F524" s="237"/>
      <c r="G524" s="238" t="str">
        <f t="shared" si="3"/>
        <v/>
      </c>
      <c r="H524" s="238" t="str">
        <f t="shared" si="4"/>
        <v/>
      </c>
      <c r="I524" s="237" t="str">
        <f t="shared" ref="I524:J524" si="516">IF(ISBLANK(C524),,""""&amp;C524&amp;"""")</f>
        <v/>
      </c>
      <c r="J524" s="237" t="str">
        <f t="shared" si="516"/>
        <v/>
      </c>
      <c r="K524" s="237" t="str">
        <f>IF(ISBLANK(F524),,Config!$C$3&amp;"&amp;range=BB"&amp;MATCH(F524,FRG!AC:AC,0))</f>
        <v/>
      </c>
      <c r="M524" s="243" t="str">
        <f>IFERROR(__xludf.DUMMYFUNCTION("IF(ISBLANK(F524),,SUBSTITUTE(IFERROR(JOIN("","",F524:K524),JOIN("","",F524:J524)),CHAR(10),""""))"),"")</f>
        <v/>
      </c>
      <c r="N524" s="229" t="str">
        <f t="shared" si="1"/>
        <v/>
      </c>
    </row>
    <row r="525">
      <c r="F525" s="237"/>
      <c r="G525" s="238" t="str">
        <f t="shared" si="3"/>
        <v/>
      </c>
      <c r="H525" s="238" t="str">
        <f t="shared" si="4"/>
        <v/>
      </c>
      <c r="I525" s="237" t="str">
        <f t="shared" ref="I525:J525" si="517">IF(ISBLANK(C525),,""""&amp;C525&amp;"""")</f>
        <v/>
      </c>
      <c r="J525" s="237" t="str">
        <f t="shared" si="517"/>
        <v/>
      </c>
      <c r="K525" s="237" t="str">
        <f>IF(ISBLANK(F525),,Config!$C$3&amp;"&amp;range=BB"&amp;MATCH(F525,FRG!AC:AC,0))</f>
        <v/>
      </c>
      <c r="M525" s="243" t="str">
        <f>IFERROR(__xludf.DUMMYFUNCTION("IF(ISBLANK(F525),,SUBSTITUTE(IFERROR(JOIN("","",F525:K525),JOIN("","",F525:J525)),CHAR(10),""""))"),"")</f>
        <v/>
      </c>
      <c r="N525" s="229" t="str">
        <f t="shared" si="1"/>
        <v/>
      </c>
    </row>
    <row r="526">
      <c r="F526" s="237"/>
      <c r="G526" s="238" t="str">
        <f t="shared" si="3"/>
        <v/>
      </c>
      <c r="H526" s="238" t="str">
        <f t="shared" si="4"/>
        <v/>
      </c>
      <c r="I526" s="237" t="str">
        <f t="shared" ref="I526:J526" si="518">IF(ISBLANK(C526),,""""&amp;C526&amp;"""")</f>
        <v/>
      </c>
      <c r="J526" s="237" t="str">
        <f t="shared" si="518"/>
        <v/>
      </c>
      <c r="K526" s="237" t="str">
        <f>IF(ISBLANK(F526),,Config!$C$3&amp;"&amp;range=BB"&amp;MATCH(F526,FRG!AC:AC,0))</f>
        <v/>
      </c>
      <c r="M526" s="243" t="str">
        <f>IFERROR(__xludf.DUMMYFUNCTION("IF(ISBLANK(F526),,SUBSTITUTE(IFERROR(JOIN("","",F526:K526),JOIN("","",F526:J526)),CHAR(10),""""))"),"")</f>
        <v/>
      </c>
      <c r="N526" s="229" t="str">
        <f t="shared" si="1"/>
        <v/>
      </c>
    </row>
    <row r="527">
      <c r="F527" s="237"/>
      <c r="G527" s="238" t="str">
        <f t="shared" si="3"/>
        <v/>
      </c>
      <c r="H527" s="238" t="str">
        <f t="shared" si="4"/>
        <v/>
      </c>
      <c r="I527" s="237" t="str">
        <f t="shared" ref="I527:J527" si="519">IF(ISBLANK(C527),,""""&amp;C527&amp;"""")</f>
        <v/>
      </c>
      <c r="J527" s="237" t="str">
        <f t="shared" si="519"/>
        <v/>
      </c>
      <c r="K527" s="237" t="str">
        <f>IF(ISBLANK(F527),,Config!$C$3&amp;"&amp;range=BB"&amp;MATCH(F527,FRG!AC:AC,0))</f>
        <v/>
      </c>
      <c r="M527" s="243" t="str">
        <f>IFERROR(__xludf.DUMMYFUNCTION("IF(ISBLANK(F527),,SUBSTITUTE(IFERROR(JOIN("","",F527:K527),JOIN("","",F527:J527)),CHAR(10),""""))"),"")</f>
        <v/>
      </c>
      <c r="N527" s="229" t="str">
        <f t="shared" si="1"/>
        <v/>
      </c>
    </row>
    <row r="528">
      <c r="F528" s="237"/>
      <c r="G528" s="238" t="str">
        <f t="shared" si="3"/>
        <v/>
      </c>
      <c r="H528" s="238" t="str">
        <f t="shared" si="4"/>
        <v/>
      </c>
      <c r="I528" s="237" t="str">
        <f t="shared" ref="I528:J528" si="520">IF(ISBLANK(C528),,""""&amp;C528&amp;"""")</f>
        <v/>
      </c>
      <c r="J528" s="237" t="str">
        <f t="shared" si="520"/>
        <v/>
      </c>
      <c r="K528" s="237" t="str">
        <f>IF(ISBLANK(F528),,Config!$C$3&amp;"&amp;range=BB"&amp;MATCH(F528,FRG!AC:AC,0))</f>
        <v/>
      </c>
      <c r="M528" s="243" t="str">
        <f>IFERROR(__xludf.DUMMYFUNCTION("IF(ISBLANK(F528),,SUBSTITUTE(IFERROR(JOIN("","",F528:K528),JOIN("","",F528:J528)),CHAR(10),""""))"),"")</f>
        <v/>
      </c>
      <c r="N528" s="229" t="str">
        <f t="shared" si="1"/>
        <v/>
      </c>
    </row>
    <row r="529">
      <c r="F529" s="237"/>
      <c r="G529" s="238" t="str">
        <f t="shared" si="3"/>
        <v/>
      </c>
      <c r="H529" s="238" t="str">
        <f t="shared" si="4"/>
        <v/>
      </c>
      <c r="I529" s="237" t="str">
        <f t="shared" ref="I529:J529" si="521">IF(ISBLANK(C529),,""""&amp;C529&amp;"""")</f>
        <v/>
      </c>
      <c r="J529" s="237" t="str">
        <f t="shared" si="521"/>
        <v/>
      </c>
      <c r="K529" s="237" t="str">
        <f>IF(ISBLANK(F529),,Config!$C$3&amp;"&amp;range=BB"&amp;MATCH(F529,FRG!AC:AC,0))</f>
        <v/>
      </c>
      <c r="M529" s="243" t="str">
        <f>IFERROR(__xludf.DUMMYFUNCTION("IF(ISBLANK(F529),,SUBSTITUTE(IFERROR(JOIN("","",F529:K529),JOIN("","",F529:J529)),CHAR(10),""""))"),"")</f>
        <v/>
      </c>
      <c r="N529" s="229" t="str">
        <f t="shared" si="1"/>
        <v/>
      </c>
    </row>
    <row r="530">
      <c r="F530" s="237"/>
      <c r="G530" s="238" t="str">
        <f t="shared" si="3"/>
        <v/>
      </c>
      <c r="H530" s="238" t="str">
        <f t="shared" si="4"/>
        <v/>
      </c>
      <c r="I530" s="237" t="str">
        <f t="shared" ref="I530:J530" si="522">IF(ISBLANK(C530),,""""&amp;C530&amp;"""")</f>
        <v/>
      </c>
      <c r="J530" s="237" t="str">
        <f t="shared" si="522"/>
        <v/>
      </c>
      <c r="K530" s="237" t="str">
        <f>IF(ISBLANK(F530),,Config!$C$3&amp;"&amp;range=BB"&amp;MATCH(F530,FRG!AC:AC,0))</f>
        <v/>
      </c>
      <c r="M530" s="243" t="str">
        <f>IFERROR(__xludf.DUMMYFUNCTION("IF(ISBLANK(F530),,SUBSTITUTE(IFERROR(JOIN("","",F530:K530),JOIN("","",F530:J530)),CHAR(10),""""))"),"")</f>
        <v/>
      </c>
      <c r="N530" s="229" t="str">
        <f t="shared" si="1"/>
        <v/>
      </c>
    </row>
    <row r="531">
      <c r="F531" s="237"/>
      <c r="G531" s="238" t="str">
        <f t="shared" si="3"/>
        <v/>
      </c>
      <c r="H531" s="238" t="str">
        <f t="shared" si="4"/>
        <v/>
      </c>
      <c r="I531" s="237" t="str">
        <f t="shared" ref="I531:J531" si="523">IF(ISBLANK(C531),,""""&amp;C531&amp;"""")</f>
        <v/>
      </c>
      <c r="J531" s="237" t="str">
        <f t="shared" si="523"/>
        <v/>
      </c>
      <c r="K531" s="237" t="str">
        <f>IF(ISBLANK(F531),,Config!$C$3&amp;"&amp;range=BB"&amp;MATCH(F531,FRG!AC:AC,0))</f>
        <v/>
      </c>
      <c r="M531" s="243" t="str">
        <f>IFERROR(__xludf.DUMMYFUNCTION("IF(ISBLANK(F531),,SUBSTITUTE(IFERROR(JOIN("","",F531:K531),JOIN("","",F531:J531)),CHAR(10),""""))"),"")</f>
        <v/>
      </c>
      <c r="N531" s="229" t="str">
        <f t="shared" si="1"/>
        <v/>
      </c>
    </row>
    <row r="532">
      <c r="F532" s="237"/>
      <c r="G532" s="238" t="str">
        <f t="shared" si="3"/>
        <v/>
      </c>
      <c r="H532" s="238" t="str">
        <f t="shared" si="4"/>
        <v/>
      </c>
      <c r="I532" s="237" t="str">
        <f t="shared" ref="I532:J532" si="524">IF(ISBLANK(C532),,""""&amp;C532&amp;"""")</f>
        <v/>
      </c>
      <c r="J532" s="237" t="str">
        <f t="shared" si="524"/>
        <v/>
      </c>
      <c r="K532" s="237" t="str">
        <f>IF(ISBLANK(F532),,Config!$C$3&amp;"&amp;range=BB"&amp;MATCH(F532,FRG!AC:AC,0))</f>
        <v/>
      </c>
      <c r="M532" s="243" t="str">
        <f>IFERROR(__xludf.DUMMYFUNCTION("IF(ISBLANK(F532),,SUBSTITUTE(IFERROR(JOIN("","",F532:K532),JOIN("","",F532:J532)),CHAR(10),""""))"),"")</f>
        <v/>
      </c>
      <c r="N532" s="229" t="str">
        <f t="shared" si="1"/>
        <v/>
      </c>
    </row>
    <row r="533">
      <c r="F533" s="237"/>
      <c r="G533" s="238" t="str">
        <f t="shared" si="3"/>
        <v/>
      </c>
      <c r="H533" s="238" t="str">
        <f t="shared" si="4"/>
        <v/>
      </c>
      <c r="I533" s="237" t="str">
        <f t="shared" ref="I533:J533" si="525">IF(ISBLANK(C533),,""""&amp;C533&amp;"""")</f>
        <v/>
      </c>
      <c r="J533" s="237" t="str">
        <f t="shared" si="525"/>
        <v/>
      </c>
      <c r="K533" s="237" t="str">
        <f>IF(ISBLANK(F533),,Config!$C$3&amp;"&amp;range=BB"&amp;MATCH(F533,FRG!AC:AC,0))</f>
        <v/>
      </c>
      <c r="M533" s="243" t="str">
        <f>IFERROR(__xludf.DUMMYFUNCTION("IF(ISBLANK(F533),,SUBSTITUTE(IFERROR(JOIN("","",F533:K533),JOIN("","",F533:J533)),CHAR(10),""""))"),"")</f>
        <v/>
      </c>
      <c r="N533" s="229" t="str">
        <f t="shared" si="1"/>
        <v/>
      </c>
    </row>
    <row r="534">
      <c r="F534" s="237"/>
      <c r="G534" s="238" t="str">
        <f t="shared" si="3"/>
        <v/>
      </c>
      <c r="H534" s="238" t="str">
        <f t="shared" si="4"/>
        <v/>
      </c>
      <c r="I534" s="237" t="str">
        <f t="shared" ref="I534:J534" si="526">IF(ISBLANK(C534),,""""&amp;C534&amp;"""")</f>
        <v/>
      </c>
      <c r="J534" s="237" t="str">
        <f t="shared" si="526"/>
        <v/>
      </c>
      <c r="K534" s="237" t="str">
        <f>IF(ISBLANK(F534),,Config!$C$3&amp;"&amp;range=BB"&amp;MATCH(F534,FRG!AC:AC,0))</f>
        <v/>
      </c>
      <c r="M534" s="243" t="str">
        <f>IFERROR(__xludf.DUMMYFUNCTION("IF(ISBLANK(F534),,SUBSTITUTE(IFERROR(JOIN("","",F534:K534),JOIN("","",F534:J534)),CHAR(10),""""))"),"")</f>
        <v/>
      </c>
      <c r="N534" s="229" t="str">
        <f t="shared" si="1"/>
        <v/>
      </c>
    </row>
    <row r="535">
      <c r="F535" s="237"/>
      <c r="G535" s="238" t="str">
        <f t="shared" si="3"/>
        <v/>
      </c>
      <c r="H535" s="238" t="str">
        <f t="shared" si="4"/>
        <v/>
      </c>
      <c r="I535" s="237" t="str">
        <f t="shared" ref="I535:J535" si="527">IF(ISBLANK(C535),,""""&amp;C535&amp;"""")</f>
        <v/>
      </c>
      <c r="J535" s="237" t="str">
        <f t="shared" si="527"/>
        <v/>
      </c>
      <c r="K535" s="237" t="str">
        <f>IF(ISBLANK(F535),,Config!$C$3&amp;"&amp;range=BB"&amp;MATCH(F535,FRG!AC:AC,0))</f>
        <v/>
      </c>
      <c r="M535" s="243" t="str">
        <f>IFERROR(__xludf.DUMMYFUNCTION("IF(ISBLANK(F535),,SUBSTITUTE(IFERROR(JOIN("","",F535:K535),JOIN("","",F535:J535)),CHAR(10),""""))"),"")</f>
        <v/>
      </c>
      <c r="N535" s="229" t="str">
        <f t="shared" si="1"/>
        <v/>
      </c>
    </row>
    <row r="536">
      <c r="F536" s="237"/>
      <c r="G536" s="238" t="str">
        <f t="shared" si="3"/>
        <v/>
      </c>
      <c r="H536" s="238" t="str">
        <f t="shared" si="4"/>
        <v/>
      </c>
      <c r="I536" s="237" t="str">
        <f t="shared" ref="I536:J536" si="528">IF(ISBLANK(C536),,""""&amp;C536&amp;"""")</f>
        <v/>
      </c>
      <c r="J536" s="237" t="str">
        <f t="shared" si="528"/>
        <v/>
      </c>
      <c r="K536" s="237" t="str">
        <f>IF(ISBLANK(F536),,Config!$C$3&amp;"&amp;range=BB"&amp;MATCH(F536,FRG!AC:AC,0))</f>
        <v/>
      </c>
      <c r="M536" s="243" t="str">
        <f>IFERROR(__xludf.DUMMYFUNCTION("IF(ISBLANK(F536),,SUBSTITUTE(IFERROR(JOIN("","",F536:K536),JOIN("","",F536:J536)),CHAR(10),""""))"),"")</f>
        <v/>
      </c>
      <c r="N536" s="229" t="str">
        <f t="shared" si="1"/>
        <v/>
      </c>
    </row>
    <row r="537">
      <c r="F537" s="237"/>
      <c r="G537" s="238" t="str">
        <f t="shared" si="3"/>
        <v/>
      </c>
      <c r="H537" s="238" t="str">
        <f t="shared" si="4"/>
        <v/>
      </c>
      <c r="I537" s="237" t="str">
        <f t="shared" ref="I537:J537" si="529">IF(ISBLANK(C537),,""""&amp;C537&amp;"""")</f>
        <v/>
      </c>
      <c r="J537" s="237" t="str">
        <f t="shared" si="529"/>
        <v/>
      </c>
      <c r="K537" s="237" t="str">
        <f>IF(ISBLANK(F537),,Config!$C$3&amp;"&amp;range=BB"&amp;MATCH(F537,FRG!AC:AC,0))</f>
        <v/>
      </c>
      <c r="M537" s="243" t="str">
        <f>IFERROR(__xludf.DUMMYFUNCTION("IF(ISBLANK(F537),,SUBSTITUTE(IFERROR(JOIN("","",F537:K537),JOIN("","",F537:J537)),CHAR(10),""""))"),"")</f>
        <v/>
      </c>
      <c r="N537" s="229" t="str">
        <f t="shared" si="1"/>
        <v/>
      </c>
    </row>
    <row r="538">
      <c r="F538" s="237"/>
      <c r="G538" s="238" t="str">
        <f t="shared" si="3"/>
        <v/>
      </c>
      <c r="H538" s="238" t="str">
        <f t="shared" si="4"/>
        <v/>
      </c>
      <c r="I538" s="237" t="str">
        <f t="shared" ref="I538:J538" si="530">IF(ISBLANK(C538),,""""&amp;C538&amp;"""")</f>
        <v/>
      </c>
      <c r="J538" s="237" t="str">
        <f t="shared" si="530"/>
        <v/>
      </c>
      <c r="K538" s="237" t="str">
        <f>IF(ISBLANK(F538),,Config!$C$3&amp;"&amp;range=BB"&amp;MATCH(F538,FRG!AC:AC,0))</f>
        <v/>
      </c>
      <c r="M538" s="243" t="str">
        <f>IFERROR(__xludf.DUMMYFUNCTION("IF(ISBLANK(F538),,SUBSTITUTE(IFERROR(JOIN("","",F538:K538),JOIN("","",F538:J538)),CHAR(10),""""))"),"")</f>
        <v/>
      </c>
      <c r="N538" s="229" t="str">
        <f t="shared" si="1"/>
        <v/>
      </c>
    </row>
    <row r="539">
      <c r="F539" s="237"/>
      <c r="G539" s="238" t="str">
        <f t="shared" si="3"/>
        <v/>
      </c>
      <c r="H539" s="238" t="str">
        <f t="shared" si="4"/>
        <v/>
      </c>
      <c r="I539" s="237" t="str">
        <f t="shared" ref="I539:J539" si="531">IF(ISBLANK(C539),,""""&amp;C539&amp;"""")</f>
        <v/>
      </c>
      <c r="J539" s="237" t="str">
        <f t="shared" si="531"/>
        <v/>
      </c>
      <c r="K539" s="237" t="str">
        <f>IF(ISBLANK(F539),,Config!$C$3&amp;"&amp;range=BB"&amp;MATCH(F539,FRG!AC:AC,0))</f>
        <v/>
      </c>
      <c r="M539" s="243" t="str">
        <f>IFERROR(__xludf.DUMMYFUNCTION("IF(ISBLANK(F539),,SUBSTITUTE(IFERROR(JOIN("","",F539:K539),JOIN("","",F539:J539)),CHAR(10),""""))"),"")</f>
        <v/>
      </c>
      <c r="N539" s="229" t="str">
        <f t="shared" si="1"/>
        <v/>
      </c>
    </row>
    <row r="540">
      <c r="F540" s="237"/>
      <c r="G540" s="238" t="str">
        <f t="shared" si="3"/>
        <v/>
      </c>
      <c r="H540" s="238" t="str">
        <f t="shared" si="4"/>
        <v/>
      </c>
      <c r="I540" s="237" t="str">
        <f t="shared" ref="I540:J540" si="532">IF(ISBLANK(C540),,""""&amp;C540&amp;"""")</f>
        <v/>
      </c>
      <c r="J540" s="237" t="str">
        <f t="shared" si="532"/>
        <v/>
      </c>
      <c r="K540" s="237" t="str">
        <f>IF(ISBLANK(F540),,Config!$C$3&amp;"&amp;range=BB"&amp;MATCH(F540,FRG!AC:AC,0))</f>
        <v/>
      </c>
      <c r="M540" s="243" t="str">
        <f>IFERROR(__xludf.DUMMYFUNCTION("IF(ISBLANK(F540),,SUBSTITUTE(IFERROR(JOIN("","",F540:K540),JOIN("","",F540:J540)),CHAR(10),""""))"),"")</f>
        <v/>
      </c>
      <c r="N540" s="229" t="str">
        <f t="shared" si="1"/>
        <v/>
      </c>
    </row>
    <row r="541">
      <c r="F541" s="237"/>
      <c r="G541" s="238" t="str">
        <f t="shared" si="3"/>
        <v/>
      </c>
      <c r="H541" s="238" t="str">
        <f t="shared" si="4"/>
        <v/>
      </c>
      <c r="I541" s="237" t="str">
        <f t="shared" ref="I541:J541" si="533">IF(ISBLANK(C541),,""""&amp;C541&amp;"""")</f>
        <v/>
      </c>
      <c r="J541" s="237" t="str">
        <f t="shared" si="533"/>
        <v/>
      </c>
      <c r="K541" s="237" t="str">
        <f>IF(ISBLANK(F541),,Config!$C$3&amp;"&amp;range=BB"&amp;MATCH(F541,FRG!AC:AC,0))</f>
        <v/>
      </c>
      <c r="M541" s="243" t="str">
        <f>IFERROR(__xludf.DUMMYFUNCTION("IF(ISBLANK(F541),,SUBSTITUTE(IFERROR(JOIN("","",F541:K541),JOIN("","",F541:J541)),CHAR(10),""""))"),"")</f>
        <v/>
      </c>
      <c r="N541" s="229" t="str">
        <f t="shared" si="1"/>
        <v/>
      </c>
    </row>
    <row r="542">
      <c r="F542" s="237"/>
      <c r="G542" s="238" t="str">
        <f t="shared" si="3"/>
        <v/>
      </c>
      <c r="H542" s="238" t="str">
        <f t="shared" si="4"/>
        <v/>
      </c>
      <c r="I542" s="237" t="str">
        <f t="shared" ref="I542:J542" si="534">IF(ISBLANK(C542),,""""&amp;C542&amp;"""")</f>
        <v/>
      </c>
      <c r="J542" s="237" t="str">
        <f t="shared" si="534"/>
        <v/>
      </c>
      <c r="K542" s="237" t="str">
        <f>IF(ISBLANK(F542),,Config!$C$3&amp;"&amp;range=BB"&amp;MATCH(F542,FRG!AC:AC,0))</f>
        <v/>
      </c>
      <c r="M542" s="243" t="str">
        <f>IFERROR(__xludf.DUMMYFUNCTION("IF(ISBLANK(F542),,SUBSTITUTE(IFERROR(JOIN("","",F542:K542),JOIN("","",F542:J542)),CHAR(10),""""))"),"")</f>
        <v/>
      </c>
      <c r="N542" s="229" t="str">
        <f t="shared" si="1"/>
        <v/>
      </c>
    </row>
    <row r="543">
      <c r="F543" s="237"/>
      <c r="G543" s="238" t="str">
        <f t="shared" si="3"/>
        <v/>
      </c>
      <c r="H543" s="238" t="str">
        <f t="shared" si="4"/>
        <v/>
      </c>
      <c r="I543" s="237" t="str">
        <f t="shared" ref="I543:J543" si="535">IF(ISBLANK(C543),,""""&amp;C543&amp;"""")</f>
        <v/>
      </c>
      <c r="J543" s="237" t="str">
        <f t="shared" si="535"/>
        <v/>
      </c>
      <c r="K543" s="237" t="str">
        <f>IF(ISBLANK(F543),,Config!$C$3&amp;"&amp;range=BB"&amp;MATCH(F543,FRG!AC:AC,0))</f>
        <v/>
      </c>
      <c r="M543" s="243" t="str">
        <f>IFERROR(__xludf.DUMMYFUNCTION("IF(ISBLANK(F543),,SUBSTITUTE(IFERROR(JOIN("","",F543:K543),JOIN("","",F543:J543)),CHAR(10),""""))"),"")</f>
        <v/>
      </c>
      <c r="N543" s="229" t="str">
        <f t="shared" si="1"/>
        <v/>
      </c>
    </row>
    <row r="544">
      <c r="F544" s="237"/>
      <c r="G544" s="238" t="str">
        <f t="shared" si="3"/>
        <v/>
      </c>
      <c r="H544" s="238" t="str">
        <f t="shared" si="4"/>
        <v/>
      </c>
      <c r="I544" s="237" t="str">
        <f t="shared" ref="I544:J544" si="536">IF(ISBLANK(C544),,""""&amp;C544&amp;"""")</f>
        <v/>
      </c>
      <c r="J544" s="237" t="str">
        <f t="shared" si="536"/>
        <v/>
      </c>
      <c r="K544" s="237" t="str">
        <f>IF(ISBLANK(F544),,Config!$C$3&amp;"&amp;range=BB"&amp;MATCH(F544,FRG!AC:AC,0))</f>
        <v/>
      </c>
      <c r="M544" s="243" t="str">
        <f>IFERROR(__xludf.DUMMYFUNCTION("IF(ISBLANK(F544),,SUBSTITUTE(IFERROR(JOIN("","",F544:K544),JOIN("","",F544:J544)),CHAR(10),""""))"),"")</f>
        <v/>
      </c>
      <c r="N544" s="229" t="str">
        <f t="shared" si="1"/>
        <v/>
      </c>
    </row>
    <row r="545">
      <c r="F545" s="237"/>
      <c r="G545" s="238" t="str">
        <f t="shared" si="3"/>
        <v/>
      </c>
      <c r="H545" s="238" t="str">
        <f t="shared" si="4"/>
        <v/>
      </c>
      <c r="I545" s="237" t="str">
        <f t="shared" ref="I545:J545" si="537">IF(ISBLANK(C545),,""""&amp;C545&amp;"""")</f>
        <v/>
      </c>
      <c r="J545" s="237" t="str">
        <f t="shared" si="537"/>
        <v/>
      </c>
      <c r="K545" s="237" t="str">
        <f>IF(ISBLANK(F545),,Config!$C$3&amp;"&amp;range=BB"&amp;MATCH(F545,FRG!AC:AC,0))</f>
        <v/>
      </c>
      <c r="M545" s="243" t="str">
        <f>IFERROR(__xludf.DUMMYFUNCTION("IF(ISBLANK(F545),,SUBSTITUTE(IFERROR(JOIN("","",F545:K545),JOIN("","",F545:J545)),CHAR(10),""""))"),"")</f>
        <v/>
      </c>
      <c r="N545" s="229" t="str">
        <f t="shared" si="1"/>
        <v/>
      </c>
    </row>
    <row r="546">
      <c r="F546" s="237"/>
      <c r="G546" s="238" t="str">
        <f t="shared" si="3"/>
        <v/>
      </c>
      <c r="H546" s="238" t="str">
        <f t="shared" si="4"/>
        <v/>
      </c>
      <c r="I546" s="237" t="str">
        <f t="shared" ref="I546:J546" si="538">IF(ISBLANK(C546),,""""&amp;C546&amp;"""")</f>
        <v/>
      </c>
      <c r="J546" s="237" t="str">
        <f t="shared" si="538"/>
        <v/>
      </c>
      <c r="K546" s="237" t="str">
        <f>IF(ISBLANK(F546),,Config!$C$3&amp;"&amp;range=BB"&amp;MATCH(F546,FRG!AC:AC,0))</f>
        <v/>
      </c>
      <c r="M546" s="243" t="str">
        <f>IFERROR(__xludf.DUMMYFUNCTION("IF(ISBLANK(F546),,SUBSTITUTE(IFERROR(JOIN("","",F546:K546),JOIN("","",F546:J546)),CHAR(10),""""))"),"")</f>
        <v/>
      </c>
      <c r="N546" s="229" t="str">
        <f t="shared" si="1"/>
        <v/>
      </c>
    </row>
    <row r="547">
      <c r="F547" s="237"/>
      <c r="G547" s="238" t="str">
        <f t="shared" si="3"/>
        <v/>
      </c>
      <c r="H547" s="238" t="str">
        <f t="shared" si="4"/>
        <v/>
      </c>
      <c r="I547" s="237" t="str">
        <f t="shared" ref="I547:J547" si="539">IF(ISBLANK(C547),,""""&amp;C547&amp;"""")</f>
        <v/>
      </c>
      <c r="J547" s="237" t="str">
        <f t="shared" si="539"/>
        <v/>
      </c>
      <c r="K547" s="237" t="str">
        <f>IF(ISBLANK(F547),,Config!$C$3&amp;"&amp;range=BB"&amp;MATCH(F547,FRG!AC:AC,0))</f>
        <v/>
      </c>
      <c r="M547" s="243" t="str">
        <f>IFERROR(__xludf.DUMMYFUNCTION("IF(ISBLANK(F547),,SUBSTITUTE(IFERROR(JOIN("","",F547:K547),JOIN("","",F547:J547)),CHAR(10),""""))"),"")</f>
        <v/>
      </c>
      <c r="N547" s="229" t="str">
        <f t="shared" si="1"/>
        <v/>
      </c>
    </row>
    <row r="548">
      <c r="F548" s="237"/>
      <c r="G548" s="238" t="str">
        <f t="shared" si="3"/>
        <v/>
      </c>
      <c r="H548" s="238" t="str">
        <f t="shared" si="4"/>
        <v/>
      </c>
      <c r="I548" s="237" t="str">
        <f t="shared" ref="I548:J548" si="540">IF(ISBLANK(C548),,""""&amp;C548&amp;"""")</f>
        <v/>
      </c>
      <c r="J548" s="237" t="str">
        <f t="shared" si="540"/>
        <v/>
      </c>
      <c r="K548" s="237" t="str">
        <f>IF(ISBLANK(F548),,Config!$C$3&amp;"&amp;range=BB"&amp;MATCH(F548,FRG!AC:AC,0))</f>
        <v/>
      </c>
      <c r="M548" s="243" t="str">
        <f>IFERROR(__xludf.DUMMYFUNCTION("IF(ISBLANK(F548),,SUBSTITUTE(IFERROR(JOIN("","",F548:K548),JOIN("","",F548:J548)),CHAR(10),""""))"),"")</f>
        <v/>
      </c>
      <c r="N548" s="229" t="str">
        <f t="shared" si="1"/>
        <v/>
      </c>
    </row>
    <row r="549">
      <c r="F549" s="237"/>
      <c r="G549" s="238" t="str">
        <f t="shared" si="3"/>
        <v/>
      </c>
      <c r="H549" s="238" t="str">
        <f t="shared" si="4"/>
        <v/>
      </c>
      <c r="I549" s="237" t="str">
        <f t="shared" ref="I549:J549" si="541">IF(ISBLANK(C549),,""""&amp;C549&amp;"""")</f>
        <v/>
      </c>
      <c r="J549" s="237" t="str">
        <f t="shared" si="541"/>
        <v/>
      </c>
      <c r="K549" s="237" t="str">
        <f>IF(ISBLANK(F549),,Config!$C$3&amp;"&amp;range=BB"&amp;MATCH(F549,FRG!AC:AC,0))</f>
        <v/>
      </c>
      <c r="M549" s="243" t="str">
        <f>IFERROR(__xludf.DUMMYFUNCTION("IF(ISBLANK(F549),,SUBSTITUTE(IFERROR(JOIN("","",F549:K549),JOIN("","",F549:J549)),CHAR(10),""""))"),"")</f>
        <v/>
      </c>
      <c r="N549" s="229" t="str">
        <f t="shared" si="1"/>
        <v/>
      </c>
    </row>
    <row r="550">
      <c r="F550" s="237"/>
      <c r="G550" s="238" t="str">
        <f t="shared" si="3"/>
        <v/>
      </c>
      <c r="H550" s="238" t="str">
        <f t="shared" si="4"/>
        <v/>
      </c>
      <c r="I550" s="237" t="str">
        <f t="shared" ref="I550:J550" si="542">IF(ISBLANK(C550),,""""&amp;C550&amp;"""")</f>
        <v/>
      </c>
      <c r="J550" s="237" t="str">
        <f t="shared" si="542"/>
        <v/>
      </c>
      <c r="K550" s="237" t="str">
        <f>IF(ISBLANK(F550),,Config!$C$3&amp;"&amp;range=BB"&amp;MATCH(F550,FRG!AC:AC,0))</f>
        <v/>
      </c>
      <c r="M550" s="243" t="str">
        <f>IFERROR(__xludf.DUMMYFUNCTION("IF(ISBLANK(F550),,SUBSTITUTE(IFERROR(JOIN("","",F550:K550),JOIN("","",F550:J550)),CHAR(10),""""))"),"")</f>
        <v/>
      </c>
      <c r="N550" s="229" t="str">
        <f t="shared" si="1"/>
        <v/>
      </c>
    </row>
    <row r="551">
      <c r="F551" s="237"/>
      <c r="G551" s="238" t="str">
        <f t="shared" si="3"/>
        <v/>
      </c>
      <c r="H551" s="238" t="str">
        <f t="shared" si="4"/>
        <v/>
      </c>
      <c r="I551" s="237" t="str">
        <f t="shared" ref="I551:J551" si="543">IF(ISBLANK(C551),,""""&amp;C551&amp;"""")</f>
        <v/>
      </c>
      <c r="J551" s="237" t="str">
        <f t="shared" si="543"/>
        <v/>
      </c>
      <c r="K551" s="237" t="str">
        <f>IF(ISBLANK(F551),,Config!$C$3&amp;"&amp;range=BB"&amp;MATCH(F551,FRG!AC:AC,0))</f>
        <v/>
      </c>
      <c r="M551" s="243" t="str">
        <f>IFERROR(__xludf.DUMMYFUNCTION("IF(ISBLANK(F551),,SUBSTITUTE(IFERROR(JOIN("","",F551:K551),JOIN("","",F551:J551)),CHAR(10),""""))"),"")</f>
        <v/>
      </c>
      <c r="N551" s="229" t="str">
        <f t="shared" si="1"/>
        <v/>
      </c>
    </row>
    <row r="552">
      <c r="F552" s="237"/>
      <c r="G552" s="238" t="str">
        <f t="shared" si="3"/>
        <v/>
      </c>
      <c r="H552" s="238" t="str">
        <f t="shared" si="4"/>
        <v/>
      </c>
      <c r="I552" s="237" t="str">
        <f t="shared" ref="I552:J552" si="544">IF(ISBLANK(C552),,""""&amp;C552&amp;"""")</f>
        <v/>
      </c>
      <c r="J552" s="237" t="str">
        <f t="shared" si="544"/>
        <v/>
      </c>
      <c r="K552" s="237" t="str">
        <f>IF(ISBLANK(F552),,Config!$C$3&amp;"&amp;range=BB"&amp;MATCH(F552,FRG!AC:AC,0))</f>
        <v/>
      </c>
      <c r="M552" s="243" t="str">
        <f>IFERROR(__xludf.DUMMYFUNCTION("IF(ISBLANK(F552),,SUBSTITUTE(IFERROR(JOIN("","",F552:K552),JOIN("","",F552:J552)),CHAR(10),""""))"),"")</f>
        <v/>
      </c>
      <c r="N552" s="229" t="str">
        <f t="shared" si="1"/>
        <v/>
      </c>
    </row>
    <row r="553">
      <c r="F553" s="237"/>
      <c r="G553" s="238" t="str">
        <f t="shared" si="3"/>
        <v/>
      </c>
      <c r="H553" s="238" t="str">
        <f t="shared" si="4"/>
        <v/>
      </c>
      <c r="I553" s="237" t="str">
        <f t="shared" ref="I553:J553" si="545">IF(ISBLANK(C553),,""""&amp;C553&amp;"""")</f>
        <v/>
      </c>
      <c r="J553" s="237" t="str">
        <f t="shared" si="545"/>
        <v/>
      </c>
      <c r="K553" s="237" t="str">
        <f>IF(ISBLANK(F553),,Config!$C$3&amp;"&amp;range=BB"&amp;MATCH(F553,FRG!AC:AC,0))</f>
        <v/>
      </c>
      <c r="M553" s="243" t="str">
        <f>IFERROR(__xludf.DUMMYFUNCTION("IF(ISBLANK(F553),,SUBSTITUTE(IFERROR(JOIN("","",F553:K553),JOIN("","",F553:J553)),CHAR(10),""""))"),"")</f>
        <v/>
      </c>
      <c r="N553" s="229" t="str">
        <f t="shared" si="1"/>
        <v/>
      </c>
    </row>
    <row r="554">
      <c r="F554" s="237"/>
      <c r="G554" s="238" t="str">
        <f t="shared" si="3"/>
        <v/>
      </c>
      <c r="H554" s="238" t="str">
        <f t="shared" si="4"/>
        <v/>
      </c>
      <c r="I554" s="237" t="str">
        <f t="shared" ref="I554:J554" si="546">IF(ISBLANK(C554),,""""&amp;C554&amp;"""")</f>
        <v/>
      </c>
      <c r="J554" s="237" t="str">
        <f t="shared" si="546"/>
        <v/>
      </c>
      <c r="K554" s="237" t="str">
        <f>IF(ISBLANK(F554),,Config!$C$3&amp;"&amp;range=BB"&amp;MATCH(F554,FRG!AC:AC,0))</f>
        <v/>
      </c>
      <c r="M554" s="243" t="str">
        <f>IFERROR(__xludf.DUMMYFUNCTION("IF(ISBLANK(F554),,SUBSTITUTE(IFERROR(JOIN("","",F554:K554),JOIN("","",F554:J554)),CHAR(10),""""))"),"")</f>
        <v/>
      </c>
      <c r="N554" s="229" t="str">
        <f t="shared" si="1"/>
        <v/>
      </c>
    </row>
    <row r="555">
      <c r="F555" s="237"/>
      <c r="G555" s="238" t="str">
        <f t="shared" si="3"/>
        <v/>
      </c>
      <c r="H555" s="238" t="str">
        <f t="shared" si="4"/>
        <v/>
      </c>
      <c r="I555" s="237" t="str">
        <f t="shared" ref="I555:J555" si="547">IF(ISBLANK(C555),,""""&amp;C555&amp;"""")</f>
        <v/>
      </c>
      <c r="J555" s="237" t="str">
        <f t="shared" si="547"/>
        <v/>
      </c>
      <c r="K555" s="237" t="str">
        <f>IF(ISBLANK(F555),,Config!$C$3&amp;"&amp;range=BB"&amp;MATCH(F555,FRG!AC:AC,0))</f>
        <v/>
      </c>
      <c r="M555" s="243" t="str">
        <f>IFERROR(__xludf.DUMMYFUNCTION("IF(ISBLANK(F555),,SUBSTITUTE(IFERROR(JOIN("","",F555:K555),JOIN("","",F555:J555)),CHAR(10),""""))"),"")</f>
        <v/>
      </c>
      <c r="N555" s="229" t="str">
        <f t="shared" si="1"/>
        <v/>
      </c>
    </row>
    <row r="556">
      <c r="F556" s="237"/>
      <c r="G556" s="238" t="str">
        <f t="shared" si="3"/>
        <v/>
      </c>
      <c r="H556" s="238" t="str">
        <f t="shared" si="4"/>
        <v/>
      </c>
      <c r="I556" s="237" t="str">
        <f t="shared" ref="I556:J556" si="548">IF(ISBLANK(C556),,""""&amp;C556&amp;"""")</f>
        <v/>
      </c>
      <c r="J556" s="237" t="str">
        <f t="shared" si="548"/>
        <v/>
      </c>
      <c r="K556" s="237" t="str">
        <f>IF(ISBLANK(F556),,Config!$C$3&amp;"&amp;range=BB"&amp;MATCH(F556,FRG!AC:AC,0))</f>
        <v/>
      </c>
      <c r="M556" s="243" t="str">
        <f>IFERROR(__xludf.DUMMYFUNCTION("IF(ISBLANK(F556),,SUBSTITUTE(IFERROR(JOIN("","",F556:K556),JOIN("","",F556:J556)),CHAR(10),""""))"),"")</f>
        <v/>
      </c>
      <c r="N556" s="229" t="str">
        <f t="shared" si="1"/>
        <v/>
      </c>
    </row>
    <row r="557">
      <c r="F557" s="237"/>
      <c r="G557" s="238" t="str">
        <f t="shared" si="3"/>
        <v/>
      </c>
      <c r="H557" s="238" t="str">
        <f t="shared" si="4"/>
        <v/>
      </c>
      <c r="I557" s="237" t="str">
        <f t="shared" ref="I557:J557" si="549">IF(ISBLANK(C557),,""""&amp;C557&amp;"""")</f>
        <v/>
      </c>
      <c r="J557" s="237" t="str">
        <f t="shared" si="549"/>
        <v/>
      </c>
      <c r="K557" s="237" t="str">
        <f>IF(ISBLANK(F557),,Config!$C$3&amp;"&amp;range=BB"&amp;MATCH(F557,FRG!AC:AC,0))</f>
        <v/>
      </c>
      <c r="M557" s="243" t="str">
        <f>IFERROR(__xludf.DUMMYFUNCTION("IF(ISBLANK(F557),,SUBSTITUTE(IFERROR(JOIN("","",F557:K557),JOIN("","",F557:J557)),CHAR(10),""""))"),"")</f>
        <v/>
      </c>
      <c r="N557" s="229" t="str">
        <f t="shared" si="1"/>
        <v/>
      </c>
    </row>
    <row r="558">
      <c r="F558" s="237"/>
      <c r="G558" s="238" t="str">
        <f t="shared" si="3"/>
        <v/>
      </c>
      <c r="H558" s="238" t="str">
        <f t="shared" si="4"/>
        <v/>
      </c>
      <c r="I558" s="237" t="str">
        <f t="shared" ref="I558:J558" si="550">IF(ISBLANK(C558),,""""&amp;C558&amp;"""")</f>
        <v/>
      </c>
      <c r="J558" s="237" t="str">
        <f t="shared" si="550"/>
        <v/>
      </c>
      <c r="K558" s="237" t="str">
        <f>IF(ISBLANK(F558),,Config!$C$3&amp;"&amp;range=BB"&amp;MATCH(F558,FRG!AC:AC,0))</f>
        <v/>
      </c>
      <c r="M558" s="243" t="str">
        <f>IFERROR(__xludf.DUMMYFUNCTION("IF(ISBLANK(F558),,SUBSTITUTE(IFERROR(JOIN("","",F558:K558),JOIN("","",F558:J558)),CHAR(10),""""))"),"")</f>
        <v/>
      </c>
      <c r="N558" s="229" t="str">
        <f t="shared" si="1"/>
        <v/>
      </c>
    </row>
    <row r="559">
      <c r="F559" s="237"/>
      <c r="G559" s="238" t="str">
        <f t="shared" si="3"/>
        <v/>
      </c>
      <c r="H559" s="238" t="str">
        <f t="shared" si="4"/>
        <v/>
      </c>
      <c r="I559" s="237" t="str">
        <f t="shared" ref="I559:J559" si="551">IF(ISBLANK(C559),,""""&amp;C559&amp;"""")</f>
        <v/>
      </c>
      <c r="J559" s="237" t="str">
        <f t="shared" si="551"/>
        <v/>
      </c>
      <c r="K559" s="237" t="str">
        <f>IF(ISBLANK(F559),,Config!$C$3&amp;"&amp;range=BB"&amp;MATCH(F559,FRG!AC:AC,0))</f>
        <v/>
      </c>
      <c r="M559" s="243" t="str">
        <f>IFERROR(__xludf.DUMMYFUNCTION("IF(ISBLANK(F559),,SUBSTITUTE(IFERROR(JOIN("","",F559:K559),JOIN("","",F559:J559)),CHAR(10),""""))"),"")</f>
        <v/>
      </c>
      <c r="N559" s="229" t="str">
        <f t="shared" si="1"/>
        <v/>
      </c>
    </row>
    <row r="560">
      <c r="F560" s="237"/>
      <c r="G560" s="238" t="str">
        <f t="shared" si="3"/>
        <v/>
      </c>
      <c r="H560" s="238" t="str">
        <f t="shared" si="4"/>
        <v/>
      </c>
      <c r="I560" s="237" t="str">
        <f t="shared" ref="I560:J560" si="552">IF(ISBLANK(C560),,""""&amp;C560&amp;"""")</f>
        <v/>
      </c>
      <c r="J560" s="237" t="str">
        <f t="shared" si="552"/>
        <v/>
      </c>
      <c r="K560" s="237" t="str">
        <f>IF(ISBLANK(F560),,Config!$C$3&amp;"&amp;range=BB"&amp;MATCH(F560,FRG!AC:AC,0))</f>
        <v/>
      </c>
      <c r="M560" s="243" t="str">
        <f>IFERROR(__xludf.DUMMYFUNCTION("IF(ISBLANK(F560),,SUBSTITUTE(IFERROR(JOIN("","",F560:K560),JOIN("","",F560:J560)),CHAR(10),""""))"),"")</f>
        <v/>
      </c>
      <c r="N560" s="229" t="str">
        <f t="shared" si="1"/>
        <v/>
      </c>
    </row>
    <row r="561">
      <c r="F561" s="237"/>
      <c r="G561" s="238" t="str">
        <f t="shared" si="3"/>
        <v/>
      </c>
      <c r="H561" s="238" t="str">
        <f t="shared" si="4"/>
        <v/>
      </c>
      <c r="I561" s="237" t="str">
        <f t="shared" ref="I561:J561" si="553">IF(ISBLANK(C561),,""""&amp;C561&amp;"""")</f>
        <v/>
      </c>
      <c r="J561" s="237" t="str">
        <f t="shared" si="553"/>
        <v/>
      </c>
      <c r="K561" s="237" t="str">
        <f>IF(ISBLANK(F561),,Config!$C$3&amp;"&amp;range=BB"&amp;MATCH(F561,FRG!AC:AC,0))</f>
        <v/>
      </c>
      <c r="M561" s="243" t="str">
        <f>IFERROR(__xludf.DUMMYFUNCTION("IF(ISBLANK(F561),,SUBSTITUTE(IFERROR(JOIN("","",F561:K561),JOIN("","",F561:J561)),CHAR(10),""""))"),"")</f>
        <v/>
      </c>
      <c r="N561" s="229" t="str">
        <f t="shared" si="1"/>
        <v/>
      </c>
    </row>
    <row r="562">
      <c r="F562" s="237"/>
      <c r="G562" s="238" t="str">
        <f t="shared" si="3"/>
        <v/>
      </c>
      <c r="H562" s="238" t="str">
        <f t="shared" si="4"/>
        <v/>
      </c>
      <c r="I562" s="237" t="str">
        <f t="shared" ref="I562:J562" si="554">IF(ISBLANK(C562),,""""&amp;C562&amp;"""")</f>
        <v/>
      </c>
      <c r="J562" s="237" t="str">
        <f t="shared" si="554"/>
        <v/>
      </c>
      <c r="K562" s="237" t="str">
        <f>IF(ISBLANK(F562),,Config!$C$3&amp;"&amp;range=BB"&amp;MATCH(F562,FRG!AC:AC,0))</f>
        <v/>
      </c>
      <c r="M562" s="243" t="str">
        <f>IFERROR(__xludf.DUMMYFUNCTION("IF(ISBLANK(F562),,SUBSTITUTE(IFERROR(JOIN("","",F562:K562),JOIN("","",F562:J562)),CHAR(10),""""))"),"")</f>
        <v/>
      </c>
      <c r="N562" s="229" t="str">
        <f t="shared" si="1"/>
        <v/>
      </c>
    </row>
    <row r="563">
      <c r="F563" s="237"/>
      <c r="G563" s="238" t="str">
        <f t="shared" si="3"/>
        <v/>
      </c>
      <c r="H563" s="238" t="str">
        <f t="shared" si="4"/>
        <v/>
      </c>
      <c r="I563" s="237" t="str">
        <f t="shared" ref="I563:J563" si="555">IF(ISBLANK(C563),,""""&amp;C563&amp;"""")</f>
        <v/>
      </c>
      <c r="J563" s="237" t="str">
        <f t="shared" si="555"/>
        <v/>
      </c>
      <c r="K563" s="237" t="str">
        <f>IF(ISBLANK(F563),,Config!$C$3&amp;"&amp;range=BB"&amp;MATCH(F563,FRG!AC:AC,0))</f>
        <v/>
      </c>
      <c r="M563" s="243" t="str">
        <f>IFERROR(__xludf.DUMMYFUNCTION("IF(ISBLANK(F563),,SUBSTITUTE(IFERROR(JOIN("","",F563:K563),JOIN("","",F563:J563)),CHAR(10),""""))"),"")</f>
        <v/>
      </c>
      <c r="N563" s="229" t="str">
        <f t="shared" si="1"/>
        <v/>
      </c>
    </row>
    <row r="564">
      <c r="F564" s="237"/>
      <c r="G564" s="238" t="str">
        <f t="shared" si="3"/>
        <v/>
      </c>
      <c r="H564" s="238" t="str">
        <f t="shared" si="4"/>
        <v/>
      </c>
      <c r="I564" s="237" t="str">
        <f t="shared" ref="I564:J564" si="556">IF(ISBLANK(C564),,""""&amp;C564&amp;"""")</f>
        <v/>
      </c>
      <c r="J564" s="237" t="str">
        <f t="shared" si="556"/>
        <v/>
      </c>
      <c r="K564" s="237" t="str">
        <f>IF(ISBLANK(F564),,Config!$C$3&amp;"&amp;range=BB"&amp;MATCH(F564,FRG!AC:AC,0))</f>
        <v/>
      </c>
      <c r="M564" s="243" t="str">
        <f>IFERROR(__xludf.DUMMYFUNCTION("IF(ISBLANK(F564),,SUBSTITUTE(IFERROR(JOIN("","",F564:K564),JOIN("","",F564:J564)),CHAR(10),""""))"),"")</f>
        <v/>
      </c>
      <c r="N564" s="229" t="str">
        <f t="shared" si="1"/>
        <v/>
      </c>
    </row>
    <row r="565">
      <c r="F565" s="237"/>
      <c r="G565" s="238" t="str">
        <f t="shared" si="3"/>
        <v/>
      </c>
      <c r="H565" s="238" t="str">
        <f t="shared" si="4"/>
        <v/>
      </c>
      <c r="I565" s="237" t="str">
        <f t="shared" ref="I565:J565" si="557">IF(ISBLANK(C565),,""""&amp;C565&amp;"""")</f>
        <v/>
      </c>
      <c r="J565" s="237" t="str">
        <f t="shared" si="557"/>
        <v/>
      </c>
      <c r="K565" s="237" t="str">
        <f>IF(ISBLANK(F565),,Config!$C$3&amp;"&amp;range=BB"&amp;MATCH(F565,FRG!AC:AC,0))</f>
        <v/>
      </c>
      <c r="M565" s="243" t="str">
        <f>IFERROR(__xludf.DUMMYFUNCTION("IF(ISBLANK(F565),,SUBSTITUTE(IFERROR(JOIN("","",F565:K565),JOIN("","",F565:J565)),CHAR(10),""""))"),"")</f>
        <v/>
      </c>
      <c r="N565" s="229" t="str">
        <f t="shared" si="1"/>
        <v/>
      </c>
    </row>
    <row r="566">
      <c r="F566" s="237"/>
      <c r="G566" s="238" t="str">
        <f t="shared" si="3"/>
        <v/>
      </c>
      <c r="H566" s="238" t="str">
        <f t="shared" si="4"/>
        <v/>
      </c>
      <c r="I566" s="237" t="str">
        <f t="shared" ref="I566:J566" si="558">IF(ISBLANK(C566),,""""&amp;C566&amp;"""")</f>
        <v/>
      </c>
      <c r="J566" s="237" t="str">
        <f t="shared" si="558"/>
        <v/>
      </c>
      <c r="K566" s="237" t="str">
        <f>IF(ISBLANK(F566),,Config!$C$3&amp;"&amp;range=BB"&amp;MATCH(F566,FRG!AC:AC,0))</f>
        <v/>
      </c>
      <c r="M566" s="243" t="str">
        <f>IFERROR(__xludf.DUMMYFUNCTION("IF(ISBLANK(F566),,SUBSTITUTE(IFERROR(JOIN("","",F566:K566),JOIN("","",F566:J566)),CHAR(10),""""))"),"")</f>
        <v/>
      </c>
      <c r="N566" s="229" t="str">
        <f t="shared" si="1"/>
        <v/>
      </c>
    </row>
    <row r="567">
      <c r="F567" s="237"/>
      <c r="G567" s="238" t="str">
        <f t="shared" si="3"/>
        <v/>
      </c>
      <c r="H567" s="238" t="str">
        <f t="shared" si="4"/>
        <v/>
      </c>
      <c r="I567" s="237" t="str">
        <f t="shared" ref="I567:J567" si="559">IF(ISBLANK(C567),,""""&amp;C567&amp;"""")</f>
        <v/>
      </c>
      <c r="J567" s="237" t="str">
        <f t="shared" si="559"/>
        <v/>
      </c>
      <c r="K567" s="237" t="str">
        <f>IF(ISBLANK(F567),,Config!$C$3&amp;"&amp;range=BB"&amp;MATCH(F567,FRG!AC:AC,0))</f>
        <v/>
      </c>
      <c r="M567" s="243" t="str">
        <f>IFERROR(__xludf.DUMMYFUNCTION("IF(ISBLANK(F567),,SUBSTITUTE(IFERROR(JOIN("","",F567:K567),JOIN("","",F567:J567)),CHAR(10),""""))"),"")</f>
        <v/>
      </c>
      <c r="N567" s="229" t="str">
        <f t="shared" si="1"/>
        <v/>
      </c>
    </row>
    <row r="568">
      <c r="F568" s="237"/>
      <c r="G568" s="238" t="str">
        <f t="shared" si="3"/>
        <v/>
      </c>
      <c r="H568" s="238" t="str">
        <f t="shared" si="4"/>
        <v/>
      </c>
      <c r="I568" s="237" t="str">
        <f t="shared" ref="I568:J568" si="560">IF(ISBLANK(C568),,""""&amp;C568&amp;"""")</f>
        <v/>
      </c>
      <c r="J568" s="237" t="str">
        <f t="shared" si="560"/>
        <v/>
      </c>
      <c r="K568" s="237" t="str">
        <f>IF(ISBLANK(F568),,Config!$C$3&amp;"&amp;range=BB"&amp;MATCH(F568,FRG!AC:AC,0))</f>
        <v/>
      </c>
      <c r="M568" s="243" t="str">
        <f>IFERROR(__xludf.DUMMYFUNCTION("IF(ISBLANK(F568),,SUBSTITUTE(IFERROR(JOIN("","",F568:K568),JOIN("","",F568:J568)),CHAR(10),""""))"),"")</f>
        <v/>
      </c>
      <c r="N568" s="229" t="str">
        <f t="shared" si="1"/>
        <v/>
      </c>
    </row>
    <row r="569">
      <c r="F569" s="237"/>
      <c r="G569" s="238" t="str">
        <f t="shared" si="3"/>
        <v/>
      </c>
      <c r="H569" s="238" t="str">
        <f t="shared" si="4"/>
        <v/>
      </c>
      <c r="I569" s="237" t="str">
        <f t="shared" ref="I569:J569" si="561">IF(ISBLANK(C569),,""""&amp;C569&amp;"""")</f>
        <v/>
      </c>
      <c r="J569" s="237" t="str">
        <f t="shared" si="561"/>
        <v/>
      </c>
      <c r="K569" s="237" t="str">
        <f>IF(ISBLANK(F569),,Config!$C$3&amp;"&amp;range=BB"&amp;MATCH(F569,FRG!AC:AC,0))</f>
        <v/>
      </c>
      <c r="M569" s="243" t="str">
        <f>IFERROR(__xludf.DUMMYFUNCTION("IF(ISBLANK(F569),,SUBSTITUTE(IFERROR(JOIN("","",F569:K569),JOIN("","",F569:J569)),CHAR(10),""""))"),"")</f>
        <v/>
      </c>
      <c r="N569" s="229" t="str">
        <f t="shared" si="1"/>
        <v/>
      </c>
    </row>
    <row r="570">
      <c r="F570" s="237"/>
      <c r="G570" s="238" t="str">
        <f t="shared" si="3"/>
        <v/>
      </c>
      <c r="H570" s="238" t="str">
        <f t="shared" si="4"/>
        <v/>
      </c>
      <c r="I570" s="237" t="str">
        <f t="shared" ref="I570:J570" si="562">IF(ISBLANK(C570),,""""&amp;C570&amp;"""")</f>
        <v/>
      </c>
      <c r="J570" s="237" t="str">
        <f t="shared" si="562"/>
        <v/>
      </c>
      <c r="K570" s="237" t="str">
        <f>IF(ISBLANK(F570),,Config!$C$3&amp;"&amp;range=BB"&amp;MATCH(F570,FRG!AC:AC,0))</f>
        <v/>
      </c>
      <c r="M570" s="243" t="str">
        <f>IFERROR(__xludf.DUMMYFUNCTION("IF(ISBLANK(F570),,SUBSTITUTE(IFERROR(JOIN("","",F570:K570),JOIN("","",F570:J570)),CHAR(10),""""))"),"")</f>
        <v/>
      </c>
      <c r="N570" s="229" t="str">
        <f t="shared" si="1"/>
        <v/>
      </c>
    </row>
    <row r="571">
      <c r="F571" s="237"/>
      <c r="G571" s="238" t="str">
        <f t="shared" si="3"/>
        <v/>
      </c>
      <c r="H571" s="238" t="str">
        <f t="shared" si="4"/>
        <v/>
      </c>
      <c r="I571" s="237" t="str">
        <f t="shared" ref="I571:J571" si="563">IF(ISBLANK(C571),,""""&amp;C571&amp;"""")</f>
        <v/>
      </c>
      <c r="J571" s="237" t="str">
        <f t="shared" si="563"/>
        <v/>
      </c>
      <c r="K571" s="237" t="str">
        <f>IF(ISBLANK(F571),,Config!$C$3&amp;"&amp;range=BB"&amp;MATCH(F571,FRG!AC:AC,0))</f>
        <v/>
      </c>
      <c r="M571" s="243" t="str">
        <f>IFERROR(__xludf.DUMMYFUNCTION("IF(ISBLANK(F571),,SUBSTITUTE(IFERROR(JOIN("","",F571:K571),JOIN("","",F571:J571)),CHAR(10),""""))"),"")</f>
        <v/>
      </c>
      <c r="N571" s="229" t="str">
        <f t="shared" si="1"/>
        <v/>
      </c>
    </row>
    <row r="572">
      <c r="F572" s="237"/>
      <c r="G572" s="238" t="str">
        <f t="shared" si="3"/>
        <v/>
      </c>
      <c r="H572" s="238" t="str">
        <f t="shared" si="4"/>
        <v/>
      </c>
      <c r="I572" s="237" t="str">
        <f t="shared" ref="I572:J572" si="564">IF(ISBLANK(C572),,""""&amp;C572&amp;"""")</f>
        <v/>
      </c>
      <c r="J572" s="237" t="str">
        <f t="shared" si="564"/>
        <v/>
      </c>
      <c r="K572" s="237" t="str">
        <f>IF(ISBLANK(F572),,Config!$C$3&amp;"&amp;range=BB"&amp;MATCH(F572,FRG!AC:AC,0))</f>
        <v/>
      </c>
      <c r="M572" s="243" t="str">
        <f>IFERROR(__xludf.DUMMYFUNCTION("IF(ISBLANK(F572),,SUBSTITUTE(IFERROR(JOIN("","",F572:K572),JOIN("","",F572:J572)),CHAR(10),""""))"),"")</f>
        <v/>
      </c>
      <c r="N572" s="229" t="str">
        <f t="shared" si="1"/>
        <v/>
      </c>
    </row>
    <row r="573">
      <c r="F573" s="237"/>
      <c r="G573" s="238" t="str">
        <f t="shared" si="3"/>
        <v/>
      </c>
      <c r="H573" s="238" t="str">
        <f t="shared" si="4"/>
        <v/>
      </c>
      <c r="I573" s="237" t="str">
        <f t="shared" ref="I573:J573" si="565">IF(ISBLANK(C573),,""""&amp;C573&amp;"""")</f>
        <v/>
      </c>
      <c r="J573" s="237" t="str">
        <f t="shared" si="565"/>
        <v/>
      </c>
      <c r="K573" s="237" t="str">
        <f>IF(ISBLANK(F573),,Config!$C$3&amp;"&amp;range=BB"&amp;MATCH(F573,FRG!AC:AC,0))</f>
        <v/>
      </c>
      <c r="M573" s="243" t="str">
        <f>IFERROR(__xludf.DUMMYFUNCTION("IF(ISBLANK(F573),,SUBSTITUTE(IFERROR(JOIN("","",F573:K573),JOIN("","",F573:J573)),CHAR(10),""""))"),"")</f>
        <v/>
      </c>
      <c r="N573" s="229" t="str">
        <f t="shared" si="1"/>
        <v/>
      </c>
    </row>
    <row r="574">
      <c r="F574" s="237"/>
      <c r="G574" s="238" t="str">
        <f t="shared" si="3"/>
        <v/>
      </c>
      <c r="H574" s="238" t="str">
        <f t="shared" si="4"/>
        <v/>
      </c>
      <c r="I574" s="237" t="str">
        <f t="shared" ref="I574:J574" si="566">IF(ISBLANK(C574),,""""&amp;C574&amp;"""")</f>
        <v/>
      </c>
      <c r="J574" s="237" t="str">
        <f t="shared" si="566"/>
        <v/>
      </c>
      <c r="K574" s="237" t="str">
        <f>IF(ISBLANK(F574),,Config!$C$3&amp;"&amp;range=BB"&amp;MATCH(F574,FRG!AC:AC,0))</f>
        <v/>
      </c>
      <c r="M574" s="243" t="str">
        <f>IFERROR(__xludf.DUMMYFUNCTION("IF(ISBLANK(F574),,SUBSTITUTE(IFERROR(JOIN("","",F574:K574),JOIN("","",F574:J574)),CHAR(10),""""))"),"")</f>
        <v/>
      </c>
      <c r="N574" s="229" t="str">
        <f t="shared" si="1"/>
        <v/>
      </c>
    </row>
    <row r="575">
      <c r="F575" s="237"/>
      <c r="G575" s="238" t="str">
        <f t="shared" si="3"/>
        <v/>
      </c>
      <c r="H575" s="238" t="str">
        <f t="shared" si="4"/>
        <v/>
      </c>
      <c r="I575" s="237" t="str">
        <f t="shared" ref="I575:J575" si="567">IF(ISBLANK(C575),,""""&amp;C575&amp;"""")</f>
        <v/>
      </c>
      <c r="J575" s="237" t="str">
        <f t="shared" si="567"/>
        <v/>
      </c>
      <c r="K575" s="237" t="str">
        <f>IF(ISBLANK(F575),,Config!$C$3&amp;"&amp;range=BB"&amp;MATCH(F575,FRG!AC:AC,0))</f>
        <v/>
      </c>
      <c r="M575" s="243" t="str">
        <f>IFERROR(__xludf.DUMMYFUNCTION("IF(ISBLANK(F575),,SUBSTITUTE(IFERROR(JOIN("","",F575:K575),JOIN("","",F575:J575)),CHAR(10),""""))"),"")</f>
        <v/>
      </c>
      <c r="N575" s="229" t="str">
        <f t="shared" si="1"/>
        <v/>
      </c>
    </row>
    <row r="576">
      <c r="F576" s="237"/>
      <c r="G576" s="238" t="str">
        <f t="shared" si="3"/>
        <v/>
      </c>
      <c r="H576" s="238" t="str">
        <f t="shared" si="4"/>
        <v/>
      </c>
      <c r="I576" s="237" t="str">
        <f t="shared" ref="I576:J576" si="568">IF(ISBLANK(C576),,""""&amp;C576&amp;"""")</f>
        <v/>
      </c>
      <c r="J576" s="237" t="str">
        <f t="shared" si="568"/>
        <v/>
      </c>
      <c r="K576" s="237" t="str">
        <f>IF(ISBLANK(F576),,Config!$C$3&amp;"&amp;range=BB"&amp;MATCH(F576,FRG!AC:AC,0))</f>
        <v/>
      </c>
      <c r="M576" s="243" t="str">
        <f>IFERROR(__xludf.DUMMYFUNCTION("IF(ISBLANK(F576),,SUBSTITUTE(IFERROR(JOIN("","",F576:K576),JOIN("","",F576:J576)),CHAR(10),""""))"),"")</f>
        <v/>
      </c>
      <c r="N576" s="229" t="str">
        <f t="shared" si="1"/>
        <v/>
      </c>
    </row>
    <row r="577">
      <c r="F577" s="237"/>
      <c r="G577" s="238" t="str">
        <f t="shared" si="3"/>
        <v/>
      </c>
      <c r="H577" s="238" t="str">
        <f t="shared" si="4"/>
        <v/>
      </c>
      <c r="I577" s="237" t="str">
        <f t="shared" ref="I577:J577" si="569">IF(ISBLANK(C577),,""""&amp;C577&amp;"""")</f>
        <v/>
      </c>
      <c r="J577" s="237" t="str">
        <f t="shared" si="569"/>
        <v/>
      </c>
      <c r="K577" s="237" t="str">
        <f>IF(ISBLANK(F577),,Config!$C$3&amp;"&amp;range=BB"&amp;MATCH(F577,FRG!AC:AC,0))</f>
        <v/>
      </c>
      <c r="M577" s="243" t="str">
        <f>IFERROR(__xludf.DUMMYFUNCTION("IF(ISBLANK(F577),,SUBSTITUTE(IFERROR(JOIN("","",F577:K577),JOIN("","",F577:J577)),CHAR(10),""""))"),"")</f>
        <v/>
      </c>
      <c r="N577" s="229" t="str">
        <f t="shared" si="1"/>
        <v/>
      </c>
    </row>
    <row r="578">
      <c r="F578" s="237"/>
      <c r="G578" s="238" t="str">
        <f t="shared" si="3"/>
        <v/>
      </c>
      <c r="H578" s="238" t="str">
        <f t="shared" si="4"/>
        <v/>
      </c>
      <c r="I578" s="237" t="str">
        <f t="shared" ref="I578:J578" si="570">IF(ISBLANK(C578),,""""&amp;C578&amp;"""")</f>
        <v/>
      </c>
      <c r="J578" s="237" t="str">
        <f t="shared" si="570"/>
        <v/>
      </c>
      <c r="K578" s="237" t="str">
        <f>IF(ISBLANK(F578),,Config!$C$3&amp;"&amp;range=BB"&amp;MATCH(F578,FRG!AC:AC,0))</f>
        <v/>
      </c>
      <c r="M578" s="243" t="str">
        <f>IFERROR(__xludf.DUMMYFUNCTION("IF(ISBLANK(F578),,SUBSTITUTE(IFERROR(JOIN("","",F578:K578),JOIN("","",F578:J578)),CHAR(10),""""))"),"")</f>
        <v/>
      </c>
      <c r="N578" s="229" t="str">
        <f t="shared" si="1"/>
        <v/>
      </c>
    </row>
    <row r="579">
      <c r="F579" s="237"/>
      <c r="G579" s="238" t="str">
        <f t="shared" si="3"/>
        <v/>
      </c>
      <c r="H579" s="238" t="str">
        <f t="shared" si="4"/>
        <v/>
      </c>
      <c r="I579" s="237" t="str">
        <f t="shared" ref="I579:J579" si="571">IF(ISBLANK(C579),,""""&amp;C579&amp;"""")</f>
        <v/>
      </c>
      <c r="J579" s="237" t="str">
        <f t="shared" si="571"/>
        <v/>
      </c>
      <c r="K579" s="237" t="str">
        <f>IF(ISBLANK(F579),,Config!$C$3&amp;"&amp;range=BB"&amp;MATCH(F579,FRG!AC:AC,0))</f>
        <v/>
      </c>
      <c r="M579" s="243" t="str">
        <f>IFERROR(__xludf.DUMMYFUNCTION("IF(ISBLANK(F579),,SUBSTITUTE(IFERROR(JOIN("","",F579:K579),JOIN("","",F579:J579)),CHAR(10),""""))"),"")</f>
        <v/>
      </c>
      <c r="N579" s="229" t="str">
        <f t="shared" si="1"/>
        <v/>
      </c>
    </row>
    <row r="580">
      <c r="F580" s="237"/>
      <c r="G580" s="238" t="str">
        <f t="shared" si="3"/>
        <v/>
      </c>
      <c r="H580" s="238" t="str">
        <f t="shared" si="4"/>
        <v/>
      </c>
      <c r="I580" s="237" t="str">
        <f t="shared" ref="I580:J580" si="572">IF(ISBLANK(C580),,""""&amp;C580&amp;"""")</f>
        <v/>
      </c>
      <c r="J580" s="237" t="str">
        <f t="shared" si="572"/>
        <v/>
      </c>
      <c r="K580" s="237" t="str">
        <f>IF(ISBLANK(F580),,Config!$C$3&amp;"&amp;range=BB"&amp;MATCH(F580,FRG!AC:AC,0))</f>
        <v/>
      </c>
      <c r="M580" s="243" t="str">
        <f>IFERROR(__xludf.DUMMYFUNCTION("IF(ISBLANK(F580),,SUBSTITUTE(IFERROR(JOIN("","",F580:K580),JOIN("","",F580:J580)),CHAR(10),""""))"),"")</f>
        <v/>
      </c>
      <c r="N580" s="229" t="str">
        <f t="shared" si="1"/>
        <v/>
      </c>
    </row>
    <row r="581">
      <c r="F581" s="237"/>
      <c r="G581" s="238" t="str">
        <f t="shared" si="3"/>
        <v/>
      </c>
      <c r="H581" s="238" t="str">
        <f t="shared" si="4"/>
        <v/>
      </c>
      <c r="I581" s="237" t="str">
        <f t="shared" ref="I581:J581" si="573">IF(ISBLANK(C581),,""""&amp;C581&amp;"""")</f>
        <v/>
      </c>
      <c r="J581" s="237" t="str">
        <f t="shared" si="573"/>
        <v/>
      </c>
      <c r="K581" s="237" t="str">
        <f>IF(ISBLANK(F581),,Config!$C$3&amp;"&amp;range=BB"&amp;MATCH(F581,FRG!AC:AC,0))</f>
        <v/>
      </c>
      <c r="M581" s="243" t="str">
        <f>IFERROR(__xludf.DUMMYFUNCTION("IF(ISBLANK(F581),,SUBSTITUTE(IFERROR(JOIN("","",F581:K581),JOIN("","",F581:J581)),CHAR(10),""""))"),"")</f>
        <v/>
      </c>
      <c r="N581" s="229" t="str">
        <f t="shared" si="1"/>
        <v/>
      </c>
    </row>
    <row r="582">
      <c r="F582" s="237"/>
      <c r="G582" s="238" t="str">
        <f t="shared" si="3"/>
        <v/>
      </c>
      <c r="H582" s="238" t="str">
        <f t="shared" si="4"/>
        <v/>
      </c>
      <c r="I582" s="237" t="str">
        <f t="shared" ref="I582:J582" si="574">IF(ISBLANK(C582),,""""&amp;C582&amp;"""")</f>
        <v/>
      </c>
      <c r="J582" s="237" t="str">
        <f t="shared" si="574"/>
        <v/>
      </c>
      <c r="K582" s="237" t="str">
        <f>IF(ISBLANK(F582),,Config!$C$3&amp;"&amp;range=BB"&amp;MATCH(F582,FRG!AC:AC,0))</f>
        <v/>
      </c>
      <c r="M582" s="243" t="str">
        <f>IFERROR(__xludf.DUMMYFUNCTION("IF(ISBLANK(F582),,SUBSTITUTE(IFERROR(JOIN("","",F582:K582),JOIN("","",F582:J582)),CHAR(10),""""))"),"")</f>
        <v/>
      </c>
      <c r="N582" s="229" t="str">
        <f t="shared" si="1"/>
        <v/>
      </c>
    </row>
    <row r="583">
      <c r="F583" s="237"/>
      <c r="G583" s="238" t="str">
        <f t="shared" si="3"/>
        <v/>
      </c>
      <c r="H583" s="238" t="str">
        <f t="shared" si="4"/>
        <v/>
      </c>
      <c r="I583" s="237" t="str">
        <f t="shared" ref="I583:J583" si="575">IF(ISBLANK(C583),,""""&amp;C583&amp;"""")</f>
        <v/>
      </c>
      <c r="J583" s="237" t="str">
        <f t="shared" si="575"/>
        <v/>
      </c>
      <c r="K583" s="237" t="str">
        <f>IF(ISBLANK(F583),,Config!$C$3&amp;"&amp;range=BB"&amp;MATCH(F583,FRG!AC:AC,0))</f>
        <v/>
      </c>
      <c r="M583" s="243" t="str">
        <f>IFERROR(__xludf.DUMMYFUNCTION("IF(ISBLANK(F583),,SUBSTITUTE(IFERROR(JOIN("","",F583:K583),JOIN("","",F583:J583)),CHAR(10),""""))"),"")</f>
        <v/>
      </c>
      <c r="N583" s="229" t="str">
        <f t="shared" si="1"/>
        <v/>
      </c>
    </row>
    <row r="584">
      <c r="F584" s="237"/>
      <c r="G584" s="238" t="str">
        <f t="shared" si="3"/>
        <v/>
      </c>
      <c r="H584" s="238" t="str">
        <f t="shared" si="4"/>
        <v/>
      </c>
      <c r="I584" s="237" t="str">
        <f t="shared" ref="I584:J584" si="576">IF(ISBLANK(C584),,""""&amp;C584&amp;"""")</f>
        <v/>
      </c>
      <c r="J584" s="237" t="str">
        <f t="shared" si="576"/>
        <v/>
      </c>
      <c r="K584" s="237" t="str">
        <f>IF(ISBLANK(F584),,Config!$C$3&amp;"&amp;range=BB"&amp;MATCH(F584,FRG!AC:AC,0))</f>
        <v/>
      </c>
      <c r="M584" s="243" t="str">
        <f>IFERROR(__xludf.DUMMYFUNCTION("IF(ISBLANK(F584),,SUBSTITUTE(IFERROR(JOIN("","",F584:K584),JOIN("","",F584:J584)),CHAR(10),""""))"),"")</f>
        <v/>
      </c>
      <c r="N584" s="229" t="str">
        <f t="shared" si="1"/>
        <v/>
      </c>
    </row>
    <row r="585">
      <c r="F585" s="237"/>
      <c r="G585" s="238" t="str">
        <f t="shared" si="3"/>
        <v/>
      </c>
      <c r="H585" s="238" t="str">
        <f t="shared" si="4"/>
        <v/>
      </c>
      <c r="I585" s="237" t="str">
        <f t="shared" ref="I585:J585" si="577">IF(ISBLANK(C585),,""""&amp;C585&amp;"""")</f>
        <v/>
      </c>
      <c r="J585" s="237" t="str">
        <f t="shared" si="577"/>
        <v/>
      </c>
      <c r="K585" s="237" t="str">
        <f>IF(ISBLANK(F585),,Config!$C$3&amp;"&amp;range=BB"&amp;MATCH(F585,FRG!AC:AC,0))</f>
        <v/>
      </c>
      <c r="M585" s="243" t="str">
        <f>IFERROR(__xludf.DUMMYFUNCTION("IF(ISBLANK(F585),,SUBSTITUTE(IFERROR(JOIN("","",F585:K585),JOIN("","",F585:J585)),CHAR(10),""""))"),"")</f>
        <v/>
      </c>
      <c r="N585" s="229" t="str">
        <f t="shared" si="1"/>
        <v/>
      </c>
    </row>
    <row r="586">
      <c r="F586" s="237"/>
      <c r="G586" s="238" t="str">
        <f t="shared" si="3"/>
        <v/>
      </c>
      <c r="H586" s="238" t="str">
        <f t="shared" si="4"/>
        <v/>
      </c>
      <c r="I586" s="237" t="str">
        <f t="shared" ref="I586:J586" si="578">IF(ISBLANK(C586),,""""&amp;C586&amp;"""")</f>
        <v/>
      </c>
      <c r="J586" s="237" t="str">
        <f t="shared" si="578"/>
        <v/>
      </c>
      <c r="K586" s="237" t="str">
        <f>IF(ISBLANK(F586),,Config!$C$3&amp;"&amp;range=BB"&amp;MATCH(F586,FRG!AC:AC,0))</f>
        <v/>
      </c>
      <c r="M586" s="243" t="str">
        <f>IFERROR(__xludf.DUMMYFUNCTION("IF(ISBLANK(F586),,SUBSTITUTE(IFERROR(JOIN("","",F586:K586),JOIN("","",F586:J586)),CHAR(10),""""))"),"")</f>
        <v/>
      </c>
      <c r="N586" s="229" t="str">
        <f t="shared" si="1"/>
        <v/>
      </c>
    </row>
    <row r="587">
      <c r="F587" s="237"/>
      <c r="G587" s="238" t="str">
        <f t="shared" si="3"/>
        <v/>
      </c>
      <c r="H587" s="238" t="str">
        <f t="shared" si="4"/>
        <v/>
      </c>
      <c r="I587" s="237" t="str">
        <f t="shared" ref="I587:J587" si="579">IF(ISBLANK(C587),,""""&amp;C587&amp;"""")</f>
        <v/>
      </c>
      <c r="J587" s="237" t="str">
        <f t="shared" si="579"/>
        <v/>
      </c>
      <c r="K587" s="237" t="str">
        <f>IF(ISBLANK(F587),,Config!$C$3&amp;"&amp;range=BB"&amp;MATCH(F587,FRG!AC:AC,0))</f>
        <v/>
      </c>
      <c r="M587" s="243" t="str">
        <f>IFERROR(__xludf.DUMMYFUNCTION("IF(ISBLANK(F587),,SUBSTITUTE(IFERROR(JOIN("","",F587:K587),JOIN("","",F587:J587)),CHAR(10),""""))"),"")</f>
        <v/>
      </c>
      <c r="N587" s="229" t="str">
        <f t="shared" si="1"/>
        <v/>
      </c>
    </row>
    <row r="588">
      <c r="F588" s="237"/>
      <c r="G588" s="238" t="str">
        <f t="shared" si="3"/>
        <v/>
      </c>
      <c r="H588" s="238" t="str">
        <f t="shared" si="4"/>
        <v/>
      </c>
      <c r="I588" s="237" t="str">
        <f t="shared" ref="I588:J588" si="580">IF(ISBLANK(C588),,""""&amp;C588&amp;"""")</f>
        <v/>
      </c>
      <c r="J588" s="237" t="str">
        <f t="shared" si="580"/>
        <v/>
      </c>
      <c r="K588" s="237" t="str">
        <f>IF(ISBLANK(F588),,Config!$C$3&amp;"&amp;range=BB"&amp;MATCH(F588,FRG!AC:AC,0))</f>
        <v/>
      </c>
      <c r="M588" s="243" t="str">
        <f>IFERROR(__xludf.DUMMYFUNCTION("IF(ISBLANK(F588),,SUBSTITUTE(IFERROR(JOIN("","",F588:K588),JOIN("","",F588:J588)),CHAR(10),""""))"),"")</f>
        <v/>
      </c>
      <c r="N588" s="229" t="str">
        <f t="shared" si="1"/>
        <v/>
      </c>
    </row>
    <row r="589">
      <c r="F589" s="237"/>
      <c r="G589" s="238" t="str">
        <f t="shared" si="3"/>
        <v/>
      </c>
      <c r="H589" s="238" t="str">
        <f t="shared" si="4"/>
        <v/>
      </c>
      <c r="I589" s="237" t="str">
        <f t="shared" ref="I589:J589" si="581">IF(ISBLANK(C589),,""""&amp;C589&amp;"""")</f>
        <v/>
      </c>
      <c r="J589" s="237" t="str">
        <f t="shared" si="581"/>
        <v/>
      </c>
      <c r="K589" s="237" t="str">
        <f>IF(ISBLANK(F589),,Config!$C$3&amp;"&amp;range=BB"&amp;MATCH(F589,FRG!AC:AC,0))</f>
        <v/>
      </c>
      <c r="M589" s="243" t="str">
        <f>IFERROR(__xludf.DUMMYFUNCTION("IF(ISBLANK(F589),,SUBSTITUTE(IFERROR(JOIN("","",F589:K589),JOIN("","",F589:J589)),CHAR(10),""""))"),"")</f>
        <v/>
      </c>
      <c r="N589" s="229" t="str">
        <f t="shared" si="1"/>
        <v/>
      </c>
    </row>
    <row r="590">
      <c r="F590" s="237"/>
      <c r="G590" s="238" t="str">
        <f t="shared" si="3"/>
        <v/>
      </c>
      <c r="H590" s="238" t="str">
        <f t="shared" si="4"/>
        <v/>
      </c>
      <c r="I590" s="237" t="str">
        <f t="shared" ref="I590:J590" si="582">IF(ISBLANK(C590),,""""&amp;C590&amp;"""")</f>
        <v/>
      </c>
      <c r="J590" s="237" t="str">
        <f t="shared" si="582"/>
        <v/>
      </c>
      <c r="K590" s="237" t="str">
        <f>IF(ISBLANK(F590),,Config!$C$3&amp;"&amp;range=BB"&amp;MATCH(F590,FRG!AC:AC,0))</f>
        <v/>
      </c>
      <c r="M590" s="243" t="str">
        <f>IFERROR(__xludf.DUMMYFUNCTION("IF(ISBLANK(F590),,SUBSTITUTE(IFERROR(JOIN("","",F590:K590),JOIN("","",F590:J590)),CHAR(10),""""))"),"")</f>
        <v/>
      </c>
      <c r="N590" s="229" t="str">
        <f t="shared" si="1"/>
        <v/>
      </c>
    </row>
    <row r="591">
      <c r="F591" s="237"/>
      <c r="G591" s="238" t="str">
        <f t="shared" si="3"/>
        <v/>
      </c>
      <c r="H591" s="238" t="str">
        <f t="shared" si="4"/>
        <v/>
      </c>
      <c r="I591" s="237" t="str">
        <f t="shared" ref="I591:J591" si="583">IF(ISBLANK(C591),,""""&amp;C591&amp;"""")</f>
        <v/>
      </c>
      <c r="J591" s="237" t="str">
        <f t="shared" si="583"/>
        <v/>
      </c>
      <c r="K591" s="237" t="str">
        <f>IF(ISBLANK(F591),,Config!$C$3&amp;"&amp;range=BB"&amp;MATCH(F591,FRG!AC:AC,0))</f>
        <v/>
      </c>
      <c r="M591" s="243" t="str">
        <f>IFERROR(__xludf.DUMMYFUNCTION("IF(ISBLANK(F591),,SUBSTITUTE(IFERROR(JOIN("","",F591:K591),JOIN("","",F591:J591)),CHAR(10),""""))"),"")</f>
        <v/>
      </c>
      <c r="N591" s="229" t="str">
        <f t="shared" si="1"/>
        <v/>
      </c>
    </row>
    <row r="592">
      <c r="F592" s="237"/>
      <c r="G592" s="238" t="str">
        <f t="shared" si="3"/>
        <v/>
      </c>
      <c r="H592" s="238" t="str">
        <f t="shared" si="4"/>
        <v/>
      </c>
      <c r="I592" s="237" t="str">
        <f t="shared" ref="I592:J592" si="584">IF(ISBLANK(C592),,""""&amp;C592&amp;"""")</f>
        <v/>
      </c>
      <c r="J592" s="237" t="str">
        <f t="shared" si="584"/>
        <v/>
      </c>
      <c r="K592" s="237" t="str">
        <f>IF(ISBLANK(F592),,Config!$C$3&amp;"&amp;range=BB"&amp;MATCH(F592,FRG!AC:AC,0))</f>
        <v/>
      </c>
      <c r="M592" s="243" t="str">
        <f>IFERROR(__xludf.DUMMYFUNCTION("IF(ISBLANK(F592),,SUBSTITUTE(IFERROR(JOIN("","",F592:K592),JOIN("","",F592:J592)),CHAR(10),""""))"),"")</f>
        <v/>
      </c>
      <c r="N592" s="229" t="str">
        <f t="shared" si="1"/>
        <v/>
      </c>
    </row>
    <row r="593">
      <c r="F593" s="237"/>
      <c r="G593" s="238" t="str">
        <f t="shared" si="3"/>
        <v/>
      </c>
      <c r="H593" s="238" t="str">
        <f t="shared" si="4"/>
        <v/>
      </c>
      <c r="I593" s="237" t="str">
        <f t="shared" ref="I593:J593" si="585">IF(ISBLANK(C593),,""""&amp;C593&amp;"""")</f>
        <v/>
      </c>
      <c r="J593" s="237" t="str">
        <f t="shared" si="585"/>
        <v/>
      </c>
      <c r="K593" s="237" t="str">
        <f>IF(ISBLANK(F593),,Config!$C$3&amp;"&amp;range=BB"&amp;MATCH(F593,FRG!AC:AC,0))</f>
        <v/>
      </c>
      <c r="M593" s="243" t="str">
        <f>IFERROR(__xludf.DUMMYFUNCTION("IF(ISBLANK(F593),,SUBSTITUTE(IFERROR(JOIN("","",F593:K593),JOIN("","",F593:J593)),CHAR(10),""""))"),"")</f>
        <v/>
      </c>
      <c r="N593" s="229" t="str">
        <f t="shared" si="1"/>
        <v/>
      </c>
    </row>
    <row r="594">
      <c r="F594" s="237"/>
      <c r="G594" s="238" t="str">
        <f t="shared" si="3"/>
        <v/>
      </c>
      <c r="H594" s="238" t="str">
        <f t="shared" si="4"/>
        <v/>
      </c>
      <c r="I594" s="237" t="str">
        <f t="shared" ref="I594:J594" si="586">IF(ISBLANK(C594),,""""&amp;C594&amp;"""")</f>
        <v/>
      </c>
      <c r="J594" s="237" t="str">
        <f t="shared" si="586"/>
        <v/>
      </c>
      <c r="K594" s="237" t="str">
        <f>IF(ISBLANK(F594),,Config!$C$3&amp;"&amp;range=BB"&amp;MATCH(F594,FRG!AC:AC,0))</f>
        <v/>
      </c>
      <c r="M594" s="243" t="str">
        <f>IFERROR(__xludf.DUMMYFUNCTION("IF(ISBLANK(F594),,SUBSTITUTE(IFERROR(JOIN("","",F594:K594),JOIN("","",F594:J594)),CHAR(10),""""))"),"")</f>
        <v/>
      </c>
      <c r="N594" s="229" t="str">
        <f t="shared" si="1"/>
        <v/>
      </c>
    </row>
    <row r="595">
      <c r="F595" s="237"/>
      <c r="G595" s="238" t="str">
        <f t="shared" si="3"/>
        <v/>
      </c>
      <c r="H595" s="238" t="str">
        <f t="shared" si="4"/>
        <v/>
      </c>
      <c r="I595" s="237" t="str">
        <f t="shared" ref="I595:J595" si="587">IF(ISBLANK(C595),,""""&amp;C595&amp;"""")</f>
        <v/>
      </c>
      <c r="J595" s="237" t="str">
        <f t="shared" si="587"/>
        <v/>
      </c>
      <c r="K595" s="237" t="str">
        <f>IF(ISBLANK(F595),,Config!$C$3&amp;"&amp;range=BB"&amp;MATCH(F595,FRG!AC:AC,0))</f>
        <v/>
      </c>
      <c r="M595" s="243" t="str">
        <f>IFERROR(__xludf.DUMMYFUNCTION("IF(ISBLANK(F595),,SUBSTITUTE(IFERROR(JOIN("","",F595:K595),JOIN("","",F595:J595)),CHAR(10),""""))"),"")</f>
        <v/>
      </c>
      <c r="N595" s="229" t="str">
        <f t="shared" si="1"/>
        <v/>
      </c>
    </row>
    <row r="596">
      <c r="F596" s="237"/>
      <c r="G596" s="238" t="str">
        <f t="shared" si="3"/>
        <v/>
      </c>
      <c r="H596" s="238" t="str">
        <f t="shared" si="4"/>
        <v/>
      </c>
      <c r="I596" s="237" t="str">
        <f t="shared" ref="I596:J596" si="588">IF(ISBLANK(C596),,""""&amp;C596&amp;"""")</f>
        <v/>
      </c>
      <c r="J596" s="237" t="str">
        <f t="shared" si="588"/>
        <v/>
      </c>
      <c r="K596" s="237" t="str">
        <f>IF(ISBLANK(F596),,Config!$C$3&amp;"&amp;range=BB"&amp;MATCH(F596,FRG!AC:AC,0))</f>
        <v/>
      </c>
      <c r="M596" s="243" t="str">
        <f>IFERROR(__xludf.DUMMYFUNCTION("IF(ISBLANK(F596),,SUBSTITUTE(IFERROR(JOIN("","",F596:K596),JOIN("","",F596:J596)),CHAR(10),""""))"),"")</f>
        <v/>
      </c>
      <c r="N596" s="229" t="str">
        <f t="shared" si="1"/>
        <v/>
      </c>
    </row>
    <row r="597">
      <c r="F597" s="237"/>
      <c r="G597" s="238" t="str">
        <f t="shared" si="3"/>
        <v/>
      </c>
      <c r="H597" s="238" t="str">
        <f t="shared" si="4"/>
        <v/>
      </c>
      <c r="I597" s="237" t="str">
        <f t="shared" ref="I597:J597" si="589">IF(ISBLANK(C597),,""""&amp;C597&amp;"""")</f>
        <v/>
      </c>
      <c r="J597" s="237" t="str">
        <f t="shared" si="589"/>
        <v/>
      </c>
      <c r="K597" s="237" t="str">
        <f>IF(ISBLANK(F597),,Config!$C$3&amp;"&amp;range=BB"&amp;MATCH(F597,FRG!AC:AC,0))</f>
        <v/>
      </c>
      <c r="M597" s="243" t="str">
        <f>IFERROR(__xludf.DUMMYFUNCTION("IF(ISBLANK(F597),,SUBSTITUTE(IFERROR(JOIN("","",F597:K597),JOIN("","",F597:J597)),CHAR(10),""""))"),"")</f>
        <v/>
      </c>
      <c r="N597" s="229" t="str">
        <f t="shared" si="1"/>
        <v/>
      </c>
    </row>
    <row r="598">
      <c r="F598" s="237"/>
      <c r="G598" s="238" t="str">
        <f t="shared" si="3"/>
        <v/>
      </c>
      <c r="H598" s="238" t="str">
        <f t="shared" si="4"/>
        <v/>
      </c>
      <c r="I598" s="237" t="str">
        <f t="shared" ref="I598:J598" si="590">IF(ISBLANK(C598),,""""&amp;C598&amp;"""")</f>
        <v/>
      </c>
      <c r="J598" s="237" t="str">
        <f t="shared" si="590"/>
        <v/>
      </c>
      <c r="K598" s="237" t="str">
        <f>IF(ISBLANK(F598),,Config!$C$3&amp;"&amp;range=BB"&amp;MATCH(F598,FRG!AC:AC,0))</f>
        <v/>
      </c>
      <c r="M598" s="243" t="str">
        <f>IFERROR(__xludf.DUMMYFUNCTION("IF(ISBLANK(F598),,SUBSTITUTE(IFERROR(JOIN("","",F598:K598),JOIN("","",F598:J598)),CHAR(10),""""))"),"")</f>
        <v/>
      </c>
      <c r="N598" s="229" t="str">
        <f t="shared" si="1"/>
        <v/>
      </c>
    </row>
    <row r="599">
      <c r="F599" s="237"/>
      <c r="G599" s="238" t="str">
        <f t="shared" si="3"/>
        <v/>
      </c>
      <c r="H599" s="238" t="str">
        <f t="shared" si="4"/>
        <v/>
      </c>
      <c r="I599" s="237" t="str">
        <f t="shared" ref="I599:J599" si="591">IF(ISBLANK(C599),,""""&amp;C599&amp;"""")</f>
        <v/>
      </c>
      <c r="J599" s="237" t="str">
        <f t="shared" si="591"/>
        <v/>
      </c>
      <c r="K599" s="237" t="str">
        <f>IF(ISBLANK(F599),,Config!$C$3&amp;"&amp;range=BB"&amp;MATCH(F599,FRG!AC:AC,0))</f>
        <v/>
      </c>
      <c r="M599" s="243" t="str">
        <f>IFERROR(__xludf.DUMMYFUNCTION("IF(ISBLANK(F599),,SUBSTITUTE(IFERROR(JOIN("","",F599:K599),JOIN("","",F599:J599)),CHAR(10),""""))"),"")</f>
        <v/>
      </c>
      <c r="N599" s="229" t="str">
        <f t="shared" si="1"/>
        <v/>
      </c>
    </row>
    <row r="600">
      <c r="F600" s="237"/>
      <c r="G600" s="238" t="str">
        <f t="shared" si="3"/>
        <v/>
      </c>
      <c r="H600" s="238" t="str">
        <f t="shared" si="4"/>
        <v/>
      </c>
      <c r="I600" s="237" t="str">
        <f t="shared" ref="I600:J600" si="592">IF(ISBLANK(C600),,""""&amp;C600&amp;"""")</f>
        <v/>
      </c>
      <c r="J600" s="237" t="str">
        <f t="shared" si="592"/>
        <v/>
      </c>
      <c r="K600" s="237" t="str">
        <f>IF(ISBLANK(F600),,Config!$C$3&amp;"&amp;range=BB"&amp;MATCH(F600,FRG!AC:AC,0))</f>
        <v/>
      </c>
      <c r="M600" s="243" t="str">
        <f>IFERROR(__xludf.DUMMYFUNCTION("IF(ISBLANK(F600),,SUBSTITUTE(IFERROR(JOIN("","",F600:K600),JOIN("","",F600:J600)),CHAR(10),""""))"),"")</f>
        <v/>
      </c>
      <c r="N600" s="229" t="str">
        <f t="shared" si="1"/>
        <v/>
      </c>
    </row>
    <row r="601">
      <c r="F601" s="237"/>
      <c r="G601" s="238" t="str">
        <f t="shared" si="3"/>
        <v/>
      </c>
      <c r="H601" s="238" t="str">
        <f t="shared" si="4"/>
        <v/>
      </c>
      <c r="I601" s="237" t="str">
        <f t="shared" ref="I601:J601" si="593">IF(ISBLANK(C601),,""""&amp;C601&amp;"""")</f>
        <v/>
      </c>
      <c r="J601" s="237" t="str">
        <f t="shared" si="593"/>
        <v/>
      </c>
      <c r="K601" s="237" t="str">
        <f>IF(ISBLANK(F601),,Config!$C$3&amp;"&amp;range=BB"&amp;MATCH(F601,FRG!AC:AC,0))</f>
        <v/>
      </c>
      <c r="M601" s="243" t="str">
        <f>IFERROR(__xludf.DUMMYFUNCTION("IF(ISBLANK(F601),,SUBSTITUTE(IFERROR(JOIN("","",F601:K601),JOIN("","",F601:J601)),CHAR(10),""""))"),"")</f>
        <v/>
      </c>
      <c r="N601" s="229" t="str">
        <f t="shared" si="1"/>
        <v/>
      </c>
    </row>
    <row r="602">
      <c r="F602" s="237"/>
      <c r="G602" s="238" t="str">
        <f t="shared" si="3"/>
        <v/>
      </c>
      <c r="H602" s="238" t="str">
        <f t="shared" si="4"/>
        <v/>
      </c>
      <c r="I602" s="237" t="str">
        <f t="shared" ref="I602:J602" si="594">IF(ISBLANK(C602),,""""&amp;C602&amp;"""")</f>
        <v/>
      </c>
      <c r="J602" s="237" t="str">
        <f t="shared" si="594"/>
        <v/>
      </c>
      <c r="K602" s="237" t="str">
        <f>IF(ISBLANK(F602),,Config!$C$3&amp;"&amp;range=BB"&amp;MATCH(F602,FRG!AC:AC,0))</f>
        <v/>
      </c>
      <c r="M602" s="243" t="str">
        <f>IFERROR(__xludf.DUMMYFUNCTION("IF(ISBLANK(F602),,SUBSTITUTE(IFERROR(JOIN("","",F602:K602),JOIN("","",F602:J602)),CHAR(10),""""))"),"")</f>
        <v/>
      </c>
      <c r="N602" s="229" t="str">
        <f t="shared" si="1"/>
        <v/>
      </c>
    </row>
    <row r="603">
      <c r="F603" s="237"/>
      <c r="G603" s="238" t="str">
        <f t="shared" si="3"/>
        <v/>
      </c>
      <c r="H603" s="238" t="str">
        <f t="shared" si="4"/>
        <v/>
      </c>
      <c r="I603" s="237" t="str">
        <f t="shared" ref="I603:J603" si="595">IF(ISBLANK(C603),,""""&amp;C603&amp;"""")</f>
        <v/>
      </c>
      <c r="J603" s="237" t="str">
        <f t="shared" si="595"/>
        <v/>
      </c>
      <c r="K603" s="237" t="str">
        <f>IF(ISBLANK(F603),,Config!$C$3&amp;"&amp;range=BB"&amp;MATCH(F603,FRG!AC:AC,0))</f>
        <v/>
      </c>
      <c r="M603" s="243" t="str">
        <f>IFERROR(__xludf.DUMMYFUNCTION("IF(ISBLANK(F603),,SUBSTITUTE(IFERROR(JOIN("","",F603:K603),JOIN("","",F603:J603)),CHAR(10),""""))"),"")</f>
        <v/>
      </c>
      <c r="N603" s="229" t="str">
        <f t="shared" si="1"/>
        <v/>
      </c>
    </row>
    <row r="604">
      <c r="F604" s="237"/>
      <c r="G604" s="238" t="str">
        <f t="shared" si="3"/>
        <v/>
      </c>
      <c r="H604" s="238" t="str">
        <f t="shared" si="4"/>
        <v/>
      </c>
      <c r="I604" s="237" t="str">
        <f t="shared" ref="I604:J604" si="596">IF(ISBLANK(C604),,""""&amp;C604&amp;"""")</f>
        <v/>
      </c>
      <c r="J604" s="237" t="str">
        <f t="shared" si="596"/>
        <v/>
      </c>
      <c r="K604" s="237" t="str">
        <f>IF(ISBLANK(F604),,Config!$C$3&amp;"&amp;range=BB"&amp;MATCH(F604,FRG!AC:AC,0))</f>
        <v/>
      </c>
      <c r="M604" s="243" t="str">
        <f>IFERROR(__xludf.DUMMYFUNCTION("IF(ISBLANK(F604),,SUBSTITUTE(IFERROR(JOIN("","",F604:K604),JOIN("","",F604:J604)),CHAR(10),""""))"),"")</f>
        <v/>
      </c>
      <c r="N604" s="229" t="str">
        <f t="shared" si="1"/>
        <v/>
      </c>
    </row>
    <row r="605">
      <c r="F605" s="237"/>
      <c r="G605" s="238" t="str">
        <f t="shared" si="3"/>
        <v/>
      </c>
      <c r="H605" s="238" t="str">
        <f t="shared" si="4"/>
        <v/>
      </c>
      <c r="I605" s="237" t="str">
        <f t="shared" ref="I605:J605" si="597">IF(ISBLANK(C605),,""""&amp;C605&amp;"""")</f>
        <v/>
      </c>
      <c r="J605" s="237" t="str">
        <f t="shared" si="597"/>
        <v/>
      </c>
      <c r="K605" s="237" t="str">
        <f>IF(ISBLANK(F605),,Config!$C$3&amp;"&amp;range=BB"&amp;MATCH(F605,FRG!AC:AC,0))</f>
        <v/>
      </c>
      <c r="M605" s="243" t="str">
        <f>IFERROR(__xludf.DUMMYFUNCTION("IF(ISBLANK(F605),,SUBSTITUTE(IFERROR(JOIN("","",F605:K605),JOIN("","",F605:J605)),CHAR(10),""""))"),"")</f>
        <v/>
      </c>
      <c r="N605" s="229" t="str">
        <f t="shared" si="1"/>
        <v/>
      </c>
    </row>
    <row r="606">
      <c r="F606" s="237"/>
      <c r="G606" s="238" t="str">
        <f t="shared" si="3"/>
        <v/>
      </c>
      <c r="H606" s="238" t="str">
        <f t="shared" si="4"/>
        <v/>
      </c>
      <c r="I606" s="237" t="str">
        <f t="shared" ref="I606:J606" si="598">IF(ISBLANK(C606),,""""&amp;C606&amp;"""")</f>
        <v/>
      </c>
      <c r="J606" s="237" t="str">
        <f t="shared" si="598"/>
        <v/>
      </c>
      <c r="K606" s="237" t="str">
        <f>IF(ISBLANK(F606),,Config!$C$3&amp;"&amp;range=BB"&amp;MATCH(F606,FRG!AC:AC,0))</f>
        <v/>
      </c>
      <c r="M606" s="243" t="str">
        <f>IFERROR(__xludf.DUMMYFUNCTION("IF(ISBLANK(F606),,SUBSTITUTE(IFERROR(JOIN("","",F606:K606),JOIN("","",F606:J606)),CHAR(10),""""))"),"")</f>
        <v/>
      </c>
      <c r="N606" s="229" t="str">
        <f t="shared" si="1"/>
        <v/>
      </c>
    </row>
    <row r="607">
      <c r="F607" s="237"/>
      <c r="G607" s="238" t="str">
        <f t="shared" si="3"/>
        <v/>
      </c>
      <c r="H607" s="238" t="str">
        <f t="shared" si="4"/>
        <v/>
      </c>
      <c r="I607" s="237" t="str">
        <f t="shared" ref="I607:J607" si="599">IF(ISBLANK(C607),,""""&amp;C607&amp;"""")</f>
        <v/>
      </c>
      <c r="J607" s="237" t="str">
        <f t="shared" si="599"/>
        <v/>
      </c>
      <c r="K607" s="237" t="str">
        <f>IF(ISBLANK(F607),,Config!$C$3&amp;"&amp;range=BB"&amp;MATCH(F607,FRG!AC:AC,0))</f>
        <v/>
      </c>
      <c r="M607" s="243" t="str">
        <f>IFERROR(__xludf.DUMMYFUNCTION("IF(ISBLANK(F607),,SUBSTITUTE(IFERROR(JOIN("","",F607:K607),JOIN("","",F607:J607)),CHAR(10),""""))"),"")</f>
        <v/>
      </c>
      <c r="N607" s="229" t="str">
        <f t="shared" si="1"/>
        <v/>
      </c>
    </row>
    <row r="608">
      <c r="F608" s="237"/>
      <c r="G608" s="238" t="str">
        <f t="shared" si="3"/>
        <v/>
      </c>
      <c r="H608" s="238" t="str">
        <f t="shared" si="4"/>
        <v/>
      </c>
      <c r="I608" s="237" t="str">
        <f t="shared" ref="I608:J608" si="600">IF(ISBLANK(C608),,""""&amp;C608&amp;"""")</f>
        <v/>
      </c>
      <c r="J608" s="237" t="str">
        <f t="shared" si="600"/>
        <v/>
      </c>
      <c r="K608" s="237" t="str">
        <f>IF(ISBLANK(F608),,Config!$C$3&amp;"&amp;range=BB"&amp;MATCH(F608,FRG!AC:AC,0))</f>
        <v/>
      </c>
      <c r="M608" s="243" t="str">
        <f>IFERROR(__xludf.DUMMYFUNCTION("IF(ISBLANK(F608),,SUBSTITUTE(IFERROR(JOIN("","",F608:K608),JOIN("","",F608:J608)),CHAR(10),""""))"),"")</f>
        <v/>
      </c>
      <c r="N608" s="229" t="str">
        <f t="shared" si="1"/>
        <v/>
      </c>
    </row>
    <row r="609">
      <c r="F609" s="237"/>
      <c r="G609" s="238" t="str">
        <f t="shared" si="3"/>
        <v/>
      </c>
      <c r="H609" s="238" t="str">
        <f t="shared" si="4"/>
        <v/>
      </c>
      <c r="I609" s="237" t="str">
        <f t="shared" ref="I609:J609" si="601">IF(ISBLANK(C609),,""""&amp;C609&amp;"""")</f>
        <v/>
      </c>
      <c r="J609" s="237" t="str">
        <f t="shared" si="601"/>
        <v/>
      </c>
      <c r="K609" s="237" t="str">
        <f>IF(ISBLANK(F609),,Config!$C$3&amp;"&amp;range=BB"&amp;MATCH(F609,FRG!AC:AC,0))</f>
        <v/>
      </c>
      <c r="M609" s="243" t="str">
        <f>IFERROR(__xludf.DUMMYFUNCTION("IF(ISBLANK(F609),,SUBSTITUTE(IFERROR(JOIN("","",F609:K609),JOIN("","",F609:J609)),CHAR(10),""""))"),"")</f>
        <v/>
      </c>
      <c r="N609" s="229" t="str">
        <f t="shared" si="1"/>
        <v/>
      </c>
    </row>
    <row r="610">
      <c r="F610" s="237"/>
      <c r="G610" s="238" t="str">
        <f t="shared" si="3"/>
        <v/>
      </c>
      <c r="H610" s="238" t="str">
        <f t="shared" si="4"/>
        <v/>
      </c>
      <c r="I610" s="237" t="str">
        <f t="shared" ref="I610:J610" si="602">IF(ISBLANK(C610),,""""&amp;C610&amp;"""")</f>
        <v/>
      </c>
      <c r="J610" s="237" t="str">
        <f t="shared" si="602"/>
        <v/>
      </c>
      <c r="K610" s="237" t="str">
        <f>IF(ISBLANK(F610),,Config!$C$3&amp;"&amp;range=BB"&amp;MATCH(F610,FRG!AC:AC,0))</f>
        <v/>
      </c>
      <c r="M610" s="243" t="str">
        <f>IFERROR(__xludf.DUMMYFUNCTION("IF(ISBLANK(F610),,SUBSTITUTE(IFERROR(JOIN("","",F610:K610),JOIN("","",F610:J610)),CHAR(10),""""))"),"")</f>
        <v/>
      </c>
      <c r="N610" s="229" t="str">
        <f t="shared" si="1"/>
        <v/>
      </c>
    </row>
    <row r="611">
      <c r="F611" s="237"/>
      <c r="G611" s="238" t="str">
        <f t="shared" si="3"/>
        <v/>
      </c>
      <c r="H611" s="238" t="str">
        <f t="shared" si="4"/>
        <v/>
      </c>
      <c r="I611" s="237" t="str">
        <f t="shared" ref="I611:J611" si="603">IF(ISBLANK(C611),,""""&amp;C611&amp;"""")</f>
        <v/>
      </c>
      <c r="J611" s="237" t="str">
        <f t="shared" si="603"/>
        <v/>
      </c>
      <c r="K611" s="237" t="str">
        <f>IF(ISBLANK(F611),,Config!$C$3&amp;"&amp;range=BB"&amp;MATCH(F611,FRG!AC:AC,0))</f>
        <v/>
      </c>
      <c r="M611" s="243" t="str">
        <f>IFERROR(__xludf.DUMMYFUNCTION("IF(ISBLANK(F611),,SUBSTITUTE(IFERROR(JOIN("","",F611:K611),JOIN("","",F611:J611)),CHAR(10),""""))"),"")</f>
        <v/>
      </c>
      <c r="N611" s="229" t="str">
        <f t="shared" si="1"/>
        <v/>
      </c>
    </row>
    <row r="612">
      <c r="F612" s="237"/>
      <c r="G612" s="238" t="str">
        <f t="shared" si="3"/>
        <v/>
      </c>
      <c r="H612" s="238" t="str">
        <f t="shared" si="4"/>
        <v/>
      </c>
      <c r="I612" s="237" t="str">
        <f t="shared" ref="I612:J612" si="604">IF(ISBLANK(C612),,""""&amp;C612&amp;"""")</f>
        <v/>
      </c>
      <c r="J612" s="237" t="str">
        <f t="shared" si="604"/>
        <v/>
      </c>
      <c r="K612" s="237" t="str">
        <f>IF(ISBLANK(F612),,Config!$C$3&amp;"&amp;range=BB"&amp;MATCH(F612,FRG!AC:AC,0))</f>
        <v/>
      </c>
      <c r="M612" s="243" t="str">
        <f>IFERROR(__xludf.DUMMYFUNCTION("IF(ISBLANK(F612),,SUBSTITUTE(IFERROR(JOIN("","",F612:K612),JOIN("","",F612:J612)),CHAR(10),""""))"),"")</f>
        <v/>
      </c>
      <c r="N612" s="229" t="str">
        <f t="shared" si="1"/>
        <v/>
      </c>
    </row>
    <row r="613">
      <c r="F613" s="237"/>
      <c r="G613" s="238" t="str">
        <f t="shared" si="3"/>
        <v/>
      </c>
      <c r="H613" s="238" t="str">
        <f t="shared" si="4"/>
        <v/>
      </c>
      <c r="I613" s="237" t="str">
        <f t="shared" ref="I613:J613" si="605">IF(ISBLANK(C613),,""""&amp;C613&amp;"""")</f>
        <v/>
      </c>
      <c r="J613" s="237" t="str">
        <f t="shared" si="605"/>
        <v/>
      </c>
      <c r="K613" s="237" t="str">
        <f>IF(ISBLANK(F613),,Config!$C$3&amp;"&amp;range=BB"&amp;MATCH(F613,FRG!AC:AC,0))</f>
        <v/>
      </c>
      <c r="M613" s="243" t="str">
        <f>IFERROR(__xludf.DUMMYFUNCTION("IF(ISBLANK(F613),,SUBSTITUTE(IFERROR(JOIN("","",F613:K613),JOIN("","",F613:J613)),CHAR(10),""""))"),"")</f>
        <v/>
      </c>
      <c r="N613" s="229" t="str">
        <f t="shared" si="1"/>
        <v/>
      </c>
    </row>
    <row r="614">
      <c r="F614" s="237"/>
      <c r="G614" s="238" t="str">
        <f t="shared" si="3"/>
        <v/>
      </c>
      <c r="H614" s="238" t="str">
        <f t="shared" si="4"/>
        <v/>
      </c>
      <c r="I614" s="237" t="str">
        <f t="shared" ref="I614:J614" si="606">IF(ISBLANK(C614),,""""&amp;C614&amp;"""")</f>
        <v/>
      </c>
      <c r="J614" s="237" t="str">
        <f t="shared" si="606"/>
        <v/>
      </c>
      <c r="K614" s="237" t="str">
        <f>IF(ISBLANK(F614),,Config!$C$3&amp;"&amp;range=BB"&amp;MATCH(F614,FRG!AC:AC,0))</f>
        <v/>
      </c>
      <c r="M614" s="243" t="str">
        <f>IFERROR(__xludf.DUMMYFUNCTION("IF(ISBLANK(F614),,SUBSTITUTE(IFERROR(JOIN("","",F614:K614),JOIN("","",F614:J614)),CHAR(10),""""))"),"")</f>
        <v/>
      </c>
      <c r="N614" s="229" t="str">
        <f t="shared" si="1"/>
        <v/>
      </c>
    </row>
    <row r="615">
      <c r="F615" s="237"/>
      <c r="G615" s="238" t="str">
        <f t="shared" si="3"/>
        <v/>
      </c>
      <c r="H615" s="238" t="str">
        <f t="shared" si="4"/>
        <v/>
      </c>
      <c r="I615" s="237" t="str">
        <f t="shared" ref="I615:J615" si="607">IF(ISBLANK(C615),,""""&amp;C615&amp;"""")</f>
        <v/>
      </c>
      <c r="J615" s="237" t="str">
        <f t="shared" si="607"/>
        <v/>
      </c>
      <c r="K615" s="237" t="str">
        <f>IF(ISBLANK(F615),,Config!$C$3&amp;"&amp;range=BB"&amp;MATCH(F615,FRG!AC:AC,0))</f>
        <v/>
      </c>
      <c r="M615" s="243" t="str">
        <f>IFERROR(__xludf.DUMMYFUNCTION("IF(ISBLANK(F615),,SUBSTITUTE(IFERROR(JOIN("","",F615:K615),JOIN("","",F615:J615)),CHAR(10),""""))"),"")</f>
        <v/>
      </c>
      <c r="N615" s="229" t="str">
        <f t="shared" si="1"/>
        <v/>
      </c>
    </row>
    <row r="616">
      <c r="F616" s="237"/>
      <c r="G616" s="238" t="str">
        <f t="shared" si="3"/>
        <v/>
      </c>
      <c r="H616" s="238" t="str">
        <f t="shared" si="4"/>
        <v/>
      </c>
      <c r="I616" s="237" t="str">
        <f t="shared" ref="I616:J616" si="608">IF(ISBLANK(C616),,""""&amp;C616&amp;"""")</f>
        <v/>
      </c>
      <c r="J616" s="237" t="str">
        <f t="shared" si="608"/>
        <v/>
      </c>
      <c r="K616" s="237" t="str">
        <f>IF(ISBLANK(F616),,Config!$C$3&amp;"&amp;range=BB"&amp;MATCH(F616,FRG!AC:AC,0))</f>
        <v/>
      </c>
      <c r="M616" s="243" t="str">
        <f>IFERROR(__xludf.DUMMYFUNCTION("IF(ISBLANK(F616),,SUBSTITUTE(IFERROR(JOIN("","",F616:K616),JOIN("","",F616:J616)),CHAR(10),""""))"),"")</f>
        <v/>
      </c>
      <c r="N616" s="229" t="str">
        <f t="shared" si="1"/>
        <v/>
      </c>
    </row>
    <row r="617">
      <c r="F617" s="237"/>
      <c r="G617" s="238" t="str">
        <f t="shared" si="3"/>
        <v/>
      </c>
      <c r="H617" s="238" t="str">
        <f t="shared" si="4"/>
        <v/>
      </c>
      <c r="I617" s="237" t="str">
        <f t="shared" ref="I617:J617" si="609">IF(ISBLANK(C617),,""""&amp;C617&amp;"""")</f>
        <v/>
      </c>
      <c r="J617" s="237" t="str">
        <f t="shared" si="609"/>
        <v/>
      </c>
      <c r="K617" s="237" t="str">
        <f>IF(ISBLANK(F617),,Config!$C$3&amp;"&amp;range=BB"&amp;MATCH(F617,FRG!AC:AC,0))</f>
        <v/>
      </c>
      <c r="M617" s="243" t="str">
        <f>IFERROR(__xludf.DUMMYFUNCTION("IF(ISBLANK(F617),,SUBSTITUTE(IFERROR(JOIN("","",F617:K617),JOIN("","",F617:J617)),CHAR(10),""""))"),"")</f>
        <v/>
      </c>
      <c r="N617" s="229" t="str">
        <f t="shared" si="1"/>
        <v/>
      </c>
    </row>
    <row r="618">
      <c r="F618" s="237"/>
      <c r="G618" s="238" t="str">
        <f t="shared" si="3"/>
        <v/>
      </c>
      <c r="H618" s="238" t="str">
        <f t="shared" si="4"/>
        <v/>
      </c>
      <c r="I618" s="237" t="str">
        <f t="shared" ref="I618:J618" si="610">IF(ISBLANK(C618),,""""&amp;C618&amp;"""")</f>
        <v/>
      </c>
      <c r="J618" s="237" t="str">
        <f t="shared" si="610"/>
        <v/>
      </c>
      <c r="K618" s="237" t="str">
        <f>IF(ISBLANK(F618),,Config!$C$3&amp;"&amp;range=BB"&amp;MATCH(F618,FRG!AC:AC,0))</f>
        <v/>
      </c>
      <c r="M618" s="243" t="str">
        <f>IFERROR(__xludf.DUMMYFUNCTION("IF(ISBLANK(F618),,SUBSTITUTE(IFERROR(JOIN("","",F618:K618),JOIN("","",F618:J618)),CHAR(10),""""))"),"")</f>
        <v/>
      </c>
      <c r="N618" s="229" t="str">
        <f t="shared" si="1"/>
        <v/>
      </c>
    </row>
    <row r="619">
      <c r="F619" s="237"/>
      <c r="G619" s="238" t="str">
        <f t="shared" si="3"/>
        <v/>
      </c>
      <c r="H619" s="238" t="str">
        <f t="shared" si="4"/>
        <v/>
      </c>
      <c r="I619" s="237" t="str">
        <f t="shared" ref="I619:J619" si="611">IF(ISBLANK(C619),,""""&amp;C619&amp;"""")</f>
        <v/>
      </c>
      <c r="J619" s="237" t="str">
        <f t="shared" si="611"/>
        <v/>
      </c>
      <c r="K619" s="237" t="str">
        <f>IF(ISBLANK(F619),,Config!$C$3&amp;"&amp;range=BB"&amp;MATCH(F619,FRG!AC:AC,0))</f>
        <v/>
      </c>
      <c r="M619" s="243" t="str">
        <f>IFERROR(__xludf.DUMMYFUNCTION("IF(ISBLANK(F619),,SUBSTITUTE(IFERROR(JOIN("","",F619:K619),JOIN("","",F619:J619)),CHAR(10),""""))"),"")</f>
        <v/>
      </c>
      <c r="N619" s="229" t="str">
        <f t="shared" si="1"/>
        <v/>
      </c>
    </row>
    <row r="620">
      <c r="F620" s="237"/>
      <c r="G620" s="238" t="str">
        <f t="shared" si="3"/>
        <v/>
      </c>
      <c r="H620" s="238" t="str">
        <f t="shared" si="4"/>
        <v/>
      </c>
      <c r="I620" s="237" t="str">
        <f t="shared" ref="I620:J620" si="612">IF(ISBLANK(C620),,""""&amp;C620&amp;"""")</f>
        <v/>
      </c>
      <c r="J620" s="237" t="str">
        <f t="shared" si="612"/>
        <v/>
      </c>
      <c r="K620" s="237" t="str">
        <f>IF(ISBLANK(F620),,Config!$C$3&amp;"&amp;range=BB"&amp;MATCH(F620,FRG!AC:AC,0))</f>
        <v/>
      </c>
      <c r="M620" s="243" t="str">
        <f>IFERROR(__xludf.DUMMYFUNCTION("IF(ISBLANK(F620),,SUBSTITUTE(IFERROR(JOIN("","",F620:K620),JOIN("","",F620:J620)),CHAR(10),""""))"),"")</f>
        <v/>
      </c>
      <c r="N620" s="229" t="str">
        <f t="shared" si="1"/>
        <v/>
      </c>
    </row>
    <row r="621">
      <c r="F621" s="237"/>
      <c r="G621" s="238" t="str">
        <f t="shared" si="3"/>
        <v/>
      </c>
      <c r="H621" s="238" t="str">
        <f t="shared" si="4"/>
        <v/>
      </c>
      <c r="I621" s="237" t="str">
        <f t="shared" ref="I621:J621" si="613">IF(ISBLANK(C621),,""""&amp;C621&amp;"""")</f>
        <v/>
      </c>
      <c r="J621" s="237" t="str">
        <f t="shared" si="613"/>
        <v/>
      </c>
      <c r="K621" s="237" t="str">
        <f>IF(ISBLANK(F621),,Config!$C$3&amp;"&amp;range=BB"&amp;MATCH(F621,FRG!AC:AC,0))</f>
        <v/>
      </c>
      <c r="M621" s="243" t="str">
        <f>IFERROR(__xludf.DUMMYFUNCTION("IF(ISBLANK(F621),,SUBSTITUTE(IFERROR(JOIN("","",F621:K621),JOIN("","",F621:J621)),CHAR(10),""""))"),"")</f>
        <v/>
      </c>
      <c r="N621" s="229" t="str">
        <f t="shared" si="1"/>
        <v/>
      </c>
    </row>
    <row r="622">
      <c r="F622" s="237"/>
      <c r="G622" s="238" t="str">
        <f t="shared" si="3"/>
        <v/>
      </c>
      <c r="H622" s="238" t="str">
        <f t="shared" si="4"/>
        <v/>
      </c>
      <c r="I622" s="237" t="str">
        <f t="shared" ref="I622:J622" si="614">IF(ISBLANK(C622),,""""&amp;C622&amp;"""")</f>
        <v/>
      </c>
      <c r="J622" s="237" t="str">
        <f t="shared" si="614"/>
        <v/>
      </c>
      <c r="K622" s="237" t="str">
        <f>IF(ISBLANK(F622),,Config!$C$3&amp;"&amp;range=BB"&amp;MATCH(F622,FRG!AC:AC,0))</f>
        <v/>
      </c>
      <c r="M622" s="243" t="str">
        <f>IFERROR(__xludf.DUMMYFUNCTION("IF(ISBLANK(F622),,SUBSTITUTE(IFERROR(JOIN("","",F622:K622),JOIN("","",F622:J622)),CHAR(10),""""))"),"")</f>
        <v/>
      </c>
      <c r="N622" s="229" t="str">
        <f t="shared" si="1"/>
        <v/>
      </c>
    </row>
    <row r="623">
      <c r="F623" s="237"/>
      <c r="G623" s="238" t="str">
        <f t="shared" si="3"/>
        <v/>
      </c>
      <c r="H623" s="238" t="str">
        <f t="shared" si="4"/>
        <v/>
      </c>
      <c r="I623" s="237" t="str">
        <f t="shared" ref="I623:J623" si="615">IF(ISBLANK(C623),,""""&amp;C623&amp;"""")</f>
        <v/>
      </c>
      <c r="J623" s="237" t="str">
        <f t="shared" si="615"/>
        <v/>
      </c>
      <c r="K623" s="237" t="str">
        <f>IF(ISBLANK(F623),,Config!$C$3&amp;"&amp;range=BB"&amp;MATCH(F623,FRG!AC:AC,0))</f>
        <v/>
      </c>
      <c r="M623" s="243" t="str">
        <f>IFERROR(__xludf.DUMMYFUNCTION("IF(ISBLANK(F623),,SUBSTITUTE(IFERROR(JOIN("","",F623:K623),JOIN("","",F623:J623)),CHAR(10),""""))"),"")</f>
        <v/>
      </c>
      <c r="N623" s="229" t="str">
        <f t="shared" si="1"/>
        <v/>
      </c>
    </row>
    <row r="624">
      <c r="F624" s="237"/>
      <c r="G624" s="238" t="str">
        <f t="shared" si="3"/>
        <v/>
      </c>
      <c r="H624" s="238" t="str">
        <f t="shared" si="4"/>
        <v/>
      </c>
      <c r="I624" s="237" t="str">
        <f t="shared" ref="I624:J624" si="616">IF(ISBLANK(C624),,""""&amp;C624&amp;"""")</f>
        <v/>
      </c>
      <c r="J624" s="237" t="str">
        <f t="shared" si="616"/>
        <v/>
      </c>
      <c r="K624" s="237" t="str">
        <f>IF(ISBLANK(F624),,Config!$C$3&amp;"&amp;range=BB"&amp;MATCH(F624,FRG!AC:AC,0))</f>
        <v/>
      </c>
      <c r="M624" s="243" t="str">
        <f>IFERROR(__xludf.DUMMYFUNCTION("IF(ISBLANK(F624),,SUBSTITUTE(IFERROR(JOIN("","",F624:K624),JOIN("","",F624:J624)),CHAR(10),""""))"),"")</f>
        <v/>
      </c>
      <c r="N624" s="229" t="str">
        <f t="shared" si="1"/>
        <v/>
      </c>
    </row>
    <row r="625">
      <c r="F625" s="237"/>
      <c r="G625" s="238" t="str">
        <f t="shared" si="3"/>
        <v/>
      </c>
      <c r="H625" s="238" t="str">
        <f t="shared" si="4"/>
        <v/>
      </c>
      <c r="I625" s="237" t="str">
        <f t="shared" ref="I625:J625" si="617">IF(ISBLANK(C625),,""""&amp;C625&amp;"""")</f>
        <v/>
      </c>
      <c r="J625" s="237" t="str">
        <f t="shared" si="617"/>
        <v/>
      </c>
      <c r="K625" s="237" t="str">
        <f>IF(ISBLANK(F625),,Config!$C$3&amp;"&amp;range=BB"&amp;MATCH(F625,FRG!AC:AC,0))</f>
        <v/>
      </c>
      <c r="M625" s="243" t="str">
        <f>IFERROR(__xludf.DUMMYFUNCTION("IF(ISBLANK(F625),,SUBSTITUTE(IFERROR(JOIN("","",F625:K625),JOIN("","",F625:J625)),CHAR(10),""""))"),"")</f>
        <v/>
      </c>
      <c r="N625" s="229" t="str">
        <f t="shared" si="1"/>
        <v/>
      </c>
    </row>
    <row r="626">
      <c r="F626" s="237"/>
      <c r="G626" s="238" t="str">
        <f t="shared" si="3"/>
        <v/>
      </c>
      <c r="H626" s="238" t="str">
        <f t="shared" si="4"/>
        <v/>
      </c>
      <c r="I626" s="237" t="str">
        <f t="shared" ref="I626:J626" si="618">IF(ISBLANK(C626),,""""&amp;C626&amp;"""")</f>
        <v/>
      </c>
      <c r="J626" s="237" t="str">
        <f t="shared" si="618"/>
        <v/>
      </c>
      <c r="K626" s="237" t="str">
        <f>IF(ISBLANK(F626),,Config!$C$3&amp;"&amp;range=BB"&amp;MATCH(F626,FRG!AC:AC,0))</f>
        <v/>
      </c>
      <c r="M626" s="243" t="str">
        <f>IFERROR(__xludf.DUMMYFUNCTION("IF(ISBLANK(F626),,SUBSTITUTE(IFERROR(JOIN("","",F626:K626),JOIN("","",F626:J626)),CHAR(10),""""))"),"")</f>
        <v/>
      </c>
      <c r="N626" s="229" t="str">
        <f t="shared" si="1"/>
        <v/>
      </c>
    </row>
    <row r="627">
      <c r="F627" s="237"/>
      <c r="G627" s="238" t="str">
        <f t="shared" si="3"/>
        <v/>
      </c>
      <c r="H627" s="238" t="str">
        <f t="shared" si="4"/>
        <v/>
      </c>
      <c r="I627" s="237" t="str">
        <f t="shared" ref="I627:J627" si="619">IF(ISBLANK(C627),,""""&amp;C627&amp;"""")</f>
        <v/>
      </c>
      <c r="J627" s="237" t="str">
        <f t="shared" si="619"/>
        <v/>
      </c>
      <c r="K627" s="237" t="str">
        <f>IF(ISBLANK(F627),,Config!$C$3&amp;"&amp;range=BB"&amp;MATCH(F627,FRG!AC:AC,0))</f>
        <v/>
      </c>
      <c r="M627" s="243" t="str">
        <f>IFERROR(__xludf.DUMMYFUNCTION("IF(ISBLANK(F627),,SUBSTITUTE(IFERROR(JOIN("","",F627:K627),JOIN("","",F627:J627)),CHAR(10),""""))"),"")</f>
        <v/>
      </c>
      <c r="N627" s="229" t="str">
        <f t="shared" si="1"/>
        <v/>
      </c>
    </row>
    <row r="628">
      <c r="F628" s="237"/>
      <c r="G628" s="238" t="str">
        <f t="shared" si="3"/>
        <v/>
      </c>
      <c r="H628" s="238" t="str">
        <f t="shared" si="4"/>
        <v/>
      </c>
      <c r="I628" s="237" t="str">
        <f t="shared" ref="I628:J628" si="620">IF(ISBLANK(C628),,""""&amp;C628&amp;"""")</f>
        <v/>
      </c>
      <c r="J628" s="237" t="str">
        <f t="shared" si="620"/>
        <v/>
      </c>
      <c r="K628" s="237" t="str">
        <f>IF(ISBLANK(F628),,Config!$C$3&amp;"&amp;range=BB"&amp;MATCH(F628,FRG!AC:AC,0))</f>
        <v/>
      </c>
      <c r="M628" s="243" t="str">
        <f>IFERROR(__xludf.DUMMYFUNCTION("IF(ISBLANK(F628),,SUBSTITUTE(IFERROR(JOIN("","",F628:K628),JOIN("","",F628:J628)),CHAR(10),""""))"),"")</f>
        <v/>
      </c>
      <c r="N628" s="229" t="str">
        <f t="shared" si="1"/>
        <v/>
      </c>
    </row>
    <row r="629">
      <c r="F629" s="237"/>
      <c r="G629" s="238" t="str">
        <f t="shared" si="3"/>
        <v/>
      </c>
      <c r="H629" s="238" t="str">
        <f t="shared" si="4"/>
        <v/>
      </c>
      <c r="I629" s="237" t="str">
        <f t="shared" ref="I629:J629" si="621">IF(ISBLANK(C629),,""""&amp;C629&amp;"""")</f>
        <v/>
      </c>
      <c r="J629" s="237" t="str">
        <f t="shared" si="621"/>
        <v/>
      </c>
      <c r="K629" s="237" t="str">
        <f>IF(ISBLANK(F629),,Config!$C$3&amp;"&amp;range=BB"&amp;MATCH(F629,FRG!AC:AC,0))</f>
        <v/>
      </c>
      <c r="M629" s="243" t="str">
        <f>IFERROR(__xludf.DUMMYFUNCTION("IF(ISBLANK(F629),,SUBSTITUTE(IFERROR(JOIN("","",F629:K629),JOIN("","",F629:J629)),CHAR(10),""""))"),"")</f>
        <v/>
      </c>
      <c r="N629" s="229" t="str">
        <f t="shared" si="1"/>
        <v/>
      </c>
    </row>
    <row r="630">
      <c r="F630" s="237"/>
      <c r="G630" s="238" t="str">
        <f t="shared" si="3"/>
        <v/>
      </c>
      <c r="H630" s="238" t="str">
        <f t="shared" si="4"/>
        <v/>
      </c>
      <c r="I630" s="237" t="str">
        <f t="shared" ref="I630:J630" si="622">IF(ISBLANK(C630),,""""&amp;C630&amp;"""")</f>
        <v/>
      </c>
      <c r="J630" s="237" t="str">
        <f t="shared" si="622"/>
        <v/>
      </c>
      <c r="K630" s="237" t="str">
        <f>IF(ISBLANK(F630),,Config!$C$3&amp;"&amp;range=BB"&amp;MATCH(F630,FRG!AC:AC,0))</f>
        <v/>
      </c>
      <c r="M630" s="243" t="str">
        <f>IFERROR(__xludf.DUMMYFUNCTION("IF(ISBLANK(F630),,SUBSTITUTE(IFERROR(JOIN("","",F630:K630),JOIN("","",F630:J630)),CHAR(10),""""))"),"")</f>
        <v/>
      </c>
      <c r="N630" s="229" t="str">
        <f t="shared" si="1"/>
        <v/>
      </c>
    </row>
    <row r="631">
      <c r="F631" s="237"/>
      <c r="G631" s="238" t="str">
        <f t="shared" si="3"/>
        <v/>
      </c>
      <c r="H631" s="238" t="str">
        <f t="shared" si="4"/>
        <v/>
      </c>
      <c r="I631" s="237" t="str">
        <f t="shared" ref="I631:J631" si="623">IF(ISBLANK(C631),,""""&amp;C631&amp;"""")</f>
        <v/>
      </c>
      <c r="J631" s="237" t="str">
        <f t="shared" si="623"/>
        <v/>
      </c>
      <c r="K631" s="237" t="str">
        <f>IF(ISBLANK(F631),,Config!$C$3&amp;"&amp;range=BB"&amp;MATCH(F631,FRG!AC:AC,0))</f>
        <v/>
      </c>
      <c r="M631" s="243" t="str">
        <f>IFERROR(__xludf.DUMMYFUNCTION("IF(ISBLANK(F631),,SUBSTITUTE(IFERROR(JOIN("","",F631:K631),JOIN("","",F631:J631)),CHAR(10),""""))"),"")</f>
        <v/>
      </c>
      <c r="N631" s="229" t="str">
        <f t="shared" si="1"/>
        <v/>
      </c>
    </row>
    <row r="632">
      <c r="F632" s="237"/>
      <c r="G632" s="238" t="str">
        <f t="shared" si="3"/>
        <v/>
      </c>
      <c r="H632" s="238" t="str">
        <f t="shared" si="4"/>
        <v/>
      </c>
      <c r="I632" s="237" t="str">
        <f t="shared" ref="I632:J632" si="624">IF(ISBLANK(C632),,""""&amp;C632&amp;"""")</f>
        <v/>
      </c>
      <c r="J632" s="237" t="str">
        <f t="shared" si="624"/>
        <v/>
      </c>
      <c r="K632" s="237" t="str">
        <f>IF(ISBLANK(F632),,Config!$C$3&amp;"&amp;range=BB"&amp;MATCH(F632,FRG!AC:AC,0))</f>
        <v/>
      </c>
      <c r="M632" s="243" t="str">
        <f>IFERROR(__xludf.DUMMYFUNCTION("IF(ISBLANK(F632),,SUBSTITUTE(IFERROR(JOIN("","",F632:K632),JOIN("","",F632:J632)),CHAR(10),""""))"),"")</f>
        <v/>
      </c>
      <c r="N632" s="229" t="str">
        <f t="shared" si="1"/>
        <v/>
      </c>
    </row>
    <row r="633">
      <c r="F633" s="237"/>
      <c r="G633" s="238" t="str">
        <f t="shared" si="3"/>
        <v/>
      </c>
      <c r="H633" s="238" t="str">
        <f t="shared" si="4"/>
        <v/>
      </c>
      <c r="I633" s="237" t="str">
        <f t="shared" ref="I633:J633" si="625">IF(ISBLANK(C633),,""""&amp;C633&amp;"""")</f>
        <v/>
      </c>
      <c r="J633" s="237" t="str">
        <f t="shared" si="625"/>
        <v/>
      </c>
      <c r="K633" s="237" t="str">
        <f>IF(ISBLANK(F633),,Config!$C$3&amp;"&amp;range=BB"&amp;MATCH(F633,FRG!AC:AC,0))</f>
        <v/>
      </c>
      <c r="M633" s="243" t="str">
        <f>IFERROR(__xludf.DUMMYFUNCTION("IF(ISBLANK(F633),,SUBSTITUTE(IFERROR(JOIN("","",F633:K633),JOIN("","",F633:J633)),CHAR(10),""""))"),"")</f>
        <v/>
      </c>
      <c r="N633" s="229" t="str">
        <f t="shared" si="1"/>
        <v/>
      </c>
    </row>
    <row r="634">
      <c r="F634" s="237"/>
      <c r="G634" s="238" t="str">
        <f t="shared" si="3"/>
        <v/>
      </c>
      <c r="H634" s="238" t="str">
        <f t="shared" si="4"/>
        <v/>
      </c>
      <c r="I634" s="237" t="str">
        <f t="shared" ref="I634:J634" si="626">IF(ISBLANK(C634),,""""&amp;C634&amp;"""")</f>
        <v/>
      </c>
      <c r="J634" s="237" t="str">
        <f t="shared" si="626"/>
        <v/>
      </c>
      <c r="K634" s="237" t="str">
        <f>IF(ISBLANK(F634),,Config!$C$3&amp;"&amp;range=BB"&amp;MATCH(F634,FRG!AC:AC,0))</f>
        <v/>
      </c>
      <c r="M634" s="243" t="str">
        <f>IFERROR(__xludf.DUMMYFUNCTION("IF(ISBLANK(F634),,SUBSTITUTE(IFERROR(JOIN("","",F634:K634),JOIN("","",F634:J634)),CHAR(10),""""))"),"")</f>
        <v/>
      </c>
      <c r="N634" s="229" t="str">
        <f t="shared" si="1"/>
        <v/>
      </c>
    </row>
    <row r="635">
      <c r="F635" s="237"/>
      <c r="G635" s="238" t="str">
        <f t="shared" si="3"/>
        <v/>
      </c>
      <c r="H635" s="238" t="str">
        <f t="shared" si="4"/>
        <v/>
      </c>
      <c r="I635" s="237" t="str">
        <f t="shared" ref="I635:J635" si="627">IF(ISBLANK(C635),,""""&amp;C635&amp;"""")</f>
        <v/>
      </c>
      <c r="J635" s="237" t="str">
        <f t="shared" si="627"/>
        <v/>
      </c>
      <c r="K635" s="237" t="str">
        <f>IF(ISBLANK(F635),,Config!$C$3&amp;"&amp;range=BB"&amp;MATCH(F635,FRG!AC:AC,0))</f>
        <v/>
      </c>
      <c r="M635" s="243" t="str">
        <f>IFERROR(__xludf.DUMMYFUNCTION("IF(ISBLANK(F635),,SUBSTITUTE(IFERROR(JOIN("","",F635:K635),JOIN("","",F635:J635)),CHAR(10),""""))"),"")</f>
        <v/>
      </c>
      <c r="N635" s="229" t="str">
        <f t="shared" si="1"/>
        <v/>
      </c>
    </row>
    <row r="636">
      <c r="F636" s="237"/>
      <c r="G636" s="238" t="str">
        <f t="shared" si="3"/>
        <v/>
      </c>
      <c r="H636" s="238" t="str">
        <f t="shared" si="4"/>
        <v/>
      </c>
      <c r="I636" s="237" t="str">
        <f t="shared" ref="I636:J636" si="628">IF(ISBLANK(C636),,""""&amp;C636&amp;"""")</f>
        <v/>
      </c>
      <c r="J636" s="237" t="str">
        <f t="shared" si="628"/>
        <v/>
      </c>
      <c r="K636" s="237" t="str">
        <f>IF(ISBLANK(F636),,Config!$C$3&amp;"&amp;range=BB"&amp;MATCH(F636,FRG!AC:AC,0))</f>
        <v/>
      </c>
      <c r="M636" s="243" t="str">
        <f>IFERROR(__xludf.DUMMYFUNCTION("IF(ISBLANK(F636),,SUBSTITUTE(IFERROR(JOIN("","",F636:K636),JOIN("","",F636:J636)),CHAR(10),""""))"),"")</f>
        <v/>
      </c>
      <c r="N636" s="229" t="str">
        <f t="shared" si="1"/>
        <v/>
      </c>
    </row>
    <row r="637">
      <c r="F637" s="237"/>
      <c r="G637" s="238" t="str">
        <f t="shared" si="3"/>
        <v/>
      </c>
      <c r="H637" s="238" t="str">
        <f t="shared" si="4"/>
        <v/>
      </c>
      <c r="I637" s="237" t="str">
        <f t="shared" ref="I637:J637" si="629">IF(ISBLANK(C637),,""""&amp;C637&amp;"""")</f>
        <v/>
      </c>
      <c r="J637" s="237" t="str">
        <f t="shared" si="629"/>
        <v/>
      </c>
      <c r="K637" s="237" t="str">
        <f>IF(ISBLANK(F637),,Config!$C$3&amp;"&amp;range=BB"&amp;MATCH(F637,FRG!AC:AC,0))</f>
        <v/>
      </c>
      <c r="M637" s="243" t="str">
        <f>IFERROR(__xludf.DUMMYFUNCTION("IF(ISBLANK(F637),,SUBSTITUTE(IFERROR(JOIN("","",F637:K637),JOIN("","",F637:J637)),CHAR(10),""""))"),"")</f>
        <v/>
      </c>
      <c r="N637" s="229" t="str">
        <f t="shared" si="1"/>
        <v/>
      </c>
    </row>
    <row r="638">
      <c r="F638" s="237"/>
      <c r="G638" s="238" t="str">
        <f t="shared" si="3"/>
        <v/>
      </c>
      <c r="H638" s="238" t="str">
        <f t="shared" si="4"/>
        <v/>
      </c>
      <c r="I638" s="237" t="str">
        <f t="shared" ref="I638:J638" si="630">IF(ISBLANK(C638),,""""&amp;C638&amp;"""")</f>
        <v/>
      </c>
      <c r="J638" s="237" t="str">
        <f t="shared" si="630"/>
        <v/>
      </c>
      <c r="K638" s="237" t="str">
        <f>IF(ISBLANK(F638),,Config!$C$3&amp;"&amp;range=BB"&amp;MATCH(F638,FRG!AC:AC,0))</f>
        <v/>
      </c>
      <c r="M638" s="243" t="str">
        <f>IFERROR(__xludf.DUMMYFUNCTION("IF(ISBLANK(F638),,SUBSTITUTE(IFERROR(JOIN("","",F638:K638),JOIN("","",F638:J638)),CHAR(10),""""))"),"")</f>
        <v/>
      </c>
      <c r="N638" s="229" t="str">
        <f t="shared" si="1"/>
        <v/>
      </c>
    </row>
    <row r="639">
      <c r="F639" s="237"/>
      <c r="G639" s="238" t="str">
        <f t="shared" si="3"/>
        <v/>
      </c>
      <c r="H639" s="238" t="str">
        <f t="shared" si="4"/>
        <v/>
      </c>
      <c r="I639" s="237" t="str">
        <f t="shared" ref="I639:J639" si="631">IF(ISBLANK(C639),,""""&amp;C639&amp;"""")</f>
        <v/>
      </c>
      <c r="J639" s="237" t="str">
        <f t="shared" si="631"/>
        <v/>
      </c>
      <c r="K639" s="237" t="str">
        <f>IF(ISBLANK(F639),,Config!$C$3&amp;"&amp;range=BB"&amp;MATCH(F639,FRG!AC:AC,0))</f>
        <v/>
      </c>
      <c r="M639" s="243" t="str">
        <f>IFERROR(__xludf.DUMMYFUNCTION("IF(ISBLANK(F639),,SUBSTITUTE(IFERROR(JOIN("","",F639:K639),JOIN("","",F639:J639)),CHAR(10),""""))"),"")</f>
        <v/>
      </c>
      <c r="N639" s="229" t="str">
        <f t="shared" si="1"/>
        <v/>
      </c>
    </row>
    <row r="640">
      <c r="F640" s="237"/>
      <c r="G640" s="238" t="str">
        <f t="shared" si="3"/>
        <v/>
      </c>
      <c r="H640" s="238" t="str">
        <f t="shared" si="4"/>
        <v/>
      </c>
      <c r="I640" s="237" t="str">
        <f t="shared" ref="I640:J640" si="632">IF(ISBLANK(C640),,""""&amp;C640&amp;"""")</f>
        <v/>
      </c>
      <c r="J640" s="237" t="str">
        <f t="shared" si="632"/>
        <v/>
      </c>
      <c r="K640" s="237" t="str">
        <f>IF(ISBLANK(F640),,Config!$C$3&amp;"&amp;range=BB"&amp;MATCH(F640,FRG!AC:AC,0))</f>
        <v/>
      </c>
      <c r="M640" s="243" t="str">
        <f>IFERROR(__xludf.DUMMYFUNCTION("IF(ISBLANK(F640),,SUBSTITUTE(IFERROR(JOIN("","",F640:K640),JOIN("","",F640:J640)),CHAR(10),""""))"),"")</f>
        <v/>
      </c>
      <c r="N640" s="229" t="str">
        <f t="shared" si="1"/>
        <v/>
      </c>
    </row>
    <row r="641">
      <c r="F641" s="237"/>
      <c r="G641" s="238" t="str">
        <f t="shared" si="3"/>
        <v/>
      </c>
      <c r="H641" s="238" t="str">
        <f t="shared" si="4"/>
        <v/>
      </c>
      <c r="I641" s="237" t="str">
        <f t="shared" ref="I641:J641" si="633">IF(ISBLANK(C641),,""""&amp;C641&amp;"""")</f>
        <v/>
      </c>
      <c r="J641" s="237" t="str">
        <f t="shared" si="633"/>
        <v/>
      </c>
      <c r="K641" s="237" t="str">
        <f>IF(ISBLANK(F641),,Config!$C$3&amp;"&amp;range=BB"&amp;MATCH(F641,FRG!AC:AC,0))</f>
        <v/>
      </c>
      <c r="M641" s="243" t="str">
        <f>IFERROR(__xludf.DUMMYFUNCTION("IF(ISBLANK(F641),,SUBSTITUTE(IFERROR(JOIN("","",F641:K641),JOIN("","",F641:J641)),CHAR(10),""""))"),"")</f>
        <v/>
      </c>
      <c r="N641" s="229" t="str">
        <f t="shared" si="1"/>
        <v/>
      </c>
    </row>
    <row r="642">
      <c r="F642" s="237"/>
      <c r="G642" s="238" t="str">
        <f t="shared" si="3"/>
        <v/>
      </c>
      <c r="H642" s="238" t="str">
        <f t="shared" si="4"/>
        <v/>
      </c>
      <c r="I642" s="237" t="str">
        <f t="shared" ref="I642:J642" si="634">IF(ISBLANK(C642),,""""&amp;C642&amp;"""")</f>
        <v/>
      </c>
      <c r="J642" s="237" t="str">
        <f t="shared" si="634"/>
        <v/>
      </c>
      <c r="K642" s="237" t="str">
        <f>IF(ISBLANK(F642),,Config!$C$3&amp;"&amp;range=BB"&amp;MATCH(F642,FRG!AC:AC,0))</f>
        <v/>
      </c>
      <c r="M642" s="243" t="str">
        <f>IFERROR(__xludf.DUMMYFUNCTION("IF(ISBLANK(F642),,SUBSTITUTE(IFERROR(JOIN("","",F642:K642),JOIN("","",F642:J642)),CHAR(10),""""))"),"")</f>
        <v/>
      </c>
      <c r="N642" s="229" t="str">
        <f t="shared" si="1"/>
        <v/>
      </c>
    </row>
    <row r="643">
      <c r="F643" s="237"/>
      <c r="G643" s="238" t="str">
        <f t="shared" si="3"/>
        <v/>
      </c>
      <c r="H643" s="238" t="str">
        <f t="shared" si="4"/>
        <v/>
      </c>
      <c r="I643" s="237" t="str">
        <f t="shared" ref="I643:J643" si="635">IF(ISBLANK(C643),,""""&amp;C643&amp;"""")</f>
        <v/>
      </c>
      <c r="J643" s="237" t="str">
        <f t="shared" si="635"/>
        <v/>
      </c>
      <c r="K643" s="237" t="str">
        <f>IF(ISBLANK(F643),,Config!$C$3&amp;"&amp;range=BB"&amp;MATCH(F643,FRG!AC:AC,0))</f>
        <v/>
      </c>
      <c r="M643" s="243" t="str">
        <f>IFERROR(__xludf.DUMMYFUNCTION("IF(ISBLANK(F643),,SUBSTITUTE(IFERROR(JOIN("","",F643:K643),JOIN("","",F643:J643)),CHAR(10),""""))"),"")</f>
        <v/>
      </c>
      <c r="N643" s="229" t="str">
        <f t="shared" si="1"/>
        <v/>
      </c>
    </row>
    <row r="644">
      <c r="F644" s="237"/>
      <c r="G644" s="238" t="str">
        <f t="shared" si="3"/>
        <v/>
      </c>
      <c r="H644" s="238" t="str">
        <f t="shared" si="4"/>
        <v/>
      </c>
      <c r="I644" s="237" t="str">
        <f t="shared" ref="I644:J644" si="636">IF(ISBLANK(C644),,""""&amp;C644&amp;"""")</f>
        <v/>
      </c>
      <c r="J644" s="237" t="str">
        <f t="shared" si="636"/>
        <v/>
      </c>
      <c r="K644" s="237" t="str">
        <f>IF(ISBLANK(F644),,Config!$C$3&amp;"&amp;range=BB"&amp;MATCH(F644,FRG!AC:AC,0))</f>
        <v/>
      </c>
      <c r="M644" s="243" t="str">
        <f>IFERROR(__xludf.DUMMYFUNCTION("IF(ISBLANK(F644),,SUBSTITUTE(IFERROR(JOIN("","",F644:K644),JOIN("","",F644:J644)),CHAR(10),""""))"),"")</f>
        <v/>
      </c>
      <c r="N644" s="229" t="str">
        <f t="shared" si="1"/>
        <v/>
      </c>
    </row>
    <row r="645">
      <c r="F645" s="237"/>
      <c r="G645" s="238" t="str">
        <f t="shared" si="3"/>
        <v/>
      </c>
      <c r="H645" s="238" t="str">
        <f t="shared" si="4"/>
        <v/>
      </c>
      <c r="I645" s="237" t="str">
        <f t="shared" ref="I645:J645" si="637">IF(ISBLANK(C645),,""""&amp;C645&amp;"""")</f>
        <v/>
      </c>
      <c r="J645" s="237" t="str">
        <f t="shared" si="637"/>
        <v/>
      </c>
      <c r="K645" s="237" t="str">
        <f>IF(ISBLANK(F645),,Config!$C$3&amp;"&amp;range=BB"&amp;MATCH(F645,FRG!AC:AC,0))</f>
        <v/>
      </c>
      <c r="M645" s="243" t="str">
        <f>IFERROR(__xludf.DUMMYFUNCTION("IF(ISBLANK(F645),,SUBSTITUTE(IFERROR(JOIN("","",F645:K645),JOIN("","",F645:J645)),CHAR(10),""""))"),"")</f>
        <v/>
      </c>
      <c r="N645" s="229" t="str">
        <f t="shared" si="1"/>
        <v/>
      </c>
    </row>
    <row r="646">
      <c r="F646" s="237"/>
      <c r="G646" s="238" t="str">
        <f t="shared" si="3"/>
        <v/>
      </c>
      <c r="H646" s="238" t="str">
        <f t="shared" si="4"/>
        <v/>
      </c>
      <c r="I646" s="237" t="str">
        <f t="shared" ref="I646:J646" si="638">IF(ISBLANK(C646),,""""&amp;C646&amp;"""")</f>
        <v/>
      </c>
      <c r="J646" s="237" t="str">
        <f t="shared" si="638"/>
        <v/>
      </c>
      <c r="K646" s="237" t="str">
        <f>IF(ISBLANK(F646),,Config!$C$3&amp;"&amp;range=BB"&amp;MATCH(F646,FRG!AC:AC,0))</f>
        <v/>
      </c>
      <c r="M646" s="243" t="str">
        <f>IFERROR(__xludf.DUMMYFUNCTION("IF(ISBLANK(F646),,SUBSTITUTE(IFERROR(JOIN("","",F646:K646),JOIN("","",F646:J646)),CHAR(10),""""))"),"")</f>
        <v/>
      </c>
      <c r="N646" s="229" t="str">
        <f t="shared" si="1"/>
        <v/>
      </c>
    </row>
    <row r="647">
      <c r="F647" s="237"/>
      <c r="G647" s="238" t="str">
        <f t="shared" si="3"/>
        <v/>
      </c>
      <c r="H647" s="238" t="str">
        <f t="shared" si="4"/>
        <v/>
      </c>
      <c r="I647" s="237" t="str">
        <f t="shared" ref="I647:J647" si="639">IF(ISBLANK(C647),,""""&amp;C647&amp;"""")</f>
        <v/>
      </c>
      <c r="J647" s="237" t="str">
        <f t="shared" si="639"/>
        <v/>
      </c>
      <c r="K647" s="237" t="str">
        <f>IF(ISBLANK(F647),,Config!$C$3&amp;"&amp;range=BB"&amp;MATCH(F647,FRG!AC:AC,0))</f>
        <v/>
      </c>
      <c r="M647" s="243" t="str">
        <f>IFERROR(__xludf.DUMMYFUNCTION("IF(ISBLANK(F647),,SUBSTITUTE(IFERROR(JOIN("","",F647:K647),JOIN("","",F647:J647)),CHAR(10),""""))"),"")</f>
        <v/>
      </c>
      <c r="N647" s="229" t="str">
        <f t="shared" si="1"/>
        <v/>
      </c>
    </row>
    <row r="648">
      <c r="F648" s="237"/>
      <c r="G648" s="238" t="str">
        <f t="shared" si="3"/>
        <v/>
      </c>
      <c r="H648" s="238" t="str">
        <f t="shared" si="4"/>
        <v/>
      </c>
      <c r="I648" s="237" t="str">
        <f t="shared" ref="I648:J648" si="640">IF(ISBLANK(C648),,""""&amp;C648&amp;"""")</f>
        <v/>
      </c>
      <c r="J648" s="237" t="str">
        <f t="shared" si="640"/>
        <v/>
      </c>
      <c r="K648" s="237" t="str">
        <f>IF(ISBLANK(F648),,Config!$C$3&amp;"&amp;range=BB"&amp;MATCH(F648,FRG!AC:AC,0))</f>
        <v/>
      </c>
      <c r="M648" s="243" t="str">
        <f>IFERROR(__xludf.DUMMYFUNCTION("IF(ISBLANK(F648),,SUBSTITUTE(IFERROR(JOIN("","",F648:K648),JOIN("","",F648:J648)),CHAR(10),""""))"),"")</f>
        <v/>
      </c>
      <c r="N648" s="229" t="str">
        <f t="shared" si="1"/>
        <v/>
      </c>
    </row>
    <row r="649">
      <c r="F649" s="237"/>
      <c r="G649" s="238" t="str">
        <f t="shared" si="3"/>
        <v/>
      </c>
      <c r="H649" s="238" t="str">
        <f t="shared" si="4"/>
        <v/>
      </c>
      <c r="I649" s="237" t="str">
        <f t="shared" ref="I649:J649" si="641">IF(ISBLANK(C649),,""""&amp;C649&amp;"""")</f>
        <v/>
      </c>
      <c r="J649" s="237" t="str">
        <f t="shared" si="641"/>
        <v/>
      </c>
      <c r="K649" s="237" t="str">
        <f>IF(ISBLANK(F649),,Config!$C$3&amp;"&amp;range=BB"&amp;MATCH(F649,FRG!AC:AC,0))</f>
        <v/>
      </c>
      <c r="M649" s="243" t="str">
        <f>IFERROR(__xludf.DUMMYFUNCTION("IF(ISBLANK(F649),,SUBSTITUTE(IFERROR(JOIN("","",F649:K649),JOIN("","",F649:J649)),CHAR(10),""""))"),"")</f>
        <v/>
      </c>
      <c r="N649" s="229" t="str">
        <f t="shared" si="1"/>
        <v/>
      </c>
    </row>
    <row r="650">
      <c r="F650" s="237"/>
      <c r="G650" s="238" t="str">
        <f t="shared" si="3"/>
        <v/>
      </c>
      <c r="H650" s="238" t="str">
        <f t="shared" si="4"/>
        <v/>
      </c>
      <c r="I650" s="237" t="str">
        <f t="shared" ref="I650:J650" si="642">IF(ISBLANK(C650),,""""&amp;C650&amp;"""")</f>
        <v/>
      </c>
      <c r="J650" s="237" t="str">
        <f t="shared" si="642"/>
        <v/>
      </c>
      <c r="K650" s="237" t="str">
        <f>IF(ISBLANK(F650),,Config!$C$3&amp;"&amp;range=BB"&amp;MATCH(F650,FRG!AC:AC,0))</f>
        <v/>
      </c>
      <c r="M650" s="243" t="str">
        <f>IFERROR(__xludf.DUMMYFUNCTION("IF(ISBLANK(F650),,SUBSTITUTE(IFERROR(JOIN("","",F650:K650),JOIN("","",F650:J650)),CHAR(10),""""))"),"")</f>
        <v/>
      </c>
      <c r="N650" s="229" t="str">
        <f t="shared" si="1"/>
        <v/>
      </c>
    </row>
    <row r="651">
      <c r="F651" s="237"/>
      <c r="G651" s="238" t="str">
        <f t="shared" si="3"/>
        <v/>
      </c>
      <c r="H651" s="238" t="str">
        <f t="shared" si="4"/>
        <v/>
      </c>
      <c r="I651" s="237" t="str">
        <f t="shared" ref="I651:J651" si="643">IF(ISBLANK(C651),,""""&amp;C651&amp;"""")</f>
        <v/>
      </c>
      <c r="J651" s="237" t="str">
        <f t="shared" si="643"/>
        <v/>
      </c>
      <c r="K651" s="237" t="str">
        <f>IF(ISBLANK(F651),,Config!$C$3&amp;"&amp;range=BB"&amp;MATCH(F651,FRG!AC:AC,0))</f>
        <v/>
      </c>
      <c r="M651" s="243" t="str">
        <f>IFERROR(__xludf.DUMMYFUNCTION("IF(ISBLANK(F651),,SUBSTITUTE(IFERROR(JOIN("","",F651:K651),JOIN("","",F651:J651)),CHAR(10),""""))"),"")</f>
        <v/>
      </c>
      <c r="N651" s="229" t="str">
        <f t="shared" si="1"/>
        <v/>
      </c>
    </row>
    <row r="652">
      <c r="F652" s="237"/>
      <c r="G652" s="238" t="str">
        <f t="shared" si="3"/>
        <v/>
      </c>
      <c r="H652" s="238" t="str">
        <f t="shared" si="4"/>
        <v/>
      </c>
      <c r="I652" s="237" t="str">
        <f t="shared" ref="I652:J652" si="644">IF(ISBLANK(C652),,""""&amp;C652&amp;"""")</f>
        <v/>
      </c>
      <c r="J652" s="237" t="str">
        <f t="shared" si="644"/>
        <v/>
      </c>
      <c r="K652" s="237" t="str">
        <f>IF(ISBLANK(F652),,Config!$C$3&amp;"&amp;range=BB"&amp;MATCH(F652,FRG!AC:AC,0))</f>
        <v/>
      </c>
      <c r="M652" s="243" t="str">
        <f>IFERROR(__xludf.DUMMYFUNCTION("IF(ISBLANK(F652),,SUBSTITUTE(IFERROR(JOIN("","",F652:K652),JOIN("","",F652:J652)),CHAR(10),""""))"),"")</f>
        <v/>
      </c>
      <c r="N652" s="229" t="str">
        <f t="shared" si="1"/>
        <v/>
      </c>
    </row>
    <row r="653">
      <c r="F653" s="237"/>
      <c r="G653" s="238" t="str">
        <f t="shared" si="3"/>
        <v/>
      </c>
      <c r="H653" s="238" t="str">
        <f t="shared" si="4"/>
        <v/>
      </c>
      <c r="I653" s="237" t="str">
        <f t="shared" ref="I653:J653" si="645">IF(ISBLANK(C653),,""""&amp;C653&amp;"""")</f>
        <v/>
      </c>
      <c r="J653" s="237" t="str">
        <f t="shared" si="645"/>
        <v/>
      </c>
      <c r="K653" s="237" t="str">
        <f>IF(ISBLANK(F653),,Config!$C$3&amp;"&amp;range=BB"&amp;MATCH(F653,FRG!AC:AC,0))</f>
        <v/>
      </c>
      <c r="M653" s="243" t="str">
        <f>IFERROR(__xludf.DUMMYFUNCTION("IF(ISBLANK(F653),,SUBSTITUTE(IFERROR(JOIN("","",F653:K653),JOIN("","",F653:J653)),CHAR(10),""""))"),"")</f>
        <v/>
      </c>
      <c r="N653" s="229" t="str">
        <f t="shared" si="1"/>
        <v/>
      </c>
    </row>
    <row r="654">
      <c r="F654" s="237"/>
      <c r="G654" s="238" t="str">
        <f t="shared" si="3"/>
        <v/>
      </c>
      <c r="H654" s="238" t="str">
        <f t="shared" si="4"/>
        <v/>
      </c>
      <c r="I654" s="237" t="str">
        <f t="shared" ref="I654:J654" si="646">IF(ISBLANK(C654),,""""&amp;C654&amp;"""")</f>
        <v/>
      </c>
      <c r="J654" s="237" t="str">
        <f t="shared" si="646"/>
        <v/>
      </c>
      <c r="K654" s="237" t="str">
        <f>IF(ISBLANK(F654),,Config!$C$3&amp;"&amp;range=BB"&amp;MATCH(F654,FRG!AC:AC,0))</f>
        <v/>
      </c>
      <c r="M654" s="243" t="str">
        <f>IFERROR(__xludf.DUMMYFUNCTION("IF(ISBLANK(F654),,SUBSTITUTE(IFERROR(JOIN("","",F654:K654),JOIN("","",F654:J654)),CHAR(10),""""))"),"")</f>
        <v/>
      </c>
      <c r="N654" s="229" t="str">
        <f t="shared" si="1"/>
        <v/>
      </c>
    </row>
    <row r="655">
      <c r="F655" s="237"/>
      <c r="G655" s="238" t="str">
        <f t="shared" si="3"/>
        <v/>
      </c>
      <c r="H655" s="238" t="str">
        <f t="shared" si="4"/>
        <v/>
      </c>
      <c r="I655" s="237" t="str">
        <f t="shared" ref="I655:J655" si="647">IF(ISBLANK(C655),,""""&amp;C655&amp;"""")</f>
        <v/>
      </c>
      <c r="J655" s="237" t="str">
        <f t="shared" si="647"/>
        <v/>
      </c>
      <c r="K655" s="237" t="str">
        <f>IF(ISBLANK(F655),,Config!$C$3&amp;"&amp;range=BB"&amp;MATCH(F655,FRG!AC:AC,0))</f>
        <v/>
      </c>
      <c r="M655" s="243" t="str">
        <f>IFERROR(__xludf.DUMMYFUNCTION("IF(ISBLANK(F655),,SUBSTITUTE(IFERROR(JOIN("","",F655:K655),JOIN("","",F655:J655)),CHAR(10),""""))"),"")</f>
        <v/>
      </c>
      <c r="N655" s="229" t="str">
        <f t="shared" si="1"/>
        <v/>
      </c>
    </row>
    <row r="656">
      <c r="F656" s="237"/>
      <c r="G656" s="238" t="str">
        <f t="shared" si="3"/>
        <v/>
      </c>
      <c r="H656" s="238" t="str">
        <f t="shared" si="4"/>
        <v/>
      </c>
      <c r="I656" s="237" t="str">
        <f t="shared" ref="I656:J656" si="648">IF(ISBLANK(C656),,""""&amp;C656&amp;"""")</f>
        <v/>
      </c>
      <c r="J656" s="237" t="str">
        <f t="shared" si="648"/>
        <v/>
      </c>
      <c r="K656" s="237" t="str">
        <f>IF(ISBLANK(F656),,Config!$C$3&amp;"&amp;range=BB"&amp;MATCH(F656,FRG!AC:AC,0))</f>
        <v/>
      </c>
      <c r="M656" s="243" t="str">
        <f>IFERROR(__xludf.DUMMYFUNCTION("IF(ISBLANK(F656),,SUBSTITUTE(IFERROR(JOIN("","",F656:K656),JOIN("","",F656:J656)),CHAR(10),""""))"),"")</f>
        <v/>
      </c>
      <c r="N656" s="229" t="str">
        <f t="shared" si="1"/>
        <v/>
      </c>
    </row>
    <row r="657">
      <c r="F657" s="237"/>
      <c r="G657" s="238" t="str">
        <f t="shared" si="3"/>
        <v/>
      </c>
      <c r="H657" s="238" t="str">
        <f t="shared" si="4"/>
        <v/>
      </c>
      <c r="I657" s="237" t="str">
        <f t="shared" ref="I657:J657" si="649">IF(ISBLANK(C657),,""""&amp;C657&amp;"""")</f>
        <v/>
      </c>
      <c r="J657" s="237" t="str">
        <f t="shared" si="649"/>
        <v/>
      </c>
      <c r="K657" s="237" t="str">
        <f>IF(ISBLANK(F657),,Config!$C$3&amp;"&amp;range=BB"&amp;MATCH(F657,FRG!AC:AC,0))</f>
        <v/>
      </c>
      <c r="M657" s="243" t="str">
        <f>IFERROR(__xludf.DUMMYFUNCTION("IF(ISBLANK(F657),,SUBSTITUTE(IFERROR(JOIN("","",F657:K657),JOIN("","",F657:J657)),CHAR(10),""""))"),"")</f>
        <v/>
      </c>
      <c r="N657" s="229" t="str">
        <f t="shared" si="1"/>
        <v/>
      </c>
    </row>
    <row r="658">
      <c r="F658" s="237"/>
      <c r="G658" s="238" t="str">
        <f t="shared" si="3"/>
        <v/>
      </c>
      <c r="H658" s="238" t="str">
        <f t="shared" si="4"/>
        <v/>
      </c>
      <c r="I658" s="237" t="str">
        <f t="shared" ref="I658:J658" si="650">IF(ISBLANK(C658),,""""&amp;C658&amp;"""")</f>
        <v/>
      </c>
      <c r="J658" s="237" t="str">
        <f t="shared" si="650"/>
        <v/>
      </c>
      <c r="K658" s="237" t="str">
        <f>IF(ISBLANK(F658),,Config!$C$3&amp;"&amp;range=BB"&amp;MATCH(F658,FRG!AC:AC,0))</f>
        <v/>
      </c>
      <c r="M658" s="243" t="str">
        <f>IFERROR(__xludf.DUMMYFUNCTION("IF(ISBLANK(F658),,SUBSTITUTE(IFERROR(JOIN("","",F658:K658),JOIN("","",F658:J658)),CHAR(10),""""))"),"")</f>
        <v/>
      </c>
      <c r="N658" s="229" t="str">
        <f t="shared" si="1"/>
        <v/>
      </c>
    </row>
    <row r="659">
      <c r="F659" s="237"/>
      <c r="G659" s="238" t="str">
        <f t="shared" si="3"/>
        <v/>
      </c>
      <c r="H659" s="238" t="str">
        <f t="shared" si="4"/>
        <v/>
      </c>
      <c r="I659" s="237" t="str">
        <f t="shared" ref="I659:J659" si="651">IF(ISBLANK(C659),,""""&amp;C659&amp;"""")</f>
        <v/>
      </c>
      <c r="J659" s="237" t="str">
        <f t="shared" si="651"/>
        <v/>
      </c>
      <c r="K659" s="237" t="str">
        <f>IF(ISBLANK(F659),,Config!$C$3&amp;"&amp;range=BB"&amp;MATCH(F659,FRG!AC:AC,0))</f>
        <v/>
      </c>
      <c r="M659" s="243" t="str">
        <f>IFERROR(__xludf.DUMMYFUNCTION("IF(ISBLANK(F659),,SUBSTITUTE(IFERROR(JOIN("","",F659:K659),JOIN("","",F659:J659)),CHAR(10),""""))"),"")</f>
        <v/>
      </c>
      <c r="N659" s="229" t="str">
        <f t="shared" si="1"/>
        <v/>
      </c>
    </row>
    <row r="660">
      <c r="F660" s="237"/>
      <c r="G660" s="238" t="str">
        <f t="shared" si="3"/>
        <v/>
      </c>
      <c r="H660" s="238" t="str">
        <f t="shared" si="4"/>
        <v/>
      </c>
      <c r="I660" s="237" t="str">
        <f t="shared" ref="I660:J660" si="652">IF(ISBLANK(C660),,""""&amp;C660&amp;"""")</f>
        <v/>
      </c>
      <c r="J660" s="237" t="str">
        <f t="shared" si="652"/>
        <v/>
      </c>
      <c r="K660" s="237" t="str">
        <f>IF(ISBLANK(F660),,Config!$C$3&amp;"&amp;range=BB"&amp;MATCH(F660,FRG!AC:AC,0))</f>
        <v/>
      </c>
      <c r="M660" s="243" t="str">
        <f>IFERROR(__xludf.DUMMYFUNCTION("IF(ISBLANK(F660),,SUBSTITUTE(IFERROR(JOIN("","",F660:K660),JOIN("","",F660:J660)),CHAR(10),""""))"),"")</f>
        <v/>
      </c>
      <c r="N660" s="229" t="str">
        <f t="shared" si="1"/>
        <v/>
      </c>
    </row>
    <row r="661">
      <c r="F661" s="237"/>
      <c r="G661" s="238" t="str">
        <f t="shared" si="3"/>
        <v/>
      </c>
      <c r="H661" s="238" t="str">
        <f t="shared" si="4"/>
        <v/>
      </c>
      <c r="I661" s="237" t="str">
        <f t="shared" ref="I661:J661" si="653">IF(ISBLANK(C661),,""""&amp;C661&amp;"""")</f>
        <v/>
      </c>
      <c r="J661" s="237" t="str">
        <f t="shared" si="653"/>
        <v/>
      </c>
      <c r="K661" s="237" t="str">
        <f>IF(ISBLANK(F661),,Config!$C$3&amp;"&amp;range=BB"&amp;MATCH(F661,FRG!AC:AC,0))</f>
        <v/>
      </c>
      <c r="M661" s="243" t="str">
        <f>IFERROR(__xludf.DUMMYFUNCTION("IF(ISBLANK(F661),,SUBSTITUTE(IFERROR(JOIN("","",F661:K661),JOIN("","",F661:J661)),CHAR(10),""""))"),"")</f>
        <v/>
      </c>
      <c r="N661" s="229" t="str">
        <f t="shared" si="1"/>
        <v/>
      </c>
    </row>
    <row r="662">
      <c r="F662" s="237"/>
      <c r="G662" s="238" t="str">
        <f t="shared" si="3"/>
        <v/>
      </c>
      <c r="H662" s="238" t="str">
        <f t="shared" si="4"/>
        <v/>
      </c>
      <c r="I662" s="237" t="str">
        <f t="shared" ref="I662:J662" si="654">IF(ISBLANK(C662),,""""&amp;C662&amp;"""")</f>
        <v/>
      </c>
      <c r="J662" s="237" t="str">
        <f t="shared" si="654"/>
        <v/>
      </c>
      <c r="K662" s="237" t="str">
        <f>IF(ISBLANK(F662),,Config!$C$3&amp;"&amp;range=BB"&amp;MATCH(F662,FRG!AC:AC,0))</f>
        <v/>
      </c>
      <c r="M662" s="243" t="str">
        <f>IFERROR(__xludf.DUMMYFUNCTION("IF(ISBLANK(F662),,SUBSTITUTE(IFERROR(JOIN("","",F662:K662),JOIN("","",F662:J662)),CHAR(10),""""))"),"")</f>
        <v/>
      </c>
      <c r="N662" s="229" t="str">
        <f t="shared" si="1"/>
        <v/>
      </c>
    </row>
    <row r="663">
      <c r="F663" s="237"/>
      <c r="G663" s="238" t="str">
        <f t="shared" si="3"/>
        <v/>
      </c>
      <c r="H663" s="238" t="str">
        <f t="shared" si="4"/>
        <v/>
      </c>
      <c r="I663" s="237" t="str">
        <f t="shared" ref="I663:J663" si="655">IF(ISBLANK(C663),,""""&amp;C663&amp;"""")</f>
        <v/>
      </c>
      <c r="J663" s="237" t="str">
        <f t="shared" si="655"/>
        <v/>
      </c>
      <c r="K663" s="237" t="str">
        <f>IF(ISBLANK(F663),,Config!$C$3&amp;"&amp;range=BB"&amp;MATCH(F663,FRG!AC:AC,0))</f>
        <v/>
      </c>
      <c r="M663" s="243" t="str">
        <f>IFERROR(__xludf.DUMMYFUNCTION("IF(ISBLANK(F663),,SUBSTITUTE(IFERROR(JOIN("","",F663:K663),JOIN("","",F663:J663)),CHAR(10),""""))"),"")</f>
        <v/>
      </c>
      <c r="N663" s="229" t="str">
        <f t="shared" si="1"/>
        <v/>
      </c>
    </row>
    <row r="664">
      <c r="F664" s="237"/>
      <c r="G664" s="238" t="str">
        <f t="shared" si="3"/>
        <v/>
      </c>
      <c r="H664" s="238" t="str">
        <f t="shared" si="4"/>
        <v/>
      </c>
      <c r="I664" s="237" t="str">
        <f t="shared" ref="I664:J664" si="656">IF(ISBLANK(C664),,""""&amp;C664&amp;"""")</f>
        <v/>
      </c>
      <c r="J664" s="237" t="str">
        <f t="shared" si="656"/>
        <v/>
      </c>
      <c r="K664" s="237" t="str">
        <f>IF(ISBLANK(F664),,Config!$C$3&amp;"&amp;range=BB"&amp;MATCH(F664,FRG!AC:AC,0))</f>
        <v/>
      </c>
      <c r="M664" s="243" t="str">
        <f>IFERROR(__xludf.DUMMYFUNCTION("IF(ISBLANK(F664),,SUBSTITUTE(IFERROR(JOIN("","",F664:K664),JOIN("","",F664:J664)),CHAR(10),""""))"),"")</f>
        <v/>
      </c>
      <c r="N664" s="229" t="str">
        <f t="shared" si="1"/>
        <v/>
      </c>
    </row>
    <row r="665">
      <c r="F665" s="237"/>
      <c r="G665" s="238" t="str">
        <f t="shared" si="3"/>
        <v/>
      </c>
      <c r="H665" s="238" t="str">
        <f t="shared" si="4"/>
        <v/>
      </c>
      <c r="I665" s="237" t="str">
        <f t="shared" ref="I665:J665" si="657">IF(ISBLANK(C665),,""""&amp;C665&amp;"""")</f>
        <v/>
      </c>
      <c r="J665" s="237" t="str">
        <f t="shared" si="657"/>
        <v/>
      </c>
      <c r="K665" s="237" t="str">
        <f>IF(ISBLANK(F665),,Config!$C$3&amp;"&amp;range=BB"&amp;MATCH(F665,FRG!AC:AC,0))</f>
        <v/>
      </c>
      <c r="M665" s="243" t="str">
        <f>IFERROR(__xludf.DUMMYFUNCTION("IF(ISBLANK(F665),,SUBSTITUTE(IFERROR(JOIN("","",F665:K665),JOIN("","",F665:J665)),CHAR(10),""""))"),"")</f>
        <v/>
      </c>
      <c r="N665" s="229" t="str">
        <f t="shared" si="1"/>
        <v/>
      </c>
    </row>
    <row r="666">
      <c r="F666" s="237"/>
      <c r="G666" s="238" t="str">
        <f t="shared" si="3"/>
        <v/>
      </c>
      <c r="H666" s="238" t="str">
        <f t="shared" si="4"/>
        <v/>
      </c>
      <c r="I666" s="237" t="str">
        <f t="shared" ref="I666:J666" si="658">IF(ISBLANK(C666),,""""&amp;C666&amp;"""")</f>
        <v/>
      </c>
      <c r="J666" s="237" t="str">
        <f t="shared" si="658"/>
        <v/>
      </c>
      <c r="K666" s="237" t="str">
        <f>IF(ISBLANK(F666),,Config!$C$3&amp;"&amp;range=BB"&amp;MATCH(F666,FRG!AC:AC,0))</f>
        <v/>
      </c>
      <c r="M666" s="243" t="str">
        <f>IFERROR(__xludf.DUMMYFUNCTION("IF(ISBLANK(F666),,SUBSTITUTE(IFERROR(JOIN("","",F666:K666),JOIN("","",F666:J666)),CHAR(10),""""))"),"")</f>
        <v/>
      </c>
      <c r="N666" s="229" t="str">
        <f t="shared" si="1"/>
        <v/>
      </c>
    </row>
    <row r="667">
      <c r="F667" s="237"/>
      <c r="G667" s="238" t="str">
        <f t="shared" si="3"/>
        <v/>
      </c>
      <c r="H667" s="238" t="str">
        <f t="shared" si="4"/>
        <v/>
      </c>
      <c r="I667" s="237" t="str">
        <f t="shared" ref="I667:J667" si="659">IF(ISBLANK(C667),,""""&amp;C667&amp;"""")</f>
        <v/>
      </c>
      <c r="J667" s="237" t="str">
        <f t="shared" si="659"/>
        <v/>
      </c>
      <c r="K667" s="237" t="str">
        <f>IF(ISBLANK(F667),,Config!$C$3&amp;"&amp;range=BB"&amp;MATCH(F667,FRG!AC:AC,0))</f>
        <v/>
      </c>
      <c r="M667" s="243" t="str">
        <f>IFERROR(__xludf.DUMMYFUNCTION("IF(ISBLANK(F667),,SUBSTITUTE(IFERROR(JOIN("","",F667:K667),JOIN("","",F667:J667)),CHAR(10),""""))"),"")</f>
        <v/>
      </c>
      <c r="N667" s="229" t="str">
        <f t="shared" si="1"/>
        <v/>
      </c>
    </row>
    <row r="668">
      <c r="F668" s="237"/>
      <c r="G668" s="238" t="str">
        <f t="shared" si="3"/>
        <v/>
      </c>
      <c r="H668" s="238" t="str">
        <f t="shared" si="4"/>
        <v/>
      </c>
      <c r="I668" s="237" t="str">
        <f t="shared" ref="I668:J668" si="660">IF(ISBLANK(C668),,""""&amp;C668&amp;"""")</f>
        <v/>
      </c>
      <c r="J668" s="237" t="str">
        <f t="shared" si="660"/>
        <v/>
      </c>
      <c r="K668" s="237" t="str">
        <f>IF(ISBLANK(F668),,Config!$C$3&amp;"&amp;range=BB"&amp;MATCH(F668,FRG!AC:AC,0))</f>
        <v/>
      </c>
      <c r="M668" s="243" t="str">
        <f>IFERROR(__xludf.DUMMYFUNCTION("IF(ISBLANK(F668),,SUBSTITUTE(IFERROR(JOIN("","",F668:K668),JOIN("","",F668:J668)),CHAR(10),""""))"),"")</f>
        <v/>
      </c>
      <c r="N668" s="229" t="str">
        <f t="shared" si="1"/>
        <v/>
      </c>
    </row>
    <row r="669">
      <c r="F669" s="237"/>
      <c r="G669" s="238" t="str">
        <f t="shared" si="3"/>
        <v/>
      </c>
      <c r="H669" s="238" t="str">
        <f t="shared" si="4"/>
        <v/>
      </c>
      <c r="I669" s="237" t="str">
        <f t="shared" ref="I669:J669" si="661">IF(ISBLANK(C669),,""""&amp;C669&amp;"""")</f>
        <v/>
      </c>
      <c r="J669" s="237" t="str">
        <f t="shared" si="661"/>
        <v/>
      </c>
      <c r="K669" s="237" t="str">
        <f>IF(ISBLANK(F669),,Config!$C$3&amp;"&amp;range=BB"&amp;MATCH(F669,FRG!AC:AC,0))</f>
        <v/>
      </c>
      <c r="M669" s="243" t="str">
        <f>IFERROR(__xludf.DUMMYFUNCTION("IF(ISBLANK(F669),,SUBSTITUTE(IFERROR(JOIN("","",F669:K669),JOIN("","",F669:J669)),CHAR(10),""""))"),"")</f>
        <v/>
      </c>
      <c r="N669" s="229" t="str">
        <f t="shared" si="1"/>
        <v/>
      </c>
    </row>
    <row r="670">
      <c r="F670" s="237"/>
      <c r="G670" s="238" t="str">
        <f t="shared" si="3"/>
        <v/>
      </c>
      <c r="H670" s="238" t="str">
        <f t="shared" si="4"/>
        <v/>
      </c>
      <c r="I670" s="237" t="str">
        <f t="shared" ref="I670:J670" si="662">IF(ISBLANK(C670),,""""&amp;C670&amp;"""")</f>
        <v/>
      </c>
      <c r="J670" s="237" t="str">
        <f t="shared" si="662"/>
        <v/>
      </c>
      <c r="K670" s="237" t="str">
        <f>IF(ISBLANK(F670),,Config!$C$3&amp;"&amp;range=BB"&amp;MATCH(F670,FRG!AC:AC,0))</f>
        <v/>
      </c>
      <c r="M670" s="243" t="str">
        <f>IFERROR(__xludf.DUMMYFUNCTION("IF(ISBLANK(F670),,SUBSTITUTE(IFERROR(JOIN("","",F670:K670),JOIN("","",F670:J670)),CHAR(10),""""))"),"")</f>
        <v/>
      </c>
      <c r="N670" s="229" t="str">
        <f t="shared" si="1"/>
        <v/>
      </c>
    </row>
    <row r="671">
      <c r="F671" s="237"/>
      <c r="G671" s="238" t="str">
        <f t="shared" si="3"/>
        <v/>
      </c>
      <c r="H671" s="238" t="str">
        <f t="shared" si="4"/>
        <v/>
      </c>
      <c r="I671" s="237" t="str">
        <f t="shared" ref="I671:J671" si="663">IF(ISBLANK(C671),,""""&amp;C671&amp;"""")</f>
        <v/>
      </c>
      <c r="J671" s="237" t="str">
        <f t="shared" si="663"/>
        <v/>
      </c>
      <c r="K671" s="237" t="str">
        <f>IF(ISBLANK(F671),,Config!$C$3&amp;"&amp;range=BB"&amp;MATCH(F671,FRG!AC:AC,0))</f>
        <v/>
      </c>
      <c r="M671" s="243" t="str">
        <f>IFERROR(__xludf.DUMMYFUNCTION("IF(ISBLANK(F671),,SUBSTITUTE(IFERROR(JOIN("","",F671:K671),JOIN("","",F671:J671)),CHAR(10),""""))"),"")</f>
        <v/>
      </c>
      <c r="N671" s="229" t="str">
        <f t="shared" si="1"/>
        <v/>
      </c>
    </row>
    <row r="672">
      <c r="F672" s="237"/>
      <c r="G672" s="238" t="str">
        <f t="shared" si="3"/>
        <v/>
      </c>
      <c r="H672" s="238" t="str">
        <f t="shared" si="4"/>
        <v/>
      </c>
      <c r="I672" s="237" t="str">
        <f t="shared" ref="I672:J672" si="664">IF(ISBLANK(C672),,""""&amp;C672&amp;"""")</f>
        <v/>
      </c>
      <c r="J672" s="237" t="str">
        <f t="shared" si="664"/>
        <v/>
      </c>
      <c r="K672" s="237" t="str">
        <f>IF(ISBLANK(F672),,Config!$C$3&amp;"&amp;range=BB"&amp;MATCH(F672,FRG!AC:AC,0))</f>
        <v/>
      </c>
      <c r="M672" s="243" t="str">
        <f>IFERROR(__xludf.DUMMYFUNCTION("IF(ISBLANK(F672),,SUBSTITUTE(IFERROR(JOIN("","",F672:K672),JOIN("","",F672:J672)),CHAR(10),""""))"),"")</f>
        <v/>
      </c>
      <c r="N672" s="229" t="str">
        <f t="shared" si="1"/>
        <v/>
      </c>
    </row>
    <row r="673">
      <c r="F673" s="237"/>
      <c r="G673" s="238" t="str">
        <f t="shared" si="3"/>
        <v/>
      </c>
      <c r="H673" s="238" t="str">
        <f t="shared" si="4"/>
        <v/>
      </c>
      <c r="I673" s="237" t="str">
        <f t="shared" ref="I673:J673" si="665">IF(ISBLANK(C673),,""""&amp;C673&amp;"""")</f>
        <v/>
      </c>
      <c r="J673" s="237" t="str">
        <f t="shared" si="665"/>
        <v/>
      </c>
      <c r="K673" s="237" t="str">
        <f>IF(ISBLANK(F673),,Config!$C$3&amp;"&amp;range=BB"&amp;MATCH(F673,FRG!AC:AC,0))</f>
        <v/>
      </c>
      <c r="M673" s="243" t="str">
        <f>IFERROR(__xludf.DUMMYFUNCTION("IF(ISBLANK(F673),,SUBSTITUTE(IFERROR(JOIN("","",F673:K673),JOIN("","",F673:J673)),CHAR(10),""""))"),"")</f>
        <v/>
      </c>
      <c r="N673" s="229" t="str">
        <f t="shared" si="1"/>
        <v/>
      </c>
    </row>
    <row r="674">
      <c r="F674" s="237"/>
      <c r="G674" s="238" t="str">
        <f t="shared" si="3"/>
        <v/>
      </c>
      <c r="H674" s="238" t="str">
        <f t="shared" si="4"/>
        <v/>
      </c>
      <c r="I674" s="237" t="str">
        <f t="shared" ref="I674:J674" si="666">IF(ISBLANK(C674),,""""&amp;C674&amp;"""")</f>
        <v/>
      </c>
      <c r="J674" s="237" t="str">
        <f t="shared" si="666"/>
        <v/>
      </c>
      <c r="K674" s="237" t="str">
        <f>IF(ISBLANK(F674),,Config!$C$3&amp;"&amp;range=BB"&amp;MATCH(F674,FRG!AC:AC,0))</f>
        <v/>
      </c>
      <c r="M674" s="243" t="str">
        <f>IFERROR(__xludf.DUMMYFUNCTION("IF(ISBLANK(F674),,SUBSTITUTE(IFERROR(JOIN("","",F674:K674),JOIN("","",F674:J674)),CHAR(10),""""))"),"")</f>
        <v/>
      </c>
      <c r="N674" s="229" t="str">
        <f t="shared" si="1"/>
        <v/>
      </c>
    </row>
    <row r="675">
      <c r="F675" s="237"/>
      <c r="G675" s="238" t="str">
        <f t="shared" si="3"/>
        <v/>
      </c>
      <c r="H675" s="238" t="str">
        <f t="shared" si="4"/>
        <v/>
      </c>
      <c r="I675" s="237" t="str">
        <f t="shared" ref="I675:J675" si="667">IF(ISBLANK(C675),,""""&amp;C675&amp;"""")</f>
        <v/>
      </c>
      <c r="J675" s="237" t="str">
        <f t="shared" si="667"/>
        <v/>
      </c>
      <c r="K675" s="237" t="str">
        <f>IF(ISBLANK(F675),,Config!$C$3&amp;"&amp;range=BB"&amp;MATCH(F675,FRG!AC:AC,0))</f>
        <v/>
      </c>
      <c r="M675" s="243" t="str">
        <f>IFERROR(__xludf.DUMMYFUNCTION("IF(ISBLANK(F675),,SUBSTITUTE(IFERROR(JOIN("","",F675:K675),JOIN("","",F675:J675)),CHAR(10),""""))"),"")</f>
        <v/>
      </c>
      <c r="N675" s="229" t="str">
        <f t="shared" si="1"/>
        <v/>
      </c>
    </row>
    <row r="676">
      <c r="F676" s="237"/>
      <c r="G676" s="238" t="str">
        <f t="shared" si="3"/>
        <v/>
      </c>
      <c r="H676" s="238" t="str">
        <f t="shared" si="4"/>
        <v/>
      </c>
      <c r="I676" s="237" t="str">
        <f t="shared" ref="I676:J676" si="668">IF(ISBLANK(C676),,""""&amp;C676&amp;"""")</f>
        <v/>
      </c>
      <c r="J676" s="237" t="str">
        <f t="shared" si="668"/>
        <v/>
      </c>
      <c r="K676" s="237" t="str">
        <f>IF(ISBLANK(F676),,Config!$C$3&amp;"&amp;range=BB"&amp;MATCH(F676,FRG!AC:AC,0))</f>
        <v/>
      </c>
      <c r="M676" s="243" t="str">
        <f>IFERROR(__xludf.DUMMYFUNCTION("IF(ISBLANK(F676),,SUBSTITUTE(IFERROR(JOIN("","",F676:K676),JOIN("","",F676:J676)),CHAR(10),""""))"),"")</f>
        <v/>
      </c>
      <c r="N676" s="229" t="str">
        <f t="shared" si="1"/>
        <v/>
      </c>
    </row>
    <row r="677">
      <c r="F677" s="237"/>
      <c r="G677" s="238" t="str">
        <f t="shared" si="3"/>
        <v/>
      </c>
      <c r="H677" s="238" t="str">
        <f t="shared" si="4"/>
        <v/>
      </c>
      <c r="I677" s="237" t="str">
        <f t="shared" ref="I677:J677" si="669">IF(ISBLANK(C677),,""""&amp;C677&amp;"""")</f>
        <v/>
      </c>
      <c r="J677" s="237" t="str">
        <f t="shared" si="669"/>
        <v/>
      </c>
      <c r="K677" s="237" t="str">
        <f>IF(ISBLANK(F677),,Config!$C$3&amp;"&amp;range=BB"&amp;MATCH(F677,FRG!AC:AC,0))</f>
        <v/>
      </c>
      <c r="M677" s="243" t="str">
        <f>IFERROR(__xludf.DUMMYFUNCTION("IF(ISBLANK(F677),,SUBSTITUTE(IFERROR(JOIN("","",F677:K677),JOIN("","",F677:J677)),CHAR(10),""""))"),"")</f>
        <v/>
      </c>
      <c r="N677" s="229" t="str">
        <f t="shared" si="1"/>
        <v/>
      </c>
    </row>
    <row r="678">
      <c r="F678" s="237"/>
      <c r="G678" s="238" t="str">
        <f t="shared" si="3"/>
        <v/>
      </c>
      <c r="H678" s="238" t="str">
        <f t="shared" si="4"/>
        <v/>
      </c>
      <c r="I678" s="237" t="str">
        <f t="shared" ref="I678:J678" si="670">IF(ISBLANK(C678),,""""&amp;C678&amp;"""")</f>
        <v/>
      </c>
      <c r="J678" s="237" t="str">
        <f t="shared" si="670"/>
        <v/>
      </c>
      <c r="K678" s="237" t="str">
        <f>IF(ISBLANK(F678),,Config!$C$3&amp;"&amp;range=BB"&amp;MATCH(F678,FRG!AC:AC,0))</f>
        <v/>
      </c>
      <c r="M678" s="243" t="str">
        <f>IFERROR(__xludf.DUMMYFUNCTION("IF(ISBLANK(F678),,SUBSTITUTE(IFERROR(JOIN("","",F678:K678),JOIN("","",F678:J678)),CHAR(10),""""))"),"")</f>
        <v/>
      </c>
      <c r="N678" s="229" t="str">
        <f t="shared" si="1"/>
        <v/>
      </c>
    </row>
    <row r="679">
      <c r="F679" s="237"/>
      <c r="G679" s="238" t="str">
        <f t="shared" si="3"/>
        <v/>
      </c>
      <c r="H679" s="238" t="str">
        <f t="shared" si="4"/>
        <v/>
      </c>
      <c r="I679" s="237" t="str">
        <f t="shared" ref="I679:J679" si="671">IF(ISBLANK(C679),,""""&amp;C679&amp;"""")</f>
        <v/>
      </c>
      <c r="J679" s="237" t="str">
        <f t="shared" si="671"/>
        <v/>
      </c>
      <c r="K679" s="237" t="str">
        <f>IF(ISBLANK(F679),,Config!$C$3&amp;"&amp;range=BB"&amp;MATCH(F679,FRG!AC:AC,0))</f>
        <v/>
      </c>
      <c r="M679" s="243" t="str">
        <f>IFERROR(__xludf.DUMMYFUNCTION("IF(ISBLANK(F679),,SUBSTITUTE(IFERROR(JOIN("","",F679:K679),JOIN("","",F679:J679)),CHAR(10),""""))"),"")</f>
        <v/>
      </c>
      <c r="N679" s="229" t="str">
        <f t="shared" si="1"/>
        <v/>
      </c>
    </row>
    <row r="680">
      <c r="F680" s="237"/>
      <c r="G680" s="238" t="str">
        <f t="shared" si="3"/>
        <v/>
      </c>
      <c r="H680" s="238" t="str">
        <f t="shared" si="4"/>
        <v/>
      </c>
      <c r="I680" s="237" t="str">
        <f t="shared" ref="I680:J680" si="672">IF(ISBLANK(C680),,""""&amp;C680&amp;"""")</f>
        <v/>
      </c>
      <c r="J680" s="237" t="str">
        <f t="shared" si="672"/>
        <v/>
      </c>
      <c r="K680" s="237" t="str">
        <f>IF(ISBLANK(F680),,Config!$C$3&amp;"&amp;range=BB"&amp;MATCH(F680,FRG!AC:AC,0))</f>
        <v/>
      </c>
      <c r="M680" s="243" t="str">
        <f>IFERROR(__xludf.DUMMYFUNCTION("IF(ISBLANK(F680),,SUBSTITUTE(IFERROR(JOIN("","",F680:K680),JOIN("","",F680:J680)),CHAR(10),""""))"),"")</f>
        <v/>
      </c>
      <c r="N680" s="229" t="str">
        <f t="shared" si="1"/>
        <v/>
      </c>
    </row>
    <row r="681">
      <c r="F681" s="237"/>
      <c r="G681" s="238" t="str">
        <f t="shared" si="3"/>
        <v/>
      </c>
      <c r="H681" s="238" t="str">
        <f t="shared" si="4"/>
        <v/>
      </c>
      <c r="I681" s="237" t="str">
        <f t="shared" ref="I681:J681" si="673">IF(ISBLANK(C681),,""""&amp;C681&amp;"""")</f>
        <v/>
      </c>
      <c r="J681" s="237" t="str">
        <f t="shared" si="673"/>
        <v/>
      </c>
      <c r="K681" s="237" t="str">
        <f>IF(ISBLANK(F681),,Config!$C$3&amp;"&amp;range=BB"&amp;MATCH(F681,FRG!AC:AC,0))</f>
        <v/>
      </c>
      <c r="M681" s="243" t="str">
        <f>IFERROR(__xludf.DUMMYFUNCTION("IF(ISBLANK(F681),,SUBSTITUTE(IFERROR(JOIN("","",F681:K681),JOIN("","",F681:J681)),CHAR(10),""""))"),"")</f>
        <v/>
      </c>
      <c r="N681" s="229" t="str">
        <f t="shared" si="1"/>
        <v/>
      </c>
    </row>
    <row r="682">
      <c r="F682" s="237"/>
      <c r="G682" s="238" t="str">
        <f t="shared" si="3"/>
        <v/>
      </c>
      <c r="H682" s="238" t="str">
        <f t="shared" si="4"/>
        <v/>
      </c>
      <c r="I682" s="237" t="str">
        <f t="shared" ref="I682:J682" si="674">IF(ISBLANK(C682),,""""&amp;C682&amp;"""")</f>
        <v/>
      </c>
      <c r="J682" s="237" t="str">
        <f t="shared" si="674"/>
        <v/>
      </c>
      <c r="K682" s="237" t="str">
        <f>IF(ISBLANK(F682),,Config!$C$3&amp;"&amp;range=BB"&amp;MATCH(F682,FRG!AC:AC,0))</f>
        <v/>
      </c>
      <c r="M682" s="243" t="str">
        <f>IFERROR(__xludf.DUMMYFUNCTION("IF(ISBLANK(F682),,SUBSTITUTE(IFERROR(JOIN("","",F682:K682),JOIN("","",F682:J682)),CHAR(10),""""))"),"")</f>
        <v/>
      </c>
      <c r="N682" s="229" t="str">
        <f t="shared" si="1"/>
        <v/>
      </c>
    </row>
    <row r="683">
      <c r="F683" s="237"/>
      <c r="G683" s="238" t="str">
        <f t="shared" si="3"/>
        <v/>
      </c>
      <c r="H683" s="238" t="str">
        <f t="shared" si="4"/>
        <v/>
      </c>
      <c r="I683" s="237" t="str">
        <f t="shared" ref="I683:J683" si="675">IF(ISBLANK(C683),,""""&amp;C683&amp;"""")</f>
        <v/>
      </c>
      <c r="J683" s="237" t="str">
        <f t="shared" si="675"/>
        <v/>
      </c>
      <c r="K683" s="237" t="str">
        <f>IF(ISBLANK(F683),,Config!$C$3&amp;"&amp;range=BB"&amp;MATCH(F683,FRG!AC:AC,0))</f>
        <v/>
      </c>
      <c r="M683" s="243" t="str">
        <f>IFERROR(__xludf.DUMMYFUNCTION("IF(ISBLANK(F683),,SUBSTITUTE(IFERROR(JOIN("","",F683:K683),JOIN("","",F683:J683)),CHAR(10),""""))"),"")</f>
        <v/>
      </c>
      <c r="N683" s="229" t="str">
        <f t="shared" si="1"/>
        <v/>
      </c>
    </row>
    <row r="684">
      <c r="F684" s="237"/>
      <c r="G684" s="238" t="str">
        <f t="shared" si="3"/>
        <v/>
      </c>
      <c r="H684" s="238" t="str">
        <f t="shared" si="4"/>
        <v/>
      </c>
      <c r="I684" s="237" t="str">
        <f t="shared" ref="I684:J684" si="676">IF(ISBLANK(C684),,""""&amp;C684&amp;"""")</f>
        <v/>
      </c>
      <c r="J684" s="237" t="str">
        <f t="shared" si="676"/>
        <v/>
      </c>
      <c r="K684" s="237" t="str">
        <f>IF(ISBLANK(F684),,Config!$C$3&amp;"&amp;range=BB"&amp;MATCH(F684,FRG!AC:AC,0))</f>
        <v/>
      </c>
      <c r="M684" s="243" t="str">
        <f>IFERROR(__xludf.DUMMYFUNCTION("IF(ISBLANK(F684),,SUBSTITUTE(IFERROR(JOIN("","",F684:K684),JOIN("","",F684:J684)),CHAR(10),""""))"),"")</f>
        <v/>
      </c>
      <c r="N684" s="229" t="str">
        <f t="shared" si="1"/>
        <v/>
      </c>
    </row>
    <row r="685">
      <c r="F685" s="237"/>
      <c r="G685" s="238" t="str">
        <f t="shared" si="3"/>
        <v/>
      </c>
      <c r="H685" s="238" t="str">
        <f t="shared" si="4"/>
        <v/>
      </c>
      <c r="I685" s="237" t="str">
        <f t="shared" ref="I685:J685" si="677">IF(ISBLANK(C685),,""""&amp;C685&amp;"""")</f>
        <v/>
      </c>
      <c r="J685" s="237" t="str">
        <f t="shared" si="677"/>
        <v/>
      </c>
      <c r="K685" s="237" t="str">
        <f>IF(ISBLANK(F685),,Config!$C$3&amp;"&amp;range=BB"&amp;MATCH(F685,FRG!AC:AC,0))</f>
        <v/>
      </c>
      <c r="M685" s="243" t="str">
        <f>IFERROR(__xludf.DUMMYFUNCTION("IF(ISBLANK(F685),,SUBSTITUTE(IFERROR(JOIN("","",F685:K685),JOIN("","",F685:J685)),CHAR(10),""""))"),"")</f>
        <v/>
      </c>
      <c r="N685" s="229" t="str">
        <f t="shared" si="1"/>
        <v/>
      </c>
    </row>
    <row r="686">
      <c r="F686" s="237"/>
      <c r="G686" s="238" t="str">
        <f t="shared" si="3"/>
        <v/>
      </c>
      <c r="H686" s="238" t="str">
        <f t="shared" si="4"/>
        <v/>
      </c>
      <c r="I686" s="237" t="str">
        <f t="shared" ref="I686:J686" si="678">IF(ISBLANK(C686),,""""&amp;C686&amp;"""")</f>
        <v/>
      </c>
      <c r="J686" s="237" t="str">
        <f t="shared" si="678"/>
        <v/>
      </c>
      <c r="K686" s="237" t="str">
        <f>IF(ISBLANK(F686),,Config!$C$3&amp;"&amp;range=BB"&amp;MATCH(F686,FRG!AC:AC,0))</f>
        <v/>
      </c>
      <c r="M686" s="243" t="str">
        <f>IFERROR(__xludf.DUMMYFUNCTION("IF(ISBLANK(F686),,SUBSTITUTE(IFERROR(JOIN("","",F686:K686),JOIN("","",F686:J686)),CHAR(10),""""))"),"")</f>
        <v/>
      </c>
      <c r="N686" s="229" t="str">
        <f t="shared" si="1"/>
        <v/>
      </c>
    </row>
    <row r="687">
      <c r="F687" s="237"/>
      <c r="G687" s="238" t="str">
        <f t="shared" si="3"/>
        <v/>
      </c>
      <c r="H687" s="238" t="str">
        <f t="shared" si="4"/>
        <v/>
      </c>
      <c r="I687" s="237" t="str">
        <f t="shared" ref="I687:J687" si="679">IF(ISBLANK(C687),,""""&amp;C687&amp;"""")</f>
        <v/>
      </c>
      <c r="J687" s="237" t="str">
        <f t="shared" si="679"/>
        <v/>
      </c>
      <c r="K687" s="237" t="str">
        <f>IF(ISBLANK(F687),,Config!$C$3&amp;"&amp;range=BB"&amp;MATCH(F687,FRG!AC:AC,0))</f>
        <v/>
      </c>
      <c r="M687" s="243" t="str">
        <f>IFERROR(__xludf.DUMMYFUNCTION("IF(ISBLANK(F687),,SUBSTITUTE(IFERROR(JOIN("","",F687:K687),JOIN("","",F687:J687)),CHAR(10),""""))"),"")</f>
        <v/>
      </c>
      <c r="N687" s="229" t="str">
        <f t="shared" si="1"/>
        <v/>
      </c>
    </row>
    <row r="688">
      <c r="F688" s="237"/>
      <c r="G688" s="238" t="str">
        <f t="shared" si="3"/>
        <v/>
      </c>
      <c r="H688" s="238" t="str">
        <f t="shared" si="4"/>
        <v/>
      </c>
      <c r="I688" s="237" t="str">
        <f t="shared" ref="I688:J688" si="680">IF(ISBLANK(C688),,""""&amp;C688&amp;"""")</f>
        <v/>
      </c>
      <c r="J688" s="237" t="str">
        <f t="shared" si="680"/>
        <v/>
      </c>
      <c r="K688" s="237" t="str">
        <f>IF(ISBLANK(F688),,Config!$C$3&amp;"&amp;range=BB"&amp;MATCH(F688,FRG!AC:AC,0))</f>
        <v/>
      </c>
      <c r="M688" s="243" t="str">
        <f>IFERROR(__xludf.DUMMYFUNCTION("IF(ISBLANK(F688),,SUBSTITUTE(IFERROR(JOIN("","",F688:K688),JOIN("","",F688:J688)),CHAR(10),""""))"),"")</f>
        <v/>
      </c>
      <c r="N688" s="229" t="str">
        <f t="shared" si="1"/>
        <v/>
      </c>
    </row>
    <row r="689">
      <c r="F689" s="237"/>
      <c r="G689" s="238" t="str">
        <f t="shared" si="3"/>
        <v/>
      </c>
      <c r="H689" s="238" t="str">
        <f t="shared" si="4"/>
        <v/>
      </c>
      <c r="I689" s="237" t="str">
        <f t="shared" ref="I689:J689" si="681">IF(ISBLANK(C689),,""""&amp;C689&amp;"""")</f>
        <v/>
      </c>
      <c r="J689" s="237" t="str">
        <f t="shared" si="681"/>
        <v/>
      </c>
      <c r="K689" s="237" t="str">
        <f>IF(ISBLANK(F689),,Config!$C$3&amp;"&amp;range=BB"&amp;MATCH(F689,FRG!AC:AC,0))</f>
        <v/>
      </c>
      <c r="M689" s="243" t="str">
        <f>IFERROR(__xludf.DUMMYFUNCTION("IF(ISBLANK(F689),,SUBSTITUTE(IFERROR(JOIN("","",F689:K689),JOIN("","",F689:J689)),CHAR(10),""""))"),"")</f>
        <v/>
      </c>
      <c r="N689" s="229" t="str">
        <f t="shared" si="1"/>
        <v/>
      </c>
    </row>
    <row r="690">
      <c r="F690" s="237"/>
      <c r="G690" s="238" t="str">
        <f t="shared" si="3"/>
        <v/>
      </c>
      <c r="H690" s="238" t="str">
        <f t="shared" si="4"/>
        <v/>
      </c>
      <c r="I690" s="237" t="str">
        <f t="shared" ref="I690:J690" si="682">IF(ISBLANK(C690),,""""&amp;C690&amp;"""")</f>
        <v/>
      </c>
      <c r="J690" s="237" t="str">
        <f t="shared" si="682"/>
        <v/>
      </c>
      <c r="K690" s="237" t="str">
        <f>IF(ISBLANK(F690),,Config!$C$3&amp;"&amp;range=BB"&amp;MATCH(F690,FRG!AC:AC,0))</f>
        <v/>
      </c>
      <c r="M690" s="243" t="str">
        <f>IFERROR(__xludf.DUMMYFUNCTION("IF(ISBLANK(F690),,SUBSTITUTE(IFERROR(JOIN("","",F690:K690),JOIN("","",F690:J690)),CHAR(10),""""))"),"")</f>
        <v/>
      </c>
      <c r="N690" s="229" t="str">
        <f t="shared" si="1"/>
        <v/>
      </c>
    </row>
    <row r="691">
      <c r="F691" s="237"/>
      <c r="G691" s="238" t="str">
        <f t="shared" si="3"/>
        <v/>
      </c>
      <c r="H691" s="238" t="str">
        <f t="shared" si="4"/>
        <v/>
      </c>
      <c r="I691" s="237" t="str">
        <f t="shared" ref="I691:J691" si="683">IF(ISBLANK(C691),,""""&amp;C691&amp;"""")</f>
        <v/>
      </c>
      <c r="J691" s="237" t="str">
        <f t="shared" si="683"/>
        <v/>
      </c>
      <c r="K691" s="237" t="str">
        <f>IF(ISBLANK(F691),,Config!$C$3&amp;"&amp;range=BB"&amp;MATCH(F691,FRG!AC:AC,0))</f>
        <v/>
      </c>
      <c r="M691" s="243" t="str">
        <f>IFERROR(__xludf.DUMMYFUNCTION("IF(ISBLANK(F691),,SUBSTITUTE(IFERROR(JOIN("","",F691:K691),JOIN("","",F691:J691)),CHAR(10),""""))"),"")</f>
        <v/>
      </c>
      <c r="N691" s="229" t="str">
        <f t="shared" si="1"/>
        <v/>
      </c>
    </row>
    <row r="692">
      <c r="F692" s="237"/>
      <c r="G692" s="238" t="str">
        <f t="shared" si="3"/>
        <v/>
      </c>
      <c r="H692" s="238" t="str">
        <f t="shared" si="4"/>
        <v/>
      </c>
      <c r="I692" s="237" t="str">
        <f t="shared" ref="I692:J692" si="684">IF(ISBLANK(C692),,""""&amp;C692&amp;"""")</f>
        <v/>
      </c>
      <c r="J692" s="237" t="str">
        <f t="shared" si="684"/>
        <v/>
      </c>
      <c r="K692" s="237" t="str">
        <f>IF(ISBLANK(F692),,Config!$C$3&amp;"&amp;range=BB"&amp;MATCH(F692,FRG!AC:AC,0))</f>
        <v/>
      </c>
      <c r="M692" s="243" t="str">
        <f>IFERROR(__xludf.DUMMYFUNCTION("IF(ISBLANK(F692),,SUBSTITUTE(IFERROR(JOIN("","",F692:K692),JOIN("","",F692:J692)),CHAR(10),""""))"),"")</f>
        <v/>
      </c>
      <c r="N692" s="229" t="str">
        <f t="shared" si="1"/>
        <v/>
      </c>
    </row>
    <row r="693">
      <c r="F693" s="237"/>
      <c r="G693" s="238" t="str">
        <f t="shared" si="3"/>
        <v/>
      </c>
      <c r="H693" s="238" t="str">
        <f t="shared" si="4"/>
        <v/>
      </c>
      <c r="I693" s="237" t="str">
        <f t="shared" ref="I693:J693" si="685">IF(ISBLANK(C693),,""""&amp;C693&amp;"""")</f>
        <v/>
      </c>
      <c r="J693" s="237" t="str">
        <f t="shared" si="685"/>
        <v/>
      </c>
      <c r="K693" s="237" t="str">
        <f>IF(ISBLANK(F693),,Config!$C$3&amp;"&amp;range=BB"&amp;MATCH(F693,FRG!AC:AC,0))</f>
        <v/>
      </c>
      <c r="M693" s="243" t="str">
        <f>IFERROR(__xludf.DUMMYFUNCTION("IF(ISBLANK(F693),,SUBSTITUTE(IFERROR(JOIN("","",F693:K693),JOIN("","",F693:J693)),CHAR(10),""""))"),"")</f>
        <v/>
      </c>
      <c r="N693" s="229" t="str">
        <f t="shared" si="1"/>
        <v/>
      </c>
    </row>
    <row r="694">
      <c r="F694" s="237"/>
      <c r="G694" s="238" t="str">
        <f t="shared" si="3"/>
        <v/>
      </c>
      <c r="H694" s="238" t="str">
        <f t="shared" si="4"/>
        <v/>
      </c>
      <c r="I694" s="237" t="str">
        <f t="shared" ref="I694:J694" si="686">IF(ISBLANK(C694),,""""&amp;C694&amp;"""")</f>
        <v/>
      </c>
      <c r="J694" s="237" t="str">
        <f t="shared" si="686"/>
        <v/>
      </c>
      <c r="K694" s="237" t="str">
        <f>IF(ISBLANK(F694),,Config!$C$3&amp;"&amp;range=BB"&amp;MATCH(F694,FRG!AC:AC,0))</f>
        <v/>
      </c>
      <c r="M694" s="243" t="str">
        <f>IFERROR(__xludf.DUMMYFUNCTION("IF(ISBLANK(F694),,SUBSTITUTE(IFERROR(JOIN("","",F694:K694),JOIN("","",F694:J694)),CHAR(10),""""))"),"")</f>
        <v/>
      </c>
      <c r="N694" s="229" t="str">
        <f t="shared" si="1"/>
        <v/>
      </c>
    </row>
    <row r="695">
      <c r="F695" s="237"/>
      <c r="G695" s="238" t="str">
        <f t="shared" si="3"/>
        <v/>
      </c>
      <c r="H695" s="238" t="str">
        <f t="shared" si="4"/>
        <v/>
      </c>
      <c r="I695" s="237" t="str">
        <f t="shared" ref="I695:J695" si="687">IF(ISBLANK(C695),,""""&amp;C695&amp;"""")</f>
        <v/>
      </c>
      <c r="J695" s="237" t="str">
        <f t="shared" si="687"/>
        <v/>
      </c>
      <c r="K695" s="237" t="str">
        <f>IF(ISBLANK(F695),,Config!$C$3&amp;"&amp;range=BB"&amp;MATCH(F695,FRG!AC:AC,0))</f>
        <v/>
      </c>
      <c r="M695" s="243" t="str">
        <f>IFERROR(__xludf.DUMMYFUNCTION("IF(ISBLANK(F695),,SUBSTITUTE(IFERROR(JOIN("","",F695:K695),JOIN("","",F695:J695)),CHAR(10),""""))"),"")</f>
        <v/>
      </c>
      <c r="N695" s="229" t="str">
        <f t="shared" si="1"/>
        <v/>
      </c>
    </row>
    <row r="696">
      <c r="F696" s="237"/>
      <c r="G696" s="238" t="str">
        <f t="shared" si="3"/>
        <v/>
      </c>
      <c r="H696" s="238" t="str">
        <f t="shared" si="4"/>
        <v/>
      </c>
      <c r="I696" s="237" t="str">
        <f t="shared" ref="I696:J696" si="688">IF(ISBLANK(C696),,""""&amp;C696&amp;"""")</f>
        <v/>
      </c>
      <c r="J696" s="237" t="str">
        <f t="shared" si="688"/>
        <v/>
      </c>
      <c r="K696" s="237" t="str">
        <f>IF(ISBLANK(F696),,Config!$C$3&amp;"&amp;range=BB"&amp;MATCH(F696,FRG!AC:AC,0))</f>
        <v/>
      </c>
      <c r="M696" s="243" t="str">
        <f>IFERROR(__xludf.DUMMYFUNCTION("IF(ISBLANK(F696),,SUBSTITUTE(IFERROR(JOIN("","",F696:K696),JOIN("","",F696:J696)),CHAR(10),""""))"),"")</f>
        <v/>
      </c>
      <c r="N696" s="229" t="str">
        <f t="shared" si="1"/>
        <v/>
      </c>
    </row>
    <row r="697">
      <c r="F697" s="237"/>
      <c r="G697" s="238" t="str">
        <f t="shared" si="3"/>
        <v/>
      </c>
      <c r="H697" s="238" t="str">
        <f t="shared" si="4"/>
        <v/>
      </c>
      <c r="I697" s="237" t="str">
        <f t="shared" ref="I697:J697" si="689">IF(ISBLANK(C697),,""""&amp;C697&amp;"""")</f>
        <v/>
      </c>
      <c r="J697" s="237" t="str">
        <f t="shared" si="689"/>
        <v/>
      </c>
      <c r="K697" s="237" t="str">
        <f>IF(ISBLANK(F697),,Config!$C$3&amp;"&amp;range=BB"&amp;MATCH(F697,FRG!AC:AC,0))</f>
        <v/>
      </c>
      <c r="M697" s="243" t="str">
        <f>IFERROR(__xludf.DUMMYFUNCTION("IF(ISBLANK(F697),,SUBSTITUTE(IFERROR(JOIN("","",F697:K697),JOIN("","",F697:J697)),CHAR(10),""""))"),"")</f>
        <v/>
      </c>
      <c r="N697" s="229" t="str">
        <f t="shared" si="1"/>
        <v/>
      </c>
    </row>
    <row r="698">
      <c r="F698" s="237"/>
      <c r="G698" s="238" t="str">
        <f t="shared" si="3"/>
        <v/>
      </c>
      <c r="H698" s="238" t="str">
        <f t="shared" si="4"/>
        <v/>
      </c>
      <c r="I698" s="237" t="str">
        <f t="shared" ref="I698:J698" si="690">IF(ISBLANK(C698),,""""&amp;C698&amp;"""")</f>
        <v/>
      </c>
      <c r="J698" s="237" t="str">
        <f t="shared" si="690"/>
        <v/>
      </c>
      <c r="K698" s="237" t="str">
        <f>IF(ISBLANK(F698),,Config!$C$3&amp;"&amp;range=BB"&amp;MATCH(F698,FRG!AC:AC,0))</f>
        <v/>
      </c>
      <c r="M698" s="243" t="str">
        <f>IFERROR(__xludf.DUMMYFUNCTION("IF(ISBLANK(F698),,SUBSTITUTE(IFERROR(JOIN("","",F698:K698),JOIN("","",F698:J698)),CHAR(10),""""))"),"")</f>
        <v/>
      </c>
      <c r="N698" s="229" t="str">
        <f t="shared" si="1"/>
        <v/>
      </c>
    </row>
    <row r="699">
      <c r="F699" s="237"/>
      <c r="G699" s="238" t="str">
        <f t="shared" si="3"/>
        <v/>
      </c>
      <c r="H699" s="238" t="str">
        <f t="shared" si="4"/>
        <v/>
      </c>
      <c r="I699" s="237" t="str">
        <f t="shared" ref="I699:J699" si="691">IF(ISBLANK(C699),,""""&amp;C699&amp;"""")</f>
        <v/>
      </c>
      <c r="J699" s="237" t="str">
        <f t="shared" si="691"/>
        <v/>
      </c>
      <c r="K699" s="237" t="str">
        <f>IF(ISBLANK(F699),,Config!$C$3&amp;"&amp;range=BB"&amp;MATCH(F699,FRG!AC:AC,0))</f>
        <v/>
      </c>
      <c r="M699" s="243" t="str">
        <f>IFERROR(__xludf.DUMMYFUNCTION("IF(ISBLANK(F699),,SUBSTITUTE(IFERROR(JOIN("","",F699:K699),JOIN("","",F699:J699)),CHAR(10),""""))"),"")</f>
        <v/>
      </c>
      <c r="N699" s="229" t="str">
        <f t="shared" si="1"/>
        <v/>
      </c>
    </row>
    <row r="700">
      <c r="F700" s="237"/>
      <c r="G700" s="238" t="str">
        <f t="shared" si="3"/>
        <v/>
      </c>
      <c r="H700" s="238" t="str">
        <f t="shared" si="4"/>
        <v/>
      </c>
      <c r="I700" s="237" t="str">
        <f t="shared" ref="I700:J700" si="692">IF(ISBLANK(C700),,""""&amp;C700&amp;"""")</f>
        <v/>
      </c>
      <c r="J700" s="237" t="str">
        <f t="shared" si="692"/>
        <v/>
      </c>
      <c r="K700" s="237" t="str">
        <f>IF(ISBLANK(F700),,Config!$C$3&amp;"&amp;range=BB"&amp;MATCH(F700,FRG!AC:AC,0))</f>
        <v/>
      </c>
      <c r="M700" s="243" t="str">
        <f>IFERROR(__xludf.DUMMYFUNCTION("IF(ISBLANK(F700),,SUBSTITUTE(IFERROR(JOIN("","",F700:K700),JOIN("","",F700:J700)),CHAR(10),""""))"),"")</f>
        <v/>
      </c>
      <c r="N700" s="229" t="str">
        <f t="shared" si="1"/>
        <v/>
      </c>
    </row>
    <row r="701">
      <c r="F701" s="237"/>
      <c r="G701" s="238" t="str">
        <f t="shared" si="3"/>
        <v/>
      </c>
      <c r="H701" s="238" t="str">
        <f t="shared" si="4"/>
        <v/>
      </c>
      <c r="I701" s="237" t="str">
        <f t="shared" ref="I701:J701" si="693">IF(ISBLANK(C701),,""""&amp;C701&amp;"""")</f>
        <v/>
      </c>
      <c r="J701" s="237" t="str">
        <f t="shared" si="693"/>
        <v/>
      </c>
      <c r="K701" s="237" t="str">
        <f>IF(ISBLANK(F701),,Config!$C$3&amp;"&amp;range=BB"&amp;MATCH(F701,FRG!AC:AC,0))</f>
        <v/>
      </c>
      <c r="M701" s="243" t="str">
        <f>IFERROR(__xludf.DUMMYFUNCTION("IF(ISBLANK(F701),,SUBSTITUTE(IFERROR(JOIN("","",F701:K701),JOIN("","",F701:J701)),CHAR(10),""""))"),"")</f>
        <v/>
      </c>
      <c r="N701" s="229" t="str">
        <f t="shared" si="1"/>
        <v/>
      </c>
    </row>
    <row r="702">
      <c r="F702" s="237"/>
      <c r="G702" s="238" t="str">
        <f t="shared" si="3"/>
        <v/>
      </c>
      <c r="H702" s="238" t="str">
        <f t="shared" si="4"/>
        <v/>
      </c>
      <c r="I702" s="237" t="str">
        <f t="shared" ref="I702:J702" si="694">IF(ISBLANK(C702),,""""&amp;C702&amp;"""")</f>
        <v/>
      </c>
      <c r="J702" s="237" t="str">
        <f t="shared" si="694"/>
        <v/>
      </c>
      <c r="K702" s="237" t="str">
        <f>IF(ISBLANK(F702),,Config!$C$3&amp;"&amp;range=BB"&amp;MATCH(F702,FRG!AC:AC,0))</f>
        <v/>
      </c>
      <c r="M702" s="243" t="str">
        <f>IFERROR(__xludf.DUMMYFUNCTION("IF(ISBLANK(F702),,SUBSTITUTE(IFERROR(JOIN("","",F702:K702),JOIN("","",F702:J702)),CHAR(10),""""))"),"")</f>
        <v/>
      </c>
      <c r="N702" s="229" t="str">
        <f t="shared" si="1"/>
        <v/>
      </c>
    </row>
    <row r="703">
      <c r="F703" s="237"/>
      <c r="G703" s="238" t="str">
        <f t="shared" si="3"/>
        <v/>
      </c>
      <c r="H703" s="238" t="str">
        <f t="shared" si="4"/>
        <v/>
      </c>
      <c r="I703" s="237" t="str">
        <f t="shared" ref="I703:J703" si="695">IF(ISBLANK(C703),,""""&amp;C703&amp;"""")</f>
        <v/>
      </c>
      <c r="J703" s="237" t="str">
        <f t="shared" si="695"/>
        <v/>
      </c>
      <c r="K703" s="237" t="str">
        <f>IF(ISBLANK(F703),,Config!$C$3&amp;"&amp;range=BB"&amp;MATCH(F703,FRG!AC:AC,0))</f>
        <v/>
      </c>
      <c r="M703" s="243" t="str">
        <f>IFERROR(__xludf.DUMMYFUNCTION("IF(ISBLANK(F703),,SUBSTITUTE(IFERROR(JOIN("","",F703:K703),JOIN("","",F703:J703)),CHAR(10),""""))"),"")</f>
        <v/>
      </c>
      <c r="N703" s="229" t="str">
        <f t="shared" si="1"/>
        <v/>
      </c>
    </row>
    <row r="704">
      <c r="F704" s="237"/>
      <c r="G704" s="238" t="str">
        <f t="shared" si="3"/>
        <v/>
      </c>
      <c r="H704" s="238" t="str">
        <f t="shared" si="4"/>
        <v/>
      </c>
      <c r="I704" s="237" t="str">
        <f t="shared" ref="I704:J704" si="696">IF(ISBLANK(C704),,""""&amp;C704&amp;"""")</f>
        <v/>
      </c>
      <c r="J704" s="237" t="str">
        <f t="shared" si="696"/>
        <v/>
      </c>
      <c r="K704" s="237" t="str">
        <f>IF(ISBLANK(F704),,Config!$C$3&amp;"&amp;range=BB"&amp;MATCH(F704,FRG!AC:AC,0))</f>
        <v/>
      </c>
      <c r="M704" s="243" t="str">
        <f>IFERROR(__xludf.DUMMYFUNCTION("IF(ISBLANK(F704),,SUBSTITUTE(IFERROR(JOIN("","",F704:K704),JOIN("","",F704:J704)),CHAR(10),""""))"),"")</f>
        <v/>
      </c>
      <c r="N704" s="229" t="str">
        <f t="shared" si="1"/>
        <v/>
      </c>
    </row>
    <row r="705">
      <c r="F705" s="237"/>
      <c r="G705" s="238" t="str">
        <f t="shared" si="3"/>
        <v/>
      </c>
      <c r="H705" s="238" t="str">
        <f t="shared" si="4"/>
        <v/>
      </c>
      <c r="I705" s="237" t="str">
        <f t="shared" ref="I705:J705" si="697">IF(ISBLANK(C705),,""""&amp;C705&amp;"""")</f>
        <v/>
      </c>
      <c r="J705" s="237" t="str">
        <f t="shared" si="697"/>
        <v/>
      </c>
      <c r="K705" s="237" t="str">
        <f>IF(ISBLANK(F705),,Config!$C$3&amp;"&amp;range=BB"&amp;MATCH(F705,FRG!AC:AC,0))</f>
        <v/>
      </c>
      <c r="M705" s="243" t="str">
        <f>IFERROR(__xludf.DUMMYFUNCTION("IF(ISBLANK(F705),,SUBSTITUTE(IFERROR(JOIN("","",F705:K705),JOIN("","",F705:J705)),CHAR(10),""""))"),"")</f>
        <v/>
      </c>
      <c r="N705" s="229" t="str">
        <f t="shared" si="1"/>
        <v/>
      </c>
    </row>
    <row r="706">
      <c r="F706" s="237"/>
      <c r="G706" s="238" t="str">
        <f t="shared" si="3"/>
        <v/>
      </c>
      <c r="H706" s="238" t="str">
        <f t="shared" si="4"/>
        <v/>
      </c>
      <c r="I706" s="237" t="str">
        <f t="shared" ref="I706:J706" si="698">IF(ISBLANK(C706),,""""&amp;C706&amp;"""")</f>
        <v/>
      </c>
      <c r="J706" s="237" t="str">
        <f t="shared" si="698"/>
        <v/>
      </c>
      <c r="K706" s="237" t="str">
        <f>IF(ISBLANK(F706),,Config!$C$3&amp;"&amp;range=BB"&amp;MATCH(F706,FRG!AC:AC,0))</f>
        <v/>
      </c>
      <c r="M706" s="243" t="str">
        <f>IFERROR(__xludf.DUMMYFUNCTION("IF(ISBLANK(F706),,SUBSTITUTE(IFERROR(JOIN("","",F706:K706),JOIN("","",F706:J706)),CHAR(10),""""))"),"")</f>
        <v/>
      </c>
      <c r="N706" s="229" t="str">
        <f t="shared" si="1"/>
        <v/>
      </c>
    </row>
    <row r="707">
      <c r="F707" s="237"/>
      <c r="G707" s="238" t="str">
        <f t="shared" si="3"/>
        <v/>
      </c>
      <c r="H707" s="238" t="str">
        <f t="shared" si="4"/>
        <v/>
      </c>
      <c r="I707" s="237" t="str">
        <f t="shared" ref="I707:J707" si="699">IF(ISBLANK(C707),,""""&amp;C707&amp;"""")</f>
        <v/>
      </c>
      <c r="J707" s="237" t="str">
        <f t="shared" si="699"/>
        <v/>
      </c>
      <c r="K707" s="237" t="str">
        <f>IF(ISBLANK(F707),,Config!$C$3&amp;"&amp;range=BB"&amp;MATCH(F707,FRG!AC:AC,0))</f>
        <v/>
      </c>
      <c r="M707" s="243" t="str">
        <f>IFERROR(__xludf.DUMMYFUNCTION("IF(ISBLANK(F707),,SUBSTITUTE(IFERROR(JOIN("","",F707:K707),JOIN("","",F707:J707)),CHAR(10),""""))"),"")</f>
        <v/>
      </c>
      <c r="N707" s="229" t="str">
        <f t="shared" si="1"/>
        <v/>
      </c>
    </row>
    <row r="708">
      <c r="F708" s="237"/>
      <c r="G708" s="238" t="str">
        <f t="shared" si="3"/>
        <v/>
      </c>
      <c r="H708" s="238" t="str">
        <f t="shared" si="4"/>
        <v/>
      </c>
      <c r="I708" s="237" t="str">
        <f t="shared" ref="I708:J708" si="700">IF(ISBLANK(C708),,""""&amp;C708&amp;"""")</f>
        <v/>
      </c>
      <c r="J708" s="237" t="str">
        <f t="shared" si="700"/>
        <v/>
      </c>
      <c r="K708" s="237" t="str">
        <f>IF(ISBLANK(F708),,Config!$C$3&amp;"&amp;range=BB"&amp;MATCH(F708,FRG!AC:AC,0))</f>
        <v/>
      </c>
      <c r="M708" s="243" t="str">
        <f>IFERROR(__xludf.DUMMYFUNCTION("IF(ISBLANK(F708),,SUBSTITUTE(IFERROR(JOIN("","",F708:K708),JOIN("","",F708:J708)),CHAR(10),""""))"),"")</f>
        <v/>
      </c>
      <c r="N708" s="229" t="str">
        <f t="shared" si="1"/>
        <v/>
      </c>
    </row>
    <row r="709">
      <c r="F709" s="237"/>
      <c r="G709" s="238" t="str">
        <f t="shared" si="3"/>
        <v/>
      </c>
      <c r="H709" s="238" t="str">
        <f t="shared" si="4"/>
        <v/>
      </c>
      <c r="I709" s="237" t="str">
        <f t="shared" ref="I709:J709" si="701">IF(ISBLANK(C709),,""""&amp;C709&amp;"""")</f>
        <v/>
      </c>
      <c r="J709" s="237" t="str">
        <f t="shared" si="701"/>
        <v/>
      </c>
      <c r="K709" s="237" t="str">
        <f>IF(ISBLANK(F709),,Config!$C$3&amp;"&amp;range=BB"&amp;MATCH(F709,FRG!AC:AC,0))</f>
        <v/>
      </c>
      <c r="M709" s="243" t="str">
        <f>IFERROR(__xludf.DUMMYFUNCTION("IF(ISBLANK(F709),,SUBSTITUTE(IFERROR(JOIN("","",F709:K709),JOIN("","",F709:J709)),CHAR(10),""""))"),"")</f>
        <v/>
      </c>
      <c r="N709" s="229" t="str">
        <f t="shared" si="1"/>
        <v/>
      </c>
    </row>
    <row r="710">
      <c r="F710" s="237"/>
      <c r="G710" s="238" t="str">
        <f t="shared" si="3"/>
        <v/>
      </c>
      <c r="H710" s="238" t="str">
        <f t="shared" si="4"/>
        <v/>
      </c>
      <c r="I710" s="237" t="str">
        <f t="shared" ref="I710:J710" si="702">IF(ISBLANK(C710),,""""&amp;C710&amp;"""")</f>
        <v/>
      </c>
      <c r="J710" s="237" t="str">
        <f t="shared" si="702"/>
        <v/>
      </c>
      <c r="K710" s="237" t="str">
        <f>IF(ISBLANK(F710),,Config!$C$3&amp;"&amp;range=BB"&amp;MATCH(F710,FRG!AC:AC,0))</f>
        <v/>
      </c>
      <c r="M710" s="243" t="str">
        <f>IFERROR(__xludf.DUMMYFUNCTION("IF(ISBLANK(F710),,SUBSTITUTE(IFERROR(JOIN("","",F710:K710),JOIN("","",F710:J710)),CHAR(10),""""))"),"")</f>
        <v/>
      </c>
      <c r="N710" s="229" t="str">
        <f t="shared" si="1"/>
        <v/>
      </c>
    </row>
    <row r="711">
      <c r="F711" s="237"/>
      <c r="G711" s="238" t="str">
        <f t="shared" si="3"/>
        <v/>
      </c>
      <c r="H711" s="238" t="str">
        <f t="shared" si="4"/>
        <v/>
      </c>
      <c r="I711" s="237" t="str">
        <f t="shared" ref="I711:J711" si="703">IF(ISBLANK(C711),,""""&amp;C711&amp;"""")</f>
        <v/>
      </c>
      <c r="J711" s="237" t="str">
        <f t="shared" si="703"/>
        <v/>
      </c>
      <c r="K711" s="237" t="str">
        <f>IF(ISBLANK(F711),,Config!$C$3&amp;"&amp;range=BB"&amp;MATCH(F711,FRG!AC:AC,0))</f>
        <v/>
      </c>
      <c r="M711" s="243" t="str">
        <f>IFERROR(__xludf.DUMMYFUNCTION("IF(ISBLANK(F711),,SUBSTITUTE(IFERROR(JOIN("","",F711:K711),JOIN("","",F711:J711)),CHAR(10),""""))"),"")</f>
        <v/>
      </c>
      <c r="N711" s="229" t="str">
        <f t="shared" si="1"/>
        <v/>
      </c>
    </row>
    <row r="712">
      <c r="F712" s="237"/>
      <c r="G712" s="238" t="str">
        <f t="shared" si="3"/>
        <v/>
      </c>
      <c r="H712" s="238" t="str">
        <f t="shared" si="4"/>
        <v/>
      </c>
      <c r="I712" s="237" t="str">
        <f t="shared" ref="I712:J712" si="704">IF(ISBLANK(C712),,""""&amp;C712&amp;"""")</f>
        <v/>
      </c>
      <c r="J712" s="237" t="str">
        <f t="shared" si="704"/>
        <v/>
      </c>
      <c r="K712" s="237" t="str">
        <f>IF(ISBLANK(F712),,Config!$C$3&amp;"&amp;range=BB"&amp;MATCH(F712,FRG!AC:AC,0))</f>
        <v/>
      </c>
      <c r="M712" s="243" t="str">
        <f>IFERROR(__xludf.DUMMYFUNCTION("IF(ISBLANK(F712),,SUBSTITUTE(IFERROR(JOIN("","",F712:K712),JOIN("","",F712:J712)),CHAR(10),""""))"),"")</f>
        <v/>
      </c>
      <c r="N712" s="229" t="str">
        <f t="shared" si="1"/>
        <v/>
      </c>
    </row>
    <row r="713">
      <c r="F713" s="237"/>
      <c r="G713" s="238" t="str">
        <f t="shared" si="3"/>
        <v/>
      </c>
      <c r="H713" s="238" t="str">
        <f t="shared" si="4"/>
        <v/>
      </c>
      <c r="I713" s="237" t="str">
        <f t="shared" ref="I713:J713" si="705">IF(ISBLANK(C713),,""""&amp;C713&amp;"""")</f>
        <v/>
      </c>
      <c r="J713" s="237" t="str">
        <f t="shared" si="705"/>
        <v/>
      </c>
      <c r="K713" s="237" t="str">
        <f>IF(ISBLANK(F713),,Config!$C$3&amp;"&amp;range=BB"&amp;MATCH(F713,FRG!AC:AC,0))</f>
        <v/>
      </c>
      <c r="M713" s="243" t="str">
        <f>IFERROR(__xludf.DUMMYFUNCTION("IF(ISBLANK(F713),,SUBSTITUTE(IFERROR(JOIN("","",F713:K713),JOIN("","",F713:J713)),CHAR(10),""""))"),"")</f>
        <v/>
      </c>
      <c r="N713" s="229" t="str">
        <f t="shared" si="1"/>
        <v/>
      </c>
    </row>
    <row r="714">
      <c r="F714" s="237"/>
      <c r="G714" s="238" t="str">
        <f t="shared" si="3"/>
        <v/>
      </c>
      <c r="H714" s="238" t="str">
        <f t="shared" si="4"/>
        <v/>
      </c>
      <c r="I714" s="237" t="str">
        <f t="shared" ref="I714:J714" si="706">IF(ISBLANK(C714),,""""&amp;C714&amp;"""")</f>
        <v/>
      </c>
      <c r="J714" s="237" t="str">
        <f t="shared" si="706"/>
        <v/>
      </c>
      <c r="K714" s="237" t="str">
        <f>IF(ISBLANK(F714),,Config!$C$3&amp;"&amp;range=BB"&amp;MATCH(F714,FRG!AC:AC,0))</f>
        <v/>
      </c>
      <c r="M714" s="243" t="str">
        <f>IFERROR(__xludf.DUMMYFUNCTION("IF(ISBLANK(F714),,SUBSTITUTE(IFERROR(JOIN("","",F714:K714),JOIN("","",F714:J714)),CHAR(10),""""))"),"")</f>
        <v/>
      </c>
      <c r="N714" s="229" t="str">
        <f t="shared" si="1"/>
        <v/>
      </c>
    </row>
    <row r="715">
      <c r="F715" s="237"/>
      <c r="G715" s="238" t="str">
        <f t="shared" si="3"/>
        <v/>
      </c>
      <c r="H715" s="238" t="str">
        <f t="shared" si="4"/>
        <v/>
      </c>
      <c r="I715" s="237" t="str">
        <f t="shared" ref="I715:J715" si="707">IF(ISBLANK(C715),,""""&amp;C715&amp;"""")</f>
        <v/>
      </c>
      <c r="J715" s="237" t="str">
        <f t="shared" si="707"/>
        <v/>
      </c>
      <c r="K715" s="237" t="str">
        <f>IF(ISBLANK(F715),,Config!$C$3&amp;"&amp;range=BB"&amp;MATCH(F715,FRG!AC:AC,0))</f>
        <v/>
      </c>
      <c r="M715" s="243" t="str">
        <f>IFERROR(__xludf.DUMMYFUNCTION("IF(ISBLANK(F715),,SUBSTITUTE(IFERROR(JOIN("","",F715:K715),JOIN("","",F715:J715)),CHAR(10),""""))"),"")</f>
        <v/>
      </c>
      <c r="N715" s="229" t="str">
        <f t="shared" si="1"/>
        <v/>
      </c>
    </row>
    <row r="716">
      <c r="F716" s="237"/>
      <c r="G716" s="238" t="str">
        <f t="shared" si="3"/>
        <v/>
      </c>
      <c r="H716" s="238" t="str">
        <f t="shared" si="4"/>
        <v/>
      </c>
      <c r="I716" s="237" t="str">
        <f t="shared" ref="I716:J716" si="708">IF(ISBLANK(C716),,""""&amp;C716&amp;"""")</f>
        <v/>
      </c>
      <c r="J716" s="237" t="str">
        <f t="shared" si="708"/>
        <v/>
      </c>
      <c r="K716" s="237" t="str">
        <f>IF(ISBLANK(F716),,Config!$C$3&amp;"&amp;range=BB"&amp;MATCH(F716,FRG!AC:AC,0))</f>
        <v/>
      </c>
      <c r="M716" s="243" t="str">
        <f>IFERROR(__xludf.DUMMYFUNCTION("IF(ISBLANK(F716),,SUBSTITUTE(IFERROR(JOIN("","",F716:K716),JOIN("","",F716:J716)),CHAR(10),""""))"),"")</f>
        <v/>
      </c>
      <c r="N716" s="229" t="str">
        <f t="shared" si="1"/>
        <v/>
      </c>
    </row>
    <row r="717">
      <c r="F717" s="237"/>
      <c r="G717" s="238" t="str">
        <f t="shared" si="3"/>
        <v/>
      </c>
      <c r="H717" s="238" t="str">
        <f t="shared" si="4"/>
        <v/>
      </c>
      <c r="I717" s="237" t="str">
        <f t="shared" ref="I717:J717" si="709">IF(ISBLANK(C717),,""""&amp;C717&amp;"""")</f>
        <v/>
      </c>
      <c r="J717" s="237" t="str">
        <f t="shared" si="709"/>
        <v/>
      </c>
      <c r="K717" s="237" t="str">
        <f>IF(ISBLANK(F717),,Config!$C$3&amp;"&amp;range=BB"&amp;MATCH(F717,FRG!AC:AC,0))</f>
        <v/>
      </c>
      <c r="M717" s="243" t="str">
        <f>IFERROR(__xludf.DUMMYFUNCTION("IF(ISBLANK(F717),,SUBSTITUTE(IFERROR(JOIN("","",F717:K717),JOIN("","",F717:J717)),CHAR(10),""""))"),"")</f>
        <v/>
      </c>
      <c r="N717" s="229" t="str">
        <f t="shared" si="1"/>
        <v/>
      </c>
    </row>
    <row r="718">
      <c r="F718" s="237"/>
      <c r="G718" s="238" t="str">
        <f t="shared" si="3"/>
        <v/>
      </c>
      <c r="H718" s="238" t="str">
        <f t="shared" si="4"/>
        <v/>
      </c>
      <c r="I718" s="237" t="str">
        <f t="shared" ref="I718:J718" si="710">IF(ISBLANK(C718),,""""&amp;C718&amp;"""")</f>
        <v/>
      </c>
      <c r="J718" s="237" t="str">
        <f t="shared" si="710"/>
        <v/>
      </c>
      <c r="K718" s="237" t="str">
        <f>IF(ISBLANK(F718),,Config!$C$3&amp;"&amp;range=BB"&amp;MATCH(F718,FRG!AC:AC,0))</f>
        <v/>
      </c>
      <c r="M718" s="243" t="str">
        <f>IFERROR(__xludf.DUMMYFUNCTION("IF(ISBLANK(F718),,SUBSTITUTE(IFERROR(JOIN("","",F718:K718),JOIN("","",F718:J718)),CHAR(10),""""))"),"")</f>
        <v/>
      </c>
      <c r="N718" s="229" t="str">
        <f t="shared" si="1"/>
        <v/>
      </c>
    </row>
    <row r="719">
      <c r="F719" s="237"/>
      <c r="G719" s="238" t="str">
        <f t="shared" si="3"/>
        <v/>
      </c>
      <c r="H719" s="238" t="str">
        <f t="shared" si="4"/>
        <v/>
      </c>
      <c r="I719" s="237" t="str">
        <f t="shared" ref="I719:J719" si="711">IF(ISBLANK(C719),,""""&amp;C719&amp;"""")</f>
        <v/>
      </c>
      <c r="J719" s="237" t="str">
        <f t="shared" si="711"/>
        <v/>
      </c>
      <c r="K719" s="237" t="str">
        <f>IF(ISBLANK(F719),,Config!$C$3&amp;"&amp;range=BB"&amp;MATCH(F719,FRG!AC:AC,0))</f>
        <v/>
      </c>
      <c r="M719" s="243" t="str">
        <f>IFERROR(__xludf.DUMMYFUNCTION("IF(ISBLANK(F719),,SUBSTITUTE(IFERROR(JOIN("","",F719:K719),JOIN("","",F719:J719)),CHAR(10),""""))"),"")</f>
        <v/>
      </c>
      <c r="N719" s="229" t="str">
        <f t="shared" si="1"/>
        <v/>
      </c>
    </row>
    <row r="720">
      <c r="F720" s="237"/>
      <c r="G720" s="238" t="str">
        <f t="shared" si="3"/>
        <v/>
      </c>
      <c r="H720" s="238" t="str">
        <f t="shared" si="4"/>
        <v/>
      </c>
      <c r="I720" s="237" t="str">
        <f t="shared" ref="I720:J720" si="712">IF(ISBLANK(C720),,""""&amp;C720&amp;"""")</f>
        <v/>
      </c>
      <c r="J720" s="237" t="str">
        <f t="shared" si="712"/>
        <v/>
      </c>
      <c r="K720" s="237" t="str">
        <f>IF(ISBLANK(F720),,Config!$C$3&amp;"&amp;range=BB"&amp;MATCH(F720,FRG!AC:AC,0))</f>
        <v/>
      </c>
      <c r="M720" s="243" t="str">
        <f>IFERROR(__xludf.DUMMYFUNCTION("IF(ISBLANK(F720),,SUBSTITUTE(IFERROR(JOIN("","",F720:K720),JOIN("","",F720:J720)),CHAR(10),""""))"),"")</f>
        <v/>
      </c>
      <c r="N720" s="229" t="str">
        <f t="shared" si="1"/>
        <v/>
      </c>
    </row>
    <row r="721">
      <c r="F721" s="237"/>
      <c r="G721" s="238" t="str">
        <f t="shared" si="3"/>
        <v/>
      </c>
      <c r="H721" s="238" t="str">
        <f t="shared" si="4"/>
        <v/>
      </c>
      <c r="I721" s="237" t="str">
        <f t="shared" ref="I721:J721" si="713">IF(ISBLANK(C721),,""""&amp;C721&amp;"""")</f>
        <v/>
      </c>
      <c r="J721" s="237" t="str">
        <f t="shared" si="713"/>
        <v/>
      </c>
      <c r="K721" s="237" t="str">
        <f>IF(ISBLANK(F721),,Config!$C$3&amp;"&amp;range=BB"&amp;MATCH(F721,FRG!AC:AC,0))</f>
        <v/>
      </c>
      <c r="M721" s="243" t="str">
        <f>IFERROR(__xludf.DUMMYFUNCTION("IF(ISBLANK(F721),,SUBSTITUTE(IFERROR(JOIN("","",F721:K721),JOIN("","",F721:J721)),CHAR(10),""""))"),"")</f>
        <v/>
      </c>
      <c r="N721" s="229" t="str">
        <f t="shared" si="1"/>
        <v/>
      </c>
    </row>
    <row r="722">
      <c r="F722" s="237"/>
      <c r="G722" s="238" t="str">
        <f t="shared" si="3"/>
        <v/>
      </c>
      <c r="H722" s="238" t="str">
        <f t="shared" si="4"/>
        <v/>
      </c>
      <c r="I722" s="237" t="str">
        <f t="shared" ref="I722:J722" si="714">IF(ISBLANK(C722),,""""&amp;C722&amp;"""")</f>
        <v/>
      </c>
      <c r="J722" s="237" t="str">
        <f t="shared" si="714"/>
        <v/>
      </c>
      <c r="K722" s="237" t="str">
        <f>IF(ISBLANK(F722),,Config!$C$3&amp;"&amp;range=BB"&amp;MATCH(F722,FRG!AC:AC,0))</f>
        <v/>
      </c>
      <c r="M722" s="243" t="str">
        <f>IFERROR(__xludf.DUMMYFUNCTION("IF(ISBLANK(F722),,SUBSTITUTE(IFERROR(JOIN("","",F722:K722),JOIN("","",F722:J722)),CHAR(10),""""))"),"")</f>
        <v/>
      </c>
      <c r="N722" s="229" t="str">
        <f t="shared" si="1"/>
        <v/>
      </c>
    </row>
    <row r="723">
      <c r="F723" s="237"/>
      <c r="G723" s="238" t="str">
        <f t="shared" si="3"/>
        <v/>
      </c>
      <c r="H723" s="238" t="str">
        <f t="shared" si="4"/>
        <v/>
      </c>
      <c r="I723" s="237" t="str">
        <f t="shared" ref="I723:J723" si="715">IF(ISBLANK(C723),,""""&amp;C723&amp;"""")</f>
        <v/>
      </c>
      <c r="J723" s="237" t="str">
        <f t="shared" si="715"/>
        <v/>
      </c>
      <c r="K723" s="237" t="str">
        <f>IF(ISBLANK(F723),,Config!$C$3&amp;"&amp;range=BB"&amp;MATCH(F723,FRG!AC:AC,0))</f>
        <v/>
      </c>
      <c r="M723" s="243" t="str">
        <f>IFERROR(__xludf.DUMMYFUNCTION("IF(ISBLANK(F723),,SUBSTITUTE(IFERROR(JOIN("","",F723:K723),JOIN("","",F723:J723)),CHAR(10),""""))"),"")</f>
        <v/>
      </c>
      <c r="N723" s="229" t="str">
        <f t="shared" si="1"/>
        <v/>
      </c>
    </row>
    <row r="724">
      <c r="F724" s="237"/>
      <c r="G724" s="238" t="str">
        <f t="shared" si="3"/>
        <v/>
      </c>
      <c r="H724" s="238" t="str">
        <f t="shared" si="4"/>
        <v/>
      </c>
      <c r="I724" s="237" t="str">
        <f t="shared" ref="I724:J724" si="716">IF(ISBLANK(C724),,""""&amp;C724&amp;"""")</f>
        <v/>
      </c>
      <c r="J724" s="237" t="str">
        <f t="shared" si="716"/>
        <v/>
      </c>
      <c r="K724" s="237" t="str">
        <f>IF(ISBLANK(F724),,Config!$C$3&amp;"&amp;range=BB"&amp;MATCH(F724,FRG!AC:AC,0))</f>
        <v/>
      </c>
      <c r="M724" s="243" t="str">
        <f>IFERROR(__xludf.DUMMYFUNCTION("IF(ISBLANK(F724),,SUBSTITUTE(IFERROR(JOIN("","",F724:K724),JOIN("","",F724:J724)),CHAR(10),""""))"),"")</f>
        <v/>
      </c>
      <c r="N724" s="229" t="str">
        <f t="shared" si="1"/>
        <v/>
      </c>
    </row>
    <row r="725">
      <c r="F725" s="237"/>
      <c r="G725" s="238" t="str">
        <f t="shared" si="3"/>
        <v/>
      </c>
      <c r="H725" s="238" t="str">
        <f t="shared" si="4"/>
        <v/>
      </c>
      <c r="I725" s="237" t="str">
        <f t="shared" ref="I725:J725" si="717">IF(ISBLANK(C725),,""""&amp;C725&amp;"""")</f>
        <v/>
      </c>
      <c r="J725" s="237" t="str">
        <f t="shared" si="717"/>
        <v/>
      </c>
      <c r="K725" s="237" t="str">
        <f>IF(ISBLANK(F725),,Config!$C$3&amp;"&amp;range=BB"&amp;MATCH(F725,FRG!AC:AC,0))</f>
        <v/>
      </c>
      <c r="M725" s="243" t="str">
        <f>IFERROR(__xludf.DUMMYFUNCTION("IF(ISBLANK(F725),,SUBSTITUTE(IFERROR(JOIN("","",F725:K725),JOIN("","",F725:J725)),CHAR(10),""""))"),"")</f>
        <v/>
      </c>
      <c r="N725" s="229" t="str">
        <f t="shared" si="1"/>
        <v/>
      </c>
    </row>
    <row r="726">
      <c r="F726" s="237"/>
      <c r="G726" s="238" t="str">
        <f t="shared" si="3"/>
        <v/>
      </c>
      <c r="H726" s="238" t="str">
        <f t="shared" si="4"/>
        <v/>
      </c>
      <c r="I726" s="237" t="str">
        <f t="shared" ref="I726:J726" si="718">IF(ISBLANK(C726),,""""&amp;C726&amp;"""")</f>
        <v/>
      </c>
      <c r="J726" s="237" t="str">
        <f t="shared" si="718"/>
        <v/>
      </c>
      <c r="K726" s="237" t="str">
        <f>IF(ISBLANK(F726),,Config!$C$3&amp;"&amp;range=BB"&amp;MATCH(F726,FRG!AC:AC,0))</f>
        <v/>
      </c>
      <c r="M726" s="243" t="str">
        <f>IFERROR(__xludf.DUMMYFUNCTION("IF(ISBLANK(F726),,SUBSTITUTE(IFERROR(JOIN("","",F726:K726),JOIN("","",F726:J726)),CHAR(10),""""))"),"")</f>
        <v/>
      </c>
      <c r="N726" s="229" t="str">
        <f t="shared" si="1"/>
        <v/>
      </c>
    </row>
    <row r="727">
      <c r="F727" s="237"/>
      <c r="G727" s="238" t="str">
        <f t="shared" si="3"/>
        <v/>
      </c>
      <c r="H727" s="238" t="str">
        <f t="shared" si="4"/>
        <v/>
      </c>
      <c r="I727" s="237" t="str">
        <f t="shared" ref="I727:J727" si="719">IF(ISBLANK(C727),,""""&amp;C727&amp;"""")</f>
        <v/>
      </c>
      <c r="J727" s="237" t="str">
        <f t="shared" si="719"/>
        <v/>
      </c>
      <c r="K727" s="237" t="str">
        <f>IF(ISBLANK(F727),,Config!$C$3&amp;"&amp;range=BB"&amp;MATCH(F727,FRG!AC:AC,0))</f>
        <v/>
      </c>
      <c r="M727" s="243" t="str">
        <f>IFERROR(__xludf.DUMMYFUNCTION("IF(ISBLANK(F727),,SUBSTITUTE(IFERROR(JOIN("","",F727:K727),JOIN("","",F727:J727)),CHAR(10),""""))"),"")</f>
        <v/>
      </c>
      <c r="N727" s="229" t="str">
        <f t="shared" si="1"/>
        <v/>
      </c>
    </row>
    <row r="728">
      <c r="F728" s="237"/>
      <c r="G728" s="238" t="str">
        <f t="shared" si="3"/>
        <v/>
      </c>
      <c r="H728" s="238" t="str">
        <f t="shared" si="4"/>
        <v/>
      </c>
      <c r="I728" s="237" t="str">
        <f t="shared" ref="I728:J728" si="720">IF(ISBLANK(C728),,""""&amp;C728&amp;"""")</f>
        <v/>
      </c>
      <c r="J728" s="237" t="str">
        <f t="shared" si="720"/>
        <v/>
      </c>
      <c r="K728" s="237" t="str">
        <f>IF(ISBLANK(F728),,Config!$C$3&amp;"&amp;range=BB"&amp;MATCH(F728,FRG!AC:AC,0))</f>
        <v/>
      </c>
      <c r="M728" s="243" t="str">
        <f>IFERROR(__xludf.DUMMYFUNCTION("IF(ISBLANK(F728),,SUBSTITUTE(IFERROR(JOIN("","",F728:K728),JOIN("","",F728:J728)),CHAR(10),""""))"),"")</f>
        <v/>
      </c>
      <c r="N728" s="229" t="str">
        <f t="shared" si="1"/>
        <v/>
      </c>
    </row>
    <row r="729">
      <c r="F729" s="237"/>
      <c r="G729" s="238" t="str">
        <f t="shared" si="3"/>
        <v/>
      </c>
      <c r="H729" s="238" t="str">
        <f t="shared" si="4"/>
        <v/>
      </c>
      <c r="I729" s="237" t="str">
        <f t="shared" ref="I729:J729" si="721">IF(ISBLANK(C729),,""""&amp;C729&amp;"""")</f>
        <v/>
      </c>
      <c r="J729" s="237" t="str">
        <f t="shared" si="721"/>
        <v/>
      </c>
      <c r="K729" s="237" t="str">
        <f>IF(ISBLANK(F729),,Config!$C$3&amp;"&amp;range=BB"&amp;MATCH(F729,FRG!AC:AC,0))</f>
        <v/>
      </c>
      <c r="M729" s="243" t="str">
        <f>IFERROR(__xludf.DUMMYFUNCTION("IF(ISBLANK(F729),,SUBSTITUTE(IFERROR(JOIN("","",F729:K729),JOIN("","",F729:J729)),CHAR(10),""""))"),"")</f>
        <v/>
      </c>
      <c r="N729" s="229" t="str">
        <f t="shared" si="1"/>
        <v/>
      </c>
    </row>
    <row r="730">
      <c r="F730" s="237"/>
      <c r="G730" s="238" t="str">
        <f t="shared" si="3"/>
        <v/>
      </c>
      <c r="H730" s="238" t="str">
        <f t="shared" si="4"/>
        <v/>
      </c>
      <c r="I730" s="237" t="str">
        <f t="shared" ref="I730:J730" si="722">IF(ISBLANK(C730),,""""&amp;C730&amp;"""")</f>
        <v/>
      </c>
      <c r="J730" s="237" t="str">
        <f t="shared" si="722"/>
        <v/>
      </c>
      <c r="K730" s="237" t="str">
        <f>IF(ISBLANK(F730),,Config!$C$3&amp;"&amp;range=BB"&amp;MATCH(F730,FRG!AC:AC,0))</f>
        <v/>
      </c>
      <c r="M730" s="243" t="str">
        <f>IFERROR(__xludf.DUMMYFUNCTION("IF(ISBLANK(F730),,SUBSTITUTE(IFERROR(JOIN("","",F730:K730),JOIN("","",F730:J730)),CHAR(10),""""))"),"")</f>
        <v/>
      </c>
      <c r="N730" s="229" t="str">
        <f t="shared" si="1"/>
        <v/>
      </c>
    </row>
    <row r="731">
      <c r="F731" s="237"/>
      <c r="G731" s="238" t="str">
        <f t="shared" si="3"/>
        <v/>
      </c>
      <c r="H731" s="238" t="str">
        <f t="shared" si="4"/>
        <v/>
      </c>
      <c r="I731" s="237" t="str">
        <f t="shared" ref="I731:J731" si="723">IF(ISBLANK(C731),,""""&amp;C731&amp;"""")</f>
        <v/>
      </c>
      <c r="J731" s="237" t="str">
        <f t="shared" si="723"/>
        <v/>
      </c>
      <c r="K731" s="237" t="str">
        <f>IF(ISBLANK(F731),,Config!$C$3&amp;"&amp;range=BB"&amp;MATCH(F731,FRG!AC:AC,0))</f>
        <v/>
      </c>
      <c r="M731" s="243" t="str">
        <f>IFERROR(__xludf.DUMMYFUNCTION("IF(ISBLANK(F731),,SUBSTITUTE(IFERROR(JOIN("","",F731:K731),JOIN("","",F731:J731)),CHAR(10),""""))"),"")</f>
        <v/>
      </c>
      <c r="N731" s="229" t="str">
        <f t="shared" si="1"/>
        <v/>
      </c>
    </row>
    <row r="732">
      <c r="F732" s="237"/>
      <c r="G732" s="238" t="str">
        <f t="shared" si="3"/>
        <v/>
      </c>
      <c r="H732" s="238" t="str">
        <f t="shared" si="4"/>
        <v/>
      </c>
      <c r="I732" s="237" t="str">
        <f t="shared" ref="I732:J732" si="724">IF(ISBLANK(C732),,""""&amp;C732&amp;"""")</f>
        <v/>
      </c>
      <c r="J732" s="237" t="str">
        <f t="shared" si="724"/>
        <v/>
      </c>
      <c r="K732" s="237" t="str">
        <f>IF(ISBLANK(F732),,Config!$C$3&amp;"&amp;range=BB"&amp;MATCH(F732,FRG!AC:AC,0))</f>
        <v/>
      </c>
      <c r="M732" s="243" t="str">
        <f>IFERROR(__xludf.DUMMYFUNCTION("IF(ISBLANK(F732),,SUBSTITUTE(IFERROR(JOIN("","",F732:K732),JOIN("","",F732:J732)),CHAR(10),""""))"),"")</f>
        <v/>
      </c>
      <c r="N732" s="229" t="str">
        <f t="shared" si="1"/>
        <v/>
      </c>
    </row>
    <row r="733">
      <c r="F733" s="237"/>
      <c r="G733" s="238" t="str">
        <f t="shared" si="3"/>
        <v/>
      </c>
      <c r="H733" s="238" t="str">
        <f t="shared" si="4"/>
        <v/>
      </c>
      <c r="I733" s="237" t="str">
        <f t="shared" ref="I733:J733" si="725">IF(ISBLANK(C733),,""""&amp;C733&amp;"""")</f>
        <v/>
      </c>
      <c r="J733" s="237" t="str">
        <f t="shared" si="725"/>
        <v/>
      </c>
      <c r="K733" s="237" t="str">
        <f>IF(ISBLANK(F733),,Config!$C$3&amp;"&amp;range=BB"&amp;MATCH(F733,FRG!AC:AC,0))</f>
        <v/>
      </c>
      <c r="M733" s="243" t="str">
        <f>IFERROR(__xludf.DUMMYFUNCTION("IF(ISBLANK(F733),,SUBSTITUTE(IFERROR(JOIN("","",F733:K733),JOIN("","",F733:J733)),CHAR(10),""""))"),"")</f>
        <v/>
      </c>
      <c r="N733" s="229" t="str">
        <f t="shared" si="1"/>
        <v/>
      </c>
    </row>
    <row r="734">
      <c r="F734" s="237"/>
      <c r="G734" s="238" t="str">
        <f t="shared" si="3"/>
        <v/>
      </c>
      <c r="H734" s="238" t="str">
        <f t="shared" si="4"/>
        <v/>
      </c>
      <c r="I734" s="237" t="str">
        <f t="shared" ref="I734:J734" si="726">IF(ISBLANK(C734),,""""&amp;C734&amp;"""")</f>
        <v/>
      </c>
      <c r="J734" s="237" t="str">
        <f t="shared" si="726"/>
        <v/>
      </c>
      <c r="K734" s="237" t="str">
        <f>IF(ISBLANK(F734),,Config!$C$3&amp;"&amp;range=BB"&amp;MATCH(F734,FRG!AC:AC,0))</f>
        <v/>
      </c>
      <c r="M734" s="243" t="str">
        <f>IFERROR(__xludf.DUMMYFUNCTION("IF(ISBLANK(F734),,SUBSTITUTE(IFERROR(JOIN("","",F734:K734),JOIN("","",F734:J734)),CHAR(10),""""))"),"")</f>
        <v/>
      </c>
      <c r="N734" s="229" t="str">
        <f t="shared" si="1"/>
        <v/>
      </c>
    </row>
    <row r="735">
      <c r="F735" s="237"/>
      <c r="G735" s="238" t="str">
        <f t="shared" si="3"/>
        <v/>
      </c>
      <c r="H735" s="238" t="str">
        <f t="shared" si="4"/>
        <v/>
      </c>
      <c r="I735" s="237" t="str">
        <f t="shared" ref="I735:J735" si="727">IF(ISBLANK(C735),,""""&amp;C735&amp;"""")</f>
        <v/>
      </c>
      <c r="J735" s="237" t="str">
        <f t="shared" si="727"/>
        <v/>
      </c>
      <c r="K735" s="237" t="str">
        <f>IF(ISBLANK(F735),,Config!$C$3&amp;"&amp;range=BB"&amp;MATCH(F735,FRG!AC:AC,0))</f>
        <v/>
      </c>
      <c r="M735" s="243" t="str">
        <f>IFERROR(__xludf.DUMMYFUNCTION("IF(ISBLANK(F735),,SUBSTITUTE(IFERROR(JOIN("","",F735:K735),JOIN("","",F735:J735)),CHAR(10),""""))"),"")</f>
        <v/>
      </c>
      <c r="N735" s="229" t="str">
        <f t="shared" si="1"/>
        <v/>
      </c>
    </row>
    <row r="736">
      <c r="F736" s="237"/>
      <c r="G736" s="238" t="str">
        <f t="shared" si="3"/>
        <v/>
      </c>
      <c r="H736" s="238" t="str">
        <f t="shared" si="4"/>
        <v/>
      </c>
      <c r="I736" s="237" t="str">
        <f t="shared" ref="I736:J736" si="728">IF(ISBLANK(C736),,""""&amp;C736&amp;"""")</f>
        <v/>
      </c>
      <c r="J736" s="237" t="str">
        <f t="shared" si="728"/>
        <v/>
      </c>
      <c r="K736" s="237" t="str">
        <f>IF(ISBLANK(F736),,Config!$C$3&amp;"&amp;range=BB"&amp;MATCH(F736,FRG!AC:AC,0))</f>
        <v/>
      </c>
      <c r="M736" s="243" t="str">
        <f>IFERROR(__xludf.DUMMYFUNCTION("IF(ISBLANK(F736),,SUBSTITUTE(IFERROR(JOIN("","",F736:K736),JOIN("","",F736:J736)),CHAR(10),""""))"),"")</f>
        <v/>
      </c>
      <c r="N736" s="229" t="str">
        <f t="shared" si="1"/>
        <v/>
      </c>
    </row>
    <row r="737">
      <c r="F737" s="237"/>
      <c r="G737" s="238" t="str">
        <f t="shared" si="3"/>
        <v/>
      </c>
      <c r="H737" s="238" t="str">
        <f t="shared" si="4"/>
        <v/>
      </c>
      <c r="I737" s="237" t="str">
        <f t="shared" ref="I737:J737" si="729">IF(ISBLANK(C737),,""""&amp;C737&amp;"""")</f>
        <v/>
      </c>
      <c r="J737" s="237" t="str">
        <f t="shared" si="729"/>
        <v/>
      </c>
      <c r="K737" s="237" t="str">
        <f>IF(ISBLANK(F737),,Config!$C$3&amp;"&amp;range=BB"&amp;MATCH(F737,FRG!AC:AC,0))</f>
        <v/>
      </c>
      <c r="M737" s="243" t="str">
        <f>IFERROR(__xludf.DUMMYFUNCTION("IF(ISBLANK(F737),,SUBSTITUTE(IFERROR(JOIN("","",F737:K737),JOIN("","",F737:J737)),CHAR(10),""""))"),"")</f>
        <v/>
      </c>
      <c r="N737" s="229" t="str">
        <f t="shared" si="1"/>
        <v/>
      </c>
    </row>
    <row r="738">
      <c r="F738" s="237"/>
      <c r="G738" s="238" t="str">
        <f t="shared" si="3"/>
        <v/>
      </c>
      <c r="H738" s="238" t="str">
        <f t="shared" si="4"/>
        <v/>
      </c>
      <c r="I738" s="237" t="str">
        <f t="shared" ref="I738:J738" si="730">IF(ISBLANK(C738),,""""&amp;C738&amp;"""")</f>
        <v/>
      </c>
      <c r="J738" s="237" t="str">
        <f t="shared" si="730"/>
        <v/>
      </c>
      <c r="K738" s="237" t="str">
        <f>IF(ISBLANK(F738),,Config!$C$3&amp;"&amp;range=BB"&amp;MATCH(F738,FRG!AC:AC,0))</f>
        <v/>
      </c>
      <c r="M738" s="243" t="str">
        <f>IFERROR(__xludf.DUMMYFUNCTION("IF(ISBLANK(F738),,SUBSTITUTE(IFERROR(JOIN("","",F738:K738),JOIN("","",F738:J738)),CHAR(10),""""))"),"")</f>
        <v/>
      </c>
      <c r="N738" s="229" t="str">
        <f t="shared" si="1"/>
        <v/>
      </c>
    </row>
    <row r="739">
      <c r="F739" s="237"/>
      <c r="G739" s="238" t="str">
        <f t="shared" si="3"/>
        <v/>
      </c>
      <c r="H739" s="238" t="str">
        <f t="shared" si="4"/>
        <v/>
      </c>
      <c r="I739" s="237" t="str">
        <f t="shared" ref="I739:J739" si="731">IF(ISBLANK(C739),,""""&amp;C739&amp;"""")</f>
        <v/>
      </c>
      <c r="J739" s="237" t="str">
        <f t="shared" si="731"/>
        <v/>
      </c>
      <c r="K739" s="237" t="str">
        <f>IF(ISBLANK(F739),,Config!$C$3&amp;"&amp;range=BB"&amp;MATCH(F739,FRG!AC:AC,0))</f>
        <v/>
      </c>
      <c r="M739" s="243" t="str">
        <f>IFERROR(__xludf.DUMMYFUNCTION("IF(ISBLANK(F739),,SUBSTITUTE(IFERROR(JOIN("","",F739:K739),JOIN("","",F739:J739)),CHAR(10),""""))"),"")</f>
        <v/>
      </c>
      <c r="N739" s="229" t="str">
        <f t="shared" si="1"/>
        <v/>
      </c>
    </row>
    <row r="740">
      <c r="F740" s="237"/>
      <c r="G740" s="238" t="str">
        <f t="shared" si="3"/>
        <v/>
      </c>
      <c r="H740" s="238" t="str">
        <f t="shared" si="4"/>
        <v/>
      </c>
      <c r="I740" s="237" t="str">
        <f t="shared" ref="I740:J740" si="732">IF(ISBLANK(C740),,""""&amp;C740&amp;"""")</f>
        <v/>
      </c>
      <c r="J740" s="237" t="str">
        <f t="shared" si="732"/>
        <v/>
      </c>
      <c r="K740" s="237" t="str">
        <f>IF(ISBLANK(F740),,Config!$C$3&amp;"&amp;range=BB"&amp;MATCH(F740,FRG!AC:AC,0))</f>
        <v/>
      </c>
      <c r="M740" s="243" t="str">
        <f>IFERROR(__xludf.DUMMYFUNCTION("IF(ISBLANK(F740),,SUBSTITUTE(IFERROR(JOIN("","",F740:K740),JOIN("","",F740:J740)),CHAR(10),""""))"),"")</f>
        <v/>
      </c>
      <c r="N740" s="229" t="str">
        <f t="shared" si="1"/>
        <v/>
      </c>
    </row>
    <row r="741">
      <c r="F741" s="237"/>
      <c r="G741" s="238" t="str">
        <f t="shared" si="3"/>
        <v/>
      </c>
      <c r="H741" s="238" t="str">
        <f t="shared" si="4"/>
        <v/>
      </c>
      <c r="I741" s="237" t="str">
        <f t="shared" ref="I741:J741" si="733">IF(ISBLANK(C741),,""""&amp;C741&amp;"""")</f>
        <v/>
      </c>
      <c r="J741" s="237" t="str">
        <f t="shared" si="733"/>
        <v/>
      </c>
      <c r="K741" s="237" t="str">
        <f>IF(ISBLANK(F741),,Config!$C$3&amp;"&amp;range=BB"&amp;MATCH(F741,FRG!AC:AC,0))</f>
        <v/>
      </c>
      <c r="M741" s="243" t="str">
        <f>IFERROR(__xludf.DUMMYFUNCTION("IF(ISBLANK(F741),,SUBSTITUTE(IFERROR(JOIN("","",F741:K741),JOIN("","",F741:J741)),CHAR(10),""""))"),"")</f>
        <v/>
      </c>
      <c r="N741" s="229" t="str">
        <f t="shared" si="1"/>
        <v/>
      </c>
    </row>
    <row r="742">
      <c r="F742" s="237"/>
      <c r="G742" s="238" t="str">
        <f t="shared" si="3"/>
        <v/>
      </c>
      <c r="H742" s="238" t="str">
        <f t="shared" si="4"/>
        <v/>
      </c>
      <c r="I742" s="237" t="str">
        <f t="shared" ref="I742:J742" si="734">IF(ISBLANK(C742),,""""&amp;C742&amp;"""")</f>
        <v/>
      </c>
      <c r="J742" s="237" t="str">
        <f t="shared" si="734"/>
        <v/>
      </c>
      <c r="K742" s="237" t="str">
        <f>IF(ISBLANK(F742),,Config!$C$3&amp;"&amp;range=BB"&amp;MATCH(F742,FRG!AC:AC,0))</f>
        <v/>
      </c>
      <c r="M742" s="243" t="str">
        <f>IFERROR(__xludf.DUMMYFUNCTION("IF(ISBLANK(F742),,SUBSTITUTE(IFERROR(JOIN("","",F742:K742),JOIN("","",F742:J742)),CHAR(10),""""))"),"")</f>
        <v/>
      </c>
      <c r="N742" s="229" t="str">
        <f t="shared" si="1"/>
        <v/>
      </c>
    </row>
    <row r="743">
      <c r="F743" s="237"/>
      <c r="G743" s="238" t="str">
        <f t="shared" si="3"/>
        <v/>
      </c>
      <c r="H743" s="238" t="str">
        <f t="shared" si="4"/>
        <v/>
      </c>
      <c r="I743" s="237" t="str">
        <f t="shared" ref="I743:J743" si="735">IF(ISBLANK(C743),,""""&amp;C743&amp;"""")</f>
        <v/>
      </c>
      <c r="J743" s="237" t="str">
        <f t="shared" si="735"/>
        <v/>
      </c>
      <c r="K743" s="237" t="str">
        <f>IF(ISBLANK(F743),,Config!$C$3&amp;"&amp;range=BB"&amp;MATCH(F743,FRG!AC:AC,0))</f>
        <v/>
      </c>
      <c r="M743" s="243" t="str">
        <f>IFERROR(__xludf.DUMMYFUNCTION("IF(ISBLANK(F743),,SUBSTITUTE(IFERROR(JOIN("","",F743:K743),JOIN("","",F743:J743)),CHAR(10),""""))"),"")</f>
        <v/>
      </c>
      <c r="N743" s="229" t="str">
        <f t="shared" si="1"/>
        <v/>
      </c>
    </row>
    <row r="744">
      <c r="F744" s="237"/>
      <c r="G744" s="238" t="str">
        <f t="shared" si="3"/>
        <v/>
      </c>
      <c r="H744" s="238" t="str">
        <f t="shared" si="4"/>
        <v/>
      </c>
      <c r="I744" s="237" t="str">
        <f t="shared" ref="I744:J744" si="736">IF(ISBLANK(C744),,""""&amp;C744&amp;"""")</f>
        <v/>
      </c>
      <c r="J744" s="237" t="str">
        <f t="shared" si="736"/>
        <v/>
      </c>
      <c r="K744" s="237" t="str">
        <f>IF(ISBLANK(F744),,Config!$C$3&amp;"&amp;range=BB"&amp;MATCH(F744,FRG!AC:AC,0))</f>
        <v/>
      </c>
      <c r="M744" s="243" t="str">
        <f>IFERROR(__xludf.DUMMYFUNCTION("IF(ISBLANK(F744),,SUBSTITUTE(IFERROR(JOIN("","",F744:K744),JOIN("","",F744:J744)),CHAR(10),""""))"),"")</f>
        <v/>
      </c>
      <c r="N744" s="229" t="str">
        <f t="shared" si="1"/>
        <v/>
      </c>
    </row>
    <row r="745">
      <c r="F745" s="237"/>
      <c r="G745" s="238" t="str">
        <f t="shared" si="3"/>
        <v/>
      </c>
      <c r="H745" s="238" t="str">
        <f t="shared" si="4"/>
        <v/>
      </c>
      <c r="I745" s="237" t="str">
        <f t="shared" ref="I745:J745" si="737">IF(ISBLANK(C745),,""""&amp;C745&amp;"""")</f>
        <v/>
      </c>
      <c r="J745" s="237" t="str">
        <f t="shared" si="737"/>
        <v/>
      </c>
      <c r="K745" s="237" t="str">
        <f>IF(ISBLANK(F745),,Config!$C$3&amp;"&amp;range=BB"&amp;MATCH(F745,FRG!AC:AC,0))</f>
        <v/>
      </c>
      <c r="M745" s="243" t="str">
        <f>IFERROR(__xludf.DUMMYFUNCTION("IF(ISBLANK(F745),,SUBSTITUTE(IFERROR(JOIN("","",F745:K745),JOIN("","",F745:J745)),CHAR(10),""""))"),"")</f>
        <v/>
      </c>
      <c r="N745" s="229" t="str">
        <f t="shared" si="1"/>
        <v/>
      </c>
    </row>
    <row r="746">
      <c r="F746" s="237"/>
      <c r="G746" s="238" t="str">
        <f t="shared" si="3"/>
        <v/>
      </c>
      <c r="H746" s="238" t="str">
        <f t="shared" si="4"/>
        <v/>
      </c>
      <c r="I746" s="237" t="str">
        <f t="shared" ref="I746:J746" si="738">IF(ISBLANK(C746),,""""&amp;C746&amp;"""")</f>
        <v/>
      </c>
      <c r="J746" s="237" t="str">
        <f t="shared" si="738"/>
        <v/>
      </c>
      <c r="K746" s="237" t="str">
        <f>IF(ISBLANK(F746),,Config!$C$3&amp;"&amp;range=BB"&amp;MATCH(F746,FRG!AC:AC,0))</f>
        <v/>
      </c>
      <c r="M746" s="243" t="str">
        <f>IFERROR(__xludf.DUMMYFUNCTION("IF(ISBLANK(F746),,SUBSTITUTE(IFERROR(JOIN("","",F746:K746),JOIN("","",F746:J746)),CHAR(10),""""))"),"")</f>
        <v/>
      </c>
      <c r="N746" s="229" t="str">
        <f t="shared" si="1"/>
        <v/>
      </c>
    </row>
    <row r="747">
      <c r="F747" s="237"/>
      <c r="G747" s="238" t="str">
        <f t="shared" si="3"/>
        <v/>
      </c>
      <c r="H747" s="238" t="str">
        <f t="shared" si="4"/>
        <v/>
      </c>
      <c r="I747" s="237" t="str">
        <f t="shared" ref="I747:J747" si="739">IF(ISBLANK(C747),,""""&amp;C747&amp;"""")</f>
        <v/>
      </c>
      <c r="J747" s="237" t="str">
        <f t="shared" si="739"/>
        <v/>
      </c>
      <c r="K747" s="237" t="str">
        <f>IF(ISBLANK(F747),,Config!$C$3&amp;"&amp;range=BB"&amp;MATCH(F747,FRG!AC:AC,0))</f>
        <v/>
      </c>
      <c r="M747" s="243" t="str">
        <f>IFERROR(__xludf.DUMMYFUNCTION("IF(ISBLANK(F747),,SUBSTITUTE(IFERROR(JOIN("","",F747:K747),JOIN("","",F747:J747)),CHAR(10),""""))"),"")</f>
        <v/>
      </c>
      <c r="N747" s="229" t="str">
        <f t="shared" si="1"/>
        <v/>
      </c>
    </row>
    <row r="748">
      <c r="F748" s="237"/>
      <c r="G748" s="238" t="str">
        <f t="shared" si="3"/>
        <v/>
      </c>
      <c r="H748" s="238" t="str">
        <f t="shared" si="4"/>
        <v/>
      </c>
      <c r="I748" s="237" t="str">
        <f t="shared" ref="I748:J748" si="740">IF(ISBLANK(C748),,""""&amp;C748&amp;"""")</f>
        <v/>
      </c>
      <c r="J748" s="237" t="str">
        <f t="shared" si="740"/>
        <v/>
      </c>
      <c r="K748" s="237" t="str">
        <f>IF(ISBLANK(F748),,Config!$C$3&amp;"&amp;range=BB"&amp;MATCH(F748,FRG!AC:AC,0))</f>
        <v/>
      </c>
      <c r="M748" s="243" t="str">
        <f>IFERROR(__xludf.DUMMYFUNCTION("IF(ISBLANK(F748),,SUBSTITUTE(IFERROR(JOIN("","",F748:K748),JOIN("","",F748:J748)),CHAR(10),""""))"),"")</f>
        <v/>
      </c>
      <c r="N748" s="229" t="str">
        <f t="shared" si="1"/>
        <v/>
      </c>
    </row>
    <row r="749">
      <c r="F749" s="237"/>
      <c r="G749" s="238" t="str">
        <f t="shared" si="3"/>
        <v/>
      </c>
      <c r="H749" s="238" t="str">
        <f t="shared" si="4"/>
        <v/>
      </c>
      <c r="I749" s="237" t="str">
        <f t="shared" ref="I749:J749" si="741">IF(ISBLANK(C749),,""""&amp;C749&amp;"""")</f>
        <v/>
      </c>
      <c r="J749" s="237" t="str">
        <f t="shared" si="741"/>
        <v/>
      </c>
      <c r="K749" s="237" t="str">
        <f>IF(ISBLANK(F749),,Config!$C$3&amp;"&amp;range=BB"&amp;MATCH(F749,FRG!AC:AC,0))</f>
        <v/>
      </c>
      <c r="M749" s="243" t="str">
        <f>IFERROR(__xludf.DUMMYFUNCTION("IF(ISBLANK(F749),,SUBSTITUTE(IFERROR(JOIN("","",F749:K749),JOIN("","",F749:J749)),CHAR(10),""""))"),"")</f>
        <v/>
      </c>
      <c r="N749" s="229" t="str">
        <f t="shared" si="1"/>
        <v/>
      </c>
    </row>
    <row r="750">
      <c r="F750" s="237"/>
      <c r="G750" s="238" t="str">
        <f t="shared" si="3"/>
        <v/>
      </c>
      <c r="H750" s="238" t="str">
        <f t="shared" si="4"/>
        <v/>
      </c>
      <c r="I750" s="237" t="str">
        <f t="shared" ref="I750:J750" si="742">IF(ISBLANK(C750),,""""&amp;C750&amp;"""")</f>
        <v/>
      </c>
      <c r="J750" s="237" t="str">
        <f t="shared" si="742"/>
        <v/>
      </c>
      <c r="K750" s="237" t="str">
        <f>IF(ISBLANK(F750),,Config!$C$3&amp;"&amp;range=BB"&amp;MATCH(F750,FRG!AC:AC,0))</f>
        <v/>
      </c>
      <c r="M750" s="243" t="str">
        <f>IFERROR(__xludf.DUMMYFUNCTION("IF(ISBLANK(F750),,SUBSTITUTE(IFERROR(JOIN("","",F750:K750),JOIN("","",F750:J750)),CHAR(10),""""))"),"")</f>
        <v/>
      </c>
      <c r="N750" s="229" t="str">
        <f t="shared" si="1"/>
        <v/>
      </c>
    </row>
    <row r="751">
      <c r="F751" s="237"/>
      <c r="G751" s="238" t="str">
        <f t="shared" si="3"/>
        <v/>
      </c>
      <c r="H751" s="238" t="str">
        <f t="shared" si="4"/>
        <v/>
      </c>
      <c r="I751" s="237" t="str">
        <f t="shared" ref="I751:J751" si="743">IF(ISBLANK(C751),,""""&amp;C751&amp;"""")</f>
        <v/>
      </c>
      <c r="J751" s="237" t="str">
        <f t="shared" si="743"/>
        <v/>
      </c>
      <c r="K751" s="237" t="str">
        <f>IF(ISBLANK(F751),,Config!$C$3&amp;"&amp;range=BB"&amp;MATCH(F751,FRG!AC:AC,0))</f>
        <v/>
      </c>
      <c r="M751" s="243" t="str">
        <f>IFERROR(__xludf.DUMMYFUNCTION("IF(ISBLANK(F751),,SUBSTITUTE(IFERROR(JOIN("","",F751:K751),JOIN("","",F751:J751)),CHAR(10),""""))"),"")</f>
        <v/>
      </c>
      <c r="N751" s="229" t="str">
        <f t="shared" si="1"/>
        <v/>
      </c>
    </row>
    <row r="752">
      <c r="F752" s="237"/>
      <c r="G752" s="238" t="str">
        <f t="shared" si="3"/>
        <v/>
      </c>
      <c r="H752" s="238" t="str">
        <f t="shared" si="4"/>
        <v/>
      </c>
      <c r="I752" s="237" t="str">
        <f t="shared" ref="I752:J752" si="744">IF(ISBLANK(C752),,""""&amp;C752&amp;"""")</f>
        <v/>
      </c>
      <c r="J752" s="237" t="str">
        <f t="shared" si="744"/>
        <v/>
      </c>
      <c r="K752" s="237" t="str">
        <f>IF(ISBLANK(F752),,Config!$C$3&amp;"&amp;range=BB"&amp;MATCH(F752,FRG!AC:AC,0))</f>
        <v/>
      </c>
      <c r="M752" s="243" t="str">
        <f>IFERROR(__xludf.DUMMYFUNCTION("IF(ISBLANK(F752),,SUBSTITUTE(IFERROR(JOIN("","",F752:K752),JOIN("","",F752:J752)),CHAR(10),""""))"),"")</f>
        <v/>
      </c>
      <c r="N752" s="229" t="str">
        <f t="shared" si="1"/>
        <v/>
      </c>
    </row>
    <row r="753">
      <c r="F753" s="237"/>
      <c r="G753" s="238" t="str">
        <f t="shared" si="3"/>
        <v/>
      </c>
      <c r="H753" s="238" t="str">
        <f t="shared" si="4"/>
        <v/>
      </c>
      <c r="I753" s="237" t="str">
        <f t="shared" ref="I753:J753" si="745">IF(ISBLANK(C753),,""""&amp;C753&amp;"""")</f>
        <v/>
      </c>
      <c r="J753" s="237" t="str">
        <f t="shared" si="745"/>
        <v/>
      </c>
      <c r="K753" s="237" t="str">
        <f>IF(ISBLANK(F753),,Config!$C$3&amp;"&amp;range=BB"&amp;MATCH(F753,FRG!AC:AC,0))</f>
        <v/>
      </c>
      <c r="M753" s="243" t="str">
        <f>IFERROR(__xludf.DUMMYFUNCTION("IF(ISBLANK(F753),,SUBSTITUTE(IFERROR(JOIN("","",F753:K753),JOIN("","",F753:J753)),CHAR(10),""""))"),"")</f>
        <v/>
      </c>
      <c r="N753" s="229" t="str">
        <f t="shared" si="1"/>
        <v/>
      </c>
    </row>
    <row r="754">
      <c r="F754" s="237"/>
      <c r="G754" s="238" t="str">
        <f t="shared" si="3"/>
        <v/>
      </c>
      <c r="H754" s="238" t="str">
        <f t="shared" si="4"/>
        <v/>
      </c>
      <c r="I754" s="237" t="str">
        <f t="shared" ref="I754:J754" si="746">IF(ISBLANK(C754),,""""&amp;C754&amp;"""")</f>
        <v/>
      </c>
      <c r="J754" s="237" t="str">
        <f t="shared" si="746"/>
        <v/>
      </c>
      <c r="K754" s="237" t="str">
        <f>IF(ISBLANK(F754),,Config!$C$3&amp;"&amp;range=BB"&amp;MATCH(F754,FRG!AC:AC,0))</f>
        <v/>
      </c>
      <c r="M754" s="243" t="str">
        <f>IFERROR(__xludf.DUMMYFUNCTION("IF(ISBLANK(F754),,SUBSTITUTE(IFERROR(JOIN("","",F754:K754),JOIN("","",F754:J754)),CHAR(10),""""))"),"")</f>
        <v/>
      </c>
      <c r="N754" s="229" t="str">
        <f t="shared" si="1"/>
        <v/>
      </c>
    </row>
    <row r="755">
      <c r="F755" s="237"/>
      <c r="G755" s="238" t="str">
        <f t="shared" si="3"/>
        <v/>
      </c>
      <c r="H755" s="238" t="str">
        <f t="shared" si="4"/>
        <v/>
      </c>
      <c r="I755" s="237" t="str">
        <f t="shared" ref="I755:J755" si="747">IF(ISBLANK(C755),,""""&amp;C755&amp;"""")</f>
        <v/>
      </c>
      <c r="J755" s="237" t="str">
        <f t="shared" si="747"/>
        <v/>
      </c>
      <c r="K755" s="237" t="str">
        <f>IF(ISBLANK(F755),,Config!$C$3&amp;"&amp;range=BB"&amp;MATCH(F755,FRG!AC:AC,0))</f>
        <v/>
      </c>
      <c r="M755" s="243" t="str">
        <f>IFERROR(__xludf.DUMMYFUNCTION("IF(ISBLANK(F755),,SUBSTITUTE(IFERROR(JOIN("","",F755:K755),JOIN("","",F755:J755)),CHAR(10),""""))"),"")</f>
        <v/>
      </c>
      <c r="N755" s="229" t="str">
        <f t="shared" si="1"/>
        <v/>
      </c>
    </row>
    <row r="756">
      <c r="F756" s="237"/>
      <c r="G756" s="238" t="str">
        <f t="shared" si="3"/>
        <v/>
      </c>
      <c r="H756" s="238" t="str">
        <f t="shared" si="4"/>
        <v/>
      </c>
      <c r="I756" s="237" t="str">
        <f t="shared" ref="I756:J756" si="748">IF(ISBLANK(C756),,""""&amp;C756&amp;"""")</f>
        <v/>
      </c>
      <c r="J756" s="237" t="str">
        <f t="shared" si="748"/>
        <v/>
      </c>
      <c r="K756" s="237" t="str">
        <f>IF(ISBLANK(F756),,Config!$C$3&amp;"&amp;range=BB"&amp;MATCH(F756,FRG!AC:AC,0))</f>
        <v/>
      </c>
      <c r="M756" s="243" t="str">
        <f>IFERROR(__xludf.DUMMYFUNCTION("IF(ISBLANK(F756),,SUBSTITUTE(IFERROR(JOIN("","",F756:K756),JOIN("","",F756:J756)),CHAR(10),""""))"),"")</f>
        <v/>
      </c>
      <c r="N756" s="229" t="str">
        <f t="shared" si="1"/>
        <v/>
      </c>
    </row>
    <row r="757">
      <c r="F757" s="237"/>
      <c r="G757" s="238" t="str">
        <f t="shared" si="3"/>
        <v/>
      </c>
      <c r="H757" s="238" t="str">
        <f t="shared" si="4"/>
        <v/>
      </c>
      <c r="I757" s="237" t="str">
        <f t="shared" ref="I757:J757" si="749">IF(ISBLANK(C757),,""""&amp;C757&amp;"""")</f>
        <v/>
      </c>
      <c r="J757" s="237" t="str">
        <f t="shared" si="749"/>
        <v/>
      </c>
      <c r="K757" s="237" t="str">
        <f>IF(ISBLANK(F757),,Config!$C$3&amp;"&amp;range=BB"&amp;MATCH(F757,FRG!AC:AC,0))</f>
        <v/>
      </c>
      <c r="M757" s="243" t="str">
        <f>IFERROR(__xludf.DUMMYFUNCTION("IF(ISBLANK(F757),,SUBSTITUTE(IFERROR(JOIN("","",F757:K757),JOIN("","",F757:J757)),CHAR(10),""""))"),"")</f>
        <v/>
      </c>
      <c r="N757" s="229" t="str">
        <f t="shared" si="1"/>
        <v/>
      </c>
    </row>
    <row r="758">
      <c r="F758" s="237"/>
      <c r="G758" s="238" t="str">
        <f t="shared" si="3"/>
        <v/>
      </c>
      <c r="H758" s="238" t="str">
        <f t="shared" si="4"/>
        <v/>
      </c>
      <c r="I758" s="237" t="str">
        <f t="shared" ref="I758:J758" si="750">IF(ISBLANK(C758),,""""&amp;C758&amp;"""")</f>
        <v/>
      </c>
      <c r="J758" s="237" t="str">
        <f t="shared" si="750"/>
        <v/>
      </c>
      <c r="K758" s="237" t="str">
        <f>IF(ISBLANK(F758),,Config!$C$3&amp;"&amp;range=BB"&amp;MATCH(F758,FRG!AC:AC,0))</f>
        <v/>
      </c>
      <c r="M758" s="243" t="str">
        <f>IFERROR(__xludf.DUMMYFUNCTION("IF(ISBLANK(F758),,SUBSTITUTE(IFERROR(JOIN("","",F758:K758),JOIN("","",F758:J758)),CHAR(10),""""))"),"")</f>
        <v/>
      </c>
      <c r="N758" s="229" t="str">
        <f t="shared" si="1"/>
        <v/>
      </c>
    </row>
    <row r="759">
      <c r="F759" s="237"/>
      <c r="G759" s="238" t="str">
        <f t="shared" si="3"/>
        <v/>
      </c>
      <c r="H759" s="238" t="str">
        <f t="shared" si="4"/>
        <v/>
      </c>
      <c r="I759" s="237" t="str">
        <f t="shared" ref="I759:J759" si="751">IF(ISBLANK(C759),,""""&amp;C759&amp;"""")</f>
        <v/>
      </c>
      <c r="J759" s="237" t="str">
        <f t="shared" si="751"/>
        <v/>
      </c>
      <c r="K759" s="237" t="str">
        <f>IF(ISBLANK(F759),,Config!$C$3&amp;"&amp;range=BB"&amp;MATCH(F759,FRG!AC:AC,0))</f>
        <v/>
      </c>
      <c r="M759" s="243" t="str">
        <f>IFERROR(__xludf.DUMMYFUNCTION("IF(ISBLANK(F759),,SUBSTITUTE(IFERROR(JOIN("","",F759:K759),JOIN("","",F759:J759)),CHAR(10),""""))"),"")</f>
        <v/>
      </c>
      <c r="N759" s="229" t="str">
        <f t="shared" si="1"/>
        <v/>
      </c>
    </row>
    <row r="760">
      <c r="F760" s="237"/>
      <c r="G760" s="238" t="str">
        <f t="shared" si="3"/>
        <v/>
      </c>
      <c r="H760" s="238" t="str">
        <f t="shared" si="4"/>
        <v/>
      </c>
      <c r="I760" s="237" t="str">
        <f t="shared" ref="I760:J760" si="752">IF(ISBLANK(C760),,""""&amp;C760&amp;"""")</f>
        <v/>
      </c>
      <c r="J760" s="237" t="str">
        <f t="shared" si="752"/>
        <v/>
      </c>
      <c r="K760" s="237" t="str">
        <f>IF(ISBLANK(F760),,Config!$C$3&amp;"&amp;range=BB"&amp;MATCH(F760,FRG!AC:AC,0))</f>
        <v/>
      </c>
      <c r="M760" s="243" t="str">
        <f>IFERROR(__xludf.DUMMYFUNCTION("IF(ISBLANK(F760),,SUBSTITUTE(IFERROR(JOIN("","",F760:K760),JOIN("","",F760:J760)),CHAR(10),""""))"),"")</f>
        <v/>
      </c>
      <c r="N760" s="229" t="str">
        <f t="shared" si="1"/>
        <v/>
      </c>
    </row>
    <row r="761">
      <c r="F761" s="237"/>
      <c r="G761" s="238" t="str">
        <f t="shared" si="3"/>
        <v/>
      </c>
      <c r="H761" s="238" t="str">
        <f t="shared" si="4"/>
        <v/>
      </c>
      <c r="I761" s="237" t="str">
        <f t="shared" ref="I761:J761" si="753">IF(ISBLANK(C761),,""""&amp;C761&amp;"""")</f>
        <v/>
      </c>
      <c r="J761" s="237" t="str">
        <f t="shared" si="753"/>
        <v/>
      </c>
      <c r="K761" s="237" t="str">
        <f>IF(ISBLANK(F761),,Config!$C$3&amp;"&amp;range=BB"&amp;MATCH(F761,FRG!AC:AC,0))</f>
        <v/>
      </c>
      <c r="M761" s="243" t="str">
        <f>IFERROR(__xludf.DUMMYFUNCTION("IF(ISBLANK(F761),,SUBSTITUTE(IFERROR(JOIN("","",F761:K761),JOIN("","",F761:J761)),CHAR(10),""""))"),"")</f>
        <v/>
      </c>
      <c r="N761" s="229" t="str">
        <f t="shared" si="1"/>
        <v/>
      </c>
    </row>
    <row r="762">
      <c r="F762" s="237"/>
      <c r="G762" s="238" t="str">
        <f t="shared" si="3"/>
        <v/>
      </c>
      <c r="H762" s="238" t="str">
        <f t="shared" si="4"/>
        <v/>
      </c>
      <c r="I762" s="237" t="str">
        <f t="shared" ref="I762:J762" si="754">IF(ISBLANK(C762),,""""&amp;C762&amp;"""")</f>
        <v/>
      </c>
      <c r="J762" s="237" t="str">
        <f t="shared" si="754"/>
        <v/>
      </c>
      <c r="K762" s="237" t="str">
        <f>IF(ISBLANK(F762),,Config!$C$3&amp;"&amp;range=BB"&amp;MATCH(F762,FRG!AC:AC,0))</f>
        <v/>
      </c>
      <c r="M762" s="243" t="str">
        <f>IFERROR(__xludf.DUMMYFUNCTION("IF(ISBLANK(F762),,SUBSTITUTE(IFERROR(JOIN("","",F762:K762),JOIN("","",F762:J762)),CHAR(10),""""))"),"")</f>
        <v/>
      </c>
      <c r="N762" s="229" t="str">
        <f t="shared" si="1"/>
        <v/>
      </c>
    </row>
    <row r="763">
      <c r="F763" s="237"/>
      <c r="G763" s="238" t="str">
        <f t="shared" si="3"/>
        <v/>
      </c>
      <c r="H763" s="238" t="str">
        <f t="shared" si="4"/>
        <v/>
      </c>
      <c r="I763" s="237" t="str">
        <f t="shared" ref="I763:J763" si="755">IF(ISBLANK(C763),,""""&amp;C763&amp;"""")</f>
        <v/>
      </c>
      <c r="J763" s="237" t="str">
        <f t="shared" si="755"/>
        <v/>
      </c>
      <c r="K763" s="237" t="str">
        <f>IF(ISBLANK(F763),,Config!$C$3&amp;"&amp;range=BB"&amp;MATCH(F763,FRG!AC:AC,0))</f>
        <v/>
      </c>
      <c r="M763" s="243" t="str">
        <f>IFERROR(__xludf.DUMMYFUNCTION("IF(ISBLANK(F763),,SUBSTITUTE(IFERROR(JOIN("","",F763:K763),JOIN("","",F763:J763)),CHAR(10),""""))"),"")</f>
        <v/>
      </c>
      <c r="N763" s="229" t="str">
        <f t="shared" si="1"/>
        <v/>
      </c>
    </row>
    <row r="764">
      <c r="F764" s="237"/>
      <c r="G764" s="238" t="str">
        <f t="shared" si="3"/>
        <v/>
      </c>
      <c r="H764" s="238" t="str">
        <f t="shared" si="4"/>
        <v/>
      </c>
      <c r="I764" s="237" t="str">
        <f t="shared" ref="I764:J764" si="756">IF(ISBLANK(C764),,""""&amp;C764&amp;"""")</f>
        <v/>
      </c>
      <c r="J764" s="237" t="str">
        <f t="shared" si="756"/>
        <v/>
      </c>
      <c r="K764" s="237" t="str">
        <f>IF(ISBLANK(F764),,Config!$C$3&amp;"&amp;range=BB"&amp;MATCH(F764,FRG!AC:AC,0))</f>
        <v/>
      </c>
      <c r="M764" s="243" t="str">
        <f>IFERROR(__xludf.DUMMYFUNCTION("IF(ISBLANK(F764),,SUBSTITUTE(IFERROR(JOIN("","",F764:K764),JOIN("","",F764:J764)),CHAR(10),""""))"),"")</f>
        <v/>
      </c>
      <c r="N764" s="229" t="str">
        <f t="shared" si="1"/>
        <v/>
      </c>
    </row>
    <row r="765">
      <c r="F765" s="237"/>
      <c r="G765" s="238" t="str">
        <f t="shared" si="3"/>
        <v/>
      </c>
      <c r="H765" s="238" t="str">
        <f t="shared" si="4"/>
        <v/>
      </c>
      <c r="I765" s="237" t="str">
        <f t="shared" ref="I765:J765" si="757">IF(ISBLANK(C765),,""""&amp;C765&amp;"""")</f>
        <v/>
      </c>
      <c r="J765" s="237" t="str">
        <f t="shared" si="757"/>
        <v/>
      </c>
      <c r="K765" s="237" t="str">
        <f>IF(ISBLANK(F765),,Config!$C$3&amp;"&amp;range=BB"&amp;MATCH(F765,FRG!AC:AC,0))</f>
        <v/>
      </c>
      <c r="M765" s="243" t="str">
        <f>IFERROR(__xludf.DUMMYFUNCTION("IF(ISBLANK(F765),,SUBSTITUTE(IFERROR(JOIN("","",F765:K765),JOIN("","",F765:J765)),CHAR(10),""""))"),"")</f>
        <v/>
      </c>
      <c r="N765" s="229" t="str">
        <f t="shared" si="1"/>
        <v/>
      </c>
    </row>
    <row r="766">
      <c r="F766" s="237"/>
      <c r="G766" s="238" t="str">
        <f t="shared" si="3"/>
        <v/>
      </c>
      <c r="H766" s="238" t="str">
        <f t="shared" si="4"/>
        <v/>
      </c>
      <c r="I766" s="237" t="str">
        <f t="shared" ref="I766:J766" si="758">IF(ISBLANK(C766),,""""&amp;C766&amp;"""")</f>
        <v/>
      </c>
      <c r="J766" s="237" t="str">
        <f t="shared" si="758"/>
        <v/>
      </c>
      <c r="K766" s="237" t="str">
        <f>IF(ISBLANK(F766),,Config!$C$3&amp;"&amp;range=BB"&amp;MATCH(F766,FRG!AC:AC,0))</f>
        <v/>
      </c>
      <c r="M766" s="243" t="str">
        <f>IFERROR(__xludf.DUMMYFUNCTION("IF(ISBLANK(F766),,SUBSTITUTE(IFERROR(JOIN("","",F766:K766),JOIN("","",F766:J766)),CHAR(10),""""))"),"")</f>
        <v/>
      </c>
      <c r="N766" s="229" t="str">
        <f t="shared" si="1"/>
        <v/>
      </c>
    </row>
    <row r="767">
      <c r="F767" s="237"/>
      <c r="G767" s="238" t="str">
        <f t="shared" si="3"/>
        <v/>
      </c>
      <c r="H767" s="238" t="str">
        <f t="shared" si="4"/>
        <v/>
      </c>
      <c r="I767" s="237" t="str">
        <f t="shared" ref="I767:J767" si="759">IF(ISBLANK(C767),,""""&amp;C767&amp;"""")</f>
        <v/>
      </c>
      <c r="J767" s="237" t="str">
        <f t="shared" si="759"/>
        <v/>
      </c>
      <c r="K767" s="237" t="str">
        <f>IF(ISBLANK(F767),,Config!$C$3&amp;"&amp;range=BB"&amp;MATCH(F767,FRG!AC:AC,0))</f>
        <v/>
      </c>
      <c r="M767" s="243" t="str">
        <f>IFERROR(__xludf.DUMMYFUNCTION("IF(ISBLANK(F767),,SUBSTITUTE(IFERROR(JOIN("","",F767:K767),JOIN("","",F767:J767)),CHAR(10),""""))"),"")</f>
        <v/>
      </c>
      <c r="N767" s="229" t="str">
        <f t="shared" si="1"/>
        <v/>
      </c>
    </row>
    <row r="768">
      <c r="F768" s="237"/>
      <c r="G768" s="238" t="str">
        <f t="shared" si="3"/>
        <v/>
      </c>
      <c r="H768" s="238" t="str">
        <f t="shared" si="4"/>
        <v/>
      </c>
      <c r="I768" s="237" t="str">
        <f t="shared" ref="I768:J768" si="760">IF(ISBLANK(C768),,""""&amp;C768&amp;"""")</f>
        <v/>
      </c>
      <c r="J768" s="237" t="str">
        <f t="shared" si="760"/>
        <v/>
      </c>
      <c r="K768" s="237" t="str">
        <f>IF(ISBLANK(F768),,Config!$C$3&amp;"&amp;range=BB"&amp;MATCH(F768,FRG!AC:AC,0))</f>
        <v/>
      </c>
      <c r="M768" s="243" t="str">
        <f>IFERROR(__xludf.DUMMYFUNCTION("IF(ISBLANK(F768),,SUBSTITUTE(IFERROR(JOIN("","",F768:K768),JOIN("","",F768:J768)),CHAR(10),""""))"),"")</f>
        <v/>
      </c>
      <c r="N768" s="229" t="str">
        <f t="shared" si="1"/>
        <v/>
      </c>
    </row>
    <row r="769">
      <c r="F769" s="237"/>
      <c r="G769" s="238" t="str">
        <f t="shared" si="3"/>
        <v/>
      </c>
      <c r="H769" s="238" t="str">
        <f t="shared" si="4"/>
        <v/>
      </c>
      <c r="I769" s="237" t="str">
        <f t="shared" ref="I769:J769" si="761">IF(ISBLANK(C769),,""""&amp;C769&amp;"""")</f>
        <v/>
      </c>
      <c r="J769" s="237" t="str">
        <f t="shared" si="761"/>
        <v/>
      </c>
      <c r="K769" s="237" t="str">
        <f>IF(ISBLANK(F769),,Config!$C$3&amp;"&amp;range=BB"&amp;MATCH(F769,FRG!AC:AC,0))</f>
        <v/>
      </c>
      <c r="M769" s="243" t="str">
        <f>IFERROR(__xludf.DUMMYFUNCTION("IF(ISBLANK(F769),,SUBSTITUTE(IFERROR(JOIN("","",F769:K769),JOIN("","",F769:J769)),CHAR(10),""""))"),"")</f>
        <v/>
      </c>
      <c r="N769" s="229" t="str">
        <f t="shared" si="1"/>
        <v/>
      </c>
    </row>
    <row r="770">
      <c r="F770" s="237"/>
      <c r="G770" s="238" t="str">
        <f t="shared" si="3"/>
        <v/>
      </c>
      <c r="H770" s="238" t="str">
        <f t="shared" si="4"/>
        <v/>
      </c>
      <c r="I770" s="237" t="str">
        <f t="shared" ref="I770:J770" si="762">IF(ISBLANK(C770),,""""&amp;C770&amp;"""")</f>
        <v/>
      </c>
      <c r="J770" s="237" t="str">
        <f t="shared" si="762"/>
        <v/>
      </c>
      <c r="K770" s="237" t="str">
        <f>IF(ISBLANK(F770),,Config!$C$3&amp;"&amp;range=BB"&amp;MATCH(F770,FRG!AC:AC,0))</f>
        <v/>
      </c>
      <c r="M770" s="243" t="str">
        <f>IFERROR(__xludf.DUMMYFUNCTION("IF(ISBLANK(F770),,SUBSTITUTE(IFERROR(JOIN("","",F770:K770),JOIN("","",F770:J770)),CHAR(10),""""))"),"")</f>
        <v/>
      </c>
      <c r="N770" s="229" t="str">
        <f t="shared" si="1"/>
        <v/>
      </c>
    </row>
    <row r="771">
      <c r="F771" s="237"/>
      <c r="G771" s="238" t="str">
        <f t="shared" si="3"/>
        <v/>
      </c>
      <c r="H771" s="238" t="str">
        <f t="shared" si="4"/>
        <v/>
      </c>
      <c r="I771" s="237" t="str">
        <f t="shared" ref="I771:J771" si="763">IF(ISBLANK(C771),,""""&amp;C771&amp;"""")</f>
        <v/>
      </c>
      <c r="J771" s="237" t="str">
        <f t="shared" si="763"/>
        <v/>
      </c>
      <c r="K771" s="237" t="str">
        <f>IF(ISBLANK(F771),,Config!$C$3&amp;"&amp;range=BB"&amp;MATCH(F771,FRG!AC:AC,0))</f>
        <v/>
      </c>
      <c r="M771" s="243" t="str">
        <f>IFERROR(__xludf.DUMMYFUNCTION("IF(ISBLANK(F771),,SUBSTITUTE(IFERROR(JOIN("","",F771:K771),JOIN("","",F771:J771)),CHAR(10),""""))"),"")</f>
        <v/>
      </c>
      <c r="N771" s="229" t="str">
        <f t="shared" si="1"/>
        <v/>
      </c>
    </row>
    <row r="772">
      <c r="F772" s="237"/>
      <c r="G772" s="238" t="str">
        <f t="shared" si="3"/>
        <v/>
      </c>
      <c r="H772" s="238" t="str">
        <f t="shared" si="4"/>
        <v/>
      </c>
      <c r="I772" s="237" t="str">
        <f t="shared" ref="I772:J772" si="764">IF(ISBLANK(C772),,""""&amp;C772&amp;"""")</f>
        <v/>
      </c>
      <c r="J772" s="237" t="str">
        <f t="shared" si="764"/>
        <v/>
      </c>
      <c r="K772" s="237" t="str">
        <f>IF(ISBLANK(F772),,Config!$C$3&amp;"&amp;range=BB"&amp;MATCH(F772,FRG!AC:AC,0))</f>
        <v/>
      </c>
      <c r="M772" s="243" t="str">
        <f>IFERROR(__xludf.DUMMYFUNCTION("IF(ISBLANK(F772),,SUBSTITUTE(IFERROR(JOIN("","",F772:K772),JOIN("","",F772:J772)),CHAR(10),""""))"),"")</f>
        <v/>
      </c>
      <c r="N772" s="229" t="str">
        <f t="shared" si="1"/>
        <v/>
      </c>
    </row>
    <row r="773">
      <c r="F773" s="237"/>
      <c r="G773" s="238" t="str">
        <f t="shared" si="3"/>
        <v/>
      </c>
      <c r="H773" s="238" t="str">
        <f t="shared" si="4"/>
        <v/>
      </c>
      <c r="I773" s="237" t="str">
        <f t="shared" ref="I773:J773" si="765">IF(ISBLANK(C773),,""""&amp;C773&amp;"""")</f>
        <v/>
      </c>
      <c r="J773" s="237" t="str">
        <f t="shared" si="765"/>
        <v/>
      </c>
      <c r="K773" s="237" t="str">
        <f>IF(ISBLANK(F773),,Config!$C$3&amp;"&amp;range=BB"&amp;MATCH(F773,FRG!AC:AC,0))</f>
        <v/>
      </c>
      <c r="M773" s="243" t="str">
        <f>IFERROR(__xludf.DUMMYFUNCTION("IF(ISBLANK(F773),,SUBSTITUTE(IFERROR(JOIN("","",F773:K773),JOIN("","",F773:J773)),CHAR(10),""""))"),"")</f>
        <v/>
      </c>
      <c r="N773" s="229" t="str">
        <f t="shared" si="1"/>
        <v/>
      </c>
    </row>
    <row r="774">
      <c r="F774" s="237"/>
      <c r="G774" s="238" t="str">
        <f t="shared" si="3"/>
        <v/>
      </c>
      <c r="H774" s="238" t="str">
        <f t="shared" si="4"/>
        <v/>
      </c>
      <c r="I774" s="237" t="str">
        <f t="shared" ref="I774:J774" si="766">IF(ISBLANK(C774),,""""&amp;C774&amp;"""")</f>
        <v/>
      </c>
      <c r="J774" s="237" t="str">
        <f t="shared" si="766"/>
        <v/>
      </c>
      <c r="K774" s="237" t="str">
        <f>IF(ISBLANK(F774),,Config!$C$3&amp;"&amp;range=BB"&amp;MATCH(F774,FRG!AC:AC,0))</f>
        <v/>
      </c>
      <c r="M774" s="243" t="str">
        <f>IFERROR(__xludf.DUMMYFUNCTION("IF(ISBLANK(F774),,SUBSTITUTE(IFERROR(JOIN("","",F774:K774),JOIN("","",F774:J774)),CHAR(10),""""))"),"")</f>
        <v/>
      </c>
      <c r="N774" s="229" t="str">
        <f t="shared" si="1"/>
        <v/>
      </c>
    </row>
    <row r="775">
      <c r="F775" s="237"/>
      <c r="G775" s="238" t="str">
        <f t="shared" si="3"/>
        <v/>
      </c>
      <c r="H775" s="238" t="str">
        <f t="shared" si="4"/>
        <v/>
      </c>
      <c r="I775" s="237" t="str">
        <f t="shared" ref="I775:J775" si="767">IF(ISBLANK(C775),,""""&amp;C775&amp;"""")</f>
        <v/>
      </c>
      <c r="J775" s="237" t="str">
        <f t="shared" si="767"/>
        <v/>
      </c>
      <c r="K775" s="237" t="str">
        <f>IF(ISBLANK(F775),,Config!$C$3&amp;"&amp;range=BB"&amp;MATCH(F775,FRG!AC:AC,0))</f>
        <v/>
      </c>
      <c r="M775" s="243" t="str">
        <f>IFERROR(__xludf.DUMMYFUNCTION("IF(ISBLANK(F775),,SUBSTITUTE(IFERROR(JOIN("","",F775:K775),JOIN("","",F775:J775)),CHAR(10),""""))"),"")</f>
        <v/>
      </c>
      <c r="N775" s="229" t="str">
        <f t="shared" si="1"/>
        <v/>
      </c>
    </row>
    <row r="776">
      <c r="F776" s="237"/>
      <c r="G776" s="238" t="str">
        <f t="shared" si="3"/>
        <v/>
      </c>
      <c r="H776" s="238" t="str">
        <f t="shared" si="4"/>
        <v/>
      </c>
      <c r="I776" s="237" t="str">
        <f t="shared" ref="I776:J776" si="768">IF(ISBLANK(C776),,""""&amp;C776&amp;"""")</f>
        <v/>
      </c>
      <c r="J776" s="237" t="str">
        <f t="shared" si="768"/>
        <v/>
      </c>
      <c r="K776" s="237" t="str">
        <f>IF(ISBLANK(F776),,Config!$C$3&amp;"&amp;range=BB"&amp;MATCH(F776,FRG!AC:AC,0))</f>
        <v/>
      </c>
      <c r="M776" s="243" t="str">
        <f>IFERROR(__xludf.DUMMYFUNCTION("IF(ISBLANK(F776),,SUBSTITUTE(IFERROR(JOIN("","",F776:K776),JOIN("","",F776:J776)),CHAR(10),""""))"),"")</f>
        <v/>
      </c>
      <c r="N776" s="229" t="str">
        <f t="shared" si="1"/>
        <v/>
      </c>
    </row>
    <row r="777">
      <c r="F777" s="237"/>
      <c r="G777" s="238" t="str">
        <f t="shared" si="3"/>
        <v/>
      </c>
      <c r="H777" s="238" t="str">
        <f t="shared" si="4"/>
        <v/>
      </c>
      <c r="I777" s="237" t="str">
        <f t="shared" ref="I777:J777" si="769">IF(ISBLANK(C777),,""""&amp;C777&amp;"""")</f>
        <v/>
      </c>
      <c r="J777" s="237" t="str">
        <f t="shared" si="769"/>
        <v/>
      </c>
      <c r="K777" s="237" t="str">
        <f>IF(ISBLANK(F777),,Config!$C$3&amp;"&amp;range=BB"&amp;MATCH(F777,FRG!AC:AC,0))</f>
        <v/>
      </c>
      <c r="M777" s="243" t="str">
        <f>IFERROR(__xludf.DUMMYFUNCTION("IF(ISBLANK(F777),,SUBSTITUTE(IFERROR(JOIN("","",F777:K777),JOIN("","",F777:J777)),CHAR(10),""""))"),"")</f>
        <v/>
      </c>
      <c r="N777" s="229" t="str">
        <f t="shared" si="1"/>
        <v/>
      </c>
    </row>
    <row r="778">
      <c r="F778" s="237"/>
      <c r="G778" s="238" t="str">
        <f t="shared" si="3"/>
        <v/>
      </c>
      <c r="H778" s="238" t="str">
        <f t="shared" si="4"/>
        <v/>
      </c>
      <c r="I778" s="237" t="str">
        <f t="shared" ref="I778:J778" si="770">IF(ISBLANK(C778),,""""&amp;C778&amp;"""")</f>
        <v/>
      </c>
      <c r="J778" s="237" t="str">
        <f t="shared" si="770"/>
        <v/>
      </c>
      <c r="K778" s="237" t="str">
        <f>IF(ISBLANK(F778),,Config!$C$3&amp;"&amp;range=BB"&amp;MATCH(F778,FRG!AC:AC,0))</f>
        <v/>
      </c>
      <c r="M778" s="243" t="str">
        <f>IFERROR(__xludf.DUMMYFUNCTION("IF(ISBLANK(F778),,SUBSTITUTE(IFERROR(JOIN("","",F778:K778),JOIN("","",F778:J778)),CHAR(10),""""))"),"")</f>
        <v/>
      </c>
      <c r="N778" s="229" t="str">
        <f t="shared" si="1"/>
        <v/>
      </c>
    </row>
    <row r="779">
      <c r="F779" s="237"/>
      <c r="G779" s="238" t="str">
        <f t="shared" si="3"/>
        <v/>
      </c>
      <c r="H779" s="238" t="str">
        <f t="shared" si="4"/>
        <v/>
      </c>
      <c r="I779" s="237" t="str">
        <f t="shared" ref="I779:J779" si="771">IF(ISBLANK(C779),,""""&amp;C779&amp;"""")</f>
        <v/>
      </c>
      <c r="J779" s="237" t="str">
        <f t="shared" si="771"/>
        <v/>
      </c>
      <c r="K779" s="237" t="str">
        <f>IF(ISBLANK(F779),,Config!$C$3&amp;"&amp;range=BB"&amp;MATCH(F779,FRG!AC:AC,0))</f>
        <v/>
      </c>
      <c r="M779" s="243" t="str">
        <f>IFERROR(__xludf.DUMMYFUNCTION("IF(ISBLANK(F779),,SUBSTITUTE(IFERROR(JOIN("","",F779:K779),JOIN("","",F779:J779)),CHAR(10),""""))"),"")</f>
        <v/>
      </c>
      <c r="N779" s="229" t="str">
        <f t="shared" si="1"/>
        <v/>
      </c>
    </row>
    <row r="780">
      <c r="F780" s="237"/>
      <c r="G780" s="238" t="str">
        <f t="shared" si="3"/>
        <v/>
      </c>
      <c r="H780" s="238" t="str">
        <f t="shared" si="4"/>
        <v/>
      </c>
      <c r="I780" s="237" t="str">
        <f t="shared" ref="I780:J780" si="772">IF(ISBLANK(C780),,""""&amp;C780&amp;"""")</f>
        <v/>
      </c>
      <c r="J780" s="237" t="str">
        <f t="shared" si="772"/>
        <v/>
      </c>
      <c r="K780" s="237" t="str">
        <f>IF(ISBLANK(F780),,Config!$C$3&amp;"&amp;range=BB"&amp;MATCH(F780,FRG!AC:AC,0))</f>
        <v/>
      </c>
      <c r="M780" s="243" t="str">
        <f>IFERROR(__xludf.DUMMYFUNCTION("IF(ISBLANK(F780),,SUBSTITUTE(IFERROR(JOIN("","",F780:K780),JOIN("","",F780:J780)),CHAR(10),""""))"),"")</f>
        <v/>
      </c>
      <c r="N780" s="229" t="str">
        <f t="shared" si="1"/>
        <v/>
      </c>
    </row>
    <row r="781">
      <c r="F781" s="237"/>
      <c r="G781" s="238" t="str">
        <f t="shared" si="3"/>
        <v/>
      </c>
      <c r="H781" s="238" t="str">
        <f t="shared" si="4"/>
        <v/>
      </c>
      <c r="I781" s="237" t="str">
        <f t="shared" ref="I781:J781" si="773">IF(ISBLANK(C781),,""""&amp;C781&amp;"""")</f>
        <v/>
      </c>
      <c r="J781" s="237" t="str">
        <f t="shared" si="773"/>
        <v/>
      </c>
      <c r="K781" s="237" t="str">
        <f>IF(ISBLANK(F781),,Config!$C$3&amp;"&amp;range=BB"&amp;MATCH(F781,FRG!AC:AC,0))</f>
        <v/>
      </c>
      <c r="M781" s="243" t="str">
        <f>IFERROR(__xludf.DUMMYFUNCTION("IF(ISBLANK(F781),,SUBSTITUTE(IFERROR(JOIN("","",F781:K781),JOIN("","",F781:J781)),CHAR(10),""""))"),"")</f>
        <v/>
      </c>
      <c r="N781" s="229" t="str">
        <f t="shared" si="1"/>
        <v/>
      </c>
    </row>
    <row r="782">
      <c r="F782" s="237"/>
      <c r="G782" s="238" t="str">
        <f t="shared" si="3"/>
        <v/>
      </c>
      <c r="H782" s="238" t="str">
        <f t="shared" si="4"/>
        <v/>
      </c>
      <c r="I782" s="237" t="str">
        <f t="shared" ref="I782:J782" si="774">IF(ISBLANK(C782),,""""&amp;C782&amp;"""")</f>
        <v/>
      </c>
      <c r="J782" s="237" t="str">
        <f t="shared" si="774"/>
        <v/>
      </c>
      <c r="K782" s="237" t="str">
        <f>IF(ISBLANK(F782),,Config!$C$3&amp;"&amp;range=BB"&amp;MATCH(F782,FRG!AC:AC,0))</f>
        <v/>
      </c>
      <c r="M782" s="243" t="str">
        <f>IFERROR(__xludf.DUMMYFUNCTION("IF(ISBLANK(F782),,SUBSTITUTE(IFERROR(JOIN("","",F782:K782),JOIN("","",F782:J782)),CHAR(10),""""))"),"")</f>
        <v/>
      </c>
      <c r="N782" s="229" t="str">
        <f t="shared" si="1"/>
        <v/>
      </c>
    </row>
    <row r="783">
      <c r="F783" s="237"/>
      <c r="G783" s="238" t="str">
        <f t="shared" si="3"/>
        <v/>
      </c>
      <c r="H783" s="238" t="str">
        <f t="shared" si="4"/>
        <v/>
      </c>
      <c r="I783" s="237" t="str">
        <f t="shared" ref="I783:J783" si="775">IF(ISBLANK(C783),,""""&amp;C783&amp;"""")</f>
        <v/>
      </c>
      <c r="J783" s="237" t="str">
        <f t="shared" si="775"/>
        <v/>
      </c>
      <c r="K783" s="237" t="str">
        <f>IF(ISBLANK(F783),,Config!$C$3&amp;"&amp;range=BB"&amp;MATCH(F783,FRG!AC:AC,0))</f>
        <v/>
      </c>
      <c r="M783" s="243" t="str">
        <f>IFERROR(__xludf.DUMMYFUNCTION("IF(ISBLANK(F783),,SUBSTITUTE(IFERROR(JOIN("","",F783:K783),JOIN("","",F783:J783)),CHAR(10),""""))"),"")</f>
        <v/>
      </c>
      <c r="N783" s="229" t="str">
        <f t="shared" si="1"/>
        <v/>
      </c>
    </row>
    <row r="784">
      <c r="F784" s="237"/>
      <c r="G784" s="238" t="str">
        <f t="shared" si="3"/>
        <v/>
      </c>
      <c r="H784" s="238" t="str">
        <f t="shared" si="4"/>
        <v/>
      </c>
      <c r="I784" s="237" t="str">
        <f t="shared" ref="I784:J784" si="776">IF(ISBLANK(C784),,""""&amp;C784&amp;"""")</f>
        <v/>
      </c>
      <c r="J784" s="237" t="str">
        <f t="shared" si="776"/>
        <v/>
      </c>
      <c r="K784" s="237" t="str">
        <f>IF(ISBLANK(F784),,Config!$C$3&amp;"&amp;range=BB"&amp;MATCH(F784,FRG!AC:AC,0))</f>
        <v/>
      </c>
      <c r="M784" s="243" t="str">
        <f>IFERROR(__xludf.DUMMYFUNCTION("IF(ISBLANK(F784),,SUBSTITUTE(IFERROR(JOIN("","",F784:K784),JOIN("","",F784:J784)),CHAR(10),""""))"),"")</f>
        <v/>
      </c>
      <c r="N784" s="229" t="str">
        <f t="shared" si="1"/>
        <v/>
      </c>
    </row>
    <row r="785">
      <c r="F785" s="237"/>
      <c r="G785" s="238" t="str">
        <f t="shared" si="3"/>
        <v/>
      </c>
      <c r="H785" s="238" t="str">
        <f t="shared" si="4"/>
        <v/>
      </c>
      <c r="I785" s="237" t="str">
        <f t="shared" ref="I785:J785" si="777">IF(ISBLANK(C785),,""""&amp;C785&amp;"""")</f>
        <v/>
      </c>
      <c r="J785" s="237" t="str">
        <f t="shared" si="777"/>
        <v/>
      </c>
      <c r="K785" s="237" t="str">
        <f>IF(ISBLANK(F785),,Config!$C$3&amp;"&amp;range=BB"&amp;MATCH(F785,FRG!AC:AC,0))</f>
        <v/>
      </c>
      <c r="M785" s="243" t="str">
        <f>IFERROR(__xludf.DUMMYFUNCTION("IF(ISBLANK(F785),,SUBSTITUTE(IFERROR(JOIN("","",F785:K785),JOIN("","",F785:J785)),CHAR(10),""""))"),"")</f>
        <v/>
      </c>
      <c r="N785" s="229" t="str">
        <f t="shared" si="1"/>
        <v/>
      </c>
    </row>
    <row r="786">
      <c r="F786" s="237"/>
      <c r="G786" s="238" t="str">
        <f t="shared" si="3"/>
        <v/>
      </c>
      <c r="H786" s="238" t="str">
        <f t="shared" si="4"/>
        <v/>
      </c>
      <c r="I786" s="237" t="str">
        <f t="shared" ref="I786:J786" si="778">IF(ISBLANK(C786),,""""&amp;C786&amp;"""")</f>
        <v/>
      </c>
      <c r="J786" s="237" t="str">
        <f t="shared" si="778"/>
        <v/>
      </c>
      <c r="K786" s="237" t="str">
        <f>IF(ISBLANK(F786),,Config!$C$3&amp;"&amp;range=BB"&amp;MATCH(F786,FRG!AC:AC,0))</f>
        <v/>
      </c>
      <c r="M786" s="243" t="str">
        <f>IFERROR(__xludf.DUMMYFUNCTION("IF(ISBLANK(F786),,SUBSTITUTE(IFERROR(JOIN("","",F786:K786),JOIN("","",F786:J786)),CHAR(10),""""))"),"")</f>
        <v/>
      </c>
      <c r="N786" s="229" t="str">
        <f t="shared" si="1"/>
        <v/>
      </c>
    </row>
    <row r="787">
      <c r="F787" s="237"/>
      <c r="G787" s="238" t="str">
        <f t="shared" si="3"/>
        <v/>
      </c>
      <c r="H787" s="238" t="str">
        <f t="shared" si="4"/>
        <v/>
      </c>
      <c r="I787" s="237" t="str">
        <f t="shared" ref="I787:J787" si="779">IF(ISBLANK(C787),,""""&amp;C787&amp;"""")</f>
        <v/>
      </c>
      <c r="J787" s="237" t="str">
        <f t="shared" si="779"/>
        <v/>
      </c>
      <c r="K787" s="237" t="str">
        <f>IF(ISBLANK(F787),,Config!$C$3&amp;"&amp;range=BB"&amp;MATCH(F787,FRG!AC:AC,0))</f>
        <v/>
      </c>
      <c r="M787" s="243" t="str">
        <f>IFERROR(__xludf.DUMMYFUNCTION("IF(ISBLANK(F787),,SUBSTITUTE(IFERROR(JOIN("","",F787:K787),JOIN("","",F787:J787)),CHAR(10),""""))"),"")</f>
        <v/>
      </c>
      <c r="N787" s="229" t="str">
        <f t="shared" si="1"/>
        <v/>
      </c>
    </row>
    <row r="788">
      <c r="F788" s="237"/>
      <c r="G788" s="238" t="str">
        <f t="shared" si="3"/>
        <v/>
      </c>
      <c r="H788" s="238" t="str">
        <f t="shared" si="4"/>
        <v/>
      </c>
      <c r="I788" s="237" t="str">
        <f t="shared" ref="I788:J788" si="780">IF(ISBLANK(C788),,""""&amp;C788&amp;"""")</f>
        <v/>
      </c>
      <c r="J788" s="237" t="str">
        <f t="shared" si="780"/>
        <v/>
      </c>
      <c r="K788" s="237" t="str">
        <f>IF(ISBLANK(F788),,Config!$C$3&amp;"&amp;range=BB"&amp;MATCH(F788,FRG!AC:AC,0))</f>
        <v/>
      </c>
      <c r="M788" s="243" t="str">
        <f>IFERROR(__xludf.DUMMYFUNCTION("IF(ISBLANK(F788),,SUBSTITUTE(IFERROR(JOIN("","",F788:K788),JOIN("","",F788:J788)),CHAR(10),""""))"),"")</f>
        <v/>
      </c>
      <c r="N788" s="229" t="str">
        <f t="shared" si="1"/>
        <v/>
      </c>
    </row>
    <row r="789">
      <c r="F789" s="237"/>
      <c r="G789" s="238" t="str">
        <f t="shared" si="3"/>
        <v/>
      </c>
      <c r="H789" s="238" t="str">
        <f t="shared" si="4"/>
        <v/>
      </c>
      <c r="I789" s="237" t="str">
        <f t="shared" ref="I789:J789" si="781">IF(ISBLANK(C789),,""""&amp;C789&amp;"""")</f>
        <v/>
      </c>
      <c r="J789" s="237" t="str">
        <f t="shared" si="781"/>
        <v/>
      </c>
      <c r="K789" s="237" t="str">
        <f>IF(ISBLANK(F789),,Config!$C$3&amp;"&amp;range=BB"&amp;MATCH(F789,FRG!AC:AC,0))</f>
        <v/>
      </c>
      <c r="M789" s="243" t="str">
        <f>IFERROR(__xludf.DUMMYFUNCTION("IF(ISBLANK(F789),,SUBSTITUTE(IFERROR(JOIN("","",F789:K789),JOIN("","",F789:J789)),CHAR(10),""""))"),"")</f>
        <v/>
      </c>
      <c r="N789" s="229" t="str">
        <f t="shared" si="1"/>
        <v/>
      </c>
    </row>
    <row r="790">
      <c r="F790" s="237"/>
      <c r="G790" s="238" t="str">
        <f t="shared" si="3"/>
        <v/>
      </c>
      <c r="H790" s="238" t="str">
        <f t="shared" si="4"/>
        <v/>
      </c>
      <c r="I790" s="237" t="str">
        <f t="shared" ref="I790:J790" si="782">IF(ISBLANK(C790),,""""&amp;C790&amp;"""")</f>
        <v/>
      </c>
      <c r="J790" s="237" t="str">
        <f t="shared" si="782"/>
        <v/>
      </c>
      <c r="K790" s="237" t="str">
        <f>IF(ISBLANK(F790),,Config!$C$3&amp;"&amp;range=BB"&amp;MATCH(F790,FRG!AC:AC,0))</f>
        <v/>
      </c>
      <c r="M790" s="243" t="str">
        <f>IFERROR(__xludf.DUMMYFUNCTION("IF(ISBLANK(F790),,SUBSTITUTE(IFERROR(JOIN("","",F790:K790),JOIN("","",F790:J790)),CHAR(10),""""))"),"")</f>
        <v/>
      </c>
      <c r="N790" s="229" t="str">
        <f t="shared" si="1"/>
        <v/>
      </c>
    </row>
    <row r="791">
      <c r="F791" s="237"/>
      <c r="G791" s="238" t="str">
        <f t="shared" si="3"/>
        <v/>
      </c>
      <c r="H791" s="238" t="str">
        <f t="shared" si="4"/>
        <v/>
      </c>
      <c r="I791" s="237" t="str">
        <f t="shared" ref="I791:J791" si="783">IF(ISBLANK(C791),,""""&amp;C791&amp;"""")</f>
        <v/>
      </c>
      <c r="J791" s="237" t="str">
        <f t="shared" si="783"/>
        <v/>
      </c>
      <c r="K791" s="237" t="str">
        <f>IF(ISBLANK(F791),,Config!$C$3&amp;"&amp;range=BB"&amp;MATCH(F791,FRG!AC:AC,0))</f>
        <v/>
      </c>
      <c r="M791" s="243" t="str">
        <f>IFERROR(__xludf.DUMMYFUNCTION("IF(ISBLANK(F791),,SUBSTITUTE(IFERROR(JOIN("","",F791:K791),JOIN("","",F791:J791)),CHAR(10),""""))"),"")</f>
        <v/>
      </c>
      <c r="N791" s="229" t="str">
        <f t="shared" si="1"/>
        <v/>
      </c>
    </row>
    <row r="792">
      <c r="F792" s="237"/>
      <c r="G792" s="238" t="str">
        <f t="shared" si="3"/>
        <v/>
      </c>
      <c r="H792" s="238" t="str">
        <f t="shared" si="4"/>
        <v/>
      </c>
      <c r="I792" s="237" t="str">
        <f t="shared" ref="I792:J792" si="784">IF(ISBLANK(C792),,""""&amp;C792&amp;"""")</f>
        <v/>
      </c>
      <c r="J792" s="237" t="str">
        <f t="shared" si="784"/>
        <v/>
      </c>
      <c r="K792" s="237" t="str">
        <f>IF(ISBLANK(F792),,Config!$C$3&amp;"&amp;range=BB"&amp;MATCH(F792,FRG!AC:AC,0))</f>
        <v/>
      </c>
      <c r="M792" s="243" t="str">
        <f>IFERROR(__xludf.DUMMYFUNCTION("IF(ISBLANK(F792),,SUBSTITUTE(IFERROR(JOIN("","",F792:K792),JOIN("","",F792:J792)),CHAR(10),""""))"),"")</f>
        <v/>
      </c>
      <c r="N792" s="229" t="str">
        <f t="shared" si="1"/>
        <v/>
      </c>
    </row>
    <row r="793">
      <c r="F793" s="237"/>
      <c r="G793" s="238" t="str">
        <f t="shared" si="3"/>
        <v/>
      </c>
      <c r="H793" s="238" t="str">
        <f t="shared" si="4"/>
        <v/>
      </c>
      <c r="I793" s="237" t="str">
        <f t="shared" ref="I793:J793" si="785">IF(ISBLANK(C793),,""""&amp;C793&amp;"""")</f>
        <v/>
      </c>
      <c r="J793" s="237" t="str">
        <f t="shared" si="785"/>
        <v/>
      </c>
      <c r="K793" s="237" t="str">
        <f>IF(ISBLANK(F793),,Config!$C$3&amp;"&amp;range=BB"&amp;MATCH(F793,FRG!AC:AC,0))</f>
        <v/>
      </c>
      <c r="M793" s="243" t="str">
        <f>IFERROR(__xludf.DUMMYFUNCTION("IF(ISBLANK(F793),,SUBSTITUTE(IFERROR(JOIN("","",F793:K793),JOIN("","",F793:J793)),CHAR(10),""""))"),"")</f>
        <v/>
      </c>
      <c r="N793" s="229" t="str">
        <f t="shared" si="1"/>
        <v/>
      </c>
    </row>
    <row r="794">
      <c r="F794" s="237"/>
      <c r="G794" s="238" t="str">
        <f t="shared" si="3"/>
        <v/>
      </c>
      <c r="H794" s="238" t="str">
        <f t="shared" si="4"/>
        <v/>
      </c>
      <c r="I794" s="237" t="str">
        <f t="shared" ref="I794:J794" si="786">IF(ISBLANK(C794),,""""&amp;C794&amp;"""")</f>
        <v/>
      </c>
      <c r="J794" s="237" t="str">
        <f t="shared" si="786"/>
        <v/>
      </c>
      <c r="K794" s="237" t="str">
        <f>IF(ISBLANK(F794),,Config!$C$3&amp;"&amp;range=BB"&amp;MATCH(F794,FRG!AC:AC,0))</f>
        <v/>
      </c>
      <c r="M794" s="243" t="str">
        <f>IFERROR(__xludf.DUMMYFUNCTION("IF(ISBLANK(F794),,SUBSTITUTE(IFERROR(JOIN("","",F794:K794),JOIN("","",F794:J794)),CHAR(10),""""))"),"")</f>
        <v/>
      </c>
      <c r="N794" s="229" t="str">
        <f t="shared" si="1"/>
        <v/>
      </c>
    </row>
    <row r="795">
      <c r="F795" s="237"/>
      <c r="G795" s="238" t="str">
        <f t="shared" si="3"/>
        <v/>
      </c>
      <c r="H795" s="238" t="str">
        <f t="shared" si="4"/>
        <v/>
      </c>
      <c r="I795" s="237" t="str">
        <f t="shared" ref="I795:J795" si="787">IF(ISBLANK(C795),,""""&amp;C795&amp;"""")</f>
        <v/>
      </c>
      <c r="J795" s="237" t="str">
        <f t="shared" si="787"/>
        <v/>
      </c>
      <c r="K795" s="237" t="str">
        <f>IF(ISBLANK(F795),,Config!$C$3&amp;"&amp;range=BB"&amp;MATCH(F795,FRG!AC:AC,0))</f>
        <v/>
      </c>
      <c r="M795" s="243" t="str">
        <f>IFERROR(__xludf.DUMMYFUNCTION("IF(ISBLANK(F795),,SUBSTITUTE(IFERROR(JOIN("","",F795:K795),JOIN("","",F795:J795)),CHAR(10),""""))"),"")</f>
        <v/>
      </c>
      <c r="N795" s="229" t="str">
        <f t="shared" si="1"/>
        <v/>
      </c>
    </row>
    <row r="796">
      <c r="F796" s="237"/>
      <c r="G796" s="238" t="str">
        <f t="shared" si="3"/>
        <v/>
      </c>
      <c r="H796" s="238" t="str">
        <f t="shared" si="4"/>
        <v/>
      </c>
      <c r="I796" s="237" t="str">
        <f t="shared" ref="I796:J796" si="788">IF(ISBLANK(C796),,""""&amp;C796&amp;"""")</f>
        <v/>
      </c>
      <c r="J796" s="237" t="str">
        <f t="shared" si="788"/>
        <v/>
      </c>
      <c r="K796" s="237" t="str">
        <f>IF(ISBLANK(F796),,Config!$C$3&amp;"&amp;range=BB"&amp;MATCH(F796,FRG!AC:AC,0))</f>
        <v/>
      </c>
      <c r="M796" s="243" t="str">
        <f>IFERROR(__xludf.DUMMYFUNCTION("IF(ISBLANK(F796),,SUBSTITUTE(IFERROR(JOIN("","",F796:K796),JOIN("","",F796:J796)),CHAR(10),""""))"),"")</f>
        <v/>
      </c>
      <c r="N796" s="229" t="str">
        <f t="shared" si="1"/>
        <v/>
      </c>
    </row>
    <row r="797">
      <c r="F797" s="237"/>
      <c r="G797" s="238" t="str">
        <f t="shared" si="3"/>
        <v/>
      </c>
      <c r="H797" s="238" t="str">
        <f t="shared" si="4"/>
        <v/>
      </c>
      <c r="I797" s="237" t="str">
        <f t="shared" ref="I797:J797" si="789">IF(ISBLANK(C797),,""""&amp;C797&amp;"""")</f>
        <v/>
      </c>
      <c r="J797" s="237" t="str">
        <f t="shared" si="789"/>
        <v/>
      </c>
      <c r="K797" s="237" t="str">
        <f>IF(ISBLANK(F797),,Config!$C$3&amp;"&amp;range=BB"&amp;MATCH(F797,FRG!AC:AC,0))</f>
        <v/>
      </c>
      <c r="M797" s="243" t="str">
        <f>IFERROR(__xludf.DUMMYFUNCTION("IF(ISBLANK(F797),,SUBSTITUTE(IFERROR(JOIN("","",F797:K797),JOIN("","",F797:J797)),CHAR(10),""""))"),"")</f>
        <v/>
      </c>
      <c r="N797" s="229" t="str">
        <f t="shared" si="1"/>
        <v/>
      </c>
    </row>
    <row r="798">
      <c r="F798" s="237"/>
      <c r="G798" s="238" t="str">
        <f t="shared" si="3"/>
        <v/>
      </c>
      <c r="H798" s="238" t="str">
        <f t="shared" si="4"/>
        <v/>
      </c>
      <c r="I798" s="237" t="str">
        <f t="shared" ref="I798:J798" si="790">IF(ISBLANK(C798),,""""&amp;C798&amp;"""")</f>
        <v/>
      </c>
      <c r="J798" s="237" t="str">
        <f t="shared" si="790"/>
        <v/>
      </c>
      <c r="K798" s="237" t="str">
        <f>IF(ISBLANK(F798),,Config!$C$3&amp;"&amp;range=BB"&amp;MATCH(F798,FRG!AC:AC,0))</f>
        <v/>
      </c>
      <c r="M798" s="243" t="str">
        <f>IFERROR(__xludf.DUMMYFUNCTION("IF(ISBLANK(F798),,SUBSTITUTE(IFERROR(JOIN("","",F798:K798),JOIN("","",F798:J798)),CHAR(10),""""))"),"")</f>
        <v/>
      </c>
      <c r="N798" s="229" t="str">
        <f t="shared" si="1"/>
        <v/>
      </c>
    </row>
    <row r="799">
      <c r="F799" s="237"/>
      <c r="G799" s="238" t="str">
        <f t="shared" si="3"/>
        <v/>
      </c>
      <c r="H799" s="238" t="str">
        <f t="shared" si="4"/>
        <v/>
      </c>
      <c r="I799" s="237" t="str">
        <f t="shared" ref="I799:J799" si="791">IF(ISBLANK(C799),,""""&amp;C799&amp;"""")</f>
        <v/>
      </c>
      <c r="J799" s="237" t="str">
        <f t="shared" si="791"/>
        <v/>
      </c>
      <c r="K799" s="237" t="str">
        <f>IF(ISBLANK(F799),,Config!$C$3&amp;"&amp;range=BB"&amp;MATCH(F799,FRG!AC:AC,0))</f>
        <v/>
      </c>
      <c r="M799" s="243" t="str">
        <f>IFERROR(__xludf.DUMMYFUNCTION("IF(ISBLANK(F799),,SUBSTITUTE(IFERROR(JOIN("","",F799:K799),JOIN("","",F799:J799)),CHAR(10),""""))"),"")</f>
        <v/>
      </c>
      <c r="N799" s="229" t="str">
        <f t="shared" si="1"/>
        <v/>
      </c>
    </row>
    <row r="800">
      <c r="F800" s="237"/>
      <c r="G800" s="238" t="str">
        <f t="shared" si="3"/>
        <v/>
      </c>
      <c r="H800" s="238" t="str">
        <f t="shared" si="4"/>
        <v/>
      </c>
      <c r="I800" s="237" t="str">
        <f t="shared" ref="I800:J800" si="792">IF(ISBLANK(C800),,""""&amp;C800&amp;"""")</f>
        <v/>
      </c>
      <c r="J800" s="237" t="str">
        <f t="shared" si="792"/>
        <v/>
      </c>
      <c r="K800" s="237" t="str">
        <f>IF(ISBLANK(F800),,Config!$C$3&amp;"&amp;range=BB"&amp;MATCH(F800,FRG!AC:AC,0))</f>
        <v/>
      </c>
      <c r="M800" s="243" t="str">
        <f>IFERROR(__xludf.DUMMYFUNCTION("IF(ISBLANK(F800),,SUBSTITUTE(IFERROR(JOIN("","",F800:K800),JOIN("","",F800:J800)),CHAR(10),""""))"),"")</f>
        <v/>
      </c>
      <c r="N800" s="229" t="str">
        <f t="shared" si="1"/>
        <v/>
      </c>
    </row>
    <row r="801">
      <c r="F801" s="237"/>
      <c r="G801" s="238" t="str">
        <f t="shared" si="3"/>
        <v/>
      </c>
      <c r="H801" s="238" t="str">
        <f t="shared" si="4"/>
        <v/>
      </c>
      <c r="I801" s="237" t="str">
        <f t="shared" ref="I801:J801" si="793">IF(ISBLANK(C801),,""""&amp;C801&amp;"""")</f>
        <v/>
      </c>
      <c r="J801" s="237" t="str">
        <f t="shared" si="793"/>
        <v/>
      </c>
      <c r="K801" s="237" t="str">
        <f>IF(ISBLANK(F801),,Config!$C$3&amp;"&amp;range=BB"&amp;MATCH(F801,FRG!AC:AC,0))</f>
        <v/>
      </c>
      <c r="M801" s="243" t="str">
        <f>IFERROR(__xludf.DUMMYFUNCTION("IF(ISBLANK(F801),,SUBSTITUTE(IFERROR(JOIN("","",F801:K801),JOIN("","",F801:J801)),CHAR(10),""""))"),"")</f>
        <v/>
      </c>
      <c r="N801" s="229" t="str">
        <f t="shared" si="1"/>
        <v/>
      </c>
    </row>
    <row r="802">
      <c r="F802" s="237"/>
      <c r="G802" s="238" t="str">
        <f t="shared" si="3"/>
        <v/>
      </c>
      <c r="H802" s="238" t="str">
        <f t="shared" si="4"/>
        <v/>
      </c>
      <c r="I802" s="237" t="str">
        <f t="shared" ref="I802:J802" si="794">IF(ISBLANK(C802),,""""&amp;C802&amp;"""")</f>
        <v/>
      </c>
      <c r="J802" s="237" t="str">
        <f t="shared" si="794"/>
        <v/>
      </c>
      <c r="K802" s="237" t="str">
        <f>IF(ISBLANK(F802),,Config!$C$3&amp;"&amp;range=BB"&amp;MATCH(F802,FRG!AC:AC,0))</f>
        <v/>
      </c>
      <c r="M802" s="243" t="str">
        <f>IFERROR(__xludf.DUMMYFUNCTION("IF(ISBLANK(F802),,SUBSTITUTE(IFERROR(JOIN("","",F802:K802),JOIN("","",F802:J802)),CHAR(10),""""))"),"")</f>
        <v/>
      </c>
      <c r="N802" s="229" t="str">
        <f t="shared" si="1"/>
        <v/>
      </c>
    </row>
    <row r="803">
      <c r="F803" s="237"/>
      <c r="G803" s="238" t="str">
        <f t="shared" si="3"/>
        <v/>
      </c>
      <c r="H803" s="238" t="str">
        <f t="shared" si="4"/>
        <v/>
      </c>
      <c r="I803" s="237" t="str">
        <f t="shared" ref="I803:J803" si="795">IF(ISBLANK(C803),,""""&amp;C803&amp;"""")</f>
        <v/>
      </c>
      <c r="J803" s="237" t="str">
        <f t="shared" si="795"/>
        <v/>
      </c>
      <c r="K803" s="237" t="str">
        <f>IF(ISBLANK(F803),,Config!$C$3&amp;"&amp;range=BB"&amp;MATCH(F803,FRG!AC:AC,0))</f>
        <v/>
      </c>
      <c r="M803" s="243" t="str">
        <f>IFERROR(__xludf.DUMMYFUNCTION("IF(ISBLANK(F803),,SUBSTITUTE(IFERROR(JOIN("","",F803:K803),JOIN("","",F803:J803)),CHAR(10),""""))"),"")</f>
        <v/>
      </c>
      <c r="N803" s="229" t="str">
        <f t="shared" si="1"/>
        <v/>
      </c>
    </row>
    <row r="804">
      <c r="F804" s="237"/>
      <c r="G804" s="238" t="str">
        <f t="shared" si="3"/>
        <v/>
      </c>
      <c r="H804" s="238" t="str">
        <f t="shared" si="4"/>
        <v/>
      </c>
      <c r="I804" s="237" t="str">
        <f t="shared" ref="I804:J804" si="796">IF(ISBLANK(C804),,""""&amp;C804&amp;"""")</f>
        <v/>
      </c>
      <c r="J804" s="237" t="str">
        <f t="shared" si="796"/>
        <v/>
      </c>
      <c r="K804" s="237" t="str">
        <f>IF(ISBLANK(F804),,Config!$C$3&amp;"&amp;range=BB"&amp;MATCH(F804,FRG!AC:AC,0))</f>
        <v/>
      </c>
      <c r="M804" s="243" t="str">
        <f>IFERROR(__xludf.DUMMYFUNCTION("IF(ISBLANK(F804),,SUBSTITUTE(IFERROR(JOIN("","",F804:K804),JOIN("","",F804:J804)),CHAR(10),""""))"),"")</f>
        <v/>
      </c>
      <c r="N804" s="229" t="str">
        <f t="shared" si="1"/>
        <v/>
      </c>
    </row>
    <row r="805">
      <c r="F805" s="237"/>
      <c r="G805" s="238" t="str">
        <f t="shared" si="3"/>
        <v/>
      </c>
      <c r="H805" s="238" t="str">
        <f t="shared" si="4"/>
        <v/>
      </c>
      <c r="I805" s="237" t="str">
        <f t="shared" ref="I805:J805" si="797">IF(ISBLANK(C805),,""""&amp;C805&amp;"""")</f>
        <v/>
      </c>
      <c r="J805" s="237" t="str">
        <f t="shared" si="797"/>
        <v/>
      </c>
      <c r="K805" s="237" t="str">
        <f>IF(ISBLANK(F805),,Config!$C$3&amp;"&amp;range=BB"&amp;MATCH(F805,FRG!AC:AC,0))</f>
        <v/>
      </c>
      <c r="M805" s="243" t="str">
        <f>IFERROR(__xludf.DUMMYFUNCTION("IF(ISBLANK(F805),,SUBSTITUTE(IFERROR(JOIN("","",F805:K805),JOIN("","",F805:J805)),CHAR(10),""""))"),"")</f>
        <v/>
      </c>
      <c r="N805" s="229" t="str">
        <f t="shared" si="1"/>
        <v/>
      </c>
    </row>
    <row r="806">
      <c r="F806" s="237"/>
      <c r="G806" s="238" t="str">
        <f t="shared" si="3"/>
        <v/>
      </c>
      <c r="H806" s="238" t="str">
        <f t="shared" si="4"/>
        <v/>
      </c>
      <c r="I806" s="237" t="str">
        <f t="shared" ref="I806:J806" si="798">IF(ISBLANK(C806),,""""&amp;C806&amp;"""")</f>
        <v/>
      </c>
      <c r="J806" s="237" t="str">
        <f t="shared" si="798"/>
        <v/>
      </c>
      <c r="K806" s="237" t="str">
        <f>IF(ISBLANK(F806),,Config!$C$3&amp;"&amp;range=BB"&amp;MATCH(F806,FRG!AC:AC,0))</f>
        <v/>
      </c>
      <c r="M806" s="243" t="str">
        <f>IFERROR(__xludf.DUMMYFUNCTION("IF(ISBLANK(F806),,SUBSTITUTE(IFERROR(JOIN("","",F806:K806),JOIN("","",F806:J806)),CHAR(10),""""))"),"")</f>
        <v/>
      </c>
      <c r="N806" s="229" t="str">
        <f t="shared" si="1"/>
        <v/>
      </c>
    </row>
    <row r="807">
      <c r="F807" s="237"/>
      <c r="G807" s="238" t="str">
        <f t="shared" si="3"/>
        <v/>
      </c>
      <c r="H807" s="238" t="str">
        <f t="shared" si="4"/>
        <v/>
      </c>
      <c r="I807" s="237" t="str">
        <f t="shared" ref="I807:J807" si="799">IF(ISBLANK(C807),,""""&amp;C807&amp;"""")</f>
        <v/>
      </c>
      <c r="J807" s="237" t="str">
        <f t="shared" si="799"/>
        <v/>
      </c>
      <c r="K807" s="237" t="str">
        <f>IF(ISBLANK(F807),,Config!$C$3&amp;"&amp;range=BB"&amp;MATCH(F807,FRG!AC:AC,0))</f>
        <v/>
      </c>
      <c r="M807" s="243" t="str">
        <f>IFERROR(__xludf.DUMMYFUNCTION("IF(ISBLANK(F807),,SUBSTITUTE(IFERROR(JOIN("","",F807:K807),JOIN("","",F807:J807)),CHAR(10),""""))"),"")</f>
        <v/>
      </c>
      <c r="N807" s="229" t="str">
        <f t="shared" si="1"/>
        <v/>
      </c>
    </row>
    <row r="808">
      <c r="F808" s="237"/>
      <c r="G808" s="238" t="str">
        <f t="shared" si="3"/>
        <v/>
      </c>
      <c r="H808" s="238" t="str">
        <f t="shared" si="4"/>
        <v/>
      </c>
      <c r="I808" s="237" t="str">
        <f t="shared" ref="I808:J808" si="800">IF(ISBLANK(C808),,""""&amp;C808&amp;"""")</f>
        <v/>
      </c>
      <c r="J808" s="237" t="str">
        <f t="shared" si="800"/>
        <v/>
      </c>
      <c r="K808" s="237" t="str">
        <f>IF(ISBLANK(F808),,Config!$C$3&amp;"&amp;range=BB"&amp;MATCH(F808,FRG!AC:AC,0))</f>
        <v/>
      </c>
      <c r="M808" s="243" t="str">
        <f>IFERROR(__xludf.DUMMYFUNCTION("IF(ISBLANK(F808),,SUBSTITUTE(IFERROR(JOIN("","",F808:K808),JOIN("","",F808:J808)),CHAR(10),""""))"),"")</f>
        <v/>
      </c>
      <c r="N808" s="229" t="str">
        <f t="shared" si="1"/>
        <v/>
      </c>
    </row>
    <row r="809">
      <c r="F809" s="237"/>
      <c r="G809" s="238" t="str">
        <f t="shared" si="3"/>
        <v/>
      </c>
      <c r="H809" s="238" t="str">
        <f t="shared" si="4"/>
        <v/>
      </c>
      <c r="I809" s="237" t="str">
        <f t="shared" ref="I809:J809" si="801">IF(ISBLANK(C809),,""""&amp;C809&amp;"""")</f>
        <v/>
      </c>
      <c r="J809" s="237" t="str">
        <f t="shared" si="801"/>
        <v/>
      </c>
      <c r="K809" s="237" t="str">
        <f>IF(ISBLANK(F809),,Config!$C$3&amp;"&amp;range=BB"&amp;MATCH(F809,FRG!AC:AC,0))</f>
        <v/>
      </c>
      <c r="M809" s="243" t="str">
        <f>IFERROR(__xludf.DUMMYFUNCTION("IF(ISBLANK(F809),,SUBSTITUTE(IFERROR(JOIN("","",F809:K809),JOIN("","",F809:J809)),CHAR(10),""""))"),"")</f>
        <v/>
      </c>
      <c r="N809" s="229" t="str">
        <f t="shared" si="1"/>
        <v/>
      </c>
    </row>
    <row r="810">
      <c r="F810" s="237"/>
      <c r="G810" s="238" t="str">
        <f t="shared" si="3"/>
        <v/>
      </c>
      <c r="H810" s="238" t="str">
        <f t="shared" si="4"/>
        <v/>
      </c>
      <c r="I810" s="237" t="str">
        <f t="shared" ref="I810:J810" si="802">IF(ISBLANK(C810),,""""&amp;C810&amp;"""")</f>
        <v/>
      </c>
      <c r="J810" s="237" t="str">
        <f t="shared" si="802"/>
        <v/>
      </c>
      <c r="K810" s="237" t="str">
        <f>IF(ISBLANK(F810),,Config!$C$3&amp;"&amp;range=BB"&amp;MATCH(F810,FRG!AC:AC,0))</f>
        <v/>
      </c>
      <c r="M810" s="243" t="str">
        <f>IFERROR(__xludf.DUMMYFUNCTION("IF(ISBLANK(F810),,SUBSTITUTE(IFERROR(JOIN("","",F810:K810),JOIN("","",F810:J810)),CHAR(10),""""))"),"")</f>
        <v/>
      </c>
      <c r="N810" s="229" t="str">
        <f t="shared" si="1"/>
        <v/>
      </c>
    </row>
    <row r="811">
      <c r="F811" s="237"/>
      <c r="G811" s="238" t="str">
        <f t="shared" si="3"/>
        <v/>
      </c>
      <c r="H811" s="238" t="str">
        <f t="shared" si="4"/>
        <v/>
      </c>
      <c r="I811" s="237" t="str">
        <f t="shared" ref="I811:J811" si="803">IF(ISBLANK(C811),,""""&amp;C811&amp;"""")</f>
        <v/>
      </c>
      <c r="J811" s="237" t="str">
        <f t="shared" si="803"/>
        <v/>
      </c>
      <c r="K811" s="237" t="str">
        <f>IF(ISBLANK(F811),,Config!$C$3&amp;"&amp;range=BB"&amp;MATCH(F811,FRG!AC:AC,0))</f>
        <v/>
      </c>
      <c r="M811" s="243" t="str">
        <f>IFERROR(__xludf.DUMMYFUNCTION("IF(ISBLANK(F811),,SUBSTITUTE(IFERROR(JOIN("","",F811:K811),JOIN("","",F811:J811)),CHAR(10),""""))"),"")</f>
        <v/>
      </c>
      <c r="N811" s="229" t="str">
        <f t="shared" si="1"/>
        <v/>
      </c>
    </row>
    <row r="812">
      <c r="F812" s="237"/>
      <c r="G812" s="238" t="str">
        <f t="shared" si="3"/>
        <v/>
      </c>
      <c r="H812" s="238" t="str">
        <f t="shared" si="4"/>
        <v/>
      </c>
      <c r="I812" s="237" t="str">
        <f t="shared" ref="I812:J812" si="804">IF(ISBLANK(C812),,""""&amp;C812&amp;"""")</f>
        <v/>
      </c>
      <c r="J812" s="237" t="str">
        <f t="shared" si="804"/>
        <v/>
      </c>
      <c r="K812" s="237" t="str">
        <f>IF(ISBLANK(F812),,Config!$C$3&amp;"&amp;range=BB"&amp;MATCH(F812,FRG!AC:AC,0))</f>
        <v/>
      </c>
      <c r="M812" s="243" t="str">
        <f>IFERROR(__xludf.DUMMYFUNCTION("IF(ISBLANK(F812),,SUBSTITUTE(IFERROR(JOIN("","",F812:K812),JOIN("","",F812:J812)),CHAR(10),""""))"),"")</f>
        <v/>
      </c>
      <c r="N812" s="229" t="str">
        <f t="shared" si="1"/>
        <v/>
      </c>
    </row>
    <row r="813">
      <c r="F813" s="237"/>
      <c r="G813" s="238" t="str">
        <f t="shared" si="3"/>
        <v/>
      </c>
      <c r="H813" s="238" t="str">
        <f t="shared" si="4"/>
        <v/>
      </c>
      <c r="I813" s="237" t="str">
        <f t="shared" ref="I813:J813" si="805">IF(ISBLANK(C813),,""""&amp;C813&amp;"""")</f>
        <v/>
      </c>
      <c r="J813" s="237" t="str">
        <f t="shared" si="805"/>
        <v/>
      </c>
      <c r="K813" s="237" t="str">
        <f>IF(ISBLANK(F813),,Config!$C$3&amp;"&amp;range=BB"&amp;MATCH(F813,FRG!AC:AC,0))</f>
        <v/>
      </c>
      <c r="M813" s="243" t="str">
        <f>IFERROR(__xludf.DUMMYFUNCTION("IF(ISBLANK(F813),,SUBSTITUTE(IFERROR(JOIN("","",F813:K813),JOIN("","",F813:J813)),CHAR(10),""""))"),"")</f>
        <v/>
      </c>
      <c r="N813" s="229" t="str">
        <f t="shared" si="1"/>
        <v/>
      </c>
    </row>
    <row r="814">
      <c r="F814" s="237"/>
      <c r="G814" s="238" t="str">
        <f t="shared" si="3"/>
        <v/>
      </c>
      <c r="H814" s="238" t="str">
        <f t="shared" si="4"/>
        <v/>
      </c>
      <c r="I814" s="237" t="str">
        <f t="shared" ref="I814:J814" si="806">IF(ISBLANK(C814),,""""&amp;C814&amp;"""")</f>
        <v/>
      </c>
      <c r="J814" s="237" t="str">
        <f t="shared" si="806"/>
        <v/>
      </c>
      <c r="K814" s="237" t="str">
        <f>IF(ISBLANK(F814),,Config!$C$3&amp;"&amp;range=BB"&amp;MATCH(F814,FRG!AC:AC,0))</f>
        <v/>
      </c>
      <c r="M814" s="243" t="str">
        <f>IFERROR(__xludf.DUMMYFUNCTION("IF(ISBLANK(F814),,SUBSTITUTE(IFERROR(JOIN("","",F814:K814),JOIN("","",F814:J814)),CHAR(10),""""))"),"")</f>
        <v/>
      </c>
      <c r="N814" s="229" t="str">
        <f t="shared" si="1"/>
        <v/>
      </c>
    </row>
    <row r="815">
      <c r="F815" s="237"/>
      <c r="G815" s="238" t="str">
        <f t="shared" si="3"/>
        <v/>
      </c>
      <c r="H815" s="238" t="str">
        <f t="shared" si="4"/>
        <v/>
      </c>
      <c r="I815" s="237" t="str">
        <f t="shared" ref="I815:J815" si="807">IF(ISBLANK(C815),,""""&amp;C815&amp;"""")</f>
        <v/>
      </c>
      <c r="J815" s="237" t="str">
        <f t="shared" si="807"/>
        <v/>
      </c>
      <c r="K815" s="237" t="str">
        <f>IF(ISBLANK(F815),,Config!$C$3&amp;"&amp;range=BB"&amp;MATCH(F815,FRG!AC:AC,0))</f>
        <v/>
      </c>
      <c r="M815" s="243" t="str">
        <f>IFERROR(__xludf.DUMMYFUNCTION("IF(ISBLANK(F815),,SUBSTITUTE(IFERROR(JOIN("","",F815:K815),JOIN("","",F815:J815)),CHAR(10),""""))"),"")</f>
        <v/>
      </c>
      <c r="N815" s="229" t="str">
        <f t="shared" si="1"/>
        <v/>
      </c>
    </row>
    <row r="816">
      <c r="F816" s="237"/>
      <c r="G816" s="238" t="str">
        <f t="shared" si="3"/>
        <v/>
      </c>
      <c r="H816" s="238" t="str">
        <f t="shared" si="4"/>
        <v/>
      </c>
      <c r="I816" s="237" t="str">
        <f t="shared" ref="I816:J816" si="808">IF(ISBLANK(C816),,""""&amp;C816&amp;"""")</f>
        <v/>
      </c>
      <c r="J816" s="237" t="str">
        <f t="shared" si="808"/>
        <v/>
      </c>
      <c r="K816" s="237" t="str">
        <f>IF(ISBLANK(F816),,Config!$C$3&amp;"&amp;range=BB"&amp;MATCH(F816,FRG!AC:AC,0))</f>
        <v/>
      </c>
      <c r="M816" s="243" t="str">
        <f>IFERROR(__xludf.DUMMYFUNCTION("IF(ISBLANK(F816),,SUBSTITUTE(IFERROR(JOIN("","",F816:K816),JOIN("","",F816:J816)),CHAR(10),""""))"),"")</f>
        <v/>
      </c>
      <c r="N816" s="229" t="str">
        <f t="shared" si="1"/>
        <v/>
      </c>
    </row>
    <row r="817">
      <c r="F817" s="237"/>
      <c r="G817" s="238" t="str">
        <f t="shared" si="3"/>
        <v/>
      </c>
      <c r="H817" s="238" t="str">
        <f t="shared" si="4"/>
        <v/>
      </c>
      <c r="I817" s="237" t="str">
        <f t="shared" ref="I817:J817" si="809">IF(ISBLANK(C817),,""""&amp;C817&amp;"""")</f>
        <v/>
      </c>
      <c r="J817" s="237" t="str">
        <f t="shared" si="809"/>
        <v/>
      </c>
      <c r="K817" s="237" t="str">
        <f>IF(ISBLANK(F817),,Config!$C$3&amp;"&amp;range=BB"&amp;MATCH(F817,FRG!AC:AC,0))</f>
        <v/>
      </c>
      <c r="M817" s="243" t="str">
        <f>IFERROR(__xludf.DUMMYFUNCTION("IF(ISBLANK(F817),,SUBSTITUTE(IFERROR(JOIN("","",F817:K817),JOIN("","",F817:J817)),CHAR(10),""""))"),"")</f>
        <v/>
      </c>
      <c r="N817" s="229" t="str">
        <f t="shared" si="1"/>
        <v/>
      </c>
    </row>
    <row r="818">
      <c r="F818" s="237"/>
      <c r="G818" s="238" t="str">
        <f t="shared" si="3"/>
        <v/>
      </c>
      <c r="H818" s="238" t="str">
        <f t="shared" si="4"/>
        <v/>
      </c>
      <c r="I818" s="237" t="str">
        <f t="shared" ref="I818:J818" si="810">IF(ISBLANK(C818),,""""&amp;C818&amp;"""")</f>
        <v/>
      </c>
      <c r="J818" s="237" t="str">
        <f t="shared" si="810"/>
        <v/>
      </c>
      <c r="K818" s="237" t="str">
        <f>IF(ISBLANK(F818),,Config!$C$3&amp;"&amp;range=BB"&amp;MATCH(F818,FRG!AC:AC,0))</f>
        <v/>
      </c>
      <c r="M818" s="243" t="str">
        <f>IFERROR(__xludf.DUMMYFUNCTION("IF(ISBLANK(F818),,SUBSTITUTE(IFERROR(JOIN("","",F818:K818),JOIN("","",F818:J818)),CHAR(10),""""))"),"")</f>
        <v/>
      </c>
      <c r="N818" s="229" t="str">
        <f t="shared" si="1"/>
        <v/>
      </c>
    </row>
    <row r="819">
      <c r="F819" s="237"/>
      <c r="G819" s="238" t="str">
        <f t="shared" si="3"/>
        <v/>
      </c>
      <c r="H819" s="238" t="str">
        <f t="shared" si="4"/>
        <v/>
      </c>
      <c r="I819" s="237" t="str">
        <f t="shared" ref="I819:J819" si="811">IF(ISBLANK(C819),,""""&amp;C819&amp;"""")</f>
        <v/>
      </c>
      <c r="J819" s="237" t="str">
        <f t="shared" si="811"/>
        <v/>
      </c>
      <c r="K819" s="237" t="str">
        <f>IF(ISBLANK(F819),,Config!$C$3&amp;"&amp;range=BB"&amp;MATCH(F819,FRG!AC:AC,0))</f>
        <v/>
      </c>
      <c r="M819" s="243" t="str">
        <f>IFERROR(__xludf.DUMMYFUNCTION("IF(ISBLANK(F819),,SUBSTITUTE(IFERROR(JOIN("","",F819:K819),JOIN("","",F819:J819)),CHAR(10),""""))"),"")</f>
        <v/>
      </c>
      <c r="N819" s="229" t="str">
        <f t="shared" si="1"/>
        <v/>
      </c>
    </row>
    <row r="820">
      <c r="F820" s="237"/>
      <c r="G820" s="238" t="str">
        <f t="shared" si="3"/>
        <v/>
      </c>
      <c r="H820" s="238" t="str">
        <f t="shared" si="4"/>
        <v/>
      </c>
      <c r="I820" s="237" t="str">
        <f t="shared" ref="I820:J820" si="812">IF(ISBLANK(C820),,""""&amp;C820&amp;"""")</f>
        <v/>
      </c>
      <c r="J820" s="237" t="str">
        <f t="shared" si="812"/>
        <v/>
      </c>
      <c r="K820" s="237" t="str">
        <f>IF(ISBLANK(F820),,Config!$C$3&amp;"&amp;range=BB"&amp;MATCH(F820,FRG!AC:AC,0))</f>
        <v/>
      </c>
      <c r="M820" s="243" t="str">
        <f>IFERROR(__xludf.DUMMYFUNCTION("IF(ISBLANK(F820),,SUBSTITUTE(IFERROR(JOIN("","",F820:K820),JOIN("","",F820:J820)),CHAR(10),""""))"),"")</f>
        <v/>
      </c>
      <c r="N820" s="229" t="str">
        <f t="shared" si="1"/>
        <v/>
      </c>
    </row>
    <row r="821">
      <c r="F821" s="237"/>
      <c r="G821" s="238" t="str">
        <f t="shared" si="3"/>
        <v/>
      </c>
      <c r="H821" s="238" t="str">
        <f t="shared" si="4"/>
        <v/>
      </c>
      <c r="I821" s="237" t="str">
        <f t="shared" ref="I821:J821" si="813">IF(ISBLANK(C821),,""""&amp;C821&amp;"""")</f>
        <v/>
      </c>
      <c r="J821" s="237" t="str">
        <f t="shared" si="813"/>
        <v/>
      </c>
      <c r="K821" s="237" t="str">
        <f>IF(ISBLANK(F821),,Config!$C$3&amp;"&amp;range=BB"&amp;MATCH(F821,FRG!AC:AC,0))</f>
        <v/>
      </c>
      <c r="M821" s="243" t="str">
        <f>IFERROR(__xludf.DUMMYFUNCTION("IF(ISBLANK(F821),,SUBSTITUTE(IFERROR(JOIN("","",F821:K821),JOIN("","",F821:J821)),CHAR(10),""""))"),"")</f>
        <v/>
      </c>
      <c r="N821" s="229" t="str">
        <f t="shared" si="1"/>
        <v/>
      </c>
    </row>
    <row r="822">
      <c r="F822" s="237"/>
      <c r="G822" s="238" t="str">
        <f t="shared" si="3"/>
        <v/>
      </c>
      <c r="H822" s="238" t="str">
        <f t="shared" si="4"/>
        <v/>
      </c>
      <c r="I822" s="237" t="str">
        <f t="shared" ref="I822:J822" si="814">IF(ISBLANK(C822),,""""&amp;C822&amp;"""")</f>
        <v/>
      </c>
      <c r="J822" s="237" t="str">
        <f t="shared" si="814"/>
        <v/>
      </c>
      <c r="K822" s="237" t="str">
        <f>IF(ISBLANK(F822),,Config!$C$3&amp;"&amp;range=BB"&amp;MATCH(F822,FRG!AC:AC,0))</f>
        <v/>
      </c>
      <c r="M822" s="243" t="str">
        <f>IFERROR(__xludf.DUMMYFUNCTION("IF(ISBLANK(F822),,SUBSTITUTE(IFERROR(JOIN("","",F822:K822),JOIN("","",F822:J822)),CHAR(10),""""))"),"")</f>
        <v/>
      </c>
      <c r="N822" s="229" t="str">
        <f t="shared" si="1"/>
        <v/>
      </c>
    </row>
    <row r="823">
      <c r="F823" s="237"/>
      <c r="G823" s="238" t="str">
        <f t="shared" si="3"/>
        <v/>
      </c>
      <c r="H823" s="238" t="str">
        <f t="shared" si="4"/>
        <v/>
      </c>
      <c r="I823" s="237" t="str">
        <f t="shared" ref="I823:J823" si="815">IF(ISBLANK(C823),,""""&amp;C823&amp;"""")</f>
        <v/>
      </c>
      <c r="J823" s="237" t="str">
        <f t="shared" si="815"/>
        <v/>
      </c>
      <c r="K823" s="237" t="str">
        <f>IF(ISBLANK(F823),,Config!$C$3&amp;"&amp;range=BB"&amp;MATCH(F823,FRG!AC:AC,0))</f>
        <v/>
      </c>
      <c r="M823" s="243" t="str">
        <f>IFERROR(__xludf.DUMMYFUNCTION("IF(ISBLANK(F823),,SUBSTITUTE(IFERROR(JOIN("","",F823:K823),JOIN("","",F823:J823)),CHAR(10),""""))"),"")</f>
        <v/>
      </c>
      <c r="N823" s="229" t="str">
        <f t="shared" si="1"/>
        <v/>
      </c>
    </row>
    <row r="824">
      <c r="F824" s="237"/>
      <c r="G824" s="238" t="str">
        <f t="shared" si="3"/>
        <v/>
      </c>
      <c r="H824" s="238" t="str">
        <f t="shared" si="4"/>
        <v/>
      </c>
      <c r="I824" s="237" t="str">
        <f t="shared" ref="I824:J824" si="816">IF(ISBLANK(C824),,""""&amp;C824&amp;"""")</f>
        <v/>
      </c>
      <c r="J824" s="237" t="str">
        <f t="shared" si="816"/>
        <v/>
      </c>
      <c r="K824" s="237" t="str">
        <f>IF(ISBLANK(F824),,Config!$C$3&amp;"&amp;range=BB"&amp;MATCH(F824,FRG!AC:AC,0))</f>
        <v/>
      </c>
      <c r="M824" s="243" t="str">
        <f>IFERROR(__xludf.DUMMYFUNCTION("IF(ISBLANK(F824),,SUBSTITUTE(IFERROR(JOIN("","",F824:K824),JOIN("","",F824:J824)),CHAR(10),""""))"),"")</f>
        <v/>
      </c>
      <c r="N824" s="229" t="str">
        <f t="shared" si="1"/>
        <v/>
      </c>
    </row>
    <row r="825">
      <c r="F825" s="237"/>
      <c r="G825" s="238" t="str">
        <f t="shared" si="3"/>
        <v/>
      </c>
      <c r="H825" s="238" t="str">
        <f t="shared" si="4"/>
        <v/>
      </c>
      <c r="I825" s="237" t="str">
        <f t="shared" ref="I825:J825" si="817">IF(ISBLANK(C825),,""""&amp;C825&amp;"""")</f>
        <v/>
      </c>
      <c r="J825" s="237" t="str">
        <f t="shared" si="817"/>
        <v/>
      </c>
      <c r="K825" s="237" t="str">
        <f>IF(ISBLANK(F825),,Config!$C$3&amp;"&amp;range=BB"&amp;MATCH(F825,FRG!AC:AC,0))</f>
        <v/>
      </c>
      <c r="M825" s="243" t="str">
        <f>IFERROR(__xludf.DUMMYFUNCTION("IF(ISBLANK(F825),,SUBSTITUTE(IFERROR(JOIN("","",F825:K825),JOIN("","",F825:J825)),CHAR(10),""""))"),"")</f>
        <v/>
      </c>
      <c r="N825" s="229" t="str">
        <f t="shared" si="1"/>
        <v/>
      </c>
    </row>
    <row r="826">
      <c r="F826" s="237"/>
      <c r="G826" s="238" t="str">
        <f t="shared" si="3"/>
        <v/>
      </c>
      <c r="H826" s="238" t="str">
        <f t="shared" si="4"/>
        <v/>
      </c>
      <c r="I826" s="237" t="str">
        <f t="shared" ref="I826:J826" si="818">IF(ISBLANK(C826),,""""&amp;C826&amp;"""")</f>
        <v/>
      </c>
      <c r="J826" s="237" t="str">
        <f t="shared" si="818"/>
        <v/>
      </c>
      <c r="K826" s="237" t="str">
        <f>IF(ISBLANK(F826),,Config!$C$3&amp;"&amp;range=BB"&amp;MATCH(F826,FRG!AC:AC,0))</f>
        <v/>
      </c>
      <c r="M826" s="243" t="str">
        <f>IFERROR(__xludf.DUMMYFUNCTION("IF(ISBLANK(F826),,SUBSTITUTE(IFERROR(JOIN("","",F826:K826),JOIN("","",F826:J826)),CHAR(10),""""))"),"")</f>
        <v/>
      </c>
      <c r="N826" s="229" t="str">
        <f t="shared" si="1"/>
        <v/>
      </c>
    </row>
    <row r="827">
      <c r="F827" s="237"/>
      <c r="G827" s="238" t="str">
        <f t="shared" si="3"/>
        <v/>
      </c>
      <c r="H827" s="238" t="str">
        <f t="shared" si="4"/>
        <v/>
      </c>
      <c r="I827" s="237" t="str">
        <f t="shared" ref="I827:J827" si="819">IF(ISBLANK(C827),,""""&amp;C827&amp;"""")</f>
        <v/>
      </c>
      <c r="J827" s="237" t="str">
        <f t="shared" si="819"/>
        <v/>
      </c>
      <c r="K827" s="237" t="str">
        <f>IF(ISBLANK(F827),,Config!$C$3&amp;"&amp;range=BB"&amp;MATCH(F827,FRG!AC:AC,0))</f>
        <v/>
      </c>
      <c r="M827" s="243" t="str">
        <f>IFERROR(__xludf.DUMMYFUNCTION("IF(ISBLANK(F827),,SUBSTITUTE(IFERROR(JOIN("","",F827:K827),JOIN("","",F827:J827)),CHAR(10),""""))"),"")</f>
        <v/>
      </c>
      <c r="N827" s="229" t="str">
        <f t="shared" si="1"/>
        <v/>
      </c>
    </row>
    <row r="828">
      <c r="F828" s="237"/>
      <c r="G828" s="238" t="str">
        <f t="shared" si="3"/>
        <v/>
      </c>
      <c r="H828" s="238" t="str">
        <f t="shared" si="4"/>
        <v/>
      </c>
      <c r="I828" s="237" t="str">
        <f t="shared" ref="I828:J828" si="820">IF(ISBLANK(C828),,""""&amp;C828&amp;"""")</f>
        <v/>
      </c>
      <c r="J828" s="237" t="str">
        <f t="shared" si="820"/>
        <v/>
      </c>
      <c r="K828" s="237" t="str">
        <f>IF(ISBLANK(F828),,Config!$C$3&amp;"&amp;range=BB"&amp;MATCH(F828,FRG!AC:AC,0))</f>
        <v/>
      </c>
      <c r="M828" s="243" t="str">
        <f>IFERROR(__xludf.DUMMYFUNCTION("IF(ISBLANK(F828),,SUBSTITUTE(IFERROR(JOIN("","",F828:K828),JOIN("","",F828:J828)),CHAR(10),""""))"),"")</f>
        <v/>
      </c>
      <c r="N828" s="229" t="str">
        <f t="shared" si="1"/>
        <v/>
      </c>
    </row>
    <row r="829">
      <c r="F829" s="237"/>
      <c r="G829" s="238" t="str">
        <f t="shared" si="3"/>
        <v/>
      </c>
      <c r="H829" s="238" t="str">
        <f t="shared" si="4"/>
        <v/>
      </c>
      <c r="I829" s="237" t="str">
        <f t="shared" ref="I829:J829" si="821">IF(ISBLANK(C829),,""""&amp;C829&amp;"""")</f>
        <v/>
      </c>
      <c r="J829" s="237" t="str">
        <f t="shared" si="821"/>
        <v/>
      </c>
      <c r="K829" s="237" t="str">
        <f>IF(ISBLANK(F829),,Config!$C$3&amp;"&amp;range=BB"&amp;MATCH(F829,FRG!AC:AC,0))</f>
        <v/>
      </c>
      <c r="M829" s="243" t="str">
        <f>IFERROR(__xludf.DUMMYFUNCTION("IF(ISBLANK(F829),,SUBSTITUTE(IFERROR(JOIN("","",F829:K829),JOIN("","",F829:J829)),CHAR(10),""""))"),"")</f>
        <v/>
      </c>
      <c r="N829" s="229" t="str">
        <f t="shared" si="1"/>
        <v/>
      </c>
    </row>
    <row r="830">
      <c r="F830" s="237"/>
      <c r="G830" s="238" t="str">
        <f t="shared" si="3"/>
        <v/>
      </c>
      <c r="H830" s="238" t="str">
        <f t="shared" si="4"/>
        <v/>
      </c>
      <c r="I830" s="237" t="str">
        <f t="shared" ref="I830:J830" si="822">IF(ISBLANK(C830),,""""&amp;C830&amp;"""")</f>
        <v/>
      </c>
      <c r="J830" s="237" t="str">
        <f t="shared" si="822"/>
        <v/>
      </c>
      <c r="K830" s="237" t="str">
        <f>IF(ISBLANK(F830),,Config!$C$3&amp;"&amp;range=BB"&amp;MATCH(F830,FRG!AC:AC,0))</f>
        <v/>
      </c>
      <c r="M830" s="243" t="str">
        <f>IFERROR(__xludf.DUMMYFUNCTION("IF(ISBLANK(F830),,SUBSTITUTE(IFERROR(JOIN("","",F830:K830),JOIN("","",F830:J830)),CHAR(10),""""))"),"")</f>
        <v/>
      </c>
      <c r="N830" s="229" t="str">
        <f t="shared" si="1"/>
        <v/>
      </c>
    </row>
    <row r="831">
      <c r="F831" s="237"/>
      <c r="G831" s="238" t="str">
        <f t="shared" si="3"/>
        <v/>
      </c>
      <c r="H831" s="238" t="str">
        <f t="shared" si="4"/>
        <v/>
      </c>
      <c r="I831" s="237" t="str">
        <f t="shared" ref="I831:J831" si="823">IF(ISBLANK(C831),,""""&amp;C831&amp;"""")</f>
        <v/>
      </c>
      <c r="J831" s="237" t="str">
        <f t="shared" si="823"/>
        <v/>
      </c>
      <c r="K831" s="237" t="str">
        <f>IF(ISBLANK(F831),,Config!$C$3&amp;"&amp;range=BB"&amp;MATCH(F831,FRG!AC:AC,0))</f>
        <v/>
      </c>
      <c r="M831" s="243" t="str">
        <f>IFERROR(__xludf.DUMMYFUNCTION("IF(ISBLANK(F831),,SUBSTITUTE(IFERROR(JOIN("","",F831:K831),JOIN("","",F831:J831)),CHAR(10),""""))"),"")</f>
        <v/>
      </c>
      <c r="N831" s="229" t="str">
        <f t="shared" si="1"/>
        <v/>
      </c>
    </row>
    <row r="832">
      <c r="F832" s="237"/>
      <c r="G832" s="238" t="str">
        <f t="shared" si="3"/>
        <v/>
      </c>
      <c r="H832" s="238" t="str">
        <f t="shared" si="4"/>
        <v/>
      </c>
      <c r="I832" s="237" t="str">
        <f t="shared" ref="I832:J832" si="824">IF(ISBLANK(C832),,""""&amp;C832&amp;"""")</f>
        <v/>
      </c>
      <c r="J832" s="237" t="str">
        <f t="shared" si="824"/>
        <v/>
      </c>
      <c r="K832" s="237" t="str">
        <f>IF(ISBLANK(F832),,Config!$C$3&amp;"&amp;range=BB"&amp;MATCH(F832,FRG!AC:AC,0))</f>
        <v/>
      </c>
      <c r="M832" s="243" t="str">
        <f>IFERROR(__xludf.DUMMYFUNCTION("IF(ISBLANK(F832),,SUBSTITUTE(IFERROR(JOIN("","",F832:K832),JOIN("","",F832:J832)),CHAR(10),""""))"),"")</f>
        <v/>
      </c>
      <c r="N832" s="229" t="str">
        <f t="shared" si="1"/>
        <v/>
      </c>
    </row>
    <row r="833">
      <c r="F833" s="237"/>
      <c r="G833" s="238" t="str">
        <f t="shared" si="3"/>
        <v/>
      </c>
      <c r="H833" s="238" t="str">
        <f t="shared" si="4"/>
        <v/>
      </c>
      <c r="I833" s="237" t="str">
        <f t="shared" ref="I833:J833" si="825">IF(ISBLANK(C833),,""""&amp;C833&amp;"""")</f>
        <v/>
      </c>
      <c r="J833" s="237" t="str">
        <f t="shared" si="825"/>
        <v/>
      </c>
      <c r="K833" s="237" t="str">
        <f>IF(ISBLANK(F833),,Config!$C$3&amp;"&amp;range=BB"&amp;MATCH(F833,FRG!AC:AC,0))</f>
        <v/>
      </c>
      <c r="M833" s="243" t="str">
        <f>IFERROR(__xludf.DUMMYFUNCTION("IF(ISBLANK(F833),,SUBSTITUTE(IFERROR(JOIN("","",F833:K833),JOIN("","",F833:J833)),CHAR(10),""""))"),"")</f>
        <v/>
      </c>
      <c r="N833" s="229" t="str">
        <f t="shared" si="1"/>
        <v/>
      </c>
    </row>
    <row r="834">
      <c r="F834" s="237"/>
      <c r="G834" s="238" t="str">
        <f t="shared" si="3"/>
        <v/>
      </c>
      <c r="H834" s="238" t="str">
        <f t="shared" si="4"/>
        <v/>
      </c>
      <c r="I834" s="237" t="str">
        <f t="shared" ref="I834:J834" si="826">IF(ISBLANK(C834),,""""&amp;C834&amp;"""")</f>
        <v/>
      </c>
      <c r="J834" s="237" t="str">
        <f t="shared" si="826"/>
        <v/>
      </c>
      <c r="K834" s="237" t="str">
        <f>IF(ISBLANK(F834),,Config!$C$3&amp;"&amp;range=BB"&amp;MATCH(F834,FRG!AC:AC,0))</f>
        <v/>
      </c>
      <c r="M834" s="243" t="str">
        <f>IFERROR(__xludf.DUMMYFUNCTION("IF(ISBLANK(F834),,SUBSTITUTE(IFERROR(JOIN("","",F834:K834),JOIN("","",F834:J834)),CHAR(10),""""))"),"")</f>
        <v/>
      </c>
      <c r="N834" s="229" t="str">
        <f t="shared" si="1"/>
        <v/>
      </c>
    </row>
    <row r="835">
      <c r="F835" s="237"/>
      <c r="G835" s="238" t="str">
        <f t="shared" si="3"/>
        <v/>
      </c>
      <c r="H835" s="238" t="str">
        <f t="shared" si="4"/>
        <v/>
      </c>
      <c r="I835" s="237" t="str">
        <f t="shared" ref="I835:J835" si="827">IF(ISBLANK(C835),,""""&amp;C835&amp;"""")</f>
        <v/>
      </c>
      <c r="J835" s="237" t="str">
        <f t="shared" si="827"/>
        <v/>
      </c>
      <c r="K835" s="237" t="str">
        <f>IF(ISBLANK(F835),,Config!$C$3&amp;"&amp;range=BB"&amp;MATCH(F835,FRG!AC:AC,0))</f>
        <v/>
      </c>
      <c r="M835" s="243" t="str">
        <f>IFERROR(__xludf.DUMMYFUNCTION("IF(ISBLANK(F835),,SUBSTITUTE(IFERROR(JOIN("","",F835:K835),JOIN("","",F835:J835)),CHAR(10),""""))"),"")</f>
        <v/>
      </c>
      <c r="N835" s="229" t="str">
        <f t="shared" si="1"/>
        <v/>
      </c>
    </row>
    <row r="836">
      <c r="F836" s="237"/>
      <c r="G836" s="238" t="str">
        <f t="shared" si="3"/>
        <v/>
      </c>
      <c r="H836" s="238" t="str">
        <f t="shared" si="4"/>
        <v/>
      </c>
      <c r="I836" s="237" t="str">
        <f t="shared" ref="I836:J836" si="828">IF(ISBLANK(C836),,""""&amp;C836&amp;"""")</f>
        <v/>
      </c>
      <c r="J836" s="237" t="str">
        <f t="shared" si="828"/>
        <v/>
      </c>
      <c r="K836" s="237" t="str">
        <f>IF(ISBLANK(F836),,Config!$C$3&amp;"&amp;range=BB"&amp;MATCH(F836,FRG!AC:AC,0))</f>
        <v/>
      </c>
      <c r="M836" s="243" t="str">
        <f>IFERROR(__xludf.DUMMYFUNCTION("IF(ISBLANK(F836),,SUBSTITUTE(IFERROR(JOIN("","",F836:K836),JOIN("","",F836:J836)),CHAR(10),""""))"),"")</f>
        <v/>
      </c>
      <c r="N836" s="229" t="str">
        <f t="shared" si="1"/>
        <v/>
      </c>
    </row>
    <row r="837">
      <c r="F837" s="237"/>
      <c r="G837" s="238" t="str">
        <f t="shared" si="3"/>
        <v/>
      </c>
      <c r="H837" s="238" t="str">
        <f t="shared" si="4"/>
        <v/>
      </c>
      <c r="I837" s="237" t="str">
        <f t="shared" ref="I837:J837" si="829">IF(ISBLANK(C837),,""""&amp;C837&amp;"""")</f>
        <v/>
      </c>
      <c r="J837" s="237" t="str">
        <f t="shared" si="829"/>
        <v/>
      </c>
      <c r="K837" s="237" t="str">
        <f>IF(ISBLANK(F837),,Config!$C$3&amp;"&amp;range=BB"&amp;MATCH(F837,FRG!AC:AC,0))</f>
        <v/>
      </c>
      <c r="M837" s="243" t="str">
        <f>IFERROR(__xludf.DUMMYFUNCTION("IF(ISBLANK(F837),,SUBSTITUTE(IFERROR(JOIN("","",F837:K837),JOIN("","",F837:J837)),CHAR(10),""""))"),"")</f>
        <v/>
      </c>
      <c r="N837" s="229" t="str">
        <f t="shared" si="1"/>
        <v/>
      </c>
    </row>
    <row r="838">
      <c r="F838" s="237"/>
      <c r="G838" s="238" t="str">
        <f t="shared" si="3"/>
        <v/>
      </c>
      <c r="H838" s="238" t="str">
        <f t="shared" si="4"/>
        <v/>
      </c>
      <c r="I838" s="237" t="str">
        <f t="shared" ref="I838:J838" si="830">IF(ISBLANK(C838),,""""&amp;C838&amp;"""")</f>
        <v/>
      </c>
      <c r="J838" s="237" t="str">
        <f t="shared" si="830"/>
        <v/>
      </c>
      <c r="K838" s="237" t="str">
        <f>IF(ISBLANK(F838),,Config!$C$3&amp;"&amp;range=BB"&amp;MATCH(F838,FRG!AC:AC,0))</f>
        <v/>
      </c>
      <c r="M838" s="243" t="str">
        <f>IFERROR(__xludf.DUMMYFUNCTION("IF(ISBLANK(F838),,SUBSTITUTE(IFERROR(JOIN("","",F838:K838),JOIN("","",F838:J838)),CHAR(10),""""))"),"")</f>
        <v/>
      </c>
      <c r="N838" s="229" t="str">
        <f t="shared" si="1"/>
        <v/>
      </c>
    </row>
    <row r="839">
      <c r="F839" s="237"/>
      <c r="G839" s="238" t="str">
        <f t="shared" si="3"/>
        <v/>
      </c>
      <c r="H839" s="238" t="str">
        <f t="shared" si="4"/>
        <v/>
      </c>
      <c r="I839" s="237" t="str">
        <f t="shared" ref="I839:J839" si="831">IF(ISBLANK(C839),,""""&amp;C839&amp;"""")</f>
        <v/>
      </c>
      <c r="J839" s="237" t="str">
        <f t="shared" si="831"/>
        <v/>
      </c>
      <c r="K839" s="237" t="str">
        <f>IF(ISBLANK(F839),,Config!$C$3&amp;"&amp;range=BB"&amp;MATCH(F839,FRG!AC:AC,0))</f>
        <v/>
      </c>
      <c r="M839" s="243" t="str">
        <f>IFERROR(__xludf.DUMMYFUNCTION("IF(ISBLANK(F839),,SUBSTITUTE(IFERROR(JOIN("","",F839:K839),JOIN("","",F839:J839)),CHAR(10),""""))"),"")</f>
        <v/>
      </c>
      <c r="N839" s="229" t="str">
        <f t="shared" si="1"/>
        <v/>
      </c>
    </row>
    <row r="840">
      <c r="F840" s="237"/>
      <c r="G840" s="238" t="str">
        <f t="shared" si="3"/>
        <v/>
      </c>
      <c r="H840" s="238" t="str">
        <f t="shared" si="4"/>
        <v/>
      </c>
      <c r="I840" s="237" t="str">
        <f t="shared" ref="I840:J840" si="832">IF(ISBLANK(C840),,""""&amp;C840&amp;"""")</f>
        <v/>
      </c>
      <c r="J840" s="237" t="str">
        <f t="shared" si="832"/>
        <v/>
      </c>
      <c r="K840" s="237" t="str">
        <f>IF(ISBLANK(F840),,Config!$C$3&amp;"&amp;range=BB"&amp;MATCH(F840,FRG!AC:AC,0))</f>
        <v/>
      </c>
      <c r="M840" s="243" t="str">
        <f>IFERROR(__xludf.DUMMYFUNCTION("IF(ISBLANK(F840),,SUBSTITUTE(IFERROR(JOIN("","",F840:K840),JOIN("","",F840:J840)),CHAR(10),""""))"),"")</f>
        <v/>
      </c>
      <c r="N840" s="229" t="str">
        <f t="shared" si="1"/>
        <v/>
      </c>
    </row>
    <row r="841">
      <c r="F841" s="237"/>
      <c r="G841" s="238" t="str">
        <f t="shared" si="3"/>
        <v/>
      </c>
      <c r="H841" s="238" t="str">
        <f t="shared" si="4"/>
        <v/>
      </c>
      <c r="I841" s="237" t="str">
        <f t="shared" ref="I841:J841" si="833">IF(ISBLANK(C841),,""""&amp;C841&amp;"""")</f>
        <v/>
      </c>
      <c r="J841" s="237" t="str">
        <f t="shared" si="833"/>
        <v/>
      </c>
      <c r="K841" s="237" t="str">
        <f>IF(ISBLANK(F841),,Config!$C$3&amp;"&amp;range=BB"&amp;MATCH(F841,FRG!AC:AC,0))</f>
        <v/>
      </c>
      <c r="M841" s="243" t="str">
        <f>IFERROR(__xludf.DUMMYFUNCTION("IF(ISBLANK(F841),,SUBSTITUTE(IFERROR(JOIN("","",F841:K841),JOIN("","",F841:J841)),CHAR(10),""""))"),"")</f>
        <v/>
      </c>
      <c r="N841" s="229" t="str">
        <f t="shared" si="1"/>
        <v/>
      </c>
    </row>
    <row r="842">
      <c r="F842" s="237"/>
      <c r="G842" s="238" t="str">
        <f t="shared" si="3"/>
        <v/>
      </c>
      <c r="H842" s="238" t="str">
        <f t="shared" si="4"/>
        <v/>
      </c>
      <c r="I842" s="237" t="str">
        <f t="shared" ref="I842:J842" si="834">IF(ISBLANK(C842),,""""&amp;C842&amp;"""")</f>
        <v/>
      </c>
      <c r="J842" s="237" t="str">
        <f t="shared" si="834"/>
        <v/>
      </c>
      <c r="K842" s="237" t="str">
        <f>IF(ISBLANK(F842),,Config!$C$3&amp;"&amp;range=BB"&amp;MATCH(F842,FRG!AC:AC,0))</f>
        <v/>
      </c>
      <c r="M842" s="243" t="str">
        <f>IFERROR(__xludf.DUMMYFUNCTION("IF(ISBLANK(F842),,SUBSTITUTE(IFERROR(JOIN("","",F842:K842),JOIN("","",F842:J842)),CHAR(10),""""))"),"")</f>
        <v/>
      </c>
      <c r="N842" s="229" t="str">
        <f t="shared" si="1"/>
        <v/>
      </c>
    </row>
    <row r="843">
      <c r="F843" s="237"/>
      <c r="G843" s="238" t="str">
        <f t="shared" si="3"/>
        <v/>
      </c>
      <c r="H843" s="238" t="str">
        <f t="shared" si="4"/>
        <v/>
      </c>
      <c r="I843" s="237" t="str">
        <f t="shared" ref="I843:J843" si="835">IF(ISBLANK(C843),,""""&amp;C843&amp;"""")</f>
        <v/>
      </c>
      <c r="J843" s="237" t="str">
        <f t="shared" si="835"/>
        <v/>
      </c>
      <c r="K843" s="237" t="str">
        <f>IF(ISBLANK(F843),,Config!$C$3&amp;"&amp;range=BB"&amp;MATCH(F843,FRG!AC:AC,0))</f>
        <v/>
      </c>
      <c r="M843" s="243" t="str">
        <f>IFERROR(__xludf.DUMMYFUNCTION("IF(ISBLANK(F843),,SUBSTITUTE(IFERROR(JOIN("","",F843:K843),JOIN("","",F843:J843)),CHAR(10),""""))"),"")</f>
        <v/>
      </c>
      <c r="N843" s="229" t="str">
        <f t="shared" si="1"/>
        <v/>
      </c>
    </row>
    <row r="844">
      <c r="F844" s="237"/>
      <c r="G844" s="238" t="str">
        <f t="shared" si="3"/>
        <v/>
      </c>
      <c r="H844" s="238" t="str">
        <f t="shared" si="4"/>
        <v/>
      </c>
      <c r="I844" s="237" t="str">
        <f t="shared" ref="I844:J844" si="836">IF(ISBLANK(C844),,""""&amp;C844&amp;"""")</f>
        <v/>
      </c>
      <c r="J844" s="237" t="str">
        <f t="shared" si="836"/>
        <v/>
      </c>
      <c r="K844" s="237" t="str">
        <f>IF(ISBLANK(F844),,Config!$C$3&amp;"&amp;range=BB"&amp;MATCH(F844,FRG!AC:AC,0))</f>
        <v/>
      </c>
      <c r="M844" s="243" t="str">
        <f>IFERROR(__xludf.DUMMYFUNCTION("IF(ISBLANK(F844),,SUBSTITUTE(IFERROR(JOIN("","",F844:K844),JOIN("","",F844:J844)),CHAR(10),""""))"),"")</f>
        <v/>
      </c>
      <c r="N844" s="229" t="str">
        <f t="shared" si="1"/>
        <v/>
      </c>
    </row>
    <row r="845">
      <c r="F845" s="237"/>
      <c r="G845" s="238" t="str">
        <f t="shared" si="3"/>
        <v/>
      </c>
      <c r="H845" s="238" t="str">
        <f t="shared" si="4"/>
        <v/>
      </c>
      <c r="I845" s="237" t="str">
        <f t="shared" ref="I845:J845" si="837">IF(ISBLANK(C845),,""""&amp;C845&amp;"""")</f>
        <v/>
      </c>
      <c r="J845" s="237" t="str">
        <f t="shared" si="837"/>
        <v/>
      </c>
      <c r="K845" s="237" t="str">
        <f>IF(ISBLANK(F845),,Config!$C$3&amp;"&amp;range=BB"&amp;MATCH(F845,FRG!AC:AC,0))</f>
        <v/>
      </c>
      <c r="M845" s="243" t="str">
        <f>IFERROR(__xludf.DUMMYFUNCTION("IF(ISBLANK(F845),,SUBSTITUTE(IFERROR(JOIN("","",F845:K845),JOIN("","",F845:J845)),CHAR(10),""""))"),"")</f>
        <v/>
      </c>
      <c r="N845" s="229" t="str">
        <f t="shared" si="1"/>
        <v/>
      </c>
    </row>
    <row r="846">
      <c r="F846" s="237"/>
      <c r="G846" s="238" t="str">
        <f t="shared" si="3"/>
        <v/>
      </c>
      <c r="H846" s="238" t="str">
        <f t="shared" si="4"/>
        <v/>
      </c>
      <c r="I846" s="237" t="str">
        <f t="shared" ref="I846:J846" si="838">IF(ISBLANK(C846),,""""&amp;C846&amp;"""")</f>
        <v/>
      </c>
      <c r="J846" s="237" t="str">
        <f t="shared" si="838"/>
        <v/>
      </c>
      <c r="K846" s="237" t="str">
        <f>IF(ISBLANK(F846),,Config!$C$3&amp;"&amp;range=BB"&amp;MATCH(F846,FRG!AC:AC,0))</f>
        <v/>
      </c>
      <c r="M846" s="243" t="str">
        <f>IFERROR(__xludf.DUMMYFUNCTION("IF(ISBLANK(F846),,SUBSTITUTE(IFERROR(JOIN("","",F846:K846),JOIN("","",F846:J846)),CHAR(10),""""))"),"")</f>
        <v/>
      </c>
      <c r="N846" s="229" t="str">
        <f t="shared" si="1"/>
        <v/>
      </c>
    </row>
    <row r="847">
      <c r="F847" s="237"/>
      <c r="G847" s="238" t="str">
        <f t="shared" si="3"/>
        <v/>
      </c>
      <c r="H847" s="238" t="str">
        <f t="shared" si="4"/>
        <v/>
      </c>
      <c r="I847" s="237" t="str">
        <f t="shared" ref="I847:J847" si="839">IF(ISBLANK(C847),,""""&amp;C847&amp;"""")</f>
        <v/>
      </c>
      <c r="J847" s="237" t="str">
        <f t="shared" si="839"/>
        <v/>
      </c>
      <c r="K847" s="237" t="str">
        <f>IF(ISBLANK(F847),,Config!$C$3&amp;"&amp;range=BB"&amp;MATCH(F847,FRG!AC:AC,0))</f>
        <v/>
      </c>
      <c r="M847" s="243" t="str">
        <f>IFERROR(__xludf.DUMMYFUNCTION("IF(ISBLANK(F847),,SUBSTITUTE(IFERROR(JOIN("","",F847:K847),JOIN("","",F847:J847)),CHAR(10),""""))"),"")</f>
        <v/>
      </c>
      <c r="N847" s="229" t="str">
        <f t="shared" si="1"/>
        <v/>
      </c>
    </row>
    <row r="848">
      <c r="F848" s="237"/>
      <c r="G848" s="238" t="str">
        <f t="shared" si="3"/>
        <v/>
      </c>
      <c r="H848" s="238" t="str">
        <f t="shared" si="4"/>
        <v/>
      </c>
      <c r="I848" s="237" t="str">
        <f t="shared" ref="I848:J848" si="840">IF(ISBLANK(C848),,""""&amp;C848&amp;"""")</f>
        <v/>
      </c>
      <c r="J848" s="237" t="str">
        <f t="shared" si="840"/>
        <v/>
      </c>
      <c r="K848" s="237" t="str">
        <f>IF(ISBLANK(F848),,Config!$C$3&amp;"&amp;range=BB"&amp;MATCH(F848,FRG!AC:AC,0))</f>
        <v/>
      </c>
      <c r="M848" s="243" t="str">
        <f>IFERROR(__xludf.DUMMYFUNCTION("IF(ISBLANK(F848),,SUBSTITUTE(IFERROR(JOIN("","",F848:K848),JOIN("","",F848:J848)),CHAR(10),""""))"),"")</f>
        <v/>
      </c>
      <c r="N848" s="229" t="str">
        <f t="shared" si="1"/>
        <v/>
      </c>
    </row>
    <row r="849">
      <c r="F849" s="237"/>
      <c r="G849" s="238" t="str">
        <f t="shared" si="3"/>
        <v/>
      </c>
      <c r="H849" s="238" t="str">
        <f t="shared" si="4"/>
        <v/>
      </c>
      <c r="I849" s="237" t="str">
        <f t="shared" ref="I849:J849" si="841">IF(ISBLANK(C849),,""""&amp;C849&amp;"""")</f>
        <v/>
      </c>
      <c r="J849" s="237" t="str">
        <f t="shared" si="841"/>
        <v/>
      </c>
      <c r="K849" s="237" t="str">
        <f>IF(ISBLANK(F849),,Config!$C$3&amp;"&amp;range=BB"&amp;MATCH(F849,FRG!AC:AC,0))</f>
        <v/>
      </c>
      <c r="M849" s="243" t="str">
        <f>IFERROR(__xludf.DUMMYFUNCTION("IF(ISBLANK(F849),,SUBSTITUTE(IFERROR(JOIN("","",F849:K849),JOIN("","",F849:J849)),CHAR(10),""""))"),"")</f>
        <v/>
      </c>
      <c r="N849" s="229" t="str">
        <f t="shared" si="1"/>
        <v/>
      </c>
    </row>
    <row r="850">
      <c r="F850" s="237"/>
      <c r="G850" s="238" t="str">
        <f t="shared" si="3"/>
        <v/>
      </c>
      <c r="H850" s="238" t="str">
        <f t="shared" si="4"/>
        <v/>
      </c>
      <c r="I850" s="237" t="str">
        <f t="shared" ref="I850:J850" si="842">IF(ISBLANK(C850),,""""&amp;C850&amp;"""")</f>
        <v/>
      </c>
      <c r="J850" s="237" t="str">
        <f t="shared" si="842"/>
        <v/>
      </c>
      <c r="K850" s="237" t="str">
        <f>IF(ISBLANK(F850),,Config!$C$3&amp;"&amp;range=BB"&amp;MATCH(F850,FRG!AC:AC,0))</f>
        <v/>
      </c>
      <c r="M850" s="243" t="str">
        <f>IFERROR(__xludf.DUMMYFUNCTION("IF(ISBLANK(F850),,SUBSTITUTE(IFERROR(JOIN("","",F850:K850),JOIN("","",F850:J850)),CHAR(10),""""))"),"")</f>
        <v/>
      </c>
      <c r="N850" s="229" t="str">
        <f t="shared" si="1"/>
        <v/>
      </c>
    </row>
    <row r="851">
      <c r="F851" s="237"/>
      <c r="G851" s="238" t="str">
        <f t="shared" si="3"/>
        <v/>
      </c>
      <c r="H851" s="238" t="str">
        <f t="shared" si="4"/>
        <v/>
      </c>
      <c r="I851" s="237" t="str">
        <f t="shared" ref="I851:J851" si="843">IF(ISBLANK(C851),,""""&amp;C851&amp;"""")</f>
        <v/>
      </c>
      <c r="J851" s="237" t="str">
        <f t="shared" si="843"/>
        <v/>
      </c>
      <c r="K851" s="237" t="str">
        <f>IF(ISBLANK(F851),,Config!$C$3&amp;"&amp;range=BB"&amp;MATCH(F851,FRG!AC:AC,0))</f>
        <v/>
      </c>
      <c r="M851" s="243" t="str">
        <f>IFERROR(__xludf.DUMMYFUNCTION("IF(ISBLANK(F851),,SUBSTITUTE(IFERROR(JOIN("","",F851:K851),JOIN("","",F851:J851)),CHAR(10),""""))"),"")</f>
        <v/>
      </c>
      <c r="N851" s="229" t="str">
        <f t="shared" si="1"/>
        <v/>
      </c>
    </row>
    <row r="852">
      <c r="F852" s="237"/>
      <c r="G852" s="238" t="str">
        <f t="shared" si="3"/>
        <v/>
      </c>
      <c r="H852" s="238" t="str">
        <f t="shared" si="4"/>
        <v/>
      </c>
      <c r="I852" s="237" t="str">
        <f t="shared" ref="I852:J852" si="844">IF(ISBLANK(C852),,""""&amp;C852&amp;"""")</f>
        <v/>
      </c>
      <c r="J852" s="237" t="str">
        <f t="shared" si="844"/>
        <v/>
      </c>
      <c r="K852" s="237" t="str">
        <f>IF(ISBLANK(F852),,Config!$C$3&amp;"&amp;range=BB"&amp;MATCH(F852,FRG!AC:AC,0))</f>
        <v/>
      </c>
      <c r="M852" s="243" t="str">
        <f>IFERROR(__xludf.DUMMYFUNCTION("IF(ISBLANK(F852),,SUBSTITUTE(IFERROR(JOIN("","",F852:K852),JOIN("","",F852:J852)),CHAR(10),""""))"),"")</f>
        <v/>
      </c>
      <c r="N852" s="229" t="str">
        <f t="shared" si="1"/>
        <v/>
      </c>
    </row>
    <row r="853">
      <c r="F853" s="237"/>
      <c r="G853" s="238" t="str">
        <f t="shared" si="3"/>
        <v/>
      </c>
      <c r="H853" s="238" t="str">
        <f t="shared" si="4"/>
        <v/>
      </c>
      <c r="I853" s="237" t="str">
        <f t="shared" ref="I853:J853" si="845">IF(ISBLANK(C853),,""""&amp;C853&amp;"""")</f>
        <v/>
      </c>
      <c r="J853" s="237" t="str">
        <f t="shared" si="845"/>
        <v/>
      </c>
      <c r="K853" s="237" t="str">
        <f>IF(ISBLANK(F853),,Config!$C$3&amp;"&amp;range=BB"&amp;MATCH(F853,FRG!AC:AC,0))</f>
        <v/>
      </c>
      <c r="M853" s="243" t="str">
        <f>IFERROR(__xludf.DUMMYFUNCTION("IF(ISBLANK(F853),,SUBSTITUTE(IFERROR(JOIN("","",F853:K853),JOIN("","",F853:J853)),CHAR(10),""""))"),"")</f>
        <v/>
      </c>
      <c r="N853" s="229" t="str">
        <f t="shared" si="1"/>
        <v/>
      </c>
    </row>
    <row r="854">
      <c r="F854" s="237"/>
      <c r="G854" s="238" t="str">
        <f t="shared" si="3"/>
        <v/>
      </c>
      <c r="H854" s="238" t="str">
        <f t="shared" si="4"/>
        <v/>
      </c>
      <c r="I854" s="237" t="str">
        <f t="shared" ref="I854:J854" si="846">IF(ISBLANK(C854),,""""&amp;C854&amp;"""")</f>
        <v/>
      </c>
      <c r="J854" s="237" t="str">
        <f t="shared" si="846"/>
        <v/>
      </c>
      <c r="K854" s="237" t="str">
        <f>IF(ISBLANK(F854),,Config!$C$3&amp;"&amp;range=BB"&amp;MATCH(F854,FRG!AC:AC,0))</f>
        <v/>
      </c>
      <c r="M854" s="243" t="str">
        <f>IFERROR(__xludf.DUMMYFUNCTION("IF(ISBLANK(F854),,SUBSTITUTE(IFERROR(JOIN("","",F854:K854),JOIN("","",F854:J854)),CHAR(10),""""))"),"")</f>
        <v/>
      </c>
      <c r="N854" s="229" t="str">
        <f t="shared" si="1"/>
        <v/>
      </c>
    </row>
    <row r="855">
      <c r="F855" s="237"/>
      <c r="G855" s="238" t="str">
        <f t="shared" si="3"/>
        <v/>
      </c>
      <c r="H855" s="238" t="str">
        <f t="shared" si="4"/>
        <v/>
      </c>
      <c r="I855" s="237" t="str">
        <f t="shared" ref="I855:J855" si="847">IF(ISBLANK(C855),,""""&amp;C855&amp;"""")</f>
        <v/>
      </c>
      <c r="J855" s="237" t="str">
        <f t="shared" si="847"/>
        <v/>
      </c>
      <c r="K855" s="237" t="str">
        <f>IF(ISBLANK(F855),,Config!$C$3&amp;"&amp;range=BB"&amp;MATCH(F855,FRG!AC:AC,0))</f>
        <v/>
      </c>
      <c r="M855" s="243" t="str">
        <f>IFERROR(__xludf.DUMMYFUNCTION("IF(ISBLANK(F855),,SUBSTITUTE(IFERROR(JOIN("","",F855:K855),JOIN("","",F855:J855)),CHAR(10),""""))"),"")</f>
        <v/>
      </c>
      <c r="N855" s="229" t="str">
        <f t="shared" si="1"/>
        <v/>
      </c>
    </row>
    <row r="856">
      <c r="F856" s="237"/>
      <c r="G856" s="238" t="str">
        <f t="shared" si="3"/>
        <v/>
      </c>
      <c r="H856" s="238" t="str">
        <f t="shared" si="4"/>
        <v/>
      </c>
      <c r="I856" s="237" t="str">
        <f t="shared" ref="I856:J856" si="848">IF(ISBLANK(C856),,""""&amp;C856&amp;"""")</f>
        <v/>
      </c>
      <c r="J856" s="237" t="str">
        <f t="shared" si="848"/>
        <v/>
      </c>
      <c r="K856" s="237" t="str">
        <f>IF(ISBLANK(F856),,Config!$C$3&amp;"&amp;range=BB"&amp;MATCH(F856,FRG!AC:AC,0))</f>
        <v/>
      </c>
      <c r="M856" s="243" t="str">
        <f>IFERROR(__xludf.DUMMYFUNCTION("IF(ISBLANK(F856),,SUBSTITUTE(IFERROR(JOIN("","",F856:K856),JOIN("","",F856:J856)),CHAR(10),""""))"),"")</f>
        <v/>
      </c>
      <c r="N856" s="229" t="str">
        <f t="shared" si="1"/>
        <v/>
      </c>
    </row>
    <row r="857">
      <c r="F857" s="237"/>
      <c r="G857" s="238" t="str">
        <f t="shared" si="3"/>
        <v/>
      </c>
      <c r="H857" s="238" t="str">
        <f t="shared" si="4"/>
        <v/>
      </c>
      <c r="I857" s="237" t="str">
        <f t="shared" ref="I857:J857" si="849">IF(ISBLANK(C857),,""""&amp;C857&amp;"""")</f>
        <v/>
      </c>
      <c r="J857" s="237" t="str">
        <f t="shared" si="849"/>
        <v/>
      </c>
      <c r="K857" s="237" t="str">
        <f>IF(ISBLANK(F857),,Config!$C$3&amp;"&amp;range=BB"&amp;MATCH(F857,FRG!AC:AC,0))</f>
        <v/>
      </c>
      <c r="M857" s="243" t="str">
        <f>IFERROR(__xludf.DUMMYFUNCTION("IF(ISBLANK(F857),,SUBSTITUTE(IFERROR(JOIN("","",F857:K857),JOIN("","",F857:J857)),CHAR(10),""""))"),"")</f>
        <v/>
      </c>
      <c r="N857" s="229" t="str">
        <f t="shared" si="1"/>
        <v/>
      </c>
    </row>
    <row r="858">
      <c r="F858" s="237"/>
      <c r="G858" s="238" t="str">
        <f t="shared" si="3"/>
        <v/>
      </c>
      <c r="H858" s="238" t="str">
        <f t="shared" si="4"/>
        <v/>
      </c>
      <c r="I858" s="237" t="str">
        <f t="shared" ref="I858:J858" si="850">IF(ISBLANK(C858),,""""&amp;C858&amp;"""")</f>
        <v/>
      </c>
      <c r="J858" s="237" t="str">
        <f t="shared" si="850"/>
        <v/>
      </c>
      <c r="K858" s="237" t="str">
        <f>IF(ISBLANK(F858),,Config!$C$3&amp;"&amp;range=BB"&amp;MATCH(F858,FRG!AC:AC,0))</f>
        <v/>
      </c>
      <c r="M858" s="243" t="str">
        <f>IFERROR(__xludf.DUMMYFUNCTION("IF(ISBLANK(F858),,SUBSTITUTE(IFERROR(JOIN("","",F858:K858),JOIN("","",F858:J858)),CHAR(10),""""))"),"")</f>
        <v/>
      </c>
      <c r="N858" s="229" t="str">
        <f t="shared" si="1"/>
        <v/>
      </c>
    </row>
    <row r="859">
      <c r="F859" s="237"/>
      <c r="G859" s="238" t="str">
        <f t="shared" si="3"/>
        <v/>
      </c>
      <c r="H859" s="238" t="str">
        <f t="shared" si="4"/>
        <v/>
      </c>
      <c r="I859" s="237" t="str">
        <f t="shared" ref="I859:J859" si="851">IF(ISBLANK(C859),,""""&amp;C859&amp;"""")</f>
        <v/>
      </c>
      <c r="J859" s="237" t="str">
        <f t="shared" si="851"/>
        <v/>
      </c>
      <c r="K859" s="237" t="str">
        <f>IF(ISBLANK(F859),,Config!$C$3&amp;"&amp;range=BB"&amp;MATCH(F859,FRG!AC:AC,0))</f>
        <v/>
      </c>
      <c r="M859" s="243" t="str">
        <f>IFERROR(__xludf.DUMMYFUNCTION("IF(ISBLANK(F859),,SUBSTITUTE(IFERROR(JOIN("","",F859:K859),JOIN("","",F859:J859)),CHAR(10),""""))"),"")</f>
        <v/>
      </c>
      <c r="N859" s="229" t="str">
        <f t="shared" si="1"/>
        <v/>
      </c>
    </row>
    <row r="860">
      <c r="F860" s="237"/>
      <c r="G860" s="238" t="str">
        <f t="shared" si="3"/>
        <v/>
      </c>
      <c r="H860" s="238" t="str">
        <f t="shared" si="4"/>
        <v/>
      </c>
      <c r="I860" s="237" t="str">
        <f t="shared" ref="I860:J860" si="852">IF(ISBLANK(C860),,""""&amp;C860&amp;"""")</f>
        <v/>
      </c>
      <c r="J860" s="237" t="str">
        <f t="shared" si="852"/>
        <v/>
      </c>
      <c r="K860" s="237" t="str">
        <f>IF(ISBLANK(F860),,Config!$C$3&amp;"&amp;range=BB"&amp;MATCH(F860,FRG!AC:AC,0))</f>
        <v/>
      </c>
      <c r="M860" s="243" t="str">
        <f>IFERROR(__xludf.DUMMYFUNCTION("IF(ISBLANK(F860),,SUBSTITUTE(IFERROR(JOIN("","",F860:K860),JOIN("","",F860:J860)),CHAR(10),""""))"),"")</f>
        <v/>
      </c>
      <c r="N860" s="229" t="str">
        <f t="shared" si="1"/>
        <v/>
      </c>
    </row>
    <row r="861">
      <c r="F861" s="237"/>
      <c r="G861" s="238" t="str">
        <f t="shared" si="3"/>
        <v/>
      </c>
      <c r="H861" s="238" t="str">
        <f t="shared" si="4"/>
        <v/>
      </c>
      <c r="I861" s="237" t="str">
        <f t="shared" ref="I861:J861" si="853">IF(ISBLANK(C861),,""""&amp;C861&amp;"""")</f>
        <v/>
      </c>
      <c r="J861" s="237" t="str">
        <f t="shared" si="853"/>
        <v/>
      </c>
      <c r="K861" s="237" t="str">
        <f>IF(ISBLANK(F861),,Config!$C$3&amp;"&amp;range=BB"&amp;MATCH(F861,FRG!AC:AC,0))</f>
        <v/>
      </c>
      <c r="M861" s="243" t="str">
        <f>IFERROR(__xludf.DUMMYFUNCTION("IF(ISBLANK(F861),,SUBSTITUTE(IFERROR(JOIN("","",F861:K861),JOIN("","",F861:J861)),CHAR(10),""""))"),"")</f>
        <v/>
      </c>
      <c r="N861" s="229" t="str">
        <f t="shared" si="1"/>
        <v/>
      </c>
    </row>
    <row r="862">
      <c r="F862" s="237"/>
      <c r="G862" s="238" t="str">
        <f t="shared" si="3"/>
        <v/>
      </c>
      <c r="H862" s="238" t="str">
        <f t="shared" si="4"/>
        <v/>
      </c>
      <c r="I862" s="237" t="str">
        <f t="shared" ref="I862:J862" si="854">IF(ISBLANK(C862),,""""&amp;C862&amp;"""")</f>
        <v/>
      </c>
      <c r="J862" s="237" t="str">
        <f t="shared" si="854"/>
        <v/>
      </c>
      <c r="K862" s="237" t="str">
        <f>IF(ISBLANK(F862),,Config!$C$3&amp;"&amp;range=BB"&amp;MATCH(F862,FRG!AC:AC,0))</f>
        <v/>
      </c>
      <c r="M862" s="243" t="str">
        <f>IFERROR(__xludf.DUMMYFUNCTION("IF(ISBLANK(F862),,SUBSTITUTE(IFERROR(JOIN("","",F862:K862),JOIN("","",F862:J862)),CHAR(10),""""))"),"")</f>
        <v/>
      </c>
      <c r="N862" s="229" t="str">
        <f t="shared" si="1"/>
        <v/>
      </c>
    </row>
    <row r="863">
      <c r="F863" s="237"/>
      <c r="G863" s="238" t="str">
        <f t="shared" si="3"/>
        <v/>
      </c>
      <c r="H863" s="238" t="str">
        <f t="shared" si="4"/>
        <v/>
      </c>
      <c r="I863" s="237" t="str">
        <f t="shared" ref="I863:J863" si="855">IF(ISBLANK(C863),,""""&amp;C863&amp;"""")</f>
        <v/>
      </c>
      <c r="J863" s="237" t="str">
        <f t="shared" si="855"/>
        <v/>
      </c>
      <c r="K863" s="237" t="str">
        <f>IF(ISBLANK(F863),,Config!$C$3&amp;"&amp;range=BB"&amp;MATCH(F863,FRG!AC:AC,0))</f>
        <v/>
      </c>
      <c r="M863" s="243" t="str">
        <f>IFERROR(__xludf.DUMMYFUNCTION("IF(ISBLANK(F863),,SUBSTITUTE(IFERROR(JOIN("","",F863:K863),JOIN("","",F863:J863)),CHAR(10),""""))"),"")</f>
        <v/>
      </c>
      <c r="N863" s="229" t="str">
        <f t="shared" si="1"/>
        <v/>
      </c>
    </row>
    <row r="864">
      <c r="F864" s="237"/>
      <c r="G864" s="238" t="str">
        <f t="shared" si="3"/>
        <v/>
      </c>
      <c r="H864" s="238" t="str">
        <f t="shared" si="4"/>
        <v/>
      </c>
      <c r="I864" s="237" t="str">
        <f t="shared" ref="I864:J864" si="856">IF(ISBLANK(C864),,""""&amp;C864&amp;"""")</f>
        <v/>
      </c>
      <c r="J864" s="237" t="str">
        <f t="shared" si="856"/>
        <v/>
      </c>
      <c r="K864" s="237" t="str">
        <f>IF(ISBLANK(F864),,Config!$C$3&amp;"&amp;range=BB"&amp;MATCH(F864,FRG!AC:AC,0))</f>
        <v/>
      </c>
      <c r="M864" s="243" t="str">
        <f>IFERROR(__xludf.DUMMYFUNCTION("IF(ISBLANK(F864),,SUBSTITUTE(IFERROR(JOIN("","",F864:K864),JOIN("","",F864:J864)),CHAR(10),""""))"),"")</f>
        <v/>
      </c>
      <c r="N864" s="229" t="str">
        <f t="shared" si="1"/>
        <v/>
      </c>
    </row>
    <row r="865">
      <c r="F865" s="237"/>
      <c r="G865" s="238" t="str">
        <f t="shared" si="3"/>
        <v/>
      </c>
      <c r="H865" s="238" t="str">
        <f t="shared" si="4"/>
        <v/>
      </c>
      <c r="I865" s="237" t="str">
        <f t="shared" ref="I865:J865" si="857">IF(ISBLANK(C865),,""""&amp;C865&amp;"""")</f>
        <v/>
      </c>
      <c r="J865" s="237" t="str">
        <f t="shared" si="857"/>
        <v/>
      </c>
      <c r="K865" s="237" t="str">
        <f>IF(ISBLANK(F865),,Config!$C$3&amp;"&amp;range=BB"&amp;MATCH(F865,FRG!AC:AC,0))</f>
        <v/>
      </c>
      <c r="M865" s="243" t="str">
        <f>IFERROR(__xludf.DUMMYFUNCTION("IF(ISBLANK(F865),,SUBSTITUTE(IFERROR(JOIN("","",F865:K865),JOIN("","",F865:J865)),CHAR(10),""""))"),"")</f>
        <v/>
      </c>
      <c r="N865" s="229" t="str">
        <f t="shared" si="1"/>
        <v/>
      </c>
    </row>
    <row r="866">
      <c r="F866" s="237"/>
      <c r="G866" s="238" t="str">
        <f t="shared" si="3"/>
        <v/>
      </c>
      <c r="H866" s="238" t="str">
        <f t="shared" si="4"/>
        <v/>
      </c>
      <c r="I866" s="237" t="str">
        <f t="shared" ref="I866:J866" si="858">IF(ISBLANK(C866),,""""&amp;C866&amp;"""")</f>
        <v/>
      </c>
      <c r="J866" s="237" t="str">
        <f t="shared" si="858"/>
        <v/>
      </c>
      <c r="K866" s="237" t="str">
        <f>IF(ISBLANK(F866),,Config!$C$3&amp;"&amp;range=BB"&amp;MATCH(F866,FRG!AC:AC,0))</f>
        <v/>
      </c>
      <c r="M866" s="243" t="str">
        <f>IFERROR(__xludf.DUMMYFUNCTION("IF(ISBLANK(F866),,SUBSTITUTE(IFERROR(JOIN("","",F866:K866),JOIN("","",F866:J866)),CHAR(10),""""))"),"")</f>
        <v/>
      </c>
      <c r="N866" s="229" t="str">
        <f t="shared" si="1"/>
        <v/>
      </c>
    </row>
    <row r="867">
      <c r="F867" s="237"/>
      <c r="G867" s="238" t="str">
        <f t="shared" si="3"/>
        <v/>
      </c>
      <c r="H867" s="238" t="str">
        <f t="shared" si="4"/>
        <v/>
      </c>
      <c r="I867" s="237" t="str">
        <f t="shared" ref="I867:J867" si="859">IF(ISBLANK(C867),,""""&amp;C867&amp;"""")</f>
        <v/>
      </c>
      <c r="J867" s="237" t="str">
        <f t="shared" si="859"/>
        <v/>
      </c>
      <c r="K867" s="237" t="str">
        <f>IF(ISBLANK(F867),,Config!$C$3&amp;"&amp;range=BB"&amp;MATCH(F867,FRG!AC:AC,0))</f>
        <v/>
      </c>
      <c r="M867" s="243" t="str">
        <f>IFERROR(__xludf.DUMMYFUNCTION("IF(ISBLANK(F867),,SUBSTITUTE(IFERROR(JOIN("","",F867:K867),JOIN("","",F867:J867)),CHAR(10),""""))"),"")</f>
        <v/>
      </c>
      <c r="N867" s="229" t="str">
        <f t="shared" si="1"/>
        <v/>
      </c>
    </row>
    <row r="868">
      <c r="F868" s="237"/>
      <c r="G868" s="238" t="str">
        <f t="shared" si="3"/>
        <v/>
      </c>
      <c r="H868" s="238" t="str">
        <f t="shared" si="4"/>
        <v/>
      </c>
      <c r="I868" s="237" t="str">
        <f t="shared" ref="I868:J868" si="860">IF(ISBLANK(C868),,""""&amp;C868&amp;"""")</f>
        <v/>
      </c>
      <c r="J868" s="237" t="str">
        <f t="shared" si="860"/>
        <v/>
      </c>
      <c r="K868" s="237" t="str">
        <f>IF(ISBLANK(F868),,Config!$C$3&amp;"&amp;range=BB"&amp;MATCH(F868,FRG!AC:AC,0))</f>
        <v/>
      </c>
      <c r="M868" s="243" t="str">
        <f>IFERROR(__xludf.DUMMYFUNCTION("IF(ISBLANK(F868),,SUBSTITUTE(IFERROR(JOIN("","",F868:K868),JOIN("","",F868:J868)),CHAR(10),""""))"),"")</f>
        <v/>
      </c>
      <c r="N868" s="229" t="str">
        <f t="shared" si="1"/>
        <v/>
      </c>
    </row>
    <row r="869">
      <c r="F869" s="237"/>
      <c r="G869" s="238" t="str">
        <f t="shared" si="3"/>
        <v/>
      </c>
      <c r="H869" s="238" t="str">
        <f t="shared" si="4"/>
        <v/>
      </c>
      <c r="I869" s="237" t="str">
        <f t="shared" ref="I869:J869" si="861">IF(ISBLANK(C869),,""""&amp;C869&amp;"""")</f>
        <v/>
      </c>
      <c r="J869" s="237" t="str">
        <f t="shared" si="861"/>
        <v/>
      </c>
      <c r="K869" s="237" t="str">
        <f>IF(ISBLANK(F869),,Config!$C$3&amp;"&amp;range=BB"&amp;MATCH(F869,FRG!AC:AC,0))</f>
        <v/>
      </c>
      <c r="M869" s="243" t="str">
        <f>IFERROR(__xludf.DUMMYFUNCTION("IF(ISBLANK(F869),,SUBSTITUTE(IFERROR(JOIN("","",F869:K869),JOIN("","",F869:J869)),CHAR(10),""""))"),"")</f>
        <v/>
      </c>
      <c r="N869" s="229" t="str">
        <f t="shared" si="1"/>
        <v/>
      </c>
    </row>
    <row r="870">
      <c r="F870" s="237"/>
      <c r="G870" s="238" t="str">
        <f t="shared" si="3"/>
        <v/>
      </c>
      <c r="H870" s="238" t="str">
        <f t="shared" si="4"/>
        <v/>
      </c>
      <c r="I870" s="237" t="str">
        <f t="shared" ref="I870:J870" si="862">IF(ISBLANK(C870),,""""&amp;C870&amp;"""")</f>
        <v/>
      </c>
      <c r="J870" s="237" t="str">
        <f t="shared" si="862"/>
        <v/>
      </c>
      <c r="K870" s="237" t="str">
        <f>IF(ISBLANK(F870),,Config!$C$3&amp;"&amp;range=BB"&amp;MATCH(F870,FRG!AC:AC,0))</f>
        <v/>
      </c>
      <c r="M870" s="243" t="str">
        <f>IFERROR(__xludf.DUMMYFUNCTION("IF(ISBLANK(F870),,SUBSTITUTE(IFERROR(JOIN("","",F870:K870),JOIN("","",F870:J870)),CHAR(10),""""))"),"")</f>
        <v/>
      </c>
      <c r="N870" s="229" t="str">
        <f t="shared" si="1"/>
        <v/>
      </c>
    </row>
    <row r="871">
      <c r="F871" s="237"/>
      <c r="G871" s="238" t="str">
        <f t="shared" si="3"/>
        <v/>
      </c>
      <c r="H871" s="238" t="str">
        <f t="shared" si="4"/>
        <v/>
      </c>
      <c r="I871" s="237" t="str">
        <f t="shared" ref="I871:J871" si="863">IF(ISBLANK(C871),,""""&amp;C871&amp;"""")</f>
        <v/>
      </c>
      <c r="J871" s="237" t="str">
        <f t="shared" si="863"/>
        <v/>
      </c>
      <c r="K871" s="237" t="str">
        <f>IF(ISBLANK(F871),,Config!$C$3&amp;"&amp;range=BB"&amp;MATCH(F871,FRG!AC:AC,0))</f>
        <v/>
      </c>
      <c r="M871" s="243" t="str">
        <f>IFERROR(__xludf.DUMMYFUNCTION("IF(ISBLANK(F871),,SUBSTITUTE(IFERROR(JOIN("","",F871:K871),JOIN("","",F871:J871)),CHAR(10),""""))"),"")</f>
        <v/>
      </c>
      <c r="N871" s="229" t="str">
        <f t="shared" si="1"/>
        <v/>
      </c>
    </row>
    <row r="872">
      <c r="F872" s="237"/>
      <c r="G872" s="238" t="str">
        <f t="shared" si="3"/>
        <v/>
      </c>
      <c r="H872" s="238" t="str">
        <f t="shared" si="4"/>
        <v/>
      </c>
      <c r="I872" s="237" t="str">
        <f t="shared" ref="I872:J872" si="864">IF(ISBLANK(C872),,""""&amp;C872&amp;"""")</f>
        <v/>
      </c>
      <c r="J872" s="237" t="str">
        <f t="shared" si="864"/>
        <v/>
      </c>
      <c r="K872" s="237" t="str">
        <f>IF(ISBLANK(F872),,Config!$C$3&amp;"&amp;range=BB"&amp;MATCH(F872,FRG!AC:AC,0))</f>
        <v/>
      </c>
      <c r="M872" s="243" t="str">
        <f>IFERROR(__xludf.DUMMYFUNCTION("IF(ISBLANK(F872),,SUBSTITUTE(IFERROR(JOIN("","",F872:K872),JOIN("","",F872:J872)),CHAR(10),""""))"),"")</f>
        <v/>
      </c>
      <c r="N872" s="229" t="str">
        <f t="shared" si="1"/>
        <v/>
      </c>
    </row>
    <row r="873">
      <c r="F873" s="237"/>
      <c r="G873" s="238" t="str">
        <f t="shared" si="3"/>
        <v/>
      </c>
      <c r="H873" s="238" t="str">
        <f t="shared" si="4"/>
        <v/>
      </c>
      <c r="I873" s="237" t="str">
        <f t="shared" ref="I873:J873" si="865">IF(ISBLANK(C873),,""""&amp;C873&amp;"""")</f>
        <v/>
      </c>
      <c r="J873" s="237" t="str">
        <f t="shared" si="865"/>
        <v/>
      </c>
      <c r="K873" s="237" t="str">
        <f>IF(ISBLANK(F873),,Config!$C$3&amp;"&amp;range=BB"&amp;MATCH(F873,FRG!AC:AC,0))</f>
        <v/>
      </c>
      <c r="M873" s="243" t="str">
        <f>IFERROR(__xludf.DUMMYFUNCTION("IF(ISBLANK(F873),,SUBSTITUTE(IFERROR(JOIN("","",F873:K873),JOIN("","",F873:J873)),CHAR(10),""""))"),"")</f>
        <v/>
      </c>
      <c r="N873" s="229" t="str">
        <f t="shared" si="1"/>
        <v/>
      </c>
    </row>
    <row r="874">
      <c r="F874" s="237"/>
      <c r="G874" s="238" t="str">
        <f t="shared" si="3"/>
        <v/>
      </c>
      <c r="H874" s="238" t="str">
        <f t="shared" si="4"/>
        <v/>
      </c>
      <c r="I874" s="237" t="str">
        <f t="shared" ref="I874:J874" si="866">IF(ISBLANK(C874),,""""&amp;C874&amp;"""")</f>
        <v/>
      </c>
      <c r="J874" s="237" t="str">
        <f t="shared" si="866"/>
        <v/>
      </c>
      <c r="K874" s="237" t="str">
        <f>IF(ISBLANK(F874),,Config!$C$3&amp;"&amp;range=BB"&amp;MATCH(F874,FRG!AC:AC,0))</f>
        <v/>
      </c>
      <c r="M874" s="243" t="str">
        <f>IFERROR(__xludf.DUMMYFUNCTION("IF(ISBLANK(F874),,SUBSTITUTE(IFERROR(JOIN("","",F874:K874),JOIN("","",F874:J874)),CHAR(10),""""))"),"")</f>
        <v/>
      </c>
      <c r="N874" s="229" t="str">
        <f t="shared" si="1"/>
        <v/>
      </c>
    </row>
    <row r="875">
      <c r="F875" s="237"/>
      <c r="G875" s="238" t="str">
        <f t="shared" si="3"/>
        <v/>
      </c>
      <c r="H875" s="238" t="str">
        <f t="shared" si="4"/>
        <v/>
      </c>
      <c r="I875" s="237" t="str">
        <f t="shared" ref="I875:J875" si="867">IF(ISBLANK(C875),,""""&amp;C875&amp;"""")</f>
        <v/>
      </c>
      <c r="J875" s="237" t="str">
        <f t="shared" si="867"/>
        <v/>
      </c>
      <c r="K875" s="237" t="str">
        <f>IF(ISBLANK(F875),,Config!$C$3&amp;"&amp;range=BB"&amp;MATCH(F875,FRG!AC:AC,0))</f>
        <v/>
      </c>
      <c r="M875" s="243" t="str">
        <f>IFERROR(__xludf.DUMMYFUNCTION("IF(ISBLANK(F875),,SUBSTITUTE(IFERROR(JOIN("","",F875:K875),JOIN("","",F875:J875)),CHAR(10),""""))"),"")</f>
        <v/>
      </c>
      <c r="N875" s="229" t="str">
        <f t="shared" si="1"/>
        <v/>
      </c>
    </row>
    <row r="876">
      <c r="F876" s="237"/>
      <c r="G876" s="238" t="str">
        <f t="shared" si="3"/>
        <v/>
      </c>
      <c r="H876" s="238" t="str">
        <f t="shared" si="4"/>
        <v/>
      </c>
      <c r="I876" s="237" t="str">
        <f t="shared" ref="I876:J876" si="868">IF(ISBLANK(C876),,""""&amp;C876&amp;"""")</f>
        <v/>
      </c>
      <c r="J876" s="237" t="str">
        <f t="shared" si="868"/>
        <v/>
      </c>
      <c r="K876" s="237" t="str">
        <f>IF(ISBLANK(F876),,Config!$C$3&amp;"&amp;range=BB"&amp;MATCH(F876,FRG!AC:AC,0))</f>
        <v/>
      </c>
      <c r="M876" s="243" t="str">
        <f>IFERROR(__xludf.DUMMYFUNCTION("IF(ISBLANK(F876),,SUBSTITUTE(IFERROR(JOIN("","",F876:K876),JOIN("","",F876:J876)),CHAR(10),""""))"),"")</f>
        <v/>
      </c>
      <c r="N876" s="229" t="str">
        <f t="shared" si="1"/>
        <v/>
      </c>
    </row>
    <row r="877">
      <c r="F877" s="237"/>
      <c r="G877" s="238" t="str">
        <f t="shared" si="3"/>
        <v/>
      </c>
      <c r="H877" s="238" t="str">
        <f t="shared" si="4"/>
        <v/>
      </c>
      <c r="I877" s="237" t="str">
        <f t="shared" ref="I877:J877" si="869">IF(ISBLANK(C877),,""""&amp;C877&amp;"""")</f>
        <v/>
      </c>
      <c r="J877" s="237" t="str">
        <f t="shared" si="869"/>
        <v/>
      </c>
      <c r="K877" s="237" t="str">
        <f>IF(ISBLANK(F877),,Config!$C$3&amp;"&amp;range=BB"&amp;MATCH(F877,FRG!AC:AC,0))</f>
        <v/>
      </c>
      <c r="M877" s="243" t="str">
        <f>IFERROR(__xludf.DUMMYFUNCTION("IF(ISBLANK(F877),,SUBSTITUTE(IFERROR(JOIN("","",F877:K877),JOIN("","",F877:J877)),CHAR(10),""""))"),"")</f>
        <v/>
      </c>
      <c r="N877" s="229" t="str">
        <f t="shared" si="1"/>
        <v/>
      </c>
    </row>
    <row r="878">
      <c r="F878" s="237"/>
      <c r="G878" s="238" t="str">
        <f t="shared" si="3"/>
        <v/>
      </c>
      <c r="H878" s="238" t="str">
        <f t="shared" si="4"/>
        <v/>
      </c>
      <c r="I878" s="237" t="str">
        <f t="shared" ref="I878:J878" si="870">IF(ISBLANK(C878),,""""&amp;C878&amp;"""")</f>
        <v/>
      </c>
      <c r="J878" s="237" t="str">
        <f t="shared" si="870"/>
        <v/>
      </c>
      <c r="K878" s="237" t="str">
        <f>IF(ISBLANK(F878),,Config!$C$3&amp;"&amp;range=BB"&amp;MATCH(F878,FRG!AC:AC,0))</f>
        <v/>
      </c>
      <c r="M878" s="243" t="str">
        <f>IFERROR(__xludf.DUMMYFUNCTION("IF(ISBLANK(F878),,SUBSTITUTE(IFERROR(JOIN("","",F878:K878),JOIN("","",F878:J878)),CHAR(10),""""))"),"")</f>
        <v/>
      </c>
      <c r="N878" s="229" t="str">
        <f t="shared" si="1"/>
        <v/>
      </c>
    </row>
    <row r="879">
      <c r="F879" s="237"/>
      <c r="G879" s="238" t="str">
        <f t="shared" si="3"/>
        <v/>
      </c>
      <c r="H879" s="238" t="str">
        <f t="shared" si="4"/>
        <v/>
      </c>
      <c r="I879" s="237" t="str">
        <f t="shared" ref="I879:J879" si="871">IF(ISBLANK(C879),,""""&amp;C879&amp;"""")</f>
        <v/>
      </c>
      <c r="J879" s="237" t="str">
        <f t="shared" si="871"/>
        <v/>
      </c>
      <c r="K879" s="237" t="str">
        <f>IF(ISBLANK(F879),,Config!$C$3&amp;"&amp;range=BB"&amp;MATCH(F879,FRG!AC:AC,0))</f>
        <v/>
      </c>
      <c r="M879" s="243" t="str">
        <f>IFERROR(__xludf.DUMMYFUNCTION("IF(ISBLANK(F879),,SUBSTITUTE(IFERROR(JOIN("","",F879:K879),JOIN("","",F879:J879)),CHAR(10),""""))"),"")</f>
        <v/>
      </c>
      <c r="N879" s="229" t="str">
        <f t="shared" si="1"/>
        <v/>
      </c>
    </row>
    <row r="880">
      <c r="F880" s="237"/>
      <c r="G880" s="238" t="str">
        <f t="shared" si="3"/>
        <v/>
      </c>
      <c r="H880" s="238" t="str">
        <f t="shared" si="4"/>
        <v/>
      </c>
      <c r="I880" s="237" t="str">
        <f t="shared" ref="I880:J880" si="872">IF(ISBLANK(C880),,""""&amp;C880&amp;"""")</f>
        <v/>
      </c>
      <c r="J880" s="237" t="str">
        <f t="shared" si="872"/>
        <v/>
      </c>
      <c r="K880" s="237" t="str">
        <f>IF(ISBLANK(F880),,Config!$C$3&amp;"&amp;range=BB"&amp;MATCH(F880,FRG!AC:AC,0))</f>
        <v/>
      </c>
      <c r="M880" s="243" t="str">
        <f>IFERROR(__xludf.DUMMYFUNCTION("IF(ISBLANK(F880),,SUBSTITUTE(IFERROR(JOIN("","",F880:K880),JOIN("","",F880:J880)),CHAR(10),""""))"),"")</f>
        <v/>
      </c>
      <c r="N880" s="229" t="str">
        <f t="shared" si="1"/>
        <v/>
      </c>
    </row>
    <row r="881">
      <c r="F881" s="237"/>
      <c r="G881" s="238" t="str">
        <f t="shared" si="3"/>
        <v/>
      </c>
      <c r="H881" s="238" t="str">
        <f t="shared" si="4"/>
        <v/>
      </c>
      <c r="I881" s="237" t="str">
        <f t="shared" ref="I881:J881" si="873">IF(ISBLANK(C881),,""""&amp;C881&amp;"""")</f>
        <v/>
      </c>
      <c r="J881" s="237" t="str">
        <f t="shared" si="873"/>
        <v/>
      </c>
      <c r="K881" s="237" t="str">
        <f>IF(ISBLANK(F881),,Config!$C$3&amp;"&amp;range=BB"&amp;MATCH(F881,FRG!AC:AC,0))</f>
        <v/>
      </c>
      <c r="M881" s="243" t="str">
        <f>IFERROR(__xludf.DUMMYFUNCTION("IF(ISBLANK(F881),,SUBSTITUTE(IFERROR(JOIN("","",F881:K881),JOIN("","",F881:J881)),CHAR(10),""""))"),"")</f>
        <v/>
      </c>
      <c r="N881" s="229" t="str">
        <f t="shared" si="1"/>
        <v/>
      </c>
    </row>
    <row r="882">
      <c r="F882" s="237"/>
      <c r="G882" s="238" t="str">
        <f t="shared" si="3"/>
        <v/>
      </c>
      <c r="H882" s="238" t="str">
        <f t="shared" si="4"/>
        <v/>
      </c>
      <c r="I882" s="237" t="str">
        <f t="shared" ref="I882:J882" si="874">IF(ISBLANK(C882),,""""&amp;C882&amp;"""")</f>
        <v/>
      </c>
      <c r="J882" s="237" t="str">
        <f t="shared" si="874"/>
        <v/>
      </c>
      <c r="K882" s="237" t="str">
        <f>IF(ISBLANK(F882),,Config!$C$3&amp;"&amp;range=BB"&amp;MATCH(F882,FRG!AC:AC,0))</f>
        <v/>
      </c>
      <c r="M882" s="243" t="str">
        <f>IFERROR(__xludf.DUMMYFUNCTION("IF(ISBLANK(F882),,SUBSTITUTE(IFERROR(JOIN("","",F882:K882),JOIN("","",F882:J882)),CHAR(10),""""))"),"")</f>
        <v/>
      </c>
      <c r="N882" s="229" t="str">
        <f t="shared" si="1"/>
        <v/>
      </c>
    </row>
    <row r="883">
      <c r="F883" s="237"/>
      <c r="G883" s="238" t="str">
        <f t="shared" si="3"/>
        <v/>
      </c>
      <c r="H883" s="238" t="str">
        <f t="shared" si="4"/>
        <v/>
      </c>
      <c r="I883" s="237" t="str">
        <f t="shared" ref="I883:J883" si="875">IF(ISBLANK(C883),,""""&amp;C883&amp;"""")</f>
        <v/>
      </c>
      <c r="J883" s="237" t="str">
        <f t="shared" si="875"/>
        <v/>
      </c>
      <c r="K883" s="237" t="str">
        <f>IF(ISBLANK(F883),,Config!$C$3&amp;"&amp;range=BB"&amp;MATCH(F883,FRG!AC:AC,0))</f>
        <v/>
      </c>
      <c r="M883" s="243" t="str">
        <f>IFERROR(__xludf.DUMMYFUNCTION("IF(ISBLANK(F883),,SUBSTITUTE(IFERROR(JOIN("","",F883:K883),JOIN("","",F883:J883)),CHAR(10),""""))"),"")</f>
        <v/>
      </c>
      <c r="N883" s="229" t="str">
        <f t="shared" si="1"/>
        <v/>
      </c>
    </row>
    <row r="884">
      <c r="F884" s="237"/>
      <c r="G884" s="238" t="str">
        <f t="shared" si="3"/>
        <v/>
      </c>
      <c r="H884" s="238" t="str">
        <f t="shared" si="4"/>
        <v/>
      </c>
      <c r="I884" s="237" t="str">
        <f t="shared" ref="I884:J884" si="876">IF(ISBLANK(C884),,""""&amp;C884&amp;"""")</f>
        <v/>
      </c>
      <c r="J884" s="237" t="str">
        <f t="shared" si="876"/>
        <v/>
      </c>
      <c r="K884" s="237" t="str">
        <f>IF(ISBLANK(F884),,Config!$C$3&amp;"&amp;range=BB"&amp;MATCH(F884,FRG!AC:AC,0))</f>
        <v/>
      </c>
      <c r="M884" s="243" t="str">
        <f>IFERROR(__xludf.DUMMYFUNCTION("IF(ISBLANK(F884),,SUBSTITUTE(IFERROR(JOIN("","",F884:K884),JOIN("","",F884:J884)),CHAR(10),""""))"),"")</f>
        <v/>
      </c>
      <c r="N884" s="229" t="str">
        <f t="shared" si="1"/>
        <v/>
      </c>
    </row>
    <row r="885">
      <c r="F885" s="237"/>
      <c r="G885" s="238" t="str">
        <f t="shared" si="3"/>
        <v/>
      </c>
      <c r="H885" s="238" t="str">
        <f t="shared" si="4"/>
        <v/>
      </c>
      <c r="I885" s="237" t="str">
        <f t="shared" ref="I885:J885" si="877">IF(ISBLANK(C885),,""""&amp;C885&amp;"""")</f>
        <v/>
      </c>
      <c r="J885" s="237" t="str">
        <f t="shared" si="877"/>
        <v/>
      </c>
      <c r="K885" s="237" t="str">
        <f>IF(ISBLANK(F885),,Config!$C$3&amp;"&amp;range=BB"&amp;MATCH(F885,FRG!AC:AC,0))</f>
        <v/>
      </c>
      <c r="M885" s="243" t="str">
        <f>IFERROR(__xludf.DUMMYFUNCTION("IF(ISBLANK(F885),,SUBSTITUTE(IFERROR(JOIN("","",F885:K885),JOIN("","",F885:J885)),CHAR(10),""""))"),"")</f>
        <v/>
      </c>
      <c r="N885" s="229" t="str">
        <f t="shared" si="1"/>
        <v/>
      </c>
    </row>
    <row r="886">
      <c r="F886" s="237"/>
      <c r="G886" s="238" t="str">
        <f t="shared" si="3"/>
        <v/>
      </c>
      <c r="H886" s="238" t="str">
        <f t="shared" si="4"/>
        <v/>
      </c>
      <c r="I886" s="237" t="str">
        <f t="shared" ref="I886:J886" si="878">IF(ISBLANK(C886),,""""&amp;C886&amp;"""")</f>
        <v/>
      </c>
      <c r="J886" s="237" t="str">
        <f t="shared" si="878"/>
        <v/>
      </c>
      <c r="K886" s="237" t="str">
        <f>IF(ISBLANK(F886),,Config!$C$3&amp;"&amp;range=BB"&amp;MATCH(F886,FRG!AC:AC,0))</f>
        <v/>
      </c>
      <c r="M886" s="243" t="str">
        <f>IFERROR(__xludf.DUMMYFUNCTION("IF(ISBLANK(F886),,SUBSTITUTE(IFERROR(JOIN("","",F886:K886),JOIN("","",F886:J886)),CHAR(10),""""))"),"")</f>
        <v/>
      </c>
      <c r="N886" s="229" t="str">
        <f t="shared" si="1"/>
        <v/>
      </c>
    </row>
    <row r="887">
      <c r="F887" s="237"/>
      <c r="G887" s="238" t="str">
        <f t="shared" si="3"/>
        <v/>
      </c>
      <c r="H887" s="238" t="str">
        <f t="shared" si="4"/>
        <v/>
      </c>
      <c r="I887" s="237" t="str">
        <f t="shared" ref="I887:J887" si="879">IF(ISBLANK(C887),,""""&amp;C887&amp;"""")</f>
        <v/>
      </c>
      <c r="J887" s="237" t="str">
        <f t="shared" si="879"/>
        <v/>
      </c>
      <c r="K887" s="237" t="str">
        <f>IF(ISBLANK(F887),,Config!$C$3&amp;"&amp;range=BB"&amp;MATCH(F887,FRG!AC:AC,0))</f>
        <v/>
      </c>
      <c r="M887" s="243" t="str">
        <f>IFERROR(__xludf.DUMMYFUNCTION("IF(ISBLANK(F887),,SUBSTITUTE(IFERROR(JOIN("","",F887:K887),JOIN("","",F887:J887)),CHAR(10),""""))"),"")</f>
        <v/>
      </c>
      <c r="N887" s="229" t="str">
        <f t="shared" si="1"/>
        <v/>
      </c>
    </row>
    <row r="888">
      <c r="F888" s="237"/>
      <c r="G888" s="238" t="str">
        <f t="shared" si="3"/>
        <v/>
      </c>
      <c r="H888" s="238" t="str">
        <f t="shared" si="4"/>
        <v/>
      </c>
      <c r="I888" s="237" t="str">
        <f t="shared" ref="I888:J888" si="880">IF(ISBLANK(C888),,""""&amp;C888&amp;"""")</f>
        <v/>
      </c>
      <c r="J888" s="237" t="str">
        <f t="shared" si="880"/>
        <v/>
      </c>
      <c r="K888" s="237" t="str">
        <f>IF(ISBLANK(F888),,Config!$C$3&amp;"&amp;range=BB"&amp;MATCH(F888,FRG!AC:AC,0))</f>
        <v/>
      </c>
      <c r="M888" s="243" t="str">
        <f>IFERROR(__xludf.DUMMYFUNCTION("IF(ISBLANK(F888),,SUBSTITUTE(IFERROR(JOIN("","",F888:K888),JOIN("","",F888:J888)),CHAR(10),""""))"),"")</f>
        <v/>
      </c>
      <c r="N888" s="229" t="str">
        <f t="shared" si="1"/>
        <v/>
      </c>
    </row>
    <row r="889">
      <c r="F889" s="237"/>
      <c r="G889" s="238" t="str">
        <f t="shared" si="3"/>
        <v/>
      </c>
      <c r="H889" s="238" t="str">
        <f t="shared" si="4"/>
        <v/>
      </c>
      <c r="I889" s="237" t="str">
        <f t="shared" ref="I889:J889" si="881">IF(ISBLANK(C889),,""""&amp;C889&amp;"""")</f>
        <v/>
      </c>
      <c r="J889" s="237" t="str">
        <f t="shared" si="881"/>
        <v/>
      </c>
      <c r="K889" s="237" t="str">
        <f>IF(ISBLANK(F889),,Config!$C$3&amp;"&amp;range=BB"&amp;MATCH(F889,FRG!AC:AC,0))</f>
        <v/>
      </c>
      <c r="M889" s="243" t="str">
        <f>IFERROR(__xludf.DUMMYFUNCTION("IF(ISBLANK(F889),,SUBSTITUTE(IFERROR(JOIN("","",F889:K889),JOIN("","",F889:J889)),CHAR(10),""""))"),"")</f>
        <v/>
      </c>
      <c r="N889" s="229" t="str">
        <f t="shared" si="1"/>
        <v/>
      </c>
    </row>
    <row r="890">
      <c r="F890" s="237"/>
      <c r="G890" s="238" t="str">
        <f t="shared" si="3"/>
        <v/>
      </c>
      <c r="H890" s="238" t="str">
        <f t="shared" si="4"/>
        <v/>
      </c>
      <c r="I890" s="237" t="str">
        <f t="shared" ref="I890:J890" si="882">IF(ISBLANK(C890),,""""&amp;C890&amp;"""")</f>
        <v/>
      </c>
      <c r="J890" s="237" t="str">
        <f t="shared" si="882"/>
        <v/>
      </c>
      <c r="K890" s="237" t="str">
        <f>IF(ISBLANK(F890),,Config!$C$3&amp;"&amp;range=BB"&amp;MATCH(F890,FRG!AC:AC,0))</f>
        <v/>
      </c>
      <c r="M890" s="243" t="str">
        <f>IFERROR(__xludf.DUMMYFUNCTION("IF(ISBLANK(F890),,SUBSTITUTE(IFERROR(JOIN("","",F890:K890),JOIN("","",F890:J890)),CHAR(10),""""))"),"")</f>
        <v/>
      </c>
      <c r="N890" s="229" t="str">
        <f t="shared" si="1"/>
        <v/>
      </c>
    </row>
    <row r="891">
      <c r="F891" s="237"/>
      <c r="G891" s="238" t="str">
        <f t="shared" si="3"/>
        <v/>
      </c>
      <c r="H891" s="238" t="str">
        <f t="shared" si="4"/>
        <v/>
      </c>
      <c r="I891" s="237" t="str">
        <f t="shared" ref="I891:J891" si="883">IF(ISBLANK(C891),,""""&amp;C891&amp;"""")</f>
        <v/>
      </c>
      <c r="J891" s="237" t="str">
        <f t="shared" si="883"/>
        <v/>
      </c>
      <c r="K891" s="237" t="str">
        <f>IF(ISBLANK(F891),,Config!$C$3&amp;"&amp;range=BB"&amp;MATCH(F891,FRG!AC:AC,0))</f>
        <v/>
      </c>
      <c r="M891" s="243" t="str">
        <f>IFERROR(__xludf.DUMMYFUNCTION("IF(ISBLANK(F891),,SUBSTITUTE(IFERROR(JOIN("","",F891:K891),JOIN("","",F891:J891)),CHAR(10),""""))"),"")</f>
        <v/>
      </c>
      <c r="N891" s="229" t="str">
        <f t="shared" si="1"/>
        <v/>
      </c>
    </row>
    <row r="892">
      <c r="F892" s="237"/>
      <c r="G892" s="238" t="str">
        <f t="shared" si="3"/>
        <v/>
      </c>
      <c r="H892" s="238" t="str">
        <f t="shared" si="4"/>
        <v/>
      </c>
      <c r="I892" s="237" t="str">
        <f t="shared" ref="I892:J892" si="884">IF(ISBLANK(C892),,""""&amp;C892&amp;"""")</f>
        <v/>
      </c>
      <c r="J892" s="237" t="str">
        <f t="shared" si="884"/>
        <v/>
      </c>
      <c r="K892" s="237" t="str">
        <f>IF(ISBLANK(F892),,Config!$C$3&amp;"&amp;range=BB"&amp;MATCH(F892,FRG!AC:AC,0))</f>
        <v/>
      </c>
      <c r="M892" s="243" t="str">
        <f>IFERROR(__xludf.DUMMYFUNCTION("IF(ISBLANK(F892),,SUBSTITUTE(IFERROR(JOIN("","",F892:K892),JOIN("","",F892:J892)),CHAR(10),""""))"),"")</f>
        <v/>
      </c>
      <c r="N892" s="229" t="str">
        <f t="shared" si="1"/>
        <v/>
      </c>
    </row>
    <row r="893">
      <c r="F893" s="237"/>
      <c r="G893" s="238" t="str">
        <f t="shared" si="3"/>
        <v/>
      </c>
      <c r="H893" s="238" t="str">
        <f t="shared" si="4"/>
        <v/>
      </c>
      <c r="I893" s="237" t="str">
        <f t="shared" ref="I893:J893" si="885">IF(ISBLANK(C893),,""""&amp;C893&amp;"""")</f>
        <v/>
      </c>
      <c r="J893" s="237" t="str">
        <f t="shared" si="885"/>
        <v/>
      </c>
      <c r="K893" s="237" t="str">
        <f>IF(ISBLANK(F893),,Config!$C$3&amp;"&amp;range=BB"&amp;MATCH(F893,FRG!AC:AC,0))</f>
        <v/>
      </c>
      <c r="M893" s="243" t="str">
        <f>IFERROR(__xludf.DUMMYFUNCTION("IF(ISBLANK(F893),,SUBSTITUTE(IFERROR(JOIN("","",F893:K893),JOIN("","",F893:J893)),CHAR(10),""""))"),"")</f>
        <v/>
      </c>
      <c r="N893" s="229" t="str">
        <f t="shared" si="1"/>
        <v/>
      </c>
    </row>
    <row r="894">
      <c r="F894" s="237"/>
      <c r="G894" s="238" t="str">
        <f t="shared" si="3"/>
        <v/>
      </c>
      <c r="H894" s="238" t="str">
        <f t="shared" si="4"/>
        <v/>
      </c>
      <c r="I894" s="237" t="str">
        <f t="shared" ref="I894:J894" si="886">IF(ISBLANK(C894),,""""&amp;C894&amp;"""")</f>
        <v/>
      </c>
      <c r="J894" s="237" t="str">
        <f t="shared" si="886"/>
        <v/>
      </c>
      <c r="K894" s="237" t="str">
        <f>IF(ISBLANK(F894),,Config!$C$3&amp;"&amp;range=BB"&amp;MATCH(F894,FRG!AC:AC,0))</f>
        <v/>
      </c>
      <c r="M894" s="243" t="str">
        <f>IFERROR(__xludf.DUMMYFUNCTION("IF(ISBLANK(F894),,SUBSTITUTE(IFERROR(JOIN("","",F894:K894),JOIN("","",F894:J894)),CHAR(10),""""))"),"")</f>
        <v/>
      </c>
      <c r="N894" s="229" t="str">
        <f t="shared" si="1"/>
        <v/>
      </c>
    </row>
    <row r="895">
      <c r="F895" s="237"/>
      <c r="G895" s="238" t="str">
        <f t="shared" si="3"/>
        <v/>
      </c>
      <c r="H895" s="238" t="str">
        <f t="shared" si="4"/>
        <v/>
      </c>
      <c r="I895" s="237" t="str">
        <f t="shared" ref="I895:J895" si="887">IF(ISBLANK(C895),,""""&amp;C895&amp;"""")</f>
        <v/>
      </c>
      <c r="J895" s="237" t="str">
        <f t="shared" si="887"/>
        <v/>
      </c>
      <c r="K895" s="237" t="str">
        <f>IF(ISBLANK(F895),,Config!$C$3&amp;"&amp;range=BB"&amp;MATCH(F895,FRG!AC:AC,0))</f>
        <v/>
      </c>
      <c r="M895" s="243" t="str">
        <f>IFERROR(__xludf.DUMMYFUNCTION("IF(ISBLANK(F895),,SUBSTITUTE(IFERROR(JOIN("","",F895:K895),JOIN("","",F895:J895)),CHAR(10),""""))"),"")</f>
        <v/>
      </c>
      <c r="N895" s="229" t="str">
        <f t="shared" si="1"/>
        <v/>
      </c>
    </row>
    <row r="896">
      <c r="F896" s="237"/>
      <c r="G896" s="238" t="str">
        <f t="shared" si="3"/>
        <v/>
      </c>
      <c r="H896" s="238" t="str">
        <f t="shared" si="4"/>
        <v/>
      </c>
      <c r="I896" s="237" t="str">
        <f t="shared" ref="I896:J896" si="888">IF(ISBLANK(C896),,""""&amp;C896&amp;"""")</f>
        <v/>
      </c>
      <c r="J896" s="237" t="str">
        <f t="shared" si="888"/>
        <v/>
      </c>
      <c r="K896" s="237" t="str">
        <f>IF(ISBLANK(F896),,Config!$C$3&amp;"&amp;range=BB"&amp;MATCH(F896,FRG!AC:AC,0))</f>
        <v/>
      </c>
      <c r="M896" s="243" t="str">
        <f>IFERROR(__xludf.DUMMYFUNCTION("IF(ISBLANK(F896),,SUBSTITUTE(IFERROR(JOIN("","",F896:K896),JOIN("","",F896:J896)),CHAR(10),""""))"),"")</f>
        <v/>
      </c>
      <c r="N896" s="229" t="str">
        <f t="shared" si="1"/>
        <v/>
      </c>
    </row>
    <row r="897">
      <c r="F897" s="237"/>
      <c r="G897" s="238" t="str">
        <f t="shared" si="3"/>
        <v/>
      </c>
      <c r="H897" s="238" t="str">
        <f t="shared" si="4"/>
        <v/>
      </c>
      <c r="I897" s="237" t="str">
        <f t="shared" ref="I897:J897" si="889">IF(ISBLANK(C897),,""""&amp;C897&amp;"""")</f>
        <v/>
      </c>
      <c r="J897" s="237" t="str">
        <f t="shared" si="889"/>
        <v/>
      </c>
      <c r="K897" s="237" t="str">
        <f>IF(ISBLANK(F897),,Config!$C$3&amp;"&amp;range=BB"&amp;MATCH(F897,FRG!AC:AC,0))</f>
        <v/>
      </c>
      <c r="M897" s="243" t="str">
        <f>IFERROR(__xludf.DUMMYFUNCTION("IF(ISBLANK(F897),,SUBSTITUTE(IFERROR(JOIN("","",F897:K897),JOIN("","",F897:J897)),CHAR(10),""""))"),"")</f>
        <v/>
      </c>
      <c r="N897" s="229" t="str">
        <f t="shared" si="1"/>
        <v/>
      </c>
    </row>
    <row r="898">
      <c r="F898" s="237"/>
      <c r="G898" s="238" t="str">
        <f t="shared" si="3"/>
        <v/>
      </c>
      <c r="H898" s="238" t="str">
        <f t="shared" si="4"/>
        <v/>
      </c>
      <c r="I898" s="237" t="str">
        <f t="shared" ref="I898:J898" si="890">IF(ISBLANK(C898),,""""&amp;C898&amp;"""")</f>
        <v/>
      </c>
      <c r="J898" s="237" t="str">
        <f t="shared" si="890"/>
        <v/>
      </c>
      <c r="K898" s="237" t="str">
        <f>IF(ISBLANK(F898),,Config!$C$3&amp;"&amp;range=BB"&amp;MATCH(F898,FRG!AC:AC,0))</f>
        <v/>
      </c>
      <c r="M898" s="243" t="str">
        <f>IFERROR(__xludf.DUMMYFUNCTION("IF(ISBLANK(F898),,SUBSTITUTE(IFERROR(JOIN("","",F898:K898),JOIN("","",F898:J898)),CHAR(10),""""))"),"")</f>
        <v/>
      </c>
      <c r="N898" s="229" t="str">
        <f t="shared" si="1"/>
        <v/>
      </c>
    </row>
    <row r="899">
      <c r="F899" s="237"/>
      <c r="G899" s="238" t="str">
        <f t="shared" si="3"/>
        <v/>
      </c>
      <c r="H899" s="238" t="str">
        <f t="shared" si="4"/>
        <v/>
      </c>
      <c r="I899" s="237" t="str">
        <f t="shared" ref="I899:J899" si="891">IF(ISBLANK(C899),,""""&amp;C899&amp;"""")</f>
        <v/>
      </c>
      <c r="J899" s="237" t="str">
        <f t="shared" si="891"/>
        <v/>
      </c>
      <c r="K899" s="237" t="str">
        <f>IF(ISBLANK(F899),,Config!$C$3&amp;"&amp;range=BB"&amp;MATCH(F899,FRG!AC:AC,0))</f>
        <v/>
      </c>
      <c r="M899" s="243" t="str">
        <f>IFERROR(__xludf.DUMMYFUNCTION("IF(ISBLANK(F899),,SUBSTITUTE(IFERROR(JOIN("","",F899:K899),JOIN("","",F899:J899)),CHAR(10),""""))"),"")</f>
        <v/>
      </c>
      <c r="N899" s="229" t="str">
        <f t="shared" si="1"/>
        <v/>
      </c>
    </row>
    <row r="900">
      <c r="F900" s="237"/>
      <c r="G900" s="238" t="str">
        <f t="shared" si="3"/>
        <v/>
      </c>
      <c r="H900" s="238" t="str">
        <f t="shared" si="4"/>
        <v/>
      </c>
      <c r="I900" s="237" t="str">
        <f t="shared" ref="I900:J900" si="892">IF(ISBLANK(C900),,""""&amp;C900&amp;"""")</f>
        <v/>
      </c>
      <c r="J900" s="237" t="str">
        <f t="shared" si="892"/>
        <v/>
      </c>
      <c r="K900" s="237" t="str">
        <f>IF(ISBLANK(F900),,Config!$C$3&amp;"&amp;range=BB"&amp;MATCH(F900,FRG!AC:AC,0))</f>
        <v/>
      </c>
      <c r="M900" s="243" t="str">
        <f>IFERROR(__xludf.DUMMYFUNCTION("IF(ISBLANK(F900),,SUBSTITUTE(IFERROR(JOIN("","",F900:K900),JOIN("","",F900:J900)),CHAR(10),""""))"),"")</f>
        <v/>
      </c>
      <c r="N900" s="229" t="str">
        <f t="shared" si="1"/>
        <v/>
      </c>
    </row>
    <row r="901">
      <c r="F901" s="237"/>
      <c r="G901" s="238" t="str">
        <f t="shared" si="3"/>
        <v/>
      </c>
      <c r="H901" s="238" t="str">
        <f t="shared" si="4"/>
        <v/>
      </c>
      <c r="I901" s="237" t="str">
        <f t="shared" ref="I901:J901" si="893">IF(ISBLANK(C901),,""""&amp;C901&amp;"""")</f>
        <v/>
      </c>
      <c r="J901" s="237" t="str">
        <f t="shared" si="893"/>
        <v/>
      </c>
      <c r="K901" s="237" t="str">
        <f>IF(ISBLANK(F901),,Config!$C$3&amp;"&amp;range=BB"&amp;MATCH(F901,FRG!AC:AC,0))</f>
        <v/>
      </c>
      <c r="M901" s="243" t="str">
        <f>IFERROR(__xludf.DUMMYFUNCTION("IF(ISBLANK(F901),,SUBSTITUTE(IFERROR(JOIN("","",F901:K901),JOIN("","",F901:J901)),CHAR(10),""""))"),"")</f>
        <v/>
      </c>
      <c r="N901" s="229" t="str">
        <f t="shared" si="1"/>
        <v/>
      </c>
    </row>
    <row r="902">
      <c r="F902" s="237"/>
      <c r="G902" s="238" t="str">
        <f t="shared" si="3"/>
        <v/>
      </c>
      <c r="H902" s="238" t="str">
        <f t="shared" si="4"/>
        <v/>
      </c>
      <c r="I902" s="237" t="str">
        <f t="shared" ref="I902:J902" si="894">IF(ISBLANK(C902),,""""&amp;C902&amp;"""")</f>
        <v/>
      </c>
      <c r="J902" s="237" t="str">
        <f t="shared" si="894"/>
        <v/>
      </c>
      <c r="K902" s="237" t="str">
        <f>IF(ISBLANK(F902),,Config!$C$3&amp;"&amp;range=BB"&amp;MATCH(F902,FRG!AC:AC,0))</f>
        <v/>
      </c>
      <c r="M902" s="243" t="str">
        <f>IFERROR(__xludf.DUMMYFUNCTION("IF(ISBLANK(F902),,SUBSTITUTE(IFERROR(JOIN("","",F902:K902),JOIN("","",F902:J902)),CHAR(10),""""))"),"")</f>
        <v/>
      </c>
      <c r="N902" s="229" t="str">
        <f t="shared" si="1"/>
        <v/>
      </c>
    </row>
    <row r="903">
      <c r="F903" s="237"/>
      <c r="G903" s="238" t="str">
        <f t="shared" si="3"/>
        <v/>
      </c>
      <c r="H903" s="238" t="str">
        <f t="shared" si="4"/>
        <v/>
      </c>
      <c r="I903" s="237" t="str">
        <f t="shared" ref="I903:J903" si="895">IF(ISBLANK(C903),,""""&amp;C903&amp;"""")</f>
        <v/>
      </c>
      <c r="J903" s="237" t="str">
        <f t="shared" si="895"/>
        <v/>
      </c>
      <c r="K903" s="237" t="str">
        <f>IF(ISBLANK(F903),,Config!$C$3&amp;"&amp;range=BB"&amp;MATCH(F903,FRG!AC:AC,0))</f>
        <v/>
      </c>
      <c r="M903" s="243" t="str">
        <f>IFERROR(__xludf.DUMMYFUNCTION("IF(ISBLANK(F903),,SUBSTITUTE(IFERROR(JOIN("","",F903:K903),JOIN("","",F903:J903)),CHAR(10),""""))"),"")</f>
        <v/>
      </c>
      <c r="N903" s="229" t="str">
        <f t="shared" si="1"/>
        <v/>
      </c>
    </row>
    <row r="904">
      <c r="F904" s="237"/>
      <c r="G904" s="238" t="str">
        <f t="shared" si="3"/>
        <v/>
      </c>
      <c r="H904" s="238" t="str">
        <f t="shared" si="4"/>
        <v/>
      </c>
      <c r="I904" s="237" t="str">
        <f t="shared" ref="I904:J904" si="896">IF(ISBLANK(C904),,""""&amp;C904&amp;"""")</f>
        <v/>
      </c>
      <c r="J904" s="237" t="str">
        <f t="shared" si="896"/>
        <v/>
      </c>
      <c r="K904" s="237" t="str">
        <f>IF(ISBLANK(F904),,Config!$C$3&amp;"&amp;range=BB"&amp;MATCH(F904,FRG!AC:AC,0))</f>
        <v/>
      </c>
      <c r="M904" s="243" t="str">
        <f>IFERROR(__xludf.DUMMYFUNCTION("IF(ISBLANK(F904),,SUBSTITUTE(IFERROR(JOIN("","",F904:K904),JOIN("","",F904:J904)),CHAR(10),""""))"),"")</f>
        <v/>
      </c>
      <c r="N904" s="229" t="str">
        <f t="shared" si="1"/>
        <v/>
      </c>
    </row>
    <row r="905">
      <c r="F905" s="237"/>
      <c r="G905" s="238" t="str">
        <f t="shared" si="3"/>
        <v/>
      </c>
      <c r="H905" s="238" t="str">
        <f t="shared" si="4"/>
        <v/>
      </c>
      <c r="I905" s="237" t="str">
        <f t="shared" ref="I905:J905" si="897">IF(ISBLANK(C905),,""""&amp;C905&amp;"""")</f>
        <v/>
      </c>
      <c r="J905" s="237" t="str">
        <f t="shared" si="897"/>
        <v/>
      </c>
      <c r="K905" s="237" t="str">
        <f>IF(ISBLANK(F905),,Config!$C$3&amp;"&amp;range=BB"&amp;MATCH(F905,FRG!AC:AC,0))</f>
        <v/>
      </c>
      <c r="M905" s="243" t="str">
        <f>IFERROR(__xludf.DUMMYFUNCTION("IF(ISBLANK(F905),,SUBSTITUTE(IFERROR(JOIN("","",F905:K905),JOIN("","",F905:J905)),CHAR(10),""""))"),"")</f>
        <v/>
      </c>
      <c r="N905" s="229" t="str">
        <f t="shared" si="1"/>
        <v/>
      </c>
    </row>
    <row r="906">
      <c r="F906" s="237"/>
      <c r="G906" s="238" t="str">
        <f t="shared" si="3"/>
        <v/>
      </c>
      <c r="H906" s="238" t="str">
        <f t="shared" si="4"/>
        <v/>
      </c>
      <c r="I906" s="237" t="str">
        <f t="shared" ref="I906:J906" si="898">IF(ISBLANK(C906),,""""&amp;C906&amp;"""")</f>
        <v/>
      </c>
      <c r="J906" s="237" t="str">
        <f t="shared" si="898"/>
        <v/>
      </c>
      <c r="K906" s="237" t="str">
        <f>IF(ISBLANK(F906),,Config!$C$3&amp;"&amp;range=BB"&amp;MATCH(F906,FRG!AC:AC,0))</f>
        <v/>
      </c>
      <c r="M906" s="243" t="str">
        <f>IFERROR(__xludf.DUMMYFUNCTION("IF(ISBLANK(F906),,SUBSTITUTE(IFERROR(JOIN("","",F906:K906),JOIN("","",F906:J906)),CHAR(10),""""))"),"")</f>
        <v/>
      </c>
      <c r="N906" s="229" t="str">
        <f t="shared" si="1"/>
        <v/>
      </c>
    </row>
    <row r="907">
      <c r="F907" s="237"/>
      <c r="G907" s="238" t="str">
        <f t="shared" si="3"/>
        <v/>
      </c>
      <c r="H907" s="238" t="str">
        <f t="shared" si="4"/>
        <v/>
      </c>
      <c r="I907" s="237" t="str">
        <f t="shared" ref="I907:J907" si="899">IF(ISBLANK(C907),,""""&amp;C907&amp;"""")</f>
        <v/>
      </c>
      <c r="J907" s="237" t="str">
        <f t="shared" si="899"/>
        <v/>
      </c>
      <c r="K907" s="237" t="str">
        <f>IF(ISBLANK(F907),,Config!$C$3&amp;"&amp;range=BB"&amp;MATCH(F907,FRG!AC:AC,0))</f>
        <v/>
      </c>
      <c r="M907" s="243" t="str">
        <f>IFERROR(__xludf.DUMMYFUNCTION("IF(ISBLANK(F907),,SUBSTITUTE(IFERROR(JOIN("","",F907:K907),JOIN("","",F907:J907)),CHAR(10),""""))"),"")</f>
        <v/>
      </c>
      <c r="N907" s="229" t="str">
        <f t="shared" si="1"/>
        <v/>
      </c>
    </row>
    <row r="908">
      <c r="F908" s="237"/>
      <c r="G908" s="238" t="str">
        <f t="shared" si="3"/>
        <v/>
      </c>
      <c r="H908" s="238" t="str">
        <f t="shared" si="4"/>
        <v/>
      </c>
      <c r="I908" s="237" t="str">
        <f t="shared" ref="I908:J908" si="900">IF(ISBLANK(C908),,""""&amp;C908&amp;"""")</f>
        <v/>
      </c>
      <c r="J908" s="237" t="str">
        <f t="shared" si="900"/>
        <v/>
      </c>
      <c r="K908" s="237" t="str">
        <f>IF(ISBLANK(F908),,Config!$C$3&amp;"&amp;range=BB"&amp;MATCH(F908,FRG!AC:AC,0))</f>
        <v/>
      </c>
      <c r="M908" s="243" t="str">
        <f>IFERROR(__xludf.DUMMYFUNCTION("IF(ISBLANK(F908),,SUBSTITUTE(IFERROR(JOIN("","",F908:K908),JOIN("","",F908:J908)),CHAR(10),""""))"),"")</f>
        <v/>
      </c>
      <c r="N908" s="229" t="str">
        <f t="shared" si="1"/>
        <v/>
      </c>
    </row>
    <row r="909">
      <c r="F909" s="237"/>
      <c r="G909" s="238" t="str">
        <f t="shared" si="3"/>
        <v/>
      </c>
      <c r="H909" s="238" t="str">
        <f t="shared" si="4"/>
        <v/>
      </c>
      <c r="I909" s="237" t="str">
        <f t="shared" ref="I909:J909" si="901">IF(ISBLANK(C909),,""""&amp;C909&amp;"""")</f>
        <v/>
      </c>
      <c r="J909" s="237" t="str">
        <f t="shared" si="901"/>
        <v/>
      </c>
      <c r="K909" s="237" t="str">
        <f>IF(ISBLANK(F909),,Config!$C$3&amp;"&amp;range=BB"&amp;MATCH(F909,FRG!AC:AC,0))</f>
        <v/>
      </c>
      <c r="M909" s="243" t="str">
        <f>IFERROR(__xludf.DUMMYFUNCTION("IF(ISBLANK(F909),,SUBSTITUTE(IFERROR(JOIN("","",F909:K909),JOIN("","",F909:J909)),CHAR(10),""""))"),"")</f>
        <v/>
      </c>
      <c r="N909" s="229" t="str">
        <f t="shared" si="1"/>
        <v/>
      </c>
    </row>
    <row r="910">
      <c r="F910" s="237"/>
      <c r="G910" s="238" t="str">
        <f t="shared" si="3"/>
        <v/>
      </c>
      <c r="H910" s="238" t="str">
        <f t="shared" si="4"/>
        <v/>
      </c>
      <c r="I910" s="237" t="str">
        <f t="shared" ref="I910:J910" si="902">IF(ISBLANK(C910),,""""&amp;C910&amp;"""")</f>
        <v/>
      </c>
      <c r="J910" s="237" t="str">
        <f t="shared" si="902"/>
        <v/>
      </c>
      <c r="K910" s="237" t="str">
        <f>IF(ISBLANK(F910),,Config!$C$3&amp;"&amp;range=BB"&amp;MATCH(F910,FRG!AC:AC,0))</f>
        <v/>
      </c>
      <c r="M910" s="243" t="str">
        <f>IFERROR(__xludf.DUMMYFUNCTION("IF(ISBLANK(F910),,SUBSTITUTE(IFERROR(JOIN("","",F910:K910),JOIN("","",F910:J910)),CHAR(10),""""))"),"")</f>
        <v/>
      </c>
      <c r="N910" s="229" t="str">
        <f t="shared" si="1"/>
        <v/>
      </c>
    </row>
    <row r="911">
      <c r="F911" s="237"/>
      <c r="G911" s="238" t="str">
        <f t="shared" si="3"/>
        <v/>
      </c>
      <c r="H911" s="238" t="str">
        <f t="shared" si="4"/>
        <v/>
      </c>
      <c r="I911" s="237" t="str">
        <f t="shared" ref="I911:J911" si="903">IF(ISBLANK(C911),,""""&amp;C911&amp;"""")</f>
        <v/>
      </c>
      <c r="J911" s="237" t="str">
        <f t="shared" si="903"/>
        <v/>
      </c>
      <c r="K911" s="237" t="str">
        <f>IF(ISBLANK(F911),,Config!$C$3&amp;"&amp;range=BB"&amp;MATCH(F911,FRG!AC:AC,0))</f>
        <v/>
      </c>
      <c r="M911" s="243" t="str">
        <f>IFERROR(__xludf.DUMMYFUNCTION("IF(ISBLANK(F911),,SUBSTITUTE(IFERROR(JOIN("","",F911:K911),JOIN("","",F911:J911)),CHAR(10),""""))"),"")</f>
        <v/>
      </c>
      <c r="N911" s="229" t="str">
        <f t="shared" si="1"/>
        <v/>
      </c>
    </row>
    <row r="912">
      <c r="F912" s="237"/>
      <c r="G912" s="238" t="str">
        <f t="shared" si="3"/>
        <v/>
      </c>
      <c r="H912" s="238" t="str">
        <f t="shared" si="4"/>
        <v/>
      </c>
      <c r="I912" s="237" t="str">
        <f t="shared" ref="I912:J912" si="904">IF(ISBLANK(C912),,""""&amp;C912&amp;"""")</f>
        <v/>
      </c>
      <c r="J912" s="237" t="str">
        <f t="shared" si="904"/>
        <v/>
      </c>
      <c r="K912" s="237" t="str">
        <f>IF(ISBLANK(F912),,Config!$C$3&amp;"&amp;range=BB"&amp;MATCH(F912,FRG!AC:AC,0))</f>
        <v/>
      </c>
      <c r="M912" s="243" t="str">
        <f>IFERROR(__xludf.DUMMYFUNCTION("IF(ISBLANK(F912),,SUBSTITUTE(IFERROR(JOIN("","",F912:K912),JOIN("","",F912:J912)),CHAR(10),""""))"),"")</f>
        <v/>
      </c>
      <c r="N912" s="229" t="str">
        <f t="shared" si="1"/>
        <v/>
      </c>
    </row>
    <row r="913">
      <c r="F913" s="237"/>
      <c r="G913" s="238" t="str">
        <f t="shared" si="3"/>
        <v/>
      </c>
      <c r="H913" s="238" t="str">
        <f t="shared" si="4"/>
        <v/>
      </c>
      <c r="I913" s="237" t="str">
        <f t="shared" ref="I913:J913" si="905">IF(ISBLANK(C913),,""""&amp;C913&amp;"""")</f>
        <v/>
      </c>
      <c r="J913" s="237" t="str">
        <f t="shared" si="905"/>
        <v/>
      </c>
      <c r="K913" s="237" t="str">
        <f>IF(ISBLANK(F913),,Config!$C$3&amp;"&amp;range=BB"&amp;MATCH(F913,FRG!AC:AC,0))</f>
        <v/>
      </c>
      <c r="M913" s="243" t="str">
        <f>IFERROR(__xludf.DUMMYFUNCTION("IF(ISBLANK(F913),,SUBSTITUTE(IFERROR(JOIN("","",F913:K913),JOIN("","",F913:J913)),CHAR(10),""""))"),"")</f>
        <v/>
      </c>
      <c r="N913" s="229" t="str">
        <f t="shared" si="1"/>
        <v/>
      </c>
    </row>
    <row r="914">
      <c r="F914" s="237"/>
      <c r="G914" s="238" t="str">
        <f t="shared" si="3"/>
        <v/>
      </c>
      <c r="H914" s="238" t="str">
        <f t="shared" si="4"/>
        <v/>
      </c>
      <c r="I914" s="237" t="str">
        <f t="shared" ref="I914:J914" si="906">IF(ISBLANK(C914),,""""&amp;C914&amp;"""")</f>
        <v/>
      </c>
      <c r="J914" s="237" t="str">
        <f t="shared" si="906"/>
        <v/>
      </c>
      <c r="K914" s="237" t="str">
        <f>IF(ISBLANK(F914),,Config!$C$3&amp;"&amp;range=BB"&amp;MATCH(F914,FRG!AC:AC,0))</f>
        <v/>
      </c>
      <c r="M914" s="243" t="str">
        <f>IFERROR(__xludf.DUMMYFUNCTION("IF(ISBLANK(F914),,SUBSTITUTE(IFERROR(JOIN("","",F914:K914),JOIN("","",F914:J914)),CHAR(10),""""))"),"")</f>
        <v/>
      </c>
      <c r="N914" s="229" t="str">
        <f t="shared" si="1"/>
        <v/>
      </c>
    </row>
    <row r="915">
      <c r="F915" s="237"/>
      <c r="G915" s="238" t="str">
        <f t="shared" si="3"/>
        <v/>
      </c>
      <c r="H915" s="238" t="str">
        <f t="shared" si="4"/>
        <v/>
      </c>
      <c r="I915" s="237" t="str">
        <f t="shared" ref="I915:J915" si="907">IF(ISBLANK(C915),,""""&amp;C915&amp;"""")</f>
        <v/>
      </c>
      <c r="J915" s="237" t="str">
        <f t="shared" si="907"/>
        <v/>
      </c>
      <c r="K915" s="237" t="str">
        <f>IF(ISBLANK(F915),,Config!$C$3&amp;"&amp;range=BB"&amp;MATCH(F915,FRG!AC:AC,0))</f>
        <v/>
      </c>
      <c r="M915" s="243" t="str">
        <f>IFERROR(__xludf.DUMMYFUNCTION("IF(ISBLANK(F915),,SUBSTITUTE(IFERROR(JOIN("","",F915:K915),JOIN("","",F915:J915)),CHAR(10),""""))"),"")</f>
        <v/>
      </c>
      <c r="N915" s="229" t="str">
        <f t="shared" si="1"/>
        <v/>
      </c>
    </row>
    <row r="916">
      <c r="F916" s="237"/>
      <c r="G916" s="238" t="str">
        <f t="shared" si="3"/>
        <v/>
      </c>
      <c r="H916" s="238" t="str">
        <f t="shared" si="4"/>
        <v/>
      </c>
      <c r="I916" s="237" t="str">
        <f t="shared" ref="I916:J916" si="908">IF(ISBLANK(C916),,""""&amp;C916&amp;"""")</f>
        <v/>
      </c>
      <c r="J916" s="237" t="str">
        <f t="shared" si="908"/>
        <v/>
      </c>
      <c r="K916" s="237" t="str">
        <f>IF(ISBLANK(F916),,Config!$C$3&amp;"&amp;range=BB"&amp;MATCH(F916,FRG!AC:AC,0))</f>
        <v/>
      </c>
      <c r="M916" s="243" t="str">
        <f>IFERROR(__xludf.DUMMYFUNCTION("IF(ISBLANK(F916),,SUBSTITUTE(IFERROR(JOIN("","",F916:K916),JOIN("","",F916:J916)),CHAR(10),""""))"),"")</f>
        <v/>
      </c>
      <c r="N916" s="229" t="str">
        <f t="shared" si="1"/>
        <v/>
      </c>
    </row>
    <row r="917">
      <c r="F917" s="237"/>
      <c r="G917" s="238" t="str">
        <f t="shared" si="3"/>
        <v/>
      </c>
      <c r="H917" s="238" t="str">
        <f t="shared" si="4"/>
        <v/>
      </c>
      <c r="I917" s="237" t="str">
        <f t="shared" ref="I917:J917" si="909">IF(ISBLANK(C917),,""""&amp;C917&amp;"""")</f>
        <v/>
      </c>
      <c r="J917" s="237" t="str">
        <f t="shared" si="909"/>
        <v/>
      </c>
      <c r="K917" s="237" t="str">
        <f>IF(ISBLANK(F917),,Config!$C$3&amp;"&amp;range=BB"&amp;MATCH(F917,FRG!AC:AC,0))</f>
        <v/>
      </c>
      <c r="M917" s="243" t="str">
        <f>IFERROR(__xludf.DUMMYFUNCTION("IF(ISBLANK(F917),,SUBSTITUTE(IFERROR(JOIN("","",F917:K917),JOIN("","",F917:J917)),CHAR(10),""""))"),"")</f>
        <v/>
      </c>
      <c r="N917" s="229" t="str">
        <f t="shared" si="1"/>
        <v/>
      </c>
    </row>
    <row r="918">
      <c r="F918" s="237"/>
      <c r="G918" s="238" t="str">
        <f t="shared" si="3"/>
        <v/>
      </c>
      <c r="H918" s="238" t="str">
        <f t="shared" si="4"/>
        <v/>
      </c>
      <c r="I918" s="237" t="str">
        <f t="shared" ref="I918:J918" si="910">IF(ISBLANK(C918),,""""&amp;C918&amp;"""")</f>
        <v/>
      </c>
      <c r="J918" s="237" t="str">
        <f t="shared" si="910"/>
        <v/>
      </c>
      <c r="K918" s="237" t="str">
        <f>IF(ISBLANK(F918),,Config!$C$3&amp;"&amp;range=BB"&amp;MATCH(F918,FRG!AC:AC,0))</f>
        <v/>
      </c>
      <c r="M918" s="243" t="str">
        <f>IFERROR(__xludf.DUMMYFUNCTION("IF(ISBLANK(F918),,SUBSTITUTE(IFERROR(JOIN("","",F918:K918),JOIN("","",F918:J918)),CHAR(10),""""))"),"")</f>
        <v/>
      </c>
      <c r="N918" s="229" t="str">
        <f t="shared" si="1"/>
        <v/>
      </c>
    </row>
    <row r="919">
      <c r="F919" s="237"/>
      <c r="G919" s="238" t="str">
        <f t="shared" si="3"/>
        <v/>
      </c>
      <c r="H919" s="238" t="str">
        <f t="shared" si="4"/>
        <v/>
      </c>
      <c r="I919" s="237" t="str">
        <f t="shared" ref="I919:J919" si="911">IF(ISBLANK(C919),,""""&amp;C919&amp;"""")</f>
        <v/>
      </c>
      <c r="J919" s="237" t="str">
        <f t="shared" si="911"/>
        <v/>
      </c>
      <c r="K919" s="237" t="str">
        <f>IF(ISBLANK(F919),,Config!$C$3&amp;"&amp;range=BB"&amp;MATCH(F919,FRG!AC:AC,0))</f>
        <v/>
      </c>
      <c r="M919" s="243" t="str">
        <f>IFERROR(__xludf.DUMMYFUNCTION("IF(ISBLANK(F919),,SUBSTITUTE(IFERROR(JOIN("","",F919:K919),JOIN("","",F919:J919)),CHAR(10),""""))"),"")</f>
        <v/>
      </c>
      <c r="N919" s="229" t="str">
        <f t="shared" si="1"/>
        <v/>
      </c>
    </row>
    <row r="920">
      <c r="F920" s="237"/>
      <c r="G920" s="238" t="str">
        <f t="shared" si="3"/>
        <v/>
      </c>
      <c r="H920" s="238" t="str">
        <f t="shared" si="4"/>
        <v/>
      </c>
      <c r="I920" s="237" t="str">
        <f t="shared" ref="I920:J920" si="912">IF(ISBLANK(C920),,""""&amp;C920&amp;"""")</f>
        <v/>
      </c>
      <c r="J920" s="237" t="str">
        <f t="shared" si="912"/>
        <v/>
      </c>
      <c r="K920" s="237" t="str">
        <f>IF(ISBLANK(F920),,Config!$C$3&amp;"&amp;range=BB"&amp;MATCH(F920,FRG!AC:AC,0))</f>
        <v/>
      </c>
      <c r="M920" s="243" t="str">
        <f>IFERROR(__xludf.DUMMYFUNCTION("IF(ISBLANK(F920),,SUBSTITUTE(IFERROR(JOIN("","",F920:K920),JOIN("","",F920:J920)),CHAR(10),""""))"),"")</f>
        <v/>
      </c>
      <c r="N920" s="229" t="str">
        <f t="shared" si="1"/>
        <v/>
      </c>
    </row>
    <row r="921">
      <c r="F921" s="237"/>
      <c r="G921" s="238" t="str">
        <f t="shared" si="3"/>
        <v/>
      </c>
      <c r="H921" s="238" t="str">
        <f t="shared" si="4"/>
        <v/>
      </c>
      <c r="I921" s="237" t="str">
        <f t="shared" ref="I921:J921" si="913">IF(ISBLANK(C921),,""""&amp;C921&amp;"""")</f>
        <v/>
      </c>
      <c r="J921" s="237" t="str">
        <f t="shared" si="913"/>
        <v/>
      </c>
      <c r="K921" s="237" t="str">
        <f>IF(ISBLANK(F921),,Config!$C$3&amp;"&amp;range=BB"&amp;MATCH(F921,FRG!AC:AC,0))</f>
        <v/>
      </c>
      <c r="M921" s="243" t="str">
        <f>IFERROR(__xludf.DUMMYFUNCTION("IF(ISBLANK(F921),,SUBSTITUTE(IFERROR(JOIN("","",F921:K921),JOIN("","",F921:J921)),CHAR(10),""""))"),"")</f>
        <v/>
      </c>
      <c r="N921" s="229" t="str">
        <f t="shared" si="1"/>
        <v/>
      </c>
    </row>
    <row r="922">
      <c r="F922" s="237"/>
      <c r="G922" s="238" t="str">
        <f t="shared" si="3"/>
        <v/>
      </c>
      <c r="H922" s="238" t="str">
        <f t="shared" si="4"/>
        <v/>
      </c>
      <c r="I922" s="237" t="str">
        <f t="shared" ref="I922:J922" si="914">IF(ISBLANK(C922),,""""&amp;C922&amp;"""")</f>
        <v/>
      </c>
      <c r="J922" s="237" t="str">
        <f t="shared" si="914"/>
        <v/>
      </c>
      <c r="K922" s="237" t="str">
        <f>IF(ISBLANK(F922),,Config!$C$3&amp;"&amp;range=BB"&amp;MATCH(F922,FRG!AC:AC,0))</f>
        <v/>
      </c>
      <c r="M922" s="243" t="str">
        <f>IFERROR(__xludf.DUMMYFUNCTION("IF(ISBLANK(F922),,SUBSTITUTE(IFERROR(JOIN("","",F922:K922),JOIN("","",F922:J922)),CHAR(10),""""))"),"")</f>
        <v/>
      </c>
      <c r="N922" s="229" t="str">
        <f t="shared" si="1"/>
        <v/>
      </c>
    </row>
    <row r="923">
      <c r="F923" s="237"/>
      <c r="G923" s="238" t="str">
        <f t="shared" si="3"/>
        <v/>
      </c>
      <c r="H923" s="238" t="str">
        <f t="shared" si="4"/>
        <v/>
      </c>
      <c r="I923" s="237" t="str">
        <f t="shared" ref="I923:J923" si="915">IF(ISBLANK(C923),,""""&amp;C923&amp;"""")</f>
        <v/>
      </c>
      <c r="J923" s="237" t="str">
        <f t="shared" si="915"/>
        <v/>
      </c>
      <c r="K923" s="237" t="str">
        <f>IF(ISBLANK(F923),,Config!$C$3&amp;"&amp;range=BB"&amp;MATCH(F923,FRG!AC:AC,0))</f>
        <v/>
      </c>
      <c r="M923" s="243" t="str">
        <f>IFERROR(__xludf.DUMMYFUNCTION("IF(ISBLANK(F923),,SUBSTITUTE(IFERROR(JOIN("","",F923:K923),JOIN("","",F923:J923)),CHAR(10),""""))"),"")</f>
        <v/>
      </c>
      <c r="N923" s="229" t="str">
        <f t="shared" si="1"/>
        <v/>
      </c>
    </row>
    <row r="924">
      <c r="F924" s="237"/>
      <c r="G924" s="238" t="str">
        <f t="shared" si="3"/>
        <v/>
      </c>
      <c r="H924" s="238" t="str">
        <f t="shared" si="4"/>
        <v/>
      </c>
      <c r="I924" s="237" t="str">
        <f t="shared" ref="I924:J924" si="916">IF(ISBLANK(C924),,""""&amp;C924&amp;"""")</f>
        <v/>
      </c>
      <c r="J924" s="237" t="str">
        <f t="shared" si="916"/>
        <v/>
      </c>
      <c r="K924" s="237" t="str">
        <f>IF(ISBLANK(F924),,Config!$C$3&amp;"&amp;range=BB"&amp;MATCH(F924,FRG!AC:AC,0))</f>
        <v/>
      </c>
      <c r="M924" s="243" t="str">
        <f>IFERROR(__xludf.DUMMYFUNCTION("IF(ISBLANK(F924),,SUBSTITUTE(IFERROR(JOIN("","",F924:K924),JOIN("","",F924:J924)),CHAR(10),""""))"),"")</f>
        <v/>
      </c>
      <c r="N924" s="229" t="str">
        <f t="shared" si="1"/>
        <v/>
      </c>
    </row>
    <row r="925">
      <c r="F925" s="237"/>
      <c r="G925" s="238" t="str">
        <f t="shared" si="3"/>
        <v/>
      </c>
      <c r="H925" s="238" t="str">
        <f t="shared" si="4"/>
        <v/>
      </c>
      <c r="I925" s="237" t="str">
        <f t="shared" ref="I925:J925" si="917">IF(ISBLANK(C925),,""""&amp;C925&amp;"""")</f>
        <v/>
      </c>
      <c r="J925" s="237" t="str">
        <f t="shared" si="917"/>
        <v/>
      </c>
      <c r="K925" s="237" t="str">
        <f>IF(ISBLANK(F925),,Config!$C$3&amp;"&amp;range=BB"&amp;MATCH(F925,FRG!AC:AC,0))</f>
        <v/>
      </c>
      <c r="M925" s="243" t="str">
        <f>IFERROR(__xludf.DUMMYFUNCTION("IF(ISBLANK(F925),,SUBSTITUTE(IFERROR(JOIN("","",F925:K925),JOIN("","",F925:J925)),CHAR(10),""""))"),"")</f>
        <v/>
      </c>
      <c r="N925" s="229" t="str">
        <f t="shared" si="1"/>
        <v/>
      </c>
    </row>
    <row r="926">
      <c r="F926" s="237"/>
      <c r="G926" s="238" t="str">
        <f t="shared" si="3"/>
        <v/>
      </c>
      <c r="H926" s="238" t="str">
        <f t="shared" si="4"/>
        <v/>
      </c>
      <c r="I926" s="237" t="str">
        <f t="shared" ref="I926:J926" si="918">IF(ISBLANK(C926),,""""&amp;C926&amp;"""")</f>
        <v/>
      </c>
      <c r="J926" s="237" t="str">
        <f t="shared" si="918"/>
        <v/>
      </c>
      <c r="K926" s="237" t="str">
        <f>IF(ISBLANK(F926),,Config!$C$3&amp;"&amp;range=BB"&amp;MATCH(F926,FRG!AC:AC,0))</f>
        <v/>
      </c>
      <c r="M926" s="243" t="str">
        <f>IFERROR(__xludf.DUMMYFUNCTION("IF(ISBLANK(F926),,SUBSTITUTE(IFERROR(JOIN("","",F926:K926),JOIN("","",F926:J926)),CHAR(10),""""))"),"")</f>
        <v/>
      </c>
      <c r="N926" s="229" t="str">
        <f t="shared" si="1"/>
        <v/>
      </c>
    </row>
    <row r="927">
      <c r="F927" s="237"/>
      <c r="G927" s="238" t="str">
        <f t="shared" si="3"/>
        <v/>
      </c>
      <c r="H927" s="238" t="str">
        <f t="shared" si="4"/>
        <v/>
      </c>
      <c r="I927" s="237" t="str">
        <f t="shared" ref="I927:J927" si="919">IF(ISBLANK(C927),,""""&amp;C927&amp;"""")</f>
        <v/>
      </c>
      <c r="J927" s="237" t="str">
        <f t="shared" si="919"/>
        <v/>
      </c>
      <c r="K927" s="237" t="str">
        <f>IF(ISBLANK(F927),,Config!$C$3&amp;"&amp;range=BB"&amp;MATCH(F927,FRG!AC:AC,0))</f>
        <v/>
      </c>
      <c r="M927" s="243" t="str">
        <f>IFERROR(__xludf.DUMMYFUNCTION("IF(ISBLANK(F927),,SUBSTITUTE(IFERROR(JOIN("","",F927:K927),JOIN("","",F927:J927)),CHAR(10),""""))"),"")</f>
        <v/>
      </c>
      <c r="N927" s="229" t="str">
        <f t="shared" si="1"/>
        <v/>
      </c>
    </row>
    <row r="928">
      <c r="F928" s="237"/>
      <c r="G928" s="238" t="str">
        <f t="shared" si="3"/>
        <v/>
      </c>
      <c r="H928" s="238" t="str">
        <f t="shared" si="4"/>
        <v/>
      </c>
      <c r="I928" s="237" t="str">
        <f t="shared" ref="I928:J928" si="920">IF(ISBLANK(C928),,""""&amp;C928&amp;"""")</f>
        <v/>
      </c>
      <c r="J928" s="237" t="str">
        <f t="shared" si="920"/>
        <v/>
      </c>
      <c r="K928" s="237" t="str">
        <f>IF(ISBLANK(F928),,Config!$C$3&amp;"&amp;range=BB"&amp;MATCH(F928,FRG!AC:AC,0))</f>
        <v/>
      </c>
      <c r="M928" s="243" t="str">
        <f>IFERROR(__xludf.DUMMYFUNCTION("IF(ISBLANK(F928),,SUBSTITUTE(IFERROR(JOIN("","",F928:K928),JOIN("","",F928:J928)),CHAR(10),""""))"),"")</f>
        <v/>
      </c>
      <c r="N928" s="229" t="str">
        <f t="shared" si="1"/>
        <v/>
      </c>
    </row>
    <row r="929">
      <c r="F929" s="237"/>
      <c r="G929" s="238" t="str">
        <f t="shared" si="3"/>
        <v/>
      </c>
      <c r="H929" s="238" t="str">
        <f t="shared" si="4"/>
        <v/>
      </c>
      <c r="I929" s="237" t="str">
        <f t="shared" ref="I929:J929" si="921">IF(ISBLANK(C929),,""""&amp;C929&amp;"""")</f>
        <v/>
      </c>
      <c r="J929" s="237" t="str">
        <f t="shared" si="921"/>
        <v/>
      </c>
      <c r="K929" s="237" t="str">
        <f>IF(ISBLANK(F929),,Config!$C$3&amp;"&amp;range=BB"&amp;MATCH(F929,FRG!AC:AC,0))</f>
        <v/>
      </c>
      <c r="M929" s="243" t="str">
        <f>IFERROR(__xludf.DUMMYFUNCTION("IF(ISBLANK(F929),,SUBSTITUTE(IFERROR(JOIN("","",F929:K929),JOIN("","",F929:J929)),CHAR(10),""""))"),"")</f>
        <v/>
      </c>
      <c r="N929" s="229" t="str">
        <f t="shared" si="1"/>
        <v/>
      </c>
    </row>
    <row r="930">
      <c r="F930" s="237"/>
      <c r="G930" s="238" t="str">
        <f t="shared" si="3"/>
        <v/>
      </c>
      <c r="H930" s="238" t="str">
        <f t="shared" si="4"/>
        <v/>
      </c>
      <c r="I930" s="237" t="str">
        <f t="shared" ref="I930:J930" si="922">IF(ISBLANK(C930),,""""&amp;C930&amp;"""")</f>
        <v/>
      </c>
      <c r="J930" s="237" t="str">
        <f t="shared" si="922"/>
        <v/>
      </c>
      <c r="K930" s="237" t="str">
        <f>IF(ISBLANK(F930),,Config!$C$3&amp;"&amp;range=BB"&amp;MATCH(F930,FRG!AC:AC,0))</f>
        <v/>
      </c>
      <c r="M930" s="243" t="str">
        <f>IFERROR(__xludf.DUMMYFUNCTION("IF(ISBLANK(F930),,SUBSTITUTE(IFERROR(JOIN("","",F930:K930),JOIN("","",F930:J930)),CHAR(10),""""))"),"")</f>
        <v/>
      </c>
      <c r="N930" s="229" t="str">
        <f t="shared" si="1"/>
        <v/>
      </c>
    </row>
    <row r="931">
      <c r="F931" s="237"/>
      <c r="G931" s="238" t="str">
        <f t="shared" si="3"/>
        <v/>
      </c>
      <c r="H931" s="238" t="str">
        <f t="shared" si="4"/>
        <v/>
      </c>
      <c r="I931" s="237" t="str">
        <f t="shared" ref="I931:J931" si="923">IF(ISBLANK(C931),,""""&amp;C931&amp;"""")</f>
        <v/>
      </c>
      <c r="J931" s="237" t="str">
        <f t="shared" si="923"/>
        <v/>
      </c>
      <c r="K931" s="237" t="str">
        <f>IF(ISBLANK(F931),,Config!$C$3&amp;"&amp;range=BB"&amp;MATCH(F931,FRG!AC:AC,0))</f>
        <v/>
      </c>
      <c r="M931" s="243" t="str">
        <f>IFERROR(__xludf.DUMMYFUNCTION("IF(ISBLANK(F931),,SUBSTITUTE(IFERROR(JOIN("","",F931:K931),JOIN("","",F931:J931)),CHAR(10),""""))"),"")</f>
        <v/>
      </c>
      <c r="N931" s="229" t="str">
        <f t="shared" si="1"/>
        <v/>
      </c>
    </row>
    <row r="932">
      <c r="F932" s="237"/>
      <c r="G932" s="238" t="str">
        <f t="shared" si="3"/>
        <v/>
      </c>
      <c r="H932" s="238" t="str">
        <f t="shared" si="4"/>
        <v/>
      </c>
      <c r="I932" s="237" t="str">
        <f t="shared" ref="I932:J932" si="924">IF(ISBLANK(C932),,""""&amp;C932&amp;"""")</f>
        <v/>
      </c>
      <c r="J932" s="237" t="str">
        <f t="shared" si="924"/>
        <v/>
      </c>
      <c r="K932" s="237" t="str">
        <f>IF(ISBLANK(F932),,Config!$C$3&amp;"&amp;range=BB"&amp;MATCH(F932,FRG!AC:AC,0))</f>
        <v/>
      </c>
      <c r="M932" s="243" t="str">
        <f>IFERROR(__xludf.DUMMYFUNCTION("IF(ISBLANK(F932),,SUBSTITUTE(IFERROR(JOIN("","",F932:K932),JOIN("","",F932:J932)),CHAR(10),""""))"),"")</f>
        <v/>
      </c>
      <c r="N932" s="229" t="str">
        <f t="shared" si="1"/>
        <v/>
      </c>
    </row>
    <row r="933">
      <c r="F933" s="237"/>
      <c r="G933" s="238" t="str">
        <f t="shared" si="3"/>
        <v/>
      </c>
      <c r="H933" s="238" t="str">
        <f t="shared" si="4"/>
        <v/>
      </c>
      <c r="I933" s="237" t="str">
        <f t="shared" ref="I933:J933" si="925">IF(ISBLANK(C933),,""""&amp;C933&amp;"""")</f>
        <v/>
      </c>
      <c r="J933" s="237" t="str">
        <f t="shared" si="925"/>
        <v/>
      </c>
      <c r="K933" s="237" t="str">
        <f>IF(ISBLANK(F933),,Config!$C$3&amp;"&amp;range=BB"&amp;MATCH(F933,FRG!AC:AC,0))</f>
        <v/>
      </c>
      <c r="M933" s="243" t="str">
        <f>IFERROR(__xludf.DUMMYFUNCTION("IF(ISBLANK(F933),,SUBSTITUTE(IFERROR(JOIN("","",F933:K933),JOIN("","",F933:J933)),CHAR(10),""""))"),"")</f>
        <v/>
      </c>
      <c r="N933" s="229" t="str">
        <f t="shared" si="1"/>
        <v/>
      </c>
    </row>
    <row r="934">
      <c r="F934" s="237"/>
      <c r="G934" s="238" t="str">
        <f t="shared" si="3"/>
        <v/>
      </c>
      <c r="H934" s="238" t="str">
        <f t="shared" si="4"/>
        <v/>
      </c>
      <c r="I934" s="237" t="str">
        <f t="shared" ref="I934:J934" si="926">IF(ISBLANK(C934),,""""&amp;C934&amp;"""")</f>
        <v/>
      </c>
      <c r="J934" s="237" t="str">
        <f t="shared" si="926"/>
        <v/>
      </c>
      <c r="K934" s="237" t="str">
        <f>IF(ISBLANK(F934),,Config!$C$3&amp;"&amp;range=BB"&amp;MATCH(F934,FRG!AC:AC,0))</f>
        <v/>
      </c>
      <c r="M934" s="243" t="str">
        <f>IFERROR(__xludf.DUMMYFUNCTION("IF(ISBLANK(F934),,SUBSTITUTE(IFERROR(JOIN("","",F934:K934),JOIN("","",F934:J934)),CHAR(10),""""))"),"")</f>
        <v/>
      </c>
      <c r="N934" s="229" t="str">
        <f t="shared" si="1"/>
        <v/>
      </c>
    </row>
    <row r="935">
      <c r="F935" s="237"/>
      <c r="G935" s="238" t="str">
        <f t="shared" si="3"/>
        <v/>
      </c>
      <c r="H935" s="238" t="str">
        <f t="shared" si="4"/>
        <v/>
      </c>
      <c r="I935" s="237" t="str">
        <f t="shared" ref="I935:J935" si="927">IF(ISBLANK(C935),,""""&amp;C935&amp;"""")</f>
        <v/>
      </c>
      <c r="J935" s="237" t="str">
        <f t="shared" si="927"/>
        <v/>
      </c>
      <c r="K935" s="237" t="str">
        <f>IF(ISBLANK(F935),,Config!$C$3&amp;"&amp;range=BB"&amp;MATCH(F935,FRG!AC:AC,0))</f>
        <v/>
      </c>
      <c r="M935" s="243" t="str">
        <f>IFERROR(__xludf.DUMMYFUNCTION("IF(ISBLANK(F935),,SUBSTITUTE(IFERROR(JOIN("","",F935:K935),JOIN("","",F935:J935)),CHAR(10),""""))"),"")</f>
        <v/>
      </c>
      <c r="N935" s="229" t="str">
        <f t="shared" si="1"/>
        <v/>
      </c>
    </row>
    <row r="936">
      <c r="F936" s="237"/>
      <c r="G936" s="238" t="str">
        <f t="shared" si="3"/>
        <v/>
      </c>
      <c r="H936" s="238" t="str">
        <f t="shared" si="4"/>
        <v/>
      </c>
      <c r="I936" s="237" t="str">
        <f t="shared" ref="I936:J936" si="928">IF(ISBLANK(C936),,""""&amp;C936&amp;"""")</f>
        <v/>
      </c>
      <c r="J936" s="237" t="str">
        <f t="shared" si="928"/>
        <v/>
      </c>
      <c r="K936" s="237" t="str">
        <f>IF(ISBLANK(F936),,Config!$C$3&amp;"&amp;range=BB"&amp;MATCH(F936,FRG!AC:AC,0))</f>
        <v/>
      </c>
      <c r="M936" s="243" t="str">
        <f>IFERROR(__xludf.DUMMYFUNCTION("IF(ISBLANK(F936),,SUBSTITUTE(IFERROR(JOIN("","",F936:K936),JOIN("","",F936:J936)),CHAR(10),""""))"),"")</f>
        <v/>
      </c>
      <c r="N936" s="229" t="str">
        <f t="shared" si="1"/>
        <v/>
      </c>
    </row>
    <row r="937">
      <c r="F937" s="237"/>
      <c r="G937" s="238" t="str">
        <f t="shared" si="3"/>
        <v/>
      </c>
      <c r="H937" s="238" t="str">
        <f t="shared" si="4"/>
        <v/>
      </c>
      <c r="I937" s="237" t="str">
        <f t="shared" ref="I937:J937" si="929">IF(ISBLANK(C937),,""""&amp;C937&amp;"""")</f>
        <v/>
      </c>
      <c r="J937" s="237" t="str">
        <f t="shared" si="929"/>
        <v/>
      </c>
      <c r="K937" s="237" t="str">
        <f>IF(ISBLANK(F937),,Config!$C$3&amp;"&amp;range=BB"&amp;MATCH(F937,FRG!AC:AC,0))</f>
        <v/>
      </c>
      <c r="M937" s="243" t="str">
        <f>IFERROR(__xludf.DUMMYFUNCTION("IF(ISBLANK(F937),,SUBSTITUTE(IFERROR(JOIN("","",F937:K937),JOIN("","",F937:J937)),CHAR(10),""""))"),"")</f>
        <v/>
      </c>
      <c r="N937" s="229" t="str">
        <f t="shared" si="1"/>
        <v/>
      </c>
    </row>
    <row r="938">
      <c r="F938" s="237"/>
      <c r="G938" s="238" t="str">
        <f t="shared" si="3"/>
        <v/>
      </c>
      <c r="H938" s="238" t="str">
        <f t="shared" si="4"/>
        <v/>
      </c>
      <c r="I938" s="237" t="str">
        <f t="shared" ref="I938:J938" si="930">IF(ISBLANK(C938),,""""&amp;C938&amp;"""")</f>
        <v/>
      </c>
      <c r="J938" s="237" t="str">
        <f t="shared" si="930"/>
        <v/>
      </c>
      <c r="K938" s="237" t="str">
        <f>IF(ISBLANK(F938),,Config!$C$3&amp;"&amp;range=BB"&amp;MATCH(F938,FRG!AC:AC,0))</f>
        <v/>
      </c>
      <c r="M938" s="243" t="str">
        <f>IFERROR(__xludf.DUMMYFUNCTION("IF(ISBLANK(F938),,SUBSTITUTE(IFERROR(JOIN("","",F938:K938),JOIN("","",F938:J938)),CHAR(10),""""))"),"")</f>
        <v/>
      </c>
      <c r="N938" s="229" t="str">
        <f t="shared" si="1"/>
        <v/>
      </c>
    </row>
    <row r="939">
      <c r="F939" s="237"/>
      <c r="G939" s="238" t="str">
        <f t="shared" si="3"/>
        <v/>
      </c>
      <c r="H939" s="238" t="str">
        <f t="shared" si="4"/>
        <v/>
      </c>
      <c r="I939" s="237" t="str">
        <f t="shared" ref="I939:J939" si="931">IF(ISBLANK(C939),,""""&amp;C939&amp;"""")</f>
        <v/>
      </c>
      <c r="J939" s="237" t="str">
        <f t="shared" si="931"/>
        <v/>
      </c>
      <c r="K939" s="237" t="str">
        <f>IF(ISBLANK(F939),,Config!$C$3&amp;"&amp;range=BB"&amp;MATCH(F939,FRG!AC:AC,0))</f>
        <v/>
      </c>
      <c r="M939" s="243" t="str">
        <f>IFERROR(__xludf.DUMMYFUNCTION("IF(ISBLANK(F939),,SUBSTITUTE(IFERROR(JOIN("","",F939:K939),JOIN("","",F939:J939)),CHAR(10),""""))"),"")</f>
        <v/>
      </c>
      <c r="N939" s="229" t="str">
        <f t="shared" si="1"/>
        <v/>
      </c>
    </row>
    <row r="940">
      <c r="F940" s="237"/>
      <c r="G940" s="238" t="str">
        <f t="shared" si="3"/>
        <v/>
      </c>
      <c r="H940" s="238" t="str">
        <f t="shared" si="4"/>
        <v/>
      </c>
      <c r="I940" s="237" t="str">
        <f t="shared" ref="I940:J940" si="932">IF(ISBLANK(C940),,""""&amp;C940&amp;"""")</f>
        <v/>
      </c>
      <c r="J940" s="237" t="str">
        <f t="shared" si="932"/>
        <v/>
      </c>
      <c r="K940" s="237" t="str">
        <f>IF(ISBLANK(F940),,Config!$C$3&amp;"&amp;range=BB"&amp;MATCH(F940,FRG!AC:AC,0))</f>
        <v/>
      </c>
      <c r="M940" s="243" t="str">
        <f>IFERROR(__xludf.DUMMYFUNCTION("IF(ISBLANK(F940),,SUBSTITUTE(IFERROR(JOIN("","",F940:K940),JOIN("","",F940:J940)),CHAR(10),""""))"),"")</f>
        <v/>
      </c>
      <c r="N940" s="229" t="str">
        <f t="shared" si="1"/>
        <v/>
      </c>
    </row>
    <row r="941">
      <c r="F941" s="237"/>
      <c r="G941" s="238" t="str">
        <f t="shared" si="3"/>
        <v/>
      </c>
      <c r="H941" s="238" t="str">
        <f t="shared" si="4"/>
        <v/>
      </c>
      <c r="I941" s="237" t="str">
        <f t="shared" ref="I941:J941" si="933">IF(ISBLANK(C941),,""""&amp;C941&amp;"""")</f>
        <v/>
      </c>
      <c r="J941" s="237" t="str">
        <f t="shared" si="933"/>
        <v/>
      </c>
      <c r="K941" s="237" t="str">
        <f>IF(ISBLANK(F941),,Config!$C$3&amp;"&amp;range=BB"&amp;MATCH(F941,FRG!AC:AC,0))</f>
        <v/>
      </c>
      <c r="M941" s="243" t="str">
        <f>IFERROR(__xludf.DUMMYFUNCTION("IF(ISBLANK(F941),,SUBSTITUTE(IFERROR(JOIN("","",F941:K941),JOIN("","",F941:J941)),CHAR(10),""""))"),"")</f>
        <v/>
      </c>
      <c r="N941" s="229" t="str">
        <f t="shared" si="1"/>
        <v/>
      </c>
    </row>
    <row r="942">
      <c r="F942" s="237"/>
      <c r="G942" s="238" t="str">
        <f t="shared" si="3"/>
        <v/>
      </c>
      <c r="H942" s="238" t="str">
        <f t="shared" si="4"/>
        <v/>
      </c>
      <c r="I942" s="237" t="str">
        <f t="shared" ref="I942:J942" si="934">IF(ISBLANK(C942),,""""&amp;C942&amp;"""")</f>
        <v/>
      </c>
      <c r="J942" s="237" t="str">
        <f t="shared" si="934"/>
        <v/>
      </c>
      <c r="K942" s="237" t="str">
        <f>IF(ISBLANK(F942),,Config!$C$3&amp;"&amp;range=BB"&amp;MATCH(F942,FRG!AC:AC,0))</f>
        <v/>
      </c>
      <c r="M942" s="243" t="str">
        <f>IFERROR(__xludf.DUMMYFUNCTION("IF(ISBLANK(F942),,SUBSTITUTE(IFERROR(JOIN("","",F942:K942),JOIN("","",F942:J942)),CHAR(10),""""))"),"")</f>
        <v/>
      </c>
      <c r="N942" s="229" t="str">
        <f t="shared" si="1"/>
        <v/>
      </c>
    </row>
    <row r="943">
      <c r="F943" s="237"/>
      <c r="G943" s="238" t="str">
        <f t="shared" si="3"/>
        <v/>
      </c>
      <c r="H943" s="238" t="str">
        <f t="shared" si="4"/>
        <v/>
      </c>
      <c r="I943" s="237" t="str">
        <f t="shared" ref="I943:J943" si="935">IF(ISBLANK(C943),,""""&amp;C943&amp;"""")</f>
        <v/>
      </c>
      <c r="J943" s="237" t="str">
        <f t="shared" si="935"/>
        <v/>
      </c>
      <c r="K943" s="237" t="str">
        <f>IF(ISBLANK(F943),,Config!$C$3&amp;"&amp;range=BB"&amp;MATCH(F943,FRG!AC:AC,0))</f>
        <v/>
      </c>
      <c r="M943" s="243" t="str">
        <f>IFERROR(__xludf.DUMMYFUNCTION("IF(ISBLANK(F943),,SUBSTITUTE(IFERROR(JOIN("","",F943:K943),JOIN("","",F943:J943)),CHAR(10),""""))"),"")</f>
        <v/>
      </c>
      <c r="N943" s="229" t="str">
        <f t="shared" si="1"/>
        <v/>
      </c>
    </row>
    <row r="944">
      <c r="F944" s="237"/>
      <c r="G944" s="238" t="str">
        <f t="shared" si="3"/>
        <v/>
      </c>
      <c r="H944" s="238" t="str">
        <f t="shared" si="4"/>
        <v/>
      </c>
      <c r="I944" s="237" t="str">
        <f t="shared" ref="I944:J944" si="936">IF(ISBLANK(C944),,""""&amp;C944&amp;"""")</f>
        <v/>
      </c>
      <c r="J944" s="237" t="str">
        <f t="shared" si="936"/>
        <v/>
      </c>
      <c r="K944" s="237" t="str">
        <f>IF(ISBLANK(F944),,Config!$C$3&amp;"&amp;range=BB"&amp;MATCH(F944,FRG!AC:AC,0))</f>
        <v/>
      </c>
      <c r="M944" s="243" t="str">
        <f>IFERROR(__xludf.DUMMYFUNCTION("IF(ISBLANK(F944),,SUBSTITUTE(IFERROR(JOIN("","",F944:K944),JOIN("","",F944:J944)),CHAR(10),""""))"),"")</f>
        <v/>
      </c>
      <c r="N944" s="229" t="str">
        <f t="shared" si="1"/>
        <v/>
      </c>
    </row>
    <row r="945">
      <c r="F945" s="237"/>
      <c r="G945" s="238" t="str">
        <f t="shared" si="3"/>
        <v/>
      </c>
      <c r="H945" s="238" t="str">
        <f t="shared" si="4"/>
        <v/>
      </c>
      <c r="I945" s="237" t="str">
        <f t="shared" ref="I945:J945" si="937">IF(ISBLANK(C945),,""""&amp;C945&amp;"""")</f>
        <v/>
      </c>
      <c r="J945" s="237" t="str">
        <f t="shared" si="937"/>
        <v/>
      </c>
      <c r="K945" s="237" t="str">
        <f>IF(ISBLANK(F945),,Config!$C$3&amp;"&amp;range=BB"&amp;MATCH(F945,FRG!AC:AC,0))</f>
        <v/>
      </c>
      <c r="M945" s="243" t="str">
        <f>IFERROR(__xludf.DUMMYFUNCTION("IF(ISBLANK(F945),,SUBSTITUTE(IFERROR(JOIN("","",F945:K945),JOIN("","",F945:J945)),CHAR(10),""""))"),"")</f>
        <v/>
      </c>
      <c r="N945" s="229" t="str">
        <f t="shared" si="1"/>
        <v/>
      </c>
    </row>
    <row r="946">
      <c r="F946" s="237"/>
      <c r="G946" s="238" t="str">
        <f t="shared" si="3"/>
        <v/>
      </c>
      <c r="H946" s="238" t="str">
        <f t="shared" si="4"/>
        <v/>
      </c>
      <c r="I946" s="237" t="str">
        <f t="shared" ref="I946:J946" si="938">IF(ISBLANK(C946),,""""&amp;C946&amp;"""")</f>
        <v/>
      </c>
      <c r="J946" s="237" t="str">
        <f t="shared" si="938"/>
        <v/>
      </c>
      <c r="K946" s="237" t="str">
        <f>IF(ISBLANK(F946),,Config!$C$3&amp;"&amp;range=BB"&amp;MATCH(F946,FRG!AC:AC,0))</f>
        <v/>
      </c>
      <c r="M946" s="243" t="str">
        <f>IFERROR(__xludf.DUMMYFUNCTION("IF(ISBLANK(F946),,SUBSTITUTE(IFERROR(JOIN("","",F946:K946),JOIN("","",F946:J946)),CHAR(10),""""))"),"")</f>
        <v/>
      </c>
      <c r="N946" s="229" t="str">
        <f t="shared" si="1"/>
        <v/>
      </c>
    </row>
    <row r="947">
      <c r="F947" s="237"/>
      <c r="G947" s="238" t="str">
        <f t="shared" si="3"/>
        <v/>
      </c>
      <c r="H947" s="238" t="str">
        <f t="shared" si="4"/>
        <v/>
      </c>
      <c r="I947" s="237" t="str">
        <f t="shared" ref="I947:J947" si="939">IF(ISBLANK(C947),,""""&amp;C947&amp;"""")</f>
        <v/>
      </c>
      <c r="J947" s="237" t="str">
        <f t="shared" si="939"/>
        <v/>
      </c>
      <c r="K947" s="237" t="str">
        <f>IF(ISBLANK(F947),,Config!$C$3&amp;"&amp;range=BB"&amp;MATCH(F947,FRG!AC:AC,0))</f>
        <v/>
      </c>
      <c r="M947" s="243" t="str">
        <f>IFERROR(__xludf.DUMMYFUNCTION("IF(ISBLANK(F947),,SUBSTITUTE(IFERROR(JOIN("","",F947:K947),JOIN("","",F947:J947)),CHAR(10),""""))"),"")</f>
        <v/>
      </c>
      <c r="N947" s="229" t="str">
        <f t="shared" si="1"/>
        <v/>
      </c>
    </row>
    <row r="948">
      <c r="F948" s="237"/>
      <c r="G948" s="238" t="str">
        <f t="shared" si="3"/>
        <v/>
      </c>
      <c r="H948" s="238" t="str">
        <f t="shared" si="4"/>
        <v/>
      </c>
      <c r="I948" s="237" t="str">
        <f t="shared" ref="I948:J948" si="940">IF(ISBLANK(C948),,""""&amp;C948&amp;"""")</f>
        <v/>
      </c>
      <c r="J948" s="237" t="str">
        <f t="shared" si="940"/>
        <v/>
      </c>
      <c r="K948" s="237" t="str">
        <f>IF(ISBLANK(F948),,Config!$C$3&amp;"&amp;range=BB"&amp;MATCH(F948,FRG!AC:AC,0))</f>
        <v/>
      </c>
      <c r="M948" s="243" t="str">
        <f>IFERROR(__xludf.DUMMYFUNCTION("IF(ISBLANK(F948),,SUBSTITUTE(IFERROR(JOIN("","",F948:K948),JOIN("","",F948:J948)),CHAR(10),""""))"),"")</f>
        <v/>
      </c>
      <c r="N948" s="229" t="str">
        <f t="shared" si="1"/>
        <v/>
      </c>
    </row>
    <row r="949">
      <c r="F949" s="237"/>
      <c r="G949" s="238" t="str">
        <f t="shared" si="3"/>
        <v/>
      </c>
      <c r="H949" s="238" t="str">
        <f t="shared" si="4"/>
        <v/>
      </c>
      <c r="I949" s="237" t="str">
        <f t="shared" ref="I949:J949" si="941">IF(ISBLANK(C949),,""""&amp;C949&amp;"""")</f>
        <v/>
      </c>
      <c r="J949" s="237" t="str">
        <f t="shared" si="941"/>
        <v/>
      </c>
      <c r="K949" s="237" t="str">
        <f>IF(ISBLANK(F949),,Config!$C$3&amp;"&amp;range=BB"&amp;MATCH(F949,FRG!AC:AC,0))</f>
        <v/>
      </c>
      <c r="M949" s="243" t="str">
        <f>IFERROR(__xludf.DUMMYFUNCTION("IF(ISBLANK(F949),,SUBSTITUTE(IFERROR(JOIN("","",F949:K949),JOIN("","",F949:J949)),CHAR(10),""""))"),"")</f>
        <v/>
      </c>
      <c r="N949" s="229" t="str">
        <f t="shared" si="1"/>
        <v/>
      </c>
    </row>
    <row r="950">
      <c r="F950" s="237"/>
      <c r="G950" s="238" t="str">
        <f t="shared" si="3"/>
        <v/>
      </c>
      <c r="H950" s="238" t="str">
        <f t="shared" si="4"/>
        <v/>
      </c>
      <c r="I950" s="237" t="str">
        <f t="shared" ref="I950:J950" si="942">IF(ISBLANK(C950),,""""&amp;C950&amp;"""")</f>
        <v/>
      </c>
      <c r="J950" s="237" t="str">
        <f t="shared" si="942"/>
        <v/>
      </c>
      <c r="K950" s="237" t="str">
        <f>IF(ISBLANK(F950),,Config!$C$3&amp;"&amp;range=BB"&amp;MATCH(F950,FRG!AC:AC,0))</f>
        <v/>
      </c>
      <c r="M950" s="243" t="str">
        <f>IFERROR(__xludf.DUMMYFUNCTION("IF(ISBLANK(F950),,SUBSTITUTE(IFERROR(JOIN("","",F950:K950),JOIN("","",F950:J950)),CHAR(10),""""))"),"")</f>
        <v/>
      </c>
      <c r="N950" s="229" t="str">
        <f t="shared" si="1"/>
        <v/>
      </c>
    </row>
    <row r="951">
      <c r="F951" s="237"/>
      <c r="G951" s="238" t="str">
        <f t="shared" si="3"/>
        <v/>
      </c>
      <c r="H951" s="238" t="str">
        <f t="shared" si="4"/>
        <v/>
      </c>
      <c r="I951" s="237" t="str">
        <f t="shared" ref="I951:J951" si="943">IF(ISBLANK(C951),,""""&amp;C951&amp;"""")</f>
        <v/>
      </c>
      <c r="J951" s="237" t="str">
        <f t="shared" si="943"/>
        <v/>
      </c>
      <c r="K951" s="237" t="str">
        <f>IF(ISBLANK(F951),,Config!$C$3&amp;"&amp;range=BB"&amp;MATCH(F951,FRG!AC:AC,0))</f>
        <v/>
      </c>
      <c r="M951" s="243" t="str">
        <f>IFERROR(__xludf.DUMMYFUNCTION("IF(ISBLANK(F951),,SUBSTITUTE(IFERROR(JOIN("","",F951:K951),JOIN("","",F951:J951)),CHAR(10),""""))"),"")</f>
        <v/>
      </c>
      <c r="N951" s="229" t="str">
        <f t="shared" si="1"/>
        <v/>
      </c>
    </row>
    <row r="952">
      <c r="F952" s="237"/>
      <c r="G952" s="238" t="str">
        <f t="shared" si="3"/>
        <v/>
      </c>
      <c r="H952" s="238" t="str">
        <f t="shared" si="4"/>
        <v/>
      </c>
      <c r="I952" s="237" t="str">
        <f t="shared" ref="I952:J952" si="944">IF(ISBLANK(C952),,""""&amp;C952&amp;"""")</f>
        <v/>
      </c>
      <c r="J952" s="237" t="str">
        <f t="shared" si="944"/>
        <v/>
      </c>
      <c r="K952" s="237" t="str">
        <f>IF(ISBLANK(F952),,Config!$C$3&amp;"&amp;range=BB"&amp;MATCH(F952,FRG!AC:AC,0))</f>
        <v/>
      </c>
      <c r="M952" s="243" t="str">
        <f>IFERROR(__xludf.DUMMYFUNCTION("IF(ISBLANK(F952),,SUBSTITUTE(IFERROR(JOIN("","",F952:K952),JOIN("","",F952:J952)),CHAR(10),""""))"),"")</f>
        <v/>
      </c>
      <c r="N952" s="229" t="str">
        <f t="shared" si="1"/>
        <v/>
      </c>
    </row>
    <row r="953">
      <c r="F953" s="237"/>
      <c r="G953" s="238" t="str">
        <f t="shared" si="3"/>
        <v/>
      </c>
      <c r="H953" s="238" t="str">
        <f t="shared" si="4"/>
        <v/>
      </c>
      <c r="I953" s="237" t="str">
        <f t="shared" ref="I953:J953" si="945">IF(ISBLANK(C953),,""""&amp;C953&amp;"""")</f>
        <v/>
      </c>
      <c r="J953" s="237" t="str">
        <f t="shared" si="945"/>
        <v/>
      </c>
      <c r="K953" s="237" t="str">
        <f>IF(ISBLANK(F953),,Config!$C$3&amp;"&amp;range=BB"&amp;MATCH(F953,FRG!AC:AC,0))</f>
        <v/>
      </c>
      <c r="M953" s="243" t="str">
        <f>IFERROR(__xludf.DUMMYFUNCTION("IF(ISBLANK(F953),,SUBSTITUTE(IFERROR(JOIN("","",F953:K953),JOIN("","",F953:J953)),CHAR(10),""""))"),"")</f>
        <v/>
      </c>
      <c r="N953" s="229" t="str">
        <f t="shared" si="1"/>
        <v/>
      </c>
    </row>
    <row r="954">
      <c r="F954" s="237"/>
      <c r="G954" s="238" t="str">
        <f t="shared" si="3"/>
        <v/>
      </c>
      <c r="H954" s="238" t="str">
        <f t="shared" si="4"/>
        <v/>
      </c>
      <c r="I954" s="237" t="str">
        <f t="shared" ref="I954:J954" si="946">IF(ISBLANK(C954),,""""&amp;C954&amp;"""")</f>
        <v/>
      </c>
      <c r="J954" s="237" t="str">
        <f t="shared" si="946"/>
        <v/>
      </c>
      <c r="K954" s="237" t="str">
        <f>IF(ISBLANK(F954),,Config!$C$3&amp;"&amp;range=BB"&amp;MATCH(F954,FRG!AC:AC,0))</f>
        <v/>
      </c>
      <c r="M954" s="243" t="str">
        <f>IFERROR(__xludf.DUMMYFUNCTION("IF(ISBLANK(F954),,SUBSTITUTE(IFERROR(JOIN("","",F954:K954),JOIN("","",F954:J954)),CHAR(10),""""))"),"")</f>
        <v/>
      </c>
      <c r="N954" s="229" t="str">
        <f t="shared" si="1"/>
        <v/>
      </c>
    </row>
    <row r="955">
      <c r="F955" s="237"/>
      <c r="G955" s="238" t="str">
        <f t="shared" si="3"/>
        <v/>
      </c>
      <c r="H955" s="238" t="str">
        <f t="shared" si="4"/>
        <v/>
      </c>
      <c r="I955" s="237" t="str">
        <f t="shared" ref="I955:J955" si="947">IF(ISBLANK(C955),,""""&amp;C955&amp;"""")</f>
        <v/>
      </c>
      <c r="J955" s="237" t="str">
        <f t="shared" si="947"/>
        <v/>
      </c>
      <c r="K955" s="237" t="str">
        <f>IF(ISBLANK(F955),,Config!$C$3&amp;"&amp;range=BB"&amp;MATCH(F955,FRG!AC:AC,0))</f>
        <v/>
      </c>
      <c r="M955" s="243" t="str">
        <f>IFERROR(__xludf.DUMMYFUNCTION("IF(ISBLANK(F955),,SUBSTITUTE(IFERROR(JOIN("","",F955:K955),JOIN("","",F955:J955)),CHAR(10),""""))"),"")</f>
        <v/>
      </c>
      <c r="N955" s="229" t="str">
        <f t="shared" si="1"/>
        <v/>
      </c>
    </row>
    <row r="956">
      <c r="F956" s="237"/>
      <c r="G956" s="238" t="str">
        <f t="shared" si="3"/>
        <v/>
      </c>
      <c r="H956" s="238" t="str">
        <f t="shared" si="4"/>
        <v/>
      </c>
      <c r="I956" s="237" t="str">
        <f t="shared" ref="I956:J956" si="948">IF(ISBLANK(C956),,""""&amp;C956&amp;"""")</f>
        <v/>
      </c>
      <c r="J956" s="237" t="str">
        <f t="shared" si="948"/>
        <v/>
      </c>
      <c r="K956" s="237" t="str">
        <f>IF(ISBLANK(F956),,Config!$C$3&amp;"&amp;range=BB"&amp;MATCH(F956,FRG!AC:AC,0))</f>
        <v/>
      </c>
      <c r="M956" s="243" t="str">
        <f>IFERROR(__xludf.DUMMYFUNCTION("IF(ISBLANK(F956),,SUBSTITUTE(IFERROR(JOIN("","",F956:K956),JOIN("","",F956:J956)),CHAR(10),""""))"),"")</f>
        <v/>
      </c>
      <c r="N956" s="229" t="str">
        <f t="shared" si="1"/>
        <v/>
      </c>
    </row>
    <row r="957">
      <c r="F957" s="237"/>
      <c r="G957" s="238" t="str">
        <f t="shared" si="3"/>
        <v/>
      </c>
      <c r="H957" s="238" t="str">
        <f t="shared" si="4"/>
        <v/>
      </c>
      <c r="I957" s="237" t="str">
        <f t="shared" ref="I957:J957" si="949">IF(ISBLANK(C957),,""""&amp;C957&amp;"""")</f>
        <v/>
      </c>
      <c r="J957" s="237" t="str">
        <f t="shared" si="949"/>
        <v/>
      </c>
      <c r="K957" s="237" t="str">
        <f>IF(ISBLANK(F957),,Config!$C$3&amp;"&amp;range=BB"&amp;MATCH(F957,FRG!AC:AC,0))</f>
        <v/>
      </c>
      <c r="M957" s="243" t="str">
        <f>IFERROR(__xludf.DUMMYFUNCTION("IF(ISBLANK(F957),,SUBSTITUTE(IFERROR(JOIN("","",F957:K957),JOIN("","",F957:J957)),CHAR(10),""""))"),"")</f>
        <v/>
      </c>
      <c r="N957" s="229" t="str">
        <f t="shared" si="1"/>
        <v/>
      </c>
    </row>
    <row r="958">
      <c r="F958" s="237"/>
      <c r="G958" s="238" t="str">
        <f t="shared" si="3"/>
        <v/>
      </c>
      <c r="H958" s="238" t="str">
        <f t="shared" si="4"/>
        <v/>
      </c>
      <c r="I958" s="237" t="str">
        <f t="shared" ref="I958:J958" si="950">IF(ISBLANK(C958),,""""&amp;C958&amp;"""")</f>
        <v/>
      </c>
      <c r="J958" s="237" t="str">
        <f t="shared" si="950"/>
        <v/>
      </c>
      <c r="K958" s="237" t="str">
        <f>IF(ISBLANK(F958),,Config!$C$3&amp;"&amp;range=BB"&amp;MATCH(F958,FRG!AC:AC,0))</f>
        <v/>
      </c>
      <c r="M958" s="243" t="str">
        <f>IFERROR(__xludf.DUMMYFUNCTION("IF(ISBLANK(F958),,SUBSTITUTE(IFERROR(JOIN("","",F958:K958),JOIN("","",F958:J958)),CHAR(10),""""))"),"")</f>
        <v/>
      </c>
      <c r="N958" s="229" t="str">
        <f t="shared" si="1"/>
        <v/>
      </c>
    </row>
    <row r="959">
      <c r="F959" s="237"/>
      <c r="G959" s="238" t="str">
        <f t="shared" si="3"/>
        <v/>
      </c>
      <c r="H959" s="238" t="str">
        <f t="shared" si="4"/>
        <v/>
      </c>
      <c r="I959" s="237" t="str">
        <f t="shared" ref="I959:J959" si="951">IF(ISBLANK(C959),,""""&amp;C959&amp;"""")</f>
        <v/>
      </c>
      <c r="J959" s="237" t="str">
        <f t="shared" si="951"/>
        <v/>
      </c>
      <c r="K959" s="237" t="str">
        <f>IF(ISBLANK(F959),,Config!$C$3&amp;"&amp;range=BB"&amp;MATCH(F959,FRG!AC:AC,0))</f>
        <v/>
      </c>
      <c r="M959" s="243" t="str">
        <f>IFERROR(__xludf.DUMMYFUNCTION("IF(ISBLANK(F959),,SUBSTITUTE(IFERROR(JOIN("","",F959:K959),JOIN("","",F959:J959)),CHAR(10),""""))"),"")</f>
        <v/>
      </c>
      <c r="N959" s="229" t="str">
        <f t="shared" si="1"/>
        <v/>
      </c>
    </row>
    <row r="960">
      <c r="F960" s="237"/>
      <c r="G960" s="238" t="str">
        <f t="shared" si="3"/>
        <v/>
      </c>
      <c r="H960" s="238" t="str">
        <f t="shared" si="4"/>
        <v/>
      </c>
      <c r="I960" s="237" t="str">
        <f t="shared" ref="I960:J960" si="952">IF(ISBLANK(C960),,""""&amp;C960&amp;"""")</f>
        <v/>
      </c>
      <c r="J960" s="237" t="str">
        <f t="shared" si="952"/>
        <v/>
      </c>
      <c r="K960" s="237" t="str">
        <f>IF(ISBLANK(F960),,Config!$C$3&amp;"&amp;range=BB"&amp;MATCH(F960,FRG!AC:AC,0))</f>
        <v/>
      </c>
      <c r="M960" s="243" t="str">
        <f>IFERROR(__xludf.DUMMYFUNCTION("IF(ISBLANK(F960),,SUBSTITUTE(IFERROR(JOIN("","",F960:K960),JOIN("","",F960:J960)),CHAR(10),""""))"),"")</f>
        <v/>
      </c>
      <c r="N960" s="229" t="str">
        <f t="shared" si="1"/>
        <v/>
      </c>
    </row>
    <row r="961">
      <c r="F961" s="237"/>
      <c r="G961" s="238" t="str">
        <f t="shared" si="3"/>
        <v/>
      </c>
      <c r="H961" s="238" t="str">
        <f t="shared" si="4"/>
        <v/>
      </c>
      <c r="I961" s="237" t="str">
        <f t="shared" ref="I961:J961" si="953">IF(ISBLANK(C961),,""""&amp;C961&amp;"""")</f>
        <v/>
      </c>
      <c r="J961" s="237" t="str">
        <f t="shared" si="953"/>
        <v/>
      </c>
      <c r="K961" s="237" t="str">
        <f>IF(ISBLANK(F961),,Config!$C$3&amp;"&amp;range=BB"&amp;MATCH(F961,FRG!AC:AC,0))</f>
        <v/>
      </c>
      <c r="M961" s="243" t="str">
        <f>IFERROR(__xludf.DUMMYFUNCTION("IF(ISBLANK(F961),,SUBSTITUTE(IFERROR(JOIN("","",F961:K961),JOIN("","",F961:J961)),CHAR(10),""""))"),"")</f>
        <v/>
      </c>
      <c r="N961" s="229" t="str">
        <f t="shared" si="1"/>
        <v/>
      </c>
    </row>
    <row r="962">
      <c r="F962" s="237"/>
      <c r="G962" s="238" t="str">
        <f t="shared" si="3"/>
        <v/>
      </c>
      <c r="H962" s="238" t="str">
        <f t="shared" si="4"/>
        <v/>
      </c>
      <c r="I962" s="237" t="str">
        <f t="shared" ref="I962:J962" si="954">IF(ISBLANK(C962),,""""&amp;C962&amp;"""")</f>
        <v/>
      </c>
      <c r="J962" s="237" t="str">
        <f t="shared" si="954"/>
        <v/>
      </c>
      <c r="K962" s="237" t="str">
        <f>IF(ISBLANK(F962),,Config!$C$3&amp;"&amp;range=BB"&amp;MATCH(F962,FRG!AC:AC,0))</f>
        <v/>
      </c>
      <c r="M962" s="243" t="str">
        <f>IFERROR(__xludf.DUMMYFUNCTION("IF(ISBLANK(F962),,SUBSTITUTE(IFERROR(JOIN("","",F962:K962),JOIN("","",F962:J962)),CHAR(10),""""))"),"")</f>
        <v/>
      </c>
      <c r="N962" s="229" t="str">
        <f t="shared" si="1"/>
        <v/>
      </c>
    </row>
    <row r="963">
      <c r="F963" s="237"/>
      <c r="G963" s="238" t="str">
        <f t="shared" si="3"/>
        <v/>
      </c>
      <c r="H963" s="238" t="str">
        <f t="shared" si="4"/>
        <v/>
      </c>
      <c r="I963" s="237" t="str">
        <f t="shared" ref="I963:J963" si="955">IF(ISBLANK(C963),,""""&amp;C963&amp;"""")</f>
        <v/>
      </c>
      <c r="J963" s="237" t="str">
        <f t="shared" si="955"/>
        <v/>
      </c>
      <c r="K963" s="237" t="str">
        <f>IF(ISBLANK(F963),,Config!$C$3&amp;"&amp;range=BB"&amp;MATCH(F963,FRG!AC:AC,0))</f>
        <v/>
      </c>
      <c r="M963" s="243" t="str">
        <f>IFERROR(__xludf.DUMMYFUNCTION("IF(ISBLANK(F963),,SUBSTITUTE(IFERROR(JOIN("","",F963:K963),JOIN("","",F963:J963)),CHAR(10),""""))"),"")</f>
        <v/>
      </c>
      <c r="N963" s="229" t="str">
        <f t="shared" si="1"/>
        <v/>
      </c>
    </row>
    <row r="964">
      <c r="F964" s="237"/>
      <c r="G964" s="238" t="str">
        <f t="shared" si="3"/>
        <v/>
      </c>
      <c r="H964" s="238" t="str">
        <f t="shared" si="4"/>
        <v/>
      </c>
      <c r="I964" s="237" t="str">
        <f t="shared" ref="I964:J964" si="956">IF(ISBLANK(C964),,""""&amp;C964&amp;"""")</f>
        <v/>
      </c>
      <c r="J964" s="237" t="str">
        <f t="shared" si="956"/>
        <v/>
      </c>
      <c r="K964" s="237" t="str">
        <f>IF(ISBLANK(F964),,Config!$C$3&amp;"&amp;range=BB"&amp;MATCH(F964,FRG!AC:AC,0))</f>
        <v/>
      </c>
      <c r="M964" s="243" t="str">
        <f>IFERROR(__xludf.DUMMYFUNCTION("IF(ISBLANK(F964),,SUBSTITUTE(IFERROR(JOIN("","",F964:K964),JOIN("","",F964:J964)),CHAR(10),""""))"),"")</f>
        <v/>
      </c>
      <c r="N964" s="229" t="str">
        <f t="shared" si="1"/>
        <v/>
      </c>
    </row>
    <row r="965">
      <c r="F965" s="237"/>
      <c r="G965" s="238" t="str">
        <f t="shared" si="3"/>
        <v/>
      </c>
      <c r="H965" s="238" t="str">
        <f t="shared" si="4"/>
        <v/>
      </c>
      <c r="I965" s="237" t="str">
        <f t="shared" ref="I965:J965" si="957">IF(ISBLANK(C965),,""""&amp;C965&amp;"""")</f>
        <v/>
      </c>
      <c r="J965" s="237" t="str">
        <f t="shared" si="957"/>
        <v/>
      </c>
      <c r="K965" s="237" t="str">
        <f>IF(ISBLANK(F965),,Config!$C$3&amp;"&amp;range=BB"&amp;MATCH(F965,FRG!AC:AC,0))</f>
        <v/>
      </c>
      <c r="M965" s="243" t="str">
        <f>IFERROR(__xludf.DUMMYFUNCTION("IF(ISBLANK(F965),,SUBSTITUTE(IFERROR(JOIN("","",F965:K965),JOIN("","",F965:J965)),CHAR(10),""""))"),"")</f>
        <v/>
      </c>
      <c r="N965" s="229" t="str">
        <f t="shared" si="1"/>
        <v/>
      </c>
    </row>
    <row r="966">
      <c r="F966" s="237"/>
      <c r="G966" s="238" t="str">
        <f t="shared" si="3"/>
        <v/>
      </c>
      <c r="H966" s="238" t="str">
        <f t="shared" si="4"/>
        <v/>
      </c>
      <c r="I966" s="237" t="str">
        <f t="shared" ref="I966:J966" si="958">IF(ISBLANK(C966),,""""&amp;C966&amp;"""")</f>
        <v/>
      </c>
      <c r="J966" s="237" t="str">
        <f t="shared" si="958"/>
        <v/>
      </c>
      <c r="K966" s="237" t="str">
        <f>IF(ISBLANK(F966),,Config!$C$3&amp;"&amp;range=BB"&amp;MATCH(F966,FRG!AC:AC,0))</f>
        <v/>
      </c>
      <c r="M966" s="243" t="str">
        <f>IFERROR(__xludf.DUMMYFUNCTION("IF(ISBLANK(F966),,SUBSTITUTE(IFERROR(JOIN("","",F966:K966),JOIN("","",F966:J966)),CHAR(10),""""))"),"")</f>
        <v/>
      </c>
      <c r="N966" s="229" t="str">
        <f t="shared" si="1"/>
        <v/>
      </c>
    </row>
    <row r="967">
      <c r="F967" s="237"/>
      <c r="G967" s="238" t="str">
        <f t="shared" si="3"/>
        <v/>
      </c>
      <c r="H967" s="238" t="str">
        <f t="shared" si="4"/>
        <v/>
      </c>
      <c r="I967" s="237" t="str">
        <f t="shared" ref="I967:J967" si="959">IF(ISBLANK(C967),,""""&amp;C967&amp;"""")</f>
        <v/>
      </c>
      <c r="J967" s="237" t="str">
        <f t="shared" si="959"/>
        <v/>
      </c>
      <c r="K967" s="237" t="str">
        <f>IF(ISBLANK(F967),,Config!$C$3&amp;"&amp;range=BB"&amp;MATCH(F967,FRG!AC:AC,0))</f>
        <v/>
      </c>
      <c r="M967" s="243" t="str">
        <f>IFERROR(__xludf.DUMMYFUNCTION("IF(ISBLANK(F967),,SUBSTITUTE(IFERROR(JOIN("","",F967:K967),JOIN("","",F967:J967)),CHAR(10),""""))"),"")</f>
        <v/>
      </c>
      <c r="N967" s="229" t="str">
        <f t="shared" si="1"/>
        <v/>
      </c>
    </row>
    <row r="968">
      <c r="F968" s="237"/>
      <c r="G968" s="238" t="str">
        <f t="shared" si="3"/>
        <v/>
      </c>
      <c r="H968" s="238" t="str">
        <f t="shared" si="4"/>
        <v/>
      </c>
      <c r="I968" s="237" t="str">
        <f t="shared" ref="I968:J968" si="960">IF(ISBLANK(C968),,""""&amp;C968&amp;"""")</f>
        <v/>
      </c>
      <c r="J968" s="237" t="str">
        <f t="shared" si="960"/>
        <v/>
      </c>
      <c r="K968" s="237" t="str">
        <f>IF(ISBLANK(F968),,Config!$C$3&amp;"&amp;range=BB"&amp;MATCH(F968,FRG!AC:AC,0))</f>
        <v/>
      </c>
      <c r="M968" s="243" t="str">
        <f>IFERROR(__xludf.DUMMYFUNCTION("IF(ISBLANK(F968),,SUBSTITUTE(IFERROR(JOIN("","",F968:K968),JOIN("","",F968:J968)),CHAR(10),""""))"),"")</f>
        <v/>
      </c>
      <c r="N968" s="229" t="str">
        <f t="shared" si="1"/>
        <v/>
      </c>
    </row>
    <row r="969">
      <c r="F969" s="237"/>
      <c r="G969" s="238" t="str">
        <f t="shared" si="3"/>
        <v/>
      </c>
      <c r="H969" s="238" t="str">
        <f t="shared" si="4"/>
        <v/>
      </c>
      <c r="I969" s="237" t="str">
        <f t="shared" ref="I969:J969" si="961">IF(ISBLANK(C969),,""""&amp;C969&amp;"""")</f>
        <v/>
      </c>
      <c r="J969" s="237" t="str">
        <f t="shared" si="961"/>
        <v/>
      </c>
      <c r="K969" s="237" t="str">
        <f>IF(ISBLANK(F969),,Config!$C$3&amp;"&amp;range=BB"&amp;MATCH(F969,FRG!AC:AC,0))</f>
        <v/>
      </c>
      <c r="M969" s="243" t="str">
        <f>IFERROR(__xludf.DUMMYFUNCTION("IF(ISBLANK(F969),,SUBSTITUTE(IFERROR(JOIN("","",F969:K969),JOIN("","",F969:J969)),CHAR(10),""""))"),"")</f>
        <v/>
      </c>
      <c r="N969" s="229" t="str">
        <f t="shared" si="1"/>
        <v/>
      </c>
    </row>
    <row r="970">
      <c r="F970" s="237"/>
      <c r="G970" s="238" t="str">
        <f t="shared" si="3"/>
        <v/>
      </c>
      <c r="H970" s="238" t="str">
        <f t="shared" si="4"/>
        <v/>
      </c>
      <c r="I970" s="237" t="str">
        <f t="shared" ref="I970:J970" si="962">IF(ISBLANK(C970),,""""&amp;C970&amp;"""")</f>
        <v/>
      </c>
      <c r="J970" s="237" t="str">
        <f t="shared" si="962"/>
        <v/>
      </c>
      <c r="K970" s="237" t="str">
        <f>IF(ISBLANK(F970),,Config!$C$3&amp;"&amp;range=BB"&amp;MATCH(F970,FRG!AC:AC,0))</f>
        <v/>
      </c>
      <c r="M970" s="243" t="str">
        <f>IFERROR(__xludf.DUMMYFUNCTION("IF(ISBLANK(F970),,SUBSTITUTE(IFERROR(JOIN("","",F970:K970),JOIN("","",F970:J970)),CHAR(10),""""))"),"")</f>
        <v/>
      </c>
      <c r="N970" s="229" t="str">
        <f t="shared" si="1"/>
        <v/>
      </c>
    </row>
    <row r="971">
      <c r="F971" s="237"/>
      <c r="G971" s="238" t="str">
        <f t="shared" si="3"/>
        <v/>
      </c>
      <c r="H971" s="238" t="str">
        <f t="shared" si="4"/>
        <v/>
      </c>
      <c r="I971" s="237" t="str">
        <f t="shared" ref="I971:J971" si="963">IF(ISBLANK(C971),,""""&amp;C971&amp;"""")</f>
        <v/>
      </c>
      <c r="J971" s="237" t="str">
        <f t="shared" si="963"/>
        <v/>
      </c>
      <c r="K971" s="237" t="str">
        <f>IF(ISBLANK(F971),,Config!$C$3&amp;"&amp;range=BB"&amp;MATCH(F971,FRG!AC:AC,0))</f>
        <v/>
      </c>
      <c r="M971" s="243" t="str">
        <f>IFERROR(__xludf.DUMMYFUNCTION("IF(ISBLANK(F971),,SUBSTITUTE(IFERROR(JOIN("","",F971:K971),JOIN("","",F971:J971)),CHAR(10),""""))"),"")</f>
        <v/>
      </c>
      <c r="N971" s="229" t="str">
        <f t="shared" si="1"/>
        <v/>
      </c>
    </row>
    <row r="972">
      <c r="F972" s="237"/>
      <c r="G972" s="238" t="str">
        <f t="shared" si="3"/>
        <v/>
      </c>
      <c r="H972" s="238" t="str">
        <f t="shared" si="4"/>
        <v/>
      </c>
      <c r="I972" s="237" t="str">
        <f t="shared" ref="I972:J972" si="964">IF(ISBLANK(C972),,""""&amp;C972&amp;"""")</f>
        <v/>
      </c>
      <c r="J972" s="237" t="str">
        <f t="shared" si="964"/>
        <v/>
      </c>
      <c r="K972" s="237" t="str">
        <f>IF(ISBLANK(F972),,Config!$C$3&amp;"&amp;range=BB"&amp;MATCH(F972,FRG!AC:AC,0))</f>
        <v/>
      </c>
      <c r="M972" s="243" t="str">
        <f>IFERROR(__xludf.DUMMYFUNCTION("IF(ISBLANK(F972),,SUBSTITUTE(IFERROR(JOIN("","",F972:K972),JOIN("","",F972:J972)),CHAR(10),""""))"),"")</f>
        <v/>
      </c>
      <c r="N972" s="229" t="str">
        <f t="shared" si="1"/>
        <v/>
      </c>
    </row>
    <row r="973">
      <c r="F973" s="237"/>
      <c r="G973" s="238" t="str">
        <f t="shared" si="3"/>
        <v/>
      </c>
      <c r="H973" s="238" t="str">
        <f t="shared" si="4"/>
        <v/>
      </c>
      <c r="I973" s="237" t="str">
        <f t="shared" ref="I973:J973" si="965">IF(ISBLANK(C973),,""""&amp;C973&amp;"""")</f>
        <v/>
      </c>
      <c r="J973" s="237" t="str">
        <f t="shared" si="965"/>
        <v/>
      </c>
      <c r="K973" s="237" t="str">
        <f>IF(ISBLANK(F973),,Config!$C$3&amp;"&amp;range=BB"&amp;MATCH(F973,FRG!AC:AC,0))</f>
        <v/>
      </c>
      <c r="M973" s="243" t="str">
        <f>IFERROR(__xludf.DUMMYFUNCTION("IF(ISBLANK(F973),,SUBSTITUTE(IFERROR(JOIN("","",F973:K973),JOIN("","",F973:J973)),CHAR(10),""""))"),"")</f>
        <v/>
      </c>
      <c r="N973" s="229" t="str">
        <f t="shared" si="1"/>
        <v/>
      </c>
    </row>
    <row r="974">
      <c r="F974" s="237"/>
      <c r="G974" s="238" t="str">
        <f t="shared" si="3"/>
        <v/>
      </c>
      <c r="H974" s="238" t="str">
        <f t="shared" si="4"/>
        <v/>
      </c>
      <c r="I974" s="237" t="str">
        <f t="shared" ref="I974:J974" si="966">IF(ISBLANK(C974),,""""&amp;C974&amp;"""")</f>
        <v/>
      </c>
      <c r="J974" s="237" t="str">
        <f t="shared" si="966"/>
        <v/>
      </c>
      <c r="K974" s="237" t="str">
        <f>IF(ISBLANK(F974),,Config!$C$3&amp;"&amp;range=BB"&amp;MATCH(F974,FRG!AC:AC,0))</f>
        <v/>
      </c>
      <c r="M974" s="243" t="str">
        <f>IFERROR(__xludf.DUMMYFUNCTION("IF(ISBLANK(F974),,SUBSTITUTE(IFERROR(JOIN("","",F974:K974),JOIN("","",F974:J974)),CHAR(10),""""))"),"")</f>
        <v/>
      </c>
      <c r="N974" s="229" t="str">
        <f t="shared" si="1"/>
        <v/>
      </c>
    </row>
    <row r="975">
      <c r="F975" s="237"/>
      <c r="G975" s="238" t="str">
        <f t="shared" si="3"/>
        <v/>
      </c>
      <c r="H975" s="238" t="str">
        <f t="shared" si="4"/>
        <v/>
      </c>
      <c r="I975" s="237" t="str">
        <f t="shared" ref="I975:J975" si="967">IF(ISBLANK(C975),,""""&amp;C975&amp;"""")</f>
        <v/>
      </c>
      <c r="J975" s="237" t="str">
        <f t="shared" si="967"/>
        <v/>
      </c>
      <c r="K975" s="237" t="str">
        <f>IF(ISBLANK(F975),,Config!$C$3&amp;"&amp;range=BB"&amp;MATCH(F975,FRG!AC:AC,0))</f>
        <v/>
      </c>
      <c r="M975" s="243" t="str">
        <f>IFERROR(__xludf.DUMMYFUNCTION("IF(ISBLANK(F975),,SUBSTITUTE(IFERROR(JOIN("","",F975:K975),JOIN("","",F975:J975)),CHAR(10),""""))"),"")</f>
        <v/>
      </c>
      <c r="N975" s="229" t="str">
        <f t="shared" si="1"/>
        <v/>
      </c>
    </row>
    <row r="976">
      <c r="F976" s="237"/>
      <c r="G976" s="238" t="str">
        <f t="shared" si="3"/>
        <v/>
      </c>
      <c r="H976" s="238" t="str">
        <f t="shared" si="4"/>
        <v/>
      </c>
      <c r="I976" s="237" t="str">
        <f t="shared" ref="I976:J976" si="968">IF(ISBLANK(C976),,""""&amp;C976&amp;"""")</f>
        <v/>
      </c>
      <c r="J976" s="237" t="str">
        <f t="shared" si="968"/>
        <v/>
      </c>
      <c r="K976" s="237" t="str">
        <f>IF(ISBLANK(F976),,Config!$C$3&amp;"&amp;range=BB"&amp;MATCH(F976,FRG!AC:AC,0))</f>
        <v/>
      </c>
      <c r="M976" s="243" t="str">
        <f>IFERROR(__xludf.DUMMYFUNCTION("IF(ISBLANK(F976),,SUBSTITUTE(IFERROR(JOIN("","",F976:K976),JOIN("","",F976:J976)),CHAR(10),""""))"),"")</f>
        <v/>
      </c>
      <c r="N976" s="229" t="str">
        <f t="shared" si="1"/>
        <v/>
      </c>
    </row>
    <row r="977">
      <c r="F977" s="237"/>
      <c r="G977" s="238" t="str">
        <f t="shared" si="3"/>
        <v/>
      </c>
      <c r="H977" s="238" t="str">
        <f t="shared" si="4"/>
        <v/>
      </c>
      <c r="I977" s="237" t="str">
        <f t="shared" ref="I977:J977" si="969">IF(ISBLANK(C977),,""""&amp;C977&amp;"""")</f>
        <v/>
      </c>
      <c r="J977" s="237" t="str">
        <f t="shared" si="969"/>
        <v/>
      </c>
      <c r="K977" s="237" t="str">
        <f>IF(ISBLANK(F977),,Config!$C$3&amp;"&amp;range=BB"&amp;MATCH(F977,FRG!AC:AC,0))</f>
        <v/>
      </c>
      <c r="M977" s="243" t="str">
        <f>IFERROR(__xludf.DUMMYFUNCTION("IF(ISBLANK(F977),,SUBSTITUTE(IFERROR(JOIN("","",F977:K977),JOIN("","",F977:J977)),CHAR(10),""""))"),"")</f>
        <v/>
      </c>
      <c r="N977" s="229" t="str">
        <f t="shared" si="1"/>
        <v/>
      </c>
    </row>
    <row r="978">
      <c r="F978" s="237"/>
      <c r="G978" s="238" t="str">
        <f t="shared" si="3"/>
        <v/>
      </c>
      <c r="H978" s="238" t="str">
        <f t="shared" si="4"/>
        <v/>
      </c>
      <c r="I978" s="237" t="str">
        <f t="shared" ref="I978:J978" si="970">IF(ISBLANK(C978),,""""&amp;C978&amp;"""")</f>
        <v/>
      </c>
      <c r="J978" s="237" t="str">
        <f t="shared" si="970"/>
        <v/>
      </c>
      <c r="K978" s="237" t="str">
        <f>IF(ISBLANK(F978),,Config!$C$3&amp;"&amp;range=BB"&amp;MATCH(F978,FRG!AC:AC,0))</f>
        <v/>
      </c>
      <c r="M978" s="243" t="str">
        <f>IFERROR(__xludf.DUMMYFUNCTION("IF(ISBLANK(F978),,SUBSTITUTE(IFERROR(JOIN("","",F978:K978),JOIN("","",F978:J978)),CHAR(10),""""))"),"")</f>
        <v/>
      </c>
      <c r="N978" s="229" t="str">
        <f t="shared" si="1"/>
        <v/>
      </c>
    </row>
    <row r="979">
      <c r="F979" s="237"/>
      <c r="G979" s="238" t="str">
        <f t="shared" si="3"/>
        <v/>
      </c>
      <c r="H979" s="238" t="str">
        <f t="shared" si="4"/>
        <v/>
      </c>
      <c r="I979" s="237" t="str">
        <f t="shared" ref="I979:J979" si="971">IF(ISBLANK(C979),,""""&amp;C979&amp;"""")</f>
        <v/>
      </c>
      <c r="J979" s="237" t="str">
        <f t="shared" si="971"/>
        <v/>
      </c>
      <c r="K979" s="237" t="str">
        <f>IF(ISBLANK(F979),,Config!$C$3&amp;"&amp;range=BB"&amp;MATCH(F979,FRG!AC:AC,0))</f>
        <v/>
      </c>
      <c r="M979" s="243" t="str">
        <f>IFERROR(__xludf.DUMMYFUNCTION("IF(ISBLANK(F979),,SUBSTITUTE(IFERROR(JOIN("","",F979:K979),JOIN("","",F979:J979)),CHAR(10),""""))"),"")</f>
        <v/>
      </c>
      <c r="N979" s="229" t="str">
        <f t="shared" si="1"/>
        <v/>
      </c>
    </row>
    <row r="980">
      <c r="F980" s="237"/>
      <c r="G980" s="238" t="str">
        <f t="shared" si="3"/>
        <v/>
      </c>
      <c r="H980" s="238" t="str">
        <f t="shared" si="4"/>
        <v/>
      </c>
      <c r="I980" s="237" t="str">
        <f t="shared" ref="I980:J980" si="972">IF(ISBLANK(C980),,""""&amp;C980&amp;"""")</f>
        <v/>
      </c>
      <c r="J980" s="237" t="str">
        <f t="shared" si="972"/>
        <v/>
      </c>
      <c r="K980" s="237" t="str">
        <f>IF(ISBLANK(F980),,Config!$C$3&amp;"&amp;range=BB"&amp;MATCH(F980,FRG!AC:AC,0))</f>
        <v/>
      </c>
      <c r="M980" s="243" t="str">
        <f>IFERROR(__xludf.DUMMYFUNCTION("IF(ISBLANK(F980),,SUBSTITUTE(IFERROR(JOIN("","",F980:K980),JOIN("","",F980:J980)),CHAR(10),""""))"),"")</f>
        <v/>
      </c>
      <c r="N980" s="229" t="str">
        <f t="shared" si="1"/>
        <v/>
      </c>
    </row>
    <row r="981">
      <c r="F981" s="237"/>
      <c r="G981" s="238" t="str">
        <f t="shared" si="3"/>
        <v/>
      </c>
      <c r="H981" s="238" t="str">
        <f t="shared" si="4"/>
        <v/>
      </c>
      <c r="I981" s="237" t="str">
        <f t="shared" ref="I981:J981" si="973">IF(ISBLANK(C981),,""""&amp;C981&amp;"""")</f>
        <v/>
      </c>
      <c r="J981" s="237" t="str">
        <f t="shared" si="973"/>
        <v/>
      </c>
      <c r="K981" s="237" t="str">
        <f>IF(ISBLANK(F981),,Config!$C$3&amp;"&amp;range=BB"&amp;MATCH(F981,FRG!AC:AC,0))</f>
        <v/>
      </c>
      <c r="M981" s="243" t="str">
        <f>IFERROR(__xludf.DUMMYFUNCTION("IF(ISBLANK(F981),,SUBSTITUTE(IFERROR(JOIN("","",F981:K981),JOIN("","",F981:J981)),CHAR(10),""""))"),"")</f>
        <v/>
      </c>
      <c r="N981" s="229" t="str">
        <f t="shared" si="1"/>
        <v/>
      </c>
    </row>
    <row r="982">
      <c r="F982" s="237"/>
      <c r="G982" s="238" t="str">
        <f t="shared" si="3"/>
        <v/>
      </c>
      <c r="H982" s="238" t="str">
        <f t="shared" si="4"/>
        <v/>
      </c>
      <c r="I982" s="237" t="str">
        <f t="shared" ref="I982:J982" si="974">IF(ISBLANK(C982),,""""&amp;C982&amp;"""")</f>
        <v/>
      </c>
      <c r="J982" s="237" t="str">
        <f t="shared" si="974"/>
        <v/>
      </c>
      <c r="K982" s="237" t="str">
        <f>IF(ISBLANK(F982),,Config!$C$3&amp;"&amp;range=BB"&amp;MATCH(F982,FRG!AC:AC,0))</f>
        <v/>
      </c>
      <c r="M982" s="243" t="str">
        <f>IFERROR(__xludf.DUMMYFUNCTION("IF(ISBLANK(F982),,SUBSTITUTE(IFERROR(JOIN("","",F982:K982),JOIN("","",F982:J982)),CHAR(10),""""))"),"")</f>
        <v/>
      </c>
      <c r="N982" s="229" t="str">
        <f t="shared" si="1"/>
        <v/>
      </c>
    </row>
    <row r="983">
      <c r="F983" s="237"/>
      <c r="G983" s="238" t="str">
        <f t="shared" si="3"/>
        <v/>
      </c>
      <c r="H983" s="238" t="str">
        <f t="shared" si="4"/>
        <v/>
      </c>
      <c r="I983" s="237" t="str">
        <f t="shared" ref="I983:J983" si="975">IF(ISBLANK(C983),,""""&amp;C983&amp;"""")</f>
        <v/>
      </c>
      <c r="J983" s="237" t="str">
        <f t="shared" si="975"/>
        <v/>
      </c>
      <c r="K983" s="237" t="str">
        <f>IF(ISBLANK(F983),,Config!$C$3&amp;"&amp;range=BB"&amp;MATCH(F983,FRG!AC:AC,0))</f>
        <v/>
      </c>
      <c r="M983" s="243" t="str">
        <f>IFERROR(__xludf.DUMMYFUNCTION("IF(ISBLANK(F983),,SUBSTITUTE(IFERROR(JOIN("","",F983:K983),JOIN("","",F983:J983)),CHAR(10),""""))"),"")</f>
        <v/>
      </c>
      <c r="N983" s="229" t="str">
        <f t="shared" si="1"/>
        <v/>
      </c>
    </row>
    <row r="984">
      <c r="F984" s="237"/>
      <c r="G984" s="238" t="str">
        <f t="shared" si="3"/>
        <v/>
      </c>
      <c r="H984" s="238" t="str">
        <f t="shared" si="4"/>
        <v/>
      </c>
      <c r="I984" s="237" t="str">
        <f t="shared" ref="I984:J984" si="976">IF(ISBLANK(C984),,""""&amp;C984&amp;"""")</f>
        <v/>
      </c>
      <c r="J984" s="237" t="str">
        <f t="shared" si="976"/>
        <v/>
      </c>
      <c r="K984" s="237" t="str">
        <f>IF(ISBLANK(F984),,Config!$C$3&amp;"&amp;range=BB"&amp;MATCH(F984,FRG!AC:AC,0))</f>
        <v/>
      </c>
      <c r="M984" s="243" t="str">
        <f>IFERROR(__xludf.DUMMYFUNCTION("IF(ISBLANK(F984),,SUBSTITUTE(IFERROR(JOIN("","",F984:K984),JOIN("","",F984:J984)),CHAR(10),""""))"),"")</f>
        <v/>
      </c>
      <c r="N984" s="229" t="str">
        <f t="shared" si="1"/>
        <v/>
      </c>
    </row>
    <row r="985">
      <c r="F985" s="237"/>
      <c r="G985" s="238" t="str">
        <f t="shared" si="3"/>
        <v/>
      </c>
      <c r="H985" s="238" t="str">
        <f t="shared" si="4"/>
        <v/>
      </c>
      <c r="I985" s="237" t="str">
        <f t="shared" ref="I985:J985" si="977">IF(ISBLANK(C985),,""""&amp;C985&amp;"""")</f>
        <v/>
      </c>
      <c r="J985" s="237" t="str">
        <f t="shared" si="977"/>
        <v/>
      </c>
      <c r="K985" s="237" t="str">
        <f>IF(ISBLANK(F985),,Config!$C$3&amp;"&amp;range=BB"&amp;MATCH(F985,FRG!AC:AC,0))</f>
        <v/>
      </c>
      <c r="M985" s="243" t="str">
        <f>IFERROR(__xludf.DUMMYFUNCTION("IF(ISBLANK(F985),,SUBSTITUTE(IFERROR(JOIN("","",F985:K985),JOIN("","",F985:J985)),CHAR(10),""""))"),"")</f>
        <v/>
      </c>
      <c r="N985" s="229" t="str">
        <f t="shared" si="1"/>
        <v/>
      </c>
    </row>
    <row r="986">
      <c r="F986" s="237"/>
      <c r="G986" s="238" t="str">
        <f t="shared" si="3"/>
        <v/>
      </c>
      <c r="H986" s="238" t="str">
        <f t="shared" si="4"/>
        <v/>
      </c>
      <c r="I986" s="237" t="str">
        <f t="shared" ref="I986:J986" si="978">IF(ISBLANK(C986),,""""&amp;C986&amp;"""")</f>
        <v/>
      </c>
      <c r="J986" s="237" t="str">
        <f t="shared" si="978"/>
        <v/>
      </c>
      <c r="K986" s="237" t="str">
        <f>IF(ISBLANK(F986),,Config!$C$3&amp;"&amp;range=BB"&amp;MATCH(F986,FRG!AC:AC,0))</f>
        <v/>
      </c>
      <c r="M986" s="243" t="str">
        <f>IFERROR(__xludf.DUMMYFUNCTION("IF(ISBLANK(F986),,SUBSTITUTE(IFERROR(JOIN("","",F986:K986),JOIN("","",F986:J986)),CHAR(10),""""))"),"")</f>
        <v/>
      </c>
      <c r="N986" s="229" t="str">
        <f t="shared" si="1"/>
        <v/>
      </c>
    </row>
    <row r="987">
      <c r="F987" s="237"/>
      <c r="G987" s="238" t="str">
        <f t="shared" si="3"/>
        <v/>
      </c>
      <c r="H987" s="238" t="str">
        <f t="shared" si="4"/>
        <v/>
      </c>
      <c r="I987" s="237" t="str">
        <f t="shared" ref="I987:J987" si="979">IF(ISBLANK(C987),,""""&amp;C987&amp;"""")</f>
        <v/>
      </c>
      <c r="J987" s="237" t="str">
        <f t="shared" si="979"/>
        <v/>
      </c>
      <c r="K987" s="237" t="str">
        <f>IF(ISBLANK(F987),,Config!$C$3&amp;"&amp;range=BB"&amp;MATCH(F987,FRG!AC:AC,0))</f>
        <v/>
      </c>
      <c r="M987" s="243" t="str">
        <f>IFERROR(__xludf.DUMMYFUNCTION("IF(ISBLANK(F987),,SUBSTITUTE(IFERROR(JOIN("","",F987:K987),JOIN("","",F987:J987)),CHAR(10),""""))"),"")</f>
        <v/>
      </c>
      <c r="N987" s="229" t="str">
        <f t="shared" si="1"/>
        <v/>
      </c>
    </row>
    <row r="988">
      <c r="F988" s="237"/>
      <c r="G988" s="238" t="str">
        <f t="shared" si="3"/>
        <v/>
      </c>
      <c r="H988" s="238" t="str">
        <f t="shared" si="4"/>
        <v/>
      </c>
      <c r="I988" s="237" t="str">
        <f t="shared" ref="I988:J988" si="980">IF(ISBLANK(C988),,""""&amp;C988&amp;"""")</f>
        <v/>
      </c>
      <c r="J988" s="237" t="str">
        <f t="shared" si="980"/>
        <v/>
      </c>
      <c r="K988" s="237" t="str">
        <f>IF(ISBLANK(F988),,Config!$C$3&amp;"&amp;range=BB"&amp;MATCH(F988,FRG!AC:AC,0))</f>
        <v/>
      </c>
      <c r="M988" s="243" t="str">
        <f>IFERROR(__xludf.DUMMYFUNCTION("IF(ISBLANK(F988),,SUBSTITUTE(IFERROR(JOIN("","",F988:K988),JOIN("","",F988:J988)),CHAR(10),""""))"),"")</f>
        <v/>
      </c>
      <c r="N988" s="229" t="str">
        <f t="shared" si="1"/>
        <v/>
      </c>
    </row>
    <row r="989">
      <c r="F989" s="237"/>
      <c r="G989" s="238" t="str">
        <f t="shared" si="3"/>
        <v/>
      </c>
      <c r="H989" s="238" t="str">
        <f t="shared" si="4"/>
        <v/>
      </c>
      <c r="I989" s="237" t="str">
        <f t="shared" ref="I989:J989" si="981">IF(ISBLANK(C989),,""""&amp;C989&amp;"""")</f>
        <v/>
      </c>
      <c r="J989" s="237" t="str">
        <f t="shared" si="981"/>
        <v/>
      </c>
      <c r="K989" s="237" t="str">
        <f>IF(ISBLANK(F989),,Config!$C$3&amp;"&amp;range=BB"&amp;MATCH(F989,FRG!AC:AC,0))</f>
        <v/>
      </c>
      <c r="M989" s="243" t="str">
        <f>IFERROR(__xludf.DUMMYFUNCTION("IF(ISBLANK(F989),,SUBSTITUTE(IFERROR(JOIN("","",F989:K989),JOIN("","",F989:J989)),CHAR(10),""""))"),"")</f>
        <v/>
      </c>
      <c r="N989" s="229" t="str">
        <f t="shared" si="1"/>
        <v/>
      </c>
    </row>
    <row r="990">
      <c r="F990" s="18"/>
      <c r="G990" s="238" t="str">
        <f t="shared" si="3"/>
        <v/>
      </c>
      <c r="H990" s="238" t="str">
        <f t="shared" si="4"/>
        <v/>
      </c>
      <c r="I990" s="237" t="str">
        <f t="shared" ref="I990:J990" si="982">IF(ISBLANK(C990),,""""&amp;C990&amp;"""")</f>
        <v/>
      </c>
      <c r="J990" s="237" t="str">
        <f t="shared" si="982"/>
        <v/>
      </c>
      <c r="K990" s="237" t="str">
        <f>IF(ISBLANK(F990),,Config!$C$3&amp;"&amp;range=BB"&amp;MATCH(F990,FRG!AC:AC,0))</f>
        <v/>
      </c>
      <c r="M990" s="243" t="str">
        <f>IFERROR(__xludf.DUMMYFUNCTION("IF(ISBLANK(F990),,SUBSTITUTE(IFERROR(JOIN("","",F990:K990),JOIN("","",F990:J990)),CHAR(10),""""))"),"")</f>
        <v/>
      </c>
      <c r="N990" s="229" t="str">
        <f t="shared" si="1"/>
        <v/>
      </c>
    </row>
  </sheetData>
  <mergeCells count="2">
    <mergeCell ref="A1:D2"/>
    <mergeCell ref="A3:D4"/>
  </mergeCells>
  <drawing r:id="rId1"/>
</worksheet>
</file>